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 sheetId="1" r:id="rId4"/>
    <sheet state="visible" name="IDR View" sheetId="2" r:id="rId5"/>
    <sheet state="visible" name="Aggregate IDR" sheetId="3" r:id="rId6"/>
    <sheet state="visible" name="Raw Stats Imports" sheetId="4" r:id="rId7"/>
    <sheet state="visible" name="SBV Import" sheetId="5" r:id="rId8"/>
    <sheet state="visible" name="Constants" sheetId="6" r:id="rId9"/>
  </sheets>
  <definedNames/>
  <calcPr/>
</workbook>
</file>

<file path=xl/sharedStrings.xml><?xml version="1.0" encoding="utf-8"?>
<sst xmlns="http://schemas.openxmlformats.org/spreadsheetml/2006/main" count="4025" uniqueCount="184">
  <si>
    <t>Abbreviation</t>
  </si>
  <si>
    <t>Term</t>
  </si>
  <si>
    <t>Explanation</t>
  </si>
  <si>
    <t>Formula</t>
  </si>
  <si>
    <t>IDR</t>
  </si>
  <si>
    <t>Index Derived Rating</t>
  </si>
  <si>
    <t>Take the player's Indexes (defined below), and their raw per game stats, and multiply them by the average of their correlation to win% and PWE, sum the weighted indexes, then find what standard deviation the player's value is at. Multiply that value by 25 and add 50, to make the scale more intuitive.
An average player will have an IDR of around 50, and each standard deviation the player's score falls further away from average will be a 25 point increase or decrease.
So why IDR?
I believe that SBV is inherently flawed, because it doesn't do two things that I feel are very important in a performance metric:
1. It doesn't factor in stats against at all, and defense is just as important as offense (actually statistically it's more important)
2. It doesn't factor in strength of schedule.
IDR was designed to do both of these things. By also measuring your performance as ratios instead of just as raw per game stats you are not freely rewarded for getting 400 points against a team that normally gives up 400 points, and you aren't hurt for getting 150 points against a team that normally only gives up that many. It keeps track of both offensive and defensive stats, so what you let your opponents do is now also an important factor. you can't just ball chase your way to a high IDR in the same way that you can a high SBV.</t>
  </si>
  <si>
    <t>Player's Standard Deviation * 25 + 50</t>
  </si>
  <si>
    <t>OV</t>
  </si>
  <si>
    <t>Outlier Value</t>
  </si>
  <si>
    <t>Meant to give a better understanding of the statistics of standard deviations, this is a representation of how common the performance was. A score of 100 means that on average you would need to see 100 more players to see a performance that is as good compared to their competition. A negative number means you would need to see that many players to see a performance as poor.
Note: an Average Player has an OV of around 2. This is an exponential scale, an IDR of 50 would result in an IDR OV of 2, an IDR of 75 would result in an OV of ~3.15, an IDR of 100 would result in an OV of ~21.98, 125 results in ~370.4 etc</t>
  </si>
  <si>
    <t>2/(1-(erf(absolute value of the standard deviation the player fell at)/(square root of 2)) * (player's standard deviation/absolute value of player's standard deviation)</t>
  </si>
  <si>
    <t>GP</t>
  </si>
  <si>
    <t>Games Played</t>
  </si>
  <si>
    <t>GW</t>
  </si>
  <si>
    <t>Games Won</t>
  </si>
  <si>
    <t>GL</t>
  </si>
  <si>
    <t>Games Lost</t>
  </si>
  <si>
    <t>Win%</t>
  </si>
  <si>
    <t>Win Percent</t>
  </si>
  <si>
    <t>Percent of the games the player won</t>
  </si>
  <si>
    <t>GW/GP</t>
  </si>
  <si>
    <t>PWE</t>
  </si>
  <si>
    <t>Pythagorean Win Expectation</t>
  </si>
  <si>
    <r>
      <rPr>
        <rFont val="Arial"/>
        <color rgb="FF1155CC"/>
        <u/>
      </rPr>
      <t xml:space="preserve">A formula used across several sports to determine how many games the team "should have won" if luck were not a factor. Further Explained here: </t>
    </r>
    <r>
      <rPr>
        <rFont val="Arial"/>
        <color rgb="FF1155CC"/>
        <u/>
      </rPr>
      <t>https://en.wikipedia.org/wiki/Pythagorean_expectation</t>
    </r>
  </si>
  <si>
    <t>1/(1+POWER(Total Goals Against/Total Team Goals For,POWER((Total Goals Against + Total team Goals For)/Games Played,0.297))),0)</t>
  </si>
  <si>
    <t>PPG</t>
  </si>
  <si>
    <t>Points Per Game</t>
  </si>
  <si>
    <t>Average of the points the player has gotten in each of their games</t>
  </si>
  <si>
    <t>GPG</t>
  </si>
  <si>
    <t>Goals Per Game</t>
  </si>
  <si>
    <t>See PPG but for Goals</t>
  </si>
  <si>
    <t>APG</t>
  </si>
  <si>
    <t>Assists Per Game</t>
  </si>
  <si>
    <t>See PPG but for Assists</t>
  </si>
  <si>
    <t>SvPG</t>
  </si>
  <si>
    <t>Saves Per Game</t>
  </si>
  <si>
    <t>See PPG but for Saves</t>
  </si>
  <si>
    <t>ShPG</t>
  </si>
  <si>
    <t>Shots Per Game</t>
  </si>
  <si>
    <t>See PPG but for Shots</t>
  </si>
  <si>
    <t>PAPG</t>
  </si>
  <si>
    <t>Points Against Per Game</t>
  </si>
  <si>
    <t>Average of the points the player has allowed their opponents to get in each of their games</t>
  </si>
  <si>
    <t>Total Points Against / Games Played</t>
  </si>
  <si>
    <t>GAPG</t>
  </si>
  <si>
    <t>Goals Against Per Game</t>
  </si>
  <si>
    <t>See PAPG but for Goals</t>
  </si>
  <si>
    <t>Total Goals Against / Games Played</t>
  </si>
  <si>
    <t>AAPG</t>
  </si>
  <si>
    <t>Assists Against Per Game</t>
  </si>
  <si>
    <t>See PAPG but for Assists</t>
  </si>
  <si>
    <t>Total Assists Against / Games Played</t>
  </si>
  <si>
    <t>SvAPG</t>
  </si>
  <si>
    <t>Saves Against Per Game</t>
  </si>
  <si>
    <t>See PAPG but for Saves</t>
  </si>
  <si>
    <t>Total Saves Against / Games Played</t>
  </si>
  <si>
    <t>ShAPG</t>
  </si>
  <si>
    <t>Shots Against Per Game</t>
  </si>
  <si>
    <t>See PAPG but for Shots</t>
  </si>
  <si>
    <t>Total Shots Against / Games Played</t>
  </si>
  <si>
    <t xml:space="preserve">Average of the PPG of every player that the player has played against </t>
  </si>
  <si>
    <t>OGPG</t>
  </si>
  <si>
    <t>Opponent's Goals Per Game</t>
  </si>
  <si>
    <t>See OPPG but for Goals</t>
  </si>
  <si>
    <t>OAPG</t>
  </si>
  <si>
    <t>Opponent's Assists Per Game</t>
  </si>
  <si>
    <t>See OPPG but for Assists</t>
  </si>
  <si>
    <t>OSvPG</t>
  </si>
  <si>
    <t>Opponent's Saves Per Game</t>
  </si>
  <si>
    <t>See OPPG but for Saves</t>
  </si>
  <si>
    <t>OShPG</t>
  </si>
  <si>
    <t>Opponent's Shots Per Game</t>
  </si>
  <si>
    <t>See OPPG but for Shots</t>
  </si>
  <si>
    <t>Average of the PAPG of every player that the player has played against</t>
  </si>
  <si>
    <t>OGAPG</t>
  </si>
  <si>
    <t>Opponent's Goals Against Per Game</t>
  </si>
  <si>
    <t>See OPAPG but for Goals</t>
  </si>
  <si>
    <t>OAAPG</t>
  </si>
  <si>
    <t>Opponent's Assists Against Per Game</t>
  </si>
  <si>
    <t>See OPAPG but for Assists</t>
  </si>
  <si>
    <t>OSvAPG</t>
  </si>
  <si>
    <t>Opponent's Saves Against Per Game</t>
  </si>
  <si>
    <t>See OPAPG but for Saves</t>
  </si>
  <si>
    <t>OShAPG</t>
  </si>
  <si>
    <t>Opponent's Shots Against Per Game</t>
  </si>
  <si>
    <t>See OPAPG but for Shots</t>
  </si>
  <si>
    <t>PFI</t>
  </si>
  <si>
    <t>Points For Index</t>
  </si>
  <si>
    <t>A measure of how many points the player typically gets compared to his opponents' typical defense
Example: A PFI of 1.2 means that the player typically gets 1.2 times the points that their opponents normally allow.</t>
  </si>
  <si>
    <t>PPG/OPAPG</t>
  </si>
  <si>
    <t>GFI</t>
  </si>
  <si>
    <t>Goals For Index</t>
  </si>
  <si>
    <t>See PFI, but for Goals</t>
  </si>
  <si>
    <t>GPG/OGAPG</t>
  </si>
  <si>
    <t>AFI</t>
  </si>
  <si>
    <t>Assists For Index</t>
  </si>
  <si>
    <t>See PFI, but for Assists</t>
  </si>
  <si>
    <t>APG/OAAPG</t>
  </si>
  <si>
    <t>SvFI</t>
  </si>
  <si>
    <t>Saves For Index</t>
  </si>
  <si>
    <t>See PFI, but for Saves</t>
  </si>
  <si>
    <t>SvPG/OSvAPG</t>
  </si>
  <si>
    <t>ShFI</t>
  </si>
  <si>
    <t>Shots For Index</t>
  </si>
  <si>
    <t>See PFI, but for Shots</t>
  </si>
  <si>
    <t>ShPG/OShAPG</t>
  </si>
  <si>
    <t>PAI</t>
  </si>
  <si>
    <t>Points Against Index</t>
  </si>
  <si>
    <t>A measure of how many points the player typically allows his opponents to get, compared to his opponents' typical offense
Example: A PAI of .8 means that the player typically allows their opponents to get .8 times the points they normally get</t>
  </si>
  <si>
    <t>PAPG/OPPG</t>
  </si>
  <si>
    <t>GAI</t>
  </si>
  <si>
    <t>Goals Against Index</t>
  </si>
  <si>
    <t>See PAI but for Goals</t>
  </si>
  <si>
    <t>GAPG/OGPG</t>
  </si>
  <si>
    <t>AAI</t>
  </si>
  <si>
    <t>Assists Against Index</t>
  </si>
  <si>
    <t>See PAI but for Assists</t>
  </si>
  <si>
    <t>AAPG/OAPG</t>
  </si>
  <si>
    <t>SvAI</t>
  </si>
  <si>
    <t>Saves Against Index</t>
  </si>
  <si>
    <t>See PAI but for Saves</t>
  </si>
  <si>
    <t>SvAPG/OSvPG</t>
  </si>
  <si>
    <t>ShAI</t>
  </si>
  <si>
    <t>Shots Against Index</t>
  </si>
  <si>
    <t>See PAI but for Shots</t>
  </si>
  <si>
    <t>ShAPG/OShPG</t>
  </si>
  <si>
    <t>Tier</t>
  </si>
  <si>
    <t>All</t>
  </si>
  <si>
    <t xml:space="preserve">For GP: Green = above minimum game count to be included in IDR calc, Red = below
</t>
  </si>
  <si>
    <t>Sort By</t>
  </si>
  <si>
    <t>Smaller = Better?</t>
  </si>
  <si>
    <t>RSC ID</t>
  </si>
  <si>
    <t>Name</t>
  </si>
  <si>
    <t>Team</t>
  </si>
  <si>
    <t>IDR OV</t>
  </si>
  <si>
    <t>SBV</t>
  </si>
  <si>
    <t>SBV OV</t>
  </si>
  <si>
    <t>Win %</t>
  </si>
  <si>
    <t>Shot %</t>
  </si>
  <si>
    <t>OPPG</t>
  </si>
  <si>
    <t>OPAPG</t>
  </si>
  <si>
    <t>SBV to IDR OV Δ</t>
  </si>
  <si>
    <t>PPGr</t>
  </si>
  <si>
    <t>GPGr</t>
  </si>
  <si>
    <t>APGr</t>
  </si>
  <si>
    <t>SvPGr</t>
  </si>
  <si>
    <t>ShPGr</t>
  </si>
  <si>
    <t>Goals On Field</t>
  </si>
  <si>
    <t>PPI</t>
  </si>
  <si>
    <t>Tier #</t>
  </si>
  <si>
    <t>GP Met?</t>
  </si>
  <si>
    <t/>
  </si>
  <si>
    <t>SBV Sheet</t>
  </si>
  <si>
    <t>1hxIEGUe4I9X0LJ5frEqlnp8UYUNdkv0EAyh3I5GTz6c</t>
  </si>
  <si>
    <t>GP Mins</t>
  </si>
  <si>
    <t>Premier</t>
  </si>
  <si>
    <t>15JgDfvRgisqeuoDkJFCWnwwLGt6JkWH8uv8lpJkAF5Q</t>
  </si>
  <si>
    <t>Master</t>
  </si>
  <si>
    <t>177ZA2lzMItgPKD-ZOI39qi7g3bpeo2jz8aVNDAzO-EI</t>
  </si>
  <si>
    <t>Elite</t>
  </si>
  <si>
    <t>1uE7AvP8Gzk41HDaWdbGLB3m9_kUf5KL7_xKeD5q0rEE</t>
  </si>
  <si>
    <t>Veteran</t>
  </si>
  <si>
    <t>1h6Thwj62FiTTHpTSGgUeqnZGmxWymnjr_BifUwvrQ8M</t>
  </si>
  <si>
    <t>Rival</t>
  </si>
  <si>
    <t>1f-2HLgwOAT85D5RQuT22YwK_8cPoGfaIfRT2GN54Zbo</t>
  </si>
  <si>
    <t>Challenger</t>
  </si>
  <si>
    <t>1ci-0PBoJ8_HM-T_SXVcxQNQsCxveJdEok8IwRX9GYzo</t>
  </si>
  <si>
    <t>Prospect</t>
  </si>
  <si>
    <t>1aS2AgfVw3m2DffBNAFZDs1GLvn9Zx2nt3thlSA3JLb4</t>
  </si>
  <si>
    <t>Contender</t>
  </si>
  <si>
    <t>1VdjdhE15LOy741RRYCqGF28agAdPn6oJQZjExYsv7X0</t>
  </si>
  <si>
    <t>Amateur</t>
  </si>
  <si>
    <t>1vyB-sBNn6cEwBG-76XDSDLlnnEXSjaXskDiBu1SXyVU</t>
  </si>
  <si>
    <t>Raw Stats Import</t>
  </si>
  <si>
    <t>1SxZTvmDILAdZWBgzGjeUd7-9nmwcdBsqAQYOWp1UeHI</t>
  </si>
  <si>
    <t>Repull Imports</t>
  </si>
  <si>
    <t>Overall</t>
  </si>
  <si>
    <t>Average</t>
  </si>
  <si>
    <t>StDev</t>
  </si>
  <si>
    <t>Median</t>
  </si>
  <si>
    <t>Max</t>
  </si>
  <si>
    <t>Min</t>
  </si>
  <si>
    <t>Correls</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</si>
</sst>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0"/>
    <numFmt numFmtId="165" formatCode="0.0000000"/>
    <numFmt numFmtId="166" formatCode="0.0"/>
    <numFmt numFmtId="167" formatCode="0.0000"/>
  </numFmts>
  <fonts count="18">
    <font>
      <sz val="10.0"/>
      <color rgb="FF000000"/>
      <name val="Arial"/>
      <scheme val="minor"/>
    </font>
    <font>
      <color theme="1"/>
      <name val="Arial"/>
    </font>
    <font>
      <b/>
      <color rgb="FFF3F3F3"/>
      <name val="Arial"/>
    </font>
    <font>
      <u/>
      <color rgb="FF1155CC"/>
      <name val="Arial"/>
    </font>
    <font>
      <color theme="1"/>
      <name val="Arial"/>
      <scheme val="minor"/>
    </font>
    <font>
      <b/>
      <color rgb="FFF3F3F3"/>
      <name val="Arial"/>
      <scheme val="minor"/>
    </font>
    <font>
      <color rgb="FFEFEFEF"/>
      <name val="Arial"/>
      <scheme val="minor"/>
    </font>
    <font>
      <color rgb="FFFFFFFF"/>
      <name val="Arial"/>
      <scheme val="minor"/>
    </font>
    <font>
      <color rgb="FF000000"/>
      <name val="Arial"/>
      <scheme val="minor"/>
    </font>
    <font>
      <color rgb="FFF3F3F3"/>
      <name val="Arial"/>
      <scheme val="minor"/>
    </font>
    <font>
      <b/>
      <color rgb="FFFFFFFF"/>
      <name val="Arial"/>
      <scheme val="minor"/>
    </font>
    <font>
      <b/>
      <color rgb="FF000000"/>
      <name val="Arial"/>
      <scheme val="minor"/>
    </font>
    <font>
      <b/>
      <color theme="0"/>
      <name val="Arial"/>
    </font>
    <font>
      <b/>
      <color theme="1"/>
      <name val="Arial"/>
    </font>
    <font>
      <b/>
      <color theme="1"/>
      <name val="Arial"/>
      <scheme val="minor"/>
    </font>
    <font>
      <b/>
      <color theme="0"/>
      <name val="Arial"/>
      <scheme val="minor"/>
    </font>
    <font>
      <sz val="11.0"/>
      <color rgb="FF000000"/>
      <name val="Inconsolata"/>
    </font>
    <font>
      <sz val="10.0"/>
      <color theme="1"/>
      <name val="Arial"/>
      <scheme val="minor"/>
    </font>
  </fonts>
  <fills count="21">
    <fill>
      <patternFill patternType="none"/>
    </fill>
    <fill>
      <patternFill patternType="lightGray"/>
    </fill>
    <fill>
      <patternFill patternType="solid">
        <fgColor rgb="FF000000"/>
        <bgColor rgb="FF000000"/>
      </patternFill>
    </fill>
    <fill>
      <patternFill patternType="solid">
        <fgColor rgb="FF666666"/>
        <bgColor rgb="FF666666"/>
      </patternFill>
    </fill>
    <fill>
      <patternFill patternType="solid">
        <fgColor rgb="FFFFFFFF"/>
        <bgColor rgb="FFFFFFFF"/>
      </patternFill>
    </fill>
    <fill>
      <patternFill patternType="solid">
        <fgColor rgb="FFF3F3F3"/>
        <bgColor rgb="FFF3F3F3"/>
      </patternFill>
    </fill>
    <fill>
      <patternFill patternType="solid">
        <fgColor rgb="FF434343"/>
        <bgColor rgb="FF434343"/>
      </patternFill>
    </fill>
    <fill>
      <patternFill patternType="solid">
        <fgColor theme="1"/>
        <bgColor theme="1"/>
      </patternFill>
    </fill>
    <fill>
      <patternFill patternType="solid">
        <fgColor theme="0"/>
        <bgColor theme="0"/>
      </patternFill>
    </fill>
    <fill>
      <patternFill patternType="solid">
        <fgColor rgb="FFD9D9D9"/>
        <bgColor rgb="FFD9D9D9"/>
      </patternFill>
    </fill>
    <fill>
      <patternFill patternType="solid">
        <fgColor rgb="FFEAD1DC"/>
        <bgColor rgb="FFEAD1DC"/>
      </patternFill>
    </fill>
    <fill>
      <patternFill patternType="solid">
        <fgColor rgb="FFD9D2E9"/>
        <bgColor rgb="FFD9D2E9"/>
      </patternFill>
    </fill>
    <fill>
      <patternFill patternType="solid">
        <fgColor rgb="FFC9DAF8"/>
        <bgColor rgb="FFC9DAF8"/>
      </patternFill>
    </fill>
    <fill>
      <patternFill patternType="solid">
        <fgColor rgb="FF33FFDA"/>
        <bgColor rgb="FF33FFDA"/>
      </patternFill>
    </fill>
    <fill>
      <patternFill patternType="solid">
        <fgColor rgb="FFB6D7A8"/>
        <bgColor rgb="FFB6D7A8"/>
      </patternFill>
    </fill>
    <fill>
      <patternFill patternType="solid">
        <fgColor rgb="FFF9CB9C"/>
        <bgColor rgb="FFF9CB9C"/>
      </patternFill>
    </fill>
    <fill>
      <patternFill patternType="solid">
        <fgColor rgb="FFE06666"/>
        <bgColor rgb="FFE06666"/>
      </patternFill>
    </fill>
    <fill>
      <patternFill patternType="solid">
        <fgColor rgb="FFCC4125"/>
        <bgColor rgb="FFCC4125"/>
      </patternFill>
    </fill>
    <fill>
      <patternFill patternType="solid">
        <fgColor rgb="FFFCE5CD"/>
        <bgColor rgb="FFFCE5CD"/>
      </patternFill>
    </fill>
    <fill>
      <patternFill patternType="solid">
        <fgColor rgb="FF00FFFF"/>
        <bgColor rgb="FF00FFFF"/>
      </patternFill>
    </fill>
    <fill>
      <patternFill patternType="solid">
        <fgColor rgb="FFCC0000"/>
        <bgColor rgb="FFCC0000"/>
      </patternFill>
    </fill>
  </fills>
  <borders count="1">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0" fillId="2" fontId="1" numFmtId="0" xfId="0" applyAlignment="1" applyFill="1" applyFont="1">
      <alignment vertical="bottom"/>
    </xf>
    <xf borderId="0" fillId="2" fontId="1" numFmtId="0" xfId="0" applyAlignment="1" applyFont="1">
      <alignment horizontal="center" vertical="center"/>
    </xf>
    <xf borderId="0" fillId="2" fontId="1" numFmtId="0" xfId="0" applyAlignment="1" applyFont="1">
      <alignment horizontal="left" vertical="center"/>
    </xf>
    <xf borderId="0" fillId="3" fontId="2" numFmtId="0" xfId="0" applyAlignment="1" applyFill="1" applyFont="1">
      <alignment horizontal="center" vertical="center"/>
    </xf>
    <xf borderId="0" fillId="3" fontId="2" numFmtId="0" xfId="0" applyAlignment="1" applyFont="1">
      <alignment horizontal="center" shrinkToFit="0" vertical="center" wrapText="1"/>
    </xf>
    <xf borderId="0" fillId="3" fontId="2" numFmtId="0" xfId="0" applyAlignment="1" applyFont="1">
      <alignment horizontal="center" shrinkToFit="0" vertical="bottom" wrapText="1"/>
    </xf>
    <xf borderId="0" fillId="3" fontId="2" numFmtId="0" xfId="0" applyAlignment="1" applyFont="1">
      <alignment horizontal="left" shrinkToFit="0" vertical="center" wrapText="1"/>
    </xf>
    <xf borderId="0" fillId="4" fontId="1" numFmtId="0" xfId="0" applyAlignment="1" applyFill="1" applyFont="1">
      <alignment horizontal="center" vertical="center"/>
    </xf>
    <xf borderId="0" fillId="4" fontId="1" numFmtId="0" xfId="0" applyAlignment="1" applyFont="1">
      <alignment horizontal="center" shrinkToFit="0" vertical="center" wrapText="1"/>
    </xf>
    <xf borderId="0" fillId="4" fontId="1" numFmtId="0" xfId="0" applyAlignment="1" applyFont="1">
      <alignment readingOrder="0" shrinkToFit="0" vertical="bottom" wrapText="1"/>
    </xf>
    <xf borderId="0" fillId="4" fontId="1" numFmtId="0" xfId="0" applyAlignment="1" applyFont="1">
      <alignment horizontal="left" shrinkToFit="0" vertical="center" wrapText="1"/>
    </xf>
    <xf borderId="0" fillId="5" fontId="1" numFmtId="0" xfId="0" applyAlignment="1" applyFill="1" applyFont="1">
      <alignment horizontal="center" vertical="center"/>
    </xf>
    <xf borderId="0" fillId="5" fontId="1" numFmtId="0" xfId="0" applyAlignment="1" applyFont="1">
      <alignment horizontal="center" shrinkToFit="0" vertical="center" wrapText="1"/>
    </xf>
    <xf borderId="0" fillId="5" fontId="1" numFmtId="0" xfId="0" applyAlignment="1" applyFont="1">
      <alignment readingOrder="0" shrinkToFit="0" vertical="bottom" wrapText="1"/>
    </xf>
    <xf borderId="0" fillId="5" fontId="1" numFmtId="0" xfId="0" applyAlignment="1" applyFont="1">
      <alignment horizontal="left" shrinkToFit="0" vertical="center" wrapText="1"/>
    </xf>
    <xf borderId="0" fillId="2" fontId="1" numFmtId="0" xfId="0" applyAlignment="1" applyFont="1">
      <alignment horizontal="left" vertical="bottom"/>
    </xf>
    <xf borderId="0" fillId="5" fontId="1" numFmtId="0" xfId="0" applyAlignment="1" applyFont="1">
      <alignment shrinkToFit="0" vertical="bottom" wrapText="1"/>
    </xf>
    <xf borderId="0" fillId="4" fontId="3" numFmtId="0" xfId="0" applyAlignment="1" applyFont="1">
      <alignment shrinkToFit="0" wrapText="1"/>
    </xf>
    <xf borderId="0" fillId="2" fontId="1" numFmtId="0" xfId="0" applyAlignment="1" applyFont="1">
      <alignment horizontal="center" vertical="center"/>
    </xf>
    <xf borderId="0" fillId="2" fontId="1" numFmtId="0" xfId="0" applyAlignment="1" applyFont="1">
      <alignment vertical="bottom"/>
    </xf>
    <xf borderId="0" fillId="2" fontId="1" numFmtId="0" xfId="0" applyAlignment="1" applyFont="1">
      <alignment horizontal="left" vertical="center"/>
    </xf>
    <xf borderId="0" fillId="5" fontId="1" numFmtId="0" xfId="0" applyAlignment="1" applyFont="1">
      <alignment horizontal="left" vertical="center"/>
    </xf>
    <xf borderId="0" fillId="4" fontId="1" numFmtId="0" xfId="0" applyAlignment="1" applyFont="1">
      <alignment shrinkToFit="0" vertical="bottom" wrapText="1"/>
    </xf>
    <xf borderId="0" fillId="4" fontId="1" numFmtId="0" xfId="0" applyAlignment="1" applyFont="1">
      <alignment vertical="bottom"/>
    </xf>
    <xf borderId="0" fillId="4" fontId="1" numFmtId="0" xfId="0" applyAlignment="1" applyFont="1">
      <alignment horizontal="left" vertical="center"/>
    </xf>
    <xf borderId="0" fillId="5" fontId="1" numFmtId="0" xfId="0" applyAlignment="1" applyFont="1">
      <alignment vertical="bottom"/>
    </xf>
    <xf borderId="0" fillId="0" fontId="4" numFmtId="0" xfId="0" applyAlignment="1" applyFont="1">
      <alignment horizontal="left" vertical="center"/>
    </xf>
    <xf borderId="0" fillId="3" fontId="5" numFmtId="0" xfId="0" applyFont="1"/>
    <xf borderId="0" fillId="3" fontId="6" numFmtId="0" xfId="0" applyAlignment="1" applyFont="1">
      <alignment readingOrder="0"/>
    </xf>
    <xf borderId="0" fillId="0" fontId="4" numFmtId="0" xfId="0" applyFont="1"/>
    <xf borderId="0" fillId="0" fontId="7" numFmtId="2" xfId="0" applyFont="1" applyNumberFormat="1"/>
    <xf borderId="0" fillId="0" fontId="4" numFmtId="2" xfId="0" applyFont="1" applyNumberFormat="1"/>
    <xf borderId="0" fillId="6" fontId="7" numFmtId="3" xfId="0" applyAlignment="1" applyFill="1" applyFont="1" applyNumberFormat="1">
      <alignment horizontal="left" readingOrder="0" shrinkToFit="0" vertical="center" wrapText="1"/>
    </xf>
    <xf borderId="0" fillId="0" fontId="4" numFmtId="164" xfId="0" applyFont="1" applyNumberFormat="1"/>
    <xf borderId="0" fillId="2" fontId="7" numFmtId="164" xfId="0" applyFont="1" applyNumberFormat="1"/>
    <xf borderId="0" fillId="2" fontId="8" numFmtId="164" xfId="0" applyFont="1" applyNumberFormat="1"/>
    <xf borderId="0" fillId="2" fontId="4" numFmtId="0" xfId="0" applyFont="1"/>
    <xf borderId="0" fillId="3" fontId="5" numFmtId="0" xfId="0" applyAlignment="1" applyFont="1">
      <alignment readingOrder="0"/>
    </xf>
    <xf borderId="0" fillId="3" fontId="9" numFmtId="0" xfId="0" applyAlignment="1" applyFont="1">
      <alignment readingOrder="0"/>
    </xf>
    <xf borderId="0" fillId="0" fontId="4" numFmtId="3" xfId="0" applyFont="1" applyNumberFormat="1"/>
    <xf borderId="0" fillId="0" fontId="4" numFmtId="0" xfId="0" applyFont="1"/>
    <xf borderId="0" fillId="0" fontId="4" numFmtId="10" xfId="0" applyFont="1" applyNumberFormat="1"/>
    <xf borderId="0" fillId="6" fontId="5" numFmtId="0" xfId="0" applyFont="1"/>
    <xf borderId="0" fillId="6" fontId="10" numFmtId="2" xfId="0" applyFont="1" applyNumberFormat="1"/>
    <xf borderId="0" fillId="6" fontId="5" numFmtId="2" xfId="0" applyFont="1" applyNumberFormat="1"/>
    <xf borderId="0" fillId="6" fontId="5" numFmtId="3" xfId="0" applyFont="1" applyNumberFormat="1"/>
    <xf borderId="0" fillId="6" fontId="5" numFmtId="0" xfId="0" applyFont="1"/>
    <xf borderId="0" fillId="6" fontId="9" numFmtId="3" xfId="0" applyFont="1" applyNumberFormat="1"/>
    <xf borderId="0" fillId="6" fontId="5" numFmtId="10" xfId="0" applyFont="1" applyNumberFormat="1"/>
    <xf borderId="0" fillId="6" fontId="5" numFmtId="164" xfId="0" applyFont="1" applyNumberFormat="1"/>
    <xf borderId="0" fillId="6" fontId="10" numFmtId="164" xfId="0" applyFont="1" applyNumberFormat="1"/>
    <xf borderId="0" fillId="2" fontId="11" numFmtId="164" xfId="0" applyFont="1" applyNumberFormat="1"/>
    <xf borderId="0" fillId="2" fontId="5" numFmtId="0" xfId="0" applyFont="1"/>
    <xf borderId="0" fillId="0" fontId="7" numFmtId="3" xfId="0" applyFont="1" applyNumberFormat="1"/>
    <xf borderId="0" fillId="0" fontId="7" numFmtId="0" xfId="0" applyFont="1"/>
    <xf borderId="0" fillId="0" fontId="7" numFmtId="10" xfId="0" applyFont="1" applyNumberFormat="1"/>
    <xf borderId="0" fillId="0" fontId="7" numFmtId="164" xfId="0" applyFont="1" applyNumberFormat="1"/>
    <xf borderId="0" fillId="0" fontId="8" numFmtId="0" xfId="0" applyAlignment="1" applyFont="1">
      <alignment readingOrder="0"/>
    </xf>
    <xf borderId="0" fillId="0" fontId="7" numFmtId="3" xfId="0" applyAlignment="1" applyFont="1" applyNumberFormat="1">
      <alignment readingOrder="0"/>
    </xf>
    <xf borderId="0" fillId="0" fontId="8" numFmtId="164" xfId="0" applyFont="1" applyNumberFormat="1"/>
    <xf borderId="0" fillId="7" fontId="12" numFmtId="0" xfId="0" applyAlignment="1" applyFill="1" applyFont="1">
      <alignment horizontal="center" vertical="bottom"/>
    </xf>
    <xf borderId="0" fillId="7" fontId="12" numFmtId="0" xfId="0" applyAlignment="1" applyFont="1">
      <alignment horizontal="center" vertical="bottom"/>
    </xf>
    <xf borderId="0" fillId="7" fontId="12" numFmtId="0" xfId="0" applyAlignment="1" applyFont="1">
      <alignment horizontal="center" readingOrder="0" vertical="bottom"/>
    </xf>
    <xf borderId="0" fillId="8" fontId="13" numFmtId="0" xfId="0" applyAlignment="1" applyFill="1" applyFont="1">
      <alignment horizontal="center" vertical="bottom"/>
    </xf>
    <xf borderId="0" fillId="8" fontId="14" numFmtId="0" xfId="0" applyAlignment="1" applyFont="1">
      <alignment horizontal="center" readingOrder="0"/>
    </xf>
    <xf borderId="0" fillId="8" fontId="14" numFmtId="165" xfId="0" applyAlignment="1" applyFont="1" applyNumberFormat="1">
      <alignment horizontal="center" readingOrder="0"/>
    </xf>
    <xf borderId="0" fillId="7" fontId="15" numFmtId="0" xfId="0" applyAlignment="1" applyFont="1">
      <alignment horizontal="center" readingOrder="0"/>
    </xf>
    <xf borderId="0" fillId="7" fontId="15" numFmtId="165" xfId="0" applyAlignment="1" applyFont="1" applyNumberFormat="1">
      <alignment horizontal="center" readingOrder="0"/>
    </xf>
    <xf borderId="0" fillId="7" fontId="10" numFmtId="165" xfId="0" applyAlignment="1" applyFont="1" applyNumberFormat="1">
      <alignment horizontal="center" readingOrder="0"/>
    </xf>
    <xf borderId="0" fillId="4" fontId="16" numFmtId="0" xfId="0" applyAlignment="1" applyFont="1">
      <alignment readingOrder="0"/>
    </xf>
    <xf borderId="0" fillId="0" fontId="4" numFmtId="49" xfId="0" applyFont="1" applyNumberFormat="1"/>
    <xf borderId="0" fillId="0" fontId="17" numFmtId="0" xfId="0" applyAlignment="1" applyFont="1">
      <alignment vertical="bottom"/>
    </xf>
    <xf borderId="0" fillId="0" fontId="17" numFmtId="0" xfId="0" applyAlignment="1" applyFont="1">
      <alignment vertical="bottom"/>
    </xf>
    <xf borderId="0" fillId="0" fontId="17" numFmtId="0" xfId="0" applyAlignment="1" applyFont="1">
      <alignment readingOrder="0" vertical="bottom"/>
    </xf>
    <xf borderId="0" fillId="0" fontId="17" numFmtId="10" xfId="0" applyAlignment="1" applyFont="1" applyNumberFormat="1">
      <alignment vertical="bottom"/>
    </xf>
    <xf borderId="0" fillId="0" fontId="17" numFmtId="0" xfId="0" applyAlignment="1" applyFont="1">
      <alignment readingOrder="0"/>
    </xf>
    <xf borderId="0" fillId="0" fontId="17" numFmtId="165" xfId="0" applyAlignment="1" applyFont="1" applyNumberFormat="1">
      <alignment readingOrder="0"/>
    </xf>
    <xf borderId="0" fillId="4" fontId="0" numFmtId="0" xfId="0" applyAlignment="1" applyFont="1">
      <alignment readingOrder="0"/>
    </xf>
    <xf borderId="0" fillId="0" fontId="17" numFmtId="49" xfId="0" applyFont="1" applyNumberFormat="1"/>
    <xf borderId="0" fillId="0" fontId="17" numFmtId="0" xfId="0" applyFont="1"/>
    <xf borderId="0" fillId="0" fontId="17" numFmtId="10" xfId="0" applyFont="1" applyNumberFormat="1"/>
    <xf borderId="0" fillId="0" fontId="17" numFmtId="0" xfId="0" applyAlignment="1" applyFont="1">
      <alignment horizontal="right" vertical="bottom"/>
    </xf>
    <xf borderId="0" fillId="0" fontId="17" numFmtId="165" xfId="0" applyAlignment="1" applyFont="1" applyNumberFormat="1">
      <alignment horizontal="right" vertical="bottom"/>
    </xf>
    <xf borderId="0" fillId="0" fontId="17" numFmtId="0" xfId="0" applyAlignment="1" applyFont="1">
      <alignment horizontal="center" vertical="bottom"/>
    </xf>
    <xf borderId="0" fillId="4" fontId="0" numFmtId="0" xfId="0" applyFont="1"/>
    <xf borderId="0" fillId="0" fontId="17" numFmtId="10" xfId="0" applyAlignment="1" applyFont="1" applyNumberFormat="1">
      <alignment horizontal="right" vertical="bottom"/>
    </xf>
    <xf borderId="0" fillId="0" fontId="17" numFmtId="49" xfId="0" applyAlignment="1" applyFont="1" applyNumberFormat="1">
      <alignment vertical="bottom"/>
    </xf>
    <xf borderId="0" fillId="0" fontId="17" numFmtId="0" xfId="0" applyAlignment="1" applyFont="1">
      <alignment shrinkToFit="0" vertical="bottom" wrapText="0"/>
    </xf>
    <xf borderId="0" fillId="0" fontId="17" numFmtId="49" xfId="0" applyAlignment="1" applyFont="1" applyNumberFormat="1">
      <alignment readingOrder="0" vertical="bottom"/>
    </xf>
    <xf borderId="0" fillId="4" fontId="0" numFmtId="49" xfId="0" applyAlignment="1" applyFont="1" applyNumberFormat="1">
      <alignment readingOrder="0"/>
    </xf>
    <xf borderId="0" fillId="0" fontId="17" numFmtId="165" xfId="0" applyFont="1" applyNumberFormat="1"/>
    <xf borderId="0" fillId="0" fontId="4" numFmtId="166" xfId="0" applyFont="1" applyNumberFormat="1"/>
    <xf borderId="0" fillId="0" fontId="4" numFmtId="0" xfId="0" applyAlignment="1" applyFont="1">
      <alignment readingOrder="0"/>
    </xf>
    <xf borderId="0" fillId="0" fontId="1" numFmtId="0" xfId="0" applyAlignment="1" applyFont="1">
      <alignment vertical="bottom"/>
    </xf>
    <xf borderId="0" fillId="0" fontId="1" numFmtId="0" xfId="0" applyAlignment="1" applyFont="1">
      <alignment vertical="bottom"/>
    </xf>
    <xf borderId="0" fillId="0" fontId="1" numFmtId="0" xfId="0" applyAlignment="1" applyFont="1">
      <alignment readingOrder="0" vertical="bottom"/>
    </xf>
    <xf borderId="0" fillId="0" fontId="4" numFmtId="0" xfId="0" applyAlignment="1" applyFont="1">
      <alignment horizontal="left" readingOrder="0" vertical="center"/>
    </xf>
    <xf borderId="0" fillId="0" fontId="4" numFmtId="0" xfId="0" applyAlignment="1" applyFont="1">
      <alignment horizontal="center"/>
    </xf>
    <xf borderId="0" fillId="9" fontId="4" numFmtId="0" xfId="0" applyAlignment="1" applyFill="1" applyFont="1">
      <alignment horizontal="center" readingOrder="0"/>
    </xf>
    <xf borderId="0" fillId="10" fontId="4" numFmtId="0" xfId="0" applyAlignment="1" applyFill="1" applyFont="1">
      <alignment horizontal="center" readingOrder="0"/>
    </xf>
    <xf borderId="0" fillId="11" fontId="4" numFmtId="0" xfId="0" applyAlignment="1" applyFill="1" applyFont="1">
      <alignment horizontal="center" readingOrder="0"/>
    </xf>
    <xf borderId="0" fillId="12" fontId="4" numFmtId="0" xfId="0" applyAlignment="1" applyFill="1" applyFont="1">
      <alignment horizontal="center" readingOrder="0"/>
    </xf>
    <xf borderId="0" fillId="13" fontId="4" numFmtId="0" xfId="0" applyAlignment="1" applyFill="1" applyFont="1">
      <alignment horizontal="center" readingOrder="0"/>
    </xf>
    <xf borderId="0" fillId="14" fontId="4" numFmtId="0" xfId="0" applyAlignment="1" applyFill="1" applyFont="1">
      <alignment horizontal="center" readingOrder="0"/>
    </xf>
    <xf borderId="0" fillId="15" fontId="4" numFmtId="0" xfId="0" applyAlignment="1" applyFill="1" applyFont="1">
      <alignment horizontal="center" readingOrder="0"/>
    </xf>
    <xf borderId="0" fillId="16" fontId="4" numFmtId="0" xfId="0" applyAlignment="1" applyFill="1" applyFont="1">
      <alignment horizontal="center" readingOrder="0"/>
    </xf>
    <xf borderId="0" fillId="17" fontId="4" numFmtId="0" xfId="0" applyAlignment="1" applyFill="1" applyFont="1">
      <alignment horizontal="center" readingOrder="0"/>
    </xf>
    <xf borderId="0" fillId="18" fontId="4" numFmtId="0" xfId="0" applyAlignment="1" applyFill="1" applyFont="1">
      <alignment horizontal="center" readingOrder="0"/>
    </xf>
    <xf borderId="0" fillId="9" fontId="4" numFmtId="167" xfId="0" applyAlignment="1" applyFont="1" applyNumberFormat="1">
      <alignment horizontal="right"/>
    </xf>
    <xf borderId="0" fillId="10" fontId="4" numFmtId="167" xfId="0" applyAlignment="1" applyFont="1" applyNumberFormat="1">
      <alignment horizontal="right" readingOrder="0"/>
    </xf>
    <xf borderId="0" fillId="11" fontId="4" numFmtId="167" xfId="0" applyAlignment="1" applyFont="1" applyNumberFormat="1">
      <alignment horizontal="right" readingOrder="0"/>
    </xf>
    <xf borderId="0" fillId="12" fontId="4" numFmtId="167" xfId="0" applyAlignment="1" applyFont="1" applyNumberFormat="1">
      <alignment horizontal="right" readingOrder="0"/>
    </xf>
    <xf borderId="0" fillId="13" fontId="4" numFmtId="167" xfId="0" applyAlignment="1" applyFont="1" applyNumberFormat="1">
      <alignment horizontal="right" readingOrder="0"/>
    </xf>
    <xf borderId="0" fillId="14" fontId="4" numFmtId="167" xfId="0" applyAlignment="1" applyFont="1" applyNumberFormat="1">
      <alignment horizontal="right" readingOrder="0"/>
    </xf>
    <xf borderId="0" fillId="15" fontId="4" numFmtId="167" xfId="0" applyAlignment="1" applyFont="1" applyNumberFormat="1">
      <alignment horizontal="right" readingOrder="0"/>
    </xf>
    <xf borderId="0" fillId="16" fontId="4" numFmtId="167" xfId="0" applyAlignment="1" applyFont="1" applyNumberFormat="1">
      <alignment horizontal="right" readingOrder="0"/>
    </xf>
    <xf borderId="0" fillId="17" fontId="4" numFmtId="167" xfId="0" applyAlignment="1" applyFont="1" applyNumberFormat="1">
      <alignment horizontal="right" readingOrder="0"/>
    </xf>
    <xf borderId="0" fillId="18" fontId="4" numFmtId="167" xfId="0" applyAlignment="1" applyFont="1" applyNumberFormat="1">
      <alignment horizontal="right" readingOrder="0"/>
    </xf>
    <xf borderId="0" fillId="10" fontId="4" numFmtId="167" xfId="0" applyAlignment="1" applyFont="1" applyNumberFormat="1">
      <alignment horizontal="right"/>
    </xf>
    <xf borderId="0" fillId="11" fontId="4" numFmtId="167" xfId="0" applyAlignment="1" applyFont="1" applyNumberFormat="1">
      <alignment horizontal="right"/>
    </xf>
    <xf borderId="0" fillId="12" fontId="4" numFmtId="167" xfId="0" applyAlignment="1" applyFont="1" applyNumberFormat="1">
      <alignment horizontal="right"/>
    </xf>
    <xf borderId="0" fillId="13" fontId="4" numFmtId="167" xfId="0" applyAlignment="1" applyFont="1" applyNumberFormat="1">
      <alignment horizontal="right"/>
    </xf>
    <xf borderId="0" fillId="14" fontId="4" numFmtId="167" xfId="0" applyAlignment="1" applyFont="1" applyNumberFormat="1">
      <alignment horizontal="right"/>
    </xf>
    <xf borderId="0" fillId="15" fontId="4" numFmtId="167" xfId="0" applyAlignment="1" applyFont="1" applyNumberFormat="1">
      <alignment horizontal="right"/>
    </xf>
    <xf borderId="0" fillId="16" fontId="4" numFmtId="167" xfId="0" applyAlignment="1" applyFont="1" applyNumberFormat="1">
      <alignment horizontal="right"/>
    </xf>
    <xf borderId="0" fillId="17" fontId="4" numFmtId="167" xfId="0" applyAlignment="1" applyFont="1" applyNumberFormat="1">
      <alignment horizontal="right"/>
    </xf>
    <xf borderId="0" fillId="18" fontId="4" numFmtId="167" xfId="0" applyAlignment="1" applyFont="1" applyNumberFormat="1">
      <alignment horizontal="right"/>
    </xf>
    <xf borderId="0" fillId="0" fontId="4" numFmtId="167" xfId="0" applyFont="1" applyNumberFormat="1"/>
    <xf borderId="0" fillId="9" fontId="4" numFmtId="0" xfId="0" applyAlignment="1" applyFont="1">
      <alignment horizontal="center" readingOrder="0" vertical="center"/>
    </xf>
    <xf borderId="0" fillId="9" fontId="4" numFmtId="0" xfId="0" applyAlignment="1" applyFont="1">
      <alignment readingOrder="0"/>
    </xf>
    <xf borderId="0" fillId="9" fontId="4" numFmtId="167" xfId="0" applyAlignment="1" applyFont="1" applyNumberFormat="1">
      <alignment readingOrder="0"/>
    </xf>
    <xf borderId="0" fillId="0" fontId="4" numFmtId="167" xfId="0" applyAlignment="1" applyFont="1" applyNumberFormat="1">
      <alignment readingOrder="0"/>
    </xf>
    <xf borderId="0" fillId="9" fontId="4" numFmtId="167" xfId="0" applyFont="1" applyNumberFormat="1"/>
    <xf borderId="0" fillId="9" fontId="4" numFmtId="0" xfId="0" applyFont="1"/>
    <xf borderId="0" fillId="10" fontId="4" numFmtId="0" xfId="0" applyAlignment="1" applyFont="1">
      <alignment horizontal="center" readingOrder="0" vertical="center"/>
    </xf>
    <xf borderId="0" fillId="10" fontId="4" numFmtId="0" xfId="0" applyAlignment="1" applyFont="1">
      <alignment readingOrder="0"/>
    </xf>
    <xf borderId="0" fillId="10" fontId="4" numFmtId="167" xfId="0" applyAlignment="1" applyFont="1" applyNumberFormat="1">
      <alignment readingOrder="0"/>
    </xf>
    <xf borderId="0" fillId="10" fontId="4" numFmtId="167" xfId="0" applyFont="1" applyNumberFormat="1"/>
    <xf borderId="0" fillId="10" fontId="4" numFmtId="0" xfId="0" applyFont="1"/>
    <xf borderId="0" fillId="11" fontId="4" numFmtId="0" xfId="0" applyAlignment="1" applyFont="1">
      <alignment horizontal="center" readingOrder="0" vertical="center"/>
    </xf>
    <xf borderId="0" fillId="11" fontId="4" numFmtId="0" xfId="0" applyAlignment="1" applyFont="1">
      <alignment readingOrder="0"/>
    </xf>
    <xf borderId="0" fillId="11" fontId="4" numFmtId="167" xfId="0" applyAlignment="1" applyFont="1" applyNumberFormat="1">
      <alignment readingOrder="0"/>
    </xf>
    <xf borderId="0" fillId="11" fontId="4" numFmtId="167" xfId="0" applyFont="1" applyNumberFormat="1"/>
    <xf borderId="0" fillId="11" fontId="4" numFmtId="0" xfId="0" applyFont="1"/>
    <xf borderId="0" fillId="12" fontId="4" numFmtId="0" xfId="0" applyAlignment="1" applyFont="1">
      <alignment horizontal="center" readingOrder="0" vertical="center"/>
    </xf>
    <xf borderId="0" fillId="12" fontId="4" numFmtId="0" xfId="0" applyAlignment="1" applyFont="1">
      <alignment readingOrder="0"/>
    </xf>
    <xf borderId="0" fillId="12" fontId="4" numFmtId="167" xfId="0" applyAlignment="1" applyFont="1" applyNumberFormat="1">
      <alignment readingOrder="0"/>
    </xf>
    <xf borderId="0" fillId="12" fontId="4" numFmtId="167" xfId="0" applyFont="1" applyNumberFormat="1"/>
    <xf borderId="0" fillId="12" fontId="4" numFmtId="0" xfId="0" applyFont="1"/>
    <xf borderId="0" fillId="13" fontId="4" numFmtId="0" xfId="0" applyAlignment="1" applyFont="1">
      <alignment horizontal="center" readingOrder="0" vertical="center"/>
    </xf>
    <xf borderId="0" fillId="13" fontId="4" numFmtId="0" xfId="0" applyAlignment="1" applyFont="1">
      <alignment readingOrder="0"/>
    </xf>
    <xf borderId="0" fillId="13" fontId="4" numFmtId="167" xfId="0" applyAlignment="1" applyFont="1" applyNumberFormat="1">
      <alignment readingOrder="0"/>
    </xf>
    <xf borderId="0" fillId="19" fontId="4" numFmtId="0" xfId="0" applyAlignment="1" applyFill="1" applyFont="1">
      <alignment horizontal="center" readingOrder="0" vertical="center"/>
    </xf>
    <xf borderId="0" fillId="13" fontId="4" numFmtId="167" xfId="0" applyFont="1" applyNumberFormat="1"/>
    <xf borderId="0" fillId="13" fontId="4" numFmtId="0" xfId="0" applyFont="1"/>
    <xf borderId="0" fillId="14" fontId="4" numFmtId="0" xfId="0" applyAlignment="1" applyFont="1">
      <alignment horizontal="center" readingOrder="0" vertical="center"/>
    </xf>
    <xf borderId="0" fillId="14" fontId="4" numFmtId="0" xfId="0" applyAlignment="1" applyFont="1">
      <alignment readingOrder="0"/>
    </xf>
    <xf borderId="0" fillId="14" fontId="4" numFmtId="167" xfId="0" applyAlignment="1" applyFont="1" applyNumberFormat="1">
      <alignment readingOrder="0"/>
    </xf>
    <xf borderId="0" fillId="14" fontId="4" numFmtId="167" xfId="0" applyFont="1" applyNumberFormat="1"/>
    <xf borderId="0" fillId="14" fontId="4" numFmtId="0" xfId="0" applyFont="1"/>
    <xf borderId="0" fillId="15" fontId="4" numFmtId="0" xfId="0" applyAlignment="1" applyFont="1">
      <alignment horizontal="center" readingOrder="0" vertical="center"/>
    </xf>
    <xf borderId="0" fillId="15" fontId="4" numFmtId="0" xfId="0" applyAlignment="1" applyFont="1">
      <alignment readingOrder="0"/>
    </xf>
    <xf borderId="0" fillId="15" fontId="4" numFmtId="167" xfId="0" applyAlignment="1" applyFont="1" applyNumberFormat="1">
      <alignment readingOrder="0"/>
    </xf>
    <xf borderId="0" fillId="15" fontId="4" numFmtId="167" xfId="0" applyFont="1" applyNumberFormat="1"/>
    <xf borderId="0" fillId="15" fontId="4" numFmtId="0" xfId="0" applyFont="1"/>
    <xf borderId="0" fillId="16" fontId="4" numFmtId="0" xfId="0" applyAlignment="1" applyFont="1">
      <alignment horizontal="center" readingOrder="0" vertical="center"/>
    </xf>
    <xf borderId="0" fillId="16" fontId="4" numFmtId="0" xfId="0" applyAlignment="1" applyFont="1">
      <alignment readingOrder="0"/>
    </xf>
    <xf borderId="0" fillId="16" fontId="4" numFmtId="167" xfId="0" applyAlignment="1" applyFont="1" applyNumberFormat="1">
      <alignment readingOrder="0"/>
    </xf>
    <xf borderId="0" fillId="16" fontId="4" numFmtId="167" xfId="0" applyFont="1" applyNumberFormat="1"/>
    <xf borderId="0" fillId="16" fontId="4" numFmtId="0" xfId="0" applyFont="1"/>
    <xf borderId="0" fillId="20" fontId="4" numFmtId="0" xfId="0" applyAlignment="1" applyFill="1" applyFont="1">
      <alignment horizontal="center" readingOrder="0" vertical="center"/>
    </xf>
    <xf borderId="0" fillId="20" fontId="4" numFmtId="0" xfId="0" applyAlignment="1" applyFont="1">
      <alignment readingOrder="0"/>
    </xf>
    <xf borderId="0" fillId="20" fontId="4" numFmtId="167" xfId="0" applyAlignment="1" applyFont="1" applyNumberFormat="1">
      <alignment readingOrder="0"/>
    </xf>
    <xf borderId="0" fillId="20" fontId="4" numFmtId="167" xfId="0" applyFont="1" applyNumberFormat="1"/>
    <xf borderId="0" fillId="20" fontId="4" numFmtId="0" xfId="0" applyFont="1"/>
    <xf borderId="0" fillId="18" fontId="4" numFmtId="0" xfId="0" applyAlignment="1" applyFont="1">
      <alignment horizontal="center" readingOrder="0" vertical="center"/>
    </xf>
    <xf borderId="0" fillId="18" fontId="4" numFmtId="0" xfId="0" applyAlignment="1" applyFont="1">
      <alignment readingOrder="0"/>
    </xf>
    <xf borderId="0" fillId="18" fontId="4" numFmtId="167" xfId="0" applyAlignment="1" applyFont="1" applyNumberFormat="1">
      <alignment readingOrder="0"/>
    </xf>
    <xf borderId="0" fillId="18" fontId="4" numFmtId="167" xfId="0" applyFont="1" applyNumberFormat="1"/>
    <xf borderId="0" fillId="18" fontId="4" numFmtId="0" xfId="0" applyFont="1"/>
  </cellXfs>
  <cellStyles count="1">
    <cellStyle xfId="0" name="Normal" builtinId="0"/>
  </cellStyles>
  <dxfs count="25">
    <dxf>
      <font/>
      <fill>
        <patternFill patternType="solid">
          <fgColor rgb="FF000000"/>
          <bgColor rgb="FF000000"/>
        </patternFill>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solid">
          <fgColor rgb="FFBC8484"/>
          <bgColor rgb="FFBC8484"/>
        </patternFill>
      </fill>
      <border/>
    </dxf>
    <dxf>
      <font>
        <color rgb="FFFFFFFF"/>
      </font>
      <fill>
        <patternFill patternType="solid">
          <fgColor rgb="FFA61C00"/>
          <bgColor rgb="FFA61C00"/>
        </patternFill>
      </fill>
      <border/>
    </dxf>
    <dxf>
      <font>
        <color rgb="FF000000"/>
      </font>
      <fill>
        <patternFill patternType="solid">
          <fgColor rgb="FFE06666"/>
          <bgColor rgb="FFE06666"/>
        </patternFill>
      </fill>
      <border/>
    </dxf>
    <dxf>
      <font>
        <color theme="1"/>
      </font>
      <fill>
        <patternFill patternType="solid">
          <fgColor rgb="FFFFD966"/>
          <bgColor rgb="FFFFD966"/>
        </patternFill>
      </fill>
      <border/>
    </dxf>
    <dxf>
      <font>
        <color rgb="FF000000"/>
      </font>
      <fill>
        <patternFill patternType="solid">
          <fgColor rgb="FF93C47D"/>
          <bgColor rgb="FF93C47D"/>
        </patternFill>
      </fill>
      <border/>
    </dxf>
    <dxf>
      <font>
        <color theme="1"/>
      </font>
      <fill>
        <patternFill patternType="solid">
          <fgColor rgb="FF33FFDA"/>
          <bgColor rgb="FF33FFDA"/>
        </patternFill>
      </fill>
      <border/>
    </dxf>
    <dxf>
      <font>
        <color rgb="FFFFFFFF"/>
      </font>
      <fill>
        <patternFill patternType="solid">
          <fgColor rgb="FF3D85C6"/>
          <bgColor rgb="FF3D85C6"/>
        </patternFill>
      </fill>
      <border/>
    </dxf>
    <dxf>
      <font>
        <color rgb="FFFFFFFF"/>
      </font>
      <fill>
        <patternFill patternType="solid">
          <fgColor rgb="FF674EA7"/>
          <bgColor rgb="FF674EA7"/>
        </patternFill>
      </fill>
      <border/>
    </dxf>
    <dxf>
      <font>
        <color rgb="FFFFFFFF"/>
      </font>
      <fill>
        <patternFill patternType="solid">
          <fgColor rgb="FFA64D79"/>
          <bgColor rgb="FFA64D79"/>
        </patternFill>
      </fill>
      <border/>
    </dxf>
    <dxf>
      <font/>
      <fill>
        <patternFill patternType="solid">
          <fgColor rgb="FF34A853"/>
          <bgColor rgb="FF34A853"/>
        </patternFill>
      </fill>
      <border/>
    </dxf>
    <dxf>
      <font/>
      <fill>
        <patternFill patternType="solid">
          <fgColor rgb="FFEA4335"/>
          <bgColor rgb="FFEA4335"/>
        </patternFill>
      </fill>
      <border/>
    </dxf>
    <dxf>
      <font/>
      <fill>
        <patternFill patternType="solid">
          <fgColor rgb="FF33FFDA"/>
          <bgColor rgb="FF33FFDA"/>
        </patternFill>
      </fill>
      <border/>
    </dxf>
    <dxf>
      <font/>
      <fill>
        <patternFill patternType="solid">
          <fgColor rgb="FFFF00FF"/>
          <bgColor rgb="FFFF00FF"/>
        </patternFill>
      </fill>
      <border/>
    </dxf>
    <dxf>
      <font/>
      <fill>
        <patternFill patternType="solid">
          <fgColor rgb="FF8E7CC3"/>
          <bgColor rgb="FF8E7CC3"/>
        </patternFill>
      </fill>
      <border/>
    </dxf>
    <dxf>
      <font/>
      <fill>
        <patternFill patternType="solid">
          <fgColor rgb="FF93C47D"/>
          <bgColor rgb="FF93C47D"/>
        </patternFill>
      </fill>
      <border/>
    </dxf>
    <dxf>
      <font/>
      <fill>
        <patternFill patternType="solid">
          <fgColor rgb="FF6D9EEB"/>
          <bgColor rgb="FF6D9EEB"/>
        </patternFill>
      </fill>
      <border/>
    </dxf>
    <dxf>
      <font/>
      <fill>
        <patternFill patternType="solid">
          <fgColor rgb="FFF6B26B"/>
          <bgColor rgb="FFF6B26B"/>
        </patternFill>
      </fill>
      <border/>
    </dxf>
    <dxf>
      <font/>
      <fill>
        <patternFill patternType="solid">
          <fgColor rgb="FFE06666"/>
          <bgColor rgb="FFE06666"/>
        </patternFill>
      </fill>
      <border/>
    </dxf>
    <dxf>
      <font>
        <color theme="1"/>
      </font>
      <fill>
        <patternFill patternType="solid">
          <fgColor rgb="FFCC4125"/>
          <bgColor rgb="FFCC4125"/>
        </patternFill>
      </fill>
      <border/>
    </dxf>
    <dxf>
      <font>
        <color rgb="FF000000"/>
      </font>
      <fill>
        <patternFill patternType="solid">
          <fgColor rgb="FFF4CCCC"/>
          <bgColor rgb="FFF4CCCC"/>
        </patternFill>
      </fill>
      <border/>
    </dxf>
    <dxf>
      <font/>
      <fill>
        <patternFill patternType="solid">
          <fgColor rgb="FFB7E1CD"/>
          <bgColor rgb="FFB7E1CD"/>
        </patternFill>
      </fill>
      <border/>
    </dxf>
  </dxfs>
  <tableStyles count="1">
    <tableStyle count="2" pivot="0" name="Glossary-style">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3:E45" displayName="Table_1" name="Table_1" id="1">
  <tableColumns count="4">
    <tableColumn name="Column1" id="1"/>
    <tableColumn name="Column2" id="2"/>
    <tableColumn name="Column3" id="3"/>
    <tableColumn name="Column4" id="4"/>
  </tableColumns>
  <tableStyleInfo name="Glossary-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Pythagorean_expectation" TargetMode="External"/><Relationship Id="rId2" Type="http://schemas.openxmlformats.org/officeDocument/2006/relationships/drawing" Target="../drawings/drawing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8"/>
    <col customWidth="1" min="3" max="3" width="15.75"/>
    <col customWidth="1" min="4" max="4" width="62.5"/>
    <col customWidth="1" min="5" max="5" width="39.5"/>
    <col customWidth="1" min="6" max="6" width="1.38"/>
  </cols>
  <sheetData>
    <row r="1" ht="7.5" customHeight="1">
      <c r="A1" s="1"/>
      <c r="B1" s="2"/>
      <c r="C1" s="2"/>
      <c r="D1" s="1"/>
      <c r="E1" s="3"/>
      <c r="F1" s="1"/>
    </row>
    <row r="2">
      <c r="A2" s="1"/>
      <c r="B2" s="4" t="s">
        <v>0</v>
      </c>
      <c r="C2" s="5" t="s">
        <v>1</v>
      </c>
      <c r="D2" s="6" t="s">
        <v>2</v>
      </c>
      <c r="E2" s="7" t="s">
        <v>3</v>
      </c>
      <c r="F2" s="1"/>
    </row>
    <row r="3">
      <c r="A3" s="1"/>
      <c r="B3" s="8" t="s">
        <v>4</v>
      </c>
      <c r="C3" s="9" t="s">
        <v>5</v>
      </c>
      <c r="D3" s="10" t="s">
        <v>6</v>
      </c>
      <c r="E3" s="11" t="s">
        <v>7</v>
      </c>
      <c r="F3" s="1"/>
    </row>
    <row r="4">
      <c r="A4" s="1"/>
      <c r="B4" s="12" t="s">
        <v>8</v>
      </c>
      <c r="C4" s="13" t="s">
        <v>9</v>
      </c>
      <c r="D4" s="14" t="s">
        <v>10</v>
      </c>
      <c r="E4" s="15" t="s">
        <v>11</v>
      </c>
      <c r="F4" s="16"/>
    </row>
    <row r="5">
      <c r="A5" s="1"/>
      <c r="B5" s="8" t="s">
        <v>12</v>
      </c>
      <c r="C5" s="9" t="s">
        <v>13</v>
      </c>
      <c r="F5" s="1"/>
    </row>
    <row r="6">
      <c r="A6" s="1"/>
      <c r="B6" s="12" t="s">
        <v>14</v>
      </c>
      <c r="C6" s="13" t="s">
        <v>15</v>
      </c>
      <c r="F6" s="1"/>
    </row>
    <row r="7">
      <c r="A7" s="1"/>
      <c r="B7" s="8" t="s">
        <v>16</v>
      </c>
      <c r="C7" s="9" t="s">
        <v>17</v>
      </c>
      <c r="F7" s="1"/>
    </row>
    <row r="8">
      <c r="A8" s="1"/>
      <c r="B8" s="12" t="s">
        <v>18</v>
      </c>
      <c r="C8" s="13" t="s">
        <v>19</v>
      </c>
      <c r="D8" s="17" t="s">
        <v>20</v>
      </c>
      <c r="E8" s="15" t="s">
        <v>21</v>
      </c>
      <c r="F8" s="1"/>
    </row>
    <row r="9">
      <c r="A9" s="1"/>
      <c r="B9" s="8" t="s">
        <v>22</v>
      </c>
      <c r="C9" s="9" t="s">
        <v>23</v>
      </c>
      <c r="D9" s="18" t="s">
        <v>24</v>
      </c>
      <c r="E9" s="11" t="s">
        <v>25</v>
      </c>
      <c r="F9" s="1"/>
    </row>
    <row r="10">
      <c r="A10" s="1"/>
      <c r="B10" s="19"/>
      <c r="C10" s="19"/>
      <c r="D10" s="20"/>
      <c r="E10" s="21"/>
      <c r="F10" s="1"/>
    </row>
    <row r="11">
      <c r="A11" s="1"/>
      <c r="B11" s="12" t="s">
        <v>26</v>
      </c>
      <c r="C11" s="13" t="s">
        <v>27</v>
      </c>
      <c r="D11" s="17" t="s">
        <v>28</v>
      </c>
      <c r="E11" s="22" t="str">
        <f t="shared" ref="E11:E15" si="1">CONCATENATE("Total ",LEFT(C11,FIND(" ",C11)),"/",RIGHT(C11,LEN(C11) - (FIND(CHAR(160),SUBSTITUTE(C11," ",CHAR(160),2)) - 1)),"s Played")</f>
        <v>Total Points / Games Played</v>
      </c>
      <c r="F11" s="1"/>
    </row>
    <row r="12">
      <c r="A12" s="1"/>
      <c r="B12" s="8" t="s">
        <v>29</v>
      </c>
      <c r="C12" s="9" t="s">
        <v>30</v>
      </c>
      <c r="D12" s="23" t="s">
        <v>31</v>
      </c>
      <c r="E12" s="11" t="str">
        <f t="shared" si="1"/>
        <v>Total Goals / Games Played</v>
      </c>
      <c r="F12" s="1"/>
    </row>
    <row r="13">
      <c r="A13" s="1"/>
      <c r="B13" s="12" t="s">
        <v>32</v>
      </c>
      <c r="C13" s="13" t="s">
        <v>33</v>
      </c>
      <c r="D13" s="17" t="s">
        <v>34</v>
      </c>
      <c r="E13" s="15" t="str">
        <f t="shared" si="1"/>
        <v>Total Assists / Games Played</v>
      </c>
      <c r="F13" s="1"/>
    </row>
    <row r="14">
      <c r="A14" s="1"/>
      <c r="B14" s="8" t="s">
        <v>35</v>
      </c>
      <c r="C14" s="9" t="s">
        <v>36</v>
      </c>
      <c r="D14" s="24" t="s">
        <v>37</v>
      </c>
      <c r="E14" s="25" t="str">
        <f t="shared" si="1"/>
        <v>Total Saves / Games Played</v>
      </c>
      <c r="F14" s="1"/>
    </row>
    <row r="15">
      <c r="A15" s="1"/>
      <c r="B15" s="12" t="s">
        <v>38</v>
      </c>
      <c r="C15" s="13" t="s">
        <v>39</v>
      </c>
      <c r="D15" s="26" t="s">
        <v>40</v>
      </c>
      <c r="E15" s="22" t="str">
        <f t="shared" si="1"/>
        <v>Total Shots / Games Played</v>
      </c>
      <c r="F15" s="1"/>
    </row>
    <row r="16">
      <c r="A16" s="1"/>
      <c r="B16" s="19"/>
      <c r="C16" s="19"/>
      <c r="D16" s="20"/>
      <c r="E16" s="21"/>
      <c r="F16" s="1"/>
    </row>
    <row r="17">
      <c r="A17" s="1"/>
      <c r="B17" s="8" t="s">
        <v>41</v>
      </c>
      <c r="C17" s="9" t="s">
        <v>42</v>
      </c>
      <c r="D17" s="23" t="s">
        <v>43</v>
      </c>
      <c r="E17" s="11" t="s">
        <v>44</v>
      </c>
      <c r="F17" s="1"/>
    </row>
    <row r="18">
      <c r="A18" s="1"/>
      <c r="B18" s="12" t="s">
        <v>45</v>
      </c>
      <c r="C18" s="13" t="s">
        <v>46</v>
      </c>
      <c r="D18" s="17" t="s">
        <v>47</v>
      </c>
      <c r="E18" s="15" t="s">
        <v>48</v>
      </c>
      <c r="F18" s="1"/>
    </row>
    <row r="19">
      <c r="A19" s="1"/>
      <c r="B19" s="8" t="s">
        <v>49</v>
      </c>
      <c r="C19" s="9" t="s">
        <v>50</v>
      </c>
      <c r="D19" s="24" t="s">
        <v>51</v>
      </c>
      <c r="E19" s="27" t="s">
        <v>52</v>
      </c>
      <c r="F19" s="1"/>
    </row>
    <row r="20">
      <c r="A20" s="1"/>
      <c r="B20" s="12" t="s">
        <v>53</v>
      </c>
      <c r="C20" s="13" t="s">
        <v>54</v>
      </c>
      <c r="D20" s="26" t="s">
        <v>55</v>
      </c>
      <c r="E20" s="22" t="s">
        <v>56</v>
      </c>
      <c r="F20" s="1"/>
    </row>
    <row r="21">
      <c r="A21" s="1"/>
      <c r="B21" s="8" t="s">
        <v>57</v>
      </c>
      <c r="C21" s="9" t="s">
        <v>58</v>
      </c>
      <c r="D21" s="24" t="s">
        <v>59</v>
      </c>
      <c r="E21" s="11" t="s">
        <v>60</v>
      </c>
      <c r="F21" s="1"/>
    </row>
    <row r="22">
      <c r="A22" s="1"/>
      <c r="B22" s="19"/>
      <c r="C22" s="19"/>
      <c r="D22" s="20"/>
      <c r="E22" s="21"/>
      <c r="F22" s="1"/>
    </row>
    <row r="23">
      <c r="A23" s="1"/>
      <c r="B23" s="12" t="str">
        <f t="array" ref="B23:B27">"O"&amp;B11:B15</f>
        <v>OPPG</v>
      </c>
      <c r="C23" s="13" t="str">
        <f t="array" ref="C23:C27">"Opponent's "&amp;C11:C15</f>
        <v>Opponent's Points Per Game</v>
      </c>
      <c r="D23" s="17" t="s">
        <v>61</v>
      </c>
      <c r="F23" s="1"/>
    </row>
    <row r="24">
      <c r="A24" s="1"/>
      <c r="B24" s="8" t="s">
        <v>62</v>
      </c>
      <c r="C24" s="9" t="s">
        <v>63</v>
      </c>
      <c r="D24" s="23" t="s">
        <v>64</v>
      </c>
      <c r="F24" s="1"/>
    </row>
    <row r="25">
      <c r="A25" s="1"/>
      <c r="B25" s="12" t="s">
        <v>65</v>
      </c>
      <c r="C25" s="13" t="s">
        <v>66</v>
      </c>
      <c r="D25" s="17" t="s">
        <v>67</v>
      </c>
      <c r="F25" s="1"/>
    </row>
    <row r="26">
      <c r="A26" s="1"/>
      <c r="B26" s="8" t="s">
        <v>68</v>
      </c>
      <c r="C26" s="9" t="s">
        <v>69</v>
      </c>
      <c r="D26" s="23" t="s">
        <v>70</v>
      </c>
      <c r="F26" s="1"/>
    </row>
    <row r="27">
      <c r="A27" s="1"/>
      <c r="B27" s="12" t="s">
        <v>71</v>
      </c>
      <c r="C27" s="13" t="s">
        <v>72</v>
      </c>
      <c r="D27" s="17" t="s">
        <v>73</v>
      </c>
      <c r="F27" s="1"/>
    </row>
    <row r="28">
      <c r="A28" s="1"/>
      <c r="B28" s="19"/>
      <c r="C28" s="19"/>
      <c r="D28" s="20"/>
      <c r="E28" s="21"/>
      <c r="F28" s="1"/>
    </row>
    <row r="29">
      <c r="A29" s="1"/>
      <c r="B29" s="8" t="str">
        <f t="array" ref="B29:B33">"O"&amp;B17:B21</f>
        <v>OPAPG</v>
      </c>
      <c r="C29" s="9" t="str">
        <f t="array" ref="C29:C33">"Opponent's "&amp;C17:C21</f>
        <v>Opponent's Points Against Per Game</v>
      </c>
      <c r="D29" s="23" t="s">
        <v>74</v>
      </c>
      <c r="F29" s="1"/>
    </row>
    <row r="30">
      <c r="A30" s="1"/>
      <c r="B30" s="12" t="s">
        <v>75</v>
      </c>
      <c r="C30" s="13" t="s">
        <v>76</v>
      </c>
      <c r="D30" s="17" t="s">
        <v>77</v>
      </c>
      <c r="F30" s="1"/>
    </row>
    <row r="31">
      <c r="A31" s="1"/>
      <c r="B31" s="8" t="s">
        <v>78</v>
      </c>
      <c r="C31" s="9" t="s">
        <v>79</v>
      </c>
      <c r="D31" s="23" t="s">
        <v>80</v>
      </c>
      <c r="F31" s="1"/>
    </row>
    <row r="32">
      <c r="A32" s="1"/>
      <c r="B32" s="12" t="s">
        <v>81</v>
      </c>
      <c r="C32" s="13" t="s">
        <v>82</v>
      </c>
      <c r="D32" s="17" t="s">
        <v>83</v>
      </c>
      <c r="F32" s="1"/>
    </row>
    <row r="33">
      <c r="A33" s="1"/>
      <c r="B33" s="8" t="s">
        <v>84</v>
      </c>
      <c r="C33" s="9" t="s">
        <v>85</v>
      </c>
      <c r="D33" s="23" t="s">
        <v>86</v>
      </c>
      <c r="F33" s="1"/>
    </row>
    <row r="34">
      <c r="A34" s="1"/>
      <c r="B34" s="19"/>
      <c r="C34" s="19"/>
      <c r="D34" s="20"/>
      <c r="E34" s="21"/>
      <c r="F34" s="1"/>
    </row>
    <row r="35">
      <c r="A35" s="1"/>
      <c r="B35" s="8" t="s">
        <v>87</v>
      </c>
      <c r="C35" s="9" t="s">
        <v>88</v>
      </c>
      <c r="D35" s="23" t="s">
        <v>89</v>
      </c>
      <c r="E35" s="25" t="s">
        <v>90</v>
      </c>
      <c r="F35" s="1"/>
    </row>
    <row r="36">
      <c r="A36" s="1"/>
      <c r="B36" s="12" t="s">
        <v>91</v>
      </c>
      <c r="C36" s="13" t="s">
        <v>92</v>
      </c>
      <c r="D36" s="17" t="s">
        <v>93</v>
      </c>
      <c r="E36" s="15" t="s">
        <v>94</v>
      </c>
      <c r="F36" s="1"/>
    </row>
    <row r="37">
      <c r="A37" s="1"/>
      <c r="B37" s="8" t="s">
        <v>95</v>
      </c>
      <c r="C37" s="9" t="s">
        <v>96</v>
      </c>
      <c r="D37" s="23" t="s">
        <v>97</v>
      </c>
      <c r="E37" s="25" t="s">
        <v>98</v>
      </c>
      <c r="F37" s="1"/>
    </row>
    <row r="38">
      <c r="A38" s="1"/>
      <c r="B38" s="12" t="s">
        <v>99</v>
      </c>
      <c r="C38" s="13" t="s">
        <v>100</v>
      </c>
      <c r="D38" s="17" t="s">
        <v>101</v>
      </c>
      <c r="E38" s="22" t="s">
        <v>102</v>
      </c>
      <c r="F38" s="1"/>
    </row>
    <row r="39">
      <c r="A39" s="1"/>
      <c r="B39" s="8" t="s">
        <v>103</v>
      </c>
      <c r="C39" s="9" t="s">
        <v>104</v>
      </c>
      <c r="D39" s="23" t="s">
        <v>105</v>
      </c>
      <c r="E39" s="25" t="s">
        <v>106</v>
      </c>
      <c r="F39" s="1"/>
    </row>
    <row r="40">
      <c r="A40" s="1"/>
      <c r="B40" s="19"/>
      <c r="C40" s="19"/>
      <c r="D40" s="20"/>
      <c r="E40" s="21"/>
      <c r="F40" s="1"/>
    </row>
    <row r="41">
      <c r="A41" s="1"/>
      <c r="B41" s="12" t="s">
        <v>107</v>
      </c>
      <c r="C41" s="13" t="s">
        <v>108</v>
      </c>
      <c r="D41" s="17" t="s">
        <v>109</v>
      </c>
      <c r="E41" s="22" t="s">
        <v>110</v>
      </c>
      <c r="F41" s="1"/>
    </row>
    <row r="42">
      <c r="A42" s="1"/>
      <c r="B42" s="8" t="s">
        <v>111</v>
      </c>
      <c r="C42" s="9" t="s">
        <v>112</v>
      </c>
      <c r="D42" s="23" t="s">
        <v>113</v>
      </c>
      <c r="E42" s="11" t="s">
        <v>114</v>
      </c>
      <c r="F42" s="1"/>
    </row>
    <row r="43">
      <c r="A43" s="1"/>
      <c r="B43" s="12" t="s">
        <v>115</v>
      </c>
      <c r="C43" s="13" t="s">
        <v>116</v>
      </c>
      <c r="D43" s="17" t="s">
        <v>117</v>
      </c>
      <c r="E43" s="22" t="s">
        <v>118</v>
      </c>
      <c r="F43" s="1"/>
    </row>
    <row r="44">
      <c r="A44" s="1"/>
      <c r="B44" s="8" t="s">
        <v>119</v>
      </c>
      <c r="C44" s="9" t="s">
        <v>120</v>
      </c>
      <c r="D44" s="23" t="s">
        <v>121</v>
      </c>
      <c r="E44" s="25" t="s">
        <v>122</v>
      </c>
      <c r="F44" s="1"/>
    </row>
    <row r="45">
      <c r="A45" s="1"/>
      <c r="B45" s="12" t="s">
        <v>123</v>
      </c>
      <c r="C45" s="13" t="s">
        <v>124</v>
      </c>
      <c r="D45" s="17" t="s">
        <v>125</v>
      </c>
      <c r="E45" s="22" t="s">
        <v>126</v>
      </c>
      <c r="F45" s="1"/>
    </row>
    <row r="46" ht="7.5" customHeight="1">
      <c r="A46" s="1"/>
      <c r="B46" s="2"/>
      <c r="C46" s="2"/>
      <c r="D46" s="1"/>
      <c r="E46" s="3"/>
      <c r="F46" s="1"/>
    </row>
  </sheetData>
  <conditionalFormatting sqref="A1:C46 D1:E4 F1:F46 D8:D46 E8:E22 E28 E34:E46">
    <cfRule type="containsBlanks" dxfId="0" priority="1">
      <formula>LEN(TRIM(A1))=0</formula>
    </cfRule>
  </conditionalFormatting>
  <hyperlinks>
    <hyperlink r:id="rId1" ref="D9"/>
  </hyperlinks>
  <drawing r:id="rId2"/>
  <tableParts count="1">
    <tablePart r:id="rId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2.63" defaultRowHeight="15.75"/>
  <cols>
    <col customWidth="1" min="1" max="1" width="15.0"/>
    <col customWidth="1" min="2" max="2" width="9.63"/>
    <col customWidth="1" min="4" max="4" width="18.5"/>
    <col customWidth="1" min="5" max="45" width="6.38"/>
  </cols>
  <sheetData>
    <row r="1">
      <c r="A1" s="28" t="s">
        <v>127</v>
      </c>
      <c r="B1" s="29" t="s">
        <v>128</v>
      </c>
      <c r="C1" s="30"/>
      <c r="D1" s="31"/>
      <c r="E1" s="32"/>
      <c r="F1" s="32"/>
      <c r="G1" s="32"/>
      <c r="H1" s="32"/>
      <c r="I1" s="33" t="s">
        <v>129</v>
      </c>
      <c r="O1" s="34"/>
      <c r="P1" s="34"/>
      <c r="Q1" s="34"/>
      <c r="R1" s="34"/>
      <c r="S1" s="32"/>
      <c r="T1" s="34"/>
      <c r="U1" s="34"/>
      <c r="V1" s="34"/>
      <c r="W1" s="34"/>
      <c r="X1" s="32"/>
      <c r="Y1" s="34"/>
      <c r="Z1" s="34"/>
      <c r="AA1" s="34"/>
      <c r="AB1" s="34"/>
      <c r="AC1" s="32"/>
      <c r="AD1" s="34"/>
      <c r="AE1" s="34"/>
      <c r="AF1" s="34"/>
      <c r="AG1" s="34"/>
      <c r="AH1" s="34"/>
      <c r="AI1" s="34"/>
      <c r="AJ1" s="34"/>
      <c r="AK1" s="34"/>
      <c r="AL1" s="34"/>
      <c r="AM1" s="34"/>
      <c r="AN1" s="34"/>
      <c r="AO1" s="34"/>
      <c r="AP1" s="35"/>
      <c r="AQ1" s="34"/>
      <c r="AR1" s="36"/>
      <c r="AS1" s="34"/>
      <c r="AT1" s="37"/>
      <c r="AU1" s="30"/>
      <c r="AV1" s="30"/>
      <c r="AW1" s="30"/>
      <c r="AX1" s="30"/>
      <c r="AY1" s="30"/>
      <c r="AZ1" s="30"/>
    </row>
    <row r="2">
      <c r="A2" s="28" t="s">
        <v>130</v>
      </c>
      <c r="B2" s="29" t="s">
        <v>4</v>
      </c>
      <c r="C2" s="30"/>
      <c r="D2" s="31"/>
      <c r="E2" s="32"/>
      <c r="F2" s="32"/>
      <c r="G2" s="32"/>
      <c r="H2" s="32"/>
      <c r="O2" s="34"/>
      <c r="P2" s="34"/>
      <c r="Q2" s="34"/>
      <c r="R2" s="34"/>
      <c r="S2" s="32"/>
      <c r="T2" s="34"/>
      <c r="U2" s="34"/>
      <c r="V2" s="34"/>
      <c r="W2" s="34"/>
      <c r="X2" s="32"/>
      <c r="Y2" s="34"/>
      <c r="Z2" s="34"/>
      <c r="AA2" s="34"/>
      <c r="AB2" s="34"/>
      <c r="AC2" s="32"/>
      <c r="AD2" s="34"/>
      <c r="AE2" s="34"/>
      <c r="AF2" s="34"/>
      <c r="AG2" s="34"/>
      <c r="AH2" s="34"/>
      <c r="AI2" s="34"/>
      <c r="AJ2" s="34"/>
      <c r="AK2" s="34"/>
      <c r="AL2" s="34"/>
      <c r="AM2" s="34"/>
      <c r="AN2" s="34"/>
      <c r="AO2" s="34"/>
      <c r="AP2" s="35"/>
      <c r="AQ2" s="34"/>
      <c r="AR2" s="36"/>
      <c r="AS2" s="34"/>
      <c r="AT2" s="37"/>
      <c r="AU2" s="30"/>
      <c r="AV2" s="30"/>
      <c r="AW2" s="30"/>
      <c r="AX2" s="30"/>
      <c r="AY2" s="30"/>
      <c r="AZ2" s="30"/>
    </row>
    <row r="3">
      <c r="A3" s="38" t="s">
        <v>131</v>
      </c>
      <c r="B3" s="39" t="b">
        <v>0</v>
      </c>
      <c r="C3" s="30"/>
      <c r="D3" s="31"/>
      <c r="E3" s="32"/>
      <c r="F3" s="32"/>
      <c r="G3" s="32"/>
      <c r="H3" s="32"/>
      <c r="O3" s="34"/>
      <c r="P3" s="34"/>
      <c r="Q3" s="34"/>
      <c r="R3" s="34"/>
      <c r="S3" s="32"/>
      <c r="T3" s="34"/>
      <c r="U3" s="34"/>
      <c r="V3" s="34"/>
      <c r="W3" s="34"/>
      <c r="X3" s="32"/>
      <c r="Y3" s="34"/>
      <c r="Z3" s="34"/>
      <c r="AA3" s="34"/>
      <c r="AB3" s="34"/>
      <c r="AC3" s="32"/>
      <c r="AD3" s="34"/>
      <c r="AE3" s="34"/>
      <c r="AF3" s="34"/>
      <c r="AG3" s="34"/>
      <c r="AH3" s="34"/>
      <c r="AI3" s="34"/>
      <c r="AJ3" s="34"/>
      <c r="AK3" s="34"/>
      <c r="AL3" s="34"/>
      <c r="AM3" s="34"/>
      <c r="AN3" s="34"/>
      <c r="AO3" s="34"/>
      <c r="AP3" s="35"/>
      <c r="AQ3" s="34"/>
      <c r="AR3" s="36"/>
      <c r="AS3" s="34"/>
      <c r="AT3" s="37"/>
      <c r="AU3" s="30"/>
      <c r="AV3" s="30"/>
      <c r="AW3" s="30"/>
      <c r="AX3" s="30"/>
      <c r="AY3" s="30"/>
      <c r="AZ3" s="30"/>
    </row>
    <row r="4">
      <c r="A4" s="30"/>
      <c r="B4" s="30"/>
      <c r="C4" s="30"/>
      <c r="D4" s="31"/>
      <c r="E4" s="32"/>
      <c r="F4" s="32"/>
      <c r="G4" s="32"/>
      <c r="H4" s="32"/>
      <c r="I4" s="40"/>
      <c r="J4" s="41"/>
      <c r="K4" s="40"/>
      <c r="L4" s="42"/>
      <c r="M4" s="42"/>
      <c r="N4" s="32"/>
      <c r="O4" s="34"/>
      <c r="P4" s="34"/>
      <c r="Q4" s="34"/>
      <c r="R4" s="34"/>
      <c r="S4" s="32"/>
      <c r="T4" s="34"/>
      <c r="U4" s="34"/>
      <c r="V4" s="34"/>
      <c r="W4" s="34"/>
      <c r="X4" s="32"/>
      <c r="Y4" s="34"/>
      <c r="Z4" s="34"/>
      <c r="AA4" s="34"/>
      <c r="AB4" s="34"/>
      <c r="AC4" s="32"/>
      <c r="AD4" s="34"/>
      <c r="AE4" s="34"/>
      <c r="AF4" s="34"/>
      <c r="AG4" s="34"/>
      <c r="AH4" s="34"/>
      <c r="AI4" s="34"/>
      <c r="AJ4" s="34"/>
      <c r="AK4" s="34"/>
      <c r="AL4" s="34"/>
      <c r="AM4" s="34"/>
      <c r="AN4" s="34"/>
      <c r="AO4" s="34"/>
      <c r="AP4" s="35"/>
      <c r="AQ4" s="34"/>
      <c r="AR4" s="36"/>
      <c r="AS4" s="34"/>
      <c r="AT4" s="37"/>
      <c r="AU4" s="30"/>
      <c r="AV4" s="30"/>
      <c r="AW4" s="30"/>
      <c r="AX4" s="30"/>
      <c r="AY4" s="30"/>
      <c r="AZ4" s="30"/>
    </row>
    <row r="5">
      <c r="A5" s="43" t="str">
        <f t="array" ref="A5:AQ5">{'Raw Stats Imports'!A1:D1,'Raw Stats Imports'!AV1,'Raw Stats Imports'!AW1,'Raw Stats Imports'!AX1:AY1,'Raw Stats Imports'!E1:AM1}</f>
        <v>Tier</v>
      </c>
      <c r="B5" s="43" t="s">
        <v>132</v>
      </c>
      <c r="C5" s="43" t="s">
        <v>133</v>
      </c>
      <c r="D5" s="44" t="s">
        <v>134</v>
      </c>
      <c r="E5" s="45" t="s">
        <v>4</v>
      </c>
      <c r="F5" s="45" t="s">
        <v>135</v>
      </c>
      <c r="G5" s="45" t="s">
        <v>136</v>
      </c>
      <c r="H5" s="45" t="s">
        <v>137</v>
      </c>
      <c r="I5" s="46" t="s">
        <v>12</v>
      </c>
      <c r="J5" s="47" t="s">
        <v>14</v>
      </c>
      <c r="K5" s="48" t="s">
        <v>16</v>
      </c>
      <c r="L5" s="49" t="s">
        <v>138</v>
      </c>
      <c r="M5" s="49" t="s">
        <v>139</v>
      </c>
      <c r="N5" s="45" t="s">
        <v>26</v>
      </c>
      <c r="O5" s="50" t="s">
        <v>29</v>
      </c>
      <c r="P5" s="50" t="s">
        <v>32</v>
      </c>
      <c r="Q5" s="50" t="s">
        <v>35</v>
      </c>
      <c r="R5" s="50" t="s">
        <v>38</v>
      </c>
      <c r="S5" s="45" t="s">
        <v>41</v>
      </c>
      <c r="T5" s="50" t="s">
        <v>45</v>
      </c>
      <c r="U5" s="50" t="s">
        <v>49</v>
      </c>
      <c r="V5" s="50" t="s">
        <v>53</v>
      </c>
      <c r="W5" s="50" t="s">
        <v>57</v>
      </c>
      <c r="X5" s="45" t="s">
        <v>140</v>
      </c>
      <c r="Y5" s="50" t="s">
        <v>62</v>
      </c>
      <c r="Z5" s="50" t="s">
        <v>65</v>
      </c>
      <c r="AA5" s="50" t="s">
        <v>68</v>
      </c>
      <c r="AB5" s="50" t="s">
        <v>71</v>
      </c>
      <c r="AC5" s="45" t="s">
        <v>141</v>
      </c>
      <c r="AD5" s="50" t="s">
        <v>75</v>
      </c>
      <c r="AE5" s="50" t="s">
        <v>78</v>
      </c>
      <c r="AF5" s="50" t="s">
        <v>81</v>
      </c>
      <c r="AG5" s="50" t="s">
        <v>84</v>
      </c>
      <c r="AH5" s="50" t="s">
        <v>87</v>
      </c>
      <c r="AI5" s="50" t="s">
        <v>91</v>
      </c>
      <c r="AJ5" s="50" t="s">
        <v>95</v>
      </c>
      <c r="AK5" s="50" t="s">
        <v>99</v>
      </c>
      <c r="AL5" s="50" t="s">
        <v>103</v>
      </c>
      <c r="AM5" s="50" t="s">
        <v>107</v>
      </c>
      <c r="AN5" s="50" t="s">
        <v>111</v>
      </c>
      <c r="AO5" s="50" t="s">
        <v>115</v>
      </c>
      <c r="AP5" s="51" t="s">
        <v>119</v>
      </c>
      <c r="AQ5" s="50" t="s">
        <v>123</v>
      </c>
      <c r="AR5" s="52"/>
      <c r="AS5" s="50"/>
      <c r="AT5" s="53"/>
      <c r="AU5" s="43"/>
      <c r="AV5" s="43"/>
      <c r="AW5" s="43"/>
      <c r="AX5" s="43"/>
      <c r="AY5" s="43"/>
      <c r="AZ5" s="43"/>
    </row>
    <row r="6">
      <c r="A6" s="30" t="str">
        <f>IFERROR(__xludf.DUMMYFUNCTION("IFERROR(SORT(FILTER({'Raw Stats Imports'!A2:D1250,'Raw Stats Imports'!AV2:AV1250,'Raw Stats Imports'!AW2:AW1250,'Raw Stats Imports'!AX2:AY1250,'Raw Stats Imports'!E2:AM1250,'Raw Stats Imports'!BB2:BB1250},IF(B1=""All"",'Raw Stats Imports'!A2:A1250&lt;&gt;"""",'"&amp;"Raw Stats Imports'!A2:A1250=B1)),1,1,MATCH(B2,5:5,0),B3))"),"Amateur")</f>
        <v>Amateur</v>
      </c>
      <c r="B6" s="30" t="str">
        <f>IFERROR(__xludf.DUMMYFUNCTION("""COMPUTED_VALUE"""),"RSC007179")</f>
        <v>RSC007179</v>
      </c>
      <c r="C6" s="30" t="str">
        <f>IFERROR(__xludf.DUMMYFUNCTION("""COMPUTED_VALUE"""),"B0A._.")</f>
        <v>B0A._.</v>
      </c>
      <c r="D6" s="31" t="str">
        <f>IFERROR(__xludf.DUMMYFUNCTION("""COMPUTED_VALUE"""),"Aeon Ale")</f>
        <v>Aeon Ale</v>
      </c>
      <c r="E6" s="31">
        <f>IFERROR(__xludf.DUMMYFUNCTION("""COMPUTED_VALUE"""),91.44742993238914)</f>
        <v>91.44742993</v>
      </c>
      <c r="F6" s="31">
        <f>IFERROR(__xludf.DUMMYFUNCTION("""COMPUTED_VALUE"""),20.54691406524016)</f>
        <v>20.54691407</v>
      </c>
      <c r="G6" s="31">
        <f>IFERROR(__xludf.DUMMYFUNCTION("""COMPUTED_VALUE"""),91.92681893663583)</f>
        <v>91.92681894</v>
      </c>
      <c r="H6" s="31">
        <f>IFERROR(__xludf.DUMMYFUNCTION("""COMPUTED_VALUE"""),21.383912220869384)</f>
        <v>21.38391222</v>
      </c>
      <c r="I6" s="54">
        <f>IFERROR(__xludf.DUMMYFUNCTION("""COMPUTED_VALUE"""),12.0)</f>
        <v>12</v>
      </c>
      <c r="J6" s="55">
        <f>IFERROR(__xludf.DUMMYFUNCTION("""COMPUTED_VALUE"""),8.0)</f>
        <v>8</v>
      </c>
      <c r="K6" s="54">
        <f>IFERROR(__xludf.DUMMYFUNCTION("""COMPUTED_VALUE"""),4.0)</f>
        <v>4</v>
      </c>
      <c r="L6" s="56">
        <f>IFERROR(__xludf.DUMMYFUNCTION("""COMPUTED_VALUE"""),0.6666666666666666)</f>
        <v>0.6666666667</v>
      </c>
      <c r="M6" s="56">
        <f>IFERROR(__xludf.DUMMYFUNCTION("""COMPUTED_VALUE"""),0.46875)</f>
        <v>0.46875</v>
      </c>
      <c r="N6" s="31">
        <f>IFERROR(__xludf.DUMMYFUNCTION("""COMPUTED_VALUE"""),399.1666666666667)</f>
        <v>399.1666667</v>
      </c>
      <c r="O6" s="57">
        <f>IFERROR(__xludf.DUMMYFUNCTION("""COMPUTED_VALUE"""),1.25)</f>
        <v>1.25</v>
      </c>
      <c r="P6" s="57">
        <f>IFERROR(__xludf.DUMMYFUNCTION("""COMPUTED_VALUE"""),1.0833333333333333)</f>
        <v>1.083333333</v>
      </c>
      <c r="Q6" s="57">
        <f>IFERROR(__xludf.DUMMYFUNCTION("""COMPUTED_VALUE"""),0.8333333333333334)</f>
        <v>0.8333333333</v>
      </c>
      <c r="R6" s="57">
        <f>IFERROR(__xludf.DUMMYFUNCTION("""COMPUTED_VALUE"""),2.6666666666666665)</f>
        <v>2.666666667</v>
      </c>
      <c r="S6" s="31">
        <f>IFERROR(__xludf.DUMMYFUNCTION("""COMPUTED_VALUE"""),297.5)</f>
        <v>297.5</v>
      </c>
      <c r="T6" s="57">
        <f>IFERROR(__xludf.DUMMYFUNCTION("""COMPUTED_VALUE"""),0.7222222222222222)</f>
        <v>0.7222222222</v>
      </c>
      <c r="U6" s="57">
        <f>IFERROR(__xludf.DUMMYFUNCTION("""COMPUTED_VALUE"""),0.4166666666666667)</f>
        <v>0.4166666667</v>
      </c>
      <c r="V6" s="57">
        <f>IFERROR(__xludf.DUMMYFUNCTION("""COMPUTED_VALUE"""),1.0555555555555554)</f>
        <v>1.055555556</v>
      </c>
      <c r="W6" s="57">
        <f>IFERROR(__xludf.DUMMYFUNCTION("""COMPUTED_VALUE"""),1.8888888888888893)</f>
        <v>1.888888889</v>
      </c>
      <c r="X6" s="31">
        <f>IFERROR(__xludf.DUMMYFUNCTION("""COMPUTED_VALUE"""),275.9467919098633)</f>
        <v>275.9467919</v>
      </c>
      <c r="Y6" s="57">
        <f>IFERROR(__xludf.DUMMYFUNCTION("""COMPUTED_VALUE"""),0.6698919409023657)</f>
        <v>0.6698919409</v>
      </c>
      <c r="Z6" s="57">
        <f>IFERROR(__xludf.DUMMYFUNCTION("""COMPUTED_VALUE"""),0.39269646418804394)</f>
        <v>0.3926964642</v>
      </c>
      <c r="AA6" s="57">
        <f>IFERROR(__xludf.DUMMYFUNCTION("""COMPUTED_VALUE"""),0.8820794163215977)</f>
        <v>0.8820794163</v>
      </c>
      <c r="AB6" s="57">
        <f>IFERROR(__xludf.DUMMYFUNCTION("""COMPUTED_VALUE"""),1.8548274425980926)</f>
        <v>1.854827443</v>
      </c>
      <c r="AC6" s="31">
        <f>IFERROR(__xludf.DUMMYFUNCTION("""COMPUTED_VALUE"""),316.9854641738462)</f>
        <v>316.9854642</v>
      </c>
      <c r="AD6" s="57">
        <f>IFERROR(__xludf.DUMMYFUNCTION("""COMPUTED_VALUE"""),0.9512453752797243)</f>
        <v>0.9512453753</v>
      </c>
      <c r="AE6" s="57">
        <f>IFERROR(__xludf.DUMMYFUNCTION("""COMPUTED_VALUE"""),0.5304993822101547)</f>
        <v>0.5304993822</v>
      </c>
      <c r="AF6" s="57">
        <f>IFERROR(__xludf.DUMMYFUNCTION("""COMPUTED_VALUE"""),0.833712937913018)</f>
        <v>0.8337129379</v>
      </c>
      <c r="AG6" s="57">
        <f>IFERROR(__xludf.DUMMYFUNCTION("""COMPUTED_VALUE"""),2.2665421581052425)</f>
        <v>2.266542158</v>
      </c>
      <c r="AH6" s="57">
        <f>IFERROR(__xludf.DUMMYFUNCTION("""COMPUTED_VALUE"""),1.259258583692498)</f>
        <v>1.259258584</v>
      </c>
      <c r="AI6" s="57">
        <f>IFERROR(__xludf.DUMMYFUNCTION("""COMPUTED_VALUE"""),1.3140668354181733)</f>
        <v>1.314066835</v>
      </c>
      <c r="AJ6" s="57">
        <f>IFERROR(__xludf.DUMMYFUNCTION("""COMPUTED_VALUE"""),2.0421010271868254)</f>
        <v>2.042101027</v>
      </c>
      <c r="AK6" s="57">
        <f>IFERROR(__xludf.DUMMYFUNCTION("""COMPUTED_VALUE"""),0.9995446819133754)</f>
        <v>0.9995446819</v>
      </c>
      <c r="AL6" s="57">
        <f>IFERROR(__xludf.DUMMYFUNCTION("""COMPUTED_VALUE"""),1.1765352156061)</f>
        <v>1.176535216</v>
      </c>
      <c r="AM6" s="57">
        <f>IFERROR(__xludf.DUMMYFUNCTION("""COMPUTED_VALUE"""),1.0781063912392828)</f>
        <v>1.078106391</v>
      </c>
      <c r="AN6" s="57">
        <f>IFERROR(__xludf.DUMMYFUNCTION("""COMPUTED_VALUE"""),1.0781174964567657)</f>
        <v>1.078117496</v>
      </c>
      <c r="AO6" s="57">
        <f>IFERROR(__xludf.DUMMYFUNCTION("""COMPUTED_VALUE"""),1.061040026240584)</f>
        <v>1.061040026</v>
      </c>
      <c r="AP6" s="35">
        <f>IFERROR(__xludf.DUMMYFUNCTION("""COMPUTED_VALUE"""),1.1966672569657946)</f>
        <v>1.196667257</v>
      </c>
      <c r="AQ6" s="57">
        <f>IFERROR(__xludf.DUMMYFUNCTION("""COMPUTED_VALUE"""),1.0183636738968485)</f>
        <v>1.018363674</v>
      </c>
      <c r="AR6" s="36" t="b">
        <f>IFERROR(__xludf.DUMMYFUNCTION("""COMPUTED_VALUE"""),TRUE)</f>
        <v>1</v>
      </c>
      <c r="AS6" s="57"/>
      <c r="AT6" s="37"/>
      <c r="AU6" s="30"/>
      <c r="AV6" s="30"/>
      <c r="AW6" s="30"/>
      <c r="AX6" s="30"/>
      <c r="AY6" s="30"/>
      <c r="AZ6" s="30"/>
    </row>
    <row r="7">
      <c r="A7" s="30" t="str">
        <f>IFERROR(__xludf.DUMMYFUNCTION("""COMPUTED_VALUE"""),"Amateur")</f>
        <v>Amateur</v>
      </c>
      <c r="B7" s="30" t="str">
        <f>IFERROR(__xludf.DUMMYFUNCTION("""COMPUTED_VALUE"""),"RSC007464")</f>
        <v>RSC007464</v>
      </c>
      <c r="C7" s="58" t="str">
        <f>IFERROR(__xludf.DUMMYFUNCTION("""COMPUTED_VALUE"""),"MoonKnight2")</f>
        <v>MoonKnight2</v>
      </c>
      <c r="D7" s="31" t="str">
        <f>IFERROR(__xludf.DUMMYFUNCTION("""COMPUTED_VALUE"""),"Hyenas")</f>
        <v>Hyenas</v>
      </c>
      <c r="E7" s="31">
        <f>IFERROR(__xludf.DUMMYFUNCTION("""COMPUTED_VALUE"""),88.44437142676674)</f>
        <v>88.44437143</v>
      </c>
      <c r="F7" s="31">
        <f>IFERROR(__xludf.DUMMYFUNCTION("""COMPUTED_VALUE"""),16.115558452150452)</f>
        <v>16.11555845</v>
      </c>
      <c r="G7" s="31">
        <f>IFERROR(__xludf.DUMMYFUNCTION("""COMPUTED_VALUE"""),80.80420711624855)</f>
        <v>80.80420712</v>
      </c>
      <c r="H7" s="31">
        <f>IFERROR(__xludf.DUMMYFUNCTION("""COMPUTED_VALUE"""),9.179102411649781)</f>
        <v>9.179102412</v>
      </c>
      <c r="I7" s="54">
        <f>IFERROR(__xludf.DUMMYFUNCTION("""COMPUTED_VALUE"""),46.0)</f>
        <v>46</v>
      </c>
      <c r="J7" s="55">
        <f>IFERROR(__xludf.DUMMYFUNCTION("""COMPUTED_VALUE"""),33.0)</f>
        <v>33</v>
      </c>
      <c r="K7" s="54">
        <f>IFERROR(__xludf.DUMMYFUNCTION("""COMPUTED_VALUE"""),13.0)</f>
        <v>13</v>
      </c>
      <c r="L7" s="56">
        <f>IFERROR(__xludf.DUMMYFUNCTION("""COMPUTED_VALUE"""),0.717391304347826)</f>
        <v>0.7173913043</v>
      </c>
      <c r="M7" s="56">
        <f>IFERROR(__xludf.DUMMYFUNCTION("""COMPUTED_VALUE"""),0.3834586466165414)</f>
        <v>0.3834586466</v>
      </c>
      <c r="N7" s="31">
        <f>IFERROR(__xludf.DUMMYFUNCTION("""COMPUTED_VALUE"""),378.4130434782609)</f>
        <v>378.4130435</v>
      </c>
      <c r="O7" s="57">
        <f>IFERROR(__xludf.DUMMYFUNCTION("""COMPUTED_VALUE"""),1.108695652173913)</f>
        <v>1.108695652</v>
      </c>
      <c r="P7" s="57">
        <f>IFERROR(__xludf.DUMMYFUNCTION("""COMPUTED_VALUE"""),0.6304347826086957)</f>
        <v>0.6304347826</v>
      </c>
      <c r="Q7" s="57">
        <f>IFERROR(__xludf.DUMMYFUNCTION("""COMPUTED_VALUE"""),1.2826086956521738)</f>
        <v>1.282608696</v>
      </c>
      <c r="R7" s="57">
        <f>IFERROR(__xludf.DUMMYFUNCTION("""COMPUTED_VALUE"""),2.891304347826087)</f>
        <v>2.891304348</v>
      </c>
      <c r="S7" s="31">
        <f>IFERROR(__xludf.DUMMYFUNCTION("""COMPUTED_VALUE"""),263.1865942028985)</f>
        <v>263.1865942</v>
      </c>
      <c r="T7" s="57">
        <f>IFERROR(__xludf.DUMMYFUNCTION("""COMPUTED_VALUE"""),0.5054347826086958)</f>
        <v>0.5054347826</v>
      </c>
      <c r="U7" s="57">
        <f>IFERROR(__xludf.DUMMYFUNCTION("""COMPUTED_VALUE"""),0.2608695652173913)</f>
        <v>0.2608695652</v>
      </c>
      <c r="V7" s="57">
        <f>IFERROR(__xludf.DUMMYFUNCTION("""COMPUTED_VALUE"""),1.1068840579710144)</f>
        <v>1.106884058</v>
      </c>
      <c r="W7" s="57">
        <f>IFERROR(__xludf.DUMMYFUNCTION("""COMPUTED_VALUE"""),1.6793478260869568)</f>
        <v>1.679347826</v>
      </c>
      <c r="X7" s="31">
        <f>IFERROR(__xludf.DUMMYFUNCTION("""COMPUTED_VALUE"""),289.64555463951035)</f>
        <v>289.6455546</v>
      </c>
      <c r="Y7" s="57">
        <f>IFERROR(__xludf.DUMMYFUNCTION("""COMPUTED_VALUE"""),0.7236233216075989)</f>
        <v>0.7236233216</v>
      </c>
      <c r="Z7" s="57">
        <f>IFERROR(__xludf.DUMMYFUNCTION("""COMPUTED_VALUE"""),0.4230251178811884)</f>
        <v>0.4230251179</v>
      </c>
      <c r="AA7" s="57">
        <f>IFERROR(__xludf.DUMMYFUNCTION("""COMPUTED_VALUE"""),0.9005967261372857)</f>
        <v>0.9005967261</v>
      </c>
      <c r="AB7" s="57">
        <f>IFERROR(__xludf.DUMMYFUNCTION("""COMPUTED_VALUE"""),2.007220543233405)</f>
        <v>2.007220543</v>
      </c>
      <c r="AC7" s="31">
        <f>IFERROR(__xludf.DUMMYFUNCTION("""COMPUTED_VALUE"""),299.9670546138858)</f>
        <v>299.9670546</v>
      </c>
      <c r="AD7" s="57">
        <f>IFERROR(__xludf.DUMMYFUNCTION("""COMPUTED_VALUE"""),0.8056371275514359)</f>
        <v>0.8056371276</v>
      </c>
      <c r="AE7" s="57">
        <f>IFERROR(__xludf.DUMMYFUNCTION("""COMPUTED_VALUE"""),0.4562329461138272)</f>
        <v>0.4562329461</v>
      </c>
      <c r="AF7" s="57">
        <f>IFERROR(__xludf.DUMMYFUNCTION("""COMPUTED_VALUE"""),0.8571559559664026)</f>
        <v>0.857155956</v>
      </c>
      <c r="AG7" s="57">
        <f>IFERROR(__xludf.DUMMYFUNCTION("""COMPUTED_VALUE"""),2.150092071313353)</f>
        <v>2.150092071</v>
      </c>
      <c r="AH7" s="57">
        <f>IFERROR(__xludf.DUMMYFUNCTION("""COMPUTED_VALUE"""),1.2615153486283681)</f>
        <v>1.261515349</v>
      </c>
      <c r="AI7" s="57">
        <f>IFERROR(__xludf.DUMMYFUNCTION("""COMPUTED_VALUE"""),1.3761724903910022)</f>
        <v>1.37617249</v>
      </c>
      <c r="AJ7" s="57">
        <f>IFERROR(__xludf.DUMMYFUNCTION("""COMPUTED_VALUE"""),1.381826516429189)</f>
        <v>1.381826516</v>
      </c>
      <c r="AK7" s="57">
        <f>IFERROR(__xludf.DUMMYFUNCTION("""COMPUTED_VALUE"""),1.4963539443718774)</f>
        <v>1.496353944</v>
      </c>
      <c r="AL7" s="57">
        <f>IFERROR(__xludf.DUMMYFUNCTION("""COMPUTED_VALUE"""),1.3447351331610535)</f>
        <v>1.344735133</v>
      </c>
      <c r="AM7" s="57">
        <f>IFERROR(__xludf.DUMMYFUNCTION("""COMPUTED_VALUE"""),0.9086505557817299)</f>
        <v>0.9086505558</v>
      </c>
      <c r="AN7" s="57">
        <f>IFERROR(__xludf.DUMMYFUNCTION("""COMPUTED_VALUE"""),0.6984777404435)</f>
        <v>0.6984777404</v>
      </c>
      <c r="AO7" s="57">
        <f>IFERROR(__xludf.DUMMYFUNCTION("""COMPUTED_VALUE"""),0.6166763016910489)</f>
        <v>0.6166763017</v>
      </c>
      <c r="AP7" s="35">
        <f>IFERROR(__xludf.DUMMYFUNCTION("""COMPUTED_VALUE"""),1.22905627551913)</f>
        <v>1.229056276</v>
      </c>
      <c r="AQ7" s="57">
        <f>IFERROR(__xludf.DUMMYFUNCTION("""COMPUTED_VALUE"""),0.8366533671390776)</f>
        <v>0.8366533671</v>
      </c>
      <c r="AR7" s="36" t="b">
        <f>IFERROR(__xludf.DUMMYFUNCTION("""COMPUTED_VALUE"""),TRUE)</f>
        <v>1</v>
      </c>
      <c r="AS7" s="57"/>
      <c r="AT7" s="37"/>
      <c r="AU7" s="30"/>
      <c r="AV7" s="30"/>
      <c r="AW7" s="30"/>
      <c r="AX7" s="30"/>
      <c r="AY7" s="30"/>
      <c r="AZ7" s="30"/>
    </row>
    <row r="8">
      <c r="A8" s="30" t="str">
        <f>IFERROR(__xludf.DUMMYFUNCTION("""COMPUTED_VALUE"""),"Amateur")</f>
        <v>Amateur</v>
      </c>
      <c r="B8" s="30" t="str">
        <f>IFERROR(__xludf.DUMMYFUNCTION("""COMPUTED_VALUE"""),"RSC006375")</f>
        <v>RSC006375</v>
      </c>
      <c r="C8" s="30" t="str">
        <f>IFERROR(__xludf.DUMMYFUNCTION("""COMPUTED_VALUE"""),"Rich-Rollin6060")</f>
        <v>Rich-Rollin6060</v>
      </c>
      <c r="D8" s="31" t="str">
        <f>IFERROR(__xludf.DUMMYFUNCTION("""COMPUTED_VALUE"""),"Hyenas")</f>
        <v>Hyenas</v>
      </c>
      <c r="E8" s="31">
        <f>IFERROR(__xludf.DUMMYFUNCTION("""COMPUTED_VALUE"""),81.31623792341664)</f>
        <v>81.31623792</v>
      </c>
      <c r="F8" s="31">
        <f>IFERROR(__xludf.DUMMYFUNCTION("""COMPUTED_VALUE"""),9.508718475023946)</f>
        <v>9.508718475</v>
      </c>
      <c r="G8" s="31">
        <f>IFERROR(__xludf.DUMMYFUNCTION("""COMPUTED_VALUE"""),56.42879167596519)</f>
        <v>56.42879168</v>
      </c>
      <c r="H8" s="31">
        <f>IFERROR(__xludf.DUMMYFUNCTION("""COMPUTED_VALUE"""),2.509216056734791)</f>
        <v>2.509216057</v>
      </c>
      <c r="I8" s="54">
        <f>IFERROR(__xludf.DUMMYFUNCTION("""COMPUTED_VALUE"""),39.0)</f>
        <v>39</v>
      </c>
      <c r="J8" s="55">
        <f>IFERROR(__xludf.DUMMYFUNCTION("""COMPUTED_VALUE"""),31.0)</f>
        <v>31</v>
      </c>
      <c r="K8" s="54">
        <f>IFERROR(__xludf.DUMMYFUNCTION("""COMPUTED_VALUE"""),8.0)</f>
        <v>8</v>
      </c>
      <c r="L8" s="56">
        <f>IFERROR(__xludf.DUMMYFUNCTION("""COMPUTED_VALUE"""),0.7948717948717948)</f>
        <v>0.7948717949</v>
      </c>
      <c r="M8" s="56">
        <f>IFERROR(__xludf.DUMMYFUNCTION("""COMPUTED_VALUE"""),0.4672897196261683)</f>
        <v>0.4672897196</v>
      </c>
      <c r="N8" s="31">
        <f>IFERROR(__xludf.DUMMYFUNCTION("""COMPUTED_VALUE"""),327.6923076923077)</f>
        <v>327.6923077</v>
      </c>
      <c r="O8" s="57">
        <f>IFERROR(__xludf.DUMMYFUNCTION("""COMPUTED_VALUE"""),1.2820512820512822)</f>
        <v>1.282051282</v>
      </c>
      <c r="P8" s="57">
        <f>IFERROR(__xludf.DUMMYFUNCTION("""COMPUTED_VALUE"""),0.41025641025641024)</f>
        <v>0.4102564103</v>
      </c>
      <c r="Q8" s="57">
        <f>IFERROR(__xludf.DUMMYFUNCTION("""COMPUTED_VALUE"""),0.4358974358974359)</f>
        <v>0.4358974359</v>
      </c>
      <c r="R8" s="57">
        <f>IFERROR(__xludf.DUMMYFUNCTION("""COMPUTED_VALUE"""),2.7435897435897436)</f>
        <v>2.743589744</v>
      </c>
      <c r="S8" s="31">
        <f>IFERROR(__xludf.DUMMYFUNCTION("""COMPUTED_VALUE"""),255.52136752136752)</f>
        <v>255.5213675</v>
      </c>
      <c r="T8" s="57">
        <f>IFERROR(__xludf.DUMMYFUNCTION("""COMPUTED_VALUE"""),0.4700854700854701)</f>
        <v>0.4700854701</v>
      </c>
      <c r="U8" s="57">
        <f>IFERROR(__xludf.DUMMYFUNCTION("""COMPUTED_VALUE"""),0.24786324786324798)</f>
        <v>0.2478632479</v>
      </c>
      <c r="V8" s="57">
        <f>IFERROR(__xludf.DUMMYFUNCTION("""COMPUTED_VALUE"""),1.0940170940170943)</f>
        <v>1.094017094</v>
      </c>
      <c r="W8" s="57">
        <f>IFERROR(__xludf.DUMMYFUNCTION("""COMPUTED_VALUE"""),1.6068376068376062)</f>
        <v>1.606837607</v>
      </c>
      <c r="X8" s="31">
        <f>IFERROR(__xludf.DUMMYFUNCTION("""COMPUTED_VALUE"""),288.9055687331859)</f>
        <v>288.9055687</v>
      </c>
      <c r="Y8" s="57">
        <f>IFERROR(__xludf.DUMMYFUNCTION("""COMPUTED_VALUE"""),0.7156588078471541)</f>
        <v>0.7156588078</v>
      </c>
      <c r="Z8" s="57">
        <f>IFERROR(__xludf.DUMMYFUNCTION("""COMPUTED_VALUE"""),0.42648439345393213)</f>
        <v>0.4264843935</v>
      </c>
      <c r="AA8" s="57">
        <f>IFERROR(__xludf.DUMMYFUNCTION("""COMPUTED_VALUE"""),0.9136112170423494)</f>
        <v>0.913611217</v>
      </c>
      <c r="AB8" s="57">
        <f>IFERROR(__xludf.DUMMYFUNCTION("""COMPUTED_VALUE"""),1.9741161749398282)</f>
        <v>1.974116175</v>
      </c>
      <c r="AC8" s="31">
        <f>IFERROR(__xludf.DUMMYFUNCTION("""COMPUTED_VALUE"""),301.8141170340608)</f>
        <v>301.814117</v>
      </c>
      <c r="AD8" s="57">
        <f>IFERROR(__xludf.DUMMYFUNCTION("""COMPUTED_VALUE"""),0.8284373111234055)</f>
        <v>0.8284373111</v>
      </c>
      <c r="AE8" s="57">
        <f>IFERROR(__xludf.DUMMYFUNCTION("""COMPUTED_VALUE"""),0.46898330374535024)</f>
        <v>0.4689833037</v>
      </c>
      <c r="AF8" s="57">
        <f>IFERROR(__xludf.DUMMYFUNCTION("""COMPUTED_VALUE"""),0.8309193192979759)</f>
        <v>0.8309193193</v>
      </c>
      <c r="AG8" s="57">
        <f>IFERROR(__xludf.DUMMYFUNCTION("""COMPUTED_VALUE"""),2.181551471356886)</f>
        <v>2.181551471</v>
      </c>
      <c r="AH8" s="57">
        <f>IFERROR(__xludf.DUMMYFUNCTION("""COMPUTED_VALUE"""),1.0857421478907376)</f>
        <v>1.085742148</v>
      </c>
      <c r="AI8" s="57">
        <f>IFERROR(__xludf.DUMMYFUNCTION("""COMPUTED_VALUE"""),1.5475537676022242)</f>
        <v>1.547553768</v>
      </c>
      <c r="AJ8" s="57">
        <f>IFERROR(__xludf.DUMMYFUNCTION("""COMPUTED_VALUE"""),0.8747782852397072)</f>
        <v>0.8747782852</v>
      </c>
      <c r="AK8" s="57">
        <f>IFERROR(__xludf.DUMMYFUNCTION("""COMPUTED_VALUE"""),0.5245965832948923)</f>
        <v>0.5245965833</v>
      </c>
      <c r="AL8" s="57">
        <f>IFERROR(__xludf.DUMMYFUNCTION("""COMPUTED_VALUE"""),1.2576323683453041)</f>
        <v>1.257632368</v>
      </c>
      <c r="AM8" s="57">
        <f>IFERROR(__xludf.DUMMYFUNCTION("""COMPUTED_VALUE"""),0.8844459753468795)</f>
        <v>0.8844459753</v>
      </c>
      <c r="AN8" s="57">
        <f>IFERROR(__xludf.DUMMYFUNCTION("""COMPUTED_VALUE"""),0.6568569616289387)</f>
        <v>0.6568569616</v>
      </c>
      <c r="AO8" s="57">
        <f>IFERROR(__xludf.DUMMYFUNCTION("""COMPUTED_VALUE"""),0.5811777679738745)</f>
        <v>0.581177768</v>
      </c>
      <c r="AP8" s="35">
        <f>IFERROR(__xludf.DUMMYFUNCTION("""COMPUTED_VALUE"""),1.197464603771806)</f>
        <v>1.197464604</v>
      </c>
      <c r="AQ8" s="57">
        <f>IFERROR(__xludf.DUMMYFUNCTION("""COMPUTED_VALUE"""),0.8139529107939066)</f>
        <v>0.8139529108</v>
      </c>
      <c r="AR8" s="36" t="b">
        <f>IFERROR(__xludf.DUMMYFUNCTION("""COMPUTED_VALUE"""),TRUE)</f>
        <v>1</v>
      </c>
      <c r="AS8" s="57"/>
      <c r="AT8" s="37"/>
      <c r="AU8" s="30"/>
      <c r="AV8" s="30"/>
      <c r="AW8" s="30"/>
      <c r="AX8" s="30"/>
      <c r="AY8" s="30"/>
      <c r="AZ8" s="30"/>
    </row>
    <row r="9">
      <c r="A9" s="30" t="str">
        <f>IFERROR(__xludf.DUMMYFUNCTION("""COMPUTED_VALUE"""),"Amateur")</f>
        <v>Amateur</v>
      </c>
      <c r="B9" s="30" t="str">
        <f>IFERROR(__xludf.DUMMYFUNCTION("""COMPUTED_VALUE"""),"RSC007899")</f>
        <v>RSC007899</v>
      </c>
      <c r="C9" s="30" t="str">
        <f>IFERROR(__xludf.DUMMYFUNCTION("""COMPUTED_VALUE"""),"SeaSpay12")</f>
        <v>SeaSpay12</v>
      </c>
      <c r="D9" s="31" t="str">
        <f>IFERROR(__xludf.DUMMYFUNCTION("""COMPUTED_VALUE"""),"Surprise")</f>
        <v>Surprise</v>
      </c>
      <c r="E9" s="31">
        <f>IFERROR(__xludf.DUMMYFUNCTION("""COMPUTED_VALUE"""),74.45345613997011)</f>
        <v>74.45345614</v>
      </c>
      <c r="F9" s="31">
        <f>IFERROR(__xludf.DUMMYFUNCTION("""COMPUTED_VALUE"""),6.097450286276966)</f>
        <v>6.097450286</v>
      </c>
      <c r="G9" s="31">
        <f>IFERROR(__xludf.DUMMYFUNCTION("""COMPUTED_VALUE"""),81.15947199319645)</f>
        <v>81.15947199</v>
      </c>
      <c r="H9" s="31">
        <f>IFERROR(__xludf.DUMMYFUNCTION("""COMPUTED_VALUE"""),9.406216972136974)</f>
        <v>9.406216972</v>
      </c>
      <c r="I9" s="54">
        <f>IFERROR(__xludf.DUMMYFUNCTION("""COMPUTED_VALUE"""),42.0)</f>
        <v>42</v>
      </c>
      <c r="J9" s="55">
        <f>IFERROR(__xludf.DUMMYFUNCTION("""COMPUTED_VALUE"""),24.0)</f>
        <v>24</v>
      </c>
      <c r="K9" s="59">
        <f>IFERROR(__xludf.DUMMYFUNCTION("""COMPUTED_VALUE"""),18.0)</f>
        <v>18</v>
      </c>
      <c r="L9" s="56">
        <f>IFERROR(__xludf.DUMMYFUNCTION("""COMPUTED_VALUE"""),0.5714285714285714)</f>
        <v>0.5714285714</v>
      </c>
      <c r="M9" s="56">
        <f>IFERROR(__xludf.DUMMYFUNCTION("""COMPUTED_VALUE"""),0.3611111111111111)</f>
        <v>0.3611111111</v>
      </c>
      <c r="N9" s="31">
        <f>IFERROR(__xludf.DUMMYFUNCTION("""COMPUTED_VALUE"""),381.0952380952381)</f>
        <v>381.0952381</v>
      </c>
      <c r="O9" s="57">
        <f>IFERROR(__xludf.DUMMYFUNCTION("""COMPUTED_VALUE"""),0.9285714285714286)</f>
        <v>0.9285714286</v>
      </c>
      <c r="P9" s="57">
        <f>IFERROR(__xludf.DUMMYFUNCTION("""COMPUTED_VALUE"""),0.4523809523809524)</f>
        <v>0.4523809524</v>
      </c>
      <c r="Q9" s="57">
        <f>IFERROR(__xludf.DUMMYFUNCTION("""COMPUTED_VALUE"""),1.1904761904761905)</f>
        <v>1.19047619</v>
      </c>
      <c r="R9" s="57">
        <f>IFERROR(__xludf.DUMMYFUNCTION("""COMPUTED_VALUE"""),2.5714285714285716)</f>
        <v>2.571428571</v>
      </c>
      <c r="S9" s="31">
        <f>IFERROR(__xludf.DUMMYFUNCTION("""COMPUTED_VALUE"""),281.29365079365067)</f>
        <v>281.2936508</v>
      </c>
      <c r="T9" s="57">
        <f>IFERROR(__xludf.DUMMYFUNCTION("""COMPUTED_VALUE"""),0.7142857142857144)</f>
        <v>0.7142857143</v>
      </c>
      <c r="U9" s="57">
        <f>IFERROR(__xludf.DUMMYFUNCTION("""COMPUTED_VALUE"""),0.2996031746031745)</f>
        <v>0.2996031746</v>
      </c>
      <c r="V9" s="57">
        <f>IFERROR(__xludf.DUMMYFUNCTION("""COMPUTED_VALUE"""),0.9047619047619049)</f>
        <v>0.9047619048</v>
      </c>
      <c r="W9" s="57">
        <f>IFERROR(__xludf.DUMMYFUNCTION("""COMPUTED_VALUE"""),1.815476190476191)</f>
        <v>1.81547619</v>
      </c>
      <c r="X9" s="31">
        <f>IFERROR(__xludf.DUMMYFUNCTION("""COMPUTED_VALUE"""),305.5510416406154)</f>
        <v>305.5510416</v>
      </c>
      <c r="Y9" s="57">
        <f>IFERROR(__xludf.DUMMYFUNCTION("""COMPUTED_VALUE"""),0.8217963847017962)</f>
        <v>0.8217963847</v>
      </c>
      <c r="Z9" s="57">
        <f>IFERROR(__xludf.DUMMYFUNCTION("""COMPUTED_VALUE"""),0.4610921608458891)</f>
        <v>0.4610921608</v>
      </c>
      <c r="AA9" s="57">
        <f>IFERROR(__xludf.DUMMYFUNCTION("""COMPUTED_VALUE"""),0.9124079828737511)</f>
        <v>0.9124079829</v>
      </c>
      <c r="AB9" s="57">
        <f>IFERROR(__xludf.DUMMYFUNCTION("""COMPUTED_VALUE"""),2.115838929915523)</f>
        <v>2.11583893</v>
      </c>
      <c r="AC9" s="31">
        <f>IFERROR(__xludf.DUMMYFUNCTION("""COMPUTED_VALUE"""),298.3849962275002)</f>
        <v>298.3849962</v>
      </c>
      <c r="AD9" s="57">
        <f>IFERROR(__xludf.DUMMYFUNCTION("""COMPUTED_VALUE"""),0.8007240533727609)</f>
        <v>0.8007240534</v>
      </c>
      <c r="AE9" s="57">
        <f>IFERROR(__xludf.DUMMYFUNCTION("""COMPUTED_VALUE"""),0.4632981773522996)</f>
        <v>0.4632981774</v>
      </c>
      <c r="AF9" s="57">
        <f>IFERROR(__xludf.DUMMYFUNCTION("""COMPUTED_VALUE"""),0.8574688241302392)</f>
        <v>0.8574688241</v>
      </c>
      <c r="AG9" s="57">
        <f>IFERROR(__xludf.DUMMYFUNCTION("""COMPUTED_VALUE"""),2.1373541433806653)</f>
        <v>2.137354143</v>
      </c>
      <c r="AH9" s="57">
        <f>IFERROR(__xludf.DUMMYFUNCTION("""COMPUTED_VALUE"""),1.2771930322015133)</f>
        <v>1.277193032</v>
      </c>
      <c r="AI9" s="57">
        <f>IFERROR(__xludf.DUMMYFUNCTION("""COMPUTED_VALUE"""),1.159664711781989)</f>
        <v>1.159664712</v>
      </c>
      <c r="AJ9" s="57">
        <f>IFERROR(__xludf.DUMMYFUNCTION("""COMPUTED_VALUE"""),0.9764358559886033)</f>
        <v>0.976435856</v>
      </c>
      <c r="AK9" s="57">
        <f>IFERROR(__xludf.DUMMYFUNCTION("""COMPUTED_VALUE"""),1.3883609024313301)</f>
        <v>1.388360902</v>
      </c>
      <c r="AL9" s="57">
        <f>IFERROR(__xludf.DUMMYFUNCTION("""COMPUTED_VALUE"""),1.203089614040904)</f>
        <v>1.203089614</v>
      </c>
      <c r="AM9" s="57">
        <f>IFERROR(__xludf.DUMMYFUNCTION("""COMPUTED_VALUE"""),0.9206110026111581)</f>
        <v>0.9206110026</v>
      </c>
      <c r="AN9" s="57">
        <f>IFERROR(__xludf.DUMMYFUNCTION("""COMPUTED_VALUE"""),0.8691760241132066)</f>
        <v>0.8691760241</v>
      </c>
      <c r="AO9" s="57">
        <f>IFERROR(__xludf.DUMMYFUNCTION("""COMPUTED_VALUE"""),0.6497685279522912)</f>
        <v>0.649768528</v>
      </c>
      <c r="AP9" s="35">
        <f>IFERROR(__xludf.DUMMYFUNCTION("""COMPUTED_VALUE"""),0.9916198912598683)</f>
        <v>0.9916198913</v>
      </c>
      <c r="AQ9" s="57">
        <f>IFERROR(__xludf.DUMMYFUNCTION("""COMPUTED_VALUE"""),0.8580408294825522)</f>
        <v>0.8580408295</v>
      </c>
      <c r="AR9" s="36" t="b">
        <f>IFERROR(__xludf.DUMMYFUNCTION("""COMPUTED_VALUE"""),TRUE)</f>
        <v>1</v>
      </c>
      <c r="AS9" s="57"/>
      <c r="AT9" s="37"/>
      <c r="AU9" s="30"/>
      <c r="AV9" s="30"/>
      <c r="AW9" s="30"/>
      <c r="AX9" s="30"/>
      <c r="AY9" s="30"/>
      <c r="AZ9" s="30"/>
    </row>
    <row r="10">
      <c r="A10" s="30" t="str">
        <f>IFERROR(__xludf.DUMMYFUNCTION("""COMPUTED_VALUE"""),"Amateur")</f>
        <v>Amateur</v>
      </c>
      <c r="B10" s="30" t="str">
        <f>IFERROR(__xludf.DUMMYFUNCTION("""COMPUTED_VALUE"""),"RSC007581")</f>
        <v>RSC007581</v>
      </c>
      <c r="C10" s="30" t="str">
        <f>IFERROR(__xludf.DUMMYFUNCTION("""COMPUTED_VALUE"""),"Wrecklessjay02")</f>
        <v>Wrecklessjay02</v>
      </c>
      <c r="D10" s="31" t="str">
        <f>IFERROR(__xludf.DUMMYFUNCTION("""COMPUTED_VALUE"""),"Hyenas")</f>
        <v>Hyenas</v>
      </c>
      <c r="E10" s="31">
        <f>IFERROR(__xludf.DUMMYFUNCTION("""COMPUTED_VALUE"""),74.45173708901937)</f>
        <v>74.45173709</v>
      </c>
      <c r="F10" s="31">
        <f>IFERROR(__xludf.DUMMYFUNCTION("""COMPUTED_VALUE"""),6.096818211673865)</f>
        <v>6.096818212</v>
      </c>
      <c r="G10" s="31">
        <f>IFERROR(__xludf.DUMMYFUNCTION("""COMPUTED_VALUE"""),61.653602728269945)</f>
        <v>61.65360273</v>
      </c>
      <c r="H10" s="31">
        <f>IFERROR(__xludf.DUMMYFUNCTION("""COMPUTED_VALUE"""),3.1195780162776865)</f>
        <v>3.119578016</v>
      </c>
      <c r="I10" s="54">
        <f>IFERROR(__xludf.DUMMYFUNCTION("""COMPUTED_VALUE"""),47.0)</f>
        <v>47</v>
      </c>
      <c r="J10" s="55">
        <f>IFERROR(__xludf.DUMMYFUNCTION("""COMPUTED_VALUE"""),34.0)</f>
        <v>34</v>
      </c>
      <c r="K10" s="54">
        <f>IFERROR(__xludf.DUMMYFUNCTION("""COMPUTED_VALUE"""),13.0)</f>
        <v>13</v>
      </c>
      <c r="L10" s="56">
        <f>IFERROR(__xludf.DUMMYFUNCTION("""COMPUTED_VALUE"""),0.723404255319149)</f>
        <v>0.7234042553</v>
      </c>
      <c r="M10" s="56">
        <f>IFERROR(__xludf.DUMMYFUNCTION("""COMPUTED_VALUE"""),0.3589743589743589)</f>
        <v>0.358974359</v>
      </c>
      <c r="N10" s="31">
        <f>IFERROR(__xludf.DUMMYFUNCTION("""COMPUTED_VALUE"""),322.5744680851064)</f>
        <v>322.5744681</v>
      </c>
      <c r="O10" s="57">
        <f>IFERROR(__xludf.DUMMYFUNCTION("""COMPUTED_VALUE"""),0.8936170212765957)</f>
        <v>0.8936170213</v>
      </c>
      <c r="P10" s="57">
        <f>IFERROR(__xludf.DUMMYFUNCTION("""COMPUTED_VALUE"""),0.5957446808510638)</f>
        <v>0.5957446809</v>
      </c>
      <c r="Q10" s="57">
        <f>IFERROR(__xludf.DUMMYFUNCTION("""COMPUTED_VALUE"""),0.8297872340425532)</f>
        <v>0.829787234</v>
      </c>
      <c r="R10" s="57">
        <f>IFERROR(__xludf.DUMMYFUNCTION("""COMPUTED_VALUE"""),2.4893617021276597)</f>
        <v>2.489361702</v>
      </c>
      <c r="S10" s="31">
        <f>IFERROR(__xludf.DUMMYFUNCTION("""COMPUTED_VALUE"""),262.1276595744681)</f>
        <v>262.1276596</v>
      </c>
      <c r="T10" s="57">
        <f>IFERROR(__xludf.DUMMYFUNCTION("""COMPUTED_VALUE"""),0.5035460992907803)</f>
        <v>0.5035460993</v>
      </c>
      <c r="U10" s="57">
        <f>IFERROR(__xludf.DUMMYFUNCTION("""COMPUTED_VALUE"""),0.26241134751773043)</f>
        <v>0.2624113475</v>
      </c>
      <c r="V10" s="57">
        <f>IFERROR(__xludf.DUMMYFUNCTION("""COMPUTED_VALUE"""),1.099290780141844)</f>
        <v>1.09929078</v>
      </c>
      <c r="W10" s="57">
        <f>IFERROR(__xludf.DUMMYFUNCTION("""COMPUTED_VALUE"""),1.6666666666666674)</f>
        <v>1.666666667</v>
      </c>
      <c r="X10" s="31">
        <f>IFERROR(__xludf.DUMMYFUNCTION("""COMPUTED_VALUE"""),289.79518528951695)</f>
        <v>289.7951853</v>
      </c>
      <c r="Y10" s="57">
        <f>IFERROR(__xludf.DUMMYFUNCTION("""COMPUTED_VALUE"""),0.7248685842515138)</f>
        <v>0.7248685843</v>
      </c>
      <c r="Z10" s="57">
        <f>IFERROR(__xludf.DUMMYFUNCTION("""COMPUTED_VALUE"""),0.42407715115548245)</f>
        <v>0.4240771512</v>
      </c>
      <c r="AA10" s="57">
        <f>IFERROR(__xludf.DUMMYFUNCTION("""COMPUTED_VALUE"""),0.900732471202153)</f>
        <v>0.9007324712</v>
      </c>
      <c r="AB10" s="57">
        <f>IFERROR(__xludf.DUMMYFUNCTION("""COMPUTED_VALUE"""),2.009748163253082)</f>
        <v>2.009748163</v>
      </c>
      <c r="AC10" s="31">
        <f>IFERROR(__xludf.DUMMYFUNCTION("""COMPUTED_VALUE"""),300.50413922083004)</f>
        <v>300.5041392</v>
      </c>
      <c r="AD10" s="57">
        <f>IFERROR(__xludf.DUMMYFUNCTION("""COMPUTED_VALUE"""),0.8096174408626177)</f>
        <v>0.8096174409</v>
      </c>
      <c r="AE10" s="57">
        <f>IFERROR(__xludf.DUMMYFUNCTION("""COMPUTED_VALUE"""),0.4601153660947736)</f>
        <v>0.4601153661</v>
      </c>
      <c r="AF10" s="57">
        <f>IFERROR(__xludf.DUMMYFUNCTION("""COMPUTED_VALUE"""),0.8571967599414723)</f>
        <v>0.8571967599</v>
      </c>
      <c r="AG10" s="57">
        <f>IFERROR(__xludf.DUMMYFUNCTION("""COMPUTED_VALUE"""),2.153472052124053)</f>
        <v>2.153472052</v>
      </c>
      <c r="AH10" s="57">
        <f>IFERROR(__xludf.DUMMYFUNCTION("""COMPUTED_VALUE"""),1.0734443423025786)</f>
        <v>1.073444342</v>
      </c>
      <c r="AI10" s="57">
        <f>IFERROR(__xludf.DUMMYFUNCTION("""COMPUTED_VALUE"""),1.1037521873596)</f>
        <v>1.103752187</v>
      </c>
      <c r="AJ10" s="57">
        <f>IFERROR(__xludf.DUMMYFUNCTION("""COMPUTED_VALUE"""),1.2947724087274963)</f>
        <v>1.294772409</v>
      </c>
      <c r="AK10" s="57">
        <f>IFERROR(__xludf.DUMMYFUNCTION("""COMPUTED_VALUE"""),0.9680242306319606)</f>
        <v>0.9680242306</v>
      </c>
      <c r="AL10" s="57">
        <f>IFERROR(__xludf.DUMMYFUNCTION("""COMPUTED_VALUE"""),1.1559758575330967)</f>
        <v>1.155975858</v>
      </c>
      <c r="AM10" s="57">
        <f>IFERROR(__xludf.DUMMYFUNCTION("""COMPUTED_VALUE"""),0.9045273105990085)</f>
        <v>0.9045273106</v>
      </c>
      <c r="AN10" s="57">
        <f>IFERROR(__xludf.DUMMYFUNCTION("""COMPUTED_VALUE"""),0.6946722622980452)</f>
        <v>0.6946722623</v>
      </c>
      <c r="AO10" s="57">
        <f>IFERROR(__xludf.DUMMYFUNCTION("""COMPUTED_VALUE"""),0.6187820937834981)</f>
        <v>0.6187820938</v>
      </c>
      <c r="AP10" s="35">
        <f>IFERROR(__xludf.DUMMYFUNCTION("""COMPUTED_VALUE"""),1.2204409358915274)</f>
        <v>1.220440936</v>
      </c>
      <c r="AQ10" s="57">
        <f>IFERROR(__xludf.DUMMYFUNCTION("""COMPUTED_VALUE"""),0.8292912998457055)</f>
        <v>0.8292912998</v>
      </c>
      <c r="AR10" s="36" t="b">
        <f>IFERROR(__xludf.DUMMYFUNCTION("""COMPUTED_VALUE"""),TRUE)</f>
        <v>1</v>
      </c>
      <c r="AS10" s="57"/>
      <c r="AT10" s="37"/>
      <c r="AU10" s="30"/>
      <c r="AV10" s="30"/>
      <c r="AW10" s="30"/>
      <c r="AX10" s="30"/>
      <c r="AY10" s="30"/>
      <c r="AZ10" s="30"/>
    </row>
    <row r="11">
      <c r="A11" s="30" t="str">
        <f>IFERROR(__xludf.DUMMYFUNCTION("""COMPUTED_VALUE"""),"Amateur")</f>
        <v>Amateur</v>
      </c>
      <c r="B11" s="30" t="str">
        <f>IFERROR(__xludf.DUMMYFUNCTION("""COMPUTED_VALUE"""),"RSC007955")</f>
        <v>RSC007955</v>
      </c>
      <c r="C11" s="30" t="str">
        <f>IFERROR(__xludf.DUMMYFUNCTION("""COMPUTED_VALUE"""),"JonathanVanDyk")</f>
        <v>JonathanVanDyk</v>
      </c>
      <c r="D11" s="31" t="str">
        <f>IFERROR(__xludf.DUMMYFUNCTION("""COMPUTED_VALUE"""),"Garlic Knots")</f>
        <v>Garlic Knots</v>
      </c>
      <c r="E11" s="31">
        <f>IFERROR(__xludf.DUMMYFUNCTION("""COMPUTED_VALUE"""),70.75672818829581)</f>
        <v>70.75672819</v>
      </c>
      <c r="F11" s="31">
        <f>IFERROR(__xludf.DUMMYFUNCTION("""COMPUTED_VALUE"""),4.9214216425525965)</f>
        <v>4.921421643</v>
      </c>
      <c r="G11" s="31">
        <f>IFERROR(__xludf.DUMMYFUNCTION("""COMPUTED_VALUE"""),69.67978799803896)</f>
        <v>69.679788</v>
      </c>
      <c r="H11" s="31">
        <f>IFERROR(__xludf.DUMMYFUNCTION("""COMPUTED_VALUE"""),4.638544217603982)</f>
        <v>4.638544218</v>
      </c>
      <c r="I11" s="54">
        <f>IFERROR(__xludf.DUMMYFUNCTION("""COMPUTED_VALUE"""),47.0)</f>
        <v>47</v>
      </c>
      <c r="J11" s="55">
        <f>IFERROR(__xludf.DUMMYFUNCTION("""COMPUTED_VALUE"""),32.0)</f>
        <v>32</v>
      </c>
      <c r="K11" s="54">
        <f>IFERROR(__xludf.DUMMYFUNCTION("""COMPUTED_VALUE"""),15.0)</f>
        <v>15</v>
      </c>
      <c r="L11" s="56">
        <f>IFERROR(__xludf.DUMMYFUNCTION("""COMPUTED_VALUE"""),0.6808510638297872)</f>
        <v>0.6808510638</v>
      </c>
      <c r="M11" s="56">
        <f>IFERROR(__xludf.DUMMYFUNCTION("""COMPUTED_VALUE"""),0.4090909090909091)</f>
        <v>0.4090909091</v>
      </c>
      <c r="N11" s="31">
        <f>IFERROR(__xludf.DUMMYFUNCTION("""COMPUTED_VALUE"""),362.0851063829787)</f>
        <v>362.0851064</v>
      </c>
      <c r="O11" s="57">
        <f>IFERROR(__xludf.DUMMYFUNCTION("""COMPUTED_VALUE"""),0.9574468085106383)</f>
        <v>0.9574468085</v>
      </c>
      <c r="P11" s="57">
        <f>IFERROR(__xludf.DUMMYFUNCTION("""COMPUTED_VALUE"""),0.40425531914893614)</f>
        <v>0.4042553191</v>
      </c>
      <c r="Q11" s="57">
        <f>IFERROR(__xludf.DUMMYFUNCTION("""COMPUTED_VALUE"""),1.3617021276595744)</f>
        <v>1.361702128</v>
      </c>
      <c r="R11" s="57">
        <f>IFERROR(__xludf.DUMMYFUNCTION("""COMPUTED_VALUE"""),2.3404255319148937)</f>
        <v>2.340425532</v>
      </c>
      <c r="S11" s="31">
        <f>IFERROR(__xludf.DUMMYFUNCTION("""COMPUTED_VALUE"""),260.8794326241135)</f>
        <v>260.8794326</v>
      </c>
      <c r="T11" s="57">
        <f>IFERROR(__xludf.DUMMYFUNCTION("""COMPUTED_VALUE"""),0.5354609929078011)</f>
        <v>0.5354609929</v>
      </c>
      <c r="U11" s="57">
        <f>IFERROR(__xludf.DUMMYFUNCTION("""COMPUTED_VALUE"""),0.31382978723404265)</f>
        <v>0.3138297872</v>
      </c>
      <c r="V11" s="57">
        <f>IFERROR(__xludf.DUMMYFUNCTION("""COMPUTED_VALUE"""),0.7375886524822699)</f>
        <v>0.7375886525</v>
      </c>
      <c r="W11" s="57">
        <f>IFERROR(__xludf.DUMMYFUNCTION("""COMPUTED_VALUE"""),2.081560283687944)</f>
        <v>2.081560284</v>
      </c>
      <c r="X11" s="31">
        <f>IFERROR(__xludf.DUMMYFUNCTION("""COMPUTED_VALUE"""),293.4666470465732)</f>
        <v>293.466647</v>
      </c>
      <c r="Y11" s="57">
        <f>IFERROR(__xludf.DUMMYFUNCTION("""COMPUTED_VALUE"""),0.7539157316102209)</f>
        <v>0.7539157316</v>
      </c>
      <c r="Z11" s="57">
        <f>IFERROR(__xludf.DUMMYFUNCTION("""COMPUTED_VALUE"""),0.43255955651296973)</f>
        <v>0.4325595565</v>
      </c>
      <c r="AA11" s="57">
        <f>IFERROR(__xludf.DUMMYFUNCTION("""COMPUTED_VALUE"""),0.861713197110993)</f>
        <v>0.8617131971</v>
      </c>
      <c r="AB11" s="57">
        <f>IFERROR(__xludf.DUMMYFUNCTION("""COMPUTED_VALUE"""),2.1108927354295335)</f>
        <v>2.110892735</v>
      </c>
      <c r="AC11" s="31">
        <f>IFERROR(__xludf.DUMMYFUNCTION("""COMPUTED_VALUE"""),299.7652551797856)</f>
        <v>299.7652552</v>
      </c>
      <c r="AD11" s="57">
        <f>IFERROR(__xludf.DUMMYFUNCTION("""COMPUTED_VALUE"""),0.801709891067378)</f>
        <v>0.8017098911</v>
      </c>
      <c r="AE11" s="57">
        <f>IFERROR(__xludf.DUMMYFUNCTION("""COMPUTED_VALUE"""),0.4423090204504491)</f>
        <v>0.4423090205</v>
      </c>
      <c r="AF11" s="57">
        <f>IFERROR(__xludf.DUMMYFUNCTION("""COMPUTED_VALUE"""),0.9214274457765692)</f>
        <v>0.9214274458</v>
      </c>
      <c r="AG11" s="57">
        <f>IFERROR(__xludf.DUMMYFUNCTION("""COMPUTED_VALUE"""),2.072287435261942)</f>
        <v>2.072287435</v>
      </c>
      <c r="AH11" s="57">
        <f>IFERROR(__xludf.DUMMYFUNCTION("""COMPUTED_VALUE"""),1.2078955119925974)</f>
        <v>1.207895512</v>
      </c>
      <c r="AI11" s="57">
        <f>IFERROR(__xludf.DUMMYFUNCTION("""COMPUTED_VALUE"""),1.1942559511594846)</f>
        <v>1.194255951</v>
      </c>
      <c r="AJ11" s="57">
        <f>IFERROR(__xludf.DUMMYFUNCTION("""COMPUTED_VALUE"""),0.9139658032233687)</f>
        <v>0.9139658032</v>
      </c>
      <c r="AK11" s="57">
        <f>IFERROR(__xludf.DUMMYFUNCTION("""COMPUTED_VALUE"""),1.4778180679347428)</f>
        <v>1.477818068</v>
      </c>
      <c r="AL11" s="57">
        <f>IFERROR(__xludf.DUMMYFUNCTION("""COMPUTED_VALUE"""),1.1293923285401084)</f>
        <v>1.129392329</v>
      </c>
      <c r="AM11" s="57">
        <f>IFERROR(__xludf.DUMMYFUNCTION("""COMPUTED_VALUE"""),0.8889576899098586)</f>
        <v>0.8889576899</v>
      </c>
      <c r="AN11" s="57">
        <f>IFERROR(__xludf.DUMMYFUNCTION("""COMPUTED_VALUE"""),0.7102398457240813)</f>
        <v>0.7102398457</v>
      </c>
      <c r="AO11" s="57">
        <f>IFERROR(__xludf.DUMMYFUNCTION("""COMPUTED_VALUE"""),0.7255180992045263)</f>
        <v>0.7255180992</v>
      </c>
      <c r="AP11" s="35">
        <f>IFERROR(__xludf.DUMMYFUNCTION("""COMPUTED_VALUE"""),0.8559560825517504)</f>
        <v>0.8559560826</v>
      </c>
      <c r="AQ11" s="57">
        <f>IFERROR(__xludf.DUMMYFUNCTION("""COMPUTED_VALUE"""),0.9861042433614605)</f>
        <v>0.9861042434</v>
      </c>
      <c r="AR11" s="36" t="b">
        <f>IFERROR(__xludf.DUMMYFUNCTION("""COMPUTED_VALUE"""),TRUE)</f>
        <v>1</v>
      </c>
      <c r="AS11" s="57"/>
      <c r="AT11" s="37"/>
      <c r="AU11" s="30"/>
      <c r="AV11" s="30"/>
      <c r="AW11" s="30"/>
      <c r="AX11" s="30"/>
      <c r="AY11" s="30"/>
      <c r="AZ11" s="30"/>
    </row>
    <row r="12">
      <c r="A12" s="30" t="str">
        <f>IFERROR(__xludf.DUMMYFUNCTION("""COMPUTED_VALUE"""),"Amateur")</f>
        <v>Amateur</v>
      </c>
      <c r="B12" s="30" t="str">
        <f>IFERROR(__xludf.DUMMYFUNCTION("""COMPUTED_VALUE"""),"RSC007571")</f>
        <v>RSC007571</v>
      </c>
      <c r="C12" s="30" t="str">
        <f>IFERROR(__xludf.DUMMYFUNCTION("""COMPUTED_VALUE"""),"Skories")</f>
        <v>Skories</v>
      </c>
      <c r="D12" s="31" t="str">
        <f>IFERROR(__xludf.DUMMYFUNCTION("""COMPUTED_VALUE"""),"Garlic Knots")</f>
        <v>Garlic Knots</v>
      </c>
      <c r="E12" s="31">
        <f>IFERROR(__xludf.DUMMYFUNCTION("""COMPUTED_VALUE"""),69.77762513336228)</f>
        <v>69.77762513</v>
      </c>
      <c r="F12" s="31">
        <f>IFERROR(__xludf.DUMMYFUNCTION("""COMPUTED_VALUE"""),4.663279524570094)</f>
        <v>4.663279525</v>
      </c>
      <c r="G12" s="31">
        <f>IFERROR(__xludf.DUMMYFUNCTION("""COMPUTED_VALUE"""),65.76412708273743)</f>
        <v>65.76412708</v>
      </c>
      <c r="H12" s="31">
        <f>IFERROR(__xludf.DUMMYFUNCTION("""COMPUTED_VALUE"""),3.7855491316746273)</f>
        <v>3.785549132</v>
      </c>
      <c r="I12" s="54">
        <f>IFERROR(__xludf.DUMMYFUNCTION("""COMPUTED_VALUE"""),47.0)</f>
        <v>47</v>
      </c>
      <c r="J12" s="55">
        <f>IFERROR(__xludf.DUMMYFUNCTION("""COMPUTED_VALUE"""),33.0)</f>
        <v>33</v>
      </c>
      <c r="K12" s="54">
        <f>IFERROR(__xludf.DUMMYFUNCTION("""COMPUTED_VALUE"""),14.0)</f>
        <v>14</v>
      </c>
      <c r="L12" s="56">
        <f>IFERROR(__xludf.DUMMYFUNCTION("""COMPUTED_VALUE"""),0.7021276595744681)</f>
        <v>0.7021276596</v>
      </c>
      <c r="M12" s="56">
        <f>IFERROR(__xludf.DUMMYFUNCTION("""COMPUTED_VALUE"""),0.3942307692307692)</f>
        <v>0.3942307692</v>
      </c>
      <c r="N12" s="31">
        <f>IFERROR(__xludf.DUMMYFUNCTION("""COMPUTED_VALUE"""),340.5744680851064)</f>
        <v>340.5744681</v>
      </c>
      <c r="O12" s="57">
        <f>IFERROR(__xludf.DUMMYFUNCTION("""COMPUTED_VALUE"""),0.8723404255319149)</f>
        <v>0.8723404255</v>
      </c>
      <c r="P12" s="57">
        <f>IFERROR(__xludf.DUMMYFUNCTION("""COMPUTED_VALUE"""),0.5319148936170213)</f>
        <v>0.5319148936</v>
      </c>
      <c r="Q12" s="57">
        <f>IFERROR(__xludf.DUMMYFUNCTION("""COMPUTED_VALUE"""),1.0851063829787233)</f>
        <v>1.085106383</v>
      </c>
      <c r="R12" s="57">
        <f>IFERROR(__xludf.DUMMYFUNCTION("""COMPUTED_VALUE"""),2.2127659574468086)</f>
        <v>2.212765957</v>
      </c>
      <c r="S12" s="31">
        <f>IFERROR(__xludf.DUMMYFUNCTION("""COMPUTED_VALUE"""),260.8794326241135)</f>
        <v>260.8794326</v>
      </c>
      <c r="T12" s="57">
        <f>IFERROR(__xludf.DUMMYFUNCTION("""COMPUTED_VALUE"""),0.5354609929078011)</f>
        <v>0.5354609929</v>
      </c>
      <c r="U12" s="57">
        <f>IFERROR(__xludf.DUMMYFUNCTION("""COMPUTED_VALUE"""),0.31382978723404265)</f>
        <v>0.3138297872</v>
      </c>
      <c r="V12" s="57">
        <f>IFERROR(__xludf.DUMMYFUNCTION("""COMPUTED_VALUE"""),0.7375886524822699)</f>
        <v>0.7375886525</v>
      </c>
      <c r="W12" s="57">
        <f>IFERROR(__xludf.DUMMYFUNCTION("""COMPUTED_VALUE"""),2.081560283687944)</f>
        <v>2.081560284</v>
      </c>
      <c r="X12" s="31">
        <f>IFERROR(__xludf.DUMMYFUNCTION("""COMPUTED_VALUE"""),293.4666470465732)</f>
        <v>293.466647</v>
      </c>
      <c r="Y12" s="57">
        <f>IFERROR(__xludf.DUMMYFUNCTION("""COMPUTED_VALUE"""),0.7539157316102209)</f>
        <v>0.7539157316</v>
      </c>
      <c r="Z12" s="57">
        <f>IFERROR(__xludf.DUMMYFUNCTION("""COMPUTED_VALUE"""),0.43255955651296973)</f>
        <v>0.4325595565</v>
      </c>
      <c r="AA12" s="57">
        <f>IFERROR(__xludf.DUMMYFUNCTION("""COMPUTED_VALUE"""),0.861713197110993)</f>
        <v>0.8617131971</v>
      </c>
      <c r="AB12" s="57">
        <f>IFERROR(__xludf.DUMMYFUNCTION("""COMPUTED_VALUE"""),2.1108927354295335)</f>
        <v>2.110892735</v>
      </c>
      <c r="AC12" s="31">
        <f>IFERROR(__xludf.DUMMYFUNCTION("""COMPUTED_VALUE"""),299.7652551797856)</f>
        <v>299.7652552</v>
      </c>
      <c r="AD12" s="57">
        <f>IFERROR(__xludf.DUMMYFUNCTION("""COMPUTED_VALUE"""),0.801709891067378)</f>
        <v>0.8017098911</v>
      </c>
      <c r="AE12" s="57">
        <f>IFERROR(__xludf.DUMMYFUNCTION("""COMPUTED_VALUE"""),0.4423090204504491)</f>
        <v>0.4423090205</v>
      </c>
      <c r="AF12" s="57">
        <f>IFERROR(__xludf.DUMMYFUNCTION("""COMPUTED_VALUE"""),0.9214274457765692)</f>
        <v>0.9214274458</v>
      </c>
      <c r="AG12" s="57">
        <f>IFERROR(__xludf.DUMMYFUNCTION("""COMPUTED_VALUE"""),2.072287435261942)</f>
        <v>2.072287435</v>
      </c>
      <c r="AH12" s="57">
        <f>IFERROR(__xludf.DUMMYFUNCTION("""COMPUTED_VALUE"""),1.1361372347200323)</f>
        <v>1.136137235</v>
      </c>
      <c r="AI12" s="57">
        <f>IFERROR(__xludf.DUMMYFUNCTION("""COMPUTED_VALUE"""),1.088099866611975)</f>
        <v>1.088099867</v>
      </c>
      <c r="AJ12" s="57">
        <f>IFERROR(__xludf.DUMMYFUNCTION("""COMPUTED_VALUE"""),1.202586583188643)</f>
        <v>1.202586583</v>
      </c>
      <c r="AK12" s="57">
        <f>IFERROR(__xludf.DUMMYFUNCTION("""COMPUTED_VALUE"""),1.177636272885498)</f>
        <v>1.177636273</v>
      </c>
      <c r="AL12" s="57">
        <f>IFERROR(__xludf.DUMMYFUNCTION("""COMPUTED_VALUE"""),1.0677891106197388)</f>
        <v>1.067789111</v>
      </c>
      <c r="AM12" s="57">
        <f>IFERROR(__xludf.DUMMYFUNCTION("""COMPUTED_VALUE"""),0.8889576899098586)</f>
        <v>0.8889576899</v>
      </c>
      <c r="AN12" s="57">
        <f>IFERROR(__xludf.DUMMYFUNCTION("""COMPUTED_VALUE"""),0.7102398457240813)</f>
        <v>0.7102398457</v>
      </c>
      <c r="AO12" s="57">
        <f>IFERROR(__xludf.DUMMYFUNCTION("""COMPUTED_VALUE"""),0.7255180992045263)</f>
        <v>0.7255180992</v>
      </c>
      <c r="AP12" s="35">
        <f>IFERROR(__xludf.DUMMYFUNCTION("""COMPUTED_VALUE"""),0.8559560825517504)</f>
        <v>0.8559560826</v>
      </c>
      <c r="AQ12" s="57">
        <f>IFERROR(__xludf.DUMMYFUNCTION("""COMPUTED_VALUE"""),0.9861042433614605)</f>
        <v>0.9861042434</v>
      </c>
      <c r="AR12" s="36" t="b">
        <f>IFERROR(__xludf.DUMMYFUNCTION("""COMPUTED_VALUE"""),TRUE)</f>
        <v>1</v>
      </c>
      <c r="AS12" s="57"/>
      <c r="AT12" s="37"/>
      <c r="AU12" s="30"/>
      <c r="AV12" s="30"/>
      <c r="AW12" s="30"/>
      <c r="AX12" s="30"/>
      <c r="AY12" s="30"/>
      <c r="AZ12" s="30"/>
    </row>
    <row r="13">
      <c r="A13" s="30" t="str">
        <f>IFERROR(__xludf.DUMMYFUNCTION("""COMPUTED_VALUE"""),"Amateur")</f>
        <v>Amateur</v>
      </c>
      <c r="B13" s="30" t="str">
        <f>IFERROR(__xludf.DUMMYFUNCTION("""COMPUTED_VALUE"""),"RSC007306")</f>
        <v>RSC007306</v>
      </c>
      <c r="C13" s="30" t="str">
        <f>IFERROR(__xludf.DUMMYFUNCTION("""COMPUTED_VALUE"""),"SAMCRO-8640")</f>
        <v>SAMCRO-8640</v>
      </c>
      <c r="D13" s="31"/>
      <c r="E13" s="31">
        <f>IFERROR(__xludf.DUMMYFUNCTION("""COMPUTED_VALUE"""),69.63237618367602)</f>
        <v>69.63237618</v>
      </c>
      <c r="F13" s="31">
        <f>IFERROR(__xludf.DUMMYFUNCTION("""COMPUTED_VALUE"""),4.626624477019452)</f>
        <v>4.626624477</v>
      </c>
      <c r="G13" s="31">
        <f>IFERROR(__xludf.DUMMYFUNCTION("""COMPUTED_VALUE"""),51.12678670712019)</f>
        <v>51.12678671</v>
      </c>
      <c r="H13" s="31">
        <f>IFERROR(__xludf.DUMMYFUNCTION("""COMPUTED_VALUE"""),2.074580455130779)</f>
        <v>2.074580455</v>
      </c>
      <c r="I13" s="54">
        <f>IFERROR(__xludf.DUMMYFUNCTION("""COMPUTED_VALUE"""),8.0)</f>
        <v>8</v>
      </c>
      <c r="J13" s="55">
        <f>IFERROR(__xludf.DUMMYFUNCTION("""COMPUTED_VALUE"""),5.0)</f>
        <v>5</v>
      </c>
      <c r="K13" s="54">
        <f>IFERROR(__xludf.DUMMYFUNCTION("""COMPUTED_VALUE"""),3.0)</f>
        <v>3</v>
      </c>
      <c r="L13" s="56">
        <f>IFERROR(__xludf.DUMMYFUNCTION("""COMPUTED_VALUE"""),0.625)</f>
        <v>0.625</v>
      </c>
      <c r="M13" s="56">
        <f>IFERROR(__xludf.DUMMYFUNCTION("""COMPUTED_VALUE"""),0.8125)</f>
        <v>0.8125</v>
      </c>
      <c r="N13" s="31">
        <f>IFERROR(__xludf.DUMMYFUNCTION("""COMPUTED_VALUE"""),333.5)</f>
        <v>333.5</v>
      </c>
      <c r="O13" s="57">
        <f>IFERROR(__xludf.DUMMYFUNCTION("""COMPUTED_VALUE"""),1.625)</f>
        <v>1.625</v>
      </c>
      <c r="P13" s="57">
        <f>IFERROR(__xludf.DUMMYFUNCTION("""COMPUTED_VALUE"""),0.25)</f>
        <v>0.25</v>
      </c>
      <c r="Q13" s="57">
        <f>IFERROR(__xludf.DUMMYFUNCTION("""COMPUTED_VALUE"""),0.5)</f>
        <v>0.5</v>
      </c>
      <c r="R13" s="57">
        <f>IFERROR(__xludf.DUMMYFUNCTION("""COMPUTED_VALUE"""),2.0)</f>
        <v>2</v>
      </c>
      <c r="S13" s="31">
        <f>IFERROR(__xludf.DUMMYFUNCTION("""COMPUTED_VALUE"""),297.8229166666667)</f>
        <v>297.8229167</v>
      </c>
      <c r="T13" s="57">
        <f>IFERROR(__xludf.DUMMYFUNCTION("""COMPUTED_VALUE"""),0.9062500000000001)</f>
        <v>0.90625</v>
      </c>
      <c r="U13" s="57">
        <f>IFERROR(__xludf.DUMMYFUNCTION("""COMPUTED_VALUE"""),0.53125)</f>
        <v>0.53125</v>
      </c>
      <c r="V13" s="57">
        <f>IFERROR(__xludf.DUMMYFUNCTION("""COMPUTED_VALUE"""),0.8229166666666666)</f>
        <v>0.8229166667</v>
      </c>
      <c r="W13" s="57">
        <f>IFERROR(__xludf.DUMMYFUNCTION("""COMPUTED_VALUE"""),1.9270833333333333)</f>
        <v>1.927083333</v>
      </c>
      <c r="X13" s="31">
        <f>IFERROR(__xludf.DUMMYFUNCTION("""COMPUTED_VALUE"""),293.99670750269837)</f>
        <v>293.9967075</v>
      </c>
      <c r="Y13" s="57">
        <f>IFERROR(__xludf.DUMMYFUNCTION("""COMPUTED_VALUE"""),0.7668332041318513)</f>
        <v>0.7668332041</v>
      </c>
      <c r="Z13" s="57">
        <f>IFERROR(__xludf.DUMMYFUNCTION("""COMPUTED_VALUE"""),0.4586163946947218)</f>
        <v>0.4586163947</v>
      </c>
      <c r="AA13" s="57">
        <f>IFERROR(__xludf.DUMMYFUNCTION("""COMPUTED_VALUE"""),0.8625783538931617)</f>
        <v>0.8625783539</v>
      </c>
      <c r="AB13" s="57">
        <f>IFERROR(__xludf.DUMMYFUNCTION("""COMPUTED_VALUE"""),2.075129791778444)</f>
        <v>2.075129792</v>
      </c>
      <c r="AC13" s="31">
        <f>IFERROR(__xludf.DUMMYFUNCTION("""COMPUTED_VALUE"""),300.6288320201978)</f>
        <v>300.628832</v>
      </c>
      <c r="AD13" s="57">
        <f>IFERROR(__xludf.DUMMYFUNCTION("""COMPUTED_VALUE"""),0.8199718050025454)</f>
        <v>0.819971805</v>
      </c>
      <c r="AE13" s="57">
        <f>IFERROR(__xludf.DUMMYFUNCTION("""COMPUTED_VALUE"""),0.45485709223429743)</f>
        <v>0.4548570922</v>
      </c>
      <c r="AF13" s="57">
        <f>IFERROR(__xludf.DUMMYFUNCTION("""COMPUTED_VALUE"""),0.8872208920357811)</f>
        <v>0.887220892</v>
      </c>
      <c r="AG13" s="57">
        <f>IFERROR(__xludf.DUMMYFUNCTION("""COMPUTED_VALUE"""),2.047724904127771)</f>
        <v>2.047724904</v>
      </c>
      <c r="AH13" s="57">
        <f>IFERROR(__xludf.DUMMYFUNCTION("""COMPUTED_VALUE"""),1.109341368753326)</f>
        <v>1.109341369</v>
      </c>
      <c r="AI13" s="57">
        <f>IFERROR(__xludf.DUMMYFUNCTION("""COMPUTED_VALUE"""),1.9817754587244076)</f>
        <v>1.981775459</v>
      </c>
      <c r="AJ13" s="57">
        <f>IFERROR(__xludf.DUMMYFUNCTION("""COMPUTED_VALUE"""),0.5496231767476205)</f>
        <v>0.5496231767</v>
      </c>
      <c r="AK13" s="57">
        <f>IFERROR(__xludf.DUMMYFUNCTION("""COMPUTED_VALUE"""),0.5635575136792825)</f>
        <v>0.5635575137</v>
      </c>
      <c r="AL13" s="57">
        <f>IFERROR(__xludf.DUMMYFUNCTION("""COMPUTED_VALUE"""),0.9766936935564109)</f>
        <v>0.9766936936</v>
      </c>
      <c r="AM13" s="57">
        <f>IFERROR(__xludf.DUMMYFUNCTION("""COMPUTED_VALUE"""),1.013014462632828)</f>
        <v>1.013014463</v>
      </c>
      <c r="AN13" s="57">
        <f>IFERROR(__xludf.DUMMYFUNCTION("""COMPUTED_VALUE"""),1.1818085016623474)</f>
        <v>1.181808502</v>
      </c>
      <c r="AO13" s="57">
        <f>IFERROR(__xludf.DUMMYFUNCTION("""COMPUTED_VALUE"""),1.1583755097844393)</f>
        <v>1.15837551</v>
      </c>
      <c r="AP13" s="35">
        <f>IFERROR(__xludf.DUMMYFUNCTION("""COMPUTED_VALUE"""),0.9540196121923463)</f>
        <v>0.9540196122</v>
      </c>
      <c r="AQ13" s="57">
        <f>IFERROR(__xludf.DUMMYFUNCTION("""COMPUTED_VALUE"""),0.9286567717201771)</f>
        <v>0.9286567717</v>
      </c>
      <c r="AR13" s="36" t="b">
        <f>IFERROR(__xludf.DUMMYFUNCTION("""COMPUTED_VALUE"""),TRUE)</f>
        <v>1</v>
      </c>
      <c r="AS13" s="57"/>
      <c r="AT13" s="37"/>
      <c r="AU13" s="30"/>
      <c r="AV13" s="30"/>
      <c r="AW13" s="30"/>
      <c r="AX13" s="30"/>
      <c r="AY13" s="30"/>
      <c r="AZ13" s="30"/>
    </row>
    <row r="14">
      <c r="A14" s="30" t="str">
        <f>IFERROR(__xludf.DUMMYFUNCTION("""COMPUTED_VALUE"""),"Amateur")</f>
        <v>Amateur</v>
      </c>
      <c r="B14" s="30" t="str">
        <f>IFERROR(__xludf.DUMMYFUNCTION("""COMPUTED_VALUE"""),"RSC007468")</f>
        <v>RSC007468</v>
      </c>
      <c r="C14" s="30" t="str">
        <f>IFERROR(__xludf.DUMMYFUNCTION("""COMPUTED_VALUE"""),"im_link42")</f>
        <v>im_link42</v>
      </c>
      <c r="D14" s="31" t="str">
        <f>IFERROR(__xludf.DUMMYFUNCTION("""COMPUTED_VALUE"""),"Amaranth")</f>
        <v>Amaranth</v>
      </c>
      <c r="E14" s="31">
        <f>IFERROR(__xludf.DUMMYFUNCTION("""COMPUTED_VALUE"""),68.37209171585252)</f>
        <v>68.37209172</v>
      </c>
      <c r="F14" s="31">
        <f>IFERROR(__xludf.DUMMYFUNCTION("""COMPUTED_VALUE"""),4.325162748461925)</f>
        <v>4.325162748</v>
      </c>
      <c r="G14" s="31">
        <f>IFERROR(__xludf.DUMMYFUNCTION("""COMPUTED_VALUE"""),57.25156312540773)</f>
        <v>57.25156313</v>
      </c>
      <c r="H14" s="31">
        <f>IFERROR(__xludf.DUMMYFUNCTION("""COMPUTED_VALUE"""),2.591450995065986)</f>
        <v>2.591450995</v>
      </c>
      <c r="I14" s="54">
        <f>IFERROR(__xludf.DUMMYFUNCTION("""COMPUTED_VALUE"""),46.0)</f>
        <v>46</v>
      </c>
      <c r="J14" s="55">
        <f>IFERROR(__xludf.DUMMYFUNCTION("""COMPUTED_VALUE"""),26.0)</f>
        <v>26</v>
      </c>
      <c r="K14" s="54">
        <f>IFERROR(__xludf.DUMMYFUNCTION("""COMPUTED_VALUE"""),20.0)</f>
        <v>20</v>
      </c>
      <c r="L14" s="56">
        <f>IFERROR(__xludf.DUMMYFUNCTION("""COMPUTED_VALUE"""),0.5652173913043478)</f>
        <v>0.5652173913</v>
      </c>
      <c r="M14" s="56">
        <f>IFERROR(__xludf.DUMMYFUNCTION("""COMPUTED_VALUE"""),0.4067796610169492)</f>
        <v>0.406779661</v>
      </c>
      <c r="N14" s="31">
        <f>IFERROR(__xludf.DUMMYFUNCTION("""COMPUTED_VALUE"""),316.17391304347825)</f>
        <v>316.173913</v>
      </c>
      <c r="O14" s="57">
        <f>IFERROR(__xludf.DUMMYFUNCTION("""COMPUTED_VALUE"""),1.0434782608695652)</f>
        <v>1.043478261</v>
      </c>
      <c r="P14" s="57">
        <f>IFERROR(__xludf.DUMMYFUNCTION("""COMPUTED_VALUE"""),0.41304347826086957)</f>
        <v>0.4130434783</v>
      </c>
      <c r="Q14" s="57">
        <f>IFERROR(__xludf.DUMMYFUNCTION("""COMPUTED_VALUE"""),0.717391304347826)</f>
        <v>0.7173913043</v>
      </c>
      <c r="R14" s="57">
        <f>IFERROR(__xludf.DUMMYFUNCTION("""COMPUTED_VALUE"""),2.5652173913043477)</f>
        <v>2.565217391</v>
      </c>
      <c r="S14" s="31">
        <f>IFERROR(__xludf.DUMMYFUNCTION("""COMPUTED_VALUE"""),285.8925925925925)</f>
        <v>285.8925926</v>
      </c>
      <c r="T14" s="57">
        <f>IFERROR(__xludf.DUMMYFUNCTION("""COMPUTED_VALUE"""),0.6537037037037037)</f>
        <v>0.6537037037</v>
      </c>
      <c r="U14" s="57">
        <f>IFERROR(__xludf.DUMMYFUNCTION("""COMPUTED_VALUE"""),0.38333333333333347)</f>
        <v>0.3833333333</v>
      </c>
      <c r="V14" s="57">
        <f>IFERROR(__xludf.DUMMYFUNCTION("""COMPUTED_VALUE"""),0.9629629629629629)</f>
        <v>0.962962963</v>
      </c>
      <c r="W14" s="57">
        <f>IFERROR(__xludf.DUMMYFUNCTION("""COMPUTED_VALUE"""),2.0055555555555546)</f>
        <v>2.005555556</v>
      </c>
      <c r="X14" s="31">
        <f>IFERROR(__xludf.DUMMYFUNCTION("""COMPUTED_VALUE"""),289.3994600957472)</f>
        <v>289.3994601</v>
      </c>
      <c r="Y14" s="57">
        <f>IFERROR(__xludf.DUMMYFUNCTION("""COMPUTED_VALUE"""),0.7623662816955096)</f>
        <v>0.7623662817</v>
      </c>
      <c r="Z14" s="57">
        <f>IFERROR(__xludf.DUMMYFUNCTION("""COMPUTED_VALUE"""),0.4248183225770915)</f>
        <v>0.4248183226</v>
      </c>
      <c r="AA14" s="57">
        <f>IFERROR(__xludf.DUMMYFUNCTION("""COMPUTED_VALUE"""),0.8613581163105513)</f>
        <v>0.8613581163</v>
      </c>
      <c r="AB14" s="57">
        <f>IFERROR(__xludf.DUMMYFUNCTION("""COMPUTED_VALUE"""),2.05469700462214)</f>
        <v>2.054697005</v>
      </c>
      <c r="AC14" s="31">
        <f>IFERROR(__xludf.DUMMYFUNCTION("""COMPUTED_VALUE"""),298.797028733595)</f>
        <v>298.7970287</v>
      </c>
      <c r="AD14" s="57">
        <f>IFERROR(__xludf.DUMMYFUNCTION("""COMPUTED_VALUE"""),0.8042239957308339)</f>
        <v>0.8042239957</v>
      </c>
      <c r="AE14" s="57">
        <f>IFERROR(__xludf.DUMMYFUNCTION("""COMPUTED_VALUE"""),0.4650227023439182)</f>
        <v>0.4650227023</v>
      </c>
      <c r="AF14" s="57">
        <f>IFERROR(__xludf.DUMMYFUNCTION("""COMPUTED_VALUE"""),0.8729595519818996)</f>
        <v>0.872959552</v>
      </c>
      <c r="AG14" s="57">
        <f>IFERROR(__xludf.DUMMYFUNCTION("""COMPUTED_VALUE"""),2.1026305912989267)</f>
        <v>2.102630591</v>
      </c>
      <c r="AH14" s="57">
        <f>IFERROR(__xludf.DUMMYFUNCTION("""COMPUTED_VALUE"""),1.0581561482841126)</f>
        <v>1.058156148</v>
      </c>
      <c r="AI14" s="57">
        <f>IFERROR(__xludf.DUMMYFUNCTION("""COMPUTED_VALUE"""),1.297497048594416)</f>
        <v>1.297497049</v>
      </c>
      <c r="AJ14" s="57">
        <f>IFERROR(__xludf.DUMMYFUNCTION("""COMPUTED_VALUE"""),0.8882221796461752)</f>
        <v>0.8882221796</v>
      </c>
      <c r="AK14" s="57">
        <f>IFERROR(__xludf.DUMMYFUNCTION("""COMPUTED_VALUE"""),0.8217921468630667)</f>
        <v>0.8217921469</v>
      </c>
      <c r="AL14" s="57">
        <f>IFERROR(__xludf.DUMMYFUNCTION("""COMPUTED_VALUE"""),1.2200038380111515)</f>
        <v>1.220003838</v>
      </c>
      <c r="AM14" s="57">
        <f>IFERROR(__xludf.DUMMYFUNCTION("""COMPUTED_VALUE"""),0.987882259690483)</f>
        <v>0.9878822597</v>
      </c>
      <c r="AN14" s="57">
        <f>IFERROR(__xludf.DUMMYFUNCTION("""COMPUTED_VALUE"""),0.8574667051772813)</f>
        <v>0.8574667052</v>
      </c>
      <c r="AO14" s="57">
        <f>IFERROR(__xludf.DUMMYFUNCTION("""COMPUTED_VALUE"""),0.9023465160539779)</f>
        <v>0.9023465161</v>
      </c>
      <c r="AP14" s="35">
        <f>IFERROR(__xludf.DUMMYFUNCTION("""COMPUTED_VALUE"""),1.117958889256904)</f>
        <v>1.117958889</v>
      </c>
      <c r="AQ14" s="57">
        <f>IFERROR(__xludf.DUMMYFUNCTION("""COMPUTED_VALUE"""),0.9760833597576483)</f>
        <v>0.9760833598</v>
      </c>
      <c r="AR14" s="36" t="b">
        <f>IFERROR(__xludf.DUMMYFUNCTION("""COMPUTED_VALUE"""),TRUE)</f>
        <v>1</v>
      </c>
      <c r="AS14" s="57"/>
      <c r="AT14" s="37"/>
      <c r="AU14" s="30"/>
      <c r="AV14" s="30"/>
      <c r="AW14" s="30"/>
      <c r="AX14" s="30"/>
      <c r="AY14" s="30"/>
      <c r="AZ14" s="30"/>
    </row>
    <row r="15">
      <c r="A15" s="30" t="str">
        <f>IFERROR(__xludf.DUMMYFUNCTION("""COMPUTED_VALUE"""),"Amateur")</f>
        <v>Amateur</v>
      </c>
      <c r="B15" s="30" t="str">
        <f>IFERROR(__xludf.DUMMYFUNCTION("""COMPUTED_VALUE"""),"RSC007621")</f>
        <v>RSC007621</v>
      </c>
      <c r="C15" s="30" t="str">
        <f>IFERROR(__xludf.DUMMYFUNCTION("""COMPUTED_VALUE"""),"Classy-God57")</f>
        <v>Classy-God57</v>
      </c>
      <c r="D15" s="31" t="str">
        <f>IFERROR(__xludf.DUMMYFUNCTION("""COMPUTED_VALUE"""),"Winter Fresh")</f>
        <v>Winter Fresh</v>
      </c>
      <c r="E15" s="31">
        <f>IFERROR(__xludf.DUMMYFUNCTION("""COMPUTED_VALUE"""),67.72887189622766)</f>
        <v>67.7288719</v>
      </c>
      <c r="F15" s="31">
        <f>IFERROR(__xludf.DUMMYFUNCTION("""COMPUTED_VALUE"""),4.182102351183304)</f>
        <v>4.182102351</v>
      </c>
      <c r="G15" s="31">
        <f>IFERROR(__xludf.DUMMYFUNCTION("""COMPUTED_VALUE"""),65.39305976787477)</f>
        <v>65.39305977</v>
      </c>
      <c r="H15" s="31">
        <f>IFERROR(__xludf.DUMMYFUNCTION("""COMPUTED_VALUE"""),3.716934912213863)</f>
        <v>3.716934912</v>
      </c>
      <c r="I15" s="54">
        <f>IFERROR(__xludf.DUMMYFUNCTION("""COMPUTED_VALUE"""),39.0)</f>
        <v>39</v>
      </c>
      <c r="J15" s="55">
        <f>IFERROR(__xludf.DUMMYFUNCTION("""COMPUTED_VALUE"""),17.0)</f>
        <v>17</v>
      </c>
      <c r="K15" s="54">
        <f>IFERROR(__xludf.DUMMYFUNCTION("""COMPUTED_VALUE"""),22.0)</f>
        <v>22</v>
      </c>
      <c r="L15" s="56">
        <f>IFERROR(__xludf.DUMMYFUNCTION("""COMPUTED_VALUE"""),0.4358974358974359)</f>
        <v>0.4358974359</v>
      </c>
      <c r="M15" s="56">
        <f>IFERROR(__xludf.DUMMYFUNCTION("""COMPUTED_VALUE"""),0.37999999999999995)</f>
        <v>0.38</v>
      </c>
      <c r="N15" s="31">
        <f>IFERROR(__xludf.DUMMYFUNCTION("""COMPUTED_VALUE"""),360.87179487179486)</f>
        <v>360.8717949</v>
      </c>
      <c r="O15" s="57">
        <f>IFERROR(__xludf.DUMMYFUNCTION("""COMPUTED_VALUE"""),0.9743589743589743)</f>
        <v>0.9743589744</v>
      </c>
      <c r="P15" s="57">
        <f>IFERROR(__xludf.DUMMYFUNCTION("""COMPUTED_VALUE"""),0.48717948717948717)</f>
        <v>0.4871794872</v>
      </c>
      <c r="Q15" s="57">
        <f>IFERROR(__xludf.DUMMYFUNCTION("""COMPUTED_VALUE"""),1.0)</f>
        <v>1</v>
      </c>
      <c r="R15" s="57">
        <f>IFERROR(__xludf.DUMMYFUNCTION("""COMPUTED_VALUE"""),2.5641025641025643)</f>
        <v>2.564102564</v>
      </c>
      <c r="S15" s="31">
        <f>IFERROR(__xludf.DUMMYFUNCTION("""COMPUTED_VALUE"""),315.9401709401709)</f>
        <v>315.9401709</v>
      </c>
      <c r="T15" s="57">
        <f>IFERROR(__xludf.DUMMYFUNCTION("""COMPUTED_VALUE"""),0.9316239316239315)</f>
        <v>0.9316239316</v>
      </c>
      <c r="U15" s="57">
        <f>IFERROR(__xludf.DUMMYFUNCTION("""COMPUTED_VALUE"""),0.5982905982905982)</f>
        <v>0.5982905983</v>
      </c>
      <c r="V15" s="57">
        <f>IFERROR(__xludf.DUMMYFUNCTION("""COMPUTED_VALUE"""),0.871794871794872)</f>
        <v>0.8717948718</v>
      </c>
      <c r="W15" s="57">
        <f>IFERROR(__xludf.DUMMYFUNCTION("""COMPUTED_VALUE"""),2.2136752136752134)</f>
        <v>2.213675214</v>
      </c>
      <c r="X15" s="31">
        <f>IFERROR(__xludf.DUMMYFUNCTION("""COMPUTED_VALUE"""),296.48566654869256)</f>
        <v>296.4856665</v>
      </c>
      <c r="Y15" s="57">
        <f>IFERROR(__xludf.DUMMYFUNCTION("""COMPUTED_VALUE"""),0.8022717145445568)</f>
        <v>0.8022717145</v>
      </c>
      <c r="Z15" s="57">
        <f>IFERROR(__xludf.DUMMYFUNCTION("""COMPUTED_VALUE"""),0.4459424342612374)</f>
        <v>0.4459424343</v>
      </c>
      <c r="AA15" s="57">
        <f>IFERROR(__xludf.DUMMYFUNCTION("""COMPUTED_VALUE"""),0.8518565213824707)</f>
        <v>0.8518565214</v>
      </c>
      <c r="AB15" s="57">
        <f>IFERROR(__xludf.DUMMYFUNCTION("""COMPUTED_VALUE"""),2.0678489235011575)</f>
        <v>2.067848924</v>
      </c>
      <c r="AC15" s="31">
        <f>IFERROR(__xludf.DUMMYFUNCTION("""COMPUTED_VALUE"""),291.06349358976723)</f>
        <v>291.0634936</v>
      </c>
      <c r="AD15" s="57">
        <f>IFERROR(__xludf.DUMMYFUNCTION("""COMPUTED_VALUE"""),0.7435573120100241)</f>
        <v>0.743557312</v>
      </c>
      <c r="AE15" s="57">
        <f>IFERROR(__xludf.DUMMYFUNCTION("""COMPUTED_VALUE"""),0.40281759117592353)</f>
        <v>0.4028175912</v>
      </c>
      <c r="AF15" s="57">
        <f>IFERROR(__xludf.DUMMYFUNCTION("""COMPUTED_VALUE"""),0.8894110569872924)</f>
        <v>0.889411057</v>
      </c>
      <c r="AG15" s="57">
        <f>IFERROR(__xludf.DUMMYFUNCTION("""COMPUTED_VALUE"""),2.0247519927636555)</f>
        <v>2.024751993</v>
      </c>
      <c r="AH15" s="57">
        <f>IFERROR(__xludf.DUMMYFUNCTION("""COMPUTED_VALUE"""),1.2398387390361545)</f>
        <v>1.239838739</v>
      </c>
      <c r="AI15" s="57">
        <f>IFERROR(__xludf.DUMMYFUNCTION("""COMPUTED_VALUE"""),1.3104019806153675)</f>
        <v>1.310401981</v>
      </c>
      <c r="AJ15" s="57">
        <f>IFERROR(__xludf.DUMMYFUNCTION("""COMPUTED_VALUE"""),1.2094295230684702)</f>
        <v>1.209429523</v>
      </c>
      <c r="AK15" s="57">
        <f>IFERROR(__xludf.DUMMYFUNCTION("""COMPUTED_VALUE"""),1.1243395189928336)</f>
        <v>1.124339519</v>
      </c>
      <c r="AL15" s="57">
        <f>IFERROR(__xludf.DUMMYFUNCTION("""COMPUTED_VALUE"""),1.2663785852620548)</f>
        <v>1.266378585</v>
      </c>
      <c r="AM15" s="57">
        <f>IFERROR(__xludf.DUMMYFUNCTION("""COMPUTED_VALUE"""),1.065617014872735)</f>
        <v>1.065617015</v>
      </c>
      <c r="AN15" s="57">
        <f>IFERROR(__xludf.DUMMYFUNCTION("""COMPUTED_VALUE"""),1.1612324287823197)</f>
        <v>1.161232429</v>
      </c>
      <c r="AO15" s="57">
        <f>IFERROR(__xludf.DUMMYFUNCTION("""COMPUTED_VALUE"""),1.3416319065525701)</f>
        <v>1.341631907</v>
      </c>
      <c r="AP15" s="35">
        <f>IFERROR(__xludf.DUMMYFUNCTION("""COMPUTED_VALUE"""),1.0234057613130008)</f>
        <v>1.023405761</v>
      </c>
      <c r="AQ15" s="57">
        <f>IFERROR(__xludf.DUMMYFUNCTION("""COMPUTED_VALUE"""),1.0705207660563285)</f>
        <v>1.070520766</v>
      </c>
      <c r="AR15" s="36" t="b">
        <f>IFERROR(__xludf.DUMMYFUNCTION("""COMPUTED_VALUE"""),TRUE)</f>
        <v>1</v>
      </c>
      <c r="AS15" s="57"/>
      <c r="AT15" s="37"/>
      <c r="AU15" s="30"/>
      <c r="AV15" s="30"/>
      <c r="AW15" s="30"/>
      <c r="AX15" s="30"/>
      <c r="AY15" s="30"/>
      <c r="AZ15" s="30"/>
    </row>
    <row r="16">
      <c r="A16" s="30" t="str">
        <f>IFERROR(__xludf.DUMMYFUNCTION("""COMPUTED_VALUE"""),"Amateur")</f>
        <v>Amateur</v>
      </c>
      <c r="B16" s="30" t="str">
        <f>IFERROR(__xludf.DUMMYFUNCTION("""COMPUTED_VALUE"""),"RSC007463")</f>
        <v>RSC007463</v>
      </c>
      <c r="C16" s="30" t="str">
        <f>IFERROR(__xludf.DUMMYFUNCTION("""COMPUTED_VALUE"""),"xproteusx05")</f>
        <v>xproteusx05</v>
      </c>
      <c r="D16" s="31" t="str">
        <f>IFERROR(__xludf.DUMMYFUNCTION("""COMPUTED_VALUE"""),"Surprise")</f>
        <v>Surprise</v>
      </c>
      <c r="E16" s="31">
        <f>IFERROR(__xludf.DUMMYFUNCTION("""COMPUTED_VALUE"""),67.58909948636253)</f>
        <v>67.58909949</v>
      </c>
      <c r="F16" s="31">
        <f>IFERROR(__xludf.DUMMYFUNCTION("""COMPUTED_VALUE"""),4.151924307935603)</f>
        <v>4.151924308</v>
      </c>
      <c r="G16" s="31">
        <f>IFERROR(__xludf.DUMMYFUNCTION("""COMPUTED_VALUE"""),59.87627508294172)</f>
        <v>59.87627508</v>
      </c>
      <c r="H16" s="31">
        <f>IFERROR(__xludf.DUMMYFUNCTION("""COMPUTED_VALUE"""),2.8868141615248217)</f>
        <v>2.886814162</v>
      </c>
      <c r="I16" s="54">
        <f>IFERROR(__xludf.DUMMYFUNCTION("""COMPUTED_VALUE"""),39.0)</f>
        <v>39</v>
      </c>
      <c r="J16" s="55">
        <f>IFERROR(__xludf.DUMMYFUNCTION("""COMPUTED_VALUE"""),24.0)</f>
        <v>24</v>
      </c>
      <c r="K16" s="54">
        <f>IFERROR(__xludf.DUMMYFUNCTION("""COMPUTED_VALUE"""),15.0)</f>
        <v>15</v>
      </c>
      <c r="L16" s="56">
        <f>IFERROR(__xludf.DUMMYFUNCTION("""COMPUTED_VALUE"""),0.6153846153846154)</f>
        <v>0.6153846154</v>
      </c>
      <c r="M16" s="56">
        <f>IFERROR(__xludf.DUMMYFUNCTION("""COMPUTED_VALUE"""),0.4444444444444444)</f>
        <v>0.4444444444</v>
      </c>
      <c r="N16" s="31">
        <f>IFERROR(__xludf.DUMMYFUNCTION("""COMPUTED_VALUE"""),308.64102564102564)</f>
        <v>308.6410256</v>
      </c>
      <c r="O16" s="57">
        <f>IFERROR(__xludf.DUMMYFUNCTION("""COMPUTED_VALUE"""),1.0256410256410255)</f>
        <v>1.025641026</v>
      </c>
      <c r="P16" s="57">
        <f>IFERROR(__xludf.DUMMYFUNCTION("""COMPUTED_VALUE"""),0.41025641025641024)</f>
        <v>0.4102564103</v>
      </c>
      <c r="Q16" s="57">
        <f>IFERROR(__xludf.DUMMYFUNCTION("""COMPUTED_VALUE"""),0.8461538461538461)</f>
        <v>0.8461538462</v>
      </c>
      <c r="R16" s="57">
        <f>IFERROR(__xludf.DUMMYFUNCTION("""COMPUTED_VALUE"""),2.3076923076923075)</f>
        <v>2.307692308</v>
      </c>
      <c r="S16" s="31">
        <f>IFERROR(__xludf.DUMMYFUNCTION("""COMPUTED_VALUE"""),276.2905982905981)</f>
        <v>276.2905983</v>
      </c>
      <c r="T16" s="57">
        <f>IFERROR(__xludf.DUMMYFUNCTION("""COMPUTED_VALUE"""),0.6645299145299145)</f>
        <v>0.6645299145</v>
      </c>
      <c r="U16" s="57">
        <f>IFERROR(__xludf.DUMMYFUNCTION("""COMPUTED_VALUE"""),0.26923076923076916)</f>
        <v>0.2692307692</v>
      </c>
      <c r="V16" s="57">
        <f>IFERROR(__xludf.DUMMYFUNCTION("""COMPUTED_VALUE"""),0.9166666666666669)</f>
        <v>0.9166666667</v>
      </c>
      <c r="W16" s="57">
        <f>IFERROR(__xludf.DUMMYFUNCTION("""COMPUTED_VALUE"""),1.786324786324786)</f>
        <v>1.786324786</v>
      </c>
      <c r="X16" s="31">
        <f>IFERROR(__xludf.DUMMYFUNCTION("""COMPUTED_VALUE"""),302.05839247497835)</f>
        <v>302.0583925</v>
      </c>
      <c r="Y16" s="57">
        <f>IFERROR(__xludf.DUMMYFUNCTION("""COMPUTED_VALUE"""),0.8052859844308182)</f>
        <v>0.8052859844</v>
      </c>
      <c r="Z16" s="57">
        <f>IFERROR(__xludf.DUMMYFUNCTION("""COMPUTED_VALUE"""),0.45536783078067966)</f>
        <v>0.4553678308</v>
      </c>
      <c r="AA16" s="57">
        <f>IFERROR(__xludf.DUMMYFUNCTION("""COMPUTED_VALUE"""),0.8974476847608716)</f>
        <v>0.8974476848</v>
      </c>
      <c r="AB16" s="57">
        <f>IFERROR(__xludf.DUMMYFUNCTION("""COMPUTED_VALUE"""),2.104262282244842)</f>
        <v>2.104262282</v>
      </c>
      <c r="AC16" s="31">
        <f>IFERROR(__xludf.DUMMYFUNCTION("""COMPUTED_VALUE"""),304.86487848263056)</f>
        <v>304.8648785</v>
      </c>
      <c r="AD16" s="57">
        <f>IFERROR(__xludf.DUMMYFUNCTION("""COMPUTED_VALUE"""),0.849085715748006)</f>
        <v>0.8490857157</v>
      </c>
      <c r="AE16" s="57">
        <f>IFERROR(__xludf.DUMMYFUNCTION("""COMPUTED_VALUE"""),0.4915216306952463)</f>
        <v>0.4915216307</v>
      </c>
      <c r="AF16" s="57">
        <f>IFERROR(__xludf.DUMMYFUNCTION("""COMPUTED_VALUE"""),0.8630989551045795)</f>
        <v>0.8630989551</v>
      </c>
      <c r="AG16" s="57">
        <f>IFERROR(__xludf.DUMMYFUNCTION("""COMPUTED_VALUE"""),2.1686452574218484)</f>
        <v>2.168645257</v>
      </c>
      <c r="AH16" s="57">
        <f>IFERROR(__xludf.DUMMYFUNCTION("""COMPUTED_VALUE"""),1.0123862977499727)</f>
        <v>1.012386298</v>
      </c>
      <c r="AI16" s="57">
        <f>IFERROR(__xludf.DUMMYFUNCTION("""COMPUTED_VALUE"""),1.2079357909554307)</f>
        <v>1.207935791</v>
      </c>
      <c r="AJ16" s="57">
        <f>IFERROR(__xludf.DUMMYFUNCTION("""COMPUTED_VALUE"""),0.834666034282381)</f>
        <v>0.8346660343</v>
      </c>
      <c r="AK16" s="57">
        <f>IFERROR(__xludf.DUMMYFUNCTION("""COMPUTED_VALUE"""),0.9803671307322113)</f>
        <v>0.9803671307</v>
      </c>
      <c r="AL16" s="57">
        <f>IFERROR(__xludf.DUMMYFUNCTION("""COMPUTED_VALUE"""),1.0641170102830753)</f>
        <v>1.06411701</v>
      </c>
      <c r="AM16" s="57">
        <f>IFERROR(__xludf.DUMMYFUNCTION("""COMPUTED_VALUE"""),0.9146926725880832)</f>
        <v>0.9146926726</v>
      </c>
      <c r="AN16" s="57">
        <f>IFERROR(__xludf.DUMMYFUNCTION("""COMPUTED_VALUE"""),0.8252098352358745)</f>
        <v>0.8252098352</v>
      </c>
      <c r="AO16" s="57">
        <f>IFERROR(__xludf.DUMMYFUNCTION("""COMPUTED_VALUE"""),0.5912380081157724)</f>
        <v>0.5912380081</v>
      </c>
      <c r="AP16" s="35">
        <f>IFERROR(__xludf.DUMMYFUNCTION("""COMPUTED_VALUE"""),1.021415155704498)</f>
        <v>1.021415156</v>
      </c>
      <c r="AQ16" s="57">
        <f>IFERROR(__xludf.DUMMYFUNCTION("""COMPUTED_VALUE"""),0.8489078578261271)</f>
        <v>0.8489078578</v>
      </c>
      <c r="AR16" s="36" t="b">
        <f>IFERROR(__xludf.DUMMYFUNCTION("""COMPUTED_VALUE"""),TRUE)</f>
        <v>1</v>
      </c>
      <c r="AS16" s="57"/>
      <c r="AT16" s="37"/>
      <c r="AU16" s="30"/>
      <c r="AV16" s="30"/>
      <c r="AW16" s="30"/>
      <c r="AX16" s="30"/>
      <c r="AY16" s="30"/>
      <c r="AZ16" s="30"/>
    </row>
    <row r="17">
      <c r="A17" s="30" t="str">
        <f>IFERROR(__xludf.DUMMYFUNCTION("""COMPUTED_VALUE"""),"Amateur")</f>
        <v>Amateur</v>
      </c>
      <c r="B17" s="30" t="str">
        <f>IFERROR(__xludf.DUMMYFUNCTION("""COMPUTED_VALUE"""),"RSC006256")</f>
        <v>RSC006256</v>
      </c>
      <c r="C17" s="30" t="str">
        <f>IFERROR(__xludf.DUMMYFUNCTION("""COMPUTED_VALUE"""),"CascaUnbroken")</f>
        <v>CascaUnbroken</v>
      </c>
      <c r="D17" s="31" t="str">
        <f>IFERROR(__xludf.DUMMYFUNCTION("""COMPUTED_VALUE"""),"Aeon Ale")</f>
        <v>Aeon Ale</v>
      </c>
      <c r="E17" s="31">
        <f>IFERROR(__xludf.DUMMYFUNCTION("""COMPUTED_VALUE"""),65.128860368394)</f>
        <v>65.12886037</v>
      </c>
      <c r="F17" s="31">
        <f>IFERROR(__xludf.DUMMYFUNCTION("""COMPUTED_VALUE"""),3.6692103980932016)</f>
        <v>3.669210398</v>
      </c>
      <c r="G17" s="31">
        <f>IFERROR(__xludf.DUMMYFUNCTION("""COMPUTED_VALUE"""),62.26798310027037)</f>
        <v>62.2679831</v>
      </c>
      <c r="H17" s="31">
        <f>IFERROR(__xludf.DUMMYFUNCTION("""COMPUTED_VALUE"""),3.2070556398803696)</f>
        <v>3.20705564</v>
      </c>
      <c r="I17" s="54">
        <f>IFERROR(__xludf.DUMMYFUNCTION("""COMPUTED_VALUE"""),47.0)</f>
        <v>47</v>
      </c>
      <c r="J17" s="55">
        <f>IFERROR(__xludf.DUMMYFUNCTION("""COMPUTED_VALUE"""),22.0)</f>
        <v>22</v>
      </c>
      <c r="K17" s="54">
        <f>IFERROR(__xludf.DUMMYFUNCTION("""COMPUTED_VALUE"""),25.0)</f>
        <v>25</v>
      </c>
      <c r="L17" s="56">
        <f>IFERROR(__xludf.DUMMYFUNCTION("""COMPUTED_VALUE"""),0.46808510638297873)</f>
        <v>0.4680851064</v>
      </c>
      <c r="M17" s="56">
        <f>IFERROR(__xludf.DUMMYFUNCTION("""COMPUTED_VALUE"""),0.39669421487603307)</f>
        <v>0.3966942149</v>
      </c>
      <c r="N17" s="31">
        <f>IFERROR(__xludf.DUMMYFUNCTION("""COMPUTED_VALUE"""),328.8085106382979)</f>
        <v>328.8085106</v>
      </c>
      <c r="O17" s="57">
        <f>IFERROR(__xludf.DUMMYFUNCTION("""COMPUTED_VALUE"""),1.0212765957446808)</f>
        <v>1.021276596</v>
      </c>
      <c r="P17" s="57">
        <f>IFERROR(__xludf.DUMMYFUNCTION("""COMPUTED_VALUE"""),0.3404255319148936)</f>
        <v>0.3404255319</v>
      </c>
      <c r="Q17" s="57">
        <f>IFERROR(__xludf.DUMMYFUNCTION("""COMPUTED_VALUE"""),0.7872340425531915)</f>
        <v>0.7872340426</v>
      </c>
      <c r="R17" s="57">
        <f>IFERROR(__xludf.DUMMYFUNCTION("""COMPUTED_VALUE"""),2.574468085106383)</f>
        <v>2.574468085</v>
      </c>
      <c r="S17" s="31">
        <f>IFERROR(__xludf.DUMMYFUNCTION("""COMPUTED_VALUE"""),297.73049645390074)</f>
        <v>297.7304965</v>
      </c>
      <c r="T17" s="57">
        <f>IFERROR(__xludf.DUMMYFUNCTION("""COMPUTED_VALUE"""),0.7943262411347514)</f>
        <v>0.7943262411</v>
      </c>
      <c r="U17" s="57">
        <f>IFERROR(__xludf.DUMMYFUNCTION("""COMPUTED_VALUE"""),0.44680851063829796)</f>
        <v>0.4468085106</v>
      </c>
      <c r="V17" s="57">
        <f>IFERROR(__xludf.DUMMYFUNCTION("""COMPUTED_VALUE"""),0.8085106382978722)</f>
        <v>0.8085106383</v>
      </c>
      <c r="W17" s="57">
        <f>IFERROR(__xludf.DUMMYFUNCTION("""COMPUTED_VALUE"""),2.0496453900709217)</f>
        <v>2.04964539</v>
      </c>
      <c r="X17" s="31">
        <f>IFERROR(__xludf.DUMMYFUNCTION("""COMPUTED_VALUE"""),298.7849809589926)</f>
        <v>298.784981</v>
      </c>
      <c r="Y17" s="57">
        <f>IFERROR(__xludf.DUMMYFUNCTION("""COMPUTED_VALUE"""),0.7753369706490878)</f>
        <v>0.7753369706</v>
      </c>
      <c r="Z17" s="57">
        <f>IFERROR(__xludf.DUMMYFUNCTION("""COMPUTED_VALUE"""),0.4425967233487276)</f>
        <v>0.4425967233</v>
      </c>
      <c r="AA17" s="57">
        <f>IFERROR(__xludf.DUMMYFUNCTION("""COMPUTED_VALUE"""),0.8998737379099792)</f>
        <v>0.8998737379</v>
      </c>
      <c r="AB17" s="57">
        <f>IFERROR(__xludf.DUMMYFUNCTION("""COMPUTED_VALUE"""),2.124944262234602)</f>
        <v>2.124944262</v>
      </c>
      <c r="AC17" s="31">
        <f>IFERROR(__xludf.DUMMYFUNCTION("""COMPUTED_VALUE"""),297.8143692541691)</f>
        <v>297.8143693</v>
      </c>
      <c r="AD17" s="57">
        <f>IFERROR(__xludf.DUMMYFUNCTION("""COMPUTED_VALUE"""),0.7903823099602358)</f>
        <v>0.79038231</v>
      </c>
      <c r="AE17" s="57">
        <f>IFERROR(__xludf.DUMMYFUNCTION("""COMPUTED_VALUE"""),0.44331905334085714)</f>
        <v>0.4433190533</v>
      </c>
      <c r="AF17" s="57">
        <f>IFERROR(__xludf.DUMMYFUNCTION("""COMPUTED_VALUE"""),0.90679564732905)</f>
        <v>0.9067956473</v>
      </c>
      <c r="AG17" s="57">
        <f>IFERROR(__xludf.DUMMYFUNCTION("""COMPUTED_VALUE"""),2.084294457100676)</f>
        <v>2.084294457</v>
      </c>
      <c r="AH17" s="57">
        <f>IFERROR(__xludf.DUMMYFUNCTION("""COMPUTED_VALUE"""),1.1040720145967065)</f>
        <v>1.104072015</v>
      </c>
      <c r="AI17" s="57">
        <f>IFERROR(__xludf.DUMMYFUNCTION("""COMPUTED_VALUE"""),1.2921298754726194)</f>
        <v>1.292129875</v>
      </c>
      <c r="AJ17" s="57">
        <f>IFERROR(__xludf.DUMMYFUNCTION("""COMPUTED_VALUE"""),0.7679018741681486)</f>
        <v>0.7679018742</v>
      </c>
      <c r="AK17" s="57">
        <f>IFERROR(__xludf.DUMMYFUNCTION("""COMPUTED_VALUE"""),0.8681493397900343)</f>
        <v>0.8681493398</v>
      </c>
      <c r="AL17" s="57">
        <f>IFERROR(__xludf.DUMMYFUNCTION("""COMPUTED_VALUE"""),1.2351748460184244)</f>
        <v>1.235174846</v>
      </c>
      <c r="AM17" s="57">
        <f>IFERROR(__xludf.DUMMYFUNCTION("""COMPUTED_VALUE"""),0.9964707579955748)</f>
        <v>0.996470758</v>
      </c>
      <c r="AN17" s="57">
        <f>IFERROR(__xludf.DUMMYFUNCTION("""COMPUTED_VALUE"""),1.0244916355139964)</f>
        <v>1.024491636</v>
      </c>
      <c r="AO17" s="57">
        <f>IFERROR(__xludf.DUMMYFUNCTION("""COMPUTED_VALUE"""),1.0095160833042405)</f>
        <v>1.009516083</v>
      </c>
      <c r="AP17" s="35">
        <f>IFERROR(__xludf.DUMMYFUNCTION("""COMPUTED_VALUE"""),0.8984712012772988)</f>
        <v>0.8984712013</v>
      </c>
      <c r="AQ17" s="57">
        <f>IFERROR(__xludf.DUMMYFUNCTION("""COMPUTED_VALUE"""),0.9645643071670521)</f>
        <v>0.9645643072</v>
      </c>
      <c r="AR17" s="36" t="b">
        <f>IFERROR(__xludf.DUMMYFUNCTION("""COMPUTED_VALUE"""),TRUE)</f>
        <v>1</v>
      </c>
      <c r="AS17" s="57"/>
      <c r="AT17" s="37"/>
      <c r="AU17" s="30"/>
      <c r="AV17" s="30"/>
      <c r="AW17" s="30"/>
      <c r="AX17" s="30"/>
      <c r="AY17" s="30"/>
      <c r="AZ17" s="30"/>
    </row>
    <row r="18">
      <c r="A18" s="30" t="str">
        <f>IFERROR(__xludf.DUMMYFUNCTION("""COMPUTED_VALUE"""),"Amateur")</f>
        <v>Amateur</v>
      </c>
      <c r="B18" s="30" t="str">
        <f>IFERROR(__xludf.DUMMYFUNCTION("""COMPUTED_VALUE"""),"RSC008012")</f>
        <v>RSC008012</v>
      </c>
      <c r="C18" s="30" t="str">
        <f>IFERROR(__xludf.DUMMYFUNCTION("""COMPUTED_VALUE"""),"mushxie")</f>
        <v>mushxie</v>
      </c>
      <c r="D18" s="31" t="str">
        <f>IFERROR(__xludf.DUMMYFUNCTION("""COMPUTED_VALUE"""),"Amaranth")</f>
        <v>Amaranth</v>
      </c>
      <c r="E18" s="31">
        <f>IFERROR(__xludf.DUMMYFUNCTION("""COMPUTED_VALUE"""),65.0468440468145)</f>
        <v>65.04684405</v>
      </c>
      <c r="F18" s="31">
        <f>IFERROR(__xludf.DUMMYFUNCTION("""COMPUTED_VALUE"""),3.654582255011044)</f>
        <v>3.654582255</v>
      </c>
      <c r="G18" s="31">
        <f>IFERROR(__xludf.DUMMYFUNCTION("""COMPUTED_VALUE"""),71.4658303295179)</f>
        <v>71.46583033</v>
      </c>
      <c r="H18" s="31">
        <f>IFERROR(__xludf.DUMMYFUNCTION("""COMPUTED_VALUE"""),5.121076222207275)</f>
        <v>5.121076222</v>
      </c>
      <c r="I18" s="54">
        <f>IFERROR(__xludf.DUMMYFUNCTION("""COMPUTED_VALUE"""),35.0)</f>
        <v>35</v>
      </c>
      <c r="J18" s="55">
        <f>IFERROR(__xludf.DUMMYFUNCTION("""COMPUTED_VALUE"""),21.0)</f>
        <v>21</v>
      </c>
      <c r="K18" s="54">
        <f>IFERROR(__xludf.DUMMYFUNCTION("""COMPUTED_VALUE"""),14.0)</f>
        <v>14</v>
      </c>
      <c r="L18" s="56">
        <f>IFERROR(__xludf.DUMMYFUNCTION("""COMPUTED_VALUE"""),0.6)</f>
        <v>0.6</v>
      </c>
      <c r="M18" s="56">
        <f>IFERROR(__xludf.DUMMYFUNCTION("""COMPUTED_VALUE"""),0.2727272727272727)</f>
        <v>0.2727272727</v>
      </c>
      <c r="N18" s="31">
        <f>IFERROR(__xludf.DUMMYFUNCTION("""COMPUTED_VALUE"""),319.2)</f>
        <v>319.2</v>
      </c>
      <c r="O18" s="57">
        <f>IFERROR(__xludf.DUMMYFUNCTION("""COMPUTED_VALUE"""),0.6)</f>
        <v>0.6</v>
      </c>
      <c r="P18" s="57">
        <f>IFERROR(__xludf.DUMMYFUNCTION("""COMPUTED_VALUE"""),0.7428571428571429)</f>
        <v>0.7428571429</v>
      </c>
      <c r="Q18" s="57">
        <f>IFERROR(__xludf.DUMMYFUNCTION("""COMPUTED_VALUE"""),0.9714285714285714)</f>
        <v>0.9714285714</v>
      </c>
      <c r="R18" s="57">
        <f>IFERROR(__xludf.DUMMYFUNCTION("""COMPUTED_VALUE"""),2.2)</f>
        <v>2.2</v>
      </c>
      <c r="S18" s="31">
        <f>IFERROR(__xludf.DUMMYFUNCTION("""COMPUTED_VALUE"""),276.4761904761905)</f>
        <v>276.4761905</v>
      </c>
      <c r="T18" s="57">
        <f>IFERROR(__xludf.DUMMYFUNCTION("""COMPUTED_VALUE"""),0.6000000000000002)</f>
        <v>0.6</v>
      </c>
      <c r="U18" s="57">
        <f>IFERROR(__xludf.DUMMYFUNCTION("""COMPUTED_VALUE"""),0.380952380952381)</f>
        <v>0.380952381</v>
      </c>
      <c r="V18" s="57">
        <f>IFERROR(__xludf.DUMMYFUNCTION("""COMPUTED_VALUE"""),0.9142857142857145)</f>
        <v>0.9142857143</v>
      </c>
      <c r="W18" s="57">
        <f>IFERROR(__xludf.DUMMYFUNCTION("""COMPUTED_VALUE"""),1.8190476190476197)</f>
        <v>1.819047619</v>
      </c>
      <c r="X18" s="31">
        <f>IFERROR(__xludf.DUMMYFUNCTION("""COMPUTED_VALUE"""),287.80614048841727)</f>
        <v>287.8061405</v>
      </c>
      <c r="Y18" s="57">
        <f>IFERROR(__xludf.DUMMYFUNCTION("""COMPUTED_VALUE"""),0.7619423740160891)</f>
        <v>0.761942374</v>
      </c>
      <c r="Z18" s="57">
        <f>IFERROR(__xludf.DUMMYFUNCTION("""COMPUTED_VALUE"""),0.4195503843168208)</f>
        <v>0.4195503843</v>
      </c>
      <c r="AA18" s="57">
        <f>IFERROR(__xludf.DUMMYFUNCTION("""COMPUTED_VALUE"""),0.8337530467154158)</f>
        <v>0.8337530467</v>
      </c>
      <c r="AB18" s="57">
        <f>IFERROR(__xludf.DUMMYFUNCTION("""COMPUTED_VALUE"""),2.0378024126759895)</f>
        <v>2.037802413</v>
      </c>
      <c r="AC18" s="31">
        <f>IFERROR(__xludf.DUMMYFUNCTION("""COMPUTED_VALUE"""),300.5296795112665)</f>
        <v>300.5296795</v>
      </c>
      <c r="AD18" s="57">
        <f>IFERROR(__xludf.DUMMYFUNCTION("""COMPUTED_VALUE"""),0.8173180304502681)</f>
        <v>0.8173180305</v>
      </c>
      <c r="AE18" s="57">
        <f>IFERROR(__xludf.DUMMYFUNCTION("""COMPUTED_VALUE"""),0.47776334358509853)</f>
        <v>0.4777633436</v>
      </c>
      <c r="AF18" s="57">
        <f>IFERROR(__xludf.DUMMYFUNCTION("""COMPUTED_VALUE"""),0.863158316253444)</f>
        <v>0.8631583163</v>
      </c>
      <c r="AG18" s="57">
        <f>IFERROR(__xludf.DUMMYFUNCTION("""COMPUTED_VALUE"""),2.0946986927991493)</f>
        <v>2.094698693</v>
      </c>
      <c r="AH18" s="57">
        <f>IFERROR(__xludf.DUMMYFUNCTION("""COMPUTED_VALUE"""),1.0621247143346904)</f>
        <v>1.062124714</v>
      </c>
      <c r="AI18" s="57">
        <f>IFERROR(__xludf.DUMMYFUNCTION("""COMPUTED_VALUE"""),0.7341083613063747)</f>
        <v>0.7341083613</v>
      </c>
      <c r="AJ18" s="57">
        <f>IFERROR(__xludf.DUMMYFUNCTION("""COMPUTED_VALUE"""),1.554864249908336)</f>
        <v>1.55486425</v>
      </c>
      <c r="AK18" s="57">
        <f>IFERROR(__xludf.DUMMYFUNCTION("""COMPUTED_VALUE"""),1.1254349904720569)</f>
        <v>1.12543499</v>
      </c>
      <c r="AL18" s="57">
        <f>IFERROR(__xludf.DUMMYFUNCTION("""COMPUTED_VALUE"""),1.050270383784952)</f>
        <v>1.050270384</v>
      </c>
      <c r="AM18" s="57">
        <f>IFERROR(__xludf.DUMMYFUNCTION("""COMPUTED_VALUE"""),0.9606333972131399)</f>
        <v>0.9606333972</v>
      </c>
      <c r="AN18" s="57">
        <f>IFERROR(__xludf.DUMMYFUNCTION("""COMPUTED_VALUE"""),0.7874611262758444)</f>
        <v>0.7874611263</v>
      </c>
      <c r="AO18" s="57">
        <f>IFERROR(__xludf.DUMMYFUNCTION("""COMPUTED_VALUE"""),0.9080015063571178)</f>
        <v>0.9080015064</v>
      </c>
      <c r="AP18" s="35">
        <f>IFERROR(__xludf.DUMMYFUNCTION("""COMPUTED_VALUE"""),1.0965905526673136)</f>
        <v>1.096590553</v>
      </c>
      <c r="AQ18" s="57">
        <f>IFERROR(__xludf.DUMMYFUNCTION("""COMPUTED_VALUE"""),0.8926516171206674)</f>
        <v>0.8926516171</v>
      </c>
      <c r="AR18" s="36" t="b">
        <f>IFERROR(__xludf.DUMMYFUNCTION("""COMPUTED_VALUE"""),TRUE)</f>
        <v>1</v>
      </c>
      <c r="AS18" s="57"/>
      <c r="AT18" s="37"/>
      <c r="AU18" s="30"/>
      <c r="AV18" s="30"/>
      <c r="AW18" s="30"/>
      <c r="AX18" s="30"/>
      <c r="AY18" s="30"/>
      <c r="AZ18" s="30"/>
    </row>
    <row r="19">
      <c r="A19" s="30" t="str">
        <f>IFERROR(__xludf.DUMMYFUNCTION("""COMPUTED_VALUE"""),"Amateur")</f>
        <v>Amateur</v>
      </c>
      <c r="B19" s="30" t="str">
        <f>IFERROR(__xludf.DUMMYFUNCTION("""COMPUTED_VALUE"""),"RSC006797")</f>
        <v>RSC006797</v>
      </c>
      <c r="C19" s="30" t="str">
        <f>IFERROR(__xludf.DUMMYFUNCTION("""COMPUTED_VALUE"""),"The-Manimal")</f>
        <v>The-Manimal</v>
      </c>
      <c r="D19" s="31" t="str">
        <f>IFERROR(__xludf.DUMMYFUNCTION("""COMPUTED_VALUE"""),"Aloof Goofs")</f>
        <v>Aloof Goofs</v>
      </c>
      <c r="E19" s="31">
        <f>IFERROR(__xludf.DUMMYFUNCTION("""COMPUTED_VALUE"""),64.56156968905898)</f>
        <v>64.56156969</v>
      </c>
      <c r="F19" s="31">
        <f>IFERROR(__xludf.DUMMYFUNCTION("""COMPUTED_VALUE"""),3.5698030365841005)</f>
        <v>3.569803037</v>
      </c>
      <c r="G19" s="31">
        <f>IFERROR(__xludf.DUMMYFUNCTION("""COMPUTED_VALUE"""),57.89105901046247)</f>
        <v>57.89105901</v>
      </c>
      <c r="H19" s="31">
        <f>IFERROR(__xludf.DUMMYFUNCTION("""COMPUTED_VALUE"""),2.6586058404727897)</f>
        <v>2.65860584</v>
      </c>
      <c r="I19" s="54">
        <f>IFERROR(__xludf.DUMMYFUNCTION("""COMPUTED_VALUE"""),36.0)</f>
        <v>36</v>
      </c>
      <c r="J19" s="55">
        <f>IFERROR(__xludf.DUMMYFUNCTION("""COMPUTED_VALUE"""),15.0)</f>
        <v>15</v>
      </c>
      <c r="K19" s="54">
        <f>IFERROR(__xludf.DUMMYFUNCTION("""COMPUTED_VALUE"""),21.0)</f>
        <v>21</v>
      </c>
      <c r="L19" s="56">
        <f>IFERROR(__xludf.DUMMYFUNCTION("""COMPUTED_VALUE"""),0.4166666666666667)</f>
        <v>0.4166666667</v>
      </c>
      <c r="M19" s="56">
        <f>IFERROR(__xludf.DUMMYFUNCTION("""COMPUTED_VALUE"""),0.25806451612903225)</f>
        <v>0.2580645161</v>
      </c>
      <c r="N19" s="31">
        <f>IFERROR(__xludf.DUMMYFUNCTION("""COMPUTED_VALUE"""),299.72222222222223)</f>
        <v>299.7222222</v>
      </c>
      <c r="O19" s="57">
        <f>IFERROR(__xludf.DUMMYFUNCTION("""COMPUTED_VALUE"""),0.6666666666666666)</f>
        <v>0.6666666667</v>
      </c>
      <c r="P19" s="57">
        <f>IFERROR(__xludf.DUMMYFUNCTION("""COMPUTED_VALUE"""),0.5555555555555556)</f>
        <v>0.5555555556</v>
      </c>
      <c r="Q19" s="57">
        <f>IFERROR(__xludf.DUMMYFUNCTION("""COMPUTED_VALUE"""),0.8055555555555556)</f>
        <v>0.8055555556</v>
      </c>
      <c r="R19" s="57">
        <f>IFERROR(__xludf.DUMMYFUNCTION("""COMPUTED_VALUE"""),2.5833333333333335)</f>
        <v>2.583333333</v>
      </c>
      <c r="S19" s="31">
        <f>IFERROR(__xludf.DUMMYFUNCTION("""COMPUTED_VALUE"""),293.9976851851851)</f>
        <v>293.9976852</v>
      </c>
      <c r="T19" s="57">
        <f>IFERROR(__xludf.DUMMYFUNCTION("""COMPUTED_VALUE"""),0.7013888888888888)</f>
        <v>0.7013888889</v>
      </c>
      <c r="U19" s="57">
        <f>IFERROR(__xludf.DUMMYFUNCTION("""COMPUTED_VALUE"""),0.4050925925925926)</f>
        <v>0.4050925926</v>
      </c>
      <c r="V19" s="57">
        <f>IFERROR(__xludf.DUMMYFUNCTION("""COMPUTED_VALUE"""),1.060185185185185)</f>
        <v>1.060185185</v>
      </c>
      <c r="W19" s="57">
        <f>IFERROR(__xludf.DUMMYFUNCTION("""COMPUTED_VALUE"""),1.9212962962962956)</f>
        <v>1.921296296</v>
      </c>
      <c r="X19" s="31">
        <f>IFERROR(__xludf.DUMMYFUNCTION("""COMPUTED_VALUE"""),297.53123400983225)</f>
        <v>297.531234</v>
      </c>
      <c r="Y19" s="57">
        <f>IFERROR(__xludf.DUMMYFUNCTION("""COMPUTED_VALUE"""),0.7831445873336538)</f>
        <v>0.7831445873</v>
      </c>
      <c r="Z19" s="57">
        <f>IFERROR(__xludf.DUMMYFUNCTION("""COMPUTED_VALUE"""),0.4516757507853328)</f>
        <v>0.4516757508</v>
      </c>
      <c r="AA19" s="57">
        <f>IFERROR(__xludf.DUMMYFUNCTION("""COMPUTED_VALUE"""),0.9251037241892823)</f>
        <v>0.9251037242</v>
      </c>
      <c r="AB19" s="57">
        <f>IFERROR(__xludf.DUMMYFUNCTION("""COMPUTED_VALUE"""),2.0544470106895414)</f>
        <v>2.054447011</v>
      </c>
      <c r="AC19" s="31">
        <f>IFERROR(__xludf.DUMMYFUNCTION("""COMPUTED_VALUE"""),288.7947588011578)</f>
        <v>288.7947588</v>
      </c>
      <c r="AD19" s="57">
        <f>IFERROR(__xludf.DUMMYFUNCTION("""COMPUTED_VALUE"""),0.7060830592056437)</f>
        <v>0.7060830592</v>
      </c>
      <c r="AE19" s="57">
        <f>IFERROR(__xludf.DUMMYFUNCTION("""COMPUTED_VALUE"""),0.41634371474258863)</f>
        <v>0.4163437147</v>
      </c>
      <c r="AF19" s="57">
        <f>IFERROR(__xludf.DUMMYFUNCTION("""COMPUTED_VALUE"""),0.8803689119067556)</f>
        <v>0.8803689119</v>
      </c>
      <c r="AG19" s="57">
        <f>IFERROR(__xludf.DUMMYFUNCTION("""COMPUTED_VALUE"""),2.0539019435761268)</f>
        <v>2.053901944</v>
      </c>
      <c r="AH19" s="57">
        <f>IFERROR(__xludf.DUMMYFUNCTION("""COMPUTED_VALUE"""),1.0378381639141459)</f>
        <v>1.037838164</v>
      </c>
      <c r="AI19" s="57">
        <f>IFERROR(__xludf.DUMMYFUNCTION("""COMPUTED_VALUE"""),0.9441759832287702)</f>
        <v>0.9441759832</v>
      </c>
      <c r="AJ19" s="57">
        <f>IFERROR(__xludf.DUMMYFUNCTION("""COMPUTED_VALUE"""),1.3343675811199334)</f>
        <v>1.334367581</v>
      </c>
      <c r="AK19" s="57">
        <f>IFERROR(__xludf.DUMMYFUNCTION("""COMPUTED_VALUE"""),0.9150204472927551)</f>
        <v>0.9150204473</v>
      </c>
      <c r="AL19" s="57">
        <f>IFERROR(__xludf.DUMMYFUNCTION("""COMPUTED_VALUE"""),1.2577685811209631)</f>
        <v>1.257768581</v>
      </c>
      <c r="AM19" s="57">
        <f>IFERROR(__xludf.DUMMYFUNCTION("""COMPUTED_VALUE"""),0.9881237718238)</f>
        <v>0.9881237718</v>
      </c>
      <c r="AN19" s="57">
        <f>IFERROR(__xludf.DUMMYFUNCTION("""COMPUTED_VALUE"""),0.8956058692519144)</f>
        <v>0.8956058693</v>
      </c>
      <c r="AO19" s="57">
        <f>IFERROR(__xludf.DUMMYFUNCTION("""COMPUTED_VALUE"""),0.8968659306776031)</f>
        <v>0.8968659307</v>
      </c>
      <c r="AP19" s="35">
        <f>IFERROR(__xludf.DUMMYFUNCTION("""COMPUTED_VALUE"""),1.1460176383078358)</f>
        <v>1.146017638</v>
      </c>
      <c r="AQ19" s="57">
        <f>IFERROR(__xludf.DUMMYFUNCTION("""COMPUTED_VALUE"""),0.9351890247349062)</f>
        <v>0.9351890247</v>
      </c>
      <c r="AR19" s="36" t="b">
        <f>IFERROR(__xludf.DUMMYFUNCTION("""COMPUTED_VALUE"""),TRUE)</f>
        <v>1</v>
      </c>
      <c r="AS19" s="57"/>
      <c r="AT19" s="37"/>
      <c r="AU19" s="30"/>
      <c r="AV19" s="30"/>
      <c r="AW19" s="30"/>
      <c r="AX19" s="30"/>
      <c r="AY19" s="30"/>
      <c r="AZ19" s="30"/>
    </row>
    <row r="20">
      <c r="A20" s="30" t="str">
        <f>IFERROR(__xludf.DUMMYFUNCTION("""COMPUTED_VALUE"""),"Amateur")</f>
        <v>Amateur</v>
      </c>
      <c r="B20" s="30" t="str">
        <f>IFERROR(__xludf.DUMMYFUNCTION("""COMPUTED_VALUE"""),"RSC007808")</f>
        <v>RSC007808</v>
      </c>
      <c r="C20" s="30" t="str">
        <f>IFERROR(__xludf.DUMMYFUNCTION("""COMPUTED_VALUE"""),"Navybrat44")</f>
        <v>Navybrat44</v>
      </c>
      <c r="D20" s="31" t="str">
        <f>IFERROR(__xludf.DUMMYFUNCTION("""COMPUTED_VALUE"""),"Amaranth")</f>
        <v>Amaranth</v>
      </c>
      <c r="E20" s="31">
        <f>IFERROR(__xludf.DUMMYFUNCTION("""COMPUTED_VALUE"""),63.035957571789)</f>
        <v>63.03595757</v>
      </c>
      <c r="F20" s="31">
        <f>IFERROR(__xludf.DUMMYFUNCTION("""COMPUTED_VALUE"""),3.321919910432492)</f>
        <v>3.32191991</v>
      </c>
      <c r="G20" s="31">
        <f>IFERROR(__xludf.DUMMYFUNCTION("""COMPUTED_VALUE"""),58.520632298474446)</f>
        <v>58.5206323</v>
      </c>
      <c r="H20" s="31">
        <f>IFERROR(__xludf.DUMMYFUNCTION("""COMPUTED_VALUE"""),2.727638073246111)</f>
        <v>2.727638073</v>
      </c>
      <c r="I20" s="54">
        <f>IFERROR(__xludf.DUMMYFUNCTION("""COMPUTED_VALUE"""),30.0)</f>
        <v>30</v>
      </c>
      <c r="J20" s="55">
        <f>IFERROR(__xludf.DUMMYFUNCTION("""COMPUTED_VALUE"""),16.0)</f>
        <v>16</v>
      </c>
      <c r="K20" s="54">
        <f>IFERROR(__xludf.DUMMYFUNCTION("""COMPUTED_VALUE"""),14.0)</f>
        <v>14</v>
      </c>
      <c r="L20" s="56">
        <f>IFERROR(__xludf.DUMMYFUNCTION("""COMPUTED_VALUE"""),0.5333333333333333)</f>
        <v>0.5333333333</v>
      </c>
      <c r="M20" s="56">
        <f>IFERROR(__xludf.DUMMYFUNCTION("""COMPUTED_VALUE"""),0.3478260869565218)</f>
        <v>0.347826087</v>
      </c>
      <c r="N20" s="31">
        <f>IFERROR(__xludf.DUMMYFUNCTION("""COMPUTED_VALUE"""),331.1)</f>
        <v>331.1</v>
      </c>
      <c r="O20" s="57">
        <f>IFERROR(__xludf.DUMMYFUNCTION("""COMPUTED_VALUE"""),0.8)</f>
        <v>0.8</v>
      </c>
      <c r="P20" s="57">
        <f>IFERROR(__xludf.DUMMYFUNCTION("""COMPUTED_VALUE"""),0.4)</f>
        <v>0.4</v>
      </c>
      <c r="Q20" s="57">
        <f>IFERROR(__xludf.DUMMYFUNCTION("""COMPUTED_VALUE"""),1.2)</f>
        <v>1.2</v>
      </c>
      <c r="R20" s="57">
        <f>IFERROR(__xludf.DUMMYFUNCTION("""COMPUTED_VALUE"""),2.3)</f>
        <v>2.3</v>
      </c>
      <c r="S20" s="31">
        <f>IFERROR(__xludf.DUMMYFUNCTION("""COMPUTED_VALUE"""),292.80747126436785)</f>
        <v>292.8074713</v>
      </c>
      <c r="T20" s="57">
        <f>IFERROR(__xludf.DUMMYFUNCTION("""COMPUTED_VALUE"""),0.6580459770114946)</f>
        <v>0.658045977</v>
      </c>
      <c r="U20" s="57">
        <f>IFERROR(__xludf.DUMMYFUNCTION("""COMPUTED_VALUE"""),0.41091954022988497)</f>
        <v>0.4109195402</v>
      </c>
      <c r="V20" s="57">
        <f>IFERROR(__xludf.DUMMYFUNCTION("""COMPUTED_VALUE"""),1.0402298850574716)</f>
        <v>1.040229885</v>
      </c>
      <c r="W20" s="57">
        <f>IFERROR(__xludf.DUMMYFUNCTION("""COMPUTED_VALUE"""),2.0201149425287364)</f>
        <v>2.020114943</v>
      </c>
      <c r="X20" s="31">
        <f>IFERROR(__xludf.DUMMYFUNCTION("""COMPUTED_VALUE"""),297.0010018023638)</f>
        <v>297.0010018</v>
      </c>
      <c r="Y20" s="57">
        <f>IFERROR(__xludf.DUMMYFUNCTION("""COMPUTED_VALUE"""),0.7792946080445341)</f>
        <v>0.779294608</v>
      </c>
      <c r="Z20" s="57">
        <f>IFERROR(__xludf.DUMMYFUNCTION("""COMPUTED_VALUE"""),0.42972089685397546)</f>
        <v>0.4297208969</v>
      </c>
      <c r="AA20" s="57">
        <f>IFERROR(__xludf.DUMMYFUNCTION("""COMPUTED_VALUE"""),0.9164775429768809)</f>
        <v>0.916477543</v>
      </c>
      <c r="AB20" s="57">
        <f>IFERROR(__xludf.DUMMYFUNCTION("""COMPUTED_VALUE"""),2.1004707945346155)</f>
        <v>2.100470795</v>
      </c>
      <c r="AC20" s="31">
        <f>IFERROR(__xludf.DUMMYFUNCTION("""COMPUTED_VALUE"""),287.26548251806526)</f>
        <v>287.2654825</v>
      </c>
      <c r="AD20" s="57">
        <f>IFERROR(__xludf.DUMMYFUNCTION("""COMPUTED_VALUE"""),0.7185763041706579)</f>
        <v>0.7185763042</v>
      </c>
      <c r="AE20" s="57">
        <f>IFERROR(__xludf.DUMMYFUNCTION("""COMPUTED_VALUE"""),0.3936452167028453)</f>
        <v>0.3936452167</v>
      </c>
      <c r="AF20" s="57">
        <f>IFERROR(__xludf.DUMMYFUNCTION("""COMPUTED_VALUE"""),0.8788510953526769)</f>
        <v>0.8788510954</v>
      </c>
      <c r="AG20" s="57">
        <f>IFERROR(__xludf.DUMMYFUNCTION("""COMPUTED_VALUE"""),2.0366080749438713)</f>
        <v>2.036608075</v>
      </c>
      <c r="AH20" s="57">
        <f>IFERROR(__xludf.DUMMYFUNCTION("""COMPUTED_VALUE"""),1.1525923584612299)</f>
        <v>1.152592358</v>
      </c>
      <c r="AI20" s="57">
        <f>IFERROR(__xludf.DUMMYFUNCTION("""COMPUTED_VALUE"""),1.1133125255547036)</f>
        <v>1.113312526</v>
      </c>
      <c r="AJ20" s="57">
        <f>IFERROR(__xludf.DUMMYFUNCTION("""COMPUTED_VALUE"""),1.0161434282128006)</f>
        <v>1.016143428</v>
      </c>
      <c r="AK20" s="57">
        <f>IFERROR(__xludf.DUMMYFUNCTION("""COMPUTED_VALUE"""),1.3654190184725754)</f>
        <v>1.365419018</v>
      </c>
      <c r="AL20" s="57">
        <f>IFERROR(__xludf.DUMMYFUNCTION("""COMPUTED_VALUE"""),1.1293287247048687)</f>
        <v>1.129328725</v>
      </c>
      <c r="AM20" s="57">
        <f>IFERROR(__xludf.DUMMYFUNCTION("""COMPUTED_VALUE"""),0.985880416185308)</f>
        <v>0.9858804162</v>
      </c>
      <c r="AN20" s="57">
        <f>IFERROR(__xludf.DUMMYFUNCTION("""COMPUTED_VALUE"""),0.8444123316376)</f>
        <v>0.8444123316</v>
      </c>
      <c r="AO20" s="57">
        <f>IFERROR(__xludf.DUMMYFUNCTION("""COMPUTED_VALUE"""),0.9562475160930342)</f>
        <v>0.9562475161</v>
      </c>
      <c r="AP20" s="35">
        <f>IFERROR(__xludf.DUMMYFUNCTION("""COMPUTED_VALUE"""),1.1350304140335192)</f>
        <v>1.135030414</v>
      </c>
      <c r="AQ20" s="57">
        <f>IFERROR(__xludf.DUMMYFUNCTION("""COMPUTED_VALUE"""),0.9617438851256759)</f>
        <v>0.9617438851</v>
      </c>
      <c r="AR20" s="36" t="b">
        <f>IFERROR(__xludf.DUMMYFUNCTION("""COMPUTED_VALUE"""),TRUE)</f>
        <v>1</v>
      </c>
      <c r="AS20" s="57"/>
      <c r="AT20" s="37"/>
      <c r="AU20" s="30"/>
      <c r="AV20" s="30"/>
      <c r="AW20" s="30"/>
      <c r="AX20" s="30"/>
      <c r="AY20" s="30"/>
      <c r="AZ20" s="30"/>
    </row>
    <row r="21">
      <c r="A21" s="30" t="str">
        <f>IFERROR(__xludf.DUMMYFUNCTION("""COMPUTED_VALUE"""),"Amateur")</f>
        <v>Amateur</v>
      </c>
      <c r="B21" s="30" t="str">
        <f>IFERROR(__xludf.DUMMYFUNCTION("""COMPUTED_VALUE"""),"RSC007852")</f>
        <v>RSC007852</v>
      </c>
      <c r="C21" s="30" t="str">
        <f>IFERROR(__xludf.DUMMYFUNCTION("""COMPUTED_VALUE"""),"Medicmac121")</f>
        <v>Medicmac121</v>
      </c>
      <c r="D21" s="31"/>
      <c r="E21" s="31">
        <f>IFERROR(__xludf.DUMMYFUNCTION("""COMPUTED_VALUE"""),60.55425385088209)</f>
        <v>60.55425385</v>
      </c>
      <c r="F21" s="31">
        <f>IFERROR(__xludf.DUMMYFUNCTION("""COMPUTED_VALUE"""),2.972206195345328)</f>
        <v>2.972206195</v>
      </c>
      <c r="G21" s="31">
        <f>IFERROR(__xludf.DUMMYFUNCTION("""COMPUTED_VALUE"""),57.81541258831502)</f>
        <v>57.81541259</v>
      </c>
      <c r="H21" s="31">
        <f>IFERROR(__xludf.DUMMYFUNCTION("""COMPUTED_VALUE"""),2.6505090287839876)</f>
        <v>2.650509029</v>
      </c>
      <c r="I21" s="54">
        <f>IFERROR(__xludf.DUMMYFUNCTION("""COMPUTED_VALUE"""),6.0)</f>
        <v>6</v>
      </c>
      <c r="J21" s="55">
        <f>IFERROR(__xludf.DUMMYFUNCTION("""COMPUTED_VALUE"""),2.0)</f>
        <v>2</v>
      </c>
      <c r="K21" s="54">
        <f>IFERROR(__xludf.DUMMYFUNCTION("""COMPUTED_VALUE"""),4.0)</f>
        <v>4</v>
      </c>
      <c r="L21" s="56">
        <f>IFERROR(__xludf.DUMMYFUNCTION("""COMPUTED_VALUE"""),0.3333333333333333)</f>
        <v>0.3333333333</v>
      </c>
      <c r="M21" s="56">
        <f>IFERROR(__xludf.DUMMYFUNCTION("""COMPUTED_VALUE"""),0.3)</f>
        <v>0.3</v>
      </c>
      <c r="N21" s="31">
        <f>IFERROR(__xludf.DUMMYFUNCTION("""COMPUTED_VALUE"""),252.16666666666666)</f>
        <v>252.1666667</v>
      </c>
      <c r="O21" s="57">
        <f>IFERROR(__xludf.DUMMYFUNCTION("""COMPUTED_VALUE"""),0.5)</f>
        <v>0.5</v>
      </c>
      <c r="P21" s="57">
        <f>IFERROR(__xludf.DUMMYFUNCTION("""COMPUTED_VALUE"""),0.6666666666666666)</f>
        <v>0.6666666667</v>
      </c>
      <c r="Q21" s="57">
        <f>IFERROR(__xludf.DUMMYFUNCTION("""COMPUTED_VALUE"""),0.6666666666666666)</f>
        <v>0.6666666667</v>
      </c>
      <c r="R21" s="57">
        <f>IFERROR(__xludf.DUMMYFUNCTION("""COMPUTED_VALUE"""),1.6666666666666667)</f>
        <v>1.666666667</v>
      </c>
      <c r="S21" s="31">
        <f>IFERROR(__xludf.DUMMYFUNCTION("""COMPUTED_VALUE"""),294.63888888888886)</f>
        <v>294.6388889</v>
      </c>
      <c r="T21" s="57">
        <f>IFERROR(__xludf.DUMMYFUNCTION("""COMPUTED_VALUE"""),0.9166666666666666)</f>
        <v>0.9166666667</v>
      </c>
      <c r="U21" s="57">
        <f>IFERROR(__xludf.DUMMYFUNCTION("""COMPUTED_VALUE"""),0.47222222222222215)</f>
        <v>0.4722222222</v>
      </c>
      <c r="V21" s="57">
        <f>IFERROR(__xludf.DUMMYFUNCTION("""COMPUTED_VALUE"""),0.5833333333333334)</f>
        <v>0.5833333333</v>
      </c>
      <c r="W21" s="57">
        <f>IFERROR(__xludf.DUMMYFUNCTION("""COMPUTED_VALUE"""),1.9166666666666667)</f>
        <v>1.916666667</v>
      </c>
      <c r="X21" s="31">
        <f>IFERROR(__xludf.DUMMYFUNCTION("""COMPUTED_VALUE"""),330.6888167248306)</f>
        <v>330.6888167</v>
      </c>
      <c r="Y21" s="57">
        <f>IFERROR(__xludf.DUMMYFUNCTION("""COMPUTED_VALUE"""),0.9929703854071456)</f>
        <v>0.9929703854</v>
      </c>
      <c r="Z21" s="57">
        <f>IFERROR(__xludf.DUMMYFUNCTION("""COMPUTED_VALUE"""),0.516972276597783)</f>
        <v>0.5169722766</v>
      </c>
      <c r="AA21" s="57">
        <f>IFERROR(__xludf.DUMMYFUNCTION("""COMPUTED_VALUE"""),0.8500509052360786)</f>
        <v>0.8500509052</v>
      </c>
      <c r="AB21" s="57">
        <f>IFERROR(__xludf.DUMMYFUNCTION("""COMPUTED_VALUE"""),2.519928511570988)</f>
        <v>2.519928512</v>
      </c>
      <c r="AC21" s="31">
        <f>IFERROR(__xludf.DUMMYFUNCTION("""COMPUTED_VALUE"""),267.9399460744692)</f>
        <v>267.9399461</v>
      </c>
      <c r="AD21" s="57">
        <f>IFERROR(__xludf.DUMMYFUNCTION("""COMPUTED_VALUE"""),0.5757528798880465)</f>
        <v>0.5757528799</v>
      </c>
      <c r="AE21" s="57">
        <f>IFERROR(__xludf.DUMMYFUNCTION("""COMPUTED_VALUE"""),0.27703401923074006)</f>
        <v>0.2770340192</v>
      </c>
      <c r="AF21" s="57">
        <f>IFERROR(__xludf.DUMMYFUNCTION("""COMPUTED_VALUE"""),1.0277109602872254)</f>
        <v>1.02771096</v>
      </c>
      <c r="AG21" s="57">
        <f>IFERROR(__xludf.DUMMYFUNCTION("""COMPUTED_VALUE"""),1.6981519161054395)</f>
        <v>1.698151916</v>
      </c>
      <c r="AH21" s="57">
        <f>IFERROR(__xludf.DUMMYFUNCTION("""COMPUTED_VALUE"""),0.9411312884140887)</f>
        <v>0.9411312884</v>
      </c>
      <c r="AI21" s="57">
        <f>IFERROR(__xludf.DUMMYFUNCTION("""COMPUTED_VALUE"""),0.8684281355174873)</f>
        <v>0.8684281355</v>
      </c>
      <c r="AJ21" s="57">
        <f>IFERROR(__xludf.DUMMYFUNCTION("""COMPUTED_VALUE"""),2.406443326050162)</f>
        <v>2.406443326</v>
      </c>
      <c r="AK21" s="57">
        <f>IFERROR(__xludf.DUMMYFUNCTION("""COMPUTED_VALUE"""),0.6486908210848954)</f>
        <v>0.6486908211</v>
      </c>
      <c r="AL21" s="57">
        <f>IFERROR(__xludf.DUMMYFUNCTION("""COMPUTED_VALUE"""),0.9814591090819593)</f>
        <v>0.9814591091</v>
      </c>
      <c r="AM21" s="57">
        <f>IFERROR(__xludf.DUMMYFUNCTION("""COMPUTED_VALUE"""),0.890985343281387)</f>
        <v>0.8909853433</v>
      </c>
      <c r="AN21" s="57">
        <f>IFERROR(__xludf.DUMMYFUNCTION("""COMPUTED_VALUE"""),0.923156098246382)</f>
        <v>0.9231560982</v>
      </c>
      <c r="AO21" s="57">
        <f>IFERROR(__xludf.DUMMYFUNCTION("""COMPUTED_VALUE"""),0.9134381931076403)</f>
        <v>0.9134381931</v>
      </c>
      <c r="AP21" s="35">
        <f>IFERROR(__xludf.DUMMYFUNCTION("""COMPUTED_VALUE"""),0.6862334123052646)</f>
        <v>0.6862334123</v>
      </c>
      <c r="AQ21" s="57">
        <f>IFERROR(__xludf.DUMMYFUNCTION("""COMPUTED_VALUE"""),0.7606035877072432)</f>
        <v>0.7606035877</v>
      </c>
      <c r="AR21" s="36" t="b">
        <f>IFERROR(__xludf.DUMMYFUNCTION("""COMPUTED_VALUE"""),TRUE)</f>
        <v>1</v>
      </c>
      <c r="AS21" s="57"/>
      <c r="AT21" s="37"/>
      <c r="AU21" s="30"/>
      <c r="AV21" s="30"/>
      <c r="AW21" s="30"/>
      <c r="AX21" s="30"/>
      <c r="AY21" s="30"/>
      <c r="AZ21" s="30"/>
    </row>
    <row r="22">
      <c r="A22" s="30" t="str">
        <f>IFERROR(__xludf.DUMMYFUNCTION("""COMPUTED_VALUE"""),"Amateur")</f>
        <v>Amateur</v>
      </c>
      <c r="B22" s="30" t="str">
        <f>IFERROR(__xludf.DUMMYFUNCTION("""COMPUTED_VALUE"""),"RSC007220")</f>
        <v>RSC007220</v>
      </c>
      <c r="C22" s="30" t="str">
        <f>IFERROR(__xludf.DUMMYFUNCTION("""COMPUTED_VALUE"""),"maxf")</f>
        <v>maxf</v>
      </c>
      <c r="D22" s="31" t="str">
        <f>IFERROR(__xludf.DUMMYFUNCTION("""COMPUTED_VALUE"""),"Garlic Knots")</f>
        <v>Garlic Knots</v>
      </c>
      <c r="E22" s="31">
        <f>IFERROR(__xludf.DUMMYFUNCTION("""COMPUTED_VALUE"""),55.186913147557625)</f>
        <v>55.18691315</v>
      </c>
      <c r="F22" s="31">
        <f>IFERROR(__xludf.DUMMYFUNCTION("""COMPUTED_VALUE"""),2.393381658005458)</f>
        <v>2.393381658</v>
      </c>
      <c r="G22" s="31">
        <f>IFERROR(__xludf.DUMMYFUNCTION("""COMPUTED_VALUE"""),46.36933845704227)</f>
        <v>46.36933846</v>
      </c>
      <c r="H22" s="31">
        <f>IFERROR(__xludf.DUMMYFUNCTION("""COMPUTED_VALUE"""),-2.261082507737314)</f>
        <v>-2.261082508</v>
      </c>
      <c r="I22" s="54">
        <f>IFERROR(__xludf.DUMMYFUNCTION("""COMPUTED_VALUE"""),41.0)</f>
        <v>41</v>
      </c>
      <c r="J22" s="55">
        <f>IFERROR(__xludf.DUMMYFUNCTION("""COMPUTED_VALUE"""),29.0)</f>
        <v>29</v>
      </c>
      <c r="K22" s="54">
        <f>IFERROR(__xludf.DUMMYFUNCTION("""COMPUTED_VALUE"""),12.0)</f>
        <v>12</v>
      </c>
      <c r="L22" s="56">
        <f>IFERROR(__xludf.DUMMYFUNCTION("""COMPUTED_VALUE"""),0.7073170731707317)</f>
        <v>0.7073170732</v>
      </c>
      <c r="M22" s="56">
        <f>IFERROR(__xludf.DUMMYFUNCTION("""COMPUTED_VALUE"""),0.4461538461538461)</f>
        <v>0.4461538462</v>
      </c>
      <c r="N22" s="31">
        <f>IFERROR(__xludf.DUMMYFUNCTION("""COMPUTED_VALUE"""),267.4878048780488)</f>
        <v>267.4878049</v>
      </c>
      <c r="O22" s="57">
        <f>IFERROR(__xludf.DUMMYFUNCTION("""COMPUTED_VALUE"""),0.7073170731707317)</f>
        <v>0.7073170732</v>
      </c>
      <c r="P22" s="57">
        <f>IFERROR(__xludf.DUMMYFUNCTION("""COMPUTED_VALUE"""),0.5365853658536586)</f>
        <v>0.5365853659</v>
      </c>
      <c r="Q22" s="57">
        <f>IFERROR(__xludf.DUMMYFUNCTION("""COMPUTED_VALUE"""),0.8780487804878049)</f>
        <v>0.8780487805</v>
      </c>
      <c r="R22" s="57">
        <f>IFERROR(__xludf.DUMMYFUNCTION("""COMPUTED_VALUE"""),1.5853658536585367)</f>
        <v>1.585365854</v>
      </c>
      <c r="S22" s="31">
        <f>IFERROR(__xludf.DUMMYFUNCTION("""COMPUTED_VALUE"""),259.8821138211383)</f>
        <v>259.8821138</v>
      </c>
      <c r="T22" s="57">
        <f>IFERROR(__xludf.DUMMYFUNCTION("""COMPUTED_VALUE"""),0.5264227642276422)</f>
        <v>0.5264227642</v>
      </c>
      <c r="U22" s="57">
        <f>IFERROR(__xludf.DUMMYFUNCTION("""COMPUTED_VALUE"""),0.2967479674796748)</f>
        <v>0.2967479675</v>
      </c>
      <c r="V22" s="57">
        <f>IFERROR(__xludf.DUMMYFUNCTION("""COMPUTED_VALUE"""),0.7540650406504066)</f>
        <v>0.7540650407</v>
      </c>
      <c r="W22" s="57">
        <f>IFERROR(__xludf.DUMMYFUNCTION("""COMPUTED_VALUE"""),2.0243902439024395)</f>
        <v>2.024390244</v>
      </c>
      <c r="X22" s="31">
        <f>IFERROR(__xludf.DUMMYFUNCTION("""COMPUTED_VALUE"""),292.78986301139554)</f>
        <v>292.789863</v>
      </c>
      <c r="Y22" s="57">
        <f>IFERROR(__xludf.DUMMYFUNCTION("""COMPUTED_VALUE"""),0.7524841512969136)</f>
        <v>0.7524841513</v>
      </c>
      <c r="Z22" s="57">
        <f>IFERROR(__xludf.DUMMYFUNCTION("""COMPUTED_VALUE"""),0.4307430178194786)</f>
        <v>0.4307430178</v>
      </c>
      <c r="AA22" s="57">
        <f>IFERROR(__xludf.DUMMYFUNCTION("""COMPUTED_VALUE"""),0.8677685947829253)</f>
        <v>0.8677685948</v>
      </c>
      <c r="AB22" s="57">
        <f>IFERROR(__xludf.DUMMYFUNCTION("""COMPUTED_VALUE"""),2.0982439920907634)</f>
        <v>2.098243992</v>
      </c>
      <c r="AC22" s="31">
        <f>IFERROR(__xludf.DUMMYFUNCTION("""COMPUTED_VALUE"""),300.60559478847205)</f>
        <v>300.6055948</v>
      </c>
      <c r="AD22" s="57">
        <f>IFERROR(__xludf.DUMMYFUNCTION("""COMPUTED_VALUE"""),0.8078991863577474)</f>
        <v>0.8078991864</v>
      </c>
      <c r="AE22" s="57">
        <f>IFERROR(__xludf.DUMMYFUNCTION("""COMPUTED_VALUE"""),0.44655599575886135)</f>
        <v>0.4465559958</v>
      </c>
      <c r="AF22" s="57">
        <f>IFERROR(__xludf.DUMMYFUNCTION("""COMPUTED_VALUE"""),0.9171679042993007)</f>
        <v>0.9171679043</v>
      </c>
      <c r="AG22" s="57">
        <f>IFERROR(__xludf.DUMMYFUNCTION("""COMPUTED_VALUE"""),2.0837133078824936)</f>
        <v>2.083713308</v>
      </c>
      <c r="AH22" s="57">
        <f>IFERROR(__xludf.DUMMYFUNCTION("""COMPUTED_VALUE"""),0.8898297620384367)</f>
        <v>0.889829762</v>
      </c>
      <c r="AI22" s="57">
        <f>IFERROR(__xludf.DUMMYFUNCTION("""COMPUTED_VALUE"""),0.8755016530707623)</f>
        <v>0.8755016531</v>
      </c>
      <c r="AJ22" s="57">
        <f>IFERROR(__xludf.DUMMYFUNCTION("""COMPUTED_VALUE"""),1.201608243870524)</f>
        <v>1.201608244</v>
      </c>
      <c r="AK22" s="57">
        <f>IFERROR(__xludf.DUMMYFUNCTION("""COMPUTED_VALUE"""),0.9573479145660008)</f>
        <v>0.9573479146</v>
      </c>
      <c r="AL22" s="57">
        <f>IFERROR(__xludf.DUMMYFUNCTION("""COMPUTED_VALUE"""),0.7608368424107314)</f>
        <v>0.7608368424</v>
      </c>
      <c r="AM22" s="57">
        <f>IFERROR(__xludf.DUMMYFUNCTION("""COMPUTED_VALUE"""),0.887606255039723)</f>
        <v>0.887606255</v>
      </c>
      <c r="AN22" s="57">
        <f>IFERROR(__xludf.DUMMYFUNCTION("""COMPUTED_VALUE"""),0.6995798693173106)</f>
        <v>0.6995798693</v>
      </c>
      <c r="AO22" s="57">
        <f>IFERROR(__xludf.DUMMYFUNCTION("""COMPUTED_VALUE"""),0.6889211320983961)</f>
        <v>0.6889211321</v>
      </c>
      <c r="AP22" s="35">
        <f>IFERROR(__xludf.DUMMYFUNCTION("""COMPUTED_VALUE"""),0.8689701899606519)</f>
        <v>0.86897019</v>
      </c>
      <c r="AQ22" s="57">
        <f>IFERROR(__xludf.DUMMYFUNCTION("""COMPUTED_VALUE"""),0.9648021162139807)</f>
        <v>0.9648021162</v>
      </c>
      <c r="AR22" s="36" t="b">
        <f>IFERROR(__xludf.DUMMYFUNCTION("""COMPUTED_VALUE"""),TRUE)</f>
        <v>1</v>
      </c>
      <c r="AS22" s="57"/>
      <c r="AT22" s="37"/>
      <c r="AU22" s="30"/>
      <c r="AV22" s="30"/>
      <c r="AW22" s="30"/>
      <c r="AX22" s="30"/>
      <c r="AY22" s="30"/>
      <c r="AZ22" s="30"/>
    </row>
    <row r="23">
      <c r="A23" s="30" t="str">
        <f>IFERROR(__xludf.DUMMYFUNCTION("""COMPUTED_VALUE"""),"Amateur")</f>
        <v>Amateur</v>
      </c>
      <c r="B23" s="30" t="str">
        <f>IFERROR(__xludf.DUMMYFUNCTION("""COMPUTED_VALUE"""),"RSC004190")</f>
        <v>RSC004190</v>
      </c>
      <c r="C23" s="30" t="str">
        <f>IFERROR(__xludf.DUMMYFUNCTION("""COMPUTED_VALUE"""),"demonikgoat4061")</f>
        <v>demonikgoat4061</v>
      </c>
      <c r="D23" s="31" t="str">
        <f>IFERROR(__xludf.DUMMYFUNCTION("""COMPUTED_VALUE"""),"Aloof Goofs")</f>
        <v>Aloof Goofs</v>
      </c>
      <c r="E23" s="31">
        <f>IFERROR(__xludf.DUMMYFUNCTION("""COMPUTED_VALUE"""),53.85503548105682)</f>
        <v>53.85503548</v>
      </c>
      <c r="F23" s="31">
        <f>IFERROR(__xludf.DUMMYFUNCTION("""COMPUTED_VALUE"""),2.279329757551292)</f>
        <v>2.279329758</v>
      </c>
      <c r="G23" s="31">
        <f>IFERROR(__xludf.DUMMYFUNCTION("""COMPUTED_VALUE"""),48.59376476548729)</f>
        <v>48.59376477</v>
      </c>
      <c r="H23" s="31">
        <f>IFERROR(__xludf.DUMMYFUNCTION("""COMPUTED_VALUE"""),-2.093927032701405)</f>
        <v>-2.093927033</v>
      </c>
      <c r="I23" s="54">
        <f>IFERROR(__xludf.DUMMYFUNCTION("""COMPUTED_VALUE"""),45.0)</f>
        <v>45</v>
      </c>
      <c r="J23" s="55">
        <f>IFERROR(__xludf.DUMMYFUNCTION("""COMPUTED_VALUE"""),19.0)</f>
        <v>19</v>
      </c>
      <c r="K23" s="54">
        <f>IFERROR(__xludf.DUMMYFUNCTION("""COMPUTED_VALUE"""),26.0)</f>
        <v>26</v>
      </c>
      <c r="L23" s="56">
        <f>IFERROR(__xludf.DUMMYFUNCTION("""COMPUTED_VALUE"""),0.4222222222222222)</f>
        <v>0.4222222222</v>
      </c>
      <c r="M23" s="56">
        <f>IFERROR(__xludf.DUMMYFUNCTION("""COMPUTED_VALUE"""),0.3888888888888889)</f>
        <v>0.3888888889</v>
      </c>
      <c r="N23" s="31">
        <f>IFERROR(__xludf.DUMMYFUNCTION("""COMPUTED_VALUE"""),298.5111111111111)</f>
        <v>298.5111111</v>
      </c>
      <c r="O23" s="57">
        <f>IFERROR(__xludf.DUMMYFUNCTION("""COMPUTED_VALUE"""),0.7777777777777778)</f>
        <v>0.7777777778</v>
      </c>
      <c r="P23" s="57">
        <f>IFERROR(__xludf.DUMMYFUNCTION("""COMPUTED_VALUE"""),0.4222222222222222)</f>
        <v>0.4222222222</v>
      </c>
      <c r="Q23" s="57">
        <f>IFERROR(__xludf.DUMMYFUNCTION("""COMPUTED_VALUE"""),0.9111111111111111)</f>
        <v>0.9111111111</v>
      </c>
      <c r="R23" s="57">
        <f>IFERROR(__xludf.DUMMYFUNCTION("""COMPUTED_VALUE"""),2.0)</f>
        <v>2</v>
      </c>
      <c r="S23" s="31">
        <f>IFERROR(__xludf.DUMMYFUNCTION("""COMPUTED_VALUE"""),298.16481481481463)</f>
        <v>298.1648148</v>
      </c>
      <c r="T23" s="57">
        <f>IFERROR(__xludf.DUMMYFUNCTION("""COMPUTED_VALUE"""),0.7722222222222228)</f>
        <v>0.7722222222</v>
      </c>
      <c r="U23" s="57">
        <f>IFERROR(__xludf.DUMMYFUNCTION("""COMPUTED_VALUE"""),0.4648148148148147)</f>
        <v>0.4648148148</v>
      </c>
      <c r="V23" s="57">
        <f>IFERROR(__xludf.DUMMYFUNCTION("""COMPUTED_VALUE"""),0.9574074074074073)</f>
        <v>0.9574074074</v>
      </c>
      <c r="W23" s="57">
        <f>IFERROR(__xludf.DUMMYFUNCTION("""COMPUTED_VALUE"""),2.0277777777777772)</f>
        <v>2.027777778</v>
      </c>
      <c r="X23" s="31">
        <f>IFERROR(__xludf.DUMMYFUNCTION("""COMPUTED_VALUE"""),294.22739864453354)</f>
        <v>294.2273986</v>
      </c>
      <c r="Y23" s="57">
        <f>IFERROR(__xludf.DUMMYFUNCTION("""COMPUTED_VALUE"""),0.7657406467902101)</f>
        <v>0.7657406468</v>
      </c>
      <c r="Z23" s="57">
        <f>IFERROR(__xludf.DUMMYFUNCTION("""COMPUTED_VALUE"""),0.4398327043922166)</f>
        <v>0.4398327044</v>
      </c>
      <c r="AA23" s="57">
        <f>IFERROR(__xludf.DUMMYFUNCTION("""COMPUTED_VALUE"""),0.9073117924762626)</f>
        <v>0.9073117925</v>
      </c>
      <c r="AB23" s="57">
        <f>IFERROR(__xludf.DUMMYFUNCTION("""COMPUTED_VALUE"""),2.0349205206065903)</f>
        <v>2.034920521</v>
      </c>
      <c r="AC23" s="31">
        <f>IFERROR(__xludf.DUMMYFUNCTION("""COMPUTED_VALUE"""),295.51728525566756)</f>
        <v>295.5172853</v>
      </c>
      <c r="AD23" s="57">
        <f>IFERROR(__xludf.DUMMYFUNCTION("""COMPUTED_VALUE"""),0.7709486612435023)</f>
        <v>0.7709486612</v>
      </c>
      <c r="AE23" s="57">
        <f>IFERROR(__xludf.DUMMYFUNCTION("""COMPUTED_VALUE"""),0.4422053814294059)</f>
        <v>0.4422053814</v>
      </c>
      <c r="AF23" s="57">
        <f>IFERROR(__xludf.DUMMYFUNCTION("""COMPUTED_VALUE"""),0.8680193142192548)</f>
        <v>0.8680193142</v>
      </c>
      <c r="AG23" s="57">
        <f>IFERROR(__xludf.DUMMYFUNCTION("""COMPUTED_VALUE"""),2.1011969358744884)</f>
        <v>2.101196936</v>
      </c>
      <c r="AH23" s="57">
        <f>IFERROR(__xludf.DUMMYFUNCTION("""COMPUTED_VALUE"""),1.0101307977733127)</f>
        <v>1.010130798</v>
      </c>
      <c r="AI23" s="57">
        <f>IFERROR(__xludf.DUMMYFUNCTION("""COMPUTED_VALUE"""),1.0088580691264974)</f>
        <v>1.008858069</v>
      </c>
      <c r="AJ23" s="57">
        <f>IFERROR(__xludf.DUMMYFUNCTION("""COMPUTED_VALUE"""),0.9548102306159433)</f>
        <v>0.9548102306</v>
      </c>
      <c r="AK23" s="57">
        <f>IFERROR(__xludf.DUMMYFUNCTION("""COMPUTED_VALUE"""),1.049643822649978)</f>
        <v>1.049643823</v>
      </c>
      <c r="AL23" s="57">
        <f>IFERROR(__xludf.DUMMYFUNCTION("""COMPUTED_VALUE"""),0.9518384335391334)</f>
        <v>0.9518384335</v>
      </c>
      <c r="AM23" s="57">
        <f>IFERROR(__xludf.DUMMYFUNCTION("""COMPUTED_VALUE"""),1.013382221330917)</f>
        <v>1.013382221</v>
      </c>
      <c r="AN23" s="57">
        <f>IFERROR(__xludf.DUMMYFUNCTION("""COMPUTED_VALUE"""),1.008464452630511)</f>
        <v>1.008464453</v>
      </c>
      <c r="AO23" s="57">
        <f>IFERROR(__xludf.DUMMYFUNCTION("""COMPUTED_VALUE"""),1.0567991196951114)</f>
        <v>1.05679912</v>
      </c>
      <c r="AP23" s="35">
        <f>IFERROR(__xludf.DUMMYFUNCTION("""COMPUTED_VALUE"""),1.0552132302771269)</f>
        <v>1.05521323</v>
      </c>
      <c r="AQ23" s="57">
        <f>IFERROR(__xludf.DUMMYFUNCTION("""COMPUTED_VALUE"""),0.996489915573369)</f>
        <v>0.9964899156</v>
      </c>
      <c r="AR23" s="36" t="b">
        <f>IFERROR(__xludf.DUMMYFUNCTION("""COMPUTED_VALUE"""),TRUE)</f>
        <v>1</v>
      </c>
      <c r="AS23" s="57"/>
      <c r="AT23" s="37"/>
      <c r="AU23" s="30"/>
      <c r="AV23" s="30"/>
      <c r="AW23" s="30"/>
      <c r="AX23" s="30"/>
      <c r="AY23" s="30"/>
      <c r="AZ23" s="30"/>
    </row>
    <row r="24">
      <c r="A24" s="30" t="str">
        <f>IFERROR(__xludf.DUMMYFUNCTION("""COMPUTED_VALUE"""),"Amateur")</f>
        <v>Amateur</v>
      </c>
      <c r="B24" s="30" t="str">
        <f>IFERROR(__xludf.DUMMYFUNCTION("""COMPUTED_VALUE"""),"RSC007161")</f>
        <v>RSC007161</v>
      </c>
      <c r="C24" s="30" t="str">
        <f>IFERROR(__xludf.DUMMYFUNCTION("""COMPUTED_VALUE"""),"MrAnderpants")</f>
        <v>MrAnderpants</v>
      </c>
      <c r="D24" s="31" t="str">
        <f>IFERROR(__xludf.DUMMYFUNCTION("""COMPUTED_VALUE"""),"Aloof Goofs")</f>
        <v>Aloof Goofs</v>
      </c>
      <c r="E24" s="31">
        <f>IFERROR(__xludf.DUMMYFUNCTION("""COMPUTED_VALUE"""),51.87789233983097)</f>
        <v>51.87789234</v>
      </c>
      <c r="F24" s="31">
        <f>IFERROR(__xludf.DUMMYFUNCTION("""COMPUTED_VALUE"""),2.127381970540208)</f>
        <v>2.127381971</v>
      </c>
      <c r="G24" s="31">
        <f>IFERROR(__xludf.DUMMYFUNCTION("""COMPUTED_VALUE"""),47.227448954173944)</f>
        <v>47.22744895</v>
      </c>
      <c r="H24" s="31">
        <f>IFERROR(__xludf.DUMMYFUNCTION("""COMPUTED_VALUE"""),-2.1937184427998706)</f>
        <v>-2.193718443</v>
      </c>
      <c r="I24" s="54">
        <f>IFERROR(__xludf.DUMMYFUNCTION("""COMPUTED_VALUE"""),46.0)</f>
        <v>46</v>
      </c>
      <c r="J24" s="55">
        <f>IFERROR(__xludf.DUMMYFUNCTION("""COMPUTED_VALUE"""),18.0)</f>
        <v>18</v>
      </c>
      <c r="K24" s="54">
        <f>IFERROR(__xludf.DUMMYFUNCTION("""COMPUTED_VALUE"""),28.0)</f>
        <v>28</v>
      </c>
      <c r="L24" s="56">
        <f>IFERROR(__xludf.DUMMYFUNCTION("""COMPUTED_VALUE"""),0.391304347826087)</f>
        <v>0.3913043478</v>
      </c>
      <c r="M24" s="56">
        <f>IFERROR(__xludf.DUMMYFUNCTION("""COMPUTED_VALUE"""),0.3535353535353536)</f>
        <v>0.3535353535</v>
      </c>
      <c r="N24" s="31">
        <f>IFERROR(__xludf.DUMMYFUNCTION("""COMPUTED_VALUE"""),295.8695652173913)</f>
        <v>295.8695652</v>
      </c>
      <c r="O24" s="57">
        <f>IFERROR(__xludf.DUMMYFUNCTION("""COMPUTED_VALUE"""),0.7608695652173914)</f>
        <v>0.7608695652</v>
      </c>
      <c r="P24" s="57">
        <f>IFERROR(__xludf.DUMMYFUNCTION("""COMPUTED_VALUE"""),0.32608695652173914)</f>
        <v>0.3260869565</v>
      </c>
      <c r="Q24" s="57">
        <f>IFERROR(__xludf.DUMMYFUNCTION("""COMPUTED_VALUE"""),0.8043478260869565)</f>
        <v>0.8043478261</v>
      </c>
      <c r="R24" s="57">
        <f>IFERROR(__xludf.DUMMYFUNCTION("""COMPUTED_VALUE"""),2.152173913043478)</f>
        <v>2.152173913</v>
      </c>
      <c r="S24" s="31">
        <f>IFERROR(__xludf.DUMMYFUNCTION("""COMPUTED_VALUE"""),299.7608695652172)</f>
        <v>299.7608696</v>
      </c>
      <c r="T24" s="57">
        <f>IFERROR(__xludf.DUMMYFUNCTION("""COMPUTED_VALUE"""),0.7898550724637686)</f>
        <v>0.7898550725</v>
      </c>
      <c r="U24" s="57">
        <f>IFERROR(__xludf.DUMMYFUNCTION("""COMPUTED_VALUE"""),0.4637681159420289)</f>
        <v>0.4637681159</v>
      </c>
      <c r="V24" s="57">
        <f>IFERROR(__xludf.DUMMYFUNCTION("""COMPUTED_VALUE"""),0.9275362318840574)</f>
        <v>0.9275362319</v>
      </c>
      <c r="W24" s="57">
        <f>IFERROR(__xludf.DUMMYFUNCTION("""COMPUTED_VALUE"""),2.028985507246376)</f>
        <v>2.028985507</v>
      </c>
      <c r="X24" s="31">
        <f>IFERROR(__xludf.DUMMYFUNCTION("""COMPUTED_VALUE"""),296.68977005645746)</f>
        <v>296.6897701</v>
      </c>
      <c r="Y24" s="57">
        <f>IFERROR(__xludf.DUMMYFUNCTION("""COMPUTED_VALUE"""),0.7707922113242056)</f>
        <v>0.7707922113</v>
      </c>
      <c r="Z24" s="57">
        <f>IFERROR(__xludf.DUMMYFUNCTION("""COMPUTED_VALUE"""),0.4438708258424627)</f>
        <v>0.4438708258</v>
      </c>
      <c r="AA24" s="57">
        <f>IFERROR(__xludf.DUMMYFUNCTION("""COMPUTED_VALUE"""),0.9126168666945529)</f>
        <v>0.9126168667</v>
      </c>
      <c r="AB24" s="57">
        <f>IFERROR(__xludf.DUMMYFUNCTION("""COMPUTED_VALUE"""),2.0572401325177343)</f>
        <v>2.057240133</v>
      </c>
      <c r="AC24" s="31">
        <f>IFERROR(__xludf.DUMMYFUNCTION("""COMPUTED_VALUE"""),295.0444740452903)</f>
        <v>295.044474</v>
      </c>
      <c r="AD24" s="57">
        <f>IFERROR(__xludf.DUMMYFUNCTION("""COMPUTED_VALUE"""),0.7684871365791662)</f>
        <v>0.7684871366</v>
      </c>
      <c r="AE24" s="57">
        <f>IFERROR(__xludf.DUMMYFUNCTION("""COMPUTED_VALUE"""),0.43973911857146636)</f>
        <v>0.4397391186</v>
      </c>
      <c r="AF24" s="57">
        <f>IFERROR(__xludf.DUMMYFUNCTION("""COMPUTED_VALUE"""),0.8699419270565617)</f>
        <v>0.8699419271</v>
      </c>
      <c r="AG24" s="57">
        <f>IFERROR(__xludf.DUMMYFUNCTION("""COMPUTED_VALUE"""),2.0905567941019263)</f>
        <v>2.090556794</v>
      </c>
      <c r="AH24" s="57">
        <f>IFERROR(__xludf.DUMMYFUNCTION("""COMPUTED_VALUE"""),1.002796497628945)</f>
        <v>1.002796498</v>
      </c>
      <c r="AI24" s="57">
        <f>IFERROR(__xludf.DUMMYFUNCTION("""COMPUTED_VALUE"""),0.9900875746656169)</f>
        <v>0.9900875747</v>
      </c>
      <c r="AJ24" s="57">
        <f>IFERROR(__xludf.DUMMYFUNCTION("""COMPUTED_VALUE"""),0.7415463913719187)</f>
        <v>0.7415463914</v>
      </c>
      <c r="AK24" s="57">
        <f>IFERROR(__xludf.DUMMYFUNCTION("""COMPUTED_VALUE"""),0.9245994486188958)</f>
        <v>0.9245994486</v>
      </c>
      <c r="AL24" s="57">
        <f>IFERROR(__xludf.DUMMYFUNCTION("""COMPUTED_VALUE"""),1.0294740229566552)</f>
        <v>1.029474023</v>
      </c>
      <c r="AM24" s="57">
        <f>IFERROR(__xludf.DUMMYFUNCTION("""COMPUTED_VALUE"""),1.0103512146986913)</f>
        <v>1.010351215</v>
      </c>
      <c r="AN24" s="57">
        <f>IFERROR(__xludf.DUMMYFUNCTION("""COMPUTED_VALUE"""),1.0247315175990341)</f>
        <v>1.024731518</v>
      </c>
      <c r="AO24" s="57">
        <f>IFERROR(__xludf.DUMMYFUNCTION("""COMPUTED_VALUE"""),1.0448267580141166)</f>
        <v>1.044826758</v>
      </c>
      <c r="AP24" s="35">
        <f>IFERROR(__xludf.DUMMYFUNCTION("""COMPUTED_VALUE"""),1.0163478955232788)</f>
        <v>1.016347896</v>
      </c>
      <c r="AQ24" s="57">
        <f>IFERROR(__xludf.DUMMYFUNCTION("""COMPUTED_VALUE"""),0.98626576216128)</f>
        <v>0.9862657622</v>
      </c>
      <c r="AR24" s="36" t="b">
        <f>IFERROR(__xludf.DUMMYFUNCTION("""COMPUTED_VALUE"""),TRUE)</f>
        <v>1</v>
      </c>
      <c r="AS24" s="57"/>
      <c r="AT24" s="37"/>
      <c r="AU24" s="30"/>
      <c r="AV24" s="30"/>
      <c r="AW24" s="30"/>
      <c r="AX24" s="30"/>
      <c r="AY24" s="30"/>
      <c r="AZ24" s="30"/>
    </row>
    <row r="25">
      <c r="A25" s="30" t="str">
        <f>IFERROR(__xludf.DUMMYFUNCTION("""COMPUTED_VALUE"""),"Amateur")</f>
        <v>Amateur</v>
      </c>
      <c r="B25" s="30" t="str">
        <f>IFERROR(__xludf.DUMMYFUNCTION("""COMPUTED_VALUE"""),"RSC007216")</f>
        <v>RSC007216</v>
      </c>
      <c r="C25" s="30" t="str">
        <f>IFERROR(__xludf.DUMMYFUNCTION("""COMPUTED_VALUE"""),"ASAPxLEG")</f>
        <v>ASAPxLEG</v>
      </c>
      <c r="D25" s="31" t="str">
        <f>IFERROR(__xludf.DUMMYFUNCTION("""COMPUTED_VALUE"""),"Aeon Ale")</f>
        <v>Aeon Ale</v>
      </c>
      <c r="E25" s="31">
        <f>IFERROR(__xludf.DUMMYFUNCTION("""COMPUTED_VALUE"""),51.30309888791915)</f>
        <v>51.30309889</v>
      </c>
      <c r="F25" s="31">
        <f>IFERROR(__xludf.DUMMYFUNCTION("""COMPUTED_VALUE"""),2.0867461955059823)</f>
        <v>2.086746196</v>
      </c>
      <c r="G25" s="31">
        <f>IFERROR(__xludf.DUMMYFUNCTION("""COMPUTED_VALUE"""),51.93017409318208)</f>
        <v>51.93017409</v>
      </c>
      <c r="H25" s="31">
        <f>IFERROR(__xludf.DUMMYFUNCTION("""COMPUTED_VALUE"""),2.1311535282822196)</f>
        <v>2.131153528</v>
      </c>
      <c r="I25" s="54">
        <f>IFERROR(__xludf.DUMMYFUNCTION("""COMPUTED_VALUE"""),40.0)</f>
        <v>40</v>
      </c>
      <c r="J25" s="55">
        <f>IFERROR(__xludf.DUMMYFUNCTION("""COMPUTED_VALUE"""),19.0)</f>
        <v>19</v>
      </c>
      <c r="K25" s="54">
        <f>IFERROR(__xludf.DUMMYFUNCTION("""COMPUTED_VALUE"""),21.0)</f>
        <v>21</v>
      </c>
      <c r="L25" s="56">
        <f>IFERROR(__xludf.DUMMYFUNCTION("""COMPUTED_VALUE"""),0.475)</f>
        <v>0.475</v>
      </c>
      <c r="M25" s="56">
        <f>IFERROR(__xludf.DUMMYFUNCTION("""COMPUTED_VALUE"""),0.42857142857142855)</f>
        <v>0.4285714286</v>
      </c>
      <c r="N25" s="31">
        <f>IFERROR(__xludf.DUMMYFUNCTION("""COMPUTED_VALUE"""),291.8)</f>
        <v>291.8</v>
      </c>
      <c r="O25" s="57">
        <f>IFERROR(__xludf.DUMMYFUNCTION("""COMPUTED_VALUE"""),0.75)</f>
        <v>0.75</v>
      </c>
      <c r="P25" s="57">
        <f>IFERROR(__xludf.DUMMYFUNCTION("""COMPUTED_VALUE"""),0.475)</f>
        <v>0.475</v>
      </c>
      <c r="Q25" s="57">
        <f>IFERROR(__xludf.DUMMYFUNCTION("""COMPUTED_VALUE"""),0.9)</f>
        <v>0.9</v>
      </c>
      <c r="R25" s="57">
        <f>IFERROR(__xludf.DUMMYFUNCTION("""COMPUTED_VALUE"""),1.75)</f>
        <v>1.75</v>
      </c>
      <c r="S25" s="31">
        <f>IFERROR(__xludf.DUMMYFUNCTION("""COMPUTED_VALUE"""),300.0854166666667)</f>
        <v>300.0854167</v>
      </c>
      <c r="T25" s="57">
        <f>IFERROR(__xludf.DUMMYFUNCTION("""COMPUTED_VALUE"""),0.8083333333333333)</f>
        <v>0.8083333333</v>
      </c>
      <c r="U25" s="57">
        <f>IFERROR(__xludf.DUMMYFUNCTION("""COMPUTED_VALUE"""),0.47083333333333355)</f>
        <v>0.4708333333</v>
      </c>
      <c r="V25" s="57">
        <f>IFERROR(__xludf.DUMMYFUNCTION("""COMPUTED_VALUE"""),0.7979166666666667)</f>
        <v>0.7979166667</v>
      </c>
      <c r="W25" s="57">
        <f>IFERROR(__xludf.DUMMYFUNCTION("""COMPUTED_VALUE"""),2.0208333333333344)</f>
        <v>2.020833333</v>
      </c>
      <c r="X25" s="31">
        <f>IFERROR(__xludf.DUMMYFUNCTION("""COMPUTED_VALUE"""),296.87894215303606)</f>
        <v>296.8789422</v>
      </c>
      <c r="Y25" s="57">
        <f>IFERROR(__xludf.DUMMYFUNCTION("""COMPUTED_VALUE"""),0.7649493960164365)</f>
        <v>0.764949396</v>
      </c>
      <c r="Z25" s="57">
        <f>IFERROR(__xludf.DUMMYFUNCTION("""COMPUTED_VALUE"""),0.4375803938947815)</f>
        <v>0.4375803939</v>
      </c>
      <c r="AA25" s="57">
        <f>IFERROR(__xludf.DUMMYFUNCTION("""COMPUTED_VALUE"""),0.898730736600154)</f>
        <v>0.8987307366</v>
      </c>
      <c r="AB25" s="57">
        <f>IFERROR(__xludf.DUMMYFUNCTION("""COMPUTED_VALUE"""),2.1063504626414233)</f>
        <v>2.106350463</v>
      </c>
      <c r="AC25" s="31">
        <f>IFERROR(__xludf.DUMMYFUNCTION("""COMPUTED_VALUE"""),299.00472612537317)</f>
        <v>299.0047261</v>
      </c>
      <c r="AD25" s="57">
        <f>IFERROR(__xludf.DUMMYFUNCTION("""COMPUTED_VALUE"""),0.8004160740244537)</f>
        <v>0.800416074</v>
      </c>
      <c r="AE25" s="57">
        <f>IFERROR(__xludf.DUMMYFUNCTION("""COMPUTED_VALUE"""),0.44583205423226985)</f>
        <v>0.4458320542</v>
      </c>
      <c r="AF25" s="57">
        <f>IFERROR(__xludf.DUMMYFUNCTION("""COMPUTED_VALUE"""),0.9057302840877692)</f>
        <v>0.9057302841</v>
      </c>
      <c r="AG25" s="57">
        <f>IFERROR(__xludf.DUMMYFUNCTION("""COMPUTED_VALUE"""),2.095691327622201)</f>
        <v>2.095691328</v>
      </c>
      <c r="AH25" s="57">
        <f>IFERROR(__xludf.DUMMYFUNCTION("""COMPUTED_VALUE"""),0.9759043068692091)</f>
        <v>0.9759043069</v>
      </c>
      <c r="AI25" s="57">
        <f>IFERROR(__xludf.DUMMYFUNCTION("""COMPUTED_VALUE"""),0.9370126667109968)</f>
        <v>0.9370126667</v>
      </c>
      <c r="AJ25" s="57">
        <f>IFERROR(__xludf.DUMMYFUNCTION("""COMPUTED_VALUE"""),1.0654236174605207)</f>
        <v>1.065423617</v>
      </c>
      <c r="AK25" s="57">
        <f>IFERROR(__xludf.DUMMYFUNCTION("""COMPUTED_VALUE"""),0.9936732996694037)</f>
        <v>0.9936732997</v>
      </c>
      <c r="AL25" s="57">
        <f>IFERROR(__xludf.DUMMYFUNCTION("""COMPUTED_VALUE"""),0.8350466392326837)</f>
        <v>0.8350466392</v>
      </c>
      <c r="AM25" s="57">
        <f>IFERROR(__xludf.DUMMYFUNCTION("""COMPUTED_VALUE"""),1.0108006128369245)</f>
        <v>1.010800613</v>
      </c>
      <c r="AN25" s="57">
        <f>IFERROR(__xludf.DUMMYFUNCTION("""COMPUTED_VALUE"""),1.0567147807983426)</f>
        <v>1.056714781</v>
      </c>
      <c r="AO25" s="57">
        <f>IFERROR(__xludf.DUMMYFUNCTION("""COMPUTED_VALUE"""),1.0759927544801011)</f>
        <v>1.075992754</v>
      </c>
      <c r="AP25" s="35">
        <f>IFERROR(__xludf.DUMMYFUNCTION("""COMPUTED_VALUE"""),0.8878261688090684)</f>
        <v>0.8878261688</v>
      </c>
      <c r="AQ25" s="57">
        <f>IFERROR(__xludf.DUMMYFUNCTION("""COMPUTED_VALUE"""),0.9594003320791887)</f>
        <v>0.9594003321</v>
      </c>
      <c r="AR25" s="36" t="b">
        <f>IFERROR(__xludf.DUMMYFUNCTION("""COMPUTED_VALUE"""),TRUE)</f>
        <v>1</v>
      </c>
      <c r="AS25" s="57"/>
      <c r="AT25" s="37"/>
      <c r="AU25" s="30"/>
      <c r="AV25" s="30"/>
      <c r="AW25" s="30"/>
      <c r="AX25" s="30"/>
      <c r="AY25" s="30"/>
      <c r="AZ25" s="30"/>
    </row>
    <row r="26">
      <c r="A26" s="30" t="str">
        <f>IFERROR(__xludf.DUMMYFUNCTION("""COMPUTED_VALUE"""),"Amateur")</f>
        <v>Amateur</v>
      </c>
      <c r="B26" s="30" t="str">
        <f>IFERROR(__xludf.DUMMYFUNCTION("""COMPUTED_VALUE"""),"RSC006147")</f>
        <v>RSC006147</v>
      </c>
      <c r="C26" s="30" t="str">
        <f>IFERROR(__xludf.DUMMYFUNCTION("""COMPUTED_VALUE"""),"Stolris")</f>
        <v>Stolris</v>
      </c>
      <c r="D26" s="31"/>
      <c r="E26" s="31">
        <f>IFERROR(__xludf.DUMMYFUNCTION("""COMPUTED_VALUE"""),46.2824649351022)</f>
        <v>46.28246494</v>
      </c>
      <c r="F26" s="31">
        <f>IFERROR(__xludf.DUMMYFUNCTION("""COMPUTED_VALUE"""),-2.2681156409487113)</f>
        <v>-2.268115641</v>
      </c>
      <c r="G26" s="31">
        <f>IFERROR(__xludf.DUMMYFUNCTION("""COMPUTED_VALUE"""),24.190677985101384)</f>
        <v>24.19067799</v>
      </c>
      <c r="H26" s="31">
        <f>IFERROR(__xludf.DUMMYFUNCTION("""COMPUTED_VALUE"""),-6.624765658584421)</f>
        <v>-6.624765659</v>
      </c>
      <c r="I26" s="54">
        <f>IFERROR(__xludf.DUMMYFUNCTION("""COMPUTED_VALUE"""),3.0)</f>
        <v>3</v>
      </c>
      <c r="J26" s="55">
        <f>IFERROR(__xludf.DUMMYFUNCTION("""COMPUTED_VALUE"""),1.0)</f>
        <v>1</v>
      </c>
      <c r="K26" s="54">
        <f>IFERROR(__xludf.DUMMYFUNCTION("""COMPUTED_VALUE"""),2.0)</f>
        <v>2</v>
      </c>
      <c r="L26" s="56">
        <f>IFERROR(__xludf.DUMMYFUNCTION("""COMPUTED_VALUE"""),0.3333333333333333)</f>
        <v>0.3333333333</v>
      </c>
      <c r="M26" s="56">
        <f>IFERROR(__xludf.DUMMYFUNCTION("""COMPUTED_VALUE"""),0.2857142857142857)</f>
        <v>0.2857142857</v>
      </c>
      <c r="N26" s="31">
        <f>IFERROR(__xludf.DUMMYFUNCTION("""COMPUTED_VALUE"""),198.0)</f>
        <v>198</v>
      </c>
      <c r="O26" s="57">
        <f>IFERROR(__xludf.DUMMYFUNCTION("""COMPUTED_VALUE"""),0.6666666666666666)</f>
        <v>0.6666666667</v>
      </c>
      <c r="P26" s="57">
        <f>IFERROR(__xludf.DUMMYFUNCTION("""COMPUTED_VALUE"""),0.3333333333333333)</f>
        <v>0.3333333333</v>
      </c>
      <c r="Q26" s="57">
        <f>IFERROR(__xludf.DUMMYFUNCTION("""COMPUTED_VALUE"""),0.3333333333333333)</f>
        <v>0.3333333333</v>
      </c>
      <c r="R26" s="57">
        <f>IFERROR(__xludf.DUMMYFUNCTION("""COMPUTED_VALUE"""),2.3333333333333335)</f>
        <v>2.333333333</v>
      </c>
      <c r="S26" s="31">
        <f>IFERROR(__xludf.DUMMYFUNCTION("""COMPUTED_VALUE"""),293.5555555555556)</f>
        <v>293.5555556</v>
      </c>
      <c r="T26" s="57">
        <f>IFERROR(__xludf.DUMMYFUNCTION("""COMPUTED_VALUE"""),0.7777777777777777)</f>
        <v>0.7777777778</v>
      </c>
      <c r="U26" s="57">
        <f>IFERROR(__xludf.DUMMYFUNCTION("""COMPUTED_VALUE"""),0.4444444444444444)</f>
        <v>0.4444444444</v>
      </c>
      <c r="V26" s="57">
        <f>IFERROR(__xludf.DUMMYFUNCTION("""COMPUTED_VALUE"""),0.9999999999999999)</f>
        <v>1</v>
      </c>
      <c r="W26" s="57">
        <f>IFERROR(__xludf.DUMMYFUNCTION("""COMPUTED_VALUE"""),1.888888888888889)</f>
        <v>1.888888889</v>
      </c>
      <c r="X26" s="31">
        <f>IFERROR(__xludf.DUMMYFUNCTION("""COMPUTED_VALUE"""),291.4948637513855)</f>
        <v>291.4948638</v>
      </c>
      <c r="Y26" s="57">
        <f>IFERROR(__xludf.DUMMYFUNCTION("""COMPUTED_VALUE"""),0.8071334462638812)</f>
        <v>0.8071334463</v>
      </c>
      <c r="Z26" s="57">
        <f>IFERROR(__xludf.DUMMYFUNCTION("""COMPUTED_VALUE"""),0.3927076144467449)</f>
        <v>0.3927076144</v>
      </c>
      <c r="AA26" s="57">
        <f>IFERROR(__xludf.DUMMYFUNCTION("""COMPUTED_VALUE"""),0.8269611226132966)</f>
        <v>0.8269611226</v>
      </c>
      <c r="AB26" s="57">
        <f>IFERROR(__xludf.DUMMYFUNCTION("""COMPUTED_VALUE"""),2.1402576489533014)</f>
        <v>2.140257649</v>
      </c>
      <c r="AC26" s="31">
        <f>IFERROR(__xludf.DUMMYFUNCTION("""COMPUTED_VALUE"""),291.29786880850105)</f>
        <v>291.2978688</v>
      </c>
      <c r="AD26" s="57">
        <f>IFERROR(__xludf.DUMMYFUNCTION("""COMPUTED_VALUE"""),0.6896348542900267)</f>
        <v>0.6896348543</v>
      </c>
      <c r="AE26" s="57">
        <f>IFERROR(__xludf.DUMMYFUNCTION("""COMPUTED_VALUE"""),0.39169500146511654)</f>
        <v>0.3916950015</v>
      </c>
      <c r="AF26" s="57">
        <f>IFERROR(__xludf.DUMMYFUNCTION("""COMPUTED_VALUE"""),0.9853916836675459)</f>
        <v>0.9853916837</v>
      </c>
      <c r="AG26" s="57">
        <f>IFERROR(__xludf.DUMMYFUNCTION("""COMPUTED_VALUE"""),2.040463197934462)</f>
        <v>2.040463198</v>
      </c>
      <c r="AH26" s="57">
        <f>IFERROR(__xludf.DUMMYFUNCTION("""COMPUTED_VALUE"""),0.6797166103888148)</f>
        <v>0.6797166104</v>
      </c>
      <c r="AI26" s="57">
        <f>IFERROR(__xludf.DUMMYFUNCTION("""COMPUTED_VALUE"""),0.9666951467425386)</f>
        <v>0.9666951467</v>
      </c>
      <c r="AJ26" s="57">
        <f>IFERROR(__xludf.DUMMYFUNCTION("""COMPUTED_VALUE"""),0.8510022647379104)</f>
        <v>0.8510022647</v>
      </c>
      <c r="AK26" s="57">
        <f>IFERROR(__xludf.DUMMYFUNCTION("""COMPUTED_VALUE"""),0.3382749609705395)</f>
        <v>0.338274961</v>
      </c>
      <c r="AL26" s="57">
        <f>IFERROR(__xludf.DUMMYFUNCTION("""COMPUTED_VALUE"""),1.1435312019816581)</f>
        <v>1.143531202</v>
      </c>
      <c r="AM26" s="57">
        <f>IFERROR(__xludf.DUMMYFUNCTION("""COMPUTED_VALUE"""),1.0070693931880998)</f>
        <v>1.007069393</v>
      </c>
      <c r="AN26" s="57">
        <f>IFERROR(__xludf.DUMMYFUNCTION("""COMPUTED_VALUE"""),0.9636297211793327)</f>
        <v>0.9636297212</v>
      </c>
      <c r="AO26" s="57">
        <f>IFERROR(__xludf.DUMMYFUNCTION("""COMPUTED_VALUE"""),1.1317438931521293)</f>
        <v>1.131743893</v>
      </c>
      <c r="AP26" s="35">
        <f>IFERROR(__xludf.DUMMYFUNCTION("""COMPUTED_VALUE"""),1.2092466896628462)</f>
        <v>1.20924669</v>
      </c>
      <c r="AQ26" s="57">
        <f>IFERROR(__xludf.DUMMYFUNCTION("""COMPUTED_VALUE"""),0.8825521029267925)</f>
        <v>0.8825521029</v>
      </c>
      <c r="AR26" s="36" t="b">
        <f>IFERROR(__xludf.DUMMYFUNCTION("""COMPUTED_VALUE"""),TRUE)</f>
        <v>1</v>
      </c>
      <c r="AS26" s="57"/>
      <c r="AT26" s="37"/>
      <c r="AU26" s="30"/>
      <c r="AV26" s="30"/>
      <c r="AW26" s="30"/>
      <c r="AX26" s="30"/>
      <c r="AY26" s="30"/>
      <c r="AZ26" s="30"/>
    </row>
    <row r="27">
      <c r="A27" s="30" t="str">
        <f>IFERROR(__xludf.DUMMYFUNCTION("""COMPUTED_VALUE"""),"Amateur")</f>
        <v>Amateur</v>
      </c>
      <c r="B27" s="30" t="str">
        <f>IFERROR(__xludf.DUMMYFUNCTION("""COMPUTED_VALUE"""),"RSC007875")</f>
        <v>RSC007875</v>
      </c>
      <c r="C27" s="30" t="str">
        <f>IFERROR(__xludf.DUMMYFUNCTION("""COMPUTED_VALUE"""),"Flying__ferret")</f>
        <v>Flying__ferret</v>
      </c>
      <c r="D27" s="31" t="str">
        <f>IFERROR(__xludf.DUMMYFUNCTION("""COMPUTED_VALUE"""),"Winter Fresh")</f>
        <v>Winter Fresh</v>
      </c>
      <c r="E27" s="31">
        <f>IFERROR(__xludf.DUMMYFUNCTION("""COMPUTED_VALUE"""),45.9973075168854)</f>
        <v>45.99730752</v>
      </c>
      <c r="F27" s="31">
        <f>IFERROR(__xludf.DUMMYFUNCTION("""COMPUTED_VALUE"""),-2.29148559190278)</f>
        <v>-2.291485592</v>
      </c>
      <c r="G27" s="31">
        <f>IFERROR(__xludf.DUMMYFUNCTION("""COMPUTED_VALUE"""),42.362170646675615)</f>
        <v>42.36217065</v>
      </c>
      <c r="H27" s="31">
        <f>IFERROR(__xludf.DUMMYFUNCTION("""COMPUTED_VALUE"""),-2.631664345569403)</f>
        <v>-2.631664346</v>
      </c>
      <c r="I27" s="54">
        <f>IFERROR(__xludf.DUMMYFUNCTION("""COMPUTED_VALUE"""),43.0)</f>
        <v>43</v>
      </c>
      <c r="J27" s="55">
        <f>IFERROR(__xludf.DUMMYFUNCTION("""COMPUTED_VALUE"""),17.0)</f>
        <v>17</v>
      </c>
      <c r="K27" s="54">
        <f>IFERROR(__xludf.DUMMYFUNCTION("""COMPUTED_VALUE"""),26.0)</f>
        <v>26</v>
      </c>
      <c r="L27" s="56">
        <f>IFERROR(__xludf.DUMMYFUNCTION("""COMPUTED_VALUE"""),0.3953488372093023)</f>
        <v>0.3953488372</v>
      </c>
      <c r="M27" s="56">
        <f>IFERROR(__xludf.DUMMYFUNCTION("""COMPUTED_VALUE"""),0.3333333333333333)</f>
        <v>0.3333333333</v>
      </c>
      <c r="N27" s="31">
        <f>IFERROR(__xludf.DUMMYFUNCTION("""COMPUTED_VALUE"""),283.4651162790698)</f>
        <v>283.4651163</v>
      </c>
      <c r="O27" s="57">
        <f>IFERROR(__xludf.DUMMYFUNCTION("""COMPUTED_VALUE"""),0.6744186046511628)</f>
        <v>0.6744186047</v>
      </c>
      <c r="P27" s="57">
        <f>IFERROR(__xludf.DUMMYFUNCTION("""COMPUTED_VALUE"""),0.46511627906976744)</f>
        <v>0.4651162791</v>
      </c>
      <c r="Q27" s="57">
        <f>IFERROR(__xludf.DUMMYFUNCTION("""COMPUTED_VALUE"""),1.0465116279069768)</f>
        <v>1.046511628</v>
      </c>
      <c r="R27" s="57">
        <f>IFERROR(__xludf.DUMMYFUNCTION("""COMPUTED_VALUE"""),2.0232558139534884)</f>
        <v>2.023255814</v>
      </c>
      <c r="S27" s="31">
        <f>IFERROR(__xludf.DUMMYFUNCTION("""COMPUTED_VALUE"""),329.84496124030994)</f>
        <v>329.8449612</v>
      </c>
      <c r="T27" s="57">
        <f>IFERROR(__xludf.DUMMYFUNCTION("""COMPUTED_VALUE"""),1.023255813953488)</f>
        <v>1.023255814</v>
      </c>
      <c r="U27" s="57">
        <f>IFERROR(__xludf.DUMMYFUNCTION("""COMPUTED_VALUE"""),0.6589147286821704)</f>
        <v>0.6589147287</v>
      </c>
      <c r="V27" s="57">
        <f>IFERROR(__xludf.DUMMYFUNCTION("""COMPUTED_VALUE"""),0.8527131782945736)</f>
        <v>0.8527131783</v>
      </c>
      <c r="W27" s="57">
        <f>IFERROR(__xludf.DUMMYFUNCTION("""COMPUTED_VALUE"""),2.3565891472868215)</f>
        <v>2.356589147</v>
      </c>
      <c r="X27" s="31">
        <f>IFERROR(__xludf.DUMMYFUNCTION("""COMPUTED_VALUE"""),296.6297254294568)</f>
        <v>296.6297254</v>
      </c>
      <c r="Y27" s="57">
        <f>IFERROR(__xludf.DUMMYFUNCTION("""COMPUTED_VALUE"""),0.7960236173671354)</f>
        <v>0.7960236174</v>
      </c>
      <c r="Z27" s="57">
        <f>IFERROR(__xludf.DUMMYFUNCTION("""COMPUTED_VALUE"""),0.4448893313625028)</f>
        <v>0.4448893314</v>
      </c>
      <c r="AA27" s="57">
        <f>IFERROR(__xludf.DUMMYFUNCTION("""COMPUTED_VALUE"""),0.8507850463004928)</f>
        <v>0.8507850463</v>
      </c>
      <c r="AB27" s="57">
        <f>IFERROR(__xludf.DUMMYFUNCTION("""COMPUTED_VALUE"""),2.08434382197785)</f>
        <v>2.084343822</v>
      </c>
      <c r="AC27" s="31">
        <f>IFERROR(__xludf.DUMMYFUNCTION("""COMPUTED_VALUE"""),291.64435835863287)</f>
        <v>291.6443584</v>
      </c>
      <c r="AD27" s="57">
        <f>IFERROR(__xludf.DUMMYFUNCTION("""COMPUTED_VALUE"""),0.7445741879028864)</f>
        <v>0.7445741879</v>
      </c>
      <c r="AE27" s="57">
        <f>IFERROR(__xludf.DUMMYFUNCTION("""COMPUTED_VALUE"""),0.40670046713938607)</f>
        <v>0.4067004671</v>
      </c>
      <c r="AF27" s="57">
        <f>IFERROR(__xludf.DUMMYFUNCTION("""COMPUTED_VALUE"""),0.8979969687241842)</f>
        <v>0.8979969687</v>
      </c>
      <c r="AG27" s="57">
        <f>IFERROR(__xludf.DUMMYFUNCTION("""COMPUTED_VALUE"""),2.021769158749066)</f>
        <v>2.021769159</v>
      </c>
      <c r="AH27" s="57">
        <f>IFERROR(__xludf.DUMMYFUNCTION("""COMPUTED_VALUE"""),0.9719547392392719)</f>
        <v>0.9719547392</v>
      </c>
      <c r="AI27" s="57">
        <f>IFERROR(__xludf.DUMMYFUNCTION("""COMPUTED_VALUE"""),0.905777578122445)</f>
        <v>0.9057775781</v>
      </c>
      <c r="AJ27" s="57">
        <f>IFERROR(__xludf.DUMMYFUNCTION("""COMPUTED_VALUE"""),1.1436335009429945)</f>
        <v>1.143633501</v>
      </c>
      <c r="AK27" s="57">
        <f>IFERROR(__xludf.DUMMYFUNCTION("""COMPUTED_VALUE"""),1.165384365822295)</f>
        <v>1.165384366</v>
      </c>
      <c r="AL27" s="57">
        <f>IFERROR(__xludf.DUMMYFUNCTION("""COMPUTED_VALUE"""),1.0007353239107388)</f>
        <v>1.000735324</v>
      </c>
      <c r="AM27" s="57">
        <f>IFERROR(__xludf.DUMMYFUNCTION("""COMPUTED_VALUE"""),1.1119754123183863)</f>
        <v>1.111975412</v>
      </c>
      <c r="AN27" s="57">
        <f>IFERROR(__xludf.DUMMYFUNCTION("""COMPUTED_VALUE"""),1.2854591140623788)</f>
        <v>1.285459114</v>
      </c>
      <c r="AO27" s="57">
        <f>IFERROR(__xludf.DUMMYFUNCTION("""COMPUTED_VALUE"""),1.4810755894374916)</f>
        <v>1.481075589</v>
      </c>
      <c r="AP27" s="35">
        <f>IFERROR(__xludf.DUMMYFUNCTION("""COMPUTED_VALUE"""),1.0022662974654586)</f>
        <v>1.002266297</v>
      </c>
      <c r="AQ27" s="57">
        <f>IFERROR(__xludf.DUMMYFUNCTION("""COMPUTED_VALUE"""),1.130614403649891)</f>
        <v>1.130614404</v>
      </c>
      <c r="AR27" s="36" t="b">
        <f>IFERROR(__xludf.DUMMYFUNCTION("""COMPUTED_VALUE"""),TRUE)</f>
        <v>1</v>
      </c>
      <c r="AS27" s="57"/>
      <c r="AT27" s="37"/>
      <c r="AU27" s="30"/>
      <c r="AV27" s="30"/>
      <c r="AW27" s="30"/>
      <c r="AX27" s="30"/>
      <c r="AY27" s="30"/>
      <c r="AZ27" s="30"/>
    </row>
    <row r="28">
      <c r="A28" s="30" t="str">
        <f>IFERROR(__xludf.DUMMYFUNCTION("""COMPUTED_VALUE"""),"Amateur")</f>
        <v>Amateur</v>
      </c>
      <c r="B28" s="30" t="str">
        <f>IFERROR(__xludf.DUMMYFUNCTION("""COMPUTED_VALUE"""),"RSC005925")</f>
        <v>RSC005925</v>
      </c>
      <c r="C28" s="30" t="str">
        <f>IFERROR(__xludf.DUMMYFUNCTION("""COMPUTED_VALUE"""),"Emily26210")</f>
        <v>Emily26210</v>
      </c>
      <c r="D28" s="31" t="str">
        <f>IFERROR(__xludf.DUMMYFUNCTION("""COMPUTED_VALUE"""),"Amaranth")</f>
        <v>Amaranth</v>
      </c>
      <c r="E28" s="31">
        <f>IFERROR(__xludf.DUMMYFUNCTION("""COMPUTED_VALUE"""),45.79252024283358)</f>
        <v>45.79252024</v>
      </c>
      <c r="F28" s="31">
        <f>IFERROR(__xludf.DUMMYFUNCTION("""COMPUTED_VALUE"""),-2.3085413781073743)</f>
        <v>-2.308541378</v>
      </c>
      <c r="G28" s="31">
        <f>IFERROR(__xludf.DUMMYFUNCTION("""COMPUTED_VALUE"""),46.949072821352885)</f>
        <v>46.94907282</v>
      </c>
      <c r="H28" s="31">
        <f>IFERROR(__xludf.DUMMYFUNCTION("""COMPUTED_VALUE"""),-2.215159195797329)</f>
        <v>-2.215159196</v>
      </c>
      <c r="I28" s="54">
        <f>IFERROR(__xludf.DUMMYFUNCTION("""COMPUTED_VALUE"""),38.0)</f>
        <v>38</v>
      </c>
      <c r="J28" s="55">
        <f>IFERROR(__xludf.DUMMYFUNCTION("""COMPUTED_VALUE"""),8.0)</f>
        <v>8</v>
      </c>
      <c r="K28" s="54">
        <f>IFERROR(__xludf.DUMMYFUNCTION("""COMPUTED_VALUE"""),30.0)</f>
        <v>30</v>
      </c>
      <c r="L28" s="56">
        <f>IFERROR(__xludf.DUMMYFUNCTION("""COMPUTED_VALUE"""),0.21052631578947367)</f>
        <v>0.2105263158</v>
      </c>
      <c r="M28" s="56">
        <f>IFERROR(__xludf.DUMMYFUNCTION("""COMPUTED_VALUE"""),0.3218390804597701)</f>
        <v>0.3218390805</v>
      </c>
      <c r="N28" s="31">
        <f>IFERROR(__xludf.DUMMYFUNCTION("""COMPUTED_VALUE"""),307.0)</f>
        <v>307</v>
      </c>
      <c r="O28" s="57">
        <f>IFERROR(__xludf.DUMMYFUNCTION("""COMPUTED_VALUE"""),0.7368421052631579)</f>
        <v>0.7368421053</v>
      </c>
      <c r="P28" s="57">
        <f>IFERROR(__xludf.DUMMYFUNCTION("""COMPUTED_VALUE"""),0.3157894736842105)</f>
        <v>0.3157894737</v>
      </c>
      <c r="Q28" s="57">
        <f>IFERROR(__xludf.DUMMYFUNCTION("""COMPUTED_VALUE"""),1.2105263157894737)</f>
        <v>1.210526316</v>
      </c>
      <c r="R28" s="57">
        <f>IFERROR(__xludf.DUMMYFUNCTION("""COMPUTED_VALUE"""),2.289473684210526)</f>
        <v>2.289473684</v>
      </c>
      <c r="S28" s="31">
        <f>IFERROR(__xludf.DUMMYFUNCTION("""COMPUTED_VALUE"""),345.9451754385965)</f>
        <v>345.9451754</v>
      </c>
      <c r="T28" s="57">
        <f>IFERROR(__xludf.DUMMYFUNCTION("""COMPUTED_VALUE"""),1.1688596491228067)</f>
        <v>1.168859649</v>
      </c>
      <c r="U28" s="57">
        <f>IFERROR(__xludf.DUMMYFUNCTION("""COMPUTED_VALUE"""),0.6403508771929826)</f>
        <v>0.6403508772</v>
      </c>
      <c r="V28" s="57">
        <f>IFERROR(__xludf.DUMMYFUNCTION("""COMPUTED_VALUE"""),0.8333333333333336)</f>
        <v>0.8333333333</v>
      </c>
      <c r="W28" s="57">
        <f>IFERROR(__xludf.DUMMYFUNCTION("""COMPUTED_VALUE"""),2.6535087719298245)</f>
        <v>2.653508772</v>
      </c>
      <c r="X28" s="31">
        <f>IFERROR(__xludf.DUMMYFUNCTION("""COMPUTED_VALUE"""),299.8011948930651)</f>
        <v>299.8011949</v>
      </c>
      <c r="Y28" s="57">
        <f>IFERROR(__xludf.DUMMYFUNCTION("""COMPUTED_VALUE"""),0.8309445781188881)</f>
        <v>0.8309445781</v>
      </c>
      <c r="Z28" s="57">
        <f>IFERROR(__xludf.DUMMYFUNCTION("""COMPUTED_VALUE"""),0.4249628282614206)</f>
        <v>0.4249628283</v>
      </c>
      <c r="AA28" s="57">
        <f>IFERROR(__xludf.DUMMYFUNCTION("""COMPUTED_VALUE"""),0.8711647285355838)</f>
        <v>0.8711647285</v>
      </c>
      <c r="AB28" s="57">
        <f>IFERROR(__xludf.DUMMYFUNCTION("""COMPUTED_VALUE"""),2.1182323702346193)</f>
        <v>2.11823237</v>
      </c>
      <c r="AC28" s="31">
        <f>IFERROR(__xludf.DUMMYFUNCTION("""COMPUTED_VALUE"""),286.33171189385496)</f>
        <v>286.3317119</v>
      </c>
      <c r="AD28" s="57">
        <f>IFERROR(__xludf.DUMMYFUNCTION("""COMPUTED_VALUE"""),0.7081926937460619)</f>
        <v>0.7081926937</v>
      </c>
      <c r="AE28" s="57">
        <f>IFERROR(__xludf.DUMMYFUNCTION("""COMPUTED_VALUE"""),0.3958495770027456)</f>
        <v>0.395849577</v>
      </c>
      <c r="AF28" s="57">
        <f>IFERROR(__xludf.DUMMYFUNCTION("""COMPUTED_VALUE"""),0.8860170252685776)</f>
        <v>0.8860170253</v>
      </c>
      <c r="AG28" s="57">
        <f>IFERROR(__xludf.DUMMYFUNCTION("""COMPUTED_VALUE"""),2.0001525479482907)</f>
        <v>2.000152548</v>
      </c>
      <c r="AH28" s="57">
        <f>IFERROR(__xludf.DUMMYFUNCTION("""COMPUTED_VALUE"""),1.0721830214663994)</f>
        <v>1.072183021</v>
      </c>
      <c r="AI28" s="57">
        <f>IFERROR(__xludf.DUMMYFUNCTION("""COMPUTED_VALUE"""),1.0404542602177267)</f>
        <v>1.04045426</v>
      </c>
      <c r="AJ28" s="57">
        <f>IFERROR(__xludf.DUMMYFUNCTION("""COMPUTED_VALUE"""),0.7977511964905301)</f>
        <v>0.7977511965</v>
      </c>
      <c r="AK28" s="57">
        <f>IFERROR(__xludf.DUMMYFUNCTION("""COMPUTED_VALUE"""),1.3662562696495903)</f>
        <v>1.36625627</v>
      </c>
      <c r="AL28" s="57">
        <f>IFERROR(__xludf.DUMMYFUNCTION("""COMPUTED_VALUE"""),1.1446495351362147)</f>
        <v>1.144649535</v>
      </c>
      <c r="AM28" s="57">
        <f>IFERROR(__xludf.DUMMYFUNCTION("""COMPUTED_VALUE"""),1.1539152656212406)</f>
        <v>1.153915266</v>
      </c>
      <c r="AN28" s="57">
        <f>IFERROR(__xludf.DUMMYFUNCTION("""COMPUTED_VALUE"""),1.406663789501941)</f>
        <v>1.40666379</v>
      </c>
      <c r="AO28" s="57">
        <f>IFERROR(__xludf.DUMMYFUNCTION("""COMPUTED_VALUE"""),1.5068397389313861)</f>
        <v>1.506839739</v>
      </c>
      <c r="AP28" s="35">
        <f>IFERROR(__xludf.DUMMYFUNCTION("""COMPUTED_VALUE"""),0.9565737753572229)</f>
        <v>0.9565737754</v>
      </c>
      <c r="AQ28" s="57">
        <f>IFERROR(__xludf.DUMMYFUNCTION("""COMPUTED_VALUE"""),1.2526995664955856)</f>
        <v>1.252699566</v>
      </c>
      <c r="AR28" s="36" t="b">
        <f>IFERROR(__xludf.DUMMYFUNCTION("""COMPUTED_VALUE"""),TRUE)</f>
        <v>1</v>
      </c>
      <c r="AS28" s="57"/>
      <c r="AT28" s="37"/>
      <c r="AU28" s="30"/>
      <c r="AV28" s="30"/>
      <c r="AW28" s="30"/>
      <c r="AX28" s="30"/>
      <c r="AY28" s="30"/>
      <c r="AZ28" s="30"/>
    </row>
    <row r="29">
      <c r="A29" s="30" t="str">
        <f>IFERROR(__xludf.DUMMYFUNCTION("""COMPUTED_VALUE"""),"Amateur")</f>
        <v>Amateur</v>
      </c>
      <c r="B29" s="30" t="str">
        <f>IFERROR(__xludf.DUMMYFUNCTION("""COMPUTED_VALUE"""),"RSC007948")</f>
        <v>RSC007948</v>
      </c>
      <c r="C29" s="30" t="str">
        <f>IFERROR(__xludf.DUMMYFUNCTION("""COMPUTED_VALUE"""),"MasterOfDaTurtle")</f>
        <v>MasterOfDaTurtle</v>
      </c>
      <c r="D29" s="31"/>
      <c r="E29" s="31">
        <f>IFERROR(__xludf.DUMMYFUNCTION("""COMPUTED_VALUE"""),44.84403344965911)</f>
        <v>44.84403345</v>
      </c>
      <c r="F29" s="31">
        <f>IFERROR(__xludf.DUMMYFUNCTION("""COMPUTED_VALUE"""),-2.390615907807275)</f>
        <v>-2.390615908</v>
      </c>
      <c r="G29" s="31">
        <f>IFERROR(__xludf.DUMMYFUNCTION("""COMPUTED_VALUE"""),40.529456323296216)</f>
        <v>40.52945632</v>
      </c>
      <c r="H29" s="31">
        <f>IFERROR(__xludf.DUMMYFUNCTION("""COMPUTED_VALUE"""),-2.837602972791164)</f>
        <v>-2.837602973</v>
      </c>
      <c r="I29" s="54">
        <f>IFERROR(__xludf.DUMMYFUNCTION("""COMPUTED_VALUE"""),14.0)</f>
        <v>14</v>
      </c>
      <c r="J29" s="55">
        <f>IFERROR(__xludf.DUMMYFUNCTION("""COMPUTED_VALUE"""),3.0)</f>
        <v>3</v>
      </c>
      <c r="K29" s="54">
        <f>IFERROR(__xludf.DUMMYFUNCTION("""COMPUTED_VALUE"""),11.0)</f>
        <v>11</v>
      </c>
      <c r="L29" s="56">
        <f>IFERROR(__xludf.DUMMYFUNCTION("""COMPUTED_VALUE"""),0.21428571428571427)</f>
        <v>0.2142857143</v>
      </c>
      <c r="M29" s="56">
        <f>IFERROR(__xludf.DUMMYFUNCTION("""COMPUTED_VALUE"""),0.32142857142857145)</f>
        <v>0.3214285714</v>
      </c>
      <c r="N29" s="31">
        <f>IFERROR(__xludf.DUMMYFUNCTION("""COMPUTED_VALUE"""),257.57142857142856)</f>
        <v>257.5714286</v>
      </c>
      <c r="O29" s="57">
        <f>IFERROR(__xludf.DUMMYFUNCTION("""COMPUTED_VALUE"""),0.6428571428571429)</f>
        <v>0.6428571429</v>
      </c>
      <c r="P29" s="57">
        <f>IFERROR(__xludf.DUMMYFUNCTION("""COMPUTED_VALUE"""),0.42857142857142855)</f>
        <v>0.4285714286</v>
      </c>
      <c r="Q29" s="57">
        <f>IFERROR(__xludf.DUMMYFUNCTION("""COMPUTED_VALUE"""),0.35714285714285715)</f>
        <v>0.3571428571</v>
      </c>
      <c r="R29" s="57">
        <f>IFERROR(__xludf.DUMMYFUNCTION("""COMPUTED_VALUE"""),2.0)</f>
        <v>2</v>
      </c>
      <c r="S29" s="31">
        <f>IFERROR(__xludf.DUMMYFUNCTION("""COMPUTED_VALUE"""),304.0654761904762)</f>
        <v>304.0654762</v>
      </c>
      <c r="T29" s="57">
        <f>IFERROR(__xludf.DUMMYFUNCTION("""COMPUTED_VALUE"""),0.9583333333333331)</f>
        <v>0.9583333333</v>
      </c>
      <c r="U29" s="57">
        <f>IFERROR(__xludf.DUMMYFUNCTION("""COMPUTED_VALUE"""),0.4404761904761905)</f>
        <v>0.4404761905</v>
      </c>
      <c r="V29" s="57">
        <f>IFERROR(__xludf.DUMMYFUNCTION("""COMPUTED_VALUE"""),0.8690476190476188)</f>
        <v>0.869047619</v>
      </c>
      <c r="W29" s="57">
        <f>IFERROR(__xludf.DUMMYFUNCTION("""COMPUTED_VALUE"""),2.0952380952380945)</f>
        <v>2.095238095</v>
      </c>
      <c r="X29" s="31">
        <f>IFERROR(__xludf.DUMMYFUNCTION("""COMPUTED_VALUE"""),282.0253086115132)</f>
        <v>282.0253086</v>
      </c>
      <c r="Y29" s="57">
        <f>IFERROR(__xludf.DUMMYFUNCTION("""COMPUTED_VALUE"""),0.7496590478175618)</f>
        <v>0.7496590478</v>
      </c>
      <c r="Z29" s="57">
        <f>IFERROR(__xludf.DUMMYFUNCTION("""COMPUTED_VALUE"""),0.3752011623300244)</f>
        <v>0.3752011623</v>
      </c>
      <c r="AA29" s="57">
        <f>IFERROR(__xludf.DUMMYFUNCTION("""COMPUTED_VALUE"""),0.8094822038320063)</f>
        <v>0.8094822038</v>
      </c>
      <c r="AB29" s="57">
        <f>IFERROR(__xludf.DUMMYFUNCTION("""COMPUTED_VALUE"""),1.9599699128048857)</f>
        <v>1.959969913</v>
      </c>
      <c r="AC29" s="31">
        <f>IFERROR(__xludf.DUMMYFUNCTION("""COMPUTED_VALUE"""),289.61617703221555)</f>
        <v>289.616177</v>
      </c>
      <c r="AD29" s="57">
        <f>IFERROR(__xludf.DUMMYFUNCTION("""COMPUTED_VALUE"""),0.7545882437852273)</f>
        <v>0.7545882438</v>
      </c>
      <c r="AE29" s="57">
        <f>IFERROR(__xludf.DUMMYFUNCTION("""COMPUTED_VALUE"""),0.4088210757770491)</f>
        <v>0.4088210758</v>
      </c>
      <c r="AF29" s="57">
        <f>IFERROR(__xludf.DUMMYFUNCTION("""COMPUTED_VALUE"""),0.8391263978447814)</f>
        <v>0.8391263978</v>
      </c>
      <c r="AG29" s="57">
        <f>IFERROR(__xludf.DUMMYFUNCTION("""COMPUTED_VALUE"""),2.0248573501175025)</f>
        <v>2.02485735</v>
      </c>
      <c r="AH29" s="57">
        <f>IFERROR(__xludf.DUMMYFUNCTION("""COMPUTED_VALUE"""),0.8893544249179752)</f>
        <v>0.8893544249</v>
      </c>
      <c r="AI29" s="57">
        <f>IFERROR(__xludf.DUMMYFUNCTION("""COMPUTED_VALUE"""),0.8519310341125782)</f>
        <v>0.8519310341</v>
      </c>
      <c r="AJ29" s="57">
        <f>IFERROR(__xludf.DUMMYFUNCTION("""COMPUTED_VALUE"""),1.048310505413254)</f>
        <v>1.048310505</v>
      </c>
      <c r="AK29" s="57">
        <f>IFERROR(__xludf.DUMMYFUNCTION("""COMPUTED_VALUE"""),0.4256127063338081)</f>
        <v>0.4256127063</v>
      </c>
      <c r="AL29" s="57">
        <f>IFERROR(__xludf.DUMMYFUNCTION("""COMPUTED_VALUE"""),0.9877239005917824)</f>
        <v>0.9877239006</v>
      </c>
      <c r="AM29" s="57">
        <f>IFERROR(__xludf.DUMMYFUNCTION("""COMPUTED_VALUE"""),1.078149608939257)</f>
        <v>1.078149609</v>
      </c>
      <c r="AN29" s="57">
        <f>IFERROR(__xludf.DUMMYFUNCTION("""COMPUTED_VALUE"""),1.2783589234643036)</f>
        <v>1.278358923</v>
      </c>
      <c r="AO29" s="57">
        <f>IFERROR(__xludf.DUMMYFUNCTION("""COMPUTED_VALUE"""),1.173973416662155)</f>
        <v>1.173973417</v>
      </c>
      <c r="AP29" s="35">
        <f>IFERROR(__xludf.DUMMYFUNCTION("""COMPUTED_VALUE"""),1.0735845889305977)</f>
        <v>1.073584589</v>
      </c>
      <c r="AQ29" s="57">
        <f>IFERROR(__xludf.DUMMYFUNCTION("""COMPUTED_VALUE"""),1.0690154382215125)</f>
        <v>1.069015438</v>
      </c>
      <c r="AR29" s="36" t="b">
        <f>IFERROR(__xludf.DUMMYFUNCTION("""COMPUTED_VALUE"""),TRUE)</f>
        <v>1</v>
      </c>
      <c r="AS29" s="57"/>
      <c r="AT29" s="37"/>
      <c r="AU29" s="30"/>
      <c r="AV29" s="30"/>
      <c r="AW29" s="30"/>
      <c r="AX29" s="30"/>
      <c r="AY29" s="30"/>
      <c r="AZ29" s="30"/>
    </row>
    <row r="30">
      <c r="A30" s="30" t="str">
        <f>IFERROR(__xludf.DUMMYFUNCTION("""COMPUTED_VALUE"""),"Amateur")</f>
        <v>Amateur</v>
      </c>
      <c r="B30" s="30" t="str">
        <f>IFERROR(__xludf.DUMMYFUNCTION("""COMPUTED_VALUE"""),"RSC007921")</f>
        <v>RSC007921</v>
      </c>
      <c r="C30" s="30" t="str">
        <f>IFERROR(__xludf.DUMMYFUNCTION("""COMPUTED_VALUE"""),"sXCyBeast")</f>
        <v>sXCyBeast</v>
      </c>
      <c r="D30" s="31" t="str">
        <f>IFERROR(__xludf.DUMMYFUNCTION("""COMPUTED_VALUE"""),"Surprise")</f>
        <v>Surprise</v>
      </c>
      <c r="E30" s="31">
        <f>IFERROR(__xludf.DUMMYFUNCTION("""COMPUTED_VALUE"""),42.185500145421024)</f>
        <v>42.18550015</v>
      </c>
      <c r="F30" s="31">
        <f>IFERROR(__xludf.DUMMYFUNCTION("""COMPUTED_VALUE"""),-2.650411588700249)</f>
        <v>-2.650411589</v>
      </c>
      <c r="G30" s="31">
        <f>IFERROR(__xludf.DUMMYFUNCTION("""COMPUTED_VALUE"""),40.17306392642783)</f>
        <v>40.17306393</v>
      </c>
      <c r="H30" s="31">
        <f>IFERROR(__xludf.DUMMYFUNCTION("""COMPUTED_VALUE"""),-2.880755654527046)</f>
        <v>-2.880755655</v>
      </c>
      <c r="I30" s="54">
        <f>IFERROR(__xludf.DUMMYFUNCTION("""COMPUTED_VALUE"""),29.0)</f>
        <v>29</v>
      </c>
      <c r="J30" s="55">
        <f>IFERROR(__xludf.DUMMYFUNCTION("""COMPUTED_VALUE"""),14.0)</f>
        <v>14</v>
      </c>
      <c r="K30" s="54">
        <f>IFERROR(__xludf.DUMMYFUNCTION("""COMPUTED_VALUE"""),15.0)</f>
        <v>15</v>
      </c>
      <c r="L30" s="56">
        <f>IFERROR(__xludf.DUMMYFUNCTION("""COMPUTED_VALUE"""),0.4827586206896552)</f>
        <v>0.4827586207</v>
      </c>
      <c r="M30" s="56">
        <f>IFERROR(__xludf.DUMMYFUNCTION("""COMPUTED_VALUE"""),0.26666666666666666)</f>
        <v>0.2666666667</v>
      </c>
      <c r="N30" s="31">
        <f>IFERROR(__xludf.DUMMYFUNCTION("""COMPUTED_VALUE"""),229.10344827586206)</f>
        <v>229.1034483</v>
      </c>
      <c r="O30" s="57">
        <f>IFERROR(__xludf.DUMMYFUNCTION("""COMPUTED_VALUE"""),0.41379310344827586)</f>
        <v>0.4137931034</v>
      </c>
      <c r="P30" s="57">
        <f>IFERROR(__xludf.DUMMYFUNCTION("""COMPUTED_VALUE"""),0.5172413793103449)</f>
        <v>0.5172413793</v>
      </c>
      <c r="Q30" s="57">
        <f>IFERROR(__xludf.DUMMYFUNCTION("""COMPUTED_VALUE"""),0.5172413793103449)</f>
        <v>0.5172413793</v>
      </c>
      <c r="R30" s="57">
        <f>IFERROR(__xludf.DUMMYFUNCTION("""COMPUTED_VALUE"""),1.5517241379310345)</f>
        <v>1.551724138</v>
      </c>
      <c r="S30" s="31">
        <f>IFERROR(__xludf.DUMMYFUNCTION("""COMPUTED_VALUE"""),292.2040229885058)</f>
        <v>292.204023</v>
      </c>
      <c r="T30" s="57">
        <f>IFERROR(__xludf.DUMMYFUNCTION("""COMPUTED_VALUE"""),0.8448275862068966)</f>
        <v>0.8448275862</v>
      </c>
      <c r="U30" s="57">
        <f>IFERROR(__xludf.DUMMYFUNCTION("""COMPUTED_VALUE"""),0.38218390804597696)</f>
        <v>0.382183908</v>
      </c>
      <c r="V30" s="57">
        <f>IFERROR(__xludf.DUMMYFUNCTION("""COMPUTED_VALUE"""),0.8275862068965516)</f>
        <v>0.8275862069</v>
      </c>
      <c r="W30" s="57">
        <f>IFERROR(__xludf.DUMMYFUNCTION("""COMPUTED_VALUE"""),1.775862068965517)</f>
        <v>1.775862069</v>
      </c>
      <c r="X30" s="31">
        <f>IFERROR(__xludf.DUMMYFUNCTION("""COMPUTED_VALUE"""),305.11316252516093)</f>
        <v>305.1131625</v>
      </c>
      <c r="Y30" s="57">
        <f>IFERROR(__xludf.DUMMYFUNCTION("""COMPUTED_VALUE"""),0.8344441721796134)</f>
        <v>0.8344441722</v>
      </c>
      <c r="Z30" s="57">
        <f>IFERROR(__xludf.DUMMYFUNCTION("""COMPUTED_VALUE"""),0.4637005571884881)</f>
        <v>0.4637005572</v>
      </c>
      <c r="AA30" s="57">
        <f>IFERROR(__xludf.DUMMYFUNCTION("""COMPUTED_VALUE"""),0.9140937226573285)</f>
        <v>0.9140937227</v>
      </c>
      <c r="AB30" s="57">
        <f>IFERROR(__xludf.DUMMYFUNCTION("""COMPUTED_VALUE"""),2.1022583395320718)</f>
        <v>2.10225834</v>
      </c>
      <c r="AC30" s="31">
        <f>IFERROR(__xludf.DUMMYFUNCTION("""COMPUTED_VALUE"""),289.4363123600047)</f>
        <v>289.4363124</v>
      </c>
      <c r="AD30" s="57">
        <f>IFERROR(__xludf.DUMMYFUNCTION("""COMPUTED_VALUE"""),0.7311210200232192)</f>
        <v>0.73112102</v>
      </c>
      <c r="AE30" s="57">
        <f>IFERROR(__xludf.DUMMYFUNCTION("""COMPUTED_VALUE"""),0.43237269372712644)</f>
        <v>0.4323726937</v>
      </c>
      <c r="AF30" s="57">
        <f>IFERROR(__xludf.DUMMYFUNCTION("""COMPUTED_VALUE"""),0.8556982175796042)</f>
        <v>0.8556982176</v>
      </c>
      <c r="AG30" s="57">
        <f>IFERROR(__xludf.DUMMYFUNCTION("""COMPUTED_VALUE"""),2.0721534979711937)</f>
        <v>2.072153498</v>
      </c>
      <c r="AH30" s="57">
        <f>IFERROR(__xludf.DUMMYFUNCTION("""COMPUTED_VALUE"""),0.7915504672091737)</f>
        <v>0.7915504672</v>
      </c>
      <c r="AI30" s="57">
        <f>IFERROR(__xludf.DUMMYFUNCTION("""COMPUTED_VALUE"""),0.5659707382440385)</f>
        <v>0.5659707382</v>
      </c>
      <c r="AJ30" s="57">
        <f>IFERROR(__xludf.DUMMYFUNCTION("""COMPUTED_VALUE"""),1.1962859514823563)</f>
        <v>1.196285951</v>
      </c>
      <c r="AK30" s="57">
        <f>IFERROR(__xludf.DUMMYFUNCTION("""COMPUTED_VALUE"""),0.6044670523837181)</f>
        <v>0.6044670524</v>
      </c>
      <c r="AL30" s="57">
        <f>IFERROR(__xludf.DUMMYFUNCTION("""COMPUTED_VALUE"""),0.7488461349269242)</f>
        <v>0.7488461349</v>
      </c>
      <c r="AM30" s="57">
        <f>IFERROR(__xludf.DUMMYFUNCTION("""COMPUTED_VALUE"""),0.9576906501515137)</f>
        <v>0.9576906502</v>
      </c>
      <c r="AN30" s="57">
        <f>IFERROR(__xludf.DUMMYFUNCTION("""COMPUTED_VALUE"""),1.0124435095521862)</f>
        <v>1.01244351</v>
      </c>
      <c r="AO30" s="57">
        <f>IFERROR(__xludf.DUMMYFUNCTION("""COMPUTED_VALUE"""),0.8242041164738654)</f>
        <v>0.8242041165</v>
      </c>
      <c r="AP30" s="35">
        <f>IFERROR(__xludf.DUMMYFUNCTION("""COMPUTED_VALUE"""),0.9053625316348372)</f>
        <v>0.9053625316</v>
      </c>
      <c r="AQ30" s="57">
        <f>IFERROR(__xludf.DUMMYFUNCTION("""COMPUTED_VALUE"""),0.8447401708777593)</f>
        <v>0.8447401709</v>
      </c>
      <c r="AR30" s="36" t="b">
        <f>IFERROR(__xludf.DUMMYFUNCTION("""COMPUTED_VALUE"""),TRUE)</f>
        <v>1</v>
      </c>
      <c r="AS30" s="57"/>
      <c r="AT30" s="37"/>
      <c r="AU30" s="30"/>
      <c r="AV30" s="30"/>
      <c r="AW30" s="30"/>
      <c r="AX30" s="30"/>
      <c r="AY30" s="30"/>
      <c r="AZ30" s="30"/>
    </row>
    <row r="31">
      <c r="A31" s="30" t="str">
        <f>IFERROR(__xludf.DUMMYFUNCTION("""COMPUTED_VALUE"""),"Amateur")</f>
        <v>Amateur</v>
      </c>
      <c r="B31" s="30" t="str">
        <f>IFERROR(__xludf.DUMMYFUNCTION("""COMPUTED_VALUE"""),"RSC006137")</f>
        <v>RSC006137</v>
      </c>
      <c r="C31" s="30" t="str">
        <f>IFERROR(__xludf.DUMMYFUNCTION("""COMPUTED_VALUE"""),"FULLBL00DN8V")</f>
        <v>FULLBL00DN8V</v>
      </c>
      <c r="D31" s="31" t="str">
        <f>IFERROR(__xludf.DUMMYFUNCTION("""COMPUTED_VALUE"""),"Winter Fresh")</f>
        <v>Winter Fresh</v>
      </c>
      <c r="E31" s="31">
        <f>IFERROR(__xludf.DUMMYFUNCTION("""COMPUTED_VALUE"""),41.67097549104016)</f>
        <v>41.67097549</v>
      </c>
      <c r="F31" s="31">
        <f>IFERROR(__xludf.DUMMYFUNCTION("""COMPUTED_VALUE"""),-2.7063131792293573)</f>
        <v>-2.706313179</v>
      </c>
      <c r="G31" s="31">
        <f>IFERROR(__xludf.DUMMYFUNCTION("""COMPUTED_VALUE"""),31.360267654783005)</f>
        <v>31.36026765</v>
      </c>
      <c r="H31" s="31">
        <f>IFERROR(__xludf.DUMMYFUNCTION("""COMPUTED_VALUE"""),-4.386777310143384)</f>
        <v>-4.38677731</v>
      </c>
      <c r="I31" s="54">
        <f>IFERROR(__xludf.DUMMYFUNCTION("""COMPUTED_VALUE"""),43.0)</f>
        <v>43</v>
      </c>
      <c r="J31" s="55">
        <f>IFERROR(__xludf.DUMMYFUNCTION("""COMPUTED_VALUE"""),17.0)</f>
        <v>17</v>
      </c>
      <c r="K31" s="54">
        <f>IFERROR(__xludf.DUMMYFUNCTION("""COMPUTED_VALUE"""),26.0)</f>
        <v>26</v>
      </c>
      <c r="L31" s="56">
        <f>IFERROR(__xludf.DUMMYFUNCTION("""COMPUTED_VALUE"""),0.3953488372093023)</f>
        <v>0.3953488372</v>
      </c>
      <c r="M31" s="56">
        <f>IFERROR(__xludf.DUMMYFUNCTION("""COMPUTED_VALUE"""),0.38961038961038963)</f>
        <v>0.3896103896</v>
      </c>
      <c r="N31" s="31">
        <f>IFERROR(__xludf.DUMMYFUNCTION("""COMPUTED_VALUE"""),245.69767441860466)</f>
        <v>245.6976744</v>
      </c>
      <c r="O31" s="57">
        <f>IFERROR(__xludf.DUMMYFUNCTION("""COMPUTED_VALUE"""),0.6976744186046512)</f>
        <v>0.6976744186</v>
      </c>
      <c r="P31" s="57">
        <f>IFERROR(__xludf.DUMMYFUNCTION("""COMPUTED_VALUE"""),0.46511627906976744)</f>
        <v>0.4651162791</v>
      </c>
      <c r="Q31" s="57">
        <f>IFERROR(__xludf.DUMMYFUNCTION("""COMPUTED_VALUE"""),0.6744186046511628)</f>
        <v>0.6744186047</v>
      </c>
      <c r="R31" s="57">
        <f>IFERROR(__xludf.DUMMYFUNCTION("""COMPUTED_VALUE"""),1.7906976744186047)</f>
        <v>1.790697674</v>
      </c>
      <c r="S31" s="31">
        <f>IFERROR(__xludf.DUMMYFUNCTION("""COMPUTED_VALUE"""),329.84496124030994)</f>
        <v>329.8449612</v>
      </c>
      <c r="T31" s="57">
        <f>IFERROR(__xludf.DUMMYFUNCTION("""COMPUTED_VALUE"""),1.023255813953488)</f>
        <v>1.023255814</v>
      </c>
      <c r="U31" s="57">
        <f>IFERROR(__xludf.DUMMYFUNCTION("""COMPUTED_VALUE"""),0.6589147286821704)</f>
        <v>0.6589147287</v>
      </c>
      <c r="V31" s="57">
        <f>IFERROR(__xludf.DUMMYFUNCTION("""COMPUTED_VALUE"""),0.8527131782945736)</f>
        <v>0.8527131783</v>
      </c>
      <c r="W31" s="57">
        <f>IFERROR(__xludf.DUMMYFUNCTION("""COMPUTED_VALUE"""),2.3565891472868215)</f>
        <v>2.356589147</v>
      </c>
      <c r="X31" s="31">
        <f>IFERROR(__xludf.DUMMYFUNCTION("""COMPUTED_VALUE"""),296.6297254294568)</f>
        <v>296.6297254</v>
      </c>
      <c r="Y31" s="57">
        <f>IFERROR(__xludf.DUMMYFUNCTION("""COMPUTED_VALUE"""),0.7960236173671354)</f>
        <v>0.7960236174</v>
      </c>
      <c r="Z31" s="57">
        <f>IFERROR(__xludf.DUMMYFUNCTION("""COMPUTED_VALUE"""),0.4448893313625028)</f>
        <v>0.4448893314</v>
      </c>
      <c r="AA31" s="57">
        <f>IFERROR(__xludf.DUMMYFUNCTION("""COMPUTED_VALUE"""),0.8507850463004928)</f>
        <v>0.8507850463</v>
      </c>
      <c r="AB31" s="57">
        <f>IFERROR(__xludf.DUMMYFUNCTION("""COMPUTED_VALUE"""),2.08434382197785)</f>
        <v>2.084343822</v>
      </c>
      <c r="AC31" s="31">
        <f>IFERROR(__xludf.DUMMYFUNCTION("""COMPUTED_VALUE"""),291.64435835863287)</f>
        <v>291.6443584</v>
      </c>
      <c r="AD31" s="57">
        <f>IFERROR(__xludf.DUMMYFUNCTION("""COMPUTED_VALUE"""),0.7445741879028864)</f>
        <v>0.7445741879</v>
      </c>
      <c r="AE31" s="57">
        <f>IFERROR(__xludf.DUMMYFUNCTION("""COMPUTED_VALUE"""),0.40670046713938607)</f>
        <v>0.4067004671</v>
      </c>
      <c r="AF31" s="57">
        <f>IFERROR(__xludf.DUMMYFUNCTION("""COMPUTED_VALUE"""),0.8979969687241842)</f>
        <v>0.8979969687</v>
      </c>
      <c r="AG31" s="57">
        <f>IFERROR(__xludf.DUMMYFUNCTION("""COMPUTED_VALUE"""),2.021769158749066)</f>
        <v>2.021769159</v>
      </c>
      <c r="AH31" s="57">
        <f>IFERROR(__xludf.DUMMYFUNCTION("""COMPUTED_VALUE"""),0.8424564623892778)</f>
        <v>0.8424564624</v>
      </c>
      <c r="AI31" s="57">
        <f>IFERROR(__xludf.DUMMYFUNCTION("""COMPUTED_VALUE"""),0.9370112877128742)</f>
        <v>0.9370112877</v>
      </c>
      <c r="AJ31" s="57">
        <f>IFERROR(__xludf.DUMMYFUNCTION("""COMPUTED_VALUE"""),1.1436335009429945)</f>
        <v>1.143633501</v>
      </c>
      <c r="AK31" s="57">
        <f>IFERROR(__xludf.DUMMYFUNCTION("""COMPUTED_VALUE"""),0.7510254801965901)</f>
        <v>0.7510254802</v>
      </c>
      <c r="AL31" s="57">
        <f>IFERROR(__xludf.DUMMYFUNCTION("""COMPUTED_VALUE"""),0.8857082751853667)</f>
        <v>0.8857082752</v>
      </c>
      <c r="AM31" s="57">
        <f>IFERROR(__xludf.DUMMYFUNCTION("""COMPUTED_VALUE"""),1.1119754123183863)</f>
        <v>1.111975412</v>
      </c>
      <c r="AN31" s="57">
        <f>IFERROR(__xludf.DUMMYFUNCTION("""COMPUTED_VALUE"""),1.2854591140623788)</f>
        <v>1.285459114</v>
      </c>
      <c r="AO31" s="57">
        <f>IFERROR(__xludf.DUMMYFUNCTION("""COMPUTED_VALUE"""),1.4810755894374916)</f>
        <v>1.481075589</v>
      </c>
      <c r="AP31" s="35">
        <f>IFERROR(__xludf.DUMMYFUNCTION("""COMPUTED_VALUE"""),1.0022662974654586)</f>
        <v>1.002266297</v>
      </c>
      <c r="AQ31" s="57">
        <f>IFERROR(__xludf.DUMMYFUNCTION("""COMPUTED_VALUE"""),1.130614403649891)</f>
        <v>1.130614404</v>
      </c>
      <c r="AR31" s="36" t="b">
        <f>IFERROR(__xludf.DUMMYFUNCTION("""COMPUTED_VALUE"""),TRUE)</f>
        <v>1</v>
      </c>
      <c r="AS31" s="57"/>
      <c r="AT31" s="37"/>
      <c r="AU31" s="30"/>
      <c r="AV31" s="30"/>
      <c r="AW31" s="30"/>
      <c r="AX31" s="30"/>
      <c r="AY31" s="30"/>
      <c r="AZ31" s="30"/>
    </row>
    <row r="32">
      <c r="A32" s="30" t="str">
        <f>IFERROR(__xludf.DUMMYFUNCTION("""COMPUTED_VALUE"""),"Amateur")</f>
        <v>Amateur</v>
      </c>
      <c r="B32" s="30" t="str">
        <f>IFERROR(__xludf.DUMMYFUNCTION("""COMPUTED_VALUE"""),"RSC000654")</f>
        <v>RSC000654</v>
      </c>
      <c r="C32" s="30" t="str">
        <f>IFERROR(__xludf.DUMMYFUNCTION("""COMPUTED_VALUE"""),"Rocci")</f>
        <v>Rocci</v>
      </c>
      <c r="D32" s="31"/>
      <c r="E32" s="31">
        <f>IFERROR(__xludf.DUMMYFUNCTION("""COMPUTED_VALUE"""),37.640213883704845)</f>
        <v>37.64021388</v>
      </c>
      <c r="F32" s="31">
        <f>IFERROR(__xludf.DUMMYFUNCTION("""COMPUTED_VALUE"""),-3.2204576097159037)</f>
        <v>-3.22045761</v>
      </c>
      <c r="G32" s="31">
        <f>IFERROR(__xludf.DUMMYFUNCTION("""COMPUTED_VALUE"""),36.90810093952693)</f>
        <v>36.90810094</v>
      </c>
      <c r="H32" s="31">
        <f>IFERROR(__xludf.DUMMYFUNCTION("""COMPUTED_VALUE"""),-3.3305360313591312)</f>
        <v>-3.330536031</v>
      </c>
      <c r="I32" s="54">
        <f>IFERROR(__xludf.DUMMYFUNCTION("""COMPUTED_VALUE"""),29.0)</f>
        <v>29</v>
      </c>
      <c r="J32" s="55">
        <f>IFERROR(__xludf.DUMMYFUNCTION("""COMPUTED_VALUE"""),12.0)</f>
        <v>12</v>
      </c>
      <c r="K32" s="54">
        <f>IFERROR(__xludf.DUMMYFUNCTION("""COMPUTED_VALUE"""),17.0)</f>
        <v>17</v>
      </c>
      <c r="L32" s="56">
        <f>IFERROR(__xludf.DUMMYFUNCTION("""COMPUTED_VALUE"""),0.41379310344827586)</f>
        <v>0.4137931034</v>
      </c>
      <c r="M32" s="56">
        <f>IFERROR(__xludf.DUMMYFUNCTION("""COMPUTED_VALUE"""),0.35)</f>
        <v>0.35</v>
      </c>
      <c r="N32" s="31">
        <f>IFERROR(__xludf.DUMMYFUNCTION("""COMPUTED_VALUE"""),253.68965517241378)</f>
        <v>253.6896552</v>
      </c>
      <c r="O32" s="57">
        <f>IFERROR(__xludf.DUMMYFUNCTION("""COMPUTED_VALUE"""),0.4827586206896552)</f>
        <v>0.4827586207</v>
      </c>
      <c r="P32" s="57">
        <f>IFERROR(__xludf.DUMMYFUNCTION("""COMPUTED_VALUE"""),0.3793103448275862)</f>
        <v>0.3793103448</v>
      </c>
      <c r="Q32" s="57">
        <f>IFERROR(__xludf.DUMMYFUNCTION("""COMPUTED_VALUE"""),1.1379310344827587)</f>
        <v>1.137931034</v>
      </c>
      <c r="R32" s="57">
        <f>IFERROR(__xludf.DUMMYFUNCTION("""COMPUTED_VALUE"""),1.3793103448275863)</f>
        <v>1.379310345</v>
      </c>
      <c r="S32" s="31">
        <f>IFERROR(__xludf.DUMMYFUNCTION("""COMPUTED_VALUE"""),309.0603448275862)</f>
        <v>309.0603448</v>
      </c>
      <c r="T32" s="57">
        <f>IFERROR(__xludf.DUMMYFUNCTION("""COMPUTED_VALUE"""),0.8534482758620688)</f>
        <v>0.8534482759</v>
      </c>
      <c r="U32" s="57">
        <f>IFERROR(__xludf.DUMMYFUNCTION("""COMPUTED_VALUE"""),0.46551724137931033)</f>
        <v>0.4655172414</v>
      </c>
      <c r="V32" s="57">
        <f>IFERROR(__xludf.DUMMYFUNCTION("""COMPUTED_VALUE"""),0.7844827586206895)</f>
        <v>0.7844827586</v>
      </c>
      <c r="W32" s="57">
        <f>IFERROR(__xludf.DUMMYFUNCTION("""COMPUTED_VALUE"""),2.2097701149425286)</f>
        <v>2.209770115</v>
      </c>
      <c r="X32" s="31">
        <f>IFERROR(__xludf.DUMMYFUNCTION("""COMPUTED_VALUE"""),309.11292367728487)</f>
        <v>309.1129237</v>
      </c>
      <c r="Y32" s="57">
        <f>IFERROR(__xludf.DUMMYFUNCTION("""COMPUTED_VALUE"""),0.8144923971170878)</f>
        <v>0.8144923971</v>
      </c>
      <c r="Z32" s="57">
        <f>IFERROR(__xludf.DUMMYFUNCTION("""COMPUTED_VALUE"""),0.4744657498117382)</f>
        <v>0.4744657498</v>
      </c>
      <c r="AA32" s="57">
        <f>IFERROR(__xludf.DUMMYFUNCTION("""COMPUTED_VALUE"""),0.8977029010358352)</f>
        <v>0.897702901</v>
      </c>
      <c r="AB32" s="57">
        <f>IFERROR(__xludf.DUMMYFUNCTION("""COMPUTED_VALUE"""),2.18651027328949)</f>
        <v>2.186510273</v>
      </c>
      <c r="AC32" s="31">
        <f>IFERROR(__xludf.DUMMYFUNCTION("""COMPUTED_VALUE"""),290.74260044175765)</f>
        <v>290.7426004</v>
      </c>
      <c r="AD32" s="57">
        <f>IFERROR(__xludf.DUMMYFUNCTION("""COMPUTED_VALUE"""),0.7298772022149735)</f>
        <v>0.7298772022</v>
      </c>
      <c r="AE32" s="57">
        <f>IFERROR(__xludf.DUMMYFUNCTION("""COMPUTED_VALUE"""),0.40877499936024697)</f>
        <v>0.4087749994</v>
      </c>
      <c r="AF32" s="57">
        <f>IFERROR(__xludf.DUMMYFUNCTION("""COMPUTED_VALUE"""),0.9103344294498247)</f>
        <v>0.9103344294</v>
      </c>
      <c r="AG32" s="57">
        <f>IFERROR(__xludf.DUMMYFUNCTION("""COMPUTED_VALUE"""),2.0070875813076383)</f>
        <v>2.007087581</v>
      </c>
      <c r="AH32" s="57">
        <f>IFERROR(__xludf.DUMMYFUNCTION("""COMPUTED_VALUE"""),0.8725575639309644)</f>
        <v>0.8725575639</v>
      </c>
      <c r="AI32" s="57">
        <f>IFERROR(__xludf.DUMMYFUNCTION("""COMPUTED_VALUE"""),0.6614244412959023)</f>
        <v>0.6614244413</v>
      </c>
      <c r="AJ32" s="57">
        <f>IFERROR(__xludf.DUMMYFUNCTION("""COMPUTED_VALUE"""),0.9279196267414239)</f>
        <v>0.9279196267</v>
      </c>
      <c r="AK32" s="57">
        <f>IFERROR(__xludf.DUMMYFUNCTION("""COMPUTED_VALUE"""),1.2500142779071706)</f>
        <v>1.250014278</v>
      </c>
      <c r="AL32" s="57">
        <f>IFERROR(__xludf.DUMMYFUNCTION("""COMPUTED_VALUE"""),0.6872198092765595)</f>
        <v>0.6872198093</v>
      </c>
      <c r="AM32" s="57">
        <f>IFERROR(__xludf.DUMMYFUNCTION("""COMPUTED_VALUE"""),0.9998299040717122)</f>
        <v>0.9998299041</v>
      </c>
      <c r="AN32" s="57">
        <f>IFERROR(__xludf.DUMMYFUNCTION("""COMPUTED_VALUE"""),1.0478284129880968)</f>
        <v>1.047828413</v>
      </c>
      <c r="AO32" s="57">
        <f>IFERROR(__xludf.DUMMYFUNCTION("""COMPUTED_VALUE"""),0.9811398221347304)</f>
        <v>0.9811398221</v>
      </c>
      <c r="AP32" s="35">
        <f>IFERROR(__xludf.DUMMYFUNCTION("""COMPUTED_VALUE"""),0.873877936359007)</f>
        <v>0.8738779364</v>
      </c>
      <c r="AQ32" s="57">
        <f>IFERROR(__xludf.DUMMYFUNCTION("""COMPUTED_VALUE"""),1.010637883543097)</f>
        <v>1.010637884</v>
      </c>
      <c r="AR32" s="36" t="b">
        <f>IFERROR(__xludf.DUMMYFUNCTION("""COMPUTED_VALUE"""),TRUE)</f>
        <v>1</v>
      </c>
      <c r="AS32" s="57"/>
      <c r="AT32" s="37"/>
      <c r="AU32" s="30"/>
      <c r="AV32" s="30"/>
      <c r="AW32" s="30"/>
      <c r="AX32" s="30"/>
      <c r="AY32" s="30"/>
      <c r="AZ32" s="30"/>
    </row>
    <row r="33">
      <c r="A33" s="30" t="str">
        <f>IFERROR(__xludf.DUMMYFUNCTION("""COMPUTED_VALUE"""),"Amateur")</f>
        <v>Amateur</v>
      </c>
      <c r="B33" s="30" t="str">
        <f>IFERROR(__xludf.DUMMYFUNCTION("""COMPUTED_VALUE"""),"RSC007573")</f>
        <v>RSC007573</v>
      </c>
      <c r="C33" s="30" t="str">
        <f>IFERROR(__xludf.DUMMYFUNCTION("""COMPUTED_VALUE"""),"zag_42")</f>
        <v>zag_42</v>
      </c>
      <c r="D33" s="31" t="str">
        <f>IFERROR(__xludf.DUMMYFUNCTION("""COMPUTED_VALUE"""),"Garlic Knots")</f>
        <v>Garlic Knots</v>
      </c>
      <c r="E33" s="31">
        <f>IFERROR(__xludf.DUMMYFUNCTION("""COMPUTED_VALUE"""),34.56879593840699)</f>
        <v>34.56879594</v>
      </c>
      <c r="F33" s="31">
        <f>IFERROR(__xludf.DUMMYFUNCTION("""COMPUTED_VALUE"""),-3.7239020615140985)</f>
        <v>-3.723902062</v>
      </c>
      <c r="G33" s="31">
        <f>IFERROR(__xludf.DUMMYFUNCTION("""COMPUTED_VALUE"""),19.68743492659593)</f>
        <v>19.68743493</v>
      </c>
      <c r="H33" s="31">
        <f>IFERROR(__xludf.DUMMYFUNCTION("""COMPUTED_VALUE"""),-8.876263023555376)</f>
        <v>-8.876263024</v>
      </c>
      <c r="I33" s="54">
        <f>IFERROR(__xludf.DUMMYFUNCTION("""COMPUTED_VALUE"""),33.0)</f>
        <v>33</v>
      </c>
      <c r="J33" s="55">
        <f>IFERROR(__xludf.DUMMYFUNCTION("""COMPUTED_VALUE"""),16.0)</f>
        <v>16</v>
      </c>
      <c r="K33" s="54">
        <f>IFERROR(__xludf.DUMMYFUNCTION("""COMPUTED_VALUE"""),17.0)</f>
        <v>17</v>
      </c>
      <c r="L33" s="56">
        <f>IFERROR(__xludf.DUMMYFUNCTION("""COMPUTED_VALUE"""),0.48484848484848486)</f>
        <v>0.4848484848</v>
      </c>
      <c r="M33" s="56">
        <f>IFERROR(__xludf.DUMMYFUNCTION("""COMPUTED_VALUE"""),0.40909090909090906)</f>
        <v>0.4090909091</v>
      </c>
      <c r="N33" s="31">
        <f>IFERROR(__xludf.DUMMYFUNCTION("""COMPUTED_VALUE"""),212.03030303030303)</f>
        <v>212.030303</v>
      </c>
      <c r="O33" s="57">
        <f>IFERROR(__xludf.DUMMYFUNCTION("""COMPUTED_VALUE"""),0.5454545454545454)</f>
        <v>0.5454545455</v>
      </c>
      <c r="P33" s="57">
        <f>IFERROR(__xludf.DUMMYFUNCTION("""COMPUTED_VALUE"""),0.3333333333333333)</f>
        <v>0.3333333333</v>
      </c>
      <c r="Q33" s="57">
        <f>IFERROR(__xludf.DUMMYFUNCTION("""COMPUTED_VALUE"""),0.6666666666666666)</f>
        <v>0.6666666667</v>
      </c>
      <c r="R33" s="57">
        <f>IFERROR(__xludf.DUMMYFUNCTION("""COMPUTED_VALUE"""),1.3333333333333333)</f>
        <v>1.333333333</v>
      </c>
      <c r="S33" s="31">
        <f>IFERROR(__xludf.DUMMYFUNCTION("""COMPUTED_VALUE"""),290.7575757575758)</f>
        <v>290.7575758</v>
      </c>
      <c r="T33" s="57">
        <f>IFERROR(__xludf.DUMMYFUNCTION("""COMPUTED_VALUE"""),0.6565656565656565)</f>
        <v>0.6565656566</v>
      </c>
      <c r="U33" s="57">
        <f>IFERROR(__xludf.DUMMYFUNCTION("""COMPUTED_VALUE"""),0.35101010101010105)</f>
        <v>0.351010101</v>
      </c>
      <c r="V33" s="57">
        <f>IFERROR(__xludf.DUMMYFUNCTION("""COMPUTED_VALUE"""),0.9949494949494953)</f>
        <v>0.9949494949</v>
      </c>
      <c r="W33" s="57">
        <f>IFERROR(__xludf.DUMMYFUNCTION("""COMPUTED_VALUE"""),2.0959595959595956)</f>
        <v>2.095959596</v>
      </c>
      <c r="X33" s="31">
        <f>IFERROR(__xludf.DUMMYFUNCTION("""COMPUTED_VALUE"""),288.62180527594745)</f>
        <v>288.6218053</v>
      </c>
      <c r="Y33" s="57">
        <f>IFERROR(__xludf.DUMMYFUNCTION("""COMPUTED_VALUE"""),0.7610892216133721)</f>
        <v>0.7610892216</v>
      </c>
      <c r="Z33" s="57">
        <f>IFERROR(__xludf.DUMMYFUNCTION("""COMPUTED_VALUE"""),0.43096034614969164)</f>
        <v>0.4309603461</v>
      </c>
      <c r="AA33" s="57">
        <f>IFERROR(__xludf.DUMMYFUNCTION("""COMPUTED_VALUE"""),0.874849605318067)</f>
        <v>0.8748496053</v>
      </c>
      <c r="AB33" s="57">
        <f>IFERROR(__xludf.DUMMYFUNCTION("""COMPUTED_VALUE"""),2.0298539072285218)</f>
        <v>2.029853907</v>
      </c>
      <c r="AC33" s="31">
        <f>IFERROR(__xludf.DUMMYFUNCTION("""COMPUTED_VALUE"""),303.1471606433853)</f>
        <v>303.1471606</v>
      </c>
      <c r="AD33" s="57">
        <f>IFERROR(__xludf.DUMMYFUNCTION("""COMPUTED_VALUE"""),0.8364904575096804)</f>
        <v>0.8364904575</v>
      </c>
      <c r="AE33" s="57">
        <f>IFERROR(__xludf.DUMMYFUNCTION("""COMPUTED_VALUE"""),0.4935519453931514)</f>
        <v>0.4935519454</v>
      </c>
      <c r="AF33" s="57">
        <f>IFERROR(__xludf.DUMMYFUNCTION("""COMPUTED_VALUE"""),0.8643808287553529)</f>
        <v>0.8643808288</v>
      </c>
      <c r="AG33" s="57">
        <f>IFERROR(__xludf.DUMMYFUNCTION("""COMPUTED_VALUE"""),2.168839518371478)</f>
        <v>2.168839518</v>
      </c>
      <c r="AH33" s="57">
        <f>IFERROR(__xludf.DUMMYFUNCTION("""COMPUTED_VALUE"""),0.6994302786155077)</f>
        <v>0.6994302786</v>
      </c>
      <c r="AI33" s="57">
        <f>IFERROR(__xludf.DUMMYFUNCTION("""COMPUTED_VALUE"""),0.6520750363111382)</f>
        <v>0.6520750363</v>
      </c>
      <c r="AJ33" s="57">
        <f>IFERROR(__xludf.DUMMYFUNCTION("""COMPUTED_VALUE"""),0.6753763944093223)</f>
        <v>0.6753763944</v>
      </c>
      <c r="AK33" s="57">
        <f>IFERROR(__xludf.DUMMYFUNCTION("""COMPUTED_VALUE"""),0.7712649847019621)</f>
        <v>0.7712649847</v>
      </c>
      <c r="AL33" s="57">
        <f>IFERROR(__xludf.DUMMYFUNCTION("""COMPUTED_VALUE"""),0.6147680923549829)</f>
        <v>0.6147680924</v>
      </c>
      <c r="AM33" s="57">
        <f>IFERROR(__xludf.DUMMYFUNCTION("""COMPUTED_VALUE"""),1.0073998930177377)</f>
        <v>1.007399893</v>
      </c>
      <c r="AN33" s="57">
        <f>IFERROR(__xludf.DUMMYFUNCTION("""COMPUTED_VALUE"""),0.8626658188298285)</f>
        <v>0.8626658188</v>
      </c>
      <c r="AO33" s="57">
        <f>IFERROR(__xludf.DUMMYFUNCTION("""COMPUTED_VALUE"""),0.8144835230111396)</f>
        <v>0.814483523</v>
      </c>
      <c r="AP33" s="35">
        <f>IFERROR(__xludf.DUMMYFUNCTION("""COMPUTED_VALUE"""),1.1372806124634003)</f>
        <v>1.137280612</v>
      </c>
      <c r="AQ33" s="57">
        <f>IFERROR(__xludf.DUMMYFUNCTION("""COMPUTED_VALUE"""),1.0325667224107433)</f>
        <v>1.032566722</v>
      </c>
      <c r="AR33" s="36" t="b">
        <f>IFERROR(__xludf.DUMMYFUNCTION("""COMPUTED_VALUE"""),TRUE)</f>
        <v>1</v>
      </c>
      <c r="AS33" s="57"/>
      <c r="AT33" s="37"/>
      <c r="AU33" s="30"/>
      <c r="AV33" s="30"/>
      <c r="AW33" s="30"/>
      <c r="AX33" s="30"/>
      <c r="AY33" s="30"/>
      <c r="AZ33" s="30"/>
    </row>
    <row r="34">
      <c r="A34" s="30" t="str">
        <f>IFERROR(__xludf.DUMMYFUNCTION("""COMPUTED_VALUE"""),"Amateur")</f>
        <v>Amateur</v>
      </c>
      <c r="B34" s="30" t="str">
        <f>IFERROR(__xludf.DUMMYFUNCTION("""COMPUTED_VALUE"""),"RSC000146")</f>
        <v>RSC000146</v>
      </c>
      <c r="C34" s="30" t="str">
        <f>IFERROR(__xludf.DUMMYFUNCTION("""COMPUTED_VALUE"""),"EtherealDoom989")</f>
        <v>EtherealDoom989</v>
      </c>
      <c r="D34" s="31" t="str">
        <f>IFERROR(__xludf.DUMMYFUNCTION("""COMPUTED_VALUE"""),"Surprise")</f>
        <v>Surprise</v>
      </c>
      <c r="E34" s="31">
        <f>IFERROR(__xludf.DUMMYFUNCTION("""COMPUTED_VALUE"""),31.320607551131378)</f>
        <v>31.32060755</v>
      </c>
      <c r="F34" s="31">
        <f>IFERROR(__xludf.DUMMYFUNCTION("""COMPUTED_VALUE"""),-4.396014901749257)</f>
        <v>-4.396014902</v>
      </c>
      <c r="G34" s="31">
        <f>IFERROR(__xludf.DUMMYFUNCTION("""COMPUTED_VALUE"""),18.054756167163433)</f>
        <v>18.05475617</v>
      </c>
      <c r="H34" s="31">
        <f>IFERROR(__xludf.DUMMYFUNCTION("""COMPUTED_VALUE"""),-9.934604740235635)</f>
        <v>-9.93460474</v>
      </c>
      <c r="I34" s="54">
        <f>IFERROR(__xludf.DUMMYFUNCTION("""COMPUTED_VALUE"""),28.0)</f>
        <v>28</v>
      </c>
      <c r="J34" s="55">
        <f>IFERROR(__xludf.DUMMYFUNCTION("""COMPUTED_VALUE"""),13.0)</f>
        <v>13</v>
      </c>
      <c r="K34" s="54">
        <f>IFERROR(__xludf.DUMMYFUNCTION("""COMPUTED_VALUE"""),15.0)</f>
        <v>15</v>
      </c>
      <c r="L34" s="56">
        <f>IFERROR(__xludf.DUMMYFUNCTION("""COMPUTED_VALUE"""),0.4642857142857143)</f>
        <v>0.4642857143</v>
      </c>
      <c r="M34" s="56">
        <f>IFERROR(__xludf.DUMMYFUNCTION("""COMPUTED_VALUE"""),0.36585365853658536)</f>
        <v>0.3658536585</v>
      </c>
      <c r="N34" s="31">
        <f>IFERROR(__xludf.DUMMYFUNCTION("""COMPUTED_VALUE"""),200.03571428571428)</f>
        <v>200.0357143</v>
      </c>
      <c r="O34" s="57">
        <f>IFERROR(__xludf.DUMMYFUNCTION("""COMPUTED_VALUE"""),0.5357142857142857)</f>
        <v>0.5357142857</v>
      </c>
      <c r="P34" s="57">
        <f>IFERROR(__xludf.DUMMYFUNCTION("""COMPUTED_VALUE"""),0.25)</f>
        <v>0.25</v>
      </c>
      <c r="Q34" s="57">
        <f>IFERROR(__xludf.DUMMYFUNCTION("""COMPUTED_VALUE"""),0.2857142857142857)</f>
        <v>0.2857142857</v>
      </c>
      <c r="R34" s="57">
        <f>IFERROR(__xludf.DUMMYFUNCTION("""COMPUTED_VALUE"""),1.4642857142857142)</f>
        <v>1.464285714</v>
      </c>
      <c r="S34" s="31">
        <f>IFERROR(__xludf.DUMMYFUNCTION("""COMPUTED_VALUE"""),291.6220238095238)</f>
        <v>291.6220238</v>
      </c>
      <c r="T34" s="57">
        <f>IFERROR(__xludf.DUMMYFUNCTION("""COMPUTED_VALUE"""),0.806547619047619)</f>
        <v>0.806547619</v>
      </c>
      <c r="U34" s="57">
        <f>IFERROR(__xludf.DUMMYFUNCTION("""COMPUTED_VALUE"""),0.41071428571428564)</f>
        <v>0.4107142857</v>
      </c>
      <c r="V34" s="57">
        <f>IFERROR(__xludf.DUMMYFUNCTION("""COMPUTED_VALUE"""),0.794642857142857)</f>
        <v>0.7946428571</v>
      </c>
      <c r="W34" s="57">
        <f>IFERROR(__xludf.DUMMYFUNCTION("""COMPUTED_VALUE"""),1.961309523809523)</f>
        <v>1.961309524</v>
      </c>
      <c r="X34" s="31">
        <f>IFERROR(__xludf.DUMMYFUNCTION("""COMPUTED_VALUE"""),299.0673493388996)</f>
        <v>299.0673493</v>
      </c>
      <c r="Y34" s="57">
        <f>IFERROR(__xludf.DUMMYFUNCTION("""COMPUTED_VALUE"""),0.7750466913840011)</f>
        <v>0.7750466914</v>
      </c>
      <c r="Z34" s="57">
        <f>IFERROR(__xludf.DUMMYFUNCTION("""COMPUTED_VALUE"""),0.46457778398130384)</f>
        <v>0.464577784</v>
      </c>
      <c r="AA34" s="57">
        <f>IFERROR(__xludf.DUMMYFUNCTION("""COMPUTED_VALUE"""),0.8935135598124815)</f>
        <v>0.8935135598</v>
      </c>
      <c r="AB34" s="57">
        <f>IFERROR(__xludf.DUMMYFUNCTION("""COMPUTED_VALUE"""),2.0925697097663205)</f>
        <v>2.09256971</v>
      </c>
      <c r="AC34" s="31">
        <f>IFERROR(__xludf.DUMMYFUNCTION("""COMPUTED_VALUE"""),302.6822216965093)</f>
        <v>302.6822217</v>
      </c>
      <c r="AD34" s="57">
        <f>IFERROR(__xludf.DUMMYFUNCTION("""COMPUTED_VALUE"""),0.8269839120252277)</f>
        <v>0.826983912</v>
      </c>
      <c r="AE34" s="57">
        <f>IFERROR(__xludf.DUMMYFUNCTION("""COMPUTED_VALUE"""),0.4705188990858171)</f>
        <v>0.4705188991</v>
      </c>
      <c r="AF34" s="57">
        <f>IFERROR(__xludf.DUMMYFUNCTION("""COMPUTED_VALUE"""),0.8687597211862252)</f>
        <v>0.8687597212</v>
      </c>
      <c r="AG34" s="57">
        <f>IFERROR(__xludf.DUMMYFUNCTION("""COMPUTED_VALUE"""),2.188744909996481)</f>
        <v>2.18874491</v>
      </c>
      <c r="AH34" s="57">
        <f>IFERROR(__xludf.DUMMYFUNCTION("""COMPUTED_VALUE"""),0.6608769856535687)</f>
        <v>0.6608769857</v>
      </c>
      <c r="AI34" s="57">
        <f>IFERROR(__xludf.DUMMYFUNCTION("""COMPUTED_VALUE"""),0.6477928747154919)</f>
        <v>0.6477928747</v>
      </c>
      <c r="AJ34" s="57">
        <f>IFERROR(__xludf.DUMMYFUNCTION("""COMPUTED_VALUE"""),0.5313282856134605)</f>
        <v>0.5313282856</v>
      </c>
      <c r="AK34" s="57">
        <f>IFERROR(__xludf.DUMMYFUNCTION("""COMPUTED_VALUE"""),0.328876073264728)</f>
        <v>0.3288760733</v>
      </c>
      <c r="AL34" s="57">
        <f>IFERROR(__xludf.DUMMYFUNCTION("""COMPUTED_VALUE"""),0.6690070220599934)</f>
        <v>0.6690070221</v>
      </c>
      <c r="AM34" s="57">
        <f>IFERROR(__xludf.DUMMYFUNCTION("""COMPUTED_VALUE"""),0.9751048533187123)</f>
        <v>0.9751048533</v>
      </c>
      <c r="AN34" s="57">
        <f>IFERROR(__xludf.DUMMYFUNCTION("""COMPUTED_VALUE"""),1.0406439096041642)</f>
        <v>1.04064391</v>
      </c>
      <c r="AO34" s="57">
        <f>IFERROR(__xludf.DUMMYFUNCTION("""COMPUTED_VALUE"""),0.8840592466445063)</f>
        <v>0.8840592466</v>
      </c>
      <c r="AP34" s="35">
        <f>IFERROR(__xludf.DUMMYFUNCTION("""COMPUTED_VALUE"""),0.8893461642704402)</f>
        <v>0.8893461643</v>
      </c>
      <c r="AQ34" s="57">
        <f>IFERROR(__xludf.DUMMYFUNCTION("""COMPUTED_VALUE"""),0.9372732075093185)</f>
        <v>0.9372732075</v>
      </c>
      <c r="AR34" s="36" t="b">
        <f>IFERROR(__xludf.DUMMYFUNCTION("""COMPUTED_VALUE"""),TRUE)</f>
        <v>1</v>
      </c>
      <c r="AS34" s="57"/>
      <c r="AT34" s="37"/>
      <c r="AU34" s="30"/>
      <c r="AV34" s="30"/>
      <c r="AW34" s="30"/>
      <c r="AX34" s="30"/>
      <c r="AY34" s="30"/>
      <c r="AZ34" s="30"/>
    </row>
    <row r="35">
      <c r="A35" s="30" t="str">
        <f>IFERROR(__xludf.DUMMYFUNCTION("""COMPUTED_VALUE"""),"Amateur")</f>
        <v>Amateur</v>
      </c>
      <c r="B35" s="30" t="str">
        <f>IFERROR(__xludf.DUMMYFUNCTION("""COMPUTED_VALUE"""),"RSC007632")</f>
        <v>RSC007632</v>
      </c>
      <c r="C35" s="30" t="str">
        <f>IFERROR(__xludf.DUMMYFUNCTION("""COMPUTED_VALUE"""),"yournewSTEPDADDI")</f>
        <v>yournewSTEPDADDI</v>
      </c>
      <c r="D35" s="31" t="str">
        <f>IFERROR(__xludf.DUMMYFUNCTION("""COMPUTED_VALUE"""),"Kiwis")</f>
        <v>Kiwis</v>
      </c>
      <c r="E35" s="31">
        <f>IFERROR(__xludf.DUMMYFUNCTION("""COMPUTED_VALUE"""),29.000193882777552)</f>
        <v>29.00019388</v>
      </c>
      <c r="F35" s="31">
        <f>IFERROR(__xludf.DUMMYFUNCTION("""COMPUTED_VALUE"""),-4.9886167891079864)</f>
        <v>-4.988616789</v>
      </c>
      <c r="G35" s="31">
        <f>IFERROR(__xludf.DUMMYFUNCTION("""COMPUTED_VALUE"""),25.7003002025089)</f>
        <v>25.7003002</v>
      </c>
      <c r="H35" s="31">
        <f>IFERROR(__xludf.DUMMYFUNCTION("""COMPUTED_VALUE"""),-6.041264449350247)</f>
        <v>-6.041264449</v>
      </c>
      <c r="I35" s="54">
        <f>IFERROR(__xludf.DUMMYFUNCTION("""COMPUTED_VALUE"""),39.0)</f>
        <v>39</v>
      </c>
      <c r="J35" s="55">
        <f>IFERROR(__xludf.DUMMYFUNCTION("""COMPUTED_VALUE"""),9.0)</f>
        <v>9</v>
      </c>
      <c r="K35" s="54">
        <f>IFERROR(__xludf.DUMMYFUNCTION("""COMPUTED_VALUE"""),30.0)</f>
        <v>30</v>
      </c>
      <c r="L35" s="56">
        <f>IFERROR(__xludf.DUMMYFUNCTION("""COMPUTED_VALUE"""),0.23076923076923078)</f>
        <v>0.2307692308</v>
      </c>
      <c r="M35" s="56">
        <f>IFERROR(__xludf.DUMMYFUNCTION("""COMPUTED_VALUE"""),0.3442622950819672)</f>
        <v>0.3442622951</v>
      </c>
      <c r="N35" s="31">
        <f>IFERROR(__xludf.DUMMYFUNCTION("""COMPUTED_VALUE"""),263.28205128205127)</f>
        <v>263.2820513</v>
      </c>
      <c r="O35" s="57">
        <f>IFERROR(__xludf.DUMMYFUNCTION("""COMPUTED_VALUE"""),0.5384615384615384)</f>
        <v>0.5384615385</v>
      </c>
      <c r="P35" s="57">
        <f>IFERROR(__xludf.DUMMYFUNCTION("""COMPUTED_VALUE"""),0.28205128205128205)</f>
        <v>0.2820512821</v>
      </c>
      <c r="Q35" s="57">
        <f>IFERROR(__xludf.DUMMYFUNCTION("""COMPUTED_VALUE"""),0.8717948717948718)</f>
        <v>0.8717948718</v>
      </c>
      <c r="R35" s="57">
        <f>IFERROR(__xludf.DUMMYFUNCTION("""COMPUTED_VALUE"""),1.564102564102564)</f>
        <v>1.564102564</v>
      </c>
      <c r="S35" s="31">
        <f>IFERROR(__xludf.DUMMYFUNCTION("""COMPUTED_VALUE"""),356.7200854700855)</f>
        <v>356.7200855</v>
      </c>
      <c r="T35" s="57">
        <f>IFERROR(__xludf.DUMMYFUNCTION("""COMPUTED_VALUE"""),1.2585470085470085)</f>
        <v>1.258547009</v>
      </c>
      <c r="U35" s="57">
        <f>IFERROR(__xludf.DUMMYFUNCTION("""COMPUTED_VALUE"""),0.6752136752136755)</f>
        <v>0.6752136752</v>
      </c>
      <c r="V35" s="57">
        <f>IFERROR(__xludf.DUMMYFUNCTION("""COMPUTED_VALUE"""),0.7756410256410257)</f>
        <v>0.7756410256</v>
      </c>
      <c r="W35" s="57">
        <f>IFERROR(__xludf.DUMMYFUNCTION("""COMPUTED_VALUE"""),2.7991452991452994)</f>
        <v>2.799145299</v>
      </c>
      <c r="X35" s="31">
        <f>IFERROR(__xludf.DUMMYFUNCTION("""COMPUTED_VALUE"""),306.7462065624746)</f>
        <v>306.7462066</v>
      </c>
      <c r="Y35" s="57">
        <f>IFERROR(__xludf.DUMMYFUNCTION("""COMPUTED_VALUE"""),0.859835320149343)</f>
        <v>0.8598353201</v>
      </c>
      <c r="Z35" s="57">
        <f>IFERROR(__xludf.DUMMYFUNCTION("""COMPUTED_VALUE"""),0.45247738078501526)</f>
        <v>0.4524773808</v>
      </c>
      <c r="AA35" s="57">
        <f>IFERROR(__xludf.DUMMYFUNCTION("""COMPUTED_VALUE"""),0.8817646933266249)</f>
        <v>0.8817646933</v>
      </c>
      <c r="AB35" s="57">
        <f>IFERROR(__xludf.DUMMYFUNCTION("""COMPUTED_VALUE"""),2.1610469790382876)</f>
        <v>2.161046979</v>
      </c>
      <c r="AC35" s="31">
        <f>IFERROR(__xludf.DUMMYFUNCTION("""COMPUTED_VALUE"""),286.685677805483)</f>
        <v>286.6856778</v>
      </c>
      <c r="AD35" s="57">
        <f>IFERROR(__xludf.DUMMYFUNCTION("""COMPUTED_VALUE"""),0.7058301519499596)</f>
        <v>0.7058301519</v>
      </c>
      <c r="AE35" s="57">
        <f>IFERROR(__xludf.DUMMYFUNCTION("""COMPUTED_VALUE"""),0.3981918269497918)</f>
        <v>0.3981918269</v>
      </c>
      <c r="AF35" s="57">
        <f>IFERROR(__xludf.DUMMYFUNCTION("""COMPUTED_VALUE"""),0.8891803454104115)</f>
        <v>0.8891803454</v>
      </c>
      <c r="AG35" s="57">
        <f>IFERROR(__xludf.DUMMYFUNCTION("""COMPUTED_VALUE"""),1.9991737694728295)</f>
        <v>1.999173769</v>
      </c>
      <c r="AH35" s="57">
        <f>IFERROR(__xludf.DUMMYFUNCTION("""COMPUTED_VALUE"""),0.9183648562335536)</f>
        <v>0.9183648562</v>
      </c>
      <c r="AI35" s="57">
        <f>IFERROR(__xludf.DUMMYFUNCTION("""COMPUTED_VALUE"""),0.7628769286406358)</f>
        <v>0.7628769286</v>
      </c>
      <c r="AJ35" s="57">
        <f>IFERROR(__xludf.DUMMYFUNCTION("""COMPUTED_VALUE"""),0.7083301639107877)</f>
        <v>0.7083301639</v>
      </c>
      <c r="AK35" s="57">
        <f>IFERROR(__xludf.DUMMYFUNCTION("""COMPUTED_VALUE"""),0.9804477531411075)</f>
        <v>0.9804477531</v>
      </c>
      <c r="AL35" s="57">
        <f>IFERROR(__xludf.DUMMYFUNCTION("""COMPUTED_VALUE"""),0.7823744928961371)</f>
        <v>0.7823744929</v>
      </c>
      <c r="AM35" s="57">
        <f>IFERROR(__xludf.DUMMYFUNCTION("""COMPUTED_VALUE"""),1.1629160453771832)</f>
        <v>1.162916045</v>
      </c>
      <c r="AN35" s="57">
        <f>IFERROR(__xludf.DUMMYFUNCTION("""COMPUTED_VALUE"""),1.4637070367479368)</f>
        <v>1.463707037</v>
      </c>
      <c r="AO35" s="57">
        <f>IFERROR(__xludf.DUMMYFUNCTION("""COMPUTED_VALUE"""),1.4922595114969703)</f>
        <v>1.492259511</v>
      </c>
      <c r="AP35" s="35">
        <f>IFERROR(__xludf.DUMMYFUNCTION("""COMPUTED_VALUE"""),0.8796462724253252)</f>
        <v>0.8796462724</v>
      </c>
      <c r="AQ35" s="57">
        <f>IFERROR(__xludf.DUMMYFUNCTION("""COMPUTED_VALUE"""),1.2952727665323496)</f>
        <v>1.295272767</v>
      </c>
      <c r="AR35" s="36" t="b">
        <f>IFERROR(__xludf.DUMMYFUNCTION("""COMPUTED_VALUE"""),TRUE)</f>
        <v>1</v>
      </c>
      <c r="AS35" s="57"/>
      <c r="AT35" s="37"/>
      <c r="AU35" s="30"/>
      <c r="AV35" s="30"/>
      <c r="AW35" s="30"/>
      <c r="AX35" s="30"/>
      <c r="AY35" s="30"/>
      <c r="AZ35" s="30"/>
    </row>
    <row r="36">
      <c r="A36" s="30" t="str">
        <f>IFERROR(__xludf.DUMMYFUNCTION("""COMPUTED_VALUE"""),"Amateur")</f>
        <v>Amateur</v>
      </c>
      <c r="B36" s="30" t="str">
        <f>IFERROR(__xludf.DUMMYFUNCTION("""COMPUTED_VALUE"""),"RSC007393")</f>
        <v>RSC007393</v>
      </c>
      <c r="C36" s="30" t="str">
        <f>IFERROR(__xludf.DUMMYFUNCTION("""COMPUTED_VALUE"""),"Ubfghki9442")</f>
        <v>Ubfghki9442</v>
      </c>
      <c r="D36" s="31" t="str">
        <f>IFERROR(__xludf.DUMMYFUNCTION("""COMPUTED_VALUE"""),"Kiwis")</f>
        <v>Kiwis</v>
      </c>
      <c r="E36" s="31">
        <f>IFERROR(__xludf.DUMMYFUNCTION("""COMPUTED_VALUE"""),27.91682381885257)</f>
        <v>27.91682382</v>
      </c>
      <c r="F36" s="31">
        <f>IFERROR(__xludf.DUMMYFUNCTION("""COMPUTED_VALUE"""),-5.304201325772775)</f>
        <v>-5.304201326</v>
      </c>
      <c r="G36" s="31">
        <f>IFERROR(__xludf.DUMMYFUNCTION("""COMPUTED_VALUE"""),2.8596259891973475)</f>
        <v>2.859625989</v>
      </c>
      <c r="H36" s="31">
        <f>IFERROR(__xludf.DUMMYFUNCTION("""COMPUTED_VALUE"""),-33.7001823391973)</f>
        <v>-33.70018234</v>
      </c>
      <c r="I36" s="54">
        <f>IFERROR(__xludf.DUMMYFUNCTION("""COMPUTED_VALUE"""),6.0)</f>
        <v>6</v>
      </c>
      <c r="J36" s="55">
        <f>IFERROR(__xludf.DUMMYFUNCTION("""COMPUTED_VALUE"""),3.0)</f>
        <v>3</v>
      </c>
      <c r="K36" s="54">
        <f>IFERROR(__xludf.DUMMYFUNCTION("""COMPUTED_VALUE"""),3.0)</f>
        <v>3</v>
      </c>
      <c r="L36" s="56">
        <f>IFERROR(__xludf.DUMMYFUNCTION("""COMPUTED_VALUE"""),0.5)</f>
        <v>0.5</v>
      </c>
      <c r="M36" s="56">
        <f>IFERROR(__xludf.DUMMYFUNCTION("""COMPUTED_VALUE"""),0.5)</f>
        <v>0.5</v>
      </c>
      <c r="N36" s="31">
        <f>IFERROR(__xludf.DUMMYFUNCTION("""COMPUTED_VALUE"""),158.16666666666666)</f>
        <v>158.1666667</v>
      </c>
      <c r="O36" s="57">
        <f>IFERROR(__xludf.DUMMYFUNCTION("""COMPUTED_VALUE"""),0.5)</f>
        <v>0.5</v>
      </c>
      <c r="P36" s="57">
        <f>IFERROR(__xludf.DUMMYFUNCTION("""COMPUTED_VALUE"""),0.3333333333333333)</f>
        <v>0.3333333333</v>
      </c>
      <c r="Q36" s="57">
        <f>IFERROR(__xludf.DUMMYFUNCTION("""COMPUTED_VALUE"""),0.16666666666666666)</f>
        <v>0.1666666667</v>
      </c>
      <c r="R36" s="57">
        <f>IFERROR(__xludf.DUMMYFUNCTION("""COMPUTED_VALUE"""),1.0)</f>
        <v>1</v>
      </c>
      <c r="S36" s="31">
        <f>IFERROR(__xludf.DUMMYFUNCTION("""COMPUTED_VALUE"""),267.69444444444446)</f>
        <v>267.6944444</v>
      </c>
      <c r="T36" s="57">
        <f>IFERROR(__xludf.DUMMYFUNCTION("""COMPUTED_VALUE"""),0.5972222222222222)</f>
        <v>0.5972222222</v>
      </c>
      <c r="U36" s="57">
        <f>IFERROR(__xludf.DUMMYFUNCTION("""COMPUTED_VALUE"""),0.4305555555555556)</f>
        <v>0.4305555556</v>
      </c>
      <c r="V36" s="57">
        <f>IFERROR(__xludf.DUMMYFUNCTION("""COMPUTED_VALUE"""),0.6249999999999999)</f>
        <v>0.625</v>
      </c>
      <c r="W36" s="57">
        <f>IFERROR(__xludf.DUMMYFUNCTION("""COMPUTED_VALUE"""),2.4722222222222223)</f>
        <v>2.472222222</v>
      </c>
      <c r="X36" s="31">
        <f>IFERROR(__xludf.DUMMYFUNCTION("""COMPUTED_VALUE"""),298.09133795362106)</f>
        <v>298.091338</v>
      </c>
      <c r="Y36" s="57">
        <f>IFERROR(__xludf.DUMMYFUNCTION("""COMPUTED_VALUE"""),0.7636981970844854)</f>
        <v>0.7636981971</v>
      </c>
      <c r="Z36" s="57">
        <f>IFERROR(__xludf.DUMMYFUNCTION("""COMPUTED_VALUE"""),0.44497257091849357)</f>
        <v>0.4449725709</v>
      </c>
      <c r="AA36" s="57">
        <f>IFERROR(__xludf.DUMMYFUNCTION("""COMPUTED_VALUE"""),0.8203346463527894)</f>
        <v>0.8203346464</v>
      </c>
      <c r="AB36" s="57">
        <f>IFERROR(__xludf.DUMMYFUNCTION("""COMPUTED_VALUE"""),2.197325814911136)</f>
        <v>2.197325815</v>
      </c>
      <c r="AC36" s="31">
        <f>IFERROR(__xludf.DUMMYFUNCTION("""COMPUTED_VALUE"""),294.022934520428)</f>
        <v>294.0229345</v>
      </c>
      <c r="AD36" s="57">
        <f>IFERROR(__xludf.DUMMYFUNCTION("""COMPUTED_VALUE"""),0.7594163732498506)</f>
        <v>0.7594163732</v>
      </c>
      <c r="AE36" s="57">
        <f>IFERROR(__xludf.DUMMYFUNCTION("""COMPUTED_VALUE"""),0.4132880225096318)</f>
        <v>0.4132880225</v>
      </c>
      <c r="AF36" s="57">
        <f>IFERROR(__xludf.DUMMYFUNCTION("""COMPUTED_VALUE"""),0.9505343125379074)</f>
        <v>0.9505343125</v>
      </c>
      <c r="AG36" s="57">
        <f>IFERROR(__xludf.DUMMYFUNCTION("""COMPUTED_VALUE"""),1.9942106390215117)</f>
        <v>1.994210639</v>
      </c>
      <c r="AH36" s="57">
        <f>IFERROR(__xludf.DUMMYFUNCTION("""COMPUTED_VALUE"""),0.5379398954868863)</f>
        <v>0.5379398955</v>
      </c>
      <c r="AI36" s="57">
        <f>IFERROR(__xludf.DUMMYFUNCTION("""COMPUTED_VALUE"""),0.6584003421736844)</f>
        <v>0.6584003422</v>
      </c>
      <c r="AJ36" s="57">
        <f>IFERROR(__xludf.DUMMYFUNCTION("""COMPUTED_VALUE"""),0.8065400282089348)</f>
        <v>0.8065400282</v>
      </c>
      <c r="AK36" s="57">
        <f>IFERROR(__xludf.DUMMYFUNCTION("""COMPUTED_VALUE"""),0.1753399792814107)</f>
        <v>0.1753399793</v>
      </c>
      <c r="AL36" s="57">
        <f>IFERROR(__xludf.DUMMYFUNCTION("""COMPUTED_VALUE"""),0.501451541994914)</f>
        <v>0.501451542</v>
      </c>
      <c r="AM36" s="57">
        <f>IFERROR(__xludf.DUMMYFUNCTION("""COMPUTED_VALUE"""),0.8980282563128152)</f>
        <v>0.8980282563</v>
      </c>
      <c r="AN36" s="57">
        <f>IFERROR(__xludf.DUMMYFUNCTION("""COMPUTED_VALUE"""),0.7820133980965173)</f>
        <v>0.7820133981</v>
      </c>
      <c r="AO36" s="57">
        <f>IFERROR(__xludf.DUMMYFUNCTION("""COMPUTED_VALUE"""),0.9676002155971569)</f>
        <v>0.9676002156</v>
      </c>
      <c r="AP36" s="35">
        <f>IFERROR(__xludf.DUMMYFUNCTION("""COMPUTED_VALUE"""),0.7618841929677748)</f>
        <v>0.761884193</v>
      </c>
      <c r="AQ36" s="57">
        <f>IFERROR(__xludf.DUMMYFUNCTION("""COMPUTED_VALUE"""),1.1251049823588422)</f>
        <v>1.125104982</v>
      </c>
      <c r="AR36" s="36" t="b">
        <f>IFERROR(__xludf.DUMMYFUNCTION("""COMPUTED_VALUE"""),TRUE)</f>
        <v>1</v>
      </c>
      <c r="AS36" s="57"/>
      <c r="AT36" s="37"/>
      <c r="AU36" s="30"/>
      <c r="AV36" s="30"/>
      <c r="AW36" s="30"/>
      <c r="AX36" s="30"/>
      <c r="AY36" s="30"/>
      <c r="AZ36" s="30"/>
    </row>
    <row r="37">
      <c r="A37" s="30" t="str">
        <f>IFERROR(__xludf.DUMMYFUNCTION("""COMPUTED_VALUE"""),"Amateur")</f>
        <v>Amateur</v>
      </c>
      <c r="B37" s="30" t="str">
        <f>IFERROR(__xludf.DUMMYFUNCTION("""COMPUTED_VALUE"""),"RSC007993")</f>
        <v>RSC007993</v>
      </c>
      <c r="C37" s="30" t="str">
        <f>IFERROR(__xludf.DUMMYFUNCTION("""COMPUTED_VALUE"""),"Origami Box")</f>
        <v>Origami Box</v>
      </c>
      <c r="D37" s="31" t="str">
        <f>IFERROR(__xludf.DUMMYFUNCTION("""COMPUTED_VALUE"""),"Aeon Ale")</f>
        <v>Aeon Ale</v>
      </c>
      <c r="E37" s="31">
        <f>IFERROR(__xludf.DUMMYFUNCTION("""COMPUTED_VALUE"""),19.92925147003244)</f>
        <v>19.92925147</v>
      </c>
      <c r="F37" s="31">
        <f>IFERROR(__xludf.DUMMYFUNCTION("""COMPUTED_VALUE"""),-8.732017772637645)</f>
        <v>-8.732017773</v>
      </c>
      <c r="G37" s="31">
        <f>IFERROR(__xludf.DUMMYFUNCTION("""COMPUTED_VALUE"""),11.525160647632823)</f>
        <v>11.52516065</v>
      </c>
      <c r="H37" s="31">
        <f>IFERROR(__xludf.DUMMYFUNCTION("""COMPUTED_VALUE"""),-16.15432354349768)</f>
        <v>-16.15432354</v>
      </c>
      <c r="I37" s="54">
        <f>IFERROR(__xludf.DUMMYFUNCTION("""COMPUTED_VALUE"""),15.0)</f>
        <v>15</v>
      </c>
      <c r="J37" s="55">
        <f>IFERROR(__xludf.DUMMYFUNCTION("""COMPUTED_VALUE"""),5.0)</f>
        <v>5</v>
      </c>
      <c r="K37" s="54">
        <f>IFERROR(__xludf.DUMMYFUNCTION("""COMPUTED_VALUE"""),10.0)</f>
        <v>10</v>
      </c>
      <c r="L37" s="56">
        <f>IFERROR(__xludf.DUMMYFUNCTION("""COMPUTED_VALUE"""),0.3333333333333333)</f>
        <v>0.3333333333</v>
      </c>
      <c r="M37" s="56">
        <f>IFERROR(__xludf.DUMMYFUNCTION("""COMPUTED_VALUE"""),0.33333333333333337)</f>
        <v>0.3333333333</v>
      </c>
      <c r="N37" s="31">
        <f>IFERROR(__xludf.DUMMYFUNCTION("""COMPUTED_VALUE"""),191.6)</f>
        <v>191.6</v>
      </c>
      <c r="O37" s="57">
        <f>IFERROR(__xludf.DUMMYFUNCTION("""COMPUTED_VALUE"""),0.4)</f>
        <v>0.4</v>
      </c>
      <c r="P37" s="57">
        <f>IFERROR(__xludf.DUMMYFUNCTION("""COMPUTED_VALUE"""),0.2)</f>
        <v>0.2</v>
      </c>
      <c r="Q37" s="57">
        <f>IFERROR(__xludf.DUMMYFUNCTION("""COMPUTED_VALUE"""),0.8666666666666667)</f>
        <v>0.8666666667</v>
      </c>
      <c r="R37" s="57">
        <f>IFERROR(__xludf.DUMMYFUNCTION("""COMPUTED_VALUE"""),1.2)</f>
        <v>1.2</v>
      </c>
      <c r="S37" s="31">
        <f>IFERROR(__xludf.DUMMYFUNCTION("""COMPUTED_VALUE"""),308.12222222222226)</f>
        <v>308.1222222</v>
      </c>
      <c r="T37" s="57">
        <f>IFERROR(__xludf.DUMMYFUNCTION("""COMPUTED_VALUE"""),0.9055555555555556)</f>
        <v>0.9055555556</v>
      </c>
      <c r="U37" s="57">
        <f>IFERROR(__xludf.DUMMYFUNCTION("""COMPUTED_VALUE"""),0.5111111111111111)</f>
        <v>0.5111111111</v>
      </c>
      <c r="V37" s="57">
        <f>IFERROR(__xludf.DUMMYFUNCTION("""COMPUTED_VALUE"""),0.711111111111111)</f>
        <v>0.7111111111</v>
      </c>
      <c r="W37" s="57">
        <f>IFERROR(__xludf.DUMMYFUNCTION("""COMPUTED_VALUE"""),2.3833333333333333)</f>
        <v>2.383333333</v>
      </c>
      <c r="X37" s="31">
        <f>IFERROR(__xludf.DUMMYFUNCTION("""COMPUTED_VALUE"""),302.1155637216429)</f>
        <v>302.1155637</v>
      </c>
      <c r="Y37" s="57">
        <f>IFERROR(__xludf.DUMMYFUNCTION("""COMPUTED_VALUE"""),0.8021457509883658)</f>
        <v>0.802145751</v>
      </c>
      <c r="Z37" s="57">
        <f>IFERROR(__xludf.DUMMYFUNCTION("""COMPUTED_VALUE"""),0.45484378335071424)</f>
        <v>0.4548437834</v>
      </c>
      <c r="AA37" s="57">
        <f>IFERROR(__xludf.DUMMYFUNCTION("""COMPUTED_VALUE"""),0.904188256033294)</f>
        <v>0.904188256</v>
      </c>
      <c r="AB37" s="57">
        <f>IFERROR(__xludf.DUMMYFUNCTION("""COMPUTED_VALUE"""),2.1835200252466263)</f>
        <v>2.183520025</v>
      </c>
      <c r="AC37" s="31">
        <f>IFERROR(__xludf.DUMMYFUNCTION("""COMPUTED_VALUE"""),303.0407110990838)</f>
        <v>303.0407111</v>
      </c>
      <c r="AD37" s="57">
        <f>IFERROR(__xludf.DUMMYFUNCTION("""COMPUTED_VALUE"""),0.8248960332574832)</f>
        <v>0.8248960333</v>
      </c>
      <c r="AE37" s="57">
        <f>IFERROR(__xludf.DUMMYFUNCTION("""COMPUTED_VALUE"""),0.48538253691686245)</f>
        <v>0.4853825369</v>
      </c>
      <c r="AF37" s="57">
        <f>IFERROR(__xludf.DUMMYFUNCTION("""COMPUTED_VALUE"""),0.9121950917011773)</f>
        <v>0.9121950917</v>
      </c>
      <c r="AG37" s="57">
        <f>IFERROR(__xludf.DUMMYFUNCTION("""COMPUTED_VALUE"""),2.1323604302601917)</f>
        <v>2.13236043</v>
      </c>
      <c r="AH37" s="57">
        <f>IFERROR(__xludf.DUMMYFUNCTION("""COMPUTED_VALUE"""),0.6322582840605645)</f>
        <v>0.6322582841</v>
      </c>
      <c r="AI37" s="57">
        <f>IFERROR(__xludf.DUMMYFUNCTION("""COMPUTED_VALUE"""),0.4849095932979762)</f>
        <v>0.4849095933</v>
      </c>
      <c r="AJ37" s="57">
        <f>IFERROR(__xludf.DUMMYFUNCTION("""COMPUTED_VALUE"""),0.41204613843422333)</f>
        <v>0.4120461384</v>
      </c>
      <c r="AK37" s="57">
        <f>IFERROR(__xludf.DUMMYFUNCTION("""COMPUTED_VALUE"""),0.9500891580663919)</f>
        <v>0.9500891581</v>
      </c>
      <c r="AL37" s="57">
        <f>IFERROR(__xludf.DUMMYFUNCTION("""COMPUTED_VALUE"""),0.5627566442196525)</f>
        <v>0.5627566442</v>
      </c>
      <c r="AM37" s="57">
        <f>IFERROR(__xludf.DUMMYFUNCTION("""COMPUTED_VALUE"""),1.0198819896154494)</f>
        <v>1.01988199</v>
      </c>
      <c r="AN37" s="57">
        <f>IFERROR(__xludf.DUMMYFUNCTION("""COMPUTED_VALUE"""),1.128916477385529)</f>
        <v>1.128916477</v>
      </c>
      <c r="AO37" s="57">
        <f>IFERROR(__xludf.DUMMYFUNCTION("""COMPUTED_VALUE"""),1.1237069293239323)</f>
        <v>1.123706929</v>
      </c>
      <c r="AP37" s="35">
        <f>IFERROR(__xludf.DUMMYFUNCTION("""COMPUTED_VALUE"""),0.7864635559753681)</f>
        <v>0.786463556</v>
      </c>
      <c r="AQ37" s="57">
        <f>IFERROR(__xludf.DUMMYFUNCTION("""COMPUTED_VALUE"""),1.091509720898547)</f>
        <v>1.091509721</v>
      </c>
      <c r="AR37" s="36" t="b">
        <f>IFERROR(__xludf.DUMMYFUNCTION("""COMPUTED_VALUE"""),TRUE)</f>
        <v>1</v>
      </c>
      <c r="AS37" s="57"/>
      <c r="AT37" s="37"/>
      <c r="AU37" s="30"/>
      <c r="AV37" s="30"/>
      <c r="AW37" s="30"/>
      <c r="AX37" s="30"/>
      <c r="AY37" s="30"/>
      <c r="AZ37" s="30"/>
    </row>
    <row r="38">
      <c r="A38" s="30" t="str">
        <f>IFERROR(__xludf.DUMMYFUNCTION("""COMPUTED_VALUE"""),"Amateur")</f>
        <v>Amateur</v>
      </c>
      <c r="B38" s="30" t="str">
        <f>IFERROR(__xludf.DUMMYFUNCTION("""COMPUTED_VALUE"""),"RSC007678")</f>
        <v>RSC007678</v>
      </c>
      <c r="C38" s="30" t="str">
        <f>IFERROR(__xludf.DUMMYFUNCTION("""COMPUTED_VALUE"""),"SavedHawk")</f>
        <v>SavedHawk</v>
      </c>
      <c r="D38" s="31" t="str">
        <f>IFERROR(__xludf.DUMMYFUNCTION("""COMPUTED_VALUE"""),"Kiwis")</f>
        <v>Kiwis</v>
      </c>
      <c r="E38" s="31">
        <f>IFERROR(__xludf.DUMMYFUNCTION("""COMPUTED_VALUE"""),10.087746804545688)</f>
        <v>10.0877468</v>
      </c>
      <c r="F38" s="31">
        <f>IFERROR(__xludf.DUMMYFUNCTION("""COMPUTED_VALUE"""),-18.119321655669857)</f>
        <v>-18.11932166</v>
      </c>
      <c r="G38" s="31">
        <f>IFERROR(__xludf.DUMMYFUNCTION("""COMPUTED_VALUE"""),9.750844777879983)</f>
        <v>9.750844778</v>
      </c>
      <c r="H38" s="31">
        <f>IFERROR(__xludf.DUMMYFUNCTION("""COMPUTED_VALUE"""),-18.621066556314616)</f>
        <v>-18.62106656</v>
      </c>
      <c r="I38" s="54">
        <f>IFERROR(__xludf.DUMMYFUNCTION("""COMPUTED_VALUE"""),35.0)</f>
        <v>35</v>
      </c>
      <c r="J38" s="55">
        <f>IFERROR(__xludf.DUMMYFUNCTION("""COMPUTED_VALUE"""),6.0)</f>
        <v>6</v>
      </c>
      <c r="K38" s="54">
        <f>IFERROR(__xludf.DUMMYFUNCTION("""COMPUTED_VALUE"""),29.0)</f>
        <v>29</v>
      </c>
      <c r="L38" s="56">
        <f>IFERROR(__xludf.DUMMYFUNCTION("""COMPUTED_VALUE"""),0.17142857142857143)</f>
        <v>0.1714285714</v>
      </c>
      <c r="M38" s="56">
        <f>IFERROR(__xludf.DUMMYFUNCTION("""COMPUTED_VALUE"""),0.16666666666666669)</f>
        <v>0.1666666667</v>
      </c>
      <c r="N38" s="31">
        <f>IFERROR(__xludf.DUMMYFUNCTION("""COMPUTED_VALUE"""),186.74285714285713)</f>
        <v>186.7428571</v>
      </c>
      <c r="O38" s="57">
        <f>IFERROR(__xludf.DUMMYFUNCTION("""COMPUTED_VALUE"""),0.17142857142857143)</f>
        <v>0.1714285714</v>
      </c>
      <c r="P38" s="57">
        <f>IFERROR(__xludf.DUMMYFUNCTION("""COMPUTED_VALUE"""),0.34285714285714286)</f>
        <v>0.3428571429</v>
      </c>
      <c r="Q38" s="57">
        <f>IFERROR(__xludf.DUMMYFUNCTION("""COMPUTED_VALUE"""),0.8857142857142857)</f>
        <v>0.8857142857</v>
      </c>
      <c r="R38" s="57">
        <f>IFERROR(__xludf.DUMMYFUNCTION("""COMPUTED_VALUE"""),1.0285714285714285)</f>
        <v>1.028571429</v>
      </c>
      <c r="S38" s="31">
        <f>IFERROR(__xludf.DUMMYFUNCTION("""COMPUTED_VALUE"""),362.2523809523809)</f>
        <v>362.252381</v>
      </c>
      <c r="T38" s="57">
        <f>IFERROR(__xludf.DUMMYFUNCTION("""COMPUTED_VALUE"""),1.285714285714286)</f>
        <v>1.285714286</v>
      </c>
      <c r="U38" s="57">
        <f>IFERROR(__xludf.DUMMYFUNCTION("""COMPUTED_VALUE"""),0.7380952380952384)</f>
        <v>0.7380952381</v>
      </c>
      <c r="V38" s="57">
        <f>IFERROR(__xludf.DUMMYFUNCTION("""COMPUTED_VALUE"""),0.7499999999999998)</f>
        <v>0.75</v>
      </c>
      <c r="W38" s="57">
        <f>IFERROR(__xludf.DUMMYFUNCTION("""COMPUTED_VALUE"""),2.9000000000000012)</f>
        <v>2.9</v>
      </c>
      <c r="X38" s="31">
        <f>IFERROR(__xludf.DUMMYFUNCTION("""COMPUTED_VALUE"""),310.3612797539738)</f>
        <v>310.3612798</v>
      </c>
      <c r="Y38" s="57">
        <f>IFERROR(__xludf.DUMMYFUNCTION("""COMPUTED_VALUE"""),0.8744710130762878)</f>
        <v>0.8744710131</v>
      </c>
      <c r="Z38" s="57">
        <f>IFERROR(__xludf.DUMMYFUNCTION("""COMPUTED_VALUE"""),0.47010545646222723)</f>
        <v>0.4701054565</v>
      </c>
      <c r="AA38" s="57">
        <f>IFERROR(__xludf.DUMMYFUNCTION("""COMPUTED_VALUE"""),0.8956731101852599)</f>
        <v>0.8956731102</v>
      </c>
      <c r="AB38" s="57">
        <f>IFERROR(__xludf.DUMMYFUNCTION("""COMPUTED_VALUE"""),2.1890904471880055)</f>
        <v>2.189090447</v>
      </c>
      <c r="AC38" s="31">
        <f>IFERROR(__xludf.DUMMYFUNCTION("""COMPUTED_VALUE"""),284.79853928295154)</f>
        <v>284.7985393</v>
      </c>
      <c r="AD38" s="57">
        <f>IFERROR(__xludf.DUMMYFUNCTION("""COMPUTED_VALUE"""),0.6892471184791115)</f>
        <v>0.6892471185</v>
      </c>
      <c r="AE38" s="57">
        <f>IFERROR(__xludf.DUMMYFUNCTION("""COMPUTED_VALUE"""),0.3896208637047003)</f>
        <v>0.3896208637</v>
      </c>
      <c r="AF38" s="57">
        <f>IFERROR(__xludf.DUMMYFUNCTION("""COMPUTED_VALUE"""),0.8945165466462397)</f>
        <v>0.8945165466</v>
      </c>
      <c r="AG38" s="57">
        <f>IFERROR(__xludf.DUMMYFUNCTION("""COMPUTED_VALUE"""),1.986283980121684)</f>
        <v>1.98628398</v>
      </c>
      <c r="AH38" s="57">
        <f>IFERROR(__xludf.DUMMYFUNCTION("""COMPUTED_VALUE"""),0.6557015973924127)</f>
        <v>0.6557015974</v>
      </c>
      <c r="AI38" s="57">
        <f>IFERROR(__xludf.DUMMYFUNCTION("""COMPUTED_VALUE"""),0.24871858994034635)</f>
        <v>0.2487185899</v>
      </c>
      <c r="AJ38" s="57">
        <f>IFERROR(__xludf.DUMMYFUNCTION("""COMPUTED_VALUE"""),0.8799763431482962)</f>
        <v>0.8799763431</v>
      </c>
      <c r="AK38" s="57">
        <f>IFERROR(__xludf.DUMMYFUNCTION("""COMPUTED_VALUE"""),0.9901597561666625)</f>
        <v>0.9901597562</v>
      </c>
      <c r="AL38" s="57">
        <f>IFERROR(__xludf.DUMMYFUNCTION("""COMPUTED_VALUE"""),0.5178370458933148)</f>
        <v>0.5178370459</v>
      </c>
      <c r="AM38" s="57">
        <f>IFERROR(__xludf.DUMMYFUNCTION("""COMPUTED_VALUE"""),1.167195795943172)</f>
        <v>1.167195796</v>
      </c>
      <c r="AN38" s="57">
        <f>IFERROR(__xludf.DUMMYFUNCTION("""COMPUTED_VALUE"""),1.4702766203665139)</f>
        <v>1.47027662</v>
      </c>
      <c r="AO38" s="57">
        <f>IFERROR(__xludf.DUMMYFUNCTION("""COMPUTED_VALUE"""),1.570063116581894)</f>
        <v>1.570063117</v>
      </c>
      <c r="AP38" s="35">
        <f>IFERROR(__xludf.DUMMYFUNCTION("""COMPUTED_VALUE"""),0.8373590671320598)</f>
        <v>0.8373590671</v>
      </c>
      <c r="AQ38" s="57">
        <f>IFERROR(__xludf.DUMMYFUNCTION("""COMPUTED_VALUE"""),1.3247511100901264)</f>
        <v>1.32475111</v>
      </c>
      <c r="AR38" s="36" t="b">
        <f>IFERROR(__xludf.DUMMYFUNCTION("""COMPUTED_VALUE"""),TRUE)</f>
        <v>1</v>
      </c>
      <c r="AS38" s="57"/>
      <c r="AT38" s="37"/>
      <c r="AU38" s="30"/>
      <c r="AV38" s="30"/>
      <c r="AW38" s="30"/>
      <c r="AX38" s="30"/>
      <c r="AY38" s="30"/>
      <c r="AZ38" s="30"/>
    </row>
    <row r="39">
      <c r="A39" s="30" t="str">
        <f>IFERROR(__xludf.DUMMYFUNCTION("""COMPUTED_VALUE"""),"Amateur")</f>
        <v>Amateur</v>
      </c>
      <c r="B39" s="30" t="str">
        <f>IFERROR(__xludf.DUMMYFUNCTION("""COMPUTED_VALUE"""),"RSC000968")</f>
        <v>RSC000968</v>
      </c>
      <c r="C39" s="30" t="str">
        <f>IFERROR(__xludf.DUMMYFUNCTION("""COMPUTED_VALUE"""),"Tsg_raven5336")</f>
        <v>Tsg_raven5336</v>
      </c>
      <c r="D39" s="31"/>
      <c r="E39" s="31">
        <f>IFERROR(__xludf.DUMMYFUNCTION("""COMPUTED_VALUE"""),5.9875646430963485)</f>
        <v>5.987564643</v>
      </c>
      <c r="F39" s="31">
        <f>IFERROR(__xludf.DUMMYFUNCTION("""COMPUTED_VALUE"""),-25.53511856012352)</f>
        <v>-25.53511856</v>
      </c>
      <c r="G39" s="31">
        <f>IFERROR(__xludf.DUMMYFUNCTION("""COMPUTED_VALUE"""),-7.472453492640099)</f>
        <v>-7.472453493</v>
      </c>
      <c r="H39" s="31">
        <f>IFERROR(__xludf.DUMMYFUNCTION("""COMPUTED_VALUE"""),-92.97687948760452)</f>
        <v>-92.97687949</v>
      </c>
      <c r="I39" s="54">
        <f>IFERROR(__xludf.DUMMYFUNCTION("""COMPUTED_VALUE"""),6.0)</f>
        <v>6</v>
      </c>
      <c r="J39" s="55">
        <f>IFERROR(__xludf.DUMMYFUNCTION("""COMPUTED_VALUE"""),3.0)</f>
        <v>3</v>
      </c>
      <c r="K39" s="54">
        <f>IFERROR(__xludf.DUMMYFUNCTION("""COMPUTED_VALUE"""),3.0)</f>
        <v>3</v>
      </c>
      <c r="L39" s="56">
        <f>IFERROR(__xludf.DUMMYFUNCTION("""COMPUTED_VALUE"""),0.5)</f>
        <v>0.5</v>
      </c>
      <c r="M39" s="56">
        <f>IFERROR(__xludf.DUMMYFUNCTION("""COMPUTED_VALUE"""),0.0)</f>
        <v>0</v>
      </c>
      <c r="N39" s="31">
        <f>IFERROR(__xludf.DUMMYFUNCTION("""COMPUTED_VALUE"""),160.0)</f>
        <v>160</v>
      </c>
      <c r="O39" s="57">
        <f>IFERROR(__xludf.DUMMYFUNCTION("""COMPUTED_VALUE"""),0.0)</f>
        <v>0</v>
      </c>
      <c r="P39" s="57">
        <f>IFERROR(__xludf.DUMMYFUNCTION("""COMPUTED_VALUE"""),0.0)</f>
        <v>0</v>
      </c>
      <c r="Q39" s="57">
        <f>IFERROR(__xludf.DUMMYFUNCTION("""COMPUTED_VALUE"""),0.8333333333333334)</f>
        <v>0.8333333333</v>
      </c>
      <c r="R39" s="57">
        <f>IFERROR(__xludf.DUMMYFUNCTION("""COMPUTED_VALUE"""),0.6666666666666666)</f>
        <v>0.6666666667</v>
      </c>
      <c r="S39" s="31">
        <f>IFERROR(__xludf.DUMMYFUNCTION("""COMPUTED_VALUE"""),281.23611111111114)</f>
        <v>281.2361111</v>
      </c>
      <c r="T39" s="57">
        <f>IFERROR(__xludf.DUMMYFUNCTION("""COMPUTED_VALUE"""),0.5694444444444444)</f>
        <v>0.5694444444</v>
      </c>
      <c r="U39" s="57">
        <f>IFERROR(__xludf.DUMMYFUNCTION("""COMPUTED_VALUE"""),0.27777777777777773)</f>
        <v>0.2777777778</v>
      </c>
      <c r="V39" s="57">
        <f>IFERROR(__xludf.DUMMYFUNCTION("""COMPUTED_VALUE"""),1.125)</f>
        <v>1.125</v>
      </c>
      <c r="W39" s="57">
        <f>IFERROR(__xludf.DUMMYFUNCTION("""COMPUTED_VALUE"""),1.8472222222222223)</f>
        <v>1.847222222</v>
      </c>
      <c r="X39" s="31">
        <f>IFERROR(__xludf.DUMMYFUNCTION("""COMPUTED_VALUE"""),295.87502199145274)</f>
        <v>295.875022</v>
      </c>
      <c r="Y39" s="57">
        <f>IFERROR(__xludf.DUMMYFUNCTION("""COMPUTED_VALUE"""),0.7531467134770135)</f>
        <v>0.7531467135</v>
      </c>
      <c r="Z39" s="57">
        <f>IFERROR(__xludf.DUMMYFUNCTION("""COMPUTED_VALUE"""),0.4321804330061829)</f>
        <v>0.432180433</v>
      </c>
      <c r="AA39" s="57">
        <f>IFERROR(__xludf.DUMMYFUNCTION("""COMPUTED_VALUE"""),0.8549470096992847)</f>
        <v>0.8549470097</v>
      </c>
      <c r="AB39" s="57">
        <f>IFERROR(__xludf.DUMMYFUNCTION("""COMPUTED_VALUE"""),2.1954797645899773)</f>
        <v>2.195479765</v>
      </c>
      <c r="AC39" s="31">
        <f>IFERROR(__xludf.DUMMYFUNCTION("""COMPUTED_VALUE"""),300.71006729423306)</f>
        <v>300.7100673</v>
      </c>
      <c r="AD39" s="57">
        <f>IFERROR(__xludf.DUMMYFUNCTION("""COMPUTED_VALUE"""),0.7777953128395158)</f>
        <v>0.7777953128</v>
      </c>
      <c r="AE39" s="57">
        <f>IFERROR(__xludf.DUMMYFUNCTION("""COMPUTED_VALUE"""),0.46644917353477794)</f>
        <v>0.4664491735</v>
      </c>
      <c r="AF39" s="57">
        <f>IFERROR(__xludf.DUMMYFUNCTION("""COMPUTED_VALUE"""),0.9642154927366972)</f>
        <v>0.9642154927</v>
      </c>
      <c r="AG39" s="57">
        <f>IFERROR(__xludf.DUMMYFUNCTION("""COMPUTED_VALUE"""),2.053373440420808)</f>
        <v>2.05337344</v>
      </c>
      <c r="AH39" s="57">
        <f>IFERROR(__xludf.DUMMYFUNCTION("""COMPUTED_VALUE"""),0.532073972247315)</f>
        <v>0.5320739722</v>
      </c>
      <c r="AI39" s="57">
        <f>IFERROR(__xludf.DUMMYFUNCTION("""COMPUTED_VALUE"""),0.0)</f>
        <v>0</v>
      </c>
      <c r="AJ39" s="57">
        <f>IFERROR(__xludf.DUMMYFUNCTION("""COMPUTED_VALUE"""),0.0)</f>
        <v>0</v>
      </c>
      <c r="AK39" s="57">
        <f>IFERROR(__xludf.DUMMYFUNCTION("""COMPUTED_VALUE"""),0.8642604683400328)</f>
        <v>0.8642604683</v>
      </c>
      <c r="AL39" s="57">
        <f>IFERROR(__xludf.DUMMYFUNCTION("""COMPUTED_VALUE"""),0.32466898302241765)</f>
        <v>0.324668983</v>
      </c>
      <c r="AM39" s="57">
        <f>IFERROR(__xludf.DUMMYFUNCTION("""COMPUTED_VALUE"""),0.9505233298106371)</f>
        <v>0.9505233298</v>
      </c>
      <c r="AN39" s="57">
        <f>IFERROR(__xludf.DUMMYFUNCTION("""COMPUTED_VALUE"""),0.7560870070261871)</f>
        <v>0.756087007</v>
      </c>
      <c r="AO39" s="57">
        <f>IFERROR(__xludf.DUMMYFUNCTION("""COMPUTED_VALUE"""),0.6427356644667986)</f>
        <v>0.6427356645</v>
      </c>
      <c r="AP39" s="35">
        <f>IFERROR(__xludf.DUMMYFUNCTION("""COMPUTED_VALUE"""),1.3158710273701086)</f>
        <v>1.315871027</v>
      </c>
      <c r="AQ39" s="57">
        <f>IFERROR(__xludf.DUMMYFUNCTION("""COMPUTED_VALUE"""),0.84137519826661)</f>
        <v>0.8413751983</v>
      </c>
      <c r="AR39" s="36" t="b">
        <f>IFERROR(__xludf.DUMMYFUNCTION("""COMPUTED_VALUE"""),TRUE)</f>
        <v>1</v>
      </c>
      <c r="AS39" s="57"/>
      <c r="AT39" s="37"/>
      <c r="AU39" s="30"/>
      <c r="AV39" s="30"/>
      <c r="AW39" s="30"/>
      <c r="AX39" s="30"/>
      <c r="AY39" s="30"/>
      <c r="AZ39" s="30"/>
    </row>
    <row r="40">
      <c r="A40" s="30" t="str">
        <f>IFERROR(__xludf.DUMMYFUNCTION("""COMPUTED_VALUE"""),"Amateur")</f>
        <v>Amateur</v>
      </c>
      <c r="B40" s="30" t="str">
        <f>IFERROR(__xludf.DUMMYFUNCTION("""COMPUTED_VALUE"""),"RSC006022")</f>
        <v>RSC006022</v>
      </c>
      <c r="C40" s="30" t="str">
        <f>IFERROR(__xludf.DUMMYFUNCTION("""COMPUTED_VALUE"""),"N0MrThomasMn")</f>
        <v>N0MrThomasMn</v>
      </c>
      <c r="D40" s="31"/>
      <c r="E40" s="31">
        <f>IFERROR(__xludf.DUMMYFUNCTION("""COMPUTED_VALUE"""),-1.8353311619753612)</f>
        <v>-1.835331162</v>
      </c>
      <c r="F40" s="31">
        <f>IFERROR(__xludf.DUMMYFUNCTION("""COMPUTED_VALUE"""),-52.44685944754711)</f>
        <v>-52.44685945</v>
      </c>
      <c r="G40" s="31">
        <f>IFERROR(__xludf.DUMMYFUNCTION("""COMPUTED_VALUE"""),7.0869850606403375)</f>
        <v>7.086985061</v>
      </c>
      <c r="H40" s="31">
        <f>IFERROR(__xludf.DUMMYFUNCTION("""COMPUTED_VALUE"""),-23.237763791407)</f>
        <v>-23.23776379</v>
      </c>
      <c r="I40" s="54">
        <f>IFERROR(__xludf.DUMMYFUNCTION("""COMPUTED_VALUE"""),8.0)</f>
        <v>8</v>
      </c>
      <c r="J40" s="55">
        <f>IFERROR(__xludf.DUMMYFUNCTION("""COMPUTED_VALUE"""),0.0)</f>
        <v>0</v>
      </c>
      <c r="K40" s="54">
        <f>IFERROR(__xludf.DUMMYFUNCTION("""COMPUTED_VALUE"""),8.0)</f>
        <v>8</v>
      </c>
      <c r="L40" s="56">
        <f>IFERROR(__xludf.DUMMYFUNCTION("""COMPUTED_VALUE"""),0.0)</f>
        <v>0</v>
      </c>
      <c r="M40" s="56">
        <f>IFERROR(__xludf.DUMMYFUNCTION("""COMPUTED_VALUE"""),0.4444444444444444)</f>
        <v>0.4444444444</v>
      </c>
      <c r="N40" s="31">
        <f>IFERROR(__xludf.DUMMYFUNCTION("""COMPUTED_VALUE"""),205.125)</f>
        <v>205.125</v>
      </c>
      <c r="O40" s="57">
        <f>IFERROR(__xludf.DUMMYFUNCTION("""COMPUTED_VALUE"""),0.5)</f>
        <v>0.5</v>
      </c>
      <c r="P40" s="57">
        <f>IFERROR(__xludf.DUMMYFUNCTION("""COMPUTED_VALUE"""),0.25)</f>
        <v>0.25</v>
      </c>
      <c r="Q40" s="57">
        <f>IFERROR(__xludf.DUMMYFUNCTION("""COMPUTED_VALUE"""),0.5)</f>
        <v>0.5</v>
      </c>
      <c r="R40" s="57">
        <f>IFERROR(__xludf.DUMMYFUNCTION("""COMPUTED_VALUE"""),1.125)</f>
        <v>1.125</v>
      </c>
      <c r="S40" s="31">
        <f>IFERROR(__xludf.DUMMYFUNCTION("""COMPUTED_VALUE"""),429.3958333333333)</f>
        <v>429.3958333</v>
      </c>
      <c r="T40" s="57">
        <f>IFERROR(__xludf.DUMMYFUNCTION("""COMPUTED_VALUE"""),1.7187499999999998)</f>
        <v>1.71875</v>
      </c>
      <c r="U40" s="57">
        <f>IFERROR(__xludf.DUMMYFUNCTION("""COMPUTED_VALUE"""),1.1770833333333333)</f>
        <v>1.177083333</v>
      </c>
      <c r="V40" s="57">
        <f>IFERROR(__xludf.DUMMYFUNCTION("""COMPUTED_VALUE"""),0.5416666666666666)</f>
        <v>0.5416666667</v>
      </c>
      <c r="W40" s="57">
        <f>IFERROR(__xludf.DUMMYFUNCTION("""COMPUTED_VALUE"""),3.2604166666666665)</f>
        <v>3.260416667</v>
      </c>
      <c r="X40" s="31">
        <f>IFERROR(__xludf.DUMMYFUNCTION("""COMPUTED_VALUE"""),288.6392884892885)</f>
        <v>288.6392885</v>
      </c>
      <c r="Y40" s="57">
        <f>IFERROR(__xludf.DUMMYFUNCTION("""COMPUTED_VALUE"""),0.7172690417684697)</f>
        <v>0.7172690418</v>
      </c>
      <c r="Z40" s="57">
        <f>IFERROR(__xludf.DUMMYFUNCTION("""COMPUTED_VALUE"""),0.4468656020858538)</f>
        <v>0.4468656021</v>
      </c>
      <c r="AA40" s="57">
        <f>IFERROR(__xludf.DUMMYFUNCTION("""COMPUTED_VALUE"""),0.8163942290229473)</f>
        <v>0.816394229</v>
      </c>
      <c r="AB40" s="57">
        <f>IFERROR(__xludf.DUMMYFUNCTION("""COMPUTED_VALUE"""),2.123223942660441)</f>
        <v>2.123223943</v>
      </c>
      <c r="AC40" s="31">
        <f>IFERROR(__xludf.DUMMYFUNCTION("""COMPUTED_VALUE"""),297.2994319045699)</f>
        <v>297.2994319</v>
      </c>
      <c r="AD40" s="57">
        <f>IFERROR(__xludf.DUMMYFUNCTION("""COMPUTED_VALUE"""),0.7573835260584406)</f>
        <v>0.7573835261</v>
      </c>
      <c r="AE40" s="57">
        <f>IFERROR(__xludf.DUMMYFUNCTION("""COMPUTED_VALUE"""),0.43551461137035136)</f>
        <v>0.4355146114</v>
      </c>
      <c r="AF40" s="57">
        <f>IFERROR(__xludf.DUMMYFUNCTION("""COMPUTED_VALUE"""),0.9528633973380352)</f>
        <v>0.9528633973</v>
      </c>
      <c r="AG40" s="57">
        <f>IFERROR(__xludf.DUMMYFUNCTION("""COMPUTED_VALUE"""),2.0519596866040417)</f>
        <v>2.051959687</v>
      </c>
      <c r="AH40" s="57">
        <f>IFERROR(__xludf.DUMMYFUNCTION("""COMPUTED_VALUE"""),0.6899609551418284)</f>
        <v>0.6899609551</v>
      </c>
      <c r="AI40" s="57">
        <f>IFERROR(__xludf.DUMMYFUNCTION("""COMPUTED_VALUE"""),0.6601675146039807)</f>
        <v>0.6601675146</v>
      </c>
      <c r="AJ40" s="57">
        <f>IFERROR(__xludf.DUMMYFUNCTION("""COMPUTED_VALUE"""),0.574033553577852)</f>
        <v>0.5740335536</v>
      </c>
      <c r="AK40" s="57">
        <f>IFERROR(__xludf.DUMMYFUNCTION("""COMPUTED_VALUE"""),0.5247341868696226)</f>
        <v>0.5247341869</v>
      </c>
      <c r="AL40" s="57">
        <f>IFERROR(__xludf.DUMMYFUNCTION("""COMPUTED_VALUE"""),0.5482563850276493)</f>
        <v>0.548256385</v>
      </c>
      <c r="AM40" s="57">
        <f>IFERROR(__xludf.DUMMYFUNCTION("""COMPUTED_VALUE"""),1.4876555287422986)</f>
        <v>1.487655529</v>
      </c>
      <c r="AN40" s="57">
        <f>IFERROR(__xludf.DUMMYFUNCTION("""COMPUTED_VALUE"""),2.396241716723642)</f>
        <v>2.396241717</v>
      </c>
      <c r="AO40" s="57">
        <f>IFERROR(__xludf.DUMMYFUNCTION("""COMPUTED_VALUE"""),2.6340880296872498)</f>
        <v>2.63408803</v>
      </c>
      <c r="AP40" s="35">
        <f>IFERROR(__xludf.DUMMYFUNCTION("""COMPUTED_VALUE"""),0.663486643352352)</f>
        <v>0.6634866434</v>
      </c>
      <c r="AQ40" s="57">
        <f>IFERROR(__xludf.DUMMYFUNCTION("""COMPUTED_VALUE"""),1.5355971648385336)</f>
        <v>1.535597165</v>
      </c>
      <c r="AR40" s="36" t="b">
        <f>IFERROR(__xludf.DUMMYFUNCTION("""COMPUTED_VALUE"""),TRUE)</f>
        <v>1</v>
      </c>
      <c r="AS40" s="57"/>
      <c r="AT40" s="37"/>
      <c r="AU40" s="30"/>
      <c r="AV40" s="30"/>
      <c r="AW40" s="30"/>
      <c r="AX40" s="30"/>
      <c r="AY40" s="30"/>
      <c r="AZ40" s="30"/>
    </row>
    <row r="41">
      <c r="A41" s="30" t="str">
        <f>IFERROR(__xludf.DUMMYFUNCTION("""COMPUTED_VALUE"""),"Amateur")</f>
        <v>Amateur</v>
      </c>
      <c r="B41" s="30" t="str">
        <f>IFERROR(__xludf.DUMMYFUNCTION("""COMPUTED_VALUE"""),"RSC007587")</f>
        <v>RSC007587</v>
      </c>
      <c r="C41" s="30" t="str">
        <f>IFERROR(__xludf.DUMMYFUNCTION("""COMPUTED_VALUE"""),"ShortyoShire")</f>
        <v>ShortyoShire</v>
      </c>
      <c r="D41" s="31" t="str">
        <f>IFERROR(__xludf.DUMMYFUNCTION("""COMPUTED_VALUE"""),"Aloof Goofs")</f>
        <v>Aloof Goofs</v>
      </c>
      <c r="E41" s="31">
        <f>IFERROR(__xludf.DUMMYFUNCTION("""COMPUTED_VALUE"""),-15.909119110155757)</f>
        <v>-15.90911911</v>
      </c>
      <c r="F41" s="31">
        <f>IFERROR(__xludf.DUMMYFUNCTION("""COMPUTED_VALUE"""),-238.6646356682927)</f>
        <v>-238.6646357</v>
      </c>
      <c r="G41" s="31">
        <f>IFERROR(__xludf.DUMMYFUNCTION("""COMPUTED_VALUE"""),-15.169842605495433)</f>
        <v>-15.16984261</v>
      </c>
      <c r="H41" s="31">
        <f>IFERROR(__xludf.DUMMYFUNCTION("""COMPUTED_VALUE"""),-218.8317759484102)</f>
        <v>-218.8317759</v>
      </c>
      <c r="I41" s="54">
        <f>IFERROR(__xludf.DUMMYFUNCTION("""COMPUTED_VALUE"""),9.0)</f>
        <v>9</v>
      </c>
      <c r="J41" s="55">
        <f>IFERROR(__xludf.DUMMYFUNCTION("""COMPUTED_VALUE"""),3.0)</f>
        <v>3</v>
      </c>
      <c r="K41" s="54">
        <f>IFERROR(__xludf.DUMMYFUNCTION("""COMPUTED_VALUE"""),6.0)</f>
        <v>6</v>
      </c>
      <c r="L41" s="56">
        <f>IFERROR(__xludf.DUMMYFUNCTION("""COMPUTED_VALUE"""),0.3333333333333333)</f>
        <v>0.3333333333</v>
      </c>
      <c r="M41" s="56">
        <f>IFERROR(__xludf.DUMMYFUNCTION("""COMPUTED_VALUE"""),0.16666666666666666)</f>
        <v>0.1666666667</v>
      </c>
      <c r="N41" s="31">
        <f>IFERROR(__xludf.DUMMYFUNCTION("""COMPUTED_VALUE"""),125.22222222222223)</f>
        <v>125.2222222</v>
      </c>
      <c r="O41" s="57">
        <f>IFERROR(__xludf.DUMMYFUNCTION("""COMPUTED_VALUE"""),0.1111111111111111)</f>
        <v>0.1111111111</v>
      </c>
      <c r="P41" s="57">
        <f>IFERROR(__xludf.DUMMYFUNCTION("""COMPUTED_VALUE"""),0.0)</f>
        <v>0</v>
      </c>
      <c r="Q41" s="57">
        <f>IFERROR(__xludf.DUMMYFUNCTION("""COMPUTED_VALUE"""),0.5555555555555556)</f>
        <v>0.5555555556</v>
      </c>
      <c r="R41" s="57">
        <f>IFERROR(__xludf.DUMMYFUNCTION("""COMPUTED_VALUE"""),0.6666666666666666)</f>
        <v>0.6666666667</v>
      </c>
      <c r="S41" s="31">
        <f>IFERROR(__xludf.DUMMYFUNCTION("""COMPUTED_VALUE"""),355.00925925925924)</f>
        <v>355.0092593</v>
      </c>
      <c r="T41" s="57">
        <f>IFERROR(__xludf.DUMMYFUNCTION("""COMPUTED_VALUE"""),1.2777777777777777)</f>
        <v>1.277777778</v>
      </c>
      <c r="U41" s="57">
        <f>IFERROR(__xludf.DUMMYFUNCTION("""COMPUTED_VALUE"""),0.8148148148148147)</f>
        <v>0.8148148148</v>
      </c>
      <c r="V41" s="57">
        <f>IFERROR(__xludf.DUMMYFUNCTION("""COMPUTED_VALUE"""),0.5925925925925926)</f>
        <v>0.5925925926</v>
      </c>
      <c r="W41" s="57">
        <f>IFERROR(__xludf.DUMMYFUNCTION("""COMPUTED_VALUE"""),2.657407407407407)</f>
        <v>2.657407407</v>
      </c>
      <c r="X41" s="31">
        <f>IFERROR(__xludf.DUMMYFUNCTION("""COMPUTED_VALUE"""),287.41082482525746)</f>
        <v>287.4108248</v>
      </c>
      <c r="Y41" s="57">
        <f>IFERROR(__xludf.DUMMYFUNCTION("""COMPUTED_VALUE"""),0.7098632643127473)</f>
        <v>0.7098632643</v>
      </c>
      <c r="Z41" s="57">
        <f>IFERROR(__xludf.DUMMYFUNCTION("""COMPUTED_VALUE"""),0.439046383135215)</f>
        <v>0.4390463831</v>
      </c>
      <c r="AA41" s="57">
        <f>IFERROR(__xludf.DUMMYFUNCTION("""COMPUTED_VALUE"""),0.8492696317994475)</f>
        <v>0.8492696318</v>
      </c>
      <c r="AB41" s="57">
        <f>IFERROR(__xludf.DUMMYFUNCTION("""COMPUTED_VALUE"""),2.0460784516125825)</f>
        <v>2.046078452</v>
      </c>
      <c r="AC41" s="31">
        <f>IFERROR(__xludf.DUMMYFUNCTION("""COMPUTED_VALUE"""),303.730175753755)</f>
        <v>303.7301758</v>
      </c>
      <c r="AD41" s="57">
        <f>IFERROR(__xludf.DUMMYFUNCTION("""COMPUTED_VALUE"""),0.8222606497547003)</f>
        <v>0.8222606498</v>
      </c>
      <c r="AE41" s="57">
        <f>IFERROR(__xludf.DUMMYFUNCTION("""COMPUTED_VALUE"""),0.4594866262411947)</f>
        <v>0.4594866262</v>
      </c>
      <c r="AF41" s="57">
        <f>IFERROR(__xludf.DUMMYFUNCTION("""COMPUTED_VALUE"""),0.8977390354722152)</f>
        <v>0.8977390355</v>
      </c>
      <c r="AG41" s="57">
        <f>IFERROR(__xludf.DUMMYFUNCTION("""COMPUTED_VALUE"""),2.16644747086953)</f>
        <v>2.166447471</v>
      </c>
      <c r="AH41" s="57">
        <f>IFERROR(__xludf.DUMMYFUNCTION("""COMPUTED_VALUE"""),0.4122811370699775)</f>
        <v>0.4122811371</v>
      </c>
      <c r="AI41" s="57">
        <f>IFERROR(__xludf.DUMMYFUNCTION("""COMPUTED_VALUE"""),0.1351288197291919)</f>
        <v>0.1351288197</v>
      </c>
      <c r="AJ41" s="57">
        <f>IFERROR(__xludf.DUMMYFUNCTION("""COMPUTED_VALUE"""),0.0)</f>
        <v>0</v>
      </c>
      <c r="AK41" s="57">
        <f>IFERROR(__xludf.DUMMYFUNCTION("""COMPUTED_VALUE"""),0.6188385862750533)</f>
        <v>0.6188385863</v>
      </c>
      <c r="AL41" s="57">
        <f>IFERROR(__xludf.DUMMYFUNCTION("""COMPUTED_VALUE"""),0.30772343923902845)</f>
        <v>0.3077234392</v>
      </c>
      <c r="AM41" s="57">
        <f>IFERROR(__xludf.DUMMYFUNCTION("""COMPUTED_VALUE"""),1.2351979417445424)</f>
        <v>1.235197942</v>
      </c>
      <c r="AN41" s="57">
        <f>IFERROR(__xludf.DUMMYFUNCTION("""COMPUTED_VALUE"""),1.8000336712942255)</f>
        <v>1.800033671</v>
      </c>
      <c r="AO41" s="57">
        <f>IFERROR(__xludf.DUMMYFUNCTION("""COMPUTED_VALUE"""),1.8558741083259822)</f>
        <v>1.855874108</v>
      </c>
      <c r="AP41" s="35">
        <f>IFERROR(__xludf.DUMMYFUNCTION("""COMPUTED_VALUE"""),0.6977673172382214)</f>
        <v>0.6977673172</v>
      </c>
      <c r="AQ41" s="57">
        <f>IFERROR(__xludf.DUMMYFUNCTION("""COMPUTED_VALUE"""),1.2987807995890948)</f>
        <v>1.2987808</v>
      </c>
      <c r="AR41" s="36" t="b">
        <f>IFERROR(__xludf.DUMMYFUNCTION("""COMPUTED_VALUE"""),TRUE)</f>
        <v>1</v>
      </c>
      <c r="AS41" s="57"/>
      <c r="AT41" s="37"/>
      <c r="AU41" s="30"/>
      <c r="AV41" s="30"/>
      <c r="AW41" s="30"/>
      <c r="AX41" s="30"/>
      <c r="AY41" s="30"/>
      <c r="AZ41" s="30"/>
    </row>
    <row r="42">
      <c r="A42" s="30" t="str">
        <f>IFERROR(__xludf.DUMMYFUNCTION("""COMPUTED_VALUE"""),"Challenger")</f>
        <v>Challenger</v>
      </c>
      <c r="B42" s="30" t="str">
        <f>IFERROR(__xludf.DUMMYFUNCTION("""COMPUTED_VALUE"""),"RSC004997")</f>
        <v>RSC004997</v>
      </c>
      <c r="C42" s="30" t="str">
        <f>IFERROR(__xludf.DUMMYFUNCTION("""COMPUTED_VALUE"""),"evelynnx")</f>
        <v>evelynnx</v>
      </c>
      <c r="D42" s="31" t="str">
        <f>IFERROR(__xludf.DUMMYFUNCTION("""COMPUTED_VALUE"""),"Deceased")</f>
        <v>Deceased</v>
      </c>
      <c r="E42" s="31">
        <f>IFERROR(__xludf.DUMMYFUNCTION("""COMPUTED_VALUE"""),104.6776184112578)</f>
        <v>104.6776184</v>
      </c>
      <c r="F42" s="31">
        <f>IFERROR(__xludf.DUMMYFUNCTION("""COMPUTED_VALUE"""),69.60182442122748)</f>
        <v>69.60182442</v>
      </c>
      <c r="G42" s="31">
        <f>IFERROR(__xludf.DUMMYFUNCTION("""COMPUTED_VALUE"""),81.80307464092058)</f>
        <v>81.80307464</v>
      </c>
      <c r="H42" s="31">
        <f>IFERROR(__xludf.DUMMYFUNCTION("""COMPUTED_VALUE"""),9.836254616327915)</f>
        <v>9.836254616</v>
      </c>
      <c r="I42" s="54">
        <f>IFERROR(__xludf.DUMMYFUNCTION("""COMPUTED_VALUE"""),25.0)</f>
        <v>25</v>
      </c>
      <c r="J42" s="55">
        <f>IFERROR(__xludf.DUMMYFUNCTION("""COMPUTED_VALUE"""),18.0)</f>
        <v>18</v>
      </c>
      <c r="K42" s="54">
        <f>IFERROR(__xludf.DUMMYFUNCTION("""COMPUTED_VALUE"""),7.0)</f>
        <v>7</v>
      </c>
      <c r="L42" s="56">
        <f>IFERROR(__xludf.DUMMYFUNCTION("""COMPUTED_VALUE"""),0.72)</f>
        <v>0.72</v>
      </c>
      <c r="M42" s="56">
        <f>IFERROR(__xludf.DUMMYFUNCTION("""COMPUTED_VALUE"""),0.33707865168539325)</f>
        <v>0.3370786517</v>
      </c>
      <c r="N42" s="31">
        <f>IFERROR(__xludf.DUMMYFUNCTION("""COMPUTED_VALUE"""),421.16)</f>
        <v>421.16</v>
      </c>
      <c r="O42" s="57">
        <f>IFERROR(__xludf.DUMMYFUNCTION("""COMPUTED_VALUE"""),1.2)</f>
        <v>1.2</v>
      </c>
      <c r="P42" s="57">
        <f>IFERROR(__xludf.DUMMYFUNCTION("""COMPUTED_VALUE"""),0.84)</f>
        <v>0.84</v>
      </c>
      <c r="Q42" s="57">
        <f>IFERROR(__xludf.DUMMYFUNCTION("""COMPUTED_VALUE"""),1.24)</f>
        <v>1.24</v>
      </c>
      <c r="R42" s="57">
        <f>IFERROR(__xludf.DUMMYFUNCTION("""COMPUTED_VALUE"""),3.56)</f>
        <v>3.56</v>
      </c>
      <c r="S42" s="31">
        <f>IFERROR(__xludf.DUMMYFUNCTION("""COMPUTED_VALUE"""),342.4)</f>
        <v>342.4</v>
      </c>
      <c r="T42" s="57">
        <f>IFERROR(__xludf.DUMMYFUNCTION("""COMPUTED_VALUE"""),0.6266666666666667)</f>
        <v>0.6266666667</v>
      </c>
      <c r="U42" s="57">
        <f>IFERROR(__xludf.DUMMYFUNCTION("""COMPUTED_VALUE"""),0.44)</f>
        <v>0.44</v>
      </c>
      <c r="V42" s="57">
        <f>IFERROR(__xludf.DUMMYFUNCTION("""COMPUTED_VALUE"""),1.5466666666666669)</f>
        <v>1.546666667</v>
      </c>
      <c r="W42" s="57">
        <f>IFERROR(__xludf.DUMMYFUNCTION("""COMPUTED_VALUE"""),2.186666666666666)</f>
        <v>2.186666667</v>
      </c>
      <c r="X42" s="31">
        <f>IFERROR(__xludf.DUMMYFUNCTION("""COMPUTED_VALUE"""),330.1015004690037)</f>
        <v>330.1015005</v>
      </c>
      <c r="Y42" s="57">
        <f>IFERROR(__xludf.DUMMYFUNCTION("""COMPUTED_VALUE"""),0.7367610649765334)</f>
        <v>0.736761065</v>
      </c>
      <c r="Z42" s="57">
        <f>IFERROR(__xludf.DUMMYFUNCTION("""COMPUTED_VALUE"""),0.5032767298299617)</f>
        <v>0.5032767298</v>
      </c>
      <c r="AA42" s="57">
        <f>IFERROR(__xludf.DUMMYFUNCTION("""COMPUTED_VALUE"""),1.2572508022664002)</f>
        <v>1.257250802</v>
      </c>
      <c r="AB42" s="57">
        <f>IFERROR(__xludf.DUMMYFUNCTION("""COMPUTED_VALUE"""),2.344534896473068)</f>
        <v>2.344534896</v>
      </c>
      <c r="AC42" s="31">
        <f>IFERROR(__xludf.DUMMYFUNCTION("""COMPUTED_VALUE"""),345.945355836709)</f>
        <v>345.9453558</v>
      </c>
      <c r="AD42" s="57">
        <f>IFERROR(__xludf.DUMMYFUNCTION("""COMPUTED_VALUE"""),0.8462216224759257)</f>
        <v>0.8462216225</v>
      </c>
      <c r="AE42" s="57">
        <f>IFERROR(__xludf.DUMMYFUNCTION("""COMPUTED_VALUE"""),0.5841802744849393)</f>
        <v>0.5841802745</v>
      </c>
      <c r="AF42" s="57">
        <f>IFERROR(__xludf.DUMMYFUNCTION("""COMPUTED_VALUE"""),1.1748695471719626)</f>
        <v>1.174869547</v>
      </c>
      <c r="AG42" s="57">
        <f>IFERROR(__xludf.DUMMYFUNCTION("""COMPUTED_VALUE"""),2.594040218720413)</f>
        <v>2.594040219</v>
      </c>
      <c r="AH42" s="57">
        <f>IFERROR(__xludf.DUMMYFUNCTION("""COMPUTED_VALUE"""),1.2174177016522616)</f>
        <v>1.217417702</v>
      </c>
      <c r="AI42" s="57">
        <f>IFERROR(__xludf.DUMMYFUNCTION("""COMPUTED_VALUE"""),1.418068231923652)</f>
        <v>1.418068232</v>
      </c>
      <c r="AJ42" s="57">
        <f>IFERROR(__xludf.DUMMYFUNCTION("""COMPUTED_VALUE"""),1.4379122964064683)</f>
        <v>1.437912296</v>
      </c>
      <c r="AK42" s="57">
        <f>IFERROR(__xludf.DUMMYFUNCTION("""COMPUTED_VALUE"""),1.0554363273648666)</f>
        <v>1.055436327</v>
      </c>
      <c r="AL42" s="57">
        <f>IFERROR(__xludf.DUMMYFUNCTION("""COMPUTED_VALUE"""),1.3723765631344278)</f>
        <v>1.372376563</v>
      </c>
      <c r="AM42" s="57">
        <f>IFERROR(__xludf.DUMMYFUNCTION("""COMPUTED_VALUE"""),1.0372567210797974)</f>
        <v>1.037256721</v>
      </c>
      <c r="AN42" s="57">
        <f>IFERROR(__xludf.DUMMYFUNCTION("""COMPUTED_VALUE"""),0.8505697388971372)</f>
        <v>0.8505697389</v>
      </c>
      <c r="AO42" s="57">
        <f>IFERROR(__xludf.DUMMYFUNCTION("""COMPUTED_VALUE"""),0.874270503523299)</f>
        <v>0.8742705035</v>
      </c>
      <c r="AP42" s="35">
        <f>IFERROR(__xludf.DUMMYFUNCTION("""COMPUTED_VALUE"""),1.2301973988630965)</f>
        <v>1.230197399</v>
      </c>
      <c r="AQ42" s="57">
        <f>IFERROR(__xludf.DUMMYFUNCTION("""COMPUTED_VALUE"""),0.932665438230889)</f>
        <v>0.9326654382</v>
      </c>
      <c r="AR42" s="36" t="b">
        <f>IFERROR(__xludf.DUMMYFUNCTION("""COMPUTED_VALUE"""),TRUE)</f>
        <v>1</v>
      </c>
      <c r="AS42" s="57"/>
      <c r="AT42" s="37"/>
      <c r="AU42" s="30"/>
      <c r="AV42" s="30"/>
      <c r="AW42" s="30"/>
      <c r="AX42" s="30"/>
      <c r="AY42" s="30"/>
      <c r="AZ42" s="30"/>
    </row>
    <row r="43">
      <c r="A43" s="30" t="str">
        <f>IFERROR(__xludf.DUMMYFUNCTION("""COMPUTED_VALUE"""),"Challenger")</f>
        <v>Challenger</v>
      </c>
      <c r="B43" s="30" t="str">
        <f>IFERROR(__xludf.DUMMYFUNCTION("""COMPUTED_VALUE"""),"RSC007647")</f>
        <v>RSC007647</v>
      </c>
      <c r="C43" s="30" t="str">
        <f>IFERROR(__xludf.DUMMYFUNCTION("""COMPUTED_VALUE"""),"I'm Pale")</f>
        <v>I'm Pale</v>
      </c>
      <c r="D43" s="31" t="str">
        <f>IFERROR(__xludf.DUMMYFUNCTION("""COMPUTED_VALUE"""),"Cassowaries")</f>
        <v>Cassowaries</v>
      </c>
      <c r="E43" s="31">
        <f>IFERROR(__xludf.DUMMYFUNCTION("""COMPUTED_VALUE"""),101.19438067100164)</f>
        <v>101.1943807</v>
      </c>
      <c r="F43" s="31">
        <f>IFERROR(__xludf.DUMMYFUNCTION("""COMPUTED_VALUE"""),49.28289833266544)</f>
        <v>49.28289833</v>
      </c>
      <c r="G43" s="31">
        <f>IFERROR(__xludf.DUMMYFUNCTION("""COMPUTED_VALUE"""),83.87736823584166)</f>
        <v>83.87736824</v>
      </c>
      <c r="H43" s="31">
        <f>IFERROR(__xludf.DUMMYFUNCTION("""COMPUTED_VALUE"""),11.403329168033647)</f>
        <v>11.40332917</v>
      </c>
      <c r="I43" s="54">
        <f>IFERROR(__xludf.DUMMYFUNCTION("""COMPUTED_VALUE"""),47.0)</f>
        <v>47</v>
      </c>
      <c r="J43" s="55">
        <f>IFERROR(__xludf.DUMMYFUNCTION("""COMPUTED_VALUE"""),35.0)</f>
        <v>35</v>
      </c>
      <c r="K43" s="54">
        <f>IFERROR(__xludf.DUMMYFUNCTION("""COMPUTED_VALUE"""),12.0)</f>
        <v>12</v>
      </c>
      <c r="L43" s="56">
        <f>IFERROR(__xludf.DUMMYFUNCTION("""COMPUTED_VALUE"""),0.7446808510638298)</f>
        <v>0.7446808511</v>
      </c>
      <c r="M43" s="56">
        <f>IFERROR(__xludf.DUMMYFUNCTION("""COMPUTED_VALUE"""),0.3157894736842105)</f>
        <v>0.3157894737</v>
      </c>
      <c r="N43" s="31">
        <f>IFERROR(__xludf.DUMMYFUNCTION("""COMPUTED_VALUE"""),421.6170212765957)</f>
        <v>421.6170213</v>
      </c>
      <c r="O43" s="57">
        <f>IFERROR(__xludf.DUMMYFUNCTION("""COMPUTED_VALUE"""),1.0212765957446808)</f>
        <v>1.021276596</v>
      </c>
      <c r="P43" s="57">
        <f>IFERROR(__xludf.DUMMYFUNCTION("""COMPUTED_VALUE"""),1.0)</f>
        <v>1</v>
      </c>
      <c r="Q43" s="57">
        <f>IFERROR(__xludf.DUMMYFUNCTION("""COMPUTED_VALUE"""),1.3617021276595744)</f>
        <v>1.361702128</v>
      </c>
      <c r="R43" s="57">
        <f>IFERROR(__xludf.DUMMYFUNCTION("""COMPUTED_VALUE"""),3.234042553191489)</f>
        <v>3.234042553</v>
      </c>
      <c r="S43" s="31">
        <f>IFERROR(__xludf.DUMMYFUNCTION("""COMPUTED_VALUE"""),317.43262411347513)</f>
        <v>317.4326241</v>
      </c>
      <c r="T43" s="57">
        <f>IFERROR(__xludf.DUMMYFUNCTION("""COMPUTED_VALUE"""),0.6808510638297872)</f>
        <v>0.6808510638</v>
      </c>
      <c r="U43" s="57">
        <f>IFERROR(__xludf.DUMMYFUNCTION("""COMPUTED_VALUE"""),0.43262411347517726)</f>
        <v>0.4326241135</v>
      </c>
      <c r="V43" s="57">
        <f>IFERROR(__xludf.DUMMYFUNCTION("""COMPUTED_VALUE"""),1.283687943262411)</f>
        <v>1.283687943</v>
      </c>
      <c r="W43" s="57">
        <f>IFERROR(__xludf.DUMMYFUNCTION("""COMPUTED_VALUE"""),2.446808510638297)</f>
        <v>2.446808511</v>
      </c>
      <c r="X43" s="31">
        <f>IFERROR(__xludf.DUMMYFUNCTION("""COMPUTED_VALUE"""),321.431347794347)</f>
        <v>321.4313478</v>
      </c>
      <c r="Y43" s="57">
        <f>IFERROR(__xludf.DUMMYFUNCTION("""COMPUTED_VALUE"""),0.7077868144839647)</f>
        <v>0.7077868145</v>
      </c>
      <c r="Z43" s="57">
        <f>IFERROR(__xludf.DUMMYFUNCTION("""COMPUTED_VALUE"""),0.48821960092979527)</f>
        <v>0.4882196009</v>
      </c>
      <c r="AA43" s="57">
        <f>IFERROR(__xludf.DUMMYFUNCTION("""COMPUTED_VALUE"""),1.1783848939667994)</f>
        <v>1.178384894</v>
      </c>
      <c r="AB43" s="57">
        <f>IFERROR(__xludf.DUMMYFUNCTION("""COMPUTED_VALUE"""),2.374119922206647)</f>
        <v>2.374119922</v>
      </c>
      <c r="AC43" s="31">
        <f>IFERROR(__xludf.DUMMYFUNCTION("""COMPUTED_VALUE"""),339.3592113826068)</f>
        <v>339.3592114</v>
      </c>
      <c r="AD43" s="57">
        <f>IFERROR(__xludf.DUMMYFUNCTION("""COMPUTED_VALUE"""),0.8026760987075838)</f>
        <v>0.8026760987</v>
      </c>
      <c r="AE43" s="57">
        <f>IFERROR(__xludf.DUMMYFUNCTION("""COMPUTED_VALUE"""),0.5546903915670031)</f>
        <v>0.5546903916</v>
      </c>
      <c r="AF43" s="57">
        <f>IFERROR(__xludf.DUMMYFUNCTION("""COMPUTED_VALUE"""),1.2155782886468833)</f>
        <v>1.215578289</v>
      </c>
      <c r="AG43" s="57">
        <f>IFERROR(__xludf.DUMMYFUNCTION("""COMPUTED_VALUE"""),2.463082905911722)</f>
        <v>2.463082906</v>
      </c>
      <c r="AH43" s="57">
        <f>IFERROR(__xludf.DUMMYFUNCTION("""COMPUTED_VALUE"""),1.2423915636733616)</f>
        <v>1.242391564</v>
      </c>
      <c r="AI43" s="57">
        <f>IFERROR(__xludf.DUMMYFUNCTION("""COMPUTED_VALUE"""),1.2723396116927774)</f>
        <v>1.272339612</v>
      </c>
      <c r="AJ43" s="57">
        <f>IFERROR(__xludf.DUMMYFUNCTION("""COMPUTED_VALUE"""),1.8028075034344748)</f>
        <v>1.802807503</v>
      </c>
      <c r="AK43" s="57">
        <f>IFERROR(__xludf.DUMMYFUNCTION("""COMPUTED_VALUE"""),1.1202093196114487)</f>
        <v>1.12020932</v>
      </c>
      <c r="AL43" s="57">
        <f>IFERROR(__xludf.DUMMYFUNCTION("""COMPUTED_VALUE"""),1.3130059672085592)</f>
        <v>1.313005967</v>
      </c>
      <c r="AM43" s="57">
        <f>IFERROR(__xludf.DUMMYFUNCTION("""COMPUTED_VALUE"""),0.9875596337808649)</f>
        <v>0.9875596338</v>
      </c>
      <c r="AN43" s="57">
        <f>IFERROR(__xludf.DUMMYFUNCTION("""COMPUTED_VALUE"""),0.9619436953289163)</f>
        <v>0.9619436953</v>
      </c>
      <c r="AO43" s="57">
        <f>IFERROR(__xludf.DUMMYFUNCTION("""COMPUTED_VALUE"""),0.8861260642777583)</f>
        <v>0.8861260643</v>
      </c>
      <c r="AP43" s="35">
        <f>IFERROR(__xludf.DUMMYFUNCTION("""COMPUTED_VALUE"""),1.0893621853392315)</f>
        <v>1.089362185</v>
      </c>
      <c r="AQ43" s="57">
        <f>IFERROR(__xludf.DUMMYFUNCTION("""COMPUTED_VALUE"""),1.0306170668767602)</f>
        <v>1.030617067</v>
      </c>
      <c r="AR43" s="36" t="b">
        <f>IFERROR(__xludf.DUMMYFUNCTION("""COMPUTED_VALUE"""),TRUE)</f>
        <v>1</v>
      </c>
      <c r="AS43" s="57"/>
      <c r="AT43" s="37"/>
      <c r="AU43" s="30"/>
      <c r="AV43" s="30"/>
      <c r="AW43" s="30"/>
      <c r="AX43" s="30"/>
      <c r="AY43" s="30"/>
      <c r="AZ43" s="30"/>
    </row>
    <row r="44">
      <c r="A44" s="30" t="str">
        <f>IFERROR(__xludf.DUMMYFUNCTION("""COMPUTED_VALUE"""),"Challenger")</f>
        <v>Challenger</v>
      </c>
      <c r="B44" s="30" t="str">
        <f>IFERROR(__xludf.DUMMYFUNCTION("""COMPUTED_VALUE"""),"RSC006355")</f>
        <v>RSC006355</v>
      </c>
      <c r="C44" s="30" t="str">
        <f>IFERROR(__xludf.DUMMYFUNCTION("""COMPUTED_VALUE"""),"Heartlesswins")</f>
        <v>Heartlesswins</v>
      </c>
      <c r="D44" s="31" t="str">
        <f>IFERROR(__xludf.DUMMYFUNCTION("""COMPUTED_VALUE"""),"Lilac")</f>
        <v>Lilac</v>
      </c>
      <c r="E44" s="31">
        <f>IFERROR(__xludf.DUMMYFUNCTION("""COMPUTED_VALUE"""),95.67157375152846)</f>
        <v>95.67157375</v>
      </c>
      <c r="F44" s="31">
        <f>IFERROR(__xludf.DUMMYFUNCTION("""COMPUTED_VALUE"""),29.53320780850924)</f>
        <v>29.53320781</v>
      </c>
      <c r="G44" s="31">
        <f>IFERROR(__xludf.DUMMYFUNCTION("""COMPUTED_VALUE"""),75.69748839452286)</f>
        <v>75.69748839</v>
      </c>
      <c r="H44" s="31">
        <f>IFERROR(__xludf.DUMMYFUNCTION("""COMPUTED_VALUE"""),6.579010389337161)</f>
        <v>6.579010389</v>
      </c>
      <c r="I44" s="54">
        <f>IFERROR(__xludf.DUMMYFUNCTION("""COMPUTED_VALUE"""),41.0)</f>
        <v>41</v>
      </c>
      <c r="J44" s="55">
        <f>IFERROR(__xludf.DUMMYFUNCTION("""COMPUTED_VALUE"""),24.0)</f>
        <v>24</v>
      </c>
      <c r="K44" s="54">
        <f>IFERROR(__xludf.DUMMYFUNCTION("""COMPUTED_VALUE"""),17.0)</f>
        <v>17</v>
      </c>
      <c r="L44" s="56">
        <f>IFERROR(__xludf.DUMMYFUNCTION("""COMPUTED_VALUE"""),0.5853658536585366)</f>
        <v>0.5853658537</v>
      </c>
      <c r="M44" s="56">
        <f>IFERROR(__xludf.DUMMYFUNCTION("""COMPUTED_VALUE"""),0.37984496124031003)</f>
        <v>0.3798449612</v>
      </c>
      <c r="N44" s="31">
        <f>IFERROR(__xludf.DUMMYFUNCTION("""COMPUTED_VALUE"""),390.7560975609756)</f>
        <v>390.7560976</v>
      </c>
      <c r="O44" s="57">
        <f>IFERROR(__xludf.DUMMYFUNCTION("""COMPUTED_VALUE"""),1.1951219512195121)</f>
        <v>1.195121951</v>
      </c>
      <c r="P44" s="57">
        <f>IFERROR(__xludf.DUMMYFUNCTION("""COMPUTED_VALUE"""),0.7560975609756098)</f>
        <v>0.756097561</v>
      </c>
      <c r="Q44" s="57">
        <f>IFERROR(__xludf.DUMMYFUNCTION("""COMPUTED_VALUE"""),1.1219512195121952)</f>
        <v>1.12195122</v>
      </c>
      <c r="R44" s="57">
        <f>IFERROR(__xludf.DUMMYFUNCTION("""COMPUTED_VALUE"""),3.1463414634146343)</f>
        <v>3.146341463</v>
      </c>
      <c r="S44" s="31">
        <f>IFERROR(__xludf.DUMMYFUNCTION("""COMPUTED_VALUE"""),338.99186991869914)</f>
        <v>338.9918699</v>
      </c>
      <c r="T44" s="57">
        <f>IFERROR(__xludf.DUMMYFUNCTION("""COMPUTED_VALUE"""),0.6910569105691057)</f>
        <v>0.6910569106</v>
      </c>
      <c r="U44" s="57">
        <f>IFERROR(__xludf.DUMMYFUNCTION("""COMPUTED_VALUE"""),0.5121951219512196)</f>
        <v>0.512195122</v>
      </c>
      <c r="V44" s="57">
        <f>IFERROR(__xludf.DUMMYFUNCTION("""COMPUTED_VALUE"""),1.3739837398373989)</f>
        <v>1.37398374</v>
      </c>
      <c r="W44" s="57">
        <f>IFERROR(__xludf.DUMMYFUNCTION("""COMPUTED_VALUE"""),2.3983739837398375)</f>
        <v>2.398373984</v>
      </c>
      <c r="X44" s="31">
        <f>IFERROR(__xludf.DUMMYFUNCTION("""COMPUTED_VALUE"""),330.30979721668996)</f>
        <v>330.3097972</v>
      </c>
      <c r="Y44" s="57">
        <f>IFERROR(__xludf.DUMMYFUNCTION("""COMPUTED_VALUE"""),0.7659884007425932)</f>
        <v>0.7659884007</v>
      </c>
      <c r="Z44" s="57">
        <f>IFERROR(__xludf.DUMMYFUNCTION("""COMPUTED_VALUE"""),0.5234111628127969)</f>
        <v>0.5234111628</v>
      </c>
      <c r="AA44" s="57">
        <f>IFERROR(__xludf.DUMMYFUNCTION("""COMPUTED_VALUE"""),1.2043110726128907)</f>
        <v>1.204311073</v>
      </c>
      <c r="AB44" s="57">
        <f>IFERROR(__xludf.DUMMYFUNCTION("""COMPUTED_VALUE"""),2.4113771518337153)</f>
        <v>2.411377152</v>
      </c>
      <c r="AC44" s="31">
        <f>IFERROR(__xludf.DUMMYFUNCTION("""COMPUTED_VALUE"""),334.4636834624381)</f>
        <v>334.4636835</v>
      </c>
      <c r="AD44" s="57">
        <f>IFERROR(__xludf.DUMMYFUNCTION("""COMPUTED_VALUE"""),0.7844286176339974)</f>
        <v>0.7844286176</v>
      </c>
      <c r="AE44" s="57">
        <f>IFERROR(__xludf.DUMMYFUNCTION("""COMPUTED_VALUE"""),0.5579608569458324)</f>
        <v>0.5579608569</v>
      </c>
      <c r="AF44" s="57">
        <f>IFERROR(__xludf.DUMMYFUNCTION("""COMPUTED_VALUE"""),1.2102622150834148)</f>
        <v>1.210262215</v>
      </c>
      <c r="AG44" s="57">
        <f>IFERROR(__xludf.DUMMYFUNCTION("""COMPUTED_VALUE"""),2.43151874481853)</f>
        <v>2.431518745</v>
      </c>
      <c r="AH44" s="57">
        <f>IFERROR(__xludf.DUMMYFUNCTION("""COMPUTED_VALUE"""),1.168306506451722)</f>
        <v>1.168306506</v>
      </c>
      <c r="AI44" s="57">
        <f>IFERROR(__xludf.DUMMYFUNCTION("""COMPUTED_VALUE"""),1.5235573057294272)</f>
        <v>1.523557306</v>
      </c>
      <c r="AJ44" s="57">
        <f>IFERROR(__xludf.DUMMYFUNCTION("""COMPUTED_VALUE"""),1.3551086094360427)</f>
        <v>1.355108609</v>
      </c>
      <c r="AK44" s="57">
        <f>IFERROR(__xludf.DUMMYFUNCTION("""COMPUTED_VALUE"""),0.9270315188968096)</f>
        <v>0.9270315189</v>
      </c>
      <c r="AL44" s="57">
        <f>IFERROR(__xludf.DUMMYFUNCTION("""COMPUTED_VALUE"""),1.2939819897006195)</f>
        <v>1.29398199</v>
      </c>
      <c r="AM44" s="57">
        <f>IFERROR(__xludf.DUMMYFUNCTION("""COMPUTED_VALUE"""),1.026284635742468)</f>
        <v>1.026284636</v>
      </c>
      <c r="AN44" s="57">
        <f>IFERROR(__xludf.DUMMYFUNCTION("""COMPUTED_VALUE"""),0.902176729959821)</f>
        <v>0.90217673</v>
      </c>
      <c r="AO44" s="57">
        <f>IFERROR(__xludf.DUMMYFUNCTION("""COMPUTED_VALUE"""),0.9785712616419899)</f>
        <v>0.9785712616</v>
      </c>
      <c r="AP44" s="35">
        <f>IFERROR(__xludf.DUMMYFUNCTION("""COMPUTED_VALUE"""),1.1408877416167766)</f>
        <v>1.140887742</v>
      </c>
      <c r="AQ44" s="57">
        <f>IFERROR(__xludf.DUMMYFUNCTION("""COMPUTED_VALUE"""),0.9946075759720997)</f>
        <v>0.994607576</v>
      </c>
      <c r="AR44" s="36" t="b">
        <f>IFERROR(__xludf.DUMMYFUNCTION("""COMPUTED_VALUE"""),TRUE)</f>
        <v>1</v>
      </c>
      <c r="AS44" s="57"/>
      <c r="AT44" s="37"/>
      <c r="AU44" s="30"/>
      <c r="AV44" s="30"/>
      <c r="AW44" s="30"/>
      <c r="AX44" s="30"/>
      <c r="AY44" s="30"/>
      <c r="AZ44" s="30"/>
    </row>
    <row r="45">
      <c r="A45" s="30" t="str">
        <f>IFERROR(__xludf.DUMMYFUNCTION("""COMPUTED_VALUE"""),"Challenger")</f>
        <v>Challenger</v>
      </c>
      <c r="B45" s="30" t="str">
        <f>IFERROR(__xludf.DUMMYFUNCTION("""COMPUTED_VALUE"""),"RSC006976")</f>
        <v>RSC006976</v>
      </c>
      <c r="C45" s="30" t="str">
        <f>IFERROR(__xludf.DUMMYFUNCTION("""COMPUTED_VALUE"""),"Slendda")</f>
        <v>Slendda</v>
      </c>
      <c r="D45" s="31" t="str">
        <f>IFERROR(__xludf.DUMMYFUNCTION("""COMPUTED_VALUE"""),"Meat Lovers")</f>
        <v>Meat Lovers</v>
      </c>
      <c r="E45" s="31">
        <f>IFERROR(__xludf.DUMMYFUNCTION("""COMPUTED_VALUE"""),90.82878391721215)</f>
        <v>90.82878392</v>
      </c>
      <c r="F45" s="31">
        <f>IFERROR(__xludf.DUMMYFUNCTION("""COMPUTED_VALUE"""),19.52416341392447)</f>
        <v>19.52416341</v>
      </c>
      <c r="G45" s="31">
        <f>IFERROR(__xludf.DUMMYFUNCTION("""COMPUTED_VALUE"""),82.61429350846385)</f>
        <v>82.61429351</v>
      </c>
      <c r="H45" s="31">
        <f>IFERROR(__xludf.DUMMYFUNCTION("""COMPUTED_VALUE"""),10.41456659917782)</f>
        <v>10.4145666</v>
      </c>
      <c r="I45" s="54">
        <f>IFERROR(__xludf.DUMMYFUNCTION("""COMPUTED_VALUE"""),48.0)</f>
        <v>48</v>
      </c>
      <c r="J45" s="55">
        <f>IFERROR(__xludf.DUMMYFUNCTION("""COMPUTED_VALUE"""),35.0)</f>
        <v>35</v>
      </c>
      <c r="K45" s="54">
        <f>IFERROR(__xludf.DUMMYFUNCTION("""COMPUTED_VALUE"""),13.0)</f>
        <v>13</v>
      </c>
      <c r="L45" s="56">
        <f>IFERROR(__xludf.DUMMYFUNCTION("""COMPUTED_VALUE"""),0.7291666666666666)</f>
        <v>0.7291666667</v>
      </c>
      <c r="M45" s="56">
        <f>IFERROR(__xludf.DUMMYFUNCTION("""COMPUTED_VALUE"""),0.4057971014492754)</f>
        <v>0.4057971014</v>
      </c>
      <c r="N45" s="31">
        <f>IFERROR(__xludf.DUMMYFUNCTION("""COMPUTED_VALUE"""),394.0625)</f>
        <v>394.0625</v>
      </c>
      <c r="O45" s="57">
        <f>IFERROR(__xludf.DUMMYFUNCTION("""COMPUTED_VALUE"""),1.1666666666666667)</f>
        <v>1.166666667</v>
      </c>
      <c r="P45" s="57">
        <f>IFERROR(__xludf.DUMMYFUNCTION("""COMPUTED_VALUE"""),0.7291666666666666)</f>
        <v>0.7291666667</v>
      </c>
      <c r="Q45" s="57">
        <f>IFERROR(__xludf.DUMMYFUNCTION("""COMPUTED_VALUE"""),1.0625)</f>
        <v>1.0625</v>
      </c>
      <c r="R45" s="57">
        <f>IFERROR(__xludf.DUMMYFUNCTION("""COMPUTED_VALUE"""),2.875)</f>
        <v>2.875</v>
      </c>
      <c r="S45" s="31">
        <f>IFERROR(__xludf.DUMMYFUNCTION("""COMPUTED_VALUE"""),311.46527777777777)</f>
        <v>311.4652778</v>
      </c>
      <c r="T45" s="57">
        <f>IFERROR(__xludf.DUMMYFUNCTION("""COMPUTED_VALUE"""),0.6180555555555555)</f>
        <v>0.6180555556</v>
      </c>
      <c r="U45" s="57">
        <f>IFERROR(__xludf.DUMMYFUNCTION("""COMPUTED_VALUE"""),0.47222222222222215)</f>
        <v>0.4722222222</v>
      </c>
      <c r="V45" s="57">
        <f>IFERROR(__xludf.DUMMYFUNCTION("""COMPUTED_VALUE"""),1.2430555555555556)</f>
        <v>1.243055556</v>
      </c>
      <c r="W45" s="57">
        <f>IFERROR(__xludf.DUMMYFUNCTION("""COMPUTED_VALUE"""),2.1944444444444446)</f>
        <v>2.194444444</v>
      </c>
      <c r="X45" s="31">
        <f>IFERROR(__xludf.DUMMYFUNCTION("""COMPUTED_VALUE"""),320.7985271859124)</f>
        <v>320.7985272</v>
      </c>
      <c r="Y45" s="57">
        <f>IFERROR(__xludf.DUMMYFUNCTION("""COMPUTED_VALUE"""),0.6927744006948034)</f>
        <v>0.6927744007</v>
      </c>
      <c r="Z45" s="57">
        <f>IFERROR(__xludf.DUMMYFUNCTION("""COMPUTED_VALUE"""),0.5001332104731209)</f>
        <v>0.5001332105</v>
      </c>
      <c r="AA45" s="57">
        <f>IFERROR(__xludf.DUMMYFUNCTION("""COMPUTED_VALUE"""),1.2206984387092092)</f>
        <v>1.220698439</v>
      </c>
      <c r="AB45" s="57">
        <f>IFERROR(__xludf.DUMMYFUNCTION("""COMPUTED_VALUE"""),2.3544470245117237)</f>
        <v>2.354447025</v>
      </c>
      <c r="AC45" s="31">
        <f>IFERROR(__xludf.DUMMYFUNCTION("""COMPUTED_VALUE"""),340.9583795718825)</f>
        <v>340.9583796</v>
      </c>
      <c r="AD45" s="57">
        <f>IFERROR(__xludf.DUMMYFUNCTION("""COMPUTED_VALUE"""),0.7885206256756102)</f>
        <v>0.7885206257</v>
      </c>
      <c r="AE45" s="57">
        <f>IFERROR(__xludf.DUMMYFUNCTION("""COMPUTED_VALUE"""),0.5656940376172195)</f>
        <v>0.5656940376</v>
      </c>
      <c r="AF45" s="57">
        <f>IFERROR(__xludf.DUMMYFUNCTION("""COMPUTED_VALUE"""),1.238478731049337)</f>
        <v>1.238478731</v>
      </c>
      <c r="AG45" s="57">
        <f>IFERROR(__xludf.DUMMYFUNCTION("""COMPUTED_VALUE"""),2.4809156416832656)</f>
        <v>2.480915642</v>
      </c>
      <c r="AH45" s="57">
        <f>IFERROR(__xludf.DUMMYFUNCTION("""COMPUTED_VALUE"""),1.1557495683044852)</f>
        <v>1.155749568</v>
      </c>
      <c r="AI45" s="57">
        <f>IFERROR(__xludf.DUMMYFUNCTION("""COMPUTED_VALUE"""),1.4795639184036034)</f>
        <v>1.479563918</v>
      </c>
      <c r="AJ45" s="57">
        <f>IFERROR(__xludf.DUMMYFUNCTION("""COMPUTED_VALUE"""),1.2889771116167605)</f>
        <v>1.288977112</v>
      </c>
      <c r="AK45" s="57">
        <f>IFERROR(__xludf.DUMMYFUNCTION("""COMPUTED_VALUE"""),0.8579073450052437)</f>
        <v>0.857907345</v>
      </c>
      <c r="AL45" s="57">
        <f>IFERROR(__xludf.DUMMYFUNCTION("""COMPUTED_VALUE"""),1.158846335480135)</f>
        <v>1.158846335</v>
      </c>
      <c r="AM45" s="57">
        <f>IFERROR(__xludf.DUMMYFUNCTION("""COMPUTED_VALUE"""),0.9709061962035576)</f>
        <v>0.9709061962</v>
      </c>
      <c r="AN45" s="57">
        <f>IFERROR(__xludf.DUMMYFUNCTION("""COMPUTED_VALUE"""),0.8921454876734616)</f>
        <v>0.8921454877</v>
      </c>
      <c r="AO45" s="57">
        <f>IFERROR(__xludf.DUMMYFUNCTION("""COMPUTED_VALUE"""),0.944192891680808)</f>
        <v>0.9441928917</v>
      </c>
      <c r="AP45" s="35">
        <f>IFERROR(__xludf.DUMMYFUNCTION("""COMPUTED_VALUE"""),1.0183150204320628)</f>
        <v>1.01831502</v>
      </c>
      <c r="AQ45" s="57">
        <f>IFERROR(__xludf.DUMMYFUNCTION("""COMPUTED_VALUE"""),0.9320423953473911)</f>
        <v>0.9320423953</v>
      </c>
      <c r="AR45" s="36" t="b">
        <f>IFERROR(__xludf.DUMMYFUNCTION("""COMPUTED_VALUE"""),TRUE)</f>
        <v>1</v>
      </c>
      <c r="AS45" s="57"/>
      <c r="AT45" s="37"/>
      <c r="AU45" s="30"/>
      <c r="AV45" s="30"/>
      <c r="AW45" s="30"/>
      <c r="AX45" s="30"/>
      <c r="AY45" s="30"/>
      <c r="AZ45" s="30"/>
    </row>
    <row r="46">
      <c r="A46" s="30" t="str">
        <f>IFERROR(__xludf.DUMMYFUNCTION("""COMPUTED_VALUE"""),"Challenger")</f>
        <v>Challenger</v>
      </c>
      <c r="B46" s="30" t="str">
        <f>IFERROR(__xludf.DUMMYFUNCTION("""COMPUTED_VALUE"""),"RSC005696")</f>
        <v>RSC005696</v>
      </c>
      <c r="C46" s="30" t="str">
        <f>IFERROR(__xludf.DUMMYFUNCTION("""COMPUTED_VALUE"""),"Jack.flv")</f>
        <v>Jack.flv</v>
      </c>
      <c r="D46" s="31"/>
      <c r="E46" s="31">
        <f>IFERROR(__xludf.DUMMYFUNCTION("""COMPUTED_VALUE"""),88.48313168572875)</f>
        <v>88.48313169</v>
      </c>
      <c r="F46" s="31">
        <f>IFERROR(__xludf.DUMMYFUNCTION("""COMPUTED_VALUE"""),16.164893764924273)</f>
        <v>16.16489376</v>
      </c>
      <c r="G46" s="31">
        <f>IFERROR(__xludf.DUMMYFUNCTION("""COMPUTED_VALUE"""),84.71624214982134)</f>
        <v>84.71624215</v>
      </c>
      <c r="H46" s="31">
        <f>IFERROR(__xludf.DUMMYFUNCTION("""COMPUTED_VALUE"""),12.125672840790148)</f>
        <v>12.12567284</v>
      </c>
      <c r="I46" s="54">
        <f>IFERROR(__xludf.DUMMYFUNCTION("""COMPUTED_VALUE"""),2.0)</f>
        <v>2</v>
      </c>
      <c r="J46" s="55">
        <f>IFERROR(__xludf.DUMMYFUNCTION("""COMPUTED_VALUE"""),1.0)</f>
        <v>1</v>
      </c>
      <c r="K46" s="54">
        <f>IFERROR(__xludf.DUMMYFUNCTION("""COMPUTED_VALUE"""),1.0)</f>
        <v>1</v>
      </c>
      <c r="L46" s="56">
        <f>IFERROR(__xludf.DUMMYFUNCTION("""COMPUTED_VALUE"""),0.5)</f>
        <v>0.5</v>
      </c>
      <c r="M46" s="56">
        <f>IFERROR(__xludf.DUMMYFUNCTION("""COMPUTED_VALUE"""),0.3333333333333333)</f>
        <v>0.3333333333</v>
      </c>
      <c r="N46" s="31">
        <f>IFERROR(__xludf.DUMMYFUNCTION("""COMPUTED_VALUE"""),330.0)</f>
        <v>330</v>
      </c>
      <c r="O46" s="57">
        <f>IFERROR(__xludf.DUMMYFUNCTION("""COMPUTED_VALUE"""),1.0)</f>
        <v>1</v>
      </c>
      <c r="P46" s="57">
        <f>IFERROR(__xludf.DUMMYFUNCTION("""COMPUTED_VALUE"""),0.5)</f>
        <v>0.5</v>
      </c>
      <c r="Q46" s="57">
        <f>IFERROR(__xludf.DUMMYFUNCTION("""COMPUTED_VALUE"""),0.5)</f>
        <v>0.5</v>
      </c>
      <c r="R46" s="57">
        <f>IFERROR(__xludf.DUMMYFUNCTION("""COMPUTED_VALUE"""),3.0)</f>
        <v>3</v>
      </c>
      <c r="S46" s="31">
        <f>IFERROR(__xludf.DUMMYFUNCTION("""COMPUTED_VALUE"""),336.0)</f>
        <v>336</v>
      </c>
      <c r="T46" s="57">
        <f>IFERROR(__xludf.DUMMYFUNCTION("""COMPUTED_VALUE"""),0.6666666666666666)</f>
        <v>0.6666666667</v>
      </c>
      <c r="U46" s="57">
        <f>IFERROR(__xludf.DUMMYFUNCTION("""COMPUTED_VALUE"""),0.3333333333333333)</f>
        <v>0.3333333333</v>
      </c>
      <c r="V46" s="57">
        <f>IFERROR(__xludf.DUMMYFUNCTION("""COMPUTED_VALUE"""),1.5)</f>
        <v>1.5</v>
      </c>
      <c r="W46" s="57">
        <f>IFERROR(__xludf.DUMMYFUNCTION("""COMPUTED_VALUE"""),1.8333333333333335)</f>
        <v>1.833333333</v>
      </c>
      <c r="X46" s="31">
        <f>IFERROR(__xludf.DUMMYFUNCTION("""COMPUTED_VALUE"""),349.4618055555556)</f>
        <v>349.4618056</v>
      </c>
      <c r="Y46" s="57">
        <f>IFERROR(__xludf.DUMMYFUNCTION("""COMPUTED_VALUE"""),0.821886446886447)</f>
        <v>0.8218864469</v>
      </c>
      <c r="Z46" s="57">
        <f>IFERROR(__xludf.DUMMYFUNCTION("""COMPUTED_VALUE"""),0.5220161782661783)</f>
        <v>0.5220161783</v>
      </c>
      <c r="AA46" s="57">
        <f>IFERROR(__xludf.DUMMYFUNCTION("""COMPUTED_VALUE"""),1.1602564102564101)</f>
        <v>1.16025641</v>
      </c>
      <c r="AB46" s="57">
        <f>IFERROR(__xludf.DUMMYFUNCTION("""COMPUTED_VALUE"""),2.7256562881562885)</f>
        <v>2.725656288</v>
      </c>
      <c r="AC46" s="31">
        <f>IFERROR(__xludf.DUMMYFUNCTION("""COMPUTED_VALUE"""),316.5898962148961)</f>
        <v>316.5898962</v>
      </c>
      <c r="AD46" s="57">
        <f>IFERROR(__xludf.DUMMYFUNCTION("""COMPUTED_VALUE"""),0.6202304639804638)</f>
        <v>0.620230464</v>
      </c>
      <c r="AE46" s="57">
        <f>IFERROR(__xludf.DUMMYFUNCTION("""COMPUTED_VALUE"""),0.41035816035816036)</f>
        <v>0.4103581604</v>
      </c>
      <c r="AF46" s="57">
        <f>IFERROR(__xludf.DUMMYFUNCTION("""COMPUTED_VALUE"""),1.3856583231583233)</f>
        <v>1.385658323</v>
      </c>
      <c r="AG46" s="57">
        <f>IFERROR(__xludf.DUMMYFUNCTION("""COMPUTED_VALUE"""),2.1517857142857144)</f>
        <v>2.151785714</v>
      </c>
      <c r="AH46" s="57">
        <f>IFERROR(__xludf.DUMMYFUNCTION("""COMPUTED_VALUE"""),1.0423579651322838)</f>
        <v>1.042357965</v>
      </c>
      <c r="AI46" s="57">
        <f>IFERROR(__xludf.DUMMYFUNCTION("""COMPUTED_VALUE"""),1.6123039064903113)</f>
        <v>1.612303906</v>
      </c>
      <c r="AJ46" s="57">
        <f>IFERROR(__xludf.DUMMYFUNCTION("""COMPUTED_VALUE"""),1.2184478056037689)</f>
        <v>1.218447806</v>
      </c>
      <c r="AK46" s="57">
        <f>IFERROR(__xludf.DUMMYFUNCTION("""COMPUTED_VALUE"""),0.3608393148899455)</f>
        <v>0.3608393149</v>
      </c>
      <c r="AL46" s="57">
        <f>IFERROR(__xludf.DUMMYFUNCTION("""COMPUTED_VALUE"""),1.3941908713692945)</f>
        <v>1.394190871</v>
      </c>
      <c r="AM46" s="57">
        <f>IFERROR(__xludf.DUMMYFUNCTION("""COMPUTED_VALUE"""),0.9614784639077946)</f>
        <v>0.9614784639</v>
      </c>
      <c r="AN46" s="57">
        <f>IFERROR(__xludf.DUMMYFUNCTION("""COMPUTED_VALUE"""),0.8111420612813369)</f>
        <v>0.8111420613</v>
      </c>
      <c r="AO46" s="57">
        <f>IFERROR(__xludf.DUMMYFUNCTION("""COMPUTED_VALUE"""),0.6385498136101161)</f>
        <v>0.6385498136</v>
      </c>
      <c r="AP46" s="35">
        <f>IFERROR(__xludf.DUMMYFUNCTION("""COMPUTED_VALUE"""),1.292817679558011)</f>
        <v>1.29281768</v>
      </c>
      <c r="AQ46" s="57">
        <f>IFERROR(__xludf.DUMMYFUNCTION("""COMPUTED_VALUE"""),0.6726208808130582)</f>
        <v>0.6726208808</v>
      </c>
      <c r="AR46" s="36" t="b">
        <f>IFERROR(__xludf.DUMMYFUNCTION("""COMPUTED_VALUE"""),TRUE)</f>
        <v>1</v>
      </c>
      <c r="AS46" s="57"/>
      <c r="AT46" s="37"/>
      <c r="AU46" s="30"/>
      <c r="AV46" s="30"/>
      <c r="AW46" s="30"/>
      <c r="AX46" s="30"/>
      <c r="AY46" s="30"/>
      <c r="AZ46" s="30"/>
    </row>
    <row r="47">
      <c r="A47" s="30" t="str">
        <f>IFERROR(__xludf.DUMMYFUNCTION("""COMPUTED_VALUE"""),"Challenger")</f>
        <v>Challenger</v>
      </c>
      <c r="B47" s="30" t="str">
        <f>IFERROR(__xludf.DUMMYFUNCTION("""COMPUTED_VALUE"""),"RSC004679")</f>
        <v>RSC004679</v>
      </c>
      <c r="C47" s="30" t="str">
        <f>IFERROR(__xludf.DUMMYFUNCTION("""COMPUTED_VALUE"""),"master_ibk810")</f>
        <v>master_ibk810</v>
      </c>
      <c r="D47" s="31" t="str">
        <f>IFERROR(__xludf.DUMMYFUNCTION("""COMPUTED_VALUE"""),"Squalls")</f>
        <v>Squalls</v>
      </c>
      <c r="E47" s="31">
        <f>IFERROR(__xludf.DUMMYFUNCTION("""COMPUTED_VALUE"""),86.39604245896828)</f>
        <v>86.39604246</v>
      </c>
      <c r="F47" s="31">
        <f>IFERROR(__xludf.DUMMYFUNCTION("""COMPUTED_VALUE"""),13.751716883166392)</f>
        <v>13.75171688</v>
      </c>
      <c r="G47" s="31">
        <f>IFERROR(__xludf.DUMMYFUNCTION("""COMPUTED_VALUE"""),72.15423900995421)</f>
        <v>72.15423901</v>
      </c>
      <c r="H47" s="31">
        <f>IFERROR(__xludf.DUMMYFUNCTION("""COMPUTED_VALUE"""),5.32586059948508)</f>
        <v>5.325860599</v>
      </c>
      <c r="I47" s="54">
        <f>IFERROR(__xludf.DUMMYFUNCTION("""COMPUTED_VALUE"""),39.0)</f>
        <v>39</v>
      </c>
      <c r="J47" s="55">
        <f>IFERROR(__xludf.DUMMYFUNCTION("""COMPUTED_VALUE"""),27.0)</f>
        <v>27</v>
      </c>
      <c r="K47" s="54">
        <f>IFERROR(__xludf.DUMMYFUNCTION("""COMPUTED_VALUE"""),12.0)</f>
        <v>12</v>
      </c>
      <c r="L47" s="56">
        <f>IFERROR(__xludf.DUMMYFUNCTION("""COMPUTED_VALUE"""),0.6923076923076923)</f>
        <v>0.6923076923</v>
      </c>
      <c r="M47" s="56">
        <f>IFERROR(__xludf.DUMMYFUNCTION("""COMPUTED_VALUE"""),0.3553719008264463)</f>
        <v>0.3553719008</v>
      </c>
      <c r="N47" s="31">
        <f>IFERROR(__xludf.DUMMYFUNCTION("""COMPUTED_VALUE"""),360.0)</f>
        <v>360</v>
      </c>
      <c r="O47" s="57">
        <f>IFERROR(__xludf.DUMMYFUNCTION("""COMPUTED_VALUE"""),1.1025641025641026)</f>
        <v>1.102564103</v>
      </c>
      <c r="P47" s="57">
        <f>IFERROR(__xludf.DUMMYFUNCTION("""COMPUTED_VALUE"""),0.48717948717948717)</f>
        <v>0.4871794872</v>
      </c>
      <c r="Q47" s="57">
        <f>IFERROR(__xludf.DUMMYFUNCTION("""COMPUTED_VALUE"""),0.8974358974358975)</f>
        <v>0.8974358974</v>
      </c>
      <c r="R47" s="57">
        <f>IFERROR(__xludf.DUMMYFUNCTION("""COMPUTED_VALUE"""),3.1025641025641026)</f>
        <v>3.102564103</v>
      </c>
      <c r="S47" s="31">
        <f>IFERROR(__xludf.DUMMYFUNCTION("""COMPUTED_VALUE"""),305.47008547008545)</f>
        <v>305.4700855</v>
      </c>
      <c r="T47" s="57">
        <f>IFERROR(__xludf.DUMMYFUNCTION("""COMPUTED_VALUE"""),0.5982905982905982)</f>
        <v>0.5982905983</v>
      </c>
      <c r="U47" s="57">
        <f>IFERROR(__xludf.DUMMYFUNCTION("""COMPUTED_VALUE"""),0.4017094017094017)</f>
        <v>0.4017094017</v>
      </c>
      <c r="V47" s="57">
        <f>IFERROR(__xludf.DUMMYFUNCTION("""COMPUTED_VALUE"""),1.3504273504273505)</f>
        <v>1.35042735</v>
      </c>
      <c r="W47" s="57">
        <f>IFERROR(__xludf.DUMMYFUNCTION("""COMPUTED_VALUE"""),2.111111111111111)</f>
        <v>2.111111111</v>
      </c>
      <c r="X47" s="31">
        <f>IFERROR(__xludf.DUMMYFUNCTION("""COMPUTED_VALUE"""),340.12042778953673)</f>
        <v>340.1204278</v>
      </c>
      <c r="Y47" s="57">
        <f>IFERROR(__xludf.DUMMYFUNCTION("""COMPUTED_VALUE"""),0.8050092786830941)</f>
        <v>0.8050092787</v>
      </c>
      <c r="Z47" s="57">
        <f>IFERROR(__xludf.DUMMYFUNCTION("""COMPUTED_VALUE"""),0.564903857856575)</f>
        <v>0.5649038579</v>
      </c>
      <c r="AA47" s="57">
        <f>IFERROR(__xludf.DUMMYFUNCTION("""COMPUTED_VALUE"""),1.224876559584944)</f>
        <v>1.22487656</v>
      </c>
      <c r="AB47" s="57">
        <f>IFERROR(__xludf.DUMMYFUNCTION("""COMPUTED_VALUE"""),2.422130717290888)</f>
        <v>2.422130717</v>
      </c>
      <c r="AC47" s="31">
        <f>IFERROR(__xludf.DUMMYFUNCTION("""COMPUTED_VALUE"""),328.27473736781997)</f>
        <v>328.2747374</v>
      </c>
      <c r="AD47" s="57">
        <f>IFERROR(__xludf.DUMMYFUNCTION("""COMPUTED_VALUE"""),0.7474292136332656)</f>
        <v>0.7474292136</v>
      </c>
      <c r="AE47" s="57">
        <f>IFERROR(__xludf.DUMMYFUNCTION("""COMPUTED_VALUE"""),0.5078977840761604)</f>
        <v>0.5078977841</v>
      </c>
      <c r="AF47" s="57">
        <f>IFERROR(__xludf.DUMMYFUNCTION("""COMPUTED_VALUE"""),1.192059667964729)</f>
        <v>1.192059668</v>
      </c>
      <c r="AG47" s="57">
        <f>IFERROR(__xludf.DUMMYFUNCTION("""COMPUTED_VALUE"""),2.4034983571655166)</f>
        <v>2.403498357</v>
      </c>
      <c r="AH47" s="57">
        <f>IFERROR(__xludf.DUMMYFUNCTION("""COMPUTED_VALUE"""),1.0966424126527685)</f>
        <v>1.096642413</v>
      </c>
      <c r="AI47" s="57">
        <f>IFERROR(__xludf.DUMMYFUNCTION("""COMPUTED_VALUE"""),1.4751418361138449)</f>
        <v>1.475141836</v>
      </c>
      <c r="AJ47" s="57">
        <f>IFERROR(__xludf.DUMMYFUNCTION("""COMPUTED_VALUE"""),0.9592077430809061)</f>
        <v>0.9592077431</v>
      </c>
      <c r="AK47" s="57">
        <f>IFERROR(__xludf.DUMMYFUNCTION("""COMPUTED_VALUE"""),0.7528447791276595)</f>
        <v>0.7528447791</v>
      </c>
      <c r="AL47" s="57">
        <f>IFERROR(__xludf.DUMMYFUNCTION("""COMPUTED_VALUE"""),1.2908534317547882)</f>
        <v>1.290853432</v>
      </c>
      <c r="AM47" s="57">
        <f>IFERROR(__xludf.DUMMYFUNCTION("""COMPUTED_VALUE"""),0.8981233131316282)</f>
        <v>0.8981233131</v>
      </c>
      <c r="AN47" s="57">
        <f>IFERROR(__xludf.DUMMYFUNCTION("""COMPUTED_VALUE"""),0.7432095680553338)</f>
        <v>0.7432095681</v>
      </c>
      <c r="AO47" s="57">
        <f>IFERROR(__xludf.DUMMYFUNCTION("""COMPUTED_VALUE"""),0.7111110963795061)</f>
        <v>0.7111110964</v>
      </c>
      <c r="AP47" s="35">
        <f>IFERROR(__xludf.DUMMYFUNCTION("""COMPUTED_VALUE"""),1.102500770269414)</f>
        <v>1.10250077</v>
      </c>
      <c r="AQ47" s="57">
        <f>IFERROR(__xludf.DUMMYFUNCTION("""COMPUTED_VALUE"""),0.871592559410812)</f>
        <v>0.8715925594</v>
      </c>
      <c r="AR47" s="36" t="b">
        <f>IFERROR(__xludf.DUMMYFUNCTION("""COMPUTED_VALUE"""),TRUE)</f>
        <v>1</v>
      </c>
      <c r="AS47" s="57"/>
      <c r="AT47" s="37"/>
      <c r="AU47" s="30"/>
      <c r="AV47" s="30"/>
      <c r="AW47" s="30"/>
      <c r="AX47" s="30"/>
      <c r="AY47" s="30"/>
      <c r="AZ47" s="30"/>
    </row>
    <row r="48">
      <c r="A48" s="30" t="str">
        <f>IFERROR(__xludf.DUMMYFUNCTION("""COMPUTED_VALUE"""),"Challenger")</f>
        <v>Challenger</v>
      </c>
      <c r="B48" s="30" t="str">
        <f>IFERROR(__xludf.DUMMYFUNCTION("""COMPUTED_VALUE"""),"RSC007256")</f>
        <v>RSC007256</v>
      </c>
      <c r="C48" s="30" t="str">
        <f>IFERROR(__xludf.DUMMYFUNCTION("""COMPUTED_VALUE"""),"Dark Odst RW7")</f>
        <v>Dark Odst RW7</v>
      </c>
      <c r="D48" s="31" t="str">
        <f>IFERROR(__xludf.DUMMYFUNCTION("""COMPUTED_VALUE"""),"Deceased")</f>
        <v>Deceased</v>
      </c>
      <c r="E48" s="31">
        <f>IFERROR(__xludf.DUMMYFUNCTION("""COMPUTED_VALUE"""),80.54984722790687)</f>
        <v>80.54984723</v>
      </c>
      <c r="F48" s="31">
        <f>IFERROR(__xludf.DUMMYFUNCTION("""COMPUTED_VALUE"""),9.020795454485505)</f>
        <v>9.020795454</v>
      </c>
      <c r="G48" s="31">
        <f>IFERROR(__xludf.DUMMYFUNCTION("""COMPUTED_VALUE"""),60.13647706628417)</f>
        <v>60.13647707</v>
      </c>
      <c r="H48" s="31">
        <f>IFERROR(__xludf.DUMMYFUNCTION("""COMPUTED_VALUE"""),2.919111042140621)</f>
        <v>2.919111042</v>
      </c>
      <c r="I48" s="54">
        <f>IFERROR(__xludf.DUMMYFUNCTION("""COMPUTED_VALUE"""),43.0)</f>
        <v>43</v>
      </c>
      <c r="J48" s="55">
        <f>IFERROR(__xludf.DUMMYFUNCTION("""COMPUTED_VALUE"""),27.0)</f>
        <v>27</v>
      </c>
      <c r="K48" s="54">
        <f>IFERROR(__xludf.DUMMYFUNCTION("""COMPUTED_VALUE"""),16.0)</f>
        <v>16</v>
      </c>
      <c r="L48" s="56">
        <f>IFERROR(__xludf.DUMMYFUNCTION("""COMPUTED_VALUE"""),0.627906976744186)</f>
        <v>0.6279069767</v>
      </c>
      <c r="M48" s="56">
        <f>IFERROR(__xludf.DUMMYFUNCTION("""COMPUTED_VALUE"""),0.3165467625899281)</f>
        <v>0.3165467626</v>
      </c>
      <c r="N48" s="31">
        <f>IFERROR(__xludf.DUMMYFUNCTION("""COMPUTED_VALUE"""),383.93023255813955)</f>
        <v>383.9302326</v>
      </c>
      <c r="O48" s="57">
        <f>IFERROR(__xludf.DUMMYFUNCTION("""COMPUTED_VALUE"""),1.0232558139534884)</f>
        <v>1.023255814</v>
      </c>
      <c r="P48" s="57">
        <f>IFERROR(__xludf.DUMMYFUNCTION("""COMPUTED_VALUE"""),0.6046511627906976)</f>
        <v>0.6046511628</v>
      </c>
      <c r="Q48" s="57">
        <f>IFERROR(__xludf.DUMMYFUNCTION("""COMPUTED_VALUE"""),1.302325581395349)</f>
        <v>1.302325581</v>
      </c>
      <c r="R48" s="57">
        <f>IFERROR(__xludf.DUMMYFUNCTION("""COMPUTED_VALUE"""),3.2325581395348837)</f>
        <v>3.23255814</v>
      </c>
      <c r="S48" s="31">
        <f>IFERROR(__xludf.DUMMYFUNCTION("""COMPUTED_VALUE"""),341.8449612403101)</f>
        <v>341.8449612</v>
      </c>
      <c r="T48" s="57">
        <f>IFERROR(__xludf.DUMMYFUNCTION("""COMPUTED_VALUE"""),0.6201550387596898)</f>
        <v>0.6201550388</v>
      </c>
      <c r="U48" s="57">
        <f>IFERROR(__xludf.DUMMYFUNCTION("""COMPUTED_VALUE"""),0.4573643410852712)</f>
        <v>0.4573643411</v>
      </c>
      <c r="V48" s="57">
        <f>IFERROR(__xludf.DUMMYFUNCTION("""COMPUTED_VALUE"""),1.5271317829457365)</f>
        <v>1.527131783</v>
      </c>
      <c r="W48" s="57">
        <f>IFERROR(__xludf.DUMMYFUNCTION("""COMPUTED_VALUE"""),2.2015503875969)</f>
        <v>2.201550388</v>
      </c>
      <c r="X48" s="31">
        <f>IFERROR(__xludf.DUMMYFUNCTION("""COMPUTED_VALUE"""),328.5208076008868)</f>
        <v>328.5208076</v>
      </c>
      <c r="Y48" s="57">
        <f>IFERROR(__xludf.DUMMYFUNCTION("""COMPUTED_VALUE"""),0.7384603253814702)</f>
        <v>0.7384603254</v>
      </c>
      <c r="Z48" s="57">
        <f>IFERROR(__xludf.DUMMYFUNCTION("""COMPUTED_VALUE"""),0.49640384155032385)</f>
        <v>0.4964038416</v>
      </c>
      <c r="AA48" s="57">
        <f>IFERROR(__xludf.DUMMYFUNCTION("""COMPUTED_VALUE"""),1.253598883975486)</f>
        <v>1.253598884</v>
      </c>
      <c r="AB48" s="57">
        <f>IFERROR(__xludf.DUMMYFUNCTION("""COMPUTED_VALUE"""),2.3286871967585294)</f>
        <v>2.328687197</v>
      </c>
      <c r="AC48" s="31">
        <f>IFERROR(__xludf.DUMMYFUNCTION("""COMPUTED_VALUE"""),344.774096291704)</f>
        <v>344.7740963</v>
      </c>
      <c r="AD48" s="57">
        <f>IFERROR(__xludf.DUMMYFUNCTION("""COMPUTED_VALUE"""),0.8412538187139801)</f>
        <v>0.8412538187</v>
      </c>
      <c r="AE48" s="57">
        <f>IFERROR(__xludf.DUMMYFUNCTION("""COMPUTED_VALUE"""),0.5871208854770756)</f>
        <v>0.5871208855</v>
      </c>
      <c r="AF48" s="57">
        <f>IFERROR(__xludf.DUMMYFUNCTION("""COMPUTED_VALUE"""),1.171081000310064)</f>
        <v>1.171081</v>
      </c>
      <c r="AG48" s="57">
        <f>IFERROR(__xludf.DUMMYFUNCTION("""COMPUTED_VALUE"""),2.598430194010124)</f>
        <v>2.598430194</v>
      </c>
      <c r="AH48" s="57">
        <f>IFERROR(__xludf.DUMMYFUNCTION("""COMPUTED_VALUE"""),1.113570412300658)</f>
        <v>1.113570412</v>
      </c>
      <c r="AI48" s="57">
        <f>IFERROR(__xludf.DUMMYFUNCTION("""COMPUTED_VALUE"""),1.2163461148000894)</f>
        <v>1.216346115</v>
      </c>
      <c r="AJ48" s="57">
        <f>IFERROR(__xludf.DUMMYFUNCTION("""COMPUTED_VALUE"""),1.029858037326295)</f>
        <v>1.029858037</v>
      </c>
      <c r="AK48" s="57">
        <f>IFERROR(__xludf.DUMMYFUNCTION("""COMPUTED_VALUE"""),1.1120713093718844)</f>
        <v>1.112071309</v>
      </c>
      <c r="AL48" s="57">
        <f>IFERROR(__xludf.DUMMYFUNCTION("""COMPUTED_VALUE"""),1.2440427097047075)</f>
        <v>1.24404271</v>
      </c>
      <c r="AM48" s="57">
        <f>IFERROR(__xludf.DUMMYFUNCTION("""COMPUTED_VALUE"""),1.0405580204697735)</f>
        <v>1.04055802</v>
      </c>
      <c r="AN48" s="57">
        <f>IFERROR(__xludf.DUMMYFUNCTION("""COMPUTED_VALUE"""),0.8397946611950116)</f>
        <v>0.8397946612</v>
      </c>
      <c r="AO48" s="57">
        <f>IFERROR(__xludf.DUMMYFUNCTION("""COMPUTED_VALUE"""),0.9213553619103189)</f>
        <v>0.9213553619</v>
      </c>
      <c r="AP48" s="35">
        <f>IFERROR(__xludf.DUMMYFUNCTION("""COMPUTED_VALUE"""),1.2181981034498108)</f>
        <v>1.218198103</v>
      </c>
      <c r="AQ48" s="57">
        <f>IFERROR(__xludf.DUMMYFUNCTION("""COMPUTED_VALUE"""),0.9454040846110201)</f>
        <v>0.9454040846</v>
      </c>
      <c r="AR48" s="36" t="b">
        <f>IFERROR(__xludf.DUMMYFUNCTION("""COMPUTED_VALUE"""),TRUE)</f>
        <v>1</v>
      </c>
      <c r="AS48" s="57"/>
      <c r="AT48" s="37"/>
      <c r="AU48" s="30"/>
      <c r="AV48" s="30"/>
      <c r="AW48" s="30"/>
      <c r="AX48" s="30"/>
      <c r="AY48" s="30"/>
      <c r="AZ48" s="30"/>
    </row>
    <row r="49">
      <c r="A49" s="30" t="str">
        <f>IFERROR(__xludf.DUMMYFUNCTION("""COMPUTED_VALUE"""),"Challenger")</f>
        <v>Challenger</v>
      </c>
      <c r="B49" s="30" t="str">
        <f>IFERROR(__xludf.DUMMYFUNCTION("""COMPUTED_VALUE"""),"RSC002841")</f>
        <v>RSC002841</v>
      </c>
      <c r="C49" s="30" t="str">
        <f>IFERROR(__xludf.DUMMYFUNCTION("""COMPUTED_VALUE"""),"dyl")</f>
        <v>dyl</v>
      </c>
      <c r="D49" s="31" t="str">
        <f>IFERROR(__xludf.DUMMYFUNCTION("""COMPUTED_VALUE"""),"Cassowaries")</f>
        <v>Cassowaries</v>
      </c>
      <c r="E49" s="31">
        <f>IFERROR(__xludf.DUMMYFUNCTION("""COMPUTED_VALUE"""),80.44859507665333)</f>
        <v>80.44859508</v>
      </c>
      <c r="F49" s="31">
        <f>IFERROR(__xludf.DUMMYFUNCTION("""COMPUTED_VALUE"""),8.958754072324439)</f>
        <v>8.958754072</v>
      </c>
      <c r="G49" s="31">
        <f>IFERROR(__xludf.DUMMYFUNCTION("""COMPUTED_VALUE"""),66.09206717725027)</f>
        <v>66.09206718</v>
      </c>
      <c r="H49" s="31">
        <f>IFERROR(__xludf.DUMMYFUNCTION("""COMPUTED_VALUE"""),3.8477727311143144)</f>
        <v>3.847772731</v>
      </c>
      <c r="I49" s="54">
        <f>IFERROR(__xludf.DUMMYFUNCTION("""COMPUTED_VALUE"""),46.0)</f>
        <v>46</v>
      </c>
      <c r="J49" s="55">
        <f>IFERROR(__xludf.DUMMYFUNCTION("""COMPUTED_VALUE"""),35.0)</f>
        <v>35</v>
      </c>
      <c r="K49" s="54">
        <f>IFERROR(__xludf.DUMMYFUNCTION("""COMPUTED_VALUE"""),11.0)</f>
        <v>11</v>
      </c>
      <c r="L49" s="56">
        <f>IFERROR(__xludf.DUMMYFUNCTION("""COMPUTED_VALUE"""),0.7608695652173914)</f>
        <v>0.7608695652</v>
      </c>
      <c r="M49" s="56">
        <f>IFERROR(__xludf.DUMMYFUNCTION("""COMPUTED_VALUE"""),0.40178571428571425)</f>
        <v>0.4017857143</v>
      </c>
      <c r="N49" s="31">
        <f>IFERROR(__xludf.DUMMYFUNCTION("""COMPUTED_VALUE"""),407.7391304347826)</f>
        <v>407.7391304</v>
      </c>
      <c r="O49" s="57">
        <f>IFERROR(__xludf.DUMMYFUNCTION("""COMPUTED_VALUE"""),0.9782608695652174)</f>
        <v>0.9782608696</v>
      </c>
      <c r="P49" s="57">
        <f>IFERROR(__xludf.DUMMYFUNCTION("""COMPUTED_VALUE"""),0.8043478260869565)</f>
        <v>0.8043478261</v>
      </c>
      <c r="Q49" s="57">
        <f>IFERROR(__xludf.DUMMYFUNCTION("""COMPUTED_VALUE"""),1.673913043478261)</f>
        <v>1.673913043</v>
      </c>
      <c r="R49" s="57">
        <f>IFERROR(__xludf.DUMMYFUNCTION("""COMPUTED_VALUE"""),2.4347826086956523)</f>
        <v>2.434782609</v>
      </c>
      <c r="S49" s="31">
        <f>IFERROR(__xludf.DUMMYFUNCTION("""COMPUTED_VALUE"""),314.66666666666663)</f>
        <v>314.6666667</v>
      </c>
      <c r="T49" s="57">
        <f>IFERROR(__xludf.DUMMYFUNCTION("""COMPUTED_VALUE"""),0.6666666666666666)</f>
        <v>0.6666666667</v>
      </c>
      <c r="U49" s="57">
        <f>IFERROR(__xludf.DUMMYFUNCTION("""COMPUTED_VALUE"""),0.44202898550724645)</f>
        <v>0.4420289855</v>
      </c>
      <c r="V49" s="57">
        <f>IFERROR(__xludf.DUMMYFUNCTION("""COMPUTED_VALUE"""),1.2681159420289854)</f>
        <v>1.268115942</v>
      </c>
      <c r="W49" s="57">
        <f>IFERROR(__xludf.DUMMYFUNCTION("""COMPUTED_VALUE"""),2.427536231884057)</f>
        <v>2.427536232</v>
      </c>
      <c r="X49" s="31">
        <f>IFERROR(__xludf.DUMMYFUNCTION("""COMPUTED_VALUE"""),320.8942274080723)</f>
        <v>320.8942274</v>
      </c>
      <c r="Y49" s="57">
        <f>IFERROR(__xludf.DUMMYFUNCTION("""COMPUTED_VALUE"""),0.7047648774661497)</f>
        <v>0.7047648775</v>
      </c>
      <c r="Z49" s="57">
        <f>IFERROR(__xludf.DUMMYFUNCTION("""COMPUTED_VALUE"""),0.48219022195168154)</f>
        <v>0.482190222</v>
      </c>
      <c r="AA49" s="57">
        <f>IFERROR(__xludf.DUMMYFUNCTION("""COMPUTED_VALUE"""),1.181006617417308)</f>
        <v>1.181006617</v>
      </c>
      <c r="AB49" s="57">
        <f>IFERROR(__xludf.DUMMYFUNCTION("""COMPUTED_VALUE"""),2.3723366581002345)</f>
        <v>2.372336658</v>
      </c>
      <c r="AC49" s="31">
        <f>IFERROR(__xludf.DUMMYFUNCTION("""COMPUTED_VALUE"""),339.8819164034656)</f>
        <v>339.8819164</v>
      </c>
      <c r="AD49" s="57">
        <f>IFERROR(__xludf.DUMMYFUNCTION("""COMPUTED_VALUE"""),0.8046269538749056)</f>
        <v>0.8046269539</v>
      </c>
      <c r="AE49" s="57">
        <f>IFERROR(__xludf.DUMMYFUNCTION("""COMPUTED_VALUE"""),0.5577828657727778)</f>
        <v>0.5577828658</v>
      </c>
      <c r="AF49" s="57">
        <f>IFERROR(__xludf.DUMMYFUNCTION("""COMPUTED_VALUE"""),1.2147871765848302)</f>
        <v>1.214787177</v>
      </c>
      <c r="AG49" s="57">
        <f>IFERROR(__xludf.DUMMYFUNCTION("""COMPUTED_VALUE"""),2.4662682651504517)</f>
        <v>2.466268265</v>
      </c>
      <c r="AH49" s="57">
        <f>IFERROR(__xludf.DUMMYFUNCTION("""COMPUTED_VALUE"""),1.1996493804358963)</f>
        <v>1.19964938</v>
      </c>
      <c r="AI49" s="57">
        <f>IFERROR(__xludf.DUMMYFUNCTION("""COMPUTED_VALUE"""),1.2157943067332373)</f>
        <v>1.215794307</v>
      </c>
      <c r="AJ49" s="57">
        <f>IFERROR(__xludf.DUMMYFUNCTION("""COMPUTED_VALUE"""),1.4420447013419395)</f>
        <v>1.442044701</v>
      </c>
      <c r="AK49" s="57">
        <f>IFERROR(__xludf.DUMMYFUNCTION("""COMPUTED_VALUE"""),1.3779475744748855)</f>
        <v>1.377947574</v>
      </c>
      <c r="AL49" s="57">
        <f>IFERROR(__xludf.DUMMYFUNCTION("""COMPUTED_VALUE"""),0.9872334827075762)</f>
        <v>0.9872334827</v>
      </c>
      <c r="AM49" s="57">
        <f>IFERROR(__xludf.DUMMYFUNCTION("""COMPUTED_VALUE"""),0.9805931044889559)</f>
        <v>0.9805931045</v>
      </c>
      <c r="AN49" s="57">
        <f>IFERROR(__xludf.DUMMYFUNCTION("""COMPUTED_VALUE"""),0.9459419559379036)</f>
        <v>0.9459419559</v>
      </c>
      <c r="AO49" s="57">
        <f>IFERROR(__xludf.DUMMYFUNCTION("""COMPUTED_VALUE"""),0.9167108028821466)</f>
        <v>0.9167108029</v>
      </c>
      <c r="AP49" s="35">
        <f>IFERROR(__xludf.DUMMYFUNCTION("""COMPUTED_VALUE"""),1.073758540660994)</f>
        <v>1.073758541</v>
      </c>
      <c r="AQ49" s="57">
        <f>IFERROR(__xludf.DUMMYFUNCTION("""COMPUTED_VALUE"""),1.0232680187254817)</f>
        <v>1.023268019</v>
      </c>
      <c r="AR49" s="36" t="b">
        <f>IFERROR(__xludf.DUMMYFUNCTION("""COMPUTED_VALUE"""),TRUE)</f>
        <v>1</v>
      </c>
      <c r="AS49" s="57"/>
      <c r="AT49" s="37"/>
      <c r="AU49" s="30"/>
      <c r="AV49" s="30"/>
      <c r="AW49" s="30"/>
      <c r="AX49" s="30"/>
      <c r="AY49" s="30"/>
      <c r="AZ49" s="30"/>
    </row>
    <row r="50">
      <c r="A50" s="30" t="str">
        <f>IFERROR(__xludf.DUMMYFUNCTION("""COMPUTED_VALUE"""),"Challenger")</f>
        <v>Challenger</v>
      </c>
      <c r="B50" s="30" t="str">
        <f>IFERROR(__xludf.DUMMYFUNCTION("""COMPUTED_VALUE"""),"RSC007093")</f>
        <v>RSC007093</v>
      </c>
      <c r="C50" s="30" t="str">
        <f>IFERROR(__xludf.DUMMYFUNCTION("""COMPUTED_VALUE"""),"Mangy")</f>
        <v>Mangy</v>
      </c>
      <c r="D50" s="31" t="str">
        <f>IFERROR(__xludf.DUMMYFUNCTION("""COMPUTED_VALUE"""),"Meat Lovers")</f>
        <v>Meat Lovers</v>
      </c>
      <c r="E50" s="31">
        <f>IFERROR(__xludf.DUMMYFUNCTION("""COMPUTED_VALUE"""),79.8976944011495)</f>
        <v>79.8976944</v>
      </c>
      <c r="F50" s="31">
        <f>IFERROR(__xludf.DUMMYFUNCTION("""COMPUTED_VALUE"""),8.630639059043792)</f>
        <v>8.630639059</v>
      </c>
      <c r="G50" s="31">
        <f>IFERROR(__xludf.DUMMYFUNCTION("""COMPUTED_VALUE"""),78.52620332333161)</f>
        <v>78.52620332</v>
      </c>
      <c r="H50" s="31">
        <f>IFERROR(__xludf.DUMMYFUNCTION("""COMPUTED_VALUE"""),7.878671811272044)</f>
        <v>7.878671811</v>
      </c>
      <c r="I50" s="54">
        <f>IFERROR(__xludf.DUMMYFUNCTION("""COMPUTED_VALUE"""),44.0)</f>
        <v>44</v>
      </c>
      <c r="J50" s="55">
        <f>IFERROR(__xludf.DUMMYFUNCTION("""COMPUTED_VALUE"""),33.0)</f>
        <v>33</v>
      </c>
      <c r="K50" s="54">
        <f>IFERROR(__xludf.DUMMYFUNCTION("""COMPUTED_VALUE"""),11.0)</f>
        <v>11</v>
      </c>
      <c r="L50" s="56">
        <f>IFERROR(__xludf.DUMMYFUNCTION("""COMPUTED_VALUE"""),0.75)</f>
        <v>0.75</v>
      </c>
      <c r="M50" s="56">
        <f>IFERROR(__xludf.DUMMYFUNCTION("""COMPUTED_VALUE"""),0.32)</f>
        <v>0.32</v>
      </c>
      <c r="N50" s="31">
        <f>IFERROR(__xludf.DUMMYFUNCTION("""COMPUTED_VALUE"""),383.0681818181818)</f>
        <v>383.0681818</v>
      </c>
      <c r="O50" s="57">
        <f>IFERROR(__xludf.DUMMYFUNCTION("""COMPUTED_VALUE"""),0.9090909090909091)</f>
        <v>0.9090909091</v>
      </c>
      <c r="P50" s="57">
        <f>IFERROR(__xludf.DUMMYFUNCTION("""COMPUTED_VALUE"""),0.7727272727272727)</f>
        <v>0.7727272727</v>
      </c>
      <c r="Q50" s="57">
        <f>IFERROR(__xludf.DUMMYFUNCTION("""COMPUTED_VALUE"""),1.3409090909090908)</f>
        <v>1.340909091</v>
      </c>
      <c r="R50" s="57">
        <f>IFERROR(__xludf.DUMMYFUNCTION("""COMPUTED_VALUE"""),2.840909090909091)</f>
        <v>2.840909091</v>
      </c>
      <c r="S50" s="31">
        <f>IFERROR(__xludf.DUMMYFUNCTION("""COMPUTED_VALUE"""),310.1969696969697)</f>
        <v>310.1969697</v>
      </c>
      <c r="T50" s="57">
        <f>IFERROR(__xludf.DUMMYFUNCTION("""COMPUTED_VALUE"""),0.6136363636363636)</f>
        <v>0.6136363636</v>
      </c>
      <c r="U50" s="57">
        <f>IFERROR(__xludf.DUMMYFUNCTION("""COMPUTED_VALUE"""),0.4696969696969697)</f>
        <v>0.4696969697</v>
      </c>
      <c r="V50" s="57">
        <f>IFERROR(__xludf.DUMMYFUNCTION("""COMPUTED_VALUE"""),1.2348484848484849)</f>
        <v>1.234848485</v>
      </c>
      <c r="W50" s="57">
        <f>IFERROR(__xludf.DUMMYFUNCTION("""COMPUTED_VALUE"""),2.212121212121212)</f>
        <v>2.212121212</v>
      </c>
      <c r="X50" s="31">
        <f>IFERROR(__xludf.DUMMYFUNCTION("""COMPUTED_VALUE"""),319.19423440276023)</f>
        <v>319.1942344</v>
      </c>
      <c r="Y50" s="57">
        <f>IFERROR(__xludf.DUMMYFUNCTION("""COMPUTED_VALUE"""),0.6823049595304428)</f>
        <v>0.6823049595</v>
      </c>
      <c r="Z50" s="57">
        <f>IFERROR(__xludf.DUMMYFUNCTION("""COMPUTED_VALUE"""),0.4979273934448322)</f>
        <v>0.4979273934</v>
      </c>
      <c r="AA50" s="57">
        <f>IFERROR(__xludf.DUMMYFUNCTION("""COMPUTED_VALUE"""),1.2153798128138495)</f>
        <v>1.215379813</v>
      </c>
      <c r="AB50" s="57">
        <f>IFERROR(__xludf.DUMMYFUNCTION("""COMPUTED_VALUE"""),2.3588195005396417)</f>
        <v>2.358819501</v>
      </c>
      <c r="AC50" s="31">
        <f>IFERROR(__xludf.DUMMYFUNCTION("""COMPUTED_VALUE"""),341.14528393534437)</f>
        <v>341.1452839</v>
      </c>
      <c r="AD50" s="57">
        <f>IFERROR(__xludf.DUMMYFUNCTION("""COMPUTED_VALUE"""),0.7895447664044561)</f>
        <v>0.7895447664</v>
      </c>
      <c r="AE50" s="57">
        <f>IFERROR(__xludf.DUMMYFUNCTION("""COMPUTED_VALUE"""),0.5677691139360453)</f>
        <v>0.5677691139</v>
      </c>
      <c r="AF50" s="57">
        <f>IFERROR(__xludf.DUMMYFUNCTION("""COMPUTED_VALUE"""),1.2497663252392444)</f>
        <v>1.249766325</v>
      </c>
      <c r="AG50" s="57">
        <f>IFERROR(__xludf.DUMMYFUNCTION("""COMPUTED_VALUE"""),2.4754502133330765)</f>
        <v>2.475450213</v>
      </c>
      <c r="AH50" s="57">
        <f>IFERROR(__xludf.DUMMYFUNCTION("""COMPUTED_VALUE"""),1.1228886924633052)</f>
        <v>1.122888692</v>
      </c>
      <c r="AI50" s="57">
        <f>IFERROR(__xludf.DUMMYFUNCTION("""COMPUTED_VALUE"""),1.1514114813664835)</f>
        <v>1.151411481</v>
      </c>
      <c r="AJ50" s="57">
        <f>IFERROR(__xludf.DUMMYFUNCTION("""COMPUTED_VALUE"""),1.3609885669376411)</f>
        <v>1.360988567</v>
      </c>
      <c r="AK50" s="57">
        <f>IFERROR(__xludf.DUMMYFUNCTION("""COMPUTED_VALUE"""),1.0729278456533855)</f>
        <v>1.072927846</v>
      </c>
      <c r="AL50" s="57">
        <f>IFERROR(__xludf.DUMMYFUNCTION("""COMPUTED_VALUE"""),1.147633297412975)</f>
        <v>1.147633297</v>
      </c>
      <c r="AM50" s="57">
        <f>IFERROR(__xludf.DUMMYFUNCTION("""COMPUTED_VALUE"""),0.9718125713560422)</f>
        <v>0.9718125714</v>
      </c>
      <c r="AN50" s="57">
        <f>IFERROR(__xludf.DUMMYFUNCTION("""COMPUTED_VALUE"""),0.8993579118326557)</f>
        <v>0.8993579118</v>
      </c>
      <c r="AO50" s="57">
        <f>IFERROR(__xludf.DUMMYFUNCTION("""COMPUTED_VALUE"""),0.9433041360657931)</f>
        <v>0.9433041361</v>
      </c>
      <c r="AP50" s="35">
        <f>IFERROR(__xludf.DUMMYFUNCTION("""COMPUTED_VALUE"""),1.0160185909206123)</f>
        <v>1.016018591</v>
      </c>
      <c r="AQ50" s="57">
        <f>IFERROR(__xludf.DUMMYFUNCTION("""COMPUTED_VALUE"""),0.9378085994350697)</f>
        <v>0.9378085994</v>
      </c>
      <c r="AR50" s="36" t="b">
        <f>IFERROR(__xludf.DUMMYFUNCTION("""COMPUTED_VALUE"""),TRUE)</f>
        <v>1</v>
      </c>
      <c r="AS50" s="57"/>
      <c r="AT50" s="37"/>
      <c r="AU50" s="30"/>
      <c r="AV50" s="30"/>
      <c r="AW50" s="30"/>
      <c r="AX50" s="30"/>
      <c r="AY50" s="30"/>
      <c r="AZ50" s="30"/>
    </row>
    <row r="51">
      <c r="A51" s="30" t="str">
        <f>IFERROR(__xludf.DUMMYFUNCTION("""COMPUTED_VALUE"""),"Challenger")</f>
        <v>Challenger</v>
      </c>
      <c r="B51" s="30" t="str">
        <f>IFERROR(__xludf.DUMMYFUNCTION("""COMPUTED_VALUE"""),"RSC004890")</f>
        <v>RSC004890</v>
      </c>
      <c r="C51" s="30" t="str">
        <f>IFERROR(__xludf.DUMMYFUNCTION("""COMPUTED_VALUE"""),"kamikaze7200")</f>
        <v>kamikaze7200</v>
      </c>
      <c r="D51" s="31" t="str">
        <f>IFERROR(__xludf.DUMMYFUNCTION("""COMPUTED_VALUE"""),"Lilac")</f>
        <v>Lilac</v>
      </c>
      <c r="E51" s="31">
        <f>IFERROR(__xludf.DUMMYFUNCTION("""COMPUTED_VALUE"""),79.41744673357401)</f>
        <v>79.41744673</v>
      </c>
      <c r="F51" s="31">
        <f>IFERROR(__xludf.DUMMYFUNCTION("""COMPUTED_VALUE"""),8.357147073324345)</f>
        <v>8.357147073</v>
      </c>
      <c r="G51" s="31">
        <f>IFERROR(__xludf.DUMMYFUNCTION("""COMPUTED_VALUE"""),66.82429336591969)</f>
        <v>66.82429337</v>
      </c>
      <c r="H51" s="31">
        <f>IFERROR(__xludf.DUMMYFUNCTION("""COMPUTED_VALUE"""),3.992292693127995)</f>
        <v>3.992292693</v>
      </c>
      <c r="I51" s="54">
        <f>IFERROR(__xludf.DUMMYFUNCTION("""COMPUTED_VALUE"""),41.0)</f>
        <v>41</v>
      </c>
      <c r="J51" s="55">
        <f>IFERROR(__xludf.DUMMYFUNCTION("""COMPUTED_VALUE"""),24.0)</f>
        <v>24</v>
      </c>
      <c r="K51" s="54">
        <f>IFERROR(__xludf.DUMMYFUNCTION("""COMPUTED_VALUE"""),17.0)</f>
        <v>17</v>
      </c>
      <c r="L51" s="56">
        <f>IFERROR(__xludf.DUMMYFUNCTION("""COMPUTED_VALUE"""),0.5853658536585366)</f>
        <v>0.5853658537</v>
      </c>
      <c r="M51" s="56">
        <f>IFERROR(__xludf.DUMMYFUNCTION("""COMPUTED_VALUE"""),0.3333333333333333)</f>
        <v>0.3333333333</v>
      </c>
      <c r="N51" s="31">
        <f>IFERROR(__xludf.DUMMYFUNCTION("""COMPUTED_VALUE"""),366.8292682926829)</f>
        <v>366.8292683</v>
      </c>
      <c r="O51" s="57">
        <f>IFERROR(__xludf.DUMMYFUNCTION("""COMPUTED_VALUE"""),0.9512195121951219)</f>
        <v>0.9512195122</v>
      </c>
      <c r="P51" s="57">
        <f>IFERROR(__xludf.DUMMYFUNCTION("""COMPUTED_VALUE"""),0.6829268292682927)</f>
        <v>0.6829268293</v>
      </c>
      <c r="Q51" s="57">
        <f>IFERROR(__xludf.DUMMYFUNCTION("""COMPUTED_VALUE"""),1.0731707317073171)</f>
        <v>1.073170732</v>
      </c>
      <c r="R51" s="57">
        <f>IFERROR(__xludf.DUMMYFUNCTION("""COMPUTED_VALUE"""),2.8536585365853657)</f>
        <v>2.853658537</v>
      </c>
      <c r="S51" s="31">
        <f>IFERROR(__xludf.DUMMYFUNCTION("""COMPUTED_VALUE"""),337.69918699186985)</f>
        <v>337.699187</v>
      </c>
      <c r="T51" s="57">
        <f>IFERROR(__xludf.DUMMYFUNCTION("""COMPUTED_VALUE"""),0.6829268292682927)</f>
        <v>0.6829268293</v>
      </c>
      <c r="U51" s="57">
        <f>IFERROR(__xludf.DUMMYFUNCTION("""COMPUTED_VALUE"""),0.5121951219512195)</f>
        <v>0.512195122</v>
      </c>
      <c r="V51" s="57">
        <f>IFERROR(__xludf.DUMMYFUNCTION("""COMPUTED_VALUE"""),1.3983739837398377)</f>
        <v>1.398373984</v>
      </c>
      <c r="W51" s="57">
        <f>IFERROR(__xludf.DUMMYFUNCTION("""COMPUTED_VALUE"""),2.203252032520325)</f>
        <v>2.203252033</v>
      </c>
      <c r="X51" s="31">
        <f>IFERROR(__xludf.DUMMYFUNCTION("""COMPUTED_VALUE"""),333.80624543994566)</f>
        <v>333.8062454</v>
      </c>
      <c r="Y51" s="57">
        <f>IFERROR(__xludf.DUMMYFUNCTION("""COMPUTED_VALUE"""),0.7818943444494689)</f>
        <v>0.7818943444</v>
      </c>
      <c r="Z51" s="57">
        <f>IFERROR(__xludf.DUMMYFUNCTION("""COMPUTED_VALUE"""),0.52371164277862)</f>
        <v>0.5237116428</v>
      </c>
      <c r="AA51" s="57">
        <f>IFERROR(__xludf.DUMMYFUNCTION("""COMPUTED_VALUE"""),1.2133917600432294)</f>
        <v>1.21339176</v>
      </c>
      <c r="AB51" s="57">
        <f>IFERROR(__xludf.DUMMYFUNCTION("""COMPUTED_VALUE"""),2.434006767238738)</f>
        <v>2.434006767</v>
      </c>
      <c r="AC51" s="31">
        <f>IFERROR(__xludf.DUMMYFUNCTION("""COMPUTED_VALUE"""),329.1489632496145)</f>
        <v>329.1489632</v>
      </c>
      <c r="AD51" s="57">
        <f>IFERROR(__xludf.DUMMYFUNCTION("""COMPUTED_VALUE"""),0.7512581292470836)</f>
        <v>0.7512581292</v>
      </c>
      <c r="AE51" s="57">
        <f>IFERROR(__xludf.DUMMYFUNCTION("""COMPUTED_VALUE"""),0.5304074724983201)</f>
        <v>0.5304074725</v>
      </c>
      <c r="AF51" s="57">
        <f>IFERROR(__xludf.DUMMYFUNCTION("""COMPUTED_VALUE"""),1.2168463024257614)</f>
        <v>1.216846302</v>
      </c>
      <c r="AG51" s="57">
        <f>IFERROR(__xludf.DUMMYFUNCTION("""COMPUTED_VALUE"""),2.41868335601569)</f>
        <v>2.418683356</v>
      </c>
      <c r="AH51" s="57">
        <f>IFERROR(__xludf.DUMMYFUNCTION("""COMPUTED_VALUE"""),1.114477969704231)</f>
        <v>1.11447797</v>
      </c>
      <c r="AI51" s="57">
        <f>IFERROR(__xludf.DUMMYFUNCTION("""COMPUTED_VALUE"""),1.2661686777997878)</f>
        <v>1.266168678</v>
      </c>
      <c r="AJ51" s="57">
        <f>IFERROR(__xludf.DUMMYFUNCTION("""COMPUTED_VALUE"""),1.2875512972160392)</f>
        <v>1.287551297</v>
      </c>
      <c r="AK51" s="57">
        <f>IFERROR(__xludf.DUMMYFUNCTION("""COMPUTED_VALUE"""),0.8819279226702422)</f>
        <v>0.8819279227</v>
      </c>
      <c r="AL51" s="57">
        <f>IFERROR(__xludf.DUMMYFUNCTION("""COMPUTED_VALUE"""),1.179839655111454)</f>
        <v>1.179839655</v>
      </c>
      <c r="AM51" s="57">
        <f>IFERROR(__xludf.DUMMYFUNCTION("""COMPUTED_VALUE"""),1.0116622789570442)</f>
        <v>1.011662279</v>
      </c>
      <c r="AN51" s="57">
        <f>IFERROR(__xludf.DUMMYFUNCTION("""COMPUTED_VALUE"""),0.8734259738752055)</f>
        <v>0.8734259739</v>
      </c>
      <c r="AO51" s="57">
        <f>IFERROR(__xludf.DUMMYFUNCTION("""COMPUTED_VALUE"""),0.9780098056130696)</f>
        <v>0.9780098056</v>
      </c>
      <c r="AP51" s="35">
        <f>IFERROR(__xludf.DUMMYFUNCTION("""COMPUTED_VALUE"""),1.1524505355879604)</f>
        <v>1.152450536</v>
      </c>
      <c r="AQ51" s="57">
        <f>IFERROR(__xludf.DUMMYFUNCTION("""COMPUTED_VALUE"""),0.9051955245875537)</f>
        <v>0.9051955246</v>
      </c>
      <c r="AR51" s="36" t="b">
        <f>IFERROR(__xludf.DUMMYFUNCTION("""COMPUTED_VALUE"""),TRUE)</f>
        <v>1</v>
      </c>
      <c r="AS51" s="57"/>
      <c r="AT51" s="37"/>
      <c r="AU51" s="30"/>
      <c r="AV51" s="30"/>
      <c r="AW51" s="30"/>
      <c r="AX51" s="30"/>
      <c r="AY51" s="30"/>
      <c r="AZ51" s="30"/>
    </row>
    <row r="52">
      <c r="A52" s="30" t="str">
        <f>IFERROR(__xludf.DUMMYFUNCTION("""COMPUTED_VALUE"""),"Challenger")</f>
        <v>Challenger</v>
      </c>
      <c r="B52" s="30" t="str">
        <f>IFERROR(__xludf.DUMMYFUNCTION("""COMPUTED_VALUE"""),"RSC006017")</f>
        <v>RSC006017</v>
      </c>
      <c r="C52" s="30" t="str">
        <f>IFERROR(__xludf.DUMMYFUNCTION("""COMPUTED_VALUE"""),"Dondo RF")</f>
        <v>Dondo RF</v>
      </c>
      <c r="D52" s="31" t="str">
        <f>IFERROR(__xludf.DUMMYFUNCTION("""COMPUTED_VALUE"""),"Ryujin")</f>
        <v>Ryujin</v>
      </c>
      <c r="E52" s="31">
        <f>IFERROR(__xludf.DUMMYFUNCTION("""COMPUTED_VALUE"""),79.38282178708054)</f>
        <v>79.38282179</v>
      </c>
      <c r="F52" s="31">
        <f>IFERROR(__xludf.DUMMYFUNCTION("""COMPUTED_VALUE"""),8.33786472580062)</f>
        <v>8.337864726</v>
      </c>
      <c r="G52" s="31">
        <f>IFERROR(__xludf.DUMMYFUNCTION("""COMPUTED_VALUE"""),74.67739410713975)</f>
        <v>74.67739411</v>
      </c>
      <c r="H52" s="31">
        <f>IFERROR(__xludf.DUMMYFUNCTION("""COMPUTED_VALUE"""),6.180551956237576)</f>
        <v>6.180551956</v>
      </c>
      <c r="I52" s="54">
        <f>IFERROR(__xludf.DUMMYFUNCTION("""COMPUTED_VALUE"""),43.0)</f>
        <v>43</v>
      </c>
      <c r="J52" s="55">
        <f>IFERROR(__xludf.DUMMYFUNCTION("""COMPUTED_VALUE"""),30.0)</f>
        <v>30</v>
      </c>
      <c r="K52" s="54">
        <f>IFERROR(__xludf.DUMMYFUNCTION("""COMPUTED_VALUE"""),13.0)</f>
        <v>13</v>
      </c>
      <c r="L52" s="56">
        <f>IFERROR(__xludf.DUMMYFUNCTION("""COMPUTED_VALUE"""),0.6976744186046512)</f>
        <v>0.6976744186</v>
      </c>
      <c r="M52" s="56">
        <f>IFERROR(__xludf.DUMMYFUNCTION("""COMPUTED_VALUE"""),0.36134453781512604)</f>
        <v>0.3613445378</v>
      </c>
      <c r="N52" s="31">
        <f>IFERROR(__xludf.DUMMYFUNCTION("""COMPUTED_VALUE"""),347.8837209302326)</f>
        <v>347.8837209</v>
      </c>
      <c r="O52" s="57">
        <f>IFERROR(__xludf.DUMMYFUNCTION("""COMPUTED_VALUE"""),1.0)</f>
        <v>1</v>
      </c>
      <c r="P52" s="57">
        <f>IFERROR(__xludf.DUMMYFUNCTION("""COMPUTED_VALUE"""),0.5348837209302325)</f>
        <v>0.5348837209</v>
      </c>
      <c r="Q52" s="57">
        <f>IFERROR(__xludf.DUMMYFUNCTION("""COMPUTED_VALUE"""),1.0465116279069768)</f>
        <v>1.046511628</v>
      </c>
      <c r="R52" s="57">
        <f>IFERROR(__xludf.DUMMYFUNCTION("""COMPUTED_VALUE"""),2.7674418604651163)</f>
        <v>2.76744186</v>
      </c>
      <c r="S52" s="31">
        <f>IFERROR(__xludf.DUMMYFUNCTION("""COMPUTED_VALUE"""),290.5116279069768)</f>
        <v>290.5116279</v>
      </c>
      <c r="T52" s="57">
        <f>IFERROR(__xludf.DUMMYFUNCTION("""COMPUTED_VALUE"""),0.503875968992248)</f>
        <v>0.503875969</v>
      </c>
      <c r="U52" s="57">
        <f>IFERROR(__xludf.DUMMYFUNCTION("""COMPUTED_VALUE"""),0.3643410852713178)</f>
        <v>0.3643410853</v>
      </c>
      <c r="V52" s="57">
        <f>IFERROR(__xludf.DUMMYFUNCTION("""COMPUTED_VALUE"""),1.232558139534884)</f>
        <v>1.23255814</v>
      </c>
      <c r="W52" s="57">
        <f>IFERROR(__xludf.DUMMYFUNCTION("""COMPUTED_VALUE"""),1.914728682170543)</f>
        <v>1.914728682</v>
      </c>
      <c r="X52" s="31">
        <f>IFERROR(__xludf.DUMMYFUNCTION("""COMPUTED_VALUE"""),334.84215868748265)</f>
        <v>334.8421587</v>
      </c>
      <c r="Y52" s="57">
        <f>IFERROR(__xludf.DUMMYFUNCTION("""COMPUTED_VALUE"""),0.7600066054097838)</f>
        <v>0.7600066054</v>
      </c>
      <c r="Z52" s="57">
        <f>IFERROR(__xludf.DUMMYFUNCTION("""COMPUTED_VALUE"""),0.5170282675005121)</f>
        <v>0.5170282675</v>
      </c>
      <c r="AA52" s="57">
        <f>IFERROR(__xludf.DUMMYFUNCTION("""COMPUTED_VALUE"""),1.2219432098967848)</f>
        <v>1.22194321</v>
      </c>
      <c r="AB52" s="57">
        <f>IFERROR(__xludf.DUMMYFUNCTION("""COMPUTED_VALUE"""),2.4535697601197595)</f>
        <v>2.45356976</v>
      </c>
      <c r="AC52" s="31">
        <f>IFERROR(__xludf.DUMMYFUNCTION("""COMPUTED_VALUE"""),331.1628366824917)</f>
        <v>331.1628367</v>
      </c>
      <c r="AD52" s="57">
        <f>IFERROR(__xludf.DUMMYFUNCTION("""COMPUTED_VALUE"""),0.7652158749289033)</f>
        <v>0.7652158749</v>
      </c>
      <c r="AE52" s="57">
        <f>IFERROR(__xludf.DUMMYFUNCTION("""COMPUTED_VALUE"""),0.5259333074408734)</f>
        <v>0.5259333074</v>
      </c>
      <c r="AF52" s="57">
        <f>IFERROR(__xludf.DUMMYFUNCTION("""COMPUTED_VALUE"""),1.2088117940343919)</f>
        <v>1.208811794</v>
      </c>
      <c r="AG52" s="57">
        <f>IFERROR(__xludf.DUMMYFUNCTION("""COMPUTED_VALUE"""),2.4278274027836972)</f>
        <v>2.427827403</v>
      </c>
      <c r="AH52" s="57">
        <f>IFERROR(__xludf.DUMMYFUNCTION("""COMPUTED_VALUE"""),1.050491427163889)</f>
        <v>1.050491427</v>
      </c>
      <c r="AI52" s="57">
        <f>IFERROR(__xludf.DUMMYFUNCTION("""COMPUTED_VALUE"""),1.3068207714495084)</f>
        <v>1.306820771</v>
      </c>
      <c r="AJ52" s="57">
        <f>IFERROR(__xludf.DUMMYFUNCTION("""COMPUTED_VALUE"""),1.017018152991509)</f>
        <v>1.017018153</v>
      </c>
      <c r="AK52" s="57">
        <f>IFERROR(__xludf.DUMMYFUNCTION("""COMPUTED_VALUE"""),0.8657357853982045)</f>
        <v>0.8657357854</v>
      </c>
      <c r="AL52" s="57">
        <f>IFERROR(__xludf.DUMMYFUNCTION("""COMPUTED_VALUE"""),1.139884102672218)</f>
        <v>1.139884103</v>
      </c>
      <c r="AM52" s="57">
        <f>IFERROR(__xludf.DUMMYFUNCTION("""COMPUTED_VALUE"""),0.8676076783333584)</f>
        <v>0.8676076783</v>
      </c>
      <c r="AN52" s="57">
        <f>IFERROR(__xludf.DUMMYFUNCTION("""COMPUTED_VALUE"""),0.6629889337877081)</f>
        <v>0.6629889338</v>
      </c>
      <c r="AO52" s="57">
        <f>IFERROR(__xludf.DUMMYFUNCTION("""COMPUTED_VALUE"""),0.7046831056891042)</f>
        <v>0.7046831057</v>
      </c>
      <c r="AP52" s="35">
        <f>IFERROR(__xludf.DUMMYFUNCTION("""COMPUTED_VALUE"""),1.008686925506952)</f>
        <v>1.008686926</v>
      </c>
      <c r="AQ52" s="57">
        <f>IFERROR(__xludf.DUMMYFUNCTION("""COMPUTED_VALUE"""),0.7803848552800408)</f>
        <v>0.7803848553</v>
      </c>
      <c r="AR52" s="36" t="b">
        <f>IFERROR(__xludf.DUMMYFUNCTION("""COMPUTED_VALUE"""),TRUE)</f>
        <v>1</v>
      </c>
      <c r="AS52" s="57"/>
      <c r="AT52" s="37"/>
      <c r="AU52" s="30"/>
      <c r="AV52" s="30"/>
      <c r="AW52" s="30"/>
      <c r="AX52" s="30"/>
      <c r="AY52" s="30"/>
      <c r="AZ52" s="30"/>
    </row>
    <row r="53">
      <c r="A53" s="30" t="str">
        <f>IFERROR(__xludf.DUMMYFUNCTION("""COMPUTED_VALUE"""),"Challenger")</f>
        <v>Challenger</v>
      </c>
      <c r="B53" s="30" t="str">
        <f>IFERROR(__xludf.DUMMYFUNCTION("""COMPUTED_VALUE"""),"RSC006067")</f>
        <v>RSC006067</v>
      </c>
      <c r="C53" s="30" t="str">
        <f>IFERROR(__xludf.DUMMYFUNCTION("""COMPUTED_VALUE"""),"ShinxX403")</f>
        <v>ShinxX403</v>
      </c>
      <c r="D53" s="31" t="str">
        <f>IFERROR(__xludf.DUMMYFUNCTION("""COMPUTED_VALUE"""),"Panda Bears")</f>
        <v>Panda Bears</v>
      </c>
      <c r="E53" s="31">
        <f>IFERROR(__xludf.DUMMYFUNCTION("""COMPUTED_VALUE"""),78.9326836568734)</f>
        <v>78.93268366</v>
      </c>
      <c r="F53" s="31">
        <f>IFERROR(__xludf.DUMMYFUNCTION("""COMPUTED_VALUE"""),8.092356013470399)</f>
        <v>8.092356013</v>
      </c>
      <c r="G53" s="31">
        <f>IFERROR(__xludf.DUMMYFUNCTION("""COMPUTED_VALUE"""),51.71874485427782)</f>
        <v>51.71874485</v>
      </c>
      <c r="H53" s="31">
        <f>IFERROR(__xludf.DUMMYFUNCTION("""COMPUTED_VALUE"""),2.1159794088322)</f>
        <v>2.115979409</v>
      </c>
      <c r="I53" s="54">
        <f>IFERROR(__xludf.DUMMYFUNCTION("""COMPUTED_VALUE"""),32.0)</f>
        <v>32</v>
      </c>
      <c r="J53" s="55">
        <f>IFERROR(__xludf.DUMMYFUNCTION("""COMPUTED_VALUE"""),19.0)</f>
        <v>19</v>
      </c>
      <c r="K53" s="54">
        <f>IFERROR(__xludf.DUMMYFUNCTION("""COMPUTED_VALUE"""),13.0)</f>
        <v>13</v>
      </c>
      <c r="L53" s="56">
        <f>IFERROR(__xludf.DUMMYFUNCTION("""COMPUTED_VALUE"""),0.59375)</f>
        <v>0.59375</v>
      </c>
      <c r="M53" s="56">
        <f>IFERROR(__xludf.DUMMYFUNCTION("""COMPUTED_VALUE"""),0.31)</f>
        <v>0.31</v>
      </c>
      <c r="N53" s="31">
        <f>IFERROR(__xludf.DUMMYFUNCTION("""COMPUTED_VALUE"""),368.9375)</f>
        <v>368.9375</v>
      </c>
      <c r="O53" s="57">
        <f>IFERROR(__xludf.DUMMYFUNCTION("""COMPUTED_VALUE"""),0.96875)</f>
        <v>0.96875</v>
      </c>
      <c r="P53" s="57">
        <f>IFERROR(__xludf.DUMMYFUNCTION("""COMPUTED_VALUE"""),0.59375)</f>
        <v>0.59375</v>
      </c>
      <c r="Q53" s="57">
        <f>IFERROR(__xludf.DUMMYFUNCTION("""COMPUTED_VALUE"""),1.34375)</f>
        <v>1.34375</v>
      </c>
      <c r="R53" s="57">
        <f>IFERROR(__xludf.DUMMYFUNCTION("""COMPUTED_VALUE"""),3.125)</f>
        <v>3.125</v>
      </c>
      <c r="S53" s="31">
        <f>IFERROR(__xludf.DUMMYFUNCTION("""COMPUTED_VALUE"""),351.3229166666667)</f>
        <v>351.3229167</v>
      </c>
      <c r="T53" s="57">
        <f>IFERROR(__xludf.DUMMYFUNCTION("""COMPUTED_VALUE"""),0.65625)</f>
        <v>0.65625</v>
      </c>
      <c r="U53" s="57">
        <f>IFERROR(__xludf.DUMMYFUNCTION("""COMPUTED_VALUE"""),0.4583333333333333)</f>
        <v>0.4583333333</v>
      </c>
      <c r="V53" s="57">
        <f>IFERROR(__xludf.DUMMYFUNCTION("""COMPUTED_VALUE"""),1.5520833333333328)</f>
        <v>1.552083333</v>
      </c>
      <c r="W53" s="57">
        <f>IFERROR(__xludf.DUMMYFUNCTION("""COMPUTED_VALUE"""),2.6666666666666665)</f>
        <v>2.666666667</v>
      </c>
      <c r="X53" s="31">
        <f>IFERROR(__xludf.DUMMYFUNCTION("""COMPUTED_VALUE"""),338.3990514549338)</f>
        <v>338.3990515</v>
      </c>
      <c r="Y53" s="57">
        <f>IFERROR(__xludf.DUMMYFUNCTION("""COMPUTED_VALUE"""),0.7593677832877703)</f>
        <v>0.7593677833</v>
      </c>
      <c r="Z53" s="57">
        <f>IFERROR(__xludf.DUMMYFUNCTION("""COMPUTED_VALUE"""),0.5449948594267433)</f>
        <v>0.5449948594</v>
      </c>
      <c r="AA53" s="57">
        <f>IFERROR(__xludf.DUMMYFUNCTION("""COMPUTED_VALUE"""),1.287883386320552)</f>
        <v>1.287883386</v>
      </c>
      <c r="AB53" s="57">
        <f>IFERROR(__xludf.DUMMYFUNCTION("""COMPUTED_VALUE"""),2.423461268349626)</f>
        <v>2.423461268</v>
      </c>
      <c r="AC53" s="31">
        <f>IFERROR(__xludf.DUMMYFUNCTION("""COMPUTED_VALUE"""),331.34114699476544)</f>
        <v>331.341147</v>
      </c>
      <c r="AD53" s="57">
        <f>IFERROR(__xludf.DUMMYFUNCTION("""COMPUTED_VALUE"""),0.7606862532655859)</f>
        <v>0.7606862533</v>
      </c>
      <c r="AE53" s="57">
        <f>IFERROR(__xludf.DUMMYFUNCTION("""COMPUTED_VALUE"""),0.5273161520274764)</f>
        <v>0.527316152</v>
      </c>
      <c r="AF53" s="57">
        <f>IFERROR(__xludf.DUMMYFUNCTION("""COMPUTED_VALUE"""),1.2036602140256623)</f>
        <v>1.203660214</v>
      </c>
      <c r="AG53" s="57">
        <f>IFERROR(__xludf.DUMMYFUNCTION("""COMPUTED_VALUE"""),2.4875881588012905)</f>
        <v>2.487588159</v>
      </c>
      <c r="AH53" s="57">
        <f>IFERROR(__xludf.DUMMYFUNCTION("""COMPUTED_VALUE"""),1.1134672024474779)</f>
        <v>1.113467202</v>
      </c>
      <c r="AI53" s="57">
        <f>IFERROR(__xludf.DUMMYFUNCTION("""COMPUTED_VALUE"""),1.2735211078696471)</f>
        <v>1.273521108</v>
      </c>
      <c r="AJ53" s="57">
        <f>IFERROR(__xludf.DUMMYFUNCTION("""COMPUTED_VALUE"""),1.1259848531418815)</f>
        <v>1.125984853</v>
      </c>
      <c r="AK53" s="57">
        <f>IFERROR(__xludf.DUMMYFUNCTION("""COMPUTED_VALUE"""),1.1163864887631412)</f>
        <v>1.116386489</v>
      </c>
      <c r="AL53" s="57">
        <f>IFERROR(__xludf.DUMMYFUNCTION("""COMPUTED_VALUE"""),1.2562368850902808)</f>
        <v>1.256236885</v>
      </c>
      <c r="AM53" s="57">
        <f>IFERROR(__xludf.DUMMYFUNCTION("""COMPUTED_VALUE"""),1.038191198102262)</f>
        <v>1.038191198</v>
      </c>
      <c r="AN53" s="57">
        <f>IFERROR(__xludf.DUMMYFUNCTION("""COMPUTED_VALUE"""),0.8642057438342854)</f>
        <v>0.8642057438</v>
      </c>
      <c r="AO53" s="57">
        <f>IFERROR(__xludf.DUMMYFUNCTION("""COMPUTED_VALUE"""),0.8409865256627089)</f>
        <v>0.8409865257</v>
      </c>
      <c r="AP53" s="35">
        <f>IFERROR(__xludf.DUMMYFUNCTION("""COMPUTED_VALUE"""),1.2051427557952998)</f>
        <v>1.205142756</v>
      </c>
      <c r="AQ53" s="57">
        <f>IFERROR(__xludf.DUMMYFUNCTION("""COMPUTED_VALUE"""),1.1003545637362973)</f>
        <v>1.100354564</v>
      </c>
      <c r="AR53" s="36" t="b">
        <f>IFERROR(__xludf.DUMMYFUNCTION("""COMPUTED_VALUE"""),TRUE)</f>
        <v>1</v>
      </c>
      <c r="AS53" s="57"/>
      <c r="AT53" s="37"/>
      <c r="AU53" s="30"/>
      <c r="AV53" s="30"/>
      <c r="AW53" s="30"/>
      <c r="AX53" s="30"/>
      <c r="AY53" s="30"/>
      <c r="AZ53" s="30"/>
    </row>
    <row r="54">
      <c r="A54" s="30" t="str">
        <f>IFERROR(__xludf.DUMMYFUNCTION("""COMPUTED_VALUE"""),"Challenger")</f>
        <v>Challenger</v>
      </c>
      <c r="B54" s="30" t="str">
        <f>IFERROR(__xludf.DUMMYFUNCTION("""COMPUTED_VALUE"""),"RSC003109")</f>
        <v>RSC003109</v>
      </c>
      <c r="C54" s="30" t="str">
        <f>IFERROR(__xludf.DUMMYFUNCTION("""COMPUTED_VALUE"""),"Kflip11")</f>
        <v>Kflip11</v>
      </c>
      <c r="D54" s="31" t="str">
        <f>IFERROR(__xludf.DUMMYFUNCTION("""COMPUTED_VALUE"""),"Cassowaries")</f>
        <v>Cassowaries</v>
      </c>
      <c r="E54" s="31">
        <f>IFERROR(__xludf.DUMMYFUNCTION("""COMPUTED_VALUE"""),78.51360890978265)</f>
        <v>78.51360891</v>
      </c>
      <c r="F54" s="31">
        <f>IFERROR(__xludf.DUMMYFUNCTION("""COMPUTED_VALUE"""),7.872169069296646)</f>
        <v>7.872169069</v>
      </c>
      <c r="G54" s="31">
        <f>IFERROR(__xludf.DUMMYFUNCTION("""COMPUTED_VALUE"""),50.19925806328918)</f>
        <v>50.19925806</v>
      </c>
      <c r="H54" s="31">
        <f>IFERROR(__xludf.DUMMYFUNCTION("""COMPUTED_VALUE"""),2.01280005972729)</f>
        <v>2.01280006</v>
      </c>
      <c r="I54" s="54">
        <f>IFERROR(__xludf.DUMMYFUNCTION("""COMPUTED_VALUE"""),47.0)</f>
        <v>47</v>
      </c>
      <c r="J54" s="55">
        <f>IFERROR(__xludf.DUMMYFUNCTION("""COMPUTED_VALUE"""),34.0)</f>
        <v>34</v>
      </c>
      <c r="K54" s="54">
        <f>IFERROR(__xludf.DUMMYFUNCTION("""COMPUTED_VALUE"""),13.0)</f>
        <v>13</v>
      </c>
      <c r="L54" s="56">
        <f>IFERROR(__xludf.DUMMYFUNCTION("""COMPUTED_VALUE"""),0.723404255319149)</f>
        <v>0.7234042553</v>
      </c>
      <c r="M54" s="56">
        <f>IFERROR(__xludf.DUMMYFUNCTION("""COMPUTED_VALUE"""),0.39568345323741005)</f>
        <v>0.3956834532</v>
      </c>
      <c r="N54" s="31">
        <f>IFERROR(__xludf.DUMMYFUNCTION("""COMPUTED_VALUE"""),344.5744680851064)</f>
        <v>344.5744681</v>
      </c>
      <c r="O54" s="57">
        <f>IFERROR(__xludf.DUMMYFUNCTION("""COMPUTED_VALUE"""),1.1702127659574468)</f>
        <v>1.170212766</v>
      </c>
      <c r="P54" s="57">
        <f>IFERROR(__xludf.DUMMYFUNCTION("""COMPUTED_VALUE"""),0.5319148936170213)</f>
        <v>0.5319148936</v>
      </c>
      <c r="Q54" s="57">
        <f>IFERROR(__xludf.DUMMYFUNCTION("""COMPUTED_VALUE"""),0.9148936170212766)</f>
        <v>0.914893617</v>
      </c>
      <c r="R54" s="57">
        <f>IFERROR(__xludf.DUMMYFUNCTION("""COMPUTED_VALUE"""),2.9574468085106385)</f>
        <v>2.957446809</v>
      </c>
      <c r="S54" s="31">
        <f>IFERROR(__xludf.DUMMYFUNCTION("""COMPUTED_VALUE"""),316.9219858156028)</f>
        <v>316.9219858</v>
      </c>
      <c r="T54" s="57">
        <f>IFERROR(__xludf.DUMMYFUNCTION("""COMPUTED_VALUE"""),0.6808510638297872)</f>
        <v>0.6808510638</v>
      </c>
      <c r="U54" s="57">
        <f>IFERROR(__xludf.DUMMYFUNCTION("""COMPUTED_VALUE"""),0.44680851063829785)</f>
        <v>0.4468085106</v>
      </c>
      <c r="V54" s="57">
        <f>IFERROR(__xludf.DUMMYFUNCTION("""COMPUTED_VALUE"""),1.2624113475177303)</f>
        <v>1.262411348</v>
      </c>
      <c r="W54" s="57">
        <f>IFERROR(__xludf.DUMMYFUNCTION("""COMPUTED_VALUE"""),2.4184397163120557)</f>
        <v>2.418439716</v>
      </c>
      <c r="X54" s="31">
        <f>IFERROR(__xludf.DUMMYFUNCTION("""COMPUTED_VALUE"""),321.3446565829674)</f>
        <v>321.3446566</v>
      </c>
      <c r="Y54" s="57">
        <f>IFERROR(__xludf.DUMMYFUNCTION("""COMPUTED_VALUE"""),0.7081616607586655)</f>
        <v>0.7081616608</v>
      </c>
      <c r="Z54" s="57">
        <f>IFERROR(__xludf.DUMMYFUNCTION("""COMPUTED_VALUE"""),0.48794707061208653)</f>
        <v>0.4879470706</v>
      </c>
      <c r="AA54" s="57">
        <f>IFERROR(__xludf.DUMMYFUNCTION("""COMPUTED_VALUE"""),1.174478622078192)</f>
        <v>1.174478622</v>
      </c>
      <c r="AB54" s="57">
        <f>IFERROR(__xludf.DUMMYFUNCTION("""COMPUTED_VALUE"""),2.3801041039466004)</f>
        <v>2.380104104</v>
      </c>
      <c r="AC54" s="31">
        <f>IFERROR(__xludf.DUMMYFUNCTION("""COMPUTED_VALUE"""),339.1402232514267)</f>
        <v>339.1402233</v>
      </c>
      <c r="AD54" s="57">
        <f>IFERROR(__xludf.DUMMYFUNCTION("""COMPUTED_VALUE"""),0.8020930583805884)</f>
        <v>0.8020930584</v>
      </c>
      <c r="AE54" s="57">
        <f>IFERROR(__xludf.DUMMYFUNCTION("""COMPUTED_VALUE"""),0.554072481280503)</f>
        <v>0.5540724813</v>
      </c>
      <c r="AF54" s="57">
        <f>IFERROR(__xludf.DUMMYFUNCTION("""COMPUTED_VALUE"""),1.21770032938681)</f>
        <v>1.217700329</v>
      </c>
      <c r="AG54" s="57">
        <f>IFERROR(__xludf.DUMMYFUNCTION("""COMPUTED_VALUE"""),2.457721271167492)</f>
        <v>2.457721271</v>
      </c>
      <c r="AH54" s="57">
        <f>IFERROR(__xludf.DUMMYFUNCTION("""COMPUTED_VALUE"""),1.0160235927828913)</f>
        <v>1.016023593</v>
      </c>
      <c r="AI54" s="57">
        <f>IFERROR(__xludf.DUMMYFUNCTION("""COMPUTED_VALUE"""),1.458948875982153)</f>
        <v>1.458948876</v>
      </c>
      <c r="AJ54" s="57">
        <f>IFERROR(__xludf.DUMMYFUNCTION("""COMPUTED_VALUE"""),0.9600095864492785)</f>
        <v>0.9600095864</v>
      </c>
      <c r="AK54" s="57">
        <f>IFERROR(__xludf.DUMMYFUNCTION("""COMPUTED_VALUE"""),0.7513290379760216)</f>
        <v>0.751329038</v>
      </c>
      <c r="AL54" s="57">
        <f>IFERROR(__xludf.DUMMYFUNCTION("""COMPUTED_VALUE"""),1.2033288083582243)</f>
        <v>1.203328808</v>
      </c>
      <c r="AM54" s="57">
        <f>IFERROR(__xludf.DUMMYFUNCTION("""COMPUTED_VALUE"""),0.986236986746899)</f>
        <v>0.9862369867</v>
      </c>
      <c r="AN54" s="57">
        <f>IFERROR(__xludf.DUMMYFUNCTION("""COMPUTED_VALUE"""),0.9614345163791839)</f>
        <v>0.9614345164</v>
      </c>
      <c r="AO54" s="57">
        <f>IFERROR(__xludf.DUMMYFUNCTION("""COMPUTED_VALUE"""),0.9156905278226509)</f>
        <v>0.9156905278</v>
      </c>
      <c r="AP54" s="35">
        <f>IFERROR(__xludf.DUMMYFUNCTION("""COMPUTED_VALUE"""),1.0748695836489088)</f>
        <v>1.074869584</v>
      </c>
      <c r="AQ54" s="57">
        <f>IFERROR(__xludf.DUMMYFUNCTION("""COMPUTED_VALUE"""),1.0161066956280982)</f>
        <v>1.016106696</v>
      </c>
      <c r="AR54" s="36" t="b">
        <f>IFERROR(__xludf.DUMMYFUNCTION("""COMPUTED_VALUE"""),TRUE)</f>
        <v>1</v>
      </c>
      <c r="AS54" s="57"/>
      <c r="AT54" s="37"/>
      <c r="AU54" s="30"/>
      <c r="AV54" s="30"/>
      <c r="AW54" s="30"/>
      <c r="AX54" s="30"/>
      <c r="AY54" s="30"/>
      <c r="AZ54" s="30"/>
    </row>
    <row r="55">
      <c r="A55" s="30" t="str">
        <f>IFERROR(__xludf.DUMMYFUNCTION("""COMPUTED_VALUE"""),"Challenger")</f>
        <v>Challenger</v>
      </c>
      <c r="B55" s="30" t="str">
        <f>IFERROR(__xludf.DUMMYFUNCTION("""COMPUTED_VALUE"""),"RSC006322")</f>
        <v>RSC006322</v>
      </c>
      <c r="C55" s="30" t="str">
        <f>IFERROR(__xludf.DUMMYFUNCTION("""COMPUTED_VALUE"""),"Lorak")</f>
        <v>Lorak</v>
      </c>
      <c r="D55" s="31" t="str">
        <f>IFERROR(__xludf.DUMMYFUNCTION("""COMPUTED_VALUE"""),"Deceased")</f>
        <v>Deceased</v>
      </c>
      <c r="E55" s="31">
        <f>IFERROR(__xludf.DUMMYFUNCTION("""COMPUTED_VALUE"""),77.63851264512071)</f>
        <v>77.63851265</v>
      </c>
      <c r="F55" s="31">
        <f>IFERROR(__xludf.DUMMYFUNCTION("""COMPUTED_VALUE"""),7.437005229445242)</f>
        <v>7.437005229</v>
      </c>
      <c r="G55" s="31">
        <f>IFERROR(__xludf.DUMMYFUNCTION("""COMPUTED_VALUE"""),62.1962313367521)</f>
        <v>62.19623134</v>
      </c>
      <c r="H55" s="31">
        <f>IFERROR(__xludf.DUMMYFUNCTION("""COMPUTED_VALUE"""),3.196641626980291)</f>
        <v>3.196641627</v>
      </c>
      <c r="I55" s="54">
        <f>IFERROR(__xludf.DUMMYFUNCTION("""COMPUTED_VALUE"""),37.0)</f>
        <v>37</v>
      </c>
      <c r="J55" s="55">
        <f>IFERROR(__xludf.DUMMYFUNCTION("""COMPUTED_VALUE"""),24.0)</f>
        <v>24</v>
      </c>
      <c r="K55" s="54">
        <f>IFERROR(__xludf.DUMMYFUNCTION("""COMPUTED_VALUE"""),13.0)</f>
        <v>13</v>
      </c>
      <c r="L55" s="56">
        <f>IFERROR(__xludf.DUMMYFUNCTION("""COMPUTED_VALUE"""),0.6486486486486487)</f>
        <v>0.6486486486</v>
      </c>
      <c r="M55" s="56">
        <f>IFERROR(__xludf.DUMMYFUNCTION("""COMPUTED_VALUE"""),0.3238095238095238)</f>
        <v>0.3238095238</v>
      </c>
      <c r="N55" s="31">
        <f>IFERROR(__xludf.DUMMYFUNCTION("""COMPUTED_VALUE"""),367.94594594594594)</f>
        <v>367.9459459</v>
      </c>
      <c r="O55" s="57">
        <f>IFERROR(__xludf.DUMMYFUNCTION("""COMPUTED_VALUE"""),0.918918918918919)</f>
        <v>0.9189189189</v>
      </c>
      <c r="P55" s="57">
        <f>IFERROR(__xludf.DUMMYFUNCTION("""COMPUTED_VALUE"""),0.6756756756756757)</f>
        <v>0.6756756757</v>
      </c>
      <c r="Q55" s="57">
        <f>IFERROR(__xludf.DUMMYFUNCTION("""COMPUTED_VALUE"""),1.4324324324324325)</f>
        <v>1.432432432</v>
      </c>
      <c r="R55" s="57">
        <f>IFERROR(__xludf.DUMMYFUNCTION("""COMPUTED_VALUE"""),2.8378378378378377)</f>
        <v>2.837837838</v>
      </c>
      <c r="S55" s="31">
        <f>IFERROR(__xludf.DUMMYFUNCTION("""COMPUTED_VALUE"""),313.36936936936945)</f>
        <v>313.3693694</v>
      </c>
      <c r="T55" s="57">
        <f>IFERROR(__xludf.DUMMYFUNCTION("""COMPUTED_VALUE"""),0.4954954954954954)</f>
        <v>0.4954954955</v>
      </c>
      <c r="U55" s="57">
        <f>IFERROR(__xludf.DUMMYFUNCTION("""COMPUTED_VALUE"""),0.3783783783783784)</f>
        <v>0.3783783784</v>
      </c>
      <c r="V55" s="57">
        <f>IFERROR(__xludf.DUMMYFUNCTION("""COMPUTED_VALUE"""),1.4864864864864868)</f>
        <v>1.486486486</v>
      </c>
      <c r="W55" s="57">
        <f>IFERROR(__xludf.DUMMYFUNCTION("""COMPUTED_VALUE"""),2.144144144144145)</f>
        <v>2.144144144</v>
      </c>
      <c r="X55" s="31">
        <f>IFERROR(__xludf.DUMMYFUNCTION("""COMPUTED_VALUE"""),329.19667723824625)</f>
        <v>329.1966772</v>
      </c>
      <c r="Y55" s="57">
        <f>IFERROR(__xludf.DUMMYFUNCTION("""COMPUTED_VALUE"""),0.7431072787336026)</f>
        <v>0.7431072787</v>
      </c>
      <c r="Z55" s="57">
        <f>IFERROR(__xludf.DUMMYFUNCTION("""COMPUTED_VALUE"""),0.4985735174491364)</f>
        <v>0.4985735174</v>
      </c>
      <c r="AA55" s="57">
        <f>IFERROR(__xludf.DUMMYFUNCTION("""COMPUTED_VALUE"""),1.2532759658631427)</f>
        <v>1.253275966</v>
      </c>
      <c r="AB55" s="57">
        <f>IFERROR(__xludf.DUMMYFUNCTION("""COMPUTED_VALUE"""),2.326080110511184)</f>
        <v>2.326080111</v>
      </c>
      <c r="AC55" s="31">
        <f>IFERROR(__xludf.DUMMYFUNCTION("""COMPUTED_VALUE"""),342.8303772004042)</f>
        <v>342.8303772</v>
      </c>
      <c r="AD55" s="57">
        <f>IFERROR(__xludf.DUMMYFUNCTION("""COMPUTED_VALUE"""),0.8323346597168242)</f>
        <v>0.8323346597</v>
      </c>
      <c r="AE55" s="57">
        <f>IFERROR(__xludf.DUMMYFUNCTION("""COMPUTED_VALUE"""),0.5808918209134352)</f>
        <v>0.5808918209</v>
      </c>
      <c r="AF55" s="57">
        <f>IFERROR(__xludf.DUMMYFUNCTION("""COMPUTED_VALUE"""),1.1665813554163316)</f>
        <v>1.166581355</v>
      </c>
      <c r="AG55" s="57">
        <f>IFERROR(__xludf.DUMMYFUNCTION("""COMPUTED_VALUE"""),2.5874289903878607)</f>
        <v>2.58742899</v>
      </c>
      <c r="AH55" s="57">
        <f>IFERROR(__xludf.DUMMYFUNCTION("""COMPUTED_VALUE"""),1.0732594612841446)</f>
        <v>1.073259461</v>
      </c>
      <c r="AI55" s="57">
        <f>IFERROR(__xludf.DUMMYFUNCTION("""COMPUTED_VALUE"""),1.1040257764005075)</f>
        <v>1.104025776</v>
      </c>
      <c r="AJ55" s="57">
        <f>IFERROR(__xludf.DUMMYFUNCTION("""COMPUTED_VALUE"""),1.1631695461182354)</f>
        <v>1.163169546</v>
      </c>
      <c r="AK55" s="57">
        <f>IFERROR(__xludf.DUMMYFUNCTION("""COMPUTED_VALUE"""),1.2278890158682705)</f>
        <v>1.227889016</v>
      </c>
      <c r="AL55" s="57">
        <f>IFERROR(__xludf.DUMMYFUNCTION("""COMPUTED_VALUE"""),1.0967790221027245)</f>
        <v>1.096779022</v>
      </c>
      <c r="AM55" s="57">
        <f>IFERROR(__xludf.DUMMYFUNCTION("""COMPUTED_VALUE"""),0.9519214227748044)</f>
        <v>0.9519214228</v>
      </c>
      <c r="AN55" s="57">
        <f>IFERROR(__xludf.DUMMYFUNCTION("""COMPUTED_VALUE"""),0.6667886450256748)</f>
        <v>0.666788645</v>
      </c>
      <c r="AO55" s="57">
        <f>IFERROR(__xludf.DUMMYFUNCTION("""COMPUTED_VALUE"""),0.758921934550966)</f>
        <v>0.7589219346</v>
      </c>
      <c r="AP55" s="35">
        <f>IFERROR(__xludf.DUMMYFUNCTION("""COMPUTED_VALUE"""),1.186080741173976)</f>
        <v>1.186080741</v>
      </c>
      <c r="AQ55" s="57">
        <f>IFERROR(__xludf.DUMMYFUNCTION("""COMPUTED_VALUE"""),0.9217843076234136)</f>
        <v>0.9217843076</v>
      </c>
      <c r="AR55" s="36" t="b">
        <f>IFERROR(__xludf.DUMMYFUNCTION("""COMPUTED_VALUE"""),TRUE)</f>
        <v>1</v>
      </c>
      <c r="AS55" s="57"/>
      <c r="AT55" s="37"/>
      <c r="AU55" s="30"/>
      <c r="AV55" s="30"/>
      <c r="AW55" s="30"/>
      <c r="AX55" s="30"/>
      <c r="AY55" s="30"/>
      <c r="AZ55" s="30"/>
    </row>
    <row r="56">
      <c r="A56" s="30" t="str">
        <f>IFERROR(__xludf.DUMMYFUNCTION("""COMPUTED_VALUE"""),"Challenger")</f>
        <v>Challenger</v>
      </c>
      <c r="B56" s="30" t="str">
        <f>IFERROR(__xludf.DUMMYFUNCTION("""COMPUTED_VALUE"""),"RSC002427")</f>
        <v>RSC002427</v>
      </c>
      <c r="C56" s="30" t="str">
        <f>IFERROR(__xludf.DUMMYFUNCTION("""COMPUTED_VALUE"""),"Free.")</f>
        <v>Free.</v>
      </c>
      <c r="D56" s="31" t="str">
        <f>IFERROR(__xludf.DUMMYFUNCTION("""COMPUTED_VALUE"""),"Ryujin")</f>
        <v>Ryujin</v>
      </c>
      <c r="E56" s="31">
        <f>IFERROR(__xludf.DUMMYFUNCTION("""COMPUTED_VALUE"""),77.58756305986178)</f>
        <v>77.58756306</v>
      </c>
      <c r="F56" s="31">
        <f>IFERROR(__xludf.DUMMYFUNCTION("""COMPUTED_VALUE"""),7.412651260618609)</f>
        <v>7.412651261</v>
      </c>
      <c r="G56" s="31">
        <f>IFERROR(__xludf.DUMMYFUNCTION("""COMPUTED_VALUE"""),74.25058871046934)</f>
        <v>74.25058871</v>
      </c>
      <c r="H56" s="31">
        <f>IFERROR(__xludf.DUMMYFUNCTION("""COMPUTED_VALUE"""),6.023465837039611)</f>
        <v>6.023465837</v>
      </c>
      <c r="I56" s="54">
        <f>IFERROR(__xludf.DUMMYFUNCTION("""COMPUTED_VALUE"""),17.0)</f>
        <v>17</v>
      </c>
      <c r="J56" s="55">
        <f>IFERROR(__xludf.DUMMYFUNCTION("""COMPUTED_VALUE"""),11.0)</f>
        <v>11</v>
      </c>
      <c r="K56" s="54">
        <f>IFERROR(__xludf.DUMMYFUNCTION("""COMPUTED_VALUE"""),6.0)</f>
        <v>6</v>
      </c>
      <c r="L56" s="56">
        <f>IFERROR(__xludf.DUMMYFUNCTION("""COMPUTED_VALUE"""),0.6470588235294118)</f>
        <v>0.6470588235</v>
      </c>
      <c r="M56" s="56">
        <f>IFERROR(__xludf.DUMMYFUNCTION("""COMPUTED_VALUE"""),0.4285714285714286)</f>
        <v>0.4285714286</v>
      </c>
      <c r="N56" s="31">
        <f>IFERROR(__xludf.DUMMYFUNCTION("""COMPUTED_VALUE"""),343.3529411764706)</f>
        <v>343.3529412</v>
      </c>
      <c r="O56" s="57">
        <f>IFERROR(__xludf.DUMMYFUNCTION("""COMPUTED_VALUE"""),1.2352941176470589)</f>
        <v>1.235294118</v>
      </c>
      <c r="P56" s="57">
        <f>IFERROR(__xludf.DUMMYFUNCTION("""COMPUTED_VALUE"""),0.35294117647058826)</f>
        <v>0.3529411765</v>
      </c>
      <c r="Q56" s="57">
        <f>IFERROR(__xludf.DUMMYFUNCTION("""COMPUTED_VALUE"""),0.8235294117647058)</f>
        <v>0.8235294118</v>
      </c>
      <c r="R56" s="57">
        <f>IFERROR(__xludf.DUMMYFUNCTION("""COMPUTED_VALUE"""),2.8823529411764706)</f>
        <v>2.882352941</v>
      </c>
      <c r="S56" s="31">
        <f>IFERROR(__xludf.DUMMYFUNCTION("""COMPUTED_VALUE"""),275.64705882352945)</f>
        <v>275.6470588</v>
      </c>
      <c r="T56" s="57">
        <f>IFERROR(__xludf.DUMMYFUNCTION("""COMPUTED_VALUE"""),0.47058823529411753)</f>
        <v>0.4705882353</v>
      </c>
      <c r="U56" s="57">
        <f>IFERROR(__xludf.DUMMYFUNCTION("""COMPUTED_VALUE"""),0.37254901960784315)</f>
        <v>0.3725490196</v>
      </c>
      <c r="V56" s="57">
        <f>IFERROR(__xludf.DUMMYFUNCTION("""COMPUTED_VALUE"""),1.2352941176470589)</f>
        <v>1.235294118</v>
      </c>
      <c r="W56" s="57">
        <f>IFERROR(__xludf.DUMMYFUNCTION("""COMPUTED_VALUE"""),1.607843137254902)</f>
        <v>1.607843137</v>
      </c>
      <c r="X56" s="31">
        <f>IFERROR(__xludf.DUMMYFUNCTION("""COMPUTED_VALUE"""),318.0484756977053)</f>
        <v>318.0484757</v>
      </c>
      <c r="Y56" s="57">
        <f>IFERROR(__xludf.DUMMYFUNCTION("""COMPUTED_VALUE"""),0.6937543789778332)</f>
        <v>0.693754379</v>
      </c>
      <c r="Z56" s="57">
        <f>IFERROR(__xludf.DUMMYFUNCTION("""COMPUTED_VALUE"""),0.44809804881377874)</f>
        <v>0.4480980488</v>
      </c>
      <c r="AA56" s="57">
        <f>IFERROR(__xludf.DUMMYFUNCTION("""COMPUTED_VALUE"""),1.2271959958184682)</f>
        <v>1.227195996</v>
      </c>
      <c r="AB56" s="57">
        <f>IFERROR(__xludf.DUMMYFUNCTION("""COMPUTED_VALUE"""),2.2325431086603666)</f>
        <v>2.232543109</v>
      </c>
      <c r="AC56" s="31">
        <f>IFERROR(__xludf.DUMMYFUNCTION("""COMPUTED_VALUE"""),341.08426483074356)</f>
        <v>341.0842648</v>
      </c>
      <c r="AD56" s="57">
        <f>IFERROR(__xludf.DUMMYFUNCTION("""COMPUTED_VALUE"""),0.8536039276886404)</f>
        <v>0.8536039277</v>
      </c>
      <c r="AE56" s="57">
        <f>IFERROR(__xludf.DUMMYFUNCTION("""COMPUTED_VALUE"""),0.5734253464274771)</f>
        <v>0.5734253464</v>
      </c>
      <c r="AF56" s="57">
        <f>IFERROR(__xludf.DUMMYFUNCTION("""COMPUTED_VALUE"""),1.1389633956696135)</f>
        <v>1.138963396</v>
      </c>
      <c r="AG56" s="57">
        <f>IFERROR(__xludf.DUMMYFUNCTION("""COMPUTED_VALUE"""),2.6087002247508644)</f>
        <v>2.608700225</v>
      </c>
      <c r="AH56" s="57">
        <f>IFERROR(__xludf.DUMMYFUNCTION("""COMPUTED_VALUE"""),1.0066513661861618)</f>
        <v>1.006651366</v>
      </c>
      <c r="AI56" s="57">
        <f>IFERROR(__xludf.DUMMYFUNCTION("""COMPUTED_VALUE"""),1.4471513984148905)</f>
        <v>1.447151398</v>
      </c>
      <c r="AJ56" s="57">
        <f>IFERROR(__xludf.DUMMYFUNCTION("""COMPUTED_VALUE"""),0.615496295497684)</f>
        <v>0.6154962955</v>
      </c>
      <c r="AK56" s="57">
        <f>IFERROR(__xludf.DUMMYFUNCTION("""COMPUTED_VALUE"""),0.7230516932289476)</f>
        <v>0.7230516932</v>
      </c>
      <c r="AL56" s="57">
        <f>IFERROR(__xludf.DUMMYFUNCTION("""COMPUTED_VALUE"""),1.1049000240921667)</f>
        <v>1.104900024</v>
      </c>
      <c r="AM56" s="57">
        <f>IFERROR(__xludf.DUMMYFUNCTION("""COMPUTED_VALUE"""),0.866682533908834)</f>
        <v>0.8666825339</v>
      </c>
      <c r="AN56" s="57">
        <f>IFERROR(__xludf.DUMMYFUNCTION("""COMPUTED_VALUE"""),0.678321102617723)</f>
        <v>0.6783211026</v>
      </c>
      <c r="AO56" s="57">
        <f>IFERROR(__xludf.DUMMYFUNCTION("""COMPUTED_VALUE"""),0.8314006735670202)</f>
        <v>0.8314006736</v>
      </c>
      <c r="AP56" s="35">
        <f>IFERROR(__xludf.DUMMYFUNCTION("""COMPUTED_VALUE"""),1.0065988822129344)</f>
        <v>1.006598882</v>
      </c>
      <c r="AQ56" s="57">
        <f>IFERROR(__xludf.DUMMYFUNCTION("""COMPUTED_VALUE"""),0.7201845872618716)</f>
        <v>0.7201845873</v>
      </c>
      <c r="AR56" s="36" t="b">
        <f>IFERROR(__xludf.DUMMYFUNCTION("""COMPUTED_VALUE"""),TRUE)</f>
        <v>1</v>
      </c>
      <c r="AS56" s="57"/>
      <c r="AT56" s="37"/>
      <c r="AU56" s="30"/>
      <c r="AV56" s="30"/>
      <c r="AW56" s="30"/>
      <c r="AX56" s="30"/>
      <c r="AY56" s="30"/>
      <c r="AZ56" s="30"/>
    </row>
    <row r="57">
      <c r="A57" s="30" t="str">
        <f>IFERROR(__xludf.DUMMYFUNCTION("""COMPUTED_VALUE"""),"Challenger")</f>
        <v>Challenger</v>
      </c>
      <c r="B57" s="30" t="str">
        <f>IFERROR(__xludf.DUMMYFUNCTION("""COMPUTED_VALUE"""),"RSC007890")</f>
        <v>RSC007890</v>
      </c>
      <c r="C57" s="30" t="str">
        <f>IFERROR(__xludf.DUMMYFUNCTION("""COMPUTED_VALUE"""),"Ghost-Bacon")</f>
        <v>Ghost-Bacon</v>
      </c>
      <c r="D57" s="31"/>
      <c r="E57" s="31">
        <f>IFERROR(__xludf.DUMMYFUNCTION("""COMPUTED_VALUE"""),76.62734113629813)</f>
        <v>76.62734114</v>
      </c>
      <c r="F57" s="31">
        <f>IFERROR(__xludf.DUMMYFUNCTION("""COMPUTED_VALUE"""),6.972684917480428)</f>
        <v>6.972684917</v>
      </c>
      <c r="G57" s="31">
        <f>IFERROR(__xludf.DUMMYFUNCTION("""COMPUTED_VALUE"""),72.02379755765116)</f>
        <v>72.02379756</v>
      </c>
      <c r="H57" s="31">
        <f>IFERROR(__xludf.DUMMYFUNCTION("""COMPUTED_VALUE"""),5.286196621490693)</f>
        <v>5.286196621</v>
      </c>
      <c r="I57" s="54">
        <f>IFERROR(__xludf.DUMMYFUNCTION("""COMPUTED_VALUE"""),15.0)</f>
        <v>15</v>
      </c>
      <c r="J57" s="55">
        <f>IFERROR(__xludf.DUMMYFUNCTION("""COMPUTED_VALUE"""),10.0)</f>
        <v>10</v>
      </c>
      <c r="K57" s="54">
        <f>IFERROR(__xludf.DUMMYFUNCTION("""COMPUTED_VALUE"""),5.0)</f>
        <v>5</v>
      </c>
      <c r="L57" s="56">
        <f>IFERROR(__xludf.DUMMYFUNCTION("""COMPUTED_VALUE"""),0.6666666666666666)</f>
        <v>0.6666666667</v>
      </c>
      <c r="M57" s="56">
        <f>IFERROR(__xludf.DUMMYFUNCTION("""COMPUTED_VALUE"""),0.25)</f>
        <v>0.25</v>
      </c>
      <c r="N57" s="31">
        <f>IFERROR(__xludf.DUMMYFUNCTION("""COMPUTED_VALUE"""),333.6666666666667)</f>
        <v>333.6666667</v>
      </c>
      <c r="O57" s="57">
        <f>IFERROR(__xludf.DUMMYFUNCTION("""COMPUTED_VALUE"""),0.8)</f>
        <v>0.8</v>
      </c>
      <c r="P57" s="57">
        <f>IFERROR(__xludf.DUMMYFUNCTION("""COMPUTED_VALUE"""),0.6666666666666666)</f>
        <v>0.6666666667</v>
      </c>
      <c r="Q57" s="57">
        <f>IFERROR(__xludf.DUMMYFUNCTION("""COMPUTED_VALUE"""),0.8666666666666667)</f>
        <v>0.8666666667</v>
      </c>
      <c r="R57" s="57">
        <f>IFERROR(__xludf.DUMMYFUNCTION("""COMPUTED_VALUE"""),3.2)</f>
        <v>3.2</v>
      </c>
      <c r="S57" s="31">
        <f>IFERROR(__xludf.DUMMYFUNCTION("""COMPUTED_VALUE"""),301.1111111111111)</f>
        <v>301.1111111</v>
      </c>
      <c r="T57" s="57">
        <f>IFERROR(__xludf.DUMMYFUNCTION("""COMPUTED_VALUE"""),0.5555555555555556)</f>
        <v>0.5555555556</v>
      </c>
      <c r="U57" s="57">
        <f>IFERROR(__xludf.DUMMYFUNCTION("""COMPUTED_VALUE"""),0.44444444444444436)</f>
        <v>0.4444444444</v>
      </c>
      <c r="V57" s="57">
        <f>IFERROR(__xludf.DUMMYFUNCTION("""COMPUTED_VALUE"""),1.2222222222222223)</f>
        <v>1.222222222</v>
      </c>
      <c r="W57" s="57">
        <f>IFERROR(__xludf.DUMMYFUNCTION("""COMPUTED_VALUE"""),2.177777777777778)</f>
        <v>2.177777778</v>
      </c>
      <c r="X57" s="31">
        <f>IFERROR(__xludf.DUMMYFUNCTION("""COMPUTED_VALUE"""),325.6766336698773)</f>
        <v>325.6766337</v>
      </c>
      <c r="Y57" s="57">
        <f>IFERROR(__xludf.DUMMYFUNCTION("""COMPUTED_VALUE"""),0.8249573064058547)</f>
        <v>0.8249573064</v>
      </c>
      <c r="Z57" s="57">
        <f>IFERROR(__xludf.DUMMYFUNCTION("""COMPUTED_VALUE"""),0.4591903359345218)</f>
        <v>0.4591903359</v>
      </c>
      <c r="AA57" s="57">
        <f>IFERROR(__xludf.DUMMYFUNCTION("""COMPUTED_VALUE"""),1.1302779466653157)</f>
        <v>1.130277947</v>
      </c>
      <c r="AB57" s="57">
        <f>IFERROR(__xludf.DUMMYFUNCTION("""COMPUTED_VALUE"""),2.369517917061237)</f>
        <v>2.369517917</v>
      </c>
      <c r="AC57" s="31">
        <f>IFERROR(__xludf.DUMMYFUNCTION("""COMPUTED_VALUE"""),326.01502665600816)</f>
        <v>326.0150267</v>
      </c>
      <c r="AD57" s="57">
        <f>IFERROR(__xludf.DUMMYFUNCTION("""COMPUTED_VALUE"""),0.7756971181339121)</f>
        <v>0.7756971181</v>
      </c>
      <c r="AE57" s="57">
        <f>IFERROR(__xludf.DUMMYFUNCTION("""COMPUTED_VALUE"""),0.5026454793997989)</f>
        <v>0.5026454794</v>
      </c>
      <c r="AF57" s="57">
        <f>IFERROR(__xludf.DUMMYFUNCTION("""COMPUTED_VALUE"""),1.1613231330209595)</f>
        <v>1.161323133</v>
      </c>
      <c r="AG57" s="57">
        <f>IFERROR(__xludf.DUMMYFUNCTION("""COMPUTED_VALUE"""),2.391206929560657)</f>
        <v>2.39120693</v>
      </c>
      <c r="AH57" s="57">
        <f>IFERROR(__xludf.DUMMYFUNCTION("""COMPUTED_VALUE"""),1.0234702065396883)</f>
        <v>1.023470207</v>
      </c>
      <c r="AI57" s="57">
        <f>IFERROR(__xludf.DUMMYFUNCTION("""COMPUTED_VALUE"""),1.031330375346183)</f>
        <v>1.031330375</v>
      </c>
      <c r="AJ57" s="57">
        <f>IFERROR(__xludf.DUMMYFUNCTION("""COMPUTED_VALUE"""),1.3263158508114365)</f>
        <v>1.326315851</v>
      </c>
      <c r="AK57" s="57">
        <f>IFERROR(__xludf.DUMMYFUNCTION("""COMPUTED_VALUE"""),0.7462752114583299)</f>
        <v>0.7462752115</v>
      </c>
      <c r="AL57" s="57">
        <f>IFERROR(__xludf.DUMMYFUNCTION("""COMPUTED_VALUE"""),1.3382363359861729)</f>
        <v>1.338236336</v>
      </c>
      <c r="AM57" s="57">
        <f>IFERROR(__xludf.DUMMYFUNCTION("""COMPUTED_VALUE"""),0.9245708165122246)</f>
        <v>0.9245708165</v>
      </c>
      <c r="AN57" s="57">
        <f>IFERROR(__xludf.DUMMYFUNCTION("""COMPUTED_VALUE"""),0.6734355235617958)</f>
        <v>0.6734355236</v>
      </c>
      <c r="AO57" s="57">
        <f>IFERROR(__xludf.DUMMYFUNCTION("""COMPUTED_VALUE"""),0.9678871911359648)</f>
        <v>0.9678871911</v>
      </c>
      <c r="AP57" s="35">
        <f>IFERROR(__xludf.DUMMYFUNCTION("""COMPUTED_VALUE"""),1.0813466066715465)</f>
        <v>1.081346607</v>
      </c>
      <c r="AQ57" s="57">
        <f>IFERROR(__xludf.DUMMYFUNCTION("""COMPUTED_VALUE"""),0.9190805277719689)</f>
        <v>0.9190805278</v>
      </c>
      <c r="AR57" s="36" t="b">
        <f>IFERROR(__xludf.DUMMYFUNCTION("""COMPUTED_VALUE"""),TRUE)</f>
        <v>1</v>
      </c>
      <c r="AS57" s="57"/>
      <c r="AT57" s="37"/>
      <c r="AU57" s="30"/>
      <c r="AV57" s="30"/>
      <c r="AW57" s="30"/>
      <c r="AX57" s="30"/>
      <c r="AY57" s="30"/>
      <c r="AZ57" s="30"/>
    </row>
    <row r="58">
      <c r="A58" s="30" t="str">
        <f>IFERROR(__xludf.DUMMYFUNCTION("""COMPUTED_VALUE"""),"Challenger")</f>
        <v>Challenger</v>
      </c>
      <c r="B58" s="30" t="str">
        <f>IFERROR(__xludf.DUMMYFUNCTION("""COMPUTED_VALUE"""),"RSC007960")</f>
        <v>RSC007960</v>
      </c>
      <c r="C58" s="30" t="str">
        <f>IFERROR(__xludf.DUMMYFUNCTION("""COMPUTED_VALUE"""),"Kayo")</f>
        <v>Kayo</v>
      </c>
      <c r="D58" s="31" t="str">
        <f>IFERROR(__xludf.DUMMYFUNCTION("""COMPUTED_VALUE"""),"Warbirds")</f>
        <v>Warbirds</v>
      </c>
      <c r="E58" s="31">
        <f>IFERROR(__xludf.DUMMYFUNCTION("""COMPUTED_VALUE"""),73.93858728702709)</f>
        <v>73.93858729</v>
      </c>
      <c r="F58" s="31">
        <f>IFERROR(__xludf.DUMMYFUNCTION("""COMPUTED_VALUE"""),5.912034736543962)</f>
        <v>5.912034737</v>
      </c>
      <c r="G58" s="31">
        <f>IFERROR(__xludf.DUMMYFUNCTION("""COMPUTED_VALUE"""),66.64191910520498)</f>
        <v>66.64191911</v>
      </c>
      <c r="H58" s="31">
        <f>IFERROR(__xludf.DUMMYFUNCTION("""COMPUTED_VALUE"""),3.955557504110264)</f>
        <v>3.955557504</v>
      </c>
      <c r="I58" s="54">
        <f>IFERROR(__xludf.DUMMYFUNCTION("""COMPUTED_VALUE"""),44.0)</f>
        <v>44</v>
      </c>
      <c r="J58" s="55">
        <f>IFERROR(__xludf.DUMMYFUNCTION("""COMPUTED_VALUE"""),25.0)</f>
        <v>25</v>
      </c>
      <c r="K58" s="54">
        <f>IFERROR(__xludf.DUMMYFUNCTION("""COMPUTED_VALUE"""),19.0)</f>
        <v>19</v>
      </c>
      <c r="L58" s="56">
        <f>IFERROR(__xludf.DUMMYFUNCTION("""COMPUTED_VALUE"""),0.5681818181818182)</f>
        <v>0.5681818182</v>
      </c>
      <c r="M58" s="56">
        <f>IFERROR(__xludf.DUMMYFUNCTION("""COMPUTED_VALUE"""),0.34108527131782945)</f>
        <v>0.3410852713</v>
      </c>
      <c r="N58" s="31">
        <f>IFERROR(__xludf.DUMMYFUNCTION("""COMPUTED_VALUE"""),390.3636363636364)</f>
        <v>390.3636364</v>
      </c>
      <c r="O58" s="57">
        <f>IFERROR(__xludf.DUMMYFUNCTION("""COMPUTED_VALUE"""),1.0)</f>
        <v>1</v>
      </c>
      <c r="P58" s="57">
        <f>IFERROR(__xludf.DUMMYFUNCTION("""COMPUTED_VALUE"""),0.5227272727272727)</f>
        <v>0.5227272727</v>
      </c>
      <c r="Q58" s="57">
        <f>IFERROR(__xludf.DUMMYFUNCTION("""COMPUTED_VALUE"""),1.5227272727272727)</f>
        <v>1.522727273</v>
      </c>
      <c r="R58" s="57">
        <f>IFERROR(__xludf.DUMMYFUNCTION("""COMPUTED_VALUE"""),2.9318181818181817)</f>
        <v>2.931818182</v>
      </c>
      <c r="S58" s="31">
        <f>IFERROR(__xludf.DUMMYFUNCTION("""COMPUTED_VALUE"""),353.87878787878776)</f>
        <v>353.8787879</v>
      </c>
      <c r="T58" s="57">
        <f>IFERROR(__xludf.DUMMYFUNCTION("""COMPUTED_VALUE"""),0.8030303030303028)</f>
        <v>0.803030303</v>
      </c>
      <c r="U58" s="57">
        <f>IFERROR(__xludf.DUMMYFUNCTION("""COMPUTED_VALUE"""),0.6212121212121212)</f>
        <v>0.6212121212</v>
      </c>
      <c r="V58" s="57">
        <f>IFERROR(__xludf.DUMMYFUNCTION("""COMPUTED_VALUE"""),1.3181818181818183)</f>
        <v>1.318181818</v>
      </c>
      <c r="W58" s="57">
        <f>IFERROR(__xludf.DUMMYFUNCTION("""COMPUTED_VALUE"""),2.583333333333333)</f>
        <v>2.583333333</v>
      </c>
      <c r="X58" s="31">
        <f>IFERROR(__xludf.DUMMYFUNCTION("""COMPUTED_VALUE"""),337.158412568176)</f>
        <v>337.1584126</v>
      </c>
      <c r="Y58" s="57">
        <f>IFERROR(__xludf.DUMMYFUNCTION("""COMPUTED_VALUE"""),0.775686908685392)</f>
        <v>0.7756869087</v>
      </c>
      <c r="Z58" s="57">
        <f>IFERROR(__xludf.DUMMYFUNCTION("""COMPUTED_VALUE"""),0.5412014110582919)</f>
        <v>0.5412014111</v>
      </c>
      <c r="AA58" s="57">
        <f>IFERROR(__xludf.DUMMYFUNCTION("""COMPUTED_VALUE"""),1.223496917093822)</f>
        <v>1.223496917</v>
      </c>
      <c r="AB58" s="57">
        <f>IFERROR(__xludf.DUMMYFUNCTION("""COMPUTED_VALUE"""),2.5093947223356086)</f>
        <v>2.509394722</v>
      </c>
      <c r="AC58" s="31">
        <f>IFERROR(__xludf.DUMMYFUNCTION("""COMPUTED_VALUE"""),332.96020601068483)</f>
        <v>332.960206</v>
      </c>
      <c r="AD58" s="57">
        <f>IFERROR(__xludf.DUMMYFUNCTION("""COMPUTED_VALUE"""),0.7456565703842363)</f>
        <v>0.7456565704</v>
      </c>
      <c r="AE58" s="57">
        <f>IFERROR(__xludf.DUMMYFUNCTION("""COMPUTED_VALUE"""),0.5210621610143819)</f>
        <v>0.521062161</v>
      </c>
      <c r="AF58" s="57">
        <f>IFERROR(__xludf.DUMMYFUNCTION("""COMPUTED_VALUE"""),1.2570811572573637)</f>
        <v>1.257081157</v>
      </c>
      <c r="AG58" s="57">
        <f>IFERROR(__xludf.DUMMYFUNCTION("""COMPUTED_VALUE"""),2.3801168247199005)</f>
        <v>2.380116825</v>
      </c>
      <c r="AH58" s="57">
        <f>IFERROR(__xludf.DUMMYFUNCTION("""COMPUTED_VALUE"""),1.1724032761774223)</f>
        <v>1.172403276</v>
      </c>
      <c r="AI58" s="57">
        <f>IFERROR(__xludf.DUMMYFUNCTION("""COMPUTED_VALUE"""),1.3410999644041235)</f>
        <v>1.341099964</v>
      </c>
      <c r="AJ58" s="57">
        <f>IFERROR(__xludf.DUMMYFUNCTION("""COMPUTED_VALUE"""),1.003195610500001)</f>
        <v>1.003195611</v>
      </c>
      <c r="AK58" s="57">
        <f>IFERROR(__xludf.DUMMYFUNCTION("""COMPUTED_VALUE"""),1.2113197814924554)</f>
        <v>1.211319781</v>
      </c>
      <c r="AL58" s="57">
        <f>IFERROR(__xludf.DUMMYFUNCTION("""COMPUTED_VALUE"""),1.2317959149602697)</f>
        <v>1.231795915</v>
      </c>
      <c r="AM58" s="57">
        <f>IFERROR(__xludf.DUMMYFUNCTION("""COMPUTED_VALUE"""),1.04959204542236)</f>
        <v>1.049592045</v>
      </c>
      <c r="AN58" s="57">
        <f>IFERROR(__xludf.DUMMYFUNCTION("""COMPUTED_VALUE"""),1.035250555396444)</f>
        <v>1.035250555</v>
      </c>
      <c r="AO58" s="57">
        <f>IFERROR(__xludf.DUMMYFUNCTION("""COMPUTED_VALUE"""),1.1478390641986178)</f>
        <v>1.147839064</v>
      </c>
      <c r="AP58" s="35">
        <f>IFERROR(__xludf.DUMMYFUNCTION("""COMPUTED_VALUE"""),1.0773887533063033)</f>
        <v>1.077388753</v>
      </c>
      <c r="AQ58" s="57">
        <f>IFERROR(__xludf.DUMMYFUNCTION("""COMPUTED_VALUE"""),1.0294647192566446)</f>
        <v>1.029464719</v>
      </c>
      <c r="AR58" s="36" t="b">
        <f>IFERROR(__xludf.DUMMYFUNCTION("""COMPUTED_VALUE"""),TRUE)</f>
        <v>1</v>
      </c>
      <c r="AS58" s="57"/>
      <c r="AT58" s="37"/>
      <c r="AU58" s="30"/>
      <c r="AV58" s="30"/>
      <c r="AW58" s="30"/>
      <c r="AX58" s="30"/>
      <c r="AY58" s="30"/>
      <c r="AZ58" s="30"/>
    </row>
    <row r="59">
      <c r="A59" s="30" t="str">
        <f>IFERROR(__xludf.DUMMYFUNCTION("""COMPUTED_VALUE"""),"Challenger")</f>
        <v>Challenger</v>
      </c>
      <c r="B59" s="30" t="str">
        <f>IFERROR(__xludf.DUMMYFUNCTION("""COMPUTED_VALUE"""),"RSC003193")</f>
        <v>RSC003193</v>
      </c>
      <c r="C59" s="30" t="str">
        <f>IFERROR(__xludf.DUMMYFUNCTION("""COMPUTED_VALUE"""),"ShiftDrink")</f>
        <v>ShiftDrink</v>
      </c>
      <c r="D59" s="31" t="str">
        <f>IFERROR(__xludf.DUMMYFUNCTION("""COMPUTED_VALUE"""),"Mugged")</f>
        <v>Mugged</v>
      </c>
      <c r="E59" s="31">
        <f>IFERROR(__xludf.DUMMYFUNCTION("""COMPUTED_VALUE"""),73.65659830624108)</f>
        <v>73.65659831</v>
      </c>
      <c r="F59" s="31">
        <f>IFERROR(__xludf.DUMMYFUNCTION("""COMPUTED_VALUE"""),5.813717140987151)</f>
        <v>5.813717141</v>
      </c>
      <c r="G59" s="31">
        <f>IFERROR(__xludf.DUMMYFUNCTION("""COMPUTED_VALUE"""),57.890089398920935)</f>
        <v>57.8900894</v>
      </c>
      <c r="H59" s="31">
        <f>IFERROR(__xludf.DUMMYFUNCTION("""COMPUTED_VALUE"""),2.6585017940860993)</f>
        <v>2.658501794</v>
      </c>
      <c r="I59" s="54">
        <f>IFERROR(__xludf.DUMMYFUNCTION("""COMPUTED_VALUE"""),10.0)</f>
        <v>10</v>
      </c>
      <c r="J59" s="55">
        <f>IFERROR(__xludf.DUMMYFUNCTION("""COMPUTED_VALUE"""),4.0)</f>
        <v>4</v>
      </c>
      <c r="K59" s="54">
        <f>IFERROR(__xludf.DUMMYFUNCTION("""COMPUTED_VALUE"""),6.0)</f>
        <v>6</v>
      </c>
      <c r="L59" s="56">
        <f>IFERROR(__xludf.DUMMYFUNCTION("""COMPUTED_VALUE"""),0.4)</f>
        <v>0.4</v>
      </c>
      <c r="M59" s="56">
        <f>IFERROR(__xludf.DUMMYFUNCTION("""COMPUTED_VALUE"""),0.3928571428571429)</f>
        <v>0.3928571429</v>
      </c>
      <c r="N59" s="31">
        <f>IFERROR(__xludf.DUMMYFUNCTION("""COMPUTED_VALUE"""),372.0)</f>
        <v>372</v>
      </c>
      <c r="O59" s="57">
        <f>IFERROR(__xludf.DUMMYFUNCTION("""COMPUTED_VALUE"""),1.1)</f>
        <v>1.1</v>
      </c>
      <c r="P59" s="57">
        <f>IFERROR(__xludf.DUMMYFUNCTION("""COMPUTED_VALUE"""),0.6)</f>
        <v>0.6</v>
      </c>
      <c r="Q59" s="57">
        <f>IFERROR(__xludf.DUMMYFUNCTION("""COMPUTED_VALUE"""),1.1)</f>
        <v>1.1</v>
      </c>
      <c r="R59" s="57">
        <f>IFERROR(__xludf.DUMMYFUNCTION("""COMPUTED_VALUE"""),2.8)</f>
        <v>2.8</v>
      </c>
      <c r="S59" s="31">
        <f>IFERROR(__xludf.DUMMYFUNCTION("""COMPUTED_VALUE"""),353.6333333333333)</f>
        <v>353.6333333</v>
      </c>
      <c r="T59" s="57">
        <f>IFERROR(__xludf.DUMMYFUNCTION("""COMPUTED_VALUE"""),0.9)</f>
        <v>0.9</v>
      </c>
      <c r="U59" s="57">
        <f>IFERROR(__xludf.DUMMYFUNCTION("""COMPUTED_VALUE"""),0.6333333333333333)</f>
        <v>0.6333333333</v>
      </c>
      <c r="V59" s="57">
        <f>IFERROR(__xludf.DUMMYFUNCTION("""COMPUTED_VALUE"""),1.2)</f>
        <v>1.2</v>
      </c>
      <c r="W59" s="57">
        <f>IFERROR(__xludf.DUMMYFUNCTION("""COMPUTED_VALUE"""),2.666666666666667)</f>
        <v>2.666666667</v>
      </c>
      <c r="X59" s="31">
        <f>IFERROR(__xludf.DUMMYFUNCTION("""COMPUTED_VALUE"""),342.58080132340035)</f>
        <v>342.5808013</v>
      </c>
      <c r="Y59" s="57">
        <f>IFERROR(__xludf.DUMMYFUNCTION("""COMPUTED_VALUE"""),0.7648009780833276)</f>
        <v>0.7648009781</v>
      </c>
      <c r="Z59" s="57">
        <f>IFERROR(__xludf.DUMMYFUNCTION("""COMPUTED_VALUE"""),0.5772150494525059)</f>
        <v>0.5772150495</v>
      </c>
      <c r="AA59" s="57">
        <f>IFERROR(__xludf.DUMMYFUNCTION("""COMPUTED_VALUE"""),1.3095633172083214)</f>
        <v>1.309563317</v>
      </c>
      <c r="AB59" s="57">
        <f>IFERROR(__xludf.DUMMYFUNCTION("""COMPUTED_VALUE"""),2.5892813261447563)</f>
        <v>2.589281326</v>
      </c>
      <c r="AC59" s="31">
        <f>IFERROR(__xludf.DUMMYFUNCTION("""COMPUTED_VALUE"""),349.34753030329534)</f>
        <v>349.3475303</v>
      </c>
      <c r="AD59" s="57">
        <f>IFERROR(__xludf.DUMMYFUNCTION("""COMPUTED_VALUE"""),0.7860327297147285)</f>
        <v>0.7860327297</v>
      </c>
      <c r="AE59" s="57">
        <f>IFERROR(__xludf.DUMMYFUNCTION("""COMPUTED_VALUE"""),0.5720188680742262)</f>
        <v>0.5720188681</v>
      </c>
      <c r="AF59" s="57">
        <f>IFERROR(__xludf.DUMMYFUNCTION("""COMPUTED_VALUE"""),1.3346449696805998)</f>
        <v>1.33464497</v>
      </c>
      <c r="AG59" s="57">
        <f>IFERROR(__xludf.DUMMYFUNCTION("""COMPUTED_VALUE"""),2.500760113950541)</f>
        <v>2.500760114</v>
      </c>
      <c r="AH59" s="57">
        <f>IFERROR(__xludf.DUMMYFUNCTION("""COMPUTED_VALUE"""),1.064842220802415)</f>
        <v>1.064842221</v>
      </c>
      <c r="AI59" s="57">
        <f>IFERROR(__xludf.DUMMYFUNCTION("""COMPUTED_VALUE"""),1.399432820563615)</f>
        <v>1.399432821</v>
      </c>
      <c r="AJ59" s="57">
        <f>IFERROR(__xludf.DUMMYFUNCTION("""COMPUTED_VALUE"""),1.0489164492422702)</f>
        <v>1.048916449</v>
      </c>
      <c r="AK59" s="57">
        <f>IFERROR(__xludf.DUMMYFUNCTION("""COMPUTED_VALUE"""),0.8241892225939654)</f>
        <v>0.8241892226</v>
      </c>
      <c r="AL59" s="57">
        <f>IFERROR(__xludf.DUMMYFUNCTION("""COMPUTED_VALUE"""),1.1196595724556477)</f>
        <v>1.119659572</v>
      </c>
      <c r="AM59" s="57">
        <f>IFERROR(__xludf.DUMMYFUNCTION("""COMPUTED_VALUE"""),1.0322625551905906)</f>
        <v>1.032262555</v>
      </c>
      <c r="AN59" s="57">
        <f>IFERROR(__xludf.DUMMYFUNCTION("""COMPUTED_VALUE"""),1.176776737727893)</f>
        <v>1.176776738</v>
      </c>
      <c r="AO59" s="57">
        <f>IFERROR(__xludf.DUMMYFUNCTION("""COMPUTED_VALUE"""),1.0972224891469067)</f>
        <v>1.097222489</v>
      </c>
      <c r="AP59" s="35">
        <f>IFERROR(__xludf.DUMMYFUNCTION("""COMPUTED_VALUE"""),0.9163359909608002)</f>
        <v>0.916335991</v>
      </c>
      <c r="AQ59" s="57">
        <f>IFERROR(__xludf.DUMMYFUNCTION("""COMPUTED_VALUE"""),1.029886802851636)</f>
        <v>1.029886803</v>
      </c>
      <c r="AR59" s="36" t="b">
        <f>IFERROR(__xludf.DUMMYFUNCTION("""COMPUTED_VALUE"""),TRUE)</f>
        <v>1</v>
      </c>
      <c r="AS59" s="57"/>
      <c r="AT59" s="37"/>
      <c r="AU59" s="30"/>
      <c r="AV59" s="30"/>
      <c r="AW59" s="30"/>
      <c r="AX59" s="30"/>
      <c r="AY59" s="30"/>
      <c r="AZ59" s="30"/>
    </row>
    <row r="60">
      <c r="A60" s="30" t="str">
        <f>IFERROR(__xludf.DUMMYFUNCTION("""COMPUTED_VALUE"""),"Challenger")</f>
        <v>Challenger</v>
      </c>
      <c r="B60" s="30" t="str">
        <f>IFERROR(__xludf.DUMMYFUNCTION("""COMPUTED_VALUE"""),"RSC005059")</f>
        <v>RSC005059</v>
      </c>
      <c r="C60" s="30" t="str">
        <f>IFERROR(__xludf.DUMMYFUNCTION("""COMPUTED_VALUE"""),"Jacobim Mugatu")</f>
        <v>Jacobim Mugatu</v>
      </c>
      <c r="D60" s="31" t="str">
        <f>IFERROR(__xludf.DUMMYFUNCTION("""COMPUTED_VALUE"""),"Lilac")</f>
        <v>Lilac</v>
      </c>
      <c r="E60" s="31">
        <f>IFERROR(__xludf.DUMMYFUNCTION("""COMPUTED_VALUE"""),73.32440623588084)</f>
        <v>73.32440624</v>
      </c>
      <c r="F60" s="31">
        <f>IFERROR(__xludf.DUMMYFUNCTION("""COMPUTED_VALUE"""),5.700730496307914)</f>
        <v>5.700730496</v>
      </c>
      <c r="G60" s="31">
        <f>IFERROR(__xludf.DUMMYFUNCTION("""COMPUTED_VALUE"""),61.93611146825888)</f>
        <v>61.93611147</v>
      </c>
      <c r="H60" s="31">
        <f>IFERROR(__xludf.DUMMYFUNCTION("""COMPUTED_VALUE"""),3.159329760339359)</f>
        <v>3.15932976</v>
      </c>
      <c r="I60" s="54">
        <f>IFERROR(__xludf.DUMMYFUNCTION("""COMPUTED_VALUE"""),41.0)</f>
        <v>41</v>
      </c>
      <c r="J60" s="55">
        <f>IFERROR(__xludf.DUMMYFUNCTION("""COMPUTED_VALUE"""),27.0)</f>
        <v>27</v>
      </c>
      <c r="K60" s="54">
        <f>IFERROR(__xludf.DUMMYFUNCTION("""COMPUTED_VALUE"""),14.0)</f>
        <v>14</v>
      </c>
      <c r="L60" s="56">
        <f>IFERROR(__xludf.DUMMYFUNCTION("""COMPUTED_VALUE"""),0.6585365853658537)</f>
        <v>0.6585365854</v>
      </c>
      <c r="M60" s="56">
        <f>IFERROR(__xludf.DUMMYFUNCTION("""COMPUTED_VALUE"""),0.3142857142857143)</f>
        <v>0.3142857143</v>
      </c>
      <c r="N60" s="31">
        <f>IFERROR(__xludf.DUMMYFUNCTION("""COMPUTED_VALUE"""),366.3414634146341)</f>
        <v>366.3414634</v>
      </c>
      <c r="O60" s="57">
        <f>IFERROR(__xludf.DUMMYFUNCTION("""COMPUTED_VALUE"""),0.8048780487804879)</f>
        <v>0.8048780488</v>
      </c>
      <c r="P60" s="57">
        <f>IFERROR(__xludf.DUMMYFUNCTION("""COMPUTED_VALUE"""),0.7317073170731707)</f>
        <v>0.7317073171</v>
      </c>
      <c r="Q60" s="57">
        <f>IFERROR(__xludf.DUMMYFUNCTION("""COMPUTED_VALUE"""),1.4390243902439024)</f>
        <v>1.43902439</v>
      </c>
      <c r="R60" s="57">
        <f>IFERROR(__xludf.DUMMYFUNCTION("""COMPUTED_VALUE"""),2.5609756097560976)</f>
        <v>2.56097561</v>
      </c>
      <c r="S60" s="31">
        <f>IFERROR(__xludf.DUMMYFUNCTION("""COMPUTED_VALUE"""),332.66666666666663)</f>
        <v>332.6666667</v>
      </c>
      <c r="T60" s="57">
        <f>IFERROR(__xludf.DUMMYFUNCTION("""COMPUTED_VALUE"""),0.6422764227642277)</f>
        <v>0.6422764228</v>
      </c>
      <c r="U60" s="57">
        <f>IFERROR(__xludf.DUMMYFUNCTION("""COMPUTED_VALUE"""),0.4634146341463415)</f>
        <v>0.4634146341</v>
      </c>
      <c r="V60" s="57">
        <f>IFERROR(__xludf.DUMMYFUNCTION("""COMPUTED_VALUE"""),1.4065040650406508)</f>
        <v>1.406504065</v>
      </c>
      <c r="W60" s="57">
        <f>IFERROR(__xludf.DUMMYFUNCTION("""COMPUTED_VALUE"""),2.2113821138211383)</f>
        <v>2.211382114</v>
      </c>
      <c r="X60" s="31">
        <f>IFERROR(__xludf.DUMMYFUNCTION("""COMPUTED_VALUE"""),336.6036089782496)</f>
        <v>336.603609</v>
      </c>
      <c r="Y60" s="57">
        <f>IFERROR(__xludf.DUMMYFUNCTION("""COMPUTED_VALUE"""),0.7936216247940527)</f>
        <v>0.7936216248</v>
      </c>
      <c r="Z60" s="57">
        <f>IFERROR(__xludf.DUMMYFUNCTION("""COMPUTED_VALUE"""),0.526958285724841)</f>
        <v>0.5269582857</v>
      </c>
      <c r="AA60" s="57">
        <f>IFERROR(__xludf.DUMMYFUNCTION("""COMPUTED_VALUE"""),1.2243950065838056)</f>
        <v>1.224395007</v>
      </c>
      <c r="AB60" s="57">
        <f>IFERROR(__xludf.DUMMYFUNCTION("""COMPUTED_VALUE"""),2.482454406167751)</f>
        <v>2.482454406</v>
      </c>
      <c r="AC60" s="31">
        <f>IFERROR(__xludf.DUMMYFUNCTION("""COMPUTED_VALUE"""),331.34883112544543)</f>
        <v>331.3488311</v>
      </c>
      <c r="AD60" s="57">
        <f>IFERROR(__xludf.DUMMYFUNCTION("""COMPUTED_VALUE"""),0.7487271032524814)</f>
        <v>0.7487271033</v>
      </c>
      <c r="AE60" s="57">
        <f>IFERROR(__xludf.DUMMYFUNCTION("""COMPUTED_VALUE"""),0.5283533724705355)</f>
        <v>0.5283533725</v>
      </c>
      <c r="AF60" s="57">
        <f>IFERROR(__xludf.DUMMYFUNCTION("""COMPUTED_VALUE"""),1.2435864461978994)</f>
        <v>1.243586446</v>
      </c>
      <c r="AG60" s="57">
        <f>IFERROR(__xludf.DUMMYFUNCTION("""COMPUTED_VALUE"""),2.4102337408315884)</f>
        <v>2.410233741</v>
      </c>
      <c r="AH60" s="57">
        <f>IFERROR(__xludf.DUMMYFUNCTION("""COMPUTED_VALUE"""),1.1056066266186428)</f>
        <v>1.105606627</v>
      </c>
      <c r="AI60" s="57">
        <f>IFERROR(__xludf.DUMMYFUNCTION("""COMPUTED_VALUE"""),1.074995208914017)</f>
        <v>1.074995209</v>
      </c>
      <c r="AJ60" s="57">
        <f>IFERROR(__xludf.DUMMYFUNCTION("""COMPUTED_VALUE"""),1.3848824578364465)</f>
        <v>1.384882458</v>
      </c>
      <c r="AK60" s="57">
        <f>IFERROR(__xludf.DUMMYFUNCTION("""COMPUTED_VALUE"""),1.1571567016056894)</f>
        <v>1.157156702</v>
      </c>
      <c r="AL60" s="57">
        <f>IFERROR(__xludf.DUMMYFUNCTION("""COMPUTED_VALUE"""),1.0625424274711628)</f>
        <v>1.062542427</v>
      </c>
      <c r="AM60" s="57">
        <f>IFERROR(__xludf.DUMMYFUNCTION("""COMPUTED_VALUE"""),0.9883039212694913)</f>
        <v>0.9883039213</v>
      </c>
      <c r="AN60" s="57">
        <f>IFERROR(__xludf.DUMMYFUNCTION("""COMPUTED_VALUE"""),0.8092980366190253)</f>
        <v>0.8092980366</v>
      </c>
      <c r="AO60" s="57">
        <f>IFERROR(__xludf.DUMMYFUNCTION("""COMPUTED_VALUE"""),0.8794142661765075)</f>
        <v>0.8794142662</v>
      </c>
      <c r="AP60" s="35">
        <f>IFERROR(__xludf.DUMMYFUNCTION("""COMPUTED_VALUE"""),1.148733911423691)</f>
        <v>1.148733911</v>
      </c>
      <c r="AQ60" s="57">
        <f>IFERROR(__xludf.DUMMYFUNCTION("""COMPUTED_VALUE"""),0.8908047246817007)</f>
        <v>0.8908047247</v>
      </c>
      <c r="AR60" s="36" t="b">
        <f>IFERROR(__xludf.DUMMYFUNCTION("""COMPUTED_VALUE"""),TRUE)</f>
        <v>1</v>
      </c>
      <c r="AS60" s="57"/>
      <c r="AT60" s="37"/>
      <c r="AU60" s="30"/>
      <c r="AV60" s="30"/>
      <c r="AW60" s="30"/>
      <c r="AX60" s="30"/>
      <c r="AY60" s="30"/>
      <c r="AZ60" s="30"/>
    </row>
    <row r="61">
      <c r="A61" s="30" t="str">
        <f>IFERROR(__xludf.DUMMYFUNCTION("""COMPUTED_VALUE"""),"Challenger")</f>
        <v>Challenger</v>
      </c>
      <c r="B61" s="30" t="str">
        <f>IFERROR(__xludf.DUMMYFUNCTION("""COMPUTED_VALUE"""),"RSC004901")</f>
        <v>RSC004901</v>
      </c>
      <c r="C61" s="30" t="str">
        <f>IFERROR(__xludf.DUMMYFUNCTION("""COMPUTED_VALUE"""),"Dofri9976")</f>
        <v>Dofri9976</v>
      </c>
      <c r="D61" s="31" t="str">
        <f>IFERROR(__xludf.DUMMYFUNCTION("""COMPUTED_VALUE"""),"Lilac")</f>
        <v>Lilac</v>
      </c>
      <c r="E61" s="31">
        <f>IFERROR(__xludf.DUMMYFUNCTION("""COMPUTED_VALUE"""),72.78411997560158)</f>
        <v>72.78411998</v>
      </c>
      <c r="F61" s="31">
        <f>IFERROR(__xludf.DUMMYFUNCTION("""COMPUTED_VALUE"""),5.52328736899983)</f>
        <v>5.523287369</v>
      </c>
      <c r="G61" s="31">
        <f>IFERROR(__xludf.DUMMYFUNCTION("""COMPUTED_VALUE"""),66.36360135310044)</f>
        <v>66.36360135</v>
      </c>
      <c r="H61" s="31">
        <f>IFERROR(__xludf.DUMMYFUNCTION("""COMPUTED_VALUE"""),3.9004499514913213)</f>
        <v>3.900449951</v>
      </c>
      <c r="I61" s="54">
        <f>IFERROR(__xludf.DUMMYFUNCTION("""COMPUTED_VALUE"""),21.0)</f>
        <v>21</v>
      </c>
      <c r="J61" s="55">
        <f>IFERROR(__xludf.DUMMYFUNCTION("""COMPUTED_VALUE"""),12.0)</f>
        <v>12</v>
      </c>
      <c r="K61" s="54">
        <f>IFERROR(__xludf.DUMMYFUNCTION("""COMPUTED_VALUE"""),9.0)</f>
        <v>9</v>
      </c>
      <c r="L61" s="56">
        <f>IFERROR(__xludf.DUMMYFUNCTION("""COMPUTED_VALUE"""),0.5714285714285714)</f>
        <v>0.5714285714</v>
      </c>
      <c r="M61" s="56">
        <f>IFERROR(__xludf.DUMMYFUNCTION("""COMPUTED_VALUE"""),0.3333333333333333)</f>
        <v>0.3333333333</v>
      </c>
      <c r="N61" s="31">
        <f>IFERROR(__xludf.DUMMYFUNCTION("""COMPUTED_VALUE"""),385.9047619047619)</f>
        <v>385.9047619</v>
      </c>
      <c r="O61" s="57">
        <f>IFERROR(__xludf.DUMMYFUNCTION("""COMPUTED_VALUE"""),0.8571428571428571)</f>
        <v>0.8571428571</v>
      </c>
      <c r="P61" s="57">
        <f>IFERROR(__xludf.DUMMYFUNCTION("""COMPUTED_VALUE"""),0.8571428571428571)</f>
        <v>0.8571428571</v>
      </c>
      <c r="Q61" s="57">
        <f>IFERROR(__xludf.DUMMYFUNCTION("""COMPUTED_VALUE"""),1.5714285714285714)</f>
        <v>1.571428571</v>
      </c>
      <c r="R61" s="57">
        <f>IFERROR(__xludf.DUMMYFUNCTION("""COMPUTED_VALUE"""),2.5714285714285716)</f>
        <v>2.571428571</v>
      </c>
      <c r="S61" s="31">
        <f>IFERROR(__xludf.DUMMYFUNCTION("""COMPUTED_VALUE"""),355.82539682539675)</f>
        <v>355.8253968</v>
      </c>
      <c r="T61" s="57">
        <f>IFERROR(__xludf.DUMMYFUNCTION("""COMPUTED_VALUE"""),0.7301587301587302)</f>
        <v>0.7301587302</v>
      </c>
      <c r="U61" s="57">
        <f>IFERROR(__xludf.DUMMYFUNCTION("""COMPUTED_VALUE"""),0.5714285714285715)</f>
        <v>0.5714285714</v>
      </c>
      <c r="V61" s="57">
        <f>IFERROR(__xludf.DUMMYFUNCTION("""COMPUTED_VALUE"""),1.4126984126984126)</f>
        <v>1.412698413</v>
      </c>
      <c r="W61" s="57">
        <f>IFERROR(__xludf.DUMMYFUNCTION("""COMPUTED_VALUE"""),2.365079365079365)</f>
        <v>2.365079365</v>
      </c>
      <c r="X61" s="31">
        <f>IFERROR(__xludf.DUMMYFUNCTION("""COMPUTED_VALUE"""),337.6025859987505)</f>
        <v>337.602586</v>
      </c>
      <c r="Y61" s="57">
        <f>IFERROR(__xludf.DUMMYFUNCTION("""COMPUTED_VALUE"""),0.7791565072313766)</f>
        <v>0.7791565072</v>
      </c>
      <c r="Z61" s="57">
        <f>IFERROR(__xludf.DUMMYFUNCTION("""COMPUTED_VALUE"""),0.5339443822108758)</f>
        <v>0.5339443822</v>
      </c>
      <c r="AA61" s="57">
        <f>IFERROR(__xludf.DUMMYFUNCTION("""COMPUTED_VALUE"""),1.2760059842555056)</f>
        <v>1.276005984</v>
      </c>
      <c r="AB61" s="57">
        <f>IFERROR(__xludf.DUMMYFUNCTION("""COMPUTED_VALUE"""),2.4729738870024027)</f>
        <v>2.472973887</v>
      </c>
      <c r="AC61" s="31">
        <f>IFERROR(__xludf.DUMMYFUNCTION("""COMPUTED_VALUE"""),351.85436661700726)</f>
        <v>351.8543666</v>
      </c>
      <c r="AD61" s="57">
        <f>IFERROR(__xludf.DUMMYFUNCTION("""COMPUTED_VALUE"""),0.8303213502376303)</f>
        <v>0.8303213502</v>
      </c>
      <c r="AE61" s="57">
        <f>IFERROR(__xludf.DUMMYFUNCTION("""COMPUTED_VALUE"""),0.5975368197946286)</f>
        <v>0.5975368198</v>
      </c>
      <c r="AF61" s="57">
        <f>IFERROR(__xludf.DUMMYFUNCTION("""COMPUTED_VALUE"""),1.2792494545473194)</f>
        <v>1.279249455</v>
      </c>
      <c r="AG61" s="57">
        <f>IFERROR(__xludf.DUMMYFUNCTION("""COMPUTED_VALUE"""),2.595626299872292)</f>
        <v>2.5956263</v>
      </c>
      <c r="AH61" s="57">
        <f>IFERROR(__xludf.DUMMYFUNCTION("""COMPUTED_VALUE"""),1.0967741159933322)</f>
        <v>1.096774116</v>
      </c>
      <c r="AI61" s="57">
        <f>IFERROR(__xludf.DUMMYFUNCTION("""COMPUTED_VALUE"""),1.0323025620111428)</f>
        <v>1.032302562</v>
      </c>
      <c r="AJ61" s="57">
        <f>IFERROR(__xludf.DUMMYFUNCTION("""COMPUTED_VALUE"""),1.4344603190100558)</f>
        <v>1.434460319</v>
      </c>
      <c r="AK61" s="57">
        <f>IFERROR(__xludf.DUMMYFUNCTION("""COMPUTED_VALUE"""),1.2283988598491478)</f>
        <v>1.22839886</v>
      </c>
      <c r="AL61" s="57">
        <f>IFERROR(__xludf.DUMMYFUNCTION("""COMPUTED_VALUE"""),0.9906774991280867)</f>
        <v>0.9906774991</v>
      </c>
      <c r="AM61" s="57">
        <f>IFERROR(__xludf.DUMMYFUNCTION("""COMPUTED_VALUE"""),1.0539771067592287)</f>
        <v>1.053977107</v>
      </c>
      <c r="AN61" s="57">
        <f>IFERROR(__xludf.DUMMYFUNCTION("""COMPUTED_VALUE"""),0.9371143324635084)</f>
        <v>0.9371143325</v>
      </c>
      <c r="AO61" s="57">
        <f>IFERROR(__xludf.DUMMYFUNCTION("""COMPUTED_VALUE"""),1.0702024226989464)</f>
        <v>1.070202423</v>
      </c>
      <c r="AP61" s="35">
        <f>IFERROR(__xludf.DUMMYFUNCTION("""COMPUTED_VALUE"""),1.1071252252180157)</f>
        <v>1.107125225</v>
      </c>
      <c r="AQ61" s="57">
        <f>IFERROR(__xludf.DUMMYFUNCTION("""COMPUTED_VALUE"""),0.9563705373153693)</f>
        <v>0.9563705373</v>
      </c>
      <c r="AR61" s="36" t="b">
        <f>IFERROR(__xludf.DUMMYFUNCTION("""COMPUTED_VALUE"""),TRUE)</f>
        <v>1</v>
      </c>
      <c r="AS61" s="57"/>
      <c r="AT61" s="37"/>
      <c r="AU61" s="30"/>
      <c r="AV61" s="30"/>
      <c r="AW61" s="30"/>
      <c r="AX61" s="30"/>
      <c r="AY61" s="30"/>
      <c r="AZ61" s="30"/>
    </row>
    <row r="62">
      <c r="A62" s="30" t="str">
        <f>IFERROR(__xludf.DUMMYFUNCTION("""COMPUTED_VALUE"""),"Challenger")</f>
        <v>Challenger</v>
      </c>
      <c r="B62" s="30" t="str">
        <f>IFERROR(__xludf.DUMMYFUNCTION("""COMPUTED_VALUE"""),"RSC006159")</f>
        <v>RSC006159</v>
      </c>
      <c r="C62" s="30" t="str">
        <f>IFERROR(__xludf.DUMMYFUNCTION("""COMPUTED_VALUE"""),"Peter Potamus")</f>
        <v>Peter Potamus</v>
      </c>
      <c r="D62" s="31" t="str">
        <f>IFERROR(__xludf.DUMMYFUNCTION("""COMPUTED_VALUE"""),"Lions")</f>
        <v>Lions</v>
      </c>
      <c r="E62" s="31">
        <f>IFERROR(__xludf.DUMMYFUNCTION("""COMPUTED_VALUE"""),72.65758336634349)</f>
        <v>72.65758337</v>
      </c>
      <c r="F62" s="31">
        <f>IFERROR(__xludf.DUMMYFUNCTION("""COMPUTED_VALUE"""),5.482827057991643)</f>
        <v>5.482827058</v>
      </c>
      <c r="G62" s="31">
        <f>IFERROR(__xludf.DUMMYFUNCTION("""COMPUTED_VALUE"""),62.59022506672559)</f>
        <v>62.59022507</v>
      </c>
      <c r="H62" s="31">
        <f>IFERROR(__xludf.DUMMYFUNCTION("""COMPUTED_VALUE"""),3.2544870651462676)</f>
        <v>3.254487065</v>
      </c>
      <c r="I62" s="54">
        <f>IFERROR(__xludf.DUMMYFUNCTION("""COMPUTED_VALUE"""),36.0)</f>
        <v>36</v>
      </c>
      <c r="J62" s="55">
        <f>IFERROR(__xludf.DUMMYFUNCTION("""COMPUTED_VALUE"""),19.0)</f>
        <v>19</v>
      </c>
      <c r="K62" s="54">
        <f>IFERROR(__xludf.DUMMYFUNCTION("""COMPUTED_VALUE"""),17.0)</f>
        <v>17</v>
      </c>
      <c r="L62" s="56">
        <f>IFERROR(__xludf.DUMMYFUNCTION("""COMPUTED_VALUE"""),0.5277777777777778)</f>
        <v>0.5277777778</v>
      </c>
      <c r="M62" s="56">
        <f>IFERROR(__xludf.DUMMYFUNCTION("""COMPUTED_VALUE"""),0.3703703703703704)</f>
        <v>0.3703703704</v>
      </c>
      <c r="N62" s="31">
        <f>IFERROR(__xludf.DUMMYFUNCTION("""COMPUTED_VALUE"""),347.55555555555554)</f>
        <v>347.5555556</v>
      </c>
      <c r="O62" s="57">
        <f>IFERROR(__xludf.DUMMYFUNCTION("""COMPUTED_VALUE"""),1.1111111111111112)</f>
        <v>1.111111111</v>
      </c>
      <c r="P62" s="57">
        <f>IFERROR(__xludf.DUMMYFUNCTION("""COMPUTED_VALUE"""),0.3888888888888889)</f>
        <v>0.3888888889</v>
      </c>
      <c r="Q62" s="57">
        <f>IFERROR(__xludf.DUMMYFUNCTION("""COMPUTED_VALUE"""),0.9722222222222222)</f>
        <v>0.9722222222</v>
      </c>
      <c r="R62" s="57">
        <f>IFERROR(__xludf.DUMMYFUNCTION("""COMPUTED_VALUE"""),3.0)</f>
        <v>3</v>
      </c>
      <c r="S62" s="31">
        <f>IFERROR(__xludf.DUMMYFUNCTION("""COMPUTED_VALUE"""),325.81481481481484)</f>
        <v>325.8148148</v>
      </c>
      <c r="T62" s="57">
        <f>IFERROR(__xludf.DUMMYFUNCTION("""COMPUTED_VALUE"""),0.685185185185185)</f>
        <v>0.6851851852</v>
      </c>
      <c r="U62" s="57">
        <f>IFERROR(__xludf.DUMMYFUNCTION("""COMPUTED_VALUE"""),0.4444444444444444)</f>
        <v>0.4444444444</v>
      </c>
      <c r="V62" s="57">
        <f>IFERROR(__xludf.DUMMYFUNCTION("""COMPUTED_VALUE"""),1.3796296296296293)</f>
        <v>1.37962963</v>
      </c>
      <c r="W62" s="57">
        <f>IFERROR(__xludf.DUMMYFUNCTION("""COMPUTED_VALUE"""),2.0925925925925926)</f>
        <v>2.092592593</v>
      </c>
      <c r="X62" s="31">
        <f>IFERROR(__xludf.DUMMYFUNCTION("""COMPUTED_VALUE"""),339.0777634674157)</f>
        <v>339.0777635</v>
      </c>
      <c r="Y62" s="57">
        <f>IFERROR(__xludf.DUMMYFUNCTION("""COMPUTED_VALUE"""),0.759986054994028)</f>
        <v>0.759986055</v>
      </c>
      <c r="Z62" s="57">
        <f>IFERROR(__xludf.DUMMYFUNCTION("""COMPUTED_VALUE"""),0.5095504178644883)</f>
        <v>0.5095504179</v>
      </c>
      <c r="AA62" s="57">
        <f>IFERROR(__xludf.DUMMYFUNCTION("""COMPUTED_VALUE"""),1.2952470500231197)</f>
        <v>1.29524705</v>
      </c>
      <c r="AB62" s="57">
        <f>IFERROR(__xludf.DUMMYFUNCTION("""COMPUTED_VALUE"""),2.3614647745878616)</f>
        <v>2.361464775</v>
      </c>
      <c r="AC62" s="31">
        <f>IFERROR(__xludf.DUMMYFUNCTION("""COMPUTED_VALUE"""),338.860145643706)</f>
        <v>338.8601456</v>
      </c>
      <c r="AD62" s="57">
        <f>IFERROR(__xludf.DUMMYFUNCTION("""COMPUTED_VALUE"""),0.7981446748527552)</f>
        <v>0.7981446749</v>
      </c>
      <c r="AE62" s="57">
        <f>IFERROR(__xludf.DUMMYFUNCTION("""COMPUTED_VALUE"""),0.5617634971614431)</f>
        <v>0.5617634972</v>
      </c>
      <c r="AF62" s="57">
        <f>IFERROR(__xludf.DUMMYFUNCTION("""COMPUTED_VALUE"""),1.1844905990154988)</f>
        <v>1.184490599</v>
      </c>
      <c r="AG62" s="57">
        <f>IFERROR(__xludf.DUMMYFUNCTION("""COMPUTED_VALUE"""),2.5674100298805502)</f>
        <v>2.56741003</v>
      </c>
      <c r="AH62" s="57">
        <f>IFERROR(__xludf.DUMMYFUNCTION("""COMPUTED_VALUE"""),1.0256607630718317)</f>
        <v>1.025660763</v>
      </c>
      <c r="AI62" s="57">
        <f>IFERROR(__xludf.DUMMYFUNCTION("""COMPUTED_VALUE"""),1.3921174269766232)</f>
        <v>1.392117427</v>
      </c>
      <c r="AJ62" s="57">
        <f>IFERROR(__xludf.DUMMYFUNCTION("""COMPUTED_VALUE"""),0.6922644330824641)</f>
        <v>0.6922644331</v>
      </c>
      <c r="AK62" s="57">
        <f>IFERROR(__xludf.DUMMYFUNCTION("""COMPUTED_VALUE"""),0.8207935318611177)</f>
        <v>0.8207935319</v>
      </c>
      <c r="AL62" s="57">
        <f>IFERROR(__xludf.DUMMYFUNCTION("""COMPUTED_VALUE"""),1.1684927475879558)</f>
        <v>1.168492748</v>
      </c>
      <c r="AM62" s="57">
        <f>IFERROR(__xludf.DUMMYFUNCTION("""COMPUTED_VALUE"""),0.9608852302286836)</f>
        <v>0.9608852302</v>
      </c>
      <c r="AN62" s="57">
        <f>IFERROR(__xludf.DUMMYFUNCTION("""COMPUTED_VALUE"""),0.9015759969313768)</f>
        <v>0.9015759969</v>
      </c>
      <c r="AO62" s="57">
        <f>IFERROR(__xludf.DUMMYFUNCTION("""COMPUTED_VALUE"""),0.8722285938005876)</f>
        <v>0.8722285938</v>
      </c>
      <c r="AP62" s="35">
        <f>IFERROR(__xludf.DUMMYFUNCTION("""COMPUTED_VALUE"""),1.0651478647297468)</f>
        <v>1.065147865</v>
      </c>
      <c r="AQ62" s="57">
        <f>IFERROR(__xludf.DUMMYFUNCTION("""COMPUTED_VALUE"""),0.8861417773880644)</f>
        <v>0.8861417774</v>
      </c>
      <c r="AR62" s="36" t="b">
        <f>IFERROR(__xludf.DUMMYFUNCTION("""COMPUTED_VALUE"""),TRUE)</f>
        <v>1</v>
      </c>
      <c r="AS62" s="57"/>
      <c r="AT62" s="37"/>
      <c r="AU62" s="30"/>
      <c r="AV62" s="30"/>
      <c r="AW62" s="30"/>
      <c r="AX62" s="30"/>
      <c r="AY62" s="30"/>
      <c r="AZ62" s="30"/>
    </row>
    <row r="63">
      <c r="A63" s="30" t="str">
        <f>IFERROR(__xludf.DUMMYFUNCTION("""COMPUTED_VALUE"""),"Challenger")</f>
        <v>Challenger</v>
      </c>
      <c r="B63" s="30" t="str">
        <f>IFERROR(__xludf.DUMMYFUNCTION("""COMPUTED_VALUE"""),"RSC003450")</f>
        <v>RSC003450</v>
      </c>
      <c r="C63" s="30" t="str">
        <f>IFERROR(__xludf.DUMMYFUNCTION("""COMPUTED_VALUE"""),"ChronoElevated")</f>
        <v>ChronoElevated</v>
      </c>
      <c r="D63" s="31" t="str">
        <f>IFERROR(__xludf.DUMMYFUNCTION("""COMPUTED_VALUE"""),"Mugged")</f>
        <v>Mugged</v>
      </c>
      <c r="E63" s="31">
        <f>IFERROR(__xludf.DUMMYFUNCTION("""COMPUTED_VALUE"""),72.42166023965811)</f>
        <v>72.42166024</v>
      </c>
      <c r="F63" s="31">
        <f>IFERROR(__xludf.DUMMYFUNCTION("""COMPUTED_VALUE"""),5.408472066624103)</f>
        <v>5.408472067</v>
      </c>
      <c r="G63" s="31">
        <f>IFERROR(__xludf.DUMMYFUNCTION("""COMPUTED_VALUE"""),59.98112650640138)</f>
        <v>59.98112651</v>
      </c>
      <c r="H63" s="31">
        <f>IFERROR(__xludf.DUMMYFUNCTION("""COMPUTED_VALUE"""),2.8997583511853784)</f>
        <v>2.899758351</v>
      </c>
      <c r="I63" s="54">
        <f>IFERROR(__xludf.DUMMYFUNCTION("""COMPUTED_VALUE"""),30.0)</f>
        <v>30</v>
      </c>
      <c r="J63" s="55">
        <f>IFERROR(__xludf.DUMMYFUNCTION("""COMPUTED_VALUE"""),19.0)</f>
        <v>19</v>
      </c>
      <c r="K63" s="54">
        <f>IFERROR(__xludf.DUMMYFUNCTION("""COMPUTED_VALUE"""),11.0)</f>
        <v>11</v>
      </c>
      <c r="L63" s="56">
        <f>IFERROR(__xludf.DUMMYFUNCTION("""COMPUTED_VALUE"""),0.6333333333333333)</f>
        <v>0.6333333333</v>
      </c>
      <c r="M63" s="56">
        <f>IFERROR(__xludf.DUMMYFUNCTION("""COMPUTED_VALUE"""),0.33333333333333337)</f>
        <v>0.3333333333</v>
      </c>
      <c r="N63" s="31">
        <f>IFERROR(__xludf.DUMMYFUNCTION("""COMPUTED_VALUE"""),345.8666666666667)</f>
        <v>345.8666667</v>
      </c>
      <c r="O63" s="57">
        <f>IFERROR(__xludf.DUMMYFUNCTION("""COMPUTED_VALUE"""),0.9666666666666667)</f>
        <v>0.9666666667</v>
      </c>
      <c r="P63" s="57">
        <f>IFERROR(__xludf.DUMMYFUNCTION("""COMPUTED_VALUE"""),0.7333333333333333)</f>
        <v>0.7333333333</v>
      </c>
      <c r="Q63" s="57">
        <f>IFERROR(__xludf.DUMMYFUNCTION("""COMPUTED_VALUE"""),1.0333333333333334)</f>
        <v>1.033333333</v>
      </c>
      <c r="R63" s="57">
        <f>IFERROR(__xludf.DUMMYFUNCTION("""COMPUTED_VALUE"""),2.9)</f>
        <v>2.9</v>
      </c>
      <c r="S63" s="31">
        <f>IFERROR(__xludf.DUMMYFUNCTION("""COMPUTED_VALUE"""),339.22222222222234)</f>
        <v>339.2222222</v>
      </c>
      <c r="T63" s="57">
        <f>IFERROR(__xludf.DUMMYFUNCTION("""COMPUTED_VALUE"""),0.8222222222222223)</f>
        <v>0.8222222222</v>
      </c>
      <c r="U63" s="57">
        <f>IFERROR(__xludf.DUMMYFUNCTION("""COMPUTED_VALUE"""),0.5666666666666667)</f>
        <v>0.5666666667</v>
      </c>
      <c r="V63" s="57">
        <f>IFERROR(__xludf.DUMMYFUNCTION("""COMPUTED_VALUE"""),1.1888888888888889)</f>
        <v>1.188888889</v>
      </c>
      <c r="W63" s="57">
        <f>IFERROR(__xludf.DUMMYFUNCTION("""COMPUTED_VALUE"""),2.566666666666666)</f>
        <v>2.566666667</v>
      </c>
      <c r="X63" s="31">
        <f>IFERROR(__xludf.DUMMYFUNCTION("""COMPUTED_VALUE"""),334.94076865356357)</f>
        <v>334.9407687</v>
      </c>
      <c r="Y63" s="57">
        <f>IFERROR(__xludf.DUMMYFUNCTION("""COMPUTED_VALUE"""),0.7586452123684547)</f>
        <v>0.7586452124</v>
      </c>
      <c r="Z63" s="57">
        <f>IFERROR(__xludf.DUMMYFUNCTION("""COMPUTED_VALUE"""),0.516996709658761)</f>
        <v>0.5169967097</v>
      </c>
      <c r="AA63" s="57">
        <f>IFERROR(__xludf.DUMMYFUNCTION("""COMPUTED_VALUE"""),1.281226716327597)</f>
        <v>1.281226716</v>
      </c>
      <c r="AB63" s="57">
        <f>IFERROR(__xludf.DUMMYFUNCTION("""COMPUTED_VALUE"""),2.424253996588108)</f>
        <v>2.424253997</v>
      </c>
      <c r="AC63" s="31">
        <f>IFERROR(__xludf.DUMMYFUNCTION("""COMPUTED_VALUE"""),345.0126379816886)</f>
        <v>345.012638</v>
      </c>
      <c r="AD63" s="57">
        <f>IFERROR(__xludf.DUMMYFUNCTION("""COMPUTED_VALUE"""),0.8020631723141096)</f>
        <v>0.8020631723</v>
      </c>
      <c r="AE63" s="57">
        <f>IFERROR(__xludf.DUMMYFUNCTION("""COMPUTED_VALUE"""),0.5751279718202282)</f>
        <v>0.5751279718</v>
      </c>
      <c r="AF63" s="57">
        <f>IFERROR(__xludf.DUMMYFUNCTION("""COMPUTED_VALUE"""),1.250421247538128)</f>
        <v>1.250421248</v>
      </c>
      <c r="AG63" s="57">
        <f>IFERROR(__xludf.DUMMYFUNCTION("""COMPUTED_VALUE"""),2.5417560222309104)</f>
        <v>2.541756022</v>
      </c>
      <c r="AH63" s="57">
        <f>IFERROR(__xludf.DUMMYFUNCTION("""COMPUTED_VALUE"""),1.0024753547869263)</f>
        <v>1.002475355</v>
      </c>
      <c r="AI63" s="57">
        <f>IFERROR(__xludf.DUMMYFUNCTION("""COMPUTED_VALUE"""),1.205225099511356)</f>
        <v>1.2052251</v>
      </c>
      <c r="AJ63" s="57">
        <f>IFERROR(__xludf.DUMMYFUNCTION("""COMPUTED_VALUE"""),1.2750785377598648)</f>
        <v>1.275078538</v>
      </c>
      <c r="AK63" s="57">
        <f>IFERROR(__xludf.DUMMYFUNCTION("""COMPUTED_VALUE"""),0.8263881754790998)</f>
        <v>0.8263881755</v>
      </c>
      <c r="AL63" s="57">
        <f>IFERROR(__xludf.DUMMYFUNCTION("""COMPUTED_VALUE"""),1.1409434952197566)</f>
        <v>1.140943495</v>
      </c>
      <c r="AM63" s="57">
        <f>IFERROR(__xludf.DUMMYFUNCTION("""COMPUTED_VALUE"""),1.0127827185262335)</f>
        <v>1.012782719</v>
      </c>
      <c r="AN63" s="57">
        <f>IFERROR(__xludf.DUMMYFUNCTION("""COMPUTED_VALUE"""),1.0838033494672472)</f>
        <v>1.083803349</v>
      </c>
      <c r="AO63" s="57">
        <f>IFERROR(__xludf.DUMMYFUNCTION("""COMPUTED_VALUE"""),1.0960740292538609)</f>
        <v>1.096074029</v>
      </c>
      <c r="AP63" s="35">
        <f>IFERROR(__xludf.DUMMYFUNCTION("""COMPUTED_VALUE"""),0.9279301420568424)</f>
        <v>0.9279301421</v>
      </c>
      <c r="AQ63" s="57">
        <f>IFERROR(__xludf.DUMMYFUNCTION("""COMPUTED_VALUE"""),1.058744945982966)</f>
        <v>1.058744946</v>
      </c>
      <c r="AR63" s="36" t="b">
        <f>IFERROR(__xludf.DUMMYFUNCTION("""COMPUTED_VALUE"""),TRUE)</f>
        <v>1</v>
      </c>
      <c r="AS63" s="57"/>
      <c r="AT63" s="37"/>
      <c r="AU63" s="30"/>
      <c r="AV63" s="30"/>
      <c r="AW63" s="30"/>
      <c r="AX63" s="30"/>
      <c r="AY63" s="30"/>
      <c r="AZ63" s="30"/>
    </row>
    <row r="64">
      <c r="A64" s="30" t="str">
        <f>IFERROR(__xludf.DUMMYFUNCTION("""COMPUTED_VALUE"""),"Challenger")</f>
        <v>Challenger</v>
      </c>
      <c r="B64" s="30" t="str">
        <f>IFERROR(__xludf.DUMMYFUNCTION("""COMPUTED_VALUE"""),"RSC006769")</f>
        <v>RSC006769</v>
      </c>
      <c r="C64" s="30" t="str">
        <f>IFERROR(__xludf.DUMMYFUNCTION("""COMPUTED_VALUE"""),"baltostorm")</f>
        <v>baltostorm</v>
      </c>
      <c r="D64" s="31" t="str">
        <f>IFERROR(__xludf.DUMMYFUNCTION("""COMPUTED_VALUE"""),"Decuriones")</f>
        <v>Decuriones</v>
      </c>
      <c r="E64" s="31">
        <f>IFERROR(__xludf.DUMMYFUNCTION("""COMPUTED_VALUE"""),72.19139109331057)</f>
        <v>72.19139109</v>
      </c>
      <c r="F64" s="31">
        <f>IFERROR(__xludf.DUMMYFUNCTION("""COMPUTED_VALUE"""),5.337232894517332)</f>
        <v>5.337232895</v>
      </c>
      <c r="G64" s="31">
        <f>IFERROR(__xludf.DUMMYFUNCTION("""COMPUTED_VALUE"""),62.92417641724172)</f>
        <v>62.92417642</v>
      </c>
      <c r="H64" s="31">
        <f>IFERROR(__xludf.DUMMYFUNCTION("""COMPUTED_VALUE"""),3.3048064874236474)</f>
        <v>3.304806487</v>
      </c>
      <c r="I64" s="54">
        <f>IFERROR(__xludf.DUMMYFUNCTION("""COMPUTED_VALUE"""),20.0)</f>
        <v>20</v>
      </c>
      <c r="J64" s="55">
        <f>IFERROR(__xludf.DUMMYFUNCTION("""COMPUTED_VALUE"""),12.0)</f>
        <v>12</v>
      </c>
      <c r="K64" s="54">
        <f>IFERROR(__xludf.DUMMYFUNCTION("""COMPUTED_VALUE"""),8.0)</f>
        <v>8</v>
      </c>
      <c r="L64" s="56">
        <f>IFERROR(__xludf.DUMMYFUNCTION("""COMPUTED_VALUE"""),0.6)</f>
        <v>0.6</v>
      </c>
      <c r="M64" s="56">
        <f>IFERROR(__xludf.DUMMYFUNCTION("""COMPUTED_VALUE"""),0.36363636363636365)</f>
        <v>0.3636363636</v>
      </c>
      <c r="N64" s="31">
        <f>IFERROR(__xludf.DUMMYFUNCTION("""COMPUTED_VALUE"""),355.25)</f>
        <v>355.25</v>
      </c>
      <c r="O64" s="57">
        <f>IFERROR(__xludf.DUMMYFUNCTION("""COMPUTED_VALUE"""),1.0)</f>
        <v>1</v>
      </c>
      <c r="P64" s="57">
        <f>IFERROR(__xludf.DUMMYFUNCTION("""COMPUTED_VALUE"""),0.55)</f>
        <v>0.55</v>
      </c>
      <c r="Q64" s="57">
        <f>IFERROR(__xludf.DUMMYFUNCTION("""COMPUTED_VALUE"""),1.15)</f>
        <v>1.15</v>
      </c>
      <c r="R64" s="57">
        <f>IFERROR(__xludf.DUMMYFUNCTION("""COMPUTED_VALUE"""),2.75)</f>
        <v>2.75</v>
      </c>
      <c r="S64" s="31">
        <f>IFERROR(__xludf.DUMMYFUNCTION("""COMPUTED_VALUE"""),315.08333333333337)</f>
        <v>315.0833333</v>
      </c>
      <c r="T64" s="57">
        <f>IFERROR(__xludf.DUMMYFUNCTION("""COMPUTED_VALUE"""),0.65)</f>
        <v>0.65</v>
      </c>
      <c r="U64" s="57">
        <f>IFERROR(__xludf.DUMMYFUNCTION("""COMPUTED_VALUE"""),0.5333333333333333)</f>
        <v>0.5333333333</v>
      </c>
      <c r="V64" s="57">
        <f>IFERROR(__xludf.DUMMYFUNCTION("""COMPUTED_VALUE"""),1.2166666666666666)</f>
        <v>1.216666667</v>
      </c>
      <c r="W64" s="57">
        <f>IFERROR(__xludf.DUMMYFUNCTION("""COMPUTED_VALUE"""),2.1166666666666667)</f>
        <v>2.116666667</v>
      </c>
      <c r="X64" s="31">
        <f>IFERROR(__xludf.DUMMYFUNCTION("""COMPUTED_VALUE"""),335.132293937553)</f>
        <v>335.1322939</v>
      </c>
      <c r="Y64" s="57">
        <f>IFERROR(__xludf.DUMMYFUNCTION("""COMPUTED_VALUE"""),0.7433845772269099)</f>
        <v>0.7433845772</v>
      </c>
      <c r="Z64" s="57">
        <f>IFERROR(__xludf.DUMMYFUNCTION("""COMPUTED_VALUE"""),0.5003728301479341)</f>
        <v>0.5003728301</v>
      </c>
      <c r="AA64" s="57">
        <f>IFERROR(__xludf.DUMMYFUNCTION("""COMPUTED_VALUE"""),1.2739258471372676)</f>
        <v>1.273925847</v>
      </c>
      <c r="AB64" s="57">
        <f>IFERROR(__xludf.DUMMYFUNCTION("""COMPUTED_VALUE"""),2.3560279138608777)</f>
        <v>2.356027914</v>
      </c>
      <c r="AC64" s="31">
        <f>IFERROR(__xludf.DUMMYFUNCTION("""COMPUTED_VALUE"""),336.82826391101605)</f>
        <v>336.8282639</v>
      </c>
      <c r="AD64" s="57">
        <f>IFERROR(__xludf.DUMMYFUNCTION("""COMPUTED_VALUE"""),0.7765195961560487)</f>
        <v>0.7765195962</v>
      </c>
      <c r="AE64" s="57">
        <f>IFERROR(__xludf.DUMMYFUNCTION("""COMPUTED_VALUE"""),0.5272332044104979)</f>
        <v>0.5272332044</v>
      </c>
      <c r="AF64" s="57">
        <f>IFERROR(__xludf.DUMMYFUNCTION("""COMPUTED_VALUE"""),1.239773273832513)</f>
        <v>1.239773274</v>
      </c>
      <c r="AG64" s="57">
        <f>IFERROR(__xludf.DUMMYFUNCTION("""COMPUTED_VALUE"""),2.4953760543501113)</f>
        <v>2.495376054</v>
      </c>
      <c r="AH64" s="57">
        <f>IFERROR(__xludf.DUMMYFUNCTION("""COMPUTED_VALUE"""),1.0546917763820753)</f>
        <v>1.054691776</v>
      </c>
      <c r="AI64" s="57">
        <f>IFERROR(__xludf.DUMMYFUNCTION("""COMPUTED_VALUE"""),1.287797506914482)</f>
        <v>1.287797507</v>
      </c>
      <c r="AJ64" s="57">
        <f>IFERROR(__xludf.DUMMYFUNCTION("""COMPUTED_VALUE"""),1.043181642201306)</f>
        <v>1.043181642</v>
      </c>
      <c r="AK64" s="57">
        <f>IFERROR(__xludf.DUMMYFUNCTION("""COMPUTED_VALUE"""),0.9275889586206382)</f>
        <v>0.9275889586</v>
      </c>
      <c r="AL64" s="57">
        <f>IFERROR(__xludf.DUMMYFUNCTION("""COMPUTED_VALUE"""),1.102038306092587)</f>
        <v>1.102038306</v>
      </c>
      <c r="AM64" s="57">
        <f>IFERROR(__xludf.DUMMYFUNCTION("""COMPUTED_VALUE"""),0.9401759813455773)</f>
        <v>0.9401759813</v>
      </c>
      <c r="AN64" s="57">
        <f>IFERROR(__xludf.DUMMYFUNCTION("""COMPUTED_VALUE"""),0.8743791839544645)</f>
        <v>0.874379184</v>
      </c>
      <c r="AO64" s="57">
        <f>IFERROR(__xludf.DUMMYFUNCTION("""COMPUTED_VALUE"""),1.065871888319065)</f>
        <v>1.065871888</v>
      </c>
      <c r="AP64" s="35">
        <f>IFERROR(__xludf.DUMMYFUNCTION("""COMPUTED_VALUE"""),0.9550529721967158)</f>
        <v>0.9550529722</v>
      </c>
      <c r="AQ64" s="57">
        <f>IFERROR(__xludf.DUMMYFUNCTION("""COMPUTED_VALUE"""),0.8984047490328906)</f>
        <v>0.898404749</v>
      </c>
      <c r="AR64" s="36" t="b">
        <f>IFERROR(__xludf.DUMMYFUNCTION("""COMPUTED_VALUE"""),TRUE)</f>
        <v>1</v>
      </c>
      <c r="AS64" s="57"/>
      <c r="AT64" s="37"/>
      <c r="AU64" s="30"/>
      <c r="AV64" s="30"/>
      <c r="AW64" s="30"/>
      <c r="AX64" s="30"/>
      <c r="AY64" s="30"/>
      <c r="AZ64" s="30"/>
    </row>
    <row r="65">
      <c r="A65" s="30" t="str">
        <f>IFERROR(__xludf.DUMMYFUNCTION("""COMPUTED_VALUE"""),"Challenger")</f>
        <v>Challenger</v>
      </c>
      <c r="B65" s="30" t="str">
        <f>IFERROR(__xludf.DUMMYFUNCTION("""COMPUTED_VALUE"""),"RSC008000")</f>
        <v>RSC008000</v>
      </c>
      <c r="C65" s="30" t="str">
        <f>IFERROR(__xludf.DUMMYFUNCTION("""COMPUTED_VALUE"""),"ChefHoffy")</f>
        <v>ChefHoffy</v>
      </c>
      <c r="D65" s="31" t="str">
        <f>IFERROR(__xludf.DUMMYFUNCTION("""COMPUTED_VALUE"""),"Ryujin")</f>
        <v>Ryujin</v>
      </c>
      <c r="E65" s="31">
        <f>IFERROR(__xludf.DUMMYFUNCTION("""COMPUTED_VALUE"""),71.93902570474754)</f>
        <v>71.9390257</v>
      </c>
      <c r="F65" s="31">
        <f>IFERROR(__xludf.DUMMYFUNCTION("""COMPUTED_VALUE"""),5.260638514792147)</f>
        <v>5.260638515</v>
      </c>
      <c r="G65" s="31">
        <f>IFERROR(__xludf.DUMMYFUNCTION("""COMPUTED_VALUE"""),72.13381047735295)</f>
        <v>72.13381048</v>
      </c>
      <c r="H65" s="31">
        <f>IFERROR(__xludf.DUMMYFUNCTION("""COMPUTED_VALUE"""),5.31962167099792)</f>
        <v>5.319621671</v>
      </c>
      <c r="I65" s="54">
        <f>IFERROR(__xludf.DUMMYFUNCTION("""COMPUTED_VALUE"""),48.0)</f>
        <v>48</v>
      </c>
      <c r="J65" s="55">
        <f>IFERROR(__xludf.DUMMYFUNCTION("""COMPUTED_VALUE"""),34.0)</f>
        <v>34</v>
      </c>
      <c r="K65" s="54">
        <f>IFERROR(__xludf.DUMMYFUNCTION("""COMPUTED_VALUE"""),14.0)</f>
        <v>14</v>
      </c>
      <c r="L65" s="56">
        <f>IFERROR(__xludf.DUMMYFUNCTION("""COMPUTED_VALUE"""),0.7083333333333334)</f>
        <v>0.7083333333</v>
      </c>
      <c r="M65" s="56">
        <f>IFERROR(__xludf.DUMMYFUNCTION("""COMPUTED_VALUE"""),0.2945736434108527)</f>
        <v>0.2945736434</v>
      </c>
      <c r="N65" s="31">
        <f>IFERROR(__xludf.DUMMYFUNCTION("""COMPUTED_VALUE"""),336.125)</f>
        <v>336.125</v>
      </c>
      <c r="O65" s="57">
        <f>IFERROR(__xludf.DUMMYFUNCTION("""COMPUTED_VALUE"""),0.7916666666666666)</f>
        <v>0.7916666667</v>
      </c>
      <c r="P65" s="57">
        <f>IFERROR(__xludf.DUMMYFUNCTION("""COMPUTED_VALUE"""),0.625)</f>
        <v>0.625</v>
      </c>
      <c r="Q65" s="57">
        <f>IFERROR(__xludf.DUMMYFUNCTION("""COMPUTED_VALUE"""),1.0625)</f>
        <v>1.0625</v>
      </c>
      <c r="R65" s="57">
        <f>IFERROR(__xludf.DUMMYFUNCTION("""COMPUTED_VALUE"""),2.6875)</f>
        <v>2.6875</v>
      </c>
      <c r="S65" s="31">
        <f>IFERROR(__xludf.DUMMYFUNCTION("""COMPUTED_VALUE"""),289.20833333333337)</f>
        <v>289.2083333</v>
      </c>
      <c r="T65" s="57">
        <f>IFERROR(__xludf.DUMMYFUNCTION("""COMPUTED_VALUE"""),0.5)</f>
        <v>0.5</v>
      </c>
      <c r="U65" s="57">
        <f>IFERROR(__xludf.DUMMYFUNCTION("""COMPUTED_VALUE"""),0.361111111111111)</f>
        <v>0.3611111111</v>
      </c>
      <c r="V65" s="57">
        <f>IFERROR(__xludf.DUMMYFUNCTION("""COMPUTED_VALUE"""),1.2361111111111112)</f>
        <v>1.236111111</v>
      </c>
      <c r="W65" s="57">
        <f>IFERROR(__xludf.DUMMYFUNCTION("""COMPUTED_VALUE"""),1.868055555555556)</f>
        <v>1.868055556</v>
      </c>
      <c r="X65" s="31">
        <f>IFERROR(__xludf.DUMMYFUNCTION("""COMPUTED_VALUE"""),334.9292019433587)</f>
        <v>334.9292019</v>
      </c>
      <c r="Y65" s="57">
        <f>IFERROR(__xludf.DUMMYFUNCTION("""COMPUTED_VALUE"""),0.7567830589424851)</f>
        <v>0.7567830589</v>
      </c>
      <c r="Z65" s="57">
        <f>IFERROR(__xludf.DUMMYFUNCTION("""COMPUTED_VALUE"""),0.5126130376728774)</f>
        <v>0.5126130377</v>
      </c>
      <c r="AA65" s="57">
        <f>IFERROR(__xludf.DUMMYFUNCTION("""COMPUTED_VALUE"""),1.2351631824308036)</f>
        <v>1.235163182</v>
      </c>
      <c r="AB65" s="57">
        <f>IFERROR(__xludf.DUMMYFUNCTION("""COMPUTED_VALUE"""),2.434865099216908)</f>
        <v>2.434865099</v>
      </c>
      <c r="AC65" s="31">
        <f>IFERROR(__xludf.DUMMYFUNCTION("""COMPUTED_VALUE"""),331.540856936617)</f>
        <v>331.5408569</v>
      </c>
      <c r="AD65" s="57">
        <f>IFERROR(__xludf.DUMMYFUNCTION("""COMPUTED_VALUE"""),0.7716153055152991)</f>
        <v>0.7716153055</v>
      </c>
      <c r="AE65" s="57">
        <f>IFERROR(__xludf.DUMMYFUNCTION("""COMPUTED_VALUE"""),0.5210847932796193)</f>
        <v>0.5210847933</v>
      </c>
      <c r="AF65" s="57">
        <f>IFERROR(__xludf.DUMMYFUNCTION("""COMPUTED_VALUE"""),1.2071876854654953)</f>
        <v>1.207187685</v>
      </c>
      <c r="AG65" s="57">
        <f>IFERROR(__xludf.DUMMYFUNCTION("""COMPUTED_VALUE"""),2.4428072865318406)</f>
        <v>2.442807287</v>
      </c>
      <c r="AH65" s="57">
        <f>IFERROR(__xludf.DUMMYFUNCTION("""COMPUTED_VALUE"""),1.0138267817298288)</f>
        <v>1.013826782</v>
      </c>
      <c r="AI65" s="57">
        <f>IFERROR(__xludf.DUMMYFUNCTION("""COMPUTED_VALUE"""),1.0259862149027446)</f>
        <v>1.025986215</v>
      </c>
      <c r="AJ65" s="57">
        <f>IFERROR(__xludf.DUMMYFUNCTION("""COMPUTED_VALUE"""),1.1994209158673697)</f>
        <v>1.199420916</v>
      </c>
      <c r="AK65" s="57">
        <f>IFERROR(__xludf.DUMMYFUNCTION("""COMPUTED_VALUE"""),0.880144829832568)</f>
        <v>0.8801448298</v>
      </c>
      <c r="AL65" s="57">
        <f>IFERROR(__xludf.DUMMYFUNCTION("""COMPUTED_VALUE"""),1.1001686521966947)</f>
        <v>1.100168652</v>
      </c>
      <c r="AM65" s="57">
        <f>IFERROR(__xludf.DUMMYFUNCTION("""COMPUTED_VALUE"""),0.8634909457140815)</f>
        <v>0.8634909457</v>
      </c>
      <c r="AN65" s="57">
        <f>IFERROR(__xludf.DUMMYFUNCTION("""COMPUTED_VALUE"""),0.6606913224229556)</f>
        <v>0.6606913224</v>
      </c>
      <c r="AO65" s="57">
        <f>IFERROR(__xludf.DUMMYFUNCTION("""COMPUTED_VALUE"""),0.7044516712849451)</f>
        <v>0.7044516713</v>
      </c>
      <c r="AP65" s="35">
        <f>IFERROR(__xludf.DUMMYFUNCTION("""COMPUTED_VALUE"""),1.000767452182668)</f>
        <v>1.000767452</v>
      </c>
      <c r="AQ65" s="57">
        <f>IFERROR(__xludf.DUMMYFUNCTION("""COMPUTED_VALUE"""),0.7672111100349474)</f>
        <v>0.76721111</v>
      </c>
      <c r="AR65" s="36" t="b">
        <f>IFERROR(__xludf.DUMMYFUNCTION("""COMPUTED_VALUE"""),TRUE)</f>
        <v>1</v>
      </c>
      <c r="AS65" s="57"/>
      <c r="AT65" s="37"/>
      <c r="AU65" s="30"/>
      <c r="AV65" s="30"/>
      <c r="AW65" s="30"/>
      <c r="AX65" s="30"/>
      <c r="AY65" s="30"/>
      <c r="AZ65" s="30"/>
    </row>
    <row r="66">
      <c r="A66" s="30" t="str">
        <f>IFERROR(__xludf.DUMMYFUNCTION("""COMPUTED_VALUE"""),"Challenger")</f>
        <v>Challenger</v>
      </c>
      <c r="B66" s="30" t="str">
        <f>IFERROR(__xludf.DUMMYFUNCTION("""COMPUTED_VALUE"""),"RSC005150")</f>
        <v>RSC005150</v>
      </c>
      <c r="C66" s="30" t="str">
        <f>IFERROR(__xludf.DUMMYFUNCTION("""COMPUTED_VALUE"""),"Galatiq")</f>
        <v>Galatiq</v>
      </c>
      <c r="D66" s="31" t="str">
        <f>IFERROR(__xludf.DUMMYFUNCTION("""COMPUTED_VALUE"""),"Lions")</f>
        <v>Lions</v>
      </c>
      <c r="E66" s="31">
        <f>IFERROR(__xludf.DUMMYFUNCTION("""COMPUTED_VALUE"""),70.54694332032985)</f>
        <v>70.54694332</v>
      </c>
      <c r="F66" s="31">
        <f>IFERROR(__xludf.DUMMYFUNCTION("""COMPUTED_VALUE"""),4.864446279123677)</f>
        <v>4.864446279</v>
      </c>
      <c r="G66" s="31">
        <f>IFERROR(__xludf.DUMMYFUNCTION("""COMPUTED_VALUE"""),65.91129441382822)</f>
        <v>65.91129441</v>
      </c>
      <c r="H66" s="31">
        <f>IFERROR(__xludf.DUMMYFUNCTION("""COMPUTED_VALUE"""),3.813286231500947)</f>
        <v>3.813286232</v>
      </c>
      <c r="I66" s="54">
        <f>IFERROR(__xludf.DUMMYFUNCTION("""COMPUTED_VALUE"""),37.0)</f>
        <v>37</v>
      </c>
      <c r="J66" s="55">
        <f>IFERROR(__xludf.DUMMYFUNCTION("""COMPUTED_VALUE"""),18.0)</f>
        <v>18</v>
      </c>
      <c r="K66" s="54">
        <f>IFERROR(__xludf.DUMMYFUNCTION("""COMPUTED_VALUE"""),19.0)</f>
        <v>19</v>
      </c>
      <c r="L66" s="56">
        <f>IFERROR(__xludf.DUMMYFUNCTION("""COMPUTED_VALUE"""),0.4864864864864865)</f>
        <v>0.4864864865</v>
      </c>
      <c r="M66" s="56">
        <f>IFERROR(__xludf.DUMMYFUNCTION("""COMPUTED_VALUE"""),0.2708333333333333)</f>
        <v>0.2708333333</v>
      </c>
      <c r="N66" s="31">
        <f>IFERROR(__xludf.DUMMYFUNCTION("""COMPUTED_VALUE"""),347.8918918918919)</f>
        <v>347.8918919</v>
      </c>
      <c r="O66" s="57">
        <f>IFERROR(__xludf.DUMMYFUNCTION("""COMPUTED_VALUE"""),0.7027027027027027)</f>
        <v>0.7027027027</v>
      </c>
      <c r="P66" s="57">
        <f>IFERROR(__xludf.DUMMYFUNCTION("""COMPUTED_VALUE"""),0.918918918918919)</f>
        <v>0.9189189189</v>
      </c>
      <c r="Q66" s="57">
        <f>IFERROR(__xludf.DUMMYFUNCTION("""COMPUTED_VALUE"""),1.2702702702702702)</f>
        <v>1.27027027</v>
      </c>
      <c r="R66" s="57">
        <f>IFERROR(__xludf.DUMMYFUNCTION("""COMPUTED_VALUE"""),2.5945945945945947)</f>
        <v>2.594594595</v>
      </c>
      <c r="S66" s="31">
        <f>IFERROR(__xludf.DUMMYFUNCTION("""COMPUTED_VALUE"""),329.43243243243245)</f>
        <v>329.4324324</v>
      </c>
      <c r="T66" s="57">
        <f>IFERROR(__xludf.DUMMYFUNCTION("""COMPUTED_VALUE"""),0.7297297297297298)</f>
        <v>0.7297297297</v>
      </c>
      <c r="U66" s="57">
        <f>IFERROR(__xludf.DUMMYFUNCTION("""COMPUTED_VALUE"""),0.4954954954954955)</f>
        <v>0.4954954955</v>
      </c>
      <c r="V66" s="57">
        <f>IFERROR(__xludf.DUMMYFUNCTION("""COMPUTED_VALUE"""),1.36036036036036)</f>
        <v>1.36036036</v>
      </c>
      <c r="W66" s="57">
        <f>IFERROR(__xludf.DUMMYFUNCTION("""COMPUTED_VALUE"""),2.18018018018018)</f>
        <v>2.18018018</v>
      </c>
      <c r="X66" s="31">
        <f>IFERROR(__xludf.DUMMYFUNCTION("""COMPUTED_VALUE"""),340.8979253192247)</f>
        <v>340.8979253</v>
      </c>
      <c r="Y66" s="57">
        <f>IFERROR(__xludf.DUMMYFUNCTION("""COMPUTED_VALUE"""),0.7737317714878229)</f>
        <v>0.7737317715</v>
      </c>
      <c r="Z66" s="57">
        <f>IFERROR(__xludf.DUMMYFUNCTION("""COMPUTED_VALUE"""),0.5216434775207176)</f>
        <v>0.5216434775</v>
      </c>
      <c r="AA66" s="57">
        <f>IFERROR(__xludf.DUMMYFUNCTION("""COMPUTED_VALUE"""),1.2881887314475073)</f>
        <v>1.288188731</v>
      </c>
      <c r="AB66" s="57">
        <f>IFERROR(__xludf.DUMMYFUNCTION("""COMPUTED_VALUE"""),2.4246447670376576)</f>
        <v>2.424644767</v>
      </c>
      <c r="AC66" s="31">
        <f>IFERROR(__xludf.DUMMYFUNCTION("""COMPUTED_VALUE"""),339.7976442686548)</f>
        <v>339.7976443</v>
      </c>
      <c r="AD66" s="57">
        <f>IFERROR(__xludf.DUMMYFUNCTION("""COMPUTED_VALUE"""),0.7896083948707776)</f>
        <v>0.7896083949</v>
      </c>
      <c r="AE66" s="57">
        <f>IFERROR(__xludf.DUMMYFUNCTION("""COMPUTED_VALUE"""),0.552736828751168)</f>
        <v>0.5527368288</v>
      </c>
      <c r="AF66" s="57">
        <f>IFERROR(__xludf.DUMMYFUNCTION("""COMPUTED_VALUE"""),1.229113122912235)</f>
        <v>1.229113123</v>
      </c>
      <c r="AG66" s="57">
        <f>IFERROR(__xludf.DUMMYFUNCTION("""COMPUTED_VALUE"""),2.5435220385944417)</f>
        <v>2.543522039</v>
      </c>
      <c r="AH66" s="57">
        <f>IFERROR(__xludf.DUMMYFUNCTION("""COMPUTED_VALUE"""),1.0238207879299996)</f>
        <v>1.023820788</v>
      </c>
      <c r="AI66" s="57">
        <f>IFERROR(__xludf.DUMMYFUNCTION("""COMPUTED_VALUE"""),0.8899382368113028)</f>
        <v>0.8899382368</v>
      </c>
      <c r="AJ66" s="57">
        <f>IFERROR(__xludf.DUMMYFUNCTION("""COMPUTED_VALUE"""),1.6624890384002247)</f>
        <v>1.662489038</v>
      </c>
      <c r="AK66" s="57">
        <f>IFERROR(__xludf.DUMMYFUNCTION("""COMPUTED_VALUE"""),1.0334852395526608)</f>
        <v>1.03348524</v>
      </c>
      <c r="AL66" s="57">
        <f>IFERROR(__xludf.DUMMYFUNCTION("""COMPUTED_VALUE"""),1.0200794627391456)</f>
        <v>1.020079463</v>
      </c>
      <c r="AM66" s="57">
        <f>IFERROR(__xludf.DUMMYFUNCTION("""COMPUTED_VALUE"""),0.9663667859636995)</f>
        <v>0.966366786</v>
      </c>
      <c r="AN66" s="57">
        <f>IFERROR(__xludf.DUMMYFUNCTION("""COMPUTED_VALUE"""),0.9431301086764464)</f>
        <v>0.9431301087</v>
      </c>
      <c r="AO66" s="57">
        <f>IFERROR(__xludf.DUMMYFUNCTION("""COMPUTED_VALUE"""),0.949873844585388)</f>
        <v>0.9498738446</v>
      </c>
      <c r="AP66" s="35">
        <f>IFERROR(__xludf.DUMMYFUNCTION("""COMPUTED_VALUE"""),1.056025663903887)</f>
        <v>1.056025664</v>
      </c>
      <c r="AQ66" s="57">
        <f>IFERROR(__xludf.DUMMYFUNCTION("""COMPUTED_VALUE"""),0.8991750914686957)</f>
        <v>0.8991750915</v>
      </c>
      <c r="AR66" s="36" t="b">
        <f>IFERROR(__xludf.DUMMYFUNCTION("""COMPUTED_VALUE"""),TRUE)</f>
        <v>1</v>
      </c>
      <c r="AS66" s="57"/>
      <c r="AT66" s="37"/>
      <c r="AU66" s="30"/>
      <c r="AV66" s="30"/>
      <c r="AW66" s="30"/>
      <c r="AX66" s="30"/>
      <c r="AY66" s="30"/>
      <c r="AZ66" s="30"/>
    </row>
    <row r="67">
      <c r="A67" s="30" t="str">
        <f>IFERROR(__xludf.DUMMYFUNCTION("""COMPUTED_VALUE"""),"Challenger")</f>
        <v>Challenger</v>
      </c>
      <c r="B67" s="30" t="str">
        <f>IFERROR(__xludf.DUMMYFUNCTION("""COMPUTED_VALUE"""),"RSC004618")</f>
        <v>RSC004618</v>
      </c>
      <c r="C67" s="30" t="str">
        <f>IFERROR(__xludf.DUMMYFUNCTION("""COMPUTED_VALUE"""),"Squirrel")</f>
        <v>Squirrel</v>
      </c>
      <c r="D67" s="31" t="str">
        <f>IFERROR(__xludf.DUMMYFUNCTION("""COMPUTED_VALUE"""),"Mugged")</f>
        <v>Mugged</v>
      </c>
      <c r="E67" s="31">
        <f>IFERROR(__xludf.DUMMYFUNCTION("""COMPUTED_VALUE"""),69.94012281220213)</f>
        <v>69.94012281</v>
      </c>
      <c r="F67" s="31">
        <f>IFERROR(__xludf.DUMMYFUNCTION("""COMPUTED_VALUE"""),4.70477756746544)</f>
        <v>4.704777567</v>
      </c>
      <c r="G67" s="31">
        <f>IFERROR(__xludf.DUMMYFUNCTION("""COMPUTED_VALUE"""),59.49640740787067)</f>
        <v>59.49640741</v>
      </c>
      <c r="H67" s="31">
        <f>IFERROR(__xludf.DUMMYFUNCTION("""COMPUTED_VALUE"""),2.8406989016884956)</f>
        <v>2.840698902</v>
      </c>
      <c r="I67" s="54">
        <f>IFERROR(__xludf.DUMMYFUNCTION("""COMPUTED_VALUE"""),11.0)</f>
        <v>11</v>
      </c>
      <c r="J67" s="55">
        <f>IFERROR(__xludf.DUMMYFUNCTION("""COMPUTED_VALUE"""),6.0)</f>
        <v>6</v>
      </c>
      <c r="K67" s="54">
        <f>IFERROR(__xludf.DUMMYFUNCTION("""COMPUTED_VALUE"""),5.0)</f>
        <v>5</v>
      </c>
      <c r="L67" s="56">
        <f>IFERROR(__xludf.DUMMYFUNCTION("""COMPUTED_VALUE"""),0.5454545454545454)</f>
        <v>0.5454545455</v>
      </c>
      <c r="M67" s="56">
        <f>IFERROR(__xludf.DUMMYFUNCTION("""COMPUTED_VALUE"""),0.43478260869565216)</f>
        <v>0.4347826087</v>
      </c>
      <c r="N67" s="31">
        <f>IFERROR(__xludf.DUMMYFUNCTION("""COMPUTED_VALUE"""),441.3636363636364)</f>
        <v>441.3636364</v>
      </c>
      <c r="O67" s="57">
        <f>IFERROR(__xludf.DUMMYFUNCTION("""COMPUTED_VALUE"""),0.9090909090909091)</f>
        <v>0.9090909091</v>
      </c>
      <c r="P67" s="57">
        <f>IFERROR(__xludf.DUMMYFUNCTION("""COMPUTED_VALUE"""),0.5454545454545454)</f>
        <v>0.5454545455</v>
      </c>
      <c r="Q67" s="57">
        <f>IFERROR(__xludf.DUMMYFUNCTION("""COMPUTED_VALUE"""),2.0)</f>
        <v>2</v>
      </c>
      <c r="R67" s="57">
        <f>IFERROR(__xludf.DUMMYFUNCTION("""COMPUTED_VALUE"""),2.090909090909091)</f>
        <v>2.090909091</v>
      </c>
      <c r="S67" s="31">
        <f>IFERROR(__xludf.DUMMYFUNCTION("""COMPUTED_VALUE"""),332.09090909090907)</f>
        <v>332.0909091</v>
      </c>
      <c r="T67" s="57">
        <f>IFERROR(__xludf.DUMMYFUNCTION("""COMPUTED_VALUE"""),0.7575757575757575)</f>
        <v>0.7575757576</v>
      </c>
      <c r="U67" s="57">
        <f>IFERROR(__xludf.DUMMYFUNCTION("""COMPUTED_VALUE"""),0.42424242424242425)</f>
        <v>0.4242424242</v>
      </c>
      <c r="V67" s="57">
        <f>IFERROR(__xludf.DUMMYFUNCTION("""COMPUTED_VALUE"""),1.1818181818181819)</f>
        <v>1.181818182</v>
      </c>
      <c r="W67" s="57">
        <f>IFERROR(__xludf.DUMMYFUNCTION("""COMPUTED_VALUE"""),2.96969696969697)</f>
        <v>2.96969697</v>
      </c>
      <c r="X67" s="31">
        <f>IFERROR(__xludf.DUMMYFUNCTION("""COMPUTED_VALUE"""),331.35152359437785)</f>
        <v>331.3515236</v>
      </c>
      <c r="Y67" s="57">
        <f>IFERROR(__xludf.DUMMYFUNCTION("""COMPUTED_VALUE"""),0.7802961851353133)</f>
        <v>0.7802961851</v>
      </c>
      <c r="Z67" s="57">
        <f>IFERROR(__xludf.DUMMYFUNCTION("""COMPUTED_VALUE"""),0.5087540981025319)</f>
        <v>0.5087540981</v>
      </c>
      <c r="AA67" s="57">
        <f>IFERROR(__xludf.DUMMYFUNCTION("""COMPUTED_VALUE"""),1.1623345858750633)</f>
        <v>1.162334586</v>
      </c>
      <c r="AB67" s="57">
        <f>IFERROR(__xludf.DUMMYFUNCTION("""COMPUTED_VALUE"""),2.5261331396707276)</f>
        <v>2.52613314</v>
      </c>
      <c r="AC67" s="31">
        <f>IFERROR(__xludf.DUMMYFUNCTION("""COMPUTED_VALUE"""),329.26751297252434)</f>
        <v>329.267513</v>
      </c>
      <c r="AD67" s="57">
        <f>IFERROR(__xludf.DUMMYFUNCTION("""COMPUTED_VALUE"""),0.7052548691787145)</f>
        <v>0.7052548692</v>
      </c>
      <c r="AE67" s="57">
        <f>IFERROR(__xludf.DUMMYFUNCTION("""COMPUTED_VALUE"""),0.5039172050977968)</f>
        <v>0.5039172051</v>
      </c>
      <c r="AF67" s="57">
        <f>IFERROR(__xludf.DUMMYFUNCTION("""COMPUTED_VALUE"""),1.2252705919813882)</f>
        <v>1.225270592</v>
      </c>
      <c r="AG67" s="57">
        <f>IFERROR(__xludf.DUMMYFUNCTION("""COMPUTED_VALUE"""),2.34489241055412)</f>
        <v>2.344892411</v>
      </c>
      <c r="AH67" s="57">
        <f>IFERROR(__xludf.DUMMYFUNCTION("""COMPUTED_VALUE"""),1.340440884614286)</f>
        <v>1.340440885</v>
      </c>
      <c r="AI67" s="57">
        <f>IFERROR(__xludf.DUMMYFUNCTION("""COMPUTED_VALUE"""),1.2890246474293277)</f>
        <v>1.289024647</v>
      </c>
      <c r="AJ67" s="57">
        <f>IFERROR(__xludf.DUMMYFUNCTION("""COMPUTED_VALUE"""),1.0824288989074848)</f>
        <v>1.082428899</v>
      </c>
      <c r="AK67" s="57">
        <f>IFERROR(__xludf.DUMMYFUNCTION("""COMPUTED_VALUE"""),1.6322925018267147)</f>
        <v>1.632292502</v>
      </c>
      <c r="AL67" s="57">
        <f>IFERROR(__xludf.DUMMYFUNCTION("""COMPUTED_VALUE"""),0.891686578666946)</f>
        <v>0.8916865787</v>
      </c>
      <c r="AM67" s="57">
        <f>IFERROR(__xludf.DUMMYFUNCTION("""COMPUTED_VALUE"""),1.0022314232586307)</f>
        <v>1.002231423</v>
      </c>
      <c r="AN67" s="57">
        <f>IFERROR(__xludf.DUMMYFUNCTION("""COMPUTED_VALUE"""),0.9708823034222372)</f>
        <v>0.9708823034</v>
      </c>
      <c r="AO67" s="57">
        <f>IFERROR(__xludf.DUMMYFUNCTION("""COMPUTED_VALUE"""),0.8338850258399775)</f>
        <v>0.8338850258</v>
      </c>
      <c r="AP67" s="35">
        <f>IFERROR(__xludf.DUMMYFUNCTION("""COMPUTED_VALUE"""),1.0167624676920806)</f>
        <v>1.016762468</v>
      </c>
      <c r="AQ67" s="57">
        <f>IFERROR(__xludf.DUMMYFUNCTION("""COMPUTED_VALUE"""),1.1755900443489924)</f>
        <v>1.175590044</v>
      </c>
      <c r="AR67" s="36" t="b">
        <f>IFERROR(__xludf.DUMMYFUNCTION("""COMPUTED_VALUE"""),TRUE)</f>
        <v>1</v>
      </c>
      <c r="AS67" s="57"/>
      <c r="AT67" s="37"/>
      <c r="AU67" s="30"/>
      <c r="AV67" s="30"/>
      <c r="AW67" s="30"/>
      <c r="AX67" s="30"/>
      <c r="AY67" s="30"/>
      <c r="AZ67" s="30"/>
    </row>
    <row r="68">
      <c r="A68" s="30" t="str">
        <f>IFERROR(__xludf.DUMMYFUNCTION("""COMPUTED_VALUE"""),"Challenger")</f>
        <v>Challenger</v>
      </c>
      <c r="B68" s="30" t="str">
        <f>IFERROR(__xludf.DUMMYFUNCTION("""COMPUTED_VALUE"""),"RSC007870")</f>
        <v>RSC007870</v>
      </c>
      <c r="C68" s="30" t="str">
        <f>IFERROR(__xludf.DUMMYFUNCTION("""COMPUTED_VALUE"""),"King_OaF")</f>
        <v>King_OaF</v>
      </c>
      <c r="D68" s="31" t="str">
        <f>IFERROR(__xludf.DUMMYFUNCTION("""COMPUTED_VALUE"""),"Metal")</f>
        <v>Metal</v>
      </c>
      <c r="E68" s="31">
        <f>IFERROR(__xludf.DUMMYFUNCTION("""COMPUTED_VALUE"""),69.50095422715381)</f>
        <v>69.50095423</v>
      </c>
      <c r="F68" s="31">
        <f>IFERROR(__xludf.DUMMYFUNCTION("""COMPUTED_VALUE"""),4.5938105741813695)</f>
        <v>4.593810574</v>
      </c>
      <c r="G68" s="31">
        <f>IFERROR(__xludf.DUMMYFUNCTION("""COMPUTED_VALUE"""),79.02387761552475)</f>
        <v>79.02387762</v>
      </c>
      <c r="H68" s="31">
        <f>IFERROR(__xludf.DUMMYFUNCTION("""COMPUTED_VALUE"""),8.141328329120334)</f>
        <v>8.141328329</v>
      </c>
      <c r="I68" s="54">
        <f>IFERROR(__xludf.DUMMYFUNCTION("""COMPUTED_VALUE"""),21.0)</f>
        <v>21</v>
      </c>
      <c r="J68" s="55">
        <f>IFERROR(__xludf.DUMMYFUNCTION("""COMPUTED_VALUE"""),12.0)</f>
        <v>12</v>
      </c>
      <c r="K68" s="54">
        <f>IFERROR(__xludf.DUMMYFUNCTION("""COMPUTED_VALUE"""),9.0)</f>
        <v>9</v>
      </c>
      <c r="L68" s="56">
        <f>IFERROR(__xludf.DUMMYFUNCTION("""COMPUTED_VALUE"""),0.5714285714285714)</f>
        <v>0.5714285714</v>
      </c>
      <c r="M68" s="56">
        <f>IFERROR(__xludf.DUMMYFUNCTION("""COMPUTED_VALUE"""),0.3508771929824561)</f>
        <v>0.350877193</v>
      </c>
      <c r="N68" s="31">
        <f>IFERROR(__xludf.DUMMYFUNCTION("""COMPUTED_VALUE"""),374.5238095238095)</f>
        <v>374.5238095</v>
      </c>
      <c r="O68" s="57">
        <f>IFERROR(__xludf.DUMMYFUNCTION("""COMPUTED_VALUE"""),0.9523809523809523)</f>
        <v>0.9523809524</v>
      </c>
      <c r="P68" s="57">
        <f>IFERROR(__xludf.DUMMYFUNCTION("""COMPUTED_VALUE"""),0.5714285714285714)</f>
        <v>0.5714285714</v>
      </c>
      <c r="Q68" s="57">
        <f>IFERROR(__xludf.DUMMYFUNCTION("""COMPUTED_VALUE"""),1.0952380952380953)</f>
        <v>1.095238095</v>
      </c>
      <c r="R68" s="57">
        <f>IFERROR(__xludf.DUMMYFUNCTION("""COMPUTED_VALUE"""),2.7142857142857144)</f>
        <v>2.714285714</v>
      </c>
      <c r="S68" s="31">
        <f>IFERROR(__xludf.DUMMYFUNCTION("""COMPUTED_VALUE"""),315.04761904761904)</f>
        <v>315.047619</v>
      </c>
      <c r="T68" s="57">
        <f>IFERROR(__xludf.DUMMYFUNCTION("""COMPUTED_VALUE"""),0.6984126984126986)</f>
        <v>0.6984126984</v>
      </c>
      <c r="U68" s="57">
        <f>IFERROR(__xludf.DUMMYFUNCTION("""COMPUTED_VALUE"""),0.4444444444444445)</f>
        <v>0.4444444444</v>
      </c>
      <c r="V68" s="57">
        <f>IFERROR(__xludf.DUMMYFUNCTION("""COMPUTED_VALUE"""),1.0634920634920637)</f>
        <v>1.063492063</v>
      </c>
      <c r="W68" s="57">
        <f>IFERROR(__xludf.DUMMYFUNCTION("""COMPUTED_VALUE"""),2.253968253968254)</f>
        <v>2.253968254</v>
      </c>
      <c r="X68" s="31">
        <f>IFERROR(__xludf.DUMMYFUNCTION("""COMPUTED_VALUE"""),320.9931862064597)</f>
        <v>320.9931862</v>
      </c>
      <c r="Y68" s="57">
        <f>IFERROR(__xludf.DUMMYFUNCTION("""COMPUTED_VALUE"""),0.7052640971620426)</f>
        <v>0.7052640972</v>
      </c>
      <c r="Z68" s="57">
        <f>IFERROR(__xludf.DUMMYFUNCTION("""COMPUTED_VALUE"""),0.47783664845607504)</f>
        <v>0.4778366485</v>
      </c>
      <c r="AA68" s="57">
        <f>IFERROR(__xludf.DUMMYFUNCTION("""COMPUTED_VALUE"""),1.201775758986007)</f>
        <v>1.201775759</v>
      </c>
      <c r="AB68" s="57">
        <f>IFERROR(__xludf.DUMMYFUNCTION("""COMPUTED_VALUE"""),2.2889645711741657)</f>
        <v>2.288964571</v>
      </c>
      <c r="AC68" s="31">
        <f>IFERROR(__xludf.DUMMYFUNCTION("""COMPUTED_VALUE"""),339.7308928193563)</f>
        <v>339.7308928</v>
      </c>
      <c r="AD68" s="57">
        <f>IFERROR(__xludf.DUMMYFUNCTION("""COMPUTED_VALUE"""),0.8143379631762875)</f>
        <v>0.8143379632</v>
      </c>
      <c r="AE68" s="57">
        <f>IFERROR(__xludf.DUMMYFUNCTION("""COMPUTED_VALUE"""),0.5677012089301459)</f>
        <v>0.5677012089</v>
      </c>
      <c r="AF68" s="57">
        <f>IFERROR(__xludf.DUMMYFUNCTION("""COMPUTED_VALUE"""),1.1601066322712783)</f>
        <v>1.160106632</v>
      </c>
      <c r="AG68" s="57">
        <f>IFERROR(__xludf.DUMMYFUNCTION("""COMPUTED_VALUE"""),2.5141576406846022)</f>
        <v>2.514157641</v>
      </c>
      <c r="AH68" s="57">
        <f>IFERROR(__xludf.DUMMYFUNCTION("""COMPUTED_VALUE"""),1.102413167126822)</f>
        <v>1.102413167</v>
      </c>
      <c r="AI68" s="57">
        <f>IFERROR(__xludf.DUMMYFUNCTION("""COMPUTED_VALUE"""),1.1695156009505372)</f>
        <v>1.169515601</v>
      </c>
      <c r="AJ68" s="57">
        <f>IFERROR(__xludf.DUMMYFUNCTION("""COMPUTED_VALUE"""),1.0065657117508167)</f>
        <v>1.006565712</v>
      </c>
      <c r="AK68" s="57">
        <f>IFERROR(__xludf.DUMMYFUNCTION("""COMPUTED_VALUE"""),0.9440839874295157)</f>
        <v>0.9440839874</v>
      </c>
      <c r="AL68" s="57">
        <f>IFERROR(__xludf.DUMMYFUNCTION("""COMPUTED_VALUE"""),1.0796004476261152)</f>
        <v>1.079600448</v>
      </c>
      <c r="AM68" s="57">
        <f>IFERROR(__xludf.DUMMYFUNCTION("""COMPUTED_VALUE"""),0.9814775907579031)</f>
        <v>0.9814775908</v>
      </c>
      <c r="AN68" s="57">
        <f>IFERROR(__xludf.DUMMYFUNCTION("""COMPUTED_VALUE"""),0.9902853430694774)</f>
        <v>0.9902853431</v>
      </c>
      <c r="AO68" s="57">
        <f>IFERROR(__xludf.DUMMYFUNCTION("""COMPUTED_VALUE"""),0.9301179511460178)</f>
        <v>0.9301179511</v>
      </c>
      <c r="AP68" s="35">
        <f>IFERROR(__xludf.DUMMYFUNCTION("""COMPUTED_VALUE"""),0.8849338618623664)</f>
        <v>0.8849338619</v>
      </c>
      <c r="AQ68" s="57">
        <f>IFERROR(__xludf.DUMMYFUNCTION("""COMPUTED_VALUE"""),0.9847108523886152)</f>
        <v>0.9847108524</v>
      </c>
      <c r="AR68" s="36" t="b">
        <f>IFERROR(__xludf.DUMMYFUNCTION("""COMPUTED_VALUE"""),TRUE)</f>
        <v>1</v>
      </c>
      <c r="AS68" s="57"/>
      <c r="AT68" s="37"/>
      <c r="AU68" s="30"/>
      <c r="AV68" s="30"/>
      <c r="AW68" s="30"/>
      <c r="AX68" s="30"/>
      <c r="AY68" s="30"/>
      <c r="AZ68" s="30"/>
    </row>
    <row r="69">
      <c r="A69" s="30" t="str">
        <f>IFERROR(__xludf.DUMMYFUNCTION("""COMPUTED_VALUE"""),"Challenger")</f>
        <v>Challenger</v>
      </c>
      <c r="B69" s="30" t="str">
        <f>IFERROR(__xludf.DUMMYFUNCTION("""COMPUTED_VALUE"""),"RSC007613")</f>
        <v>RSC007613</v>
      </c>
      <c r="C69" s="30" t="str">
        <f>IFERROR(__xludf.DUMMYFUNCTION("""COMPUTED_VALUE"""),"Squatch70")</f>
        <v>Squatch70</v>
      </c>
      <c r="D69" s="31" t="str">
        <f>IFERROR(__xludf.DUMMYFUNCTION("""COMPUTED_VALUE"""),"Panda Bears")</f>
        <v>Panda Bears</v>
      </c>
      <c r="E69" s="31">
        <f>IFERROR(__xludf.DUMMYFUNCTION("""COMPUTED_VALUE"""),69.07061627672016)</f>
        <v>69.07061628</v>
      </c>
      <c r="F69" s="31">
        <f>IFERROR(__xludf.DUMMYFUNCTION("""COMPUTED_VALUE"""),4.488652911713825)</f>
        <v>4.488652912</v>
      </c>
      <c r="G69" s="31">
        <f>IFERROR(__xludf.DUMMYFUNCTION("""COMPUTED_VALUE"""),52.2229339461367)</f>
        <v>52.22293395</v>
      </c>
      <c r="H69" s="31">
        <f>IFERROR(__xludf.DUMMYFUNCTION("""COMPUTED_VALUE"""),2.15251056396213)</f>
        <v>2.152510564</v>
      </c>
      <c r="I69" s="54">
        <f>IFERROR(__xludf.DUMMYFUNCTION("""COMPUTED_VALUE"""),43.0)</f>
        <v>43</v>
      </c>
      <c r="J69" s="55">
        <f>IFERROR(__xludf.DUMMYFUNCTION("""COMPUTED_VALUE"""),26.0)</f>
        <v>26</v>
      </c>
      <c r="K69" s="54">
        <f>IFERROR(__xludf.DUMMYFUNCTION("""COMPUTED_VALUE"""),17.0)</f>
        <v>17</v>
      </c>
      <c r="L69" s="56">
        <f>IFERROR(__xludf.DUMMYFUNCTION("""COMPUTED_VALUE"""),0.6046511627906976)</f>
        <v>0.6046511628</v>
      </c>
      <c r="M69" s="56">
        <f>IFERROR(__xludf.DUMMYFUNCTION("""COMPUTED_VALUE"""),0.2920353982300885)</f>
        <v>0.2920353982</v>
      </c>
      <c r="N69" s="31">
        <f>IFERROR(__xludf.DUMMYFUNCTION("""COMPUTED_VALUE"""),375.4418604651163)</f>
        <v>375.4418605</v>
      </c>
      <c r="O69" s="57">
        <f>IFERROR(__xludf.DUMMYFUNCTION("""COMPUTED_VALUE"""),0.7674418604651163)</f>
        <v>0.7674418605</v>
      </c>
      <c r="P69" s="57">
        <f>IFERROR(__xludf.DUMMYFUNCTION("""COMPUTED_VALUE"""),0.6511627906976745)</f>
        <v>0.6511627907</v>
      </c>
      <c r="Q69" s="57">
        <f>IFERROR(__xludf.DUMMYFUNCTION("""COMPUTED_VALUE"""),1.6046511627906976)</f>
        <v>1.604651163</v>
      </c>
      <c r="R69" s="57">
        <f>IFERROR(__xludf.DUMMYFUNCTION("""COMPUTED_VALUE"""),2.627906976744186)</f>
        <v>2.627906977</v>
      </c>
      <c r="S69" s="31">
        <f>IFERROR(__xludf.DUMMYFUNCTION("""COMPUTED_VALUE"""),332.90697674418607)</f>
        <v>332.9069767</v>
      </c>
      <c r="T69" s="57">
        <f>IFERROR(__xludf.DUMMYFUNCTION("""COMPUTED_VALUE"""),0.6356589147286823)</f>
        <v>0.6356589147</v>
      </c>
      <c r="U69" s="57">
        <f>IFERROR(__xludf.DUMMYFUNCTION("""COMPUTED_VALUE"""),0.44186046511627913)</f>
        <v>0.4418604651</v>
      </c>
      <c r="V69" s="57">
        <f>IFERROR(__xludf.DUMMYFUNCTION("""COMPUTED_VALUE"""),1.395348837209302)</f>
        <v>1.395348837</v>
      </c>
      <c r="W69" s="57">
        <f>IFERROR(__xludf.DUMMYFUNCTION("""COMPUTED_VALUE"""),2.6511627906976742)</f>
        <v>2.651162791</v>
      </c>
      <c r="X69" s="31">
        <f>IFERROR(__xludf.DUMMYFUNCTION("""COMPUTED_VALUE"""),337.97036294651343)</f>
        <v>337.9703629</v>
      </c>
      <c r="Y69" s="57">
        <f>IFERROR(__xludf.DUMMYFUNCTION("""COMPUTED_VALUE"""),0.7660519042546264)</f>
        <v>0.7660519043</v>
      </c>
      <c r="Z69" s="57">
        <f>IFERROR(__xludf.DUMMYFUNCTION("""COMPUTED_VALUE"""),0.5619992121086899)</f>
        <v>0.5619992121</v>
      </c>
      <c r="AA69" s="57">
        <f>IFERROR(__xludf.DUMMYFUNCTION("""COMPUTED_VALUE"""),1.2653759405384186)</f>
        <v>1.265375941</v>
      </c>
      <c r="AB69" s="57">
        <f>IFERROR(__xludf.DUMMYFUNCTION("""COMPUTED_VALUE"""),2.4079469803596805)</f>
        <v>2.40794698</v>
      </c>
      <c r="AC69" s="31">
        <f>IFERROR(__xludf.DUMMYFUNCTION("""COMPUTED_VALUE"""),328.6311029129722)</f>
        <v>328.6311029</v>
      </c>
      <c r="AD69" s="57">
        <f>IFERROR(__xludf.DUMMYFUNCTION("""COMPUTED_VALUE"""),0.7527551723223802)</f>
        <v>0.7527551723</v>
      </c>
      <c r="AE69" s="57">
        <f>IFERROR(__xludf.DUMMYFUNCTION("""COMPUTED_VALUE"""),0.5223330323763601)</f>
        <v>0.5223330324</v>
      </c>
      <c r="AF69" s="57">
        <f>IFERROR(__xludf.DUMMYFUNCTION("""COMPUTED_VALUE"""),1.1909531479359579)</f>
        <v>1.190953148</v>
      </c>
      <c r="AG69" s="57">
        <f>IFERROR(__xludf.DUMMYFUNCTION("""COMPUTED_VALUE"""),2.4463695505557768)</f>
        <v>2.446369551</v>
      </c>
      <c r="AH69" s="57">
        <f>IFERROR(__xludf.DUMMYFUNCTION("""COMPUTED_VALUE"""),1.142441653079138)</f>
        <v>1.142441653</v>
      </c>
      <c r="AI69" s="57">
        <f>IFERROR(__xludf.DUMMYFUNCTION("""COMPUTED_VALUE"""),1.0195105775194147)</f>
        <v>1.019510578</v>
      </c>
      <c r="AJ69" s="57">
        <f>IFERROR(__xludf.DUMMYFUNCTION("""COMPUTED_VALUE"""),1.2466429468096283)</f>
        <v>1.246642947</v>
      </c>
      <c r="AK69" s="57">
        <f>IFERROR(__xludf.DUMMYFUNCTION("""COMPUTED_VALUE"""),1.3473671618163319)</f>
        <v>1.347367162</v>
      </c>
      <c r="AL69" s="57">
        <f>IFERROR(__xludf.DUMMYFUNCTION("""COMPUTED_VALUE"""),1.0742068695823845)</f>
        <v>1.07420687</v>
      </c>
      <c r="AM69" s="57">
        <f>IFERROR(__xludf.DUMMYFUNCTION("""COMPUTED_VALUE"""),0.985018253795441)</f>
        <v>0.9850182538</v>
      </c>
      <c r="AN69" s="57">
        <f>IFERROR(__xludf.DUMMYFUNCTION("""COMPUTED_VALUE"""),0.8297856988518064)</f>
        <v>0.8297856989</v>
      </c>
      <c r="AO69" s="57">
        <f>IFERROR(__xludf.DUMMYFUNCTION("""COMPUTED_VALUE"""),0.7862296878644448)</f>
        <v>0.7862296879</v>
      </c>
      <c r="AP69" s="35">
        <f>IFERROR(__xludf.DUMMYFUNCTION("""COMPUTED_VALUE"""),1.1027148474275397)</f>
        <v>1.102714847</v>
      </c>
      <c r="AQ69" s="57">
        <f>IFERROR(__xludf.DUMMYFUNCTION("""COMPUTED_VALUE"""),1.1010054674466563)</f>
        <v>1.101005467</v>
      </c>
      <c r="AR69" s="36" t="b">
        <f>IFERROR(__xludf.DUMMYFUNCTION("""COMPUTED_VALUE"""),TRUE)</f>
        <v>1</v>
      </c>
      <c r="AS69" s="57"/>
      <c r="AT69" s="37"/>
      <c r="AU69" s="30"/>
      <c r="AV69" s="30"/>
      <c r="AW69" s="30"/>
      <c r="AX69" s="30"/>
      <c r="AY69" s="30"/>
      <c r="AZ69" s="30"/>
    </row>
    <row r="70">
      <c r="A70" s="30" t="str">
        <f>IFERROR(__xludf.DUMMYFUNCTION("""COMPUTED_VALUE"""),"Challenger")</f>
        <v>Challenger</v>
      </c>
      <c r="B70" s="30" t="str">
        <f>IFERROR(__xludf.DUMMYFUNCTION("""COMPUTED_VALUE"""),"RSC006535")</f>
        <v>RSC006535</v>
      </c>
      <c r="C70" s="30" t="str">
        <f>IFERROR(__xludf.DUMMYFUNCTION("""COMPUTED_VALUE"""),"Westandalone0")</f>
        <v>Westandalone0</v>
      </c>
      <c r="D70" s="31" t="str">
        <f>IFERROR(__xludf.DUMMYFUNCTION("""COMPUTED_VALUE"""),"Deceased")</f>
        <v>Deceased</v>
      </c>
      <c r="E70" s="31">
        <f>IFERROR(__xludf.DUMMYFUNCTION("""COMPUTED_VALUE"""),68.72517771433137)</f>
        <v>68.72517771</v>
      </c>
      <c r="F70" s="31">
        <f>IFERROR(__xludf.DUMMYFUNCTION("""COMPUTED_VALUE"""),4.406713954763942)</f>
        <v>4.406713955</v>
      </c>
      <c r="G70" s="31">
        <f>IFERROR(__xludf.DUMMYFUNCTION("""COMPUTED_VALUE"""),56.51010499994448)</f>
        <v>56.510105</v>
      </c>
      <c r="H70" s="31">
        <f>IFERROR(__xludf.DUMMYFUNCTION("""COMPUTED_VALUE"""),2.5171417239590728)</f>
        <v>2.517141724</v>
      </c>
      <c r="I70" s="54">
        <f>IFERROR(__xludf.DUMMYFUNCTION("""COMPUTED_VALUE"""),39.0)</f>
        <v>39</v>
      </c>
      <c r="J70" s="55">
        <f>IFERROR(__xludf.DUMMYFUNCTION("""COMPUTED_VALUE"""),24.0)</f>
        <v>24</v>
      </c>
      <c r="K70" s="54">
        <f>IFERROR(__xludf.DUMMYFUNCTION("""COMPUTED_VALUE"""),15.0)</f>
        <v>15</v>
      </c>
      <c r="L70" s="56">
        <f>IFERROR(__xludf.DUMMYFUNCTION("""COMPUTED_VALUE"""),0.6153846153846154)</f>
        <v>0.6153846154</v>
      </c>
      <c r="M70" s="56">
        <f>IFERROR(__xludf.DUMMYFUNCTION("""COMPUTED_VALUE"""),0.21774193548387097)</f>
        <v>0.2177419355</v>
      </c>
      <c r="N70" s="31">
        <f>IFERROR(__xludf.DUMMYFUNCTION("""COMPUTED_VALUE"""),334.9230769230769)</f>
        <v>334.9230769</v>
      </c>
      <c r="O70" s="57">
        <f>IFERROR(__xludf.DUMMYFUNCTION("""COMPUTED_VALUE"""),0.6923076923076923)</f>
        <v>0.6923076923</v>
      </c>
      <c r="P70" s="57">
        <f>IFERROR(__xludf.DUMMYFUNCTION("""COMPUTED_VALUE"""),0.8205128205128205)</f>
        <v>0.8205128205</v>
      </c>
      <c r="Q70" s="57">
        <f>IFERROR(__xludf.DUMMYFUNCTION("""COMPUTED_VALUE"""),0.8461538461538461)</f>
        <v>0.8461538462</v>
      </c>
      <c r="R70" s="57">
        <f>IFERROR(__xludf.DUMMYFUNCTION("""COMPUTED_VALUE"""),3.1794871794871793)</f>
        <v>3.179487179</v>
      </c>
      <c r="S70" s="31">
        <f>IFERROR(__xludf.DUMMYFUNCTION("""COMPUTED_VALUE"""),339.53846153846155)</f>
        <v>339.5384615</v>
      </c>
      <c r="T70" s="57">
        <f>IFERROR(__xludf.DUMMYFUNCTION("""COMPUTED_VALUE"""),0.6495726495726495)</f>
        <v>0.6495726496</v>
      </c>
      <c r="U70" s="57">
        <f>IFERROR(__xludf.DUMMYFUNCTION("""COMPUTED_VALUE"""),0.4957264957264955)</f>
        <v>0.4957264957</v>
      </c>
      <c r="V70" s="57">
        <f>IFERROR(__xludf.DUMMYFUNCTION("""COMPUTED_VALUE"""),1.5042735042735045)</f>
        <v>1.504273504</v>
      </c>
      <c r="W70" s="57">
        <f>IFERROR(__xludf.DUMMYFUNCTION("""COMPUTED_VALUE"""),2.1111111111111116)</f>
        <v>2.111111111</v>
      </c>
      <c r="X70" s="31">
        <f>IFERROR(__xludf.DUMMYFUNCTION("""COMPUTED_VALUE"""),328.19028159332845)</f>
        <v>328.1902816</v>
      </c>
      <c r="Y70" s="57">
        <f>IFERROR(__xludf.DUMMYFUNCTION("""COMPUTED_VALUE"""),0.7388767172684398)</f>
        <v>0.7388767173</v>
      </c>
      <c r="Z70" s="57">
        <f>IFERROR(__xludf.DUMMYFUNCTION("""COMPUTED_VALUE"""),0.49195412995150806)</f>
        <v>0.49195413</v>
      </c>
      <c r="AA70" s="57">
        <f>IFERROR(__xludf.DUMMYFUNCTION("""COMPUTED_VALUE"""),1.2583449969042884)</f>
        <v>1.258344997</v>
      </c>
      <c r="AB70" s="57">
        <f>IFERROR(__xludf.DUMMYFUNCTION("""COMPUTED_VALUE"""),2.3279795505686858)</f>
        <v>2.327979551</v>
      </c>
      <c r="AC70" s="31">
        <f>IFERROR(__xludf.DUMMYFUNCTION("""COMPUTED_VALUE"""),346.3430151868166)</f>
        <v>346.3430152</v>
      </c>
      <c r="AD70" s="57">
        <f>IFERROR(__xludf.DUMMYFUNCTION("""COMPUTED_VALUE"""),0.8481447499853323)</f>
        <v>0.84814475</v>
      </c>
      <c r="AE70" s="57">
        <f>IFERROR(__xludf.DUMMYFUNCTION("""COMPUTED_VALUE"""),0.5963001673984072)</f>
        <v>0.5963001674</v>
      </c>
      <c r="AF70" s="57">
        <f>IFERROR(__xludf.DUMMYFUNCTION("""COMPUTED_VALUE"""),1.1701622080545968)</f>
        <v>1.170162208</v>
      </c>
      <c r="AG70" s="57">
        <f>IFERROR(__xludf.DUMMYFUNCTION("""COMPUTED_VALUE"""),2.613938676633726)</f>
        <v>2.613938677</v>
      </c>
      <c r="AH70" s="57">
        <f>IFERROR(__xludf.DUMMYFUNCTION("""COMPUTED_VALUE"""),0.9670270865500786)</f>
        <v>0.9670270866</v>
      </c>
      <c r="AI70" s="57">
        <f>IFERROR(__xludf.DUMMYFUNCTION("""COMPUTED_VALUE"""),0.8162612482358288)</f>
        <v>0.8162612482</v>
      </c>
      <c r="AJ70" s="57">
        <f>IFERROR(__xludf.DUMMYFUNCTION("""COMPUTED_VALUE"""),1.3760063561488314)</f>
        <v>1.376006356</v>
      </c>
      <c r="AK70" s="57">
        <f>IFERROR(__xludf.DUMMYFUNCTION("""COMPUTED_VALUE"""),0.7231081642609045)</f>
        <v>0.7231081643</v>
      </c>
      <c r="AL70" s="57">
        <f>IFERROR(__xludf.DUMMYFUNCTION("""COMPUTED_VALUE"""),1.2163587493115087)</f>
        <v>1.216358749</v>
      </c>
      <c r="AM70" s="57">
        <f>IFERROR(__xludf.DUMMYFUNCTION("""COMPUTED_VALUE"""),1.0345780499350525)</f>
        <v>1.03457805</v>
      </c>
      <c r="AN70" s="57">
        <f>IFERROR(__xludf.DUMMYFUNCTION("""COMPUTED_VALUE"""),0.8791353610032003)</f>
        <v>0.879135361</v>
      </c>
      <c r="AO70" s="57">
        <f>IFERROR(__xludf.DUMMYFUNCTION("""COMPUTED_VALUE"""),1.0076681250249069)</f>
        <v>1.007668125</v>
      </c>
      <c r="AP70" s="35">
        <f>IFERROR(__xludf.DUMMYFUNCTION("""COMPUTED_VALUE"""),1.1954380618782894)</f>
        <v>1.195438062</v>
      </c>
      <c r="AQ70" s="57">
        <f>IFERROR(__xludf.DUMMYFUNCTION("""COMPUTED_VALUE"""),0.9068426355357817)</f>
        <v>0.9068426355</v>
      </c>
      <c r="AR70" s="36" t="b">
        <f>IFERROR(__xludf.DUMMYFUNCTION("""COMPUTED_VALUE"""),TRUE)</f>
        <v>1</v>
      </c>
      <c r="AS70" s="57"/>
      <c r="AT70" s="37"/>
      <c r="AU70" s="30"/>
      <c r="AV70" s="30"/>
      <c r="AW70" s="30"/>
      <c r="AX70" s="30"/>
      <c r="AY70" s="30"/>
      <c r="AZ70" s="30"/>
    </row>
    <row r="71">
      <c r="A71" s="30" t="str">
        <f>IFERROR(__xludf.DUMMYFUNCTION("""COMPUTED_VALUE"""),"Challenger")</f>
        <v>Challenger</v>
      </c>
      <c r="B71" s="30" t="str">
        <f>IFERROR(__xludf.DUMMYFUNCTION("""COMPUTED_VALUE"""),"RSC006240")</f>
        <v>RSC006240</v>
      </c>
      <c r="C71" s="30" t="str">
        <f>IFERROR(__xludf.DUMMYFUNCTION("""COMPUTED_VALUE"""),"Canadian Gamer")</f>
        <v>Canadian Gamer</v>
      </c>
      <c r="D71" s="31" t="str">
        <f>IFERROR(__xludf.DUMMYFUNCTION("""COMPUTED_VALUE"""),"Meat Lovers")</f>
        <v>Meat Lovers</v>
      </c>
      <c r="E71" s="31">
        <f>IFERROR(__xludf.DUMMYFUNCTION("""COMPUTED_VALUE"""),67.92644178721143)</f>
        <v>67.92644179</v>
      </c>
      <c r="F71" s="31">
        <f>IFERROR(__xludf.DUMMYFUNCTION("""COMPUTED_VALUE"""),4.22530588164121)</f>
        <v>4.225305882</v>
      </c>
      <c r="G71" s="31">
        <f>IFERROR(__xludf.DUMMYFUNCTION("""COMPUTED_VALUE"""),61.588265006678505)</f>
        <v>61.58826501</v>
      </c>
      <c r="H71" s="31">
        <f>IFERROR(__xludf.DUMMYFUNCTION("""COMPUTED_VALUE"""),3.1104968893346414)</f>
        <v>3.110496889</v>
      </c>
      <c r="I71" s="54">
        <f>IFERROR(__xludf.DUMMYFUNCTION("""COMPUTED_VALUE"""),40.0)</f>
        <v>40</v>
      </c>
      <c r="J71" s="55">
        <f>IFERROR(__xludf.DUMMYFUNCTION("""COMPUTED_VALUE"""),28.0)</f>
        <v>28</v>
      </c>
      <c r="K71" s="54">
        <f>IFERROR(__xludf.DUMMYFUNCTION("""COMPUTED_VALUE"""),12.0)</f>
        <v>12</v>
      </c>
      <c r="L71" s="56">
        <f>IFERROR(__xludf.DUMMYFUNCTION("""COMPUTED_VALUE"""),0.7)</f>
        <v>0.7</v>
      </c>
      <c r="M71" s="56">
        <f>IFERROR(__xludf.DUMMYFUNCTION("""COMPUTED_VALUE"""),0.375)</f>
        <v>0.375</v>
      </c>
      <c r="N71" s="31">
        <f>IFERROR(__xludf.DUMMYFUNCTION("""COMPUTED_VALUE"""),348.85)</f>
        <v>348.85</v>
      </c>
      <c r="O71" s="57">
        <f>IFERROR(__xludf.DUMMYFUNCTION("""COMPUTED_VALUE"""),0.9)</f>
        <v>0.9</v>
      </c>
      <c r="P71" s="57">
        <f>IFERROR(__xludf.DUMMYFUNCTION("""COMPUTED_VALUE"""),0.675)</f>
        <v>0.675</v>
      </c>
      <c r="Q71" s="57">
        <f>IFERROR(__xludf.DUMMYFUNCTION("""COMPUTED_VALUE"""),1.25)</f>
        <v>1.25</v>
      </c>
      <c r="R71" s="57">
        <f>IFERROR(__xludf.DUMMYFUNCTION("""COMPUTED_VALUE"""),2.4)</f>
        <v>2.4</v>
      </c>
      <c r="S71" s="31">
        <f>IFERROR(__xludf.DUMMYFUNCTION("""COMPUTED_VALUE"""),310.15000000000003)</f>
        <v>310.15</v>
      </c>
      <c r="T71" s="57">
        <f>IFERROR(__xludf.DUMMYFUNCTION("""COMPUTED_VALUE"""),0.6083333333333332)</f>
        <v>0.6083333333</v>
      </c>
      <c r="U71" s="57">
        <f>IFERROR(__xludf.DUMMYFUNCTION("""COMPUTED_VALUE"""),0.4750000000000001)</f>
        <v>0.475</v>
      </c>
      <c r="V71" s="57">
        <f>IFERROR(__xludf.DUMMYFUNCTION("""COMPUTED_VALUE"""),1.2833333333333337)</f>
        <v>1.283333333</v>
      </c>
      <c r="W71" s="57">
        <f>IFERROR(__xludf.DUMMYFUNCTION("""COMPUTED_VALUE"""),2.1333333333333337)</f>
        <v>2.133333333</v>
      </c>
      <c r="X71" s="31">
        <f>IFERROR(__xludf.DUMMYFUNCTION("""COMPUTED_VALUE"""),315.4191289230257)</f>
        <v>315.4191289</v>
      </c>
      <c r="Y71" s="57">
        <f>IFERROR(__xludf.DUMMYFUNCTION("""COMPUTED_VALUE"""),0.6877331816937396)</f>
        <v>0.6877331817</v>
      </c>
      <c r="Z71" s="57">
        <f>IFERROR(__xludf.DUMMYFUNCTION("""COMPUTED_VALUE"""),0.4997961086931979)</f>
        <v>0.4997961087</v>
      </c>
      <c r="AA71" s="57">
        <f>IFERROR(__xludf.DUMMYFUNCTION("""COMPUTED_VALUE"""),1.1767667030804019)</f>
        <v>1.176766703</v>
      </c>
      <c r="AB71" s="57">
        <f>IFERROR(__xludf.DUMMYFUNCTION("""COMPUTED_VALUE"""),2.352968481193833)</f>
        <v>2.352968481</v>
      </c>
      <c r="AC71" s="31">
        <f>IFERROR(__xludf.DUMMYFUNCTION("""COMPUTED_VALUE"""),339.57879215462185)</f>
        <v>339.5787922</v>
      </c>
      <c r="AD71" s="57">
        <f>IFERROR(__xludf.DUMMYFUNCTION("""COMPUTED_VALUE"""),0.7861196045475046)</f>
        <v>0.7861196045</v>
      </c>
      <c r="AE71" s="57">
        <f>IFERROR(__xludf.DUMMYFUNCTION("""COMPUTED_VALUE"""),0.5667540729133015)</f>
        <v>0.5667540729</v>
      </c>
      <c r="AF71" s="57">
        <f>IFERROR(__xludf.DUMMYFUNCTION("""COMPUTED_VALUE"""),1.2442511890591696)</f>
        <v>1.244251189</v>
      </c>
      <c r="AG71" s="57">
        <f>IFERROR(__xludf.DUMMYFUNCTION("""COMPUTED_VALUE"""),2.423591954901333)</f>
        <v>2.423591955</v>
      </c>
      <c r="AH71" s="57">
        <f>IFERROR(__xludf.DUMMYFUNCTION("""COMPUTED_VALUE"""),1.0273020814596592)</f>
        <v>1.027302081</v>
      </c>
      <c r="AI71" s="57">
        <f>IFERROR(__xludf.DUMMYFUNCTION("""COMPUTED_VALUE"""),1.1448639555529794)</f>
        <v>1.144863956</v>
      </c>
      <c r="AJ71" s="57">
        <f>IFERROR(__xludf.DUMMYFUNCTION("""COMPUTED_VALUE"""),1.1909927643400586)</f>
        <v>1.190992764</v>
      </c>
      <c r="AK71" s="57">
        <f>IFERROR(__xludf.DUMMYFUNCTION("""COMPUTED_VALUE"""),1.0046202977271634)</f>
        <v>1.004620298</v>
      </c>
      <c r="AL71" s="57">
        <f>IFERROR(__xludf.DUMMYFUNCTION("""COMPUTED_VALUE"""),0.9902657067112216)</f>
        <v>0.9902657067</v>
      </c>
      <c r="AM71" s="57">
        <f>IFERROR(__xludf.DUMMYFUNCTION("""COMPUTED_VALUE"""),0.9832948339531065)</f>
        <v>0.983294834</v>
      </c>
      <c r="AN71" s="57">
        <f>IFERROR(__xludf.DUMMYFUNCTION("""COMPUTED_VALUE"""),0.8845484695607363)</f>
        <v>0.8845484696</v>
      </c>
      <c r="AO71" s="57">
        <f>IFERROR(__xludf.DUMMYFUNCTION("""COMPUTED_VALUE"""),0.9503875515196958)</f>
        <v>0.9503875515</v>
      </c>
      <c r="AP71" s="35">
        <f>IFERROR(__xludf.DUMMYFUNCTION("""COMPUTED_VALUE"""),1.090558842270073)</f>
        <v>1.090558842</v>
      </c>
      <c r="AQ71" s="57">
        <f>IFERROR(__xludf.DUMMYFUNCTION("""COMPUTED_VALUE"""),0.9066561453687377)</f>
        <v>0.9066561454</v>
      </c>
      <c r="AR71" s="36" t="b">
        <f>IFERROR(__xludf.DUMMYFUNCTION("""COMPUTED_VALUE"""),TRUE)</f>
        <v>1</v>
      </c>
      <c r="AS71" s="57"/>
      <c r="AT71" s="37"/>
      <c r="AU71" s="30"/>
      <c r="AV71" s="30"/>
      <c r="AW71" s="30"/>
      <c r="AX71" s="30"/>
      <c r="AY71" s="30"/>
      <c r="AZ71" s="30"/>
    </row>
    <row r="72">
      <c r="A72" s="30" t="str">
        <f>IFERROR(__xludf.DUMMYFUNCTION("""COMPUTED_VALUE"""),"Challenger")</f>
        <v>Challenger</v>
      </c>
      <c r="B72" s="30" t="str">
        <f>IFERROR(__xludf.DUMMYFUNCTION("""COMPUTED_VALUE"""),"RSC005265")</f>
        <v>RSC005265</v>
      </c>
      <c r="C72" s="30" t="str">
        <f>IFERROR(__xludf.DUMMYFUNCTION("""COMPUTED_VALUE"""),"doctorprofessor_")</f>
        <v>doctorprofessor_</v>
      </c>
      <c r="D72" s="31" t="str">
        <f>IFERROR(__xludf.DUMMYFUNCTION("""COMPUTED_VALUE"""),"Decuriones")</f>
        <v>Decuriones</v>
      </c>
      <c r="E72" s="31">
        <f>IFERROR(__xludf.DUMMYFUNCTION("""COMPUTED_VALUE"""),67.00242895067512)</f>
        <v>67.00242895</v>
      </c>
      <c r="F72" s="31">
        <f>IFERROR(__xludf.DUMMYFUNCTION("""COMPUTED_VALUE"""),4.028660342052893)</f>
        <v>4.028660342</v>
      </c>
      <c r="G72" s="31">
        <f>IFERROR(__xludf.DUMMYFUNCTION("""COMPUTED_VALUE"""),66.64746742485922)</f>
        <v>66.64746742</v>
      </c>
      <c r="H72" s="31">
        <f>IFERROR(__xludf.DUMMYFUNCTION("""COMPUTED_VALUE"""),3.956667734830331)</f>
        <v>3.956667735</v>
      </c>
      <c r="I72" s="54">
        <f>IFERROR(__xludf.DUMMYFUNCTION("""COMPUTED_VALUE"""),47.0)</f>
        <v>47</v>
      </c>
      <c r="J72" s="55">
        <f>IFERROR(__xludf.DUMMYFUNCTION("""COMPUTED_VALUE"""),27.0)</f>
        <v>27</v>
      </c>
      <c r="K72" s="54">
        <f>IFERROR(__xludf.DUMMYFUNCTION("""COMPUTED_VALUE"""),20.0)</f>
        <v>20</v>
      </c>
      <c r="L72" s="56">
        <f>IFERROR(__xludf.DUMMYFUNCTION("""COMPUTED_VALUE"""),0.574468085106383)</f>
        <v>0.5744680851</v>
      </c>
      <c r="M72" s="56">
        <f>IFERROR(__xludf.DUMMYFUNCTION("""COMPUTED_VALUE"""),0.28030303030303033)</f>
        <v>0.2803030303</v>
      </c>
      <c r="N72" s="31">
        <f>IFERROR(__xludf.DUMMYFUNCTION("""COMPUTED_VALUE"""),349.0425531914894)</f>
        <v>349.0425532</v>
      </c>
      <c r="O72" s="57">
        <f>IFERROR(__xludf.DUMMYFUNCTION("""COMPUTED_VALUE"""),0.7872340425531915)</f>
        <v>0.7872340426</v>
      </c>
      <c r="P72" s="57">
        <f>IFERROR(__xludf.DUMMYFUNCTION("""COMPUTED_VALUE"""),0.574468085106383)</f>
        <v>0.5744680851</v>
      </c>
      <c r="Q72" s="57">
        <f>IFERROR(__xludf.DUMMYFUNCTION("""COMPUTED_VALUE"""),1.0212765957446808)</f>
        <v>1.021276596</v>
      </c>
      <c r="R72" s="57">
        <f>IFERROR(__xludf.DUMMYFUNCTION("""COMPUTED_VALUE"""),2.8085106382978724)</f>
        <v>2.808510638</v>
      </c>
      <c r="S72" s="31">
        <f>IFERROR(__xludf.DUMMYFUNCTION("""COMPUTED_VALUE"""),312.09219858156035)</f>
        <v>312.0921986</v>
      </c>
      <c r="T72" s="57">
        <f>IFERROR(__xludf.DUMMYFUNCTION("""COMPUTED_VALUE"""),0.6170212765957448)</f>
        <v>0.6170212766</v>
      </c>
      <c r="U72" s="57">
        <f>IFERROR(__xludf.DUMMYFUNCTION("""COMPUTED_VALUE"""),0.4539007092198582)</f>
        <v>0.4539007092</v>
      </c>
      <c r="V72" s="57">
        <f>IFERROR(__xludf.DUMMYFUNCTION("""COMPUTED_VALUE"""),1.276595744680851)</f>
        <v>1.276595745</v>
      </c>
      <c r="W72" s="57">
        <f>IFERROR(__xludf.DUMMYFUNCTION("""COMPUTED_VALUE"""),2.056737588652482)</f>
        <v>2.056737589</v>
      </c>
      <c r="X72" s="31">
        <f>IFERROR(__xludf.DUMMYFUNCTION("""COMPUTED_VALUE"""),337.8886224326256)</f>
        <v>337.8886224</v>
      </c>
      <c r="Y72" s="57">
        <f>IFERROR(__xludf.DUMMYFUNCTION("""COMPUTED_VALUE"""),0.7493217803254546)</f>
        <v>0.7493217803</v>
      </c>
      <c r="Z72" s="57">
        <f>IFERROR(__xludf.DUMMYFUNCTION("""COMPUTED_VALUE"""),0.522909889804648)</f>
        <v>0.5229098898</v>
      </c>
      <c r="AA72" s="57">
        <f>IFERROR(__xludf.DUMMYFUNCTION("""COMPUTED_VALUE"""),1.3002200696989668)</f>
        <v>1.30022007</v>
      </c>
      <c r="AB72" s="57">
        <f>IFERROR(__xludf.DUMMYFUNCTION("""COMPUTED_VALUE"""),2.347283584748685)</f>
        <v>2.347283585</v>
      </c>
      <c r="AC72" s="31">
        <f>IFERROR(__xludf.DUMMYFUNCTION("""COMPUTED_VALUE"""),334.2176946941951)</f>
        <v>334.2176947</v>
      </c>
      <c r="AD72" s="57">
        <f>IFERROR(__xludf.DUMMYFUNCTION("""COMPUTED_VALUE"""),0.7633750596907832)</f>
        <v>0.7633750597</v>
      </c>
      <c r="AE72" s="57">
        <f>IFERROR(__xludf.DUMMYFUNCTION("""COMPUTED_VALUE"""),0.5340596299431332)</f>
        <v>0.5340596299</v>
      </c>
      <c r="AF72" s="57">
        <f>IFERROR(__xludf.DUMMYFUNCTION("""COMPUTED_VALUE"""),1.1886556913081037)</f>
        <v>1.188655691</v>
      </c>
      <c r="AG72" s="57">
        <f>IFERROR(__xludf.DUMMYFUNCTION("""COMPUTED_VALUE"""),2.5147824261883667)</f>
        <v>2.514782426</v>
      </c>
      <c r="AH72" s="57">
        <f>IFERROR(__xludf.DUMMYFUNCTION("""COMPUTED_VALUE"""),1.04435689292531)</f>
        <v>1.044356893</v>
      </c>
      <c r="AI72" s="57">
        <f>IFERROR(__xludf.DUMMYFUNCTION("""COMPUTED_VALUE"""),1.0312546009455335)</f>
        <v>1.031254601</v>
      </c>
      <c r="AJ72" s="57">
        <f>IFERROR(__xludf.DUMMYFUNCTION("""COMPUTED_VALUE"""),1.0756628153443326)</f>
        <v>1.075662815</v>
      </c>
      <c r="AK72" s="57">
        <f>IFERROR(__xludf.DUMMYFUNCTION("""COMPUTED_VALUE"""),0.859186224583484)</f>
        <v>0.8591862246</v>
      </c>
      <c r="AL72" s="57">
        <f>IFERROR(__xludf.DUMMYFUNCTION("""COMPUTED_VALUE"""),1.1168006460720767)</f>
        <v>1.116800646</v>
      </c>
      <c r="AM72" s="57">
        <f>IFERROR(__xludf.DUMMYFUNCTION("""COMPUTED_VALUE"""),0.9236540619055351)</f>
        <v>0.9236540619</v>
      </c>
      <c r="AN72" s="57">
        <f>IFERROR(__xludf.DUMMYFUNCTION("""COMPUTED_VALUE"""),0.8234396661041303)</f>
        <v>0.8234396661</v>
      </c>
      <c r="AO72" s="57">
        <f>IFERROR(__xludf.DUMMYFUNCTION("""COMPUTED_VALUE"""),0.8680285419528578)</f>
        <v>0.868028542</v>
      </c>
      <c r="AP72" s="35">
        <f>IFERROR(__xludf.DUMMYFUNCTION("""COMPUTED_VALUE"""),0.9818305181033042)</f>
        <v>0.9818305181</v>
      </c>
      <c r="AQ72" s="57">
        <f>IFERROR(__xludf.DUMMYFUNCTION("""COMPUTED_VALUE"""),0.876220326344884)</f>
        <v>0.8762203263</v>
      </c>
      <c r="AR72" s="36" t="b">
        <f>IFERROR(__xludf.DUMMYFUNCTION("""COMPUTED_VALUE"""),TRUE)</f>
        <v>1</v>
      </c>
      <c r="AS72" s="57"/>
      <c r="AT72" s="37"/>
      <c r="AU72" s="30"/>
      <c r="AV72" s="30"/>
      <c r="AW72" s="30"/>
      <c r="AX72" s="30"/>
      <c r="AY72" s="30"/>
      <c r="AZ72" s="30"/>
    </row>
    <row r="73">
      <c r="A73" s="30" t="str">
        <f>IFERROR(__xludf.DUMMYFUNCTION("""COMPUTED_VALUE"""),"Challenger")</f>
        <v>Challenger</v>
      </c>
      <c r="B73" s="30" t="str">
        <f>IFERROR(__xludf.DUMMYFUNCTION("""COMPUTED_VALUE"""),"RSC007626")</f>
        <v>RSC007626</v>
      </c>
      <c r="C73" s="30" t="str">
        <f>IFERROR(__xludf.DUMMYFUNCTION("""COMPUTED_VALUE"""),"ACDye2")</f>
        <v>ACDye2</v>
      </c>
      <c r="D73" s="31" t="str">
        <f>IFERROR(__xludf.DUMMYFUNCTION("""COMPUTED_VALUE"""),"Squalls")</f>
        <v>Squalls</v>
      </c>
      <c r="E73" s="31">
        <f>IFERROR(__xludf.DUMMYFUNCTION("""COMPUTED_VALUE"""),66.79408194206428)</f>
        <v>66.79408194</v>
      </c>
      <c r="F73" s="31">
        <f>IFERROR(__xludf.DUMMYFUNCTION("""COMPUTED_VALUE"""),3.986172681957415)</f>
        <v>3.986172682</v>
      </c>
      <c r="G73" s="31">
        <f>IFERROR(__xludf.DUMMYFUNCTION("""COMPUTED_VALUE"""),62.061015765854584)</f>
        <v>62.06101577</v>
      </c>
      <c r="H73" s="31">
        <f>IFERROR(__xludf.DUMMYFUNCTION("""COMPUTED_VALUE"""),3.177160214990478)</f>
        <v>3.177160215</v>
      </c>
      <c r="I73" s="54">
        <f>IFERROR(__xludf.DUMMYFUNCTION("""COMPUTED_VALUE"""),42.0)</f>
        <v>42</v>
      </c>
      <c r="J73" s="55">
        <f>IFERROR(__xludf.DUMMYFUNCTION("""COMPUTED_VALUE"""),26.0)</f>
        <v>26</v>
      </c>
      <c r="K73" s="54">
        <f>IFERROR(__xludf.DUMMYFUNCTION("""COMPUTED_VALUE"""),16.0)</f>
        <v>16</v>
      </c>
      <c r="L73" s="56">
        <f>IFERROR(__xludf.DUMMYFUNCTION("""COMPUTED_VALUE"""),0.6190476190476191)</f>
        <v>0.619047619</v>
      </c>
      <c r="M73" s="56">
        <f>IFERROR(__xludf.DUMMYFUNCTION("""COMPUTED_VALUE"""),0.26724137931034486)</f>
        <v>0.2672413793</v>
      </c>
      <c r="N73" s="31">
        <f>IFERROR(__xludf.DUMMYFUNCTION("""COMPUTED_VALUE"""),361.1666666666667)</f>
        <v>361.1666667</v>
      </c>
      <c r="O73" s="57">
        <f>IFERROR(__xludf.DUMMYFUNCTION("""COMPUTED_VALUE"""),0.7380952380952381)</f>
        <v>0.7380952381</v>
      </c>
      <c r="P73" s="57">
        <f>IFERROR(__xludf.DUMMYFUNCTION("""COMPUTED_VALUE"""),0.5476190476190477)</f>
        <v>0.5476190476</v>
      </c>
      <c r="Q73" s="57">
        <f>IFERROR(__xludf.DUMMYFUNCTION("""COMPUTED_VALUE"""),1.3333333333333333)</f>
        <v>1.333333333</v>
      </c>
      <c r="R73" s="57">
        <f>IFERROR(__xludf.DUMMYFUNCTION("""COMPUTED_VALUE"""),2.761904761904762)</f>
        <v>2.761904762</v>
      </c>
      <c r="S73" s="31">
        <f>IFERROR(__xludf.DUMMYFUNCTION("""COMPUTED_VALUE"""),325.34126984126976)</f>
        <v>325.3412698</v>
      </c>
      <c r="T73" s="57">
        <f>IFERROR(__xludf.DUMMYFUNCTION("""COMPUTED_VALUE"""),0.6269841269841268)</f>
        <v>0.626984127</v>
      </c>
      <c r="U73" s="57">
        <f>IFERROR(__xludf.DUMMYFUNCTION("""COMPUTED_VALUE"""),0.41269841269841273)</f>
        <v>0.4126984127</v>
      </c>
      <c r="V73" s="57">
        <f>IFERROR(__xludf.DUMMYFUNCTION("""COMPUTED_VALUE"""),1.452380952380952)</f>
        <v>1.452380952</v>
      </c>
      <c r="W73" s="57">
        <f>IFERROR(__xludf.DUMMYFUNCTION("""COMPUTED_VALUE"""),2.1984126984126986)</f>
        <v>2.198412698</v>
      </c>
      <c r="X73" s="31">
        <f>IFERROR(__xludf.DUMMYFUNCTION("""COMPUTED_VALUE"""),339.09972078562396)</f>
        <v>339.0997208</v>
      </c>
      <c r="Y73" s="57">
        <f>IFERROR(__xludf.DUMMYFUNCTION("""COMPUTED_VALUE"""),0.7858417000319978)</f>
        <v>0.7858417</v>
      </c>
      <c r="Z73" s="57">
        <f>IFERROR(__xludf.DUMMYFUNCTION("""COMPUTED_VALUE"""),0.5394604157949832)</f>
        <v>0.5394604158</v>
      </c>
      <c r="AA73" s="57">
        <f>IFERROR(__xludf.DUMMYFUNCTION("""COMPUTED_VALUE"""),1.2392300682755253)</f>
        <v>1.239230068</v>
      </c>
      <c r="AB73" s="57">
        <f>IFERROR(__xludf.DUMMYFUNCTION("""COMPUTED_VALUE"""),2.398062511193831)</f>
        <v>2.398062511</v>
      </c>
      <c r="AC73" s="31">
        <f>IFERROR(__xludf.DUMMYFUNCTION("""COMPUTED_VALUE"""),328.7825864653773)</f>
        <v>328.7825865</v>
      </c>
      <c r="AD73" s="57">
        <f>IFERROR(__xludf.DUMMYFUNCTION("""COMPUTED_VALUE"""),0.7352364179656605)</f>
        <v>0.735236418</v>
      </c>
      <c r="AE73" s="57">
        <f>IFERROR(__xludf.DUMMYFUNCTION("""COMPUTED_VALUE"""),0.5082133156463156)</f>
        <v>0.5082133156</v>
      </c>
      <c r="AF73" s="57">
        <f>IFERROR(__xludf.DUMMYFUNCTION("""COMPUTED_VALUE"""),1.1872773916515957)</f>
        <v>1.187277392</v>
      </c>
      <c r="AG73" s="57">
        <f>IFERROR(__xludf.DUMMYFUNCTION("""COMPUTED_VALUE"""),2.4331534455544994)</f>
        <v>2.433153446</v>
      </c>
      <c r="AH73" s="57">
        <f>IFERROR(__xludf.DUMMYFUNCTION("""COMPUTED_VALUE"""),1.098496944590159)</f>
        <v>1.098496945</v>
      </c>
      <c r="AI73" s="57">
        <f>IFERROR(__xludf.DUMMYFUNCTION("""COMPUTED_VALUE"""),1.0038883004972574)</f>
        <v>1.0038883</v>
      </c>
      <c r="AJ73" s="57">
        <f>IFERROR(__xludf.DUMMYFUNCTION("""COMPUTED_VALUE"""),1.0775377794314938)</f>
        <v>1.077537779</v>
      </c>
      <c r="AK73" s="57">
        <f>IFERROR(__xludf.DUMMYFUNCTION("""COMPUTED_VALUE"""),1.1230175380317504)</f>
        <v>1.123017538</v>
      </c>
      <c r="AL73" s="57">
        <f>IFERROR(__xludf.DUMMYFUNCTION("""COMPUTED_VALUE"""),1.1351132691408792)</f>
        <v>1.135113269</v>
      </c>
      <c r="AM73" s="57">
        <f>IFERROR(__xludf.DUMMYFUNCTION("""COMPUTED_VALUE"""),0.9594265341402266)</f>
        <v>0.9594265341</v>
      </c>
      <c r="AN73" s="57">
        <f>IFERROR(__xludf.DUMMYFUNCTION("""COMPUTED_VALUE"""),0.797850415622634)</f>
        <v>0.7978504156</v>
      </c>
      <c r="AO73" s="57">
        <f>IFERROR(__xludf.DUMMYFUNCTION("""COMPUTED_VALUE"""),0.7650207515045087)</f>
        <v>0.7650207515</v>
      </c>
      <c r="AP73" s="35">
        <f>IFERROR(__xludf.DUMMYFUNCTION("""COMPUTED_VALUE"""),1.1720026729193564)</f>
        <v>1.172002673</v>
      </c>
      <c r="AQ73" s="57">
        <f>IFERROR(__xludf.DUMMYFUNCTION("""COMPUTED_VALUE"""),0.9167453676252415)</f>
        <v>0.9167453676</v>
      </c>
      <c r="AR73" s="36" t="b">
        <f>IFERROR(__xludf.DUMMYFUNCTION("""COMPUTED_VALUE"""),TRUE)</f>
        <v>1</v>
      </c>
      <c r="AS73" s="57"/>
      <c r="AT73" s="37"/>
      <c r="AU73" s="30"/>
      <c r="AV73" s="30"/>
      <c r="AW73" s="30"/>
      <c r="AX73" s="30"/>
      <c r="AY73" s="30"/>
      <c r="AZ73" s="30"/>
    </row>
    <row r="74">
      <c r="A74" s="30" t="str">
        <f>IFERROR(__xludf.DUMMYFUNCTION("""COMPUTED_VALUE"""),"Challenger")</f>
        <v>Challenger</v>
      </c>
      <c r="B74" s="30" t="str">
        <f>IFERROR(__xludf.DUMMYFUNCTION("""COMPUTED_VALUE"""),"RSC007291")</f>
        <v>RSC007291</v>
      </c>
      <c r="C74" s="30" t="str">
        <f>IFERROR(__xludf.DUMMYFUNCTION("""COMPUTED_VALUE"""),"brdtrd999")</f>
        <v>brdtrd999</v>
      </c>
      <c r="D74" s="31" t="str">
        <f>IFERROR(__xludf.DUMMYFUNCTION("""COMPUTED_VALUE"""),"Hydras")</f>
        <v>Hydras</v>
      </c>
      <c r="E74" s="31">
        <f>IFERROR(__xludf.DUMMYFUNCTION("""COMPUTED_VALUE"""),66.11523071107908)</f>
        <v>66.11523071</v>
      </c>
      <c r="F74" s="31">
        <f>IFERROR(__xludf.DUMMYFUNCTION("""COMPUTED_VALUE"""),3.852225153260538)</f>
        <v>3.852225153</v>
      </c>
      <c r="G74" s="31">
        <f>IFERROR(__xludf.DUMMYFUNCTION("""COMPUTED_VALUE"""),46.41144196088785)</f>
        <v>46.41144196</v>
      </c>
      <c r="H74" s="31">
        <f>IFERROR(__xludf.DUMMYFUNCTION("""COMPUTED_VALUE"""),-2.2576882735995585)</f>
        <v>-2.257688274</v>
      </c>
      <c r="I74" s="54">
        <f>IFERROR(__xludf.DUMMYFUNCTION("""COMPUTED_VALUE"""),38.0)</f>
        <v>38</v>
      </c>
      <c r="J74" s="55">
        <f>IFERROR(__xludf.DUMMYFUNCTION("""COMPUTED_VALUE"""),23.0)</f>
        <v>23</v>
      </c>
      <c r="K74" s="54">
        <f>IFERROR(__xludf.DUMMYFUNCTION("""COMPUTED_VALUE"""),15.0)</f>
        <v>15</v>
      </c>
      <c r="L74" s="56">
        <f>IFERROR(__xludf.DUMMYFUNCTION("""COMPUTED_VALUE"""),0.6052631578947368)</f>
        <v>0.6052631579</v>
      </c>
      <c r="M74" s="56">
        <f>IFERROR(__xludf.DUMMYFUNCTION("""COMPUTED_VALUE"""),0.3333333333333333)</f>
        <v>0.3333333333</v>
      </c>
      <c r="N74" s="31">
        <f>IFERROR(__xludf.DUMMYFUNCTION("""COMPUTED_VALUE"""),347.63157894736844)</f>
        <v>347.6315789</v>
      </c>
      <c r="O74" s="57">
        <f>IFERROR(__xludf.DUMMYFUNCTION("""COMPUTED_VALUE"""),0.9473684210526315)</f>
        <v>0.9473684211</v>
      </c>
      <c r="P74" s="57">
        <f>IFERROR(__xludf.DUMMYFUNCTION("""COMPUTED_VALUE"""),0.47368421052631576)</f>
        <v>0.4736842105</v>
      </c>
      <c r="Q74" s="57">
        <f>IFERROR(__xludf.DUMMYFUNCTION("""COMPUTED_VALUE"""),1.1842105263157894)</f>
        <v>1.184210526</v>
      </c>
      <c r="R74" s="57">
        <f>IFERROR(__xludf.DUMMYFUNCTION("""COMPUTED_VALUE"""),2.8421052631578947)</f>
        <v>2.842105263</v>
      </c>
      <c r="S74" s="31">
        <f>IFERROR(__xludf.DUMMYFUNCTION("""COMPUTED_VALUE"""),337.65789473684214)</f>
        <v>337.6578947</v>
      </c>
      <c r="T74" s="57">
        <f>IFERROR(__xludf.DUMMYFUNCTION("""COMPUTED_VALUE"""),0.7368421052631579)</f>
        <v>0.7368421053</v>
      </c>
      <c r="U74" s="57">
        <f>IFERROR(__xludf.DUMMYFUNCTION("""COMPUTED_VALUE"""),0.5000000000000001)</f>
        <v>0.5</v>
      </c>
      <c r="V74" s="57">
        <f>IFERROR(__xludf.DUMMYFUNCTION("""COMPUTED_VALUE"""),1.3245614035087723)</f>
        <v>1.324561404</v>
      </c>
      <c r="W74" s="57">
        <f>IFERROR(__xludf.DUMMYFUNCTION("""COMPUTED_VALUE"""),2.6666666666666665)</f>
        <v>2.666666667</v>
      </c>
      <c r="X74" s="31">
        <f>IFERROR(__xludf.DUMMYFUNCTION("""COMPUTED_VALUE"""),336.1706303045186)</f>
        <v>336.1706303</v>
      </c>
      <c r="Y74" s="57">
        <f>IFERROR(__xludf.DUMMYFUNCTION("""COMPUTED_VALUE"""),0.7459783683692034)</f>
        <v>0.7459783684</v>
      </c>
      <c r="Z74" s="57">
        <f>IFERROR(__xludf.DUMMYFUNCTION("""COMPUTED_VALUE"""),0.5314375567082117)</f>
        <v>0.5314375567</v>
      </c>
      <c r="AA74" s="57">
        <f>IFERROR(__xludf.DUMMYFUNCTION("""COMPUTED_VALUE"""),1.2937676262329745)</f>
        <v>1.293767626</v>
      </c>
      <c r="AB74" s="57">
        <f>IFERROR(__xludf.DUMMYFUNCTION("""COMPUTED_VALUE"""),2.4375358526739537)</f>
        <v>2.437535853</v>
      </c>
      <c r="AC74" s="31">
        <f>IFERROR(__xludf.DUMMYFUNCTION("""COMPUTED_VALUE"""),337.60510761268426)</f>
        <v>337.6051076</v>
      </c>
      <c r="AD74" s="57">
        <f>IFERROR(__xludf.DUMMYFUNCTION("""COMPUTED_VALUE"""),0.7446646210114402)</f>
        <v>0.744664621</v>
      </c>
      <c r="AE74" s="57">
        <f>IFERROR(__xludf.DUMMYFUNCTION("""COMPUTED_VALUE"""),0.5079594282021682)</f>
        <v>0.5079594282</v>
      </c>
      <c r="AF74" s="57">
        <f>IFERROR(__xludf.DUMMYFUNCTION("""COMPUTED_VALUE"""),1.2679664024985193)</f>
        <v>1.267966402</v>
      </c>
      <c r="AG74" s="57">
        <f>IFERROR(__xludf.DUMMYFUNCTION("""COMPUTED_VALUE"""),2.5160537780199537)</f>
        <v>2.516053778</v>
      </c>
      <c r="AH74" s="57">
        <f>IFERROR(__xludf.DUMMYFUNCTION("""COMPUTED_VALUE"""),1.0296988141132835)</f>
        <v>1.029698814</v>
      </c>
      <c r="AI74" s="57">
        <f>IFERROR(__xludf.DUMMYFUNCTION("""COMPUTED_VALUE"""),1.2722081784493389)</f>
        <v>1.272208178</v>
      </c>
      <c r="AJ74" s="57">
        <f>IFERROR(__xludf.DUMMYFUNCTION("""COMPUTED_VALUE"""),0.9325237100191969)</f>
        <v>0.93252371</v>
      </c>
      <c r="AK74" s="57">
        <f>IFERROR(__xludf.DUMMYFUNCTION("""COMPUTED_VALUE"""),0.933944719656854)</f>
        <v>0.9339447197</v>
      </c>
      <c r="AL74" s="57">
        <f>IFERROR(__xludf.DUMMYFUNCTION("""COMPUTED_VALUE"""),1.1295884404325143)</f>
        <v>1.12958844</v>
      </c>
      <c r="AM74" s="57">
        <f>IFERROR(__xludf.DUMMYFUNCTION("""COMPUTED_VALUE"""),1.0044241355378853)</f>
        <v>1.004424136</v>
      </c>
      <c r="AN74" s="57">
        <f>IFERROR(__xludf.DUMMYFUNCTION("""COMPUTED_VALUE"""),0.9877526433829195)</f>
        <v>0.9877526434</v>
      </c>
      <c r="AO74" s="57">
        <f>IFERROR(__xludf.DUMMYFUNCTION("""COMPUTED_VALUE"""),0.9408443074611821)</f>
        <v>0.9408443075</v>
      </c>
      <c r="AP74" s="35">
        <f>IFERROR(__xludf.DUMMYFUNCTION("""COMPUTED_VALUE"""),1.02380162917313)</f>
        <v>1.023801629</v>
      </c>
      <c r="AQ74" s="57">
        <f>IFERROR(__xludf.DUMMYFUNCTION("""COMPUTED_VALUE"""),1.0940010025868372)</f>
        <v>1.094001003</v>
      </c>
      <c r="AR74" s="36" t="b">
        <f>IFERROR(__xludf.DUMMYFUNCTION("""COMPUTED_VALUE"""),TRUE)</f>
        <v>1</v>
      </c>
      <c r="AS74" s="57"/>
      <c r="AT74" s="37"/>
      <c r="AU74" s="30"/>
      <c r="AV74" s="30"/>
      <c r="AW74" s="30"/>
      <c r="AX74" s="30"/>
      <c r="AY74" s="30"/>
      <c r="AZ74" s="30"/>
    </row>
    <row r="75">
      <c r="A75" s="30" t="str">
        <f>IFERROR(__xludf.DUMMYFUNCTION("""COMPUTED_VALUE"""),"Challenger")</f>
        <v>Challenger</v>
      </c>
      <c r="B75" s="30" t="str">
        <f>IFERROR(__xludf.DUMMYFUNCTION("""COMPUTED_VALUE"""),"RSC007848")</f>
        <v>RSC007848</v>
      </c>
      <c r="C75" s="30" t="str">
        <f>IFERROR(__xludf.DUMMYFUNCTION("""COMPUTED_VALUE"""),"Ninji &lt;3")</f>
        <v>Ninji &lt;3</v>
      </c>
      <c r="D75" s="31" t="str">
        <f>IFERROR(__xludf.DUMMYFUNCTION("""COMPUTED_VALUE"""),"Squalls")</f>
        <v>Squalls</v>
      </c>
      <c r="E75" s="31">
        <f>IFERROR(__xludf.DUMMYFUNCTION("""COMPUTED_VALUE"""),65.32572839871273)</f>
        <v>65.3257284</v>
      </c>
      <c r="F75" s="31">
        <f>IFERROR(__xludf.DUMMYFUNCTION("""COMPUTED_VALUE"""),3.704684246081727)</f>
        <v>3.704684246</v>
      </c>
      <c r="G75" s="31">
        <f>IFERROR(__xludf.DUMMYFUNCTION("""COMPUTED_VALUE"""),49.45450972116786)</f>
        <v>49.45450972</v>
      </c>
      <c r="H75" s="31">
        <f>IFERROR(__xludf.DUMMYFUNCTION("""COMPUTED_VALUE"""),-2.0354331241790593)</f>
        <v>-2.035433124</v>
      </c>
      <c r="I75" s="54">
        <f>IFERROR(__xludf.DUMMYFUNCTION("""COMPUTED_VALUE"""),31.0)</f>
        <v>31</v>
      </c>
      <c r="J75" s="55">
        <f>IFERROR(__xludf.DUMMYFUNCTION("""COMPUTED_VALUE"""),20.0)</f>
        <v>20</v>
      </c>
      <c r="K75" s="54">
        <f>IFERROR(__xludf.DUMMYFUNCTION("""COMPUTED_VALUE"""),11.0)</f>
        <v>11</v>
      </c>
      <c r="L75" s="56">
        <f>IFERROR(__xludf.DUMMYFUNCTION("""COMPUTED_VALUE"""),0.6451612903225806)</f>
        <v>0.6451612903</v>
      </c>
      <c r="M75" s="56">
        <f>IFERROR(__xludf.DUMMYFUNCTION("""COMPUTED_VALUE"""),0.2948717948717949)</f>
        <v>0.2948717949</v>
      </c>
      <c r="N75" s="31">
        <f>IFERROR(__xludf.DUMMYFUNCTION("""COMPUTED_VALUE"""),324.4516129032258)</f>
        <v>324.4516129</v>
      </c>
      <c r="O75" s="57">
        <f>IFERROR(__xludf.DUMMYFUNCTION("""COMPUTED_VALUE"""),0.7419354838709677)</f>
        <v>0.7419354839</v>
      </c>
      <c r="P75" s="57">
        <f>IFERROR(__xludf.DUMMYFUNCTION("""COMPUTED_VALUE"""),0.7419354838709677)</f>
        <v>0.7419354839</v>
      </c>
      <c r="Q75" s="57">
        <f>IFERROR(__xludf.DUMMYFUNCTION("""COMPUTED_VALUE"""),1.1290322580645162)</f>
        <v>1.129032258</v>
      </c>
      <c r="R75" s="57">
        <f>IFERROR(__xludf.DUMMYFUNCTION("""COMPUTED_VALUE"""),2.5161290322580645)</f>
        <v>2.516129032</v>
      </c>
      <c r="S75" s="31">
        <f>IFERROR(__xludf.DUMMYFUNCTION("""COMPUTED_VALUE"""),336.0860215053764)</f>
        <v>336.0860215</v>
      </c>
      <c r="T75" s="57">
        <f>IFERROR(__xludf.DUMMYFUNCTION("""COMPUTED_VALUE"""),0.6129032258064516)</f>
        <v>0.6129032258</v>
      </c>
      <c r="U75" s="57">
        <f>IFERROR(__xludf.DUMMYFUNCTION("""COMPUTED_VALUE"""),0.44086021505376344)</f>
        <v>0.4408602151</v>
      </c>
      <c r="V75" s="57">
        <f>IFERROR(__xludf.DUMMYFUNCTION("""COMPUTED_VALUE"""),1.5483870967741935)</f>
        <v>1.548387097</v>
      </c>
      <c r="W75" s="57">
        <f>IFERROR(__xludf.DUMMYFUNCTION("""COMPUTED_VALUE"""),2.150537634408602)</f>
        <v>2.150537634</v>
      </c>
      <c r="X75" s="31">
        <f>IFERROR(__xludf.DUMMYFUNCTION("""COMPUTED_VALUE"""),347.99458535990897)</f>
        <v>347.9945854</v>
      </c>
      <c r="Y75" s="57">
        <f>IFERROR(__xludf.DUMMYFUNCTION("""COMPUTED_VALUE"""),0.7763166294089987)</f>
        <v>0.7763166294</v>
      </c>
      <c r="Z75" s="57">
        <f>IFERROR(__xludf.DUMMYFUNCTION("""COMPUTED_VALUE"""),0.5634753745112068)</f>
        <v>0.5634753745</v>
      </c>
      <c r="AA75" s="57">
        <f>IFERROR(__xludf.DUMMYFUNCTION("""COMPUTED_VALUE"""),1.351790233149866)</f>
        <v>1.351790233</v>
      </c>
      <c r="AB75" s="57">
        <f>IFERROR(__xludf.DUMMYFUNCTION("""COMPUTED_VALUE"""),2.438190272487066)</f>
        <v>2.438190272</v>
      </c>
      <c r="AC75" s="31">
        <f>IFERROR(__xludf.DUMMYFUNCTION("""COMPUTED_VALUE"""),340.3661130610711)</f>
        <v>340.3661131</v>
      </c>
      <c r="AD75" s="57">
        <f>IFERROR(__xludf.DUMMYFUNCTION("""COMPUTED_VALUE"""),0.7969005923550638)</f>
        <v>0.7969005924</v>
      </c>
      <c r="AE75" s="57">
        <f>IFERROR(__xludf.DUMMYFUNCTION("""COMPUTED_VALUE"""),0.5433046862985978)</f>
        <v>0.5433046863</v>
      </c>
      <c r="AF75" s="57">
        <f>IFERROR(__xludf.DUMMYFUNCTION("""COMPUTED_VALUE"""),1.1990803034830644)</f>
        <v>1.199080303</v>
      </c>
      <c r="AG75" s="57">
        <f>IFERROR(__xludf.DUMMYFUNCTION("""COMPUTED_VALUE"""),2.5843682023746752)</f>
        <v>2.584368202</v>
      </c>
      <c r="AH75" s="57">
        <f>IFERROR(__xludf.DUMMYFUNCTION("""COMPUTED_VALUE"""),0.9532429946838163)</f>
        <v>0.9532429947</v>
      </c>
      <c r="AI75" s="57">
        <f>IFERROR(__xludf.DUMMYFUNCTION("""COMPUTED_VALUE"""),0.9310263927378208)</f>
        <v>0.9310263927</v>
      </c>
      <c r="AJ75" s="57">
        <f>IFERROR(__xludf.DUMMYFUNCTION("""COMPUTED_VALUE"""),1.3655974310208752)</f>
        <v>1.365597431</v>
      </c>
      <c r="AK75" s="57">
        <f>IFERROR(__xludf.DUMMYFUNCTION("""COMPUTED_VALUE"""),0.9415818563485081)</f>
        <v>0.9415818563</v>
      </c>
      <c r="AL75" s="57">
        <f>IFERROR(__xludf.DUMMYFUNCTION("""COMPUTED_VALUE"""),0.973595414904924)</f>
        <v>0.9735954149</v>
      </c>
      <c r="AM75" s="57">
        <f>IFERROR(__xludf.DUMMYFUNCTION("""COMPUTED_VALUE"""),0.9657794564756911)</f>
        <v>0.9657794565</v>
      </c>
      <c r="AN75" s="57">
        <f>IFERROR(__xludf.DUMMYFUNCTION("""COMPUTED_VALUE"""),0.7895016061591366)</f>
        <v>0.7895016062</v>
      </c>
      <c r="AO75" s="57">
        <f>IFERROR(__xludf.DUMMYFUNCTION("""COMPUTED_VALUE"""),0.7823948214883263)</f>
        <v>0.7823948215</v>
      </c>
      <c r="AP75" s="35">
        <f>IFERROR(__xludf.DUMMYFUNCTION("""COMPUTED_VALUE"""),1.145434445968905)</f>
        <v>1.145434446</v>
      </c>
      <c r="AQ75" s="57">
        <f>IFERROR(__xludf.DUMMYFUNCTION("""COMPUTED_VALUE"""),0.8820220713188864)</f>
        <v>0.8820220713</v>
      </c>
      <c r="AR75" s="36" t="b">
        <f>IFERROR(__xludf.DUMMYFUNCTION("""COMPUTED_VALUE"""),TRUE)</f>
        <v>1</v>
      </c>
      <c r="AS75" s="57"/>
      <c r="AT75" s="37"/>
      <c r="AU75" s="30"/>
      <c r="AV75" s="30"/>
      <c r="AW75" s="30"/>
      <c r="AX75" s="30"/>
      <c r="AY75" s="30"/>
      <c r="AZ75" s="30"/>
    </row>
    <row r="76">
      <c r="A76" s="30" t="str">
        <f>IFERROR(__xludf.DUMMYFUNCTION("""COMPUTED_VALUE"""),"Challenger")</f>
        <v>Challenger</v>
      </c>
      <c r="B76" s="30" t="str">
        <f>IFERROR(__xludf.DUMMYFUNCTION("""COMPUTED_VALUE"""),"RSC002412")</f>
        <v>RSC002412</v>
      </c>
      <c r="C76" s="30" t="str">
        <f>IFERROR(__xludf.DUMMYFUNCTION("""COMPUTED_VALUE"""),"Rosefanatic3615")</f>
        <v>Rosefanatic3615</v>
      </c>
      <c r="D76" s="31" t="str">
        <f>IFERROR(__xludf.DUMMYFUNCTION("""COMPUTED_VALUE"""),"Solstice Sake")</f>
        <v>Solstice Sake</v>
      </c>
      <c r="E76" s="31">
        <f>IFERROR(__xludf.DUMMYFUNCTION("""COMPUTED_VALUE"""),65.18666162999781)</f>
        <v>65.18666163</v>
      </c>
      <c r="F76" s="31">
        <f>IFERROR(__xludf.DUMMYFUNCTION("""COMPUTED_VALUE"""),3.6795725820011116)</f>
        <v>3.679572582</v>
      </c>
      <c r="G76" s="31">
        <f>IFERROR(__xludf.DUMMYFUNCTION("""COMPUTED_VALUE"""),63.21466061437809)</f>
        <v>63.21466061</v>
      </c>
      <c r="H76" s="31">
        <f>IFERROR(__xludf.DUMMYFUNCTION("""COMPUTED_VALUE"""),3.349565441156241)</f>
        <v>3.349565441</v>
      </c>
      <c r="I76" s="54">
        <f>IFERROR(__xludf.DUMMYFUNCTION("""COMPUTED_VALUE"""),36.0)</f>
        <v>36</v>
      </c>
      <c r="J76" s="55">
        <f>IFERROR(__xludf.DUMMYFUNCTION("""COMPUTED_VALUE"""),21.0)</f>
        <v>21</v>
      </c>
      <c r="K76" s="54">
        <f>IFERROR(__xludf.DUMMYFUNCTION("""COMPUTED_VALUE"""),15.0)</f>
        <v>15</v>
      </c>
      <c r="L76" s="56">
        <f>IFERROR(__xludf.DUMMYFUNCTION("""COMPUTED_VALUE"""),0.5833333333333334)</f>
        <v>0.5833333333</v>
      </c>
      <c r="M76" s="56">
        <f>IFERROR(__xludf.DUMMYFUNCTION("""COMPUTED_VALUE"""),0.31250000000000006)</f>
        <v>0.3125</v>
      </c>
      <c r="N76" s="31">
        <f>IFERROR(__xludf.DUMMYFUNCTION("""COMPUTED_VALUE"""),349.8611111111111)</f>
        <v>349.8611111</v>
      </c>
      <c r="O76" s="57">
        <f>IFERROR(__xludf.DUMMYFUNCTION("""COMPUTED_VALUE"""),0.8333333333333334)</f>
        <v>0.8333333333</v>
      </c>
      <c r="P76" s="57">
        <f>IFERROR(__xludf.DUMMYFUNCTION("""COMPUTED_VALUE"""),0.5833333333333334)</f>
        <v>0.5833333333</v>
      </c>
      <c r="Q76" s="57">
        <f>IFERROR(__xludf.DUMMYFUNCTION("""COMPUTED_VALUE"""),1.2222222222222223)</f>
        <v>1.222222222</v>
      </c>
      <c r="R76" s="57">
        <f>IFERROR(__xludf.DUMMYFUNCTION("""COMPUTED_VALUE"""),2.6666666666666665)</f>
        <v>2.666666667</v>
      </c>
      <c r="S76" s="31">
        <f>IFERROR(__xludf.DUMMYFUNCTION("""COMPUTED_VALUE"""),316.3055555555555)</f>
        <v>316.3055556</v>
      </c>
      <c r="T76" s="57">
        <f>IFERROR(__xludf.DUMMYFUNCTION("""COMPUTED_VALUE"""),0.7222222222222221)</f>
        <v>0.7222222222</v>
      </c>
      <c r="U76" s="57">
        <f>IFERROR(__xludf.DUMMYFUNCTION("""COMPUTED_VALUE"""),0.44444444444444453)</f>
        <v>0.4444444444</v>
      </c>
      <c r="V76" s="57">
        <f>IFERROR(__xludf.DUMMYFUNCTION("""COMPUTED_VALUE"""),1.1203703703703705)</f>
        <v>1.12037037</v>
      </c>
      <c r="W76" s="57">
        <f>IFERROR(__xludf.DUMMYFUNCTION("""COMPUTED_VALUE"""),2.2962962962962967)</f>
        <v>2.296296296</v>
      </c>
      <c r="X76" s="31">
        <f>IFERROR(__xludf.DUMMYFUNCTION("""COMPUTED_VALUE"""),332.92692589001285)</f>
        <v>332.9269259</v>
      </c>
      <c r="Y76" s="57">
        <f>IFERROR(__xludf.DUMMYFUNCTION("""COMPUTED_VALUE"""),0.779130952163615)</f>
        <v>0.7791309522</v>
      </c>
      <c r="Z76" s="57">
        <f>IFERROR(__xludf.DUMMYFUNCTION("""COMPUTED_VALUE"""),0.5453932140836023)</f>
        <v>0.5453932141</v>
      </c>
      <c r="AA76" s="57">
        <f>IFERROR(__xludf.DUMMYFUNCTION("""COMPUTED_VALUE"""),1.1925027926898384)</f>
        <v>1.192502793</v>
      </c>
      <c r="AB76" s="57">
        <f>IFERROR(__xludf.DUMMYFUNCTION("""COMPUTED_VALUE"""),2.494175950396402)</f>
        <v>2.49417595</v>
      </c>
      <c r="AC76" s="31">
        <f>IFERROR(__xludf.DUMMYFUNCTION("""COMPUTED_VALUE"""),343.91628534602313)</f>
        <v>343.9162853</v>
      </c>
      <c r="AD76" s="57">
        <f>IFERROR(__xludf.DUMMYFUNCTION("""COMPUTED_VALUE"""),0.8083267010999465)</f>
        <v>0.8083267011</v>
      </c>
      <c r="AE76" s="57">
        <f>IFERROR(__xludf.DUMMYFUNCTION("""COMPUTED_VALUE"""),0.5535064803882176)</f>
        <v>0.5535064804</v>
      </c>
      <c r="AF76" s="57">
        <f>IFERROR(__xludf.DUMMYFUNCTION("""COMPUTED_VALUE"""),1.266287252277814)</f>
        <v>1.266287252</v>
      </c>
      <c r="AG76" s="57">
        <f>IFERROR(__xludf.DUMMYFUNCTION("""COMPUTED_VALUE"""),2.4601270638652517)</f>
        <v>2.460127064</v>
      </c>
      <c r="AH76" s="57">
        <f>IFERROR(__xludf.DUMMYFUNCTION("""COMPUTED_VALUE"""),1.0172856768300655)</f>
        <v>1.017285677</v>
      </c>
      <c r="AI76" s="57">
        <f>IFERROR(__xludf.DUMMYFUNCTION("""COMPUTED_VALUE"""),1.030936293703225)</f>
        <v>1.030936294</v>
      </c>
      <c r="AJ76" s="57">
        <f>IFERROR(__xludf.DUMMYFUNCTION("""COMPUTED_VALUE"""),1.0538870889536756)</f>
        <v>1.053887089</v>
      </c>
      <c r="AK76" s="57">
        <f>IFERROR(__xludf.DUMMYFUNCTION("""COMPUTED_VALUE"""),0.9652013948838806)</f>
        <v>0.9652013949</v>
      </c>
      <c r="AL76" s="57">
        <f>IFERROR(__xludf.DUMMYFUNCTION("""COMPUTED_VALUE"""),1.083954851696525)</f>
        <v>1.083954852</v>
      </c>
      <c r="AM76" s="57">
        <f>IFERROR(__xludf.DUMMYFUNCTION("""COMPUTED_VALUE"""),0.950075019345391)</f>
        <v>0.9500750193</v>
      </c>
      <c r="AN76" s="57">
        <f>IFERROR(__xludf.DUMMYFUNCTION("""COMPUTED_VALUE"""),0.9269587098505588)</f>
        <v>0.9269587099</v>
      </c>
      <c r="AO76" s="57">
        <f>IFERROR(__xludf.DUMMYFUNCTION("""COMPUTED_VALUE"""),0.8149064435853367)</f>
        <v>0.8149064436</v>
      </c>
      <c r="AP76" s="35">
        <f>IFERROR(__xludf.DUMMYFUNCTION("""COMPUTED_VALUE"""),0.9395117371953786)</f>
        <v>0.9395117372</v>
      </c>
      <c r="AQ76" s="57">
        <f>IFERROR(__xludf.DUMMYFUNCTION("""COMPUTED_VALUE"""),0.9206633140421966)</f>
        <v>0.920663314</v>
      </c>
      <c r="AR76" s="36" t="b">
        <f>IFERROR(__xludf.DUMMYFUNCTION("""COMPUTED_VALUE"""),TRUE)</f>
        <v>1</v>
      </c>
      <c r="AS76" s="57"/>
      <c r="AT76" s="37"/>
      <c r="AU76" s="30"/>
      <c r="AV76" s="30"/>
      <c r="AW76" s="30"/>
      <c r="AX76" s="30"/>
      <c r="AY76" s="30"/>
      <c r="AZ76" s="30"/>
    </row>
    <row r="77">
      <c r="A77" s="30" t="str">
        <f>IFERROR(__xludf.DUMMYFUNCTION("""COMPUTED_VALUE"""),"Challenger")</f>
        <v>Challenger</v>
      </c>
      <c r="B77" s="30" t="str">
        <f>IFERROR(__xludf.DUMMYFUNCTION("""COMPUTED_VALUE"""),"RSC006299")</f>
        <v>RSC006299</v>
      </c>
      <c r="C77" s="30" t="str">
        <f>IFERROR(__xludf.DUMMYFUNCTION("""COMPUTED_VALUE"""),"dr_zachattack")</f>
        <v>dr_zachattack</v>
      </c>
      <c r="D77" s="31" t="str">
        <f>IFERROR(__xludf.DUMMYFUNCTION("""COMPUTED_VALUE"""),"Trippy Hippies")</f>
        <v>Trippy Hippies</v>
      </c>
      <c r="E77" s="31">
        <f>IFERROR(__xludf.DUMMYFUNCTION("""COMPUTED_VALUE"""),64.75041711428912)</f>
        <v>64.75041711</v>
      </c>
      <c r="F77" s="31">
        <f>IFERROR(__xludf.DUMMYFUNCTION("""COMPUTED_VALUE"""),3.602438725607136)</f>
        <v>3.602438726</v>
      </c>
      <c r="G77" s="31">
        <f>IFERROR(__xludf.DUMMYFUNCTION("""COMPUTED_VALUE"""),68.90463772029455)</f>
        <v>68.90463772</v>
      </c>
      <c r="H77" s="31">
        <f>IFERROR(__xludf.DUMMYFUNCTION("""COMPUTED_VALUE"""),4.449012296232682)</f>
        <v>4.449012296</v>
      </c>
      <c r="I77" s="54">
        <f>IFERROR(__xludf.DUMMYFUNCTION("""COMPUTED_VALUE"""),40.0)</f>
        <v>40</v>
      </c>
      <c r="J77" s="55">
        <f>IFERROR(__xludf.DUMMYFUNCTION("""COMPUTED_VALUE"""),23.0)</f>
        <v>23</v>
      </c>
      <c r="K77" s="54">
        <f>IFERROR(__xludf.DUMMYFUNCTION("""COMPUTED_VALUE"""),17.0)</f>
        <v>17</v>
      </c>
      <c r="L77" s="56">
        <f>IFERROR(__xludf.DUMMYFUNCTION("""COMPUTED_VALUE"""),0.575)</f>
        <v>0.575</v>
      </c>
      <c r="M77" s="56">
        <f>IFERROR(__xludf.DUMMYFUNCTION("""COMPUTED_VALUE"""),0.32222222222222224)</f>
        <v>0.3222222222</v>
      </c>
      <c r="N77" s="31">
        <f>IFERROR(__xludf.DUMMYFUNCTION("""COMPUTED_VALUE"""),376.94444444444446)</f>
        <v>376.9444444</v>
      </c>
      <c r="O77" s="57">
        <f>IFERROR(__xludf.DUMMYFUNCTION("""COMPUTED_VALUE"""),0.8055555555555556)</f>
        <v>0.8055555556</v>
      </c>
      <c r="P77" s="57">
        <f>IFERROR(__xludf.DUMMYFUNCTION("""COMPUTED_VALUE"""),0.5555555555555556)</f>
        <v>0.5555555556</v>
      </c>
      <c r="Q77" s="57">
        <f>IFERROR(__xludf.DUMMYFUNCTION("""COMPUTED_VALUE"""),1.3888888888888888)</f>
        <v>1.388888889</v>
      </c>
      <c r="R77" s="57">
        <f>IFERROR(__xludf.DUMMYFUNCTION("""COMPUTED_VALUE"""),2.5)</f>
        <v>2.5</v>
      </c>
      <c r="S77" s="31">
        <f>IFERROR(__xludf.DUMMYFUNCTION("""COMPUTED_VALUE"""),313.7777777777778)</f>
        <v>313.7777778</v>
      </c>
      <c r="T77" s="57">
        <f>IFERROR(__xludf.DUMMYFUNCTION("""COMPUTED_VALUE"""),0.6851851851851852)</f>
        <v>0.6851851852</v>
      </c>
      <c r="U77" s="57">
        <f>IFERROR(__xludf.DUMMYFUNCTION("""COMPUTED_VALUE"""),0.48148148148148134)</f>
        <v>0.4814814815</v>
      </c>
      <c r="V77" s="57">
        <f>IFERROR(__xludf.DUMMYFUNCTION("""COMPUTED_VALUE"""),1.259259259259259)</f>
        <v>1.259259259</v>
      </c>
      <c r="W77" s="57">
        <f>IFERROR(__xludf.DUMMYFUNCTION("""COMPUTED_VALUE"""),2.2777777777777777)</f>
        <v>2.277777778</v>
      </c>
      <c r="X77" s="31">
        <f>IFERROR(__xludf.DUMMYFUNCTION("""COMPUTED_VALUE"""),340.2410220040961)</f>
        <v>340.241022</v>
      </c>
      <c r="Y77" s="57">
        <f>IFERROR(__xludf.DUMMYFUNCTION("""COMPUTED_VALUE"""),0.7803183625490826)</f>
        <v>0.7803183625</v>
      </c>
      <c r="Z77" s="57">
        <f>IFERROR(__xludf.DUMMYFUNCTION("""COMPUTED_VALUE"""),0.5552331554288104)</f>
        <v>0.5552331554</v>
      </c>
      <c r="AA77" s="57">
        <f>IFERROR(__xludf.DUMMYFUNCTION("""COMPUTED_VALUE"""),1.2704047232570734)</f>
        <v>1.270404723</v>
      </c>
      <c r="AB77" s="57">
        <f>IFERROR(__xludf.DUMMYFUNCTION("""COMPUTED_VALUE"""),2.3923158646616893)</f>
        <v>2.392315865</v>
      </c>
      <c r="AC77" s="31">
        <f>IFERROR(__xludf.DUMMYFUNCTION("""COMPUTED_VALUE"""),335.14220293977246)</f>
        <v>335.1422029</v>
      </c>
      <c r="AD77" s="57">
        <f>IFERROR(__xludf.DUMMYFUNCTION("""COMPUTED_VALUE"""),0.7653883509711655)</f>
        <v>0.765388351</v>
      </c>
      <c r="AE77" s="57">
        <f>IFERROR(__xludf.DUMMYFUNCTION("""COMPUTED_VALUE"""),0.5357951348438796)</f>
        <v>0.5357951348</v>
      </c>
      <c r="AF77" s="57">
        <f>IFERROR(__xludf.DUMMYFUNCTION("""COMPUTED_VALUE"""),1.2003636021961406)</f>
        <v>1.200363602</v>
      </c>
      <c r="AG77" s="57">
        <f>IFERROR(__xludf.DUMMYFUNCTION("""COMPUTED_VALUE"""),2.489212662489302)</f>
        <v>2.489212662</v>
      </c>
      <c r="AH77" s="57">
        <f>IFERROR(__xludf.DUMMYFUNCTION("""COMPUTED_VALUE"""),1.1247298643321986)</f>
        <v>1.124729864</v>
      </c>
      <c r="AI77" s="57">
        <f>IFERROR(__xludf.DUMMYFUNCTION("""COMPUTED_VALUE"""),1.0524795086486798)</f>
        <v>1.052479509</v>
      </c>
      <c r="AJ77" s="57">
        <f>IFERROR(__xludf.DUMMYFUNCTION("""COMPUTED_VALUE"""),1.0368805527087022)</f>
        <v>1.036880553</v>
      </c>
      <c r="AK77" s="57">
        <f>IFERROR(__xludf.DUMMYFUNCTION("""COMPUTED_VALUE"""),1.1570568170742843)</f>
        <v>1.157056817</v>
      </c>
      <c r="AL77" s="57">
        <f>IFERROR(__xludf.DUMMYFUNCTION("""COMPUTED_VALUE"""),1.0043336343548528)</f>
        <v>1.004333634</v>
      </c>
      <c r="AM77" s="57">
        <f>IFERROR(__xludf.DUMMYFUNCTION("""COMPUTED_VALUE"""),0.9222220646104228)</f>
        <v>0.9222220646</v>
      </c>
      <c r="AN77" s="57">
        <f>IFERROR(__xludf.DUMMYFUNCTION("""COMPUTED_VALUE"""),0.8780841488169985)</f>
        <v>0.8780841488</v>
      </c>
      <c r="AO77" s="57">
        <f>IFERROR(__xludf.DUMMYFUNCTION("""COMPUTED_VALUE"""),0.8671699029025561)</f>
        <v>0.8671699029</v>
      </c>
      <c r="AP77" s="35">
        <f>IFERROR(__xludf.DUMMYFUNCTION("""COMPUTED_VALUE"""),0.9912268399244931)</f>
        <v>0.9912268399</v>
      </c>
      <c r="AQ77" s="57">
        <f>IFERROR(__xludf.DUMMYFUNCTION("""COMPUTED_VALUE"""),0.9521225066573268)</f>
        <v>0.9521225067</v>
      </c>
      <c r="AR77" s="36" t="b">
        <f>IFERROR(__xludf.DUMMYFUNCTION("""COMPUTED_VALUE"""),TRUE)</f>
        <v>1</v>
      </c>
      <c r="AS77" s="57"/>
      <c r="AT77" s="37"/>
      <c r="AU77" s="30"/>
      <c r="AV77" s="30"/>
      <c r="AW77" s="30"/>
      <c r="AX77" s="30"/>
      <c r="AY77" s="30"/>
      <c r="AZ77" s="30"/>
    </row>
    <row r="78">
      <c r="A78" s="30" t="str">
        <f>IFERROR(__xludf.DUMMYFUNCTION("""COMPUTED_VALUE"""),"Challenger")</f>
        <v>Challenger</v>
      </c>
      <c r="B78" s="30" t="str">
        <f>IFERROR(__xludf.DUMMYFUNCTION("""COMPUTED_VALUE"""),"RSC006883")</f>
        <v>RSC006883</v>
      </c>
      <c r="C78" s="30" t="str">
        <f>IFERROR(__xludf.DUMMYFUNCTION("""COMPUTED_VALUE"""),"Kit")</f>
        <v>Kit</v>
      </c>
      <c r="D78" s="31" t="str">
        <f>IFERROR(__xludf.DUMMYFUNCTION("""COMPUTED_VALUE"""),"Trippy Hippies")</f>
        <v>Trippy Hippies</v>
      </c>
      <c r="E78" s="31">
        <f>IFERROR(__xludf.DUMMYFUNCTION("""COMPUTED_VALUE"""),64.65894782130529)</f>
        <v>64.65894782</v>
      </c>
      <c r="F78" s="31">
        <f>IFERROR(__xludf.DUMMYFUNCTION("""COMPUTED_VALUE"""),3.5865753142694534)</f>
        <v>3.586575314</v>
      </c>
      <c r="G78" s="31">
        <f>IFERROR(__xludf.DUMMYFUNCTION("""COMPUTED_VALUE"""),63.24301428203277)</f>
        <v>63.24301428</v>
      </c>
      <c r="H78" s="31">
        <f>IFERROR(__xludf.DUMMYFUNCTION("""COMPUTED_VALUE"""),3.353984469918658)</f>
        <v>3.35398447</v>
      </c>
      <c r="I78" s="54">
        <f>IFERROR(__xludf.DUMMYFUNCTION("""COMPUTED_VALUE"""),18.0)</f>
        <v>18</v>
      </c>
      <c r="J78" s="55">
        <f>IFERROR(__xludf.DUMMYFUNCTION("""COMPUTED_VALUE"""),7.0)</f>
        <v>7</v>
      </c>
      <c r="K78" s="54">
        <f>IFERROR(__xludf.DUMMYFUNCTION("""COMPUTED_VALUE"""),11.0)</f>
        <v>11</v>
      </c>
      <c r="L78" s="56">
        <f>IFERROR(__xludf.DUMMYFUNCTION("""COMPUTED_VALUE"""),0.3888888888888889)</f>
        <v>0.3888888889</v>
      </c>
      <c r="M78" s="56">
        <f>IFERROR(__xludf.DUMMYFUNCTION("""COMPUTED_VALUE"""),0.37209302325581395)</f>
        <v>0.3720930233</v>
      </c>
      <c r="N78" s="31">
        <f>IFERROR(__xludf.DUMMYFUNCTION("""COMPUTED_VALUE"""),373.3333333333333)</f>
        <v>373.3333333</v>
      </c>
      <c r="O78" s="57">
        <f>IFERROR(__xludf.DUMMYFUNCTION("""COMPUTED_VALUE"""),0.8888888888888888)</f>
        <v>0.8888888889</v>
      </c>
      <c r="P78" s="57">
        <f>IFERROR(__xludf.DUMMYFUNCTION("""COMPUTED_VALUE"""),0.3888888888888889)</f>
        <v>0.3888888889</v>
      </c>
      <c r="Q78" s="57">
        <f>IFERROR(__xludf.DUMMYFUNCTION("""COMPUTED_VALUE"""),1.7222222222222223)</f>
        <v>1.722222222</v>
      </c>
      <c r="R78" s="57">
        <f>IFERROR(__xludf.DUMMYFUNCTION("""COMPUTED_VALUE"""),2.388888888888889)</f>
        <v>2.388888889</v>
      </c>
      <c r="S78" s="31">
        <f>IFERROR(__xludf.DUMMYFUNCTION("""COMPUTED_VALUE"""),307.1296296296296)</f>
        <v>307.1296296</v>
      </c>
      <c r="T78" s="57">
        <f>IFERROR(__xludf.DUMMYFUNCTION("""COMPUTED_VALUE"""),0.7407407407407407)</f>
        <v>0.7407407407</v>
      </c>
      <c r="U78" s="57">
        <f>IFERROR(__xludf.DUMMYFUNCTION("""COMPUTED_VALUE"""),0.4629629629629629)</f>
        <v>0.462962963</v>
      </c>
      <c r="V78" s="57">
        <f>IFERROR(__xludf.DUMMYFUNCTION("""COMPUTED_VALUE"""),1.1296296296296295)</f>
        <v>1.12962963</v>
      </c>
      <c r="W78" s="57">
        <f>IFERROR(__xludf.DUMMYFUNCTION("""COMPUTED_VALUE"""),2.537037037037037)</f>
        <v>2.537037037</v>
      </c>
      <c r="X78" s="31">
        <f>IFERROR(__xludf.DUMMYFUNCTION("""COMPUTED_VALUE"""),336.77302868348625)</f>
        <v>336.7730287</v>
      </c>
      <c r="Y78" s="57">
        <f>IFERROR(__xludf.DUMMYFUNCTION("""COMPUTED_VALUE"""),0.780933612278119)</f>
        <v>0.7809336123</v>
      </c>
      <c r="Z78" s="57">
        <f>IFERROR(__xludf.DUMMYFUNCTION("""COMPUTED_VALUE"""),0.5547849582186342)</f>
        <v>0.5547849582</v>
      </c>
      <c r="AA78" s="57">
        <f>IFERROR(__xludf.DUMMYFUNCTION("""COMPUTED_VALUE"""),1.230656761861693)</f>
        <v>1.230656762</v>
      </c>
      <c r="AB78" s="57">
        <f>IFERROR(__xludf.DUMMYFUNCTION("""COMPUTED_VALUE"""),2.563678474133971)</f>
        <v>2.563678474</v>
      </c>
      <c r="AC78" s="31">
        <f>IFERROR(__xludf.DUMMYFUNCTION("""COMPUTED_VALUE"""),322.87079424105093)</f>
        <v>322.8707942</v>
      </c>
      <c r="AD78" s="57">
        <f>IFERROR(__xludf.DUMMYFUNCTION("""COMPUTED_VALUE"""),0.670825005351018)</f>
        <v>0.6708250054</v>
      </c>
      <c r="AE78" s="57">
        <f>IFERROR(__xludf.DUMMYFUNCTION("""COMPUTED_VALUE"""),0.4637584908342288)</f>
        <v>0.4637584908</v>
      </c>
      <c r="AF78" s="57">
        <f>IFERROR(__xludf.DUMMYFUNCTION("""COMPUTED_VALUE"""),1.2949775043115632)</f>
        <v>1.294977504</v>
      </c>
      <c r="AG78" s="57">
        <f>IFERROR(__xludf.DUMMYFUNCTION("""COMPUTED_VALUE"""),2.307242621453245)</f>
        <v>2.307242621</v>
      </c>
      <c r="AH78" s="57">
        <f>IFERROR(__xludf.DUMMYFUNCTION("""COMPUTED_VALUE"""),1.1562932912866926)</f>
        <v>1.156293291</v>
      </c>
      <c r="AI78" s="57">
        <f>IFERROR(__xludf.DUMMYFUNCTION("""COMPUTED_VALUE"""),1.3250682097393882)</f>
        <v>1.32506821</v>
      </c>
      <c r="AJ78" s="57">
        <f>IFERROR(__xludf.DUMMYFUNCTION("""COMPUTED_VALUE"""),0.8385590702379137)</f>
        <v>0.8385590702</v>
      </c>
      <c r="AK78" s="57">
        <f>IFERROR(__xludf.DUMMYFUNCTION("""COMPUTED_VALUE"""),1.3299244322686448)</f>
        <v>1.329924432</v>
      </c>
      <c r="AL78" s="57">
        <f>IFERROR(__xludf.DUMMYFUNCTION("""COMPUTED_VALUE"""),1.0353869448650432)</f>
        <v>1.035386945</v>
      </c>
      <c r="AM78" s="57">
        <f>IFERROR(__xludf.DUMMYFUNCTION("""COMPUTED_VALUE"""),0.9119781083130717)</f>
        <v>0.9119781083</v>
      </c>
      <c r="AN78" s="57">
        <f>IFERROR(__xludf.DUMMYFUNCTION("""COMPUTED_VALUE"""),0.9485322812266607)</f>
        <v>0.9485322812</v>
      </c>
      <c r="AO78" s="57">
        <f>IFERROR(__xludf.DUMMYFUNCTION("""COMPUTED_VALUE"""),0.8344908348804128)</f>
        <v>0.8344908349</v>
      </c>
      <c r="AP78" s="35">
        <f>IFERROR(__xludf.DUMMYFUNCTION("""COMPUTED_VALUE"""),0.9179079534091753)</f>
        <v>0.9179079534</v>
      </c>
      <c r="AQ78" s="57">
        <f>IFERROR(__xludf.DUMMYFUNCTION("""COMPUTED_VALUE"""),0.989608120766418)</f>
        <v>0.9896081208</v>
      </c>
      <c r="AR78" s="36" t="b">
        <f>IFERROR(__xludf.DUMMYFUNCTION("""COMPUTED_VALUE"""),TRUE)</f>
        <v>1</v>
      </c>
      <c r="AS78" s="57"/>
      <c r="AT78" s="37"/>
      <c r="AU78" s="30"/>
      <c r="AV78" s="30"/>
      <c r="AW78" s="30"/>
      <c r="AX78" s="30"/>
      <c r="AY78" s="30"/>
      <c r="AZ78" s="30"/>
    </row>
    <row r="79">
      <c r="A79" s="30" t="str">
        <f>IFERROR(__xludf.DUMMYFUNCTION("""COMPUTED_VALUE"""),"Challenger")</f>
        <v>Challenger</v>
      </c>
      <c r="B79" s="30" t="str">
        <f>IFERROR(__xludf.DUMMYFUNCTION("""COMPUTED_VALUE"""),"RSC007934")</f>
        <v>RSC007934</v>
      </c>
      <c r="C79" s="30" t="str">
        <f>IFERROR(__xludf.DUMMYFUNCTION("""COMPUTED_VALUE"""),"Chicknn.")</f>
        <v>Chicknn.</v>
      </c>
      <c r="D79" s="31" t="str">
        <f>IFERROR(__xludf.DUMMYFUNCTION("""COMPUTED_VALUE"""),"Void")</f>
        <v>Void</v>
      </c>
      <c r="E79" s="31">
        <f>IFERROR(__xludf.DUMMYFUNCTION("""COMPUTED_VALUE"""),64.24600495832813)</f>
        <v>64.24600496</v>
      </c>
      <c r="F79" s="31">
        <f>IFERROR(__xludf.DUMMYFUNCTION("""COMPUTED_VALUE"""),3.516260402947078)</f>
        <v>3.516260403</v>
      </c>
      <c r="G79" s="31">
        <f>IFERROR(__xludf.DUMMYFUNCTION("""COMPUTED_VALUE"""),58.03115578525937)</f>
        <v>58.03115579</v>
      </c>
      <c r="H79" s="31">
        <f>IFERROR(__xludf.DUMMYFUNCTION("""COMPUTED_VALUE"""),2.6737117200397)</f>
        <v>2.67371172</v>
      </c>
      <c r="I79" s="54">
        <f>IFERROR(__xludf.DUMMYFUNCTION("""COMPUTED_VALUE"""),30.0)</f>
        <v>30</v>
      </c>
      <c r="J79" s="55">
        <f>IFERROR(__xludf.DUMMYFUNCTION("""COMPUTED_VALUE"""),13.0)</f>
        <v>13</v>
      </c>
      <c r="K79" s="54">
        <f>IFERROR(__xludf.DUMMYFUNCTION("""COMPUTED_VALUE"""),17.0)</f>
        <v>17</v>
      </c>
      <c r="L79" s="56">
        <f>IFERROR(__xludf.DUMMYFUNCTION("""COMPUTED_VALUE"""),0.43333333333333335)</f>
        <v>0.4333333333</v>
      </c>
      <c r="M79" s="56">
        <f>IFERROR(__xludf.DUMMYFUNCTION("""COMPUTED_VALUE"""),0.3037974683544304)</f>
        <v>0.3037974684</v>
      </c>
      <c r="N79" s="31">
        <f>IFERROR(__xludf.DUMMYFUNCTION("""COMPUTED_VALUE"""),367.53333333333336)</f>
        <v>367.5333333</v>
      </c>
      <c r="O79" s="57">
        <f>IFERROR(__xludf.DUMMYFUNCTION("""COMPUTED_VALUE"""),0.8)</f>
        <v>0.8</v>
      </c>
      <c r="P79" s="57">
        <f>IFERROR(__xludf.DUMMYFUNCTION("""COMPUTED_VALUE"""),0.7333333333333333)</f>
        <v>0.7333333333</v>
      </c>
      <c r="Q79" s="57">
        <f>IFERROR(__xludf.DUMMYFUNCTION("""COMPUTED_VALUE"""),1.4)</f>
        <v>1.4</v>
      </c>
      <c r="R79" s="57">
        <f>IFERROR(__xludf.DUMMYFUNCTION("""COMPUTED_VALUE"""),2.6333333333333333)</f>
        <v>2.633333333</v>
      </c>
      <c r="S79" s="31">
        <f>IFERROR(__xludf.DUMMYFUNCTION("""COMPUTED_VALUE"""),351.96666666666675)</f>
        <v>351.9666667</v>
      </c>
      <c r="T79" s="57">
        <f>IFERROR(__xludf.DUMMYFUNCTION("""COMPUTED_VALUE"""),0.9444444444444445)</f>
        <v>0.9444444444</v>
      </c>
      <c r="U79" s="57">
        <f>IFERROR(__xludf.DUMMYFUNCTION("""COMPUTED_VALUE"""),0.6333333333333333)</f>
        <v>0.6333333333</v>
      </c>
      <c r="V79" s="57">
        <f>IFERROR(__xludf.DUMMYFUNCTION("""COMPUTED_VALUE"""),1.1444444444444444)</f>
        <v>1.144444444</v>
      </c>
      <c r="W79" s="57">
        <f>IFERROR(__xludf.DUMMYFUNCTION("""COMPUTED_VALUE"""),2.788888888888889)</f>
        <v>2.788888889</v>
      </c>
      <c r="X79" s="31">
        <f>IFERROR(__xludf.DUMMYFUNCTION("""COMPUTED_VALUE"""),337.62013753067004)</f>
        <v>337.6201375</v>
      </c>
      <c r="Y79" s="57">
        <f>IFERROR(__xludf.DUMMYFUNCTION("""COMPUTED_VALUE"""),0.7802590159584336)</f>
        <v>0.780259016</v>
      </c>
      <c r="Z79" s="57">
        <f>IFERROR(__xludf.DUMMYFUNCTION("""COMPUTED_VALUE"""),0.5474691769285068)</f>
        <v>0.5474691769</v>
      </c>
      <c r="AA79" s="57">
        <f>IFERROR(__xludf.DUMMYFUNCTION("""COMPUTED_VALUE"""),1.2069679083095932)</f>
        <v>1.206967908</v>
      </c>
      <c r="AB79" s="57">
        <f>IFERROR(__xludf.DUMMYFUNCTION("""COMPUTED_VALUE"""),2.5518711249039074)</f>
        <v>2.551871125</v>
      </c>
      <c r="AC79" s="31">
        <f>IFERROR(__xludf.DUMMYFUNCTION("""COMPUTED_VALUE"""),341.23002704900676)</f>
        <v>341.230027</v>
      </c>
      <c r="AD79" s="57">
        <f>IFERROR(__xludf.DUMMYFUNCTION("""COMPUTED_VALUE"""),0.7748972540255896)</f>
        <v>0.774897254</v>
      </c>
      <c r="AE79" s="57">
        <f>IFERROR(__xludf.DUMMYFUNCTION("""COMPUTED_VALUE"""),0.516135159742144)</f>
        <v>0.5161351597</v>
      </c>
      <c r="AF79" s="57">
        <f>IFERROR(__xludf.DUMMYFUNCTION("""COMPUTED_VALUE"""),1.307508283881976)</f>
        <v>1.307508284</v>
      </c>
      <c r="AG79" s="57">
        <f>IFERROR(__xludf.DUMMYFUNCTION("""COMPUTED_VALUE"""),2.4542242808364634)</f>
        <v>2.454224281</v>
      </c>
      <c r="AH79" s="57">
        <f>IFERROR(__xludf.DUMMYFUNCTION("""COMPUTED_VALUE"""),1.0770837974365866)</f>
        <v>1.077083797</v>
      </c>
      <c r="AI79" s="57">
        <f>IFERROR(__xludf.DUMMYFUNCTION("""COMPUTED_VALUE"""),1.0323949347400596)</f>
        <v>1.032394935</v>
      </c>
      <c r="AJ79" s="57">
        <f>IFERROR(__xludf.DUMMYFUNCTION("""COMPUTED_VALUE"""),1.420816465399682)</f>
        <v>1.420816465</v>
      </c>
      <c r="AK79" s="57">
        <f>IFERROR(__xludf.DUMMYFUNCTION("""COMPUTED_VALUE"""),1.070738914053697)</f>
        <v>1.070738914</v>
      </c>
      <c r="AL79" s="57">
        <f>IFERROR(__xludf.DUMMYFUNCTION("""COMPUTED_VALUE"""),1.072979904035431)</f>
        <v>1.072979904</v>
      </c>
      <c r="AM79" s="57">
        <f>IFERROR(__xludf.DUMMYFUNCTION("""COMPUTED_VALUE"""),1.0424931085003586)</f>
        <v>1.042493109</v>
      </c>
      <c r="AN79" s="57">
        <f>IFERROR(__xludf.DUMMYFUNCTION("""COMPUTED_VALUE"""),1.2104242631330997)</f>
        <v>1.210424263</v>
      </c>
      <c r="AO79" s="57">
        <f>IFERROR(__xludf.DUMMYFUNCTION("""COMPUTED_VALUE"""),1.1568383390761)</f>
        <v>1.156838339</v>
      </c>
      <c r="AP79" s="35">
        <f>IFERROR(__xludf.DUMMYFUNCTION("""COMPUTED_VALUE"""),0.9481979069744154)</f>
        <v>0.948197907</v>
      </c>
      <c r="AQ79" s="57">
        <f>IFERROR(__xludf.DUMMYFUNCTION("""COMPUTED_VALUE"""),1.0928799897737418)</f>
        <v>1.09287999</v>
      </c>
      <c r="AR79" s="36" t="b">
        <f>IFERROR(__xludf.DUMMYFUNCTION("""COMPUTED_VALUE"""),TRUE)</f>
        <v>1</v>
      </c>
      <c r="AS79" s="57"/>
      <c r="AT79" s="37"/>
      <c r="AU79" s="30"/>
      <c r="AV79" s="30"/>
      <c r="AW79" s="30"/>
      <c r="AX79" s="30"/>
      <c r="AY79" s="30"/>
      <c r="AZ79" s="30"/>
    </row>
    <row r="80">
      <c r="A80" s="30" t="str">
        <f>IFERROR(__xludf.DUMMYFUNCTION("""COMPUTED_VALUE"""),"Challenger")</f>
        <v>Challenger</v>
      </c>
      <c r="B80" s="30" t="str">
        <f>IFERROR(__xludf.DUMMYFUNCTION("""COMPUTED_VALUE"""),"RSC006928")</f>
        <v>RSC006928</v>
      </c>
      <c r="C80" s="30" t="str">
        <f>IFERROR(__xludf.DUMMYFUNCTION("""COMPUTED_VALUE"""),"Thunderbolt")</f>
        <v>Thunderbolt</v>
      </c>
      <c r="D80" s="31" t="str">
        <f>IFERROR(__xludf.DUMMYFUNCTION("""COMPUTED_VALUE"""),"Havarti Hustlers")</f>
        <v>Havarti Hustlers</v>
      </c>
      <c r="E80" s="31">
        <f>IFERROR(__xludf.DUMMYFUNCTION("""COMPUTED_VALUE"""),63.9992368909795)</f>
        <v>63.99923689</v>
      </c>
      <c r="F80" s="31">
        <f>IFERROR(__xludf.DUMMYFUNCTION("""COMPUTED_VALUE"""),3.4752373629832665)</f>
        <v>3.475237363</v>
      </c>
      <c r="G80" s="31">
        <f>IFERROR(__xludf.DUMMYFUNCTION("""COMPUTED_VALUE"""),64.66177135457974)</f>
        <v>64.66177135</v>
      </c>
      <c r="H80" s="31">
        <f>IFERROR(__xludf.DUMMYFUNCTION("""COMPUTED_VALUE"""),3.5870634144700917)</f>
        <v>3.587063414</v>
      </c>
      <c r="I80" s="54">
        <f>IFERROR(__xludf.DUMMYFUNCTION("""COMPUTED_VALUE"""),44.0)</f>
        <v>44</v>
      </c>
      <c r="J80" s="55">
        <f>IFERROR(__xludf.DUMMYFUNCTION("""COMPUTED_VALUE"""),21.0)</f>
        <v>21</v>
      </c>
      <c r="K80" s="54">
        <f>IFERROR(__xludf.DUMMYFUNCTION("""COMPUTED_VALUE"""),23.0)</f>
        <v>23</v>
      </c>
      <c r="L80" s="56">
        <f>IFERROR(__xludf.DUMMYFUNCTION("""COMPUTED_VALUE"""),0.4772727272727273)</f>
        <v>0.4772727273</v>
      </c>
      <c r="M80" s="56">
        <f>IFERROR(__xludf.DUMMYFUNCTION("""COMPUTED_VALUE"""),0.2391304347826087)</f>
        <v>0.2391304348</v>
      </c>
      <c r="N80" s="31">
        <f>IFERROR(__xludf.DUMMYFUNCTION("""COMPUTED_VALUE"""),343.90909090909093)</f>
        <v>343.9090909</v>
      </c>
      <c r="O80" s="57">
        <f>IFERROR(__xludf.DUMMYFUNCTION("""COMPUTED_VALUE"""),0.75)</f>
        <v>0.75</v>
      </c>
      <c r="P80" s="57">
        <f>IFERROR(__xludf.DUMMYFUNCTION("""COMPUTED_VALUE"""),0.5909090909090909)</f>
        <v>0.5909090909</v>
      </c>
      <c r="Q80" s="57">
        <f>IFERROR(__xludf.DUMMYFUNCTION("""COMPUTED_VALUE"""),1.2045454545454546)</f>
        <v>1.204545455</v>
      </c>
      <c r="R80" s="57">
        <f>IFERROR(__xludf.DUMMYFUNCTION("""COMPUTED_VALUE"""),3.1363636363636362)</f>
        <v>3.136363636</v>
      </c>
      <c r="S80" s="31">
        <f>IFERROR(__xludf.DUMMYFUNCTION("""COMPUTED_VALUE"""),341.42424242424244)</f>
        <v>341.4242424</v>
      </c>
      <c r="T80" s="57">
        <f>IFERROR(__xludf.DUMMYFUNCTION("""COMPUTED_VALUE"""),0.7500000000000001)</f>
        <v>0.75</v>
      </c>
      <c r="U80" s="57">
        <f>IFERROR(__xludf.DUMMYFUNCTION("""COMPUTED_VALUE"""),0.484848484848485)</f>
        <v>0.4848484848</v>
      </c>
      <c r="V80" s="57">
        <f>IFERROR(__xludf.DUMMYFUNCTION("""COMPUTED_VALUE"""),1.4090909090909092)</f>
        <v>1.409090909</v>
      </c>
      <c r="W80" s="57">
        <f>IFERROR(__xludf.DUMMYFUNCTION("""COMPUTED_VALUE"""),2.257575757575758)</f>
        <v>2.257575758</v>
      </c>
      <c r="X80" s="31">
        <f>IFERROR(__xludf.DUMMYFUNCTION("""COMPUTED_VALUE"""),336.4072161790762)</f>
        <v>336.4072162</v>
      </c>
      <c r="Y80" s="57">
        <f>IFERROR(__xludf.DUMMYFUNCTION("""COMPUTED_VALUE"""),0.7490799670445546)</f>
        <v>0.749079967</v>
      </c>
      <c r="Z80" s="57">
        <f>IFERROR(__xludf.DUMMYFUNCTION("""COMPUTED_VALUE"""),0.50599745349226)</f>
        <v>0.5059974535</v>
      </c>
      <c r="AA80" s="57">
        <f>IFERROR(__xludf.DUMMYFUNCTION("""COMPUTED_VALUE"""),1.2756732998096942)</f>
        <v>1.2756733</v>
      </c>
      <c r="AB80" s="57">
        <f>IFERROR(__xludf.DUMMYFUNCTION("""COMPUTED_VALUE"""),2.403134768823722)</f>
        <v>2.403134769</v>
      </c>
      <c r="AC80" s="31">
        <f>IFERROR(__xludf.DUMMYFUNCTION("""COMPUTED_VALUE"""),337.7750998476606)</f>
        <v>337.7750998</v>
      </c>
      <c r="AD80" s="57">
        <f>IFERROR(__xludf.DUMMYFUNCTION("""COMPUTED_VALUE"""),0.7998505453811776)</f>
        <v>0.7998505454</v>
      </c>
      <c r="AE80" s="57">
        <f>IFERROR(__xludf.DUMMYFUNCTION("""COMPUTED_VALUE"""),0.5645228229424734)</f>
        <v>0.5645228229</v>
      </c>
      <c r="AF80" s="57">
        <f>IFERROR(__xludf.DUMMYFUNCTION("""COMPUTED_VALUE"""),1.1869611966830318)</f>
        <v>1.186961197</v>
      </c>
      <c r="AG80" s="57">
        <f>IFERROR(__xludf.DUMMYFUNCTION("""COMPUTED_VALUE"""),2.524069684506714)</f>
        <v>2.524069685</v>
      </c>
      <c r="AH80" s="57">
        <f>IFERROR(__xludf.DUMMYFUNCTION("""COMPUTED_VALUE"""),1.01815998593205)</f>
        <v>1.018159986</v>
      </c>
      <c r="AI80" s="57">
        <f>IFERROR(__xludf.DUMMYFUNCTION("""COMPUTED_VALUE"""),0.9376751748572969)</f>
        <v>0.9376751749</v>
      </c>
      <c r="AJ80" s="57">
        <f>IFERROR(__xludf.DUMMYFUNCTION("""COMPUTED_VALUE"""),1.0467408347267235)</f>
        <v>1.046740835</v>
      </c>
      <c r="AK80" s="57">
        <f>IFERROR(__xludf.DUMMYFUNCTION("""COMPUTED_VALUE"""),1.0148145178726669)</f>
        <v>1.014814518</v>
      </c>
      <c r="AL80" s="57">
        <f>IFERROR(__xludf.DUMMYFUNCTION("""COMPUTED_VALUE"""),1.2425820315561473)</f>
        <v>1.242582032</v>
      </c>
      <c r="AM80" s="57">
        <f>IFERROR(__xludf.DUMMYFUNCTION("""COMPUTED_VALUE"""),1.0149135512078182)</f>
        <v>1.014913551</v>
      </c>
      <c r="AN80" s="57">
        <f>IFERROR(__xludf.DUMMYFUNCTION("""COMPUTED_VALUE"""),1.0012282172744191)</f>
        <v>1.001228217</v>
      </c>
      <c r="AO80" s="57">
        <f>IFERROR(__xludf.DUMMYFUNCTION("""COMPUTED_VALUE"""),0.95820340893455)</f>
        <v>0.9582034089</v>
      </c>
      <c r="AP80" s="35">
        <f>IFERROR(__xludf.DUMMYFUNCTION("""COMPUTED_VALUE"""),1.104586032568933)</f>
        <v>1.104586033</v>
      </c>
      <c r="AQ80" s="57">
        <f>IFERROR(__xludf.DUMMYFUNCTION("""COMPUTED_VALUE"""),0.9394295263268935)</f>
        <v>0.9394295263</v>
      </c>
      <c r="AR80" s="36" t="b">
        <f>IFERROR(__xludf.DUMMYFUNCTION("""COMPUTED_VALUE"""),TRUE)</f>
        <v>1</v>
      </c>
      <c r="AS80" s="57"/>
      <c r="AT80" s="37"/>
      <c r="AU80" s="30"/>
      <c r="AV80" s="30"/>
      <c r="AW80" s="30"/>
      <c r="AX80" s="30"/>
      <c r="AY80" s="30"/>
      <c r="AZ80" s="30"/>
    </row>
    <row r="81">
      <c r="A81" s="30" t="str">
        <f>IFERROR(__xludf.DUMMYFUNCTION("""COMPUTED_VALUE"""),"Challenger")</f>
        <v>Challenger</v>
      </c>
      <c r="B81" s="30" t="str">
        <f>IFERROR(__xludf.DUMMYFUNCTION("""COMPUTED_VALUE"""),"RSC007590")</f>
        <v>RSC007590</v>
      </c>
      <c r="C81" s="30" t="str">
        <f>IFERROR(__xludf.DUMMYFUNCTION("""COMPUTED_VALUE"""),"DonkeyPancakes2")</f>
        <v>DonkeyPancakes2</v>
      </c>
      <c r="D81" s="31" t="str">
        <f>IFERROR(__xludf.DUMMYFUNCTION("""COMPUTED_VALUE"""),"Lions")</f>
        <v>Lions</v>
      </c>
      <c r="E81" s="31">
        <f>IFERROR(__xludf.DUMMYFUNCTION("""COMPUTED_VALUE"""),61.37660272562914)</f>
        <v>61.37660273</v>
      </c>
      <c r="F81" s="31">
        <f>IFERROR(__xludf.DUMMYFUNCTION("""COMPUTED_VALUE"""),3.081364423281346)</f>
        <v>3.081364423</v>
      </c>
      <c r="G81" s="31">
        <f>IFERROR(__xludf.DUMMYFUNCTION("""COMPUTED_VALUE"""),50.1867125416017)</f>
        <v>50.18671254</v>
      </c>
      <c r="H81" s="31">
        <f>IFERROR(__xludf.DUMMYFUNCTION("""COMPUTED_VALUE"""),2.0119893373695703)</f>
        <v>2.011989337</v>
      </c>
      <c r="I81" s="54">
        <f>IFERROR(__xludf.DUMMYFUNCTION("""COMPUTED_VALUE"""),48.0)</f>
        <v>48</v>
      </c>
      <c r="J81" s="55">
        <f>IFERROR(__xludf.DUMMYFUNCTION("""COMPUTED_VALUE"""),25.0)</f>
        <v>25</v>
      </c>
      <c r="K81" s="54">
        <f>IFERROR(__xludf.DUMMYFUNCTION("""COMPUTED_VALUE"""),23.0)</f>
        <v>23</v>
      </c>
      <c r="L81" s="56">
        <f>IFERROR(__xludf.DUMMYFUNCTION("""COMPUTED_VALUE"""),0.5208333333333334)</f>
        <v>0.5208333333</v>
      </c>
      <c r="M81" s="56">
        <f>IFERROR(__xludf.DUMMYFUNCTION("""COMPUTED_VALUE"""),0.312)</f>
        <v>0.312</v>
      </c>
      <c r="N81" s="31">
        <f>IFERROR(__xludf.DUMMYFUNCTION("""COMPUTED_VALUE"""),318.1666666666667)</f>
        <v>318.1666667</v>
      </c>
      <c r="O81" s="57">
        <f>IFERROR(__xludf.DUMMYFUNCTION("""COMPUTED_VALUE"""),0.8125)</f>
        <v>0.8125</v>
      </c>
      <c r="P81" s="57">
        <f>IFERROR(__xludf.DUMMYFUNCTION("""COMPUTED_VALUE"""),0.5833333333333334)</f>
        <v>0.5833333333</v>
      </c>
      <c r="Q81" s="57">
        <f>IFERROR(__xludf.DUMMYFUNCTION("""COMPUTED_VALUE"""),1.0625)</f>
        <v>1.0625</v>
      </c>
      <c r="R81" s="57">
        <f>IFERROR(__xludf.DUMMYFUNCTION("""COMPUTED_VALUE"""),2.6041666666666665)</f>
        <v>2.604166667</v>
      </c>
      <c r="S81" s="31">
        <f>IFERROR(__xludf.DUMMYFUNCTION("""COMPUTED_VALUE"""),322.1527777777778)</f>
        <v>322.1527778</v>
      </c>
      <c r="T81" s="57">
        <f>IFERROR(__xludf.DUMMYFUNCTION("""COMPUTED_VALUE"""),0.6805555555555555)</f>
        <v>0.6805555556</v>
      </c>
      <c r="U81" s="57">
        <f>IFERROR(__xludf.DUMMYFUNCTION("""COMPUTED_VALUE"""),0.4652777777777776)</f>
        <v>0.4652777778</v>
      </c>
      <c r="V81" s="57">
        <f>IFERROR(__xludf.DUMMYFUNCTION("""COMPUTED_VALUE"""),1.361111111111111)</f>
        <v>1.361111111</v>
      </c>
      <c r="W81" s="57">
        <f>IFERROR(__xludf.DUMMYFUNCTION("""COMPUTED_VALUE"""),2.166666666666667)</f>
        <v>2.166666667</v>
      </c>
      <c r="X81" s="31">
        <f>IFERROR(__xludf.DUMMYFUNCTION("""COMPUTED_VALUE"""),343.0297460597001)</f>
        <v>343.0297461</v>
      </c>
      <c r="Y81" s="57">
        <f>IFERROR(__xludf.DUMMYFUNCTION("""COMPUTED_VALUE"""),0.7791886771398664)</f>
        <v>0.7791886771</v>
      </c>
      <c r="Z81" s="57">
        <f>IFERROR(__xludf.DUMMYFUNCTION("""COMPUTED_VALUE"""),0.531764880794607)</f>
        <v>0.5317648808</v>
      </c>
      <c r="AA81" s="57">
        <f>IFERROR(__xludf.DUMMYFUNCTION("""COMPUTED_VALUE"""),1.2990697415341876)</f>
        <v>1.299069742</v>
      </c>
      <c r="AB81" s="57">
        <f>IFERROR(__xludf.DUMMYFUNCTION("""COMPUTED_VALUE"""),2.435765403557669)</f>
        <v>2.435765404</v>
      </c>
      <c r="AC81" s="31">
        <f>IFERROR(__xludf.DUMMYFUNCTION("""COMPUTED_VALUE"""),339.6658037196977)</f>
        <v>339.6658037</v>
      </c>
      <c r="AD81" s="57">
        <f>IFERROR(__xludf.DUMMYFUNCTION("""COMPUTED_VALUE"""),0.7795040864195206)</f>
        <v>0.7795040864</v>
      </c>
      <c r="AE81" s="57">
        <f>IFERROR(__xludf.DUMMYFUNCTION("""COMPUTED_VALUE"""),0.5487451318616736)</f>
        <v>0.5487451319</v>
      </c>
      <c r="AF81" s="57">
        <f>IFERROR(__xludf.DUMMYFUNCTION("""COMPUTED_VALUE"""),1.228255471366558)</f>
        <v>1.228255471</v>
      </c>
      <c r="AG81" s="57">
        <f>IFERROR(__xludf.DUMMYFUNCTION("""COMPUTED_VALUE"""),2.5413127626263887)</f>
        <v>2.541312763</v>
      </c>
      <c r="AH81" s="57">
        <f>IFERROR(__xludf.DUMMYFUNCTION("""COMPUTED_VALUE"""),0.9367050294212934)</f>
        <v>0.9367050294</v>
      </c>
      <c r="AI81" s="57">
        <f>IFERROR(__xludf.DUMMYFUNCTION("""COMPUTED_VALUE"""),1.0423293657536021)</f>
        <v>1.042329366</v>
      </c>
      <c r="AJ81" s="57">
        <f>IFERROR(__xludf.DUMMYFUNCTION("""COMPUTED_VALUE"""),1.0630314502368627)</f>
        <v>1.06303145</v>
      </c>
      <c r="AK81" s="57">
        <f>IFERROR(__xludf.DUMMYFUNCTION("""COMPUTED_VALUE"""),0.8650480496682514)</f>
        <v>0.8650480497</v>
      </c>
      <c r="AL81" s="57">
        <f>IFERROR(__xludf.DUMMYFUNCTION("""COMPUTED_VALUE"""),1.0247328486932556)</f>
        <v>1.024732849</v>
      </c>
      <c r="AM81" s="57">
        <f>IFERROR(__xludf.DUMMYFUNCTION("""COMPUTED_VALUE"""),0.9391394812790117)</f>
        <v>0.9391394813</v>
      </c>
      <c r="AN81" s="57">
        <f>IFERROR(__xludf.DUMMYFUNCTION("""COMPUTED_VALUE"""),0.8734156123182395)</f>
        <v>0.8734156123</v>
      </c>
      <c r="AO81" s="57">
        <f>IFERROR(__xludf.DUMMYFUNCTION("""COMPUTED_VALUE"""),0.8749689845679939)</f>
        <v>0.8749689846</v>
      </c>
      <c r="AP81" s="35">
        <f>IFERROR(__xludf.DUMMYFUNCTION("""COMPUTED_VALUE"""),1.0477583054960953)</f>
        <v>1.047758305</v>
      </c>
      <c r="AQ81" s="57">
        <f>IFERROR(__xludf.DUMMYFUNCTION("""COMPUTED_VALUE"""),0.8895218987436321)</f>
        <v>0.8895218987</v>
      </c>
      <c r="AR81" s="36" t="b">
        <f>IFERROR(__xludf.DUMMYFUNCTION("""COMPUTED_VALUE"""),TRUE)</f>
        <v>1</v>
      </c>
      <c r="AS81" s="57"/>
      <c r="AT81" s="37"/>
      <c r="AU81" s="30"/>
      <c r="AV81" s="30"/>
      <c r="AW81" s="30"/>
      <c r="AX81" s="30"/>
      <c r="AY81" s="30"/>
      <c r="AZ81" s="30"/>
    </row>
    <row r="82">
      <c r="A82" s="30" t="str">
        <f>IFERROR(__xludf.DUMMYFUNCTION("""COMPUTED_VALUE"""),"Challenger")</f>
        <v>Challenger</v>
      </c>
      <c r="B82" s="30" t="str">
        <f>IFERROR(__xludf.DUMMYFUNCTION("""COMPUTED_VALUE"""),"RSC001066")</f>
        <v>RSC001066</v>
      </c>
      <c r="C82" s="30" t="str">
        <f>IFERROR(__xludf.DUMMYFUNCTION("""COMPUTED_VALUE"""),"risu")</f>
        <v>risu</v>
      </c>
      <c r="D82" s="31" t="str">
        <f>IFERROR(__xludf.DUMMYFUNCTION("""COMPUTED_VALUE"""),"Trippy Hippies")</f>
        <v>Trippy Hippies</v>
      </c>
      <c r="E82" s="31">
        <f>IFERROR(__xludf.DUMMYFUNCTION("""COMPUTED_VALUE"""),60.910211341893316)</f>
        <v>60.91021134</v>
      </c>
      <c r="F82" s="31">
        <f>IFERROR(__xludf.DUMMYFUNCTION("""COMPUTED_VALUE"""),3.018683811845469)</f>
        <v>3.018683812</v>
      </c>
      <c r="G82" s="31">
        <f>IFERROR(__xludf.DUMMYFUNCTION("""COMPUTED_VALUE"""),51.10110090151408)</f>
        <v>51.1011009</v>
      </c>
      <c r="H82" s="31">
        <f>IFERROR(__xludf.DUMMYFUNCTION("""COMPUTED_VALUE"""),2.0728195989130276)</f>
        <v>2.072819599</v>
      </c>
      <c r="I82" s="54">
        <f>IFERROR(__xludf.DUMMYFUNCTION("""COMPUTED_VALUE"""),43.0)</f>
        <v>43</v>
      </c>
      <c r="J82" s="55">
        <f>IFERROR(__xludf.DUMMYFUNCTION("""COMPUTED_VALUE"""),24.0)</f>
        <v>24</v>
      </c>
      <c r="K82" s="54">
        <f>IFERROR(__xludf.DUMMYFUNCTION("""COMPUTED_VALUE"""),19.0)</f>
        <v>19</v>
      </c>
      <c r="L82" s="56">
        <f>IFERROR(__xludf.DUMMYFUNCTION("""COMPUTED_VALUE"""),0.5581395348837209)</f>
        <v>0.5581395349</v>
      </c>
      <c r="M82" s="56">
        <f>IFERROR(__xludf.DUMMYFUNCTION("""COMPUTED_VALUE"""),0.3076923076923077)</f>
        <v>0.3076923077</v>
      </c>
      <c r="N82" s="31">
        <f>IFERROR(__xludf.DUMMYFUNCTION("""COMPUTED_VALUE"""),317.0769230769231)</f>
        <v>317.0769231</v>
      </c>
      <c r="O82" s="57">
        <f>IFERROR(__xludf.DUMMYFUNCTION("""COMPUTED_VALUE"""),0.8205128205128205)</f>
        <v>0.8205128205</v>
      </c>
      <c r="P82" s="57">
        <f>IFERROR(__xludf.DUMMYFUNCTION("""COMPUTED_VALUE"""),0.6153846153846154)</f>
        <v>0.6153846154</v>
      </c>
      <c r="Q82" s="57">
        <f>IFERROR(__xludf.DUMMYFUNCTION("""COMPUTED_VALUE"""),0.8461538461538461)</f>
        <v>0.8461538462</v>
      </c>
      <c r="R82" s="57">
        <f>IFERROR(__xludf.DUMMYFUNCTION("""COMPUTED_VALUE"""),2.6666666666666665)</f>
        <v>2.666666667</v>
      </c>
      <c r="S82" s="31">
        <f>IFERROR(__xludf.DUMMYFUNCTION("""COMPUTED_VALUE"""),317.965811965812)</f>
        <v>317.965812</v>
      </c>
      <c r="T82" s="57">
        <f>IFERROR(__xludf.DUMMYFUNCTION("""COMPUTED_VALUE"""),0.7264957264957266)</f>
        <v>0.7264957265</v>
      </c>
      <c r="U82" s="57">
        <f>IFERROR(__xludf.DUMMYFUNCTION("""COMPUTED_VALUE"""),0.5213675213675213)</f>
        <v>0.5213675214</v>
      </c>
      <c r="V82" s="57">
        <f>IFERROR(__xludf.DUMMYFUNCTION("""COMPUTED_VALUE"""),1.2393162393162391)</f>
        <v>1.239316239</v>
      </c>
      <c r="W82" s="57">
        <f>IFERROR(__xludf.DUMMYFUNCTION("""COMPUTED_VALUE"""),2.4017094017094016)</f>
        <v>2.401709402</v>
      </c>
      <c r="X82" s="31">
        <f>IFERROR(__xludf.DUMMYFUNCTION("""COMPUTED_VALUE"""),340.83685490969094)</f>
        <v>340.8368549</v>
      </c>
      <c r="Y82" s="57">
        <f>IFERROR(__xludf.DUMMYFUNCTION("""COMPUTED_VALUE"""),0.7599168749434412)</f>
        <v>0.7599168749</v>
      </c>
      <c r="Z82" s="57">
        <f>IFERROR(__xludf.DUMMYFUNCTION("""COMPUTED_VALUE"""),0.543706590890794)</f>
        <v>0.5437065909</v>
      </c>
      <c r="AA82" s="57">
        <f>IFERROR(__xludf.DUMMYFUNCTION("""COMPUTED_VALUE"""),1.3175869288609776)</f>
        <v>1.317586929</v>
      </c>
      <c r="AB82" s="57">
        <f>IFERROR(__xludf.DUMMYFUNCTION("""COMPUTED_VALUE"""),2.4046332927514493)</f>
        <v>2.404633293</v>
      </c>
      <c r="AC82" s="31">
        <f>IFERROR(__xludf.DUMMYFUNCTION("""COMPUTED_VALUE"""),339.9022224110539)</f>
        <v>339.9022224</v>
      </c>
      <c r="AD82" s="57">
        <f>IFERROR(__xludf.DUMMYFUNCTION("""COMPUTED_VALUE"""),0.7856987788918756)</f>
        <v>0.7856987789</v>
      </c>
      <c r="AE82" s="57">
        <f>IFERROR(__xludf.DUMMYFUNCTION("""COMPUTED_VALUE"""),0.5483987452693021)</f>
        <v>0.5483987453</v>
      </c>
      <c r="AF82" s="57">
        <f>IFERROR(__xludf.DUMMYFUNCTION("""COMPUTED_VALUE"""),1.2151499152367078)</f>
        <v>1.215149915</v>
      </c>
      <c r="AG82" s="57">
        <f>IFERROR(__xludf.DUMMYFUNCTION("""COMPUTED_VALUE"""),2.5647588808029744)</f>
        <v>2.564758881</v>
      </c>
      <c r="AH82" s="57">
        <f>IFERROR(__xludf.DUMMYFUNCTION("""COMPUTED_VALUE"""),0.9328474548585696)</f>
        <v>0.9328474549</v>
      </c>
      <c r="AI82" s="57">
        <f>IFERROR(__xludf.DUMMYFUNCTION("""COMPUTED_VALUE"""),1.0443096547382262)</f>
        <v>1.044309655</v>
      </c>
      <c r="AJ82" s="57">
        <f>IFERROR(__xludf.DUMMYFUNCTION("""COMPUTED_VALUE"""),1.1221481097343113)</f>
        <v>1.12214811</v>
      </c>
      <c r="AK82" s="57">
        <f>IFERROR(__xludf.DUMMYFUNCTION("""COMPUTED_VALUE"""),0.6963369996935874)</f>
        <v>0.6963369997</v>
      </c>
      <c r="AL82" s="57">
        <f>IFERROR(__xludf.DUMMYFUNCTION("""COMPUTED_VALUE"""),1.03973386606689)</f>
        <v>1.039733866</v>
      </c>
      <c r="AM82" s="57">
        <f>IFERROR(__xludf.DUMMYFUNCTION("""COMPUTED_VALUE"""),0.932897388840362)</f>
        <v>0.9328973888</v>
      </c>
      <c r="AN82" s="57">
        <f>IFERROR(__xludf.DUMMYFUNCTION("""COMPUTED_VALUE"""),0.9560199943576696)</f>
        <v>0.9560199944</v>
      </c>
      <c r="AO82" s="57">
        <f>IFERROR(__xludf.DUMMYFUNCTION("""COMPUTED_VALUE"""),0.958913373688053)</f>
        <v>0.9589133737</v>
      </c>
      <c r="AP82" s="35">
        <f>IFERROR(__xludf.DUMMYFUNCTION("""COMPUTED_VALUE"""),0.9405954265101873)</f>
        <v>0.9405954265</v>
      </c>
      <c r="AQ82" s="57">
        <f>IFERROR(__xludf.DUMMYFUNCTION("""COMPUTED_VALUE"""),0.9987840594859676)</f>
        <v>0.9987840595</v>
      </c>
      <c r="AR82" s="36" t="b">
        <f>IFERROR(__xludf.DUMMYFUNCTION("""COMPUTED_VALUE"""),TRUE)</f>
        <v>1</v>
      </c>
      <c r="AS82" s="57"/>
      <c r="AT82" s="37"/>
      <c r="AU82" s="30"/>
      <c r="AV82" s="30"/>
      <c r="AW82" s="30"/>
      <c r="AX82" s="30"/>
      <c r="AY82" s="30"/>
      <c r="AZ82" s="30"/>
    </row>
    <row r="83">
      <c r="A83" s="30" t="str">
        <f>IFERROR(__xludf.DUMMYFUNCTION("""COMPUTED_VALUE"""),"Challenger")</f>
        <v>Challenger</v>
      </c>
      <c r="B83" s="30" t="str">
        <f>IFERROR(__xludf.DUMMYFUNCTION("""COMPUTED_VALUE"""),"RSC006659")</f>
        <v>RSC006659</v>
      </c>
      <c r="C83" s="30" t="str">
        <f>IFERROR(__xludf.DUMMYFUNCTION("""COMPUTED_VALUE"""),"Zalama")</f>
        <v>Zalama</v>
      </c>
      <c r="D83" s="31" t="str">
        <f>IFERROR(__xludf.DUMMYFUNCTION("""COMPUTED_VALUE"""),"Solstice Sake")</f>
        <v>Solstice Sake</v>
      </c>
      <c r="E83" s="31">
        <f>IFERROR(__xludf.DUMMYFUNCTION("""COMPUTED_VALUE"""),60.87941346070705)</f>
        <v>60.87941346</v>
      </c>
      <c r="F83" s="31">
        <f>IFERROR(__xludf.DUMMYFUNCTION("""COMPUTED_VALUE"""),3.014616560228071)</f>
        <v>3.01461656</v>
      </c>
      <c r="G83" s="31">
        <f>IFERROR(__xludf.DUMMYFUNCTION("""COMPUTED_VALUE"""),42.62511092768837)</f>
        <v>42.62511093</v>
      </c>
      <c r="H83" s="31">
        <f>IFERROR(__xludf.DUMMYFUNCTION("""COMPUTED_VALUE"""),-2.6041759261905475)</f>
        <v>-2.604175926</v>
      </c>
      <c r="I83" s="54">
        <f>IFERROR(__xludf.DUMMYFUNCTION("""COMPUTED_VALUE"""),32.0)</f>
        <v>32</v>
      </c>
      <c r="J83" s="55">
        <f>IFERROR(__xludf.DUMMYFUNCTION("""COMPUTED_VALUE"""),16.0)</f>
        <v>16</v>
      </c>
      <c r="K83" s="54">
        <f>IFERROR(__xludf.DUMMYFUNCTION("""COMPUTED_VALUE"""),16.0)</f>
        <v>16</v>
      </c>
      <c r="L83" s="56">
        <f>IFERROR(__xludf.DUMMYFUNCTION("""COMPUTED_VALUE"""),0.5)</f>
        <v>0.5</v>
      </c>
      <c r="M83" s="56">
        <f>IFERROR(__xludf.DUMMYFUNCTION("""COMPUTED_VALUE"""),0.36470588235294116)</f>
        <v>0.3647058824</v>
      </c>
      <c r="N83" s="31">
        <f>IFERROR(__xludf.DUMMYFUNCTION("""COMPUTED_VALUE"""),322.59375)</f>
        <v>322.59375</v>
      </c>
      <c r="O83" s="57">
        <f>IFERROR(__xludf.DUMMYFUNCTION("""COMPUTED_VALUE"""),0.96875)</f>
        <v>0.96875</v>
      </c>
      <c r="P83" s="57">
        <f>IFERROR(__xludf.DUMMYFUNCTION("""COMPUTED_VALUE"""),0.40625)</f>
        <v>0.40625</v>
      </c>
      <c r="Q83" s="57">
        <f>IFERROR(__xludf.DUMMYFUNCTION("""COMPUTED_VALUE"""),0.90625)</f>
        <v>0.90625</v>
      </c>
      <c r="R83" s="57">
        <f>IFERROR(__xludf.DUMMYFUNCTION("""COMPUTED_VALUE"""),2.65625)</f>
        <v>2.65625</v>
      </c>
      <c r="S83" s="31">
        <f>IFERROR(__xludf.DUMMYFUNCTION("""COMPUTED_VALUE"""),336.94791666666663)</f>
        <v>336.9479167</v>
      </c>
      <c r="T83" s="57">
        <f>IFERROR(__xludf.DUMMYFUNCTION("""COMPUTED_VALUE"""),0.7812499999999998)</f>
        <v>0.78125</v>
      </c>
      <c r="U83" s="57">
        <f>IFERROR(__xludf.DUMMYFUNCTION("""COMPUTED_VALUE"""),0.4791666666666667)</f>
        <v>0.4791666667</v>
      </c>
      <c r="V83" s="57">
        <f>IFERROR(__xludf.DUMMYFUNCTION("""COMPUTED_VALUE"""),1.2395833333333333)</f>
        <v>1.239583333</v>
      </c>
      <c r="W83" s="57">
        <f>IFERROR(__xludf.DUMMYFUNCTION("""COMPUTED_VALUE"""),2.489583333333334)</f>
        <v>2.489583333</v>
      </c>
      <c r="X83" s="31">
        <f>IFERROR(__xludf.DUMMYFUNCTION("""COMPUTED_VALUE"""),336.30918259699257)</f>
        <v>336.3091826</v>
      </c>
      <c r="Y83" s="57">
        <f>IFERROR(__xludf.DUMMYFUNCTION("""COMPUTED_VALUE"""),0.7949602914891069)</f>
        <v>0.7949602915</v>
      </c>
      <c r="Z83" s="57">
        <f>IFERROR(__xludf.DUMMYFUNCTION("""COMPUTED_VALUE"""),0.5607030638648293)</f>
        <v>0.5607030639</v>
      </c>
      <c r="AA83" s="57">
        <f>IFERROR(__xludf.DUMMYFUNCTION("""COMPUTED_VALUE"""),1.1859079769763392)</f>
        <v>1.185907977</v>
      </c>
      <c r="AB83" s="57">
        <f>IFERROR(__xludf.DUMMYFUNCTION("""COMPUTED_VALUE"""),2.5192209230328557)</f>
        <v>2.519220923</v>
      </c>
      <c r="AC83" s="31">
        <f>IFERROR(__xludf.DUMMYFUNCTION("""COMPUTED_VALUE"""),338.0882627183142)</f>
        <v>338.0882627</v>
      </c>
      <c r="AD83" s="57">
        <f>IFERROR(__xludf.DUMMYFUNCTION("""COMPUTED_VALUE"""),0.7759102533465626)</f>
        <v>0.7759102533</v>
      </c>
      <c r="AE83" s="57">
        <f>IFERROR(__xludf.DUMMYFUNCTION("""COMPUTED_VALUE"""),0.5326077601660273)</f>
        <v>0.5326077602</v>
      </c>
      <c r="AF83" s="57">
        <f>IFERROR(__xludf.DUMMYFUNCTION("""COMPUTED_VALUE"""),1.2512077381188615)</f>
        <v>1.251207738</v>
      </c>
      <c r="AG83" s="57">
        <f>IFERROR(__xludf.DUMMYFUNCTION("""COMPUTED_VALUE"""),2.424374707638672)</f>
        <v>2.424374708</v>
      </c>
      <c r="AH83" s="57">
        <f>IFERROR(__xludf.DUMMYFUNCTION("""COMPUTED_VALUE"""),0.9541702140330621)</f>
        <v>0.954170214</v>
      </c>
      <c r="AI83" s="57">
        <f>IFERROR(__xludf.DUMMYFUNCTION("""COMPUTED_VALUE"""),1.2485335717909438)</f>
        <v>1.248533572</v>
      </c>
      <c r="AJ83" s="57">
        <f>IFERROR(__xludf.DUMMYFUNCTION("""COMPUTED_VALUE"""),0.7627564417637506)</f>
        <v>0.7627564418</v>
      </c>
      <c r="AK83" s="57">
        <f>IFERROR(__xludf.DUMMYFUNCTION("""COMPUTED_VALUE"""),0.7243001880427218)</f>
        <v>0.724300188</v>
      </c>
      <c r="AL83" s="57">
        <f>IFERROR(__xludf.DUMMYFUNCTION("""COMPUTED_VALUE"""),1.0956433391384344)</f>
        <v>1.095643339</v>
      </c>
      <c r="AM83" s="57">
        <f>IFERROR(__xludf.DUMMYFUNCTION("""COMPUTED_VALUE"""),1.0018992465942849)</f>
        <v>1.001899247</v>
      </c>
      <c r="AN83" s="57">
        <f>IFERROR(__xludf.DUMMYFUNCTION("""COMPUTED_VALUE"""),0.9827534889026656)</f>
        <v>0.9827534889</v>
      </c>
      <c r="AO83" s="57">
        <f>IFERROR(__xludf.DUMMYFUNCTION("""COMPUTED_VALUE"""),0.8545818590036832)</f>
        <v>0.854581859</v>
      </c>
      <c r="AP83" s="35">
        <f>IFERROR(__xludf.DUMMYFUNCTION("""COMPUTED_VALUE"""),1.0452609792657335)</f>
        <v>1.045260979</v>
      </c>
      <c r="AQ83" s="57">
        <f>IFERROR(__xludf.DUMMYFUNCTION("""COMPUTED_VALUE"""),0.9882354145964136)</f>
        <v>0.9882354146</v>
      </c>
      <c r="AR83" s="36" t="b">
        <f>IFERROR(__xludf.DUMMYFUNCTION("""COMPUTED_VALUE"""),TRUE)</f>
        <v>1</v>
      </c>
      <c r="AS83" s="57"/>
      <c r="AT83" s="37"/>
      <c r="AU83" s="30"/>
      <c r="AV83" s="30"/>
      <c r="AW83" s="30"/>
      <c r="AX83" s="30"/>
      <c r="AY83" s="30"/>
      <c r="AZ83" s="30"/>
    </row>
    <row r="84">
      <c r="A84" s="30" t="str">
        <f>IFERROR(__xludf.DUMMYFUNCTION("""COMPUTED_VALUE"""),"Challenger")</f>
        <v>Challenger</v>
      </c>
      <c r="B84" s="30" t="str">
        <f>IFERROR(__xludf.DUMMYFUNCTION("""COMPUTED_VALUE"""),"RSC004333")</f>
        <v>RSC004333</v>
      </c>
      <c r="C84" s="30" t="str">
        <f>IFERROR(__xludf.DUMMYFUNCTION("""COMPUTED_VALUE"""),"Penguin")</f>
        <v>Penguin</v>
      </c>
      <c r="D84" s="31" t="str">
        <f>IFERROR(__xludf.DUMMYFUNCTION("""COMPUTED_VALUE"""),"Mugged")</f>
        <v>Mugged</v>
      </c>
      <c r="E84" s="31">
        <f>IFERROR(__xludf.DUMMYFUNCTION("""COMPUTED_VALUE"""),60.867322399186726)</f>
        <v>60.8673224</v>
      </c>
      <c r="F84" s="31">
        <f>IFERROR(__xludf.DUMMYFUNCTION("""COMPUTED_VALUE"""),3.013022181323439)</f>
        <v>3.013022181</v>
      </c>
      <c r="G84" s="31">
        <f>IFERROR(__xludf.DUMMYFUNCTION("""COMPUTED_VALUE"""),58.94379532290654)</f>
        <v>58.94379532</v>
      </c>
      <c r="H84" s="31">
        <f>IFERROR(__xludf.DUMMYFUNCTION("""COMPUTED_VALUE"""),2.7757381704905693)</f>
        <v>2.77573817</v>
      </c>
      <c r="I84" s="54">
        <f>IFERROR(__xludf.DUMMYFUNCTION("""COMPUTED_VALUE"""),45.0)</f>
        <v>45</v>
      </c>
      <c r="J84" s="55">
        <f>IFERROR(__xludf.DUMMYFUNCTION("""COMPUTED_VALUE"""),24.0)</f>
        <v>24</v>
      </c>
      <c r="K84" s="54">
        <f>IFERROR(__xludf.DUMMYFUNCTION("""COMPUTED_VALUE"""),21.0)</f>
        <v>21</v>
      </c>
      <c r="L84" s="56">
        <f>IFERROR(__xludf.DUMMYFUNCTION("""COMPUTED_VALUE"""),0.5333333333333333)</f>
        <v>0.5333333333</v>
      </c>
      <c r="M84" s="56">
        <f>IFERROR(__xludf.DUMMYFUNCTION("""COMPUTED_VALUE"""),0.33035714285714285)</f>
        <v>0.3303571429</v>
      </c>
      <c r="N84" s="31">
        <f>IFERROR(__xludf.DUMMYFUNCTION("""COMPUTED_VALUE"""),376.2)</f>
        <v>376.2</v>
      </c>
      <c r="O84" s="57">
        <f>IFERROR(__xludf.DUMMYFUNCTION("""COMPUTED_VALUE"""),0.8222222222222222)</f>
        <v>0.8222222222</v>
      </c>
      <c r="P84" s="57">
        <f>IFERROR(__xludf.DUMMYFUNCTION("""COMPUTED_VALUE"""),0.6)</f>
        <v>0.6</v>
      </c>
      <c r="Q84" s="57">
        <f>IFERROR(__xludf.DUMMYFUNCTION("""COMPUTED_VALUE"""),1.4)</f>
        <v>1.4</v>
      </c>
      <c r="R84" s="57">
        <f>IFERROR(__xludf.DUMMYFUNCTION("""COMPUTED_VALUE"""),2.488888888888889)</f>
        <v>2.488888889</v>
      </c>
      <c r="S84" s="31">
        <f>IFERROR(__xludf.DUMMYFUNCTION("""COMPUTED_VALUE"""),336.19259259259263)</f>
        <v>336.1925926</v>
      </c>
      <c r="T84" s="57">
        <f>IFERROR(__xludf.DUMMYFUNCTION("""COMPUTED_VALUE"""),0.8148148148148148)</f>
        <v>0.8148148148</v>
      </c>
      <c r="U84" s="57">
        <f>IFERROR(__xludf.DUMMYFUNCTION("""COMPUTED_VALUE"""),0.5333333333333335)</f>
        <v>0.5333333333</v>
      </c>
      <c r="V84" s="57">
        <f>IFERROR(__xludf.DUMMYFUNCTION("""COMPUTED_VALUE"""),1.1629629629629634)</f>
        <v>1.162962963</v>
      </c>
      <c r="W84" s="57">
        <f>IFERROR(__xludf.DUMMYFUNCTION("""COMPUTED_VALUE"""),2.65925925925926)</f>
        <v>2.659259259</v>
      </c>
      <c r="X84" s="31">
        <f>IFERROR(__xludf.DUMMYFUNCTION("""COMPUTED_VALUE"""),333.16274043485095)</f>
        <v>333.1627404</v>
      </c>
      <c r="Y84" s="57">
        <f>IFERROR(__xludf.DUMMYFUNCTION("""COMPUTED_VALUE"""),0.7573463640419691)</f>
        <v>0.757346364</v>
      </c>
      <c r="Z84" s="57">
        <f>IFERROR(__xludf.DUMMYFUNCTION("""COMPUTED_VALUE"""),0.5160378385001567)</f>
        <v>0.5160378385</v>
      </c>
      <c r="AA84" s="57">
        <f>IFERROR(__xludf.DUMMYFUNCTION("""COMPUTED_VALUE"""),1.2424924005141602)</f>
        <v>1.242492401</v>
      </c>
      <c r="AB84" s="57">
        <f>IFERROR(__xludf.DUMMYFUNCTION("""COMPUTED_VALUE"""),2.4617317684734585)</f>
        <v>2.461731768</v>
      </c>
      <c r="AC84" s="31">
        <f>IFERROR(__xludf.DUMMYFUNCTION("""COMPUTED_VALUE"""),341.02954755246026)</f>
        <v>341.0295476</v>
      </c>
      <c r="AD84" s="57">
        <f>IFERROR(__xludf.DUMMYFUNCTION("""COMPUTED_VALUE"""),0.7753368634973176)</f>
        <v>0.7753368635</v>
      </c>
      <c r="AE84" s="57">
        <f>IFERROR(__xludf.DUMMYFUNCTION("""COMPUTED_VALUE"""),0.5540986179810938)</f>
        <v>0.554098618</v>
      </c>
      <c r="AF84" s="57">
        <f>IFERROR(__xludf.DUMMYFUNCTION("""COMPUTED_VALUE"""),1.2539394594352076)</f>
        <v>1.253939459</v>
      </c>
      <c r="AG84" s="57">
        <f>IFERROR(__xludf.DUMMYFUNCTION("""COMPUTED_VALUE"""),2.475182780779676)</f>
        <v>2.475182781</v>
      </c>
      <c r="AH84" s="57">
        <f>IFERROR(__xludf.DUMMYFUNCTION("""COMPUTED_VALUE"""),1.1031302205335434)</f>
        <v>1.103130221</v>
      </c>
      <c r="AI84" s="57">
        <f>IFERROR(__xludf.DUMMYFUNCTION("""COMPUTED_VALUE"""),1.0604709526042893)</f>
        <v>1.060470953</v>
      </c>
      <c r="AJ84" s="57">
        <f>IFERROR(__xludf.DUMMYFUNCTION("""COMPUTED_VALUE"""),1.0828397338115583)</f>
        <v>1.082839734</v>
      </c>
      <c r="AK84" s="57">
        <f>IFERROR(__xludf.DUMMYFUNCTION("""COMPUTED_VALUE"""),1.1164813336607018)</f>
        <v>1.116481334</v>
      </c>
      <c r="AL84" s="57">
        <f>IFERROR(__xludf.DUMMYFUNCTION("""COMPUTED_VALUE"""),1.0055374125158125)</f>
        <v>1.005537413</v>
      </c>
      <c r="AM84" s="57">
        <f>IFERROR(__xludf.DUMMYFUNCTION("""COMPUTED_VALUE"""),1.0090942106965115)</f>
        <v>1.009094211</v>
      </c>
      <c r="AN84" s="57">
        <f>IFERROR(__xludf.DUMMYFUNCTION("""COMPUTED_VALUE"""),1.0758813318468128)</f>
        <v>1.075881332</v>
      </c>
      <c r="AO84" s="57">
        <f>IFERROR(__xludf.DUMMYFUNCTION("""COMPUTED_VALUE"""),1.0335159431010825)</f>
        <v>1.033515943</v>
      </c>
      <c r="AP84" s="35">
        <f>IFERROR(__xludf.DUMMYFUNCTION("""COMPUTED_VALUE"""),0.9359920128941743)</f>
        <v>0.9359920129</v>
      </c>
      <c r="AQ84" s="57">
        <f>IFERROR(__xludf.DUMMYFUNCTION("""COMPUTED_VALUE"""),1.080239241868455)</f>
        <v>1.080239242</v>
      </c>
      <c r="AR84" s="36" t="b">
        <f>IFERROR(__xludf.DUMMYFUNCTION("""COMPUTED_VALUE"""),TRUE)</f>
        <v>1</v>
      </c>
      <c r="AS84" s="57"/>
      <c r="AT84" s="37"/>
      <c r="AU84" s="30"/>
      <c r="AV84" s="30"/>
      <c r="AW84" s="30"/>
      <c r="AX84" s="30"/>
      <c r="AY84" s="30"/>
      <c r="AZ84" s="30"/>
    </row>
    <row r="85">
      <c r="A85" s="30" t="str">
        <f>IFERROR(__xludf.DUMMYFUNCTION("""COMPUTED_VALUE"""),"Challenger")</f>
        <v>Challenger</v>
      </c>
      <c r="B85" s="30" t="str">
        <f>IFERROR(__xludf.DUMMYFUNCTION("""COMPUTED_VALUE"""),"RSC001995")</f>
        <v>RSC001995</v>
      </c>
      <c r="C85" s="30" t="str">
        <f>IFERROR(__xludf.DUMMYFUNCTION("""COMPUTED_VALUE"""),"Tvveedle")</f>
        <v>Tvveedle</v>
      </c>
      <c r="D85" s="31"/>
      <c r="E85" s="31">
        <f>IFERROR(__xludf.DUMMYFUNCTION("""COMPUTED_VALUE"""),60.396030810628694)</f>
        <v>60.39603081</v>
      </c>
      <c r="F85" s="31">
        <f>IFERROR(__xludf.DUMMYFUNCTION("""COMPUTED_VALUE"""),2.951915430936409)</f>
        <v>2.951915431</v>
      </c>
      <c r="G85" s="31">
        <f>IFERROR(__xludf.DUMMYFUNCTION("""COMPUTED_VALUE"""),76.61828394826139)</f>
        <v>76.61828395</v>
      </c>
      <c r="H85" s="31">
        <f>IFERROR(__xludf.DUMMYFUNCTION("""COMPUTED_VALUE"""),6.968701443542849)</f>
        <v>6.968701444</v>
      </c>
      <c r="I85" s="54">
        <f>IFERROR(__xludf.DUMMYFUNCTION("""COMPUTED_VALUE"""),8.0)</f>
        <v>8</v>
      </c>
      <c r="J85" s="55">
        <f>IFERROR(__xludf.DUMMYFUNCTION("""COMPUTED_VALUE"""),5.0)</f>
        <v>5</v>
      </c>
      <c r="K85" s="54">
        <f>IFERROR(__xludf.DUMMYFUNCTION("""COMPUTED_VALUE"""),3.0)</f>
        <v>3</v>
      </c>
      <c r="L85" s="56">
        <f>IFERROR(__xludf.DUMMYFUNCTION("""COMPUTED_VALUE"""),0.625)</f>
        <v>0.625</v>
      </c>
      <c r="M85" s="56">
        <f>IFERROR(__xludf.DUMMYFUNCTION("""COMPUTED_VALUE"""),0.3181818181818182)</f>
        <v>0.3181818182</v>
      </c>
      <c r="N85" s="31">
        <f>IFERROR(__xludf.DUMMYFUNCTION("""COMPUTED_VALUE"""),322.625)</f>
        <v>322.625</v>
      </c>
      <c r="O85" s="57">
        <f>IFERROR(__xludf.DUMMYFUNCTION("""COMPUTED_VALUE"""),0.875)</f>
        <v>0.875</v>
      </c>
      <c r="P85" s="57">
        <f>IFERROR(__xludf.DUMMYFUNCTION("""COMPUTED_VALUE"""),0.375)</f>
        <v>0.375</v>
      </c>
      <c r="Q85" s="57">
        <f>IFERROR(__xludf.DUMMYFUNCTION("""COMPUTED_VALUE"""),0.875)</f>
        <v>0.875</v>
      </c>
      <c r="R85" s="57">
        <f>IFERROR(__xludf.DUMMYFUNCTION("""COMPUTED_VALUE"""),2.75)</f>
        <v>2.75</v>
      </c>
      <c r="S85" s="31">
        <f>IFERROR(__xludf.DUMMYFUNCTION("""COMPUTED_VALUE"""),265.8333333333333)</f>
        <v>265.8333333</v>
      </c>
      <c r="T85" s="57">
        <f>IFERROR(__xludf.DUMMYFUNCTION("""COMPUTED_VALUE"""),0.41666666666666674)</f>
        <v>0.4166666667</v>
      </c>
      <c r="U85" s="57">
        <f>IFERROR(__xludf.DUMMYFUNCTION("""COMPUTED_VALUE"""),0.29166666666666663)</f>
        <v>0.2916666667</v>
      </c>
      <c r="V85" s="57">
        <f>IFERROR(__xludf.DUMMYFUNCTION("""COMPUTED_VALUE"""),1.0416666666666667)</f>
        <v>1.041666667</v>
      </c>
      <c r="W85" s="57">
        <f>IFERROR(__xludf.DUMMYFUNCTION("""COMPUTED_VALUE"""),1.6666666666666667)</f>
        <v>1.666666667</v>
      </c>
      <c r="X85" s="31">
        <f>IFERROR(__xludf.DUMMYFUNCTION("""COMPUTED_VALUE"""),318.7239201776583)</f>
        <v>318.7239202</v>
      </c>
      <c r="Y85" s="57">
        <f>IFERROR(__xludf.DUMMYFUNCTION("""COMPUTED_VALUE"""),0.6302161223953376)</f>
        <v>0.6302161224</v>
      </c>
      <c r="Z85" s="57">
        <f>IFERROR(__xludf.DUMMYFUNCTION("""COMPUTED_VALUE"""),0.4417183843217778)</f>
        <v>0.4417183843</v>
      </c>
      <c r="AA85" s="57">
        <f>IFERROR(__xludf.DUMMYFUNCTION("""COMPUTED_VALUE"""),1.298916819993172)</f>
        <v>1.29891682</v>
      </c>
      <c r="AB85" s="57">
        <f>IFERROR(__xludf.DUMMYFUNCTION("""COMPUTED_VALUE"""),2.1431693968809555)</f>
        <v>2.143169397</v>
      </c>
      <c r="AC85" s="31">
        <f>IFERROR(__xludf.DUMMYFUNCTION("""COMPUTED_VALUE"""),345.4750508776667)</f>
        <v>345.4750509</v>
      </c>
      <c r="AD85" s="57">
        <f>IFERROR(__xludf.DUMMYFUNCTION("""COMPUTED_VALUE"""),0.8438500461741889)</f>
        <v>0.8438500462</v>
      </c>
      <c r="AE85" s="57">
        <f>IFERROR(__xludf.DUMMYFUNCTION("""COMPUTED_VALUE"""),0.6152865518807548)</f>
        <v>0.6152865519</v>
      </c>
      <c r="AF85" s="57">
        <f>IFERROR(__xludf.DUMMYFUNCTION("""COMPUTED_VALUE"""),1.0962486481221014)</f>
        <v>1.096248648</v>
      </c>
      <c r="AG85" s="57">
        <f>IFERROR(__xludf.DUMMYFUNCTION("""COMPUTED_VALUE"""),2.780288565106522)</f>
        <v>2.780288565</v>
      </c>
      <c r="AH85" s="57">
        <f>IFERROR(__xludf.DUMMYFUNCTION("""COMPUTED_VALUE"""),0.9338590418624528)</f>
        <v>0.9338590419</v>
      </c>
      <c r="AI85" s="57">
        <f>IFERROR(__xludf.DUMMYFUNCTION("""COMPUTED_VALUE"""),1.0369140867705553)</f>
        <v>1.036914087</v>
      </c>
      <c r="AJ85" s="57">
        <f>IFERROR(__xludf.DUMMYFUNCTION("""COMPUTED_VALUE"""),0.6094721213290497)</f>
        <v>0.6094721213</v>
      </c>
      <c r="AK85" s="57">
        <f>IFERROR(__xludf.DUMMYFUNCTION("""COMPUTED_VALUE"""),0.7981765829302455)</f>
        <v>0.7981765829</v>
      </c>
      <c r="AL85" s="57">
        <f>IFERROR(__xludf.DUMMYFUNCTION("""COMPUTED_VALUE"""),0.9891059635008204)</f>
        <v>0.9891059635</v>
      </c>
      <c r="AM85" s="57">
        <f>IFERROR(__xludf.DUMMYFUNCTION("""COMPUTED_VALUE"""),0.8340551697066116)</f>
        <v>0.8340551697</v>
      </c>
      <c r="AN85" s="57">
        <f>IFERROR(__xludf.DUMMYFUNCTION("""COMPUTED_VALUE"""),0.661148853321924)</f>
        <v>0.6611488533</v>
      </c>
      <c r="AO85" s="57">
        <f>IFERROR(__xludf.DUMMYFUNCTION("""COMPUTED_VALUE"""),0.6603000396157311)</f>
        <v>0.6603000396</v>
      </c>
      <c r="AP85" s="35">
        <f>IFERROR(__xludf.DUMMYFUNCTION("""COMPUTED_VALUE"""),0.801950248571069)</f>
        <v>0.8019502486</v>
      </c>
      <c r="AQ85" s="57">
        <f>IFERROR(__xludf.DUMMYFUNCTION("""COMPUTED_VALUE"""),0.7776644576449425)</f>
        <v>0.7776644576</v>
      </c>
      <c r="AR85" s="36" t="b">
        <f>IFERROR(__xludf.DUMMYFUNCTION("""COMPUTED_VALUE"""),TRUE)</f>
        <v>1</v>
      </c>
      <c r="AS85" s="57"/>
      <c r="AT85" s="37"/>
      <c r="AU85" s="30"/>
      <c r="AV85" s="30"/>
      <c r="AW85" s="30"/>
      <c r="AX85" s="30"/>
      <c r="AY85" s="30"/>
      <c r="AZ85" s="30"/>
    </row>
    <row r="86">
      <c r="A86" s="30" t="str">
        <f>IFERROR(__xludf.DUMMYFUNCTION("""COMPUTED_VALUE"""),"Challenger")</f>
        <v>Challenger</v>
      </c>
      <c r="B86" s="30" t="str">
        <f>IFERROR(__xludf.DUMMYFUNCTION("""COMPUTED_VALUE"""),"RSC007294")</f>
        <v>RSC007294</v>
      </c>
      <c r="C86" s="30" t="str">
        <f>IFERROR(__xludf.DUMMYFUNCTION("""COMPUTED_VALUE"""),"CF0UR_")</f>
        <v>CF0UR_</v>
      </c>
      <c r="D86" s="31" t="str">
        <f>IFERROR(__xludf.DUMMYFUNCTION("""COMPUTED_VALUE"""),"Havarti Hustlers")</f>
        <v>Havarti Hustlers</v>
      </c>
      <c r="E86" s="31">
        <f>IFERROR(__xludf.DUMMYFUNCTION("""COMPUTED_VALUE"""),60.353052100312944)</f>
        <v>60.3530521</v>
      </c>
      <c r="F86" s="31">
        <f>IFERROR(__xludf.DUMMYFUNCTION("""COMPUTED_VALUE"""),2.9464423688293895)</f>
        <v>2.946442369</v>
      </c>
      <c r="G86" s="31">
        <f>IFERROR(__xludf.DUMMYFUNCTION("""COMPUTED_VALUE"""),55.17554400960651)</f>
        <v>55.17554401</v>
      </c>
      <c r="H86" s="31">
        <f>IFERROR(__xludf.DUMMYFUNCTION("""COMPUTED_VALUE"""),2.3923649177470487)</f>
        <v>2.392364918</v>
      </c>
      <c r="I86" s="54">
        <f>IFERROR(__xludf.DUMMYFUNCTION("""COMPUTED_VALUE"""),48.0)</f>
        <v>48</v>
      </c>
      <c r="J86" s="55">
        <f>IFERROR(__xludf.DUMMYFUNCTION("""COMPUTED_VALUE"""),23.0)</f>
        <v>23</v>
      </c>
      <c r="K86" s="54">
        <f>IFERROR(__xludf.DUMMYFUNCTION("""COMPUTED_VALUE"""),25.0)</f>
        <v>25</v>
      </c>
      <c r="L86" s="56">
        <f>IFERROR(__xludf.DUMMYFUNCTION("""COMPUTED_VALUE"""),0.4791666666666667)</f>
        <v>0.4791666667</v>
      </c>
      <c r="M86" s="56">
        <f>IFERROR(__xludf.DUMMYFUNCTION("""COMPUTED_VALUE"""),0.39655172413793105)</f>
        <v>0.3965517241</v>
      </c>
      <c r="N86" s="31">
        <f>IFERROR(__xludf.DUMMYFUNCTION("""COMPUTED_VALUE"""),362.7916666666667)</f>
        <v>362.7916667</v>
      </c>
      <c r="O86" s="57">
        <f>IFERROR(__xludf.DUMMYFUNCTION("""COMPUTED_VALUE"""),0.9583333333333334)</f>
        <v>0.9583333333</v>
      </c>
      <c r="P86" s="57">
        <f>IFERROR(__xludf.DUMMYFUNCTION("""COMPUTED_VALUE"""),0.4375)</f>
        <v>0.4375</v>
      </c>
      <c r="Q86" s="57">
        <f>IFERROR(__xludf.DUMMYFUNCTION("""COMPUTED_VALUE"""),1.2708333333333333)</f>
        <v>1.270833333</v>
      </c>
      <c r="R86" s="57">
        <f>IFERROR(__xludf.DUMMYFUNCTION("""COMPUTED_VALUE"""),2.4166666666666665)</f>
        <v>2.416666667</v>
      </c>
      <c r="S86" s="31">
        <f>IFERROR(__xludf.DUMMYFUNCTION("""COMPUTED_VALUE"""),343.9305555555556)</f>
        <v>343.9305556</v>
      </c>
      <c r="T86" s="57">
        <f>IFERROR(__xludf.DUMMYFUNCTION("""COMPUTED_VALUE"""),0.7361111111111113)</f>
        <v>0.7361111111</v>
      </c>
      <c r="U86" s="57">
        <f>IFERROR(__xludf.DUMMYFUNCTION("""COMPUTED_VALUE"""),0.4861111111111112)</f>
        <v>0.4861111111</v>
      </c>
      <c r="V86" s="57">
        <f>IFERROR(__xludf.DUMMYFUNCTION("""COMPUTED_VALUE"""),1.4375)</f>
        <v>1.4375</v>
      </c>
      <c r="W86" s="57">
        <f>IFERROR(__xludf.DUMMYFUNCTION("""COMPUTED_VALUE"""),2.2291666666666665)</f>
        <v>2.229166667</v>
      </c>
      <c r="X86" s="31">
        <f>IFERROR(__xludf.DUMMYFUNCTION("""COMPUTED_VALUE"""),335.88328480436485)</f>
        <v>335.8832848</v>
      </c>
      <c r="Y86" s="57">
        <f>IFERROR(__xludf.DUMMYFUNCTION("""COMPUTED_VALUE"""),0.7524469803728523)</f>
        <v>0.7524469804</v>
      </c>
      <c r="Z86" s="57">
        <f>IFERROR(__xludf.DUMMYFUNCTION("""COMPUTED_VALUE"""),0.5039268985054711)</f>
        <v>0.5039268985</v>
      </c>
      <c r="AA86" s="57">
        <f>IFERROR(__xludf.DUMMYFUNCTION("""COMPUTED_VALUE"""),1.2697805512805793)</f>
        <v>1.269780551</v>
      </c>
      <c r="AB86" s="57">
        <f>IFERROR(__xludf.DUMMYFUNCTION("""COMPUTED_VALUE"""),2.379857665072539)</f>
        <v>2.379857665</v>
      </c>
      <c r="AC86" s="31">
        <f>IFERROR(__xludf.DUMMYFUNCTION("""COMPUTED_VALUE"""),336.0370954952763)</f>
        <v>336.0370955</v>
      </c>
      <c r="AD86" s="57">
        <f>IFERROR(__xludf.DUMMYFUNCTION("""COMPUTED_VALUE"""),0.7949137054001182)</f>
        <v>0.7949137054</v>
      </c>
      <c r="AE86" s="57">
        <f>IFERROR(__xludf.DUMMYFUNCTION("""COMPUTED_VALUE"""),0.5589309739406535)</f>
        <v>0.5589309739</v>
      </c>
      <c r="AF86" s="57">
        <f>IFERROR(__xludf.DUMMYFUNCTION("""COMPUTED_VALUE"""),1.1808553033086522)</f>
        <v>1.180855303</v>
      </c>
      <c r="AG86" s="57">
        <f>IFERROR(__xludf.DUMMYFUNCTION("""COMPUTED_VALUE"""),2.5178310732316835)</f>
        <v>2.517831073</v>
      </c>
      <c r="AH86" s="57">
        <f>IFERROR(__xludf.DUMMYFUNCTION("""COMPUTED_VALUE"""),1.0796179098380718)</f>
        <v>1.07961791</v>
      </c>
      <c r="AI86" s="57">
        <f>IFERROR(__xludf.DUMMYFUNCTION("""COMPUTED_VALUE"""),1.20558159561604)</f>
        <v>1.205581596</v>
      </c>
      <c r="AJ86" s="57">
        <f>IFERROR(__xludf.DUMMYFUNCTION("""COMPUTED_VALUE"""),0.7827442392671069)</f>
        <v>0.7827442393</v>
      </c>
      <c r="AK86" s="57">
        <f>IFERROR(__xludf.DUMMYFUNCTION("""COMPUTED_VALUE"""),1.076197337449026)</f>
        <v>1.076197337</v>
      </c>
      <c r="AL86" s="57">
        <f>IFERROR(__xludf.DUMMYFUNCTION("""COMPUTED_VALUE"""),0.9598208125872517)</f>
        <v>0.9598208126</v>
      </c>
      <c r="AM86" s="57">
        <f>IFERROR(__xludf.DUMMYFUNCTION("""COMPUTED_VALUE"""),1.023958532964443)</f>
        <v>1.023958533</v>
      </c>
      <c r="AN86" s="57">
        <f>IFERROR(__xludf.DUMMYFUNCTION("""COMPUTED_VALUE"""),0.9782896739732462)</f>
        <v>0.978289674</v>
      </c>
      <c r="AO86" s="57">
        <f>IFERROR(__xludf.DUMMYFUNCTION("""COMPUTED_VALUE"""),0.964646087662323)</f>
        <v>0.9646460877</v>
      </c>
      <c r="AP86" s="35">
        <f>IFERROR(__xludf.DUMMYFUNCTION("""COMPUTED_VALUE"""),1.1320853816435248)</f>
        <v>1.132085382</v>
      </c>
      <c r="AQ86" s="57">
        <f>IFERROR(__xludf.DUMMYFUNCTION("""COMPUTED_VALUE"""),0.9366806676645179)</f>
        <v>0.9366806677</v>
      </c>
      <c r="AR86" s="36" t="b">
        <f>IFERROR(__xludf.DUMMYFUNCTION("""COMPUTED_VALUE"""),TRUE)</f>
        <v>1</v>
      </c>
      <c r="AS86" s="57"/>
      <c r="AT86" s="37"/>
      <c r="AU86" s="30"/>
      <c r="AV86" s="30"/>
      <c r="AW86" s="30"/>
      <c r="AX86" s="30"/>
      <c r="AY86" s="30"/>
      <c r="AZ86" s="30"/>
    </row>
    <row r="87">
      <c r="A87" s="30" t="str">
        <f>IFERROR(__xludf.DUMMYFUNCTION("""COMPUTED_VALUE"""),"Challenger")</f>
        <v>Challenger</v>
      </c>
      <c r="B87" s="30" t="str">
        <f>IFERROR(__xludf.DUMMYFUNCTION("""COMPUTED_VALUE"""),"RSC006072")</f>
        <v>RSC006072</v>
      </c>
      <c r="C87" s="30" t="str">
        <f>IFERROR(__xludf.DUMMYFUNCTION("""COMPUTED_VALUE"""),"AveX InceptionZ")</f>
        <v>AveX InceptionZ</v>
      </c>
      <c r="D87" s="31" t="str">
        <f>IFERROR(__xludf.DUMMYFUNCTION("""COMPUTED_VALUE"""),"Ryujin")</f>
        <v>Ryujin</v>
      </c>
      <c r="E87" s="31">
        <f>IFERROR(__xludf.DUMMYFUNCTION("""COMPUTED_VALUE"""),59.7725672080946)</f>
        <v>59.77256721</v>
      </c>
      <c r="F87" s="31">
        <f>IFERROR(__xludf.DUMMYFUNCTION("""COMPUTED_VALUE"""),2.874103488838944)</f>
        <v>2.874103489</v>
      </c>
      <c r="G87" s="31">
        <f>IFERROR(__xludf.DUMMYFUNCTION("""COMPUTED_VALUE"""),55.112957949100334)</f>
        <v>55.11295795</v>
      </c>
      <c r="H87" s="31">
        <f>IFERROR(__xludf.DUMMYFUNCTION("""COMPUTED_VALUE"""),2.3867815868172766)</f>
        <v>2.386781587</v>
      </c>
      <c r="I87" s="54">
        <f>IFERROR(__xludf.DUMMYFUNCTION("""COMPUTED_VALUE"""),36.0)</f>
        <v>36</v>
      </c>
      <c r="J87" s="55">
        <f>IFERROR(__xludf.DUMMYFUNCTION("""COMPUTED_VALUE"""),27.0)</f>
        <v>27</v>
      </c>
      <c r="K87" s="54">
        <f>IFERROR(__xludf.DUMMYFUNCTION("""COMPUTED_VALUE"""),9.0)</f>
        <v>9</v>
      </c>
      <c r="L87" s="56">
        <f>IFERROR(__xludf.DUMMYFUNCTION("""COMPUTED_VALUE"""),0.75)</f>
        <v>0.75</v>
      </c>
      <c r="M87" s="56">
        <f>IFERROR(__xludf.DUMMYFUNCTION("""COMPUTED_VALUE"""),0.3246753246753247)</f>
        <v>0.3246753247</v>
      </c>
      <c r="N87" s="31">
        <f>IFERROR(__xludf.DUMMYFUNCTION("""COMPUTED_VALUE"""),315.30555555555554)</f>
        <v>315.3055556</v>
      </c>
      <c r="O87" s="57">
        <f>IFERROR(__xludf.DUMMYFUNCTION("""COMPUTED_VALUE"""),0.6944444444444444)</f>
        <v>0.6944444444</v>
      </c>
      <c r="P87" s="57">
        <f>IFERROR(__xludf.DUMMYFUNCTION("""COMPUTED_VALUE"""),0.5833333333333334)</f>
        <v>0.5833333333</v>
      </c>
      <c r="Q87" s="57">
        <f>IFERROR(__xludf.DUMMYFUNCTION("""COMPUTED_VALUE"""),1.1388888888888888)</f>
        <v>1.138888889</v>
      </c>
      <c r="R87" s="57">
        <f>IFERROR(__xludf.DUMMYFUNCTION("""COMPUTED_VALUE"""),2.138888888888889)</f>
        <v>2.138888889</v>
      </c>
      <c r="S87" s="31">
        <f>IFERROR(__xludf.DUMMYFUNCTION("""COMPUTED_VALUE"""),294.05555555555554)</f>
        <v>294.0555556</v>
      </c>
      <c r="T87" s="57">
        <f>IFERROR(__xludf.DUMMYFUNCTION("""COMPUTED_VALUE"""),0.5092592592592591)</f>
        <v>0.5092592593</v>
      </c>
      <c r="U87" s="57">
        <f>IFERROR(__xludf.DUMMYFUNCTION("""COMPUTED_VALUE"""),0.3518518518518519)</f>
        <v>0.3518518519</v>
      </c>
      <c r="V87" s="57">
        <f>IFERROR(__xludf.DUMMYFUNCTION("""COMPUTED_VALUE"""),1.2407407407407407)</f>
        <v>1.240740741</v>
      </c>
      <c r="W87" s="57">
        <f>IFERROR(__xludf.DUMMYFUNCTION("""COMPUTED_VALUE"""),1.9351851851851853)</f>
        <v>1.935185185</v>
      </c>
      <c r="X87" s="31">
        <f>IFERROR(__xludf.DUMMYFUNCTION("""COMPUTED_VALUE"""),343.0046243372136)</f>
        <v>343.0046243</v>
      </c>
      <c r="Y87" s="57">
        <f>IFERROR(__xludf.DUMMYFUNCTION("""COMPUTED_VALUE"""),0.7826962550898532)</f>
        <v>0.7826962551</v>
      </c>
      <c r="Z87" s="57">
        <f>IFERROR(__xludf.DUMMYFUNCTION("""COMPUTED_VALUE"""),0.5378047023399991)</f>
        <v>0.5378047023</v>
      </c>
      <c r="AA87" s="57">
        <f>IFERROR(__xludf.DUMMYFUNCTION("""COMPUTED_VALUE"""),1.2547159877467076)</f>
        <v>1.254715988</v>
      </c>
      <c r="AB87" s="57">
        <f>IFERROR(__xludf.DUMMYFUNCTION("""COMPUTED_VALUE"""),2.508064360901314)</f>
        <v>2.508064361</v>
      </c>
      <c r="AC87" s="31">
        <f>IFERROR(__xludf.DUMMYFUNCTION("""COMPUTED_VALUE"""),327.4857718457069)</f>
        <v>327.4857718</v>
      </c>
      <c r="AD87" s="57">
        <f>IFERROR(__xludf.DUMMYFUNCTION("""COMPUTED_VALUE"""),0.7405422204671942)</f>
        <v>0.7405422205</v>
      </c>
      <c r="AE87" s="57">
        <f>IFERROR(__xludf.DUMMYFUNCTION("""COMPUTED_VALUE"""),0.4905771401560775)</f>
        <v>0.4905771402</v>
      </c>
      <c r="AF87" s="57">
        <f>IFERROR(__xludf.DUMMYFUNCTION("""COMPUTED_VALUE"""),1.2374648037451461)</f>
        <v>1.237464804</v>
      </c>
      <c r="AG87" s="57">
        <f>IFERROR(__xludf.DUMMYFUNCTION("""COMPUTED_VALUE"""),2.3823615935164715)</f>
        <v>2.382361594</v>
      </c>
      <c r="AH87" s="57">
        <f>IFERROR(__xludf.DUMMYFUNCTION("""COMPUTED_VALUE"""),0.9628068840319267)</f>
        <v>0.962806884</v>
      </c>
      <c r="AI87" s="57">
        <f>IFERROR(__xludf.DUMMYFUNCTION("""COMPUTED_VALUE"""),0.937751319575449)</f>
        <v>0.9377513196</v>
      </c>
      <c r="AJ87" s="57">
        <f>IFERROR(__xludf.DUMMYFUNCTION("""COMPUTED_VALUE"""),1.1890756531128732)</f>
        <v>1.189075653</v>
      </c>
      <c r="AK87" s="57">
        <f>IFERROR(__xludf.DUMMYFUNCTION("""COMPUTED_VALUE"""),0.9203404294345015)</f>
        <v>0.9203404294</v>
      </c>
      <c r="AL87" s="57">
        <f>IFERROR(__xludf.DUMMYFUNCTION("""COMPUTED_VALUE"""),0.8978019519412223)</f>
        <v>0.8978019519</v>
      </c>
      <c r="AM87" s="57">
        <f>IFERROR(__xludf.DUMMYFUNCTION("""COMPUTED_VALUE"""),0.8572932686367067)</f>
        <v>0.8572932686</v>
      </c>
      <c r="AN87" s="57">
        <f>IFERROR(__xludf.DUMMYFUNCTION("""COMPUTED_VALUE"""),0.6506473692030076)</f>
        <v>0.6506473692</v>
      </c>
      <c r="AO87" s="57">
        <f>IFERROR(__xludf.DUMMYFUNCTION("""COMPUTED_VALUE"""),0.6542372171922957)</f>
        <v>0.6542372172</v>
      </c>
      <c r="AP87" s="35">
        <f>IFERROR(__xludf.DUMMYFUNCTION("""COMPUTED_VALUE"""),0.9888618243949657)</f>
        <v>0.9888618244</v>
      </c>
      <c r="AQ87" s="57">
        <f>IFERROR(__xludf.DUMMYFUNCTION("""COMPUTED_VALUE"""),0.7715851376675776)</f>
        <v>0.7715851377</v>
      </c>
      <c r="AR87" s="36" t="b">
        <f>IFERROR(__xludf.DUMMYFUNCTION("""COMPUTED_VALUE"""),TRUE)</f>
        <v>1</v>
      </c>
      <c r="AS87" s="57"/>
      <c r="AT87" s="37"/>
      <c r="AU87" s="30"/>
      <c r="AV87" s="30"/>
      <c r="AW87" s="30"/>
      <c r="AX87" s="30"/>
      <c r="AY87" s="30"/>
      <c r="AZ87" s="30"/>
    </row>
    <row r="88">
      <c r="A88" s="30" t="str">
        <f>IFERROR(__xludf.DUMMYFUNCTION("""COMPUTED_VALUE"""),"Challenger")</f>
        <v>Challenger</v>
      </c>
      <c r="B88" s="30" t="str">
        <f>IFERROR(__xludf.DUMMYFUNCTION("""COMPUTED_VALUE"""),"RSC000426")</f>
        <v>RSC000426</v>
      </c>
      <c r="C88" s="30" t="str">
        <f>IFERROR(__xludf.DUMMYFUNCTION("""COMPUTED_VALUE"""),"struttrl")</f>
        <v>struttrl</v>
      </c>
      <c r="D88" s="31"/>
      <c r="E88" s="31">
        <f>IFERROR(__xludf.DUMMYFUNCTION("""COMPUTED_VALUE"""),59.46257246437743)</f>
        <v>59.46257246</v>
      </c>
      <c r="F88" s="31">
        <f>IFERROR(__xludf.DUMMYFUNCTION("""COMPUTED_VALUE"""),2.836649921850296)</f>
        <v>2.836649922</v>
      </c>
      <c r="G88" s="31">
        <f>IFERROR(__xludf.DUMMYFUNCTION("""COMPUTED_VALUE"""),52.91222813941003)</f>
        <v>52.91222814</v>
      </c>
      <c r="H88" s="31">
        <f>IFERROR(__xludf.DUMMYFUNCTION("""COMPUTED_VALUE"""),2.2044278261786885)</f>
        <v>2.204427826</v>
      </c>
      <c r="I88" s="54">
        <f>IFERROR(__xludf.DUMMYFUNCTION("""COMPUTED_VALUE"""),44.0)</f>
        <v>44</v>
      </c>
      <c r="J88" s="55">
        <f>IFERROR(__xludf.DUMMYFUNCTION("""COMPUTED_VALUE"""),26.0)</f>
        <v>26</v>
      </c>
      <c r="K88" s="54">
        <f>IFERROR(__xludf.DUMMYFUNCTION("""COMPUTED_VALUE"""),18.0)</f>
        <v>18</v>
      </c>
      <c r="L88" s="56">
        <f>IFERROR(__xludf.DUMMYFUNCTION("""COMPUTED_VALUE"""),0.5909090909090909)</f>
        <v>0.5909090909</v>
      </c>
      <c r="M88" s="56">
        <f>IFERROR(__xludf.DUMMYFUNCTION("""COMPUTED_VALUE"""),0.3645833333333333)</f>
        <v>0.3645833333</v>
      </c>
      <c r="N88" s="31">
        <f>IFERROR(__xludf.DUMMYFUNCTION("""COMPUTED_VALUE"""),348.27272727272725)</f>
        <v>348.2727273</v>
      </c>
      <c r="O88" s="57">
        <f>IFERROR(__xludf.DUMMYFUNCTION("""COMPUTED_VALUE"""),0.7954545454545454)</f>
        <v>0.7954545455</v>
      </c>
      <c r="P88" s="57">
        <f>IFERROR(__xludf.DUMMYFUNCTION("""COMPUTED_VALUE"""),0.6363636363636364)</f>
        <v>0.6363636364</v>
      </c>
      <c r="Q88" s="57">
        <f>IFERROR(__xludf.DUMMYFUNCTION("""COMPUTED_VALUE"""),1.2045454545454546)</f>
        <v>1.204545455</v>
      </c>
      <c r="R88" s="57">
        <f>IFERROR(__xludf.DUMMYFUNCTION("""COMPUTED_VALUE"""),2.1818181818181817)</f>
        <v>2.181818182</v>
      </c>
      <c r="S88" s="31">
        <f>IFERROR(__xludf.DUMMYFUNCTION("""COMPUTED_VALUE"""),334.56818181818176)</f>
        <v>334.5681818</v>
      </c>
      <c r="T88" s="57">
        <f>IFERROR(__xludf.DUMMYFUNCTION("""COMPUTED_VALUE"""),0.75)</f>
        <v>0.75</v>
      </c>
      <c r="U88" s="57">
        <f>IFERROR(__xludf.DUMMYFUNCTION("""COMPUTED_VALUE"""),0.537878787878788)</f>
        <v>0.5378787879</v>
      </c>
      <c r="V88" s="57">
        <f>IFERROR(__xludf.DUMMYFUNCTION("""COMPUTED_VALUE"""),1.128787878787879)</f>
        <v>1.128787879</v>
      </c>
      <c r="W88" s="57">
        <f>IFERROR(__xludf.DUMMYFUNCTION("""COMPUTED_VALUE"""),2.477272727272727)</f>
        <v>2.477272727</v>
      </c>
      <c r="X88" s="31">
        <f>IFERROR(__xludf.DUMMYFUNCTION("""COMPUTED_VALUE"""),335.4776459723933)</f>
        <v>335.477646</v>
      </c>
      <c r="Y88" s="57">
        <f>IFERROR(__xludf.DUMMYFUNCTION("""COMPUTED_VALUE"""),0.8048799743537818)</f>
        <v>0.8048799744</v>
      </c>
      <c r="Z88" s="57">
        <f>IFERROR(__xludf.DUMMYFUNCTION("""COMPUTED_VALUE"""),0.5190621047957912)</f>
        <v>0.5190621048</v>
      </c>
      <c r="AA88" s="57">
        <f>IFERROR(__xludf.DUMMYFUNCTION("""COMPUTED_VALUE"""),1.1892312889757828)</f>
        <v>1.189231289</v>
      </c>
      <c r="AB88" s="57">
        <f>IFERROR(__xludf.DUMMYFUNCTION("""COMPUTED_VALUE"""),2.462571811737163)</f>
        <v>2.462571812</v>
      </c>
      <c r="AC88" s="31">
        <f>IFERROR(__xludf.DUMMYFUNCTION("""COMPUTED_VALUE"""),331.2561109760507)</f>
        <v>331.256111</v>
      </c>
      <c r="AD88" s="57">
        <f>IFERROR(__xludf.DUMMYFUNCTION("""COMPUTED_VALUE"""),0.7512561310953498)</f>
        <v>0.7512561311</v>
      </c>
      <c r="AE88" s="57">
        <f>IFERROR(__xludf.DUMMYFUNCTION("""COMPUTED_VALUE"""),0.5056649921833541)</f>
        <v>0.5056649922</v>
      </c>
      <c r="AF88" s="57">
        <f>IFERROR(__xludf.DUMMYFUNCTION("""COMPUTED_VALUE"""),1.226811177863294)</f>
        <v>1.226811178</v>
      </c>
      <c r="AG88" s="57">
        <f>IFERROR(__xludf.DUMMYFUNCTION("""COMPUTED_VALUE"""),2.4024714023109994)</f>
        <v>2.402471402</v>
      </c>
      <c r="AH88" s="57">
        <f>IFERROR(__xludf.DUMMYFUNCTION("""COMPUTED_VALUE"""),1.0513699694370524)</f>
        <v>1.051369969</v>
      </c>
      <c r="AI88" s="57">
        <f>IFERROR(__xludf.DUMMYFUNCTION("""COMPUTED_VALUE"""),1.0588326837276565)</f>
        <v>1.058832684</v>
      </c>
      <c r="AJ88" s="57">
        <f>IFERROR(__xludf.DUMMYFUNCTION("""COMPUTED_VALUE"""),1.258468840439108)</f>
        <v>1.25846884</v>
      </c>
      <c r="AK88" s="57">
        <f>IFERROR(__xludf.DUMMYFUNCTION("""COMPUTED_VALUE"""),0.981850733250883)</f>
        <v>0.9818507333</v>
      </c>
      <c r="AL88" s="57">
        <f>IFERROR(__xludf.DUMMYFUNCTION("""COMPUTED_VALUE"""),0.9081557348484708)</f>
        <v>0.9081557348</v>
      </c>
      <c r="AM88" s="57">
        <f>IFERROR(__xludf.DUMMYFUNCTION("""COMPUTED_VALUE"""),0.9972890469301601)</f>
        <v>0.9972890469</v>
      </c>
      <c r="AN88" s="57">
        <f>IFERROR(__xludf.DUMMYFUNCTION("""COMPUTED_VALUE"""),0.93181595256132)</f>
        <v>0.9318159526</v>
      </c>
      <c r="AO88" s="57">
        <f>IFERROR(__xludf.DUMMYFUNCTION("""COMPUTED_VALUE"""),1.0362513134924376)</f>
        <v>1.036251313</v>
      </c>
      <c r="AP88" s="35">
        <f>IFERROR(__xludf.DUMMYFUNCTION("""COMPUTED_VALUE"""),0.949174386220564)</f>
        <v>0.9491743862</v>
      </c>
      <c r="AQ88" s="57">
        <f>IFERROR(__xludf.DUMMYFUNCTION("""COMPUTED_VALUE"""),1.0059697408479609)</f>
        <v>1.005969741</v>
      </c>
      <c r="AR88" s="36" t="b">
        <f>IFERROR(__xludf.DUMMYFUNCTION("""COMPUTED_VALUE"""),TRUE)</f>
        <v>1</v>
      </c>
      <c r="AS88" s="57"/>
      <c r="AT88" s="37"/>
      <c r="AU88" s="30"/>
      <c r="AV88" s="30"/>
      <c r="AW88" s="30"/>
      <c r="AX88" s="30"/>
      <c r="AY88" s="30"/>
      <c r="AZ88" s="30"/>
    </row>
    <row r="89">
      <c r="A89" s="30" t="str">
        <f>IFERROR(__xludf.DUMMYFUNCTION("""COMPUTED_VALUE"""),"Challenger")</f>
        <v>Challenger</v>
      </c>
      <c r="B89" s="30" t="str">
        <f>IFERROR(__xludf.DUMMYFUNCTION("""COMPUTED_VALUE"""),"RSC004763")</f>
        <v>RSC004763</v>
      </c>
      <c r="C89" s="30" t="str">
        <f>IFERROR(__xludf.DUMMYFUNCTION("""COMPUTED_VALUE"""),"Rmuru-")</f>
        <v>Rmuru-</v>
      </c>
      <c r="D89" s="31" t="str">
        <f>IFERROR(__xludf.DUMMYFUNCTION("""COMPUTED_VALUE"""),"Warbirds")</f>
        <v>Warbirds</v>
      </c>
      <c r="E89" s="31">
        <f>IFERROR(__xludf.DUMMYFUNCTION("""COMPUTED_VALUE"""),59.37510058617682)</f>
        <v>59.37510059</v>
      </c>
      <c r="F89" s="31">
        <f>IFERROR(__xludf.DUMMYFUNCTION("""COMPUTED_VALUE"""),2.826226066158995)</f>
        <v>2.826226066</v>
      </c>
      <c r="G89" s="31">
        <f>IFERROR(__xludf.DUMMYFUNCTION("""COMPUTED_VALUE"""),53.26358133009113)</f>
        <v>53.26358133</v>
      </c>
      <c r="H89" s="31">
        <f>IFERROR(__xludf.DUMMYFUNCTION("""COMPUTED_VALUE"""),2.2318025177345016)</f>
        <v>2.231802518</v>
      </c>
      <c r="I89" s="54">
        <f>IFERROR(__xludf.DUMMYFUNCTION("""COMPUTED_VALUE"""),48.0)</f>
        <v>48</v>
      </c>
      <c r="J89" s="55">
        <f>IFERROR(__xludf.DUMMYFUNCTION("""COMPUTED_VALUE"""),25.0)</f>
        <v>25</v>
      </c>
      <c r="K89" s="54">
        <f>IFERROR(__xludf.DUMMYFUNCTION("""COMPUTED_VALUE"""),23.0)</f>
        <v>23</v>
      </c>
      <c r="L89" s="56">
        <f>IFERROR(__xludf.DUMMYFUNCTION("""COMPUTED_VALUE"""),0.5208333333333334)</f>
        <v>0.5208333333</v>
      </c>
      <c r="M89" s="56">
        <f>IFERROR(__xludf.DUMMYFUNCTION("""COMPUTED_VALUE"""),0.24060150375939848)</f>
        <v>0.2406015038</v>
      </c>
      <c r="N89" s="31">
        <f>IFERROR(__xludf.DUMMYFUNCTION("""COMPUTED_VALUE"""),349.7083333333333)</f>
        <v>349.7083333</v>
      </c>
      <c r="O89" s="57">
        <f>IFERROR(__xludf.DUMMYFUNCTION("""COMPUTED_VALUE"""),0.6666666666666666)</f>
        <v>0.6666666667</v>
      </c>
      <c r="P89" s="57">
        <f>IFERROR(__xludf.DUMMYFUNCTION("""COMPUTED_VALUE"""),0.7083333333333334)</f>
        <v>0.7083333333</v>
      </c>
      <c r="Q89" s="57">
        <f>IFERROR(__xludf.DUMMYFUNCTION("""COMPUTED_VALUE"""),1.4375)</f>
        <v>1.4375</v>
      </c>
      <c r="R89" s="57">
        <f>IFERROR(__xludf.DUMMYFUNCTION("""COMPUTED_VALUE"""),2.7708333333333335)</f>
        <v>2.770833333</v>
      </c>
      <c r="S89" s="31">
        <f>IFERROR(__xludf.DUMMYFUNCTION("""COMPUTED_VALUE"""),365.83333333333326)</f>
        <v>365.8333333</v>
      </c>
      <c r="T89" s="57">
        <f>IFERROR(__xludf.DUMMYFUNCTION("""COMPUTED_VALUE"""),0.8819444444444445)</f>
        <v>0.8819444444</v>
      </c>
      <c r="U89" s="57">
        <f>IFERROR(__xludf.DUMMYFUNCTION("""COMPUTED_VALUE"""),0.6875)</f>
        <v>0.6875</v>
      </c>
      <c r="V89" s="57">
        <f>IFERROR(__xludf.DUMMYFUNCTION("""COMPUTED_VALUE"""),1.2916666666666667)</f>
        <v>1.291666667</v>
      </c>
      <c r="W89" s="57">
        <f>IFERROR(__xludf.DUMMYFUNCTION("""COMPUTED_VALUE"""),2.7291666666666656)</f>
        <v>2.729166667</v>
      </c>
      <c r="X89" s="31">
        <f>IFERROR(__xludf.DUMMYFUNCTION("""COMPUTED_VALUE"""),340.33911934911083)</f>
        <v>340.3391193</v>
      </c>
      <c r="Y89" s="57">
        <f>IFERROR(__xludf.DUMMYFUNCTION("""COMPUTED_VALUE"""),0.7937062656215419)</f>
        <v>0.7937062656</v>
      </c>
      <c r="Z89" s="57">
        <f>IFERROR(__xludf.DUMMYFUNCTION("""COMPUTED_VALUE"""),0.556570569564377)</f>
        <v>0.5565705696</v>
      </c>
      <c r="AA89" s="57">
        <f>IFERROR(__xludf.DUMMYFUNCTION("""COMPUTED_VALUE"""),1.2230224265279224)</f>
        <v>1.223022427</v>
      </c>
      <c r="AB89" s="57">
        <f>IFERROR(__xludf.DUMMYFUNCTION("""COMPUTED_VALUE"""),2.525720414666227)</f>
        <v>2.525720415</v>
      </c>
      <c r="AC89" s="31">
        <f>IFERROR(__xludf.DUMMYFUNCTION("""COMPUTED_VALUE"""),331.0971957174263)</f>
        <v>331.0971957</v>
      </c>
      <c r="AD89" s="57">
        <f>IFERROR(__xludf.DUMMYFUNCTION("""COMPUTED_VALUE"""),0.7346303354223621)</f>
        <v>0.7346303354</v>
      </c>
      <c r="AE89" s="57">
        <f>IFERROR(__xludf.DUMMYFUNCTION("""COMPUTED_VALUE"""),0.5169991807053832)</f>
        <v>0.5169991807</v>
      </c>
      <c r="AF89" s="57">
        <f>IFERROR(__xludf.DUMMYFUNCTION("""COMPUTED_VALUE"""),1.2568032100897322)</f>
        <v>1.25680321</v>
      </c>
      <c r="AG89" s="57">
        <f>IFERROR(__xludf.DUMMYFUNCTION("""COMPUTED_VALUE"""),2.3634376168237696)</f>
        <v>2.363437617</v>
      </c>
      <c r="AH89" s="57">
        <f>IFERROR(__xludf.DUMMYFUNCTION("""COMPUTED_VALUE"""),1.056210496061678)</f>
        <v>1.056210496</v>
      </c>
      <c r="AI89" s="57">
        <f>IFERROR(__xludf.DUMMYFUNCTION("""COMPUTED_VALUE"""),0.9074858939542416)</f>
        <v>0.907485894</v>
      </c>
      <c r="AJ89" s="57">
        <f>IFERROR(__xludf.DUMMYFUNCTION("""COMPUTED_VALUE"""),1.3700859880800929)</f>
        <v>1.370085988</v>
      </c>
      <c r="AK89" s="57">
        <f>IFERROR(__xludf.DUMMYFUNCTION("""COMPUTED_VALUE"""),1.143774927100454)</f>
        <v>1.143774927</v>
      </c>
      <c r="AL89" s="57">
        <f>IFERROR(__xludf.DUMMYFUNCTION("""COMPUTED_VALUE"""),1.172374220334643)</f>
        <v>1.17237422</v>
      </c>
      <c r="AM89" s="57">
        <f>IFERROR(__xludf.DUMMYFUNCTION("""COMPUTED_VALUE"""),1.0749082680621005)</f>
        <v>1.074908268</v>
      </c>
      <c r="AN89" s="57">
        <f>IFERROR(__xludf.DUMMYFUNCTION("""COMPUTED_VALUE"""),1.1111723349617308)</f>
        <v>1.111172335</v>
      </c>
      <c r="AO89" s="57">
        <f>IFERROR(__xludf.DUMMYFUNCTION("""COMPUTED_VALUE"""),1.235243179563196)</f>
        <v>1.23524318</v>
      </c>
      <c r="AP89" s="35">
        <f>IFERROR(__xludf.DUMMYFUNCTION("""COMPUTED_VALUE"""),1.0561267223313482)</f>
        <v>1.056126722</v>
      </c>
      <c r="AQ89" s="57">
        <f>IFERROR(__xludf.DUMMYFUNCTION("""COMPUTED_VALUE"""),1.080549791187923)</f>
        <v>1.080549791</v>
      </c>
      <c r="AR89" s="36" t="b">
        <f>IFERROR(__xludf.DUMMYFUNCTION("""COMPUTED_VALUE"""),TRUE)</f>
        <v>1</v>
      </c>
      <c r="AS89" s="57"/>
      <c r="AT89" s="37"/>
      <c r="AU89" s="30"/>
      <c r="AV89" s="30"/>
      <c r="AW89" s="30"/>
      <c r="AX89" s="30"/>
      <c r="AY89" s="30"/>
      <c r="AZ89" s="30"/>
    </row>
    <row r="90">
      <c r="A90" s="30" t="str">
        <f>IFERROR(__xludf.DUMMYFUNCTION("""COMPUTED_VALUE"""),"Challenger")</f>
        <v>Challenger</v>
      </c>
      <c r="B90" s="30" t="str">
        <f>IFERROR(__xludf.DUMMYFUNCTION("""COMPUTED_VALUE"""),"RSC006923")</f>
        <v>RSC006923</v>
      </c>
      <c r="C90" s="30" t="str">
        <f>IFERROR(__xludf.DUMMYFUNCTION("""COMPUTED_VALUE"""),"LostZealous")</f>
        <v>LostZealous</v>
      </c>
      <c r="D90" s="31" t="str">
        <f>IFERROR(__xludf.DUMMYFUNCTION("""COMPUTED_VALUE"""),"Zombies")</f>
        <v>Zombies</v>
      </c>
      <c r="E90" s="31">
        <f>IFERROR(__xludf.DUMMYFUNCTION("""COMPUTED_VALUE"""),59.36158310993868)</f>
        <v>59.36158311</v>
      </c>
      <c r="F90" s="31">
        <f>IFERROR(__xludf.DUMMYFUNCTION("""COMPUTED_VALUE"""),2.8246208269844257)</f>
        <v>2.824620827</v>
      </c>
      <c r="G90" s="31">
        <f>IFERROR(__xludf.DUMMYFUNCTION("""COMPUTED_VALUE"""),61.59925671321814)</f>
        <v>61.59925671</v>
      </c>
      <c r="H90" s="31">
        <f>IFERROR(__xludf.DUMMYFUNCTION("""COMPUTED_VALUE"""),3.1120216683543416)</f>
        <v>3.112021668</v>
      </c>
      <c r="I90" s="54">
        <f>IFERROR(__xludf.DUMMYFUNCTION("""COMPUTED_VALUE"""),48.0)</f>
        <v>48</v>
      </c>
      <c r="J90" s="55">
        <f>IFERROR(__xludf.DUMMYFUNCTION("""COMPUTED_VALUE"""),24.0)</f>
        <v>24</v>
      </c>
      <c r="K90" s="54">
        <f>IFERROR(__xludf.DUMMYFUNCTION("""COMPUTED_VALUE"""),24.0)</f>
        <v>24</v>
      </c>
      <c r="L90" s="56">
        <f>IFERROR(__xludf.DUMMYFUNCTION("""COMPUTED_VALUE"""),0.5)</f>
        <v>0.5</v>
      </c>
      <c r="M90" s="56">
        <f>IFERROR(__xludf.DUMMYFUNCTION("""COMPUTED_VALUE"""),0.3796296296296296)</f>
        <v>0.3796296296</v>
      </c>
      <c r="N90" s="31">
        <f>IFERROR(__xludf.DUMMYFUNCTION("""COMPUTED_VALUE"""),343.3958333333333)</f>
        <v>343.3958333</v>
      </c>
      <c r="O90" s="57">
        <f>IFERROR(__xludf.DUMMYFUNCTION("""COMPUTED_VALUE"""),0.8541666666666666)</f>
        <v>0.8541666667</v>
      </c>
      <c r="P90" s="57">
        <f>IFERROR(__xludf.DUMMYFUNCTION("""COMPUTED_VALUE"""),0.4791666666666667)</f>
        <v>0.4791666667</v>
      </c>
      <c r="Q90" s="57">
        <f>IFERROR(__xludf.DUMMYFUNCTION("""COMPUTED_VALUE"""),1.3125)</f>
        <v>1.3125</v>
      </c>
      <c r="R90" s="57">
        <f>IFERROR(__xludf.DUMMYFUNCTION("""COMPUTED_VALUE"""),2.25)</f>
        <v>2.25</v>
      </c>
      <c r="S90" s="31">
        <f>IFERROR(__xludf.DUMMYFUNCTION("""COMPUTED_VALUE"""),309.11111111111114)</f>
        <v>309.1111111</v>
      </c>
      <c r="T90" s="57">
        <f>IFERROR(__xludf.DUMMYFUNCTION("""COMPUTED_VALUE"""),0.6805555555555555)</f>
        <v>0.6805555556</v>
      </c>
      <c r="U90" s="57">
        <f>IFERROR(__xludf.DUMMYFUNCTION("""COMPUTED_VALUE"""),0.46527777777777785)</f>
        <v>0.4652777778</v>
      </c>
      <c r="V90" s="57">
        <f>IFERROR(__xludf.DUMMYFUNCTION("""COMPUTED_VALUE"""),1.1458333333333333)</f>
        <v>1.145833333</v>
      </c>
      <c r="W90" s="57">
        <f>IFERROR(__xludf.DUMMYFUNCTION("""COMPUTED_VALUE"""),2.333333333333333)</f>
        <v>2.333333333</v>
      </c>
      <c r="X90" s="31">
        <f>IFERROR(__xludf.DUMMYFUNCTION("""COMPUTED_VALUE"""),333.3681089498926)</f>
        <v>333.3681089</v>
      </c>
      <c r="Y90" s="57">
        <f>IFERROR(__xludf.DUMMYFUNCTION("""COMPUTED_VALUE"""),0.7602058059295186)</f>
        <v>0.7602058059</v>
      </c>
      <c r="Z90" s="57">
        <f>IFERROR(__xludf.DUMMYFUNCTION("""COMPUTED_VALUE"""),0.5459775265111614)</f>
        <v>0.5459775265</v>
      </c>
      <c r="AA90" s="57">
        <f>IFERROR(__xludf.DUMMYFUNCTION("""COMPUTED_VALUE"""),1.1997059120990532)</f>
        <v>1.199705912</v>
      </c>
      <c r="AB90" s="57">
        <f>IFERROR(__xludf.DUMMYFUNCTION("""COMPUTED_VALUE"""),2.498233768465824)</f>
        <v>2.498233768</v>
      </c>
      <c r="AC90" s="31">
        <f>IFERROR(__xludf.DUMMYFUNCTION("""COMPUTED_VALUE"""),333.47059597665435)</f>
        <v>333.470596</v>
      </c>
      <c r="AD90" s="57">
        <f>IFERROR(__xludf.DUMMYFUNCTION("""COMPUTED_VALUE"""),0.7431621524895312)</f>
        <v>0.7431621525</v>
      </c>
      <c r="AE90" s="57">
        <f>IFERROR(__xludf.DUMMYFUNCTION("""COMPUTED_VALUE"""),0.5212907011728375)</f>
        <v>0.5212907012</v>
      </c>
      <c r="AF90" s="57">
        <f>IFERROR(__xludf.DUMMYFUNCTION("""COMPUTED_VALUE"""),1.2868346288942796)</f>
        <v>1.286834629</v>
      </c>
      <c r="AG90" s="57">
        <f>IFERROR(__xludf.DUMMYFUNCTION("""COMPUTED_VALUE"""),2.350910223596126)</f>
        <v>2.350910224</v>
      </c>
      <c r="AH90" s="57">
        <f>IFERROR(__xludf.DUMMYFUNCTION("""COMPUTED_VALUE"""),1.0297634558381688)</f>
        <v>1.029763456</v>
      </c>
      <c r="AI90" s="57">
        <f>IFERROR(__xludf.DUMMYFUNCTION("""COMPUTED_VALUE"""),1.1493678247812804)</f>
        <v>1.149367825</v>
      </c>
      <c r="AJ90" s="57">
        <f>IFERROR(__xludf.DUMMYFUNCTION("""COMPUTED_VALUE"""),0.9191928142754184)</f>
        <v>0.9191928143</v>
      </c>
      <c r="AK90" s="57">
        <f>IFERROR(__xludf.DUMMYFUNCTION("""COMPUTED_VALUE"""),1.0199445760390933)</f>
        <v>1.019944576</v>
      </c>
      <c r="AL90" s="57">
        <f>IFERROR(__xludf.DUMMYFUNCTION("""COMPUTED_VALUE"""),0.9570761049982733)</f>
        <v>0.957076105</v>
      </c>
      <c r="AM90" s="57">
        <f>IFERROR(__xludf.DUMMYFUNCTION("""COMPUTED_VALUE"""),0.9272365976601936)</f>
        <v>0.9272365977</v>
      </c>
      <c r="AN90" s="57">
        <f>IFERROR(__xludf.DUMMYFUNCTION("""COMPUTED_VALUE"""),0.8952254116547121)</f>
        <v>0.8952254117</v>
      </c>
      <c r="AO90" s="57">
        <f>IFERROR(__xludf.DUMMYFUNCTION("""COMPUTED_VALUE"""),0.8521921785882632)</f>
        <v>0.8521921786</v>
      </c>
      <c r="AP90" s="35">
        <f>IFERROR(__xludf.DUMMYFUNCTION("""COMPUTED_VALUE"""),0.9550951793915374)</f>
        <v>0.9550951794</v>
      </c>
      <c r="AQ90" s="57">
        <f>IFERROR(__xludf.DUMMYFUNCTION("""COMPUTED_VALUE"""),0.9339931926251414)</f>
        <v>0.9339931926</v>
      </c>
      <c r="AR90" s="36" t="b">
        <f>IFERROR(__xludf.DUMMYFUNCTION("""COMPUTED_VALUE"""),TRUE)</f>
        <v>1</v>
      </c>
      <c r="AS90" s="57"/>
      <c r="AT90" s="37"/>
      <c r="AU90" s="30"/>
      <c r="AV90" s="30"/>
      <c r="AW90" s="30"/>
      <c r="AX90" s="30"/>
      <c r="AY90" s="30"/>
      <c r="AZ90" s="30"/>
    </row>
    <row r="91">
      <c r="A91" s="30" t="str">
        <f>IFERROR(__xludf.DUMMYFUNCTION("""COMPUTED_VALUE"""),"Challenger")</f>
        <v>Challenger</v>
      </c>
      <c r="B91" s="30" t="str">
        <f>IFERROR(__xludf.DUMMYFUNCTION("""COMPUTED_VALUE"""),"RSC007616")</f>
        <v>RSC007616</v>
      </c>
      <c r="C91" s="30" t="str">
        <f>IFERROR(__xludf.DUMMYFUNCTION("""COMPUTED_VALUE"""),"VforVenDEADa")</f>
        <v>VforVenDEADa</v>
      </c>
      <c r="D91" s="31" t="str">
        <f>IFERROR(__xludf.DUMMYFUNCTION("""COMPUTED_VALUE"""),"Cassowaries")</f>
        <v>Cassowaries</v>
      </c>
      <c r="E91" s="31">
        <f>IFERROR(__xludf.DUMMYFUNCTION("""COMPUTED_VALUE"""),58.88409569746383)</f>
        <v>58.8840957</v>
      </c>
      <c r="F91" s="31">
        <f>IFERROR(__xludf.DUMMYFUNCTION("""COMPUTED_VALUE"""),2.768867240556783)</f>
        <v>2.768867241</v>
      </c>
      <c r="G91" s="31">
        <f>IFERROR(__xludf.DUMMYFUNCTION("""COMPUTED_VALUE"""),75.04978969374662)</f>
        <v>75.04978969</v>
      </c>
      <c r="H91" s="31">
        <f>IFERROR(__xludf.DUMMYFUNCTION("""COMPUTED_VALUE"""),6.322158434218698)</f>
        <v>6.322158434</v>
      </c>
      <c r="I91" s="54">
        <f>IFERROR(__xludf.DUMMYFUNCTION("""COMPUTED_VALUE"""),2.0)</f>
        <v>2</v>
      </c>
      <c r="J91" s="55">
        <f>IFERROR(__xludf.DUMMYFUNCTION("""COMPUTED_VALUE"""),0.0)</f>
        <v>0</v>
      </c>
      <c r="K91" s="54">
        <f>IFERROR(__xludf.DUMMYFUNCTION("""COMPUTED_VALUE"""),2.0)</f>
        <v>2</v>
      </c>
      <c r="L91" s="56">
        <f>IFERROR(__xludf.DUMMYFUNCTION("""COMPUTED_VALUE"""),0.0)</f>
        <v>0</v>
      </c>
      <c r="M91" s="56">
        <f>IFERROR(__xludf.DUMMYFUNCTION("""COMPUTED_VALUE"""),0.14285714285714285)</f>
        <v>0.1428571429</v>
      </c>
      <c r="N91" s="31">
        <f>IFERROR(__xludf.DUMMYFUNCTION("""COMPUTED_VALUE"""),297.0)</f>
        <v>297</v>
      </c>
      <c r="O91" s="57">
        <f>IFERROR(__xludf.DUMMYFUNCTION("""COMPUTED_VALUE"""),0.5)</f>
        <v>0.5</v>
      </c>
      <c r="P91" s="57">
        <f>IFERROR(__xludf.DUMMYFUNCTION("""COMPUTED_VALUE"""),1.0)</f>
        <v>1</v>
      </c>
      <c r="Q91" s="57">
        <f>IFERROR(__xludf.DUMMYFUNCTION("""COMPUTED_VALUE"""),1.0)</f>
        <v>1</v>
      </c>
      <c r="R91" s="57">
        <f>IFERROR(__xludf.DUMMYFUNCTION("""COMPUTED_VALUE"""),3.5)</f>
        <v>3.5</v>
      </c>
      <c r="S91" s="31">
        <f>IFERROR(__xludf.DUMMYFUNCTION("""COMPUTED_VALUE"""),384.5)</f>
        <v>384.5</v>
      </c>
      <c r="T91" s="57">
        <f>IFERROR(__xludf.DUMMYFUNCTION("""COMPUTED_VALUE"""),1.0)</f>
        <v>1</v>
      </c>
      <c r="U91" s="57">
        <f>IFERROR(__xludf.DUMMYFUNCTION("""COMPUTED_VALUE"""),0.6666666666666666)</f>
        <v>0.6666666667</v>
      </c>
      <c r="V91" s="57">
        <f>IFERROR(__xludf.DUMMYFUNCTION("""COMPUTED_VALUE"""),1.3333333333333335)</f>
        <v>1.333333333</v>
      </c>
      <c r="W91" s="57">
        <f>IFERROR(__xludf.DUMMYFUNCTION("""COMPUTED_VALUE"""),2.3333333333333335)</f>
        <v>2.333333333</v>
      </c>
      <c r="X91" s="31">
        <f>IFERROR(__xludf.DUMMYFUNCTION("""COMPUTED_VALUE"""),314.0223246207676)</f>
        <v>314.0223246</v>
      </c>
      <c r="Y91" s="57">
        <f>IFERROR(__xludf.DUMMYFUNCTION("""COMPUTED_VALUE"""),0.6837890527587502)</f>
        <v>0.6837890528</v>
      </c>
      <c r="Z91" s="57">
        <f>IFERROR(__xludf.DUMMYFUNCTION("""COMPUTED_VALUE"""),0.453712505643165)</f>
        <v>0.4537125056</v>
      </c>
      <c r="AA91" s="57">
        <f>IFERROR(__xludf.DUMMYFUNCTION("""COMPUTED_VALUE"""),1.0822555438634507)</f>
        <v>1.082255544</v>
      </c>
      <c r="AB91" s="57">
        <f>IFERROR(__xludf.DUMMYFUNCTION("""COMPUTED_VALUE"""),2.2821077507145686)</f>
        <v>2.282107751</v>
      </c>
      <c r="AC91" s="31">
        <f>IFERROR(__xludf.DUMMYFUNCTION("""COMPUTED_VALUE"""),328.62141120688204)</f>
        <v>328.6214112</v>
      </c>
      <c r="AD91" s="57">
        <f>IFERROR(__xludf.DUMMYFUNCTION("""COMPUTED_VALUE"""),0.8175958757672741)</f>
        <v>0.8175958758</v>
      </c>
      <c r="AE91" s="57">
        <f>IFERROR(__xludf.DUMMYFUNCTION("""COMPUTED_VALUE"""),0.5515206135336245)</f>
        <v>0.5515206135</v>
      </c>
      <c r="AF91" s="57">
        <f>IFERROR(__xludf.DUMMYFUNCTION("""COMPUTED_VALUE"""),1.092914863274295)</f>
        <v>1.092914863</v>
      </c>
      <c r="AG91" s="57">
        <f>IFERROR(__xludf.DUMMYFUNCTION("""COMPUTED_VALUE"""),2.4028402760641496)</f>
        <v>2.402840276</v>
      </c>
      <c r="AH91" s="57">
        <f>IFERROR(__xludf.DUMMYFUNCTION("""COMPUTED_VALUE"""),0.9037755601780465)</f>
        <v>0.9037755602</v>
      </c>
      <c r="AI91" s="57">
        <f>IFERROR(__xludf.DUMMYFUNCTION("""COMPUTED_VALUE"""),0.6115490731050646)</f>
        <v>0.6115490731</v>
      </c>
      <c r="AJ91" s="57">
        <f>IFERROR(__xludf.DUMMYFUNCTION("""COMPUTED_VALUE"""),1.8131688561791774)</f>
        <v>1.813168856</v>
      </c>
      <c r="AK91" s="57">
        <f>IFERROR(__xludf.DUMMYFUNCTION("""COMPUTED_VALUE"""),0.9149843538627256)</f>
        <v>0.9149843539</v>
      </c>
      <c r="AL91" s="57">
        <f>IFERROR(__xludf.DUMMYFUNCTION("""COMPUTED_VALUE"""),1.456609511196057)</f>
        <v>1.456609511</v>
      </c>
      <c r="AM91" s="57">
        <f>IFERROR(__xludf.DUMMYFUNCTION("""COMPUTED_VALUE"""),1.2244352386867574)</f>
        <v>1.224435239</v>
      </c>
      <c r="AN91" s="57">
        <f>IFERROR(__xludf.DUMMYFUNCTION("""COMPUTED_VALUE"""),1.4624393238901605)</f>
        <v>1.462439324</v>
      </c>
      <c r="AO91" s="57">
        <f>IFERROR(__xludf.DUMMYFUNCTION("""COMPUTED_VALUE"""),1.4693592492488745)</f>
        <v>1.469359249</v>
      </c>
      <c r="AP91" s="35">
        <f>IFERROR(__xludf.DUMMYFUNCTION("""COMPUTED_VALUE"""),1.2319949210641896)</f>
        <v>1.231994921</v>
      </c>
      <c r="AQ91" s="57">
        <f>IFERROR(__xludf.DUMMYFUNCTION("""COMPUTED_VALUE"""),1.0224466099826905)</f>
        <v>1.02244661</v>
      </c>
      <c r="AR91" s="36" t="b">
        <f>IFERROR(__xludf.DUMMYFUNCTION("""COMPUTED_VALUE"""),TRUE)</f>
        <v>1</v>
      </c>
      <c r="AS91" s="57"/>
      <c r="AT91" s="37"/>
      <c r="AU91" s="30"/>
      <c r="AV91" s="30"/>
      <c r="AW91" s="30"/>
      <c r="AX91" s="30"/>
      <c r="AY91" s="30"/>
      <c r="AZ91" s="30"/>
    </row>
    <row r="92">
      <c r="A92" s="30" t="str">
        <f>IFERROR(__xludf.DUMMYFUNCTION("""COMPUTED_VALUE"""),"Challenger")</f>
        <v>Challenger</v>
      </c>
      <c r="B92" s="30" t="str">
        <f>IFERROR(__xludf.DUMMYFUNCTION("""COMPUTED_VALUE"""),"RSC004681")</f>
        <v>RSC004681</v>
      </c>
      <c r="C92" s="30" t="str">
        <f>IFERROR(__xludf.DUMMYFUNCTION("""COMPUTED_VALUE"""),"Speciial_Eddy")</f>
        <v>Speciial_Eddy</v>
      </c>
      <c r="D92" s="31" t="str">
        <f>IFERROR(__xludf.DUMMYFUNCTION("""COMPUTED_VALUE"""),"Jock O Lanterns")</f>
        <v>Jock O Lanterns</v>
      </c>
      <c r="E92" s="31">
        <f>IFERROR(__xludf.DUMMYFUNCTION("""COMPUTED_VALUE"""),58.33591797470539)</f>
        <v>58.33591797</v>
      </c>
      <c r="F92" s="31">
        <f>IFERROR(__xludf.DUMMYFUNCTION("""COMPUTED_VALUE"""),2.7070755454173043)</f>
        <v>2.707075545</v>
      </c>
      <c r="G92" s="31">
        <f>IFERROR(__xludf.DUMMYFUNCTION("""COMPUTED_VALUE"""),47.52448318416298)</f>
        <v>47.52448318</v>
      </c>
      <c r="H92" s="31">
        <f>IFERROR(__xludf.DUMMYFUNCTION("""COMPUTED_VALUE"""),-2.171265382693654)</f>
        <v>-2.171265383</v>
      </c>
      <c r="I92" s="54">
        <f>IFERROR(__xludf.DUMMYFUNCTION("""COMPUTED_VALUE"""),23.0)</f>
        <v>23</v>
      </c>
      <c r="J92" s="55">
        <f>IFERROR(__xludf.DUMMYFUNCTION("""COMPUTED_VALUE"""),10.0)</f>
        <v>10</v>
      </c>
      <c r="K92" s="54">
        <f>IFERROR(__xludf.DUMMYFUNCTION("""COMPUTED_VALUE"""),13.0)</f>
        <v>13</v>
      </c>
      <c r="L92" s="56">
        <f>IFERROR(__xludf.DUMMYFUNCTION("""COMPUTED_VALUE"""),0.43478260869565216)</f>
        <v>0.4347826087</v>
      </c>
      <c r="M92" s="56">
        <f>IFERROR(__xludf.DUMMYFUNCTION("""COMPUTED_VALUE"""),0.2857142857142857)</f>
        <v>0.2857142857</v>
      </c>
      <c r="N92" s="31">
        <f>IFERROR(__xludf.DUMMYFUNCTION("""COMPUTED_VALUE"""),358.69565217391306)</f>
        <v>358.6956522</v>
      </c>
      <c r="O92" s="57">
        <f>IFERROR(__xludf.DUMMYFUNCTION("""COMPUTED_VALUE"""),0.782608695652174)</f>
        <v>0.7826086957</v>
      </c>
      <c r="P92" s="57">
        <f>IFERROR(__xludf.DUMMYFUNCTION("""COMPUTED_VALUE"""),0.43478260869565216)</f>
        <v>0.4347826087</v>
      </c>
      <c r="Q92" s="57">
        <f>IFERROR(__xludf.DUMMYFUNCTION("""COMPUTED_VALUE"""),1.6521739130434783)</f>
        <v>1.652173913</v>
      </c>
      <c r="R92" s="57">
        <f>IFERROR(__xludf.DUMMYFUNCTION("""COMPUTED_VALUE"""),2.739130434782609)</f>
        <v>2.739130435</v>
      </c>
      <c r="S92" s="31">
        <f>IFERROR(__xludf.DUMMYFUNCTION("""COMPUTED_VALUE"""),377.50724637681157)</f>
        <v>377.5072464</v>
      </c>
      <c r="T92" s="57">
        <f>IFERROR(__xludf.DUMMYFUNCTION("""COMPUTED_VALUE"""),0.8695652173913043)</f>
        <v>0.8695652174</v>
      </c>
      <c r="U92" s="57">
        <f>IFERROR(__xludf.DUMMYFUNCTION("""COMPUTED_VALUE"""),0.6376811594202898)</f>
        <v>0.6376811594</v>
      </c>
      <c r="V92" s="57">
        <f>IFERROR(__xludf.DUMMYFUNCTION("""COMPUTED_VALUE"""),1.3478260869565215)</f>
        <v>1.347826087</v>
      </c>
      <c r="W92" s="57">
        <f>IFERROR(__xludf.DUMMYFUNCTION("""COMPUTED_VALUE"""),2.724637681159421)</f>
        <v>2.724637681</v>
      </c>
      <c r="X92" s="31">
        <f>IFERROR(__xludf.DUMMYFUNCTION("""COMPUTED_VALUE"""),342.08666438825065)</f>
        <v>342.0866644</v>
      </c>
      <c r="Y92" s="57">
        <f>IFERROR(__xludf.DUMMYFUNCTION("""COMPUTED_VALUE"""),0.8095820651717814)</f>
        <v>0.8095820652</v>
      </c>
      <c r="Z92" s="57">
        <f>IFERROR(__xludf.DUMMYFUNCTION("""COMPUTED_VALUE"""),0.6108538022810694)</f>
        <v>0.6108538023</v>
      </c>
      <c r="AA92" s="57">
        <f>IFERROR(__xludf.DUMMYFUNCTION("""COMPUTED_VALUE"""),1.172406872204973)</f>
        <v>1.172406872</v>
      </c>
      <c r="AB92" s="57">
        <f>IFERROR(__xludf.DUMMYFUNCTION("""COMPUTED_VALUE"""),2.5818592523377033)</f>
        <v>2.581859252</v>
      </c>
      <c r="AC92" s="31">
        <f>IFERROR(__xludf.DUMMYFUNCTION("""COMPUTED_VALUE"""),325.3976024089386)</f>
        <v>325.3976024</v>
      </c>
      <c r="AD92" s="57">
        <f>IFERROR(__xludf.DUMMYFUNCTION("""COMPUTED_VALUE"""),0.7025711566084882)</f>
        <v>0.7025711566</v>
      </c>
      <c r="AE92" s="57">
        <f>IFERROR(__xludf.DUMMYFUNCTION("""COMPUTED_VALUE"""),0.4724339700684229)</f>
        <v>0.4724339701</v>
      </c>
      <c r="AF92" s="57">
        <f>IFERROR(__xludf.DUMMYFUNCTION("""COMPUTED_VALUE"""),1.2597944434021224)</f>
        <v>1.259794443</v>
      </c>
      <c r="AG92" s="57">
        <f>IFERROR(__xludf.DUMMYFUNCTION("""COMPUTED_VALUE"""),2.2740248663173617)</f>
        <v>2.274024866</v>
      </c>
      <c r="AH92" s="57">
        <f>IFERROR(__xludf.DUMMYFUNCTION("""COMPUTED_VALUE"""),1.102330347606949)</f>
        <v>1.102330348</v>
      </c>
      <c r="AI92" s="57">
        <f>IFERROR(__xludf.DUMMYFUNCTION("""COMPUTED_VALUE"""),1.113920900809606)</f>
        <v>1.113920901</v>
      </c>
      <c r="AJ92" s="57">
        <f>IFERROR(__xludf.DUMMYFUNCTION("""COMPUTED_VALUE"""),0.9203034418390411)</f>
        <v>0.9203034418</v>
      </c>
      <c r="AK92" s="57">
        <f>IFERROR(__xludf.DUMMYFUNCTION("""COMPUTED_VALUE"""),1.3114630896304957)</f>
        <v>1.31146309</v>
      </c>
      <c r="AL92" s="57">
        <f>IFERROR(__xludf.DUMMYFUNCTION("""COMPUTED_VALUE"""),1.2045296757103874)</f>
        <v>1.204529676</v>
      </c>
      <c r="AM92" s="57">
        <f>IFERROR(__xludf.DUMMYFUNCTION("""COMPUTED_VALUE"""),1.103542714978098)</f>
        <v>1.103542715</v>
      </c>
      <c r="AN92" s="57">
        <f>IFERROR(__xludf.DUMMYFUNCTION("""COMPUTED_VALUE"""),1.0740915032582834)</f>
        <v>1.074091503</v>
      </c>
      <c r="AO92" s="57">
        <f>IFERROR(__xludf.DUMMYFUNCTION("""COMPUTED_VALUE"""),1.04391780330914)</f>
        <v>1.043917803</v>
      </c>
      <c r="AP92" s="35">
        <f>IFERROR(__xludf.DUMMYFUNCTION("""COMPUTED_VALUE"""),1.1496231546490627)</f>
        <v>1.149623155</v>
      </c>
      <c r="AQ92" s="57">
        <f>IFERROR(__xludf.DUMMYFUNCTION("""COMPUTED_VALUE"""),1.0553006244211187)</f>
        <v>1.055300624</v>
      </c>
      <c r="AR92" s="36" t="b">
        <f>IFERROR(__xludf.DUMMYFUNCTION("""COMPUTED_VALUE"""),TRUE)</f>
        <v>1</v>
      </c>
      <c r="AS92" s="57"/>
      <c r="AT92" s="37"/>
      <c r="AU92" s="30"/>
      <c r="AV92" s="30"/>
      <c r="AW92" s="30"/>
      <c r="AX92" s="30"/>
      <c r="AY92" s="30"/>
      <c r="AZ92" s="30"/>
    </row>
    <row r="93">
      <c r="A93" s="30" t="str">
        <f>IFERROR(__xludf.DUMMYFUNCTION("""COMPUTED_VALUE"""),"Challenger")</f>
        <v>Challenger</v>
      </c>
      <c r="B93" s="30" t="str">
        <f>IFERROR(__xludf.DUMMYFUNCTION("""COMPUTED_VALUE"""),"RSC005526")</f>
        <v>RSC005526</v>
      </c>
      <c r="C93" s="30" t="str">
        <f>IFERROR(__xludf.DUMMYFUNCTION("""COMPUTED_VALUE"""),"Vortex3524")</f>
        <v>Vortex3524</v>
      </c>
      <c r="D93" s="31" t="str">
        <f>IFERROR(__xludf.DUMMYFUNCTION("""COMPUTED_VALUE"""),"Zombies")</f>
        <v>Zombies</v>
      </c>
      <c r="E93" s="31">
        <f>IFERROR(__xludf.DUMMYFUNCTION("""COMPUTED_VALUE"""),58.279655227204614)</f>
        <v>58.27965523</v>
      </c>
      <c r="F93" s="31">
        <f>IFERROR(__xludf.DUMMYFUNCTION("""COMPUTED_VALUE"""),2.700863792062982)</f>
        <v>2.700863792</v>
      </c>
      <c r="G93" s="31">
        <f>IFERROR(__xludf.DUMMYFUNCTION("""COMPUTED_VALUE"""),62.188757279499)</f>
        <v>62.18875728</v>
      </c>
      <c r="H93" s="31">
        <f>IFERROR(__xludf.DUMMYFUNCTION("""COMPUTED_VALUE"""),3.1955598974492756)</f>
        <v>3.195559897</v>
      </c>
      <c r="I93" s="54">
        <f>IFERROR(__xludf.DUMMYFUNCTION("""COMPUTED_VALUE"""),42.0)</f>
        <v>42</v>
      </c>
      <c r="J93" s="55">
        <f>IFERROR(__xludf.DUMMYFUNCTION("""COMPUTED_VALUE"""),20.0)</f>
        <v>20</v>
      </c>
      <c r="K93" s="54">
        <f>IFERROR(__xludf.DUMMYFUNCTION("""COMPUTED_VALUE"""),22.0)</f>
        <v>22</v>
      </c>
      <c r="L93" s="56">
        <f>IFERROR(__xludf.DUMMYFUNCTION("""COMPUTED_VALUE"""),0.47619047619047616)</f>
        <v>0.4761904762</v>
      </c>
      <c r="M93" s="56">
        <f>IFERROR(__xludf.DUMMYFUNCTION("""COMPUTED_VALUE"""),0.36633663366336633)</f>
        <v>0.3663366337</v>
      </c>
      <c r="N93" s="31">
        <f>IFERROR(__xludf.DUMMYFUNCTION("""COMPUTED_VALUE"""),352.2142857142857)</f>
        <v>352.2142857</v>
      </c>
      <c r="O93" s="57">
        <f>IFERROR(__xludf.DUMMYFUNCTION("""COMPUTED_VALUE"""),0.8809523809523809)</f>
        <v>0.880952381</v>
      </c>
      <c r="P93" s="57">
        <f>IFERROR(__xludf.DUMMYFUNCTION("""COMPUTED_VALUE"""),0.38095238095238093)</f>
        <v>0.380952381</v>
      </c>
      <c r="Q93" s="57">
        <f>IFERROR(__xludf.DUMMYFUNCTION("""COMPUTED_VALUE"""),1.2857142857142858)</f>
        <v>1.285714286</v>
      </c>
      <c r="R93" s="57">
        <f>IFERROR(__xludf.DUMMYFUNCTION("""COMPUTED_VALUE"""),2.4047619047619047)</f>
        <v>2.404761905</v>
      </c>
      <c r="S93" s="31">
        <f>IFERROR(__xludf.DUMMYFUNCTION("""COMPUTED_VALUE"""),314.0238095238096)</f>
        <v>314.0238095</v>
      </c>
      <c r="T93" s="57">
        <f>IFERROR(__xludf.DUMMYFUNCTION("""COMPUTED_VALUE"""),0.6746031746031745)</f>
        <v>0.6746031746</v>
      </c>
      <c r="U93" s="57">
        <f>IFERROR(__xludf.DUMMYFUNCTION("""COMPUTED_VALUE"""),0.46031746031746046)</f>
        <v>0.4603174603</v>
      </c>
      <c r="V93" s="57">
        <f>IFERROR(__xludf.DUMMYFUNCTION("""COMPUTED_VALUE"""),1.206349206349206)</f>
        <v>1.206349206</v>
      </c>
      <c r="W93" s="57">
        <f>IFERROR(__xludf.DUMMYFUNCTION("""COMPUTED_VALUE"""),2.3253968253968247)</f>
        <v>2.325396825</v>
      </c>
      <c r="X93" s="31">
        <f>IFERROR(__xludf.DUMMYFUNCTION("""COMPUTED_VALUE"""),332.21657960007155)</f>
        <v>332.2165796</v>
      </c>
      <c r="Y93" s="57">
        <f>IFERROR(__xludf.DUMMYFUNCTION("""COMPUTED_VALUE"""),0.750627284197205)</f>
        <v>0.7506272842</v>
      </c>
      <c r="Z93" s="57">
        <f>IFERROR(__xludf.DUMMYFUNCTION("""COMPUTED_VALUE"""),0.5401825122710546)</f>
        <v>0.5401825123</v>
      </c>
      <c r="AA93" s="57">
        <f>IFERROR(__xludf.DUMMYFUNCTION("""COMPUTED_VALUE"""),1.2101942693557899)</f>
        <v>1.210194269</v>
      </c>
      <c r="AB93" s="57">
        <f>IFERROR(__xludf.DUMMYFUNCTION("""COMPUTED_VALUE"""),2.469357350804075)</f>
        <v>2.469357351</v>
      </c>
      <c r="AC93" s="31">
        <f>IFERROR(__xludf.DUMMYFUNCTION("""COMPUTED_VALUE"""),335.2822015116981)</f>
        <v>335.2822015</v>
      </c>
      <c r="AD93" s="57">
        <f>IFERROR(__xludf.DUMMYFUNCTION("""COMPUTED_VALUE"""),0.7567514503541005)</f>
        <v>0.7567514504</v>
      </c>
      <c r="AE93" s="57">
        <f>IFERROR(__xludf.DUMMYFUNCTION("""COMPUTED_VALUE"""),0.5305916899158378)</f>
        <v>0.5305916899</v>
      </c>
      <c r="AF93" s="57">
        <f>IFERROR(__xludf.DUMMYFUNCTION("""COMPUTED_VALUE"""),1.2784394691220453)</f>
        <v>1.278439469</v>
      </c>
      <c r="AG93" s="57">
        <f>IFERROR(__xludf.DUMMYFUNCTION("""COMPUTED_VALUE"""),2.380459526954215)</f>
        <v>2.380459527</v>
      </c>
      <c r="AH93" s="57">
        <f>IFERROR(__xludf.DUMMYFUNCTION("""COMPUTED_VALUE"""),1.050500993271475)</f>
        <v>1.050500993</v>
      </c>
      <c r="AI93" s="57">
        <f>IFERROR(__xludf.DUMMYFUNCTION("""COMPUTED_VALUE"""),1.1641238091319999)</f>
        <v>1.164123809</v>
      </c>
      <c r="AJ93" s="57">
        <f>IFERROR(__xludf.DUMMYFUNCTION("""COMPUTED_VALUE"""),0.717976531092689)</f>
        <v>0.7179765311</v>
      </c>
      <c r="AK93" s="57">
        <f>IFERROR(__xludf.DUMMYFUNCTION("""COMPUTED_VALUE"""),1.0056903879831216)</f>
        <v>1.005690388</v>
      </c>
      <c r="AL93" s="57">
        <f>IFERROR(__xludf.DUMMYFUNCTION("""COMPUTED_VALUE"""),1.0102091119519199)</f>
        <v>1.010209112</v>
      </c>
      <c r="AM93" s="57">
        <f>IFERROR(__xludf.DUMMYFUNCTION("""COMPUTED_VALUE"""),0.9452382235162292)</f>
        <v>0.9452382235</v>
      </c>
      <c r="AN93" s="57">
        <f>IFERROR(__xludf.DUMMYFUNCTION("""COMPUTED_VALUE"""),0.8987192296435931)</f>
        <v>0.8987192296</v>
      </c>
      <c r="AO93" s="57">
        <f>IFERROR(__xludf.DUMMYFUNCTION("""COMPUTED_VALUE"""),0.8521517262418906)</f>
        <v>0.8521517262</v>
      </c>
      <c r="AP93" s="35">
        <f>IFERROR(__xludf.DUMMYFUNCTION("""COMPUTED_VALUE"""),0.996822772092095)</f>
        <v>0.9968227721</v>
      </c>
      <c r="AQ93" s="57">
        <f>IFERROR(__xludf.DUMMYFUNCTION("""COMPUTED_VALUE"""),0.9417012181892694)</f>
        <v>0.9417012182</v>
      </c>
      <c r="AR93" s="36" t="b">
        <f>IFERROR(__xludf.DUMMYFUNCTION("""COMPUTED_VALUE"""),TRUE)</f>
        <v>1</v>
      </c>
      <c r="AS93" s="57"/>
      <c r="AT93" s="37"/>
      <c r="AU93" s="30"/>
      <c r="AV93" s="30"/>
      <c r="AW93" s="30"/>
      <c r="AX93" s="30"/>
      <c r="AY93" s="30"/>
      <c r="AZ93" s="30"/>
    </row>
    <row r="94">
      <c r="A94" s="30" t="str">
        <f>IFERROR(__xludf.DUMMYFUNCTION("""COMPUTED_VALUE"""),"Challenger")</f>
        <v>Challenger</v>
      </c>
      <c r="B94" s="30" t="str">
        <f>IFERROR(__xludf.DUMMYFUNCTION("""COMPUTED_VALUE"""),"RSC007911")</f>
        <v>RSC007911</v>
      </c>
      <c r="C94" s="30" t="str">
        <f>IFERROR(__xludf.DUMMYFUNCTION("""COMPUTED_VALUE"""),"Redhood913011")</f>
        <v>Redhood913011</v>
      </c>
      <c r="D94" s="31" t="str">
        <f>IFERROR(__xludf.DUMMYFUNCTION("""COMPUTED_VALUE"""),"Lions")</f>
        <v>Lions</v>
      </c>
      <c r="E94" s="31">
        <f>IFERROR(__xludf.DUMMYFUNCTION("""COMPUTED_VALUE"""),57.964854734890736)</f>
        <v>57.96485473</v>
      </c>
      <c r="F94" s="31">
        <f>IFERROR(__xludf.DUMMYFUNCTION("""COMPUTED_VALUE"""),2.666544858152164)</f>
        <v>2.666544858</v>
      </c>
      <c r="G94" s="31">
        <f>IFERROR(__xludf.DUMMYFUNCTION("""COMPUTED_VALUE"""),40.48021604346053)</f>
        <v>40.48021604</v>
      </c>
      <c r="H94" s="31">
        <f>IFERROR(__xludf.DUMMYFUNCTION("""COMPUTED_VALUE"""),-2.843501879322598)</f>
        <v>-2.843501879</v>
      </c>
      <c r="I94" s="54">
        <f>IFERROR(__xludf.DUMMYFUNCTION("""COMPUTED_VALUE"""),15.0)</f>
        <v>15</v>
      </c>
      <c r="J94" s="55">
        <f>IFERROR(__xludf.DUMMYFUNCTION("""COMPUTED_VALUE"""),8.0)</f>
        <v>8</v>
      </c>
      <c r="K94" s="54">
        <f>IFERROR(__xludf.DUMMYFUNCTION("""COMPUTED_VALUE"""),7.0)</f>
        <v>7</v>
      </c>
      <c r="L94" s="56">
        <f>IFERROR(__xludf.DUMMYFUNCTION("""COMPUTED_VALUE"""),0.5333333333333333)</f>
        <v>0.5333333333</v>
      </c>
      <c r="M94" s="56">
        <f>IFERROR(__xludf.DUMMYFUNCTION("""COMPUTED_VALUE"""),0.31578947368421056)</f>
        <v>0.3157894737</v>
      </c>
      <c r="N94" s="31">
        <f>IFERROR(__xludf.DUMMYFUNCTION("""COMPUTED_VALUE"""),303.73333333333335)</f>
        <v>303.7333333</v>
      </c>
      <c r="O94" s="57">
        <f>IFERROR(__xludf.DUMMYFUNCTION("""COMPUTED_VALUE"""),0.8)</f>
        <v>0.8</v>
      </c>
      <c r="P94" s="57">
        <f>IFERROR(__xludf.DUMMYFUNCTION("""COMPUTED_VALUE"""),0.4666666666666667)</f>
        <v>0.4666666667</v>
      </c>
      <c r="Q94" s="57">
        <f>IFERROR(__xludf.DUMMYFUNCTION("""COMPUTED_VALUE"""),0.8666666666666667)</f>
        <v>0.8666666667</v>
      </c>
      <c r="R94" s="57">
        <f>IFERROR(__xludf.DUMMYFUNCTION("""COMPUTED_VALUE"""),2.533333333333333)</f>
        <v>2.533333333</v>
      </c>
      <c r="S94" s="31">
        <f>IFERROR(__xludf.DUMMYFUNCTION("""COMPUTED_VALUE"""),314.8444444444445)</f>
        <v>314.8444444</v>
      </c>
      <c r="T94" s="57">
        <f>IFERROR(__xludf.DUMMYFUNCTION("""COMPUTED_VALUE"""),0.6444444444444444)</f>
        <v>0.6444444444</v>
      </c>
      <c r="U94" s="57">
        <f>IFERROR(__xludf.DUMMYFUNCTION("""COMPUTED_VALUE"""),0.4666666666666666)</f>
        <v>0.4666666667</v>
      </c>
      <c r="V94" s="57">
        <f>IFERROR(__xludf.DUMMYFUNCTION("""COMPUTED_VALUE"""),1.3555555555555556)</f>
        <v>1.355555556</v>
      </c>
      <c r="W94" s="57">
        <f>IFERROR(__xludf.DUMMYFUNCTION("""COMPUTED_VALUE"""),2.3111111111111113)</f>
        <v>2.311111111</v>
      </c>
      <c r="X94" s="31">
        <f>IFERROR(__xludf.DUMMYFUNCTION("""COMPUTED_VALUE"""),354.894830424385)</f>
        <v>354.8948304</v>
      </c>
      <c r="Y94" s="57">
        <f>IFERROR(__xludf.DUMMYFUNCTION("""COMPUTED_VALUE"""),0.8117007076466414)</f>
        <v>0.8117007076</v>
      </c>
      <c r="Z94" s="57">
        <f>IFERROR(__xludf.DUMMYFUNCTION("""COMPUTED_VALUE"""),0.5804051747120215)</f>
        <v>0.5804051747</v>
      </c>
      <c r="AA94" s="57">
        <f>IFERROR(__xludf.DUMMYFUNCTION("""COMPUTED_VALUE"""),1.3626642714676125)</f>
        <v>1.362664271</v>
      </c>
      <c r="AB94" s="57">
        <f>IFERROR(__xludf.DUMMYFUNCTION("""COMPUTED_VALUE"""),2.554283719207977)</f>
        <v>2.554283719</v>
      </c>
      <c r="AC94" s="31">
        <f>IFERROR(__xludf.DUMMYFUNCTION("""COMPUTED_VALUE"""),337.8315676638206)</f>
        <v>337.8315677</v>
      </c>
      <c r="AD94" s="57">
        <f>IFERROR(__xludf.DUMMYFUNCTION("""COMPUTED_VALUE"""),0.7150727494832226)</f>
        <v>0.7150727495</v>
      </c>
      <c r="AE94" s="57">
        <f>IFERROR(__xludf.DUMMYFUNCTION("""COMPUTED_VALUE"""),0.5114571049667612)</f>
        <v>0.511457105</v>
      </c>
      <c r="AF94" s="57">
        <f>IFERROR(__xludf.DUMMYFUNCTION("""COMPUTED_VALUE"""),1.2779084755102519)</f>
        <v>1.277908476</v>
      </c>
      <c r="AG94" s="57">
        <f>IFERROR(__xludf.DUMMYFUNCTION("""COMPUTED_VALUE"""),2.542012192525574)</f>
        <v>2.542012193</v>
      </c>
      <c r="AH94" s="57">
        <f>IFERROR(__xludf.DUMMYFUNCTION("""COMPUTED_VALUE"""),0.8990673531005879)</f>
        <v>0.8990673531</v>
      </c>
      <c r="AI94" s="57">
        <f>IFERROR(__xludf.DUMMYFUNCTION("""COMPUTED_VALUE"""),1.1187672870741525)</f>
        <v>1.118767287</v>
      </c>
      <c r="AJ94" s="57">
        <f>IFERROR(__xludf.DUMMYFUNCTION("""COMPUTED_VALUE"""),0.9124258166224802)</f>
        <v>0.9124258166</v>
      </c>
      <c r="AK94" s="57">
        <f>IFERROR(__xludf.DUMMYFUNCTION("""COMPUTED_VALUE"""),0.6781915006241884)</f>
        <v>0.6781915006</v>
      </c>
      <c r="AL94" s="57">
        <f>IFERROR(__xludf.DUMMYFUNCTION("""COMPUTED_VALUE"""),0.996585831013022)</f>
        <v>0.996585831</v>
      </c>
      <c r="AM94" s="57">
        <f>IFERROR(__xludf.DUMMYFUNCTION("""COMPUTED_VALUE"""),0.8871485788281331)</f>
        <v>0.8871485788</v>
      </c>
      <c r="AN94" s="57">
        <f>IFERROR(__xludf.DUMMYFUNCTION("""COMPUTED_VALUE"""),0.7939434305938675)</f>
        <v>0.7939434306</v>
      </c>
      <c r="AO94" s="57">
        <f>IFERROR(__xludf.DUMMYFUNCTION("""COMPUTED_VALUE"""),0.8040360200065614)</f>
        <v>0.80403602</v>
      </c>
      <c r="AP94" s="35">
        <f>IFERROR(__xludf.DUMMYFUNCTION("""COMPUTED_VALUE"""),0.9947832227930944)</f>
        <v>0.9947832228</v>
      </c>
      <c r="AQ94" s="57">
        <f>IFERROR(__xludf.DUMMYFUNCTION("""COMPUTED_VALUE"""),0.9047981215758335)</f>
        <v>0.9047981216</v>
      </c>
      <c r="AR94" s="36" t="b">
        <f>IFERROR(__xludf.DUMMYFUNCTION("""COMPUTED_VALUE"""),TRUE)</f>
        <v>1</v>
      </c>
      <c r="AS94" s="57"/>
      <c r="AT94" s="37"/>
      <c r="AU94" s="30"/>
      <c r="AV94" s="30"/>
      <c r="AW94" s="30"/>
      <c r="AX94" s="30"/>
      <c r="AY94" s="30"/>
      <c r="AZ94" s="30"/>
    </row>
    <row r="95">
      <c r="A95" s="30" t="str">
        <f>IFERROR(__xludf.DUMMYFUNCTION("""COMPUTED_VALUE"""),"Challenger")</f>
        <v>Challenger</v>
      </c>
      <c r="B95" s="30" t="str">
        <f>IFERROR(__xludf.DUMMYFUNCTION("""COMPUTED_VALUE"""),"RSC007939")</f>
        <v>RSC007939</v>
      </c>
      <c r="C95" s="30" t="str">
        <f>IFERROR(__xludf.DUMMYFUNCTION("""COMPUTED_VALUE"""),"bryan_rown_")</f>
        <v>bryan_rown_</v>
      </c>
      <c r="D95" s="31" t="str">
        <f>IFERROR(__xludf.DUMMYFUNCTION("""COMPUTED_VALUE"""),"Metal")</f>
        <v>Metal</v>
      </c>
      <c r="E95" s="31">
        <f>IFERROR(__xludf.DUMMYFUNCTION("""COMPUTED_VALUE"""),57.87338323790722)</f>
        <v>57.87338324</v>
      </c>
      <c r="F95" s="31">
        <f>IFERROR(__xludf.DUMMYFUNCTION("""COMPUTED_VALUE"""),2.6567101797140174)</f>
        <v>2.65671018</v>
      </c>
      <c r="G95" s="31">
        <f>IFERROR(__xludf.DUMMYFUNCTION("""COMPUTED_VALUE"""),52.3913876272363)</f>
        <v>52.39138763</v>
      </c>
      <c r="H95" s="31">
        <f>IFERROR(__xludf.DUMMYFUNCTION("""COMPUTED_VALUE"""),2.1649844110805514)</f>
        <v>2.164984411</v>
      </c>
      <c r="I95" s="54">
        <f>IFERROR(__xludf.DUMMYFUNCTION("""COMPUTED_VALUE"""),37.0)</f>
        <v>37</v>
      </c>
      <c r="J95" s="55">
        <f>IFERROR(__xludf.DUMMYFUNCTION("""COMPUTED_VALUE"""),18.0)</f>
        <v>18</v>
      </c>
      <c r="K95" s="54">
        <f>IFERROR(__xludf.DUMMYFUNCTION("""COMPUTED_VALUE"""),19.0)</f>
        <v>19</v>
      </c>
      <c r="L95" s="56">
        <f>IFERROR(__xludf.DUMMYFUNCTION("""COMPUTED_VALUE"""),0.4864864864864865)</f>
        <v>0.4864864865</v>
      </c>
      <c r="M95" s="56">
        <f>IFERROR(__xludf.DUMMYFUNCTION("""COMPUTED_VALUE"""),0.37777777777777777)</f>
        <v>0.3777777778</v>
      </c>
      <c r="N95" s="31">
        <f>IFERROR(__xludf.DUMMYFUNCTION("""COMPUTED_VALUE"""),337.97297297297297)</f>
        <v>337.972973</v>
      </c>
      <c r="O95" s="57">
        <f>IFERROR(__xludf.DUMMYFUNCTION("""COMPUTED_VALUE"""),0.918918918918919)</f>
        <v>0.9189189189</v>
      </c>
      <c r="P95" s="57">
        <f>IFERROR(__xludf.DUMMYFUNCTION("""COMPUTED_VALUE"""),0.5405405405405406)</f>
        <v>0.5405405405</v>
      </c>
      <c r="Q95" s="57">
        <f>IFERROR(__xludf.DUMMYFUNCTION("""COMPUTED_VALUE"""),1.135135135135135)</f>
        <v>1.135135135</v>
      </c>
      <c r="R95" s="57">
        <f>IFERROR(__xludf.DUMMYFUNCTION("""COMPUTED_VALUE"""),2.4324324324324325)</f>
        <v>2.432432432</v>
      </c>
      <c r="S95" s="31">
        <f>IFERROR(__xludf.DUMMYFUNCTION("""COMPUTED_VALUE"""),331.4234234234234)</f>
        <v>331.4234234</v>
      </c>
      <c r="T95" s="57">
        <f>IFERROR(__xludf.DUMMYFUNCTION("""COMPUTED_VALUE"""),0.8018018018018018)</f>
        <v>0.8018018018</v>
      </c>
      <c r="U95" s="57">
        <f>IFERROR(__xludf.DUMMYFUNCTION("""COMPUTED_VALUE"""),0.5315315315315314)</f>
        <v>0.5315315315</v>
      </c>
      <c r="V95" s="57">
        <f>IFERROR(__xludf.DUMMYFUNCTION("""COMPUTED_VALUE"""),1.117117117117117)</f>
        <v>1.117117117</v>
      </c>
      <c r="W95" s="57">
        <f>IFERROR(__xludf.DUMMYFUNCTION("""COMPUTED_VALUE"""),2.432432432432433)</f>
        <v>2.432432432</v>
      </c>
      <c r="X95" s="31">
        <f>IFERROR(__xludf.DUMMYFUNCTION("""COMPUTED_VALUE"""),326.18628209355467)</f>
        <v>326.1862821</v>
      </c>
      <c r="Y95" s="57">
        <f>IFERROR(__xludf.DUMMYFUNCTION("""COMPUTED_VALUE"""),0.737716042100685)</f>
        <v>0.7377160421</v>
      </c>
      <c r="Z95" s="57">
        <f>IFERROR(__xludf.DUMMYFUNCTION("""COMPUTED_VALUE"""),0.5042847625458091)</f>
        <v>0.5042847625</v>
      </c>
      <c r="AA95" s="57">
        <f>IFERROR(__xludf.DUMMYFUNCTION("""COMPUTED_VALUE"""),1.2176962594160217)</f>
        <v>1.217696259</v>
      </c>
      <c r="AB95" s="57">
        <f>IFERROR(__xludf.DUMMYFUNCTION("""COMPUTED_VALUE"""),2.38990201892572)</f>
        <v>2.389902019</v>
      </c>
      <c r="AC95" s="31">
        <f>IFERROR(__xludf.DUMMYFUNCTION("""COMPUTED_VALUE"""),340.990314426721)</f>
        <v>340.9903144</v>
      </c>
      <c r="AD95" s="57">
        <f>IFERROR(__xludf.DUMMYFUNCTION("""COMPUTED_VALUE"""),0.8047398104383818)</f>
        <v>0.8047398104</v>
      </c>
      <c r="AE95" s="57">
        <f>IFERROR(__xludf.DUMMYFUNCTION("""COMPUTED_VALUE"""),0.5553694372913505)</f>
        <v>0.5553694373</v>
      </c>
      <c r="AF95" s="57">
        <f>IFERROR(__xludf.DUMMYFUNCTION("""COMPUTED_VALUE"""),1.213614576178716)</f>
        <v>1.213614576</v>
      </c>
      <c r="AG95" s="57">
        <f>IFERROR(__xludf.DUMMYFUNCTION("""COMPUTED_VALUE"""),2.4951725644780987)</f>
        <v>2.495172564</v>
      </c>
      <c r="AH95" s="57">
        <f>IFERROR(__xludf.DUMMYFUNCTION("""COMPUTED_VALUE"""),0.9911512400027525)</f>
        <v>0.99115124</v>
      </c>
      <c r="AI95" s="57">
        <f>IFERROR(__xludf.DUMMYFUNCTION("""COMPUTED_VALUE"""),1.1418832608993683)</f>
        <v>1.141883261</v>
      </c>
      <c r="AJ95" s="57">
        <f>IFERROR(__xludf.DUMMYFUNCTION("""COMPUTED_VALUE"""),0.973299040683381)</f>
        <v>0.9732990407</v>
      </c>
      <c r="AK95" s="57">
        <f>IFERROR(__xludf.DUMMYFUNCTION("""COMPUTED_VALUE"""),0.9353341311286095)</f>
        <v>0.9353341311</v>
      </c>
      <c r="AL95" s="57">
        <f>IFERROR(__xludf.DUMMYFUNCTION("""COMPUTED_VALUE"""),0.9748553935952766)</f>
        <v>0.9748553936</v>
      </c>
      <c r="AM95" s="57">
        <f>IFERROR(__xludf.DUMMYFUNCTION("""COMPUTED_VALUE"""),1.016055676211321)</f>
        <v>1.016055676</v>
      </c>
      <c r="AN95" s="57">
        <f>IFERROR(__xludf.DUMMYFUNCTION("""COMPUTED_VALUE"""),1.0868704976492436)</f>
        <v>1.086870498</v>
      </c>
      <c r="AO95" s="57">
        <f>IFERROR(__xludf.DUMMYFUNCTION("""COMPUTED_VALUE"""),1.0540305220569643)</f>
        <v>1.054030522</v>
      </c>
      <c r="AP95" s="35">
        <f>IFERROR(__xludf.DUMMYFUNCTION("""COMPUTED_VALUE"""),0.9174021094988499)</f>
        <v>0.9174021095</v>
      </c>
      <c r="AQ95" s="57">
        <f>IFERROR(__xludf.DUMMYFUNCTION("""COMPUTED_VALUE"""),1.0177958816595463)</f>
        <v>1.017795882</v>
      </c>
      <c r="AR95" s="36" t="b">
        <f>IFERROR(__xludf.DUMMYFUNCTION("""COMPUTED_VALUE"""),TRUE)</f>
        <v>1</v>
      </c>
      <c r="AS95" s="57"/>
      <c r="AT95" s="37"/>
      <c r="AU95" s="30"/>
      <c r="AV95" s="30"/>
      <c r="AW95" s="30"/>
      <c r="AX95" s="30"/>
      <c r="AY95" s="30"/>
      <c r="AZ95" s="30"/>
    </row>
    <row r="96">
      <c r="A96" s="30" t="str">
        <f>IFERROR(__xludf.DUMMYFUNCTION("""COMPUTED_VALUE"""),"Challenger")</f>
        <v>Challenger</v>
      </c>
      <c r="B96" s="30" t="str">
        <f>IFERROR(__xludf.DUMMYFUNCTION("""COMPUTED_VALUE"""),"RSC007313")</f>
        <v>RSC007313</v>
      </c>
      <c r="C96" s="30" t="str">
        <f>IFERROR(__xludf.DUMMYFUNCTION("""COMPUTED_VALUE"""),"xNunYaBidn3ss")</f>
        <v>xNunYaBidn3ss</v>
      </c>
      <c r="D96" s="31" t="str">
        <f>IFERROR(__xludf.DUMMYFUNCTION("""COMPUTED_VALUE"""),"Zombies")</f>
        <v>Zombies</v>
      </c>
      <c r="E96" s="31">
        <f>IFERROR(__xludf.DUMMYFUNCTION("""COMPUTED_VALUE"""),57.68130984920147)</f>
        <v>57.68130985</v>
      </c>
      <c r="F96" s="31">
        <f>IFERROR(__xludf.DUMMYFUNCTION("""COMPUTED_VALUE"""),2.636257373637207)</f>
        <v>2.636257374</v>
      </c>
      <c r="G96" s="31">
        <f>IFERROR(__xludf.DUMMYFUNCTION("""COMPUTED_VALUE"""),61.03600401046915)</f>
        <v>61.03600401</v>
      </c>
      <c r="H96" s="31">
        <f>IFERROR(__xludf.DUMMYFUNCTION("""COMPUTED_VALUE"""),3.0353878870556117)</f>
        <v>3.035387887</v>
      </c>
      <c r="I96" s="54">
        <f>IFERROR(__xludf.DUMMYFUNCTION("""COMPUTED_VALUE"""),26.0)</f>
        <v>26</v>
      </c>
      <c r="J96" s="55">
        <f>IFERROR(__xludf.DUMMYFUNCTION("""COMPUTED_VALUE"""),16.0)</f>
        <v>16</v>
      </c>
      <c r="K96" s="54">
        <f>IFERROR(__xludf.DUMMYFUNCTION("""COMPUTED_VALUE"""),10.0)</f>
        <v>10</v>
      </c>
      <c r="L96" s="56">
        <f>IFERROR(__xludf.DUMMYFUNCTION("""COMPUTED_VALUE"""),0.6153846153846154)</f>
        <v>0.6153846154</v>
      </c>
      <c r="M96" s="56">
        <f>IFERROR(__xludf.DUMMYFUNCTION("""COMPUTED_VALUE"""),0.3275862068965517)</f>
        <v>0.3275862069</v>
      </c>
      <c r="N96" s="31">
        <f>IFERROR(__xludf.DUMMYFUNCTION("""COMPUTED_VALUE"""),337.9230769230769)</f>
        <v>337.9230769</v>
      </c>
      <c r="O96" s="57">
        <f>IFERROR(__xludf.DUMMYFUNCTION("""COMPUTED_VALUE"""),0.7307692307692307)</f>
        <v>0.7307692308</v>
      </c>
      <c r="P96" s="57">
        <f>IFERROR(__xludf.DUMMYFUNCTION("""COMPUTED_VALUE"""),0.5384615384615384)</f>
        <v>0.5384615385</v>
      </c>
      <c r="Q96" s="57">
        <f>IFERROR(__xludf.DUMMYFUNCTION("""COMPUTED_VALUE"""),1.3461538461538463)</f>
        <v>1.346153846</v>
      </c>
      <c r="R96" s="57">
        <f>IFERROR(__xludf.DUMMYFUNCTION("""COMPUTED_VALUE"""),2.230769230769231)</f>
        <v>2.230769231</v>
      </c>
      <c r="S96" s="31">
        <f>IFERROR(__xludf.DUMMYFUNCTION("""COMPUTED_VALUE"""),299.37179487179486)</f>
        <v>299.3717949</v>
      </c>
      <c r="T96" s="57">
        <f>IFERROR(__xludf.DUMMYFUNCTION("""COMPUTED_VALUE"""),0.6153846153846154)</f>
        <v>0.6153846154</v>
      </c>
      <c r="U96" s="57">
        <f>IFERROR(__xludf.DUMMYFUNCTION("""COMPUTED_VALUE"""),0.4230769230769231)</f>
        <v>0.4230769231</v>
      </c>
      <c r="V96" s="57">
        <f>IFERROR(__xludf.DUMMYFUNCTION("""COMPUTED_VALUE"""),1.141025641025641)</f>
        <v>1.141025641</v>
      </c>
      <c r="W96" s="57">
        <f>IFERROR(__xludf.DUMMYFUNCTION("""COMPUTED_VALUE"""),2.166666666666667)</f>
        <v>2.166666667</v>
      </c>
      <c r="X96" s="31">
        <f>IFERROR(__xludf.DUMMYFUNCTION("""COMPUTED_VALUE"""),341.86774783379246)</f>
        <v>341.8677478</v>
      </c>
      <c r="Y96" s="57">
        <f>IFERROR(__xludf.DUMMYFUNCTION("""COMPUTED_VALUE"""),0.7896187610915949)</f>
        <v>0.7896187611</v>
      </c>
      <c r="Z96" s="57">
        <f>IFERROR(__xludf.DUMMYFUNCTION("""COMPUTED_VALUE"""),0.5661388387823988)</f>
        <v>0.5661388388</v>
      </c>
      <c r="AA96" s="57">
        <f>IFERROR(__xludf.DUMMYFUNCTION("""COMPUTED_VALUE"""),1.2393514050669245)</f>
        <v>1.239351405</v>
      </c>
      <c r="AB96" s="57">
        <f>IFERROR(__xludf.DUMMYFUNCTION("""COMPUTED_VALUE"""),2.515538123065733)</f>
        <v>2.515538123</v>
      </c>
      <c r="AC96" s="31">
        <f>IFERROR(__xludf.DUMMYFUNCTION("""COMPUTED_VALUE"""),338.13386123129555)</f>
        <v>338.1338612</v>
      </c>
      <c r="AD96" s="57">
        <f>IFERROR(__xludf.DUMMYFUNCTION("""COMPUTED_VALUE"""),0.7544579112211244)</f>
        <v>0.7544579112</v>
      </c>
      <c r="AE96" s="57">
        <f>IFERROR(__xludf.DUMMYFUNCTION("""COMPUTED_VALUE"""),0.5353632466173485)</f>
        <v>0.5353632466</v>
      </c>
      <c r="AF96" s="57">
        <f>IFERROR(__xludf.DUMMYFUNCTION("""COMPUTED_VALUE"""),1.2845473924034145)</f>
        <v>1.284547392</v>
      </c>
      <c r="AG96" s="57">
        <f>IFERROR(__xludf.DUMMYFUNCTION("""COMPUTED_VALUE"""),2.435396976160235)</f>
        <v>2.435396976</v>
      </c>
      <c r="AH96" s="57">
        <f>IFERROR(__xludf.DUMMYFUNCTION("""COMPUTED_VALUE"""),0.9993766246673697)</f>
        <v>0.9993766247</v>
      </c>
      <c r="AI96" s="57">
        <f>IFERROR(__xludf.DUMMYFUNCTION("""COMPUTED_VALUE"""),0.9686017203881494)</f>
        <v>0.9686017204</v>
      </c>
      <c r="AJ96" s="57">
        <f>IFERROR(__xludf.DUMMYFUNCTION("""COMPUTED_VALUE"""),1.005787270351049)</f>
        <v>1.00578727</v>
      </c>
      <c r="AK96" s="57">
        <f>IFERROR(__xludf.DUMMYFUNCTION("""COMPUTED_VALUE"""),1.0479596580980675)</f>
        <v>1.047959658</v>
      </c>
      <c r="AL96" s="57">
        <f>IFERROR(__xludf.DUMMYFUNCTION("""COMPUTED_VALUE"""),0.9159776630282138)</f>
        <v>0.915977663</v>
      </c>
      <c r="AM96" s="57">
        <f>IFERROR(__xludf.DUMMYFUNCTION("""COMPUTED_VALUE"""),0.8756947584811128)</f>
        <v>0.8756947585</v>
      </c>
      <c r="AN96" s="57">
        <f>IFERROR(__xludf.DUMMYFUNCTION("""COMPUTED_VALUE"""),0.7793439640845001)</f>
        <v>0.7793439641</v>
      </c>
      <c r="AO96" s="57">
        <f>IFERROR(__xludf.DUMMYFUNCTION("""COMPUTED_VALUE"""),0.7473024178783413)</f>
        <v>0.7473024179</v>
      </c>
      <c r="AP96" s="35">
        <f>IFERROR(__xludf.DUMMYFUNCTION("""COMPUTED_VALUE"""),0.9206635312315041)</f>
        <v>0.9206635312</v>
      </c>
      <c r="AQ96" s="57">
        <f>IFERROR(__xludf.DUMMYFUNCTION("""COMPUTED_VALUE"""),0.8613133892902843)</f>
        <v>0.8613133893</v>
      </c>
      <c r="AR96" s="36" t="b">
        <f>IFERROR(__xludf.DUMMYFUNCTION("""COMPUTED_VALUE"""),TRUE)</f>
        <v>1</v>
      </c>
      <c r="AS96" s="57"/>
      <c r="AT96" s="37"/>
      <c r="AU96" s="30"/>
      <c r="AV96" s="30"/>
      <c r="AW96" s="30"/>
      <c r="AX96" s="30"/>
      <c r="AY96" s="30"/>
      <c r="AZ96" s="30"/>
    </row>
    <row r="97">
      <c r="A97" s="30" t="str">
        <f>IFERROR(__xludf.DUMMYFUNCTION("""COMPUTED_VALUE"""),"Challenger")</f>
        <v>Challenger</v>
      </c>
      <c r="B97" s="30" t="str">
        <f>IFERROR(__xludf.DUMMYFUNCTION("""COMPUTED_VALUE"""),"RSC004059")</f>
        <v>RSC004059</v>
      </c>
      <c r="C97" s="30" t="str">
        <f>IFERROR(__xludf.DUMMYFUNCTION("""COMPUTED_VALUE"""),"turboalpaca")</f>
        <v>turboalpaca</v>
      </c>
      <c r="D97" s="31" t="str">
        <f>IFERROR(__xludf.DUMMYFUNCTION("""COMPUTED_VALUE"""),"Decuriones")</f>
        <v>Decuriones</v>
      </c>
      <c r="E97" s="31">
        <f>IFERROR(__xludf.DUMMYFUNCTION("""COMPUTED_VALUE"""),57.50713283327152)</f>
        <v>57.50713283</v>
      </c>
      <c r="F97" s="31">
        <f>IFERROR(__xludf.DUMMYFUNCTION("""COMPUTED_VALUE"""),2.61793970580783)</f>
        <v>2.617939706</v>
      </c>
      <c r="G97" s="31">
        <f>IFERROR(__xludf.DUMMYFUNCTION("""COMPUTED_VALUE"""),51.76285351503324)</f>
        <v>51.76285352</v>
      </c>
      <c r="H97" s="31">
        <f>IFERROR(__xludf.DUMMYFUNCTION("""COMPUTED_VALUE"""),2.1191279518221062)</f>
        <v>2.119127952</v>
      </c>
      <c r="I97" s="54">
        <f>IFERROR(__xludf.DUMMYFUNCTION("""COMPUTED_VALUE"""),32.0)</f>
        <v>32</v>
      </c>
      <c r="J97" s="55">
        <f>IFERROR(__xludf.DUMMYFUNCTION("""COMPUTED_VALUE"""),16.0)</f>
        <v>16</v>
      </c>
      <c r="K97" s="54">
        <f>IFERROR(__xludf.DUMMYFUNCTION("""COMPUTED_VALUE"""),16.0)</f>
        <v>16</v>
      </c>
      <c r="L97" s="56">
        <f>IFERROR(__xludf.DUMMYFUNCTION("""COMPUTED_VALUE"""),0.5)</f>
        <v>0.5</v>
      </c>
      <c r="M97" s="56">
        <f>IFERROR(__xludf.DUMMYFUNCTION("""COMPUTED_VALUE"""),0.2857142857142857)</f>
        <v>0.2857142857</v>
      </c>
      <c r="N97" s="31">
        <f>IFERROR(__xludf.DUMMYFUNCTION("""COMPUTED_VALUE"""),321.09375)</f>
        <v>321.09375</v>
      </c>
      <c r="O97" s="57">
        <f>IFERROR(__xludf.DUMMYFUNCTION("""COMPUTED_VALUE"""),0.6875)</f>
        <v>0.6875</v>
      </c>
      <c r="P97" s="57">
        <f>IFERROR(__xludf.DUMMYFUNCTION("""COMPUTED_VALUE"""),0.65625)</f>
        <v>0.65625</v>
      </c>
      <c r="Q97" s="57">
        <f>IFERROR(__xludf.DUMMYFUNCTION("""COMPUTED_VALUE"""),1.125)</f>
        <v>1.125</v>
      </c>
      <c r="R97" s="57">
        <f>IFERROR(__xludf.DUMMYFUNCTION("""COMPUTED_VALUE"""),2.40625)</f>
        <v>2.40625</v>
      </c>
      <c r="S97" s="31">
        <f>IFERROR(__xludf.DUMMYFUNCTION("""COMPUTED_VALUE"""),323.4166666666667)</f>
        <v>323.4166667</v>
      </c>
      <c r="T97" s="57">
        <f>IFERROR(__xludf.DUMMYFUNCTION("""COMPUTED_VALUE"""),0.6562500000000001)</f>
        <v>0.65625</v>
      </c>
      <c r="U97" s="57">
        <f>IFERROR(__xludf.DUMMYFUNCTION("""COMPUTED_VALUE"""),0.47916666666666663)</f>
        <v>0.4791666667</v>
      </c>
      <c r="V97" s="57">
        <f>IFERROR(__xludf.DUMMYFUNCTION("""COMPUTED_VALUE"""),1.3229166666666665)</f>
        <v>1.322916667</v>
      </c>
      <c r="W97" s="57">
        <f>IFERROR(__xludf.DUMMYFUNCTION("""COMPUTED_VALUE"""),2.1770833333333335)</f>
        <v>2.177083333</v>
      </c>
      <c r="X97" s="31">
        <f>IFERROR(__xludf.DUMMYFUNCTION("""COMPUTED_VALUE"""),338.5418662071311)</f>
        <v>338.5418662</v>
      </c>
      <c r="Y97" s="57">
        <f>IFERROR(__xludf.DUMMYFUNCTION("""COMPUTED_VALUE"""),0.7690588977561388)</f>
        <v>0.7690588978</v>
      </c>
      <c r="Z97" s="57">
        <f>IFERROR(__xludf.DUMMYFUNCTION("""COMPUTED_VALUE"""),0.5453677685183848)</f>
        <v>0.5453677685</v>
      </c>
      <c r="AA97" s="57">
        <f>IFERROR(__xludf.DUMMYFUNCTION("""COMPUTED_VALUE"""),1.280696494892379)</f>
        <v>1.280696495</v>
      </c>
      <c r="AB97" s="57">
        <f>IFERROR(__xludf.DUMMYFUNCTION("""COMPUTED_VALUE"""),2.339705683700832)</f>
        <v>2.339705684</v>
      </c>
      <c r="AC97" s="31">
        <f>IFERROR(__xludf.DUMMYFUNCTION("""COMPUTED_VALUE"""),332.24510360444947)</f>
        <v>332.2451036</v>
      </c>
      <c r="AD97" s="57">
        <f>IFERROR(__xludf.DUMMYFUNCTION("""COMPUTED_VALUE"""),0.7649087478403862)</f>
        <v>0.7649087478</v>
      </c>
      <c r="AE97" s="57">
        <f>IFERROR(__xludf.DUMMYFUNCTION("""COMPUTED_VALUE"""),0.5386512074793901)</f>
        <v>0.5386512075</v>
      </c>
      <c r="AF97" s="57">
        <f>IFERROR(__xludf.DUMMYFUNCTION("""COMPUTED_VALUE"""),1.167209249919767)</f>
        <v>1.16720925</v>
      </c>
      <c r="AG97" s="57">
        <f>IFERROR(__xludf.DUMMYFUNCTION("""COMPUTED_VALUE"""),2.4990963179115875)</f>
        <v>2.499096318</v>
      </c>
      <c r="AH97" s="57">
        <f>IFERROR(__xludf.DUMMYFUNCTION("""COMPUTED_VALUE"""),0.9664363643482747)</f>
        <v>0.9664363643</v>
      </c>
      <c r="AI97" s="57">
        <f>IFERROR(__xludf.DUMMYFUNCTION("""COMPUTED_VALUE"""),0.8988000228014923)</f>
        <v>0.8988000228</v>
      </c>
      <c r="AJ97" s="57">
        <f>IFERROR(__xludf.DUMMYFUNCTION("""COMPUTED_VALUE"""),1.218320855662631)</f>
        <v>1.218320856</v>
      </c>
      <c r="AK97" s="57">
        <f>IFERROR(__xludf.DUMMYFUNCTION("""COMPUTED_VALUE"""),0.96383746108706)</f>
        <v>0.9638374611</v>
      </c>
      <c r="AL97" s="57">
        <f>IFERROR(__xludf.DUMMYFUNCTION("""COMPUTED_VALUE"""),0.9628480434122779)</f>
        <v>0.9628480434</v>
      </c>
      <c r="AM97" s="57">
        <f>IFERROR(__xludf.DUMMYFUNCTION("""COMPUTED_VALUE"""),0.9553225138446827)</f>
        <v>0.9553225138</v>
      </c>
      <c r="AN97" s="57">
        <f>IFERROR(__xludf.DUMMYFUNCTION("""COMPUTED_VALUE"""),0.8533156588067858)</f>
        <v>0.8533156588</v>
      </c>
      <c r="AO97" s="57">
        <f>IFERROR(__xludf.DUMMYFUNCTION("""COMPUTED_VALUE"""),0.8786120015277609)</f>
        <v>0.8786120015</v>
      </c>
      <c r="AP97" s="35">
        <f>IFERROR(__xludf.DUMMYFUNCTION("""COMPUTED_VALUE"""),1.032966570879727)</f>
        <v>1.032966571</v>
      </c>
      <c r="AQ97" s="57">
        <f>IFERROR(__xludf.DUMMYFUNCTION("""COMPUTED_VALUE"""),0.9304945269397003)</f>
        <v>0.9304945269</v>
      </c>
      <c r="AR97" s="36" t="b">
        <f>IFERROR(__xludf.DUMMYFUNCTION("""COMPUTED_VALUE"""),TRUE)</f>
        <v>1</v>
      </c>
      <c r="AS97" s="57"/>
      <c r="AT97" s="37"/>
      <c r="AU97" s="30"/>
      <c r="AV97" s="30"/>
      <c r="AW97" s="30"/>
      <c r="AX97" s="30"/>
      <c r="AY97" s="30"/>
      <c r="AZ97" s="30"/>
    </row>
    <row r="98">
      <c r="A98" s="30" t="str">
        <f>IFERROR(__xludf.DUMMYFUNCTION("""COMPUTED_VALUE"""),"Challenger")</f>
        <v>Challenger</v>
      </c>
      <c r="B98" s="30" t="str">
        <f>IFERROR(__xludf.DUMMYFUNCTION("""COMPUTED_VALUE"""),"RSC002897")</f>
        <v>RSC002897</v>
      </c>
      <c r="C98" s="30" t="str">
        <f>IFERROR(__xludf.DUMMYFUNCTION("""COMPUTED_VALUE"""),"VickyViksta")</f>
        <v>VickyViksta</v>
      </c>
      <c r="D98" s="31" t="str">
        <f>IFERROR(__xludf.DUMMYFUNCTION("""COMPUTED_VALUE"""),"Panda Bears")</f>
        <v>Panda Bears</v>
      </c>
      <c r="E98" s="31">
        <f>IFERROR(__xludf.DUMMYFUNCTION("""COMPUTED_VALUE"""),57.10114068979016)</f>
        <v>57.10114069</v>
      </c>
      <c r="F98" s="31">
        <f>IFERROR(__xludf.DUMMYFUNCTION("""COMPUTED_VALUE"""),2.5760733315816124)</f>
        <v>2.576073332</v>
      </c>
      <c r="G98" s="31">
        <f>IFERROR(__xludf.DUMMYFUNCTION("""COMPUTED_VALUE"""),39.04398929353359)</f>
        <v>39.04398929</v>
      </c>
      <c r="H98" s="31">
        <f>IFERROR(__xludf.DUMMYFUNCTION("""COMPUTED_VALUE"""),-3.024748470519646)</f>
        <v>-3.024748471</v>
      </c>
      <c r="I98" s="54">
        <f>IFERROR(__xludf.DUMMYFUNCTION("""COMPUTED_VALUE"""),43.0)</f>
        <v>43</v>
      </c>
      <c r="J98" s="55">
        <f>IFERROR(__xludf.DUMMYFUNCTION("""COMPUTED_VALUE"""),25.0)</f>
        <v>25</v>
      </c>
      <c r="K98" s="54">
        <f>IFERROR(__xludf.DUMMYFUNCTION("""COMPUTED_VALUE"""),18.0)</f>
        <v>18</v>
      </c>
      <c r="L98" s="56">
        <f>IFERROR(__xludf.DUMMYFUNCTION("""COMPUTED_VALUE"""),0.5813953488372093)</f>
        <v>0.5813953488</v>
      </c>
      <c r="M98" s="56">
        <f>IFERROR(__xludf.DUMMYFUNCTION("""COMPUTED_VALUE"""),0.2543859649122807)</f>
        <v>0.2543859649</v>
      </c>
      <c r="N98" s="31">
        <f>IFERROR(__xludf.DUMMYFUNCTION("""COMPUTED_VALUE"""),351.51162790697674)</f>
        <v>351.5116279</v>
      </c>
      <c r="O98" s="57">
        <f>IFERROR(__xludf.DUMMYFUNCTION("""COMPUTED_VALUE"""),0.6744186046511628)</f>
        <v>0.6744186047</v>
      </c>
      <c r="P98" s="57">
        <f>IFERROR(__xludf.DUMMYFUNCTION("""COMPUTED_VALUE"""),0.5116279069767442)</f>
        <v>0.511627907</v>
      </c>
      <c r="Q98" s="57">
        <f>IFERROR(__xludf.DUMMYFUNCTION("""COMPUTED_VALUE"""),1.5813953488372092)</f>
        <v>1.581395349</v>
      </c>
      <c r="R98" s="57">
        <f>IFERROR(__xludf.DUMMYFUNCTION("""COMPUTED_VALUE"""),2.6511627906976742)</f>
        <v>2.651162791</v>
      </c>
      <c r="S98" s="31">
        <f>IFERROR(__xludf.DUMMYFUNCTION("""COMPUTED_VALUE"""),341.1937984496125)</f>
        <v>341.1937984</v>
      </c>
      <c r="T98" s="57">
        <f>IFERROR(__xludf.DUMMYFUNCTION("""COMPUTED_VALUE"""),0.62015503875969)</f>
        <v>0.6201550388</v>
      </c>
      <c r="U98" s="57">
        <f>IFERROR(__xludf.DUMMYFUNCTION("""COMPUTED_VALUE"""),0.4108527131782946)</f>
        <v>0.4108527132</v>
      </c>
      <c r="V98" s="57">
        <f>IFERROR(__xludf.DUMMYFUNCTION("""COMPUTED_VALUE"""),1.4883720930232556)</f>
        <v>1.488372093</v>
      </c>
      <c r="W98" s="57">
        <f>IFERROR(__xludf.DUMMYFUNCTION("""COMPUTED_VALUE"""),2.759689922480621)</f>
        <v>2.759689922</v>
      </c>
      <c r="X98" s="31">
        <f>IFERROR(__xludf.DUMMYFUNCTION("""COMPUTED_VALUE"""),337.6042051669243)</f>
        <v>337.6042052</v>
      </c>
      <c r="Y98" s="57">
        <f>IFERROR(__xludf.DUMMYFUNCTION("""COMPUTED_VALUE"""),0.7631138820017591)</f>
        <v>0.763113882</v>
      </c>
      <c r="Z98" s="57">
        <f>IFERROR(__xludf.DUMMYFUNCTION("""COMPUTED_VALUE"""),0.5450765870602737)</f>
        <v>0.5450765871</v>
      </c>
      <c r="AA98" s="57">
        <f>IFERROR(__xludf.DUMMYFUNCTION("""COMPUTED_VALUE"""),1.270958146134844)</f>
        <v>1.270958146</v>
      </c>
      <c r="AB98" s="57">
        <f>IFERROR(__xludf.DUMMYFUNCTION("""COMPUTED_VALUE"""),2.4158615977502023)</f>
        <v>2.415861598</v>
      </c>
      <c r="AC98" s="31">
        <f>IFERROR(__xludf.DUMMYFUNCTION("""COMPUTED_VALUE"""),328.83045806175704)</f>
        <v>328.8304581</v>
      </c>
      <c r="AD98" s="57">
        <f>IFERROR(__xludf.DUMMYFUNCTION("""COMPUTED_VALUE"""),0.7574733480497439)</f>
        <v>0.757473348</v>
      </c>
      <c r="AE98" s="57">
        <f>IFERROR(__xludf.DUMMYFUNCTION("""COMPUTED_VALUE"""),0.5222276334806176)</f>
        <v>0.5222276335</v>
      </c>
      <c r="AF98" s="57">
        <f>IFERROR(__xludf.DUMMYFUNCTION("""COMPUTED_VALUE"""),1.1922830084902583)</f>
        <v>1.192283008</v>
      </c>
      <c r="AG98" s="57">
        <f>IFERROR(__xludf.DUMMYFUNCTION("""COMPUTED_VALUE"""),2.464160149612994)</f>
        <v>2.46416015</v>
      </c>
      <c r="AH98" s="57">
        <f>IFERROR(__xludf.DUMMYFUNCTION("""COMPUTED_VALUE"""),1.06897527065744)</f>
        <v>1.068975271</v>
      </c>
      <c r="AI98" s="57">
        <f>IFERROR(__xludf.DUMMYFUNCTION("""COMPUTED_VALUE"""),0.8903529165581587)</f>
        <v>0.8903529166</v>
      </c>
      <c r="AJ98" s="57">
        <f>IFERROR(__xludf.DUMMYFUNCTION("""COMPUTED_VALUE"""),0.9797028616941872)</f>
        <v>0.9797028617</v>
      </c>
      <c r="AK98" s="57">
        <f>IFERROR(__xludf.DUMMYFUNCTION("""COMPUTED_VALUE"""),1.326359041918805)</f>
        <v>1.326359042</v>
      </c>
      <c r="AL98" s="57">
        <f>IFERROR(__xludf.DUMMYFUNCTION("""COMPUTED_VALUE"""),1.0758889965467746)</f>
        <v>1.075888997</v>
      </c>
      <c r="AM98" s="57">
        <f>IFERROR(__xludf.DUMMYFUNCTION("""COMPUTED_VALUE"""),1.0106325490848471)</f>
        <v>1.010632549</v>
      </c>
      <c r="AN98" s="57">
        <f>IFERROR(__xludf.DUMMYFUNCTION("""COMPUTED_VALUE"""),0.8126638151738674)</f>
        <v>0.8126638152</v>
      </c>
      <c r="AO98" s="57">
        <f>IFERROR(__xludf.DUMMYFUNCTION("""COMPUTED_VALUE"""),0.7537522669871402)</f>
        <v>0.753752267</v>
      </c>
      <c r="AP98" s="35">
        <f>IFERROR(__xludf.DUMMYFUNCTION("""COMPUTED_VALUE"""),1.1710630263865076)</f>
        <v>1.171063026</v>
      </c>
      <c r="AQ98" s="57">
        <f>IFERROR(__xludf.DUMMYFUNCTION("""COMPUTED_VALUE"""),1.1423212012851285)</f>
        <v>1.142321201</v>
      </c>
      <c r="AR98" s="36" t="b">
        <f>IFERROR(__xludf.DUMMYFUNCTION("""COMPUTED_VALUE"""),TRUE)</f>
        <v>1</v>
      </c>
      <c r="AS98" s="57"/>
      <c r="AT98" s="37"/>
      <c r="AU98" s="30"/>
      <c r="AV98" s="30"/>
      <c r="AW98" s="30"/>
      <c r="AX98" s="30"/>
      <c r="AY98" s="30"/>
      <c r="AZ98" s="30"/>
    </row>
    <row r="99">
      <c r="A99" s="30" t="str">
        <f>IFERROR(__xludf.DUMMYFUNCTION("""COMPUTED_VALUE"""),"Challenger")</f>
        <v>Challenger</v>
      </c>
      <c r="B99" s="30" t="str">
        <f>IFERROR(__xludf.DUMMYFUNCTION("""COMPUTED_VALUE"""),"RSC006244")</f>
        <v>RSC006244</v>
      </c>
      <c r="C99" s="30" t="str">
        <f>IFERROR(__xludf.DUMMYFUNCTION("""COMPUTED_VALUE"""),"Whiite Bear")</f>
        <v>Whiite Bear</v>
      </c>
      <c r="D99" s="31" t="str">
        <f>IFERROR(__xludf.DUMMYFUNCTION("""COMPUTED_VALUE"""),"Panda Bears")</f>
        <v>Panda Bears</v>
      </c>
      <c r="E99" s="31">
        <f>IFERROR(__xludf.DUMMYFUNCTION("""COMPUTED_VALUE"""),56.87972865917693)</f>
        <v>56.87972866</v>
      </c>
      <c r="F99" s="31">
        <f>IFERROR(__xludf.DUMMYFUNCTION("""COMPUTED_VALUE"""),2.5537209513698467)</f>
        <v>2.553720951</v>
      </c>
      <c r="G99" s="31">
        <f>IFERROR(__xludf.DUMMYFUNCTION("""COMPUTED_VALUE"""),48.09118182741014)</f>
        <v>48.09118183</v>
      </c>
      <c r="H99" s="31">
        <f>IFERROR(__xludf.DUMMYFUNCTION("""COMPUTED_VALUE"""),-2.1296113899750595)</f>
        <v>-2.12961139</v>
      </c>
      <c r="I99" s="54">
        <f>IFERROR(__xludf.DUMMYFUNCTION("""COMPUTED_VALUE"""),22.0)</f>
        <v>22</v>
      </c>
      <c r="J99" s="55">
        <f>IFERROR(__xludf.DUMMYFUNCTION("""COMPUTED_VALUE"""),8.0)</f>
        <v>8</v>
      </c>
      <c r="K99" s="54">
        <f>IFERROR(__xludf.DUMMYFUNCTION("""COMPUTED_VALUE"""),14.0)</f>
        <v>14</v>
      </c>
      <c r="L99" s="56">
        <f>IFERROR(__xludf.DUMMYFUNCTION("""COMPUTED_VALUE"""),0.36363636363636365)</f>
        <v>0.3636363636</v>
      </c>
      <c r="M99" s="56">
        <f>IFERROR(__xludf.DUMMYFUNCTION("""COMPUTED_VALUE"""),0.37037037037037035)</f>
        <v>0.3703703704</v>
      </c>
      <c r="N99" s="31">
        <f>IFERROR(__xludf.DUMMYFUNCTION("""COMPUTED_VALUE"""),368.90909090909093)</f>
        <v>368.9090909</v>
      </c>
      <c r="O99" s="57">
        <f>IFERROR(__xludf.DUMMYFUNCTION("""COMPUTED_VALUE"""),0.9090909090909091)</f>
        <v>0.9090909091</v>
      </c>
      <c r="P99" s="57">
        <f>IFERROR(__xludf.DUMMYFUNCTION("""COMPUTED_VALUE"""),0.3181818181818182)</f>
        <v>0.3181818182</v>
      </c>
      <c r="Q99" s="57">
        <f>IFERROR(__xludf.DUMMYFUNCTION("""COMPUTED_VALUE"""),1.4545454545454546)</f>
        <v>1.454545455</v>
      </c>
      <c r="R99" s="57">
        <f>IFERROR(__xludf.DUMMYFUNCTION("""COMPUTED_VALUE"""),2.4545454545454546)</f>
        <v>2.454545455</v>
      </c>
      <c r="S99" s="31">
        <f>IFERROR(__xludf.DUMMYFUNCTION("""COMPUTED_VALUE"""),345.8030303030303)</f>
        <v>345.8030303</v>
      </c>
      <c r="T99" s="57">
        <f>IFERROR(__xludf.DUMMYFUNCTION("""COMPUTED_VALUE"""),0.7575757575757577)</f>
        <v>0.7575757576</v>
      </c>
      <c r="U99" s="57">
        <f>IFERROR(__xludf.DUMMYFUNCTION("""COMPUTED_VALUE"""),0.5)</f>
        <v>0.5</v>
      </c>
      <c r="V99" s="57">
        <f>IFERROR(__xludf.DUMMYFUNCTION("""COMPUTED_VALUE"""),1.303030303030303)</f>
        <v>1.303030303</v>
      </c>
      <c r="W99" s="57">
        <f>IFERROR(__xludf.DUMMYFUNCTION("""COMPUTED_VALUE"""),2.6969696969696972)</f>
        <v>2.696969697</v>
      </c>
      <c r="X99" s="31">
        <f>IFERROR(__xludf.DUMMYFUNCTION("""COMPUTED_VALUE"""),344.0416591931353)</f>
        <v>344.0416592</v>
      </c>
      <c r="Y99" s="57">
        <f>IFERROR(__xludf.DUMMYFUNCTION("""COMPUTED_VALUE"""),0.7739017134430708)</f>
        <v>0.7739017134</v>
      </c>
      <c r="Z99" s="57">
        <f>IFERROR(__xludf.DUMMYFUNCTION("""COMPUTED_VALUE"""),0.5730354636758279)</f>
        <v>0.5730354637</v>
      </c>
      <c r="AA99" s="57">
        <f>IFERROR(__xludf.DUMMYFUNCTION("""COMPUTED_VALUE"""),1.3083849676554296)</f>
        <v>1.308384968</v>
      </c>
      <c r="AB99" s="57">
        <f>IFERROR(__xludf.DUMMYFUNCTION("""COMPUTED_VALUE"""),2.3847461124912197)</f>
        <v>2.384746112</v>
      </c>
      <c r="AC99" s="31">
        <f>IFERROR(__xludf.DUMMYFUNCTION("""COMPUTED_VALUE"""),327.62087182368924)</f>
        <v>327.6208718</v>
      </c>
      <c r="AD99" s="57">
        <f>IFERROR(__xludf.DUMMYFUNCTION("""COMPUTED_VALUE"""),0.7280672088104847)</f>
        <v>0.7280672088</v>
      </c>
      <c r="AE99" s="57">
        <f>IFERROR(__xludf.DUMMYFUNCTION("""COMPUTED_VALUE"""),0.5138926540638518)</f>
        <v>0.5138926541</v>
      </c>
      <c r="AF99" s="57">
        <f>IFERROR(__xludf.DUMMYFUNCTION("""COMPUTED_VALUE"""),1.175945356191749)</f>
        <v>1.175945356</v>
      </c>
      <c r="AG99" s="57">
        <f>IFERROR(__xludf.DUMMYFUNCTION("""COMPUTED_VALUE"""),2.460250133186282)</f>
        <v>2.460250133</v>
      </c>
      <c r="AH99" s="57">
        <f>IFERROR(__xludf.DUMMYFUNCTION("""COMPUTED_VALUE"""),1.1260243856124683)</f>
        <v>1.126024386</v>
      </c>
      <c r="AI99" s="57">
        <f>IFERROR(__xludf.DUMMYFUNCTION("""COMPUTED_VALUE"""),1.2486359749344853)</f>
        <v>1.248635975</v>
      </c>
      <c r="AJ99" s="57">
        <f>IFERROR(__xludf.DUMMYFUNCTION("""COMPUTED_VALUE"""),0.619160082685836)</f>
        <v>0.6191600827</v>
      </c>
      <c r="AK99" s="57">
        <f>IFERROR(__xludf.DUMMYFUNCTION("""COMPUTED_VALUE"""),1.2369158540290857)</f>
        <v>1.236915854</v>
      </c>
      <c r="AL99" s="57">
        <f>IFERROR(__xludf.DUMMYFUNCTION("""COMPUTED_VALUE"""),0.997681260712528)</f>
        <v>0.9976812607</v>
      </c>
      <c r="AM99" s="57">
        <f>IFERROR(__xludf.DUMMYFUNCTION("""COMPUTED_VALUE"""),1.0051196448535502)</f>
        <v>1.005119645</v>
      </c>
      <c r="AN99" s="57">
        <f>IFERROR(__xludf.DUMMYFUNCTION("""COMPUTED_VALUE"""),0.9789043549281222)</f>
        <v>0.9789043549</v>
      </c>
      <c r="AO99" s="57">
        <f>IFERROR(__xludf.DUMMYFUNCTION("""COMPUTED_VALUE"""),0.8725463460719687)</f>
        <v>0.8725463461</v>
      </c>
      <c r="AP99" s="35">
        <f>IFERROR(__xludf.DUMMYFUNCTION("""COMPUTED_VALUE"""),0.9959074242233752)</f>
        <v>0.9959074242</v>
      </c>
      <c r="AQ99" s="57">
        <f>IFERROR(__xludf.DUMMYFUNCTION("""COMPUTED_VALUE"""),1.1309252934067324)</f>
        <v>1.130925293</v>
      </c>
      <c r="AR99" s="36" t="b">
        <f>IFERROR(__xludf.DUMMYFUNCTION("""COMPUTED_VALUE"""),TRUE)</f>
        <v>1</v>
      </c>
      <c r="AS99" s="57"/>
      <c r="AT99" s="37"/>
      <c r="AU99" s="30"/>
      <c r="AV99" s="30"/>
      <c r="AW99" s="30"/>
      <c r="AX99" s="30"/>
      <c r="AY99" s="30"/>
      <c r="AZ99" s="30"/>
    </row>
    <row r="100">
      <c r="A100" s="30" t="str">
        <f>IFERROR(__xludf.DUMMYFUNCTION("""COMPUTED_VALUE"""),"Challenger")</f>
        <v>Challenger</v>
      </c>
      <c r="B100" s="30" t="str">
        <f>IFERROR(__xludf.DUMMYFUNCTION("""COMPUTED_VALUE"""),"RSC006747")</f>
        <v>RSC006747</v>
      </c>
      <c r="C100" s="30" t="str">
        <f>IFERROR(__xludf.DUMMYFUNCTION("""COMPUTED_VALUE"""),"Panda")</f>
        <v>Panda</v>
      </c>
      <c r="D100" s="31" t="str">
        <f>IFERROR(__xludf.DUMMYFUNCTION("""COMPUTED_VALUE"""),"Toucans")</f>
        <v>Toucans</v>
      </c>
      <c r="E100" s="31">
        <f>IFERROR(__xludf.DUMMYFUNCTION("""COMPUTED_VALUE"""),56.46899198769648)</f>
        <v>56.46899199</v>
      </c>
      <c r="F100" s="31">
        <f>IFERROR(__xludf.DUMMYFUNCTION("""COMPUTED_VALUE"""),2.5131289954906784)</f>
        <v>2.513128995</v>
      </c>
      <c r="G100" s="31">
        <f>IFERROR(__xludf.DUMMYFUNCTION("""COMPUTED_VALUE"""),54.43241835308393)</f>
        <v>54.43241835</v>
      </c>
      <c r="H100" s="31">
        <f>IFERROR(__xludf.DUMMYFUNCTION("""COMPUTED_VALUE"""),2.3275427128819235)</f>
        <v>2.327542713</v>
      </c>
      <c r="I100" s="54">
        <f>IFERROR(__xludf.DUMMYFUNCTION("""COMPUTED_VALUE"""),43.0)</f>
        <v>43</v>
      </c>
      <c r="J100" s="55">
        <f>IFERROR(__xludf.DUMMYFUNCTION("""COMPUTED_VALUE"""),25.0)</f>
        <v>25</v>
      </c>
      <c r="K100" s="54">
        <f>IFERROR(__xludf.DUMMYFUNCTION("""COMPUTED_VALUE"""),18.0)</f>
        <v>18</v>
      </c>
      <c r="L100" s="56">
        <f>IFERROR(__xludf.DUMMYFUNCTION("""COMPUTED_VALUE"""),0.5813953488372093)</f>
        <v>0.5813953488</v>
      </c>
      <c r="M100" s="56">
        <f>IFERROR(__xludf.DUMMYFUNCTION("""COMPUTED_VALUE"""),0.3076923076923077)</f>
        <v>0.3076923077</v>
      </c>
      <c r="N100" s="31">
        <f>IFERROR(__xludf.DUMMYFUNCTION("""COMPUTED_VALUE"""),304.27906976744185)</f>
        <v>304.2790698</v>
      </c>
      <c r="O100" s="57">
        <f>IFERROR(__xludf.DUMMYFUNCTION("""COMPUTED_VALUE"""),0.7441860465116279)</f>
        <v>0.7441860465</v>
      </c>
      <c r="P100" s="57">
        <f>IFERROR(__xludf.DUMMYFUNCTION("""COMPUTED_VALUE"""),0.627906976744186)</f>
        <v>0.6279069767</v>
      </c>
      <c r="Q100" s="57">
        <f>IFERROR(__xludf.DUMMYFUNCTION("""COMPUTED_VALUE"""),0.9302325581395349)</f>
        <v>0.9302325581</v>
      </c>
      <c r="R100" s="57">
        <f>IFERROR(__xludf.DUMMYFUNCTION("""COMPUTED_VALUE"""),2.4186046511627906)</f>
        <v>2.418604651</v>
      </c>
      <c r="S100" s="31">
        <f>IFERROR(__xludf.DUMMYFUNCTION("""COMPUTED_VALUE"""),313.1395348837209)</f>
        <v>313.1395349</v>
      </c>
      <c r="T100" s="57">
        <f>IFERROR(__xludf.DUMMYFUNCTION("""COMPUTED_VALUE"""),0.7131782945736435)</f>
        <v>0.7131782946</v>
      </c>
      <c r="U100" s="57">
        <f>IFERROR(__xludf.DUMMYFUNCTION("""COMPUTED_VALUE"""),0.4883720930232556)</f>
        <v>0.488372093</v>
      </c>
      <c r="V100" s="57">
        <f>IFERROR(__xludf.DUMMYFUNCTION("""COMPUTED_VALUE"""),1.1240310077519382)</f>
        <v>1.124031008</v>
      </c>
      <c r="W100" s="57">
        <f>IFERROR(__xludf.DUMMYFUNCTION("""COMPUTED_VALUE"""),2.2403100775193803)</f>
        <v>2.240310078</v>
      </c>
      <c r="X100" s="31">
        <f>IFERROR(__xludf.DUMMYFUNCTION("""COMPUTED_VALUE"""),324.66730578318106)</f>
        <v>324.6673058</v>
      </c>
      <c r="Y100" s="57">
        <f>IFERROR(__xludf.DUMMYFUNCTION("""COMPUTED_VALUE"""),0.7400106183705762)</f>
        <v>0.7400106184</v>
      </c>
      <c r="Z100" s="57">
        <f>IFERROR(__xludf.DUMMYFUNCTION("""COMPUTED_VALUE"""),0.5063142096319481)</f>
        <v>0.5063142096</v>
      </c>
      <c r="AA100" s="57">
        <f>IFERROR(__xludf.DUMMYFUNCTION("""COMPUTED_VALUE"""),1.1417605906417918)</f>
        <v>1.141760591</v>
      </c>
      <c r="AB100" s="57">
        <f>IFERROR(__xludf.DUMMYFUNCTION("""COMPUTED_VALUE"""),2.4332703334109143)</f>
        <v>2.433270333</v>
      </c>
      <c r="AC100" s="31">
        <f>IFERROR(__xludf.DUMMYFUNCTION("""COMPUTED_VALUE"""),330.7491632699525)</f>
        <v>330.7491633</v>
      </c>
      <c r="AD100" s="57">
        <f>IFERROR(__xludf.DUMMYFUNCTION("""COMPUTED_VALUE"""),0.7624902540800962)</f>
        <v>0.7624902541</v>
      </c>
      <c r="AE100" s="57">
        <f>IFERROR(__xludf.DUMMYFUNCTION("""COMPUTED_VALUE"""),0.5295006777341121)</f>
        <v>0.5295006777</v>
      </c>
      <c r="AF100" s="57">
        <f>IFERROR(__xludf.DUMMYFUNCTION("""COMPUTED_VALUE"""),1.197151766598741)</f>
        <v>1.197151767</v>
      </c>
      <c r="AG100" s="57">
        <f>IFERROR(__xludf.DUMMYFUNCTION("""COMPUTED_VALUE"""),2.3762066022748174)</f>
        <v>2.376206602</v>
      </c>
      <c r="AH100" s="57">
        <f>IFERROR(__xludf.DUMMYFUNCTION("""COMPUTED_VALUE"""),0.9199692805242076)</f>
        <v>0.9199692805</v>
      </c>
      <c r="AI100" s="57">
        <f>IFERROR(__xludf.DUMMYFUNCTION("""COMPUTED_VALUE"""),0.9759941750461436)</f>
        <v>0.975994175</v>
      </c>
      <c r="AJ100" s="57">
        <f>IFERROR(__xludf.DUMMYFUNCTION("""COMPUTED_VALUE"""),1.1858473523229152)</f>
        <v>1.185847352</v>
      </c>
      <c r="AK100" s="57">
        <f>IFERROR(__xludf.DUMMYFUNCTION("""COMPUTED_VALUE"""),0.7770381200559414)</f>
        <v>0.7770381201</v>
      </c>
      <c r="AL100" s="57">
        <f>IFERROR(__xludf.DUMMYFUNCTION("""COMPUTED_VALUE"""),1.0178427451751815)</f>
        <v>1.017842745</v>
      </c>
      <c r="AM100" s="57">
        <f>IFERROR(__xludf.DUMMYFUNCTION("""COMPUTED_VALUE"""),0.9644935886856478)</f>
        <v>0.9644935887</v>
      </c>
      <c r="AN100" s="57">
        <f>IFERROR(__xludf.DUMMYFUNCTION("""COMPUTED_VALUE"""),0.9637406232683328)</f>
        <v>0.9637406233</v>
      </c>
      <c r="AO100" s="57">
        <f>IFERROR(__xludf.DUMMYFUNCTION("""COMPUTED_VALUE"""),0.9645632765832605)</f>
        <v>0.9645632766</v>
      </c>
      <c r="AP100" s="35">
        <f>IFERROR(__xludf.DUMMYFUNCTION("""COMPUTED_VALUE"""),0.984471715843785)</f>
        <v>0.9844717158</v>
      </c>
      <c r="AQ100" s="57">
        <f>IFERROR(__xludf.DUMMYFUNCTION("""COMPUTED_VALUE"""),0.920699211574636)</f>
        <v>0.9206992116</v>
      </c>
      <c r="AR100" s="36" t="b">
        <f>IFERROR(__xludf.DUMMYFUNCTION("""COMPUTED_VALUE"""),TRUE)</f>
        <v>1</v>
      </c>
      <c r="AS100" s="57"/>
      <c r="AT100" s="37"/>
      <c r="AU100" s="30"/>
      <c r="AV100" s="30"/>
      <c r="AW100" s="30"/>
      <c r="AX100" s="30"/>
      <c r="AY100" s="30"/>
      <c r="AZ100" s="30"/>
    </row>
    <row r="101">
      <c r="A101" s="30" t="str">
        <f>IFERROR(__xludf.DUMMYFUNCTION("""COMPUTED_VALUE"""),"Challenger")</f>
        <v>Challenger</v>
      </c>
      <c r="B101" s="30" t="str">
        <f>IFERROR(__xludf.DUMMYFUNCTION("""COMPUTED_VALUE"""),"RSC004028")</f>
        <v>RSC004028</v>
      </c>
      <c r="C101" s="30" t="str">
        <f>IFERROR(__xludf.DUMMYFUNCTION("""COMPUTED_VALUE"""),"parker on 3 legs")</f>
        <v>parker on 3 legs</v>
      </c>
      <c r="D101" s="31" t="str">
        <f>IFERROR(__xludf.DUMMYFUNCTION("""COMPUTED_VALUE"""),"Solstice Sake")</f>
        <v>Solstice Sake</v>
      </c>
      <c r="E101" s="31">
        <f>IFERROR(__xludf.DUMMYFUNCTION("""COMPUTED_VALUE"""),55.787144929643944)</f>
        <v>55.78714493</v>
      </c>
      <c r="F101" s="31">
        <f>IFERROR(__xludf.DUMMYFUNCTION("""COMPUTED_VALUE"""),2.448167945117323)</f>
        <v>2.448167945</v>
      </c>
      <c r="G101" s="31">
        <f>IFERROR(__xludf.DUMMYFUNCTION("""COMPUTED_VALUE"""),64.70401068800342)</f>
        <v>64.70401069</v>
      </c>
      <c r="H101" s="31">
        <f>IFERROR(__xludf.DUMMYFUNCTION("""COMPUTED_VALUE"""),3.5943772821438102)</f>
        <v>3.594377282</v>
      </c>
      <c r="I101" s="54">
        <f>IFERROR(__xludf.DUMMYFUNCTION("""COMPUTED_VALUE"""),33.0)</f>
        <v>33</v>
      </c>
      <c r="J101" s="55">
        <f>IFERROR(__xludf.DUMMYFUNCTION("""COMPUTED_VALUE"""),17.0)</f>
        <v>17</v>
      </c>
      <c r="K101" s="54">
        <f>IFERROR(__xludf.DUMMYFUNCTION("""COMPUTED_VALUE"""),16.0)</f>
        <v>16</v>
      </c>
      <c r="L101" s="56">
        <f>IFERROR(__xludf.DUMMYFUNCTION("""COMPUTED_VALUE"""),0.5151515151515151)</f>
        <v>0.5151515152</v>
      </c>
      <c r="M101" s="56">
        <f>IFERROR(__xludf.DUMMYFUNCTION("""COMPUTED_VALUE"""),0.28205128205128205)</f>
        <v>0.2820512821</v>
      </c>
      <c r="N101" s="31">
        <f>IFERROR(__xludf.DUMMYFUNCTION("""COMPUTED_VALUE"""),378.0)</f>
        <v>378</v>
      </c>
      <c r="O101" s="57">
        <f>IFERROR(__xludf.DUMMYFUNCTION("""COMPUTED_VALUE"""),0.6666666666666666)</f>
        <v>0.6666666667</v>
      </c>
      <c r="P101" s="57">
        <f>IFERROR(__xludf.DUMMYFUNCTION("""COMPUTED_VALUE"""),0.6363636363636364)</f>
        <v>0.6363636364</v>
      </c>
      <c r="Q101" s="57">
        <f>IFERROR(__xludf.DUMMYFUNCTION("""COMPUTED_VALUE"""),1.6666666666666667)</f>
        <v>1.666666667</v>
      </c>
      <c r="R101" s="57">
        <f>IFERROR(__xludf.DUMMYFUNCTION("""COMPUTED_VALUE"""),2.3636363636363638)</f>
        <v>2.363636364</v>
      </c>
      <c r="S101" s="31">
        <f>IFERROR(__xludf.DUMMYFUNCTION("""COMPUTED_VALUE"""),323.2424242424243)</f>
        <v>323.2424242</v>
      </c>
      <c r="T101" s="57">
        <f>IFERROR(__xludf.DUMMYFUNCTION("""COMPUTED_VALUE"""),0.7575757575757575)</f>
        <v>0.7575757576</v>
      </c>
      <c r="U101" s="57">
        <f>IFERROR(__xludf.DUMMYFUNCTION("""COMPUTED_VALUE"""),0.48484848484848486)</f>
        <v>0.4848484848</v>
      </c>
      <c r="V101" s="57">
        <f>IFERROR(__xludf.DUMMYFUNCTION("""COMPUTED_VALUE"""),1.1111111111111112)</f>
        <v>1.111111111</v>
      </c>
      <c r="W101" s="57">
        <f>IFERROR(__xludf.DUMMYFUNCTION("""COMPUTED_VALUE"""),2.3939393939393945)</f>
        <v>2.393939394</v>
      </c>
      <c r="X101" s="31">
        <f>IFERROR(__xludf.DUMMYFUNCTION("""COMPUTED_VALUE"""),329.6342140017796)</f>
        <v>329.634214</v>
      </c>
      <c r="Y101" s="57">
        <f>IFERROR(__xludf.DUMMYFUNCTION("""COMPUTED_VALUE"""),0.7524082484143165)</f>
        <v>0.7524082484</v>
      </c>
      <c r="Z101" s="57">
        <f>IFERROR(__xludf.DUMMYFUNCTION("""COMPUTED_VALUE"""),0.5217853289449836)</f>
        <v>0.5217853289</v>
      </c>
      <c r="AA101" s="57">
        <f>IFERROR(__xludf.DUMMYFUNCTION("""COMPUTED_VALUE"""),1.200569138430247)</f>
        <v>1.200569138</v>
      </c>
      <c r="AB101" s="57">
        <f>IFERROR(__xludf.DUMMYFUNCTION("""COMPUTED_VALUE"""),2.4484669840777658)</f>
        <v>2.448466984</v>
      </c>
      <c r="AC101" s="31">
        <f>IFERROR(__xludf.DUMMYFUNCTION("""COMPUTED_VALUE"""),344.40411487788396)</f>
        <v>344.4041149</v>
      </c>
      <c r="AD101" s="57">
        <f>IFERROR(__xludf.DUMMYFUNCTION("""COMPUTED_VALUE"""),0.8196803139276483)</f>
        <v>0.8196803139</v>
      </c>
      <c r="AE101" s="57">
        <f>IFERROR(__xludf.DUMMYFUNCTION("""COMPUTED_VALUE"""),0.5629885804885392)</f>
        <v>0.5629885805</v>
      </c>
      <c r="AF101" s="57">
        <f>IFERROR(__xludf.DUMMYFUNCTION("""COMPUTED_VALUE"""),1.230125598385319)</f>
        <v>1.230125598</v>
      </c>
      <c r="AG101" s="57">
        <f>IFERROR(__xludf.DUMMYFUNCTION("""COMPUTED_VALUE"""),2.5040694798523573)</f>
        <v>2.50406948</v>
      </c>
      <c r="AH101" s="57">
        <f>IFERROR(__xludf.DUMMYFUNCTION("""COMPUTED_VALUE"""),1.0975478621503352)</f>
        <v>1.097547862</v>
      </c>
      <c r="AI101" s="57">
        <f>IFERROR(__xludf.DUMMYFUNCTION("""COMPUTED_VALUE"""),0.8133252139144482)</f>
        <v>0.8133252139</v>
      </c>
      <c r="AJ101" s="57">
        <f>IFERROR(__xludf.DUMMYFUNCTION("""COMPUTED_VALUE"""),1.1303313396009298)</f>
        <v>1.13033134</v>
      </c>
      <c r="AK101" s="57">
        <f>IFERROR(__xludf.DUMMYFUNCTION("""COMPUTED_VALUE"""),1.354875200430231)</f>
        <v>1.3548752</v>
      </c>
      <c r="AL101" s="57">
        <f>IFERROR(__xludf.DUMMYFUNCTION("""COMPUTED_VALUE"""),0.9439180432707986)</f>
        <v>0.9439180433</v>
      </c>
      <c r="AM101" s="57">
        <f>IFERROR(__xludf.DUMMYFUNCTION("""COMPUTED_VALUE"""),0.9806094468114868)</f>
        <v>0.9806094468</v>
      </c>
      <c r="AN101" s="57">
        <f>IFERROR(__xludf.DUMMYFUNCTION("""COMPUTED_VALUE"""),1.006867959212743)</f>
        <v>1.006867959</v>
      </c>
      <c r="AO101" s="57">
        <f>IFERROR(__xludf.DUMMYFUNCTION("""COMPUTED_VALUE"""),0.9292106503431542)</f>
        <v>0.9292106503</v>
      </c>
      <c r="AP101" s="35">
        <f>IFERROR(__xludf.DUMMYFUNCTION("""COMPUTED_VALUE"""),0.9254869840848126)</f>
        <v>0.9254869841</v>
      </c>
      <c r="AQ101" s="57">
        <f>IFERROR(__xludf.DUMMYFUNCTION("""COMPUTED_VALUE"""),0.9777299058990948)</f>
        <v>0.9777299059</v>
      </c>
      <c r="AR101" s="36" t="b">
        <f>IFERROR(__xludf.DUMMYFUNCTION("""COMPUTED_VALUE"""),TRUE)</f>
        <v>1</v>
      </c>
      <c r="AS101" s="57"/>
      <c r="AT101" s="37"/>
      <c r="AU101" s="30"/>
      <c r="AV101" s="30"/>
      <c r="AW101" s="30"/>
      <c r="AX101" s="30"/>
      <c r="AY101" s="30"/>
      <c r="AZ101" s="30"/>
    </row>
    <row r="102">
      <c r="A102" s="30" t="str">
        <f>IFERROR(__xludf.DUMMYFUNCTION("""COMPUTED_VALUE"""),"Challenger")</f>
        <v>Challenger</v>
      </c>
      <c r="B102" s="30" t="str">
        <f>IFERROR(__xludf.DUMMYFUNCTION("""COMPUTED_VALUE"""),"RSC006092")</f>
        <v>RSC006092</v>
      </c>
      <c r="C102" s="30" t="str">
        <f>IFERROR(__xludf.DUMMYFUNCTION("""COMPUTED_VALUE"""),"Mickstery")</f>
        <v>Mickstery</v>
      </c>
      <c r="D102" s="31" t="str">
        <f>IFERROR(__xludf.DUMMYFUNCTION("""COMPUTED_VALUE"""),"Void")</f>
        <v>Void</v>
      </c>
      <c r="E102" s="31">
        <f>IFERROR(__xludf.DUMMYFUNCTION("""COMPUTED_VALUE"""),55.70472279726526)</f>
        <v>55.7047228</v>
      </c>
      <c r="F102" s="31">
        <f>IFERROR(__xludf.DUMMYFUNCTION("""COMPUTED_VALUE"""),2.440514350747396)</f>
        <v>2.440514351</v>
      </c>
      <c r="G102" s="31">
        <f>IFERROR(__xludf.DUMMYFUNCTION("""COMPUTED_VALUE"""),45.62810755526354)</f>
        <v>45.62810756</v>
      </c>
      <c r="H102" s="31">
        <f>IFERROR(__xludf.DUMMYFUNCTION("""COMPUTED_VALUE"""),-2.322402117709535)</f>
        <v>-2.322402118</v>
      </c>
      <c r="I102" s="54">
        <f>IFERROR(__xludf.DUMMYFUNCTION("""COMPUTED_VALUE"""),31.0)</f>
        <v>31</v>
      </c>
      <c r="J102" s="55">
        <f>IFERROR(__xludf.DUMMYFUNCTION("""COMPUTED_VALUE"""),17.0)</f>
        <v>17</v>
      </c>
      <c r="K102" s="54">
        <f>IFERROR(__xludf.DUMMYFUNCTION("""COMPUTED_VALUE"""),14.0)</f>
        <v>14</v>
      </c>
      <c r="L102" s="56">
        <f>IFERROR(__xludf.DUMMYFUNCTION("""COMPUTED_VALUE"""),0.5483870967741935)</f>
        <v>0.5483870968</v>
      </c>
      <c r="M102" s="56">
        <f>IFERROR(__xludf.DUMMYFUNCTION("""COMPUTED_VALUE"""),0.3428571428571428)</f>
        <v>0.3428571429</v>
      </c>
      <c r="N102" s="31">
        <f>IFERROR(__xludf.DUMMYFUNCTION("""COMPUTED_VALUE"""),334.06451612903226)</f>
        <v>334.0645161</v>
      </c>
      <c r="O102" s="57">
        <f>IFERROR(__xludf.DUMMYFUNCTION("""COMPUTED_VALUE"""),0.7741935483870968)</f>
        <v>0.7741935484</v>
      </c>
      <c r="P102" s="57">
        <f>IFERROR(__xludf.DUMMYFUNCTION("""COMPUTED_VALUE"""),0.6451612903225806)</f>
        <v>0.6451612903</v>
      </c>
      <c r="Q102" s="57">
        <f>IFERROR(__xludf.DUMMYFUNCTION("""COMPUTED_VALUE"""),1.2580645161290323)</f>
        <v>1.258064516</v>
      </c>
      <c r="R102" s="57">
        <f>IFERROR(__xludf.DUMMYFUNCTION("""COMPUTED_VALUE"""),2.2580645161290325)</f>
        <v>2.258064516</v>
      </c>
      <c r="S102" s="31">
        <f>IFERROR(__xludf.DUMMYFUNCTION("""COMPUTED_VALUE"""),348.7849462365593)</f>
        <v>348.7849462</v>
      </c>
      <c r="T102" s="57">
        <f>IFERROR(__xludf.DUMMYFUNCTION("""COMPUTED_VALUE"""),0.8387096774193549)</f>
        <v>0.8387096774</v>
      </c>
      <c r="U102" s="57">
        <f>IFERROR(__xludf.DUMMYFUNCTION("""COMPUTED_VALUE"""),0.5698924731182795)</f>
        <v>0.5698924731</v>
      </c>
      <c r="V102" s="57">
        <f>IFERROR(__xludf.DUMMYFUNCTION("""COMPUTED_VALUE"""),1.075268817204301)</f>
        <v>1.075268817</v>
      </c>
      <c r="W102" s="57">
        <f>IFERROR(__xludf.DUMMYFUNCTION("""COMPUTED_VALUE"""),2.6666666666666665)</f>
        <v>2.666666667</v>
      </c>
      <c r="X102" s="31">
        <f>IFERROR(__xludf.DUMMYFUNCTION("""COMPUTED_VALUE"""),339.5026756859896)</f>
        <v>339.5026757</v>
      </c>
      <c r="Y102" s="57">
        <f>IFERROR(__xludf.DUMMYFUNCTION("""COMPUTED_VALUE"""),0.7913458553819617)</f>
        <v>0.7913458554</v>
      </c>
      <c r="Z102" s="57">
        <f>IFERROR(__xludf.DUMMYFUNCTION("""COMPUTED_VALUE"""),0.5494506884384112)</f>
        <v>0.5494506884</v>
      </c>
      <c r="AA102" s="57">
        <f>IFERROR(__xludf.DUMMYFUNCTION("""COMPUTED_VALUE"""),1.2196210145547959)</f>
        <v>1.219621015</v>
      </c>
      <c r="AB102" s="57">
        <f>IFERROR(__xludf.DUMMYFUNCTION("""COMPUTED_VALUE"""),2.4820859345093447)</f>
        <v>2.482085935</v>
      </c>
      <c r="AC102" s="31">
        <f>IFERROR(__xludf.DUMMYFUNCTION("""COMPUTED_VALUE"""),334.8087386414041)</f>
        <v>334.8087386</v>
      </c>
      <c r="AD102" s="57">
        <f>IFERROR(__xludf.DUMMYFUNCTION("""COMPUTED_VALUE"""),0.754792622175645)</f>
        <v>0.7547926222</v>
      </c>
      <c r="AE102" s="57">
        <f>IFERROR(__xludf.DUMMYFUNCTION("""COMPUTED_VALUE"""),0.5185499138884022)</f>
        <v>0.5185499139</v>
      </c>
      <c r="AF102" s="57">
        <f>IFERROR(__xludf.DUMMYFUNCTION("""COMPUTED_VALUE"""),1.2337091819616253)</f>
        <v>1.233709182</v>
      </c>
      <c r="AG102" s="57">
        <f>IFERROR(__xludf.DUMMYFUNCTION("""COMPUTED_VALUE"""),2.4287361317244023)</f>
        <v>2.428736132</v>
      </c>
      <c r="AH102" s="57">
        <f>IFERROR(__xludf.DUMMYFUNCTION("""COMPUTED_VALUE"""),0.9977771711831902)</f>
        <v>0.9977771712</v>
      </c>
      <c r="AI102" s="57">
        <f>IFERROR(__xludf.DUMMYFUNCTION("""COMPUTED_VALUE"""),1.0257036510976083)</f>
        <v>1.025703651</v>
      </c>
      <c r="AJ102" s="57">
        <f>IFERROR(__xludf.DUMMYFUNCTION("""COMPUTED_VALUE"""),1.2441642994109658)</f>
        <v>1.244164299</v>
      </c>
      <c r="AK102" s="57">
        <f>IFERROR(__xludf.DUMMYFUNCTION("""COMPUTED_VALUE"""),1.0197415521611677)</f>
        <v>1.019741552</v>
      </c>
      <c r="AL102" s="57">
        <f>IFERROR(__xludf.DUMMYFUNCTION("""COMPUTED_VALUE"""),0.9297282181600383)</f>
        <v>0.9297282182</v>
      </c>
      <c r="AM102" s="57">
        <f>IFERROR(__xludf.DUMMYFUNCTION("""COMPUTED_VALUE"""),1.0273407876147491)</f>
        <v>1.027340788</v>
      </c>
      <c r="AN102" s="57">
        <f>IFERROR(__xludf.DUMMYFUNCTION("""COMPUTED_VALUE"""),1.0598522399722836)</f>
        <v>1.05985224</v>
      </c>
      <c r="AO102" s="57">
        <f>IFERROR(__xludf.DUMMYFUNCTION("""COMPUTED_VALUE"""),1.0372040387063046)</f>
        <v>1.037204039</v>
      </c>
      <c r="AP102" s="35">
        <f>IFERROR(__xludf.DUMMYFUNCTION("""COMPUTED_VALUE"""),0.8816417595074085)</f>
        <v>0.8816417595</v>
      </c>
      <c r="AQ102" s="57">
        <f>IFERROR(__xludf.DUMMYFUNCTION("""COMPUTED_VALUE"""),1.0743651658433855)</f>
        <v>1.074365166</v>
      </c>
      <c r="AR102" s="36" t="b">
        <f>IFERROR(__xludf.DUMMYFUNCTION("""COMPUTED_VALUE"""),TRUE)</f>
        <v>1</v>
      </c>
      <c r="AS102" s="57"/>
      <c r="AT102" s="37"/>
      <c r="AU102" s="30"/>
      <c r="AV102" s="30"/>
      <c r="AW102" s="30"/>
      <c r="AX102" s="30"/>
      <c r="AY102" s="30"/>
      <c r="AZ102" s="30"/>
    </row>
    <row r="103">
      <c r="A103" s="30" t="str">
        <f>IFERROR(__xludf.DUMMYFUNCTION("""COMPUTED_VALUE"""),"Challenger")</f>
        <v>Challenger</v>
      </c>
      <c r="B103" s="30" t="str">
        <f>IFERROR(__xludf.DUMMYFUNCTION("""COMPUTED_VALUE"""),"RSC003424")</f>
        <v>RSC003424</v>
      </c>
      <c r="C103" s="30" t="str">
        <f>IFERROR(__xludf.DUMMYFUNCTION("""COMPUTED_VALUE"""),"Fryder")</f>
        <v>Fryder</v>
      </c>
      <c r="D103" s="31" t="str">
        <f>IFERROR(__xludf.DUMMYFUNCTION("""COMPUTED_VALUE"""),"Metal")</f>
        <v>Metal</v>
      </c>
      <c r="E103" s="31">
        <f>IFERROR(__xludf.DUMMYFUNCTION("""COMPUTED_VALUE"""),54.93618769420783)</f>
        <v>54.93618769</v>
      </c>
      <c r="F103" s="31">
        <f>IFERROR(__xludf.DUMMYFUNCTION("""COMPUTED_VALUE"""),2.371136565844816)</f>
        <v>2.371136566</v>
      </c>
      <c r="G103" s="31">
        <f>IFERROR(__xludf.DUMMYFUNCTION("""COMPUTED_VALUE"""),58.896463627916006)</f>
        <v>58.89646363</v>
      </c>
      <c r="H103" s="31">
        <f>IFERROR(__xludf.DUMMYFUNCTION("""COMPUTED_VALUE"""),2.7702883708861785)</f>
        <v>2.770288371</v>
      </c>
      <c r="I103" s="54">
        <f>IFERROR(__xludf.DUMMYFUNCTION("""COMPUTED_VALUE"""),37.0)</f>
        <v>37</v>
      </c>
      <c r="J103" s="55">
        <f>IFERROR(__xludf.DUMMYFUNCTION("""COMPUTED_VALUE"""),16.0)</f>
        <v>16</v>
      </c>
      <c r="K103" s="54">
        <f>IFERROR(__xludf.DUMMYFUNCTION("""COMPUTED_VALUE"""),21.0)</f>
        <v>21</v>
      </c>
      <c r="L103" s="56">
        <f>IFERROR(__xludf.DUMMYFUNCTION("""COMPUTED_VALUE"""),0.43243243243243246)</f>
        <v>0.4324324324</v>
      </c>
      <c r="M103" s="56">
        <f>IFERROR(__xludf.DUMMYFUNCTION("""COMPUTED_VALUE"""),0.3409090909090909)</f>
        <v>0.3409090909</v>
      </c>
      <c r="N103" s="31">
        <f>IFERROR(__xludf.DUMMYFUNCTION("""COMPUTED_VALUE"""),354.4054054054054)</f>
        <v>354.4054054</v>
      </c>
      <c r="O103" s="57">
        <f>IFERROR(__xludf.DUMMYFUNCTION("""COMPUTED_VALUE"""),0.8108108108108109)</f>
        <v>0.8108108108</v>
      </c>
      <c r="P103" s="57">
        <f>IFERROR(__xludf.DUMMYFUNCTION("""COMPUTED_VALUE"""),0.5675675675675675)</f>
        <v>0.5675675676</v>
      </c>
      <c r="Q103" s="57">
        <f>IFERROR(__xludf.DUMMYFUNCTION("""COMPUTED_VALUE"""),1.3783783783783783)</f>
        <v>1.378378378</v>
      </c>
      <c r="R103" s="57">
        <f>IFERROR(__xludf.DUMMYFUNCTION("""COMPUTED_VALUE"""),2.3783783783783785)</f>
        <v>2.378378378</v>
      </c>
      <c r="S103" s="31">
        <f>IFERROR(__xludf.DUMMYFUNCTION("""COMPUTED_VALUE"""),331.73873873873873)</f>
        <v>331.7387387</v>
      </c>
      <c r="T103" s="57">
        <f>IFERROR(__xludf.DUMMYFUNCTION("""COMPUTED_VALUE"""),0.8018018018018018)</f>
        <v>0.8018018018</v>
      </c>
      <c r="U103" s="57">
        <f>IFERROR(__xludf.DUMMYFUNCTION("""COMPUTED_VALUE"""),0.5495495495495494)</f>
        <v>0.5495495495</v>
      </c>
      <c r="V103" s="57">
        <f>IFERROR(__xludf.DUMMYFUNCTION("""COMPUTED_VALUE"""),1.1261261261261262)</f>
        <v>1.126126126</v>
      </c>
      <c r="W103" s="57">
        <f>IFERROR(__xludf.DUMMYFUNCTION("""COMPUTED_VALUE"""),2.3963963963963963)</f>
        <v>2.396396396</v>
      </c>
      <c r="X103" s="31">
        <f>IFERROR(__xludf.DUMMYFUNCTION("""COMPUTED_VALUE"""),326.1862820935546)</f>
        <v>326.1862821</v>
      </c>
      <c r="Y103" s="57">
        <f>IFERROR(__xludf.DUMMYFUNCTION("""COMPUTED_VALUE"""),0.737716042100685)</f>
        <v>0.7377160421</v>
      </c>
      <c r="Z103" s="57">
        <f>IFERROR(__xludf.DUMMYFUNCTION("""COMPUTED_VALUE"""),0.5042847625458091)</f>
        <v>0.5042847625</v>
      </c>
      <c r="AA103" s="57">
        <f>IFERROR(__xludf.DUMMYFUNCTION("""COMPUTED_VALUE"""),1.2176962594160217)</f>
        <v>1.217696259</v>
      </c>
      <c r="AB103" s="57">
        <f>IFERROR(__xludf.DUMMYFUNCTION("""COMPUTED_VALUE"""),2.38990201892572)</f>
        <v>2.389902019</v>
      </c>
      <c r="AC103" s="31">
        <f>IFERROR(__xludf.DUMMYFUNCTION("""COMPUTED_VALUE"""),340.990314426721)</f>
        <v>340.9903144</v>
      </c>
      <c r="AD103" s="57">
        <f>IFERROR(__xludf.DUMMYFUNCTION("""COMPUTED_VALUE"""),0.8047398104383818)</f>
        <v>0.8047398104</v>
      </c>
      <c r="AE103" s="57">
        <f>IFERROR(__xludf.DUMMYFUNCTION("""COMPUTED_VALUE"""),0.5553694372913504)</f>
        <v>0.5553694373</v>
      </c>
      <c r="AF103" s="57">
        <f>IFERROR(__xludf.DUMMYFUNCTION("""COMPUTED_VALUE"""),1.213614576178716)</f>
        <v>1.213614576</v>
      </c>
      <c r="AG103" s="57">
        <f>IFERROR(__xludf.DUMMYFUNCTION("""COMPUTED_VALUE"""),2.4951725644780987)</f>
        <v>2.495172564</v>
      </c>
      <c r="AH103" s="57">
        <f>IFERROR(__xludf.DUMMYFUNCTION("""COMPUTED_VALUE"""),1.0393415601884122)</f>
        <v>1.03934156</v>
      </c>
      <c r="AI103" s="57">
        <f>IFERROR(__xludf.DUMMYFUNCTION("""COMPUTED_VALUE"""),1.0075440537347367)</f>
        <v>1.007544054</v>
      </c>
      <c r="AJ103" s="57">
        <f>IFERROR(__xludf.DUMMYFUNCTION("""COMPUTED_VALUE"""),1.0219639927175503)</f>
        <v>1.021963993</v>
      </c>
      <c r="AK103" s="57">
        <f>IFERROR(__xludf.DUMMYFUNCTION("""COMPUTED_VALUE"""),1.1357628735133116)</f>
        <v>1.135762874</v>
      </c>
      <c r="AL103" s="57">
        <f>IFERROR(__xludf.DUMMYFUNCTION("""COMPUTED_VALUE"""),0.9531919404042705)</f>
        <v>0.9531919404</v>
      </c>
      <c r="AM103" s="57">
        <f>IFERROR(__xludf.DUMMYFUNCTION("""COMPUTED_VALUE"""),1.0170223487313657)</f>
        <v>1.017022349</v>
      </c>
      <c r="AN103" s="57">
        <f>IFERROR(__xludf.DUMMYFUNCTION("""COMPUTED_VALUE"""),1.0868704976492436)</f>
        <v>1.086870498</v>
      </c>
      <c r="AO103" s="57">
        <f>IFERROR(__xludf.DUMMYFUNCTION("""COMPUTED_VALUE"""),1.089760370262285)</f>
        <v>1.08976037</v>
      </c>
      <c r="AP103" s="35">
        <f>IFERROR(__xludf.DUMMYFUNCTION("""COMPUTED_VALUE"""),0.9248005136077116)</f>
        <v>0.9248005136</v>
      </c>
      <c r="AQ103" s="57">
        <f>IFERROR(__xludf.DUMMYFUNCTION("""COMPUTED_VALUE"""),1.0027174241534789)</f>
        <v>1.002717424</v>
      </c>
      <c r="AR103" s="36" t="b">
        <f>IFERROR(__xludf.DUMMYFUNCTION("""COMPUTED_VALUE"""),TRUE)</f>
        <v>1</v>
      </c>
      <c r="AS103" s="57"/>
      <c r="AT103" s="37"/>
      <c r="AU103" s="30"/>
      <c r="AV103" s="30"/>
      <c r="AW103" s="30"/>
      <c r="AX103" s="30"/>
      <c r="AY103" s="30"/>
      <c r="AZ103" s="30"/>
    </row>
    <row r="104">
      <c r="A104" s="30" t="str">
        <f>IFERROR(__xludf.DUMMYFUNCTION("""COMPUTED_VALUE"""),"Challenger")</f>
        <v>Challenger</v>
      </c>
      <c r="B104" s="30" t="str">
        <f>IFERROR(__xludf.DUMMYFUNCTION("""COMPUTED_VALUE"""),"RSC008009")</f>
        <v>RSC008009</v>
      </c>
      <c r="C104" s="30" t="str">
        <f>IFERROR(__xludf.DUMMYFUNCTION("""COMPUTED_VALUE"""),"Daddy Driz")</f>
        <v>Daddy Driz</v>
      </c>
      <c r="D104" s="31" t="str">
        <f>IFERROR(__xludf.DUMMYFUNCTION("""COMPUTED_VALUE"""),"Toucans")</f>
        <v>Toucans</v>
      </c>
      <c r="E104" s="31">
        <f>IFERROR(__xludf.DUMMYFUNCTION("""COMPUTED_VALUE"""),54.765960936019056)</f>
        <v>54.76596094</v>
      </c>
      <c r="F104" s="31">
        <f>IFERROR(__xludf.DUMMYFUNCTION("""COMPUTED_VALUE"""),2.3562430388764146)</f>
        <v>2.356243039</v>
      </c>
      <c r="G104" s="31">
        <f>IFERROR(__xludf.DUMMYFUNCTION("""COMPUTED_VALUE"""),59.92396486348003)</f>
        <v>59.92396486</v>
      </c>
      <c r="H104" s="31">
        <f>IFERROR(__xludf.DUMMYFUNCTION("""COMPUTED_VALUE"""),2.8926899079626534)</f>
        <v>2.892689908</v>
      </c>
      <c r="I104" s="54">
        <f>IFERROR(__xludf.DUMMYFUNCTION("""COMPUTED_VALUE"""),39.0)</f>
        <v>39</v>
      </c>
      <c r="J104" s="55">
        <f>IFERROR(__xludf.DUMMYFUNCTION("""COMPUTED_VALUE"""),22.0)</f>
        <v>22</v>
      </c>
      <c r="K104" s="54">
        <f>IFERROR(__xludf.DUMMYFUNCTION("""COMPUTED_VALUE"""),17.0)</f>
        <v>17</v>
      </c>
      <c r="L104" s="56">
        <f>IFERROR(__xludf.DUMMYFUNCTION("""COMPUTED_VALUE"""),0.5641025641025641)</f>
        <v>0.5641025641</v>
      </c>
      <c r="M104" s="56">
        <f>IFERROR(__xludf.DUMMYFUNCTION("""COMPUTED_VALUE"""),0.33695652173913043)</f>
        <v>0.3369565217</v>
      </c>
      <c r="N104" s="31">
        <f>IFERROR(__xludf.DUMMYFUNCTION("""COMPUTED_VALUE"""),339.0)</f>
        <v>339</v>
      </c>
      <c r="O104" s="57">
        <f>IFERROR(__xludf.DUMMYFUNCTION("""COMPUTED_VALUE"""),0.7948717948717948)</f>
        <v>0.7948717949</v>
      </c>
      <c r="P104" s="57">
        <f>IFERROR(__xludf.DUMMYFUNCTION("""COMPUTED_VALUE"""),0.4358974358974359)</f>
        <v>0.4358974359</v>
      </c>
      <c r="Q104" s="57">
        <f>IFERROR(__xludf.DUMMYFUNCTION("""COMPUTED_VALUE"""),0.8717948717948718)</f>
        <v>0.8717948718</v>
      </c>
      <c r="R104" s="57">
        <f>IFERROR(__xludf.DUMMYFUNCTION("""COMPUTED_VALUE"""),2.358974358974359)</f>
        <v>2.358974359</v>
      </c>
      <c r="S104" s="31">
        <f>IFERROR(__xludf.DUMMYFUNCTION("""COMPUTED_VALUE"""),307.3162393162393)</f>
        <v>307.3162393</v>
      </c>
      <c r="T104" s="57">
        <f>IFERROR(__xludf.DUMMYFUNCTION("""COMPUTED_VALUE"""),0.6666666666666666)</f>
        <v>0.6666666667</v>
      </c>
      <c r="U104" s="57">
        <f>IFERROR(__xludf.DUMMYFUNCTION("""COMPUTED_VALUE"""),0.4444444444444443)</f>
        <v>0.4444444444</v>
      </c>
      <c r="V104" s="57">
        <f>IFERROR(__xludf.DUMMYFUNCTION("""COMPUTED_VALUE"""),1.1623931623931627)</f>
        <v>1.162393162</v>
      </c>
      <c r="W104" s="57">
        <f>IFERROR(__xludf.DUMMYFUNCTION("""COMPUTED_VALUE"""),2.170940170940171)</f>
        <v>2.170940171</v>
      </c>
      <c r="X104" s="31">
        <f>IFERROR(__xludf.DUMMYFUNCTION("""COMPUTED_VALUE"""),321.50786430268624)</f>
        <v>321.5078643</v>
      </c>
      <c r="Y104" s="57">
        <f>IFERROR(__xludf.DUMMYFUNCTION("""COMPUTED_VALUE"""),0.727685784438635)</f>
        <v>0.7276857844</v>
      </c>
      <c r="Z104" s="57">
        <f>IFERROR(__xludf.DUMMYFUNCTION("""COMPUTED_VALUE"""),0.49947765643627573)</f>
        <v>0.4994776564</v>
      </c>
      <c r="AA104" s="57">
        <f>IFERROR(__xludf.DUMMYFUNCTION("""COMPUTED_VALUE"""),1.1347986105085988)</f>
        <v>1.134798611</v>
      </c>
      <c r="AB104" s="57">
        <f>IFERROR(__xludf.DUMMYFUNCTION("""COMPUTED_VALUE"""),2.42646807453633)</f>
        <v>2.426468075</v>
      </c>
      <c r="AC104" s="31">
        <f>IFERROR(__xludf.DUMMYFUNCTION("""COMPUTED_VALUE"""),331.3076591616521)</f>
        <v>331.3076592</v>
      </c>
      <c r="AD104" s="57">
        <f>IFERROR(__xludf.DUMMYFUNCTION("""COMPUTED_VALUE"""),0.7629650783127255)</f>
        <v>0.7629650783</v>
      </c>
      <c r="AE104" s="57">
        <f>IFERROR(__xludf.DUMMYFUNCTION("""COMPUTED_VALUE"""),0.5322513289851556)</f>
        <v>0.532251329</v>
      </c>
      <c r="AF104" s="57">
        <f>IFERROR(__xludf.DUMMYFUNCTION("""COMPUTED_VALUE"""),1.2073319012638903)</f>
        <v>1.207331901</v>
      </c>
      <c r="AG104" s="57">
        <f>IFERROR(__xludf.DUMMYFUNCTION("""COMPUTED_VALUE"""),2.372585981890235)</f>
        <v>2.372585982</v>
      </c>
      <c r="AH104" s="57">
        <f>IFERROR(__xludf.DUMMYFUNCTION("""COMPUTED_VALUE"""),1.0232181195503078)</f>
        <v>1.02321812</v>
      </c>
      <c r="AI104" s="57">
        <f>IFERROR(__xludf.DUMMYFUNCTION("""COMPUTED_VALUE"""),1.0418193669225728)</f>
        <v>1.041819367</v>
      </c>
      <c r="AJ104" s="57">
        <f>IFERROR(__xludf.DUMMYFUNCTION("""COMPUTED_VALUE"""),0.8189691827140426)</f>
        <v>0.8189691827</v>
      </c>
      <c r="AK104" s="57">
        <f>IFERROR(__xludf.DUMMYFUNCTION("""COMPUTED_VALUE"""),0.7220838535635785)</f>
        <v>0.7220838536</v>
      </c>
      <c r="AL104" s="57">
        <f>IFERROR(__xludf.DUMMYFUNCTION("""COMPUTED_VALUE"""),0.9942629590582713)</f>
        <v>0.9942629591</v>
      </c>
      <c r="AM104" s="57">
        <f>IFERROR(__xludf.DUMMYFUNCTION("""COMPUTED_VALUE"""),0.9558591668753518)</f>
        <v>0.9558591669</v>
      </c>
      <c r="AN104" s="57">
        <f>IFERROR(__xludf.DUMMYFUNCTION("""COMPUTED_VALUE"""),0.9161463380529814)</f>
        <v>0.9161463381</v>
      </c>
      <c r="AO104" s="57">
        <f>IFERROR(__xludf.DUMMYFUNCTION("""COMPUTED_VALUE"""),0.88981847079109)</f>
        <v>0.8898184708</v>
      </c>
      <c r="AP104" s="35">
        <f>IFERROR(__xludf.DUMMYFUNCTION("""COMPUTED_VALUE"""),1.0243166951642604)</f>
        <v>1.024316695</v>
      </c>
      <c r="AQ104" s="57">
        <f>IFERROR(__xludf.DUMMYFUNCTION("""COMPUTED_VALUE"""),0.8946914215448777)</f>
        <v>0.8946914215</v>
      </c>
      <c r="AR104" s="36" t="b">
        <f>IFERROR(__xludf.DUMMYFUNCTION("""COMPUTED_VALUE"""),TRUE)</f>
        <v>1</v>
      </c>
      <c r="AS104" s="57"/>
      <c r="AT104" s="37"/>
      <c r="AU104" s="30"/>
      <c r="AV104" s="30"/>
      <c r="AW104" s="30"/>
      <c r="AX104" s="30"/>
      <c r="AY104" s="30"/>
      <c r="AZ104" s="30"/>
    </row>
    <row r="105">
      <c r="A105" s="30" t="str">
        <f>IFERROR(__xludf.DUMMYFUNCTION("""COMPUTED_VALUE"""),"Challenger")</f>
        <v>Challenger</v>
      </c>
      <c r="B105" s="30" t="str">
        <f>IFERROR(__xludf.DUMMYFUNCTION("""COMPUTED_VALUE"""),"RSC004614")</f>
        <v>RSC004614</v>
      </c>
      <c r="C105" s="30" t="str">
        <f>IFERROR(__xludf.DUMMYFUNCTION("""COMPUTED_VALUE"""),"Ex ample")</f>
        <v>Ex ample</v>
      </c>
      <c r="D105" s="31" t="str">
        <f>IFERROR(__xludf.DUMMYFUNCTION("""COMPUTED_VALUE"""),"Pharaohs")</f>
        <v>Pharaohs</v>
      </c>
      <c r="E105" s="31">
        <f>IFERROR(__xludf.DUMMYFUNCTION("""COMPUTED_VALUE"""),54.27386511483787)</f>
        <v>54.27386511</v>
      </c>
      <c r="F105" s="31">
        <f>IFERROR(__xludf.DUMMYFUNCTION("""COMPUTED_VALUE"""),2.3141198816112056)</f>
        <v>2.314119882</v>
      </c>
      <c r="G105" s="31">
        <f>IFERROR(__xludf.DUMMYFUNCTION("""COMPUTED_VALUE"""),55.43683100905197)</f>
        <v>55.43683101</v>
      </c>
      <c r="H105" s="31">
        <f>IFERROR(__xludf.DUMMYFUNCTION("""COMPUTED_VALUE"""),2.4159270695618718)</f>
        <v>2.41592707</v>
      </c>
      <c r="I105" s="54">
        <f>IFERROR(__xludf.DUMMYFUNCTION("""COMPUTED_VALUE"""),43.0)</f>
        <v>43</v>
      </c>
      <c r="J105" s="55">
        <f>IFERROR(__xludf.DUMMYFUNCTION("""COMPUTED_VALUE"""),20.0)</f>
        <v>20</v>
      </c>
      <c r="K105" s="54">
        <f>IFERROR(__xludf.DUMMYFUNCTION("""COMPUTED_VALUE"""),23.0)</f>
        <v>23</v>
      </c>
      <c r="L105" s="56">
        <f>IFERROR(__xludf.DUMMYFUNCTION("""COMPUTED_VALUE"""),0.46511627906976744)</f>
        <v>0.4651162791</v>
      </c>
      <c r="M105" s="56">
        <f>IFERROR(__xludf.DUMMYFUNCTION("""COMPUTED_VALUE"""),0.3111111111111111)</f>
        <v>0.3111111111</v>
      </c>
      <c r="N105" s="31">
        <f>IFERROR(__xludf.DUMMYFUNCTION("""COMPUTED_VALUE"""),366.46153846153845)</f>
        <v>366.4615385</v>
      </c>
      <c r="O105" s="57">
        <f>IFERROR(__xludf.DUMMYFUNCTION("""COMPUTED_VALUE"""),0.717948717948718)</f>
        <v>0.7179487179</v>
      </c>
      <c r="P105" s="57">
        <f>IFERROR(__xludf.DUMMYFUNCTION("""COMPUTED_VALUE"""),0.5897435897435898)</f>
        <v>0.5897435897</v>
      </c>
      <c r="Q105" s="57">
        <f>IFERROR(__xludf.DUMMYFUNCTION("""COMPUTED_VALUE"""),1.7179487179487178)</f>
        <v>1.717948718</v>
      </c>
      <c r="R105" s="57">
        <f>IFERROR(__xludf.DUMMYFUNCTION("""COMPUTED_VALUE"""),2.3076923076923075)</f>
        <v>2.307692308</v>
      </c>
      <c r="S105" s="31">
        <f>IFERROR(__xludf.DUMMYFUNCTION("""COMPUTED_VALUE"""),337.3418803418803)</f>
        <v>337.3418803</v>
      </c>
      <c r="T105" s="57">
        <f>IFERROR(__xludf.DUMMYFUNCTION("""COMPUTED_VALUE"""),0.7350427350427352)</f>
        <v>0.735042735</v>
      </c>
      <c r="U105" s="57">
        <f>IFERROR(__xludf.DUMMYFUNCTION("""COMPUTED_VALUE"""),0.5299145299145298)</f>
        <v>0.5299145299</v>
      </c>
      <c r="V105" s="57">
        <f>IFERROR(__xludf.DUMMYFUNCTION("""COMPUTED_VALUE"""),1.0598290598290598)</f>
        <v>1.05982906</v>
      </c>
      <c r="W105" s="57">
        <f>IFERROR(__xludf.DUMMYFUNCTION("""COMPUTED_VALUE"""),2.8119658119658117)</f>
        <v>2.811965812</v>
      </c>
      <c r="X105" s="31">
        <f>IFERROR(__xludf.DUMMYFUNCTION("""COMPUTED_VALUE"""),329.03630118392016)</f>
        <v>329.0363012</v>
      </c>
      <c r="Y105" s="57">
        <f>IFERROR(__xludf.DUMMYFUNCTION("""COMPUTED_VALUE"""),0.7251803430212987)</f>
        <v>0.725180343</v>
      </c>
      <c r="Z105" s="57">
        <f>IFERROR(__xludf.DUMMYFUNCTION("""COMPUTED_VALUE"""),0.4995671483666337)</f>
        <v>0.4995671484</v>
      </c>
      <c r="AA105" s="57">
        <f>IFERROR(__xludf.DUMMYFUNCTION("""COMPUTED_VALUE"""),1.2199206052759344)</f>
        <v>1.219920605</v>
      </c>
      <c r="AB105" s="57">
        <f>IFERROR(__xludf.DUMMYFUNCTION("""COMPUTED_VALUE"""),2.4416846791528095)</f>
        <v>2.441684679</v>
      </c>
      <c r="AC105" s="31">
        <f>IFERROR(__xludf.DUMMYFUNCTION("""COMPUTED_VALUE"""),334.74480782106576)</f>
        <v>334.7448078</v>
      </c>
      <c r="AD105" s="57">
        <f>IFERROR(__xludf.DUMMYFUNCTION("""COMPUTED_VALUE"""),0.7525189545510612)</f>
        <v>0.7525189546</v>
      </c>
      <c r="AE105" s="57">
        <f>IFERROR(__xludf.DUMMYFUNCTION("""COMPUTED_VALUE"""),0.5199737033135601)</f>
        <v>0.5199737033</v>
      </c>
      <c r="AF105" s="57">
        <f>IFERROR(__xludf.DUMMYFUNCTION("""COMPUTED_VALUE"""),1.2772583223461398)</f>
        <v>1.277258322</v>
      </c>
      <c r="AG105" s="57">
        <f>IFERROR(__xludf.DUMMYFUNCTION("""COMPUTED_VALUE"""),2.415531369986485)</f>
        <v>2.41553137</v>
      </c>
      <c r="AH105" s="57">
        <f>IFERROR(__xludf.DUMMYFUNCTION("""COMPUTED_VALUE"""),1.0947489845979226)</f>
        <v>1.094748985</v>
      </c>
      <c r="AI105" s="57">
        <f>IFERROR(__xludf.DUMMYFUNCTION("""COMPUTED_VALUE"""),0.9540606433987204)</f>
        <v>0.9540606434</v>
      </c>
      <c r="AJ105" s="57">
        <f>IFERROR(__xludf.DUMMYFUNCTION("""COMPUTED_VALUE"""),1.1341796440578003)</f>
        <v>1.134179644</v>
      </c>
      <c r="AK105" s="57">
        <f>IFERROR(__xludf.DUMMYFUNCTION("""COMPUTED_VALUE"""),1.3450284002010597)</f>
        <v>1.3450284</v>
      </c>
      <c r="AL105" s="57">
        <f>IFERROR(__xludf.DUMMYFUNCTION("""COMPUTED_VALUE"""),0.9553559669586155)</f>
        <v>0.955355967</v>
      </c>
      <c r="AM105" s="57">
        <f>IFERROR(__xludf.DUMMYFUNCTION("""COMPUTED_VALUE"""),1.0252421362873199)</f>
        <v>1.025242136</v>
      </c>
      <c r="AN105" s="57">
        <f>IFERROR(__xludf.DUMMYFUNCTION("""COMPUTED_VALUE"""),1.0135999163743836)</f>
        <v>1.013599916</v>
      </c>
      <c r="AO105" s="57">
        <f>IFERROR(__xludf.DUMMYFUNCTION("""COMPUTED_VALUE"""),1.0607473522771038)</f>
        <v>1.060747352</v>
      </c>
      <c r="AP105" s="35">
        <f>IFERROR(__xludf.DUMMYFUNCTION("""COMPUTED_VALUE"""),0.8687688815530226)</f>
        <v>0.8687688816</v>
      </c>
      <c r="AQ105" s="57">
        <f>IFERROR(__xludf.DUMMYFUNCTION("""COMPUTED_VALUE"""),1.1516498571557892)</f>
        <v>1.151649857</v>
      </c>
      <c r="AR105" s="36" t="b">
        <f>IFERROR(__xludf.DUMMYFUNCTION("""COMPUTED_VALUE"""),TRUE)</f>
        <v>1</v>
      </c>
      <c r="AS105" s="57"/>
      <c r="AT105" s="37"/>
      <c r="AU105" s="30"/>
      <c r="AV105" s="30"/>
      <c r="AW105" s="30"/>
      <c r="AX105" s="30"/>
      <c r="AY105" s="30"/>
      <c r="AZ105" s="30"/>
    </row>
    <row r="106">
      <c r="A106" s="30" t="str">
        <f>IFERROR(__xludf.DUMMYFUNCTION("""COMPUTED_VALUE"""),"Challenger")</f>
        <v>Challenger</v>
      </c>
      <c r="B106" s="30" t="str">
        <f>IFERROR(__xludf.DUMMYFUNCTION("""COMPUTED_VALUE"""),"RSC007001")</f>
        <v>RSC007001</v>
      </c>
      <c r="C106" s="30" t="str">
        <f>IFERROR(__xludf.DUMMYFUNCTION("""COMPUTED_VALUE"""),"tankersrul")</f>
        <v>tankersrul</v>
      </c>
      <c r="D106" s="31" t="str">
        <f>IFERROR(__xludf.DUMMYFUNCTION("""COMPUTED_VALUE"""),"Bingo")</f>
        <v>Bingo</v>
      </c>
      <c r="E106" s="31">
        <f>IFERROR(__xludf.DUMMYFUNCTION("""COMPUTED_VALUE"""),54.25362789715384)</f>
        <v>54.2536279</v>
      </c>
      <c r="F106" s="31">
        <f>IFERROR(__xludf.DUMMYFUNCTION("""COMPUTED_VALUE"""),2.312416717152793)</f>
        <v>2.312416717</v>
      </c>
      <c r="G106" s="31">
        <f>IFERROR(__xludf.DUMMYFUNCTION("""COMPUTED_VALUE"""),50.58059766655377)</f>
        <v>50.58059767</v>
      </c>
      <c r="H106" s="31">
        <f>IFERROR(__xludf.DUMMYFUNCTION("""COMPUTED_VALUE"""),2.037756221795572)</f>
        <v>2.037756222</v>
      </c>
      <c r="I106" s="54">
        <f>IFERROR(__xludf.DUMMYFUNCTION("""COMPUTED_VALUE"""),32.0)</f>
        <v>32</v>
      </c>
      <c r="J106" s="55">
        <f>IFERROR(__xludf.DUMMYFUNCTION("""COMPUTED_VALUE"""),17.0)</f>
        <v>17</v>
      </c>
      <c r="K106" s="54">
        <f>IFERROR(__xludf.DUMMYFUNCTION("""COMPUTED_VALUE"""),15.0)</f>
        <v>15</v>
      </c>
      <c r="L106" s="56">
        <f>IFERROR(__xludf.DUMMYFUNCTION("""COMPUTED_VALUE"""),0.53125)</f>
        <v>0.53125</v>
      </c>
      <c r="M106" s="56">
        <f>IFERROR(__xludf.DUMMYFUNCTION("""COMPUTED_VALUE"""),0.2702702702702703)</f>
        <v>0.2702702703</v>
      </c>
      <c r="N106" s="31">
        <f>IFERROR(__xludf.DUMMYFUNCTION("""COMPUTED_VALUE"""),327.21875)</f>
        <v>327.21875</v>
      </c>
      <c r="O106" s="57">
        <f>IFERROR(__xludf.DUMMYFUNCTION("""COMPUTED_VALUE"""),0.625)</f>
        <v>0.625</v>
      </c>
      <c r="P106" s="57">
        <f>IFERROR(__xludf.DUMMYFUNCTION("""COMPUTED_VALUE"""),0.53125)</f>
        <v>0.53125</v>
      </c>
      <c r="Q106" s="57">
        <f>IFERROR(__xludf.DUMMYFUNCTION("""COMPUTED_VALUE"""),1.25)</f>
        <v>1.25</v>
      </c>
      <c r="R106" s="57">
        <f>IFERROR(__xludf.DUMMYFUNCTION("""COMPUTED_VALUE"""),2.3125)</f>
        <v>2.3125</v>
      </c>
      <c r="S106" s="31">
        <f>IFERROR(__xludf.DUMMYFUNCTION("""COMPUTED_VALUE"""),318.9583333333332)</f>
        <v>318.9583333</v>
      </c>
      <c r="T106" s="57">
        <f>IFERROR(__xludf.DUMMYFUNCTION("""COMPUTED_VALUE"""),0.6354166666666665)</f>
        <v>0.6354166667</v>
      </c>
      <c r="U106" s="57">
        <f>IFERROR(__xludf.DUMMYFUNCTION("""COMPUTED_VALUE"""),0.41666666666666674)</f>
        <v>0.4166666667</v>
      </c>
      <c r="V106" s="57">
        <f>IFERROR(__xludf.DUMMYFUNCTION("""COMPUTED_VALUE"""),1.3541666666666667)</f>
        <v>1.354166667</v>
      </c>
      <c r="W106" s="57">
        <f>IFERROR(__xludf.DUMMYFUNCTION("""COMPUTED_VALUE"""),2.1458333333333335)</f>
        <v>2.145833333</v>
      </c>
      <c r="X106" s="31">
        <f>IFERROR(__xludf.DUMMYFUNCTION("""COMPUTED_VALUE"""),341.495564717485)</f>
        <v>341.4955647</v>
      </c>
      <c r="Y106" s="57">
        <f>IFERROR(__xludf.DUMMYFUNCTION("""COMPUTED_VALUE"""),0.8186793353780814)</f>
        <v>0.8186793354</v>
      </c>
      <c r="Z106" s="57">
        <f>IFERROR(__xludf.DUMMYFUNCTION("""COMPUTED_VALUE"""),0.5376101153688077)</f>
        <v>0.5376101154</v>
      </c>
      <c r="AA106" s="57">
        <f>IFERROR(__xludf.DUMMYFUNCTION("""COMPUTED_VALUE"""),1.2153264735043827)</f>
        <v>1.215326474</v>
      </c>
      <c r="AB106" s="57">
        <f>IFERROR(__xludf.DUMMYFUNCTION("""COMPUTED_VALUE"""),2.456832432229602)</f>
        <v>2.456832432</v>
      </c>
      <c r="AC106" s="31">
        <f>IFERROR(__xludf.DUMMYFUNCTION("""COMPUTED_VALUE"""),325.3261758101853)</f>
        <v>325.3261758</v>
      </c>
      <c r="AD106" s="57">
        <f>IFERROR(__xludf.DUMMYFUNCTION("""COMPUTED_VALUE"""),0.7175106596200501)</f>
        <v>0.7175106596</v>
      </c>
      <c r="AE106" s="57">
        <f>IFERROR(__xludf.DUMMYFUNCTION("""COMPUTED_VALUE"""),0.48449081580633124)</f>
        <v>0.4844908158</v>
      </c>
      <c r="AF106" s="57">
        <f>IFERROR(__xludf.DUMMYFUNCTION("""COMPUTED_VALUE"""),1.1962353402742176)</f>
        <v>1.19623534</v>
      </c>
      <c r="AG106" s="57">
        <f>IFERROR(__xludf.DUMMYFUNCTION("""COMPUTED_VALUE"""),2.41521949552737)</f>
        <v>2.415219496</v>
      </c>
      <c r="AH106" s="57">
        <f>IFERROR(__xludf.DUMMYFUNCTION("""COMPUTED_VALUE"""),1.0058174666858621)</f>
        <v>1.005817467</v>
      </c>
      <c r="AI106" s="57">
        <f>IFERROR(__xludf.DUMMYFUNCTION("""COMPUTED_VALUE"""),0.8710671982642905)</f>
        <v>0.8710671983</v>
      </c>
      <c r="AJ106" s="57">
        <f>IFERROR(__xludf.DUMMYFUNCTION("""COMPUTED_VALUE"""),1.0965120135783133)</f>
        <v>1.096512014</v>
      </c>
      <c r="AK106" s="57">
        <f>IFERROR(__xludf.DUMMYFUNCTION("""COMPUTED_VALUE"""),1.0449448849366527)</f>
        <v>1.044944885</v>
      </c>
      <c r="AL106" s="57">
        <f>IFERROR(__xludf.DUMMYFUNCTION("""COMPUTED_VALUE"""),0.9574699128929726)</f>
        <v>0.9574699129</v>
      </c>
      <c r="AM106" s="57">
        <f>IFERROR(__xludf.DUMMYFUNCTION("""COMPUTED_VALUE"""),0.9340043218341749)</f>
        <v>0.9340043218</v>
      </c>
      <c r="AN106" s="57">
        <f>IFERROR(__xludf.DUMMYFUNCTION("""COMPUTED_VALUE"""),0.7761484127032707)</f>
        <v>0.7761484127</v>
      </c>
      <c r="AO106" s="57">
        <f>IFERROR(__xludf.DUMMYFUNCTION("""COMPUTED_VALUE"""),0.7750350202782696)</f>
        <v>0.7750350203</v>
      </c>
      <c r="AP106" s="35">
        <f>IFERROR(__xludf.DUMMYFUNCTION("""COMPUTED_VALUE"""),1.1142410670623668)</f>
        <v>1.114241067</v>
      </c>
      <c r="AQ106" s="57">
        <f>IFERROR(__xludf.DUMMYFUNCTION("""COMPUTED_VALUE"""),0.8734146070295754)</f>
        <v>0.873414607</v>
      </c>
      <c r="AR106" s="36" t="b">
        <f>IFERROR(__xludf.DUMMYFUNCTION("""COMPUTED_VALUE"""),TRUE)</f>
        <v>1</v>
      </c>
      <c r="AS106" s="57"/>
      <c r="AT106" s="37"/>
      <c r="AU106" s="30"/>
      <c r="AV106" s="30"/>
      <c r="AW106" s="30"/>
      <c r="AX106" s="30"/>
      <c r="AY106" s="30"/>
      <c r="AZ106" s="30"/>
    </row>
    <row r="107">
      <c r="A107" s="30" t="str">
        <f>IFERROR(__xludf.DUMMYFUNCTION("""COMPUTED_VALUE"""),"Challenger")</f>
        <v>Challenger</v>
      </c>
      <c r="B107" s="30" t="str">
        <f>IFERROR(__xludf.DUMMYFUNCTION("""COMPUTED_VALUE"""),"RSC007824")</f>
        <v>RSC007824</v>
      </c>
      <c r="C107" s="30" t="str">
        <f>IFERROR(__xludf.DUMMYFUNCTION("""COMPUTED_VALUE"""),"Akki404")</f>
        <v>Akki404</v>
      </c>
      <c r="D107" s="31" t="str">
        <f>IFERROR(__xludf.DUMMYFUNCTION("""COMPUTED_VALUE"""),"Squalls")</f>
        <v>Squalls</v>
      </c>
      <c r="E107" s="31">
        <f>IFERROR(__xludf.DUMMYFUNCTION("""COMPUTED_VALUE"""),53.560780043008776)</f>
        <v>53.56078004</v>
      </c>
      <c r="F107" s="31">
        <f>IFERROR(__xludf.DUMMYFUNCTION("""COMPUTED_VALUE"""),2.2554540363690325)</f>
        <v>2.255454036</v>
      </c>
      <c r="G107" s="31">
        <f>IFERROR(__xludf.DUMMYFUNCTION("""COMPUTED_VALUE"""),60.3336757185175)</f>
        <v>60.33367572</v>
      </c>
      <c r="H107" s="31">
        <f>IFERROR(__xludf.DUMMYFUNCTION("""COMPUTED_VALUE"""),2.94398027204946)</f>
        <v>2.943980272</v>
      </c>
      <c r="I107" s="54">
        <f>IFERROR(__xludf.DUMMYFUNCTION("""COMPUTED_VALUE"""),47.0)</f>
        <v>47</v>
      </c>
      <c r="J107" s="55">
        <f>IFERROR(__xludf.DUMMYFUNCTION("""COMPUTED_VALUE"""),15.0)</f>
        <v>15</v>
      </c>
      <c r="K107" s="54">
        <f>IFERROR(__xludf.DUMMYFUNCTION("""COMPUTED_VALUE"""),32.0)</f>
        <v>32</v>
      </c>
      <c r="L107" s="56">
        <f>IFERROR(__xludf.DUMMYFUNCTION("""COMPUTED_VALUE"""),0.3191489361702128)</f>
        <v>0.3191489362</v>
      </c>
      <c r="M107" s="56">
        <f>IFERROR(__xludf.DUMMYFUNCTION("""COMPUTED_VALUE"""),0.36)</f>
        <v>0.36</v>
      </c>
      <c r="N107" s="31">
        <f>IFERROR(__xludf.DUMMYFUNCTION("""COMPUTED_VALUE"""),384.17021276595744)</f>
        <v>384.1702128</v>
      </c>
      <c r="O107" s="57">
        <f>IFERROR(__xludf.DUMMYFUNCTION("""COMPUTED_VALUE"""),0.7659574468085106)</f>
        <v>0.7659574468</v>
      </c>
      <c r="P107" s="57">
        <f>IFERROR(__xludf.DUMMYFUNCTION("""COMPUTED_VALUE"""),0.5957446808510638)</f>
        <v>0.5957446809</v>
      </c>
      <c r="Q107" s="57">
        <f>IFERROR(__xludf.DUMMYFUNCTION("""COMPUTED_VALUE"""),1.5957446808510638)</f>
        <v>1.595744681</v>
      </c>
      <c r="R107" s="57">
        <f>IFERROR(__xludf.DUMMYFUNCTION("""COMPUTED_VALUE"""),2.127659574468085)</f>
        <v>2.127659574</v>
      </c>
      <c r="S107" s="31">
        <f>IFERROR(__xludf.DUMMYFUNCTION("""COMPUTED_VALUE"""),359.6879432624114)</f>
        <v>359.6879433</v>
      </c>
      <c r="T107" s="57">
        <f>IFERROR(__xludf.DUMMYFUNCTION("""COMPUTED_VALUE"""),0.9716312056737592)</f>
        <v>0.9716312057</v>
      </c>
      <c r="U107" s="57">
        <f>IFERROR(__xludf.DUMMYFUNCTION("""COMPUTED_VALUE"""),0.702127659574468)</f>
        <v>0.7021276596</v>
      </c>
      <c r="V107" s="57">
        <f>IFERROR(__xludf.DUMMYFUNCTION("""COMPUTED_VALUE"""),0.9929078014184397)</f>
        <v>0.9929078014</v>
      </c>
      <c r="W107" s="57">
        <f>IFERROR(__xludf.DUMMYFUNCTION("""COMPUTED_VALUE"""),2.9078014184397167)</f>
        <v>2.907801418</v>
      </c>
      <c r="X107" s="31">
        <f>IFERROR(__xludf.DUMMYFUNCTION("""COMPUTED_VALUE"""),342.12391178831854)</f>
        <v>342.1239118</v>
      </c>
      <c r="Y107" s="57">
        <f>IFERROR(__xludf.DUMMYFUNCTION("""COMPUTED_VALUE"""),0.7974276299271988)</f>
        <v>0.7974276299</v>
      </c>
      <c r="Z107" s="57">
        <f>IFERROR(__xludf.DUMMYFUNCTION("""COMPUTED_VALUE"""),0.5710829700777862)</f>
        <v>0.5710829701</v>
      </c>
      <c r="AA107" s="57">
        <f>IFERROR(__xludf.DUMMYFUNCTION("""COMPUTED_VALUE"""),1.2120867022921555)</f>
        <v>1.212086702</v>
      </c>
      <c r="AB107" s="57">
        <f>IFERROR(__xludf.DUMMYFUNCTION("""COMPUTED_VALUE"""),2.597664382240995)</f>
        <v>2.597664382</v>
      </c>
      <c r="AC107" s="31">
        <f>IFERROR(__xludf.DUMMYFUNCTION("""COMPUTED_VALUE"""),333.3960417122332)</f>
        <v>333.3960417</v>
      </c>
      <c r="AD107" s="57">
        <f>IFERROR(__xludf.DUMMYFUNCTION("""COMPUTED_VALUE"""),0.7214661199681812)</f>
        <v>0.72146612</v>
      </c>
      <c r="AE107" s="57">
        <f>IFERROR(__xludf.DUMMYFUNCTION("""COMPUTED_VALUE"""),0.5043716423043935)</f>
        <v>0.5043716423</v>
      </c>
      <c r="AF107" s="57">
        <f>IFERROR(__xludf.DUMMYFUNCTION("""COMPUTED_VALUE"""),1.2906030576592555)</f>
        <v>1.290603058</v>
      </c>
      <c r="AG107" s="57">
        <f>IFERROR(__xludf.DUMMYFUNCTION("""COMPUTED_VALUE"""),2.3814037251182216)</f>
        <v>2.381403725</v>
      </c>
      <c r="AH107" s="57">
        <f>IFERROR(__xludf.DUMMYFUNCTION("""COMPUTED_VALUE"""),1.152293862857404)</f>
        <v>1.152293863</v>
      </c>
      <c r="AI107" s="57">
        <f>IFERROR(__xludf.DUMMYFUNCTION("""COMPUTED_VALUE"""),1.061667936454579)</f>
        <v>1.061667936</v>
      </c>
      <c r="AJ107" s="57">
        <f>IFERROR(__xludf.DUMMYFUNCTION("""COMPUTED_VALUE"""),1.1811621250734905)</f>
        <v>1.181162125</v>
      </c>
      <c r="AK107" s="57">
        <f>IFERROR(__xludf.DUMMYFUNCTION("""COMPUTED_VALUE"""),1.2364333645274623)</f>
        <v>1.236433365</v>
      </c>
      <c r="AL107" s="57">
        <f>IFERROR(__xludf.DUMMYFUNCTION("""COMPUTED_VALUE"""),0.8934476552741851)</f>
        <v>0.8934476553</v>
      </c>
      <c r="AM107" s="57">
        <f>IFERROR(__xludf.DUMMYFUNCTION("""COMPUTED_VALUE"""),1.0513382165610226)</f>
        <v>1.051338217</v>
      </c>
      <c r="AN107" s="57">
        <f>IFERROR(__xludf.DUMMYFUNCTION("""COMPUTED_VALUE"""),1.2184569097040998)</f>
        <v>1.21845691</v>
      </c>
      <c r="AO107" s="57">
        <f>IFERROR(__xludf.DUMMYFUNCTION("""COMPUTED_VALUE"""),1.2294669887964482)</f>
        <v>1.229466989</v>
      </c>
      <c r="AP107" s="35">
        <f>IFERROR(__xludf.DUMMYFUNCTION("""COMPUTED_VALUE"""),0.819172258503265)</f>
        <v>0.8191722585</v>
      </c>
      <c r="AQ107" s="57">
        <f>IFERROR(__xludf.DUMMYFUNCTION("""COMPUTED_VALUE"""),1.1193907258839835)</f>
        <v>1.119390726</v>
      </c>
      <c r="AR107" s="36" t="b">
        <f>IFERROR(__xludf.DUMMYFUNCTION("""COMPUTED_VALUE"""),TRUE)</f>
        <v>1</v>
      </c>
      <c r="AS107" s="57"/>
      <c r="AT107" s="37"/>
      <c r="AU107" s="30"/>
      <c r="AV107" s="30"/>
      <c r="AW107" s="30"/>
      <c r="AX107" s="30"/>
      <c r="AY107" s="30"/>
      <c r="AZ107" s="30"/>
    </row>
    <row r="108">
      <c r="A108" s="30" t="str">
        <f>IFERROR(__xludf.DUMMYFUNCTION("""COMPUTED_VALUE"""),"Challenger")</f>
        <v>Challenger</v>
      </c>
      <c r="B108" s="30" t="str">
        <f>IFERROR(__xludf.DUMMYFUNCTION("""COMPUTED_VALUE"""),"RSC007307")</f>
        <v>RSC007307</v>
      </c>
      <c r="C108" s="30" t="str">
        <f>IFERROR(__xludf.DUMMYFUNCTION("""COMPUTED_VALUE"""),"Jmh187-")</f>
        <v>Jmh187-</v>
      </c>
      <c r="D108" s="31" t="str">
        <f>IFERROR(__xludf.DUMMYFUNCTION("""COMPUTED_VALUE"""),"Chromatic Chaos")</f>
        <v>Chromatic Chaos</v>
      </c>
      <c r="E108" s="31">
        <f>IFERROR(__xludf.DUMMYFUNCTION("""COMPUTED_VALUE"""),53.432311769436424)</f>
        <v>53.43231177</v>
      </c>
      <c r="F108" s="31">
        <f>IFERROR(__xludf.DUMMYFUNCTION("""COMPUTED_VALUE"""),2.245173832202852)</f>
        <v>2.245173832</v>
      </c>
      <c r="G108" s="31">
        <f>IFERROR(__xludf.DUMMYFUNCTION("""COMPUTED_VALUE"""),57.86063545012971)</f>
        <v>57.86063545</v>
      </c>
      <c r="H108" s="31">
        <f>IFERROR(__xludf.DUMMYFUNCTION("""COMPUTED_VALUE"""),2.6553444423518995)</f>
        <v>2.655344442</v>
      </c>
      <c r="I108" s="54">
        <f>IFERROR(__xludf.DUMMYFUNCTION("""COMPUTED_VALUE"""),39.0)</f>
        <v>39</v>
      </c>
      <c r="J108" s="55">
        <f>IFERROR(__xludf.DUMMYFUNCTION("""COMPUTED_VALUE"""),14.0)</f>
        <v>14</v>
      </c>
      <c r="K108" s="54">
        <f>IFERROR(__xludf.DUMMYFUNCTION("""COMPUTED_VALUE"""),25.0)</f>
        <v>25</v>
      </c>
      <c r="L108" s="56">
        <f>IFERROR(__xludf.DUMMYFUNCTION("""COMPUTED_VALUE"""),0.358974358974359)</f>
        <v>0.358974359</v>
      </c>
      <c r="M108" s="56">
        <f>IFERROR(__xludf.DUMMYFUNCTION("""COMPUTED_VALUE"""),0.34782608695652173)</f>
        <v>0.347826087</v>
      </c>
      <c r="N108" s="31">
        <f>IFERROR(__xludf.DUMMYFUNCTION("""COMPUTED_VALUE"""),368.02564102564105)</f>
        <v>368.025641</v>
      </c>
      <c r="O108" s="57">
        <f>IFERROR(__xludf.DUMMYFUNCTION("""COMPUTED_VALUE"""),0.8205128205128205)</f>
        <v>0.8205128205</v>
      </c>
      <c r="P108" s="57">
        <f>IFERROR(__xludf.DUMMYFUNCTION("""COMPUTED_VALUE"""),0.48717948717948717)</f>
        <v>0.4871794872</v>
      </c>
      <c r="Q108" s="57">
        <f>IFERROR(__xludf.DUMMYFUNCTION("""COMPUTED_VALUE"""),1.794871794871795)</f>
        <v>1.794871795</v>
      </c>
      <c r="R108" s="57">
        <f>IFERROR(__xludf.DUMMYFUNCTION("""COMPUTED_VALUE"""),2.358974358974359)</f>
        <v>2.358974359</v>
      </c>
      <c r="S108" s="31">
        <f>IFERROR(__xludf.DUMMYFUNCTION("""COMPUTED_VALUE"""),344.25641025641033)</f>
        <v>344.2564103</v>
      </c>
      <c r="T108" s="57">
        <f>IFERROR(__xludf.DUMMYFUNCTION("""COMPUTED_VALUE"""),0.9230769230769231)</f>
        <v>0.9230769231</v>
      </c>
      <c r="U108" s="57">
        <f>IFERROR(__xludf.DUMMYFUNCTION("""COMPUTED_VALUE"""),0.5213675213675213)</f>
        <v>0.5213675214</v>
      </c>
      <c r="V108" s="57">
        <f>IFERROR(__xludf.DUMMYFUNCTION("""COMPUTED_VALUE"""),1.1025641025641026)</f>
        <v>1.102564103</v>
      </c>
      <c r="W108" s="57">
        <f>IFERROR(__xludf.DUMMYFUNCTION("""COMPUTED_VALUE"""),2.7606837606837606)</f>
        <v>2.760683761</v>
      </c>
      <c r="X108" s="31">
        <f>IFERROR(__xludf.DUMMYFUNCTION("""COMPUTED_VALUE"""),330.349795858606)</f>
        <v>330.3497959</v>
      </c>
      <c r="Y108" s="57">
        <f>IFERROR(__xludf.DUMMYFUNCTION("""COMPUTED_VALUE"""),0.7643839907144789)</f>
        <v>0.7643839907</v>
      </c>
      <c r="Z108" s="57">
        <f>IFERROR(__xludf.DUMMYFUNCTION("""COMPUTED_VALUE"""),0.5082410661381633)</f>
        <v>0.5082410661</v>
      </c>
      <c r="AA108" s="57">
        <f>IFERROR(__xludf.DUMMYFUNCTION("""COMPUTED_VALUE"""),1.1779095882417072)</f>
        <v>1.177909588</v>
      </c>
      <c r="AB108" s="57">
        <f>IFERROR(__xludf.DUMMYFUNCTION("""COMPUTED_VALUE"""),2.4501489154983607)</f>
        <v>2.450148915</v>
      </c>
      <c r="AC108" s="31">
        <f>IFERROR(__xludf.DUMMYFUNCTION("""COMPUTED_VALUE"""),336.1063536407998)</f>
        <v>336.1063536</v>
      </c>
      <c r="AD108" s="57">
        <f>IFERROR(__xludf.DUMMYFUNCTION("""COMPUTED_VALUE"""),0.7687544524615098)</f>
        <v>0.7687544525</v>
      </c>
      <c r="AE108" s="57">
        <f>IFERROR(__xludf.DUMMYFUNCTION("""COMPUTED_VALUE"""),0.5176747563284095)</f>
        <v>0.5176747563</v>
      </c>
      <c r="AF108" s="57">
        <f>IFERROR(__xludf.DUMMYFUNCTION("""COMPUTED_VALUE"""),1.2348427719072215)</f>
        <v>1.234842772</v>
      </c>
      <c r="AG108" s="57">
        <f>IFERROR(__xludf.DUMMYFUNCTION("""COMPUTED_VALUE"""),2.3964239829247576)</f>
        <v>2.396423983</v>
      </c>
      <c r="AH108" s="57">
        <f>IFERROR(__xludf.DUMMYFUNCTION("""COMPUTED_VALUE"""),1.0949678190819139)</f>
        <v>1.094967819</v>
      </c>
      <c r="AI108" s="57">
        <f>IFERROR(__xludf.DUMMYFUNCTION("""COMPUTED_VALUE"""),1.0673275684915817)</f>
        <v>1.067327568</v>
      </c>
      <c r="AJ108" s="57">
        <f>IFERROR(__xludf.DUMMYFUNCTION("""COMPUTED_VALUE"""),0.9410918365708828)</f>
        <v>0.9410918366</v>
      </c>
      <c r="AK108" s="57">
        <f>IFERROR(__xludf.DUMMYFUNCTION("""COMPUTED_VALUE"""),1.453522533965685)</f>
        <v>1.453522534</v>
      </c>
      <c r="AL108" s="57">
        <f>IFERROR(__xludf.DUMMYFUNCTION("""COMPUTED_VALUE"""),0.9843727052402921)</f>
        <v>0.9843727052</v>
      </c>
      <c r="AM108" s="57">
        <f>IFERROR(__xludf.DUMMYFUNCTION("""COMPUTED_VALUE"""),1.0420966338473432)</f>
        <v>1.042096634</v>
      </c>
      <c r="AN108" s="57">
        <f>IFERROR(__xludf.DUMMYFUNCTION("""COMPUTED_VALUE"""),1.20760891684049)</f>
        <v>1.207608917</v>
      </c>
      <c r="AO108" s="57">
        <f>IFERROR(__xludf.DUMMYFUNCTION("""COMPUTED_VALUE"""),1.0258272227569065)</f>
        <v>1.025827223</v>
      </c>
      <c r="AP108" s="35">
        <f>IFERROR(__xludf.DUMMYFUNCTION("""COMPUTED_VALUE"""),0.9360345764821606)</f>
        <v>0.9360345765</v>
      </c>
      <c r="AQ108" s="57">
        <f>IFERROR(__xludf.DUMMYFUNCTION("""COMPUTED_VALUE"""),1.1267412128385825)</f>
        <v>1.126741213</v>
      </c>
      <c r="AR108" s="36" t="b">
        <f>IFERROR(__xludf.DUMMYFUNCTION("""COMPUTED_VALUE"""),TRUE)</f>
        <v>1</v>
      </c>
      <c r="AS108" s="57"/>
      <c r="AT108" s="37"/>
      <c r="AU108" s="30"/>
      <c r="AV108" s="30"/>
      <c r="AW108" s="30"/>
      <c r="AX108" s="30"/>
      <c r="AY108" s="30"/>
      <c r="AZ108" s="30"/>
    </row>
    <row r="109">
      <c r="A109" s="30" t="str">
        <f>IFERROR(__xludf.DUMMYFUNCTION("""COMPUTED_VALUE"""),"Challenger")</f>
        <v>Challenger</v>
      </c>
      <c r="B109" s="30" t="str">
        <f>IFERROR(__xludf.DUMMYFUNCTION("""COMPUTED_VALUE"""),"RSC007197")</f>
        <v>RSC007197</v>
      </c>
      <c r="C109" s="30" t="str">
        <f>IFERROR(__xludf.DUMMYFUNCTION("""COMPUTED_VALUE"""),"xMaster P")</f>
        <v>xMaster P</v>
      </c>
      <c r="D109" s="31" t="str">
        <f>IFERROR(__xludf.DUMMYFUNCTION("""COMPUTED_VALUE"""),"Mugged")</f>
        <v>Mugged</v>
      </c>
      <c r="E109" s="31">
        <f>IFERROR(__xludf.DUMMYFUNCTION("""COMPUTED_VALUE"""),52.86239543840599)</f>
        <v>52.86239544</v>
      </c>
      <c r="F109" s="31">
        <f>IFERROR(__xludf.DUMMYFUNCTION("""COMPUTED_VALUE"""),2.2005958379686614)</f>
        <v>2.200595838</v>
      </c>
      <c r="G109" s="31">
        <f>IFERROR(__xludf.DUMMYFUNCTION("""COMPUTED_VALUE"""),47.53126918147441)</f>
        <v>47.53126918</v>
      </c>
      <c r="H109" s="31">
        <f>IFERROR(__xludf.DUMMYFUNCTION("""COMPUTED_VALUE"""),-2.1707574751817025)</f>
        <v>-2.170757475</v>
      </c>
      <c r="I109" s="54">
        <f>IFERROR(__xludf.DUMMYFUNCTION("""COMPUTED_VALUE"""),35.0)</f>
        <v>35</v>
      </c>
      <c r="J109" s="55">
        <f>IFERROR(__xludf.DUMMYFUNCTION("""COMPUTED_VALUE"""),23.0)</f>
        <v>23</v>
      </c>
      <c r="K109" s="54">
        <f>IFERROR(__xludf.DUMMYFUNCTION("""COMPUTED_VALUE"""),12.0)</f>
        <v>12</v>
      </c>
      <c r="L109" s="56">
        <f>IFERROR(__xludf.DUMMYFUNCTION("""COMPUTED_VALUE"""),0.6571428571428571)</f>
        <v>0.6571428571</v>
      </c>
      <c r="M109" s="56">
        <f>IFERROR(__xludf.DUMMYFUNCTION("""COMPUTED_VALUE"""),0.3698630136986301)</f>
        <v>0.3698630137</v>
      </c>
      <c r="N109" s="31">
        <f>IFERROR(__xludf.DUMMYFUNCTION("""COMPUTED_VALUE"""),340.7142857142857)</f>
        <v>340.7142857</v>
      </c>
      <c r="O109" s="57">
        <f>IFERROR(__xludf.DUMMYFUNCTION("""COMPUTED_VALUE"""),0.7714285714285715)</f>
        <v>0.7714285714</v>
      </c>
      <c r="P109" s="57">
        <f>IFERROR(__xludf.DUMMYFUNCTION("""COMPUTED_VALUE"""),0.6)</f>
        <v>0.6</v>
      </c>
      <c r="Q109" s="57">
        <f>IFERROR(__xludf.DUMMYFUNCTION("""COMPUTED_VALUE"""),1.2857142857142858)</f>
        <v>1.285714286</v>
      </c>
      <c r="R109" s="57">
        <f>IFERROR(__xludf.DUMMYFUNCTION("""COMPUTED_VALUE"""),2.085714285714286)</f>
        <v>2.085714286</v>
      </c>
      <c r="S109" s="31">
        <f>IFERROR(__xludf.DUMMYFUNCTION("""COMPUTED_VALUE"""),309.70476190476194)</f>
        <v>309.7047619</v>
      </c>
      <c r="T109" s="57">
        <f>IFERROR(__xludf.DUMMYFUNCTION("""COMPUTED_VALUE"""),0.6857142857142856)</f>
        <v>0.6857142857</v>
      </c>
      <c r="U109" s="57">
        <f>IFERROR(__xludf.DUMMYFUNCTION("""COMPUTED_VALUE"""),0.4095238095238095)</f>
        <v>0.4095238095</v>
      </c>
      <c r="V109" s="57">
        <f>IFERROR(__xludf.DUMMYFUNCTION("""COMPUTED_VALUE"""),1.1238095238095238)</f>
        <v>1.123809524</v>
      </c>
      <c r="W109" s="57">
        <f>IFERROR(__xludf.DUMMYFUNCTION("""COMPUTED_VALUE"""),2.5047619047619043)</f>
        <v>2.504761905</v>
      </c>
      <c r="X109" s="31">
        <f>IFERROR(__xludf.DUMMYFUNCTION("""COMPUTED_VALUE"""),323.03358586762903)</f>
        <v>323.0335859</v>
      </c>
      <c r="Y109" s="57">
        <f>IFERROR(__xludf.DUMMYFUNCTION("""COMPUTED_VALUE"""),0.7140984013988648)</f>
        <v>0.7140984014</v>
      </c>
      <c r="Z109" s="57">
        <f>IFERROR(__xludf.DUMMYFUNCTION("""COMPUTED_VALUE"""),0.4618646135907381)</f>
        <v>0.4618646136</v>
      </c>
      <c r="AA109" s="57">
        <f>IFERROR(__xludf.DUMMYFUNCTION("""COMPUTED_VALUE"""),1.2167803731283287)</f>
        <v>1.216780373</v>
      </c>
      <c r="AB109" s="57">
        <f>IFERROR(__xludf.DUMMYFUNCTION("""COMPUTED_VALUE"""),2.357402763392232)</f>
        <v>2.357402763</v>
      </c>
      <c r="AC109" s="31">
        <f>IFERROR(__xludf.DUMMYFUNCTION("""COMPUTED_VALUE"""),340.7122343600133)</f>
        <v>340.7122344</v>
      </c>
      <c r="AD109" s="57">
        <f>IFERROR(__xludf.DUMMYFUNCTION("""COMPUTED_VALUE"""),0.7980272015149881)</f>
        <v>0.7980272015</v>
      </c>
      <c r="AE109" s="57">
        <f>IFERROR(__xludf.DUMMYFUNCTION("""COMPUTED_VALUE"""),0.5665996085446231)</f>
        <v>0.5665996085</v>
      </c>
      <c r="AF109" s="57">
        <f>IFERROR(__xludf.DUMMYFUNCTION("""COMPUTED_VALUE"""),1.2039577055835489)</f>
        <v>1.203957706</v>
      </c>
      <c r="AG109" s="57">
        <f>IFERROR(__xludf.DUMMYFUNCTION("""COMPUTED_VALUE"""),2.5342666454516216)</f>
        <v>2.534266645</v>
      </c>
      <c r="AH109" s="57">
        <f>IFERROR(__xludf.DUMMYFUNCTION("""COMPUTED_VALUE"""),1.0000060207825419)</f>
        <v>1.000006021</v>
      </c>
      <c r="AI109" s="57">
        <f>IFERROR(__xludf.DUMMYFUNCTION("""COMPUTED_VALUE"""),0.9666695194901611)</f>
        <v>0.9666695195</v>
      </c>
      <c r="AJ109" s="57">
        <f>IFERROR(__xludf.DUMMYFUNCTION("""COMPUTED_VALUE"""),1.0589488431542862)</f>
        <v>1.058948843</v>
      </c>
      <c r="AK109" s="57">
        <f>IFERROR(__xludf.DUMMYFUNCTION("""COMPUTED_VALUE"""),1.0679065217586776)</f>
        <v>1.067906522</v>
      </c>
      <c r="AL109" s="57">
        <f>IFERROR(__xludf.DUMMYFUNCTION("""COMPUTED_VALUE"""),0.8230050651763989)</f>
        <v>0.8230050652</v>
      </c>
      <c r="AM109" s="57">
        <f>IFERROR(__xludf.DUMMYFUNCTION("""COMPUTED_VALUE"""),0.9587385815407785)</f>
        <v>0.9587385815</v>
      </c>
      <c r="AN109" s="57">
        <f>IFERROR(__xludf.DUMMYFUNCTION("""COMPUTED_VALUE"""),0.9602518145552813)</f>
        <v>0.9602518146</v>
      </c>
      <c r="AO109" s="57">
        <f>IFERROR(__xludf.DUMMYFUNCTION("""COMPUTED_VALUE"""),0.8866750070761901)</f>
        <v>0.8866750071</v>
      </c>
      <c r="AP109" s="35">
        <f>IFERROR(__xludf.DUMMYFUNCTION("""COMPUTED_VALUE"""),0.9235927441204711)</f>
        <v>0.9235927441</v>
      </c>
      <c r="AQ109" s="57">
        <f>IFERROR(__xludf.DUMMYFUNCTION("""COMPUTED_VALUE"""),1.0625091069112123)</f>
        <v>1.062509107</v>
      </c>
      <c r="AR109" s="36" t="b">
        <f>IFERROR(__xludf.DUMMYFUNCTION("""COMPUTED_VALUE"""),TRUE)</f>
        <v>1</v>
      </c>
      <c r="AS109" s="57"/>
      <c r="AT109" s="37"/>
      <c r="AU109" s="30"/>
      <c r="AV109" s="30"/>
      <c r="AW109" s="30"/>
      <c r="AX109" s="30"/>
      <c r="AY109" s="30"/>
      <c r="AZ109" s="30"/>
    </row>
    <row r="110">
      <c r="A110" s="30" t="str">
        <f>IFERROR(__xludf.DUMMYFUNCTION("""COMPUTED_VALUE"""),"Challenger")</f>
        <v>Challenger</v>
      </c>
      <c r="B110" s="30" t="str">
        <f>IFERROR(__xludf.DUMMYFUNCTION("""COMPUTED_VALUE"""),"RSC003387")</f>
        <v>RSC003387</v>
      </c>
      <c r="C110" s="30" t="str">
        <f>IFERROR(__xludf.DUMMYFUNCTION("""COMPUTED_VALUE"""),"Redline")</f>
        <v>Redline</v>
      </c>
      <c r="D110" s="31" t="str">
        <f>IFERROR(__xludf.DUMMYFUNCTION("""COMPUTED_VALUE"""),"Havarti Hustlers")</f>
        <v>Havarti Hustlers</v>
      </c>
      <c r="E110" s="31">
        <f>IFERROR(__xludf.DUMMYFUNCTION("""COMPUTED_VALUE"""),52.62244740050427)</f>
        <v>52.6224474</v>
      </c>
      <c r="F110" s="31">
        <f>IFERROR(__xludf.DUMMYFUNCTION("""COMPUTED_VALUE"""),2.1823177457164267)</f>
        <v>2.182317746</v>
      </c>
      <c r="G110" s="31">
        <f>IFERROR(__xludf.DUMMYFUNCTION("""COMPUTED_VALUE"""),46.18508339927814)</f>
        <v>46.1850834</v>
      </c>
      <c r="H110" s="31">
        <f>IFERROR(__xludf.DUMMYFUNCTION("""COMPUTED_VALUE"""),-2.276047312142127)</f>
        <v>-2.276047312</v>
      </c>
      <c r="I110" s="54">
        <f>IFERROR(__xludf.DUMMYFUNCTION("""COMPUTED_VALUE"""),31.0)</f>
        <v>31</v>
      </c>
      <c r="J110" s="55">
        <f>IFERROR(__xludf.DUMMYFUNCTION("""COMPUTED_VALUE"""),18.0)</f>
        <v>18</v>
      </c>
      <c r="K110" s="54">
        <f>IFERROR(__xludf.DUMMYFUNCTION("""COMPUTED_VALUE"""),13.0)</f>
        <v>13</v>
      </c>
      <c r="L110" s="56">
        <f>IFERROR(__xludf.DUMMYFUNCTION("""COMPUTED_VALUE"""),0.5806451612903226)</f>
        <v>0.5806451613</v>
      </c>
      <c r="M110" s="56">
        <f>IFERROR(__xludf.DUMMYFUNCTION("""COMPUTED_VALUE"""),0.2151898734177215)</f>
        <v>0.2151898734</v>
      </c>
      <c r="N110" s="31">
        <f>IFERROR(__xludf.DUMMYFUNCTION("""COMPUTED_VALUE"""),297.7741935483871)</f>
        <v>297.7741935</v>
      </c>
      <c r="O110" s="57">
        <f>IFERROR(__xludf.DUMMYFUNCTION("""COMPUTED_VALUE"""),0.5483870967741935)</f>
        <v>0.5483870968</v>
      </c>
      <c r="P110" s="57">
        <f>IFERROR(__xludf.DUMMYFUNCTION("""COMPUTED_VALUE"""),0.7096774193548387)</f>
        <v>0.7096774194</v>
      </c>
      <c r="Q110" s="57">
        <f>IFERROR(__xludf.DUMMYFUNCTION("""COMPUTED_VALUE"""),1.064516129032258)</f>
        <v>1.064516129</v>
      </c>
      <c r="R110" s="57">
        <f>IFERROR(__xludf.DUMMYFUNCTION("""COMPUTED_VALUE"""),2.5483870967741935)</f>
        <v>2.548387097</v>
      </c>
      <c r="S110" s="31">
        <f>IFERROR(__xludf.DUMMYFUNCTION("""COMPUTED_VALUE"""),322.91397849462356)</f>
        <v>322.9139785</v>
      </c>
      <c r="T110" s="57">
        <f>IFERROR(__xludf.DUMMYFUNCTION("""COMPUTED_VALUE"""),0.6451612903225806)</f>
        <v>0.6451612903</v>
      </c>
      <c r="U110" s="57">
        <f>IFERROR(__xludf.DUMMYFUNCTION("""COMPUTED_VALUE"""),0.4731182795698924)</f>
        <v>0.4731182796</v>
      </c>
      <c r="V110" s="57">
        <f>IFERROR(__xludf.DUMMYFUNCTION("""COMPUTED_VALUE"""),1.376344086021506)</f>
        <v>1.376344086</v>
      </c>
      <c r="W110" s="57">
        <f>IFERROR(__xludf.DUMMYFUNCTION("""COMPUTED_VALUE"""),2.096774193548387)</f>
        <v>2.096774194</v>
      </c>
      <c r="X110" s="31">
        <f>IFERROR(__xludf.DUMMYFUNCTION("""COMPUTED_VALUE"""),333.46786726185206)</f>
        <v>333.4678673</v>
      </c>
      <c r="Y110" s="57">
        <f>IFERROR(__xludf.DUMMYFUNCTION("""COMPUTED_VALUE"""),0.7566252433256595)</f>
        <v>0.7566252433</v>
      </c>
      <c r="Z110" s="57">
        <f>IFERROR(__xludf.DUMMYFUNCTION("""COMPUTED_VALUE"""),0.491886819289552)</f>
        <v>0.4918868193</v>
      </c>
      <c r="AA110" s="57">
        <f>IFERROR(__xludf.DUMMYFUNCTION("""COMPUTED_VALUE"""),1.2334652234889751)</f>
        <v>1.233465223</v>
      </c>
      <c r="AB110" s="57">
        <f>IFERROR(__xludf.DUMMYFUNCTION("""COMPUTED_VALUE"""),2.4055102102964567)</f>
        <v>2.40551021</v>
      </c>
      <c r="AC110" s="31">
        <f>IFERROR(__xludf.DUMMYFUNCTION("""COMPUTED_VALUE"""),332.5449835825918)</f>
        <v>332.5449836</v>
      </c>
      <c r="AD110" s="57">
        <f>IFERROR(__xludf.DUMMYFUNCTION("""COMPUTED_VALUE"""),0.7734746742631661)</f>
        <v>0.7734746743</v>
      </c>
      <c r="AE110" s="57">
        <f>IFERROR(__xludf.DUMMYFUNCTION("""COMPUTED_VALUE"""),0.5496725748078961)</f>
        <v>0.5496725748</v>
      </c>
      <c r="AF110" s="57">
        <f>IFERROR(__xludf.DUMMYFUNCTION("""COMPUTED_VALUE"""),1.202012751174749)</f>
        <v>1.202012751</v>
      </c>
      <c r="AG110" s="57">
        <f>IFERROR(__xludf.DUMMYFUNCTION("""COMPUTED_VALUE"""),2.450758178222226)</f>
        <v>2.450758178</v>
      </c>
      <c r="AH110" s="57">
        <f>IFERROR(__xludf.DUMMYFUNCTION("""COMPUTED_VALUE"""),0.8954403411544203)</f>
        <v>0.8954403412</v>
      </c>
      <c r="AI110" s="57">
        <f>IFERROR(__xludf.DUMMYFUNCTION("""COMPUTED_VALUE"""),0.708991664525542)</f>
        <v>0.7089916645</v>
      </c>
      <c r="AJ110" s="57">
        <f>IFERROR(__xludf.DUMMYFUNCTION("""COMPUTED_VALUE"""),1.2910911911565943)</f>
        <v>1.291091191</v>
      </c>
      <c r="AK110" s="57">
        <f>IFERROR(__xludf.DUMMYFUNCTION("""COMPUTED_VALUE"""),0.8856113447980373)</f>
        <v>0.8856113448</v>
      </c>
      <c r="AL110" s="57">
        <f>IFERROR(__xludf.DUMMYFUNCTION("""COMPUTED_VALUE"""),1.0398362104509173)</f>
        <v>1.03983621</v>
      </c>
      <c r="AM110" s="57">
        <f>IFERROR(__xludf.DUMMYFUNCTION("""COMPUTED_VALUE"""),0.9683511072479402)</f>
        <v>0.9683511072</v>
      </c>
      <c r="AN110" s="57">
        <f>IFERROR(__xludf.DUMMYFUNCTION("""COMPUTED_VALUE"""),0.8526827461992256)</f>
        <v>0.8526827462</v>
      </c>
      <c r="AO110" s="57">
        <f>IFERROR(__xludf.DUMMYFUNCTION("""COMPUTED_VALUE"""),0.9618437840095662)</f>
        <v>0.961843784</v>
      </c>
      <c r="AP110" s="35">
        <f>IFERROR(__xludf.DUMMYFUNCTION("""COMPUTED_VALUE"""),1.1158353391823923)</f>
        <v>1.115835339</v>
      </c>
      <c r="AQ110" s="57">
        <f>IFERROR(__xludf.DUMMYFUNCTION("""COMPUTED_VALUE"""),0.8716546637688056)</f>
        <v>0.8716546638</v>
      </c>
      <c r="AR110" s="36" t="b">
        <f>IFERROR(__xludf.DUMMYFUNCTION("""COMPUTED_VALUE"""),TRUE)</f>
        <v>1</v>
      </c>
      <c r="AS110" s="57"/>
      <c r="AT110" s="37"/>
      <c r="AU110" s="30"/>
      <c r="AV110" s="30"/>
      <c r="AW110" s="30"/>
      <c r="AX110" s="30"/>
      <c r="AY110" s="30"/>
      <c r="AZ110" s="30"/>
    </row>
    <row r="111">
      <c r="A111" s="30" t="str">
        <f>IFERROR(__xludf.DUMMYFUNCTION("""COMPUTED_VALUE"""),"Challenger")</f>
        <v>Challenger</v>
      </c>
      <c r="B111" s="30" t="str">
        <f>IFERROR(__xludf.DUMMYFUNCTION("""COMPUTED_VALUE"""),"RSC007589")</f>
        <v>RSC007589</v>
      </c>
      <c r="C111" s="30" t="str">
        <f>IFERROR(__xludf.DUMMYFUNCTION("""COMPUTED_VALUE"""),"LilBoneSamaTTV")</f>
        <v>LilBoneSamaTTV</v>
      </c>
      <c r="D111" s="31" t="str">
        <f>IFERROR(__xludf.DUMMYFUNCTION("""COMPUTED_VALUE"""),"Hydras")</f>
        <v>Hydras</v>
      </c>
      <c r="E111" s="31">
        <f>IFERROR(__xludf.DUMMYFUNCTION("""COMPUTED_VALUE"""),52.583823456179594)</f>
        <v>52.58382346</v>
      </c>
      <c r="F111" s="31">
        <f>IFERROR(__xludf.DUMMYFUNCTION("""COMPUTED_VALUE"""),2.179402147587326)</f>
        <v>2.179402148</v>
      </c>
      <c r="G111" s="31">
        <f>IFERROR(__xludf.DUMMYFUNCTION("""COMPUTED_VALUE"""),49.87701077566731)</f>
        <v>49.87701078</v>
      </c>
      <c r="H111" s="31">
        <f>IFERROR(__xludf.DUMMYFUNCTION("""COMPUTED_VALUE"""),-2.007881400922277)</f>
        <v>-2.007881401</v>
      </c>
      <c r="I111" s="54">
        <f>IFERROR(__xludf.DUMMYFUNCTION("""COMPUTED_VALUE"""),47.0)</f>
        <v>47</v>
      </c>
      <c r="J111" s="55">
        <f>IFERROR(__xludf.DUMMYFUNCTION("""COMPUTED_VALUE"""),25.0)</f>
        <v>25</v>
      </c>
      <c r="K111" s="54">
        <f>IFERROR(__xludf.DUMMYFUNCTION("""COMPUTED_VALUE"""),22.0)</f>
        <v>22</v>
      </c>
      <c r="L111" s="56">
        <f>IFERROR(__xludf.DUMMYFUNCTION("""COMPUTED_VALUE"""),0.5319148936170213)</f>
        <v>0.5319148936</v>
      </c>
      <c r="M111" s="56">
        <f>IFERROR(__xludf.DUMMYFUNCTION("""COMPUTED_VALUE"""),0.3428571428571429)</f>
        <v>0.3428571429</v>
      </c>
      <c r="N111" s="31">
        <f>IFERROR(__xludf.DUMMYFUNCTION("""COMPUTED_VALUE"""),364.8510638297872)</f>
        <v>364.8510638</v>
      </c>
      <c r="O111" s="57">
        <f>IFERROR(__xludf.DUMMYFUNCTION("""COMPUTED_VALUE"""),0.7659574468085106)</f>
        <v>0.7659574468</v>
      </c>
      <c r="P111" s="57">
        <f>IFERROR(__xludf.DUMMYFUNCTION("""COMPUTED_VALUE"""),0.44680851063829785)</f>
        <v>0.4468085106</v>
      </c>
      <c r="Q111" s="57">
        <f>IFERROR(__xludf.DUMMYFUNCTION("""COMPUTED_VALUE"""),1.5957446808510638)</f>
        <v>1.595744681</v>
      </c>
      <c r="R111" s="57">
        <f>IFERROR(__xludf.DUMMYFUNCTION("""COMPUTED_VALUE"""),2.234042553191489)</f>
        <v>2.234042553</v>
      </c>
      <c r="S111" s="31">
        <f>IFERROR(__xludf.DUMMYFUNCTION("""COMPUTED_VALUE"""),331.58156028368796)</f>
        <v>331.5815603</v>
      </c>
      <c r="T111" s="57">
        <f>IFERROR(__xludf.DUMMYFUNCTION("""COMPUTED_VALUE"""),0.7234042553191488)</f>
        <v>0.7234042553</v>
      </c>
      <c r="U111" s="57">
        <f>IFERROR(__xludf.DUMMYFUNCTION("""COMPUTED_VALUE"""),0.4964539007092199)</f>
        <v>0.4964539007</v>
      </c>
      <c r="V111" s="57">
        <f>IFERROR(__xludf.DUMMYFUNCTION("""COMPUTED_VALUE"""),1.2553191489361701)</f>
        <v>1.255319149</v>
      </c>
      <c r="W111" s="57">
        <f>IFERROR(__xludf.DUMMYFUNCTION("""COMPUTED_VALUE"""),2.5319148936170217)</f>
        <v>2.531914894</v>
      </c>
      <c r="X111" s="31">
        <f>IFERROR(__xludf.DUMMYFUNCTION("""COMPUTED_VALUE"""),334.6211330122683)</f>
        <v>334.621133</v>
      </c>
      <c r="Y111" s="57">
        <f>IFERROR(__xludf.DUMMYFUNCTION("""COMPUTED_VALUE"""),0.7587468686770936)</f>
        <v>0.7587468687</v>
      </c>
      <c r="Z111" s="57">
        <f>IFERROR(__xludf.DUMMYFUNCTION("""COMPUTED_VALUE"""),0.5283042921080591)</f>
        <v>0.5283042921</v>
      </c>
      <c r="AA111" s="57">
        <f>IFERROR(__xludf.DUMMYFUNCTION("""COMPUTED_VALUE"""),1.250641680468533)</f>
        <v>1.25064168</v>
      </c>
      <c r="AB111" s="57">
        <f>IFERROR(__xludf.DUMMYFUNCTION("""COMPUTED_VALUE"""),2.4542568756522325)</f>
        <v>2.454256876</v>
      </c>
      <c r="AC111" s="31">
        <f>IFERROR(__xludf.DUMMYFUNCTION("""COMPUTED_VALUE"""),336.20356734986433)</f>
        <v>336.2035673</v>
      </c>
      <c r="AD111" s="57">
        <f>IFERROR(__xludf.DUMMYFUNCTION("""COMPUTED_VALUE"""),0.7420015823447631)</f>
        <v>0.7420015823</v>
      </c>
      <c r="AE111" s="57">
        <f>IFERROR(__xludf.DUMMYFUNCTION("""COMPUTED_VALUE"""),0.5088407397540972)</f>
        <v>0.5088407398</v>
      </c>
      <c r="AF111" s="57">
        <f>IFERROR(__xludf.DUMMYFUNCTION("""COMPUTED_VALUE"""),1.2674611085890013)</f>
        <v>1.267461109</v>
      </c>
      <c r="AG111" s="57">
        <f>IFERROR(__xludf.DUMMYFUNCTION("""COMPUTED_VALUE"""),2.4667770491651915)</f>
        <v>2.466777049</v>
      </c>
      <c r="AH111" s="57">
        <f>IFERROR(__xludf.DUMMYFUNCTION("""COMPUTED_VALUE"""),1.085208782005907)</f>
        <v>1.085208782</v>
      </c>
      <c r="AI111" s="57">
        <f>IFERROR(__xludf.DUMMYFUNCTION("""COMPUTED_VALUE"""),1.0322854627722569)</f>
        <v>1.032285463</v>
      </c>
      <c r="AJ111" s="57">
        <f>IFERROR(__xludf.DUMMYFUNCTION("""COMPUTED_VALUE"""),0.8780910719810346)</f>
        <v>0.878091072</v>
      </c>
      <c r="AK111" s="57">
        <f>IFERROR(__xludf.DUMMYFUNCTION("""COMPUTED_VALUE"""),1.2590087932777074)</f>
        <v>1.259008793</v>
      </c>
      <c r="AL111" s="57">
        <f>IFERROR(__xludf.DUMMYFUNCTION("""COMPUTED_VALUE"""),0.9056523993311578)</f>
        <v>0.9056523993</v>
      </c>
      <c r="AM111" s="57">
        <f>IFERROR(__xludf.DUMMYFUNCTION("""COMPUTED_VALUE"""),0.9909163754804785)</f>
        <v>0.9909163755</v>
      </c>
      <c r="AN111" s="57">
        <f>IFERROR(__xludf.DUMMYFUNCTION("""COMPUTED_VALUE"""),0.9534197572115637)</f>
        <v>0.9534197572</v>
      </c>
      <c r="AO111" s="57">
        <f>IFERROR(__xludf.DUMMYFUNCTION("""COMPUTED_VALUE"""),0.9397120336241287)</f>
        <v>0.9397120336</v>
      </c>
      <c r="AP111" s="35">
        <f>IFERROR(__xludf.DUMMYFUNCTION("""COMPUTED_VALUE"""),1.003740054837997)</f>
        <v>1.003740055</v>
      </c>
      <c r="AQ111" s="57">
        <f>IFERROR(__xludf.DUMMYFUNCTION("""COMPUTED_VALUE"""),1.0316421719075968)</f>
        <v>1.031642172</v>
      </c>
      <c r="AR111" s="36" t="b">
        <f>IFERROR(__xludf.DUMMYFUNCTION("""COMPUTED_VALUE"""),TRUE)</f>
        <v>1</v>
      </c>
      <c r="AS111" s="57"/>
      <c r="AT111" s="37"/>
      <c r="AU111" s="30"/>
      <c r="AV111" s="30"/>
      <c r="AW111" s="30"/>
      <c r="AX111" s="30"/>
      <c r="AY111" s="30"/>
      <c r="AZ111" s="30"/>
    </row>
    <row r="112">
      <c r="A112" s="30" t="str">
        <f>IFERROR(__xludf.DUMMYFUNCTION("""COMPUTED_VALUE"""),"Challenger")</f>
        <v>Challenger</v>
      </c>
      <c r="B112" s="30" t="str">
        <f>IFERROR(__xludf.DUMMYFUNCTION("""COMPUTED_VALUE"""),"RSC002877")</f>
        <v>RSC002877</v>
      </c>
      <c r="C112" s="30" t="str">
        <f>IFERROR(__xludf.DUMMYFUNCTION("""COMPUTED_VALUE"""),"robophant")</f>
        <v>robophant</v>
      </c>
      <c r="D112" s="31" t="str">
        <f>IFERROR(__xludf.DUMMYFUNCTION("""COMPUTED_VALUE"""),"Hydras")</f>
        <v>Hydras</v>
      </c>
      <c r="E112" s="31">
        <f>IFERROR(__xludf.DUMMYFUNCTION("""COMPUTED_VALUE"""),51.764633174024496)</f>
        <v>51.76463317</v>
      </c>
      <c r="F112" s="31">
        <f>IFERROR(__xludf.DUMMYFUNCTION("""COMPUTED_VALUE"""),2.1192551750713466)</f>
        <v>2.119255175</v>
      </c>
      <c r="G112" s="31">
        <f>IFERROR(__xludf.DUMMYFUNCTION("""COMPUTED_VALUE"""),51.12690386394299)</f>
        <v>51.12690386</v>
      </c>
      <c r="H112" s="31">
        <f>IFERROR(__xludf.DUMMYFUNCTION("""COMPUTED_VALUE"""),2.074588493329202)</f>
        <v>2.074588493</v>
      </c>
      <c r="I112" s="54">
        <f>IFERROR(__xludf.DUMMYFUNCTION("""COMPUTED_VALUE"""),48.0)</f>
        <v>48</v>
      </c>
      <c r="J112" s="55">
        <f>IFERROR(__xludf.DUMMYFUNCTION("""COMPUTED_VALUE"""),25.0)</f>
        <v>25</v>
      </c>
      <c r="K112" s="54">
        <f>IFERROR(__xludf.DUMMYFUNCTION("""COMPUTED_VALUE"""),23.0)</f>
        <v>23</v>
      </c>
      <c r="L112" s="56">
        <f>IFERROR(__xludf.DUMMYFUNCTION("""COMPUTED_VALUE"""),0.5208333333333334)</f>
        <v>0.5208333333</v>
      </c>
      <c r="M112" s="56">
        <f>IFERROR(__xludf.DUMMYFUNCTION("""COMPUTED_VALUE"""),0.24603174603174605)</f>
        <v>0.246031746</v>
      </c>
      <c r="N112" s="31">
        <f>IFERROR(__xludf.DUMMYFUNCTION("""COMPUTED_VALUE"""),348.875)</f>
        <v>348.875</v>
      </c>
      <c r="O112" s="57">
        <f>IFERROR(__xludf.DUMMYFUNCTION("""COMPUTED_VALUE"""),0.6458333333333334)</f>
        <v>0.6458333333</v>
      </c>
      <c r="P112" s="57">
        <f>IFERROR(__xludf.DUMMYFUNCTION("""COMPUTED_VALUE"""),0.5)</f>
        <v>0.5</v>
      </c>
      <c r="Q112" s="57">
        <f>IFERROR(__xludf.DUMMYFUNCTION("""COMPUTED_VALUE"""),1.4375)</f>
        <v>1.4375</v>
      </c>
      <c r="R112" s="57">
        <f>IFERROR(__xludf.DUMMYFUNCTION("""COMPUTED_VALUE"""),2.625)</f>
        <v>2.625</v>
      </c>
      <c r="S112" s="31">
        <f>IFERROR(__xludf.DUMMYFUNCTION("""COMPUTED_VALUE"""),336.32638888888886)</f>
        <v>336.3263889</v>
      </c>
      <c r="T112" s="57">
        <f>IFERROR(__xludf.DUMMYFUNCTION("""COMPUTED_VALUE"""),0.7569444444444442)</f>
        <v>0.7569444444</v>
      </c>
      <c r="U112" s="57">
        <f>IFERROR(__xludf.DUMMYFUNCTION("""COMPUTED_VALUE"""),0.5277777777777778)</f>
        <v>0.5277777778</v>
      </c>
      <c r="V112" s="57">
        <f>IFERROR(__xludf.DUMMYFUNCTION("""COMPUTED_VALUE"""),1.236111111111111)</f>
        <v>1.236111111</v>
      </c>
      <c r="W112" s="57">
        <f>IFERROR(__xludf.DUMMYFUNCTION("""COMPUTED_VALUE"""),2.5763888888888893)</f>
        <v>2.576388889</v>
      </c>
      <c r="X112" s="31">
        <f>IFERROR(__xludf.DUMMYFUNCTION("""COMPUTED_VALUE"""),335.80215537865496)</f>
        <v>335.8021554</v>
      </c>
      <c r="Y112" s="57">
        <f>IFERROR(__xludf.DUMMYFUNCTION("""COMPUTED_VALUE"""),0.7649517966301218)</f>
        <v>0.7649517966</v>
      </c>
      <c r="Z112" s="57">
        <f>IFERROR(__xludf.DUMMYFUNCTION("""COMPUTED_VALUE"""),0.5335219993537521)</f>
        <v>0.5335219994</v>
      </c>
      <c r="AA112" s="57">
        <f>IFERROR(__xludf.DUMMYFUNCTION("""COMPUTED_VALUE"""),1.2520207342654326)</f>
        <v>1.252020734</v>
      </c>
      <c r="AB112" s="57">
        <f>IFERROR(__xludf.DUMMYFUNCTION("""COMPUTED_VALUE"""),2.46303119053724)</f>
        <v>2.463031191</v>
      </c>
      <c r="AC112" s="31">
        <f>IFERROR(__xludf.DUMMYFUNCTION("""COMPUTED_VALUE"""),335.7897518953237)</f>
        <v>335.7897519</v>
      </c>
      <c r="AD112" s="57">
        <f>IFERROR(__xludf.DUMMYFUNCTION("""COMPUTED_VALUE"""),0.7406291104509571)</f>
        <v>0.7406291105</v>
      </c>
      <c r="AE112" s="57">
        <f>IFERROR(__xludf.DUMMYFUNCTION("""COMPUTED_VALUE"""),0.5074167077426973)</f>
        <v>0.5074167077</v>
      </c>
      <c r="AF112" s="57">
        <f>IFERROR(__xludf.DUMMYFUNCTION("""COMPUTED_VALUE"""),1.2675432746101272)</f>
        <v>1.267543275</v>
      </c>
      <c r="AG112" s="57">
        <f>IFERROR(__xludf.DUMMYFUNCTION("""COMPUTED_VALUE"""),2.4660301971606002)</f>
        <v>2.466030197</v>
      </c>
      <c r="AH112" s="57">
        <f>IFERROR(__xludf.DUMMYFUNCTION("""COMPUTED_VALUE"""),1.0389685749217128)</f>
        <v>1.038968575</v>
      </c>
      <c r="AI112" s="57">
        <f>IFERROR(__xludf.DUMMYFUNCTION("""COMPUTED_VALUE"""),0.872006412143449)</f>
        <v>0.8720064121</v>
      </c>
      <c r="AJ112" s="57">
        <f>IFERROR(__xludf.DUMMYFUNCTION("""COMPUTED_VALUE"""),0.9853833986356275)</f>
        <v>0.9853833986</v>
      </c>
      <c r="AK112" s="57">
        <f>IFERROR(__xludf.DUMMYFUNCTION("""COMPUTED_VALUE"""),1.1340835684226627)</f>
        <v>1.134083568</v>
      </c>
      <c r="AL112" s="57">
        <f>IFERROR(__xludf.DUMMYFUNCTION("""COMPUTED_VALUE"""),1.0644638508573165)</f>
        <v>1.064463851</v>
      </c>
      <c r="AM112" s="57">
        <f>IFERROR(__xludf.DUMMYFUNCTION("""COMPUTED_VALUE"""),1.001561138014861)</f>
        <v>1.001561138</v>
      </c>
      <c r="AN112" s="57">
        <f>IFERROR(__xludf.DUMMYFUNCTION("""COMPUTED_VALUE"""),0.9895322133748129)</f>
        <v>0.9895322134</v>
      </c>
      <c r="AO112" s="57">
        <f>IFERROR(__xludf.DUMMYFUNCTION("""COMPUTED_VALUE"""),0.9892333932191508)</f>
        <v>0.9892333932</v>
      </c>
      <c r="AP112" s="35">
        <f>IFERROR(__xludf.DUMMYFUNCTION("""COMPUTED_VALUE"""),0.9872928437054551)</f>
        <v>0.9872928437</v>
      </c>
      <c r="AQ112" s="57">
        <f>IFERROR(__xludf.DUMMYFUNCTION("""COMPUTED_VALUE"""),1.0460236552371565)</f>
        <v>1.046023655</v>
      </c>
      <c r="AR112" s="36" t="b">
        <f>IFERROR(__xludf.DUMMYFUNCTION("""COMPUTED_VALUE"""),TRUE)</f>
        <v>1</v>
      </c>
      <c r="AS112" s="57"/>
      <c r="AT112" s="37"/>
      <c r="AU112" s="30"/>
      <c r="AV112" s="30"/>
      <c r="AW112" s="30"/>
      <c r="AX112" s="30"/>
      <c r="AY112" s="30"/>
      <c r="AZ112" s="30"/>
    </row>
    <row r="113">
      <c r="A113" s="30" t="str">
        <f>IFERROR(__xludf.DUMMYFUNCTION("""COMPUTED_VALUE"""),"Challenger")</f>
        <v>Challenger</v>
      </c>
      <c r="B113" s="30" t="str">
        <f>IFERROR(__xludf.DUMMYFUNCTION("""COMPUTED_VALUE"""),"RSC005859")</f>
        <v>RSC005859</v>
      </c>
      <c r="C113" s="30" t="str">
        <f>IFERROR(__xludf.DUMMYFUNCTION("""COMPUTED_VALUE"""),"LedTasso")</f>
        <v>LedTasso</v>
      </c>
      <c r="D113" s="31" t="str">
        <f>IFERROR(__xludf.DUMMYFUNCTION("""COMPUTED_VALUE"""),"Jock O Lanterns")</f>
        <v>Jock O Lanterns</v>
      </c>
      <c r="E113" s="31">
        <f>IFERROR(__xludf.DUMMYFUNCTION("""COMPUTED_VALUE"""),51.4593540888804)</f>
        <v>51.45935409</v>
      </c>
      <c r="F113" s="31">
        <f>IFERROR(__xludf.DUMMYFUNCTION("""COMPUTED_VALUE"""),2.0976440858466563)</f>
        <v>2.097644086</v>
      </c>
      <c r="G113" s="31">
        <f>IFERROR(__xludf.DUMMYFUNCTION("""COMPUTED_VALUE"""),41.90246664227186)</f>
        <v>41.90246664</v>
      </c>
      <c r="H113" s="31">
        <f>IFERROR(__xludf.DUMMYFUNCTION("""COMPUTED_VALUE"""),-2.6809193857808227)</f>
        <v>-2.680919386</v>
      </c>
      <c r="I113" s="54">
        <f>IFERROR(__xludf.DUMMYFUNCTION("""COMPUTED_VALUE"""),39.0)</f>
        <v>39</v>
      </c>
      <c r="J113" s="55">
        <f>IFERROR(__xludf.DUMMYFUNCTION("""COMPUTED_VALUE"""),15.0)</f>
        <v>15</v>
      </c>
      <c r="K113" s="54">
        <f>IFERROR(__xludf.DUMMYFUNCTION("""COMPUTED_VALUE"""),24.0)</f>
        <v>24</v>
      </c>
      <c r="L113" s="56">
        <f>IFERROR(__xludf.DUMMYFUNCTION("""COMPUTED_VALUE"""),0.38461538461538464)</f>
        <v>0.3846153846</v>
      </c>
      <c r="M113" s="56">
        <f>IFERROR(__xludf.DUMMYFUNCTION("""COMPUTED_VALUE"""),0.38709677419354843)</f>
        <v>0.3870967742</v>
      </c>
      <c r="N113" s="31">
        <f>IFERROR(__xludf.DUMMYFUNCTION("""COMPUTED_VALUE"""),320.38461538461536)</f>
        <v>320.3846154</v>
      </c>
      <c r="O113" s="57">
        <f>IFERROR(__xludf.DUMMYFUNCTION("""COMPUTED_VALUE"""),0.9230769230769231)</f>
        <v>0.9230769231</v>
      </c>
      <c r="P113" s="57">
        <f>IFERROR(__xludf.DUMMYFUNCTION("""COMPUTED_VALUE"""),0.4358974358974359)</f>
        <v>0.4358974359</v>
      </c>
      <c r="Q113" s="57">
        <f>IFERROR(__xludf.DUMMYFUNCTION("""COMPUTED_VALUE"""),0.9743589743589743)</f>
        <v>0.9743589744</v>
      </c>
      <c r="R113" s="57">
        <f>IFERROR(__xludf.DUMMYFUNCTION("""COMPUTED_VALUE"""),2.3846153846153846)</f>
        <v>2.384615385</v>
      </c>
      <c r="S113" s="31">
        <f>IFERROR(__xludf.DUMMYFUNCTION("""COMPUTED_VALUE"""),374.25641025641033)</f>
        <v>374.2564103</v>
      </c>
      <c r="T113" s="57">
        <f>IFERROR(__xludf.DUMMYFUNCTION("""COMPUTED_VALUE"""),0.9316239316239316)</f>
        <v>0.9316239316</v>
      </c>
      <c r="U113" s="57">
        <f>IFERROR(__xludf.DUMMYFUNCTION("""COMPUTED_VALUE"""),0.623931623931624)</f>
        <v>0.6239316239</v>
      </c>
      <c r="V113" s="57">
        <f>IFERROR(__xludf.DUMMYFUNCTION("""COMPUTED_VALUE"""),1.3675213675213673)</f>
        <v>1.367521368</v>
      </c>
      <c r="W113" s="57">
        <f>IFERROR(__xludf.DUMMYFUNCTION("""COMPUTED_VALUE"""),2.504273504273504)</f>
        <v>2.504273504</v>
      </c>
      <c r="X113" s="31">
        <f>IFERROR(__xludf.DUMMYFUNCTION("""COMPUTED_VALUE"""),342.287851352064)</f>
        <v>342.2878514</v>
      </c>
      <c r="Y113" s="57">
        <f>IFERROR(__xludf.DUMMYFUNCTION("""COMPUTED_VALUE"""),0.7976834286161854)</f>
        <v>0.7976834286</v>
      </c>
      <c r="Z113" s="57">
        <f>IFERROR(__xludf.DUMMYFUNCTION("""COMPUTED_VALUE"""),0.575590863704169)</f>
        <v>0.5755908637</v>
      </c>
      <c r="AA113" s="57">
        <f>IFERROR(__xludf.DUMMYFUNCTION("""COMPUTED_VALUE"""),1.2408235815875073)</f>
        <v>1.240823582</v>
      </c>
      <c r="AB113" s="57">
        <f>IFERROR(__xludf.DUMMYFUNCTION("""COMPUTED_VALUE"""),2.4458563627188514)</f>
        <v>2.445856363</v>
      </c>
      <c r="AC113" s="31">
        <f>IFERROR(__xludf.DUMMYFUNCTION("""COMPUTED_VALUE"""),332.87272040333426)</f>
        <v>332.8727204</v>
      </c>
      <c r="AD113" s="57">
        <f>IFERROR(__xludf.DUMMYFUNCTION("""COMPUTED_VALUE"""),0.776724063201233)</f>
        <v>0.7767240632</v>
      </c>
      <c r="AE113" s="57">
        <f>IFERROR(__xludf.DUMMYFUNCTION("""COMPUTED_VALUE"""),0.5216198066135457)</f>
        <v>0.5216198066</v>
      </c>
      <c r="AF113" s="57">
        <f>IFERROR(__xludf.DUMMYFUNCTION("""COMPUTED_VALUE"""),1.1866407882749865)</f>
        <v>1.186640788</v>
      </c>
      <c r="AG113" s="57">
        <f>IFERROR(__xludf.DUMMYFUNCTION("""COMPUTED_VALUE"""),2.470478193475927)</f>
        <v>2.470478193</v>
      </c>
      <c r="AH113" s="57">
        <f>IFERROR(__xludf.DUMMYFUNCTION("""COMPUTED_VALUE"""),0.9624838436637663)</f>
        <v>0.9624838437</v>
      </c>
      <c r="AI113" s="57">
        <f>IFERROR(__xludf.DUMMYFUNCTION("""COMPUTED_VALUE"""),1.188423233950682)</f>
        <v>1.188423234</v>
      </c>
      <c r="AJ113" s="57">
        <f>IFERROR(__xludf.DUMMYFUNCTION("""COMPUTED_VALUE"""),0.8356612045224364)</f>
        <v>0.8356612045</v>
      </c>
      <c r="AK113" s="57">
        <f>IFERROR(__xludf.DUMMYFUNCTION("""COMPUTED_VALUE"""),0.8211069297351516)</f>
        <v>0.8211069297</v>
      </c>
      <c r="AL113" s="57">
        <f>IFERROR(__xludf.DUMMYFUNCTION("""COMPUTED_VALUE"""),0.9652444578999767)</f>
        <v>0.9652444579</v>
      </c>
      <c r="AM113" s="57">
        <f>IFERROR(__xludf.DUMMYFUNCTION("""COMPUTED_VALUE"""),1.0933967091676435)</f>
        <v>1.093396709</v>
      </c>
      <c r="AN113" s="57">
        <f>IFERROR(__xludf.DUMMYFUNCTION("""COMPUTED_VALUE"""),1.167911853503219)</f>
        <v>1.167911854</v>
      </c>
      <c r="AO113" s="57">
        <f>IFERROR(__xludf.DUMMYFUNCTION("""COMPUTED_VALUE"""),1.0839845857113888)</f>
        <v>1.083984586</v>
      </c>
      <c r="AP113" s="35">
        <f>IFERROR(__xludf.DUMMYFUNCTION("""COMPUTED_VALUE"""),1.1021078159811915)</f>
        <v>1.102107816</v>
      </c>
      <c r="AQ113" s="57">
        <f>IFERROR(__xludf.DUMMYFUNCTION("""COMPUTED_VALUE"""),1.0238841260039142)</f>
        <v>1.023884126</v>
      </c>
      <c r="AR113" s="36" t="b">
        <f>IFERROR(__xludf.DUMMYFUNCTION("""COMPUTED_VALUE"""),TRUE)</f>
        <v>1</v>
      </c>
      <c r="AS113" s="57"/>
      <c r="AT113" s="37"/>
      <c r="AU113" s="30"/>
      <c r="AV113" s="30"/>
      <c r="AW113" s="30"/>
      <c r="AX113" s="30"/>
      <c r="AY113" s="30"/>
      <c r="AZ113" s="30"/>
    </row>
    <row r="114">
      <c r="A114" s="30" t="str">
        <f>IFERROR(__xludf.DUMMYFUNCTION("""COMPUTED_VALUE"""),"Challenger")</f>
        <v>Challenger</v>
      </c>
      <c r="B114" s="30" t="str">
        <f>IFERROR(__xludf.DUMMYFUNCTION("""COMPUTED_VALUE"""),"RSC006908")</f>
        <v>RSC006908</v>
      </c>
      <c r="C114" s="30" t="str">
        <f>IFERROR(__xludf.DUMMYFUNCTION("""COMPUTED_VALUE"""),"OvrSizedFrog")</f>
        <v>OvrSizedFrog</v>
      </c>
      <c r="D114" s="31" t="str">
        <f>IFERROR(__xludf.DUMMYFUNCTION("""COMPUTED_VALUE"""),"Toucans")</f>
        <v>Toucans</v>
      </c>
      <c r="E114" s="31">
        <f>IFERROR(__xludf.DUMMYFUNCTION("""COMPUTED_VALUE"""),51.12384719866536)</f>
        <v>51.1238472</v>
      </c>
      <c r="F114" s="31">
        <f>IFERROR(__xludf.DUMMYFUNCTION("""COMPUTED_VALUE"""),2.0743787935600198)</f>
        <v>2.074378794</v>
      </c>
      <c r="G114" s="31">
        <f>IFERROR(__xludf.DUMMYFUNCTION("""COMPUTED_VALUE"""),39.323382985016565)</f>
        <v>39.32338299</v>
      </c>
      <c r="H114" s="31">
        <f>IFERROR(__xludf.DUMMYFUNCTION("""COMPUTED_VALUE"""),-2.9880527905629948)</f>
        <v>-2.988052791</v>
      </c>
      <c r="I114" s="54">
        <f>IFERROR(__xludf.DUMMYFUNCTION("""COMPUTED_VALUE"""),21.0)</f>
        <v>21</v>
      </c>
      <c r="J114" s="55">
        <f>IFERROR(__xludf.DUMMYFUNCTION("""COMPUTED_VALUE"""),12.0)</f>
        <v>12</v>
      </c>
      <c r="K114" s="54">
        <f>IFERROR(__xludf.DUMMYFUNCTION("""COMPUTED_VALUE"""),9.0)</f>
        <v>9</v>
      </c>
      <c r="L114" s="56">
        <f>IFERROR(__xludf.DUMMYFUNCTION("""COMPUTED_VALUE"""),0.5714285714285714)</f>
        <v>0.5714285714</v>
      </c>
      <c r="M114" s="56">
        <f>IFERROR(__xludf.DUMMYFUNCTION("""COMPUTED_VALUE"""),0.4347826086956521)</f>
        <v>0.4347826087</v>
      </c>
      <c r="N114" s="31">
        <f>IFERROR(__xludf.DUMMYFUNCTION("""COMPUTED_VALUE"""),305.4761904761905)</f>
        <v>305.4761905</v>
      </c>
      <c r="O114" s="57">
        <f>IFERROR(__xludf.DUMMYFUNCTION("""COMPUTED_VALUE"""),0.9523809523809523)</f>
        <v>0.9523809524</v>
      </c>
      <c r="P114" s="57">
        <f>IFERROR(__xludf.DUMMYFUNCTION("""COMPUTED_VALUE"""),0.2857142857142857)</f>
        <v>0.2857142857</v>
      </c>
      <c r="Q114" s="57">
        <f>IFERROR(__xludf.DUMMYFUNCTION("""COMPUTED_VALUE"""),1.0)</f>
        <v>1</v>
      </c>
      <c r="R114" s="57">
        <f>IFERROR(__xludf.DUMMYFUNCTION("""COMPUTED_VALUE"""),2.1904761904761907)</f>
        <v>2.19047619</v>
      </c>
      <c r="S114" s="31">
        <f>IFERROR(__xludf.DUMMYFUNCTION("""COMPUTED_VALUE"""),322.9206349206349)</f>
        <v>322.9206349</v>
      </c>
      <c r="T114" s="57">
        <f>IFERROR(__xludf.DUMMYFUNCTION("""COMPUTED_VALUE"""),0.73015873015873)</f>
        <v>0.7301587302</v>
      </c>
      <c r="U114" s="57">
        <f>IFERROR(__xludf.DUMMYFUNCTION("""COMPUTED_VALUE"""),0.5238095238095238)</f>
        <v>0.5238095238</v>
      </c>
      <c r="V114" s="57">
        <f>IFERROR(__xludf.DUMMYFUNCTION("""COMPUTED_VALUE"""),1.1904761904761902)</f>
        <v>1.19047619</v>
      </c>
      <c r="W114" s="57">
        <f>IFERROR(__xludf.DUMMYFUNCTION("""COMPUTED_VALUE"""),2.3333333333333335)</f>
        <v>2.333333333</v>
      </c>
      <c r="X114" s="31">
        <f>IFERROR(__xludf.DUMMYFUNCTION("""COMPUTED_VALUE"""),336.46092845315496)</f>
        <v>336.4609285</v>
      </c>
      <c r="Y114" s="57">
        <f>IFERROR(__xludf.DUMMYFUNCTION("""COMPUTED_VALUE"""),0.7710244934244134)</f>
        <v>0.7710244934</v>
      </c>
      <c r="Z114" s="57">
        <f>IFERROR(__xludf.DUMMYFUNCTION("""COMPUTED_VALUE"""),0.5312441511509336)</f>
        <v>0.5312441512</v>
      </c>
      <c r="AA114" s="57">
        <f>IFERROR(__xludf.DUMMYFUNCTION("""COMPUTED_VALUE"""),1.169710042991068)</f>
        <v>1.169710043</v>
      </c>
      <c r="AB114" s="57">
        <f>IFERROR(__xludf.DUMMYFUNCTION("""COMPUTED_VALUE"""),2.5459024388707356)</f>
        <v>2.545902439</v>
      </c>
      <c r="AC114" s="31">
        <f>IFERROR(__xludf.DUMMYFUNCTION("""COMPUTED_VALUE"""),328.83678950527997)</f>
        <v>328.8367895</v>
      </c>
      <c r="AD114" s="57">
        <f>IFERROR(__xludf.DUMMYFUNCTION("""COMPUTED_VALUE"""),0.7123406589411062)</f>
        <v>0.7123406589</v>
      </c>
      <c r="AE114" s="57">
        <f>IFERROR(__xludf.DUMMYFUNCTION("""COMPUTED_VALUE"""),0.4973195419529544)</f>
        <v>0.497319542</v>
      </c>
      <c r="AF114" s="57">
        <f>IFERROR(__xludf.DUMMYFUNCTION("""COMPUTED_VALUE"""),1.2446645788744821)</f>
        <v>1.244664579</v>
      </c>
      <c r="AG114" s="57">
        <f>IFERROR(__xludf.DUMMYFUNCTION("""COMPUTED_VALUE"""),2.3153948635455714)</f>
        <v>2.315394864</v>
      </c>
      <c r="AH114" s="57">
        <f>IFERROR(__xludf.DUMMYFUNCTION("""COMPUTED_VALUE"""),0.9289598981177427)</f>
        <v>0.9289598981</v>
      </c>
      <c r="AI114" s="57">
        <f>IFERROR(__xludf.DUMMYFUNCTION("""COMPUTED_VALUE"""),1.3369740171741227)</f>
        <v>1.336974017</v>
      </c>
      <c r="AJ114" s="57">
        <f>IFERROR(__xludf.DUMMYFUNCTION("""COMPUTED_VALUE"""),0.5745084630945666)</f>
        <v>0.5745084631</v>
      </c>
      <c r="AK114" s="57">
        <f>IFERROR(__xludf.DUMMYFUNCTION("""COMPUTED_VALUE"""),0.8034293069577622)</f>
        <v>0.803429307</v>
      </c>
      <c r="AL114" s="57">
        <f>IFERROR(__xludf.DUMMYFUNCTION("""COMPUTED_VALUE"""),0.9460486524194441)</f>
        <v>0.9460486524</v>
      </c>
      <c r="AM114" s="57">
        <f>IFERROR(__xludf.DUMMYFUNCTION("""COMPUTED_VALUE"""),0.9597567135216258)</f>
        <v>0.9597567135</v>
      </c>
      <c r="AN114" s="57">
        <f>IFERROR(__xludf.DUMMYFUNCTION("""COMPUTED_VALUE"""),0.9469980997825596)</f>
        <v>0.9469980998</v>
      </c>
      <c r="AO114" s="57">
        <f>IFERROR(__xludf.DUMMYFUNCTION("""COMPUTED_VALUE"""),0.9860052532808075)</f>
        <v>0.9860052533</v>
      </c>
      <c r="AP114" s="35">
        <f>IFERROR(__xludf.DUMMYFUNCTION("""COMPUTED_VALUE"""),1.0177532437286945)</f>
        <v>1.017753244</v>
      </c>
      <c r="AQ114" s="57">
        <f>IFERROR(__xludf.DUMMYFUNCTION("""COMPUTED_VALUE"""),0.9165054000923579)</f>
        <v>0.9165054001</v>
      </c>
      <c r="AR114" s="36" t="b">
        <f>IFERROR(__xludf.DUMMYFUNCTION("""COMPUTED_VALUE"""),TRUE)</f>
        <v>1</v>
      </c>
      <c r="AS114" s="57"/>
      <c r="AT114" s="37"/>
      <c r="AU114" s="30"/>
      <c r="AV114" s="30"/>
      <c r="AW114" s="30"/>
      <c r="AX114" s="30"/>
      <c r="AY114" s="30"/>
      <c r="AZ114" s="30"/>
    </row>
    <row r="115">
      <c r="A115" s="30" t="str">
        <f>IFERROR(__xludf.DUMMYFUNCTION("""COMPUTED_VALUE"""),"Challenger")</f>
        <v>Challenger</v>
      </c>
      <c r="B115" s="30" t="str">
        <f>IFERROR(__xludf.DUMMYFUNCTION("""COMPUTED_VALUE"""),"RSC006643")</f>
        <v>RSC006643</v>
      </c>
      <c r="C115" s="30" t="str">
        <f>IFERROR(__xludf.DUMMYFUNCTION("""COMPUTED_VALUE"""),"Napkhan")</f>
        <v>Napkhan</v>
      </c>
      <c r="D115" s="31" t="str">
        <f>IFERROR(__xludf.DUMMYFUNCTION("""COMPUTED_VALUE"""),"Void")</f>
        <v>Void</v>
      </c>
      <c r="E115" s="31">
        <f>IFERROR(__xludf.DUMMYFUNCTION("""COMPUTED_VALUE"""),50.25208337029735)</f>
        <v>50.25208337</v>
      </c>
      <c r="F115" s="31">
        <f>IFERROR(__xludf.DUMMYFUNCTION("""COMPUTED_VALUE"""),2.0162209020886066)</f>
        <v>2.016220902</v>
      </c>
      <c r="G115" s="31">
        <f>IFERROR(__xludf.DUMMYFUNCTION("""COMPUTED_VALUE"""),43.40812626373272)</f>
        <v>43.40812626</v>
      </c>
      <c r="H115" s="31">
        <f>IFERROR(__xludf.DUMMYFUNCTION("""COMPUTED_VALUE"""),-2.5251555999438837)</f>
        <v>-2.5251556</v>
      </c>
      <c r="I115" s="54">
        <f>IFERROR(__xludf.DUMMYFUNCTION("""COMPUTED_VALUE"""),48.0)</f>
        <v>48</v>
      </c>
      <c r="J115" s="55">
        <f>IFERROR(__xludf.DUMMYFUNCTION("""COMPUTED_VALUE"""),28.0)</f>
        <v>28</v>
      </c>
      <c r="K115" s="54">
        <f>IFERROR(__xludf.DUMMYFUNCTION("""COMPUTED_VALUE"""),20.0)</f>
        <v>20</v>
      </c>
      <c r="L115" s="56">
        <f>IFERROR(__xludf.DUMMYFUNCTION("""COMPUTED_VALUE"""),0.5833333333333334)</f>
        <v>0.5833333333</v>
      </c>
      <c r="M115" s="56">
        <f>IFERROR(__xludf.DUMMYFUNCTION("""COMPUTED_VALUE"""),0.3445378151260504)</f>
        <v>0.3445378151</v>
      </c>
      <c r="N115" s="31">
        <f>IFERROR(__xludf.DUMMYFUNCTION("""COMPUTED_VALUE"""),333.0)</f>
        <v>333</v>
      </c>
      <c r="O115" s="57">
        <f>IFERROR(__xludf.DUMMYFUNCTION("""COMPUTED_VALUE"""),0.8541666666666666)</f>
        <v>0.8541666667</v>
      </c>
      <c r="P115" s="57">
        <f>IFERROR(__xludf.DUMMYFUNCTION("""COMPUTED_VALUE"""),0.2916666666666667)</f>
        <v>0.2916666667</v>
      </c>
      <c r="Q115" s="57">
        <f>IFERROR(__xludf.DUMMYFUNCTION("""COMPUTED_VALUE"""),1.375)</f>
        <v>1.375</v>
      </c>
      <c r="R115" s="57">
        <f>IFERROR(__xludf.DUMMYFUNCTION("""COMPUTED_VALUE"""),2.4791666666666665)</f>
        <v>2.479166667</v>
      </c>
      <c r="S115" s="31">
        <f>IFERROR(__xludf.DUMMYFUNCTION("""COMPUTED_VALUE"""),333.35416666666663)</f>
        <v>333.3541667</v>
      </c>
      <c r="T115" s="57">
        <f>IFERROR(__xludf.DUMMYFUNCTION("""COMPUTED_VALUE"""),0.7430555555555557)</f>
        <v>0.7430555556</v>
      </c>
      <c r="U115" s="57">
        <f>IFERROR(__xludf.DUMMYFUNCTION("""COMPUTED_VALUE"""),0.5208333333333334)</f>
        <v>0.5208333333</v>
      </c>
      <c r="V115" s="57">
        <f>IFERROR(__xludf.DUMMYFUNCTION("""COMPUTED_VALUE"""),1.138888888888889)</f>
        <v>1.138888889</v>
      </c>
      <c r="W115" s="57">
        <f>IFERROR(__xludf.DUMMYFUNCTION("""COMPUTED_VALUE"""),2.4791666666666665)</f>
        <v>2.479166667</v>
      </c>
      <c r="X115" s="31">
        <f>IFERROR(__xludf.DUMMYFUNCTION("""COMPUTED_VALUE"""),335.59700130051965)</f>
        <v>335.5970013</v>
      </c>
      <c r="Y115" s="57">
        <f>IFERROR(__xludf.DUMMYFUNCTION("""COMPUTED_VALUE"""),0.8031219584729485)</f>
        <v>0.8031219585</v>
      </c>
      <c r="Z115" s="57">
        <f>IFERROR(__xludf.DUMMYFUNCTION("""COMPUTED_VALUE"""),0.5201012236904362)</f>
        <v>0.5201012237</v>
      </c>
      <c r="AA115" s="57">
        <f>IFERROR(__xludf.DUMMYFUNCTION("""COMPUTED_VALUE"""),1.189227780660233)</f>
        <v>1.189227781</v>
      </c>
      <c r="AB115" s="57">
        <f>IFERROR(__xludf.DUMMYFUNCTION("""COMPUTED_VALUE"""),2.457057193792099)</f>
        <v>2.457057194</v>
      </c>
      <c r="AC115" s="31">
        <f>IFERROR(__xludf.DUMMYFUNCTION("""COMPUTED_VALUE"""),331.3015852115299)</f>
        <v>331.3015852</v>
      </c>
      <c r="AD115" s="57">
        <f>IFERROR(__xludf.DUMMYFUNCTION("""COMPUTED_VALUE"""),0.7557185205711376)</f>
        <v>0.7557185206</v>
      </c>
      <c r="AE115" s="57">
        <f>IFERROR(__xludf.DUMMYFUNCTION("""COMPUTED_VALUE"""),0.509071788380287)</f>
        <v>0.5090717884</v>
      </c>
      <c r="AF115" s="57">
        <f>IFERROR(__xludf.DUMMYFUNCTION("""COMPUTED_VALUE"""),1.217419755884196)</f>
        <v>1.217419756</v>
      </c>
      <c r="AG115" s="57">
        <f>IFERROR(__xludf.DUMMYFUNCTION("""COMPUTED_VALUE"""),2.4054686553216196)</f>
        <v>2.405468655</v>
      </c>
      <c r="AH115" s="57">
        <f>IFERROR(__xludf.DUMMYFUNCTION("""COMPUTED_VALUE"""),1.005126491584354)</f>
        <v>1.005126492</v>
      </c>
      <c r="AI115" s="57">
        <f>IFERROR(__xludf.DUMMYFUNCTION("""COMPUTED_VALUE"""),1.1302709188880622)</f>
        <v>1.130270919</v>
      </c>
      <c r="AJ115" s="57">
        <f>IFERROR(__xludf.DUMMYFUNCTION("""COMPUTED_VALUE"""),0.5729381853876879)</f>
        <v>0.5729381854</v>
      </c>
      <c r="AK115" s="57">
        <f>IFERROR(__xludf.DUMMYFUNCTION("""COMPUTED_VALUE"""),1.1294378897288024)</f>
        <v>1.12943789</v>
      </c>
      <c r="AL115" s="57">
        <f>IFERROR(__xludf.DUMMYFUNCTION("""COMPUTED_VALUE"""),1.030637693483141)</f>
        <v>1.030637693</v>
      </c>
      <c r="AM115" s="57">
        <f>IFERROR(__xludf.DUMMYFUNCTION("""COMPUTED_VALUE"""),0.9933168811843923)</f>
        <v>0.9933168812</v>
      </c>
      <c r="AN115" s="57">
        <f>IFERROR(__xludf.DUMMYFUNCTION("""COMPUTED_VALUE"""),0.9252088648757621)</f>
        <v>0.9252088649</v>
      </c>
      <c r="AO115" s="57">
        <f>IFERROR(__xludf.DUMMYFUNCTION("""COMPUTED_VALUE"""),1.001407629149)</f>
        <v>1.001407629</v>
      </c>
      <c r="AP115" s="35">
        <f>IFERROR(__xludf.DUMMYFUNCTION("""COMPUTED_VALUE"""),0.9576709419423445)</f>
        <v>0.9576709419</v>
      </c>
      <c r="AQ115" s="57">
        <f>IFERROR(__xludf.DUMMYFUNCTION("""COMPUTED_VALUE"""),1.0089983549957358)</f>
        <v>1.008998355</v>
      </c>
      <c r="AR115" s="36" t="b">
        <f>IFERROR(__xludf.DUMMYFUNCTION("""COMPUTED_VALUE"""),TRUE)</f>
        <v>1</v>
      </c>
      <c r="AS115" s="57"/>
      <c r="AT115" s="37"/>
      <c r="AU115" s="30"/>
      <c r="AV115" s="30"/>
      <c r="AW115" s="30"/>
      <c r="AX115" s="30"/>
      <c r="AY115" s="30"/>
      <c r="AZ115" s="30"/>
    </row>
    <row r="116">
      <c r="A116" s="30" t="str">
        <f>IFERROR(__xludf.DUMMYFUNCTION("""COMPUTED_VALUE"""),"Challenger")</f>
        <v>Challenger</v>
      </c>
      <c r="B116" s="30" t="str">
        <f>IFERROR(__xludf.DUMMYFUNCTION("""COMPUTED_VALUE"""),"RSC003978")</f>
        <v>RSC003978</v>
      </c>
      <c r="C116" s="30" t="str">
        <f>IFERROR(__xludf.DUMMYFUNCTION("""COMPUTED_VALUE"""),"thenio")</f>
        <v>thenio</v>
      </c>
      <c r="D116" s="31" t="str">
        <f>IFERROR(__xludf.DUMMYFUNCTION("""COMPUTED_VALUE"""),"Quarter")</f>
        <v>Quarter</v>
      </c>
      <c r="E116" s="31">
        <f>IFERROR(__xludf.DUMMYFUNCTION("""COMPUTED_VALUE"""),46.674363875551904)</f>
        <v>46.67436388</v>
      </c>
      <c r="F116" s="31">
        <f>IFERROR(__xludf.DUMMYFUNCTION("""COMPUTED_VALUE"""),-2.2367029924106827)</f>
        <v>-2.236702992</v>
      </c>
      <c r="G116" s="31">
        <f>IFERROR(__xludf.DUMMYFUNCTION("""COMPUTED_VALUE"""),44.805062495449334)</f>
        <v>44.8050625</v>
      </c>
      <c r="H116" s="31">
        <f>IFERROR(__xludf.DUMMYFUNCTION("""COMPUTED_VALUE"""),-2.3940997376194186)</f>
        <v>-2.394099738</v>
      </c>
      <c r="I116" s="54">
        <f>IFERROR(__xludf.DUMMYFUNCTION("""COMPUTED_VALUE"""),28.0)</f>
        <v>28</v>
      </c>
      <c r="J116" s="55">
        <f>IFERROR(__xludf.DUMMYFUNCTION("""COMPUTED_VALUE"""),8.0)</f>
        <v>8</v>
      </c>
      <c r="K116" s="54">
        <f>IFERROR(__xludf.DUMMYFUNCTION("""COMPUTED_VALUE"""),20.0)</f>
        <v>20</v>
      </c>
      <c r="L116" s="56">
        <f>IFERROR(__xludf.DUMMYFUNCTION("""COMPUTED_VALUE"""),0.2857142857142857)</f>
        <v>0.2857142857</v>
      </c>
      <c r="M116" s="56">
        <f>IFERROR(__xludf.DUMMYFUNCTION("""COMPUTED_VALUE"""),0.39999999999999997)</f>
        <v>0.4</v>
      </c>
      <c r="N116" s="31">
        <f>IFERROR(__xludf.DUMMYFUNCTION("""COMPUTED_VALUE"""),333.07142857142856)</f>
        <v>333.0714286</v>
      </c>
      <c r="O116" s="57">
        <f>IFERROR(__xludf.DUMMYFUNCTION("""COMPUTED_VALUE"""),0.9285714285714286)</f>
        <v>0.9285714286</v>
      </c>
      <c r="P116" s="57">
        <f>IFERROR(__xludf.DUMMYFUNCTION("""COMPUTED_VALUE"""),0.32142857142857145)</f>
        <v>0.3214285714</v>
      </c>
      <c r="Q116" s="57">
        <f>IFERROR(__xludf.DUMMYFUNCTION("""COMPUTED_VALUE"""),1.2142857142857142)</f>
        <v>1.214285714</v>
      </c>
      <c r="R116" s="57">
        <f>IFERROR(__xludf.DUMMYFUNCTION("""COMPUTED_VALUE"""),2.3214285714285716)</f>
        <v>2.321428571</v>
      </c>
      <c r="S116" s="31">
        <f>IFERROR(__xludf.DUMMYFUNCTION("""COMPUTED_VALUE"""),366.095238095238)</f>
        <v>366.0952381</v>
      </c>
      <c r="T116" s="57">
        <f>IFERROR(__xludf.DUMMYFUNCTION("""COMPUTED_VALUE"""),1.011904761904762)</f>
        <v>1.011904762</v>
      </c>
      <c r="U116" s="57">
        <f>IFERROR(__xludf.DUMMYFUNCTION("""COMPUTED_VALUE"""),0.69047619047619)</f>
        <v>0.6904761905</v>
      </c>
      <c r="V116" s="57">
        <f>IFERROR(__xludf.DUMMYFUNCTION("""COMPUTED_VALUE"""),0.9166666666666664)</f>
        <v>0.9166666667</v>
      </c>
      <c r="W116" s="57">
        <f>IFERROR(__xludf.DUMMYFUNCTION("""COMPUTED_VALUE"""),2.8809523809523805)</f>
        <v>2.880952381</v>
      </c>
      <c r="X116" s="31">
        <f>IFERROR(__xludf.DUMMYFUNCTION("""COMPUTED_VALUE"""),343.0095719496945)</f>
        <v>343.0095719</v>
      </c>
      <c r="Y116" s="57">
        <f>IFERROR(__xludf.DUMMYFUNCTION("""COMPUTED_VALUE"""),0.8073170249534287)</f>
        <v>0.807317025</v>
      </c>
      <c r="Z116" s="57">
        <f>IFERROR(__xludf.DUMMYFUNCTION("""COMPUTED_VALUE"""),0.5796901729473146)</f>
        <v>0.5796901729</v>
      </c>
      <c r="AA116" s="57">
        <f>IFERROR(__xludf.DUMMYFUNCTION("""COMPUTED_VALUE"""),1.2064097973503205)</f>
        <v>1.206409797</v>
      </c>
      <c r="AB116" s="57">
        <f>IFERROR(__xludf.DUMMYFUNCTION("""COMPUTED_VALUE"""),2.5752687915774515)</f>
        <v>2.575268792</v>
      </c>
      <c r="AC116" s="31">
        <f>IFERROR(__xludf.DUMMYFUNCTION("""COMPUTED_VALUE"""),332.367562818614)</f>
        <v>332.3675628</v>
      </c>
      <c r="AD116" s="57">
        <f>IFERROR(__xludf.DUMMYFUNCTION("""COMPUTED_VALUE"""),0.7441085799546856)</f>
        <v>0.74410858</v>
      </c>
      <c r="AE116" s="57">
        <f>IFERROR(__xludf.DUMMYFUNCTION("""COMPUTED_VALUE"""),0.49505524230204034)</f>
        <v>0.4950552423</v>
      </c>
      <c r="AF116" s="57">
        <f>IFERROR(__xludf.DUMMYFUNCTION("""COMPUTED_VALUE"""),1.2649483047727375)</f>
        <v>1.264948305</v>
      </c>
      <c r="AG116" s="57">
        <f>IFERROR(__xludf.DUMMYFUNCTION("""COMPUTED_VALUE"""),2.3705611878322097)</f>
        <v>2.370561188</v>
      </c>
      <c r="AH116" s="57">
        <f>IFERROR(__xludf.DUMMYFUNCTION("""COMPUTED_VALUE"""),1.0021177329906852)</f>
        <v>1.002117733</v>
      </c>
      <c r="AI116" s="57">
        <f>IFERROR(__xludf.DUMMYFUNCTION("""COMPUTED_VALUE"""),1.2478977579158896)</f>
        <v>1.247897758</v>
      </c>
      <c r="AJ116" s="57">
        <f>IFERROR(__xludf.DUMMYFUNCTION("""COMPUTED_VALUE"""),0.649278189508522)</f>
        <v>0.6492781895</v>
      </c>
      <c r="AK116" s="57">
        <f>IFERROR(__xludf.DUMMYFUNCTION("""COMPUTED_VALUE"""),0.9599488846335698)</f>
        <v>0.9599488846</v>
      </c>
      <c r="AL116" s="57">
        <f>IFERROR(__xludf.DUMMYFUNCTION("""COMPUTED_VALUE"""),0.9792738459332627)</f>
        <v>0.9792738459</v>
      </c>
      <c r="AM116" s="57">
        <f>IFERROR(__xludf.DUMMYFUNCTION("""COMPUTED_VALUE"""),1.0673032709096797)</f>
        <v>1.067303271</v>
      </c>
      <c r="AN116" s="57">
        <f>IFERROR(__xludf.DUMMYFUNCTION("""COMPUTED_VALUE"""),1.253416849425584)</f>
        <v>1.253416849</v>
      </c>
      <c r="AO116" s="57">
        <f>IFERROR(__xludf.DUMMYFUNCTION("""COMPUTED_VALUE"""),1.1911124643800788)</f>
        <v>1.191112464</v>
      </c>
      <c r="AP116" s="35">
        <f>IFERROR(__xludf.DUMMYFUNCTION("""COMPUTED_VALUE"""),0.7598302572475564)</f>
        <v>0.7598302572</v>
      </c>
      <c r="AQ116" s="57">
        <f>IFERROR(__xludf.DUMMYFUNCTION("""COMPUTED_VALUE"""),1.1186996830679123)</f>
        <v>1.118699683</v>
      </c>
      <c r="AR116" s="36" t="b">
        <f>IFERROR(__xludf.DUMMYFUNCTION("""COMPUTED_VALUE"""),TRUE)</f>
        <v>1</v>
      </c>
      <c r="AS116" s="57"/>
      <c r="AT116" s="37"/>
      <c r="AU116" s="30"/>
      <c r="AV116" s="30"/>
      <c r="AW116" s="30"/>
      <c r="AX116" s="30"/>
      <c r="AY116" s="30"/>
      <c r="AZ116" s="30"/>
    </row>
    <row r="117">
      <c r="A117" s="30" t="str">
        <f>IFERROR(__xludf.DUMMYFUNCTION("""COMPUTED_VALUE"""),"Challenger")</f>
        <v>Challenger</v>
      </c>
      <c r="B117" s="30" t="str">
        <f>IFERROR(__xludf.DUMMYFUNCTION("""COMPUTED_VALUE"""),"RSC000357")</f>
        <v>RSC000357</v>
      </c>
      <c r="C117" s="30" t="str">
        <f>IFERROR(__xludf.DUMMYFUNCTION("""COMPUTED_VALUE"""),"Primed")</f>
        <v>Primed</v>
      </c>
      <c r="D117" s="31" t="str">
        <f>IFERROR(__xludf.DUMMYFUNCTION("""COMPUTED_VALUE"""),"Decuriones")</f>
        <v>Decuriones</v>
      </c>
      <c r="E117" s="31">
        <f>IFERROR(__xludf.DUMMYFUNCTION("""COMPUTED_VALUE"""),46.133670690486646)</f>
        <v>46.13367069</v>
      </c>
      <c r="F117" s="31">
        <f>IFERROR(__xludf.DUMMYFUNCTION("""COMPUTED_VALUE"""),-2.280255357674911)</f>
        <v>-2.280255358</v>
      </c>
      <c r="G117" s="31">
        <f>IFERROR(__xludf.DUMMYFUNCTION("""COMPUTED_VALUE"""),43.09492499236311)</f>
        <v>43.09492499</v>
      </c>
      <c r="H117" s="31">
        <f>IFERROR(__xludf.DUMMYFUNCTION("""COMPUTED_VALUE"""),-2.5562628568203936)</f>
        <v>-2.556262857</v>
      </c>
      <c r="I117" s="54">
        <f>IFERROR(__xludf.DUMMYFUNCTION("""COMPUTED_VALUE"""),41.0)</f>
        <v>41</v>
      </c>
      <c r="J117" s="55">
        <f>IFERROR(__xludf.DUMMYFUNCTION("""COMPUTED_VALUE"""),24.0)</f>
        <v>24</v>
      </c>
      <c r="K117" s="54">
        <f>IFERROR(__xludf.DUMMYFUNCTION("""COMPUTED_VALUE"""),17.0)</f>
        <v>17</v>
      </c>
      <c r="L117" s="56">
        <f>IFERROR(__xludf.DUMMYFUNCTION("""COMPUTED_VALUE"""),0.5853658536585366)</f>
        <v>0.5853658537</v>
      </c>
      <c r="M117" s="56">
        <f>IFERROR(__xludf.DUMMYFUNCTION("""COMPUTED_VALUE"""),0.23809523809523808)</f>
        <v>0.2380952381</v>
      </c>
      <c r="N117" s="31">
        <f>IFERROR(__xludf.DUMMYFUNCTION("""COMPUTED_VALUE"""),282.4634146341463)</f>
        <v>282.4634146</v>
      </c>
      <c r="O117" s="57">
        <f>IFERROR(__xludf.DUMMYFUNCTION("""COMPUTED_VALUE"""),0.6097560975609756)</f>
        <v>0.6097560976</v>
      </c>
      <c r="P117" s="57">
        <f>IFERROR(__xludf.DUMMYFUNCTION("""COMPUTED_VALUE"""),0.4634146341463415)</f>
        <v>0.4634146341</v>
      </c>
      <c r="Q117" s="57">
        <f>IFERROR(__xludf.DUMMYFUNCTION("""COMPUTED_VALUE"""),0.975609756097561)</f>
        <v>0.9756097561</v>
      </c>
      <c r="R117" s="57">
        <f>IFERROR(__xludf.DUMMYFUNCTION("""COMPUTED_VALUE"""),2.5609756097560976)</f>
        <v>2.56097561</v>
      </c>
      <c r="S117" s="31">
        <f>IFERROR(__xludf.DUMMYFUNCTION("""COMPUTED_VALUE"""),306.9512195121951)</f>
        <v>306.9512195</v>
      </c>
      <c r="T117" s="57">
        <f>IFERROR(__xludf.DUMMYFUNCTION("""COMPUTED_VALUE"""),0.6260162601626017)</f>
        <v>0.6260162602</v>
      </c>
      <c r="U117" s="57">
        <f>IFERROR(__xludf.DUMMYFUNCTION("""COMPUTED_VALUE"""),0.4552845528455285)</f>
        <v>0.4552845528</v>
      </c>
      <c r="V117" s="57">
        <f>IFERROR(__xludf.DUMMYFUNCTION("""COMPUTED_VALUE"""),1.2439024390243905)</f>
        <v>1.243902439</v>
      </c>
      <c r="W117" s="57">
        <f>IFERROR(__xludf.DUMMYFUNCTION("""COMPUTED_VALUE"""),1.9512195121951224)</f>
        <v>1.951219512</v>
      </c>
      <c r="X117" s="31">
        <f>IFERROR(__xludf.DUMMYFUNCTION("""COMPUTED_VALUE"""),336.5821739280309)</f>
        <v>336.5821739</v>
      </c>
      <c r="Y117" s="57">
        <f>IFERROR(__xludf.DUMMYFUNCTION("""COMPUTED_VALUE"""),0.7428188484697509)</f>
        <v>0.7428188485</v>
      </c>
      <c r="Z117" s="57">
        <f>IFERROR(__xludf.DUMMYFUNCTION("""COMPUTED_VALUE"""),0.5248815355958159)</f>
        <v>0.5248815356</v>
      </c>
      <c r="AA117" s="57">
        <f>IFERROR(__xludf.DUMMYFUNCTION("""COMPUTED_VALUE"""),1.2926902926907722)</f>
        <v>1.292690293</v>
      </c>
      <c r="AB117" s="57">
        <f>IFERROR(__xludf.DUMMYFUNCTION("""COMPUTED_VALUE"""),2.3406584822978806)</f>
        <v>2.340658482</v>
      </c>
      <c r="AC117" s="31">
        <f>IFERROR(__xludf.DUMMYFUNCTION("""COMPUTED_VALUE"""),333.4245816075958)</f>
        <v>333.4245816</v>
      </c>
      <c r="AD117" s="57">
        <f>IFERROR(__xludf.DUMMYFUNCTION("""COMPUTED_VALUE"""),0.7590704212363537)</f>
        <v>0.7590704212</v>
      </c>
      <c r="AE117" s="57">
        <f>IFERROR(__xludf.DUMMYFUNCTION("""COMPUTED_VALUE"""),0.5321544812480158)</f>
        <v>0.5321544812</v>
      </c>
      <c r="AF117" s="57">
        <f>IFERROR(__xludf.DUMMYFUNCTION("""COMPUTED_VALUE"""),1.1861843221738857)</f>
        <v>1.186184322</v>
      </c>
      <c r="AG117" s="57">
        <f>IFERROR(__xludf.DUMMYFUNCTION("""COMPUTED_VALUE"""),2.5073290201076017)</f>
        <v>2.50732902</v>
      </c>
      <c r="AH117" s="57">
        <f>IFERROR(__xludf.DUMMYFUNCTION("""COMPUTED_VALUE"""),0.8471583386931405)</f>
        <v>0.8471583387</v>
      </c>
      <c r="AI117" s="57">
        <f>IFERROR(__xludf.DUMMYFUNCTION("""COMPUTED_VALUE"""),0.8032931866424476)</f>
        <v>0.8032931866</v>
      </c>
      <c r="AJ117" s="57">
        <f>IFERROR(__xludf.DUMMYFUNCTION("""COMPUTED_VALUE"""),0.8708272700429682)</f>
        <v>0.87082727</v>
      </c>
      <c r="AK117" s="57">
        <f>IFERROR(__xludf.DUMMYFUNCTION("""COMPUTED_VALUE"""),0.8224773653301952)</f>
        <v>0.8224773653</v>
      </c>
      <c r="AL117" s="57">
        <f>IFERROR(__xludf.DUMMYFUNCTION("""COMPUTED_VALUE"""),1.0213959114333522)</f>
        <v>1.021395911</v>
      </c>
      <c r="AM117" s="57">
        <f>IFERROR(__xludf.DUMMYFUNCTION("""COMPUTED_VALUE"""),0.911965170139487)</f>
        <v>0.9119651701</v>
      </c>
      <c r="AN117" s="57">
        <f>IFERROR(__xludf.DUMMYFUNCTION("""COMPUTED_VALUE"""),0.8427576406444597)</f>
        <v>0.8427576406</v>
      </c>
      <c r="AO117" s="57">
        <f>IFERROR(__xludf.DUMMYFUNCTION("""COMPUTED_VALUE"""),0.8674043988396642)</f>
        <v>0.8674043988</v>
      </c>
      <c r="AP117" s="35">
        <f>IFERROR(__xludf.DUMMYFUNCTION("""COMPUTED_VALUE"""),0.9622586678787319)</f>
        <v>0.9622586679</v>
      </c>
      <c r="AQ117" s="57">
        <f>IFERROR(__xludf.DUMMYFUNCTION("""COMPUTED_VALUE"""),0.8336199095049369)</f>
        <v>0.8336199095</v>
      </c>
      <c r="AR117" s="36" t="b">
        <f>IFERROR(__xludf.DUMMYFUNCTION("""COMPUTED_VALUE"""),TRUE)</f>
        <v>1</v>
      </c>
      <c r="AS117" s="57"/>
      <c r="AT117" s="37"/>
      <c r="AU117" s="30"/>
      <c r="AV117" s="30"/>
      <c r="AW117" s="30"/>
      <c r="AX117" s="30"/>
      <c r="AY117" s="30"/>
      <c r="AZ117" s="30"/>
    </row>
    <row r="118">
      <c r="A118" s="30" t="str">
        <f>IFERROR(__xludf.DUMMYFUNCTION("""COMPUTED_VALUE"""),"Challenger")</f>
        <v>Challenger</v>
      </c>
      <c r="B118" s="30" t="str">
        <f>IFERROR(__xludf.DUMMYFUNCTION("""COMPUTED_VALUE"""),"RSC000347")</f>
        <v>RSC000347</v>
      </c>
      <c r="C118" s="30" t="str">
        <f>IFERROR(__xludf.DUMMYFUNCTION("""COMPUTED_VALUE"""),"Chris.")</f>
        <v>Chris.</v>
      </c>
      <c r="D118" s="31" t="str">
        <f>IFERROR(__xludf.DUMMYFUNCTION("""COMPUTED_VALUE"""),"Zombies")</f>
        <v>Zombies</v>
      </c>
      <c r="E118" s="31">
        <f>IFERROR(__xludf.DUMMYFUNCTION("""COMPUTED_VALUE"""),45.34041531471094)</f>
        <v>45.34041531</v>
      </c>
      <c r="F118" s="31">
        <f>IFERROR(__xludf.DUMMYFUNCTION("""COMPUTED_VALUE"""),-2.347020832724502)</f>
        <v>-2.347020833</v>
      </c>
      <c r="G118" s="31">
        <f>IFERROR(__xludf.DUMMYFUNCTION("""COMPUTED_VALUE"""),34.16232296823328)</f>
        <v>34.16232297</v>
      </c>
      <c r="H118" s="31">
        <f>IFERROR(__xludf.DUMMYFUNCTION("""COMPUTED_VALUE"""),-3.799373634048776)</f>
        <v>-3.799373634</v>
      </c>
      <c r="I118" s="54">
        <f>IFERROR(__xludf.DUMMYFUNCTION("""COMPUTED_VALUE"""),15.0)</f>
        <v>15</v>
      </c>
      <c r="J118" s="55">
        <f>IFERROR(__xludf.DUMMYFUNCTION("""COMPUTED_VALUE"""),8.0)</f>
        <v>8</v>
      </c>
      <c r="K118" s="54">
        <f>IFERROR(__xludf.DUMMYFUNCTION("""COMPUTED_VALUE"""),7.0)</f>
        <v>7</v>
      </c>
      <c r="L118" s="56">
        <f>IFERROR(__xludf.DUMMYFUNCTION("""COMPUTED_VALUE"""),0.5333333333333333)</f>
        <v>0.5333333333</v>
      </c>
      <c r="M118" s="56">
        <f>IFERROR(__xludf.DUMMYFUNCTION("""COMPUTED_VALUE"""),0.3333333333333333)</f>
        <v>0.3333333333</v>
      </c>
      <c r="N118" s="31">
        <f>IFERROR(__xludf.DUMMYFUNCTION("""COMPUTED_VALUE"""),245.86666666666667)</f>
        <v>245.8666667</v>
      </c>
      <c r="O118" s="57">
        <f>IFERROR(__xludf.DUMMYFUNCTION("""COMPUTED_VALUE"""),0.6666666666666666)</f>
        <v>0.6666666667</v>
      </c>
      <c r="P118" s="57">
        <f>IFERROR(__xludf.DUMMYFUNCTION("""COMPUTED_VALUE"""),0.6)</f>
        <v>0.6</v>
      </c>
      <c r="Q118" s="57">
        <f>IFERROR(__xludf.DUMMYFUNCTION("""COMPUTED_VALUE"""),0.3333333333333333)</f>
        <v>0.3333333333</v>
      </c>
      <c r="R118" s="57">
        <f>IFERROR(__xludf.DUMMYFUNCTION("""COMPUTED_VALUE"""),2.0)</f>
        <v>2</v>
      </c>
      <c r="S118" s="31">
        <f>IFERROR(__xludf.DUMMYFUNCTION("""COMPUTED_VALUE"""),309.2)</f>
        <v>309.2</v>
      </c>
      <c r="T118" s="57">
        <f>IFERROR(__xludf.DUMMYFUNCTION("""COMPUTED_VALUE"""),0.7333333333333335)</f>
        <v>0.7333333333</v>
      </c>
      <c r="U118" s="57">
        <f>IFERROR(__xludf.DUMMYFUNCTION("""COMPUTED_VALUE"""),0.4888888888888889)</f>
        <v>0.4888888889</v>
      </c>
      <c r="V118" s="57">
        <f>IFERROR(__xludf.DUMMYFUNCTION("""COMPUTED_VALUE"""),1.0666666666666667)</f>
        <v>1.066666667</v>
      </c>
      <c r="W118" s="57">
        <f>IFERROR(__xludf.DUMMYFUNCTION("""COMPUTED_VALUE"""),2.3333333333333335)</f>
        <v>2.333333333</v>
      </c>
      <c r="X118" s="31">
        <f>IFERROR(__xludf.DUMMYFUNCTION("""COMPUTED_VALUE"""),329.4770509905214)</f>
        <v>329.477051</v>
      </c>
      <c r="Y118" s="57">
        <f>IFERROR(__xludf.DUMMYFUNCTION("""COMPUTED_VALUE"""),0.7573672219628382)</f>
        <v>0.757367222</v>
      </c>
      <c r="Z118" s="57">
        <f>IFERROR(__xludf.DUMMYFUNCTION("""COMPUTED_VALUE"""),0.5314313471682789)</f>
        <v>0.5314313472</v>
      </c>
      <c r="AA118" s="57">
        <f>IFERROR(__xludf.DUMMYFUNCTION("""COMPUTED_VALUE"""),1.1419826403548385)</f>
        <v>1.14198264</v>
      </c>
      <c r="AB118" s="57">
        <f>IFERROR(__xludf.DUMMYFUNCTION("""COMPUTED_VALUE"""),2.543987940131731)</f>
        <v>2.54398794</v>
      </c>
      <c r="AC118" s="31">
        <f>IFERROR(__xludf.DUMMYFUNCTION("""COMPUTED_VALUE"""),326.22991062252066)</f>
        <v>326.2299106</v>
      </c>
      <c r="AD118" s="57">
        <f>IFERROR(__xludf.DUMMYFUNCTION("""COMPUTED_VALUE"""),0.7000058142169698)</f>
        <v>0.7000058142</v>
      </c>
      <c r="AE118" s="57">
        <f>IFERROR(__xludf.DUMMYFUNCTION("""COMPUTED_VALUE"""),0.4848738316842395)</f>
        <v>0.4848738317</v>
      </c>
      <c r="AF118" s="57">
        <f>IFERROR(__xludf.DUMMYFUNCTION("""COMPUTED_VALUE"""),1.3189705189848968)</f>
        <v>1.318970519</v>
      </c>
      <c r="AG118" s="57">
        <f>IFERROR(__xludf.DUMMYFUNCTION("""COMPUTED_VALUE"""),2.207686992295396)</f>
        <v>2.207686992</v>
      </c>
      <c r="AH118" s="57">
        <f>IFERROR(__xludf.DUMMYFUNCTION("""COMPUTED_VALUE"""),0.7536607118504165)</f>
        <v>0.7536607119</v>
      </c>
      <c r="AI118" s="57">
        <f>IFERROR(__xludf.DUMMYFUNCTION("""COMPUTED_VALUE"""),0.9523730419473779)</f>
        <v>0.9523730419</v>
      </c>
      <c r="AJ118" s="57">
        <f>IFERROR(__xludf.DUMMYFUNCTION("""COMPUTED_VALUE"""),1.2374353095440571)</f>
        <v>1.23743531</v>
      </c>
      <c r="AK118" s="57">
        <f>IFERROR(__xludf.DUMMYFUNCTION("""COMPUTED_VALUE"""),0.2527223531803217)</f>
        <v>0.2527223532</v>
      </c>
      <c r="AL118" s="57">
        <f>IFERROR(__xludf.DUMMYFUNCTION("""COMPUTED_VALUE"""),0.9059255261184206)</f>
        <v>0.9059255261</v>
      </c>
      <c r="AM118" s="57">
        <f>IFERROR(__xludf.DUMMYFUNCTION("""COMPUTED_VALUE"""),0.9384568639012593)</f>
        <v>0.9384568639</v>
      </c>
      <c r="AN118" s="57">
        <f>IFERROR(__xludf.DUMMYFUNCTION("""COMPUTED_VALUE"""),0.9682665318321843)</f>
        <v>0.9682665318</v>
      </c>
      <c r="AO118" s="57">
        <f>IFERROR(__xludf.DUMMYFUNCTION("""COMPUTED_VALUE"""),0.9199474052366752)</f>
        <v>0.9199474052</v>
      </c>
      <c r="AP118" s="35">
        <f>IFERROR(__xludf.DUMMYFUNCTION("""COMPUTED_VALUE"""),0.9340480572762738)</f>
        <v>0.9340480573</v>
      </c>
      <c r="AQ118" s="57">
        <f>IFERROR(__xludf.DUMMYFUNCTION("""COMPUTED_VALUE"""),0.9171951236579016)</f>
        <v>0.9171951237</v>
      </c>
      <c r="AR118" s="36" t="b">
        <f>IFERROR(__xludf.DUMMYFUNCTION("""COMPUTED_VALUE"""),TRUE)</f>
        <v>1</v>
      </c>
      <c r="AS118" s="57"/>
      <c r="AT118" s="37"/>
      <c r="AU118" s="30"/>
      <c r="AV118" s="30"/>
      <c r="AW118" s="30"/>
      <c r="AX118" s="30"/>
      <c r="AY118" s="30"/>
      <c r="AZ118" s="30"/>
    </row>
    <row r="119">
      <c r="A119" s="30" t="str">
        <f>IFERROR(__xludf.DUMMYFUNCTION("""COMPUTED_VALUE"""),"Challenger")</f>
        <v>Challenger</v>
      </c>
      <c r="B119" s="30" t="str">
        <f>IFERROR(__xludf.DUMMYFUNCTION("""COMPUTED_VALUE"""),"RSC007065")</f>
        <v>RSC007065</v>
      </c>
      <c r="C119" s="30" t="str">
        <f>IFERROR(__xludf.DUMMYFUNCTION("""COMPUTED_VALUE"""),"Rampage")</f>
        <v>Rampage</v>
      </c>
      <c r="D119" s="31" t="str">
        <f>IFERROR(__xludf.DUMMYFUNCTION("""COMPUTED_VALUE"""),"Havarti Hustlers")</f>
        <v>Havarti Hustlers</v>
      </c>
      <c r="E119" s="31">
        <f>IFERROR(__xludf.DUMMYFUNCTION("""COMPUTED_VALUE"""),45.2181542712261)</f>
        <v>45.21815427</v>
      </c>
      <c r="F119" s="31">
        <f>IFERROR(__xludf.DUMMYFUNCTION("""COMPUTED_VALUE"""),-2.357625740401877)</f>
        <v>-2.35762574</v>
      </c>
      <c r="G119" s="31">
        <f>IFERROR(__xludf.DUMMYFUNCTION("""COMPUTED_VALUE"""),40.303543542407425)</f>
        <v>40.30354354</v>
      </c>
      <c r="H119" s="31">
        <f>IFERROR(__xludf.DUMMYFUNCTION("""COMPUTED_VALUE"""),-2.864833175536504)</f>
        <v>-2.864833176</v>
      </c>
      <c r="I119" s="54">
        <f>IFERROR(__xludf.DUMMYFUNCTION("""COMPUTED_VALUE"""),21.0)</f>
        <v>21</v>
      </c>
      <c r="J119" s="55">
        <f>IFERROR(__xludf.DUMMYFUNCTION("""COMPUTED_VALUE"""),7.0)</f>
        <v>7</v>
      </c>
      <c r="K119" s="54">
        <f>IFERROR(__xludf.DUMMYFUNCTION("""COMPUTED_VALUE"""),14.0)</f>
        <v>14</v>
      </c>
      <c r="L119" s="56">
        <f>IFERROR(__xludf.DUMMYFUNCTION("""COMPUTED_VALUE"""),0.3333333333333333)</f>
        <v>0.3333333333</v>
      </c>
      <c r="M119" s="56">
        <f>IFERROR(__xludf.DUMMYFUNCTION("""COMPUTED_VALUE"""),0.23636363636363636)</f>
        <v>0.2363636364</v>
      </c>
      <c r="N119" s="31">
        <f>IFERROR(__xludf.DUMMYFUNCTION("""COMPUTED_VALUE"""),316.42857142857144)</f>
        <v>316.4285714</v>
      </c>
      <c r="O119" s="57">
        <f>IFERROR(__xludf.DUMMYFUNCTION("""COMPUTED_VALUE"""),0.6190476190476191)</f>
        <v>0.619047619</v>
      </c>
      <c r="P119" s="57">
        <f>IFERROR(__xludf.DUMMYFUNCTION("""COMPUTED_VALUE"""),0.5714285714285714)</f>
        <v>0.5714285714</v>
      </c>
      <c r="Q119" s="57">
        <f>IFERROR(__xludf.DUMMYFUNCTION("""COMPUTED_VALUE"""),1.0952380952380953)</f>
        <v>1.095238095</v>
      </c>
      <c r="R119" s="57">
        <f>IFERROR(__xludf.DUMMYFUNCTION("""COMPUTED_VALUE"""),2.619047619047619)</f>
        <v>2.619047619</v>
      </c>
      <c r="S119" s="31">
        <f>IFERROR(__xludf.DUMMYFUNCTION("""COMPUTED_VALUE"""),380.2063492063492)</f>
        <v>380.2063492</v>
      </c>
      <c r="T119" s="57">
        <f>IFERROR(__xludf.DUMMYFUNCTION("""COMPUTED_VALUE"""),0.8412698412698412)</f>
        <v>0.8412698413</v>
      </c>
      <c r="U119" s="57">
        <f>IFERROR(__xludf.DUMMYFUNCTION("""COMPUTED_VALUE"""),0.5079365079365078)</f>
        <v>0.5079365079</v>
      </c>
      <c r="V119" s="57">
        <f>IFERROR(__xludf.DUMMYFUNCTION("""COMPUTED_VALUE"""),1.5873015873015874)</f>
        <v>1.587301587</v>
      </c>
      <c r="W119" s="57">
        <f>IFERROR(__xludf.DUMMYFUNCTION("""COMPUTED_VALUE"""),2.365079365079365)</f>
        <v>2.365079365</v>
      </c>
      <c r="X119" s="31">
        <f>IFERROR(__xludf.DUMMYFUNCTION("""COMPUTED_VALUE"""),338.3511402010599)</f>
        <v>338.3511402</v>
      </c>
      <c r="Y119" s="57">
        <f>IFERROR(__xludf.DUMMYFUNCTION("""COMPUTED_VALUE"""),0.7533337629875227)</f>
        <v>0.753333763</v>
      </c>
      <c r="Z119" s="57">
        <f>IFERROR(__xludf.DUMMYFUNCTION("""COMPUTED_VALUE"""),0.5173620430899847)</f>
        <v>0.5173620431</v>
      </c>
      <c r="AA119" s="57">
        <f>IFERROR(__xludf.DUMMYFUNCTION("""COMPUTED_VALUE"""),1.3110421811024207)</f>
        <v>1.311042181</v>
      </c>
      <c r="AB119" s="57">
        <f>IFERROR(__xludf.DUMMYFUNCTION("""COMPUTED_VALUE"""),2.293218547596658)</f>
        <v>2.293218548</v>
      </c>
      <c r="AC119" s="31">
        <f>IFERROR(__xludf.DUMMYFUNCTION("""COMPUTED_VALUE"""),337.55058491376707)</f>
        <v>337.5505849</v>
      </c>
      <c r="AD119" s="57">
        <f>IFERROR(__xludf.DUMMYFUNCTION("""COMPUTED_VALUE"""),0.8162179437848277)</f>
        <v>0.8162179438</v>
      </c>
      <c r="AE119" s="57">
        <f>IFERROR(__xludf.DUMMYFUNCTION("""COMPUTED_VALUE"""),0.5608818795137679)</f>
        <v>0.5608818795</v>
      </c>
      <c r="AF119" s="57">
        <f>IFERROR(__xludf.DUMMYFUNCTION("""COMPUTED_VALUE"""),1.1368295798647614)</f>
        <v>1.13682958</v>
      </c>
      <c r="AG119" s="57">
        <f>IFERROR(__xludf.DUMMYFUNCTION("""COMPUTED_VALUE"""),2.603772066050343)</f>
        <v>2.603772066</v>
      </c>
      <c r="AH119" s="57">
        <f>IFERROR(__xludf.DUMMYFUNCTION("""COMPUTED_VALUE"""),0.9374256350626926)</f>
        <v>0.9374256351</v>
      </c>
      <c r="AI119" s="57">
        <f>IFERROR(__xludf.DUMMYFUNCTION("""COMPUTED_VALUE"""),0.7584342193913016)</f>
        <v>0.7584342194</v>
      </c>
      <c r="AJ119" s="57">
        <f>IFERROR(__xludf.DUMMYFUNCTION("""COMPUTED_VALUE"""),1.0188037665327083)</f>
        <v>1.018803767</v>
      </c>
      <c r="AK119" s="57">
        <f>IFERROR(__xludf.DUMMYFUNCTION("""COMPUTED_VALUE"""),0.9634144946935548)</f>
        <v>0.9634144947</v>
      </c>
      <c r="AL119" s="57">
        <f>IFERROR(__xludf.DUMMYFUNCTION("""COMPUTED_VALUE"""),1.0058667013124722)</f>
        <v>1.005866701</v>
      </c>
      <c r="AM119" s="57">
        <f>IFERROR(__xludf.DUMMYFUNCTION("""COMPUTED_VALUE"""),1.1237034667015384)</f>
        <v>1.123703467</v>
      </c>
      <c r="AN119" s="57">
        <f>IFERROR(__xludf.DUMMYFUNCTION("""COMPUTED_VALUE"""),1.116729240879351)</f>
        <v>1.116729241</v>
      </c>
      <c r="AO119" s="57">
        <f>IFERROR(__xludf.DUMMYFUNCTION("""COMPUTED_VALUE"""),0.9817815487638364)</f>
        <v>0.9817815488</v>
      </c>
      <c r="AP119" s="35">
        <f>IFERROR(__xludf.DUMMYFUNCTION("""COMPUTED_VALUE"""),1.210717404963178)</f>
        <v>1.210717405</v>
      </c>
      <c r="AQ119" s="57">
        <f>IFERROR(__xludf.DUMMYFUNCTION("""COMPUTED_VALUE"""),1.0313362272244042)</f>
        <v>1.031336227</v>
      </c>
      <c r="AR119" s="36" t="b">
        <f>IFERROR(__xludf.DUMMYFUNCTION("""COMPUTED_VALUE"""),TRUE)</f>
        <v>1</v>
      </c>
      <c r="AS119" s="57"/>
      <c r="AT119" s="37"/>
      <c r="AU119" s="30"/>
      <c r="AV119" s="30"/>
      <c r="AW119" s="30"/>
      <c r="AX119" s="30"/>
      <c r="AY119" s="30"/>
      <c r="AZ119" s="30"/>
    </row>
    <row r="120">
      <c r="A120" s="30" t="str">
        <f>IFERROR(__xludf.DUMMYFUNCTION("""COMPUTED_VALUE"""),"Challenger")</f>
        <v>Challenger</v>
      </c>
      <c r="B120" s="30" t="str">
        <f>IFERROR(__xludf.DUMMYFUNCTION("""COMPUTED_VALUE"""),"RSC006777")</f>
        <v>RSC006777</v>
      </c>
      <c r="C120" s="30" t="str">
        <f>IFERROR(__xludf.DUMMYFUNCTION("""COMPUTED_VALUE"""),"AlteredSp4rky")</f>
        <v>AlteredSp4rky</v>
      </c>
      <c r="D120" s="31" t="str">
        <f>IFERROR(__xludf.DUMMYFUNCTION("""COMPUTED_VALUE"""),"Toucans")</f>
        <v>Toucans</v>
      </c>
      <c r="E120" s="31">
        <f>IFERROR(__xludf.DUMMYFUNCTION("""COMPUTED_VALUE"""),45.10641155274297)</f>
        <v>45.10641155</v>
      </c>
      <c r="F120" s="31">
        <f>IFERROR(__xludf.DUMMYFUNCTION("""COMPUTED_VALUE"""),-2.3673936825696655)</f>
        <v>-2.367393683</v>
      </c>
      <c r="G120" s="31">
        <f>IFERROR(__xludf.DUMMYFUNCTION("""COMPUTED_VALUE"""),57.0468227554717)</f>
        <v>57.04682276</v>
      </c>
      <c r="H120" s="31">
        <f>IFERROR(__xludf.DUMMYFUNCTION("""COMPUTED_VALUE"""),2.5705587460177064)</f>
        <v>2.570558746</v>
      </c>
      <c r="I120" s="54">
        <f>IFERROR(__xludf.DUMMYFUNCTION("""COMPUTED_VALUE"""),29.0)</f>
        <v>29</v>
      </c>
      <c r="J120" s="55">
        <f>IFERROR(__xludf.DUMMYFUNCTION("""COMPUTED_VALUE"""),16.0)</f>
        <v>16</v>
      </c>
      <c r="K120" s="54">
        <f>IFERROR(__xludf.DUMMYFUNCTION("""COMPUTED_VALUE"""),13.0)</f>
        <v>13</v>
      </c>
      <c r="L120" s="56">
        <f>IFERROR(__xludf.DUMMYFUNCTION("""COMPUTED_VALUE"""),0.5517241379310345)</f>
        <v>0.5517241379</v>
      </c>
      <c r="M120" s="56">
        <f>IFERROR(__xludf.DUMMYFUNCTION("""COMPUTED_VALUE"""),0.2698412698412698)</f>
        <v>0.2698412698</v>
      </c>
      <c r="N120" s="31">
        <f>IFERROR(__xludf.DUMMYFUNCTION("""COMPUTED_VALUE"""),320.2758620689655)</f>
        <v>320.2758621</v>
      </c>
      <c r="O120" s="57">
        <f>IFERROR(__xludf.DUMMYFUNCTION("""COMPUTED_VALUE"""),0.5862068965517241)</f>
        <v>0.5862068966</v>
      </c>
      <c r="P120" s="57">
        <f>IFERROR(__xludf.DUMMYFUNCTION("""COMPUTED_VALUE"""),0.6206896551724138)</f>
        <v>0.6206896552</v>
      </c>
      <c r="Q120" s="57">
        <f>IFERROR(__xludf.DUMMYFUNCTION("""COMPUTED_VALUE"""),1.2758620689655173)</f>
        <v>1.275862069</v>
      </c>
      <c r="R120" s="57">
        <f>IFERROR(__xludf.DUMMYFUNCTION("""COMPUTED_VALUE"""),2.1724137931034484)</f>
        <v>2.172413793</v>
      </c>
      <c r="S120" s="31">
        <f>IFERROR(__xludf.DUMMYFUNCTION("""COMPUTED_VALUE"""),308.0114942528736)</f>
        <v>308.0114943</v>
      </c>
      <c r="T120" s="57">
        <f>IFERROR(__xludf.DUMMYFUNCTION("""COMPUTED_VALUE"""),0.724137931034483)</f>
        <v>0.724137931</v>
      </c>
      <c r="U120" s="57">
        <f>IFERROR(__xludf.DUMMYFUNCTION("""COMPUTED_VALUE"""),0.471264367816092)</f>
        <v>0.4712643678</v>
      </c>
      <c r="V120" s="57">
        <f>IFERROR(__xludf.DUMMYFUNCTION("""COMPUTED_VALUE"""),1.0804597701149423)</f>
        <v>1.08045977</v>
      </c>
      <c r="W120" s="57">
        <f>IFERROR(__xludf.DUMMYFUNCTION("""COMPUTED_VALUE"""),2.172413793103448)</f>
        <v>2.172413793</v>
      </c>
      <c r="X120" s="31">
        <f>IFERROR(__xludf.DUMMYFUNCTION("""COMPUTED_VALUE"""),315.5043603795483)</f>
        <v>315.5043604</v>
      </c>
      <c r="Y120" s="57">
        <f>IFERROR(__xludf.DUMMYFUNCTION("""COMPUTED_VALUE"""),0.7093278595070628)</f>
        <v>0.7093278595</v>
      </c>
      <c r="Z120" s="57">
        <f>IFERROR(__xludf.DUMMYFUNCTION("""COMPUTED_VALUE"""),0.47849989732392895)</f>
        <v>0.4784998973</v>
      </c>
      <c r="AA120" s="57">
        <f>IFERROR(__xludf.DUMMYFUNCTION("""COMPUTED_VALUE"""),1.1233219651216986)</f>
        <v>1.123321965</v>
      </c>
      <c r="AB120" s="57">
        <f>IFERROR(__xludf.DUMMYFUNCTION("""COMPUTED_VALUE"""),2.3151517767067316)</f>
        <v>2.315151777</v>
      </c>
      <c r="AC120" s="31">
        <f>IFERROR(__xludf.DUMMYFUNCTION("""COMPUTED_VALUE"""),332.58544265247184)</f>
        <v>332.5854427</v>
      </c>
      <c r="AD120" s="57">
        <f>IFERROR(__xludf.DUMMYFUNCTION("""COMPUTED_VALUE"""),0.8086392431067876)</f>
        <v>0.8086392431</v>
      </c>
      <c r="AE120" s="57">
        <f>IFERROR(__xludf.DUMMYFUNCTION("""COMPUTED_VALUE"""),0.5567763701610061)</f>
        <v>0.5567763702</v>
      </c>
      <c r="AF120" s="57">
        <f>IFERROR(__xludf.DUMMYFUNCTION("""COMPUTED_VALUE"""),1.144781827219216)</f>
        <v>1.144781827</v>
      </c>
      <c r="AG120" s="57">
        <f>IFERROR(__xludf.DUMMYFUNCTION("""COMPUTED_VALUE"""),2.423368449845545)</f>
        <v>2.42336845</v>
      </c>
      <c r="AH120" s="57">
        <f>IFERROR(__xludf.DUMMYFUNCTION("""COMPUTED_VALUE"""),0.9629882159443492)</f>
        <v>0.9629882159</v>
      </c>
      <c r="AI120" s="57">
        <f>IFERROR(__xludf.DUMMYFUNCTION("""COMPUTED_VALUE"""),0.7249300618895521)</f>
        <v>0.7249300619</v>
      </c>
      <c r="AJ120" s="57">
        <f>IFERROR(__xludf.DUMMYFUNCTION("""COMPUTED_VALUE"""),1.1147916622124705)</f>
        <v>1.114791662</v>
      </c>
      <c r="AK120" s="57">
        <f>IFERROR(__xludf.DUMMYFUNCTION("""COMPUTED_VALUE"""),1.1145023782083505)</f>
        <v>1.114502378</v>
      </c>
      <c r="AL120" s="57">
        <f>IFERROR(__xludf.DUMMYFUNCTION("""COMPUTED_VALUE"""),0.8964438706140244)</f>
        <v>0.8964438706</v>
      </c>
      <c r="AM120" s="57">
        <f>IFERROR(__xludf.DUMMYFUNCTION("""COMPUTED_VALUE"""),0.9762511487395583)</f>
        <v>0.9762511487</v>
      </c>
      <c r="AN120" s="57">
        <f>IFERROR(__xludf.DUMMYFUNCTION("""COMPUTED_VALUE"""),1.0208790213565166)</f>
        <v>1.020879021</v>
      </c>
      <c r="AO120" s="57">
        <f>IFERROR(__xludf.DUMMYFUNCTION("""COMPUTED_VALUE"""),0.9848787229667079)</f>
        <v>0.984878723</v>
      </c>
      <c r="AP120" s="35">
        <f>IFERROR(__xludf.DUMMYFUNCTION("""COMPUTED_VALUE"""),0.9618433571695425)</f>
        <v>0.9618433572</v>
      </c>
      <c r="AQ120" s="57">
        <f>IFERROR(__xludf.DUMMYFUNCTION("""COMPUTED_VALUE"""),0.9383461658801799)</f>
        <v>0.9383461659</v>
      </c>
      <c r="AR120" s="36" t="b">
        <f>IFERROR(__xludf.DUMMYFUNCTION("""COMPUTED_VALUE"""),TRUE)</f>
        <v>1</v>
      </c>
      <c r="AS120" s="57"/>
      <c r="AT120" s="37"/>
      <c r="AU120" s="30"/>
      <c r="AV120" s="30"/>
      <c r="AW120" s="30"/>
      <c r="AX120" s="30"/>
      <c r="AY120" s="30"/>
      <c r="AZ120" s="30"/>
    </row>
    <row r="121">
      <c r="A121" s="30" t="str">
        <f>IFERROR(__xludf.DUMMYFUNCTION("""COMPUTED_VALUE"""),"Challenger")</f>
        <v>Challenger</v>
      </c>
      <c r="B121" s="30" t="str">
        <f>IFERROR(__xludf.DUMMYFUNCTION("""COMPUTED_VALUE"""),"RSC005663")</f>
        <v>RSC005663</v>
      </c>
      <c r="C121" s="30" t="str">
        <f>IFERROR(__xludf.DUMMYFUNCTION("""COMPUTED_VALUE"""),"Pure_Pusher")</f>
        <v>Pure_Pusher</v>
      </c>
      <c r="D121" s="31" t="str">
        <f>IFERROR(__xludf.DUMMYFUNCTION("""COMPUTED_VALUE"""),"Chromatic Chaos")</f>
        <v>Chromatic Chaos</v>
      </c>
      <c r="E121" s="31">
        <f>IFERROR(__xludf.DUMMYFUNCTION("""COMPUTED_VALUE"""),44.71328775102805)</f>
        <v>44.71328775</v>
      </c>
      <c r="F121" s="31">
        <f>IFERROR(__xludf.DUMMYFUNCTION("""COMPUTED_VALUE"""),-2.402339732082076)</f>
        <v>-2.402339732</v>
      </c>
      <c r="G121" s="31">
        <f>IFERROR(__xludf.DUMMYFUNCTION("""COMPUTED_VALUE"""),35.3932549472464)</f>
        <v>35.39325495</v>
      </c>
      <c r="H121" s="31">
        <f>IFERROR(__xludf.DUMMYFUNCTION("""COMPUTED_VALUE"""),-3.5775691770142726)</f>
        <v>-3.577569177</v>
      </c>
      <c r="I121" s="54">
        <f>IFERROR(__xludf.DUMMYFUNCTION("""COMPUTED_VALUE"""),36.0)</f>
        <v>36</v>
      </c>
      <c r="J121" s="55">
        <f>IFERROR(__xludf.DUMMYFUNCTION("""COMPUTED_VALUE"""),17.0)</f>
        <v>17</v>
      </c>
      <c r="K121" s="54">
        <f>IFERROR(__xludf.DUMMYFUNCTION("""COMPUTED_VALUE"""),19.0)</f>
        <v>19</v>
      </c>
      <c r="L121" s="56">
        <f>IFERROR(__xludf.DUMMYFUNCTION("""COMPUTED_VALUE"""),0.4722222222222222)</f>
        <v>0.4722222222</v>
      </c>
      <c r="M121" s="56">
        <f>IFERROR(__xludf.DUMMYFUNCTION("""COMPUTED_VALUE"""),0.40506329113924044)</f>
        <v>0.4050632911</v>
      </c>
      <c r="N121" s="31">
        <f>IFERROR(__xludf.DUMMYFUNCTION("""COMPUTED_VALUE"""),321.3888888888889)</f>
        <v>321.3888889</v>
      </c>
      <c r="O121" s="57">
        <f>IFERROR(__xludf.DUMMYFUNCTION("""COMPUTED_VALUE"""),0.8888888888888888)</f>
        <v>0.8888888889</v>
      </c>
      <c r="P121" s="57">
        <f>IFERROR(__xludf.DUMMYFUNCTION("""COMPUTED_VALUE"""),0.3611111111111111)</f>
        <v>0.3611111111</v>
      </c>
      <c r="Q121" s="57">
        <f>IFERROR(__xludf.DUMMYFUNCTION("""COMPUTED_VALUE"""),1.1111111111111112)</f>
        <v>1.111111111</v>
      </c>
      <c r="R121" s="57">
        <f>IFERROR(__xludf.DUMMYFUNCTION("""COMPUTED_VALUE"""),2.1944444444444446)</f>
        <v>2.194444444</v>
      </c>
      <c r="S121" s="31">
        <f>IFERROR(__xludf.DUMMYFUNCTION("""COMPUTED_VALUE"""),356.0555555555556)</f>
        <v>356.0555556</v>
      </c>
      <c r="T121" s="57">
        <f>IFERROR(__xludf.DUMMYFUNCTION("""COMPUTED_VALUE"""),0.9537037037037037)</f>
        <v>0.9537037037</v>
      </c>
      <c r="U121" s="57">
        <f>IFERROR(__xludf.DUMMYFUNCTION("""COMPUTED_VALUE"""),0.5370370370370369)</f>
        <v>0.537037037</v>
      </c>
      <c r="V121" s="57">
        <f>IFERROR(__xludf.DUMMYFUNCTION("""COMPUTED_VALUE"""),1.2129629629629628)</f>
        <v>1.212962963</v>
      </c>
      <c r="W121" s="57">
        <f>IFERROR(__xludf.DUMMYFUNCTION("""COMPUTED_VALUE"""),2.62037037037037)</f>
        <v>2.62037037</v>
      </c>
      <c r="X121" s="31">
        <f>IFERROR(__xludf.DUMMYFUNCTION("""COMPUTED_VALUE"""),334.8440601056725)</f>
        <v>334.8440601</v>
      </c>
      <c r="Y121" s="57">
        <f>IFERROR(__xludf.DUMMYFUNCTION("""COMPUTED_VALUE"""),0.7847631055853707)</f>
        <v>0.7847631056</v>
      </c>
      <c r="Z121" s="57">
        <f>IFERROR(__xludf.DUMMYFUNCTION("""COMPUTED_VALUE"""),0.5214389176210393)</f>
        <v>0.5214389176</v>
      </c>
      <c r="AA121" s="57">
        <f>IFERROR(__xludf.DUMMYFUNCTION("""COMPUTED_VALUE"""),1.196525756742707)</f>
        <v>1.196525757</v>
      </c>
      <c r="AB121" s="57">
        <f>IFERROR(__xludf.DUMMYFUNCTION("""COMPUTED_VALUE"""),2.454014623449273)</f>
        <v>2.454014623</v>
      </c>
      <c r="AC121" s="31">
        <f>IFERROR(__xludf.DUMMYFUNCTION("""COMPUTED_VALUE"""),334.4402228889063)</f>
        <v>334.4402229</v>
      </c>
      <c r="AD121" s="57">
        <f>IFERROR(__xludf.DUMMYFUNCTION("""COMPUTED_VALUE"""),0.7749664339855419)</f>
        <v>0.774966434</v>
      </c>
      <c r="AE121" s="57">
        <f>IFERROR(__xludf.DUMMYFUNCTION("""COMPUTED_VALUE"""),0.5235167972101775)</f>
        <v>0.5235167972</v>
      </c>
      <c r="AF121" s="57">
        <f>IFERROR(__xludf.DUMMYFUNCTION("""COMPUTED_VALUE"""),1.2073805086323766)</f>
        <v>1.207380509</v>
      </c>
      <c r="AG121" s="57">
        <f>IFERROR(__xludf.DUMMYFUNCTION("""COMPUTED_VALUE"""),2.4487377053179746)</f>
        <v>2.448737705</v>
      </c>
      <c r="AH121" s="57">
        <f>IFERROR(__xludf.DUMMYFUNCTION("""COMPUTED_VALUE"""),0.960975585151572)</f>
        <v>0.9609755852</v>
      </c>
      <c r="AI121" s="57">
        <f>IFERROR(__xludf.DUMMYFUNCTION("""COMPUTED_VALUE"""),1.1470030828528406)</f>
        <v>1.147003083</v>
      </c>
      <c r="AJ121" s="57">
        <f>IFERROR(__xludf.DUMMYFUNCTION("""COMPUTED_VALUE"""),0.689779416888767)</f>
        <v>0.6897794169</v>
      </c>
      <c r="AK121" s="57">
        <f>IFERROR(__xludf.DUMMYFUNCTION("""COMPUTED_VALUE"""),0.9202659005732073)</f>
        <v>0.9202659006</v>
      </c>
      <c r="AL121" s="57">
        <f>IFERROR(__xludf.DUMMYFUNCTION("""COMPUTED_VALUE"""),0.8961533281734193)</f>
        <v>0.8961533282</v>
      </c>
      <c r="AM121" s="57">
        <f>IFERROR(__xludf.DUMMYFUNCTION("""COMPUTED_VALUE"""),1.0633473845801207)</f>
        <v>1.063347385</v>
      </c>
      <c r="AN121" s="57">
        <f>IFERROR(__xludf.DUMMYFUNCTION("""COMPUTED_VALUE"""),1.2152759181923019)</f>
        <v>1.215275918</v>
      </c>
      <c r="AO121" s="57">
        <f>IFERROR(__xludf.DUMMYFUNCTION("""COMPUTED_VALUE"""),1.0299136080735225)</f>
        <v>1.029913608</v>
      </c>
      <c r="AP121" s="35">
        <f>IFERROR(__xludf.DUMMYFUNCTION("""COMPUTED_VALUE"""),1.0137374445369256)</f>
        <v>1.013737445</v>
      </c>
      <c r="AQ121" s="57">
        <f>IFERROR(__xludf.DUMMYFUNCTION("""COMPUTED_VALUE"""),1.067789223964474)</f>
        <v>1.067789224</v>
      </c>
      <c r="AR121" s="36" t="b">
        <f>IFERROR(__xludf.DUMMYFUNCTION("""COMPUTED_VALUE"""),TRUE)</f>
        <v>1</v>
      </c>
      <c r="AS121" s="57"/>
      <c r="AT121" s="37"/>
      <c r="AU121" s="30"/>
      <c r="AV121" s="30"/>
      <c r="AW121" s="30"/>
      <c r="AX121" s="30"/>
      <c r="AY121" s="30"/>
      <c r="AZ121" s="30"/>
    </row>
    <row r="122">
      <c r="A122" s="30" t="str">
        <f>IFERROR(__xludf.DUMMYFUNCTION("""COMPUTED_VALUE"""),"Challenger")</f>
        <v>Challenger</v>
      </c>
      <c r="B122" s="30" t="str">
        <f>IFERROR(__xludf.DUMMYFUNCTION("""COMPUTED_VALUE"""),"RSC007549")</f>
        <v>RSC007549</v>
      </c>
      <c r="C122" s="30" t="str">
        <f>IFERROR(__xludf.DUMMYFUNCTION("""COMPUTED_VALUE"""),"Whiffy_RL")</f>
        <v>Whiffy_RL</v>
      </c>
      <c r="D122" s="31" t="str">
        <f>IFERROR(__xludf.DUMMYFUNCTION("""COMPUTED_VALUE"""),"Apple Associates")</f>
        <v>Apple Associates</v>
      </c>
      <c r="E122" s="31">
        <f>IFERROR(__xludf.DUMMYFUNCTION("""COMPUTED_VALUE"""),43.736794524718654)</f>
        <v>43.73679452</v>
      </c>
      <c r="F122" s="31">
        <f>IFERROR(__xludf.DUMMYFUNCTION("""COMPUTED_VALUE"""),-2.4932094799415827)</f>
        <v>-2.49320948</v>
      </c>
      <c r="G122" s="31">
        <f>IFERROR(__xludf.DUMMYFUNCTION("""COMPUTED_VALUE"""),45.324195847126475)</f>
        <v>45.32419585</v>
      </c>
      <c r="H122" s="31">
        <f>IFERROR(__xludf.DUMMYFUNCTION("""COMPUTED_VALUE"""),-2.3484227751026436)</f>
        <v>-2.348422775</v>
      </c>
      <c r="I122" s="54">
        <f>IFERROR(__xludf.DUMMYFUNCTION("""COMPUTED_VALUE"""),44.0)</f>
        <v>44</v>
      </c>
      <c r="J122" s="55">
        <f>IFERROR(__xludf.DUMMYFUNCTION("""COMPUTED_VALUE"""),15.0)</f>
        <v>15</v>
      </c>
      <c r="K122" s="54">
        <f>IFERROR(__xludf.DUMMYFUNCTION("""COMPUTED_VALUE"""),29.0)</f>
        <v>29</v>
      </c>
      <c r="L122" s="56">
        <f>IFERROR(__xludf.DUMMYFUNCTION("""COMPUTED_VALUE"""),0.3409090909090909)</f>
        <v>0.3409090909</v>
      </c>
      <c r="M122" s="56">
        <f>IFERROR(__xludf.DUMMYFUNCTION("""COMPUTED_VALUE"""),0.3052631578947368)</f>
        <v>0.3052631579</v>
      </c>
      <c r="N122" s="31">
        <f>IFERROR(__xludf.DUMMYFUNCTION("""COMPUTED_VALUE"""),323.72727272727275)</f>
        <v>323.7272727</v>
      </c>
      <c r="O122" s="57">
        <f>IFERROR(__xludf.DUMMYFUNCTION("""COMPUTED_VALUE"""),0.6590909090909091)</f>
        <v>0.6590909091</v>
      </c>
      <c r="P122" s="57">
        <f>IFERROR(__xludf.DUMMYFUNCTION("""COMPUTED_VALUE"""),0.4318181818181818)</f>
        <v>0.4318181818</v>
      </c>
      <c r="Q122" s="57">
        <f>IFERROR(__xludf.DUMMYFUNCTION("""COMPUTED_VALUE"""),1.3181818181818181)</f>
        <v>1.318181818</v>
      </c>
      <c r="R122" s="57">
        <f>IFERROR(__xludf.DUMMYFUNCTION("""COMPUTED_VALUE"""),2.159090909090909)</f>
        <v>2.159090909</v>
      </c>
      <c r="S122" s="31">
        <f>IFERROR(__xludf.DUMMYFUNCTION("""COMPUTED_VALUE"""),327.3409090909091)</f>
        <v>327.3409091</v>
      </c>
      <c r="T122" s="57">
        <f>IFERROR(__xludf.DUMMYFUNCTION("""COMPUTED_VALUE"""),0.7954545454545454)</f>
        <v>0.7954545455</v>
      </c>
      <c r="U122" s="57">
        <f>IFERROR(__xludf.DUMMYFUNCTION("""COMPUTED_VALUE"""),0.5530303030303029)</f>
        <v>0.553030303</v>
      </c>
      <c r="V122" s="57">
        <f>IFERROR(__xludf.DUMMYFUNCTION("""COMPUTED_VALUE"""),1.1515151515151516)</f>
        <v>1.151515152</v>
      </c>
      <c r="W122" s="57">
        <f>IFERROR(__xludf.DUMMYFUNCTION("""COMPUTED_VALUE"""),2.401515151515152)</f>
        <v>2.401515152</v>
      </c>
      <c r="X122" s="31">
        <f>IFERROR(__xludf.DUMMYFUNCTION("""COMPUTED_VALUE"""),343.43424488648014)</f>
        <v>343.4342449</v>
      </c>
      <c r="Y122" s="57">
        <f>IFERROR(__xludf.DUMMYFUNCTION("""COMPUTED_VALUE"""),0.7945890499500385)</f>
        <v>0.79458905</v>
      </c>
      <c r="Z122" s="57">
        <f>IFERROR(__xludf.DUMMYFUNCTION("""COMPUTED_VALUE"""),0.5613832487109417)</f>
        <v>0.5613832487</v>
      </c>
      <c r="AA122" s="57">
        <f>IFERROR(__xludf.DUMMYFUNCTION("""COMPUTED_VALUE"""),1.263061283991984)</f>
        <v>1.263061284</v>
      </c>
      <c r="AB122" s="57">
        <f>IFERROR(__xludf.DUMMYFUNCTION("""COMPUTED_VALUE"""),2.5267629836390197)</f>
        <v>2.526762984</v>
      </c>
      <c r="AC122" s="31">
        <f>IFERROR(__xludf.DUMMYFUNCTION("""COMPUTED_VALUE"""),329.99149202548244)</f>
        <v>329.991492</v>
      </c>
      <c r="AD122" s="57">
        <f>IFERROR(__xludf.DUMMYFUNCTION("""COMPUTED_VALUE"""),0.7165137925711901)</f>
        <v>0.7165137926</v>
      </c>
      <c r="AE122" s="57">
        <f>IFERROR(__xludf.DUMMYFUNCTION("""COMPUTED_VALUE"""),0.5078429140645518)</f>
        <v>0.5078429141</v>
      </c>
      <c r="AF122" s="57">
        <f>IFERROR(__xludf.DUMMYFUNCTION("""COMPUTED_VALUE"""),1.2684043657757267)</f>
        <v>1.268404366</v>
      </c>
      <c r="AG122" s="57">
        <f>IFERROR(__xludf.DUMMYFUNCTION("""COMPUTED_VALUE"""),2.4003008546667144)</f>
        <v>2.400300855</v>
      </c>
      <c r="AH122" s="57">
        <f>IFERROR(__xludf.DUMMYFUNCTION("""COMPUTED_VALUE"""),0.9810170278640822)</f>
        <v>0.9810170279</v>
      </c>
      <c r="AI122" s="57">
        <f>IFERROR(__xludf.DUMMYFUNCTION("""COMPUTED_VALUE"""),0.9198579509904191)</f>
        <v>0.919857951</v>
      </c>
      <c r="AJ122" s="57">
        <f>IFERROR(__xludf.DUMMYFUNCTION("""COMPUTED_VALUE"""),0.8502987239934069)</f>
        <v>0.850298724</v>
      </c>
      <c r="AK122" s="57">
        <f>IFERROR(__xludf.DUMMYFUNCTION("""COMPUTED_VALUE"""),1.0392441509578443)</f>
        <v>1.039244151</v>
      </c>
      <c r="AL122" s="57">
        <f>IFERROR(__xludf.DUMMYFUNCTION("""COMPUTED_VALUE"""),0.8995084532395846)</f>
        <v>0.8995084532</v>
      </c>
      <c r="AM122" s="57">
        <f>IFERROR(__xludf.DUMMYFUNCTION("""COMPUTED_VALUE"""),0.9531399793841451)</f>
        <v>0.9531399794</v>
      </c>
      <c r="AN122" s="57">
        <f>IFERROR(__xludf.DUMMYFUNCTION("""COMPUTED_VALUE"""),1.0010892366369273)</f>
        <v>1.001089237</v>
      </c>
      <c r="AO122" s="57">
        <f>IFERROR(__xludf.DUMMYFUNCTION("""COMPUTED_VALUE"""),0.9851207785415418)</f>
        <v>0.9851207785</v>
      </c>
      <c r="AP122" s="35">
        <f>IFERROR(__xludf.DUMMYFUNCTION("""COMPUTED_VALUE"""),0.9116858905497571)</f>
        <v>0.9116858905</v>
      </c>
      <c r="AQ122" s="57">
        <f>IFERROR(__xludf.DUMMYFUNCTION("""COMPUTED_VALUE"""),0.950431507452477)</f>
        <v>0.9504315075</v>
      </c>
      <c r="AR122" s="36" t="b">
        <f>IFERROR(__xludf.DUMMYFUNCTION("""COMPUTED_VALUE"""),TRUE)</f>
        <v>1</v>
      </c>
      <c r="AS122" s="57"/>
      <c r="AT122" s="37"/>
      <c r="AU122" s="30"/>
      <c r="AV122" s="30"/>
      <c r="AW122" s="30"/>
      <c r="AX122" s="30"/>
      <c r="AY122" s="30"/>
      <c r="AZ122" s="30"/>
    </row>
    <row r="123">
      <c r="A123" s="30" t="str">
        <f>IFERROR(__xludf.DUMMYFUNCTION("""COMPUTED_VALUE"""),"Challenger")</f>
        <v>Challenger</v>
      </c>
      <c r="B123" s="30" t="str">
        <f>IFERROR(__xludf.DUMMYFUNCTION("""COMPUTED_VALUE"""),"RSC004817")</f>
        <v>RSC004817</v>
      </c>
      <c r="C123" s="30" t="str">
        <f>IFERROR(__xludf.DUMMYFUNCTION("""COMPUTED_VALUE"""),"crybound")</f>
        <v>crybound</v>
      </c>
      <c r="D123" s="31" t="str">
        <f>IFERROR(__xludf.DUMMYFUNCTION("""COMPUTED_VALUE"""),"Chromatic Chaos")</f>
        <v>Chromatic Chaos</v>
      </c>
      <c r="E123" s="31">
        <f>IFERROR(__xludf.DUMMYFUNCTION("""COMPUTED_VALUE"""),43.70292673931454)</f>
        <v>43.70292674</v>
      </c>
      <c r="F123" s="31">
        <f>IFERROR(__xludf.DUMMYFUNCTION("""COMPUTED_VALUE"""),-2.496468888798277)</f>
        <v>-2.496468889</v>
      </c>
      <c r="G123" s="31">
        <f>IFERROR(__xludf.DUMMYFUNCTION("""COMPUTED_VALUE"""),32.12844335443835)</f>
        <v>32.12844335</v>
      </c>
      <c r="H123" s="31">
        <f>IFERROR(__xludf.DUMMYFUNCTION("""COMPUTED_VALUE"""),-4.213239149262895)</f>
        <v>-4.213239149</v>
      </c>
      <c r="I123" s="54">
        <f>IFERROR(__xludf.DUMMYFUNCTION("""COMPUTED_VALUE"""),27.0)</f>
        <v>27</v>
      </c>
      <c r="J123" s="55">
        <f>IFERROR(__xludf.DUMMYFUNCTION("""COMPUTED_VALUE"""),12.0)</f>
        <v>12</v>
      </c>
      <c r="K123" s="54">
        <f>IFERROR(__xludf.DUMMYFUNCTION("""COMPUTED_VALUE"""),15.0)</f>
        <v>15</v>
      </c>
      <c r="L123" s="56">
        <f>IFERROR(__xludf.DUMMYFUNCTION("""COMPUTED_VALUE"""),0.4444444444444444)</f>
        <v>0.4444444444</v>
      </c>
      <c r="M123" s="56">
        <f>IFERROR(__xludf.DUMMYFUNCTION("""COMPUTED_VALUE"""),0.30158730158730157)</f>
        <v>0.3015873016</v>
      </c>
      <c r="N123" s="31">
        <f>IFERROR(__xludf.DUMMYFUNCTION("""COMPUTED_VALUE"""),306.51851851851853)</f>
        <v>306.5185185</v>
      </c>
      <c r="O123" s="57">
        <f>IFERROR(__xludf.DUMMYFUNCTION("""COMPUTED_VALUE"""),0.7037037037037037)</f>
        <v>0.7037037037</v>
      </c>
      <c r="P123" s="57">
        <f>IFERROR(__xludf.DUMMYFUNCTION("""COMPUTED_VALUE"""),0.5555555555555556)</f>
        <v>0.5555555556</v>
      </c>
      <c r="Q123" s="57">
        <f>IFERROR(__xludf.DUMMYFUNCTION("""COMPUTED_VALUE"""),1.0)</f>
        <v>1</v>
      </c>
      <c r="R123" s="57">
        <f>IFERROR(__xludf.DUMMYFUNCTION("""COMPUTED_VALUE"""),2.3333333333333335)</f>
        <v>2.333333333</v>
      </c>
      <c r="S123" s="31">
        <f>IFERROR(__xludf.DUMMYFUNCTION("""COMPUTED_VALUE"""),352.71604938271605)</f>
        <v>352.7160494</v>
      </c>
      <c r="T123" s="57">
        <f>IFERROR(__xludf.DUMMYFUNCTION("""COMPUTED_VALUE"""),0.9382716049382716)</f>
        <v>0.9382716049</v>
      </c>
      <c r="U123" s="57">
        <f>IFERROR(__xludf.DUMMYFUNCTION("""COMPUTED_VALUE"""),0.5679012345679012)</f>
        <v>0.5679012346</v>
      </c>
      <c r="V123" s="57">
        <f>IFERROR(__xludf.DUMMYFUNCTION("""COMPUTED_VALUE"""),1.2222222222222225)</f>
        <v>1.222222222</v>
      </c>
      <c r="W123" s="57">
        <f>IFERROR(__xludf.DUMMYFUNCTION("""COMPUTED_VALUE"""),2.790123456790123)</f>
        <v>2.790123457</v>
      </c>
      <c r="X123" s="31">
        <f>IFERROR(__xludf.DUMMYFUNCTION("""COMPUTED_VALUE"""),334.90309273373896)</f>
        <v>334.9030927</v>
      </c>
      <c r="Y123" s="57">
        <f>IFERROR(__xludf.DUMMYFUNCTION("""COMPUTED_VALUE"""),0.7805611679787086)</f>
        <v>0.780561168</v>
      </c>
      <c r="Z123" s="57">
        <f>IFERROR(__xludf.DUMMYFUNCTION("""COMPUTED_VALUE"""),0.5441162324814793)</f>
        <v>0.5441162325</v>
      </c>
      <c r="AA123" s="57">
        <f>IFERROR(__xludf.DUMMYFUNCTION("""COMPUTED_VALUE"""),1.1857126492880279)</f>
        <v>1.185712649</v>
      </c>
      <c r="AB123" s="57">
        <f>IFERROR(__xludf.DUMMYFUNCTION("""COMPUTED_VALUE"""),2.5073715409650004)</f>
        <v>2.507371541</v>
      </c>
      <c r="AC123" s="31">
        <f>IFERROR(__xludf.DUMMYFUNCTION("""COMPUTED_VALUE"""),339.6991870976616)</f>
        <v>339.6991871</v>
      </c>
      <c r="AD123" s="57">
        <f>IFERROR(__xludf.DUMMYFUNCTION("""COMPUTED_VALUE"""),0.7873918600532095)</f>
        <v>0.7873918601</v>
      </c>
      <c r="AE123" s="57">
        <f>IFERROR(__xludf.DUMMYFUNCTION("""COMPUTED_VALUE"""),0.540620254980256)</f>
        <v>0.540620255</v>
      </c>
      <c r="AF123" s="57">
        <f>IFERROR(__xludf.DUMMYFUNCTION("""COMPUTED_VALUE"""),1.2441186119315317)</f>
        <v>1.244118612</v>
      </c>
      <c r="AG123" s="57">
        <f>IFERROR(__xludf.DUMMYFUNCTION("""COMPUTED_VALUE"""),2.4945425021817473)</f>
        <v>2.494542502</v>
      </c>
      <c r="AH123" s="57">
        <f>IFERROR(__xludf.DUMMYFUNCTION("""COMPUTED_VALUE"""),0.9023233795092839)</f>
        <v>0.9023233795</v>
      </c>
      <c r="AI123" s="57">
        <f>IFERROR(__xludf.DUMMYFUNCTION("""COMPUTED_VALUE"""),0.8937147301169073)</f>
        <v>0.8937147301</v>
      </c>
      <c r="AJ123" s="57">
        <f>IFERROR(__xludf.DUMMYFUNCTION("""COMPUTED_VALUE"""),1.027626231976538)</f>
        <v>1.027626232</v>
      </c>
      <c r="AK123" s="57">
        <f>IFERROR(__xludf.DUMMYFUNCTION("""COMPUTED_VALUE"""),0.8037818825388922)</f>
        <v>0.8037818825</v>
      </c>
      <c r="AL123" s="57">
        <f>IFERROR(__xludf.DUMMYFUNCTION("""COMPUTED_VALUE"""),0.9353752567024137)</f>
        <v>0.9353752567</v>
      </c>
      <c r="AM123" s="57">
        <f>IFERROR(__xludf.DUMMYFUNCTION("""COMPUTED_VALUE"""),1.0531883910165591)</f>
        <v>1.053188391</v>
      </c>
      <c r="AN123" s="57">
        <f>IFERROR(__xludf.DUMMYFUNCTION("""COMPUTED_VALUE"""),1.2020475056015916)</f>
        <v>1.202047506</v>
      </c>
      <c r="AO123" s="57">
        <f>IFERROR(__xludf.DUMMYFUNCTION("""COMPUTED_VALUE"""),1.0437130904511867)</f>
        <v>1.04371309</v>
      </c>
      <c r="AP123" s="35">
        <f>IFERROR(__xludf.DUMMYFUNCTION("""COMPUTED_VALUE"""),1.0307912485846527)</f>
        <v>1.030791249</v>
      </c>
      <c r="AQ123" s="57">
        <f>IFERROR(__xludf.DUMMYFUNCTION("""COMPUTED_VALUE"""),1.1127682560025791)</f>
        <v>1.112768256</v>
      </c>
      <c r="AR123" s="36" t="b">
        <f>IFERROR(__xludf.DUMMYFUNCTION("""COMPUTED_VALUE"""),TRUE)</f>
        <v>1</v>
      </c>
      <c r="AS123" s="57"/>
      <c r="AT123" s="37"/>
      <c r="AU123" s="30"/>
      <c r="AV123" s="30"/>
      <c r="AW123" s="30"/>
      <c r="AX123" s="30"/>
      <c r="AY123" s="30"/>
      <c r="AZ123" s="30"/>
    </row>
    <row r="124">
      <c r="A124" s="30" t="str">
        <f>IFERROR(__xludf.DUMMYFUNCTION("""COMPUTED_VALUE"""),"Challenger")</f>
        <v>Challenger</v>
      </c>
      <c r="B124" s="30" t="str">
        <f>IFERROR(__xludf.DUMMYFUNCTION("""COMPUTED_VALUE"""),"RSC000967")</f>
        <v>RSC000967</v>
      </c>
      <c r="C124" s="30" t="str">
        <f>IFERROR(__xludf.DUMMYFUNCTION("""COMPUTED_VALUE"""),"tr1ppn")</f>
        <v>tr1ppn</v>
      </c>
      <c r="D124" s="31" t="str">
        <f>IFERROR(__xludf.DUMMYFUNCTION("""COMPUTED_VALUE"""),"Bingo")</f>
        <v>Bingo</v>
      </c>
      <c r="E124" s="31">
        <f>IFERROR(__xludf.DUMMYFUNCTION("""COMPUTED_VALUE"""),42.50156859939693)</f>
        <v>42.5015686</v>
      </c>
      <c r="F124" s="31">
        <f>IFERROR(__xludf.DUMMYFUNCTION("""COMPUTED_VALUE"""),-2.617030271252521)</f>
        <v>-2.617030271</v>
      </c>
      <c r="G124" s="31">
        <f>IFERROR(__xludf.DUMMYFUNCTION("""COMPUTED_VALUE"""),36.487680303354026)</f>
        <v>36.4876803</v>
      </c>
      <c r="H124" s="31">
        <f>IFERROR(__xludf.DUMMYFUNCTION("""COMPUTED_VALUE"""),-3.3964089876890595)</f>
        <v>-3.396408988</v>
      </c>
      <c r="I124" s="54">
        <f>IFERROR(__xludf.DUMMYFUNCTION("""COMPUTED_VALUE"""),46.0)</f>
        <v>46</v>
      </c>
      <c r="J124" s="55">
        <f>IFERROR(__xludf.DUMMYFUNCTION("""COMPUTED_VALUE"""),16.0)</f>
        <v>16</v>
      </c>
      <c r="K124" s="54">
        <f>IFERROR(__xludf.DUMMYFUNCTION("""COMPUTED_VALUE"""),30.0)</f>
        <v>30</v>
      </c>
      <c r="L124" s="56">
        <f>IFERROR(__xludf.DUMMYFUNCTION("""COMPUTED_VALUE"""),0.34782608695652173)</f>
        <v>0.347826087</v>
      </c>
      <c r="M124" s="56">
        <f>IFERROR(__xludf.DUMMYFUNCTION("""COMPUTED_VALUE"""),0.3)</f>
        <v>0.3</v>
      </c>
      <c r="N124" s="31">
        <f>IFERROR(__xludf.DUMMYFUNCTION("""COMPUTED_VALUE"""),307.8695652173913)</f>
        <v>307.8695652</v>
      </c>
      <c r="O124" s="57">
        <f>IFERROR(__xludf.DUMMYFUNCTION("""COMPUTED_VALUE"""),0.717391304347826)</f>
        <v>0.7173913043</v>
      </c>
      <c r="P124" s="57">
        <f>IFERROR(__xludf.DUMMYFUNCTION("""COMPUTED_VALUE"""),0.45652173913043476)</f>
        <v>0.4565217391</v>
      </c>
      <c r="Q124" s="57">
        <f>IFERROR(__xludf.DUMMYFUNCTION("""COMPUTED_VALUE"""),1.065217391304348)</f>
        <v>1.065217391</v>
      </c>
      <c r="R124" s="57">
        <f>IFERROR(__xludf.DUMMYFUNCTION("""COMPUTED_VALUE"""),2.391304347826087)</f>
        <v>2.391304348</v>
      </c>
      <c r="S124" s="31">
        <f>IFERROR(__xludf.DUMMYFUNCTION("""COMPUTED_VALUE"""),360.4710144927536)</f>
        <v>360.4710145</v>
      </c>
      <c r="T124" s="57">
        <f>IFERROR(__xludf.DUMMYFUNCTION("""COMPUTED_VALUE"""),0.9710144927536233)</f>
        <v>0.9710144928</v>
      </c>
      <c r="U124" s="57">
        <f>IFERROR(__xludf.DUMMYFUNCTION("""COMPUTED_VALUE"""),0.6956521739130433)</f>
        <v>0.6956521739</v>
      </c>
      <c r="V124" s="57">
        <f>IFERROR(__xludf.DUMMYFUNCTION("""COMPUTED_VALUE"""),1.0144927536231882)</f>
        <v>1.014492754</v>
      </c>
      <c r="W124" s="57">
        <f>IFERROR(__xludf.DUMMYFUNCTION("""COMPUTED_VALUE"""),2.898550724637681)</f>
        <v>2.898550725</v>
      </c>
      <c r="X124" s="31">
        <f>IFERROR(__xludf.DUMMYFUNCTION("""COMPUTED_VALUE"""),343.7385225290139)</f>
        <v>343.7385225</v>
      </c>
      <c r="Y124" s="57">
        <f>IFERROR(__xludf.DUMMYFUNCTION("""COMPUTED_VALUE"""),0.8037256753369837)</f>
        <v>0.8037256753</v>
      </c>
      <c r="Z124" s="57">
        <f>IFERROR(__xludf.DUMMYFUNCTION("""COMPUTED_VALUE"""),0.579200325670981)</f>
        <v>0.5792003257</v>
      </c>
      <c r="AA124" s="57">
        <f>IFERROR(__xludf.DUMMYFUNCTION("""COMPUTED_VALUE"""),1.2158796954918318)</f>
        <v>1.215879695</v>
      </c>
      <c r="AB124" s="57">
        <f>IFERROR(__xludf.DUMMYFUNCTION("""COMPUTED_VALUE"""),2.607186991794338)</f>
        <v>2.607186992</v>
      </c>
      <c r="AC124" s="31">
        <f>IFERROR(__xludf.DUMMYFUNCTION("""COMPUTED_VALUE"""),332.97895418962815)</f>
        <v>332.9789542</v>
      </c>
      <c r="AD124" s="57">
        <f>IFERROR(__xludf.DUMMYFUNCTION("""COMPUTED_VALUE"""),0.7179966170978205)</f>
        <v>0.7179966171</v>
      </c>
      <c r="AE124" s="57">
        <f>IFERROR(__xludf.DUMMYFUNCTION("""COMPUTED_VALUE"""),0.5016594781031449)</f>
        <v>0.5016594781</v>
      </c>
      <c r="AF124" s="57">
        <f>IFERROR(__xludf.DUMMYFUNCTION("""COMPUTED_VALUE"""),1.2914406969282641)</f>
        <v>1.291440697</v>
      </c>
      <c r="AG124" s="57">
        <f>IFERROR(__xludf.DUMMYFUNCTION("""COMPUTED_VALUE"""),2.3803917459022914)</f>
        <v>2.380391746</v>
      </c>
      <c r="AH124" s="57">
        <f>IFERROR(__xludf.DUMMYFUNCTION("""COMPUTED_VALUE"""),0.9245916636583065)</f>
        <v>0.9245916637</v>
      </c>
      <c r="AI124" s="57">
        <f>IFERROR(__xludf.DUMMYFUNCTION("""COMPUTED_VALUE"""),0.9991569420585279)</f>
        <v>0.9991569421</v>
      </c>
      <c r="AJ124" s="57">
        <f>IFERROR(__xludf.DUMMYFUNCTION("""COMPUTED_VALUE"""),0.9100231512750776)</f>
        <v>0.9100231513</v>
      </c>
      <c r="AK124" s="57">
        <f>IFERROR(__xludf.DUMMYFUNCTION("""COMPUTED_VALUE"""),0.8248287310737565)</f>
        <v>0.8248287311</v>
      </c>
      <c r="AL124" s="57">
        <f>IFERROR(__xludf.DUMMYFUNCTION("""COMPUTED_VALUE"""),1.0045843722751018)</f>
        <v>1.004584372</v>
      </c>
      <c r="AM124" s="57">
        <f>IFERROR(__xludf.DUMMYFUNCTION("""COMPUTED_VALUE"""),1.0486779655670608)</f>
        <v>1.048677966</v>
      </c>
      <c r="AN124" s="57">
        <f>IFERROR(__xludf.DUMMYFUNCTION("""COMPUTED_VALUE"""),1.2081416863365715)</f>
        <v>1.208141686</v>
      </c>
      <c r="AO124" s="57">
        <f>IFERROR(__xludf.DUMMYFUNCTION("""COMPUTED_VALUE"""),1.201056254771883)</f>
        <v>1.201056255</v>
      </c>
      <c r="AP124" s="35">
        <f>IFERROR(__xludf.DUMMYFUNCTION("""COMPUTED_VALUE"""),0.8343693519882481)</f>
        <v>0.834369352</v>
      </c>
      <c r="AQ124" s="57">
        <f>IFERROR(__xludf.DUMMYFUNCTION("""COMPUTED_VALUE"""),1.1117540605105651)</f>
        <v>1.111754061</v>
      </c>
      <c r="AR124" s="36" t="b">
        <f>IFERROR(__xludf.DUMMYFUNCTION("""COMPUTED_VALUE"""),TRUE)</f>
        <v>1</v>
      </c>
      <c r="AS124" s="57"/>
      <c r="AT124" s="37"/>
      <c r="AU124" s="30"/>
      <c r="AV124" s="30"/>
      <c r="AW124" s="30"/>
      <c r="AX124" s="30"/>
      <c r="AY124" s="30"/>
      <c r="AZ124" s="30"/>
    </row>
    <row r="125">
      <c r="A125" s="30" t="str">
        <f>IFERROR(__xludf.DUMMYFUNCTION("""COMPUTED_VALUE"""),"Challenger")</f>
        <v>Challenger</v>
      </c>
      <c r="B125" s="30" t="str">
        <f>IFERROR(__xludf.DUMMYFUNCTION("""COMPUTED_VALUE"""),"RSC004597")</f>
        <v>RSC004597</v>
      </c>
      <c r="C125" s="30" t="str">
        <f>IFERROR(__xludf.DUMMYFUNCTION("""COMPUTED_VALUE"""),"xXBlindBeastXx")</f>
        <v>xXBlindBeastXx</v>
      </c>
      <c r="D125" s="31" t="str">
        <f>IFERROR(__xludf.DUMMYFUNCTION("""COMPUTED_VALUE"""),"Warbirds")</f>
        <v>Warbirds</v>
      </c>
      <c r="E125" s="31">
        <f>IFERROR(__xludf.DUMMYFUNCTION("""COMPUTED_VALUE"""),41.4769925153292)</f>
        <v>41.47699252</v>
      </c>
      <c r="F125" s="31">
        <f>IFERROR(__xludf.DUMMYFUNCTION("""COMPUTED_VALUE"""),-2.7279041778012685)</f>
        <v>-2.727904178</v>
      </c>
      <c r="G125" s="31">
        <f>IFERROR(__xludf.DUMMYFUNCTION("""COMPUTED_VALUE"""),24.827607894396525)</f>
        <v>24.82760789</v>
      </c>
      <c r="H125" s="31">
        <f>IFERROR(__xludf.DUMMYFUNCTION("""COMPUTED_VALUE"""),-6.369732941494428)</f>
        <v>-6.369732941</v>
      </c>
      <c r="I125" s="54">
        <f>IFERROR(__xludf.DUMMYFUNCTION("""COMPUTED_VALUE"""),46.0)</f>
        <v>46</v>
      </c>
      <c r="J125" s="55">
        <f>IFERROR(__xludf.DUMMYFUNCTION("""COMPUTED_VALUE"""),23.0)</f>
        <v>23</v>
      </c>
      <c r="K125" s="54">
        <f>IFERROR(__xludf.DUMMYFUNCTION("""COMPUTED_VALUE"""),23.0)</f>
        <v>23</v>
      </c>
      <c r="L125" s="56">
        <f>IFERROR(__xludf.DUMMYFUNCTION("""COMPUTED_VALUE"""),0.5)</f>
        <v>0.5</v>
      </c>
      <c r="M125" s="56">
        <f>IFERROR(__xludf.DUMMYFUNCTION("""COMPUTED_VALUE"""),0.38202247191011235)</f>
        <v>0.3820224719</v>
      </c>
      <c r="N125" s="31">
        <f>IFERROR(__xludf.DUMMYFUNCTION("""COMPUTED_VALUE"""),304.3478260869565)</f>
        <v>304.3478261</v>
      </c>
      <c r="O125" s="57">
        <f>IFERROR(__xludf.DUMMYFUNCTION("""COMPUTED_VALUE"""),0.7391304347826086)</f>
        <v>0.7391304348</v>
      </c>
      <c r="P125" s="57">
        <f>IFERROR(__xludf.DUMMYFUNCTION("""COMPUTED_VALUE"""),0.5434782608695652)</f>
        <v>0.5434782609</v>
      </c>
      <c r="Q125" s="57">
        <f>IFERROR(__xludf.DUMMYFUNCTION("""COMPUTED_VALUE"""),1.173913043478261)</f>
        <v>1.173913043</v>
      </c>
      <c r="R125" s="57">
        <f>IFERROR(__xludf.DUMMYFUNCTION("""COMPUTED_VALUE"""),1.934782608695652)</f>
        <v>1.934782609</v>
      </c>
      <c r="S125" s="31">
        <f>IFERROR(__xludf.DUMMYFUNCTION("""COMPUTED_VALUE"""),369.59420289855063)</f>
        <v>369.5942029</v>
      </c>
      <c r="T125" s="57">
        <f>IFERROR(__xludf.DUMMYFUNCTION("""COMPUTED_VALUE"""),0.9057971014492753)</f>
        <v>0.9057971014</v>
      </c>
      <c r="U125" s="57">
        <f>IFERROR(__xludf.DUMMYFUNCTION("""COMPUTED_VALUE"""),0.7101449275362318)</f>
        <v>0.7101449275</v>
      </c>
      <c r="V125" s="57">
        <f>IFERROR(__xludf.DUMMYFUNCTION("""COMPUTED_VALUE"""),1.3043478260869565)</f>
        <v>1.304347826</v>
      </c>
      <c r="W125" s="57">
        <f>IFERROR(__xludf.DUMMYFUNCTION("""COMPUTED_VALUE"""),2.7101449275362315)</f>
        <v>2.710144928</v>
      </c>
      <c r="X125" s="31">
        <f>IFERROR(__xludf.DUMMYFUNCTION("""COMPUTED_VALUE"""),343.2741477054404)</f>
        <v>343.2741477</v>
      </c>
      <c r="Y125" s="57">
        <f>IFERROR(__xludf.DUMMYFUNCTION("""COMPUTED_VALUE"""),0.8064808202462083)</f>
        <v>0.8064808202</v>
      </c>
      <c r="Z125" s="57">
        <f>IFERROR(__xludf.DUMMYFUNCTION("""COMPUTED_VALUE"""),0.5702116746403376)</f>
        <v>0.5702116746</v>
      </c>
      <c r="AA125" s="57">
        <f>IFERROR(__xludf.DUMMYFUNCTION("""COMPUTED_VALUE"""),1.229728092941983)</f>
        <v>1.229728093</v>
      </c>
      <c r="AB125" s="57">
        <f>IFERROR(__xludf.DUMMYFUNCTION("""COMPUTED_VALUE"""),2.5458866843467485)</f>
        <v>2.545886684</v>
      </c>
      <c r="AC125" s="31">
        <f>IFERROR(__xludf.DUMMYFUNCTION("""COMPUTED_VALUE"""),330.23599712442615)</f>
        <v>330.2359971</v>
      </c>
      <c r="AD125" s="57">
        <f>IFERROR(__xludf.DUMMYFUNCTION("""COMPUTED_VALUE"""),0.728765625734576)</f>
        <v>0.7287656257</v>
      </c>
      <c r="AE125" s="57">
        <f>IFERROR(__xludf.DUMMYFUNCTION("""COMPUTED_VALUE"""),0.5126474781919199)</f>
        <v>0.5126474782</v>
      </c>
      <c r="AF125" s="57">
        <f>IFERROR(__xludf.DUMMYFUNCTION("""COMPUTED_VALUE"""),1.256956434740175)</f>
        <v>1.256956435</v>
      </c>
      <c r="AG125" s="57">
        <f>IFERROR(__xludf.DUMMYFUNCTION("""COMPUTED_VALUE"""),2.3636113546748057)</f>
        <v>2.363611355</v>
      </c>
      <c r="AH125" s="57">
        <f>IFERROR(__xludf.DUMMYFUNCTION("""COMPUTED_VALUE"""),0.9216070590035782)</f>
        <v>0.921607059</v>
      </c>
      <c r="AI125" s="57">
        <f>IFERROR(__xludf.DUMMYFUNCTION("""COMPUTED_VALUE"""),1.0142224175812151)</f>
        <v>1.014222418</v>
      </c>
      <c r="AJ125" s="57">
        <f>IFERROR(__xludf.DUMMYFUNCTION("""COMPUTED_VALUE"""),1.060140318618915)</f>
        <v>1.060140319</v>
      </c>
      <c r="AK125" s="57">
        <f>IFERROR(__xludf.DUMMYFUNCTION("""COMPUTED_VALUE"""),0.9339329598331864)</f>
        <v>0.9339329598</v>
      </c>
      <c r="AL125" s="57">
        <f>IFERROR(__xludf.DUMMYFUNCTION("""COMPUTED_VALUE"""),0.8185705339708214)</f>
        <v>0.818570534</v>
      </c>
      <c r="AM125" s="57">
        <f>IFERROR(__xludf.DUMMYFUNCTION("""COMPUTED_VALUE"""),1.0766735723299943)</f>
        <v>1.076673572</v>
      </c>
      <c r="AN125" s="57">
        <f>IFERROR(__xludf.DUMMYFUNCTION("""COMPUTED_VALUE"""),1.1231477286375477)</f>
        <v>1.123147729</v>
      </c>
      <c r="AO125" s="57">
        <f>IFERROR(__xludf.DUMMYFUNCTION("""COMPUTED_VALUE"""),1.2454058012476812)</f>
        <v>1.245405801</v>
      </c>
      <c r="AP125" s="35">
        <f>IFERROR(__xludf.DUMMYFUNCTION("""COMPUTED_VALUE"""),1.0606798637627726)</f>
        <v>1.060679864</v>
      </c>
      <c r="AQ125" s="57">
        <f>IFERROR(__xludf.DUMMYFUNCTION("""COMPUTED_VALUE"""),1.0645190707816716)</f>
        <v>1.064519071</v>
      </c>
      <c r="AR125" s="36" t="b">
        <f>IFERROR(__xludf.DUMMYFUNCTION("""COMPUTED_VALUE"""),TRUE)</f>
        <v>1</v>
      </c>
      <c r="AS125" s="57"/>
      <c r="AT125" s="37"/>
      <c r="AU125" s="30"/>
      <c r="AV125" s="30"/>
      <c r="AW125" s="30"/>
      <c r="AX125" s="30"/>
      <c r="AY125" s="30"/>
      <c r="AZ125" s="30"/>
    </row>
    <row r="126">
      <c r="A126" s="30" t="str">
        <f>IFERROR(__xludf.DUMMYFUNCTION("""COMPUTED_VALUE"""),"Challenger")</f>
        <v>Challenger</v>
      </c>
      <c r="B126" s="30" t="str">
        <f>IFERROR(__xludf.DUMMYFUNCTION("""COMPUTED_VALUE"""),"RSC004844")</f>
        <v>RSC004844</v>
      </c>
      <c r="C126" s="30" t="str">
        <f>IFERROR(__xludf.DUMMYFUNCTION("""COMPUTED_VALUE"""),"Calicat01")</f>
        <v>Calicat01</v>
      </c>
      <c r="D126" s="31" t="str">
        <f>IFERROR(__xludf.DUMMYFUNCTION("""COMPUTED_VALUE"""),"Threshers")</f>
        <v>Threshers</v>
      </c>
      <c r="E126" s="31">
        <f>IFERROR(__xludf.DUMMYFUNCTION("""COMPUTED_VALUE"""),41.30086749581074)</f>
        <v>41.3008675</v>
      </c>
      <c r="F126" s="31">
        <f>IFERROR(__xludf.DUMMYFUNCTION("""COMPUTED_VALUE"""),-2.747757597174548)</f>
        <v>-2.747757597</v>
      </c>
      <c r="G126" s="31">
        <f>IFERROR(__xludf.DUMMYFUNCTION("""COMPUTED_VALUE"""),41.668125739064024)</f>
        <v>41.66812574</v>
      </c>
      <c r="H126" s="31">
        <f>IFERROR(__xludf.DUMMYFUNCTION("""COMPUTED_VALUE"""),-2.7066282970879354)</f>
        <v>-2.706628297</v>
      </c>
      <c r="I126" s="54">
        <f>IFERROR(__xludf.DUMMYFUNCTION("""COMPUTED_VALUE"""),46.0)</f>
        <v>46</v>
      </c>
      <c r="J126" s="55">
        <f>IFERROR(__xludf.DUMMYFUNCTION("""COMPUTED_VALUE"""),15.0)</f>
        <v>15</v>
      </c>
      <c r="K126" s="54">
        <f>IFERROR(__xludf.DUMMYFUNCTION("""COMPUTED_VALUE"""),31.0)</f>
        <v>31</v>
      </c>
      <c r="L126" s="56">
        <f>IFERROR(__xludf.DUMMYFUNCTION("""COMPUTED_VALUE"""),0.32608695652173914)</f>
        <v>0.3260869565</v>
      </c>
      <c r="M126" s="56">
        <f>IFERROR(__xludf.DUMMYFUNCTION("""COMPUTED_VALUE"""),0.23076923076923078)</f>
        <v>0.2307692308</v>
      </c>
      <c r="N126" s="31">
        <f>IFERROR(__xludf.DUMMYFUNCTION("""COMPUTED_VALUE"""),322.0652173913044)</f>
        <v>322.0652174</v>
      </c>
      <c r="O126" s="57">
        <f>IFERROR(__xludf.DUMMYFUNCTION("""COMPUTED_VALUE"""),0.5869565217391305)</f>
        <v>0.5869565217</v>
      </c>
      <c r="P126" s="57">
        <f>IFERROR(__xludf.DUMMYFUNCTION("""COMPUTED_VALUE"""),0.43478260869565216)</f>
        <v>0.4347826087</v>
      </c>
      <c r="Q126" s="57">
        <f>IFERROR(__xludf.DUMMYFUNCTION("""COMPUTED_VALUE"""),1.2826086956521738)</f>
        <v>1.282608696</v>
      </c>
      <c r="R126" s="57">
        <f>IFERROR(__xludf.DUMMYFUNCTION("""COMPUTED_VALUE"""),2.5434782608695654)</f>
        <v>2.543478261</v>
      </c>
      <c r="S126" s="31">
        <f>IFERROR(__xludf.DUMMYFUNCTION("""COMPUTED_VALUE"""),354.9782608695652)</f>
        <v>354.9782609</v>
      </c>
      <c r="T126" s="57">
        <f>IFERROR(__xludf.DUMMYFUNCTION("""COMPUTED_VALUE"""),0.905797101449275)</f>
        <v>0.9057971014</v>
      </c>
      <c r="U126" s="57">
        <f>IFERROR(__xludf.DUMMYFUNCTION("""COMPUTED_VALUE"""),0.673913043478261)</f>
        <v>0.6739130435</v>
      </c>
      <c r="V126" s="57">
        <f>IFERROR(__xludf.DUMMYFUNCTION("""COMPUTED_VALUE"""),1.2028985507246377)</f>
        <v>1.202898551</v>
      </c>
      <c r="W126" s="57">
        <f>IFERROR(__xludf.DUMMYFUNCTION("""COMPUTED_VALUE"""),2.7173913043478257)</f>
        <v>2.717391304</v>
      </c>
      <c r="X126" s="31">
        <f>IFERROR(__xludf.DUMMYFUNCTION("""COMPUTED_VALUE"""),342.6966369251416)</f>
        <v>342.6966369</v>
      </c>
      <c r="Y126" s="57">
        <f>IFERROR(__xludf.DUMMYFUNCTION("""COMPUTED_VALUE"""),0.8303491890383781)</f>
        <v>0.830349189</v>
      </c>
      <c r="Z126" s="57">
        <f>IFERROR(__xludf.DUMMYFUNCTION("""COMPUTED_VALUE"""),0.5576594732388855)</f>
        <v>0.5576594732</v>
      </c>
      <c r="AA126" s="57">
        <f>IFERROR(__xludf.DUMMYFUNCTION("""COMPUTED_VALUE"""),1.1675646531326642)</f>
        <v>1.167564653</v>
      </c>
      <c r="AB126" s="57">
        <f>IFERROR(__xludf.DUMMYFUNCTION("""COMPUTED_VALUE"""),2.5574237371114497)</f>
        <v>2.557423737</v>
      </c>
      <c r="AC126" s="31">
        <f>IFERROR(__xludf.DUMMYFUNCTION("""COMPUTED_VALUE"""),324.8052606628351)</f>
        <v>324.8052607</v>
      </c>
      <c r="AD126" s="57">
        <f>IFERROR(__xludf.DUMMYFUNCTION("""COMPUTED_VALUE"""),0.7285612929499414)</f>
        <v>0.7285612929</v>
      </c>
      <c r="AE126" s="57">
        <f>IFERROR(__xludf.DUMMYFUNCTION("""COMPUTED_VALUE"""),0.48953713932312465)</f>
        <v>0.4895371393</v>
      </c>
      <c r="AF126" s="57">
        <f>IFERROR(__xludf.DUMMYFUNCTION("""COMPUTED_VALUE"""),1.2107148930497582)</f>
        <v>1.210714893</v>
      </c>
      <c r="AG126" s="57">
        <f>IFERROR(__xludf.DUMMYFUNCTION("""COMPUTED_VALUE"""),2.3226180625093833)</f>
        <v>2.322618063</v>
      </c>
      <c r="AH126" s="57">
        <f>IFERROR(__xludf.DUMMYFUNCTION("""COMPUTED_VALUE"""),0.9915640428177207)</f>
        <v>0.9915640428</v>
      </c>
      <c r="AI126" s="57">
        <f>IFERROR(__xludf.DUMMYFUNCTION("""COMPUTED_VALUE"""),0.8056378062064568)</f>
        <v>0.8056378062</v>
      </c>
      <c r="AJ126" s="57">
        <f>IFERROR(__xludf.DUMMYFUNCTION("""COMPUTED_VALUE"""),0.8881504052926797)</f>
        <v>0.8881504053</v>
      </c>
      <c r="AK126" s="57">
        <f>IFERROR(__xludf.DUMMYFUNCTION("""COMPUTED_VALUE"""),1.05938128209633)</f>
        <v>1.059381282</v>
      </c>
      <c r="AL126" s="57">
        <f>IFERROR(__xludf.DUMMYFUNCTION("""COMPUTED_VALUE"""),1.0950910534647105)</f>
        <v>1.095091053</v>
      </c>
      <c r="AM126" s="57">
        <f>IFERROR(__xludf.DUMMYFUNCTION("""COMPUTED_VALUE"""),1.035838180539561)</f>
        <v>1.035838181</v>
      </c>
      <c r="AN126" s="57">
        <f>IFERROR(__xludf.DUMMYFUNCTION("""COMPUTED_VALUE"""),1.0908628723998306)</f>
        <v>1.090862872</v>
      </c>
      <c r="AO126" s="57">
        <f>IFERROR(__xludf.DUMMYFUNCTION("""COMPUTED_VALUE"""),1.2084669512815318)</f>
        <v>1.208466951</v>
      </c>
      <c r="AP126" s="35">
        <f>IFERROR(__xludf.DUMMYFUNCTION("""COMPUTED_VALUE"""),1.0302629044971257)</f>
        <v>1.030262904</v>
      </c>
      <c r="AQ126" s="57">
        <f>IFERROR(__xludf.DUMMYFUNCTION("""COMPUTED_VALUE"""),1.0625502785928842)</f>
        <v>1.062550279</v>
      </c>
      <c r="AR126" s="36" t="b">
        <f>IFERROR(__xludf.DUMMYFUNCTION("""COMPUTED_VALUE"""),TRUE)</f>
        <v>1</v>
      </c>
      <c r="AS126" s="57"/>
      <c r="AT126" s="37"/>
      <c r="AU126" s="30"/>
      <c r="AV126" s="30"/>
      <c r="AW126" s="30"/>
      <c r="AX126" s="30"/>
      <c r="AY126" s="30"/>
      <c r="AZ126" s="30"/>
    </row>
    <row r="127">
      <c r="A127" s="30" t="str">
        <f>IFERROR(__xludf.DUMMYFUNCTION("""COMPUTED_VALUE"""),"Challenger")</f>
        <v>Challenger</v>
      </c>
      <c r="B127" s="30" t="str">
        <f>IFERROR(__xludf.DUMMYFUNCTION("""COMPUTED_VALUE"""),"RSC002128")</f>
        <v>RSC002128</v>
      </c>
      <c r="C127" s="30" t="str">
        <f>IFERROR(__xludf.DUMMYFUNCTION("""COMPUTED_VALUE"""),"Velo")</f>
        <v>Velo</v>
      </c>
      <c r="D127" s="31" t="str">
        <f>IFERROR(__xludf.DUMMYFUNCTION("""COMPUTED_VALUE"""),"Jock O Lanterns")</f>
        <v>Jock O Lanterns</v>
      </c>
      <c r="E127" s="31">
        <f>IFERROR(__xludf.DUMMYFUNCTION("""COMPUTED_VALUE"""),40.13473944392432)</f>
        <v>40.13473944</v>
      </c>
      <c r="F127" s="31">
        <f>IFERROR(__xludf.DUMMYFUNCTION("""COMPUTED_VALUE"""),-2.8854598505441826)</f>
        <v>-2.885459851</v>
      </c>
      <c r="G127" s="31">
        <f>IFERROR(__xludf.DUMMYFUNCTION("""COMPUTED_VALUE"""),42.33957964774379)</f>
        <v>42.33957965</v>
      </c>
      <c r="H127" s="31">
        <f>IFERROR(__xludf.DUMMYFUNCTION("""COMPUTED_VALUE"""),-2.634049034212722)</f>
        <v>-2.634049034</v>
      </c>
      <c r="I127" s="54">
        <f>IFERROR(__xludf.DUMMYFUNCTION("""COMPUTED_VALUE"""),44.0)</f>
        <v>44</v>
      </c>
      <c r="J127" s="55">
        <f>IFERROR(__xludf.DUMMYFUNCTION("""COMPUTED_VALUE"""),17.0)</f>
        <v>17</v>
      </c>
      <c r="K127" s="54">
        <f>IFERROR(__xludf.DUMMYFUNCTION("""COMPUTED_VALUE"""),27.0)</f>
        <v>27</v>
      </c>
      <c r="L127" s="56">
        <f>IFERROR(__xludf.DUMMYFUNCTION("""COMPUTED_VALUE"""),0.38636363636363635)</f>
        <v>0.3863636364</v>
      </c>
      <c r="M127" s="56">
        <f>IFERROR(__xludf.DUMMYFUNCTION("""COMPUTED_VALUE"""),0.20909090909090908)</f>
        <v>0.2090909091</v>
      </c>
      <c r="N127" s="31">
        <f>IFERROR(__xludf.DUMMYFUNCTION("""COMPUTED_VALUE"""),327.1363636363636)</f>
        <v>327.1363636</v>
      </c>
      <c r="O127" s="57">
        <f>IFERROR(__xludf.DUMMYFUNCTION("""COMPUTED_VALUE"""),0.5227272727272727)</f>
        <v>0.5227272727</v>
      </c>
      <c r="P127" s="57">
        <f>IFERROR(__xludf.DUMMYFUNCTION("""COMPUTED_VALUE"""),0.5681818181818182)</f>
        <v>0.5681818182</v>
      </c>
      <c r="Q127" s="57">
        <f>IFERROR(__xludf.DUMMYFUNCTION("""COMPUTED_VALUE"""),1.2727272727272727)</f>
        <v>1.272727273</v>
      </c>
      <c r="R127" s="57">
        <f>IFERROR(__xludf.DUMMYFUNCTION("""COMPUTED_VALUE"""),2.5)</f>
        <v>2.5</v>
      </c>
      <c r="S127" s="31">
        <f>IFERROR(__xludf.DUMMYFUNCTION("""COMPUTED_VALUE"""),385.5075757575758)</f>
        <v>385.5075758</v>
      </c>
      <c r="T127" s="57">
        <f>IFERROR(__xludf.DUMMYFUNCTION("""COMPUTED_VALUE"""),0.962121212121212)</f>
        <v>0.9621212121</v>
      </c>
      <c r="U127" s="57">
        <f>IFERROR(__xludf.DUMMYFUNCTION("""COMPUTED_VALUE"""),0.6515151515151516)</f>
        <v>0.6515151515</v>
      </c>
      <c r="V127" s="57">
        <f>IFERROR(__xludf.DUMMYFUNCTION("""COMPUTED_VALUE"""),1.3863636363636362)</f>
        <v>1.386363636</v>
      </c>
      <c r="W127" s="57">
        <f>IFERROR(__xludf.DUMMYFUNCTION("""COMPUTED_VALUE"""),2.537878787878787)</f>
        <v>2.537878788</v>
      </c>
      <c r="X127" s="31">
        <f>IFERROR(__xludf.DUMMYFUNCTION("""COMPUTED_VALUE"""),338.9296707352979)</f>
        <v>338.9296707</v>
      </c>
      <c r="Y127" s="57">
        <f>IFERROR(__xludf.DUMMYFUNCTION("""COMPUTED_VALUE"""),0.7913075150690144)</f>
        <v>0.7913075151</v>
      </c>
      <c r="Z127" s="57">
        <f>IFERROR(__xludf.DUMMYFUNCTION("""COMPUTED_VALUE"""),0.5830343117571587)</f>
        <v>0.5830343118</v>
      </c>
      <c r="AA127" s="57">
        <f>IFERROR(__xludf.DUMMYFUNCTION("""COMPUTED_VALUE"""),1.2009452553931987)</f>
        <v>1.200945255</v>
      </c>
      <c r="AB127" s="57">
        <f>IFERROR(__xludf.DUMMYFUNCTION("""COMPUTED_VALUE"""),2.4708625302976968)</f>
        <v>2.47086253</v>
      </c>
      <c r="AC127" s="31">
        <f>IFERROR(__xludf.DUMMYFUNCTION("""COMPUTED_VALUE"""),335.4915153424121)</f>
        <v>335.4915153</v>
      </c>
      <c r="AD127" s="57">
        <f>IFERROR(__xludf.DUMMYFUNCTION("""COMPUTED_VALUE"""),0.7787523171788243)</f>
        <v>0.7787523172</v>
      </c>
      <c r="AE127" s="57">
        <f>IFERROR(__xludf.DUMMYFUNCTION("""COMPUTED_VALUE"""),0.5287491101025744)</f>
        <v>0.5287491101</v>
      </c>
      <c r="AF127" s="57">
        <f>IFERROR(__xludf.DUMMYFUNCTION("""COMPUTED_VALUE"""),1.2110415700997201)</f>
        <v>1.21104157</v>
      </c>
      <c r="AG127" s="57">
        <f>IFERROR(__xludf.DUMMYFUNCTION("""COMPUTED_VALUE"""),2.4511697858148076)</f>
        <v>2.451169786</v>
      </c>
      <c r="AH127" s="57">
        <f>IFERROR(__xludf.DUMMYFUNCTION("""COMPUTED_VALUE"""),0.9750957883464775)</f>
        <v>0.9750957883</v>
      </c>
      <c r="AI127" s="57">
        <f>IFERROR(__xludf.DUMMYFUNCTION("""COMPUTED_VALUE"""),0.671236876213672)</f>
        <v>0.6712368762</v>
      </c>
      <c r="AJ127" s="57">
        <f>IFERROR(__xludf.DUMMYFUNCTION("""COMPUTED_VALUE"""),1.0745773511970433)</f>
        <v>1.074577351</v>
      </c>
      <c r="AK127" s="57">
        <f>IFERROR(__xludf.DUMMYFUNCTION("""COMPUTED_VALUE"""),1.0509360736663014)</f>
        <v>1.050936074</v>
      </c>
      <c r="AL127" s="57">
        <f>IFERROR(__xludf.DUMMYFUNCTION("""COMPUTED_VALUE"""),1.019921188025317)</f>
        <v>1.019921188</v>
      </c>
      <c r="AM127" s="57">
        <f>IFERROR(__xludf.DUMMYFUNCTION("""COMPUTED_VALUE"""),1.1374264605433584)</f>
        <v>1.137426461</v>
      </c>
      <c r="AN127" s="57">
        <f>IFERROR(__xludf.DUMMYFUNCTION("""COMPUTED_VALUE"""),1.2158625993047723)</f>
        <v>1.215862599</v>
      </c>
      <c r="AO127" s="57">
        <f>IFERROR(__xludf.DUMMYFUNCTION("""COMPUTED_VALUE"""),1.1174559341998316)</f>
        <v>1.117455934</v>
      </c>
      <c r="AP127" s="35">
        <f>IFERROR(__xludf.DUMMYFUNCTION("""COMPUTED_VALUE"""),1.1543936995776964)</f>
        <v>1.1543937</v>
      </c>
      <c r="AQ127" s="57">
        <f>IFERROR(__xludf.DUMMYFUNCTION("""COMPUTED_VALUE"""),1.0271226168025689)</f>
        <v>1.027122617</v>
      </c>
      <c r="AR127" s="36" t="b">
        <f>IFERROR(__xludf.DUMMYFUNCTION("""COMPUTED_VALUE"""),TRUE)</f>
        <v>1</v>
      </c>
      <c r="AS127" s="57"/>
      <c r="AT127" s="37"/>
      <c r="AU127" s="30"/>
      <c r="AV127" s="30"/>
      <c r="AW127" s="30"/>
      <c r="AX127" s="30"/>
      <c r="AY127" s="30"/>
      <c r="AZ127" s="30"/>
    </row>
    <row r="128">
      <c r="A128" s="30" t="str">
        <f>IFERROR(__xludf.DUMMYFUNCTION("""COMPUTED_VALUE"""),"Challenger")</f>
        <v>Challenger</v>
      </c>
      <c r="B128" s="30" t="str">
        <f>IFERROR(__xludf.DUMMYFUNCTION("""COMPUTED_VALUE"""),"RSC007546")</f>
        <v>RSC007546</v>
      </c>
      <c r="C128" s="30" t="str">
        <f>IFERROR(__xludf.DUMMYFUNCTION("""COMPUTED_VALUE"""),"N0TTopmarx")</f>
        <v>N0TTopmarx</v>
      </c>
      <c r="D128" s="31" t="str">
        <f>IFERROR(__xludf.DUMMYFUNCTION("""COMPUTED_VALUE"""),"Metal")</f>
        <v>Metal</v>
      </c>
      <c r="E128" s="31">
        <f>IFERROR(__xludf.DUMMYFUNCTION("""COMPUTED_VALUE"""),39.78271945536697)</f>
        <v>39.78271946</v>
      </c>
      <c r="F128" s="31">
        <f>IFERROR(__xludf.DUMMYFUNCTION("""COMPUTED_VALUE"""),-2.929260082899257)</f>
        <v>-2.929260083</v>
      </c>
      <c r="G128" s="31">
        <f>IFERROR(__xludf.DUMMYFUNCTION("""COMPUTED_VALUE"""),37.65449869223839)</f>
        <v>37.65449869</v>
      </c>
      <c r="H128" s="31">
        <f>IFERROR(__xludf.DUMMYFUNCTION("""COMPUTED_VALUE"""),-3.2183664696441663)</f>
        <v>-3.21836647</v>
      </c>
      <c r="I128" s="54">
        <f>IFERROR(__xludf.DUMMYFUNCTION("""COMPUTED_VALUE"""),37.0)</f>
        <v>37</v>
      </c>
      <c r="J128" s="55">
        <f>IFERROR(__xludf.DUMMYFUNCTION("""COMPUTED_VALUE"""),17.0)</f>
        <v>17</v>
      </c>
      <c r="K128" s="54">
        <f>IFERROR(__xludf.DUMMYFUNCTION("""COMPUTED_VALUE"""),20.0)</f>
        <v>20</v>
      </c>
      <c r="L128" s="56">
        <f>IFERROR(__xludf.DUMMYFUNCTION("""COMPUTED_VALUE"""),0.4594594594594595)</f>
        <v>0.4594594595</v>
      </c>
      <c r="M128" s="56">
        <f>IFERROR(__xludf.DUMMYFUNCTION("""COMPUTED_VALUE"""),0.26136363636363635)</f>
        <v>0.2613636364</v>
      </c>
      <c r="N128" s="31">
        <f>IFERROR(__xludf.DUMMYFUNCTION("""COMPUTED_VALUE"""),318.35135135135135)</f>
        <v>318.3513514</v>
      </c>
      <c r="O128" s="57">
        <f>IFERROR(__xludf.DUMMYFUNCTION("""COMPUTED_VALUE"""),0.6216216216216216)</f>
        <v>0.6216216216</v>
      </c>
      <c r="P128" s="57">
        <f>IFERROR(__xludf.DUMMYFUNCTION("""COMPUTED_VALUE"""),0.4864864864864865)</f>
        <v>0.4864864865</v>
      </c>
      <c r="Q128" s="57">
        <f>IFERROR(__xludf.DUMMYFUNCTION("""COMPUTED_VALUE"""),1.054054054054054)</f>
        <v>1.054054054</v>
      </c>
      <c r="R128" s="57">
        <f>IFERROR(__xludf.DUMMYFUNCTION("""COMPUTED_VALUE"""),2.3783783783783785)</f>
        <v>2.378378378</v>
      </c>
      <c r="S128" s="31">
        <f>IFERROR(__xludf.DUMMYFUNCTION("""COMPUTED_VALUE"""),332.24324324324317)</f>
        <v>332.2432432</v>
      </c>
      <c r="T128" s="57">
        <f>IFERROR(__xludf.DUMMYFUNCTION("""COMPUTED_VALUE"""),0.8108108108108109)</f>
        <v>0.8108108108</v>
      </c>
      <c r="U128" s="57">
        <f>IFERROR(__xludf.DUMMYFUNCTION("""COMPUTED_VALUE"""),0.5585585585585584)</f>
        <v>0.5585585586</v>
      </c>
      <c r="V128" s="57">
        <f>IFERROR(__xludf.DUMMYFUNCTION("""COMPUTED_VALUE"""),1.099099099099099)</f>
        <v>1.099099099</v>
      </c>
      <c r="W128" s="57">
        <f>IFERROR(__xludf.DUMMYFUNCTION("""COMPUTED_VALUE"""),2.4864864864864873)</f>
        <v>2.486486486</v>
      </c>
      <c r="X128" s="31">
        <f>IFERROR(__xludf.DUMMYFUNCTION("""COMPUTED_VALUE"""),326.18628209355467)</f>
        <v>326.1862821</v>
      </c>
      <c r="Y128" s="57">
        <f>IFERROR(__xludf.DUMMYFUNCTION("""COMPUTED_VALUE"""),0.737716042100685)</f>
        <v>0.7377160421</v>
      </c>
      <c r="Z128" s="57">
        <f>IFERROR(__xludf.DUMMYFUNCTION("""COMPUTED_VALUE"""),0.5042847625458091)</f>
        <v>0.5042847625</v>
      </c>
      <c r="AA128" s="57">
        <f>IFERROR(__xludf.DUMMYFUNCTION("""COMPUTED_VALUE"""),1.2176962594160217)</f>
        <v>1.217696259</v>
      </c>
      <c r="AB128" s="57">
        <f>IFERROR(__xludf.DUMMYFUNCTION("""COMPUTED_VALUE"""),2.38990201892572)</f>
        <v>2.389902019</v>
      </c>
      <c r="AC128" s="31">
        <f>IFERROR(__xludf.DUMMYFUNCTION("""COMPUTED_VALUE"""),340.990314426721)</f>
        <v>340.9903144</v>
      </c>
      <c r="AD128" s="57">
        <f>IFERROR(__xludf.DUMMYFUNCTION("""COMPUTED_VALUE"""),0.8047398104383818)</f>
        <v>0.8047398104</v>
      </c>
      <c r="AE128" s="57">
        <f>IFERROR(__xludf.DUMMYFUNCTION("""COMPUTED_VALUE"""),0.5553694372913505)</f>
        <v>0.5553694373</v>
      </c>
      <c r="AF128" s="57">
        <f>IFERROR(__xludf.DUMMYFUNCTION("""COMPUTED_VALUE"""),1.213614576178716)</f>
        <v>1.213614576</v>
      </c>
      <c r="AG128" s="57">
        <f>IFERROR(__xludf.DUMMYFUNCTION("""COMPUTED_VALUE"""),2.4951725644780987)</f>
        <v>2.495172564</v>
      </c>
      <c r="AH128" s="57">
        <f>IFERROR(__xludf.DUMMYFUNCTION("""COMPUTED_VALUE"""),0.9336081932021129)</f>
        <v>0.9336081932</v>
      </c>
      <c r="AI128" s="57">
        <f>IFERROR(__xludf.DUMMYFUNCTION("""COMPUTED_VALUE"""),0.7724504411966314)</f>
        <v>0.7724504412</v>
      </c>
      <c r="AJ128" s="57">
        <f>IFERROR(__xludf.DUMMYFUNCTION("""COMPUTED_VALUE"""),0.8759691366150429)</f>
        <v>0.8759691366</v>
      </c>
      <c r="AK128" s="57">
        <f>IFERROR(__xludf.DUMMYFUNCTION("""COMPUTED_VALUE"""),0.8685245503337088)</f>
        <v>0.8685245503</v>
      </c>
      <c r="AL128" s="57">
        <f>IFERROR(__xludf.DUMMYFUNCTION("""COMPUTED_VALUE"""),0.9531919404042705)</f>
        <v>0.9531919404</v>
      </c>
      <c r="AM128" s="57">
        <f>IFERROR(__xludf.DUMMYFUNCTION("""COMPUTED_VALUE"""),1.0185690247634365)</f>
        <v>1.018569025</v>
      </c>
      <c r="AN128" s="57">
        <f>IFERROR(__xludf.DUMMYFUNCTION("""COMPUTED_VALUE"""),1.0990825257127184)</f>
        <v>1.099082526</v>
      </c>
      <c r="AO128" s="57">
        <f>IFERROR(__xludf.DUMMYFUNCTION("""COMPUTED_VALUE"""),1.1076252943649454)</f>
        <v>1.107625294</v>
      </c>
      <c r="AP128" s="35">
        <f>IFERROR(__xludf.DUMMYFUNCTION("""COMPUTED_VALUE"""),0.9026053012811265)</f>
        <v>0.9026053013</v>
      </c>
      <c r="AQ128" s="57">
        <f>IFERROR(__xludf.DUMMYFUNCTION("""COMPUTED_VALUE"""),1.0404135679186475)</f>
        <v>1.040413568</v>
      </c>
      <c r="AR128" s="36" t="b">
        <f>IFERROR(__xludf.DUMMYFUNCTION("""COMPUTED_VALUE"""),TRUE)</f>
        <v>1</v>
      </c>
      <c r="AS128" s="57"/>
      <c r="AT128" s="37"/>
      <c r="AU128" s="30"/>
      <c r="AV128" s="30"/>
      <c r="AW128" s="30"/>
      <c r="AX128" s="30"/>
      <c r="AY128" s="30"/>
      <c r="AZ128" s="30"/>
    </row>
    <row r="129">
      <c r="A129" s="30" t="str">
        <f>IFERROR(__xludf.DUMMYFUNCTION("""COMPUTED_VALUE"""),"Challenger")</f>
        <v>Challenger</v>
      </c>
      <c r="B129" s="30" t="str">
        <f>IFERROR(__xludf.DUMMYFUNCTION("""COMPUTED_VALUE"""),"RSC000938")</f>
        <v>RSC000938</v>
      </c>
      <c r="C129" s="30" t="str">
        <f>IFERROR(__xludf.DUMMYFUNCTION("""COMPUTED_VALUE"""),"Nukem_IV")</f>
        <v>Nukem_IV</v>
      </c>
      <c r="D129" s="31" t="str">
        <f>IFERROR(__xludf.DUMMYFUNCTION("""COMPUTED_VALUE"""),"Spearmint")</f>
        <v>Spearmint</v>
      </c>
      <c r="E129" s="31">
        <f>IFERROR(__xludf.DUMMYFUNCTION("""COMPUTED_VALUE"""),39.280852689425615)</f>
        <v>39.28085269</v>
      </c>
      <c r="F129" s="31">
        <f>IFERROR(__xludf.DUMMYFUNCTION("""COMPUTED_VALUE"""),-2.993592502837486)</f>
        <v>-2.993592503</v>
      </c>
      <c r="G129" s="31">
        <f>IFERROR(__xludf.DUMMYFUNCTION("""COMPUTED_VALUE"""),47.104301468150844)</f>
        <v>47.10430147</v>
      </c>
      <c r="H129" s="31">
        <f>IFERROR(__xludf.DUMMYFUNCTION("""COMPUTED_VALUE"""),-2.2031553675351163)</f>
        <v>-2.203155368</v>
      </c>
      <c r="I129" s="54">
        <f>IFERROR(__xludf.DUMMYFUNCTION("""COMPUTED_VALUE"""),41.0)</f>
        <v>41</v>
      </c>
      <c r="J129" s="55">
        <f>IFERROR(__xludf.DUMMYFUNCTION("""COMPUTED_VALUE"""),15.0)</f>
        <v>15</v>
      </c>
      <c r="K129" s="54">
        <f>IFERROR(__xludf.DUMMYFUNCTION("""COMPUTED_VALUE"""),26.0)</f>
        <v>26</v>
      </c>
      <c r="L129" s="56">
        <f>IFERROR(__xludf.DUMMYFUNCTION("""COMPUTED_VALUE"""),0.36585365853658536)</f>
        <v>0.3658536585</v>
      </c>
      <c r="M129" s="56">
        <f>IFERROR(__xludf.DUMMYFUNCTION("""COMPUTED_VALUE"""),0.27102803738317754)</f>
        <v>0.2710280374</v>
      </c>
      <c r="N129" s="31">
        <f>IFERROR(__xludf.DUMMYFUNCTION("""COMPUTED_VALUE"""),313.6585365853659)</f>
        <v>313.6585366</v>
      </c>
      <c r="O129" s="57">
        <f>IFERROR(__xludf.DUMMYFUNCTION("""COMPUTED_VALUE"""),0.7073170731707317)</f>
        <v>0.7073170732</v>
      </c>
      <c r="P129" s="57">
        <f>IFERROR(__xludf.DUMMYFUNCTION("""COMPUTED_VALUE"""),0.2926829268292683)</f>
        <v>0.2926829268</v>
      </c>
      <c r="Q129" s="57">
        <f>IFERROR(__xludf.DUMMYFUNCTION("""COMPUTED_VALUE"""),1.0975609756097562)</f>
        <v>1.097560976</v>
      </c>
      <c r="R129" s="57">
        <f>IFERROR(__xludf.DUMMYFUNCTION("""COMPUTED_VALUE"""),2.6097560975609757)</f>
        <v>2.609756098</v>
      </c>
      <c r="S129" s="31">
        <f>IFERROR(__xludf.DUMMYFUNCTION("""COMPUTED_VALUE"""),346.7154471544716)</f>
        <v>346.7154472</v>
      </c>
      <c r="T129" s="57">
        <f>IFERROR(__xludf.DUMMYFUNCTION("""COMPUTED_VALUE"""),0.8455284552845528)</f>
        <v>0.8455284553</v>
      </c>
      <c r="U129" s="57">
        <f>IFERROR(__xludf.DUMMYFUNCTION("""COMPUTED_VALUE"""),0.5934959349593495)</f>
        <v>0.593495935</v>
      </c>
      <c r="V129" s="57">
        <f>IFERROR(__xludf.DUMMYFUNCTION("""COMPUTED_VALUE"""),1.2276422764227644)</f>
        <v>1.227642276</v>
      </c>
      <c r="W129" s="57">
        <f>IFERROR(__xludf.DUMMYFUNCTION("""COMPUTED_VALUE"""),2.398373983739838)</f>
        <v>2.398373984</v>
      </c>
      <c r="X129" s="31">
        <f>IFERROR(__xludf.DUMMYFUNCTION("""COMPUTED_VALUE"""),326.5154120997448)</f>
        <v>326.5154121</v>
      </c>
      <c r="Y129" s="57">
        <f>IFERROR(__xludf.DUMMYFUNCTION("""COMPUTED_VALUE"""),0.7538888030266172)</f>
        <v>0.753888803</v>
      </c>
      <c r="Z129" s="57">
        <f>IFERROR(__xludf.DUMMYFUNCTION("""COMPUTED_VALUE"""),0.5441084431770649)</f>
        <v>0.5441084432</v>
      </c>
      <c r="AA129" s="57">
        <f>IFERROR(__xludf.DUMMYFUNCTION("""COMPUTED_VALUE"""),1.153961083449574)</f>
        <v>1.153961083</v>
      </c>
      <c r="AB129" s="57">
        <f>IFERROR(__xludf.DUMMYFUNCTION("""COMPUTED_VALUE"""),2.4677852895784205)</f>
        <v>2.46778529</v>
      </c>
      <c r="AC129" s="31">
        <f>IFERROR(__xludf.DUMMYFUNCTION("""COMPUTED_VALUE"""),335.82897166816184)</f>
        <v>335.8289717</v>
      </c>
      <c r="AD129" s="57">
        <f>IFERROR(__xludf.DUMMYFUNCTION("""COMPUTED_VALUE"""),0.7809975981461448)</f>
        <v>0.7809975981</v>
      </c>
      <c r="AE129" s="57">
        <f>IFERROR(__xludf.DUMMYFUNCTION("""COMPUTED_VALUE"""),0.5501019526239024)</f>
        <v>0.5501019526</v>
      </c>
      <c r="AF129" s="57">
        <f>IFERROR(__xludf.DUMMYFUNCTION("""COMPUTED_VALUE"""),1.2332381483938066)</f>
        <v>1.233238148</v>
      </c>
      <c r="AG129" s="57">
        <f>IFERROR(__xludf.DUMMYFUNCTION("""COMPUTED_VALUE"""),2.423288579068437)</f>
        <v>2.423288579</v>
      </c>
      <c r="AH129" s="57">
        <f>IFERROR(__xludf.DUMMYFUNCTION("""COMPUTED_VALUE"""),0.9339829587284597)</f>
        <v>0.9339829587</v>
      </c>
      <c r="AI129" s="57">
        <f>IFERROR(__xludf.DUMMYFUNCTION("""COMPUTED_VALUE"""),0.9056584486939413)</f>
        <v>0.9056584487</v>
      </c>
      <c r="AJ129" s="57">
        <f>IFERROR(__xludf.DUMMYFUNCTION("""COMPUTED_VALUE"""),0.532052150393605)</f>
        <v>0.5320521504</v>
      </c>
      <c r="AK129" s="57">
        <f>IFERROR(__xludf.DUMMYFUNCTION("""COMPUTED_VALUE"""),0.8899829907461434)</f>
        <v>0.8899829907</v>
      </c>
      <c r="AL129" s="57">
        <f>IFERROR(__xludf.DUMMYFUNCTION("""COMPUTED_VALUE"""),1.0769481274756887)</f>
        <v>1.076948127</v>
      </c>
      <c r="AM129" s="57">
        <f>IFERROR(__xludf.DUMMYFUNCTION("""COMPUTED_VALUE"""),1.061865487221032)</f>
        <v>1.061865487</v>
      </c>
      <c r="AN129" s="57">
        <f>IFERROR(__xludf.DUMMYFUNCTION("""COMPUTED_VALUE"""),1.1215559269351558)</f>
        <v>1.121555927</v>
      </c>
      <c r="AO129" s="57">
        <f>IFERROR(__xludf.DUMMYFUNCTION("""COMPUTED_VALUE"""),1.09076773647163)</f>
        <v>1.090767736</v>
      </c>
      <c r="AP129" s="35">
        <f>IFERROR(__xludf.DUMMYFUNCTION("""COMPUTED_VALUE"""),1.0638506740218074)</f>
        <v>1.063850674</v>
      </c>
      <c r="AQ129" s="57">
        <f>IFERROR(__xludf.DUMMYFUNCTION("""COMPUTED_VALUE"""),0.9718730368757322)</f>
        <v>0.9718730369</v>
      </c>
      <c r="AR129" s="36" t="b">
        <f>IFERROR(__xludf.DUMMYFUNCTION("""COMPUTED_VALUE"""),TRUE)</f>
        <v>1</v>
      </c>
      <c r="AS129" s="57"/>
      <c r="AT129" s="37"/>
      <c r="AU129" s="30"/>
      <c r="AV129" s="30"/>
      <c r="AW129" s="30"/>
      <c r="AX129" s="30"/>
      <c r="AY129" s="30"/>
      <c r="AZ129" s="30"/>
    </row>
    <row r="130">
      <c r="A130" s="30" t="str">
        <f>IFERROR(__xludf.DUMMYFUNCTION("""COMPUTED_VALUE"""),"Challenger")</f>
        <v>Challenger</v>
      </c>
      <c r="B130" s="30" t="str">
        <f>IFERROR(__xludf.DUMMYFUNCTION("""COMPUTED_VALUE"""),"RSC000025")</f>
        <v>RSC000025</v>
      </c>
      <c r="C130" s="30" t="str">
        <f>IFERROR(__xludf.DUMMYFUNCTION("""COMPUTED_VALUE"""),"Slayerof666")</f>
        <v>Slayerof666</v>
      </c>
      <c r="D130" s="31" t="str">
        <f>IFERROR(__xludf.DUMMYFUNCTION("""COMPUTED_VALUE"""),"Apple Associates")</f>
        <v>Apple Associates</v>
      </c>
      <c r="E130" s="31">
        <f>IFERROR(__xludf.DUMMYFUNCTION("""COMPUTED_VALUE"""),38.87162397229071)</f>
        <v>38.87162397</v>
      </c>
      <c r="F130" s="31">
        <f>IFERROR(__xludf.DUMMYFUNCTION("""COMPUTED_VALUE"""),-3.047748309194759)</f>
        <v>-3.047748309</v>
      </c>
      <c r="G130" s="31">
        <f>IFERROR(__xludf.DUMMYFUNCTION("""COMPUTED_VALUE"""),43.807213638180905)</f>
        <v>43.80721364</v>
      </c>
      <c r="H130" s="31">
        <f>IFERROR(__xludf.DUMMYFUNCTION("""COMPUTED_VALUE"""),-2.486456060465066)</f>
        <v>-2.48645606</v>
      </c>
      <c r="I130" s="54">
        <f>IFERROR(__xludf.DUMMYFUNCTION("""COMPUTED_VALUE"""),44.0)</f>
        <v>44</v>
      </c>
      <c r="J130" s="55">
        <f>IFERROR(__xludf.DUMMYFUNCTION("""COMPUTED_VALUE"""),13.0)</f>
        <v>13</v>
      </c>
      <c r="K130" s="54">
        <f>IFERROR(__xludf.DUMMYFUNCTION("""COMPUTED_VALUE"""),31.0)</f>
        <v>31</v>
      </c>
      <c r="L130" s="56">
        <f>IFERROR(__xludf.DUMMYFUNCTION("""COMPUTED_VALUE"""),0.29545454545454547)</f>
        <v>0.2954545455</v>
      </c>
      <c r="M130" s="56">
        <f>IFERROR(__xludf.DUMMYFUNCTION("""COMPUTED_VALUE"""),0.2641509433962264)</f>
        <v>0.2641509434</v>
      </c>
      <c r="N130" s="31">
        <f>IFERROR(__xludf.DUMMYFUNCTION("""COMPUTED_VALUE"""),308.4318181818182)</f>
        <v>308.4318182</v>
      </c>
      <c r="O130" s="57">
        <f>IFERROR(__xludf.DUMMYFUNCTION("""COMPUTED_VALUE"""),0.6363636363636364)</f>
        <v>0.6363636364</v>
      </c>
      <c r="P130" s="57">
        <f>IFERROR(__xludf.DUMMYFUNCTION("""COMPUTED_VALUE"""),0.3409090909090909)</f>
        <v>0.3409090909</v>
      </c>
      <c r="Q130" s="57">
        <f>IFERROR(__xludf.DUMMYFUNCTION("""COMPUTED_VALUE"""),1.2954545454545454)</f>
        <v>1.295454545</v>
      </c>
      <c r="R130" s="57">
        <f>IFERROR(__xludf.DUMMYFUNCTION("""COMPUTED_VALUE"""),2.409090909090909)</f>
        <v>2.409090909</v>
      </c>
      <c r="S130" s="31">
        <f>IFERROR(__xludf.DUMMYFUNCTION("""COMPUTED_VALUE"""),334.19696969696975)</f>
        <v>334.1969697</v>
      </c>
      <c r="T130" s="57">
        <f>IFERROR(__xludf.DUMMYFUNCTION("""COMPUTED_VALUE"""),0.8787878787878789)</f>
        <v>0.8787878788</v>
      </c>
      <c r="U130" s="57">
        <f>IFERROR(__xludf.DUMMYFUNCTION("""COMPUTED_VALUE"""),0.6136363636363635)</f>
        <v>0.6136363636</v>
      </c>
      <c r="V130" s="57">
        <f>IFERROR(__xludf.DUMMYFUNCTION("""COMPUTED_VALUE"""),1.0530303030303034)</f>
        <v>1.053030303</v>
      </c>
      <c r="W130" s="57">
        <f>IFERROR(__xludf.DUMMYFUNCTION("""COMPUTED_VALUE"""),2.5530303030303036)</f>
        <v>2.553030303</v>
      </c>
      <c r="X130" s="31">
        <f>IFERROR(__xludf.DUMMYFUNCTION("""COMPUTED_VALUE"""),342.408910182175)</f>
        <v>342.4089102</v>
      </c>
      <c r="Y130" s="57">
        <f>IFERROR(__xludf.DUMMYFUNCTION("""COMPUTED_VALUE"""),0.7997447024593395)</f>
        <v>0.7997447025</v>
      </c>
      <c r="Z130" s="57">
        <f>IFERROR(__xludf.DUMMYFUNCTION("""COMPUTED_VALUE"""),0.5740405646506809)</f>
        <v>0.5740405647</v>
      </c>
      <c r="AA130" s="57">
        <f>IFERROR(__xludf.DUMMYFUNCTION("""COMPUTED_VALUE"""),1.2274294713453358)</f>
        <v>1.227429471</v>
      </c>
      <c r="AB130" s="57">
        <f>IFERROR(__xludf.DUMMYFUNCTION("""COMPUTED_VALUE"""),2.544195837533928)</f>
        <v>2.544195838</v>
      </c>
      <c r="AC130" s="31">
        <f>IFERROR(__xludf.DUMMYFUNCTION("""COMPUTED_VALUE"""),327.02419913540365)</f>
        <v>327.0241991</v>
      </c>
      <c r="AD130" s="57">
        <f>IFERROR(__xludf.DUMMYFUNCTION("""COMPUTED_VALUE"""),0.7099738629491967)</f>
        <v>0.7099738629</v>
      </c>
      <c r="AE130" s="57">
        <f>IFERROR(__xludf.DUMMYFUNCTION("""COMPUTED_VALUE"""),0.49997749903861827)</f>
        <v>0.499977499</v>
      </c>
      <c r="AF130" s="57">
        <f>IFERROR(__xludf.DUMMYFUNCTION("""COMPUTED_VALUE"""),1.2744828380928686)</f>
        <v>1.274482838</v>
      </c>
      <c r="AG130" s="57">
        <f>IFERROR(__xludf.DUMMYFUNCTION("""COMPUTED_VALUE"""),2.342129018703938)</f>
        <v>2.342129019</v>
      </c>
      <c r="AH130" s="57">
        <f>IFERROR(__xludf.DUMMYFUNCTION("""COMPUTED_VALUE"""),0.943146773227362)</f>
        <v>0.9431467732</v>
      </c>
      <c r="AI130" s="57">
        <f>IFERROR(__xludf.DUMMYFUNCTION("""COMPUTED_VALUE"""),0.8963198077746312)</f>
        <v>0.8963198078</v>
      </c>
      <c r="AJ130" s="57">
        <f>IFERROR(__xludf.DUMMYFUNCTION("""COMPUTED_VALUE"""),0.6818488663282006)</f>
        <v>0.6818488663</v>
      </c>
      <c r="AK130" s="57">
        <f>IFERROR(__xludf.DUMMYFUNCTION("""COMPUTED_VALUE"""),1.0164550723908208)</f>
        <v>1.016455072</v>
      </c>
      <c r="AL130" s="57">
        <f>IFERROR(__xludf.DUMMYFUNCTION("""COMPUTED_VALUE"""),1.028590180067888)</f>
        <v>1.02859018</v>
      </c>
      <c r="AM130" s="57">
        <f>IFERROR(__xludf.DUMMYFUNCTION("""COMPUTED_VALUE"""),0.9760171530558706)</f>
        <v>0.9760171531</v>
      </c>
      <c r="AN130" s="57">
        <f>IFERROR(__xludf.DUMMYFUNCTION("""COMPUTED_VALUE"""),1.0988355109892811)</f>
        <v>1.098835511</v>
      </c>
      <c r="AO130" s="57">
        <f>IFERROR(__xludf.DUMMYFUNCTION("""COMPUTED_VALUE"""),1.0689773535599836)</f>
        <v>1.068977354</v>
      </c>
      <c r="AP130" s="35">
        <f>IFERROR(__xludf.DUMMYFUNCTION("""COMPUTED_VALUE"""),0.8579151206758295)</f>
        <v>0.8579151207</v>
      </c>
      <c r="AQ130" s="57">
        <f>IFERROR(__xludf.DUMMYFUNCTION("""COMPUTED_VALUE"""),1.0034723999489514)</f>
        <v>1.0034724</v>
      </c>
      <c r="AR130" s="36" t="b">
        <f>IFERROR(__xludf.DUMMYFUNCTION("""COMPUTED_VALUE"""),TRUE)</f>
        <v>1</v>
      </c>
      <c r="AS130" s="57"/>
      <c r="AT130" s="37"/>
      <c r="AU130" s="30"/>
      <c r="AV130" s="30"/>
      <c r="AW130" s="30"/>
      <c r="AX130" s="30"/>
      <c r="AY130" s="30"/>
      <c r="AZ130" s="30"/>
    </row>
    <row r="131">
      <c r="A131" s="30" t="str">
        <f>IFERROR(__xludf.DUMMYFUNCTION("""COMPUTED_VALUE"""),"Challenger")</f>
        <v>Challenger</v>
      </c>
      <c r="B131" s="30" t="str">
        <f>IFERROR(__xludf.DUMMYFUNCTION("""COMPUTED_VALUE"""),"RSC007604")</f>
        <v>RSC007604</v>
      </c>
      <c r="C131" s="30" t="str">
        <f>IFERROR(__xludf.DUMMYFUNCTION("""COMPUTED_VALUE"""),"RiisenJT")</f>
        <v>RiisenJT</v>
      </c>
      <c r="D131" s="31" t="str">
        <f>IFERROR(__xludf.DUMMYFUNCTION("""COMPUTED_VALUE"""),"Threshers")</f>
        <v>Threshers</v>
      </c>
      <c r="E131" s="31">
        <f>IFERROR(__xludf.DUMMYFUNCTION("""COMPUTED_VALUE"""),38.661040464567265)</f>
        <v>38.66104046</v>
      </c>
      <c r="F131" s="31">
        <f>IFERROR(__xludf.DUMMYFUNCTION("""COMPUTED_VALUE"""),-3.0762287282749217)</f>
        <v>-3.076228728</v>
      </c>
      <c r="G131" s="31">
        <f>IFERROR(__xludf.DUMMYFUNCTION("""COMPUTED_VALUE"""),35.67651827236512)</f>
        <v>35.67651827</v>
      </c>
      <c r="H131" s="31">
        <f>IFERROR(__xludf.DUMMYFUNCTION("""COMPUTED_VALUE"""),-3.529292507138993)</f>
        <v>-3.529292507</v>
      </c>
      <c r="I131" s="54">
        <f>IFERROR(__xludf.DUMMYFUNCTION("""COMPUTED_VALUE"""),39.0)</f>
        <v>39</v>
      </c>
      <c r="J131" s="55">
        <f>IFERROR(__xludf.DUMMYFUNCTION("""COMPUTED_VALUE"""),11.0)</f>
        <v>11</v>
      </c>
      <c r="K131" s="54">
        <f>IFERROR(__xludf.DUMMYFUNCTION("""COMPUTED_VALUE"""),28.0)</f>
        <v>28</v>
      </c>
      <c r="L131" s="56">
        <f>IFERROR(__xludf.DUMMYFUNCTION("""COMPUTED_VALUE"""),0.28205128205128205)</f>
        <v>0.2820512821</v>
      </c>
      <c r="M131" s="56">
        <f>IFERROR(__xludf.DUMMYFUNCTION("""COMPUTED_VALUE"""),0.2808988764044944)</f>
        <v>0.2808988764</v>
      </c>
      <c r="N131" s="31">
        <f>IFERROR(__xludf.DUMMYFUNCTION("""COMPUTED_VALUE"""),313.6666666666667)</f>
        <v>313.6666667</v>
      </c>
      <c r="O131" s="57">
        <f>IFERROR(__xludf.DUMMYFUNCTION("""COMPUTED_VALUE"""),0.6410256410256411)</f>
        <v>0.641025641</v>
      </c>
      <c r="P131" s="57">
        <f>IFERROR(__xludf.DUMMYFUNCTION("""COMPUTED_VALUE"""),0.4358974358974359)</f>
        <v>0.4358974359</v>
      </c>
      <c r="Q131" s="57">
        <f>IFERROR(__xludf.DUMMYFUNCTION("""COMPUTED_VALUE"""),1.1025641025641026)</f>
        <v>1.102564103</v>
      </c>
      <c r="R131" s="57">
        <f>IFERROR(__xludf.DUMMYFUNCTION("""COMPUTED_VALUE"""),2.282051282051282)</f>
        <v>2.282051282</v>
      </c>
      <c r="S131" s="31">
        <f>IFERROR(__xludf.DUMMYFUNCTION("""COMPUTED_VALUE"""),361.2564102564102)</f>
        <v>361.2564103</v>
      </c>
      <c r="T131" s="57">
        <f>IFERROR(__xludf.DUMMYFUNCTION("""COMPUTED_VALUE"""),0.9572649572649572)</f>
        <v>0.9572649573</v>
      </c>
      <c r="U131" s="57">
        <f>IFERROR(__xludf.DUMMYFUNCTION("""COMPUTED_VALUE"""),0.7008547008547008)</f>
        <v>0.7008547009</v>
      </c>
      <c r="V131" s="57">
        <f>IFERROR(__xludf.DUMMYFUNCTION("""COMPUTED_VALUE"""),1.1538461538461537)</f>
        <v>1.153846154</v>
      </c>
      <c r="W131" s="57">
        <f>IFERROR(__xludf.DUMMYFUNCTION("""COMPUTED_VALUE"""),2.829059829059829)</f>
        <v>2.829059829</v>
      </c>
      <c r="X131" s="31">
        <f>IFERROR(__xludf.DUMMYFUNCTION("""COMPUTED_VALUE"""),347.052492994519)</f>
        <v>347.052493</v>
      </c>
      <c r="Y131" s="57">
        <f>IFERROR(__xludf.DUMMYFUNCTION("""COMPUTED_VALUE"""),0.8379320916444059)</f>
        <v>0.8379320916</v>
      </c>
      <c r="Z131" s="57">
        <f>IFERROR(__xludf.DUMMYFUNCTION("""COMPUTED_VALUE"""),0.5697077404560333)</f>
        <v>0.5697077405</v>
      </c>
      <c r="AA131" s="57">
        <f>IFERROR(__xludf.DUMMYFUNCTION("""COMPUTED_VALUE"""),1.1991202109343573)</f>
        <v>1.199120211</v>
      </c>
      <c r="AB131" s="57">
        <f>IFERROR(__xludf.DUMMYFUNCTION("""COMPUTED_VALUE"""),2.5842071624417295)</f>
        <v>2.584207162</v>
      </c>
      <c r="AC131" s="31">
        <f>IFERROR(__xludf.DUMMYFUNCTION("""COMPUTED_VALUE"""),326.1255643776699)</f>
        <v>326.1255644</v>
      </c>
      <c r="AD131" s="57">
        <f>IFERROR(__xludf.DUMMYFUNCTION("""COMPUTED_VALUE"""),0.7240588985422132)</f>
        <v>0.7240588985</v>
      </c>
      <c r="AE131" s="57">
        <f>IFERROR(__xludf.DUMMYFUNCTION("""COMPUTED_VALUE"""),0.4858691182906835)</f>
        <v>0.4858691183</v>
      </c>
      <c r="AF131" s="57">
        <f>IFERROR(__xludf.DUMMYFUNCTION("""COMPUTED_VALUE"""),1.228680615901112)</f>
        <v>1.228680616</v>
      </c>
      <c r="AG131" s="57">
        <f>IFERROR(__xludf.DUMMYFUNCTION("""COMPUTED_VALUE"""),2.341847907832213)</f>
        <v>2.341847908</v>
      </c>
      <c r="AH131" s="57">
        <f>IFERROR(__xludf.DUMMYFUNCTION("""COMPUTED_VALUE"""),0.9617972367950426)</f>
        <v>0.9617972368</v>
      </c>
      <c r="AI131" s="57">
        <f>IFERROR(__xludf.DUMMYFUNCTION("""COMPUTED_VALUE"""),0.8853225094205078)</f>
        <v>0.8853225094</v>
      </c>
      <c r="AJ131" s="57">
        <f>IFERROR(__xludf.DUMMYFUNCTION("""COMPUTED_VALUE"""),0.8971499103111328)</f>
        <v>0.8971499103</v>
      </c>
      <c r="AK131" s="57">
        <f>IFERROR(__xludf.DUMMYFUNCTION("""COMPUTED_VALUE"""),0.8973561463370887)</f>
        <v>0.8973561463</v>
      </c>
      <c r="AL131" s="57">
        <f>IFERROR(__xludf.DUMMYFUNCTION("""COMPUTED_VALUE"""),0.9744660506854678)</f>
        <v>0.9744660507</v>
      </c>
      <c r="AM131" s="57">
        <f>IFERROR(__xludf.DUMMYFUNCTION("""COMPUTED_VALUE"""),1.0409272877982627)</f>
        <v>1.040927288</v>
      </c>
      <c r="AN131" s="57">
        <f>IFERROR(__xludf.DUMMYFUNCTION("""COMPUTED_VALUE"""),1.1424135282685806)</f>
        <v>1.142413528</v>
      </c>
      <c r="AO131" s="57">
        <f>IFERROR(__xludf.DUMMYFUNCTION("""COMPUTED_VALUE"""),1.2302004187158988)</f>
        <v>1.230200419</v>
      </c>
      <c r="AP131" s="35">
        <f>IFERROR(__xludf.DUMMYFUNCTION("""COMPUTED_VALUE"""),0.9622439379510367)</f>
        <v>0.962243938</v>
      </c>
      <c r="AQ131" s="57">
        <f>IFERROR(__xludf.DUMMYFUNCTION("""COMPUTED_VALUE"""),1.0947496277298243)</f>
        <v>1.094749628</v>
      </c>
      <c r="AR131" s="36" t="b">
        <f>IFERROR(__xludf.DUMMYFUNCTION("""COMPUTED_VALUE"""),TRUE)</f>
        <v>1</v>
      </c>
      <c r="AS131" s="57"/>
      <c r="AT131" s="37"/>
      <c r="AU131" s="30"/>
      <c r="AV131" s="30"/>
      <c r="AW131" s="30"/>
      <c r="AX131" s="30"/>
      <c r="AY131" s="30"/>
      <c r="AZ131" s="30"/>
    </row>
    <row r="132">
      <c r="A132" s="30" t="str">
        <f>IFERROR(__xludf.DUMMYFUNCTION("""COMPUTED_VALUE"""),"Challenger")</f>
        <v>Challenger</v>
      </c>
      <c r="B132" s="30" t="str">
        <f>IFERROR(__xludf.DUMMYFUNCTION("""COMPUTED_VALUE"""),"RSC006346")</f>
        <v>RSC006346</v>
      </c>
      <c r="C132" s="30" t="str">
        <f>IFERROR(__xludf.DUMMYFUNCTION("""COMPUTED_VALUE"""),"MobBossCitrus")</f>
        <v>MobBossCitrus</v>
      </c>
      <c r="D132" s="31" t="str">
        <f>IFERROR(__xludf.DUMMYFUNCTION("""COMPUTED_VALUE"""),"Void")</f>
        <v>Void</v>
      </c>
      <c r="E132" s="31">
        <f>IFERROR(__xludf.DUMMYFUNCTION("""COMPUTED_VALUE"""),35.69664476083112)</f>
        <v>35.69664476</v>
      </c>
      <c r="F132" s="31">
        <f>IFERROR(__xludf.DUMMYFUNCTION("""COMPUTED_VALUE"""),-3.5259000434493553)</f>
        <v>-3.525900043</v>
      </c>
      <c r="G132" s="31">
        <f>IFERROR(__xludf.DUMMYFUNCTION("""COMPUTED_VALUE"""),40.95447379721201)</f>
        <v>40.9544738</v>
      </c>
      <c r="H132" s="31">
        <f>IFERROR(__xludf.DUMMYFUNCTION("""COMPUTED_VALUE"""),-2.7875117603125155)</f>
        <v>-2.78751176</v>
      </c>
      <c r="I132" s="54">
        <f>IFERROR(__xludf.DUMMYFUNCTION("""COMPUTED_VALUE"""),39.0)</f>
        <v>39</v>
      </c>
      <c r="J132" s="55">
        <f>IFERROR(__xludf.DUMMYFUNCTION("""COMPUTED_VALUE"""),16.0)</f>
        <v>16</v>
      </c>
      <c r="K132" s="54">
        <f>IFERROR(__xludf.DUMMYFUNCTION("""COMPUTED_VALUE"""),23.0)</f>
        <v>23</v>
      </c>
      <c r="L132" s="56">
        <f>IFERROR(__xludf.DUMMYFUNCTION("""COMPUTED_VALUE"""),0.41025641025641024)</f>
        <v>0.4102564103</v>
      </c>
      <c r="M132" s="56">
        <f>IFERROR(__xludf.DUMMYFUNCTION("""COMPUTED_VALUE"""),0.2666666666666667)</f>
        <v>0.2666666667</v>
      </c>
      <c r="N132" s="31">
        <f>IFERROR(__xludf.DUMMYFUNCTION("""COMPUTED_VALUE"""),290.46153846153845)</f>
        <v>290.4615385</v>
      </c>
      <c r="O132" s="57">
        <f>IFERROR(__xludf.DUMMYFUNCTION("""COMPUTED_VALUE"""),0.6153846153846154)</f>
        <v>0.6153846154</v>
      </c>
      <c r="P132" s="57">
        <f>IFERROR(__xludf.DUMMYFUNCTION("""COMPUTED_VALUE"""),0.46153846153846156)</f>
        <v>0.4615384615</v>
      </c>
      <c r="Q132" s="57">
        <f>IFERROR(__xludf.DUMMYFUNCTION("""COMPUTED_VALUE"""),1.0769230769230769)</f>
        <v>1.076923077</v>
      </c>
      <c r="R132" s="57">
        <f>IFERROR(__xludf.DUMMYFUNCTION("""COMPUTED_VALUE"""),2.3076923076923075)</f>
        <v>2.307692308</v>
      </c>
      <c r="S132" s="31">
        <f>IFERROR(__xludf.DUMMYFUNCTION("""COMPUTED_VALUE"""),345.9829059829061)</f>
        <v>345.982906</v>
      </c>
      <c r="T132" s="57">
        <f>IFERROR(__xludf.DUMMYFUNCTION("""COMPUTED_VALUE"""),0.8632478632478634)</f>
        <v>0.8632478632</v>
      </c>
      <c r="U132" s="57">
        <f>IFERROR(__xludf.DUMMYFUNCTION("""COMPUTED_VALUE"""),0.5299145299145298)</f>
        <v>0.5299145299</v>
      </c>
      <c r="V132" s="57">
        <f>IFERROR(__xludf.DUMMYFUNCTION("""COMPUTED_VALUE"""),1.222222222222222)</f>
        <v>1.222222222</v>
      </c>
      <c r="W132" s="57">
        <f>IFERROR(__xludf.DUMMYFUNCTION("""COMPUTED_VALUE"""),2.29059829059829)</f>
        <v>2.290598291</v>
      </c>
      <c r="X132" s="31">
        <f>IFERROR(__xludf.DUMMYFUNCTION("""COMPUTED_VALUE"""),330.2329485322499)</f>
        <v>330.2329485</v>
      </c>
      <c r="Y132" s="57">
        <f>IFERROR(__xludf.DUMMYFUNCTION("""COMPUTED_VALUE"""),0.7460545216089642)</f>
        <v>0.7460545216</v>
      </c>
      <c r="Z132" s="57">
        <f>IFERROR(__xludf.DUMMYFUNCTION("""COMPUTED_VALUE"""),0.5270658369113479)</f>
        <v>0.5270658369</v>
      </c>
      <c r="AA132" s="57">
        <f>IFERROR(__xludf.DUMMYFUNCTION("""COMPUTED_VALUE"""),1.2074780377588037)</f>
        <v>1.207478038</v>
      </c>
      <c r="AB132" s="57">
        <f>IFERROR(__xludf.DUMMYFUNCTION("""COMPUTED_VALUE"""),2.319955974531014)</f>
        <v>2.319955975</v>
      </c>
      <c r="AC132" s="31">
        <f>IFERROR(__xludf.DUMMYFUNCTION("""COMPUTED_VALUE"""),335.6560416264938)</f>
        <v>335.6560416</v>
      </c>
      <c r="AD132" s="57">
        <f>IFERROR(__xludf.DUMMYFUNCTION("""COMPUTED_VALUE"""),0.821920775926154)</f>
        <v>0.8219207759</v>
      </c>
      <c r="AE132" s="57">
        <f>IFERROR(__xludf.DUMMYFUNCTION("""COMPUTED_VALUE"""),0.5469421075199461)</f>
        <v>0.5469421075</v>
      </c>
      <c r="AF132" s="57">
        <f>IFERROR(__xludf.DUMMYFUNCTION("""COMPUTED_VALUE"""),1.1309903019734537)</f>
        <v>1.130990302</v>
      </c>
      <c r="AG132" s="57">
        <f>IFERROR(__xludf.DUMMYFUNCTION("""COMPUTED_VALUE"""),2.5088095592410062)</f>
        <v>2.508809559</v>
      </c>
      <c r="AH132" s="57">
        <f>IFERROR(__xludf.DUMMYFUNCTION("""COMPUTED_VALUE"""),0.8653547156608425)</f>
        <v>0.8653547157</v>
      </c>
      <c r="AI132" s="57">
        <f>IFERROR(__xludf.DUMMYFUNCTION("""COMPUTED_VALUE"""),0.74871524532421)</f>
        <v>0.7487152453</v>
      </c>
      <c r="AJ132" s="57">
        <f>IFERROR(__xludf.DUMMYFUNCTION("""COMPUTED_VALUE"""),0.8438524940624178)</f>
        <v>0.8438524941</v>
      </c>
      <c r="AK132" s="57">
        <f>IFERROR(__xludf.DUMMYFUNCTION("""COMPUTED_VALUE"""),0.9521947933982852)</f>
        <v>0.9521947934</v>
      </c>
      <c r="AL132" s="57">
        <f>IFERROR(__xludf.DUMMYFUNCTION("""COMPUTED_VALUE"""),0.9198355846469498)</f>
        <v>0.9198355846</v>
      </c>
      <c r="AM132" s="57">
        <f>IFERROR(__xludf.DUMMYFUNCTION("""COMPUTED_VALUE"""),1.047693476743185)</f>
        <v>1.047693477</v>
      </c>
      <c r="AN132" s="57">
        <f>IFERROR(__xludf.DUMMYFUNCTION("""COMPUTED_VALUE"""),1.1570841516866037)</f>
        <v>1.157084152</v>
      </c>
      <c r="AO132" s="57">
        <f>IFERROR(__xludf.DUMMYFUNCTION("""COMPUTED_VALUE"""),1.0054048143584404)</f>
        <v>1.005404814</v>
      </c>
      <c r="AP132" s="35">
        <f>IFERROR(__xludf.DUMMYFUNCTION("""COMPUTED_VALUE"""),1.0122107268226468)</f>
        <v>1.012210727</v>
      </c>
      <c r="AQ132" s="57">
        <f>IFERROR(__xludf.DUMMYFUNCTION("""COMPUTED_VALUE"""),0.9873455857546355)</f>
        <v>0.9873455858</v>
      </c>
      <c r="AR132" s="36" t="b">
        <f>IFERROR(__xludf.DUMMYFUNCTION("""COMPUTED_VALUE"""),TRUE)</f>
        <v>1</v>
      </c>
      <c r="AS132" s="57"/>
      <c r="AT132" s="37"/>
      <c r="AU132" s="30"/>
      <c r="AV132" s="30"/>
      <c r="AW132" s="30"/>
      <c r="AX132" s="30"/>
      <c r="AY132" s="30"/>
      <c r="AZ132" s="30"/>
    </row>
    <row r="133">
      <c r="A133" s="30" t="str">
        <f>IFERROR(__xludf.DUMMYFUNCTION("""COMPUTED_VALUE"""),"Challenger")</f>
        <v>Challenger</v>
      </c>
      <c r="B133" s="30" t="str">
        <f>IFERROR(__xludf.DUMMYFUNCTION("""COMPUTED_VALUE"""),"RSC003912")</f>
        <v>RSC003912</v>
      </c>
      <c r="C133" s="30" t="str">
        <f>IFERROR(__xludf.DUMMYFUNCTION("""COMPUTED_VALUE"""),"ItsJustSticky.")</f>
        <v>ItsJustSticky.</v>
      </c>
      <c r="D133" s="31" t="str">
        <f>IFERROR(__xludf.DUMMYFUNCTION("""COMPUTED_VALUE"""),"Pharaohs")</f>
        <v>Pharaohs</v>
      </c>
      <c r="E133" s="31">
        <f>IFERROR(__xludf.DUMMYFUNCTION("""COMPUTED_VALUE"""),35.586882779485066)</f>
        <v>35.58688278</v>
      </c>
      <c r="F133" s="31">
        <f>IFERROR(__xludf.DUMMYFUNCTION("""COMPUTED_VALUE"""),-3.5444616294632074)</f>
        <v>-3.544461629</v>
      </c>
      <c r="G133" s="31">
        <f>IFERROR(__xludf.DUMMYFUNCTION("""COMPUTED_VALUE"""),36.967637768550944)</f>
        <v>36.96763777</v>
      </c>
      <c r="H133" s="31">
        <f>IFERROR(__xludf.DUMMYFUNCTION("""COMPUTED_VALUE"""),-3.3213673363190623)</f>
        <v>-3.321367336</v>
      </c>
      <c r="I133" s="54">
        <f>IFERROR(__xludf.DUMMYFUNCTION("""COMPUTED_VALUE"""),40.0)</f>
        <v>40</v>
      </c>
      <c r="J133" s="55">
        <f>IFERROR(__xludf.DUMMYFUNCTION("""COMPUTED_VALUE"""),18.0)</f>
        <v>18</v>
      </c>
      <c r="K133" s="54">
        <f>IFERROR(__xludf.DUMMYFUNCTION("""COMPUTED_VALUE"""),22.0)</f>
        <v>22</v>
      </c>
      <c r="L133" s="56">
        <f>IFERROR(__xludf.DUMMYFUNCTION("""COMPUTED_VALUE"""),0.45)</f>
        <v>0.45</v>
      </c>
      <c r="M133" s="56">
        <f>IFERROR(__xludf.DUMMYFUNCTION("""COMPUTED_VALUE"""),0.2916666666666667)</f>
        <v>0.2916666667</v>
      </c>
      <c r="N133" s="31">
        <f>IFERROR(__xludf.DUMMYFUNCTION("""COMPUTED_VALUE"""),338.8611111111111)</f>
        <v>338.8611111</v>
      </c>
      <c r="O133" s="57">
        <f>IFERROR(__xludf.DUMMYFUNCTION("""COMPUTED_VALUE"""),0.5833333333333334)</f>
        <v>0.5833333333</v>
      </c>
      <c r="P133" s="57">
        <f>IFERROR(__xludf.DUMMYFUNCTION("""COMPUTED_VALUE"""),0.4722222222222222)</f>
        <v>0.4722222222</v>
      </c>
      <c r="Q133" s="57">
        <f>IFERROR(__xludf.DUMMYFUNCTION("""COMPUTED_VALUE"""),1.5277777777777777)</f>
        <v>1.527777778</v>
      </c>
      <c r="R133" s="57">
        <f>IFERROR(__xludf.DUMMYFUNCTION("""COMPUTED_VALUE"""),2.0)</f>
        <v>2</v>
      </c>
      <c r="S133" s="31">
        <f>IFERROR(__xludf.DUMMYFUNCTION("""COMPUTED_VALUE"""),336.2407407407408)</f>
        <v>336.2407407</v>
      </c>
      <c r="T133" s="57">
        <f>IFERROR(__xludf.DUMMYFUNCTION("""COMPUTED_VALUE"""),0.7685185185185186)</f>
        <v>0.7685185185</v>
      </c>
      <c r="U133" s="57">
        <f>IFERROR(__xludf.DUMMYFUNCTION("""COMPUTED_VALUE"""),0.5648148148148148)</f>
        <v>0.5648148148</v>
      </c>
      <c r="V133" s="57">
        <f>IFERROR(__xludf.DUMMYFUNCTION("""COMPUTED_VALUE"""),1.0185185185185184)</f>
        <v>1.018518519</v>
      </c>
      <c r="W133" s="57">
        <f>IFERROR(__xludf.DUMMYFUNCTION("""COMPUTED_VALUE"""),2.9259259259259256)</f>
        <v>2.925925926</v>
      </c>
      <c r="X133" s="31">
        <f>IFERROR(__xludf.DUMMYFUNCTION("""COMPUTED_VALUE"""),324.22492851410294)</f>
        <v>324.2249285</v>
      </c>
      <c r="Y133" s="57">
        <f>IFERROR(__xludf.DUMMYFUNCTION("""COMPUTED_VALUE"""),0.7169726984421345)</f>
        <v>0.7169726984</v>
      </c>
      <c r="Z133" s="57">
        <f>IFERROR(__xludf.DUMMYFUNCTION("""COMPUTED_VALUE"""),0.5115093716395485)</f>
        <v>0.5115093716</v>
      </c>
      <c r="AA133" s="57">
        <f>IFERROR(__xludf.DUMMYFUNCTION("""COMPUTED_VALUE"""),1.1822070292511326)</f>
        <v>1.182207029</v>
      </c>
      <c r="AB133" s="57">
        <f>IFERROR(__xludf.DUMMYFUNCTION("""COMPUTED_VALUE"""),2.4611443868656977)</f>
        <v>2.461144387</v>
      </c>
      <c r="AC133" s="31">
        <f>IFERROR(__xludf.DUMMYFUNCTION("""COMPUTED_VALUE"""),335.3546429575198)</f>
        <v>335.354643</v>
      </c>
      <c r="AD133" s="57">
        <f>IFERROR(__xludf.DUMMYFUNCTION("""COMPUTED_VALUE"""),0.762861148193776)</f>
        <v>0.7628611482</v>
      </c>
      <c r="AE133" s="57">
        <f>IFERROR(__xludf.DUMMYFUNCTION("""COMPUTED_VALUE"""),0.5275276230649657)</f>
        <v>0.5275276231</v>
      </c>
      <c r="AF133" s="57">
        <f>IFERROR(__xludf.DUMMYFUNCTION("""COMPUTED_VALUE"""),1.268063293548456)</f>
        <v>1.268063294</v>
      </c>
      <c r="AG133" s="57">
        <f>IFERROR(__xludf.DUMMYFUNCTION("""COMPUTED_VALUE"""),2.4030326553819608)</f>
        <v>2.403032655</v>
      </c>
      <c r="AH133" s="57">
        <f>IFERROR(__xludf.DUMMYFUNCTION("""COMPUTED_VALUE"""),1.010456000020359)</f>
        <v>1.010456</v>
      </c>
      <c r="AI133" s="57">
        <f>IFERROR(__xludf.DUMMYFUNCTION("""COMPUTED_VALUE"""),0.7646651487161064)</f>
        <v>0.7646651487</v>
      </c>
      <c r="AJ133" s="57">
        <f>IFERROR(__xludf.DUMMYFUNCTION("""COMPUTED_VALUE"""),0.8951611282051621)</f>
        <v>0.8951611282</v>
      </c>
      <c r="AK133" s="57">
        <f>IFERROR(__xludf.DUMMYFUNCTION("""COMPUTED_VALUE"""),1.2048119250440217)</f>
        <v>1.204811925</v>
      </c>
      <c r="AL133" s="57">
        <f>IFERROR(__xludf.DUMMYFUNCTION("""COMPUTED_VALUE"""),0.8322816568974595)</f>
        <v>0.8322816569</v>
      </c>
      <c r="AM133" s="57">
        <f>IFERROR(__xludf.DUMMYFUNCTION("""COMPUTED_VALUE"""),1.037060112193425)</f>
        <v>1.037060112</v>
      </c>
      <c r="AN133" s="57">
        <f>IFERROR(__xludf.DUMMYFUNCTION("""COMPUTED_VALUE"""),1.071893699981024)</f>
        <v>1.0718937</v>
      </c>
      <c r="AO133" s="57">
        <f>IFERROR(__xludf.DUMMYFUNCTION("""COMPUTED_VALUE"""),1.104212055791677)</f>
        <v>1.104212056</v>
      </c>
      <c r="AP133" s="35">
        <f>IFERROR(__xludf.DUMMYFUNCTION("""COMPUTED_VALUE"""),0.8615398938743389)</f>
        <v>0.8615398939</v>
      </c>
      <c r="AQ133" s="57">
        <f>IFERROR(__xludf.DUMMYFUNCTION("""COMPUTED_VALUE"""),1.188847733412396)</f>
        <v>1.188847733</v>
      </c>
      <c r="AR133" s="36" t="b">
        <f>IFERROR(__xludf.DUMMYFUNCTION("""COMPUTED_VALUE"""),TRUE)</f>
        <v>1</v>
      </c>
      <c r="AS133" s="57"/>
      <c r="AT133" s="37"/>
      <c r="AU133" s="30"/>
      <c r="AV133" s="30"/>
      <c r="AW133" s="30"/>
      <c r="AX133" s="30"/>
      <c r="AY133" s="30"/>
      <c r="AZ133" s="30"/>
    </row>
    <row r="134">
      <c r="A134" s="30" t="str">
        <f>IFERROR(__xludf.DUMMYFUNCTION("""COMPUTED_VALUE"""),"Challenger")</f>
        <v>Challenger</v>
      </c>
      <c r="B134" s="30" t="str">
        <f>IFERROR(__xludf.DUMMYFUNCTION("""COMPUTED_VALUE"""),"RSC004073")</f>
        <v>RSC004073</v>
      </c>
      <c r="C134" s="30" t="str">
        <f>IFERROR(__xludf.DUMMYFUNCTION("""COMPUTED_VALUE"""),"BusterChugs")</f>
        <v>BusterChugs</v>
      </c>
      <c r="D134" s="31" t="str">
        <f>IFERROR(__xludf.DUMMYFUNCTION("""COMPUTED_VALUE"""),"Spearmint")</f>
        <v>Spearmint</v>
      </c>
      <c r="E134" s="31">
        <f>IFERROR(__xludf.DUMMYFUNCTION("""COMPUTED_VALUE"""),34.60854815517889)</f>
        <v>34.60854816</v>
      </c>
      <c r="F134" s="31">
        <f>IFERROR(__xludf.DUMMYFUNCTION("""COMPUTED_VALUE"""),-3.7166416500794397)</f>
        <v>-3.71664165</v>
      </c>
      <c r="G134" s="31">
        <f>IFERROR(__xludf.DUMMYFUNCTION("""COMPUTED_VALUE"""),39.80688192205466)</f>
        <v>39.80688192</v>
      </c>
      <c r="H134" s="31">
        <f>IFERROR(__xludf.DUMMYFUNCTION("""COMPUTED_VALUE"""),-2.92621925354135)</f>
        <v>-2.926219254</v>
      </c>
      <c r="I134" s="54">
        <f>IFERROR(__xludf.DUMMYFUNCTION("""COMPUTED_VALUE"""),41.0)</f>
        <v>41</v>
      </c>
      <c r="J134" s="55">
        <f>IFERROR(__xludf.DUMMYFUNCTION("""COMPUTED_VALUE"""),13.0)</f>
        <v>13</v>
      </c>
      <c r="K134" s="54">
        <f>IFERROR(__xludf.DUMMYFUNCTION("""COMPUTED_VALUE"""),28.0)</f>
        <v>28</v>
      </c>
      <c r="L134" s="56">
        <f>IFERROR(__xludf.DUMMYFUNCTION("""COMPUTED_VALUE"""),0.3170731707317073)</f>
        <v>0.3170731707</v>
      </c>
      <c r="M134" s="56">
        <f>IFERROR(__xludf.DUMMYFUNCTION("""COMPUTED_VALUE"""),0.34567901234567905)</f>
        <v>0.3456790123</v>
      </c>
      <c r="N134" s="31">
        <f>IFERROR(__xludf.DUMMYFUNCTION("""COMPUTED_VALUE"""),306.0)</f>
        <v>306</v>
      </c>
      <c r="O134" s="57">
        <f>IFERROR(__xludf.DUMMYFUNCTION("""COMPUTED_VALUE"""),0.6829268292682927)</f>
        <v>0.6829268293</v>
      </c>
      <c r="P134" s="57">
        <f>IFERROR(__xludf.DUMMYFUNCTION("""COMPUTED_VALUE"""),0.4634146341463415)</f>
        <v>0.4634146341</v>
      </c>
      <c r="Q134" s="57">
        <f>IFERROR(__xludf.DUMMYFUNCTION("""COMPUTED_VALUE"""),1.0731707317073171)</f>
        <v>1.073170732</v>
      </c>
      <c r="R134" s="57">
        <f>IFERROR(__xludf.DUMMYFUNCTION("""COMPUTED_VALUE"""),1.975609756097561)</f>
        <v>1.975609756</v>
      </c>
      <c r="S134" s="31">
        <f>IFERROR(__xludf.DUMMYFUNCTION("""COMPUTED_VALUE"""),346.8048780487805)</f>
        <v>346.804878</v>
      </c>
      <c r="T134" s="57">
        <f>IFERROR(__xludf.DUMMYFUNCTION("""COMPUTED_VALUE"""),0.9593495934959348)</f>
        <v>0.9593495935</v>
      </c>
      <c r="U134" s="57">
        <f>IFERROR(__xludf.DUMMYFUNCTION("""COMPUTED_VALUE"""),0.6097560975609756)</f>
        <v>0.6097560976</v>
      </c>
      <c r="V134" s="57">
        <f>IFERROR(__xludf.DUMMYFUNCTION("""COMPUTED_VALUE"""),1.0813008130081303)</f>
        <v>1.081300813</v>
      </c>
      <c r="W134" s="57">
        <f>IFERROR(__xludf.DUMMYFUNCTION("""COMPUTED_VALUE"""),2.577235772357724)</f>
        <v>2.577235772</v>
      </c>
      <c r="X134" s="31">
        <f>IFERROR(__xludf.DUMMYFUNCTION("""COMPUTED_VALUE"""),332.89373874788606)</f>
        <v>332.8937387</v>
      </c>
      <c r="Y134" s="57">
        <f>IFERROR(__xludf.DUMMYFUNCTION("""COMPUTED_VALUE"""),0.7629837490336033)</f>
        <v>0.762983749</v>
      </c>
      <c r="Z134" s="57">
        <f>IFERROR(__xludf.DUMMYFUNCTION("""COMPUTED_VALUE"""),0.5108360518369366)</f>
        <v>0.5108360518</v>
      </c>
      <c r="AA134" s="57">
        <f>IFERROR(__xludf.DUMMYFUNCTION("""COMPUTED_VALUE"""),1.22442787480391)</f>
        <v>1.224427875</v>
      </c>
      <c r="AB134" s="57">
        <f>IFERROR(__xludf.DUMMYFUNCTION("""COMPUTED_VALUE"""),2.395760512428349)</f>
        <v>2.395760512</v>
      </c>
      <c r="AC134" s="31">
        <f>IFERROR(__xludf.DUMMYFUNCTION("""COMPUTED_VALUE"""),331.9969688463923)</f>
        <v>331.9969688</v>
      </c>
      <c r="AD134" s="57">
        <f>IFERROR(__xludf.DUMMYFUNCTION("""COMPUTED_VALUE"""),0.757755919286062)</f>
        <v>0.7577559193</v>
      </c>
      <c r="AE134" s="57">
        <f>IFERROR(__xludf.DUMMYFUNCTION("""COMPUTED_VALUE"""),0.5178722744764507)</f>
        <v>0.5178722745</v>
      </c>
      <c r="AF134" s="57">
        <f>IFERROR(__xludf.DUMMYFUNCTION("""COMPUTED_VALUE"""),1.2005184037667367)</f>
        <v>1.200518404</v>
      </c>
      <c r="AG134" s="57">
        <f>IFERROR(__xludf.DUMMYFUNCTION("""COMPUTED_VALUE"""),2.4270123566212893)</f>
        <v>2.427012357</v>
      </c>
      <c r="AH134" s="57">
        <f>IFERROR(__xludf.DUMMYFUNCTION("""COMPUTED_VALUE"""),0.921695162047035)</f>
        <v>0.921695162</v>
      </c>
      <c r="AI134" s="57">
        <f>IFERROR(__xludf.DUMMYFUNCTION("""COMPUTED_VALUE"""),0.9012490854729696)</f>
        <v>0.9012490855</v>
      </c>
      <c r="AJ134" s="57">
        <f>IFERROR(__xludf.DUMMYFUNCTION("""COMPUTED_VALUE"""),0.8948434913122858)</f>
        <v>0.8948434913</v>
      </c>
      <c r="AK134" s="57">
        <f>IFERROR(__xludf.DUMMYFUNCTION("""COMPUTED_VALUE"""),0.8939227656486943)</f>
        <v>0.8939227656</v>
      </c>
      <c r="AL134" s="57">
        <f>IFERROR(__xludf.DUMMYFUNCTION("""COMPUTED_VALUE"""),0.814008940130763)</f>
        <v>0.8140089401</v>
      </c>
      <c r="AM134" s="57">
        <f>IFERROR(__xludf.DUMMYFUNCTION("""COMPUTED_VALUE"""),1.0417885279345247)</f>
        <v>1.041788528</v>
      </c>
      <c r="AN134" s="57">
        <f>IFERROR(__xludf.DUMMYFUNCTION("""COMPUTED_VALUE"""),1.2573656971213985)</f>
        <v>1.257365697</v>
      </c>
      <c r="AO134" s="57">
        <f>IFERROR(__xludf.DUMMYFUNCTION("""COMPUTED_VALUE"""),1.1936434309370458)</f>
        <v>1.193643431</v>
      </c>
      <c r="AP134" s="35">
        <f>IFERROR(__xludf.DUMMYFUNCTION("""COMPUTED_VALUE"""),0.8831069883812461)</f>
        <v>0.8831069884</v>
      </c>
      <c r="AQ134" s="57">
        <f>IFERROR(__xludf.DUMMYFUNCTION("""COMPUTED_VALUE"""),1.0757484978101717)</f>
        <v>1.075748498</v>
      </c>
      <c r="AR134" s="36" t="b">
        <f>IFERROR(__xludf.DUMMYFUNCTION("""COMPUTED_VALUE"""),TRUE)</f>
        <v>1</v>
      </c>
      <c r="AS134" s="57"/>
      <c r="AT134" s="37"/>
      <c r="AU134" s="30"/>
      <c r="AV134" s="30"/>
      <c r="AW134" s="30"/>
      <c r="AX134" s="30"/>
      <c r="AY134" s="30"/>
      <c r="AZ134" s="30"/>
    </row>
    <row r="135">
      <c r="A135" s="30" t="str">
        <f>IFERROR(__xludf.DUMMYFUNCTION("""COMPUTED_VALUE"""),"Challenger")</f>
        <v>Challenger</v>
      </c>
      <c r="B135" s="30" t="str">
        <f>IFERROR(__xludf.DUMMYFUNCTION("""COMPUTED_VALUE"""),"RSC006353")</f>
        <v>RSC006353</v>
      </c>
      <c r="C135" s="30" t="str">
        <f>IFERROR(__xludf.DUMMYFUNCTION("""COMPUTED_VALUE"""),"Novarchite")</f>
        <v>Novarchite</v>
      </c>
      <c r="D135" s="31"/>
      <c r="E135" s="31">
        <f>IFERROR(__xludf.DUMMYFUNCTION("""COMPUTED_VALUE"""),34.00490461658607)</f>
        <v>34.00490462</v>
      </c>
      <c r="F135" s="31">
        <f>IFERROR(__xludf.DUMMYFUNCTION("""COMPUTED_VALUE"""),-3.829215811828073)</f>
        <v>-3.829215812</v>
      </c>
      <c r="G135" s="31">
        <f>IFERROR(__xludf.DUMMYFUNCTION("""COMPUTED_VALUE"""),34.64702892428932)</f>
        <v>34.64702892</v>
      </c>
      <c r="H135" s="31">
        <f>IFERROR(__xludf.DUMMYFUNCTION("""COMPUTED_VALUE"""),-3.7096336393420137)</f>
        <v>-3.709633639</v>
      </c>
      <c r="I135" s="54">
        <f>IFERROR(__xludf.DUMMYFUNCTION("""COMPUTED_VALUE"""),9.0)</f>
        <v>9</v>
      </c>
      <c r="J135" s="55">
        <f>IFERROR(__xludf.DUMMYFUNCTION("""COMPUTED_VALUE"""),5.0)</f>
        <v>5</v>
      </c>
      <c r="K135" s="54">
        <f>IFERROR(__xludf.DUMMYFUNCTION("""COMPUTED_VALUE"""),4.0)</f>
        <v>4</v>
      </c>
      <c r="L135" s="56">
        <f>IFERROR(__xludf.DUMMYFUNCTION("""COMPUTED_VALUE"""),0.5555555555555556)</f>
        <v>0.5555555556</v>
      </c>
      <c r="M135" s="56">
        <f>IFERROR(__xludf.DUMMYFUNCTION("""COMPUTED_VALUE"""),0.08333333333333333)</f>
        <v>0.08333333333</v>
      </c>
      <c r="N135" s="31">
        <f>IFERROR(__xludf.DUMMYFUNCTION("""COMPUTED_VALUE"""),248.44444444444446)</f>
        <v>248.4444444</v>
      </c>
      <c r="O135" s="57">
        <f>IFERROR(__xludf.DUMMYFUNCTION("""COMPUTED_VALUE"""),0.2222222222222222)</f>
        <v>0.2222222222</v>
      </c>
      <c r="P135" s="57">
        <f>IFERROR(__xludf.DUMMYFUNCTION("""COMPUTED_VALUE"""),0.6666666666666666)</f>
        <v>0.6666666667</v>
      </c>
      <c r="Q135" s="57">
        <f>IFERROR(__xludf.DUMMYFUNCTION("""COMPUTED_VALUE"""),0.8888888888888888)</f>
        <v>0.8888888889</v>
      </c>
      <c r="R135" s="57">
        <f>IFERROR(__xludf.DUMMYFUNCTION("""COMPUTED_VALUE"""),2.6666666666666665)</f>
        <v>2.666666667</v>
      </c>
      <c r="S135" s="31">
        <f>IFERROR(__xludf.DUMMYFUNCTION("""COMPUTED_VALUE"""),296.92592592592587)</f>
        <v>296.9259259</v>
      </c>
      <c r="T135" s="57">
        <f>IFERROR(__xludf.DUMMYFUNCTION("""COMPUTED_VALUE"""),0.5555555555555556)</f>
        <v>0.5555555556</v>
      </c>
      <c r="U135" s="57">
        <f>IFERROR(__xludf.DUMMYFUNCTION("""COMPUTED_VALUE"""),0.3703703703703704)</f>
        <v>0.3703703704</v>
      </c>
      <c r="V135" s="57">
        <f>IFERROR(__xludf.DUMMYFUNCTION("""COMPUTED_VALUE"""),1.333333333333333)</f>
        <v>1.333333333</v>
      </c>
      <c r="W135" s="57">
        <f>IFERROR(__xludf.DUMMYFUNCTION("""COMPUTED_VALUE"""),1.9259259259259258)</f>
        <v>1.925925926</v>
      </c>
      <c r="X135" s="31">
        <f>IFERROR(__xludf.DUMMYFUNCTION("""COMPUTED_VALUE"""),325.2472056868192)</f>
        <v>325.2472057</v>
      </c>
      <c r="Y135" s="57">
        <f>IFERROR(__xludf.DUMMYFUNCTION("""COMPUTED_VALUE"""),0.6609022877138817)</f>
        <v>0.6609022877</v>
      </c>
      <c r="Z135" s="57">
        <f>IFERROR(__xludf.DUMMYFUNCTION("""COMPUTED_VALUE"""),0.4423758071101066)</f>
        <v>0.4423758071</v>
      </c>
      <c r="AA135" s="57">
        <f>IFERROR(__xludf.DUMMYFUNCTION("""COMPUTED_VALUE"""),1.3201176075572212)</f>
        <v>1.320117608</v>
      </c>
      <c r="AB135" s="57">
        <f>IFERROR(__xludf.DUMMYFUNCTION("""COMPUTED_VALUE"""),2.2139781668767173)</f>
        <v>2.213978167</v>
      </c>
      <c r="AC135" s="31">
        <f>IFERROR(__xludf.DUMMYFUNCTION("""COMPUTED_VALUE"""),335.6818875957362)</f>
        <v>335.6818876</v>
      </c>
      <c r="AD135" s="57">
        <f>IFERROR(__xludf.DUMMYFUNCTION("""COMPUTED_VALUE"""),0.8003340463082815)</f>
        <v>0.8003340463</v>
      </c>
      <c r="AE135" s="57">
        <f>IFERROR(__xludf.DUMMYFUNCTION("""COMPUTED_VALUE"""),0.5603514762129898)</f>
        <v>0.5603514762</v>
      </c>
      <c r="AF135" s="57">
        <f>IFERROR(__xludf.DUMMYFUNCTION("""COMPUTED_VALUE"""),1.0839943070216822)</f>
        <v>1.083994307</v>
      </c>
      <c r="AG135" s="57">
        <f>IFERROR(__xludf.DUMMYFUNCTION("""COMPUTED_VALUE"""),2.6266907031802362)</f>
        <v>2.626690703</v>
      </c>
      <c r="AH135" s="57">
        <f>IFERROR(__xludf.DUMMYFUNCTION("""COMPUTED_VALUE"""),0.7401187065047955)</f>
        <v>0.7401187065</v>
      </c>
      <c r="AI135" s="57">
        <f>IFERROR(__xludf.DUMMYFUNCTION("""COMPUTED_VALUE"""),0.2776618378879064)</f>
        <v>0.2776618379</v>
      </c>
      <c r="AJ135" s="57">
        <f>IFERROR(__xludf.DUMMYFUNCTION("""COMPUTED_VALUE"""),1.1897294733158987)</f>
        <v>1.189729473</v>
      </c>
      <c r="AK135" s="57">
        <f>IFERROR(__xludf.DUMMYFUNCTION("""COMPUTED_VALUE"""),0.8200125066441969)</f>
        <v>0.8200125066</v>
      </c>
      <c r="AL135" s="57">
        <f>IFERROR(__xludf.DUMMYFUNCTION("""COMPUTED_VALUE"""),1.0152191361693366)</f>
        <v>1.015219136</v>
      </c>
      <c r="AM135" s="57">
        <f>IFERROR(__xludf.DUMMYFUNCTION("""COMPUTED_VALUE"""),0.9129238337310608)</f>
        <v>0.9129238337</v>
      </c>
      <c r="AN135" s="57">
        <f>IFERROR(__xludf.DUMMYFUNCTION("""COMPUTED_VALUE"""),0.8406016530480934)</f>
        <v>0.840601653</v>
      </c>
      <c r="AO135" s="57">
        <f>IFERROR(__xludf.DUMMYFUNCTION("""COMPUTED_VALUE"""),0.8372301658851471)</f>
        <v>0.8372301659</v>
      </c>
      <c r="AP135" s="35">
        <f>IFERROR(__xludf.DUMMYFUNCTION("""COMPUTED_VALUE"""),1.0100110215184286)</f>
        <v>1.010011022</v>
      </c>
      <c r="AQ135" s="57">
        <f>IFERROR(__xludf.DUMMYFUNCTION("""COMPUTED_VALUE"""),0.8698938204268067)</f>
        <v>0.8698938204</v>
      </c>
      <c r="AR135" s="36" t="b">
        <f>IFERROR(__xludf.DUMMYFUNCTION("""COMPUTED_VALUE"""),TRUE)</f>
        <v>1</v>
      </c>
      <c r="AS135" s="57"/>
      <c r="AT135" s="37"/>
      <c r="AU135" s="30"/>
      <c r="AV135" s="30"/>
      <c r="AW135" s="30"/>
      <c r="AX135" s="30"/>
      <c r="AY135" s="30"/>
      <c r="AZ135" s="30"/>
    </row>
    <row r="136">
      <c r="A136" s="30" t="str">
        <f>IFERROR(__xludf.DUMMYFUNCTION("""COMPUTED_VALUE"""),"Challenger")</f>
        <v>Challenger</v>
      </c>
      <c r="B136" s="30" t="str">
        <f>IFERROR(__xludf.DUMMYFUNCTION("""COMPUTED_VALUE"""),"RSC001933")</f>
        <v>RSC001933</v>
      </c>
      <c r="C136" s="30" t="str">
        <f>IFERROR(__xludf.DUMMYFUNCTION("""COMPUTED_VALUE"""),"Ducky")</f>
        <v>Ducky</v>
      </c>
      <c r="D136" s="31" t="str">
        <f>IFERROR(__xludf.DUMMYFUNCTION("""COMPUTED_VALUE"""),"Spearmint")</f>
        <v>Spearmint</v>
      </c>
      <c r="E136" s="31">
        <f>IFERROR(__xludf.DUMMYFUNCTION("""COMPUTED_VALUE"""),33.98692733995602)</f>
        <v>33.98692734</v>
      </c>
      <c r="F136" s="31">
        <f>IFERROR(__xludf.DUMMYFUNCTION("""COMPUTED_VALUE"""),-3.832645965513744)</f>
        <v>-3.832645966</v>
      </c>
      <c r="G136" s="31">
        <f>IFERROR(__xludf.DUMMYFUNCTION("""COMPUTED_VALUE"""),41.317171174611104)</f>
        <v>41.31717117</v>
      </c>
      <c r="H136" s="31">
        <f>IFERROR(__xludf.DUMMYFUNCTION("""COMPUTED_VALUE"""),-2.7459097015912834)</f>
        <v>-2.745909702</v>
      </c>
      <c r="I136" s="54">
        <f>IFERROR(__xludf.DUMMYFUNCTION("""COMPUTED_VALUE"""),27.0)</f>
        <v>27</v>
      </c>
      <c r="J136" s="55">
        <f>IFERROR(__xludf.DUMMYFUNCTION("""COMPUTED_VALUE"""),8.0)</f>
        <v>8</v>
      </c>
      <c r="K136" s="54">
        <f>IFERROR(__xludf.DUMMYFUNCTION("""COMPUTED_VALUE"""),19.0)</f>
        <v>19</v>
      </c>
      <c r="L136" s="56">
        <f>IFERROR(__xludf.DUMMYFUNCTION("""COMPUTED_VALUE"""),0.2962962962962963)</f>
        <v>0.2962962963</v>
      </c>
      <c r="M136" s="56">
        <f>IFERROR(__xludf.DUMMYFUNCTION("""COMPUTED_VALUE"""),0.35714285714285715)</f>
        <v>0.3571428571</v>
      </c>
      <c r="N136" s="31">
        <f>IFERROR(__xludf.DUMMYFUNCTION("""COMPUTED_VALUE"""),320.18518518518516)</f>
        <v>320.1851852</v>
      </c>
      <c r="O136" s="57">
        <f>IFERROR(__xludf.DUMMYFUNCTION("""COMPUTED_VALUE"""),0.7407407407407407)</f>
        <v>0.7407407407</v>
      </c>
      <c r="P136" s="57">
        <f>IFERROR(__xludf.DUMMYFUNCTION("""COMPUTED_VALUE"""),0.3333333333333333)</f>
        <v>0.3333333333</v>
      </c>
      <c r="Q136" s="57">
        <f>IFERROR(__xludf.DUMMYFUNCTION("""COMPUTED_VALUE"""),1.2592592592592593)</f>
        <v>1.259259259</v>
      </c>
      <c r="R136" s="57">
        <f>IFERROR(__xludf.DUMMYFUNCTION("""COMPUTED_VALUE"""),2.074074074074074)</f>
        <v>2.074074074</v>
      </c>
      <c r="S136" s="31">
        <f>IFERROR(__xludf.DUMMYFUNCTION("""COMPUTED_VALUE"""),352.8888888888889)</f>
        <v>352.8888889</v>
      </c>
      <c r="T136" s="57">
        <f>IFERROR(__xludf.DUMMYFUNCTION("""COMPUTED_VALUE"""),1.0246913580246915)</f>
        <v>1.024691358</v>
      </c>
      <c r="U136" s="57">
        <f>IFERROR(__xludf.DUMMYFUNCTION("""COMPUTED_VALUE"""),0.7037037037037036)</f>
        <v>0.7037037037</v>
      </c>
      <c r="V136" s="57">
        <f>IFERROR(__xludf.DUMMYFUNCTION("""COMPUTED_VALUE"""),0.9629629629629629)</f>
        <v>0.962962963</v>
      </c>
      <c r="W136" s="57">
        <f>IFERROR(__xludf.DUMMYFUNCTION("""COMPUTED_VALUE"""),2.82716049382716)</f>
        <v>2.827160494</v>
      </c>
      <c r="X136" s="31">
        <f>IFERROR(__xludf.DUMMYFUNCTION("""COMPUTED_VALUE"""),339.6298813798267)</f>
        <v>339.6298814</v>
      </c>
      <c r="Y136" s="57">
        <f>IFERROR(__xludf.DUMMYFUNCTION("""COMPUTED_VALUE"""),0.8189701121099205)</f>
        <v>0.8189701121</v>
      </c>
      <c r="Z136" s="57">
        <f>IFERROR(__xludf.DUMMYFUNCTION("""COMPUTED_VALUE"""),0.5478746778865438)</f>
        <v>0.5478746779</v>
      </c>
      <c r="AA136" s="57">
        <f>IFERROR(__xludf.DUMMYFUNCTION("""COMPUTED_VALUE"""),1.2155231185966484)</f>
        <v>1.215523119</v>
      </c>
      <c r="AB136" s="57">
        <f>IFERROR(__xludf.DUMMYFUNCTION("""COMPUTED_VALUE"""),2.523776204918502)</f>
        <v>2.523776205</v>
      </c>
      <c r="AC136" s="31">
        <f>IFERROR(__xludf.DUMMYFUNCTION("""COMPUTED_VALUE"""),329.5139420248197)</f>
        <v>329.513942</v>
      </c>
      <c r="AD136" s="57">
        <f>IFERROR(__xludf.DUMMYFUNCTION("""COMPUTED_VALUE"""),0.7448448008833218)</f>
        <v>0.7448448009</v>
      </c>
      <c r="AE136" s="57">
        <f>IFERROR(__xludf.DUMMYFUNCTION("""COMPUTED_VALUE"""),0.5018878276881101)</f>
        <v>0.5018878277</v>
      </c>
      <c r="AF136" s="57">
        <f>IFERROR(__xludf.DUMMYFUNCTION("""COMPUTED_VALUE"""),1.2281428107580932)</f>
        <v>1.228142811</v>
      </c>
      <c r="AG136" s="57">
        <f>IFERROR(__xludf.DUMMYFUNCTION("""COMPUTED_VALUE"""),2.3764102055106013)</f>
        <v>2.376410206</v>
      </c>
      <c r="AH136" s="57">
        <f>IFERROR(__xludf.DUMMYFUNCTION("""COMPUTED_VALUE"""),0.9716893410266328)</f>
        <v>0.971689341</v>
      </c>
      <c r="AI136" s="57">
        <f>IFERROR(__xludf.DUMMYFUNCTION("""COMPUTED_VALUE"""),0.9944900466006957)</f>
        <v>0.9944900466</v>
      </c>
      <c r="AJ136" s="57">
        <f>IFERROR(__xludf.DUMMYFUNCTION("""COMPUTED_VALUE"""),0.6641590310504158)</f>
        <v>0.6641590311</v>
      </c>
      <c r="AK136" s="57">
        <f>IFERROR(__xludf.DUMMYFUNCTION("""COMPUTED_VALUE"""),1.0253361809625046)</f>
        <v>1.025336181</v>
      </c>
      <c r="AL136" s="57">
        <f>IFERROR(__xludf.DUMMYFUNCTION("""COMPUTED_VALUE"""),0.8727761180559453)</f>
        <v>0.8727761181</v>
      </c>
      <c r="AM136" s="57">
        <f>IFERROR(__xludf.DUMMYFUNCTION("""COMPUTED_VALUE"""),1.0390395787767388)</f>
        <v>1.039039579</v>
      </c>
      <c r="AN136" s="57">
        <f>IFERROR(__xludf.DUMMYFUNCTION("""COMPUTED_VALUE"""),1.2511950593468781)</f>
        <v>1.251195059</v>
      </c>
      <c r="AO136" s="57">
        <f>IFERROR(__xludf.DUMMYFUNCTION("""COMPUTED_VALUE"""),1.2844245812167825)</f>
        <v>1.284424581</v>
      </c>
      <c r="AP136" s="35">
        <f>IFERROR(__xludf.DUMMYFUNCTION("""COMPUTED_VALUE"""),0.7922210184490177)</f>
        <v>0.7922210184</v>
      </c>
      <c r="AQ136" s="57">
        <f>IFERROR(__xludf.DUMMYFUNCTION("""COMPUTED_VALUE"""),1.120210456187598)</f>
        <v>1.120210456</v>
      </c>
      <c r="AR136" s="36" t="b">
        <f>IFERROR(__xludf.DUMMYFUNCTION("""COMPUTED_VALUE"""),TRUE)</f>
        <v>1</v>
      </c>
      <c r="AS136" s="57"/>
      <c r="AT136" s="37"/>
      <c r="AU136" s="30"/>
      <c r="AV136" s="30"/>
      <c r="AW136" s="30"/>
      <c r="AX136" s="30"/>
      <c r="AY136" s="30"/>
      <c r="AZ136" s="30"/>
    </row>
    <row r="137">
      <c r="A137" s="30" t="str">
        <f>IFERROR(__xludf.DUMMYFUNCTION("""COMPUTED_VALUE"""),"Challenger")</f>
        <v>Challenger</v>
      </c>
      <c r="B137" s="30" t="str">
        <f>IFERROR(__xludf.DUMMYFUNCTION("""COMPUTED_VALUE"""),"RSC007525")</f>
        <v>RSC007525</v>
      </c>
      <c r="C137" s="30" t="str">
        <f>IFERROR(__xludf.DUMMYFUNCTION("""COMPUTED_VALUE"""),"BulletNote")</f>
        <v>BulletNote</v>
      </c>
      <c r="D137" s="31" t="str">
        <f>IFERROR(__xludf.DUMMYFUNCTION("""COMPUTED_VALUE"""),"Quarter")</f>
        <v>Quarter</v>
      </c>
      <c r="E137" s="31">
        <f>IFERROR(__xludf.DUMMYFUNCTION("""COMPUTED_VALUE"""),33.31429560107718)</f>
        <v>33.3142956</v>
      </c>
      <c r="F137" s="31">
        <f>IFERROR(__xludf.DUMMYFUNCTION("""COMPUTED_VALUE"""),-3.9643315345919574)</f>
        <v>-3.964331535</v>
      </c>
      <c r="G137" s="31">
        <f>IFERROR(__xludf.DUMMYFUNCTION("""COMPUTED_VALUE"""),42.97097458953356)</f>
        <v>42.97097459</v>
      </c>
      <c r="H137" s="31">
        <f>IFERROR(__xludf.DUMMYFUNCTION("""COMPUTED_VALUE"""),-2.568756282873984)</f>
        <v>-2.568756283</v>
      </c>
      <c r="I137" s="54">
        <f>IFERROR(__xludf.DUMMYFUNCTION("""COMPUTED_VALUE"""),30.0)</f>
        <v>30</v>
      </c>
      <c r="J137" s="55">
        <f>IFERROR(__xludf.DUMMYFUNCTION("""COMPUTED_VALUE"""),6.0)</f>
        <v>6</v>
      </c>
      <c r="K137" s="54">
        <f>IFERROR(__xludf.DUMMYFUNCTION("""COMPUTED_VALUE"""),24.0)</f>
        <v>24</v>
      </c>
      <c r="L137" s="56">
        <f>IFERROR(__xludf.DUMMYFUNCTION("""COMPUTED_VALUE"""),0.2)</f>
        <v>0.2</v>
      </c>
      <c r="M137" s="56">
        <f>IFERROR(__xludf.DUMMYFUNCTION("""COMPUTED_VALUE"""),0.41860465116279066)</f>
        <v>0.4186046512</v>
      </c>
      <c r="N137" s="31">
        <f>IFERROR(__xludf.DUMMYFUNCTION("""COMPUTED_VALUE"""),343.6333333333333)</f>
        <v>343.6333333</v>
      </c>
      <c r="O137" s="57">
        <f>IFERROR(__xludf.DUMMYFUNCTION("""COMPUTED_VALUE"""),0.6)</f>
        <v>0.6</v>
      </c>
      <c r="P137" s="57">
        <f>IFERROR(__xludf.DUMMYFUNCTION("""COMPUTED_VALUE"""),0.5666666666666667)</f>
        <v>0.5666666667</v>
      </c>
      <c r="Q137" s="57">
        <f>IFERROR(__xludf.DUMMYFUNCTION("""COMPUTED_VALUE"""),1.7)</f>
        <v>1.7</v>
      </c>
      <c r="R137" s="57">
        <f>IFERROR(__xludf.DUMMYFUNCTION("""COMPUTED_VALUE"""),1.4333333333333333)</f>
        <v>1.433333333</v>
      </c>
      <c r="S137" s="31">
        <f>IFERROR(__xludf.DUMMYFUNCTION("""COMPUTED_VALUE"""),346.0444444444445)</f>
        <v>346.0444444</v>
      </c>
      <c r="T137" s="57">
        <f>IFERROR(__xludf.DUMMYFUNCTION("""COMPUTED_VALUE"""),1.0)</f>
        <v>1</v>
      </c>
      <c r="U137" s="57">
        <f>IFERROR(__xludf.DUMMYFUNCTION("""COMPUTED_VALUE"""),0.6444444444444444)</f>
        <v>0.6444444444</v>
      </c>
      <c r="V137" s="57">
        <f>IFERROR(__xludf.DUMMYFUNCTION("""COMPUTED_VALUE"""),0.9111111111111108)</f>
        <v>0.9111111111</v>
      </c>
      <c r="W137" s="57">
        <f>IFERROR(__xludf.DUMMYFUNCTION("""COMPUTED_VALUE"""),3.0444444444444447)</f>
        <v>3.044444444</v>
      </c>
      <c r="X137" s="31">
        <f>IFERROR(__xludf.DUMMYFUNCTION("""COMPUTED_VALUE"""),333.44711213910017)</f>
        <v>333.4471121</v>
      </c>
      <c r="Y137" s="57">
        <f>IFERROR(__xludf.DUMMYFUNCTION("""COMPUTED_VALUE"""),0.7685213169020076)</f>
        <v>0.7685213169</v>
      </c>
      <c r="Z137" s="57">
        <f>IFERROR(__xludf.DUMMYFUNCTION("""COMPUTED_VALUE"""),0.5461287926737998)</f>
        <v>0.5461287927</v>
      </c>
      <c r="AA137" s="57">
        <f>IFERROR(__xludf.DUMMYFUNCTION("""COMPUTED_VALUE"""),1.175470626777687)</f>
        <v>1.175470627</v>
      </c>
      <c r="AB137" s="57">
        <f>IFERROR(__xludf.DUMMYFUNCTION("""COMPUTED_VALUE"""),2.5433481152424178)</f>
        <v>2.543348115</v>
      </c>
      <c r="AC137" s="31">
        <f>IFERROR(__xludf.DUMMYFUNCTION("""COMPUTED_VALUE"""),325.6287433032736)</f>
        <v>325.6287433</v>
      </c>
      <c r="AD137" s="57">
        <f>IFERROR(__xludf.DUMMYFUNCTION("""COMPUTED_VALUE"""),0.7019384087490494)</f>
        <v>0.7019384087</v>
      </c>
      <c r="AE137" s="57">
        <f>IFERROR(__xludf.DUMMYFUNCTION("""COMPUTED_VALUE"""),0.4820982464451414)</f>
        <v>0.4820982464</v>
      </c>
      <c r="AF137" s="57">
        <f>IFERROR(__xludf.DUMMYFUNCTION("""COMPUTED_VALUE"""),1.2978075817566799)</f>
        <v>1.297807582</v>
      </c>
      <c r="AG137" s="57">
        <f>IFERROR(__xludf.DUMMYFUNCTION("""COMPUTED_VALUE"""),2.2940961354480303)</f>
        <v>2.294096135</v>
      </c>
      <c r="AH137" s="57">
        <f>IFERROR(__xludf.DUMMYFUNCTION("""COMPUTED_VALUE"""),1.0552917713817762)</f>
        <v>1.055291771</v>
      </c>
      <c r="AI137" s="57">
        <f>IFERROR(__xludf.DUMMYFUNCTION("""COMPUTED_VALUE"""),0.8547758500197792)</f>
        <v>0.85477585</v>
      </c>
      <c r="AJ137" s="57">
        <f>IFERROR(__xludf.DUMMYFUNCTION("""COMPUTED_VALUE"""),1.17541739851806)</f>
        <v>1.175417399</v>
      </c>
      <c r="AK137" s="57">
        <f>IFERROR(__xludf.DUMMYFUNCTION("""COMPUTED_VALUE"""),1.309901424446082)</f>
        <v>1.309901424</v>
      </c>
      <c r="AL137" s="57">
        <f>IFERROR(__xludf.DUMMYFUNCTION("""COMPUTED_VALUE"""),0.62479218337265)</f>
        <v>0.6247921834</v>
      </c>
      <c r="AM137" s="57">
        <f>IFERROR(__xludf.DUMMYFUNCTION("""COMPUTED_VALUE"""),1.0377791015328668)</f>
        <v>1.037779102</v>
      </c>
      <c r="AN137" s="57">
        <f>IFERROR(__xludf.DUMMYFUNCTION("""COMPUTED_VALUE"""),1.3012000812561815)</f>
        <v>1.301200081</v>
      </c>
      <c r="AO137" s="57">
        <f>IFERROR(__xludf.DUMMYFUNCTION("""COMPUTED_VALUE"""),1.1800228317743504)</f>
        <v>1.180022832</v>
      </c>
      <c r="AP137" s="35">
        <f>IFERROR(__xludf.DUMMYFUNCTION("""COMPUTED_VALUE"""),0.7751032568195566)</f>
        <v>0.7751032568</v>
      </c>
      <c r="AQ137" s="57">
        <f>IFERROR(__xludf.DUMMYFUNCTION("""COMPUTED_VALUE"""),1.1970223133038418)</f>
        <v>1.197022313</v>
      </c>
      <c r="AR137" s="36" t="b">
        <f>IFERROR(__xludf.DUMMYFUNCTION("""COMPUTED_VALUE"""),TRUE)</f>
        <v>1</v>
      </c>
      <c r="AS137" s="57"/>
      <c r="AT137" s="37"/>
      <c r="AU137" s="30"/>
      <c r="AV137" s="30"/>
      <c r="AW137" s="30"/>
      <c r="AX137" s="30"/>
      <c r="AY137" s="30"/>
      <c r="AZ137" s="30"/>
    </row>
    <row r="138">
      <c r="A138" s="30" t="str">
        <f>IFERROR(__xludf.DUMMYFUNCTION("""COMPUTED_VALUE"""),"Challenger")</f>
        <v>Challenger</v>
      </c>
      <c r="B138" s="30" t="str">
        <f>IFERROR(__xludf.DUMMYFUNCTION("""COMPUTED_VALUE"""),"RSC007961")</f>
        <v>RSC007961</v>
      </c>
      <c r="C138" s="30" t="str">
        <f>IFERROR(__xludf.DUMMYFUNCTION("""COMPUTED_VALUE"""),"Skrilpp")</f>
        <v>Skrilpp</v>
      </c>
      <c r="D138" s="31" t="str">
        <f>IFERROR(__xludf.DUMMYFUNCTION("""COMPUTED_VALUE"""),"Chromatic Chaos")</f>
        <v>Chromatic Chaos</v>
      </c>
      <c r="E138" s="31">
        <f>IFERROR(__xludf.DUMMYFUNCTION("""COMPUTED_VALUE"""),33.22238930973302)</f>
        <v>33.22238931</v>
      </c>
      <c r="F138" s="31">
        <f>IFERROR(__xludf.DUMMYFUNCTION("""COMPUTED_VALUE"""),-3.9828418649794237)</f>
        <v>-3.982841865</v>
      </c>
      <c r="G138" s="31">
        <f>IFERROR(__xludf.DUMMYFUNCTION("""COMPUTED_VALUE"""),38.96177365186657)</f>
        <v>38.96177365</v>
      </c>
      <c r="H138" s="31">
        <f>IFERROR(__xludf.DUMMYFUNCTION("""COMPUTED_VALUE"""),-3.0356843203841493)</f>
        <v>-3.03568432</v>
      </c>
      <c r="I138" s="54">
        <f>IFERROR(__xludf.DUMMYFUNCTION("""COMPUTED_VALUE"""),11.0)</f>
        <v>11</v>
      </c>
      <c r="J138" s="55">
        <f>IFERROR(__xludf.DUMMYFUNCTION("""COMPUTED_VALUE"""),5.0)</f>
        <v>5</v>
      </c>
      <c r="K138" s="54">
        <f>IFERROR(__xludf.DUMMYFUNCTION("""COMPUTED_VALUE"""),6.0)</f>
        <v>6</v>
      </c>
      <c r="L138" s="56">
        <f>IFERROR(__xludf.DUMMYFUNCTION("""COMPUTED_VALUE"""),0.45454545454545453)</f>
        <v>0.4545454545</v>
      </c>
      <c r="M138" s="56">
        <f>IFERROR(__xludf.DUMMYFUNCTION("""COMPUTED_VALUE"""),0.20833333333333334)</f>
        <v>0.2083333333</v>
      </c>
      <c r="N138" s="31">
        <f>IFERROR(__xludf.DUMMYFUNCTION("""COMPUTED_VALUE"""),309.3636363636364)</f>
        <v>309.3636364</v>
      </c>
      <c r="O138" s="57">
        <f>IFERROR(__xludf.DUMMYFUNCTION("""COMPUTED_VALUE"""),0.45454545454545453)</f>
        <v>0.4545454545</v>
      </c>
      <c r="P138" s="57">
        <f>IFERROR(__xludf.DUMMYFUNCTION("""COMPUTED_VALUE"""),0.45454545454545453)</f>
        <v>0.4545454545</v>
      </c>
      <c r="Q138" s="57">
        <f>IFERROR(__xludf.DUMMYFUNCTION("""COMPUTED_VALUE"""),1.2727272727272727)</f>
        <v>1.272727273</v>
      </c>
      <c r="R138" s="57">
        <f>IFERROR(__xludf.DUMMYFUNCTION("""COMPUTED_VALUE"""),2.1818181818181817)</f>
        <v>2.181818182</v>
      </c>
      <c r="S138" s="31">
        <f>IFERROR(__xludf.DUMMYFUNCTION("""COMPUTED_VALUE"""),313.69696969696975)</f>
        <v>313.6969697</v>
      </c>
      <c r="T138" s="57">
        <f>IFERROR(__xludf.DUMMYFUNCTION("""COMPUTED_VALUE"""),0.696969696969697)</f>
        <v>0.696969697</v>
      </c>
      <c r="U138" s="57">
        <f>IFERROR(__xludf.DUMMYFUNCTION("""COMPUTED_VALUE"""),0.3333333333333333)</f>
        <v>0.3333333333</v>
      </c>
      <c r="V138" s="57">
        <f>IFERROR(__xludf.DUMMYFUNCTION("""COMPUTED_VALUE"""),1.2424242424242424)</f>
        <v>1.242424242</v>
      </c>
      <c r="W138" s="57">
        <f>IFERROR(__xludf.DUMMYFUNCTION("""COMPUTED_VALUE"""),2.545454545454545)</f>
        <v>2.545454545</v>
      </c>
      <c r="X138" s="31">
        <f>IFERROR(__xludf.DUMMYFUNCTION("""COMPUTED_VALUE"""),324.02239013642304)</f>
        <v>324.0223901</v>
      </c>
      <c r="Y138" s="57">
        <f>IFERROR(__xludf.DUMMYFUNCTION("""COMPUTED_VALUE"""),0.7491807632783073)</f>
        <v>0.7491807633</v>
      </c>
      <c r="Z138" s="57">
        <f>IFERROR(__xludf.DUMMYFUNCTION("""COMPUTED_VALUE"""),0.45327193969469454)</f>
        <v>0.4532719397</v>
      </c>
      <c r="AA138" s="57">
        <f>IFERROR(__xludf.DUMMYFUNCTION("""COMPUTED_VALUE"""),1.2081238592005372)</f>
        <v>1.208123859</v>
      </c>
      <c r="AB138" s="57">
        <f>IFERROR(__xludf.DUMMYFUNCTION("""COMPUTED_VALUE"""),2.2843241710693842)</f>
        <v>2.284324171</v>
      </c>
      <c r="AC138" s="31">
        <f>IFERROR(__xludf.DUMMYFUNCTION("""COMPUTED_VALUE"""),343.51589983495757)</f>
        <v>343.5158998</v>
      </c>
      <c r="AD138" s="57">
        <f>IFERROR(__xludf.DUMMYFUNCTION("""COMPUTED_VALUE"""),0.8224690769632107)</f>
        <v>0.822469077</v>
      </c>
      <c r="AE138" s="57">
        <f>IFERROR(__xludf.DUMMYFUNCTION("""COMPUTED_VALUE"""),0.5636280142716535)</f>
        <v>0.5636280143</v>
      </c>
      <c r="AF138" s="57">
        <f>IFERROR(__xludf.DUMMYFUNCTION("""COMPUTED_VALUE"""),1.1726637806926847)</f>
        <v>1.172663781</v>
      </c>
      <c r="AG138" s="57">
        <f>IFERROR(__xludf.DUMMYFUNCTION("""COMPUTED_VALUE"""),2.4552375222478178)</f>
        <v>2.455237522</v>
      </c>
      <c r="AH138" s="57">
        <f>IFERROR(__xludf.DUMMYFUNCTION("""COMPUTED_VALUE"""),0.9005802541083843)</f>
        <v>0.9005802541</v>
      </c>
      <c r="AI138" s="57">
        <f>IFERROR(__xludf.DUMMYFUNCTION("""COMPUTED_VALUE"""),0.5526596285221632)</f>
        <v>0.5526596285</v>
      </c>
      <c r="AJ138" s="57">
        <f>IFERROR(__xludf.DUMMYFUNCTION("""COMPUTED_VALUE"""),0.8064635593616464)</f>
        <v>0.8064635594</v>
      </c>
      <c r="AK138" s="57">
        <f>IFERROR(__xludf.DUMMYFUNCTION("""COMPUTED_VALUE"""),1.0853300781367028)</f>
        <v>1.085330078</v>
      </c>
      <c r="AL138" s="57">
        <f>IFERROR(__xludf.DUMMYFUNCTION("""COMPUTED_VALUE"""),0.8886383341928908)</f>
        <v>0.8886383342</v>
      </c>
      <c r="AM138" s="57">
        <f>IFERROR(__xludf.DUMMYFUNCTION("""COMPUTED_VALUE"""),0.9681336205343526)</f>
        <v>0.9681336205</v>
      </c>
      <c r="AN138" s="57">
        <f>IFERROR(__xludf.DUMMYFUNCTION("""COMPUTED_VALUE"""),0.9303091204849653)</f>
        <v>0.9303091205</v>
      </c>
      <c r="AO138" s="57">
        <f>IFERROR(__xludf.DUMMYFUNCTION("""COMPUTED_VALUE"""),0.7353937099169497)</f>
        <v>0.7353937099</v>
      </c>
      <c r="AP138" s="35">
        <f>IFERROR(__xludf.DUMMYFUNCTION("""COMPUTED_VALUE"""),1.0283914459287338)</f>
        <v>1.028391446</v>
      </c>
      <c r="AQ138" s="57">
        <f>IFERROR(__xludf.DUMMYFUNCTION("""COMPUTED_VALUE"""),1.1143140617659861)</f>
        <v>1.114314062</v>
      </c>
      <c r="AR138" s="36" t="b">
        <f>IFERROR(__xludf.DUMMYFUNCTION("""COMPUTED_VALUE"""),TRUE)</f>
        <v>1</v>
      </c>
      <c r="AS138" s="57"/>
      <c r="AT138" s="37"/>
      <c r="AU138" s="30"/>
      <c r="AV138" s="30"/>
      <c r="AW138" s="30"/>
      <c r="AX138" s="30"/>
      <c r="AY138" s="30"/>
      <c r="AZ138" s="30"/>
    </row>
    <row r="139">
      <c r="A139" s="30" t="str">
        <f>IFERROR(__xludf.DUMMYFUNCTION("""COMPUTED_VALUE"""),"Challenger")</f>
        <v>Challenger</v>
      </c>
      <c r="B139" s="30" t="str">
        <f>IFERROR(__xludf.DUMMYFUNCTION("""COMPUTED_VALUE"""),"RSC007370")</f>
        <v>RSC007370</v>
      </c>
      <c r="C139" s="30" t="str">
        <f>IFERROR(__xludf.DUMMYFUNCTION("""COMPUTED_VALUE"""),"Jarrod81535")</f>
        <v>Jarrod81535</v>
      </c>
      <c r="D139" s="31" t="str">
        <f>IFERROR(__xludf.DUMMYFUNCTION("""COMPUTED_VALUE"""),"Trippy Hippies")</f>
        <v>Trippy Hippies</v>
      </c>
      <c r="E139" s="31">
        <f>IFERROR(__xludf.DUMMYFUNCTION("""COMPUTED_VALUE"""),31.98196147892927)</f>
        <v>31.98196148</v>
      </c>
      <c r="F139" s="31">
        <f>IFERROR(__xludf.DUMMYFUNCTION("""COMPUTED_VALUE"""),-4.245555667526405)</f>
        <v>-4.245555668</v>
      </c>
      <c r="G139" s="31">
        <f>IFERROR(__xludf.DUMMYFUNCTION("""COMPUTED_VALUE"""),29.111765996395523)</f>
        <v>29.111766</v>
      </c>
      <c r="H139" s="31">
        <f>IFERROR(__xludf.DUMMYFUNCTION("""COMPUTED_VALUE"""),-4.957615816698996)</f>
        <v>-4.957615817</v>
      </c>
      <c r="I139" s="54">
        <f>IFERROR(__xludf.DUMMYFUNCTION("""COMPUTED_VALUE"""),43.0)</f>
        <v>43</v>
      </c>
      <c r="J139" s="55">
        <f>IFERROR(__xludf.DUMMYFUNCTION("""COMPUTED_VALUE"""),21.0)</f>
        <v>21</v>
      </c>
      <c r="K139" s="54">
        <f>IFERROR(__xludf.DUMMYFUNCTION("""COMPUTED_VALUE"""),22.0)</f>
        <v>22</v>
      </c>
      <c r="L139" s="56">
        <f>IFERROR(__xludf.DUMMYFUNCTION("""COMPUTED_VALUE"""),0.4883720930232558)</f>
        <v>0.488372093</v>
      </c>
      <c r="M139" s="56">
        <f>IFERROR(__xludf.DUMMYFUNCTION("""COMPUTED_VALUE"""),0.26829268292682923)</f>
        <v>0.2682926829</v>
      </c>
      <c r="N139" s="31">
        <f>IFERROR(__xludf.DUMMYFUNCTION("""COMPUTED_VALUE"""),284.12820512820514)</f>
        <v>284.1282051</v>
      </c>
      <c r="O139" s="57">
        <f>IFERROR(__xludf.DUMMYFUNCTION("""COMPUTED_VALUE"""),0.5641025641025641)</f>
        <v>0.5641025641</v>
      </c>
      <c r="P139" s="57">
        <f>IFERROR(__xludf.DUMMYFUNCTION("""COMPUTED_VALUE"""),0.41025641025641024)</f>
        <v>0.4102564103</v>
      </c>
      <c r="Q139" s="57">
        <f>IFERROR(__xludf.DUMMYFUNCTION("""COMPUTED_VALUE"""),1.2820512820512822)</f>
        <v>1.282051282</v>
      </c>
      <c r="R139" s="57">
        <f>IFERROR(__xludf.DUMMYFUNCTION("""COMPUTED_VALUE"""),2.1025641025641026)</f>
        <v>2.102564103</v>
      </c>
      <c r="S139" s="31">
        <f>IFERROR(__xludf.DUMMYFUNCTION("""COMPUTED_VALUE"""),321.9230769230769)</f>
        <v>321.9230769</v>
      </c>
      <c r="T139" s="57">
        <f>IFERROR(__xludf.DUMMYFUNCTION("""COMPUTED_VALUE"""),0.7606837606837608)</f>
        <v>0.7606837607</v>
      </c>
      <c r="U139" s="57">
        <f>IFERROR(__xludf.DUMMYFUNCTION("""COMPUTED_VALUE"""),0.5128205128205128)</f>
        <v>0.5128205128</v>
      </c>
      <c r="V139" s="57">
        <f>IFERROR(__xludf.DUMMYFUNCTION("""COMPUTED_VALUE"""),1.2564102564102562)</f>
        <v>1.256410256</v>
      </c>
      <c r="W139" s="57">
        <f>IFERROR(__xludf.DUMMYFUNCTION("""COMPUTED_VALUE"""),2.3504273504273505)</f>
        <v>2.35042735</v>
      </c>
      <c r="X139" s="31">
        <f>IFERROR(__xludf.DUMMYFUNCTION("""COMPUTED_VALUE"""),339.0499538935875)</f>
        <v>339.0499539</v>
      </c>
      <c r="Y139" s="57">
        <f>IFERROR(__xludf.DUMMYFUNCTION("""COMPUTED_VALUE"""),0.7541753925789919)</f>
        <v>0.7541753926</v>
      </c>
      <c r="Z139" s="57">
        <f>IFERROR(__xludf.DUMMYFUNCTION("""COMPUTED_VALUE"""),0.5347976422370644)</f>
        <v>0.5347976422</v>
      </c>
      <c r="AA139" s="57">
        <f>IFERROR(__xludf.DUMMYFUNCTION("""COMPUTED_VALUE"""),1.3085491842902734)</f>
        <v>1.308549184</v>
      </c>
      <c r="AB139" s="57">
        <f>IFERROR(__xludf.DUMMYFUNCTION("""COMPUTED_VALUE"""),2.3718535106493834)</f>
        <v>2.371853511</v>
      </c>
      <c r="AC139" s="31">
        <f>IFERROR(__xludf.DUMMYFUNCTION("""COMPUTED_VALUE"""),335.85269072649305)</f>
        <v>335.8526907</v>
      </c>
      <c r="AD139" s="57">
        <f>IFERROR(__xludf.DUMMYFUNCTION("""COMPUTED_VALUE"""),0.7679242750240565)</f>
        <v>0.767924275</v>
      </c>
      <c r="AE139" s="57">
        <f>IFERROR(__xludf.DUMMYFUNCTION("""COMPUTED_VALUE"""),0.5373612601002312)</f>
        <v>0.5373612601</v>
      </c>
      <c r="AF139" s="57">
        <f>IFERROR(__xludf.DUMMYFUNCTION("""COMPUTED_VALUE"""),1.1961684352744022)</f>
        <v>1.196168435</v>
      </c>
      <c r="AG139" s="57">
        <f>IFERROR(__xludf.DUMMYFUNCTION("""COMPUTED_VALUE"""),2.542658866210093)</f>
        <v>2.542658866</v>
      </c>
      <c r="AH139" s="57">
        <f>IFERROR(__xludf.DUMMYFUNCTION("""COMPUTED_VALUE"""),0.8459905576864633)</f>
        <v>0.8459905577</v>
      </c>
      <c r="AI139" s="57">
        <f>IFERROR(__xludf.DUMMYFUNCTION("""COMPUTED_VALUE"""),0.734580976861153)</f>
        <v>0.7345809769</v>
      </c>
      <c r="AJ139" s="57">
        <f>IFERROR(__xludf.DUMMYFUNCTION("""COMPUTED_VALUE"""),0.763464806115512)</f>
        <v>0.7634648061</v>
      </c>
      <c r="AK139" s="57">
        <f>IFERROR(__xludf.DUMMYFUNCTION("""COMPUTED_VALUE"""),1.0717982888063573)</f>
        <v>1.071798289</v>
      </c>
      <c r="AL139" s="57">
        <f>IFERROR(__xludf.DUMMYFUNCTION("""COMPUTED_VALUE"""),0.8269155294504904)</f>
        <v>0.8269155295</v>
      </c>
      <c r="AM139" s="57">
        <f>IFERROR(__xludf.DUMMYFUNCTION("""COMPUTED_VALUE"""),0.9494856826440214)</f>
        <v>0.9494856826</v>
      </c>
      <c r="AN139" s="57">
        <f>IFERROR(__xludf.DUMMYFUNCTION("""COMPUTED_VALUE"""),1.0086297805110198)</f>
        <v>1.008629781</v>
      </c>
      <c r="AO139" s="57">
        <f>IFERROR(__xludf.DUMMYFUNCTION("""COMPUTED_VALUE"""),0.95890570997168)</f>
        <v>0.95890571</v>
      </c>
      <c r="AP139" s="35">
        <f>IFERROR(__xludf.DUMMYFUNCTION("""COMPUTED_VALUE"""),0.9601551638211473)</f>
        <v>0.9601551638</v>
      </c>
      <c r="AQ139" s="57">
        <f>IFERROR(__xludf.DUMMYFUNCTION("""COMPUTED_VALUE"""),0.9909664909212008)</f>
        <v>0.9909664909</v>
      </c>
      <c r="AR139" s="36" t="b">
        <f>IFERROR(__xludf.DUMMYFUNCTION("""COMPUTED_VALUE"""),TRUE)</f>
        <v>1</v>
      </c>
      <c r="AS139" s="57"/>
      <c r="AT139" s="37"/>
      <c r="AU139" s="30"/>
      <c r="AV139" s="30"/>
      <c r="AW139" s="30"/>
      <c r="AX139" s="30"/>
      <c r="AY139" s="30"/>
      <c r="AZ139" s="30"/>
    </row>
    <row r="140">
      <c r="A140" s="30" t="str">
        <f>IFERROR(__xludf.DUMMYFUNCTION("""COMPUTED_VALUE"""),"Challenger")</f>
        <v>Challenger</v>
      </c>
      <c r="B140" s="30" t="str">
        <f>IFERROR(__xludf.DUMMYFUNCTION("""COMPUTED_VALUE"""),"RSC000663")</f>
        <v>RSC000663</v>
      </c>
      <c r="C140" s="30" t="str">
        <f>IFERROR(__xludf.DUMMYFUNCTION("""COMPUTED_VALUE"""),"DrProfessorNoah")</f>
        <v>DrProfessorNoah</v>
      </c>
      <c r="D140" s="31" t="str">
        <f>IFERROR(__xludf.DUMMYFUNCTION("""COMPUTED_VALUE"""),"Apple Associates")</f>
        <v>Apple Associates</v>
      </c>
      <c r="E140" s="31">
        <f>IFERROR(__xludf.DUMMYFUNCTION("""COMPUTED_VALUE"""),31.500217206784672)</f>
        <v>31.50021721</v>
      </c>
      <c r="F140" s="31">
        <f>IFERROR(__xludf.DUMMYFUNCTION("""COMPUTED_VALUE"""),-4.354402501264458)</f>
        <v>-4.354402501</v>
      </c>
      <c r="G140" s="31">
        <f>IFERROR(__xludf.DUMMYFUNCTION("""COMPUTED_VALUE"""),33.07949506493655)</f>
        <v>33.07949506</v>
      </c>
      <c r="H140" s="31">
        <f>IFERROR(__xludf.DUMMYFUNCTION("""COMPUTED_VALUE"""),-4.011874814553363)</f>
        <v>-4.011874815</v>
      </c>
      <c r="I140" s="54">
        <f>IFERROR(__xludf.DUMMYFUNCTION("""COMPUTED_VALUE"""),46.0)</f>
        <v>46</v>
      </c>
      <c r="J140" s="55">
        <f>IFERROR(__xludf.DUMMYFUNCTION("""COMPUTED_VALUE"""),16.0)</f>
        <v>16</v>
      </c>
      <c r="K140" s="54">
        <f>IFERROR(__xludf.DUMMYFUNCTION("""COMPUTED_VALUE"""),30.0)</f>
        <v>30</v>
      </c>
      <c r="L140" s="56">
        <f>IFERROR(__xludf.DUMMYFUNCTION("""COMPUTED_VALUE"""),0.34782608695652173)</f>
        <v>0.347826087</v>
      </c>
      <c r="M140" s="56">
        <f>IFERROR(__xludf.DUMMYFUNCTION("""COMPUTED_VALUE"""),0.23157894736842108)</f>
        <v>0.2315789474</v>
      </c>
      <c r="N140" s="31">
        <f>IFERROR(__xludf.DUMMYFUNCTION("""COMPUTED_VALUE"""),291.39130434782606)</f>
        <v>291.3913043</v>
      </c>
      <c r="O140" s="57">
        <f>IFERROR(__xludf.DUMMYFUNCTION("""COMPUTED_VALUE"""),0.4782608695652174)</f>
        <v>0.4782608696</v>
      </c>
      <c r="P140" s="57">
        <f>IFERROR(__xludf.DUMMYFUNCTION("""COMPUTED_VALUE"""),0.45652173913043476)</f>
        <v>0.4565217391</v>
      </c>
      <c r="Q140" s="57">
        <f>IFERROR(__xludf.DUMMYFUNCTION("""COMPUTED_VALUE"""),1.2173913043478262)</f>
        <v>1.217391304</v>
      </c>
      <c r="R140" s="57">
        <f>IFERROR(__xludf.DUMMYFUNCTION("""COMPUTED_VALUE"""),2.0652173913043477)</f>
        <v>2.065217391</v>
      </c>
      <c r="S140" s="31">
        <f>IFERROR(__xludf.DUMMYFUNCTION("""COMPUTED_VALUE"""),327.47826086956525)</f>
        <v>327.4782609</v>
      </c>
      <c r="T140" s="57">
        <f>IFERROR(__xludf.DUMMYFUNCTION("""COMPUTED_VALUE"""),0.8260869565217392)</f>
        <v>0.8260869565</v>
      </c>
      <c r="U140" s="57">
        <f>IFERROR(__xludf.DUMMYFUNCTION("""COMPUTED_VALUE"""),0.5652173913043477)</f>
        <v>0.5652173913</v>
      </c>
      <c r="V140" s="57">
        <f>IFERROR(__xludf.DUMMYFUNCTION("""COMPUTED_VALUE"""),1.1014492753623188)</f>
        <v>1.101449275</v>
      </c>
      <c r="W140" s="57">
        <f>IFERROR(__xludf.DUMMYFUNCTION("""COMPUTED_VALUE"""),2.4710144927536235)</f>
        <v>2.471014493</v>
      </c>
      <c r="X140" s="31">
        <f>IFERROR(__xludf.DUMMYFUNCTION("""COMPUTED_VALUE"""),341.5707785940437)</f>
        <v>341.5707786</v>
      </c>
      <c r="Y140" s="57">
        <f>IFERROR(__xludf.DUMMYFUNCTION("""COMPUTED_VALUE"""),0.7857778656524587)</f>
        <v>0.7857778657</v>
      </c>
      <c r="Z140" s="57">
        <f>IFERROR(__xludf.DUMMYFUNCTION("""COMPUTED_VALUE"""),0.5599936879049832)</f>
        <v>0.5599936879</v>
      </c>
      <c r="AA140" s="57">
        <f>IFERROR(__xludf.DUMMYFUNCTION("""COMPUTED_VALUE"""),1.2495876397902335)</f>
        <v>1.24958764</v>
      </c>
      <c r="AB140" s="57">
        <f>IFERROR(__xludf.DUMMYFUNCTION("""COMPUTED_VALUE"""),2.5029214766428787)</f>
        <v>2.502921477</v>
      </c>
      <c r="AC140" s="31">
        <f>IFERROR(__xludf.DUMMYFUNCTION("""COMPUTED_VALUE"""),328.7794320580572)</f>
        <v>328.7794321</v>
      </c>
      <c r="AD140" s="57">
        <f>IFERROR(__xludf.DUMMYFUNCTION("""COMPUTED_VALUE"""),0.718472533589165)</f>
        <v>0.7184725336</v>
      </c>
      <c r="AE140" s="57">
        <f>IFERROR(__xludf.DUMMYFUNCTION("""COMPUTED_VALUE"""),0.5052086004291035)</f>
        <v>0.5052086004</v>
      </c>
      <c r="AF140" s="57">
        <f>IFERROR(__xludf.DUMMYFUNCTION("""COMPUTED_VALUE"""),1.2555402455609252)</f>
        <v>1.255540246</v>
      </c>
      <c r="AG140" s="57">
        <f>IFERROR(__xludf.DUMMYFUNCTION("""COMPUTED_VALUE"""),2.394734737717053)</f>
        <v>2.394734738</v>
      </c>
      <c r="AH140" s="57">
        <f>IFERROR(__xludf.DUMMYFUNCTION("""COMPUTED_VALUE"""),0.8862820357216599)</f>
        <v>0.8862820357</v>
      </c>
      <c r="AI140" s="57">
        <f>IFERROR(__xludf.DUMMYFUNCTION("""COMPUTED_VALUE"""),0.6656634000690905)</f>
        <v>0.6656634001</v>
      </c>
      <c r="AJ140" s="57">
        <f>IFERROR(__xludf.DUMMYFUNCTION("""COMPUTED_VALUE"""),0.9036301811621652)</f>
        <v>0.9036301812</v>
      </c>
      <c r="AK140" s="57">
        <f>IFERROR(__xludf.DUMMYFUNCTION("""COMPUTED_VALUE"""),0.9696155170270503)</f>
        <v>0.969615517</v>
      </c>
      <c r="AL140" s="57">
        <f>IFERROR(__xludf.DUMMYFUNCTION("""COMPUTED_VALUE"""),0.8623992289322029)</f>
        <v>0.8623992289</v>
      </c>
      <c r="AM140" s="57">
        <f>IFERROR(__xludf.DUMMYFUNCTION("""COMPUTED_VALUE"""),0.9587420276919315)</f>
        <v>0.9587420277</v>
      </c>
      <c r="AN140" s="57">
        <f>IFERROR(__xludf.DUMMYFUNCTION("""COMPUTED_VALUE"""),1.0512983282314914)</f>
        <v>1.051298328</v>
      </c>
      <c r="AO140" s="57">
        <f>IFERROR(__xludf.DUMMYFUNCTION("""COMPUTED_VALUE"""),1.009328146927704)</f>
        <v>1.009328147</v>
      </c>
      <c r="AP140" s="35">
        <f>IFERROR(__xludf.DUMMYFUNCTION("""COMPUTED_VALUE"""),0.8814502002814445)</f>
        <v>0.8814502003</v>
      </c>
      <c r="AQ140" s="57">
        <f>IFERROR(__xludf.DUMMYFUNCTION("""COMPUTED_VALUE"""),0.9872521035170263)</f>
        <v>0.9872521035</v>
      </c>
      <c r="AR140" s="36" t="b">
        <f>IFERROR(__xludf.DUMMYFUNCTION("""COMPUTED_VALUE"""),TRUE)</f>
        <v>1</v>
      </c>
      <c r="AS140" s="57"/>
      <c r="AT140" s="37"/>
      <c r="AU140" s="30"/>
      <c r="AV140" s="30"/>
      <c r="AW140" s="30"/>
      <c r="AX140" s="30"/>
      <c r="AY140" s="30"/>
      <c r="AZ140" s="30"/>
    </row>
    <row r="141">
      <c r="A141" s="30" t="str">
        <f>IFERROR(__xludf.DUMMYFUNCTION("""COMPUTED_VALUE"""),"Challenger")</f>
        <v>Challenger</v>
      </c>
      <c r="B141" s="30" t="str">
        <f>IFERROR(__xludf.DUMMYFUNCTION("""COMPUTED_VALUE"""),"RSC007969")</f>
        <v>RSC007969</v>
      </c>
      <c r="C141" s="30" t="str">
        <f>IFERROR(__xludf.DUMMYFUNCTION("""COMPUTED_VALUE"""),"EcHo.rll")</f>
        <v>EcHo.rll</v>
      </c>
      <c r="D141" s="31" t="str">
        <f>IFERROR(__xludf.DUMMYFUNCTION("""COMPUTED_VALUE"""),"Shade")</f>
        <v>Shade</v>
      </c>
      <c r="E141" s="31">
        <f>IFERROR(__xludf.DUMMYFUNCTION("""COMPUTED_VALUE"""),30.79059327192755)</f>
        <v>30.79059327</v>
      </c>
      <c r="F141" s="31">
        <f>IFERROR(__xludf.DUMMYFUNCTION("""COMPUTED_VALUE"""),-4.522189169409179)</f>
        <v>-4.522189169</v>
      </c>
      <c r="G141" s="31">
        <f>IFERROR(__xludf.DUMMYFUNCTION("""COMPUTED_VALUE"""),38.349390033875615)</f>
        <v>38.34939003</v>
      </c>
      <c r="H141" s="31">
        <f>IFERROR(__xludf.DUMMYFUNCTION("""COMPUTED_VALUE"""),-3.1191611430135042)</f>
        <v>-3.119161143</v>
      </c>
      <c r="I141" s="54">
        <f>IFERROR(__xludf.DUMMYFUNCTION("""COMPUTED_VALUE"""),20.0)</f>
        <v>20</v>
      </c>
      <c r="J141" s="55">
        <f>IFERROR(__xludf.DUMMYFUNCTION("""COMPUTED_VALUE"""),8.0)</f>
        <v>8</v>
      </c>
      <c r="K141" s="54">
        <f>IFERROR(__xludf.DUMMYFUNCTION("""COMPUTED_VALUE"""),12.0)</f>
        <v>12</v>
      </c>
      <c r="L141" s="56">
        <f>IFERROR(__xludf.DUMMYFUNCTION("""COMPUTED_VALUE"""),0.4)</f>
        <v>0.4</v>
      </c>
      <c r="M141" s="56">
        <f>IFERROR(__xludf.DUMMYFUNCTION("""COMPUTED_VALUE"""),0.2631578947368421)</f>
        <v>0.2631578947</v>
      </c>
      <c r="N141" s="31">
        <f>IFERROR(__xludf.DUMMYFUNCTION("""COMPUTED_VALUE"""),281.65)</f>
        <v>281.65</v>
      </c>
      <c r="O141" s="57">
        <f>IFERROR(__xludf.DUMMYFUNCTION("""COMPUTED_VALUE"""),0.5)</f>
        <v>0.5</v>
      </c>
      <c r="P141" s="57">
        <f>IFERROR(__xludf.DUMMYFUNCTION("""COMPUTED_VALUE"""),0.5)</f>
        <v>0.5</v>
      </c>
      <c r="Q141" s="57">
        <f>IFERROR(__xludf.DUMMYFUNCTION("""COMPUTED_VALUE"""),1.0)</f>
        <v>1</v>
      </c>
      <c r="R141" s="57">
        <f>IFERROR(__xludf.DUMMYFUNCTION("""COMPUTED_VALUE"""),1.9)</f>
        <v>1.9</v>
      </c>
      <c r="S141" s="31">
        <f>IFERROR(__xludf.DUMMYFUNCTION("""COMPUTED_VALUE"""),336.03333333333336)</f>
        <v>336.0333333</v>
      </c>
      <c r="T141" s="57">
        <f>IFERROR(__xludf.DUMMYFUNCTION("""COMPUTED_VALUE"""),0.9)</f>
        <v>0.9</v>
      </c>
      <c r="U141" s="57">
        <f>IFERROR(__xludf.DUMMYFUNCTION("""COMPUTED_VALUE"""),0.6166666666666667)</f>
        <v>0.6166666667</v>
      </c>
      <c r="V141" s="57">
        <f>IFERROR(__xludf.DUMMYFUNCTION("""COMPUTED_VALUE"""),0.9666666666666666)</f>
        <v>0.9666666667</v>
      </c>
      <c r="W141" s="57">
        <f>IFERROR(__xludf.DUMMYFUNCTION("""COMPUTED_VALUE"""),2.4999999999999996)</f>
        <v>2.5</v>
      </c>
      <c r="X141" s="31">
        <f>IFERROR(__xludf.DUMMYFUNCTION("""COMPUTED_VALUE"""),342.2238714317294)</f>
        <v>342.2238714</v>
      </c>
      <c r="Y141" s="57">
        <f>IFERROR(__xludf.DUMMYFUNCTION("""COMPUTED_VALUE"""),0.8245608939241785)</f>
        <v>0.8245608939</v>
      </c>
      <c r="Z141" s="57">
        <f>IFERROR(__xludf.DUMMYFUNCTION("""COMPUTED_VALUE"""),0.5607656037099324)</f>
        <v>0.5607656037</v>
      </c>
      <c r="AA141" s="57">
        <f>IFERROR(__xludf.DUMMYFUNCTION("""COMPUTED_VALUE"""),1.1980089442415889)</f>
        <v>1.198008944</v>
      </c>
      <c r="AB141" s="57">
        <f>IFERROR(__xludf.DUMMYFUNCTION("""COMPUTED_VALUE"""),2.455235003203243)</f>
        <v>2.455235003</v>
      </c>
      <c r="AC141" s="31">
        <f>IFERROR(__xludf.DUMMYFUNCTION("""COMPUTED_VALUE"""),316.9501423281804)</f>
        <v>316.9501423</v>
      </c>
      <c r="AD141" s="57">
        <f>IFERROR(__xludf.DUMMYFUNCTION("""COMPUTED_VALUE"""),0.7145657131147901)</f>
        <v>0.7145657131</v>
      </c>
      <c r="AE141" s="57">
        <f>IFERROR(__xludf.DUMMYFUNCTION("""COMPUTED_VALUE"""),0.4849126505058662)</f>
        <v>0.4849126505</v>
      </c>
      <c r="AF141" s="57">
        <f>IFERROR(__xludf.DUMMYFUNCTION("""COMPUTED_VALUE"""),1.1735592727702073)</f>
        <v>1.173559273</v>
      </c>
      <c r="AG141" s="57">
        <f>IFERROR(__xludf.DUMMYFUNCTION("""COMPUTED_VALUE"""),2.3422722208114406)</f>
        <v>2.342272221</v>
      </c>
      <c r="AH141" s="57">
        <f>IFERROR(__xludf.DUMMYFUNCTION("""COMPUTED_VALUE"""),0.8886255671984223)</f>
        <v>0.8886255672</v>
      </c>
      <c r="AI141" s="57">
        <f>IFERROR(__xludf.DUMMYFUNCTION("""COMPUTED_VALUE"""),0.6997257086692577)</f>
        <v>0.6997257087</v>
      </c>
      <c r="AJ141" s="57">
        <f>IFERROR(__xludf.DUMMYFUNCTION("""COMPUTED_VALUE"""),1.0311135407137646)</f>
        <v>1.031113541</v>
      </c>
      <c r="AK141" s="57">
        <f>IFERROR(__xludf.DUMMYFUNCTION("""COMPUTED_VALUE"""),0.8521086435110196)</f>
        <v>0.8521086435</v>
      </c>
      <c r="AL141" s="57">
        <f>IFERROR(__xludf.DUMMYFUNCTION("""COMPUTED_VALUE"""),0.8111781299877164)</f>
        <v>0.81117813</v>
      </c>
      <c r="AM141" s="57">
        <f>IFERROR(__xludf.DUMMYFUNCTION("""COMPUTED_VALUE"""),0.9819108524706437)</f>
        <v>0.9819108525</v>
      </c>
      <c r="AN141" s="57">
        <f>IFERROR(__xludf.DUMMYFUNCTION("""COMPUTED_VALUE"""),1.0914900362504438)</f>
        <v>1.091490036</v>
      </c>
      <c r="AO141" s="57">
        <f>IFERROR(__xludf.DUMMYFUNCTION("""COMPUTED_VALUE"""),1.0996870396238678)</f>
        <v>1.09968704</v>
      </c>
      <c r="AP141" s="35">
        <f>IFERROR(__xludf.DUMMYFUNCTION("""COMPUTED_VALUE"""),0.8068943652825766)</f>
        <v>0.8068943653</v>
      </c>
      <c r="AQ141" s="57">
        <f>IFERROR(__xludf.DUMMYFUNCTION("""COMPUTED_VALUE"""),1.0182324692904563)</f>
        <v>1.018232469</v>
      </c>
      <c r="AR141" s="36" t="b">
        <f>IFERROR(__xludf.DUMMYFUNCTION("""COMPUTED_VALUE"""),TRUE)</f>
        <v>1</v>
      </c>
      <c r="AS141" s="57"/>
      <c r="AT141" s="37"/>
      <c r="AU141" s="30"/>
      <c r="AV141" s="30"/>
      <c r="AW141" s="30"/>
      <c r="AX141" s="30"/>
      <c r="AY141" s="30"/>
      <c r="AZ141" s="30"/>
    </row>
    <row r="142">
      <c r="A142" s="30" t="str">
        <f>IFERROR(__xludf.DUMMYFUNCTION("""COMPUTED_VALUE"""),"Challenger")</f>
        <v>Challenger</v>
      </c>
      <c r="B142" s="30" t="str">
        <f>IFERROR(__xludf.DUMMYFUNCTION("""COMPUTED_VALUE"""),"RSC002911")</f>
        <v>RSC002911</v>
      </c>
      <c r="C142" s="30" t="str">
        <f>IFERROR(__xludf.DUMMYFUNCTION("""COMPUTED_VALUE"""),"Alextross")</f>
        <v>Alextross</v>
      </c>
      <c r="D142" s="31" t="str">
        <f>IFERROR(__xludf.DUMMYFUNCTION("""COMPUTED_VALUE"""),"Meat Lovers")</f>
        <v>Meat Lovers</v>
      </c>
      <c r="E142" s="31">
        <f>IFERROR(__xludf.DUMMYFUNCTION("""COMPUTED_VALUE"""),29.726402559952323)</f>
        <v>29.72640256</v>
      </c>
      <c r="F142" s="31">
        <f>IFERROR(__xludf.DUMMYFUNCTION("""COMPUTED_VALUE"""),-4.791591069750093)</f>
        <v>-4.79159107</v>
      </c>
      <c r="G142" s="31">
        <f>IFERROR(__xludf.DUMMYFUNCTION("""COMPUTED_VALUE"""),15.932408371736322)</f>
        <v>15.93240837</v>
      </c>
      <c r="H142" s="31">
        <f>IFERROR(__xludf.DUMMYFUNCTION("""COMPUTED_VALUE"""),-11.562302855119436)</f>
        <v>-11.56230286</v>
      </c>
      <c r="I142" s="54">
        <f>IFERROR(__xludf.DUMMYFUNCTION("""COMPUTED_VALUE"""),11.0)</f>
        <v>11</v>
      </c>
      <c r="J142" s="55">
        <f>IFERROR(__xludf.DUMMYFUNCTION("""COMPUTED_VALUE"""),8.0)</f>
        <v>8</v>
      </c>
      <c r="K142" s="54">
        <f>IFERROR(__xludf.DUMMYFUNCTION("""COMPUTED_VALUE"""),3.0)</f>
        <v>3</v>
      </c>
      <c r="L142" s="56">
        <f>IFERROR(__xludf.DUMMYFUNCTION("""COMPUTED_VALUE"""),0.7272727272727273)</f>
        <v>0.7272727273</v>
      </c>
      <c r="M142" s="56">
        <f>IFERROR(__xludf.DUMMYFUNCTION("""COMPUTED_VALUE"""),0.3)</f>
        <v>0.3</v>
      </c>
      <c r="N142" s="31">
        <f>IFERROR(__xludf.DUMMYFUNCTION("""COMPUTED_VALUE"""),258.45454545454544)</f>
        <v>258.4545455</v>
      </c>
      <c r="O142" s="57">
        <f>IFERROR(__xludf.DUMMYFUNCTION("""COMPUTED_VALUE"""),0.5454545454545454)</f>
        <v>0.5454545455</v>
      </c>
      <c r="P142" s="57">
        <f>IFERROR(__xludf.DUMMYFUNCTION("""COMPUTED_VALUE"""),0.45454545454545453)</f>
        <v>0.4545454545</v>
      </c>
      <c r="Q142" s="57">
        <f>IFERROR(__xludf.DUMMYFUNCTION("""COMPUTED_VALUE"""),1.0)</f>
        <v>1</v>
      </c>
      <c r="R142" s="57">
        <f>IFERROR(__xludf.DUMMYFUNCTION("""COMPUTED_VALUE"""),1.8181818181818181)</f>
        <v>1.818181818</v>
      </c>
      <c r="S142" s="31">
        <f>IFERROR(__xludf.DUMMYFUNCTION("""COMPUTED_VALUE"""),316.0)</f>
        <v>316</v>
      </c>
      <c r="T142" s="57">
        <f>IFERROR(__xludf.DUMMYFUNCTION("""COMPUTED_VALUE"""),0.6363636363636364)</f>
        <v>0.6363636364</v>
      </c>
      <c r="U142" s="57">
        <f>IFERROR(__xludf.DUMMYFUNCTION("""COMPUTED_VALUE"""),0.42424242424242425)</f>
        <v>0.4242424242</v>
      </c>
      <c r="V142" s="57">
        <f>IFERROR(__xludf.DUMMYFUNCTION("""COMPUTED_VALUE"""),1.1212121212121213)</f>
        <v>1.121212121</v>
      </c>
      <c r="W142" s="57">
        <f>IFERROR(__xludf.DUMMYFUNCTION("""COMPUTED_VALUE"""),2.272727272727273)</f>
        <v>2.272727273</v>
      </c>
      <c r="X142" s="31">
        <f>IFERROR(__xludf.DUMMYFUNCTION("""COMPUTED_VALUE"""),346.06325314902125)</f>
        <v>346.0632531</v>
      </c>
      <c r="Y142" s="57">
        <f>IFERROR(__xludf.DUMMYFUNCTION("""COMPUTED_VALUE"""),0.7588921875054496)</f>
        <v>0.7588921875</v>
      </c>
      <c r="Z142" s="57">
        <f>IFERROR(__xludf.DUMMYFUNCTION("""COMPUTED_VALUE"""),0.5099092836737212)</f>
        <v>0.5099092837</v>
      </c>
      <c r="AA142" s="57">
        <f>IFERROR(__xludf.DUMMYFUNCTION("""COMPUTED_VALUE"""),1.3896378368188005)</f>
        <v>1.389637837</v>
      </c>
      <c r="AB142" s="57">
        <f>IFERROR(__xludf.DUMMYFUNCTION("""COMPUTED_VALUE"""),2.3648905249269583)</f>
        <v>2.364890525</v>
      </c>
      <c r="AC142" s="31">
        <f>IFERROR(__xludf.DUMMYFUNCTION("""COMPUTED_VALUE"""),343.95996859951714)</f>
        <v>343.9599686</v>
      </c>
      <c r="AD142" s="57">
        <f>IFERROR(__xludf.DUMMYFUNCTION("""COMPUTED_VALUE"""),0.780573865059525)</f>
        <v>0.7805738651</v>
      </c>
      <c r="AE142" s="57">
        <f>IFERROR(__xludf.DUMMYFUNCTION("""COMPUTED_VALUE"""),0.5444270063974992)</f>
        <v>0.5444270064</v>
      </c>
      <c r="AF142" s="57">
        <f>IFERROR(__xludf.DUMMYFUNCTION("""COMPUTED_VALUE"""),1.1923502218444797)</f>
        <v>1.192350222</v>
      </c>
      <c r="AG142" s="57">
        <f>IFERROR(__xludf.DUMMYFUNCTION("""COMPUTED_VALUE"""),2.6785637636148967)</f>
        <v>2.678563764</v>
      </c>
      <c r="AH142" s="57">
        <f>IFERROR(__xludf.DUMMYFUNCTION("""COMPUTED_VALUE"""),0.7514087947701605)</f>
        <v>0.7514087948</v>
      </c>
      <c r="AI142" s="57">
        <f>IFERROR(__xludf.DUMMYFUNCTION("""COMPUTED_VALUE"""),0.6987865849351107)</f>
        <v>0.6987865849</v>
      </c>
      <c r="AJ142" s="57">
        <f>IFERROR(__xludf.DUMMYFUNCTION("""COMPUTED_VALUE"""),0.8349061475719299)</f>
        <v>0.8349061476</v>
      </c>
      <c r="AK142" s="57">
        <f>IFERROR(__xludf.DUMMYFUNCTION("""COMPUTED_VALUE"""),0.8386797617675386)</f>
        <v>0.8386797618</v>
      </c>
      <c r="AL142" s="57">
        <f>IFERROR(__xludf.DUMMYFUNCTION("""COMPUTED_VALUE"""),0.6787898212018156)</f>
        <v>0.6787898212</v>
      </c>
      <c r="AM142" s="57">
        <f>IFERROR(__xludf.DUMMYFUNCTION("""COMPUTED_VALUE"""),0.913127866436384)</f>
        <v>0.9131278664</v>
      </c>
      <c r="AN142" s="57">
        <f>IFERROR(__xludf.DUMMYFUNCTION("""COMPUTED_VALUE"""),0.8385428745226958)</f>
        <v>0.8385428745</v>
      </c>
      <c r="AO142" s="57">
        <f>IFERROR(__xludf.DUMMYFUNCTION("""COMPUTED_VALUE"""),0.8319958820633806)</f>
        <v>0.8319958821</v>
      </c>
      <c r="AP142" s="35">
        <f>IFERROR(__xludf.DUMMYFUNCTION("""COMPUTED_VALUE"""),0.8068376461156476)</f>
        <v>0.8068376461</v>
      </c>
      <c r="AQ142" s="57">
        <f>IFERROR(__xludf.DUMMYFUNCTION("""COMPUTED_VALUE"""),0.9610285333598976)</f>
        <v>0.9610285334</v>
      </c>
      <c r="AR142" s="36" t="b">
        <f>IFERROR(__xludf.DUMMYFUNCTION("""COMPUTED_VALUE"""),TRUE)</f>
        <v>1</v>
      </c>
      <c r="AS142" s="57"/>
      <c r="AT142" s="37"/>
      <c r="AU142" s="30"/>
      <c r="AV142" s="30"/>
      <c r="AW142" s="30"/>
      <c r="AX142" s="30"/>
      <c r="AY142" s="30"/>
      <c r="AZ142" s="30"/>
    </row>
    <row r="143">
      <c r="A143" s="30" t="str">
        <f>IFERROR(__xludf.DUMMYFUNCTION("""COMPUTED_VALUE"""),"Challenger")</f>
        <v>Challenger</v>
      </c>
      <c r="B143" s="30" t="str">
        <f>IFERROR(__xludf.DUMMYFUNCTION("""COMPUTED_VALUE"""),"RSC007406")</f>
        <v>RSC007406</v>
      </c>
      <c r="C143" s="30" t="str">
        <f>IFERROR(__xludf.DUMMYFUNCTION("""COMPUTED_VALUE"""),"junior1000gsxr")</f>
        <v>junior1000gsxr</v>
      </c>
      <c r="D143" s="31" t="str">
        <f>IFERROR(__xludf.DUMMYFUNCTION("""COMPUTED_VALUE"""),"Chromatic Chaos")</f>
        <v>Chromatic Chaos</v>
      </c>
      <c r="E143" s="31">
        <f>IFERROR(__xludf.DUMMYFUNCTION("""COMPUTED_VALUE"""),28.42253239005573)</f>
        <v>28.42253239</v>
      </c>
      <c r="F143" s="31">
        <f>IFERROR(__xludf.DUMMYFUNCTION("""COMPUTED_VALUE"""),-5.1535340844397854)</f>
        <v>-5.153534084</v>
      </c>
      <c r="G143" s="31">
        <f>IFERROR(__xludf.DUMMYFUNCTION("""COMPUTED_VALUE"""),36.408533933171014)</f>
        <v>36.40853393</v>
      </c>
      <c r="H143" s="31">
        <f>IFERROR(__xludf.DUMMYFUNCTION("""COMPUTED_VALUE"""),-3.4090343667514658)</f>
        <v>-3.409034367</v>
      </c>
      <c r="I143" s="54">
        <f>IFERROR(__xludf.DUMMYFUNCTION("""COMPUTED_VALUE"""),19.0)</f>
        <v>19</v>
      </c>
      <c r="J143" s="55">
        <f>IFERROR(__xludf.DUMMYFUNCTION("""COMPUTED_VALUE"""),6.0)</f>
        <v>6</v>
      </c>
      <c r="K143" s="54">
        <f>IFERROR(__xludf.DUMMYFUNCTION("""COMPUTED_VALUE"""),13.0)</f>
        <v>13</v>
      </c>
      <c r="L143" s="56">
        <f>IFERROR(__xludf.DUMMYFUNCTION("""COMPUTED_VALUE"""),0.3157894736842105)</f>
        <v>0.3157894737</v>
      </c>
      <c r="M143" s="56">
        <f>IFERROR(__xludf.DUMMYFUNCTION("""COMPUTED_VALUE"""),0.34375000000000006)</f>
        <v>0.34375</v>
      </c>
      <c r="N143" s="31">
        <f>IFERROR(__xludf.DUMMYFUNCTION("""COMPUTED_VALUE"""),311.2105263157895)</f>
        <v>311.2105263</v>
      </c>
      <c r="O143" s="57">
        <f>IFERROR(__xludf.DUMMYFUNCTION("""COMPUTED_VALUE"""),0.5789473684210527)</f>
        <v>0.5789473684</v>
      </c>
      <c r="P143" s="57">
        <f>IFERROR(__xludf.DUMMYFUNCTION("""COMPUTED_VALUE"""),0.5789473684210527)</f>
        <v>0.5789473684</v>
      </c>
      <c r="Q143" s="57">
        <f>IFERROR(__xludf.DUMMYFUNCTION("""COMPUTED_VALUE"""),1.2105263157894737)</f>
        <v>1.210526316</v>
      </c>
      <c r="R143" s="57">
        <f>IFERROR(__xludf.DUMMYFUNCTION("""COMPUTED_VALUE"""),1.6842105263157894)</f>
        <v>1.684210526</v>
      </c>
      <c r="S143" s="31">
        <f>IFERROR(__xludf.DUMMYFUNCTION("""COMPUTED_VALUE"""),342.9122807017543)</f>
        <v>342.9122807</v>
      </c>
      <c r="T143" s="57">
        <f>IFERROR(__xludf.DUMMYFUNCTION("""COMPUTED_VALUE"""),0.9473684210526315)</f>
        <v>0.9473684211</v>
      </c>
      <c r="U143" s="57">
        <f>IFERROR(__xludf.DUMMYFUNCTION("""COMPUTED_VALUE"""),0.6315789473684209)</f>
        <v>0.6315789474</v>
      </c>
      <c r="V143" s="57">
        <f>IFERROR(__xludf.DUMMYFUNCTION("""COMPUTED_VALUE"""),0.9824561403508772)</f>
        <v>0.9824561404</v>
      </c>
      <c r="W143" s="57">
        <f>IFERROR(__xludf.DUMMYFUNCTION("""COMPUTED_VALUE"""),2.789473684210526)</f>
        <v>2.789473684</v>
      </c>
      <c r="X143" s="31">
        <f>IFERROR(__xludf.DUMMYFUNCTION("""COMPUTED_VALUE"""),322.38633800517636)</f>
        <v>322.386338</v>
      </c>
      <c r="Y143" s="57">
        <f>IFERROR(__xludf.DUMMYFUNCTION("""COMPUTED_VALUE"""),0.7305421449013844)</f>
        <v>0.7305421449</v>
      </c>
      <c r="Z143" s="57">
        <f>IFERROR(__xludf.DUMMYFUNCTION("""COMPUTED_VALUE"""),0.5047362766058341)</f>
        <v>0.5047362766</v>
      </c>
      <c r="AA143" s="57">
        <f>IFERROR(__xludf.DUMMYFUNCTION("""COMPUTED_VALUE"""),1.144743819200034)</f>
        <v>1.144743819</v>
      </c>
      <c r="AB143" s="57">
        <f>IFERROR(__xludf.DUMMYFUNCTION("""COMPUTED_VALUE"""),2.3920824614009244)</f>
        <v>2.392082461</v>
      </c>
      <c r="AC143" s="31">
        <f>IFERROR(__xludf.DUMMYFUNCTION("""COMPUTED_VALUE"""),340.8795633918256)</f>
        <v>340.8795634</v>
      </c>
      <c r="AD143" s="57">
        <f>IFERROR(__xludf.DUMMYFUNCTION("""COMPUTED_VALUE"""),0.8181454600443585)</f>
        <v>0.81814546</v>
      </c>
      <c r="AE143" s="57">
        <f>IFERROR(__xludf.DUMMYFUNCTION("""COMPUTED_VALUE"""),0.5376266957690374)</f>
        <v>0.5376266958</v>
      </c>
      <c r="AF143" s="57">
        <f>IFERROR(__xludf.DUMMYFUNCTION("""COMPUTED_VALUE"""),1.222150964412427)</f>
        <v>1.222150964</v>
      </c>
      <c r="AG143" s="57">
        <f>IFERROR(__xludf.DUMMYFUNCTION("""COMPUTED_VALUE"""),2.3770411865667156)</f>
        <v>2.377041187</v>
      </c>
      <c r="AH143" s="57">
        <f>IFERROR(__xludf.DUMMYFUNCTION("""COMPUTED_VALUE"""),0.9129632859746041)</f>
        <v>0.912963286</v>
      </c>
      <c r="AI143" s="57">
        <f>IFERROR(__xludf.DUMMYFUNCTION("""COMPUTED_VALUE"""),0.7076337848157992)</f>
        <v>0.7076337848</v>
      </c>
      <c r="AJ143" s="57">
        <f>IFERROR(__xludf.DUMMYFUNCTION("""COMPUTED_VALUE"""),1.076857553721191)</f>
        <v>1.076857554</v>
      </c>
      <c r="AK143" s="57">
        <f>IFERROR(__xludf.DUMMYFUNCTION("""COMPUTED_VALUE"""),0.9904883693083348)</f>
        <v>0.9904883693</v>
      </c>
      <c r="AL143" s="57">
        <f>IFERROR(__xludf.DUMMYFUNCTION("""COMPUTED_VALUE"""),0.708532328271679)</f>
        <v>0.7085323283</v>
      </c>
      <c r="AM143" s="57">
        <f>IFERROR(__xludf.DUMMYFUNCTION("""COMPUTED_VALUE"""),1.063668773384089)</f>
        <v>1.063668773</v>
      </c>
      <c r="AN143" s="57">
        <f>IFERROR(__xludf.DUMMYFUNCTION("""COMPUTED_VALUE"""),1.2968018719584158)</f>
        <v>1.296801872</v>
      </c>
      <c r="AO143" s="57">
        <f>IFERROR(__xludf.DUMMYFUNCTION("""COMPUTED_VALUE"""),1.2513048430272482)</f>
        <v>1.251304843</v>
      </c>
      <c r="AP143" s="35">
        <f>IFERROR(__xludf.DUMMYFUNCTION("""COMPUTED_VALUE"""),0.858232317023938)</f>
        <v>0.858232317</v>
      </c>
      <c r="AQ143" s="57">
        <f>IFERROR(__xludf.DUMMYFUNCTION("""COMPUTED_VALUE"""),1.1661277272928414)</f>
        <v>1.166127727</v>
      </c>
      <c r="AR143" s="36" t="b">
        <f>IFERROR(__xludf.DUMMYFUNCTION("""COMPUTED_VALUE"""),TRUE)</f>
        <v>1</v>
      </c>
      <c r="AS143" s="57"/>
      <c r="AT143" s="37"/>
      <c r="AU143" s="30"/>
      <c r="AV143" s="30"/>
      <c r="AW143" s="30"/>
      <c r="AX143" s="30"/>
      <c r="AY143" s="30"/>
      <c r="AZ143" s="30"/>
    </row>
    <row r="144">
      <c r="A144" s="30" t="str">
        <f>IFERROR(__xludf.DUMMYFUNCTION("""COMPUTED_VALUE"""),"Challenger")</f>
        <v>Challenger</v>
      </c>
      <c r="B144" s="30" t="str">
        <f>IFERROR(__xludf.DUMMYFUNCTION("""COMPUTED_VALUE"""),"RSC006642")</f>
        <v>RSC006642</v>
      </c>
      <c r="C144" s="30" t="str">
        <f>IFERROR(__xludf.DUMMYFUNCTION("""COMPUTED_VALUE"""),"Zonekiller.")</f>
        <v>Zonekiller.</v>
      </c>
      <c r="D144" s="31" t="str">
        <f>IFERROR(__xludf.DUMMYFUNCTION("""COMPUTED_VALUE"""),"Pharaohs")</f>
        <v>Pharaohs</v>
      </c>
      <c r="E144" s="31">
        <f>IFERROR(__xludf.DUMMYFUNCTION("""COMPUTED_VALUE"""),27.644245675515958)</f>
        <v>27.64424568</v>
      </c>
      <c r="F144" s="31">
        <f>IFERROR(__xludf.DUMMYFUNCTION("""COMPUTED_VALUE"""),-5.387949155903401)</f>
        <v>-5.387949156</v>
      </c>
      <c r="G144" s="31">
        <f>IFERROR(__xludf.DUMMYFUNCTION("""COMPUTED_VALUE"""),29.53540152371762)</f>
        <v>29.53540152</v>
      </c>
      <c r="H144" s="31">
        <f>IFERROR(__xludf.DUMMYFUNCTION("""COMPUTED_VALUE"""),-4.84233556974716)</f>
        <v>-4.84233557</v>
      </c>
      <c r="I144" s="54">
        <f>IFERROR(__xludf.DUMMYFUNCTION("""COMPUTED_VALUE"""),37.0)</f>
        <v>37</v>
      </c>
      <c r="J144" s="55">
        <f>IFERROR(__xludf.DUMMYFUNCTION("""COMPUTED_VALUE"""),15.0)</f>
        <v>15</v>
      </c>
      <c r="K144" s="54">
        <f>IFERROR(__xludf.DUMMYFUNCTION("""COMPUTED_VALUE"""),22.0)</f>
        <v>22</v>
      </c>
      <c r="L144" s="56">
        <f>IFERROR(__xludf.DUMMYFUNCTION("""COMPUTED_VALUE"""),0.40540540540540543)</f>
        <v>0.4054054054</v>
      </c>
      <c r="M144" s="56">
        <f>IFERROR(__xludf.DUMMYFUNCTION("""COMPUTED_VALUE"""),0.3384615384615384)</f>
        <v>0.3384615385</v>
      </c>
      <c r="N144" s="31">
        <f>IFERROR(__xludf.DUMMYFUNCTION("""COMPUTED_VALUE"""),313.6060606060606)</f>
        <v>313.6060606</v>
      </c>
      <c r="O144" s="57">
        <f>IFERROR(__xludf.DUMMYFUNCTION("""COMPUTED_VALUE"""),0.6666666666666666)</f>
        <v>0.6666666667</v>
      </c>
      <c r="P144" s="57">
        <f>IFERROR(__xludf.DUMMYFUNCTION("""COMPUTED_VALUE"""),0.30303030303030304)</f>
        <v>0.303030303</v>
      </c>
      <c r="Q144" s="57">
        <f>IFERROR(__xludf.DUMMYFUNCTION("""COMPUTED_VALUE"""),1.3333333333333333)</f>
        <v>1.333333333</v>
      </c>
      <c r="R144" s="57">
        <f>IFERROR(__xludf.DUMMYFUNCTION("""COMPUTED_VALUE"""),1.9696969696969697)</f>
        <v>1.96969697</v>
      </c>
      <c r="S144" s="31">
        <f>IFERROR(__xludf.DUMMYFUNCTION("""COMPUTED_VALUE"""),332.9191919191919)</f>
        <v>332.9191919</v>
      </c>
      <c r="T144" s="57">
        <f>IFERROR(__xludf.DUMMYFUNCTION("""COMPUTED_VALUE"""),0.7777777777777778)</f>
        <v>0.7777777778</v>
      </c>
      <c r="U144" s="57">
        <f>IFERROR(__xludf.DUMMYFUNCTION("""COMPUTED_VALUE"""),0.5555555555555554)</f>
        <v>0.5555555556</v>
      </c>
      <c r="V144" s="57">
        <f>IFERROR(__xludf.DUMMYFUNCTION("""COMPUTED_VALUE"""),0.9797979797979797)</f>
        <v>0.9797979798</v>
      </c>
      <c r="W144" s="57">
        <f>IFERROR(__xludf.DUMMYFUNCTION("""COMPUTED_VALUE"""),2.8282828282828283)</f>
        <v>2.828282828</v>
      </c>
      <c r="X144" s="31">
        <f>IFERROR(__xludf.DUMMYFUNCTION("""COMPUTED_VALUE"""),320.7418451331816)</f>
        <v>320.7418451</v>
      </c>
      <c r="Y144" s="57">
        <f>IFERROR(__xludf.DUMMYFUNCTION("""COMPUTED_VALUE"""),0.6994713870442901)</f>
        <v>0.699471387</v>
      </c>
      <c r="Z144" s="57">
        <f>IFERROR(__xludf.DUMMYFUNCTION("""COMPUTED_VALUE"""),0.472104104242204)</f>
        <v>0.4721041042</v>
      </c>
      <c r="AA144" s="57">
        <f>IFERROR(__xludf.DUMMYFUNCTION("""COMPUTED_VALUE"""),1.1888001620664785)</f>
        <v>1.188800162</v>
      </c>
      <c r="AB144" s="57">
        <f>IFERROR(__xludf.DUMMYFUNCTION("""COMPUTED_VALUE"""),2.344945708026461)</f>
        <v>2.344945708</v>
      </c>
      <c r="AC144" s="31">
        <f>IFERROR(__xludf.DUMMYFUNCTION("""COMPUTED_VALUE"""),334.6512294935634)</f>
        <v>334.6512295</v>
      </c>
      <c r="AD144" s="57">
        <f>IFERROR(__xludf.DUMMYFUNCTION("""COMPUTED_VALUE"""),0.7857892887734041)</f>
        <v>0.7857892888</v>
      </c>
      <c r="AE144" s="57">
        <f>IFERROR(__xludf.DUMMYFUNCTION("""COMPUTED_VALUE"""),0.5384384758862207)</f>
        <v>0.5384384759</v>
      </c>
      <c r="AF144" s="57">
        <f>IFERROR(__xludf.DUMMYFUNCTION("""COMPUTED_VALUE"""),1.214540729373645)</f>
        <v>1.214540729</v>
      </c>
      <c r="AG144" s="57">
        <f>IFERROR(__xludf.DUMMYFUNCTION("""COMPUTED_VALUE"""),2.464688791542882)</f>
        <v>2.464688792</v>
      </c>
      <c r="AH144" s="57">
        <f>IFERROR(__xludf.DUMMYFUNCTION("""COMPUTED_VALUE"""),0.9371131284371763)</f>
        <v>0.9371131284</v>
      </c>
      <c r="AI144" s="57">
        <f>IFERROR(__xludf.DUMMYFUNCTION("""COMPUTED_VALUE"""),0.8484038611767224)</f>
        <v>0.8484038612</v>
      </c>
      <c r="AJ144" s="57">
        <f>IFERROR(__xludf.DUMMYFUNCTION("""COMPUTED_VALUE"""),0.5627946675458932)</f>
        <v>0.5627946675</v>
      </c>
      <c r="AK144" s="57">
        <f>IFERROR(__xludf.DUMMYFUNCTION("""COMPUTED_VALUE"""),1.0978086622265448)</f>
        <v>1.097808662</v>
      </c>
      <c r="AL144" s="57">
        <f>IFERROR(__xludf.DUMMYFUNCTION("""COMPUTED_VALUE"""),0.7991666032870421)</f>
        <v>0.7991666033</v>
      </c>
      <c r="AM144" s="57">
        <f>IFERROR(__xludf.DUMMYFUNCTION("""COMPUTED_VALUE"""),1.0379661929704056)</f>
        <v>1.037966193</v>
      </c>
      <c r="AN144" s="57">
        <f>IFERROR(__xludf.DUMMYFUNCTION("""COMPUTED_VALUE"""),1.1119508134055087)</f>
        <v>1.111950813</v>
      </c>
      <c r="AO144" s="57">
        <f>IFERROR(__xludf.DUMMYFUNCTION("""COMPUTED_VALUE"""),1.1767649350291143)</f>
        <v>1.176764935</v>
      </c>
      <c r="AP144" s="35">
        <f>IFERROR(__xludf.DUMMYFUNCTION("""COMPUTED_VALUE"""),0.8241906512653964)</f>
        <v>0.8241906513</v>
      </c>
      <c r="AQ144" s="57">
        <f>IFERROR(__xludf.DUMMYFUNCTION("""COMPUTED_VALUE"""),1.2061186826637238)</f>
        <v>1.206118683</v>
      </c>
      <c r="AR144" s="36" t="b">
        <f>IFERROR(__xludf.DUMMYFUNCTION("""COMPUTED_VALUE"""),TRUE)</f>
        <v>1</v>
      </c>
      <c r="AS144" s="57"/>
      <c r="AT144" s="37"/>
      <c r="AU144" s="30"/>
      <c r="AV144" s="30"/>
      <c r="AW144" s="30"/>
      <c r="AX144" s="30"/>
      <c r="AY144" s="30"/>
      <c r="AZ144" s="30"/>
    </row>
    <row r="145">
      <c r="A145" s="30" t="str">
        <f>IFERROR(__xludf.DUMMYFUNCTION("""COMPUTED_VALUE"""),"Challenger")</f>
        <v>Challenger</v>
      </c>
      <c r="B145" s="30" t="str">
        <f>IFERROR(__xludf.DUMMYFUNCTION("""COMPUTED_VALUE"""),"RSC006583")</f>
        <v>RSC006583</v>
      </c>
      <c r="C145" s="30" t="str">
        <f>IFERROR(__xludf.DUMMYFUNCTION("""COMPUTED_VALUE"""),"DaScrappyDoo15")</f>
        <v>DaScrappyDoo15</v>
      </c>
      <c r="D145" s="31" t="str">
        <f>IFERROR(__xludf.DUMMYFUNCTION("""COMPUTED_VALUE"""),"Solstice Sake")</f>
        <v>Solstice Sake</v>
      </c>
      <c r="E145" s="31">
        <f>IFERROR(__xludf.DUMMYFUNCTION("""COMPUTED_VALUE"""),26.96710686966588)</f>
        <v>26.96710687</v>
      </c>
      <c r="F145" s="31">
        <f>IFERROR(__xludf.DUMMYFUNCTION("""COMPUTED_VALUE"""),-5.604036488582046)</f>
        <v>-5.604036489</v>
      </c>
      <c r="G145" s="31">
        <f>IFERROR(__xludf.DUMMYFUNCTION("""COMPUTED_VALUE"""),27.63366919976024)</f>
        <v>27.6336692</v>
      </c>
      <c r="H145" s="31">
        <f>IFERROR(__xludf.DUMMYFUNCTION("""COMPUTED_VALUE"""),-5.391235396743313)</f>
        <v>-5.391235397</v>
      </c>
      <c r="I145" s="54">
        <f>IFERROR(__xludf.DUMMYFUNCTION("""COMPUTED_VALUE"""),11.0)</f>
        <v>11</v>
      </c>
      <c r="J145" s="55">
        <f>IFERROR(__xludf.DUMMYFUNCTION("""COMPUTED_VALUE"""),6.0)</f>
        <v>6</v>
      </c>
      <c r="K145" s="54">
        <f>IFERROR(__xludf.DUMMYFUNCTION("""COMPUTED_VALUE"""),5.0)</f>
        <v>5</v>
      </c>
      <c r="L145" s="56">
        <f>IFERROR(__xludf.DUMMYFUNCTION("""COMPUTED_VALUE"""),0.5454545454545454)</f>
        <v>0.5454545455</v>
      </c>
      <c r="M145" s="56">
        <f>IFERROR(__xludf.DUMMYFUNCTION("""COMPUTED_VALUE"""),0.3684210526315789)</f>
        <v>0.3684210526</v>
      </c>
      <c r="N145" s="31">
        <f>IFERROR(__xludf.DUMMYFUNCTION("""COMPUTED_VALUE"""),270.3636363636364)</f>
        <v>270.3636364</v>
      </c>
      <c r="O145" s="57">
        <f>IFERROR(__xludf.DUMMYFUNCTION("""COMPUTED_VALUE"""),0.6363636363636364)</f>
        <v>0.6363636364</v>
      </c>
      <c r="P145" s="57">
        <f>IFERROR(__xludf.DUMMYFUNCTION("""COMPUTED_VALUE"""),0.18181818181818182)</f>
        <v>0.1818181818</v>
      </c>
      <c r="Q145" s="57">
        <f>IFERROR(__xludf.DUMMYFUNCTION("""COMPUTED_VALUE"""),1.0)</f>
        <v>1</v>
      </c>
      <c r="R145" s="57">
        <f>IFERROR(__xludf.DUMMYFUNCTION("""COMPUTED_VALUE"""),1.7272727272727273)</f>
        <v>1.727272727</v>
      </c>
      <c r="S145" s="31">
        <f>IFERROR(__xludf.DUMMYFUNCTION("""COMPUTED_VALUE"""),275.09090909090907)</f>
        <v>275.0909091</v>
      </c>
      <c r="T145" s="57">
        <f>IFERROR(__xludf.DUMMYFUNCTION("""COMPUTED_VALUE"""),0.6363636363636364)</f>
        <v>0.6363636364</v>
      </c>
      <c r="U145" s="57">
        <f>IFERROR(__xludf.DUMMYFUNCTION("""COMPUTED_VALUE"""),0.33333333333333337)</f>
        <v>0.3333333333</v>
      </c>
      <c r="V145" s="57">
        <f>IFERROR(__xludf.DUMMYFUNCTION("""COMPUTED_VALUE"""),0.9090909090909093)</f>
        <v>0.9090909091</v>
      </c>
      <c r="W145" s="57">
        <f>IFERROR(__xludf.DUMMYFUNCTION("""COMPUTED_VALUE"""),2.090909090909091)</f>
        <v>2.090909091</v>
      </c>
      <c r="X145" s="31">
        <f>IFERROR(__xludf.DUMMYFUNCTION("""COMPUTED_VALUE"""),336.42316758704703)</f>
        <v>336.4231676</v>
      </c>
      <c r="Y145" s="57">
        <f>IFERROR(__xludf.DUMMYFUNCTION("""COMPUTED_VALUE"""),0.8024878253268596)</f>
        <v>0.8024878253</v>
      </c>
      <c r="Z145" s="57">
        <f>IFERROR(__xludf.DUMMYFUNCTION("""COMPUTED_VALUE"""),0.5444229088104398)</f>
        <v>0.5444229088</v>
      </c>
      <c r="AA145" s="57">
        <f>IFERROR(__xludf.DUMMYFUNCTION("""COMPUTED_VALUE"""),1.2009219190912945)</f>
        <v>1.200921919</v>
      </c>
      <c r="AB145" s="57">
        <f>IFERROR(__xludf.DUMMYFUNCTION("""COMPUTED_VALUE"""),2.565232128935303)</f>
        <v>2.565232129</v>
      </c>
      <c r="AC145" s="31">
        <f>IFERROR(__xludf.DUMMYFUNCTION("""COMPUTED_VALUE"""),351.2331092584206)</f>
        <v>351.2331093</v>
      </c>
      <c r="AD145" s="57">
        <f>IFERROR(__xludf.DUMMYFUNCTION("""COMPUTED_VALUE"""),0.8198522524173794)</f>
        <v>0.8198522524</v>
      </c>
      <c r="AE145" s="57">
        <f>IFERROR(__xludf.DUMMYFUNCTION("""COMPUTED_VALUE"""),0.5795271455382267)</f>
        <v>0.5795271455</v>
      </c>
      <c r="AF145" s="57">
        <f>IFERROR(__xludf.DUMMYFUNCTION("""COMPUTED_VALUE"""),1.3072503549103875)</f>
        <v>1.307250355</v>
      </c>
      <c r="AG145" s="57">
        <f>IFERROR(__xludf.DUMMYFUNCTION("""COMPUTED_VALUE"""),2.4827164860984023)</f>
        <v>2.482716486</v>
      </c>
      <c r="AH145" s="57">
        <f>IFERROR(__xludf.DUMMYFUNCTION("""COMPUTED_VALUE"""),0.7697555533260269)</f>
        <v>0.7697555533</v>
      </c>
      <c r="AI145" s="57">
        <f>IFERROR(__xludf.DUMMYFUNCTION("""COMPUTED_VALUE"""),0.776193069528422)</f>
        <v>0.7761930695</v>
      </c>
      <c r="AJ145" s="57">
        <f>IFERROR(__xludf.DUMMYFUNCTION("""COMPUTED_VALUE"""),0.31373540172880265)</f>
        <v>0.3137354017</v>
      </c>
      <c r="AK145" s="57">
        <f>IFERROR(__xludf.DUMMYFUNCTION("""COMPUTED_VALUE"""),0.7649644127031431)</f>
        <v>0.7649644127</v>
      </c>
      <c r="AL145" s="57">
        <f>IFERROR(__xludf.DUMMYFUNCTION("""COMPUTED_VALUE"""),0.6957188776665927)</f>
        <v>0.6957188777</v>
      </c>
      <c r="AM145" s="57">
        <f>IFERROR(__xludf.DUMMYFUNCTION("""COMPUTED_VALUE"""),0.81769311865162)</f>
        <v>0.8176931187</v>
      </c>
      <c r="AN145" s="57">
        <f>IFERROR(__xludf.DUMMYFUNCTION("""COMPUTED_VALUE"""),0.79298852428626)</f>
        <v>0.7929885243</v>
      </c>
      <c r="AO145" s="57">
        <f>IFERROR(__xludf.DUMMYFUNCTION("""COMPUTED_VALUE"""),0.612269116414782)</f>
        <v>0.6122691164</v>
      </c>
      <c r="AP145" s="35">
        <f>IFERROR(__xludf.DUMMYFUNCTION("""COMPUTED_VALUE"""),0.7569941847499911)</f>
        <v>0.7569941847</v>
      </c>
      <c r="AQ145" s="57">
        <f>IFERROR(__xludf.DUMMYFUNCTION("""COMPUTED_VALUE"""),0.8150954712144981)</f>
        <v>0.8150954712</v>
      </c>
      <c r="AR145" s="36" t="b">
        <f>IFERROR(__xludf.DUMMYFUNCTION("""COMPUTED_VALUE"""),TRUE)</f>
        <v>1</v>
      </c>
      <c r="AS145" s="57"/>
      <c r="AT145" s="37"/>
      <c r="AU145" s="30"/>
      <c r="AV145" s="30"/>
      <c r="AW145" s="30"/>
      <c r="AX145" s="30"/>
      <c r="AY145" s="30"/>
      <c r="AZ145" s="30"/>
    </row>
    <row r="146">
      <c r="A146" s="30" t="str">
        <f>IFERROR(__xludf.DUMMYFUNCTION("""COMPUTED_VALUE"""),"Challenger")</f>
        <v>Challenger</v>
      </c>
      <c r="B146" s="30" t="str">
        <f>IFERROR(__xludf.DUMMYFUNCTION("""COMPUTED_VALUE"""),"RSC002834")</f>
        <v>RSC002834</v>
      </c>
      <c r="C146" s="30" t="str">
        <f>IFERROR(__xludf.DUMMYFUNCTION("""COMPUTED_VALUE"""),"Clockwork7678")</f>
        <v>Clockwork7678</v>
      </c>
      <c r="D146" s="31" t="str">
        <f>IFERROR(__xludf.DUMMYFUNCTION("""COMPUTED_VALUE"""),"Pharaohs")</f>
        <v>Pharaohs</v>
      </c>
      <c r="E146" s="31">
        <f>IFERROR(__xludf.DUMMYFUNCTION("""COMPUTED_VALUE"""),25.792516736836124)</f>
        <v>25.79251674</v>
      </c>
      <c r="F146" s="31">
        <f>IFERROR(__xludf.DUMMYFUNCTION("""COMPUTED_VALUE"""),-6.007902211191864)</f>
        <v>-6.007902211</v>
      </c>
      <c r="G146" s="31">
        <f>IFERROR(__xludf.DUMMYFUNCTION("""COMPUTED_VALUE"""),27.562961410113154)</f>
        <v>27.56296141</v>
      </c>
      <c r="H146" s="31">
        <f>IFERROR(__xludf.DUMMYFUNCTION("""COMPUTED_VALUE"""),-5.413276345252279)</f>
        <v>-5.413276345</v>
      </c>
      <c r="I146" s="54">
        <f>IFERROR(__xludf.DUMMYFUNCTION("""COMPUTED_VALUE"""),24.0)</f>
        <v>24</v>
      </c>
      <c r="J146" s="55">
        <f>IFERROR(__xludf.DUMMYFUNCTION("""COMPUTED_VALUE"""),10.0)</f>
        <v>10</v>
      </c>
      <c r="K146" s="54">
        <f>IFERROR(__xludf.DUMMYFUNCTION("""COMPUTED_VALUE"""),14.0)</f>
        <v>14</v>
      </c>
      <c r="L146" s="56">
        <f>IFERROR(__xludf.DUMMYFUNCTION("""COMPUTED_VALUE"""),0.4166666666666667)</f>
        <v>0.4166666667</v>
      </c>
      <c r="M146" s="56">
        <f>IFERROR(__xludf.DUMMYFUNCTION("""COMPUTED_VALUE"""),0.2857142857142857)</f>
        <v>0.2857142857</v>
      </c>
      <c r="N146" s="31">
        <f>IFERROR(__xludf.DUMMYFUNCTION("""COMPUTED_VALUE"""),296.9583333333333)</f>
        <v>296.9583333</v>
      </c>
      <c r="O146" s="57">
        <f>IFERROR(__xludf.DUMMYFUNCTION("""COMPUTED_VALUE"""),0.6666666666666666)</f>
        <v>0.6666666667</v>
      </c>
      <c r="P146" s="57">
        <f>IFERROR(__xludf.DUMMYFUNCTION("""COMPUTED_VALUE"""),0.25)</f>
        <v>0.25</v>
      </c>
      <c r="Q146" s="57">
        <f>IFERROR(__xludf.DUMMYFUNCTION("""COMPUTED_VALUE"""),0.875)</f>
        <v>0.875</v>
      </c>
      <c r="R146" s="57">
        <f>IFERROR(__xludf.DUMMYFUNCTION("""COMPUTED_VALUE"""),2.3333333333333335)</f>
        <v>2.333333333</v>
      </c>
      <c r="S146" s="31">
        <f>IFERROR(__xludf.DUMMYFUNCTION("""COMPUTED_VALUE"""),374.90277777777777)</f>
        <v>374.9027778</v>
      </c>
      <c r="T146" s="57">
        <f>IFERROR(__xludf.DUMMYFUNCTION("""COMPUTED_VALUE"""),0.8333333333333331)</f>
        <v>0.8333333333</v>
      </c>
      <c r="U146" s="57">
        <f>IFERROR(__xludf.DUMMYFUNCTION("""COMPUTED_VALUE"""),0.5694444444444443)</f>
        <v>0.5694444444</v>
      </c>
      <c r="V146" s="57">
        <f>IFERROR(__xludf.DUMMYFUNCTION("""COMPUTED_VALUE"""),1.236111111111111)</f>
        <v>1.236111111</v>
      </c>
      <c r="W146" s="57">
        <f>IFERROR(__xludf.DUMMYFUNCTION("""COMPUTED_VALUE"""),2.694444444444444)</f>
        <v>2.694444444</v>
      </c>
      <c r="X146" s="31">
        <f>IFERROR(__xludf.DUMMYFUNCTION("""COMPUTED_VALUE"""),320.6230049119523)</f>
        <v>320.6230049</v>
      </c>
      <c r="Y146" s="57">
        <f>IFERROR(__xludf.DUMMYFUNCTION("""COMPUTED_VALUE"""),0.6553905971903478)</f>
        <v>0.6553905972</v>
      </c>
      <c r="Z146" s="57">
        <f>IFERROR(__xludf.DUMMYFUNCTION("""COMPUTED_VALUE"""),0.4966184755536877)</f>
        <v>0.4966184756</v>
      </c>
      <c r="AA146" s="57">
        <f>IFERROR(__xludf.DUMMYFUNCTION("""COMPUTED_VALUE"""),1.2091789738204832)</f>
        <v>1.209178974</v>
      </c>
      <c r="AB146" s="57">
        <f>IFERROR(__xludf.DUMMYFUNCTION("""COMPUTED_VALUE"""),2.301391469716887)</f>
        <v>2.30139147</v>
      </c>
      <c r="AC146" s="31">
        <f>IFERROR(__xludf.DUMMYFUNCTION("""COMPUTED_VALUE"""),342.2012911990668)</f>
        <v>342.2012912</v>
      </c>
      <c r="AD146" s="57">
        <f>IFERROR(__xludf.DUMMYFUNCTION("""COMPUTED_VALUE"""),0.8020382703154435)</f>
        <v>0.8020382703</v>
      </c>
      <c r="AE146" s="57">
        <f>IFERROR(__xludf.DUMMYFUNCTION("""COMPUTED_VALUE"""),0.5363530240663968)</f>
        <v>0.5363530241</v>
      </c>
      <c r="AF146" s="57">
        <f>IFERROR(__xludf.DUMMYFUNCTION("""COMPUTED_VALUE"""),1.2746006708535973)</f>
        <v>1.274600671</v>
      </c>
      <c r="AG146" s="57">
        <f>IFERROR(__xludf.DUMMYFUNCTION("""COMPUTED_VALUE"""),2.431653230213244)</f>
        <v>2.43165323</v>
      </c>
      <c r="AH146" s="57">
        <f>IFERROR(__xludf.DUMMYFUNCTION("""COMPUTED_VALUE"""),0.867788465358494)</f>
        <v>0.8677884654</v>
      </c>
      <c r="AI146" s="57">
        <f>IFERROR(__xludf.DUMMYFUNCTION("""COMPUTED_VALUE"""),0.8312155309053583)</f>
        <v>0.8312155309</v>
      </c>
      <c r="AJ146" s="57">
        <f>IFERROR(__xludf.DUMMYFUNCTION("""COMPUTED_VALUE"""),0.4661109172175595)</f>
        <v>0.4661109172</v>
      </c>
      <c r="AK146" s="57">
        <f>IFERROR(__xludf.DUMMYFUNCTION("""COMPUTED_VALUE"""),0.6864895178613192)</f>
        <v>0.6864895179</v>
      </c>
      <c r="AL146" s="57">
        <f>IFERROR(__xludf.DUMMYFUNCTION("""COMPUTED_VALUE"""),0.959566645581579)</f>
        <v>0.9595666456</v>
      </c>
      <c r="AM146" s="57">
        <f>IFERROR(__xludf.DUMMYFUNCTION("""COMPUTED_VALUE"""),1.1692946920035618)</f>
        <v>1.169294692</v>
      </c>
      <c r="AN146" s="57">
        <f>IFERROR(__xludf.DUMMYFUNCTION("""COMPUTED_VALUE"""),1.2715063916171883)</f>
        <v>1.271506392</v>
      </c>
      <c r="AO146" s="57">
        <f>IFERROR(__xludf.DUMMYFUNCTION("""COMPUTED_VALUE"""),1.1466436962691768)</f>
        <v>1.146643696</v>
      </c>
      <c r="AP146" s="35">
        <f>IFERROR(__xludf.DUMMYFUNCTION("""COMPUTED_VALUE"""),1.0222730777442597)</f>
        <v>1.022273078</v>
      </c>
      <c r="AQ146" s="57">
        <f>IFERROR(__xludf.DUMMYFUNCTION("""COMPUTED_VALUE"""),1.1707892724465125)</f>
        <v>1.170789272</v>
      </c>
      <c r="AR146" s="36" t="b">
        <f>IFERROR(__xludf.DUMMYFUNCTION("""COMPUTED_VALUE"""),TRUE)</f>
        <v>1</v>
      </c>
      <c r="AS146" s="57"/>
      <c r="AT146" s="37"/>
      <c r="AU146" s="30"/>
      <c r="AV146" s="30"/>
      <c r="AW146" s="30"/>
      <c r="AX146" s="30"/>
      <c r="AY146" s="30"/>
      <c r="AZ146" s="30"/>
    </row>
    <row r="147">
      <c r="A147" s="30" t="str">
        <f>IFERROR(__xludf.DUMMYFUNCTION("""COMPUTED_VALUE"""),"Challenger")</f>
        <v>Challenger</v>
      </c>
      <c r="B147" s="30" t="str">
        <f>IFERROR(__xludf.DUMMYFUNCTION("""COMPUTED_VALUE"""),"RSC006225")</f>
        <v>RSC006225</v>
      </c>
      <c r="C147" s="30" t="str">
        <f>IFERROR(__xludf.DUMMYFUNCTION("""COMPUTED_VALUE"""),"renightly")</f>
        <v>renightly</v>
      </c>
      <c r="D147" s="31" t="str">
        <f>IFERROR(__xludf.DUMMYFUNCTION("""COMPUTED_VALUE"""),"Quarter")</f>
        <v>Quarter</v>
      </c>
      <c r="E147" s="31">
        <f>IFERROR(__xludf.DUMMYFUNCTION("""COMPUTED_VALUE"""),25.621455490116265)</f>
        <v>25.62145549</v>
      </c>
      <c r="F147" s="31">
        <f>IFERROR(__xludf.DUMMYFUNCTION("""COMPUTED_VALUE"""),-6.0699881205292066)</f>
        <v>-6.069988121</v>
      </c>
      <c r="G147" s="31">
        <f>IFERROR(__xludf.DUMMYFUNCTION("""COMPUTED_VALUE"""),32.77444627765968)</f>
        <v>32.77444628</v>
      </c>
      <c r="H147" s="31">
        <f>IFERROR(__xludf.DUMMYFUNCTION("""COMPUTED_VALUE"""),-4.074902166772953)</f>
        <v>-4.074902167</v>
      </c>
      <c r="I147" s="54">
        <f>IFERROR(__xludf.DUMMYFUNCTION("""COMPUTED_VALUE"""),37.0)</f>
        <v>37</v>
      </c>
      <c r="J147" s="55">
        <f>IFERROR(__xludf.DUMMYFUNCTION("""COMPUTED_VALUE"""),9.0)</f>
        <v>9</v>
      </c>
      <c r="K147" s="54">
        <f>IFERROR(__xludf.DUMMYFUNCTION("""COMPUTED_VALUE"""),28.0)</f>
        <v>28</v>
      </c>
      <c r="L147" s="56">
        <f>IFERROR(__xludf.DUMMYFUNCTION("""COMPUTED_VALUE"""),0.24324324324324326)</f>
        <v>0.2432432432</v>
      </c>
      <c r="M147" s="56">
        <f>IFERROR(__xludf.DUMMYFUNCTION("""COMPUTED_VALUE"""),0.23943661971830987)</f>
        <v>0.2394366197</v>
      </c>
      <c r="N147" s="31">
        <f>IFERROR(__xludf.DUMMYFUNCTION("""COMPUTED_VALUE"""),299.2432432432432)</f>
        <v>299.2432432</v>
      </c>
      <c r="O147" s="57">
        <f>IFERROR(__xludf.DUMMYFUNCTION("""COMPUTED_VALUE"""),0.4594594594594595)</f>
        <v>0.4594594595</v>
      </c>
      <c r="P147" s="57">
        <f>IFERROR(__xludf.DUMMYFUNCTION("""COMPUTED_VALUE"""),0.4864864864864865)</f>
        <v>0.4864864865</v>
      </c>
      <c r="Q147" s="57">
        <f>IFERROR(__xludf.DUMMYFUNCTION("""COMPUTED_VALUE"""),1.4594594594594594)</f>
        <v>1.459459459</v>
      </c>
      <c r="R147" s="57">
        <f>IFERROR(__xludf.DUMMYFUNCTION("""COMPUTED_VALUE"""),1.9189189189189189)</f>
        <v>1.918918919</v>
      </c>
      <c r="S147" s="31">
        <f>IFERROR(__xludf.DUMMYFUNCTION("""COMPUTED_VALUE"""),357.6936936936936)</f>
        <v>357.6936937</v>
      </c>
      <c r="T147" s="57">
        <f>IFERROR(__xludf.DUMMYFUNCTION("""COMPUTED_VALUE"""),0.936936936936937)</f>
        <v>0.9369369369</v>
      </c>
      <c r="U147" s="57">
        <f>IFERROR(__xludf.DUMMYFUNCTION("""COMPUTED_VALUE"""),0.6756756756756755)</f>
        <v>0.6756756757</v>
      </c>
      <c r="V147" s="57">
        <f>IFERROR(__xludf.DUMMYFUNCTION("""COMPUTED_VALUE"""),0.990990990990991)</f>
        <v>0.990990991</v>
      </c>
      <c r="W147" s="57">
        <f>IFERROR(__xludf.DUMMYFUNCTION("""COMPUTED_VALUE"""),2.9279279279279273)</f>
        <v>2.927927928</v>
      </c>
      <c r="X147" s="31">
        <f>IFERROR(__xludf.DUMMYFUNCTION("""COMPUTED_VALUE"""),343.3889772517252)</f>
        <v>343.3889773</v>
      </c>
      <c r="Y147" s="57">
        <f>IFERROR(__xludf.DUMMYFUNCTION("""COMPUTED_VALUE"""),0.8057923301016764)</f>
        <v>0.8057923301</v>
      </c>
      <c r="Z147" s="57">
        <f>IFERROR(__xludf.DUMMYFUNCTION("""COMPUTED_VALUE"""),0.5639414875195907)</f>
        <v>0.5639414875</v>
      </c>
      <c r="AA147" s="57">
        <f>IFERROR(__xludf.DUMMYFUNCTION("""COMPUTED_VALUE"""),1.2207600222654615)</f>
        <v>1.220760022</v>
      </c>
      <c r="AB147" s="57">
        <f>IFERROR(__xludf.DUMMYFUNCTION("""COMPUTED_VALUE"""),2.552390558247705)</f>
        <v>2.552390558</v>
      </c>
      <c r="AC147" s="31">
        <f>IFERROR(__xludf.DUMMYFUNCTION("""COMPUTED_VALUE"""),330.2436265640511)</f>
        <v>330.2436266</v>
      </c>
      <c r="AD147" s="57">
        <f>IFERROR(__xludf.DUMMYFUNCTION("""COMPUTED_VALUE"""),0.7412095694123114)</f>
        <v>0.7412095694</v>
      </c>
      <c r="AE147" s="57">
        <f>IFERROR(__xludf.DUMMYFUNCTION("""COMPUTED_VALUE"""),0.4973832821566566)</f>
        <v>0.4973832822</v>
      </c>
      <c r="AF147" s="57">
        <f>IFERROR(__xludf.DUMMYFUNCTION("""COMPUTED_VALUE"""),1.2369006023068148)</f>
        <v>1.236900602</v>
      </c>
      <c r="AG147" s="57">
        <f>IFERROR(__xludf.DUMMYFUNCTION("""COMPUTED_VALUE"""),2.3978689919520924)</f>
        <v>2.397868992</v>
      </c>
      <c r="AH147" s="57">
        <f>IFERROR(__xludf.DUMMYFUNCTION("""COMPUTED_VALUE"""),0.9061287460916514)</f>
        <v>0.9061287461</v>
      </c>
      <c r="AI147" s="57">
        <f>IFERROR(__xludf.DUMMYFUNCTION("""COMPUTED_VALUE"""),0.6198779379275347)</f>
        <v>0.6198779379</v>
      </c>
      <c r="AJ147" s="57">
        <f>IFERROR(__xludf.DUMMYFUNCTION("""COMPUTED_VALUE"""),0.9780917532593345)</f>
        <v>0.9780917533</v>
      </c>
      <c r="AK147" s="57">
        <f>IFERROR(__xludf.DUMMYFUNCTION("""COMPUTED_VALUE"""),1.1799326936518368)</f>
        <v>1.179932694</v>
      </c>
      <c r="AL147" s="57">
        <f>IFERROR(__xludf.DUMMYFUNCTION("""COMPUTED_VALUE"""),0.8002601165281916)</f>
        <v>0.8002601165</v>
      </c>
      <c r="AM147" s="57">
        <f>IFERROR(__xludf.DUMMYFUNCTION("""COMPUTED_VALUE"""),1.0416574712340931)</f>
        <v>1.041657471</v>
      </c>
      <c r="AN147" s="57">
        <f>IFERROR(__xludf.DUMMYFUNCTION("""COMPUTED_VALUE"""),1.1627523642707205)</f>
        <v>1.162752364</v>
      </c>
      <c r="AO147" s="57">
        <f>IFERROR(__xludf.DUMMYFUNCTION("""COMPUTED_VALUE"""),1.1981308178753267)</f>
        <v>1.198130818</v>
      </c>
      <c r="AP147" s="35">
        <f>IFERROR(__xludf.DUMMYFUNCTION("""COMPUTED_VALUE"""),0.811781982466898)</f>
        <v>0.8117819825</v>
      </c>
      <c r="AQ147" s="57">
        <f>IFERROR(__xludf.DUMMYFUNCTION("""COMPUTED_VALUE"""),1.1471316246907137)</f>
        <v>1.147131625</v>
      </c>
      <c r="AR147" s="36" t="b">
        <f>IFERROR(__xludf.DUMMYFUNCTION("""COMPUTED_VALUE"""),TRUE)</f>
        <v>1</v>
      </c>
      <c r="AS147" s="57"/>
      <c r="AT147" s="37"/>
      <c r="AU147" s="30"/>
      <c r="AV147" s="30"/>
      <c r="AW147" s="30"/>
      <c r="AX147" s="30"/>
      <c r="AY147" s="30"/>
      <c r="AZ147" s="30"/>
    </row>
    <row r="148">
      <c r="A148" s="30" t="str">
        <f>IFERROR(__xludf.DUMMYFUNCTION("""COMPUTED_VALUE"""),"Challenger")</f>
        <v>Challenger</v>
      </c>
      <c r="B148" s="30" t="str">
        <f>IFERROR(__xludf.DUMMYFUNCTION("""COMPUTED_VALUE"""),"RSC003331")</f>
        <v>RSC003331</v>
      </c>
      <c r="C148" s="30" t="str">
        <f>IFERROR(__xludf.DUMMYFUNCTION("""COMPUTED_VALUE"""),"Frostii")</f>
        <v>Frostii</v>
      </c>
      <c r="D148" s="31" t="str">
        <f>IFERROR(__xludf.DUMMYFUNCTION("""COMPUTED_VALUE"""),"Spearmint")</f>
        <v>Spearmint</v>
      </c>
      <c r="E148" s="31">
        <f>IFERROR(__xludf.DUMMYFUNCTION("""COMPUTED_VALUE"""),24.314673365911364)</f>
        <v>24.31467337</v>
      </c>
      <c r="F148" s="31">
        <f>IFERROR(__xludf.DUMMYFUNCTION("""COMPUTED_VALUE"""),-6.574060033355685)</f>
        <v>-6.574060033</v>
      </c>
      <c r="G148" s="31">
        <f>IFERROR(__xludf.DUMMYFUNCTION("""COMPUTED_VALUE"""),33.24046903484518)</f>
        <v>33.24046903</v>
      </c>
      <c r="H148" s="31">
        <f>IFERROR(__xludf.DUMMYFUNCTION("""COMPUTED_VALUE"""),-3.9791904936172404)</f>
        <v>-3.979190494</v>
      </c>
      <c r="I148" s="54">
        <f>IFERROR(__xludf.DUMMYFUNCTION("""COMPUTED_VALUE"""),34.0)</f>
        <v>34</v>
      </c>
      <c r="J148" s="55">
        <f>IFERROR(__xludf.DUMMYFUNCTION("""COMPUTED_VALUE"""),11.0)</f>
        <v>11</v>
      </c>
      <c r="K148" s="54">
        <f>IFERROR(__xludf.DUMMYFUNCTION("""COMPUTED_VALUE"""),23.0)</f>
        <v>23</v>
      </c>
      <c r="L148" s="56">
        <f>IFERROR(__xludf.DUMMYFUNCTION("""COMPUTED_VALUE"""),0.3235294117647059)</f>
        <v>0.3235294118</v>
      </c>
      <c r="M148" s="56">
        <f>IFERROR(__xludf.DUMMYFUNCTION("""COMPUTED_VALUE"""),0.2571428571428572)</f>
        <v>0.2571428571</v>
      </c>
      <c r="N148" s="31">
        <f>IFERROR(__xludf.DUMMYFUNCTION("""COMPUTED_VALUE"""),286.7352941176471)</f>
        <v>286.7352941</v>
      </c>
      <c r="O148" s="57">
        <f>IFERROR(__xludf.DUMMYFUNCTION("""COMPUTED_VALUE"""),0.5294117647058824)</f>
        <v>0.5294117647</v>
      </c>
      <c r="P148" s="57">
        <f>IFERROR(__xludf.DUMMYFUNCTION("""COMPUTED_VALUE"""),0.4117647058823529)</f>
        <v>0.4117647059</v>
      </c>
      <c r="Q148" s="57">
        <f>IFERROR(__xludf.DUMMYFUNCTION("""COMPUTED_VALUE"""),1.0588235294117647)</f>
        <v>1.058823529</v>
      </c>
      <c r="R148" s="57">
        <f>IFERROR(__xludf.DUMMYFUNCTION("""COMPUTED_VALUE"""),2.0588235294117645)</f>
        <v>2.058823529</v>
      </c>
      <c r="S148" s="31">
        <f>IFERROR(__xludf.DUMMYFUNCTION("""COMPUTED_VALUE"""),343.656862745098)</f>
        <v>343.6568627</v>
      </c>
      <c r="T148" s="57">
        <f>IFERROR(__xludf.DUMMYFUNCTION("""COMPUTED_VALUE"""),0.9313725490196078)</f>
        <v>0.931372549</v>
      </c>
      <c r="U148" s="57">
        <f>IFERROR(__xludf.DUMMYFUNCTION("""COMPUTED_VALUE"""),0.6078431372549018)</f>
        <v>0.6078431373</v>
      </c>
      <c r="V148" s="57">
        <f>IFERROR(__xludf.DUMMYFUNCTION("""COMPUTED_VALUE"""),1.0)</f>
        <v>1</v>
      </c>
      <c r="W148" s="57">
        <f>IFERROR(__xludf.DUMMYFUNCTION("""COMPUTED_VALUE"""),2.6078431372549016)</f>
        <v>2.607843137</v>
      </c>
      <c r="X148" s="31">
        <f>IFERROR(__xludf.DUMMYFUNCTION("""COMPUTED_VALUE"""),329.0784787107932)</f>
        <v>329.0784787</v>
      </c>
      <c r="Y148" s="57">
        <f>IFERROR(__xludf.DUMMYFUNCTION("""COMPUTED_VALUE"""),0.746375775303707)</f>
        <v>0.7463757753</v>
      </c>
      <c r="Z148" s="57">
        <f>IFERROR(__xludf.DUMMYFUNCTION("""COMPUTED_VALUE"""),0.502528228167499)</f>
        <v>0.5025282282</v>
      </c>
      <c r="AA148" s="57">
        <f>IFERROR(__xludf.DUMMYFUNCTION("""COMPUTED_VALUE"""),1.206203373176798)</f>
        <v>1.206203373</v>
      </c>
      <c r="AB148" s="57">
        <f>IFERROR(__xludf.DUMMYFUNCTION("""COMPUTED_VALUE"""),2.374245837695761)</f>
        <v>2.374245838</v>
      </c>
      <c r="AC148" s="31">
        <f>IFERROR(__xludf.DUMMYFUNCTION("""COMPUTED_VALUE"""),332.4585277170555)</f>
        <v>332.4585277</v>
      </c>
      <c r="AD148" s="57">
        <f>IFERROR(__xludf.DUMMYFUNCTION("""COMPUTED_VALUE"""),0.7711044155280748)</f>
        <v>0.7711044155</v>
      </c>
      <c r="AE148" s="57">
        <f>IFERROR(__xludf.DUMMYFUNCTION("""COMPUTED_VALUE"""),0.5296992570146952)</f>
        <v>0.529699257</v>
      </c>
      <c r="AF148" s="57">
        <f>IFERROR(__xludf.DUMMYFUNCTION("""COMPUTED_VALUE"""),1.1832841913605645)</f>
        <v>1.183284191</v>
      </c>
      <c r="AG148" s="57">
        <f>IFERROR(__xludf.DUMMYFUNCTION("""COMPUTED_VALUE"""),2.4418724930886637)</f>
        <v>2.441872493</v>
      </c>
      <c r="AH148" s="57">
        <f>IFERROR(__xludf.DUMMYFUNCTION("""COMPUTED_VALUE"""),0.8624693614768035)</f>
        <v>0.8624693615</v>
      </c>
      <c r="AI148" s="57">
        <f>IFERROR(__xludf.DUMMYFUNCTION("""COMPUTED_VALUE"""),0.6865630050157678)</f>
        <v>0.686563005</v>
      </c>
      <c r="AJ148" s="57">
        <f>IFERROR(__xludf.DUMMYFUNCTION("""COMPUTED_VALUE"""),0.7773556417711371)</f>
        <v>0.7773556418</v>
      </c>
      <c r="AK148" s="57">
        <f>IFERROR(__xludf.DUMMYFUNCTION("""COMPUTED_VALUE"""),0.894817607758545)</f>
        <v>0.8948176078</v>
      </c>
      <c r="AL148" s="57">
        <f>IFERROR(__xludf.DUMMYFUNCTION("""COMPUTED_VALUE"""),0.8431331018466119)</f>
        <v>0.8431331018</v>
      </c>
      <c r="AM148" s="57">
        <f>IFERROR(__xludf.DUMMYFUNCTION("""COMPUTED_VALUE"""),1.0443006303281135)</f>
        <v>1.04430063</v>
      </c>
      <c r="AN148" s="57">
        <f>IFERROR(__xludf.DUMMYFUNCTION("""COMPUTED_VALUE"""),1.2478600992115854)</f>
        <v>1.247860099</v>
      </c>
      <c r="AO148" s="57">
        <f>IFERROR(__xludf.DUMMYFUNCTION("""COMPUTED_VALUE"""),1.209570135933339)</f>
        <v>1.209570136</v>
      </c>
      <c r="AP148" s="35">
        <f>IFERROR(__xludf.DUMMYFUNCTION("""COMPUTED_VALUE"""),0.8290475903464631)</f>
        <v>0.8290475903</v>
      </c>
      <c r="AQ148" s="57">
        <f>IFERROR(__xludf.DUMMYFUNCTION("""COMPUTED_VALUE"""),1.0983880000336654)</f>
        <v>1.098388</v>
      </c>
      <c r="AR148" s="36" t="b">
        <f>IFERROR(__xludf.DUMMYFUNCTION("""COMPUTED_VALUE"""),TRUE)</f>
        <v>1</v>
      </c>
      <c r="AS148" s="57"/>
      <c r="AT148" s="37"/>
      <c r="AU148" s="30"/>
      <c r="AV148" s="30"/>
      <c r="AW148" s="30"/>
      <c r="AX148" s="30"/>
      <c r="AY148" s="30"/>
      <c r="AZ148" s="30"/>
    </row>
    <row r="149">
      <c r="A149" s="30" t="str">
        <f>IFERROR(__xludf.DUMMYFUNCTION("""COMPUTED_VALUE"""),"Challenger")</f>
        <v>Challenger</v>
      </c>
      <c r="B149" s="30" t="str">
        <f>IFERROR(__xludf.DUMMYFUNCTION("""COMPUTED_VALUE"""),"RSC007457")</f>
        <v>RSC007457</v>
      </c>
      <c r="C149" s="30" t="str">
        <f>IFERROR(__xludf.DUMMYFUNCTION("""COMPUTED_VALUE"""),"Fyooze")</f>
        <v>Fyooze</v>
      </c>
      <c r="D149" s="31" t="str">
        <f>IFERROR(__xludf.DUMMYFUNCTION("""COMPUTED_VALUE"""),"Threshers")</f>
        <v>Threshers</v>
      </c>
      <c r="E149" s="31">
        <f>IFERROR(__xludf.DUMMYFUNCTION("""COMPUTED_VALUE"""),24.24094677091999)</f>
        <v>24.24094677</v>
      </c>
      <c r="F149" s="31">
        <f>IFERROR(__xludf.DUMMYFUNCTION("""COMPUTED_VALUE"""),-6.604146447622752)</f>
        <v>-6.604146448</v>
      </c>
      <c r="G149" s="31">
        <f>IFERROR(__xludf.DUMMYFUNCTION("""COMPUTED_VALUE"""),16.100512154103562)</f>
        <v>16.10051215</v>
      </c>
      <c r="H149" s="31">
        <f>IFERROR(__xludf.DUMMYFUNCTION("""COMPUTED_VALUE"""),-11.421673632487488)</f>
        <v>-11.42167363</v>
      </c>
      <c r="I149" s="54">
        <f>IFERROR(__xludf.DUMMYFUNCTION("""COMPUTED_VALUE"""),41.0)</f>
        <v>41</v>
      </c>
      <c r="J149" s="55">
        <f>IFERROR(__xludf.DUMMYFUNCTION("""COMPUTED_VALUE"""),13.0)</f>
        <v>13</v>
      </c>
      <c r="K149" s="54">
        <f>IFERROR(__xludf.DUMMYFUNCTION("""COMPUTED_VALUE"""),28.0)</f>
        <v>28</v>
      </c>
      <c r="L149" s="56">
        <f>IFERROR(__xludf.DUMMYFUNCTION("""COMPUTED_VALUE"""),0.3170731707317073)</f>
        <v>0.3170731707</v>
      </c>
      <c r="M149" s="56">
        <f>IFERROR(__xludf.DUMMYFUNCTION("""COMPUTED_VALUE"""),0.3333333333333333)</f>
        <v>0.3333333333</v>
      </c>
      <c r="N149" s="31">
        <f>IFERROR(__xludf.DUMMYFUNCTION("""COMPUTED_VALUE"""),257.6829268292683)</f>
        <v>257.6829268</v>
      </c>
      <c r="O149" s="57">
        <f>IFERROR(__xludf.DUMMYFUNCTION("""COMPUTED_VALUE"""),0.5853658536585366)</f>
        <v>0.5853658537</v>
      </c>
      <c r="P149" s="57">
        <f>IFERROR(__xludf.DUMMYFUNCTION("""COMPUTED_VALUE"""),0.4146341463414634)</f>
        <v>0.4146341463</v>
      </c>
      <c r="Q149" s="57">
        <f>IFERROR(__xludf.DUMMYFUNCTION("""COMPUTED_VALUE"""),0.8292682926829268)</f>
        <v>0.8292682927</v>
      </c>
      <c r="R149" s="57">
        <f>IFERROR(__xludf.DUMMYFUNCTION("""COMPUTED_VALUE"""),1.7560975609756098)</f>
        <v>1.756097561</v>
      </c>
      <c r="S149" s="31">
        <f>IFERROR(__xludf.DUMMYFUNCTION("""COMPUTED_VALUE"""),350.11382113821134)</f>
        <v>350.1138211</v>
      </c>
      <c r="T149" s="57">
        <f>IFERROR(__xludf.DUMMYFUNCTION("""COMPUTED_VALUE"""),0.9186991869918697)</f>
        <v>0.918699187</v>
      </c>
      <c r="U149" s="57">
        <f>IFERROR(__xludf.DUMMYFUNCTION("""COMPUTED_VALUE"""),0.6666666666666666)</f>
        <v>0.6666666667</v>
      </c>
      <c r="V149" s="57">
        <f>IFERROR(__xludf.DUMMYFUNCTION("""COMPUTED_VALUE"""),1.1626016260162604)</f>
        <v>1.162601626</v>
      </c>
      <c r="W149" s="57">
        <f>IFERROR(__xludf.DUMMYFUNCTION("""COMPUTED_VALUE"""),2.56910569105691)</f>
        <v>2.569105691</v>
      </c>
      <c r="X149" s="31">
        <f>IFERROR(__xludf.DUMMYFUNCTION("""COMPUTED_VALUE"""),340.5975615644885)</f>
        <v>340.5975616</v>
      </c>
      <c r="Y149" s="57">
        <f>IFERROR(__xludf.DUMMYFUNCTION("""COMPUTED_VALUE"""),0.826283037960415)</f>
        <v>0.826283038</v>
      </c>
      <c r="Z149" s="57">
        <f>IFERROR(__xludf.DUMMYFUNCTION("""COMPUTED_VALUE"""),0.5446163349204062)</f>
        <v>0.5446163349</v>
      </c>
      <c r="AA149" s="57">
        <f>IFERROR(__xludf.DUMMYFUNCTION("""COMPUTED_VALUE"""),1.163445676714835)</f>
        <v>1.163445677</v>
      </c>
      <c r="AB149" s="57">
        <f>IFERROR(__xludf.DUMMYFUNCTION("""COMPUTED_VALUE"""),2.5076845949122157)</f>
        <v>2.507684595</v>
      </c>
      <c r="AC149" s="31">
        <f>IFERROR(__xludf.DUMMYFUNCTION("""COMPUTED_VALUE"""),324.39386409235095)</f>
        <v>324.3938641</v>
      </c>
      <c r="AD149" s="57">
        <f>IFERROR(__xludf.DUMMYFUNCTION("""COMPUTED_VALUE"""),0.741733600849169)</f>
        <v>0.7417336008</v>
      </c>
      <c r="AE149" s="57">
        <f>IFERROR(__xludf.DUMMYFUNCTION("""COMPUTED_VALUE"""),0.49517073562262376)</f>
        <v>0.4951707356</v>
      </c>
      <c r="AF149" s="57">
        <f>IFERROR(__xludf.DUMMYFUNCTION("""COMPUTED_VALUE"""),1.185417362400741)</f>
        <v>1.185417362</v>
      </c>
      <c r="AG149" s="57">
        <f>IFERROR(__xludf.DUMMYFUNCTION("""COMPUTED_VALUE"""),2.340409778465195)</f>
        <v>2.340409778</v>
      </c>
      <c r="AH149" s="57">
        <f>IFERROR(__xludf.DUMMYFUNCTION("""COMPUTED_VALUE"""),0.7943520372996609)</f>
        <v>0.7943520373</v>
      </c>
      <c r="AI149" s="57">
        <f>IFERROR(__xludf.DUMMYFUNCTION("""COMPUTED_VALUE"""),0.7891861080425427)</f>
        <v>0.789186108</v>
      </c>
      <c r="AJ149" s="57">
        <f>IFERROR(__xludf.DUMMYFUNCTION("""COMPUTED_VALUE"""),0.8373559189036196)</f>
        <v>0.8373559189</v>
      </c>
      <c r="AK149" s="57">
        <f>IFERROR(__xludf.DUMMYFUNCTION("""COMPUTED_VALUE"""),0.6995580788554244)</f>
        <v>0.6995580789</v>
      </c>
      <c r="AL149" s="57">
        <f>IFERROR(__xludf.DUMMYFUNCTION("""COMPUTED_VALUE"""),0.7503376447722893)</f>
        <v>0.7503376448</v>
      </c>
      <c r="AM149" s="57">
        <f>IFERROR(__xludf.DUMMYFUNCTION("""COMPUTED_VALUE"""),1.0279398934332096)</f>
        <v>1.027939893</v>
      </c>
      <c r="AN149" s="57">
        <f>IFERROR(__xludf.DUMMYFUNCTION("""COMPUTED_VALUE"""),1.1118456325323745)</f>
        <v>1.111845633</v>
      </c>
      <c r="AO149" s="57">
        <f>IFERROR(__xludf.DUMMYFUNCTION("""COMPUTED_VALUE"""),1.2241033254430345)</f>
        <v>1.224103325</v>
      </c>
      <c r="AP149" s="35">
        <f>IFERROR(__xludf.DUMMYFUNCTION("""COMPUTED_VALUE"""),0.9992745250461905)</f>
        <v>0.999274525</v>
      </c>
      <c r="AQ149" s="57">
        <f>IFERROR(__xludf.DUMMYFUNCTION("""COMPUTED_VALUE"""),1.0244931504820463)</f>
        <v>1.02449315</v>
      </c>
      <c r="AR149" s="36" t="b">
        <f>IFERROR(__xludf.DUMMYFUNCTION("""COMPUTED_VALUE"""),TRUE)</f>
        <v>1</v>
      </c>
      <c r="AS149" s="57"/>
      <c r="AT149" s="37"/>
      <c r="AU149" s="30"/>
      <c r="AV149" s="30"/>
      <c r="AW149" s="30"/>
      <c r="AX149" s="30"/>
      <c r="AY149" s="30"/>
      <c r="AZ149" s="30"/>
    </row>
    <row r="150">
      <c r="A150" s="30" t="str">
        <f>IFERROR(__xludf.DUMMYFUNCTION("""COMPUTED_VALUE"""),"Challenger")</f>
        <v>Challenger</v>
      </c>
      <c r="B150" s="30" t="str">
        <f>IFERROR(__xludf.DUMMYFUNCTION("""COMPUTED_VALUE"""),"RSC007967")</f>
        <v>RSC007967</v>
      </c>
      <c r="C150" s="30" t="str">
        <f>IFERROR(__xludf.DUMMYFUNCTION("""COMPUTED_VALUE"""),"davisino1605")</f>
        <v>davisino1605</v>
      </c>
      <c r="D150" s="31" t="str">
        <f>IFERROR(__xludf.DUMMYFUNCTION("""COMPUTED_VALUE"""),"Threshers")</f>
        <v>Threshers</v>
      </c>
      <c r="E150" s="31">
        <f>IFERROR(__xludf.DUMMYFUNCTION("""COMPUTED_VALUE"""),23.731067610947132)</f>
        <v>23.73106761</v>
      </c>
      <c r="F150" s="31">
        <f>IFERROR(__xludf.DUMMYFUNCTION("""COMPUTED_VALUE"""),-6.817327938710223)</f>
        <v>-6.817327939</v>
      </c>
      <c r="G150" s="31">
        <f>IFERROR(__xludf.DUMMYFUNCTION("""COMPUTED_VALUE"""),11.757303991891867)</f>
        <v>11.75730399</v>
      </c>
      <c r="H150" s="31">
        <f>IFERROR(__xludf.DUMMYFUNCTION("""COMPUTED_VALUE"""),-15.861804084544849)</f>
        <v>-15.86180408</v>
      </c>
      <c r="I150" s="54">
        <f>IFERROR(__xludf.DUMMYFUNCTION("""COMPUTED_VALUE"""),12.0)</f>
        <v>12</v>
      </c>
      <c r="J150" s="55">
        <f>IFERROR(__xludf.DUMMYFUNCTION("""COMPUTED_VALUE"""),3.0)</f>
        <v>3</v>
      </c>
      <c r="K150" s="54">
        <f>IFERROR(__xludf.DUMMYFUNCTION("""COMPUTED_VALUE"""),9.0)</f>
        <v>9</v>
      </c>
      <c r="L150" s="56">
        <f>IFERROR(__xludf.DUMMYFUNCTION("""COMPUTED_VALUE"""),0.25)</f>
        <v>0.25</v>
      </c>
      <c r="M150" s="56">
        <f>IFERROR(__xludf.DUMMYFUNCTION("""COMPUTED_VALUE"""),0.2962962962962963)</f>
        <v>0.2962962963</v>
      </c>
      <c r="N150" s="31">
        <f>IFERROR(__xludf.DUMMYFUNCTION("""COMPUTED_VALUE"""),255.25)</f>
        <v>255.25</v>
      </c>
      <c r="O150" s="57">
        <f>IFERROR(__xludf.DUMMYFUNCTION("""COMPUTED_VALUE"""),0.6666666666666666)</f>
        <v>0.6666666667</v>
      </c>
      <c r="P150" s="57">
        <f>IFERROR(__xludf.DUMMYFUNCTION("""COMPUTED_VALUE"""),0.3333333333333333)</f>
        <v>0.3333333333</v>
      </c>
      <c r="Q150" s="57">
        <f>IFERROR(__xludf.DUMMYFUNCTION("""COMPUTED_VALUE"""),0.9166666666666666)</f>
        <v>0.9166666667</v>
      </c>
      <c r="R150" s="57">
        <f>IFERROR(__xludf.DUMMYFUNCTION("""COMPUTED_VALUE"""),2.25)</f>
        <v>2.25</v>
      </c>
      <c r="S150" s="31">
        <f>IFERROR(__xludf.DUMMYFUNCTION("""COMPUTED_VALUE"""),373.4166666666667)</f>
        <v>373.4166667</v>
      </c>
      <c r="T150" s="57">
        <f>IFERROR(__xludf.DUMMYFUNCTION("""COMPUTED_VALUE"""),0.9999999999999997)</f>
        <v>1</v>
      </c>
      <c r="U150" s="57">
        <f>IFERROR(__xludf.DUMMYFUNCTION("""COMPUTED_VALUE"""),0.8055555555555557)</f>
        <v>0.8055555556</v>
      </c>
      <c r="V150" s="57">
        <f>IFERROR(__xludf.DUMMYFUNCTION("""COMPUTED_VALUE"""),1.4166666666666667)</f>
        <v>1.416666667</v>
      </c>
      <c r="W150" s="57">
        <f>IFERROR(__xludf.DUMMYFUNCTION("""COMPUTED_VALUE"""),2.5277777777777777)</f>
        <v>2.527777778</v>
      </c>
      <c r="X150" s="31">
        <f>IFERROR(__xludf.DUMMYFUNCTION("""COMPUTED_VALUE"""),336.65291132163543)</f>
        <v>336.6529113</v>
      </c>
      <c r="Y150" s="57">
        <f>IFERROR(__xludf.DUMMYFUNCTION("""COMPUTED_VALUE"""),0.7765995017534374)</f>
        <v>0.7765995018</v>
      </c>
      <c r="Z150" s="57">
        <f>IFERROR(__xludf.DUMMYFUNCTION("""COMPUTED_VALUE"""),0.5516668900256513)</f>
        <v>0.55166689</v>
      </c>
      <c r="AA150" s="57">
        <f>IFERROR(__xludf.DUMMYFUNCTION("""COMPUTED_VALUE"""),1.1810932831930971)</f>
        <v>1.181093283</v>
      </c>
      <c r="AB150" s="57">
        <f>IFERROR(__xludf.DUMMYFUNCTION("""COMPUTED_VALUE"""),2.4449347018065106)</f>
        <v>2.444934702</v>
      </c>
      <c r="AC150" s="31">
        <f>IFERROR(__xludf.DUMMYFUNCTION("""COMPUTED_VALUE"""),333.98347127448534)</f>
        <v>333.9834713</v>
      </c>
      <c r="AD150" s="57">
        <f>IFERROR(__xludf.DUMMYFUNCTION("""COMPUTED_VALUE"""),0.7792634559351272)</f>
        <v>0.7792634559</v>
      </c>
      <c r="AE150" s="57">
        <f>IFERROR(__xludf.DUMMYFUNCTION("""COMPUTED_VALUE"""),0.5366778875736641)</f>
        <v>0.5366778876</v>
      </c>
      <c r="AF150" s="57">
        <f>IFERROR(__xludf.DUMMYFUNCTION("""COMPUTED_VALUE"""),1.1941794409726934)</f>
        <v>1.194179441</v>
      </c>
      <c r="AG150" s="57">
        <f>IFERROR(__xludf.DUMMYFUNCTION("""COMPUTED_VALUE"""),2.378658657817134)</f>
        <v>2.378658658</v>
      </c>
      <c r="AH150" s="57">
        <f>IFERROR(__xludf.DUMMYFUNCTION("""COMPUTED_VALUE"""),0.764259377944551)</f>
        <v>0.7642593779</v>
      </c>
      <c r="AI150" s="57">
        <f>IFERROR(__xludf.DUMMYFUNCTION("""COMPUTED_VALUE"""),0.8555087006699899)</f>
        <v>0.8555087007</v>
      </c>
      <c r="AJ150" s="57">
        <f>IFERROR(__xludf.DUMMYFUNCTION("""COMPUTED_VALUE"""),0.6211050260340383)</f>
        <v>0.621105026</v>
      </c>
      <c r="AK150" s="57">
        <f>IFERROR(__xludf.DUMMYFUNCTION("""COMPUTED_VALUE"""),0.7676121654883084)</f>
        <v>0.7676121655</v>
      </c>
      <c r="AL150" s="57">
        <f>IFERROR(__xludf.DUMMYFUNCTION("""COMPUTED_VALUE"""),0.9459112565839092)</f>
        <v>0.9459112566</v>
      </c>
      <c r="AM150" s="57">
        <f>IFERROR(__xludf.DUMMYFUNCTION("""COMPUTED_VALUE"""),1.1092037350893647)</f>
        <v>1.109203735</v>
      </c>
      <c r="AN150" s="57">
        <f>IFERROR(__xludf.DUMMYFUNCTION("""COMPUTED_VALUE"""),1.2876650033152992)</f>
        <v>1.287665003</v>
      </c>
      <c r="AO150" s="57">
        <f>IFERROR(__xludf.DUMMYFUNCTION("""COMPUTED_VALUE"""),1.4602209596412414)</f>
        <v>1.46022096</v>
      </c>
      <c r="AP150" s="35">
        <f>IFERROR(__xludf.DUMMYFUNCTION("""COMPUTED_VALUE"""),1.1994536645206335)</f>
        <v>1.199453665</v>
      </c>
      <c r="AQ150" s="57">
        <f>IFERROR(__xludf.DUMMYFUNCTION("""COMPUTED_VALUE"""),1.033883553581229)</f>
        <v>1.033883554</v>
      </c>
      <c r="AR150" s="36" t="b">
        <f>IFERROR(__xludf.DUMMYFUNCTION("""COMPUTED_VALUE"""),TRUE)</f>
        <v>1</v>
      </c>
      <c r="AS150" s="57"/>
      <c r="AT150" s="37"/>
      <c r="AU150" s="30"/>
      <c r="AV150" s="30"/>
      <c r="AW150" s="30"/>
      <c r="AX150" s="30"/>
      <c r="AY150" s="30"/>
      <c r="AZ150" s="30"/>
    </row>
    <row r="151">
      <c r="A151" s="30" t="str">
        <f>IFERROR(__xludf.DUMMYFUNCTION("""COMPUTED_VALUE"""),"Challenger")</f>
        <v>Challenger</v>
      </c>
      <c r="B151" s="30" t="str">
        <f>IFERROR(__xludf.DUMMYFUNCTION("""COMPUTED_VALUE"""),"RSC005844")</f>
        <v>RSC005844</v>
      </c>
      <c r="C151" s="30" t="str">
        <f>IFERROR(__xludf.DUMMYFUNCTION("""COMPUTED_VALUE"""),"xr.")</f>
        <v>xr.</v>
      </c>
      <c r="D151" s="31" t="str">
        <f>IFERROR(__xludf.DUMMYFUNCTION("""COMPUTED_VALUE"""),"Bingo")</f>
        <v>Bingo</v>
      </c>
      <c r="E151" s="31">
        <f>IFERROR(__xludf.DUMMYFUNCTION("""COMPUTED_VALUE"""),23.196818213116888)</f>
        <v>23.19681821</v>
      </c>
      <c r="F151" s="31">
        <f>IFERROR(__xludf.DUMMYFUNCTION("""COMPUTED_VALUE"""),-7.050623127220853)</f>
        <v>-7.050623127</v>
      </c>
      <c r="G151" s="31">
        <f>IFERROR(__xludf.DUMMYFUNCTION("""COMPUTED_VALUE"""),24.1588699791712)</f>
        <v>24.15886998</v>
      </c>
      <c r="H151" s="31">
        <f>IFERROR(__xludf.DUMMYFUNCTION("""COMPUTED_VALUE"""),-6.63785703859905)</f>
        <v>-6.637857039</v>
      </c>
      <c r="I151" s="54">
        <f>IFERROR(__xludf.DUMMYFUNCTION("""COMPUTED_VALUE"""),35.0)</f>
        <v>35</v>
      </c>
      <c r="J151" s="55">
        <f>IFERROR(__xludf.DUMMYFUNCTION("""COMPUTED_VALUE"""),15.0)</f>
        <v>15</v>
      </c>
      <c r="K151" s="54">
        <f>IFERROR(__xludf.DUMMYFUNCTION("""COMPUTED_VALUE"""),20.0)</f>
        <v>20</v>
      </c>
      <c r="L151" s="56">
        <f>IFERROR(__xludf.DUMMYFUNCTION("""COMPUTED_VALUE"""),0.42857142857142855)</f>
        <v>0.4285714286</v>
      </c>
      <c r="M151" s="56">
        <f>IFERROR(__xludf.DUMMYFUNCTION("""COMPUTED_VALUE"""),0.22222222222222224)</f>
        <v>0.2222222222</v>
      </c>
      <c r="N151" s="31">
        <f>IFERROR(__xludf.DUMMYFUNCTION("""COMPUTED_VALUE"""),293.9142857142857)</f>
        <v>293.9142857</v>
      </c>
      <c r="O151" s="57">
        <f>IFERROR(__xludf.DUMMYFUNCTION("""COMPUTED_VALUE"""),0.4)</f>
        <v>0.4</v>
      </c>
      <c r="P151" s="57">
        <f>IFERROR(__xludf.DUMMYFUNCTION("""COMPUTED_VALUE"""),0.45714285714285713)</f>
        <v>0.4571428571</v>
      </c>
      <c r="Q151" s="57">
        <f>IFERROR(__xludf.DUMMYFUNCTION("""COMPUTED_VALUE"""),1.4)</f>
        <v>1.4</v>
      </c>
      <c r="R151" s="57">
        <f>IFERROR(__xludf.DUMMYFUNCTION("""COMPUTED_VALUE"""),1.8)</f>
        <v>1.8</v>
      </c>
      <c r="S151" s="31">
        <f>IFERROR(__xludf.DUMMYFUNCTION("""COMPUTED_VALUE"""),344.5428571428571)</f>
        <v>344.5428571</v>
      </c>
      <c r="T151" s="57">
        <f>IFERROR(__xludf.DUMMYFUNCTION("""COMPUTED_VALUE"""),0.8380952380952381)</f>
        <v>0.8380952381</v>
      </c>
      <c r="U151" s="57">
        <f>IFERROR(__xludf.DUMMYFUNCTION("""COMPUTED_VALUE"""),0.5999999999999999)</f>
        <v>0.6</v>
      </c>
      <c r="V151" s="57">
        <f>IFERROR(__xludf.DUMMYFUNCTION("""COMPUTED_VALUE"""),1.0476190476190474)</f>
        <v>1.047619048</v>
      </c>
      <c r="W151" s="57">
        <f>IFERROR(__xludf.DUMMYFUNCTION("""COMPUTED_VALUE"""),2.7142857142857144)</f>
        <v>2.714285714</v>
      </c>
      <c r="X151" s="31">
        <f>IFERROR(__xludf.DUMMYFUNCTION("""COMPUTED_VALUE"""),336.8434662914438)</f>
        <v>336.8434663</v>
      </c>
      <c r="Y151" s="57">
        <f>IFERROR(__xludf.DUMMYFUNCTION("""COMPUTED_VALUE"""),0.7882506093015259)</f>
        <v>0.7882506093</v>
      </c>
      <c r="Z151" s="57">
        <f>IFERROR(__xludf.DUMMYFUNCTION("""COMPUTED_VALUE"""),0.5542638146814381)</f>
        <v>0.5542638147</v>
      </c>
      <c r="AA151" s="57">
        <f>IFERROR(__xludf.DUMMYFUNCTION("""COMPUTED_VALUE"""),1.1812168635193363)</f>
        <v>1.181216864</v>
      </c>
      <c r="AB151" s="57">
        <f>IFERROR(__xludf.DUMMYFUNCTION("""COMPUTED_VALUE"""),2.588278543939232)</f>
        <v>2.588278544</v>
      </c>
      <c r="AC151" s="31">
        <f>IFERROR(__xludf.DUMMYFUNCTION("""COMPUTED_VALUE"""),333.1018878409065)</f>
        <v>333.1018878</v>
      </c>
      <c r="AD151" s="57">
        <f>IFERROR(__xludf.DUMMYFUNCTION("""COMPUTED_VALUE"""),0.7223756535468601)</f>
        <v>0.7223756535</v>
      </c>
      <c r="AE151" s="57">
        <f>IFERROR(__xludf.DUMMYFUNCTION("""COMPUTED_VALUE"""),0.5046075175347091)</f>
        <v>0.5046075175</v>
      </c>
      <c r="AF151" s="57">
        <f>IFERROR(__xludf.DUMMYFUNCTION("""COMPUTED_VALUE"""),1.3101729607204091)</f>
        <v>1.310172961</v>
      </c>
      <c r="AG151" s="57">
        <f>IFERROR(__xludf.DUMMYFUNCTION("""COMPUTED_VALUE"""),2.3300054212968946)</f>
        <v>2.330005421</v>
      </c>
      <c r="AH151" s="57">
        <f>IFERROR(__xludf.DUMMYFUNCTION("""COMPUTED_VALUE"""),0.8823555087585175)</f>
        <v>0.8823555088</v>
      </c>
      <c r="AI151" s="57">
        <f>IFERROR(__xludf.DUMMYFUNCTION("""COMPUTED_VALUE"""),0.5537285178923216)</f>
        <v>0.5537285179</v>
      </c>
      <c r="AJ151" s="57">
        <f>IFERROR(__xludf.DUMMYFUNCTION("""COMPUTED_VALUE"""),0.9059374687405699)</f>
        <v>0.9059374687</v>
      </c>
      <c r="AK151" s="57">
        <f>IFERROR(__xludf.DUMMYFUNCTION("""COMPUTED_VALUE"""),1.068561206781583)</f>
        <v>1.068561207</v>
      </c>
      <c r="AL151" s="57">
        <f>IFERROR(__xludf.DUMMYFUNCTION("""COMPUTED_VALUE"""),0.7725303913662611)</f>
        <v>0.7725303914</v>
      </c>
      <c r="AM151" s="57">
        <f>IFERROR(__xludf.DUMMYFUNCTION("""COMPUTED_VALUE"""),1.0228574742333034)</f>
        <v>1.022857474</v>
      </c>
      <c r="AN151" s="57">
        <f>IFERROR(__xludf.DUMMYFUNCTION("""COMPUTED_VALUE"""),1.0632344944685548)</f>
        <v>1.063234494</v>
      </c>
      <c r="AO151" s="57">
        <f>IFERROR(__xludf.DUMMYFUNCTION("""COMPUTED_VALUE"""),1.0825169966126122)</f>
        <v>1.082516997</v>
      </c>
      <c r="AP151" s="35">
        <f>IFERROR(__xludf.DUMMYFUNCTION("""COMPUTED_VALUE"""),0.8868981471342651)</f>
        <v>0.8868981471</v>
      </c>
      <c r="AQ151" s="57">
        <f>IFERROR(__xludf.DUMMYFUNCTION("""COMPUTED_VALUE"""),1.0486837750293698)</f>
        <v>1.048683775</v>
      </c>
      <c r="AR151" s="36" t="b">
        <f>IFERROR(__xludf.DUMMYFUNCTION("""COMPUTED_VALUE"""),TRUE)</f>
        <v>1</v>
      </c>
      <c r="AS151" s="57"/>
      <c r="AT151" s="37"/>
      <c r="AU151" s="30"/>
      <c r="AV151" s="30"/>
      <c r="AW151" s="30"/>
      <c r="AX151" s="30"/>
      <c r="AY151" s="30"/>
      <c r="AZ151" s="30"/>
    </row>
    <row r="152">
      <c r="A152" s="30" t="str">
        <f>IFERROR(__xludf.DUMMYFUNCTION("""COMPUTED_VALUE"""),"Challenger")</f>
        <v>Challenger</v>
      </c>
      <c r="B152" s="30" t="str">
        <f>IFERROR(__xludf.DUMMYFUNCTION("""COMPUTED_VALUE"""),"RSC007560")</f>
        <v>RSC007560</v>
      </c>
      <c r="C152" s="30" t="str">
        <f>IFERROR(__xludf.DUMMYFUNCTION("""COMPUTED_VALUE"""),"ObiWan_Can_O_Bee")</f>
        <v>ObiWan_Can_O_Bee</v>
      </c>
      <c r="D152" s="31" t="str">
        <f>IFERROR(__xludf.DUMMYFUNCTION("""COMPUTED_VALUE"""),"Shade")</f>
        <v>Shade</v>
      </c>
      <c r="E152" s="31">
        <f>IFERROR(__xludf.DUMMYFUNCTION("""COMPUTED_VALUE"""),23.040810451086358)</f>
        <v>23.04081045</v>
      </c>
      <c r="F152" s="31">
        <f>IFERROR(__xludf.DUMMYFUNCTION("""COMPUTED_VALUE"""),-7.120738395017124)</f>
        <v>-7.120738395</v>
      </c>
      <c r="G152" s="31">
        <f>IFERROR(__xludf.DUMMYFUNCTION("""COMPUTED_VALUE"""),33.75496981610426)</f>
        <v>33.75496982</v>
      </c>
      <c r="H152" s="31">
        <f>IFERROR(__xludf.DUMMYFUNCTION("""COMPUTED_VALUE"""),-3.877316743293594)</f>
        <v>-3.877316743</v>
      </c>
      <c r="I152" s="54">
        <f>IFERROR(__xludf.DUMMYFUNCTION("""COMPUTED_VALUE"""),45.0)</f>
        <v>45</v>
      </c>
      <c r="J152" s="55">
        <f>IFERROR(__xludf.DUMMYFUNCTION("""COMPUTED_VALUE"""),14.0)</f>
        <v>14</v>
      </c>
      <c r="K152" s="54">
        <f>IFERROR(__xludf.DUMMYFUNCTION("""COMPUTED_VALUE"""),31.0)</f>
        <v>31</v>
      </c>
      <c r="L152" s="56">
        <f>IFERROR(__xludf.DUMMYFUNCTION("""COMPUTED_VALUE"""),0.3111111111111111)</f>
        <v>0.3111111111</v>
      </c>
      <c r="M152" s="56">
        <f>IFERROR(__xludf.DUMMYFUNCTION("""COMPUTED_VALUE"""),0.2549019607843137)</f>
        <v>0.2549019608</v>
      </c>
      <c r="N152" s="31">
        <f>IFERROR(__xludf.DUMMYFUNCTION("""COMPUTED_VALUE"""),288.26666666666665)</f>
        <v>288.2666667</v>
      </c>
      <c r="O152" s="57">
        <f>IFERROR(__xludf.DUMMYFUNCTION("""COMPUTED_VALUE"""),0.5777777777777777)</f>
        <v>0.5777777778</v>
      </c>
      <c r="P152" s="57">
        <f>IFERROR(__xludf.DUMMYFUNCTION("""COMPUTED_VALUE"""),0.2)</f>
        <v>0.2</v>
      </c>
      <c r="Q152" s="57">
        <f>IFERROR(__xludf.DUMMYFUNCTION("""COMPUTED_VALUE"""),1.2444444444444445)</f>
        <v>1.244444444</v>
      </c>
      <c r="R152" s="57">
        <f>IFERROR(__xludf.DUMMYFUNCTION("""COMPUTED_VALUE"""),2.2666666666666666)</f>
        <v>2.266666667</v>
      </c>
      <c r="S152" s="31">
        <f>IFERROR(__xludf.DUMMYFUNCTION("""COMPUTED_VALUE"""),357.65185185185186)</f>
        <v>357.6518519</v>
      </c>
      <c r="T152" s="57">
        <f>IFERROR(__xludf.DUMMYFUNCTION("""COMPUTED_VALUE"""),0.8962962962962964)</f>
        <v>0.8962962963</v>
      </c>
      <c r="U152" s="57">
        <f>IFERROR(__xludf.DUMMYFUNCTION("""COMPUTED_VALUE"""),0.6814814814814815)</f>
        <v>0.6814814815</v>
      </c>
      <c r="V152" s="57">
        <f>IFERROR(__xludf.DUMMYFUNCTION("""COMPUTED_VALUE"""),1.2444444444444445)</f>
        <v>1.244444444</v>
      </c>
      <c r="W152" s="57">
        <f>IFERROR(__xludf.DUMMYFUNCTION("""COMPUTED_VALUE"""),2.4370370370370367)</f>
        <v>2.437037037</v>
      </c>
      <c r="X152" s="31">
        <f>IFERROR(__xludf.DUMMYFUNCTION("""COMPUTED_VALUE"""),337.71030997144686)</f>
        <v>337.71031</v>
      </c>
      <c r="Y152" s="57">
        <f>IFERROR(__xludf.DUMMYFUNCTION("""COMPUTED_VALUE"""),0.793295275281391)</f>
        <v>0.7932952753</v>
      </c>
      <c r="Z152" s="57">
        <f>IFERROR(__xludf.DUMMYFUNCTION("""COMPUTED_VALUE"""),0.5584601278303987)</f>
        <v>0.5584601278</v>
      </c>
      <c r="AA152" s="57">
        <f>IFERROR(__xludf.DUMMYFUNCTION("""COMPUTED_VALUE"""),1.2139544033397112)</f>
        <v>1.213954403</v>
      </c>
      <c r="AB152" s="57">
        <f>IFERROR(__xludf.DUMMYFUNCTION("""COMPUTED_VALUE"""),2.47609238392263)</f>
        <v>2.476092384</v>
      </c>
      <c r="AC152" s="31">
        <f>IFERROR(__xludf.DUMMYFUNCTION("""COMPUTED_VALUE"""),329.25485951791)</f>
        <v>329.2548595</v>
      </c>
      <c r="AD152" s="57">
        <f>IFERROR(__xludf.DUMMYFUNCTION("""COMPUTED_VALUE"""),0.7487142032930939)</f>
        <v>0.7487142033</v>
      </c>
      <c r="AE152" s="57">
        <f>IFERROR(__xludf.DUMMYFUNCTION("""COMPUTED_VALUE"""),0.5251162417899365)</f>
        <v>0.5251162418</v>
      </c>
      <c r="AF152" s="57">
        <f>IFERROR(__xludf.DUMMYFUNCTION("""COMPUTED_VALUE"""),1.2089858042727555)</f>
        <v>1.208985804</v>
      </c>
      <c r="AG152" s="57">
        <f>IFERROR(__xludf.DUMMYFUNCTION("""COMPUTED_VALUE"""),2.413047930573464)</f>
        <v>2.413047931</v>
      </c>
      <c r="AH152" s="57">
        <f>IFERROR(__xludf.DUMMYFUNCTION("""COMPUTED_VALUE"""),0.8755122615008396)</f>
        <v>0.8755122615</v>
      </c>
      <c r="AI152" s="57">
        <f>IFERROR(__xludf.DUMMYFUNCTION("""COMPUTED_VALUE"""),0.7716933580751093)</f>
        <v>0.7716933581</v>
      </c>
      <c r="AJ152" s="57">
        <f>IFERROR(__xludf.DUMMYFUNCTION("""COMPUTED_VALUE"""),0.38086805183985617)</f>
        <v>0.3808680518</v>
      </c>
      <c r="AK152" s="57">
        <f>IFERROR(__xludf.DUMMYFUNCTION("""COMPUTED_VALUE"""),1.0293292444347752)</f>
        <v>1.029329244</v>
      </c>
      <c r="AL152" s="57">
        <f>IFERROR(__xludf.DUMMYFUNCTION("""COMPUTED_VALUE"""),0.9393376061651583)</f>
        <v>0.9393376062</v>
      </c>
      <c r="AM152" s="57">
        <f>IFERROR(__xludf.DUMMYFUNCTION("""COMPUTED_VALUE"""),1.059049254025117)</f>
        <v>1.059049254</v>
      </c>
      <c r="AN152" s="57">
        <f>IFERROR(__xludf.DUMMYFUNCTION("""COMPUTED_VALUE"""),1.1298394484681251)</f>
        <v>1.129839448</v>
      </c>
      <c r="AO152" s="57">
        <f>IFERROR(__xludf.DUMMYFUNCTION("""COMPUTED_VALUE"""),1.2202867268770237)</f>
        <v>1.220286727</v>
      </c>
      <c r="AP152" s="35">
        <f>IFERROR(__xludf.DUMMYFUNCTION("""COMPUTED_VALUE"""),1.025116298454746)</f>
        <v>1.025116298</v>
      </c>
      <c r="AQ152" s="57">
        <f>IFERROR(__xludf.DUMMYFUNCTION("""COMPUTED_VALUE"""),0.9842270235395167)</f>
        <v>0.9842270235</v>
      </c>
      <c r="AR152" s="36" t="b">
        <f>IFERROR(__xludf.DUMMYFUNCTION("""COMPUTED_VALUE"""),TRUE)</f>
        <v>1</v>
      </c>
      <c r="AS152" s="57"/>
      <c r="AT152" s="37"/>
      <c r="AU152" s="30"/>
      <c r="AV152" s="30"/>
      <c r="AW152" s="30"/>
      <c r="AX152" s="30"/>
      <c r="AY152" s="30"/>
      <c r="AZ152" s="30"/>
    </row>
    <row r="153">
      <c r="A153" s="30" t="str">
        <f>IFERROR(__xludf.DUMMYFUNCTION("""COMPUTED_VALUE"""),"Challenger")</f>
        <v>Challenger</v>
      </c>
      <c r="B153" s="30" t="str">
        <f>IFERROR(__xludf.DUMMYFUNCTION("""COMPUTED_VALUE"""),"RSC007568")</f>
        <v>RSC007568</v>
      </c>
      <c r="C153" s="30" t="str">
        <f>IFERROR(__xludf.DUMMYFUNCTION("""COMPUTED_VALUE"""),"Chills1912")</f>
        <v>Chills1912</v>
      </c>
      <c r="D153" s="31" t="str">
        <f>IFERROR(__xludf.DUMMYFUNCTION("""COMPUTED_VALUE"""),"Threshers")</f>
        <v>Threshers</v>
      </c>
      <c r="E153" s="31">
        <f>IFERROR(__xludf.DUMMYFUNCTION("""COMPUTED_VALUE"""),19.250957193560435)</f>
        <v>19.25095719</v>
      </c>
      <c r="F153" s="31">
        <f>IFERROR(__xludf.DUMMYFUNCTION("""COMPUTED_VALUE"""),-9.144468959207684)</f>
        <v>-9.144468959</v>
      </c>
      <c r="G153" s="31">
        <f>IFERROR(__xludf.DUMMYFUNCTION("""COMPUTED_VALUE"""),5.569782377872379)</f>
        <v>5.569782378</v>
      </c>
      <c r="H153" s="31">
        <f>IFERROR(__xludf.DUMMYFUNCTION("""COMPUTED_VALUE"""),-26.47817462793539)</f>
        <v>-26.47817463</v>
      </c>
      <c r="I153" s="54">
        <f>IFERROR(__xludf.DUMMYFUNCTION("""COMPUTED_VALUE"""),11.0)</f>
        <v>11</v>
      </c>
      <c r="J153" s="55">
        <f>IFERROR(__xludf.DUMMYFUNCTION("""COMPUTED_VALUE"""),4.0)</f>
        <v>4</v>
      </c>
      <c r="K153" s="54">
        <f>IFERROR(__xludf.DUMMYFUNCTION("""COMPUTED_VALUE"""),7.0)</f>
        <v>7</v>
      </c>
      <c r="L153" s="56">
        <f>IFERROR(__xludf.DUMMYFUNCTION("""COMPUTED_VALUE"""),0.36363636363636365)</f>
        <v>0.3636363636</v>
      </c>
      <c r="M153" s="56">
        <f>IFERROR(__xludf.DUMMYFUNCTION("""COMPUTED_VALUE"""),0.3157894736842105)</f>
        <v>0.3157894737</v>
      </c>
      <c r="N153" s="31">
        <f>IFERROR(__xludf.DUMMYFUNCTION("""COMPUTED_VALUE"""),300.3636363636364)</f>
        <v>300.3636364</v>
      </c>
      <c r="O153" s="57">
        <f>IFERROR(__xludf.DUMMYFUNCTION("""COMPUTED_VALUE"""),0.5454545454545454)</f>
        <v>0.5454545455</v>
      </c>
      <c r="P153" s="57">
        <f>IFERROR(__xludf.DUMMYFUNCTION("""COMPUTED_VALUE"""),0.09090909090909091)</f>
        <v>0.09090909091</v>
      </c>
      <c r="Q153" s="57">
        <f>IFERROR(__xludf.DUMMYFUNCTION("""COMPUTED_VALUE"""),2.1818181818181817)</f>
        <v>2.181818182</v>
      </c>
      <c r="R153" s="57">
        <f>IFERROR(__xludf.DUMMYFUNCTION("""COMPUTED_VALUE"""),1.7272727272727273)</f>
        <v>1.727272727</v>
      </c>
      <c r="S153" s="31">
        <f>IFERROR(__xludf.DUMMYFUNCTION("""COMPUTED_VALUE"""),333.45454545454544)</f>
        <v>333.4545455</v>
      </c>
      <c r="T153" s="57">
        <f>IFERROR(__xludf.DUMMYFUNCTION("""COMPUTED_VALUE"""),0.7272727272727273)</f>
        <v>0.7272727273</v>
      </c>
      <c r="U153" s="57">
        <f>IFERROR(__xludf.DUMMYFUNCTION("""COMPUTED_VALUE"""),0.6363636363636362)</f>
        <v>0.6363636364</v>
      </c>
      <c r="V153" s="57">
        <f>IFERROR(__xludf.DUMMYFUNCTION("""COMPUTED_VALUE"""),1.0909090909090908)</f>
        <v>1.090909091</v>
      </c>
      <c r="W153" s="57">
        <f>IFERROR(__xludf.DUMMYFUNCTION("""COMPUTED_VALUE"""),3.303030303030303)</f>
        <v>3.303030303</v>
      </c>
      <c r="X153" s="31">
        <f>IFERROR(__xludf.DUMMYFUNCTION("""COMPUTED_VALUE"""),359.8331997236733)</f>
        <v>359.8331997</v>
      </c>
      <c r="Y153" s="57">
        <f>IFERROR(__xludf.DUMMYFUNCTION("""COMPUTED_VALUE"""),0.8933127086810355)</f>
        <v>0.8933127087</v>
      </c>
      <c r="Z153" s="57">
        <f>IFERROR(__xludf.DUMMYFUNCTION("""COMPUTED_VALUE"""),0.5942898896789447)</f>
        <v>0.5942898897</v>
      </c>
      <c r="AA153" s="57">
        <f>IFERROR(__xludf.DUMMYFUNCTION("""COMPUTED_VALUE"""),1.2368674758686053)</f>
        <v>1.236867476</v>
      </c>
      <c r="AB153" s="57">
        <f>IFERROR(__xludf.DUMMYFUNCTION("""COMPUTED_VALUE"""),2.8432468978387964)</f>
        <v>2.843246898</v>
      </c>
      <c r="AC153" s="31">
        <f>IFERROR(__xludf.DUMMYFUNCTION("""COMPUTED_VALUE"""),323.94122701770584)</f>
        <v>323.941227</v>
      </c>
      <c r="AD153" s="57">
        <f>IFERROR(__xludf.DUMMYFUNCTION("""COMPUTED_VALUE"""),0.6375189190754086)</f>
        <v>0.6375189191</v>
      </c>
      <c r="AE153" s="57">
        <f>IFERROR(__xludf.DUMMYFUNCTION("""COMPUTED_VALUE"""),0.4546027041797412)</f>
        <v>0.4546027042</v>
      </c>
      <c r="AF153" s="57">
        <f>IFERROR(__xludf.DUMMYFUNCTION("""COMPUTED_VALUE"""),1.352056239352198)</f>
        <v>1.352056239</v>
      </c>
      <c r="AG153" s="57">
        <f>IFERROR(__xludf.DUMMYFUNCTION("""COMPUTED_VALUE"""),2.2740504878611474)</f>
        <v>2.274050488</v>
      </c>
      <c r="AH153" s="57">
        <f>IFERROR(__xludf.DUMMYFUNCTION("""COMPUTED_VALUE"""),0.9272164556789162)</f>
        <v>0.9272164557</v>
      </c>
      <c r="AI153" s="57">
        <f>IFERROR(__xludf.DUMMYFUNCTION("""COMPUTED_VALUE"""),0.8555895819462365)</f>
        <v>0.8555895819</v>
      </c>
      <c r="AJ153" s="57">
        <f>IFERROR(__xludf.DUMMYFUNCTION("""COMPUTED_VALUE"""),0.1999748133331543)</f>
        <v>0.1999748133</v>
      </c>
      <c r="AK153" s="57">
        <f>IFERROR(__xludf.DUMMYFUNCTION("""COMPUTED_VALUE"""),1.613703719057975)</f>
        <v>1.613703719</v>
      </c>
      <c r="AL153" s="57">
        <f>IFERROR(__xludf.DUMMYFUNCTION("""COMPUTED_VALUE"""),0.7595577743295002)</f>
        <v>0.7595577743</v>
      </c>
      <c r="AM153" s="57">
        <f>IFERROR(__xludf.DUMMYFUNCTION("""COMPUTED_VALUE"""),0.9266919942646069)</f>
        <v>0.9266919943</v>
      </c>
      <c r="AN153" s="57">
        <f>IFERROR(__xludf.DUMMYFUNCTION("""COMPUTED_VALUE"""),0.8141300579351837)</f>
        <v>0.8141300579</v>
      </c>
      <c r="AO153" s="57">
        <f>IFERROR(__xludf.DUMMYFUNCTION("""COMPUTED_VALUE"""),1.0707966724916373)</f>
        <v>1.070796672</v>
      </c>
      <c r="AP153" s="35">
        <f>IFERROR(__xludf.DUMMYFUNCTION("""COMPUTED_VALUE"""),0.8819935136082275)</f>
        <v>0.8819935136</v>
      </c>
      <c r="AQ153" s="57">
        <f>IFERROR(__xludf.DUMMYFUNCTION("""COMPUTED_VALUE"""),1.161710685604193)</f>
        <v>1.161710686</v>
      </c>
      <c r="AR153" s="36" t="b">
        <f>IFERROR(__xludf.DUMMYFUNCTION("""COMPUTED_VALUE"""),TRUE)</f>
        <v>1</v>
      </c>
      <c r="AS153" s="57"/>
      <c r="AT153" s="37"/>
      <c r="AU153" s="30"/>
      <c r="AV153" s="30"/>
      <c r="AW153" s="30"/>
      <c r="AX153" s="30"/>
      <c r="AY153" s="30"/>
      <c r="AZ153" s="30"/>
    </row>
    <row r="154">
      <c r="A154" s="30" t="str">
        <f>IFERROR(__xludf.DUMMYFUNCTION("""COMPUTED_VALUE"""),"Challenger")</f>
        <v>Challenger</v>
      </c>
      <c r="B154" s="30" t="str">
        <f>IFERROR(__xludf.DUMMYFUNCTION("""COMPUTED_VALUE"""),"RSC006187")</f>
        <v>RSC006187</v>
      </c>
      <c r="C154" s="30" t="str">
        <f>IFERROR(__xludf.DUMMYFUNCTION("""COMPUTED_VALUE"""),"1985 Fiat Panda")</f>
        <v>1985 Fiat Panda</v>
      </c>
      <c r="D154" s="31" t="str">
        <f>IFERROR(__xludf.DUMMYFUNCTION("""COMPUTED_VALUE"""),"Quarter")</f>
        <v>Quarter</v>
      </c>
      <c r="E154" s="31">
        <f>IFERROR(__xludf.DUMMYFUNCTION("""COMPUTED_VALUE"""),16.73946205887482)</f>
        <v>16.73946206</v>
      </c>
      <c r="F154" s="31">
        <f>IFERROR(__xludf.DUMMYFUNCTION("""COMPUTED_VALUE"""),-10.906348725826268)</f>
        <v>-10.90634873</v>
      </c>
      <c r="G154" s="31">
        <f>IFERROR(__xludf.DUMMYFUNCTION("""COMPUTED_VALUE"""),24.897879720847264)</f>
        <v>24.89787972</v>
      </c>
      <c r="H154" s="31">
        <f>IFERROR(__xludf.DUMMYFUNCTION("""COMPUTED_VALUE"""),-6.342406165006022)</f>
        <v>-6.342406165</v>
      </c>
      <c r="I154" s="54">
        <f>IFERROR(__xludf.DUMMYFUNCTION("""COMPUTED_VALUE"""),41.0)</f>
        <v>41</v>
      </c>
      <c r="J154" s="55">
        <f>IFERROR(__xludf.DUMMYFUNCTION("""COMPUTED_VALUE"""),11.0)</f>
        <v>11</v>
      </c>
      <c r="K154" s="54">
        <f>IFERROR(__xludf.DUMMYFUNCTION("""COMPUTED_VALUE"""),30.0)</f>
        <v>30</v>
      </c>
      <c r="L154" s="56">
        <f>IFERROR(__xludf.DUMMYFUNCTION("""COMPUTED_VALUE"""),0.2682926829268293)</f>
        <v>0.2682926829</v>
      </c>
      <c r="M154" s="56">
        <f>IFERROR(__xludf.DUMMYFUNCTION("""COMPUTED_VALUE"""),0.3235294117647059)</f>
        <v>0.3235294118</v>
      </c>
      <c r="N154" s="31">
        <f>IFERROR(__xludf.DUMMYFUNCTION("""COMPUTED_VALUE"""),300.4878048780488)</f>
        <v>300.4878049</v>
      </c>
      <c r="O154" s="57">
        <f>IFERROR(__xludf.DUMMYFUNCTION("""COMPUTED_VALUE"""),0.5365853658536586)</f>
        <v>0.5365853659</v>
      </c>
      <c r="P154" s="57">
        <f>IFERROR(__xludf.DUMMYFUNCTION("""COMPUTED_VALUE"""),0.2682926829268293)</f>
        <v>0.2682926829</v>
      </c>
      <c r="Q154" s="57">
        <f>IFERROR(__xludf.DUMMYFUNCTION("""COMPUTED_VALUE"""),1.2926829268292683)</f>
        <v>1.292682927</v>
      </c>
      <c r="R154" s="57">
        <f>IFERROR(__xludf.DUMMYFUNCTION("""COMPUTED_VALUE"""),1.6585365853658536)</f>
        <v>1.658536585</v>
      </c>
      <c r="S154" s="31">
        <f>IFERROR(__xludf.DUMMYFUNCTION("""COMPUTED_VALUE"""),350.34959349593487)</f>
        <v>350.3495935</v>
      </c>
      <c r="T154" s="57">
        <f>IFERROR(__xludf.DUMMYFUNCTION("""COMPUTED_VALUE"""),0.934959349593496)</f>
        <v>0.9349593496</v>
      </c>
      <c r="U154" s="57">
        <f>IFERROR(__xludf.DUMMYFUNCTION("""COMPUTED_VALUE"""),0.6260162601626015)</f>
        <v>0.6260162602</v>
      </c>
      <c r="V154" s="57">
        <f>IFERROR(__xludf.DUMMYFUNCTION("""COMPUTED_VALUE"""),0.9837398373983742)</f>
        <v>0.9837398374</v>
      </c>
      <c r="W154" s="57">
        <f>IFERROR(__xludf.DUMMYFUNCTION("""COMPUTED_VALUE"""),2.7804878048780486)</f>
        <v>2.780487805</v>
      </c>
      <c r="X154" s="31">
        <f>IFERROR(__xludf.DUMMYFUNCTION("""COMPUTED_VALUE"""),340.7332221446508)</f>
        <v>340.7332221</v>
      </c>
      <c r="Y154" s="57">
        <f>IFERROR(__xludf.DUMMYFUNCTION("""COMPUTED_VALUE"""),0.7952265061594369)</f>
        <v>0.7952265062</v>
      </c>
      <c r="Z154" s="57">
        <f>IFERROR(__xludf.DUMMYFUNCTION("""COMPUTED_VALUE"""),0.5501033571000937)</f>
        <v>0.5501033571</v>
      </c>
      <c r="AA154" s="57">
        <f>IFERROR(__xludf.DUMMYFUNCTION("""COMPUTED_VALUE"""),1.2232293378153183)</f>
        <v>1.223229338</v>
      </c>
      <c r="AB154" s="57">
        <f>IFERROR(__xludf.DUMMYFUNCTION("""COMPUTED_VALUE"""),2.5082316296268052)</f>
        <v>2.50823163</v>
      </c>
      <c r="AC154" s="31">
        <f>IFERROR(__xludf.DUMMYFUNCTION("""COMPUTED_VALUE"""),335.3943726963004)</f>
        <v>335.3943727</v>
      </c>
      <c r="AD154" s="57">
        <f>IFERROR(__xludf.DUMMYFUNCTION("""COMPUTED_VALUE"""),0.7719683087952075)</f>
        <v>0.7719683088</v>
      </c>
      <c r="AE154" s="57">
        <f>IFERROR(__xludf.DUMMYFUNCTION("""COMPUTED_VALUE"""),0.5112243621455581)</f>
        <v>0.5112243621</v>
      </c>
      <c r="AF154" s="57">
        <f>IFERROR(__xludf.DUMMYFUNCTION("""COMPUTED_VALUE"""),1.2445846393085678)</f>
        <v>1.244584639</v>
      </c>
      <c r="AG154" s="57">
        <f>IFERROR(__xludf.DUMMYFUNCTION("""COMPUTED_VALUE"""),2.4399323069060475)</f>
        <v>2.439932307</v>
      </c>
      <c r="AH154" s="57">
        <f>IFERROR(__xludf.DUMMYFUNCTION("""COMPUTED_VALUE"""),0.8959238119064701)</f>
        <v>0.8959238119</v>
      </c>
      <c r="AI154" s="57">
        <f>IFERROR(__xludf.DUMMYFUNCTION("""COMPUTED_VALUE"""),0.6950872979372619)</f>
        <v>0.6950872979</v>
      </c>
      <c r="AJ154" s="57">
        <f>IFERROR(__xludf.DUMMYFUNCTION("""COMPUTED_VALUE"""),0.5248041814768596)</f>
        <v>0.5248041815</v>
      </c>
      <c r="AK154" s="57">
        <f>IFERROR(__xludf.DUMMYFUNCTION("""COMPUTED_VALUE"""),1.0386460558820827)</f>
        <v>1.038646056</v>
      </c>
      <c r="AL154" s="57">
        <f>IFERROR(__xludf.DUMMYFUNCTION("""COMPUTED_VALUE"""),0.6797469670250641)</f>
        <v>0.679746967</v>
      </c>
      <c r="AM154" s="57">
        <f>IFERROR(__xludf.DUMMYFUNCTION("""COMPUTED_VALUE"""),1.028222582144343)</f>
        <v>1.028222582</v>
      </c>
      <c r="AN154" s="57">
        <f>IFERROR(__xludf.DUMMYFUNCTION("""COMPUTED_VALUE"""),1.1757145195133167)</f>
        <v>1.17571452</v>
      </c>
      <c r="AO154" s="57">
        <f>IFERROR(__xludf.DUMMYFUNCTION("""COMPUTED_VALUE"""),1.1379975273422938)</f>
        <v>1.137997527</v>
      </c>
      <c r="AP154" s="35">
        <f>IFERROR(__xludf.DUMMYFUNCTION("""COMPUTED_VALUE"""),0.8042153723645387)</f>
        <v>0.8042153724</v>
      </c>
      <c r="AQ154" s="57">
        <f>IFERROR(__xludf.DUMMYFUNCTION("""COMPUTED_VALUE"""),1.1085450689782395)</f>
        <v>1.108545069</v>
      </c>
      <c r="AR154" s="36" t="b">
        <f>IFERROR(__xludf.DUMMYFUNCTION("""COMPUTED_VALUE"""),TRUE)</f>
        <v>1</v>
      </c>
      <c r="AS154" s="57"/>
      <c r="AT154" s="37"/>
      <c r="AU154" s="30"/>
      <c r="AV154" s="30"/>
      <c r="AW154" s="30"/>
      <c r="AX154" s="30"/>
      <c r="AY154" s="30"/>
      <c r="AZ154" s="30"/>
    </row>
    <row r="155">
      <c r="A155" s="30" t="str">
        <f>IFERROR(__xludf.DUMMYFUNCTION("""COMPUTED_VALUE"""),"Challenger")</f>
        <v>Challenger</v>
      </c>
      <c r="B155" s="30" t="str">
        <f>IFERROR(__xludf.DUMMYFUNCTION("""COMPUTED_VALUE"""),"RSC006066")</f>
        <v>RSC006066</v>
      </c>
      <c r="C155" s="30" t="str">
        <f>IFERROR(__xludf.DUMMYFUNCTION("""COMPUTED_VALUE"""),"GoldenTiger5")</f>
        <v>GoldenTiger5</v>
      </c>
      <c r="D155" s="31"/>
      <c r="E155" s="31">
        <f>IFERROR(__xludf.DUMMYFUNCTION("""COMPUTED_VALUE"""),16.05904097150315)</f>
        <v>16.05904097</v>
      </c>
      <c r="F155" s="31">
        <f>IFERROR(__xludf.DUMMYFUNCTION("""COMPUTED_VALUE"""),-11.45616676325387)</f>
        <v>-11.45616676</v>
      </c>
      <c r="G155" s="31">
        <f>IFERROR(__xludf.DUMMYFUNCTION("""COMPUTED_VALUE"""),-0.06667857252455889)</f>
        <v>-0.06667857252</v>
      </c>
      <c r="H155" s="31">
        <f>IFERROR(__xludf.DUMMYFUNCTION("""COMPUTED_VALUE"""),-44.23503796470324)</f>
        <v>-44.23503796</v>
      </c>
      <c r="I155" s="54">
        <f>IFERROR(__xludf.DUMMYFUNCTION("""COMPUTED_VALUE"""),4.0)</f>
        <v>4</v>
      </c>
      <c r="J155" s="55">
        <f>IFERROR(__xludf.DUMMYFUNCTION("""COMPUTED_VALUE"""),0.0)</f>
        <v>0</v>
      </c>
      <c r="K155" s="54">
        <f>IFERROR(__xludf.DUMMYFUNCTION("""COMPUTED_VALUE"""),4.0)</f>
        <v>4</v>
      </c>
      <c r="L155" s="56">
        <f>IFERROR(__xludf.DUMMYFUNCTION("""COMPUTED_VALUE"""),0.0)</f>
        <v>0</v>
      </c>
      <c r="M155" s="56">
        <f>IFERROR(__xludf.DUMMYFUNCTION("""COMPUTED_VALUE"""),0.08333333333333333)</f>
        <v>0.08333333333</v>
      </c>
      <c r="N155" s="31">
        <f>IFERROR(__xludf.DUMMYFUNCTION("""COMPUTED_VALUE"""),286.25)</f>
        <v>286.25</v>
      </c>
      <c r="O155" s="57">
        <f>IFERROR(__xludf.DUMMYFUNCTION("""COMPUTED_VALUE"""),0.25)</f>
        <v>0.25</v>
      </c>
      <c r="P155" s="57">
        <f>IFERROR(__xludf.DUMMYFUNCTION("""COMPUTED_VALUE"""),0.25)</f>
        <v>0.25</v>
      </c>
      <c r="Q155" s="57">
        <f>IFERROR(__xludf.DUMMYFUNCTION("""COMPUTED_VALUE"""),1.5)</f>
        <v>1.5</v>
      </c>
      <c r="R155" s="57">
        <f>IFERROR(__xludf.DUMMYFUNCTION("""COMPUTED_VALUE"""),3.0)</f>
        <v>3</v>
      </c>
      <c r="S155" s="31">
        <f>IFERROR(__xludf.DUMMYFUNCTION("""COMPUTED_VALUE"""),483.1666666666667)</f>
        <v>483.1666667</v>
      </c>
      <c r="T155" s="57">
        <f>IFERROR(__xludf.DUMMYFUNCTION("""COMPUTED_VALUE"""),0.8333333333333333)</f>
        <v>0.8333333333</v>
      </c>
      <c r="U155" s="57">
        <f>IFERROR(__xludf.DUMMYFUNCTION("""COMPUTED_VALUE"""),0.41666666666666663)</f>
        <v>0.4166666667</v>
      </c>
      <c r="V155" s="57">
        <f>IFERROR(__xludf.DUMMYFUNCTION("""COMPUTED_VALUE"""),2.4166666666666665)</f>
        <v>2.416666667</v>
      </c>
      <c r="W155" s="57">
        <f>IFERROR(__xludf.DUMMYFUNCTION("""COMPUTED_VALUE"""),3.666666666666667)</f>
        <v>3.666666667</v>
      </c>
      <c r="X155" s="31">
        <f>IFERROR(__xludf.DUMMYFUNCTION("""COMPUTED_VALUE"""),353.7858809257186)</f>
        <v>353.7858809</v>
      </c>
      <c r="Y155" s="57">
        <f>IFERROR(__xludf.DUMMYFUNCTION("""COMPUTED_VALUE"""),0.7863864003981584)</f>
        <v>0.7863864004</v>
      </c>
      <c r="Z155" s="57">
        <f>IFERROR(__xludf.DUMMYFUNCTION("""COMPUTED_VALUE"""),0.4734975737215379)</f>
        <v>0.4734975737</v>
      </c>
      <c r="AA155" s="57">
        <f>IFERROR(__xludf.DUMMYFUNCTION("""COMPUTED_VALUE"""),1.4058184023889513)</f>
        <v>1.405818402</v>
      </c>
      <c r="AB155" s="57">
        <f>IFERROR(__xludf.DUMMYFUNCTION("""COMPUTED_VALUE"""),2.5670492721164613)</f>
        <v>2.567049272</v>
      </c>
      <c r="AC155" s="31">
        <f>IFERROR(__xludf.DUMMYFUNCTION("""COMPUTED_VALUE"""),335.188614636473)</f>
        <v>335.1886146</v>
      </c>
      <c r="AD155" s="57">
        <f>IFERROR(__xludf.DUMMYFUNCTION("""COMPUTED_VALUE"""),0.7390636016755837)</f>
        <v>0.7390636017</v>
      </c>
      <c r="AE155" s="57">
        <f>IFERROR(__xludf.DUMMYFUNCTION("""COMPUTED_VALUE"""),0.5080772261623326)</f>
        <v>0.5080772262</v>
      </c>
      <c r="AF155" s="57">
        <f>IFERROR(__xludf.DUMMYFUNCTION("""COMPUTED_VALUE"""),1.271997221185351)</f>
        <v>1.271997221</v>
      </c>
      <c r="AG155" s="57">
        <f>IFERROR(__xludf.DUMMYFUNCTION("""COMPUTED_VALUE"""),2.591656816390859)</f>
        <v>2.591656816</v>
      </c>
      <c r="AH155" s="57">
        <f>IFERROR(__xludf.DUMMYFUNCTION("""COMPUTED_VALUE"""),0.8539967871833919)</f>
        <v>0.8539967872</v>
      </c>
      <c r="AI155" s="57">
        <f>IFERROR(__xludf.DUMMYFUNCTION("""COMPUTED_VALUE"""),0.33826588054560824)</f>
        <v>0.3382658805</v>
      </c>
      <c r="AJ155" s="57">
        <f>IFERROR(__xludf.DUMMYFUNCTION("""COMPUTED_VALUE"""),0.49205118262892583)</f>
        <v>0.4920511826</v>
      </c>
      <c r="AK155" s="57">
        <f>IFERROR(__xludf.DUMMYFUNCTION("""COMPUTED_VALUE"""),1.1792478592069386)</f>
        <v>1.179247859</v>
      </c>
      <c r="AL155" s="57">
        <f>IFERROR(__xludf.DUMMYFUNCTION("""COMPUTED_VALUE"""),1.1575606696946086)</f>
        <v>1.15756067</v>
      </c>
      <c r="AM155" s="57">
        <f>IFERROR(__xludf.DUMMYFUNCTION("""COMPUTED_VALUE"""),1.3657036436909507)</f>
        <v>1.365703644</v>
      </c>
      <c r="AN155" s="57">
        <f>IFERROR(__xludf.DUMMYFUNCTION("""COMPUTED_VALUE"""),1.059699573786379)</f>
        <v>1.059699574</v>
      </c>
      <c r="AO155" s="57">
        <f>IFERROR(__xludf.DUMMYFUNCTION("""COMPUTED_VALUE"""),0.8799763500197082)</f>
        <v>0.87997635</v>
      </c>
      <c r="AP155" s="35">
        <f>IFERROR(__xludf.DUMMYFUNCTION("""COMPUTED_VALUE"""),1.7190461175923926)</f>
        <v>1.719046118</v>
      </c>
      <c r="AQ155" s="57">
        <f>IFERROR(__xludf.DUMMYFUNCTION("""COMPUTED_VALUE"""),1.4283585073704492)</f>
        <v>1.428358507</v>
      </c>
      <c r="AR155" s="36" t="b">
        <f>IFERROR(__xludf.DUMMYFUNCTION("""COMPUTED_VALUE"""),TRUE)</f>
        <v>1</v>
      </c>
      <c r="AS155" s="57"/>
      <c r="AT155" s="37"/>
      <c r="AU155" s="30"/>
      <c r="AV155" s="30"/>
      <c r="AW155" s="30"/>
      <c r="AX155" s="30"/>
      <c r="AY155" s="30"/>
      <c r="AZ155" s="30"/>
    </row>
    <row r="156">
      <c r="A156" s="30" t="str">
        <f>IFERROR(__xludf.DUMMYFUNCTION("""COMPUTED_VALUE"""),"Challenger")</f>
        <v>Challenger</v>
      </c>
      <c r="B156" s="30" t="str">
        <f>IFERROR(__xludf.DUMMYFUNCTION("""COMPUTED_VALUE"""),"RSC006413")</f>
        <v>RSC006413</v>
      </c>
      <c r="C156" s="30" t="str">
        <f>IFERROR(__xludf.DUMMYFUNCTION("""COMPUTED_VALUE"""),"BlueFlre")</f>
        <v>BlueFlre</v>
      </c>
      <c r="D156" s="31" t="str">
        <f>IFERROR(__xludf.DUMMYFUNCTION("""COMPUTED_VALUE"""),"Shade")</f>
        <v>Shade</v>
      </c>
      <c r="E156" s="31">
        <f>IFERROR(__xludf.DUMMYFUNCTION("""COMPUTED_VALUE"""),14.425740645634086)</f>
        <v>14.42574065</v>
      </c>
      <c r="F156" s="31">
        <f>IFERROR(__xludf.DUMMYFUNCTION("""COMPUTED_VALUE"""),-12.924510086205405)</f>
        <v>-12.92451009</v>
      </c>
      <c r="G156" s="31">
        <f>IFERROR(__xludf.DUMMYFUNCTION("""COMPUTED_VALUE"""),25.748159859337722)</f>
        <v>25.74815986</v>
      </c>
      <c r="H156" s="31">
        <f>IFERROR(__xludf.DUMMYFUNCTION("""COMPUTED_VALUE"""),-6.023918492664172)</f>
        <v>-6.023918493</v>
      </c>
      <c r="I156" s="54">
        <f>IFERROR(__xludf.DUMMYFUNCTION("""COMPUTED_VALUE"""),26.0)</f>
        <v>26</v>
      </c>
      <c r="J156" s="55">
        <f>IFERROR(__xludf.DUMMYFUNCTION("""COMPUTED_VALUE"""),10.0)</f>
        <v>10</v>
      </c>
      <c r="K156" s="54">
        <f>IFERROR(__xludf.DUMMYFUNCTION("""COMPUTED_VALUE"""),16.0)</f>
        <v>16</v>
      </c>
      <c r="L156" s="56">
        <f>IFERROR(__xludf.DUMMYFUNCTION("""COMPUTED_VALUE"""),0.38461538461538464)</f>
        <v>0.3846153846</v>
      </c>
      <c r="M156" s="56">
        <f>IFERROR(__xludf.DUMMYFUNCTION("""COMPUTED_VALUE"""),0.23404255319148937)</f>
        <v>0.2340425532</v>
      </c>
      <c r="N156" s="31">
        <f>IFERROR(__xludf.DUMMYFUNCTION("""COMPUTED_VALUE"""),262.8076923076923)</f>
        <v>262.8076923</v>
      </c>
      <c r="O156" s="57">
        <f>IFERROR(__xludf.DUMMYFUNCTION("""COMPUTED_VALUE"""),0.4230769230769231)</f>
        <v>0.4230769231</v>
      </c>
      <c r="P156" s="57">
        <f>IFERROR(__xludf.DUMMYFUNCTION("""COMPUTED_VALUE"""),0.2692307692307692)</f>
        <v>0.2692307692</v>
      </c>
      <c r="Q156" s="57">
        <f>IFERROR(__xludf.DUMMYFUNCTION("""COMPUTED_VALUE"""),0.9615384615384616)</f>
        <v>0.9615384615</v>
      </c>
      <c r="R156" s="57">
        <f>IFERROR(__xludf.DUMMYFUNCTION("""COMPUTED_VALUE"""),1.8076923076923077)</f>
        <v>1.807692308</v>
      </c>
      <c r="S156" s="31">
        <f>IFERROR(__xludf.DUMMYFUNCTION("""COMPUTED_VALUE"""),333.43589743589746)</f>
        <v>333.4358974</v>
      </c>
      <c r="T156" s="57">
        <f>IFERROR(__xludf.DUMMYFUNCTION("""COMPUTED_VALUE"""),0.7948717948717949)</f>
        <v>0.7948717949</v>
      </c>
      <c r="U156" s="57">
        <f>IFERROR(__xludf.DUMMYFUNCTION("""COMPUTED_VALUE"""),0.5128205128205129)</f>
        <v>0.5128205128</v>
      </c>
      <c r="V156" s="57">
        <f>IFERROR(__xludf.DUMMYFUNCTION("""COMPUTED_VALUE"""),1.2564102564102564)</f>
        <v>1.256410256</v>
      </c>
      <c r="W156" s="57">
        <f>IFERROR(__xludf.DUMMYFUNCTION("""COMPUTED_VALUE"""),2.141025641025641)</f>
        <v>2.141025641</v>
      </c>
      <c r="X156" s="31">
        <f>IFERROR(__xludf.DUMMYFUNCTION("""COMPUTED_VALUE"""),330.02939590066336)</f>
        <v>330.0293959</v>
      </c>
      <c r="Y156" s="57">
        <f>IFERROR(__xludf.DUMMYFUNCTION("""COMPUTED_VALUE"""),0.755809324587456)</f>
        <v>0.7558093246</v>
      </c>
      <c r="Z156" s="57">
        <f>IFERROR(__xludf.DUMMYFUNCTION("""COMPUTED_VALUE"""),0.5002876845083198)</f>
        <v>0.5002876845</v>
      </c>
      <c r="AA156" s="57">
        <f>IFERROR(__xludf.DUMMYFUNCTION("""COMPUTED_VALUE"""),1.2220749694279975)</f>
        <v>1.222074969</v>
      </c>
      <c r="AB156" s="57">
        <f>IFERROR(__xludf.DUMMYFUNCTION("""COMPUTED_VALUE"""),2.3800743067676216)</f>
        <v>2.380074307</v>
      </c>
      <c r="AC156" s="31">
        <f>IFERROR(__xludf.DUMMYFUNCTION("""COMPUTED_VALUE"""),331.69969027449855)</f>
        <v>331.6996903</v>
      </c>
      <c r="AD156" s="57">
        <f>IFERROR(__xludf.DUMMYFUNCTION("""COMPUTED_VALUE"""),0.7559471569202731)</f>
        <v>0.7559471569</v>
      </c>
      <c r="AE156" s="57">
        <f>IFERROR(__xludf.DUMMYFUNCTION("""COMPUTED_VALUE"""),0.5386659317697002)</f>
        <v>0.5386659318</v>
      </c>
      <c r="AF156" s="57">
        <f>IFERROR(__xludf.DUMMYFUNCTION("""COMPUTED_VALUE"""),1.1896878251146328)</f>
        <v>1.189687825</v>
      </c>
      <c r="AG156" s="57">
        <f>IFERROR(__xludf.DUMMYFUNCTION("""COMPUTED_VALUE"""),2.4512045806694336)</f>
        <v>2.451204581</v>
      </c>
      <c r="AH156" s="57">
        <f>IFERROR(__xludf.DUMMYFUNCTION("""COMPUTED_VALUE"""),0.7923061130693413)</f>
        <v>0.7923061131</v>
      </c>
      <c r="AI156" s="57">
        <f>IFERROR(__xludf.DUMMYFUNCTION("""COMPUTED_VALUE"""),0.5596646792092418)</f>
        <v>0.5596646792</v>
      </c>
      <c r="AJ156" s="57">
        <f>IFERROR(__xludf.DUMMYFUNCTION("""COMPUTED_VALUE"""),0.4998102782298759)</f>
        <v>0.4998102782</v>
      </c>
      <c r="AK156" s="57">
        <f>IFERROR(__xludf.DUMMYFUNCTION("""COMPUTED_VALUE"""),0.8082275377120988)</f>
        <v>0.8082275377</v>
      </c>
      <c r="AL156" s="57">
        <f>IFERROR(__xludf.DUMMYFUNCTION("""COMPUTED_VALUE"""),0.7374710058670908)</f>
        <v>0.7374710059</v>
      </c>
      <c r="AM156" s="57">
        <f>IFERROR(__xludf.DUMMYFUNCTION("""COMPUTED_VALUE"""),1.010321812473515)</f>
        <v>1.010321812</v>
      </c>
      <c r="AN156" s="57">
        <f>IFERROR(__xludf.DUMMYFUNCTION("""COMPUTED_VALUE"""),1.051682969518351)</f>
        <v>1.05168297</v>
      </c>
      <c r="AO156" s="57">
        <f>IFERROR(__xludf.DUMMYFUNCTION("""COMPUTED_VALUE"""),1.0250512429153842)</f>
        <v>1.025051243</v>
      </c>
      <c r="AP156" s="35">
        <f>IFERROR(__xludf.DUMMYFUNCTION("""COMPUTED_VALUE"""),1.028095892511676)</f>
        <v>1.028095893</v>
      </c>
      <c r="AQ156" s="57">
        <f>IFERROR(__xludf.DUMMYFUNCTION("""COMPUTED_VALUE"""),0.8995625199338282)</f>
        <v>0.8995625199</v>
      </c>
      <c r="AR156" s="36" t="b">
        <f>IFERROR(__xludf.DUMMYFUNCTION("""COMPUTED_VALUE"""),TRUE)</f>
        <v>1</v>
      </c>
      <c r="AS156" s="57"/>
      <c r="AT156" s="37"/>
      <c r="AU156" s="30"/>
      <c r="AV156" s="30"/>
      <c r="AW156" s="30"/>
      <c r="AX156" s="30"/>
      <c r="AY156" s="30"/>
      <c r="AZ156" s="30"/>
    </row>
    <row r="157">
      <c r="A157" s="30" t="str">
        <f>IFERROR(__xludf.DUMMYFUNCTION("""COMPUTED_VALUE"""),"Challenger")</f>
        <v>Challenger</v>
      </c>
      <c r="B157" s="30" t="str">
        <f>IFERROR(__xludf.DUMMYFUNCTION("""COMPUTED_VALUE"""),"RSC005154")</f>
        <v>RSC005154</v>
      </c>
      <c r="C157" s="30" t="str">
        <f>IFERROR(__xludf.DUMMYFUNCTION("""COMPUTED_VALUE"""),"TacoBae")</f>
        <v>TacoBae</v>
      </c>
      <c r="D157" s="31" t="str">
        <f>IFERROR(__xludf.DUMMYFUNCTION("""COMPUTED_VALUE"""),"Jock O Lanterns")</f>
        <v>Jock O Lanterns</v>
      </c>
      <c r="E157" s="31">
        <f>IFERROR(__xludf.DUMMYFUNCTION("""COMPUTED_VALUE"""),12.441989256634997)</f>
        <v>12.44198926</v>
      </c>
      <c r="F157" s="31">
        <f>IFERROR(__xludf.DUMMYFUNCTION("""COMPUTED_VALUE"""),-15.035968860873728)</f>
        <v>-15.03596886</v>
      </c>
      <c r="G157" s="31">
        <f>IFERROR(__xludf.DUMMYFUNCTION("""COMPUTED_VALUE"""),16.31024516970229)</f>
        <v>16.31024517</v>
      </c>
      <c r="H157" s="31">
        <f>IFERROR(__xludf.DUMMYFUNCTION("""COMPUTED_VALUE"""),-11.249212284145957)</f>
        <v>-11.24921228</v>
      </c>
      <c r="I157" s="54">
        <f>IFERROR(__xludf.DUMMYFUNCTION("""COMPUTED_VALUE"""),35.0)</f>
        <v>35</v>
      </c>
      <c r="J157" s="55">
        <f>IFERROR(__xludf.DUMMYFUNCTION("""COMPUTED_VALUE"""),10.0)</f>
        <v>10</v>
      </c>
      <c r="K157" s="54">
        <f>IFERROR(__xludf.DUMMYFUNCTION("""COMPUTED_VALUE"""),25.0)</f>
        <v>25</v>
      </c>
      <c r="L157" s="56">
        <f>IFERROR(__xludf.DUMMYFUNCTION("""COMPUTED_VALUE"""),0.2857142857142857)</f>
        <v>0.2857142857</v>
      </c>
      <c r="M157" s="56">
        <f>IFERROR(__xludf.DUMMYFUNCTION("""COMPUTED_VALUE"""),0.23076923076923075)</f>
        <v>0.2307692308</v>
      </c>
      <c r="N157" s="31">
        <f>IFERROR(__xludf.DUMMYFUNCTION("""COMPUTED_VALUE"""),249.94285714285715)</f>
        <v>249.9428571</v>
      </c>
      <c r="O157" s="57">
        <f>IFERROR(__xludf.DUMMYFUNCTION("""COMPUTED_VALUE"""),0.42857142857142855)</f>
        <v>0.4285714286</v>
      </c>
      <c r="P157" s="57">
        <f>IFERROR(__xludf.DUMMYFUNCTION("""COMPUTED_VALUE"""),0.45714285714285713)</f>
        <v>0.4571428571</v>
      </c>
      <c r="Q157" s="57">
        <f>IFERROR(__xludf.DUMMYFUNCTION("""COMPUTED_VALUE"""),0.8571428571428571)</f>
        <v>0.8571428571</v>
      </c>
      <c r="R157" s="57">
        <f>IFERROR(__xludf.DUMMYFUNCTION("""COMPUTED_VALUE"""),1.8571428571428572)</f>
        <v>1.857142857</v>
      </c>
      <c r="S157" s="31">
        <f>IFERROR(__xludf.DUMMYFUNCTION("""COMPUTED_VALUE"""),376.86666666666673)</f>
        <v>376.8666667</v>
      </c>
      <c r="T157" s="57">
        <f>IFERROR(__xludf.DUMMYFUNCTION("""COMPUTED_VALUE"""),1.0952380952380953)</f>
        <v>1.095238095</v>
      </c>
      <c r="U157" s="57">
        <f>IFERROR(__xludf.DUMMYFUNCTION("""COMPUTED_VALUE"""),0.7047619047619047)</f>
        <v>0.7047619048</v>
      </c>
      <c r="V157" s="57">
        <f>IFERROR(__xludf.DUMMYFUNCTION("""COMPUTED_VALUE"""),1.1238095238095238)</f>
        <v>1.123809524</v>
      </c>
      <c r="W157" s="57">
        <f>IFERROR(__xludf.DUMMYFUNCTION("""COMPUTED_VALUE"""),2.5999999999999996)</f>
        <v>2.6</v>
      </c>
      <c r="X157" s="31">
        <f>IFERROR(__xludf.DUMMYFUNCTION("""COMPUTED_VALUE"""),338.3675415026173)</f>
        <v>338.3675415</v>
      </c>
      <c r="Y157" s="57">
        <f>IFERROR(__xludf.DUMMYFUNCTION("""COMPUTED_VALUE"""),0.7678268543833644)</f>
        <v>0.7678268544</v>
      </c>
      <c r="Z157" s="57">
        <f>IFERROR(__xludf.DUMMYFUNCTION("""COMPUTED_VALUE"""),0.5155834138774298)</f>
        <v>0.5155834139</v>
      </c>
      <c r="AA157" s="57">
        <f>IFERROR(__xludf.DUMMYFUNCTION("""COMPUTED_VALUE"""),1.262774397718004)</f>
        <v>1.262774398</v>
      </c>
      <c r="AB157" s="57">
        <f>IFERROR(__xludf.DUMMYFUNCTION("""COMPUTED_VALUE"""),2.4633153854027703)</f>
        <v>2.463315385</v>
      </c>
      <c r="AC157" s="31">
        <f>IFERROR(__xludf.DUMMYFUNCTION("""COMPUTED_VALUE"""),336.72790525952615)</f>
        <v>336.7279053</v>
      </c>
      <c r="AD157" s="57">
        <f>IFERROR(__xludf.DUMMYFUNCTION("""COMPUTED_VALUE"""),0.7620304020458091)</f>
        <v>0.762030402</v>
      </c>
      <c r="AE157" s="57">
        <f>IFERROR(__xludf.DUMMYFUNCTION("""COMPUTED_VALUE"""),0.5161809612339935)</f>
        <v>0.5161809612</v>
      </c>
      <c r="AF157" s="57">
        <f>IFERROR(__xludf.DUMMYFUNCTION("""COMPUTED_VALUE"""),1.223715138423004)</f>
        <v>1.223715138</v>
      </c>
      <c r="AG157" s="57">
        <f>IFERROR(__xludf.DUMMYFUNCTION("""COMPUTED_VALUE"""),2.451979395506687)</f>
        <v>2.451979396</v>
      </c>
      <c r="AH157" s="57">
        <f>IFERROR(__xludf.DUMMYFUNCTION("""COMPUTED_VALUE"""),0.7422695097105741)</f>
        <v>0.7422695097</v>
      </c>
      <c r="AI157" s="57">
        <f>IFERROR(__xludf.DUMMYFUNCTION("""COMPUTED_VALUE"""),0.5624072575330993)</f>
        <v>0.5624072575</v>
      </c>
      <c r="AJ157" s="57">
        <f>IFERROR(__xludf.DUMMYFUNCTION("""COMPUTED_VALUE"""),0.8856251808474327)</f>
        <v>0.8856251808</v>
      </c>
      <c r="AK157" s="57">
        <f>IFERROR(__xludf.DUMMYFUNCTION("""COMPUTED_VALUE"""),0.7004431262061962)</f>
        <v>0.7004431262</v>
      </c>
      <c r="AL157" s="57">
        <f>IFERROR(__xludf.DUMMYFUNCTION("""COMPUTED_VALUE"""),0.7574055722271229)</f>
        <v>0.7574055722</v>
      </c>
      <c r="AM157" s="57">
        <f>IFERROR(__xludf.DUMMYFUNCTION("""COMPUTED_VALUE"""),1.1137790137703016)</f>
        <v>1.113779014</v>
      </c>
      <c r="AN157" s="57">
        <f>IFERROR(__xludf.DUMMYFUNCTION("""COMPUTED_VALUE"""),1.4264128546502484)</f>
        <v>1.426412855</v>
      </c>
      <c r="AO157" s="57">
        <f>IFERROR(__xludf.DUMMYFUNCTION("""COMPUTED_VALUE"""),1.3669212115683933)</f>
        <v>1.366921212</v>
      </c>
      <c r="AP157" s="35">
        <f>IFERROR(__xludf.DUMMYFUNCTION("""COMPUTED_VALUE"""),0.889952730939424)</f>
        <v>0.8899527309</v>
      </c>
      <c r="AQ157" s="57">
        <f>IFERROR(__xludf.DUMMYFUNCTION("""COMPUTED_VALUE"""),1.0554880692124124)</f>
        <v>1.055488069</v>
      </c>
      <c r="AR157" s="36" t="b">
        <f>IFERROR(__xludf.DUMMYFUNCTION("""COMPUTED_VALUE"""),TRUE)</f>
        <v>1</v>
      </c>
      <c r="AS157" s="57"/>
      <c r="AT157" s="37"/>
      <c r="AU157" s="30"/>
      <c r="AV157" s="30"/>
      <c r="AW157" s="30"/>
      <c r="AX157" s="30"/>
      <c r="AY157" s="30"/>
      <c r="AZ157" s="30"/>
    </row>
    <row r="158">
      <c r="A158" s="30" t="str">
        <f>IFERROR(__xludf.DUMMYFUNCTION("""COMPUTED_VALUE"""),"Challenger")</f>
        <v>Challenger</v>
      </c>
      <c r="B158" s="30" t="str">
        <f>IFERROR(__xludf.DUMMYFUNCTION("""COMPUTED_VALUE"""),"RSC007447")</f>
        <v>RSC007447</v>
      </c>
      <c r="C158" s="30" t="str">
        <f>IFERROR(__xludf.DUMMYFUNCTION("""COMPUTED_VALUE"""),"1R3IGN")</f>
        <v>1R3IGN</v>
      </c>
      <c r="D158" s="31"/>
      <c r="E158" s="31">
        <f>IFERROR(__xludf.DUMMYFUNCTION("""COMPUTED_VALUE"""),12.423715024782481)</f>
        <v>12.42371502</v>
      </c>
      <c r="F158" s="31">
        <f>IFERROR(__xludf.DUMMYFUNCTION("""COMPUTED_VALUE"""),-15.057316783972642)</f>
        <v>-15.05731678</v>
      </c>
      <c r="G158" s="31">
        <f>IFERROR(__xludf.DUMMYFUNCTION("""COMPUTED_VALUE"""),20.622399750707388)</f>
        <v>20.62239975</v>
      </c>
      <c r="H158" s="31">
        <f>IFERROR(__xludf.DUMMYFUNCTION("""COMPUTED_VALUE"""),-8.334961895412254)</f>
        <v>-8.334961895</v>
      </c>
      <c r="I158" s="54">
        <f>IFERROR(__xludf.DUMMYFUNCTION("""COMPUTED_VALUE"""),10.0)</f>
        <v>10</v>
      </c>
      <c r="J158" s="55">
        <f>IFERROR(__xludf.DUMMYFUNCTION("""COMPUTED_VALUE"""),3.0)</f>
        <v>3</v>
      </c>
      <c r="K158" s="54">
        <f>IFERROR(__xludf.DUMMYFUNCTION("""COMPUTED_VALUE"""),7.0)</f>
        <v>7</v>
      </c>
      <c r="L158" s="56">
        <f>IFERROR(__xludf.DUMMYFUNCTION("""COMPUTED_VALUE"""),0.3)</f>
        <v>0.3</v>
      </c>
      <c r="M158" s="56">
        <f>IFERROR(__xludf.DUMMYFUNCTION("""COMPUTED_VALUE"""),0.35714285714285715)</f>
        <v>0.3571428571</v>
      </c>
      <c r="N158" s="31">
        <f>IFERROR(__xludf.DUMMYFUNCTION("""COMPUTED_VALUE"""),228.9)</f>
        <v>228.9</v>
      </c>
      <c r="O158" s="57">
        <f>IFERROR(__xludf.DUMMYFUNCTION("""COMPUTED_VALUE"""),0.5)</f>
        <v>0.5</v>
      </c>
      <c r="P158" s="57">
        <f>IFERROR(__xludf.DUMMYFUNCTION("""COMPUTED_VALUE"""),0.4)</f>
        <v>0.4</v>
      </c>
      <c r="Q158" s="57">
        <f>IFERROR(__xludf.DUMMYFUNCTION("""COMPUTED_VALUE"""),0.7)</f>
        <v>0.7</v>
      </c>
      <c r="R158" s="57">
        <f>IFERROR(__xludf.DUMMYFUNCTION("""COMPUTED_VALUE"""),1.4)</f>
        <v>1.4</v>
      </c>
      <c r="S158" s="31">
        <f>IFERROR(__xludf.DUMMYFUNCTION("""COMPUTED_VALUE"""),331.49999999999994)</f>
        <v>331.5</v>
      </c>
      <c r="T158" s="57">
        <f>IFERROR(__xludf.DUMMYFUNCTION("""COMPUTED_VALUE"""),0.8666666666666666)</f>
        <v>0.8666666667</v>
      </c>
      <c r="U158" s="57">
        <f>IFERROR(__xludf.DUMMYFUNCTION("""COMPUTED_VALUE"""),0.5666666666666667)</f>
        <v>0.5666666667</v>
      </c>
      <c r="V158" s="57">
        <f>IFERROR(__xludf.DUMMYFUNCTION("""COMPUTED_VALUE"""),0.9333333333333333)</f>
        <v>0.9333333333</v>
      </c>
      <c r="W158" s="57">
        <f>IFERROR(__xludf.DUMMYFUNCTION("""COMPUTED_VALUE"""),2.2)</f>
        <v>2.2</v>
      </c>
      <c r="X158" s="31">
        <f>IFERROR(__xludf.DUMMYFUNCTION("""COMPUTED_VALUE"""),323.34887677711384)</f>
        <v>323.3488768</v>
      </c>
      <c r="Y158" s="57">
        <f>IFERROR(__xludf.DUMMYFUNCTION("""COMPUTED_VALUE"""),0.7884025469691001)</f>
        <v>0.788402547</v>
      </c>
      <c r="Z158" s="57">
        <f>IFERROR(__xludf.DUMMYFUNCTION("""COMPUTED_VALUE"""),0.4916109228533491)</f>
        <v>0.4916109229</v>
      </c>
      <c r="AA158" s="57">
        <f>IFERROR(__xludf.DUMMYFUNCTION("""COMPUTED_VALUE"""),1.0907781893846464)</f>
        <v>1.090778189</v>
      </c>
      <c r="AB158" s="57">
        <f>IFERROR(__xludf.DUMMYFUNCTION("""COMPUTED_VALUE"""),2.3659040095041224)</f>
        <v>2.36590401</v>
      </c>
      <c r="AC158" s="31">
        <f>IFERROR(__xludf.DUMMYFUNCTION("""COMPUTED_VALUE"""),333.64172264041935)</f>
        <v>333.6417226</v>
      </c>
      <c r="AD158" s="57">
        <f>IFERROR(__xludf.DUMMYFUNCTION("""COMPUTED_VALUE"""),0.7990501842135196)</f>
        <v>0.7990501842</v>
      </c>
      <c r="AE158" s="57">
        <f>IFERROR(__xludf.DUMMYFUNCTION("""COMPUTED_VALUE"""),0.5427952965500058)</f>
        <v>0.5427952966</v>
      </c>
      <c r="AF158" s="57">
        <f>IFERROR(__xludf.DUMMYFUNCTION("""COMPUTED_VALUE"""),1.179030402463605)</f>
        <v>1.179030402</v>
      </c>
      <c r="AG158" s="57">
        <f>IFERROR(__xludf.DUMMYFUNCTION("""COMPUTED_VALUE"""),2.4025933895133194)</f>
        <v>2.40259339</v>
      </c>
      <c r="AH158" s="57">
        <f>IFERROR(__xludf.DUMMYFUNCTION("""COMPUTED_VALUE"""),0.686065274416221)</f>
        <v>0.6860652744</v>
      </c>
      <c r="AI158" s="57">
        <f>IFERROR(__xludf.DUMMYFUNCTION("""COMPUTED_VALUE"""),0.6257429256363097)</f>
        <v>0.6257429256</v>
      </c>
      <c r="AJ158" s="57">
        <f>IFERROR(__xludf.DUMMYFUNCTION("""COMPUTED_VALUE"""),0.7369260613391285)</f>
        <v>0.7369260613</v>
      </c>
      <c r="AK158" s="57">
        <f>IFERROR(__xludf.DUMMYFUNCTION("""COMPUTED_VALUE"""),0.5937081847400522)</f>
        <v>0.5937081847</v>
      </c>
      <c r="AL158" s="57">
        <f>IFERROR(__xludf.DUMMYFUNCTION("""COMPUTED_VALUE"""),0.5827036759988716)</f>
        <v>0.582703676</v>
      </c>
      <c r="AM158" s="57">
        <f>IFERROR(__xludf.DUMMYFUNCTION("""COMPUTED_VALUE"""),1.025208447618962)</f>
        <v>1.025208448</v>
      </c>
      <c r="AN158" s="57">
        <f>IFERROR(__xludf.DUMMYFUNCTION("""COMPUTED_VALUE"""),1.099269237521418)</f>
        <v>1.099269238</v>
      </c>
      <c r="AO158" s="57">
        <f>IFERROR(__xludf.DUMMYFUNCTION("""COMPUTED_VALUE"""),1.1526730597800554)</f>
        <v>1.15267306</v>
      </c>
      <c r="AP158" s="35">
        <f>IFERROR(__xludf.DUMMYFUNCTION("""COMPUTED_VALUE"""),0.8556582286082065)</f>
        <v>0.8556582286</v>
      </c>
      <c r="AQ158" s="57">
        <f>IFERROR(__xludf.DUMMYFUNCTION("""COMPUTED_VALUE"""),0.92987711722975)</f>
        <v>0.9298771172</v>
      </c>
      <c r="AR158" s="36" t="b">
        <f>IFERROR(__xludf.DUMMYFUNCTION("""COMPUTED_VALUE"""),TRUE)</f>
        <v>1</v>
      </c>
      <c r="AS158" s="57"/>
      <c r="AT158" s="37"/>
      <c r="AU158" s="30"/>
      <c r="AV158" s="30"/>
      <c r="AW158" s="30"/>
      <c r="AX158" s="30"/>
      <c r="AY158" s="30"/>
      <c r="AZ158" s="30"/>
    </row>
    <row r="159">
      <c r="A159" s="30" t="str">
        <f>IFERROR(__xludf.DUMMYFUNCTION("""COMPUTED_VALUE"""),"Challenger")</f>
        <v>Challenger</v>
      </c>
      <c r="B159" s="30" t="str">
        <f>IFERROR(__xludf.DUMMYFUNCTION("""COMPUTED_VALUE"""),"RSC004902")</f>
        <v>RSC004902</v>
      </c>
      <c r="C159" s="30" t="str">
        <f>IFERROR(__xludf.DUMMYFUNCTION("""COMPUTED_VALUE"""),"cuse42")</f>
        <v>cuse42</v>
      </c>
      <c r="D159" s="31" t="str">
        <f>IFERROR(__xludf.DUMMYFUNCTION("""COMPUTED_VALUE"""),"Hydras")</f>
        <v>Hydras</v>
      </c>
      <c r="E159" s="31">
        <f>IFERROR(__xludf.DUMMYFUNCTION("""COMPUTED_VALUE"""),11.955521801226901)</f>
        <v>11.9555218</v>
      </c>
      <c r="F159" s="31">
        <f>IFERROR(__xludf.DUMMYFUNCTION("""COMPUTED_VALUE"""),-15.6171386011936)</f>
        <v>-15.6171386</v>
      </c>
      <c r="G159" s="31">
        <f>IFERROR(__xludf.DUMMYFUNCTION("""COMPUTED_VALUE"""),-9.40796810291802)</f>
        <v>-9.407968103</v>
      </c>
      <c r="H159" s="31">
        <f>IFERROR(__xludf.DUMMYFUNCTION("""COMPUTED_VALUE"""),-114.37491932346835)</f>
        <v>-114.3749193</v>
      </c>
      <c r="I159" s="54">
        <f>IFERROR(__xludf.DUMMYFUNCTION("""COMPUTED_VALUE"""),3.0)</f>
        <v>3</v>
      </c>
      <c r="J159" s="55">
        <f>IFERROR(__xludf.DUMMYFUNCTION("""COMPUTED_VALUE"""),0.0)</f>
        <v>0</v>
      </c>
      <c r="K159" s="54">
        <f>IFERROR(__xludf.DUMMYFUNCTION("""COMPUTED_VALUE"""),3.0)</f>
        <v>3</v>
      </c>
      <c r="L159" s="56">
        <f>IFERROR(__xludf.DUMMYFUNCTION("""COMPUTED_VALUE"""),0.0)</f>
        <v>0</v>
      </c>
      <c r="M159" s="56">
        <f>IFERROR(__xludf.DUMMYFUNCTION("""COMPUTED_VALUE"""),0.19999999999999998)</f>
        <v>0.2</v>
      </c>
      <c r="N159" s="31">
        <f>IFERROR(__xludf.DUMMYFUNCTION("""COMPUTED_VALUE"""),232.0)</f>
        <v>232</v>
      </c>
      <c r="O159" s="57">
        <f>IFERROR(__xludf.DUMMYFUNCTION("""COMPUTED_VALUE"""),0.3333333333333333)</f>
        <v>0.3333333333</v>
      </c>
      <c r="P159" s="57">
        <f>IFERROR(__xludf.DUMMYFUNCTION("""COMPUTED_VALUE"""),0.6666666666666666)</f>
        <v>0.6666666667</v>
      </c>
      <c r="Q159" s="57">
        <f>IFERROR(__xludf.DUMMYFUNCTION("""COMPUTED_VALUE"""),1.0)</f>
        <v>1</v>
      </c>
      <c r="R159" s="57">
        <f>IFERROR(__xludf.DUMMYFUNCTION("""COMPUTED_VALUE"""),1.6666666666666667)</f>
        <v>1.666666667</v>
      </c>
      <c r="S159" s="31">
        <f>IFERROR(__xludf.DUMMYFUNCTION("""COMPUTED_VALUE"""),457.5555555555555)</f>
        <v>457.5555556</v>
      </c>
      <c r="T159" s="57">
        <f>IFERROR(__xludf.DUMMYFUNCTION("""COMPUTED_VALUE"""),1.4444444444444446)</f>
        <v>1.444444444</v>
      </c>
      <c r="U159" s="57">
        <f>IFERROR(__xludf.DUMMYFUNCTION("""COMPUTED_VALUE"""),1.222222222222222)</f>
        <v>1.222222222</v>
      </c>
      <c r="V159" s="57">
        <f>IFERROR(__xludf.DUMMYFUNCTION("""COMPUTED_VALUE"""),1.1111111111111112)</f>
        <v>1.111111111</v>
      </c>
      <c r="W159" s="57">
        <f>IFERROR(__xludf.DUMMYFUNCTION("""COMPUTED_VALUE"""),4.0)</f>
        <v>4</v>
      </c>
      <c r="X159" s="31">
        <f>IFERROR(__xludf.DUMMYFUNCTION("""COMPUTED_VALUE"""),381.52956152530356)</f>
        <v>381.5295615</v>
      </c>
      <c r="Y159" s="57">
        <f>IFERROR(__xludf.DUMMYFUNCTION("""COMPUTED_VALUE"""),0.9940452654799836)</f>
        <v>0.9940452655</v>
      </c>
      <c r="Z159" s="57">
        <f>IFERROR(__xludf.DUMMYFUNCTION("""COMPUTED_VALUE"""),0.7286032463499494)</f>
        <v>0.7286032463</v>
      </c>
      <c r="AA159" s="57">
        <f>IFERROR(__xludf.DUMMYFUNCTION("""COMPUTED_VALUE"""),1.2784642957742802)</f>
        <v>1.278464296</v>
      </c>
      <c r="AB159" s="57">
        <f>IFERROR(__xludf.DUMMYFUNCTION("""COMPUTED_VALUE"""),3.056283456070045)</f>
        <v>3.056283456</v>
      </c>
      <c r="AC159" s="31">
        <f>IFERROR(__xludf.DUMMYFUNCTION("""COMPUTED_VALUE"""),326.8209332615072)</f>
        <v>326.8209333</v>
      </c>
      <c r="AD159" s="57">
        <f>IFERROR(__xludf.DUMMYFUNCTION("""COMPUTED_VALUE"""),0.6151010198973252)</f>
        <v>0.6151010199</v>
      </c>
      <c r="AE159" s="57">
        <f>IFERROR(__xludf.DUMMYFUNCTION("""COMPUTED_VALUE"""),0.4365192826971685)</f>
        <v>0.4365192827</v>
      </c>
      <c r="AF159" s="57">
        <f>IFERROR(__xludf.DUMMYFUNCTION("""COMPUTED_VALUE"""),1.4324879936237493)</f>
        <v>1.432487994</v>
      </c>
      <c r="AG159" s="57">
        <f>IFERROR(__xludf.DUMMYFUNCTION("""COMPUTED_VALUE"""),2.2535501444549197)</f>
        <v>2.253550144</v>
      </c>
      <c r="AH159" s="57">
        <f>IFERROR(__xludf.DUMMYFUNCTION("""COMPUTED_VALUE"""),0.7098688498461762)</f>
        <v>0.7098688498</v>
      </c>
      <c r="AI159" s="57">
        <f>IFERROR(__xludf.DUMMYFUNCTION("""COMPUTED_VALUE"""),0.5419164048678938)</f>
        <v>0.5419164049</v>
      </c>
      <c r="AJ159" s="57">
        <f>IFERROR(__xludf.DUMMYFUNCTION("""COMPUTED_VALUE"""),1.5272330297700982)</f>
        <v>1.52723303</v>
      </c>
      <c r="AK159" s="57">
        <f>IFERROR(__xludf.DUMMYFUNCTION("""COMPUTED_VALUE"""),0.6980861301813154)</f>
        <v>0.6980861302</v>
      </c>
      <c r="AL159" s="57">
        <f>IFERROR(__xludf.DUMMYFUNCTION("""COMPUTED_VALUE"""),0.7395738101358263)</f>
        <v>0.7395738101</v>
      </c>
      <c r="AM159" s="57">
        <f>IFERROR(__xludf.DUMMYFUNCTION("""COMPUTED_VALUE"""),1.1992663261171959)</f>
        <v>1.199266326</v>
      </c>
      <c r="AN159" s="57">
        <f>IFERROR(__xludf.DUMMYFUNCTION("""COMPUTED_VALUE"""),1.4530972528167334)</f>
        <v>1.453097253</v>
      </c>
      <c r="AO159" s="57">
        <f>IFERROR(__xludf.DUMMYFUNCTION("""COMPUTED_VALUE"""),1.677486654561496)</f>
        <v>1.677486655</v>
      </c>
      <c r="AP159" s="35">
        <f>IFERROR(__xludf.DUMMYFUNCTION("""COMPUTED_VALUE"""),0.8690982726570283)</f>
        <v>0.8690982727</v>
      </c>
      <c r="AQ159" s="57">
        <f>IFERROR(__xludf.DUMMYFUNCTION("""COMPUTED_VALUE"""),1.3087791291268)</f>
        <v>1.308779129</v>
      </c>
      <c r="AR159" s="36" t="b">
        <f>IFERROR(__xludf.DUMMYFUNCTION("""COMPUTED_VALUE"""),TRUE)</f>
        <v>1</v>
      </c>
      <c r="AS159" s="57"/>
      <c r="AT159" s="37"/>
      <c r="AU159" s="30"/>
      <c r="AV159" s="30"/>
      <c r="AW159" s="30"/>
      <c r="AX159" s="30"/>
      <c r="AY159" s="30"/>
      <c r="AZ159" s="30"/>
    </row>
    <row r="160">
      <c r="A160" s="30" t="str">
        <f>IFERROR(__xludf.DUMMYFUNCTION("""COMPUTED_VALUE"""),"Challenger")</f>
        <v>Challenger</v>
      </c>
      <c r="B160" s="30" t="str">
        <f>IFERROR(__xludf.DUMMYFUNCTION("""COMPUTED_VALUE"""),"RSC006217")</f>
        <v>RSC006217</v>
      </c>
      <c r="C160" s="30" t="str">
        <f>IFERROR(__xludf.DUMMYFUNCTION("""COMPUTED_VALUE"""),"Subj3ct_Teonligas")</f>
        <v>Subj3ct_Teonligas</v>
      </c>
      <c r="D160" s="31" t="str">
        <f>IFERROR(__xludf.DUMMYFUNCTION("""COMPUTED_VALUE"""),"Lions")</f>
        <v>Lions</v>
      </c>
      <c r="E160" s="31">
        <f>IFERROR(__xludf.DUMMYFUNCTION("""COMPUTED_VALUE"""),8.892708944098302)</f>
        <v>8.892708944</v>
      </c>
      <c r="F160" s="31">
        <f>IFERROR(__xludf.DUMMYFUNCTION("""COMPUTED_VALUE"""),-19.97683189014419)</f>
        <v>-19.97683189</v>
      </c>
      <c r="G160" s="31">
        <f>IFERROR(__xludf.DUMMYFUNCTION("""COMPUTED_VALUE"""),7.117583003417472)</f>
        <v>7.117583003</v>
      </c>
      <c r="H160" s="31">
        <f>IFERROR(__xludf.DUMMYFUNCTION("""COMPUTED_VALUE"""),-23.17742923920041)</f>
        <v>-23.17742924</v>
      </c>
      <c r="I160" s="54">
        <f>IFERROR(__xludf.DUMMYFUNCTION("""COMPUTED_VALUE"""),3.0)</f>
        <v>3</v>
      </c>
      <c r="J160" s="55">
        <f>IFERROR(__xludf.DUMMYFUNCTION("""COMPUTED_VALUE"""),1.0)</f>
        <v>1</v>
      </c>
      <c r="K160" s="54">
        <f>IFERROR(__xludf.DUMMYFUNCTION("""COMPUTED_VALUE"""),2.0)</f>
        <v>2</v>
      </c>
      <c r="L160" s="56">
        <f>IFERROR(__xludf.DUMMYFUNCTION("""COMPUTED_VALUE"""),0.3333333333333333)</f>
        <v>0.3333333333</v>
      </c>
      <c r="M160" s="56">
        <f>IFERROR(__xludf.DUMMYFUNCTION("""COMPUTED_VALUE"""),0.0)</f>
        <v>0</v>
      </c>
      <c r="N160" s="31">
        <f>IFERROR(__xludf.DUMMYFUNCTION("""COMPUTED_VALUE"""),189.0)</f>
        <v>189</v>
      </c>
      <c r="O160" s="57">
        <f>IFERROR(__xludf.DUMMYFUNCTION("""COMPUTED_VALUE"""),0.0)</f>
        <v>0</v>
      </c>
      <c r="P160" s="57">
        <f>IFERROR(__xludf.DUMMYFUNCTION("""COMPUTED_VALUE"""),0.3333333333333333)</f>
        <v>0.3333333333</v>
      </c>
      <c r="Q160" s="57">
        <f>IFERROR(__xludf.DUMMYFUNCTION("""COMPUTED_VALUE"""),0.6666666666666666)</f>
        <v>0.6666666667</v>
      </c>
      <c r="R160" s="57">
        <f>IFERROR(__xludf.DUMMYFUNCTION("""COMPUTED_VALUE"""),2.3333333333333335)</f>
        <v>2.333333333</v>
      </c>
      <c r="S160" s="31">
        <f>IFERROR(__xludf.DUMMYFUNCTION("""COMPUTED_VALUE"""),328.77777777777777)</f>
        <v>328.7777778</v>
      </c>
      <c r="T160" s="57">
        <f>IFERROR(__xludf.DUMMYFUNCTION("""COMPUTED_VALUE"""),0.6666666666666666)</f>
        <v>0.6666666667</v>
      </c>
      <c r="U160" s="57">
        <f>IFERROR(__xludf.DUMMYFUNCTION("""COMPUTED_VALUE"""),0.6666666666666666)</f>
        <v>0.6666666667</v>
      </c>
      <c r="V160" s="57">
        <f>IFERROR(__xludf.DUMMYFUNCTION("""COMPUTED_VALUE"""),1.3333333333333333)</f>
        <v>1.333333333</v>
      </c>
      <c r="W160" s="57">
        <f>IFERROR(__xludf.DUMMYFUNCTION("""COMPUTED_VALUE"""),1.888888888888889)</f>
        <v>1.888888889</v>
      </c>
      <c r="X160" s="31">
        <f>IFERROR(__xludf.DUMMYFUNCTION("""COMPUTED_VALUE"""),375.326893939394)</f>
        <v>375.3268939</v>
      </c>
      <c r="Y160" s="57">
        <f>IFERROR(__xludf.DUMMYFUNCTION("""COMPUTED_VALUE"""),0.9919191919191919)</f>
        <v>0.9919191919</v>
      </c>
      <c r="Z160" s="57">
        <f>IFERROR(__xludf.DUMMYFUNCTION("""COMPUTED_VALUE"""),0.7256313131313131)</f>
        <v>0.7256313131</v>
      </c>
      <c r="AA160" s="57">
        <f>IFERROR(__xludf.DUMMYFUNCTION("""COMPUTED_VALUE"""),1.2178030303030303)</f>
        <v>1.21780303</v>
      </c>
      <c r="AB160" s="57">
        <f>IFERROR(__xludf.DUMMYFUNCTION("""COMPUTED_VALUE"""),2.70530303030303)</f>
        <v>2.70530303</v>
      </c>
      <c r="AC160" s="31">
        <f>IFERROR(__xludf.DUMMYFUNCTION("""COMPUTED_VALUE"""),310.60408249158246)</f>
        <v>310.6040825</v>
      </c>
      <c r="AD160" s="57">
        <f>IFERROR(__xludf.DUMMYFUNCTION("""COMPUTED_VALUE"""),0.6133417508417507)</f>
        <v>0.6133417508</v>
      </c>
      <c r="AE160" s="57">
        <f>IFERROR(__xludf.DUMMYFUNCTION("""COMPUTED_VALUE"""),0.4723063973063973)</f>
        <v>0.4723063973</v>
      </c>
      <c r="AF160" s="57">
        <f>IFERROR(__xludf.DUMMYFUNCTION("""COMPUTED_VALUE"""),1.2537457912457912)</f>
        <v>1.253745791</v>
      </c>
      <c r="AG160" s="57">
        <f>IFERROR(__xludf.DUMMYFUNCTION("""COMPUTED_VALUE"""),2.17996632996633)</f>
        <v>2.17996633</v>
      </c>
      <c r="AH160" s="57">
        <f>IFERROR(__xludf.DUMMYFUNCTION("""COMPUTED_VALUE"""),0.6084916800960657)</f>
        <v>0.6084916801</v>
      </c>
      <c r="AI160" s="57">
        <f>IFERROR(__xludf.DUMMYFUNCTION("""COMPUTED_VALUE"""),0.0)</f>
        <v>0</v>
      </c>
      <c r="AJ160" s="57">
        <f>IFERROR(__xludf.DUMMYFUNCTION("""COMPUTED_VALUE"""),0.7057565496346462)</f>
        <v>0.7057565496</v>
      </c>
      <c r="AK160" s="57">
        <f>IFERROR(__xludf.DUMMYFUNCTION("""COMPUTED_VALUE"""),0.5317399039914062)</f>
        <v>0.531739904</v>
      </c>
      <c r="AL160" s="57">
        <f>IFERROR(__xludf.DUMMYFUNCTION("""COMPUTED_VALUE"""),1.0703529230056374)</f>
        <v>1.070352923</v>
      </c>
      <c r="AM160" s="57">
        <f>IFERROR(__xludf.DUMMYFUNCTION("""COMPUTED_VALUE"""),0.875977136428884)</f>
        <v>0.8759771364</v>
      </c>
      <c r="AN160" s="57">
        <f>IFERROR(__xludf.DUMMYFUNCTION("""COMPUTED_VALUE"""),0.6720977596741344)</f>
        <v>0.6720977597</v>
      </c>
      <c r="AO160" s="57">
        <f>IFERROR(__xludf.DUMMYFUNCTION("""COMPUTED_VALUE"""),0.9187402122846702)</f>
        <v>0.9187402123</v>
      </c>
      <c r="AP160" s="35">
        <f>IFERROR(__xludf.DUMMYFUNCTION("""COMPUTED_VALUE"""),1.0948678071539657)</f>
        <v>1.094867807</v>
      </c>
      <c r="AQ160" s="57">
        <f>IFERROR(__xludf.DUMMYFUNCTION("""COMPUTED_VALUE"""),0.69821711938766)</f>
        <v>0.6982171194</v>
      </c>
      <c r="AR160" s="36" t="b">
        <f>IFERROR(__xludf.DUMMYFUNCTION("""COMPUTED_VALUE"""),TRUE)</f>
        <v>1</v>
      </c>
      <c r="AS160" s="57"/>
      <c r="AT160" s="37"/>
      <c r="AU160" s="30"/>
      <c r="AV160" s="30"/>
      <c r="AW160" s="30"/>
      <c r="AX160" s="30"/>
      <c r="AY160" s="30"/>
      <c r="AZ160" s="30"/>
    </row>
    <row r="161">
      <c r="A161" s="30" t="str">
        <f>IFERROR(__xludf.DUMMYFUNCTION("""COMPUTED_VALUE"""),"Challenger")</f>
        <v>Challenger</v>
      </c>
      <c r="B161" s="30" t="str">
        <f>IFERROR(__xludf.DUMMYFUNCTION("""COMPUTED_VALUE"""),"RSC007118")</f>
        <v>RSC007118</v>
      </c>
      <c r="C161" s="30" t="str">
        <f>IFERROR(__xludf.DUMMYFUNCTION("""COMPUTED_VALUE"""),"Vampress Maru")</f>
        <v>Vampress Maru</v>
      </c>
      <c r="D161" s="31" t="str">
        <f>IFERROR(__xludf.DUMMYFUNCTION("""COMPUTED_VALUE"""),"Bingo")</f>
        <v>Bingo</v>
      </c>
      <c r="E161" s="31">
        <f>IFERROR(__xludf.DUMMYFUNCTION("""COMPUTED_VALUE"""),1.0033487064281843)</f>
        <v>1.003348706</v>
      </c>
      <c r="F161" s="31">
        <f>IFERROR(__xludf.DUMMYFUNCTION("""COMPUTED_VALUE"""),-39.99084331498668)</f>
        <v>-39.99084331</v>
      </c>
      <c r="G161" s="31">
        <f>IFERROR(__xludf.DUMMYFUNCTION("""COMPUTED_VALUE"""),2.2859248856881536)</f>
        <v>2.285924886</v>
      </c>
      <c r="H161" s="31">
        <f>IFERROR(__xludf.DUMMYFUNCTION("""COMPUTED_VALUE"""),-35.51231688450295)</f>
        <v>-35.51231688</v>
      </c>
      <c r="I161" s="54">
        <f>IFERROR(__xludf.DUMMYFUNCTION("""COMPUTED_VALUE"""),17.0)</f>
        <v>17</v>
      </c>
      <c r="J161" s="55">
        <f>IFERROR(__xludf.DUMMYFUNCTION("""COMPUTED_VALUE"""),1.0)</f>
        <v>1</v>
      </c>
      <c r="K161" s="54">
        <f>IFERROR(__xludf.DUMMYFUNCTION("""COMPUTED_VALUE"""),16.0)</f>
        <v>16</v>
      </c>
      <c r="L161" s="56">
        <f>IFERROR(__xludf.DUMMYFUNCTION("""COMPUTED_VALUE"""),0.058823529411764705)</f>
        <v>0.05882352941</v>
      </c>
      <c r="M161" s="56">
        <f>IFERROR(__xludf.DUMMYFUNCTION("""COMPUTED_VALUE"""),0.3076923076923077)</f>
        <v>0.3076923077</v>
      </c>
      <c r="N161" s="31">
        <f>IFERROR(__xludf.DUMMYFUNCTION("""COMPUTED_VALUE"""),248.05882352941177)</f>
        <v>248.0588235</v>
      </c>
      <c r="O161" s="57">
        <f>IFERROR(__xludf.DUMMYFUNCTION("""COMPUTED_VALUE"""),0.47058823529411764)</f>
        <v>0.4705882353</v>
      </c>
      <c r="P161" s="57">
        <f>IFERROR(__xludf.DUMMYFUNCTION("""COMPUTED_VALUE"""),0.23529411764705882)</f>
        <v>0.2352941176</v>
      </c>
      <c r="Q161" s="57">
        <f>IFERROR(__xludf.DUMMYFUNCTION("""COMPUTED_VALUE"""),1.2352941176470589)</f>
        <v>1.235294118</v>
      </c>
      <c r="R161" s="57">
        <f>IFERROR(__xludf.DUMMYFUNCTION("""COMPUTED_VALUE"""),1.5294117647058822)</f>
        <v>1.529411765</v>
      </c>
      <c r="S161" s="31">
        <f>IFERROR(__xludf.DUMMYFUNCTION("""COMPUTED_VALUE"""),369.54901960784315)</f>
        <v>369.5490196</v>
      </c>
      <c r="T161" s="57">
        <f>IFERROR(__xludf.DUMMYFUNCTION("""COMPUTED_VALUE"""),1.1568627450980395)</f>
        <v>1.156862745</v>
      </c>
      <c r="U161" s="57">
        <f>IFERROR(__xludf.DUMMYFUNCTION("""COMPUTED_VALUE"""),0.784313725490196)</f>
        <v>0.7843137255</v>
      </c>
      <c r="V161" s="57">
        <f>IFERROR(__xludf.DUMMYFUNCTION("""COMPUTED_VALUE"""),0.9215686274509803)</f>
        <v>0.9215686275</v>
      </c>
      <c r="W161" s="57">
        <f>IFERROR(__xludf.DUMMYFUNCTION("""COMPUTED_VALUE"""),3.0588235294117654)</f>
        <v>3.058823529</v>
      </c>
      <c r="X161" s="31">
        <f>IFERROR(__xludf.DUMMYFUNCTION("""COMPUTED_VALUE"""),348.11341037152994)</f>
        <v>348.1134104</v>
      </c>
      <c r="Y161" s="57">
        <f>IFERROR(__xludf.DUMMYFUNCTION("""COMPUTED_VALUE"""),0.8048016494735957)</f>
        <v>0.8048016495</v>
      </c>
      <c r="Z161" s="57">
        <f>IFERROR(__xludf.DUMMYFUNCTION("""COMPUTED_VALUE"""),0.5769073626793507)</f>
        <v>0.5769073627</v>
      </c>
      <c r="AA161" s="57">
        <f>IFERROR(__xludf.DUMMYFUNCTION("""COMPUTED_VALUE"""),1.253069295392509)</f>
        <v>1.253069295</v>
      </c>
      <c r="AB161" s="57">
        <f>IFERROR(__xludf.DUMMYFUNCTION("""COMPUTED_VALUE"""),2.5967587483595005)</f>
        <v>2.596758748</v>
      </c>
      <c r="AC161" s="31">
        <f>IFERROR(__xludf.DUMMYFUNCTION("""COMPUTED_VALUE"""),333.14083195938184)</f>
        <v>333.140832</v>
      </c>
      <c r="AD161" s="57">
        <f>IFERROR(__xludf.DUMMYFUNCTION("""COMPUTED_VALUE"""),0.7216234470773822)</f>
        <v>0.7216234471</v>
      </c>
      <c r="AE161" s="57">
        <f>IFERROR(__xludf.DUMMYFUNCTION("""COMPUTED_VALUE"""),0.5125616864778232)</f>
        <v>0.5125616865</v>
      </c>
      <c r="AF161" s="57">
        <f>IFERROR(__xludf.DUMMYFUNCTION("""COMPUTED_VALUE"""),1.2182132454004013)</f>
        <v>1.218213245</v>
      </c>
      <c r="AG161" s="57">
        <f>IFERROR(__xludf.DUMMYFUNCTION("""COMPUTED_VALUE"""),2.492191887270108)</f>
        <v>2.492191887</v>
      </c>
      <c r="AH161" s="57">
        <f>IFERROR(__xludf.DUMMYFUNCTION("""COMPUTED_VALUE"""),0.7446064839018481)</f>
        <v>0.7446064839</v>
      </c>
      <c r="AI161" s="57">
        <f>IFERROR(__xludf.DUMMYFUNCTION("""COMPUTED_VALUE"""),0.6521243692954101)</f>
        <v>0.6521243693</v>
      </c>
      <c r="AJ161" s="57">
        <f>IFERROR(__xludf.DUMMYFUNCTION("""COMPUTED_VALUE"""),0.4590552197998498)</f>
        <v>0.4590552198</v>
      </c>
      <c r="AK161" s="57">
        <f>IFERROR(__xludf.DUMMYFUNCTION("""COMPUTED_VALUE"""),1.0140212498190688)</f>
        <v>1.01402125</v>
      </c>
      <c r="AL161" s="57">
        <f>IFERROR(__xludf.DUMMYFUNCTION("""COMPUTED_VALUE"""),0.6136813832506156)</f>
        <v>0.6136813833</v>
      </c>
      <c r="AM161" s="57">
        <f>IFERROR(__xludf.DUMMYFUNCTION("""COMPUTED_VALUE"""),1.06157651098082)</f>
        <v>1.061576511</v>
      </c>
      <c r="AN161" s="57">
        <f>IFERROR(__xludf.DUMMYFUNCTION("""COMPUTED_VALUE"""),1.4374507629982118)</f>
        <v>1.437450763</v>
      </c>
      <c r="AO161" s="57">
        <f>IFERROR(__xludf.DUMMYFUNCTION("""COMPUTED_VALUE"""),1.359514154660084)</f>
        <v>1.359514155</v>
      </c>
      <c r="AP161" s="57">
        <f>IFERROR(__xludf.DUMMYFUNCTION("""COMPUTED_VALUE"""),0.7354490536473562)</f>
        <v>0.7354490536</v>
      </c>
      <c r="AQ161" s="57">
        <f>IFERROR(__xludf.DUMMYFUNCTION("""COMPUTED_VALUE"""),1.1779390485712906)</f>
        <v>1.177939049</v>
      </c>
      <c r="AR161" s="60" t="b">
        <f>IFERROR(__xludf.DUMMYFUNCTION("""COMPUTED_VALUE"""),TRUE)</f>
        <v>1</v>
      </c>
      <c r="AS161" s="57"/>
      <c r="AT161" s="30"/>
      <c r="AU161" s="30"/>
      <c r="AV161" s="30"/>
      <c r="AW161" s="30"/>
      <c r="AX161" s="30"/>
      <c r="AY161" s="30"/>
      <c r="AZ161" s="30"/>
    </row>
    <row r="162">
      <c r="A162" s="30" t="str">
        <f>IFERROR(__xludf.DUMMYFUNCTION("""COMPUTED_VALUE"""),"Challenger")</f>
        <v>Challenger</v>
      </c>
      <c r="B162" s="30" t="str">
        <f>IFERROR(__xludf.DUMMYFUNCTION("""COMPUTED_VALUE"""),"RSC007946")</f>
        <v>RSC007946</v>
      </c>
      <c r="C162" s="30" t="str">
        <f>IFERROR(__xludf.DUMMYFUNCTION("""COMPUTED_VALUE"""),"hagerity_tv")</f>
        <v>hagerity_tv</v>
      </c>
      <c r="D162" s="31"/>
      <c r="E162" s="31">
        <f>IFERROR(__xludf.DUMMYFUNCTION("""COMPUTED_VALUE"""),-0.11799213732769687)</f>
        <v>-0.1179921373</v>
      </c>
      <c r="F162" s="31">
        <f>IFERROR(__xludf.DUMMYFUNCTION("""COMPUTED_VALUE"""),-44.45133656896826)</f>
        <v>-44.45133657</v>
      </c>
      <c r="G162" s="31">
        <f>IFERROR(__xludf.DUMMYFUNCTION("""COMPUTED_VALUE"""),-5.268138601174421)</f>
        <v>-5.268138601</v>
      </c>
      <c r="H162" s="31">
        <f>IFERROR(__xludf.DUMMYFUNCTION("""COMPUTED_VALUE"""),-73.92390306818693)</f>
        <v>-73.92390307</v>
      </c>
      <c r="I162" s="54">
        <f>IFERROR(__xludf.DUMMYFUNCTION("""COMPUTED_VALUE"""),3.0)</f>
        <v>3</v>
      </c>
      <c r="J162" s="55">
        <f>IFERROR(__xludf.DUMMYFUNCTION("""COMPUTED_VALUE"""),1.0)</f>
        <v>1</v>
      </c>
      <c r="K162" s="54">
        <f>IFERROR(__xludf.DUMMYFUNCTION("""COMPUTED_VALUE"""),2.0)</f>
        <v>2</v>
      </c>
      <c r="L162" s="56">
        <f>IFERROR(__xludf.DUMMYFUNCTION("""COMPUTED_VALUE"""),0.3333333333333333)</f>
        <v>0.3333333333</v>
      </c>
      <c r="M162" s="56">
        <f>IFERROR(__xludf.DUMMYFUNCTION("""COMPUTED_VALUE"""),0.5)</f>
        <v>0.5</v>
      </c>
      <c r="N162" s="31">
        <f>IFERROR(__xludf.DUMMYFUNCTION("""COMPUTED_VALUE"""),253.0)</f>
        <v>253</v>
      </c>
      <c r="O162" s="57">
        <f>IFERROR(__xludf.DUMMYFUNCTION("""COMPUTED_VALUE"""),0.3333333333333333)</f>
        <v>0.3333333333</v>
      </c>
      <c r="P162" s="57">
        <f>IFERROR(__xludf.DUMMYFUNCTION("""COMPUTED_VALUE"""),0.6666666666666666)</f>
        <v>0.6666666667</v>
      </c>
      <c r="Q162" s="57">
        <f>IFERROR(__xludf.DUMMYFUNCTION("""COMPUTED_VALUE"""),1.3333333333333333)</f>
        <v>1.333333333</v>
      </c>
      <c r="R162" s="57">
        <f>IFERROR(__xludf.DUMMYFUNCTION("""COMPUTED_VALUE"""),0.6666666666666666)</f>
        <v>0.6666666667</v>
      </c>
      <c r="S162" s="31">
        <f>IFERROR(__xludf.DUMMYFUNCTION("""COMPUTED_VALUE"""),417.0)</f>
        <v>417</v>
      </c>
      <c r="T162" s="57">
        <f>IFERROR(__xludf.DUMMYFUNCTION("""COMPUTED_VALUE"""),1.4444444444444446)</f>
        <v>1.444444444</v>
      </c>
      <c r="U162" s="57">
        <f>IFERROR(__xludf.DUMMYFUNCTION("""COMPUTED_VALUE"""),1.2222222222222223)</f>
        <v>1.222222222</v>
      </c>
      <c r="V162" s="57">
        <f>IFERROR(__xludf.DUMMYFUNCTION("""COMPUTED_VALUE"""),0.7777777777777777)</f>
        <v>0.7777777778</v>
      </c>
      <c r="W162" s="57">
        <f>IFERROR(__xludf.DUMMYFUNCTION("""COMPUTED_VALUE"""),3.3333333333333335)</f>
        <v>3.333333333</v>
      </c>
      <c r="X162" s="31">
        <f>IFERROR(__xludf.DUMMYFUNCTION("""COMPUTED_VALUE"""),378.98967608723706)</f>
        <v>378.9896761</v>
      </c>
      <c r="Y162" s="57">
        <f>IFERROR(__xludf.DUMMYFUNCTION("""COMPUTED_VALUE"""),0.9953542392566783)</f>
        <v>0.9953542393</v>
      </c>
      <c r="Z162" s="57">
        <f>IFERROR(__xludf.DUMMYFUNCTION("""COMPUTED_VALUE"""),0.7514518002322882)</f>
        <v>0.7514518002</v>
      </c>
      <c r="AA162" s="57">
        <f>IFERROR(__xludf.DUMMYFUNCTION("""COMPUTED_VALUE"""),1.240805265195509)</f>
        <v>1.240805265</v>
      </c>
      <c r="AB162" s="57">
        <f>IFERROR(__xludf.DUMMYFUNCTION("""COMPUTED_VALUE"""),2.8559814169570266)</f>
        <v>2.855981417</v>
      </c>
      <c r="AC162" s="31">
        <f>IFERROR(__xludf.DUMMYFUNCTION("""COMPUTED_VALUE"""),341.598959005463)</f>
        <v>341.598959</v>
      </c>
      <c r="AD162" s="57">
        <f>IFERROR(__xludf.DUMMYFUNCTION("""COMPUTED_VALUE"""),0.6916161225104315)</f>
        <v>0.6916161225</v>
      </c>
      <c r="AE162" s="57">
        <f>IFERROR(__xludf.DUMMYFUNCTION("""COMPUTED_VALUE"""),0.5199380565234225)</f>
        <v>0.5199380565</v>
      </c>
      <c r="AF162" s="57">
        <f>IFERROR(__xludf.DUMMYFUNCTION("""COMPUTED_VALUE"""),1.3943304512410204)</f>
        <v>1.394330451</v>
      </c>
      <c r="AG162" s="57">
        <f>IFERROR(__xludf.DUMMYFUNCTION("""COMPUTED_VALUE"""),2.3051576547511505)</f>
        <v>2.305157655</v>
      </c>
      <c r="AH162" s="57">
        <f>IFERROR(__xludf.DUMMYFUNCTION("""COMPUTED_VALUE"""),0.7406345755168239)</f>
        <v>0.7406345755</v>
      </c>
      <c r="AI162" s="57">
        <f>IFERROR(__xludf.DUMMYFUNCTION("""COMPUTED_VALUE"""),0.4819629307127752)</f>
        <v>0.4819629307</v>
      </c>
      <c r="AJ162" s="57">
        <f>IFERROR(__xludf.DUMMYFUNCTION("""COMPUTED_VALUE"""),1.2822040208488454)</f>
        <v>1.282204021</v>
      </c>
      <c r="AK162" s="57">
        <f>IFERROR(__xludf.DUMMYFUNCTION("""COMPUTED_VALUE"""),0.9562534707225272)</f>
        <v>0.9562534707</v>
      </c>
      <c r="AL162" s="57">
        <f>IFERROR(__xludf.DUMMYFUNCTION("""COMPUTED_VALUE"""),0.2892065387773382)</f>
        <v>0.2892065388</v>
      </c>
      <c r="AM162" s="57">
        <f>IFERROR(__xludf.DUMMYFUNCTION("""COMPUTED_VALUE"""),1.1002938241093765)</f>
        <v>1.100293824</v>
      </c>
      <c r="AN162" s="57">
        <f>IFERROR(__xludf.DUMMYFUNCTION("""COMPUTED_VALUE"""),1.4511863088292494)</f>
        <v>1.451186309</v>
      </c>
      <c r="AO162" s="57">
        <f>IFERROR(__xludf.DUMMYFUNCTION("""COMPUTED_VALUE"""),1.626481195260175)</f>
        <v>1.626481195</v>
      </c>
      <c r="AP162" s="35">
        <f>IFERROR(__xludf.DUMMYFUNCTION("""COMPUTED_VALUE"""),0.6268330733229328)</f>
        <v>0.6268330733</v>
      </c>
      <c r="AQ162" s="57">
        <f>IFERROR(__xludf.DUMMYFUNCTION("""COMPUTED_VALUE"""),1.1671411142740953)</f>
        <v>1.167141114</v>
      </c>
      <c r="AR162" s="36" t="b">
        <f>IFERROR(__xludf.DUMMYFUNCTION("""COMPUTED_VALUE"""),TRUE)</f>
        <v>1</v>
      </c>
      <c r="AS162" s="57"/>
      <c r="AT162" s="37"/>
      <c r="AU162" s="30"/>
      <c r="AV162" s="30"/>
      <c r="AW162" s="30"/>
      <c r="AX162" s="30"/>
      <c r="AY162" s="30"/>
      <c r="AZ162" s="30"/>
    </row>
    <row r="163">
      <c r="A163" s="30" t="str">
        <f>IFERROR(__xludf.DUMMYFUNCTION("""COMPUTED_VALUE"""),"Challenger")</f>
        <v>Challenger</v>
      </c>
      <c r="B163" s="30" t="str">
        <f>IFERROR(__xludf.DUMMYFUNCTION("""COMPUTED_VALUE"""),"RSC005219")</f>
        <v>RSC005219</v>
      </c>
      <c r="C163" s="30" t="str">
        <f>IFERROR(__xludf.DUMMYFUNCTION("""COMPUTED_VALUE"""),"iargue")</f>
        <v>iargue</v>
      </c>
      <c r="D163" s="31" t="str">
        <f>IFERROR(__xludf.DUMMYFUNCTION("""COMPUTED_VALUE"""),"Shade")</f>
        <v>Shade</v>
      </c>
      <c r="E163" s="31">
        <f>IFERROR(__xludf.DUMMYFUNCTION("""COMPUTED_VALUE"""),-4.167219174217948)</f>
        <v>-4.167219174</v>
      </c>
      <c r="F163" s="31">
        <f>IFERROR(__xludf.DUMMYFUNCTION("""COMPUTED_VALUE"""),-66.09692507089035)</f>
        <v>-66.09692507</v>
      </c>
      <c r="G163" s="31">
        <f>IFERROR(__xludf.DUMMYFUNCTION("""COMPUTED_VALUE"""),-0.7586001480905935)</f>
        <v>-0.7586001481</v>
      </c>
      <c r="H163" s="31">
        <f>IFERROR(__xludf.DUMMYFUNCTION("""COMPUTED_VALUE"""),-47.25721035896713)</f>
        <v>-47.25721036</v>
      </c>
      <c r="I163" s="54">
        <f>IFERROR(__xludf.DUMMYFUNCTION("""COMPUTED_VALUE"""),31.0)</f>
        <v>31</v>
      </c>
      <c r="J163" s="55">
        <f>IFERROR(__xludf.DUMMYFUNCTION("""COMPUTED_VALUE"""),5.0)</f>
        <v>5</v>
      </c>
      <c r="K163" s="54">
        <f>IFERROR(__xludf.DUMMYFUNCTION("""COMPUTED_VALUE"""),26.0)</f>
        <v>26</v>
      </c>
      <c r="L163" s="56">
        <f>IFERROR(__xludf.DUMMYFUNCTION("""COMPUTED_VALUE"""),0.16129032258064516)</f>
        <v>0.1612903226</v>
      </c>
      <c r="M163" s="56">
        <f>IFERROR(__xludf.DUMMYFUNCTION("""COMPUTED_VALUE"""),0.18000000000000002)</f>
        <v>0.18</v>
      </c>
      <c r="N163" s="31">
        <f>IFERROR(__xludf.DUMMYFUNCTION("""COMPUTED_VALUE"""),221.19354838709677)</f>
        <v>221.1935484</v>
      </c>
      <c r="O163" s="57">
        <f>IFERROR(__xludf.DUMMYFUNCTION("""COMPUTED_VALUE"""),0.2903225806451613)</f>
        <v>0.2903225806</v>
      </c>
      <c r="P163" s="57">
        <f>IFERROR(__xludf.DUMMYFUNCTION("""COMPUTED_VALUE"""),0.22580645161290322)</f>
        <v>0.2258064516</v>
      </c>
      <c r="Q163" s="57">
        <f>IFERROR(__xludf.DUMMYFUNCTION("""COMPUTED_VALUE"""),0.9032258064516129)</f>
        <v>0.9032258065</v>
      </c>
      <c r="R163" s="57">
        <f>IFERROR(__xludf.DUMMYFUNCTION("""COMPUTED_VALUE"""),1.6129032258064515)</f>
        <v>1.612903226</v>
      </c>
      <c r="S163" s="31">
        <f>IFERROR(__xludf.DUMMYFUNCTION("""COMPUTED_VALUE"""),376.53763440860206)</f>
        <v>376.5376344</v>
      </c>
      <c r="T163" s="57">
        <f>IFERROR(__xludf.DUMMYFUNCTION("""COMPUTED_VALUE"""),0.9892473118279569)</f>
        <v>0.9892473118</v>
      </c>
      <c r="U163" s="57">
        <f>IFERROR(__xludf.DUMMYFUNCTION("""COMPUTED_VALUE"""),0.7204301075268815)</f>
        <v>0.7204301075</v>
      </c>
      <c r="V163" s="57">
        <f>IFERROR(__xludf.DUMMYFUNCTION("""COMPUTED_VALUE"""),1.290322580645161)</f>
        <v>1.290322581</v>
      </c>
      <c r="W163" s="57">
        <f>IFERROR(__xludf.DUMMYFUNCTION("""COMPUTED_VALUE"""),2.602150537634409)</f>
        <v>2.602150538</v>
      </c>
      <c r="X163" s="31">
        <f>IFERROR(__xludf.DUMMYFUNCTION("""COMPUTED_VALUE"""),346.168484441428)</f>
        <v>346.1684844</v>
      </c>
      <c r="Y163" s="57">
        <f>IFERROR(__xludf.DUMMYFUNCTION("""COMPUTED_VALUE"""),0.8271496905806961)</f>
        <v>0.8271496906</v>
      </c>
      <c r="Z163" s="57">
        <f>IFERROR(__xludf.DUMMYFUNCTION("""COMPUTED_VALUE"""),0.5907472736845677)</f>
        <v>0.5907472737</v>
      </c>
      <c r="AA163" s="57">
        <f>IFERROR(__xludf.DUMMYFUNCTION("""COMPUTED_VALUE"""),1.238290606764215)</f>
        <v>1.238290607</v>
      </c>
      <c r="AB163" s="57">
        <f>IFERROR(__xludf.DUMMYFUNCTION("""COMPUTED_VALUE"""),2.5314845903439203)</f>
        <v>2.53148459</v>
      </c>
      <c r="AC163" s="31">
        <f>IFERROR(__xludf.DUMMYFUNCTION("""COMPUTED_VALUE"""),331.27685371643565)</f>
        <v>331.2768537</v>
      </c>
      <c r="AD163" s="57">
        <f>IFERROR(__xludf.DUMMYFUNCTION("""COMPUTED_VALUE"""),0.7430439533977105)</f>
        <v>0.7430439534</v>
      </c>
      <c r="AE163" s="57">
        <f>IFERROR(__xludf.DUMMYFUNCTION("""COMPUTED_VALUE"""),0.5247256245239705)</f>
        <v>0.5247256245</v>
      </c>
      <c r="AF163" s="57">
        <f>IFERROR(__xludf.DUMMYFUNCTION("""COMPUTED_VALUE"""),1.2111920044413222)</f>
        <v>1.211192004</v>
      </c>
      <c r="AG163" s="57">
        <f>IFERROR(__xludf.DUMMYFUNCTION("""COMPUTED_VALUE"""),2.45177265779502)</f>
        <v>2.451772658</v>
      </c>
      <c r="AH163" s="57">
        <f>IFERROR(__xludf.DUMMYFUNCTION("""COMPUTED_VALUE"""),0.6676999793545271)</f>
        <v>0.6676999794</v>
      </c>
      <c r="AI163" s="57">
        <f>IFERROR(__xludf.DUMMYFUNCTION("""COMPUTED_VALUE"""),0.39072060181313073)</f>
        <v>0.3907206018</v>
      </c>
      <c r="AJ163" s="57">
        <f>IFERROR(__xludf.DUMMYFUNCTION("""COMPUTED_VALUE"""),0.43033242719517295)</f>
        <v>0.4303324272</v>
      </c>
      <c r="AK163" s="57">
        <f>IFERROR(__xludf.DUMMYFUNCTION("""COMPUTED_VALUE"""),0.7457329664822526)</f>
        <v>0.7457329665</v>
      </c>
      <c r="AL163" s="57">
        <f>IFERROR(__xludf.DUMMYFUNCTION("""COMPUTED_VALUE"""),0.6578518692091957)</f>
        <v>0.6578518692</v>
      </c>
      <c r="AM163" s="57">
        <f>IFERROR(__xludf.DUMMYFUNCTION("""COMPUTED_VALUE"""),1.0877293899708325)</f>
        <v>1.08772939</v>
      </c>
      <c r="AN163" s="57">
        <f>IFERROR(__xludf.DUMMYFUNCTION("""COMPUTED_VALUE"""),1.1959713254966715)</f>
        <v>1.195971325</v>
      </c>
      <c r="AO163" s="57">
        <f>IFERROR(__xludf.DUMMYFUNCTION("""COMPUTED_VALUE"""),1.2195233725472232)</f>
        <v>1.219523373</v>
      </c>
      <c r="AP163" s="35">
        <f>IFERROR(__xludf.DUMMYFUNCTION("""COMPUTED_VALUE"""),1.0420191945224482)</f>
        <v>1.042019195</v>
      </c>
      <c r="AQ163" s="57">
        <f>IFERROR(__xludf.DUMMYFUNCTION("""COMPUTED_VALUE"""),1.027914824194481)</f>
        <v>1.027914824</v>
      </c>
      <c r="AR163" s="36" t="b">
        <f>IFERROR(__xludf.DUMMYFUNCTION("""COMPUTED_VALUE"""),TRUE)</f>
        <v>1</v>
      </c>
      <c r="AS163" s="57"/>
      <c r="AT163" s="37"/>
      <c r="AU163" s="30"/>
      <c r="AV163" s="30"/>
      <c r="AW163" s="30"/>
      <c r="AX163" s="30"/>
      <c r="AY163" s="30"/>
      <c r="AZ163" s="30"/>
    </row>
    <row r="164">
      <c r="A164" s="30" t="str">
        <f>IFERROR(__xludf.DUMMYFUNCTION("""COMPUTED_VALUE"""),"Challenger")</f>
        <v>Challenger</v>
      </c>
      <c r="B164" s="30" t="str">
        <f>IFERROR(__xludf.DUMMYFUNCTION("""COMPUTED_VALUE"""),"RSC005509")</f>
        <v>RSC005509</v>
      </c>
      <c r="C164" s="30" t="str">
        <f>IFERROR(__xludf.DUMMYFUNCTION("""COMPUTED_VALUE"""),"Benjamen A")</f>
        <v>Benjamen A</v>
      </c>
      <c r="D164" s="31"/>
      <c r="E164" s="31">
        <f>IFERROR(__xludf.DUMMYFUNCTION("""COMPUTED_VALUE"""),-19.226025752581876)</f>
        <v>-19.22602575</v>
      </c>
      <c r="F164" s="31">
        <f>IFERROR(__xludf.DUMMYFUNCTION("""COMPUTED_VALUE"""),-355.73544957069396)</f>
        <v>-355.7354496</v>
      </c>
      <c r="G164" s="31">
        <f>IFERROR(__xludf.DUMMYFUNCTION("""COMPUTED_VALUE"""),-7.955444700396207)</f>
        <v>-7.9554447</v>
      </c>
      <c r="H164" s="31">
        <f>IFERROR(__xludf.DUMMYFUNCTION("""COMPUTED_VALUE"""),-97.8593857668382)</f>
        <v>-97.85938577</v>
      </c>
      <c r="I164" s="54">
        <f>IFERROR(__xludf.DUMMYFUNCTION("""COMPUTED_VALUE"""),3.0)</f>
        <v>3</v>
      </c>
      <c r="J164" s="55">
        <f>IFERROR(__xludf.DUMMYFUNCTION("""COMPUTED_VALUE"""),0.0)</f>
        <v>0</v>
      </c>
      <c r="K164" s="54">
        <f>IFERROR(__xludf.DUMMYFUNCTION("""COMPUTED_VALUE"""),3.0)</f>
        <v>3</v>
      </c>
      <c r="L164" s="56">
        <f>IFERROR(__xludf.DUMMYFUNCTION("""COMPUTED_VALUE"""),0.0)</f>
        <v>0</v>
      </c>
      <c r="M164" s="56">
        <f>IFERROR(__xludf.DUMMYFUNCTION("""COMPUTED_VALUE"""),0.0)</f>
        <v>0</v>
      </c>
      <c r="N164" s="31">
        <f>IFERROR(__xludf.DUMMYFUNCTION("""COMPUTED_VALUE"""),248.66666666666666)</f>
        <v>248.6666667</v>
      </c>
      <c r="O164" s="57">
        <f>IFERROR(__xludf.DUMMYFUNCTION("""COMPUTED_VALUE"""),0.0)</f>
        <v>0</v>
      </c>
      <c r="P164" s="57">
        <f>IFERROR(__xludf.DUMMYFUNCTION("""COMPUTED_VALUE"""),0.6666666666666666)</f>
        <v>0.6666666667</v>
      </c>
      <c r="Q164" s="57">
        <f>IFERROR(__xludf.DUMMYFUNCTION("""COMPUTED_VALUE"""),2.0)</f>
        <v>2</v>
      </c>
      <c r="R164" s="57">
        <f>IFERROR(__xludf.DUMMYFUNCTION("""COMPUTED_VALUE"""),0.6666666666666666)</f>
        <v>0.6666666667</v>
      </c>
      <c r="S164" s="31">
        <f>IFERROR(__xludf.DUMMYFUNCTION("""COMPUTED_VALUE"""),446.22222222222223)</f>
        <v>446.2222222</v>
      </c>
      <c r="T164" s="57">
        <f>IFERROR(__xludf.DUMMYFUNCTION("""COMPUTED_VALUE"""),1.3333333333333333)</f>
        <v>1.333333333</v>
      </c>
      <c r="U164" s="57">
        <f>IFERROR(__xludf.DUMMYFUNCTION("""COMPUTED_VALUE"""),1.2222222222222223)</f>
        <v>1.222222222</v>
      </c>
      <c r="V164" s="57">
        <f>IFERROR(__xludf.DUMMYFUNCTION("""COMPUTED_VALUE"""),1.222222222222222)</f>
        <v>1.222222222</v>
      </c>
      <c r="W164" s="57">
        <f>IFERROR(__xludf.DUMMYFUNCTION("""COMPUTED_VALUE"""),3.4444444444444446)</f>
        <v>3.444444444</v>
      </c>
      <c r="X164" s="31">
        <f>IFERROR(__xludf.DUMMYFUNCTION("""COMPUTED_VALUE"""),348.53942652329744)</f>
        <v>348.5394265</v>
      </c>
      <c r="Y164" s="57">
        <f>IFERROR(__xludf.DUMMYFUNCTION("""COMPUTED_VALUE"""),0.8608649415101027)</f>
        <v>0.8608649415</v>
      </c>
      <c r="Z164" s="57">
        <f>IFERROR(__xludf.DUMMYFUNCTION("""COMPUTED_VALUE"""),0.5922446728898342)</f>
        <v>0.5922446729</v>
      </c>
      <c r="AA164" s="57">
        <f>IFERROR(__xludf.DUMMYFUNCTION("""COMPUTED_VALUE"""),1.1199338296112489)</f>
        <v>1.11993383</v>
      </c>
      <c r="AB164" s="57">
        <f>IFERROR(__xludf.DUMMYFUNCTION("""COMPUTED_VALUE"""),2.7935326322423095)</f>
        <v>2.793532632</v>
      </c>
      <c r="AC164" s="31">
        <f>IFERROR(__xludf.DUMMYFUNCTION("""COMPUTED_VALUE"""),322.2991256055772)</f>
        <v>322.2991256</v>
      </c>
      <c r="AD164" s="57">
        <f>IFERROR(__xludf.DUMMYFUNCTION("""COMPUTED_VALUE"""),0.6127259836937256)</f>
        <v>0.6127259837</v>
      </c>
      <c r="AE164" s="57">
        <f>IFERROR(__xludf.DUMMYFUNCTION("""COMPUTED_VALUE"""),0.4184226764871926)</f>
        <v>0.4184226765</v>
      </c>
      <c r="AF164" s="57">
        <f>IFERROR(__xludf.DUMMYFUNCTION("""COMPUTED_VALUE"""),1.4503984665274985)</f>
        <v>1.450398467</v>
      </c>
      <c r="AG164" s="57">
        <f>IFERROR(__xludf.DUMMYFUNCTION("""COMPUTED_VALUE"""),2.1533538146441376)</f>
        <v>2.153353815</v>
      </c>
      <c r="AH164" s="57">
        <f>IFERROR(__xludf.DUMMYFUNCTION("""COMPUTED_VALUE"""),0.771539997818609)</f>
        <v>0.7715399978</v>
      </c>
      <c r="AI164" s="57">
        <f>IFERROR(__xludf.DUMMYFUNCTION("""COMPUTED_VALUE"""),0.0)</f>
        <v>0</v>
      </c>
      <c r="AJ164" s="57">
        <f>IFERROR(__xludf.DUMMYFUNCTION("""COMPUTED_VALUE"""),1.5932852212111703)</f>
        <v>1.593285221</v>
      </c>
      <c r="AK164" s="57">
        <f>IFERROR(__xludf.DUMMYFUNCTION("""COMPUTED_VALUE"""),1.3789314082690265)</f>
        <v>1.378931408</v>
      </c>
      <c r="AL164" s="57">
        <f>IFERROR(__xludf.DUMMYFUNCTION("""COMPUTED_VALUE"""),0.3095945785281179)</f>
        <v>0.3095945785</v>
      </c>
      <c r="AM164" s="57">
        <f>IFERROR(__xludf.DUMMYFUNCTION("""COMPUTED_VALUE"""),1.28026325937733)</f>
        <v>1.280263259</v>
      </c>
      <c r="AN164" s="57">
        <f>IFERROR(__xludf.DUMMYFUNCTION("""COMPUTED_VALUE"""),1.548829867545124)</f>
        <v>1.548829868</v>
      </c>
      <c r="AO164" s="57">
        <f>IFERROR(__xludf.DUMMYFUNCTION("""COMPUTED_VALUE"""),2.063711635021448)</f>
        <v>2.063711635</v>
      </c>
      <c r="AP164" s="35">
        <f>IFERROR(__xludf.DUMMYFUNCTION("""COMPUTED_VALUE"""),1.0913343180699162)</f>
        <v>1.091334318</v>
      </c>
      <c r="AQ164" s="57">
        <f>IFERROR(__xludf.DUMMYFUNCTION("""COMPUTED_VALUE"""),1.2330066972153684)</f>
        <v>1.233006697</v>
      </c>
      <c r="AR164" s="36" t="b">
        <f>IFERROR(__xludf.DUMMYFUNCTION("""COMPUTED_VALUE"""),TRUE)</f>
        <v>1</v>
      </c>
      <c r="AS164" s="57"/>
      <c r="AT164" s="37"/>
      <c r="AU164" s="30"/>
      <c r="AV164" s="30"/>
      <c r="AW164" s="30"/>
      <c r="AX164" s="30"/>
      <c r="AY164" s="30"/>
      <c r="AZ164" s="30"/>
    </row>
    <row r="165">
      <c r="A165" s="30" t="str">
        <f>IFERROR(__xludf.DUMMYFUNCTION("""COMPUTED_VALUE"""),"Challenger")</f>
        <v>Challenger</v>
      </c>
      <c r="B165" s="30" t="str">
        <f>IFERROR(__xludf.DUMMYFUNCTION("""COMPUTED_VALUE"""),"RSC006868")</f>
        <v>RSC006868</v>
      </c>
      <c r="C165" s="30" t="str">
        <f>IFERROR(__xludf.DUMMYFUNCTION("""COMPUTED_VALUE"""),"TraxStar_19")</f>
        <v>TraxStar_19</v>
      </c>
      <c r="D165" s="31" t="str">
        <f>IFERROR(__xludf.DUMMYFUNCTION("""COMPUTED_VALUE"""),"Warbirds")</f>
        <v>Warbirds</v>
      </c>
      <c r="E165" s="31">
        <f>IFERROR(__xludf.DUMMYFUNCTION("""COMPUTED_VALUE"""),-23.039689213670115)</f>
        <v>-23.03968921</v>
      </c>
      <c r="F165" s="31">
        <f>IFERROR(__xludf.DUMMYFUNCTION("""COMPUTED_VALUE"""),-574.2961776261999)</f>
        <v>-574.2961776</v>
      </c>
      <c r="G165" s="31">
        <f>IFERROR(__xludf.DUMMYFUNCTION("""COMPUTED_VALUE"""),-36.069858261311424)</f>
        <v>-36.06985826</v>
      </c>
      <c r="H165" s="31">
        <f>IFERROR(__xludf.DUMMYFUNCTION("""COMPUTED_VALUE"""),-3473.8084533581664)</f>
        <v>-3473.808453</v>
      </c>
      <c r="I165" s="54">
        <f>IFERROR(__xludf.DUMMYFUNCTION("""COMPUTED_VALUE"""),6.0)</f>
        <v>6</v>
      </c>
      <c r="J165" s="55">
        <f>IFERROR(__xludf.DUMMYFUNCTION("""COMPUTED_VALUE"""),2.0)</f>
        <v>2</v>
      </c>
      <c r="K165" s="54">
        <f>IFERROR(__xludf.DUMMYFUNCTION("""COMPUTED_VALUE"""),4.0)</f>
        <v>4</v>
      </c>
      <c r="L165" s="56">
        <f>IFERROR(__xludf.DUMMYFUNCTION("""COMPUTED_VALUE"""),0.3333333333333333)</f>
        <v>0.3333333333</v>
      </c>
      <c r="M165" s="56">
        <f>IFERROR(__xludf.DUMMYFUNCTION("""COMPUTED_VALUE"""),0.375)</f>
        <v>0.375</v>
      </c>
      <c r="N165" s="31">
        <f>IFERROR(__xludf.DUMMYFUNCTION("""COMPUTED_VALUE"""),194.5)</f>
        <v>194.5</v>
      </c>
      <c r="O165" s="57">
        <f>IFERROR(__xludf.DUMMYFUNCTION("""COMPUTED_VALUE"""),0.5)</f>
        <v>0.5</v>
      </c>
      <c r="P165" s="57">
        <f>IFERROR(__xludf.DUMMYFUNCTION("""COMPUTED_VALUE"""),0.0)</f>
        <v>0</v>
      </c>
      <c r="Q165" s="57">
        <f>IFERROR(__xludf.DUMMYFUNCTION("""COMPUTED_VALUE"""),1.3333333333333333)</f>
        <v>1.333333333</v>
      </c>
      <c r="R165" s="57">
        <f>IFERROR(__xludf.DUMMYFUNCTION("""COMPUTED_VALUE"""),1.3333333333333333)</f>
        <v>1.333333333</v>
      </c>
      <c r="S165" s="31">
        <f>IFERROR(__xludf.DUMMYFUNCTION("""COMPUTED_VALUE"""),424.6666666666667)</f>
        <v>424.6666667</v>
      </c>
      <c r="T165" s="57">
        <f>IFERROR(__xludf.DUMMYFUNCTION("""COMPUTED_VALUE"""),1.2777777777777777)</f>
        <v>1.277777778</v>
      </c>
      <c r="U165" s="57">
        <f>IFERROR(__xludf.DUMMYFUNCTION("""COMPUTED_VALUE"""),1.0)</f>
        <v>1</v>
      </c>
      <c r="V165" s="57">
        <f>IFERROR(__xludf.DUMMYFUNCTION("""COMPUTED_VALUE"""),1.0)</f>
        <v>1</v>
      </c>
      <c r="W165" s="57">
        <f>IFERROR(__xludf.DUMMYFUNCTION("""COMPUTED_VALUE"""),3.944444444444444)</f>
        <v>3.944444444</v>
      </c>
      <c r="X165" s="31">
        <f>IFERROR(__xludf.DUMMYFUNCTION("""COMPUTED_VALUE"""),341.1624183441061)</f>
        <v>341.1624183</v>
      </c>
      <c r="Y165" s="57">
        <f>IFERROR(__xludf.DUMMYFUNCTION("""COMPUTED_VALUE"""),0.8279099643642)</f>
        <v>0.8279099644</v>
      </c>
      <c r="Z165" s="57">
        <f>IFERROR(__xludf.DUMMYFUNCTION("""COMPUTED_VALUE"""),0.5646959263599705)</f>
        <v>0.5646959264</v>
      </c>
      <c r="AA165" s="57">
        <f>IFERROR(__xludf.DUMMYFUNCTION("""COMPUTED_VALUE"""),1.168132719870197)</f>
        <v>1.16813272</v>
      </c>
      <c r="AB165" s="57">
        <f>IFERROR(__xludf.DUMMYFUNCTION("""COMPUTED_VALUE"""),2.4908340908734297)</f>
        <v>2.490834091</v>
      </c>
      <c r="AC165" s="31">
        <f>IFERROR(__xludf.DUMMYFUNCTION("""COMPUTED_VALUE"""),324.0376427798645)</f>
        <v>324.0376428</v>
      </c>
      <c r="AD165" s="57">
        <f>IFERROR(__xludf.DUMMYFUNCTION("""COMPUTED_VALUE"""),0.6987340533083167)</f>
        <v>0.6987340533</v>
      </c>
      <c r="AE165" s="57">
        <f>IFERROR(__xludf.DUMMYFUNCTION("""COMPUTED_VALUE"""),0.5205670443759437)</f>
        <v>0.5205670444</v>
      </c>
      <c r="AF165" s="57">
        <f>IFERROR(__xludf.DUMMYFUNCTION("""COMPUTED_VALUE"""),1.253590208540379)</f>
        <v>1.253590209</v>
      </c>
      <c r="AG165" s="57">
        <f>IFERROR(__xludf.DUMMYFUNCTION("""COMPUTED_VALUE"""),2.239791435394198)</f>
        <v>2.239791435</v>
      </c>
      <c r="AH165" s="57">
        <f>IFERROR(__xludf.DUMMYFUNCTION("""COMPUTED_VALUE"""),0.600238905367343)</f>
        <v>0.6002389054</v>
      </c>
      <c r="AI165" s="57">
        <f>IFERROR(__xludf.DUMMYFUNCTION("""COMPUTED_VALUE"""),0.7155798370390498)</f>
        <v>0.715579837</v>
      </c>
      <c r="AJ165" s="57">
        <f>IFERROR(__xludf.DUMMYFUNCTION("""COMPUTED_VALUE"""),0.0)</f>
        <v>0</v>
      </c>
      <c r="AK165" s="57">
        <f>IFERROR(__xludf.DUMMYFUNCTION("""COMPUTED_VALUE"""),1.0636117961433373)</f>
        <v>1.063611796</v>
      </c>
      <c r="AL165" s="57">
        <f>IFERROR(__xludf.DUMMYFUNCTION("""COMPUTED_VALUE"""),0.5952935225411601)</f>
        <v>0.5952935225</v>
      </c>
      <c r="AM165" s="57">
        <f>IFERROR(__xludf.DUMMYFUNCTION("""COMPUTED_VALUE"""),1.24476391253135)</f>
        <v>1.244763913</v>
      </c>
      <c r="AN165" s="57">
        <f>IFERROR(__xludf.DUMMYFUNCTION("""COMPUTED_VALUE"""),1.5433777014135315)</f>
        <v>1.543377701</v>
      </c>
      <c r="AO165" s="57">
        <f>IFERROR(__xludf.DUMMYFUNCTION("""COMPUTED_VALUE"""),1.7708645543912442)</f>
        <v>1.770864554</v>
      </c>
      <c r="AP165" s="35">
        <f>IFERROR(__xludf.DUMMYFUNCTION("""COMPUTED_VALUE"""),0.8560671086339574)</f>
        <v>0.8560671086</v>
      </c>
      <c r="AQ165" s="57">
        <f>IFERROR(__xludf.DUMMYFUNCTION("""COMPUTED_VALUE"""),1.5835837717562695)</f>
        <v>1.583583772</v>
      </c>
      <c r="AR165" s="36" t="b">
        <f>IFERROR(__xludf.DUMMYFUNCTION("""COMPUTED_VALUE"""),TRUE)</f>
        <v>1</v>
      </c>
      <c r="AS165" s="57"/>
      <c r="AT165" s="37"/>
      <c r="AU165" s="30"/>
      <c r="AV165" s="30"/>
      <c r="AW165" s="30"/>
      <c r="AX165" s="30"/>
      <c r="AY165" s="30"/>
      <c r="AZ165" s="30"/>
    </row>
    <row r="166">
      <c r="A166" s="30" t="str">
        <f>IFERROR(__xludf.DUMMYFUNCTION("""COMPUTED_VALUE"""),"Challenger")</f>
        <v>Challenger</v>
      </c>
      <c r="B166" s="30" t="str">
        <f>IFERROR(__xludf.DUMMYFUNCTION("""COMPUTED_VALUE"""),"RSC007874")</f>
        <v>RSC007874</v>
      </c>
      <c r="C166" s="30" t="str">
        <f>IFERROR(__xludf.DUMMYFUNCTION("""COMPUTED_VALUE"""),"SALTY NUM NUM")</f>
        <v>SALTY NUM NUM</v>
      </c>
      <c r="D166" s="31" t="str">
        <f>IFERROR(__xludf.DUMMYFUNCTION("""COMPUTED_VALUE"""),"Apple Associates")</f>
        <v>Apple Associates</v>
      </c>
      <c r="E166" s="31">
        <f>IFERROR(__xludf.DUMMYFUNCTION("""COMPUTED_VALUE"""),-38.7337930364221)</f>
        <v>-38.73379304</v>
      </c>
      <c r="F166" s="31">
        <f>IFERROR(__xludf.DUMMYFUNCTION("""COMPUTED_VALUE"""),-5178.920190366019)</f>
        <v>-5178.92019</v>
      </c>
      <c r="G166" s="31">
        <f>IFERROR(__xludf.DUMMYFUNCTION("""COMPUTED_VALUE"""),-31.95601502870487)</f>
        <v>-31.95601503</v>
      </c>
      <c r="H166" s="31">
        <f>IFERROR(__xludf.DUMMYFUNCTION("""COMPUTED_VALUE"""),-1914.6759099152066)</f>
        <v>-1914.67591</v>
      </c>
      <c r="I166" s="54">
        <f>IFERROR(__xludf.DUMMYFUNCTION("""COMPUTED_VALUE"""),6.0)</f>
        <v>6</v>
      </c>
      <c r="J166" s="55">
        <f>IFERROR(__xludf.DUMMYFUNCTION("""COMPUTED_VALUE"""),1.0)</f>
        <v>1</v>
      </c>
      <c r="K166" s="54">
        <f>IFERROR(__xludf.DUMMYFUNCTION("""COMPUTED_VALUE"""),5.0)</f>
        <v>5</v>
      </c>
      <c r="L166" s="56">
        <f>IFERROR(__xludf.DUMMYFUNCTION("""COMPUTED_VALUE"""),0.16666666666666666)</f>
        <v>0.1666666667</v>
      </c>
      <c r="M166" s="56">
        <f>IFERROR(__xludf.DUMMYFUNCTION("""COMPUTED_VALUE"""),0.5)</f>
        <v>0.5</v>
      </c>
      <c r="N166" s="31">
        <f>IFERROR(__xludf.DUMMYFUNCTION("""COMPUTED_VALUE"""),185.0)</f>
        <v>185</v>
      </c>
      <c r="O166" s="57">
        <f>IFERROR(__xludf.DUMMYFUNCTION("""COMPUTED_VALUE"""),0.3333333333333333)</f>
        <v>0.3333333333</v>
      </c>
      <c r="P166" s="57">
        <f>IFERROR(__xludf.DUMMYFUNCTION("""COMPUTED_VALUE"""),0.0)</f>
        <v>0</v>
      </c>
      <c r="Q166" s="57">
        <f>IFERROR(__xludf.DUMMYFUNCTION("""COMPUTED_VALUE"""),0.8333333333333334)</f>
        <v>0.8333333333</v>
      </c>
      <c r="R166" s="57">
        <f>IFERROR(__xludf.DUMMYFUNCTION("""COMPUTED_VALUE"""),0.6666666666666666)</f>
        <v>0.6666666667</v>
      </c>
      <c r="S166" s="31">
        <f>IFERROR(__xludf.DUMMYFUNCTION("""COMPUTED_VALUE"""),381.7222222222222)</f>
        <v>381.7222222</v>
      </c>
      <c r="T166" s="57">
        <f>IFERROR(__xludf.DUMMYFUNCTION("""COMPUTED_VALUE"""),1.388888888888889)</f>
        <v>1.388888889</v>
      </c>
      <c r="U166" s="57">
        <f>IFERROR(__xludf.DUMMYFUNCTION("""COMPUTED_VALUE"""),0.9444444444444443)</f>
        <v>0.9444444444</v>
      </c>
      <c r="V166" s="57">
        <f>IFERROR(__xludf.DUMMYFUNCTION("""COMPUTED_VALUE"""),0.4444444444444445)</f>
        <v>0.4444444444</v>
      </c>
      <c r="W166" s="57">
        <f>IFERROR(__xludf.DUMMYFUNCTION("""COMPUTED_VALUE"""),3.2222222222222228)</f>
        <v>3.222222222</v>
      </c>
      <c r="X166" s="31">
        <f>IFERROR(__xludf.DUMMYFUNCTION("""COMPUTED_VALUE"""),328.05512965158937)</f>
        <v>328.0551297</v>
      </c>
      <c r="Y166" s="57">
        <f>IFERROR(__xludf.DUMMYFUNCTION("""COMPUTED_VALUE"""),0.7472515020470539)</f>
        <v>0.747251502</v>
      </c>
      <c r="Z166" s="57">
        <f>IFERROR(__xludf.DUMMYFUNCTION("""COMPUTED_VALUE"""),0.572189580081606)</f>
        <v>0.5721895801</v>
      </c>
      <c r="AA166" s="57">
        <f>IFERROR(__xludf.DUMMYFUNCTION("""COMPUTED_VALUE"""),1.0502283992827255)</f>
        <v>1.050228399</v>
      </c>
      <c r="AB166" s="57">
        <f>IFERROR(__xludf.DUMMYFUNCTION("""COMPUTED_VALUE"""),2.4294162494198965)</f>
        <v>2.429416249</v>
      </c>
      <c r="AC166" s="31">
        <f>IFERROR(__xludf.DUMMYFUNCTION("""COMPUTED_VALUE"""),311.94741505413646)</f>
        <v>311.9474151</v>
      </c>
      <c r="AD166" s="57">
        <f>IFERROR(__xludf.DUMMYFUNCTION("""COMPUTED_VALUE"""),0.6812485623494812)</f>
        <v>0.6812485623</v>
      </c>
      <c r="AE166" s="57">
        <f>IFERROR(__xludf.DUMMYFUNCTION("""COMPUTED_VALUE"""),0.47495139108749357)</f>
        <v>0.4749513911</v>
      </c>
      <c r="AF166" s="57">
        <f>IFERROR(__xludf.DUMMYFUNCTION("""COMPUTED_VALUE"""),1.17221632872603)</f>
        <v>1.172216329</v>
      </c>
      <c r="AG166" s="57">
        <f>IFERROR(__xludf.DUMMYFUNCTION("""COMPUTED_VALUE"""),2.1686461857531647)</f>
        <v>2.168646186</v>
      </c>
      <c r="AH166" s="57">
        <f>IFERROR(__xludf.DUMMYFUNCTION("""COMPUTED_VALUE"""),0.5930486712572837)</f>
        <v>0.5930486713</v>
      </c>
      <c r="AI166" s="57">
        <f>IFERROR(__xludf.DUMMYFUNCTION("""COMPUTED_VALUE"""),0.4892976686567054)</f>
        <v>0.4892976687</v>
      </c>
      <c r="AJ166" s="57">
        <f>IFERROR(__xludf.DUMMYFUNCTION("""COMPUTED_VALUE"""),0.0)</f>
        <v>0</v>
      </c>
      <c r="AK166" s="57">
        <f>IFERROR(__xludf.DUMMYFUNCTION("""COMPUTED_VALUE"""),0.7109040480940951)</f>
        <v>0.7109040481</v>
      </c>
      <c r="AL166" s="57">
        <f>IFERROR(__xludf.DUMMYFUNCTION("""COMPUTED_VALUE"""),0.30741144915491836)</f>
        <v>0.3074114492</v>
      </c>
      <c r="AM166" s="57">
        <f>IFERROR(__xludf.DUMMYFUNCTION("""COMPUTED_VALUE"""),1.1635916884690385)</f>
        <v>1.163591688</v>
      </c>
      <c r="AN166" s="57">
        <f>IFERROR(__xludf.DUMMYFUNCTION("""COMPUTED_VALUE"""),1.858663227954852)</f>
        <v>1.858663228</v>
      </c>
      <c r="AO166" s="57">
        <f>IFERROR(__xludf.DUMMYFUNCTION("""COMPUTED_VALUE"""),1.65057959340984)</f>
        <v>1.650579593</v>
      </c>
      <c r="AP166" s="35">
        <f>IFERROR(__xludf.DUMMYFUNCTION("""COMPUTED_VALUE"""),0.42318837002311754)</f>
        <v>0.42318837</v>
      </c>
      <c r="AQ166" s="57">
        <f>IFERROR(__xludf.DUMMYFUNCTION("""COMPUTED_VALUE"""),1.326335996555401)</f>
        <v>1.326335997</v>
      </c>
      <c r="AR166" s="36" t="b">
        <f>IFERROR(__xludf.DUMMYFUNCTION("""COMPUTED_VALUE"""),TRUE)</f>
        <v>1</v>
      </c>
      <c r="AS166" s="57"/>
      <c r="AT166" s="37"/>
      <c r="AU166" s="30"/>
      <c r="AV166" s="30"/>
      <c r="AW166" s="30"/>
      <c r="AX166" s="30"/>
      <c r="AY166" s="30"/>
      <c r="AZ166" s="30"/>
    </row>
    <row r="167">
      <c r="A167" s="30" t="str">
        <f>IFERROR(__xludf.DUMMYFUNCTION("""COMPUTED_VALUE"""),"Contender")</f>
        <v>Contender</v>
      </c>
      <c r="B167" s="30" t="str">
        <f>IFERROR(__xludf.DUMMYFUNCTION("""COMPUTED_VALUE"""),"RSC006439")</f>
        <v>RSC006439</v>
      </c>
      <c r="C167" s="30" t="str">
        <f>IFERROR(__xludf.DUMMYFUNCTION("""COMPUTED_VALUE"""),"sel_en_ium")</f>
        <v>sel_en_ium</v>
      </c>
      <c r="D167" s="31"/>
      <c r="E167" s="31">
        <f>IFERROR(__xludf.DUMMYFUNCTION("""COMPUTED_VALUE"""),134.30394175395634)</f>
        <v>134.3039418</v>
      </c>
      <c r="F167" s="31">
        <f>IFERROR(__xludf.DUMMYFUNCTION("""COMPUTED_VALUE"""),2681.621580857488)</f>
        <v>2681.621581</v>
      </c>
      <c r="G167" s="31">
        <f>IFERROR(__xludf.DUMMYFUNCTION("""COMPUTED_VALUE"""),98.33068682153464)</f>
        <v>98.33068682</v>
      </c>
      <c r="H167" s="31">
        <f>IFERROR(__xludf.DUMMYFUNCTION("""COMPUTED_VALUE"""),37.58820413940523)</f>
        <v>37.58820414</v>
      </c>
      <c r="I167" s="54">
        <f>IFERROR(__xludf.DUMMYFUNCTION("""COMPUTED_VALUE"""),1.0)</f>
        <v>1</v>
      </c>
      <c r="J167" s="55">
        <f>IFERROR(__xludf.DUMMYFUNCTION("""COMPUTED_VALUE"""),1.0)</f>
        <v>1</v>
      </c>
      <c r="K167" s="54">
        <f>IFERROR(__xludf.DUMMYFUNCTION("""COMPUTED_VALUE"""),0.0)</f>
        <v>0</v>
      </c>
      <c r="L167" s="56">
        <f>IFERROR(__xludf.DUMMYFUNCTION("""COMPUTED_VALUE"""),1.0)</f>
        <v>1</v>
      </c>
      <c r="M167" s="56">
        <f>IFERROR(__xludf.DUMMYFUNCTION("""COMPUTED_VALUE"""),0.3333333333333333)</f>
        <v>0.3333333333</v>
      </c>
      <c r="N167" s="31">
        <f>IFERROR(__xludf.DUMMYFUNCTION("""COMPUTED_VALUE"""),378.0)</f>
        <v>378</v>
      </c>
      <c r="O167" s="57">
        <f>IFERROR(__xludf.DUMMYFUNCTION("""COMPUTED_VALUE"""),1.0)</f>
        <v>1</v>
      </c>
      <c r="P167" s="57">
        <f>IFERROR(__xludf.DUMMYFUNCTION("""COMPUTED_VALUE"""),2.0)</f>
        <v>2</v>
      </c>
      <c r="Q167" s="57">
        <f>IFERROR(__xludf.DUMMYFUNCTION("""COMPUTED_VALUE"""),1.0)</f>
        <v>1</v>
      </c>
      <c r="R167" s="57">
        <f>IFERROR(__xludf.DUMMYFUNCTION("""COMPUTED_VALUE"""),3.0)</f>
        <v>3</v>
      </c>
      <c r="S167" s="31">
        <f>IFERROR(__xludf.DUMMYFUNCTION("""COMPUTED_VALUE"""),167.33333333333334)</f>
        <v>167.3333333</v>
      </c>
      <c r="T167" s="57">
        <f>IFERROR(__xludf.DUMMYFUNCTION("""COMPUTED_VALUE"""),0.3333333333333333)</f>
        <v>0.3333333333</v>
      </c>
      <c r="U167" s="57">
        <f>IFERROR(__xludf.DUMMYFUNCTION("""COMPUTED_VALUE"""),0.0)</f>
        <v>0</v>
      </c>
      <c r="V167" s="57">
        <f>IFERROR(__xludf.DUMMYFUNCTION("""COMPUTED_VALUE"""),0.6666666666666666)</f>
        <v>0.6666666667</v>
      </c>
      <c r="W167" s="57">
        <f>IFERROR(__xludf.DUMMYFUNCTION("""COMPUTED_VALUE"""),1.3333333333333333)</f>
        <v>1.333333333</v>
      </c>
      <c r="X167" s="31">
        <f>IFERROR(__xludf.DUMMYFUNCTION("""COMPUTED_VALUE"""),347.75910150645626)</f>
        <v>347.7591015</v>
      </c>
      <c r="Y167" s="57">
        <f>IFERROR(__xludf.DUMMYFUNCTION("""COMPUTED_VALUE"""),0.9193268770923003)</f>
        <v>0.9193268771</v>
      </c>
      <c r="Z167" s="57">
        <f>IFERROR(__xludf.DUMMYFUNCTION("""COMPUTED_VALUE"""),0.7133847441415591)</f>
        <v>0.7133847441</v>
      </c>
      <c r="AA167" s="57">
        <f>IFERROR(__xludf.DUMMYFUNCTION("""COMPUTED_VALUE"""),0.9794506217120995)</f>
        <v>0.9794506217</v>
      </c>
      <c r="AB167" s="57">
        <f>IFERROR(__xludf.DUMMYFUNCTION("""COMPUTED_VALUE"""),2.326219512195122)</f>
        <v>2.326219512</v>
      </c>
      <c r="AC167" s="31">
        <f>IFERROR(__xludf.DUMMYFUNCTION("""COMPUTED_VALUE"""),325.0937151283278)</f>
        <v>325.0937151</v>
      </c>
      <c r="AD167" s="57">
        <f>IFERROR(__xludf.DUMMYFUNCTION("""COMPUTED_VALUE"""),0.8427486848397896)</f>
        <v>0.8427486848</v>
      </c>
      <c r="AE167" s="57">
        <f>IFERROR(__xludf.DUMMYFUNCTION("""COMPUTED_VALUE"""),0.5626295233540571)</f>
        <v>0.5626295234</v>
      </c>
      <c r="AF167" s="57">
        <f>IFERROR(__xludf.DUMMYFUNCTION("""COMPUTED_VALUE"""),1.0006426351028217)</f>
        <v>1.000642635</v>
      </c>
      <c r="AG167" s="57">
        <f>IFERROR(__xludf.DUMMYFUNCTION("""COMPUTED_VALUE"""),2.0951000318826716)</f>
        <v>2.095100032</v>
      </c>
      <c r="AH167" s="57">
        <f>IFERROR(__xludf.DUMMYFUNCTION("""COMPUTED_VALUE"""),1.1627416415933722)</f>
        <v>1.162741642</v>
      </c>
      <c r="AI167" s="57">
        <f>IFERROR(__xludf.DUMMYFUNCTION("""COMPUTED_VALUE"""),1.186593367618372)</f>
        <v>1.186593368</v>
      </c>
      <c r="AJ167" s="57">
        <f>IFERROR(__xludf.DUMMYFUNCTION("""COMPUTED_VALUE"""),3.554737028510713)</f>
        <v>3.554737029</v>
      </c>
      <c r="AK167" s="57">
        <f>IFERROR(__xludf.DUMMYFUNCTION("""COMPUTED_VALUE"""),0.9993577776118288)</f>
        <v>0.9993577776</v>
      </c>
      <c r="AL167" s="57">
        <f>IFERROR(__xludf.DUMMYFUNCTION("""COMPUTED_VALUE"""),1.4319125360826706)</f>
        <v>1.431912536</v>
      </c>
      <c r="AM167" s="57">
        <f>IFERROR(__xludf.DUMMYFUNCTION("""COMPUTED_VALUE"""),0.48117599973217884)</f>
        <v>0.4811759997</v>
      </c>
      <c r="AN167" s="57">
        <f>IFERROR(__xludf.DUMMYFUNCTION("""COMPUTED_VALUE"""),0.3625841271905582)</f>
        <v>0.3625841272</v>
      </c>
      <c r="AO167" s="57">
        <f>IFERROR(__xludf.DUMMYFUNCTION("""COMPUTED_VALUE"""),0.0)</f>
        <v>0</v>
      </c>
      <c r="AP167" s="35">
        <f>IFERROR(__xludf.DUMMYFUNCTION("""COMPUTED_VALUE"""),0.6806536765491249)</f>
        <v>0.6806536765</v>
      </c>
      <c r="AQ167" s="57">
        <f>IFERROR(__xludf.DUMMYFUNCTION("""COMPUTED_VALUE"""),0.5731760594145915)</f>
        <v>0.5731760594</v>
      </c>
      <c r="AR167" s="36" t="b">
        <f>IFERROR(__xludf.DUMMYFUNCTION("""COMPUTED_VALUE"""),TRUE)</f>
        <v>1</v>
      </c>
      <c r="AS167" s="57"/>
      <c r="AT167" s="37"/>
      <c r="AU167" s="30"/>
      <c r="AV167" s="30"/>
      <c r="AW167" s="30"/>
      <c r="AX167" s="30"/>
      <c r="AY167" s="30"/>
      <c r="AZ167" s="30"/>
    </row>
    <row r="168">
      <c r="A168" s="30" t="str">
        <f>IFERROR(__xludf.DUMMYFUNCTION("""COMPUTED_VALUE"""),"Contender")</f>
        <v>Contender</v>
      </c>
      <c r="B168" s="30" t="str">
        <f>IFERROR(__xludf.DUMMYFUNCTION("""COMPUTED_VALUE"""),"RSC007284")</f>
        <v>RSC007284</v>
      </c>
      <c r="C168" s="30" t="str">
        <f>IFERROR(__xludf.DUMMYFUNCTION("""COMPUTED_VALUE"""),"7aco104")</f>
        <v>7aco104</v>
      </c>
      <c r="D168" s="31" t="str">
        <f>IFERROR(__xludf.DUMMYFUNCTION("""COMPUTED_VALUE"""),"Cheese Pizza")</f>
        <v>Cheese Pizza</v>
      </c>
      <c r="E168" s="31">
        <f>IFERROR(__xludf.DUMMYFUNCTION("""COMPUTED_VALUE"""),101.25124038038958)</f>
        <v>101.2512404</v>
      </c>
      <c r="F168" s="31">
        <f>IFERROR(__xludf.DUMMYFUNCTION("""COMPUTED_VALUE"""),49.5545180093612)</f>
        <v>49.55451801</v>
      </c>
      <c r="G168" s="31">
        <f>IFERROR(__xludf.DUMMYFUNCTION("""COMPUTED_VALUE"""),86.29144424492335)</f>
        <v>86.29144424</v>
      </c>
      <c r="H168" s="31">
        <f>IFERROR(__xludf.DUMMYFUNCTION("""COMPUTED_VALUE"""),13.642863806323628)</f>
        <v>13.64286381</v>
      </c>
      <c r="I168" s="54">
        <f>IFERROR(__xludf.DUMMYFUNCTION("""COMPUTED_VALUE"""),47.0)</f>
        <v>47</v>
      </c>
      <c r="J168" s="55">
        <f>IFERROR(__xludf.DUMMYFUNCTION("""COMPUTED_VALUE"""),36.0)</f>
        <v>36</v>
      </c>
      <c r="K168" s="54">
        <f>IFERROR(__xludf.DUMMYFUNCTION("""COMPUTED_VALUE"""),11.0)</f>
        <v>11</v>
      </c>
      <c r="L168" s="56">
        <f>IFERROR(__xludf.DUMMYFUNCTION("""COMPUTED_VALUE"""),0.7659574468085106)</f>
        <v>0.7659574468</v>
      </c>
      <c r="M168" s="56">
        <f>IFERROR(__xludf.DUMMYFUNCTION("""COMPUTED_VALUE"""),0.4556213017751479)</f>
        <v>0.4556213018</v>
      </c>
      <c r="N168" s="31">
        <f>IFERROR(__xludf.DUMMYFUNCTION("""COMPUTED_VALUE"""),442.3191489361702)</f>
        <v>442.3191489</v>
      </c>
      <c r="O168" s="57">
        <f>IFERROR(__xludf.DUMMYFUNCTION("""COMPUTED_VALUE"""),1.6382978723404256)</f>
        <v>1.638297872</v>
      </c>
      <c r="P168" s="57">
        <f>IFERROR(__xludf.DUMMYFUNCTION("""COMPUTED_VALUE"""),0.8085106382978723)</f>
        <v>0.8085106383</v>
      </c>
      <c r="Q168" s="57">
        <f>IFERROR(__xludf.DUMMYFUNCTION("""COMPUTED_VALUE"""),1.0425531914893618)</f>
        <v>1.042553191</v>
      </c>
      <c r="R168" s="57">
        <f>IFERROR(__xludf.DUMMYFUNCTION("""COMPUTED_VALUE"""),3.595744680851064)</f>
        <v>3.595744681</v>
      </c>
      <c r="S168" s="31">
        <f>IFERROR(__xludf.DUMMYFUNCTION("""COMPUTED_VALUE"""),309.15602836879435)</f>
        <v>309.1560284</v>
      </c>
      <c r="T168" s="57">
        <f>IFERROR(__xludf.DUMMYFUNCTION("""COMPUTED_VALUE"""),0.5886524822695034)</f>
        <v>0.5886524823</v>
      </c>
      <c r="U168" s="57">
        <f>IFERROR(__xludf.DUMMYFUNCTION("""COMPUTED_VALUE"""),0.37588652482269513)</f>
        <v>0.3758865248</v>
      </c>
      <c r="V168" s="57">
        <f>IFERROR(__xludf.DUMMYFUNCTION("""COMPUTED_VALUE"""),1.4184397163120572)</f>
        <v>1.418439716</v>
      </c>
      <c r="W168" s="57">
        <f>IFERROR(__xludf.DUMMYFUNCTION("""COMPUTED_VALUE"""),1.8014184397163124)</f>
        <v>1.80141844</v>
      </c>
      <c r="X168" s="31">
        <f>IFERROR(__xludf.DUMMYFUNCTION("""COMPUTED_VALUE"""),323.454290791459)</f>
        <v>323.4542908</v>
      </c>
      <c r="Y168" s="57">
        <f>IFERROR(__xludf.DUMMYFUNCTION("""COMPUTED_VALUE"""),0.7805489916407775)</f>
        <v>0.7805489916</v>
      </c>
      <c r="Z168" s="57">
        <f>IFERROR(__xludf.DUMMYFUNCTION("""COMPUTED_VALUE"""),0.5268471596468896)</f>
        <v>0.5268471596</v>
      </c>
      <c r="AA168" s="57">
        <f>IFERROR(__xludf.DUMMYFUNCTION("""COMPUTED_VALUE"""),1.114349445541043)</f>
        <v>1.114349446</v>
      </c>
      <c r="AB168" s="57">
        <f>IFERROR(__xludf.DUMMYFUNCTION("""COMPUTED_VALUE"""),2.1959070542570576)</f>
        <v>2.195907054</v>
      </c>
      <c r="AC168" s="31">
        <f>IFERROR(__xludf.DUMMYFUNCTION("""COMPUTED_VALUE"""),334.1721079516128)</f>
        <v>334.172108</v>
      </c>
      <c r="AD168" s="57">
        <f>IFERROR(__xludf.DUMMYFUNCTION("""COMPUTED_VALUE"""),0.8684311550969672)</f>
        <v>0.8684311551</v>
      </c>
      <c r="AE168" s="57">
        <f>IFERROR(__xludf.DUMMYFUNCTION("""COMPUTED_VALUE"""),0.5849991810395068)</f>
        <v>0.584999181</v>
      </c>
      <c r="AF168" s="57">
        <f>IFERROR(__xludf.DUMMYFUNCTION("""COMPUTED_VALUE"""),1.0476836898840485)</f>
        <v>1.04768369</v>
      </c>
      <c r="AG168" s="57">
        <f>IFERROR(__xludf.DUMMYFUNCTION("""COMPUTED_VALUE"""),2.4010799823785978)</f>
        <v>2.401079982</v>
      </c>
      <c r="AH168" s="57">
        <f>IFERROR(__xludf.DUMMYFUNCTION("""COMPUTED_VALUE"""),1.3236267731842444)</f>
        <v>1.323626773</v>
      </c>
      <c r="AI168" s="57">
        <f>IFERROR(__xludf.DUMMYFUNCTION("""COMPUTED_VALUE"""),1.8865028767392582)</f>
        <v>1.886502877</v>
      </c>
      <c r="AJ168" s="57">
        <f>IFERROR(__xludf.DUMMYFUNCTION("""COMPUTED_VALUE"""),1.3820714019824776)</f>
        <v>1.382071402</v>
      </c>
      <c r="AK168" s="57">
        <f>IFERROR(__xludf.DUMMYFUNCTION("""COMPUTED_VALUE"""),0.9951030082416816)</f>
        <v>0.9951030082</v>
      </c>
      <c r="AL168" s="57">
        <f>IFERROR(__xludf.DUMMYFUNCTION("""COMPUTED_VALUE"""),1.497553062471908)</f>
        <v>1.497553062</v>
      </c>
      <c r="AM168" s="57">
        <f>IFERROR(__xludf.DUMMYFUNCTION("""COMPUTED_VALUE"""),0.9557951066666072)</f>
        <v>0.9557951067</v>
      </c>
      <c r="AN168" s="57">
        <f>IFERROR(__xludf.DUMMYFUNCTION("""COMPUTED_VALUE"""),0.754151870764842)</f>
        <v>0.7541518708</v>
      </c>
      <c r="AO168" s="57">
        <f>IFERROR(__xludf.DUMMYFUNCTION("""COMPUTED_VALUE"""),0.7134640814513012)</f>
        <v>0.7134640815</v>
      </c>
      <c r="AP168" s="35">
        <f>IFERROR(__xludf.DUMMYFUNCTION("""COMPUTED_VALUE"""),1.2728859174182756)</f>
        <v>1.272885917</v>
      </c>
      <c r="AQ168" s="57">
        <f>IFERROR(__xludf.DUMMYFUNCTION("""COMPUTED_VALUE"""),0.820352772319768)</f>
        <v>0.8203527723</v>
      </c>
      <c r="AR168" s="36" t="b">
        <f>IFERROR(__xludf.DUMMYFUNCTION("""COMPUTED_VALUE"""),TRUE)</f>
        <v>1</v>
      </c>
      <c r="AS168" s="57"/>
      <c r="AT168" s="37"/>
      <c r="AU168" s="30"/>
      <c r="AV168" s="30"/>
      <c r="AW168" s="30"/>
      <c r="AX168" s="30"/>
      <c r="AY168" s="30"/>
      <c r="AZ168" s="30"/>
    </row>
    <row r="169">
      <c r="A169" s="30" t="str">
        <f>IFERROR(__xludf.DUMMYFUNCTION("""COMPUTED_VALUE"""),"Contender")</f>
        <v>Contender</v>
      </c>
      <c r="B169" s="30" t="str">
        <f>IFERROR(__xludf.DUMMYFUNCTION("""COMPUTED_VALUE"""),"RSC006640")</f>
        <v>RSC006640</v>
      </c>
      <c r="C169" s="30" t="str">
        <f>IFERROR(__xludf.DUMMYFUNCTION("""COMPUTED_VALUE"""),"VeryBadKittyCat")</f>
        <v>VeryBadKittyCat</v>
      </c>
      <c r="D169" s="31" t="str">
        <f>IFERROR(__xludf.DUMMYFUNCTION("""COMPUTED_VALUE"""),"Cheese Pizza")</f>
        <v>Cheese Pizza</v>
      </c>
      <c r="E169" s="31">
        <f>IFERROR(__xludf.DUMMYFUNCTION("""COMPUTED_VALUE"""),95.87420018087742)</f>
        <v>95.87420018</v>
      </c>
      <c r="F169" s="31">
        <f>IFERROR(__xludf.DUMMYFUNCTION("""COMPUTED_VALUE"""),30.070471689071887)</f>
        <v>30.07047169</v>
      </c>
      <c r="G169" s="31">
        <f>IFERROR(__xludf.DUMMYFUNCTION("""COMPUTED_VALUE"""),75.53817264179911)</f>
        <v>75.53817264</v>
      </c>
      <c r="H169" s="31">
        <f>IFERROR(__xludf.DUMMYFUNCTION("""COMPUTED_VALUE"""),6.514554672666616)</f>
        <v>6.514554673</v>
      </c>
      <c r="I169" s="54">
        <f>IFERROR(__xludf.DUMMYFUNCTION("""COMPUTED_VALUE"""),36.0)</f>
        <v>36</v>
      </c>
      <c r="J169" s="55">
        <f>IFERROR(__xludf.DUMMYFUNCTION("""COMPUTED_VALUE"""),29.0)</f>
        <v>29</v>
      </c>
      <c r="K169" s="54">
        <f>IFERROR(__xludf.DUMMYFUNCTION("""COMPUTED_VALUE"""),7.0)</f>
        <v>7</v>
      </c>
      <c r="L169" s="56">
        <f>IFERROR(__xludf.DUMMYFUNCTION("""COMPUTED_VALUE"""),0.8055555555555556)</f>
        <v>0.8055555556</v>
      </c>
      <c r="M169" s="56">
        <f>IFERROR(__xludf.DUMMYFUNCTION("""COMPUTED_VALUE"""),0.31092436974789917)</f>
        <v>0.3109243697</v>
      </c>
      <c r="N169" s="31">
        <f>IFERROR(__xludf.DUMMYFUNCTION("""COMPUTED_VALUE"""),394.0833333333333)</f>
        <v>394.0833333</v>
      </c>
      <c r="O169" s="57">
        <f>IFERROR(__xludf.DUMMYFUNCTION("""COMPUTED_VALUE"""),1.0277777777777777)</f>
        <v>1.027777778</v>
      </c>
      <c r="P169" s="57">
        <f>IFERROR(__xludf.DUMMYFUNCTION("""COMPUTED_VALUE"""),1.1666666666666667)</f>
        <v>1.166666667</v>
      </c>
      <c r="Q169" s="57">
        <f>IFERROR(__xludf.DUMMYFUNCTION("""COMPUTED_VALUE"""),0.9166666666666666)</f>
        <v>0.9166666667</v>
      </c>
      <c r="R169" s="57">
        <f>IFERROR(__xludf.DUMMYFUNCTION("""COMPUTED_VALUE"""),3.3055555555555554)</f>
        <v>3.305555556</v>
      </c>
      <c r="S169" s="31">
        <f>IFERROR(__xludf.DUMMYFUNCTION("""COMPUTED_VALUE"""),308.8703703703704)</f>
        <v>308.8703704</v>
      </c>
      <c r="T169" s="57">
        <f>IFERROR(__xludf.DUMMYFUNCTION("""COMPUTED_VALUE"""),0.5462962962962963)</f>
        <v>0.5462962963</v>
      </c>
      <c r="U169" s="57">
        <f>IFERROR(__xludf.DUMMYFUNCTION("""COMPUTED_VALUE"""),0.3333333333333333)</f>
        <v>0.3333333333</v>
      </c>
      <c r="V169" s="57">
        <f>IFERROR(__xludf.DUMMYFUNCTION("""COMPUTED_VALUE"""),1.5740740740740742)</f>
        <v>1.574074074</v>
      </c>
      <c r="W169" s="57">
        <f>IFERROR(__xludf.DUMMYFUNCTION("""COMPUTED_VALUE"""),1.7314814814814814)</f>
        <v>1.731481481</v>
      </c>
      <c r="X169" s="31">
        <f>IFERROR(__xludf.DUMMYFUNCTION("""COMPUTED_VALUE"""),323.0345338116609)</f>
        <v>323.0345338</v>
      </c>
      <c r="Y169" s="57">
        <f>IFERROR(__xludf.DUMMYFUNCTION("""COMPUTED_VALUE"""),0.7848770232637068)</f>
        <v>0.7848770233</v>
      </c>
      <c r="Z169" s="57">
        <f>IFERROR(__xludf.DUMMYFUNCTION("""COMPUTED_VALUE"""),0.5284745140074422)</f>
        <v>0.528474514</v>
      </c>
      <c r="AA169" s="57">
        <f>IFERROR(__xludf.DUMMYFUNCTION("""COMPUTED_VALUE"""),1.1126642748322684)</f>
        <v>1.112664275</v>
      </c>
      <c r="AB169" s="57">
        <f>IFERROR(__xludf.DUMMYFUNCTION("""COMPUTED_VALUE"""),2.203011383166522)</f>
        <v>2.203011383</v>
      </c>
      <c r="AC169" s="31">
        <f>IFERROR(__xludf.DUMMYFUNCTION("""COMPUTED_VALUE"""),334.6564909210481)</f>
        <v>334.6564909</v>
      </c>
      <c r="AD169" s="57">
        <f>IFERROR(__xludf.DUMMYFUNCTION("""COMPUTED_VALUE"""),0.8695826198388447)</f>
        <v>0.8695826198</v>
      </c>
      <c r="AE169" s="57">
        <f>IFERROR(__xludf.DUMMYFUNCTION("""COMPUTED_VALUE"""),0.5812823093941161)</f>
        <v>0.5812823094</v>
      </c>
      <c r="AF169" s="57">
        <f>IFERROR(__xludf.DUMMYFUNCTION("""COMPUTED_VALUE"""),1.0530466386706112)</f>
        <v>1.053046639</v>
      </c>
      <c r="AG169" s="57">
        <f>IFERROR(__xludf.DUMMYFUNCTION("""COMPUTED_VALUE"""),2.4139443208699314)</f>
        <v>2.413944321</v>
      </c>
      <c r="AH169" s="57">
        <f>IFERROR(__xludf.DUMMYFUNCTION("""COMPUTED_VALUE"""),1.1775756455484534)</f>
        <v>1.177575646</v>
      </c>
      <c r="AI169" s="57">
        <f>IFERROR(__xludf.DUMMYFUNCTION("""COMPUTED_VALUE"""),1.1819207908827)</f>
        <v>1.181920791</v>
      </c>
      <c r="AJ169" s="57">
        <f>IFERROR(__xludf.DUMMYFUNCTION("""COMPUTED_VALUE"""),2.0070568944076594)</f>
        <v>2.007056894</v>
      </c>
      <c r="AK169" s="57">
        <f>IFERROR(__xludf.DUMMYFUNCTION("""COMPUTED_VALUE"""),0.8704900932250127)</f>
        <v>0.8704900932</v>
      </c>
      <c r="AL169" s="57">
        <f>IFERROR(__xludf.DUMMYFUNCTION("""COMPUTED_VALUE"""),1.3693586579347063)</f>
        <v>1.369358658</v>
      </c>
      <c r="AM169" s="57">
        <f>IFERROR(__xludf.DUMMYFUNCTION("""COMPUTED_VALUE"""),0.9561527887617469)</f>
        <v>0.9561527888</v>
      </c>
      <c r="AN169" s="57">
        <f>IFERROR(__xludf.DUMMYFUNCTION("""COMPUTED_VALUE"""),0.696027887304772)</f>
        <v>0.6960278873</v>
      </c>
      <c r="AO169" s="57">
        <f>IFERROR(__xludf.DUMMYFUNCTION("""COMPUTED_VALUE"""),0.6307462791453349)</f>
        <v>0.6307462791</v>
      </c>
      <c r="AP169" s="35">
        <f>IFERROR(__xludf.DUMMYFUNCTION("""COMPUTED_VALUE"""),1.4146891471925458)</f>
        <v>1.414689147</v>
      </c>
      <c r="AQ169" s="57">
        <f>IFERROR(__xludf.DUMMYFUNCTION("""COMPUTED_VALUE"""),0.7859612050631885)</f>
        <v>0.7859612051</v>
      </c>
      <c r="AR169" s="36" t="b">
        <f>IFERROR(__xludf.DUMMYFUNCTION("""COMPUTED_VALUE"""),TRUE)</f>
        <v>1</v>
      </c>
      <c r="AS169" s="57"/>
      <c r="AT169" s="37"/>
      <c r="AU169" s="30"/>
      <c r="AV169" s="30"/>
      <c r="AW169" s="30"/>
      <c r="AX169" s="30"/>
      <c r="AY169" s="30"/>
      <c r="AZ169" s="30"/>
    </row>
    <row r="170">
      <c r="A170" s="30" t="str">
        <f>IFERROR(__xludf.DUMMYFUNCTION("""COMPUTED_VALUE"""),"Contender")</f>
        <v>Contender</v>
      </c>
      <c r="B170" s="30" t="str">
        <f>IFERROR(__xludf.DUMMYFUNCTION("""COMPUTED_VALUE"""),"RSC007537")</f>
        <v>RSC007537</v>
      </c>
      <c r="C170" s="30" t="str">
        <f>IFERROR(__xludf.DUMMYFUNCTION("""COMPUTED_VALUE"""),"yoshawatt")</f>
        <v>yoshawatt</v>
      </c>
      <c r="D170" s="31" t="str">
        <f>IFERROR(__xludf.DUMMYFUNCTION("""COMPUTED_VALUE"""),"Rheas")</f>
        <v>Rheas</v>
      </c>
      <c r="E170" s="31">
        <f>IFERROR(__xludf.DUMMYFUNCTION("""COMPUTED_VALUE"""),93.25806210211567)</f>
        <v>93.2580621</v>
      </c>
      <c r="F170" s="31">
        <f>IFERROR(__xludf.DUMMYFUNCTION("""COMPUTED_VALUE"""),23.931267122945563)</f>
        <v>23.93126712</v>
      </c>
      <c r="G170" s="31">
        <f>IFERROR(__xludf.DUMMYFUNCTION("""COMPUTED_VALUE"""),83.29808871086954)</f>
        <v>83.29808871</v>
      </c>
      <c r="H170" s="31">
        <f>IFERROR(__xludf.DUMMYFUNCTION("""COMPUTED_VALUE"""),10.935815334715189)</f>
        <v>10.93581533</v>
      </c>
      <c r="I170" s="54">
        <f>IFERROR(__xludf.DUMMYFUNCTION("""COMPUTED_VALUE"""),39.0)</f>
        <v>39</v>
      </c>
      <c r="J170" s="55">
        <f>IFERROR(__xludf.DUMMYFUNCTION("""COMPUTED_VALUE"""),29.0)</f>
        <v>29</v>
      </c>
      <c r="K170" s="54">
        <f>IFERROR(__xludf.DUMMYFUNCTION("""COMPUTED_VALUE"""),10.0)</f>
        <v>10</v>
      </c>
      <c r="L170" s="56">
        <f>IFERROR(__xludf.DUMMYFUNCTION("""COMPUTED_VALUE"""),0.7435897435897436)</f>
        <v>0.7435897436</v>
      </c>
      <c r="M170" s="56">
        <f>IFERROR(__xludf.DUMMYFUNCTION("""COMPUTED_VALUE"""),0.3680555555555555)</f>
        <v>0.3680555556</v>
      </c>
      <c r="N170" s="31">
        <f>IFERROR(__xludf.DUMMYFUNCTION("""COMPUTED_VALUE"""),388.43589743589746)</f>
        <v>388.4358974</v>
      </c>
      <c r="O170" s="57">
        <f>IFERROR(__xludf.DUMMYFUNCTION("""COMPUTED_VALUE"""),1.358974358974359)</f>
        <v>1.358974359</v>
      </c>
      <c r="P170" s="57">
        <f>IFERROR(__xludf.DUMMYFUNCTION("""COMPUTED_VALUE"""),0.7692307692307693)</f>
        <v>0.7692307692</v>
      </c>
      <c r="Q170" s="57">
        <f>IFERROR(__xludf.DUMMYFUNCTION("""COMPUTED_VALUE"""),0.6923076923076923)</f>
        <v>0.6923076923</v>
      </c>
      <c r="R170" s="57">
        <f>IFERROR(__xludf.DUMMYFUNCTION("""COMPUTED_VALUE"""),3.6923076923076925)</f>
        <v>3.692307692</v>
      </c>
      <c r="S170" s="31">
        <f>IFERROR(__xludf.DUMMYFUNCTION("""COMPUTED_VALUE"""),291.3418803418804)</f>
        <v>291.3418803</v>
      </c>
      <c r="T170" s="57">
        <f>IFERROR(__xludf.DUMMYFUNCTION("""COMPUTED_VALUE"""),0.5811965811965811)</f>
        <v>0.5811965812</v>
      </c>
      <c r="U170" s="57">
        <f>IFERROR(__xludf.DUMMYFUNCTION("""COMPUTED_VALUE"""),0.3931623931623932)</f>
        <v>0.3931623932</v>
      </c>
      <c r="V170" s="57">
        <f>IFERROR(__xludf.DUMMYFUNCTION("""COMPUTED_VALUE"""),1.1880341880341883)</f>
        <v>1.188034188</v>
      </c>
      <c r="W170" s="57">
        <f>IFERROR(__xludf.DUMMYFUNCTION("""COMPUTED_VALUE"""),1.8803418803418805)</f>
        <v>1.88034188</v>
      </c>
      <c r="X170" s="31">
        <f>IFERROR(__xludf.DUMMYFUNCTION("""COMPUTED_VALUE"""),330.92291653578997)</f>
        <v>330.9229165</v>
      </c>
      <c r="Y170" s="57">
        <f>IFERROR(__xludf.DUMMYFUNCTION("""COMPUTED_VALUE"""),0.8414799362951411)</f>
        <v>0.8414799363</v>
      </c>
      <c r="Z170" s="57">
        <f>IFERROR(__xludf.DUMMYFUNCTION("""COMPUTED_VALUE"""),0.5359025773710306)</f>
        <v>0.5359025774</v>
      </c>
      <c r="AA170" s="57">
        <f>IFERROR(__xludf.DUMMYFUNCTION("""COMPUTED_VALUE"""),1.086463400694407)</f>
        <v>1.086463401</v>
      </c>
      <c r="AB170" s="57">
        <f>IFERROR(__xludf.DUMMYFUNCTION("""COMPUTED_VALUE"""),2.3152378869127594)</f>
        <v>2.315237887</v>
      </c>
      <c r="AC170" s="31">
        <f>IFERROR(__xludf.DUMMYFUNCTION("""COMPUTED_VALUE"""),331.91115999600396)</f>
        <v>331.91116</v>
      </c>
      <c r="AD170" s="57">
        <f>IFERROR(__xludf.DUMMYFUNCTION("""COMPUTED_VALUE"""),0.8447287750677831)</f>
        <v>0.8447287751</v>
      </c>
      <c r="AE170" s="57">
        <f>IFERROR(__xludf.DUMMYFUNCTION("""COMPUTED_VALUE"""),0.5698720652932353)</f>
        <v>0.5698720653</v>
      </c>
      <c r="AF170" s="57">
        <f>IFERROR(__xludf.DUMMYFUNCTION("""COMPUTED_VALUE"""),1.074755707482332)</f>
        <v>1.074755707</v>
      </c>
      <c r="AG170" s="57">
        <f>IFERROR(__xludf.DUMMYFUNCTION("""COMPUTED_VALUE"""),2.326883614664836)</f>
        <v>2.326883615</v>
      </c>
      <c r="AH170" s="57">
        <f>IFERROR(__xludf.DUMMYFUNCTION("""COMPUTED_VALUE"""),1.170300804108467)</f>
        <v>1.170300804</v>
      </c>
      <c r="AI170" s="57">
        <f>IFERROR(__xludf.DUMMYFUNCTION("""COMPUTED_VALUE"""),1.608770056241202)</f>
        <v>1.608770056</v>
      </c>
      <c r="AJ170" s="57">
        <f>IFERROR(__xludf.DUMMYFUNCTION("""COMPUTED_VALUE"""),1.3498306305555638)</f>
        <v>1.349830631</v>
      </c>
      <c r="AK170" s="57">
        <f>IFERROR(__xludf.DUMMYFUNCTION("""COMPUTED_VALUE"""),0.6441535387883234)</f>
        <v>0.6441535388</v>
      </c>
      <c r="AL170" s="57">
        <f>IFERROR(__xludf.DUMMYFUNCTION("""COMPUTED_VALUE"""),1.5868037700886608)</f>
        <v>1.58680377</v>
      </c>
      <c r="AM170" s="57">
        <f>IFERROR(__xludf.DUMMYFUNCTION("""COMPUTED_VALUE"""),0.8803919758466507)</f>
        <v>0.8803919758</v>
      </c>
      <c r="AN170" s="57">
        <f>IFERROR(__xludf.DUMMYFUNCTION("""COMPUTED_VALUE"""),0.690683825161022)</f>
        <v>0.6906838252</v>
      </c>
      <c r="AO170" s="57">
        <f>IFERROR(__xludf.DUMMYFUNCTION("""COMPUTED_VALUE"""),0.7336452739061718)</f>
        <v>0.7336452739</v>
      </c>
      <c r="AP170" s="35">
        <f>IFERROR(__xludf.DUMMYFUNCTION("""COMPUTED_VALUE"""),1.0934875369707464)</f>
        <v>1.093487537</v>
      </c>
      <c r="AQ170" s="57">
        <f>IFERROR(__xludf.DUMMYFUNCTION("""COMPUTED_VALUE"""),0.8121592562780715)</f>
        <v>0.8121592563</v>
      </c>
      <c r="AR170" s="36" t="b">
        <f>IFERROR(__xludf.DUMMYFUNCTION("""COMPUTED_VALUE"""),TRUE)</f>
        <v>1</v>
      </c>
      <c r="AS170" s="57"/>
      <c r="AT170" s="37"/>
      <c r="AU170" s="30"/>
      <c r="AV170" s="30"/>
      <c r="AW170" s="30"/>
      <c r="AX170" s="30"/>
      <c r="AY170" s="30"/>
      <c r="AZ170" s="30"/>
    </row>
    <row r="171">
      <c r="A171" s="30" t="str">
        <f>IFERROR(__xludf.DUMMYFUNCTION("""COMPUTED_VALUE"""),"Contender")</f>
        <v>Contender</v>
      </c>
      <c r="B171" s="30" t="str">
        <f>IFERROR(__xludf.DUMMYFUNCTION("""COMPUTED_VALUE"""),"RSC007894")</f>
        <v>RSC007894</v>
      </c>
      <c r="C171" s="30" t="str">
        <f>IFERROR(__xludf.DUMMYFUNCTION("""COMPUTED_VALUE"""),"BlackCoop03")</f>
        <v>BlackCoop03</v>
      </c>
      <c r="D171" s="31" t="str">
        <f>IFERROR(__xludf.DUMMYFUNCTION("""COMPUTED_VALUE"""),"Clover")</f>
        <v>Clover</v>
      </c>
      <c r="E171" s="31">
        <f>IFERROR(__xludf.DUMMYFUNCTION("""COMPUTED_VALUE"""),79.61757003375243)</f>
        <v>79.61757003</v>
      </c>
      <c r="F171" s="31">
        <f>IFERROR(__xludf.DUMMYFUNCTION("""COMPUTED_VALUE"""),8.46973221299261)</f>
        <v>8.469732213</v>
      </c>
      <c r="G171" s="31">
        <f>IFERROR(__xludf.DUMMYFUNCTION("""COMPUTED_VALUE"""),67.94951203146539)</f>
        <v>67.94951203</v>
      </c>
      <c r="H171" s="31">
        <f>IFERROR(__xludf.DUMMYFUNCTION("""COMPUTED_VALUE"""),4.2303929362948605)</f>
        <v>4.230392936</v>
      </c>
      <c r="I171" s="54">
        <f>IFERROR(__xludf.DUMMYFUNCTION("""COMPUTED_VALUE"""),24.0)</f>
        <v>24</v>
      </c>
      <c r="J171" s="55">
        <f>IFERROR(__xludf.DUMMYFUNCTION("""COMPUTED_VALUE"""),13.0)</f>
        <v>13</v>
      </c>
      <c r="K171" s="54">
        <f>IFERROR(__xludf.DUMMYFUNCTION("""COMPUTED_VALUE"""),11.0)</f>
        <v>11</v>
      </c>
      <c r="L171" s="56">
        <f>IFERROR(__xludf.DUMMYFUNCTION("""COMPUTED_VALUE"""),0.5416666666666666)</f>
        <v>0.5416666667</v>
      </c>
      <c r="M171" s="56">
        <f>IFERROR(__xludf.DUMMYFUNCTION("""COMPUTED_VALUE"""),0.4117647058823529)</f>
        <v>0.4117647059</v>
      </c>
      <c r="N171" s="31">
        <f>IFERROR(__xludf.DUMMYFUNCTION("""COMPUTED_VALUE"""),407.5416666666667)</f>
        <v>407.5416667</v>
      </c>
      <c r="O171" s="57">
        <f>IFERROR(__xludf.DUMMYFUNCTION("""COMPUTED_VALUE"""),1.1666666666666667)</f>
        <v>1.166666667</v>
      </c>
      <c r="P171" s="57">
        <f>IFERROR(__xludf.DUMMYFUNCTION("""COMPUTED_VALUE"""),0.7083333333333334)</f>
        <v>0.7083333333</v>
      </c>
      <c r="Q171" s="57">
        <f>IFERROR(__xludf.DUMMYFUNCTION("""COMPUTED_VALUE"""),1.25)</f>
        <v>1.25</v>
      </c>
      <c r="R171" s="57">
        <f>IFERROR(__xludf.DUMMYFUNCTION("""COMPUTED_VALUE"""),2.8333333333333335)</f>
        <v>2.833333333</v>
      </c>
      <c r="S171" s="31">
        <f>IFERROR(__xludf.DUMMYFUNCTION("""COMPUTED_VALUE"""),316.30555555555554)</f>
        <v>316.3055556</v>
      </c>
      <c r="T171" s="57">
        <f>IFERROR(__xludf.DUMMYFUNCTION("""COMPUTED_VALUE"""),0.6527777777777777)</f>
        <v>0.6527777778</v>
      </c>
      <c r="U171" s="57">
        <f>IFERROR(__xludf.DUMMYFUNCTION("""COMPUTED_VALUE"""),0.4722222222222224)</f>
        <v>0.4722222222</v>
      </c>
      <c r="V171" s="57">
        <f>IFERROR(__xludf.DUMMYFUNCTION("""COMPUTED_VALUE"""),1.1111111111111112)</f>
        <v>1.111111111</v>
      </c>
      <c r="W171" s="57">
        <f>IFERROR(__xludf.DUMMYFUNCTION("""COMPUTED_VALUE"""),2.402777777777778)</f>
        <v>2.402777778</v>
      </c>
      <c r="X171" s="31">
        <f>IFERROR(__xludf.DUMMYFUNCTION("""COMPUTED_VALUE"""),333.73379636757704)</f>
        <v>333.7337964</v>
      </c>
      <c r="Y171" s="57">
        <f>IFERROR(__xludf.DUMMYFUNCTION("""COMPUTED_VALUE"""),0.8484356555189793)</f>
        <v>0.8484356555</v>
      </c>
      <c r="Z171" s="57">
        <f>IFERROR(__xludf.DUMMYFUNCTION("""COMPUTED_VALUE"""),0.5832261797822281)</f>
        <v>0.5832261798</v>
      </c>
      <c r="AA171" s="57">
        <f>IFERROR(__xludf.DUMMYFUNCTION("""COMPUTED_VALUE"""),1.078640939304884)</f>
        <v>1.078640939</v>
      </c>
      <c r="AB171" s="57">
        <f>IFERROR(__xludf.DUMMYFUNCTION("""COMPUTED_VALUE"""),2.3442691523168415)</f>
        <v>2.344269152</v>
      </c>
      <c r="AC171" s="31">
        <f>IFERROR(__xludf.DUMMYFUNCTION("""COMPUTED_VALUE"""),326.2442161643665)</f>
        <v>326.2442162</v>
      </c>
      <c r="AD171" s="57">
        <f>IFERROR(__xludf.DUMMYFUNCTION("""COMPUTED_VALUE"""),0.8066519214820155)</f>
        <v>0.8066519215</v>
      </c>
      <c r="AE171" s="57">
        <f>IFERROR(__xludf.DUMMYFUNCTION("""COMPUTED_VALUE"""),0.5344463753320555)</f>
        <v>0.5344463753</v>
      </c>
      <c r="AF171" s="57">
        <f>IFERROR(__xludf.DUMMYFUNCTION("""COMPUTED_VALUE"""),1.1061231723785447)</f>
        <v>1.106123172</v>
      </c>
      <c r="AG171" s="57">
        <f>IFERROR(__xludf.DUMMYFUNCTION("""COMPUTED_VALUE"""),2.2559195200560667)</f>
        <v>2.25591952</v>
      </c>
      <c r="AH171" s="57">
        <f>IFERROR(__xludf.DUMMYFUNCTION("""COMPUTED_VALUE"""),1.2491920054801566)</f>
        <v>1.249192005</v>
      </c>
      <c r="AI171" s="57">
        <f>IFERROR(__xludf.DUMMYFUNCTION("""COMPUTED_VALUE"""),1.4463074290125246)</f>
        <v>1.446307429</v>
      </c>
      <c r="AJ171" s="57">
        <f>IFERROR(__xludf.DUMMYFUNCTION("""COMPUTED_VALUE"""),1.325359036990831)</f>
        <v>1.325359037</v>
      </c>
      <c r="AK171" s="57">
        <f>IFERROR(__xludf.DUMMYFUNCTION("""COMPUTED_VALUE"""),1.1300730616754648)</f>
        <v>1.130073062</v>
      </c>
      <c r="AL171" s="57">
        <f>IFERROR(__xludf.DUMMYFUNCTION("""COMPUTED_VALUE"""),1.255954970088169)</f>
        <v>1.25595497</v>
      </c>
      <c r="AM171" s="57">
        <f>IFERROR(__xludf.DUMMYFUNCTION("""COMPUTED_VALUE"""),0.9477780164858524)</f>
        <v>0.9477780165</v>
      </c>
      <c r="AN171" s="57">
        <f>IFERROR(__xludf.DUMMYFUNCTION("""COMPUTED_VALUE"""),0.7693898453365686)</f>
        <v>0.7693898453</v>
      </c>
      <c r="AO171" s="57">
        <f>IFERROR(__xludf.DUMMYFUNCTION("""COMPUTED_VALUE"""),0.8096725397315777)</f>
        <v>0.8096725397</v>
      </c>
      <c r="AP171" s="35">
        <f>IFERROR(__xludf.DUMMYFUNCTION("""COMPUTED_VALUE"""),1.0301028550123013)</f>
        <v>1.030102855</v>
      </c>
      <c r="AQ171" s="57">
        <f>IFERROR(__xludf.DUMMYFUNCTION("""COMPUTED_VALUE"""),1.0249581518415292)</f>
        <v>1.024958152</v>
      </c>
      <c r="AR171" s="36" t="b">
        <f>IFERROR(__xludf.DUMMYFUNCTION("""COMPUTED_VALUE"""),TRUE)</f>
        <v>1</v>
      </c>
      <c r="AS171" s="57"/>
      <c r="AT171" s="37"/>
      <c r="AU171" s="30"/>
      <c r="AV171" s="30"/>
      <c r="AW171" s="30"/>
      <c r="AX171" s="30"/>
      <c r="AY171" s="30"/>
      <c r="AZ171" s="30"/>
    </row>
    <row r="172">
      <c r="A172" s="30" t="str">
        <f>IFERROR(__xludf.DUMMYFUNCTION("""COMPUTED_VALUE"""),"Contender")</f>
        <v>Contender</v>
      </c>
      <c r="B172" s="30" t="str">
        <f>IFERROR(__xludf.DUMMYFUNCTION("""COMPUTED_VALUE"""),"RSC007885")</f>
        <v>RSC007885</v>
      </c>
      <c r="C172" s="30" t="str">
        <f>IFERROR(__xludf.DUMMYFUNCTION("""COMPUTED_VALUE"""),"Larkspur")</f>
        <v>Larkspur</v>
      </c>
      <c r="D172" s="31" t="str">
        <f>IFERROR(__xludf.DUMMYFUNCTION("""COMPUTED_VALUE"""),"Rheas")</f>
        <v>Rheas</v>
      </c>
      <c r="E172" s="31">
        <f>IFERROR(__xludf.DUMMYFUNCTION("""COMPUTED_VALUE"""),77.6982773399645)</f>
        <v>77.69827734</v>
      </c>
      <c r="F172" s="31">
        <f>IFERROR(__xludf.DUMMYFUNCTION("""COMPUTED_VALUE"""),7.465706950933751)</f>
        <v>7.465706951</v>
      </c>
      <c r="G172" s="31">
        <f>IFERROR(__xludf.DUMMYFUNCTION("""COMPUTED_VALUE"""),74.96986684322691)</f>
        <v>74.96986684</v>
      </c>
      <c r="H172" s="31">
        <f>IFERROR(__xludf.DUMMYFUNCTION("""COMPUTED_VALUE"""),6.291402011218101)</f>
        <v>6.291402011</v>
      </c>
      <c r="I172" s="54">
        <f>IFERROR(__xludf.DUMMYFUNCTION("""COMPUTED_VALUE"""),48.0)</f>
        <v>48</v>
      </c>
      <c r="J172" s="55">
        <f>IFERROR(__xludf.DUMMYFUNCTION("""COMPUTED_VALUE"""),34.0)</f>
        <v>34</v>
      </c>
      <c r="K172" s="54">
        <f>IFERROR(__xludf.DUMMYFUNCTION("""COMPUTED_VALUE"""),14.0)</f>
        <v>14</v>
      </c>
      <c r="L172" s="56">
        <f>IFERROR(__xludf.DUMMYFUNCTION("""COMPUTED_VALUE"""),0.7083333333333334)</f>
        <v>0.7083333333</v>
      </c>
      <c r="M172" s="56">
        <f>IFERROR(__xludf.DUMMYFUNCTION("""COMPUTED_VALUE"""),0.366412213740458)</f>
        <v>0.3664122137</v>
      </c>
      <c r="N172" s="31">
        <f>IFERROR(__xludf.DUMMYFUNCTION("""COMPUTED_VALUE"""),380.2708333333333)</f>
        <v>380.2708333</v>
      </c>
      <c r="O172" s="57">
        <f>IFERROR(__xludf.DUMMYFUNCTION("""COMPUTED_VALUE"""),1.0)</f>
        <v>1</v>
      </c>
      <c r="P172" s="57">
        <f>IFERROR(__xludf.DUMMYFUNCTION("""COMPUTED_VALUE"""),0.8333333333333334)</f>
        <v>0.8333333333</v>
      </c>
      <c r="Q172" s="57">
        <f>IFERROR(__xludf.DUMMYFUNCTION("""COMPUTED_VALUE"""),1.2291666666666667)</f>
        <v>1.229166667</v>
      </c>
      <c r="R172" s="57">
        <f>IFERROR(__xludf.DUMMYFUNCTION("""COMPUTED_VALUE"""),2.7291666666666665)</f>
        <v>2.729166667</v>
      </c>
      <c r="S172" s="31">
        <f>IFERROR(__xludf.DUMMYFUNCTION("""COMPUTED_VALUE"""),291.6666666666667)</f>
        <v>291.6666667</v>
      </c>
      <c r="T172" s="57">
        <f>IFERROR(__xludf.DUMMYFUNCTION("""COMPUTED_VALUE"""),0.5833333333333333)</f>
        <v>0.5833333333</v>
      </c>
      <c r="U172" s="57">
        <f>IFERROR(__xludf.DUMMYFUNCTION("""COMPUTED_VALUE"""),0.3819444444444444)</f>
        <v>0.3819444444</v>
      </c>
      <c r="V172" s="57">
        <f>IFERROR(__xludf.DUMMYFUNCTION("""COMPUTED_VALUE"""),1.173611111111111)</f>
        <v>1.173611111</v>
      </c>
      <c r="W172" s="57">
        <f>IFERROR(__xludf.DUMMYFUNCTION("""COMPUTED_VALUE"""),1.8819444444444444)</f>
        <v>1.881944444</v>
      </c>
      <c r="X172" s="31">
        <f>IFERROR(__xludf.DUMMYFUNCTION("""COMPUTED_VALUE"""),327.50273362060267)</f>
        <v>327.5027336</v>
      </c>
      <c r="Y172" s="57">
        <f>IFERROR(__xludf.DUMMYFUNCTION("""COMPUTED_VALUE"""),0.8198242714771716)</f>
        <v>0.8198242715</v>
      </c>
      <c r="Z172" s="57">
        <f>IFERROR(__xludf.DUMMYFUNCTION("""COMPUTED_VALUE"""),0.5255934807581611)</f>
        <v>0.5255934808</v>
      </c>
      <c r="AA172" s="57">
        <f>IFERROR(__xludf.DUMMYFUNCTION("""COMPUTED_VALUE"""),1.087064672423234)</f>
        <v>1.087064672</v>
      </c>
      <c r="AB172" s="57">
        <f>IFERROR(__xludf.DUMMYFUNCTION("""COMPUTED_VALUE"""),2.2693015286060647)</f>
        <v>2.269301529</v>
      </c>
      <c r="AC172" s="31">
        <f>IFERROR(__xludf.DUMMYFUNCTION("""COMPUTED_VALUE"""),332.44102178652963)</f>
        <v>332.4410218</v>
      </c>
      <c r="AD172" s="57">
        <f>IFERROR(__xludf.DUMMYFUNCTION("""COMPUTED_VALUE"""),0.8547896887744396)</f>
        <v>0.8547896888</v>
      </c>
      <c r="AE172" s="57">
        <f>IFERROR(__xludf.DUMMYFUNCTION("""COMPUTED_VALUE"""),0.5723731245885444)</f>
        <v>0.5723731246</v>
      </c>
      <c r="AF172" s="57">
        <f>IFERROR(__xludf.DUMMYFUNCTION("""COMPUTED_VALUE"""),1.0614955700901643)</f>
        <v>1.06149557</v>
      </c>
      <c r="AG172" s="57">
        <f>IFERROR(__xludf.DUMMYFUNCTION("""COMPUTED_VALUE"""),2.3383068880276907)</f>
        <v>2.338306888</v>
      </c>
      <c r="AH172" s="57">
        <f>IFERROR(__xludf.DUMMYFUNCTION("""COMPUTED_VALUE"""),1.1438745774807437)</f>
        <v>1.143874577</v>
      </c>
      <c r="AI172" s="57">
        <f>IFERROR(__xludf.DUMMYFUNCTION("""COMPUTED_VALUE"""),1.1698784076744733)</f>
        <v>1.169878408</v>
      </c>
      <c r="AJ172" s="57">
        <f>IFERROR(__xludf.DUMMYFUNCTION("""COMPUTED_VALUE"""),1.4559267329897478)</f>
        <v>1.455926733</v>
      </c>
      <c r="AK172" s="57">
        <f>IFERROR(__xludf.DUMMYFUNCTION("""COMPUTED_VALUE"""),1.157957415274244)</f>
        <v>1.157957415</v>
      </c>
      <c r="AL172" s="57">
        <f>IFERROR(__xludf.DUMMYFUNCTION("""COMPUTED_VALUE"""),1.167155038818988)</f>
        <v>1.167155039</v>
      </c>
      <c r="AM172" s="57">
        <f>IFERROR(__xludf.DUMMYFUNCTION("""COMPUTED_VALUE"""),0.8905778081368613)</f>
        <v>0.8905778081</v>
      </c>
      <c r="AN172" s="57">
        <f>IFERROR(__xludf.DUMMYFUNCTION("""COMPUTED_VALUE"""),0.7115345978745842)</f>
        <v>0.7115345979</v>
      </c>
      <c r="AO172" s="57">
        <f>IFERROR(__xludf.DUMMYFUNCTION("""COMPUTED_VALUE"""),0.7266917464301402)</f>
        <v>0.7266917464</v>
      </c>
      <c r="AP172" s="35">
        <f>IFERROR(__xludf.DUMMYFUNCTION("""COMPUTED_VALUE"""),1.079614802029167)</f>
        <v>1.079614802</v>
      </c>
      <c r="AQ172" s="57">
        <f>IFERROR(__xludf.DUMMYFUNCTION("""COMPUTED_VALUE"""),0.8293055906063055)</f>
        <v>0.8293055906</v>
      </c>
      <c r="AR172" s="36" t="b">
        <f>IFERROR(__xludf.DUMMYFUNCTION("""COMPUTED_VALUE"""),TRUE)</f>
        <v>1</v>
      </c>
      <c r="AS172" s="57"/>
      <c r="AT172" s="37"/>
      <c r="AU172" s="30"/>
      <c r="AV172" s="30"/>
      <c r="AW172" s="30"/>
      <c r="AX172" s="30"/>
      <c r="AY172" s="30"/>
      <c r="AZ172" s="30"/>
    </row>
    <row r="173">
      <c r="A173" s="30" t="str">
        <f>IFERROR(__xludf.DUMMYFUNCTION("""COMPUTED_VALUE"""),"Contender")</f>
        <v>Contender</v>
      </c>
      <c r="B173" s="30" t="str">
        <f>IFERROR(__xludf.DUMMYFUNCTION("""COMPUTED_VALUE"""),"RSC003223")</f>
        <v>RSC003223</v>
      </c>
      <c r="C173" s="30" t="str">
        <f>IFERROR(__xludf.DUMMYFUNCTION("""COMPUTED_VALUE"""),"AZoroARK")</f>
        <v>AZoroARK</v>
      </c>
      <c r="D173" s="31" t="str">
        <f>IFERROR(__xludf.DUMMYFUNCTION("""COMPUTED_VALUE"""),"Cheese Pizza")</f>
        <v>Cheese Pizza</v>
      </c>
      <c r="E173" s="31">
        <f>IFERROR(__xludf.DUMMYFUNCTION("""COMPUTED_VALUE"""),71.42308931633639)</f>
        <v>71.42308932</v>
      </c>
      <c r="F173" s="31">
        <f>IFERROR(__xludf.DUMMYFUNCTION("""COMPUTED_VALUE"""),5.10872485046641)</f>
        <v>5.10872485</v>
      </c>
      <c r="G173" s="31">
        <f>IFERROR(__xludf.DUMMYFUNCTION("""COMPUTED_VALUE"""),55.9739401182777)</f>
        <v>55.97394012</v>
      </c>
      <c r="H173" s="31">
        <f>IFERROR(__xludf.DUMMYFUNCTION("""COMPUTED_VALUE"""),2.4656702967757416)</f>
        <v>2.465670297</v>
      </c>
      <c r="I173" s="54">
        <f>IFERROR(__xludf.DUMMYFUNCTION("""COMPUTED_VALUE"""),45.0)</f>
        <v>45</v>
      </c>
      <c r="J173" s="55">
        <f>IFERROR(__xludf.DUMMYFUNCTION("""COMPUTED_VALUE"""),35.0)</f>
        <v>35</v>
      </c>
      <c r="K173" s="54">
        <f>IFERROR(__xludf.DUMMYFUNCTION("""COMPUTED_VALUE"""),10.0)</f>
        <v>10</v>
      </c>
      <c r="L173" s="56">
        <f>IFERROR(__xludf.DUMMYFUNCTION("""COMPUTED_VALUE"""),0.7777777777777778)</f>
        <v>0.7777777778</v>
      </c>
      <c r="M173" s="56">
        <f>IFERROR(__xludf.DUMMYFUNCTION("""COMPUTED_VALUE"""),0.33587786259541985)</f>
        <v>0.3358778626</v>
      </c>
      <c r="N173" s="31">
        <f>IFERROR(__xludf.DUMMYFUNCTION("""COMPUTED_VALUE"""),348.06666666666666)</f>
        <v>348.0666667</v>
      </c>
      <c r="O173" s="57">
        <f>IFERROR(__xludf.DUMMYFUNCTION("""COMPUTED_VALUE"""),0.9777777777777777)</f>
        <v>0.9777777778</v>
      </c>
      <c r="P173" s="57">
        <f>IFERROR(__xludf.DUMMYFUNCTION("""COMPUTED_VALUE"""),0.7333333333333333)</f>
        <v>0.7333333333</v>
      </c>
      <c r="Q173" s="57">
        <f>IFERROR(__xludf.DUMMYFUNCTION("""COMPUTED_VALUE"""),0.8666666666666667)</f>
        <v>0.8666666667</v>
      </c>
      <c r="R173" s="57">
        <f>IFERROR(__xludf.DUMMYFUNCTION("""COMPUTED_VALUE"""),2.911111111111111)</f>
        <v>2.911111111</v>
      </c>
      <c r="S173" s="31">
        <f>IFERROR(__xludf.DUMMYFUNCTION("""COMPUTED_VALUE"""),308.9555555555556)</f>
        <v>308.9555556</v>
      </c>
      <c r="T173" s="57">
        <f>IFERROR(__xludf.DUMMYFUNCTION("""COMPUTED_VALUE"""),0.585185185185185)</f>
        <v>0.5851851852</v>
      </c>
      <c r="U173" s="57">
        <f>IFERROR(__xludf.DUMMYFUNCTION("""COMPUTED_VALUE"""),0.37037037037037046)</f>
        <v>0.3703703704</v>
      </c>
      <c r="V173" s="57">
        <f>IFERROR(__xludf.DUMMYFUNCTION("""COMPUTED_VALUE"""),1.4296296296296298)</f>
        <v>1.42962963</v>
      </c>
      <c r="W173" s="57">
        <f>IFERROR(__xludf.DUMMYFUNCTION("""COMPUTED_VALUE"""),1.7851851851851857)</f>
        <v>1.785185185</v>
      </c>
      <c r="X173" s="31">
        <f>IFERROR(__xludf.DUMMYFUNCTION("""COMPUTED_VALUE"""),322.1943417381619)</f>
        <v>322.1943417</v>
      </c>
      <c r="Y173" s="57">
        <f>IFERROR(__xludf.DUMMYFUNCTION("""COMPUTED_VALUE"""),0.772684682047214)</f>
        <v>0.772684682</v>
      </c>
      <c r="Z173" s="57">
        <f>IFERROR(__xludf.DUMMYFUNCTION("""COMPUTED_VALUE"""),0.5173116893469628)</f>
        <v>0.5173116893</v>
      </c>
      <c r="AA173" s="57">
        <f>IFERROR(__xludf.DUMMYFUNCTION("""COMPUTED_VALUE"""),1.1193937847494533)</f>
        <v>1.119393785</v>
      </c>
      <c r="AB173" s="57">
        <f>IFERROR(__xludf.DUMMYFUNCTION("""COMPUTED_VALUE"""),2.172744344243237)</f>
        <v>2.172744344</v>
      </c>
      <c r="AC173" s="31">
        <f>IFERROR(__xludf.DUMMYFUNCTION("""COMPUTED_VALUE"""),336.23635396161455)</f>
        <v>336.236354</v>
      </c>
      <c r="AD173" s="57">
        <f>IFERROR(__xludf.DUMMYFUNCTION("""COMPUTED_VALUE"""),0.8819012590855517)</f>
        <v>0.8819012591</v>
      </c>
      <c r="AE173" s="57">
        <f>IFERROR(__xludf.DUMMYFUNCTION("""COMPUTED_VALUE"""),0.5948447423757492)</f>
        <v>0.5948447424</v>
      </c>
      <c r="AF173" s="57">
        <f>IFERROR(__xludf.DUMMYFUNCTION("""COMPUTED_VALUE"""),1.0429771220530524)</f>
        <v>1.042977122</v>
      </c>
      <c r="AG173" s="57">
        <f>IFERROR(__xludf.DUMMYFUNCTION("""COMPUTED_VALUE"""),2.424562912252577)</f>
        <v>2.424562912</v>
      </c>
      <c r="AH173" s="57">
        <f>IFERROR(__xludf.DUMMYFUNCTION("""COMPUTED_VALUE"""),1.035184514005296)</f>
        <v>1.035184514</v>
      </c>
      <c r="AI173" s="57">
        <f>IFERROR(__xludf.DUMMYFUNCTION("""COMPUTED_VALUE"""),1.1087157067806446)</f>
        <v>1.108715707</v>
      </c>
      <c r="AJ173" s="57">
        <f>IFERROR(__xludf.DUMMYFUNCTION("""COMPUTED_VALUE"""),1.2328146843905432)</f>
        <v>1.232814684</v>
      </c>
      <c r="AK173" s="57">
        <f>IFERROR(__xludf.DUMMYFUNCTION("""COMPUTED_VALUE"""),0.83095462819038)</f>
        <v>0.8309546282</v>
      </c>
      <c r="AL173" s="57">
        <f>IFERROR(__xludf.DUMMYFUNCTION("""COMPUTED_VALUE"""),1.2006746025849662)</f>
        <v>1.200674603</v>
      </c>
      <c r="AM173" s="57">
        <f>IFERROR(__xludf.DUMMYFUNCTION("""COMPUTED_VALUE"""),0.958910556556685)</f>
        <v>0.9589105566</v>
      </c>
      <c r="AN173" s="57">
        <f>IFERROR(__xludf.DUMMYFUNCTION("""COMPUTED_VALUE"""),0.7573402175318754)</f>
        <v>0.7573402175</v>
      </c>
      <c r="AO173" s="57">
        <f>IFERROR(__xludf.DUMMYFUNCTION("""COMPUTED_VALUE"""),0.7159520613924534)</f>
        <v>0.7159520614</v>
      </c>
      <c r="AP173" s="35">
        <f>IFERROR(__xludf.DUMMYFUNCTION("""COMPUTED_VALUE"""),1.2771462992798506)</f>
        <v>1.277146299</v>
      </c>
      <c r="AQ173" s="57">
        <f>IFERROR(__xludf.DUMMYFUNCTION("""COMPUTED_VALUE"""),0.821626893157079)</f>
        <v>0.8216268932</v>
      </c>
      <c r="AR173" s="36" t="b">
        <f>IFERROR(__xludf.DUMMYFUNCTION("""COMPUTED_VALUE"""),TRUE)</f>
        <v>1</v>
      </c>
      <c r="AS173" s="57"/>
      <c r="AT173" s="37"/>
      <c r="AU173" s="30"/>
      <c r="AV173" s="30"/>
      <c r="AW173" s="30"/>
      <c r="AX173" s="30"/>
      <c r="AY173" s="30"/>
      <c r="AZ173" s="30"/>
    </row>
    <row r="174">
      <c r="A174" s="30" t="str">
        <f>IFERROR(__xludf.DUMMYFUNCTION("""COMPUTED_VALUE"""),"Contender")</f>
        <v>Contender</v>
      </c>
      <c r="B174" s="30" t="str">
        <f>IFERROR(__xludf.DUMMYFUNCTION("""COMPUTED_VALUE"""),"RSC006251")</f>
        <v>RSC006251</v>
      </c>
      <c r="C174" s="30" t="str">
        <f>IFERROR(__xludf.DUMMYFUNCTION("""COMPUTED_VALUE"""),"MiniTechniks")</f>
        <v>MiniTechniks</v>
      </c>
      <c r="D174" s="31" t="str">
        <f>IFERROR(__xludf.DUMMYFUNCTION("""COMPUTED_VALUE"""),"Rad Lads")</f>
        <v>Rad Lads</v>
      </c>
      <c r="E174" s="31">
        <f>IFERROR(__xludf.DUMMYFUNCTION("""COMPUTED_VALUE"""),70.82155195875382)</f>
        <v>70.82155196</v>
      </c>
      <c r="F174" s="31">
        <f>IFERROR(__xludf.DUMMYFUNCTION("""COMPUTED_VALUE"""),4.939216533779543)</f>
        <v>4.939216534</v>
      </c>
      <c r="G174" s="31">
        <f>IFERROR(__xludf.DUMMYFUNCTION("""COMPUTED_VALUE"""),72.65139917944404)</f>
        <v>72.65139918</v>
      </c>
      <c r="H174" s="31">
        <f>IFERROR(__xludf.DUMMYFUNCTION("""COMPUTED_VALUE"""),5.480860109617874)</f>
        <v>5.48086011</v>
      </c>
      <c r="I174" s="54">
        <f>IFERROR(__xludf.DUMMYFUNCTION("""COMPUTED_VALUE"""),41.0)</f>
        <v>41</v>
      </c>
      <c r="J174" s="55">
        <f>IFERROR(__xludf.DUMMYFUNCTION("""COMPUTED_VALUE"""),20.0)</f>
        <v>20</v>
      </c>
      <c r="K174" s="54">
        <f>IFERROR(__xludf.DUMMYFUNCTION("""COMPUTED_VALUE"""),21.0)</f>
        <v>21</v>
      </c>
      <c r="L174" s="56">
        <f>IFERROR(__xludf.DUMMYFUNCTION("""COMPUTED_VALUE"""),0.4878048780487805)</f>
        <v>0.487804878</v>
      </c>
      <c r="M174" s="56">
        <f>IFERROR(__xludf.DUMMYFUNCTION("""COMPUTED_VALUE"""),0.3931623931623932)</f>
        <v>0.3931623932</v>
      </c>
      <c r="N174" s="31">
        <f>IFERROR(__xludf.DUMMYFUNCTION("""COMPUTED_VALUE"""),376.8048780487805)</f>
        <v>376.804878</v>
      </c>
      <c r="O174" s="57">
        <f>IFERROR(__xludf.DUMMYFUNCTION("""COMPUTED_VALUE"""),1.1219512195121952)</f>
        <v>1.12195122</v>
      </c>
      <c r="P174" s="57">
        <f>IFERROR(__xludf.DUMMYFUNCTION("""COMPUTED_VALUE"""),0.6585365853658537)</f>
        <v>0.6585365854</v>
      </c>
      <c r="Q174" s="57">
        <f>IFERROR(__xludf.DUMMYFUNCTION("""COMPUTED_VALUE"""),0.9512195121951219)</f>
        <v>0.9512195122</v>
      </c>
      <c r="R174" s="57">
        <f>IFERROR(__xludf.DUMMYFUNCTION("""COMPUTED_VALUE"""),2.8536585365853657)</f>
        <v>2.853658537</v>
      </c>
      <c r="S174" s="31">
        <f>IFERROR(__xludf.DUMMYFUNCTION("""COMPUTED_VALUE"""),322.81300813008136)</f>
        <v>322.8130081</v>
      </c>
      <c r="T174" s="57">
        <f>IFERROR(__xludf.DUMMYFUNCTION("""COMPUTED_VALUE"""),0.821138211382114)</f>
        <v>0.8211382114</v>
      </c>
      <c r="U174" s="57">
        <f>IFERROR(__xludf.DUMMYFUNCTION("""COMPUTED_VALUE"""),0.5040650406504065)</f>
        <v>0.5040650407</v>
      </c>
      <c r="V174" s="57">
        <f>IFERROR(__xludf.DUMMYFUNCTION("""COMPUTED_VALUE"""),1.0650406504065042)</f>
        <v>1.06504065</v>
      </c>
      <c r="W174" s="57">
        <f>IFERROR(__xludf.DUMMYFUNCTION("""COMPUTED_VALUE"""),2.048780487804878)</f>
        <v>2.048780488</v>
      </c>
      <c r="X174" s="31">
        <f>IFERROR(__xludf.DUMMYFUNCTION("""COMPUTED_VALUE"""),324.36168764298)</f>
        <v>324.3616876</v>
      </c>
      <c r="Y174" s="57">
        <f>IFERROR(__xludf.DUMMYFUNCTION("""COMPUTED_VALUE"""),0.7858052196557794)</f>
        <v>0.7858052197</v>
      </c>
      <c r="Z174" s="57">
        <f>IFERROR(__xludf.DUMMYFUNCTION("""COMPUTED_VALUE"""),0.5274327926059693)</f>
        <v>0.5274327926</v>
      </c>
      <c r="AA174" s="57">
        <f>IFERROR(__xludf.DUMMYFUNCTION("""COMPUTED_VALUE"""),1.126794303393306)</f>
        <v>1.126794303</v>
      </c>
      <c r="AB174" s="57">
        <f>IFERROR(__xludf.DUMMYFUNCTION("""COMPUTED_VALUE"""),2.248651710180861)</f>
        <v>2.24865171</v>
      </c>
      <c r="AC174" s="31">
        <f>IFERROR(__xludf.DUMMYFUNCTION("""COMPUTED_VALUE"""),333.0400252550013)</f>
        <v>333.0400253</v>
      </c>
      <c r="AD174" s="57">
        <f>IFERROR(__xludf.DUMMYFUNCTION("""COMPUTED_VALUE"""),0.8510032212832012)</f>
        <v>0.8510032213</v>
      </c>
      <c r="AE174" s="57">
        <f>IFERROR(__xludf.DUMMYFUNCTION("""COMPUTED_VALUE"""),0.5604785789151618)</f>
        <v>0.5604785789</v>
      </c>
      <c r="AF174" s="57">
        <f>IFERROR(__xludf.DUMMYFUNCTION("""COMPUTED_VALUE"""),1.0795476613487573)</f>
        <v>1.079547661</v>
      </c>
      <c r="AG174" s="57">
        <f>IFERROR(__xludf.DUMMYFUNCTION("""COMPUTED_VALUE"""),2.3840431306636325)</f>
        <v>2.384043131</v>
      </c>
      <c r="AH174" s="57">
        <f>IFERROR(__xludf.DUMMYFUNCTION("""COMPUTED_VALUE"""),1.1314101893917088)</f>
        <v>1.131410189</v>
      </c>
      <c r="AI174" s="57">
        <f>IFERROR(__xludf.DUMMYFUNCTION("""COMPUTED_VALUE"""),1.3183865718163088)</f>
        <v>1.318386572</v>
      </c>
      <c r="AJ174" s="57">
        <f>IFERROR(__xludf.DUMMYFUNCTION("""COMPUTED_VALUE"""),1.174954066291862)</f>
        <v>1.174954066</v>
      </c>
      <c r="AK174" s="57">
        <f>IFERROR(__xludf.DUMMYFUNCTION("""COMPUTED_VALUE"""),0.881127852203111)</f>
        <v>0.8811278522</v>
      </c>
      <c r="AL174" s="57">
        <f>IFERROR(__xludf.DUMMYFUNCTION("""COMPUTED_VALUE"""),1.1969827642300284)</f>
        <v>1.196982764</v>
      </c>
      <c r="AM174" s="57">
        <f>IFERROR(__xludf.DUMMYFUNCTION("""COMPUTED_VALUE"""),0.9952254548798525)</f>
        <v>0.9952254549</v>
      </c>
      <c r="AN174" s="57">
        <f>IFERROR(__xludf.DUMMYFUNCTION("""COMPUTED_VALUE"""),1.0449640583220001)</f>
        <v>1.044964058</v>
      </c>
      <c r="AO174" s="57">
        <f>IFERROR(__xludf.DUMMYFUNCTION("""COMPUTED_VALUE"""),0.9556952994141563)</f>
        <v>0.9556952994</v>
      </c>
      <c r="AP174" s="35">
        <f>IFERROR(__xludf.DUMMYFUNCTION("""COMPUTED_VALUE"""),0.9451952740612615)</f>
        <v>0.9451952741</v>
      </c>
      <c r="AQ174" s="57">
        <f>IFERROR(__xludf.DUMMYFUNCTION("""COMPUTED_VALUE"""),0.9111150822196884)</f>
        <v>0.9111150822</v>
      </c>
      <c r="AR174" s="36" t="b">
        <f>IFERROR(__xludf.DUMMYFUNCTION("""COMPUTED_VALUE"""),TRUE)</f>
        <v>1</v>
      </c>
      <c r="AS174" s="57"/>
      <c r="AT174" s="37"/>
      <c r="AU174" s="30"/>
      <c r="AV174" s="30"/>
      <c r="AW174" s="30"/>
      <c r="AX174" s="30"/>
      <c r="AY174" s="30"/>
      <c r="AZ174" s="30"/>
    </row>
    <row r="175">
      <c r="A175" s="30" t="str">
        <f>IFERROR(__xludf.DUMMYFUNCTION("""COMPUTED_VALUE"""),"Contender")</f>
        <v>Contender</v>
      </c>
      <c r="B175" s="30" t="str">
        <f>IFERROR(__xludf.DUMMYFUNCTION("""COMPUTED_VALUE"""),"RSC007515")</f>
        <v>RSC007515</v>
      </c>
      <c r="C175" s="30" t="str">
        <f>IFERROR(__xludf.DUMMYFUNCTION("""COMPUTED_VALUE"""),"superstrikzz")</f>
        <v>superstrikzz</v>
      </c>
      <c r="D175" s="31" t="str">
        <f>IFERROR(__xludf.DUMMYFUNCTION("""COMPUTED_VALUE"""),"Clover")</f>
        <v>Clover</v>
      </c>
      <c r="E175" s="31">
        <f>IFERROR(__xludf.DUMMYFUNCTION("""COMPUTED_VALUE"""),69.19041245371757)</f>
        <v>69.19041245</v>
      </c>
      <c r="F175" s="31">
        <f>IFERROR(__xludf.DUMMYFUNCTION("""COMPUTED_VALUE"""),4.517578438900455)</f>
        <v>4.517578439</v>
      </c>
      <c r="G175" s="31">
        <f>IFERROR(__xludf.DUMMYFUNCTION("""COMPUTED_VALUE"""),66.09327866789171)</f>
        <v>66.09327867</v>
      </c>
      <c r="H175" s="31">
        <f>IFERROR(__xludf.DUMMYFUNCTION("""COMPUTED_VALUE"""),3.8480054107534905)</f>
        <v>3.848005411</v>
      </c>
      <c r="I175" s="54">
        <f>IFERROR(__xludf.DUMMYFUNCTION("""COMPUTED_VALUE"""),45.0)</f>
        <v>45</v>
      </c>
      <c r="J175" s="55">
        <f>IFERROR(__xludf.DUMMYFUNCTION("""COMPUTED_VALUE"""),23.0)</f>
        <v>23</v>
      </c>
      <c r="K175" s="54">
        <f>IFERROR(__xludf.DUMMYFUNCTION("""COMPUTED_VALUE"""),22.0)</f>
        <v>22</v>
      </c>
      <c r="L175" s="56">
        <f>IFERROR(__xludf.DUMMYFUNCTION("""COMPUTED_VALUE"""),0.5111111111111111)</f>
        <v>0.5111111111</v>
      </c>
      <c r="M175" s="56">
        <f>IFERROR(__xludf.DUMMYFUNCTION("""COMPUTED_VALUE"""),0.3228346456692913)</f>
        <v>0.3228346457</v>
      </c>
      <c r="N175" s="31">
        <f>IFERROR(__xludf.DUMMYFUNCTION("""COMPUTED_VALUE"""),381.75555555555553)</f>
        <v>381.7555556</v>
      </c>
      <c r="O175" s="57">
        <f>IFERROR(__xludf.DUMMYFUNCTION("""COMPUTED_VALUE"""),0.9111111111111111)</f>
        <v>0.9111111111</v>
      </c>
      <c r="P175" s="57">
        <f>IFERROR(__xludf.DUMMYFUNCTION("""COMPUTED_VALUE"""),0.7333333333333333)</f>
        <v>0.7333333333</v>
      </c>
      <c r="Q175" s="57">
        <f>IFERROR(__xludf.DUMMYFUNCTION("""COMPUTED_VALUE"""),1.2666666666666666)</f>
        <v>1.266666667</v>
      </c>
      <c r="R175" s="57">
        <f>IFERROR(__xludf.DUMMYFUNCTION("""COMPUTED_VALUE"""),2.8222222222222224)</f>
        <v>2.822222222</v>
      </c>
      <c r="S175" s="31">
        <f>IFERROR(__xludf.DUMMYFUNCTION("""COMPUTED_VALUE"""),330.3555555555555)</f>
        <v>330.3555556</v>
      </c>
      <c r="T175" s="57">
        <f>IFERROR(__xludf.DUMMYFUNCTION("""COMPUTED_VALUE"""),0.7703703703703705)</f>
        <v>0.7703703704</v>
      </c>
      <c r="U175" s="57">
        <f>IFERROR(__xludf.DUMMYFUNCTION("""COMPUTED_VALUE"""),0.5629629629629632)</f>
        <v>0.562962963</v>
      </c>
      <c r="V175" s="57">
        <f>IFERROR(__xludf.DUMMYFUNCTION("""COMPUTED_VALUE"""),1.1555555555555554)</f>
        <v>1.155555556</v>
      </c>
      <c r="W175" s="57">
        <f>IFERROR(__xludf.DUMMYFUNCTION("""COMPUTED_VALUE"""),2.422222222222222)</f>
        <v>2.422222222</v>
      </c>
      <c r="X175" s="31">
        <f>IFERROR(__xludf.DUMMYFUNCTION("""COMPUTED_VALUE"""),327.9372208715772)</f>
        <v>327.9372209</v>
      </c>
      <c r="Y175" s="57">
        <f>IFERROR(__xludf.DUMMYFUNCTION("""COMPUTED_VALUE"""),0.8151451453054768)</f>
        <v>0.8151451453</v>
      </c>
      <c r="Z175" s="57">
        <f>IFERROR(__xludf.DUMMYFUNCTION("""COMPUTED_VALUE"""),0.5602528967411666)</f>
        <v>0.5602528967</v>
      </c>
      <c r="AA175" s="57">
        <f>IFERROR(__xludf.DUMMYFUNCTION("""COMPUTED_VALUE"""),1.0762071895968595)</f>
        <v>1.07620719</v>
      </c>
      <c r="AB175" s="57">
        <f>IFERROR(__xludf.DUMMYFUNCTION("""COMPUTED_VALUE"""),2.2932673455724473)</f>
        <v>2.293267346</v>
      </c>
      <c r="AC175" s="31">
        <f>IFERROR(__xludf.DUMMYFUNCTION("""COMPUTED_VALUE"""),330.7201736975587)</f>
        <v>330.7201737</v>
      </c>
      <c r="AD175" s="57">
        <f>IFERROR(__xludf.DUMMYFUNCTION("""COMPUTED_VALUE"""),0.8413571025653318)</f>
        <v>0.8413571026</v>
      </c>
      <c r="AE175" s="57">
        <f>IFERROR(__xludf.DUMMYFUNCTION("""COMPUTED_VALUE"""),0.5499273090188969)</f>
        <v>0.549927309</v>
      </c>
      <c r="AF175" s="57">
        <f>IFERROR(__xludf.DUMMYFUNCTION("""COMPUTED_VALUE"""),1.093291358310288)</f>
        <v>1.093291358</v>
      </c>
      <c r="AG175" s="57">
        <f>IFERROR(__xludf.DUMMYFUNCTION("""COMPUTED_VALUE"""),2.286743063299467)</f>
        <v>2.286743063</v>
      </c>
      <c r="AH175" s="57">
        <f>IFERROR(__xludf.DUMMYFUNCTION("""COMPUTED_VALUE"""),1.1543159018314628)</f>
        <v>1.154315902</v>
      </c>
      <c r="AI175" s="57">
        <f>IFERROR(__xludf.DUMMYFUNCTION("""COMPUTED_VALUE"""),1.0829065426952438)</f>
        <v>1.082906543</v>
      </c>
      <c r="AJ175" s="57">
        <f>IFERROR(__xludf.DUMMYFUNCTION("""COMPUTED_VALUE"""),1.3335095771869263)</f>
        <v>1.333509577</v>
      </c>
      <c r="AK175" s="57">
        <f>IFERROR(__xludf.DUMMYFUNCTION("""COMPUTED_VALUE"""),1.1585810653660842)</f>
        <v>1.158581065</v>
      </c>
      <c r="AL175" s="57">
        <f>IFERROR(__xludf.DUMMYFUNCTION("""COMPUTED_VALUE"""),1.2341667358772392)</f>
        <v>1.234166736</v>
      </c>
      <c r="AM175" s="57">
        <f>IFERROR(__xludf.DUMMYFUNCTION("""COMPUTED_VALUE"""),1.007374383052802)</f>
        <v>1.007374383</v>
      </c>
      <c r="AN175" s="57">
        <f>IFERROR(__xludf.DUMMYFUNCTION("""COMPUTED_VALUE"""),0.9450714082112004)</f>
        <v>0.9450714082</v>
      </c>
      <c r="AO175" s="57">
        <f>IFERROR(__xludf.DUMMYFUNCTION("""COMPUTED_VALUE"""),1.004837219472778)</f>
        <v>1.004837219</v>
      </c>
      <c r="AP175" s="35">
        <f>IFERROR(__xludf.DUMMYFUNCTION("""COMPUTED_VALUE"""),1.0737296374951921)</f>
        <v>1.073729637</v>
      </c>
      <c r="AQ175" s="57">
        <f>IFERROR(__xludf.DUMMYFUNCTION("""COMPUTED_VALUE"""),1.056231942123427)</f>
        <v>1.056231942</v>
      </c>
      <c r="AR175" s="36" t="b">
        <f>IFERROR(__xludf.DUMMYFUNCTION("""COMPUTED_VALUE"""),TRUE)</f>
        <v>1</v>
      </c>
      <c r="AS175" s="57"/>
      <c r="AT175" s="37"/>
      <c r="AU175" s="30"/>
      <c r="AV175" s="30"/>
      <c r="AW175" s="30"/>
      <c r="AX175" s="30"/>
      <c r="AY175" s="30"/>
      <c r="AZ175" s="30"/>
    </row>
    <row r="176">
      <c r="A176" s="30" t="str">
        <f>IFERROR(__xludf.DUMMYFUNCTION("""COMPUTED_VALUE"""),"Contender")</f>
        <v>Contender</v>
      </c>
      <c r="B176" s="30" t="str">
        <f>IFERROR(__xludf.DUMMYFUNCTION("""COMPUTED_VALUE"""),"RSC007520")</f>
        <v>RSC007520</v>
      </c>
      <c r="C176" s="30" t="str">
        <f>IFERROR(__xludf.DUMMYFUNCTION("""COMPUTED_VALUE"""),"Blitzzzzz.")</f>
        <v>Blitzzzzz.</v>
      </c>
      <c r="D176" s="31" t="str">
        <f>IFERROR(__xludf.DUMMYFUNCTION("""COMPUTED_VALUE"""),"Devoured")</f>
        <v>Devoured</v>
      </c>
      <c r="E176" s="31">
        <f>IFERROR(__xludf.DUMMYFUNCTION("""COMPUTED_VALUE"""),68.25115122095961)</f>
        <v>68.25115122</v>
      </c>
      <c r="F176" s="31">
        <f>IFERROR(__xludf.DUMMYFUNCTION("""COMPUTED_VALUE"""),4.297729163174265)</f>
        <v>4.297729163</v>
      </c>
      <c r="G176" s="31">
        <f>IFERROR(__xludf.DUMMYFUNCTION("""COMPUTED_VALUE"""),66.68071481586094)</f>
        <v>66.68071482</v>
      </c>
      <c r="H176" s="31">
        <f>IFERROR(__xludf.DUMMYFUNCTION("""COMPUTED_VALUE"""),3.963330237454847)</f>
        <v>3.963330237</v>
      </c>
      <c r="I176" s="54">
        <f>IFERROR(__xludf.DUMMYFUNCTION("""COMPUTED_VALUE"""),46.0)</f>
        <v>46</v>
      </c>
      <c r="J176" s="55">
        <f>IFERROR(__xludf.DUMMYFUNCTION("""COMPUTED_VALUE"""),25.0)</f>
        <v>25</v>
      </c>
      <c r="K176" s="54">
        <f>IFERROR(__xludf.DUMMYFUNCTION("""COMPUTED_VALUE"""),21.0)</f>
        <v>21</v>
      </c>
      <c r="L176" s="56">
        <f>IFERROR(__xludf.DUMMYFUNCTION("""COMPUTED_VALUE"""),0.5434782608695652)</f>
        <v>0.5434782609</v>
      </c>
      <c r="M176" s="56">
        <f>IFERROR(__xludf.DUMMYFUNCTION("""COMPUTED_VALUE"""),0.4476190476190477)</f>
        <v>0.4476190476</v>
      </c>
      <c r="N176" s="31">
        <f>IFERROR(__xludf.DUMMYFUNCTION("""COMPUTED_VALUE"""),363.89130434782606)</f>
        <v>363.8913043</v>
      </c>
      <c r="O176" s="57">
        <f>IFERROR(__xludf.DUMMYFUNCTION("""COMPUTED_VALUE"""),1.0217391304347827)</f>
        <v>1.02173913</v>
      </c>
      <c r="P176" s="57">
        <f>IFERROR(__xludf.DUMMYFUNCTION("""COMPUTED_VALUE"""),0.8260869565217391)</f>
        <v>0.8260869565</v>
      </c>
      <c r="Q176" s="57">
        <f>IFERROR(__xludf.DUMMYFUNCTION("""COMPUTED_VALUE"""),0.9565217391304348)</f>
        <v>0.9565217391</v>
      </c>
      <c r="R176" s="57">
        <f>IFERROR(__xludf.DUMMYFUNCTION("""COMPUTED_VALUE"""),2.282608695652174)</f>
        <v>2.282608696</v>
      </c>
      <c r="S176" s="31">
        <f>IFERROR(__xludf.DUMMYFUNCTION("""COMPUTED_VALUE"""),333.65217391304344)</f>
        <v>333.6521739</v>
      </c>
      <c r="T176" s="57">
        <f>IFERROR(__xludf.DUMMYFUNCTION("""COMPUTED_VALUE"""),0.8478260869565216)</f>
        <v>0.847826087</v>
      </c>
      <c r="U176" s="57">
        <f>IFERROR(__xludf.DUMMYFUNCTION("""COMPUTED_VALUE"""),0.5652173913043478)</f>
        <v>0.5652173913</v>
      </c>
      <c r="V176" s="57">
        <f>IFERROR(__xludf.DUMMYFUNCTION("""COMPUTED_VALUE"""),1.1449275362318836)</f>
        <v>1.144927536</v>
      </c>
      <c r="W176" s="57">
        <f>IFERROR(__xludf.DUMMYFUNCTION("""COMPUTED_VALUE"""),2.1594202898550723)</f>
        <v>2.15942029</v>
      </c>
      <c r="X176" s="31">
        <f>IFERROR(__xludf.DUMMYFUNCTION("""COMPUTED_VALUE"""),323.99082379325387)</f>
        <v>323.9908238</v>
      </c>
      <c r="Y176" s="57">
        <f>IFERROR(__xludf.DUMMYFUNCTION("""COMPUTED_VALUE"""),0.803418199686617)</f>
        <v>0.8034181997</v>
      </c>
      <c r="Z176" s="57">
        <f>IFERROR(__xludf.DUMMYFUNCTION("""COMPUTED_VALUE"""),0.535827852555783)</f>
        <v>0.5358278526</v>
      </c>
      <c r="AA176" s="57">
        <f>IFERROR(__xludf.DUMMYFUNCTION("""COMPUTED_VALUE"""),1.0738307372536744)</f>
        <v>1.073830737</v>
      </c>
      <c r="AB176" s="57">
        <f>IFERROR(__xludf.DUMMYFUNCTION("""COMPUTED_VALUE"""),2.254295118384919)</f>
        <v>2.254295118</v>
      </c>
      <c r="AC176" s="31">
        <f>IFERROR(__xludf.DUMMYFUNCTION("""COMPUTED_VALUE"""),330.4480268750498)</f>
        <v>330.4480269</v>
      </c>
      <c r="AD176" s="57">
        <f>IFERROR(__xludf.DUMMYFUNCTION("""COMPUTED_VALUE"""),0.8517509868762244)</f>
        <v>0.8517509869</v>
      </c>
      <c r="AE176" s="57">
        <f>IFERROR(__xludf.DUMMYFUNCTION("""COMPUTED_VALUE"""),0.5550885885000825)</f>
        <v>0.5550885885</v>
      </c>
      <c r="AF176" s="57">
        <f>IFERROR(__xludf.DUMMYFUNCTION("""COMPUTED_VALUE"""),1.0504209629961663)</f>
        <v>1.050420963</v>
      </c>
      <c r="AG176" s="57">
        <f>IFERROR(__xludf.DUMMYFUNCTION("""COMPUTED_VALUE"""),2.314647787117718)</f>
        <v>2.314647787</v>
      </c>
      <c r="AH176" s="57">
        <f>IFERROR(__xludf.DUMMYFUNCTION("""COMPUTED_VALUE"""),1.10120586220181)</f>
        <v>1.101205862</v>
      </c>
      <c r="AI176" s="57">
        <f>IFERROR(__xludf.DUMMYFUNCTION("""COMPUTED_VALUE"""),1.1995749299710066)</f>
        <v>1.19957493</v>
      </c>
      <c r="AJ176" s="57">
        <f>IFERROR(__xludf.DUMMYFUNCTION("""COMPUTED_VALUE"""),1.4882074206460045)</f>
        <v>1.488207421</v>
      </c>
      <c r="AK176" s="57">
        <f>IFERROR(__xludf.DUMMYFUNCTION("""COMPUTED_VALUE"""),0.9106080065292127)</f>
        <v>0.9106080065</v>
      </c>
      <c r="AL176" s="57">
        <f>IFERROR(__xludf.DUMMYFUNCTION("""COMPUTED_VALUE"""),0.9861581137122204)</f>
        <v>0.9861581137</v>
      </c>
      <c r="AM176" s="57">
        <f>IFERROR(__xludf.DUMMYFUNCTION("""COMPUTED_VALUE"""),1.0298198263971658)</f>
        <v>1.029819826</v>
      </c>
      <c r="AN176" s="57">
        <f>IFERROR(__xludf.DUMMYFUNCTION("""COMPUTED_VALUE"""),1.0552736884566798)</f>
        <v>1.055273688</v>
      </c>
      <c r="AO176" s="57">
        <f>IFERROR(__xludf.DUMMYFUNCTION("""COMPUTED_VALUE"""),1.0548488448451925)</f>
        <v>1.054848845</v>
      </c>
      <c r="AP176" s="35">
        <f>IFERROR(__xludf.DUMMYFUNCTION("""COMPUTED_VALUE"""),1.0662085713434126)</f>
        <v>1.066208571</v>
      </c>
      <c r="AQ176" s="57">
        <f>IFERROR(__xludf.DUMMYFUNCTION("""COMPUTED_VALUE"""),0.9579137497321915)</f>
        <v>0.9579137497</v>
      </c>
      <c r="AR176" s="36" t="b">
        <f>IFERROR(__xludf.DUMMYFUNCTION("""COMPUTED_VALUE"""),TRUE)</f>
        <v>1</v>
      </c>
      <c r="AS176" s="57"/>
      <c r="AT176" s="37"/>
      <c r="AU176" s="30"/>
      <c r="AV176" s="30"/>
      <c r="AW176" s="30"/>
      <c r="AX176" s="30"/>
      <c r="AY176" s="30"/>
      <c r="AZ176" s="30"/>
    </row>
    <row r="177">
      <c r="A177" s="30" t="str">
        <f>IFERROR(__xludf.DUMMYFUNCTION("""COMPUTED_VALUE"""),"Contender")</f>
        <v>Contender</v>
      </c>
      <c r="B177" s="30" t="str">
        <f>IFERROR(__xludf.DUMMYFUNCTION("""COMPUTED_VALUE"""),"RSC004708")</f>
        <v>RSC004708</v>
      </c>
      <c r="C177" s="30" t="str">
        <f>IFERROR(__xludf.DUMMYFUNCTION("""COMPUTED_VALUE"""),"loganskito")</f>
        <v>loganskito</v>
      </c>
      <c r="D177" s="31"/>
      <c r="E177" s="31">
        <f>IFERROR(__xludf.DUMMYFUNCTION("""COMPUTED_VALUE"""),68.10227823270776)</f>
        <v>68.10227823</v>
      </c>
      <c r="F177" s="31">
        <f>IFERROR(__xludf.DUMMYFUNCTION("""COMPUTED_VALUE"""),4.26430330852668)</f>
        <v>4.264303309</v>
      </c>
      <c r="G177" s="31">
        <f>IFERROR(__xludf.DUMMYFUNCTION("""COMPUTED_VALUE"""),46.55679305699659)</f>
        <v>46.55679306</v>
      </c>
      <c r="H177" s="31">
        <f>IFERROR(__xludf.DUMMYFUNCTION("""COMPUTED_VALUE"""),-2.246042324668413)</f>
        <v>-2.246042325</v>
      </c>
      <c r="I177" s="54">
        <f>IFERROR(__xludf.DUMMYFUNCTION("""COMPUTED_VALUE"""),14.0)</f>
        <v>14</v>
      </c>
      <c r="J177" s="55">
        <f>IFERROR(__xludf.DUMMYFUNCTION("""COMPUTED_VALUE"""),5.0)</f>
        <v>5</v>
      </c>
      <c r="K177" s="54">
        <f>IFERROR(__xludf.DUMMYFUNCTION("""COMPUTED_VALUE"""),9.0)</f>
        <v>9</v>
      </c>
      <c r="L177" s="56">
        <f>IFERROR(__xludf.DUMMYFUNCTION("""COMPUTED_VALUE"""),0.35714285714285715)</f>
        <v>0.3571428571</v>
      </c>
      <c r="M177" s="56">
        <f>IFERROR(__xludf.DUMMYFUNCTION("""COMPUTED_VALUE"""),0.30952380952380953)</f>
        <v>0.3095238095</v>
      </c>
      <c r="N177" s="31">
        <f>IFERROR(__xludf.DUMMYFUNCTION("""COMPUTED_VALUE"""),354.0)</f>
        <v>354</v>
      </c>
      <c r="O177" s="57">
        <f>IFERROR(__xludf.DUMMYFUNCTION("""COMPUTED_VALUE"""),0.9285714285714286)</f>
        <v>0.9285714286</v>
      </c>
      <c r="P177" s="57">
        <f>IFERROR(__xludf.DUMMYFUNCTION("""COMPUTED_VALUE"""),0.5714285714285714)</f>
        <v>0.5714285714</v>
      </c>
      <c r="Q177" s="57">
        <f>IFERROR(__xludf.DUMMYFUNCTION("""COMPUTED_VALUE"""),1.3571428571428572)</f>
        <v>1.357142857</v>
      </c>
      <c r="R177" s="57">
        <f>IFERROR(__xludf.DUMMYFUNCTION("""COMPUTED_VALUE"""),3.0)</f>
        <v>3</v>
      </c>
      <c r="S177" s="31">
        <f>IFERROR(__xludf.DUMMYFUNCTION("""COMPUTED_VALUE"""),362.4047619047619)</f>
        <v>362.4047619</v>
      </c>
      <c r="T177" s="57">
        <f>IFERROR(__xludf.DUMMYFUNCTION("""COMPUTED_VALUE"""),0.9047619047619048)</f>
        <v>0.9047619048</v>
      </c>
      <c r="U177" s="57">
        <f>IFERROR(__xludf.DUMMYFUNCTION("""COMPUTED_VALUE"""),0.5952380952380952)</f>
        <v>0.5952380952</v>
      </c>
      <c r="V177" s="57">
        <f>IFERROR(__xludf.DUMMYFUNCTION("""COMPUTED_VALUE"""),1.2142857142857142)</f>
        <v>1.214285714</v>
      </c>
      <c r="W177" s="57">
        <f>IFERROR(__xludf.DUMMYFUNCTION("""COMPUTED_VALUE"""),2.880952380952381)</f>
        <v>2.880952381</v>
      </c>
      <c r="X177" s="31">
        <f>IFERROR(__xludf.DUMMYFUNCTION("""COMPUTED_VALUE"""),347.77100059908446)</f>
        <v>347.7710006</v>
      </c>
      <c r="Y177" s="57">
        <f>IFERROR(__xludf.DUMMYFUNCTION("""COMPUTED_VALUE"""),0.9548550376523083)</f>
        <v>0.9548550377</v>
      </c>
      <c r="Z177" s="57">
        <f>IFERROR(__xludf.DUMMYFUNCTION("""COMPUTED_VALUE"""),0.6559052678593051)</f>
        <v>0.6559052679</v>
      </c>
      <c r="AA177" s="57">
        <f>IFERROR(__xludf.DUMMYFUNCTION("""COMPUTED_VALUE"""),1.0031771046891202)</f>
        <v>1.003177105</v>
      </c>
      <c r="AB177" s="57">
        <f>IFERROR(__xludf.DUMMYFUNCTION("""COMPUTED_VALUE"""),2.5983334953403636)</f>
        <v>2.598333495</v>
      </c>
      <c r="AC177" s="31">
        <f>IFERROR(__xludf.DUMMYFUNCTION("""COMPUTED_VALUE"""),316.78713944081255)</f>
        <v>316.7871394</v>
      </c>
      <c r="AD177" s="57">
        <f>IFERROR(__xludf.DUMMYFUNCTION("""COMPUTED_VALUE"""),0.7449549841473928)</f>
        <v>0.7449549841</v>
      </c>
      <c r="AE177" s="57">
        <f>IFERROR(__xludf.DUMMYFUNCTION("""COMPUTED_VALUE"""),0.4824250914554659)</f>
        <v>0.4824250915</v>
      </c>
      <c r="AF177" s="57">
        <f>IFERROR(__xludf.DUMMYFUNCTION("""COMPUTED_VALUE"""),1.1412772178896653)</f>
        <v>1.141277218</v>
      </c>
      <c r="AG177" s="57">
        <f>IFERROR(__xludf.DUMMYFUNCTION("""COMPUTED_VALUE"""),2.0861641480079074)</f>
        <v>2.086164148</v>
      </c>
      <c r="AH177" s="57">
        <f>IFERROR(__xludf.DUMMYFUNCTION("""COMPUTED_VALUE"""),1.1174696063257965)</f>
        <v>1.117469606</v>
      </c>
      <c r="AI177" s="57">
        <f>IFERROR(__xludf.DUMMYFUNCTION("""COMPUTED_VALUE"""),1.2464799193661162)</f>
        <v>1.246479919</v>
      </c>
      <c r="AJ177" s="57">
        <f>IFERROR(__xludf.DUMMYFUNCTION("""COMPUTED_VALUE"""),1.1844918134431688)</f>
        <v>1.184491813</v>
      </c>
      <c r="AK177" s="57">
        <f>IFERROR(__xludf.DUMMYFUNCTION("""COMPUTED_VALUE"""),1.1891439133888513)</f>
        <v>1.189143913</v>
      </c>
      <c r="AL177" s="57">
        <f>IFERROR(__xludf.DUMMYFUNCTION("""COMPUTED_VALUE"""),1.4380459959800962)</f>
        <v>1.438045996</v>
      </c>
      <c r="AM177" s="57">
        <f>IFERROR(__xludf.DUMMYFUNCTION("""COMPUTED_VALUE"""),1.0420787278998789)</f>
        <v>1.042078728</v>
      </c>
      <c r="AN177" s="57">
        <f>IFERROR(__xludf.DUMMYFUNCTION("""COMPUTED_VALUE"""),0.9475384944152707)</f>
        <v>0.9475384944</v>
      </c>
      <c r="AO177" s="57">
        <f>IFERROR(__xludf.DUMMYFUNCTION("""COMPUTED_VALUE"""),0.9075061970165129)</f>
        <v>0.907506197</v>
      </c>
      <c r="AP177" s="35">
        <f>IFERROR(__xludf.DUMMYFUNCTION("""COMPUTED_VALUE"""),1.2104400196234697)</f>
        <v>1.21044002</v>
      </c>
      <c r="AQ177" s="57">
        <f>IFERROR(__xludf.DUMMYFUNCTION("""COMPUTED_VALUE"""),1.108769288514674)</f>
        <v>1.108769289</v>
      </c>
      <c r="AR177" s="36" t="b">
        <f>IFERROR(__xludf.DUMMYFUNCTION("""COMPUTED_VALUE"""),TRUE)</f>
        <v>1</v>
      </c>
      <c r="AS177" s="57"/>
      <c r="AT177" s="37"/>
      <c r="AU177" s="30"/>
      <c r="AV177" s="30"/>
      <c r="AW177" s="30"/>
      <c r="AX177" s="30"/>
      <c r="AY177" s="30"/>
      <c r="AZ177" s="30"/>
    </row>
    <row r="178">
      <c r="A178" s="30" t="str">
        <f>IFERROR(__xludf.DUMMYFUNCTION("""COMPUTED_VALUE"""),"Contender")</f>
        <v>Contender</v>
      </c>
      <c r="B178" s="30" t="str">
        <f>IFERROR(__xludf.DUMMYFUNCTION("""COMPUTED_VALUE"""),"RSC007630")</f>
        <v>RSC007630</v>
      </c>
      <c r="C178" s="30" t="str">
        <f>IFERROR(__xludf.DUMMYFUNCTION("""COMPUTED_VALUE"""),"Grey")</f>
        <v>Grey</v>
      </c>
      <c r="D178" s="31" t="str">
        <f>IFERROR(__xludf.DUMMYFUNCTION("""COMPUTED_VALUE"""),"Rad Lads")</f>
        <v>Rad Lads</v>
      </c>
      <c r="E178" s="31">
        <f>IFERROR(__xludf.DUMMYFUNCTION("""COMPUTED_VALUE"""),67.2080594765249)</f>
        <v>67.20805948</v>
      </c>
      <c r="F178" s="31">
        <f>IFERROR(__xludf.DUMMYFUNCTION("""COMPUTED_VALUE"""),4.071248543466067)</f>
        <v>4.071248543</v>
      </c>
      <c r="G178" s="31">
        <f>IFERROR(__xludf.DUMMYFUNCTION("""COMPUTED_VALUE"""),59.64155373808812)</f>
        <v>59.64155374</v>
      </c>
      <c r="H178" s="31">
        <f>IFERROR(__xludf.DUMMYFUNCTION("""COMPUTED_VALUE"""),2.8581762981763816)</f>
        <v>2.858176298</v>
      </c>
      <c r="I178" s="54">
        <f>IFERROR(__xludf.DUMMYFUNCTION("""COMPUTED_VALUE"""),30.0)</f>
        <v>30</v>
      </c>
      <c r="J178" s="55">
        <f>IFERROR(__xludf.DUMMYFUNCTION("""COMPUTED_VALUE"""),18.0)</f>
        <v>18</v>
      </c>
      <c r="K178" s="54">
        <f>IFERROR(__xludf.DUMMYFUNCTION("""COMPUTED_VALUE"""),12.0)</f>
        <v>12</v>
      </c>
      <c r="L178" s="56">
        <f>IFERROR(__xludf.DUMMYFUNCTION("""COMPUTED_VALUE"""),0.6)</f>
        <v>0.6</v>
      </c>
      <c r="M178" s="56">
        <f>IFERROR(__xludf.DUMMYFUNCTION("""COMPUTED_VALUE"""),0.4268292682926829)</f>
        <v>0.4268292683</v>
      </c>
      <c r="N178" s="31">
        <f>IFERROR(__xludf.DUMMYFUNCTION("""COMPUTED_VALUE"""),343.6)</f>
        <v>343.6</v>
      </c>
      <c r="O178" s="57">
        <f>IFERROR(__xludf.DUMMYFUNCTION("""COMPUTED_VALUE"""),1.1666666666666667)</f>
        <v>1.166666667</v>
      </c>
      <c r="P178" s="57">
        <f>IFERROR(__xludf.DUMMYFUNCTION("""COMPUTED_VALUE"""),0.6)</f>
        <v>0.6</v>
      </c>
      <c r="Q178" s="57">
        <f>IFERROR(__xludf.DUMMYFUNCTION("""COMPUTED_VALUE"""),0.8)</f>
        <v>0.8</v>
      </c>
      <c r="R178" s="57">
        <f>IFERROR(__xludf.DUMMYFUNCTION("""COMPUTED_VALUE"""),2.7333333333333334)</f>
        <v>2.733333333</v>
      </c>
      <c r="S178" s="31">
        <f>IFERROR(__xludf.DUMMYFUNCTION("""COMPUTED_VALUE"""),312.8888888888889)</f>
        <v>312.8888889</v>
      </c>
      <c r="T178" s="57">
        <f>IFERROR(__xludf.DUMMYFUNCTION("""COMPUTED_VALUE"""),0.7999999999999999)</f>
        <v>0.8</v>
      </c>
      <c r="U178" s="57">
        <f>IFERROR(__xludf.DUMMYFUNCTION("""COMPUTED_VALUE"""),0.44444444444444453)</f>
        <v>0.4444444444</v>
      </c>
      <c r="V178" s="57">
        <f>IFERROR(__xludf.DUMMYFUNCTION("""COMPUTED_VALUE"""),0.9888888888888888)</f>
        <v>0.9888888889</v>
      </c>
      <c r="W178" s="57">
        <f>IFERROR(__xludf.DUMMYFUNCTION("""COMPUTED_VALUE"""),2.055555555555556)</f>
        <v>2.055555556</v>
      </c>
      <c r="X178" s="31">
        <f>IFERROR(__xludf.DUMMYFUNCTION("""COMPUTED_VALUE"""),320.2881282103434)</f>
        <v>320.2881282</v>
      </c>
      <c r="Y178" s="57">
        <f>IFERROR(__xludf.DUMMYFUNCTION("""COMPUTED_VALUE"""),0.7789291096538763)</f>
        <v>0.7789291097</v>
      </c>
      <c r="Z178" s="57">
        <f>IFERROR(__xludf.DUMMYFUNCTION("""COMPUTED_VALUE"""),0.5269440238657412)</f>
        <v>0.5269440239</v>
      </c>
      <c r="AA178" s="57">
        <f>IFERROR(__xludf.DUMMYFUNCTION("""COMPUTED_VALUE"""),1.0989369529796984)</f>
        <v>1.098936953</v>
      </c>
      <c r="AB178" s="57">
        <f>IFERROR(__xludf.DUMMYFUNCTION("""COMPUTED_VALUE"""),2.215860449997379)</f>
        <v>2.21586045</v>
      </c>
      <c r="AC178" s="31">
        <f>IFERROR(__xludf.DUMMYFUNCTION("""COMPUTED_VALUE"""),333.24555018442965)</f>
        <v>333.2455502</v>
      </c>
      <c r="AD178" s="57">
        <f>IFERROR(__xludf.DUMMYFUNCTION("""COMPUTED_VALUE"""),0.8522330229738825)</f>
        <v>0.852233023</v>
      </c>
      <c r="AE178" s="57">
        <f>IFERROR(__xludf.DUMMYFUNCTION("""COMPUTED_VALUE"""),0.5658619343263039)</f>
        <v>0.5658619343</v>
      </c>
      <c r="AF178" s="57">
        <f>IFERROR(__xludf.DUMMYFUNCTION("""COMPUTED_VALUE"""),1.0809825062591953)</f>
        <v>1.080982506</v>
      </c>
      <c r="AG178" s="57">
        <f>IFERROR(__xludf.DUMMYFUNCTION("""COMPUTED_VALUE"""),2.3982490741031324)</f>
        <v>2.398249074</v>
      </c>
      <c r="AH178" s="57">
        <f>IFERROR(__xludf.DUMMYFUNCTION("""COMPUTED_VALUE"""),1.0310715321175028)</f>
        <v>1.031071532</v>
      </c>
      <c r="AI178" s="57">
        <f>IFERROR(__xludf.DUMMYFUNCTION("""COMPUTED_VALUE"""),1.3689526634341889)</f>
        <v>1.368952663</v>
      </c>
      <c r="AJ178" s="57">
        <f>IFERROR(__xludf.DUMMYFUNCTION("""COMPUTED_VALUE"""),1.0603293199326786)</f>
        <v>1.06032932</v>
      </c>
      <c r="AK178" s="57">
        <f>IFERROR(__xludf.DUMMYFUNCTION("""COMPUTED_VALUE"""),0.7400674806185791)</f>
        <v>0.7400674806</v>
      </c>
      <c r="AL178" s="57">
        <f>IFERROR(__xludf.DUMMYFUNCTION("""COMPUTED_VALUE"""),1.139720374688568)</f>
        <v>1.139720375</v>
      </c>
      <c r="AM178" s="57">
        <f>IFERROR(__xludf.DUMMYFUNCTION("""COMPUTED_VALUE"""),0.9768981780161543)</f>
        <v>0.976898178</v>
      </c>
      <c r="AN178" s="57">
        <f>IFERROR(__xludf.DUMMYFUNCTION("""COMPUTED_VALUE"""),1.0270511014224217)</f>
        <v>1.027051101</v>
      </c>
      <c r="AO178" s="57">
        <f>IFERROR(__xludf.DUMMYFUNCTION("""COMPUTED_VALUE"""),0.8434376789852036)</f>
        <v>0.843437679</v>
      </c>
      <c r="AP178" s="35">
        <f>IFERROR(__xludf.DUMMYFUNCTION("""COMPUTED_VALUE"""),0.8998595289816934)</f>
        <v>0.899859529</v>
      </c>
      <c r="AQ178" s="57">
        <f>IFERROR(__xludf.DUMMYFUNCTION("""COMPUTED_VALUE"""),0.9276556903924104)</f>
        <v>0.9276556904</v>
      </c>
      <c r="AR178" s="36" t="b">
        <f>IFERROR(__xludf.DUMMYFUNCTION("""COMPUTED_VALUE"""),TRUE)</f>
        <v>1</v>
      </c>
      <c r="AS178" s="57"/>
      <c r="AT178" s="37"/>
      <c r="AU178" s="30"/>
      <c r="AV178" s="30"/>
      <c r="AW178" s="30"/>
      <c r="AX178" s="30"/>
      <c r="AY178" s="30"/>
      <c r="AZ178" s="30"/>
    </row>
    <row r="179">
      <c r="A179" s="30" t="str">
        <f>IFERROR(__xludf.DUMMYFUNCTION("""COMPUTED_VALUE"""),"Contender")</f>
        <v>Contender</v>
      </c>
      <c r="B179" s="30" t="str">
        <f>IFERROR(__xludf.DUMMYFUNCTION("""COMPUTED_VALUE"""),"RSC007153")</f>
        <v>RSC007153</v>
      </c>
      <c r="C179" s="30" t="str">
        <f>IFERROR(__xludf.DUMMYFUNCTION("""COMPUTED_VALUE"""),"Washyman111670")</f>
        <v>Washyman111670</v>
      </c>
      <c r="D179" s="31" t="str">
        <f>IFERROR(__xludf.DUMMYFUNCTION("""COMPUTED_VALUE"""),"Ice")</f>
        <v>Ice</v>
      </c>
      <c r="E179" s="31">
        <f>IFERROR(__xludf.DUMMYFUNCTION("""COMPUTED_VALUE"""),66.71927200304759)</f>
        <v>66.719272</v>
      </c>
      <c r="F179" s="31">
        <f>IFERROR(__xludf.DUMMYFUNCTION("""COMPUTED_VALUE"""),3.971077490934976)</f>
        <v>3.971077491</v>
      </c>
      <c r="G179" s="31">
        <f>IFERROR(__xludf.DUMMYFUNCTION("""COMPUTED_VALUE"""),70.95235357047959)</f>
        <v>70.95235357</v>
      </c>
      <c r="H179" s="31">
        <f>IFERROR(__xludf.DUMMYFUNCTION("""COMPUTED_VALUE"""),4.97539874011361)</f>
        <v>4.97539874</v>
      </c>
      <c r="I179" s="54">
        <f>IFERROR(__xludf.DUMMYFUNCTION("""COMPUTED_VALUE"""),43.0)</f>
        <v>43</v>
      </c>
      <c r="J179" s="55">
        <f>IFERROR(__xludf.DUMMYFUNCTION("""COMPUTED_VALUE"""),27.0)</f>
        <v>27</v>
      </c>
      <c r="K179" s="54">
        <f>IFERROR(__xludf.DUMMYFUNCTION("""COMPUTED_VALUE"""),16.0)</f>
        <v>16</v>
      </c>
      <c r="L179" s="56">
        <f>IFERROR(__xludf.DUMMYFUNCTION("""COMPUTED_VALUE"""),0.627906976744186)</f>
        <v>0.6279069767</v>
      </c>
      <c r="M179" s="56">
        <f>IFERROR(__xludf.DUMMYFUNCTION("""COMPUTED_VALUE"""),0.39999999999999997)</f>
        <v>0.4</v>
      </c>
      <c r="N179" s="31">
        <f>IFERROR(__xludf.DUMMYFUNCTION("""COMPUTED_VALUE"""),408.1162790697674)</f>
        <v>408.1162791</v>
      </c>
      <c r="O179" s="57">
        <f>IFERROR(__xludf.DUMMYFUNCTION("""COMPUTED_VALUE"""),1.1162790697674418)</f>
        <v>1.11627907</v>
      </c>
      <c r="P179" s="57">
        <f>IFERROR(__xludf.DUMMYFUNCTION("""COMPUTED_VALUE"""),0.5116279069767442)</f>
        <v>0.511627907</v>
      </c>
      <c r="Q179" s="57">
        <f>IFERROR(__xludf.DUMMYFUNCTION("""COMPUTED_VALUE"""),1.4883720930232558)</f>
        <v>1.488372093</v>
      </c>
      <c r="R179" s="57">
        <f>IFERROR(__xludf.DUMMYFUNCTION("""COMPUTED_VALUE"""),2.7906976744186047)</f>
        <v>2.790697674</v>
      </c>
      <c r="S179" s="31">
        <f>IFERROR(__xludf.DUMMYFUNCTION("""COMPUTED_VALUE"""),308.1782945736435)</f>
        <v>308.1782946</v>
      </c>
      <c r="T179" s="57">
        <f>IFERROR(__xludf.DUMMYFUNCTION("""COMPUTED_VALUE"""),0.6511627906976742)</f>
        <v>0.6511627907</v>
      </c>
      <c r="U179" s="57">
        <f>IFERROR(__xludf.DUMMYFUNCTION("""COMPUTED_VALUE"""),0.511627906976744)</f>
        <v>0.511627907</v>
      </c>
      <c r="V179" s="57">
        <f>IFERROR(__xludf.DUMMYFUNCTION("""COMPUTED_VALUE"""),1.0930232558139534)</f>
        <v>1.093023256</v>
      </c>
      <c r="W179" s="57">
        <f>IFERROR(__xludf.DUMMYFUNCTION("""COMPUTED_VALUE"""),2.364341085271317)</f>
        <v>2.364341085</v>
      </c>
      <c r="X179" s="31">
        <f>IFERROR(__xludf.DUMMYFUNCTION("""COMPUTED_VALUE"""),316.577501317281)</f>
        <v>316.5775013</v>
      </c>
      <c r="Y179" s="57">
        <f>IFERROR(__xludf.DUMMYFUNCTION("""COMPUTED_VALUE"""),0.7836930204330655)</f>
        <v>0.7836930204</v>
      </c>
      <c r="Z179" s="57">
        <f>IFERROR(__xludf.DUMMYFUNCTION("""COMPUTED_VALUE"""),0.4989979129337304)</f>
        <v>0.4989979129</v>
      </c>
      <c r="AA179" s="57">
        <f>IFERROR(__xludf.DUMMYFUNCTION("""COMPUTED_VALUE"""),1.0517632902772263)</f>
        <v>1.05176329</v>
      </c>
      <c r="AB179" s="57">
        <f>IFERROR(__xludf.DUMMYFUNCTION("""COMPUTED_VALUE"""),2.188666880892454)</f>
        <v>2.188666881</v>
      </c>
      <c r="AC179" s="31">
        <f>IFERROR(__xludf.DUMMYFUNCTION("""COMPUTED_VALUE"""),331.9466785384832)</f>
        <v>331.9466785</v>
      </c>
      <c r="AD179" s="57">
        <f>IFERROR(__xludf.DUMMYFUNCTION("""COMPUTED_VALUE"""),0.8702706675541774)</f>
        <v>0.8702706676</v>
      </c>
      <c r="AE179" s="57">
        <f>IFERROR(__xludf.DUMMYFUNCTION("""COMPUTED_VALUE"""),0.5644004549738477)</f>
        <v>0.564400455</v>
      </c>
      <c r="AF179" s="57">
        <f>IFERROR(__xludf.DUMMYFUNCTION("""COMPUTED_VALUE"""),1.0293950926649487)</f>
        <v>1.029395093</v>
      </c>
      <c r="AG179" s="57">
        <f>IFERROR(__xludf.DUMMYFUNCTION("""COMPUTED_VALUE"""),2.330813484559177)</f>
        <v>2.330813485</v>
      </c>
      <c r="AH179" s="57">
        <f>IFERROR(__xludf.DUMMYFUNCTION("""COMPUTED_VALUE"""),1.229463361003185)</f>
        <v>1.229463361</v>
      </c>
      <c r="AI179" s="57">
        <f>IFERROR(__xludf.DUMMYFUNCTION("""COMPUTED_VALUE"""),1.2826803331251533)</f>
        <v>1.282680333</v>
      </c>
      <c r="AJ179" s="57">
        <f>IFERROR(__xludf.DUMMYFUNCTION("""COMPUTED_VALUE"""),0.9064980413604578)</f>
        <v>0.9064980414</v>
      </c>
      <c r="AK179" s="57">
        <f>IFERROR(__xludf.DUMMYFUNCTION("""COMPUTED_VALUE"""),1.4458705929616247)</f>
        <v>1.445870593</v>
      </c>
      <c r="AL179" s="57">
        <f>IFERROR(__xludf.DUMMYFUNCTION("""COMPUTED_VALUE"""),1.1973063022442592)</f>
        <v>1.197306302</v>
      </c>
      <c r="AM179" s="57">
        <f>IFERROR(__xludf.DUMMYFUNCTION("""COMPUTED_VALUE"""),0.9734687186907206)</f>
        <v>0.9734687187</v>
      </c>
      <c r="AN179" s="57">
        <f>IFERROR(__xludf.DUMMYFUNCTION("""COMPUTED_VALUE"""),0.83089012370921)</f>
        <v>0.8308901237</v>
      </c>
      <c r="AO179" s="57">
        <f>IFERROR(__xludf.DUMMYFUNCTION("""COMPUTED_VALUE"""),1.0253107151666403)</f>
        <v>1.025310715</v>
      </c>
      <c r="AP179" s="35">
        <f>IFERROR(__xludf.DUMMYFUNCTION("""COMPUTED_VALUE"""),1.0392293265206582)</f>
        <v>1.039229327</v>
      </c>
      <c r="AQ179" s="57">
        <f>IFERROR(__xludf.DUMMYFUNCTION("""COMPUTED_VALUE"""),1.08026539164664)</f>
        <v>1.080265392</v>
      </c>
      <c r="AR179" s="36" t="b">
        <f>IFERROR(__xludf.DUMMYFUNCTION("""COMPUTED_VALUE"""),TRUE)</f>
        <v>1</v>
      </c>
      <c r="AS179" s="57"/>
      <c r="AT179" s="37"/>
      <c r="AU179" s="30"/>
      <c r="AV179" s="30"/>
      <c r="AW179" s="30"/>
      <c r="AX179" s="30"/>
      <c r="AY179" s="30"/>
      <c r="AZ179" s="30"/>
    </row>
    <row r="180">
      <c r="A180" s="30" t="str">
        <f>IFERROR(__xludf.DUMMYFUNCTION("""COMPUTED_VALUE"""),"Contender")</f>
        <v>Contender</v>
      </c>
      <c r="B180" s="30" t="str">
        <f>IFERROR(__xludf.DUMMYFUNCTION("""COMPUTED_VALUE"""),"RSC005759")</f>
        <v>RSC005759</v>
      </c>
      <c r="C180" s="30" t="str">
        <f>IFERROR(__xludf.DUMMYFUNCTION("""COMPUTED_VALUE"""),"XerNaut")</f>
        <v>XerNaut</v>
      </c>
      <c r="D180" s="31" t="str">
        <f>IFERROR(__xludf.DUMMYFUNCTION("""COMPUTED_VALUE"""),"Devoured")</f>
        <v>Devoured</v>
      </c>
      <c r="E180" s="31">
        <f>IFERROR(__xludf.DUMMYFUNCTION("""COMPUTED_VALUE"""),63.361660824972134)</f>
        <v>63.36166082</v>
      </c>
      <c r="F180" s="31">
        <f>IFERROR(__xludf.DUMMYFUNCTION("""COMPUTED_VALUE"""),3.372573978096385)</f>
        <v>3.372573978</v>
      </c>
      <c r="G180" s="31">
        <f>IFERROR(__xludf.DUMMYFUNCTION("""COMPUTED_VALUE"""),64.58132515595429)</f>
        <v>64.58132516</v>
      </c>
      <c r="H180" s="31">
        <f>IFERROR(__xludf.DUMMYFUNCTION("""COMPUTED_VALUE"""),3.5731960725805685)</f>
        <v>3.573196073</v>
      </c>
      <c r="I180" s="54">
        <f>IFERROR(__xludf.DUMMYFUNCTION("""COMPUTED_VALUE"""),41.0)</f>
        <v>41</v>
      </c>
      <c r="J180" s="55">
        <f>IFERROR(__xludf.DUMMYFUNCTION("""COMPUTED_VALUE"""),22.0)</f>
        <v>22</v>
      </c>
      <c r="K180" s="54">
        <f>IFERROR(__xludf.DUMMYFUNCTION("""COMPUTED_VALUE"""),19.0)</f>
        <v>19</v>
      </c>
      <c r="L180" s="56">
        <f>IFERROR(__xludf.DUMMYFUNCTION("""COMPUTED_VALUE"""),0.5365853658536586)</f>
        <v>0.5365853659</v>
      </c>
      <c r="M180" s="56">
        <f>IFERROR(__xludf.DUMMYFUNCTION("""COMPUTED_VALUE"""),0.396694214876033)</f>
        <v>0.3966942149</v>
      </c>
      <c r="N180" s="31">
        <f>IFERROR(__xludf.DUMMYFUNCTION("""COMPUTED_VALUE"""),362.0975609756098)</f>
        <v>362.097561</v>
      </c>
      <c r="O180" s="57">
        <f>IFERROR(__xludf.DUMMYFUNCTION("""COMPUTED_VALUE"""),1.170731707317073)</f>
        <v>1.170731707</v>
      </c>
      <c r="P180" s="57">
        <f>IFERROR(__xludf.DUMMYFUNCTION("""COMPUTED_VALUE"""),0.43902439024390244)</f>
        <v>0.4390243902</v>
      </c>
      <c r="Q180" s="57">
        <f>IFERROR(__xludf.DUMMYFUNCTION("""COMPUTED_VALUE"""),1.048780487804878)</f>
        <v>1.048780488</v>
      </c>
      <c r="R180" s="57">
        <f>IFERROR(__xludf.DUMMYFUNCTION("""COMPUTED_VALUE"""),2.951219512195122)</f>
        <v>2.951219512</v>
      </c>
      <c r="S180" s="31">
        <f>IFERROR(__xludf.DUMMYFUNCTION("""COMPUTED_VALUE"""),333.3658536585366)</f>
        <v>333.3658537</v>
      </c>
      <c r="T180" s="57">
        <f>IFERROR(__xludf.DUMMYFUNCTION("""COMPUTED_VALUE"""),0.8699186991869916)</f>
        <v>0.8699186992</v>
      </c>
      <c r="U180" s="57">
        <f>IFERROR(__xludf.DUMMYFUNCTION("""COMPUTED_VALUE"""),0.5853658536585367)</f>
        <v>0.5853658537</v>
      </c>
      <c r="V180" s="57">
        <f>IFERROR(__xludf.DUMMYFUNCTION("""COMPUTED_VALUE"""),1.0650406504065038)</f>
        <v>1.06504065</v>
      </c>
      <c r="W180" s="57">
        <f>IFERROR(__xludf.DUMMYFUNCTION("""COMPUTED_VALUE"""),2.211382113821138)</f>
        <v>2.211382114</v>
      </c>
      <c r="X180" s="31">
        <f>IFERROR(__xludf.DUMMYFUNCTION("""COMPUTED_VALUE"""),328.31908356659926)</f>
        <v>328.3190836</v>
      </c>
      <c r="Y180" s="57">
        <f>IFERROR(__xludf.DUMMYFUNCTION("""COMPUTED_VALUE"""),0.8213629271431224)</f>
        <v>0.8213629271</v>
      </c>
      <c r="Z180" s="57">
        <f>IFERROR(__xludf.DUMMYFUNCTION("""COMPUTED_VALUE"""),0.5467595805795042)</f>
        <v>0.5467595806</v>
      </c>
      <c r="AA180" s="57">
        <f>IFERROR(__xludf.DUMMYFUNCTION("""COMPUTED_VALUE"""),1.0852240880251272)</f>
        <v>1.085224088</v>
      </c>
      <c r="AB180" s="57">
        <f>IFERROR(__xludf.DUMMYFUNCTION("""COMPUTED_VALUE"""),2.294670381737108)</f>
        <v>2.294670382</v>
      </c>
      <c r="AC180" s="31">
        <f>IFERROR(__xludf.DUMMYFUNCTION("""COMPUTED_VALUE"""),330.8581272946575)</f>
        <v>330.8581273</v>
      </c>
      <c r="AD180" s="57">
        <f>IFERROR(__xludf.DUMMYFUNCTION("""COMPUTED_VALUE"""),0.8493731596644198)</f>
        <v>0.8493731597</v>
      </c>
      <c r="AE180" s="57">
        <f>IFERROR(__xludf.DUMMYFUNCTION("""COMPUTED_VALUE"""),0.5554291288788481)</f>
        <v>0.5554291289</v>
      </c>
      <c r="AF180" s="57">
        <f>IFERROR(__xludf.DUMMYFUNCTION("""COMPUTED_VALUE"""),1.056524248798995)</f>
        <v>1.056524249</v>
      </c>
      <c r="AG180" s="57">
        <f>IFERROR(__xludf.DUMMYFUNCTION("""COMPUTED_VALUE"""),2.3129343732504957)</f>
        <v>2.312934373</v>
      </c>
      <c r="AH180" s="57">
        <f>IFERROR(__xludf.DUMMYFUNCTION("""COMPUTED_VALUE"""),1.0944194236254348)</f>
        <v>1.094419424</v>
      </c>
      <c r="AI180" s="57">
        <f>IFERROR(__xludf.DUMMYFUNCTION("""COMPUTED_VALUE"""),1.378347895734802)</f>
        <v>1.378347896</v>
      </c>
      <c r="AJ180" s="57">
        <f>IFERROR(__xludf.DUMMYFUNCTION("""COMPUTED_VALUE"""),0.7904237776115336)</f>
        <v>0.7904237776</v>
      </c>
      <c r="AK180" s="57">
        <f>IFERROR(__xludf.DUMMYFUNCTION("""COMPUTED_VALUE"""),0.99267053169587)</f>
        <v>0.9926705317</v>
      </c>
      <c r="AL180" s="57">
        <f>IFERROR(__xludf.DUMMYFUNCTION("""COMPUTED_VALUE"""),1.2759633590673862)</f>
        <v>1.275963359</v>
      </c>
      <c r="AM180" s="57">
        <f>IFERROR(__xludf.DUMMYFUNCTION("""COMPUTED_VALUE"""),1.0153715405060018)</f>
        <v>1.015371541</v>
      </c>
      <c r="AN180" s="57">
        <f>IFERROR(__xludf.DUMMYFUNCTION("""COMPUTED_VALUE"""),1.0591160989122759)</f>
        <v>1.059116099</v>
      </c>
      <c r="AO180" s="57">
        <f>IFERROR(__xludf.DUMMYFUNCTION("""COMPUTED_VALUE"""),1.0706092301814154)</f>
        <v>1.07060923</v>
      </c>
      <c r="AP180" s="35">
        <f>IFERROR(__xludf.DUMMYFUNCTION("""COMPUTED_VALUE"""),0.9814015945265712)</f>
        <v>0.9814015945</v>
      </c>
      <c r="AQ180" s="57">
        <f>IFERROR(__xludf.DUMMYFUNCTION("""COMPUTED_VALUE"""),0.9637036026704108)</f>
        <v>0.9637036027</v>
      </c>
      <c r="AR180" s="36" t="b">
        <f>IFERROR(__xludf.DUMMYFUNCTION("""COMPUTED_VALUE"""),TRUE)</f>
        <v>1</v>
      </c>
      <c r="AS180" s="57"/>
      <c r="AT180" s="37"/>
      <c r="AU180" s="30"/>
      <c r="AV180" s="30"/>
      <c r="AW180" s="30"/>
      <c r="AX180" s="30"/>
      <c r="AY180" s="30"/>
      <c r="AZ180" s="30"/>
    </row>
    <row r="181">
      <c r="A181" s="30" t="str">
        <f>IFERROR(__xludf.DUMMYFUNCTION("""COMPUTED_VALUE"""),"Contender")</f>
        <v>Contender</v>
      </c>
      <c r="B181" s="30" t="str">
        <f>IFERROR(__xludf.DUMMYFUNCTION("""COMPUTED_VALUE"""),"RSC006900")</f>
        <v>RSC006900</v>
      </c>
      <c r="C181" s="30" t="str">
        <f>IFERROR(__xludf.DUMMYFUNCTION("""COMPUTED_VALUE"""),"VeloxcityX")</f>
        <v>VeloxcityX</v>
      </c>
      <c r="D181" s="31" t="str">
        <f>IFERROR(__xludf.DUMMYFUNCTION("""COMPUTED_VALUE"""),"Rad Lads")</f>
        <v>Rad Lads</v>
      </c>
      <c r="E181" s="31">
        <f>IFERROR(__xludf.DUMMYFUNCTION("""COMPUTED_VALUE"""),59.09725221226908)</f>
        <v>59.09725221</v>
      </c>
      <c r="F181" s="31">
        <f>IFERROR(__xludf.DUMMYFUNCTION("""COMPUTED_VALUE"""),2.793529847556624)</f>
        <v>2.793529848</v>
      </c>
      <c r="G181" s="31">
        <f>IFERROR(__xludf.DUMMYFUNCTION("""COMPUTED_VALUE"""),61.45268606759018)</f>
        <v>61.45268607</v>
      </c>
      <c r="H181" s="31">
        <f>IFERROR(__xludf.DUMMYFUNCTION("""COMPUTED_VALUE"""),3.0917862349130183)</f>
        <v>3.091786235</v>
      </c>
      <c r="I181" s="54">
        <f>IFERROR(__xludf.DUMMYFUNCTION("""COMPUTED_VALUE"""),34.0)</f>
        <v>34</v>
      </c>
      <c r="J181" s="55">
        <f>IFERROR(__xludf.DUMMYFUNCTION("""COMPUTED_VALUE"""),17.0)</f>
        <v>17</v>
      </c>
      <c r="K181" s="54">
        <f>IFERROR(__xludf.DUMMYFUNCTION("""COMPUTED_VALUE"""),17.0)</f>
        <v>17</v>
      </c>
      <c r="L181" s="56">
        <f>IFERROR(__xludf.DUMMYFUNCTION("""COMPUTED_VALUE"""),0.5)</f>
        <v>0.5</v>
      </c>
      <c r="M181" s="56">
        <f>IFERROR(__xludf.DUMMYFUNCTION("""COMPUTED_VALUE"""),0.4117647058823529)</f>
        <v>0.4117647059</v>
      </c>
      <c r="N181" s="31">
        <f>IFERROR(__xludf.DUMMYFUNCTION("""COMPUTED_VALUE"""),343.44117647058823)</f>
        <v>343.4411765</v>
      </c>
      <c r="O181" s="57">
        <f>IFERROR(__xludf.DUMMYFUNCTION("""COMPUTED_VALUE"""),0.8235294117647058)</f>
        <v>0.8235294118</v>
      </c>
      <c r="P181" s="57">
        <f>IFERROR(__xludf.DUMMYFUNCTION("""COMPUTED_VALUE"""),0.7941176470588235)</f>
        <v>0.7941176471</v>
      </c>
      <c r="Q181" s="57">
        <f>IFERROR(__xludf.DUMMYFUNCTION("""COMPUTED_VALUE"""),1.2058823529411764)</f>
        <v>1.205882353</v>
      </c>
      <c r="R181" s="57">
        <f>IFERROR(__xludf.DUMMYFUNCTION("""COMPUTED_VALUE"""),2.0)</f>
        <v>2</v>
      </c>
      <c r="S181" s="31">
        <f>IFERROR(__xludf.DUMMYFUNCTION("""COMPUTED_VALUE"""),325.343137254902)</f>
        <v>325.3431373</v>
      </c>
      <c r="T181" s="57">
        <f>IFERROR(__xludf.DUMMYFUNCTION("""COMPUTED_VALUE"""),0.8529411764705881)</f>
        <v>0.8529411765</v>
      </c>
      <c r="U181" s="57">
        <f>IFERROR(__xludf.DUMMYFUNCTION("""COMPUTED_VALUE"""),0.5588235294117647)</f>
        <v>0.5588235294</v>
      </c>
      <c r="V181" s="57">
        <f>IFERROR(__xludf.DUMMYFUNCTION("""COMPUTED_VALUE"""),1.0098039215686276)</f>
        <v>1.009803922</v>
      </c>
      <c r="W181" s="57">
        <f>IFERROR(__xludf.DUMMYFUNCTION("""COMPUTED_VALUE"""),2.0490196078431375)</f>
        <v>2.049019608</v>
      </c>
      <c r="X181" s="31">
        <f>IFERROR(__xludf.DUMMYFUNCTION("""COMPUTED_VALUE"""),322.26575248247445)</f>
        <v>322.2657525</v>
      </c>
      <c r="Y181" s="57">
        <f>IFERROR(__xludf.DUMMYFUNCTION("""COMPUTED_VALUE"""),0.7967566738097785)</f>
        <v>0.7967566738</v>
      </c>
      <c r="Z181" s="57">
        <f>IFERROR(__xludf.DUMMYFUNCTION("""COMPUTED_VALUE"""),0.5412867638992183)</f>
        <v>0.5412867639</v>
      </c>
      <c r="AA181" s="57">
        <f>IFERROR(__xludf.DUMMYFUNCTION("""COMPUTED_VALUE"""),1.0800045064523032)</f>
        <v>1.080004506</v>
      </c>
      <c r="AB181" s="57">
        <f>IFERROR(__xludf.DUMMYFUNCTION("""COMPUTED_VALUE"""),2.231305985032829)</f>
        <v>2.231305985</v>
      </c>
      <c r="AC181" s="31">
        <f>IFERROR(__xludf.DUMMYFUNCTION("""COMPUTED_VALUE"""),331.9615472030136)</f>
        <v>331.9615472</v>
      </c>
      <c r="AD181" s="57">
        <f>IFERROR(__xludf.DUMMYFUNCTION("""COMPUTED_VALUE"""),0.8505805649441144)</f>
        <v>0.8505805649</v>
      </c>
      <c r="AE181" s="57">
        <f>IFERROR(__xludf.DUMMYFUNCTION("""COMPUTED_VALUE"""),0.5517301950850911)</f>
        <v>0.5517301951</v>
      </c>
      <c r="AF181" s="57">
        <f>IFERROR(__xludf.DUMMYFUNCTION("""COMPUTED_VALUE"""),1.0797819620997011)</f>
        <v>1.079781962</v>
      </c>
      <c r="AG181" s="57">
        <f>IFERROR(__xludf.DUMMYFUNCTION("""COMPUTED_VALUE"""),2.343325066044564)</f>
        <v>2.343325066</v>
      </c>
      <c r="AH181" s="57">
        <f>IFERROR(__xludf.DUMMYFUNCTION("""COMPUTED_VALUE"""),1.0345812018418934)</f>
        <v>1.034581202</v>
      </c>
      <c r="AI181" s="57">
        <f>IFERROR(__xludf.DUMMYFUNCTION("""COMPUTED_VALUE"""),0.9681968360267132)</f>
        <v>0.968196836</v>
      </c>
      <c r="AJ181" s="57">
        <f>IFERROR(__xludf.DUMMYFUNCTION("""COMPUTED_VALUE"""),1.439322433560755)</f>
        <v>1.439322434</v>
      </c>
      <c r="AK181" s="57">
        <f>IFERROR(__xludf.DUMMYFUNCTION("""COMPUTED_VALUE"""),1.116783198152584)</f>
        <v>1.116783198</v>
      </c>
      <c r="AL181" s="57">
        <f>IFERROR(__xludf.DUMMYFUNCTION("""COMPUTED_VALUE"""),0.8534880751205027)</f>
        <v>0.8534880751</v>
      </c>
      <c r="AM181" s="57">
        <f>IFERROR(__xludf.DUMMYFUNCTION("""COMPUTED_VALUE"""),1.0095492144254294)</f>
        <v>1.009549214</v>
      </c>
      <c r="AN181" s="57">
        <f>IFERROR(__xludf.DUMMYFUNCTION("""COMPUTED_VALUE"""),1.070516513394431)</f>
        <v>1.070516513</v>
      </c>
      <c r="AO181" s="57">
        <f>IFERROR(__xludf.DUMMYFUNCTION("""COMPUTED_VALUE"""),1.0323982899308648)</f>
        <v>1.03239829</v>
      </c>
      <c r="AP181" s="35">
        <f>IFERROR(__xludf.DUMMYFUNCTION("""COMPUTED_VALUE"""),0.9349997296638356)</f>
        <v>0.9349997297</v>
      </c>
      <c r="AQ181" s="57">
        <f>IFERROR(__xludf.DUMMYFUNCTION("""COMPUTED_VALUE"""),0.918305074063157)</f>
        <v>0.9183050741</v>
      </c>
      <c r="AR181" s="36" t="b">
        <f>IFERROR(__xludf.DUMMYFUNCTION("""COMPUTED_VALUE"""),TRUE)</f>
        <v>1</v>
      </c>
      <c r="AS181" s="57"/>
      <c r="AT181" s="37"/>
      <c r="AU181" s="30"/>
      <c r="AV181" s="30"/>
      <c r="AW181" s="30"/>
      <c r="AX181" s="30"/>
      <c r="AY181" s="30"/>
      <c r="AZ181" s="30"/>
    </row>
    <row r="182">
      <c r="A182" s="30" t="str">
        <f>IFERROR(__xludf.DUMMYFUNCTION("""COMPUTED_VALUE"""),"Contender")</f>
        <v>Contender</v>
      </c>
      <c r="B182" s="30" t="str">
        <f>IFERROR(__xludf.DUMMYFUNCTION("""COMPUTED_VALUE"""),"RSC006381")</f>
        <v>RSC006381</v>
      </c>
      <c r="C182" s="30" t="str">
        <f>IFERROR(__xludf.DUMMYFUNCTION("""COMPUTED_VALUE"""),"YERP_YERP02")</f>
        <v>YERP_YERP02</v>
      </c>
      <c r="D182" s="31" t="str">
        <f>IFERROR(__xludf.DUMMYFUNCTION("""COMPUTED_VALUE"""),"Rad Lads")</f>
        <v>Rad Lads</v>
      </c>
      <c r="E182" s="31">
        <f>IFERROR(__xludf.DUMMYFUNCTION("""COMPUTED_VALUE"""),56.33106358187965)</f>
        <v>56.33106358</v>
      </c>
      <c r="F182" s="31">
        <f>IFERROR(__xludf.DUMMYFUNCTION("""COMPUTED_VALUE"""),2.499747547642792)</f>
        <v>2.499747548</v>
      </c>
      <c r="G182" s="31">
        <f>IFERROR(__xludf.DUMMYFUNCTION("""COMPUTED_VALUE"""),54.867106319040104)</f>
        <v>54.86710632</v>
      </c>
      <c r="H182" s="31">
        <f>IFERROR(__xludf.DUMMYFUNCTION("""COMPUTED_VALUE"""),2.3650722147712675)</f>
        <v>2.365072215</v>
      </c>
      <c r="I182" s="54">
        <f>IFERROR(__xludf.DUMMYFUNCTION("""COMPUTED_VALUE"""),32.0)</f>
        <v>32</v>
      </c>
      <c r="J182" s="55">
        <f>IFERROR(__xludf.DUMMYFUNCTION("""COMPUTED_VALUE"""),15.0)</f>
        <v>15</v>
      </c>
      <c r="K182" s="54">
        <f>IFERROR(__xludf.DUMMYFUNCTION("""COMPUTED_VALUE"""),17.0)</f>
        <v>17</v>
      </c>
      <c r="L182" s="56">
        <f>IFERROR(__xludf.DUMMYFUNCTION("""COMPUTED_VALUE"""),0.46875)</f>
        <v>0.46875</v>
      </c>
      <c r="M182" s="56">
        <f>IFERROR(__xludf.DUMMYFUNCTION("""COMPUTED_VALUE"""),0.38235294117647056)</f>
        <v>0.3823529412</v>
      </c>
      <c r="N182" s="31">
        <f>IFERROR(__xludf.DUMMYFUNCTION("""COMPUTED_VALUE"""),323.03125)</f>
        <v>323.03125</v>
      </c>
      <c r="O182" s="57">
        <f>IFERROR(__xludf.DUMMYFUNCTION("""COMPUTED_VALUE"""),0.8125)</f>
        <v>0.8125</v>
      </c>
      <c r="P182" s="57">
        <f>IFERROR(__xludf.DUMMYFUNCTION("""COMPUTED_VALUE"""),0.6875)</f>
        <v>0.6875</v>
      </c>
      <c r="Q182" s="57">
        <f>IFERROR(__xludf.DUMMYFUNCTION("""COMPUTED_VALUE"""),0.78125)</f>
        <v>0.78125</v>
      </c>
      <c r="R182" s="57">
        <f>IFERROR(__xludf.DUMMYFUNCTION("""COMPUTED_VALUE"""),2.125)</f>
        <v>2.125</v>
      </c>
      <c r="S182" s="31">
        <f>IFERROR(__xludf.DUMMYFUNCTION("""COMPUTED_VALUE"""),327.12499999999994)</f>
        <v>327.125</v>
      </c>
      <c r="T182" s="57">
        <f>IFERROR(__xludf.DUMMYFUNCTION("""COMPUTED_VALUE"""),0.8541666666666666)</f>
        <v>0.8541666667</v>
      </c>
      <c r="U182" s="57">
        <f>IFERROR(__xludf.DUMMYFUNCTION("""COMPUTED_VALUE"""),0.6249999999999999)</f>
        <v>0.625</v>
      </c>
      <c r="V182" s="57">
        <f>IFERROR(__xludf.DUMMYFUNCTION("""COMPUTED_VALUE"""),0.9270833333333333)</f>
        <v>0.9270833333</v>
      </c>
      <c r="W182" s="57">
        <f>IFERROR(__xludf.DUMMYFUNCTION("""COMPUTED_VALUE"""),2.1875)</f>
        <v>2.1875</v>
      </c>
      <c r="X182" s="31">
        <f>IFERROR(__xludf.DUMMYFUNCTION("""COMPUTED_VALUE"""),332.68028389475325)</f>
        <v>332.6802839</v>
      </c>
      <c r="Y182" s="57">
        <f>IFERROR(__xludf.DUMMYFUNCTION("""COMPUTED_VALUE"""),0.8426698045243706)</f>
        <v>0.8426698045</v>
      </c>
      <c r="Z182" s="57">
        <f>IFERROR(__xludf.DUMMYFUNCTION("""COMPUTED_VALUE"""),0.5701508042742206)</f>
        <v>0.5701508043</v>
      </c>
      <c r="AA182" s="57">
        <f>IFERROR(__xludf.DUMMYFUNCTION("""COMPUTED_VALUE"""),1.0903571564829428)</f>
        <v>1.090357156</v>
      </c>
      <c r="AB182" s="57">
        <f>IFERROR(__xludf.DUMMYFUNCTION("""COMPUTED_VALUE"""),2.376052758302652)</f>
        <v>2.376052758</v>
      </c>
      <c r="AC182" s="31">
        <f>IFERROR(__xludf.DUMMYFUNCTION("""COMPUTED_VALUE"""),326.8514663659387)</f>
        <v>326.8514664</v>
      </c>
      <c r="AD182" s="57">
        <f>IFERROR(__xludf.DUMMYFUNCTION("""COMPUTED_VALUE"""),0.8077267077143994)</f>
        <v>0.8077267077</v>
      </c>
      <c r="AE182" s="57">
        <f>IFERROR(__xludf.DUMMYFUNCTION("""COMPUTED_VALUE"""),0.5299323076406455)</f>
        <v>0.5299323076</v>
      </c>
      <c r="AF182" s="57">
        <f>IFERROR(__xludf.DUMMYFUNCTION("""COMPUTED_VALUE"""),1.1041275264398795)</f>
        <v>1.104127526</v>
      </c>
      <c r="AG182" s="57">
        <f>IFERROR(__xludf.DUMMYFUNCTION("""COMPUTED_VALUE"""),2.2794227439089263)</f>
        <v>2.279422744</v>
      </c>
      <c r="AH182" s="57">
        <f>IFERROR(__xludf.DUMMYFUNCTION("""COMPUTED_VALUE"""),0.9883120721212809)</f>
        <v>0.9883120721</v>
      </c>
      <c r="AI182" s="57">
        <f>IFERROR(__xludf.DUMMYFUNCTION("""COMPUTED_VALUE"""),1.0059095387586074)</f>
        <v>1.005909539</v>
      </c>
      <c r="AJ182" s="57">
        <f>IFERROR(__xludf.DUMMYFUNCTION("""COMPUTED_VALUE"""),1.297335508870698)</f>
        <v>1.297335509</v>
      </c>
      <c r="AK182" s="57">
        <f>IFERROR(__xludf.DUMMYFUNCTION("""COMPUTED_VALUE"""),0.7075722516574172)</f>
        <v>0.7075722517</v>
      </c>
      <c r="AL182" s="57">
        <f>IFERROR(__xludf.DUMMYFUNCTION("""COMPUTED_VALUE"""),0.9322535741465356)</f>
        <v>0.9322535741</v>
      </c>
      <c r="AM182" s="57">
        <f>IFERROR(__xludf.DUMMYFUNCTION("""COMPUTED_VALUE"""),0.9833014333470066)</f>
        <v>0.9833014333</v>
      </c>
      <c r="AN182" s="57">
        <f>IFERROR(__xludf.DUMMYFUNCTION("""COMPUTED_VALUE"""),1.0136433773710276)</f>
        <v>1.013643377</v>
      </c>
      <c r="AO182" s="57">
        <f>IFERROR(__xludf.DUMMYFUNCTION("""COMPUTED_VALUE"""),1.0962012073202285)</f>
        <v>1.096201207</v>
      </c>
      <c r="AP182" s="35">
        <f>IFERROR(__xludf.DUMMYFUNCTION("""COMPUTED_VALUE"""),0.8502565676037146)</f>
        <v>0.8502565676</v>
      </c>
      <c r="AQ182" s="57">
        <f>IFERROR(__xludf.DUMMYFUNCTION("""COMPUTED_VALUE"""),0.9206445405541644)</f>
        <v>0.9206445406</v>
      </c>
      <c r="AR182" s="36" t="b">
        <f>IFERROR(__xludf.DUMMYFUNCTION("""COMPUTED_VALUE"""),TRUE)</f>
        <v>1</v>
      </c>
      <c r="AS182" s="57"/>
      <c r="AT182" s="37"/>
      <c r="AU182" s="30"/>
      <c r="AV182" s="30"/>
      <c r="AW182" s="30"/>
      <c r="AX182" s="30"/>
      <c r="AY182" s="30"/>
      <c r="AZ182" s="30"/>
    </row>
    <row r="183">
      <c r="A183" s="30" t="str">
        <f>IFERROR(__xludf.DUMMYFUNCTION("""COMPUTED_VALUE"""),"Contender")</f>
        <v>Contender</v>
      </c>
      <c r="B183" s="30" t="str">
        <f>IFERROR(__xludf.DUMMYFUNCTION("""COMPUTED_VALUE"""),"RSC007465")</f>
        <v>RSC007465</v>
      </c>
      <c r="C183" s="30" t="str">
        <f>IFERROR(__xludf.DUMMYFUNCTION("""COMPUTED_VALUE"""),"xReaperDenTTV")</f>
        <v>xReaperDenTTV</v>
      </c>
      <c r="D183" s="31"/>
      <c r="E183" s="31">
        <f>IFERROR(__xludf.DUMMYFUNCTION("""COMPUTED_VALUE"""),54.2168652292423)</f>
        <v>54.21686523</v>
      </c>
      <c r="F183" s="31">
        <f>IFERROR(__xludf.DUMMYFUNCTION("""COMPUTED_VALUE"""),2.309328578368936)</f>
        <v>2.309328578</v>
      </c>
      <c r="G183" s="31">
        <f>IFERROR(__xludf.DUMMYFUNCTION("""COMPUTED_VALUE"""),60.6481024968227)</f>
        <v>60.6481025</v>
      </c>
      <c r="H183" s="31">
        <f>IFERROR(__xludf.DUMMYFUNCTION("""COMPUTED_VALUE"""),2.984347901073654)</f>
        <v>2.984347901</v>
      </c>
      <c r="I183" s="54">
        <f>IFERROR(__xludf.DUMMYFUNCTION("""COMPUTED_VALUE"""),26.0)</f>
        <v>26</v>
      </c>
      <c r="J183" s="55">
        <f>IFERROR(__xludf.DUMMYFUNCTION("""COMPUTED_VALUE"""),11.0)</f>
        <v>11</v>
      </c>
      <c r="K183" s="54">
        <f>IFERROR(__xludf.DUMMYFUNCTION("""COMPUTED_VALUE"""),15.0)</f>
        <v>15</v>
      </c>
      <c r="L183" s="56">
        <f>IFERROR(__xludf.DUMMYFUNCTION("""COMPUTED_VALUE"""),0.4230769230769231)</f>
        <v>0.4230769231</v>
      </c>
      <c r="M183" s="56">
        <f>IFERROR(__xludf.DUMMYFUNCTION("""COMPUTED_VALUE"""),0.34920634920634924)</f>
        <v>0.3492063492</v>
      </c>
      <c r="N183" s="31">
        <f>IFERROR(__xludf.DUMMYFUNCTION("""COMPUTED_VALUE"""),344.38461538461536)</f>
        <v>344.3846154</v>
      </c>
      <c r="O183" s="57">
        <f>IFERROR(__xludf.DUMMYFUNCTION("""COMPUTED_VALUE"""),0.8461538461538461)</f>
        <v>0.8461538462</v>
      </c>
      <c r="P183" s="57">
        <f>IFERROR(__xludf.DUMMYFUNCTION("""COMPUTED_VALUE"""),0.5)</f>
        <v>0.5</v>
      </c>
      <c r="Q183" s="57">
        <f>IFERROR(__xludf.DUMMYFUNCTION("""COMPUTED_VALUE"""),1.1153846153846154)</f>
        <v>1.115384615</v>
      </c>
      <c r="R183" s="57">
        <f>IFERROR(__xludf.DUMMYFUNCTION("""COMPUTED_VALUE"""),2.423076923076923)</f>
        <v>2.423076923</v>
      </c>
      <c r="S183" s="31">
        <f>IFERROR(__xludf.DUMMYFUNCTION("""COMPUTED_VALUE"""),323.03846153846155)</f>
        <v>323.0384615</v>
      </c>
      <c r="T183" s="57">
        <f>IFERROR(__xludf.DUMMYFUNCTION("""COMPUTED_VALUE"""),0.8333333333333333)</f>
        <v>0.8333333333</v>
      </c>
      <c r="U183" s="57">
        <f>IFERROR(__xludf.DUMMYFUNCTION("""COMPUTED_VALUE"""),0.48717948717948717)</f>
        <v>0.4871794872</v>
      </c>
      <c r="V183" s="57">
        <f>IFERROR(__xludf.DUMMYFUNCTION("""COMPUTED_VALUE"""),1.0384615384615383)</f>
        <v>1.038461538</v>
      </c>
      <c r="W183" s="57">
        <f>IFERROR(__xludf.DUMMYFUNCTION("""COMPUTED_VALUE"""),2.294871794871795)</f>
        <v>2.294871795</v>
      </c>
      <c r="X183" s="31">
        <f>IFERROR(__xludf.DUMMYFUNCTION("""COMPUTED_VALUE"""),328.4154664071185)</f>
        <v>328.4154664</v>
      </c>
      <c r="Y183" s="57">
        <f>IFERROR(__xludf.DUMMYFUNCTION("""COMPUTED_VALUE"""),0.8548630000493816)</f>
        <v>0.854863</v>
      </c>
      <c r="Z183" s="57">
        <f>IFERROR(__xludf.DUMMYFUNCTION("""COMPUTED_VALUE"""),0.5460919005426935)</f>
        <v>0.5460919005</v>
      </c>
      <c r="AA183" s="57">
        <f>IFERROR(__xludf.DUMMYFUNCTION("""COMPUTED_VALUE"""),1.0474310033059178)</f>
        <v>1.047431003</v>
      </c>
      <c r="AB183" s="57">
        <f>IFERROR(__xludf.DUMMYFUNCTION("""COMPUTED_VALUE"""),2.3261239407701146)</f>
        <v>2.326123941</v>
      </c>
      <c r="AC183" s="31">
        <f>IFERROR(__xludf.DUMMYFUNCTION("""COMPUTED_VALUE"""),329.6612273132596)</f>
        <v>329.6612273</v>
      </c>
      <c r="AD183" s="57">
        <f>IFERROR(__xludf.DUMMYFUNCTION("""COMPUTED_VALUE"""),0.8273244949214418)</f>
        <v>0.8273244949</v>
      </c>
      <c r="AE183" s="57">
        <f>IFERROR(__xludf.DUMMYFUNCTION("""COMPUTED_VALUE"""),0.5537567544669814)</f>
        <v>0.5537567545</v>
      </c>
      <c r="AF183" s="57">
        <f>IFERROR(__xludf.DUMMYFUNCTION("""COMPUTED_VALUE"""),1.0813747762800183)</f>
        <v>1.081374776</v>
      </c>
      <c r="AG183" s="57">
        <f>IFERROR(__xludf.DUMMYFUNCTION("""COMPUTED_VALUE"""),2.3113087479438295)</f>
        <v>2.311308748</v>
      </c>
      <c r="AH183" s="57">
        <f>IFERROR(__xludf.DUMMYFUNCTION("""COMPUTED_VALUE"""),1.0446621769607285)</f>
        <v>1.044662177</v>
      </c>
      <c r="AI183" s="57">
        <f>IFERROR(__xludf.DUMMYFUNCTION("""COMPUTED_VALUE"""),1.0227593300427933)</f>
        <v>1.02275933</v>
      </c>
      <c r="AJ183" s="57">
        <f>IFERROR(__xludf.DUMMYFUNCTION("""COMPUTED_VALUE"""),0.9029235236711018)</f>
        <v>0.9029235237</v>
      </c>
      <c r="AK183" s="57">
        <f>IFERROR(__xludf.DUMMYFUNCTION("""COMPUTED_VALUE"""),1.0314505570599608)</f>
        <v>1.031450557</v>
      </c>
      <c r="AL183" s="57">
        <f>IFERROR(__xludf.DUMMYFUNCTION("""COMPUTED_VALUE"""),1.0483570943226532)</f>
        <v>1.048357094</v>
      </c>
      <c r="AM183" s="57">
        <f>IFERROR(__xludf.DUMMYFUNCTION("""COMPUTED_VALUE"""),0.9836274310479903)</f>
        <v>0.983627431</v>
      </c>
      <c r="AN183" s="57">
        <f>IFERROR(__xludf.DUMMYFUNCTION("""COMPUTED_VALUE"""),0.9748150677771705)</f>
        <v>0.9748150678</v>
      </c>
      <c r="AO183" s="57">
        <f>IFERROR(__xludf.DUMMYFUNCTION("""COMPUTED_VALUE"""),0.8921199649643942)</f>
        <v>0.892119965</v>
      </c>
      <c r="AP183" s="35">
        <f>IFERROR(__xludf.DUMMYFUNCTION("""COMPUTED_VALUE"""),0.9914367010179478)</f>
        <v>0.991436701</v>
      </c>
      <c r="AQ183" s="57">
        <f>IFERROR(__xludf.DUMMYFUNCTION("""COMPUTED_VALUE"""),0.9865647116430207)</f>
        <v>0.9865647116</v>
      </c>
      <c r="AR183" s="36" t="b">
        <f>IFERROR(__xludf.DUMMYFUNCTION("""COMPUTED_VALUE"""),TRUE)</f>
        <v>1</v>
      </c>
      <c r="AS183" s="57"/>
      <c r="AT183" s="37"/>
      <c r="AU183" s="30"/>
      <c r="AV183" s="30"/>
      <c r="AW183" s="30"/>
      <c r="AX183" s="30"/>
      <c r="AY183" s="30"/>
      <c r="AZ183" s="30"/>
    </row>
    <row r="184">
      <c r="A184" s="30" t="str">
        <f>IFERROR(__xludf.DUMMYFUNCTION("""COMPUTED_VALUE"""),"Contender")</f>
        <v>Contender</v>
      </c>
      <c r="B184" s="30" t="str">
        <f>IFERROR(__xludf.DUMMYFUNCTION("""COMPUTED_VALUE"""),"RSC004509")</f>
        <v>RSC004509</v>
      </c>
      <c r="C184" s="30" t="str">
        <f>IFERROR(__xludf.DUMMYFUNCTION("""COMPUTED_VALUE"""),"tazlien")</f>
        <v>tazlien</v>
      </c>
      <c r="D184" s="31" t="str">
        <f>IFERROR(__xludf.DUMMYFUNCTION("""COMPUTED_VALUE"""),"Zebras")</f>
        <v>Zebras</v>
      </c>
      <c r="E184" s="31">
        <f>IFERROR(__xludf.DUMMYFUNCTION("""COMPUTED_VALUE"""),51.69574647557736)</f>
        <v>51.69574648</v>
      </c>
      <c r="F184" s="31">
        <f>IFERROR(__xludf.DUMMYFUNCTION("""COMPUTED_VALUE"""),2.1143413061248557)</f>
        <v>2.114341306</v>
      </c>
      <c r="G184" s="31">
        <f>IFERROR(__xludf.DUMMYFUNCTION("""COMPUTED_VALUE"""),44.619278306415616)</f>
        <v>44.61927831</v>
      </c>
      <c r="H184" s="31">
        <f>IFERROR(__xludf.DUMMYFUNCTION("""COMPUTED_VALUE"""),-2.4108326858689337)</f>
        <v>-2.410832686</v>
      </c>
      <c r="I184" s="54">
        <f>IFERROR(__xludf.DUMMYFUNCTION("""COMPUTED_VALUE"""),30.0)</f>
        <v>30</v>
      </c>
      <c r="J184" s="55">
        <f>IFERROR(__xludf.DUMMYFUNCTION("""COMPUTED_VALUE"""),10.0)</f>
        <v>10</v>
      </c>
      <c r="K184" s="54">
        <f>IFERROR(__xludf.DUMMYFUNCTION("""COMPUTED_VALUE"""),20.0)</f>
        <v>20</v>
      </c>
      <c r="L184" s="56">
        <f>IFERROR(__xludf.DUMMYFUNCTION("""COMPUTED_VALUE"""),0.3333333333333333)</f>
        <v>0.3333333333</v>
      </c>
      <c r="M184" s="56">
        <f>IFERROR(__xludf.DUMMYFUNCTION("""COMPUTED_VALUE"""),0.4)</f>
        <v>0.4</v>
      </c>
      <c r="N184" s="31">
        <f>IFERROR(__xludf.DUMMYFUNCTION("""COMPUTED_VALUE"""),343.2)</f>
        <v>343.2</v>
      </c>
      <c r="O184" s="57">
        <f>IFERROR(__xludf.DUMMYFUNCTION("""COMPUTED_VALUE"""),0.8)</f>
        <v>0.8</v>
      </c>
      <c r="P184" s="57">
        <f>IFERROR(__xludf.DUMMYFUNCTION("""COMPUTED_VALUE"""),0.6)</f>
        <v>0.6</v>
      </c>
      <c r="Q184" s="57">
        <f>IFERROR(__xludf.DUMMYFUNCTION("""COMPUTED_VALUE"""),1.2666666666666666)</f>
        <v>1.266666667</v>
      </c>
      <c r="R184" s="57">
        <f>IFERROR(__xludf.DUMMYFUNCTION("""COMPUTED_VALUE"""),2.0)</f>
        <v>2</v>
      </c>
      <c r="S184" s="31">
        <f>IFERROR(__xludf.DUMMYFUNCTION("""COMPUTED_VALUE"""),361.1333333333333)</f>
        <v>361.1333333</v>
      </c>
      <c r="T184" s="57">
        <f>IFERROR(__xludf.DUMMYFUNCTION("""COMPUTED_VALUE"""),1.0111111111111115)</f>
        <v>1.011111111</v>
      </c>
      <c r="U184" s="57">
        <f>IFERROR(__xludf.DUMMYFUNCTION("""COMPUTED_VALUE"""),0.6888888888888888)</f>
        <v>0.6888888889</v>
      </c>
      <c r="V184" s="57">
        <f>IFERROR(__xludf.DUMMYFUNCTION("""COMPUTED_VALUE"""),1.088888888888889)</f>
        <v>1.088888889</v>
      </c>
      <c r="W184" s="57">
        <f>IFERROR(__xludf.DUMMYFUNCTION("""COMPUTED_VALUE"""),2.622222222222222)</f>
        <v>2.622222222</v>
      </c>
      <c r="X184" s="31">
        <f>IFERROR(__xludf.DUMMYFUNCTION("""COMPUTED_VALUE"""),343.2726711820103)</f>
        <v>343.2726712</v>
      </c>
      <c r="Y184" s="57">
        <f>IFERROR(__xludf.DUMMYFUNCTION("""COMPUTED_VALUE"""),0.9081653618316357)</f>
        <v>0.9081653618</v>
      </c>
      <c r="Z184" s="57">
        <f>IFERROR(__xludf.DUMMYFUNCTION("""COMPUTED_VALUE"""),0.6136030306069354)</f>
        <v>0.6136030306</v>
      </c>
      <c r="AA184" s="57">
        <f>IFERROR(__xludf.DUMMYFUNCTION("""COMPUTED_VALUE"""),1.0514971471011572)</f>
        <v>1.051497147</v>
      </c>
      <c r="AB184" s="57">
        <f>IFERROR(__xludf.DUMMYFUNCTION("""COMPUTED_VALUE"""),2.4828471644144883)</f>
        <v>2.482847164</v>
      </c>
      <c r="AC184" s="31">
        <f>IFERROR(__xludf.DUMMYFUNCTION("""COMPUTED_VALUE"""),325.6306139008272)</f>
        <v>325.6306139</v>
      </c>
      <c r="AD184" s="57">
        <f>IFERROR(__xludf.DUMMYFUNCTION("""COMPUTED_VALUE"""),0.7993576292600615)</f>
        <v>0.7993576293</v>
      </c>
      <c r="AE184" s="57">
        <f>IFERROR(__xludf.DUMMYFUNCTION("""COMPUTED_VALUE"""),0.5190986925436606)</f>
        <v>0.5190986925</v>
      </c>
      <c r="AF184" s="57">
        <f>IFERROR(__xludf.DUMMYFUNCTION("""COMPUTED_VALUE"""),1.1285429966273512)</f>
        <v>1.128542997</v>
      </c>
      <c r="AG184" s="57">
        <f>IFERROR(__xludf.DUMMYFUNCTION("""COMPUTED_VALUE"""),2.189595854692166)</f>
        <v>2.189595855</v>
      </c>
      <c r="AH184" s="57">
        <f>IFERROR(__xludf.DUMMYFUNCTION("""COMPUTED_VALUE"""),1.0539549580081056)</f>
        <v>1.053954958</v>
      </c>
      <c r="AI184" s="57">
        <f>IFERROR(__xludf.DUMMYFUNCTION("""COMPUTED_VALUE"""),1.0008036086933119)</f>
        <v>1.000803609</v>
      </c>
      <c r="AJ184" s="57">
        <f>IFERROR(__xludf.DUMMYFUNCTION("""COMPUTED_VALUE"""),1.155849568913208)</f>
        <v>1.155849569</v>
      </c>
      <c r="AK184" s="57">
        <f>IFERROR(__xludf.DUMMYFUNCTION("""COMPUTED_VALUE"""),1.1223911454433706)</f>
        <v>1.122391145</v>
      </c>
      <c r="AL184" s="57">
        <f>IFERROR(__xludf.DUMMYFUNCTION("""COMPUTED_VALUE"""),0.9134105710485914)</f>
        <v>0.913410571</v>
      </c>
      <c r="AM184" s="57">
        <f>IFERROR(__xludf.DUMMYFUNCTION("""COMPUTED_VALUE"""),1.0520305391332856)</f>
        <v>1.052030539</v>
      </c>
      <c r="AN184" s="57">
        <f>IFERROR(__xludf.DUMMYFUNCTION("""COMPUTED_VALUE"""),1.113355731903108)</f>
        <v>1.113355732</v>
      </c>
      <c r="AO184" s="57">
        <f>IFERROR(__xludf.DUMMYFUNCTION("""COMPUTED_VALUE"""),1.122694730186527)</f>
        <v>1.12269473</v>
      </c>
      <c r="AP184" s="35">
        <f>IFERROR(__xludf.DUMMYFUNCTION("""COMPUTED_VALUE"""),1.0355604785907562)</f>
        <v>1.035560479</v>
      </c>
      <c r="AQ184" s="57">
        <f>IFERROR(__xludf.DUMMYFUNCTION("""COMPUTED_VALUE"""),1.05613517408777)</f>
        <v>1.056135174</v>
      </c>
      <c r="AR184" s="36" t="b">
        <f>IFERROR(__xludf.DUMMYFUNCTION("""COMPUTED_VALUE"""),TRUE)</f>
        <v>1</v>
      </c>
      <c r="AS184" s="57"/>
      <c r="AT184" s="37"/>
      <c r="AU184" s="30"/>
      <c r="AV184" s="30"/>
      <c r="AW184" s="30"/>
      <c r="AX184" s="30"/>
      <c r="AY184" s="30"/>
      <c r="AZ184" s="30"/>
    </row>
    <row r="185">
      <c r="A185" s="30" t="str">
        <f>IFERROR(__xludf.DUMMYFUNCTION("""COMPUTED_VALUE"""),"Contender")</f>
        <v>Contender</v>
      </c>
      <c r="B185" s="30" t="str">
        <f>IFERROR(__xludf.DUMMYFUNCTION("""COMPUTED_VALUE"""),"RSC005974")</f>
        <v>RSC005974</v>
      </c>
      <c r="C185" s="30" t="str">
        <f>IFERROR(__xludf.DUMMYFUNCTION("""COMPUTED_VALUE"""),"Angry-Hermit")</f>
        <v>Angry-Hermit</v>
      </c>
      <c r="D185" s="31" t="str">
        <f>IFERROR(__xludf.DUMMYFUNCTION("""COMPUTED_VALUE"""),"Devoured")</f>
        <v>Devoured</v>
      </c>
      <c r="E185" s="31">
        <f>IFERROR(__xludf.DUMMYFUNCTION("""COMPUTED_VALUE"""),50.570167880985935)</f>
        <v>50.57016788</v>
      </c>
      <c r="F185" s="31">
        <f>IFERROR(__xludf.DUMMYFUNCTION("""COMPUTED_VALUE"""),2.0370655246894893)</f>
        <v>2.037065525</v>
      </c>
      <c r="G185" s="31">
        <f>IFERROR(__xludf.DUMMYFUNCTION("""COMPUTED_VALUE"""),44.12820606935352)</f>
        <v>44.12820607</v>
      </c>
      <c r="H185" s="31">
        <f>IFERROR(__xludf.DUMMYFUNCTION("""COMPUTED_VALUE"""),-2.4560723149309154)</f>
        <v>-2.456072315</v>
      </c>
      <c r="I185" s="54">
        <f>IFERROR(__xludf.DUMMYFUNCTION("""COMPUTED_VALUE"""),40.0)</f>
        <v>40</v>
      </c>
      <c r="J185" s="55">
        <f>IFERROR(__xludf.DUMMYFUNCTION("""COMPUTED_VALUE"""),21.0)</f>
        <v>21</v>
      </c>
      <c r="K185" s="54">
        <f>IFERROR(__xludf.DUMMYFUNCTION("""COMPUTED_VALUE"""),19.0)</f>
        <v>19</v>
      </c>
      <c r="L185" s="56">
        <f>IFERROR(__xludf.DUMMYFUNCTION("""COMPUTED_VALUE"""),0.525)</f>
        <v>0.525</v>
      </c>
      <c r="M185" s="56">
        <f>IFERROR(__xludf.DUMMYFUNCTION("""COMPUTED_VALUE"""),0.3717948717948718)</f>
        <v>0.3717948718</v>
      </c>
      <c r="N185" s="31">
        <f>IFERROR(__xludf.DUMMYFUNCTION("""COMPUTED_VALUE"""),297.175)</f>
        <v>297.175</v>
      </c>
      <c r="O185" s="57">
        <f>IFERROR(__xludf.DUMMYFUNCTION("""COMPUTED_VALUE"""),0.725)</f>
        <v>0.725</v>
      </c>
      <c r="P185" s="57">
        <f>IFERROR(__xludf.DUMMYFUNCTION("""COMPUTED_VALUE"""),0.7)</f>
        <v>0.7</v>
      </c>
      <c r="Q185" s="57">
        <f>IFERROR(__xludf.DUMMYFUNCTION("""COMPUTED_VALUE"""),0.625)</f>
        <v>0.625</v>
      </c>
      <c r="R185" s="57">
        <f>IFERROR(__xludf.DUMMYFUNCTION("""COMPUTED_VALUE"""),1.95)</f>
        <v>1.95</v>
      </c>
      <c r="S185" s="31">
        <f>IFERROR(__xludf.DUMMYFUNCTION("""COMPUTED_VALUE"""),325.1166666666667)</f>
        <v>325.1166667</v>
      </c>
      <c r="T185" s="57">
        <f>IFERROR(__xludf.DUMMYFUNCTION("""COMPUTED_VALUE"""),0.7833333333333334)</f>
        <v>0.7833333333</v>
      </c>
      <c r="U185" s="57">
        <f>IFERROR(__xludf.DUMMYFUNCTION("""COMPUTED_VALUE"""),0.5333333333333333)</f>
        <v>0.5333333333</v>
      </c>
      <c r="V185" s="57">
        <f>IFERROR(__xludf.DUMMYFUNCTION("""COMPUTED_VALUE"""),1.1749999999999998)</f>
        <v>1.175</v>
      </c>
      <c r="W185" s="57">
        <f>IFERROR(__xludf.DUMMYFUNCTION("""COMPUTED_VALUE"""),2.1250000000000004)</f>
        <v>2.125</v>
      </c>
      <c r="X185" s="31">
        <f>IFERROR(__xludf.DUMMYFUNCTION("""COMPUTED_VALUE"""),323.07388819154636)</f>
        <v>323.0738882</v>
      </c>
      <c r="Y185" s="57">
        <f>IFERROR(__xludf.DUMMYFUNCTION("""COMPUTED_VALUE"""),0.8006610661852074)</f>
        <v>0.8006610662</v>
      </c>
      <c r="Z185" s="57">
        <f>IFERROR(__xludf.DUMMYFUNCTION("""COMPUTED_VALUE"""),0.5298538502132704)</f>
        <v>0.5298538502</v>
      </c>
      <c r="AA185" s="57">
        <f>IFERROR(__xludf.DUMMYFUNCTION("""COMPUTED_VALUE"""),1.072018655692714)</f>
        <v>1.072018656</v>
      </c>
      <c r="AB185" s="57">
        <f>IFERROR(__xludf.DUMMYFUNCTION("""COMPUTED_VALUE"""),2.241517103853144)</f>
        <v>2.241517104</v>
      </c>
      <c r="AC185" s="31">
        <f>IFERROR(__xludf.DUMMYFUNCTION("""COMPUTED_VALUE"""),331.54113977327245)</f>
        <v>331.5411398</v>
      </c>
      <c r="AD185" s="57">
        <f>IFERROR(__xludf.DUMMYFUNCTION("""COMPUTED_VALUE"""),0.8584922675703993)</f>
        <v>0.8584922676</v>
      </c>
      <c r="AE185" s="57">
        <f>IFERROR(__xludf.DUMMYFUNCTION("""COMPUTED_VALUE"""),0.5606717224606357)</f>
        <v>0.5606717225</v>
      </c>
      <c r="AF185" s="57">
        <f>IFERROR(__xludf.DUMMYFUNCTION("""COMPUTED_VALUE"""),1.047499708628964)</f>
        <v>1.047499709</v>
      </c>
      <c r="AG185" s="57">
        <f>IFERROR(__xludf.DUMMYFUNCTION("""COMPUTED_VALUE"""),2.325381788752882)</f>
        <v>2.325381789</v>
      </c>
      <c r="AH185" s="57">
        <f>IFERROR(__xludf.DUMMYFUNCTION("""COMPUTED_VALUE"""),0.8963442672701974)</f>
        <v>0.8963442673</v>
      </c>
      <c r="AI185" s="57">
        <f>IFERROR(__xludf.DUMMYFUNCTION("""COMPUTED_VALUE"""),0.8445038206946314)</f>
        <v>0.8445038207</v>
      </c>
      <c r="AJ185" s="57">
        <f>IFERROR(__xludf.DUMMYFUNCTION("""COMPUTED_VALUE"""),1.2485024158662583)</f>
        <v>1.248502416</v>
      </c>
      <c r="AK185" s="57">
        <f>IFERROR(__xludf.DUMMYFUNCTION("""COMPUTED_VALUE"""),0.5966588771829262)</f>
        <v>0.5966588772</v>
      </c>
      <c r="AL185" s="57">
        <f>IFERROR(__xludf.DUMMYFUNCTION("""COMPUTED_VALUE"""),0.8385719753339078)</f>
        <v>0.8385719753</v>
      </c>
      <c r="AM185" s="57">
        <f>IFERROR(__xludf.DUMMYFUNCTION("""COMPUTED_VALUE"""),1.0063229451521294)</f>
        <v>1.006322945</v>
      </c>
      <c r="AN185" s="57">
        <f>IFERROR(__xludf.DUMMYFUNCTION("""COMPUTED_VALUE"""),0.9783582172486133)</f>
        <v>0.9783582172</v>
      </c>
      <c r="AO185" s="57">
        <f>IFERROR(__xludf.DUMMYFUNCTION("""COMPUTED_VALUE"""),1.00656687333434)</f>
        <v>1.006566873</v>
      </c>
      <c r="AP185" s="35">
        <f>IFERROR(__xludf.DUMMYFUNCTION("""COMPUTED_VALUE"""),1.0960630150981296)</f>
        <v>1.096063015</v>
      </c>
      <c r="AQ185" s="57">
        <f>IFERROR(__xludf.DUMMYFUNCTION("""COMPUTED_VALUE"""),0.948018641636572)</f>
        <v>0.9480186416</v>
      </c>
      <c r="AR185" s="36" t="b">
        <f>IFERROR(__xludf.DUMMYFUNCTION("""COMPUTED_VALUE"""),TRUE)</f>
        <v>1</v>
      </c>
      <c r="AS185" s="57"/>
      <c r="AT185" s="37"/>
      <c r="AU185" s="30"/>
      <c r="AV185" s="30"/>
      <c r="AW185" s="30"/>
      <c r="AX185" s="30"/>
      <c r="AY185" s="30"/>
      <c r="AZ185" s="30"/>
    </row>
    <row r="186">
      <c r="A186" s="30" t="str">
        <f>IFERROR(__xludf.DUMMYFUNCTION("""COMPUTED_VALUE"""),"Contender")</f>
        <v>Contender</v>
      </c>
      <c r="B186" s="30" t="str">
        <f>IFERROR(__xludf.DUMMYFUNCTION("""COMPUTED_VALUE"""),"RSC000963")</f>
        <v>RSC000963</v>
      </c>
      <c r="C186" s="30" t="str">
        <f>IFERROR(__xludf.DUMMYFUNCTION("""COMPUTED_VALUE"""),"Sup3rm4n")</f>
        <v>Sup3rm4n</v>
      </c>
      <c r="D186" s="31" t="str">
        <f>IFERROR(__xludf.DUMMYFUNCTION("""COMPUTED_VALUE"""),"Rheas")</f>
        <v>Rheas</v>
      </c>
      <c r="E186" s="31">
        <f>IFERROR(__xludf.DUMMYFUNCTION("""COMPUTED_VALUE"""),49.388095434770534)</f>
        <v>49.38809543</v>
      </c>
      <c r="F186" s="31">
        <f>IFERROR(__xludf.DUMMYFUNCTION("""COMPUTED_VALUE"""),-2.039832249951625)</f>
        <v>-2.03983225</v>
      </c>
      <c r="G186" s="31">
        <f>IFERROR(__xludf.DUMMYFUNCTION("""COMPUTED_VALUE"""),42.64326096084342)</f>
        <v>42.64326096</v>
      </c>
      <c r="H186" s="31">
        <f>IFERROR(__xludf.DUMMYFUNCTION("""COMPUTED_VALUE"""),-2.6022965038877244)</f>
        <v>-2.602296504</v>
      </c>
      <c r="I186" s="54">
        <f>IFERROR(__xludf.DUMMYFUNCTION("""COMPUTED_VALUE"""),20.0)</f>
        <v>20</v>
      </c>
      <c r="J186" s="55">
        <f>IFERROR(__xludf.DUMMYFUNCTION("""COMPUTED_VALUE"""),13.0)</f>
        <v>13</v>
      </c>
      <c r="K186" s="54">
        <f>IFERROR(__xludf.DUMMYFUNCTION("""COMPUTED_VALUE"""),7.0)</f>
        <v>7</v>
      </c>
      <c r="L186" s="56">
        <f>IFERROR(__xludf.DUMMYFUNCTION("""COMPUTED_VALUE"""),0.65)</f>
        <v>0.65</v>
      </c>
      <c r="M186" s="56">
        <f>IFERROR(__xludf.DUMMYFUNCTION("""COMPUTED_VALUE"""),0.48837209302325585)</f>
        <v>0.488372093</v>
      </c>
      <c r="N186" s="31">
        <f>IFERROR(__xludf.DUMMYFUNCTION("""COMPUTED_VALUE"""),318.25)</f>
        <v>318.25</v>
      </c>
      <c r="O186" s="57">
        <f>IFERROR(__xludf.DUMMYFUNCTION("""COMPUTED_VALUE"""),1.05)</f>
        <v>1.05</v>
      </c>
      <c r="P186" s="57">
        <f>IFERROR(__xludf.DUMMYFUNCTION("""COMPUTED_VALUE"""),0.4)</f>
        <v>0.4</v>
      </c>
      <c r="Q186" s="57">
        <f>IFERROR(__xludf.DUMMYFUNCTION("""COMPUTED_VALUE"""),0.85)</f>
        <v>0.85</v>
      </c>
      <c r="R186" s="57">
        <f>IFERROR(__xludf.DUMMYFUNCTION("""COMPUTED_VALUE"""),2.15)</f>
        <v>2.15</v>
      </c>
      <c r="S186" s="31">
        <f>IFERROR(__xludf.DUMMYFUNCTION("""COMPUTED_VALUE"""),313.56666666666666)</f>
        <v>313.5666667</v>
      </c>
      <c r="T186" s="57">
        <f>IFERROR(__xludf.DUMMYFUNCTION("""COMPUTED_VALUE"""),0.6833333333333333)</f>
        <v>0.6833333333</v>
      </c>
      <c r="U186" s="57">
        <f>IFERROR(__xludf.DUMMYFUNCTION("""COMPUTED_VALUE"""),0.4833333333333334)</f>
        <v>0.4833333333</v>
      </c>
      <c r="V186" s="57">
        <f>IFERROR(__xludf.DUMMYFUNCTION("""COMPUTED_VALUE"""),1.2833333333333332)</f>
        <v>1.283333333</v>
      </c>
      <c r="W186" s="57">
        <f>IFERROR(__xludf.DUMMYFUNCTION("""COMPUTED_VALUE"""),1.9333333333333331)</f>
        <v>1.933333333</v>
      </c>
      <c r="X186" s="31">
        <f>IFERROR(__xludf.DUMMYFUNCTION("""COMPUTED_VALUE"""),317.2277197233454)</f>
        <v>317.2277197</v>
      </c>
      <c r="Y186" s="57">
        <f>IFERROR(__xludf.DUMMYFUNCTION("""COMPUTED_VALUE"""),0.750064126310364)</f>
        <v>0.7500641263</v>
      </c>
      <c r="Z186" s="57">
        <f>IFERROR(__xludf.DUMMYFUNCTION("""COMPUTED_VALUE"""),0.48933950316747354)</f>
        <v>0.4893395032</v>
      </c>
      <c r="AA186" s="57">
        <f>IFERROR(__xludf.DUMMYFUNCTION("""COMPUTED_VALUE"""),1.0912737563176467)</f>
        <v>1.091273756</v>
      </c>
      <c r="AB186" s="57">
        <f>IFERROR(__xludf.DUMMYFUNCTION("""COMPUTED_VALUE"""),2.124707821315845)</f>
        <v>2.124707821</v>
      </c>
      <c r="AC186" s="31">
        <f>IFERROR(__xludf.DUMMYFUNCTION("""COMPUTED_VALUE"""),337.7199732872935)</f>
        <v>337.7199733</v>
      </c>
      <c r="AD186" s="57">
        <f>IFERROR(__xludf.DUMMYFUNCTION("""COMPUTED_VALUE"""),0.9099211513887463)</f>
        <v>0.9099211514</v>
      </c>
      <c r="AE186" s="57">
        <f>IFERROR(__xludf.DUMMYFUNCTION("""COMPUTED_VALUE"""),0.5960267265260784)</f>
        <v>0.5960267265</v>
      </c>
      <c r="AF186" s="57">
        <f>IFERROR(__xludf.DUMMYFUNCTION("""COMPUTED_VALUE"""),1.0157705184572023)</f>
        <v>1.015770518</v>
      </c>
      <c r="AG186" s="57">
        <f>IFERROR(__xludf.DUMMYFUNCTION("""COMPUTED_VALUE"""),2.393992858559471)</f>
        <v>2.393992859</v>
      </c>
      <c r="AH186" s="57">
        <f>IFERROR(__xludf.DUMMYFUNCTION("""COMPUTED_VALUE"""),0.9423487657606479)</f>
        <v>0.9423487658</v>
      </c>
      <c r="AI186" s="57">
        <f>IFERROR(__xludf.DUMMYFUNCTION("""COMPUTED_VALUE"""),1.1539461396160113)</f>
        <v>1.15394614</v>
      </c>
      <c r="AJ186" s="57">
        <f>IFERROR(__xludf.DUMMYFUNCTION("""COMPUTED_VALUE"""),0.6711108448632606)</f>
        <v>0.6711108449</v>
      </c>
      <c r="AK186" s="57">
        <f>IFERROR(__xludf.DUMMYFUNCTION("""COMPUTED_VALUE"""),0.8368031800046903)</f>
        <v>0.83680318</v>
      </c>
      <c r="AL186" s="57">
        <f>IFERROR(__xludf.DUMMYFUNCTION("""COMPUTED_VALUE"""),0.8980812086856901)</f>
        <v>0.8980812087</v>
      </c>
      <c r="AM186" s="57">
        <f>IFERROR(__xludf.DUMMYFUNCTION("""COMPUTED_VALUE"""),0.9884592271448677)</f>
        <v>0.9884592271</v>
      </c>
      <c r="AN186" s="57">
        <f>IFERROR(__xludf.DUMMYFUNCTION("""COMPUTED_VALUE"""),0.9110332161794142)</f>
        <v>0.9110332162</v>
      </c>
      <c r="AO186" s="57">
        <f>IFERROR(__xludf.DUMMYFUNCTION("""COMPUTED_VALUE"""),0.9877259657246912)</f>
        <v>0.9877259657</v>
      </c>
      <c r="AP186" s="35">
        <f>IFERROR(__xludf.DUMMYFUNCTION("""COMPUTED_VALUE"""),1.1759957809887824)</f>
        <v>1.175995781</v>
      </c>
      <c r="AQ186" s="57">
        <f>IFERROR(__xludf.DUMMYFUNCTION("""COMPUTED_VALUE"""),0.9099290330357082)</f>
        <v>0.909929033</v>
      </c>
      <c r="AR186" s="36" t="b">
        <f>IFERROR(__xludf.DUMMYFUNCTION("""COMPUTED_VALUE"""),TRUE)</f>
        <v>1</v>
      </c>
      <c r="AS186" s="57"/>
      <c r="AT186" s="37"/>
      <c r="AU186" s="30"/>
      <c r="AV186" s="30"/>
      <c r="AW186" s="30"/>
      <c r="AX186" s="30"/>
      <c r="AY186" s="30"/>
      <c r="AZ186" s="30"/>
    </row>
    <row r="187">
      <c r="A187" s="30" t="str">
        <f>IFERROR(__xludf.DUMMYFUNCTION("""COMPUTED_VALUE"""),"Contender")</f>
        <v>Contender</v>
      </c>
      <c r="B187" s="30" t="str">
        <f>IFERROR(__xludf.DUMMYFUNCTION("""COMPUTED_VALUE"""),"RSC006817")</f>
        <v>RSC006817</v>
      </c>
      <c r="C187" s="30" t="str">
        <f>IFERROR(__xludf.DUMMYFUNCTION("""COMPUTED_VALUE"""),"Froz3nSlack5r")</f>
        <v>Froz3nSlack5r</v>
      </c>
      <c r="D187" s="31" t="str">
        <f>IFERROR(__xludf.DUMMYFUNCTION("""COMPUTED_VALUE"""),"Celestial Cider")</f>
        <v>Celestial Cider</v>
      </c>
      <c r="E187" s="31">
        <f>IFERROR(__xludf.DUMMYFUNCTION("""COMPUTED_VALUE"""),47.91869126120442)</f>
        <v>47.91869126</v>
      </c>
      <c r="F187" s="31">
        <f>IFERROR(__xludf.DUMMYFUNCTION("""COMPUTED_VALUE"""),-2.142128310667603)</f>
        <v>-2.142128311</v>
      </c>
      <c r="G187" s="31">
        <f>IFERROR(__xludf.DUMMYFUNCTION("""COMPUTED_VALUE"""),48.39566545825899)</f>
        <v>48.39566546</v>
      </c>
      <c r="H187" s="31">
        <f>IFERROR(__xludf.DUMMYFUNCTION("""COMPUTED_VALUE"""),-2.107854327585672)</f>
        <v>-2.107854328</v>
      </c>
      <c r="I187" s="54">
        <f>IFERROR(__xludf.DUMMYFUNCTION("""COMPUTED_VALUE"""),47.0)</f>
        <v>47</v>
      </c>
      <c r="J187" s="55">
        <f>IFERROR(__xludf.DUMMYFUNCTION("""COMPUTED_VALUE"""),19.0)</f>
        <v>19</v>
      </c>
      <c r="K187" s="54">
        <f>IFERROR(__xludf.DUMMYFUNCTION("""COMPUTED_VALUE"""),28.0)</f>
        <v>28</v>
      </c>
      <c r="L187" s="56">
        <f>IFERROR(__xludf.DUMMYFUNCTION("""COMPUTED_VALUE"""),0.40425531914893614)</f>
        <v>0.4042553191</v>
      </c>
      <c r="M187" s="56">
        <f>IFERROR(__xludf.DUMMYFUNCTION("""COMPUTED_VALUE"""),0.3826086956521739)</f>
        <v>0.3826086957</v>
      </c>
      <c r="N187" s="31">
        <f>IFERROR(__xludf.DUMMYFUNCTION("""COMPUTED_VALUE"""),304.2340425531915)</f>
        <v>304.2340426</v>
      </c>
      <c r="O187" s="57">
        <f>IFERROR(__xludf.DUMMYFUNCTION("""COMPUTED_VALUE"""),0.9361702127659575)</f>
        <v>0.9361702128</v>
      </c>
      <c r="P187" s="57">
        <f>IFERROR(__xludf.DUMMYFUNCTION("""COMPUTED_VALUE"""),0.40425531914893614)</f>
        <v>0.4042553191</v>
      </c>
      <c r="Q187" s="57">
        <f>IFERROR(__xludf.DUMMYFUNCTION("""COMPUTED_VALUE"""),0.6808510638297872)</f>
        <v>0.6808510638</v>
      </c>
      <c r="R187" s="57">
        <f>IFERROR(__xludf.DUMMYFUNCTION("""COMPUTED_VALUE"""),2.4468085106382977)</f>
        <v>2.446808511</v>
      </c>
      <c r="S187" s="31">
        <f>IFERROR(__xludf.DUMMYFUNCTION("""COMPUTED_VALUE"""),330.7446808510639)</f>
        <v>330.7446809</v>
      </c>
      <c r="T187" s="57">
        <f>IFERROR(__xludf.DUMMYFUNCTION("""COMPUTED_VALUE"""),0.8581560283687941)</f>
        <v>0.8581560284</v>
      </c>
      <c r="U187" s="57">
        <f>IFERROR(__xludf.DUMMYFUNCTION("""COMPUTED_VALUE"""),0.5815602836879432)</f>
        <v>0.5815602837</v>
      </c>
      <c r="V187" s="57">
        <f>IFERROR(__xludf.DUMMYFUNCTION("""COMPUTED_VALUE"""),1.0567375886524824)</f>
        <v>1.056737589</v>
      </c>
      <c r="W187" s="57">
        <f>IFERROR(__xludf.DUMMYFUNCTION("""COMPUTED_VALUE"""),2.234042553191489)</f>
        <v>2.234042553</v>
      </c>
      <c r="X187" s="31">
        <f>IFERROR(__xludf.DUMMYFUNCTION("""COMPUTED_VALUE"""),323.3652708332817)</f>
        <v>323.3652708</v>
      </c>
      <c r="Y187" s="57">
        <f>IFERROR(__xludf.DUMMYFUNCTION("""COMPUTED_VALUE"""),0.8028666053273134)</f>
        <v>0.8028666053</v>
      </c>
      <c r="Z187" s="57">
        <f>IFERROR(__xludf.DUMMYFUNCTION("""COMPUTED_VALUE"""),0.5230173044166733)</f>
        <v>0.5230173044</v>
      </c>
      <c r="AA187" s="57">
        <f>IFERROR(__xludf.DUMMYFUNCTION("""COMPUTED_VALUE"""),1.0650239875822258)</f>
        <v>1.065023988</v>
      </c>
      <c r="AB187" s="57">
        <f>IFERROR(__xludf.DUMMYFUNCTION("""COMPUTED_VALUE"""),2.2510951060037128)</f>
        <v>2.251095106</v>
      </c>
      <c r="AC187" s="31">
        <f>IFERROR(__xludf.DUMMYFUNCTION("""COMPUTED_VALUE"""),332.5904450414981)</f>
        <v>332.590445</v>
      </c>
      <c r="AD187" s="57">
        <f>IFERROR(__xludf.DUMMYFUNCTION("""COMPUTED_VALUE"""),0.8600269717415668)</f>
        <v>0.8600269717</v>
      </c>
      <c r="AE187" s="57">
        <f>IFERROR(__xludf.DUMMYFUNCTION("""COMPUTED_VALUE"""),0.5643759050044995)</f>
        <v>0.564375905</v>
      </c>
      <c r="AF187" s="57">
        <f>IFERROR(__xludf.DUMMYFUNCTION("""COMPUTED_VALUE"""),1.0701376656610206)</f>
        <v>1.070137666</v>
      </c>
      <c r="AG187" s="57">
        <f>IFERROR(__xludf.DUMMYFUNCTION("""COMPUTED_VALUE"""),2.3264730665198776)</f>
        <v>2.326473067</v>
      </c>
      <c r="AH187" s="57">
        <f>IFERROR(__xludf.DUMMYFUNCTION("""COMPUTED_VALUE"""),0.9147407783023697)</f>
        <v>0.9147407783</v>
      </c>
      <c r="AI187" s="57">
        <f>IFERROR(__xludf.DUMMYFUNCTION("""COMPUTED_VALUE"""),1.0885358756484107)</f>
        <v>1.088535876</v>
      </c>
      <c r="AJ187" s="57">
        <f>IFERROR(__xludf.DUMMYFUNCTION("""COMPUTED_VALUE"""),0.7162873460122526)</f>
        <v>0.716287346</v>
      </c>
      <c r="AK187" s="57">
        <f>IFERROR(__xludf.DUMMYFUNCTION("""COMPUTED_VALUE"""),0.6362275487324592)</f>
        <v>0.6362275487</v>
      </c>
      <c r="AL187" s="57">
        <f>IFERROR(__xludf.DUMMYFUNCTION("""COMPUTED_VALUE"""),1.0517244088703024)</f>
        <v>1.051724409</v>
      </c>
      <c r="AM187" s="57">
        <f>IFERROR(__xludf.DUMMYFUNCTION("""COMPUTED_VALUE"""),1.022820663452096)</f>
        <v>1.022820663</v>
      </c>
      <c r="AN187" s="57">
        <f>IFERROR(__xludf.DUMMYFUNCTION("""COMPUTED_VALUE"""),1.0688650177683505)</f>
        <v>1.068865018</v>
      </c>
      <c r="AO187" s="57">
        <f>IFERROR(__xludf.DUMMYFUNCTION("""COMPUTED_VALUE"""),1.1119331593369812)</f>
        <v>1.111933159</v>
      </c>
      <c r="AP187" s="35">
        <f>IFERROR(__xludf.DUMMYFUNCTION("""COMPUTED_VALUE"""),0.9922195189720047)</f>
        <v>0.992219519</v>
      </c>
      <c r="AQ187" s="57">
        <f>IFERROR(__xludf.DUMMYFUNCTION("""COMPUTED_VALUE"""),0.9924247746055934)</f>
        <v>0.9924247746</v>
      </c>
      <c r="AR187" s="36" t="b">
        <f>IFERROR(__xludf.DUMMYFUNCTION("""COMPUTED_VALUE"""),TRUE)</f>
        <v>1</v>
      </c>
      <c r="AS187" s="57"/>
      <c r="AT187" s="37"/>
      <c r="AU187" s="30"/>
      <c r="AV187" s="30"/>
      <c r="AW187" s="30"/>
      <c r="AX187" s="30"/>
      <c r="AY187" s="30"/>
      <c r="AZ187" s="30"/>
    </row>
    <row r="188">
      <c r="A188" s="30" t="str">
        <f>IFERROR(__xludf.DUMMYFUNCTION("""COMPUTED_VALUE"""),"Contender")</f>
        <v>Contender</v>
      </c>
      <c r="B188" s="30" t="str">
        <f>IFERROR(__xludf.DUMMYFUNCTION("""COMPUTED_VALUE"""),"RSC007918")</f>
        <v>RSC007918</v>
      </c>
      <c r="C188" s="30" t="str">
        <f>IFERROR(__xludf.DUMMYFUNCTION("""COMPUTED_VALUE"""),"TheBLKBoy")</f>
        <v>TheBLKBoy</v>
      </c>
      <c r="D188" s="31" t="str">
        <f>IFERROR(__xludf.DUMMYFUNCTION("""COMPUTED_VALUE"""),"Clover")</f>
        <v>Clover</v>
      </c>
      <c r="E188" s="31">
        <f>IFERROR(__xludf.DUMMYFUNCTION("""COMPUTED_VALUE"""),46.68658313255066)</f>
        <v>46.68658313</v>
      </c>
      <c r="F188" s="31">
        <f>IFERROR(__xludf.DUMMYFUNCTION("""COMPUTED_VALUE"""),-2.2357364624991733)</f>
        <v>-2.235736462</v>
      </c>
      <c r="G188" s="31">
        <f>IFERROR(__xludf.DUMMYFUNCTION("""COMPUTED_VALUE"""),40.74884555195949)</f>
        <v>40.74884555</v>
      </c>
      <c r="H188" s="31">
        <f>IFERROR(__xludf.DUMMYFUNCTION("""COMPUTED_VALUE"""),-2.811563067207803)</f>
        <v>-2.811563067</v>
      </c>
      <c r="I188" s="54">
        <f>IFERROR(__xludf.DUMMYFUNCTION("""COMPUTED_VALUE"""),35.0)</f>
        <v>35</v>
      </c>
      <c r="J188" s="55">
        <f>IFERROR(__xludf.DUMMYFUNCTION("""COMPUTED_VALUE"""),18.0)</f>
        <v>18</v>
      </c>
      <c r="K188" s="54">
        <f>IFERROR(__xludf.DUMMYFUNCTION("""COMPUTED_VALUE"""),17.0)</f>
        <v>17</v>
      </c>
      <c r="L188" s="56">
        <f>IFERROR(__xludf.DUMMYFUNCTION("""COMPUTED_VALUE"""),0.5142857142857142)</f>
        <v>0.5142857143</v>
      </c>
      <c r="M188" s="56">
        <f>IFERROR(__xludf.DUMMYFUNCTION("""COMPUTED_VALUE"""),0.37142857142857144)</f>
        <v>0.3714285714</v>
      </c>
      <c r="N188" s="31">
        <f>IFERROR(__xludf.DUMMYFUNCTION("""COMPUTED_VALUE"""),321.9142857142857)</f>
        <v>321.9142857</v>
      </c>
      <c r="O188" s="57">
        <f>IFERROR(__xludf.DUMMYFUNCTION("""COMPUTED_VALUE"""),0.7428571428571429)</f>
        <v>0.7428571429</v>
      </c>
      <c r="P188" s="57">
        <f>IFERROR(__xludf.DUMMYFUNCTION("""COMPUTED_VALUE"""),0.6)</f>
        <v>0.6</v>
      </c>
      <c r="Q188" s="57">
        <f>IFERROR(__xludf.DUMMYFUNCTION("""COMPUTED_VALUE"""),1.2857142857142858)</f>
        <v>1.285714286</v>
      </c>
      <c r="R188" s="57">
        <f>IFERROR(__xludf.DUMMYFUNCTION("""COMPUTED_VALUE"""),2.0)</f>
        <v>2</v>
      </c>
      <c r="S188" s="31">
        <f>IFERROR(__xludf.DUMMYFUNCTION("""COMPUTED_VALUE"""),335.71428571428567)</f>
        <v>335.7142857</v>
      </c>
      <c r="T188" s="57">
        <f>IFERROR(__xludf.DUMMYFUNCTION("""COMPUTED_VALUE"""),0.8476190476190477)</f>
        <v>0.8476190476</v>
      </c>
      <c r="U188" s="57">
        <f>IFERROR(__xludf.DUMMYFUNCTION("""COMPUTED_VALUE"""),0.6190476190476191)</f>
        <v>0.619047619</v>
      </c>
      <c r="V188" s="57">
        <f>IFERROR(__xludf.DUMMYFUNCTION("""COMPUTED_VALUE"""),1.0761904761904764)</f>
        <v>1.076190476</v>
      </c>
      <c r="W188" s="57">
        <f>IFERROR(__xludf.DUMMYFUNCTION("""COMPUTED_VALUE"""),2.561904761904762)</f>
        <v>2.561904762</v>
      </c>
      <c r="X188" s="31">
        <f>IFERROR(__xludf.DUMMYFUNCTION("""COMPUTED_VALUE"""),324.2580611567285)</f>
        <v>324.2580612</v>
      </c>
      <c r="Y188" s="57">
        <f>IFERROR(__xludf.DUMMYFUNCTION("""COMPUTED_VALUE"""),0.7883891811380552)</f>
        <v>0.7883891811</v>
      </c>
      <c r="Z188" s="57">
        <f>IFERROR(__xludf.DUMMYFUNCTION("""COMPUTED_VALUE"""),0.5438656272042319)</f>
        <v>0.5438656272</v>
      </c>
      <c r="AA188" s="57">
        <f>IFERROR(__xludf.DUMMYFUNCTION("""COMPUTED_VALUE"""),1.089519577835394)</f>
        <v>1.089519578</v>
      </c>
      <c r="AB188" s="57">
        <f>IFERROR(__xludf.DUMMYFUNCTION("""COMPUTED_VALUE"""),2.263090892884465)</f>
        <v>2.263090893</v>
      </c>
      <c r="AC188" s="31">
        <f>IFERROR(__xludf.DUMMYFUNCTION("""COMPUTED_VALUE"""),333.9085376845518)</f>
        <v>333.9085377</v>
      </c>
      <c r="AD188" s="57">
        <f>IFERROR(__xludf.DUMMYFUNCTION("""COMPUTED_VALUE"""),0.8660740617001791)</f>
        <v>0.8660740617</v>
      </c>
      <c r="AE188" s="57">
        <f>IFERROR(__xludf.DUMMYFUNCTION("""COMPUTED_VALUE"""),0.5595130317790256)</f>
        <v>0.5595130318</v>
      </c>
      <c r="AF188" s="57">
        <f>IFERROR(__xludf.DUMMYFUNCTION("""COMPUTED_VALUE"""),1.0828089909676586)</f>
        <v>1.082808991</v>
      </c>
      <c r="AG188" s="57">
        <f>IFERROR(__xludf.DUMMYFUNCTION("""COMPUTED_VALUE"""),2.3189801160513803)</f>
        <v>2.318980116</v>
      </c>
      <c r="AH188" s="57">
        <f>IFERROR(__xludf.DUMMYFUNCTION("""COMPUTED_VALUE"""),0.9640792294397779)</f>
        <v>0.9640792294</v>
      </c>
      <c r="AI188" s="57">
        <f>IFERROR(__xludf.DUMMYFUNCTION("""COMPUTED_VALUE"""),0.8577293509966681)</f>
        <v>0.857729351</v>
      </c>
      <c r="AJ188" s="57">
        <f>IFERROR(__xludf.DUMMYFUNCTION("""COMPUTED_VALUE"""),1.0723610817289495)</f>
        <v>1.072361082</v>
      </c>
      <c r="AK188" s="57">
        <f>IFERROR(__xludf.DUMMYFUNCTION("""COMPUTED_VALUE"""),1.1873878924530352)</f>
        <v>1.187387892</v>
      </c>
      <c r="AL188" s="57">
        <f>IFERROR(__xludf.DUMMYFUNCTION("""COMPUTED_VALUE"""),0.8624481021447823)</f>
        <v>0.8624481021</v>
      </c>
      <c r="AM188" s="57">
        <f>IFERROR(__xludf.DUMMYFUNCTION("""COMPUTED_VALUE"""),1.0353305774933992)</f>
        <v>1.035330577</v>
      </c>
      <c r="AN188" s="57">
        <f>IFERROR(__xludf.DUMMYFUNCTION("""COMPUTED_VALUE"""),1.0751277007575029)</f>
        <v>1.075127701</v>
      </c>
      <c r="AO188" s="57">
        <f>IFERROR(__xludf.DUMMYFUNCTION("""COMPUTED_VALUE"""),1.1382363364823473)</f>
        <v>1.138236336</v>
      </c>
      <c r="AP188" s="35">
        <f>IFERROR(__xludf.DUMMYFUNCTION("""COMPUTED_VALUE"""),0.9877660742256699)</f>
        <v>0.9877660742</v>
      </c>
      <c r="AQ188" s="57">
        <f>IFERROR(__xludf.DUMMYFUNCTION("""COMPUTED_VALUE"""),1.1320379441938535)</f>
        <v>1.132037944</v>
      </c>
      <c r="AR188" s="36" t="b">
        <f>IFERROR(__xludf.DUMMYFUNCTION("""COMPUTED_VALUE"""),TRUE)</f>
        <v>1</v>
      </c>
      <c r="AS188" s="57"/>
      <c r="AT188" s="37"/>
      <c r="AU188" s="30"/>
      <c r="AV188" s="30"/>
      <c r="AW188" s="30"/>
      <c r="AX188" s="30"/>
      <c r="AY188" s="30"/>
      <c r="AZ188" s="30"/>
    </row>
    <row r="189">
      <c r="A189" s="30" t="str">
        <f>IFERROR(__xludf.DUMMYFUNCTION("""COMPUTED_VALUE"""),"Contender")</f>
        <v>Contender</v>
      </c>
      <c r="B189" s="30" t="str">
        <f>IFERROR(__xludf.DUMMYFUNCTION("""COMPUTED_VALUE"""),"RSC007165")</f>
        <v>RSC007165</v>
      </c>
      <c r="C189" s="30" t="str">
        <f>IFERROR(__xludf.DUMMYFUNCTION("""COMPUTED_VALUE"""),"BRG")</f>
        <v>BRG</v>
      </c>
      <c r="D189" s="31" t="str">
        <f>IFERROR(__xludf.DUMMYFUNCTION("""COMPUTED_VALUE"""),"Rheas")</f>
        <v>Rheas</v>
      </c>
      <c r="E189" s="31">
        <f>IFERROR(__xludf.DUMMYFUNCTION("""COMPUTED_VALUE"""),46.43663179251842)</f>
        <v>46.43663179</v>
      </c>
      <c r="F189" s="31">
        <f>IFERROR(__xludf.DUMMYFUNCTION("""COMPUTED_VALUE"""),-2.2556620355130046)</f>
        <v>-2.255662036</v>
      </c>
      <c r="G189" s="31">
        <f>IFERROR(__xludf.DUMMYFUNCTION("""COMPUTED_VALUE"""),40.8488186957246)</f>
        <v>40.8488187</v>
      </c>
      <c r="H189" s="31">
        <f>IFERROR(__xludf.DUMMYFUNCTION("""COMPUTED_VALUE"""),-2.799827129682786)</f>
        <v>-2.79982713</v>
      </c>
      <c r="I189" s="54">
        <f>IFERROR(__xludf.DUMMYFUNCTION("""COMPUTED_VALUE"""),37.0)</f>
        <v>37</v>
      </c>
      <c r="J189" s="55">
        <f>IFERROR(__xludf.DUMMYFUNCTION("""COMPUTED_VALUE"""),26.0)</f>
        <v>26</v>
      </c>
      <c r="K189" s="54">
        <f>IFERROR(__xludf.DUMMYFUNCTION("""COMPUTED_VALUE"""),11.0)</f>
        <v>11</v>
      </c>
      <c r="L189" s="56">
        <f>IFERROR(__xludf.DUMMYFUNCTION("""COMPUTED_VALUE"""),0.7027027027027027)</f>
        <v>0.7027027027</v>
      </c>
      <c r="M189" s="56">
        <f>IFERROR(__xludf.DUMMYFUNCTION("""COMPUTED_VALUE"""),0.29687499999999994)</f>
        <v>0.296875</v>
      </c>
      <c r="N189" s="31">
        <f>IFERROR(__xludf.DUMMYFUNCTION("""COMPUTED_VALUE"""),286.7027027027027)</f>
        <v>286.7027027</v>
      </c>
      <c r="O189" s="57">
        <f>IFERROR(__xludf.DUMMYFUNCTION("""COMPUTED_VALUE"""),0.5135135135135135)</f>
        <v>0.5135135135</v>
      </c>
      <c r="P189" s="57">
        <f>IFERROR(__xludf.DUMMYFUNCTION("""COMPUTED_VALUE"""),0.6216216216216216)</f>
        <v>0.6216216216</v>
      </c>
      <c r="Q189" s="57">
        <f>IFERROR(__xludf.DUMMYFUNCTION("""COMPUTED_VALUE"""),1.0810810810810811)</f>
        <v>1.081081081</v>
      </c>
      <c r="R189" s="57">
        <f>IFERROR(__xludf.DUMMYFUNCTION("""COMPUTED_VALUE"""),1.7297297297297298)</f>
        <v>1.72972973</v>
      </c>
      <c r="S189" s="31">
        <f>IFERROR(__xludf.DUMMYFUNCTION("""COMPUTED_VALUE"""),280.1711711711712)</f>
        <v>280.1711712</v>
      </c>
      <c r="T189" s="57">
        <f>IFERROR(__xludf.DUMMYFUNCTION("""COMPUTED_VALUE"""),0.5315315315315314)</f>
        <v>0.5315315315</v>
      </c>
      <c r="U189" s="57">
        <f>IFERROR(__xludf.DUMMYFUNCTION("""COMPUTED_VALUE"""),0.31531531531531537)</f>
        <v>0.3153153153</v>
      </c>
      <c r="V189" s="57">
        <f>IFERROR(__xludf.DUMMYFUNCTION("""COMPUTED_VALUE"""),1.0990990990990992)</f>
        <v>1.099099099</v>
      </c>
      <c r="W189" s="57">
        <f>IFERROR(__xludf.DUMMYFUNCTION("""COMPUTED_VALUE"""),1.855855855855856)</f>
        <v>1.855855856</v>
      </c>
      <c r="X189" s="31">
        <f>IFERROR(__xludf.DUMMYFUNCTION("""COMPUTED_VALUE"""),329.4517375193283)</f>
        <v>329.4517375</v>
      </c>
      <c r="Y189" s="57">
        <f>IFERROR(__xludf.DUMMYFUNCTION("""COMPUTED_VALUE"""),0.8347062167592089)</f>
        <v>0.8347062168</v>
      </c>
      <c r="Z189" s="57">
        <f>IFERROR(__xludf.DUMMYFUNCTION("""COMPUTED_VALUE"""),0.5343238803233461)</f>
        <v>0.5343238803</v>
      </c>
      <c r="AA189" s="57">
        <f>IFERROR(__xludf.DUMMYFUNCTION("""COMPUTED_VALUE"""),1.0854232648431263)</f>
        <v>1.085423265</v>
      </c>
      <c r="AB189" s="57">
        <f>IFERROR(__xludf.DUMMYFUNCTION("""COMPUTED_VALUE"""),2.2990408846018293)</f>
        <v>2.299040885</v>
      </c>
      <c r="AC189" s="31">
        <f>IFERROR(__xludf.DUMMYFUNCTION("""COMPUTED_VALUE"""),330.1460374572112)</f>
        <v>330.1460375</v>
      </c>
      <c r="AD189" s="57">
        <f>IFERROR(__xludf.DUMMYFUNCTION("""COMPUTED_VALUE"""),0.835593645052101)</f>
        <v>0.8355936451</v>
      </c>
      <c r="AE189" s="57">
        <f>IFERROR(__xludf.DUMMYFUNCTION("""COMPUTED_VALUE"""),0.5622236455011488)</f>
        <v>0.5622236455</v>
      </c>
      <c r="AF189" s="57">
        <f>IFERROR(__xludf.DUMMYFUNCTION("""COMPUTED_VALUE"""),1.0722349126405617)</f>
        <v>1.072234913</v>
      </c>
      <c r="AG189" s="57">
        <f>IFERROR(__xludf.DUMMYFUNCTION("""COMPUTED_VALUE"""),2.320247111014602)</f>
        <v>2.320247111</v>
      </c>
      <c r="AH189" s="57">
        <f>IFERROR(__xludf.DUMMYFUNCTION("""COMPUTED_VALUE"""),0.8684117638087994)</f>
        <v>0.8684117638</v>
      </c>
      <c r="AI189" s="57">
        <f>IFERROR(__xludf.DUMMYFUNCTION("""COMPUTED_VALUE"""),0.6145493285572976)</f>
        <v>0.6145493286</v>
      </c>
      <c r="AJ189" s="57">
        <f>IFERROR(__xludf.DUMMYFUNCTION("""COMPUTED_VALUE"""),1.1056483066761222)</f>
        <v>1.105648307</v>
      </c>
      <c r="AK189" s="57">
        <f>IFERROR(__xludf.DUMMYFUNCTION("""COMPUTED_VALUE"""),1.0082502148887638)</f>
        <v>1.008250215</v>
      </c>
      <c r="AL189" s="57">
        <f>IFERROR(__xludf.DUMMYFUNCTION("""COMPUTED_VALUE"""),0.7454937543153971)</f>
        <v>0.7454937543</v>
      </c>
      <c r="AM189" s="57">
        <f>IFERROR(__xludf.DUMMYFUNCTION("""COMPUTED_VALUE"""),0.8504164321025446)</f>
        <v>0.8504164321</v>
      </c>
      <c r="AN189" s="57">
        <f>IFERROR(__xludf.DUMMYFUNCTION("""COMPUTED_VALUE"""),0.6367887537668412)</f>
        <v>0.6367887538</v>
      </c>
      <c r="AO189" s="57">
        <f>IFERROR(__xludf.DUMMYFUNCTION("""COMPUTED_VALUE"""),0.590120200363312)</f>
        <v>0.5901202004</v>
      </c>
      <c r="AP189" s="35">
        <f>IFERROR(__xludf.DUMMYFUNCTION("""COMPUTED_VALUE"""),1.0125995403810968)</f>
        <v>1.01259954</v>
      </c>
      <c r="AQ189" s="57">
        <f>IFERROR(__xludf.DUMMYFUNCTION("""COMPUTED_VALUE"""),0.8072304708827618)</f>
        <v>0.8072304709</v>
      </c>
      <c r="AR189" s="36" t="b">
        <f>IFERROR(__xludf.DUMMYFUNCTION("""COMPUTED_VALUE"""),TRUE)</f>
        <v>1</v>
      </c>
      <c r="AS189" s="57"/>
      <c r="AT189" s="37"/>
      <c r="AU189" s="30"/>
      <c r="AV189" s="30"/>
      <c r="AW189" s="30"/>
      <c r="AX189" s="30"/>
      <c r="AY189" s="30"/>
      <c r="AZ189" s="30"/>
    </row>
    <row r="190">
      <c r="A190" s="30" t="str">
        <f>IFERROR(__xludf.DUMMYFUNCTION("""COMPUTED_VALUE"""),"Contender")</f>
        <v>Contender</v>
      </c>
      <c r="B190" s="30" t="str">
        <f>IFERROR(__xludf.DUMMYFUNCTION("""COMPUTED_VALUE"""),"RSC007203")</f>
        <v>RSC007203</v>
      </c>
      <c r="C190" s="30" t="str">
        <f>IFERROR(__xludf.DUMMYFUNCTION("""COMPUTED_VALUE"""),"CoachJimmy_TECT")</f>
        <v>CoachJimmy_TECT</v>
      </c>
      <c r="D190" s="31" t="str">
        <f>IFERROR(__xludf.DUMMYFUNCTION("""COMPUTED_VALUE"""),"Celestial Cider")</f>
        <v>Celestial Cider</v>
      </c>
      <c r="E190" s="31">
        <f>IFERROR(__xludf.DUMMYFUNCTION("""COMPUTED_VALUE"""),46.38460778454729)</f>
        <v>46.38460778</v>
      </c>
      <c r="F190" s="31">
        <f>IFERROR(__xludf.DUMMYFUNCTION("""COMPUTED_VALUE"""),-2.259850465712603)</f>
        <v>-2.259850466</v>
      </c>
      <c r="G190" s="31">
        <f>IFERROR(__xludf.DUMMYFUNCTION("""COMPUTED_VALUE"""),59.54313892910422)</f>
        <v>59.54313893</v>
      </c>
      <c r="H190" s="31">
        <f>IFERROR(__xludf.DUMMYFUNCTION("""COMPUTED_VALUE"""),2.846306799740842)</f>
        <v>2.8463068</v>
      </c>
      <c r="I190" s="54">
        <f>IFERROR(__xludf.DUMMYFUNCTION("""COMPUTED_VALUE"""),37.0)</f>
        <v>37</v>
      </c>
      <c r="J190" s="55">
        <f>IFERROR(__xludf.DUMMYFUNCTION("""COMPUTED_VALUE"""),16.0)</f>
        <v>16</v>
      </c>
      <c r="K190" s="54">
        <f>IFERROR(__xludf.DUMMYFUNCTION("""COMPUTED_VALUE"""),21.0)</f>
        <v>21</v>
      </c>
      <c r="L190" s="56">
        <f>IFERROR(__xludf.DUMMYFUNCTION("""COMPUTED_VALUE"""),0.43243243243243246)</f>
        <v>0.4324324324</v>
      </c>
      <c r="M190" s="56">
        <f>IFERROR(__xludf.DUMMYFUNCTION("""COMPUTED_VALUE"""),0.2727272727272727)</f>
        <v>0.2727272727</v>
      </c>
      <c r="N190" s="31">
        <f>IFERROR(__xludf.DUMMYFUNCTION("""COMPUTED_VALUE"""),355.5945945945946)</f>
        <v>355.5945946</v>
      </c>
      <c r="O190" s="57">
        <f>IFERROR(__xludf.DUMMYFUNCTION("""COMPUTED_VALUE"""),0.6486486486486487)</f>
        <v>0.6486486486</v>
      </c>
      <c r="P190" s="57">
        <f>IFERROR(__xludf.DUMMYFUNCTION("""COMPUTED_VALUE"""),0.4864864864864865)</f>
        <v>0.4864864865</v>
      </c>
      <c r="Q190" s="57">
        <f>IFERROR(__xludf.DUMMYFUNCTION("""COMPUTED_VALUE"""),1.5405405405405406)</f>
        <v>1.540540541</v>
      </c>
      <c r="R190" s="57">
        <f>IFERROR(__xludf.DUMMYFUNCTION("""COMPUTED_VALUE"""),2.3783783783783785)</f>
        <v>2.378378378</v>
      </c>
      <c r="S190" s="31">
        <f>IFERROR(__xludf.DUMMYFUNCTION("""COMPUTED_VALUE"""),320.1801801801803)</f>
        <v>320.1801802</v>
      </c>
      <c r="T190" s="57">
        <f>IFERROR(__xludf.DUMMYFUNCTION("""COMPUTED_VALUE"""),0.8288288288288288)</f>
        <v>0.8288288288</v>
      </c>
      <c r="U190" s="57">
        <f>IFERROR(__xludf.DUMMYFUNCTION("""COMPUTED_VALUE"""),0.5765765765765766)</f>
        <v>0.5765765766</v>
      </c>
      <c r="V190" s="57">
        <f>IFERROR(__xludf.DUMMYFUNCTION("""COMPUTED_VALUE"""),0.9639639639639637)</f>
        <v>0.963963964</v>
      </c>
      <c r="W190" s="57">
        <f>IFERROR(__xludf.DUMMYFUNCTION("""COMPUTED_VALUE"""),2.324324324324324)</f>
        <v>2.324324324</v>
      </c>
      <c r="X190" s="31">
        <f>IFERROR(__xludf.DUMMYFUNCTION("""COMPUTED_VALUE"""),321.91790971014217)</f>
        <v>321.9179097</v>
      </c>
      <c r="Y190" s="57">
        <f>IFERROR(__xludf.DUMMYFUNCTION("""COMPUTED_VALUE"""),0.8018605245149045)</f>
        <v>0.8018605245</v>
      </c>
      <c r="Z190" s="57">
        <f>IFERROR(__xludf.DUMMYFUNCTION("""COMPUTED_VALUE"""),0.5102595836269946)</f>
        <v>0.5102595836</v>
      </c>
      <c r="AA190" s="57">
        <f>IFERROR(__xludf.DUMMYFUNCTION("""COMPUTED_VALUE"""),1.0651832488316555)</f>
        <v>1.065183249</v>
      </c>
      <c r="AB190" s="57">
        <f>IFERROR(__xludf.DUMMYFUNCTION("""COMPUTED_VALUE"""),2.224117694641589)</f>
        <v>2.224117695</v>
      </c>
      <c r="AC190" s="31">
        <f>IFERROR(__xludf.DUMMYFUNCTION("""COMPUTED_VALUE"""),334.3765514117591)</f>
        <v>334.3765514</v>
      </c>
      <c r="AD190" s="57">
        <f>IFERROR(__xludf.DUMMYFUNCTION("""COMPUTED_VALUE"""),0.8721547918252324)</f>
        <v>0.8721547918</v>
      </c>
      <c r="AE190" s="57">
        <f>IFERROR(__xludf.DUMMYFUNCTION("""COMPUTED_VALUE"""),0.5736126890883855)</f>
        <v>0.5736126891</v>
      </c>
      <c r="AF190" s="57">
        <f>IFERROR(__xludf.DUMMYFUNCTION("""COMPUTED_VALUE"""),1.0570177887570387)</f>
        <v>1.057017789</v>
      </c>
      <c r="AG190" s="57">
        <f>IFERROR(__xludf.DUMMYFUNCTION("""COMPUTED_VALUE"""),2.353937089499433)</f>
        <v>2.353937089</v>
      </c>
      <c r="AH190" s="57">
        <f>IFERROR(__xludf.DUMMYFUNCTION("""COMPUTED_VALUE"""),1.0634555356625681)</f>
        <v>1.063455536</v>
      </c>
      <c r="AI190" s="57">
        <f>IFERROR(__xludf.DUMMYFUNCTION("""COMPUTED_VALUE"""),0.7437311068269964)</f>
        <v>0.7437311068</v>
      </c>
      <c r="AJ190" s="57">
        <f>IFERROR(__xludf.DUMMYFUNCTION("""COMPUTED_VALUE"""),0.8481097014426854)</f>
        <v>0.8481097014</v>
      </c>
      <c r="AK190" s="57">
        <f>IFERROR(__xludf.DUMMYFUNCTION("""COMPUTED_VALUE"""),1.4574405056627124)</f>
        <v>1.457440506</v>
      </c>
      <c r="AL190" s="57">
        <f>IFERROR(__xludf.DUMMYFUNCTION("""COMPUTED_VALUE"""),1.01038315296869)</f>
        <v>1.010383153</v>
      </c>
      <c r="AM190" s="57">
        <f>IFERROR(__xludf.DUMMYFUNCTION("""COMPUTED_VALUE"""),0.9946019482683441)</f>
        <v>0.9946019483</v>
      </c>
      <c r="AN190" s="57">
        <f>IFERROR(__xludf.DUMMYFUNCTION("""COMPUTED_VALUE"""),1.0336321635614112)</f>
        <v>1.033632164</v>
      </c>
      <c r="AO190" s="57">
        <f>IFERROR(__xludf.DUMMYFUNCTION("""COMPUTED_VALUE"""),1.1299671678446326)</f>
        <v>1.129967168</v>
      </c>
      <c r="AP190" s="35">
        <f>IFERROR(__xludf.DUMMYFUNCTION("""COMPUTED_VALUE"""),0.9049747684459796)</f>
        <v>0.9049747684</v>
      </c>
      <c r="AQ190" s="57">
        <f>IFERROR(__xludf.DUMMYFUNCTION("""COMPUTED_VALUE"""),1.0450545535086369)</f>
        <v>1.045054554</v>
      </c>
      <c r="AR190" s="36" t="b">
        <f>IFERROR(__xludf.DUMMYFUNCTION("""COMPUTED_VALUE"""),TRUE)</f>
        <v>1</v>
      </c>
      <c r="AS190" s="57"/>
      <c r="AT190" s="37"/>
      <c r="AU190" s="30"/>
      <c r="AV190" s="30"/>
      <c r="AW190" s="30"/>
      <c r="AX190" s="30"/>
      <c r="AY190" s="30"/>
      <c r="AZ190" s="30"/>
    </row>
    <row r="191">
      <c r="A191" s="30" t="str">
        <f>IFERROR(__xludf.DUMMYFUNCTION("""COMPUTED_VALUE"""),"Contender")</f>
        <v>Contender</v>
      </c>
      <c r="B191" s="30" t="str">
        <f>IFERROR(__xludf.DUMMYFUNCTION("""COMPUTED_VALUE"""),"RSC006880")</f>
        <v>RSC006880</v>
      </c>
      <c r="C191" s="30" t="str">
        <f>IFERROR(__xludf.DUMMYFUNCTION("""COMPUTED_VALUE"""),"Kenjicat17")</f>
        <v>Kenjicat17</v>
      </c>
      <c r="D191" s="31" t="str">
        <f>IFERROR(__xludf.DUMMYFUNCTION("""COMPUTED_VALUE"""),"Ice")</f>
        <v>Ice</v>
      </c>
      <c r="E191" s="31">
        <f>IFERROR(__xludf.DUMMYFUNCTION("""COMPUTED_VALUE"""),46.177510497211195)</f>
        <v>46.1775105</v>
      </c>
      <c r="F191" s="31">
        <f>IFERROR(__xludf.DUMMYFUNCTION("""COMPUTED_VALUE"""),-2.2766662493250656)</f>
        <v>-2.276666249</v>
      </c>
      <c r="G191" s="31">
        <f>IFERROR(__xludf.DUMMYFUNCTION("""COMPUTED_VALUE"""),40.833051582477985)</f>
        <v>40.83305158</v>
      </c>
      <c r="H191" s="31">
        <f>IFERROR(__xludf.DUMMYFUNCTION("""COMPUTED_VALUE"""),-2.801672676261212)</f>
        <v>-2.801672676</v>
      </c>
      <c r="I191" s="54">
        <f>IFERROR(__xludf.DUMMYFUNCTION("""COMPUTED_VALUE"""),46.0)</f>
        <v>46</v>
      </c>
      <c r="J191" s="55">
        <f>IFERROR(__xludf.DUMMYFUNCTION("""COMPUTED_VALUE"""),29.0)</f>
        <v>29</v>
      </c>
      <c r="K191" s="54">
        <f>IFERROR(__xludf.DUMMYFUNCTION("""COMPUTED_VALUE"""),17.0)</f>
        <v>17</v>
      </c>
      <c r="L191" s="56">
        <f>IFERROR(__xludf.DUMMYFUNCTION("""COMPUTED_VALUE"""),0.6304347826086957)</f>
        <v>0.6304347826</v>
      </c>
      <c r="M191" s="56">
        <f>IFERROR(__xludf.DUMMYFUNCTION("""COMPUTED_VALUE"""),0.3707865168539326)</f>
        <v>0.3707865169</v>
      </c>
      <c r="N191" s="31">
        <f>IFERROR(__xludf.DUMMYFUNCTION("""COMPUTED_VALUE"""),308.5652173913044)</f>
        <v>308.5652174</v>
      </c>
      <c r="O191" s="57">
        <f>IFERROR(__xludf.DUMMYFUNCTION("""COMPUTED_VALUE"""),0.717391304347826)</f>
        <v>0.7173913043</v>
      </c>
      <c r="P191" s="57">
        <f>IFERROR(__xludf.DUMMYFUNCTION("""COMPUTED_VALUE"""),0.5652173913043478)</f>
        <v>0.5652173913</v>
      </c>
      <c r="Q191" s="57">
        <f>IFERROR(__xludf.DUMMYFUNCTION("""COMPUTED_VALUE"""),1.0434782608695652)</f>
        <v>1.043478261</v>
      </c>
      <c r="R191" s="57">
        <f>IFERROR(__xludf.DUMMYFUNCTION("""COMPUTED_VALUE"""),1.934782608695652)</f>
        <v>1.934782609</v>
      </c>
      <c r="S191" s="31">
        <f>IFERROR(__xludf.DUMMYFUNCTION("""COMPUTED_VALUE"""),312.78985507246387)</f>
        <v>312.7898551</v>
      </c>
      <c r="T191" s="57">
        <f>IFERROR(__xludf.DUMMYFUNCTION("""COMPUTED_VALUE"""),0.6884057971014491)</f>
        <v>0.6884057971</v>
      </c>
      <c r="U191" s="57">
        <f>IFERROR(__xludf.DUMMYFUNCTION("""COMPUTED_VALUE"""),0.5289855072463766)</f>
        <v>0.5289855072</v>
      </c>
      <c r="V191" s="57">
        <f>IFERROR(__xludf.DUMMYFUNCTION("""COMPUTED_VALUE"""),1.065217391304348)</f>
        <v>1.065217391</v>
      </c>
      <c r="W191" s="57">
        <f>IFERROR(__xludf.DUMMYFUNCTION("""COMPUTED_VALUE"""),2.369565217391304)</f>
        <v>2.369565217</v>
      </c>
      <c r="X191" s="31">
        <f>IFERROR(__xludf.DUMMYFUNCTION("""COMPUTED_VALUE"""),319.0787511100578)</f>
        <v>319.0787511</v>
      </c>
      <c r="Y191" s="57">
        <f>IFERROR(__xludf.DUMMYFUNCTION("""COMPUTED_VALUE"""),0.7980206939767045)</f>
        <v>0.798020694</v>
      </c>
      <c r="Z191" s="57">
        <f>IFERROR(__xludf.DUMMYFUNCTION("""COMPUTED_VALUE"""),0.5082654209266131)</f>
        <v>0.5082654209</v>
      </c>
      <c r="AA191" s="57">
        <f>IFERROR(__xludf.DUMMYFUNCTION("""COMPUTED_VALUE"""),1.0512320379940308)</f>
        <v>1.051232038</v>
      </c>
      <c r="AB191" s="57">
        <f>IFERROR(__xludf.DUMMYFUNCTION("""COMPUTED_VALUE"""),2.21871553296969)</f>
        <v>2.218715533</v>
      </c>
      <c r="AC191" s="31">
        <f>IFERROR(__xludf.DUMMYFUNCTION("""COMPUTED_VALUE"""),330.52661469747886)</f>
        <v>330.5266147</v>
      </c>
      <c r="AD191" s="57">
        <f>IFERROR(__xludf.DUMMYFUNCTION("""COMPUTED_VALUE"""),0.8559605556346999)</f>
        <v>0.8559605556</v>
      </c>
      <c r="AE191" s="57">
        <f>IFERROR(__xludf.DUMMYFUNCTION("""COMPUTED_VALUE"""),0.5567697671674303)</f>
        <v>0.5567697672</v>
      </c>
      <c r="AF191" s="57">
        <f>IFERROR(__xludf.DUMMYFUNCTION("""COMPUTED_VALUE"""),1.0394435140607876)</f>
        <v>1.039443514</v>
      </c>
      <c r="AG191" s="57">
        <f>IFERROR(__xludf.DUMMYFUNCTION("""COMPUTED_VALUE"""),2.3146838833607903)</f>
        <v>2.314683883</v>
      </c>
      <c r="AH191" s="57">
        <f>IFERROR(__xludf.DUMMYFUNCTION("""COMPUTED_VALUE"""),0.9335563421230841)</f>
        <v>0.9335563421</v>
      </c>
      <c r="AI191" s="57">
        <f>IFERROR(__xludf.DUMMYFUNCTION("""COMPUTED_VALUE"""),0.8381125737924642)</f>
        <v>0.8381125738</v>
      </c>
      <c r="AJ191" s="57">
        <f>IFERROR(__xludf.DUMMYFUNCTION("""COMPUTED_VALUE"""),1.0151725625834442)</f>
        <v>1.015172563</v>
      </c>
      <c r="AK191" s="57">
        <f>IFERROR(__xludf.DUMMYFUNCTION("""COMPUTED_VALUE"""),1.0038816412380265)</f>
        <v>1.003881641</v>
      </c>
      <c r="AL191" s="57">
        <f>IFERROR(__xludf.DUMMYFUNCTION("""COMPUTED_VALUE"""),0.8358733659502813)</f>
        <v>0.835873366</v>
      </c>
      <c r="AM191" s="57">
        <f>IFERROR(__xludf.DUMMYFUNCTION("""COMPUTED_VALUE"""),0.9802904580273202)</f>
        <v>0.980290458</v>
      </c>
      <c r="AN191" s="57">
        <f>IFERROR(__xludf.DUMMYFUNCTION("""COMPUTED_VALUE"""),0.8626415358616563)</f>
        <v>0.8626415359</v>
      </c>
      <c r="AO191" s="57">
        <f>IFERROR(__xludf.DUMMYFUNCTION("""COMPUTED_VALUE"""),1.040766271846684)</f>
        <v>1.040766272</v>
      </c>
      <c r="AP191" s="35">
        <f>IFERROR(__xludf.DUMMYFUNCTION("""COMPUTED_VALUE"""),1.0133037738623378)</f>
        <v>1.013303774</v>
      </c>
      <c r="AQ191" s="57">
        <f>IFERROR(__xludf.DUMMYFUNCTION("""COMPUTED_VALUE"""),1.0679896463426772)</f>
        <v>1.067989646</v>
      </c>
      <c r="AR191" s="36" t="b">
        <f>IFERROR(__xludf.DUMMYFUNCTION("""COMPUTED_VALUE"""),TRUE)</f>
        <v>1</v>
      </c>
      <c r="AS191" s="57"/>
      <c r="AT191" s="37"/>
      <c r="AU191" s="30"/>
      <c r="AV191" s="30"/>
      <c r="AW191" s="30"/>
      <c r="AX191" s="30"/>
      <c r="AY191" s="30"/>
      <c r="AZ191" s="30"/>
    </row>
    <row r="192">
      <c r="A192" s="30" t="str">
        <f>IFERROR(__xludf.DUMMYFUNCTION("""COMPUTED_VALUE"""),"Contender")</f>
        <v>Contender</v>
      </c>
      <c r="B192" s="30" t="str">
        <f>IFERROR(__xludf.DUMMYFUNCTION("""COMPUTED_VALUE"""),"RSC005550")</f>
        <v>RSC005550</v>
      </c>
      <c r="C192" s="30" t="str">
        <f>IFERROR(__xludf.DUMMYFUNCTION("""COMPUTED_VALUE"""),"Shraggaholic")</f>
        <v>Shraggaholic</v>
      </c>
      <c r="D192" s="31" t="str">
        <f>IFERROR(__xludf.DUMMYFUNCTION("""COMPUTED_VALUE"""),"Ice")</f>
        <v>Ice</v>
      </c>
      <c r="E192" s="31">
        <f>IFERROR(__xludf.DUMMYFUNCTION("""COMPUTED_VALUE"""),45.2282794892615)</f>
        <v>45.22827949</v>
      </c>
      <c r="F192" s="31">
        <f>IFERROR(__xludf.DUMMYFUNCTION("""COMPUTED_VALUE"""),-2.3567442165113643)</f>
        <v>-2.356744217</v>
      </c>
      <c r="G192" s="31">
        <f>IFERROR(__xludf.DUMMYFUNCTION("""COMPUTED_VALUE"""),42.26649566202971)</f>
        <v>42.26649566</v>
      </c>
      <c r="H192" s="31">
        <f>IFERROR(__xludf.DUMMYFUNCTION("""COMPUTED_VALUE"""),-2.6417888548080297)</f>
        <v>-2.641788855</v>
      </c>
      <c r="I192" s="54">
        <f>IFERROR(__xludf.DUMMYFUNCTION("""COMPUTED_VALUE"""),44.0)</f>
        <v>44</v>
      </c>
      <c r="J192" s="55">
        <f>IFERROR(__xludf.DUMMYFUNCTION("""COMPUTED_VALUE"""),28.0)</f>
        <v>28</v>
      </c>
      <c r="K192" s="54">
        <f>IFERROR(__xludf.DUMMYFUNCTION("""COMPUTED_VALUE"""),16.0)</f>
        <v>16</v>
      </c>
      <c r="L192" s="56">
        <f>IFERROR(__xludf.DUMMYFUNCTION("""COMPUTED_VALUE"""),0.6363636363636364)</f>
        <v>0.6363636364</v>
      </c>
      <c r="M192" s="56">
        <f>IFERROR(__xludf.DUMMYFUNCTION("""COMPUTED_VALUE"""),0.3402061855670103)</f>
        <v>0.3402061856</v>
      </c>
      <c r="N192" s="31">
        <f>IFERROR(__xludf.DUMMYFUNCTION("""COMPUTED_VALUE"""),311.5)</f>
        <v>311.5</v>
      </c>
      <c r="O192" s="57">
        <f>IFERROR(__xludf.DUMMYFUNCTION("""COMPUTED_VALUE"""),0.75)</f>
        <v>0.75</v>
      </c>
      <c r="P192" s="57">
        <f>IFERROR(__xludf.DUMMYFUNCTION("""COMPUTED_VALUE"""),0.45454545454545453)</f>
        <v>0.4545454545</v>
      </c>
      <c r="Q192" s="57">
        <f>IFERROR(__xludf.DUMMYFUNCTION("""COMPUTED_VALUE"""),1.1363636363636365)</f>
        <v>1.136363636</v>
      </c>
      <c r="R192" s="57">
        <f>IFERROR(__xludf.DUMMYFUNCTION("""COMPUTED_VALUE"""),2.2045454545454546)</f>
        <v>2.204545455</v>
      </c>
      <c r="S192" s="31">
        <f>IFERROR(__xludf.DUMMYFUNCTION("""COMPUTED_VALUE"""),312.4924242424243)</f>
        <v>312.4924242</v>
      </c>
      <c r="T192" s="57">
        <f>IFERROR(__xludf.DUMMYFUNCTION("""COMPUTED_VALUE"""),0.6818181818181818)</f>
        <v>0.6818181818</v>
      </c>
      <c r="U192" s="57">
        <f>IFERROR(__xludf.DUMMYFUNCTION("""COMPUTED_VALUE"""),0.515151515151515)</f>
        <v>0.5151515152</v>
      </c>
      <c r="V192" s="57">
        <f>IFERROR(__xludf.DUMMYFUNCTION("""COMPUTED_VALUE"""),1.0606060606060606)</f>
        <v>1.060606061</v>
      </c>
      <c r="W192" s="57">
        <f>IFERROR(__xludf.DUMMYFUNCTION("""COMPUTED_VALUE"""),2.356060606060606)</f>
        <v>2.356060606</v>
      </c>
      <c r="X192" s="31">
        <f>IFERROR(__xludf.DUMMYFUNCTION("""COMPUTED_VALUE"""),316.6916162024378)</f>
        <v>316.6916162</v>
      </c>
      <c r="Y192" s="57">
        <f>IFERROR(__xludf.DUMMYFUNCTION("""COMPUTED_VALUE"""),0.7812009811475559)</f>
        <v>0.7812009811</v>
      </c>
      <c r="Z192" s="57">
        <f>IFERROR(__xludf.DUMMYFUNCTION("""COMPUTED_VALUE"""),0.5034051839490215)</f>
        <v>0.5034051839</v>
      </c>
      <c r="AA192" s="57">
        <f>IFERROR(__xludf.DUMMYFUNCTION("""COMPUTED_VALUE"""),1.0501759389368817)</f>
        <v>1.050175939</v>
      </c>
      <c r="AB192" s="57">
        <f>IFERROR(__xludf.DUMMYFUNCTION("""COMPUTED_VALUE"""),2.190183453080378)</f>
        <v>2.190183453</v>
      </c>
      <c r="AC192" s="31">
        <f>IFERROR(__xludf.DUMMYFUNCTION("""COMPUTED_VALUE"""),331.23149383989204)</f>
        <v>331.2314938</v>
      </c>
      <c r="AD192" s="57">
        <f>IFERROR(__xludf.DUMMYFUNCTION("""COMPUTED_VALUE"""),0.8666364839785959)</f>
        <v>0.866636484</v>
      </c>
      <c r="AE192" s="57">
        <f>IFERROR(__xludf.DUMMYFUNCTION("""COMPUTED_VALUE"""),0.5606441809852926)</f>
        <v>0.560644181</v>
      </c>
      <c r="AF192" s="57">
        <f>IFERROR(__xludf.DUMMYFUNCTION("""COMPUTED_VALUE"""),1.0264771783970823)</f>
        <v>1.026477178</v>
      </c>
      <c r="AG192" s="57">
        <f>IFERROR(__xludf.DUMMYFUNCTION("""COMPUTED_VALUE"""),2.3243946308578107)</f>
        <v>2.324394631</v>
      </c>
      <c r="AH192" s="57">
        <f>IFERROR(__xludf.DUMMYFUNCTION("""COMPUTED_VALUE"""),0.9404298981019308)</f>
        <v>0.9404298981</v>
      </c>
      <c r="AI192" s="57">
        <f>IFERROR(__xludf.DUMMYFUNCTION("""COMPUTED_VALUE"""),0.8654147544733686)</f>
        <v>0.8654147545</v>
      </c>
      <c r="AJ192" s="57">
        <f>IFERROR(__xludf.DUMMYFUNCTION("""COMPUTED_VALUE"""),0.8107556806290631)</f>
        <v>0.8107556806</v>
      </c>
      <c r="AK192" s="57">
        <f>IFERROR(__xludf.DUMMYFUNCTION("""COMPUTED_VALUE"""),1.1070520224698515)</f>
        <v>1.107052022</v>
      </c>
      <c r="AL192" s="57">
        <f>IFERROR(__xludf.DUMMYFUNCTION("""COMPUTED_VALUE"""),0.94843854192344)</f>
        <v>0.9484385419</v>
      </c>
      <c r="AM192" s="57">
        <f>IFERROR(__xludf.DUMMYFUNCTION("""COMPUTED_VALUE"""),0.9867404385049169)</f>
        <v>0.9867404385</v>
      </c>
      <c r="AN192" s="57">
        <f>IFERROR(__xludf.DUMMYFUNCTION("""COMPUTED_VALUE"""),0.8727820346777031)</f>
        <v>0.8727820347</v>
      </c>
      <c r="AO192" s="57">
        <f>IFERROR(__xludf.DUMMYFUNCTION("""COMPUTED_VALUE"""),1.0233337509763967)</f>
        <v>1.023333751</v>
      </c>
      <c r="AP192" s="35">
        <f>IFERROR(__xludf.DUMMYFUNCTION("""COMPUTED_VALUE"""),1.0099317850299803)</f>
        <v>1.009931785</v>
      </c>
      <c r="AQ192" s="57">
        <f>IFERROR(__xludf.DUMMYFUNCTION("""COMPUTED_VALUE"""),1.0757366478807657)</f>
        <v>1.075736648</v>
      </c>
      <c r="AR192" s="36" t="b">
        <f>IFERROR(__xludf.DUMMYFUNCTION("""COMPUTED_VALUE"""),TRUE)</f>
        <v>1</v>
      </c>
      <c r="AS192" s="57"/>
      <c r="AT192" s="37"/>
      <c r="AU192" s="30"/>
      <c r="AV192" s="30"/>
      <c r="AW192" s="30"/>
      <c r="AX192" s="30"/>
      <c r="AY192" s="30"/>
      <c r="AZ192" s="30"/>
    </row>
    <row r="193">
      <c r="A193" s="30" t="str">
        <f>IFERROR(__xludf.DUMMYFUNCTION("""COMPUTED_VALUE"""),"Contender")</f>
        <v>Contender</v>
      </c>
      <c r="B193" s="30" t="str">
        <f>IFERROR(__xludf.DUMMYFUNCTION("""COMPUTED_VALUE"""),"RSC001262")</f>
        <v>RSC001262</v>
      </c>
      <c r="C193" s="30" t="str">
        <f>IFERROR(__xludf.DUMMYFUNCTION("""COMPUTED_VALUE"""),"droogin01")</f>
        <v>droogin01</v>
      </c>
      <c r="D193" s="31" t="str">
        <f>IFERROR(__xludf.DUMMYFUNCTION("""COMPUTED_VALUE"""),"Zebras")</f>
        <v>Zebras</v>
      </c>
      <c r="E193" s="31">
        <f>IFERROR(__xludf.DUMMYFUNCTION("""COMPUTED_VALUE"""),44.97346642715727)</f>
        <v>44.97346643</v>
      </c>
      <c r="F193" s="31">
        <f>IFERROR(__xludf.DUMMYFUNCTION("""COMPUTED_VALUE"""),-2.3791096795454085)</f>
        <v>-2.37910968</v>
      </c>
      <c r="G193" s="31">
        <f>IFERROR(__xludf.DUMMYFUNCTION("""COMPUTED_VALUE"""),54.938239676470985)</f>
        <v>54.93823968</v>
      </c>
      <c r="H193" s="31">
        <f>IFERROR(__xludf.DUMMYFUNCTION("""COMPUTED_VALUE"""),2.3713171255130034)</f>
        <v>2.371317126</v>
      </c>
      <c r="I193" s="54">
        <f>IFERROR(__xludf.DUMMYFUNCTION("""COMPUTED_VALUE"""),40.0)</f>
        <v>40</v>
      </c>
      <c r="J193" s="55">
        <f>IFERROR(__xludf.DUMMYFUNCTION("""COMPUTED_VALUE"""),13.0)</f>
        <v>13</v>
      </c>
      <c r="K193" s="54">
        <f>IFERROR(__xludf.DUMMYFUNCTION("""COMPUTED_VALUE"""),27.0)</f>
        <v>27</v>
      </c>
      <c r="L193" s="56">
        <f>IFERROR(__xludf.DUMMYFUNCTION("""COMPUTED_VALUE"""),0.325)</f>
        <v>0.325</v>
      </c>
      <c r="M193" s="56">
        <f>IFERROR(__xludf.DUMMYFUNCTION("""COMPUTED_VALUE"""),0.25287356321839083)</f>
        <v>0.2528735632</v>
      </c>
      <c r="N193" s="31">
        <f>IFERROR(__xludf.DUMMYFUNCTION("""COMPUTED_VALUE"""),325.775)</f>
        <v>325.775</v>
      </c>
      <c r="O193" s="57">
        <f>IFERROR(__xludf.DUMMYFUNCTION("""COMPUTED_VALUE"""),0.55)</f>
        <v>0.55</v>
      </c>
      <c r="P193" s="57">
        <f>IFERROR(__xludf.DUMMYFUNCTION("""COMPUTED_VALUE"""),0.55)</f>
        <v>0.55</v>
      </c>
      <c r="Q193" s="57">
        <f>IFERROR(__xludf.DUMMYFUNCTION("""COMPUTED_VALUE"""),1.35)</f>
        <v>1.35</v>
      </c>
      <c r="R193" s="57">
        <f>IFERROR(__xludf.DUMMYFUNCTION("""COMPUTED_VALUE"""),2.175)</f>
        <v>2.175</v>
      </c>
      <c r="S193" s="31">
        <f>IFERROR(__xludf.DUMMYFUNCTION("""COMPUTED_VALUE"""),349.31666666666666)</f>
        <v>349.3166667</v>
      </c>
      <c r="T193" s="57">
        <f>IFERROR(__xludf.DUMMYFUNCTION("""COMPUTED_VALUE"""),1.0166666666666666)</f>
        <v>1.016666667</v>
      </c>
      <c r="U193" s="57">
        <f>IFERROR(__xludf.DUMMYFUNCTION("""COMPUTED_VALUE"""),0.6249999999999999)</f>
        <v>0.625</v>
      </c>
      <c r="V193" s="57">
        <f>IFERROR(__xludf.DUMMYFUNCTION("""COMPUTED_VALUE"""),1.025)</f>
        <v>1.025</v>
      </c>
      <c r="W193" s="57">
        <f>IFERROR(__xludf.DUMMYFUNCTION("""COMPUTED_VALUE"""),2.408333333333334)</f>
        <v>2.408333333</v>
      </c>
      <c r="X193" s="31">
        <f>IFERROR(__xludf.DUMMYFUNCTION("""COMPUTED_VALUE"""),338.54924199207585)</f>
        <v>338.549242</v>
      </c>
      <c r="Y193" s="57">
        <f>IFERROR(__xludf.DUMMYFUNCTION("""COMPUTED_VALUE"""),0.9088866604265495)</f>
        <v>0.9088866604</v>
      </c>
      <c r="Z193" s="57">
        <f>IFERROR(__xludf.DUMMYFUNCTION("""COMPUTED_VALUE"""),0.5943030469441923)</f>
        <v>0.5943030469</v>
      </c>
      <c r="AA193" s="57">
        <f>IFERROR(__xludf.DUMMYFUNCTION("""COMPUTED_VALUE"""),1.0395323138717707)</f>
        <v>1.039532314</v>
      </c>
      <c r="AB193" s="57">
        <f>IFERROR(__xludf.DUMMYFUNCTION("""COMPUTED_VALUE"""),2.4371176480063865)</f>
        <v>2.437117648</v>
      </c>
      <c r="AC193" s="31">
        <f>IFERROR(__xludf.DUMMYFUNCTION("""COMPUTED_VALUE"""),326.33209528879996)</f>
        <v>326.3320953</v>
      </c>
      <c r="AD193" s="57">
        <f>IFERROR(__xludf.DUMMYFUNCTION("""COMPUTED_VALUE"""),0.7876883622187547)</f>
        <v>0.7876883622</v>
      </c>
      <c r="AE193" s="57">
        <f>IFERROR(__xludf.DUMMYFUNCTION("""COMPUTED_VALUE"""),0.5299154121900942)</f>
        <v>0.5299154122</v>
      </c>
      <c r="AF193" s="57">
        <f>IFERROR(__xludf.DUMMYFUNCTION("""COMPUTED_VALUE"""),1.130669560426219)</f>
        <v>1.13066956</v>
      </c>
      <c r="AG193" s="57">
        <f>IFERROR(__xludf.DUMMYFUNCTION("""COMPUTED_VALUE"""),2.244467133800097)</f>
        <v>2.244467134</v>
      </c>
      <c r="AH193" s="57">
        <f>IFERROR(__xludf.DUMMYFUNCTION("""COMPUTED_VALUE"""),0.9982928578069927)</f>
        <v>0.9982928578</v>
      </c>
      <c r="AI193" s="57">
        <f>IFERROR(__xludf.DUMMYFUNCTION("""COMPUTED_VALUE"""),0.698245684944188)</f>
        <v>0.6982456849</v>
      </c>
      <c r="AJ193" s="57">
        <f>IFERROR(__xludf.DUMMYFUNCTION("""COMPUTED_VALUE"""),1.0379014977633845)</f>
        <v>1.037901498</v>
      </c>
      <c r="AK193" s="57">
        <f>IFERROR(__xludf.DUMMYFUNCTION("""COMPUTED_VALUE"""),1.1939827932496052)</f>
        <v>1.193982793</v>
      </c>
      <c r="AL193" s="57">
        <f>IFERROR(__xludf.DUMMYFUNCTION("""COMPUTED_VALUE"""),0.969049609702913)</f>
        <v>0.9690496097</v>
      </c>
      <c r="AM193" s="57">
        <f>IFERROR(__xludf.DUMMYFUNCTION("""COMPUTED_VALUE"""),1.0318046042910438)</f>
        <v>1.031804604</v>
      </c>
      <c r="AN193" s="57">
        <f>IFERROR(__xludf.DUMMYFUNCTION("""COMPUTED_VALUE"""),1.118584649696074)</f>
        <v>1.11858465</v>
      </c>
      <c r="AO193" s="57">
        <f>IFERROR(__xludf.DUMMYFUNCTION("""COMPUTED_VALUE"""),1.0516520203179947)</f>
        <v>1.05165202</v>
      </c>
      <c r="AP193" s="35">
        <f>IFERROR(__xludf.DUMMYFUNCTION("""COMPUTED_VALUE"""),0.9860203346467945)</f>
        <v>0.9860203346</v>
      </c>
      <c r="AQ193" s="57">
        <f>IFERROR(__xludf.DUMMYFUNCTION("""COMPUTED_VALUE"""),0.9881891977202666)</f>
        <v>0.9881891977</v>
      </c>
      <c r="AR193" s="36" t="b">
        <f>IFERROR(__xludf.DUMMYFUNCTION("""COMPUTED_VALUE"""),TRUE)</f>
        <v>1</v>
      </c>
      <c r="AS193" s="57"/>
      <c r="AT193" s="37"/>
      <c r="AU193" s="30"/>
      <c r="AV193" s="30"/>
      <c r="AW193" s="30"/>
      <c r="AX193" s="30"/>
      <c r="AY193" s="30"/>
      <c r="AZ193" s="30"/>
    </row>
    <row r="194">
      <c r="A194" s="30" t="str">
        <f>IFERROR(__xludf.DUMMYFUNCTION("""COMPUTED_VALUE"""),"Contender")</f>
        <v>Contender</v>
      </c>
      <c r="B194" s="30" t="str">
        <f>IFERROR(__xludf.DUMMYFUNCTION("""COMPUTED_VALUE"""),"RSC000989")</f>
        <v>RSC000989</v>
      </c>
      <c r="C194" s="30" t="str">
        <f>IFERROR(__xludf.DUMMYFUNCTION("""COMPUTED_VALUE"""),"Piky Life88")</f>
        <v>Piky Life88</v>
      </c>
      <c r="D194" s="31" t="str">
        <f>IFERROR(__xludf.DUMMYFUNCTION("""COMPUTED_VALUE"""),"Devoured")</f>
        <v>Devoured</v>
      </c>
      <c r="E194" s="31">
        <f>IFERROR(__xludf.DUMMYFUNCTION("""COMPUTED_VALUE"""),41.30058487600863)</f>
        <v>41.30058488</v>
      </c>
      <c r="F194" s="31">
        <f>IFERROR(__xludf.DUMMYFUNCTION("""COMPUTED_VALUE"""),-2.7477896481709863)</f>
        <v>-2.747789648</v>
      </c>
      <c r="G194" s="31">
        <f>IFERROR(__xludf.DUMMYFUNCTION("""COMPUTED_VALUE"""),36.71395384360378)</f>
        <v>36.71395384</v>
      </c>
      <c r="H194" s="31">
        <f>IFERROR(__xludf.DUMMYFUNCTION("""COMPUTED_VALUE"""),-3.3607083760827847)</f>
        <v>-3.360708376</v>
      </c>
      <c r="I194" s="54">
        <f>IFERROR(__xludf.DUMMYFUNCTION("""COMPUTED_VALUE"""),12.0)</f>
        <v>12</v>
      </c>
      <c r="J194" s="55">
        <f>IFERROR(__xludf.DUMMYFUNCTION("""COMPUTED_VALUE"""),7.0)</f>
        <v>7</v>
      </c>
      <c r="K194" s="54">
        <f>IFERROR(__xludf.DUMMYFUNCTION("""COMPUTED_VALUE"""),5.0)</f>
        <v>5</v>
      </c>
      <c r="L194" s="56">
        <f>IFERROR(__xludf.DUMMYFUNCTION("""COMPUTED_VALUE"""),0.5833333333333334)</f>
        <v>0.5833333333</v>
      </c>
      <c r="M194" s="56">
        <f>IFERROR(__xludf.DUMMYFUNCTION("""COMPUTED_VALUE"""),0.25)</f>
        <v>0.25</v>
      </c>
      <c r="N194" s="31">
        <f>IFERROR(__xludf.DUMMYFUNCTION("""COMPUTED_VALUE"""),255.08333333333334)</f>
        <v>255.0833333</v>
      </c>
      <c r="O194" s="57">
        <f>IFERROR(__xludf.DUMMYFUNCTION("""COMPUTED_VALUE"""),0.6666666666666666)</f>
        <v>0.6666666667</v>
      </c>
      <c r="P194" s="57">
        <f>IFERROR(__xludf.DUMMYFUNCTION("""COMPUTED_VALUE"""),0.4166666666666667)</f>
        <v>0.4166666667</v>
      </c>
      <c r="Q194" s="57">
        <f>IFERROR(__xludf.DUMMYFUNCTION("""COMPUTED_VALUE"""),0.6666666666666666)</f>
        <v>0.6666666667</v>
      </c>
      <c r="R194" s="57">
        <f>IFERROR(__xludf.DUMMYFUNCTION("""COMPUTED_VALUE"""),2.6666666666666665)</f>
        <v>2.666666667</v>
      </c>
      <c r="S194" s="31">
        <f>IFERROR(__xludf.DUMMYFUNCTION("""COMPUTED_VALUE"""),328.1388888888889)</f>
        <v>328.1388889</v>
      </c>
      <c r="T194" s="57">
        <f>IFERROR(__xludf.DUMMYFUNCTION("""COMPUTED_VALUE"""),0.9444444444444443)</f>
        <v>0.9444444444</v>
      </c>
      <c r="U194" s="57">
        <f>IFERROR(__xludf.DUMMYFUNCTION("""COMPUTED_VALUE"""),0.5833333333333333)</f>
        <v>0.5833333333</v>
      </c>
      <c r="V194" s="57">
        <f>IFERROR(__xludf.DUMMYFUNCTION("""COMPUTED_VALUE"""),1.0833333333333333)</f>
        <v>1.083333333</v>
      </c>
      <c r="W194" s="57">
        <f>IFERROR(__xludf.DUMMYFUNCTION("""COMPUTED_VALUE"""),2.055555555555556)</f>
        <v>2.055555556</v>
      </c>
      <c r="X194" s="31">
        <f>IFERROR(__xludf.DUMMYFUNCTION("""COMPUTED_VALUE"""),317.50590021402127)</f>
        <v>317.5059002</v>
      </c>
      <c r="Y194" s="57">
        <f>IFERROR(__xludf.DUMMYFUNCTION("""COMPUTED_VALUE"""),0.7705880274968878)</f>
        <v>0.7705880275</v>
      </c>
      <c r="Z194" s="57">
        <f>IFERROR(__xludf.DUMMYFUNCTION("""COMPUTED_VALUE"""),0.5160788284861436)</f>
        <v>0.5160788285</v>
      </c>
      <c r="AA194" s="57">
        <f>IFERROR(__xludf.DUMMYFUNCTION("""COMPUTED_VALUE"""),1.0735995086972963)</f>
        <v>1.073599509</v>
      </c>
      <c r="AB194" s="57">
        <f>IFERROR(__xludf.DUMMYFUNCTION("""COMPUTED_VALUE"""),2.223106360340403)</f>
        <v>2.22310636</v>
      </c>
      <c r="AC194" s="31">
        <f>IFERROR(__xludf.DUMMYFUNCTION("""COMPUTED_VALUE"""),325.6201932348752)</f>
        <v>325.6201932</v>
      </c>
      <c r="AD194" s="57">
        <f>IFERROR(__xludf.DUMMYFUNCTION("""COMPUTED_VALUE"""),0.8261700054990705)</f>
        <v>0.8261700055</v>
      </c>
      <c r="AE194" s="57">
        <f>IFERROR(__xludf.DUMMYFUNCTION("""COMPUTED_VALUE"""),0.5374262733794432)</f>
        <v>0.5374262734</v>
      </c>
      <c r="AF194" s="57">
        <f>IFERROR(__xludf.DUMMYFUNCTION("""COMPUTED_VALUE"""),1.042507806556582)</f>
        <v>1.042507807</v>
      </c>
      <c r="AG194" s="57">
        <f>IFERROR(__xludf.DUMMYFUNCTION("""COMPUTED_VALUE"""),2.3483169443649663)</f>
        <v>2.348316944</v>
      </c>
      <c r="AH194" s="57">
        <f>IFERROR(__xludf.DUMMYFUNCTION("""COMPUTED_VALUE"""),0.7833768870388745)</f>
        <v>0.783376887</v>
      </c>
      <c r="AI194" s="57">
        <f>IFERROR(__xludf.DUMMYFUNCTION("""COMPUTED_VALUE"""),0.806936420142666)</f>
        <v>0.8069364201</v>
      </c>
      <c r="AJ194" s="57">
        <f>IFERROR(__xludf.DUMMYFUNCTION("""COMPUTED_VALUE"""),0.7753001431183927)</f>
        <v>0.7753001431</v>
      </c>
      <c r="AK194" s="57">
        <f>IFERROR(__xludf.DUMMYFUNCTION("""COMPUTED_VALUE"""),0.6394836206250349)</f>
        <v>0.6394836206</v>
      </c>
      <c r="AL194" s="57">
        <f>IFERROR(__xludf.DUMMYFUNCTION("""COMPUTED_VALUE"""),1.1355650578026164)</f>
        <v>1.135565058</v>
      </c>
      <c r="AM194" s="57">
        <f>IFERROR(__xludf.DUMMYFUNCTION("""COMPUTED_VALUE"""),1.0334891057700037)</f>
        <v>1.033489106</v>
      </c>
      <c r="AN194" s="57">
        <f>IFERROR(__xludf.DUMMYFUNCTION("""COMPUTED_VALUE"""),1.2256152584050608)</f>
        <v>1.225615258</v>
      </c>
      <c r="AO194" s="57">
        <f>IFERROR(__xludf.DUMMYFUNCTION("""COMPUTED_VALUE"""),1.130318279175437)</f>
        <v>1.130318279</v>
      </c>
      <c r="AP194" s="35">
        <f>IFERROR(__xludf.DUMMYFUNCTION("""COMPUTED_VALUE"""),1.009066532312266)</f>
        <v>1.009066532</v>
      </c>
      <c r="AQ194" s="57">
        <f>IFERROR(__xludf.DUMMYFUNCTION("""COMPUTED_VALUE"""),0.9246321238722957)</f>
        <v>0.9246321239</v>
      </c>
      <c r="AR194" s="36" t="b">
        <f>IFERROR(__xludf.DUMMYFUNCTION("""COMPUTED_VALUE"""),TRUE)</f>
        <v>1</v>
      </c>
      <c r="AS194" s="57"/>
      <c r="AT194" s="37"/>
      <c r="AU194" s="30"/>
      <c r="AV194" s="30"/>
      <c r="AW194" s="30"/>
      <c r="AX194" s="30"/>
      <c r="AY194" s="30"/>
      <c r="AZ194" s="30"/>
    </row>
    <row r="195">
      <c r="A195" s="30" t="str">
        <f>IFERROR(__xludf.DUMMYFUNCTION("""COMPUTED_VALUE"""),"Contender")</f>
        <v>Contender</v>
      </c>
      <c r="B195" s="30" t="str">
        <f>IFERROR(__xludf.DUMMYFUNCTION("""COMPUTED_VALUE"""),"RSC006779")</f>
        <v>RSC006779</v>
      </c>
      <c r="C195" s="30" t="str">
        <f>IFERROR(__xludf.DUMMYFUNCTION("""COMPUTED_VALUE"""),"I am CANDYMAN")</f>
        <v>I am CANDYMAN</v>
      </c>
      <c r="D195" s="31"/>
      <c r="E195" s="31">
        <f>IFERROR(__xludf.DUMMYFUNCTION("""COMPUTED_VALUE"""),38.18783897239469)</f>
        <v>38.18783897</v>
      </c>
      <c r="F195" s="31">
        <f>IFERROR(__xludf.DUMMYFUNCTION("""COMPUTED_VALUE"""),-3.1417908223029754)</f>
        <v>-3.141790822</v>
      </c>
      <c r="G195" s="31">
        <f>IFERROR(__xludf.DUMMYFUNCTION("""COMPUTED_VALUE"""),39.137038068853485)</f>
        <v>39.13703807</v>
      </c>
      <c r="H195" s="31">
        <f>IFERROR(__xludf.DUMMYFUNCTION("""COMPUTED_VALUE"""),-3.0124475229278533)</f>
        <v>-3.012447523</v>
      </c>
      <c r="I195" s="54">
        <f>IFERROR(__xludf.DUMMYFUNCTION("""COMPUTED_VALUE"""),4.0)</f>
        <v>4</v>
      </c>
      <c r="J195" s="55">
        <f>IFERROR(__xludf.DUMMYFUNCTION("""COMPUTED_VALUE"""),2.0)</f>
        <v>2</v>
      </c>
      <c r="K195" s="54">
        <f>IFERROR(__xludf.DUMMYFUNCTION("""COMPUTED_VALUE"""),2.0)</f>
        <v>2</v>
      </c>
      <c r="L195" s="56">
        <f>IFERROR(__xludf.DUMMYFUNCTION("""COMPUTED_VALUE"""),0.5)</f>
        <v>0.5</v>
      </c>
      <c r="M195" s="56">
        <f>IFERROR(__xludf.DUMMYFUNCTION("""COMPUTED_VALUE"""),0.4444444444444444)</f>
        <v>0.4444444444</v>
      </c>
      <c r="N195" s="31">
        <f>IFERROR(__xludf.DUMMYFUNCTION("""COMPUTED_VALUE"""),281.25)</f>
        <v>281.25</v>
      </c>
      <c r="O195" s="57">
        <f>IFERROR(__xludf.DUMMYFUNCTION("""COMPUTED_VALUE"""),1.0)</f>
        <v>1</v>
      </c>
      <c r="P195" s="57">
        <f>IFERROR(__xludf.DUMMYFUNCTION("""COMPUTED_VALUE"""),0.25)</f>
        <v>0.25</v>
      </c>
      <c r="Q195" s="57">
        <f>IFERROR(__xludf.DUMMYFUNCTION("""COMPUTED_VALUE"""),0.5)</f>
        <v>0.5</v>
      </c>
      <c r="R195" s="57">
        <f>IFERROR(__xludf.DUMMYFUNCTION("""COMPUTED_VALUE"""),2.25)</f>
        <v>2.25</v>
      </c>
      <c r="S195" s="31">
        <f>IFERROR(__xludf.DUMMYFUNCTION("""COMPUTED_VALUE"""),336.33333333333337)</f>
        <v>336.3333333</v>
      </c>
      <c r="T195" s="57">
        <f>IFERROR(__xludf.DUMMYFUNCTION("""COMPUTED_VALUE"""),0.8333333333333334)</f>
        <v>0.8333333333</v>
      </c>
      <c r="U195" s="57">
        <f>IFERROR(__xludf.DUMMYFUNCTION("""COMPUTED_VALUE"""),0.5833333333333334)</f>
        <v>0.5833333333</v>
      </c>
      <c r="V195" s="57">
        <f>IFERROR(__xludf.DUMMYFUNCTION("""COMPUTED_VALUE"""),1.0)</f>
        <v>1</v>
      </c>
      <c r="W195" s="57">
        <f>IFERROR(__xludf.DUMMYFUNCTION("""COMPUTED_VALUE"""),2.5)</f>
        <v>2.5</v>
      </c>
      <c r="X195" s="31">
        <f>IFERROR(__xludf.DUMMYFUNCTION("""COMPUTED_VALUE"""),311.7377508441338)</f>
        <v>311.7377508</v>
      </c>
      <c r="Y195" s="57">
        <f>IFERROR(__xludf.DUMMYFUNCTION("""COMPUTED_VALUE"""),0.6821191076510226)</f>
        <v>0.6821191077</v>
      </c>
      <c r="Z195" s="57">
        <f>IFERROR(__xludf.DUMMYFUNCTION("""COMPUTED_VALUE"""),0.4678541061519785)</f>
        <v>0.4678541062</v>
      </c>
      <c r="AA195" s="57">
        <f>IFERROR(__xludf.DUMMYFUNCTION("""COMPUTED_VALUE"""),1.1336262612858359)</f>
        <v>1.133626261</v>
      </c>
      <c r="AB195" s="57">
        <f>IFERROR(__xludf.DUMMYFUNCTION("""COMPUTED_VALUE"""),2.1468571681337636)</f>
        <v>2.146857168</v>
      </c>
      <c r="AC195" s="31">
        <f>IFERROR(__xludf.DUMMYFUNCTION("""COMPUTED_VALUE"""),322.7897684918962)</f>
        <v>322.7897685</v>
      </c>
      <c r="AD195" s="57">
        <f>IFERROR(__xludf.DUMMYFUNCTION("""COMPUTED_VALUE"""),0.84153056493482)</f>
        <v>0.8415305649</v>
      </c>
      <c r="AE195" s="57">
        <f>IFERROR(__xludf.DUMMYFUNCTION("""COMPUTED_VALUE"""),0.5712308052733585)</f>
        <v>0.5712308053</v>
      </c>
      <c r="AF195" s="57">
        <f>IFERROR(__xludf.DUMMYFUNCTION("""COMPUTED_VALUE"""),0.9755614861997839)</f>
        <v>0.9755614862</v>
      </c>
      <c r="AG195" s="57">
        <f>IFERROR(__xludf.DUMMYFUNCTION("""COMPUTED_VALUE"""),2.314327420710399)</f>
        <v>2.314327421</v>
      </c>
      <c r="AH195" s="57">
        <f>IFERROR(__xludf.DUMMYFUNCTION("""COMPUTED_VALUE"""),0.8713101450334877)</f>
        <v>0.871310145</v>
      </c>
      <c r="AI195" s="57">
        <f>IFERROR(__xludf.DUMMYFUNCTION("""COMPUTED_VALUE"""),1.1883109677394237)</f>
        <v>1.188310968</v>
      </c>
      <c r="AJ195" s="57">
        <f>IFERROR(__xludf.DUMMYFUNCTION("""COMPUTED_VALUE"""),0.4376514671339622)</f>
        <v>0.4376514671</v>
      </c>
      <c r="AK195" s="57">
        <f>IFERROR(__xludf.DUMMYFUNCTION("""COMPUTED_VALUE"""),0.5125253580353065)</f>
        <v>0.512525358</v>
      </c>
      <c r="AL195" s="57">
        <f>IFERROR(__xludf.DUMMYFUNCTION("""COMPUTED_VALUE"""),0.9722047018348626)</f>
        <v>0.9722047018</v>
      </c>
      <c r="AM195" s="57">
        <f>IFERROR(__xludf.DUMMYFUNCTION("""COMPUTED_VALUE"""),1.0788983125162057)</f>
        <v>1.078898313</v>
      </c>
      <c r="AN195" s="57">
        <f>IFERROR(__xludf.DUMMYFUNCTION("""COMPUTED_VALUE"""),1.2216830227832778)</f>
        <v>1.221683023</v>
      </c>
      <c r="AO195" s="57">
        <f>IFERROR(__xludf.DUMMYFUNCTION("""COMPUTED_VALUE"""),1.2468274311647112)</f>
        <v>1.246827431</v>
      </c>
      <c r="AP195" s="35">
        <f>IFERROR(__xludf.DUMMYFUNCTION("""COMPUTED_VALUE"""),0.8821249420119573)</f>
        <v>0.882124942</v>
      </c>
      <c r="AQ195" s="57">
        <f>IFERROR(__xludf.DUMMYFUNCTION("""COMPUTED_VALUE"""),1.164492932789385)</f>
        <v>1.164492933</v>
      </c>
      <c r="AR195" s="36" t="b">
        <f>IFERROR(__xludf.DUMMYFUNCTION("""COMPUTED_VALUE"""),TRUE)</f>
        <v>1</v>
      </c>
      <c r="AS195" s="57"/>
      <c r="AT195" s="37"/>
      <c r="AU195" s="30"/>
      <c r="AV195" s="30"/>
      <c r="AW195" s="30"/>
      <c r="AX195" s="30"/>
      <c r="AY195" s="30"/>
      <c r="AZ195" s="30"/>
    </row>
    <row r="196">
      <c r="A196" s="30" t="str">
        <f>IFERROR(__xludf.DUMMYFUNCTION("""COMPUTED_VALUE"""),"Contender")</f>
        <v>Contender</v>
      </c>
      <c r="B196" s="30" t="str">
        <f>IFERROR(__xludf.DUMMYFUNCTION("""COMPUTED_VALUE"""),"RSC000086")</f>
        <v>RSC000086</v>
      </c>
      <c r="C196" s="30" t="str">
        <f>IFERROR(__xludf.DUMMYFUNCTION("""COMPUTED_VALUE"""),"Stale Popcorn")</f>
        <v>Stale Popcorn</v>
      </c>
      <c r="D196" s="31"/>
      <c r="E196" s="31">
        <f>IFERROR(__xludf.DUMMYFUNCTION("""COMPUTED_VALUE"""),36.46233352709123)</f>
        <v>36.46233353</v>
      </c>
      <c r="F196" s="31">
        <f>IFERROR(__xludf.DUMMYFUNCTION("""COMPUTED_VALUE"""),-3.400444453154608)</f>
        <v>-3.400444453</v>
      </c>
      <c r="G196" s="31">
        <f>IFERROR(__xludf.DUMMYFUNCTION("""COMPUTED_VALUE"""),43.91655517462086)</f>
        <v>43.91655517</v>
      </c>
      <c r="H196" s="31">
        <f>IFERROR(__xludf.DUMMYFUNCTION("""COMPUTED_VALUE"""),-2.476032839384072)</f>
        <v>-2.476032839</v>
      </c>
      <c r="I196" s="54">
        <f>IFERROR(__xludf.DUMMYFUNCTION("""COMPUTED_VALUE"""),38.0)</f>
        <v>38</v>
      </c>
      <c r="J196" s="55">
        <f>IFERROR(__xludf.DUMMYFUNCTION("""COMPUTED_VALUE"""),13.0)</f>
        <v>13</v>
      </c>
      <c r="K196" s="54">
        <f>IFERROR(__xludf.DUMMYFUNCTION("""COMPUTED_VALUE"""),25.0)</f>
        <v>25</v>
      </c>
      <c r="L196" s="56">
        <f>IFERROR(__xludf.DUMMYFUNCTION("""COMPUTED_VALUE"""),0.34210526315789475)</f>
        <v>0.3421052632</v>
      </c>
      <c r="M196" s="56">
        <f>IFERROR(__xludf.DUMMYFUNCTION("""COMPUTED_VALUE"""),0.28750000000000003)</f>
        <v>0.2875</v>
      </c>
      <c r="N196" s="31">
        <f>IFERROR(__xludf.DUMMYFUNCTION("""COMPUTED_VALUE"""),298.5263157894737)</f>
        <v>298.5263158</v>
      </c>
      <c r="O196" s="57">
        <f>IFERROR(__xludf.DUMMYFUNCTION("""COMPUTED_VALUE"""),0.6052631578947368)</f>
        <v>0.6052631579</v>
      </c>
      <c r="P196" s="57">
        <f>IFERROR(__xludf.DUMMYFUNCTION("""COMPUTED_VALUE"""),0.2894736842105263)</f>
        <v>0.2894736842</v>
      </c>
      <c r="Q196" s="57">
        <f>IFERROR(__xludf.DUMMYFUNCTION("""COMPUTED_VALUE"""),1.131578947368421)</f>
        <v>1.131578947</v>
      </c>
      <c r="R196" s="57">
        <f>IFERROR(__xludf.DUMMYFUNCTION("""COMPUTED_VALUE"""),2.1052631578947367)</f>
        <v>2.105263158</v>
      </c>
      <c r="S196" s="31">
        <f>IFERROR(__xludf.DUMMYFUNCTION("""COMPUTED_VALUE"""),320.3245614035088)</f>
        <v>320.3245614</v>
      </c>
      <c r="T196" s="57">
        <f>IFERROR(__xludf.DUMMYFUNCTION("""COMPUTED_VALUE"""),0.8684210526315788)</f>
        <v>0.8684210526</v>
      </c>
      <c r="U196" s="57">
        <f>IFERROR(__xludf.DUMMYFUNCTION("""COMPUTED_VALUE"""),0.48245614035087725)</f>
        <v>0.4824561404</v>
      </c>
      <c r="V196" s="57">
        <f>IFERROR(__xludf.DUMMYFUNCTION("""COMPUTED_VALUE"""),0.8771929824561402)</f>
        <v>0.8771929825</v>
      </c>
      <c r="W196" s="57">
        <f>IFERROR(__xludf.DUMMYFUNCTION("""COMPUTED_VALUE"""),2.4035087719298245)</f>
        <v>2.403508772</v>
      </c>
      <c r="X196" s="31">
        <f>IFERROR(__xludf.DUMMYFUNCTION("""COMPUTED_VALUE"""),337.06014122408516)</f>
        <v>337.0601412</v>
      </c>
      <c r="Y196" s="57">
        <f>IFERROR(__xludf.DUMMYFUNCTION("""COMPUTED_VALUE"""),0.8663302837098428)</f>
        <v>0.8663302837</v>
      </c>
      <c r="Z196" s="57">
        <f>IFERROR(__xludf.DUMMYFUNCTION("""COMPUTED_VALUE"""),0.5722288027295165)</f>
        <v>0.5722288027</v>
      </c>
      <c r="AA196" s="57">
        <f>IFERROR(__xludf.DUMMYFUNCTION("""COMPUTED_VALUE"""),1.100511921071319)</f>
        <v>1.100511921</v>
      </c>
      <c r="AB196" s="57">
        <f>IFERROR(__xludf.DUMMYFUNCTION("""COMPUTED_VALUE"""),2.3125063739943656)</f>
        <v>2.312506374</v>
      </c>
      <c r="AC196" s="31">
        <f>IFERROR(__xludf.DUMMYFUNCTION("""COMPUTED_VALUE"""),320.0438415213227)</f>
        <v>320.0438415</v>
      </c>
      <c r="AD196" s="57">
        <f>IFERROR(__xludf.DUMMYFUNCTION("""COMPUTED_VALUE"""),0.7752078915744837)</f>
        <v>0.7752078916</v>
      </c>
      <c r="AE196" s="57">
        <f>IFERROR(__xludf.DUMMYFUNCTION("""COMPUTED_VALUE"""),0.532072075214546)</f>
        <v>0.5320720752</v>
      </c>
      <c r="AF196" s="57">
        <f>IFERROR(__xludf.DUMMYFUNCTION("""COMPUTED_VALUE"""),1.0608309698222504)</f>
        <v>1.06083097</v>
      </c>
      <c r="AG196" s="57">
        <f>IFERROR(__xludf.DUMMYFUNCTION("""COMPUTED_VALUE"""),2.255561739903613)</f>
        <v>2.25556174</v>
      </c>
      <c r="AH196" s="57">
        <f>IFERROR(__xludf.DUMMYFUNCTION("""COMPUTED_VALUE"""),0.9327669433363698)</f>
        <v>0.9327669433</v>
      </c>
      <c r="AI196" s="57">
        <f>IFERROR(__xludf.DUMMYFUNCTION("""COMPUTED_VALUE"""),0.7807752790872896)</f>
        <v>0.7807752791</v>
      </c>
      <c r="AJ196" s="57">
        <f>IFERROR(__xludf.DUMMYFUNCTION("""COMPUTED_VALUE"""),0.5440497588485594)</f>
        <v>0.5440497588</v>
      </c>
      <c r="AK196" s="57">
        <f>IFERROR(__xludf.DUMMYFUNCTION("""COMPUTED_VALUE"""),1.0666910936414544)</f>
        <v>1.066691094</v>
      </c>
      <c r="AL196" s="57">
        <f>IFERROR(__xludf.DUMMYFUNCTION("""COMPUTED_VALUE"""),0.9333653433865662)</f>
        <v>0.9333653434</v>
      </c>
      <c r="AM196" s="57">
        <f>IFERROR(__xludf.DUMMYFUNCTION("""COMPUTED_VALUE"""),0.9503483866119603)</f>
        <v>0.9503483866</v>
      </c>
      <c r="AN196" s="57">
        <f>IFERROR(__xludf.DUMMYFUNCTION("""COMPUTED_VALUE"""),1.0024133623873597)</f>
        <v>1.002413362</v>
      </c>
      <c r="AO196" s="57">
        <f>IFERROR(__xludf.DUMMYFUNCTION("""COMPUTED_VALUE"""),0.843117539784041)</f>
        <v>0.8431175398</v>
      </c>
      <c r="AP196" s="35">
        <f>IFERROR(__xludf.DUMMYFUNCTION("""COMPUTED_VALUE"""),0.7970772198471201)</f>
        <v>0.7970772198</v>
      </c>
      <c r="AQ196" s="57">
        <f>IFERROR(__xludf.DUMMYFUNCTION("""COMPUTED_VALUE"""),1.0393522798288644)</f>
        <v>1.03935228</v>
      </c>
      <c r="AR196" s="36" t="b">
        <f>IFERROR(__xludf.DUMMYFUNCTION("""COMPUTED_VALUE"""),TRUE)</f>
        <v>1</v>
      </c>
      <c r="AS196" s="57"/>
      <c r="AT196" s="37"/>
      <c r="AU196" s="30"/>
      <c r="AV196" s="30"/>
      <c r="AW196" s="30"/>
      <c r="AX196" s="30"/>
      <c r="AY196" s="30"/>
      <c r="AZ196" s="30"/>
    </row>
    <row r="197">
      <c r="A197" s="30" t="str">
        <f>IFERROR(__xludf.DUMMYFUNCTION("""COMPUTED_VALUE"""),"Contender")</f>
        <v>Contender</v>
      </c>
      <c r="B197" s="30" t="str">
        <f>IFERROR(__xludf.DUMMYFUNCTION("""COMPUTED_VALUE"""),"RSC005870")</f>
        <v>RSC005870</v>
      </c>
      <c r="C197" s="30" t="str">
        <f>IFERROR(__xludf.DUMMYFUNCTION("""COMPUTED_VALUE"""),"Evil twin")</f>
        <v>Evil twin</v>
      </c>
      <c r="D197" s="31" t="str">
        <f>IFERROR(__xludf.DUMMYFUNCTION("""COMPUTED_VALUE"""),"Toothpaste")</f>
        <v>Toothpaste</v>
      </c>
      <c r="E197" s="31">
        <f>IFERROR(__xludf.DUMMYFUNCTION("""COMPUTED_VALUE"""),35.41900590418805)</f>
        <v>35.4190059</v>
      </c>
      <c r="F197" s="31">
        <f>IFERROR(__xludf.DUMMYFUNCTION("""COMPUTED_VALUE"""),-3.5731391721726626)</f>
        <v>-3.573139172</v>
      </c>
      <c r="G197" s="31">
        <f>IFERROR(__xludf.DUMMYFUNCTION("""COMPUTED_VALUE"""),38.5964434808315)</f>
        <v>38.59644348</v>
      </c>
      <c r="H197" s="31">
        <f>IFERROR(__xludf.DUMMYFUNCTION("""COMPUTED_VALUE"""),-3.0850501323342674)</f>
        <v>-3.085050132</v>
      </c>
      <c r="I197" s="54">
        <f>IFERROR(__xludf.DUMMYFUNCTION("""COMPUTED_VALUE"""),35.0)</f>
        <v>35</v>
      </c>
      <c r="J197" s="55">
        <f>IFERROR(__xludf.DUMMYFUNCTION("""COMPUTED_VALUE"""),11.0)</f>
        <v>11</v>
      </c>
      <c r="K197" s="54">
        <f>IFERROR(__xludf.DUMMYFUNCTION("""COMPUTED_VALUE"""),24.0)</f>
        <v>24</v>
      </c>
      <c r="L197" s="56">
        <f>IFERROR(__xludf.DUMMYFUNCTION("""COMPUTED_VALUE"""),0.3142857142857143)</f>
        <v>0.3142857143</v>
      </c>
      <c r="M197" s="56">
        <f>IFERROR(__xludf.DUMMYFUNCTION("""COMPUTED_VALUE"""),0.3188405797101449)</f>
        <v>0.3188405797</v>
      </c>
      <c r="N197" s="31">
        <f>IFERROR(__xludf.DUMMYFUNCTION("""COMPUTED_VALUE"""),277.14285714285717)</f>
        <v>277.1428571</v>
      </c>
      <c r="O197" s="57">
        <f>IFERROR(__xludf.DUMMYFUNCTION("""COMPUTED_VALUE"""),0.6285714285714286)</f>
        <v>0.6285714286</v>
      </c>
      <c r="P197" s="57">
        <f>IFERROR(__xludf.DUMMYFUNCTION("""COMPUTED_VALUE"""),0.4)</f>
        <v>0.4</v>
      </c>
      <c r="Q197" s="57">
        <f>IFERROR(__xludf.DUMMYFUNCTION("""COMPUTED_VALUE"""),1.0)</f>
        <v>1</v>
      </c>
      <c r="R197" s="57">
        <f>IFERROR(__xludf.DUMMYFUNCTION("""COMPUTED_VALUE"""),1.9714285714285715)</f>
        <v>1.971428571</v>
      </c>
      <c r="S197" s="31">
        <f>IFERROR(__xludf.DUMMYFUNCTION("""COMPUTED_VALUE"""),346.99047619047616)</f>
        <v>346.9904762</v>
      </c>
      <c r="T197" s="57">
        <f>IFERROR(__xludf.DUMMYFUNCTION("""COMPUTED_VALUE"""),1.0285714285714285)</f>
        <v>1.028571429</v>
      </c>
      <c r="U197" s="57">
        <f>IFERROR(__xludf.DUMMYFUNCTION("""COMPUTED_VALUE"""),0.638095238095238)</f>
        <v>0.6380952381</v>
      </c>
      <c r="V197" s="57">
        <f>IFERROR(__xludf.DUMMYFUNCTION("""COMPUTED_VALUE"""),0.8952380952380953)</f>
        <v>0.8952380952</v>
      </c>
      <c r="W197" s="57">
        <f>IFERROR(__xludf.DUMMYFUNCTION("""COMPUTED_VALUE"""),2.3999999999999995)</f>
        <v>2.4</v>
      </c>
      <c r="X197" s="31">
        <f>IFERROR(__xludf.DUMMYFUNCTION("""COMPUTED_VALUE"""),335.5783511174617)</f>
        <v>335.5783511</v>
      </c>
      <c r="Y197" s="57">
        <f>IFERROR(__xludf.DUMMYFUNCTION("""COMPUTED_VALUE"""),0.8466184040573537)</f>
        <v>0.8466184041</v>
      </c>
      <c r="Z197" s="57">
        <f>IFERROR(__xludf.DUMMYFUNCTION("""COMPUTED_VALUE"""),0.5724833076469118)</f>
        <v>0.5724833076</v>
      </c>
      <c r="AA197" s="57">
        <f>IFERROR(__xludf.DUMMYFUNCTION("""COMPUTED_VALUE"""),1.095591329987159)</f>
        <v>1.09559133</v>
      </c>
      <c r="AB197" s="57">
        <f>IFERROR(__xludf.DUMMYFUNCTION("""COMPUTED_VALUE"""),2.3276908596543753)</f>
        <v>2.32769086</v>
      </c>
      <c r="AC197" s="31">
        <f>IFERROR(__xludf.DUMMYFUNCTION("""COMPUTED_VALUE"""),321.02441583149573)</f>
        <v>321.0244158</v>
      </c>
      <c r="AD197" s="57">
        <f>IFERROR(__xludf.DUMMYFUNCTION("""COMPUTED_VALUE"""),0.7821781556413832)</f>
        <v>0.7821781556</v>
      </c>
      <c r="AE197" s="57">
        <f>IFERROR(__xludf.DUMMYFUNCTION("""COMPUTED_VALUE"""),0.5325730405020365)</f>
        <v>0.5325730405</v>
      </c>
      <c r="AF197" s="57">
        <f>IFERROR(__xludf.DUMMYFUNCTION("""COMPUTED_VALUE"""),1.0745894848550368)</f>
        <v>1.074589485</v>
      </c>
      <c r="AG197" s="57">
        <f>IFERROR(__xludf.DUMMYFUNCTION("""COMPUTED_VALUE"""),2.239906387692408)</f>
        <v>2.239906388</v>
      </c>
      <c r="AH197" s="57">
        <f>IFERROR(__xludf.DUMMYFUNCTION("""COMPUTED_VALUE"""),0.8633077220155373)</f>
        <v>0.863307722</v>
      </c>
      <c r="AI197" s="57">
        <f>IFERROR(__xludf.DUMMYFUNCTION("""COMPUTED_VALUE"""),0.8036167004127114)</f>
        <v>0.8036167004</v>
      </c>
      <c r="AJ197" s="57">
        <f>IFERROR(__xludf.DUMMYFUNCTION("""COMPUTED_VALUE"""),0.751070688112442)</f>
        <v>0.7510706881</v>
      </c>
      <c r="AK197" s="57">
        <f>IFERROR(__xludf.DUMMYFUNCTION("""COMPUTED_VALUE"""),0.9305879259882215)</f>
        <v>0.930587926</v>
      </c>
      <c r="AL197" s="57">
        <f>IFERROR(__xludf.DUMMYFUNCTION("""COMPUTED_VALUE"""),0.8801388228815995)</f>
        <v>0.8801388229</v>
      </c>
      <c r="AM197" s="57">
        <f>IFERROR(__xludf.DUMMYFUNCTION("""COMPUTED_VALUE"""),1.0340073340101128)</f>
        <v>1.034007334</v>
      </c>
      <c r="AN197" s="57">
        <f>IFERROR(__xludf.DUMMYFUNCTION("""COMPUTED_VALUE"""),1.2149173980179016)</f>
        <v>1.214917398</v>
      </c>
      <c r="AO197" s="57">
        <f>IFERROR(__xludf.DUMMYFUNCTION("""COMPUTED_VALUE"""),1.114609333707933)</f>
        <v>1.114609334</v>
      </c>
      <c r="AP197" s="35">
        <f>IFERROR(__xludf.DUMMYFUNCTION("""COMPUTED_VALUE"""),0.8171277653763361)</f>
        <v>0.8171277654</v>
      </c>
      <c r="AQ197" s="57">
        <f>IFERROR(__xludf.DUMMYFUNCTION("""COMPUTED_VALUE"""),1.0310647524544394)</f>
        <v>1.031064752</v>
      </c>
      <c r="AR197" s="36" t="b">
        <f>IFERROR(__xludf.DUMMYFUNCTION("""COMPUTED_VALUE"""),TRUE)</f>
        <v>1</v>
      </c>
      <c r="AS197" s="57"/>
      <c r="AT197" s="37"/>
      <c r="AU197" s="30"/>
      <c r="AV197" s="30"/>
      <c r="AW197" s="30"/>
      <c r="AX197" s="30"/>
      <c r="AY197" s="30"/>
      <c r="AZ197" s="30"/>
    </row>
    <row r="198">
      <c r="A198" s="30" t="str">
        <f>IFERROR(__xludf.DUMMYFUNCTION("""COMPUTED_VALUE"""),"Contender")</f>
        <v>Contender</v>
      </c>
      <c r="B198" s="30" t="str">
        <f>IFERROR(__xludf.DUMMYFUNCTION("""COMPUTED_VALUE"""),"RSC006784")</f>
        <v>RSC006784</v>
      </c>
      <c r="C198" s="30" t="str">
        <f>IFERROR(__xludf.DUMMYFUNCTION("""COMPUTED_VALUE"""),"KittyMeowMeow360")</f>
        <v>KittyMeowMeow360</v>
      </c>
      <c r="D198" s="31" t="str">
        <f>IFERROR(__xludf.DUMMYFUNCTION("""COMPUTED_VALUE"""),"Legionaries")</f>
        <v>Legionaries</v>
      </c>
      <c r="E198" s="31">
        <f>IFERROR(__xludf.DUMMYFUNCTION("""COMPUTED_VALUE"""),35.31178755004207)</f>
        <v>35.31178755</v>
      </c>
      <c r="F198" s="31">
        <f>IFERROR(__xludf.DUMMYFUNCTION("""COMPUTED_VALUE"""),-3.5916391309888054)</f>
        <v>-3.591639131</v>
      </c>
      <c r="G198" s="31">
        <f>IFERROR(__xludf.DUMMYFUNCTION("""COMPUTED_VALUE"""),34.949109679835296)</f>
        <v>34.94910968</v>
      </c>
      <c r="H198" s="31">
        <f>IFERROR(__xludf.DUMMYFUNCTION("""COMPUTED_VALUE"""),-3.655301874776586)</f>
        <v>-3.655301875</v>
      </c>
      <c r="I198" s="54">
        <f>IFERROR(__xludf.DUMMYFUNCTION("""COMPUTED_VALUE"""),43.0)</f>
        <v>43</v>
      </c>
      <c r="J198" s="55">
        <f>IFERROR(__xludf.DUMMYFUNCTION("""COMPUTED_VALUE"""),17.0)</f>
        <v>17</v>
      </c>
      <c r="K198" s="54">
        <f>IFERROR(__xludf.DUMMYFUNCTION("""COMPUTED_VALUE"""),26.0)</f>
        <v>26</v>
      </c>
      <c r="L198" s="56">
        <f>IFERROR(__xludf.DUMMYFUNCTION("""COMPUTED_VALUE"""),0.3953488372093023)</f>
        <v>0.3953488372</v>
      </c>
      <c r="M198" s="56">
        <f>IFERROR(__xludf.DUMMYFUNCTION("""COMPUTED_VALUE"""),0.3023255813953488)</f>
        <v>0.3023255814</v>
      </c>
      <c r="N198" s="31">
        <f>IFERROR(__xludf.DUMMYFUNCTION("""COMPUTED_VALUE"""),312.04651162790697)</f>
        <v>312.0465116</v>
      </c>
      <c r="O198" s="57">
        <f>IFERROR(__xludf.DUMMYFUNCTION("""COMPUTED_VALUE"""),0.6046511627906976)</f>
        <v>0.6046511628</v>
      </c>
      <c r="P198" s="57">
        <f>IFERROR(__xludf.DUMMYFUNCTION("""COMPUTED_VALUE"""),0.3488372093023256)</f>
        <v>0.3488372093</v>
      </c>
      <c r="Q198" s="57">
        <f>IFERROR(__xludf.DUMMYFUNCTION("""COMPUTED_VALUE"""),1.3488372093023255)</f>
        <v>1.348837209</v>
      </c>
      <c r="R198" s="57">
        <f>IFERROR(__xludf.DUMMYFUNCTION("""COMPUTED_VALUE"""),2.0)</f>
        <v>2</v>
      </c>
      <c r="S198" s="31">
        <f>IFERROR(__xludf.DUMMYFUNCTION("""COMPUTED_VALUE"""),348.2790697674419)</f>
        <v>348.2790698</v>
      </c>
      <c r="T198" s="57">
        <f>IFERROR(__xludf.DUMMYFUNCTION("""COMPUTED_VALUE"""),0.9612403100775194)</f>
        <v>0.9612403101</v>
      </c>
      <c r="U198" s="57">
        <f>IFERROR(__xludf.DUMMYFUNCTION("""COMPUTED_VALUE"""),0.6356589147286821)</f>
        <v>0.6356589147</v>
      </c>
      <c r="V198" s="57">
        <f>IFERROR(__xludf.DUMMYFUNCTION("""COMPUTED_VALUE"""),0.9767441860465113)</f>
        <v>0.976744186</v>
      </c>
      <c r="W198" s="57">
        <f>IFERROR(__xludf.DUMMYFUNCTION("""COMPUTED_VALUE"""),2.7209302325581395)</f>
        <v>2.720930233</v>
      </c>
      <c r="X198" s="31">
        <f>IFERROR(__xludf.DUMMYFUNCTION("""COMPUTED_VALUE"""),337.1724325750962)</f>
        <v>337.1724326</v>
      </c>
      <c r="Y198" s="57">
        <f>IFERROR(__xludf.DUMMYFUNCTION("""COMPUTED_VALUE"""),0.8746119350386466)</f>
        <v>0.874611935</v>
      </c>
      <c r="Z198" s="57">
        <f>IFERROR(__xludf.DUMMYFUNCTION("""COMPUTED_VALUE"""),0.5823816666784536)</f>
        <v>0.5823816667</v>
      </c>
      <c r="AA198" s="57">
        <f>IFERROR(__xludf.DUMMYFUNCTION("""COMPUTED_VALUE"""),1.0629560125097677)</f>
        <v>1.062956013</v>
      </c>
      <c r="AB198" s="57">
        <f>IFERROR(__xludf.DUMMYFUNCTION("""COMPUTED_VALUE"""),2.4067113827534485)</f>
        <v>2.406711383</v>
      </c>
      <c r="AC198" s="31">
        <f>IFERROR(__xludf.DUMMYFUNCTION("""COMPUTED_VALUE"""),325.2165613307123)</f>
        <v>325.2165613</v>
      </c>
      <c r="AD198" s="57">
        <f>IFERROR(__xludf.DUMMYFUNCTION("""COMPUTED_VALUE"""),0.8067788930885357)</f>
        <v>0.8067788931</v>
      </c>
      <c r="AE198" s="57">
        <f>IFERROR(__xludf.DUMMYFUNCTION("""COMPUTED_VALUE"""),0.5305760138940682)</f>
        <v>0.5305760139</v>
      </c>
      <c r="AF198" s="57">
        <f>IFERROR(__xludf.DUMMYFUNCTION("""COMPUTED_VALUE"""),1.0826323160017355)</f>
        <v>1.082632316</v>
      </c>
      <c r="AG198" s="57">
        <f>IFERROR(__xludf.DUMMYFUNCTION("""COMPUTED_VALUE"""),2.2344737441527682)</f>
        <v>2.234473744</v>
      </c>
      <c r="AH198" s="57">
        <f>IFERROR(__xludf.DUMMYFUNCTION("""COMPUTED_VALUE"""),0.9595037545169395)</f>
        <v>0.9595037545</v>
      </c>
      <c r="AI198" s="57">
        <f>IFERROR(__xludf.DUMMYFUNCTION("""COMPUTED_VALUE"""),0.7494632891001319)</f>
        <v>0.7494632891</v>
      </c>
      <c r="AJ198" s="57">
        <f>IFERROR(__xludf.DUMMYFUNCTION("""COMPUTED_VALUE"""),0.6574688643425416)</f>
        <v>0.6574688643</v>
      </c>
      <c r="AK198" s="57">
        <f>IFERROR(__xludf.DUMMYFUNCTION("""COMPUTED_VALUE"""),1.245886705362454)</f>
        <v>1.245886705</v>
      </c>
      <c r="AL198" s="57">
        <f>IFERROR(__xludf.DUMMYFUNCTION("""COMPUTED_VALUE"""),0.8950653393147512)</f>
        <v>0.8950653393</v>
      </c>
      <c r="AM198" s="57">
        <f>IFERROR(__xludf.DUMMYFUNCTION("""COMPUTED_VALUE"""),1.0329405257349205)</f>
        <v>1.032940526</v>
      </c>
      <c r="AN198" s="57">
        <f>IFERROR(__xludf.DUMMYFUNCTION("""COMPUTED_VALUE"""),1.09904778515862)</f>
        <v>1.099047785</v>
      </c>
      <c r="AO198" s="57">
        <f>IFERROR(__xludf.DUMMYFUNCTION("""COMPUTED_VALUE"""),1.0914816710390096)</f>
        <v>1.091481671</v>
      </c>
      <c r="AP198" s="35">
        <f>IFERROR(__xludf.DUMMYFUNCTION("""COMPUTED_VALUE"""),0.9188942670734794)</f>
        <v>0.9188942671</v>
      </c>
      <c r="AQ198" s="57">
        <f>IFERROR(__xludf.DUMMYFUNCTION("""COMPUTED_VALUE"""),1.1305594231432945)</f>
        <v>1.130559423</v>
      </c>
      <c r="AR198" s="36" t="b">
        <f>IFERROR(__xludf.DUMMYFUNCTION("""COMPUTED_VALUE"""),TRUE)</f>
        <v>1</v>
      </c>
      <c r="AS198" s="57"/>
      <c r="AT198" s="37"/>
      <c r="AU198" s="30"/>
      <c r="AV198" s="30"/>
      <c r="AW198" s="30"/>
      <c r="AX198" s="30"/>
      <c r="AY198" s="30"/>
      <c r="AZ198" s="30"/>
    </row>
    <row r="199">
      <c r="A199" s="30" t="str">
        <f>IFERROR(__xludf.DUMMYFUNCTION("""COMPUTED_VALUE"""),"Contender")</f>
        <v>Contender</v>
      </c>
      <c r="B199" s="30" t="str">
        <f>IFERROR(__xludf.DUMMYFUNCTION("""COMPUTED_VALUE"""),"RSC003153")</f>
        <v>RSC003153</v>
      </c>
      <c r="C199" s="30" t="str">
        <f>IFERROR(__xludf.DUMMYFUNCTION("""COMPUTED_VALUE"""),"Theman")</f>
        <v>Theman</v>
      </c>
      <c r="D199" s="31" t="str">
        <f>IFERROR(__xludf.DUMMYFUNCTION("""COMPUTED_VALUE"""),"Clover")</f>
        <v>Clover</v>
      </c>
      <c r="E199" s="31">
        <f>IFERROR(__xludf.DUMMYFUNCTION("""COMPUTED_VALUE"""),34.9589055449574)</f>
        <v>34.95890554</v>
      </c>
      <c r="F199" s="31">
        <f>IFERROR(__xludf.DUMMYFUNCTION("""COMPUTED_VALUE"""),-3.6535600709906486)</f>
        <v>-3.653560071</v>
      </c>
      <c r="G199" s="31">
        <f>IFERROR(__xludf.DUMMYFUNCTION("""COMPUTED_VALUE"""),26.259101825383507)</f>
        <v>26.25910183</v>
      </c>
      <c r="H199" s="31">
        <f>IFERROR(__xludf.DUMMYFUNCTION("""COMPUTED_VALUE"""),-5.842874413936054)</f>
        <v>-5.842874414</v>
      </c>
      <c r="I199" s="54">
        <f>IFERROR(__xludf.DUMMYFUNCTION("""COMPUTED_VALUE"""),38.0)</f>
        <v>38</v>
      </c>
      <c r="J199" s="55">
        <f>IFERROR(__xludf.DUMMYFUNCTION("""COMPUTED_VALUE"""),19.0)</f>
        <v>19</v>
      </c>
      <c r="K199" s="54">
        <f>IFERROR(__xludf.DUMMYFUNCTION("""COMPUTED_VALUE"""),19.0)</f>
        <v>19</v>
      </c>
      <c r="L199" s="56">
        <f>IFERROR(__xludf.DUMMYFUNCTION("""COMPUTED_VALUE"""),0.5)</f>
        <v>0.5</v>
      </c>
      <c r="M199" s="56">
        <f>IFERROR(__xludf.DUMMYFUNCTION("""COMPUTED_VALUE"""),0.3888888888888889)</f>
        <v>0.3888888889</v>
      </c>
      <c r="N199" s="31">
        <f>IFERROR(__xludf.DUMMYFUNCTION("""COMPUTED_VALUE"""),306.36842105263156)</f>
        <v>306.3684211</v>
      </c>
      <c r="O199" s="57">
        <f>IFERROR(__xludf.DUMMYFUNCTION("""COMPUTED_VALUE"""),0.7368421052631579)</f>
        <v>0.7368421053</v>
      </c>
      <c r="P199" s="57">
        <f>IFERROR(__xludf.DUMMYFUNCTION("""COMPUTED_VALUE"""),0.2894736842105263)</f>
        <v>0.2894736842</v>
      </c>
      <c r="Q199" s="57">
        <f>IFERROR(__xludf.DUMMYFUNCTION("""COMPUTED_VALUE"""),1.236842105263158)</f>
        <v>1.236842105</v>
      </c>
      <c r="R199" s="57">
        <f>IFERROR(__xludf.DUMMYFUNCTION("""COMPUTED_VALUE"""),1.894736842105263)</f>
        <v>1.894736842</v>
      </c>
      <c r="S199" s="31">
        <f>IFERROR(__xludf.DUMMYFUNCTION("""COMPUTED_VALUE"""),341.1140350877192)</f>
        <v>341.1140351</v>
      </c>
      <c r="T199" s="57">
        <f>IFERROR(__xludf.DUMMYFUNCTION("""COMPUTED_VALUE"""),0.8070175438596493)</f>
        <v>0.8070175439</v>
      </c>
      <c r="U199" s="57">
        <f>IFERROR(__xludf.DUMMYFUNCTION("""COMPUTED_VALUE"""),0.5789473684210528)</f>
        <v>0.5789473684</v>
      </c>
      <c r="V199" s="57">
        <f>IFERROR(__xludf.DUMMYFUNCTION("""COMPUTED_VALUE"""),1.1666666666666665)</f>
        <v>1.166666667</v>
      </c>
      <c r="W199" s="57">
        <f>IFERROR(__xludf.DUMMYFUNCTION("""COMPUTED_VALUE"""),2.5701754385964914)</f>
        <v>2.570175439</v>
      </c>
      <c r="X199" s="31">
        <f>IFERROR(__xludf.DUMMYFUNCTION("""COMPUTED_VALUE"""),326.74857962586543)</f>
        <v>326.7485796</v>
      </c>
      <c r="Y199" s="57">
        <f>IFERROR(__xludf.DUMMYFUNCTION("""COMPUTED_VALUE"""),0.8147907128551349)</f>
        <v>0.8147907129</v>
      </c>
      <c r="Z199" s="57">
        <f>IFERROR(__xludf.DUMMYFUNCTION("""COMPUTED_VALUE"""),0.5624215964607725)</f>
        <v>0.5624215965</v>
      </c>
      <c r="AA199" s="57">
        <f>IFERROR(__xludf.DUMMYFUNCTION("""COMPUTED_VALUE"""),1.0725353612451436)</f>
        <v>1.072535361</v>
      </c>
      <c r="AB199" s="57">
        <f>IFERROR(__xludf.DUMMYFUNCTION("""COMPUTED_VALUE"""),2.2878688748858744)</f>
        <v>2.287868875</v>
      </c>
      <c r="AC199" s="31">
        <f>IFERROR(__xludf.DUMMYFUNCTION("""COMPUTED_VALUE"""),331.37896794961233)</f>
        <v>331.3789679</v>
      </c>
      <c r="AD199" s="57">
        <f>IFERROR(__xludf.DUMMYFUNCTION("""COMPUTED_VALUE"""),0.8401126062872798)</f>
        <v>0.8401126063</v>
      </c>
      <c r="AE199" s="57">
        <f>IFERROR(__xludf.DUMMYFUNCTION("""COMPUTED_VALUE"""),0.5494220659669605)</f>
        <v>0.549422066</v>
      </c>
      <c r="AF199" s="57">
        <f>IFERROR(__xludf.DUMMYFUNCTION("""COMPUTED_VALUE"""),1.1091175763008256)</f>
        <v>1.109117576</v>
      </c>
      <c r="AG199" s="57">
        <f>IFERROR(__xludf.DUMMYFUNCTION("""COMPUTED_VALUE"""),2.291301219997012)</f>
        <v>2.29130122</v>
      </c>
      <c r="AH199" s="57">
        <f>IFERROR(__xludf.DUMMYFUNCTION("""COMPUTED_VALUE"""),0.9245258470936402)</f>
        <v>0.9245258471</v>
      </c>
      <c r="AI199" s="57">
        <f>IFERROR(__xludf.DUMMYFUNCTION("""COMPUTED_VALUE"""),0.877075406021454)</f>
        <v>0.877075406</v>
      </c>
      <c r="AJ199" s="57">
        <f>IFERROR(__xludf.DUMMYFUNCTION("""COMPUTED_VALUE"""),0.5268694181422517)</f>
        <v>0.5268694181</v>
      </c>
      <c r="AK199" s="57">
        <f>IFERROR(__xludf.DUMMYFUNCTION("""COMPUTED_VALUE"""),1.1151586916405423)</f>
        <v>1.115158692</v>
      </c>
      <c r="AL199" s="57">
        <f>IFERROR(__xludf.DUMMYFUNCTION("""COMPUTED_VALUE"""),0.8269261263290969)</f>
        <v>0.8269261263</v>
      </c>
      <c r="AM199" s="57">
        <f>IFERROR(__xludf.DUMMYFUNCTION("""COMPUTED_VALUE"""),1.0439648597043711)</f>
        <v>1.04396486</v>
      </c>
      <c r="AN199" s="57">
        <f>IFERROR(__xludf.DUMMYFUNCTION("""COMPUTED_VALUE"""),0.9904599194948511)</f>
        <v>0.9904599195</v>
      </c>
      <c r="AO199" s="57">
        <f>IFERROR(__xludf.DUMMYFUNCTION("""COMPUTED_VALUE"""),1.0293832457079783)</f>
        <v>1.029383246</v>
      </c>
      <c r="AP199" s="35">
        <f>IFERROR(__xludf.DUMMYFUNCTION("""COMPUTED_VALUE"""),1.087765223248437)</f>
        <v>1.087765223</v>
      </c>
      <c r="AQ199" s="57">
        <f>IFERROR(__xludf.DUMMYFUNCTION("""COMPUTED_VALUE"""),1.1233928075203607)</f>
        <v>1.123392808</v>
      </c>
      <c r="AR199" s="36" t="b">
        <f>IFERROR(__xludf.DUMMYFUNCTION("""COMPUTED_VALUE"""),TRUE)</f>
        <v>1</v>
      </c>
      <c r="AS199" s="57"/>
      <c r="AT199" s="37"/>
      <c r="AU199" s="30"/>
      <c r="AV199" s="30"/>
      <c r="AW199" s="30"/>
      <c r="AX199" s="30"/>
      <c r="AY199" s="30"/>
      <c r="AZ199" s="30"/>
    </row>
    <row r="200">
      <c r="A200" s="30" t="str">
        <f>IFERROR(__xludf.DUMMYFUNCTION("""COMPUTED_VALUE"""),"Contender")</f>
        <v>Contender</v>
      </c>
      <c r="B200" s="30" t="str">
        <f>IFERROR(__xludf.DUMMYFUNCTION("""COMPUTED_VALUE"""),"RSC007271")</f>
        <v>RSC007271</v>
      </c>
      <c r="C200" s="30" t="str">
        <f>IFERROR(__xludf.DUMMYFUNCTION("""COMPUTED_VALUE"""),"Darth. -.-")</f>
        <v>Darth. -.-</v>
      </c>
      <c r="D200" s="31" t="str">
        <f>IFERROR(__xludf.DUMMYFUNCTION("""COMPUTED_VALUE"""),"Toothpaste")</f>
        <v>Toothpaste</v>
      </c>
      <c r="E200" s="31">
        <f>IFERROR(__xludf.DUMMYFUNCTION("""COMPUTED_VALUE"""),34.5235424130833)</f>
        <v>34.52354241</v>
      </c>
      <c r="F200" s="31">
        <f>IFERROR(__xludf.DUMMYFUNCTION("""COMPUTED_VALUE"""),-3.7321931189024413)</f>
        <v>-3.732193119</v>
      </c>
      <c r="G200" s="31">
        <f>IFERROR(__xludf.DUMMYFUNCTION("""COMPUTED_VALUE"""),44.450125306737434)</f>
        <v>44.45012531</v>
      </c>
      <c r="H200" s="31">
        <f>IFERROR(__xludf.DUMMYFUNCTION("""COMPUTED_VALUE"""),-2.4262487549151452)</f>
        <v>-2.426248755</v>
      </c>
      <c r="I200" s="54">
        <f>IFERROR(__xludf.DUMMYFUNCTION("""COMPUTED_VALUE"""),40.0)</f>
        <v>40</v>
      </c>
      <c r="J200" s="55">
        <f>IFERROR(__xludf.DUMMYFUNCTION("""COMPUTED_VALUE"""),10.0)</f>
        <v>10</v>
      </c>
      <c r="K200" s="54">
        <f>IFERROR(__xludf.DUMMYFUNCTION("""COMPUTED_VALUE"""),30.0)</f>
        <v>30</v>
      </c>
      <c r="L200" s="56">
        <f>IFERROR(__xludf.DUMMYFUNCTION("""COMPUTED_VALUE"""),0.25)</f>
        <v>0.25</v>
      </c>
      <c r="M200" s="56">
        <f>IFERROR(__xludf.DUMMYFUNCTION("""COMPUTED_VALUE"""),0.3472222222222222)</f>
        <v>0.3472222222</v>
      </c>
      <c r="N200" s="31">
        <f>IFERROR(__xludf.DUMMYFUNCTION("""COMPUTED_VALUE"""),316.975)</f>
        <v>316.975</v>
      </c>
      <c r="O200" s="57">
        <f>IFERROR(__xludf.DUMMYFUNCTION("""COMPUTED_VALUE"""),0.625)</f>
        <v>0.625</v>
      </c>
      <c r="P200" s="57">
        <f>IFERROR(__xludf.DUMMYFUNCTION("""COMPUTED_VALUE"""),0.4)</f>
        <v>0.4</v>
      </c>
      <c r="Q200" s="57">
        <f>IFERROR(__xludf.DUMMYFUNCTION("""COMPUTED_VALUE"""),1.25)</f>
        <v>1.25</v>
      </c>
      <c r="R200" s="57">
        <f>IFERROR(__xludf.DUMMYFUNCTION("""COMPUTED_VALUE"""),1.8)</f>
        <v>1.8</v>
      </c>
      <c r="S200" s="31">
        <f>IFERROR(__xludf.DUMMYFUNCTION("""COMPUTED_VALUE"""),364.69999999999993)</f>
        <v>364.7</v>
      </c>
      <c r="T200" s="57">
        <f>IFERROR(__xludf.DUMMYFUNCTION("""COMPUTED_VALUE"""),1.1416666666666666)</f>
        <v>1.141666667</v>
      </c>
      <c r="U200" s="57">
        <f>IFERROR(__xludf.DUMMYFUNCTION("""COMPUTED_VALUE"""),0.6666666666666667)</f>
        <v>0.6666666667</v>
      </c>
      <c r="V200" s="57">
        <f>IFERROR(__xludf.DUMMYFUNCTION("""COMPUTED_VALUE"""),0.9)</f>
        <v>0.9</v>
      </c>
      <c r="W200" s="57">
        <f>IFERROR(__xludf.DUMMYFUNCTION("""COMPUTED_VALUE"""),2.4916666666666663)</f>
        <v>2.491666667</v>
      </c>
      <c r="X200" s="31">
        <f>IFERROR(__xludf.DUMMYFUNCTION("""COMPUTED_VALUE"""),335.0523884423939)</f>
        <v>335.0523884</v>
      </c>
      <c r="Y200" s="57">
        <f>IFERROR(__xludf.DUMMYFUNCTION("""COMPUTED_VALUE"""),0.855110628165351)</f>
        <v>0.8551106282</v>
      </c>
      <c r="Z200" s="57">
        <f>IFERROR(__xludf.DUMMYFUNCTION("""COMPUTED_VALUE"""),0.5641060013978587)</f>
        <v>0.5641060014</v>
      </c>
      <c r="AA200" s="57">
        <f>IFERROR(__xludf.DUMMYFUNCTION("""COMPUTED_VALUE"""),1.0885054782132737)</f>
        <v>1.088505478</v>
      </c>
      <c r="AB200" s="57">
        <f>IFERROR(__xludf.DUMMYFUNCTION("""COMPUTED_VALUE"""),2.32096370099413)</f>
        <v>2.320963701</v>
      </c>
      <c r="AC200" s="31">
        <f>IFERROR(__xludf.DUMMYFUNCTION("""COMPUTED_VALUE"""),320.13150911931064)</f>
        <v>320.1315091</v>
      </c>
      <c r="AD200" s="57">
        <f>IFERROR(__xludf.DUMMYFUNCTION("""COMPUTED_VALUE"""),0.7776021589951644)</f>
        <v>0.777602159</v>
      </c>
      <c r="AE200" s="57">
        <f>IFERROR(__xludf.DUMMYFUNCTION("""COMPUTED_VALUE"""),0.534525669557204)</f>
        <v>0.5345256696</v>
      </c>
      <c r="AF200" s="57">
        <f>IFERROR(__xludf.DUMMYFUNCTION("""COMPUTED_VALUE"""),1.0645814485481815)</f>
        <v>1.064581449</v>
      </c>
      <c r="AG200" s="57">
        <f>IFERROR(__xludf.DUMMYFUNCTION("""COMPUTED_VALUE"""),2.254173932108686)</f>
        <v>2.254173932</v>
      </c>
      <c r="AH200" s="57">
        <f>IFERROR(__xludf.DUMMYFUNCTION("""COMPUTED_VALUE"""),0.9901399611428621)</f>
        <v>0.9901399611</v>
      </c>
      <c r="AI200" s="57">
        <f>IFERROR(__xludf.DUMMYFUNCTION("""COMPUTED_VALUE"""),0.8037529124245739)</f>
        <v>0.8037529124</v>
      </c>
      <c r="AJ200" s="57">
        <f>IFERROR(__xludf.DUMMYFUNCTION("""COMPUTED_VALUE"""),0.7483270173560723)</f>
        <v>0.7483270174</v>
      </c>
      <c r="AK200" s="57">
        <f>IFERROR(__xludf.DUMMYFUNCTION("""COMPUTED_VALUE"""),1.1741703762588407)</f>
        <v>1.174170376</v>
      </c>
      <c r="AL200" s="57">
        <f>IFERROR(__xludf.DUMMYFUNCTION("""COMPUTED_VALUE"""),0.798518683212779)</f>
        <v>0.7985186832</v>
      </c>
      <c r="AM200" s="57">
        <f>IFERROR(__xludf.DUMMYFUNCTION("""COMPUTED_VALUE"""),1.0884864951879112)</f>
        <v>1.088486495</v>
      </c>
      <c r="AN200" s="57">
        <f>IFERROR(__xludf.DUMMYFUNCTION("""COMPUTED_VALUE"""),1.3351099016464392)</f>
        <v>1.335109902</v>
      </c>
      <c r="AO200" s="57">
        <f>IFERROR(__xludf.DUMMYFUNCTION("""COMPUTED_VALUE"""),1.1818109805863826)</f>
        <v>1.181810981</v>
      </c>
      <c r="AP200" s="35">
        <f>IFERROR(__xludf.DUMMYFUNCTION("""COMPUTED_VALUE"""),0.8268217459753204)</f>
        <v>0.826821746</v>
      </c>
      <c r="AQ200" s="57">
        <f>IFERROR(__xludf.DUMMYFUNCTION("""COMPUTED_VALUE"""),1.0735483134007737)</f>
        <v>1.073548313</v>
      </c>
      <c r="AR200" s="36" t="b">
        <f>IFERROR(__xludf.DUMMYFUNCTION("""COMPUTED_VALUE"""),TRUE)</f>
        <v>1</v>
      </c>
      <c r="AS200" s="57"/>
      <c r="AT200" s="37"/>
      <c r="AU200" s="30"/>
      <c r="AV200" s="30"/>
      <c r="AW200" s="30"/>
      <c r="AX200" s="30"/>
      <c r="AY200" s="30"/>
      <c r="AZ200" s="30"/>
    </row>
    <row r="201">
      <c r="A201" s="30" t="str">
        <f>IFERROR(__xludf.DUMMYFUNCTION("""COMPUTED_VALUE"""),"Contender")</f>
        <v>Contender</v>
      </c>
      <c r="B201" s="30" t="str">
        <f>IFERROR(__xludf.DUMMYFUNCTION("""COMPUTED_VALUE"""),"RSC007635")</f>
        <v>RSC007635</v>
      </c>
      <c r="C201" s="30" t="str">
        <f>IFERROR(__xludf.DUMMYFUNCTION("""COMPUTED_VALUE"""),"MungsApprentice")</f>
        <v>MungsApprentice</v>
      </c>
      <c r="D201" s="31" t="str">
        <f>IFERROR(__xludf.DUMMYFUNCTION("""COMPUTED_VALUE"""),"Ice")</f>
        <v>Ice</v>
      </c>
      <c r="E201" s="31">
        <f>IFERROR(__xludf.DUMMYFUNCTION("""COMPUTED_VALUE"""),34.06236344092582)</f>
        <v>34.06236344</v>
      </c>
      <c r="F201" s="31">
        <f>IFERROR(__xludf.DUMMYFUNCTION("""COMPUTED_VALUE"""),-3.8182829282439013)</f>
        <v>-3.818282928</v>
      </c>
      <c r="G201" s="31">
        <f>IFERROR(__xludf.DUMMYFUNCTION("""COMPUTED_VALUE"""),23.646778361473913)</f>
        <v>23.64677836</v>
      </c>
      <c r="H201" s="31">
        <f>IFERROR(__xludf.DUMMYFUNCTION("""COMPUTED_VALUE"""),-6.85344774070193)</f>
        <v>-6.853447741</v>
      </c>
      <c r="I201" s="54">
        <f>IFERROR(__xludf.DUMMYFUNCTION("""COMPUTED_VALUE"""),11.0)</f>
        <v>11</v>
      </c>
      <c r="J201" s="55">
        <f>IFERROR(__xludf.DUMMYFUNCTION("""COMPUTED_VALUE"""),6.0)</f>
        <v>6</v>
      </c>
      <c r="K201" s="54">
        <f>IFERROR(__xludf.DUMMYFUNCTION("""COMPUTED_VALUE"""),5.0)</f>
        <v>5</v>
      </c>
      <c r="L201" s="56">
        <f>IFERROR(__xludf.DUMMYFUNCTION("""COMPUTED_VALUE"""),0.5454545454545454)</f>
        <v>0.5454545455</v>
      </c>
      <c r="M201" s="56">
        <f>IFERROR(__xludf.DUMMYFUNCTION("""COMPUTED_VALUE"""),0.3333333333333333)</f>
        <v>0.3333333333</v>
      </c>
      <c r="N201" s="31">
        <f>IFERROR(__xludf.DUMMYFUNCTION("""COMPUTED_VALUE"""),272.54545454545456)</f>
        <v>272.5454545</v>
      </c>
      <c r="O201" s="57">
        <f>IFERROR(__xludf.DUMMYFUNCTION("""COMPUTED_VALUE"""),0.5454545454545454)</f>
        <v>0.5454545455</v>
      </c>
      <c r="P201" s="57">
        <f>IFERROR(__xludf.DUMMYFUNCTION("""COMPUTED_VALUE"""),0.36363636363636365)</f>
        <v>0.3636363636</v>
      </c>
      <c r="Q201" s="57">
        <f>IFERROR(__xludf.DUMMYFUNCTION("""COMPUTED_VALUE"""),1.1818181818181819)</f>
        <v>1.181818182</v>
      </c>
      <c r="R201" s="57">
        <f>IFERROR(__xludf.DUMMYFUNCTION("""COMPUTED_VALUE"""),1.6363636363636365)</f>
        <v>1.636363636</v>
      </c>
      <c r="S201" s="31">
        <f>IFERROR(__xludf.DUMMYFUNCTION("""COMPUTED_VALUE"""),340.30303030303037)</f>
        <v>340.3030303</v>
      </c>
      <c r="T201" s="57">
        <f>IFERROR(__xludf.DUMMYFUNCTION("""COMPUTED_VALUE"""),0.9393939393939396)</f>
        <v>0.9393939394</v>
      </c>
      <c r="U201" s="57">
        <f>IFERROR(__xludf.DUMMYFUNCTION("""COMPUTED_VALUE"""),0.818181818181818)</f>
        <v>0.8181818182</v>
      </c>
      <c r="V201" s="57">
        <f>IFERROR(__xludf.DUMMYFUNCTION("""COMPUTED_VALUE"""),0.9393939393939394)</f>
        <v>0.9393939394</v>
      </c>
      <c r="W201" s="57">
        <f>IFERROR(__xludf.DUMMYFUNCTION("""COMPUTED_VALUE"""),2.606060606060606)</f>
        <v>2.606060606</v>
      </c>
      <c r="X201" s="31">
        <f>IFERROR(__xludf.DUMMYFUNCTION("""COMPUTED_VALUE"""),355.16609037233457)</f>
        <v>355.1660904</v>
      </c>
      <c r="Y201" s="57">
        <f>IFERROR(__xludf.DUMMYFUNCTION("""COMPUTED_VALUE"""),1.0290787777644783)</f>
        <v>1.029078778</v>
      </c>
      <c r="Z201" s="57">
        <f>IFERROR(__xludf.DUMMYFUNCTION("""COMPUTED_VALUE"""),0.6658093349902395)</f>
        <v>0.665809335</v>
      </c>
      <c r="AA201" s="57">
        <f>IFERROR(__xludf.DUMMYFUNCTION("""COMPUTED_VALUE"""),0.9831645138688959)</f>
        <v>0.9831645139</v>
      </c>
      <c r="AB201" s="57">
        <f>IFERROR(__xludf.DUMMYFUNCTION("""COMPUTED_VALUE"""),2.682207016174739)</f>
        <v>2.682207016</v>
      </c>
      <c r="AC201" s="31">
        <f>IFERROR(__xludf.DUMMYFUNCTION("""COMPUTED_VALUE"""),307.86929647788315)</f>
        <v>307.8692965</v>
      </c>
      <c r="AD201" s="57">
        <f>IFERROR(__xludf.DUMMYFUNCTION("""COMPUTED_VALUE"""),0.6696448584195237)</f>
        <v>0.6696448584</v>
      </c>
      <c r="AE201" s="57">
        <f>IFERROR(__xludf.DUMMYFUNCTION("""COMPUTED_VALUE"""),0.44992606274475244)</f>
        <v>0.4499260627</v>
      </c>
      <c r="AF201" s="57">
        <f>IFERROR(__xludf.DUMMYFUNCTION("""COMPUTED_VALUE"""),1.1492341573091993)</f>
        <v>1.149234157</v>
      </c>
      <c r="AG201" s="57">
        <f>IFERROR(__xludf.DUMMYFUNCTION("""COMPUTED_VALUE"""),2.032959263582463)</f>
        <v>2.032959264</v>
      </c>
      <c r="AH201" s="57">
        <f>IFERROR(__xludf.DUMMYFUNCTION("""COMPUTED_VALUE"""),0.8852635117027131)</f>
        <v>0.8852635117</v>
      </c>
      <c r="AI201" s="57">
        <f>IFERROR(__xludf.DUMMYFUNCTION("""COMPUTED_VALUE"""),0.8145430202240503)</f>
        <v>0.8145430202</v>
      </c>
      <c r="AJ201" s="57">
        <f>IFERROR(__xludf.DUMMYFUNCTION("""COMPUTED_VALUE"""),0.808213601626048)</f>
        <v>0.8082136016</v>
      </c>
      <c r="AK201" s="57">
        <f>IFERROR(__xludf.DUMMYFUNCTION("""COMPUTED_VALUE"""),1.028352815918102)</f>
        <v>1.028352816</v>
      </c>
      <c r="AL201" s="57">
        <f>IFERROR(__xludf.DUMMYFUNCTION("""COMPUTED_VALUE"""),0.8049170810634203)</f>
        <v>0.8049170811</v>
      </c>
      <c r="AM201" s="57">
        <f>IFERROR(__xludf.DUMMYFUNCTION("""COMPUTED_VALUE"""),0.9581518042622744)</f>
        <v>0.9581518043</v>
      </c>
      <c r="AN201" s="57">
        <f>IFERROR(__xludf.DUMMYFUNCTION("""COMPUTED_VALUE"""),0.9128493947126518)</f>
        <v>0.9128493947</v>
      </c>
      <c r="AO201" s="57">
        <f>IFERROR(__xludf.DUMMYFUNCTION("""COMPUTED_VALUE"""),1.228853029214155)</f>
        <v>1.228853029</v>
      </c>
      <c r="AP201" s="35">
        <f>IFERROR(__xludf.DUMMYFUNCTION("""COMPUTED_VALUE"""),0.9554799081359102)</f>
        <v>0.9554799081</v>
      </c>
      <c r="AQ201" s="57">
        <f>IFERROR(__xludf.DUMMYFUNCTION("""COMPUTED_VALUE"""),0.9716105395090905)</f>
        <v>0.9716105395</v>
      </c>
      <c r="AR201" s="36" t="b">
        <f>IFERROR(__xludf.DUMMYFUNCTION("""COMPUTED_VALUE"""),TRUE)</f>
        <v>1</v>
      </c>
      <c r="AS201" s="57"/>
      <c r="AT201" s="37"/>
      <c r="AU201" s="30"/>
      <c r="AV201" s="30"/>
      <c r="AW201" s="30"/>
      <c r="AX201" s="30"/>
      <c r="AY201" s="30"/>
      <c r="AZ201" s="30"/>
    </row>
    <row r="202">
      <c r="A202" s="30" t="str">
        <f>IFERROR(__xludf.DUMMYFUNCTION("""COMPUTED_VALUE"""),"Contender")</f>
        <v>Contender</v>
      </c>
      <c r="B202" s="30" t="str">
        <f>IFERROR(__xludf.DUMMYFUNCTION("""COMPUTED_VALUE"""),"RSC005937")</f>
        <v>RSC005937</v>
      </c>
      <c r="C202" s="30" t="str">
        <f>IFERROR(__xludf.DUMMYFUNCTION("""COMPUTED_VALUE"""),"SlashFabo420")</f>
        <v>SlashFabo420</v>
      </c>
      <c r="D202" s="31" t="str">
        <f>IFERROR(__xludf.DUMMYFUNCTION("""COMPUTED_VALUE"""),"Celestial Cider")</f>
        <v>Celestial Cider</v>
      </c>
      <c r="E202" s="31">
        <f>IFERROR(__xludf.DUMMYFUNCTION("""COMPUTED_VALUE"""),33.23984006397323)</f>
        <v>33.23984006</v>
      </c>
      <c r="F202" s="31">
        <f>IFERROR(__xludf.DUMMYFUNCTION("""COMPUTED_VALUE"""),-3.979317437530994)</f>
        <v>-3.979317438</v>
      </c>
      <c r="G202" s="31">
        <f>IFERROR(__xludf.DUMMYFUNCTION("""COMPUTED_VALUE"""),32.68833790620394)</f>
        <v>32.68833791</v>
      </c>
      <c r="H202" s="31">
        <f>IFERROR(__xludf.DUMMYFUNCTION("""COMPUTED_VALUE"""),-4.092955715675163)</f>
        <v>-4.092955716</v>
      </c>
      <c r="I202" s="54">
        <f>IFERROR(__xludf.DUMMYFUNCTION("""COMPUTED_VALUE"""),39.0)</f>
        <v>39</v>
      </c>
      <c r="J202" s="55">
        <f>IFERROR(__xludf.DUMMYFUNCTION("""COMPUTED_VALUE"""),16.0)</f>
        <v>16</v>
      </c>
      <c r="K202" s="54">
        <f>IFERROR(__xludf.DUMMYFUNCTION("""COMPUTED_VALUE"""),23.0)</f>
        <v>23</v>
      </c>
      <c r="L202" s="56">
        <f>IFERROR(__xludf.DUMMYFUNCTION("""COMPUTED_VALUE"""),0.41025641025641024)</f>
        <v>0.4102564103</v>
      </c>
      <c r="M202" s="56">
        <f>IFERROR(__xludf.DUMMYFUNCTION("""COMPUTED_VALUE"""),0.2857142857142857)</f>
        <v>0.2857142857</v>
      </c>
      <c r="N202" s="31">
        <f>IFERROR(__xludf.DUMMYFUNCTION("""COMPUTED_VALUE"""),275.38461538461536)</f>
        <v>275.3846154</v>
      </c>
      <c r="O202" s="57">
        <f>IFERROR(__xludf.DUMMYFUNCTION("""COMPUTED_VALUE"""),0.46153846153846156)</f>
        <v>0.4615384615</v>
      </c>
      <c r="P202" s="57">
        <f>IFERROR(__xludf.DUMMYFUNCTION("""COMPUTED_VALUE"""),0.5128205128205128)</f>
        <v>0.5128205128</v>
      </c>
      <c r="Q202" s="57">
        <f>IFERROR(__xludf.DUMMYFUNCTION("""COMPUTED_VALUE"""),1.1794871794871795)</f>
        <v>1.179487179</v>
      </c>
      <c r="R202" s="57">
        <f>IFERROR(__xludf.DUMMYFUNCTION("""COMPUTED_VALUE"""),1.6153846153846154)</f>
        <v>1.615384615</v>
      </c>
      <c r="S202" s="31">
        <f>IFERROR(__xludf.DUMMYFUNCTION("""COMPUTED_VALUE"""),317.44444444444446)</f>
        <v>317.4444444</v>
      </c>
      <c r="T202" s="57">
        <f>IFERROR(__xludf.DUMMYFUNCTION("""COMPUTED_VALUE"""),0.8376068376068375)</f>
        <v>0.8376068376</v>
      </c>
      <c r="U202" s="57">
        <f>IFERROR(__xludf.DUMMYFUNCTION("""COMPUTED_VALUE"""),0.5555555555555556)</f>
        <v>0.5555555556</v>
      </c>
      <c r="V202" s="57">
        <f>IFERROR(__xludf.DUMMYFUNCTION("""COMPUTED_VALUE"""),0.9059829059829059)</f>
        <v>0.905982906</v>
      </c>
      <c r="W202" s="57">
        <f>IFERROR(__xludf.DUMMYFUNCTION("""COMPUTED_VALUE"""),2.3846153846153846)</f>
        <v>2.384615385</v>
      </c>
      <c r="X202" s="31">
        <f>IFERROR(__xludf.DUMMYFUNCTION("""COMPUTED_VALUE"""),327.0690114281789)</f>
        <v>327.0690114</v>
      </c>
      <c r="Y202" s="57">
        <f>IFERROR(__xludf.DUMMYFUNCTION("""COMPUTED_VALUE"""),0.8458516427395707)</f>
        <v>0.8458516427</v>
      </c>
      <c r="Z202" s="57">
        <f>IFERROR(__xludf.DUMMYFUNCTION("""COMPUTED_VALUE"""),0.5378453004903805)</f>
        <v>0.5378453005</v>
      </c>
      <c r="AA202" s="57">
        <f>IFERROR(__xludf.DUMMYFUNCTION("""COMPUTED_VALUE"""),1.041632596842457)</f>
        <v>1.041632597</v>
      </c>
      <c r="AB202" s="57">
        <f>IFERROR(__xludf.DUMMYFUNCTION("""COMPUTED_VALUE"""),2.279334387327673)</f>
        <v>2.279334387</v>
      </c>
      <c r="AC202" s="31">
        <f>IFERROR(__xludf.DUMMYFUNCTION("""COMPUTED_VALUE"""),329.00186675705163)</f>
        <v>329.0018668</v>
      </c>
      <c r="AD202" s="57">
        <f>IFERROR(__xludf.DUMMYFUNCTION("""COMPUTED_VALUE"""),0.8387196196013479)</f>
        <v>0.8387196196</v>
      </c>
      <c r="AE202" s="57">
        <f>IFERROR(__xludf.DUMMYFUNCTION("""COMPUTED_VALUE"""),0.5559711000847297)</f>
        <v>0.5559711001</v>
      </c>
      <c r="AF202" s="57">
        <f>IFERROR(__xludf.DUMMYFUNCTION("""COMPUTED_VALUE"""),1.0551905482357153)</f>
        <v>1.055190548</v>
      </c>
      <c r="AG202" s="57">
        <f>IFERROR(__xludf.DUMMYFUNCTION("""COMPUTED_VALUE"""),2.2942830436046218)</f>
        <v>2.294283044</v>
      </c>
      <c r="AH202" s="57">
        <f>IFERROR(__xludf.DUMMYFUNCTION("""COMPUTED_VALUE"""),0.8370305557809208)</f>
        <v>0.8370305558</v>
      </c>
      <c r="AI202" s="57">
        <f>IFERROR(__xludf.DUMMYFUNCTION("""COMPUTED_VALUE"""),0.5502893347813129)</f>
        <v>0.5502893348</v>
      </c>
      <c r="AJ202" s="57">
        <f>IFERROR(__xludf.DUMMYFUNCTION("""COMPUTED_VALUE"""),0.922386995911045)</f>
        <v>0.9223869959</v>
      </c>
      <c r="AK202" s="57">
        <f>IFERROR(__xludf.DUMMYFUNCTION("""COMPUTED_VALUE"""),1.1177954365297234)</f>
        <v>1.117795437</v>
      </c>
      <c r="AL202" s="57">
        <f>IFERROR(__xludf.DUMMYFUNCTION("""COMPUTED_VALUE"""),0.7040912497207114)</f>
        <v>0.7040912497</v>
      </c>
      <c r="AM202" s="57">
        <f>IFERROR(__xludf.DUMMYFUNCTION("""COMPUTED_VALUE"""),0.9705732837797508)</f>
        <v>0.9705732838</v>
      </c>
      <c r="AN202" s="57">
        <f>IFERROR(__xludf.DUMMYFUNCTION("""COMPUTED_VALUE"""),0.9902526581304144)</f>
        <v>0.9902526581</v>
      </c>
      <c r="AO202" s="57">
        <f>IFERROR(__xludf.DUMMYFUNCTION("""COMPUTED_VALUE"""),1.0329281580577683)</f>
        <v>1.032928158</v>
      </c>
      <c r="AP202" s="35">
        <f>IFERROR(__xludf.DUMMYFUNCTION("""COMPUTED_VALUE"""),0.8697720374047899)</f>
        <v>0.8697720374</v>
      </c>
      <c r="AQ202" s="57">
        <f>IFERROR(__xludf.DUMMYFUNCTION("""COMPUTED_VALUE"""),1.046189360311957)</f>
        <v>1.04618936</v>
      </c>
      <c r="AR202" s="36" t="b">
        <f>IFERROR(__xludf.DUMMYFUNCTION("""COMPUTED_VALUE"""),TRUE)</f>
        <v>1</v>
      </c>
      <c r="AS202" s="57"/>
      <c r="AT202" s="37"/>
      <c r="AU202" s="30"/>
      <c r="AV202" s="30"/>
      <c r="AW202" s="30"/>
      <c r="AX202" s="30"/>
      <c r="AY202" s="30"/>
      <c r="AZ202" s="30"/>
    </row>
    <row r="203">
      <c r="A203" s="30" t="str">
        <f>IFERROR(__xludf.DUMMYFUNCTION("""COMPUTED_VALUE"""),"Contender")</f>
        <v>Contender</v>
      </c>
      <c r="B203" s="30" t="str">
        <f>IFERROR(__xludf.DUMMYFUNCTION("""COMPUTED_VALUE"""),"RSC007538")</f>
        <v>RSC007538</v>
      </c>
      <c r="C203" s="30" t="str">
        <f>IFERROR(__xludf.DUMMYFUNCTION("""COMPUTED_VALUE"""),"FattyMcChef04")</f>
        <v>FattyMcChef04</v>
      </c>
      <c r="D203" s="31" t="str">
        <f>IFERROR(__xludf.DUMMYFUNCTION("""COMPUTED_VALUE"""),"Cheese Pizza")</f>
        <v>Cheese Pizza</v>
      </c>
      <c r="E203" s="31">
        <f>IFERROR(__xludf.DUMMYFUNCTION("""COMPUTED_VALUE"""),31.24175998005519)</f>
        <v>31.24175998</v>
      </c>
      <c r="F203" s="31">
        <f>IFERROR(__xludf.DUMMYFUNCTION("""COMPUTED_VALUE"""),-4.414463185929039)</f>
        <v>-4.414463186</v>
      </c>
      <c r="G203" s="31">
        <f>IFERROR(__xludf.DUMMYFUNCTION("""COMPUTED_VALUE"""),21.93426079423894)</f>
        <v>21.93426079</v>
      </c>
      <c r="H203" s="31">
        <f>IFERROR(__xludf.DUMMYFUNCTION("""COMPUTED_VALUE"""),-7.6454103884093865)</f>
        <v>-7.645410388</v>
      </c>
      <c r="I203" s="54">
        <f>IFERROR(__xludf.DUMMYFUNCTION("""COMPUTED_VALUE"""),11.0)</f>
        <v>11</v>
      </c>
      <c r="J203" s="55">
        <f>IFERROR(__xludf.DUMMYFUNCTION("""COMPUTED_VALUE"""),6.0)</f>
        <v>6</v>
      </c>
      <c r="K203" s="54">
        <f>IFERROR(__xludf.DUMMYFUNCTION("""COMPUTED_VALUE"""),5.0)</f>
        <v>5</v>
      </c>
      <c r="L203" s="56">
        <f>IFERROR(__xludf.DUMMYFUNCTION("""COMPUTED_VALUE"""),0.5454545454545454)</f>
        <v>0.5454545455</v>
      </c>
      <c r="M203" s="56">
        <f>IFERROR(__xludf.DUMMYFUNCTION("""COMPUTED_VALUE"""),0.4444444444444444)</f>
        <v>0.4444444444</v>
      </c>
      <c r="N203" s="31">
        <f>IFERROR(__xludf.DUMMYFUNCTION("""COMPUTED_VALUE"""),252.9090909090909)</f>
        <v>252.9090909</v>
      </c>
      <c r="O203" s="57">
        <f>IFERROR(__xludf.DUMMYFUNCTION("""COMPUTED_VALUE"""),0.7272727272727273)</f>
        <v>0.7272727273</v>
      </c>
      <c r="P203" s="57">
        <f>IFERROR(__xludf.DUMMYFUNCTION("""COMPUTED_VALUE"""),0.2727272727272727)</f>
        <v>0.2727272727</v>
      </c>
      <c r="Q203" s="57">
        <f>IFERROR(__xludf.DUMMYFUNCTION("""COMPUTED_VALUE"""),0.7272727272727273)</f>
        <v>0.7272727273</v>
      </c>
      <c r="R203" s="57">
        <f>IFERROR(__xludf.DUMMYFUNCTION("""COMPUTED_VALUE"""),1.6363636363636365)</f>
        <v>1.636363636</v>
      </c>
      <c r="S203" s="31">
        <f>IFERROR(__xludf.DUMMYFUNCTION("""COMPUTED_VALUE"""),322.48484848484844)</f>
        <v>322.4848485</v>
      </c>
      <c r="T203" s="57">
        <f>IFERROR(__xludf.DUMMYFUNCTION("""COMPUTED_VALUE"""),0.7575757575757577)</f>
        <v>0.7575757576</v>
      </c>
      <c r="U203" s="57">
        <f>IFERROR(__xludf.DUMMYFUNCTION("""COMPUTED_VALUE"""),0.5757575757575757)</f>
        <v>0.5757575758</v>
      </c>
      <c r="V203" s="57">
        <f>IFERROR(__xludf.DUMMYFUNCTION("""COMPUTED_VALUE"""),0.9090909090909093)</f>
        <v>0.9090909091</v>
      </c>
      <c r="W203" s="57">
        <f>IFERROR(__xludf.DUMMYFUNCTION("""COMPUTED_VALUE"""),2.151515151515152)</f>
        <v>2.151515152</v>
      </c>
      <c r="X203" s="31">
        <f>IFERROR(__xludf.DUMMYFUNCTION("""COMPUTED_VALUE"""),332.50976269003365)</f>
        <v>332.5097627</v>
      </c>
      <c r="Y203" s="57">
        <f>IFERROR(__xludf.DUMMYFUNCTION("""COMPUTED_VALUE"""),0.8114527525098356)</f>
        <v>0.8114527525</v>
      </c>
      <c r="Z203" s="57">
        <f>IFERROR(__xludf.DUMMYFUNCTION("""COMPUTED_VALUE"""),0.5593227267450064)</f>
        <v>0.5593227267</v>
      </c>
      <c r="AA203" s="57">
        <f>IFERROR(__xludf.DUMMYFUNCTION("""COMPUTED_VALUE"""),1.1141408523859306)</f>
        <v>1.114140852</v>
      </c>
      <c r="AB203" s="57">
        <f>IFERROR(__xludf.DUMMYFUNCTION("""COMPUTED_VALUE"""),2.299930210920169)</f>
        <v>2.299930211</v>
      </c>
      <c r="AC203" s="31">
        <f>IFERROR(__xludf.DUMMYFUNCTION("""COMPUTED_VALUE"""),321.4683956600368)</f>
        <v>321.4683957</v>
      </c>
      <c r="AD203" s="57">
        <f>IFERROR(__xludf.DUMMYFUNCTION("""COMPUTED_VALUE"""),0.7867667369465517)</f>
        <v>0.7867667369</v>
      </c>
      <c r="AE203" s="57">
        <f>IFERROR(__xludf.DUMMYFUNCTION("""COMPUTED_VALUE"""),0.5449155786560996)</f>
        <v>0.5449155787</v>
      </c>
      <c r="AF203" s="57">
        <f>IFERROR(__xludf.DUMMYFUNCTION("""COMPUTED_VALUE"""),1.0574473271285707)</f>
        <v>1.057447327</v>
      </c>
      <c r="AG203" s="57">
        <f>IFERROR(__xludf.DUMMYFUNCTION("""COMPUTED_VALUE"""),2.266476609652091)</f>
        <v>2.26647661</v>
      </c>
      <c r="AH203" s="57">
        <f>IFERROR(__xludf.DUMMYFUNCTION("""COMPUTED_VALUE"""),0.786730808762148)</f>
        <v>0.7867308088</v>
      </c>
      <c r="AI203" s="57">
        <f>IFERROR(__xludf.DUMMYFUNCTION("""COMPUTED_VALUE"""),0.9243816408600074)</f>
        <v>0.9243816409</v>
      </c>
      <c r="AJ203" s="57">
        <f>IFERROR(__xludf.DUMMYFUNCTION("""COMPUTED_VALUE"""),0.5004945415579557)</f>
        <v>0.5004945416</v>
      </c>
      <c r="AK203" s="57">
        <f>IFERROR(__xludf.DUMMYFUNCTION("""COMPUTED_VALUE"""),0.6877626039753573)</f>
        <v>0.687762604</v>
      </c>
      <c r="AL203" s="57">
        <f>IFERROR(__xludf.DUMMYFUNCTION("""COMPUTED_VALUE"""),0.7219856712374463)</f>
        <v>0.7219856712</v>
      </c>
      <c r="AM203" s="57">
        <f>IFERROR(__xludf.DUMMYFUNCTION("""COMPUTED_VALUE"""),0.9698507673155736)</f>
        <v>0.9698507673</v>
      </c>
      <c r="AN203" s="57">
        <f>IFERROR(__xludf.DUMMYFUNCTION("""COMPUTED_VALUE"""),0.9336042736099722)</f>
        <v>0.9336042736</v>
      </c>
      <c r="AO203" s="57">
        <f>IFERROR(__xludf.DUMMYFUNCTION("""COMPUTED_VALUE"""),1.029383481533483)</f>
        <v>1.029383482</v>
      </c>
      <c r="AP203" s="35">
        <f>IFERROR(__xludf.DUMMYFUNCTION("""COMPUTED_VALUE"""),0.8159568937303509)</f>
        <v>0.8159568937</v>
      </c>
      <c r="AQ203" s="57">
        <f>IFERROR(__xludf.DUMMYFUNCTION("""COMPUTED_VALUE"""),0.9354697552559047)</f>
        <v>0.9354697553</v>
      </c>
      <c r="AR203" s="36" t="b">
        <f>IFERROR(__xludf.DUMMYFUNCTION("""COMPUTED_VALUE"""),TRUE)</f>
        <v>1</v>
      </c>
      <c r="AS203" s="57"/>
      <c r="AT203" s="37"/>
      <c r="AU203" s="30"/>
      <c r="AV203" s="30"/>
      <c r="AW203" s="30"/>
      <c r="AX203" s="30"/>
      <c r="AY203" s="30"/>
      <c r="AZ203" s="30"/>
    </row>
    <row r="204">
      <c r="A204" s="30" t="str">
        <f>IFERROR(__xludf.DUMMYFUNCTION("""COMPUTED_VALUE"""),"Contender")</f>
        <v>Contender</v>
      </c>
      <c r="B204" s="30" t="str">
        <f>IFERROR(__xludf.DUMMYFUNCTION("""COMPUTED_VALUE"""),"RSC007119")</f>
        <v>RSC007119</v>
      </c>
      <c r="C204" s="30" t="str">
        <f>IFERROR(__xludf.DUMMYFUNCTION("""COMPUTED_VALUE"""),"EvilSuperman_")</f>
        <v>EvilSuperman_</v>
      </c>
      <c r="D204" s="31" t="str">
        <f>IFERROR(__xludf.DUMMYFUNCTION("""COMPUTED_VALUE"""),"Celestial Cider")</f>
        <v>Celestial Cider</v>
      </c>
      <c r="E204" s="31">
        <f>IFERROR(__xludf.DUMMYFUNCTION("""COMPUTED_VALUE"""),30.44030353437284)</f>
        <v>30.44030353</v>
      </c>
      <c r="F204" s="31">
        <f>IFERROR(__xludf.DUMMYFUNCTION("""COMPUTED_VALUE"""),-4.608436507623826)</f>
        <v>-4.608436508</v>
      </c>
      <c r="G204" s="31">
        <f>IFERROR(__xludf.DUMMYFUNCTION("""COMPUTED_VALUE"""),20.6783704567393)</f>
        <v>20.67837046</v>
      </c>
      <c r="H204" s="31">
        <f>IFERROR(__xludf.DUMMYFUNCTION("""COMPUTED_VALUE"""),-8.303927942942103)</f>
        <v>-8.303927943</v>
      </c>
      <c r="I204" s="54">
        <f>IFERROR(__xludf.DUMMYFUNCTION("""COMPUTED_VALUE"""),20.0)</f>
        <v>20</v>
      </c>
      <c r="J204" s="55">
        <f>IFERROR(__xludf.DUMMYFUNCTION("""COMPUTED_VALUE"""),8.0)</f>
        <v>8</v>
      </c>
      <c r="K204" s="54">
        <f>IFERROR(__xludf.DUMMYFUNCTION("""COMPUTED_VALUE"""),12.0)</f>
        <v>12</v>
      </c>
      <c r="L204" s="56">
        <f>IFERROR(__xludf.DUMMYFUNCTION("""COMPUTED_VALUE"""),0.4)</f>
        <v>0.4</v>
      </c>
      <c r="M204" s="56">
        <f>IFERROR(__xludf.DUMMYFUNCTION("""COMPUTED_VALUE"""),0.3928571428571429)</f>
        <v>0.3928571429</v>
      </c>
      <c r="N204" s="31">
        <f>IFERROR(__xludf.DUMMYFUNCTION("""COMPUTED_VALUE"""),238.7)</f>
        <v>238.7</v>
      </c>
      <c r="O204" s="57">
        <f>IFERROR(__xludf.DUMMYFUNCTION("""COMPUTED_VALUE"""),0.55)</f>
        <v>0.55</v>
      </c>
      <c r="P204" s="57">
        <f>IFERROR(__xludf.DUMMYFUNCTION("""COMPUTED_VALUE"""),0.45)</f>
        <v>0.45</v>
      </c>
      <c r="Q204" s="57">
        <f>IFERROR(__xludf.DUMMYFUNCTION("""COMPUTED_VALUE"""),0.65)</f>
        <v>0.65</v>
      </c>
      <c r="R204" s="57">
        <f>IFERROR(__xludf.DUMMYFUNCTION("""COMPUTED_VALUE"""),1.4)</f>
        <v>1.4</v>
      </c>
      <c r="S204" s="31">
        <f>IFERROR(__xludf.DUMMYFUNCTION("""COMPUTED_VALUE"""),330.94999999999993)</f>
        <v>330.95</v>
      </c>
      <c r="T204" s="57">
        <f>IFERROR(__xludf.DUMMYFUNCTION("""COMPUTED_VALUE"""),0.9000000000000001)</f>
        <v>0.9</v>
      </c>
      <c r="U204" s="57">
        <f>IFERROR(__xludf.DUMMYFUNCTION("""COMPUTED_VALUE"""),0.5166666666666668)</f>
        <v>0.5166666667</v>
      </c>
      <c r="V204" s="57">
        <f>IFERROR(__xludf.DUMMYFUNCTION("""COMPUTED_VALUE"""),1.0166666666666668)</f>
        <v>1.016666667</v>
      </c>
      <c r="W204" s="57">
        <f>IFERROR(__xludf.DUMMYFUNCTION("""COMPUTED_VALUE"""),2.3833333333333337)</f>
        <v>2.383333333</v>
      </c>
      <c r="X204" s="31">
        <f>IFERROR(__xludf.DUMMYFUNCTION("""COMPUTED_VALUE"""),332.2426744020695)</f>
        <v>332.2426744</v>
      </c>
      <c r="Y204" s="57">
        <f>IFERROR(__xludf.DUMMYFUNCTION("""COMPUTED_VALUE"""),0.854527147367347)</f>
        <v>0.8545271474</v>
      </c>
      <c r="Z204" s="57">
        <f>IFERROR(__xludf.DUMMYFUNCTION("""COMPUTED_VALUE"""),0.6055715223229077)</f>
        <v>0.6055715223</v>
      </c>
      <c r="AA204" s="57">
        <f>IFERROR(__xludf.DUMMYFUNCTION("""COMPUTED_VALUE"""),1.0385928295320705)</f>
        <v>1.03859283</v>
      </c>
      <c r="AB204" s="57">
        <f>IFERROR(__xludf.DUMMYFUNCTION("""COMPUTED_VALUE"""),2.3332685493991425)</f>
        <v>2.333268549</v>
      </c>
      <c r="AC204" s="31">
        <f>IFERROR(__xludf.DUMMYFUNCTION("""COMPUTED_VALUE"""),325.02257194341513)</f>
        <v>325.0225719</v>
      </c>
      <c r="AD204" s="57">
        <f>IFERROR(__xludf.DUMMYFUNCTION("""COMPUTED_VALUE"""),0.8011855953957057)</f>
        <v>0.8011855954</v>
      </c>
      <c r="AE204" s="57">
        <f>IFERROR(__xludf.DUMMYFUNCTION("""COMPUTED_VALUE"""),0.5291214363953258)</f>
        <v>0.5291214364</v>
      </c>
      <c r="AF204" s="57">
        <f>IFERROR(__xludf.DUMMYFUNCTION("""COMPUTED_VALUE"""),1.1118702746466282)</f>
        <v>1.111870275</v>
      </c>
      <c r="AG204" s="57">
        <f>IFERROR(__xludf.DUMMYFUNCTION("""COMPUTED_VALUE"""),2.2085961067520072)</f>
        <v>2.208596107</v>
      </c>
      <c r="AH204" s="57">
        <f>IFERROR(__xludf.DUMMYFUNCTION("""COMPUTED_VALUE"""),0.734410532083158)</f>
        <v>0.7344105321</v>
      </c>
      <c r="AI204" s="57">
        <f>IFERROR(__xludf.DUMMYFUNCTION("""COMPUTED_VALUE"""),0.6864826366833954)</f>
        <v>0.6864826367</v>
      </c>
      <c r="AJ204" s="57">
        <f>IFERROR(__xludf.DUMMYFUNCTION("""COMPUTED_VALUE"""),0.8504663940014494)</f>
        <v>0.850466394</v>
      </c>
      <c r="AK204" s="57">
        <f>IFERROR(__xludf.DUMMYFUNCTION("""COMPUTED_VALUE"""),0.5846005733057136)</f>
        <v>0.5846005733</v>
      </c>
      <c r="AL204" s="57">
        <f>IFERROR(__xludf.DUMMYFUNCTION("""COMPUTED_VALUE"""),0.6338868368553179)</f>
        <v>0.6338868369</v>
      </c>
      <c r="AM204" s="57">
        <f>IFERROR(__xludf.DUMMYFUNCTION("""COMPUTED_VALUE"""),0.9961092463380992)</f>
        <v>0.9961092463</v>
      </c>
      <c r="AN204" s="57">
        <f>IFERROR(__xludf.DUMMYFUNCTION("""COMPUTED_VALUE"""),1.0532140526755027)</f>
        <v>1.053214053</v>
      </c>
      <c r="AO204" s="57">
        <f>IFERROR(__xludf.DUMMYFUNCTION("""COMPUTED_VALUE"""),0.853188513034412)</f>
        <v>0.853188513</v>
      </c>
      <c r="AP204" s="35">
        <f>IFERROR(__xludf.DUMMYFUNCTION("""COMPUTED_VALUE"""),0.9788885863237835)</f>
        <v>0.9788885863</v>
      </c>
      <c r="AQ204" s="57">
        <f>IFERROR(__xludf.DUMMYFUNCTION("""COMPUTED_VALUE"""),1.0214569317137043)</f>
        <v>1.021456932</v>
      </c>
      <c r="AR204" s="36" t="b">
        <f>IFERROR(__xludf.DUMMYFUNCTION("""COMPUTED_VALUE"""),TRUE)</f>
        <v>1</v>
      </c>
      <c r="AS204" s="57"/>
      <c r="AT204" s="37"/>
      <c r="AU204" s="30"/>
      <c r="AV204" s="30"/>
      <c r="AW204" s="30"/>
      <c r="AX204" s="30"/>
      <c r="AY204" s="30"/>
      <c r="AZ204" s="30"/>
    </row>
    <row r="205">
      <c r="A205" s="30" t="str">
        <f>IFERROR(__xludf.DUMMYFUNCTION("""COMPUTED_VALUE"""),"Contender")</f>
        <v>Contender</v>
      </c>
      <c r="B205" s="30" t="str">
        <f>IFERROR(__xludf.DUMMYFUNCTION("""COMPUTED_VALUE"""),"RSC006441")</f>
        <v>RSC006441</v>
      </c>
      <c r="C205" s="30" t="str">
        <f>IFERROR(__xludf.DUMMYFUNCTION("""COMPUTED_VALUE"""),"tvitchyramrod420")</f>
        <v>tvitchyramrod420</v>
      </c>
      <c r="D205" s="31" t="str">
        <f>IFERROR(__xludf.DUMMYFUNCTION("""COMPUTED_VALUE"""),"Legionaries")</f>
        <v>Legionaries</v>
      </c>
      <c r="E205" s="31">
        <f>IFERROR(__xludf.DUMMYFUNCTION("""COMPUTED_VALUE"""),29.972594039616034)</f>
        <v>29.97259404</v>
      </c>
      <c r="F205" s="31">
        <f>IFERROR(__xludf.DUMMYFUNCTION("""COMPUTED_VALUE"""),-4.727283782133865)</f>
        <v>-4.727283782</v>
      </c>
      <c r="G205" s="31">
        <f>IFERROR(__xludf.DUMMYFUNCTION("""COMPUTED_VALUE"""),28.927634850120263)</f>
        <v>28.92763485</v>
      </c>
      <c r="H205" s="31">
        <f>IFERROR(__xludf.DUMMYFUNCTION("""COMPUTED_VALUE"""),-5.008923515777323)</f>
        <v>-5.008923516</v>
      </c>
      <c r="I205" s="54">
        <f>IFERROR(__xludf.DUMMYFUNCTION("""COMPUTED_VALUE"""),33.0)</f>
        <v>33</v>
      </c>
      <c r="J205" s="55">
        <f>IFERROR(__xludf.DUMMYFUNCTION("""COMPUTED_VALUE"""),12.0)</f>
        <v>12</v>
      </c>
      <c r="K205" s="54">
        <f>IFERROR(__xludf.DUMMYFUNCTION("""COMPUTED_VALUE"""),21.0)</f>
        <v>21</v>
      </c>
      <c r="L205" s="56">
        <f>IFERROR(__xludf.DUMMYFUNCTION("""COMPUTED_VALUE"""),0.36363636363636365)</f>
        <v>0.3636363636</v>
      </c>
      <c r="M205" s="56">
        <f>IFERROR(__xludf.DUMMYFUNCTION("""COMPUTED_VALUE"""),0.3278688524590164)</f>
        <v>0.3278688525</v>
      </c>
      <c r="N205" s="31">
        <f>IFERROR(__xludf.DUMMYFUNCTION("""COMPUTED_VALUE"""),299.7878787878788)</f>
        <v>299.7878788</v>
      </c>
      <c r="O205" s="57">
        <f>IFERROR(__xludf.DUMMYFUNCTION("""COMPUTED_VALUE"""),0.6060606060606061)</f>
        <v>0.6060606061</v>
      </c>
      <c r="P205" s="57">
        <f>IFERROR(__xludf.DUMMYFUNCTION("""COMPUTED_VALUE"""),0.2727272727272727)</f>
        <v>0.2727272727</v>
      </c>
      <c r="Q205" s="57">
        <f>IFERROR(__xludf.DUMMYFUNCTION("""COMPUTED_VALUE"""),1.303030303030303)</f>
        <v>1.303030303</v>
      </c>
      <c r="R205" s="57">
        <f>IFERROR(__xludf.DUMMYFUNCTION("""COMPUTED_VALUE"""),1.8484848484848484)</f>
        <v>1.848484848</v>
      </c>
      <c r="S205" s="31">
        <f>IFERROR(__xludf.DUMMYFUNCTION("""COMPUTED_VALUE"""),350.5454545454546)</f>
        <v>350.5454545</v>
      </c>
      <c r="T205" s="57">
        <f>IFERROR(__xludf.DUMMYFUNCTION("""COMPUTED_VALUE"""),1.0404040404040404)</f>
        <v>1.04040404</v>
      </c>
      <c r="U205" s="57">
        <f>IFERROR(__xludf.DUMMYFUNCTION("""COMPUTED_VALUE"""),0.6868686868686869)</f>
        <v>0.6868686869</v>
      </c>
      <c r="V205" s="57">
        <f>IFERROR(__xludf.DUMMYFUNCTION("""COMPUTED_VALUE"""),0.8585858585858588)</f>
        <v>0.8585858586</v>
      </c>
      <c r="W205" s="57">
        <f>IFERROR(__xludf.DUMMYFUNCTION("""COMPUTED_VALUE"""),2.91919191919192)</f>
        <v>2.919191919</v>
      </c>
      <c r="X205" s="31">
        <f>IFERROR(__xludf.DUMMYFUNCTION("""COMPUTED_VALUE"""),341.8563305804431)</f>
        <v>341.8563306</v>
      </c>
      <c r="Y205" s="57">
        <f>IFERROR(__xludf.DUMMYFUNCTION("""COMPUTED_VALUE"""),0.900122559559311)</f>
        <v>0.9001225596</v>
      </c>
      <c r="Z205" s="57">
        <f>IFERROR(__xludf.DUMMYFUNCTION("""COMPUTED_VALUE"""),0.6100476016741111)</f>
        <v>0.6100476017</v>
      </c>
      <c r="AA205" s="57">
        <f>IFERROR(__xludf.DUMMYFUNCTION("""COMPUTED_VALUE"""),1.0504293823222697)</f>
        <v>1.050429382</v>
      </c>
      <c r="AB205" s="57">
        <f>IFERROR(__xludf.DUMMYFUNCTION("""COMPUTED_VALUE"""),2.4854228998273373)</f>
        <v>2.4854229</v>
      </c>
      <c r="AC205" s="31">
        <f>IFERROR(__xludf.DUMMYFUNCTION("""COMPUTED_VALUE"""),325.5620315263111)</f>
        <v>325.5620315</v>
      </c>
      <c r="AD205" s="57">
        <f>IFERROR(__xludf.DUMMYFUNCTION("""COMPUTED_VALUE"""),0.7936446170269528)</f>
        <v>0.793644617</v>
      </c>
      <c r="AE205" s="57">
        <f>IFERROR(__xludf.DUMMYFUNCTION("""COMPUTED_VALUE"""),0.519614343733886)</f>
        <v>0.5196143437</v>
      </c>
      <c r="AF205" s="57">
        <f>IFERROR(__xludf.DUMMYFUNCTION("""COMPUTED_VALUE"""),1.1251390298728854)</f>
        <v>1.12513903</v>
      </c>
      <c r="AG205" s="57">
        <f>IFERROR(__xludf.DUMMYFUNCTION("""COMPUTED_VALUE"""),2.199446226191457)</f>
        <v>2.199446226</v>
      </c>
      <c r="AH205" s="57">
        <f>IFERROR(__xludf.DUMMYFUNCTION("""COMPUTED_VALUE"""),0.9208318223792958)</f>
        <v>0.9208318224</v>
      </c>
      <c r="AI205" s="57">
        <f>IFERROR(__xludf.DUMMYFUNCTION("""COMPUTED_VALUE"""),0.7636423067177734)</f>
        <v>0.7636423067</v>
      </c>
      <c r="AJ205" s="57">
        <f>IFERROR(__xludf.DUMMYFUNCTION("""COMPUTED_VALUE"""),0.5248647886959537)</f>
        <v>0.5248647887</v>
      </c>
      <c r="AK205" s="57">
        <f>IFERROR(__xludf.DUMMYFUNCTION("""COMPUTED_VALUE"""),1.1581060370623844)</f>
        <v>1.158106037</v>
      </c>
      <c r="AL205" s="57">
        <f>IFERROR(__xludf.DUMMYFUNCTION("""COMPUTED_VALUE"""),0.8404319353084023)</f>
        <v>0.8404319353</v>
      </c>
      <c r="AM205" s="57">
        <f>IFERROR(__xludf.DUMMYFUNCTION("""COMPUTED_VALUE"""),1.0254174727443488)</f>
        <v>1.025417473</v>
      </c>
      <c r="AN205" s="57">
        <f>IFERROR(__xludf.DUMMYFUNCTION("""COMPUTED_VALUE"""),1.1558470892157282)</f>
        <v>1.155847089</v>
      </c>
      <c r="AO205" s="57">
        <f>IFERROR(__xludf.DUMMYFUNCTION("""COMPUTED_VALUE"""),1.1259263785051543)</f>
        <v>1.125926379</v>
      </c>
      <c r="AP205" s="35">
        <f>IFERROR(__xludf.DUMMYFUNCTION("""COMPUTED_VALUE"""),0.8173665674580743)</f>
        <v>0.8173665675</v>
      </c>
      <c r="AQ205" s="57">
        <f>IFERROR(__xludf.DUMMYFUNCTION("""COMPUTED_VALUE"""),1.1745252364878092)</f>
        <v>1.174525236</v>
      </c>
      <c r="AR205" s="36" t="b">
        <f>IFERROR(__xludf.DUMMYFUNCTION("""COMPUTED_VALUE"""),TRUE)</f>
        <v>1</v>
      </c>
      <c r="AS205" s="57"/>
      <c r="AT205" s="37"/>
      <c r="AU205" s="30"/>
      <c r="AV205" s="30"/>
      <c r="AW205" s="30"/>
      <c r="AX205" s="30"/>
      <c r="AY205" s="30"/>
      <c r="AZ205" s="30"/>
    </row>
    <row r="206">
      <c r="A206" s="30" t="str">
        <f>IFERROR(__xludf.DUMMYFUNCTION("""COMPUTED_VALUE"""),"Contender")</f>
        <v>Contender</v>
      </c>
      <c r="B206" s="30" t="str">
        <f>IFERROR(__xludf.DUMMYFUNCTION("""COMPUTED_VALUE"""),"RSC007513")</f>
        <v>RSC007513</v>
      </c>
      <c r="C206" s="30" t="str">
        <f>IFERROR(__xludf.DUMMYFUNCTION("""COMPUTED_VALUE"""),"Russ")</f>
        <v>Russ</v>
      </c>
      <c r="D206" s="31" t="str">
        <f>IFERROR(__xludf.DUMMYFUNCTION("""COMPUTED_VALUE"""),"Toothpaste")</f>
        <v>Toothpaste</v>
      </c>
      <c r="E206" s="31">
        <f>IFERROR(__xludf.DUMMYFUNCTION("""COMPUTED_VALUE"""),29.959548976469453)</f>
        <v>29.95954898</v>
      </c>
      <c r="F206" s="31">
        <f>IFERROR(__xludf.DUMMYFUNCTION("""COMPUTED_VALUE"""),-4.730660568225033)</f>
        <v>-4.730660568</v>
      </c>
      <c r="G206" s="31">
        <f>IFERROR(__xludf.DUMMYFUNCTION("""COMPUTED_VALUE"""),32.47407592947047)</f>
        <v>32.47407593</v>
      </c>
      <c r="H206" s="31">
        <f>IFERROR(__xludf.DUMMYFUNCTION("""COMPUTED_VALUE"""),-4.138388128577437)</f>
        <v>-4.138388129</v>
      </c>
      <c r="I206" s="54">
        <f>IFERROR(__xludf.DUMMYFUNCTION("""COMPUTED_VALUE"""),13.0)</f>
        <v>13</v>
      </c>
      <c r="J206" s="55">
        <f>IFERROR(__xludf.DUMMYFUNCTION("""COMPUTED_VALUE"""),3.0)</f>
        <v>3</v>
      </c>
      <c r="K206" s="54">
        <f>IFERROR(__xludf.DUMMYFUNCTION("""COMPUTED_VALUE"""),10.0)</f>
        <v>10</v>
      </c>
      <c r="L206" s="56">
        <f>IFERROR(__xludf.DUMMYFUNCTION("""COMPUTED_VALUE"""),0.23076923076923078)</f>
        <v>0.2307692308</v>
      </c>
      <c r="M206" s="56">
        <f>IFERROR(__xludf.DUMMYFUNCTION("""COMPUTED_VALUE"""),0.36363636363636365)</f>
        <v>0.3636363636</v>
      </c>
      <c r="N206" s="31">
        <f>IFERROR(__xludf.DUMMYFUNCTION("""COMPUTED_VALUE"""),263.15384615384613)</f>
        <v>263.1538462</v>
      </c>
      <c r="O206" s="57">
        <f>IFERROR(__xludf.DUMMYFUNCTION("""COMPUTED_VALUE"""),0.6153846153846154)</f>
        <v>0.6153846154</v>
      </c>
      <c r="P206" s="57">
        <f>IFERROR(__xludf.DUMMYFUNCTION("""COMPUTED_VALUE"""),0.5384615384615384)</f>
        <v>0.5384615385</v>
      </c>
      <c r="Q206" s="57">
        <f>IFERROR(__xludf.DUMMYFUNCTION("""COMPUTED_VALUE"""),0.7692307692307693)</f>
        <v>0.7692307692</v>
      </c>
      <c r="R206" s="57">
        <f>IFERROR(__xludf.DUMMYFUNCTION("""COMPUTED_VALUE"""),1.6923076923076923)</f>
        <v>1.692307692</v>
      </c>
      <c r="S206" s="31">
        <f>IFERROR(__xludf.DUMMYFUNCTION("""COMPUTED_VALUE"""),386.97435897435895)</f>
        <v>386.974359</v>
      </c>
      <c r="T206" s="57">
        <f>IFERROR(__xludf.DUMMYFUNCTION("""COMPUTED_VALUE"""),1.2307692307692308)</f>
        <v>1.230769231</v>
      </c>
      <c r="U206" s="57">
        <f>IFERROR(__xludf.DUMMYFUNCTION("""COMPUTED_VALUE"""),0.717948717948718)</f>
        <v>0.7179487179</v>
      </c>
      <c r="V206" s="57">
        <f>IFERROR(__xludf.DUMMYFUNCTION("""COMPUTED_VALUE"""),0.8205128205128205)</f>
        <v>0.8205128205</v>
      </c>
      <c r="W206" s="57">
        <f>IFERROR(__xludf.DUMMYFUNCTION("""COMPUTED_VALUE"""),2.5384615384615383)</f>
        <v>2.538461538</v>
      </c>
      <c r="X206" s="31">
        <f>IFERROR(__xludf.DUMMYFUNCTION("""COMPUTED_VALUE"""),328.0372512163001)</f>
        <v>328.0372512</v>
      </c>
      <c r="Y206" s="57">
        <f>IFERROR(__xludf.DUMMYFUNCTION("""COMPUTED_VALUE"""),0.8140904321792086)</f>
        <v>0.8140904322</v>
      </c>
      <c r="Z206" s="57">
        <f>IFERROR(__xludf.DUMMYFUNCTION("""COMPUTED_VALUE"""),0.49690828605798476)</f>
        <v>0.4969082861</v>
      </c>
      <c r="AA206" s="57">
        <f>IFERROR(__xludf.DUMMYFUNCTION("""COMPUTED_VALUE"""),1.1318819468918324)</f>
        <v>1.131881947</v>
      </c>
      <c r="AB206" s="57">
        <f>IFERROR(__xludf.DUMMYFUNCTION("""COMPUTED_VALUE"""),2.215935927793917)</f>
        <v>2.215935928</v>
      </c>
      <c r="AC206" s="31">
        <f>IFERROR(__xludf.DUMMYFUNCTION("""COMPUTED_VALUE"""),329.98533373331554)</f>
        <v>329.9853337</v>
      </c>
      <c r="AD206" s="57">
        <f>IFERROR(__xludf.DUMMYFUNCTION("""COMPUTED_VALUE"""),0.8272453231805044)</f>
        <v>0.8272453232</v>
      </c>
      <c r="AE206" s="57">
        <f>IFERROR(__xludf.DUMMYFUNCTION("""COMPUTED_VALUE"""),0.5744103603529432)</f>
        <v>0.5744103604</v>
      </c>
      <c r="AF206" s="57">
        <f>IFERROR(__xludf.DUMMYFUNCTION("""COMPUTED_VALUE"""),1.0597078071675043)</f>
        <v>1.059707807</v>
      </c>
      <c r="AG206" s="57">
        <f>IFERROR(__xludf.DUMMYFUNCTION("""COMPUTED_VALUE"""),2.422632021848727)</f>
        <v>2.422632022</v>
      </c>
      <c r="AH206" s="57">
        <f>IFERROR(__xludf.DUMMYFUNCTION("""COMPUTED_VALUE"""),0.7974713396399591)</f>
        <v>0.7974713396</v>
      </c>
      <c r="AI206" s="57">
        <f>IFERROR(__xludf.DUMMYFUNCTION("""COMPUTED_VALUE"""),0.7438961552767085)</f>
        <v>0.7438961553</v>
      </c>
      <c r="AJ206" s="57">
        <f>IFERROR(__xludf.DUMMYFUNCTION("""COMPUTED_VALUE"""),0.9374161324852911)</f>
        <v>0.9374161325</v>
      </c>
      <c r="AK206" s="57">
        <f>IFERROR(__xludf.DUMMYFUNCTION("""COMPUTED_VALUE"""),0.7258894989995857)</f>
        <v>0.725889499</v>
      </c>
      <c r="AL206" s="57">
        <f>IFERROR(__xludf.DUMMYFUNCTION("""COMPUTED_VALUE"""),0.6985409575393463)</f>
        <v>0.6985409575</v>
      </c>
      <c r="AM206" s="57">
        <f>IFERROR(__xludf.DUMMYFUNCTION("""COMPUTED_VALUE"""),1.1796658993438434)</f>
        <v>1.179665899</v>
      </c>
      <c r="AN206" s="57">
        <f>IFERROR(__xludf.DUMMYFUNCTION("""COMPUTED_VALUE"""),1.5118335532756848)</f>
        <v>1.511833553</v>
      </c>
      <c r="AO206" s="57">
        <f>IFERROR(__xludf.DUMMYFUNCTION("""COMPUTED_VALUE"""),1.444831446954257)</f>
        <v>1.444831447</v>
      </c>
      <c r="AP206" s="35">
        <f>IFERROR(__xludf.DUMMYFUNCTION("""COMPUTED_VALUE"""),0.7249102459545035)</f>
        <v>0.724910246</v>
      </c>
      <c r="AQ206" s="57">
        <f>IFERROR(__xludf.DUMMYFUNCTION("""COMPUTED_VALUE"""),1.1455482564375015)</f>
        <v>1.145548256</v>
      </c>
      <c r="AR206" s="36" t="b">
        <f>IFERROR(__xludf.DUMMYFUNCTION("""COMPUTED_VALUE"""),TRUE)</f>
        <v>1</v>
      </c>
      <c r="AS206" s="57"/>
      <c r="AT206" s="37"/>
      <c r="AU206" s="30"/>
      <c r="AV206" s="30"/>
      <c r="AW206" s="30"/>
      <c r="AX206" s="30"/>
      <c r="AY206" s="30"/>
      <c r="AZ206" s="30"/>
    </row>
    <row r="207">
      <c r="A207" s="30" t="str">
        <f>IFERROR(__xludf.DUMMYFUNCTION("""COMPUTED_VALUE"""),"Contender")</f>
        <v>Contender</v>
      </c>
      <c r="B207" s="30" t="str">
        <f>IFERROR(__xludf.DUMMYFUNCTION("""COMPUTED_VALUE"""),"RSC005714")</f>
        <v>RSC005714</v>
      </c>
      <c r="C207" s="30" t="str">
        <f>IFERROR(__xludf.DUMMYFUNCTION("""COMPUTED_VALUE"""),"T_i_m_o_g")</f>
        <v>T_i_m_o_g</v>
      </c>
      <c r="D207" s="31" t="str">
        <f>IFERROR(__xludf.DUMMYFUNCTION("""COMPUTED_VALUE"""),"Legionaries")</f>
        <v>Legionaries</v>
      </c>
      <c r="E207" s="31">
        <f>IFERROR(__xludf.DUMMYFUNCTION("""COMPUTED_VALUE"""),28.03662808726951)</f>
        <v>28.03662809</v>
      </c>
      <c r="F207" s="31">
        <f>IFERROR(__xludf.DUMMYFUNCTION("""COMPUTED_VALUE"""),-5.267961173408018)</f>
        <v>-5.267961173</v>
      </c>
      <c r="G207" s="31">
        <f>IFERROR(__xludf.DUMMYFUNCTION("""COMPUTED_VALUE"""),23.967986587835405)</f>
        <v>23.96798659</v>
      </c>
      <c r="H207" s="31">
        <f>IFERROR(__xludf.DUMMYFUNCTION("""COMPUTED_VALUE"""),-6.717149014541396)</f>
        <v>-6.717149015</v>
      </c>
      <c r="I207" s="54">
        <f>IFERROR(__xludf.DUMMYFUNCTION("""COMPUTED_VALUE"""),26.0)</f>
        <v>26</v>
      </c>
      <c r="J207" s="55">
        <f>IFERROR(__xludf.DUMMYFUNCTION("""COMPUTED_VALUE"""),9.0)</f>
        <v>9</v>
      </c>
      <c r="K207" s="54">
        <f>IFERROR(__xludf.DUMMYFUNCTION("""COMPUTED_VALUE"""),17.0)</f>
        <v>17</v>
      </c>
      <c r="L207" s="56">
        <f>IFERROR(__xludf.DUMMYFUNCTION("""COMPUTED_VALUE"""),0.34615384615384615)</f>
        <v>0.3461538462</v>
      </c>
      <c r="M207" s="56">
        <f>IFERROR(__xludf.DUMMYFUNCTION("""COMPUTED_VALUE"""),0.3333333333333333)</f>
        <v>0.3333333333</v>
      </c>
      <c r="N207" s="31">
        <f>IFERROR(__xludf.DUMMYFUNCTION("""COMPUTED_VALUE"""),288.2307692307692)</f>
        <v>288.2307692</v>
      </c>
      <c r="O207" s="57">
        <f>IFERROR(__xludf.DUMMYFUNCTION("""COMPUTED_VALUE"""),0.5769230769230769)</f>
        <v>0.5769230769</v>
      </c>
      <c r="P207" s="57">
        <f>IFERROR(__xludf.DUMMYFUNCTION("""COMPUTED_VALUE"""),0.2692307692307692)</f>
        <v>0.2692307692</v>
      </c>
      <c r="Q207" s="57">
        <f>IFERROR(__xludf.DUMMYFUNCTION("""COMPUTED_VALUE"""),1.2692307692307692)</f>
        <v>1.269230769</v>
      </c>
      <c r="R207" s="57">
        <f>IFERROR(__xludf.DUMMYFUNCTION("""COMPUTED_VALUE"""),1.7307692307692308)</f>
        <v>1.730769231</v>
      </c>
      <c r="S207" s="31">
        <f>IFERROR(__xludf.DUMMYFUNCTION("""COMPUTED_VALUE"""),346.9871794871794)</f>
        <v>346.9871795</v>
      </c>
      <c r="T207" s="57">
        <f>IFERROR(__xludf.DUMMYFUNCTION("""COMPUTED_VALUE"""),0.987179487179487)</f>
        <v>0.9871794872</v>
      </c>
      <c r="U207" s="57">
        <f>IFERROR(__xludf.DUMMYFUNCTION("""COMPUTED_VALUE"""),0.6410256410256411)</f>
        <v>0.641025641</v>
      </c>
      <c r="V207" s="57">
        <f>IFERROR(__xludf.DUMMYFUNCTION("""COMPUTED_VALUE"""),0.9102564102564105)</f>
        <v>0.9102564103</v>
      </c>
      <c r="W207" s="57">
        <f>IFERROR(__xludf.DUMMYFUNCTION("""COMPUTED_VALUE"""),2.8205128205128207)</f>
        <v>2.820512821</v>
      </c>
      <c r="X207" s="31">
        <f>IFERROR(__xludf.DUMMYFUNCTION("""COMPUTED_VALUE"""),342.03895518883013)</f>
        <v>342.0389552</v>
      </c>
      <c r="Y207" s="57">
        <f>IFERROR(__xludf.DUMMYFUNCTION("""COMPUTED_VALUE"""),0.903183284946219)</f>
        <v>0.9031832849</v>
      </c>
      <c r="Z207" s="57">
        <f>IFERROR(__xludf.DUMMYFUNCTION("""COMPUTED_VALUE"""),0.6057859448530304)</f>
        <v>0.6057859449</v>
      </c>
      <c r="AA207" s="57">
        <f>IFERROR(__xludf.DUMMYFUNCTION("""COMPUTED_VALUE"""),1.0661358050561762)</f>
        <v>1.066135805</v>
      </c>
      <c r="AB207" s="57">
        <f>IFERROR(__xludf.DUMMYFUNCTION("""COMPUTED_VALUE"""),2.459075714873292)</f>
        <v>2.459075715</v>
      </c>
      <c r="AC207" s="31">
        <f>IFERROR(__xludf.DUMMYFUNCTION("""COMPUTED_VALUE"""),327.06051833943053)</f>
        <v>327.0605183</v>
      </c>
      <c r="AD207" s="57">
        <f>IFERROR(__xludf.DUMMYFUNCTION("""COMPUTED_VALUE"""),0.7965657414258623)</f>
        <v>0.7965657414</v>
      </c>
      <c r="AE207" s="57">
        <f>IFERROR(__xludf.DUMMYFUNCTION("""COMPUTED_VALUE"""),0.5280329761083292)</f>
        <v>0.5280329761</v>
      </c>
      <c r="AF207" s="57">
        <f>IFERROR(__xludf.DUMMYFUNCTION("""COMPUTED_VALUE"""),1.119677271674185)</f>
        <v>1.119677272</v>
      </c>
      <c r="AG207" s="57">
        <f>IFERROR(__xludf.DUMMYFUNCTION("""COMPUTED_VALUE"""),2.2430702407190375)</f>
        <v>2.243070241</v>
      </c>
      <c r="AH207" s="57">
        <f>IFERROR(__xludf.DUMMYFUNCTION("""COMPUTED_VALUE"""),0.881276562191579)</f>
        <v>0.8812765622</v>
      </c>
      <c r="AI207" s="57">
        <f>IFERROR(__xludf.DUMMYFUNCTION("""COMPUTED_VALUE"""),0.7242629790861675)</f>
        <v>0.7242629791</v>
      </c>
      <c r="AJ207" s="57">
        <f>IFERROR(__xludf.DUMMYFUNCTION("""COMPUTED_VALUE"""),0.5098749157960446)</f>
        <v>0.5098749158</v>
      </c>
      <c r="AK207" s="57">
        <f>IFERROR(__xludf.DUMMYFUNCTION("""COMPUTED_VALUE"""),1.1335683963049157)</f>
        <v>1.133568396</v>
      </c>
      <c r="AL207" s="57">
        <f>IFERROR(__xludf.DUMMYFUNCTION("""COMPUTED_VALUE"""),0.7716072369692785)</f>
        <v>0.771607237</v>
      </c>
      <c r="AM207" s="57">
        <f>IFERROR(__xludf.DUMMYFUNCTION("""COMPUTED_VALUE"""),1.0144668442681257)</f>
        <v>1.014466844</v>
      </c>
      <c r="AN207" s="57">
        <f>IFERROR(__xludf.DUMMYFUNCTION("""COMPUTED_VALUE"""),1.0930001735342896)</f>
        <v>1.093000174</v>
      </c>
      <c r="AO207" s="57">
        <f>IFERROR(__xludf.DUMMYFUNCTION("""COMPUTED_VALUE"""),1.0581718616485236)</f>
        <v>1.058171862</v>
      </c>
      <c r="AP207" s="35">
        <f>IFERROR(__xludf.DUMMYFUNCTION("""COMPUTED_VALUE"""),0.8537903013288703)</f>
        <v>0.8537903013</v>
      </c>
      <c r="AQ207" s="57">
        <f>IFERROR(__xludf.DUMMYFUNCTION("""COMPUTED_VALUE"""),1.1469808771862693)</f>
        <v>1.146980877</v>
      </c>
      <c r="AR207" s="36" t="b">
        <f>IFERROR(__xludf.DUMMYFUNCTION("""COMPUTED_VALUE"""),TRUE)</f>
        <v>1</v>
      </c>
      <c r="AS207" s="57"/>
      <c r="AT207" s="37"/>
      <c r="AU207" s="30"/>
      <c r="AV207" s="30"/>
      <c r="AW207" s="30"/>
      <c r="AX207" s="30"/>
      <c r="AY207" s="30"/>
      <c r="AZ207" s="30"/>
    </row>
    <row r="208">
      <c r="A208" s="30" t="str">
        <f>IFERROR(__xludf.DUMMYFUNCTION("""COMPUTED_VALUE"""),"Contender")</f>
        <v>Contender</v>
      </c>
      <c r="B208" s="30" t="str">
        <f>IFERROR(__xludf.DUMMYFUNCTION("""COMPUTED_VALUE"""),"RSC006919")</f>
        <v>RSC006919</v>
      </c>
      <c r="C208" s="30" t="str">
        <f>IFERROR(__xludf.DUMMYFUNCTION("""COMPUTED_VALUE"""),"rinny_b0y")</f>
        <v>rinny_b0y</v>
      </c>
      <c r="D208" s="31" t="str">
        <f>IFERROR(__xludf.DUMMYFUNCTION("""COMPUTED_VALUE"""),"Zebras")</f>
        <v>Zebras</v>
      </c>
      <c r="E208" s="31">
        <f>IFERROR(__xludf.DUMMYFUNCTION("""COMPUTED_VALUE"""),26.702670982084776)</f>
        <v>26.70267098</v>
      </c>
      <c r="F208" s="31">
        <f>IFERROR(__xludf.DUMMYFUNCTION("""COMPUTED_VALUE"""),-5.6916533831166465)</f>
        <v>-5.691653383</v>
      </c>
      <c r="G208" s="31">
        <f>IFERROR(__xludf.DUMMYFUNCTION("""COMPUTED_VALUE"""),24.93625219710207)</f>
        <v>24.9362522</v>
      </c>
      <c r="H208" s="31">
        <f>IFERROR(__xludf.DUMMYFUNCTION("""COMPUTED_VALUE"""),-6.3275505984890055)</f>
        <v>-6.327550598</v>
      </c>
      <c r="I208" s="54">
        <f>IFERROR(__xludf.DUMMYFUNCTION("""COMPUTED_VALUE"""),39.0)</f>
        <v>39</v>
      </c>
      <c r="J208" s="55">
        <f>IFERROR(__xludf.DUMMYFUNCTION("""COMPUTED_VALUE"""),13.0)</f>
        <v>13</v>
      </c>
      <c r="K208" s="54">
        <f>IFERROR(__xludf.DUMMYFUNCTION("""COMPUTED_VALUE"""),26.0)</f>
        <v>26</v>
      </c>
      <c r="L208" s="56">
        <f>IFERROR(__xludf.DUMMYFUNCTION("""COMPUTED_VALUE"""),0.3333333333333333)</f>
        <v>0.3333333333</v>
      </c>
      <c r="M208" s="56">
        <f>IFERROR(__xludf.DUMMYFUNCTION("""COMPUTED_VALUE"""),0.3026315789473684)</f>
        <v>0.3026315789</v>
      </c>
      <c r="N208" s="31">
        <f>IFERROR(__xludf.DUMMYFUNCTION("""COMPUTED_VALUE"""),275.5897435897436)</f>
        <v>275.5897436</v>
      </c>
      <c r="O208" s="57">
        <f>IFERROR(__xludf.DUMMYFUNCTION("""COMPUTED_VALUE"""),0.5897435897435898)</f>
        <v>0.5897435897</v>
      </c>
      <c r="P208" s="57">
        <f>IFERROR(__xludf.DUMMYFUNCTION("""COMPUTED_VALUE"""),0.23076923076923078)</f>
        <v>0.2307692308</v>
      </c>
      <c r="Q208" s="57">
        <f>IFERROR(__xludf.DUMMYFUNCTION("""COMPUTED_VALUE"""),1.0256410256410255)</f>
        <v>1.025641026</v>
      </c>
      <c r="R208" s="57">
        <f>IFERROR(__xludf.DUMMYFUNCTION("""COMPUTED_VALUE"""),1.9487179487179487)</f>
        <v>1.948717949</v>
      </c>
      <c r="S208" s="31">
        <f>IFERROR(__xludf.DUMMYFUNCTION("""COMPUTED_VALUE"""),373.56410256410254)</f>
        <v>373.5641026</v>
      </c>
      <c r="T208" s="57">
        <f>IFERROR(__xludf.DUMMYFUNCTION("""COMPUTED_VALUE"""),1.1111111111111112)</f>
        <v>1.111111111</v>
      </c>
      <c r="U208" s="57">
        <f>IFERROR(__xludf.DUMMYFUNCTION("""COMPUTED_VALUE"""),0.752136752136752)</f>
        <v>0.7521367521</v>
      </c>
      <c r="V208" s="57">
        <f>IFERROR(__xludf.DUMMYFUNCTION("""COMPUTED_VALUE"""),1.0598290598290598)</f>
        <v>1.05982906</v>
      </c>
      <c r="W208" s="57">
        <f>IFERROR(__xludf.DUMMYFUNCTION("""COMPUTED_VALUE"""),2.675213675213676)</f>
        <v>2.675213675</v>
      </c>
      <c r="X208" s="31">
        <f>IFERROR(__xludf.DUMMYFUNCTION("""COMPUTED_VALUE"""),343.4598525516679)</f>
        <v>343.4598526</v>
      </c>
      <c r="Y208" s="57">
        <f>IFERROR(__xludf.DUMMYFUNCTION("""COMPUTED_VALUE"""),0.9261759441533894)</f>
        <v>0.9261759442</v>
      </c>
      <c r="Z208" s="57">
        <f>IFERROR(__xludf.DUMMYFUNCTION("""COMPUTED_VALUE"""),0.6093438916866025)</f>
        <v>0.6093438917</v>
      </c>
      <c r="AA208" s="57">
        <f>IFERROR(__xludf.DUMMYFUNCTION("""COMPUTED_VALUE"""),1.0629697935835691)</f>
        <v>1.062969794</v>
      </c>
      <c r="AB208" s="57">
        <f>IFERROR(__xludf.DUMMYFUNCTION("""COMPUTED_VALUE"""),2.4666266750204726)</f>
        <v>2.466626675</v>
      </c>
      <c r="AC208" s="31">
        <f>IFERROR(__xludf.DUMMYFUNCTION("""COMPUTED_VALUE"""),325.4980361520816)</f>
        <v>325.4980362</v>
      </c>
      <c r="AD208" s="57">
        <f>IFERROR(__xludf.DUMMYFUNCTION("""COMPUTED_VALUE"""),0.7784001486254628)</f>
        <v>0.7784001486</v>
      </c>
      <c r="AE208" s="57">
        <f>IFERROR(__xludf.DUMMYFUNCTION("""COMPUTED_VALUE"""),0.526300416597065)</f>
        <v>0.5263004166</v>
      </c>
      <c r="AF208" s="57">
        <f>IFERROR(__xludf.DUMMYFUNCTION("""COMPUTED_VALUE"""),1.1336508470231006)</f>
        <v>1.133650847</v>
      </c>
      <c r="AG208" s="57">
        <f>IFERROR(__xludf.DUMMYFUNCTION("""COMPUTED_VALUE"""),2.2393626798499433)</f>
        <v>2.23936268</v>
      </c>
      <c r="AH208" s="57">
        <f>IFERROR(__xludf.DUMMYFUNCTION("""COMPUTED_VALUE"""),0.8466709871668181)</f>
        <v>0.8466709872</v>
      </c>
      <c r="AI208" s="57">
        <f>IFERROR(__xludf.DUMMYFUNCTION("""COMPUTED_VALUE"""),0.757635505061231)</f>
        <v>0.7576355051</v>
      </c>
      <c r="AJ208" s="57">
        <f>IFERROR(__xludf.DUMMYFUNCTION("""COMPUTED_VALUE"""),0.4384743456243689)</f>
        <v>0.4384743456</v>
      </c>
      <c r="AK208" s="57">
        <f>IFERROR(__xludf.DUMMYFUNCTION("""COMPUTED_VALUE"""),0.9047239088951397)</f>
        <v>0.9047239089</v>
      </c>
      <c r="AL208" s="57">
        <f>IFERROR(__xludf.DUMMYFUNCTION("""COMPUTED_VALUE"""),0.8702109605794313)</f>
        <v>0.8702109606</v>
      </c>
      <c r="AM208" s="57">
        <f>IFERROR(__xludf.DUMMYFUNCTION("""COMPUTED_VALUE"""),1.0876499823451882)</f>
        <v>1.087649982</v>
      </c>
      <c r="AN208" s="57">
        <f>IFERROR(__xludf.DUMMYFUNCTION("""COMPUTED_VALUE"""),1.1996760638463457)</f>
        <v>1.199676064</v>
      </c>
      <c r="AO208" s="57">
        <f>IFERROR(__xludf.DUMMYFUNCTION("""COMPUTED_VALUE"""),1.2343387082373358)</f>
        <v>1.234338708</v>
      </c>
      <c r="AP208" s="35">
        <f>IFERROR(__xludf.DUMMYFUNCTION("""COMPUTED_VALUE"""),0.9970453217264801)</f>
        <v>0.9970453217</v>
      </c>
      <c r="AQ208" s="57">
        <f>IFERROR(__xludf.DUMMYFUNCTION("""COMPUTED_VALUE"""),1.0845636683919637)</f>
        <v>1.084563668</v>
      </c>
      <c r="AR208" s="36" t="b">
        <f>IFERROR(__xludf.DUMMYFUNCTION("""COMPUTED_VALUE"""),TRUE)</f>
        <v>1</v>
      </c>
      <c r="AS208" s="57"/>
      <c r="AT208" s="37"/>
      <c r="AU208" s="30"/>
      <c r="AV208" s="30"/>
      <c r="AW208" s="30"/>
      <c r="AX208" s="30"/>
      <c r="AY208" s="30"/>
      <c r="AZ208" s="30"/>
    </row>
    <row r="209">
      <c r="A209" s="30" t="str">
        <f>IFERROR(__xludf.DUMMYFUNCTION("""COMPUTED_VALUE"""),"Contender")</f>
        <v>Contender</v>
      </c>
      <c r="B209" s="30" t="str">
        <f>IFERROR(__xludf.DUMMYFUNCTION("""COMPUTED_VALUE"""),"RSC006024")</f>
        <v>RSC006024</v>
      </c>
      <c r="C209" s="30" t="str">
        <f>IFERROR(__xludf.DUMMYFUNCTION("""COMPUTED_VALUE"""),"DrizzyDaDizzy")</f>
        <v>DrizzyDaDizzy</v>
      </c>
      <c r="D209" s="31"/>
      <c r="E209" s="31">
        <f>IFERROR(__xludf.DUMMYFUNCTION("""COMPUTED_VALUE"""),21.45471248802229)</f>
        <v>21.45471249</v>
      </c>
      <c r="F209" s="31">
        <f>IFERROR(__xludf.DUMMYFUNCTION("""COMPUTED_VALUE"""),-7.888538704706917)</f>
        <v>-7.888538705</v>
      </c>
      <c r="G209" s="31">
        <f>IFERROR(__xludf.DUMMYFUNCTION("""COMPUTED_VALUE"""),24.672940207614385)</f>
        <v>24.67294021</v>
      </c>
      <c r="H209" s="31">
        <f>IFERROR(__xludf.DUMMYFUNCTION("""COMPUTED_VALUE"""),-6.430437924762883)</f>
        <v>-6.430437925</v>
      </c>
      <c r="I209" s="54">
        <f>IFERROR(__xludf.DUMMYFUNCTION("""COMPUTED_VALUE"""),7.0)</f>
        <v>7</v>
      </c>
      <c r="J209" s="55">
        <f>IFERROR(__xludf.DUMMYFUNCTION("""COMPUTED_VALUE"""),2.0)</f>
        <v>2</v>
      </c>
      <c r="K209" s="54">
        <f>IFERROR(__xludf.DUMMYFUNCTION("""COMPUTED_VALUE"""),5.0)</f>
        <v>5</v>
      </c>
      <c r="L209" s="56">
        <f>IFERROR(__xludf.DUMMYFUNCTION("""COMPUTED_VALUE"""),0.2857142857142857)</f>
        <v>0.2857142857</v>
      </c>
      <c r="M209" s="56">
        <f>IFERROR(__xludf.DUMMYFUNCTION("""COMPUTED_VALUE"""),0.6)</f>
        <v>0.6</v>
      </c>
      <c r="N209" s="31">
        <f>IFERROR(__xludf.DUMMYFUNCTION("""COMPUTED_VALUE"""),287.14285714285717)</f>
        <v>287.1428571</v>
      </c>
      <c r="O209" s="57">
        <f>IFERROR(__xludf.DUMMYFUNCTION("""COMPUTED_VALUE"""),0.8571428571428571)</f>
        <v>0.8571428571</v>
      </c>
      <c r="P209" s="57">
        <f>IFERROR(__xludf.DUMMYFUNCTION("""COMPUTED_VALUE"""),0.0)</f>
        <v>0</v>
      </c>
      <c r="Q209" s="57">
        <f>IFERROR(__xludf.DUMMYFUNCTION("""COMPUTED_VALUE"""),1.1428571428571428)</f>
        <v>1.142857143</v>
      </c>
      <c r="R209" s="57">
        <f>IFERROR(__xludf.DUMMYFUNCTION("""COMPUTED_VALUE"""),1.4285714285714286)</f>
        <v>1.428571429</v>
      </c>
      <c r="S209" s="31">
        <f>IFERROR(__xludf.DUMMYFUNCTION("""COMPUTED_VALUE"""),341.85714285714283)</f>
        <v>341.8571429</v>
      </c>
      <c r="T209" s="57">
        <f>IFERROR(__xludf.DUMMYFUNCTION("""COMPUTED_VALUE"""),1.0)</f>
        <v>1</v>
      </c>
      <c r="U209" s="57">
        <f>IFERROR(__xludf.DUMMYFUNCTION("""COMPUTED_VALUE"""),0.7619047619047619)</f>
        <v>0.7619047619</v>
      </c>
      <c r="V209" s="57">
        <f>IFERROR(__xludf.DUMMYFUNCTION("""COMPUTED_VALUE"""),1.0)</f>
        <v>1</v>
      </c>
      <c r="W209" s="57">
        <f>IFERROR(__xludf.DUMMYFUNCTION("""COMPUTED_VALUE"""),2.4761904761904767)</f>
        <v>2.476190476</v>
      </c>
      <c r="X209" s="31">
        <f>IFERROR(__xludf.DUMMYFUNCTION("""COMPUTED_VALUE"""),330.67887275525163)</f>
        <v>330.6788728</v>
      </c>
      <c r="Y209" s="57">
        <f>IFERROR(__xludf.DUMMYFUNCTION("""COMPUTED_VALUE"""),0.8172162569837385)</f>
        <v>0.817216257</v>
      </c>
      <c r="Z209" s="57">
        <f>IFERROR(__xludf.DUMMYFUNCTION("""COMPUTED_VALUE"""),0.5629895369182057)</f>
        <v>0.5629895369</v>
      </c>
      <c r="AA209" s="57">
        <f>IFERROR(__xludf.DUMMYFUNCTION("""COMPUTED_VALUE"""),1.119596050803343)</f>
        <v>1.119596051</v>
      </c>
      <c r="AB209" s="57">
        <f>IFERROR(__xludf.DUMMYFUNCTION("""COMPUTED_VALUE"""),2.3086108130979235)</f>
        <v>2.308610813</v>
      </c>
      <c r="AC209" s="31">
        <f>IFERROR(__xludf.DUMMYFUNCTION("""COMPUTED_VALUE"""),309.24979153270806)</f>
        <v>309.2497915</v>
      </c>
      <c r="AD209" s="57">
        <f>IFERROR(__xludf.DUMMYFUNCTION("""COMPUTED_VALUE"""),0.7068348390198087)</f>
        <v>0.706834839</v>
      </c>
      <c r="AE209" s="57">
        <f>IFERROR(__xludf.DUMMYFUNCTION("""COMPUTED_VALUE"""),0.4777501036901898)</f>
        <v>0.4777501037</v>
      </c>
      <c r="AF209" s="57">
        <f>IFERROR(__xludf.DUMMYFUNCTION("""COMPUTED_VALUE"""),1.0771001522160264)</f>
        <v>1.077100152</v>
      </c>
      <c r="AG209" s="57">
        <f>IFERROR(__xludf.DUMMYFUNCTION("""COMPUTED_VALUE"""),2.1797140172179517)</f>
        <v>2.179714017</v>
      </c>
      <c r="AH209" s="57">
        <f>IFERROR(__xludf.DUMMYFUNCTION("""COMPUTED_VALUE"""),0.9285143111001491)</f>
        <v>0.9285143111</v>
      </c>
      <c r="AI209" s="57">
        <f>IFERROR(__xludf.DUMMYFUNCTION("""COMPUTED_VALUE"""),1.2126494193912194)</f>
        <v>1.212649419</v>
      </c>
      <c r="AJ209" s="57">
        <f>IFERROR(__xludf.DUMMYFUNCTION("""COMPUTED_VALUE"""),0.0)</f>
        <v>0</v>
      </c>
      <c r="AK209" s="57">
        <f>IFERROR(__xludf.DUMMYFUNCTION("""COMPUTED_VALUE"""),1.0610500244622822)</f>
        <v>1.061050024</v>
      </c>
      <c r="AL209" s="57">
        <f>IFERROR(__xludf.DUMMYFUNCTION("""COMPUTED_VALUE"""),0.6553939724600966)</f>
        <v>0.6553939725</v>
      </c>
      <c r="AM209" s="57">
        <f>IFERROR(__xludf.DUMMYFUNCTION("""COMPUTED_VALUE"""),1.0338040044976344)</f>
        <v>1.033804004</v>
      </c>
      <c r="AN209" s="57">
        <f>IFERROR(__xludf.DUMMYFUNCTION("""COMPUTED_VALUE"""),1.2236663079744616)</f>
        <v>1.223666308</v>
      </c>
      <c r="AO209" s="57">
        <f>IFERROR(__xludf.DUMMYFUNCTION("""COMPUTED_VALUE"""),1.3533195769061968)</f>
        <v>1.353319577</v>
      </c>
      <c r="AP209" s="35">
        <f>IFERROR(__xludf.DUMMYFUNCTION("""COMPUTED_VALUE"""),0.8931792848701733)</f>
        <v>0.8931792849</v>
      </c>
      <c r="AQ209" s="57">
        <f>IFERROR(__xludf.DUMMYFUNCTION("""COMPUTED_VALUE"""),1.0725889622199587)</f>
        <v>1.072588962</v>
      </c>
      <c r="AR209" s="36" t="b">
        <f>IFERROR(__xludf.DUMMYFUNCTION("""COMPUTED_VALUE"""),TRUE)</f>
        <v>1</v>
      </c>
      <c r="AS209" s="57"/>
      <c r="AT209" s="37"/>
      <c r="AU209" s="30"/>
      <c r="AV209" s="30"/>
      <c r="AW209" s="30"/>
      <c r="AX209" s="30"/>
      <c r="AY209" s="30"/>
      <c r="AZ209" s="30"/>
    </row>
    <row r="210">
      <c r="A210" s="30" t="str">
        <f>IFERROR(__xludf.DUMMYFUNCTION("""COMPUTED_VALUE"""),"Contender")</f>
        <v>Contender</v>
      </c>
      <c r="B210" s="30" t="str">
        <f>IFERROR(__xludf.DUMMYFUNCTION("""COMPUTED_VALUE"""),"RSC000323")</f>
        <v>RSC000323</v>
      </c>
      <c r="C210" s="30" t="str">
        <f>IFERROR(__xludf.DUMMYFUNCTION("""COMPUTED_VALUE"""),"Styk75")</f>
        <v>Styk75</v>
      </c>
      <c r="D210" s="31" t="str">
        <f>IFERROR(__xludf.DUMMYFUNCTION("""COMPUTED_VALUE"""),"Legionaries")</f>
        <v>Legionaries</v>
      </c>
      <c r="E210" s="31">
        <f>IFERROR(__xludf.DUMMYFUNCTION("""COMPUTED_VALUE"""),20.70224084142608)</f>
        <v>20.70224084</v>
      </c>
      <c r="F210" s="31">
        <f>IFERROR(__xludf.DUMMYFUNCTION("""COMPUTED_VALUE"""),-8.290738122969474)</f>
        <v>-8.290738123</v>
      </c>
      <c r="G210" s="31">
        <f>IFERROR(__xludf.DUMMYFUNCTION("""COMPUTED_VALUE"""),11.150487667944368)</f>
        <v>11.15048767</v>
      </c>
      <c r="H210" s="31">
        <f>IFERROR(__xludf.DUMMYFUNCTION("""COMPUTED_VALUE"""),-16.640448297064253)</f>
        <v>-16.6404483</v>
      </c>
      <c r="I210" s="54">
        <f>IFERROR(__xludf.DUMMYFUNCTION("""COMPUTED_VALUE"""),22.0)</f>
        <v>22</v>
      </c>
      <c r="J210" s="55">
        <f>IFERROR(__xludf.DUMMYFUNCTION("""COMPUTED_VALUE"""),4.0)</f>
        <v>4</v>
      </c>
      <c r="K210" s="54">
        <f>IFERROR(__xludf.DUMMYFUNCTION("""COMPUTED_VALUE"""),18.0)</f>
        <v>18</v>
      </c>
      <c r="L210" s="56">
        <f>IFERROR(__xludf.DUMMYFUNCTION("""COMPUTED_VALUE"""),0.18181818181818182)</f>
        <v>0.1818181818</v>
      </c>
      <c r="M210" s="56">
        <f>IFERROR(__xludf.DUMMYFUNCTION("""COMPUTED_VALUE"""),0.30000000000000004)</f>
        <v>0.3</v>
      </c>
      <c r="N210" s="31">
        <f>IFERROR(__xludf.DUMMYFUNCTION("""COMPUTED_VALUE"""),241.13636363636363)</f>
        <v>241.1363636</v>
      </c>
      <c r="O210" s="57">
        <f>IFERROR(__xludf.DUMMYFUNCTION("""COMPUTED_VALUE"""),0.4090909090909091)</f>
        <v>0.4090909091</v>
      </c>
      <c r="P210" s="57">
        <f>IFERROR(__xludf.DUMMYFUNCTION("""COMPUTED_VALUE"""),0.36363636363636365)</f>
        <v>0.3636363636</v>
      </c>
      <c r="Q210" s="57">
        <f>IFERROR(__xludf.DUMMYFUNCTION("""COMPUTED_VALUE"""),1.2272727272727273)</f>
        <v>1.227272727</v>
      </c>
      <c r="R210" s="57">
        <f>IFERROR(__xludf.DUMMYFUNCTION("""COMPUTED_VALUE"""),1.3636363636363635)</f>
        <v>1.363636364</v>
      </c>
      <c r="S210" s="31">
        <f>IFERROR(__xludf.DUMMYFUNCTION("""COMPUTED_VALUE"""),362.16666666666663)</f>
        <v>362.1666667</v>
      </c>
      <c r="T210" s="57">
        <f>IFERROR(__xludf.DUMMYFUNCTION("""COMPUTED_VALUE"""),1.0757575757575755)</f>
        <v>1.075757576</v>
      </c>
      <c r="U210" s="57">
        <f>IFERROR(__xludf.DUMMYFUNCTION("""COMPUTED_VALUE"""),0.6969696969696969)</f>
        <v>0.696969697</v>
      </c>
      <c r="V210" s="57">
        <f>IFERROR(__xludf.DUMMYFUNCTION("""COMPUTED_VALUE"""),1.0000000000000002)</f>
        <v>1</v>
      </c>
      <c r="W210" s="57">
        <f>IFERROR(__xludf.DUMMYFUNCTION("""COMPUTED_VALUE"""),2.848484848484848)</f>
        <v>2.848484848</v>
      </c>
      <c r="X210" s="31">
        <f>IFERROR(__xludf.DUMMYFUNCTION("""COMPUTED_VALUE"""),345.99692931716527)</f>
        <v>345.9969293</v>
      </c>
      <c r="Y210" s="57">
        <f>IFERROR(__xludf.DUMMYFUNCTION("""COMPUTED_VALUE"""),0.9120455836121764)</f>
        <v>0.9120455836</v>
      </c>
      <c r="Z210" s="57">
        <f>IFERROR(__xludf.DUMMYFUNCTION("""COMPUTED_VALUE"""),0.6047358043866807)</f>
        <v>0.6047358044</v>
      </c>
      <c r="AA210" s="57">
        <f>IFERROR(__xludf.DUMMYFUNCTION("""COMPUTED_VALUE"""),1.0909982584461493)</f>
        <v>1.090998258</v>
      </c>
      <c r="AB210" s="57">
        <f>IFERROR(__xludf.DUMMYFUNCTION("""COMPUTED_VALUE"""),2.4725404613056607)</f>
        <v>2.472540461</v>
      </c>
      <c r="AC210" s="31">
        <f>IFERROR(__xludf.DUMMYFUNCTION("""COMPUTED_VALUE"""),323.42519180757193)</f>
        <v>323.4251918</v>
      </c>
      <c r="AD210" s="57">
        <f>IFERROR(__xludf.DUMMYFUNCTION("""COMPUTED_VALUE"""),0.7734460556862732)</f>
        <v>0.7734460557</v>
      </c>
      <c r="AE210" s="57">
        <f>IFERROR(__xludf.DUMMYFUNCTION("""COMPUTED_VALUE"""),0.5153591001960135)</f>
        <v>0.5153591002</v>
      </c>
      <c r="AF210" s="57">
        <f>IFERROR(__xludf.DUMMYFUNCTION("""COMPUTED_VALUE"""),1.1415333602261455)</f>
        <v>1.14153336</v>
      </c>
      <c r="AG210" s="57">
        <f>IFERROR(__xludf.DUMMYFUNCTION("""COMPUTED_VALUE"""),2.2061533468327217)</f>
        <v>2.206153347</v>
      </c>
      <c r="AH210" s="57">
        <f>IFERROR(__xludf.DUMMYFUNCTION("""COMPUTED_VALUE"""),0.7455707525090759)</f>
        <v>0.7455707525</v>
      </c>
      <c r="AI210" s="57">
        <f>IFERROR(__xludf.DUMMYFUNCTION("""COMPUTED_VALUE"""),0.5289197689784915)</f>
        <v>0.528919769</v>
      </c>
      <c r="AJ210" s="57">
        <f>IFERROR(__xludf.DUMMYFUNCTION("""COMPUTED_VALUE"""),0.705598025722369)</f>
        <v>0.7055980257</v>
      </c>
      <c r="AK210" s="57">
        <f>IFERROR(__xludf.DUMMYFUNCTION("""COMPUTED_VALUE"""),1.0751089455936673)</f>
        <v>1.075108946</v>
      </c>
      <c r="AL210" s="57">
        <f>IFERROR(__xludf.DUMMYFUNCTION("""COMPUTED_VALUE"""),0.618105883525312)</f>
        <v>0.6181058835</v>
      </c>
      <c r="AM210" s="57">
        <f>IFERROR(__xludf.DUMMYFUNCTION("""COMPUTED_VALUE"""),1.0467337596938007)</f>
        <v>1.04673376</v>
      </c>
      <c r="AN210" s="57">
        <f>IFERROR(__xludf.DUMMYFUNCTION("""COMPUTED_VALUE"""),1.1794997915531964)</f>
        <v>1.179499792</v>
      </c>
      <c r="AO210" s="57">
        <f>IFERROR(__xludf.DUMMYFUNCTION("""COMPUTED_VALUE"""),1.152519318211296)</f>
        <v>1.152519318</v>
      </c>
      <c r="AP210" s="35">
        <f>IFERROR(__xludf.DUMMYFUNCTION("""COMPUTED_VALUE"""),0.9165917472904558)</f>
        <v>0.9165917473</v>
      </c>
      <c r="AQ210" s="57">
        <f>IFERROR(__xludf.DUMMYFUNCTION("""COMPUTED_VALUE"""),1.1520478200711282)</f>
        <v>1.15204782</v>
      </c>
      <c r="AR210" s="36" t="b">
        <f>IFERROR(__xludf.DUMMYFUNCTION("""COMPUTED_VALUE"""),TRUE)</f>
        <v>1</v>
      </c>
      <c r="AS210" s="57"/>
      <c r="AT210" s="37"/>
      <c r="AU210" s="30"/>
      <c r="AV210" s="30"/>
      <c r="AW210" s="30"/>
      <c r="AX210" s="30"/>
      <c r="AY210" s="30"/>
      <c r="AZ210" s="30"/>
    </row>
    <row r="211">
      <c r="A211" s="30" t="str">
        <f>IFERROR(__xludf.DUMMYFUNCTION("""COMPUTED_VALUE"""),"Contender")</f>
        <v>Contender</v>
      </c>
      <c r="B211" s="30" t="str">
        <f>IFERROR(__xludf.DUMMYFUNCTION("""COMPUTED_VALUE"""),"RSC001765")</f>
        <v>RSC001765</v>
      </c>
      <c r="C211" s="30" t="str">
        <f>IFERROR(__xludf.DUMMYFUNCTION("""COMPUTED_VALUE"""),"Trios")</f>
        <v>Trios</v>
      </c>
      <c r="D211" s="31" t="str">
        <f>IFERROR(__xludf.DUMMYFUNCTION("""COMPUTED_VALUE"""),"Toothpaste")</f>
        <v>Toothpaste</v>
      </c>
      <c r="E211" s="31">
        <f>IFERROR(__xludf.DUMMYFUNCTION("""COMPUTED_VALUE"""),18.530007628784322)</f>
        <v>18.53000763</v>
      </c>
      <c r="F211" s="31">
        <f>IFERROR(__xludf.DUMMYFUNCTION("""COMPUTED_VALUE"""),-9.61063979592871)</f>
        <v>-9.610639796</v>
      </c>
      <c r="G211" s="31">
        <f>IFERROR(__xludf.DUMMYFUNCTION("""COMPUTED_VALUE"""),24.06145924512281)</f>
        <v>24.06145925</v>
      </c>
      <c r="H211" s="31">
        <f>IFERROR(__xludf.DUMMYFUNCTION("""COMPUTED_VALUE"""),-6.6781641346015155)</f>
        <v>-6.678164135</v>
      </c>
      <c r="I211" s="54">
        <f>IFERROR(__xludf.DUMMYFUNCTION("""COMPUTED_VALUE"""),7.0)</f>
        <v>7</v>
      </c>
      <c r="J211" s="55">
        <f>IFERROR(__xludf.DUMMYFUNCTION("""COMPUTED_VALUE"""),1.0)</f>
        <v>1</v>
      </c>
      <c r="K211" s="54">
        <f>IFERROR(__xludf.DUMMYFUNCTION("""COMPUTED_VALUE"""),6.0)</f>
        <v>6</v>
      </c>
      <c r="L211" s="56">
        <f>IFERROR(__xludf.DUMMYFUNCTION("""COMPUTED_VALUE"""),0.14285714285714285)</f>
        <v>0.1428571429</v>
      </c>
      <c r="M211" s="56">
        <f>IFERROR(__xludf.DUMMYFUNCTION("""COMPUTED_VALUE"""),0.38461538461538464)</f>
        <v>0.3846153846</v>
      </c>
      <c r="N211" s="31">
        <f>IFERROR(__xludf.DUMMYFUNCTION("""COMPUTED_VALUE"""),254.0)</f>
        <v>254</v>
      </c>
      <c r="O211" s="57">
        <f>IFERROR(__xludf.DUMMYFUNCTION("""COMPUTED_VALUE"""),0.7142857142857143)</f>
        <v>0.7142857143</v>
      </c>
      <c r="P211" s="57">
        <f>IFERROR(__xludf.DUMMYFUNCTION("""COMPUTED_VALUE"""),0.2857142857142857)</f>
        <v>0.2857142857</v>
      </c>
      <c r="Q211" s="57">
        <f>IFERROR(__xludf.DUMMYFUNCTION("""COMPUTED_VALUE"""),0.5714285714285714)</f>
        <v>0.5714285714</v>
      </c>
      <c r="R211" s="57">
        <f>IFERROR(__xludf.DUMMYFUNCTION("""COMPUTED_VALUE"""),1.8571428571428572)</f>
        <v>1.857142857</v>
      </c>
      <c r="S211" s="31">
        <f>IFERROR(__xludf.DUMMYFUNCTION("""COMPUTED_VALUE"""),412.9047619047619)</f>
        <v>412.9047619</v>
      </c>
      <c r="T211" s="57">
        <f>IFERROR(__xludf.DUMMYFUNCTION("""COMPUTED_VALUE"""),1.619047619047619)</f>
        <v>1.619047619</v>
      </c>
      <c r="U211" s="57">
        <f>IFERROR(__xludf.DUMMYFUNCTION("""COMPUTED_VALUE"""),1.0)</f>
        <v>1</v>
      </c>
      <c r="V211" s="57">
        <f>IFERROR(__xludf.DUMMYFUNCTION("""COMPUTED_VALUE"""),0.5238095238095238)</f>
        <v>0.5238095238</v>
      </c>
      <c r="W211" s="57">
        <f>IFERROR(__xludf.DUMMYFUNCTION("""COMPUTED_VALUE"""),2.8095238095238098)</f>
        <v>2.80952381</v>
      </c>
      <c r="X211" s="31">
        <f>IFERROR(__xludf.DUMMYFUNCTION("""COMPUTED_VALUE"""),324.3021240999959)</f>
        <v>324.3021241</v>
      </c>
      <c r="Y211" s="57">
        <f>IFERROR(__xludf.DUMMYFUNCTION("""COMPUTED_VALUE"""),0.8065638954794209)</f>
        <v>0.8065638955</v>
      </c>
      <c r="Z211" s="57">
        <f>IFERROR(__xludf.DUMMYFUNCTION("""COMPUTED_VALUE"""),0.5480753959105079)</f>
        <v>0.5480753959</v>
      </c>
      <c r="AA211" s="57">
        <f>IFERROR(__xludf.DUMMYFUNCTION("""COMPUTED_VALUE"""),1.0235438960112366)</f>
        <v>1.023543896</v>
      </c>
      <c r="AB211" s="57">
        <f>IFERROR(__xludf.DUMMYFUNCTION("""COMPUTED_VALUE"""),2.2530366971974787)</f>
        <v>2.253036697</v>
      </c>
      <c r="AC211" s="31">
        <f>IFERROR(__xludf.DUMMYFUNCTION("""COMPUTED_VALUE"""),326.1848240294045)</f>
        <v>326.184824</v>
      </c>
      <c r="AD211" s="57">
        <f>IFERROR(__xludf.DUMMYFUNCTION("""COMPUTED_VALUE"""),0.8381714827451611)</f>
        <v>0.8381714827</v>
      </c>
      <c r="AE211" s="57">
        <f>IFERROR(__xludf.DUMMYFUNCTION("""COMPUTED_VALUE"""),0.5669771141985216)</f>
        <v>0.5669771142</v>
      </c>
      <c r="AF211" s="57">
        <f>IFERROR(__xludf.DUMMYFUNCTION("""COMPUTED_VALUE"""),1.0410305902053605)</f>
        <v>1.04103059</v>
      </c>
      <c r="AG211" s="57">
        <f>IFERROR(__xludf.DUMMYFUNCTION("""COMPUTED_VALUE"""),2.250444583788258)</f>
        <v>2.250444584</v>
      </c>
      <c r="AH211" s="57">
        <f>IFERROR(__xludf.DUMMYFUNCTION("""COMPUTED_VALUE"""),0.7786996245328162)</f>
        <v>0.7786996245</v>
      </c>
      <c r="AI211" s="57">
        <f>IFERROR(__xludf.DUMMYFUNCTION("""COMPUTED_VALUE"""),0.8521951998966861)</f>
        <v>0.8521951999</v>
      </c>
      <c r="AJ211" s="57">
        <f>IFERROR(__xludf.DUMMYFUNCTION("""COMPUTED_VALUE"""),0.5039256057419023)</f>
        <v>0.5039256057</v>
      </c>
      <c r="AK211" s="57">
        <f>IFERROR(__xludf.DUMMYFUNCTION("""COMPUTED_VALUE"""),0.5489066092821034)</f>
        <v>0.5489066093</v>
      </c>
      <c r="AL211" s="57">
        <f>IFERROR(__xludf.DUMMYFUNCTION("""COMPUTED_VALUE"""),0.8252337651508214)</f>
        <v>0.8252337652</v>
      </c>
      <c r="AM211" s="57">
        <f>IFERROR(__xludf.DUMMYFUNCTION("""COMPUTED_VALUE"""),1.273210167989668)</f>
        <v>1.273210168</v>
      </c>
      <c r="AN211" s="57">
        <f>IFERROR(__xludf.DUMMYFUNCTION("""COMPUTED_VALUE"""),2.0073395649395622)</f>
        <v>2.007339565</v>
      </c>
      <c r="AO211" s="57">
        <f>IFERROR(__xludf.DUMMYFUNCTION("""COMPUTED_VALUE"""),1.8245664874970673)</f>
        <v>1.824566487</v>
      </c>
      <c r="AP211" s="35">
        <f>IFERROR(__xludf.DUMMYFUNCTION("""COMPUTED_VALUE"""),0.5117606834946856)</f>
        <v>0.5117606835</v>
      </c>
      <c r="AQ211" s="57">
        <f>IFERROR(__xludf.DUMMYFUNCTION("""COMPUTED_VALUE"""),1.2469942513668497)</f>
        <v>1.246994251</v>
      </c>
      <c r="AR211" s="36" t="b">
        <f>IFERROR(__xludf.DUMMYFUNCTION("""COMPUTED_VALUE"""),TRUE)</f>
        <v>1</v>
      </c>
      <c r="AS211" s="57"/>
      <c r="AT211" s="37"/>
      <c r="AU211" s="30"/>
      <c r="AV211" s="30"/>
      <c r="AW211" s="30"/>
      <c r="AX211" s="30"/>
      <c r="AY211" s="30"/>
      <c r="AZ211" s="30"/>
    </row>
    <row r="212">
      <c r="A212" s="30" t="str">
        <f>IFERROR(__xludf.DUMMYFUNCTION("""COMPUTED_VALUE"""),"Contender")</f>
        <v>Contender</v>
      </c>
      <c r="B212" s="30" t="str">
        <f>IFERROR(__xludf.DUMMYFUNCTION("""COMPUTED_VALUE"""),"RSC007910")</f>
        <v>RSC007910</v>
      </c>
      <c r="C212" s="30" t="str">
        <f>IFERROR(__xludf.DUMMYFUNCTION("""COMPUTED_VALUE"""),"TTVCAPTAINDRC")</f>
        <v>TTVCAPTAINDRC</v>
      </c>
      <c r="D212" s="31"/>
      <c r="E212" s="31">
        <f>IFERROR(__xludf.DUMMYFUNCTION("""COMPUTED_VALUE"""),8.71789083875916)</f>
        <v>8.717890839</v>
      </c>
      <c r="F212" s="31">
        <f>IFERROR(__xludf.DUMMYFUNCTION("""COMPUTED_VALUE"""),-20.267423995067332)</f>
        <v>-20.267424</v>
      </c>
      <c r="G212" s="31">
        <f>IFERROR(__xludf.DUMMYFUNCTION("""COMPUTED_VALUE"""),15.837838242976261)</f>
        <v>15.83783824</v>
      </c>
      <c r="H212" s="31">
        <f>IFERROR(__xludf.DUMMYFUNCTION("""COMPUTED_VALUE"""),-11.642370278757767)</f>
        <v>-11.64237028</v>
      </c>
      <c r="I212" s="54">
        <f>IFERROR(__xludf.DUMMYFUNCTION("""COMPUTED_VALUE"""),3.0)</f>
        <v>3</v>
      </c>
      <c r="J212" s="55">
        <f>IFERROR(__xludf.DUMMYFUNCTION("""COMPUTED_VALUE"""),0.0)</f>
        <v>0</v>
      </c>
      <c r="K212" s="54">
        <f>IFERROR(__xludf.DUMMYFUNCTION("""COMPUTED_VALUE"""),3.0)</f>
        <v>3</v>
      </c>
      <c r="L212" s="56">
        <f>IFERROR(__xludf.DUMMYFUNCTION("""COMPUTED_VALUE"""),0.0)</f>
        <v>0</v>
      </c>
      <c r="M212" s="56">
        <f>IFERROR(__xludf.DUMMYFUNCTION("""COMPUTED_VALUE"""),0.5)</f>
        <v>0.5</v>
      </c>
      <c r="N212" s="31">
        <f>IFERROR(__xludf.DUMMYFUNCTION("""COMPUTED_VALUE"""),225.66666666666666)</f>
        <v>225.6666667</v>
      </c>
      <c r="O212" s="57">
        <f>IFERROR(__xludf.DUMMYFUNCTION("""COMPUTED_VALUE"""),0.3333333333333333)</f>
        <v>0.3333333333</v>
      </c>
      <c r="P212" s="57">
        <f>IFERROR(__xludf.DUMMYFUNCTION("""COMPUTED_VALUE"""),0.3333333333333333)</f>
        <v>0.3333333333</v>
      </c>
      <c r="Q212" s="57">
        <f>IFERROR(__xludf.DUMMYFUNCTION("""COMPUTED_VALUE"""),1.3333333333333333)</f>
        <v>1.333333333</v>
      </c>
      <c r="R212" s="57">
        <f>IFERROR(__xludf.DUMMYFUNCTION("""COMPUTED_VALUE"""),0.6666666666666666)</f>
        <v>0.6666666667</v>
      </c>
      <c r="S212" s="31">
        <f>IFERROR(__xludf.DUMMYFUNCTION("""COMPUTED_VALUE"""),338.4444444444444)</f>
        <v>338.4444444</v>
      </c>
      <c r="T212" s="57">
        <f>IFERROR(__xludf.DUMMYFUNCTION("""COMPUTED_VALUE"""),1.111111111111111)</f>
        <v>1.111111111</v>
      </c>
      <c r="U212" s="57">
        <f>IFERROR(__xludf.DUMMYFUNCTION("""COMPUTED_VALUE"""),0.5555555555555555)</f>
        <v>0.5555555556</v>
      </c>
      <c r="V212" s="57">
        <f>IFERROR(__xludf.DUMMYFUNCTION("""COMPUTED_VALUE"""),1.0)</f>
        <v>1</v>
      </c>
      <c r="W212" s="57">
        <f>IFERROR(__xludf.DUMMYFUNCTION("""COMPUTED_VALUE"""),2.111111111111111)</f>
        <v>2.111111111</v>
      </c>
      <c r="X212" s="31">
        <f>IFERROR(__xludf.DUMMYFUNCTION("""COMPUTED_VALUE"""),325.3574632144154)</f>
        <v>325.3574632</v>
      </c>
      <c r="Y212" s="57">
        <f>IFERROR(__xludf.DUMMYFUNCTION("""COMPUTED_VALUE"""),0.7976958658556269)</f>
        <v>0.7976958659</v>
      </c>
      <c r="Z212" s="57">
        <f>IFERROR(__xludf.DUMMYFUNCTION("""COMPUTED_VALUE"""),0.5024265612451503)</f>
        <v>0.5024265612</v>
      </c>
      <c r="AA212" s="57">
        <f>IFERROR(__xludf.DUMMYFUNCTION("""COMPUTED_VALUE"""),1.1612061800751612)</f>
        <v>1.16120618</v>
      </c>
      <c r="AB212" s="57">
        <f>IFERROR(__xludf.DUMMYFUNCTION("""COMPUTED_VALUE"""),2.2276805452990596)</f>
        <v>2.227680545</v>
      </c>
      <c r="AC212" s="31">
        <f>IFERROR(__xludf.DUMMYFUNCTION("""COMPUTED_VALUE"""),337.2067606960664)</f>
        <v>337.2067607</v>
      </c>
      <c r="AD212" s="57">
        <f>IFERROR(__xludf.DUMMYFUNCTION("""COMPUTED_VALUE"""),0.8464064096171847)</f>
        <v>0.8464064096</v>
      </c>
      <c r="AE212" s="57">
        <f>IFERROR(__xludf.DUMMYFUNCTION("""COMPUTED_VALUE"""),0.5879684136434169)</f>
        <v>0.5879684136</v>
      </c>
      <c r="AF212" s="57">
        <f>IFERROR(__xludf.DUMMYFUNCTION("""COMPUTED_VALUE"""),1.08708019062629)</f>
        <v>1.087080191</v>
      </c>
      <c r="AG212" s="57">
        <f>IFERROR(__xludf.DUMMYFUNCTION("""COMPUTED_VALUE"""),2.492445029221811)</f>
        <v>2.492445029</v>
      </c>
      <c r="AH212" s="57">
        <f>IFERROR(__xludf.DUMMYFUNCTION("""COMPUTED_VALUE"""),0.6692234349063545)</f>
        <v>0.6692234349</v>
      </c>
      <c r="AI212" s="57">
        <f>IFERROR(__xludf.DUMMYFUNCTION("""COMPUTED_VALUE"""),0.3938218443833552)</f>
        <v>0.3938218444</v>
      </c>
      <c r="AJ212" s="57">
        <f>IFERROR(__xludf.DUMMYFUNCTION("""COMPUTED_VALUE"""),0.5669238782195685)</f>
        <v>0.5669238782</v>
      </c>
      <c r="AK212" s="57">
        <f>IFERROR(__xludf.DUMMYFUNCTION("""COMPUTED_VALUE"""),1.2265271180824036)</f>
        <v>1.226527118</v>
      </c>
      <c r="AL212" s="57">
        <f>IFERROR(__xludf.DUMMYFUNCTION("""COMPUTED_VALUE"""),0.2674749729083544)</f>
        <v>0.2674749729</v>
      </c>
      <c r="AM212" s="57">
        <f>IFERROR(__xludf.DUMMYFUNCTION("""COMPUTED_VALUE"""),1.0402233933739655)</f>
        <v>1.040223393</v>
      </c>
      <c r="AN212" s="57">
        <f>IFERROR(__xludf.DUMMYFUNCTION("""COMPUTED_VALUE"""),1.3929006763991532)</f>
        <v>1.392900676</v>
      </c>
      <c r="AO212" s="57">
        <f>IFERROR(__xludf.DUMMYFUNCTION("""COMPUTED_VALUE"""),1.1057447961722744)</f>
        <v>1.105744796</v>
      </c>
      <c r="AP212" s="35">
        <f>IFERROR(__xludf.DUMMYFUNCTION("""COMPUTED_VALUE"""),0.8611735083387803)</f>
        <v>0.8611735083</v>
      </c>
      <c r="AQ212" s="57">
        <f>IFERROR(__xludf.DUMMYFUNCTION("""COMPUTED_VALUE"""),0.9476722843255341)</f>
        <v>0.9476722843</v>
      </c>
      <c r="AR212" s="36" t="b">
        <f>IFERROR(__xludf.DUMMYFUNCTION("""COMPUTED_VALUE"""),TRUE)</f>
        <v>1</v>
      </c>
      <c r="AS212" s="57"/>
      <c r="AT212" s="37"/>
      <c r="AU212" s="30"/>
      <c r="AV212" s="30"/>
      <c r="AW212" s="30"/>
      <c r="AX212" s="30"/>
      <c r="AY212" s="30"/>
      <c r="AZ212" s="30"/>
    </row>
    <row r="213">
      <c r="A213" s="30" t="str">
        <f>IFERROR(__xludf.DUMMYFUNCTION("""COMPUTED_VALUE"""),"Contender")</f>
        <v>Contender</v>
      </c>
      <c r="B213" s="30" t="str">
        <f>IFERROR(__xludf.DUMMYFUNCTION("""COMPUTED_VALUE"""),"RSC005527")</f>
        <v>RSC005527</v>
      </c>
      <c r="C213" s="30" t="str">
        <f>IFERROR(__xludf.DUMMYFUNCTION("""COMPUTED_VALUE"""),"Colossus4203316")</f>
        <v>Colossus4203316</v>
      </c>
      <c r="D213" s="31" t="str">
        <f>IFERROR(__xludf.DUMMYFUNCTION("""COMPUTED_VALUE"""),"Zebras")</f>
        <v>Zebras</v>
      </c>
      <c r="E213" s="31">
        <f>IFERROR(__xludf.DUMMYFUNCTION("""COMPUTED_VALUE"""),8.589711833224705)</f>
        <v>8.589711833</v>
      </c>
      <c r="F213" s="31">
        <f>IFERROR(__xludf.DUMMYFUNCTION("""COMPUTED_VALUE"""),-20.483721360683518)</f>
        <v>-20.48372136</v>
      </c>
      <c r="G213" s="31">
        <f>IFERROR(__xludf.DUMMYFUNCTION("""COMPUTED_VALUE"""),0.9810903179639112)</f>
        <v>0.981090318</v>
      </c>
      <c r="H213" s="31">
        <f>IFERROR(__xludf.DUMMYFUNCTION("""COMPUTED_VALUE"""),-40.07417904324705)</f>
        <v>-40.07417904</v>
      </c>
      <c r="I213" s="54">
        <f>IFERROR(__xludf.DUMMYFUNCTION("""COMPUTED_VALUE"""),25.0)</f>
        <v>25</v>
      </c>
      <c r="J213" s="55">
        <f>IFERROR(__xludf.DUMMYFUNCTION("""COMPUTED_VALUE"""),5.0)</f>
        <v>5</v>
      </c>
      <c r="K213" s="54">
        <f>IFERROR(__xludf.DUMMYFUNCTION("""COMPUTED_VALUE"""),20.0)</f>
        <v>20</v>
      </c>
      <c r="L213" s="56">
        <f>IFERROR(__xludf.DUMMYFUNCTION("""COMPUTED_VALUE"""),0.2)</f>
        <v>0.2</v>
      </c>
      <c r="M213" s="56">
        <f>IFERROR(__xludf.DUMMYFUNCTION("""COMPUTED_VALUE"""),0.36)</f>
        <v>0.36</v>
      </c>
      <c r="N213" s="31">
        <f>IFERROR(__xludf.DUMMYFUNCTION("""COMPUTED_VALUE"""),212.68)</f>
        <v>212.68</v>
      </c>
      <c r="O213" s="57">
        <f>IFERROR(__xludf.DUMMYFUNCTION("""COMPUTED_VALUE"""),0.36)</f>
        <v>0.36</v>
      </c>
      <c r="P213" s="57">
        <f>IFERROR(__xludf.DUMMYFUNCTION("""COMPUTED_VALUE"""),0.28)</f>
        <v>0.28</v>
      </c>
      <c r="Q213" s="57">
        <f>IFERROR(__xludf.DUMMYFUNCTION("""COMPUTED_VALUE"""),0.88)</f>
        <v>0.88</v>
      </c>
      <c r="R213" s="57">
        <f>IFERROR(__xludf.DUMMYFUNCTION("""COMPUTED_VALUE"""),1.0)</f>
        <v>1</v>
      </c>
      <c r="S213" s="31">
        <f>IFERROR(__xludf.DUMMYFUNCTION("""COMPUTED_VALUE"""),395.1066666666666)</f>
        <v>395.1066667</v>
      </c>
      <c r="T213" s="57">
        <f>IFERROR(__xludf.DUMMYFUNCTION("""COMPUTED_VALUE"""),1.3066666666666666)</f>
        <v>1.306666667</v>
      </c>
      <c r="U213" s="57">
        <f>IFERROR(__xludf.DUMMYFUNCTION("""COMPUTED_VALUE"""),0.84)</f>
        <v>0.84</v>
      </c>
      <c r="V213" s="57">
        <f>IFERROR(__xludf.DUMMYFUNCTION("""COMPUTED_VALUE"""),0.9333333333333335)</f>
        <v>0.9333333333</v>
      </c>
      <c r="W213" s="57">
        <f>IFERROR(__xludf.DUMMYFUNCTION("""COMPUTED_VALUE"""),2.9199999999999995)</f>
        <v>2.92</v>
      </c>
      <c r="X213" s="31">
        <f>IFERROR(__xludf.DUMMYFUNCTION("""COMPUTED_VALUE"""),347.07942681998526)</f>
        <v>347.0794268</v>
      </c>
      <c r="Y213" s="57">
        <f>IFERROR(__xludf.DUMMYFUNCTION("""COMPUTED_VALUE"""),0.9461623634268155)</f>
        <v>0.9461623634</v>
      </c>
      <c r="Z213" s="57">
        <f>IFERROR(__xludf.DUMMYFUNCTION("""COMPUTED_VALUE"""),0.6342728461839899)</f>
        <v>0.6342728462</v>
      </c>
      <c r="AA213" s="57">
        <f>IFERROR(__xludf.DUMMYFUNCTION("""COMPUTED_VALUE"""),1.0369956303805206)</f>
        <v>1.03699563</v>
      </c>
      <c r="AB213" s="57">
        <f>IFERROR(__xludf.DUMMYFUNCTION("""COMPUTED_VALUE"""),2.4903233012931856)</f>
        <v>2.490323301</v>
      </c>
      <c r="AC213" s="31">
        <f>IFERROR(__xludf.DUMMYFUNCTION("""COMPUTED_VALUE"""),323.26675199556774)</f>
        <v>323.266752</v>
      </c>
      <c r="AD213" s="57">
        <f>IFERROR(__xludf.DUMMYFUNCTION("""COMPUTED_VALUE"""),0.7655829102555242)</f>
        <v>0.7655829103</v>
      </c>
      <c r="AE213" s="57">
        <f>IFERROR(__xludf.DUMMYFUNCTION("""COMPUTED_VALUE"""),0.5154242790402219)</f>
        <v>0.515424279</v>
      </c>
      <c r="AF213" s="57">
        <f>IFERROR(__xludf.DUMMYFUNCTION("""COMPUTED_VALUE"""),1.1441882345540464)</f>
        <v>1.144188235</v>
      </c>
      <c r="AG213" s="57">
        <f>IFERROR(__xludf.DUMMYFUNCTION("""COMPUTED_VALUE"""),2.1900629130236724)</f>
        <v>2.190062913</v>
      </c>
      <c r="AH213" s="57">
        <f>IFERROR(__xludf.DUMMYFUNCTION("""COMPUTED_VALUE"""),0.6579086735245696)</f>
        <v>0.6579086735</v>
      </c>
      <c r="AI213" s="57">
        <f>IFERROR(__xludf.DUMMYFUNCTION("""COMPUTED_VALUE"""),0.47022993222229176)</f>
        <v>0.4702299322</v>
      </c>
      <c r="AJ213" s="57">
        <f>IFERROR(__xludf.DUMMYFUNCTION("""COMPUTED_VALUE"""),0.5432417745655901)</f>
        <v>0.5432417746</v>
      </c>
      <c r="AK213" s="57">
        <f>IFERROR(__xludf.DUMMYFUNCTION("""COMPUTED_VALUE"""),0.7691042202885304)</f>
        <v>0.7691042203</v>
      </c>
      <c r="AL213" s="57">
        <f>IFERROR(__xludf.DUMMYFUNCTION("""COMPUTED_VALUE"""),0.4566078874051008)</f>
        <v>0.4566078874</v>
      </c>
      <c r="AM213" s="57">
        <f>IFERROR(__xludf.DUMMYFUNCTION("""COMPUTED_VALUE"""),1.1383753577292584)</f>
        <v>1.138375358</v>
      </c>
      <c r="AN213" s="57">
        <f>IFERROR(__xludf.DUMMYFUNCTION("""COMPUTED_VALUE"""),1.3810173783854336)</f>
        <v>1.381017378</v>
      </c>
      <c r="AO213" s="57">
        <f>IFERROR(__xludf.DUMMYFUNCTION("""COMPUTED_VALUE"""),1.3243511921623912)</f>
        <v>1.324351192</v>
      </c>
      <c r="AP213" s="35">
        <f>IFERROR(__xludf.DUMMYFUNCTION("""COMPUTED_VALUE"""),0.9000359364974868)</f>
        <v>0.9000359365</v>
      </c>
      <c r="AQ213" s="57">
        <f>IFERROR(__xludf.DUMMYFUNCTION("""COMPUTED_VALUE"""),1.172538520795147)</f>
        <v>1.172538521</v>
      </c>
      <c r="AR213" s="36" t="b">
        <f>IFERROR(__xludf.DUMMYFUNCTION("""COMPUTED_VALUE"""),TRUE)</f>
        <v>1</v>
      </c>
      <c r="AS213" s="57"/>
      <c r="AT213" s="37"/>
      <c r="AU213" s="30"/>
      <c r="AV213" s="30"/>
      <c r="AW213" s="30"/>
      <c r="AX213" s="30"/>
      <c r="AY213" s="30"/>
      <c r="AZ213" s="30"/>
    </row>
    <row r="214">
      <c r="A214" s="30" t="str">
        <f>IFERROR(__xludf.DUMMYFUNCTION("""COMPUTED_VALUE"""),"Elite")</f>
        <v>Elite</v>
      </c>
      <c r="B214" s="30" t="str">
        <f>IFERROR(__xludf.DUMMYFUNCTION("""COMPUTED_VALUE"""),"RSC007869")</f>
        <v>RSC007869</v>
      </c>
      <c r="C214" s="30" t="str">
        <f>IFERROR(__xludf.DUMMYFUNCTION("""COMPUTED_VALUE"""),"Swishira")</f>
        <v>Swishira</v>
      </c>
      <c r="D214" s="31" t="str">
        <f>IFERROR(__xludf.DUMMYFUNCTION("""COMPUTED_VALUE"""),"Black-Holes")</f>
        <v>Black-Holes</v>
      </c>
      <c r="E214" s="31">
        <f>IFERROR(__xludf.DUMMYFUNCTION("""COMPUTED_VALUE"""),130.20270500664375)</f>
        <v>130.202705</v>
      </c>
      <c r="F214" s="31">
        <f>IFERROR(__xludf.DUMMYFUNCTION("""COMPUTED_VALUE"""),1496.8802653951439)</f>
        <v>1496.880265</v>
      </c>
      <c r="G214" s="31">
        <f>IFERROR(__xludf.DUMMYFUNCTION("""COMPUTED_VALUE"""),106.51451719991367)</f>
        <v>106.5145172</v>
      </c>
      <c r="H214" s="31">
        <f>IFERROR(__xludf.DUMMYFUNCTION("""COMPUTED_VALUE"""),84.08577935792069)</f>
        <v>84.08577936</v>
      </c>
      <c r="I214" s="54">
        <f>IFERROR(__xludf.DUMMYFUNCTION("""COMPUTED_VALUE"""),44.0)</f>
        <v>44</v>
      </c>
      <c r="J214" s="55">
        <f>IFERROR(__xludf.DUMMYFUNCTION("""COMPUTED_VALUE"""),33.0)</f>
        <v>33</v>
      </c>
      <c r="K214" s="54">
        <f>IFERROR(__xludf.DUMMYFUNCTION("""COMPUTED_VALUE"""),11.0)</f>
        <v>11</v>
      </c>
      <c r="L214" s="56">
        <f>IFERROR(__xludf.DUMMYFUNCTION("""COMPUTED_VALUE"""),0.75)</f>
        <v>0.75</v>
      </c>
      <c r="M214" s="56">
        <f>IFERROR(__xludf.DUMMYFUNCTION("""COMPUTED_VALUE"""),0.43195266272189353)</f>
        <v>0.4319526627</v>
      </c>
      <c r="N214" s="31">
        <f>IFERROR(__xludf.DUMMYFUNCTION("""COMPUTED_VALUE"""),506.75)</f>
        <v>506.75</v>
      </c>
      <c r="O214" s="57">
        <f>IFERROR(__xludf.DUMMYFUNCTION("""COMPUTED_VALUE"""),1.6590909090909092)</f>
        <v>1.659090909</v>
      </c>
      <c r="P214" s="57">
        <f>IFERROR(__xludf.DUMMYFUNCTION("""COMPUTED_VALUE"""),1.0909090909090908)</f>
        <v>1.090909091</v>
      </c>
      <c r="Q214" s="57">
        <f>IFERROR(__xludf.DUMMYFUNCTION("""COMPUTED_VALUE"""),1.0454545454545454)</f>
        <v>1.045454545</v>
      </c>
      <c r="R214" s="57">
        <f>IFERROR(__xludf.DUMMYFUNCTION("""COMPUTED_VALUE"""),3.840909090909091)</f>
        <v>3.840909091</v>
      </c>
      <c r="S214" s="31">
        <f>IFERROR(__xludf.DUMMYFUNCTION("""COMPUTED_VALUE"""),358.74999999999994)</f>
        <v>358.75</v>
      </c>
      <c r="T214" s="57">
        <f>IFERROR(__xludf.DUMMYFUNCTION("""COMPUTED_VALUE"""),0.712121212121212)</f>
        <v>0.7121212121</v>
      </c>
      <c r="U214" s="57">
        <f>IFERROR(__xludf.DUMMYFUNCTION("""COMPUTED_VALUE"""),0.5227272727272726)</f>
        <v>0.5227272727</v>
      </c>
      <c r="V214" s="57">
        <f>IFERROR(__xludf.DUMMYFUNCTION("""COMPUTED_VALUE"""),1.636363636363637)</f>
        <v>1.636363636</v>
      </c>
      <c r="W214" s="57">
        <f>IFERROR(__xludf.DUMMYFUNCTION("""COMPUTED_VALUE"""),2.3030303030303028)</f>
        <v>2.303030303</v>
      </c>
      <c r="X214" s="31">
        <f>IFERROR(__xludf.DUMMYFUNCTION("""COMPUTED_VALUE"""),343.57738286951707)</f>
        <v>343.5773829</v>
      </c>
      <c r="Y214" s="57">
        <f>IFERROR(__xludf.DUMMYFUNCTION("""COMPUTED_VALUE"""),0.6772052985052306)</f>
        <v>0.6772052985</v>
      </c>
      <c r="Z214" s="57">
        <f>IFERROR(__xludf.DUMMYFUNCTION("""COMPUTED_VALUE"""),0.508514680472076)</f>
        <v>0.5085146805</v>
      </c>
      <c r="AA214" s="57">
        <f>IFERROR(__xludf.DUMMYFUNCTION("""COMPUTED_VALUE"""),1.4502443680414225)</f>
        <v>1.450244368</v>
      </c>
      <c r="AB214" s="57">
        <f>IFERROR(__xludf.DUMMYFUNCTION("""COMPUTED_VALUE"""),2.4852384269988814)</f>
        <v>2.485238427</v>
      </c>
      <c r="AC214" s="31">
        <f>IFERROR(__xludf.DUMMYFUNCTION("""COMPUTED_VALUE"""),373.7245928659395)</f>
        <v>373.7245929</v>
      </c>
      <c r="AD214" s="57">
        <f>IFERROR(__xludf.DUMMYFUNCTION("""COMPUTED_VALUE"""),0.87562202592854)</f>
        <v>0.8756220259</v>
      </c>
      <c r="AE214" s="57">
        <f>IFERROR(__xludf.DUMMYFUNCTION("""COMPUTED_VALUE"""),0.6671629231432222)</f>
        <v>0.6671629231</v>
      </c>
      <c r="AF214" s="57">
        <f>IFERROR(__xludf.DUMMYFUNCTION("""COMPUTED_VALUE"""),1.3477849693761261)</f>
        <v>1.347784969</v>
      </c>
      <c r="AG214" s="57">
        <f>IFERROR(__xludf.DUMMYFUNCTION("""COMPUTED_VALUE"""),2.8493321190650813)</f>
        <v>2.849332119</v>
      </c>
      <c r="AH214" s="57">
        <f>IFERROR(__xludf.DUMMYFUNCTION("""COMPUTED_VALUE"""),1.355945018533417)</f>
        <v>1.355945019</v>
      </c>
      <c r="AI214" s="57">
        <f>IFERROR(__xludf.DUMMYFUNCTION("""COMPUTED_VALUE"""),1.8947569384536114)</f>
        <v>1.894756938</v>
      </c>
      <c r="AJ214" s="57">
        <f>IFERROR(__xludf.DUMMYFUNCTION("""COMPUTED_VALUE"""),1.6351464583335389)</f>
        <v>1.635146458</v>
      </c>
      <c r="AK214" s="57">
        <f>IFERROR(__xludf.DUMMYFUNCTION("""COMPUTED_VALUE"""),0.7756834875065227)</f>
        <v>0.7756834875</v>
      </c>
      <c r="AL214" s="57">
        <f>IFERROR(__xludf.DUMMYFUNCTION("""COMPUTED_VALUE"""),1.3480032970566325)</f>
        <v>1.348003297</v>
      </c>
      <c r="AM214" s="57">
        <f>IFERROR(__xludf.DUMMYFUNCTION("""COMPUTED_VALUE"""),1.0441606982501672)</f>
        <v>1.044160698</v>
      </c>
      <c r="AN214" s="57">
        <f>IFERROR(__xludf.DUMMYFUNCTION("""COMPUTED_VALUE"""),1.0515588311152468)</f>
        <v>1.051558831</v>
      </c>
      <c r="AO214" s="57">
        <f>IFERROR(__xludf.DUMMYFUNCTION("""COMPUTED_VALUE"""),1.0279492270351023)</f>
        <v>1.027949227</v>
      </c>
      <c r="AP214" s="35">
        <f>IFERROR(__xludf.DUMMYFUNCTION("""COMPUTED_VALUE"""),1.1283364875766222)</f>
        <v>1.128336488</v>
      </c>
      <c r="AQ214" s="57">
        <f>IFERROR(__xludf.DUMMYFUNCTION("""COMPUTED_VALUE"""),0.926683845707066)</f>
        <v>0.9266838457</v>
      </c>
      <c r="AR214" s="36" t="b">
        <f>IFERROR(__xludf.DUMMYFUNCTION("""COMPUTED_VALUE"""),TRUE)</f>
        <v>1</v>
      </c>
      <c r="AS214" s="57"/>
      <c r="AT214" s="37"/>
      <c r="AU214" s="30"/>
      <c r="AV214" s="30"/>
      <c r="AW214" s="30"/>
      <c r="AX214" s="30"/>
      <c r="AY214" s="30"/>
      <c r="AZ214" s="30"/>
    </row>
    <row r="215">
      <c r="A215" s="30" t="str">
        <f>IFERROR(__xludf.DUMMYFUNCTION("""COMPUTED_VALUE"""),"Elite")</f>
        <v>Elite</v>
      </c>
      <c r="B215" s="30" t="str">
        <f>IFERROR(__xludf.DUMMYFUNCTION("""COMPUTED_VALUE"""),"RSC000579")</f>
        <v>RSC000579</v>
      </c>
      <c r="C215" s="30" t="str">
        <f>IFERROR(__xludf.DUMMYFUNCTION("""COMPUTED_VALUE"""),"Cryptt.")</f>
        <v>Cryptt.</v>
      </c>
      <c r="D215" s="31" t="str">
        <f>IFERROR(__xludf.DUMMYFUNCTION("""COMPUTED_VALUE"""),"Cotija Cartel")</f>
        <v>Cotija Cartel</v>
      </c>
      <c r="E215" s="31">
        <f>IFERROR(__xludf.DUMMYFUNCTION("""COMPUTED_VALUE"""),116.22171950282106)</f>
        <v>116.2217195</v>
      </c>
      <c r="F215" s="31">
        <f>IFERROR(__xludf.DUMMYFUNCTION("""COMPUTED_VALUE"""),247.6421909782702)</f>
        <v>247.642191</v>
      </c>
      <c r="G215" s="31">
        <f>IFERROR(__xludf.DUMMYFUNCTION("""COMPUTED_VALUE"""),93.09486835479696)</f>
        <v>93.09486835</v>
      </c>
      <c r="H215" s="31">
        <f>IFERROR(__xludf.DUMMYFUNCTION("""COMPUTED_VALUE"""),23.60023869744289)</f>
        <v>23.6002387</v>
      </c>
      <c r="I215" s="54">
        <f>IFERROR(__xludf.DUMMYFUNCTION("""COMPUTED_VALUE"""),46.0)</f>
        <v>46</v>
      </c>
      <c r="J215" s="55">
        <f>IFERROR(__xludf.DUMMYFUNCTION("""COMPUTED_VALUE"""),38.0)</f>
        <v>38</v>
      </c>
      <c r="K215" s="54">
        <f>IFERROR(__xludf.DUMMYFUNCTION("""COMPUTED_VALUE"""),8.0)</f>
        <v>8</v>
      </c>
      <c r="L215" s="56">
        <f>IFERROR(__xludf.DUMMYFUNCTION("""COMPUTED_VALUE"""),0.8260869565217391)</f>
        <v>0.8260869565</v>
      </c>
      <c r="M215" s="56">
        <f>IFERROR(__xludf.DUMMYFUNCTION("""COMPUTED_VALUE"""),0.3641304347826087)</f>
        <v>0.3641304348</v>
      </c>
      <c r="N215" s="31">
        <f>IFERROR(__xludf.DUMMYFUNCTION("""COMPUTED_VALUE"""),470.69565217391306)</f>
        <v>470.6956522</v>
      </c>
      <c r="O215" s="57">
        <f>IFERROR(__xludf.DUMMYFUNCTION("""COMPUTED_VALUE"""),1.4565217391304348)</f>
        <v>1.456521739</v>
      </c>
      <c r="P215" s="57">
        <f>IFERROR(__xludf.DUMMYFUNCTION("""COMPUTED_VALUE"""),0.6086956521739131)</f>
        <v>0.6086956522</v>
      </c>
      <c r="Q215" s="57">
        <f>IFERROR(__xludf.DUMMYFUNCTION("""COMPUTED_VALUE"""),1.4565217391304348)</f>
        <v>1.456521739</v>
      </c>
      <c r="R215" s="57">
        <f>IFERROR(__xludf.DUMMYFUNCTION("""COMPUTED_VALUE"""),4.0)</f>
        <v>4</v>
      </c>
      <c r="S215" s="31">
        <f>IFERROR(__xludf.DUMMYFUNCTION("""COMPUTED_VALUE"""),323.60144927536237)</f>
        <v>323.6014493</v>
      </c>
      <c r="T215" s="57">
        <f>IFERROR(__xludf.DUMMYFUNCTION("""COMPUTED_VALUE"""),0.5724637681159421)</f>
        <v>0.5724637681</v>
      </c>
      <c r="U215" s="57">
        <f>IFERROR(__xludf.DUMMYFUNCTION("""COMPUTED_VALUE"""),0.3768115942028985)</f>
        <v>0.3768115942</v>
      </c>
      <c r="V215" s="57">
        <f>IFERROR(__xludf.DUMMYFUNCTION("""COMPUTED_VALUE"""),1.3913043478260867)</f>
        <v>1.391304348</v>
      </c>
      <c r="W215" s="57">
        <f>IFERROR(__xludf.DUMMYFUNCTION("""COMPUTED_VALUE"""),2.260869565217391)</f>
        <v>2.260869565</v>
      </c>
      <c r="X215" s="31">
        <f>IFERROR(__xludf.DUMMYFUNCTION("""COMPUTED_VALUE"""),355.27758881441156)</f>
        <v>355.2775888</v>
      </c>
      <c r="Y215" s="57">
        <f>IFERROR(__xludf.DUMMYFUNCTION("""COMPUTED_VALUE"""),0.7467770126823589)</f>
        <v>0.7467770127</v>
      </c>
      <c r="Z215" s="57">
        <f>IFERROR(__xludf.DUMMYFUNCTION("""COMPUTED_VALUE"""),0.5312728009514456)</f>
        <v>0.531272801</v>
      </c>
      <c r="AA215" s="57">
        <f>IFERROR(__xludf.DUMMYFUNCTION("""COMPUTED_VALUE"""),1.4315405421016136)</f>
        <v>1.431540542</v>
      </c>
      <c r="AB215" s="57">
        <f>IFERROR(__xludf.DUMMYFUNCTION("""COMPUTED_VALUE"""),2.5416225697069548)</f>
        <v>2.54162257</v>
      </c>
      <c r="AC215" s="31">
        <f>IFERROR(__xludf.DUMMYFUNCTION("""COMPUTED_VALUE"""),363.9682177217932)</f>
        <v>363.9682177</v>
      </c>
      <c r="AD215" s="57">
        <f>IFERROR(__xludf.DUMMYFUNCTION("""COMPUTED_VALUE"""),0.8080636222417311)</f>
        <v>0.8080636222</v>
      </c>
      <c r="AE215" s="57">
        <f>IFERROR(__xludf.DUMMYFUNCTION("""COMPUTED_VALUE"""),0.6036658914544989)</f>
        <v>0.6036658915</v>
      </c>
      <c r="AF215" s="57">
        <f>IFERROR(__xludf.DUMMYFUNCTION("""COMPUTED_VALUE"""),1.370635112760502)</f>
        <v>1.370635113</v>
      </c>
      <c r="AG215" s="57">
        <f>IFERROR(__xludf.DUMMYFUNCTION("""COMPUTED_VALUE"""),2.736952176852704)</f>
        <v>2.736952177</v>
      </c>
      <c r="AH215" s="57">
        <f>IFERROR(__xludf.DUMMYFUNCTION("""COMPUTED_VALUE"""),1.2932328408237534)</f>
        <v>1.293232841</v>
      </c>
      <c r="AI215" s="57">
        <f>IFERROR(__xludf.DUMMYFUNCTION("""COMPUTED_VALUE"""),1.802483986458579)</f>
        <v>1.802483986</v>
      </c>
      <c r="AJ215" s="57">
        <f>IFERROR(__xludf.DUMMYFUNCTION("""COMPUTED_VALUE"""),1.0083320273525729)</f>
        <v>1.008332027</v>
      </c>
      <c r="AK215" s="57">
        <f>IFERROR(__xludf.DUMMYFUNCTION("""COMPUTED_VALUE"""),1.0626619189675903)</f>
        <v>1.062661919</v>
      </c>
      <c r="AL215" s="57">
        <f>IFERROR(__xludf.DUMMYFUNCTION("""COMPUTED_VALUE"""),1.461479683068379)</f>
        <v>1.461479683</v>
      </c>
      <c r="AM215" s="57">
        <f>IFERROR(__xludf.DUMMYFUNCTION("""COMPUTED_VALUE"""),0.9108411548143105)</f>
        <v>0.9108411548</v>
      </c>
      <c r="AN215" s="57">
        <f>IFERROR(__xludf.DUMMYFUNCTION("""COMPUTED_VALUE"""),0.7665792577890171)</f>
        <v>0.7665792578</v>
      </c>
      <c r="AO215" s="57">
        <f>IFERROR(__xludf.DUMMYFUNCTION("""COMPUTED_VALUE"""),0.7092619714919988)</f>
        <v>0.7092619715</v>
      </c>
      <c r="AP215" s="35">
        <f>IFERROR(__xludf.DUMMYFUNCTION("""COMPUTED_VALUE"""),0.9718930808508873)</f>
        <v>0.9718930809</v>
      </c>
      <c r="AQ215" s="57">
        <f>IFERROR(__xludf.DUMMYFUNCTION("""COMPUTED_VALUE"""),0.8895378850361979)</f>
        <v>0.889537885</v>
      </c>
      <c r="AR215" s="36" t="b">
        <f>IFERROR(__xludf.DUMMYFUNCTION("""COMPUTED_VALUE"""),TRUE)</f>
        <v>1</v>
      </c>
      <c r="AS215" s="57"/>
      <c r="AT215" s="37"/>
      <c r="AU215" s="30"/>
      <c r="AV215" s="30"/>
      <c r="AW215" s="30"/>
      <c r="AX215" s="30"/>
      <c r="AY215" s="30"/>
      <c r="AZ215" s="30"/>
    </row>
    <row r="216">
      <c r="A216" s="30" t="str">
        <f>IFERROR(__xludf.DUMMYFUNCTION("""COMPUTED_VALUE"""),"Elite")</f>
        <v>Elite</v>
      </c>
      <c r="B216" s="30" t="str">
        <f>IFERROR(__xludf.DUMMYFUNCTION("""COMPUTED_VALUE"""),"RSC001056")</f>
        <v>RSC001056</v>
      </c>
      <c r="C216" s="30" t="str">
        <f>IFERROR(__xludf.DUMMYFUNCTION("""COMPUTED_VALUE"""),"mysandislost")</f>
        <v>mysandislost</v>
      </c>
      <c r="D216" s="31" t="str">
        <f>IFERROR(__xludf.DUMMYFUNCTION("""COMPUTED_VALUE"""),"Orochi")</f>
        <v>Orochi</v>
      </c>
      <c r="E216" s="31">
        <f>IFERROR(__xludf.DUMMYFUNCTION("""COMPUTED_VALUE"""),100.08488196956313)</f>
        <v>100.084882</v>
      </c>
      <c r="F216" s="31">
        <f>IFERROR(__xludf.DUMMYFUNCTION("""COMPUTED_VALUE"""),44.31162986084523)</f>
        <v>44.31162986</v>
      </c>
      <c r="G216" s="31">
        <f>IFERROR(__xludf.DUMMYFUNCTION("""COMPUTED_VALUE"""),82.50188781834441)</f>
        <v>82.50188782</v>
      </c>
      <c r="H216" s="31">
        <f>IFERROR(__xludf.DUMMYFUNCTION("""COMPUTED_VALUE"""),10.331907922629213)</f>
        <v>10.33190792</v>
      </c>
      <c r="I216" s="54">
        <f>IFERROR(__xludf.DUMMYFUNCTION("""COMPUTED_VALUE"""),20.0)</f>
        <v>20</v>
      </c>
      <c r="J216" s="55">
        <f>IFERROR(__xludf.DUMMYFUNCTION("""COMPUTED_VALUE"""),13.0)</f>
        <v>13</v>
      </c>
      <c r="K216" s="54">
        <f>IFERROR(__xludf.DUMMYFUNCTION("""COMPUTED_VALUE"""),7.0)</f>
        <v>7</v>
      </c>
      <c r="L216" s="56">
        <f>IFERROR(__xludf.DUMMYFUNCTION("""COMPUTED_VALUE"""),0.65)</f>
        <v>0.65</v>
      </c>
      <c r="M216" s="56">
        <f>IFERROR(__xludf.DUMMYFUNCTION("""COMPUTED_VALUE"""),0.24000000000000002)</f>
        <v>0.24</v>
      </c>
      <c r="N216" s="31">
        <f>IFERROR(__xludf.DUMMYFUNCTION("""COMPUTED_VALUE"""),418.45)</f>
        <v>418.45</v>
      </c>
      <c r="O216" s="57">
        <f>IFERROR(__xludf.DUMMYFUNCTION("""COMPUTED_VALUE"""),0.9)</f>
        <v>0.9</v>
      </c>
      <c r="P216" s="57">
        <f>IFERROR(__xludf.DUMMYFUNCTION("""COMPUTED_VALUE"""),0.85)</f>
        <v>0.85</v>
      </c>
      <c r="Q216" s="57">
        <f>IFERROR(__xludf.DUMMYFUNCTION("""COMPUTED_VALUE"""),1.6)</f>
        <v>1.6</v>
      </c>
      <c r="R216" s="57">
        <f>IFERROR(__xludf.DUMMYFUNCTION("""COMPUTED_VALUE"""),3.75)</f>
        <v>3.75</v>
      </c>
      <c r="S216" s="31">
        <f>IFERROR(__xludf.DUMMYFUNCTION("""COMPUTED_VALUE"""),344.85)</f>
        <v>344.85</v>
      </c>
      <c r="T216" s="57">
        <f>IFERROR(__xludf.DUMMYFUNCTION("""COMPUTED_VALUE"""),0.6000000000000001)</f>
        <v>0.6</v>
      </c>
      <c r="U216" s="57">
        <f>IFERROR(__xludf.DUMMYFUNCTION("""COMPUTED_VALUE"""),0.45)</f>
        <v>0.45</v>
      </c>
      <c r="V216" s="57">
        <f>IFERROR(__xludf.DUMMYFUNCTION("""COMPUTED_VALUE"""),1.516666666666667)</f>
        <v>1.516666667</v>
      </c>
      <c r="W216" s="57">
        <f>IFERROR(__xludf.DUMMYFUNCTION("""COMPUTED_VALUE"""),2.533333333333333)</f>
        <v>2.533333333</v>
      </c>
      <c r="X216" s="31">
        <f>IFERROR(__xludf.DUMMYFUNCTION("""COMPUTED_VALUE"""),360.90467137964225)</f>
        <v>360.9046714</v>
      </c>
      <c r="Y216" s="57">
        <f>IFERROR(__xludf.DUMMYFUNCTION("""COMPUTED_VALUE"""),0.7354813337849206)</f>
        <v>0.7354813338</v>
      </c>
      <c r="Z216" s="57">
        <f>IFERROR(__xludf.DUMMYFUNCTION("""COMPUTED_VALUE"""),0.5878064290640327)</f>
        <v>0.5878064291</v>
      </c>
      <c r="AA216" s="57">
        <f>IFERROR(__xludf.DUMMYFUNCTION("""COMPUTED_VALUE"""),1.404486707795869)</f>
        <v>1.404486708</v>
      </c>
      <c r="AB216" s="57">
        <f>IFERROR(__xludf.DUMMYFUNCTION("""COMPUTED_VALUE"""),2.749800322867097)</f>
        <v>2.749800323</v>
      </c>
      <c r="AC216" s="31">
        <f>IFERROR(__xludf.DUMMYFUNCTION("""COMPUTED_VALUE"""),351.77683061317555)</f>
        <v>351.7768306</v>
      </c>
      <c r="AD216" s="57">
        <f>IFERROR(__xludf.DUMMYFUNCTION("""COMPUTED_VALUE"""),0.671380067879341)</f>
        <v>0.6713800679</v>
      </c>
      <c r="AE216" s="57">
        <f>IFERROR(__xludf.DUMMYFUNCTION("""COMPUTED_VALUE"""),0.5134845109787083)</f>
        <v>0.513484511</v>
      </c>
      <c r="AF216" s="57">
        <f>IFERROR(__xludf.DUMMYFUNCTION("""COMPUTED_VALUE"""),1.5232281331245592)</f>
        <v>1.523228133</v>
      </c>
      <c r="AG216" s="57">
        <f>IFERROR(__xludf.DUMMYFUNCTION("""COMPUTED_VALUE"""),2.542811302882515)</f>
        <v>2.542811303</v>
      </c>
      <c r="AH216" s="57">
        <f>IFERROR(__xludf.DUMMYFUNCTION("""COMPUTED_VALUE"""),1.1895325774315713)</f>
        <v>1.189532577</v>
      </c>
      <c r="AI216" s="57">
        <f>IFERROR(__xludf.DUMMYFUNCTION("""COMPUTED_VALUE"""),1.3405223703509561)</f>
        <v>1.34052237</v>
      </c>
      <c r="AJ216" s="57">
        <f>IFERROR(__xludf.DUMMYFUNCTION("""COMPUTED_VALUE"""),1.6553566501546244)</f>
        <v>1.65535665</v>
      </c>
      <c r="AK216" s="57">
        <f>IFERROR(__xludf.DUMMYFUNCTION("""COMPUTED_VALUE"""),1.0504007674267155)</f>
        <v>1.050400767</v>
      </c>
      <c r="AL216" s="57">
        <f>IFERROR(__xludf.DUMMYFUNCTION("""COMPUTED_VALUE"""),1.474745686299657)</f>
        <v>1.474745686</v>
      </c>
      <c r="AM216" s="57">
        <f>IFERROR(__xludf.DUMMYFUNCTION("""COMPUTED_VALUE"""),0.9555154791478051)</f>
        <v>0.9555154791</v>
      </c>
      <c r="AN216" s="57">
        <f>IFERROR(__xludf.DUMMYFUNCTION("""COMPUTED_VALUE"""),0.8157922879052429)</f>
        <v>0.8157922879</v>
      </c>
      <c r="AO216" s="57">
        <f>IFERROR(__xludf.DUMMYFUNCTION("""COMPUTED_VALUE"""),0.7655581459300086)</f>
        <v>0.7655581459</v>
      </c>
      <c r="AP216" s="35">
        <f>IFERROR(__xludf.DUMMYFUNCTION("""COMPUTED_VALUE"""),1.0798725671436562)</f>
        <v>1.079872567</v>
      </c>
      <c r="AQ216" s="57">
        <f>IFERROR(__xludf.DUMMYFUNCTION("""COMPUTED_VALUE"""),0.9212790151584305)</f>
        <v>0.9212790152</v>
      </c>
      <c r="AR216" s="36" t="b">
        <f>IFERROR(__xludf.DUMMYFUNCTION("""COMPUTED_VALUE"""),TRUE)</f>
        <v>1</v>
      </c>
      <c r="AS216" s="57"/>
      <c r="AT216" s="37"/>
      <c r="AU216" s="30"/>
      <c r="AV216" s="30"/>
      <c r="AW216" s="30"/>
      <c r="AX216" s="30"/>
      <c r="AY216" s="30"/>
      <c r="AZ216" s="30"/>
    </row>
    <row r="217">
      <c r="A217" s="30" t="str">
        <f>IFERROR(__xludf.DUMMYFUNCTION("""COMPUTED_VALUE"""),"Elite")</f>
        <v>Elite</v>
      </c>
      <c r="B217" s="30" t="str">
        <f>IFERROR(__xludf.DUMMYFUNCTION("""COMPUTED_VALUE"""),"RSC006838")</f>
        <v>RSC006838</v>
      </c>
      <c r="C217" s="30" t="str">
        <f>IFERROR(__xludf.DUMMYFUNCTION("""COMPUTED_VALUE"""),"ZachOff")</f>
        <v>ZachOff</v>
      </c>
      <c r="D217" s="31" t="str">
        <f>IFERROR(__xludf.DUMMYFUNCTION("""COMPUTED_VALUE"""),"Great Whites")</f>
        <v>Great Whites</v>
      </c>
      <c r="E217" s="31">
        <f>IFERROR(__xludf.DUMMYFUNCTION("""COMPUTED_VALUE"""),94.58982799452502)</f>
        <v>94.58982799</v>
      </c>
      <c r="F217" s="31">
        <f>IFERROR(__xludf.DUMMYFUNCTION("""COMPUTED_VALUE"""),26.849312006748402)</f>
        <v>26.84931201</v>
      </c>
      <c r="G217" s="31">
        <f>IFERROR(__xludf.DUMMYFUNCTION("""COMPUTED_VALUE"""),80.29424759135507)</f>
        <v>80.29424759</v>
      </c>
      <c r="H217" s="31">
        <f>IFERROR(__xludf.DUMMYFUNCTION("""COMPUTED_VALUE"""),8.86522968025793)</f>
        <v>8.86522968</v>
      </c>
      <c r="I217" s="54">
        <f>IFERROR(__xludf.DUMMYFUNCTION("""COMPUTED_VALUE"""),44.0)</f>
        <v>44</v>
      </c>
      <c r="J217" s="55">
        <f>IFERROR(__xludf.DUMMYFUNCTION("""COMPUTED_VALUE"""),34.0)</f>
        <v>34</v>
      </c>
      <c r="K217" s="54">
        <f>IFERROR(__xludf.DUMMYFUNCTION("""COMPUTED_VALUE"""),10.0)</f>
        <v>10</v>
      </c>
      <c r="L217" s="56">
        <f>IFERROR(__xludf.DUMMYFUNCTION("""COMPUTED_VALUE"""),0.7727272727272727)</f>
        <v>0.7727272727</v>
      </c>
      <c r="M217" s="56">
        <f>IFERROR(__xludf.DUMMYFUNCTION("""COMPUTED_VALUE"""),0.3776223776223776)</f>
        <v>0.3776223776</v>
      </c>
      <c r="N217" s="31">
        <f>IFERROR(__xludf.DUMMYFUNCTION("""COMPUTED_VALUE"""),416.5)</f>
        <v>416.5</v>
      </c>
      <c r="O217" s="57">
        <f>IFERROR(__xludf.DUMMYFUNCTION("""COMPUTED_VALUE"""),1.2272727272727273)</f>
        <v>1.227272727</v>
      </c>
      <c r="P217" s="57">
        <f>IFERROR(__xludf.DUMMYFUNCTION("""COMPUTED_VALUE"""),0.6590909090909091)</f>
        <v>0.6590909091</v>
      </c>
      <c r="Q217" s="57">
        <f>IFERROR(__xludf.DUMMYFUNCTION("""COMPUTED_VALUE"""),1.3636363636363635)</f>
        <v>1.363636364</v>
      </c>
      <c r="R217" s="57">
        <f>IFERROR(__xludf.DUMMYFUNCTION("""COMPUTED_VALUE"""),3.25)</f>
        <v>3.25</v>
      </c>
      <c r="S217" s="31">
        <f>IFERROR(__xludf.DUMMYFUNCTION("""COMPUTED_VALUE"""),314.2878787878788)</f>
        <v>314.2878788</v>
      </c>
      <c r="T217" s="57">
        <f>IFERROR(__xludf.DUMMYFUNCTION("""COMPUTED_VALUE"""),0.5151515151515151)</f>
        <v>0.5151515152</v>
      </c>
      <c r="U217" s="57">
        <f>IFERROR(__xludf.DUMMYFUNCTION("""COMPUTED_VALUE"""),0.393939393939394)</f>
        <v>0.3939393939</v>
      </c>
      <c r="V217" s="57">
        <f>IFERROR(__xludf.DUMMYFUNCTION("""COMPUTED_VALUE"""),1.4848484848484844)</f>
        <v>1.484848485</v>
      </c>
      <c r="W217" s="57">
        <f>IFERROR(__xludf.DUMMYFUNCTION("""COMPUTED_VALUE"""),2.1363636363636362)</f>
        <v>2.136363636</v>
      </c>
      <c r="X217" s="31">
        <f>IFERROR(__xludf.DUMMYFUNCTION("""COMPUTED_VALUE"""),354.2233579819974)</f>
        <v>354.223358</v>
      </c>
      <c r="Y217" s="57">
        <f>IFERROR(__xludf.DUMMYFUNCTION("""COMPUTED_VALUE"""),0.7180659361564579)</f>
        <v>0.7180659362</v>
      </c>
      <c r="Z217" s="57">
        <f>IFERROR(__xludf.DUMMYFUNCTION("""COMPUTED_VALUE"""),0.5131907688291107)</f>
        <v>0.5131907688</v>
      </c>
      <c r="AA217" s="57">
        <f>IFERROR(__xludf.DUMMYFUNCTION("""COMPUTED_VALUE"""),1.4754353748831444)</f>
        <v>1.475435375</v>
      </c>
      <c r="AB217" s="57">
        <f>IFERROR(__xludf.DUMMYFUNCTION("""COMPUTED_VALUE"""),2.5794747098762474)</f>
        <v>2.57947471</v>
      </c>
      <c r="AC217" s="31">
        <f>IFERROR(__xludf.DUMMYFUNCTION("""COMPUTED_VALUE"""),370.5688483636428)</f>
        <v>370.5688484</v>
      </c>
      <c r="AD217" s="57">
        <f>IFERROR(__xludf.DUMMYFUNCTION("""COMPUTED_VALUE"""),0.8237177138403382)</f>
        <v>0.8237177138</v>
      </c>
      <c r="AE217" s="57">
        <f>IFERROR(__xludf.DUMMYFUNCTION("""COMPUTED_VALUE"""),0.6373716095630328)</f>
        <v>0.6373716096</v>
      </c>
      <c r="AF217" s="57">
        <f>IFERROR(__xludf.DUMMYFUNCTION("""COMPUTED_VALUE"""),1.4228870399125937)</f>
        <v>1.42288704</v>
      </c>
      <c r="AG217" s="57">
        <f>IFERROR(__xludf.DUMMYFUNCTION("""COMPUTED_VALUE"""),2.7742597685327857)</f>
        <v>2.774259769</v>
      </c>
      <c r="AH217" s="57">
        <f>IFERROR(__xludf.DUMMYFUNCTION("""COMPUTED_VALUE"""),1.12394768702005)</f>
        <v>1.123947687</v>
      </c>
      <c r="AI217" s="57">
        <f>IFERROR(__xludf.DUMMYFUNCTION("""COMPUTED_VALUE"""),1.4899190665099749)</f>
        <v>1.489919067</v>
      </c>
      <c r="AJ217" s="57">
        <f>IFERROR(__xludf.DUMMYFUNCTION("""COMPUTED_VALUE"""),1.0340763523225744)</f>
        <v>1.034076352</v>
      </c>
      <c r="AK217" s="57">
        <f>IFERROR(__xludf.DUMMYFUNCTION("""COMPUTED_VALUE"""),0.9583588334040418)</f>
        <v>0.9583588334</v>
      </c>
      <c r="AL217" s="57">
        <f>IFERROR(__xludf.DUMMYFUNCTION("""COMPUTED_VALUE"""),1.171483664530383)</f>
        <v>1.171483665</v>
      </c>
      <c r="AM217" s="57">
        <f>IFERROR(__xludf.DUMMYFUNCTION("""COMPUTED_VALUE"""),0.8872590463214223)</f>
        <v>0.8872590463</v>
      </c>
      <c r="AN217" s="57">
        <f>IFERROR(__xludf.DUMMYFUNCTION("""COMPUTED_VALUE"""),0.717415336408981)</f>
        <v>0.7174153364</v>
      </c>
      <c r="AO217" s="57">
        <f>IFERROR(__xludf.DUMMYFUNCTION("""COMPUTED_VALUE"""),0.7676275916618704)</f>
        <v>0.7676275917</v>
      </c>
      <c r="AP217" s="35">
        <f>IFERROR(__xludf.DUMMYFUNCTION("""COMPUTED_VALUE"""),1.0063798863207314)</f>
        <v>1.006379886</v>
      </c>
      <c r="AQ217" s="57">
        <f>IFERROR(__xludf.DUMMYFUNCTION("""COMPUTED_VALUE"""),0.8282165466418278)</f>
        <v>0.8282165466</v>
      </c>
      <c r="AR217" s="36" t="b">
        <f>IFERROR(__xludf.DUMMYFUNCTION("""COMPUTED_VALUE"""),TRUE)</f>
        <v>1</v>
      </c>
      <c r="AS217" s="57"/>
      <c r="AT217" s="37"/>
      <c r="AU217" s="30"/>
      <c r="AV217" s="30"/>
      <c r="AW217" s="30"/>
      <c r="AX217" s="30"/>
      <c r="AY217" s="30"/>
      <c r="AZ217" s="30"/>
    </row>
    <row r="218">
      <c r="A218" s="30" t="str">
        <f>IFERROR(__xludf.DUMMYFUNCTION("""COMPUTED_VALUE"""),"Elite")</f>
        <v>Elite</v>
      </c>
      <c r="B218" s="30" t="str">
        <f>IFERROR(__xludf.DUMMYFUNCTION("""COMPUTED_VALUE"""),"RSC002890")</f>
        <v>RSC002890</v>
      </c>
      <c r="C218" s="30" t="str">
        <f>IFERROR(__xludf.DUMMYFUNCTION("""COMPUTED_VALUE"""),"Myth1ck")</f>
        <v>Myth1ck</v>
      </c>
      <c r="D218" s="31" t="str">
        <f>IFERROR(__xludf.DUMMYFUNCTION("""COMPUTED_VALUE"""),"Black-Holes")</f>
        <v>Black-Holes</v>
      </c>
      <c r="E218" s="31">
        <f>IFERROR(__xludf.DUMMYFUNCTION("""COMPUTED_VALUE"""),93.7764846654839)</f>
        <v>93.77648467</v>
      </c>
      <c r="F218" s="31">
        <f>IFERROR(__xludf.DUMMYFUNCTION("""COMPUTED_VALUE"""),25.020115849856325)</f>
        <v>25.02011585</v>
      </c>
      <c r="G218" s="31">
        <f>IFERROR(__xludf.DUMMYFUNCTION("""COMPUTED_VALUE"""),68.04210202249479)</f>
        <v>68.04210202</v>
      </c>
      <c r="H218" s="31">
        <f>IFERROR(__xludf.DUMMYFUNCTION("""COMPUTED_VALUE"""),4.250898833018893)</f>
        <v>4.250898833</v>
      </c>
      <c r="I218" s="54">
        <f>IFERROR(__xludf.DUMMYFUNCTION("""COMPUTED_VALUE"""),48.0)</f>
        <v>48</v>
      </c>
      <c r="J218" s="55">
        <f>IFERROR(__xludf.DUMMYFUNCTION("""COMPUTED_VALUE"""),34.0)</f>
        <v>34</v>
      </c>
      <c r="K218" s="54">
        <f>IFERROR(__xludf.DUMMYFUNCTION("""COMPUTED_VALUE"""),14.0)</f>
        <v>14</v>
      </c>
      <c r="L218" s="56">
        <f>IFERROR(__xludf.DUMMYFUNCTION("""COMPUTED_VALUE"""),0.7083333333333334)</f>
        <v>0.7083333333</v>
      </c>
      <c r="M218" s="56">
        <f>IFERROR(__xludf.DUMMYFUNCTION("""COMPUTED_VALUE"""),0.34939759036144574)</f>
        <v>0.3493975904</v>
      </c>
      <c r="N218" s="31">
        <f>IFERROR(__xludf.DUMMYFUNCTION("""COMPUTED_VALUE"""),398.8333333333333)</f>
        <v>398.8333333</v>
      </c>
      <c r="O218" s="57">
        <f>IFERROR(__xludf.DUMMYFUNCTION("""COMPUTED_VALUE"""),1.2083333333333333)</f>
        <v>1.208333333</v>
      </c>
      <c r="P218" s="57">
        <f>IFERROR(__xludf.DUMMYFUNCTION("""COMPUTED_VALUE"""),0.8958333333333334)</f>
        <v>0.8958333333</v>
      </c>
      <c r="Q218" s="57">
        <f>IFERROR(__xludf.DUMMYFUNCTION("""COMPUTED_VALUE"""),1.0833333333333333)</f>
        <v>1.083333333</v>
      </c>
      <c r="R218" s="57">
        <f>IFERROR(__xludf.DUMMYFUNCTION("""COMPUTED_VALUE"""),3.4583333333333335)</f>
        <v>3.458333333</v>
      </c>
      <c r="S218" s="31">
        <f>IFERROR(__xludf.DUMMYFUNCTION("""COMPUTED_VALUE"""),361.7847222222221)</f>
        <v>361.7847222</v>
      </c>
      <c r="T218" s="57">
        <f>IFERROR(__xludf.DUMMYFUNCTION("""COMPUTED_VALUE"""),0.736111111111111)</f>
        <v>0.7361111111</v>
      </c>
      <c r="U218" s="57">
        <f>IFERROR(__xludf.DUMMYFUNCTION("""COMPUTED_VALUE"""),0.5208333333333333)</f>
        <v>0.5208333333</v>
      </c>
      <c r="V218" s="57">
        <f>IFERROR(__xludf.DUMMYFUNCTION("""COMPUTED_VALUE"""),1.6111111111111114)</f>
        <v>1.611111111</v>
      </c>
      <c r="W218" s="57">
        <f>IFERROR(__xludf.DUMMYFUNCTION("""COMPUTED_VALUE"""),2.361111111111111)</f>
        <v>2.361111111</v>
      </c>
      <c r="X218" s="31">
        <f>IFERROR(__xludf.DUMMYFUNCTION("""COMPUTED_VALUE"""),345.659294085417)</f>
        <v>345.6592941</v>
      </c>
      <c r="Y218" s="57">
        <f>IFERROR(__xludf.DUMMYFUNCTION("""COMPUTED_VALUE"""),0.6872618234534277)</f>
        <v>0.6872618235</v>
      </c>
      <c r="Z218" s="57">
        <f>IFERROR(__xludf.DUMMYFUNCTION("""COMPUTED_VALUE"""),0.5102301678577804)</f>
        <v>0.5102301679</v>
      </c>
      <c r="AA218" s="57">
        <f>IFERROR(__xludf.DUMMYFUNCTION("""COMPUTED_VALUE"""),1.4546552209691868)</f>
        <v>1.454655221</v>
      </c>
      <c r="AB218" s="57">
        <f>IFERROR(__xludf.DUMMYFUNCTION("""COMPUTED_VALUE"""),2.5076325792463288)</f>
        <v>2.507632579</v>
      </c>
      <c r="AC218" s="31">
        <f>IFERROR(__xludf.DUMMYFUNCTION("""COMPUTED_VALUE"""),371.5337280577401)</f>
        <v>371.5337281</v>
      </c>
      <c r="AD218" s="57">
        <f>IFERROR(__xludf.DUMMYFUNCTION("""COMPUTED_VALUE"""),0.8566805666837602)</f>
        <v>0.8566805667</v>
      </c>
      <c r="AE218" s="57">
        <f>IFERROR(__xludf.DUMMYFUNCTION("""COMPUTED_VALUE"""),0.6545995225814634)</f>
        <v>0.6545995226</v>
      </c>
      <c r="AF218" s="57">
        <f>IFERROR(__xludf.DUMMYFUNCTION("""COMPUTED_VALUE"""),1.3585001255142413)</f>
        <v>1.358500126</v>
      </c>
      <c r="AG218" s="57">
        <f>IFERROR(__xludf.DUMMYFUNCTION("""COMPUTED_VALUE"""),2.823542684686789)</f>
        <v>2.823542685</v>
      </c>
      <c r="AH218" s="57">
        <f>IFERROR(__xludf.DUMMYFUNCTION("""COMPUTED_VALUE"""),1.0734781345917284)</f>
        <v>1.073478135</v>
      </c>
      <c r="AI218" s="57">
        <f>IFERROR(__xludf.DUMMYFUNCTION("""COMPUTED_VALUE"""),1.4104829505014138)</f>
        <v>1.410482951</v>
      </c>
      <c r="AJ218" s="57">
        <f>IFERROR(__xludf.DUMMYFUNCTION("""COMPUTED_VALUE"""),1.368521214009668)</f>
        <v>1.368521214</v>
      </c>
      <c r="AK218" s="57">
        <f>IFERROR(__xludf.DUMMYFUNCTION("""COMPUTED_VALUE"""),0.797448092191565)</f>
        <v>0.7974480922</v>
      </c>
      <c r="AL218" s="57">
        <f>IFERROR(__xludf.DUMMYFUNCTION("""COMPUTED_VALUE"""),1.224820631219521)</f>
        <v>1.224820631</v>
      </c>
      <c r="AM218" s="57">
        <f>IFERROR(__xludf.DUMMYFUNCTION("""COMPUTED_VALUE"""),1.046651221051271)</f>
        <v>1.046651221</v>
      </c>
      <c r="AN218" s="57">
        <f>IFERROR(__xludf.DUMMYFUNCTION("""COMPUTED_VALUE"""),1.0710781335302755)</f>
        <v>1.071078134</v>
      </c>
      <c r="AO218" s="57">
        <f>IFERROR(__xludf.DUMMYFUNCTION("""COMPUTED_VALUE"""),1.020781141813058)</f>
        <v>1.020781142</v>
      </c>
      <c r="AP218" s="35">
        <f>IFERROR(__xludf.DUMMYFUNCTION("""COMPUTED_VALUE"""),1.1075553078740428)</f>
        <v>1.107555308</v>
      </c>
      <c r="AQ218" s="57">
        <f>IFERROR(__xludf.DUMMYFUNCTION("""COMPUTED_VALUE"""),0.9415698019925811)</f>
        <v>0.941569802</v>
      </c>
      <c r="AR218" s="36" t="b">
        <f>IFERROR(__xludf.DUMMYFUNCTION("""COMPUTED_VALUE"""),TRUE)</f>
        <v>1</v>
      </c>
      <c r="AS218" s="57"/>
      <c r="AT218" s="37"/>
      <c r="AU218" s="30"/>
      <c r="AV218" s="30"/>
      <c r="AW218" s="30"/>
      <c r="AX218" s="30"/>
      <c r="AY218" s="30"/>
      <c r="AZ218" s="30"/>
    </row>
    <row r="219">
      <c r="A219" s="30" t="str">
        <f>IFERROR(__xludf.DUMMYFUNCTION("""COMPUTED_VALUE"""),"Elite")</f>
        <v>Elite</v>
      </c>
      <c r="B219" s="30" t="str">
        <f>IFERROR(__xludf.DUMMYFUNCTION("""COMPUTED_VALUE"""),"RSC000714")</f>
        <v>RSC000714</v>
      </c>
      <c r="C219" s="30" t="str">
        <f>IFERROR(__xludf.DUMMYFUNCTION("""COMPUTED_VALUE"""),"duffy")</f>
        <v>duffy</v>
      </c>
      <c r="D219" s="31" t="str">
        <f>IFERROR(__xludf.DUMMYFUNCTION("""COMPUTED_VALUE"""),"Thrashers")</f>
        <v>Thrashers</v>
      </c>
      <c r="E219" s="31">
        <f>IFERROR(__xludf.DUMMYFUNCTION("""COMPUTED_VALUE"""),91.93662520154189)</f>
        <v>91.9366252</v>
      </c>
      <c r="F219" s="31">
        <f>IFERROR(__xludf.DUMMYFUNCTION("""COMPUTED_VALUE"""),21.40145582561324)</f>
        <v>21.40145583</v>
      </c>
      <c r="G219" s="31">
        <f>IFERROR(__xludf.DUMMYFUNCTION("""COMPUTED_VALUE"""),77.67994580195474)</f>
        <v>77.6799458</v>
      </c>
      <c r="H219" s="31">
        <f>IFERROR(__xludf.DUMMYFUNCTION("""COMPUTED_VALUE"""),7.4568878725506185)</f>
        <v>7.456887873</v>
      </c>
      <c r="I219" s="54">
        <f>IFERROR(__xludf.DUMMYFUNCTION("""COMPUTED_VALUE"""),48.0)</f>
        <v>48</v>
      </c>
      <c r="J219" s="55">
        <f>IFERROR(__xludf.DUMMYFUNCTION("""COMPUTED_VALUE"""),29.0)</f>
        <v>29</v>
      </c>
      <c r="K219" s="54">
        <f>IFERROR(__xludf.DUMMYFUNCTION("""COMPUTED_VALUE"""),19.0)</f>
        <v>19</v>
      </c>
      <c r="L219" s="56">
        <f>IFERROR(__xludf.DUMMYFUNCTION("""COMPUTED_VALUE"""),0.6041666666666666)</f>
        <v>0.6041666667</v>
      </c>
      <c r="M219" s="56">
        <f>IFERROR(__xludf.DUMMYFUNCTION("""COMPUTED_VALUE"""),0.3170731707317073)</f>
        <v>0.3170731707</v>
      </c>
      <c r="N219" s="31">
        <f>IFERROR(__xludf.DUMMYFUNCTION("""COMPUTED_VALUE"""),431.875)</f>
        <v>431.875</v>
      </c>
      <c r="O219" s="57">
        <f>IFERROR(__xludf.DUMMYFUNCTION("""COMPUTED_VALUE"""),1.0833333333333333)</f>
        <v>1.083333333</v>
      </c>
      <c r="P219" s="57">
        <f>IFERROR(__xludf.DUMMYFUNCTION("""COMPUTED_VALUE"""),0.7083333333333334)</f>
        <v>0.7083333333</v>
      </c>
      <c r="Q219" s="57">
        <f>IFERROR(__xludf.DUMMYFUNCTION("""COMPUTED_VALUE"""),1.4791666666666667)</f>
        <v>1.479166667</v>
      </c>
      <c r="R219" s="57">
        <f>IFERROR(__xludf.DUMMYFUNCTION("""COMPUTED_VALUE"""),3.4166666666666665)</f>
        <v>3.416666667</v>
      </c>
      <c r="S219" s="31">
        <f>IFERROR(__xludf.DUMMYFUNCTION("""COMPUTED_VALUE"""),367.125)</f>
        <v>367.125</v>
      </c>
      <c r="T219" s="57">
        <f>IFERROR(__xludf.DUMMYFUNCTION("""COMPUTED_VALUE"""),0.8263888888888887)</f>
        <v>0.8263888889</v>
      </c>
      <c r="U219" s="57">
        <f>IFERROR(__xludf.DUMMYFUNCTION("""COMPUTED_VALUE"""),0.5902777777777778)</f>
        <v>0.5902777778</v>
      </c>
      <c r="V219" s="57">
        <f>IFERROR(__xludf.DUMMYFUNCTION("""COMPUTED_VALUE"""),1.5416666666666667)</f>
        <v>1.541666667</v>
      </c>
      <c r="W219" s="57">
        <f>IFERROR(__xludf.DUMMYFUNCTION("""COMPUTED_VALUE"""),2.4375)</f>
        <v>2.4375</v>
      </c>
      <c r="X219" s="31">
        <f>IFERROR(__xludf.DUMMYFUNCTION("""COMPUTED_VALUE"""),362.3278976752108)</f>
        <v>362.3278977</v>
      </c>
      <c r="Y219" s="57">
        <f>IFERROR(__xludf.DUMMYFUNCTION("""COMPUTED_VALUE"""),0.7869802994226914)</f>
        <v>0.7869802994</v>
      </c>
      <c r="Z219" s="57">
        <f>IFERROR(__xludf.DUMMYFUNCTION("""COMPUTED_VALUE"""),0.6088331276841656)</f>
        <v>0.6088331277</v>
      </c>
      <c r="AA219" s="57">
        <f>IFERROR(__xludf.DUMMYFUNCTION("""COMPUTED_VALUE"""),1.417037600169829)</f>
        <v>1.4170376</v>
      </c>
      <c r="AB219" s="57">
        <f>IFERROR(__xludf.DUMMYFUNCTION("""COMPUTED_VALUE"""),2.6432379253337057)</f>
        <v>2.643237925</v>
      </c>
      <c r="AC219" s="31">
        <f>IFERROR(__xludf.DUMMYFUNCTION("""COMPUTED_VALUE"""),353.04330751900625)</f>
        <v>353.0433075</v>
      </c>
      <c r="AD219" s="57">
        <f>IFERROR(__xludf.DUMMYFUNCTION("""COMPUTED_VALUE"""),0.7337792155586792)</f>
        <v>0.7337792156</v>
      </c>
      <c r="AE219" s="57">
        <f>IFERROR(__xludf.DUMMYFUNCTION("""COMPUTED_VALUE"""),0.5472720194130678)</f>
        <v>0.5472720194</v>
      </c>
      <c r="AF219" s="57">
        <f>IFERROR(__xludf.DUMMYFUNCTION("""COMPUTED_VALUE"""),1.4115004691492892)</f>
        <v>1.411500469</v>
      </c>
      <c r="AG219" s="57">
        <f>IFERROR(__xludf.DUMMYFUNCTION("""COMPUTED_VALUE"""),2.60754731959178)</f>
        <v>2.60754732</v>
      </c>
      <c r="AH219" s="57">
        <f>IFERROR(__xludf.DUMMYFUNCTION("""COMPUTED_VALUE"""),1.223291847776352)</f>
        <v>1.223291848</v>
      </c>
      <c r="AI219" s="57">
        <f>IFERROR(__xludf.DUMMYFUNCTION("""COMPUTED_VALUE"""),1.4763750599129648)</f>
        <v>1.47637506</v>
      </c>
      <c r="AJ219" s="57">
        <f>IFERROR(__xludf.DUMMYFUNCTION("""COMPUTED_VALUE"""),1.294298462568941)</f>
        <v>1.294298463</v>
      </c>
      <c r="AK219" s="57">
        <f>IFERROR(__xludf.DUMMYFUNCTION("""COMPUTED_VALUE"""),1.0479391959098392)</f>
        <v>1.047939196</v>
      </c>
      <c r="AL219" s="57">
        <f>IFERROR(__xludf.DUMMYFUNCTION("""COMPUTED_VALUE"""),1.3102990081888741)</f>
        <v>1.310299008</v>
      </c>
      <c r="AM219" s="57">
        <f>IFERROR(__xludf.DUMMYFUNCTION("""COMPUTED_VALUE"""),1.0132396714566243)</f>
        <v>1.013239671</v>
      </c>
      <c r="AN219" s="57">
        <f>IFERROR(__xludf.DUMMYFUNCTION("""COMPUTED_VALUE"""),1.0500757001097822)</f>
        <v>1.0500757</v>
      </c>
      <c r="AO219" s="57">
        <f>IFERROR(__xludf.DUMMYFUNCTION("""COMPUTED_VALUE"""),0.9695230941572327)</f>
        <v>0.9695230942</v>
      </c>
      <c r="AP219" s="35">
        <f>IFERROR(__xludf.DUMMYFUNCTION("""COMPUTED_VALUE"""),1.0879504301663563)</f>
        <v>1.08795043</v>
      </c>
      <c r="AQ219" s="57">
        <f>IFERROR(__xludf.DUMMYFUNCTION("""COMPUTED_VALUE"""),0.9221644319787324)</f>
        <v>0.922164432</v>
      </c>
      <c r="AR219" s="36" t="b">
        <f>IFERROR(__xludf.DUMMYFUNCTION("""COMPUTED_VALUE"""),TRUE)</f>
        <v>1</v>
      </c>
      <c r="AS219" s="57"/>
      <c r="AT219" s="37"/>
      <c r="AU219" s="30"/>
      <c r="AV219" s="30"/>
      <c r="AW219" s="30"/>
      <c r="AX219" s="30"/>
      <c r="AY219" s="30"/>
      <c r="AZ219" s="30"/>
    </row>
    <row r="220">
      <c r="A220" s="30" t="str">
        <f>IFERROR(__xludf.DUMMYFUNCTION("""COMPUTED_VALUE"""),"Elite")</f>
        <v>Elite</v>
      </c>
      <c r="B220" s="30" t="str">
        <f>IFERROR(__xludf.DUMMYFUNCTION("""COMPUTED_VALUE"""),"RSC005274")</f>
        <v>RSC005274</v>
      </c>
      <c r="C220" s="30" t="str">
        <f>IFERROR(__xludf.DUMMYFUNCTION("""COMPUTED_VALUE"""),"KING.")</f>
        <v>KING.</v>
      </c>
      <c r="D220" s="31" t="str">
        <f>IFERROR(__xludf.DUMMYFUNCTION("""COMPUTED_VALUE"""),"Cotija Cartel")</f>
        <v>Cotija Cartel</v>
      </c>
      <c r="E220" s="31">
        <f>IFERROR(__xludf.DUMMYFUNCTION("""COMPUTED_VALUE"""),89.00234630993626)</f>
        <v>89.00234631</v>
      </c>
      <c r="F220" s="31">
        <f>IFERROR(__xludf.DUMMYFUNCTION("""COMPUTED_VALUE"""),16.843849346624747)</f>
        <v>16.84384935</v>
      </c>
      <c r="G220" s="31">
        <f>IFERROR(__xludf.DUMMYFUNCTION("""COMPUTED_VALUE"""),56.4812253707384)</f>
        <v>56.48122537</v>
      </c>
      <c r="H220" s="31">
        <f>IFERROR(__xludf.DUMMYFUNCTION("""COMPUTED_VALUE"""),2.5143218441140176)</f>
        <v>2.514321844</v>
      </c>
      <c r="I220" s="54">
        <f>IFERROR(__xludf.DUMMYFUNCTION("""COMPUTED_VALUE"""),18.0)</f>
        <v>18</v>
      </c>
      <c r="J220" s="55">
        <f>IFERROR(__xludf.DUMMYFUNCTION("""COMPUTED_VALUE"""),11.0)</f>
        <v>11</v>
      </c>
      <c r="K220" s="54">
        <f>IFERROR(__xludf.DUMMYFUNCTION("""COMPUTED_VALUE"""),7.0)</f>
        <v>7</v>
      </c>
      <c r="L220" s="56">
        <f>IFERROR(__xludf.DUMMYFUNCTION("""COMPUTED_VALUE"""),0.6111111111111112)</f>
        <v>0.6111111111</v>
      </c>
      <c r="M220" s="56">
        <f>IFERROR(__xludf.DUMMYFUNCTION("""COMPUTED_VALUE"""),0.3448275862068966)</f>
        <v>0.3448275862</v>
      </c>
      <c r="N220" s="31">
        <f>IFERROR(__xludf.DUMMYFUNCTION("""COMPUTED_VALUE"""),366.3333333333333)</f>
        <v>366.3333333</v>
      </c>
      <c r="O220" s="57">
        <f>IFERROR(__xludf.DUMMYFUNCTION("""COMPUTED_VALUE"""),1.1111111111111112)</f>
        <v>1.111111111</v>
      </c>
      <c r="P220" s="57">
        <f>IFERROR(__xludf.DUMMYFUNCTION("""COMPUTED_VALUE"""),0.8333333333333334)</f>
        <v>0.8333333333</v>
      </c>
      <c r="Q220" s="57">
        <f>IFERROR(__xludf.DUMMYFUNCTION("""COMPUTED_VALUE"""),1.0)</f>
        <v>1</v>
      </c>
      <c r="R220" s="57">
        <f>IFERROR(__xludf.DUMMYFUNCTION("""COMPUTED_VALUE"""),3.2222222222222223)</f>
        <v>3.222222222</v>
      </c>
      <c r="S220" s="31">
        <f>IFERROR(__xludf.DUMMYFUNCTION("""COMPUTED_VALUE"""),351.5555555555555)</f>
        <v>351.5555556</v>
      </c>
      <c r="T220" s="57">
        <f>IFERROR(__xludf.DUMMYFUNCTION("""COMPUTED_VALUE"""),0.7222222222222222)</f>
        <v>0.7222222222</v>
      </c>
      <c r="U220" s="57">
        <f>IFERROR(__xludf.DUMMYFUNCTION("""COMPUTED_VALUE"""),0.48148148148148134)</f>
        <v>0.4814814815</v>
      </c>
      <c r="V220" s="57">
        <f>IFERROR(__xludf.DUMMYFUNCTION("""COMPUTED_VALUE"""),1.5740740740740744)</f>
        <v>1.574074074</v>
      </c>
      <c r="W220" s="57">
        <f>IFERROR(__xludf.DUMMYFUNCTION("""COMPUTED_VALUE"""),2.259259259259259)</f>
        <v>2.259259259</v>
      </c>
      <c r="X220" s="31">
        <f>IFERROR(__xludf.DUMMYFUNCTION("""COMPUTED_VALUE"""),357.0273021076951)</f>
        <v>357.0273021</v>
      </c>
      <c r="Y220" s="57">
        <f>IFERROR(__xludf.DUMMYFUNCTION("""COMPUTED_VALUE"""),0.7625693121232003)</f>
        <v>0.7625693121</v>
      </c>
      <c r="Z220" s="57">
        <f>IFERROR(__xludf.DUMMYFUNCTION("""COMPUTED_VALUE"""),0.5567641447762604)</f>
        <v>0.5567641448</v>
      </c>
      <c r="AA220" s="57">
        <f>IFERROR(__xludf.DUMMYFUNCTION("""COMPUTED_VALUE"""),1.4520323592047335)</f>
        <v>1.452032359</v>
      </c>
      <c r="AB220" s="57">
        <f>IFERROR(__xludf.DUMMYFUNCTION("""COMPUTED_VALUE"""),2.5712594050776616)</f>
        <v>2.571259405</v>
      </c>
      <c r="AC220" s="31">
        <f>IFERROR(__xludf.DUMMYFUNCTION("""COMPUTED_VALUE"""),362.33740986813746)</f>
        <v>362.3374099</v>
      </c>
      <c r="AD220" s="57">
        <f>IFERROR(__xludf.DUMMYFUNCTION("""COMPUTED_VALUE"""),0.807752662734219)</f>
        <v>0.8077526627</v>
      </c>
      <c r="AE220" s="57">
        <f>IFERROR(__xludf.DUMMYFUNCTION("""COMPUTED_VALUE"""),0.6033348758810639)</f>
        <v>0.6033348759</v>
      </c>
      <c r="AF220" s="57">
        <f>IFERROR(__xludf.DUMMYFUNCTION("""COMPUTED_VALUE"""),1.3545021809649853)</f>
        <v>1.354502181</v>
      </c>
      <c r="AG220" s="57">
        <f>IFERROR(__xludf.DUMMYFUNCTION("""COMPUTED_VALUE"""),2.767625181293838)</f>
        <v>2.767625181</v>
      </c>
      <c r="AH220" s="57">
        <f>IFERROR(__xludf.DUMMYFUNCTION("""COMPUTED_VALUE"""),1.0110281835559018)</f>
        <v>1.011028184</v>
      </c>
      <c r="AI220" s="57">
        <f>IFERROR(__xludf.DUMMYFUNCTION("""COMPUTED_VALUE"""),1.3755585866470965)</f>
        <v>1.375558587</v>
      </c>
      <c r="AJ220" s="57">
        <f>IFERROR(__xludf.DUMMYFUNCTION("""COMPUTED_VALUE"""),1.3812119382563413)</f>
        <v>1.381211938</v>
      </c>
      <c r="AK220" s="57">
        <f>IFERROR(__xludf.DUMMYFUNCTION("""COMPUTED_VALUE"""),0.7382786192987685)</f>
        <v>0.7382786193</v>
      </c>
      <c r="AL220" s="57">
        <f>IFERROR(__xludf.DUMMYFUNCTION("""COMPUTED_VALUE"""),1.1642552770515928)</f>
        <v>1.164255277</v>
      </c>
      <c r="AM220" s="57">
        <f>IFERROR(__xludf.DUMMYFUNCTION("""COMPUTED_VALUE"""),0.9846741509127246)</f>
        <v>0.9846741509</v>
      </c>
      <c r="AN220" s="57">
        <f>IFERROR(__xludf.DUMMYFUNCTION("""COMPUTED_VALUE"""),0.9470905932620854)</f>
        <v>0.9470905933</v>
      </c>
      <c r="AO220" s="57">
        <f>IFERROR(__xludf.DUMMYFUNCTION("""COMPUTED_VALUE"""),0.8647853601904772)</f>
        <v>0.8647853602</v>
      </c>
      <c r="AP220" s="35">
        <f>IFERROR(__xludf.DUMMYFUNCTION("""COMPUTED_VALUE"""),1.0840488947065767)</f>
        <v>1.084048895</v>
      </c>
      <c r="AQ220" s="57">
        <f>IFERROR(__xludf.DUMMYFUNCTION("""COMPUTED_VALUE"""),0.8786586272850292)</f>
        <v>0.8786586273</v>
      </c>
      <c r="AR220" s="36" t="b">
        <f>IFERROR(__xludf.DUMMYFUNCTION("""COMPUTED_VALUE"""),TRUE)</f>
        <v>1</v>
      </c>
      <c r="AS220" s="57"/>
      <c r="AT220" s="37"/>
      <c r="AU220" s="30"/>
      <c r="AV220" s="30"/>
      <c r="AW220" s="30"/>
      <c r="AX220" s="30"/>
      <c r="AY220" s="30"/>
      <c r="AZ220" s="30"/>
    </row>
    <row r="221">
      <c r="A221" s="30" t="str">
        <f>IFERROR(__xludf.DUMMYFUNCTION("""COMPUTED_VALUE"""),"Elite")</f>
        <v>Elite</v>
      </c>
      <c r="B221" s="30" t="str">
        <f>IFERROR(__xludf.DUMMYFUNCTION("""COMPUTED_VALUE"""),"RSC007876")</f>
        <v>RSC007876</v>
      </c>
      <c r="C221" s="30" t="str">
        <f>IFERROR(__xludf.DUMMYFUNCTION("""COMPUTED_VALUE"""),"dwsn.")</f>
        <v>dwsn.</v>
      </c>
      <c r="D221" s="31" t="str">
        <f>IFERROR(__xludf.DUMMYFUNCTION("""COMPUTED_VALUE"""),"Great Whites")</f>
        <v>Great Whites</v>
      </c>
      <c r="E221" s="31">
        <f>IFERROR(__xludf.DUMMYFUNCTION("""COMPUTED_VALUE"""),84.89647730108169)</f>
        <v>84.8964773</v>
      </c>
      <c r="F221" s="31">
        <f>IFERROR(__xludf.DUMMYFUNCTION("""COMPUTED_VALUE"""),12.288263125074089)</f>
        <v>12.28826313</v>
      </c>
      <c r="G221" s="31">
        <f>IFERROR(__xludf.DUMMYFUNCTION("""COMPUTED_VALUE"""),83.33826813608975)</f>
        <v>83.33826814</v>
      </c>
      <c r="H221" s="31">
        <f>IFERROR(__xludf.DUMMYFUNCTION("""COMPUTED_VALUE"""),10.967455757406768)</f>
        <v>10.96745576</v>
      </c>
      <c r="I221" s="54">
        <f>IFERROR(__xludf.DUMMYFUNCTION("""COMPUTED_VALUE"""),43.0)</f>
        <v>43</v>
      </c>
      <c r="J221" s="55">
        <f>IFERROR(__xludf.DUMMYFUNCTION("""COMPUTED_VALUE"""),31.0)</f>
        <v>31</v>
      </c>
      <c r="K221" s="54">
        <f>IFERROR(__xludf.DUMMYFUNCTION("""COMPUTED_VALUE"""),12.0)</f>
        <v>12</v>
      </c>
      <c r="L221" s="56">
        <f>IFERROR(__xludf.DUMMYFUNCTION("""COMPUTED_VALUE"""),0.7209302325581395)</f>
        <v>0.7209302326</v>
      </c>
      <c r="M221" s="56">
        <f>IFERROR(__xludf.DUMMYFUNCTION("""COMPUTED_VALUE"""),0.25531914893617025)</f>
        <v>0.2553191489</v>
      </c>
      <c r="N221" s="31">
        <f>IFERROR(__xludf.DUMMYFUNCTION("""COMPUTED_VALUE"""),394.30232558139534)</f>
        <v>394.3023256</v>
      </c>
      <c r="O221" s="57">
        <f>IFERROR(__xludf.DUMMYFUNCTION("""COMPUTED_VALUE"""),0.8372093023255814)</f>
        <v>0.8372093023</v>
      </c>
      <c r="P221" s="57">
        <f>IFERROR(__xludf.DUMMYFUNCTION("""COMPUTED_VALUE"""),0.8604651162790697)</f>
        <v>0.8604651163</v>
      </c>
      <c r="Q221" s="57">
        <f>IFERROR(__xludf.DUMMYFUNCTION("""COMPUTED_VALUE"""),1.4883720930232558)</f>
        <v>1.488372093</v>
      </c>
      <c r="R221" s="57">
        <f>IFERROR(__xludf.DUMMYFUNCTION("""COMPUTED_VALUE"""),3.2790697674418605)</f>
        <v>3.279069767</v>
      </c>
      <c r="S221" s="31">
        <f>IFERROR(__xludf.DUMMYFUNCTION("""COMPUTED_VALUE"""),310.35658914728685)</f>
        <v>310.3565891</v>
      </c>
      <c r="T221" s="57">
        <f>IFERROR(__xludf.DUMMYFUNCTION("""COMPUTED_VALUE"""),0.5271317829457363)</f>
        <v>0.5271317829</v>
      </c>
      <c r="U221" s="57">
        <f>IFERROR(__xludf.DUMMYFUNCTION("""COMPUTED_VALUE"""),0.4108527131782946)</f>
        <v>0.4108527132</v>
      </c>
      <c r="V221" s="57">
        <f>IFERROR(__xludf.DUMMYFUNCTION("""COMPUTED_VALUE"""),1.457364341085271)</f>
        <v>1.457364341</v>
      </c>
      <c r="W221" s="57">
        <f>IFERROR(__xludf.DUMMYFUNCTION("""COMPUTED_VALUE"""),2.077519379844961)</f>
        <v>2.07751938</v>
      </c>
      <c r="X221" s="31">
        <f>IFERROR(__xludf.DUMMYFUNCTION("""COMPUTED_VALUE"""),353.95749436191704)</f>
        <v>353.9574944</v>
      </c>
      <c r="Y221" s="57">
        <f>IFERROR(__xludf.DUMMYFUNCTION("""COMPUTED_VALUE"""),0.7297099899241133)</f>
        <v>0.7297099899</v>
      </c>
      <c r="Z221" s="57">
        <f>IFERROR(__xludf.DUMMYFUNCTION("""COMPUTED_VALUE"""),0.5217567568311889)</f>
        <v>0.5217567568</v>
      </c>
      <c r="AA221" s="57">
        <f>IFERROR(__xludf.DUMMYFUNCTION("""COMPUTED_VALUE"""),1.4622712257960662)</f>
        <v>1.462271226</v>
      </c>
      <c r="AB221" s="57">
        <f>IFERROR(__xludf.DUMMYFUNCTION("""COMPUTED_VALUE"""),2.600684005400434)</f>
        <v>2.600684005</v>
      </c>
      <c r="AC221" s="31">
        <f>IFERROR(__xludf.DUMMYFUNCTION("""COMPUTED_VALUE"""),366.8768514791729)</f>
        <v>366.8768515</v>
      </c>
      <c r="AD221" s="57">
        <f>IFERROR(__xludf.DUMMYFUNCTION("""COMPUTED_VALUE"""),0.8087948871447359)</f>
        <v>0.8087948871</v>
      </c>
      <c r="AE221" s="57">
        <f>IFERROR(__xludf.DUMMYFUNCTION("""COMPUTED_VALUE"""),0.6236804967146372)</f>
        <v>0.6236804967</v>
      </c>
      <c r="AF221" s="57">
        <f>IFERROR(__xludf.DUMMYFUNCTION("""COMPUTED_VALUE"""),1.4212657043656833)</f>
        <v>1.421265704</v>
      </c>
      <c r="AG221" s="57">
        <f>IFERROR(__xludf.DUMMYFUNCTION("""COMPUTED_VALUE"""),2.7352595728321796)</f>
        <v>2.735259573</v>
      </c>
      <c r="AH221" s="57">
        <f>IFERROR(__xludf.DUMMYFUNCTION("""COMPUTED_VALUE"""),1.0747538962778613)</f>
        <v>1.074753896</v>
      </c>
      <c r="AI221" s="57">
        <f>IFERROR(__xludf.DUMMYFUNCTION("""COMPUTED_VALUE"""),1.035131793774261)</f>
        <v>1.035131794</v>
      </c>
      <c r="AJ221" s="57">
        <f>IFERROR(__xludf.DUMMYFUNCTION("""COMPUTED_VALUE"""),1.3796569249988468)</f>
        <v>1.379656925</v>
      </c>
      <c r="AK221" s="57">
        <f>IFERROR(__xludf.DUMMYFUNCTION("""COMPUTED_VALUE"""),1.0472159346781131)</f>
        <v>1.047215935</v>
      </c>
      <c r="AL221" s="57">
        <f>IFERROR(__xludf.DUMMYFUNCTION("""COMPUTED_VALUE"""),1.1988148401018488)</f>
        <v>1.19881484</v>
      </c>
      <c r="AM221" s="57">
        <f>IFERROR(__xludf.DUMMYFUNCTION("""COMPUTED_VALUE"""),0.8768188104245963)</f>
        <v>0.8768188104</v>
      </c>
      <c r="AN221" s="57">
        <f>IFERROR(__xludf.DUMMYFUNCTION("""COMPUTED_VALUE"""),0.7223853177624109)</f>
        <v>0.7223853178</v>
      </c>
      <c r="AO221" s="57">
        <f>IFERROR(__xludf.DUMMYFUNCTION("""COMPUTED_VALUE"""),0.787441097406283)</f>
        <v>0.7874410974</v>
      </c>
      <c r="AP221" s="35">
        <f>IFERROR(__xludf.DUMMYFUNCTION("""COMPUTED_VALUE"""),0.9966443402398732)</f>
        <v>0.9966443402</v>
      </c>
      <c r="AQ221" s="57">
        <f>IFERROR(__xludf.DUMMYFUNCTION("""COMPUTED_VALUE"""),0.7988357584123642)</f>
        <v>0.7988357584</v>
      </c>
      <c r="AR221" s="36" t="b">
        <f>IFERROR(__xludf.DUMMYFUNCTION("""COMPUTED_VALUE"""),TRUE)</f>
        <v>1</v>
      </c>
      <c r="AS221" s="57"/>
      <c r="AT221" s="37"/>
      <c r="AU221" s="30"/>
      <c r="AV221" s="30"/>
      <c r="AW221" s="30"/>
      <c r="AX221" s="30"/>
      <c r="AY221" s="30"/>
      <c r="AZ221" s="30"/>
    </row>
    <row r="222">
      <c r="A222" s="30" t="str">
        <f>IFERROR(__xludf.DUMMYFUNCTION("""COMPUTED_VALUE"""),"Elite")</f>
        <v>Elite</v>
      </c>
      <c r="B222" s="30" t="str">
        <f>IFERROR(__xludf.DUMMYFUNCTION("""COMPUTED_VALUE"""),"RSC006972")</f>
        <v>RSC006972</v>
      </c>
      <c r="C222" s="30" t="str">
        <f>IFERROR(__xludf.DUMMYFUNCTION("""COMPUTED_VALUE"""),"galaxiezz.")</f>
        <v>galaxiezz.</v>
      </c>
      <c r="D222" s="31" t="str">
        <f>IFERROR(__xludf.DUMMYFUNCTION("""COMPUTED_VALUE"""),"Cotija Cartel")</f>
        <v>Cotija Cartel</v>
      </c>
      <c r="E222" s="31">
        <f>IFERROR(__xludf.DUMMYFUNCTION("""COMPUTED_VALUE"""),83.87333726128571)</f>
        <v>83.87333726</v>
      </c>
      <c r="F222" s="31">
        <f>IFERROR(__xludf.DUMMYFUNCTION("""COMPUTED_VALUE"""),11.399990139083444)</f>
        <v>11.39999014</v>
      </c>
      <c r="G222" s="31">
        <f>IFERROR(__xludf.DUMMYFUNCTION("""COMPUTED_VALUE"""),68.31809396268618)</f>
        <v>68.31809396</v>
      </c>
      <c r="H222" s="31">
        <f>IFERROR(__xludf.DUMMYFUNCTION("""COMPUTED_VALUE"""),4.312883012669905)</f>
        <v>4.312883013</v>
      </c>
      <c r="I222" s="54">
        <f>IFERROR(__xludf.DUMMYFUNCTION("""COMPUTED_VALUE"""),37.0)</f>
        <v>37</v>
      </c>
      <c r="J222" s="55">
        <f>IFERROR(__xludf.DUMMYFUNCTION("""COMPUTED_VALUE"""),30.0)</f>
        <v>30</v>
      </c>
      <c r="K222" s="54">
        <f>IFERROR(__xludf.DUMMYFUNCTION("""COMPUTED_VALUE"""),7.0)</f>
        <v>7</v>
      </c>
      <c r="L222" s="56">
        <f>IFERROR(__xludf.DUMMYFUNCTION("""COMPUTED_VALUE"""),0.8108108108108109)</f>
        <v>0.8108108108</v>
      </c>
      <c r="M222" s="56">
        <f>IFERROR(__xludf.DUMMYFUNCTION("""COMPUTED_VALUE"""),0.3557692307692307)</f>
        <v>0.3557692308</v>
      </c>
      <c r="N222" s="31">
        <f>IFERROR(__xludf.DUMMYFUNCTION("""COMPUTED_VALUE"""),399.6756756756757)</f>
        <v>399.6756757</v>
      </c>
      <c r="O222" s="57">
        <f>IFERROR(__xludf.DUMMYFUNCTION("""COMPUTED_VALUE"""),1.0)</f>
        <v>1</v>
      </c>
      <c r="P222" s="57">
        <f>IFERROR(__xludf.DUMMYFUNCTION("""COMPUTED_VALUE"""),0.7567567567567568)</f>
        <v>0.7567567568</v>
      </c>
      <c r="Q222" s="57">
        <f>IFERROR(__xludf.DUMMYFUNCTION("""COMPUTED_VALUE"""),1.4594594594594594)</f>
        <v>1.459459459</v>
      </c>
      <c r="R222" s="57">
        <f>IFERROR(__xludf.DUMMYFUNCTION("""COMPUTED_VALUE"""),2.810810810810811)</f>
        <v>2.810810811</v>
      </c>
      <c r="S222" s="31">
        <f>IFERROR(__xludf.DUMMYFUNCTION("""COMPUTED_VALUE"""),319.018018018018)</f>
        <v>319.018018</v>
      </c>
      <c r="T222" s="57">
        <f>IFERROR(__xludf.DUMMYFUNCTION("""COMPUTED_VALUE"""),0.5495495495495498)</f>
        <v>0.5495495495</v>
      </c>
      <c r="U222" s="57">
        <f>IFERROR(__xludf.DUMMYFUNCTION("""COMPUTED_VALUE"""),0.3603603603603604)</f>
        <v>0.3603603604</v>
      </c>
      <c r="V222" s="57">
        <f>IFERROR(__xludf.DUMMYFUNCTION("""COMPUTED_VALUE"""),1.3963963963963966)</f>
        <v>1.396396396</v>
      </c>
      <c r="W222" s="57">
        <f>IFERROR(__xludf.DUMMYFUNCTION("""COMPUTED_VALUE"""),2.234234234234234)</f>
        <v>2.234234234</v>
      </c>
      <c r="X222" s="31">
        <f>IFERROR(__xludf.DUMMYFUNCTION("""COMPUTED_VALUE"""),357.37823513598573)</f>
        <v>357.3782351</v>
      </c>
      <c r="Y222" s="57">
        <f>IFERROR(__xludf.DUMMYFUNCTION("""COMPUTED_VALUE"""),0.769982609568446)</f>
        <v>0.7699826096</v>
      </c>
      <c r="Z222" s="57">
        <f>IFERROR(__xludf.DUMMYFUNCTION("""COMPUTED_VALUE"""),0.5528183327777808)</f>
        <v>0.5528183328</v>
      </c>
      <c r="AA222" s="57">
        <f>IFERROR(__xludf.DUMMYFUNCTION("""COMPUTED_VALUE"""),1.4131487386002668)</f>
        <v>1.413148739</v>
      </c>
      <c r="AB222" s="57">
        <f>IFERROR(__xludf.DUMMYFUNCTION("""COMPUTED_VALUE"""),2.6128235579763444)</f>
        <v>2.612823558</v>
      </c>
      <c r="AC222" s="31">
        <f>IFERROR(__xludf.DUMMYFUNCTION("""COMPUTED_VALUE"""),366.2976596391383)</f>
        <v>366.2976596</v>
      </c>
      <c r="AD222" s="57">
        <f>IFERROR(__xludf.DUMMYFUNCTION("""COMPUTED_VALUE"""),0.8132472328199802)</f>
        <v>0.8132472328</v>
      </c>
      <c r="AE222" s="57">
        <f>IFERROR(__xludf.DUMMYFUNCTION("""COMPUTED_VALUE"""),0.609309447078219)</f>
        <v>0.6093094471</v>
      </c>
      <c r="AF222" s="57">
        <f>IFERROR(__xludf.DUMMYFUNCTION("""COMPUTED_VALUE"""),1.3976668526606575)</f>
        <v>1.397666853</v>
      </c>
      <c r="AG222" s="57">
        <f>IFERROR(__xludf.DUMMYFUNCTION("""COMPUTED_VALUE"""),2.712679057212078)</f>
        <v>2.712679057</v>
      </c>
      <c r="AH222" s="57">
        <f>IFERROR(__xludf.DUMMYFUNCTION("""COMPUTED_VALUE"""),1.091122657101932)</f>
        <v>1.091122657</v>
      </c>
      <c r="AI222" s="57">
        <f>IFERROR(__xludf.DUMMYFUNCTION("""COMPUTED_VALUE"""),1.2296383678213625)</f>
        <v>1.229638368</v>
      </c>
      <c r="AJ222" s="57">
        <f>IFERROR(__xludf.DUMMYFUNCTION("""COMPUTED_VALUE"""),1.241990847812359)</f>
        <v>1.241990848</v>
      </c>
      <c r="AK222" s="57">
        <f>IFERROR(__xludf.DUMMYFUNCTION("""COMPUTED_VALUE"""),1.0442112558376633)</f>
        <v>1.044211256</v>
      </c>
      <c r="AL222" s="57">
        <f>IFERROR(__xludf.DUMMYFUNCTION("""COMPUTED_VALUE"""),1.0361752170194387)</f>
        <v>1.036175217</v>
      </c>
      <c r="AM222" s="57">
        <f>IFERROR(__xludf.DUMMYFUNCTION("""COMPUTED_VALUE"""),0.8926621339898572)</f>
        <v>0.892662134</v>
      </c>
      <c r="AN222" s="57">
        <f>IFERROR(__xludf.DUMMYFUNCTION("""COMPUTED_VALUE"""),0.7137168329782891)</f>
        <v>0.713716833</v>
      </c>
      <c r="AO222" s="57">
        <f>IFERROR(__xludf.DUMMYFUNCTION("""COMPUTED_VALUE"""),0.6518603653204393)</f>
        <v>0.6518603653</v>
      </c>
      <c r="AP222" s="35">
        <f>IFERROR(__xludf.DUMMYFUNCTION("""COMPUTED_VALUE"""),0.9881453793600923)</f>
        <v>0.9881453794</v>
      </c>
      <c r="AQ222" s="57">
        <f>IFERROR(__xludf.DUMMYFUNCTION("""COMPUTED_VALUE"""),0.8551033717579724)</f>
        <v>0.8551033718</v>
      </c>
      <c r="AR222" s="36" t="b">
        <f>IFERROR(__xludf.DUMMYFUNCTION("""COMPUTED_VALUE"""),TRUE)</f>
        <v>1</v>
      </c>
      <c r="AS222" s="57"/>
      <c r="AT222" s="37"/>
      <c r="AU222" s="30"/>
      <c r="AV222" s="30"/>
      <c r="AW222" s="30"/>
      <c r="AX222" s="30"/>
      <c r="AY222" s="30"/>
      <c r="AZ222" s="30"/>
    </row>
    <row r="223">
      <c r="A223" s="30" t="str">
        <f>IFERROR(__xludf.DUMMYFUNCTION("""COMPUTED_VALUE"""),"Elite")</f>
        <v>Elite</v>
      </c>
      <c r="B223" s="30" t="str">
        <f>IFERROR(__xludf.DUMMYFUNCTION("""COMPUTED_VALUE"""),"RSC007882")</f>
        <v>RSC007882</v>
      </c>
      <c r="C223" s="30" t="str">
        <f>IFERROR(__xludf.DUMMYFUNCTION("""COMPUTED_VALUE"""),"mirage")</f>
        <v>mirage</v>
      </c>
      <c r="D223" s="31"/>
      <c r="E223" s="31">
        <f>IFERROR(__xludf.DUMMYFUNCTION("""COMPUTED_VALUE"""),83.11882983611284)</f>
        <v>83.11882984</v>
      </c>
      <c r="F223" s="31">
        <f>IFERROR(__xludf.DUMMYFUNCTION("""COMPUTED_VALUE"""),10.7960450935647)</f>
        <v>10.79604509</v>
      </c>
      <c r="G223" s="31">
        <f>IFERROR(__xludf.DUMMYFUNCTION("""COMPUTED_VALUE"""),87.18715160743872)</f>
        <v>87.18715161</v>
      </c>
      <c r="H223" s="31">
        <f>IFERROR(__xludf.DUMMYFUNCTION("""COMPUTED_VALUE"""),14.61064659935942)</f>
        <v>14.6106466</v>
      </c>
      <c r="I223" s="54">
        <f>IFERROR(__xludf.DUMMYFUNCTION("""COMPUTED_VALUE"""),12.0)</f>
        <v>12</v>
      </c>
      <c r="J223" s="55">
        <f>IFERROR(__xludf.DUMMYFUNCTION("""COMPUTED_VALUE"""),8.0)</f>
        <v>8</v>
      </c>
      <c r="K223" s="54">
        <f>IFERROR(__xludf.DUMMYFUNCTION("""COMPUTED_VALUE"""),4.0)</f>
        <v>4</v>
      </c>
      <c r="L223" s="56">
        <f>IFERROR(__xludf.DUMMYFUNCTION("""COMPUTED_VALUE"""),0.6666666666666666)</f>
        <v>0.6666666667</v>
      </c>
      <c r="M223" s="56">
        <f>IFERROR(__xludf.DUMMYFUNCTION("""COMPUTED_VALUE"""),0.4358974358974359)</f>
        <v>0.4358974359</v>
      </c>
      <c r="N223" s="31">
        <f>IFERROR(__xludf.DUMMYFUNCTION("""COMPUTED_VALUE"""),473.5833333333333)</f>
        <v>473.5833333</v>
      </c>
      <c r="O223" s="57">
        <f>IFERROR(__xludf.DUMMYFUNCTION("""COMPUTED_VALUE"""),1.4166666666666667)</f>
        <v>1.416666667</v>
      </c>
      <c r="P223" s="57">
        <f>IFERROR(__xludf.DUMMYFUNCTION("""COMPUTED_VALUE"""),0.3333333333333333)</f>
        <v>0.3333333333</v>
      </c>
      <c r="Q223" s="57">
        <f>IFERROR(__xludf.DUMMYFUNCTION("""COMPUTED_VALUE"""),1.75)</f>
        <v>1.75</v>
      </c>
      <c r="R223" s="57">
        <f>IFERROR(__xludf.DUMMYFUNCTION("""COMPUTED_VALUE"""),3.25)</f>
        <v>3.25</v>
      </c>
      <c r="S223" s="31">
        <f>IFERROR(__xludf.DUMMYFUNCTION("""COMPUTED_VALUE"""),343.0)</f>
        <v>343</v>
      </c>
      <c r="T223" s="57">
        <f>IFERROR(__xludf.DUMMYFUNCTION("""COMPUTED_VALUE"""),0.638888888888889)</f>
        <v>0.6388888889</v>
      </c>
      <c r="U223" s="57">
        <f>IFERROR(__xludf.DUMMYFUNCTION("""COMPUTED_VALUE"""),0.4444444444444444)</f>
        <v>0.4444444444</v>
      </c>
      <c r="V223" s="57">
        <f>IFERROR(__xludf.DUMMYFUNCTION("""COMPUTED_VALUE"""),1.388888888888889)</f>
        <v>1.388888889</v>
      </c>
      <c r="W223" s="57">
        <f>IFERROR(__xludf.DUMMYFUNCTION("""COMPUTED_VALUE"""),2.472222222222222)</f>
        <v>2.472222222</v>
      </c>
      <c r="X223" s="31">
        <f>IFERROR(__xludf.DUMMYFUNCTION("""COMPUTED_VALUE"""),336.08590519260093)</f>
        <v>336.0859052</v>
      </c>
      <c r="Y223" s="57">
        <f>IFERROR(__xludf.DUMMYFUNCTION("""COMPUTED_VALUE"""),0.6381233930483493)</f>
        <v>0.638123393</v>
      </c>
      <c r="Z223" s="57">
        <f>IFERROR(__xludf.DUMMYFUNCTION("""COMPUTED_VALUE"""),0.4579864233768416)</f>
        <v>0.4579864234</v>
      </c>
      <c r="AA223" s="57">
        <f>IFERROR(__xludf.DUMMYFUNCTION("""COMPUTED_VALUE"""),1.504533390990182)</f>
        <v>1.504533391</v>
      </c>
      <c r="AB223" s="57">
        <f>IFERROR(__xludf.DUMMYFUNCTION("""COMPUTED_VALUE"""),2.3488274044283433)</f>
        <v>2.348827404</v>
      </c>
      <c r="AC223" s="31">
        <f>IFERROR(__xludf.DUMMYFUNCTION("""COMPUTED_VALUE"""),379.9621005066035)</f>
        <v>379.9621005</v>
      </c>
      <c r="AD223" s="57">
        <f>IFERROR(__xludf.DUMMYFUNCTION("""COMPUTED_VALUE"""),0.9122521926177551)</f>
        <v>0.9122521926</v>
      </c>
      <c r="AE223" s="57">
        <f>IFERROR(__xludf.DUMMYFUNCTION("""COMPUTED_VALUE"""),0.7243214352798976)</f>
        <v>0.7243214353</v>
      </c>
      <c r="AF223" s="57">
        <f>IFERROR(__xludf.DUMMYFUNCTION("""COMPUTED_VALUE"""),1.3311066545377281)</f>
        <v>1.331106655</v>
      </c>
      <c r="AG223" s="57">
        <f>IFERROR(__xludf.DUMMYFUNCTION("""COMPUTED_VALUE"""),2.9144364235132776)</f>
        <v>2.914436424</v>
      </c>
      <c r="AH223" s="57">
        <f>IFERROR(__xludf.DUMMYFUNCTION("""COMPUTED_VALUE"""),1.2463962397878752)</f>
        <v>1.24639624</v>
      </c>
      <c r="AI223" s="57">
        <f>IFERROR(__xludf.DUMMYFUNCTION("""COMPUTED_VALUE"""),1.5529331451662156)</f>
        <v>1.552933145</v>
      </c>
      <c r="AJ223" s="57">
        <f>IFERROR(__xludf.DUMMYFUNCTION("""COMPUTED_VALUE"""),0.4602008405350095)</f>
        <v>0.4602008405</v>
      </c>
      <c r="AK223" s="57">
        <f>IFERROR(__xludf.DUMMYFUNCTION("""COMPUTED_VALUE"""),1.3146955535337976)</f>
        <v>1.314695554</v>
      </c>
      <c r="AL223" s="57">
        <f>IFERROR(__xludf.DUMMYFUNCTION("""COMPUTED_VALUE"""),1.1151384102186759)</f>
        <v>1.11513841</v>
      </c>
      <c r="AM223" s="57">
        <f>IFERROR(__xludf.DUMMYFUNCTION("""COMPUTED_VALUE"""),1.0205724033664452)</f>
        <v>1.020572403</v>
      </c>
      <c r="AN223" s="57">
        <f>IFERROR(__xludf.DUMMYFUNCTION("""COMPUTED_VALUE"""),1.001199604729867)</f>
        <v>1.001199605</v>
      </c>
      <c r="AO223" s="57">
        <f>IFERROR(__xludf.DUMMYFUNCTION("""COMPUTED_VALUE"""),0.9704314839017519)</f>
        <v>0.9704314839</v>
      </c>
      <c r="AP223" s="35">
        <f>IFERROR(__xludf.DUMMYFUNCTION("""COMPUTED_VALUE"""),0.9231359684046736)</f>
        <v>0.9231359684</v>
      </c>
      <c r="AQ223" s="57">
        <f>IFERROR(__xludf.DUMMYFUNCTION("""COMPUTED_VALUE"""),1.0525346466757146)</f>
        <v>1.052534647</v>
      </c>
      <c r="AR223" s="36" t="b">
        <f>IFERROR(__xludf.DUMMYFUNCTION("""COMPUTED_VALUE"""),TRUE)</f>
        <v>1</v>
      </c>
      <c r="AS223" s="57"/>
      <c r="AT223" s="37"/>
      <c r="AU223" s="30"/>
      <c r="AV223" s="30"/>
      <c r="AW223" s="30"/>
      <c r="AX223" s="30"/>
      <c r="AY223" s="30"/>
      <c r="AZ223" s="30"/>
    </row>
    <row r="224">
      <c r="A224" s="30" t="str">
        <f>IFERROR(__xludf.DUMMYFUNCTION("""COMPUTED_VALUE"""),"Elite")</f>
        <v>Elite</v>
      </c>
      <c r="B224" s="30" t="str">
        <f>IFERROR(__xludf.DUMMYFUNCTION("""COMPUTED_VALUE"""),"RSC000009")</f>
        <v>RSC000009</v>
      </c>
      <c r="C224" s="30" t="str">
        <f>IFERROR(__xludf.DUMMYFUNCTION("""COMPUTED_VALUE"""),"Timbo")</f>
        <v>Timbo</v>
      </c>
      <c r="D224" s="31" t="str">
        <f>IFERROR(__xludf.DUMMYFUNCTION("""COMPUTED_VALUE"""),"Menthol")</f>
        <v>Menthol</v>
      </c>
      <c r="E224" s="31">
        <f>IFERROR(__xludf.DUMMYFUNCTION("""COMPUTED_VALUE"""),82.95082099452523)</f>
        <v>82.95082099</v>
      </c>
      <c r="F224" s="31">
        <f>IFERROR(__xludf.DUMMYFUNCTION("""COMPUTED_VALUE"""),10.667084541278543)</f>
        <v>10.66708454</v>
      </c>
      <c r="G224" s="31">
        <f>IFERROR(__xludf.DUMMYFUNCTION("""COMPUTED_VALUE"""),73.17249971939196)</f>
        <v>73.17249972</v>
      </c>
      <c r="H224" s="31">
        <f>IFERROR(__xludf.DUMMYFUNCTION("""COMPUTED_VALUE"""),5.650061257301618)</f>
        <v>5.650061257</v>
      </c>
      <c r="I224" s="54">
        <f>IFERROR(__xludf.DUMMYFUNCTION("""COMPUTED_VALUE"""),48.0)</f>
        <v>48</v>
      </c>
      <c r="J224" s="55">
        <f>IFERROR(__xludf.DUMMYFUNCTION("""COMPUTED_VALUE"""),29.0)</f>
        <v>29</v>
      </c>
      <c r="K224" s="54">
        <f>IFERROR(__xludf.DUMMYFUNCTION("""COMPUTED_VALUE"""),19.0)</f>
        <v>19</v>
      </c>
      <c r="L224" s="56">
        <f>IFERROR(__xludf.DUMMYFUNCTION("""COMPUTED_VALUE"""),0.6041666666666666)</f>
        <v>0.6041666667</v>
      </c>
      <c r="M224" s="56">
        <f>IFERROR(__xludf.DUMMYFUNCTION("""COMPUTED_VALUE"""),0.33098591549295775)</f>
        <v>0.3309859155</v>
      </c>
      <c r="N224" s="31">
        <f>IFERROR(__xludf.DUMMYFUNCTION("""COMPUTED_VALUE"""),407.04545454545456)</f>
        <v>407.0454545</v>
      </c>
      <c r="O224" s="57">
        <f>IFERROR(__xludf.DUMMYFUNCTION("""COMPUTED_VALUE"""),1.0681818181818181)</f>
        <v>1.068181818</v>
      </c>
      <c r="P224" s="57">
        <f>IFERROR(__xludf.DUMMYFUNCTION("""COMPUTED_VALUE"""),0.7272727272727273)</f>
        <v>0.7272727273</v>
      </c>
      <c r="Q224" s="57">
        <f>IFERROR(__xludf.DUMMYFUNCTION("""COMPUTED_VALUE"""),1.1590909090909092)</f>
        <v>1.159090909</v>
      </c>
      <c r="R224" s="57">
        <f>IFERROR(__xludf.DUMMYFUNCTION("""COMPUTED_VALUE"""),3.227272727272727)</f>
        <v>3.227272727</v>
      </c>
      <c r="S224" s="31">
        <f>IFERROR(__xludf.DUMMYFUNCTION("""COMPUTED_VALUE"""),369.63636363636374)</f>
        <v>369.6363636</v>
      </c>
      <c r="T224" s="57">
        <f>IFERROR(__xludf.DUMMYFUNCTION("""COMPUTED_VALUE"""),0.7424242424242425)</f>
        <v>0.7424242424</v>
      </c>
      <c r="U224" s="57">
        <f>IFERROR(__xludf.DUMMYFUNCTION("""COMPUTED_VALUE"""),0.537878787878788)</f>
        <v>0.5378787879</v>
      </c>
      <c r="V224" s="57">
        <f>IFERROR(__xludf.DUMMYFUNCTION("""COMPUTED_VALUE"""),1.7045454545454546)</f>
        <v>1.704545455</v>
      </c>
      <c r="W224" s="57">
        <f>IFERROR(__xludf.DUMMYFUNCTION("""COMPUTED_VALUE"""),2.3409090909090913)</f>
        <v>2.340909091</v>
      </c>
      <c r="X224" s="31">
        <f>IFERROR(__xludf.DUMMYFUNCTION("""COMPUTED_VALUE"""),354.70716059130217)</f>
        <v>354.7071606</v>
      </c>
      <c r="Y224" s="57">
        <f>IFERROR(__xludf.DUMMYFUNCTION("""COMPUTED_VALUE"""),0.7121770322687507)</f>
        <v>0.7121770323</v>
      </c>
      <c r="Z224" s="57">
        <f>IFERROR(__xludf.DUMMYFUNCTION("""COMPUTED_VALUE"""),0.585342467931721)</f>
        <v>0.5853424679</v>
      </c>
      <c r="AA224" s="57">
        <f>IFERROR(__xludf.DUMMYFUNCTION("""COMPUTED_VALUE"""),1.4981715286644006)</f>
        <v>1.498171529</v>
      </c>
      <c r="AB224" s="57">
        <f>IFERROR(__xludf.DUMMYFUNCTION("""COMPUTED_VALUE"""),2.505670119860263)</f>
        <v>2.50567012</v>
      </c>
      <c r="AC224" s="31">
        <f>IFERROR(__xludf.DUMMYFUNCTION("""COMPUTED_VALUE"""),366.73375962509755)</f>
        <v>366.7337596</v>
      </c>
      <c r="AD224" s="57">
        <f>IFERROR(__xludf.DUMMYFUNCTION("""COMPUTED_VALUE"""),0.8225914887279102)</f>
        <v>0.8225914887</v>
      </c>
      <c r="AE224" s="57">
        <f>IFERROR(__xludf.DUMMYFUNCTION("""COMPUTED_VALUE"""),0.624477277504843)</f>
        <v>0.6244772775</v>
      </c>
      <c r="AF224" s="57">
        <f>IFERROR(__xludf.DUMMYFUNCTION("""COMPUTED_VALUE"""),1.3781213471316238)</f>
        <v>1.378121347</v>
      </c>
      <c r="AG224" s="57">
        <f>IFERROR(__xludf.DUMMYFUNCTION("""COMPUTED_VALUE"""),2.765592094841388)</f>
        <v>2.765592095</v>
      </c>
      <c r="AH224" s="57">
        <f>IFERROR(__xludf.DUMMYFUNCTION("""COMPUTED_VALUE"""),1.1099208727376684)</f>
        <v>1.109920873</v>
      </c>
      <c r="AI224" s="57">
        <f>IFERROR(__xludf.DUMMYFUNCTION("""COMPUTED_VALUE"""),1.2985568569809773)</f>
        <v>1.298556857</v>
      </c>
      <c r="AJ224" s="57">
        <f>IFERROR(__xludf.DUMMYFUNCTION("""COMPUTED_VALUE"""),1.164610392516783)</f>
        <v>1.164610393</v>
      </c>
      <c r="AK224" s="57">
        <f>IFERROR(__xludf.DUMMYFUNCTION("""COMPUTED_VALUE"""),0.8410659275421593)</f>
        <v>0.8410659275</v>
      </c>
      <c r="AL224" s="57">
        <f>IFERROR(__xludf.DUMMYFUNCTION("""COMPUTED_VALUE"""),1.1669373561243916)</f>
        <v>1.166937356</v>
      </c>
      <c r="AM224" s="57">
        <f>IFERROR(__xludf.DUMMYFUNCTION("""COMPUTED_VALUE"""),1.0420888121349858)</f>
        <v>1.042088812</v>
      </c>
      <c r="AN224" s="57">
        <f>IFERROR(__xludf.DUMMYFUNCTION("""COMPUTED_VALUE"""),1.0424714765921819)</f>
        <v>1.042471477</v>
      </c>
      <c r="AO224" s="57">
        <f>IFERROR(__xludf.DUMMYFUNCTION("""COMPUTED_VALUE"""),0.9189129737662063)</f>
        <v>0.9189129738</v>
      </c>
      <c r="AP224" s="35">
        <f>IFERROR(__xludf.DUMMYFUNCTION("""COMPUTED_VALUE"""),1.1377505325208213)</f>
        <v>1.137750533</v>
      </c>
      <c r="AQ224" s="57">
        <f>IFERROR(__xludf.DUMMYFUNCTION("""COMPUTED_VALUE"""),0.9342447245368596)</f>
        <v>0.9342447245</v>
      </c>
      <c r="AR224" s="36" t="b">
        <f>IFERROR(__xludf.DUMMYFUNCTION("""COMPUTED_VALUE"""),TRUE)</f>
        <v>1</v>
      </c>
      <c r="AS224" s="57"/>
      <c r="AT224" s="37"/>
      <c r="AU224" s="30"/>
      <c r="AV224" s="30"/>
      <c r="AW224" s="30"/>
      <c r="AX224" s="30"/>
      <c r="AY224" s="30"/>
      <c r="AZ224" s="30"/>
    </row>
    <row r="225">
      <c r="A225" s="30" t="str">
        <f>IFERROR(__xludf.DUMMYFUNCTION("""COMPUTED_VALUE"""),"Elite")</f>
        <v>Elite</v>
      </c>
      <c r="B225" s="30" t="str">
        <f>IFERROR(__xludf.DUMMYFUNCTION("""COMPUTED_VALUE"""),"RSC007868")</f>
        <v>RSC007868</v>
      </c>
      <c r="C225" s="30" t="str">
        <f>IFERROR(__xludf.DUMMYFUNCTION("""COMPUTED_VALUE"""),"JayX")</f>
        <v>JayX</v>
      </c>
      <c r="D225" s="31" t="str">
        <f>IFERROR(__xludf.DUMMYFUNCTION("""COMPUTED_VALUE"""),"Afterburners")</f>
        <v>Afterburners</v>
      </c>
      <c r="E225" s="31">
        <f>IFERROR(__xludf.DUMMYFUNCTION("""COMPUTED_VALUE"""),81.12850616742979)</f>
        <v>81.12850617</v>
      </c>
      <c r="F225" s="31">
        <f>IFERROR(__xludf.DUMMYFUNCTION("""COMPUTED_VALUE"""),9.386137136427298)</f>
        <v>9.386137136</v>
      </c>
      <c r="G225" s="31">
        <f>IFERROR(__xludf.DUMMYFUNCTION("""COMPUTED_VALUE"""),59.70833607509396)</f>
        <v>59.70833608</v>
      </c>
      <c r="H225" s="31">
        <f>IFERROR(__xludf.DUMMYFUNCTION("""COMPUTED_VALUE"""),2.866276897701317)</f>
        <v>2.866276898</v>
      </c>
      <c r="I225" s="54">
        <f>IFERROR(__xludf.DUMMYFUNCTION("""COMPUTED_VALUE"""),48.0)</f>
        <v>48</v>
      </c>
      <c r="J225" s="55">
        <f>IFERROR(__xludf.DUMMYFUNCTION("""COMPUTED_VALUE"""),28.0)</f>
        <v>28</v>
      </c>
      <c r="K225" s="54">
        <f>IFERROR(__xludf.DUMMYFUNCTION("""COMPUTED_VALUE"""),20.0)</f>
        <v>20</v>
      </c>
      <c r="L225" s="56">
        <f>IFERROR(__xludf.DUMMYFUNCTION("""COMPUTED_VALUE"""),0.5833333333333334)</f>
        <v>0.5833333333</v>
      </c>
      <c r="M225" s="56">
        <f>IFERROR(__xludf.DUMMYFUNCTION("""COMPUTED_VALUE"""),0.35526315789473684)</f>
        <v>0.3552631579</v>
      </c>
      <c r="N225" s="31">
        <f>IFERROR(__xludf.DUMMYFUNCTION("""COMPUTED_VALUE"""),393.875)</f>
        <v>393.875</v>
      </c>
      <c r="O225" s="57">
        <f>IFERROR(__xludf.DUMMYFUNCTION("""COMPUTED_VALUE"""),1.125)</f>
        <v>1.125</v>
      </c>
      <c r="P225" s="57">
        <f>IFERROR(__xludf.DUMMYFUNCTION("""COMPUTED_VALUE"""),0.6666666666666666)</f>
        <v>0.6666666667</v>
      </c>
      <c r="Q225" s="57">
        <f>IFERROR(__xludf.DUMMYFUNCTION("""COMPUTED_VALUE"""),1.3125)</f>
        <v>1.3125</v>
      </c>
      <c r="R225" s="57">
        <f>IFERROR(__xludf.DUMMYFUNCTION("""COMPUTED_VALUE"""),3.1666666666666665)</f>
        <v>3.166666667</v>
      </c>
      <c r="S225" s="31">
        <f>IFERROR(__xludf.DUMMYFUNCTION("""COMPUTED_VALUE"""),358.77777777777766)</f>
        <v>358.7777778</v>
      </c>
      <c r="T225" s="57">
        <f>IFERROR(__xludf.DUMMYFUNCTION("""COMPUTED_VALUE"""),0.7291666666666666)</f>
        <v>0.7291666667</v>
      </c>
      <c r="U225" s="57">
        <f>IFERROR(__xludf.DUMMYFUNCTION("""COMPUTED_VALUE"""),0.5277777777777778)</f>
        <v>0.5277777778</v>
      </c>
      <c r="V225" s="57">
        <f>IFERROR(__xludf.DUMMYFUNCTION("""COMPUTED_VALUE"""),1.5972222222222225)</f>
        <v>1.597222222</v>
      </c>
      <c r="W225" s="57">
        <f>IFERROR(__xludf.DUMMYFUNCTION("""COMPUTED_VALUE"""),2.5000000000000004)</f>
        <v>2.5</v>
      </c>
      <c r="X225" s="31">
        <f>IFERROR(__xludf.DUMMYFUNCTION("""COMPUTED_VALUE"""),357.3541955190107)</f>
        <v>357.3541955</v>
      </c>
      <c r="Y225" s="57">
        <f>IFERROR(__xludf.DUMMYFUNCTION("""COMPUTED_VALUE"""),0.7649948953431198)</f>
        <v>0.7649948953</v>
      </c>
      <c r="Z225" s="57">
        <f>IFERROR(__xludf.DUMMYFUNCTION("""COMPUTED_VALUE"""),0.5671636293459748)</f>
        <v>0.5671636293</v>
      </c>
      <c r="AA225" s="57">
        <f>IFERROR(__xludf.DUMMYFUNCTION("""COMPUTED_VALUE"""),1.4477307557775758)</f>
        <v>1.447730756</v>
      </c>
      <c r="AB225" s="57">
        <f>IFERROR(__xludf.DUMMYFUNCTION("""COMPUTED_VALUE"""),2.5625716291990908)</f>
        <v>2.562571629</v>
      </c>
      <c r="AC225" s="31">
        <f>IFERROR(__xludf.DUMMYFUNCTION("""COMPUTED_VALUE"""),370.12343903156665)</f>
        <v>370.123439</v>
      </c>
      <c r="AD225" s="57">
        <f>IFERROR(__xludf.DUMMYFUNCTION("""COMPUTED_VALUE"""),0.8525664723919281)</f>
        <v>0.8525664724</v>
      </c>
      <c r="AE225" s="57">
        <f>IFERROR(__xludf.DUMMYFUNCTION("""COMPUTED_VALUE"""),0.6466378723098416)</f>
        <v>0.6466378723</v>
      </c>
      <c r="AF225" s="57">
        <f>IFERROR(__xludf.DUMMYFUNCTION("""COMPUTED_VALUE"""),1.3774224711399166)</f>
        <v>1.377422471</v>
      </c>
      <c r="AG225" s="57">
        <f>IFERROR(__xludf.DUMMYFUNCTION("""COMPUTED_VALUE"""),2.76781728934535)</f>
        <v>2.767817289</v>
      </c>
      <c r="AH225" s="57">
        <f>IFERROR(__xludf.DUMMYFUNCTION("""COMPUTED_VALUE"""),1.0641719990243785)</f>
        <v>1.064171999</v>
      </c>
      <c r="AI225" s="57">
        <f>IFERROR(__xludf.DUMMYFUNCTION("""COMPUTED_VALUE"""),1.3195452043096918)</f>
        <v>1.319545204</v>
      </c>
      <c r="AJ225" s="57">
        <f>IFERROR(__xludf.DUMMYFUNCTION("""COMPUTED_VALUE"""),1.030973741586277)</f>
        <v>1.030973742</v>
      </c>
      <c r="AK225" s="57">
        <f>IFERROR(__xludf.DUMMYFUNCTION("""COMPUTED_VALUE"""),0.9528666966742684)</f>
        <v>0.9528666967</v>
      </c>
      <c r="AL225" s="57">
        <f>IFERROR(__xludf.DUMMYFUNCTION("""COMPUTED_VALUE"""),1.1441024950803935)</f>
        <v>1.144102495</v>
      </c>
      <c r="AM225" s="57">
        <f>IFERROR(__xludf.DUMMYFUNCTION("""COMPUTED_VALUE"""),1.0039836729961975)</f>
        <v>1.003983673</v>
      </c>
      <c r="AN225" s="57">
        <f>IFERROR(__xludf.DUMMYFUNCTION("""COMPUTED_VALUE"""),0.9531654016326693)</f>
        <v>0.9531654016</v>
      </c>
      <c r="AO225" s="57">
        <f>IFERROR(__xludf.DUMMYFUNCTION("""COMPUTED_VALUE"""),0.9305564575542075)</f>
        <v>0.9305564576</v>
      </c>
      <c r="AP225" s="35">
        <f>IFERROR(__xludf.DUMMYFUNCTION("""COMPUTED_VALUE"""),1.1032591632443112)</f>
        <v>1.103259163</v>
      </c>
      <c r="AQ225" s="57">
        <f>IFERROR(__xludf.DUMMYFUNCTION("""COMPUTED_VALUE"""),0.9755824857786916)</f>
        <v>0.9755824858</v>
      </c>
      <c r="AR225" s="36" t="b">
        <f>IFERROR(__xludf.DUMMYFUNCTION("""COMPUTED_VALUE"""),TRUE)</f>
        <v>1</v>
      </c>
      <c r="AS225" s="57"/>
      <c r="AT225" s="37"/>
      <c r="AU225" s="30"/>
      <c r="AV225" s="30"/>
      <c r="AW225" s="30"/>
      <c r="AX225" s="30"/>
      <c r="AY225" s="30"/>
      <c r="AZ225" s="30"/>
    </row>
    <row r="226">
      <c r="A226" s="30" t="str">
        <f>IFERROR(__xludf.DUMMYFUNCTION("""COMPUTED_VALUE"""),"Elite")</f>
        <v>Elite</v>
      </c>
      <c r="B226" s="30" t="str">
        <f>IFERROR(__xludf.DUMMYFUNCTION("""COMPUTED_VALUE"""),"RSC007049")</f>
        <v>RSC007049</v>
      </c>
      <c r="C226" s="30" t="str">
        <f>IFERROR(__xludf.DUMMYFUNCTION("""COMPUTED_VALUE"""),"dillyn.")</f>
        <v>dillyn.</v>
      </c>
      <c r="D226" s="31"/>
      <c r="E226" s="31">
        <f>IFERROR(__xludf.DUMMYFUNCTION("""COMPUTED_VALUE"""),80.97853540514402)</f>
        <v>80.97853541</v>
      </c>
      <c r="F226" s="31">
        <f>IFERROR(__xludf.DUMMYFUNCTION("""COMPUTED_VALUE"""),9.289660036283264)</f>
        <v>9.289660036</v>
      </c>
      <c r="G226" s="31">
        <f>IFERROR(__xludf.DUMMYFUNCTION("""COMPUTED_VALUE"""),65.82572634151396)</f>
        <v>65.82572634</v>
      </c>
      <c r="H226" s="31">
        <f>IFERROR(__xludf.DUMMYFUNCTION("""COMPUTED_VALUE"""),3.797122261274187)</f>
        <v>3.797122261</v>
      </c>
      <c r="I226" s="54">
        <f>IFERROR(__xludf.DUMMYFUNCTION("""COMPUTED_VALUE"""),8.0)</f>
        <v>8</v>
      </c>
      <c r="J226" s="55">
        <f>IFERROR(__xludf.DUMMYFUNCTION("""COMPUTED_VALUE"""),4.0)</f>
        <v>4</v>
      </c>
      <c r="K226" s="54">
        <f>IFERROR(__xludf.DUMMYFUNCTION("""COMPUTED_VALUE"""),4.0)</f>
        <v>4</v>
      </c>
      <c r="L226" s="56">
        <f>IFERROR(__xludf.DUMMYFUNCTION("""COMPUTED_VALUE"""),0.5)</f>
        <v>0.5</v>
      </c>
      <c r="M226" s="56">
        <f>IFERROR(__xludf.DUMMYFUNCTION("""COMPUTED_VALUE"""),0.3333333333333333)</f>
        <v>0.3333333333</v>
      </c>
      <c r="N226" s="31">
        <f>IFERROR(__xludf.DUMMYFUNCTION("""COMPUTED_VALUE"""),455.875)</f>
        <v>455.875</v>
      </c>
      <c r="O226" s="57">
        <f>IFERROR(__xludf.DUMMYFUNCTION("""COMPUTED_VALUE"""),1.0)</f>
        <v>1</v>
      </c>
      <c r="P226" s="57">
        <f>IFERROR(__xludf.DUMMYFUNCTION("""COMPUTED_VALUE"""),0.375)</f>
        <v>0.375</v>
      </c>
      <c r="Q226" s="57">
        <f>IFERROR(__xludf.DUMMYFUNCTION("""COMPUTED_VALUE"""),2.375)</f>
        <v>2.375</v>
      </c>
      <c r="R226" s="57">
        <f>IFERROR(__xludf.DUMMYFUNCTION("""COMPUTED_VALUE"""),3.0)</f>
        <v>3</v>
      </c>
      <c r="S226" s="31">
        <f>IFERROR(__xludf.DUMMYFUNCTION("""COMPUTED_VALUE"""),348.375)</f>
        <v>348.375</v>
      </c>
      <c r="T226" s="57">
        <f>IFERROR(__xludf.DUMMYFUNCTION("""COMPUTED_VALUE"""),0.7499999999999999)</f>
        <v>0.75</v>
      </c>
      <c r="U226" s="57">
        <f>IFERROR(__xludf.DUMMYFUNCTION("""COMPUTED_VALUE"""),0.5416666666666667)</f>
        <v>0.5416666667</v>
      </c>
      <c r="V226" s="57">
        <f>IFERROR(__xludf.DUMMYFUNCTION("""COMPUTED_VALUE"""),1.2083333333333333)</f>
        <v>1.208333333</v>
      </c>
      <c r="W226" s="57">
        <f>IFERROR(__xludf.DUMMYFUNCTION("""COMPUTED_VALUE"""),3.2916666666666665)</f>
        <v>3.291666667</v>
      </c>
      <c r="X226" s="31">
        <f>IFERROR(__xludf.DUMMYFUNCTION("""COMPUTED_VALUE"""),365.83282737933905)</f>
        <v>365.8328274</v>
      </c>
      <c r="Y226" s="57">
        <f>IFERROR(__xludf.DUMMYFUNCTION("""COMPUTED_VALUE"""),0.8477988419848885)</f>
        <v>0.847798842</v>
      </c>
      <c r="Z226" s="57">
        <f>IFERROR(__xludf.DUMMYFUNCTION("""COMPUTED_VALUE"""),0.6958306551329807)</f>
        <v>0.6958306551</v>
      </c>
      <c r="AA226" s="57">
        <f>IFERROR(__xludf.DUMMYFUNCTION("""COMPUTED_VALUE"""),1.2159274833693439)</f>
        <v>1.215927483</v>
      </c>
      <c r="AB226" s="57">
        <f>IFERROR(__xludf.DUMMYFUNCTION("""COMPUTED_VALUE"""),3.0308467372420855)</f>
        <v>3.030846737</v>
      </c>
      <c r="AC226" s="31">
        <f>IFERROR(__xludf.DUMMYFUNCTION("""COMPUTED_VALUE"""),352.83935530447155)</f>
        <v>352.8393553</v>
      </c>
      <c r="AD226" s="57">
        <f>IFERROR(__xludf.DUMMYFUNCTION("""COMPUTED_VALUE"""),0.6420279763303018)</f>
        <v>0.6420279763</v>
      </c>
      <c r="AE226" s="57">
        <f>IFERROR(__xludf.DUMMYFUNCTION("""COMPUTED_VALUE"""),0.4907152494361797)</f>
        <v>0.4907152494</v>
      </c>
      <c r="AF226" s="57">
        <f>IFERROR(__xludf.DUMMYFUNCTION("""COMPUTED_VALUE"""),1.7013245152780034)</f>
        <v>1.701324515</v>
      </c>
      <c r="AG226" s="57">
        <f>IFERROR(__xludf.DUMMYFUNCTION("""COMPUTED_VALUE"""),2.2430925018134324)</f>
        <v>2.243092502</v>
      </c>
      <c r="AH226" s="57">
        <f>IFERROR(__xludf.DUMMYFUNCTION("""COMPUTED_VALUE"""),1.292018572040007)</f>
        <v>1.292018572</v>
      </c>
      <c r="AI226" s="57">
        <f>IFERROR(__xludf.DUMMYFUNCTION("""COMPUTED_VALUE"""),1.557564525016171)</f>
        <v>1.557564525</v>
      </c>
      <c r="AJ226" s="57">
        <f>IFERROR(__xludf.DUMMYFUNCTION("""COMPUTED_VALUE"""),0.7641906389313684)</f>
        <v>0.7641906389</v>
      </c>
      <c r="AK226" s="57">
        <f>IFERROR(__xludf.DUMMYFUNCTION("""COMPUTED_VALUE"""),1.39597118519856)</f>
        <v>1.395971185</v>
      </c>
      <c r="AL226" s="57">
        <f>IFERROR(__xludf.DUMMYFUNCTION("""COMPUTED_VALUE"""),1.337439270816805)</f>
        <v>1.337439271</v>
      </c>
      <c r="AM226" s="57">
        <f>IFERROR(__xludf.DUMMYFUNCTION("""COMPUTED_VALUE"""),0.9522792213470862)</f>
        <v>0.9522792213</v>
      </c>
      <c r="AN226" s="57">
        <f>IFERROR(__xludf.DUMMYFUNCTION("""COMPUTED_VALUE"""),0.8846438127281238)</f>
        <v>0.8846438127</v>
      </c>
      <c r="AO226" s="57">
        <f>IFERROR(__xludf.DUMMYFUNCTION("""COMPUTED_VALUE"""),0.7784461099420066)</f>
        <v>0.7784461099</v>
      </c>
      <c r="AP226" s="35">
        <f>IFERROR(__xludf.DUMMYFUNCTION("""COMPUTED_VALUE"""),0.993754438369164)</f>
        <v>0.9937544384</v>
      </c>
      <c r="AQ226" s="57">
        <f>IFERROR(__xludf.DUMMYFUNCTION("""COMPUTED_VALUE"""),1.0860551364144244)</f>
        <v>1.086055136</v>
      </c>
      <c r="AR226" s="36" t="b">
        <f>IFERROR(__xludf.DUMMYFUNCTION("""COMPUTED_VALUE"""),TRUE)</f>
        <v>1</v>
      </c>
      <c r="AS226" s="57"/>
      <c r="AT226" s="37"/>
      <c r="AU226" s="30"/>
      <c r="AV226" s="30"/>
      <c r="AW226" s="30"/>
      <c r="AX226" s="30"/>
      <c r="AY226" s="30"/>
      <c r="AZ226" s="30"/>
    </row>
    <row r="227">
      <c r="A227" s="30" t="str">
        <f>IFERROR(__xludf.DUMMYFUNCTION("""COMPUTED_VALUE"""),"Elite")</f>
        <v>Elite</v>
      </c>
      <c r="B227" s="30" t="str">
        <f>IFERROR(__xludf.DUMMYFUNCTION("""COMPUTED_VALUE"""),"RSC007901")</f>
        <v>RSC007901</v>
      </c>
      <c r="C227" s="30" t="str">
        <f>IFERROR(__xludf.DUMMYFUNCTION("""COMPUTED_VALUE"""),"JUICY")</f>
        <v>JUICY</v>
      </c>
      <c r="D227" s="31" t="str">
        <f>IFERROR(__xludf.DUMMYFUNCTION("""COMPUTED_VALUE"""),"Despair")</f>
        <v>Despair</v>
      </c>
      <c r="E227" s="31">
        <f>IFERROR(__xludf.DUMMYFUNCTION("""COMPUTED_VALUE"""),79.51235399203514)</f>
        <v>79.51235399</v>
      </c>
      <c r="F227" s="31">
        <f>IFERROR(__xludf.DUMMYFUNCTION("""COMPUTED_VALUE"""),8.410296944043465)</f>
        <v>8.410296944</v>
      </c>
      <c r="G227" s="31">
        <f>IFERROR(__xludf.DUMMYFUNCTION("""COMPUTED_VALUE"""),69.71861747719811)</f>
        <v>69.71861748</v>
      </c>
      <c r="H227" s="31">
        <f>IFERROR(__xludf.DUMMYFUNCTION("""COMPUTED_VALUE"""),4.648338795352406)</f>
        <v>4.648338795</v>
      </c>
      <c r="I227" s="54">
        <f>IFERROR(__xludf.DUMMYFUNCTION("""COMPUTED_VALUE"""),47.0)</f>
        <v>47</v>
      </c>
      <c r="J227" s="55">
        <f>IFERROR(__xludf.DUMMYFUNCTION("""COMPUTED_VALUE"""),26.0)</f>
        <v>26</v>
      </c>
      <c r="K227" s="54">
        <f>IFERROR(__xludf.DUMMYFUNCTION("""COMPUTED_VALUE"""),21.0)</f>
        <v>21</v>
      </c>
      <c r="L227" s="56">
        <f>IFERROR(__xludf.DUMMYFUNCTION("""COMPUTED_VALUE"""),0.5531914893617021)</f>
        <v>0.5531914894</v>
      </c>
      <c r="M227" s="56">
        <f>IFERROR(__xludf.DUMMYFUNCTION("""COMPUTED_VALUE"""),0.30379746835443033)</f>
        <v>0.3037974684</v>
      </c>
      <c r="N227" s="31">
        <f>IFERROR(__xludf.DUMMYFUNCTION("""COMPUTED_VALUE"""),423.1914893617021)</f>
        <v>423.1914894</v>
      </c>
      <c r="O227" s="57">
        <f>IFERROR(__xludf.DUMMYFUNCTION("""COMPUTED_VALUE"""),1.0212765957446808)</f>
        <v>1.021276596</v>
      </c>
      <c r="P227" s="57">
        <f>IFERROR(__xludf.DUMMYFUNCTION("""COMPUTED_VALUE"""),0.5531914893617021)</f>
        <v>0.5531914894</v>
      </c>
      <c r="Q227" s="57">
        <f>IFERROR(__xludf.DUMMYFUNCTION("""COMPUTED_VALUE"""),1.702127659574468)</f>
        <v>1.70212766</v>
      </c>
      <c r="R227" s="57">
        <f>IFERROR(__xludf.DUMMYFUNCTION("""COMPUTED_VALUE"""),3.3617021276595747)</f>
        <v>3.361702128</v>
      </c>
      <c r="S227" s="31">
        <f>IFERROR(__xludf.DUMMYFUNCTION("""COMPUTED_VALUE"""),360.4255319148936)</f>
        <v>360.4255319</v>
      </c>
      <c r="T227" s="57">
        <f>IFERROR(__xludf.DUMMYFUNCTION("""COMPUTED_VALUE"""),0.6879432624113474)</f>
        <v>0.6879432624</v>
      </c>
      <c r="U227" s="57">
        <f>IFERROR(__xludf.DUMMYFUNCTION("""COMPUTED_VALUE"""),0.5106382978723406)</f>
        <v>0.5106382979</v>
      </c>
      <c r="V227" s="57">
        <f>IFERROR(__xludf.DUMMYFUNCTION("""COMPUTED_VALUE"""),1.5531914893617018)</f>
        <v>1.553191489</v>
      </c>
      <c r="W227" s="57">
        <f>IFERROR(__xludf.DUMMYFUNCTION("""COMPUTED_VALUE"""),2.6312056737588656)</f>
        <v>2.631205674</v>
      </c>
      <c r="X227" s="31">
        <f>IFERROR(__xludf.DUMMYFUNCTION("""COMPUTED_VALUE"""),359.11708743792127)</f>
        <v>359.1170874</v>
      </c>
      <c r="Y227" s="57">
        <f>IFERROR(__xludf.DUMMYFUNCTION("""COMPUTED_VALUE"""),0.7364306640588276)</f>
        <v>0.7364306641</v>
      </c>
      <c r="Z227" s="57">
        <f>IFERROR(__xludf.DUMMYFUNCTION("""COMPUTED_VALUE"""),0.5980563820469997)</f>
        <v>0.598056382</v>
      </c>
      <c r="AA227" s="57">
        <f>IFERROR(__xludf.DUMMYFUNCTION("""COMPUTED_VALUE"""),1.4901647827271014)</f>
        <v>1.490164783</v>
      </c>
      <c r="AB227" s="57">
        <f>IFERROR(__xludf.DUMMYFUNCTION("""COMPUTED_VALUE"""),2.6183010447873283)</f>
        <v>2.618301045</v>
      </c>
      <c r="AC227" s="31">
        <f>IFERROR(__xludf.DUMMYFUNCTION("""COMPUTED_VALUE"""),366.98775665577085)</f>
        <v>366.9877567</v>
      </c>
      <c r="AD227" s="57">
        <f>IFERROR(__xludf.DUMMYFUNCTION("""COMPUTED_VALUE"""),0.8146400992575418)</f>
        <v>0.8146400993</v>
      </c>
      <c r="AE227" s="57">
        <f>IFERROR(__xludf.DUMMYFUNCTION("""COMPUTED_VALUE"""),0.6056761113257324)</f>
        <v>0.6056761113</v>
      </c>
      <c r="AF227" s="57">
        <f>IFERROR(__xludf.DUMMYFUNCTION("""COMPUTED_VALUE"""),1.413373351305896)</f>
        <v>1.413373351</v>
      </c>
      <c r="AG227" s="57">
        <f>IFERROR(__xludf.DUMMYFUNCTION("""COMPUTED_VALUE"""),2.7316457972935613)</f>
        <v>2.731645797</v>
      </c>
      <c r="AH227" s="57">
        <f>IFERROR(__xludf.DUMMYFUNCTION("""COMPUTED_VALUE"""),1.1531487949845955)</f>
        <v>1.153148795</v>
      </c>
      <c r="AI227" s="57">
        <f>IFERROR(__xludf.DUMMYFUNCTION("""COMPUTED_VALUE"""),1.253653725952683)</f>
        <v>1.253653726</v>
      </c>
      <c r="AJ227" s="57">
        <f>IFERROR(__xludf.DUMMYFUNCTION("""COMPUTED_VALUE"""),0.9133453986667075)</f>
        <v>0.9133453987</v>
      </c>
      <c r="AK227" s="57">
        <f>IFERROR(__xludf.DUMMYFUNCTION("""COMPUTED_VALUE"""),1.2043015088700912)</f>
        <v>1.204301509</v>
      </c>
      <c r="AL227" s="57">
        <f>IFERROR(__xludf.DUMMYFUNCTION("""COMPUTED_VALUE"""),1.230650815340062)</f>
        <v>1.230650815</v>
      </c>
      <c r="AM227" s="57">
        <f>IFERROR(__xludf.DUMMYFUNCTION("""COMPUTED_VALUE"""),1.0036435038118272)</f>
        <v>1.003643504</v>
      </c>
      <c r="AN227" s="57">
        <f>IFERROR(__xludf.DUMMYFUNCTION("""COMPUTED_VALUE"""),0.9341589045460946)</f>
        <v>0.9341589045</v>
      </c>
      <c r="AO227" s="57">
        <f>IFERROR(__xludf.DUMMYFUNCTION("""COMPUTED_VALUE"""),0.8538296943250592)</f>
        <v>0.8538296943</v>
      </c>
      <c r="AP227" s="35">
        <f>IFERROR(__xludf.DUMMYFUNCTION("""COMPUTED_VALUE"""),1.0422951255895723)</f>
        <v>1.042295126</v>
      </c>
      <c r="AQ227" s="57">
        <f>IFERROR(__xludf.DUMMYFUNCTION("""COMPUTED_VALUE"""),1.0049286269037812)</f>
        <v>1.004928627</v>
      </c>
      <c r="AR227" s="36" t="b">
        <f>IFERROR(__xludf.DUMMYFUNCTION("""COMPUTED_VALUE"""),TRUE)</f>
        <v>1</v>
      </c>
      <c r="AS227" s="57"/>
      <c r="AT227" s="37"/>
      <c r="AU227" s="30"/>
      <c r="AV227" s="30"/>
      <c r="AW227" s="30"/>
      <c r="AX227" s="30"/>
      <c r="AY227" s="30"/>
      <c r="AZ227" s="30"/>
    </row>
    <row r="228">
      <c r="A228" s="30" t="str">
        <f>IFERROR(__xludf.DUMMYFUNCTION("""COMPUTED_VALUE"""),"Elite")</f>
        <v>Elite</v>
      </c>
      <c r="B228" s="30" t="str">
        <f>IFERROR(__xludf.DUMMYFUNCTION("""COMPUTED_VALUE"""),"RSC006494")</f>
        <v>RSC006494</v>
      </c>
      <c r="C228" s="30" t="str">
        <f>IFERROR(__xludf.DUMMYFUNCTION("""COMPUTED_VALUE"""),"Jimbo")</f>
        <v>Jimbo</v>
      </c>
      <c r="D228" s="31" t="str">
        <f>IFERROR(__xludf.DUMMYFUNCTION("""COMPUTED_VALUE"""),"Desolation")</f>
        <v>Desolation</v>
      </c>
      <c r="E228" s="31">
        <f>IFERROR(__xludf.DUMMYFUNCTION("""COMPUTED_VALUE"""),78.08365871209632)</f>
        <v>78.08365871</v>
      </c>
      <c r="F228" s="31">
        <f>IFERROR(__xludf.DUMMYFUNCTION("""COMPUTED_VALUE"""),7.654317945017198)</f>
        <v>7.654317945</v>
      </c>
      <c r="G228" s="31">
        <f>IFERROR(__xludf.DUMMYFUNCTION("""COMPUTED_VALUE"""),71.68832237329542)</f>
        <v>71.68832237</v>
      </c>
      <c r="H228" s="31">
        <f>IFERROR(__xludf.DUMMYFUNCTION("""COMPUTED_VALUE"""),5.186048232604214)</f>
        <v>5.186048233</v>
      </c>
      <c r="I228" s="54">
        <f>IFERROR(__xludf.DUMMYFUNCTION("""COMPUTED_VALUE"""),48.0)</f>
        <v>48</v>
      </c>
      <c r="J228" s="55">
        <f>IFERROR(__xludf.DUMMYFUNCTION("""COMPUTED_VALUE"""),30.0)</f>
        <v>30</v>
      </c>
      <c r="K228" s="54">
        <f>IFERROR(__xludf.DUMMYFUNCTION("""COMPUTED_VALUE"""),18.0)</f>
        <v>18</v>
      </c>
      <c r="L228" s="56">
        <f>IFERROR(__xludf.DUMMYFUNCTION("""COMPUTED_VALUE"""),0.625)</f>
        <v>0.625</v>
      </c>
      <c r="M228" s="56">
        <f>IFERROR(__xludf.DUMMYFUNCTION("""COMPUTED_VALUE"""),0.3263888888888889)</f>
        <v>0.3263888889</v>
      </c>
      <c r="N228" s="31">
        <f>IFERROR(__xludf.DUMMYFUNCTION("""COMPUTED_VALUE"""),419.0416666666667)</f>
        <v>419.0416667</v>
      </c>
      <c r="O228" s="57">
        <f>IFERROR(__xludf.DUMMYFUNCTION("""COMPUTED_VALUE"""),0.9791666666666666)</f>
        <v>0.9791666667</v>
      </c>
      <c r="P228" s="57">
        <f>IFERROR(__xludf.DUMMYFUNCTION("""COMPUTED_VALUE"""),0.7291666666666666)</f>
        <v>0.7291666667</v>
      </c>
      <c r="Q228" s="57">
        <f>IFERROR(__xludf.DUMMYFUNCTION("""COMPUTED_VALUE"""),1.5625)</f>
        <v>1.5625</v>
      </c>
      <c r="R228" s="57">
        <f>IFERROR(__xludf.DUMMYFUNCTION("""COMPUTED_VALUE"""),3.0)</f>
        <v>3</v>
      </c>
      <c r="S228" s="31">
        <f>IFERROR(__xludf.DUMMYFUNCTION("""COMPUTED_VALUE"""),352.51388888888886)</f>
        <v>352.5138889</v>
      </c>
      <c r="T228" s="57">
        <f>IFERROR(__xludf.DUMMYFUNCTION("""COMPUTED_VALUE"""),0.7638888888888888)</f>
        <v>0.7638888889</v>
      </c>
      <c r="U228" s="57">
        <f>IFERROR(__xludf.DUMMYFUNCTION("""COMPUTED_VALUE"""),0.5347222222222222)</f>
        <v>0.5347222222</v>
      </c>
      <c r="V228" s="57">
        <f>IFERROR(__xludf.DUMMYFUNCTION("""COMPUTED_VALUE"""),1.3402777777777777)</f>
        <v>1.340277778</v>
      </c>
      <c r="W228" s="57">
        <f>IFERROR(__xludf.DUMMYFUNCTION("""COMPUTED_VALUE"""),2.5902777777777772)</f>
        <v>2.590277778</v>
      </c>
      <c r="X228" s="31">
        <f>IFERROR(__xludf.DUMMYFUNCTION("""COMPUTED_VALUE"""),360.2318791593454)</f>
        <v>360.2318792</v>
      </c>
      <c r="Y228" s="57">
        <f>IFERROR(__xludf.DUMMYFUNCTION("""COMPUTED_VALUE"""),0.7301980097218151)</f>
        <v>0.7301980097</v>
      </c>
      <c r="Z228" s="57">
        <f>IFERROR(__xludf.DUMMYFUNCTION("""COMPUTED_VALUE"""),0.5564747052754035)</f>
        <v>0.5564747053</v>
      </c>
      <c r="AA228" s="57">
        <f>IFERROR(__xludf.DUMMYFUNCTION("""COMPUTED_VALUE"""),1.4581572606487627)</f>
        <v>1.458157261</v>
      </c>
      <c r="AB228" s="57">
        <f>IFERROR(__xludf.DUMMYFUNCTION("""COMPUTED_VALUE"""),2.6085035463278867)</f>
        <v>2.608503546</v>
      </c>
      <c r="AC228" s="31">
        <f>IFERROR(__xludf.DUMMYFUNCTION("""COMPUTED_VALUE"""),368.0211925995861)</f>
        <v>368.0211926</v>
      </c>
      <c r="AD228" s="57">
        <f>IFERROR(__xludf.DUMMYFUNCTION("""COMPUTED_VALUE"""),0.794225216773821)</f>
        <v>0.7942252168</v>
      </c>
      <c r="AE228" s="57">
        <f>IFERROR(__xludf.DUMMYFUNCTION("""COMPUTED_VALUE"""),0.5968108581146178)</f>
        <v>0.5968108581</v>
      </c>
      <c r="AF228" s="57">
        <f>IFERROR(__xludf.DUMMYFUNCTION("""COMPUTED_VALUE"""),1.4625485817575774)</f>
        <v>1.462548582</v>
      </c>
      <c r="AG228" s="57">
        <f>IFERROR(__xludf.DUMMYFUNCTION("""COMPUTED_VALUE"""),2.706336104869411)</f>
        <v>2.706336105</v>
      </c>
      <c r="AH228" s="57">
        <f>IFERROR(__xludf.DUMMYFUNCTION("""COMPUTED_VALUE"""),1.1386346088025203)</f>
        <v>1.138634609</v>
      </c>
      <c r="AI228" s="57">
        <f>IFERROR(__xludf.DUMMYFUNCTION("""COMPUTED_VALUE"""),1.232857690724158)</f>
        <v>1.232857691</v>
      </c>
      <c r="AJ228" s="57">
        <f>IFERROR(__xludf.DUMMYFUNCTION("""COMPUTED_VALUE"""),1.2217717837275506)</f>
        <v>1.221771784</v>
      </c>
      <c r="AK228" s="57">
        <f>IFERROR(__xludf.DUMMYFUNCTION("""COMPUTED_VALUE"""),1.0683405799226913)</f>
        <v>1.06834058</v>
      </c>
      <c r="AL228" s="57">
        <f>IFERROR(__xludf.DUMMYFUNCTION("""COMPUTED_VALUE"""),1.108509765140483)</f>
        <v>1.108509765</v>
      </c>
      <c r="AM228" s="57">
        <f>IFERROR(__xludf.DUMMYFUNCTION("""COMPUTED_VALUE"""),0.9785749382079465)</f>
        <v>0.9785749382</v>
      </c>
      <c r="AN228" s="57">
        <f>IFERROR(__xludf.DUMMYFUNCTION("""COMPUTED_VALUE"""),1.0461393741403224)</f>
        <v>1.046139374</v>
      </c>
      <c r="AO228" s="57">
        <f>IFERROR(__xludf.DUMMYFUNCTION("""COMPUTED_VALUE"""),0.9609102033803749)</f>
        <v>0.9609102034</v>
      </c>
      <c r="AP228" s="35">
        <f>IFERROR(__xludf.DUMMYFUNCTION("""COMPUTED_VALUE"""),0.9191585941707425)</f>
        <v>0.9191585942</v>
      </c>
      <c r="AQ228" s="57">
        <f>IFERROR(__xludf.DUMMYFUNCTION("""COMPUTED_VALUE"""),0.9930129408580768)</f>
        <v>0.9930129409</v>
      </c>
      <c r="AR228" s="36" t="b">
        <f>IFERROR(__xludf.DUMMYFUNCTION("""COMPUTED_VALUE"""),TRUE)</f>
        <v>1</v>
      </c>
      <c r="AS228" s="57"/>
      <c r="AT228" s="37"/>
      <c r="AU228" s="30"/>
      <c r="AV228" s="30"/>
      <c r="AW228" s="30"/>
      <c r="AX228" s="30"/>
      <c r="AY228" s="30"/>
      <c r="AZ228" s="30"/>
    </row>
    <row r="229">
      <c r="A229" s="30" t="str">
        <f>IFERROR(__xludf.DUMMYFUNCTION("""COMPUTED_VALUE"""),"Elite")</f>
        <v>Elite</v>
      </c>
      <c r="B229" s="30" t="str">
        <f>IFERROR(__xludf.DUMMYFUNCTION("""COMPUTED_VALUE"""),"RSC007354")</f>
        <v>RSC007354</v>
      </c>
      <c r="C229" s="30" t="str">
        <f>IFERROR(__xludf.DUMMYFUNCTION("""COMPUTED_VALUE"""),"Fanatic")</f>
        <v>Fanatic</v>
      </c>
      <c r="D229" s="31" t="str">
        <f>IFERROR(__xludf.DUMMYFUNCTION("""COMPUTED_VALUE"""),"Desolation")</f>
        <v>Desolation</v>
      </c>
      <c r="E229" s="31">
        <f>IFERROR(__xludf.DUMMYFUNCTION("""COMPUTED_VALUE"""),76.56113501848546)</f>
        <v>76.56113502</v>
      </c>
      <c r="F229" s="31">
        <f>IFERROR(__xludf.DUMMYFUNCTION("""COMPUTED_VALUE"""),6.9436359868901345)</f>
        <v>6.943635987</v>
      </c>
      <c r="G229" s="31">
        <f>IFERROR(__xludf.DUMMYFUNCTION("""COMPUTED_VALUE"""),64.82746477006161)</f>
        <v>64.82746477</v>
      </c>
      <c r="H229" s="31">
        <f>IFERROR(__xludf.DUMMYFUNCTION("""COMPUTED_VALUE"""),3.615883446779562)</f>
        <v>3.615883447</v>
      </c>
      <c r="I229" s="54">
        <f>IFERROR(__xludf.DUMMYFUNCTION("""COMPUTED_VALUE"""),44.0)</f>
        <v>44</v>
      </c>
      <c r="J229" s="55">
        <f>IFERROR(__xludf.DUMMYFUNCTION("""COMPUTED_VALUE"""),28.0)</f>
        <v>28</v>
      </c>
      <c r="K229" s="54">
        <f>IFERROR(__xludf.DUMMYFUNCTION("""COMPUTED_VALUE"""),16.0)</f>
        <v>16</v>
      </c>
      <c r="L229" s="56">
        <f>IFERROR(__xludf.DUMMYFUNCTION("""COMPUTED_VALUE"""),0.6363636363636364)</f>
        <v>0.6363636364</v>
      </c>
      <c r="M229" s="56">
        <f>IFERROR(__xludf.DUMMYFUNCTION("""COMPUTED_VALUE"""),0.33858267716535434)</f>
        <v>0.3385826772</v>
      </c>
      <c r="N229" s="31">
        <f>IFERROR(__xludf.DUMMYFUNCTION("""COMPUTED_VALUE"""),398.8863636363636)</f>
        <v>398.8863636</v>
      </c>
      <c r="O229" s="57">
        <f>IFERROR(__xludf.DUMMYFUNCTION("""COMPUTED_VALUE"""),0.9772727272727273)</f>
        <v>0.9772727273</v>
      </c>
      <c r="P229" s="57">
        <f>IFERROR(__xludf.DUMMYFUNCTION("""COMPUTED_VALUE"""),0.75)</f>
        <v>0.75</v>
      </c>
      <c r="Q229" s="57">
        <f>IFERROR(__xludf.DUMMYFUNCTION("""COMPUTED_VALUE"""),1.4090909090909092)</f>
        <v>1.409090909</v>
      </c>
      <c r="R229" s="57">
        <f>IFERROR(__xludf.DUMMYFUNCTION("""COMPUTED_VALUE"""),2.8863636363636362)</f>
        <v>2.886363636</v>
      </c>
      <c r="S229" s="31">
        <f>IFERROR(__xludf.DUMMYFUNCTION("""COMPUTED_VALUE"""),349.3712121212121)</f>
        <v>349.3712121</v>
      </c>
      <c r="T229" s="57">
        <f>IFERROR(__xludf.DUMMYFUNCTION("""COMPUTED_VALUE"""),0.7272727272727273)</f>
        <v>0.7272727273</v>
      </c>
      <c r="U229" s="57">
        <f>IFERROR(__xludf.DUMMYFUNCTION("""COMPUTED_VALUE"""),0.49242424242424254)</f>
        <v>0.4924242424</v>
      </c>
      <c r="V229" s="57">
        <f>IFERROR(__xludf.DUMMYFUNCTION("""COMPUTED_VALUE"""),1.409090909090909)</f>
        <v>1.409090909</v>
      </c>
      <c r="W229" s="57">
        <f>IFERROR(__xludf.DUMMYFUNCTION("""COMPUTED_VALUE"""),2.5606060606060606)</f>
        <v>2.560606061</v>
      </c>
      <c r="X229" s="31">
        <f>IFERROR(__xludf.DUMMYFUNCTION("""COMPUTED_VALUE"""),358.3684220126144)</f>
        <v>358.368422</v>
      </c>
      <c r="Y229" s="57">
        <f>IFERROR(__xludf.DUMMYFUNCTION("""COMPUTED_VALUE"""),0.7145039492809072)</f>
        <v>0.7145039493</v>
      </c>
      <c r="Z229" s="57">
        <f>IFERROR(__xludf.DUMMYFUNCTION("""COMPUTED_VALUE"""),0.5443611948315217)</f>
        <v>0.5443611948</v>
      </c>
      <c r="AA229" s="57">
        <f>IFERROR(__xludf.DUMMYFUNCTION("""COMPUTED_VALUE"""),1.474625264102159)</f>
        <v>1.474625264</v>
      </c>
      <c r="AB229" s="57">
        <f>IFERROR(__xludf.DUMMYFUNCTION("""COMPUTED_VALUE"""),2.5759971613312245)</f>
        <v>2.575997161</v>
      </c>
      <c r="AC229" s="31">
        <f>IFERROR(__xludf.DUMMYFUNCTION("""COMPUTED_VALUE"""),367.9823558346742)</f>
        <v>367.9823558</v>
      </c>
      <c r="AD229" s="57">
        <f>IFERROR(__xludf.DUMMYFUNCTION("""COMPUTED_VALUE"""),0.7963991624996162)</f>
        <v>0.7963991625</v>
      </c>
      <c r="AE229" s="57">
        <f>IFERROR(__xludf.DUMMYFUNCTION("""COMPUTED_VALUE"""),0.6009007021648824)</f>
        <v>0.6009007022</v>
      </c>
      <c r="AF229" s="57">
        <f>IFERROR(__xludf.DUMMYFUNCTION("""COMPUTED_VALUE"""),1.448723497742007)</f>
        <v>1.448723498</v>
      </c>
      <c r="AG229" s="57">
        <f>IFERROR(__xludf.DUMMYFUNCTION("""COMPUTED_VALUE"""),2.7353945673913755)</f>
        <v>2.735394567</v>
      </c>
      <c r="AH229" s="57">
        <f>IFERROR(__xludf.DUMMYFUNCTION("""COMPUTED_VALUE"""),1.0839823086940992)</f>
        <v>1.083982309</v>
      </c>
      <c r="AI229" s="57">
        <f>IFERROR(__xludf.DUMMYFUNCTION("""COMPUTED_VALUE"""),1.2271142076611592)</f>
        <v>1.227114208</v>
      </c>
      <c r="AJ229" s="57">
        <f>IFERROR(__xludf.DUMMYFUNCTION("""COMPUTED_VALUE"""),1.248126349824444)</f>
        <v>1.24812635</v>
      </c>
      <c r="AK229" s="57">
        <f>IFERROR(__xludf.DUMMYFUNCTION("""COMPUTED_VALUE"""),0.9726430966896931)</f>
        <v>0.9726430967</v>
      </c>
      <c r="AL229" s="57">
        <f>IFERROR(__xludf.DUMMYFUNCTION("""COMPUTED_VALUE"""),1.0551909661487093)</f>
        <v>1.055190966</v>
      </c>
      <c r="AM229" s="57">
        <f>IFERROR(__xludf.DUMMYFUNCTION("""COMPUTED_VALUE"""),0.9748939657102779)</f>
        <v>0.9748939657</v>
      </c>
      <c r="AN229" s="57">
        <f>IFERROR(__xludf.DUMMYFUNCTION("""COMPUTED_VALUE"""),1.0178708291321146)</f>
        <v>1.017870829</v>
      </c>
      <c r="AO229" s="57">
        <f>IFERROR(__xludf.DUMMYFUNCTION("""COMPUTED_VALUE"""),0.9045910088735228)</f>
        <v>0.9045910089</v>
      </c>
      <c r="AP229" s="35">
        <f>IFERROR(__xludf.DUMMYFUNCTION("""COMPUTED_VALUE"""),0.9555586381119332)</f>
        <v>0.9555586381</v>
      </c>
      <c r="AQ229" s="57">
        <f>IFERROR(__xludf.DUMMYFUNCTION("""COMPUTED_VALUE"""),0.9940251872338205)</f>
        <v>0.9940251872</v>
      </c>
      <c r="AR229" s="36" t="b">
        <f>IFERROR(__xludf.DUMMYFUNCTION("""COMPUTED_VALUE"""),TRUE)</f>
        <v>1</v>
      </c>
      <c r="AS229" s="57"/>
      <c r="AT229" s="37"/>
      <c r="AU229" s="30"/>
      <c r="AV229" s="30"/>
      <c r="AW229" s="30"/>
      <c r="AX229" s="30"/>
      <c r="AY229" s="30"/>
      <c r="AZ229" s="30"/>
    </row>
    <row r="230">
      <c r="A230" s="30" t="str">
        <f>IFERROR(__xludf.DUMMYFUNCTION("""COMPUTED_VALUE"""),"Elite")</f>
        <v>Elite</v>
      </c>
      <c r="B230" s="30" t="str">
        <f>IFERROR(__xludf.DUMMYFUNCTION("""COMPUTED_VALUE"""),"RSC005290")</f>
        <v>RSC005290</v>
      </c>
      <c r="C230" s="30" t="str">
        <f>IFERROR(__xludf.DUMMYFUNCTION("""COMPUTED_VALUE"""),"IMWASHEDGREG")</f>
        <v>IMWASHEDGREG</v>
      </c>
      <c r="D230" s="31" t="str">
        <f>IFERROR(__xludf.DUMMYFUNCTION("""COMPUTED_VALUE"""),"Geeky Ghouls")</f>
        <v>Geeky Ghouls</v>
      </c>
      <c r="E230" s="31">
        <f>IFERROR(__xludf.DUMMYFUNCTION("""COMPUTED_VALUE"""),76.21160399776949)</f>
        <v>76.211604</v>
      </c>
      <c r="F230" s="31">
        <f>IFERROR(__xludf.DUMMYFUNCTION("""COMPUTED_VALUE"""),6.792905881150613)</f>
        <v>6.792905881</v>
      </c>
      <c r="G230" s="31">
        <f>IFERROR(__xludf.DUMMYFUNCTION("""COMPUTED_VALUE"""),68.16869365442943)</f>
        <v>68.16869365</v>
      </c>
      <c r="H230" s="31">
        <f>IFERROR(__xludf.DUMMYFUNCTION("""COMPUTED_VALUE"""),4.279168698415533)</f>
        <v>4.279168698</v>
      </c>
      <c r="I230" s="54">
        <f>IFERROR(__xludf.DUMMYFUNCTION("""COMPUTED_VALUE"""),43.0)</f>
        <v>43</v>
      </c>
      <c r="J230" s="55">
        <f>IFERROR(__xludf.DUMMYFUNCTION("""COMPUTED_VALUE"""),23.0)</f>
        <v>23</v>
      </c>
      <c r="K230" s="54">
        <f>IFERROR(__xludf.DUMMYFUNCTION("""COMPUTED_VALUE"""),20.0)</f>
        <v>20</v>
      </c>
      <c r="L230" s="56">
        <f>IFERROR(__xludf.DUMMYFUNCTION("""COMPUTED_VALUE"""),0.5348837209302325)</f>
        <v>0.5348837209</v>
      </c>
      <c r="M230" s="56">
        <f>IFERROR(__xludf.DUMMYFUNCTION("""COMPUTED_VALUE"""),0.25477707006369427)</f>
        <v>0.2547770701</v>
      </c>
      <c r="N230" s="31">
        <f>IFERROR(__xludf.DUMMYFUNCTION("""COMPUTED_VALUE"""),399.74418604651163)</f>
        <v>399.744186</v>
      </c>
      <c r="O230" s="57">
        <f>IFERROR(__xludf.DUMMYFUNCTION("""COMPUTED_VALUE"""),0.9302325581395349)</f>
        <v>0.9302325581</v>
      </c>
      <c r="P230" s="57">
        <f>IFERROR(__xludf.DUMMYFUNCTION("""COMPUTED_VALUE"""),0.4883720930232558)</f>
        <v>0.488372093</v>
      </c>
      <c r="Q230" s="57">
        <f>IFERROR(__xludf.DUMMYFUNCTION("""COMPUTED_VALUE"""),1.441860465116279)</f>
        <v>1.441860465</v>
      </c>
      <c r="R230" s="57">
        <f>IFERROR(__xludf.DUMMYFUNCTION("""COMPUTED_VALUE"""),3.6511627906976742)</f>
        <v>3.651162791</v>
      </c>
      <c r="S230" s="31">
        <f>IFERROR(__xludf.DUMMYFUNCTION("""COMPUTED_VALUE"""),364.8837209302325)</f>
        <v>364.8837209</v>
      </c>
      <c r="T230" s="57">
        <f>IFERROR(__xludf.DUMMYFUNCTION("""COMPUTED_VALUE"""),0.6899224806201552)</f>
        <v>0.6899224806</v>
      </c>
      <c r="U230" s="57">
        <f>IFERROR(__xludf.DUMMYFUNCTION("""COMPUTED_VALUE"""),0.5116279069767442)</f>
        <v>0.511627907</v>
      </c>
      <c r="V230" s="57">
        <f>IFERROR(__xludf.DUMMYFUNCTION("""COMPUTED_VALUE"""),1.6821705426356588)</f>
        <v>1.682170543</v>
      </c>
      <c r="W230" s="57">
        <f>IFERROR(__xludf.DUMMYFUNCTION("""COMPUTED_VALUE"""),2.472868217054264)</f>
        <v>2.472868217</v>
      </c>
      <c r="X230" s="31">
        <f>IFERROR(__xludf.DUMMYFUNCTION("""COMPUTED_VALUE"""),349.5091791216317)</f>
        <v>349.5091791</v>
      </c>
      <c r="Y230" s="57">
        <f>IFERROR(__xludf.DUMMYFUNCTION("""COMPUTED_VALUE"""),0.7202265210863263)</f>
        <v>0.7202265211</v>
      </c>
      <c r="Z230" s="57">
        <f>IFERROR(__xludf.DUMMYFUNCTION("""COMPUTED_VALUE"""),0.5746456307726443)</f>
        <v>0.5746456308</v>
      </c>
      <c r="AA230" s="57">
        <f>IFERROR(__xludf.DUMMYFUNCTION("""COMPUTED_VALUE"""),1.398122836671694)</f>
        <v>1.398122837</v>
      </c>
      <c r="AB230" s="57">
        <f>IFERROR(__xludf.DUMMYFUNCTION("""COMPUTED_VALUE"""),2.6158180151750443)</f>
        <v>2.615818015</v>
      </c>
      <c r="AC230" s="31">
        <f>IFERROR(__xludf.DUMMYFUNCTION("""COMPUTED_VALUE"""),360.0018166473357)</f>
        <v>360.0018166</v>
      </c>
      <c r="AD230" s="57">
        <f>IFERROR(__xludf.DUMMYFUNCTION("""COMPUTED_VALUE"""),0.7873940402716126)</f>
        <v>0.7873940403</v>
      </c>
      <c r="AE230" s="57">
        <f>IFERROR(__xludf.DUMMYFUNCTION("""COMPUTED_VALUE"""),0.5956585430773292)</f>
        <v>0.5956585431</v>
      </c>
      <c r="AF230" s="57">
        <f>IFERROR(__xludf.DUMMYFUNCTION("""COMPUTED_VALUE"""),1.4034248510665432)</f>
        <v>1.403424851</v>
      </c>
      <c r="AG230" s="57">
        <f>IFERROR(__xludf.DUMMYFUNCTION("""COMPUTED_VALUE"""),2.6969280963609936)</f>
        <v>2.696928096</v>
      </c>
      <c r="AH230" s="57">
        <f>IFERROR(__xludf.DUMMYFUNCTION("""COMPUTED_VALUE"""),1.1103949134737514)</f>
        <v>1.110394913</v>
      </c>
      <c r="AI230" s="57">
        <f>IFERROR(__xludf.DUMMYFUNCTION("""COMPUTED_VALUE"""),1.1814066535462344)</f>
        <v>1.181406654</v>
      </c>
      <c r="AJ230" s="57">
        <f>IFERROR(__xludf.DUMMYFUNCTION("""COMPUTED_VALUE"""),0.8198859878684803)</f>
        <v>0.8198859879</v>
      </c>
      <c r="AK230" s="57">
        <f>IFERROR(__xludf.DUMMYFUNCTION("""COMPUTED_VALUE"""),1.0273870125789253)</f>
        <v>1.027387013</v>
      </c>
      <c r="AL230" s="57">
        <f>IFERROR(__xludf.DUMMYFUNCTION("""COMPUTED_VALUE"""),1.3538228162716848)</f>
        <v>1.353822816</v>
      </c>
      <c r="AM230" s="57">
        <f>IFERROR(__xludf.DUMMYFUNCTION("""COMPUTED_VALUE"""),1.0439889500105244)</f>
        <v>1.04398895</v>
      </c>
      <c r="AN230" s="57">
        <f>IFERROR(__xludf.DUMMYFUNCTION("""COMPUTED_VALUE"""),0.9579242924566799)</f>
        <v>0.9579242925</v>
      </c>
      <c r="AO230" s="57">
        <f>IFERROR(__xludf.DUMMYFUNCTION("""COMPUTED_VALUE"""),0.8903363735469996)</f>
        <v>0.8903363735</v>
      </c>
      <c r="AP230" s="35">
        <f>IFERROR(__xludf.DUMMYFUNCTION("""COMPUTED_VALUE"""),1.203163626623935)</f>
        <v>1.203163627</v>
      </c>
      <c r="AQ230" s="57">
        <f>IFERROR(__xludf.DUMMYFUNCTION("""COMPUTED_VALUE"""),0.9453517800965162)</f>
        <v>0.9453517801</v>
      </c>
      <c r="AR230" s="36" t="b">
        <f>IFERROR(__xludf.DUMMYFUNCTION("""COMPUTED_VALUE"""),TRUE)</f>
        <v>1</v>
      </c>
      <c r="AS230" s="57"/>
      <c r="AT230" s="37"/>
      <c r="AU230" s="30"/>
      <c r="AV230" s="30"/>
      <c r="AW230" s="30"/>
      <c r="AX230" s="30"/>
      <c r="AY230" s="30"/>
      <c r="AZ230" s="30"/>
    </row>
    <row r="231">
      <c r="A231" s="30" t="str">
        <f>IFERROR(__xludf.DUMMYFUNCTION("""COMPUTED_VALUE"""),"Elite")</f>
        <v>Elite</v>
      </c>
      <c r="B231" s="30" t="str">
        <f>IFERROR(__xludf.DUMMYFUNCTION("""COMPUTED_VALUE"""),"RSC001986")</f>
        <v>RSC001986</v>
      </c>
      <c r="C231" s="30" t="str">
        <f>IFERROR(__xludf.DUMMYFUNCTION("""COMPUTED_VALUE"""),"Colinn")</f>
        <v>Colinn</v>
      </c>
      <c r="D231" s="31" t="str">
        <f>IFERROR(__xludf.DUMMYFUNCTION("""COMPUTED_VALUE"""),"Desolation")</f>
        <v>Desolation</v>
      </c>
      <c r="E231" s="31">
        <f>IFERROR(__xludf.DUMMYFUNCTION("""COMPUTED_VALUE"""),75.63656332640619)</f>
        <v>75.63656333</v>
      </c>
      <c r="F231" s="31">
        <f>IFERROR(__xludf.DUMMYFUNCTION("""COMPUTED_VALUE"""),6.5542611900020775)</f>
        <v>6.55426119</v>
      </c>
      <c r="G231" s="31">
        <f>IFERROR(__xludf.DUMMYFUNCTION("""COMPUTED_VALUE"""),58.38652813297024)</f>
        <v>58.38652813</v>
      </c>
      <c r="H231" s="31">
        <f>IFERROR(__xludf.DUMMYFUNCTION("""COMPUTED_VALUE"""),2.7126836741805387)</f>
        <v>2.712683674</v>
      </c>
      <c r="I231" s="54">
        <f>IFERROR(__xludf.DUMMYFUNCTION("""COMPUTED_VALUE"""),40.0)</f>
        <v>40</v>
      </c>
      <c r="J231" s="55">
        <f>IFERROR(__xludf.DUMMYFUNCTION("""COMPUTED_VALUE"""),26.0)</f>
        <v>26</v>
      </c>
      <c r="K231" s="54">
        <f>IFERROR(__xludf.DUMMYFUNCTION("""COMPUTED_VALUE"""),14.0)</f>
        <v>14</v>
      </c>
      <c r="L231" s="56">
        <f>IFERROR(__xludf.DUMMYFUNCTION("""COMPUTED_VALUE"""),0.65)</f>
        <v>0.65</v>
      </c>
      <c r="M231" s="56">
        <f>IFERROR(__xludf.DUMMYFUNCTION("""COMPUTED_VALUE"""),0.4259259259259259)</f>
        <v>0.4259259259</v>
      </c>
      <c r="N231" s="31">
        <f>IFERROR(__xludf.DUMMYFUNCTION("""COMPUTED_VALUE"""),404.675)</f>
        <v>404.675</v>
      </c>
      <c r="O231" s="57">
        <f>IFERROR(__xludf.DUMMYFUNCTION("""COMPUTED_VALUE"""),1.15)</f>
        <v>1.15</v>
      </c>
      <c r="P231" s="57">
        <f>IFERROR(__xludf.DUMMYFUNCTION("""COMPUTED_VALUE"""),0.575)</f>
        <v>0.575</v>
      </c>
      <c r="Q231" s="57">
        <f>IFERROR(__xludf.DUMMYFUNCTION("""COMPUTED_VALUE"""),1.6)</f>
        <v>1.6</v>
      </c>
      <c r="R231" s="57">
        <f>IFERROR(__xludf.DUMMYFUNCTION("""COMPUTED_VALUE"""),2.7)</f>
        <v>2.7</v>
      </c>
      <c r="S231" s="31">
        <f>IFERROR(__xludf.DUMMYFUNCTION("""COMPUTED_VALUE"""),340.6916666666667)</f>
        <v>340.6916667</v>
      </c>
      <c r="T231" s="57">
        <f>IFERROR(__xludf.DUMMYFUNCTION("""COMPUTED_VALUE"""),0.7333333333333333)</f>
        <v>0.7333333333</v>
      </c>
      <c r="U231" s="57">
        <f>IFERROR(__xludf.DUMMYFUNCTION("""COMPUTED_VALUE"""),0.5083333333333334)</f>
        <v>0.5083333333</v>
      </c>
      <c r="V231" s="57">
        <f>IFERROR(__xludf.DUMMYFUNCTION("""COMPUTED_VALUE"""),1.275)</f>
        <v>1.275</v>
      </c>
      <c r="W231" s="57">
        <f>IFERROR(__xludf.DUMMYFUNCTION("""COMPUTED_VALUE"""),2.6416666666666666)</f>
        <v>2.641666667</v>
      </c>
      <c r="X231" s="31">
        <f>IFERROR(__xludf.DUMMYFUNCTION("""COMPUTED_VALUE"""),359.6079809563063)</f>
        <v>359.607981</v>
      </c>
      <c r="Y231" s="57">
        <f>IFERROR(__xludf.DUMMYFUNCTION("""COMPUTED_VALUE"""),0.7375031753707665)</f>
        <v>0.7375031754</v>
      </c>
      <c r="Z231" s="57">
        <f>IFERROR(__xludf.DUMMYFUNCTION("""COMPUTED_VALUE"""),0.5587663867174684)</f>
        <v>0.5587663867</v>
      </c>
      <c r="AA231" s="57">
        <f>IFERROR(__xludf.DUMMYFUNCTION("""COMPUTED_VALUE"""),1.4396258742620174)</f>
        <v>1.439625874</v>
      </c>
      <c r="AB231" s="57">
        <f>IFERROR(__xludf.DUMMYFUNCTION("""COMPUTED_VALUE"""),2.60812505599902)</f>
        <v>2.608125056</v>
      </c>
      <c r="AC231" s="31">
        <f>IFERROR(__xludf.DUMMYFUNCTION("""COMPUTED_VALUE"""),369.4558300312282)</f>
        <v>369.45583</v>
      </c>
      <c r="AD231" s="57">
        <f>IFERROR(__xludf.DUMMYFUNCTION("""COMPUTED_VALUE"""),0.8096829986772995)</f>
        <v>0.8096829987</v>
      </c>
      <c r="AE231" s="57">
        <f>IFERROR(__xludf.DUMMYFUNCTION("""COMPUTED_VALUE"""),0.6063046658295433)</f>
        <v>0.6063046658</v>
      </c>
      <c r="AF231" s="57">
        <f>IFERROR(__xludf.DUMMYFUNCTION("""COMPUTED_VALUE"""),1.4544085075202777)</f>
        <v>1.454408508</v>
      </c>
      <c r="AG231" s="57">
        <f>IFERROR(__xludf.DUMMYFUNCTION("""COMPUTED_VALUE"""),2.730078602373448)</f>
        <v>2.730078602</v>
      </c>
      <c r="AH231" s="57">
        <f>IFERROR(__xludf.DUMMYFUNCTION("""COMPUTED_VALUE"""),1.0953271463216454)</f>
        <v>1.095327146</v>
      </c>
      <c r="AI231" s="57">
        <f>IFERROR(__xludf.DUMMYFUNCTION("""COMPUTED_VALUE"""),1.4203089380395082)</f>
        <v>1.420308938</v>
      </c>
      <c r="AJ231" s="57">
        <f>IFERROR(__xludf.DUMMYFUNCTION("""COMPUTED_VALUE"""),0.9483680934786928)</f>
        <v>0.9483680935</v>
      </c>
      <c r="AK231" s="57">
        <f>IFERROR(__xludf.DUMMYFUNCTION("""COMPUTED_VALUE"""),1.1001035759395765)</f>
        <v>1.100103576</v>
      </c>
      <c r="AL231" s="57">
        <f>IFERROR(__xludf.DUMMYFUNCTION("""COMPUTED_VALUE"""),0.9889825141491171)</f>
        <v>0.9889825141</v>
      </c>
      <c r="AM231" s="57">
        <f>IFERROR(__xludf.DUMMYFUNCTION("""COMPUTED_VALUE"""),0.9473974013609615)</f>
        <v>0.9473974014</v>
      </c>
      <c r="AN231" s="57">
        <f>IFERROR(__xludf.DUMMYFUNCTION("""COMPUTED_VALUE"""),0.994346001242182)</f>
        <v>0.9943460012</v>
      </c>
      <c r="AO231" s="57">
        <f>IFERROR(__xludf.DUMMYFUNCTION("""COMPUTED_VALUE"""),0.9097421488067505)</f>
        <v>0.9097421488</v>
      </c>
      <c r="AP231" s="35">
        <f>IFERROR(__xludf.DUMMYFUNCTION("""COMPUTED_VALUE"""),0.8856467661458167)</f>
        <v>0.8856467661</v>
      </c>
      <c r="AQ231" s="57">
        <f>IFERROR(__xludf.DUMMYFUNCTION("""COMPUTED_VALUE"""),1.0128604303656747)</f>
        <v>1.01286043</v>
      </c>
      <c r="AR231" s="36" t="b">
        <f>IFERROR(__xludf.DUMMYFUNCTION("""COMPUTED_VALUE"""),TRUE)</f>
        <v>1</v>
      </c>
      <c r="AS231" s="57"/>
      <c r="AT231" s="37"/>
      <c r="AU231" s="30"/>
      <c r="AV231" s="30"/>
      <c r="AW231" s="30"/>
      <c r="AX231" s="30"/>
      <c r="AY231" s="30"/>
      <c r="AZ231" s="30"/>
    </row>
    <row r="232">
      <c r="A232" s="30" t="str">
        <f>IFERROR(__xludf.DUMMYFUNCTION("""COMPUTED_VALUE"""),"Elite")</f>
        <v>Elite</v>
      </c>
      <c r="B232" s="30" t="str">
        <f>IFERROR(__xludf.DUMMYFUNCTION("""COMPUTED_VALUE"""),"RSC004797")</f>
        <v>RSC004797</v>
      </c>
      <c r="C232" s="30" t="str">
        <f>IFERROR(__xludf.DUMMYFUNCTION("""COMPUTED_VALUE"""),"Tempest")</f>
        <v>Tempest</v>
      </c>
      <c r="D232" s="31" t="str">
        <f>IFERROR(__xludf.DUMMYFUNCTION("""COMPUTED_VALUE"""),"Demons")</f>
        <v>Demons</v>
      </c>
      <c r="E232" s="31">
        <f>IFERROR(__xludf.DUMMYFUNCTION("""COMPUTED_VALUE"""),75.12562092265016)</f>
        <v>75.12562092</v>
      </c>
      <c r="F232" s="31">
        <f>IFERROR(__xludf.DUMMYFUNCTION("""COMPUTED_VALUE"""),6.351527368713917)</f>
        <v>6.351527369</v>
      </c>
      <c r="G232" s="31">
        <f>IFERROR(__xludf.DUMMYFUNCTION("""COMPUTED_VALUE"""),60.63763150803986)</f>
        <v>60.63763151</v>
      </c>
      <c r="H232" s="31">
        <f>IFERROR(__xludf.DUMMYFUNCTION("""COMPUTED_VALUE"""),2.982989260296853)</f>
        <v>2.98298926</v>
      </c>
      <c r="I232" s="54">
        <f>IFERROR(__xludf.DUMMYFUNCTION("""COMPUTED_VALUE"""),25.0)</f>
        <v>25</v>
      </c>
      <c r="J232" s="55">
        <f>IFERROR(__xludf.DUMMYFUNCTION("""COMPUTED_VALUE"""),11.0)</f>
        <v>11</v>
      </c>
      <c r="K232" s="54">
        <f>IFERROR(__xludf.DUMMYFUNCTION("""COMPUTED_VALUE"""),14.0)</f>
        <v>14</v>
      </c>
      <c r="L232" s="56">
        <f>IFERROR(__xludf.DUMMYFUNCTION("""COMPUTED_VALUE"""),0.44)</f>
        <v>0.44</v>
      </c>
      <c r="M232" s="56">
        <f>IFERROR(__xludf.DUMMYFUNCTION("""COMPUTED_VALUE"""),0.26666666666666666)</f>
        <v>0.2666666667</v>
      </c>
      <c r="N232" s="31">
        <f>IFERROR(__xludf.DUMMYFUNCTION("""COMPUTED_VALUE"""),400.72)</f>
        <v>400.72</v>
      </c>
      <c r="O232" s="57">
        <f>IFERROR(__xludf.DUMMYFUNCTION("""COMPUTED_VALUE"""),0.8)</f>
        <v>0.8</v>
      </c>
      <c r="P232" s="57">
        <f>IFERROR(__xludf.DUMMYFUNCTION("""COMPUTED_VALUE"""),0.8)</f>
        <v>0.8</v>
      </c>
      <c r="Q232" s="57">
        <f>IFERROR(__xludf.DUMMYFUNCTION("""COMPUTED_VALUE"""),1.88)</f>
        <v>1.88</v>
      </c>
      <c r="R232" s="57">
        <f>IFERROR(__xludf.DUMMYFUNCTION("""COMPUTED_VALUE"""),3.0)</f>
        <v>3</v>
      </c>
      <c r="S232" s="31">
        <f>IFERROR(__xludf.DUMMYFUNCTION("""COMPUTED_VALUE"""),382.92)</f>
        <v>382.92</v>
      </c>
      <c r="T232" s="57">
        <f>IFERROR(__xludf.DUMMYFUNCTION("""COMPUTED_VALUE"""),0.8933333333333334)</f>
        <v>0.8933333333</v>
      </c>
      <c r="U232" s="57">
        <f>IFERROR(__xludf.DUMMYFUNCTION("""COMPUTED_VALUE"""),0.72)</f>
        <v>0.72</v>
      </c>
      <c r="V232" s="57">
        <f>IFERROR(__xludf.DUMMYFUNCTION("""COMPUTED_VALUE"""),1.3200000000000003)</f>
        <v>1.32</v>
      </c>
      <c r="W232" s="57">
        <f>IFERROR(__xludf.DUMMYFUNCTION("""COMPUTED_VALUE"""),3.0000000000000004)</f>
        <v>3</v>
      </c>
      <c r="X232" s="31">
        <f>IFERROR(__xludf.DUMMYFUNCTION("""COMPUTED_VALUE"""),380.11097715106405)</f>
        <v>380.1109772</v>
      </c>
      <c r="Y232" s="57">
        <f>IFERROR(__xludf.DUMMYFUNCTION("""COMPUTED_VALUE"""),0.905911461222887)</f>
        <v>0.9059114612</v>
      </c>
      <c r="Z232" s="57">
        <f>IFERROR(__xludf.DUMMYFUNCTION("""COMPUTED_VALUE"""),0.6714192577802284)</f>
        <v>0.6714192578</v>
      </c>
      <c r="AA232" s="57">
        <f>IFERROR(__xludf.DUMMYFUNCTION("""COMPUTED_VALUE"""),1.3934005864096861)</f>
        <v>1.393400586</v>
      </c>
      <c r="AB232" s="57">
        <f>IFERROR(__xludf.DUMMYFUNCTION("""COMPUTED_VALUE"""),2.828832463692928)</f>
        <v>2.828832464</v>
      </c>
      <c r="AC232" s="31">
        <f>IFERROR(__xludf.DUMMYFUNCTION("""COMPUTED_VALUE"""),352.9561758489763)</f>
        <v>352.9561758</v>
      </c>
      <c r="AD232" s="57">
        <f>IFERROR(__xludf.DUMMYFUNCTION("""COMPUTED_VALUE"""),0.7222329416596355)</f>
        <v>0.7222329417</v>
      </c>
      <c r="AE232" s="57">
        <f>IFERROR(__xludf.DUMMYFUNCTION("""COMPUTED_VALUE"""),0.5282566842708399)</f>
        <v>0.5282566843</v>
      </c>
      <c r="AF232" s="57">
        <f>IFERROR(__xludf.DUMMYFUNCTION("""COMPUTED_VALUE"""),1.4858376212673485)</f>
        <v>1.485837621</v>
      </c>
      <c r="AG232" s="57">
        <f>IFERROR(__xludf.DUMMYFUNCTION("""COMPUTED_VALUE"""),2.4895880114791478)</f>
        <v>2.489588011</v>
      </c>
      <c r="AH232" s="57">
        <f>IFERROR(__xludf.DUMMYFUNCTION("""COMPUTED_VALUE"""),1.1353250840168356)</f>
        <v>1.135325084</v>
      </c>
      <c r="AI232" s="57">
        <f>IFERROR(__xludf.DUMMYFUNCTION("""COMPUTED_VALUE"""),1.1076758672370466)</f>
        <v>1.107675867</v>
      </c>
      <c r="AJ232" s="57">
        <f>IFERROR(__xludf.DUMMYFUNCTION("""COMPUTED_VALUE"""),1.5144152905594581)</f>
        <v>1.514415291</v>
      </c>
      <c r="AK232" s="57">
        <f>IFERROR(__xludf.DUMMYFUNCTION("""COMPUTED_VALUE"""),1.2652795790676303)</f>
        <v>1.265279579</v>
      </c>
      <c r="AL232" s="57">
        <f>IFERROR(__xludf.DUMMYFUNCTION("""COMPUTED_VALUE"""),1.205018656166166)</f>
        <v>1.205018656</v>
      </c>
      <c r="AM232" s="57">
        <f>IFERROR(__xludf.DUMMYFUNCTION("""COMPUTED_VALUE"""),1.0073900071762978)</f>
        <v>1.007390007</v>
      </c>
      <c r="AN232" s="57">
        <f>IFERROR(__xludf.DUMMYFUNCTION("""COMPUTED_VALUE"""),0.9861154997723791)</f>
        <v>0.9861154998</v>
      </c>
      <c r="AO232" s="57">
        <f>IFERROR(__xludf.DUMMYFUNCTION("""COMPUTED_VALUE"""),1.0723553005917403)</f>
        <v>1.072355301</v>
      </c>
      <c r="AP232" s="35">
        <f>IFERROR(__xludf.DUMMYFUNCTION("""COMPUTED_VALUE"""),0.9473226959098575)</f>
        <v>0.9473226959</v>
      </c>
      <c r="AQ232" s="57">
        <f>IFERROR(__xludf.DUMMYFUNCTION("""COMPUTED_VALUE"""),1.060508191454937)</f>
        <v>1.060508191</v>
      </c>
      <c r="AR232" s="36" t="b">
        <f>IFERROR(__xludf.DUMMYFUNCTION("""COMPUTED_VALUE"""),TRUE)</f>
        <v>1</v>
      </c>
      <c r="AS232" s="57"/>
      <c r="AT232" s="37"/>
      <c r="AU232" s="30"/>
      <c r="AV232" s="30"/>
      <c r="AW232" s="30"/>
      <c r="AX232" s="30"/>
      <c r="AY232" s="30"/>
      <c r="AZ232" s="30"/>
    </row>
    <row r="233">
      <c r="A233" s="30" t="str">
        <f>IFERROR(__xludf.DUMMYFUNCTION("""COMPUTED_VALUE"""),"Elite")</f>
        <v>Elite</v>
      </c>
      <c r="B233" s="30" t="str">
        <f>IFERROR(__xludf.DUMMYFUNCTION("""COMPUTED_VALUE"""),"RSC006409")</f>
        <v>RSC006409</v>
      </c>
      <c r="C233" s="30" t="str">
        <f>IFERROR(__xludf.DUMMYFUNCTION("""COMPUTED_VALUE"""),"Reported.")</f>
        <v>Reported.</v>
      </c>
      <c r="D233" s="31" t="str">
        <f>IFERROR(__xludf.DUMMYFUNCTION("""COMPUTED_VALUE"""),"Forge Defenders")</f>
        <v>Forge Defenders</v>
      </c>
      <c r="E233" s="31">
        <f>IFERROR(__xludf.DUMMYFUNCTION("""COMPUTED_VALUE"""),74.59578830130523)</f>
        <v>74.5957883</v>
      </c>
      <c r="F233" s="31">
        <f>IFERROR(__xludf.DUMMYFUNCTION("""COMPUTED_VALUE"""),6.150092653210958)</f>
        <v>6.150092653</v>
      </c>
      <c r="G233" s="31">
        <f>IFERROR(__xludf.DUMMYFUNCTION("""COMPUTED_VALUE"""),61.354934408711955)</f>
        <v>61.35493441</v>
      </c>
      <c r="H233" s="31">
        <f>IFERROR(__xludf.DUMMYFUNCTION("""COMPUTED_VALUE"""),3.078406531432448)</f>
        <v>3.078406531</v>
      </c>
      <c r="I233" s="54">
        <f>IFERROR(__xludf.DUMMYFUNCTION("""COMPUTED_VALUE"""),29.0)</f>
        <v>29</v>
      </c>
      <c r="J233" s="55">
        <f>IFERROR(__xludf.DUMMYFUNCTION("""COMPUTED_VALUE"""),19.0)</f>
        <v>19</v>
      </c>
      <c r="K233" s="54">
        <f>IFERROR(__xludf.DUMMYFUNCTION("""COMPUTED_VALUE"""),10.0)</f>
        <v>10</v>
      </c>
      <c r="L233" s="56">
        <f>IFERROR(__xludf.DUMMYFUNCTION("""COMPUTED_VALUE"""),0.6551724137931034)</f>
        <v>0.6551724138</v>
      </c>
      <c r="M233" s="56">
        <f>IFERROR(__xludf.DUMMYFUNCTION("""COMPUTED_VALUE"""),0.30952380952380953)</f>
        <v>0.3095238095</v>
      </c>
      <c r="N233" s="31">
        <f>IFERROR(__xludf.DUMMYFUNCTION("""COMPUTED_VALUE"""),367.3448275862069)</f>
        <v>367.3448276</v>
      </c>
      <c r="O233" s="57">
        <f>IFERROR(__xludf.DUMMYFUNCTION("""COMPUTED_VALUE"""),0.896551724137931)</f>
        <v>0.8965517241</v>
      </c>
      <c r="P233" s="57">
        <f>IFERROR(__xludf.DUMMYFUNCTION("""COMPUTED_VALUE"""),0.6206896551724138)</f>
        <v>0.6206896552</v>
      </c>
      <c r="Q233" s="57">
        <f>IFERROR(__xludf.DUMMYFUNCTION("""COMPUTED_VALUE"""),1.206896551724138)</f>
        <v>1.206896552</v>
      </c>
      <c r="R233" s="57">
        <f>IFERROR(__xludf.DUMMYFUNCTION("""COMPUTED_VALUE"""),2.896551724137931)</f>
        <v>2.896551724</v>
      </c>
      <c r="S233" s="31">
        <f>IFERROR(__xludf.DUMMYFUNCTION("""COMPUTED_VALUE"""),331.34482758620675)</f>
        <v>331.3448276</v>
      </c>
      <c r="T233" s="57">
        <f>IFERROR(__xludf.DUMMYFUNCTION("""COMPUTED_VALUE"""),0.5402298850574713)</f>
        <v>0.5402298851</v>
      </c>
      <c r="U233" s="57">
        <f>IFERROR(__xludf.DUMMYFUNCTION("""COMPUTED_VALUE"""),0.41379310344827586)</f>
        <v>0.4137931034</v>
      </c>
      <c r="V233" s="57">
        <f>IFERROR(__xludf.DUMMYFUNCTION("""COMPUTED_VALUE"""),1.5977011494252877)</f>
        <v>1.597701149</v>
      </c>
      <c r="W233" s="57">
        <f>IFERROR(__xludf.DUMMYFUNCTION("""COMPUTED_VALUE"""),2.1839080459770113)</f>
        <v>2.183908046</v>
      </c>
      <c r="X233" s="31">
        <f>IFERROR(__xludf.DUMMYFUNCTION("""COMPUTED_VALUE"""),363.4423716119985)</f>
        <v>363.4423716</v>
      </c>
      <c r="Y233" s="57">
        <f>IFERROR(__xludf.DUMMYFUNCTION("""COMPUTED_VALUE"""),0.7940606716550452)</f>
        <v>0.7940606717</v>
      </c>
      <c r="Z233" s="57">
        <f>IFERROR(__xludf.DUMMYFUNCTION("""COMPUTED_VALUE"""),0.561270086987558)</f>
        <v>0.561270087</v>
      </c>
      <c r="AA233" s="57">
        <f>IFERROR(__xludf.DUMMYFUNCTION("""COMPUTED_VALUE"""),1.4357639007746945)</f>
        <v>1.435763901</v>
      </c>
      <c r="AB233" s="57">
        <f>IFERROR(__xludf.DUMMYFUNCTION("""COMPUTED_VALUE"""),2.655324697545246)</f>
        <v>2.655324698</v>
      </c>
      <c r="AC233" s="31">
        <f>IFERROR(__xludf.DUMMYFUNCTION("""COMPUTED_VALUE"""),363.7168408180278)</f>
        <v>363.7168408</v>
      </c>
      <c r="AD233" s="57">
        <f>IFERROR(__xludf.DUMMYFUNCTION("""COMPUTED_VALUE"""),0.7794382648680507)</f>
        <v>0.7794382649</v>
      </c>
      <c r="AE233" s="57">
        <f>IFERROR(__xludf.DUMMYFUNCTION("""COMPUTED_VALUE"""),0.5892621528354755)</f>
        <v>0.5892621528</v>
      </c>
      <c r="AF233" s="57">
        <f>IFERROR(__xludf.DUMMYFUNCTION("""COMPUTED_VALUE"""),1.4400456340471872)</f>
        <v>1.440045634</v>
      </c>
      <c r="AG233" s="57">
        <f>IFERROR(__xludf.DUMMYFUNCTION("""COMPUTED_VALUE"""),2.6586037790602335)</f>
        <v>2.658603779</v>
      </c>
      <c r="AH233" s="57">
        <f>IFERROR(__xludf.DUMMYFUNCTION("""COMPUTED_VALUE"""),1.0099747560767862)</f>
        <v>1.009974756</v>
      </c>
      <c r="AI233" s="57">
        <f>IFERROR(__xludf.DUMMYFUNCTION("""COMPUTED_VALUE"""),1.1502536692751493)</f>
        <v>1.150253669</v>
      </c>
      <c r="AJ233" s="57">
        <f>IFERROR(__xludf.DUMMYFUNCTION("""COMPUTED_VALUE"""),1.0533336515601963)</f>
        <v>1.053333652</v>
      </c>
      <c r="AK233" s="57">
        <f>IFERROR(__xludf.DUMMYFUNCTION("""COMPUTED_VALUE"""),0.8380960458400241)</f>
        <v>0.8380960458</v>
      </c>
      <c r="AL233" s="57">
        <f>IFERROR(__xludf.DUMMYFUNCTION("""COMPUTED_VALUE"""),1.0895010933753384)</f>
        <v>1.089501093</v>
      </c>
      <c r="AM233" s="57">
        <f>IFERROR(__xludf.DUMMYFUNCTION("""COMPUTED_VALUE"""),0.9116846396213311)</f>
        <v>0.9116846396</v>
      </c>
      <c r="AN233" s="57">
        <f>IFERROR(__xludf.DUMMYFUNCTION("""COMPUTED_VALUE"""),0.6803382969861492)</f>
        <v>0.680338297</v>
      </c>
      <c r="AO233" s="57">
        <f>IFERROR(__xludf.DUMMYFUNCTION("""COMPUTED_VALUE"""),0.7372441771646538)</f>
        <v>0.7372441772</v>
      </c>
      <c r="AP233" s="35">
        <f>IFERROR(__xludf.DUMMYFUNCTION("""COMPUTED_VALUE"""),1.1127882157806146)</f>
        <v>1.112788216</v>
      </c>
      <c r="AQ233" s="57">
        <f>IFERROR(__xludf.DUMMYFUNCTION("""COMPUTED_VALUE"""),0.8224636512423348)</f>
        <v>0.8224636512</v>
      </c>
      <c r="AR233" s="36" t="b">
        <f>IFERROR(__xludf.DUMMYFUNCTION("""COMPUTED_VALUE"""),TRUE)</f>
        <v>1</v>
      </c>
      <c r="AS233" s="57"/>
      <c r="AT233" s="37"/>
      <c r="AU233" s="30"/>
      <c r="AV233" s="30"/>
      <c r="AW233" s="30"/>
      <c r="AX233" s="30"/>
      <c r="AY233" s="30"/>
      <c r="AZ233" s="30"/>
    </row>
    <row r="234">
      <c r="A234" s="30" t="str">
        <f>IFERROR(__xludf.DUMMYFUNCTION("""COMPUTED_VALUE"""),"Elite")</f>
        <v>Elite</v>
      </c>
      <c r="B234" s="30" t="str">
        <f>IFERROR(__xludf.DUMMYFUNCTION("""COMPUTED_VALUE"""),"RSC006751")</f>
        <v>RSC006751</v>
      </c>
      <c r="C234" s="30" t="str">
        <f>IFERROR(__xludf.DUMMYFUNCTION("""COMPUTED_VALUE"""),"cl0wdy.")</f>
        <v>cl0wdy.</v>
      </c>
      <c r="D234" s="31" t="str">
        <f>IFERROR(__xludf.DUMMYFUNCTION("""COMPUTED_VALUE"""),"Cotija Cartel")</f>
        <v>Cotija Cartel</v>
      </c>
      <c r="E234" s="31">
        <f>IFERROR(__xludf.DUMMYFUNCTION("""COMPUTED_VALUE"""),73.91647009952653)</f>
        <v>73.9164701</v>
      </c>
      <c r="F234" s="31">
        <f>IFERROR(__xludf.DUMMYFUNCTION("""COMPUTED_VALUE"""),5.904242090243202)</f>
        <v>5.90424209</v>
      </c>
      <c r="G234" s="31">
        <f>IFERROR(__xludf.DUMMYFUNCTION("""COMPUTED_VALUE"""),57.78982461049951)</f>
        <v>57.78982461</v>
      </c>
      <c r="H234" s="31">
        <f>IFERROR(__xludf.DUMMYFUNCTION("""COMPUTED_VALUE"""),2.647779642805602)</f>
        <v>2.647779643</v>
      </c>
      <c r="I234" s="54">
        <f>IFERROR(__xludf.DUMMYFUNCTION("""COMPUTED_VALUE"""),43.0)</f>
        <v>43</v>
      </c>
      <c r="J234" s="55">
        <f>IFERROR(__xludf.DUMMYFUNCTION("""COMPUTED_VALUE"""),35.0)</f>
        <v>35</v>
      </c>
      <c r="K234" s="54">
        <f>IFERROR(__xludf.DUMMYFUNCTION("""COMPUTED_VALUE"""),8.0)</f>
        <v>8</v>
      </c>
      <c r="L234" s="56">
        <f>IFERROR(__xludf.DUMMYFUNCTION("""COMPUTED_VALUE"""),0.813953488372093)</f>
        <v>0.8139534884</v>
      </c>
      <c r="M234" s="56">
        <f>IFERROR(__xludf.DUMMYFUNCTION("""COMPUTED_VALUE"""),0.31481481481481477)</f>
        <v>0.3148148148</v>
      </c>
      <c r="N234" s="31">
        <f>IFERROR(__xludf.DUMMYFUNCTION("""COMPUTED_VALUE"""),358.6511627906977)</f>
        <v>358.6511628</v>
      </c>
      <c r="O234" s="57">
        <f>IFERROR(__xludf.DUMMYFUNCTION("""COMPUTED_VALUE"""),0.7906976744186046)</f>
        <v>0.7906976744</v>
      </c>
      <c r="P234" s="57">
        <f>IFERROR(__xludf.DUMMYFUNCTION("""COMPUTED_VALUE"""),1.0)</f>
        <v>1</v>
      </c>
      <c r="Q234" s="57">
        <f>IFERROR(__xludf.DUMMYFUNCTION("""COMPUTED_VALUE"""),1.0930232558139534)</f>
        <v>1.093023256</v>
      </c>
      <c r="R234" s="57">
        <f>IFERROR(__xludf.DUMMYFUNCTION("""COMPUTED_VALUE"""),2.511627906976744)</f>
        <v>2.511627907</v>
      </c>
      <c r="S234" s="31">
        <f>IFERROR(__xludf.DUMMYFUNCTION("""COMPUTED_VALUE"""),324.4573643410853)</f>
        <v>324.4573643</v>
      </c>
      <c r="T234" s="57">
        <f>IFERROR(__xludf.DUMMYFUNCTION("""COMPUTED_VALUE"""),0.5891472868217056)</f>
        <v>0.5891472868</v>
      </c>
      <c r="U234" s="57">
        <f>IFERROR(__xludf.DUMMYFUNCTION("""COMPUTED_VALUE"""),0.38759689922480633)</f>
        <v>0.3875968992</v>
      </c>
      <c r="V234" s="57">
        <f>IFERROR(__xludf.DUMMYFUNCTION("""COMPUTED_VALUE"""),1.3720930232558133)</f>
        <v>1.372093023</v>
      </c>
      <c r="W234" s="57">
        <f>IFERROR(__xludf.DUMMYFUNCTION("""COMPUTED_VALUE"""),2.201550387596899)</f>
        <v>2.201550388</v>
      </c>
      <c r="X234" s="31">
        <f>IFERROR(__xludf.DUMMYFUNCTION("""COMPUTED_VALUE"""),352.7782972193169)</f>
        <v>352.7782972</v>
      </c>
      <c r="Y234" s="57">
        <f>IFERROR(__xludf.DUMMYFUNCTION("""COMPUTED_VALUE"""),0.7275546672441076)</f>
        <v>0.7275546672</v>
      </c>
      <c r="Z234" s="57">
        <f>IFERROR(__xludf.DUMMYFUNCTION("""COMPUTED_VALUE"""),0.5087163288958092)</f>
        <v>0.5087163289</v>
      </c>
      <c r="AA234" s="57">
        <f>IFERROR(__xludf.DUMMYFUNCTION("""COMPUTED_VALUE"""),1.448396937718084)</f>
        <v>1.448396938</v>
      </c>
      <c r="AB234" s="57">
        <f>IFERROR(__xludf.DUMMYFUNCTION("""COMPUTED_VALUE"""),2.487865025176228)</f>
        <v>2.487865025</v>
      </c>
      <c r="AC234" s="31">
        <f>IFERROR(__xludf.DUMMYFUNCTION("""COMPUTED_VALUE"""),365.5202635737784)</f>
        <v>365.5202636</v>
      </c>
      <c r="AD234" s="57">
        <f>IFERROR(__xludf.DUMMYFUNCTION("""COMPUTED_VALUE"""),0.8226960173594204)</f>
        <v>0.8226960174</v>
      </c>
      <c r="AE234" s="57">
        <f>IFERROR(__xludf.DUMMYFUNCTION("""COMPUTED_VALUE"""),0.6180891909560734)</f>
        <v>0.618089191</v>
      </c>
      <c r="AF234" s="57">
        <f>IFERROR(__xludf.DUMMYFUNCTION("""COMPUTED_VALUE"""),1.340590722554317)</f>
        <v>1.340590723</v>
      </c>
      <c r="AG234" s="57">
        <f>IFERROR(__xludf.DUMMYFUNCTION("""COMPUTED_VALUE"""),2.7827990683128103)</f>
        <v>2.782799068</v>
      </c>
      <c r="AH234" s="57">
        <f>IFERROR(__xludf.DUMMYFUNCTION("""COMPUTED_VALUE"""),0.9812073324857017)</f>
        <v>0.9812073325</v>
      </c>
      <c r="AI234" s="57">
        <f>IFERROR(__xludf.DUMMYFUNCTION("""COMPUTED_VALUE"""),0.9611055088810083)</f>
        <v>0.9611055089</v>
      </c>
      <c r="AJ234" s="57">
        <f>IFERROR(__xludf.DUMMYFUNCTION("""COMPUTED_VALUE"""),1.6178894804052129)</f>
        <v>1.61788948</v>
      </c>
      <c r="AK234" s="57">
        <f>IFERROR(__xludf.DUMMYFUNCTION("""COMPUTED_VALUE"""),0.815329568842117)</f>
        <v>0.8153295688</v>
      </c>
      <c r="AL234" s="57">
        <f>IFERROR(__xludf.DUMMYFUNCTION("""COMPUTED_VALUE"""),0.9025545306436821)</f>
        <v>0.9025545306</v>
      </c>
      <c r="AM234" s="57">
        <f>IFERROR(__xludf.DUMMYFUNCTION("""COMPUTED_VALUE"""),0.9197203084728737)</f>
        <v>0.9197203085</v>
      </c>
      <c r="AN234" s="57">
        <f>IFERROR(__xludf.DUMMYFUNCTION("""COMPUTED_VALUE"""),0.8097636003811604)</f>
        <v>0.8097636004</v>
      </c>
      <c r="AO234" s="57">
        <f>IFERROR(__xludf.DUMMYFUNCTION("""COMPUTED_VALUE"""),0.7619116533296704)</f>
        <v>0.7619116533</v>
      </c>
      <c r="AP234" s="35">
        <f>IFERROR(__xludf.DUMMYFUNCTION("""COMPUTED_VALUE"""),0.9473183680003592)</f>
        <v>0.947318368</v>
      </c>
      <c r="AQ234" s="57">
        <f>IFERROR(__xludf.DUMMYFUNCTION("""COMPUTED_VALUE"""),0.8849155260908708)</f>
        <v>0.8849155261</v>
      </c>
      <c r="AR234" s="36" t="b">
        <f>IFERROR(__xludf.DUMMYFUNCTION("""COMPUTED_VALUE"""),TRUE)</f>
        <v>1</v>
      </c>
      <c r="AS234" s="57"/>
      <c r="AT234" s="37"/>
      <c r="AU234" s="30"/>
      <c r="AV234" s="30"/>
      <c r="AW234" s="30"/>
      <c r="AX234" s="30"/>
      <c r="AY234" s="30"/>
      <c r="AZ234" s="30"/>
    </row>
    <row r="235">
      <c r="A235" s="30" t="str">
        <f>IFERROR(__xludf.DUMMYFUNCTION("""COMPUTED_VALUE"""),"Elite")</f>
        <v>Elite</v>
      </c>
      <c r="B235" s="30" t="str">
        <f>IFERROR(__xludf.DUMMYFUNCTION("""COMPUTED_VALUE"""),"RSC004630")</f>
        <v>RSC004630</v>
      </c>
      <c r="C235" s="30" t="str">
        <f>IFERROR(__xludf.DUMMYFUNCTION("""COMPUTED_VALUE"""),"Supe")</f>
        <v>Supe</v>
      </c>
      <c r="D235" s="31" t="str">
        <f>IFERROR(__xludf.DUMMYFUNCTION("""COMPUTED_VALUE"""),"Pylons")</f>
        <v>Pylons</v>
      </c>
      <c r="E235" s="31">
        <f>IFERROR(__xludf.DUMMYFUNCTION("""COMPUTED_VALUE"""),73.90027107860345)</f>
        <v>73.90027108</v>
      </c>
      <c r="F235" s="31">
        <f>IFERROR(__xludf.DUMMYFUNCTION("""COMPUTED_VALUE"""),5.898543465698724)</f>
        <v>5.898543466</v>
      </c>
      <c r="G235" s="31">
        <f>IFERROR(__xludf.DUMMYFUNCTION("""COMPUTED_VALUE"""),73.9856589072877)</f>
        <v>73.98565891</v>
      </c>
      <c r="H235" s="31">
        <f>IFERROR(__xludf.DUMMYFUNCTION("""COMPUTED_VALUE"""),5.928666237775744)</f>
        <v>5.928666238</v>
      </c>
      <c r="I235" s="54">
        <f>IFERROR(__xludf.DUMMYFUNCTION("""COMPUTED_VALUE"""),28.0)</f>
        <v>28</v>
      </c>
      <c r="J235" s="55">
        <f>IFERROR(__xludf.DUMMYFUNCTION("""COMPUTED_VALUE"""),13.0)</f>
        <v>13</v>
      </c>
      <c r="K235" s="54">
        <f>IFERROR(__xludf.DUMMYFUNCTION("""COMPUTED_VALUE"""),15.0)</f>
        <v>15</v>
      </c>
      <c r="L235" s="56">
        <f>IFERROR(__xludf.DUMMYFUNCTION("""COMPUTED_VALUE"""),0.4642857142857143)</f>
        <v>0.4642857143</v>
      </c>
      <c r="M235" s="56">
        <f>IFERROR(__xludf.DUMMYFUNCTION("""COMPUTED_VALUE"""),0.3146067415730337)</f>
        <v>0.3146067416</v>
      </c>
      <c r="N235" s="31">
        <f>IFERROR(__xludf.DUMMYFUNCTION("""COMPUTED_VALUE"""),416.0)</f>
        <v>416</v>
      </c>
      <c r="O235" s="57">
        <f>IFERROR(__xludf.DUMMYFUNCTION("""COMPUTED_VALUE"""),1.0)</f>
        <v>1</v>
      </c>
      <c r="P235" s="57">
        <f>IFERROR(__xludf.DUMMYFUNCTION("""COMPUTED_VALUE"""),0.6428571428571429)</f>
        <v>0.6428571429</v>
      </c>
      <c r="Q235" s="57">
        <f>IFERROR(__xludf.DUMMYFUNCTION("""COMPUTED_VALUE"""),1.3928571428571428)</f>
        <v>1.392857143</v>
      </c>
      <c r="R235" s="57">
        <f>IFERROR(__xludf.DUMMYFUNCTION("""COMPUTED_VALUE"""),3.1785714285714284)</f>
        <v>3.178571429</v>
      </c>
      <c r="S235" s="31">
        <f>IFERROR(__xludf.DUMMYFUNCTION("""COMPUTED_VALUE"""),368.75)</f>
        <v>368.75</v>
      </c>
      <c r="T235" s="57">
        <f>IFERROR(__xludf.DUMMYFUNCTION("""COMPUTED_VALUE"""),0.8333333333333333)</f>
        <v>0.8333333333</v>
      </c>
      <c r="U235" s="57">
        <f>IFERROR(__xludf.DUMMYFUNCTION("""COMPUTED_VALUE"""),0.6428571428571429)</f>
        <v>0.6428571429</v>
      </c>
      <c r="V235" s="57">
        <f>IFERROR(__xludf.DUMMYFUNCTION("""COMPUTED_VALUE"""),1.4404761904761905)</f>
        <v>1.44047619</v>
      </c>
      <c r="W235" s="57">
        <f>IFERROR(__xludf.DUMMYFUNCTION("""COMPUTED_VALUE"""),2.5714285714285716)</f>
        <v>2.571428571</v>
      </c>
      <c r="X235" s="31">
        <f>IFERROR(__xludf.DUMMYFUNCTION("""COMPUTED_VALUE"""),347.1501885679487)</f>
        <v>347.1501886</v>
      </c>
      <c r="Y235" s="57">
        <f>IFERROR(__xludf.DUMMYFUNCTION("""COMPUTED_VALUE"""),0.7170816613681625)</f>
        <v>0.7170816614</v>
      </c>
      <c r="Z235" s="57">
        <f>IFERROR(__xludf.DUMMYFUNCTION("""COMPUTED_VALUE"""),0.528809487068548)</f>
        <v>0.5288094871</v>
      </c>
      <c r="AA235" s="57">
        <f>IFERROR(__xludf.DUMMYFUNCTION("""COMPUTED_VALUE"""),1.3913039430324434)</f>
        <v>1.391303943</v>
      </c>
      <c r="AB235" s="57">
        <f>IFERROR(__xludf.DUMMYFUNCTION("""COMPUTED_VALUE"""),2.4300751417460087)</f>
        <v>2.430075142</v>
      </c>
      <c r="AC235" s="31">
        <f>IFERROR(__xludf.DUMMYFUNCTION("""COMPUTED_VALUE"""),356.3995563058293)</f>
        <v>356.3995563</v>
      </c>
      <c r="AD235" s="57">
        <f>IFERROR(__xludf.DUMMYFUNCTION("""COMPUTED_VALUE"""),0.7764769389441167)</f>
        <v>0.7764769389</v>
      </c>
      <c r="AE235" s="57">
        <f>IFERROR(__xludf.DUMMYFUNCTION("""COMPUTED_VALUE"""),0.5934403566156048)</f>
        <v>0.5934403566</v>
      </c>
      <c r="AF235" s="57">
        <f>IFERROR(__xludf.DUMMYFUNCTION("""COMPUTED_VALUE"""),1.3384780251135528)</f>
        <v>1.338478025</v>
      </c>
      <c r="AG235" s="57">
        <f>IFERROR(__xludf.DUMMYFUNCTION("""COMPUTED_VALUE"""),2.7089091659087465)</f>
        <v>2.708909166</v>
      </c>
      <c r="AH235" s="57">
        <f>IFERROR(__xludf.DUMMYFUNCTION("""COMPUTED_VALUE"""),1.1672292870169205)</f>
        <v>1.167229287</v>
      </c>
      <c r="AI235" s="57">
        <f>IFERROR(__xludf.DUMMYFUNCTION("""COMPUTED_VALUE"""),1.2878682544775104)</f>
        <v>1.287868254</v>
      </c>
      <c r="AJ235" s="57">
        <f>IFERROR(__xludf.DUMMYFUNCTION("""COMPUTED_VALUE"""),1.083271698142274)</f>
        <v>1.083271698</v>
      </c>
      <c r="AK235" s="57">
        <f>IFERROR(__xludf.DUMMYFUNCTION("""COMPUTED_VALUE"""),1.0406275760403139)</f>
        <v>1.040627576</v>
      </c>
      <c r="AL235" s="57">
        <f>IFERROR(__xludf.DUMMYFUNCTION("""COMPUTED_VALUE"""),1.1733768959747035)</f>
        <v>1.173376896</v>
      </c>
      <c r="AM235" s="57">
        <f>IFERROR(__xludf.DUMMYFUNCTION("""COMPUTED_VALUE"""),1.0622203649698536)</f>
        <v>1.062220365</v>
      </c>
      <c r="AN235" s="57">
        <f>IFERROR(__xludf.DUMMYFUNCTION("""COMPUTED_VALUE"""),1.1621177590058116)</f>
        <v>1.162117759</v>
      </c>
      <c r="AO235" s="57">
        <f>IFERROR(__xludf.DUMMYFUNCTION("""COMPUTED_VALUE"""),1.2156687022027863)</f>
        <v>1.215668702</v>
      </c>
      <c r="AP235" s="35">
        <f>IFERROR(__xludf.DUMMYFUNCTION("""COMPUTED_VALUE"""),1.0353425631329505)</f>
        <v>1.035342563</v>
      </c>
      <c r="AQ235" s="57">
        <f>IFERROR(__xludf.DUMMYFUNCTION("""COMPUTED_VALUE"""),1.0581683369597372)</f>
        <v>1.058168337</v>
      </c>
      <c r="AR235" s="36" t="b">
        <f>IFERROR(__xludf.DUMMYFUNCTION("""COMPUTED_VALUE"""),TRUE)</f>
        <v>1</v>
      </c>
      <c r="AS235" s="57"/>
      <c r="AT235" s="37"/>
      <c r="AU235" s="30"/>
      <c r="AV235" s="30"/>
      <c r="AW235" s="30"/>
      <c r="AX235" s="30"/>
      <c r="AY235" s="30"/>
      <c r="AZ235" s="30"/>
    </row>
    <row r="236">
      <c r="A236" s="30" t="str">
        <f>IFERROR(__xludf.DUMMYFUNCTION("""COMPUTED_VALUE"""),"Elite")</f>
        <v>Elite</v>
      </c>
      <c r="B236" s="30" t="str">
        <f>IFERROR(__xludf.DUMMYFUNCTION("""COMPUTED_VALUE"""),"RSC000623")</f>
        <v>RSC000623</v>
      </c>
      <c r="C236" s="30" t="str">
        <f>IFERROR(__xludf.DUMMYFUNCTION("""COMPUTED_VALUE"""),"wall2wall3")</f>
        <v>wall2wall3</v>
      </c>
      <c r="D236" s="31" t="str">
        <f>IFERROR(__xludf.DUMMYFUNCTION("""COMPUTED_VALUE"""),"Cyclones")</f>
        <v>Cyclones</v>
      </c>
      <c r="E236" s="31">
        <f>IFERROR(__xludf.DUMMYFUNCTION("""COMPUTED_VALUE"""),72.72460756090064)</f>
        <v>72.72460756</v>
      </c>
      <c r="F236" s="31">
        <f>IFERROR(__xludf.DUMMYFUNCTION("""COMPUTED_VALUE"""),5.504207235575932)</f>
        <v>5.504207236</v>
      </c>
      <c r="G236" s="31">
        <f>IFERROR(__xludf.DUMMYFUNCTION("""COMPUTED_VALUE"""),60.123512799404594)</f>
        <v>60.1235128</v>
      </c>
      <c r="H236" s="31">
        <f>IFERROR(__xludf.DUMMYFUNCTION("""COMPUTED_VALUE"""),2.917488017977282)</f>
        <v>2.917488018</v>
      </c>
      <c r="I236" s="54">
        <f>IFERROR(__xludf.DUMMYFUNCTION("""COMPUTED_VALUE"""),48.0)</f>
        <v>48</v>
      </c>
      <c r="J236" s="55">
        <f>IFERROR(__xludf.DUMMYFUNCTION("""COMPUTED_VALUE"""),27.0)</f>
        <v>27</v>
      </c>
      <c r="K236" s="54">
        <f>IFERROR(__xludf.DUMMYFUNCTION("""COMPUTED_VALUE"""),21.0)</f>
        <v>21</v>
      </c>
      <c r="L236" s="56">
        <f>IFERROR(__xludf.DUMMYFUNCTION("""COMPUTED_VALUE"""),0.5625)</f>
        <v>0.5625</v>
      </c>
      <c r="M236" s="56">
        <f>IFERROR(__xludf.DUMMYFUNCTION("""COMPUTED_VALUE"""),0.33783783783783783)</f>
        <v>0.3378378378</v>
      </c>
      <c r="N236" s="31">
        <f>IFERROR(__xludf.DUMMYFUNCTION("""COMPUTED_VALUE"""),408.6666666666667)</f>
        <v>408.6666667</v>
      </c>
      <c r="O236" s="57">
        <f>IFERROR(__xludf.DUMMYFUNCTION("""COMPUTED_VALUE"""),1.0416666666666667)</f>
        <v>1.041666667</v>
      </c>
      <c r="P236" s="57">
        <f>IFERROR(__xludf.DUMMYFUNCTION("""COMPUTED_VALUE"""),0.5208333333333334)</f>
        <v>0.5208333333</v>
      </c>
      <c r="Q236" s="57">
        <f>IFERROR(__xludf.DUMMYFUNCTION("""COMPUTED_VALUE"""),1.625)</f>
        <v>1.625</v>
      </c>
      <c r="R236" s="57">
        <f>IFERROR(__xludf.DUMMYFUNCTION("""COMPUTED_VALUE"""),3.0833333333333335)</f>
        <v>3.083333333</v>
      </c>
      <c r="S236" s="31">
        <f>IFERROR(__xludf.DUMMYFUNCTION("""COMPUTED_VALUE"""),364.00000000000006)</f>
        <v>364</v>
      </c>
      <c r="T236" s="57">
        <f>IFERROR(__xludf.DUMMYFUNCTION("""COMPUTED_VALUE"""),0.7083333333333335)</f>
        <v>0.7083333333</v>
      </c>
      <c r="U236" s="57">
        <f>IFERROR(__xludf.DUMMYFUNCTION("""COMPUTED_VALUE"""),0.5138888888888891)</f>
        <v>0.5138888889</v>
      </c>
      <c r="V236" s="57">
        <f>IFERROR(__xludf.DUMMYFUNCTION("""COMPUTED_VALUE"""),1.6180555555555556)</f>
        <v>1.618055556</v>
      </c>
      <c r="W236" s="57">
        <f>IFERROR(__xludf.DUMMYFUNCTION("""COMPUTED_VALUE"""),2.715277777777778)</f>
        <v>2.715277778</v>
      </c>
      <c r="X236" s="31">
        <f>IFERROR(__xludf.DUMMYFUNCTION("""COMPUTED_VALUE"""),359.41140749798063)</f>
        <v>359.4114075</v>
      </c>
      <c r="Y236" s="57">
        <f>IFERROR(__xludf.DUMMYFUNCTION("""COMPUTED_VALUE"""),0.7549229969337804)</f>
        <v>0.7549229969</v>
      </c>
      <c r="Z236" s="57">
        <f>IFERROR(__xludf.DUMMYFUNCTION("""COMPUTED_VALUE"""),0.5437342157226168)</f>
        <v>0.5437342157</v>
      </c>
      <c r="AA236" s="57">
        <f>IFERROR(__xludf.DUMMYFUNCTION("""COMPUTED_VALUE"""),1.4738205500558317)</f>
        <v>1.47382055</v>
      </c>
      <c r="AB236" s="57">
        <f>IFERROR(__xludf.DUMMYFUNCTION("""COMPUTED_VALUE"""),2.6426357128608866)</f>
        <v>2.642635713</v>
      </c>
      <c r="AC236" s="31">
        <f>IFERROR(__xludf.DUMMYFUNCTION("""COMPUTED_VALUE"""),371.07287066861454)</f>
        <v>371.0728707</v>
      </c>
      <c r="AD236" s="57">
        <f>IFERROR(__xludf.DUMMYFUNCTION("""COMPUTED_VALUE"""),0.828389339893238)</f>
        <v>0.8283893399</v>
      </c>
      <c r="AE236" s="57">
        <f>IFERROR(__xludf.DUMMYFUNCTION("""COMPUTED_VALUE"""),0.6324081470329085)</f>
        <v>0.632408147</v>
      </c>
      <c r="AF236" s="57">
        <f>IFERROR(__xludf.DUMMYFUNCTION("""COMPUTED_VALUE"""),1.430440744037018)</f>
        <v>1.430440744</v>
      </c>
      <c r="AG236" s="57">
        <f>IFERROR(__xludf.DUMMYFUNCTION("""COMPUTED_VALUE"""),2.7530174881342018)</f>
        <v>2.753017488</v>
      </c>
      <c r="AH236" s="57">
        <f>IFERROR(__xludf.DUMMYFUNCTION("""COMPUTED_VALUE"""),1.101311087308307)</f>
        <v>1.101311087</v>
      </c>
      <c r="AI236" s="57">
        <f>IFERROR(__xludf.DUMMYFUNCTION("""COMPUTED_VALUE"""),1.2574602502742438)</f>
        <v>1.25746025</v>
      </c>
      <c r="AJ236" s="57">
        <f>IFERROR(__xludf.DUMMYFUNCTION("""COMPUTED_VALUE"""),0.8235715111782563)</f>
        <v>0.8235715112</v>
      </c>
      <c r="AK236" s="57">
        <f>IFERROR(__xludf.DUMMYFUNCTION("""COMPUTED_VALUE"""),1.1360135026732343)</f>
        <v>1.136013503</v>
      </c>
      <c r="AL236" s="57">
        <f>IFERROR(__xludf.DUMMYFUNCTION("""COMPUTED_VALUE"""),1.1199831990253706)</f>
        <v>1.119983199</v>
      </c>
      <c r="AM236" s="57">
        <f>IFERROR(__xludf.DUMMYFUNCTION("""COMPUTED_VALUE"""),1.0127669640036263)</f>
        <v>1.012766964</v>
      </c>
      <c r="AN236" s="57">
        <f>IFERROR(__xludf.DUMMYFUNCTION("""COMPUTED_VALUE"""),0.9382855419828552)</f>
        <v>0.938285542</v>
      </c>
      <c r="AO236" s="57">
        <f>IFERROR(__xludf.DUMMYFUNCTION("""COMPUTED_VALUE"""),0.9451104492402347)</f>
        <v>0.9451104492</v>
      </c>
      <c r="AP236" s="35">
        <f>IFERROR(__xludf.DUMMYFUNCTION("""COMPUTED_VALUE"""),1.0978646996707027)</f>
        <v>1.0978647</v>
      </c>
      <c r="AQ236" s="57">
        <f>IFERROR(__xludf.DUMMYFUNCTION("""COMPUTED_VALUE"""),1.0274884898298184)</f>
        <v>1.02748849</v>
      </c>
      <c r="AR236" s="36" t="b">
        <f>IFERROR(__xludf.DUMMYFUNCTION("""COMPUTED_VALUE"""),TRUE)</f>
        <v>1</v>
      </c>
      <c r="AS236" s="57"/>
      <c r="AT236" s="37"/>
      <c r="AU236" s="30"/>
      <c r="AV236" s="30"/>
      <c r="AW236" s="30"/>
      <c r="AX236" s="30"/>
      <c r="AY236" s="30"/>
      <c r="AZ236" s="30"/>
    </row>
    <row r="237">
      <c r="A237" s="30" t="str">
        <f>IFERROR(__xludf.DUMMYFUNCTION("""COMPUTED_VALUE"""),"Elite")</f>
        <v>Elite</v>
      </c>
      <c r="B237" s="30" t="str">
        <f>IFERROR(__xludf.DUMMYFUNCTION("""COMPUTED_VALUE"""),"RSC007382")</f>
        <v>RSC007382</v>
      </c>
      <c r="C237" s="30" t="str">
        <f>IFERROR(__xludf.DUMMYFUNCTION("""COMPUTED_VALUE"""),"takeeover")</f>
        <v>takeeover</v>
      </c>
      <c r="D237" s="31" t="str">
        <f>IFERROR(__xludf.DUMMYFUNCTION("""COMPUTED_VALUE"""),"Afterburners")</f>
        <v>Afterburners</v>
      </c>
      <c r="E237" s="31">
        <f>IFERROR(__xludf.DUMMYFUNCTION("""COMPUTED_VALUE"""),72.60023294123198)</f>
        <v>72.60023294</v>
      </c>
      <c r="F237" s="31">
        <f>IFERROR(__xludf.DUMMYFUNCTION("""COMPUTED_VALUE"""),5.46462330255175)</f>
        <v>5.464623303</v>
      </c>
      <c r="G237" s="31">
        <f>IFERROR(__xludf.DUMMYFUNCTION("""COMPUTED_VALUE"""),67.57083700635685)</f>
        <v>67.57083701</v>
      </c>
      <c r="H237" s="31">
        <f>IFERROR(__xludf.DUMMYFUNCTION("""COMPUTED_VALUE"""),4.14800470864396)</f>
        <v>4.148004709</v>
      </c>
      <c r="I237" s="54">
        <f>IFERROR(__xludf.DUMMYFUNCTION("""COMPUTED_VALUE"""),48.0)</f>
        <v>48</v>
      </c>
      <c r="J237" s="55">
        <f>IFERROR(__xludf.DUMMYFUNCTION("""COMPUTED_VALUE"""),28.0)</f>
        <v>28</v>
      </c>
      <c r="K237" s="54">
        <f>IFERROR(__xludf.DUMMYFUNCTION("""COMPUTED_VALUE"""),20.0)</f>
        <v>20</v>
      </c>
      <c r="L237" s="56">
        <f>IFERROR(__xludf.DUMMYFUNCTION("""COMPUTED_VALUE"""),0.5833333333333334)</f>
        <v>0.5833333333</v>
      </c>
      <c r="M237" s="56">
        <f>IFERROR(__xludf.DUMMYFUNCTION("""COMPUTED_VALUE"""),0.2589928057553957)</f>
        <v>0.2589928058</v>
      </c>
      <c r="N237" s="31">
        <f>IFERROR(__xludf.DUMMYFUNCTION("""COMPUTED_VALUE"""),411.7083333333333)</f>
        <v>411.7083333</v>
      </c>
      <c r="O237" s="57">
        <f>IFERROR(__xludf.DUMMYFUNCTION("""COMPUTED_VALUE"""),0.75)</f>
        <v>0.75</v>
      </c>
      <c r="P237" s="57">
        <f>IFERROR(__xludf.DUMMYFUNCTION("""COMPUTED_VALUE"""),0.9375)</f>
        <v>0.9375</v>
      </c>
      <c r="Q237" s="57">
        <f>IFERROR(__xludf.DUMMYFUNCTION("""COMPUTED_VALUE"""),1.7708333333333333)</f>
        <v>1.770833333</v>
      </c>
      <c r="R237" s="57">
        <f>IFERROR(__xludf.DUMMYFUNCTION("""COMPUTED_VALUE"""),2.8958333333333335)</f>
        <v>2.895833333</v>
      </c>
      <c r="S237" s="31">
        <f>IFERROR(__xludf.DUMMYFUNCTION("""COMPUTED_VALUE"""),358.77777777777766)</f>
        <v>358.7777778</v>
      </c>
      <c r="T237" s="57">
        <f>IFERROR(__xludf.DUMMYFUNCTION("""COMPUTED_VALUE"""),0.7291666666666666)</f>
        <v>0.7291666667</v>
      </c>
      <c r="U237" s="57">
        <f>IFERROR(__xludf.DUMMYFUNCTION("""COMPUTED_VALUE"""),0.5277777777777778)</f>
        <v>0.5277777778</v>
      </c>
      <c r="V237" s="57">
        <f>IFERROR(__xludf.DUMMYFUNCTION("""COMPUTED_VALUE"""),1.5972222222222225)</f>
        <v>1.597222222</v>
      </c>
      <c r="W237" s="57">
        <f>IFERROR(__xludf.DUMMYFUNCTION("""COMPUTED_VALUE"""),2.5000000000000004)</f>
        <v>2.5</v>
      </c>
      <c r="X237" s="31">
        <f>IFERROR(__xludf.DUMMYFUNCTION("""COMPUTED_VALUE"""),357.3541955190107)</f>
        <v>357.3541955</v>
      </c>
      <c r="Y237" s="57">
        <f>IFERROR(__xludf.DUMMYFUNCTION("""COMPUTED_VALUE"""),0.7649948953431198)</f>
        <v>0.7649948953</v>
      </c>
      <c r="Z237" s="57">
        <f>IFERROR(__xludf.DUMMYFUNCTION("""COMPUTED_VALUE"""),0.5671636293459748)</f>
        <v>0.5671636293</v>
      </c>
      <c r="AA237" s="57">
        <f>IFERROR(__xludf.DUMMYFUNCTION("""COMPUTED_VALUE"""),1.4477307557775758)</f>
        <v>1.447730756</v>
      </c>
      <c r="AB237" s="57">
        <f>IFERROR(__xludf.DUMMYFUNCTION("""COMPUTED_VALUE"""),2.5625716291990908)</f>
        <v>2.562571629</v>
      </c>
      <c r="AC237" s="31">
        <f>IFERROR(__xludf.DUMMYFUNCTION("""COMPUTED_VALUE"""),370.12343903156665)</f>
        <v>370.123439</v>
      </c>
      <c r="AD237" s="57">
        <f>IFERROR(__xludf.DUMMYFUNCTION("""COMPUTED_VALUE"""),0.8525664723919281)</f>
        <v>0.8525664724</v>
      </c>
      <c r="AE237" s="57">
        <f>IFERROR(__xludf.DUMMYFUNCTION("""COMPUTED_VALUE"""),0.6466378723098416)</f>
        <v>0.6466378723</v>
      </c>
      <c r="AF237" s="57">
        <f>IFERROR(__xludf.DUMMYFUNCTION("""COMPUTED_VALUE"""),1.3774224711399166)</f>
        <v>1.377422471</v>
      </c>
      <c r="AG237" s="57">
        <f>IFERROR(__xludf.DUMMYFUNCTION("""COMPUTED_VALUE"""),2.76781728934535)</f>
        <v>2.767817289</v>
      </c>
      <c r="AH237" s="57">
        <f>IFERROR(__xludf.DUMMYFUNCTION("""COMPUTED_VALUE"""),1.1123541227504374)</f>
        <v>1.112354123</v>
      </c>
      <c r="AI237" s="57">
        <f>IFERROR(__xludf.DUMMYFUNCTION("""COMPUTED_VALUE"""),0.8796968028731279)</f>
        <v>0.8796968029</v>
      </c>
      <c r="AJ237" s="57">
        <f>IFERROR(__xludf.DUMMYFUNCTION("""COMPUTED_VALUE"""),1.449806824105702)</f>
        <v>1.449806824</v>
      </c>
      <c r="AK237" s="57">
        <f>IFERROR(__xludf.DUMMYFUNCTION("""COMPUTED_VALUE"""),1.2856137971002033)</f>
        <v>1.285613797</v>
      </c>
      <c r="AL237" s="57">
        <f>IFERROR(__xludf.DUMMYFUNCTION("""COMPUTED_VALUE"""),1.0462516237906232)</f>
        <v>1.046251624</v>
      </c>
      <c r="AM237" s="57">
        <f>IFERROR(__xludf.DUMMYFUNCTION("""COMPUTED_VALUE"""),1.0039836729961975)</f>
        <v>1.003983673</v>
      </c>
      <c r="AN237" s="57">
        <f>IFERROR(__xludf.DUMMYFUNCTION("""COMPUTED_VALUE"""),0.9531654016326693)</f>
        <v>0.9531654016</v>
      </c>
      <c r="AO237" s="57">
        <f>IFERROR(__xludf.DUMMYFUNCTION("""COMPUTED_VALUE"""),0.9305564575542075)</f>
        <v>0.9305564576</v>
      </c>
      <c r="AP237" s="35">
        <f>IFERROR(__xludf.DUMMYFUNCTION("""COMPUTED_VALUE"""),1.1032591632443112)</f>
        <v>1.103259163</v>
      </c>
      <c r="AQ237" s="57">
        <f>IFERROR(__xludf.DUMMYFUNCTION("""COMPUTED_VALUE"""),0.9755824857786916)</f>
        <v>0.9755824858</v>
      </c>
      <c r="AR237" s="36" t="b">
        <f>IFERROR(__xludf.DUMMYFUNCTION("""COMPUTED_VALUE"""),TRUE)</f>
        <v>1</v>
      </c>
      <c r="AS237" s="57"/>
      <c r="AT237" s="37"/>
      <c r="AU237" s="30"/>
      <c r="AV237" s="30"/>
      <c r="AW237" s="30"/>
      <c r="AX237" s="30"/>
      <c r="AY237" s="30"/>
      <c r="AZ237" s="30"/>
    </row>
    <row r="238">
      <c r="A238" s="30" t="str">
        <f>IFERROR(__xludf.DUMMYFUNCTION("""COMPUTED_VALUE"""),"Elite")</f>
        <v>Elite</v>
      </c>
      <c r="B238" s="30" t="str">
        <f>IFERROR(__xludf.DUMMYFUNCTION("""COMPUTED_VALUE"""),"RSC007895")</f>
        <v>RSC007895</v>
      </c>
      <c r="C238" s="30" t="str">
        <f>IFERROR(__xludf.DUMMYFUNCTION("""COMPUTED_VALUE"""),"Lup")</f>
        <v>Lup</v>
      </c>
      <c r="D238" s="31" t="str">
        <f>IFERROR(__xludf.DUMMYFUNCTION("""COMPUTED_VALUE"""),"Wyverns")</f>
        <v>Wyverns</v>
      </c>
      <c r="E238" s="31">
        <f>IFERROR(__xludf.DUMMYFUNCTION("""COMPUTED_VALUE"""),71.85584676996078)</f>
        <v>71.85584677</v>
      </c>
      <c r="F238" s="31">
        <f>IFERROR(__xludf.DUMMYFUNCTION("""COMPUTED_VALUE"""),5.2357267651719965)</f>
        <v>5.235726765</v>
      </c>
      <c r="G238" s="31">
        <f>IFERROR(__xludf.DUMMYFUNCTION("""COMPUTED_VALUE"""),60.6142430925549)</f>
        <v>60.61424309</v>
      </c>
      <c r="H238" s="31">
        <f>IFERROR(__xludf.DUMMYFUNCTION("""COMPUTED_VALUE"""),2.979958137320747)</f>
        <v>2.979958137</v>
      </c>
      <c r="I238" s="54">
        <f>IFERROR(__xludf.DUMMYFUNCTION("""COMPUTED_VALUE"""),42.0)</f>
        <v>42</v>
      </c>
      <c r="J238" s="55">
        <f>IFERROR(__xludf.DUMMYFUNCTION("""COMPUTED_VALUE"""),22.0)</f>
        <v>22</v>
      </c>
      <c r="K238" s="54">
        <f>IFERROR(__xludf.DUMMYFUNCTION("""COMPUTED_VALUE"""),20.0)</f>
        <v>20</v>
      </c>
      <c r="L238" s="56">
        <f>IFERROR(__xludf.DUMMYFUNCTION("""COMPUTED_VALUE"""),0.5238095238095238)</f>
        <v>0.5238095238</v>
      </c>
      <c r="M238" s="56">
        <f>IFERROR(__xludf.DUMMYFUNCTION("""COMPUTED_VALUE"""),0.3170731707317073)</f>
        <v>0.3170731707</v>
      </c>
      <c r="N238" s="31">
        <f>IFERROR(__xludf.DUMMYFUNCTION("""COMPUTED_VALUE"""),385.6666666666667)</f>
        <v>385.6666667</v>
      </c>
      <c r="O238" s="57">
        <f>IFERROR(__xludf.DUMMYFUNCTION("""COMPUTED_VALUE"""),0.9285714285714286)</f>
        <v>0.9285714286</v>
      </c>
      <c r="P238" s="57">
        <f>IFERROR(__xludf.DUMMYFUNCTION("""COMPUTED_VALUE"""),0.5238095238095238)</f>
        <v>0.5238095238</v>
      </c>
      <c r="Q238" s="57">
        <f>IFERROR(__xludf.DUMMYFUNCTION("""COMPUTED_VALUE"""),1.6428571428571428)</f>
        <v>1.642857143</v>
      </c>
      <c r="R238" s="57">
        <f>IFERROR(__xludf.DUMMYFUNCTION("""COMPUTED_VALUE"""),2.9285714285714284)</f>
        <v>2.928571429</v>
      </c>
      <c r="S238" s="31">
        <f>IFERROR(__xludf.DUMMYFUNCTION("""COMPUTED_VALUE"""),351.2142857142857)</f>
        <v>351.2142857</v>
      </c>
      <c r="T238" s="57">
        <f>IFERROR(__xludf.DUMMYFUNCTION("""COMPUTED_VALUE"""),0.6666666666666666)</f>
        <v>0.6666666667</v>
      </c>
      <c r="U238" s="57">
        <f>IFERROR(__xludf.DUMMYFUNCTION("""COMPUTED_VALUE"""),0.5238095238095237)</f>
        <v>0.5238095238</v>
      </c>
      <c r="V238" s="57">
        <f>IFERROR(__xludf.DUMMYFUNCTION("""COMPUTED_VALUE"""),1.4841269841269842)</f>
        <v>1.484126984</v>
      </c>
      <c r="W238" s="57">
        <f>IFERROR(__xludf.DUMMYFUNCTION("""COMPUTED_VALUE"""),2.5714285714285716)</f>
        <v>2.571428571</v>
      </c>
      <c r="X238" s="31">
        <f>IFERROR(__xludf.DUMMYFUNCTION("""COMPUTED_VALUE"""),352.40637562465463)</f>
        <v>352.4063756</v>
      </c>
      <c r="Y238" s="57">
        <f>IFERROR(__xludf.DUMMYFUNCTION("""COMPUTED_VALUE"""),0.7599169297648295)</f>
        <v>0.7599169298</v>
      </c>
      <c r="Z238" s="57">
        <f>IFERROR(__xludf.DUMMYFUNCTION("""COMPUTED_VALUE"""),0.5765255685013113)</f>
        <v>0.5765255685</v>
      </c>
      <c r="AA238" s="57">
        <f>IFERROR(__xludf.DUMMYFUNCTION("""COMPUTED_VALUE"""),1.3680526496561707)</f>
        <v>1.36805265</v>
      </c>
      <c r="AB238" s="57">
        <f>IFERROR(__xludf.DUMMYFUNCTION("""COMPUTED_VALUE"""),2.6380185972453)</f>
        <v>2.638018597</v>
      </c>
      <c r="AC238" s="31">
        <f>IFERROR(__xludf.DUMMYFUNCTION("""COMPUTED_VALUE"""),353.723098590448)</f>
        <v>353.7230986</v>
      </c>
      <c r="AD238" s="57">
        <f>IFERROR(__xludf.DUMMYFUNCTION("""COMPUTED_VALUE"""),0.717787809102523)</f>
        <v>0.7177878091</v>
      </c>
      <c r="AE238" s="57">
        <f>IFERROR(__xludf.DUMMYFUNCTION("""COMPUTED_VALUE"""),0.5347500696343731)</f>
        <v>0.5347500696</v>
      </c>
      <c r="AF238" s="57">
        <f>IFERROR(__xludf.DUMMYFUNCTION("""COMPUTED_VALUE"""),1.47674004510047)</f>
        <v>1.476740045</v>
      </c>
      <c r="AG238" s="57">
        <f>IFERROR(__xludf.DUMMYFUNCTION("""COMPUTED_VALUE"""),2.5380812971029436)</f>
        <v>2.538081297</v>
      </c>
      <c r="AH238" s="57">
        <f>IFERROR(__xludf.DUMMYFUNCTION("""COMPUTED_VALUE"""),1.0903067065835133)</f>
        <v>1.090306707</v>
      </c>
      <c r="AI238" s="57">
        <f>IFERROR(__xludf.DUMMYFUNCTION("""COMPUTED_VALUE"""),1.2936572853368131)</f>
        <v>1.293657285</v>
      </c>
      <c r="AJ238" s="57">
        <f>IFERROR(__xludf.DUMMYFUNCTION("""COMPUTED_VALUE"""),0.9795408239360684)</f>
        <v>0.9795408239</v>
      </c>
      <c r="AK238" s="57">
        <f>IFERROR(__xludf.DUMMYFUNCTION("""COMPUTED_VALUE"""),1.1124890587939402)</f>
        <v>1.112489059</v>
      </c>
      <c r="AL238" s="57">
        <f>IFERROR(__xludf.DUMMYFUNCTION("""COMPUTED_VALUE"""),1.1538524916101798)</f>
        <v>1.153852492</v>
      </c>
      <c r="AM238" s="57">
        <f>IFERROR(__xludf.DUMMYFUNCTION("""COMPUTED_VALUE"""),0.9966172861990482)</f>
        <v>0.9966172862</v>
      </c>
      <c r="AN238" s="57">
        <f>IFERROR(__xludf.DUMMYFUNCTION("""COMPUTED_VALUE"""),0.8772888727100462)</f>
        <v>0.8772888727</v>
      </c>
      <c r="AO238" s="57">
        <f>IFERROR(__xludf.DUMMYFUNCTION("""COMPUTED_VALUE"""),0.9085625207762703)</f>
        <v>0.9085625208</v>
      </c>
      <c r="AP238" s="35">
        <f>IFERROR(__xludf.DUMMYFUNCTION("""COMPUTED_VALUE"""),1.0848463942524333)</f>
        <v>1.084846394</v>
      </c>
      <c r="AQ238" s="57">
        <f>IFERROR(__xludf.DUMMYFUNCTION("""COMPUTED_VALUE"""),0.9747575601300674)</f>
        <v>0.9747575601</v>
      </c>
      <c r="AR238" s="36" t="b">
        <f>IFERROR(__xludf.DUMMYFUNCTION("""COMPUTED_VALUE"""),TRUE)</f>
        <v>1</v>
      </c>
      <c r="AS238" s="57"/>
      <c r="AT238" s="37"/>
      <c r="AU238" s="30"/>
      <c r="AV238" s="30"/>
      <c r="AW238" s="30"/>
      <c r="AX238" s="30"/>
      <c r="AY238" s="30"/>
      <c r="AZ238" s="30"/>
    </row>
    <row r="239">
      <c r="A239" s="30" t="str">
        <f>IFERROR(__xludf.DUMMYFUNCTION("""COMPUTED_VALUE"""),"Elite")</f>
        <v>Elite</v>
      </c>
      <c r="B239" s="30" t="str">
        <f>IFERROR(__xludf.DUMMYFUNCTION("""COMPUTED_VALUE"""),"RSC002498")</f>
        <v>RSC002498</v>
      </c>
      <c r="C239" s="30" t="str">
        <f>IFERROR(__xludf.DUMMYFUNCTION("""COMPUTED_VALUE"""),"Justin")</f>
        <v>Justin</v>
      </c>
      <c r="D239" s="31" t="str">
        <f>IFERROR(__xludf.DUMMYFUNCTION("""COMPUTED_VALUE"""),"Nightshade")</f>
        <v>Nightshade</v>
      </c>
      <c r="E239" s="31">
        <f>IFERROR(__xludf.DUMMYFUNCTION("""COMPUTED_VALUE"""),71.01225999686064)</f>
        <v>71.01226</v>
      </c>
      <c r="F239" s="31">
        <f>IFERROR(__xludf.DUMMYFUNCTION("""COMPUTED_VALUE"""),4.992093995553389)</f>
        <v>4.992093996</v>
      </c>
      <c r="G239" s="31">
        <f>IFERROR(__xludf.DUMMYFUNCTION("""COMPUTED_VALUE"""),56.73601161240343)</f>
        <v>56.73601161</v>
      </c>
      <c r="H239" s="31">
        <f>IFERROR(__xludf.DUMMYFUNCTION("""COMPUTED_VALUE"""),2.5393899022241904)</f>
        <v>2.539389902</v>
      </c>
      <c r="I239" s="54">
        <f>IFERROR(__xludf.DUMMYFUNCTION("""COMPUTED_VALUE"""),40.0)</f>
        <v>40</v>
      </c>
      <c r="J239" s="55">
        <f>IFERROR(__xludf.DUMMYFUNCTION("""COMPUTED_VALUE"""),25.0)</f>
        <v>25</v>
      </c>
      <c r="K239" s="54">
        <f>IFERROR(__xludf.DUMMYFUNCTION("""COMPUTED_VALUE"""),15.0)</f>
        <v>15</v>
      </c>
      <c r="L239" s="56">
        <f>IFERROR(__xludf.DUMMYFUNCTION("""COMPUTED_VALUE"""),0.625)</f>
        <v>0.625</v>
      </c>
      <c r="M239" s="56">
        <f>IFERROR(__xludf.DUMMYFUNCTION("""COMPUTED_VALUE"""),0.34453781512605036)</f>
        <v>0.3445378151</v>
      </c>
      <c r="N239" s="31">
        <f>IFERROR(__xludf.DUMMYFUNCTION("""COMPUTED_VALUE"""),364.725)</f>
        <v>364.725</v>
      </c>
      <c r="O239" s="57">
        <f>IFERROR(__xludf.DUMMYFUNCTION("""COMPUTED_VALUE"""),1.025)</f>
        <v>1.025</v>
      </c>
      <c r="P239" s="57">
        <f>IFERROR(__xludf.DUMMYFUNCTION("""COMPUTED_VALUE"""),0.575)</f>
        <v>0.575</v>
      </c>
      <c r="Q239" s="57">
        <f>IFERROR(__xludf.DUMMYFUNCTION("""COMPUTED_VALUE"""),1.05)</f>
        <v>1.05</v>
      </c>
      <c r="R239" s="57">
        <f>IFERROR(__xludf.DUMMYFUNCTION("""COMPUTED_VALUE"""),2.975)</f>
        <v>2.975</v>
      </c>
      <c r="S239" s="31">
        <f>IFERROR(__xludf.DUMMYFUNCTION("""COMPUTED_VALUE"""),338.6166666666667)</f>
        <v>338.6166667</v>
      </c>
      <c r="T239" s="57">
        <f>IFERROR(__xludf.DUMMYFUNCTION("""COMPUTED_VALUE"""),0.6583333333333334)</f>
        <v>0.6583333333</v>
      </c>
      <c r="U239" s="57">
        <f>IFERROR(__xludf.DUMMYFUNCTION("""COMPUTED_VALUE"""),0.5166666666666666)</f>
        <v>0.5166666667</v>
      </c>
      <c r="V239" s="57">
        <f>IFERROR(__xludf.DUMMYFUNCTION("""COMPUTED_VALUE"""),1.4083333333333332)</f>
        <v>1.408333333</v>
      </c>
      <c r="W239" s="57">
        <f>IFERROR(__xludf.DUMMYFUNCTION("""COMPUTED_VALUE"""),2.6333333333333333)</f>
        <v>2.633333333</v>
      </c>
      <c r="X239" s="31">
        <f>IFERROR(__xludf.DUMMYFUNCTION("""COMPUTED_VALUE"""),344.84370930770774)</f>
        <v>344.8437093</v>
      </c>
      <c r="Y239" s="57">
        <f>IFERROR(__xludf.DUMMYFUNCTION("""COMPUTED_VALUE"""),0.7077187749571421)</f>
        <v>0.707718775</v>
      </c>
      <c r="Z239" s="57">
        <f>IFERROR(__xludf.DUMMYFUNCTION("""COMPUTED_VALUE"""),0.5525580232936436)</f>
        <v>0.5525580233</v>
      </c>
      <c r="AA239" s="57">
        <f>IFERROR(__xludf.DUMMYFUNCTION("""COMPUTED_VALUE"""),1.3541446721776222)</f>
        <v>1.354144672</v>
      </c>
      <c r="AB239" s="57">
        <f>IFERROR(__xludf.DUMMYFUNCTION("""COMPUTED_VALUE"""),2.5431089825349145)</f>
        <v>2.543108983</v>
      </c>
      <c r="AC239" s="31">
        <f>IFERROR(__xludf.DUMMYFUNCTION("""COMPUTED_VALUE"""),363.9343787864508)</f>
        <v>363.9343788</v>
      </c>
      <c r="AD239" s="57">
        <f>IFERROR(__xludf.DUMMYFUNCTION("""COMPUTED_VALUE"""),0.8167703190330894)</f>
        <v>0.816770319</v>
      </c>
      <c r="AE239" s="57">
        <f>IFERROR(__xludf.DUMMYFUNCTION("""COMPUTED_VALUE"""),0.6261926843588487)</f>
        <v>0.6261926844</v>
      </c>
      <c r="AF239" s="57">
        <f>IFERROR(__xludf.DUMMYFUNCTION("""COMPUTED_VALUE"""),1.3691089572194737)</f>
        <v>1.369108957</v>
      </c>
      <c r="AG239" s="57">
        <f>IFERROR(__xludf.DUMMYFUNCTION("""COMPUTED_VALUE"""),2.677272320461094)</f>
        <v>2.67727232</v>
      </c>
      <c r="AH239" s="57">
        <f>IFERROR(__xludf.DUMMYFUNCTION("""COMPUTED_VALUE"""),1.0021724279420525)</f>
        <v>1.002172428</v>
      </c>
      <c r="AI239" s="57">
        <f>IFERROR(__xludf.DUMMYFUNCTION("""COMPUTED_VALUE"""),1.254942761893475)</f>
        <v>1.254942762</v>
      </c>
      <c r="AJ239" s="57">
        <f>IFERROR(__xludf.DUMMYFUNCTION("""COMPUTED_VALUE"""),0.9182477125051943)</f>
        <v>0.9182477125</v>
      </c>
      <c r="AK239" s="57">
        <f>IFERROR(__xludf.DUMMYFUNCTION("""COMPUTED_VALUE"""),0.7669221609158465)</f>
        <v>0.7669221609</v>
      </c>
      <c r="AL239" s="57">
        <f>IFERROR(__xludf.DUMMYFUNCTION("""COMPUTED_VALUE"""),1.1112056017848906)</f>
        <v>1.111205602</v>
      </c>
      <c r="AM239" s="57">
        <f>IFERROR(__xludf.DUMMYFUNCTION("""COMPUTED_VALUE"""),0.9819424206590801)</f>
        <v>0.9819424207</v>
      </c>
      <c r="AN239" s="57">
        <f>IFERROR(__xludf.DUMMYFUNCTION("""COMPUTED_VALUE"""),0.9302188335659184)</f>
        <v>0.9302188336</v>
      </c>
      <c r="AO239" s="57">
        <f>IFERROR(__xludf.DUMMYFUNCTION("""COMPUTED_VALUE"""),0.9350450900829588)</f>
        <v>0.9350450901</v>
      </c>
      <c r="AP239" s="35">
        <f>IFERROR(__xludf.DUMMYFUNCTION("""COMPUTED_VALUE"""),1.040016892041948)</f>
        <v>1.040016892</v>
      </c>
      <c r="AQ239" s="57">
        <f>IFERROR(__xludf.DUMMYFUNCTION("""COMPUTED_VALUE"""),1.0354779725989114)</f>
        <v>1.035477973</v>
      </c>
      <c r="AR239" s="36" t="b">
        <f>IFERROR(__xludf.DUMMYFUNCTION("""COMPUTED_VALUE"""),TRUE)</f>
        <v>1</v>
      </c>
      <c r="AS239" s="57"/>
      <c r="AT239" s="37"/>
      <c r="AU239" s="30"/>
      <c r="AV239" s="30"/>
      <c r="AW239" s="30"/>
      <c r="AX239" s="30"/>
      <c r="AY239" s="30"/>
      <c r="AZ239" s="30"/>
    </row>
    <row r="240">
      <c r="A240" s="30" t="str">
        <f>IFERROR(__xludf.DUMMYFUNCTION("""COMPUTED_VALUE"""),"Elite")</f>
        <v>Elite</v>
      </c>
      <c r="B240" s="30" t="str">
        <f>IFERROR(__xludf.DUMMYFUNCTION("""COMPUTED_VALUE"""),"RSC007836")</f>
        <v>RSC007836</v>
      </c>
      <c r="C240" s="30" t="str">
        <f>IFERROR(__xludf.DUMMYFUNCTION("""COMPUTED_VALUE"""),"Eclipse")</f>
        <v>Eclipse</v>
      </c>
      <c r="D240" s="31" t="str">
        <f>IFERROR(__xludf.DUMMYFUNCTION("""COMPUTED_VALUE"""),"Great Whites")</f>
        <v>Great Whites</v>
      </c>
      <c r="E240" s="31">
        <f>IFERROR(__xludf.DUMMYFUNCTION("""COMPUTED_VALUE"""),70.92997223316462)</f>
        <v>70.92997223</v>
      </c>
      <c r="F240" s="31">
        <f>IFERROR(__xludf.DUMMYFUNCTION("""COMPUTED_VALUE"""),4.969181364613614)</f>
        <v>4.969181365</v>
      </c>
      <c r="G240" s="31">
        <f>IFERROR(__xludf.DUMMYFUNCTION("""COMPUTED_VALUE"""),58.49794930937685)</f>
        <v>58.49794931</v>
      </c>
      <c r="H240" s="31">
        <f>IFERROR(__xludf.DUMMYFUNCTION("""COMPUTED_VALUE"""),2.725098959109661)</f>
        <v>2.725098959</v>
      </c>
      <c r="I240" s="54">
        <f>IFERROR(__xludf.DUMMYFUNCTION("""COMPUTED_VALUE"""),44.0)</f>
        <v>44</v>
      </c>
      <c r="J240" s="55">
        <f>IFERROR(__xludf.DUMMYFUNCTION("""COMPUTED_VALUE"""),32.0)</f>
        <v>32</v>
      </c>
      <c r="K240" s="54">
        <f>IFERROR(__xludf.DUMMYFUNCTION("""COMPUTED_VALUE"""),12.0)</f>
        <v>12</v>
      </c>
      <c r="L240" s="56">
        <f>IFERROR(__xludf.DUMMYFUNCTION("""COMPUTED_VALUE"""),0.7272727272727273)</f>
        <v>0.7272727273</v>
      </c>
      <c r="M240" s="56">
        <f>IFERROR(__xludf.DUMMYFUNCTION("""COMPUTED_VALUE"""),0.3482142857142857)</f>
        <v>0.3482142857</v>
      </c>
      <c r="N240" s="31">
        <f>IFERROR(__xludf.DUMMYFUNCTION("""COMPUTED_VALUE"""),358.8181818181818)</f>
        <v>358.8181818</v>
      </c>
      <c r="O240" s="57">
        <f>IFERROR(__xludf.DUMMYFUNCTION("""COMPUTED_VALUE"""),0.8863636363636364)</f>
        <v>0.8863636364</v>
      </c>
      <c r="P240" s="57">
        <f>IFERROR(__xludf.DUMMYFUNCTION("""COMPUTED_VALUE"""),0.7272727272727273)</f>
        <v>0.7272727273</v>
      </c>
      <c r="Q240" s="57">
        <f>IFERROR(__xludf.DUMMYFUNCTION("""COMPUTED_VALUE"""),1.2045454545454546)</f>
        <v>1.204545455</v>
      </c>
      <c r="R240" s="57">
        <f>IFERROR(__xludf.DUMMYFUNCTION("""COMPUTED_VALUE"""),2.5454545454545454)</f>
        <v>2.545454545</v>
      </c>
      <c r="S240" s="31">
        <f>IFERROR(__xludf.DUMMYFUNCTION("""COMPUTED_VALUE"""),310.6363636363637)</f>
        <v>310.6363636</v>
      </c>
      <c r="T240" s="57">
        <f>IFERROR(__xludf.DUMMYFUNCTION("""COMPUTED_VALUE"""),0.5227272727272726)</f>
        <v>0.5227272727</v>
      </c>
      <c r="U240" s="57">
        <f>IFERROR(__xludf.DUMMYFUNCTION("""COMPUTED_VALUE"""),0.40151515151515155)</f>
        <v>0.4015151515</v>
      </c>
      <c r="V240" s="57">
        <f>IFERROR(__xludf.DUMMYFUNCTION("""COMPUTED_VALUE"""),1.4696969696969695)</f>
        <v>1.46969697</v>
      </c>
      <c r="W240" s="57">
        <f>IFERROR(__xludf.DUMMYFUNCTION("""COMPUTED_VALUE"""),2.0984848484848486)</f>
        <v>2.098484848</v>
      </c>
      <c r="X240" s="31">
        <f>IFERROR(__xludf.DUMMYFUNCTION("""COMPUTED_VALUE"""),357.2612314906027)</f>
        <v>357.2612315</v>
      </c>
      <c r="Y240" s="57">
        <f>IFERROR(__xludf.DUMMYFUNCTION("""COMPUTED_VALUE"""),0.7368969019386431)</f>
        <v>0.7368969019</v>
      </c>
      <c r="Z240" s="57">
        <f>IFERROR(__xludf.DUMMYFUNCTION("""COMPUTED_VALUE"""),0.5127175970144754)</f>
        <v>0.512717597</v>
      </c>
      <c r="AA240" s="57">
        <f>IFERROR(__xludf.DUMMYFUNCTION("""COMPUTED_VALUE"""),1.49640755987972)</f>
        <v>1.49640756</v>
      </c>
      <c r="AB240" s="57">
        <f>IFERROR(__xludf.DUMMYFUNCTION("""COMPUTED_VALUE"""),2.6139990947055107)</f>
        <v>2.613999095</v>
      </c>
      <c r="AC240" s="31">
        <f>IFERROR(__xludf.DUMMYFUNCTION("""COMPUTED_VALUE"""),369.39955049800346)</f>
        <v>369.3995505</v>
      </c>
      <c r="AD240" s="57">
        <f>IFERROR(__xludf.DUMMYFUNCTION("""COMPUTED_VALUE"""),0.8063346001157611)</f>
        <v>0.8063346001</v>
      </c>
      <c r="AE240" s="57">
        <f>IFERROR(__xludf.DUMMYFUNCTION("""COMPUTED_VALUE"""),0.6255945767494148)</f>
        <v>0.6255945767</v>
      </c>
      <c r="AF240" s="57">
        <f>IFERROR(__xludf.DUMMYFUNCTION("""COMPUTED_VALUE"""),1.4411253621143305)</f>
        <v>1.441125362</v>
      </c>
      <c r="AG240" s="57">
        <f>IFERROR(__xludf.DUMMYFUNCTION("""COMPUTED_VALUE"""),2.759777356184519)</f>
        <v>2.759777356</v>
      </c>
      <c r="AH240" s="57">
        <f>IFERROR(__xludf.DUMMYFUNCTION("""COMPUTED_VALUE"""),0.9713552204772409)</f>
        <v>0.9713552205</v>
      </c>
      <c r="AI240" s="57">
        <f>IFERROR(__xludf.DUMMYFUNCTION("""COMPUTED_VALUE"""),1.099250405769994)</f>
        <v>1.099250406</v>
      </c>
      <c r="AJ240" s="57">
        <f>IFERROR(__xludf.DUMMYFUNCTION("""COMPUTED_VALUE"""),1.1625304219413657)</f>
        <v>1.162530422</v>
      </c>
      <c r="AK240" s="57">
        <f>IFERROR(__xludf.DUMMYFUNCTION("""COMPUTED_VALUE"""),0.8358366913883325)</f>
        <v>0.8358366914</v>
      </c>
      <c r="AL240" s="57">
        <f>IFERROR(__xludf.DUMMYFUNCTION("""COMPUTED_VALUE"""),0.9223405430696476)</f>
        <v>0.9223405431</v>
      </c>
      <c r="AM240" s="57">
        <f>IFERROR(__xludf.DUMMYFUNCTION("""COMPUTED_VALUE"""),0.869493626107412)</f>
        <v>0.8694936261</v>
      </c>
      <c r="AN240" s="57">
        <f>IFERROR(__xludf.DUMMYFUNCTION("""COMPUTED_VALUE"""),0.7093628312889785)</f>
        <v>0.7093628313</v>
      </c>
      <c r="AO240" s="57">
        <f>IFERROR(__xludf.DUMMYFUNCTION("""COMPUTED_VALUE"""),0.7831117048705775)</f>
        <v>0.7831117049</v>
      </c>
      <c r="AP240" s="35">
        <f>IFERROR(__xludf.DUMMYFUNCTION("""COMPUTED_VALUE"""),0.9821501902964875)</f>
        <v>0.9821501903</v>
      </c>
      <c r="AQ240" s="57">
        <f>IFERROR(__xludf.DUMMYFUNCTION("""COMPUTED_VALUE"""),0.8027871366655009)</f>
        <v>0.8027871367</v>
      </c>
      <c r="AR240" s="36" t="b">
        <f>IFERROR(__xludf.DUMMYFUNCTION("""COMPUTED_VALUE"""),TRUE)</f>
        <v>1</v>
      </c>
      <c r="AS240" s="57"/>
      <c r="AT240" s="37"/>
      <c r="AU240" s="30"/>
      <c r="AV240" s="30"/>
      <c r="AW240" s="30"/>
      <c r="AX240" s="30"/>
      <c r="AY240" s="30"/>
      <c r="AZ240" s="30"/>
    </row>
    <row r="241">
      <c r="A241" s="30" t="str">
        <f>IFERROR(__xludf.DUMMYFUNCTION("""COMPUTED_VALUE"""),"Elite")</f>
        <v>Elite</v>
      </c>
      <c r="B241" s="30" t="str">
        <f>IFERROR(__xludf.DUMMYFUNCTION("""COMPUTED_VALUE"""),"RSC003125")</f>
        <v>RSC003125</v>
      </c>
      <c r="C241" s="30" t="str">
        <f>IFERROR(__xludf.DUMMYFUNCTION("""COMPUTED_VALUE"""),"GrandPlat")</f>
        <v>GrandPlat</v>
      </c>
      <c r="D241" s="31" t="str">
        <f>IFERROR(__xludf.DUMMYFUNCTION("""COMPUTED_VALUE"""),"Despair")</f>
        <v>Despair</v>
      </c>
      <c r="E241" s="31">
        <f>IFERROR(__xludf.DUMMYFUNCTION("""COMPUTED_VALUE"""),70.4558072299179)</f>
        <v>70.45580723</v>
      </c>
      <c r="F241" s="31">
        <f>IFERROR(__xludf.DUMMYFUNCTION("""COMPUTED_VALUE"""),4.839983361285574)</f>
        <v>4.839983361</v>
      </c>
      <c r="G241" s="31">
        <f>IFERROR(__xludf.DUMMYFUNCTION("""COMPUTED_VALUE"""),62.87832752466627)</f>
        <v>62.87832752</v>
      </c>
      <c r="H241" s="31">
        <f>IFERROR(__xludf.DUMMYFUNCTION("""COMPUTED_VALUE"""),3.2978266590661818)</f>
        <v>3.297826659</v>
      </c>
      <c r="I241" s="54">
        <f>IFERROR(__xludf.DUMMYFUNCTION("""COMPUTED_VALUE"""),43.0)</f>
        <v>43</v>
      </c>
      <c r="J241" s="55">
        <f>IFERROR(__xludf.DUMMYFUNCTION("""COMPUTED_VALUE"""),26.0)</f>
        <v>26</v>
      </c>
      <c r="K241" s="54">
        <f>IFERROR(__xludf.DUMMYFUNCTION("""COMPUTED_VALUE"""),17.0)</f>
        <v>17</v>
      </c>
      <c r="L241" s="56">
        <f>IFERROR(__xludf.DUMMYFUNCTION("""COMPUTED_VALUE"""),0.6046511627906976)</f>
        <v>0.6046511628</v>
      </c>
      <c r="M241" s="56">
        <f>IFERROR(__xludf.DUMMYFUNCTION("""COMPUTED_VALUE"""),0.3050847457627119)</f>
        <v>0.3050847458</v>
      </c>
      <c r="N241" s="31">
        <f>IFERROR(__xludf.DUMMYFUNCTION("""COMPUTED_VALUE"""),394.25581395348837)</f>
        <v>394.255814</v>
      </c>
      <c r="O241" s="57">
        <f>IFERROR(__xludf.DUMMYFUNCTION("""COMPUTED_VALUE"""),0.8372093023255814)</f>
        <v>0.8372093023</v>
      </c>
      <c r="P241" s="57">
        <f>IFERROR(__xludf.DUMMYFUNCTION("""COMPUTED_VALUE"""),0.7674418604651163)</f>
        <v>0.7674418605</v>
      </c>
      <c r="Q241" s="57">
        <f>IFERROR(__xludf.DUMMYFUNCTION("""COMPUTED_VALUE"""),1.558139534883721)</f>
        <v>1.558139535</v>
      </c>
      <c r="R241" s="57">
        <f>IFERROR(__xludf.DUMMYFUNCTION("""COMPUTED_VALUE"""),2.744186046511628)</f>
        <v>2.744186047</v>
      </c>
      <c r="S241" s="31">
        <f>IFERROR(__xludf.DUMMYFUNCTION("""COMPUTED_VALUE"""),352.9534883720931)</f>
        <v>352.9534884</v>
      </c>
      <c r="T241" s="57">
        <f>IFERROR(__xludf.DUMMYFUNCTION("""COMPUTED_VALUE"""),0.6356589147286821)</f>
        <v>0.6356589147</v>
      </c>
      <c r="U241" s="57">
        <f>IFERROR(__xludf.DUMMYFUNCTION("""COMPUTED_VALUE"""),0.4961240310077521)</f>
        <v>0.496124031</v>
      </c>
      <c r="V241" s="57">
        <f>IFERROR(__xludf.DUMMYFUNCTION("""COMPUTED_VALUE"""),1.5736434108527129)</f>
        <v>1.573643411</v>
      </c>
      <c r="W241" s="57">
        <f>IFERROR(__xludf.DUMMYFUNCTION("""COMPUTED_VALUE"""),2.5271317829457365)</f>
        <v>2.527131783</v>
      </c>
      <c r="X241" s="31">
        <f>IFERROR(__xludf.DUMMYFUNCTION("""COMPUTED_VALUE"""),357.81931121650166)</f>
        <v>357.8193112</v>
      </c>
      <c r="Y241" s="57">
        <f>IFERROR(__xludf.DUMMYFUNCTION("""COMPUTED_VALUE"""),0.7174329057706658)</f>
        <v>0.7174329058</v>
      </c>
      <c r="Z241" s="57">
        <f>IFERROR(__xludf.DUMMYFUNCTION("""COMPUTED_VALUE"""),0.5936120144854805)</f>
        <v>0.5936120145</v>
      </c>
      <c r="AA241" s="57">
        <f>IFERROR(__xludf.DUMMYFUNCTION("""COMPUTED_VALUE"""),1.5173212905870799)</f>
        <v>1.517321291</v>
      </c>
      <c r="AB241" s="57">
        <f>IFERROR(__xludf.DUMMYFUNCTION("""COMPUTED_VALUE"""),2.5755707684743805)</f>
        <v>2.575570768</v>
      </c>
      <c r="AC241" s="31">
        <f>IFERROR(__xludf.DUMMYFUNCTION("""COMPUTED_VALUE"""),367.01504151263833)</f>
        <v>367.0150415</v>
      </c>
      <c r="AD241" s="57">
        <f>IFERROR(__xludf.DUMMYFUNCTION("""COMPUTED_VALUE"""),0.8147413002533888)</f>
        <v>0.8147413003</v>
      </c>
      <c r="AE241" s="57">
        <f>IFERROR(__xludf.DUMMYFUNCTION("""COMPUTED_VALUE"""),0.6080285676921071)</f>
        <v>0.6080285677</v>
      </c>
      <c r="AF241" s="57">
        <f>IFERROR(__xludf.DUMMYFUNCTION("""COMPUTED_VALUE"""),1.399207470901182)</f>
        <v>1.399207471</v>
      </c>
      <c r="AG241" s="57">
        <f>IFERROR(__xludf.DUMMYFUNCTION("""COMPUTED_VALUE"""),2.7620032639903545)</f>
        <v>2.762003264</v>
      </c>
      <c r="AH241" s="57">
        <f>IFERROR(__xludf.DUMMYFUNCTION("""COMPUTED_VALUE"""),1.0742224959734028)</f>
        <v>1.074222496</v>
      </c>
      <c r="AI241" s="57">
        <f>IFERROR(__xludf.DUMMYFUNCTION("""COMPUTED_VALUE"""),1.0275768542299317)</f>
        <v>1.027576854</v>
      </c>
      <c r="AJ241" s="57">
        <f>IFERROR(__xludf.DUMMYFUNCTION("""COMPUTED_VALUE"""),1.2621805968395432)</f>
        <v>1.262180597</v>
      </c>
      <c r="AK241" s="57">
        <f>IFERROR(__xludf.DUMMYFUNCTION("""COMPUTED_VALUE"""),1.1135872036762184)</f>
        <v>1.113587204</v>
      </c>
      <c r="AL241" s="57">
        <f>IFERROR(__xludf.DUMMYFUNCTION("""COMPUTED_VALUE"""),0.9935491685650706)</f>
        <v>0.9935491686</v>
      </c>
      <c r="AM241" s="57">
        <f>IFERROR(__xludf.DUMMYFUNCTION("""COMPUTED_VALUE"""),0.9864014526553474)</f>
        <v>0.9864014527</v>
      </c>
      <c r="AN241" s="57">
        <f>IFERROR(__xludf.DUMMYFUNCTION("""COMPUTED_VALUE"""),0.886018622251314)</f>
        <v>0.8860186223</v>
      </c>
      <c r="AO241" s="57">
        <f>IFERROR(__xludf.DUMMYFUNCTION("""COMPUTED_VALUE"""),0.8357715458939503)</f>
        <v>0.8357715459</v>
      </c>
      <c r="AP241" s="35">
        <f>IFERROR(__xludf.DUMMYFUNCTION("""COMPUTED_VALUE"""),1.0371194424114625)</f>
        <v>1.037119442</v>
      </c>
      <c r="AQ241" s="57">
        <f>IFERROR(__xludf.DUMMYFUNCTION("""COMPUTED_VALUE"""),0.9811929122190898)</f>
        <v>0.9811929122</v>
      </c>
      <c r="AR241" s="36" t="b">
        <f>IFERROR(__xludf.DUMMYFUNCTION("""COMPUTED_VALUE"""),TRUE)</f>
        <v>1</v>
      </c>
      <c r="AS241" s="57"/>
      <c r="AT241" s="37"/>
      <c r="AU241" s="30"/>
      <c r="AV241" s="30"/>
      <c r="AW241" s="30"/>
      <c r="AX241" s="30"/>
      <c r="AY241" s="30"/>
      <c r="AZ241" s="30"/>
    </row>
    <row r="242">
      <c r="A242" s="30" t="str">
        <f>IFERROR(__xludf.DUMMYFUNCTION("""COMPUTED_VALUE"""),"Elite")</f>
        <v>Elite</v>
      </c>
      <c r="B242" s="30" t="str">
        <f>IFERROR(__xludf.DUMMYFUNCTION("""COMPUTED_VALUE"""),"RSC002097")</f>
        <v>RSC002097</v>
      </c>
      <c r="C242" s="30" t="str">
        <f>IFERROR(__xludf.DUMMYFUNCTION("""COMPUTED_VALUE"""),"NoobZ")</f>
        <v>NoobZ</v>
      </c>
      <c r="D242" s="31" t="str">
        <f>IFERROR(__xludf.DUMMYFUNCTION("""COMPUTED_VALUE"""),"Thrashers")</f>
        <v>Thrashers</v>
      </c>
      <c r="E242" s="31">
        <f>IFERROR(__xludf.DUMMYFUNCTION("""COMPUTED_VALUE"""),70.29557293420862)</f>
        <v>70.29557293</v>
      </c>
      <c r="F242" s="31">
        <f>IFERROR(__xludf.DUMMYFUNCTION("""COMPUTED_VALUE"""),4.797391179453268)</f>
        <v>4.797391179</v>
      </c>
      <c r="G242" s="31">
        <f>IFERROR(__xludf.DUMMYFUNCTION("""COMPUTED_VALUE"""),51.96350442016007)</f>
        <v>51.96350442</v>
      </c>
      <c r="H242" s="31">
        <f>IFERROR(__xludf.DUMMYFUNCTION("""COMPUTED_VALUE"""),2.133564617566202)</f>
        <v>2.133564618</v>
      </c>
      <c r="I242" s="54">
        <f>IFERROR(__xludf.DUMMYFUNCTION("""COMPUTED_VALUE"""),48.0)</f>
        <v>48</v>
      </c>
      <c r="J242" s="55">
        <f>IFERROR(__xludf.DUMMYFUNCTION("""COMPUTED_VALUE"""),29.0)</f>
        <v>29</v>
      </c>
      <c r="K242" s="54">
        <f>IFERROR(__xludf.DUMMYFUNCTION("""COMPUTED_VALUE"""),19.0)</f>
        <v>19</v>
      </c>
      <c r="L242" s="56">
        <f>IFERROR(__xludf.DUMMYFUNCTION("""COMPUTED_VALUE"""),0.6041666666666666)</f>
        <v>0.6041666667</v>
      </c>
      <c r="M242" s="56">
        <f>IFERROR(__xludf.DUMMYFUNCTION("""COMPUTED_VALUE"""),0.3157894736842105)</f>
        <v>0.3157894737</v>
      </c>
      <c r="N242" s="31">
        <f>IFERROR(__xludf.DUMMYFUNCTION("""COMPUTED_VALUE"""),358.375)</f>
        <v>358.375</v>
      </c>
      <c r="O242" s="57">
        <f>IFERROR(__xludf.DUMMYFUNCTION("""COMPUTED_VALUE"""),0.875)</f>
        <v>0.875</v>
      </c>
      <c r="P242" s="57">
        <f>IFERROR(__xludf.DUMMYFUNCTION("""COMPUTED_VALUE"""),0.7291666666666666)</f>
        <v>0.7291666667</v>
      </c>
      <c r="Q242" s="57">
        <f>IFERROR(__xludf.DUMMYFUNCTION("""COMPUTED_VALUE"""),0.9791666666666666)</f>
        <v>0.9791666667</v>
      </c>
      <c r="R242" s="57">
        <f>IFERROR(__xludf.DUMMYFUNCTION("""COMPUTED_VALUE"""),2.7708333333333335)</f>
        <v>2.770833333</v>
      </c>
      <c r="S242" s="31">
        <f>IFERROR(__xludf.DUMMYFUNCTION("""COMPUTED_VALUE"""),367.125)</f>
        <v>367.125</v>
      </c>
      <c r="T242" s="57">
        <f>IFERROR(__xludf.DUMMYFUNCTION("""COMPUTED_VALUE"""),0.8263888888888887)</f>
        <v>0.8263888889</v>
      </c>
      <c r="U242" s="57">
        <f>IFERROR(__xludf.DUMMYFUNCTION("""COMPUTED_VALUE"""),0.5902777777777778)</f>
        <v>0.5902777778</v>
      </c>
      <c r="V242" s="57">
        <f>IFERROR(__xludf.DUMMYFUNCTION("""COMPUTED_VALUE"""),1.5416666666666667)</f>
        <v>1.541666667</v>
      </c>
      <c r="W242" s="57">
        <f>IFERROR(__xludf.DUMMYFUNCTION("""COMPUTED_VALUE"""),2.4375)</f>
        <v>2.4375</v>
      </c>
      <c r="X242" s="31">
        <f>IFERROR(__xludf.DUMMYFUNCTION("""COMPUTED_VALUE"""),362.3278976752108)</f>
        <v>362.3278977</v>
      </c>
      <c r="Y242" s="57">
        <f>IFERROR(__xludf.DUMMYFUNCTION("""COMPUTED_VALUE"""),0.7869802994226914)</f>
        <v>0.7869802994</v>
      </c>
      <c r="Z242" s="57">
        <f>IFERROR(__xludf.DUMMYFUNCTION("""COMPUTED_VALUE"""),0.6088331276841656)</f>
        <v>0.6088331277</v>
      </c>
      <c r="AA242" s="57">
        <f>IFERROR(__xludf.DUMMYFUNCTION("""COMPUTED_VALUE"""),1.417037600169829)</f>
        <v>1.4170376</v>
      </c>
      <c r="AB242" s="57">
        <f>IFERROR(__xludf.DUMMYFUNCTION("""COMPUTED_VALUE"""),2.6432379253337057)</f>
        <v>2.643237925</v>
      </c>
      <c r="AC242" s="31">
        <f>IFERROR(__xludf.DUMMYFUNCTION("""COMPUTED_VALUE"""),353.04330751900625)</f>
        <v>353.0433075</v>
      </c>
      <c r="AD242" s="57">
        <f>IFERROR(__xludf.DUMMYFUNCTION("""COMPUTED_VALUE"""),0.7337792155586792)</f>
        <v>0.7337792156</v>
      </c>
      <c r="AE242" s="57">
        <f>IFERROR(__xludf.DUMMYFUNCTION("""COMPUTED_VALUE"""),0.5472720194130678)</f>
        <v>0.5472720194</v>
      </c>
      <c r="AF242" s="57">
        <f>IFERROR(__xludf.DUMMYFUNCTION("""COMPUTED_VALUE"""),1.4115004691492892)</f>
        <v>1.411500469</v>
      </c>
      <c r="AG242" s="57">
        <f>IFERROR(__xludf.DUMMYFUNCTION("""COMPUTED_VALUE"""),2.60754731959178)</f>
        <v>2.60754732</v>
      </c>
      <c r="AH242" s="57">
        <f>IFERROR(__xludf.DUMMYFUNCTION("""COMPUTED_VALUE"""),1.0151020919174534)</f>
        <v>1.015102092</v>
      </c>
      <c r="AI242" s="57">
        <f>IFERROR(__xludf.DUMMYFUNCTION("""COMPUTED_VALUE"""),1.1924567791604717)</f>
        <v>1.192456779</v>
      </c>
      <c r="AJ242" s="57">
        <f>IFERROR(__xludf.DUMMYFUNCTION("""COMPUTED_VALUE"""),1.332366064409204)</f>
        <v>1.332366064</v>
      </c>
      <c r="AK242" s="57">
        <f>IFERROR(__xludf.DUMMYFUNCTION("""COMPUTED_VALUE"""),0.6937062282783442)</f>
        <v>0.6937062283</v>
      </c>
      <c r="AL242" s="57">
        <f>IFERROR(__xludf.DUMMYFUNCTION("""COMPUTED_VALUE"""),1.0626205371287822)</f>
        <v>1.062620537</v>
      </c>
      <c r="AM242" s="57">
        <f>IFERROR(__xludf.DUMMYFUNCTION("""COMPUTED_VALUE"""),1.0132396714566243)</f>
        <v>1.013239671</v>
      </c>
      <c r="AN242" s="57">
        <f>IFERROR(__xludf.DUMMYFUNCTION("""COMPUTED_VALUE"""),1.0500757001097822)</f>
        <v>1.0500757</v>
      </c>
      <c r="AO242" s="57">
        <f>IFERROR(__xludf.DUMMYFUNCTION("""COMPUTED_VALUE"""),0.9695230941572327)</f>
        <v>0.9695230942</v>
      </c>
      <c r="AP242" s="35">
        <f>IFERROR(__xludf.DUMMYFUNCTION("""COMPUTED_VALUE"""),1.0879504301663563)</f>
        <v>1.08795043</v>
      </c>
      <c r="AQ242" s="57">
        <f>IFERROR(__xludf.DUMMYFUNCTION("""COMPUTED_VALUE"""),0.9221644319787324)</f>
        <v>0.922164432</v>
      </c>
      <c r="AR242" s="36" t="b">
        <f>IFERROR(__xludf.DUMMYFUNCTION("""COMPUTED_VALUE"""),TRUE)</f>
        <v>1</v>
      </c>
      <c r="AS242" s="57"/>
      <c r="AT242" s="37"/>
      <c r="AU242" s="30"/>
      <c r="AV242" s="30"/>
      <c r="AW242" s="30"/>
      <c r="AX242" s="30"/>
      <c r="AY242" s="30"/>
      <c r="AZ242" s="30"/>
    </row>
    <row r="243">
      <c r="A243" s="30" t="str">
        <f>IFERROR(__xludf.DUMMYFUNCTION("""COMPUTED_VALUE"""),"Elite")</f>
        <v>Elite</v>
      </c>
      <c r="B243" s="30" t="str">
        <f>IFERROR(__xludf.DUMMYFUNCTION("""COMPUTED_VALUE"""),"RSC007964")</f>
        <v>RSC007964</v>
      </c>
      <c r="C243" s="30" t="str">
        <f>IFERROR(__xludf.DUMMYFUNCTION("""COMPUTED_VALUE"""),"Buxter")</f>
        <v>Buxter</v>
      </c>
      <c r="D243" s="31" t="str">
        <f>IFERROR(__xludf.DUMMYFUNCTION("""COMPUTED_VALUE"""),"Afterburners")</f>
        <v>Afterburners</v>
      </c>
      <c r="E243" s="31">
        <f>IFERROR(__xludf.DUMMYFUNCTION("""COMPUTED_VALUE"""),69.4458721236595)</f>
        <v>69.44587212</v>
      </c>
      <c r="F243" s="31">
        <f>IFERROR(__xludf.DUMMYFUNCTION("""COMPUTED_VALUE"""),4.5801558948017504)</f>
        <v>4.580155895</v>
      </c>
      <c r="G243" s="31">
        <f>IFERROR(__xludf.DUMMYFUNCTION("""COMPUTED_VALUE"""),44.125562614145764)</f>
        <v>44.12556261</v>
      </c>
      <c r="H243" s="31">
        <f>IFERROR(__xludf.DUMMYFUNCTION("""COMPUTED_VALUE"""),-2.4563198768382937)</f>
        <v>-2.456319877</v>
      </c>
      <c r="I243" s="54">
        <f>IFERROR(__xludf.DUMMYFUNCTION("""COMPUTED_VALUE"""),37.0)</f>
        <v>37</v>
      </c>
      <c r="J243" s="55">
        <f>IFERROR(__xludf.DUMMYFUNCTION("""COMPUTED_VALUE"""),23.0)</f>
        <v>23</v>
      </c>
      <c r="K243" s="54">
        <f>IFERROR(__xludf.DUMMYFUNCTION("""COMPUTED_VALUE"""),14.0)</f>
        <v>14</v>
      </c>
      <c r="L243" s="56">
        <f>IFERROR(__xludf.DUMMYFUNCTION("""COMPUTED_VALUE"""),0.6216216216216216)</f>
        <v>0.6216216216</v>
      </c>
      <c r="M243" s="56">
        <f>IFERROR(__xludf.DUMMYFUNCTION("""COMPUTED_VALUE"""),0.2956521739130435)</f>
        <v>0.2956521739</v>
      </c>
      <c r="N243" s="31">
        <f>IFERROR(__xludf.DUMMYFUNCTION("""COMPUTED_VALUE"""),327.94594594594594)</f>
        <v>327.9459459</v>
      </c>
      <c r="O243" s="57">
        <f>IFERROR(__xludf.DUMMYFUNCTION("""COMPUTED_VALUE"""),0.918918918918919)</f>
        <v>0.9189189189</v>
      </c>
      <c r="P243" s="57">
        <f>IFERROR(__xludf.DUMMYFUNCTION("""COMPUTED_VALUE"""),0.7027027027027027)</f>
        <v>0.7027027027</v>
      </c>
      <c r="Q243" s="57">
        <f>IFERROR(__xludf.DUMMYFUNCTION("""COMPUTED_VALUE"""),0.9459459459459459)</f>
        <v>0.9459459459</v>
      </c>
      <c r="R243" s="57">
        <f>IFERROR(__xludf.DUMMYFUNCTION("""COMPUTED_VALUE"""),3.108108108108108)</f>
        <v>3.108108108</v>
      </c>
      <c r="S243" s="31">
        <f>IFERROR(__xludf.DUMMYFUNCTION("""COMPUTED_VALUE"""),353.14414414414404)</f>
        <v>353.1441441</v>
      </c>
      <c r="T243" s="57">
        <f>IFERROR(__xludf.DUMMYFUNCTION("""COMPUTED_VALUE"""),0.6936936936936936)</f>
        <v>0.6936936937</v>
      </c>
      <c r="U243" s="57">
        <f>IFERROR(__xludf.DUMMYFUNCTION("""COMPUTED_VALUE"""),0.5135135135135134)</f>
        <v>0.5135135135</v>
      </c>
      <c r="V243" s="57">
        <f>IFERROR(__xludf.DUMMYFUNCTION("""COMPUTED_VALUE"""),1.5945945945945943)</f>
        <v>1.594594595</v>
      </c>
      <c r="W243" s="57">
        <f>IFERROR(__xludf.DUMMYFUNCTION("""COMPUTED_VALUE"""),2.3873873873873874)</f>
        <v>2.387387387</v>
      </c>
      <c r="X243" s="31">
        <f>IFERROR(__xludf.DUMMYFUNCTION("""COMPUTED_VALUE"""),355.347256537287)</f>
        <v>355.3472565</v>
      </c>
      <c r="Y243" s="57">
        <f>IFERROR(__xludf.DUMMYFUNCTION("""COMPUTED_VALUE"""),0.7480545158035635)</f>
        <v>0.7480545158</v>
      </c>
      <c r="Z243" s="57">
        <f>IFERROR(__xludf.DUMMYFUNCTION("""COMPUTED_VALUE"""),0.5455826532786688)</f>
        <v>0.5455826533</v>
      </c>
      <c r="AA243" s="57">
        <f>IFERROR(__xludf.DUMMYFUNCTION("""COMPUTED_VALUE"""),1.4468179053651309)</f>
        <v>1.446817905</v>
      </c>
      <c r="AB243" s="57">
        <f>IFERROR(__xludf.DUMMYFUNCTION("""COMPUTED_VALUE"""),2.5306899549634188)</f>
        <v>2.530689955</v>
      </c>
      <c r="AC243" s="31">
        <f>IFERROR(__xludf.DUMMYFUNCTION("""COMPUTED_VALUE"""),368.2128816847769)</f>
        <v>368.2128817</v>
      </c>
      <c r="AD243" s="57">
        <f>IFERROR(__xludf.DUMMYFUNCTION("""COMPUTED_VALUE"""),0.8407705784720703)</f>
        <v>0.8407705785</v>
      </c>
      <c r="AE243" s="57">
        <f>IFERROR(__xludf.DUMMYFUNCTION("""COMPUTED_VALUE"""),0.6408229926857277)</f>
        <v>0.6408229927</v>
      </c>
      <c r="AF243" s="57">
        <f>IFERROR(__xludf.DUMMYFUNCTION("""COMPUTED_VALUE"""),1.3593439481305434)</f>
        <v>1.359343948</v>
      </c>
      <c r="AG243" s="57">
        <f>IFERROR(__xludf.DUMMYFUNCTION("""COMPUTED_VALUE"""),2.7856151671470655)</f>
        <v>2.785615167</v>
      </c>
      <c r="AH243" s="57">
        <f>IFERROR(__xludf.DUMMYFUNCTION("""COMPUTED_VALUE"""),0.8906422405577242)</f>
        <v>0.8906422406</v>
      </c>
      <c r="AI243" s="57">
        <f>IFERROR(__xludf.DUMMYFUNCTION("""COMPUTED_VALUE"""),1.0929484718517)</f>
        <v>1.092948472</v>
      </c>
      <c r="AJ243" s="57">
        <f>IFERROR(__xludf.DUMMYFUNCTION("""COMPUTED_VALUE"""),1.096562874184076)</f>
        <v>1.096562874</v>
      </c>
      <c r="AK243" s="57">
        <f>IFERROR(__xludf.DUMMYFUNCTION("""COMPUTED_VALUE"""),0.6958841779866466)</f>
        <v>0.695884178</v>
      </c>
      <c r="AL243" s="57">
        <f>IFERROR(__xludf.DUMMYFUNCTION("""COMPUTED_VALUE"""),1.1157708159994437)</f>
        <v>1.115770816</v>
      </c>
      <c r="AM243" s="57">
        <f>IFERROR(__xludf.DUMMYFUNCTION("""COMPUTED_VALUE"""),0.9938001142470849)</f>
        <v>0.9938001142</v>
      </c>
      <c r="AN243" s="57">
        <f>IFERROR(__xludf.DUMMYFUNCTION("""COMPUTED_VALUE"""),0.9273304004435088)</f>
        <v>0.9273304004</v>
      </c>
      <c r="AO243" s="57">
        <f>IFERROR(__xludf.DUMMYFUNCTION("""COMPUTED_VALUE"""),0.9412203823335721)</f>
        <v>0.9412203823</v>
      </c>
      <c r="AP243" s="35">
        <f>IFERROR(__xludf.DUMMYFUNCTION("""COMPUTED_VALUE"""),1.1021391072653122)</f>
        <v>1.102139107</v>
      </c>
      <c r="AQ243" s="57">
        <f>IFERROR(__xludf.DUMMYFUNCTION("""COMPUTED_VALUE"""),0.9433741113584565)</f>
        <v>0.9433741114</v>
      </c>
      <c r="AR243" s="36" t="b">
        <f>IFERROR(__xludf.DUMMYFUNCTION("""COMPUTED_VALUE"""),TRUE)</f>
        <v>1</v>
      </c>
      <c r="AS243" s="57"/>
      <c r="AT243" s="37"/>
      <c r="AU243" s="30"/>
      <c r="AV243" s="30"/>
      <c r="AW243" s="30"/>
      <c r="AX243" s="30"/>
      <c r="AY243" s="30"/>
      <c r="AZ243" s="30"/>
    </row>
    <row r="244">
      <c r="A244" s="30" t="str">
        <f>IFERROR(__xludf.DUMMYFUNCTION("""COMPUTED_VALUE"""),"Elite")</f>
        <v>Elite</v>
      </c>
      <c r="B244" s="30" t="str">
        <f>IFERROR(__xludf.DUMMYFUNCTION("""COMPUTED_VALUE"""),"RSC005298")</f>
        <v>RSC005298</v>
      </c>
      <c r="C244" s="30" t="str">
        <f>IFERROR(__xludf.DUMMYFUNCTION("""COMPUTED_VALUE"""),"Kaisaroh")</f>
        <v>Kaisaroh</v>
      </c>
      <c r="D244" s="31" t="str">
        <f>IFERROR(__xludf.DUMMYFUNCTION("""COMPUTED_VALUE"""),"Nightshade")</f>
        <v>Nightshade</v>
      </c>
      <c r="E244" s="31">
        <f>IFERROR(__xludf.DUMMYFUNCTION("""COMPUTED_VALUE"""),68.19875196817833)</f>
        <v>68.19875197</v>
      </c>
      <c r="F244" s="31">
        <f>IFERROR(__xludf.DUMMYFUNCTION("""COMPUTED_VALUE"""),4.285921118243429)</f>
        <v>4.285921118</v>
      </c>
      <c r="G244" s="31">
        <f>IFERROR(__xludf.DUMMYFUNCTION("""COMPUTED_VALUE"""),65.47220504901372)</f>
        <v>65.47220505</v>
      </c>
      <c r="H244" s="31">
        <f>IFERROR(__xludf.DUMMYFUNCTION("""COMPUTED_VALUE"""),3.7314128209028876)</f>
        <v>3.731412821</v>
      </c>
      <c r="I244" s="54">
        <f>IFERROR(__xludf.DUMMYFUNCTION("""COMPUTED_VALUE"""),48.0)</f>
        <v>48</v>
      </c>
      <c r="J244" s="55">
        <f>IFERROR(__xludf.DUMMYFUNCTION("""COMPUTED_VALUE"""),27.0)</f>
        <v>27</v>
      </c>
      <c r="K244" s="54">
        <f>IFERROR(__xludf.DUMMYFUNCTION("""COMPUTED_VALUE"""),21.0)</f>
        <v>21</v>
      </c>
      <c r="L244" s="56">
        <f>IFERROR(__xludf.DUMMYFUNCTION("""COMPUTED_VALUE"""),0.5625)</f>
        <v>0.5625</v>
      </c>
      <c r="M244" s="56">
        <f>IFERROR(__xludf.DUMMYFUNCTION("""COMPUTED_VALUE"""),0.30714285714285716)</f>
        <v>0.3071428571</v>
      </c>
      <c r="N244" s="31">
        <f>IFERROR(__xludf.DUMMYFUNCTION("""COMPUTED_VALUE"""),384.5625)</f>
        <v>384.5625</v>
      </c>
      <c r="O244" s="57">
        <f>IFERROR(__xludf.DUMMYFUNCTION("""COMPUTED_VALUE"""),0.8958333333333334)</f>
        <v>0.8958333333</v>
      </c>
      <c r="P244" s="57">
        <f>IFERROR(__xludf.DUMMYFUNCTION("""COMPUTED_VALUE"""),0.6458333333333334)</f>
        <v>0.6458333333</v>
      </c>
      <c r="Q244" s="57">
        <f>IFERROR(__xludf.DUMMYFUNCTION("""COMPUTED_VALUE"""),1.3958333333333333)</f>
        <v>1.395833333</v>
      </c>
      <c r="R244" s="57">
        <f>IFERROR(__xludf.DUMMYFUNCTION("""COMPUTED_VALUE"""),2.9166666666666665)</f>
        <v>2.916666667</v>
      </c>
      <c r="S244" s="31">
        <f>IFERROR(__xludf.DUMMYFUNCTION("""COMPUTED_VALUE"""),344.29861111111114)</f>
        <v>344.2986111</v>
      </c>
      <c r="T244" s="57">
        <f>IFERROR(__xludf.DUMMYFUNCTION("""COMPUTED_VALUE"""),0.7152777777777777)</f>
        <v>0.7152777778</v>
      </c>
      <c r="U244" s="57">
        <f>IFERROR(__xludf.DUMMYFUNCTION("""COMPUTED_VALUE"""),0.5416666666666666)</f>
        <v>0.5416666667</v>
      </c>
      <c r="V244" s="57">
        <f>IFERROR(__xludf.DUMMYFUNCTION("""COMPUTED_VALUE"""),1.375)</f>
        <v>1.375</v>
      </c>
      <c r="W244" s="57">
        <f>IFERROR(__xludf.DUMMYFUNCTION("""COMPUTED_VALUE"""),2.604166666666667)</f>
        <v>2.604166667</v>
      </c>
      <c r="X244" s="31">
        <f>IFERROR(__xludf.DUMMYFUNCTION("""COMPUTED_VALUE"""),347.6425196387624)</f>
        <v>347.6425196</v>
      </c>
      <c r="Y244" s="57">
        <f>IFERROR(__xludf.DUMMYFUNCTION("""COMPUTED_VALUE"""),0.7236245780219669)</f>
        <v>0.723624578</v>
      </c>
      <c r="Z244" s="57">
        <f>IFERROR(__xludf.DUMMYFUNCTION("""COMPUTED_VALUE"""),0.5541511982233697)</f>
        <v>0.5541511982</v>
      </c>
      <c r="AA244" s="57">
        <f>IFERROR(__xludf.DUMMYFUNCTION("""COMPUTED_VALUE"""),1.3580558040750617)</f>
        <v>1.358055804</v>
      </c>
      <c r="AB244" s="57">
        <f>IFERROR(__xludf.DUMMYFUNCTION("""COMPUTED_VALUE"""),2.564262898044588)</f>
        <v>2.564262898</v>
      </c>
      <c r="AC244" s="31">
        <f>IFERROR(__xludf.DUMMYFUNCTION("""COMPUTED_VALUE"""),362.50986895667535)</f>
        <v>362.509869</v>
      </c>
      <c r="AD244" s="57">
        <f>IFERROR(__xludf.DUMMYFUNCTION("""COMPUTED_VALUE"""),0.8062176500398781)</f>
        <v>0.80621765</v>
      </c>
      <c r="AE244" s="57">
        <f>IFERROR(__xludf.DUMMYFUNCTION("""COMPUTED_VALUE"""),0.6149588411385546)</f>
        <v>0.6149588411</v>
      </c>
      <c r="AF244" s="57">
        <f>IFERROR(__xludf.DUMMYFUNCTION("""COMPUTED_VALUE"""),1.3780584199243935)</f>
        <v>1.37805842</v>
      </c>
      <c r="AG244" s="57">
        <f>IFERROR(__xludf.DUMMYFUNCTION("""COMPUTED_VALUE"""),2.6650514633231492)</f>
        <v>2.665051463</v>
      </c>
      <c r="AH244" s="57">
        <f>IFERROR(__xludf.DUMMYFUNCTION("""COMPUTED_VALUE"""),1.0608331880916606)</f>
        <v>1.060833188</v>
      </c>
      <c r="AI244" s="57">
        <f>IFERROR(__xludf.DUMMYFUNCTION("""COMPUTED_VALUE"""),1.1111556951017167)</f>
        <v>1.111155695</v>
      </c>
      <c r="AJ244" s="57">
        <f>IFERROR(__xludf.DUMMYFUNCTION("""COMPUTED_VALUE"""),1.0502057863541188)</f>
        <v>1.050205786</v>
      </c>
      <c r="AK244" s="57">
        <f>IFERROR(__xludf.DUMMYFUNCTION("""COMPUTED_VALUE"""),1.0128985195053741)</f>
        <v>1.01289852</v>
      </c>
      <c r="AL244" s="57">
        <f>IFERROR(__xludf.DUMMYFUNCTION("""COMPUTED_VALUE"""),1.094412887258008)</f>
        <v>1.094412887</v>
      </c>
      <c r="AM244" s="57">
        <f>IFERROR(__xludf.DUMMYFUNCTION("""COMPUTED_VALUE"""),0.990381186596145)</f>
        <v>0.9903811866</v>
      </c>
      <c r="AN244" s="57">
        <f>IFERROR(__xludf.DUMMYFUNCTION("""COMPUTED_VALUE"""),0.9884652891876541)</f>
        <v>0.9884652892</v>
      </c>
      <c r="AO244" s="57">
        <f>IFERROR(__xludf.DUMMYFUNCTION("""COMPUTED_VALUE"""),0.9774708931484243)</f>
        <v>0.9774708931</v>
      </c>
      <c r="AP244" s="35">
        <f>IFERROR(__xludf.DUMMYFUNCTION("""COMPUTED_VALUE"""),1.0124768038795569)</f>
        <v>1.012476804</v>
      </c>
      <c r="AQ244" s="57">
        <f>IFERROR(__xludf.DUMMYFUNCTION("""COMPUTED_VALUE"""),1.0155614966985282)</f>
        <v>1.015561497</v>
      </c>
      <c r="AR244" s="36" t="b">
        <f>IFERROR(__xludf.DUMMYFUNCTION("""COMPUTED_VALUE"""),TRUE)</f>
        <v>1</v>
      </c>
      <c r="AS244" s="57"/>
      <c r="AT244" s="37"/>
      <c r="AU244" s="30"/>
      <c r="AV244" s="30"/>
      <c r="AW244" s="30"/>
      <c r="AX244" s="30"/>
      <c r="AY244" s="30"/>
      <c r="AZ244" s="30"/>
    </row>
    <row r="245">
      <c r="A245" s="30" t="str">
        <f>IFERROR(__xludf.DUMMYFUNCTION("""COMPUTED_VALUE"""),"Elite")</f>
        <v>Elite</v>
      </c>
      <c r="B245" s="30" t="str">
        <f>IFERROR(__xludf.DUMMYFUNCTION("""COMPUTED_VALUE"""),"RSC001055")</f>
        <v>RSC001055</v>
      </c>
      <c r="C245" s="30" t="str">
        <f>IFERROR(__xludf.DUMMYFUNCTION("""COMPUTED_VALUE"""),"Scotti")</f>
        <v>Scotti</v>
      </c>
      <c r="D245" s="31" t="str">
        <f>IFERROR(__xludf.DUMMYFUNCTION("""COMPUTED_VALUE"""),"Menthol")</f>
        <v>Menthol</v>
      </c>
      <c r="E245" s="31">
        <f>IFERROR(__xludf.DUMMYFUNCTION("""COMPUTED_VALUE"""),68.14882128078392)</f>
        <v>68.14882128</v>
      </c>
      <c r="F245" s="31">
        <f>IFERROR(__xludf.DUMMYFUNCTION("""COMPUTED_VALUE"""),4.274712930266128)</f>
        <v>4.27471293</v>
      </c>
      <c r="G245" s="31">
        <f>IFERROR(__xludf.DUMMYFUNCTION("""COMPUTED_VALUE"""),66.02097684283416)</f>
        <v>66.02097684</v>
      </c>
      <c r="H245" s="31">
        <f>IFERROR(__xludf.DUMMYFUNCTION("""COMPUTED_VALUE"""),3.8341555679023993)</f>
        <v>3.834155568</v>
      </c>
      <c r="I245" s="54">
        <f>IFERROR(__xludf.DUMMYFUNCTION("""COMPUTED_VALUE"""),48.0)</f>
        <v>48</v>
      </c>
      <c r="J245" s="55">
        <f>IFERROR(__xludf.DUMMYFUNCTION("""COMPUTED_VALUE"""),29.0)</f>
        <v>29</v>
      </c>
      <c r="K245" s="54">
        <f>IFERROR(__xludf.DUMMYFUNCTION("""COMPUTED_VALUE"""),19.0)</f>
        <v>19</v>
      </c>
      <c r="L245" s="56">
        <f>IFERROR(__xludf.DUMMYFUNCTION("""COMPUTED_VALUE"""),0.6041666666666666)</f>
        <v>0.6041666667</v>
      </c>
      <c r="M245" s="56">
        <f>IFERROR(__xludf.DUMMYFUNCTION("""COMPUTED_VALUE"""),0.248062015503876)</f>
        <v>0.2480620155</v>
      </c>
      <c r="N245" s="31">
        <f>IFERROR(__xludf.DUMMYFUNCTION("""COMPUTED_VALUE"""),385.3181818181818)</f>
        <v>385.3181818</v>
      </c>
      <c r="O245" s="57">
        <f>IFERROR(__xludf.DUMMYFUNCTION("""COMPUTED_VALUE"""),0.7272727272727273)</f>
        <v>0.7272727273</v>
      </c>
      <c r="P245" s="57">
        <f>IFERROR(__xludf.DUMMYFUNCTION("""COMPUTED_VALUE"""),0.8636363636363636)</f>
        <v>0.8636363636</v>
      </c>
      <c r="Q245" s="57">
        <f>IFERROR(__xludf.DUMMYFUNCTION("""COMPUTED_VALUE"""),1.4545454545454546)</f>
        <v>1.454545455</v>
      </c>
      <c r="R245" s="57">
        <f>IFERROR(__xludf.DUMMYFUNCTION("""COMPUTED_VALUE"""),2.9318181818181817)</f>
        <v>2.931818182</v>
      </c>
      <c r="S245" s="31">
        <f>IFERROR(__xludf.DUMMYFUNCTION("""COMPUTED_VALUE"""),369.63636363636374)</f>
        <v>369.6363636</v>
      </c>
      <c r="T245" s="57">
        <f>IFERROR(__xludf.DUMMYFUNCTION("""COMPUTED_VALUE"""),0.7424242424242425)</f>
        <v>0.7424242424</v>
      </c>
      <c r="U245" s="57">
        <f>IFERROR(__xludf.DUMMYFUNCTION("""COMPUTED_VALUE"""),0.537878787878788)</f>
        <v>0.5378787879</v>
      </c>
      <c r="V245" s="57">
        <f>IFERROR(__xludf.DUMMYFUNCTION("""COMPUTED_VALUE"""),1.7045454545454546)</f>
        <v>1.704545455</v>
      </c>
      <c r="W245" s="57">
        <f>IFERROR(__xludf.DUMMYFUNCTION("""COMPUTED_VALUE"""),2.3409090909090913)</f>
        <v>2.340909091</v>
      </c>
      <c r="X245" s="31">
        <f>IFERROR(__xludf.DUMMYFUNCTION("""COMPUTED_VALUE"""),354.70716059130217)</f>
        <v>354.7071606</v>
      </c>
      <c r="Y245" s="57">
        <f>IFERROR(__xludf.DUMMYFUNCTION("""COMPUTED_VALUE"""),0.7121770322687507)</f>
        <v>0.7121770323</v>
      </c>
      <c r="Z245" s="57">
        <f>IFERROR(__xludf.DUMMYFUNCTION("""COMPUTED_VALUE"""),0.585342467931721)</f>
        <v>0.5853424679</v>
      </c>
      <c r="AA245" s="57">
        <f>IFERROR(__xludf.DUMMYFUNCTION("""COMPUTED_VALUE"""),1.4981715286644006)</f>
        <v>1.498171529</v>
      </c>
      <c r="AB245" s="57">
        <f>IFERROR(__xludf.DUMMYFUNCTION("""COMPUTED_VALUE"""),2.505670119860263)</f>
        <v>2.50567012</v>
      </c>
      <c r="AC245" s="31">
        <f>IFERROR(__xludf.DUMMYFUNCTION("""COMPUTED_VALUE"""),366.73375962509755)</f>
        <v>366.7337596</v>
      </c>
      <c r="AD245" s="57">
        <f>IFERROR(__xludf.DUMMYFUNCTION("""COMPUTED_VALUE"""),0.8225914887279102)</f>
        <v>0.8225914887</v>
      </c>
      <c r="AE245" s="57">
        <f>IFERROR(__xludf.DUMMYFUNCTION("""COMPUTED_VALUE"""),0.624477277504843)</f>
        <v>0.6244772775</v>
      </c>
      <c r="AF245" s="57">
        <f>IFERROR(__xludf.DUMMYFUNCTION("""COMPUTED_VALUE"""),1.3781213471316238)</f>
        <v>1.378121347</v>
      </c>
      <c r="AG245" s="57">
        <f>IFERROR(__xludf.DUMMYFUNCTION("""COMPUTED_VALUE"""),2.765592094841388)</f>
        <v>2.765592095</v>
      </c>
      <c r="AH245" s="57">
        <f>IFERROR(__xludf.DUMMYFUNCTION("""COMPUTED_VALUE"""),1.0506755151532345)</f>
        <v>1.050675515</v>
      </c>
      <c r="AI245" s="57">
        <f>IFERROR(__xludf.DUMMYFUNCTION("""COMPUTED_VALUE"""),0.8841238175189634)</f>
        <v>0.8841238175</v>
      </c>
      <c r="AJ245" s="57">
        <f>IFERROR(__xludf.DUMMYFUNCTION("""COMPUTED_VALUE"""),1.3829748411136797)</f>
        <v>1.382974841</v>
      </c>
      <c r="AK245" s="57">
        <f>IFERROR(__xludf.DUMMYFUNCTION("""COMPUTED_VALUE"""),1.055455281621533)</f>
        <v>1.055455282</v>
      </c>
      <c r="AL245" s="57">
        <f>IFERROR(__xludf.DUMMYFUNCTION("""COMPUTED_VALUE"""),1.0601050629580742)</f>
        <v>1.060105063</v>
      </c>
      <c r="AM245" s="57">
        <f>IFERROR(__xludf.DUMMYFUNCTION("""COMPUTED_VALUE"""),1.0420888121349858)</f>
        <v>1.042088812</v>
      </c>
      <c r="AN245" s="57">
        <f>IFERROR(__xludf.DUMMYFUNCTION("""COMPUTED_VALUE"""),1.0424714765921819)</f>
        <v>1.042471477</v>
      </c>
      <c r="AO245" s="57">
        <f>IFERROR(__xludf.DUMMYFUNCTION("""COMPUTED_VALUE"""),0.9189129737662063)</f>
        <v>0.9189129738</v>
      </c>
      <c r="AP245" s="35">
        <f>IFERROR(__xludf.DUMMYFUNCTION("""COMPUTED_VALUE"""),1.1377505325208213)</f>
        <v>1.137750533</v>
      </c>
      <c r="AQ245" s="57">
        <f>IFERROR(__xludf.DUMMYFUNCTION("""COMPUTED_VALUE"""),0.9342447245368596)</f>
        <v>0.9342447245</v>
      </c>
      <c r="AR245" s="36" t="b">
        <f>IFERROR(__xludf.DUMMYFUNCTION("""COMPUTED_VALUE"""),TRUE)</f>
        <v>1</v>
      </c>
      <c r="AS245" s="57"/>
      <c r="AT245" s="37"/>
      <c r="AU245" s="30"/>
      <c r="AV245" s="30"/>
      <c r="AW245" s="30"/>
      <c r="AX245" s="30"/>
      <c r="AY245" s="30"/>
      <c r="AZ245" s="30"/>
    </row>
    <row r="246">
      <c r="A246" s="30" t="str">
        <f>IFERROR(__xludf.DUMMYFUNCTION("""COMPUTED_VALUE"""),"Elite")</f>
        <v>Elite</v>
      </c>
      <c r="B246" s="30" t="str">
        <f>IFERROR(__xludf.DUMMYFUNCTION("""COMPUTED_VALUE"""),"RSC002178")</f>
        <v>RSC002178</v>
      </c>
      <c r="C246" s="30" t="str">
        <f>IFERROR(__xludf.DUMMYFUNCTION("""COMPUTED_VALUE"""),"bird")</f>
        <v>bird</v>
      </c>
      <c r="D246" s="31" t="str">
        <f>IFERROR(__xludf.DUMMYFUNCTION("""COMPUTED_VALUE"""),"Afterburners")</f>
        <v>Afterburners</v>
      </c>
      <c r="E246" s="31">
        <f>IFERROR(__xludf.DUMMYFUNCTION("""COMPUTED_VALUE"""),67.78945816859212)</f>
        <v>67.78945817</v>
      </c>
      <c r="F246" s="31">
        <f>IFERROR(__xludf.DUMMYFUNCTION("""COMPUTED_VALUE"""),4.195282585146592)</f>
        <v>4.195282585</v>
      </c>
      <c r="G246" s="31">
        <f>IFERROR(__xludf.DUMMYFUNCTION("""COMPUTED_VALUE"""),38.53025542903664)</f>
        <v>38.53025543</v>
      </c>
      <c r="H246" s="31">
        <f>IFERROR(__xludf.DUMMYFUNCTION("""COMPUTED_VALUE"""),-3.0941305723492607)</f>
        <v>-3.094130572</v>
      </c>
      <c r="I246" s="54">
        <f>IFERROR(__xludf.DUMMYFUNCTION("""COMPUTED_VALUE"""),11.0)</f>
        <v>11</v>
      </c>
      <c r="J246" s="55">
        <f>IFERROR(__xludf.DUMMYFUNCTION("""COMPUTED_VALUE"""),5.0)</f>
        <v>5</v>
      </c>
      <c r="K246" s="54">
        <f>IFERROR(__xludf.DUMMYFUNCTION("""COMPUTED_VALUE"""),6.0)</f>
        <v>6</v>
      </c>
      <c r="L246" s="56">
        <f>IFERROR(__xludf.DUMMYFUNCTION("""COMPUTED_VALUE"""),0.45454545454545453)</f>
        <v>0.4545454545</v>
      </c>
      <c r="M246" s="56">
        <f>IFERROR(__xludf.DUMMYFUNCTION("""COMPUTED_VALUE"""),0.34285714285714286)</f>
        <v>0.3428571429</v>
      </c>
      <c r="N246" s="31">
        <f>IFERROR(__xludf.DUMMYFUNCTION("""COMPUTED_VALUE"""),358.6363636363636)</f>
        <v>358.6363636</v>
      </c>
      <c r="O246" s="57">
        <f>IFERROR(__xludf.DUMMYFUNCTION("""COMPUTED_VALUE"""),1.0909090909090908)</f>
        <v>1.090909091</v>
      </c>
      <c r="P246" s="57">
        <f>IFERROR(__xludf.DUMMYFUNCTION("""COMPUTED_VALUE"""),0.45454545454545453)</f>
        <v>0.4545454545</v>
      </c>
      <c r="Q246" s="57">
        <f>IFERROR(__xludf.DUMMYFUNCTION("""COMPUTED_VALUE"""),1.3636363636363635)</f>
        <v>1.363636364</v>
      </c>
      <c r="R246" s="57">
        <f>IFERROR(__xludf.DUMMYFUNCTION("""COMPUTED_VALUE"""),3.1818181818181817)</f>
        <v>3.181818182</v>
      </c>
      <c r="S246" s="31">
        <f>IFERROR(__xludf.DUMMYFUNCTION("""COMPUTED_VALUE"""),377.72727272727275)</f>
        <v>377.7272727</v>
      </c>
      <c r="T246" s="57">
        <f>IFERROR(__xludf.DUMMYFUNCTION("""COMPUTED_VALUE"""),0.8484848484848484)</f>
        <v>0.8484848485</v>
      </c>
      <c r="U246" s="57">
        <f>IFERROR(__xludf.DUMMYFUNCTION("""COMPUTED_VALUE"""),0.5757575757575757)</f>
        <v>0.5757575758</v>
      </c>
      <c r="V246" s="57">
        <f>IFERROR(__xludf.DUMMYFUNCTION("""COMPUTED_VALUE"""),1.6060606060606062)</f>
        <v>1.606060606</v>
      </c>
      <c r="W246" s="57">
        <f>IFERROR(__xludf.DUMMYFUNCTION("""COMPUTED_VALUE"""),2.878787878787879)</f>
        <v>2.878787879</v>
      </c>
      <c r="X246" s="31">
        <f>IFERROR(__xludf.DUMMYFUNCTION("""COMPUTED_VALUE"""),364.1048084575357)</f>
        <v>364.1048085</v>
      </c>
      <c r="Y246" s="57">
        <f>IFERROR(__xludf.DUMMYFUNCTION("""COMPUTED_VALUE"""),0.821976171976172)</f>
        <v>0.821976172</v>
      </c>
      <c r="Z246" s="57">
        <f>IFERROR(__xludf.DUMMYFUNCTION("""COMPUTED_VALUE"""),0.6397541852087306)</f>
        <v>0.6397541852</v>
      </c>
      <c r="AA246" s="57">
        <f>IFERROR(__xludf.DUMMYFUNCTION("""COMPUTED_VALUE"""),1.4508012526194347)</f>
        <v>1.450801253</v>
      </c>
      <c r="AB246" s="57">
        <f>IFERROR(__xludf.DUMMYFUNCTION("""COMPUTED_VALUE"""),2.6698099879918065)</f>
        <v>2.669809988</v>
      </c>
      <c r="AC246" s="31">
        <f>IFERROR(__xludf.DUMMYFUNCTION("""COMPUTED_VALUE"""),376.5498591980411)</f>
        <v>376.5498592</v>
      </c>
      <c r="AD246" s="57">
        <f>IFERROR(__xludf.DUMMYFUNCTION("""COMPUTED_VALUE"""),0.8922435701223581)</f>
        <v>0.8922435701</v>
      </c>
      <c r="AE246" s="57">
        <f>IFERROR(__xludf.DUMMYFUNCTION("""COMPUTED_VALUE"""),0.6661970128636796)</f>
        <v>0.6661970129</v>
      </c>
      <c r="AF246" s="57">
        <f>IFERROR(__xludf.DUMMYFUNCTION("""COMPUTED_VALUE"""),1.4382320485350788)</f>
        <v>1.438232049</v>
      </c>
      <c r="AG246" s="57">
        <f>IFERROR(__xludf.DUMMYFUNCTION("""COMPUTED_VALUE"""),2.707951700375944)</f>
        <v>2.7079517</v>
      </c>
      <c r="AH246" s="57">
        <f>IFERROR(__xludf.DUMMYFUNCTION("""COMPUTED_VALUE"""),0.9524272944894235)</f>
        <v>0.9524272945</v>
      </c>
      <c r="AI246" s="57">
        <f>IFERROR(__xludf.DUMMYFUNCTION("""COMPUTED_VALUE"""),1.2226583944555507)</f>
        <v>1.222658394</v>
      </c>
      <c r="AJ246" s="57">
        <f>IFERROR(__xludf.DUMMYFUNCTION("""COMPUTED_VALUE"""),0.682298848191422)</f>
        <v>0.6822988482</v>
      </c>
      <c r="AK246" s="57">
        <f>IFERROR(__xludf.DUMMYFUNCTION("""COMPUTED_VALUE"""),0.9481337625769811)</f>
        <v>0.9481337626</v>
      </c>
      <c r="AL246" s="57">
        <f>IFERROR(__xludf.DUMMYFUNCTION("""COMPUTED_VALUE"""),1.1749907435115814)</f>
        <v>1.174990744</v>
      </c>
      <c r="AM246" s="57">
        <f>IFERROR(__xludf.DUMMYFUNCTION("""COMPUTED_VALUE"""),1.0374135796982362)</f>
        <v>1.03741358</v>
      </c>
      <c r="AN246" s="57">
        <f>IFERROR(__xludf.DUMMYFUNCTION("""COMPUTED_VALUE"""),1.0322499330423958)</f>
        <v>1.032249933</v>
      </c>
      <c r="AO246" s="57">
        <f>IFERROR(__xludf.DUMMYFUNCTION("""COMPUTED_VALUE"""),0.8999668764491553)</f>
        <v>0.8999668764</v>
      </c>
      <c r="AP246" s="35">
        <f>IFERROR(__xludf.DUMMYFUNCTION("""COMPUTED_VALUE"""),1.1070162802526187)</f>
        <v>1.10701628</v>
      </c>
      <c r="AQ246" s="57">
        <f>IFERROR(__xludf.DUMMYFUNCTION("""COMPUTED_VALUE"""),1.078274443400844)</f>
        <v>1.078274443</v>
      </c>
      <c r="AR246" s="36" t="b">
        <f>IFERROR(__xludf.DUMMYFUNCTION("""COMPUTED_VALUE"""),TRUE)</f>
        <v>1</v>
      </c>
      <c r="AS246" s="57"/>
      <c r="AT246" s="37"/>
      <c r="AU246" s="30"/>
      <c r="AV246" s="30"/>
      <c r="AW246" s="30"/>
      <c r="AX246" s="30"/>
      <c r="AY246" s="30"/>
      <c r="AZ246" s="30"/>
    </row>
    <row r="247">
      <c r="A247" s="30" t="str">
        <f>IFERROR(__xludf.DUMMYFUNCTION("""COMPUTED_VALUE"""),"Elite")</f>
        <v>Elite</v>
      </c>
      <c r="B247" s="30" t="str">
        <f>IFERROR(__xludf.DUMMYFUNCTION("""COMPUTED_VALUE"""),"RSC006703")</f>
        <v>RSC006703</v>
      </c>
      <c r="C247" s="30" t="str">
        <f>IFERROR(__xludf.DUMMYFUNCTION("""COMPUTED_VALUE"""),"cav")</f>
        <v>cav</v>
      </c>
      <c r="D247" s="31" t="str">
        <f>IFERROR(__xludf.DUMMYFUNCTION("""COMPUTED_VALUE"""),"Praetorian Guard")</f>
        <v>Praetorian Guard</v>
      </c>
      <c r="E247" s="31">
        <f>IFERROR(__xludf.DUMMYFUNCTION("""COMPUTED_VALUE"""),66.8704629965313)</f>
        <v>66.870463</v>
      </c>
      <c r="F247" s="31">
        <f>IFERROR(__xludf.DUMMYFUNCTION("""COMPUTED_VALUE"""),4.001672118104)</f>
        <v>4.001672118</v>
      </c>
      <c r="G247" s="31">
        <f>IFERROR(__xludf.DUMMYFUNCTION("""COMPUTED_VALUE"""),54.83077034022166)</f>
        <v>54.83077034</v>
      </c>
      <c r="H247" s="31">
        <f>IFERROR(__xludf.DUMMYFUNCTION("""COMPUTED_VALUE"""),2.361893565309349)</f>
        <v>2.361893565</v>
      </c>
      <c r="I247" s="54">
        <f>IFERROR(__xludf.DUMMYFUNCTION("""COMPUTED_VALUE"""),32.0)</f>
        <v>32</v>
      </c>
      <c r="J247" s="55">
        <f>IFERROR(__xludf.DUMMYFUNCTION("""COMPUTED_VALUE"""),20.0)</f>
        <v>20</v>
      </c>
      <c r="K247" s="54">
        <f>IFERROR(__xludf.DUMMYFUNCTION("""COMPUTED_VALUE"""),12.0)</f>
        <v>12</v>
      </c>
      <c r="L247" s="56">
        <f>IFERROR(__xludf.DUMMYFUNCTION("""COMPUTED_VALUE"""),0.625)</f>
        <v>0.625</v>
      </c>
      <c r="M247" s="56">
        <f>IFERROR(__xludf.DUMMYFUNCTION("""COMPUTED_VALUE"""),0.2978723404255319)</f>
        <v>0.2978723404</v>
      </c>
      <c r="N247" s="31">
        <f>IFERROR(__xludf.DUMMYFUNCTION("""COMPUTED_VALUE"""),394.59375)</f>
        <v>394.59375</v>
      </c>
      <c r="O247" s="57">
        <f>IFERROR(__xludf.DUMMYFUNCTION("""COMPUTED_VALUE"""),0.875)</f>
        <v>0.875</v>
      </c>
      <c r="P247" s="57">
        <f>IFERROR(__xludf.DUMMYFUNCTION("""COMPUTED_VALUE"""),0.5)</f>
        <v>0.5</v>
      </c>
      <c r="Q247" s="57">
        <f>IFERROR(__xludf.DUMMYFUNCTION("""COMPUTED_VALUE"""),1.625)</f>
        <v>1.625</v>
      </c>
      <c r="R247" s="57">
        <f>IFERROR(__xludf.DUMMYFUNCTION("""COMPUTED_VALUE"""),2.9375)</f>
        <v>2.9375</v>
      </c>
      <c r="S247" s="31">
        <f>IFERROR(__xludf.DUMMYFUNCTION("""COMPUTED_VALUE"""),356.9583333333333)</f>
        <v>356.9583333</v>
      </c>
      <c r="T247" s="57">
        <f>IFERROR(__xludf.DUMMYFUNCTION("""COMPUTED_VALUE"""),0.6666666666666666)</f>
        <v>0.6666666667</v>
      </c>
      <c r="U247" s="57">
        <f>IFERROR(__xludf.DUMMYFUNCTION("""COMPUTED_VALUE"""),0.5208333333333335)</f>
        <v>0.5208333333</v>
      </c>
      <c r="V247" s="57">
        <f>IFERROR(__xludf.DUMMYFUNCTION("""COMPUTED_VALUE"""),1.4687499999999998)</f>
        <v>1.46875</v>
      </c>
      <c r="W247" s="57">
        <f>IFERROR(__xludf.DUMMYFUNCTION("""COMPUTED_VALUE"""),2.6666666666666674)</f>
        <v>2.666666667</v>
      </c>
      <c r="X247" s="31">
        <f>IFERROR(__xludf.DUMMYFUNCTION("""COMPUTED_VALUE"""),372.6043295861661)</f>
        <v>372.6043296</v>
      </c>
      <c r="Y247" s="57">
        <f>IFERROR(__xludf.DUMMYFUNCTION("""COMPUTED_VALUE"""),0.7994860590336192)</f>
        <v>0.799486059</v>
      </c>
      <c r="Z247" s="57">
        <f>IFERROR(__xludf.DUMMYFUNCTION("""COMPUTED_VALUE"""),0.628504208292336)</f>
        <v>0.6285042083</v>
      </c>
      <c r="AA247" s="57">
        <f>IFERROR(__xludf.DUMMYFUNCTION("""COMPUTED_VALUE"""),1.483074556967964)</f>
        <v>1.483074557</v>
      </c>
      <c r="AB247" s="57">
        <f>IFERROR(__xludf.DUMMYFUNCTION("""COMPUTED_VALUE"""),2.7022420045252344)</f>
        <v>2.702242005</v>
      </c>
      <c r="AC247" s="31">
        <f>IFERROR(__xludf.DUMMYFUNCTION("""COMPUTED_VALUE"""),363.29453919329364)</f>
        <v>363.2945392</v>
      </c>
      <c r="AD247" s="57">
        <f>IFERROR(__xludf.DUMMYFUNCTION("""COMPUTED_VALUE"""),0.7911201214874999)</f>
        <v>0.7911201215</v>
      </c>
      <c r="AE247" s="57">
        <f>IFERROR(__xludf.DUMMYFUNCTION("""COMPUTED_VALUE"""),0.5871863694421595)</f>
        <v>0.5871863694</v>
      </c>
      <c r="AF247" s="57">
        <f>IFERROR(__xludf.DUMMYFUNCTION("""COMPUTED_VALUE"""),1.3953259840370682)</f>
        <v>1.395325984</v>
      </c>
      <c r="AG247" s="57">
        <f>IFERROR(__xludf.DUMMYFUNCTION("""COMPUTED_VALUE"""),2.71271425341929)</f>
        <v>2.712714253</v>
      </c>
      <c r="AH247" s="57">
        <f>IFERROR(__xludf.DUMMYFUNCTION("""COMPUTED_VALUE"""),1.0861538157887185)</f>
        <v>1.086153816</v>
      </c>
      <c r="AI247" s="57">
        <f>IFERROR(__xludf.DUMMYFUNCTION("""COMPUTED_VALUE"""),1.1060267287283572)</f>
        <v>1.106026729</v>
      </c>
      <c r="AJ247" s="57">
        <f>IFERROR(__xludf.DUMMYFUNCTION("""COMPUTED_VALUE"""),0.8515184037310188)</f>
        <v>0.8515184037</v>
      </c>
      <c r="AK247" s="57">
        <f>IFERROR(__xludf.DUMMYFUNCTION("""COMPUTED_VALUE"""),1.1646024073159025)</f>
        <v>1.164602407</v>
      </c>
      <c r="AL247" s="57">
        <f>IFERROR(__xludf.DUMMYFUNCTION("""COMPUTED_VALUE"""),1.0828637761228905)</f>
        <v>1.082863776</v>
      </c>
      <c r="AM247" s="57">
        <f>IFERROR(__xludf.DUMMYFUNCTION("""COMPUTED_VALUE"""),0.9580090862867588)</f>
        <v>0.9580090863</v>
      </c>
      <c r="AN247" s="57">
        <f>IFERROR(__xludf.DUMMYFUNCTION("""COMPUTED_VALUE"""),0.8338690326539298)</f>
        <v>0.8338690327</v>
      </c>
      <c r="AO247" s="57">
        <f>IFERROR(__xludf.DUMMYFUNCTION("""COMPUTED_VALUE"""),0.828687105768874)</f>
        <v>0.8286871058</v>
      </c>
      <c r="AP247" s="35">
        <f>IFERROR(__xludf.DUMMYFUNCTION("""COMPUTED_VALUE"""),0.9903413102863489)</f>
        <v>0.9903413103</v>
      </c>
      <c r="AQ247" s="57">
        <f>IFERROR(__xludf.DUMMYFUNCTION("""COMPUTED_VALUE"""),0.9868348808881693)</f>
        <v>0.9868348809</v>
      </c>
      <c r="AR247" s="36" t="b">
        <f>IFERROR(__xludf.DUMMYFUNCTION("""COMPUTED_VALUE"""),TRUE)</f>
        <v>1</v>
      </c>
      <c r="AS247" s="57"/>
      <c r="AT247" s="37"/>
      <c r="AU247" s="30"/>
      <c r="AV247" s="30"/>
      <c r="AW247" s="30"/>
      <c r="AX247" s="30"/>
      <c r="AY247" s="30"/>
      <c r="AZ247" s="30"/>
    </row>
    <row r="248">
      <c r="A248" s="30" t="str">
        <f>IFERROR(__xludf.DUMMYFUNCTION("""COMPUTED_VALUE"""),"Elite")</f>
        <v>Elite</v>
      </c>
      <c r="B248" s="30" t="str">
        <f>IFERROR(__xludf.DUMMYFUNCTION("""COMPUTED_VALUE"""),"RSC007975")</f>
        <v>RSC007975</v>
      </c>
      <c r="C248" s="30" t="str">
        <f>IFERROR(__xludf.DUMMYFUNCTION("""COMPUTED_VALUE"""),"egor")</f>
        <v>egor</v>
      </c>
      <c r="D248" s="31"/>
      <c r="E248" s="31">
        <f>IFERROR(__xludf.DUMMYFUNCTION("""COMPUTED_VALUE"""),66.44087651953342)</f>
        <v>66.44087652</v>
      </c>
      <c r="F248" s="31">
        <f>IFERROR(__xludf.DUMMYFUNCTION("""COMPUTED_VALUE"""),3.9156363635287437)</f>
        <v>3.915636364</v>
      </c>
      <c r="G248" s="31">
        <f>IFERROR(__xludf.DUMMYFUNCTION("""COMPUTED_VALUE"""),23.830332837478203)</f>
        <v>23.83033284</v>
      </c>
      <c r="H248" s="31">
        <f>IFERROR(__xludf.DUMMYFUNCTION("""COMPUTED_VALUE"""),-6.77511429327041)</f>
        <v>-6.775114293</v>
      </c>
      <c r="I248" s="54">
        <f>IFERROR(__xludf.DUMMYFUNCTION("""COMPUTED_VALUE"""),1.0)</f>
        <v>1</v>
      </c>
      <c r="J248" s="55">
        <f>IFERROR(__xludf.DUMMYFUNCTION("""COMPUTED_VALUE"""),0.0)</f>
        <v>0</v>
      </c>
      <c r="K248" s="54">
        <f>IFERROR(__xludf.DUMMYFUNCTION("""COMPUTED_VALUE"""),1.0)</f>
        <v>1</v>
      </c>
      <c r="L248" s="56">
        <f>IFERROR(__xludf.DUMMYFUNCTION("""COMPUTED_VALUE"""),0.0)</f>
        <v>0</v>
      </c>
      <c r="M248" s="56">
        <f>IFERROR(__xludf.DUMMYFUNCTION("""COMPUTED_VALUE"""),0.3333333333333333)</f>
        <v>0.3333333333</v>
      </c>
      <c r="N248" s="31">
        <f>IFERROR(__xludf.DUMMYFUNCTION("""COMPUTED_VALUE"""),418.0)</f>
        <v>418</v>
      </c>
      <c r="O248" s="57">
        <f>IFERROR(__xludf.DUMMYFUNCTION("""COMPUTED_VALUE"""),1.0)</f>
        <v>1</v>
      </c>
      <c r="P248" s="57">
        <f>IFERROR(__xludf.DUMMYFUNCTION("""COMPUTED_VALUE"""),1.0)</f>
        <v>1</v>
      </c>
      <c r="Q248" s="57">
        <f>IFERROR(__xludf.DUMMYFUNCTION("""COMPUTED_VALUE"""),2.0)</f>
        <v>2</v>
      </c>
      <c r="R248" s="57">
        <f>IFERROR(__xludf.DUMMYFUNCTION("""COMPUTED_VALUE"""),3.0)</f>
        <v>3</v>
      </c>
      <c r="S248" s="31">
        <f>IFERROR(__xludf.DUMMYFUNCTION("""COMPUTED_VALUE"""),488.0)</f>
        <v>488</v>
      </c>
      <c r="T248" s="57">
        <f>IFERROR(__xludf.DUMMYFUNCTION("""COMPUTED_VALUE"""),1.6666666666666667)</f>
        <v>1.666666667</v>
      </c>
      <c r="U248" s="57">
        <f>IFERROR(__xludf.DUMMYFUNCTION("""COMPUTED_VALUE"""),1.0)</f>
        <v>1</v>
      </c>
      <c r="V248" s="57">
        <f>IFERROR(__xludf.DUMMYFUNCTION("""COMPUTED_VALUE"""),1.6666666666666667)</f>
        <v>1.666666667</v>
      </c>
      <c r="W248" s="57">
        <f>IFERROR(__xludf.DUMMYFUNCTION("""COMPUTED_VALUE"""),4.0)</f>
        <v>4</v>
      </c>
      <c r="X248" s="31">
        <f>IFERROR(__xludf.DUMMYFUNCTION("""COMPUTED_VALUE"""),361.5763888888889)</f>
        <v>361.5763889</v>
      </c>
      <c r="Y248" s="57">
        <f>IFERROR(__xludf.DUMMYFUNCTION("""COMPUTED_VALUE"""),0.7125)</f>
        <v>0.7125</v>
      </c>
      <c r="Z248" s="57">
        <f>IFERROR(__xludf.DUMMYFUNCTION("""COMPUTED_VALUE"""),0.5805555555555556)</f>
        <v>0.5805555556</v>
      </c>
      <c r="AA248" s="57">
        <f>IFERROR(__xludf.DUMMYFUNCTION("""COMPUTED_VALUE"""),1.5458333333333334)</f>
        <v>1.545833333</v>
      </c>
      <c r="AB248" s="57">
        <f>IFERROR(__xludf.DUMMYFUNCTION("""COMPUTED_VALUE"""),2.704166666666666)</f>
        <v>2.704166667</v>
      </c>
      <c r="AC248" s="31">
        <f>IFERROR(__xludf.DUMMYFUNCTION("""COMPUTED_VALUE"""),355.19074074074086)</f>
        <v>355.1907407</v>
      </c>
      <c r="AD248" s="57">
        <f>IFERROR(__xludf.DUMMYFUNCTION("""COMPUTED_VALUE"""),0.6999999999999997)</f>
        <v>0.7</v>
      </c>
      <c r="AE248" s="57">
        <f>IFERROR(__xludf.DUMMYFUNCTION("""COMPUTED_VALUE"""),0.5287037037037038)</f>
        <v>0.5287037037</v>
      </c>
      <c r="AF248" s="57">
        <f>IFERROR(__xludf.DUMMYFUNCTION("""COMPUTED_VALUE"""),1.4935185185185185)</f>
        <v>1.493518519</v>
      </c>
      <c r="AG248" s="57">
        <f>IFERROR(__xludf.DUMMYFUNCTION("""COMPUTED_VALUE"""),2.651851851851852)</f>
        <v>2.651851852</v>
      </c>
      <c r="AH248" s="57">
        <f>IFERROR(__xludf.DUMMYFUNCTION("""COMPUTED_VALUE"""),1.1768324791583027)</f>
        <v>1.176832479</v>
      </c>
      <c r="AI248" s="57">
        <f>IFERROR(__xludf.DUMMYFUNCTION("""COMPUTED_VALUE"""),1.428571428571429)</f>
        <v>1.428571429</v>
      </c>
      <c r="AJ248" s="57">
        <f>IFERROR(__xludf.DUMMYFUNCTION("""COMPUTED_VALUE"""),1.891418563922942)</f>
        <v>1.891418564</v>
      </c>
      <c r="AK248" s="57">
        <f>IFERROR(__xludf.DUMMYFUNCTION("""COMPUTED_VALUE"""),1.339119652820831)</f>
        <v>1.339119653</v>
      </c>
      <c r="AL248" s="57">
        <f>IFERROR(__xludf.DUMMYFUNCTION("""COMPUTED_VALUE"""),1.1312849162011174)</f>
        <v>1.131284916</v>
      </c>
      <c r="AM248" s="57">
        <f>IFERROR(__xludf.DUMMYFUNCTION("""COMPUTED_VALUE"""),1.3496456488754873)</f>
        <v>1.349645649</v>
      </c>
      <c r="AN248" s="57">
        <f>IFERROR(__xludf.DUMMYFUNCTION("""COMPUTED_VALUE"""),2.3391812865497075)</f>
        <v>2.339181287</v>
      </c>
      <c r="AO248" s="57">
        <f>IFERROR(__xludf.DUMMYFUNCTION("""COMPUTED_VALUE"""),1.7224880382775118)</f>
        <v>1.722488038</v>
      </c>
      <c r="AP248" s="35">
        <f>IFERROR(__xludf.DUMMYFUNCTION("""COMPUTED_VALUE"""),1.0781671159029649)</f>
        <v>1.078167116</v>
      </c>
      <c r="AQ248" s="57">
        <f>IFERROR(__xludf.DUMMYFUNCTION("""COMPUTED_VALUE"""),1.4791987673343607)</f>
        <v>1.479198767</v>
      </c>
      <c r="AR248" s="36" t="b">
        <f>IFERROR(__xludf.DUMMYFUNCTION("""COMPUTED_VALUE"""),TRUE)</f>
        <v>1</v>
      </c>
      <c r="AS248" s="57"/>
      <c r="AT248" s="37"/>
      <c r="AU248" s="30"/>
      <c r="AV248" s="30"/>
      <c r="AW248" s="30"/>
      <c r="AX248" s="30"/>
      <c r="AY248" s="30"/>
      <c r="AZ248" s="30"/>
    </row>
    <row r="249">
      <c r="A249" s="30" t="str">
        <f>IFERROR(__xludf.DUMMYFUNCTION("""COMPUTED_VALUE"""),"Elite")</f>
        <v>Elite</v>
      </c>
      <c r="B249" s="30" t="str">
        <f>IFERROR(__xludf.DUMMYFUNCTION("""COMPUTED_VALUE"""),"RSC005024")</f>
        <v>RSC005024</v>
      </c>
      <c r="C249" s="30" t="str">
        <f>IFERROR(__xludf.DUMMYFUNCTION("""COMPUTED_VALUE"""),"SSpekky")</f>
        <v>SSpekky</v>
      </c>
      <c r="D249" s="31" t="str">
        <f>IFERROR(__xludf.DUMMYFUNCTION("""COMPUTED_VALUE"""),"Wyverns")</f>
        <v>Wyverns</v>
      </c>
      <c r="E249" s="31">
        <f>IFERROR(__xludf.DUMMYFUNCTION("""COMPUTED_VALUE"""),66.09952501993025)</f>
        <v>66.09952502</v>
      </c>
      <c r="F249" s="31">
        <f>IFERROR(__xludf.DUMMYFUNCTION("""COMPUTED_VALUE"""),3.8492054204289916)</f>
        <v>3.84920542</v>
      </c>
      <c r="G249" s="31">
        <f>IFERROR(__xludf.DUMMYFUNCTION("""COMPUTED_VALUE"""),63.9167343802017)</f>
        <v>63.91673438</v>
      </c>
      <c r="H249" s="31">
        <f>IFERROR(__xludf.DUMMYFUNCTION("""COMPUTED_VALUE"""),3.4616848502755313)</f>
        <v>3.46168485</v>
      </c>
      <c r="I249" s="54">
        <f>IFERROR(__xludf.DUMMYFUNCTION("""COMPUTED_VALUE"""),45.0)</f>
        <v>45</v>
      </c>
      <c r="J249" s="55">
        <f>IFERROR(__xludf.DUMMYFUNCTION("""COMPUTED_VALUE"""),24.0)</f>
        <v>24</v>
      </c>
      <c r="K249" s="54">
        <f>IFERROR(__xludf.DUMMYFUNCTION("""COMPUTED_VALUE"""),21.0)</f>
        <v>21</v>
      </c>
      <c r="L249" s="56">
        <f>IFERROR(__xludf.DUMMYFUNCTION("""COMPUTED_VALUE"""),0.5333333333333333)</f>
        <v>0.5333333333</v>
      </c>
      <c r="M249" s="56">
        <f>IFERROR(__xludf.DUMMYFUNCTION("""COMPUTED_VALUE"""),0.2740740740740741)</f>
        <v>0.2740740741</v>
      </c>
      <c r="N249" s="31">
        <f>IFERROR(__xludf.DUMMYFUNCTION("""COMPUTED_VALUE"""),386.1333333333333)</f>
        <v>386.1333333</v>
      </c>
      <c r="O249" s="57">
        <f>IFERROR(__xludf.DUMMYFUNCTION("""COMPUTED_VALUE"""),0.8222222222222222)</f>
        <v>0.8222222222</v>
      </c>
      <c r="P249" s="57">
        <f>IFERROR(__xludf.DUMMYFUNCTION("""COMPUTED_VALUE"""),0.4444444444444444)</f>
        <v>0.4444444444</v>
      </c>
      <c r="Q249" s="57">
        <f>IFERROR(__xludf.DUMMYFUNCTION("""COMPUTED_VALUE"""),1.5333333333333334)</f>
        <v>1.533333333</v>
      </c>
      <c r="R249" s="57">
        <f>IFERROR(__xludf.DUMMYFUNCTION("""COMPUTED_VALUE"""),3.0)</f>
        <v>3</v>
      </c>
      <c r="S249" s="31">
        <f>IFERROR(__xludf.DUMMYFUNCTION("""COMPUTED_VALUE"""),346.5407407407408)</f>
        <v>346.5407407</v>
      </c>
      <c r="T249" s="57">
        <f>IFERROR(__xludf.DUMMYFUNCTION("""COMPUTED_VALUE"""),0.6592592592592591)</f>
        <v>0.6592592593</v>
      </c>
      <c r="U249" s="57">
        <f>IFERROR(__xludf.DUMMYFUNCTION("""COMPUTED_VALUE"""),0.5333333333333332)</f>
        <v>0.5333333333</v>
      </c>
      <c r="V249" s="57">
        <f>IFERROR(__xludf.DUMMYFUNCTION("""COMPUTED_VALUE"""),1.4370370370370371)</f>
        <v>1.437037037</v>
      </c>
      <c r="W249" s="57">
        <f>IFERROR(__xludf.DUMMYFUNCTION("""COMPUTED_VALUE"""),2.5481481481481483)</f>
        <v>2.548148148</v>
      </c>
      <c r="X249" s="31">
        <f>IFERROR(__xludf.DUMMYFUNCTION("""COMPUTED_VALUE"""),357.29167141291947)</f>
        <v>357.2916714</v>
      </c>
      <c r="Y249" s="57">
        <f>IFERROR(__xludf.DUMMYFUNCTION("""COMPUTED_VALUE"""),0.7892945381074143)</f>
        <v>0.7892945381</v>
      </c>
      <c r="Z249" s="57">
        <f>IFERROR(__xludf.DUMMYFUNCTION("""COMPUTED_VALUE"""),0.5889167411915059)</f>
        <v>0.5889167412</v>
      </c>
      <c r="AA249" s="57">
        <f>IFERROR(__xludf.DUMMYFUNCTION("""COMPUTED_VALUE"""),1.37400074711887)</f>
        <v>1.374000747</v>
      </c>
      <c r="AB249" s="57">
        <f>IFERROR(__xludf.DUMMYFUNCTION("""COMPUTED_VALUE"""),2.6617585756027227)</f>
        <v>2.661758576</v>
      </c>
      <c r="AC249" s="31">
        <f>IFERROR(__xludf.DUMMYFUNCTION("""COMPUTED_VALUE"""),351.9389472605013)</f>
        <v>351.9389473</v>
      </c>
      <c r="AD249" s="57">
        <f>IFERROR(__xludf.DUMMYFUNCTION("""COMPUTED_VALUE"""),0.7152452169041449)</f>
        <v>0.7152452169</v>
      </c>
      <c r="AE249" s="57">
        <f>IFERROR(__xludf.DUMMYFUNCTION("""COMPUTED_VALUE"""),0.5306374178304119)</f>
        <v>0.5306374178</v>
      </c>
      <c r="AF249" s="57">
        <f>IFERROR(__xludf.DUMMYFUNCTION("""COMPUTED_VALUE"""),1.4657010010578224)</f>
        <v>1.465701001</v>
      </c>
      <c r="AG249" s="57">
        <f>IFERROR(__xludf.DUMMYFUNCTION("""COMPUTED_VALUE"""),2.525817895454816)</f>
        <v>2.525817895</v>
      </c>
      <c r="AH249" s="57">
        <f>IFERROR(__xludf.DUMMYFUNCTION("""COMPUTED_VALUE"""),1.0971599941950207)</f>
        <v>1.097159994</v>
      </c>
      <c r="AI249" s="57">
        <f>IFERROR(__xludf.DUMMYFUNCTION("""COMPUTED_VALUE"""),1.1495668936887333)</f>
        <v>1.149566894</v>
      </c>
      <c r="AJ249" s="57">
        <f>IFERROR(__xludf.DUMMYFUNCTION("""COMPUTED_VALUE"""),0.8375671023382031)</f>
        <v>0.8375671023</v>
      </c>
      <c r="AK249" s="57">
        <f>IFERROR(__xludf.DUMMYFUNCTION("""COMPUTED_VALUE"""),1.0461433349821687)</f>
        <v>1.046143335</v>
      </c>
      <c r="AL249" s="57">
        <f>IFERROR(__xludf.DUMMYFUNCTION("""COMPUTED_VALUE"""),1.1877340822544926)</f>
        <v>1.187734082</v>
      </c>
      <c r="AM249" s="57">
        <f>IFERROR(__xludf.DUMMYFUNCTION("""COMPUTED_VALUE"""),0.969909932046096)</f>
        <v>0.969909932</v>
      </c>
      <c r="AN249" s="57">
        <f>IFERROR(__xludf.DUMMYFUNCTION("""COMPUTED_VALUE"""),0.8352512622728185)</f>
        <v>0.8352512623</v>
      </c>
      <c r="AO249" s="57">
        <f>IFERROR(__xludf.DUMMYFUNCTION("""COMPUTED_VALUE"""),0.9056175449424048)</f>
        <v>0.9056175449</v>
      </c>
      <c r="AP249" s="35">
        <f>IFERROR(__xludf.DUMMYFUNCTION("""COMPUTED_VALUE"""),1.0458779153143456)</f>
        <v>1.045877915</v>
      </c>
      <c r="AQ249" s="57">
        <f>IFERROR(__xludf.DUMMYFUNCTION("""COMPUTED_VALUE"""),0.9573175311630775)</f>
        <v>0.9573175312</v>
      </c>
      <c r="AR249" s="36" t="b">
        <f>IFERROR(__xludf.DUMMYFUNCTION("""COMPUTED_VALUE"""),TRUE)</f>
        <v>1</v>
      </c>
      <c r="AS249" s="57"/>
      <c r="AT249" s="37"/>
      <c r="AU249" s="30"/>
      <c r="AV249" s="30"/>
      <c r="AW249" s="30"/>
      <c r="AX249" s="30"/>
      <c r="AY249" s="30"/>
      <c r="AZ249" s="30"/>
    </row>
    <row r="250">
      <c r="A250" s="30" t="str">
        <f>IFERROR(__xludf.DUMMYFUNCTION("""COMPUTED_VALUE"""),"Elite")</f>
        <v>Elite</v>
      </c>
      <c r="B250" s="30" t="str">
        <f>IFERROR(__xludf.DUMMYFUNCTION("""COMPUTED_VALUE"""),"RSC006197")</f>
        <v>RSC006197</v>
      </c>
      <c r="C250" s="30" t="str">
        <f>IFERROR(__xludf.DUMMYFUNCTION("""COMPUTED_VALUE"""),"Bullet")</f>
        <v>Bullet</v>
      </c>
      <c r="D250" s="31"/>
      <c r="E250" s="31">
        <f>IFERROR(__xludf.DUMMYFUNCTION("""COMPUTED_VALUE"""),66.08284963755858)</f>
        <v>66.08284964</v>
      </c>
      <c r="F250" s="31">
        <f>IFERROR(__xludf.DUMMYFUNCTION("""COMPUTED_VALUE"""),3.8460030884155136)</f>
        <v>3.846003088</v>
      </c>
      <c r="G250" s="31">
        <f>IFERROR(__xludf.DUMMYFUNCTION("""COMPUTED_VALUE"""),57.355195786104716)</f>
        <v>57.35519579</v>
      </c>
      <c r="H250" s="31">
        <f>IFERROR(__xludf.DUMMYFUNCTION("""COMPUTED_VALUE"""),2.602136807799899)</f>
        <v>2.602136808</v>
      </c>
      <c r="I250" s="54">
        <f>IFERROR(__xludf.DUMMYFUNCTION("""COMPUTED_VALUE"""),11.0)</f>
        <v>11</v>
      </c>
      <c r="J250" s="55">
        <f>IFERROR(__xludf.DUMMYFUNCTION("""COMPUTED_VALUE"""),4.0)</f>
        <v>4</v>
      </c>
      <c r="K250" s="54">
        <f>IFERROR(__xludf.DUMMYFUNCTION("""COMPUTED_VALUE"""),7.0)</f>
        <v>7</v>
      </c>
      <c r="L250" s="56">
        <f>IFERROR(__xludf.DUMMYFUNCTION("""COMPUTED_VALUE"""),0.36363636363636365)</f>
        <v>0.3636363636</v>
      </c>
      <c r="M250" s="56">
        <f>IFERROR(__xludf.DUMMYFUNCTION("""COMPUTED_VALUE"""),0.2631578947368421)</f>
        <v>0.2631578947</v>
      </c>
      <c r="N250" s="31">
        <f>IFERROR(__xludf.DUMMYFUNCTION("""COMPUTED_VALUE"""),371.7142857142857)</f>
        <v>371.7142857</v>
      </c>
      <c r="O250" s="57">
        <f>IFERROR(__xludf.DUMMYFUNCTION("""COMPUTED_VALUE"""),0.7142857142857143)</f>
        <v>0.7142857143</v>
      </c>
      <c r="P250" s="57">
        <f>IFERROR(__xludf.DUMMYFUNCTION("""COMPUTED_VALUE"""),1.0)</f>
        <v>1</v>
      </c>
      <c r="Q250" s="57">
        <f>IFERROR(__xludf.DUMMYFUNCTION("""COMPUTED_VALUE"""),1.2857142857142858)</f>
        <v>1.285714286</v>
      </c>
      <c r="R250" s="57">
        <f>IFERROR(__xludf.DUMMYFUNCTION("""COMPUTED_VALUE"""),2.7142857142857144)</f>
        <v>2.714285714</v>
      </c>
      <c r="S250" s="31">
        <f>IFERROR(__xludf.DUMMYFUNCTION("""COMPUTED_VALUE"""),393.047619047619)</f>
        <v>393.047619</v>
      </c>
      <c r="T250" s="57">
        <f>IFERROR(__xludf.DUMMYFUNCTION("""COMPUTED_VALUE"""),1.0)</f>
        <v>1</v>
      </c>
      <c r="U250" s="57">
        <f>IFERROR(__xludf.DUMMYFUNCTION("""COMPUTED_VALUE"""),0.6666666666666666)</f>
        <v>0.6666666667</v>
      </c>
      <c r="V250" s="57">
        <f>IFERROR(__xludf.DUMMYFUNCTION("""COMPUTED_VALUE"""),1.2857142857142854)</f>
        <v>1.285714286</v>
      </c>
      <c r="W250" s="57">
        <f>IFERROR(__xludf.DUMMYFUNCTION("""COMPUTED_VALUE"""),2.9523809523809526)</f>
        <v>2.952380952</v>
      </c>
      <c r="X250" s="31">
        <f>IFERROR(__xludf.DUMMYFUNCTION("""COMPUTED_VALUE"""),365.8224690689612)</f>
        <v>365.8224691</v>
      </c>
      <c r="Y250" s="57">
        <f>IFERROR(__xludf.DUMMYFUNCTION("""COMPUTED_VALUE"""),0.7913276958237433)</f>
        <v>0.7913276958</v>
      </c>
      <c r="Z250" s="57">
        <f>IFERROR(__xludf.DUMMYFUNCTION("""COMPUTED_VALUE"""),0.5571799341562187)</f>
        <v>0.5571799342</v>
      </c>
      <c r="AA250" s="57">
        <f>IFERROR(__xludf.DUMMYFUNCTION("""COMPUTED_VALUE"""),1.4261931757485116)</f>
        <v>1.426193176</v>
      </c>
      <c r="AB250" s="57">
        <f>IFERROR(__xludf.DUMMYFUNCTION("""COMPUTED_VALUE"""),2.80656442914348)</f>
        <v>2.806564429</v>
      </c>
      <c r="AC250" s="31">
        <f>IFERROR(__xludf.DUMMYFUNCTION("""COMPUTED_VALUE"""),363.1482183764793)</f>
        <v>363.1482184</v>
      </c>
      <c r="AD250" s="57">
        <f>IFERROR(__xludf.DUMMYFUNCTION("""COMPUTED_VALUE"""),0.7619117140856271)</f>
        <v>0.7619117141</v>
      </c>
      <c r="AE250" s="57">
        <f>IFERROR(__xludf.DUMMYFUNCTION("""COMPUTED_VALUE"""),0.5678065507116892)</f>
        <v>0.5678065507</v>
      </c>
      <c r="AF250" s="57">
        <f>IFERROR(__xludf.DUMMYFUNCTION("""COMPUTED_VALUE"""),1.509789622536658)</f>
        <v>1.509789623</v>
      </c>
      <c r="AG250" s="57">
        <f>IFERROR(__xludf.DUMMYFUNCTION("""COMPUTED_VALUE"""),2.5803024368241765)</f>
        <v>2.580302437</v>
      </c>
      <c r="AH250" s="57">
        <f>IFERROR(__xludf.DUMMYFUNCTION("""COMPUTED_VALUE"""),1.0235883501676053)</f>
        <v>1.02358835</v>
      </c>
      <c r="AI250" s="57">
        <f>IFERROR(__xludf.DUMMYFUNCTION("""COMPUTED_VALUE"""),0.9374914456367573)</f>
        <v>0.9374914456</v>
      </c>
      <c r="AJ250" s="57">
        <f>IFERROR(__xludf.DUMMYFUNCTION("""COMPUTED_VALUE"""),1.7611631967729136)</f>
        <v>1.761163197</v>
      </c>
      <c r="AK250" s="57">
        <f>IFERROR(__xludf.DUMMYFUNCTION("""COMPUTED_VALUE"""),0.851585059615197)</f>
        <v>0.8515850596</v>
      </c>
      <c r="AL250" s="57">
        <f>IFERROR(__xludf.DUMMYFUNCTION("""COMPUTED_VALUE"""),1.0519254160091573)</f>
        <v>1.051925416</v>
      </c>
      <c r="AM250" s="57">
        <f>IFERROR(__xludf.DUMMYFUNCTION("""COMPUTED_VALUE"""),1.074421754486397)</f>
        <v>1.074421754</v>
      </c>
      <c r="AN250" s="57">
        <f>IFERROR(__xludf.DUMMYFUNCTION("""COMPUTED_VALUE"""),1.2636989773990361)</f>
        <v>1.263698977</v>
      </c>
      <c r="AO250" s="57">
        <f>IFERROR(__xludf.DUMMYFUNCTION("""COMPUTED_VALUE"""),1.196501571213709)</f>
        <v>1.196501571</v>
      </c>
      <c r="AP250" s="35">
        <f>IFERROR(__xludf.DUMMYFUNCTION("""COMPUTED_VALUE"""),0.901500797772014)</f>
        <v>0.9015007978</v>
      </c>
      <c r="AQ250" s="57">
        <f>IFERROR(__xludf.DUMMYFUNCTION("""COMPUTED_VALUE"""),1.051955523173923)</f>
        <v>1.051955523</v>
      </c>
      <c r="AR250" s="36" t="b">
        <f>IFERROR(__xludf.DUMMYFUNCTION("""COMPUTED_VALUE"""),TRUE)</f>
        <v>1</v>
      </c>
      <c r="AS250" s="57"/>
      <c r="AT250" s="37"/>
      <c r="AU250" s="30"/>
      <c r="AV250" s="30"/>
      <c r="AW250" s="30"/>
      <c r="AX250" s="30"/>
      <c r="AY250" s="30"/>
      <c r="AZ250" s="30"/>
    </row>
    <row r="251">
      <c r="A251" s="30" t="str">
        <f>IFERROR(__xludf.DUMMYFUNCTION("""COMPUTED_VALUE"""),"Elite")</f>
        <v>Elite</v>
      </c>
      <c r="B251" s="30" t="str">
        <f>IFERROR(__xludf.DUMMYFUNCTION("""COMPUTED_VALUE"""),"RSC004863")</f>
        <v>RSC004863</v>
      </c>
      <c r="C251" s="30" t="str">
        <f>IFERROR(__xludf.DUMMYFUNCTION("""COMPUTED_VALUE"""),"wicked")</f>
        <v>wicked</v>
      </c>
      <c r="D251" s="31" t="str">
        <f>IFERROR(__xludf.DUMMYFUNCTION("""COMPUTED_VALUE"""),"Forge Defenders")</f>
        <v>Forge Defenders</v>
      </c>
      <c r="E251" s="31">
        <f>IFERROR(__xludf.DUMMYFUNCTION("""COMPUTED_VALUE"""),65.74218526673354)</f>
        <v>65.74218527</v>
      </c>
      <c r="F251" s="31">
        <f>IFERROR(__xludf.DUMMYFUNCTION("""COMPUTED_VALUE"""),3.7814394482383396)</f>
        <v>3.781439448</v>
      </c>
      <c r="G251" s="31">
        <f>IFERROR(__xludf.DUMMYFUNCTION("""COMPUTED_VALUE"""),56.090529404218024)</f>
        <v>56.0905294</v>
      </c>
      <c r="H251" s="31">
        <f>IFERROR(__xludf.DUMMYFUNCTION("""COMPUTED_VALUE"""),2.476705881048781)</f>
        <v>2.476705881</v>
      </c>
      <c r="I251" s="54">
        <f>IFERROR(__xludf.DUMMYFUNCTION("""COMPUTED_VALUE"""),40.0)</f>
        <v>40</v>
      </c>
      <c r="J251" s="55">
        <f>IFERROR(__xludf.DUMMYFUNCTION("""COMPUTED_VALUE"""),24.0)</f>
        <v>24</v>
      </c>
      <c r="K251" s="54">
        <f>IFERROR(__xludf.DUMMYFUNCTION("""COMPUTED_VALUE"""),16.0)</f>
        <v>16</v>
      </c>
      <c r="L251" s="56">
        <f>IFERROR(__xludf.DUMMYFUNCTION("""COMPUTED_VALUE"""),0.6)</f>
        <v>0.6</v>
      </c>
      <c r="M251" s="56">
        <f>IFERROR(__xludf.DUMMYFUNCTION("""COMPUTED_VALUE"""),0.22307692307692306)</f>
        <v>0.2230769231</v>
      </c>
      <c r="N251" s="31">
        <f>IFERROR(__xludf.DUMMYFUNCTION("""COMPUTED_VALUE"""),347.0)</f>
        <v>347</v>
      </c>
      <c r="O251" s="57">
        <f>IFERROR(__xludf.DUMMYFUNCTION("""COMPUTED_VALUE"""),0.725)</f>
        <v>0.725</v>
      </c>
      <c r="P251" s="57">
        <f>IFERROR(__xludf.DUMMYFUNCTION("""COMPUTED_VALUE"""),0.525)</f>
        <v>0.525</v>
      </c>
      <c r="Q251" s="57">
        <f>IFERROR(__xludf.DUMMYFUNCTION("""COMPUTED_VALUE"""),1.275)</f>
        <v>1.275</v>
      </c>
      <c r="R251" s="57">
        <f>IFERROR(__xludf.DUMMYFUNCTION("""COMPUTED_VALUE"""),3.25)</f>
        <v>3.25</v>
      </c>
      <c r="S251" s="31">
        <f>IFERROR(__xludf.DUMMYFUNCTION("""COMPUTED_VALUE"""),333.1333333333334)</f>
        <v>333.1333333</v>
      </c>
      <c r="T251" s="57">
        <f>IFERROR(__xludf.DUMMYFUNCTION("""COMPUTED_VALUE"""),0.5833333333333333)</f>
        <v>0.5833333333</v>
      </c>
      <c r="U251" s="57">
        <f>IFERROR(__xludf.DUMMYFUNCTION("""COMPUTED_VALUE"""),0.45000000000000007)</f>
        <v>0.45</v>
      </c>
      <c r="V251" s="57">
        <f>IFERROR(__xludf.DUMMYFUNCTION("""COMPUTED_VALUE"""),1.491666666666667)</f>
        <v>1.491666667</v>
      </c>
      <c r="W251" s="57">
        <f>IFERROR(__xludf.DUMMYFUNCTION("""COMPUTED_VALUE"""),2.3583333333333334)</f>
        <v>2.358333333</v>
      </c>
      <c r="X251" s="31">
        <f>IFERROR(__xludf.DUMMYFUNCTION("""COMPUTED_VALUE"""),365.1556246401242)</f>
        <v>365.1556246</v>
      </c>
      <c r="Y251" s="57">
        <f>IFERROR(__xludf.DUMMYFUNCTION("""COMPUTED_VALUE"""),0.8131050761288069)</f>
        <v>0.8131050761</v>
      </c>
      <c r="Z251" s="57">
        <f>IFERROR(__xludf.DUMMYFUNCTION("""COMPUTED_VALUE"""),0.5727982445716321)</f>
        <v>0.5727982446</v>
      </c>
      <c r="AA251" s="57">
        <f>IFERROR(__xludf.DUMMYFUNCTION("""COMPUTED_VALUE"""),1.4270933904119152)</f>
        <v>1.42709339</v>
      </c>
      <c r="AB251" s="57">
        <f>IFERROR(__xludf.DUMMYFUNCTION("""COMPUTED_VALUE"""),2.712165496043201)</f>
        <v>2.712165496</v>
      </c>
      <c r="AC251" s="31">
        <f>IFERROR(__xludf.DUMMYFUNCTION("""COMPUTED_VALUE"""),362.86796934896483)</f>
        <v>362.8679693</v>
      </c>
      <c r="AD251" s="57">
        <f>IFERROR(__xludf.DUMMYFUNCTION("""COMPUTED_VALUE"""),0.7799587069421499)</f>
        <v>0.7799587069</v>
      </c>
      <c r="AE251" s="57">
        <f>IFERROR(__xludf.DUMMYFUNCTION("""COMPUTED_VALUE"""),0.5820176181237106)</f>
        <v>0.5820176181</v>
      </c>
      <c r="AF251" s="57">
        <f>IFERROR(__xludf.DUMMYFUNCTION("""COMPUTED_VALUE"""),1.450763119902463)</f>
        <v>1.45076312</v>
      </c>
      <c r="AG251" s="57">
        <f>IFERROR(__xludf.DUMMYFUNCTION("""COMPUTED_VALUE"""),2.6407881856614965)</f>
        <v>2.640788186</v>
      </c>
      <c r="AH251" s="57">
        <f>IFERROR(__xludf.DUMMYFUNCTION("""COMPUTED_VALUE"""),0.9562706805523944)</f>
        <v>0.9562706806</v>
      </c>
      <c r="AI251" s="57">
        <f>IFERROR(__xludf.DUMMYFUNCTION("""COMPUTED_VALUE"""),0.9295363889742099)</f>
        <v>0.929536389</v>
      </c>
      <c r="AJ251" s="57">
        <f>IFERROR(__xludf.DUMMYFUNCTION("""COMPUTED_VALUE"""),0.9020345495596472)</f>
        <v>0.9020345496</v>
      </c>
      <c r="AK251" s="57">
        <f>IFERROR(__xludf.DUMMYFUNCTION("""COMPUTED_VALUE"""),0.8788478163724758)</f>
        <v>0.8788478164</v>
      </c>
      <c r="AL251" s="57">
        <f>IFERROR(__xludf.DUMMYFUNCTION("""COMPUTED_VALUE"""),1.230693176244236)</f>
        <v>1.230693176</v>
      </c>
      <c r="AM251" s="57">
        <f>IFERROR(__xludf.DUMMYFUNCTION("""COMPUTED_VALUE"""),0.9123050854321357)</f>
        <v>0.9123050854</v>
      </c>
      <c r="AN251" s="57">
        <f>IFERROR(__xludf.DUMMYFUNCTION("""COMPUTED_VALUE"""),0.7174144528903732)</f>
        <v>0.7174144529</v>
      </c>
      <c r="AO251" s="57">
        <f>IFERROR(__xludf.DUMMYFUNCTION("""COMPUTED_VALUE"""),0.7856169327762748)</f>
        <v>0.7856169328</v>
      </c>
      <c r="AP251" s="35">
        <f>IFERROR(__xludf.DUMMYFUNCTION("""COMPUTED_VALUE"""),1.0452481082798046)</f>
        <v>1.045248108</v>
      </c>
      <c r="AQ251" s="57">
        <f>IFERROR(__xludf.DUMMYFUNCTION("""COMPUTED_VALUE"""),0.8695388746645158)</f>
        <v>0.8695388747</v>
      </c>
      <c r="AR251" s="36" t="b">
        <f>IFERROR(__xludf.DUMMYFUNCTION("""COMPUTED_VALUE"""),TRUE)</f>
        <v>1</v>
      </c>
      <c r="AS251" s="57"/>
      <c r="AT251" s="37"/>
      <c r="AU251" s="30"/>
      <c r="AV251" s="30"/>
      <c r="AW251" s="30"/>
      <c r="AX251" s="30"/>
      <c r="AY251" s="30"/>
      <c r="AZ251" s="30"/>
    </row>
    <row r="252">
      <c r="A252" s="30" t="str">
        <f>IFERROR(__xludf.DUMMYFUNCTION("""COMPUTED_VALUE"""),"Elite")</f>
        <v>Elite</v>
      </c>
      <c r="B252" s="30" t="str">
        <f>IFERROR(__xludf.DUMMYFUNCTION("""COMPUTED_VALUE"""),"RSC001292")</f>
        <v>RSC001292</v>
      </c>
      <c r="C252" s="30" t="str">
        <f>IFERROR(__xludf.DUMMYFUNCTION("""COMPUTED_VALUE"""),"flamethrowr")</f>
        <v>flamethrowr</v>
      </c>
      <c r="D252" s="31" t="str">
        <f>IFERROR(__xludf.DUMMYFUNCTION("""COMPUTED_VALUE"""),"Black-Holes")</f>
        <v>Black-Holes</v>
      </c>
      <c r="E252" s="31">
        <f>IFERROR(__xludf.DUMMYFUNCTION("""COMPUTED_VALUE"""),64.6266144424722)</f>
        <v>64.62661444</v>
      </c>
      <c r="F252" s="31">
        <f>IFERROR(__xludf.DUMMYFUNCTION("""COMPUTED_VALUE"""),3.5809930481574943)</f>
        <v>3.580993048</v>
      </c>
      <c r="G252" s="31">
        <f>IFERROR(__xludf.DUMMYFUNCTION("""COMPUTED_VALUE"""),55.46964303475698)</f>
        <v>55.46964303</v>
      </c>
      <c r="H252" s="31">
        <f>IFERROR(__xludf.DUMMYFUNCTION("""COMPUTED_VALUE"""),2.4189150347718984)</f>
        <v>2.418915035</v>
      </c>
      <c r="I252" s="54">
        <f>IFERROR(__xludf.DUMMYFUNCTION("""COMPUTED_VALUE"""),15.0)</f>
        <v>15</v>
      </c>
      <c r="J252" s="55">
        <f>IFERROR(__xludf.DUMMYFUNCTION("""COMPUTED_VALUE"""),11.0)</f>
        <v>11</v>
      </c>
      <c r="K252" s="54">
        <f>IFERROR(__xludf.DUMMYFUNCTION("""COMPUTED_VALUE"""),4.0)</f>
        <v>4</v>
      </c>
      <c r="L252" s="56">
        <f>IFERROR(__xludf.DUMMYFUNCTION("""COMPUTED_VALUE"""),0.7333333333333333)</f>
        <v>0.7333333333</v>
      </c>
      <c r="M252" s="56">
        <f>IFERROR(__xludf.DUMMYFUNCTION("""COMPUTED_VALUE"""),0.375)</f>
        <v>0.375</v>
      </c>
      <c r="N252" s="31">
        <f>IFERROR(__xludf.DUMMYFUNCTION("""COMPUTED_VALUE"""),364.26666666666665)</f>
        <v>364.2666667</v>
      </c>
      <c r="O252" s="57">
        <f>IFERROR(__xludf.DUMMYFUNCTION("""COMPUTED_VALUE"""),1.0)</f>
        <v>1</v>
      </c>
      <c r="P252" s="57">
        <f>IFERROR(__xludf.DUMMYFUNCTION("""COMPUTED_VALUE"""),0.8666666666666667)</f>
        <v>0.8666666667</v>
      </c>
      <c r="Q252" s="57">
        <f>IFERROR(__xludf.DUMMYFUNCTION("""COMPUTED_VALUE"""),1.0)</f>
        <v>1</v>
      </c>
      <c r="R252" s="57">
        <f>IFERROR(__xludf.DUMMYFUNCTION("""COMPUTED_VALUE"""),2.6666666666666665)</f>
        <v>2.666666667</v>
      </c>
      <c r="S252" s="31">
        <f>IFERROR(__xludf.DUMMYFUNCTION("""COMPUTED_VALUE"""),346.93333333333334)</f>
        <v>346.9333333</v>
      </c>
      <c r="T252" s="57">
        <f>IFERROR(__xludf.DUMMYFUNCTION("""COMPUTED_VALUE"""),0.7111111111111111)</f>
        <v>0.7111111111</v>
      </c>
      <c r="U252" s="57">
        <f>IFERROR(__xludf.DUMMYFUNCTION("""COMPUTED_VALUE"""),0.4888888888888888)</f>
        <v>0.4888888889</v>
      </c>
      <c r="V252" s="57">
        <f>IFERROR(__xludf.DUMMYFUNCTION("""COMPUTED_VALUE"""),1.3777777777777778)</f>
        <v>1.377777778</v>
      </c>
      <c r="W252" s="57">
        <f>IFERROR(__xludf.DUMMYFUNCTION("""COMPUTED_VALUE"""),2.3777777777777778)</f>
        <v>2.377777778</v>
      </c>
      <c r="X252" s="31">
        <f>IFERROR(__xludf.DUMMYFUNCTION("""COMPUTED_VALUE"""),328.6908804338433)</f>
        <v>328.6908804</v>
      </c>
      <c r="Y252" s="57">
        <f>IFERROR(__xludf.DUMMYFUNCTION("""COMPUTED_VALUE"""),0.5723977400795842)</f>
        <v>0.5723977401</v>
      </c>
      <c r="Z252" s="57">
        <f>IFERROR(__xludf.DUMMYFUNCTION("""COMPUTED_VALUE"""),0.4347913561679086)</f>
        <v>0.4347913562</v>
      </c>
      <c r="AA252" s="57">
        <f>IFERROR(__xludf.DUMMYFUNCTION("""COMPUTED_VALUE"""),1.490275278833515)</f>
        <v>1.490275279</v>
      </c>
      <c r="AB252" s="57">
        <f>IFERROR(__xludf.DUMMYFUNCTION("""COMPUTED_VALUE"""),2.2913504316520226)</f>
        <v>2.291350432</v>
      </c>
      <c r="AC252" s="31">
        <f>IFERROR(__xludf.DUMMYFUNCTION("""COMPUTED_VALUE"""),382.629357591319)</f>
        <v>382.6293576</v>
      </c>
      <c r="AD252" s="57">
        <f>IFERROR(__xludf.DUMMYFUNCTION("""COMPUTED_VALUE"""),0.9540900278981366)</f>
        <v>0.9540900279</v>
      </c>
      <c r="AE252" s="57">
        <f>IFERROR(__xludf.DUMMYFUNCTION("""COMPUTED_VALUE"""),0.7367062343523146)</f>
        <v>0.7367062344</v>
      </c>
      <c r="AF252" s="57">
        <f>IFERROR(__xludf.DUMMYFUNCTION("""COMPUTED_VALUE"""),1.2833347002967004)</f>
        <v>1.2833347</v>
      </c>
      <c r="AG252" s="57">
        <f>IFERROR(__xludf.DUMMYFUNCTION("""COMPUTED_VALUE"""),2.949745972832044)</f>
        <v>2.949745973</v>
      </c>
      <c r="AH252" s="57">
        <f>IFERROR(__xludf.DUMMYFUNCTION("""COMPUTED_VALUE"""),0.9520091949027465)</f>
        <v>0.9520091949</v>
      </c>
      <c r="AI252" s="57">
        <f>IFERROR(__xludf.DUMMYFUNCTION("""COMPUTED_VALUE"""),1.0481191195373913)</f>
        <v>1.04811912</v>
      </c>
      <c r="AJ252" s="57">
        <f>IFERROR(__xludf.DUMMYFUNCTION("""COMPUTED_VALUE"""),1.1764074012874461)</f>
        <v>1.176407401</v>
      </c>
      <c r="AK252" s="57">
        <f>IFERROR(__xludf.DUMMYFUNCTION("""COMPUTED_VALUE"""),0.7792199492219801)</f>
        <v>0.7792199492</v>
      </c>
      <c r="AL252" s="57">
        <f>IFERROR(__xludf.DUMMYFUNCTION("""COMPUTED_VALUE"""),0.9040326493289205)</f>
        <v>0.9040326493</v>
      </c>
      <c r="AM252" s="57">
        <f>IFERROR(__xludf.DUMMYFUNCTION("""COMPUTED_VALUE"""),1.0555003317263065)</f>
        <v>1.055500332</v>
      </c>
      <c r="AN252" s="57">
        <f>IFERROR(__xludf.DUMMYFUNCTION("""COMPUTED_VALUE"""),1.242337384162699)</f>
        <v>1.242337384</v>
      </c>
      <c r="AO252" s="57">
        <f>IFERROR(__xludf.DUMMYFUNCTION("""COMPUTED_VALUE"""),1.1244218219924518)</f>
        <v>1.124421822</v>
      </c>
      <c r="AP252" s="35">
        <f>IFERROR(__xludf.DUMMYFUNCTION("""COMPUTED_VALUE"""),0.9245122678651743)</f>
        <v>0.9245122679</v>
      </c>
      <c r="AQ252" s="57">
        <f>IFERROR(__xludf.DUMMYFUNCTION("""COMPUTED_VALUE"""),1.0377189560059754)</f>
        <v>1.037718956</v>
      </c>
      <c r="AR252" s="36" t="b">
        <f>IFERROR(__xludf.DUMMYFUNCTION("""COMPUTED_VALUE"""),TRUE)</f>
        <v>1</v>
      </c>
      <c r="AS252" s="57"/>
      <c r="AT252" s="37"/>
      <c r="AU252" s="30"/>
      <c r="AV252" s="30"/>
      <c r="AW252" s="30"/>
      <c r="AX252" s="30"/>
      <c r="AY252" s="30"/>
      <c r="AZ252" s="30"/>
    </row>
    <row r="253">
      <c r="A253" s="30" t="str">
        <f>IFERROR(__xludf.DUMMYFUNCTION("""COMPUTED_VALUE"""),"Elite")</f>
        <v>Elite</v>
      </c>
      <c r="B253" s="30" t="str">
        <f>IFERROR(__xludf.DUMMYFUNCTION("""COMPUTED_VALUE"""),"RSC007166")</f>
        <v>RSC007166</v>
      </c>
      <c r="C253" s="30" t="str">
        <f>IFERROR(__xludf.DUMMYFUNCTION("""COMPUTED_VALUE"""),"nelz")</f>
        <v>nelz</v>
      </c>
      <c r="D253" s="31" t="str">
        <f>IFERROR(__xludf.DUMMYFUNCTION("""COMPUTED_VALUE"""),"Ghastly Goombahs")</f>
        <v>Ghastly Goombahs</v>
      </c>
      <c r="E253" s="31">
        <f>IFERROR(__xludf.DUMMYFUNCTION("""COMPUTED_VALUE"""),64.30818636313836)</f>
        <v>64.30818636</v>
      </c>
      <c r="F253" s="31">
        <f>IFERROR(__xludf.DUMMYFUNCTION("""COMPUTED_VALUE"""),3.5267139115163944)</f>
        <v>3.526713912</v>
      </c>
      <c r="G253" s="31">
        <f>IFERROR(__xludf.DUMMYFUNCTION("""COMPUTED_VALUE"""),58.500519967351316)</f>
        <v>58.50051997</v>
      </c>
      <c r="H253" s="31">
        <f>IFERROR(__xludf.DUMMYFUNCTION("""COMPUTED_VALUE"""),2.725386518156255)</f>
        <v>2.725386518</v>
      </c>
      <c r="I253" s="54">
        <f>IFERROR(__xludf.DUMMYFUNCTION("""COMPUTED_VALUE"""),44.0)</f>
        <v>44</v>
      </c>
      <c r="J253" s="55">
        <f>IFERROR(__xludf.DUMMYFUNCTION("""COMPUTED_VALUE"""),19.0)</f>
        <v>19</v>
      </c>
      <c r="K253" s="54">
        <f>IFERROR(__xludf.DUMMYFUNCTION("""COMPUTED_VALUE"""),25.0)</f>
        <v>25</v>
      </c>
      <c r="L253" s="56">
        <f>IFERROR(__xludf.DUMMYFUNCTION("""COMPUTED_VALUE"""),0.4318181818181818)</f>
        <v>0.4318181818</v>
      </c>
      <c r="M253" s="56">
        <f>IFERROR(__xludf.DUMMYFUNCTION("""COMPUTED_VALUE"""),0.2595419847328244)</f>
        <v>0.2595419847</v>
      </c>
      <c r="N253" s="31">
        <f>IFERROR(__xludf.DUMMYFUNCTION("""COMPUTED_VALUE"""),387.0)</f>
        <v>387</v>
      </c>
      <c r="O253" s="57">
        <f>IFERROR(__xludf.DUMMYFUNCTION("""COMPUTED_VALUE"""),0.7727272727272727)</f>
        <v>0.7727272727</v>
      </c>
      <c r="P253" s="57">
        <f>IFERROR(__xludf.DUMMYFUNCTION("""COMPUTED_VALUE"""),0.6590909090909091)</f>
        <v>0.6590909091</v>
      </c>
      <c r="Q253" s="57">
        <f>IFERROR(__xludf.DUMMYFUNCTION("""COMPUTED_VALUE"""),1.7272727272727273)</f>
        <v>1.727272727</v>
      </c>
      <c r="R253" s="57">
        <f>IFERROR(__xludf.DUMMYFUNCTION("""COMPUTED_VALUE"""),2.977272727272727)</f>
        <v>2.977272727</v>
      </c>
      <c r="S253" s="31">
        <f>IFERROR(__xludf.DUMMYFUNCTION("""COMPUTED_VALUE"""),377.48484848484856)</f>
        <v>377.4848485</v>
      </c>
      <c r="T253" s="57">
        <f>IFERROR(__xludf.DUMMYFUNCTION("""COMPUTED_VALUE"""),0.8939393939393938)</f>
        <v>0.8939393939</v>
      </c>
      <c r="U253" s="57">
        <f>IFERROR(__xludf.DUMMYFUNCTION("""COMPUTED_VALUE"""),0.6363636363636361)</f>
        <v>0.6363636364</v>
      </c>
      <c r="V253" s="57">
        <f>IFERROR(__xludf.DUMMYFUNCTION("""COMPUTED_VALUE"""),1.4090909090909092)</f>
        <v>1.409090909</v>
      </c>
      <c r="W253" s="57">
        <f>IFERROR(__xludf.DUMMYFUNCTION("""COMPUTED_VALUE"""),2.8030303030303028)</f>
        <v>2.803030303</v>
      </c>
      <c r="X253" s="31">
        <f>IFERROR(__xludf.DUMMYFUNCTION("""COMPUTED_VALUE"""),365.7983325532408)</f>
        <v>365.7983326</v>
      </c>
      <c r="Y253" s="57">
        <f>IFERROR(__xludf.DUMMYFUNCTION("""COMPUTED_VALUE"""),0.8029661448191547)</f>
        <v>0.8029661448</v>
      </c>
      <c r="Z253" s="57">
        <f>IFERROR(__xludf.DUMMYFUNCTION("""COMPUTED_VALUE"""),0.606408224532617)</f>
        <v>0.6064082245</v>
      </c>
      <c r="AA253" s="57">
        <f>IFERROR(__xludf.DUMMYFUNCTION("""COMPUTED_VALUE"""),1.4249416451096872)</f>
        <v>1.424941645</v>
      </c>
      <c r="AB253" s="57">
        <f>IFERROR(__xludf.DUMMYFUNCTION("""COMPUTED_VALUE"""),2.7280820922821083)</f>
        <v>2.728082092</v>
      </c>
      <c r="AC253" s="31">
        <f>IFERROR(__xludf.DUMMYFUNCTION("""COMPUTED_VALUE"""),357.4139873835453)</f>
        <v>357.4139874</v>
      </c>
      <c r="AD253" s="57">
        <f>IFERROR(__xludf.DUMMYFUNCTION("""COMPUTED_VALUE"""),0.7487141268018185)</f>
        <v>0.7487141268</v>
      </c>
      <c r="AE253" s="57">
        <f>IFERROR(__xludf.DUMMYFUNCTION("""COMPUTED_VALUE"""),0.566439548334321)</f>
        <v>0.5664395483</v>
      </c>
      <c r="AF253" s="57">
        <f>IFERROR(__xludf.DUMMYFUNCTION("""COMPUTED_VALUE"""),1.4398440055508213)</f>
        <v>1.439844006</v>
      </c>
      <c r="AG253" s="57">
        <f>IFERROR(__xludf.DUMMYFUNCTION("""COMPUTED_VALUE"""),2.6154027812425653)</f>
        <v>2.615402781</v>
      </c>
      <c r="AH253" s="57">
        <f>IFERROR(__xludf.DUMMYFUNCTION("""COMPUTED_VALUE"""),1.0827779931978587)</f>
        <v>1.082777993</v>
      </c>
      <c r="AI253" s="57">
        <f>IFERROR(__xludf.DUMMYFUNCTION("""COMPUTED_VALUE"""),1.0320725161524973)</f>
        <v>1.032072516</v>
      </c>
      <c r="AJ253" s="57">
        <f>IFERROR(__xludf.DUMMYFUNCTION("""COMPUTED_VALUE"""),1.1635679588917118)</f>
        <v>1.163567959</v>
      </c>
      <c r="AK253" s="57">
        <f>IFERROR(__xludf.DUMMYFUNCTION("""COMPUTED_VALUE"""),1.1996249042353364)</f>
        <v>1.199624904</v>
      </c>
      <c r="AL253" s="57">
        <f>IFERROR(__xludf.DUMMYFUNCTION("""COMPUTED_VALUE"""),1.1383610771638926)</f>
        <v>1.138361077</v>
      </c>
      <c r="AM253" s="57">
        <f>IFERROR(__xludf.DUMMYFUNCTION("""COMPUTED_VALUE"""),1.0319479748582692)</f>
        <v>1.031947975</v>
      </c>
      <c r="AN253" s="57">
        <f>IFERROR(__xludf.DUMMYFUNCTION("""COMPUTED_VALUE"""),1.1132964941389007)</f>
        <v>1.113296494</v>
      </c>
      <c r="AO253" s="57">
        <f>IFERROR(__xludf.DUMMYFUNCTION("""COMPUTED_VALUE"""),1.0493980962314733)</f>
        <v>1.049398096</v>
      </c>
      <c r="AP253" s="35">
        <f>IFERROR(__xludf.DUMMYFUNCTION("""COMPUTED_VALUE"""),0.988876220950397)</f>
        <v>0.988876221</v>
      </c>
      <c r="AQ253" s="57">
        <f>IFERROR(__xludf.DUMMYFUNCTION("""COMPUTED_VALUE"""),1.0274728575654768)</f>
        <v>1.027472858</v>
      </c>
      <c r="AR253" s="36" t="b">
        <f>IFERROR(__xludf.DUMMYFUNCTION("""COMPUTED_VALUE"""),TRUE)</f>
        <v>1</v>
      </c>
      <c r="AS253" s="57"/>
      <c r="AT253" s="37"/>
      <c r="AU253" s="30"/>
      <c r="AV253" s="30"/>
      <c r="AW253" s="30"/>
      <c r="AX253" s="30"/>
      <c r="AY253" s="30"/>
      <c r="AZ253" s="30"/>
    </row>
    <row r="254">
      <c r="A254" s="30" t="str">
        <f>IFERROR(__xludf.DUMMYFUNCTION("""COMPUTED_VALUE"""),"Elite")</f>
        <v>Elite</v>
      </c>
      <c r="B254" s="30" t="str">
        <f>IFERROR(__xludf.DUMMYFUNCTION("""COMPUTED_VALUE"""),"RSC004966")</f>
        <v>RSC004966</v>
      </c>
      <c r="C254" s="30" t="str">
        <f>IFERROR(__xludf.DUMMYFUNCTION("""COMPUTED_VALUE"""),"Buck")</f>
        <v>Buck</v>
      </c>
      <c r="D254" s="31" t="str">
        <f>IFERROR(__xludf.DUMMYFUNCTION("""COMPUTED_VALUE"""),"Thrashers")</f>
        <v>Thrashers</v>
      </c>
      <c r="E254" s="31">
        <f>IFERROR(__xludf.DUMMYFUNCTION("""COMPUTED_VALUE"""),64.01979712329283)</f>
        <v>64.01979712</v>
      </c>
      <c r="F254" s="31">
        <f>IFERROR(__xludf.DUMMYFUNCTION("""COMPUTED_VALUE"""),3.478627368922318)</f>
        <v>3.478627369</v>
      </c>
      <c r="G254" s="31">
        <f>IFERROR(__xludf.DUMMYFUNCTION("""COMPUTED_VALUE"""),38.210527780253095)</f>
        <v>38.21052778</v>
      </c>
      <c r="H254" s="31">
        <f>IFERROR(__xludf.DUMMYFUNCTION("""COMPUTED_VALUE"""),-3.138596998762139)</f>
        <v>-3.138596999</v>
      </c>
      <c r="I254" s="54">
        <f>IFERROR(__xludf.DUMMYFUNCTION("""COMPUTED_VALUE"""),44.0)</f>
        <v>44</v>
      </c>
      <c r="J254" s="55">
        <f>IFERROR(__xludf.DUMMYFUNCTION("""COMPUTED_VALUE"""),29.0)</f>
        <v>29</v>
      </c>
      <c r="K254" s="54">
        <f>IFERROR(__xludf.DUMMYFUNCTION("""COMPUTED_VALUE"""),15.0)</f>
        <v>15</v>
      </c>
      <c r="L254" s="56">
        <f>IFERROR(__xludf.DUMMYFUNCTION("""COMPUTED_VALUE"""),0.6590909090909091)</f>
        <v>0.6590909091</v>
      </c>
      <c r="M254" s="56">
        <f>IFERROR(__xludf.DUMMYFUNCTION("""COMPUTED_VALUE"""),0.2835820895522388)</f>
        <v>0.2835820896</v>
      </c>
      <c r="N254" s="31">
        <f>IFERROR(__xludf.DUMMYFUNCTION("""COMPUTED_VALUE"""),328.95454545454544)</f>
        <v>328.9545455</v>
      </c>
      <c r="O254" s="57">
        <f>IFERROR(__xludf.DUMMYFUNCTION("""COMPUTED_VALUE"""),0.8636363636363636)</f>
        <v>0.8636363636</v>
      </c>
      <c r="P254" s="57">
        <f>IFERROR(__xludf.DUMMYFUNCTION("""COMPUTED_VALUE"""),0.5)</f>
        <v>0.5</v>
      </c>
      <c r="Q254" s="57">
        <f>IFERROR(__xludf.DUMMYFUNCTION("""COMPUTED_VALUE"""),1.1363636363636365)</f>
        <v>1.136363636</v>
      </c>
      <c r="R254" s="57">
        <f>IFERROR(__xludf.DUMMYFUNCTION("""COMPUTED_VALUE"""),3.0454545454545454)</f>
        <v>3.045454545</v>
      </c>
      <c r="S254" s="31">
        <f>IFERROR(__xludf.DUMMYFUNCTION("""COMPUTED_VALUE"""),365.8333333333334)</f>
        <v>365.8333333</v>
      </c>
      <c r="T254" s="57">
        <f>IFERROR(__xludf.DUMMYFUNCTION("""COMPUTED_VALUE"""),0.787878787878788)</f>
        <v>0.7878787879</v>
      </c>
      <c r="U254" s="57">
        <f>IFERROR(__xludf.DUMMYFUNCTION("""COMPUTED_VALUE"""),0.5606060606060607)</f>
        <v>0.5606060606</v>
      </c>
      <c r="V254" s="57">
        <f>IFERROR(__xludf.DUMMYFUNCTION("""COMPUTED_VALUE"""),1.6136363636363635)</f>
        <v>1.613636364</v>
      </c>
      <c r="W254" s="57">
        <f>IFERROR(__xludf.DUMMYFUNCTION("""COMPUTED_VALUE"""),2.3409090909090913)</f>
        <v>2.340909091</v>
      </c>
      <c r="X254" s="31">
        <f>IFERROR(__xludf.DUMMYFUNCTION("""COMPUTED_VALUE"""),362.3825095085556)</f>
        <v>362.3825095</v>
      </c>
      <c r="Y254" s="57">
        <f>IFERROR(__xludf.DUMMYFUNCTION("""COMPUTED_VALUE"""),0.7976500725872278)</f>
        <v>0.7976500726</v>
      </c>
      <c r="Z254" s="57">
        <f>IFERROR(__xludf.DUMMYFUNCTION("""COMPUTED_VALUE"""),0.6113808592183552)</f>
        <v>0.6113808592</v>
      </c>
      <c r="AA254" s="57">
        <f>IFERROR(__xludf.DUMMYFUNCTION("""COMPUTED_VALUE"""),1.4097251322330187)</f>
        <v>1.409725132</v>
      </c>
      <c r="AB254" s="57">
        <f>IFERROR(__xludf.DUMMYFUNCTION("""COMPUTED_VALUE"""),2.63455577468299)</f>
        <v>2.634555775</v>
      </c>
      <c r="AC254" s="31">
        <f>IFERROR(__xludf.DUMMYFUNCTION("""COMPUTED_VALUE"""),353.52827647619785)</f>
        <v>353.5282765</v>
      </c>
      <c r="AD254" s="57">
        <f>IFERROR(__xludf.DUMMYFUNCTION("""COMPUTED_VALUE"""),0.7419942988218956)</f>
        <v>0.7419942988</v>
      </c>
      <c r="AE254" s="57">
        <f>IFERROR(__xludf.DUMMYFUNCTION("""COMPUTED_VALUE"""),0.5484479830185205)</f>
        <v>0.548447983</v>
      </c>
      <c r="AF254" s="57">
        <f>IFERROR(__xludf.DUMMYFUNCTION("""COMPUTED_VALUE"""),1.4044084038510558)</f>
        <v>1.404408404</v>
      </c>
      <c r="AG254" s="57">
        <f>IFERROR(__xludf.DUMMYFUNCTION("""COMPUTED_VALUE"""),2.616157375887696)</f>
        <v>2.616157376</v>
      </c>
      <c r="AH254" s="57">
        <f>IFERROR(__xludf.DUMMYFUNCTION("""COMPUTED_VALUE"""),0.9304900550909486)</f>
        <v>0.9304900551</v>
      </c>
      <c r="AI254" s="57">
        <f>IFERROR(__xludf.DUMMYFUNCTION("""COMPUTED_VALUE"""),1.1639393523745476)</f>
        <v>1.163939352</v>
      </c>
      <c r="AJ254" s="57">
        <f>IFERROR(__xludf.DUMMYFUNCTION("""COMPUTED_VALUE"""),0.9116634858389397)</f>
        <v>0.9116634858</v>
      </c>
      <c r="AK254" s="57">
        <f>IFERROR(__xludf.DUMMYFUNCTION("""COMPUTED_VALUE"""),0.80914044180282)</f>
        <v>0.8091404418</v>
      </c>
      <c r="AL254" s="57">
        <f>IFERROR(__xludf.DUMMYFUNCTION("""COMPUTED_VALUE"""),1.164094550856744)</f>
        <v>1.164094551</v>
      </c>
      <c r="AM254" s="57">
        <f>IFERROR(__xludf.DUMMYFUNCTION("""COMPUTED_VALUE"""),1.0095226003855917)</f>
        <v>1.0095226</v>
      </c>
      <c r="AN254" s="57">
        <f>IFERROR(__xludf.DUMMYFUNCTION("""COMPUTED_VALUE"""),0.9877499105883034)</f>
        <v>0.9877499106</v>
      </c>
      <c r="AO254" s="57">
        <f>IFERROR(__xludf.DUMMYFUNCTION("""COMPUTED_VALUE"""),0.9169506243993153)</f>
        <v>0.9169506244</v>
      </c>
      <c r="AP254" s="35">
        <f>IFERROR(__xludf.DUMMYFUNCTION("""COMPUTED_VALUE"""),1.1446460921643267)</f>
        <v>1.144646092</v>
      </c>
      <c r="AQ254" s="57">
        <f>IFERROR(__xludf.DUMMYFUNCTION("""COMPUTED_VALUE"""),0.888540342703797)</f>
        <v>0.8885403427</v>
      </c>
      <c r="AR254" s="36" t="b">
        <f>IFERROR(__xludf.DUMMYFUNCTION("""COMPUTED_VALUE"""),TRUE)</f>
        <v>1</v>
      </c>
      <c r="AS254" s="57"/>
      <c r="AT254" s="37"/>
      <c r="AU254" s="30"/>
      <c r="AV254" s="30"/>
      <c r="AW254" s="30"/>
      <c r="AX254" s="30"/>
      <c r="AY254" s="30"/>
      <c r="AZ254" s="30"/>
    </row>
    <row r="255">
      <c r="A255" s="30" t="str">
        <f>IFERROR(__xludf.DUMMYFUNCTION("""COMPUTED_VALUE"""),"Elite")</f>
        <v>Elite</v>
      </c>
      <c r="B255" s="30" t="str">
        <f>IFERROR(__xludf.DUMMYFUNCTION("""COMPUTED_VALUE"""),"RSC006395")</f>
        <v>RSC006395</v>
      </c>
      <c r="C255" s="30" t="str">
        <f>IFERROR(__xludf.DUMMYFUNCTION("""COMPUTED_VALUE"""),"Gizmo")</f>
        <v>Gizmo</v>
      </c>
      <c r="D255" s="31" t="str">
        <f>IFERROR(__xludf.DUMMYFUNCTION("""COMPUTED_VALUE"""),"Forge Defenders")</f>
        <v>Forge Defenders</v>
      </c>
      <c r="E255" s="31">
        <f>IFERROR(__xludf.DUMMYFUNCTION("""COMPUTED_VALUE"""),63.68728127960389)</f>
        <v>63.68728128</v>
      </c>
      <c r="F255" s="31">
        <f>IFERROR(__xludf.DUMMYFUNCTION("""COMPUTED_VALUE"""),3.4244154830073597)</f>
        <v>3.424415483</v>
      </c>
      <c r="G255" s="31">
        <f>IFERROR(__xludf.DUMMYFUNCTION("""COMPUTED_VALUE"""),58.14069646260708)</f>
        <v>58.14069646</v>
      </c>
      <c r="H255" s="31">
        <f>IFERROR(__xludf.DUMMYFUNCTION("""COMPUTED_VALUE"""),2.685623833654185)</f>
        <v>2.685623834</v>
      </c>
      <c r="I255" s="54">
        <f>IFERROR(__xludf.DUMMYFUNCTION("""COMPUTED_VALUE"""),48.0)</f>
        <v>48</v>
      </c>
      <c r="J255" s="55">
        <f>IFERROR(__xludf.DUMMYFUNCTION("""COMPUTED_VALUE"""),29.0)</f>
        <v>29</v>
      </c>
      <c r="K255" s="54">
        <f>IFERROR(__xludf.DUMMYFUNCTION("""COMPUTED_VALUE"""),19.0)</f>
        <v>19</v>
      </c>
      <c r="L255" s="56">
        <f>IFERROR(__xludf.DUMMYFUNCTION("""COMPUTED_VALUE"""),0.6041666666666666)</f>
        <v>0.6041666667</v>
      </c>
      <c r="M255" s="56">
        <f>IFERROR(__xludf.DUMMYFUNCTION("""COMPUTED_VALUE"""),0.28125)</f>
        <v>0.28125</v>
      </c>
      <c r="N255" s="31">
        <f>IFERROR(__xludf.DUMMYFUNCTION("""COMPUTED_VALUE"""),371.4583333333333)</f>
        <v>371.4583333</v>
      </c>
      <c r="O255" s="57">
        <f>IFERROR(__xludf.DUMMYFUNCTION("""COMPUTED_VALUE"""),0.75)</f>
        <v>0.75</v>
      </c>
      <c r="P255" s="57">
        <f>IFERROR(__xludf.DUMMYFUNCTION("""COMPUTED_VALUE"""),0.6041666666666666)</f>
        <v>0.6041666667</v>
      </c>
      <c r="Q255" s="57">
        <f>IFERROR(__xludf.DUMMYFUNCTION("""COMPUTED_VALUE"""),1.375)</f>
        <v>1.375</v>
      </c>
      <c r="R255" s="57">
        <f>IFERROR(__xludf.DUMMYFUNCTION("""COMPUTED_VALUE"""),2.6666666666666665)</f>
        <v>2.666666667</v>
      </c>
      <c r="S255" s="31">
        <f>IFERROR(__xludf.DUMMYFUNCTION("""COMPUTED_VALUE"""),335.37500000000006)</f>
        <v>335.375</v>
      </c>
      <c r="T255" s="57">
        <f>IFERROR(__xludf.DUMMYFUNCTION("""COMPUTED_VALUE"""),0.5972222222222222)</f>
        <v>0.5972222222</v>
      </c>
      <c r="U255" s="57">
        <f>IFERROR(__xludf.DUMMYFUNCTION("""COMPUTED_VALUE"""),0.4791666666666667)</f>
        <v>0.4791666667</v>
      </c>
      <c r="V255" s="57">
        <f>IFERROR(__xludf.DUMMYFUNCTION("""COMPUTED_VALUE"""),1.4791666666666663)</f>
        <v>1.479166667</v>
      </c>
      <c r="W255" s="57">
        <f>IFERROR(__xludf.DUMMYFUNCTION("""COMPUTED_VALUE"""),2.4166666666666674)</f>
        <v>2.416666667</v>
      </c>
      <c r="X255" s="31">
        <f>IFERROR(__xludf.DUMMYFUNCTION("""COMPUTED_VALUE"""),366.18834466800246)</f>
        <v>366.1883447</v>
      </c>
      <c r="Y255" s="57">
        <f>IFERROR(__xludf.DUMMYFUNCTION("""COMPUTED_VALUE"""),0.8168631300949228)</f>
        <v>0.8168631301</v>
      </c>
      <c r="Z255" s="57">
        <f>IFERROR(__xludf.DUMMYFUNCTION("""COMPUTED_VALUE"""),0.5730162583323687)</f>
        <v>0.5730162583</v>
      </c>
      <c r="AA255" s="57">
        <f>IFERROR(__xludf.DUMMYFUNCTION("""COMPUTED_VALUE"""),1.4337928721528213)</f>
        <v>1.433792872</v>
      </c>
      <c r="AB255" s="57">
        <f>IFERROR(__xludf.DUMMYFUNCTION("""COMPUTED_VALUE"""),2.7196099841790566)</f>
        <v>2.719609984</v>
      </c>
      <c r="AC255" s="31">
        <f>IFERROR(__xludf.DUMMYFUNCTION("""COMPUTED_VALUE"""),360.696425009782)</f>
        <v>360.696425</v>
      </c>
      <c r="AD255" s="57">
        <f>IFERROR(__xludf.DUMMYFUNCTION("""COMPUTED_VALUE"""),0.763661545203049)</f>
        <v>0.7636615452</v>
      </c>
      <c r="AE255" s="57">
        <f>IFERROR(__xludf.DUMMYFUNCTION("""COMPUTED_VALUE"""),0.5721172132669804)</f>
        <v>0.5721172133</v>
      </c>
      <c r="AF255" s="57">
        <f>IFERROR(__xludf.DUMMYFUNCTION("""COMPUTED_VALUE"""),1.4512248706401945)</f>
        <v>1.451224871</v>
      </c>
      <c r="AG255" s="57">
        <f>IFERROR(__xludf.DUMMYFUNCTION("""COMPUTED_VALUE"""),2.632317862834536)</f>
        <v>2.632317863</v>
      </c>
      <c r="AH255" s="57">
        <f>IFERROR(__xludf.DUMMYFUNCTION("""COMPUTED_VALUE"""),1.0298364707198289)</f>
        <v>1.029836471</v>
      </c>
      <c r="AI255" s="57">
        <f>IFERROR(__xludf.DUMMYFUNCTION("""COMPUTED_VALUE"""),0.9821104712043389)</f>
        <v>0.9821104712</v>
      </c>
      <c r="AJ255" s="57">
        <f>IFERROR(__xludf.DUMMYFUNCTION("""COMPUTED_VALUE"""),1.0560190336114397)</f>
        <v>1.056019034</v>
      </c>
      <c r="AK255" s="57">
        <f>IFERROR(__xludf.DUMMYFUNCTION("""COMPUTED_VALUE"""),0.9474754931628421)</f>
        <v>0.9474754932</v>
      </c>
      <c r="AL255" s="57">
        <f>IFERROR(__xludf.DUMMYFUNCTION("""COMPUTED_VALUE"""),1.0130488814884777)</f>
        <v>1.013048881</v>
      </c>
      <c r="AM255" s="57">
        <f>IFERROR(__xludf.DUMMYFUNCTION("""COMPUTED_VALUE"""),0.9158538355557474)</f>
        <v>0.9158538356</v>
      </c>
      <c r="AN255" s="57">
        <f>IFERROR(__xludf.DUMMYFUNCTION("""COMPUTED_VALUE"""),0.7311166341328473)</f>
        <v>0.7311166341</v>
      </c>
      <c r="AO255" s="57">
        <f>IFERROR(__xludf.DUMMYFUNCTION("""COMPUTED_VALUE"""),0.8362182742618341)</f>
        <v>0.8362182743</v>
      </c>
      <c r="AP255" s="35">
        <f>IFERROR(__xludf.DUMMYFUNCTION("""COMPUTED_VALUE"""),1.0316459897347074)</f>
        <v>1.03164599</v>
      </c>
      <c r="AQ255" s="57">
        <f>IFERROR(__xludf.DUMMYFUNCTION("""COMPUTED_VALUE"""),0.8886078080038246)</f>
        <v>0.888607808</v>
      </c>
      <c r="AR255" s="36" t="b">
        <f>IFERROR(__xludf.DUMMYFUNCTION("""COMPUTED_VALUE"""),TRUE)</f>
        <v>1</v>
      </c>
      <c r="AS255" s="57"/>
      <c r="AT255" s="37"/>
      <c r="AU255" s="30"/>
      <c r="AV255" s="30"/>
      <c r="AW255" s="30"/>
      <c r="AX255" s="30"/>
      <c r="AY255" s="30"/>
      <c r="AZ255" s="30"/>
    </row>
    <row r="256">
      <c r="A256" s="30" t="str">
        <f>IFERROR(__xludf.DUMMYFUNCTION("""COMPUTED_VALUE"""),"Elite")</f>
        <v>Elite</v>
      </c>
      <c r="B256" s="30" t="str">
        <f>IFERROR(__xludf.DUMMYFUNCTION("""COMPUTED_VALUE"""),"RSC006783")</f>
        <v>RSC006783</v>
      </c>
      <c r="C256" s="30" t="str">
        <f>IFERROR(__xludf.DUMMYFUNCTION("""COMPUTED_VALUE"""),"ImSouperGreat")</f>
        <v>ImSouperGreat</v>
      </c>
      <c r="D256" s="31" t="str">
        <f>IFERROR(__xludf.DUMMYFUNCTION("""COMPUTED_VALUE"""),"Sloths")</f>
        <v>Sloths</v>
      </c>
      <c r="E256" s="31">
        <f>IFERROR(__xludf.DUMMYFUNCTION("""COMPUTED_VALUE"""),63.5239904828198)</f>
        <v>63.52399048</v>
      </c>
      <c r="F256" s="31">
        <f>IFERROR(__xludf.DUMMYFUNCTION("""COMPUTED_VALUE"""),3.398266180453111)</f>
        <v>3.39826618</v>
      </c>
      <c r="G256" s="31">
        <f>IFERROR(__xludf.DUMMYFUNCTION("""COMPUTED_VALUE"""),58.904407162778334)</f>
        <v>58.90440716</v>
      </c>
      <c r="H256" s="31">
        <f>IFERROR(__xludf.DUMMYFUNCTION("""COMPUTED_VALUE"""),2.7712017559815223)</f>
        <v>2.771201756</v>
      </c>
      <c r="I256" s="54">
        <f>IFERROR(__xludf.DUMMYFUNCTION("""COMPUTED_VALUE"""),48.0)</f>
        <v>48</v>
      </c>
      <c r="J256" s="55">
        <f>IFERROR(__xludf.DUMMYFUNCTION("""COMPUTED_VALUE"""),23.0)</f>
        <v>23</v>
      </c>
      <c r="K256" s="54">
        <f>IFERROR(__xludf.DUMMYFUNCTION("""COMPUTED_VALUE"""),25.0)</f>
        <v>25</v>
      </c>
      <c r="L256" s="56">
        <f>IFERROR(__xludf.DUMMYFUNCTION("""COMPUTED_VALUE"""),0.4791666666666667)</f>
        <v>0.4791666667</v>
      </c>
      <c r="M256" s="56">
        <f>IFERROR(__xludf.DUMMYFUNCTION("""COMPUTED_VALUE"""),0.3387096774193548)</f>
        <v>0.3387096774</v>
      </c>
      <c r="N256" s="31">
        <f>IFERROR(__xludf.DUMMYFUNCTION("""COMPUTED_VALUE"""),407.9375)</f>
        <v>407.9375</v>
      </c>
      <c r="O256" s="57">
        <f>IFERROR(__xludf.DUMMYFUNCTION("""COMPUTED_VALUE"""),0.875)</f>
        <v>0.875</v>
      </c>
      <c r="P256" s="57">
        <f>IFERROR(__xludf.DUMMYFUNCTION("""COMPUTED_VALUE"""),0.5416666666666666)</f>
        <v>0.5416666667</v>
      </c>
      <c r="Q256" s="57">
        <f>IFERROR(__xludf.DUMMYFUNCTION("""COMPUTED_VALUE"""),1.9375)</f>
        <v>1.9375</v>
      </c>
      <c r="R256" s="57">
        <f>IFERROR(__xludf.DUMMYFUNCTION("""COMPUTED_VALUE"""),2.5833333333333335)</f>
        <v>2.583333333</v>
      </c>
      <c r="S256" s="31">
        <f>IFERROR(__xludf.DUMMYFUNCTION("""COMPUTED_VALUE"""),354.3194444444445)</f>
        <v>354.3194444</v>
      </c>
      <c r="T256" s="57">
        <f>IFERROR(__xludf.DUMMYFUNCTION("""COMPUTED_VALUE"""),0.7083333333333331)</f>
        <v>0.7083333333</v>
      </c>
      <c r="U256" s="57">
        <f>IFERROR(__xludf.DUMMYFUNCTION("""COMPUTED_VALUE"""),0.5347222222222222)</f>
        <v>0.5347222222</v>
      </c>
      <c r="V256" s="57">
        <f>IFERROR(__xludf.DUMMYFUNCTION("""COMPUTED_VALUE"""),1.4652777777777777)</f>
        <v>1.465277778</v>
      </c>
      <c r="W256" s="57">
        <f>IFERROR(__xludf.DUMMYFUNCTION("""COMPUTED_VALUE"""),2.673611111111111)</f>
        <v>2.673611111</v>
      </c>
      <c r="X256" s="31">
        <f>IFERROR(__xludf.DUMMYFUNCTION("""COMPUTED_VALUE"""),363.23077200391594)</f>
        <v>363.230772</v>
      </c>
      <c r="Y256" s="57">
        <f>IFERROR(__xludf.DUMMYFUNCTION("""COMPUTED_VALUE"""),0.7746166878774022)</f>
        <v>0.7746166879</v>
      </c>
      <c r="Z256" s="57">
        <f>IFERROR(__xludf.DUMMYFUNCTION("""COMPUTED_VALUE"""),0.601334526419628)</f>
        <v>0.6013345264</v>
      </c>
      <c r="AA256" s="57">
        <f>IFERROR(__xludf.DUMMYFUNCTION("""COMPUTED_VALUE"""),1.43489538020329)</f>
        <v>1.43489538</v>
      </c>
      <c r="AB256" s="57">
        <f>IFERROR(__xludf.DUMMYFUNCTION("""COMPUTED_VALUE"""),2.6422969932430953)</f>
        <v>2.642296993</v>
      </c>
      <c r="AC256" s="31">
        <f>IFERROR(__xludf.DUMMYFUNCTION("""COMPUTED_VALUE"""),365.20386466708527)</f>
        <v>365.2038647</v>
      </c>
      <c r="AD256" s="57">
        <f>IFERROR(__xludf.DUMMYFUNCTION("""COMPUTED_VALUE"""),0.7816582281951159)</f>
        <v>0.7816582282</v>
      </c>
      <c r="AE256" s="57">
        <f>IFERROR(__xludf.DUMMYFUNCTION("""COMPUTED_VALUE"""),0.5855246266475067)</f>
        <v>0.5855246266</v>
      </c>
      <c r="AF256" s="57">
        <f>IFERROR(__xludf.DUMMYFUNCTION("""COMPUTED_VALUE"""),1.4746636218705822)</f>
        <v>1.474663622</v>
      </c>
      <c r="AG256" s="57">
        <f>IFERROR(__xludf.DUMMYFUNCTION("""COMPUTED_VALUE"""),2.6653824508141066)</f>
        <v>2.665382451</v>
      </c>
      <c r="AH256" s="57">
        <f>IFERROR(__xludf.DUMMYFUNCTION("""COMPUTED_VALUE"""),1.117013097251504)</f>
        <v>1.117013097</v>
      </c>
      <c r="AI256" s="57">
        <f>IFERROR(__xludf.DUMMYFUNCTION("""COMPUTED_VALUE"""),1.1194150697043317)</f>
        <v>1.11941507</v>
      </c>
      <c r="AJ256" s="57">
        <f>IFERROR(__xludf.DUMMYFUNCTION("""COMPUTED_VALUE"""),0.9250963017013405)</f>
        <v>0.9250963017</v>
      </c>
      <c r="AK256" s="57">
        <f>IFERROR(__xludf.DUMMYFUNCTION("""COMPUTED_VALUE"""),1.313858951468755)</f>
        <v>1.313858951</v>
      </c>
      <c r="AL256" s="57">
        <f>IFERROR(__xludf.DUMMYFUNCTION("""COMPUTED_VALUE"""),0.969216756321138)</f>
        <v>0.9692167563</v>
      </c>
      <c r="AM256" s="57">
        <f>IFERROR(__xludf.DUMMYFUNCTION("""COMPUTED_VALUE"""),0.9754664850934619)</f>
        <v>0.9754664851</v>
      </c>
      <c r="AN256" s="57">
        <f>IFERROR(__xludf.DUMMYFUNCTION("""COMPUTED_VALUE"""),0.9144307686867705)</f>
        <v>0.9144307687</v>
      </c>
      <c r="AO256" s="57">
        <f>IFERROR(__xludf.DUMMYFUNCTION("""COMPUTED_VALUE"""),0.8892258779917089)</f>
        <v>0.889225878</v>
      </c>
      <c r="AP256" s="35">
        <f>IFERROR(__xludf.DUMMYFUNCTION("""COMPUTED_VALUE"""),1.0211739461940308)</f>
        <v>1.021173946</v>
      </c>
      <c r="AQ256" s="57">
        <f>IFERROR(__xludf.DUMMYFUNCTION("""COMPUTED_VALUE"""),1.0118510969615047)</f>
        <v>1.011851097</v>
      </c>
      <c r="AR256" s="36" t="b">
        <f>IFERROR(__xludf.DUMMYFUNCTION("""COMPUTED_VALUE"""),TRUE)</f>
        <v>1</v>
      </c>
      <c r="AS256" s="57"/>
      <c r="AT256" s="37"/>
      <c r="AU256" s="30"/>
      <c r="AV256" s="30"/>
      <c r="AW256" s="30"/>
      <c r="AX256" s="30"/>
      <c r="AY256" s="30"/>
      <c r="AZ256" s="30"/>
    </row>
    <row r="257">
      <c r="A257" s="30" t="str">
        <f>IFERROR(__xludf.DUMMYFUNCTION("""COMPUTED_VALUE"""),"Elite")</f>
        <v>Elite</v>
      </c>
      <c r="B257" s="30" t="str">
        <f>IFERROR(__xludf.DUMMYFUNCTION("""COMPUTED_VALUE"""),"RSC003953")</f>
        <v>RSC003953</v>
      </c>
      <c r="C257" s="30" t="str">
        <f>IFERROR(__xludf.DUMMYFUNCTION("""COMPUTED_VALUE"""),"JustAWestGuy")</f>
        <v>JustAWestGuy</v>
      </c>
      <c r="D257" s="31" t="str">
        <f>IFERROR(__xludf.DUMMYFUNCTION("""COMPUTED_VALUE"""),"Sloths")</f>
        <v>Sloths</v>
      </c>
      <c r="E257" s="31">
        <f>IFERROR(__xludf.DUMMYFUNCTION("""COMPUTED_VALUE"""),63.28875853712378)</f>
        <v>63.28875854</v>
      </c>
      <c r="F257" s="31">
        <f>IFERROR(__xludf.DUMMYFUNCTION("""COMPUTED_VALUE"""),3.361132893690671)</f>
        <v>3.361132894</v>
      </c>
      <c r="G257" s="31">
        <f>IFERROR(__xludf.DUMMYFUNCTION("""COMPUTED_VALUE"""),47.36082652627083)</f>
        <v>47.36082653</v>
      </c>
      <c r="H257" s="31">
        <f>IFERROR(__xludf.DUMMYFUNCTION("""COMPUTED_VALUE"""),-2.1835826189350147)</f>
        <v>-2.183582619</v>
      </c>
      <c r="I257" s="54">
        <f>IFERROR(__xludf.DUMMYFUNCTION("""COMPUTED_VALUE"""),8.0)</f>
        <v>8</v>
      </c>
      <c r="J257" s="55">
        <f>IFERROR(__xludf.DUMMYFUNCTION("""COMPUTED_VALUE"""),2.0)</f>
        <v>2</v>
      </c>
      <c r="K257" s="54">
        <f>IFERROR(__xludf.DUMMYFUNCTION("""COMPUTED_VALUE"""),6.0)</f>
        <v>6</v>
      </c>
      <c r="L257" s="56">
        <f>IFERROR(__xludf.DUMMYFUNCTION("""COMPUTED_VALUE"""),0.25)</f>
        <v>0.25</v>
      </c>
      <c r="M257" s="56">
        <f>IFERROR(__xludf.DUMMYFUNCTION("""COMPUTED_VALUE"""),0.4444444444444444)</f>
        <v>0.4444444444</v>
      </c>
      <c r="N257" s="31">
        <f>IFERROR(__xludf.DUMMYFUNCTION("""COMPUTED_VALUE"""),324.0)</f>
        <v>324</v>
      </c>
      <c r="O257" s="57">
        <f>IFERROR(__xludf.DUMMYFUNCTION("""COMPUTED_VALUE"""),1.0)</f>
        <v>1</v>
      </c>
      <c r="P257" s="57">
        <f>IFERROR(__xludf.DUMMYFUNCTION("""COMPUTED_VALUE"""),0.375)</f>
        <v>0.375</v>
      </c>
      <c r="Q257" s="57">
        <f>IFERROR(__xludf.DUMMYFUNCTION("""COMPUTED_VALUE"""),0.875)</f>
        <v>0.875</v>
      </c>
      <c r="R257" s="57">
        <f>IFERROR(__xludf.DUMMYFUNCTION("""COMPUTED_VALUE"""),2.25)</f>
        <v>2.25</v>
      </c>
      <c r="S257" s="31">
        <f>IFERROR(__xludf.DUMMYFUNCTION("""COMPUTED_VALUE"""),341.25)</f>
        <v>341.25</v>
      </c>
      <c r="T257" s="57">
        <f>IFERROR(__xludf.DUMMYFUNCTION("""COMPUTED_VALUE"""),0.8333333333333333)</f>
        <v>0.8333333333</v>
      </c>
      <c r="U257" s="57">
        <f>IFERROR(__xludf.DUMMYFUNCTION("""COMPUTED_VALUE"""),0.625)</f>
        <v>0.625</v>
      </c>
      <c r="V257" s="57">
        <f>IFERROR(__xludf.DUMMYFUNCTION("""COMPUTED_VALUE"""),1.0416666666666667)</f>
        <v>1.041666667</v>
      </c>
      <c r="W257" s="57">
        <f>IFERROR(__xludf.DUMMYFUNCTION("""COMPUTED_VALUE"""),2.9999999999999996)</f>
        <v>3</v>
      </c>
      <c r="X257" s="31">
        <f>IFERROR(__xludf.DUMMYFUNCTION("""COMPUTED_VALUE"""),366.4436859677938)</f>
        <v>366.443686</v>
      </c>
      <c r="Y257" s="57">
        <f>IFERROR(__xludf.DUMMYFUNCTION("""COMPUTED_VALUE"""),0.852830188160815)</f>
        <v>0.8528301882</v>
      </c>
      <c r="Z257" s="57">
        <f>IFERROR(__xludf.DUMMYFUNCTION("""COMPUTED_VALUE"""),0.6675523957575882)</f>
        <v>0.6675523958</v>
      </c>
      <c r="AA257" s="57">
        <f>IFERROR(__xludf.DUMMYFUNCTION("""COMPUTED_VALUE"""),1.3103844701253482)</f>
        <v>1.31038447</v>
      </c>
      <c r="AB257" s="57">
        <f>IFERROR(__xludf.DUMMYFUNCTION("""COMPUTED_VALUE"""),2.824266180212118)</f>
        <v>2.82426618</v>
      </c>
      <c r="AC257" s="31">
        <f>IFERROR(__xludf.DUMMYFUNCTION("""COMPUTED_VALUE"""),327.4308791411628)</f>
        <v>327.4308791</v>
      </c>
      <c r="AD257" s="57">
        <f>IFERROR(__xludf.DUMMYFUNCTION("""COMPUTED_VALUE"""),0.5747810551533933)</f>
        <v>0.5747810552</v>
      </c>
      <c r="AE257" s="57">
        <f>IFERROR(__xludf.DUMMYFUNCTION("""COMPUTED_VALUE"""),0.4595545427475393)</f>
        <v>0.4595545427</v>
      </c>
      <c r="AF257" s="57">
        <f>IFERROR(__xludf.DUMMYFUNCTION("""COMPUTED_VALUE"""),1.4743654526107413)</f>
        <v>1.474365453</v>
      </c>
      <c r="AG257" s="57">
        <f>IFERROR(__xludf.DUMMYFUNCTION("""COMPUTED_VALUE"""),2.313338703368386)</f>
        <v>2.313338703</v>
      </c>
      <c r="AH257" s="57">
        <f>IFERROR(__xludf.DUMMYFUNCTION("""COMPUTED_VALUE"""),0.9895218216737474)</f>
        <v>0.9895218217</v>
      </c>
      <c r="AI257" s="57">
        <f>IFERROR(__xludf.DUMMYFUNCTION("""COMPUTED_VALUE"""),1.739792902069689)</f>
        <v>1.739792902</v>
      </c>
      <c r="AJ257" s="57">
        <f>IFERROR(__xludf.DUMMYFUNCTION("""COMPUTED_VALUE"""),0.8160076010955893)</f>
        <v>0.8160076011</v>
      </c>
      <c r="AK257" s="57">
        <f>IFERROR(__xludf.DUMMYFUNCTION("""COMPUTED_VALUE"""),0.5934756531703782)</f>
        <v>0.5934756532</v>
      </c>
      <c r="AL257" s="57">
        <f>IFERROR(__xludf.DUMMYFUNCTION("""COMPUTED_VALUE"""),0.9726202206031652)</f>
        <v>0.9726202206</v>
      </c>
      <c r="AM257" s="57">
        <f>IFERROR(__xludf.DUMMYFUNCTION("""COMPUTED_VALUE"""),0.93124813734679)</f>
        <v>0.9312481373</v>
      </c>
      <c r="AN257" s="57">
        <f>IFERROR(__xludf.DUMMYFUNCTION("""COMPUTED_VALUE"""),0.9771386436618431)</f>
        <v>0.9771386437</v>
      </c>
      <c r="AO257" s="57">
        <f>IFERROR(__xludf.DUMMYFUNCTION("""COMPUTED_VALUE"""),0.9362560961086859)</f>
        <v>0.9362560961</v>
      </c>
      <c r="AP257" s="35">
        <f>IFERROR(__xludf.DUMMYFUNCTION("""COMPUTED_VALUE"""),0.7949320908595806)</f>
        <v>0.7949320909</v>
      </c>
      <c r="AQ257" s="57">
        <f>IFERROR(__xludf.DUMMYFUNCTION("""COMPUTED_VALUE"""),1.0622228248240693)</f>
        <v>1.062222825</v>
      </c>
      <c r="AR257" s="36" t="b">
        <f>IFERROR(__xludf.DUMMYFUNCTION("""COMPUTED_VALUE"""),TRUE)</f>
        <v>1</v>
      </c>
      <c r="AS257" s="57"/>
      <c r="AT257" s="37"/>
      <c r="AU257" s="30"/>
      <c r="AV257" s="30"/>
      <c r="AW257" s="30"/>
      <c r="AX257" s="30"/>
      <c r="AY257" s="30"/>
      <c r="AZ257" s="30"/>
    </row>
    <row r="258">
      <c r="A258" s="30" t="str">
        <f>IFERROR(__xludf.DUMMYFUNCTION("""COMPUTED_VALUE"""),"Elite")</f>
        <v>Elite</v>
      </c>
      <c r="B258" s="30" t="str">
        <f>IFERROR(__xludf.DUMMYFUNCTION("""COMPUTED_VALUE"""),"RSC007580")</f>
        <v>RSC007580</v>
      </c>
      <c r="C258" s="30" t="str">
        <f>IFERROR(__xludf.DUMMYFUNCTION("""COMPUTED_VALUE"""),"M4ttiusM4ximu5")</f>
        <v>M4ttiusM4ximu5</v>
      </c>
      <c r="D258" s="31" t="str">
        <f>IFERROR(__xludf.DUMMYFUNCTION("""COMPUTED_VALUE"""),"Pixel Picassos")</f>
        <v>Pixel Picassos</v>
      </c>
      <c r="E258" s="31">
        <f>IFERROR(__xludf.DUMMYFUNCTION("""COMPUTED_VALUE"""),60.3596575182301)</f>
        <v>60.35965752</v>
      </c>
      <c r="F258" s="31">
        <f>IFERROR(__xludf.DUMMYFUNCTION("""COMPUTED_VALUE"""),2.947282459536707)</f>
        <v>2.94728246</v>
      </c>
      <c r="G258" s="31">
        <f>IFERROR(__xludf.DUMMYFUNCTION("""COMPUTED_VALUE"""),51.64237512778219)</f>
        <v>51.64237513</v>
      </c>
      <c r="H258" s="31">
        <f>IFERROR(__xludf.DUMMYFUNCTION("""COMPUTED_VALUE"""),2.110549196828659)</f>
        <v>2.110549197</v>
      </c>
      <c r="I258" s="54">
        <f>IFERROR(__xludf.DUMMYFUNCTION("""COMPUTED_VALUE"""),40.0)</f>
        <v>40</v>
      </c>
      <c r="J258" s="55">
        <f>IFERROR(__xludf.DUMMYFUNCTION("""COMPUTED_VALUE"""),21.0)</f>
        <v>21</v>
      </c>
      <c r="K258" s="54">
        <f>IFERROR(__xludf.DUMMYFUNCTION("""COMPUTED_VALUE"""),19.0)</f>
        <v>19</v>
      </c>
      <c r="L258" s="56">
        <f>IFERROR(__xludf.DUMMYFUNCTION("""COMPUTED_VALUE"""),0.525)</f>
        <v>0.525</v>
      </c>
      <c r="M258" s="56">
        <f>IFERROR(__xludf.DUMMYFUNCTION("""COMPUTED_VALUE"""),0.2972972972972973)</f>
        <v>0.2972972973</v>
      </c>
      <c r="N258" s="31">
        <f>IFERROR(__xludf.DUMMYFUNCTION("""COMPUTED_VALUE"""),355.95)</f>
        <v>355.95</v>
      </c>
      <c r="O258" s="57">
        <f>IFERROR(__xludf.DUMMYFUNCTION("""COMPUTED_VALUE"""),0.825)</f>
        <v>0.825</v>
      </c>
      <c r="P258" s="57">
        <f>IFERROR(__xludf.DUMMYFUNCTION("""COMPUTED_VALUE"""),0.675)</f>
        <v>0.675</v>
      </c>
      <c r="Q258" s="57">
        <f>IFERROR(__xludf.DUMMYFUNCTION("""COMPUTED_VALUE"""),1.175)</f>
        <v>1.175</v>
      </c>
      <c r="R258" s="57">
        <f>IFERROR(__xludf.DUMMYFUNCTION("""COMPUTED_VALUE"""),2.775)</f>
        <v>2.775</v>
      </c>
      <c r="S258" s="31">
        <f>IFERROR(__xludf.DUMMYFUNCTION("""COMPUTED_VALUE"""),375.17500000000007)</f>
        <v>375.175</v>
      </c>
      <c r="T258" s="57">
        <f>IFERROR(__xludf.DUMMYFUNCTION("""COMPUTED_VALUE"""),0.816666666666667)</f>
        <v>0.8166666667</v>
      </c>
      <c r="U258" s="57">
        <f>IFERROR(__xludf.DUMMYFUNCTION("""COMPUTED_VALUE"""),0.5999999999999999)</f>
        <v>0.6</v>
      </c>
      <c r="V258" s="57">
        <f>IFERROR(__xludf.DUMMYFUNCTION("""COMPUTED_VALUE"""),1.5749999999999997)</f>
        <v>1.575</v>
      </c>
      <c r="W258" s="57">
        <f>IFERROR(__xludf.DUMMYFUNCTION("""COMPUTED_VALUE"""),2.5916666666666663)</f>
        <v>2.591666667</v>
      </c>
      <c r="X258" s="31">
        <f>IFERROR(__xludf.DUMMYFUNCTION("""COMPUTED_VALUE"""),363.61131848129924)</f>
        <v>363.6113185</v>
      </c>
      <c r="Y258" s="57">
        <f>IFERROR(__xludf.DUMMYFUNCTION("""COMPUTED_VALUE"""),0.7667470410953247)</f>
        <v>0.7667470411</v>
      </c>
      <c r="Z258" s="57">
        <f>IFERROR(__xludf.DUMMYFUNCTION("""COMPUTED_VALUE"""),0.5794876276746342)</f>
        <v>0.5794876277</v>
      </c>
      <c r="AA258" s="57">
        <f>IFERROR(__xludf.DUMMYFUNCTION("""COMPUTED_VALUE"""),1.4967320417310426)</f>
        <v>1.496732042</v>
      </c>
      <c r="AB258" s="57">
        <f>IFERROR(__xludf.DUMMYFUNCTION("""COMPUTED_VALUE"""),2.574691176998158)</f>
        <v>2.574691177</v>
      </c>
      <c r="AC258" s="31">
        <f>IFERROR(__xludf.DUMMYFUNCTION("""COMPUTED_VALUE"""),366.82572489139494)</f>
        <v>366.8257249</v>
      </c>
      <c r="AD258" s="57">
        <f>IFERROR(__xludf.DUMMYFUNCTION("""COMPUTED_VALUE"""),0.810453712909273)</f>
        <v>0.8104537129</v>
      </c>
      <c r="AE258" s="57">
        <f>IFERROR(__xludf.DUMMYFUNCTION("""COMPUTED_VALUE"""),0.6070340537964654)</f>
        <v>0.6070340538</v>
      </c>
      <c r="AF258" s="57">
        <f>IFERROR(__xludf.DUMMYFUNCTION("""COMPUTED_VALUE"""),1.400375262779021)</f>
        <v>1.400375263</v>
      </c>
      <c r="AG258" s="57">
        <f>IFERROR(__xludf.DUMMYFUNCTION("""COMPUTED_VALUE"""),2.761283518348395)</f>
        <v>2.761283518</v>
      </c>
      <c r="AH258" s="57">
        <f>IFERROR(__xludf.DUMMYFUNCTION("""COMPUTED_VALUE"""),0.9703517933628704)</f>
        <v>0.9703517934</v>
      </c>
      <c r="AI258" s="57">
        <f>IFERROR(__xludf.DUMMYFUNCTION("""COMPUTED_VALUE"""),1.0179483255601487)</f>
        <v>1.017948326</v>
      </c>
      <c r="AJ258" s="57">
        <f>IFERROR(__xludf.DUMMYFUNCTION("""COMPUTED_VALUE"""),1.1119639759556608)</f>
        <v>1.111963976</v>
      </c>
      <c r="AK258" s="57">
        <f>IFERROR(__xludf.DUMMYFUNCTION("""COMPUTED_VALUE"""),0.8390608083637756)</f>
        <v>0.8390608084</v>
      </c>
      <c r="AL258" s="57">
        <f>IFERROR(__xludf.DUMMYFUNCTION("""COMPUTED_VALUE"""),1.0049674296610474)</f>
        <v>1.00496743</v>
      </c>
      <c r="AM258" s="57">
        <f>IFERROR(__xludf.DUMMYFUNCTION("""COMPUTED_VALUE"""),1.0318023145346493)</f>
        <v>1.031802315</v>
      </c>
      <c r="AN258" s="57">
        <f>IFERROR(__xludf.DUMMYFUNCTION("""COMPUTED_VALUE"""),1.0651057296550248)</f>
        <v>1.06510573</v>
      </c>
      <c r="AO258" s="57">
        <f>IFERROR(__xludf.DUMMYFUNCTION("""COMPUTED_VALUE"""),1.0353974292905572)</f>
        <v>1.035397429</v>
      </c>
      <c r="AP258" s="35">
        <f>IFERROR(__xludf.DUMMYFUNCTION("""COMPUTED_VALUE"""),1.0522925654604391)</f>
        <v>1.052292565</v>
      </c>
      <c r="AQ258" s="57">
        <f>IFERROR(__xludf.DUMMYFUNCTION("""COMPUTED_VALUE"""),1.006593213904706)</f>
        <v>1.006593214</v>
      </c>
      <c r="AR258" s="36" t="b">
        <f>IFERROR(__xludf.DUMMYFUNCTION("""COMPUTED_VALUE"""),TRUE)</f>
        <v>1</v>
      </c>
      <c r="AS258" s="57"/>
      <c r="AT258" s="37"/>
      <c r="AU258" s="30"/>
      <c r="AV258" s="30"/>
      <c r="AW258" s="30"/>
      <c r="AX258" s="30"/>
      <c r="AY258" s="30"/>
      <c r="AZ258" s="30"/>
    </row>
    <row r="259">
      <c r="A259" s="30" t="str">
        <f>IFERROR(__xludf.DUMMYFUNCTION("""COMPUTED_VALUE"""),"Elite")</f>
        <v>Elite</v>
      </c>
      <c r="B259" s="30" t="str">
        <f>IFERROR(__xludf.DUMMYFUNCTION("""COMPUTED_VALUE"""),"RSC000626")</f>
        <v>RSC000626</v>
      </c>
      <c r="C259" s="30" t="str">
        <f>IFERROR(__xludf.DUMMYFUNCTION("""COMPUTED_VALUE"""),"Canadian Things")</f>
        <v>Canadian Things</v>
      </c>
      <c r="D259" s="31" t="str">
        <f>IFERROR(__xludf.DUMMYFUNCTION("""COMPUTED_VALUE"""),"Menthol")</f>
        <v>Menthol</v>
      </c>
      <c r="E259" s="31">
        <f>IFERROR(__xludf.DUMMYFUNCTION("""COMPUTED_VALUE"""),59.408948755969845)</f>
        <v>59.40894876</v>
      </c>
      <c r="F259" s="31">
        <f>IFERROR(__xludf.DUMMYFUNCTION("""COMPUTED_VALUE"""),2.8302522158604435)</f>
        <v>2.830252216</v>
      </c>
      <c r="G259" s="31">
        <f>IFERROR(__xludf.DUMMYFUNCTION("""COMPUTED_VALUE"""),48.70590487873608)</f>
        <v>48.70590488</v>
      </c>
      <c r="H259" s="31">
        <f>IFERROR(__xludf.DUMMYFUNCTION("""COMPUTED_VALUE"""),-2.086121572996082)</f>
        <v>-2.086121573</v>
      </c>
      <c r="I259" s="54">
        <f>IFERROR(__xludf.DUMMYFUNCTION("""COMPUTED_VALUE"""),27.0)</f>
        <v>27</v>
      </c>
      <c r="J259" s="55">
        <f>IFERROR(__xludf.DUMMYFUNCTION("""COMPUTED_VALUE"""),15.0)</f>
        <v>15</v>
      </c>
      <c r="K259" s="54">
        <f>IFERROR(__xludf.DUMMYFUNCTION("""COMPUTED_VALUE"""),12.0)</f>
        <v>12</v>
      </c>
      <c r="L259" s="56">
        <f>IFERROR(__xludf.DUMMYFUNCTION("""COMPUTED_VALUE"""),0.5555555555555556)</f>
        <v>0.5555555556</v>
      </c>
      <c r="M259" s="56">
        <f>IFERROR(__xludf.DUMMYFUNCTION("""COMPUTED_VALUE"""),0.3333333333333333)</f>
        <v>0.3333333333</v>
      </c>
      <c r="N259" s="31">
        <f>IFERROR(__xludf.DUMMYFUNCTION("""COMPUTED_VALUE"""),349.82608695652175)</f>
        <v>349.826087</v>
      </c>
      <c r="O259" s="57">
        <f>IFERROR(__xludf.DUMMYFUNCTION("""COMPUTED_VALUE"""),0.9130434782608695)</f>
        <v>0.9130434783</v>
      </c>
      <c r="P259" s="57">
        <f>IFERROR(__xludf.DUMMYFUNCTION("""COMPUTED_VALUE"""),0.4782608695652174)</f>
        <v>0.4782608696</v>
      </c>
      <c r="Q259" s="57">
        <f>IFERROR(__xludf.DUMMYFUNCTION("""COMPUTED_VALUE"""),1.2173913043478262)</f>
        <v>1.217391304</v>
      </c>
      <c r="R259" s="57">
        <f>IFERROR(__xludf.DUMMYFUNCTION("""COMPUTED_VALUE"""),2.739130434782609)</f>
        <v>2.739130435</v>
      </c>
      <c r="S259" s="31">
        <f>IFERROR(__xludf.DUMMYFUNCTION("""COMPUTED_VALUE"""),366.07246376811594)</f>
        <v>366.0724638</v>
      </c>
      <c r="T259" s="57">
        <f>IFERROR(__xludf.DUMMYFUNCTION("""COMPUTED_VALUE"""),0.8260869565217391)</f>
        <v>0.8260869565</v>
      </c>
      <c r="U259" s="57">
        <f>IFERROR(__xludf.DUMMYFUNCTION("""COMPUTED_VALUE"""),0.5797101449275361)</f>
        <v>0.5797101449</v>
      </c>
      <c r="V259" s="57">
        <f>IFERROR(__xludf.DUMMYFUNCTION("""COMPUTED_VALUE"""),1.434782608695652)</f>
        <v>1.434782609</v>
      </c>
      <c r="W259" s="57">
        <f>IFERROR(__xludf.DUMMYFUNCTION("""COMPUTED_VALUE"""),2.4782608695652173)</f>
        <v>2.47826087</v>
      </c>
      <c r="X259" s="31">
        <f>IFERROR(__xludf.DUMMYFUNCTION("""COMPUTED_VALUE"""),356.521956558853)</f>
        <v>356.5219566</v>
      </c>
      <c r="Y259" s="57">
        <f>IFERROR(__xludf.DUMMYFUNCTION("""COMPUTED_VALUE"""),0.7564762797525432)</f>
        <v>0.7564762798</v>
      </c>
      <c r="Z259" s="57">
        <f>IFERROR(__xludf.DUMMYFUNCTION("""COMPUTED_VALUE"""),0.6239527003842821)</f>
        <v>0.6239527004</v>
      </c>
      <c r="AA259" s="57">
        <f>IFERROR(__xludf.DUMMYFUNCTION("""COMPUTED_VALUE"""),1.4025094710676158)</f>
        <v>1.402509471</v>
      </c>
      <c r="AB259" s="57">
        <f>IFERROR(__xludf.DUMMYFUNCTION("""COMPUTED_VALUE"""),2.5922086213036035)</f>
        <v>2.592208621</v>
      </c>
      <c r="AC259" s="31">
        <f>IFERROR(__xludf.DUMMYFUNCTION("""COMPUTED_VALUE"""),359.1339092041419)</f>
        <v>359.1339092</v>
      </c>
      <c r="AD259" s="57">
        <f>IFERROR(__xludf.DUMMYFUNCTION("""COMPUTED_VALUE"""),0.7876143579219584)</f>
        <v>0.7876143579</v>
      </c>
      <c r="AE259" s="57">
        <f>IFERROR(__xludf.DUMMYFUNCTION("""COMPUTED_VALUE"""),0.5873407686376717)</f>
        <v>0.5873407686</v>
      </c>
      <c r="AF259" s="57">
        <f>IFERROR(__xludf.DUMMYFUNCTION("""COMPUTED_VALUE"""),1.385794649498059)</f>
        <v>1.385794649</v>
      </c>
      <c r="AG259" s="57">
        <f>IFERROR(__xludf.DUMMYFUNCTION("""COMPUTED_VALUE"""),2.612714206957393)</f>
        <v>2.612714207</v>
      </c>
      <c r="AH259" s="57">
        <f>IFERROR(__xludf.DUMMYFUNCTION("""COMPUTED_VALUE"""),0.9740825858848953)</f>
        <v>0.9740825859</v>
      </c>
      <c r="AI259" s="57">
        <f>IFERROR(__xludf.DUMMYFUNCTION("""COMPUTED_VALUE"""),1.1592519474503273)</f>
        <v>1.159251947</v>
      </c>
      <c r="AJ259" s="57">
        <f>IFERROR(__xludf.DUMMYFUNCTION("""COMPUTED_VALUE"""),0.8142817510770392)</f>
        <v>0.8142817511</v>
      </c>
      <c r="AK259" s="57">
        <f>IFERROR(__xludf.DUMMYFUNCTION("""COMPUTED_VALUE"""),0.8784788603338674)</f>
        <v>0.8784788603</v>
      </c>
      <c r="AL259" s="57">
        <f>IFERROR(__xludf.DUMMYFUNCTION("""COMPUTED_VALUE"""),1.0483850194899167)</f>
        <v>1.048385019</v>
      </c>
      <c r="AM259" s="57">
        <f>IFERROR(__xludf.DUMMYFUNCTION("""COMPUTED_VALUE"""),1.0267879916890514)</f>
        <v>1.026787992</v>
      </c>
      <c r="AN259" s="57">
        <f>IFERROR(__xludf.DUMMYFUNCTION("""COMPUTED_VALUE"""),1.0920196424294584)</f>
        <v>1.092019642</v>
      </c>
      <c r="AO259" s="57">
        <f>IFERROR(__xludf.DUMMYFUNCTION("""COMPUTED_VALUE"""),0.9290930940286055)</f>
        <v>0.929093094</v>
      </c>
      <c r="AP259" s="35">
        <f>IFERROR(__xludf.DUMMYFUNCTION("""COMPUTED_VALUE"""),1.0230109944309107)</f>
        <v>1.023010994</v>
      </c>
      <c r="AQ259" s="57">
        <f>IFERROR(__xludf.DUMMYFUNCTION("""COMPUTED_VALUE"""),0.95604221404021)</f>
        <v>0.956042214</v>
      </c>
      <c r="AR259" s="36" t="b">
        <f>IFERROR(__xludf.DUMMYFUNCTION("""COMPUTED_VALUE"""),TRUE)</f>
        <v>1</v>
      </c>
      <c r="AS259" s="57"/>
      <c r="AT259" s="37"/>
      <c r="AU259" s="30"/>
      <c r="AV259" s="30"/>
      <c r="AW259" s="30"/>
      <c r="AX259" s="30"/>
      <c r="AY259" s="30"/>
      <c r="AZ259" s="30"/>
    </row>
    <row r="260">
      <c r="A260" s="30" t="str">
        <f>IFERROR(__xludf.DUMMYFUNCTION("""COMPUTED_VALUE"""),"Elite")</f>
        <v>Elite</v>
      </c>
      <c r="B260" s="30" t="str">
        <f>IFERROR(__xludf.DUMMYFUNCTION("""COMPUTED_VALUE"""),"RSC000371")</f>
        <v>RSC000371</v>
      </c>
      <c r="C260" s="30" t="str">
        <f>IFERROR(__xludf.DUMMYFUNCTION("""COMPUTED_VALUE"""),"Capn' Clutch")</f>
        <v>Capn' Clutch</v>
      </c>
      <c r="D260" s="31" t="str">
        <f>IFERROR(__xludf.DUMMYFUNCTION("""COMPUTED_VALUE"""),"Teddy Bears")</f>
        <v>Teddy Bears</v>
      </c>
      <c r="E260" s="31">
        <f>IFERROR(__xludf.DUMMYFUNCTION("""COMPUTED_VALUE"""),58.53527779899446)</f>
        <v>58.5352778</v>
      </c>
      <c r="F260" s="31">
        <f>IFERROR(__xludf.DUMMYFUNCTION("""COMPUTED_VALUE"""),2.729279575308913)</f>
        <v>2.729279575</v>
      </c>
      <c r="G260" s="31">
        <f>IFERROR(__xludf.DUMMYFUNCTION("""COMPUTED_VALUE"""),58.56148474417386)</f>
        <v>58.56148474</v>
      </c>
      <c r="H260" s="31">
        <f>IFERROR(__xludf.DUMMYFUNCTION("""COMPUTED_VALUE"""),2.73222102551132)</f>
        <v>2.732221026</v>
      </c>
      <c r="I260" s="54">
        <f>IFERROR(__xludf.DUMMYFUNCTION("""COMPUTED_VALUE"""),23.0)</f>
        <v>23</v>
      </c>
      <c r="J260" s="55">
        <f>IFERROR(__xludf.DUMMYFUNCTION("""COMPUTED_VALUE"""),10.0)</f>
        <v>10</v>
      </c>
      <c r="K260" s="54">
        <f>IFERROR(__xludf.DUMMYFUNCTION("""COMPUTED_VALUE"""),13.0)</f>
        <v>13</v>
      </c>
      <c r="L260" s="56">
        <f>IFERROR(__xludf.DUMMYFUNCTION("""COMPUTED_VALUE"""),0.43478260869565216)</f>
        <v>0.4347826087</v>
      </c>
      <c r="M260" s="56">
        <f>IFERROR(__xludf.DUMMYFUNCTION("""COMPUTED_VALUE"""),0.2615384615384615)</f>
        <v>0.2615384615</v>
      </c>
      <c r="N260" s="31">
        <f>IFERROR(__xludf.DUMMYFUNCTION("""COMPUTED_VALUE"""),359.0)</f>
        <v>359</v>
      </c>
      <c r="O260" s="57">
        <f>IFERROR(__xludf.DUMMYFUNCTION("""COMPUTED_VALUE"""),0.7391304347826086)</f>
        <v>0.7391304348</v>
      </c>
      <c r="P260" s="57">
        <f>IFERROR(__xludf.DUMMYFUNCTION("""COMPUTED_VALUE"""),0.7391304347826086)</f>
        <v>0.7391304348</v>
      </c>
      <c r="Q260" s="57">
        <f>IFERROR(__xludf.DUMMYFUNCTION("""COMPUTED_VALUE"""),1.3478260869565217)</f>
        <v>1.347826087</v>
      </c>
      <c r="R260" s="57">
        <f>IFERROR(__xludf.DUMMYFUNCTION("""COMPUTED_VALUE"""),2.8260869565217392)</f>
        <v>2.826086957</v>
      </c>
      <c r="S260" s="31">
        <f>IFERROR(__xludf.DUMMYFUNCTION("""COMPUTED_VALUE"""),361.31884057971007)</f>
        <v>361.3188406</v>
      </c>
      <c r="T260" s="57">
        <f>IFERROR(__xludf.DUMMYFUNCTION("""COMPUTED_VALUE"""),0.7391304347826086)</f>
        <v>0.7391304348</v>
      </c>
      <c r="U260" s="57">
        <f>IFERROR(__xludf.DUMMYFUNCTION("""COMPUTED_VALUE"""),0.5652173913043478)</f>
        <v>0.5652173913</v>
      </c>
      <c r="V260" s="57">
        <f>IFERROR(__xludf.DUMMYFUNCTION("""COMPUTED_VALUE"""),1.565217391304348)</f>
        <v>1.565217391</v>
      </c>
      <c r="W260" s="57">
        <f>IFERROR(__xludf.DUMMYFUNCTION("""COMPUTED_VALUE"""),2.376811594202899)</f>
        <v>2.376811594</v>
      </c>
      <c r="X260" s="31">
        <f>IFERROR(__xludf.DUMMYFUNCTION("""COMPUTED_VALUE"""),344.8448688679606)</f>
        <v>344.8448689</v>
      </c>
      <c r="Y260" s="57">
        <f>IFERROR(__xludf.DUMMYFUNCTION("""COMPUTED_VALUE"""),0.6588464319593552)</f>
        <v>0.658846432</v>
      </c>
      <c r="Z260" s="57">
        <f>IFERROR(__xludf.DUMMYFUNCTION("""COMPUTED_VALUE"""),0.5007366821714683)</f>
        <v>0.5007366822</v>
      </c>
      <c r="AA260" s="57">
        <f>IFERROR(__xludf.DUMMYFUNCTION("""COMPUTED_VALUE"""),1.5098484460402768)</f>
        <v>1.509848446</v>
      </c>
      <c r="AB260" s="57">
        <f>IFERROR(__xludf.DUMMYFUNCTION("""COMPUTED_VALUE"""),2.411470416936277)</f>
        <v>2.411470417</v>
      </c>
      <c r="AC260" s="31">
        <f>IFERROR(__xludf.DUMMYFUNCTION("""COMPUTED_VALUE"""),359.6195886243141)</f>
        <v>359.6195886</v>
      </c>
      <c r="AD260" s="57">
        <f>IFERROR(__xludf.DUMMYFUNCTION("""COMPUTED_VALUE"""),0.8116236303210335)</f>
        <v>0.8116236303</v>
      </c>
      <c r="AE260" s="57">
        <f>IFERROR(__xludf.DUMMYFUNCTION("""COMPUTED_VALUE"""),0.6018531185643791)</f>
        <v>0.6018531186</v>
      </c>
      <c r="AF260" s="57">
        <f>IFERROR(__xludf.DUMMYFUNCTION("""COMPUTED_VALUE"""),1.2905151585015913)</f>
        <v>1.290515159</v>
      </c>
      <c r="AG260" s="57">
        <f>IFERROR(__xludf.DUMMYFUNCTION("""COMPUTED_VALUE"""),2.7857334605280646)</f>
        <v>2.785733461</v>
      </c>
      <c r="AH260" s="57">
        <f>IFERROR(__xludf.DUMMYFUNCTION("""COMPUTED_VALUE"""),0.9982770999024713)</f>
        <v>0.9982770999</v>
      </c>
      <c r="AI260" s="57">
        <f>IFERROR(__xludf.DUMMYFUNCTION("""COMPUTED_VALUE"""),0.9106812655149648)</f>
        <v>0.9106812655</v>
      </c>
      <c r="AJ260" s="57">
        <f>IFERROR(__xludf.DUMMYFUNCTION("""COMPUTED_VALUE"""),1.2280910607320303)</f>
        <v>1.228091061</v>
      </c>
      <c r="AK260" s="57">
        <f>IFERROR(__xludf.DUMMYFUNCTION("""COMPUTED_VALUE"""),1.0444093415543245)</f>
        <v>1.044409342</v>
      </c>
      <c r="AL260" s="57">
        <f>IFERROR(__xludf.DUMMYFUNCTION("""COMPUTED_VALUE"""),1.014485770647284)</f>
        <v>1.014485771</v>
      </c>
      <c r="AM260" s="57">
        <f>IFERROR(__xludf.DUMMYFUNCTION("""COMPUTED_VALUE"""),1.047772123638752)</f>
        <v>1.047772124</v>
      </c>
      <c r="AN260" s="57">
        <f>IFERROR(__xludf.DUMMYFUNCTION("""COMPUTED_VALUE"""),1.1218554111077075)</f>
        <v>1.121855411</v>
      </c>
      <c r="AO260" s="57">
        <f>IFERROR(__xludf.DUMMYFUNCTION("""COMPUTED_VALUE"""),1.128771690648378)</f>
        <v>1.128771691</v>
      </c>
      <c r="AP260" s="35">
        <f>IFERROR(__xludf.DUMMYFUNCTION("""COMPUTED_VALUE"""),1.0366718563106658)</f>
        <v>1.036671856</v>
      </c>
      <c r="AQ260" s="57">
        <f>IFERROR(__xludf.DUMMYFUNCTION("""COMPUTED_VALUE"""),0.9856275148598291)</f>
        <v>0.9856275149</v>
      </c>
      <c r="AR260" s="36" t="b">
        <f>IFERROR(__xludf.DUMMYFUNCTION("""COMPUTED_VALUE"""),TRUE)</f>
        <v>1</v>
      </c>
      <c r="AS260" s="57"/>
      <c r="AT260" s="37"/>
      <c r="AU260" s="30"/>
      <c r="AV260" s="30"/>
      <c r="AW260" s="30"/>
      <c r="AX260" s="30"/>
      <c r="AY260" s="30"/>
      <c r="AZ260" s="30"/>
    </row>
    <row r="261">
      <c r="A261" s="30" t="str">
        <f>IFERROR(__xludf.DUMMYFUNCTION("""COMPUTED_VALUE"""),"Elite")</f>
        <v>Elite</v>
      </c>
      <c r="B261" s="30" t="str">
        <f>IFERROR(__xludf.DUMMYFUNCTION("""COMPUTED_VALUE"""),"RSC000666")</f>
        <v>RSC000666</v>
      </c>
      <c r="C261" s="30" t="str">
        <f>IFERROR(__xludf.DUMMYFUNCTION("""COMPUTED_VALUE"""),"AEB311")</f>
        <v>AEB311</v>
      </c>
      <c r="D261" s="31" t="str">
        <f>IFERROR(__xludf.DUMMYFUNCTION("""COMPUTED_VALUE"""),"Teddy Bears")</f>
        <v>Teddy Bears</v>
      </c>
      <c r="E261" s="31">
        <f>IFERROR(__xludf.DUMMYFUNCTION("""COMPUTED_VALUE"""),58.48290375229879)</f>
        <v>58.48290375</v>
      </c>
      <c r="F261" s="31">
        <f>IFERROR(__xludf.DUMMYFUNCTION("""COMPUTED_VALUE"""),2.723416947344006)</f>
        <v>2.723416947</v>
      </c>
      <c r="G261" s="31">
        <f>IFERROR(__xludf.DUMMYFUNCTION("""COMPUTED_VALUE"""),52.28849426297183)</f>
        <v>52.28849426</v>
      </c>
      <c r="H261" s="31">
        <f>IFERROR(__xludf.DUMMYFUNCTION("""COMPUTED_VALUE"""),2.1573490428185504)</f>
        <v>2.157349043</v>
      </c>
      <c r="I261" s="54">
        <f>IFERROR(__xludf.DUMMYFUNCTION("""COMPUTED_VALUE"""),35.0)</f>
        <v>35</v>
      </c>
      <c r="J261" s="55">
        <f>IFERROR(__xludf.DUMMYFUNCTION("""COMPUTED_VALUE"""),18.0)</f>
        <v>18</v>
      </c>
      <c r="K261" s="54">
        <f>IFERROR(__xludf.DUMMYFUNCTION("""COMPUTED_VALUE"""),17.0)</f>
        <v>17</v>
      </c>
      <c r="L261" s="56">
        <f>IFERROR(__xludf.DUMMYFUNCTION("""COMPUTED_VALUE"""),0.5142857142857142)</f>
        <v>0.5142857143</v>
      </c>
      <c r="M261" s="56">
        <f>IFERROR(__xludf.DUMMYFUNCTION("""COMPUTED_VALUE"""),0.2989690721649485)</f>
        <v>0.2989690722</v>
      </c>
      <c r="N261" s="31">
        <f>IFERROR(__xludf.DUMMYFUNCTION("""COMPUTED_VALUE"""),338.2)</f>
        <v>338.2</v>
      </c>
      <c r="O261" s="57">
        <f>IFERROR(__xludf.DUMMYFUNCTION("""COMPUTED_VALUE"""),0.8285714285714286)</f>
        <v>0.8285714286</v>
      </c>
      <c r="P261" s="57">
        <f>IFERROR(__xludf.DUMMYFUNCTION("""COMPUTED_VALUE"""),0.6)</f>
        <v>0.6</v>
      </c>
      <c r="Q261" s="57">
        <f>IFERROR(__xludf.DUMMYFUNCTION("""COMPUTED_VALUE"""),0.9428571428571428)</f>
        <v>0.9428571429</v>
      </c>
      <c r="R261" s="57">
        <f>IFERROR(__xludf.DUMMYFUNCTION("""COMPUTED_VALUE"""),2.7714285714285714)</f>
        <v>2.771428571</v>
      </c>
      <c r="S261" s="31">
        <f>IFERROR(__xludf.DUMMYFUNCTION("""COMPUTED_VALUE"""),352.14285714285717)</f>
        <v>352.1428571</v>
      </c>
      <c r="T261" s="57">
        <f>IFERROR(__xludf.DUMMYFUNCTION("""COMPUTED_VALUE"""),0.7142857142857141)</f>
        <v>0.7142857143</v>
      </c>
      <c r="U261" s="57">
        <f>IFERROR(__xludf.DUMMYFUNCTION("""COMPUTED_VALUE"""),0.5523809523809523)</f>
        <v>0.5523809524</v>
      </c>
      <c r="V261" s="57">
        <f>IFERROR(__xludf.DUMMYFUNCTION("""COMPUTED_VALUE"""),1.5238095238095237)</f>
        <v>1.523809524</v>
      </c>
      <c r="W261" s="57">
        <f>IFERROR(__xludf.DUMMYFUNCTION("""COMPUTED_VALUE"""),2.4190476190476193)</f>
        <v>2.419047619</v>
      </c>
      <c r="X261" s="31">
        <f>IFERROR(__xludf.DUMMYFUNCTION("""COMPUTED_VALUE"""),357.6867016439974)</f>
        <v>357.6867016</v>
      </c>
      <c r="Y261" s="57">
        <f>IFERROR(__xludf.DUMMYFUNCTION("""COMPUTED_VALUE"""),0.743326583977333)</f>
        <v>0.743326584</v>
      </c>
      <c r="Z261" s="57">
        <f>IFERROR(__xludf.DUMMYFUNCTION("""COMPUTED_VALUE"""),0.5618551724998567)</f>
        <v>0.5618551725</v>
      </c>
      <c r="AA261" s="57">
        <f>IFERROR(__xludf.DUMMYFUNCTION("""COMPUTED_VALUE"""),1.473588683292485)</f>
        <v>1.473588683</v>
      </c>
      <c r="AB261" s="57">
        <f>IFERROR(__xludf.DUMMYFUNCTION("""COMPUTED_VALUE"""),2.5732991243122267)</f>
        <v>2.573299124</v>
      </c>
      <c r="AC261" s="31">
        <f>IFERROR(__xludf.DUMMYFUNCTION("""COMPUTED_VALUE"""),366.689812178536)</f>
        <v>366.6898122</v>
      </c>
      <c r="AD261" s="57">
        <f>IFERROR(__xludf.DUMMYFUNCTION("""COMPUTED_VALUE"""),0.835698506165614)</f>
        <v>0.8356985062</v>
      </c>
      <c r="AE261" s="57">
        <f>IFERROR(__xludf.DUMMYFUNCTION("""COMPUTED_VALUE"""),0.6310568662241175)</f>
        <v>0.6310568662</v>
      </c>
      <c r="AF261" s="57">
        <f>IFERROR(__xludf.DUMMYFUNCTION("""COMPUTED_VALUE"""),1.3730621450537515)</f>
        <v>1.373062145</v>
      </c>
      <c r="AG261" s="57">
        <f>IFERROR(__xludf.DUMMYFUNCTION("""COMPUTED_VALUE"""),2.740753771446217)</f>
        <v>2.740753771</v>
      </c>
      <c r="AH261" s="57">
        <f>IFERROR(__xludf.DUMMYFUNCTION("""COMPUTED_VALUE"""),0.9223054166428144)</f>
        <v>0.9223054166</v>
      </c>
      <c r="AI261" s="57">
        <f>IFERROR(__xludf.DUMMYFUNCTION("""COMPUTED_VALUE"""),0.9914717119372558)</f>
        <v>0.9914717119</v>
      </c>
      <c r="AJ261" s="57">
        <f>IFERROR(__xludf.DUMMYFUNCTION("""COMPUTED_VALUE"""),0.9507859467405149)</f>
        <v>0.9507859467</v>
      </c>
      <c r="AK261" s="57">
        <f>IFERROR(__xludf.DUMMYFUNCTION("""COMPUTED_VALUE"""),0.6866820604250455)</f>
        <v>0.6866820604</v>
      </c>
      <c r="AL261" s="57">
        <f>IFERROR(__xludf.DUMMYFUNCTION("""COMPUTED_VALUE"""),1.01119210353806)</f>
        <v>1.011192104</v>
      </c>
      <c r="AM261" s="57">
        <f>IFERROR(__xludf.DUMMYFUNCTION("""COMPUTED_VALUE"""),0.9845008369736429)</f>
        <v>0.984500837</v>
      </c>
      <c r="AN261" s="57">
        <f>IFERROR(__xludf.DUMMYFUNCTION("""COMPUTED_VALUE"""),0.9609312106984936)</f>
        <v>0.9609312107</v>
      </c>
      <c r="AO261" s="57">
        <f>IFERROR(__xludf.DUMMYFUNCTION("""COMPUTED_VALUE"""),0.9831376116433157)</f>
        <v>0.9831376116</v>
      </c>
      <c r="AP261" s="35">
        <f>IFERROR(__xludf.DUMMYFUNCTION("""COMPUTED_VALUE"""),1.0340806366704913)</f>
        <v>1.034080637</v>
      </c>
      <c r="AQ261" s="57">
        <f>IFERROR(__xludf.DUMMYFUNCTION("""COMPUTED_VALUE"""),0.9400569083449113)</f>
        <v>0.9400569083</v>
      </c>
      <c r="AR261" s="36" t="b">
        <f>IFERROR(__xludf.DUMMYFUNCTION("""COMPUTED_VALUE"""),TRUE)</f>
        <v>1</v>
      </c>
      <c r="AS261" s="57"/>
      <c r="AT261" s="37"/>
      <c r="AU261" s="30"/>
      <c r="AV261" s="30"/>
      <c r="AW261" s="30"/>
      <c r="AX261" s="30"/>
      <c r="AY261" s="30"/>
      <c r="AZ261" s="30"/>
    </row>
    <row r="262">
      <c r="A262" s="30" t="str">
        <f>IFERROR(__xludf.DUMMYFUNCTION("""COMPUTED_VALUE"""),"Elite")</f>
        <v>Elite</v>
      </c>
      <c r="B262" s="30" t="str">
        <f>IFERROR(__xludf.DUMMYFUNCTION("""COMPUTED_VALUE"""),"RSC000787")</f>
        <v>RSC000787</v>
      </c>
      <c r="C262" s="30" t="str">
        <f>IFERROR(__xludf.DUMMYFUNCTION("""COMPUTED_VALUE"""),"buckle")</f>
        <v>buckle</v>
      </c>
      <c r="D262" s="31" t="str">
        <f>IFERROR(__xludf.DUMMYFUNCTION("""COMPUTED_VALUE"""),"Praetorian Guard")</f>
        <v>Praetorian Guard</v>
      </c>
      <c r="E262" s="31">
        <f>IFERROR(__xludf.DUMMYFUNCTION("""COMPUTED_VALUE"""),58.43910531940413)</f>
        <v>58.43910532</v>
      </c>
      <c r="F262" s="31">
        <f>IFERROR(__xludf.DUMMYFUNCTION("""COMPUTED_VALUE"""),2.7185303733584183)</f>
        <v>2.718530373</v>
      </c>
      <c r="G262" s="31">
        <f>IFERROR(__xludf.DUMMYFUNCTION("""COMPUTED_VALUE"""),58.786204865572785)</f>
        <v>58.78620487</v>
      </c>
      <c r="H262" s="31">
        <f>IFERROR(__xludf.DUMMYFUNCTION("""COMPUTED_VALUE"""),2.757661665001369)</f>
        <v>2.757661665</v>
      </c>
      <c r="I262" s="54">
        <f>IFERROR(__xludf.DUMMYFUNCTION("""COMPUTED_VALUE"""),32.0)</f>
        <v>32</v>
      </c>
      <c r="J262" s="55">
        <f>IFERROR(__xludf.DUMMYFUNCTION("""COMPUTED_VALUE"""),17.0)</f>
        <v>17</v>
      </c>
      <c r="K262" s="54">
        <f>IFERROR(__xludf.DUMMYFUNCTION("""COMPUTED_VALUE"""),15.0)</f>
        <v>15</v>
      </c>
      <c r="L262" s="56">
        <f>IFERROR(__xludf.DUMMYFUNCTION("""COMPUTED_VALUE"""),0.53125)</f>
        <v>0.53125</v>
      </c>
      <c r="M262" s="56">
        <f>IFERROR(__xludf.DUMMYFUNCTION("""COMPUTED_VALUE"""),0.35443037974683544)</f>
        <v>0.3544303797</v>
      </c>
      <c r="N262" s="31">
        <f>IFERROR(__xludf.DUMMYFUNCTION("""COMPUTED_VALUE"""),411.40625)</f>
        <v>411.40625</v>
      </c>
      <c r="O262" s="57">
        <f>IFERROR(__xludf.DUMMYFUNCTION("""COMPUTED_VALUE"""),0.875)</f>
        <v>0.875</v>
      </c>
      <c r="P262" s="57">
        <f>IFERROR(__xludf.DUMMYFUNCTION("""COMPUTED_VALUE"""),0.5)</f>
        <v>0.5</v>
      </c>
      <c r="Q262" s="57">
        <f>IFERROR(__xludf.DUMMYFUNCTION("""COMPUTED_VALUE"""),2.0)</f>
        <v>2</v>
      </c>
      <c r="R262" s="57">
        <f>IFERROR(__xludf.DUMMYFUNCTION("""COMPUTED_VALUE"""),2.46875)</f>
        <v>2.46875</v>
      </c>
      <c r="S262" s="31">
        <f>IFERROR(__xludf.DUMMYFUNCTION("""COMPUTED_VALUE"""),355.48958333333337)</f>
        <v>355.4895833</v>
      </c>
      <c r="T262" s="57">
        <f>IFERROR(__xludf.DUMMYFUNCTION("""COMPUTED_VALUE"""),0.6979166666666665)</f>
        <v>0.6979166667</v>
      </c>
      <c r="U262" s="57">
        <f>IFERROR(__xludf.DUMMYFUNCTION("""COMPUTED_VALUE"""),0.59375)</f>
        <v>0.59375</v>
      </c>
      <c r="V262" s="57">
        <f>IFERROR(__xludf.DUMMYFUNCTION("""COMPUTED_VALUE"""),1.4062499999999998)</f>
        <v>1.40625</v>
      </c>
      <c r="W262" s="57">
        <f>IFERROR(__xludf.DUMMYFUNCTION("""COMPUTED_VALUE"""),2.604166666666667)</f>
        <v>2.604166667</v>
      </c>
      <c r="X262" s="31">
        <f>IFERROR(__xludf.DUMMYFUNCTION("""COMPUTED_VALUE"""),357.9523823524329)</f>
        <v>357.9523824</v>
      </c>
      <c r="Y262" s="57">
        <f>IFERROR(__xludf.DUMMYFUNCTION("""COMPUTED_VALUE"""),0.7690840673294413)</f>
        <v>0.7690840673</v>
      </c>
      <c r="Z262" s="57">
        <f>IFERROR(__xludf.DUMMYFUNCTION("""COMPUTED_VALUE"""),0.5812337617360988)</f>
        <v>0.5812337617</v>
      </c>
      <c r="AA262" s="57">
        <f>IFERROR(__xludf.DUMMYFUNCTION("""COMPUTED_VALUE"""),1.4299101330077986)</f>
        <v>1.429910133</v>
      </c>
      <c r="AB262" s="57">
        <f>IFERROR(__xludf.DUMMYFUNCTION("""COMPUTED_VALUE"""),2.5111671876210417)</f>
        <v>2.511167188</v>
      </c>
      <c r="AC262" s="31">
        <f>IFERROR(__xludf.DUMMYFUNCTION("""COMPUTED_VALUE"""),361.5187157637376)</f>
        <v>361.5187158</v>
      </c>
      <c r="AD262" s="57">
        <f>IFERROR(__xludf.DUMMYFUNCTION("""COMPUTED_VALUE"""),0.8077197532934586)</f>
        <v>0.8077197533</v>
      </c>
      <c r="AE262" s="57">
        <f>IFERROR(__xludf.DUMMYFUNCTION("""COMPUTED_VALUE"""),0.5999234827046818)</f>
        <v>0.5999234827</v>
      </c>
      <c r="AF262" s="57">
        <f>IFERROR(__xludf.DUMMYFUNCTION("""COMPUTED_VALUE"""),1.3385688206967037)</f>
        <v>1.338568821</v>
      </c>
      <c r="AG262" s="57">
        <f>IFERROR(__xludf.DUMMYFUNCTION("""COMPUTED_VALUE"""),2.7009896784735634)</f>
        <v>2.700989678</v>
      </c>
      <c r="AH262" s="57">
        <f>IFERROR(__xludf.DUMMYFUNCTION("""COMPUTED_VALUE"""),1.1379943335184486)</f>
        <v>1.137994334</v>
      </c>
      <c r="AI262" s="57">
        <f>IFERROR(__xludf.DUMMYFUNCTION("""COMPUTED_VALUE"""),1.0832965226270719)</f>
        <v>1.083296523</v>
      </c>
      <c r="AJ262" s="57">
        <f>IFERROR(__xludf.DUMMYFUNCTION("""COMPUTED_VALUE"""),0.8334396209093384)</f>
        <v>0.8334396209</v>
      </c>
      <c r="AK262" s="57">
        <f>IFERROR(__xludf.DUMMYFUNCTION("""COMPUTED_VALUE"""),1.4941331137229328)</f>
        <v>1.494133114</v>
      </c>
      <c r="AL262" s="57">
        <f>IFERROR(__xludf.DUMMYFUNCTION("""COMPUTED_VALUE"""),0.914016821195403)</f>
        <v>0.9140168212</v>
      </c>
      <c r="AM262" s="57">
        <f>IFERROR(__xludf.DUMMYFUNCTION("""COMPUTED_VALUE"""),0.9931197579887184)</f>
        <v>0.993119758</v>
      </c>
      <c r="AN262" s="57">
        <f>IFERROR(__xludf.DUMMYFUNCTION("""COMPUTED_VALUE"""),0.9074647315086168)</f>
        <v>0.9074647315</v>
      </c>
      <c r="AO262" s="57">
        <f>IFERROR(__xludf.DUMMYFUNCTION("""COMPUTED_VALUE"""),1.021533914730824)</f>
        <v>1.021533915</v>
      </c>
      <c r="AP262" s="35">
        <f>IFERROR(__xludf.DUMMYFUNCTION("""COMPUTED_VALUE"""),0.983453412587524)</f>
        <v>0.9834534126</v>
      </c>
      <c r="AQ262" s="57">
        <f>IFERROR(__xludf.DUMMYFUNCTION("""COMPUTED_VALUE"""),1.037034363742913)</f>
        <v>1.037034364</v>
      </c>
      <c r="AR262" s="36" t="b">
        <f>IFERROR(__xludf.DUMMYFUNCTION("""COMPUTED_VALUE"""),TRUE)</f>
        <v>1</v>
      </c>
      <c r="AS262" s="57"/>
      <c r="AT262" s="37"/>
      <c r="AU262" s="30"/>
      <c r="AV262" s="30"/>
      <c r="AW262" s="30"/>
      <c r="AX262" s="30"/>
      <c r="AY262" s="30"/>
      <c r="AZ262" s="30"/>
    </row>
    <row r="263">
      <c r="A263" s="30" t="str">
        <f>IFERROR(__xludf.DUMMYFUNCTION("""COMPUTED_VALUE"""),"Elite")</f>
        <v>Elite</v>
      </c>
      <c r="B263" s="30" t="str">
        <f>IFERROR(__xludf.DUMMYFUNCTION("""COMPUTED_VALUE"""),"RSC006637")</f>
        <v>RSC006637</v>
      </c>
      <c r="C263" s="30" t="str">
        <f>IFERROR(__xludf.DUMMYFUNCTION("""COMPUTED_VALUE"""),"nekodah")</f>
        <v>nekodah</v>
      </c>
      <c r="D263" s="31" t="str">
        <f>IFERROR(__xludf.DUMMYFUNCTION("""COMPUTED_VALUE"""),"Stoked Blokes")</f>
        <v>Stoked Blokes</v>
      </c>
      <c r="E263" s="31">
        <f>IFERROR(__xludf.DUMMYFUNCTION("""COMPUTED_VALUE"""),58.00735187627598)</f>
        <v>58.00735188</v>
      </c>
      <c r="F263" s="31">
        <f>IFERROR(__xludf.DUMMYFUNCTION("""COMPUTED_VALUE"""),2.6711348905282546)</f>
        <v>2.671134891</v>
      </c>
      <c r="G263" s="31">
        <f>IFERROR(__xludf.DUMMYFUNCTION("""COMPUTED_VALUE"""),45.25216629064497)</f>
        <v>45.25216629</v>
      </c>
      <c r="H263" s="31">
        <f>IFERROR(__xludf.DUMMYFUNCTION("""COMPUTED_VALUE"""),-2.354666919229719)</f>
        <v>-2.354666919</v>
      </c>
      <c r="I263" s="54">
        <f>IFERROR(__xludf.DUMMYFUNCTION("""COMPUTED_VALUE"""),18.0)</f>
        <v>18</v>
      </c>
      <c r="J263" s="55">
        <f>IFERROR(__xludf.DUMMYFUNCTION("""COMPUTED_VALUE"""),11.0)</f>
        <v>11</v>
      </c>
      <c r="K263" s="54">
        <f>IFERROR(__xludf.DUMMYFUNCTION("""COMPUTED_VALUE"""),7.0)</f>
        <v>7</v>
      </c>
      <c r="L263" s="56">
        <f>IFERROR(__xludf.DUMMYFUNCTION("""COMPUTED_VALUE"""),0.6111111111111112)</f>
        <v>0.6111111111</v>
      </c>
      <c r="M263" s="56">
        <f>IFERROR(__xludf.DUMMYFUNCTION("""COMPUTED_VALUE"""),0.3148148148148148)</f>
        <v>0.3148148148</v>
      </c>
      <c r="N263" s="31">
        <f>IFERROR(__xludf.DUMMYFUNCTION("""COMPUTED_VALUE"""),357.55555555555554)</f>
        <v>357.5555556</v>
      </c>
      <c r="O263" s="57">
        <f>IFERROR(__xludf.DUMMYFUNCTION("""COMPUTED_VALUE"""),0.9444444444444444)</f>
        <v>0.9444444444</v>
      </c>
      <c r="P263" s="57">
        <f>IFERROR(__xludf.DUMMYFUNCTION("""COMPUTED_VALUE"""),0.2777777777777778)</f>
        <v>0.2777777778</v>
      </c>
      <c r="Q263" s="57">
        <f>IFERROR(__xludf.DUMMYFUNCTION("""COMPUTED_VALUE"""),1.1111111111111112)</f>
        <v>1.111111111</v>
      </c>
      <c r="R263" s="57">
        <f>IFERROR(__xludf.DUMMYFUNCTION("""COMPUTED_VALUE"""),3.0)</f>
        <v>3</v>
      </c>
      <c r="S263" s="31">
        <f>IFERROR(__xludf.DUMMYFUNCTION("""COMPUTED_VALUE"""),356.2037037037037)</f>
        <v>356.2037037</v>
      </c>
      <c r="T263" s="57">
        <f>IFERROR(__xludf.DUMMYFUNCTION("""COMPUTED_VALUE"""),0.7037037037037037)</f>
        <v>0.7037037037</v>
      </c>
      <c r="U263" s="57">
        <f>IFERROR(__xludf.DUMMYFUNCTION("""COMPUTED_VALUE"""),0.5925925925925926)</f>
        <v>0.5925925926</v>
      </c>
      <c r="V263" s="57">
        <f>IFERROR(__xludf.DUMMYFUNCTION("""COMPUTED_VALUE"""),1.611111111111111)</f>
        <v>1.611111111</v>
      </c>
      <c r="W263" s="57">
        <f>IFERROR(__xludf.DUMMYFUNCTION("""COMPUTED_VALUE"""),2.5185185185185177)</f>
        <v>2.518518519</v>
      </c>
      <c r="X263" s="31">
        <f>IFERROR(__xludf.DUMMYFUNCTION("""COMPUTED_VALUE"""),363.3683948097131)</f>
        <v>363.3683948</v>
      </c>
      <c r="Y263" s="57">
        <f>IFERROR(__xludf.DUMMYFUNCTION("""COMPUTED_VALUE"""),0.8019248387825887)</f>
        <v>0.8019248388</v>
      </c>
      <c r="Z263" s="57">
        <f>IFERROR(__xludf.DUMMYFUNCTION("""COMPUTED_VALUE"""),0.6293523140544076)</f>
        <v>0.6293523141</v>
      </c>
      <c r="AA263" s="57">
        <f>IFERROR(__xludf.DUMMYFUNCTION("""COMPUTED_VALUE"""),1.4486126392903718)</f>
        <v>1.448612639</v>
      </c>
      <c r="AB263" s="57">
        <f>IFERROR(__xludf.DUMMYFUNCTION("""COMPUTED_VALUE"""),2.5080581933618102)</f>
        <v>2.508058193</v>
      </c>
      <c r="AC263" s="31">
        <f>IFERROR(__xludf.DUMMYFUNCTION("""COMPUTED_VALUE"""),359.5885564555108)</f>
        <v>359.5885565</v>
      </c>
      <c r="AD263" s="57">
        <f>IFERROR(__xludf.DUMMYFUNCTION("""COMPUTED_VALUE"""),0.8098415105200234)</f>
        <v>0.8098415105</v>
      </c>
      <c r="AE263" s="57">
        <f>IFERROR(__xludf.DUMMYFUNCTION("""COMPUTED_VALUE"""),0.5969998988716922)</f>
        <v>0.5969998989</v>
      </c>
      <c r="AF263" s="57">
        <f>IFERROR(__xludf.DUMMYFUNCTION("""COMPUTED_VALUE"""),1.3096272906286135)</f>
        <v>1.309627291</v>
      </c>
      <c r="AG263" s="57">
        <f>IFERROR(__xludf.DUMMYFUNCTION("""COMPUTED_VALUE"""),2.7123298600751196)</f>
        <v>2.71232986</v>
      </c>
      <c r="AH263" s="57">
        <f>IFERROR(__xludf.DUMMYFUNCTION("""COMPUTED_VALUE"""),0.9943463136869686)</f>
        <v>0.9943463137</v>
      </c>
      <c r="AI263" s="57">
        <f>IFERROR(__xludf.DUMMYFUNCTION("""COMPUTED_VALUE"""),1.1662089830860713)</f>
        <v>1.166208983</v>
      </c>
      <c r="AJ263" s="57">
        <f>IFERROR(__xludf.DUMMYFUNCTION("""COMPUTED_VALUE"""),0.46528948883034577)</f>
        <v>0.4652894888</v>
      </c>
      <c r="AK263" s="57">
        <f>IFERROR(__xludf.DUMMYFUNCTION("""COMPUTED_VALUE"""),0.8484178048685778)</f>
        <v>0.8484178049</v>
      </c>
      <c r="AL263" s="57">
        <f>IFERROR(__xludf.DUMMYFUNCTION("""COMPUTED_VALUE"""),1.1060601603659348)</f>
        <v>1.10606016</v>
      </c>
      <c r="AM263" s="57">
        <f>IFERROR(__xludf.DUMMYFUNCTION("""COMPUTED_VALUE"""),0.9802825694024342)</f>
        <v>0.9802825694</v>
      </c>
      <c r="AN263" s="57">
        <f>IFERROR(__xludf.DUMMYFUNCTION("""COMPUTED_VALUE"""),0.8775182781119543)</f>
        <v>0.8775182781</v>
      </c>
      <c r="AO263" s="57">
        <f>IFERROR(__xludf.DUMMYFUNCTION("""COMPUTED_VALUE"""),0.9415911872556694)</f>
        <v>0.9415911873</v>
      </c>
      <c r="AP263" s="35">
        <f>IFERROR(__xludf.DUMMYFUNCTION("""COMPUTED_VALUE"""),1.1121752409259262)</f>
        <v>1.112175241</v>
      </c>
      <c r="AQ263" s="57">
        <f>IFERROR(__xludf.DUMMYFUNCTION("""COMPUTED_VALUE"""),1.0041706867824651)</f>
        <v>1.004170687</v>
      </c>
      <c r="AR263" s="36" t="b">
        <f>IFERROR(__xludf.DUMMYFUNCTION("""COMPUTED_VALUE"""),TRUE)</f>
        <v>1</v>
      </c>
      <c r="AS263" s="57"/>
      <c r="AT263" s="37"/>
      <c r="AU263" s="30"/>
      <c r="AV263" s="30"/>
      <c r="AW263" s="30"/>
      <c r="AX263" s="30"/>
      <c r="AY263" s="30"/>
      <c r="AZ263" s="30"/>
    </row>
    <row r="264">
      <c r="A264" s="30" t="str">
        <f>IFERROR(__xludf.DUMMYFUNCTION("""COMPUTED_VALUE"""),"Elite")</f>
        <v>Elite</v>
      </c>
      <c r="B264" s="30" t="str">
        <f>IFERROR(__xludf.DUMMYFUNCTION("""COMPUTED_VALUE"""),"RSC000197")</f>
        <v>RSC000197</v>
      </c>
      <c r="C264" s="30" t="str">
        <f>IFERROR(__xludf.DUMMYFUNCTION("""COMPUTED_VALUE"""),"kareemostyle")</f>
        <v>kareemostyle</v>
      </c>
      <c r="D264" s="31"/>
      <c r="E264" s="31">
        <f>IFERROR(__xludf.DUMMYFUNCTION("""COMPUTED_VALUE"""),57.876339082157756)</f>
        <v>57.87633908</v>
      </c>
      <c r="F264" s="31">
        <f>IFERROR(__xludf.DUMMYFUNCTION("""COMPUTED_VALUE"""),2.657027024146023)</f>
        <v>2.657027024</v>
      </c>
      <c r="G264" s="31">
        <f>IFERROR(__xludf.DUMMYFUNCTION("""COMPUTED_VALUE"""),59.73099156218791)</f>
        <v>59.73099156</v>
      </c>
      <c r="H264" s="31">
        <f>IFERROR(__xludf.DUMMYFUNCTION("""COMPUTED_VALUE"""),2.86903350133056)</f>
        <v>2.869033501</v>
      </c>
      <c r="I264" s="54">
        <f>IFERROR(__xludf.DUMMYFUNCTION("""COMPUTED_VALUE"""),8.0)</f>
        <v>8</v>
      </c>
      <c r="J264" s="55">
        <f>IFERROR(__xludf.DUMMYFUNCTION("""COMPUTED_VALUE"""),3.0)</f>
        <v>3</v>
      </c>
      <c r="K264" s="54">
        <f>IFERROR(__xludf.DUMMYFUNCTION("""COMPUTED_VALUE"""),5.0)</f>
        <v>5</v>
      </c>
      <c r="L264" s="56">
        <f>IFERROR(__xludf.DUMMYFUNCTION("""COMPUTED_VALUE"""),0.375)</f>
        <v>0.375</v>
      </c>
      <c r="M264" s="56">
        <f>IFERROR(__xludf.DUMMYFUNCTION("""COMPUTED_VALUE"""),0.3888888888888889)</f>
        <v>0.3888888889</v>
      </c>
      <c r="N264" s="31">
        <f>IFERROR(__xludf.DUMMYFUNCTION("""COMPUTED_VALUE"""),394.875)</f>
        <v>394.875</v>
      </c>
      <c r="O264" s="57">
        <f>IFERROR(__xludf.DUMMYFUNCTION("""COMPUTED_VALUE"""),0.875)</f>
        <v>0.875</v>
      </c>
      <c r="P264" s="57">
        <f>IFERROR(__xludf.DUMMYFUNCTION("""COMPUTED_VALUE"""),0.625)</f>
        <v>0.625</v>
      </c>
      <c r="Q264" s="57">
        <f>IFERROR(__xludf.DUMMYFUNCTION("""COMPUTED_VALUE"""),1.5)</f>
        <v>1.5</v>
      </c>
      <c r="R264" s="57">
        <f>IFERROR(__xludf.DUMMYFUNCTION("""COMPUTED_VALUE"""),2.25)</f>
        <v>2.25</v>
      </c>
      <c r="S264" s="31">
        <f>IFERROR(__xludf.DUMMYFUNCTION("""COMPUTED_VALUE"""),401.79166666666663)</f>
        <v>401.7916667</v>
      </c>
      <c r="T264" s="57">
        <f>IFERROR(__xludf.DUMMYFUNCTION("""COMPUTED_VALUE"""),1.2083333333333335)</f>
        <v>1.208333333</v>
      </c>
      <c r="U264" s="57">
        <f>IFERROR(__xludf.DUMMYFUNCTION("""COMPUTED_VALUE"""),0.8333333333333334)</f>
        <v>0.8333333333</v>
      </c>
      <c r="V264" s="57">
        <f>IFERROR(__xludf.DUMMYFUNCTION("""COMPUTED_VALUE"""),1.0416666666666665)</f>
        <v>1.041666667</v>
      </c>
      <c r="W264" s="57">
        <f>IFERROR(__xludf.DUMMYFUNCTION("""COMPUTED_VALUE"""),3.25)</f>
        <v>3.25</v>
      </c>
      <c r="X264" s="31">
        <f>IFERROR(__xludf.DUMMYFUNCTION("""COMPUTED_VALUE"""),390.34943787948714)</f>
        <v>390.3494379</v>
      </c>
      <c r="Y264" s="57">
        <f>IFERROR(__xludf.DUMMYFUNCTION("""COMPUTED_VALUE"""),0.9462958281840992)</f>
        <v>0.9462958282</v>
      </c>
      <c r="Z264" s="57">
        <f>IFERROR(__xludf.DUMMYFUNCTION("""COMPUTED_VALUE"""),0.7024922826553262)</f>
        <v>0.7024922827</v>
      </c>
      <c r="AA264" s="57">
        <f>IFERROR(__xludf.DUMMYFUNCTION("""COMPUTED_VALUE"""),1.4043142702141693)</f>
        <v>1.40431427</v>
      </c>
      <c r="AB264" s="57">
        <f>IFERROR(__xludf.DUMMYFUNCTION("""COMPUTED_VALUE"""),2.951338277646417)</f>
        <v>2.951338278</v>
      </c>
      <c r="AC264" s="31">
        <f>IFERROR(__xludf.DUMMYFUNCTION("""COMPUTED_VALUE"""),348.0953878549934)</f>
        <v>348.0953879</v>
      </c>
      <c r="AD264" s="57">
        <f>IFERROR(__xludf.DUMMYFUNCTION("""COMPUTED_VALUE"""),0.7325887460598449)</f>
        <v>0.7325887461</v>
      </c>
      <c r="AE264" s="57">
        <f>IFERROR(__xludf.DUMMYFUNCTION("""COMPUTED_VALUE"""),0.5214874659073345)</f>
        <v>0.5214874659</v>
      </c>
      <c r="AF264" s="57">
        <f>IFERROR(__xludf.DUMMYFUNCTION("""COMPUTED_VALUE"""),1.4114605752413298)</f>
        <v>1.411460575</v>
      </c>
      <c r="AG264" s="57">
        <f>IFERROR(__xludf.DUMMYFUNCTION("""COMPUTED_VALUE"""),2.421108971591361)</f>
        <v>2.421108972</v>
      </c>
      <c r="AH264" s="57">
        <f>IFERROR(__xludf.DUMMYFUNCTION("""COMPUTED_VALUE"""),1.1343873368540396)</f>
        <v>1.134387337</v>
      </c>
      <c r="AI264" s="57">
        <f>IFERROR(__xludf.DUMMYFUNCTION("""COMPUTED_VALUE"""),1.1943945422395577)</f>
        <v>1.194394542</v>
      </c>
      <c r="AJ264" s="57">
        <f>IFERROR(__xludf.DUMMYFUNCTION("""COMPUTED_VALUE"""),1.1984947690210814)</f>
        <v>1.198494769</v>
      </c>
      <c r="AK264" s="57">
        <f>IFERROR(__xludf.DUMMYFUNCTION("""COMPUTED_VALUE"""),1.0627289393070947)</f>
        <v>1.062728939</v>
      </c>
      <c r="AL264" s="57">
        <f>IFERROR(__xludf.DUMMYFUNCTION("""COMPUTED_VALUE"""),0.9293261998534113)</f>
        <v>0.9293261999</v>
      </c>
      <c r="AM264" s="57">
        <f>IFERROR(__xludf.DUMMYFUNCTION("""COMPUTED_VALUE"""),1.029312784077102)</f>
        <v>1.029312784</v>
      </c>
      <c r="AN264" s="57">
        <f>IFERROR(__xludf.DUMMYFUNCTION("""COMPUTED_VALUE"""),1.2769086551423068)</f>
        <v>1.276908655</v>
      </c>
      <c r="AO264" s="57">
        <f>IFERROR(__xludf.DUMMYFUNCTION("""COMPUTED_VALUE"""),1.1862526520340488)</f>
        <v>1.186252652</v>
      </c>
      <c r="AP264" s="35">
        <f>IFERROR(__xludf.DUMMYFUNCTION("""COMPUTED_VALUE"""),0.7417617899074713)</f>
        <v>0.7417617899</v>
      </c>
      <c r="AQ264" s="57">
        <f>IFERROR(__xludf.DUMMYFUNCTION("""COMPUTED_VALUE"""),1.1011953541942858)</f>
        <v>1.101195354</v>
      </c>
      <c r="AR264" s="36" t="b">
        <f>IFERROR(__xludf.DUMMYFUNCTION("""COMPUTED_VALUE"""),TRUE)</f>
        <v>1</v>
      </c>
      <c r="AS264" s="57"/>
      <c r="AT264" s="37"/>
      <c r="AU264" s="30"/>
      <c r="AV264" s="30"/>
      <c r="AW264" s="30"/>
      <c r="AX264" s="30"/>
      <c r="AY264" s="30"/>
      <c r="AZ264" s="30"/>
    </row>
    <row r="265">
      <c r="A265" s="30" t="str">
        <f>IFERROR(__xludf.DUMMYFUNCTION("""COMPUTED_VALUE"""),"Elite")</f>
        <v>Elite</v>
      </c>
      <c r="B265" s="30" t="str">
        <f>IFERROR(__xludf.DUMMYFUNCTION("""COMPUTED_VALUE"""),"RSC000438")</f>
        <v>RSC000438</v>
      </c>
      <c r="C265" s="30" t="str">
        <f>IFERROR(__xludf.DUMMYFUNCTION("""COMPUTED_VALUE"""),"Limon")</f>
        <v>Limon</v>
      </c>
      <c r="D265" s="31" t="str">
        <f>IFERROR(__xludf.DUMMYFUNCTION("""COMPUTED_VALUE"""),"Menthol")</f>
        <v>Menthol</v>
      </c>
      <c r="E265" s="31">
        <f>IFERROR(__xludf.DUMMYFUNCTION("""COMPUTED_VALUE"""),57.833590373416015)</f>
        <v>57.83359037</v>
      </c>
      <c r="F265" s="31">
        <f>IFERROR(__xludf.DUMMYFUNCTION("""COMPUTED_VALUE"""),2.652450883188364)</f>
        <v>2.652450883</v>
      </c>
      <c r="G265" s="31">
        <f>IFERROR(__xludf.DUMMYFUNCTION("""COMPUTED_VALUE"""),40.58641637603796)</f>
        <v>40.58641638</v>
      </c>
      <c r="H265" s="31">
        <f>IFERROR(__xludf.DUMMYFUNCTION("""COMPUTED_VALUE"""),-2.830804254356236)</f>
        <v>-2.830804254</v>
      </c>
      <c r="I265" s="54">
        <f>IFERROR(__xludf.DUMMYFUNCTION("""COMPUTED_VALUE"""),21.0)</f>
        <v>21</v>
      </c>
      <c r="J265" s="55">
        <f>IFERROR(__xludf.DUMMYFUNCTION("""COMPUTED_VALUE"""),14.0)</f>
        <v>14</v>
      </c>
      <c r="K265" s="54">
        <f>IFERROR(__xludf.DUMMYFUNCTION("""COMPUTED_VALUE"""),7.0)</f>
        <v>7</v>
      </c>
      <c r="L265" s="56">
        <f>IFERROR(__xludf.DUMMYFUNCTION("""COMPUTED_VALUE"""),0.6666666666666666)</f>
        <v>0.6666666667</v>
      </c>
      <c r="M265" s="56">
        <f>IFERROR(__xludf.DUMMYFUNCTION("""COMPUTED_VALUE"""),0.3125)</f>
        <v>0.3125</v>
      </c>
      <c r="N265" s="31">
        <f>IFERROR(__xludf.DUMMYFUNCTION("""COMPUTED_VALUE"""),349.6666666666667)</f>
        <v>349.6666667</v>
      </c>
      <c r="O265" s="57">
        <f>IFERROR(__xludf.DUMMYFUNCTION("""COMPUTED_VALUE"""),0.9523809523809523)</f>
        <v>0.9523809524</v>
      </c>
      <c r="P265" s="57">
        <f>IFERROR(__xludf.DUMMYFUNCTION("""COMPUTED_VALUE"""),0.38095238095238093)</f>
        <v>0.380952381</v>
      </c>
      <c r="Q265" s="57">
        <f>IFERROR(__xludf.DUMMYFUNCTION("""COMPUTED_VALUE"""),1.1428571428571428)</f>
        <v>1.142857143</v>
      </c>
      <c r="R265" s="57">
        <f>IFERROR(__xludf.DUMMYFUNCTION("""COMPUTED_VALUE"""),3.0476190476190474)</f>
        <v>3.047619048</v>
      </c>
      <c r="S265" s="31">
        <f>IFERROR(__xludf.DUMMYFUNCTION("""COMPUTED_VALUE"""),373.53968253968253)</f>
        <v>373.5396825</v>
      </c>
      <c r="T265" s="57">
        <f>IFERROR(__xludf.DUMMYFUNCTION("""COMPUTED_VALUE"""),0.6507936507936508)</f>
        <v>0.6507936508</v>
      </c>
      <c r="U265" s="57">
        <f>IFERROR(__xludf.DUMMYFUNCTION("""COMPUTED_VALUE"""),0.4920634920634919)</f>
        <v>0.4920634921</v>
      </c>
      <c r="V265" s="57">
        <f>IFERROR(__xludf.DUMMYFUNCTION("""COMPUTED_VALUE"""),2.0000000000000004)</f>
        <v>2</v>
      </c>
      <c r="W265" s="57">
        <f>IFERROR(__xludf.DUMMYFUNCTION("""COMPUTED_VALUE"""),2.1904761904761907)</f>
        <v>2.19047619</v>
      </c>
      <c r="X265" s="31">
        <f>IFERROR(__xludf.DUMMYFUNCTION("""COMPUTED_VALUE"""),352.37385149016563)</f>
        <v>352.3738515</v>
      </c>
      <c r="Y265" s="57">
        <f>IFERROR(__xludf.DUMMYFUNCTION("""COMPUTED_VALUE"""),0.655220856932446)</f>
        <v>0.6552208569</v>
      </c>
      <c r="Z265" s="57">
        <f>IFERROR(__xludf.DUMMYFUNCTION("""COMPUTED_VALUE"""),0.5357007404927135)</f>
        <v>0.5357007405</v>
      </c>
      <c r="AA265" s="57">
        <f>IFERROR(__xludf.DUMMYFUNCTION("""COMPUTED_VALUE"""),1.6211656027174088)</f>
        <v>1.621165603</v>
      </c>
      <c r="AB265" s="57">
        <f>IFERROR(__xludf.DUMMYFUNCTION("""COMPUTED_VALUE"""),2.3944063322902536)</f>
        <v>2.394406332</v>
      </c>
      <c r="AC265" s="31">
        <f>IFERROR(__xludf.DUMMYFUNCTION("""COMPUTED_VALUE"""),376.50499588061183)</f>
        <v>376.5049959</v>
      </c>
      <c r="AD265" s="57">
        <f>IFERROR(__xludf.DUMMYFUNCTION("""COMPUTED_VALUE"""),0.8675620854784197)</f>
        <v>0.8675620855</v>
      </c>
      <c r="AE265" s="57">
        <f>IFERROR(__xludf.DUMMYFUNCTION("""COMPUTED_VALUE"""),0.67222421747692)</f>
        <v>0.6722242175</v>
      </c>
      <c r="AF265" s="57">
        <f>IFERROR(__xludf.DUMMYFUNCTION("""COMPUTED_VALUE"""),1.3682556726604918)</f>
        <v>1.368255673</v>
      </c>
      <c r="AG265" s="57">
        <f>IFERROR(__xludf.DUMMYFUNCTION("""COMPUTED_VALUE"""),2.962149379263667)</f>
        <v>2.962149379</v>
      </c>
      <c r="AH265" s="57">
        <f>IFERROR(__xludf.DUMMYFUNCTION("""COMPUTED_VALUE"""),0.9287172029386418)</f>
        <v>0.9287172029</v>
      </c>
      <c r="AI265" s="57">
        <f>IFERROR(__xludf.DUMMYFUNCTION("""COMPUTED_VALUE"""),1.097766912964804)</f>
        <v>1.097766913</v>
      </c>
      <c r="AJ265" s="57">
        <f>IFERROR(__xludf.DUMMYFUNCTION("""COMPUTED_VALUE"""),0.5667043391894171)</f>
        <v>0.5667043392</v>
      </c>
      <c r="AK265" s="57">
        <f>IFERROR(__xludf.DUMMYFUNCTION("""COMPUTED_VALUE"""),0.8352657808718783)</f>
        <v>0.8352657809</v>
      </c>
      <c r="AL265" s="57">
        <f>IFERROR(__xludf.DUMMYFUNCTION("""COMPUTED_VALUE"""),1.0288539359134639)</f>
        <v>1.028853936</v>
      </c>
      <c r="AM265" s="57">
        <f>IFERROR(__xludf.DUMMYFUNCTION("""COMPUTED_VALUE"""),1.060066406630367)</f>
        <v>1.060066407</v>
      </c>
      <c r="AN265" s="57">
        <f>IFERROR(__xludf.DUMMYFUNCTION("""COMPUTED_VALUE"""),0.9932431849628198)</f>
        <v>0.993243185</v>
      </c>
      <c r="AO265" s="57">
        <f>IFERROR(__xludf.DUMMYFUNCTION("""COMPUTED_VALUE"""),0.9185417433078662)</f>
        <v>0.9185417433</v>
      </c>
      <c r="AP265" s="35">
        <f>IFERROR(__xludf.DUMMYFUNCTION("""COMPUTED_VALUE"""),1.2336802586038014)</f>
        <v>1.233680259</v>
      </c>
      <c r="AQ265" s="57">
        <f>IFERROR(__xludf.DUMMYFUNCTION("""COMPUTED_VALUE"""),0.9148306037016686)</f>
        <v>0.9148306037</v>
      </c>
      <c r="AR265" s="36" t="b">
        <f>IFERROR(__xludf.DUMMYFUNCTION("""COMPUTED_VALUE"""),TRUE)</f>
        <v>1</v>
      </c>
      <c r="AS265" s="57"/>
      <c r="AT265" s="37"/>
      <c r="AU265" s="30"/>
      <c r="AV265" s="30"/>
      <c r="AW265" s="30"/>
      <c r="AX265" s="30"/>
      <c r="AY265" s="30"/>
      <c r="AZ265" s="30"/>
    </row>
    <row r="266">
      <c r="A266" s="30" t="str">
        <f>IFERROR(__xludf.DUMMYFUNCTION("""COMPUTED_VALUE"""),"Elite")</f>
        <v>Elite</v>
      </c>
      <c r="B266" s="30" t="str">
        <f>IFERROR(__xludf.DUMMYFUNCTION("""COMPUTED_VALUE"""),"RSC005899")</f>
        <v>RSC005899</v>
      </c>
      <c r="C266" s="30" t="str">
        <f>IFERROR(__xludf.DUMMYFUNCTION("""COMPUTED_VALUE"""),"DJDancingDuckGif")</f>
        <v>DJDancingDuckGif</v>
      </c>
      <c r="D266" s="31" t="str">
        <f>IFERROR(__xludf.DUMMYFUNCTION("""COMPUTED_VALUE"""),"Black-Holes")</f>
        <v>Black-Holes</v>
      </c>
      <c r="E266" s="31">
        <f>IFERROR(__xludf.DUMMYFUNCTION("""COMPUTED_VALUE"""),57.3855935222404)</f>
        <v>57.38559352</v>
      </c>
      <c r="F266" s="31">
        <f>IFERROR(__xludf.DUMMYFUNCTION("""COMPUTED_VALUE"""),2.6052854482329693)</f>
        <v>2.605285448</v>
      </c>
      <c r="G266" s="31">
        <f>IFERROR(__xludf.DUMMYFUNCTION("""COMPUTED_VALUE"""),44.72504538337208)</f>
        <v>44.72504538</v>
      </c>
      <c r="H266" s="31">
        <f>IFERROR(__xludf.DUMMYFUNCTION("""COMPUTED_VALUE"""),-2.4012812625070037)</f>
        <v>-2.401281263</v>
      </c>
      <c r="I266" s="54">
        <f>IFERROR(__xludf.DUMMYFUNCTION("""COMPUTED_VALUE"""),32.0)</f>
        <v>32</v>
      </c>
      <c r="J266" s="55">
        <f>IFERROR(__xludf.DUMMYFUNCTION("""COMPUTED_VALUE"""),21.0)</f>
        <v>21</v>
      </c>
      <c r="K266" s="54">
        <f>IFERROR(__xludf.DUMMYFUNCTION("""COMPUTED_VALUE"""),11.0)</f>
        <v>11</v>
      </c>
      <c r="L266" s="56">
        <f>IFERROR(__xludf.DUMMYFUNCTION("""COMPUTED_VALUE"""),0.65625)</f>
        <v>0.65625</v>
      </c>
      <c r="M266" s="56">
        <f>IFERROR(__xludf.DUMMYFUNCTION("""COMPUTED_VALUE"""),0.27380952380952384)</f>
        <v>0.2738095238</v>
      </c>
      <c r="N266" s="31">
        <f>IFERROR(__xludf.DUMMYFUNCTION("""COMPUTED_VALUE"""),381.375)</f>
        <v>381.375</v>
      </c>
      <c r="O266" s="57">
        <f>IFERROR(__xludf.DUMMYFUNCTION("""COMPUTED_VALUE"""),0.71875)</f>
        <v>0.71875</v>
      </c>
      <c r="P266" s="57">
        <f>IFERROR(__xludf.DUMMYFUNCTION("""COMPUTED_VALUE"""),0.65625)</f>
        <v>0.65625</v>
      </c>
      <c r="Q266" s="57">
        <f>IFERROR(__xludf.DUMMYFUNCTION("""COMPUTED_VALUE"""),1.8125)</f>
        <v>1.8125</v>
      </c>
      <c r="R266" s="57">
        <f>IFERROR(__xludf.DUMMYFUNCTION("""COMPUTED_VALUE"""),2.625)</f>
        <v>2.625</v>
      </c>
      <c r="S266" s="31">
        <f>IFERROR(__xludf.DUMMYFUNCTION("""COMPUTED_VALUE"""),365.7916666666667)</f>
        <v>365.7916667</v>
      </c>
      <c r="T266" s="57">
        <f>IFERROR(__xludf.DUMMYFUNCTION("""COMPUTED_VALUE"""),0.7291666666666667)</f>
        <v>0.7291666667</v>
      </c>
      <c r="U266" s="57">
        <f>IFERROR(__xludf.DUMMYFUNCTION("""COMPUTED_VALUE"""),0.4895833333333334)</f>
        <v>0.4895833333</v>
      </c>
      <c r="V266" s="57">
        <f>IFERROR(__xludf.DUMMYFUNCTION("""COMPUTED_VALUE"""),1.6875000000000002)</f>
        <v>1.6875</v>
      </c>
      <c r="W266" s="57">
        <f>IFERROR(__xludf.DUMMYFUNCTION("""COMPUTED_VALUE"""),2.4479166666666665)</f>
        <v>2.447916667</v>
      </c>
      <c r="X266" s="31">
        <f>IFERROR(__xludf.DUMMYFUNCTION("""COMPUTED_VALUE"""),354.0870899326982)</f>
        <v>354.0870899</v>
      </c>
      <c r="Y266" s="57">
        <f>IFERROR(__xludf.DUMMYFUNCTION("""COMPUTED_VALUE"""),0.732631311052228)</f>
        <v>0.7326313111</v>
      </c>
      <c r="Z266" s="57">
        <f>IFERROR(__xludf.DUMMYFUNCTION("""COMPUTED_VALUE"""),0.5377045449850797)</f>
        <v>0.537704545</v>
      </c>
      <c r="AA266" s="57">
        <f>IFERROR(__xludf.DUMMYFUNCTION("""COMPUTED_VALUE"""),1.4586147071989841)</f>
        <v>1.458614707</v>
      </c>
      <c r="AB266" s="57">
        <f>IFERROR(__xludf.DUMMYFUNCTION("""COMPUTED_VALUE"""),2.5963503282389566)</f>
        <v>2.596350328</v>
      </c>
      <c r="AC266" s="31">
        <f>IFERROR(__xludf.DUMMYFUNCTION("""COMPUTED_VALUE"""),364.8430056219847)</f>
        <v>364.8430056</v>
      </c>
      <c r="AD266" s="57">
        <f>IFERROR(__xludf.DUMMYFUNCTION("""COMPUTED_VALUE"""),0.8091708066353376)</f>
        <v>0.8091708066</v>
      </c>
      <c r="AE266" s="57">
        <f>IFERROR(__xludf.DUMMYFUNCTION("""COMPUTED_VALUE"""),0.6177582993502359)</f>
        <v>0.6177582994</v>
      </c>
      <c r="AF266" s="57">
        <f>IFERROR(__xludf.DUMMYFUNCTION("""COMPUTED_VALUE"""),1.3726874057524336)</f>
        <v>1.372687406</v>
      </c>
      <c r="AG266" s="57">
        <f>IFERROR(__xludf.DUMMYFUNCTION("""COMPUTED_VALUE"""),2.764139561700788)</f>
        <v>2.764139562</v>
      </c>
      <c r="AH266" s="57">
        <f>IFERROR(__xludf.DUMMYFUNCTION("""COMPUTED_VALUE"""),1.0453126252203508)</f>
        <v>1.045312625</v>
      </c>
      <c r="AI266" s="57">
        <f>IFERROR(__xludf.DUMMYFUNCTION("""COMPUTED_VALUE"""),0.8882549816505098)</f>
        <v>0.8882549817</v>
      </c>
      <c r="AJ266" s="57">
        <f>IFERROR(__xludf.DUMMYFUNCTION("""COMPUTED_VALUE"""),1.0623086742666996)</f>
        <v>1.062308674</v>
      </c>
      <c r="AK266" s="57">
        <f>IFERROR(__xludf.DUMMYFUNCTION("""COMPUTED_VALUE"""),1.3204025857631327)</f>
        <v>1.320402586</v>
      </c>
      <c r="AL266" s="57">
        <f>IFERROR(__xludf.DUMMYFUNCTION("""COMPUTED_VALUE"""),0.9496626134119022)</f>
        <v>0.9496626134</v>
      </c>
      <c r="AM266" s="57">
        <f>IFERROR(__xludf.DUMMYFUNCTION("""COMPUTED_VALUE"""),1.0330556438422909)</f>
        <v>1.033055644</v>
      </c>
      <c r="AN266" s="57">
        <f>IFERROR(__xludf.DUMMYFUNCTION("""COMPUTED_VALUE"""),0.9952709578019737)</f>
        <v>0.9952709578</v>
      </c>
      <c r="AO266" s="57">
        <f>IFERROR(__xludf.DUMMYFUNCTION("""COMPUTED_VALUE"""),0.9105062211198502)</f>
        <v>0.9105062211</v>
      </c>
      <c r="AP266" s="35">
        <f>IFERROR(__xludf.DUMMYFUNCTION("""COMPUTED_VALUE"""),1.156919638662187)</f>
        <v>1.156919639</v>
      </c>
      <c r="AQ266" s="57">
        <f>IFERROR(__xludf.DUMMYFUNCTION("""COMPUTED_VALUE"""),0.9428298793279684)</f>
        <v>0.9428298793</v>
      </c>
      <c r="AR266" s="36" t="b">
        <f>IFERROR(__xludf.DUMMYFUNCTION("""COMPUTED_VALUE"""),TRUE)</f>
        <v>1</v>
      </c>
      <c r="AS266" s="57"/>
      <c r="AT266" s="37"/>
      <c r="AU266" s="30"/>
      <c r="AV266" s="30"/>
      <c r="AW266" s="30"/>
      <c r="AX266" s="30"/>
      <c r="AY266" s="30"/>
      <c r="AZ266" s="30"/>
    </row>
    <row r="267">
      <c r="A267" s="30" t="str">
        <f>IFERROR(__xludf.DUMMYFUNCTION("""COMPUTED_VALUE"""),"Elite")</f>
        <v>Elite</v>
      </c>
      <c r="B267" s="30" t="str">
        <f>IFERROR(__xludf.DUMMYFUNCTION("""COMPUTED_VALUE"""),"RSC005705")</f>
        <v>RSC005705</v>
      </c>
      <c r="C267" s="30" t="str">
        <f>IFERROR(__xludf.DUMMYFUNCTION("""COMPUTED_VALUE"""),"Rapidz (Goofy and Silly)")</f>
        <v>Rapidz (Goofy and Silly)</v>
      </c>
      <c r="D267" s="31" t="str">
        <f>IFERROR(__xludf.DUMMYFUNCTION("""COMPUTED_VALUE"""),"Keno")</f>
        <v>Keno</v>
      </c>
      <c r="E267" s="31">
        <f>IFERROR(__xludf.DUMMYFUNCTION("""COMPUTED_VALUE"""),56.97562874712686)</f>
        <v>56.97562875</v>
      </c>
      <c r="F267" s="31">
        <f>IFERROR(__xludf.DUMMYFUNCTION("""COMPUTED_VALUE"""),2.563361410445522)</f>
        <v>2.56336141</v>
      </c>
      <c r="G267" s="31">
        <f>IFERROR(__xludf.DUMMYFUNCTION("""COMPUTED_VALUE"""),61.04972454782602)</f>
        <v>61.04972455</v>
      </c>
      <c r="H267" s="31">
        <f>IFERROR(__xludf.DUMMYFUNCTION("""COMPUTED_VALUE"""),3.037218782171211)</f>
        <v>3.037218782</v>
      </c>
      <c r="I267" s="54">
        <f>IFERROR(__xludf.DUMMYFUNCTION("""COMPUTED_VALUE"""),36.0)</f>
        <v>36</v>
      </c>
      <c r="J267" s="55">
        <f>IFERROR(__xludf.DUMMYFUNCTION("""COMPUTED_VALUE"""),19.0)</f>
        <v>19</v>
      </c>
      <c r="K267" s="54">
        <f>IFERROR(__xludf.DUMMYFUNCTION("""COMPUTED_VALUE"""),17.0)</f>
        <v>17</v>
      </c>
      <c r="L267" s="56">
        <f>IFERROR(__xludf.DUMMYFUNCTION("""COMPUTED_VALUE"""),0.5277777777777778)</f>
        <v>0.5277777778</v>
      </c>
      <c r="M267" s="56">
        <f>IFERROR(__xludf.DUMMYFUNCTION("""COMPUTED_VALUE"""),0.27722772277227725)</f>
        <v>0.2772277228</v>
      </c>
      <c r="N267" s="31">
        <f>IFERROR(__xludf.DUMMYFUNCTION("""COMPUTED_VALUE"""),362.1388888888889)</f>
        <v>362.1388889</v>
      </c>
      <c r="O267" s="57">
        <f>IFERROR(__xludf.DUMMYFUNCTION("""COMPUTED_VALUE"""),0.7777777777777778)</f>
        <v>0.7777777778</v>
      </c>
      <c r="P267" s="57">
        <f>IFERROR(__xludf.DUMMYFUNCTION("""COMPUTED_VALUE"""),0.5277777777777778)</f>
        <v>0.5277777778</v>
      </c>
      <c r="Q267" s="57">
        <f>IFERROR(__xludf.DUMMYFUNCTION("""COMPUTED_VALUE"""),1.3611111111111112)</f>
        <v>1.361111111</v>
      </c>
      <c r="R267" s="57">
        <f>IFERROR(__xludf.DUMMYFUNCTION("""COMPUTED_VALUE"""),2.8055555555555554)</f>
        <v>2.805555556</v>
      </c>
      <c r="S267" s="31">
        <f>IFERROR(__xludf.DUMMYFUNCTION("""COMPUTED_VALUE"""),335.46296296296293)</f>
        <v>335.462963</v>
      </c>
      <c r="T267" s="57">
        <f>IFERROR(__xludf.DUMMYFUNCTION("""COMPUTED_VALUE"""),0.6574074074074074)</f>
        <v>0.6574074074</v>
      </c>
      <c r="U267" s="57">
        <f>IFERROR(__xludf.DUMMYFUNCTION("""COMPUTED_VALUE"""),0.48148148148148145)</f>
        <v>0.4814814815</v>
      </c>
      <c r="V267" s="57">
        <f>IFERROR(__xludf.DUMMYFUNCTION("""COMPUTED_VALUE"""),1.3611111111111114)</f>
        <v>1.361111111</v>
      </c>
      <c r="W267" s="57">
        <f>IFERROR(__xludf.DUMMYFUNCTION("""COMPUTED_VALUE"""),2.398148148148149)</f>
        <v>2.398148148</v>
      </c>
      <c r="X267" s="31">
        <f>IFERROR(__xludf.DUMMYFUNCTION("""COMPUTED_VALUE"""),347.5846312388487)</f>
        <v>347.5846312</v>
      </c>
      <c r="Y267" s="57">
        <f>IFERROR(__xludf.DUMMYFUNCTION("""COMPUTED_VALUE"""),0.7146412729168081)</f>
        <v>0.7146412729</v>
      </c>
      <c r="Z267" s="57">
        <f>IFERROR(__xludf.DUMMYFUNCTION("""COMPUTED_VALUE"""),0.5481930161058883)</f>
        <v>0.5481930161</v>
      </c>
      <c r="AA267" s="57">
        <f>IFERROR(__xludf.DUMMYFUNCTION("""COMPUTED_VALUE"""),1.4179144070832088)</f>
        <v>1.417914407</v>
      </c>
      <c r="AB267" s="57">
        <f>IFERROR(__xludf.DUMMYFUNCTION("""COMPUTED_VALUE"""),2.5341485982319427)</f>
        <v>2.534148598</v>
      </c>
      <c r="AC267" s="31">
        <f>IFERROR(__xludf.DUMMYFUNCTION("""COMPUTED_VALUE"""),368.40350239481205)</f>
        <v>368.4035024</v>
      </c>
      <c r="AD267" s="57">
        <f>IFERROR(__xludf.DUMMYFUNCTION("""COMPUTED_VALUE"""),0.8521673811348339)</f>
        <v>0.8521673811</v>
      </c>
      <c r="AE267" s="57">
        <f>IFERROR(__xludf.DUMMYFUNCTION("""COMPUTED_VALUE"""),0.6441871115158482)</f>
        <v>0.6441871115</v>
      </c>
      <c r="AF267" s="57">
        <f>IFERROR(__xludf.DUMMYFUNCTION("""COMPUTED_VALUE"""),1.374960032618138)</f>
        <v>1.374960033</v>
      </c>
      <c r="AG267" s="57">
        <f>IFERROR(__xludf.DUMMYFUNCTION("""COMPUTED_VALUE"""),2.7255849952455993)</f>
        <v>2.725584995</v>
      </c>
      <c r="AH267" s="57">
        <f>IFERROR(__xludf.DUMMYFUNCTION("""COMPUTED_VALUE"""),0.9829952390104874)</f>
        <v>0.982995239</v>
      </c>
      <c r="AI267" s="57">
        <f>IFERROR(__xludf.DUMMYFUNCTION("""COMPUTED_VALUE"""),0.9127054085806579)</f>
        <v>0.9127054086</v>
      </c>
      <c r="AJ267" s="57">
        <f>IFERROR(__xludf.DUMMYFUNCTION("""COMPUTED_VALUE"""),0.8192926687649098)</f>
        <v>0.8192926688</v>
      </c>
      <c r="AK267" s="57">
        <f>IFERROR(__xludf.DUMMYFUNCTION("""COMPUTED_VALUE"""),0.9899277643142425)</f>
        <v>0.9899277643</v>
      </c>
      <c r="AL267" s="57">
        <f>IFERROR(__xludf.DUMMYFUNCTION("""COMPUTED_VALUE"""),1.0293406958320703)</f>
        <v>1.029340696</v>
      </c>
      <c r="AM267" s="57">
        <f>IFERROR(__xludf.DUMMYFUNCTION("""COMPUTED_VALUE"""),0.9651259946888844)</f>
        <v>0.9651259947</v>
      </c>
      <c r="AN267" s="57">
        <f>IFERROR(__xludf.DUMMYFUNCTION("""COMPUTED_VALUE"""),0.9199124544321368)</f>
        <v>0.9199124544</v>
      </c>
      <c r="AO267" s="57">
        <f>IFERROR(__xludf.DUMMYFUNCTION("""COMPUTED_VALUE"""),0.8783064857369125)</f>
        <v>0.8783064857</v>
      </c>
      <c r="AP267" s="35">
        <f>IFERROR(__xludf.DUMMYFUNCTION("""COMPUTED_VALUE"""),0.9599388399692281)</f>
        <v>0.95993884</v>
      </c>
      <c r="AQ267" s="57">
        <f>IFERROR(__xludf.DUMMYFUNCTION("""COMPUTED_VALUE"""),0.9463328826972971)</f>
        <v>0.9463328827</v>
      </c>
      <c r="AR267" s="36" t="b">
        <f>IFERROR(__xludf.DUMMYFUNCTION("""COMPUTED_VALUE"""),TRUE)</f>
        <v>1</v>
      </c>
      <c r="AS267" s="57"/>
      <c r="AT267" s="37"/>
      <c r="AU267" s="30"/>
      <c r="AV267" s="30"/>
      <c r="AW267" s="30"/>
      <c r="AX267" s="30"/>
      <c r="AY267" s="30"/>
      <c r="AZ267" s="30"/>
    </row>
    <row r="268">
      <c r="A268" s="30" t="str">
        <f>IFERROR(__xludf.DUMMYFUNCTION("""COMPUTED_VALUE"""),"Elite")</f>
        <v>Elite</v>
      </c>
      <c r="B268" s="30" t="str">
        <f>IFERROR(__xludf.DUMMYFUNCTION("""COMPUTED_VALUE"""),"RSC007843")</f>
        <v>RSC007843</v>
      </c>
      <c r="C268" s="30" t="str">
        <f>IFERROR(__xludf.DUMMYFUNCTION("""COMPUTED_VALUE"""),"BLOO")</f>
        <v>BLOO</v>
      </c>
      <c r="D268" s="31" t="str">
        <f>IFERROR(__xludf.DUMMYFUNCTION("""COMPUTED_VALUE"""),"Praetorian Guard")</f>
        <v>Praetorian Guard</v>
      </c>
      <c r="E268" s="31">
        <f>IFERROR(__xludf.DUMMYFUNCTION("""COMPUTED_VALUE"""),56.90821383500648)</f>
        <v>56.90821384</v>
      </c>
      <c r="F268" s="31">
        <f>IFERROR(__xludf.DUMMYFUNCTION("""COMPUTED_VALUE"""),2.556577942564406)</f>
        <v>2.556577943</v>
      </c>
      <c r="G268" s="31">
        <f>IFERROR(__xludf.DUMMYFUNCTION("""COMPUTED_VALUE"""),49.983527872130246)</f>
        <v>49.98352787</v>
      </c>
      <c r="H268" s="31">
        <f>IFERROR(__xludf.DUMMYFUNCTION("""COMPUTED_VALUE"""),-2.001051981486421)</f>
        <v>-2.001051981</v>
      </c>
      <c r="I268" s="54">
        <f>IFERROR(__xludf.DUMMYFUNCTION("""COMPUTED_VALUE"""),36.0)</f>
        <v>36</v>
      </c>
      <c r="J268" s="55">
        <f>IFERROR(__xludf.DUMMYFUNCTION("""COMPUTED_VALUE"""),20.0)</f>
        <v>20</v>
      </c>
      <c r="K268" s="54">
        <f>IFERROR(__xludf.DUMMYFUNCTION("""COMPUTED_VALUE"""),16.0)</f>
        <v>16</v>
      </c>
      <c r="L268" s="56">
        <f>IFERROR(__xludf.DUMMYFUNCTION("""COMPUTED_VALUE"""),0.5555555555555556)</f>
        <v>0.5555555556</v>
      </c>
      <c r="M268" s="56">
        <f>IFERROR(__xludf.DUMMYFUNCTION("""COMPUTED_VALUE"""),0.19642857142857145)</f>
        <v>0.1964285714</v>
      </c>
      <c r="N268" s="31">
        <f>IFERROR(__xludf.DUMMYFUNCTION("""COMPUTED_VALUE"""),336.6388888888889)</f>
        <v>336.6388889</v>
      </c>
      <c r="O268" s="57">
        <f>IFERROR(__xludf.DUMMYFUNCTION("""COMPUTED_VALUE"""),0.6111111111111112)</f>
        <v>0.6111111111</v>
      </c>
      <c r="P268" s="57">
        <f>IFERROR(__xludf.DUMMYFUNCTION("""COMPUTED_VALUE"""),0.5833333333333334)</f>
        <v>0.5833333333</v>
      </c>
      <c r="Q268" s="57">
        <f>IFERROR(__xludf.DUMMYFUNCTION("""COMPUTED_VALUE"""),1.0833333333333333)</f>
        <v>1.083333333</v>
      </c>
      <c r="R268" s="57">
        <f>IFERROR(__xludf.DUMMYFUNCTION("""COMPUTED_VALUE"""),3.111111111111111)</f>
        <v>3.111111111</v>
      </c>
      <c r="S268" s="31">
        <f>IFERROR(__xludf.DUMMYFUNCTION("""COMPUTED_VALUE"""),345.6666666666667)</f>
        <v>345.6666667</v>
      </c>
      <c r="T268" s="57">
        <f>IFERROR(__xludf.DUMMYFUNCTION("""COMPUTED_VALUE"""),0.611111111111111)</f>
        <v>0.6111111111</v>
      </c>
      <c r="U268" s="57">
        <f>IFERROR(__xludf.DUMMYFUNCTION("""COMPUTED_VALUE"""),0.5092592592592592)</f>
        <v>0.5092592593</v>
      </c>
      <c r="V268" s="57">
        <f>IFERROR(__xludf.DUMMYFUNCTION("""COMPUTED_VALUE"""),1.5925925925925923)</f>
        <v>1.592592593</v>
      </c>
      <c r="W268" s="57">
        <f>IFERROR(__xludf.DUMMYFUNCTION("""COMPUTED_VALUE"""),2.472222222222222)</f>
        <v>2.472222222</v>
      </c>
      <c r="X268" s="31">
        <f>IFERROR(__xludf.DUMMYFUNCTION("""COMPUTED_VALUE"""),354.9473653931984)</f>
        <v>354.9473654</v>
      </c>
      <c r="Y268" s="57">
        <f>IFERROR(__xludf.DUMMYFUNCTION("""COMPUTED_VALUE"""),0.7737264124560718)</f>
        <v>0.7737264125</v>
      </c>
      <c r="Z268" s="57">
        <f>IFERROR(__xludf.DUMMYFUNCTION("""COMPUTED_VALUE"""),0.5759278547609248)</f>
        <v>0.5759278548</v>
      </c>
      <c r="AA268" s="57">
        <f>IFERROR(__xludf.DUMMYFUNCTION("""COMPUTED_VALUE"""),1.3974264895519097)</f>
        <v>1.39742649</v>
      </c>
      <c r="AB268" s="57">
        <f>IFERROR(__xludf.DUMMYFUNCTION("""COMPUTED_VALUE"""),2.524891698756186)</f>
        <v>2.524891699</v>
      </c>
      <c r="AC268" s="31">
        <f>IFERROR(__xludf.DUMMYFUNCTION("""COMPUTED_VALUE"""),357.9530859987526)</f>
        <v>357.953086</v>
      </c>
      <c r="AD268" s="57">
        <f>IFERROR(__xludf.DUMMYFUNCTION("""COMPUTED_VALUE"""),0.7803486080989567)</f>
        <v>0.7803486081</v>
      </c>
      <c r="AE268" s="57">
        <f>IFERROR(__xludf.DUMMYFUNCTION("""COMPUTED_VALUE"""),0.5877569598632015)</f>
        <v>0.5877569599</v>
      </c>
      <c r="AF268" s="57">
        <f>IFERROR(__xludf.DUMMYFUNCTION("""COMPUTED_VALUE"""),1.3516824001064998)</f>
        <v>1.3516824</v>
      </c>
      <c r="AG268" s="57">
        <f>IFERROR(__xludf.DUMMYFUNCTION("""COMPUTED_VALUE"""),2.706836277989604)</f>
        <v>2.706836278</v>
      </c>
      <c r="AH268" s="57">
        <f>IFERROR(__xludf.DUMMYFUNCTION("""COMPUTED_VALUE"""),0.9404553335519003)</f>
        <v>0.9404553336</v>
      </c>
      <c r="AI268" s="57">
        <f>IFERROR(__xludf.DUMMYFUNCTION("""COMPUTED_VALUE"""),0.7831257783618878)</f>
        <v>0.7831257784</v>
      </c>
      <c r="AJ268" s="57">
        <f>IFERROR(__xludf.DUMMYFUNCTION("""COMPUTED_VALUE"""),0.9924737147631604)</f>
        <v>0.9924737148</v>
      </c>
      <c r="AK268" s="57">
        <f>IFERROR(__xludf.DUMMYFUNCTION("""COMPUTED_VALUE"""),0.8014703256090164)</f>
        <v>0.8014703256</v>
      </c>
      <c r="AL268" s="57">
        <f>IFERROR(__xludf.DUMMYFUNCTION("""COMPUTED_VALUE"""),1.149353263959417)</f>
        <v>1.149353264</v>
      </c>
      <c r="AM268" s="57">
        <f>IFERROR(__xludf.DUMMYFUNCTION("""COMPUTED_VALUE"""),0.9738533100076657)</f>
        <v>0.97385331</v>
      </c>
      <c r="AN268" s="57">
        <f>IFERROR(__xludf.DUMMYFUNCTION("""COMPUTED_VALUE"""),0.7898284216138308)</f>
        <v>0.7898284216</v>
      </c>
      <c r="AO268" s="57">
        <f>IFERROR(__xludf.DUMMYFUNCTION("""COMPUTED_VALUE"""),0.8842414115751692)</f>
        <v>0.8842414116</v>
      </c>
      <c r="AP268" s="35">
        <f>IFERROR(__xludf.DUMMYFUNCTION("""COMPUTED_VALUE"""),1.1396610873630022)</f>
        <v>1.139661087</v>
      </c>
      <c r="AQ268" s="57">
        <f>IFERROR(__xludf.DUMMYFUNCTION("""COMPUTED_VALUE"""),0.9791399066502892)</f>
        <v>0.9791399067</v>
      </c>
      <c r="AR268" s="36" t="b">
        <f>IFERROR(__xludf.DUMMYFUNCTION("""COMPUTED_VALUE"""),TRUE)</f>
        <v>1</v>
      </c>
      <c r="AS268" s="57"/>
      <c r="AT268" s="37"/>
      <c r="AU268" s="30"/>
      <c r="AV268" s="30"/>
      <c r="AW268" s="30"/>
      <c r="AX268" s="30"/>
      <c r="AY268" s="30"/>
      <c r="AZ268" s="30"/>
    </row>
    <row r="269">
      <c r="A269" s="30" t="str">
        <f>IFERROR(__xludf.DUMMYFUNCTION("""COMPUTED_VALUE"""),"Elite")</f>
        <v>Elite</v>
      </c>
      <c r="B269" s="30" t="str">
        <f>IFERROR(__xludf.DUMMYFUNCTION("""COMPUTED_VALUE"""),"RSC005030")</f>
        <v>RSC005030</v>
      </c>
      <c r="C269" s="30" t="str">
        <f>IFERROR(__xludf.DUMMYFUNCTION("""COMPUTED_VALUE"""),"Joe")</f>
        <v>Joe</v>
      </c>
      <c r="D269" s="31" t="str">
        <f>IFERROR(__xludf.DUMMYFUNCTION("""COMPUTED_VALUE"""),"Fire")</f>
        <v>Fire</v>
      </c>
      <c r="E269" s="31">
        <f>IFERROR(__xludf.DUMMYFUNCTION("""COMPUTED_VALUE"""),56.452842590917804)</f>
        <v>56.45284259</v>
      </c>
      <c r="F269" s="31">
        <f>IFERROR(__xludf.DUMMYFUNCTION("""COMPUTED_VALUE"""),2.511555806828451)</f>
        <v>2.511555807</v>
      </c>
      <c r="G269" s="31">
        <f>IFERROR(__xludf.DUMMYFUNCTION("""COMPUTED_VALUE"""),48.55921450784009)</f>
        <v>48.55921451</v>
      </c>
      <c r="H269" s="31">
        <f>IFERROR(__xludf.DUMMYFUNCTION("""COMPUTED_VALUE"""),-2.0963432791018426)</f>
        <v>-2.096343279</v>
      </c>
      <c r="I269" s="54">
        <f>IFERROR(__xludf.DUMMYFUNCTION("""COMPUTED_VALUE"""),44.0)</f>
        <v>44</v>
      </c>
      <c r="J269" s="55">
        <f>IFERROR(__xludf.DUMMYFUNCTION("""COMPUTED_VALUE"""),19.0)</f>
        <v>19</v>
      </c>
      <c r="K269" s="54">
        <f>IFERROR(__xludf.DUMMYFUNCTION("""COMPUTED_VALUE"""),25.0)</f>
        <v>25</v>
      </c>
      <c r="L269" s="56">
        <f>IFERROR(__xludf.DUMMYFUNCTION("""COMPUTED_VALUE"""),0.4318181818181818)</f>
        <v>0.4318181818</v>
      </c>
      <c r="M269" s="56">
        <f>IFERROR(__xludf.DUMMYFUNCTION("""COMPUTED_VALUE"""),0.26666666666666666)</f>
        <v>0.2666666667</v>
      </c>
      <c r="N269" s="31">
        <f>IFERROR(__xludf.DUMMYFUNCTION("""COMPUTED_VALUE"""),382.8636363636364)</f>
        <v>382.8636364</v>
      </c>
      <c r="O269" s="57">
        <f>IFERROR(__xludf.DUMMYFUNCTION("""COMPUTED_VALUE"""),0.8181818181818182)</f>
        <v>0.8181818182</v>
      </c>
      <c r="P269" s="57">
        <f>IFERROR(__xludf.DUMMYFUNCTION("""COMPUTED_VALUE"""),0.3409090909090909)</f>
        <v>0.3409090909</v>
      </c>
      <c r="Q269" s="57">
        <f>IFERROR(__xludf.DUMMYFUNCTION("""COMPUTED_VALUE"""),1.7954545454545454)</f>
        <v>1.795454545</v>
      </c>
      <c r="R269" s="57">
        <f>IFERROR(__xludf.DUMMYFUNCTION("""COMPUTED_VALUE"""),3.0681818181818183)</f>
        <v>3.068181818</v>
      </c>
      <c r="S269" s="31">
        <f>IFERROR(__xludf.DUMMYFUNCTION("""COMPUTED_VALUE"""),376.310606060606)</f>
        <v>376.3106061</v>
      </c>
      <c r="T269" s="57">
        <f>IFERROR(__xludf.DUMMYFUNCTION("""COMPUTED_VALUE"""),0.8484848484848484)</f>
        <v>0.8484848485</v>
      </c>
      <c r="U269" s="57">
        <f>IFERROR(__xludf.DUMMYFUNCTION("""COMPUTED_VALUE"""),0.6515151515151515)</f>
        <v>0.6515151515</v>
      </c>
      <c r="V269" s="57">
        <f>IFERROR(__xludf.DUMMYFUNCTION("""COMPUTED_VALUE"""),1.4469696969696968)</f>
        <v>1.446969697</v>
      </c>
      <c r="W269" s="57">
        <f>IFERROR(__xludf.DUMMYFUNCTION("""COMPUTED_VALUE"""),2.818181818181819)</f>
        <v>2.818181818</v>
      </c>
      <c r="X269" s="31">
        <f>IFERROR(__xludf.DUMMYFUNCTION("""COMPUTED_VALUE"""),371.68332919003876)</f>
        <v>371.6833292</v>
      </c>
      <c r="Y269" s="57">
        <f>IFERROR(__xludf.DUMMYFUNCTION("""COMPUTED_VALUE"""),0.8210946082332616)</f>
        <v>0.8210946082</v>
      </c>
      <c r="Z269" s="57">
        <f>IFERROR(__xludf.DUMMYFUNCTION("""COMPUTED_VALUE"""),0.6114236948090969)</f>
        <v>0.6114236948</v>
      </c>
      <c r="AA269" s="57">
        <f>IFERROR(__xludf.DUMMYFUNCTION("""COMPUTED_VALUE"""),1.4765781588150342)</f>
        <v>1.476578159</v>
      </c>
      <c r="AB269" s="57">
        <f>IFERROR(__xludf.DUMMYFUNCTION("""COMPUTED_VALUE"""),2.720749057820974)</f>
        <v>2.720749058</v>
      </c>
      <c r="AC269" s="31">
        <f>IFERROR(__xludf.DUMMYFUNCTION("""COMPUTED_VALUE"""),356.8563315240836)</f>
        <v>356.8563315</v>
      </c>
      <c r="AD269" s="57">
        <f>IFERROR(__xludf.DUMMYFUNCTION("""COMPUTED_VALUE"""),0.744304111894153)</f>
        <v>0.7443041119</v>
      </c>
      <c r="AE269" s="57">
        <f>IFERROR(__xludf.DUMMYFUNCTION("""COMPUTED_VALUE"""),0.5445757131880214)</f>
        <v>0.5445757132</v>
      </c>
      <c r="AF269" s="57">
        <f>IFERROR(__xludf.DUMMYFUNCTION("""COMPUTED_VALUE"""),1.443006730186912)</f>
        <v>1.44300673</v>
      </c>
      <c r="AG269" s="57">
        <f>IFERROR(__xludf.DUMMYFUNCTION("""COMPUTED_VALUE"""),2.638785414670241)</f>
        <v>2.638785415</v>
      </c>
      <c r="AH269" s="57">
        <f>IFERROR(__xludf.DUMMYFUNCTION("""COMPUTED_VALUE"""),1.0728789222499688)</f>
        <v>1.072878922</v>
      </c>
      <c r="AI269" s="57">
        <f>IFERROR(__xludf.DUMMYFUNCTION("""COMPUTED_VALUE"""),1.099257420598761)</f>
        <v>1.099257421</v>
      </c>
      <c r="AJ269" s="57">
        <f>IFERROR(__xludf.DUMMYFUNCTION("""COMPUTED_VALUE"""),0.6260086203869835)</f>
        <v>0.6260086204</v>
      </c>
      <c r="AK269" s="57">
        <f>IFERROR(__xludf.DUMMYFUNCTION("""COMPUTED_VALUE"""),1.2442454410604038)</f>
        <v>1.244245441</v>
      </c>
      <c r="AL269" s="57">
        <f>IFERROR(__xludf.DUMMYFUNCTION("""COMPUTED_VALUE"""),1.1627250177768764)</f>
        <v>1.162725018</v>
      </c>
      <c r="AM269" s="57">
        <f>IFERROR(__xludf.DUMMYFUNCTION("""COMPUTED_VALUE"""),1.0124495141620984)</f>
        <v>1.012449514</v>
      </c>
      <c r="AN269" s="57">
        <f>IFERROR(__xludf.DUMMYFUNCTION("""COMPUTED_VALUE"""),1.0333582025468684)</f>
        <v>1.033358203</v>
      </c>
      <c r="AO269" s="57">
        <f>IFERROR(__xludf.DUMMYFUNCTION("""COMPUTED_VALUE"""),1.0655706624496655)</f>
        <v>1.065570662</v>
      </c>
      <c r="AP269" s="35">
        <f>IFERROR(__xludf.DUMMYFUNCTION("""COMPUTED_VALUE"""),0.9799479210304056)</f>
        <v>0.979947921</v>
      </c>
      <c r="AQ269" s="57">
        <f>IFERROR(__xludf.DUMMYFUNCTION("""COMPUTED_VALUE"""),1.0358110058260492)</f>
        <v>1.035811006</v>
      </c>
      <c r="AR269" s="36" t="b">
        <f>IFERROR(__xludf.DUMMYFUNCTION("""COMPUTED_VALUE"""),TRUE)</f>
        <v>1</v>
      </c>
      <c r="AS269" s="57"/>
      <c r="AT269" s="37"/>
      <c r="AU269" s="30"/>
      <c r="AV269" s="30"/>
      <c r="AW269" s="30"/>
      <c r="AX269" s="30"/>
      <c r="AY269" s="30"/>
      <c r="AZ269" s="30"/>
    </row>
    <row r="270">
      <c r="A270" s="30" t="str">
        <f>IFERROR(__xludf.DUMMYFUNCTION("""COMPUTED_VALUE"""),"Elite")</f>
        <v>Elite</v>
      </c>
      <c r="B270" s="30" t="str">
        <f>IFERROR(__xludf.DUMMYFUNCTION("""COMPUTED_VALUE"""),"RSC003831")</f>
        <v>RSC003831</v>
      </c>
      <c r="C270" s="30" t="str">
        <f>IFERROR(__xludf.DUMMYFUNCTION("""COMPUTED_VALUE"""),"Aki")</f>
        <v>Aki</v>
      </c>
      <c r="D270" s="31" t="str">
        <f>IFERROR(__xludf.DUMMYFUNCTION("""COMPUTED_VALUE"""),"Stoked Blokes")</f>
        <v>Stoked Blokes</v>
      </c>
      <c r="E270" s="31">
        <f>IFERROR(__xludf.DUMMYFUNCTION("""COMPUTED_VALUE"""),56.04086065811087)</f>
        <v>56.04086066</v>
      </c>
      <c r="F270" s="31">
        <f>IFERROR(__xludf.DUMMYFUNCTION("""COMPUTED_VALUE"""),2.471994025580661)</f>
        <v>2.471994026</v>
      </c>
      <c r="G270" s="31">
        <f>IFERROR(__xludf.DUMMYFUNCTION("""COMPUTED_VALUE"""),56.391840289354434)</f>
        <v>56.39184029</v>
      </c>
      <c r="H270" s="31">
        <f>IFERROR(__xludf.DUMMYFUNCTION("""COMPUTED_VALUE"""),2.5056286662510407)</f>
        <v>2.505628666</v>
      </c>
      <c r="I270" s="54">
        <f>IFERROR(__xludf.DUMMYFUNCTION("""COMPUTED_VALUE"""),39.0)</f>
        <v>39</v>
      </c>
      <c r="J270" s="55">
        <f>IFERROR(__xludf.DUMMYFUNCTION("""COMPUTED_VALUE"""),20.0)</f>
        <v>20</v>
      </c>
      <c r="K270" s="54">
        <f>IFERROR(__xludf.DUMMYFUNCTION("""COMPUTED_VALUE"""),19.0)</f>
        <v>19</v>
      </c>
      <c r="L270" s="56">
        <f>IFERROR(__xludf.DUMMYFUNCTION("""COMPUTED_VALUE"""),0.5128205128205128)</f>
        <v>0.5128205128</v>
      </c>
      <c r="M270" s="56">
        <f>IFERROR(__xludf.DUMMYFUNCTION("""COMPUTED_VALUE"""),0.22429906542056074)</f>
        <v>0.2242990654</v>
      </c>
      <c r="N270" s="31">
        <f>IFERROR(__xludf.DUMMYFUNCTION("""COMPUTED_VALUE"""),357.7692307692308)</f>
        <v>357.7692308</v>
      </c>
      <c r="O270" s="57">
        <f>IFERROR(__xludf.DUMMYFUNCTION("""COMPUTED_VALUE"""),0.6153846153846154)</f>
        <v>0.6153846154</v>
      </c>
      <c r="P270" s="57">
        <f>IFERROR(__xludf.DUMMYFUNCTION("""COMPUTED_VALUE"""),0.717948717948718)</f>
        <v>0.7179487179</v>
      </c>
      <c r="Q270" s="57">
        <f>IFERROR(__xludf.DUMMYFUNCTION("""COMPUTED_VALUE"""),1.358974358974359)</f>
        <v>1.358974359</v>
      </c>
      <c r="R270" s="57">
        <f>IFERROR(__xludf.DUMMYFUNCTION("""COMPUTED_VALUE"""),2.7435897435897436)</f>
        <v>2.743589744</v>
      </c>
      <c r="S270" s="31">
        <f>IFERROR(__xludf.DUMMYFUNCTION("""COMPUTED_VALUE"""),352.0000000000001)</f>
        <v>352</v>
      </c>
      <c r="T270" s="57">
        <f>IFERROR(__xludf.DUMMYFUNCTION("""COMPUTED_VALUE"""),0.6923076923076926)</f>
        <v>0.6923076923</v>
      </c>
      <c r="U270" s="57">
        <f>IFERROR(__xludf.DUMMYFUNCTION("""COMPUTED_VALUE"""),0.4957264957264957)</f>
        <v>0.4957264957</v>
      </c>
      <c r="V270" s="57">
        <f>IFERROR(__xludf.DUMMYFUNCTION("""COMPUTED_VALUE"""),1.5128205128205128)</f>
        <v>1.512820513</v>
      </c>
      <c r="W270" s="57">
        <f>IFERROR(__xludf.DUMMYFUNCTION("""COMPUTED_VALUE"""),2.5470085470085464)</f>
        <v>2.547008547</v>
      </c>
      <c r="X270" s="31">
        <f>IFERROR(__xludf.DUMMYFUNCTION("""COMPUTED_VALUE"""),355.2348977170891)</f>
        <v>355.2348977</v>
      </c>
      <c r="Y270" s="57">
        <f>IFERROR(__xludf.DUMMYFUNCTION("""COMPUTED_VALUE"""),0.7461772879388799)</f>
        <v>0.7461772879</v>
      </c>
      <c r="Z270" s="57">
        <f>IFERROR(__xludf.DUMMYFUNCTION("""COMPUTED_VALUE"""),0.5805341258821292)</f>
        <v>0.5805341259</v>
      </c>
      <c r="AA270" s="57">
        <f>IFERROR(__xludf.DUMMYFUNCTION("""COMPUTED_VALUE"""),1.4284420171247134)</f>
        <v>1.428442017</v>
      </c>
      <c r="AB270" s="57">
        <f>IFERROR(__xludf.DUMMYFUNCTION("""COMPUTED_VALUE"""),2.534670616482823)</f>
        <v>2.534670616</v>
      </c>
      <c r="AC270" s="31">
        <f>IFERROR(__xludf.DUMMYFUNCTION("""COMPUTED_VALUE"""),365.09269973471606)</f>
        <v>365.0926997</v>
      </c>
      <c r="AD270" s="57">
        <f>IFERROR(__xludf.DUMMYFUNCTION("""COMPUTED_VALUE"""),0.8231891414312529)</f>
        <v>0.8231891414</v>
      </c>
      <c r="AE270" s="57">
        <f>IFERROR(__xludf.DUMMYFUNCTION("""COMPUTED_VALUE"""),0.613547109413512)</f>
        <v>0.6135471094</v>
      </c>
      <c r="AF270" s="57">
        <f>IFERROR(__xludf.DUMMYFUNCTION("""COMPUTED_VALUE"""),1.3503239254423045)</f>
        <v>1.350323925</v>
      </c>
      <c r="AG270" s="57">
        <f>IFERROR(__xludf.DUMMYFUNCTION("""COMPUTED_VALUE"""),2.725689335941651)</f>
        <v>2.725689336</v>
      </c>
      <c r="AH270" s="57">
        <f>IFERROR(__xludf.DUMMYFUNCTION("""COMPUTED_VALUE"""),0.9799407959381092)</f>
        <v>0.9799407959</v>
      </c>
      <c r="AI270" s="57">
        <f>IFERROR(__xludf.DUMMYFUNCTION("""COMPUTED_VALUE"""),0.747561628807039)</f>
        <v>0.7475616288</v>
      </c>
      <c r="AJ270" s="57">
        <f>IFERROR(__xludf.DUMMYFUNCTION("""COMPUTED_VALUE"""),1.1701607047501261)</f>
        <v>1.170160705</v>
      </c>
      <c r="AK270" s="57">
        <f>IFERROR(__xludf.DUMMYFUNCTION("""COMPUTED_VALUE"""),1.0064061914101248)</f>
        <v>1.006406191</v>
      </c>
      <c r="AL270" s="57">
        <f>IFERROR(__xludf.DUMMYFUNCTION("""COMPUTED_VALUE"""),1.0065672956239191)</f>
        <v>1.006567296</v>
      </c>
      <c r="AM270" s="57">
        <f>IFERROR(__xludf.DUMMYFUNCTION("""COMPUTED_VALUE"""),0.990893637596199)</f>
        <v>0.9908936376</v>
      </c>
      <c r="AN270" s="57">
        <f>IFERROR(__xludf.DUMMYFUNCTION("""COMPUTED_VALUE"""),0.9278059028304279)</f>
        <v>0.9278059028</v>
      </c>
      <c r="AO270" s="57">
        <f>IFERROR(__xludf.DUMMYFUNCTION("""COMPUTED_VALUE"""),0.8539144791414851)</f>
        <v>0.8539144791</v>
      </c>
      <c r="AP270" s="35">
        <f>IFERROR(__xludf.DUMMYFUNCTION("""COMPUTED_VALUE"""),1.0590702980479694)</f>
        <v>1.059070298</v>
      </c>
      <c r="AQ270" s="57">
        <f>IFERROR(__xludf.DUMMYFUNCTION("""COMPUTED_VALUE"""),1.004867666214888)</f>
        <v>1.004867666</v>
      </c>
      <c r="AR270" s="36" t="b">
        <f>IFERROR(__xludf.DUMMYFUNCTION("""COMPUTED_VALUE"""),TRUE)</f>
        <v>1</v>
      </c>
      <c r="AS270" s="57"/>
      <c r="AT270" s="37"/>
      <c r="AU270" s="30"/>
      <c r="AV270" s="30"/>
      <c r="AW270" s="30"/>
      <c r="AX270" s="30"/>
      <c r="AY270" s="30"/>
      <c r="AZ270" s="30"/>
    </row>
    <row r="271">
      <c r="A271" s="30" t="str">
        <f>IFERROR(__xludf.DUMMYFUNCTION("""COMPUTED_VALUE"""),"Elite")</f>
        <v>Elite</v>
      </c>
      <c r="B271" s="30" t="str">
        <f>IFERROR(__xludf.DUMMYFUNCTION("""COMPUTED_VALUE"""),"RSC002892")</f>
        <v>RSC002892</v>
      </c>
      <c r="C271" s="30" t="str">
        <f>IFERROR(__xludf.DUMMYFUNCTION("""COMPUTED_VALUE"""),"nickm")</f>
        <v>nickm</v>
      </c>
      <c r="D271" s="31" t="str">
        <f>IFERROR(__xludf.DUMMYFUNCTION("""COMPUTED_VALUE"""),"Cyclones")</f>
        <v>Cyclones</v>
      </c>
      <c r="E271" s="31">
        <f>IFERROR(__xludf.DUMMYFUNCTION("""COMPUTED_VALUE"""),55.03506422528552)</f>
        <v>55.03506423</v>
      </c>
      <c r="F271" s="31">
        <f>IFERROR(__xludf.DUMMYFUNCTION("""COMPUTED_VALUE"""),2.37986499063662)</f>
        <v>2.379864991</v>
      </c>
      <c r="G271" s="31">
        <f>IFERROR(__xludf.DUMMYFUNCTION("""COMPUTED_VALUE"""),27.5760855830525)</f>
        <v>27.57608558</v>
      </c>
      <c r="H271" s="31">
        <f>IFERROR(__xludf.DUMMYFUNCTION("""COMPUTED_VALUE"""),-5.409175915913795)</f>
        <v>-5.409175916</v>
      </c>
      <c r="I271" s="54">
        <f>IFERROR(__xludf.DUMMYFUNCTION("""COMPUTED_VALUE"""),16.0)</f>
        <v>16</v>
      </c>
      <c r="J271" s="55">
        <f>IFERROR(__xludf.DUMMYFUNCTION("""COMPUTED_VALUE"""),10.0)</f>
        <v>10</v>
      </c>
      <c r="K271" s="54">
        <f>IFERROR(__xludf.DUMMYFUNCTION("""COMPUTED_VALUE"""),6.0)</f>
        <v>6</v>
      </c>
      <c r="L271" s="56">
        <f>IFERROR(__xludf.DUMMYFUNCTION("""COMPUTED_VALUE"""),0.625)</f>
        <v>0.625</v>
      </c>
      <c r="M271" s="56">
        <f>IFERROR(__xludf.DUMMYFUNCTION("""COMPUTED_VALUE"""),0.2682926829268293)</f>
        <v>0.2682926829</v>
      </c>
      <c r="N271" s="31">
        <f>IFERROR(__xludf.DUMMYFUNCTION("""COMPUTED_VALUE"""),303.0)</f>
        <v>303</v>
      </c>
      <c r="O271" s="57">
        <f>IFERROR(__xludf.DUMMYFUNCTION("""COMPUTED_VALUE"""),0.6875)</f>
        <v>0.6875</v>
      </c>
      <c r="P271" s="57">
        <f>IFERROR(__xludf.DUMMYFUNCTION("""COMPUTED_VALUE"""),0.625)</f>
        <v>0.625</v>
      </c>
      <c r="Q271" s="57">
        <f>IFERROR(__xludf.DUMMYFUNCTION("""COMPUTED_VALUE"""),1.0)</f>
        <v>1</v>
      </c>
      <c r="R271" s="57">
        <f>IFERROR(__xludf.DUMMYFUNCTION("""COMPUTED_VALUE"""),2.5625)</f>
        <v>2.5625</v>
      </c>
      <c r="S271" s="31">
        <f>IFERROR(__xludf.DUMMYFUNCTION("""COMPUTED_VALUE"""),374.8958333333333)</f>
        <v>374.8958333</v>
      </c>
      <c r="T271" s="57">
        <f>IFERROR(__xludf.DUMMYFUNCTION("""COMPUTED_VALUE"""),0.6875)</f>
        <v>0.6875</v>
      </c>
      <c r="U271" s="57">
        <f>IFERROR(__xludf.DUMMYFUNCTION("""COMPUTED_VALUE"""),0.5208333333333334)</f>
        <v>0.5208333333</v>
      </c>
      <c r="V271" s="57">
        <f>IFERROR(__xludf.DUMMYFUNCTION("""COMPUTED_VALUE"""),1.791666666666667)</f>
        <v>1.791666667</v>
      </c>
      <c r="W271" s="57">
        <f>IFERROR(__xludf.DUMMYFUNCTION("""COMPUTED_VALUE"""),2.6041666666666674)</f>
        <v>2.604166667</v>
      </c>
      <c r="X271" s="31">
        <f>IFERROR(__xludf.DUMMYFUNCTION("""COMPUTED_VALUE"""),370.0551732834402)</f>
        <v>370.0551733</v>
      </c>
      <c r="Y271" s="57">
        <f>IFERROR(__xludf.DUMMYFUNCTION("""COMPUTED_VALUE"""),0.8329601792180246)</f>
        <v>0.8329601792</v>
      </c>
      <c r="Z271" s="57">
        <f>IFERROR(__xludf.DUMMYFUNCTION("""COMPUTED_VALUE"""),0.6466211738087663)</f>
        <v>0.6466211738</v>
      </c>
      <c r="AA271" s="57">
        <f>IFERROR(__xludf.DUMMYFUNCTION("""COMPUTED_VALUE"""),1.299784374948875)</f>
        <v>1.299784375</v>
      </c>
      <c r="AB271" s="57">
        <f>IFERROR(__xludf.DUMMYFUNCTION("""COMPUTED_VALUE"""),2.918858608894854)</f>
        <v>2.918858609</v>
      </c>
      <c r="AC271" s="31">
        <f>IFERROR(__xludf.DUMMYFUNCTION("""COMPUTED_VALUE"""),364.3611561645891)</f>
        <v>364.3611562</v>
      </c>
      <c r="AD271" s="57">
        <f>IFERROR(__xludf.DUMMYFUNCTION("""COMPUTED_VALUE"""),0.7546000407349741)</f>
        <v>0.7546000407</v>
      </c>
      <c r="AE271" s="57">
        <f>IFERROR(__xludf.DUMMYFUNCTION("""COMPUTED_VALUE"""),0.5794323521138609)</f>
        <v>0.5794323521</v>
      </c>
      <c r="AF271" s="57">
        <f>IFERROR(__xludf.DUMMYFUNCTION("""COMPUTED_VALUE"""),1.5308104238462672)</f>
        <v>1.530810424</v>
      </c>
      <c r="AG271" s="57">
        <f>IFERROR(__xludf.DUMMYFUNCTION("""COMPUTED_VALUE"""),2.5285529177141663)</f>
        <v>2.528552918</v>
      </c>
      <c r="AH271" s="57">
        <f>IFERROR(__xludf.DUMMYFUNCTION("""COMPUTED_VALUE"""),0.8315924869420739)</f>
        <v>0.8315924869</v>
      </c>
      <c r="AI271" s="57">
        <f>IFERROR(__xludf.DUMMYFUNCTION("""COMPUTED_VALUE"""),0.9110786680191281)</f>
        <v>0.911078668</v>
      </c>
      <c r="AJ271" s="57">
        <f>IFERROR(__xludf.DUMMYFUNCTION("""COMPUTED_VALUE"""),1.0786418772094812)</f>
        <v>1.078641877</v>
      </c>
      <c r="AK271" s="57">
        <f>IFERROR(__xludf.DUMMYFUNCTION("""COMPUTED_VALUE"""),0.6532487527014813)</f>
        <v>0.6532487527</v>
      </c>
      <c r="AL271" s="57">
        <f>IFERROR(__xludf.DUMMYFUNCTION("""COMPUTED_VALUE"""),1.013425498057807)</f>
        <v>1.013425498</v>
      </c>
      <c r="AM271" s="57">
        <f>IFERROR(__xludf.DUMMYFUNCTION("""COMPUTED_VALUE"""),1.0130809144132285)</f>
        <v>1.013080914</v>
      </c>
      <c r="AN271" s="57">
        <f>IFERROR(__xludf.DUMMYFUNCTION("""COMPUTED_VALUE"""),0.8253695880701268)</f>
        <v>0.8253695881</v>
      </c>
      <c r="AO271" s="57">
        <f>IFERROR(__xludf.DUMMYFUNCTION("""COMPUTED_VALUE"""),0.8054690357036873)</f>
        <v>0.8054690357</v>
      </c>
      <c r="AP271" s="35">
        <f>IFERROR(__xludf.DUMMYFUNCTION("""COMPUTED_VALUE"""),1.3784337627055558)</f>
        <v>1.378433763</v>
      </c>
      <c r="AQ271" s="57">
        <f>IFERROR(__xludf.DUMMYFUNCTION("""COMPUTED_VALUE"""),0.8921866440295524)</f>
        <v>0.892186644</v>
      </c>
      <c r="AR271" s="36" t="b">
        <f>IFERROR(__xludf.DUMMYFUNCTION("""COMPUTED_VALUE"""),TRUE)</f>
        <v>1</v>
      </c>
      <c r="AS271" s="57"/>
      <c r="AT271" s="37"/>
      <c r="AU271" s="30"/>
      <c r="AV271" s="30"/>
      <c r="AW271" s="30"/>
      <c r="AX271" s="30"/>
      <c r="AY271" s="30"/>
      <c r="AZ271" s="30"/>
    </row>
    <row r="272">
      <c r="A272" s="30" t="str">
        <f>IFERROR(__xludf.DUMMYFUNCTION("""COMPUTED_VALUE"""),"Elite")</f>
        <v>Elite</v>
      </c>
      <c r="B272" s="30" t="str">
        <f>IFERROR(__xludf.DUMMYFUNCTION("""COMPUTED_VALUE"""),"RSC000508")</f>
        <v>RSC000508</v>
      </c>
      <c r="C272" s="30" t="str">
        <f>IFERROR(__xludf.DUMMYFUNCTION("""COMPUTED_VALUE"""),"Bender_Escobar")</f>
        <v>Bender_Escobar</v>
      </c>
      <c r="D272" s="31" t="str">
        <f>IFERROR(__xludf.DUMMYFUNCTION("""COMPUTED_VALUE"""),"Demons")</f>
        <v>Demons</v>
      </c>
      <c r="E272" s="31">
        <f>IFERROR(__xludf.DUMMYFUNCTION("""COMPUTED_VALUE"""),54.96801419175016)</f>
        <v>54.96801419</v>
      </c>
      <c r="F272" s="31">
        <f>IFERROR(__xludf.DUMMYFUNCTION("""COMPUTED_VALUE"""),2.373939835555089)</f>
        <v>2.373939836</v>
      </c>
      <c r="G272" s="31">
        <f>IFERROR(__xludf.DUMMYFUNCTION("""COMPUTED_VALUE"""),35.11647984371706)</f>
        <v>35.11647984</v>
      </c>
      <c r="H272" s="31">
        <f>IFERROR(__xludf.DUMMYFUNCTION("""COMPUTED_VALUE"""),-3.6257127132700226)</f>
        <v>-3.625712713</v>
      </c>
      <c r="I272" s="54">
        <f>IFERROR(__xludf.DUMMYFUNCTION("""COMPUTED_VALUE"""),44.0)</f>
        <v>44</v>
      </c>
      <c r="J272" s="55">
        <f>IFERROR(__xludf.DUMMYFUNCTION("""COMPUTED_VALUE"""),15.0)</f>
        <v>15</v>
      </c>
      <c r="K272" s="54">
        <f>IFERROR(__xludf.DUMMYFUNCTION("""COMPUTED_VALUE"""),29.0)</f>
        <v>29</v>
      </c>
      <c r="L272" s="56">
        <f>IFERROR(__xludf.DUMMYFUNCTION("""COMPUTED_VALUE"""),0.3409090909090909)</f>
        <v>0.3409090909</v>
      </c>
      <c r="M272" s="56">
        <f>IFERROR(__xludf.DUMMYFUNCTION("""COMPUTED_VALUE"""),0.35344827586206895)</f>
        <v>0.3534482759</v>
      </c>
      <c r="N272" s="31">
        <f>IFERROR(__xludf.DUMMYFUNCTION("""COMPUTED_VALUE"""),346.9318181818182)</f>
        <v>346.9318182</v>
      </c>
      <c r="O272" s="57">
        <f>IFERROR(__xludf.DUMMYFUNCTION("""COMPUTED_VALUE"""),0.9318181818181818)</f>
        <v>0.9318181818</v>
      </c>
      <c r="P272" s="57">
        <f>IFERROR(__xludf.DUMMYFUNCTION("""COMPUTED_VALUE"""),0.4090909090909091)</f>
        <v>0.4090909091</v>
      </c>
      <c r="Q272" s="57">
        <f>IFERROR(__xludf.DUMMYFUNCTION("""COMPUTED_VALUE"""),1.4545454545454546)</f>
        <v>1.454545455</v>
      </c>
      <c r="R272" s="57">
        <f>IFERROR(__xludf.DUMMYFUNCTION("""COMPUTED_VALUE"""),2.6363636363636362)</f>
        <v>2.636363636</v>
      </c>
      <c r="S272" s="31">
        <f>IFERROR(__xludf.DUMMYFUNCTION("""COMPUTED_VALUE"""),394.1136363636364)</f>
        <v>394.1136364</v>
      </c>
      <c r="T272" s="57">
        <f>IFERROR(__xludf.DUMMYFUNCTION("""COMPUTED_VALUE"""),0.9848484848484851)</f>
        <v>0.9848484848</v>
      </c>
      <c r="U272" s="57">
        <f>IFERROR(__xludf.DUMMYFUNCTION("""COMPUTED_VALUE"""),0.7803030303030305)</f>
        <v>0.7803030303</v>
      </c>
      <c r="V272" s="57">
        <f>IFERROR(__xludf.DUMMYFUNCTION("""COMPUTED_VALUE"""),1.287878787878788)</f>
        <v>1.287878788</v>
      </c>
      <c r="W272" s="57">
        <f>IFERROR(__xludf.DUMMYFUNCTION("""COMPUTED_VALUE"""),3.0606060606060606)</f>
        <v>3.060606061</v>
      </c>
      <c r="X272" s="31">
        <f>IFERROR(__xludf.DUMMYFUNCTION("""COMPUTED_VALUE"""),378.5643879197609)</f>
        <v>378.5643879</v>
      </c>
      <c r="Y272" s="57">
        <f>IFERROR(__xludf.DUMMYFUNCTION("""COMPUTED_VALUE"""),0.9103292804839423)</f>
        <v>0.9103292805</v>
      </c>
      <c r="Z272" s="57">
        <f>IFERROR(__xludf.DUMMYFUNCTION("""COMPUTED_VALUE"""),0.6409340902549864)</f>
        <v>0.6409340903</v>
      </c>
      <c r="AA272" s="57">
        <f>IFERROR(__xludf.DUMMYFUNCTION("""COMPUTED_VALUE"""),1.3687209770340851)</f>
        <v>1.368720977</v>
      </c>
      <c r="AB272" s="57">
        <f>IFERROR(__xludf.DUMMYFUNCTION("""COMPUTED_VALUE"""),2.8270416896050587)</f>
        <v>2.82704169</v>
      </c>
      <c r="AC272" s="31">
        <f>IFERROR(__xludf.DUMMYFUNCTION("""COMPUTED_VALUE"""),355.7398251597321)</f>
        <v>355.7398252</v>
      </c>
      <c r="AD272" s="57">
        <f>IFERROR(__xludf.DUMMYFUNCTION("""COMPUTED_VALUE"""),0.7274587491582319)</f>
        <v>0.7274587492</v>
      </c>
      <c r="AE272" s="57">
        <f>IFERROR(__xludf.DUMMYFUNCTION("""COMPUTED_VALUE"""),0.5330938930515935)</f>
        <v>0.5330938931</v>
      </c>
      <c r="AF272" s="57">
        <f>IFERROR(__xludf.DUMMYFUNCTION("""COMPUTED_VALUE"""),1.5060121138307914)</f>
        <v>1.506012114</v>
      </c>
      <c r="AG272" s="57">
        <f>IFERROR(__xludf.DUMMYFUNCTION("""COMPUTED_VALUE"""),2.501133516061529)</f>
        <v>2.501133516</v>
      </c>
      <c r="AH272" s="57">
        <f>IFERROR(__xludf.DUMMYFUNCTION("""COMPUTED_VALUE"""),0.9752403122873324)</f>
        <v>0.9752403123</v>
      </c>
      <c r="AI272" s="57">
        <f>IFERROR(__xludf.DUMMYFUNCTION("""COMPUTED_VALUE"""),1.2809223655587636)</f>
        <v>1.280922366</v>
      </c>
      <c r="AJ272" s="57">
        <f>IFERROR(__xludf.DUMMYFUNCTION("""COMPUTED_VALUE"""),0.7673899746799703)</f>
        <v>0.7673899747</v>
      </c>
      <c r="AK272" s="57">
        <f>IFERROR(__xludf.DUMMYFUNCTION("""COMPUTED_VALUE"""),0.9658258663309004)</f>
        <v>0.9658258663</v>
      </c>
      <c r="AL272" s="57">
        <f>IFERROR(__xludf.DUMMYFUNCTION("""COMPUTED_VALUE"""),1.0540675335537668)</f>
        <v>1.054067534</v>
      </c>
      <c r="AM272" s="57">
        <f>IFERROR(__xludf.DUMMYFUNCTION("""COMPUTED_VALUE"""),1.041074250352284)</f>
        <v>1.04107425</v>
      </c>
      <c r="AN272" s="57">
        <f>IFERROR(__xludf.DUMMYFUNCTION("""COMPUTED_VALUE"""),1.0818596149350788)</f>
        <v>1.081859615</v>
      </c>
      <c r="AO272" s="57">
        <f>IFERROR(__xludf.DUMMYFUNCTION("""COMPUTED_VALUE"""),1.2174466020251757)</f>
        <v>1.217446602</v>
      </c>
      <c r="AP272" s="35">
        <f>IFERROR(__xludf.DUMMYFUNCTION("""COMPUTED_VALUE"""),0.940935961009032)</f>
        <v>0.940935961</v>
      </c>
      <c r="AQ272" s="57">
        <f>IFERROR(__xludf.DUMMYFUNCTION("""COMPUTED_VALUE"""),1.0826179436475276)</f>
        <v>1.082617944</v>
      </c>
      <c r="AR272" s="36" t="b">
        <f>IFERROR(__xludf.DUMMYFUNCTION("""COMPUTED_VALUE"""),TRUE)</f>
        <v>1</v>
      </c>
      <c r="AS272" s="57"/>
      <c r="AT272" s="37"/>
      <c r="AU272" s="30"/>
      <c r="AV272" s="30"/>
      <c r="AW272" s="30"/>
      <c r="AX272" s="30"/>
      <c r="AY272" s="30"/>
      <c r="AZ272" s="30"/>
    </row>
    <row r="273">
      <c r="A273" s="30" t="str">
        <f>IFERROR(__xludf.DUMMYFUNCTION("""COMPUTED_VALUE"""),"Elite")</f>
        <v>Elite</v>
      </c>
      <c r="B273" s="30" t="str">
        <f>IFERROR(__xludf.DUMMYFUNCTION("""COMPUTED_VALUE"""),"RSC007941")</f>
        <v>RSC007941</v>
      </c>
      <c r="C273" s="30" t="str">
        <f>IFERROR(__xludf.DUMMYFUNCTION("""COMPUTED_VALUE"""),"Shepherd")</f>
        <v>Shepherd</v>
      </c>
      <c r="D273" s="31" t="str">
        <f>IFERROR(__xludf.DUMMYFUNCTION("""COMPUTED_VALUE"""),"Demons")</f>
        <v>Demons</v>
      </c>
      <c r="E273" s="31">
        <f>IFERROR(__xludf.DUMMYFUNCTION("""COMPUTED_VALUE"""),54.33090868673047)</f>
        <v>54.33090869</v>
      </c>
      <c r="F273" s="31">
        <f>IFERROR(__xludf.DUMMYFUNCTION("""COMPUTED_VALUE"""),2.3189329219279244)</f>
        <v>2.318932922</v>
      </c>
      <c r="G273" s="31">
        <f>IFERROR(__xludf.DUMMYFUNCTION("""COMPUTED_VALUE"""),52.71026636433983)</f>
        <v>52.71026636</v>
      </c>
      <c r="H273" s="31">
        <f>IFERROR(__xludf.DUMMYFUNCTION("""COMPUTED_VALUE"""),2.188974257488548)</f>
        <v>2.188974257</v>
      </c>
      <c r="I273" s="54">
        <f>IFERROR(__xludf.DUMMYFUNCTION("""COMPUTED_VALUE"""),39.0)</f>
        <v>39</v>
      </c>
      <c r="J273" s="55">
        <f>IFERROR(__xludf.DUMMYFUNCTION("""COMPUTED_VALUE"""),16.0)</f>
        <v>16</v>
      </c>
      <c r="K273" s="54">
        <f>IFERROR(__xludf.DUMMYFUNCTION("""COMPUTED_VALUE"""),23.0)</f>
        <v>23</v>
      </c>
      <c r="L273" s="56">
        <f>IFERROR(__xludf.DUMMYFUNCTION("""COMPUTED_VALUE"""),0.41025641025641024)</f>
        <v>0.4102564103</v>
      </c>
      <c r="M273" s="56">
        <f>IFERROR(__xludf.DUMMYFUNCTION("""COMPUTED_VALUE"""),0.3815789473684211)</f>
        <v>0.3815789474</v>
      </c>
      <c r="N273" s="31">
        <f>IFERROR(__xludf.DUMMYFUNCTION("""COMPUTED_VALUE"""),393.94871794871796)</f>
        <v>393.9487179</v>
      </c>
      <c r="O273" s="57">
        <f>IFERROR(__xludf.DUMMYFUNCTION("""COMPUTED_VALUE"""),0.7435897435897436)</f>
        <v>0.7435897436</v>
      </c>
      <c r="P273" s="57">
        <f>IFERROR(__xludf.DUMMYFUNCTION("""COMPUTED_VALUE"""),0.7948717948717948)</f>
        <v>0.7948717949</v>
      </c>
      <c r="Q273" s="57">
        <f>IFERROR(__xludf.DUMMYFUNCTION("""COMPUTED_VALUE"""),1.8461538461538463)</f>
        <v>1.846153846</v>
      </c>
      <c r="R273" s="57">
        <f>IFERROR(__xludf.DUMMYFUNCTION("""COMPUTED_VALUE"""),1.9487179487179487)</f>
        <v>1.948717949</v>
      </c>
      <c r="S273" s="31">
        <f>IFERROR(__xludf.DUMMYFUNCTION("""COMPUTED_VALUE"""),371.77777777777777)</f>
        <v>371.7777778</v>
      </c>
      <c r="T273" s="57">
        <f>IFERROR(__xludf.DUMMYFUNCTION("""COMPUTED_VALUE"""),0.8717948717948718)</f>
        <v>0.8717948718</v>
      </c>
      <c r="U273" s="57">
        <f>IFERROR(__xludf.DUMMYFUNCTION("""COMPUTED_VALUE"""),0.7094017094017094)</f>
        <v>0.7094017094</v>
      </c>
      <c r="V273" s="57">
        <f>IFERROR(__xludf.DUMMYFUNCTION("""COMPUTED_VALUE"""),1.2735042735042734)</f>
        <v>1.273504274</v>
      </c>
      <c r="W273" s="57">
        <f>IFERROR(__xludf.DUMMYFUNCTION("""COMPUTED_VALUE"""),2.9914529914529924)</f>
        <v>2.991452991</v>
      </c>
      <c r="X273" s="31">
        <f>IFERROR(__xludf.DUMMYFUNCTION("""COMPUTED_VALUE"""),369.63455099476096)</f>
        <v>369.634551</v>
      </c>
      <c r="Y273" s="57">
        <f>IFERROR(__xludf.DUMMYFUNCTION("""COMPUTED_VALUE"""),0.85086029005101)</f>
        <v>0.8508602901</v>
      </c>
      <c r="Z273" s="57">
        <f>IFERROR(__xludf.DUMMYFUNCTION("""COMPUTED_VALUE"""),0.5860260719098479)</f>
        <v>0.5860260719</v>
      </c>
      <c r="AA273" s="57">
        <f>IFERROR(__xludf.DUMMYFUNCTION("""COMPUTED_VALUE"""),1.3981376509662842)</f>
        <v>1.398137651</v>
      </c>
      <c r="AB273" s="57">
        <f>IFERROR(__xludf.DUMMYFUNCTION("""COMPUTED_VALUE"""),2.7260537668825653)</f>
        <v>2.726053767</v>
      </c>
      <c r="AC273" s="31">
        <f>IFERROR(__xludf.DUMMYFUNCTION("""COMPUTED_VALUE"""),358.33372340889446)</f>
        <v>358.3337234</v>
      </c>
      <c r="AD273" s="57">
        <f>IFERROR(__xludf.DUMMYFUNCTION("""COMPUTED_VALUE"""),0.756315052745221)</f>
        <v>0.7563150527</v>
      </c>
      <c r="AE273" s="57">
        <f>IFERROR(__xludf.DUMMYFUNCTION("""COMPUTED_VALUE"""),0.5613038019715132)</f>
        <v>0.561303802</v>
      </c>
      <c r="AF273" s="57">
        <f>IFERROR(__xludf.DUMMYFUNCTION("""COMPUTED_VALUE"""),1.474763265057032)</f>
        <v>1.474763265</v>
      </c>
      <c r="AG273" s="57">
        <f>IFERROR(__xludf.DUMMYFUNCTION("""COMPUTED_VALUE"""),2.5678961490296186)</f>
        <v>2.567896149</v>
      </c>
      <c r="AH273" s="57">
        <f>IFERROR(__xludf.DUMMYFUNCTION("""COMPUTED_VALUE"""),1.099390574241831)</f>
        <v>1.099390574</v>
      </c>
      <c r="AI273" s="57">
        <f>IFERROR(__xludf.DUMMYFUNCTION("""COMPUTED_VALUE"""),0.9831745922426269)</f>
        <v>0.9831745922</v>
      </c>
      <c r="AJ273" s="57">
        <f>IFERROR(__xludf.DUMMYFUNCTION("""COMPUTED_VALUE"""),1.416116890852871)</f>
        <v>1.416116891</v>
      </c>
      <c r="AK273" s="57">
        <f>IFERROR(__xludf.DUMMYFUNCTION("""COMPUTED_VALUE"""),1.2518306428540258)</f>
        <v>1.251830643</v>
      </c>
      <c r="AL273" s="57">
        <f>IFERROR(__xludf.DUMMYFUNCTION("""COMPUTED_VALUE"""),0.7588772425451664)</f>
        <v>0.7588772425</v>
      </c>
      <c r="AM273" s="57">
        <f>IFERROR(__xludf.DUMMYFUNCTION("""COMPUTED_VALUE"""),1.0057982317325287)</f>
        <v>1.005798232</v>
      </c>
      <c r="AN273" s="57">
        <f>IFERROR(__xludf.DUMMYFUNCTION("""COMPUTED_VALUE"""),1.0246040178260132)</f>
        <v>1.024604018</v>
      </c>
      <c r="AO273" s="57">
        <f>IFERROR(__xludf.DUMMYFUNCTION("""COMPUTED_VALUE"""),1.2105292638086607)</f>
        <v>1.210529264</v>
      </c>
      <c r="AP273" s="35">
        <f>IFERROR(__xludf.DUMMYFUNCTION("""COMPUTED_VALUE"""),0.9108575773094488)</f>
        <v>0.9108575773</v>
      </c>
      <c r="AQ273" s="57">
        <f>IFERROR(__xludf.DUMMYFUNCTION("""COMPUTED_VALUE"""),1.0973565627335113)</f>
        <v>1.097356563</v>
      </c>
      <c r="AR273" s="36" t="b">
        <f>IFERROR(__xludf.DUMMYFUNCTION("""COMPUTED_VALUE"""),TRUE)</f>
        <v>1</v>
      </c>
      <c r="AS273" s="57"/>
      <c r="AT273" s="37"/>
      <c r="AU273" s="30"/>
      <c r="AV273" s="30"/>
      <c r="AW273" s="30"/>
      <c r="AX273" s="30"/>
      <c r="AY273" s="30"/>
      <c r="AZ273" s="30"/>
    </row>
    <row r="274">
      <c r="A274" s="30" t="str">
        <f>IFERROR(__xludf.DUMMYFUNCTION("""COMPUTED_VALUE"""),"Elite")</f>
        <v>Elite</v>
      </c>
      <c r="B274" s="30" t="str">
        <f>IFERROR(__xludf.DUMMYFUNCTION("""COMPUTED_VALUE"""),"RSC007263")</f>
        <v>RSC007263</v>
      </c>
      <c r="C274" s="30" t="str">
        <f>IFERROR(__xludf.DUMMYFUNCTION("""COMPUTED_VALUE"""),"HardPointy")</f>
        <v>HardPointy</v>
      </c>
      <c r="D274" s="31"/>
      <c r="E274" s="31">
        <f>IFERROR(__xludf.DUMMYFUNCTION("""COMPUTED_VALUE"""),54.28831432021528)</f>
        <v>54.28831432</v>
      </c>
      <c r="F274" s="31">
        <f>IFERROR(__xludf.DUMMYFUNCTION("""COMPUTED_VALUE"""),2.3153373184395996)</f>
        <v>2.315337318</v>
      </c>
      <c r="G274" s="31">
        <f>IFERROR(__xludf.DUMMYFUNCTION("""COMPUTED_VALUE"""),55.11856370755657)</f>
        <v>55.11856371</v>
      </c>
      <c r="H274" s="31">
        <f>IFERROR(__xludf.DUMMYFUNCTION("""COMPUTED_VALUE"""),2.3872807331320036)</f>
        <v>2.387280733</v>
      </c>
      <c r="I274" s="54">
        <f>IFERROR(__xludf.DUMMYFUNCTION("""COMPUTED_VALUE"""),15.0)</f>
        <v>15</v>
      </c>
      <c r="J274" s="55">
        <f>IFERROR(__xludf.DUMMYFUNCTION("""COMPUTED_VALUE"""),5.0)</f>
        <v>5</v>
      </c>
      <c r="K274" s="54">
        <f>IFERROR(__xludf.DUMMYFUNCTION("""COMPUTED_VALUE"""),10.0)</f>
        <v>10</v>
      </c>
      <c r="L274" s="56">
        <f>IFERROR(__xludf.DUMMYFUNCTION("""COMPUTED_VALUE"""),0.3333333333333333)</f>
        <v>0.3333333333</v>
      </c>
      <c r="M274" s="56">
        <f>IFERROR(__xludf.DUMMYFUNCTION("""COMPUTED_VALUE"""),0.18181818181818182)</f>
        <v>0.1818181818</v>
      </c>
      <c r="N274" s="31">
        <f>IFERROR(__xludf.DUMMYFUNCTION("""COMPUTED_VALUE"""),404.53333333333336)</f>
        <v>404.5333333</v>
      </c>
      <c r="O274" s="57">
        <f>IFERROR(__xludf.DUMMYFUNCTION("""COMPUTED_VALUE"""),0.5333333333333333)</f>
        <v>0.5333333333</v>
      </c>
      <c r="P274" s="57">
        <f>IFERROR(__xludf.DUMMYFUNCTION("""COMPUTED_VALUE"""),0.8)</f>
        <v>0.8</v>
      </c>
      <c r="Q274" s="57">
        <f>IFERROR(__xludf.DUMMYFUNCTION("""COMPUTED_VALUE"""),2.0)</f>
        <v>2</v>
      </c>
      <c r="R274" s="57">
        <f>IFERROR(__xludf.DUMMYFUNCTION("""COMPUTED_VALUE"""),2.933333333333333)</f>
        <v>2.933333333</v>
      </c>
      <c r="S274" s="31">
        <f>IFERROR(__xludf.DUMMYFUNCTION("""COMPUTED_VALUE"""),395.64444444444445)</f>
        <v>395.6444444</v>
      </c>
      <c r="T274" s="57">
        <f>IFERROR(__xludf.DUMMYFUNCTION("""COMPUTED_VALUE"""),0.977777777777778)</f>
        <v>0.9777777778</v>
      </c>
      <c r="U274" s="57">
        <f>IFERROR(__xludf.DUMMYFUNCTION("""COMPUTED_VALUE"""),0.7555555555555554)</f>
        <v>0.7555555556</v>
      </c>
      <c r="V274" s="57">
        <f>IFERROR(__xludf.DUMMYFUNCTION("""COMPUTED_VALUE"""),1.333333333333333)</f>
        <v>1.333333333</v>
      </c>
      <c r="W274" s="57">
        <f>IFERROR(__xludf.DUMMYFUNCTION("""COMPUTED_VALUE"""),3.2888888888888888)</f>
        <v>3.288888889</v>
      </c>
      <c r="X274" s="31">
        <f>IFERROR(__xludf.DUMMYFUNCTION("""COMPUTED_VALUE"""),363.9565035644874)</f>
        <v>363.9565036</v>
      </c>
      <c r="Y274" s="57">
        <f>IFERROR(__xludf.DUMMYFUNCTION("""COMPUTED_VALUE"""),0.773351291081556)</f>
        <v>0.7733512911</v>
      </c>
      <c r="Z274" s="57">
        <f>IFERROR(__xludf.DUMMYFUNCTION("""COMPUTED_VALUE"""),0.5815896874062886)</f>
        <v>0.5815896874</v>
      </c>
      <c r="AA274" s="57">
        <f>IFERROR(__xludf.DUMMYFUNCTION("""COMPUTED_VALUE"""),1.415722626473514)</f>
        <v>1.415722626</v>
      </c>
      <c r="AB274" s="57">
        <f>IFERROR(__xludf.DUMMYFUNCTION("""COMPUTED_VALUE"""),2.7922199179473375)</f>
        <v>2.792219918</v>
      </c>
      <c r="AC274" s="31">
        <f>IFERROR(__xludf.DUMMYFUNCTION("""COMPUTED_VALUE"""),358.53232847369685)</f>
        <v>358.5323285</v>
      </c>
      <c r="AD274" s="57">
        <f>IFERROR(__xludf.DUMMYFUNCTION("""COMPUTED_VALUE"""),0.7289984352081839)</f>
        <v>0.7289984352</v>
      </c>
      <c r="AE274" s="57">
        <f>IFERROR(__xludf.DUMMYFUNCTION("""COMPUTED_VALUE"""),0.5512144212622042)</f>
        <v>0.5512144213</v>
      </c>
      <c r="AF274" s="57">
        <f>IFERROR(__xludf.DUMMYFUNCTION("""COMPUTED_VALUE"""),1.4732680659610802)</f>
        <v>1.473268066</v>
      </c>
      <c r="AG274" s="57">
        <f>IFERROR(__xludf.DUMMYFUNCTION("""COMPUTED_VALUE"""),2.611365380878591)</f>
        <v>2.611365381</v>
      </c>
      <c r="AH274" s="57">
        <f>IFERROR(__xludf.DUMMYFUNCTION("""COMPUTED_VALUE"""),1.1283036457422593)</f>
        <v>1.128303646</v>
      </c>
      <c r="AI274" s="57">
        <f>IFERROR(__xludf.DUMMYFUNCTION("""COMPUTED_VALUE"""),0.7315973636912219)</f>
        <v>0.7315973637</v>
      </c>
      <c r="AJ274" s="57">
        <f>IFERROR(__xludf.DUMMYFUNCTION("""COMPUTED_VALUE"""),1.4513408378687036)</f>
        <v>1.451340838</v>
      </c>
      <c r="AK274" s="57">
        <f>IFERROR(__xludf.DUMMYFUNCTION("""COMPUTED_VALUE"""),1.3575262005664315)</f>
        <v>1.357526201</v>
      </c>
      <c r="AL274" s="57">
        <f>IFERROR(__xludf.DUMMYFUNCTION("""COMPUTED_VALUE"""),1.1232948689648388)</f>
        <v>1.123294869</v>
      </c>
      <c r="AM274" s="57">
        <f>IFERROR(__xludf.DUMMYFUNCTION("""COMPUTED_VALUE"""),1.0870651865528278)</f>
        <v>1.087065187</v>
      </c>
      <c r="AN274" s="57">
        <f>IFERROR(__xludf.DUMMYFUNCTION("""COMPUTED_VALUE"""),1.2643384566027234)</f>
        <v>1.264338457</v>
      </c>
      <c r="AO274" s="57">
        <f>IFERROR(__xludf.DUMMYFUNCTION("""COMPUTED_VALUE"""),1.2991213082286606)</f>
        <v>1.299121308</v>
      </c>
      <c r="AP274" s="35">
        <f>IFERROR(__xludf.DUMMYFUNCTION("""COMPUTED_VALUE"""),0.9418040712216289)</f>
        <v>0.9418040712</v>
      </c>
      <c r="AQ274" s="57">
        <f>IFERROR(__xludf.DUMMYFUNCTION("""COMPUTED_VALUE"""),1.1778760217807882)</f>
        <v>1.177876022</v>
      </c>
      <c r="AR274" s="36" t="b">
        <f>IFERROR(__xludf.DUMMYFUNCTION("""COMPUTED_VALUE"""),TRUE)</f>
        <v>1</v>
      </c>
      <c r="AS274" s="57"/>
      <c r="AT274" s="37"/>
      <c r="AU274" s="30"/>
      <c r="AV274" s="30"/>
      <c r="AW274" s="30"/>
      <c r="AX274" s="30"/>
      <c r="AY274" s="30"/>
      <c r="AZ274" s="30"/>
    </row>
    <row r="275">
      <c r="A275" s="30" t="str">
        <f>IFERROR(__xludf.DUMMYFUNCTION("""COMPUTED_VALUE"""),"Elite")</f>
        <v>Elite</v>
      </c>
      <c r="B275" s="30" t="str">
        <f>IFERROR(__xludf.DUMMYFUNCTION("""COMPUTED_VALUE"""),"RSC002164")</f>
        <v>RSC002164</v>
      </c>
      <c r="C275" s="30" t="str">
        <f>IFERROR(__xludf.DUMMYFUNCTION("""COMPUTED_VALUE"""),"Dosia")</f>
        <v>Dosia</v>
      </c>
      <c r="D275" s="31" t="str">
        <f>IFERROR(__xludf.DUMMYFUNCTION("""COMPUTED_VALUE"""),"Wyverns")</f>
        <v>Wyverns</v>
      </c>
      <c r="E275" s="31">
        <f>IFERROR(__xludf.DUMMYFUNCTION("""COMPUTED_VALUE"""),54.137761371129436)</f>
        <v>54.13776137</v>
      </c>
      <c r="F275" s="31">
        <f>IFERROR(__xludf.DUMMYFUNCTION("""COMPUTED_VALUE"""),2.302709011022518)</f>
        <v>2.302709011</v>
      </c>
      <c r="G275" s="31">
        <f>IFERROR(__xludf.DUMMYFUNCTION("""COMPUTED_VALUE"""),44.13899195136834)</f>
        <v>44.13899195</v>
      </c>
      <c r="H275" s="31">
        <f>IFERROR(__xludf.DUMMYFUNCTION("""COMPUTED_VALUE"""),-2.4550626609257455)</f>
        <v>-2.455062661</v>
      </c>
      <c r="I275" s="54">
        <f>IFERROR(__xludf.DUMMYFUNCTION("""COMPUTED_VALUE"""),42.0)</f>
        <v>42</v>
      </c>
      <c r="J275" s="55">
        <f>IFERROR(__xludf.DUMMYFUNCTION("""COMPUTED_VALUE"""),21.0)</f>
        <v>21</v>
      </c>
      <c r="K275" s="54">
        <f>IFERROR(__xludf.DUMMYFUNCTION("""COMPUTED_VALUE"""),21.0)</f>
        <v>21</v>
      </c>
      <c r="L275" s="56">
        <f>IFERROR(__xludf.DUMMYFUNCTION("""COMPUTED_VALUE"""),0.5)</f>
        <v>0.5</v>
      </c>
      <c r="M275" s="56">
        <f>IFERROR(__xludf.DUMMYFUNCTION("""COMPUTED_VALUE"""),0.2755102040816327)</f>
        <v>0.2755102041</v>
      </c>
      <c r="N275" s="31">
        <f>IFERROR(__xludf.DUMMYFUNCTION("""COMPUTED_VALUE"""),333.8809523809524)</f>
        <v>333.8809524</v>
      </c>
      <c r="O275" s="57">
        <f>IFERROR(__xludf.DUMMYFUNCTION("""COMPUTED_VALUE"""),0.6428571428571429)</f>
        <v>0.6428571429</v>
      </c>
      <c r="P275" s="57">
        <f>IFERROR(__xludf.DUMMYFUNCTION("""COMPUTED_VALUE"""),0.6190476190476191)</f>
        <v>0.619047619</v>
      </c>
      <c r="Q275" s="57">
        <f>IFERROR(__xludf.DUMMYFUNCTION("""COMPUTED_VALUE"""),1.3333333333333333)</f>
        <v>1.333333333</v>
      </c>
      <c r="R275" s="57">
        <f>IFERROR(__xludf.DUMMYFUNCTION("""COMPUTED_VALUE"""),2.3333333333333335)</f>
        <v>2.333333333</v>
      </c>
      <c r="S275" s="31">
        <f>IFERROR(__xludf.DUMMYFUNCTION("""COMPUTED_VALUE"""),344.5476190476191)</f>
        <v>344.547619</v>
      </c>
      <c r="T275" s="57">
        <f>IFERROR(__xludf.DUMMYFUNCTION("""COMPUTED_VALUE"""),0.6190476190476191)</f>
        <v>0.619047619</v>
      </c>
      <c r="U275" s="57">
        <f>IFERROR(__xludf.DUMMYFUNCTION("""COMPUTED_VALUE"""),0.4920634920634922)</f>
        <v>0.4920634921</v>
      </c>
      <c r="V275" s="57">
        <f>IFERROR(__xludf.DUMMYFUNCTION("""COMPUTED_VALUE"""),1.5079365079365081)</f>
        <v>1.507936508</v>
      </c>
      <c r="W275" s="57">
        <f>IFERROR(__xludf.DUMMYFUNCTION("""COMPUTED_VALUE"""),2.5)</f>
        <v>2.5</v>
      </c>
      <c r="X275" s="31">
        <f>IFERROR(__xludf.DUMMYFUNCTION("""COMPUTED_VALUE"""),359.21511054444954)</f>
        <v>359.2151105</v>
      </c>
      <c r="Y275" s="57">
        <f>IFERROR(__xludf.DUMMYFUNCTION("""COMPUTED_VALUE"""),0.7929013948522529)</f>
        <v>0.7929013949</v>
      </c>
      <c r="Z275" s="57">
        <f>IFERROR(__xludf.DUMMYFUNCTION("""COMPUTED_VALUE"""),0.5949468119538222)</f>
        <v>0.594946812</v>
      </c>
      <c r="AA275" s="57">
        <f>IFERROR(__xludf.DUMMYFUNCTION("""COMPUTED_VALUE"""),1.3927334381894232)</f>
        <v>1.392733438</v>
      </c>
      <c r="AB275" s="57">
        <f>IFERROR(__xludf.DUMMYFUNCTION("""COMPUTED_VALUE"""),2.662558014666433)</f>
        <v>2.662558015</v>
      </c>
      <c r="AC275" s="31">
        <f>IFERROR(__xludf.DUMMYFUNCTION("""COMPUTED_VALUE"""),350.5024683916762)</f>
        <v>350.5024684</v>
      </c>
      <c r="AD275" s="57">
        <f>IFERROR(__xludf.DUMMYFUNCTION("""COMPUTED_VALUE"""),0.7093252086939641)</f>
        <v>0.7093252087</v>
      </c>
      <c r="AE275" s="57">
        <f>IFERROR(__xludf.DUMMYFUNCTION("""COMPUTED_VALUE"""),0.526386370755231)</f>
        <v>0.5263863708</v>
      </c>
      <c r="AF275" s="57">
        <f>IFERROR(__xludf.DUMMYFUNCTION("""COMPUTED_VALUE"""),1.4502592328986192)</f>
        <v>1.450259233</v>
      </c>
      <c r="AG275" s="57">
        <f>IFERROR(__xludf.DUMMYFUNCTION("""COMPUTED_VALUE"""),2.5420706381004483)</f>
        <v>2.542070638</v>
      </c>
      <c r="AH275" s="57">
        <f>IFERROR(__xludf.DUMMYFUNCTION("""COMPUTED_VALUE"""),0.9525780343659386)</f>
        <v>0.9525780344</v>
      </c>
      <c r="AI275" s="57">
        <f>IFERROR(__xludf.DUMMYFUNCTION("""COMPUTED_VALUE"""),0.9062939466662906)</f>
        <v>0.9062939467</v>
      </c>
      <c r="AJ275" s="57">
        <f>IFERROR(__xludf.DUMMYFUNCTION("""COMPUTED_VALUE"""),1.176032764981059)</f>
        <v>1.176032765</v>
      </c>
      <c r="AK275" s="57">
        <f>IFERROR(__xludf.DUMMYFUNCTION("""COMPUTED_VALUE"""),0.9193758626645063)</f>
        <v>0.9193758627</v>
      </c>
      <c r="AL275" s="57">
        <f>IFERROR(__xludf.DUMMYFUNCTION("""COMPUTED_VALUE"""),0.9178868983266756)</f>
        <v>0.9178868983</v>
      </c>
      <c r="AM275" s="57">
        <f>IFERROR(__xludf.DUMMYFUNCTION("""COMPUTED_VALUE"""),0.9591679440360973)</f>
        <v>0.959167944</v>
      </c>
      <c r="AN275" s="57">
        <f>IFERROR(__xludf.DUMMYFUNCTION("""COMPUTED_VALUE"""),0.7807372052397142)</f>
        <v>0.7807372052</v>
      </c>
      <c r="AO275" s="57">
        <f>IFERROR(__xludf.DUMMYFUNCTION("""COMPUTED_VALUE"""),0.8270713989500033)</f>
        <v>0.827071399</v>
      </c>
      <c r="AP275" s="35">
        <f>IFERROR(__xludf.DUMMYFUNCTION("""COMPUTED_VALUE"""),1.082717242645406)</f>
        <v>1.082717243</v>
      </c>
      <c r="AQ275" s="57">
        <f>IFERROR(__xludf.DUMMYFUNCTION("""COMPUTED_VALUE"""),0.9389466769283529)</f>
        <v>0.9389466769</v>
      </c>
      <c r="AR275" s="36" t="b">
        <f>IFERROR(__xludf.DUMMYFUNCTION("""COMPUTED_VALUE"""),TRUE)</f>
        <v>1</v>
      </c>
      <c r="AS275" s="57"/>
      <c r="AT275" s="37"/>
      <c r="AU275" s="30"/>
      <c r="AV275" s="30"/>
      <c r="AW275" s="30"/>
      <c r="AX275" s="30"/>
      <c r="AY275" s="30"/>
      <c r="AZ275" s="30"/>
    </row>
    <row r="276">
      <c r="A276" s="30" t="str">
        <f>IFERROR(__xludf.DUMMYFUNCTION("""COMPUTED_VALUE"""),"Elite")</f>
        <v>Elite</v>
      </c>
      <c r="B276" s="30" t="str">
        <f>IFERROR(__xludf.DUMMYFUNCTION("""COMPUTED_VALUE"""),"RSC005373")</f>
        <v>RSC005373</v>
      </c>
      <c r="C276" s="30" t="str">
        <f>IFERROR(__xludf.DUMMYFUNCTION("""COMPUTED_VALUE"""),"dvorl.ttv")</f>
        <v>dvorl.ttv</v>
      </c>
      <c r="D276" s="31" t="str">
        <f>IFERROR(__xludf.DUMMYFUNCTION("""COMPUTED_VALUE"""),"Despair")</f>
        <v>Despair</v>
      </c>
      <c r="E276" s="31">
        <f>IFERROR(__xludf.DUMMYFUNCTION("""COMPUTED_VALUE"""),53.75545895347083)</f>
        <v>53.75545895</v>
      </c>
      <c r="F276" s="31">
        <f>IFERROR(__xludf.DUMMYFUNCTION("""COMPUTED_VALUE"""),2.271198491503539)</f>
        <v>2.271198492</v>
      </c>
      <c r="G276" s="31">
        <f>IFERROR(__xludf.DUMMYFUNCTION("""COMPUTED_VALUE"""),35.260476162953296)</f>
        <v>35.26047616</v>
      </c>
      <c r="H276" s="31">
        <f>IFERROR(__xludf.DUMMYFUNCTION("""COMPUTED_VALUE"""),-3.6005439581465026)</f>
        <v>-3.600543958</v>
      </c>
      <c r="I276" s="54">
        <f>IFERROR(__xludf.DUMMYFUNCTION("""COMPUTED_VALUE"""),43.0)</f>
        <v>43</v>
      </c>
      <c r="J276" s="55">
        <f>IFERROR(__xludf.DUMMYFUNCTION("""COMPUTED_VALUE"""),25.0)</f>
        <v>25</v>
      </c>
      <c r="K276" s="54">
        <f>IFERROR(__xludf.DUMMYFUNCTION("""COMPUTED_VALUE"""),18.0)</f>
        <v>18</v>
      </c>
      <c r="L276" s="56">
        <f>IFERROR(__xludf.DUMMYFUNCTION("""COMPUTED_VALUE"""),0.5813953488372093)</f>
        <v>0.5813953488</v>
      </c>
      <c r="M276" s="56">
        <f>IFERROR(__xludf.DUMMYFUNCTION("""COMPUTED_VALUE"""),0.3214285714285714)</f>
        <v>0.3214285714</v>
      </c>
      <c r="N276" s="31">
        <f>IFERROR(__xludf.DUMMYFUNCTION("""COMPUTED_VALUE"""),326.74418604651163)</f>
        <v>326.744186</v>
      </c>
      <c r="O276" s="57">
        <f>IFERROR(__xludf.DUMMYFUNCTION("""COMPUTED_VALUE"""),0.8372093023255814)</f>
        <v>0.8372093023</v>
      </c>
      <c r="P276" s="57">
        <f>IFERROR(__xludf.DUMMYFUNCTION("""COMPUTED_VALUE"""),0.5116279069767442)</f>
        <v>0.511627907</v>
      </c>
      <c r="Q276" s="57">
        <f>IFERROR(__xludf.DUMMYFUNCTION("""COMPUTED_VALUE"""),1.0465116279069768)</f>
        <v>1.046511628</v>
      </c>
      <c r="R276" s="57">
        <f>IFERROR(__xludf.DUMMYFUNCTION("""COMPUTED_VALUE"""),2.604651162790698)</f>
        <v>2.604651163</v>
      </c>
      <c r="S276" s="31">
        <f>IFERROR(__xludf.DUMMYFUNCTION("""COMPUTED_VALUE"""),359.94573643410854)</f>
        <v>359.9457364</v>
      </c>
      <c r="T276" s="57">
        <f>IFERROR(__xludf.DUMMYFUNCTION("""COMPUTED_VALUE"""),0.7209302325581396)</f>
        <v>0.7209302326</v>
      </c>
      <c r="U276" s="57">
        <f>IFERROR(__xludf.DUMMYFUNCTION("""COMPUTED_VALUE"""),0.5426356589147289)</f>
        <v>0.5426356589</v>
      </c>
      <c r="V276" s="57">
        <f>IFERROR(__xludf.DUMMYFUNCTION("""COMPUTED_VALUE"""),1.542635658914729)</f>
        <v>1.542635659</v>
      </c>
      <c r="W276" s="57">
        <f>IFERROR(__xludf.DUMMYFUNCTION("""COMPUTED_VALUE"""),2.5658914728682167)</f>
        <v>2.565891473</v>
      </c>
      <c r="X276" s="31">
        <f>IFERROR(__xludf.DUMMYFUNCTION("""COMPUTED_VALUE"""),360.133691086785)</f>
        <v>360.1336911</v>
      </c>
      <c r="Y276" s="57">
        <f>IFERROR(__xludf.DUMMYFUNCTION("""COMPUTED_VALUE"""),0.7482566252868633)</f>
        <v>0.7482566253</v>
      </c>
      <c r="Z276" s="57">
        <f>IFERROR(__xludf.DUMMYFUNCTION("""COMPUTED_VALUE"""),0.604514041616021)</f>
        <v>0.6045140416</v>
      </c>
      <c r="AA276" s="57">
        <f>IFERROR(__xludf.DUMMYFUNCTION("""COMPUTED_VALUE"""),1.484145849430239)</f>
        <v>1.484145849</v>
      </c>
      <c r="AB276" s="57">
        <f>IFERROR(__xludf.DUMMYFUNCTION("""COMPUTED_VALUE"""),2.6152551262428374)</f>
        <v>2.615255126</v>
      </c>
      <c r="AC276" s="31">
        <f>IFERROR(__xludf.DUMMYFUNCTION("""COMPUTED_VALUE"""),367.4842398003066)</f>
        <v>367.4842398</v>
      </c>
      <c r="AD276" s="57">
        <f>IFERROR(__xludf.DUMMYFUNCTION("""COMPUTED_VALUE"""),0.8238482534946565)</f>
        <v>0.8238482535</v>
      </c>
      <c r="AE276" s="57">
        <f>IFERROR(__xludf.DUMMYFUNCTION("""COMPUTED_VALUE"""),0.6096942908037155)</f>
        <v>0.6096942908</v>
      </c>
      <c r="AF276" s="57">
        <f>IFERROR(__xludf.DUMMYFUNCTION("""COMPUTED_VALUE"""),1.4030401125356418)</f>
        <v>1.403040113</v>
      </c>
      <c r="AG276" s="57">
        <f>IFERROR(__xludf.DUMMYFUNCTION("""COMPUTED_VALUE"""),2.732057978931847)</f>
        <v>2.732057979</v>
      </c>
      <c r="AH276" s="57">
        <f>IFERROR(__xludf.DUMMYFUNCTION("""COMPUTED_VALUE"""),0.8891379565666996)</f>
        <v>0.8891379566</v>
      </c>
      <c r="AI276" s="57">
        <f>IFERROR(__xludf.DUMMYFUNCTION("""COMPUTED_VALUE"""),1.0162178517393818)</f>
        <v>1.016217852</v>
      </c>
      <c r="AJ276" s="57">
        <f>IFERROR(__xludf.DUMMYFUNCTION("""COMPUTED_VALUE"""),0.8391548267612978)</f>
        <v>0.8391548268</v>
      </c>
      <c r="AK276" s="57">
        <f>IFERROR(__xludf.DUMMYFUNCTION("""COMPUTED_VALUE"""),0.7458886018701707)</f>
        <v>0.7458886019</v>
      </c>
      <c r="AL276" s="57">
        <f>IFERROR(__xludf.DUMMYFUNCTION("""COMPUTED_VALUE"""),0.9533659910867041)</f>
        <v>0.9533659911</v>
      </c>
      <c r="AM276" s="57">
        <f>IFERROR(__xludf.DUMMYFUNCTION("""COMPUTED_VALUE"""),0.9994780975584115)</f>
        <v>0.9994780976</v>
      </c>
      <c r="AN276" s="57">
        <f>IFERROR(__xludf.DUMMYFUNCTION("""COMPUTED_VALUE"""),0.963479918780208)</f>
        <v>0.9634799188</v>
      </c>
      <c r="AO276" s="57">
        <f>IFERROR(__xludf.DUMMYFUNCTION("""COMPUTED_VALUE"""),0.897639461713949)</f>
        <v>0.8976394617</v>
      </c>
      <c r="AP276" s="35">
        <f>IFERROR(__xludf.DUMMYFUNCTION("""COMPUTED_VALUE"""),1.0394097450105353)</f>
        <v>1.039409745</v>
      </c>
      <c r="AQ276" s="57">
        <f>IFERROR(__xludf.DUMMYFUNCTION("""COMPUTED_VALUE"""),0.9811247274197917)</f>
        <v>0.9811247274</v>
      </c>
      <c r="AR276" s="36" t="b">
        <f>IFERROR(__xludf.DUMMYFUNCTION("""COMPUTED_VALUE"""),TRUE)</f>
        <v>1</v>
      </c>
      <c r="AS276" s="57"/>
      <c r="AT276" s="37"/>
      <c r="AU276" s="30"/>
      <c r="AV276" s="30"/>
      <c r="AW276" s="30"/>
      <c r="AX276" s="30"/>
      <c r="AY276" s="30"/>
      <c r="AZ276" s="30"/>
    </row>
    <row r="277">
      <c r="A277" s="30" t="str">
        <f>IFERROR(__xludf.DUMMYFUNCTION("""COMPUTED_VALUE"""),"Elite")</f>
        <v>Elite</v>
      </c>
      <c r="B277" s="30" t="str">
        <f>IFERROR(__xludf.DUMMYFUNCTION("""COMPUTED_VALUE"""),"RSC007077")</f>
        <v>RSC007077</v>
      </c>
      <c r="C277" s="30" t="str">
        <f>IFERROR(__xludf.DUMMYFUNCTION("""COMPUTED_VALUE"""),"higsn")</f>
        <v>higsn</v>
      </c>
      <c r="D277" s="31" t="str">
        <f>IFERROR(__xludf.DUMMYFUNCTION("""COMPUTED_VALUE"""),"Stoked Blokes")</f>
        <v>Stoked Blokes</v>
      </c>
      <c r="E277" s="31">
        <f>IFERROR(__xludf.DUMMYFUNCTION("""COMPUTED_VALUE"""),53.42964940156686)</f>
        <v>53.4296494</v>
      </c>
      <c r="F277" s="31">
        <f>IFERROR(__xludf.DUMMYFUNCTION("""COMPUTED_VALUE"""),2.244961699734258)</f>
        <v>2.2449617</v>
      </c>
      <c r="G277" s="31">
        <f>IFERROR(__xludf.DUMMYFUNCTION("""COMPUTED_VALUE"""),55.29150013180952)</f>
        <v>55.29150013</v>
      </c>
      <c r="H277" s="31">
        <f>IFERROR(__xludf.DUMMYFUNCTION("""COMPUTED_VALUE"""),2.4027709938795114)</f>
        <v>2.402770994</v>
      </c>
      <c r="I277" s="54">
        <f>IFERROR(__xludf.DUMMYFUNCTION("""COMPUTED_VALUE"""),44.0)</f>
        <v>44</v>
      </c>
      <c r="J277" s="55">
        <f>IFERROR(__xludf.DUMMYFUNCTION("""COMPUTED_VALUE"""),22.0)</f>
        <v>22</v>
      </c>
      <c r="K277" s="54">
        <f>IFERROR(__xludf.DUMMYFUNCTION("""COMPUTED_VALUE"""),22.0)</f>
        <v>22</v>
      </c>
      <c r="L277" s="56">
        <f>IFERROR(__xludf.DUMMYFUNCTION("""COMPUTED_VALUE"""),0.5)</f>
        <v>0.5</v>
      </c>
      <c r="M277" s="56">
        <f>IFERROR(__xludf.DUMMYFUNCTION("""COMPUTED_VALUE"""),0.3137254901960784)</f>
        <v>0.3137254902</v>
      </c>
      <c r="N277" s="31">
        <f>IFERROR(__xludf.DUMMYFUNCTION("""COMPUTED_VALUE"""),366.09090909090907)</f>
        <v>366.0909091</v>
      </c>
      <c r="O277" s="57">
        <f>IFERROR(__xludf.DUMMYFUNCTION("""COMPUTED_VALUE"""),0.7272727272727273)</f>
        <v>0.7272727273</v>
      </c>
      <c r="P277" s="57">
        <f>IFERROR(__xludf.DUMMYFUNCTION("""COMPUTED_VALUE"""),0.6363636363636364)</f>
        <v>0.6363636364</v>
      </c>
      <c r="Q277" s="57">
        <f>IFERROR(__xludf.DUMMYFUNCTION("""COMPUTED_VALUE"""),1.4318181818181819)</f>
        <v>1.431818182</v>
      </c>
      <c r="R277" s="57">
        <f>IFERROR(__xludf.DUMMYFUNCTION("""COMPUTED_VALUE"""),2.3181818181818183)</f>
        <v>2.318181818</v>
      </c>
      <c r="S277" s="31">
        <f>IFERROR(__xludf.DUMMYFUNCTION("""COMPUTED_VALUE"""),341.40909090909105)</f>
        <v>341.4090909</v>
      </c>
      <c r="T277" s="57">
        <f>IFERROR(__xludf.DUMMYFUNCTION("""COMPUTED_VALUE"""),0.7196969696969698)</f>
        <v>0.7196969697</v>
      </c>
      <c r="U277" s="57">
        <f>IFERROR(__xludf.DUMMYFUNCTION("""COMPUTED_VALUE"""),0.5303030303030303)</f>
        <v>0.5303030303</v>
      </c>
      <c r="V277" s="57">
        <f>IFERROR(__xludf.DUMMYFUNCTION("""COMPUTED_VALUE"""),1.2348484848484849)</f>
        <v>1.234848485</v>
      </c>
      <c r="W277" s="57">
        <f>IFERROR(__xludf.DUMMYFUNCTION("""COMPUTED_VALUE"""),2.727272727272727)</f>
        <v>2.727272727</v>
      </c>
      <c r="X277" s="31">
        <f>IFERROR(__xludf.DUMMYFUNCTION("""COMPUTED_VALUE"""),361.20621707047025)</f>
        <v>361.2062171</v>
      </c>
      <c r="Y277" s="57">
        <f>IFERROR(__xludf.DUMMYFUNCTION("""COMPUTED_VALUE"""),0.7832925114445828)</f>
        <v>0.7832925114</v>
      </c>
      <c r="Z277" s="57">
        <f>IFERROR(__xludf.DUMMYFUNCTION("""COMPUTED_VALUE"""),0.6117931049605875)</f>
        <v>0.611793105</v>
      </c>
      <c r="AA277" s="57">
        <f>IFERROR(__xludf.DUMMYFUNCTION("""COMPUTED_VALUE"""),1.4277050396443325)</f>
        <v>1.42770504</v>
      </c>
      <c r="AB277" s="57">
        <f>IFERROR(__xludf.DUMMYFUNCTION("""COMPUTED_VALUE"""),2.6202231258755373)</f>
        <v>2.620223126</v>
      </c>
      <c r="AC277" s="31">
        <f>IFERROR(__xludf.DUMMYFUNCTION("""COMPUTED_VALUE"""),364.9313017560691)</f>
        <v>364.9313018</v>
      </c>
      <c r="AD277" s="57">
        <f>IFERROR(__xludf.DUMMYFUNCTION("""COMPUTED_VALUE"""),0.8210087268670023)</f>
        <v>0.8210087269</v>
      </c>
      <c r="AE277" s="57">
        <f>IFERROR(__xludf.DUMMYFUNCTION("""COMPUTED_VALUE"""),0.6098199526615694)</f>
        <v>0.6098199527</v>
      </c>
      <c r="AF277" s="57">
        <f>IFERROR(__xludf.DUMMYFUNCTION("""COMPUTED_VALUE"""),1.3797989419255199)</f>
        <v>1.379798942</v>
      </c>
      <c r="AG277" s="57">
        <f>IFERROR(__xludf.DUMMYFUNCTION("""COMPUTED_VALUE"""),2.689296016611681)</f>
        <v>2.689296017</v>
      </c>
      <c r="AH277" s="57">
        <f>IFERROR(__xludf.DUMMYFUNCTION("""COMPUTED_VALUE"""),1.003177604467635)</f>
        <v>1.003177604</v>
      </c>
      <c r="AI277" s="57">
        <f>IFERROR(__xludf.DUMMYFUNCTION("""COMPUTED_VALUE"""),0.8858282542842452)</f>
        <v>0.8858282543</v>
      </c>
      <c r="AJ277" s="57">
        <f>IFERROR(__xludf.DUMMYFUNCTION("""COMPUTED_VALUE"""),1.0435270830123162)</f>
        <v>1.043527083</v>
      </c>
      <c r="AK277" s="57">
        <f>IFERROR(__xludf.DUMMYFUNCTION("""COMPUTED_VALUE"""),1.0377005941315398)</f>
        <v>1.037700594</v>
      </c>
      <c r="AL277" s="57">
        <f>IFERROR(__xludf.DUMMYFUNCTION("""COMPUTED_VALUE"""),0.8620032171477204)</f>
        <v>0.8620032171</v>
      </c>
      <c r="AM277" s="57">
        <f>IFERROR(__xludf.DUMMYFUNCTION("""COMPUTED_VALUE"""),0.9451916239926822)</f>
        <v>0.945191624</v>
      </c>
      <c r="AN277" s="57">
        <f>IFERROR(__xludf.DUMMYFUNCTION("""COMPUTED_VALUE"""),0.9188099709643244)</f>
        <v>0.918809971</v>
      </c>
      <c r="AO277" s="57">
        <f>IFERROR(__xludf.DUMMYFUNCTION("""COMPUTED_VALUE"""),0.8668012535662577)</f>
        <v>0.8668012536</v>
      </c>
      <c r="AP277" s="35">
        <f>IFERROR(__xludf.DUMMYFUNCTION("""COMPUTED_VALUE"""),0.8649184884548059)</f>
        <v>0.8649184885</v>
      </c>
      <c r="AQ277" s="57">
        <f>IFERROR(__xludf.DUMMYFUNCTION("""COMPUTED_VALUE"""),1.0408551471590495)</f>
        <v>1.040855147</v>
      </c>
      <c r="AR277" s="36" t="b">
        <f>IFERROR(__xludf.DUMMYFUNCTION("""COMPUTED_VALUE"""),TRUE)</f>
        <v>1</v>
      </c>
      <c r="AS277" s="57"/>
      <c r="AT277" s="37"/>
      <c r="AU277" s="30"/>
      <c r="AV277" s="30"/>
      <c r="AW277" s="30"/>
      <c r="AX277" s="30"/>
      <c r="AY277" s="30"/>
      <c r="AZ277" s="30"/>
    </row>
    <row r="278">
      <c r="A278" s="30" t="str">
        <f>IFERROR(__xludf.DUMMYFUNCTION("""COMPUTED_VALUE"""),"Elite")</f>
        <v>Elite</v>
      </c>
      <c r="B278" s="30" t="str">
        <f>IFERROR(__xludf.DUMMYFUNCTION("""COMPUTED_VALUE"""),"RSC005193")</f>
        <v>RSC005193</v>
      </c>
      <c r="C278" s="30" t="str">
        <f>IFERROR(__xludf.DUMMYFUNCTION("""COMPUTED_VALUE"""),"RegularlyJones")</f>
        <v>RegularlyJones</v>
      </c>
      <c r="D278" s="31" t="str">
        <f>IFERROR(__xludf.DUMMYFUNCTION("""COMPUTED_VALUE"""),"Sloths")</f>
        <v>Sloths</v>
      </c>
      <c r="E278" s="31">
        <f>IFERROR(__xludf.DUMMYFUNCTION("""COMPUTED_VALUE"""),53.11548433584553)</f>
        <v>53.11548434</v>
      </c>
      <c r="F278" s="31">
        <f>IFERROR(__xludf.DUMMYFUNCTION("""COMPUTED_VALUE"""),2.2201873214227263)</f>
        <v>2.220187321</v>
      </c>
      <c r="G278" s="31">
        <f>IFERROR(__xludf.DUMMYFUNCTION("""COMPUTED_VALUE"""),44.559190509460585)</f>
        <v>44.55919051</v>
      </c>
      <c r="H278" s="31">
        <f>IFERROR(__xludf.DUMMYFUNCTION("""COMPUTED_VALUE"""),-2.41628901464975)</f>
        <v>-2.416289015</v>
      </c>
      <c r="I278" s="54">
        <f>IFERROR(__xludf.DUMMYFUNCTION("""COMPUTED_VALUE"""),40.0)</f>
        <v>40</v>
      </c>
      <c r="J278" s="55">
        <f>IFERROR(__xludf.DUMMYFUNCTION("""COMPUTED_VALUE"""),21.0)</f>
        <v>21</v>
      </c>
      <c r="K278" s="54">
        <f>IFERROR(__xludf.DUMMYFUNCTION("""COMPUTED_VALUE"""),19.0)</f>
        <v>19</v>
      </c>
      <c r="L278" s="56">
        <f>IFERROR(__xludf.DUMMYFUNCTION("""COMPUTED_VALUE"""),0.525)</f>
        <v>0.525</v>
      </c>
      <c r="M278" s="56">
        <f>IFERROR(__xludf.DUMMYFUNCTION("""COMPUTED_VALUE"""),0.20535714285714285)</f>
        <v>0.2053571429</v>
      </c>
      <c r="N278" s="31">
        <f>IFERROR(__xludf.DUMMYFUNCTION("""COMPUTED_VALUE"""),340.25)</f>
        <v>340.25</v>
      </c>
      <c r="O278" s="57">
        <f>IFERROR(__xludf.DUMMYFUNCTION("""COMPUTED_VALUE"""),0.575)</f>
        <v>0.575</v>
      </c>
      <c r="P278" s="57">
        <f>IFERROR(__xludf.DUMMYFUNCTION("""COMPUTED_VALUE"""),0.7)</f>
        <v>0.7</v>
      </c>
      <c r="Q278" s="57">
        <f>IFERROR(__xludf.DUMMYFUNCTION("""COMPUTED_VALUE"""),1.325)</f>
        <v>1.325</v>
      </c>
      <c r="R278" s="57">
        <f>IFERROR(__xludf.DUMMYFUNCTION("""COMPUTED_VALUE"""),2.8)</f>
        <v>2.8</v>
      </c>
      <c r="S278" s="31">
        <f>IFERROR(__xludf.DUMMYFUNCTION("""COMPUTED_VALUE"""),356.9333333333334)</f>
        <v>356.9333333</v>
      </c>
      <c r="T278" s="57">
        <f>IFERROR(__xludf.DUMMYFUNCTION("""COMPUTED_VALUE"""),0.6833333333333331)</f>
        <v>0.6833333333</v>
      </c>
      <c r="U278" s="57">
        <f>IFERROR(__xludf.DUMMYFUNCTION("""COMPUTED_VALUE"""),0.5166666666666668)</f>
        <v>0.5166666667</v>
      </c>
      <c r="V278" s="57">
        <f>IFERROR(__xludf.DUMMYFUNCTION("""COMPUTED_VALUE"""),1.55)</f>
        <v>1.55</v>
      </c>
      <c r="W278" s="57">
        <f>IFERROR(__xludf.DUMMYFUNCTION("""COMPUTED_VALUE"""),2.6083333333333334)</f>
        <v>2.608333333</v>
      </c>
      <c r="X278" s="31">
        <f>IFERROR(__xludf.DUMMYFUNCTION("""COMPUTED_VALUE"""),362.58818921114045)</f>
        <v>362.5881892</v>
      </c>
      <c r="Y278" s="57">
        <f>IFERROR(__xludf.DUMMYFUNCTION("""COMPUTED_VALUE"""),0.7589739878207198)</f>
        <v>0.7589739878</v>
      </c>
      <c r="Z278" s="57">
        <f>IFERROR(__xludf.DUMMYFUNCTION("""COMPUTED_VALUE"""),0.5880909525520358)</f>
        <v>0.5880909526</v>
      </c>
      <c r="AA278" s="57">
        <f>IFERROR(__xludf.DUMMYFUNCTION("""COMPUTED_VALUE"""),1.4597975622188781)</f>
        <v>1.459797562</v>
      </c>
      <c r="AB278" s="57">
        <f>IFERROR(__xludf.DUMMYFUNCTION("""COMPUTED_VALUE"""),2.605903155849291)</f>
        <v>2.605903156</v>
      </c>
      <c r="AC278" s="31">
        <f>IFERROR(__xludf.DUMMYFUNCTION("""COMPUTED_VALUE"""),372.7584617722697)</f>
        <v>372.7584618</v>
      </c>
      <c r="AD278" s="57">
        <f>IFERROR(__xludf.DUMMYFUNCTION("""COMPUTED_VALUE"""),0.8230336628034607)</f>
        <v>0.8230336628</v>
      </c>
      <c r="AE278" s="57">
        <f>IFERROR(__xludf.DUMMYFUNCTION("""COMPUTED_VALUE"""),0.6107186434275003)</f>
        <v>0.6107186434</v>
      </c>
      <c r="AF278" s="57">
        <f>IFERROR(__xludf.DUMMYFUNCTION("""COMPUTED_VALUE"""),1.4747232557225503)</f>
        <v>1.474723256</v>
      </c>
      <c r="AG278" s="57">
        <f>IFERROR(__xludf.DUMMYFUNCTION("""COMPUTED_VALUE"""),2.7357912003032503)</f>
        <v>2.7357912</v>
      </c>
      <c r="AH278" s="57">
        <f>IFERROR(__xludf.DUMMYFUNCTION("""COMPUTED_VALUE"""),0.9127894733288974)</f>
        <v>0.9127894733</v>
      </c>
      <c r="AI278" s="57">
        <f>IFERROR(__xludf.DUMMYFUNCTION("""COMPUTED_VALUE"""),0.6986348505374672)</f>
        <v>0.6986348505</v>
      </c>
      <c r="AJ278" s="57">
        <f>IFERROR(__xludf.DUMMYFUNCTION("""COMPUTED_VALUE"""),1.146190651838351)</f>
        <v>1.146190652</v>
      </c>
      <c r="AK278" s="57">
        <f>IFERROR(__xludf.DUMMYFUNCTION("""COMPUTED_VALUE"""),0.8984736592838278)</f>
        <v>0.8984736593</v>
      </c>
      <c r="AL278" s="57">
        <f>IFERROR(__xludf.DUMMYFUNCTION("""COMPUTED_VALUE"""),1.0234699196669805)</f>
        <v>1.02346992</v>
      </c>
      <c r="AM278" s="57">
        <f>IFERROR(__xludf.DUMMYFUNCTION("""COMPUTED_VALUE"""),0.9844041917357818)</f>
        <v>0.9844041917</v>
      </c>
      <c r="AN278" s="57">
        <f>IFERROR(__xludf.DUMMYFUNCTION("""COMPUTED_VALUE"""),0.9003382781212601)</f>
        <v>0.9003382781</v>
      </c>
      <c r="AO278" s="57">
        <f>IFERROR(__xludf.DUMMYFUNCTION("""COMPUTED_VALUE"""),0.8785489122466151)</f>
        <v>0.8785489122</v>
      </c>
      <c r="AP278" s="35">
        <f>IFERROR(__xludf.DUMMYFUNCTION("""COMPUTED_VALUE"""),1.0617910593329223)</f>
        <v>1.061791059</v>
      </c>
      <c r="AQ278" s="57">
        <f>IFERROR(__xludf.DUMMYFUNCTION("""COMPUTED_VALUE"""),1.0009325663076112)</f>
        <v>1.000932566</v>
      </c>
      <c r="AR278" s="36" t="b">
        <f>IFERROR(__xludf.DUMMYFUNCTION("""COMPUTED_VALUE"""),TRUE)</f>
        <v>1</v>
      </c>
      <c r="AS278" s="57"/>
      <c r="AT278" s="37"/>
      <c r="AU278" s="30"/>
      <c r="AV278" s="30"/>
      <c r="AW278" s="30"/>
      <c r="AX278" s="30"/>
      <c r="AY278" s="30"/>
      <c r="AZ278" s="30"/>
    </row>
    <row r="279">
      <c r="A279" s="30" t="str">
        <f>IFERROR(__xludf.DUMMYFUNCTION("""COMPUTED_VALUE"""),"Elite")</f>
        <v>Elite</v>
      </c>
      <c r="B279" s="30" t="str">
        <f>IFERROR(__xludf.DUMMYFUNCTION("""COMPUTED_VALUE"""),"RSC001889")</f>
        <v>RSC001889</v>
      </c>
      <c r="C279" s="30" t="str">
        <f>IFERROR(__xludf.DUMMYFUNCTION("""COMPUTED_VALUE"""),"Phelpsy")</f>
        <v>Phelpsy</v>
      </c>
      <c r="D279" s="31" t="str">
        <f>IFERROR(__xludf.DUMMYFUNCTION("""COMPUTED_VALUE"""),"Forge Defenders")</f>
        <v>Forge Defenders</v>
      </c>
      <c r="E279" s="31">
        <f>IFERROR(__xludf.DUMMYFUNCTION("""COMPUTED_VALUE"""),51.98971697258577)</f>
        <v>51.98971697</v>
      </c>
      <c r="F279" s="31">
        <f>IFERROR(__xludf.DUMMYFUNCTION("""COMPUTED_VALUE"""),2.135464470889402)</f>
        <v>2.135464471</v>
      </c>
      <c r="G279" s="31">
        <f>IFERROR(__xludf.DUMMYFUNCTION("""COMPUTED_VALUE"""),37.21680072701472)</f>
        <v>37.21680073</v>
      </c>
      <c r="H279" s="31">
        <f>IFERROR(__xludf.DUMMYFUNCTION("""COMPUTED_VALUE"""),-3.2834176030302173)</f>
        <v>-3.283417603</v>
      </c>
      <c r="I279" s="54">
        <f>IFERROR(__xludf.DUMMYFUNCTION("""COMPUTED_VALUE"""),27.0)</f>
        <v>27</v>
      </c>
      <c r="J279" s="55">
        <f>IFERROR(__xludf.DUMMYFUNCTION("""COMPUTED_VALUE"""),15.0)</f>
        <v>15</v>
      </c>
      <c r="K279" s="54">
        <f>IFERROR(__xludf.DUMMYFUNCTION("""COMPUTED_VALUE"""),12.0)</f>
        <v>12</v>
      </c>
      <c r="L279" s="56">
        <f>IFERROR(__xludf.DUMMYFUNCTION("""COMPUTED_VALUE"""),0.5555555555555556)</f>
        <v>0.5555555556</v>
      </c>
      <c r="M279" s="56">
        <f>IFERROR(__xludf.DUMMYFUNCTION("""COMPUTED_VALUE"""),0.3392857142857143)</f>
        <v>0.3392857143</v>
      </c>
      <c r="N279" s="31">
        <f>IFERROR(__xludf.DUMMYFUNCTION("""COMPUTED_VALUE"""),329.1111111111111)</f>
        <v>329.1111111</v>
      </c>
      <c r="O279" s="57">
        <f>IFERROR(__xludf.DUMMYFUNCTION("""COMPUTED_VALUE"""),0.7037037037037037)</f>
        <v>0.7037037037</v>
      </c>
      <c r="P279" s="57">
        <f>IFERROR(__xludf.DUMMYFUNCTION("""COMPUTED_VALUE"""),0.6666666666666666)</f>
        <v>0.6666666667</v>
      </c>
      <c r="Q279" s="57">
        <f>IFERROR(__xludf.DUMMYFUNCTION("""COMPUTED_VALUE"""),1.3333333333333333)</f>
        <v>1.333333333</v>
      </c>
      <c r="R279" s="57">
        <f>IFERROR(__xludf.DUMMYFUNCTION("""COMPUTED_VALUE"""),2.074074074074074)</f>
        <v>2.074074074</v>
      </c>
      <c r="S279" s="31">
        <f>IFERROR(__xludf.DUMMYFUNCTION("""COMPUTED_VALUE"""),343.0246913580247)</f>
        <v>343.0246914</v>
      </c>
      <c r="T279" s="57">
        <f>IFERROR(__xludf.DUMMYFUNCTION("""COMPUTED_VALUE"""),0.6790123456790123)</f>
        <v>0.6790123457</v>
      </c>
      <c r="U279" s="57">
        <f>IFERROR(__xludf.DUMMYFUNCTION("""COMPUTED_VALUE"""),0.5925925925925926)</f>
        <v>0.5925925926</v>
      </c>
      <c r="V279" s="57">
        <f>IFERROR(__xludf.DUMMYFUNCTION("""COMPUTED_VALUE"""),1.3333333333333337)</f>
        <v>1.333333333</v>
      </c>
      <c r="W279" s="57">
        <f>IFERROR(__xludf.DUMMYFUNCTION("""COMPUTED_VALUE"""),2.753086419753086)</f>
        <v>2.75308642</v>
      </c>
      <c r="X279" s="31">
        <f>IFERROR(__xludf.DUMMYFUNCTION("""COMPUTED_VALUE"""),370.6676787324195)</f>
        <v>370.6676787</v>
      </c>
      <c r="Y279" s="57">
        <f>IFERROR(__xludf.DUMMYFUNCTION("""COMPUTED_VALUE"""),0.8469221468875564)</f>
        <v>0.8469221469</v>
      </c>
      <c r="Z279" s="57">
        <f>IFERROR(__xludf.DUMMYFUNCTION("""COMPUTED_VALUE"""),0.5859554997927016)</f>
        <v>0.5859554998</v>
      </c>
      <c r="AA279" s="57">
        <f>IFERROR(__xludf.DUMMYFUNCTION("""COMPUTED_VALUE"""),1.4416009995454868)</f>
        <v>1.441601</v>
      </c>
      <c r="AB279" s="57">
        <f>IFERROR(__xludf.DUMMYFUNCTION("""COMPUTED_VALUE"""),2.799686015209232)</f>
        <v>2.799686015</v>
      </c>
      <c r="AC279" s="31">
        <f>IFERROR(__xludf.DUMMYFUNCTION("""COMPUTED_VALUE"""),354.2351719725069)</f>
        <v>354.235172</v>
      </c>
      <c r="AD279" s="57">
        <f>IFERROR(__xludf.DUMMYFUNCTION("""COMPUTED_VALUE"""),0.72257223631975)</f>
        <v>0.7225722363</v>
      </c>
      <c r="AE279" s="57">
        <f>IFERROR(__xludf.DUMMYFUNCTION("""COMPUTED_VALUE"""),0.5390350117204774)</f>
        <v>0.5390350117</v>
      </c>
      <c r="AF279" s="57">
        <f>IFERROR(__xludf.DUMMYFUNCTION("""COMPUTED_VALUE"""),1.4639162739996916)</f>
        <v>1.463916274</v>
      </c>
      <c r="AG279" s="57">
        <f>IFERROR(__xludf.DUMMYFUNCTION("""COMPUTED_VALUE"""),2.5915362152929187)</f>
        <v>2.591536215</v>
      </c>
      <c r="AH279" s="57">
        <f>IFERROR(__xludf.DUMMYFUNCTION("""COMPUTED_VALUE"""),0.9290751939693166)</f>
        <v>0.929075194</v>
      </c>
      <c r="AI279" s="57">
        <f>IFERROR(__xludf.DUMMYFUNCTION("""COMPUTED_VALUE"""),0.9738869947285151)</f>
        <v>0.9738869947</v>
      </c>
      <c r="AJ279" s="57">
        <f>IFERROR(__xludf.DUMMYFUNCTION("""COMPUTED_VALUE"""),1.2367780425594581)</f>
        <v>1.236778043</v>
      </c>
      <c r="AK279" s="57">
        <f>IFERROR(__xludf.DUMMYFUNCTION("""COMPUTED_VALUE"""),0.9107989008759487)</f>
        <v>0.9107989009</v>
      </c>
      <c r="AL279" s="57">
        <f>IFERROR(__xludf.DUMMYFUNCTION("""COMPUTED_VALUE"""),0.8003261007254122)</f>
        <v>0.8003261007</v>
      </c>
      <c r="AM279" s="57">
        <f>IFERROR(__xludf.DUMMYFUNCTION("""COMPUTED_VALUE"""),0.9254237988353176)</f>
        <v>0.9254237988</v>
      </c>
      <c r="AN279" s="57">
        <f>IFERROR(__xludf.DUMMYFUNCTION("""COMPUTED_VALUE"""),0.8017411614212551)</f>
        <v>0.8017411614</v>
      </c>
      <c r="AO279" s="57">
        <f>IFERROR(__xludf.DUMMYFUNCTION("""COMPUTED_VALUE"""),1.011326957085033)</f>
        <v>1.011326957</v>
      </c>
      <c r="AP279" s="35">
        <f>IFERROR(__xludf.DUMMYFUNCTION("""COMPUTED_VALUE"""),0.9248976199057242)</f>
        <v>0.9248976199</v>
      </c>
      <c r="AQ279" s="57">
        <f>IFERROR(__xludf.DUMMYFUNCTION("""COMPUTED_VALUE"""),0.9833554208568409)</f>
        <v>0.9833554209</v>
      </c>
      <c r="AR279" s="36" t="b">
        <f>IFERROR(__xludf.DUMMYFUNCTION("""COMPUTED_VALUE"""),TRUE)</f>
        <v>1</v>
      </c>
      <c r="AS279" s="57"/>
      <c r="AT279" s="37"/>
      <c r="AU279" s="30"/>
      <c r="AV279" s="30"/>
      <c r="AW279" s="30"/>
      <c r="AX279" s="30"/>
      <c r="AY279" s="30"/>
      <c r="AZ279" s="30"/>
    </row>
    <row r="280">
      <c r="A280" s="30" t="str">
        <f>IFERROR(__xludf.DUMMYFUNCTION("""COMPUTED_VALUE"""),"Elite")</f>
        <v>Elite</v>
      </c>
      <c r="B280" s="30" t="str">
        <f>IFERROR(__xludf.DUMMYFUNCTION("""COMPUTED_VALUE"""),"RSC003399")</f>
        <v>RSC003399</v>
      </c>
      <c r="C280" s="30" t="str">
        <f>IFERROR(__xludf.DUMMYFUNCTION("""COMPUTED_VALUE"""),"josan")</f>
        <v>josan</v>
      </c>
      <c r="D280" s="31"/>
      <c r="E280" s="31">
        <f>IFERROR(__xludf.DUMMYFUNCTION("""COMPUTED_VALUE"""),51.93133230538444)</f>
        <v>51.93133231</v>
      </c>
      <c r="F280" s="31">
        <f>IFERROR(__xludf.DUMMYFUNCTION("""COMPUTED_VALUE"""),2.1312372252165175)</f>
        <v>2.131237225</v>
      </c>
      <c r="G280" s="31">
        <f>IFERROR(__xludf.DUMMYFUNCTION("""COMPUTED_VALUE"""),43.18175784514023)</f>
        <v>43.18175785</v>
      </c>
      <c r="H280" s="31">
        <f>IFERROR(__xludf.DUMMYFUNCTION("""COMPUTED_VALUE"""),-2.547572693614744)</f>
        <v>-2.547572694</v>
      </c>
      <c r="I280" s="54">
        <f>IFERROR(__xludf.DUMMYFUNCTION("""COMPUTED_VALUE"""),3.0)</f>
        <v>3</v>
      </c>
      <c r="J280" s="55">
        <f>IFERROR(__xludf.DUMMYFUNCTION("""COMPUTED_VALUE"""),2.0)</f>
        <v>2</v>
      </c>
      <c r="K280" s="54">
        <f>IFERROR(__xludf.DUMMYFUNCTION("""COMPUTED_VALUE"""),1.0)</f>
        <v>1</v>
      </c>
      <c r="L280" s="56">
        <f>IFERROR(__xludf.DUMMYFUNCTION("""COMPUTED_VALUE"""),0.6666666666666666)</f>
        <v>0.6666666667</v>
      </c>
      <c r="M280" s="56">
        <f>IFERROR(__xludf.DUMMYFUNCTION("""COMPUTED_VALUE"""),0.125)</f>
        <v>0.125</v>
      </c>
      <c r="N280" s="31">
        <f>IFERROR(__xludf.DUMMYFUNCTION("""COMPUTED_VALUE"""),273.6666666666667)</f>
        <v>273.6666667</v>
      </c>
      <c r="O280" s="57">
        <f>IFERROR(__xludf.DUMMYFUNCTION("""COMPUTED_VALUE"""),0.3333333333333333)</f>
        <v>0.3333333333</v>
      </c>
      <c r="P280" s="57">
        <f>IFERROR(__xludf.DUMMYFUNCTION("""COMPUTED_VALUE"""),1.3333333333333333)</f>
        <v>1.333333333</v>
      </c>
      <c r="Q280" s="57">
        <f>IFERROR(__xludf.DUMMYFUNCTION("""COMPUTED_VALUE"""),0.0)</f>
        <v>0</v>
      </c>
      <c r="R280" s="57">
        <f>IFERROR(__xludf.DUMMYFUNCTION("""COMPUTED_VALUE"""),2.6666666666666665)</f>
        <v>2.666666667</v>
      </c>
      <c r="S280" s="31">
        <f>IFERROR(__xludf.DUMMYFUNCTION("""COMPUTED_VALUE"""),422.3333333333333)</f>
        <v>422.3333333</v>
      </c>
      <c r="T280" s="57">
        <f>IFERROR(__xludf.DUMMYFUNCTION("""COMPUTED_VALUE"""),1.111111111111111)</f>
        <v>1.111111111</v>
      </c>
      <c r="U280" s="57">
        <f>IFERROR(__xludf.DUMMYFUNCTION("""COMPUTED_VALUE"""),1.0)</f>
        <v>1</v>
      </c>
      <c r="V280" s="57">
        <f>IFERROR(__xludf.DUMMYFUNCTION("""COMPUTED_VALUE"""),1.6666666666666667)</f>
        <v>1.666666667</v>
      </c>
      <c r="W280" s="57">
        <f>IFERROR(__xludf.DUMMYFUNCTION("""COMPUTED_VALUE"""),2.111111111111111)</f>
        <v>2.111111111</v>
      </c>
      <c r="X280" s="31">
        <f>IFERROR(__xludf.DUMMYFUNCTION("""COMPUTED_VALUE"""),355.87222222222226)</f>
        <v>355.8722222</v>
      </c>
      <c r="Y280" s="57">
        <f>IFERROR(__xludf.DUMMYFUNCTION("""COMPUTED_VALUE"""),0.8513888888888889)</f>
        <v>0.8513888889</v>
      </c>
      <c r="Z280" s="57">
        <f>IFERROR(__xludf.DUMMYFUNCTION("""COMPUTED_VALUE"""),0.6069444444444444)</f>
        <v>0.6069444444</v>
      </c>
      <c r="AA280" s="57">
        <f>IFERROR(__xludf.DUMMYFUNCTION("""COMPUTED_VALUE"""),1.2666666666666666)</f>
        <v>1.266666667</v>
      </c>
      <c r="AB280" s="57">
        <f>IFERROR(__xludf.DUMMYFUNCTION("""COMPUTED_VALUE"""),2.806944444444445)</f>
        <v>2.806944444</v>
      </c>
      <c r="AC280" s="31">
        <f>IFERROR(__xludf.DUMMYFUNCTION("""COMPUTED_VALUE"""),371.3569444444445)</f>
        <v>371.3569444</v>
      </c>
      <c r="AD280" s="57">
        <f>IFERROR(__xludf.DUMMYFUNCTION("""COMPUTED_VALUE"""),0.7375000000000002)</f>
        <v>0.7375</v>
      </c>
      <c r="AE280" s="57">
        <f>IFERROR(__xludf.DUMMYFUNCTION("""COMPUTED_VALUE"""),0.5449074074074074)</f>
        <v>0.5449074074</v>
      </c>
      <c r="AF280" s="57">
        <f>IFERROR(__xludf.DUMMYFUNCTION("""COMPUTED_VALUE"""),1.661574074074074)</f>
        <v>1.661574074</v>
      </c>
      <c r="AG280" s="57">
        <f>IFERROR(__xludf.DUMMYFUNCTION("""COMPUTED_VALUE"""),2.6370370370370373)</f>
        <v>2.637037037</v>
      </c>
      <c r="AH280" s="57">
        <f>IFERROR(__xludf.DUMMYFUNCTION("""COMPUTED_VALUE"""),0.7369369841085808)</f>
        <v>0.7369369841</v>
      </c>
      <c r="AI280" s="57">
        <f>IFERROR(__xludf.DUMMYFUNCTION("""COMPUTED_VALUE"""),0.4519774011299434)</f>
        <v>0.4519774011</v>
      </c>
      <c r="AJ280" s="57">
        <f>IFERROR(__xludf.DUMMYFUNCTION("""COMPUTED_VALUE"""),2.4468988954970263)</f>
        <v>2.446898895</v>
      </c>
      <c r="AK280" s="57">
        <f>IFERROR(__xludf.DUMMYFUNCTION("""COMPUTED_VALUE"""),0.0)</f>
        <v>0</v>
      </c>
      <c r="AL280" s="57">
        <f>IFERROR(__xludf.DUMMYFUNCTION("""COMPUTED_VALUE"""),1.0112359550561796)</f>
        <v>1.011235955</v>
      </c>
      <c r="AM280" s="57">
        <f>IFERROR(__xludf.DUMMYFUNCTION("""COMPUTED_VALUE"""),1.1867555458419843)</f>
        <v>1.186755546</v>
      </c>
      <c r="AN280" s="57">
        <f>IFERROR(__xludf.DUMMYFUNCTION("""COMPUTED_VALUE"""),1.3050570962479606)</f>
        <v>1.305057096</v>
      </c>
      <c r="AO280" s="57">
        <f>IFERROR(__xludf.DUMMYFUNCTION("""COMPUTED_VALUE"""),1.6475972540045767)</f>
        <v>1.647597254</v>
      </c>
      <c r="AP280" s="35">
        <f>IFERROR(__xludf.DUMMYFUNCTION("""COMPUTED_VALUE"""),1.3157894736842106)</f>
        <v>1.315789474</v>
      </c>
      <c r="AQ280" s="57">
        <f>IFERROR(__xludf.DUMMYFUNCTION("""COMPUTED_VALUE"""),0.7521029193468579)</f>
        <v>0.7521029193</v>
      </c>
      <c r="AR280" s="36" t="b">
        <f>IFERROR(__xludf.DUMMYFUNCTION("""COMPUTED_VALUE"""),TRUE)</f>
        <v>1</v>
      </c>
      <c r="AS280" s="57"/>
      <c r="AT280" s="37"/>
      <c r="AU280" s="30"/>
      <c r="AV280" s="30"/>
      <c r="AW280" s="30"/>
      <c r="AX280" s="30"/>
      <c r="AY280" s="30"/>
      <c r="AZ280" s="30"/>
    </row>
    <row r="281">
      <c r="A281" s="30" t="str">
        <f>IFERROR(__xludf.DUMMYFUNCTION("""COMPUTED_VALUE"""),"Elite")</f>
        <v>Elite</v>
      </c>
      <c r="B281" s="30" t="str">
        <f>IFERROR(__xludf.DUMMYFUNCTION("""COMPUTED_VALUE"""),"RSC005464")</f>
        <v>RSC005464</v>
      </c>
      <c r="C281" s="30" t="str">
        <f>IFERROR(__xludf.DUMMYFUNCTION("""COMPUTED_VALUE"""),"taz.rm")</f>
        <v>taz.rm</v>
      </c>
      <c r="D281" s="31" t="str">
        <f>IFERROR(__xludf.DUMMYFUNCTION("""COMPUTED_VALUE"""),"Sloths")</f>
        <v>Sloths</v>
      </c>
      <c r="E281" s="31">
        <f>IFERROR(__xludf.DUMMYFUNCTION("""COMPUTED_VALUE"""),50.98698624963407)</f>
        <v>50.98698625</v>
      </c>
      <c r="F281" s="31">
        <f>IFERROR(__xludf.DUMMYFUNCTION("""COMPUTED_VALUE"""),2.0650316946445693)</f>
        <v>2.065031695</v>
      </c>
      <c r="G281" s="31">
        <f>IFERROR(__xludf.DUMMYFUNCTION("""COMPUTED_VALUE"""),40.54791503563404)</f>
        <v>40.54791504</v>
      </c>
      <c r="H281" s="31">
        <f>IFERROR(__xludf.DUMMYFUNCTION("""COMPUTED_VALUE"""),-2.8353968193139614)</f>
        <v>-2.835396819</v>
      </c>
      <c r="I281" s="54">
        <f>IFERROR(__xludf.DUMMYFUNCTION("""COMPUTED_VALUE"""),48.0)</f>
        <v>48</v>
      </c>
      <c r="J281" s="55">
        <f>IFERROR(__xludf.DUMMYFUNCTION("""COMPUTED_VALUE"""),23.0)</f>
        <v>23</v>
      </c>
      <c r="K281" s="54">
        <f>IFERROR(__xludf.DUMMYFUNCTION("""COMPUTED_VALUE"""),25.0)</f>
        <v>25</v>
      </c>
      <c r="L281" s="56">
        <f>IFERROR(__xludf.DUMMYFUNCTION("""COMPUTED_VALUE"""),0.4791666666666667)</f>
        <v>0.4791666667</v>
      </c>
      <c r="M281" s="56">
        <f>IFERROR(__xludf.DUMMYFUNCTION("""COMPUTED_VALUE"""),0.2519083969465649)</f>
        <v>0.2519083969</v>
      </c>
      <c r="N281" s="31">
        <f>IFERROR(__xludf.DUMMYFUNCTION("""COMPUTED_VALUE"""),336.5416666666667)</f>
        <v>336.5416667</v>
      </c>
      <c r="O281" s="57">
        <f>IFERROR(__xludf.DUMMYFUNCTION("""COMPUTED_VALUE"""),0.6875)</f>
        <v>0.6875</v>
      </c>
      <c r="P281" s="57">
        <f>IFERROR(__xludf.DUMMYFUNCTION("""COMPUTED_VALUE"""),0.5)</f>
        <v>0.5</v>
      </c>
      <c r="Q281" s="57">
        <f>IFERROR(__xludf.DUMMYFUNCTION("""COMPUTED_VALUE"""),1.375)</f>
        <v>1.375</v>
      </c>
      <c r="R281" s="57">
        <f>IFERROR(__xludf.DUMMYFUNCTION("""COMPUTED_VALUE"""),2.7291666666666665)</f>
        <v>2.729166667</v>
      </c>
      <c r="S281" s="31">
        <f>IFERROR(__xludf.DUMMYFUNCTION("""COMPUTED_VALUE"""),354.3194444444445)</f>
        <v>354.3194444</v>
      </c>
      <c r="T281" s="57">
        <f>IFERROR(__xludf.DUMMYFUNCTION("""COMPUTED_VALUE"""),0.7083333333333331)</f>
        <v>0.7083333333</v>
      </c>
      <c r="U281" s="57">
        <f>IFERROR(__xludf.DUMMYFUNCTION("""COMPUTED_VALUE"""),0.5347222222222222)</f>
        <v>0.5347222222</v>
      </c>
      <c r="V281" s="57">
        <f>IFERROR(__xludf.DUMMYFUNCTION("""COMPUTED_VALUE"""),1.4652777777777777)</f>
        <v>1.465277778</v>
      </c>
      <c r="W281" s="57">
        <f>IFERROR(__xludf.DUMMYFUNCTION("""COMPUTED_VALUE"""),2.673611111111111)</f>
        <v>2.673611111</v>
      </c>
      <c r="X281" s="31">
        <f>IFERROR(__xludf.DUMMYFUNCTION("""COMPUTED_VALUE"""),363.23077200391594)</f>
        <v>363.230772</v>
      </c>
      <c r="Y281" s="57">
        <f>IFERROR(__xludf.DUMMYFUNCTION("""COMPUTED_VALUE"""),0.7746166878774022)</f>
        <v>0.7746166879</v>
      </c>
      <c r="Z281" s="57">
        <f>IFERROR(__xludf.DUMMYFUNCTION("""COMPUTED_VALUE"""),0.601334526419628)</f>
        <v>0.6013345264</v>
      </c>
      <c r="AA281" s="57">
        <f>IFERROR(__xludf.DUMMYFUNCTION("""COMPUTED_VALUE"""),1.43489538020329)</f>
        <v>1.43489538</v>
      </c>
      <c r="AB281" s="57">
        <f>IFERROR(__xludf.DUMMYFUNCTION("""COMPUTED_VALUE"""),2.6422969932430953)</f>
        <v>2.642296993</v>
      </c>
      <c r="AC281" s="31">
        <f>IFERROR(__xludf.DUMMYFUNCTION("""COMPUTED_VALUE"""),365.20386466708527)</f>
        <v>365.2038647</v>
      </c>
      <c r="AD281" s="57">
        <f>IFERROR(__xludf.DUMMYFUNCTION("""COMPUTED_VALUE"""),0.7816582281951159)</f>
        <v>0.7816582282</v>
      </c>
      <c r="AE281" s="57">
        <f>IFERROR(__xludf.DUMMYFUNCTION("""COMPUTED_VALUE"""),0.5855246266475067)</f>
        <v>0.5855246266</v>
      </c>
      <c r="AF281" s="57">
        <f>IFERROR(__xludf.DUMMYFUNCTION("""COMPUTED_VALUE"""),1.4746636218705822)</f>
        <v>1.474663622</v>
      </c>
      <c r="AG281" s="57">
        <f>IFERROR(__xludf.DUMMYFUNCTION("""COMPUTED_VALUE"""),2.6653824508141066)</f>
        <v>2.665382451</v>
      </c>
      <c r="AH281" s="57">
        <f>IFERROR(__xludf.DUMMYFUNCTION("""COMPUTED_VALUE"""),0.9215172653593174)</f>
        <v>0.9215172654</v>
      </c>
      <c r="AI281" s="57">
        <f>IFERROR(__xludf.DUMMYFUNCTION("""COMPUTED_VALUE"""),0.8795404119105463)</f>
        <v>0.8795404119</v>
      </c>
      <c r="AJ281" s="57">
        <f>IFERROR(__xludf.DUMMYFUNCTION("""COMPUTED_VALUE"""),0.8539350477243144)</f>
        <v>0.8539350477</v>
      </c>
      <c r="AK281" s="57">
        <f>IFERROR(__xludf.DUMMYFUNCTION("""COMPUTED_VALUE"""),0.9324160300746005)</f>
        <v>0.9324160301</v>
      </c>
      <c r="AL281" s="57">
        <f>IFERROR(__xludf.DUMMYFUNCTION("""COMPUTED_VALUE"""),1.0239306054682988)</f>
        <v>1.023930605</v>
      </c>
      <c r="AM281" s="57">
        <f>IFERROR(__xludf.DUMMYFUNCTION("""COMPUTED_VALUE"""),0.9754664850934619)</f>
        <v>0.9754664851</v>
      </c>
      <c r="AN281" s="57">
        <f>IFERROR(__xludf.DUMMYFUNCTION("""COMPUTED_VALUE"""),0.9144307686867705)</f>
        <v>0.9144307687</v>
      </c>
      <c r="AO281" s="57">
        <f>IFERROR(__xludf.DUMMYFUNCTION("""COMPUTED_VALUE"""),0.8892258779917089)</f>
        <v>0.889225878</v>
      </c>
      <c r="AP281" s="35">
        <f>IFERROR(__xludf.DUMMYFUNCTION("""COMPUTED_VALUE"""),1.0211739461940308)</f>
        <v>1.021173946</v>
      </c>
      <c r="AQ281" s="57">
        <f>IFERROR(__xludf.DUMMYFUNCTION("""COMPUTED_VALUE"""),1.0118510969615047)</f>
        <v>1.011851097</v>
      </c>
      <c r="AR281" s="36" t="b">
        <f>IFERROR(__xludf.DUMMYFUNCTION("""COMPUTED_VALUE"""),TRUE)</f>
        <v>1</v>
      </c>
      <c r="AS281" s="57"/>
      <c r="AT281" s="37"/>
      <c r="AU281" s="30"/>
      <c r="AV281" s="30"/>
      <c r="AW281" s="30"/>
      <c r="AX281" s="30"/>
      <c r="AY281" s="30"/>
      <c r="AZ281" s="30"/>
    </row>
    <row r="282">
      <c r="A282" s="30" t="str">
        <f>IFERROR(__xludf.DUMMYFUNCTION("""COMPUTED_VALUE"""),"Elite")</f>
        <v>Elite</v>
      </c>
      <c r="B282" s="30" t="str">
        <f>IFERROR(__xludf.DUMMYFUNCTION("""COMPUTED_VALUE"""),"RSC005872")</f>
        <v>RSC005872</v>
      </c>
      <c r="C282" s="30" t="str">
        <f>IFERROR(__xludf.DUMMYFUNCTION("""COMPUTED_VALUE"""),"Ditto")</f>
        <v>Ditto</v>
      </c>
      <c r="D282" s="31" t="str">
        <f>IFERROR(__xludf.DUMMYFUNCTION("""COMPUTED_VALUE"""),"Pixel Picassos")</f>
        <v>Pixel Picassos</v>
      </c>
      <c r="E282" s="31">
        <f>IFERROR(__xludf.DUMMYFUNCTION("""COMPUTED_VALUE"""),50.803533695226236)</f>
        <v>50.8035337</v>
      </c>
      <c r="F282" s="31">
        <f>IFERROR(__xludf.DUMMYFUNCTION("""COMPUTED_VALUE"""),2.05263083047956)</f>
        <v>2.05263083</v>
      </c>
      <c r="G282" s="31">
        <f>IFERROR(__xludf.DUMMYFUNCTION("""COMPUTED_VALUE"""),42.67105104334328)</f>
        <v>42.67105104</v>
      </c>
      <c r="H282" s="31">
        <f>IFERROR(__xludf.DUMMYFUNCTION("""COMPUTED_VALUE"""),-2.599423336979389)</f>
        <v>-2.599423337</v>
      </c>
      <c r="I282" s="54">
        <f>IFERROR(__xludf.DUMMYFUNCTION("""COMPUTED_VALUE"""),40.0)</f>
        <v>40</v>
      </c>
      <c r="J282" s="55">
        <f>IFERROR(__xludf.DUMMYFUNCTION("""COMPUTED_VALUE"""),10.0)</f>
        <v>10</v>
      </c>
      <c r="K282" s="54">
        <f>IFERROR(__xludf.DUMMYFUNCTION("""COMPUTED_VALUE"""),30.0)</f>
        <v>30</v>
      </c>
      <c r="L282" s="56">
        <f>IFERROR(__xludf.DUMMYFUNCTION("""COMPUTED_VALUE"""),0.25)</f>
        <v>0.25</v>
      </c>
      <c r="M282" s="56">
        <f>IFERROR(__xludf.DUMMYFUNCTION("""COMPUTED_VALUE"""),0.2830188679245283)</f>
        <v>0.2830188679</v>
      </c>
      <c r="N282" s="31">
        <f>IFERROR(__xludf.DUMMYFUNCTION("""COMPUTED_VALUE"""),366.25)</f>
        <v>366.25</v>
      </c>
      <c r="O282" s="57">
        <f>IFERROR(__xludf.DUMMYFUNCTION("""COMPUTED_VALUE"""),0.75)</f>
        <v>0.75</v>
      </c>
      <c r="P282" s="57">
        <f>IFERROR(__xludf.DUMMYFUNCTION("""COMPUTED_VALUE"""),0.45)</f>
        <v>0.45</v>
      </c>
      <c r="Q282" s="57">
        <f>IFERROR(__xludf.DUMMYFUNCTION("""COMPUTED_VALUE"""),1.65)</f>
        <v>1.65</v>
      </c>
      <c r="R282" s="57">
        <f>IFERROR(__xludf.DUMMYFUNCTION("""COMPUTED_VALUE"""),2.65)</f>
        <v>2.65</v>
      </c>
      <c r="S282" s="31">
        <f>IFERROR(__xludf.DUMMYFUNCTION("""COMPUTED_VALUE"""),387.4666666666666)</f>
        <v>387.4666667</v>
      </c>
      <c r="T282" s="57">
        <f>IFERROR(__xludf.DUMMYFUNCTION("""COMPUTED_VALUE"""),0.9666666666666665)</f>
        <v>0.9666666667</v>
      </c>
      <c r="U282" s="57">
        <f>IFERROR(__xludf.DUMMYFUNCTION("""COMPUTED_VALUE"""),0.7166666666666665)</f>
        <v>0.7166666667</v>
      </c>
      <c r="V282" s="57">
        <f>IFERROR(__xludf.DUMMYFUNCTION("""COMPUTED_VALUE"""),1.2666666666666662)</f>
        <v>1.266666667</v>
      </c>
      <c r="W282" s="57">
        <f>IFERROR(__xludf.DUMMYFUNCTION("""COMPUTED_VALUE"""),3.1666666666666665)</f>
        <v>3.166666667</v>
      </c>
      <c r="X282" s="31">
        <f>IFERROR(__xludf.DUMMYFUNCTION("""COMPUTED_VALUE"""),368.3277018497583)</f>
        <v>368.3277018</v>
      </c>
      <c r="Y282" s="57">
        <f>IFERROR(__xludf.DUMMYFUNCTION("""COMPUTED_VALUE"""),0.8554566159418723)</f>
        <v>0.8554566159</v>
      </c>
      <c r="Z282" s="57">
        <f>IFERROR(__xludf.DUMMYFUNCTION("""COMPUTED_VALUE"""),0.6436323297545832)</f>
        <v>0.6436323298</v>
      </c>
      <c r="AA282" s="57">
        <f>IFERROR(__xludf.DUMMYFUNCTION("""COMPUTED_VALUE"""),1.325842344997133)</f>
        <v>1.325842345</v>
      </c>
      <c r="AB282" s="57">
        <f>IFERROR(__xludf.DUMMYFUNCTION("""COMPUTED_VALUE"""),2.825474915340746)</f>
        <v>2.825474915</v>
      </c>
      <c r="AC282" s="31">
        <f>IFERROR(__xludf.DUMMYFUNCTION("""COMPUTED_VALUE"""),353.79182317037055)</f>
        <v>353.7918232</v>
      </c>
      <c r="AD282" s="57">
        <f>IFERROR(__xludf.DUMMYFUNCTION("""COMPUTED_VALUE"""),0.7031505302784837)</f>
        <v>0.7031505303</v>
      </c>
      <c r="AE282" s="57">
        <f>IFERROR(__xludf.DUMMYFUNCTION("""COMPUTED_VALUE"""),0.5207266694859587)</f>
        <v>0.5207266695</v>
      </c>
      <c r="AF282" s="57">
        <f>IFERROR(__xludf.DUMMYFUNCTION("""COMPUTED_VALUE"""),1.5154245284588517)</f>
        <v>1.515424528</v>
      </c>
      <c r="AG282" s="57">
        <f>IFERROR(__xludf.DUMMYFUNCTION("""COMPUTED_VALUE"""),2.4847400714824017)</f>
        <v>2.484740071</v>
      </c>
      <c r="AH282" s="57">
        <f>IFERROR(__xludf.DUMMYFUNCTION("""COMPUTED_VALUE"""),1.0352132978031834)</f>
        <v>1.035213298</v>
      </c>
      <c r="AI282" s="57">
        <f>IFERROR(__xludf.DUMMYFUNCTION("""COMPUTED_VALUE"""),1.0666279376948795)</f>
        <v>1.066627938</v>
      </c>
      <c r="AJ282" s="57">
        <f>IFERROR(__xludf.DUMMYFUNCTION("""COMPUTED_VALUE"""),0.8641769787674264)</f>
        <v>0.8641769788</v>
      </c>
      <c r="AK282" s="57">
        <f>IFERROR(__xludf.DUMMYFUNCTION("""COMPUTED_VALUE"""),1.0888038097667643)</f>
        <v>1.08880381</v>
      </c>
      <c r="AL282" s="57">
        <f>IFERROR(__xludf.DUMMYFUNCTION("""COMPUTED_VALUE"""),1.0665099462170318)</f>
        <v>1.066509946</v>
      </c>
      <c r="AM282" s="57">
        <f>IFERROR(__xludf.DUMMYFUNCTION("""COMPUTED_VALUE"""),1.0519617849018457)</f>
        <v>1.051961785</v>
      </c>
      <c r="AN282" s="57">
        <f>IFERROR(__xludf.DUMMYFUNCTION("""COMPUTED_VALUE"""),1.1300008073493593)</f>
        <v>1.130000807</v>
      </c>
      <c r="AO282" s="57">
        <f>IFERROR(__xludf.DUMMYFUNCTION("""COMPUTED_VALUE"""),1.1134721385731683)</f>
        <v>1.113472139</v>
      </c>
      <c r="AP282" s="35">
        <f>IFERROR(__xludf.DUMMYFUNCTION("""COMPUTED_VALUE"""),0.9553674850152755)</f>
        <v>0.955367485</v>
      </c>
      <c r="AQ282" s="57">
        <f>IFERROR(__xludf.DUMMYFUNCTION("""COMPUTED_VALUE"""),1.1207555407671257)</f>
        <v>1.120755541</v>
      </c>
      <c r="AR282" s="36" t="b">
        <f>IFERROR(__xludf.DUMMYFUNCTION("""COMPUTED_VALUE"""),TRUE)</f>
        <v>1</v>
      </c>
      <c r="AS282" s="57"/>
      <c r="AT282" s="37"/>
      <c r="AU282" s="30"/>
      <c r="AV282" s="30"/>
      <c r="AW282" s="30"/>
      <c r="AX282" s="30"/>
      <c r="AY282" s="30"/>
      <c r="AZ282" s="30"/>
    </row>
    <row r="283">
      <c r="A283" s="30" t="str">
        <f>IFERROR(__xludf.DUMMYFUNCTION("""COMPUTED_VALUE"""),"Elite")</f>
        <v>Elite</v>
      </c>
      <c r="B283" s="30" t="str">
        <f>IFERROR(__xludf.DUMMYFUNCTION("""COMPUTED_VALUE"""),"RSC007884")</f>
        <v>RSC007884</v>
      </c>
      <c r="C283" s="30" t="str">
        <f>IFERROR(__xludf.DUMMYFUNCTION("""COMPUTED_VALUE"""),"Luis.")</f>
        <v>Luis.</v>
      </c>
      <c r="D283" s="31" t="str">
        <f>IFERROR(__xludf.DUMMYFUNCTION("""COMPUTED_VALUE"""),"Fire")</f>
        <v>Fire</v>
      </c>
      <c r="E283" s="31">
        <f>IFERROR(__xludf.DUMMYFUNCTION("""COMPUTED_VALUE"""),49.879188136188475)</f>
        <v>49.87918814</v>
      </c>
      <c r="F283" s="31">
        <f>IFERROR(__xludf.DUMMYFUNCTION("""COMPUTED_VALUE"""),-2.007741332236129)</f>
        <v>-2.007741332</v>
      </c>
      <c r="G283" s="31">
        <f>IFERROR(__xludf.DUMMYFUNCTION("""COMPUTED_VALUE"""),45.17184482201284)</f>
        <v>45.17184482</v>
      </c>
      <c r="H283" s="31">
        <f>IFERROR(__xludf.DUMMYFUNCTION("""COMPUTED_VALUE"""),-2.3616650875987544)</f>
        <v>-2.361665088</v>
      </c>
      <c r="I283" s="54">
        <f>IFERROR(__xludf.DUMMYFUNCTION("""COMPUTED_VALUE"""),40.0)</f>
        <v>40</v>
      </c>
      <c r="J283" s="55">
        <f>IFERROR(__xludf.DUMMYFUNCTION("""COMPUTED_VALUE"""),18.0)</f>
        <v>18</v>
      </c>
      <c r="K283" s="54">
        <f>IFERROR(__xludf.DUMMYFUNCTION("""COMPUTED_VALUE"""),22.0)</f>
        <v>22</v>
      </c>
      <c r="L283" s="56">
        <f>IFERROR(__xludf.DUMMYFUNCTION("""COMPUTED_VALUE"""),0.45)</f>
        <v>0.45</v>
      </c>
      <c r="M283" s="56">
        <f>IFERROR(__xludf.DUMMYFUNCTION("""COMPUTED_VALUE"""),0.27522935779816515)</f>
        <v>0.2752293578</v>
      </c>
      <c r="N283" s="31">
        <f>IFERROR(__xludf.DUMMYFUNCTION("""COMPUTED_VALUE"""),348.3)</f>
        <v>348.3</v>
      </c>
      <c r="O283" s="57">
        <f>IFERROR(__xludf.DUMMYFUNCTION("""COMPUTED_VALUE"""),0.75)</f>
        <v>0.75</v>
      </c>
      <c r="P283" s="57">
        <f>IFERROR(__xludf.DUMMYFUNCTION("""COMPUTED_VALUE"""),0.475)</f>
        <v>0.475</v>
      </c>
      <c r="Q283" s="57">
        <f>IFERROR(__xludf.DUMMYFUNCTION("""COMPUTED_VALUE"""),1.175)</f>
        <v>1.175</v>
      </c>
      <c r="R283" s="57">
        <f>IFERROR(__xludf.DUMMYFUNCTION("""COMPUTED_VALUE"""),2.725)</f>
        <v>2.725</v>
      </c>
      <c r="S283" s="31">
        <f>IFERROR(__xludf.DUMMYFUNCTION("""COMPUTED_VALUE"""),364.9666666666667)</f>
        <v>364.9666667</v>
      </c>
      <c r="T283" s="57">
        <f>IFERROR(__xludf.DUMMYFUNCTION("""COMPUTED_VALUE"""),0.8666666666666665)</f>
        <v>0.8666666667</v>
      </c>
      <c r="U283" s="57">
        <f>IFERROR(__xludf.DUMMYFUNCTION("""COMPUTED_VALUE"""),0.6833333333333333)</f>
        <v>0.6833333333</v>
      </c>
      <c r="V283" s="57">
        <f>IFERROR(__xludf.DUMMYFUNCTION("""COMPUTED_VALUE"""),1.2999999999999998)</f>
        <v>1.3</v>
      </c>
      <c r="W283" s="57">
        <f>IFERROR(__xludf.DUMMYFUNCTION("""COMPUTED_VALUE"""),2.7750000000000004)</f>
        <v>2.775</v>
      </c>
      <c r="X283" s="31">
        <f>IFERROR(__xludf.DUMMYFUNCTION("""COMPUTED_VALUE"""),366.54669168055057)</f>
        <v>366.5466917</v>
      </c>
      <c r="Y283" s="57">
        <f>IFERROR(__xludf.DUMMYFUNCTION("""COMPUTED_VALUE"""),0.7889010549850042)</f>
        <v>0.788901055</v>
      </c>
      <c r="Z283" s="57">
        <f>IFERROR(__xludf.DUMMYFUNCTION("""COMPUTED_VALUE"""),0.6061209695888472)</f>
        <v>0.6061209696</v>
      </c>
      <c r="AA283" s="57">
        <f>IFERROR(__xludf.DUMMYFUNCTION("""COMPUTED_VALUE"""),1.4703844208780634)</f>
        <v>1.470384421</v>
      </c>
      <c r="AB283" s="57">
        <f>IFERROR(__xludf.DUMMYFUNCTION("""COMPUTED_VALUE"""),2.710420438024174)</f>
        <v>2.710420438</v>
      </c>
      <c r="AC283" s="31">
        <f>IFERROR(__xludf.DUMMYFUNCTION("""COMPUTED_VALUE"""),360.38599901223995)</f>
        <v>360.385999</v>
      </c>
      <c r="AD283" s="57">
        <f>IFERROR(__xludf.DUMMYFUNCTION("""COMPUTED_VALUE"""),0.7633428898058418)</f>
        <v>0.7633428898</v>
      </c>
      <c r="AE283" s="57">
        <f>IFERROR(__xludf.DUMMYFUNCTION("""COMPUTED_VALUE"""),0.5621330827416959)</f>
        <v>0.5621330827</v>
      </c>
      <c r="AF283" s="57">
        <f>IFERROR(__xludf.DUMMYFUNCTION("""COMPUTED_VALUE"""),1.4468702635345099)</f>
        <v>1.446870264</v>
      </c>
      <c r="AG283" s="57">
        <f>IFERROR(__xludf.DUMMYFUNCTION("""COMPUTED_VALUE"""),2.6701028302557543)</f>
        <v>2.67010283</v>
      </c>
      <c r="AH283" s="57">
        <f>IFERROR(__xludf.DUMMYFUNCTION("""COMPUTED_VALUE"""),0.9664637387540977)</f>
        <v>0.9664637388</v>
      </c>
      <c r="AI283" s="57">
        <f>IFERROR(__xludf.DUMMYFUNCTION("""COMPUTED_VALUE"""),0.9825204505288108)</f>
        <v>0.9825204505</v>
      </c>
      <c r="AJ283" s="57">
        <f>IFERROR(__xludf.DUMMYFUNCTION("""COMPUTED_VALUE"""),0.8449956328549084)</f>
        <v>0.8449956329</v>
      </c>
      <c r="AK283" s="57">
        <f>IFERROR(__xludf.DUMMYFUNCTION("""COMPUTED_VALUE"""),0.8120976908666522)</f>
        <v>0.8120976909</v>
      </c>
      <c r="AL283" s="57">
        <f>IFERROR(__xludf.DUMMYFUNCTION("""COMPUTED_VALUE"""),1.0205599459025283)</f>
        <v>1.020559946</v>
      </c>
      <c r="AM283" s="57">
        <f>IFERROR(__xludf.DUMMYFUNCTION("""COMPUTED_VALUE"""),0.9956894304334334)</f>
        <v>0.9956894304</v>
      </c>
      <c r="AN283" s="57">
        <f>IFERROR(__xludf.DUMMYFUNCTION("""COMPUTED_VALUE"""),1.098574607284738)</f>
        <v>1.098574607</v>
      </c>
      <c r="AO283" s="57">
        <f>IFERROR(__xludf.DUMMYFUNCTION("""COMPUTED_VALUE"""),1.127387712384975)</f>
        <v>1.127387712</v>
      </c>
      <c r="AP283" s="35">
        <f>IFERROR(__xludf.DUMMYFUNCTION("""COMPUTED_VALUE"""),0.8841225339042181)</f>
        <v>0.8841225339</v>
      </c>
      <c r="AQ283" s="57">
        <f>IFERROR(__xludf.DUMMYFUNCTION("""COMPUTED_VALUE"""),1.023826400166501)</f>
        <v>1.0238264</v>
      </c>
      <c r="AR283" s="36" t="b">
        <f>IFERROR(__xludf.DUMMYFUNCTION("""COMPUTED_VALUE"""),TRUE)</f>
        <v>1</v>
      </c>
      <c r="AS283" s="57"/>
      <c r="AT283" s="37"/>
      <c r="AU283" s="30"/>
      <c r="AV283" s="30"/>
      <c r="AW283" s="30"/>
      <c r="AX283" s="30"/>
      <c r="AY283" s="30"/>
      <c r="AZ283" s="30"/>
    </row>
    <row r="284">
      <c r="A284" s="30" t="str">
        <f>IFERROR(__xludf.DUMMYFUNCTION("""COMPUTED_VALUE"""),"Elite")</f>
        <v>Elite</v>
      </c>
      <c r="B284" s="30" t="str">
        <f>IFERROR(__xludf.DUMMYFUNCTION("""COMPUTED_VALUE"""),"RSC005508")</f>
        <v>RSC005508</v>
      </c>
      <c r="C284" s="30" t="str">
        <f>IFERROR(__xludf.DUMMYFUNCTION("""COMPUTED_VALUE"""),"Lil Windex")</f>
        <v>Lil Windex</v>
      </c>
      <c r="D284" s="31" t="str">
        <f>IFERROR(__xludf.DUMMYFUNCTION("""COMPUTED_VALUE"""),"Cyclones")</f>
        <v>Cyclones</v>
      </c>
      <c r="E284" s="31">
        <f>IFERROR(__xludf.DUMMYFUNCTION("""COMPUTED_VALUE"""),49.7308032942357)</f>
        <v>49.73080329</v>
      </c>
      <c r="F284" s="31">
        <f>IFERROR(__xludf.DUMMYFUNCTION("""COMPUTED_VALUE"""),-2.017331601430498)</f>
        <v>-2.017331601</v>
      </c>
      <c r="G284" s="31">
        <f>IFERROR(__xludf.DUMMYFUNCTION("""COMPUTED_VALUE"""),52.390321385252165)</f>
        <v>52.39032139</v>
      </c>
      <c r="H284" s="31">
        <f>IFERROR(__xludf.DUMMYFUNCTION("""COMPUTED_VALUE"""),2.16490502699386)</f>
        <v>2.164905027</v>
      </c>
      <c r="I284" s="54">
        <f>IFERROR(__xludf.DUMMYFUNCTION("""COMPUTED_VALUE"""),40.0)</f>
        <v>40</v>
      </c>
      <c r="J284" s="55">
        <f>IFERROR(__xludf.DUMMYFUNCTION("""COMPUTED_VALUE"""),24.0)</f>
        <v>24</v>
      </c>
      <c r="K284" s="54">
        <f>IFERROR(__xludf.DUMMYFUNCTION("""COMPUTED_VALUE"""),16.0)</f>
        <v>16</v>
      </c>
      <c r="L284" s="56">
        <f>IFERROR(__xludf.DUMMYFUNCTION("""COMPUTED_VALUE"""),0.6)</f>
        <v>0.6</v>
      </c>
      <c r="M284" s="56">
        <f>IFERROR(__xludf.DUMMYFUNCTION("""COMPUTED_VALUE"""),0.19811320754716982)</f>
        <v>0.1981132075</v>
      </c>
      <c r="N284" s="31">
        <f>IFERROR(__xludf.DUMMYFUNCTION("""COMPUTED_VALUE"""),382.225)</f>
        <v>382.225</v>
      </c>
      <c r="O284" s="57">
        <f>IFERROR(__xludf.DUMMYFUNCTION("""COMPUTED_VALUE"""),0.525)</f>
        <v>0.525</v>
      </c>
      <c r="P284" s="57">
        <f>IFERROR(__xludf.DUMMYFUNCTION("""COMPUTED_VALUE"""),0.7)</f>
        <v>0.7</v>
      </c>
      <c r="Q284" s="57">
        <f>IFERROR(__xludf.DUMMYFUNCTION("""COMPUTED_VALUE"""),1.875)</f>
        <v>1.875</v>
      </c>
      <c r="R284" s="57">
        <f>IFERROR(__xludf.DUMMYFUNCTION("""COMPUTED_VALUE"""),2.65)</f>
        <v>2.65</v>
      </c>
      <c r="S284" s="31">
        <f>IFERROR(__xludf.DUMMYFUNCTION("""COMPUTED_VALUE"""),357.26666666666665)</f>
        <v>357.2666667</v>
      </c>
      <c r="T284" s="57">
        <f>IFERROR(__xludf.DUMMYFUNCTION("""COMPUTED_VALUE"""),0.65)</f>
        <v>0.65</v>
      </c>
      <c r="U284" s="57">
        <f>IFERROR(__xludf.DUMMYFUNCTION("""COMPUTED_VALUE"""),0.4583333333333333)</f>
        <v>0.4583333333</v>
      </c>
      <c r="V284" s="57">
        <f>IFERROR(__xludf.DUMMYFUNCTION("""COMPUTED_VALUE"""),1.6666666666666665)</f>
        <v>1.666666667</v>
      </c>
      <c r="W284" s="57">
        <f>IFERROR(__xludf.DUMMYFUNCTION("""COMPUTED_VALUE"""),2.658333333333334)</f>
        <v>2.658333333</v>
      </c>
      <c r="X284" s="31">
        <f>IFERROR(__xludf.DUMMYFUNCTION("""COMPUTED_VALUE"""),354.8408684120364)</f>
        <v>354.8408684</v>
      </c>
      <c r="Y284" s="57">
        <f>IFERROR(__xludf.DUMMYFUNCTION("""COMPUTED_VALUE"""),0.7205479293599046)</f>
        <v>0.7205479294</v>
      </c>
      <c r="Z284" s="57">
        <f>IFERROR(__xludf.DUMMYFUNCTION("""COMPUTED_VALUE"""),0.49171061665100896)</f>
        <v>0.4917106167</v>
      </c>
      <c r="AA284" s="57">
        <f>IFERROR(__xludf.DUMMYFUNCTION("""COMPUTED_VALUE"""),1.5485624232126565)</f>
        <v>1.548562423</v>
      </c>
      <c r="AB284" s="57">
        <f>IFERROR(__xludf.DUMMYFUNCTION("""COMPUTED_VALUE"""),2.547279221105584)</f>
        <v>2.547279221</v>
      </c>
      <c r="AC284" s="31">
        <f>IFERROR(__xludf.DUMMYFUNCTION("""COMPUTED_VALUE"""),371.18848835871074)</f>
        <v>371.1884884</v>
      </c>
      <c r="AD284" s="57">
        <f>IFERROR(__xludf.DUMMYFUNCTION("""COMPUTED_VALUE"""),0.8391021005542543)</f>
        <v>0.8391021006</v>
      </c>
      <c r="AE284" s="57">
        <f>IFERROR(__xludf.DUMMYFUNCTION("""COMPUTED_VALUE"""),0.6412812760083865)</f>
        <v>0.641281276</v>
      </c>
      <c r="AF284" s="57">
        <f>IFERROR(__xludf.DUMMYFUNCTION("""COMPUTED_VALUE"""),1.3945824787199022)</f>
        <v>1.394582479</v>
      </c>
      <c r="AG284" s="57">
        <f>IFERROR(__xludf.DUMMYFUNCTION("""COMPUTED_VALUE"""),2.822240017094197)</f>
        <v>2.822240017</v>
      </c>
      <c r="AH284" s="57">
        <f>IFERROR(__xludf.DUMMYFUNCTION("""COMPUTED_VALUE"""),1.029732903868031)</f>
        <v>1.029732904</v>
      </c>
      <c r="AI284" s="57">
        <f>IFERROR(__xludf.DUMMYFUNCTION("""COMPUTED_VALUE"""),0.625668794838221)</f>
        <v>0.6256687948</v>
      </c>
      <c r="AJ284" s="57">
        <f>IFERROR(__xludf.DUMMYFUNCTION("""COMPUTED_VALUE"""),1.091564694290007)</f>
        <v>1.091564694</v>
      </c>
      <c r="AK284" s="57">
        <f>IFERROR(__xludf.DUMMYFUNCTION("""COMPUTED_VALUE"""),1.3444884247513829)</f>
        <v>1.344488425</v>
      </c>
      <c r="AL284" s="57">
        <f>IFERROR(__xludf.DUMMYFUNCTION("""COMPUTED_VALUE"""),0.9389704574908774)</f>
        <v>0.9389704575</v>
      </c>
      <c r="AM284" s="57">
        <f>IFERROR(__xludf.DUMMYFUNCTION("""COMPUTED_VALUE"""),1.006836298945739)</f>
        <v>1.006836299</v>
      </c>
      <c r="AN284" s="57">
        <f>IFERROR(__xludf.DUMMYFUNCTION("""COMPUTED_VALUE"""),0.9020912745907471)</f>
        <v>0.9020912746</v>
      </c>
      <c r="AO284" s="57">
        <f>IFERROR(__xludf.DUMMYFUNCTION("""COMPUTED_VALUE"""),0.9321200678053182)</f>
        <v>0.9321200678</v>
      </c>
      <c r="AP284" s="35">
        <f>IFERROR(__xludf.DUMMYFUNCTION("""COMPUTED_VALUE"""),1.076267021389419)</f>
        <v>1.076267021</v>
      </c>
      <c r="AQ284" s="57">
        <f>IFERROR(__xludf.DUMMYFUNCTION("""COMPUTED_VALUE"""),1.0435971491886742)</f>
        <v>1.043597149</v>
      </c>
      <c r="AR284" s="36" t="b">
        <f>IFERROR(__xludf.DUMMYFUNCTION("""COMPUTED_VALUE"""),TRUE)</f>
        <v>1</v>
      </c>
      <c r="AS284" s="57"/>
      <c r="AT284" s="37"/>
      <c r="AU284" s="30"/>
      <c r="AV284" s="30"/>
      <c r="AW284" s="30"/>
      <c r="AX284" s="30"/>
      <c r="AY284" s="30"/>
      <c r="AZ284" s="30"/>
    </row>
    <row r="285">
      <c r="A285" s="30" t="str">
        <f>IFERROR(__xludf.DUMMYFUNCTION("""COMPUTED_VALUE"""),"Elite")</f>
        <v>Elite</v>
      </c>
      <c r="B285" s="30" t="str">
        <f>IFERROR(__xludf.DUMMYFUNCTION("""COMPUTED_VALUE"""),"RSC006193")</f>
        <v>RSC006193</v>
      </c>
      <c r="C285" s="30" t="str">
        <f>IFERROR(__xludf.DUMMYFUNCTION("""COMPUTED_VALUE"""),"Saucy Rexy")</f>
        <v>Saucy Rexy</v>
      </c>
      <c r="D285" s="31" t="str">
        <f>IFERROR(__xludf.DUMMYFUNCTION("""COMPUTED_VALUE"""),"Keno")</f>
        <v>Keno</v>
      </c>
      <c r="E285" s="31">
        <f>IFERROR(__xludf.DUMMYFUNCTION("""COMPUTED_VALUE"""),49.28609247982995)</f>
        <v>49.28609248</v>
      </c>
      <c r="F285" s="31">
        <f>IFERROR(__xludf.DUMMYFUNCTION("""COMPUTED_VALUE"""),-2.046625265607564)</f>
        <v>-2.046625266</v>
      </c>
      <c r="G285" s="31">
        <f>IFERROR(__xludf.DUMMYFUNCTION("""COMPUTED_VALUE"""),41.46648315288611)</f>
        <v>41.46648315</v>
      </c>
      <c r="H285" s="31">
        <f>IFERROR(__xludf.DUMMYFUNCTION("""COMPUTED_VALUE"""),-2.729082116561465)</f>
        <v>-2.729082117</v>
      </c>
      <c r="I285" s="54">
        <f>IFERROR(__xludf.DUMMYFUNCTION("""COMPUTED_VALUE"""),30.0)</f>
        <v>30</v>
      </c>
      <c r="J285" s="55">
        <f>IFERROR(__xludf.DUMMYFUNCTION("""COMPUTED_VALUE"""),13.0)</f>
        <v>13</v>
      </c>
      <c r="K285" s="54">
        <f>IFERROR(__xludf.DUMMYFUNCTION("""COMPUTED_VALUE"""),17.0)</f>
        <v>17</v>
      </c>
      <c r="L285" s="56">
        <f>IFERROR(__xludf.DUMMYFUNCTION("""COMPUTED_VALUE"""),0.43333333333333335)</f>
        <v>0.4333333333</v>
      </c>
      <c r="M285" s="56">
        <f>IFERROR(__xludf.DUMMYFUNCTION("""COMPUTED_VALUE"""),0.4642857142857143)</f>
        <v>0.4642857143</v>
      </c>
      <c r="N285" s="31">
        <f>IFERROR(__xludf.DUMMYFUNCTION("""COMPUTED_VALUE"""),354.03333333333336)</f>
        <v>354.0333333</v>
      </c>
      <c r="O285" s="57">
        <f>IFERROR(__xludf.DUMMYFUNCTION("""COMPUTED_VALUE"""),0.8666666666666667)</f>
        <v>0.8666666667</v>
      </c>
      <c r="P285" s="57">
        <f>IFERROR(__xludf.DUMMYFUNCTION("""COMPUTED_VALUE"""),0.4)</f>
        <v>0.4</v>
      </c>
      <c r="Q285" s="57">
        <f>IFERROR(__xludf.DUMMYFUNCTION("""COMPUTED_VALUE"""),1.6333333333333333)</f>
        <v>1.633333333</v>
      </c>
      <c r="R285" s="57">
        <f>IFERROR(__xludf.DUMMYFUNCTION("""COMPUTED_VALUE"""),1.8666666666666667)</f>
        <v>1.866666667</v>
      </c>
      <c r="S285" s="31">
        <f>IFERROR(__xludf.DUMMYFUNCTION("""COMPUTED_VALUE"""),341.23333333333335)</f>
        <v>341.2333333</v>
      </c>
      <c r="T285" s="57">
        <f>IFERROR(__xludf.DUMMYFUNCTION("""COMPUTED_VALUE"""),0.6999999999999998)</f>
        <v>0.7</v>
      </c>
      <c r="U285" s="57">
        <f>IFERROR(__xludf.DUMMYFUNCTION("""COMPUTED_VALUE"""),0.5111111111111112)</f>
        <v>0.5111111111</v>
      </c>
      <c r="V285" s="57">
        <f>IFERROR(__xludf.DUMMYFUNCTION("""COMPUTED_VALUE"""),1.1777777777777783)</f>
        <v>1.177777778</v>
      </c>
      <c r="W285" s="57">
        <f>IFERROR(__xludf.DUMMYFUNCTION("""COMPUTED_VALUE"""),2.9333333333333327)</f>
        <v>2.933333333</v>
      </c>
      <c r="X285" s="31">
        <f>IFERROR(__xludf.DUMMYFUNCTION("""COMPUTED_VALUE"""),366.4183095117142)</f>
        <v>366.4183095</v>
      </c>
      <c r="Y285" s="57">
        <f>IFERROR(__xludf.DUMMYFUNCTION("""COMPUTED_VALUE"""),0.8099368054704053)</f>
        <v>0.8099368055</v>
      </c>
      <c r="Z285" s="57">
        <f>IFERROR(__xludf.DUMMYFUNCTION("""COMPUTED_VALUE"""),0.6048455669244274)</f>
        <v>0.6048455669</v>
      </c>
      <c r="AA285" s="57">
        <f>IFERROR(__xludf.DUMMYFUNCTION("""COMPUTED_VALUE"""),1.3810617616963483)</f>
        <v>1.381061762</v>
      </c>
      <c r="AB285" s="57">
        <f>IFERROR(__xludf.DUMMYFUNCTION("""COMPUTED_VALUE"""),2.806567863718776)</f>
        <v>2.806567864</v>
      </c>
      <c r="AC285" s="31">
        <f>IFERROR(__xludf.DUMMYFUNCTION("""COMPUTED_VALUE"""),353.16946727393463)</f>
        <v>353.1694673</v>
      </c>
      <c r="AD285" s="57">
        <f>IFERROR(__xludf.DUMMYFUNCTION("""COMPUTED_VALUE"""),0.7189501926971958)</f>
        <v>0.7189501927</v>
      </c>
      <c r="AE285" s="57">
        <f>IFERROR(__xludf.DUMMYFUNCTION("""COMPUTED_VALUE"""),0.5397282695527036)</f>
        <v>0.5397282696</v>
      </c>
      <c r="AF285" s="57">
        <f>IFERROR(__xludf.DUMMYFUNCTION("""COMPUTED_VALUE"""),1.4654179487508814)</f>
        <v>1.465417949</v>
      </c>
      <c r="AG285" s="57">
        <f>IFERROR(__xludf.DUMMYFUNCTION("""COMPUTED_VALUE"""),2.532499939516741)</f>
        <v>2.53249994</v>
      </c>
      <c r="AH285" s="57">
        <f>IFERROR(__xludf.DUMMYFUNCTION("""COMPUTED_VALUE"""),1.0024460383454628)</f>
        <v>1.002446038</v>
      </c>
      <c r="AI285" s="57">
        <f>IFERROR(__xludf.DUMMYFUNCTION("""COMPUTED_VALUE"""),1.2054613455423127)</f>
        <v>1.205461346</v>
      </c>
      <c r="AJ285" s="57">
        <f>IFERROR(__xludf.DUMMYFUNCTION("""COMPUTED_VALUE"""),0.7411136724994922)</f>
        <v>0.7411136725</v>
      </c>
      <c r="AK285" s="57">
        <f>IFERROR(__xludf.DUMMYFUNCTION("""COMPUTED_VALUE"""),1.1145853199939189)</f>
        <v>1.11458532</v>
      </c>
      <c r="AL285" s="57">
        <f>IFERROR(__xludf.DUMMYFUNCTION("""COMPUTED_VALUE"""),0.7370845848955359)</f>
        <v>0.7370845849</v>
      </c>
      <c r="AM285" s="57">
        <f>IFERROR(__xludf.DUMMYFUNCTION("""COMPUTED_VALUE"""),0.9312671459787527)</f>
        <v>0.931267146</v>
      </c>
      <c r="AN285" s="57">
        <f>IFERROR(__xludf.DUMMYFUNCTION("""COMPUTED_VALUE"""),0.8642649590339891)</f>
        <v>0.864264959</v>
      </c>
      <c r="AO285" s="57">
        <f>IFERROR(__xludf.DUMMYFUNCTION("""COMPUTED_VALUE"""),0.8450274566945319)</f>
        <v>0.8450274567</v>
      </c>
      <c r="AP285" s="35">
        <f>IFERROR(__xludf.DUMMYFUNCTION("""COMPUTED_VALUE"""),0.8528060152292698)</f>
        <v>0.8528060152</v>
      </c>
      <c r="AQ285" s="57">
        <f>IFERROR(__xludf.DUMMYFUNCTION("""COMPUTED_VALUE"""),1.0451674343076776)</f>
        <v>1.045167434</v>
      </c>
      <c r="AR285" s="36" t="b">
        <f>IFERROR(__xludf.DUMMYFUNCTION("""COMPUTED_VALUE"""),TRUE)</f>
        <v>1</v>
      </c>
      <c r="AS285" s="57"/>
      <c r="AT285" s="37"/>
      <c r="AU285" s="30"/>
      <c r="AV285" s="30"/>
      <c r="AW285" s="30"/>
      <c r="AX285" s="30"/>
      <c r="AY285" s="30"/>
      <c r="AZ285" s="30"/>
    </row>
    <row r="286">
      <c r="A286" s="30" t="str">
        <f>IFERROR(__xludf.DUMMYFUNCTION("""COMPUTED_VALUE"""),"Elite")</f>
        <v>Elite</v>
      </c>
      <c r="B286" s="30" t="str">
        <f>IFERROR(__xludf.DUMMYFUNCTION("""COMPUTED_VALUE"""),"RSC007295")</f>
        <v>RSC007295</v>
      </c>
      <c r="C286" s="30" t="str">
        <f>IFERROR(__xludf.DUMMYFUNCTION("""COMPUTED_VALUE"""),"TheLegendaryChance")</f>
        <v>TheLegendaryChance</v>
      </c>
      <c r="D286" s="31" t="str">
        <f>IFERROR(__xludf.DUMMYFUNCTION("""COMPUTED_VALUE"""),"Geeky Ghouls")</f>
        <v>Geeky Ghouls</v>
      </c>
      <c r="E286" s="31">
        <f>IFERROR(__xludf.DUMMYFUNCTION("""COMPUTED_VALUE"""),49.17272231836801)</f>
        <v>49.17272232</v>
      </c>
      <c r="F286" s="31">
        <f>IFERROR(__xludf.DUMMYFUNCTION("""COMPUTED_VALUE"""),-2.0542276362226426)</f>
        <v>-2.054227636</v>
      </c>
      <c r="G286" s="31">
        <f>IFERROR(__xludf.DUMMYFUNCTION("""COMPUTED_VALUE"""),42.57329013539233)</f>
        <v>42.57329014</v>
      </c>
      <c r="H286" s="31">
        <f>IFERROR(__xludf.DUMMYFUNCTION("""COMPUTED_VALUE"""),-2.609554672623963)</f>
        <v>-2.609554673</v>
      </c>
      <c r="I286" s="54">
        <f>IFERROR(__xludf.DUMMYFUNCTION("""COMPUTED_VALUE"""),41.0)</f>
        <v>41</v>
      </c>
      <c r="J286" s="55">
        <f>IFERROR(__xludf.DUMMYFUNCTION("""COMPUTED_VALUE"""),23.0)</f>
        <v>23</v>
      </c>
      <c r="K286" s="54">
        <f>IFERROR(__xludf.DUMMYFUNCTION("""COMPUTED_VALUE"""),18.0)</f>
        <v>18</v>
      </c>
      <c r="L286" s="56">
        <f>IFERROR(__xludf.DUMMYFUNCTION("""COMPUTED_VALUE"""),0.5609756097560976)</f>
        <v>0.5609756098</v>
      </c>
      <c r="M286" s="56">
        <f>IFERROR(__xludf.DUMMYFUNCTION("""COMPUTED_VALUE"""),0.27272727272727276)</f>
        <v>0.2727272727</v>
      </c>
      <c r="N286" s="31">
        <f>IFERROR(__xludf.DUMMYFUNCTION("""COMPUTED_VALUE"""),336.0487804878049)</f>
        <v>336.0487805</v>
      </c>
      <c r="O286" s="57">
        <f>IFERROR(__xludf.DUMMYFUNCTION("""COMPUTED_VALUE"""),0.6585365853658537)</f>
        <v>0.6585365854</v>
      </c>
      <c r="P286" s="57">
        <f>IFERROR(__xludf.DUMMYFUNCTION("""COMPUTED_VALUE"""),0.5853658536585366)</f>
        <v>0.5853658537</v>
      </c>
      <c r="Q286" s="57">
        <f>IFERROR(__xludf.DUMMYFUNCTION("""COMPUTED_VALUE"""),1.2195121951219512)</f>
        <v>1.219512195</v>
      </c>
      <c r="R286" s="57">
        <f>IFERROR(__xludf.DUMMYFUNCTION("""COMPUTED_VALUE"""),2.4146341463414633)</f>
        <v>2.414634146</v>
      </c>
      <c r="S286" s="31">
        <f>IFERROR(__xludf.DUMMYFUNCTION("""COMPUTED_VALUE"""),362.9268292682927)</f>
        <v>362.9268293</v>
      </c>
      <c r="T286" s="57">
        <f>IFERROR(__xludf.DUMMYFUNCTION("""COMPUTED_VALUE"""),0.6747967479674797)</f>
        <v>0.674796748</v>
      </c>
      <c r="U286" s="57">
        <f>IFERROR(__xludf.DUMMYFUNCTION("""COMPUTED_VALUE"""),0.5447154471544715)</f>
        <v>0.5447154472</v>
      </c>
      <c r="V286" s="57">
        <f>IFERROR(__xludf.DUMMYFUNCTION("""COMPUTED_VALUE"""),1.6747967479674797)</f>
        <v>1.674796748</v>
      </c>
      <c r="W286" s="57">
        <f>IFERROR(__xludf.DUMMYFUNCTION("""COMPUTED_VALUE"""),2.3739837398373984)</f>
        <v>2.37398374</v>
      </c>
      <c r="X286" s="31">
        <f>IFERROR(__xludf.DUMMYFUNCTION("""COMPUTED_VALUE"""),352.14414362997024)</f>
        <v>352.1441436</v>
      </c>
      <c r="Y286" s="57">
        <f>IFERROR(__xludf.DUMMYFUNCTION("""COMPUTED_VALUE"""),0.7356535581366639)</f>
        <v>0.7356535581</v>
      </c>
      <c r="Z286" s="57">
        <f>IFERROR(__xludf.DUMMYFUNCTION("""COMPUTED_VALUE"""),0.6048346613030627)</f>
        <v>0.6048346613</v>
      </c>
      <c r="AA286" s="57">
        <f>IFERROR(__xludf.DUMMYFUNCTION("""COMPUTED_VALUE"""),1.3856358348096853)</f>
        <v>1.385635835</v>
      </c>
      <c r="AB286" s="57">
        <f>IFERROR(__xludf.DUMMYFUNCTION("""COMPUTED_VALUE"""),2.6046613644180936)</f>
        <v>2.604661364</v>
      </c>
      <c r="AC286" s="31">
        <f>IFERROR(__xludf.DUMMYFUNCTION("""COMPUTED_VALUE"""),358.8319884402152)</f>
        <v>358.8319884</v>
      </c>
      <c r="AD286" s="57">
        <f>IFERROR(__xludf.DUMMYFUNCTION("""COMPUTED_VALUE"""),0.7888522418831856)</f>
        <v>0.7888522419</v>
      </c>
      <c r="AE286" s="57">
        <f>IFERROR(__xludf.DUMMYFUNCTION("""COMPUTED_VALUE"""),0.59072012815284)</f>
        <v>0.5907201282</v>
      </c>
      <c r="AF286" s="57">
        <f>IFERROR(__xludf.DUMMYFUNCTION("""COMPUTED_VALUE"""),1.3853149004853986)</f>
        <v>1.3853149</v>
      </c>
      <c r="AG286" s="57">
        <f>IFERROR(__xludf.DUMMYFUNCTION("""COMPUTED_VALUE"""),2.669618958285404)</f>
        <v>2.669618958</v>
      </c>
      <c r="AH286" s="57">
        <f>IFERROR(__xludf.DUMMYFUNCTION("""COMPUTED_VALUE"""),0.9365073107014644)</f>
        <v>0.9365073107</v>
      </c>
      <c r="AI286" s="57">
        <f>IFERROR(__xludf.DUMMYFUNCTION("""COMPUTED_VALUE"""),0.8348034655942206)</f>
        <v>0.8348034656</v>
      </c>
      <c r="AJ286" s="57">
        <f>IFERROR(__xludf.DUMMYFUNCTION("""COMPUTED_VALUE"""),0.9909360215792102)</f>
        <v>0.9909360216</v>
      </c>
      <c r="AK286" s="57">
        <f>IFERROR(__xludf.DUMMYFUNCTION("""COMPUTED_VALUE"""),0.8803140677218212)</f>
        <v>0.8803140677</v>
      </c>
      <c r="AL286" s="57">
        <f>IFERROR(__xludf.DUMMYFUNCTION("""COMPUTED_VALUE"""),0.9044864394775994)</f>
        <v>0.9044864395</v>
      </c>
      <c r="AM286" s="57">
        <f>IFERROR(__xludf.DUMMYFUNCTION("""COMPUTED_VALUE"""),1.0306200907593477)</f>
        <v>1.030620091</v>
      </c>
      <c r="AN286" s="57">
        <f>IFERROR(__xludf.DUMMYFUNCTION("""COMPUTED_VALUE"""),0.9172751772949643)</f>
        <v>0.9172751773</v>
      </c>
      <c r="AO286" s="57">
        <f>IFERROR(__xludf.DUMMYFUNCTION("""COMPUTED_VALUE"""),0.9006022339740423)</f>
        <v>0.900602234</v>
      </c>
      <c r="AP286" s="35">
        <f>IFERROR(__xludf.DUMMYFUNCTION("""COMPUTED_VALUE"""),1.208684638411874)</f>
        <v>1.208684638</v>
      </c>
      <c r="AQ286" s="57">
        <f>IFERROR(__xludf.DUMMYFUNCTION("""COMPUTED_VALUE"""),0.9114366160100698)</f>
        <v>0.911436616</v>
      </c>
      <c r="AR286" s="36" t="b">
        <f>IFERROR(__xludf.DUMMYFUNCTION("""COMPUTED_VALUE"""),TRUE)</f>
        <v>1</v>
      </c>
      <c r="AS286" s="57"/>
      <c r="AT286" s="37"/>
      <c r="AU286" s="30"/>
      <c r="AV286" s="30"/>
      <c r="AW286" s="30"/>
      <c r="AX286" s="30"/>
      <c r="AY286" s="30"/>
      <c r="AZ286" s="30"/>
    </row>
    <row r="287">
      <c r="A287" s="30" t="str">
        <f>IFERROR(__xludf.DUMMYFUNCTION("""COMPUTED_VALUE"""),"Elite")</f>
        <v>Elite</v>
      </c>
      <c r="B287" s="30" t="str">
        <f>IFERROR(__xludf.DUMMYFUNCTION("""COMPUTED_VALUE"""),"RSC000488")</f>
        <v>RSC000488</v>
      </c>
      <c r="C287" s="30" t="str">
        <f>IFERROR(__xludf.DUMMYFUNCTION("""COMPUTED_VALUE"""),"theblobofglob22")</f>
        <v>theblobofglob22</v>
      </c>
      <c r="D287" s="31"/>
      <c r="E287" s="31">
        <f>IFERROR(__xludf.DUMMYFUNCTION("""COMPUTED_VALUE"""),48.731978486928504)</f>
        <v>48.73197849</v>
      </c>
      <c r="F287" s="31">
        <f>IFERROR(__xludf.DUMMYFUNCTION("""COMPUTED_VALUE"""),-2.0843147986365946)</f>
        <v>-2.084314799</v>
      </c>
      <c r="G287" s="31">
        <f>IFERROR(__xludf.DUMMYFUNCTION("""COMPUTED_VALUE"""),45.69012022889992)</f>
        <v>45.69012023</v>
      </c>
      <c r="H287" s="31">
        <f>IFERROR(__xludf.DUMMYFUNCTION("""COMPUTED_VALUE"""),-2.3171565033279893)</f>
        <v>-2.317156503</v>
      </c>
      <c r="I287" s="54">
        <f>IFERROR(__xludf.DUMMYFUNCTION("""COMPUTED_VALUE"""),4.0)</f>
        <v>4</v>
      </c>
      <c r="J287" s="55">
        <f>IFERROR(__xludf.DUMMYFUNCTION("""COMPUTED_VALUE"""),1.0)</f>
        <v>1</v>
      </c>
      <c r="K287" s="54">
        <f>IFERROR(__xludf.DUMMYFUNCTION("""COMPUTED_VALUE"""),3.0)</f>
        <v>3</v>
      </c>
      <c r="L287" s="56">
        <f>IFERROR(__xludf.DUMMYFUNCTION("""COMPUTED_VALUE"""),0.25)</f>
        <v>0.25</v>
      </c>
      <c r="M287" s="56">
        <f>IFERROR(__xludf.DUMMYFUNCTION("""COMPUTED_VALUE"""),0.4444444444444444)</f>
        <v>0.4444444444</v>
      </c>
      <c r="N287" s="31">
        <f>IFERROR(__xludf.DUMMYFUNCTION("""COMPUTED_VALUE"""),368.5)</f>
        <v>368.5</v>
      </c>
      <c r="O287" s="57">
        <f>IFERROR(__xludf.DUMMYFUNCTION("""COMPUTED_VALUE"""),1.0)</f>
        <v>1</v>
      </c>
      <c r="P287" s="57">
        <f>IFERROR(__xludf.DUMMYFUNCTION("""COMPUTED_VALUE"""),0.25)</f>
        <v>0.25</v>
      </c>
      <c r="Q287" s="57">
        <f>IFERROR(__xludf.DUMMYFUNCTION("""COMPUTED_VALUE"""),1.75)</f>
        <v>1.75</v>
      </c>
      <c r="R287" s="57">
        <f>IFERROR(__xludf.DUMMYFUNCTION("""COMPUTED_VALUE"""),2.25)</f>
        <v>2.25</v>
      </c>
      <c r="S287" s="31">
        <f>IFERROR(__xludf.DUMMYFUNCTION("""COMPUTED_VALUE"""),339.5833333333333)</f>
        <v>339.5833333</v>
      </c>
      <c r="T287" s="57">
        <f>IFERROR(__xludf.DUMMYFUNCTION("""COMPUTED_VALUE"""),0.9999999999999999)</f>
        <v>1</v>
      </c>
      <c r="U287" s="57">
        <f>IFERROR(__xludf.DUMMYFUNCTION("""COMPUTED_VALUE"""),0.6666666666666666)</f>
        <v>0.6666666667</v>
      </c>
      <c r="V287" s="57">
        <f>IFERROR(__xludf.DUMMYFUNCTION("""COMPUTED_VALUE"""),0.9166666666666666)</f>
        <v>0.9166666667</v>
      </c>
      <c r="W287" s="57">
        <f>IFERROR(__xludf.DUMMYFUNCTION("""COMPUTED_VALUE"""),3.0833333333333335)</f>
        <v>3.083333333</v>
      </c>
      <c r="X287" s="31">
        <f>IFERROR(__xludf.DUMMYFUNCTION("""COMPUTED_VALUE"""),382.28055555555557)</f>
        <v>382.2805556</v>
      </c>
      <c r="Y287" s="57">
        <f>IFERROR(__xludf.DUMMYFUNCTION("""COMPUTED_VALUE"""),0.7972222222222222)</f>
        <v>0.7972222222</v>
      </c>
      <c r="Z287" s="57">
        <f>IFERROR(__xludf.DUMMYFUNCTION("""COMPUTED_VALUE"""),0.6319444444444445)</f>
        <v>0.6319444444</v>
      </c>
      <c r="AA287" s="57">
        <f>IFERROR(__xludf.DUMMYFUNCTION("""COMPUTED_VALUE"""),1.5583333333333333)</f>
        <v>1.558333333</v>
      </c>
      <c r="AB287" s="57">
        <f>IFERROR(__xludf.DUMMYFUNCTION("""COMPUTED_VALUE"""),2.836111111111111)</f>
        <v>2.836111111</v>
      </c>
      <c r="AC287" s="31">
        <f>IFERROR(__xludf.DUMMYFUNCTION("""COMPUTED_VALUE"""),365.4805555555556)</f>
        <v>365.4805556</v>
      </c>
      <c r="AD287" s="57">
        <f>IFERROR(__xludf.DUMMYFUNCTION("""COMPUTED_VALUE"""),0.7250000000000001)</f>
        <v>0.725</v>
      </c>
      <c r="AE287" s="57">
        <f>IFERROR(__xludf.DUMMYFUNCTION("""COMPUTED_VALUE"""),0.524074074074074)</f>
        <v>0.5240740741</v>
      </c>
      <c r="AF287" s="57">
        <f>IFERROR(__xludf.DUMMYFUNCTION("""COMPUTED_VALUE"""),1.6199074074074074)</f>
        <v>1.619907407</v>
      </c>
      <c r="AG287" s="57">
        <f>IFERROR(__xludf.DUMMYFUNCTION("""COMPUTED_VALUE"""),2.655092592592593)</f>
        <v>2.655092593</v>
      </c>
      <c r="AH287" s="57">
        <f>IFERROR(__xludf.DUMMYFUNCTION("""COMPUTED_VALUE"""),1.0082615734231186)</f>
        <v>1.008261573</v>
      </c>
      <c r="AI287" s="57">
        <f>IFERROR(__xludf.DUMMYFUNCTION("""COMPUTED_VALUE"""),1.379310344827586)</f>
        <v>1.379310345</v>
      </c>
      <c r="AJ287" s="57">
        <f>IFERROR(__xludf.DUMMYFUNCTION("""COMPUTED_VALUE"""),0.4770318021201414)</f>
        <v>0.4770318021</v>
      </c>
      <c r="AK287" s="57">
        <f>IFERROR(__xludf.DUMMYFUNCTION("""COMPUTED_VALUE"""),1.0803086596170335)</f>
        <v>1.08030866</v>
      </c>
      <c r="AL287" s="57">
        <f>IFERROR(__xludf.DUMMYFUNCTION("""COMPUTED_VALUE"""),0.8474280732345247)</f>
        <v>0.8474280732</v>
      </c>
      <c r="AM287" s="57">
        <f>IFERROR(__xludf.DUMMYFUNCTION("""COMPUTED_VALUE"""),0.8883091969975512)</f>
        <v>0.888309197</v>
      </c>
      <c r="AN287" s="57">
        <f>IFERROR(__xludf.DUMMYFUNCTION("""COMPUTED_VALUE"""),1.254355400696864)</f>
        <v>1.254355401</v>
      </c>
      <c r="AO287" s="57">
        <f>IFERROR(__xludf.DUMMYFUNCTION("""COMPUTED_VALUE"""),1.0549450549450547)</f>
        <v>1.054945055</v>
      </c>
      <c r="AP287" s="35">
        <f>IFERROR(__xludf.DUMMYFUNCTION("""COMPUTED_VALUE"""),0.5882352941176471)</f>
        <v>0.5882352941</v>
      </c>
      <c r="AQ287" s="57">
        <f>IFERROR(__xludf.DUMMYFUNCTION("""COMPUTED_VALUE"""),1.0871694417238003)</f>
        <v>1.087169442</v>
      </c>
      <c r="AR287" s="36" t="b">
        <f>IFERROR(__xludf.DUMMYFUNCTION("""COMPUTED_VALUE"""),TRUE)</f>
        <v>1</v>
      </c>
      <c r="AS287" s="57"/>
      <c r="AT287" s="37"/>
      <c r="AU287" s="30"/>
      <c r="AV287" s="30"/>
      <c r="AW287" s="30"/>
      <c r="AX287" s="30"/>
      <c r="AY287" s="30"/>
      <c r="AZ287" s="30"/>
    </row>
    <row r="288">
      <c r="A288" s="30" t="str">
        <f>IFERROR(__xludf.DUMMYFUNCTION("""COMPUTED_VALUE"""),"Elite")</f>
        <v>Elite</v>
      </c>
      <c r="B288" s="30" t="str">
        <f>IFERROR(__xludf.DUMMYFUNCTION("""COMPUTED_VALUE"""),"RSC003427")</f>
        <v>RSC003427</v>
      </c>
      <c r="C288" s="30" t="str">
        <f>IFERROR(__xludf.DUMMYFUNCTION("""COMPUTED_VALUE"""),"(P|F)ineapple")</f>
        <v>(P|F)ineapple</v>
      </c>
      <c r="D288" s="31" t="str">
        <f>IFERROR(__xludf.DUMMYFUNCTION("""COMPUTED_VALUE"""),"Orochi")</f>
        <v>Orochi</v>
      </c>
      <c r="E288" s="31">
        <f>IFERROR(__xludf.DUMMYFUNCTION("""COMPUTED_VALUE"""),48.289566222158996)</f>
        <v>48.28956622</v>
      </c>
      <c r="F288" s="31">
        <f>IFERROR(__xludf.DUMMYFUNCTION("""COMPUTED_VALUE"""),-2.115387155878874)</f>
        <v>-2.115387156</v>
      </c>
      <c r="G288" s="31">
        <f>IFERROR(__xludf.DUMMYFUNCTION("""COMPUTED_VALUE"""),40.91268209241585)</f>
        <v>40.91268209</v>
      </c>
      <c r="H288" s="31">
        <f>IFERROR(__xludf.DUMMYFUNCTION("""COMPUTED_VALUE"""),-2.7923723720723475)</f>
        <v>-2.792372372</v>
      </c>
      <c r="I288" s="54">
        <f>IFERROR(__xludf.DUMMYFUNCTION("""COMPUTED_VALUE"""),41.0)</f>
        <v>41</v>
      </c>
      <c r="J288" s="55">
        <f>IFERROR(__xludf.DUMMYFUNCTION("""COMPUTED_VALUE"""),17.0)</f>
        <v>17</v>
      </c>
      <c r="K288" s="54">
        <f>IFERROR(__xludf.DUMMYFUNCTION("""COMPUTED_VALUE"""),24.0)</f>
        <v>24</v>
      </c>
      <c r="L288" s="56">
        <f>IFERROR(__xludf.DUMMYFUNCTION("""COMPUTED_VALUE"""),0.4146341463414634)</f>
        <v>0.4146341463</v>
      </c>
      <c r="M288" s="56">
        <f>IFERROR(__xludf.DUMMYFUNCTION("""COMPUTED_VALUE"""),0.367816091954023)</f>
        <v>0.367816092</v>
      </c>
      <c r="N288" s="31">
        <f>IFERROR(__xludf.DUMMYFUNCTION("""COMPUTED_VALUE"""),348.2926829268293)</f>
        <v>348.2926829</v>
      </c>
      <c r="O288" s="57">
        <f>IFERROR(__xludf.DUMMYFUNCTION("""COMPUTED_VALUE"""),0.7804878048780488)</f>
        <v>0.7804878049</v>
      </c>
      <c r="P288" s="57">
        <f>IFERROR(__xludf.DUMMYFUNCTION("""COMPUTED_VALUE"""),0.4634146341463415)</f>
        <v>0.4634146341</v>
      </c>
      <c r="Q288" s="57">
        <f>IFERROR(__xludf.DUMMYFUNCTION("""COMPUTED_VALUE"""),1.6097560975609757)</f>
        <v>1.609756098</v>
      </c>
      <c r="R288" s="57">
        <f>IFERROR(__xludf.DUMMYFUNCTION("""COMPUTED_VALUE"""),2.1219512195121952)</f>
        <v>2.12195122</v>
      </c>
      <c r="S288" s="31">
        <f>IFERROR(__xludf.DUMMYFUNCTION("""COMPUTED_VALUE"""),353.130081300813)</f>
        <v>353.1300813</v>
      </c>
      <c r="T288" s="57">
        <f>IFERROR(__xludf.DUMMYFUNCTION("""COMPUTED_VALUE"""),0.7967479674796746)</f>
        <v>0.7967479675</v>
      </c>
      <c r="U288" s="57">
        <f>IFERROR(__xludf.DUMMYFUNCTION("""COMPUTED_VALUE"""),0.5853658536585366)</f>
        <v>0.5853658537</v>
      </c>
      <c r="V288" s="57">
        <f>IFERROR(__xludf.DUMMYFUNCTION("""COMPUTED_VALUE"""),1.2520325203252032)</f>
        <v>1.25203252</v>
      </c>
      <c r="W288" s="57">
        <f>IFERROR(__xludf.DUMMYFUNCTION("""COMPUTED_VALUE"""),2.8536585365853666)</f>
        <v>2.853658537</v>
      </c>
      <c r="X288" s="31">
        <f>IFERROR(__xludf.DUMMYFUNCTION("""COMPUTED_VALUE"""),366.0562428389915)</f>
        <v>366.0562428</v>
      </c>
      <c r="Y288" s="57">
        <f>IFERROR(__xludf.DUMMYFUNCTION("""COMPUTED_VALUE"""),0.7857346084795688)</f>
        <v>0.7857346085</v>
      </c>
      <c r="Z288" s="57">
        <f>IFERROR(__xludf.DUMMYFUNCTION("""COMPUTED_VALUE"""),0.604760345969929)</f>
        <v>0.604760346</v>
      </c>
      <c r="AA288" s="57">
        <f>IFERROR(__xludf.DUMMYFUNCTION("""COMPUTED_VALUE"""),1.4022603910974258)</f>
        <v>1.402260391</v>
      </c>
      <c r="AB288" s="57">
        <f>IFERROR(__xludf.DUMMYFUNCTION("""COMPUTED_VALUE"""),2.801707833371502)</f>
        <v>2.801707833</v>
      </c>
      <c r="AC288" s="31">
        <f>IFERROR(__xludf.DUMMYFUNCTION("""COMPUTED_VALUE"""),354.7548419618872)</f>
        <v>354.754842</v>
      </c>
      <c r="AD288" s="57">
        <f>IFERROR(__xludf.DUMMYFUNCTION("""COMPUTED_VALUE"""),0.7026089276397505)</f>
        <v>0.7026089276</v>
      </c>
      <c r="AE288" s="57">
        <f>IFERROR(__xludf.DUMMYFUNCTION("""COMPUTED_VALUE"""),0.5330417719434628)</f>
        <v>0.5330417719</v>
      </c>
      <c r="AF288" s="57">
        <f>IFERROR(__xludf.DUMMYFUNCTION("""COMPUTED_VALUE"""),1.5079865398921417)</f>
        <v>1.50798654</v>
      </c>
      <c r="AG288" s="57">
        <f>IFERROR(__xludf.DUMMYFUNCTION("""COMPUTED_VALUE"""),2.556285485990196)</f>
        <v>2.556285486</v>
      </c>
      <c r="AH288" s="57">
        <f>IFERROR(__xludf.DUMMYFUNCTION("""COMPUTED_VALUE"""),0.98178415550491)</f>
        <v>0.9817841555</v>
      </c>
      <c r="AI288" s="57">
        <f>IFERROR(__xludf.DUMMYFUNCTION("""COMPUTED_VALUE"""),1.1108424248179056)</f>
        <v>1.110842425</v>
      </c>
      <c r="AJ288" s="57">
        <f>IFERROR(__xludf.DUMMYFUNCTION("""COMPUTED_VALUE"""),0.8693777083487064)</f>
        <v>0.8693777083</v>
      </c>
      <c r="AK288" s="57">
        <f>IFERROR(__xludf.DUMMYFUNCTION("""COMPUTED_VALUE"""),1.0674870464534205)</f>
        <v>1.067487046</v>
      </c>
      <c r="AL288" s="57">
        <f>IFERROR(__xludf.DUMMYFUNCTION("""COMPUTED_VALUE"""),0.8300916431836806)</f>
        <v>0.8300916432</v>
      </c>
      <c r="AM288" s="57">
        <f>IFERROR(__xludf.DUMMYFUNCTION("""COMPUTED_VALUE"""),0.9646880450994957)</f>
        <v>0.9646880451</v>
      </c>
      <c r="AN288" s="57">
        <f>IFERROR(__xludf.DUMMYFUNCTION("""COMPUTED_VALUE"""),1.0140166398186496)</f>
        <v>1.01401664</v>
      </c>
      <c r="AO288" s="57">
        <f>IFERROR(__xludf.DUMMYFUNCTION("""COMPUTED_VALUE"""),0.9679302843834989)</f>
        <v>0.9679302844</v>
      </c>
      <c r="AP288" s="35">
        <f>IFERROR(__xludf.DUMMYFUNCTION("""COMPUTED_VALUE"""),0.8928673506532888)</f>
        <v>0.8928673507</v>
      </c>
      <c r="AQ288" s="57">
        <f>IFERROR(__xludf.DUMMYFUNCTION("""COMPUTED_VALUE"""),1.0185425127470726)</f>
        <v>1.018542513</v>
      </c>
      <c r="AR288" s="36" t="b">
        <f>IFERROR(__xludf.DUMMYFUNCTION("""COMPUTED_VALUE"""),TRUE)</f>
        <v>1</v>
      </c>
      <c r="AS288" s="57"/>
      <c r="AT288" s="37"/>
      <c r="AU288" s="30"/>
      <c r="AV288" s="30"/>
      <c r="AW288" s="30"/>
      <c r="AX288" s="30"/>
      <c r="AY288" s="30"/>
      <c r="AZ288" s="30"/>
    </row>
    <row r="289">
      <c r="A289" s="30" t="str">
        <f>IFERROR(__xludf.DUMMYFUNCTION("""COMPUTED_VALUE"""),"Elite")</f>
        <v>Elite</v>
      </c>
      <c r="B289" s="30" t="str">
        <f>IFERROR(__xludf.DUMMYFUNCTION("""COMPUTED_VALUE"""),"RSC007839")</f>
        <v>RSC007839</v>
      </c>
      <c r="C289" s="30" t="str">
        <f>IFERROR(__xludf.DUMMYFUNCTION("""COMPUTED_VALUE"""),"DoxxyWoxxyy")</f>
        <v>DoxxyWoxxyy</v>
      </c>
      <c r="D289" s="31" t="str">
        <f>IFERROR(__xludf.DUMMYFUNCTION("""COMPUTED_VALUE"""),"Pylons")</f>
        <v>Pylons</v>
      </c>
      <c r="E289" s="31">
        <f>IFERROR(__xludf.DUMMYFUNCTION("""COMPUTED_VALUE"""),48.14443116503371)</f>
        <v>48.14443117</v>
      </c>
      <c r="F289" s="31">
        <f>IFERROR(__xludf.DUMMYFUNCTION("""COMPUTED_VALUE"""),-2.125775456283497)</f>
        <v>-2.125775456</v>
      </c>
      <c r="G289" s="31">
        <f>IFERROR(__xludf.DUMMYFUNCTION("""COMPUTED_VALUE"""),55.74011813845165)</f>
        <v>55.74011814</v>
      </c>
      <c r="H289" s="31">
        <f>IFERROR(__xludf.DUMMYFUNCTION("""COMPUTED_VALUE"""),2.443795947950137)</f>
        <v>2.443795948</v>
      </c>
      <c r="I289" s="54">
        <f>IFERROR(__xludf.DUMMYFUNCTION("""COMPUTED_VALUE"""),36.0)</f>
        <v>36</v>
      </c>
      <c r="J289" s="55">
        <f>IFERROR(__xludf.DUMMYFUNCTION("""COMPUTED_VALUE"""),12.0)</f>
        <v>12</v>
      </c>
      <c r="K289" s="54">
        <f>IFERROR(__xludf.DUMMYFUNCTION("""COMPUTED_VALUE"""),24.0)</f>
        <v>24</v>
      </c>
      <c r="L289" s="56">
        <f>IFERROR(__xludf.DUMMYFUNCTION("""COMPUTED_VALUE"""),0.3333333333333333)</f>
        <v>0.3333333333</v>
      </c>
      <c r="M289" s="56">
        <f>IFERROR(__xludf.DUMMYFUNCTION("""COMPUTED_VALUE"""),0.28735632183908044)</f>
        <v>0.2873563218</v>
      </c>
      <c r="N289" s="31">
        <f>IFERROR(__xludf.DUMMYFUNCTION("""COMPUTED_VALUE"""),370.47222222222223)</f>
        <v>370.4722222</v>
      </c>
      <c r="O289" s="57">
        <f>IFERROR(__xludf.DUMMYFUNCTION("""COMPUTED_VALUE"""),0.6944444444444444)</f>
        <v>0.6944444444</v>
      </c>
      <c r="P289" s="57">
        <f>IFERROR(__xludf.DUMMYFUNCTION("""COMPUTED_VALUE"""),0.6666666666666666)</f>
        <v>0.6666666667</v>
      </c>
      <c r="Q289" s="57">
        <f>IFERROR(__xludf.DUMMYFUNCTION("""COMPUTED_VALUE"""),1.7222222222222223)</f>
        <v>1.722222222</v>
      </c>
      <c r="R289" s="57">
        <f>IFERROR(__xludf.DUMMYFUNCTION("""COMPUTED_VALUE"""),2.4166666666666665)</f>
        <v>2.416666667</v>
      </c>
      <c r="S289" s="31">
        <f>IFERROR(__xludf.DUMMYFUNCTION("""COMPUTED_VALUE"""),369.86111111111103)</f>
        <v>369.8611111</v>
      </c>
      <c r="T289" s="57">
        <f>IFERROR(__xludf.DUMMYFUNCTION("""COMPUTED_VALUE"""),0.8981481481481483)</f>
        <v>0.8981481481</v>
      </c>
      <c r="U289" s="57">
        <f>IFERROR(__xludf.DUMMYFUNCTION("""COMPUTED_VALUE"""),0.6574074074074074)</f>
        <v>0.6574074074</v>
      </c>
      <c r="V289" s="57">
        <f>IFERROR(__xludf.DUMMYFUNCTION("""COMPUTED_VALUE"""),1.4074074074074072)</f>
        <v>1.407407407</v>
      </c>
      <c r="W289" s="57">
        <f>IFERROR(__xludf.DUMMYFUNCTION("""COMPUTED_VALUE"""),2.564814814814815)</f>
        <v>2.564814815</v>
      </c>
      <c r="X289" s="31">
        <f>IFERROR(__xludf.DUMMYFUNCTION("""COMPUTED_VALUE"""),357.53967934536945)</f>
        <v>357.5396793</v>
      </c>
      <c r="Y289" s="57">
        <f>IFERROR(__xludf.DUMMYFUNCTION("""COMPUTED_VALUE"""),0.7744450053250053)</f>
        <v>0.7744450053</v>
      </c>
      <c r="Z289" s="57">
        <f>IFERROR(__xludf.DUMMYFUNCTION("""COMPUTED_VALUE"""),0.5718943816395715)</f>
        <v>0.5718943816</v>
      </c>
      <c r="AA289" s="57">
        <f>IFERROR(__xludf.DUMMYFUNCTION("""COMPUTED_VALUE"""),1.4312730074593376)</f>
        <v>1.431273007</v>
      </c>
      <c r="AB289" s="57">
        <f>IFERROR(__xludf.DUMMYFUNCTION("""COMPUTED_VALUE"""),2.5660973569664756)</f>
        <v>2.566097357</v>
      </c>
      <c r="AC289" s="31">
        <f>IFERROR(__xludf.DUMMYFUNCTION("""COMPUTED_VALUE"""),367.610852785639)</f>
        <v>367.6108528</v>
      </c>
      <c r="AD289" s="57">
        <f>IFERROR(__xludf.DUMMYFUNCTION("""COMPUTED_VALUE"""),0.8442754504090831)</f>
        <v>0.8442754504</v>
      </c>
      <c r="AE289" s="57">
        <f>IFERROR(__xludf.DUMMYFUNCTION("""COMPUTED_VALUE"""),0.6316045337758814)</f>
        <v>0.6316045338</v>
      </c>
      <c r="AF289" s="57">
        <f>IFERROR(__xludf.DUMMYFUNCTION("""COMPUTED_VALUE"""),1.3570898159988252)</f>
        <v>1.357089816</v>
      </c>
      <c r="AG289" s="57">
        <f>IFERROR(__xludf.DUMMYFUNCTION("""COMPUTED_VALUE"""),2.7628916068568965)</f>
        <v>2.762891607</v>
      </c>
      <c r="AH289" s="57">
        <f>IFERROR(__xludf.DUMMYFUNCTION("""COMPUTED_VALUE"""),1.0077836914087293)</f>
        <v>1.007783691</v>
      </c>
      <c r="AI289" s="57">
        <f>IFERROR(__xludf.DUMMYFUNCTION("""COMPUTED_VALUE"""),0.8225330300768073)</f>
        <v>0.8225330301</v>
      </c>
      <c r="AJ289" s="57">
        <f>IFERROR(__xludf.DUMMYFUNCTION("""COMPUTED_VALUE"""),1.0555127948198464)</f>
        <v>1.055512795</v>
      </c>
      <c r="AK289" s="57">
        <f>IFERROR(__xludf.DUMMYFUNCTION("""COMPUTED_VALUE"""),1.2690554463815336)</f>
        <v>1.269055446</v>
      </c>
      <c r="AL289" s="57">
        <f>IFERROR(__xludf.DUMMYFUNCTION("""COMPUTED_VALUE"""),0.87468746897961)</f>
        <v>0.874687469</v>
      </c>
      <c r="AM289" s="57">
        <f>IFERROR(__xludf.DUMMYFUNCTION("""COMPUTED_VALUE"""),1.0344617184540223)</f>
        <v>1.034461718</v>
      </c>
      <c r="AN289" s="57">
        <f>IFERROR(__xludf.DUMMYFUNCTION("""COMPUTED_VALUE"""),1.159731345637938)</f>
        <v>1.159731346</v>
      </c>
      <c r="AO289" s="57">
        <f>IFERROR(__xludf.DUMMYFUNCTION("""COMPUTED_VALUE"""),1.149525906379212)</f>
        <v>1.149525906</v>
      </c>
      <c r="AP289" s="35">
        <f>IFERROR(__xludf.DUMMYFUNCTION("""COMPUTED_VALUE"""),0.9833256129840006)</f>
        <v>0.983325613</v>
      </c>
      <c r="AQ289" s="57">
        <f>IFERROR(__xludf.DUMMYFUNCTION("""COMPUTED_VALUE"""),0.999500197391896)</f>
        <v>0.9995001974</v>
      </c>
      <c r="AR289" s="36" t="b">
        <f>IFERROR(__xludf.DUMMYFUNCTION("""COMPUTED_VALUE"""),TRUE)</f>
        <v>1</v>
      </c>
      <c r="AS289" s="57"/>
      <c r="AT289" s="37"/>
      <c r="AU289" s="30"/>
      <c r="AV289" s="30"/>
      <c r="AW289" s="30"/>
      <c r="AX289" s="30"/>
      <c r="AY289" s="30"/>
      <c r="AZ289" s="30"/>
    </row>
    <row r="290">
      <c r="A290" s="30" t="str">
        <f>IFERROR(__xludf.DUMMYFUNCTION("""COMPUTED_VALUE"""),"Elite")</f>
        <v>Elite</v>
      </c>
      <c r="B290" s="30" t="str">
        <f>IFERROR(__xludf.DUMMYFUNCTION("""COMPUTED_VALUE"""),"RSC005236")</f>
        <v>RSC005236</v>
      </c>
      <c r="C290" s="30" t="str">
        <f>IFERROR(__xludf.DUMMYFUNCTION("""COMPUTED_VALUE"""),"Rozi-")</f>
        <v>Rozi-</v>
      </c>
      <c r="D290" s="31" t="str">
        <f>IFERROR(__xludf.DUMMYFUNCTION("""COMPUTED_VALUE"""),"Praetorian Guard")</f>
        <v>Praetorian Guard</v>
      </c>
      <c r="E290" s="31">
        <f>IFERROR(__xludf.DUMMYFUNCTION("""COMPUTED_VALUE"""),47.94462844080455)</f>
        <v>47.94462844</v>
      </c>
      <c r="F290" s="31">
        <f>IFERROR(__xludf.DUMMYFUNCTION("""COMPUTED_VALUE"""),-2.140237213522708)</f>
        <v>-2.140237214</v>
      </c>
      <c r="G290" s="31">
        <f>IFERROR(__xludf.DUMMYFUNCTION("""COMPUTED_VALUE"""),46.822937346625075)</f>
        <v>46.82293735</v>
      </c>
      <c r="H290" s="31">
        <f>IFERROR(__xludf.DUMMYFUNCTION("""COMPUTED_VALUE"""),-2.225003235781872)</f>
        <v>-2.225003236</v>
      </c>
      <c r="I290" s="54">
        <f>IFERROR(__xludf.DUMMYFUNCTION("""COMPUTED_VALUE"""),44.0)</f>
        <v>44</v>
      </c>
      <c r="J290" s="55">
        <f>IFERROR(__xludf.DUMMYFUNCTION("""COMPUTED_VALUE"""),27.0)</f>
        <v>27</v>
      </c>
      <c r="K290" s="54">
        <f>IFERROR(__xludf.DUMMYFUNCTION("""COMPUTED_VALUE"""),17.0)</f>
        <v>17</v>
      </c>
      <c r="L290" s="56">
        <f>IFERROR(__xludf.DUMMYFUNCTION("""COMPUTED_VALUE"""),0.6136363636363636)</f>
        <v>0.6136363636</v>
      </c>
      <c r="M290" s="56">
        <f>IFERROR(__xludf.DUMMYFUNCTION("""COMPUTED_VALUE"""),0.19827586206896552)</f>
        <v>0.1982758621</v>
      </c>
      <c r="N290" s="31">
        <f>IFERROR(__xludf.DUMMYFUNCTION("""COMPUTED_VALUE"""),337.1363636363636)</f>
        <v>337.1363636</v>
      </c>
      <c r="O290" s="57">
        <f>IFERROR(__xludf.DUMMYFUNCTION("""COMPUTED_VALUE"""),0.5227272727272727)</f>
        <v>0.5227272727</v>
      </c>
      <c r="P290" s="57">
        <f>IFERROR(__xludf.DUMMYFUNCTION("""COMPUTED_VALUE"""),0.6590909090909091)</f>
        <v>0.6590909091</v>
      </c>
      <c r="Q290" s="57">
        <f>IFERROR(__xludf.DUMMYFUNCTION("""COMPUTED_VALUE"""),1.4090909090909092)</f>
        <v>1.409090909</v>
      </c>
      <c r="R290" s="57">
        <f>IFERROR(__xludf.DUMMYFUNCTION("""COMPUTED_VALUE"""),2.6363636363636362)</f>
        <v>2.636363636</v>
      </c>
      <c r="S290" s="31">
        <f>IFERROR(__xludf.DUMMYFUNCTION("""COMPUTED_VALUE"""),341.96969696969694)</f>
        <v>341.969697</v>
      </c>
      <c r="T290" s="57">
        <f>IFERROR(__xludf.DUMMYFUNCTION("""COMPUTED_VALUE"""),0.6212121212121211)</f>
        <v>0.6212121212</v>
      </c>
      <c r="U290" s="57">
        <f>IFERROR(__xludf.DUMMYFUNCTION("""COMPUTED_VALUE"""),0.49999999999999983)</f>
        <v>0.5</v>
      </c>
      <c r="V290" s="57">
        <f>IFERROR(__xludf.DUMMYFUNCTION("""COMPUTED_VALUE"""),1.4696969696969695)</f>
        <v>1.46969697</v>
      </c>
      <c r="W290" s="57">
        <f>IFERROR(__xludf.DUMMYFUNCTION("""COMPUTED_VALUE"""),2.462121212121213)</f>
        <v>2.462121212</v>
      </c>
      <c r="X290" s="31">
        <f>IFERROR(__xludf.DUMMYFUNCTION("""COMPUTED_VALUE"""),354.9980678821496)</f>
        <v>354.9980679</v>
      </c>
      <c r="Y290" s="57">
        <f>IFERROR(__xludf.DUMMYFUNCTION("""COMPUTED_VALUE"""),0.7393126958845496)</f>
        <v>0.7393126959</v>
      </c>
      <c r="Z290" s="57">
        <f>IFERROR(__xludf.DUMMYFUNCTION("""COMPUTED_VALUE"""),0.5679910020065967)</f>
        <v>0.567991002</v>
      </c>
      <c r="AA290" s="57">
        <f>IFERROR(__xludf.DUMMYFUNCTION("""COMPUTED_VALUE"""),1.4487141577895197)</f>
        <v>1.448714158</v>
      </c>
      <c r="AB290" s="57">
        <f>IFERROR(__xludf.DUMMYFUNCTION("""COMPUTED_VALUE"""),2.504948186735834)</f>
        <v>2.504948187</v>
      </c>
      <c r="AC290" s="31">
        <f>IFERROR(__xludf.DUMMYFUNCTION("""COMPUTED_VALUE"""),366.04577190957076)</f>
        <v>366.0457719</v>
      </c>
      <c r="AD290" s="57">
        <f>IFERROR(__xludf.DUMMYFUNCTION("""COMPUTED_VALUE"""),0.8228498121205036)</f>
        <v>0.8228498121</v>
      </c>
      <c r="AE290" s="57">
        <f>IFERROR(__xludf.DUMMYFUNCTION("""COMPUTED_VALUE"""),0.620996481916158)</f>
        <v>0.6209964819</v>
      </c>
      <c r="AF290" s="57">
        <f>IFERROR(__xludf.DUMMYFUNCTION("""COMPUTED_VALUE"""),1.358023012334108)</f>
        <v>1.358023012</v>
      </c>
      <c r="AG290" s="57">
        <f>IFERROR(__xludf.DUMMYFUNCTION("""COMPUTED_VALUE"""),2.771568353181853)</f>
        <v>2.771568353</v>
      </c>
      <c r="AH290" s="57">
        <f>IFERROR(__xludf.DUMMYFUNCTION("""COMPUTED_VALUE"""),0.9210224226265643)</f>
        <v>0.9210224226</v>
      </c>
      <c r="AI290" s="57">
        <f>IFERROR(__xludf.DUMMYFUNCTION("""COMPUTED_VALUE"""),0.6352644978798647)</f>
        <v>0.6352644979</v>
      </c>
      <c r="AJ290" s="57">
        <f>IFERROR(__xludf.DUMMYFUNCTION("""COMPUTED_VALUE"""),1.0613440305768018)</f>
        <v>1.061344031</v>
      </c>
      <c r="AK290" s="57">
        <f>IFERROR(__xludf.DUMMYFUNCTION("""COMPUTED_VALUE"""),1.0376045886505474)</f>
        <v>1.037604589</v>
      </c>
      <c r="AL290" s="57">
        <f>IFERROR(__xludf.DUMMYFUNCTION("""COMPUTED_VALUE"""),0.9512172533421386)</f>
        <v>0.9512172533</v>
      </c>
      <c r="AM290" s="57">
        <f>IFERROR(__xludf.DUMMYFUNCTION("""COMPUTED_VALUE"""),0.9633001638848983)</f>
        <v>0.9633001639</v>
      </c>
      <c r="AN290" s="57">
        <f>IFERROR(__xludf.DUMMYFUNCTION("""COMPUTED_VALUE"""),0.8402562605378672)</f>
        <v>0.8402562605</v>
      </c>
      <c r="AO290" s="57">
        <f>IFERROR(__xludf.DUMMYFUNCTION("""COMPUTED_VALUE"""),0.8802956353773238)</f>
        <v>0.8802956354</v>
      </c>
      <c r="AP290" s="35">
        <f>IFERROR(__xludf.DUMMYFUNCTION("""COMPUTED_VALUE"""),1.0144837487744758)</f>
        <v>1.014483749</v>
      </c>
      <c r="AQ290" s="57">
        <f>IFERROR(__xludf.DUMMYFUNCTION("""COMPUTED_VALUE"""),0.9829030497152005)</f>
        <v>0.9829030497</v>
      </c>
      <c r="AR290" s="36" t="b">
        <f>IFERROR(__xludf.DUMMYFUNCTION("""COMPUTED_VALUE"""),TRUE)</f>
        <v>1</v>
      </c>
      <c r="AS290" s="57"/>
      <c r="AT290" s="37"/>
      <c r="AU290" s="30"/>
      <c r="AV290" s="30"/>
      <c r="AW290" s="30"/>
      <c r="AX290" s="30"/>
      <c r="AY290" s="30"/>
      <c r="AZ290" s="30"/>
    </row>
    <row r="291">
      <c r="A291" s="30" t="str">
        <f>IFERROR(__xludf.DUMMYFUNCTION("""COMPUTED_VALUE"""),"Elite")</f>
        <v>Elite</v>
      </c>
      <c r="B291" s="30" t="str">
        <f>IFERROR(__xludf.DUMMYFUNCTION("""COMPUTED_VALUE"""),"RSC006185")</f>
        <v>RSC006185</v>
      </c>
      <c r="C291" s="30" t="str">
        <f>IFERROR(__xludf.DUMMYFUNCTION("""COMPUTED_VALUE"""),"sandro")</f>
        <v>sandro</v>
      </c>
      <c r="D291" s="31" t="str">
        <f>IFERROR(__xludf.DUMMYFUNCTION("""COMPUTED_VALUE"""),"Summoned")</f>
        <v>Summoned</v>
      </c>
      <c r="E291" s="31">
        <f>IFERROR(__xludf.DUMMYFUNCTION("""COMPUTED_VALUE"""),47.66482388264655)</f>
        <v>47.66482388</v>
      </c>
      <c r="F291" s="31">
        <f>IFERROR(__xludf.DUMMYFUNCTION("""COMPUTED_VALUE"""),-2.160806824389891)</f>
        <v>-2.160806824</v>
      </c>
      <c r="G291" s="31">
        <f>IFERROR(__xludf.DUMMYFUNCTION("""COMPUTED_VALUE"""),54.018108998814675)</f>
        <v>54.018109</v>
      </c>
      <c r="H291" s="31">
        <f>IFERROR(__xludf.DUMMYFUNCTION("""COMPUTED_VALUE"""),2.292761573437542)</f>
        <v>2.292761573</v>
      </c>
      <c r="I291" s="54">
        <f>IFERROR(__xludf.DUMMYFUNCTION("""COMPUTED_VALUE"""),24.0)</f>
        <v>24</v>
      </c>
      <c r="J291" s="55">
        <f>IFERROR(__xludf.DUMMYFUNCTION("""COMPUTED_VALUE"""),8.0)</f>
        <v>8</v>
      </c>
      <c r="K291" s="54">
        <f>IFERROR(__xludf.DUMMYFUNCTION("""COMPUTED_VALUE"""),16.0)</f>
        <v>16</v>
      </c>
      <c r="L291" s="56">
        <f>IFERROR(__xludf.DUMMYFUNCTION("""COMPUTED_VALUE"""),0.3333333333333333)</f>
        <v>0.3333333333</v>
      </c>
      <c r="M291" s="56">
        <f>IFERROR(__xludf.DUMMYFUNCTION("""COMPUTED_VALUE"""),0.31666666666666665)</f>
        <v>0.3166666667</v>
      </c>
      <c r="N291" s="31">
        <f>IFERROR(__xludf.DUMMYFUNCTION("""COMPUTED_VALUE"""),363.0833333333333)</f>
        <v>363.0833333</v>
      </c>
      <c r="O291" s="57">
        <f>IFERROR(__xludf.DUMMYFUNCTION("""COMPUTED_VALUE"""),0.7916666666666666)</f>
        <v>0.7916666667</v>
      </c>
      <c r="P291" s="57">
        <f>IFERROR(__xludf.DUMMYFUNCTION("""COMPUTED_VALUE"""),0.4166666666666667)</f>
        <v>0.4166666667</v>
      </c>
      <c r="Q291" s="57">
        <f>IFERROR(__xludf.DUMMYFUNCTION("""COMPUTED_VALUE"""),1.25)</f>
        <v>1.25</v>
      </c>
      <c r="R291" s="57">
        <f>IFERROR(__xludf.DUMMYFUNCTION("""COMPUTED_VALUE"""),2.5)</f>
        <v>2.5</v>
      </c>
      <c r="S291" s="31">
        <f>IFERROR(__xludf.DUMMYFUNCTION("""COMPUTED_VALUE"""),342.8194444444445)</f>
        <v>342.8194444</v>
      </c>
      <c r="T291" s="57">
        <f>IFERROR(__xludf.DUMMYFUNCTION("""COMPUTED_VALUE"""),0.8055555555555557)</f>
        <v>0.8055555556</v>
      </c>
      <c r="U291" s="57">
        <f>IFERROR(__xludf.DUMMYFUNCTION("""COMPUTED_VALUE"""),0.5972222222222222)</f>
        <v>0.5972222222</v>
      </c>
      <c r="V291" s="57">
        <f>IFERROR(__xludf.DUMMYFUNCTION("""COMPUTED_VALUE"""),1.152777777777778)</f>
        <v>1.152777778</v>
      </c>
      <c r="W291" s="57">
        <f>IFERROR(__xludf.DUMMYFUNCTION("""COMPUTED_VALUE"""),2.8472222222222228)</f>
        <v>2.847222222</v>
      </c>
      <c r="X291" s="31">
        <f>IFERROR(__xludf.DUMMYFUNCTION("""COMPUTED_VALUE"""),357.06665422008587)</f>
        <v>357.0666542</v>
      </c>
      <c r="Y291" s="57">
        <f>IFERROR(__xludf.DUMMYFUNCTION("""COMPUTED_VALUE"""),0.7502781049908441)</f>
        <v>0.750278105</v>
      </c>
      <c r="Z291" s="57">
        <f>IFERROR(__xludf.DUMMYFUNCTION("""COMPUTED_VALUE"""),0.5908806854543472)</f>
        <v>0.5908806855</v>
      </c>
      <c r="AA291" s="57">
        <f>IFERROR(__xludf.DUMMYFUNCTION("""COMPUTED_VALUE"""),1.4167148203529616)</f>
        <v>1.41671482</v>
      </c>
      <c r="AB291" s="57">
        <f>IFERROR(__xludf.DUMMYFUNCTION("""COMPUTED_VALUE"""),2.6707942346813685)</f>
        <v>2.670794235</v>
      </c>
      <c r="AC291" s="31">
        <f>IFERROR(__xludf.DUMMYFUNCTION("""COMPUTED_VALUE"""),364.73676277885005)</f>
        <v>364.7367628</v>
      </c>
      <c r="AD291" s="57">
        <f>IFERROR(__xludf.DUMMYFUNCTION("""COMPUTED_VALUE"""),0.7972308896424011)</f>
        <v>0.7972308896</v>
      </c>
      <c r="AE291" s="57">
        <f>IFERROR(__xludf.DUMMYFUNCTION("""COMPUTED_VALUE"""),0.6325009584031585)</f>
        <v>0.6325009584</v>
      </c>
      <c r="AF291" s="57">
        <f>IFERROR(__xludf.DUMMYFUNCTION("""COMPUTED_VALUE"""),1.435785522263634)</f>
        <v>1.435785522</v>
      </c>
      <c r="AG291" s="57">
        <f>IFERROR(__xludf.DUMMYFUNCTION("""COMPUTED_VALUE"""),2.650604757626643)</f>
        <v>2.650604758</v>
      </c>
      <c r="AH291" s="57">
        <f>IFERROR(__xludf.DUMMYFUNCTION("""COMPUTED_VALUE"""),0.9954667869700887)</f>
        <v>0.995466787</v>
      </c>
      <c r="AI291" s="57">
        <f>IFERROR(__xludf.DUMMYFUNCTION("""COMPUTED_VALUE"""),0.9930205627403245)</f>
        <v>0.9930205627</v>
      </c>
      <c r="AJ291" s="57">
        <f>IFERROR(__xludf.DUMMYFUNCTION("""COMPUTED_VALUE"""),0.6587605301320062)</f>
        <v>0.6587605301</v>
      </c>
      <c r="AK291" s="57">
        <f>IFERROR(__xludf.DUMMYFUNCTION("""COMPUTED_VALUE"""),0.8706035689991303)</f>
        <v>0.870603569</v>
      </c>
      <c r="AL291" s="57">
        <f>IFERROR(__xludf.DUMMYFUNCTION("""COMPUTED_VALUE"""),0.9431809826820446)</f>
        <v>0.9431809827</v>
      </c>
      <c r="AM291" s="57">
        <f>IFERROR(__xludf.DUMMYFUNCTION("""COMPUTED_VALUE"""),0.9600992990881199)</f>
        <v>0.9600992991</v>
      </c>
      <c r="AN291" s="57">
        <f>IFERROR(__xludf.DUMMYFUNCTION("""COMPUTED_VALUE"""),1.073675947887865)</f>
        <v>1.073675948</v>
      </c>
      <c r="AO291" s="57">
        <f>IFERROR(__xludf.DUMMYFUNCTION("""COMPUTED_VALUE"""),1.010732347365524)</f>
        <v>1.010732347</v>
      </c>
      <c r="AP291" s="35">
        <f>IFERROR(__xludf.DUMMYFUNCTION("""COMPUTED_VALUE"""),0.8136978319253932)</f>
        <v>0.8136978319</v>
      </c>
      <c r="AQ291" s="57">
        <f>IFERROR(__xludf.DUMMYFUNCTION("""COMPUTED_VALUE"""),1.0660582478612033)</f>
        <v>1.066058248</v>
      </c>
      <c r="AR291" s="36" t="b">
        <f>IFERROR(__xludf.DUMMYFUNCTION("""COMPUTED_VALUE"""),TRUE)</f>
        <v>1</v>
      </c>
      <c r="AS291" s="57"/>
      <c r="AT291" s="37"/>
      <c r="AU291" s="30"/>
      <c r="AV291" s="30"/>
      <c r="AW291" s="30"/>
      <c r="AX291" s="30"/>
      <c r="AY291" s="30"/>
      <c r="AZ291" s="30"/>
    </row>
    <row r="292">
      <c r="A292" s="30" t="str">
        <f>IFERROR(__xludf.DUMMYFUNCTION("""COMPUTED_VALUE"""),"Elite")</f>
        <v>Elite</v>
      </c>
      <c r="B292" s="30" t="str">
        <f>IFERROR(__xludf.DUMMYFUNCTION("""COMPUTED_VALUE"""),"RSC003360")</f>
        <v>RSC003360</v>
      </c>
      <c r="C292" s="30" t="str">
        <f>IFERROR(__xludf.DUMMYFUNCTION("""COMPUTED_VALUE"""),"flossy")</f>
        <v>flossy</v>
      </c>
      <c r="D292" s="31" t="str">
        <f>IFERROR(__xludf.DUMMYFUNCTION("""COMPUTED_VALUE"""),"Geeky Ghouls")</f>
        <v>Geeky Ghouls</v>
      </c>
      <c r="E292" s="31">
        <f>IFERROR(__xludf.DUMMYFUNCTION("""COMPUTED_VALUE"""),47.4364886840642)</f>
        <v>47.43648868</v>
      </c>
      <c r="F292" s="31">
        <f>IFERROR(__xludf.DUMMYFUNCTION("""COMPUTED_VALUE"""),-2.1778717859030055)</f>
        <v>-2.177871786</v>
      </c>
      <c r="G292" s="31">
        <f>IFERROR(__xludf.DUMMYFUNCTION("""COMPUTED_VALUE"""),35.12135908900878)</f>
        <v>35.12135909</v>
      </c>
      <c r="H292" s="31">
        <f>IFERROR(__xludf.DUMMYFUNCTION("""COMPUTED_VALUE"""),-3.6248555404593596)</f>
        <v>-3.62485554</v>
      </c>
      <c r="I292" s="54">
        <f>IFERROR(__xludf.DUMMYFUNCTION("""COMPUTED_VALUE"""),48.0)</f>
        <v>48</v>
      </c>
      <c r="J292" s="55">
        <f>IFERROR(__xludf.DUMMYFUNCTION("""COMPUTED_VALUE"""),24.0)</f>
        <v>24</v>
      </c>
      <c r="K292" s="54">
        <f>IFERROR(__xludf.DUMMYFUNCTION("""COMPUTED_VALUE"""),24.0)</f>
        <v>24</v>
      </c>
      <c r="L292" s="56">
        <f>IFERROR(__xludf.DUMMYFUNCTION("""COMPUTED_VALUE"""),0.5)</f>
        <v>0.5</v>
      </c>
      <c r="M292" s="56">
        <f>IFERROR(__xludf.DUMMYFUNCTION("""COMPUTED_VALUE"""),0.256)</f>
        <v>0.256</v>
      </c>
      <c r="N292" s="31">
        <f>IFERROR(__xludf.DUMMYFUNCTION("""COMPUTED_VALUE"""),323.7083333333333)</f>
        <v>323.7083333</v>
      </c>
      <c r="O292" s="57">
        <f>IFERROR(__xludf.DUMMYFUNCTION("""COMPUTED_VALUE"""),0.6666666666666666)</f>
        <v>0.6666666667</v>
      </c>
      <c r="P292" s="57">
        <f>IFERROR(__xludf.DUMMYFUNCTION("""COMPUTED_VALUE"""),0.5)</f>
        <v>0.5</v>
      </c>
      <c r="Q292" s="57">
        <f>IFERROR(__xludf.DUMMYFUNCTION("""COMPUTED_VALUE"""),1.4166666666666667)</f>
        <v>1.416666667</v>
      </c>
      <c r="R292" s="57">
        <f>IFERROR(__xludf.DUMMYFUNCTION("""COMPUTED_VALUE"""),2.6041666666666665)</f>
        <v>2.604166667</v>
      </c>
      <c r="S292" s="31">
        <f>IFERROR(__xludf.DUMMYFUNCTION("""COMPUTED_VALUE"""),368.97222222222234)</f>
        <v>368.9722222</v>
      </c>
      <c r="T292" s="57">
        <f>IFERROR(__xludf.DUMMYFUNCTION("""COMPUTED_VALUE"""),0.7499999999999999)</f>
        <v>0.75</v>
      </c>
      <c r="U292" s="57">
        <f>IFERROR(__xludf.DUMMYFUNCTION("""COMPUTED_VALUE"""),0.5625)</f>
        <v>0.5625</v>
      </c>
      <c r="V292" s="57">
        <f>IFERROR(__xludf.DUMMYFUNCTION("""COMPUTED_VALUE"""),1.6041666666666663)</f>
        <v>1.604166667</v>
      </c>
      <c r="W292" s="57">
        <f>IFERROR(__xludf.DUMMYFUNCTION("""COMPUTED_VALUE"""),2.590277777777778)</f>
        <v>2.590277778</v>
      </c>
      <c r="X292" s="31">
        <f>IFERROR(__xludf.DUMMYFUNCTION("""COMPUTED_VALUE"""),353.8958678315776)</f>
        <v>353.8958678</v>
      </c>
      <c r="Y292" s="57">
        <f>IFERROR(__xludf.DUMMYFUNCTION("""COMPUTED_VALUE"""),0.7405152303074223)</f>
        <v>0.7405152303</v>
      </c>
      <c r="Z292" s="57">
        <f>IFERROR(__xludf.DUMMYFUNCTION("""COMPUTED_VALUE"""),0.6009408356068179)</f>
        <v>0.6009408356</v>
      </c>
      <c r="AA292" s="57">
        <f>IFERROR(__xludf.DUMMYFUNCTION("""COMPUTED_VALUE"""),1.383847900183156)</f>
        <v>1.3838479</v>
      </c>
      <c r="AB292" s="57">
        <f>IFERROR(__xludf.DUMMYFUNCTION("""COMPUTED_VALUE"""),2.6767751047559436)</f>
        <v>2.676775105</v>
      </c>
      <c r="AC292" s="31">
        <f>IFERROR(__xludf.DUMMYFUNCTION("""COMPUTED_VALUE"""),356.24605642155444)</f>
        <v>356.2460564</v>
      </c>
      <c r="AD292" s="57">
        <f>IFERROR(__xludf.DUMMYFUNCTION("""COMPUTED_VALUE"""),0.7526988132581852)</f>
        <v>0.7526988133</v>
      </c>
      <c r="AE292" s="57">
        <f>IFERROR(__xludf.DUMMYFUNCTION("""COMPUTED_VALUE"""),0.5699450049557212)</f>
        <v>0.569945005</v>
      </c>
      <c r="AF292" s="57">
        <f>IFERROR(__xludf.DUMMYFUNCTION("""COMPUTED_VALUE"""),1.4434572899564528)</f>
        <v>1.44345729</v>
      </c>
      <c r="AG292" s="57">
        <f>IFERROR(__xludf.DUMMYFUNCTION("""COMPUTED_VALUE"""),2.6045201397047286)</f>
        <v>2.60452014</v>
      </c>
      <c r="AH292" s="57">
        <f>IFERROR(__xludf.DUMMYFUNCTION("""COMPUTED_VALUE"""),0.9086650294039509)</f>
        <v>0.9086650294</v>
      </c>
      <c r="AI292" s="57">
        <f>IFERROR(__xludf.DUMMYFUNCTION("""COMPUTED_VALUE"""),0.885701764004232)</f>
        <v>0.885701764</v>
      </c>
      <c r="AJ292" s="57">
        <f>IFERROR(__xludf.DUMMYFUNCTION("""COMPUTED_VALUE"""),0.8772776244242105)</f>
        <v>0.8772776244</v>
      </c>
      <c r="AK292" s="57">
        <f>IFERROR(__xludf.DUMMYFUNCTION("""COMPUTED_VALUE"""),0.9814399612124344)</f>
        <v>0.9814399612</v>
      </c>
      <c r="AL292" s="57">
        <f>IFERROR(__xludf.DUMMYFUNCTION("""COMPUTED_VALUE"""),0.9998642847745066)</f>
        <v>0.9998642848</v>
      </c>
      <c r="AM292" s="57">
        <f>IFERROR(__xludf.DUMMYFUNCTION("""COMPUTED_VALUE"""),1.0426011032087543)</f>
        <v>1.042601103</v>
      </c>
      <c r="AN292" s="57">
        <f>IFERROR(__xludf.DUMMYFUNCTION("""COMPUTED_VALUE"""),1.0128083384438158)</f>
        <v>1.012808338</v>
      </c>
      <c r="AO292" s="57">
        <f>IFERROR(__xludf.DUMMYFUNCTION("""COMPUTED_VALUE"""),0.9360322458898951)</f>
        <v>0.9360322459</v>
      </c>
      <c r="AP292" s="35">
        <f>IFERROR(__xludf.DUMMYFUNCTION("""COMPUTED_VALUE"""),1.1592073568593415)</f>
        <v>1.159207357</v>
      </c>
      <c r="AQ292" s="57">
        <f>IFERROR(__xludf.DUMMYFUNCTION("""COMPUTED_VALUE"""),0.9676859939318466)</f>
        <v>0.9676859939</v>
      </c>
      <c r="AR292" s="36" t="b">
        <f>IFERROR(__xludf.DUMMYFUNCTION("""COMPUTED_VALUE"""),TRUE)</f>
        <v>1</v>
      </c>
      <c r="AS292" s="57"/>
      <c r="AT292" s="37"/>
      <c r="AU292" s="30"/>
      <c r="AV292" s="30"/>
      <c r="AW292" s="30"/>
      <c r="AX292" s="30"/>
      <c r="AY292" s="30"/>
      <c r="AZ292" s="30"/>
    </row>
    <row r="293">
      <c r="A293" s="30" t="str">
        <f>IFERROR(__xludf.DUMMYFUNCTION("""COMPUTED_VALUE"""),"Elite")</f>
        <v>Elite</v>
      </c>
      <c r="B293" s="30" t="str">
        <f>IFERROR(__xludf.DUMMYFUNCTION("""COMPUTED_VALUE"""),"RSC002161")</f>
        <v>RSC002161</v>
      </c>
      <c r="C293" s="30" t="str">
        <f>IFERROR(__xludf.DUMMYFUNCTION("""COMPUTED_VALUE"""),"TheAngryTryhard")</f>
        <v>TheAngryTryhard</v>
      </c>
      <c r="D293" s="31" t="str">
        <f>IFERROR(__xludf.DUMMYFUNCTION("""COMPUTED_VALUE"""),"Loonie")</f>
        <v>Loonie</v>
      </c>
      <c r="E293" s="31">
        <f>IFERROR(__xludf.DUMMYFUNCTION("""COMPUTED_VALUE"""),47.34720654664901)</f>
        <v>47.34720655</v>
      </c>
      <c r="F293" s="31">
        <f>IFERROR(__xludf.DUMMYFUNCTION("""COMPUTED_VALUE"""),-2.184613618065411)</f>
        <v>-2.184613618</v>
      </c>
      <c r="G293" s="31">
        <f>IFERROR(__xludf.DUMMYFUNCTION("""COMPUTED_VALUE"""),37.463798164465416)</f>
        <v>37.46379816</v>
      </c>
      <c r="H293" s="31">
        <f>IFERROR(__xludf.DUMMYFUNCTION("""COMPUTED_VALUE"""),-3.246459094579403)</f>
        <v>-3.246459095</v>
      </c>
      <c r="I293" s="54">
        <f>IFERROR(__xludf.DUMMYFUNCTION("""COMPUTED_VALUE"""),32.0)</f>
        <v>32</v>
      </c>
      <c r="J293" s="55">
        <f>IFERROR(__xludf.DUMMYFUNCTION("""COMPUTED_VALUE"""),10.0)</f>
        <v>10</v>
      </c>
      <c r="K293" s="54">
        <f>IFERROR(__xludf.DUMMYFUNCTION("""COMPUTED_VALUE"""),22.0)</f>
        <v>22</v>
      </c>
      <c r="L293" s="56">
        <f>IFERROR(__xludf.DUMMYFUNCTION("""COMPUTED_VALUE"""),0.3125)</f>
        <v>0.3125</v>
      </c>
      <c r="M293" s="56">
        <f>IFERROR(__xludf.DUMMYFUNCTION("""COMPUTED_VALUE"""),0.26373626373626374)</f>
        <v>0.2637362637</v>
      </c>
      <c r="N293" s="31">
        <f>IFERROR(__xludf.DUMMYFUNCTION("""COMPUTED_VALUE"""),342.15625)</f>
        <v>342.15625</v>
      </c>
      <c r="O293" s="57">
        <f>IFERROR(__xludf.DUMMYFUNCTION("""COMPUTED_VALUE"""),0.75)</f>
        <v>0.75</v>
      </c>
      <c r="P293" s="57">
        <f>IFERROR(__xludf.DUMMYFUNCTION("""COMPUTED_VALUE"""),0.375)</f>
        <v>0.375</v>
      </c>
      <c r="Q293" s="57">
        <f>IFERROR(__xludf.DUMMYFUNCTION("""COMPUTED_VALUE"""),1.4375)</f>
        <v>1.4375</v>
      </c>
      <c r="R293" s="57">
        <f>IFERROR(__xludf.DUMMYFUNCTION("""COMPUTED_VALUE"""),2.84375)</f>
        <v>2.84375</v>
      </c>
      <c r="S293" s="31">
        <f>IFERROR(__xludf.DUMMYFUNCTION("""COMPUTED_VALUE"""),401.56250000000006)</f>
        <v>401.5625</v>
      </c>
      <c r="T293" s="57">
        <f>IFERROR(__xludf.DUMMYFUNCTION("""COMPUTED_VALUE"""),1.03125)</f>
        <v>1.03125</v>
      </c>
      <c r="U293" s="57">
        <f>IFERROR(__xludf.DUMMYFUNCTION("""COMPUTED_VALUE"""),0.8541666666666666)</f>
        <v>0.8541666667</v>
      </c>
      <c r="V293" s="57">
        <f>IFERROR(__xludf.DUMMYFUNCTION("""COMPUTED_VALUE"""),1.3333333333333335)</f>
        <v>1.333333333</v>
      </c>
      <c r="W293" s="57">
        <f>IFERROR(__xludf.DUMMYFUNCTION("""COMPUTED_VALUE"""),3.104166666666667)</f>
        <v>3.104166667</v>
      </c>
      <c r="X293" s="31">
        <f>IFERROR(__xludf.DUMMYFUNCTION("""COMPUTED_VALUE"""),382.31666125793333)</f>
        <v>382.3166613</v>
      </c>
      <c r="Y293" s="57">
        <f>IFERROR(__xludf.DUMMYFUNCTION("""COMPUTED_VALUE"""),0.898552408392278)</f>
        <v>0.8985524084</v>
      </c>
      <c r="Z293" s="57">
        <f>IFERROR(__xludf.DUMMYFUNCTION("""COMPUTED_VALUE"""),0.6541307804988592)</f>
        <v>0.6541307805</v>
      </c>
      <c r="AA293" s="57">
        <f>IFERROR(__xludf.DUMMYFUNCTION("""COMPUTED_VALUE"""),1.4042404219594165)</f>
        <v>1.404240422</v>
      </c>
      <c r="AB293" s="57">
        <f>IFERROR(__xludf.DUMMYFUNCTION("""COMPUTED_VALUE"""),2.9039812345448737)</f>
        <v>2.903981235</v>
      </c>
      <c r="AC293" s="31">
        <f>IFERROR(__xludf.DUMMYFUNCTION("""COMPUTED_VALUE"""),352.38032663277795)</f>
        <v>352.3803266</v>
      </c>
      <c r="AD293" s="57">
        <f>IFERROR(__xludf.DUMMYFUNCTION("""COMPUTED_VALUE"""),0.6961603863600136)</f>
        <v>0.6961603864</v>
      </c>
      <c r="AE293" s="57">
        <f>IFERROR(__xludf.DUMMYFUNCTION("""COMPUTED_VALUE"""),0.5130680478667059)</f>
        <v>0.5130680479</v>
      </c>
      <c r="AF293" s="57">
        <f>IFERROR(__xludf.DUMMYFUNCTION("""COMPUTED_VALUE"""),1.5234870708135309)</f>
        <v>1.523487071</v>
      </c>
      <c r="AG293" s="57">
        <f>IFERROR(__xludf.DUMMYFUNCTION("""COMPUTED_VALUE"""),2.5174682835179234)</f>
        <v>2.517468284</v>
      </c>
      <c r="AH293" s="57">
        <f>IFERROR(__xludf.DUMMYFUNCTION("""COMPUTED_VALUE"""),0.9709856769517311)</f>
        <v>0.970985677</v>
      </c>
      <c r="AI293" s="57">
        <f>IFERROR(__xludf.DUMMYFUNCTION("""COMPUTED_VALUE"""),1.0773379449547473)</f>
        <v>1.077337945</v>
      </c>
      <c r="AJ293" s="57">
        <f>IFERROR(__xludf.DUMMYFUNCTION("""COMPUTED_VALUE"""),0.7308972007888986)</f>
        <v>0.7308972008</v>
      </c>
      <c r="AK293" s="57">
        <f>IFERROR(__xludf.DUMMYFUNCTION("""COMPUTED_VALUE"""),0.9435590413198489)</f>
        <v>0.9435590413</v>
      </c>
      <c r="AL293" s="57">
        <f>IFERROR(__xludf.DUMMYFUNCTION("""COMPUTED_VALUE"""),1.1296070812960268)</f>
        <v>1.129607081</v>
      </c>
      <c r="AM293" s="57">
        <f>IFERROR(__xludf.DUMMYFUNCTION("""COMPUTED_VALUE"""),1.0503400471189048)</f>
        <v>1.050340047</v>
      </c>
      <c r="AN293" s="57">
        <f>IFERROR(__xludf.DUMMYFUNCTION("""COMPUTED_VALUE"""),1.1476793010272481)</f>
        <v>1.147679301</v>
      </c>
      <c r="AO293" s="57">
        <f>IFERROR(__xludf.DUMMYFUNCTION("""COMPUTED_VALUE"""),1.3058041176647492)</f>
        <v>1.305804118</v>
      </c>
      <c r="AP293" s="35">
        <f>IFERROR(__xludf.DUMMYFUNCTION("""COMPUTED_VALUE"""),0.9495050224183532)</f>
        <v>0.9495050224</v>
      </c>
      <c r="AQ293" s="57">
        <f>IFERROR(__xludf.DUMMYFUNCTION("""COMPUTED_VALUE"""),1.0689348229046554)</f>
        <v>1.068934823</v>
      </c>
      <c r="AR293" s="36" t="b">
        <f>IFERROR(__xludf.DUMMYFUNCTION("""COMPUTED_VALUE"""),TRUE)</f>
        <v>1</v>
      </c>
      <c r="AS293" s="57"/>
      <c r="AT293" s="37"/>
      <c r="AU293" s="30"/>
      <c r="AV293" s="30"/>
      <c r="AW293" s="30"/>
      <c r="AX293" s="30"/>
      <c r="AY293" s="30"/>
      <c r="AZ293" s="30"/>
    </row>
    <row r="294">
      <c r="A294" s="30" t="str">
        <f>IFERROR(__xludf.DUMMYFUNCTION("""COMPUTED_VALUE"""),"Elite")</f>
        <v>Elite</v>
      </c>
      <c r="B294" s="30" t="str">
        <f>IFERROR(__xludf.DUMMYFUNCTION("""COMPUTED_VALUE"""),"RSC005845")</f>
        <v>RSC005845</v>
      </c>
      <c r="C294" s="30" t="str">
        <f>IFERROR(__xludf.DUMMYFUNCTION("""COMPUTED_VALUE"""),"Milk_shakes.")</f>
        <v>Milk_shakes.</v>
      </c>
      <c r="D294" s="31"/>
      <c r="E294" s="31">
        <f>IFERROR(__xludf.DUMMYFUNCTION("""COMPUTED_VALUE"""),46.624937690461415)</f>
        <v>46.62493769</v>
      </c>
      <c r="F294" s="31">
        <f>IFERROR(__xludf.DUMMYFUNCTION("""COMPUTED_VALUE"""),-2.2406204453084713)</f>
        <v>-2.240620445</v>
      </c>
      <c r="G294" s="31">
        <f>IFERROR(__xludf.DUMMYFUNCTION("""COMPUTED_VALUE"""),49.92653388815735)</f>
        <v>49.92653389</v>
      </c>
      <c r="H294" s="31">
        <f>IFERROR(__xludf.DUMMYFUNCTION("""COMPUTED_VALUE"""),-2.0047004123978533)</f>
        <v>-2.004700412</v>
      </c>
      <c r="I294" s="54">
        <f>IFERROR(__xludf.DUMMYFUNCTION("""COMPUTED_VALUE"""),24.0)</f>
        <v>24</v>
      </c>
      <c r="J294" s="55">
        <f>IFERROR(__xludf.DUMMYFUNCTION("""COMPUTED_VALUE"""),10.0)</f>
        <v>10</v>
      </c>
      <c r="K294" s="54">
        <f>IFERROR(__xludf.DUMMYFUNCTION("""COMPUTED_VALUE"""),14.0)</f>
        <v>14</v>
      </c>
      <c r="L294" s="56">
        <f>IFERROR(__xludf.DUMMYFUNCTION("""COMPUTED_VALUE"""),0.4166666666666667)</f>
        <v>0.4166666667</v>
      </c>
      <c r="M294" s="56">
        <f>IFERROR(__xludf.DUMMYFUNCTION("""COMPUTED_VALUE"""),0.28571428571428575)</f>
        <v>0.2857142857</v>
      </c>
      <c r="N294" s="31">
        <f>IFERROR(__xludf.DUMMYFUNCTION("""COMPUTED_VALUE"""),332.375)</f>
        <v>332.375</v>
      </c>
      <c r="O294" s="57">
        <f>IFERROR(__xludf.DUMMYFUNCTION("""COMPUTED_VALUE"""),0.5833333333333334)</f>
        <v>0.5833333333</v>
      </c>
      <c r="P294" s="57">
        <f>IFERROR(__xludf.DUMMYFUNCTION("""COMPUTED_VALUE"""),0.5833333333333334)</f>
        <v>0.5833333333</v>
      </c>
      <c r="Q294" s="57">
        <f>IFERROR(__xludf.DUMMYFUNCTION("""COMPUTED_VALUE"""),1.4583333333333333)</f>
        <v>1.458333333</v>
      </c>
      <c r="R294" s="57">
        <f>IFERROR(__xludf.DUMMYFUNCTION("""COMPUTED_VALUE"""),2.0416666666666665)</f>
        <v>2.041666667</v>
      </c>
      <c r="S294" s="31">
        <f>IFERROR(__xludf.DUMMYFUNCTION("""COMPUTED_VALUE"""),329.15277777777777)</f>
        <v>329.1527778</v>
      </c>
      <c r="T294" s="57">
        <f>IFERROR(__xludf.DUMMYFUNCTION("""COMPUTED_VALUE"""),0.6805555555555555)</f>
        <v>0.6805555556</v>
      </c>
      <c r="U294" s="57">
        <f>IFERROR(__xludf.DUMMYFUNCTION("""COMPUTED_VALUE"""),0.513888888888889)</f>
        <v>0.5138888889</v>
      </c>
      <c r="V294" s="57">
        <f>IFERROR(__xludf.DUMMYFUNCTION("""COMPUTED_VALUE"""),1.1250000000000002)</f>
        <v>1.125</v>
      </c>
      <c r="W294" s="57">
        <f>IFERROR(__xludf.DUMMYFUNCTION("""COMPUTED_VALUE"""),2.6527777777777772)</f>
        <v>2.652777778</v>
      </c>
      <c r="X294" s="31">
        <f>IFERROR(__xludf.DUMMYFUNCTION("""COMPUTED_VALUE"""),368.6285662928706)</f>
        <v>368.6285663</v>
      </c>
      <c r="Y294" s="57">
        <f>IFERROR(__xludf.DUMMYFUNCTION("""COMPUTED_VALUE"""),0.8346482077291816)</f>
        <v>0.8346482077</v>
      </c>
      <c r="Z294" s="57">
        <f>IFERROR(__xludf.DUMMYFUNCTION("""COMPUTED_VALUE"""),0.6310394651248209)</f>
        <v>0.6310394651</v>
      </c>
      <c r="AA294" s="57">
        <f>IFERROR(__xludf.DUMMYFUNCTION("""COMPUTED_VALUE"""),1.3302938893244756)</f>
        <v>1.330293889</v>
      </c>
      <c r="AB294" s="57">
        <f>IFERROR(__xludf.DUMMYFUNCTION("""COMPUTED_VALUE"""),2.8443135446284677)</f>
        <v>2.844313545</v>
      </c>
      <c r="AC294" s="31">
        <f>IFERROR(__xludf.DUMMYFUNCTION("""COMPUTED_VALUE"""),350.76159186798344)</f>
        <v>350.7615919</v>
      </c>
      <c r="AD294" s="57">
        <f>IFERROR(__xludf.DUMMYFUNCTION("""COMPUTED_VALUE"""),0.7182458869723644)</f>
        <v>0.718245887</v>
      </c>
      <c r="AE294" s="57">
        <f>IFERROR(__xludf.DUMMYFUNCTION("""COMPUTED_VALUE"""),0.5354564386593793)</f>
        <v>0.5354564387</v>
      </c>
      <c r="AF294" s="57">
        <f>IFERROR(__xludf.DUMMYFUNCTION("""COMPUTED_VALUE"""),1.4598121026566566)</f>
        <v>1.459812103</v>
      </c>
      <c r="AG294" s="57">
        <f>IFERROR(__xludf.DUMMYFUNCTION("""COMPUTED_VALUE"""),2.4778162366979637)</f>
        <v>2.477816237</v>
      </c>
      <c r="AH294" s="57">
        <f>IFERROR(__xludf.DUMMYFUNCTION("""COMPUTED_VALUE"""),0.947580943027241)</f>
        <v>0.947580943</v>
      </c>
      <c r="AI294" s="57">
        <f>IFERROR(__xludf.DUMMYFUNCTION("""COMPUTED_VALUE"""),0.8121638340210614)</f>
        <v>0.812163834</v>
      </c>
      <c r="AJ294" s="57">
        <f>IFERROR(__xludf.DUMMYFUNCTION("""COMPUTED_VALUE"""),1.0894132392801612)</f>
        <v>1.089413239</v>
      </c>
      <c r="AK294" s="57">
        <f>IFERROR(__xludf.DUMMYFUNCTION("""COMPUTED_VALUE"""),0.9989870139310174)</f>
        <v>0.9989870139</v>
      </c>
      <c r="AL294" s="57">
        <f>IFERROR(__xludf.DUMMYFUNCTION("""COMPUTED_VALUE"""),0.8239782419811215)</f>
        <v>0.823978242</v>
      </c>
      <c r="AM294" s="57">
        <f>IFERROR(__xludf.DUMMYFUNCTION("""COMPUTED_VALUE"""),0.8929117487771422)</f>
        <v>0.8929117488</v>
      </c>
      <c r="AN294" s="57">
        <f>IFERROR(__xludf.DUMMYFUNCTION("""COMPUTED_VALUE"""),0.8153801197358773)</f>
        <v>0.8153801197</v>
      </c>
      <c r="AO294" s="57">
        <f>IFERROR(__xludf.DUMMYFUNCTION("""COMPUTED_VALUE"""),0.814353011641262)</f>
        <v>0.8143530116</v>
      </c>
      <c r="AP294" s="35">
        <f>IFERROR(__xludf.DUMMYFUNCTION("""COMPUTED_VALUE"""),0.8456777927253926)</f>
        <v>0.8456777927</v>
      </c>
      <c r="AQ294" s="57">
        <f>IFERROR(__xludf.DUMMYFUNCTION("""COMPUTED_VALUE"""),0.9326601080206474)</f>
        <v>0.932660108</v>
      </c>
      <c r="AR294" s="36" t="b">
        <f>IFERROR(__xludf.DUMMYFUNCTION("""COMPUTED_VALUE"""),TRUE)</f>
        <v>1</v>
      </c>
      <c r="AS294" s="57"/>
      <c r="AT294" s="37"/>
      <c r="AU294" s="30"/>
      <c r="AV294" s="30"/>
      <c r="AW294" s="30"/>
      <c r="AX294" s="30"/>
      <c r="AY294" s="30"/>
      <c r="AZ294" s="30"/>
    </row>
    <row r="295">
      <c r="A295" s="30" t="str">
        <f>IFERROR(__xludf.DUMMYFUNCTION("""COMPUTED_VALUE"""),"Elite")</f>
        <v>Elite</v>
      </c>
      <c r="B295" s="30" t="str">
        <f>IFERROR(__xludf.DUMMYFUNCTION("""COMPUTED_VALUE"""),"RSC007269")</f>
        <v>RSC007269</v>
      </c>
      <c r="C295" s="30" t="str">
        <f>IFERROR(__xludf.DUMMYFUNCTION("""COMPUTED_VALUE"""),"Navik")</f>
        <v>Navik</v>
      </c>
      <c r="D295" s="31" t="str">
        <f>IFERROR(__xludf.DUMMYFUNCTION("""COMPUTED_VALUE"""),"Stoked Blokes")</f>
        <v>Stoked Blokes</v>
      </c>
      <c r="E295" s="31">
        <f>IFERROR(__xludf.DUMMYFUNCTION("""COMPUTED_VALUE"""),46.151914518857495)</f>
        <v>46.15191452</v>
      </c>
      <c r="F295" s="31">
        <f>IFERROR(__xludf.DUMMYFUNCTION("""COMPUTED_VALUE"""),-2.278760502806379)</f>
        <v>-2.278760503</v>
      </c>
      <c r="G295" s="31">
        <f>IFERROR(__xludf.DUMMYFUNCTION("""COMPUTED_VALUE"""),46.2379360633392)</f>
        <v>46.23793606</v>
      </c>
      <c r="H295" s="31">
        <f>IFERROR(__xludf.DUMMYFUNCTION("""COMPUTED_VALUE"""),-2.27173619900107)</f>
        <v>-2.271736199</v>
      </c>
      <c r="I295" s="54">
        <f>IFERROR(__xludf.DUMMYFUNCTION("""COMPUTED_VALUE"""),43.0)</f>
        <v>43</v>
      </c>
      <c r="J295" s="55">
        <f>IFERROR(__xludf.DUMMYFUNCTION("""COMPUTED_VALUE"""),21.0)</f>
        <v>21</v>
      </c>
      <c r="K295" s="54">
        <f>IFERROR(__xludf.DUMMYFUNCTION("""COMPUTED_VALUE"""),22.0)</f>
        <v>22</v>
      </c>
      <c r="L295" s="56">
        <f>IFERROR(__xludf.DUMMYFUNCTION("""COMPUTED_VALUE"""),0.4883720930232558)</f>
        <v>0.488372093</v>
      </c>
      <c r="M295" s="56">
        <f>IFERROR(__xludf.DUMMYFUNCTION("""COMPUTED_VALUE"""),0.3131313131313131)</f>
        <v>0.3131313131</v>
      </c>
      <c r="N295" s="31">
        <f>IFERROR(__xludf.DUMMYFUNCTION("""COMPUTED_VALUE"""),347.69767441860466)</f>
        <v>347.6976744</v>
      </c>
      <c r="O295" s="57">
        <f>IFERROR(__xludf.DUMMYFUNCTION("""COMPUTED_VALUE"""),0.7209302325581395)</f>
        <v>0.7209302326</v>
      </c>
      <c r="P295" s="57">
        <f>IFERROR(__xludf.DUMMYFUNCTION("""COMPUTED_VALUE"""),0.4186046511627907)</f>
        <v>0.4186046512</v>
      </c>
      <c r="Q295" s="57">
        <f>IFERROR(__xludf.DUMMYFUNCTION("""COMPUTED_VALUE"""),1.4883720930232558)</f>
        <v>1.488372093</v>
      </c>
      <c r="R295" s="57">
        <f>IFERROR(__xludf.DUMMYFUNCTION("""COMPUTED_VALUE"""),2.302325581395349)</f>
        <v>2.302325581</v>
      </c>
      <c r="S295" s="31">
        <f>IFERROR(__xludf.DUMMYFUNCTION("""COMPUTED_VALUE"""),337.70542635658927)</f>
        <v>337.7054264</v>
      </c>
      <c r="T295" s="57">
        <f>IFERROR(__xludf.DUMMYFUNCTION("""COMPUTED_VALUE"""),0.6666666666666669)</f>
        <v>0.6666666667</v>
      </c>
      <c r="U295" s="57">
        <f>IFERROR(__xludf.DUMMYFUNCTION("""COMPUTED_VALUE"""),0.496124031007752)</f>
        <v>0.496124031</v>
      </c>
      <c r="V295" s="57">
        <f>IFERROR(__xludf.DUMMYFUNCTION("""COMPUTED_VALUE"""),1.3255813953488371)</f>
        <v>1.325581395</v>
      </c>
      <c r="W295" s="57">
        <f>IFERROR(__xludf.DUMMYFUNCTION("""COMPUTED_VALUE"""),2.5658914728682167)</f>
        <v>2.565891473</v>
      </c>
      <c r="X295" s="31">
        <f>IFERROR(__xludf.DUMMYFUNCTION("""COMPUTED_VALUE"""),360.25252808596696)</f>
        <v>360.2525281</v>
      </c>
      <c r="Y295" s="57">
        <f>IFERROR(__xludf.DUMMYFUNCTION("""COMPUTED_VALUE"""),0.7761903481844858)</f>
        <v>0.7761903482</v>
      </c>
      <c r="Z295" s="57">
        <f>IFERROR(__xludf.DUMMYFUNCTION("""COMPUTED_VALUE"""),0.602024042370007)</f>
        <v>0.6020240424</v>
      </c>
      <c r="AA295" s="57">
        <f>IFERROR(__xludf.DUMMYFUNCTION("""COMPUTED_VALUE"""),1.4492382185644765)</f>
        <v>1.449238219</v>
      </c>
      <c r="AB295" s="57">
        <f>IFERROR(__xludf.DUMMYFUNCTION("""COMPUTED_VALUE"""),2.5718450845448473)</f>
        <v>2.571845085</v>
      </c>
      <c r="AC295" s="31">
        <f>IFERROR(__xludf.DUMMYFUNCTION("""COMPUTED_VALUE"""),360.78506844862784)</f>
        <v>360.7850684</v>
      </c>
      <c r="AD295" s="57">
        <f>IFERROR(__xludf.DUMMYFUNCTION("""COMPUTED_VALUE"""),0.7983836215487309)</f>
        <v>0.7983836215</v>
      </c>
      <c r="AE295" s="57">
        <f>IFERROR(__xludf.DUMMYFUNCTION("""COMPUTED_VALUE"""),0.5944808073767313)</f>
        <v>0.5944808074</v>
      </c>
      <c r="AF295" s="57">
        <f>IFERROR(__xludf.DUMMYFUNCTION("""COMPUTED_VALUE"""),1.3603259215767518)</f>
        <v>1.360325922</v>
      </c>
      <c r="AG295" s="57">
        <f>IFERROR(__xludf.DUMMYFUNCTION("""COMPUTED_VALUE"""),2.6884007958189353)</f>
        <v>2.688400796</v>
      </c>
      <c r="AH295" s="57">
        <f>IFERROR(__xludf.DUMMYFUNCTION("""COMPUTED_VALUE"""),0.9637252337345921)</f>
        <v>0.9637252337</v>
      </c>
      <c r="AI295" s="57">
        <f>IFERROR(__xludf.DUMMYFUNCTION("""COMPUTED_VALUE"""),0.9029872521177917)</f>
        <v>0.9029872521</v>
      </c>
      <c r="AJ295" s="57">
        <f>IFERROR(__xludf.DUMMYFUNCTION("""COMPUTED_VALUE"""),0.7041516664095007)</f>
        <v>0.7041516664</v>
      </c>
      <c r="AK295" s="57">
        <f>IFERROR(__xludf.DUMMYFUNCTION("""COMPUTED_VALUE"""),1.094129038795413)</f>
        <v>1.094129039</v>
      </c>
      <c r="AL295" s="57">
        <f>IFERROR(__xludf.DUMMYFUNCTION("""COMPUTED_VALUE"""),0.8563922406867236)</f>
        <v>0.8563922407</v>
      </c>
      <c r="AM295" s="57">
        <f>IFERROR(__xludf.DUMMYFUNCTION("""COMPUTED_VALUE"""),0.9374130645267886)</f>
        <v>0.9374130645</v>
      </c>
      <c r="AN295" s="57">
        <f>IFERROR(__xludf.DUMMYFUNCTION("""COMPUTED_VALUE"""),0.8588958471668765)</f>
        <v>0.8588958472</v>
      </c>
      <c r="AO295" s="57">
        <f>IFERROR(__xludf.DUMMYFUNCTION("""COMPUTED_VALUE"""),0.8240933851323361)</f>
        <v>0.8240933851</v>
      </c>
      <c r="AP295" s="35">
        <f>IFERROR(__xludf.DUMMYFUNCTION("""COMPUTED_VALUE"""),0.914674605160409)</f>
        <v>0.9146746052</v>
      </c>
      <c r="AQ295" s="57">
        <f>IFERROR(__xludf.DUMMYFUNCTION("""COMPUTED_VALUE"""),0.9976850815344952)</f>
        <v>0.9976850815</v>
      </c>
      <c r="AR295" s="36" t="b">
        <f>IFERROR(__xludf.DUMMYFUNCTION("""COMPUTED_VALUE"""),TRUE)</f>
        <v>1</v>
      </c>
      <c r="AS295" s="57"/>
      <c r="AT295" s="37"/>
      <c r="AU295" s="30"/>
      <c r="AV295" s="30"/>
      <c r="AW295" s="30"/>
      <c r="AX295" s="30"/>
      <c r="AY295" s="30"/>
      <c r="AZ295" s="30"/>
    </row>
    <row r="296">
      <c r="A296" s="30" t="str">
        <f>IFERROR(__xludf.DUMMYFUNCTION("""COMPUTED_VALUE"""),"Elite")</f>
        <v>Elite</v>
      </c>
      <c r="B296" s="30" t="str">
        <f>IFERROR(__xludf.DUMMYFUNCTION("""COMPUTED_VALUE"""),"RSC006056")</f>
        <v>RSC006056</v>
      </c>
      <c r="C296" s="30" t="str">
        <f>IFERROR(__xludf.DUMMYFUNCTION("""COMPUTED_VALUE"""),"redsteel43br")</f>
        <v>redsteel43br</v>
      </c>
      <c r="D296" s="31" t="str">
        <f>IFERROR(__xludf.DUMMYFUNCTION("""COMPUTED_VALUE"""),"Great Whites")</f>
        <v>Great Whites</v>
      </c>
      <c r="E296" s="31">
        <f>IFERROR(__xludf.DUMMYFUNCTION("""COMPUTED_VALUE"""),44.897387995645445)</f>
        <v>44.897388</v>
      </c>
      <c r="F296" s="31">
        <f>IFERROR(__xludf.DUMMYFUNCTION("""COMPUTED_VALUE"""),-2.3858608540699935)</f>
        <v>-2.385860854</v>
      </c>
      <c r="G296" s="31">
        <f>IFERROR(__xludf.DUMMYFUNCTION("""COMPUTED_VALUE"""),24.427732743315627)</f>
        <v>24.42773274</v>
      </c>
      <c r="H296" s="31">
        <f>IFERROR(__xludf.DUMMYFUNCTION("""COMPUTED_VALUE"""),-6.528277376066539)</f>
        <v>-6.528277376</v>
      </c>
      <c r="I296" s="54">
        <f>IFERROR(__xludf.DUMMYFUNCTION("""COMPUTED_VALUE"""),13.0)</f>
        <v>13</v>
      </c>
      <c r="J296" s="55">
        <f>IFERROR(__xludf.DUMMYFUNCTION("""COMPUTED_VALUE"""),8.0)</f>
        <v>8</v>
      </c>
      <c r="K296" s="54">
        <f>IFERROR(__xludf.DUMMYFUNCTION("""COMPUTED_VALUE"""),5.0)</f>
        <v>5</v>
      </c>
      <c r="L296" s="56">
        <f>IFERROR(__xludf.DUMMYFUNCTION("""COMPUTED_VALUE"""),0.6153846153846154)</f>
        <v>0.6153846154</v>
      </c>
      <c r="M296" s="56">
        <f>IFERROR(__xludf.DUMMYFUNCTION("""COMPUTED_VALUE"""),0.1951219512195122)</f>
        <v>0.1951219512</v>
      </c>
      <c r="N296" s="31">
        <f>IFERROR(__xludf.DUMMYFUNCTION("""COMPUTED_VALUE"""),299.84615384615387)</f>
        <v>299.8461538</v>
      </c>
      <c r="O296" s="57">
        <f>IFERROR(__xludf.DUMMYFUNCTION("""COMPUTED_VALUE"""),0.6153846153846154)</f>
        <v>0.6153846154</v>
      </c>
      <c r="P296" s="57">
        <f>IFERROR(__xludf.DUMMYFUNCTION("""COMPUTED_VALUE"""),0.6153846153846154)</f>
        <v>0.6153846154</v>
      </c>
      <c r="Q296" s="57">
        <f>IFERROR(__xludf.DUMMYFUNCTION("""COMPUTED_VALUE"""),0.8461538461538461)</f>
        <v>0.8461538462</v>
      </c>
      <c r="R296" s="57">
        <f>IFERROR(__xludf.DUMMYFUNCTION("""COMPUTED_VALUE"""),3.1538461538461537)</f>
        <v>3.153846154</v>
      </c>
      <c r="S296" s="31">
        <f>IFERROR(__xludf.DUMMYFUNCTION("""COMPUTED_VALUE"""),383.2307692307692)</f>
        <v>383.2307692</v>
      </c>
      <c r="T296" s="57">
        <f>IFERROR(__xludf.DUMMYFUNCTION("""COMPUTED_VALUE"""),0.6666666666666666)</f>
        <v>0.6666666667</v>
      </c>
      <c r="U296" s="57">
        <f>IFERROR(__xludf.DUMMYFUNCTION("""COMPUTED_VALUE"""),0.5641025641025641)</f>
        <v>0.5641025641</v>
      </c>
      <c r="V296" s="57">
        <f>IFERROR(__xludf.DUMMYFUNCTION("""COMPUTED_VALUE"""),1.8717948717948718)</f>
        <v>1.871794872</v>
      </c>
      <c r="W296" s="57">
        <f>IFERROR(__xludf.DUMMYFUNCTION("""COMPUTED_VALUE"""),2.41025641025641)</f>
        <v>2.41025641</v>
      </c>
      <c r="X296" s="31">
        <f>IFERROR(__xludf.DUMMYFUNCTION("""COMPUTED_VALUE"""),364.8840864851903)</f>
        <v>364.8840865</v>
      </c>
      <c r="Y296" s="57">
        <f>IFERROR(__xludf.DUMMYFUNCTION("""COMPUTED_VALUE"""),0.705955924300768)</f>
        <v>0.7059559243</v>
      </c>
      <c r="Z296" s="57">
        <f>IFERROR(__xludf.DUMMYFUNCTION("""COMPUTED_VALUE"""),0.42456395239762)</f>
        <v>0.4245639524</v>
      </c>
      <c r="AA296" s="57">
        <f>IFERROR(__xludf.DUMMYFUNCTION("""COMPUTED_VALUE"""),1.7480314386683669)</f>
        <v>1.748031439</v>
      </c>
      <c r="AB296" s="57">
        <f>IFERROR(__xludf.DUMMYFUNCTION("""COMPUTED_VALUE"""),2.3886825857357006)</f>
        <v>2.388682586</v>
      </c>
      <c r="AC296" s="31">
        <f>IFERROR(__xludf.DUMMYFUNCTION("""COMPUTED_VALUE"""),374.0525411212402)</f>
        <v>374.0525411</v>
      </c>
      <c r="AD296" s="57">
        <f>IFERROR(__xludf.DUMMYFUNCTION("""COMPUTED_VALUE"""),0.8782498565808716)</f>
        <v>0.8782498566</v>
      </c>
      <c r="AE296" s="57">
        <f>IFERROR(__xludf.DUMMYFUNCTION("""COMPUTED_VALUE"""),0.6540314605495431)</f>
        <v>0.6540314605</v>
      </c>
      <c r="AF296" s="57">
        <f>IFERROR(__xludf.DUMMYFUNCTION("""COMPUTED_VALUE"""),1.3037114132964716)</f>
        <v>1.303711413</v>
      </c>
      <c r="AG296" s="57">
        <f>IFERROR(__xludf.DUMMYFUNCTION("""COMPUTED_VALUE"""),3.0793004808539846)</f>
        <v>3.079300481</v>
      </c>
      <c r="AH296" s="57">
        <f>IFERROR(__xludf.DUMMYFUNCTION("""COMPUTED_VALUE"""),0.8016150697635974)</f>
        <v>0.8016150698</v>
      </c>
      <c r="AI296" s="57">
        <f>IFERROR(__xludf.DUMMYFUNCTION("""COMPUTED_VALUE"""),0.7006942395417848)</f>
        <v>0.7006942395</v>
      </c>
      <c r="AJ296" s="57">
        <f>IFERROR(__xludf.DUMMYFUNCTION("""COMPUTED_VALUE"""),0.9409098071024671)</f>
        <v>0.9409098071</v>
      </c>
      <c r="AK296" s="57">
        <f>IFERROR(__xludf.DUMMYFUNCTION("""COMPUTED_VALUE"""),0.6490346234020625)</f>
        <v>0.6490346234</v>
      </c>
      <c r="AL296" s="57">
        <f>IFERROR(__xludf.DUMMYFUNCTION("""COMPUTED_VALUE"""),1.0242086387657419)</f>
        <v>1.024208639</v>
      </c>
      <c r="AM296" s="57">
        <f>IFERROR(__xludf.DUMMYFUNCTION("""COMPUTED_VALUE"""),1.050280851988659)</f>
        <v>1.050280852</v>
      </c>
      <c r="AN296" s="57">
        <f>IFERROR(__xludf.DUMMYFUNCTION("""COMPUTED_VALUE"""),0.9443460189486809)</f>
        <v>0.9443460189</v>
      </c>
      <c r="AO296" s="57">
        <f>IFERROR(__xludf.DUMMYFUNCTION("""COMPUTED_VALUE"""),1.3286633519330462)</f>
        <v>1.328663352</v>
      </c>
      <c r="AP296" s="35">
        <f>IFERROR(__xludf.DUMMYFUNCTION("""COMPUTED_VALUE"""),1.070801605960123)</f>
        <v>1.070801606</v>
      </c>
      <c r="AQ296" s="57">
        <f>IFERROR(__xludf.DUMMYFUNCTION("""COMPUTED_VALUE"""),1.0090316832590234)</f>
        <v>1.009031683</v>
      </c>
      <c r="AR296" s="36" t="b">
        <f>IFERROR(__xludf.DUMMYFUNCTION("""COMPUTED_VALUE"""),TRUE)</f>
        <v>1</v>
      </c>
      <c r="AS296" s="57"/>
      <c r="AT296" s="37"/>
      <c r="AU296" s="30"/>
      <c r="AV296" s="30"/>
      <c r="AW296" s="30"/>
      <c r="AX296" s="30"/>
      <c r="AY296" s="30"/>
      <c r="AZ296" s="30"/>
    </row>
    <row r="297">
      <c r="A297" s="30" t="str">
        <f>IFERROR(__xludf.DUMMYFUNCTION("""COMPUTED_VALUE"""),"Elite")</f>
        <v>Elite</v>
      </c>
      <c r="B297" s="30" t="str">
        <f>IFERROR(__xludf.DUMMYFUNCTION("""COMPUTED_VALUE"""),"RSC003113")</f>
        <v>RSC003113</v>
      </c>
      <c r="C297" s="30" t="str">
        <f>IFERROR(__xludf.DUMMYFUNCTION("""COMPUTED_VALUE"""),"Nebulade")</f>
        <v>Nebulade</v>
      </c>
      <c r="D297" s="31" t="str">
        <f>IFERROR(__xludf.DUMMYFUNCTION("""COMPUTED_VALUE"""),"Pylons")</f>
        <v>Pylons</v>
      </c>
      <c r="E297" s="31">
        <f>IFERROR(__xludf.DUMMYFUNCTION("""COMPUTED_VALUE"""),44.839083257985045)</f>
        <v>44.83908326</v>
      </c>
      <c r="F297" s="31">
        <f>IFERROR(__xludf.DUMMYFUNCTION("""COMPUTED_VALUE"""),-2.3910579328567647)</f>
        <v>-2.391057933</v>
      </c>
      <c r="G297" s="31">
        <f>IFERROR(__xludf.DUMMYFUNCTION("""COMPUTED_VALUE"""),41.19440799146914)</f>
        <v>41.19440799</v>
      </c>
      <c r="H297" s="31">
        <f>IFERROR(__xludf.DUMMYFUNCTION("""COMPUTED_VALUE"""),-2.7598749325026106)</f>
        <v>-2.759874933</v>
      </c>
      <c r="I297" s="54">
        <f>IFERROR(__xludf.DUMMYFUNCTION("""COMPUTED_VALUE"""),48.0)</f>
        <v>48</v>
      </c>
      <c r="J297" s="55">
        <f>IFERROR(__xludf.DUMMYFUNCTION("""COMPUTED_VALUE"""),18.0)</f>
        <v>18</v>
      </c>
      <c r="K297" s="54">
        <f>IFERROR(__xludf.DUMMYFUNCTION("""COMPUTED_VALUE"""),30.0)</f>
        <v>30</v>
      </c>
      <c r="L297" s="56">
        <f>IFERROR(__xludf.DUMMYFUNCTION("""COMPUTED_VALUE"""),0.375)</f>
        <v>0.375</v>
      </c>
      <c r="M297" s="56">
        <f>IFERROR(__xludf.DUMMYFUNCTION("""COMPUTED_VALUE"""),0.26356589147286824)</f>
        <v>0.2635658915</v>
      </c>
      <c r="N297" s="31">
        <f>IFERROR(__xludf.DUMMYFUNCTION("""COMPUTED_VALUE"""),334.9375)</f>
        <v>334.9375</v>
      </c>
      <c r="O297" s="57">
        <f>IFERROR(__xludf.DUMMYFUNCTION("""COMPUTED_VALUE"""),0.7083333333333334)</f>
        <v>0.7083333333</v>
      </c>
      <c r="P297" s="57">
        <f>IFERROR(__xludf.DUMMYFUNCTION("""COMPUTED_VALUE"""),0.5208333333333334)</f>
        <v>0.5208333333</v>
      </c>
      <c r="Q297" s="57">
        <f>IFERROR(__xludf.DUMMYFUNCTION("""COMPUTED_VALUE"""),1.4166666666666667)</f>
        <v>1.416666667</v>
      </c>
      <c r="R297" s="57">
        <f>IFERROR(__xludf.DUMMYFUNCTION("""COMPUTED_VALUE"""),2.6875)</f>
        <v>2.6875</v>
      </c>
      <c r="S297" s="31">
        <f>IFERROR(__xludf.DUMMYFUNCTION("""COMPUTED_VALUE"""),374.74999999999994)</f>
        <v>374.75</v>
      </c>
      <c r="T297" s="57">
        <f>IFERROR(__xludf.DUMMYFUNCTION("""COMPUTED_VALUE"""),0.9097222222222227)</f>
        <v>0.9097222222</v>
      </c>
      <c r="U297" s="57">
        <f>IFERROR(__xludf.DUMMYFUNCTION("""COMPUTED_VALUE"""),0.673611111111111)</f>
        <v>0.6736111111</v>
      </c>
      <c r="V297" s="57">
        <f>IFERROR(__xludf.DUMMYFUNCTION("""COMPUTED_VALUE"""),1.4166666666666667)</f>
        <v>1.416666667</v>
      </c>
      <c r="W297" s="57">
        <f>IFERROR(__xludf.DUMMYFUNCTION("""COMPUTED_VALUE"""),2.6875000000000004)</f>
        <v>2.6875</v>
      </c>
      <c r="X297" s="31">
        <f>IFERROR(__xludf.DUMMYFUNCTION("""COMPUTED_VALUE"""),357.4619168875608)</f>
        <v>357.4619169</v>
      </c>
      <c r="Y297" s="57">
        <f>IFERROR(__xludf.DUMMYFUNCTION("""COMPUTED_VALUE"""),0.7732782047981267)</f>
        <v>0.7732782048</v>
      </c>
      <c r="Z297" s="57">
        <f>IFERROR(__xludf.DUMMYFUNCTION("""COMPUTED_VALUE"""),0.5725940871213808)</f>
        <v>0.5725940871</v>
      </c>
      <c r="AA297" s="57">
        <f>IFERROR(__xludf.DUMMYFUNCTION("""COMPUTED_VALUE"""),1.4080868732781198)</f>
        <v>1.408086873</v>
      </c>
      <c r="AB297" s="57">
        <f>IFERROR(__xludf.DUMMYFUNCTION("""COMPUTED_VALUE"""),2.593024367232999)</f>
        <v>2.593024367</v>
      </c>
      <c r="AC297" s="31">
        <f>IFERROR(__xludf.DUMMYFUNCTION("""COMPUTED_VALUE"""),364.08790059090256)</f>
        <v>364.0879006</v>
      </c>
      <c r="AD297" s="57">
        <f>IFERROR(__xludf.DUMMYFUNCTION("""COMPUTED_VALUE"""),0.8108670488386184)</f>
        <v>0.8108670488</v>
      </c>
      <c r="AE297" s="57">
        <f>IFERROR(__xludf.DUMMYFUNCTION("""COMPUTED_VALUE"""),0.6120644348443526)</f>
        <v>0.6120644348</v>
      </c>
      <c r="AF297" s="57">
        <f>IFERROR(__xludf.DUMMYFUNCTION("""COMPUTED_VALUE"""),1.3871786424287726)</f>
        <v>1.387178642</v>
      </c>
      <c r="AG297" s="57">
        <f>IFERROR(__xludf.DUMMYFUNCTION("""COMPUTED_VALUE"""),2.71603454040496)</f>
        <v>2.71603454</v>
      </c>
      <c r="AH297" s="57">
        <f>IFERROR(__xludf.DUMMYFUNCTION("""COMPUTED_VALUE"""),0.9199358162037452)</f>
        <v>0.9199358162</v>
      </c>
      <c r="AI297" s="57">
        <f>IFERROR(__xludf.DUMMYFUNCTION("""COMPUTED_VALUE"""),0.8735505214422745)</f>
        <v>0.8735505214</v>
      </c>
      <c r="AJ297" s="57">
        <f>IFERROR(__xludf.DUMMYFUNCTION("""COMPUTED_VALUE"""),0.8509452660254321)</f>
        <v>0.850945266</v>
      </c>
      <c r="AK297" s="57">
        <f>IFERROR(__xludf.DUMMYFUNCTION("""COMPUTED_VALUE"""),1.021257553523362)</f>
        <v>1.021257554</v>
      </c>
      <c r="AL297" s="57">
        <f>IFERROR(__xludf.DUMMYFUNCTION("""COMPUTED_VALUE"""),0.9894940436211442)</f>
        <v>0.9894940436</v>
      </c>
      <c r="AM297" s="57">
        <f>IFERROR(__xludf.DUMMYFUNCTION("""COMPUTED_VALUE"""),1.0483634264118746)</f>
        <v>1.048363426</v>
      </c>
      <c r="AN297" s="57">
        <f>IFERROR(__xludf.DUMMYFUNCTION("""COMPUTED_VALUE"""),1.1764488079160542)</f>
        <v>1.176448808</v>
      </c>
      <c r="AO297" s="57">
        <f>IFERROR(__xludf.DUMMYFUNCTION("""COMPUTED_VALUE"""),1.1764199565831637)</f>
        <v>1.176419957</v>
      </c>
      <c r="AP297" s="35">
        <f>IFERROR(__xludf.DUMMYFUNCTION("""COMPUTED_VALUE"""),1.0060932273081793)</f>
        <v>1.006093227</v>
      </c>
      <c r="AQ297" s="57">
        <f>IFERROR(__xludf.DUMMYFUNCTION("""COMPUTED_VALUE"""),1.0364345333429381)</f>
        <v>1.036434533</v>
      </c>
      <c r="AR297" s="36" t="b">
        <f>IFERROR(__xludf.DUMMYFUNCTION("""COMPUTED_VALUE"""),TRUE)</f>
        <v>1</v>
      </c>
      <c r="AS297" s="57"/>
      <c r="AT297" s="37"/>
      <c r="AU297" s="30"/>
      <c r="AV297" s="30"/>
      <c r="AW297" s="30"/>
      <c r="AX297" s="30"/>
      <c r="AY297" s="30"/>
      <c r="AZ297" s="30"/>
    </row>
    <row r="298">
      <c r="A298" s="30" t="str">
        <f>IFERROR(__xludf.DUMMYFUNCTION("""COMPUTED_VALUE"""),"Elite")</f>
        <v>Elite</v>
      </c>
      <c r="B298" s="30" t="str">
        <f>IFERROR(__xludf.DUMMYFUNCTION("""COMPUTED_VALUE"""),"RSC000344")</f>
        <v>RSC000344</v>
      </c>
      <c r="C298" s="30" t="str">
        <f>IFERROR(__xludf.DUMMYFUNCTION("""COMPUTED_VALUE"""),"Mezmer")</f>
        <v>Mezmer</v>
      </c>
      <c r="D298" s="31" t="str">
        <f>IFERROR(__xludf.DUMMYFUNCTION("""COMPUTED_VALUE"""),"Demons")</f>
        <v>Demons</v>
      </c>
      <c r="E298" s="31">
        <f>IFERROR(__xludf.DUMMYFUNCTION("""COMPUTED_VALUE"""),44.34109361455976)</f>
        <v>44.34109361</v>
      </c>
      <c r="F298" s="31">
        <f>IFERROR(__xludf.DUMMYFUNCTION("""COMPUTED_VALUE"""),-2.4362780866307507)</f>
        <v>-2.436278087</v>
      </c>
      <c r="G298" s="31">
        <f>IFERROR(__xludf.DUMMYFUNCTION("""COMPUTED_VALUE"""),32.99235125469572)</f>
        <v>32.99235125</v>
      </c>
      <c r="H298" s="31">
        <f>IFERROR(__xludf.DUMMYFUNCTION("""COMPUTED_VALUE"""),-4.029733323016496)</f>
        <v>-4.029733323</v>
      </c>
      <c r="I298" s="54">
        <f>IFERROR(__xludf.DUMMYFUNCTION("""COMPUTED_VALUE"""),36.0)</f>
        <v>36</v>
      </c>
      <c r="J298" s="55">
        <f>IFERROR(__xludf.DUMMYFUNCTION("""COMPUTED_VALUE"""),15.0)</f>
        <v>15</v>
      </c>
      <c r="K298" s="54">
        <f>IFERROR(__xludf.DUMMYFUNCTION("""COMPUTED_VALUE"""),21.0)</f>
        <v>21</v>
      </c>
      <c r="L298" s="56">
        <f>IFERROR(__xludf.DUMMYFUNCTION("""COMPUTED_VALUE"""),0.4166666666666667)</f>
        <v>0.4166666667</v>
      </c>
      <c r="M298" s="56">
        <f>IFERROR(__xludf.DUMMYFUNCTION("""COMPUTED_VALUE"""),0.27586206896551724)</f>
        <v>0.275862069</v>
      </c>
      <c r="N298" s="31">
        <f>IFERROR(__xludf.DUMMYFUNCTION("""COMPUTED_VALUE"""),319.05555555555554)</f>
        <v>319.0555556</v>
      </c>
      <c r="O298" s="57">
        <f>IFERROR(__xludf.DUMMYFUNCTION("""COMPUTED_VALUE"""),0.6666666666666666)</f>
        <v>0.6666666667</v>
      </c>
      <c r="P298" s="57">
        <f>IFERROR(__xludf.DUMMYFUNCTION("""COMPUTED_VALUE"""),0.5277777777777778)</f>
        <v>0.5277777778</v>
      </c>
      <c r="Q298" s="57">
        <f>IFERROR(__xludf.DUMMYFUNCTION("""COMPUTED_VALUE"""),1.1666666666666667)</f>
        <v>1.166666667</v>
      </c>
      <c r="R298" s="57">
        <f>IFERROR(__xludf.DUMMYFUNCTION("""COMPUTED_VALUE"""),2.4166666666666665)</f>
        <v>2.416666667</v>
      </c>
      <c r="S298" s="31">
        <f>IFERROR(__xludf.DUMMYFUNCTION("""COMPUTED_VALUE"""),376.65740740740745)</f>
        <v>376.6574074</v>
      </c>
      <c r="T298" s="57">
        <f>IFERROR(__xludf.DUMMYFUNCTION("""COMPUTED_VALUE"""),0.9537037037037037)</f>
        <v>0.9537037037</v>
      </c>
      <c r="U298" s="57">
        <f>IFERROR(__xludf.DUMMYFUNCTION("""COMPUTED_VALUE"""),0.7222222222222221)</f>
        <v>0.7222222222</v>
      </c>
      <c r="V298" s="57">
        <f>IFERROR(__xludf.DUMMYFUNCTION("""COMPUTED_VALUE"""),1.212962962962963)</f>
        <v>1.212962963</v>
      </c>
      <c r="W298" s="57">
        <f>IFERROR(__xludf.DUMMYFUNCTION("""COMPUTED_VALUE"""),2.9629629629629637)</f>
        <v>2.962962963</v>
      </c>
      <c r="X298" s="31">
        <f>IFERROR(__xludf.DUMMYFUNCTION("""COMPUTED_VALUE"""),379.697678933025)</f>
        <v>379.6976789</v>
      </c>
      <c r="Y298" s="57">
        <f>IFERROR(__xludf.DUMMYFUNCTION("""COMPUTED_VALUE"""),0.9182060171611981)</f>
        <v>0.9182060172</v>
      </c>
      <c r="Z298" s="57">
        <f>IFERROR(__xludf.DUMMYFUNCTION("""COMPUTED_VALUE"""),0.6438435655587695)</f>
        <v>0.6438435656</v>
      </c>
      <c r="AA298" s="57">
        <f>IFERROR(__xludf.DUMMYFUNCTION("""COMPUTED_VALUE"""),1.3511282912952165)</f>
        <v>1.351128291</v>
      </c>
      <c r="AB298" s="57">
        <f>IFERROR(__xludf.DUMMYFUNCTION("""COMPUTED_VALUE"""),2.837761856976905)</f>
        <v>2.837761857</v>
      </c>
      <c r="AC298" s="31">
        <f>IFERROR(__xludf.DUMMYFUNCTION("""COMPUTED_VALUE"""),357.1085340863156)</f>
        <v>357.1085341</v>
      </c>
      <c r="AD298" s="57">
        <f>IFERROR(__xludf.DUMMYFUNCTION("""COMPUTED_VALUE"""),0.7477211953076)</f>
        <v>0.7477211953</v>
      </c>
      <c r="AE298" s="57">
        <f>IFERROR(__xludf.DUMMYFUNCTION("""COMPUTED_VALUE"""),0.5424433379956438)</f>
        <v>0.542443338</v>
      </c>
      <c r="AF298" s="57">
        <f>IFERROR(__xludf.DUMMYFUNCTION("""COMPUTED_VALUE"""),1.4937434876558071)</f>
        <v>1.493743488</v>
      </c>
      <c r="AG298" s="57">
        <f>IFERROR(__xludf.DUMMYFUNCTION("""COMPUTED_VALUE"""),2.503062429511912)</f>
        <v>2.50306243</v>
      </c>
      <c r="AH298" s="57">
        <f>IFERROR(__xludf.DUMMYFUNCTION("""COMPUTED_VALUE"""),0.8934414193485435)</f>
        <v>0.8934414193</v>
      </c>
      <c r="AI298" s="57">
        <f>IFERROR(__xludf.DUMMYFUNCTION("""COMPUTED_VALUE"""),0.8915979256043574)</f>
        <v>0.8915979256</v>
      </c>
      <c r="AJ298" s="57">
        <f>IFERROR(__xludf.DUMMYFUNCTION("""COMPUTED_VALUE"""),0.972963885459344)</f>
        <v>0.9729638855</v>
      </c>
      <c r="AK298" s="57">
        <f>IFERROR(__xludf.DUMMYFUNCTION("""COMPUTED_VALUE"""),0.7810354832057307)</f>
        <v>0.7810354832</v>
      </c>
      <c r="AL298" s="57">
        <f>IFERROR(__xludf.DUMMYFUNCTION("""COMPUTED_VALUE"""),0.9654839760180922)</f>
        <v>0.965483976</v>
      </c>
      <c r="AM298" s="57">
        <f>IFERROR(__xludf.DUMMYFUNCTION("""COMPUTED_VALUE"""),0.9919929151682968)</f>
        <v>0.9919929152</v>
      </c>
      <c r="AN298" s="57">
        <f>IFERROR(__xludf.DUMMYFUNCTION("""COMPUTED_VALUE"""),1.0386598278371701)</f>
        <v>1.038659828</v>
      </c>
      <c r="AO298" s="57">
        <f>IFERROR(__xludf.DUMMYFUNCTION("""COMPUTED_VALUE"""),1.1217355594684408)</f>
        <v>1.121735559</v>
      </c>
      <c r="AP298" s="35">
        <f>IFERROR(__xludf.DUMMYFUNCTION("""COMPUTED_VALUE"""),0.8977407776727067)</f>
        <v>0.8977407777</v>
      </c>
      <c r="AQ298" s="57">
        <f>IFERROR(__xludf.DUMMYFUNCTION("""COMPUTED_VALUE"""),1.0441196662356427)</f>
        <v>1.044119666</v>
      </c>
      <c r="AR298" s="36" t="b">
        <f>IFERROR(__xludf.DUMMYFUNCTION("""COMPUTED_VALUE"""),TRUE)</f>
        <v>1</v>
      </c>
      <c r="AS298" s="57"/>
      <c r="AT298" s="37"/>
      <c r="AU298" s="30"/>
      <c r="AV298" s="30"/>
      <c r="AW298" s="30"/>
      <c r="AX298" s="30"/>
      <c r="AY298" s="30"/>
      <c r="AZ298" s="30"/>
    </row>
    <row r="299">
      <c r="A299" s="30" t="str">
        <f>IFERROR(__xludf.DUMMYFUNCTION("""COMPUTED_VALUE"""),"Elite")</f>
        <v>Elite</v>
      </c>
      <c r="B299" s="30" t="str">
        <f>IFERROR(__xludf.DUMMYFUNCTION("""COMPUTED_VALUE"""),"RSC002102")</f>
        <v>RSC002102</v>
      </c>
      <c r="C299" s="30" t="str">
        <f>IFERROR(__xludf.DUMMYFUNCTION("""COMPUTED_VALUE"""),"Cable")</f>
        <v>Cable</v>
      </c>
      <c r="D299" s="31" t="str">
        <f>IFERROR(__xludf.DUMMYFUNCTION("""COMPUTED_VALUE"""),"Teddy Bears")</f>
        <v>Teddy Bears</v>
      </c>
      <c r="E299" s="31">
        <f>IFERROR(__xludf.DUMMYFUNCTION("""COMPUTED_VALUE"""),43.790946150083656)</f>
        <v>43.79094615</v>
      </c>
      <c r="F299" s="31">
        <f>IFERROR(__xludf.DUMMYFUNCTION("""COMPUTED_VALUE"""),-2.4880133330989116)</f>
        <v>-2.488013333</v>
      </c>
      <c r="G299" s="31">
        <f>IFERROR(__xludf.DUMMYFUNCTION("""COMPUTED_VALUE"""),48.6797999127983)</f>
        <v>48.67979991</v>
      </c>
      <c r="H299" s="31">
        <f>IFERROR(__xludf.DUMMYFUNCTION("""COMPUTED_VALUE"""),-2.087933563083644)</f>
        <v>-2.087933563</v>
      </c>
      <c r="I299" s="54">
        <f>IFERROR(__xludf.DUMMYFUNCTION("""COMPUTED_VALUE"""),42.0)</f>
        <v>42</v>
      </c>
      <c r="J299" s="55">
        <f>IFERROR(__xludf.DUMMYFUNCTION("""COMPUTED_VALUE"""),20.0)</f>
        <v>20</v>
      </c>
      <c r="K299" s="54">
        <f>IFERROR(__xludf.DUMMYFUNCTION("""COMPUTED_VALUE"""),22.0)</f>
        <v>22</v>
      </c>
      <c r="L299" s="56">
        <f>IFERROR(__xludf.DUMMYFUNCTION("""COMPUTED_VALUE"""),0.47619047619047616)</f>
        <v>0.4761904762</v>
      </c>
      <c r="M299" s="56">
        <f>IFERROR(__xludf.DUMMYFUNCTION("""COMPUTED_VALUE"""),0.24561403508771928)</f>
        <v>0.2456140351</v>
      </c>
      <c r="N299" s="31">
        <f>IFERROR(__xludf.DUMMYFUNCTION("""COMPUTED_VALUE"""),324.9047619047619)</f>
        <v>324.9047619</v>
      </c>
      <c r="O299" s="57">
        <f>IFERROR(__xludf.DUMMYFUNCTION("""COMPUTED_VALUE"""),0.6666666666666666)</f>
        <v>0.6666666667</v>
      </c>
      <c r="P299" s="57">
        <f>IFERROR(__xludf.DUMMYFUNCTION("""COMPUTED_VALUE"""),0.47619047619047616)</f>
        <v>0.4761904762</v>
      </c>
      <c r="Q299" s="57">
        <f>IFERROR(__xludf.DUMMYFUNCTION("""COMPUTED_VALUE"""),1.1904761904761905)</f>
        <v>1.19047619</v>
      </c>
      <c r="R299" s="57">
        <f>IFERROR(__xludf.DUMMYFUNCTION("""COMPUTED_VALUE"""),2.7142857142857144)</f>
        <v>2.714285714</v>
      </c>
      <c r="S299" s="31">
        <f>IFERROR(__xludf.DUMMYFUNCTION("""COMPUTED_VALUE"""),353.31746031746036)</f>
        <v>353.3174603</v>
      </c>
      <c r="T299" s="57">
        <f>IFERROR(__xludf.DUMMYFUNCTION("""COMPUTED_VALUE"""),0.738095238095238)</f>
        <v>0.7380952381</v>
      </c>
      <c r="U299" s="57">
        <f>IFERROR(__xludf.DUMMYFUNCTION("""COMPUTED_VALUE"""),0.5952380952380951)</f>
        <v>0.5952380952</v>
      </c>
      <c r="V299" s="57">
        <f>IFERROR(__xludf.DUMMYFUNCTION("""COMPUTED_VALUE"""),1.4047619047619047)</f>
        <v>1.404761905</v>
      </c>
      <c r="W299" s="57">
        <f>IFERROR(__xludf.DUMMYFUNCTION("""COMPUTED_VALUE"""),2.3571428571428563)</f>
        <v>2.357142857</v>
      </c>
      <c r="X299" s="31">
        <f>IFERROR(__xludf.DUMMYFUNCTION("""COMPUTED_VALUE"""),351.2561237217444)</f>
        <v>351.2561237</v>
      </c>
      <c r="Y299" s="57">
        <f>IFERROR(__xludf.DUMMYFUNCTION("""COMPUTED_VALUE"""),0.6940036175299225)</f>
        <v>0.6940036175</v>
      </c>
      <c r="Z299" s="57">
        <f>IFERROR(__xludf.DUMMYFUNCTION("""COMPUTED_VALUE"""),0.526692385330484)</f>
        <v>0.5266923853</v>
      </c>
      <c r="AA299" s="57">
        <f>IFERROR(__xludf.DUMMYFUNCTION("""COMPUTED_VALUE"""),1.4880169007720643)</f>
        <v>1.488016901</v>
      </c>
      <c r="AB299" s="57">
        <f>IFERROR(__xludf.DUMMYFUNCTION("""COMPUTED_VALUE"""),2.488846233872578)</f>
        <v>2.488846234</v>
      </c>
      <c r="AC299" s="31">
        <f>IFERROR(__xludf.DUMMYFUNCTION("""COMPUTED_VALUE"""),361.4716203208442)</f>
        <v>361.4716203</v>
      </c>
      <c r="AD299" s="57">
        <f>IFERROR(__xludf.DUMMYFUNCTION("""COMPUTED_VALUE"""),0.8122511083053952)</f>
        <v>0.8122511083</v>
      </c>
      <c r="AE299" s="57">
        <f>IFERROR(__xludf.DUMMYFUNCTION("""COMPUTED_VALUE"""),0.6081903368019714)</f>
        <v>0.6081903368</v>
      </c>
      <c r="AF299" s="57">
        <f>IFERROR(__xludf.DUMMYFUNCTION("""COMPUTED_VALUE"""),1.33956247890979)</f>
        <v>1.339562479</v>
      </c>
      <c r="AG299" s="57">
        <f>IFERROR(__xludf.DUMMYFUNCTION("""COMPUTED_VALUE"""),2.7414523998365334)</f>
        <v>2.7414524</v>
      </c>
      <c r="AH299" s="57">
        <f>IFERROR(__xludf.DUMMYFUNCTION("""COMPUTED_VALUE"""),0.8988389230014093)</f>
        <v>0.898838923</v>
      </c>
      <c r="AI299" s="57">
        <f>IFERROR(__xludf.DUMMYFUNCTION("""COMPUTED_VALUE"""),0.820764243778673)</f>
        <v>0.8207642438</v>
      </c>
      <c r="AJ299" s="57">
        <f>IFERROR(__xludf.DUMMYFUNCTION("""COMPUTED_VALUE"""),0.7829629104178372)</f>
        <v>0.7829629104</v>
      </c>
      <c r="AK299" s="57">
        <f>IFERROR(__xludf.DUMMYFUNCTION("""COMPUTED_VALUE"""),0.8887052371346396)</f>
        <v>0.8887052371</v>
      </c>
      <c r="AL299" s="57">
        <f>IFERROR(__xludf.DUMMYFUNCTION("""COMPUTED_VALUE"""),0.9900904040674064)</f>
        <v>0.9900904041</v>
      </c>
      <c r="AM299" s="57">
        <f>IFERROR(__xludf.DUMMYFUNCTION("""COMPUTED_VALUE"""),1.0058684716265585)</f>
        <v>1.005868472</v>
      </c>
      <c r="AN299" s="57">
        <f>IFERROR(__xludf.DUMMYFUNCTION("""COMPUTED_VALUE"""),1.0635322633075677)</f>
        <v>1.063532263</v>
      </c>
      <c r="AO299" s="57">
        <f>IFERROR(__xludf.DUMMYFUNCTION("""COMPUTED_VALUE"""),1.1301437268066836)</f>
        <v>1.130143727</v>
      </c>
      <c r="AP299" s="35">
        <f>IFERROR(__xludf.DUMMYFUNCTION("""COMPUTED_VALUE"""),0.9440496973072265)</f>
        <v>0.9440496973</v>
      </c>
      <c r="AQ299" s="57">
        <f>IFERROR(__xludf.DUMMYFUNCTION("""COMPUTED_VALUE"""),0.94708255779836)</f>
        <v>0.9470825578</v>
      </c>
      <c r="AR299" s="36" t="b">
        <f>IFERROR(__xludf.DUMMYFUNCTION("""COMPUTED_VALUE"""),TRUE)</f>
        <v>1</v>
      </c>
      <c r="AS299" s="57"/>
      <c r="AT299" s="37"/>
      <c r="AU299" s="30"/>
      <c r="AV299" s="30"/>
      <c r="AW299" s="30"/>
      <c r="AX299" s="30"/>
      <c r="AY299" s="30"/>
      <c r="AZ299" s="30"/>
    </row>
    <row r="300">
      <c r="A300" s="30" t="str">
        <f>IFERROR(__xludf.DUMMYFUNCTION("""COMPUTED_VALUE"""),"Elite")</f>
        <v>Elite</v>
      </c>
      <c r="B300" s="30" t="str">
        <f>IFERROR(__xludf.DUMMYFUNCTION("""COMPUTED_VALUE"""),"RSC006446")</f>
        <v>RSC006446</v>
      </c>
      <c r="C300" s="30" t="str">
        <f>IFERROR(__xludf.DUMMYFUNCTION("""COMPUTED_VALUE"""),"ACE_Cosplays.TTV")</f>
        <v>ACE_Cosplays.TTV</v>
      </c>
      <c r="D300" s="31" t="str">
        <f>IFERROR(__xludf.DUMMYFUNCTION("""COMPUTED_VALUE"""),"Majesties")</f>
        <v>Majesties</v>
      </c>
      <c r="E300" s="31">
        <f>IFERROR(__xludf.DUMMYFUNCTION("""COMPUTED_VALUE"""),43.7031645573918)</f>
        <v>43.70316456</v>
      </c>
      <c r="F300" s="31">
        <f>IFERROR(__xludf.DUMMYFUNCTION("""COMPUTED_VALUE"""),-2.496445975539375)</f>
        <v>-2.496445976</v>
      </c>
      <c r="G300" s="31">
        <f>IFERROR(__xludf.DUMMYFUNCTION("""COMPUTED_VALUE"""),57.43381593844066)</f>
        <v>57.43381594</v>
      </c>
      <c r="H300" s="31">
        <f>IFERROR(__xludf.DUMMYFUNCTION("""COMPUTED_VALUE"""),2.6102937230070453)</f>
        <v>2.610293723</v>
      </c>
      <c r="I300" s="54">
        <f>IFERROR(__xludf.DUMMYFUNCTION("""COMPUTED_VALUE"""),15.0)</f>
        <v>15</v>
      </c>
      <c r="J300" s="55">
        <f>IFERROR(__xludf.DUMMYFUNCTION("""COMPUTED_VALUE"""),3.0)</f>
        <v>3</v>
      </c>
      <c r="K300" s="54">
        <f>IFERROR(__xludf.DUMMYFUNCTION("""COMPUTED_VALUE"""),12.0)</f>
        <v>12</v>
      </c>
      <c r="L300" s="56">
        <f>IFERROR(__xludf.DUMMYFUNCTION("""COMPUTED_VALUE"""),0.2)</f>
        <v>0.2</v>
      </c>
      <c r="M300" s="56">
        <f>IFERROR(__xludf.DUMMYFUNCTION("""COMPUTED_VALUE"""),0.2142857142857143)</f>
        <v>0.2142857143</v>
      </c>
      <c r="N300" s="31">
        <f>IFERROR(__xludf.DUMMYFUNCTION("""COMPUTED_VALUE"""),370.6666666666667)</f>
        <v>370.6666667</v>
      </c>
      <c r="O300" s="57">
        <f>IFERROR(__xludf.DUMMYFUNCTION("""COMPUTED_VALUE"""),0.6)</f>
        <v>0.6</v>
      </c>
      <c r="P300" s="57">
        <f>IFERROR(__xludf.DUMMYFUNCTION("""COMPUTED_VALUE"""),0.6)</f>
        <v>0.6</v>
      </c>
      <c r="Q300" s="57">
        <f>IFERROR(__xludf.DUMMYFUNCTION("""COMPUTED_VALUE"""),1.4666666666666666)</f>
        <v>1.466666667</v>
      </c>
      <c r="R300" s="57">
        <f>IFERROR(__xludf.DUMMYFUNCTION("""COMPUTED_VALUE"""),2.8)</f>
        <v>2.8</v>
      </c>
      <c r="S300" s="31">
        <f>IFERROR(__xludf.DUMMYFUNCTION("""COMPUTED_VALUE"""),419.0444444444445)</f>
        <v>419.0444444</v>
      </c>
      <c r="T300" s="57">
        <f>IFERROR(__xludf.DUMMYFUNCTION("""COMPUTED_VALUE"""),1.2)</f>
        <v>1.2</v>
      </c>
      <c r="U300" s="57">
        <f>IFERROR(__xludf.DUMMYFUNCTION("""COMPUTED_VALUE"""),0.9111111111111111)</f>
        <v>0.9111111111</v>
      </c>
      <c r="V300" s="57">
        <f>IFERROR(__xludf.DUMMYFUNCTION("""COMPUTED_VALUE"""),1.222222222222222)</f>
        <v>1.222222222</v>
      </c>
      <c r="W300" s="57">
        <f>IFERROR(__xludf.DUMMYFUNCTION("""COMPUTED_VALUE"""),2.9777777777777774)</f>
        <v>2.977777778</v>
      </c>
      <c r="X300" s="31">
        <f>IFERROR(__xludf.DUMMYFUNCTION("""COMPUTED_VALUE"""),376.0943739685651)</f>
        <v>376.094374</v>
      </c>
      <c r="Y300" s="57">
        <f>IFERROR(__xludf.DUMMYFUNCTION("""COMPUTED_VALUE"""),0.8459370404453824)</f>
        <v>0.8459370404</v>
      </c>
      <c r="Z300" s="57">
        <f>IFERROR(__xludf.DUMMYFUNCTION("""COMPUTED_VALUE"""),0.6578557606131754)</f>
        <v>0.6578557606</v>
      </c>
      <c r="AA300" s="57">
        <f>IFERROR(__xludf.DUMMYFUNCTION("""COMPUTED_VALUE"""),1.4044622571206662)</f>
        <v>1.404462257</v>
      </c>
      <c r="AB300" s="57">
        <f>IFERROR(__xludf.DUMMYFUNCTION("""COMPUTED_VALUE"""),2.757632804093876)</f>
        <v>2.757632804</v>
      </c>
      <c r="AC300" s="31">
        <f>IFERROR(__xludf.DUMMYFUNCTION("""COMPUTED_VALUE"""),361.0572069854833)</f>
        <v>361.057207</v>
      </c>
      <c r="AD300" s="57">
        <f>IFERROR(__xludf.DUMMYFUNCTION("""COMPUTED_VALUE"""),0.7761713585988949)</f>
        <v>0.7761713586</v>
      </c>
      <c r="AE300" s="57">
        <f>IFERROR(__xludf.DUMMYFUNCTION("""COMPUTED_VALUE"""),0.5649227271313273)</f>
        <v>0.5649227271</v>
      </c>
      <c r="AF300" s="57">
        <f>IFERROR(__xludf.DUMMYFUNCTION("""COMPUTED_VALUE"""),1.4702354540729443)</f>
        <v>1.470235454</v>
      </c>
      <c r="AG300" s="57">
        <f>IFERROR(__xludf.DUMMYFUNCTION("""COMPUTED_VALUE"""),2.55654416844241)</f>
        <v>2.556544168</v>
      </c>
      <c r="AH300" s="57">
        <f>IFERROR(__xludf.DUMMYFUNCTION("""COMPUTED_VALUE"""),1.026614784292534)</f>
        <v>1.026614784</v>
      </c>
      <c r="AI300" s="57">
        <f>IFERROR(__xludf.DUMMYFUNCTION("""COMPUTED_VALUE"""),0.7730251745994461)</f>
        <v>0.7730251746</v>
      </c>
      <c r="AJ300" s="57">
        <f>IFERROR(__xludf.DUMMYFUNCTION("""COMPUTED_VALUE"""),1.0620921608992344)</f>
        <v>1.062092161</v>
      </c>
      <c r="AK300" s="57">
        <f>IFERROR(__xludf.DUMMYFUNCTION("""COMPUTED_VALUE"""),0.9975726422618967)</f>
        <v>0.9975726423</v>
      </c>
      <c r="AL300" s="57">
        <f>IFERROR(__xludf.DUMMYFUNCTION("""COMPUTED_VALUE"""),1.0952284863929875)</f>
        <v>1.095228486</v>
      </c>
      <c r="AM300" s="57">
        <f>IFERROR(__xludf.DUMMYFUNCTION("""COMPUTED_VALUE"""),1.1142002471950545)</f>
        <v>1.114200247</v>
      </c>
      <c r="AN300" s="57">
        <f>IFERROR(__xludf.DUMMYFUNCTION("""COMPUTED_VALUE"""),1.418545284845554)</f>
        <v>1.418545285</v>
      </c>
      <c r="AO300" s="57">
        <f>IFERROR(__xludf.DUMMYFUNCTION("""COMPUTED_VALUE"""),1.3849709399244008)</f>
        <v>1.38497094</v>
      </c>
      <c r="AP300" s="35">
        <f>IFERROR(__xludf.DUMMYFUNCTION("""COMPUTED_VALUE"""),0.8702421272095554)</f>
        <v>0.8702421272</v>
      </c>
      <c r="AQ300" s="57">
        <f>IFERROR(__xludf.DUMMYFUNCTION("""COMPUTED_VALUE"""),1.0798311411719075)</f>
        <v>1.079831141</v>
      </c>
      <c r="AR300" s="36" t="b">
        <f>IFERROR(__xludf.DUMMYFUNCTION("""COMPUTED_VALUE"""),TRUE)</f>
        <v>1</v>
      </c>
      <c r="AS300" s="57"/>
      <c r="AT300" s="37"/>
      <c r="AU300" s="30"/>
      <c r="AV300" s="30"/>
      <c r="AW300" s="30"/>
      <c r="AX300" s="30"/>
      <c r="AY300" s="30"/>
      <c r="AZ300" s="30"/>
    </row>
    <row r="301">
      <c r="A301" s="30" t="str">
        <f>IFERROR(__xludf.DUMMYFUNCTION("""COMPUTED_VALUE"""),"Elite")</f>
        <v>Elite</v>
      </c>
      <c r="B301" s="30" t="str">
        <f>IFERROR(__xludf.DUMMYFUNCTION("""COMPUTED_VALUE"""),"RSC006468")</f>
        <v>RSC006468</v>
      </c>
      <c r="C301" s="30" t="str">
        <f>IFERROR(__xludf.DUMMYFUNCTION("""COMPUTED_VALUE"""),"AlphaChuck")</f>
        <v>AlphaChuck</v>
      </c>
      <c r="D301" s="31" t="str">
        <f>IFERROR(__xludf.DUMMYFUNCTION("""COMPUTED_VALUE"""),"Teddy Bears")</f>
        <v>Teddy Bears</v>
      </c>
      <c r="E301" s="31">
        <f>IFERROR(__xludf.DUMMYFUNCTION("""COMPUTED_VALUE"""),43.02203161120697)</f>
        <v>43.02203161</v>
      </c>
      <c r="F301" s="31">
        <f>IFERROR(__xludf.DUMMYFUNCTION("""COMPUTED_VALUE"""),-2.563597386203356)</f>
        <v>-2.563597386</v>
      </c>
      <c r="G301" s="31">
        <f>IFERROR(__xludf.DUMMYFUNCTION("""COMPUTED_VALUE"""),45.95363682291109)</f>
        <v>45.95363682</v>
      </c>
      <c r="H301" s="31">
        <f>IFERROR(__xludf.DUMMYFUNCTION("""COMPUTED_VALUE"""),-2.2951034551040674)</f>
        <v>-2.295103455</v>
      </c>
      <c r="I301" s="54">
        <f>IFERROR(__xludf.DUMMYFUNCTION("""COMPUTED_VALUE"""),40.0)</f>
        <v>40</v>
      </c>
      <c r="J301" s="55">
        <f>IFERROR(__xludf.DUMMYFUNCTION("""COMPUTED_VALUE"""),21.0)</f>
        <v>21</v>
      </c>
      <c r="K301" s="54">
        <f>IFERROR(__xludf.DUMMYFUNCTION("""COMPUTED_VALUE"""),19.0)</f>
        <v>19</v>
      </c>
      <c r="L301" s="56">
        <f>IFERROR(__xludf.DUMMYFUNCTION("""COMPUTED_VALUE"""),0.525)</f>
        <v>0.525</v>
      </c>
      <c r="M301" s="56">
        <f>IFERROR(__xludf.DUMMYFUNCTION("""COMPUTED_VALUE"""),0.2736842105263158)</f>
        <v>0.2736842105</v>
      </c>
      <c r="N301" s="31">
        <f>IFERROR(__xludf.DUMMYFUNCTION("""COMPUTED_VALUE"""),322.4)</f>
        <v>322.4</v>
      </c>
      <c r="O301" s="57">
        <f>IFERROR(__xludf.DUMMYFUNCTION("""COMPUTED_VALUE"""),0.65)</f>
        <v>0.65</v>
      </c>
      <c r="P301" s="57">
        <f>IFERROR(__xludf.DUMMYFUNCTION("""COMPUTED_VALUE"""),0.5)</f>
        <v>0.5</v>
      </c>
      <c r="Q301" s="57">
        <f>IFERROR(__xludf.DUMMYFUNCTION("""COMPUTED_VALUE"""),1.3)</f>
        <v>1.3</v>
      </c>
      <c r="R301" s="57">
        <f>IFERROR(__xludf.DUMMYFUNCTION("""COMPUTED_VALUE"""),2.375)</f>
        <v>2.375</v>
      </c>
      <c r="S301" s="31">
        <f>IFERROR(__xludf.DUMMYFUNCTION("""COMPUTED_VALUE"""),343.25833333333344)</f>
        <v>343.2583333</v>
      </c>
      <c r="T301" s="57">
        <f>IFERROR(__xludf.DUMMYFUNCTION("""COMPUTED_VALUE"""),0.675)</f>
        <v>0.675</v>
      </c>
      <c r="U301" s="57">
        <f>IFERROR(__xludf.DUMMYFUNCTION("""COMPUTED_VALUE"""),0.5333333333333332)</f>
        <v>0.5333333333</v>
      </c>
      <c r="V301" s="57">
        <f>IFERROR(__xludf.DUMMYFUNCTION("""COMPUTED_VALUE"""),1.4583333333333333)</f>
        <v>1.458333333</v>
      </c>
      <c r="W301" s="57">
        <f>IFERROR(__xludf.DUMMYFUNCTION("""COMPUTED_VALUE"""),2.316666666666666)</f>
        <v>2.316666667</v>
      </c>
      <c r="X301" s="31">
        <f>IFERROR(__xludf.DUMMYFUNCTION("""COMPUTED_VALUE"""),355.7209778113698)</f>
        <v>355.7209778</v>
      </c>
      <c r="Y301" s="57">
        <f>IFERROR(__xludf.DUMMYFUNCTION("""COMPUTED_VALUE"""),0.7298413728872767)</f>
        <v>0.7298413729</v>
      </c>
      <c r="Z301" s="57">
        <f>IFERROR(__xludf.DUMMYFUNCTION("""COMPUTED_VALUE"""),0.5479055805314874)</f>
        <v>0.5479055805</v>
      </c>
      <c r="AA301" s="57">
        <f>IFERROR(__xludf.DUMMYFUNCTION("""COMPUTED_VALUE"""),1.4686195613542758)</f>
        <v>1.468619561</v>
      </c>
      <c r="AB301" s="57">
        <f>IFERROR(__xludf.DUMMYFUNCTION("""COMPUTED_VALUE"""),2.5362202561212457)</f>
        <v>2.536220256</v>
      </c>
      <c r="AC301" s="31">
        <f>IFERROR(__xludf.DUMMYFUNCTION("""COMPUTED_VALUE"""),362.8383947482479)</f>
        <v>362.8383947</v>
      </c>
      <c r="AD301" s="57">
        <f>IFERROR(__xludf.DUMMYFUNCTION("""COMPUTED_VALUE"""),0.8151845004054431)</f>
        <v>0.8151845004</v>
      </c>
      <c r="AE301" s="57">
        <f>IFERROR(__xludf.DUMMYFUNCTION("""COMPUTED_VALUE"""),0.6134052103593233)</f>
        <v>0.6134052104</v>
      </c>
      <c r="AF301" s="57">
        <f>IFERROR(__xludf.DUMMYFUNCTION("""COMPUTED_VALUE"""),1.3596450670228988)</f>
        <v>1.359645067</v>
      </c>
      <c r="AG301" s="57">
        <f>IFERROR(__xludf.DUMMYFUNCTION("""COMPUTED_VALUE"""),2.720125239952468)</f>
        <v>2.72012524</v>
      </c>
      <c r="AH301" s="57">
        <f>IFERROR(__xludf.DUMMYFUNCTION("""COMPUTED_VALUE"""),0.8885498466161341)</f>
        <v>0.8885498466</v>
      </c>
      <c r="AI301" s="57">
        <f>IFERROR(__xludf.DUMMYFUNCTION("""COMPUTED_VALUE"""),0.7973655039769693)</f>
        <v>0.797365504</v>
      </c>
      <c r="AJ301" s="57">
        <f>IFERROR(__xludf.DUMMYFUNCTION("""COMPUTED_VALUE"""),0.8151218665180684)</f>
        <v>0.8151218665</v>
      </c>
      <c r="AK301" s="57">
        <f>IFERROR(__xludf.DUMMYFUNCTION("""COMPUTED_VALUE"""),0.956131884364867)</f>
        <v>0.9561318844</v>
      </c>
      <c r="AL301" s="57">
        <f>IFERROR(__xludf.DUMMYFUNCTION("""COMPUTED_VALUE"""),0.8731215626091912)</f>
        <v>0.8731215626</v>
      </c>
      <c r="AM301" s="57">
        <f>IFERROR(__xludf.DUMMYFUNCTION("""COMPUTED_VALUE"""),0.9649651123902933)</f>
        <v>0.9649651124</v>
      </c>
      <c r="AN301" s="57">
        <f>IFERROR(__xludf.DUMMYFUNCTION("""COMPUTED_VALUE"""),0.9248585036083631)</f>
        <v>0.9248585036</v>
      </c>
      <c r="AO301" s="57">
        <f>IFERROR(__xludf.DUMMYFUNCTION("""COMPUTED_VALUE"""),0.973403725539684)</f>
        <v>0.9734037255</v>
      </c>
      <c r="AP301" s="35">
        <f>IFERROR(__xludf.DUMMYFUNCTION("""COMPUTED_VALUE"""),0.9929959886878688)</f>
        <v>0.9929959887</v>
      </c>
      <c r="AQ301" s="57">
        <f>IFERROR(__xludf.DUMMYFUNCTION("""COMPUTED_VALUE"""),0.9134327592705404)</f>
        <v>0.9134327593</v>
      </c>
      <c r="AR301" s="36" t="b">
        <f>IFERROR(__xludf.DUMMYFUNCTION("""COMPUTED_VALUE"""),TRUE)</f>
        <v>1</v>
      </c>
      <c r="AS301" s="57"/>
      <c r="AT301" s="37"/>
      <c r="AU301" s="30"/>
      <c r="AV301" s="30"/>
      <c r="AW301" s="30"/>
      <c r="AX301" s="30"/>
      <c r="AY301" s="30"/>
      <c r="AZ301" s="30"/>
    </row>
    <row r="302">
      <c r="A302" s="30" t="str">
        <f>IFERROR(__xludf.DUMMYFUNCTION("""COMPUTED_VALUE"""),"Elite")</f>
        <v>Elite</v>
      </c>
      <c r="B302" s="30" t="str">
        <f>IFERROR(__xludf.DUMMYFUNCTION("""COMPUTED_VALUE"""),"RSC007925")</f>
        <v>RSC007925</v>
      </c>
      <c r="C302" s="30" t="str">
        <f>IFERROR(__xludf.DUMMYFUNCTION("""COMPUTED_VALUE"""),"Monkey")</f>
        <v>Monkey</v>
      </c>
      <c r="D302" s="31" t="str">
        <f>IFERROR(__xludf.DUMMYFUNCTION("""COMPUTED_VALUE"""),"Fire")</f>
        <v>Fire</v>
      </c>
      <c r="E302" s="31">
        <f>IFERROR(__xludf.DUMMYFUNCTION("""COMPUTED_VALUE"""),42.78646370600674)</f>
        <v>42.78646371</v>
      </c>
      <c r="F302" s="31">
        <f>IFERROR(__xludf.DUMMYFUNCTION("""COMPUTED_VALUE"""),-2.587548724143984)</f>
        <v>-2.587548724</v>
      </c>
      <c r="G302" s="31">
        <f>IFERROR(__xludf.DUMMYFUNCTION("""COMPUTED_VALUE"""),33.17550162211138)</f>
        <v>33.17550162</v>
      </c>
      <c r="H302" s="31">
        <f>IFERROR(__xludf.DUMMYFUNCTION("""COMPUTED_VALUE"""),-3.9923342701447564)</f>
        <v>-3.99233427</v>
      </c>
      <c r="I302" s="54">
        <f>IFERROR(__xludf.DUMMYFUNCTION("""COMPUTED_VALUE"""),37.0)</f>
        <v>37</v>
      </c>
      <c r="J302" s="55">
        <f>IFERROR(__xludf.DUMMYFUNCTION("""COMPUTED_VALUE"""),20.0)</f>
        <v>20</v>
      </c>
      <c r="K302" s="54">
        <f>IFERROR(__xludf.DUMMYFUNCTION("""COMPUTED_VALUE"""),17.0)</f>
        <v>17</v>
      </c>
      <c r="L302" s="56">
        <f>IFERROR(__xludf.DUMMYFUNCTION("""COMPUTED_VALUE"""),0.5405405405405406)</f>
        <v>0.5405405405</v>
      </c>
      <c r="M302" s="56">
        <f>IFERROR(__xludf.DUMMYFUNCTION("""COMPUTED_VALUE"""),0.2727272727272727)</f>
        <v>0.2727272727</v>
      </c>
      <c r="N302" s="31">
        <f>IFERROR(__xludf.DUMMYFUNCTION("""COMPUTED_VALUE"""),331.13513513513516)</f>
        <v>331.1351351</v>
      </c>
      <c r="O302" s="57">
        <f>IFERROR(__xludf.DUMMYFUNCTION("""COMPUTED_VALUE"""),0.6486486486486487)</f>
        <v>0.6486486486</v>
      </c>
      <c r="P302" s="57">
        <f>IFERROR(__xludf.DUMMYFUNCTION("""COMPUTED_VALUE"""),0.40540540540540543)</f>
        <v>0.4054054054</v>
      </c>
      <c r="Q302" s="57">
        <f>IFERROR(__xludf.DUMMYFUNCTION("""COMPUTED_VALUE"""),1.4864864864864864)</f>
        <v>1.486486486</v>
      </c>
      <c r="R302" s="57">
        <f>IFERROR(__xludf.DUMMYFUNCTION("""COMPUTED_VALUE"""),2.3783783783783785)</f>
        <v>2.378378378</v>
      </c>
      <c r="S302" s="31">
        <f>IFERROR(__xludf.DUMMYFUNCTION("""COMPUTED_VALUE"""),350.1711711711711)</f>
        <v>350.1711712</v>
      </c>
      <c r="T302" s="57">
        <f>IFERROR(__xludf.DUMMYFUNCTION("""COMPUTED_VALUE"""),0.6846846846846846)</f>
        <v>0.6846846847</v>
      </c>
      <c r="U302" s="57">
        <f>IFERROR(__xludf.DUMMYFUNCTION("""COMPUTED_VALUE"""),0.5045045045045045)</f>
        <v>0.5045045045</v>
      </c>
      <c r="V302" s="57">
        <f>IFERROR(__xludf.DUMMYFUNCTION("""COMPUTED_VALUE"""),1.5045045045045045)</f>
        <v>1.504504505</v>
      </c>
      <c r="W302" s="57">
        <f>IFERROR(__xludf.DUMMYFUNCTION("""COMPUTED_VALUE"""),2.567567567567568)</f>
        <v>2.567567568</v>
      </c>
      <c r="X302" s="31">
        <f>IFERROR(__xludf.DUMMYFUNCTION("""COMPUTED_VALUE"""),366.7394977910578)</f>
        <v>366.7394978</v>
      </c>
      <c r="Y302" s="57">
        <f>IFERROR(__xludf.DUMMYFUNCTION("""COMPUTED_VALUE"""),0.7925711349269949)</f>
        <v>0.7925711349</v>
      </c>
      <c r="Z302" s="57">
        <f>IFERROR(__xludf.DUMMYFUNCTION("""COMPUTED_VALUE"""),0.5890066413573984)</f>
        <v>0.5890066414</v>
      </c>
      <c r="AA302" s="57">
        <f>IFERROR(__xludf.DUMMYFUNCTION("""COMPUTED_VALUE"""),1.5041830181330444)</f>
        <v>1.504183018</v>
      </c>
      <c r="AB302" s="57">
        <f>IFERROR(__xludf.DUMMYFUNCTION("""COMPUTED_VALUE"""),2.6252388339931527)</f>
        <v>2.625238834</v>
      </c>
      <c r="AC302" s="31">
        <f>IFERROR(__xludf.DUMMYFUNCTION("""COMPUTED_VALUE"""),358.8555747921126)</f>
        <v>358.8555748</v>
      </c>
      <c r="AD302" s="57">
        <f>IFERROR(__xludf.DUMMYFUNCTION("""COMPUTED_VALUE"""),0.7691473714787123)</f>
        <v>0.7691473715</v>
      </c>
      <c r="AE302" s="57">
        <f>IFERROR(__xludf.DUMMYFUNCTION("""COMPUTED_VALUE"""),0.5638627226408636)</f>
        <v>0.5638627226</v>
      </c>
      <c r="AF302" s="57">
        <f>IFERROR(__xludf.DUMMYFUNCTION("""COMPUTED_VALUE"""),1.3976421068849667)</f>
        <v>1.397642107</v>
      </c>
      <c r="AG302" s="57">
        <f>IFERROR(__xludf.DUMMYFUNCTION("""COMPUTED_VALUE"""),2.7142314904560623)</f>
        <v>2.71423149</v>
      </c>
      <c r="AH302" s="57">
        <f>IFERROR(__xludf.DUMMYFUNCTION("""COMPUTED_VALUE"""),0.9227532143731192)</f>
        <v>0.9227532144</v>
      </c>
      <c r="AI302" s="57">
        <f>IFERROR(__xludf.DUMMYFUNCTION("""COMPUTED_VALUE"""),0.8433346751242214)</f>
        <v>0.8433346751</v>
      </c>
      <c r="AJ302" s="57">
        <f>IFERROR(__xludf.DUMMYFUNCTION("""COMPUTED_VALUE"""),0.7189789094527835)</f>
        <v>0.7189789095</v>
      </c>
      <c r="AK302" s="57">
        <f>IFERROR(__xludf.DUMMYFUNCTION("""COMPUTED_VALUE"""),1.0635673318397183)</f>
        <v>1.063567332</v>
      </c>
      <c r="AL302" s="57">
        <f>IFERROR(__xludf.DUMMYFUNCTION("""COMPUTED_VALUE"""),0.876262170983341)</f>
        <v>0.876262171</v>
      </c>
      <c r="AM302" s="57">
        <f>IFERROR(__xludf.DUMMYFUNCTION("""COMPUTED_VALUE"""),0.9548226282697095)</f>
        <v>0.9548226283</v>
      </c>
      <c r="AN302" s="57">
        <f>IFERROR(__xludf.DUMMYFUNCTION("""COMPUTED_VALUE"""),0.8638778962695279)</f>
        <v>0.8638778963</v>
      </c>
      <c r="AO302" s="57">
        <f>IFERROR(__xludf.DUMMYFUNCTION("""COMPUTED_VALUE"""),0.8565344922798254)</f>
        <v>0.8565344923</v>
      </c>
      <c r="AP302" s="35">
        <f>IFERROR(__xludf.DUMMYFUNCTION("""COMPUTED_VALUE"""),1.0002137282282704)</f>
        <v>1.000213728</v>
      </c>
      <c r="AQ302" s="57">
        <f>IFERROR(__xludf.DUMMYFUNCTION("""COMPUTED_VALUE"""),0.9780319924881413)</f>
        <v>0.9780319925</v>
      </c>
      <c r="AR302" s="36" t="b">
        <f>IFERROR(__xludf.DUMMYFUNCTION("""COMPUTED_VALUE"""),TRUE)</f>
        <v>1</v>
      </c>
      <c r="AS302" s="57"/>
      <c r="AT302" s="37"/>
      <c r="AU302" s="30"/>
      <c r="AV302" s="30"/>
      <c r="AW302" s="30"/>
      <c r="AX302" s="30"/>
      <c r="AY302" s="30"/>
      <c r="AZ302" s="30"/>
    </row>
    <row r="303">
      <c r="A303" s="30" t="str">
        <f>IFERROR(__xludf.DUMMYFUNCTION("""COMPUTED_VALUE"""),"Elite")</f>
        <v>Elite</v>
      </c>
      <c r="B303" s="30" t="str">
        <f>IFERROR(__xludf.DUMMYFUNCTION("""COMPUTED_VALUE"""),"RSC007514")</f>
        <v>RSC007514</v>
      </c>
      <c r="C303" s="30" t="str">
        <f>IFERROR(__xludf.DUMMYFUNCTION("""COMPUTED_VALUE"""),"Sauce_Boss_36")</f>
        <v>Sauce_Boss_36</v>
      </c>
      <c r="D303" s="31" t="str">
        <f>IFERROR(__xludf.DUMMYFUNCTION("""COMPUTED_VALUE"""),"Majesties")</f>
        <v>Majesties</v>
      </c>
      <c r="E303" s="31">
        <f>IFERROR(__xludf.DUMMYFUNCTION("""COMPUTED_VALUE"""),42.688511979572404)</f>
        <v>42.68851198</v>
      </c>
      <c r="F303" s="31">
        <f>IFERROR(__xludf.DUMMYFUNCTION("""COMPUTED_VALUE"""),-2.597620847219656)</f>
        <v>-2.597620847</v>
      </c>
      <c r="G303" s="31">
        <f>IFERROR(__xludf.DUMMYFUNCTION("""COMPUTED_VALUE"""),32.05268751722586)</f>
        <v>32.05268752</v>
      </c>
      <c r="H303" s="31">
        <f>IFERROR(__xludf.DUMMYFUNCTION("""COMPUTED_VALUE"""),-4.229907546758931)</f>
        <v>-4.229907547</v>
      </c>
      <c r="I303" s="54">
        <f>IFERROR(__xludf.DUMMYFUNCTION("""COMPUTED_VALUE"""),45.0)</f>
        <v>45</v>
      </c>
      <c r="J303" s="55">
        <f>IFERROR(__xludf.DUMMYFUNCTION("""COMPUTED_VALUE"""),12.0)</f>
        <v>12</v>
      </c>
      <c r="K303" s="54">
        <f>IFERROR(__xludf.DUMMYFUNCTION("""COMPUTED_VALUE"""),33.0)</f>
        <v>33</v>
      </c>
      <c r="L303" s="56">
        <f>IFERROR(__xludf.DUMMYFUNCTION("""COMPUTED_VALUE"""),0.26666666666666666)</f>
        <v>0.2666666667</v>
      </c>
      <c r="M303" s="56">
        <f>IFERROR(__xludf.DUMMYFUNCTION("""COMPUTED_VALUE"""),0.35185185185185186)</f>
        <v>0.3518518519</v>
      </c>
      <c r="N303" s="31">
        <f>IFERROR(__xludf.DUMMYFUNCTION("""COMPUTED_VALUE"""),336.2888888888889)</f>
        <v>336.2888889</v>
      </c>
      <c r="O303" s="57">
        <f>IFERROR(__xludf.DUMMYFUNCTION("""COMPUTED_VALUE"""),0.8444444444444444)</f>
        <v>0.8444444444</v>
      </c>
      <c r="P303" s="57">
        <f>IFERROR(__xludf.DUMMYFUNCTION("""COMPUTED_VALUE"""),0.4444444444444444)</f>
        <v>0.4444444444</v>
      </c>
      <c r="Q303" s="57">
        <f>IFERROR(__xludf.DUMMYFUNCTION("""COMPUTED_VALUE"""),1.3555555555555556)</f>
        <v>1.355555556</v>
      </c>
      <c r="R303" s="57">
        <f>IFERROR(__xludf.DUMMYFUNCTION("""COMPUTED_VALUE"""),2.4)</f>
        <v>2.4</v>
      </c>
      <c r="S303" s="31">
        <f>IFERROR(__xludf.DUMMYFUNCTION("""COMPUTED_VALUE"""),404.05925925925936)</f>
        <v>404.0592593</v>
      </c>
      <c r="T303" s="57">
        <f>IFERROR(__xludf.DUMMYFUNCTION("""COMPUTED_VALUE"""),1.0888888888888888)</f>
        <v>1.088888889</v>
      </c>
      <c r="U303" s="57">
        <f>IFERROR(__xludf.DUMMYFUNCTION("""COMPUTED_VALUE"""),0.7925925925925927)</f>
        <v>0.7925925926</v>
      </c>
      <c r="V303" s="57">
        <f>IFERROR(__xludf.DUMMYFUNCTION("""COMPUTED_VALUE"""),1.3185185185185184)</f>
        <v>1.318518519</v>
      </c>
      <c r="W303" s="57">
        <f>IFERROR(__xludf.DUMMYFUNCTION("""COMPUTED_VALUE"""),3.0962962962962957)</f>
        <v>3.096296296</v>
      </c>
      <c r="X303" s="31">
        <f>IFERROR(__xludf.DUMMYFUNCTION("""COMPUTED_VALUE"""),362.8882447217658)</f>
        <v>362.8882447</v>
      </c>
      <c r="Y303" s="57">
        <f>IFERROR(__xludf.DUMMYFUNCTION("""COMPUTED_VALUE"""),0.7852069000481063)</f>
        <v>0.7852069</v>
      </c>
      <c r="Z303" s="57">
        <f>IFERROR(__xludf.DUMMYFUNCTION("""COMPUTED_VALUE"""),0.5986682329870703)</f>
        <v>0.598668233</v>
      </c>
      <c r="AA303" s="57">
        <f>IFERROR(__xludf.DUMMYFUNCTION("""COMPUTED_VALUE"""),1.3886815518492495)</f>
        <v>1.388681552</v>
      </c>
      <c r="AB303" s="57">
        <f>IFERROR(__xludf.DUMMYFUNCTION("""COMPUTED_VALUE"""),2.702645652576125)</f>
        <v>2.702645653</v>
      </c>
      <c r="AC303" s="31">
        <f>IFERROR(__xludf.DUMMYFUNCTION("""COMPUTED_VALUE"""),354.9824707742901)</f>
        <v>354.9824708</v>
      </c>
      <c r="AD303" s="57">
        <f>IFERROR(__xludf.DUMMYFUNCTION("""COMPUTED_VALUE"""),0.740591552411726)</f>
        <v>0.7405915524</v>
      </c>
      <c r="AE303" s="57">
        <f>IFERROR(__xludf.DUMMYFUNCTION("""COMPUTED_VALUE"""),0.5510292078585786)</f>
        <v>0.5510292079</v>
      </c>
      <c r="AF303" s="57">
        <f>IFERROR(__xludf.DUMMYFUNCTION("""COMPUTED_VALUE"""),1.4258545807033907)</f>
        <v>1.425854581</v>
      </c>
      <c r="AG303" s="57">
        <f>IFERROR(__xludf.DUMMYFUNCTION("""COMPUTED_VALUE"""),2.5609623573184925)</f>
        <v>2.560962357</v>
      </c>
      <c r="AH303" s="57">
        <f>IFERROR(__xludf.DUMMYFUNCTION("""COMPUTED_VALUE"""),0.9473394225787356)</f>
        <v>0.9473394226</v>
      </c>
      <c r="AI303" s="57">
        <f>IFERROR(__xludf.DUMMYFUNCTION("""COMPUTED_VALUE"""),1.1402296470902522)</f>
        <v>1.140229647</v>
      </c>
      <c r="AJ303" s="57">
        <f>IFERROR(__xludf.DUMMYFUNCTION("""COMPUTED_VALUE"""),0.8065714813406242)</f>
        <v>0.8065714813</v>
      </c>
      <c r="AK303" s="57">
        <f>IFERROR(__xludf.DUMMYFUNCTION("""COMPUTED_VALUE"""),0.9506969181154815)</f>
        <v>0.9506969181</v>
      </c>
      <c r="AL303" s="57">
        <f>IFERROR(__xludf.DUMMYFUNCTION("""COMPUTED_VALUE"""),0.9371477066585893)</f>
        <v>0.9371477067</v>
      </c>
      <c r="AM303" s="57">
        <f>IFERROR(__xludf.DUMMYFUNCTION("""COMPUTED_VALUE"""),1.113453701342848)</f>
        <v>1.113453701</v>
      </c>
      <c r="AN303" s="57">
        <f>IFERROR(__xludf.DUMMYFUNCTION("""COMPUTED_VALUE"""),1.3867541011447775)</f>
        <v>1.386754101</v>
      </c>
      <c r="AO303" s="57">
        <f>IFERROR(__xludf.DUMMYFUNCTION("""COMPUTED_VALUE"""),1.3239262565142833)</f>
        <v>1.323926257</v>
      </c>
      <c r="AP303" s="35">
        <f>IFERROR(__xludf.DUMMYFUNCTION("""COMPUTED_VALUE"""),0.9494750735060188)</f>
        <v>0.9494750735</v>
      </c>
      <c r="AQ303" s="57">
        <f>IFERROR(__xludf.DUMMYFUNCTION("""COMPUTED_VALUE"""),1.1456538127167903)</f>
        <v>1.145653813</v>
      </c>
      <c r="AR303" s="36" t="b">
        <f>IFERROR(__xludf.DUMMYFUNCTION("""COMPUTED_VALUE"""),TRUE)</f>
        <v>1</v>
      </c>
      <c r="AS303" s="57"/>
      <c r="AT303" s="37"/>
      <c r="AU303" s="30"/>
      <c r="AV303" s="30"/>
      <c r="AW303" s="30"/>
      <c r="AX303" s="30"/>
      <c r="AY303" s="30"/>
      <c r="AZ303" s="30"/>
    </row>
    <row r="304">
      <c r="A304" s="30" t="str">
        <f>IFERROR(__xludf.DUMMYFUNCTION("""COMPUTED_VALUE"""),"Elite")</f>
        <v>Elite</v>
      </c>
      <c r="B304" s="30" t="str">
        <f>IFERROR(__xludf.DUMMYFUNCTION("""COMPUTED_VALUE"""),"RSC003986")</f>
        <v>RSC003986</v>
      </c>
      <c r="C304" s="30" t="str">
        <f>IFERROR(__xludf.DUMMYFUNCTION("""COMPUTED_VALUE"""),"Reprise")</f>
        <v>Reprise</v>
      </c>
      <c r="D304" s="31"/>
      <c r="E304" s="31">
        <f>IFERROR(__xludf.DUMMYFUNCTION("""COMPUTED_VALUE"""),42.66324509928419)</f>
        <v>42.6632451</v>
      </c>
      <c r="F304" s="31">
        <f>IFERROR(__xludf.DUMMYFUNCTION("""COMPUTED_VALUE"""),-2.6002298332804124)</f>
        <v>-2.600229833</v>
      </c>
      <c r="G304" s="31">
        <f>IFERROR(__xludf.DUMMYFUNCTION("""COMPUTED_VALUE"""),49.245953678081946)</f>
        <v>49.24595368</v>
      </c>
      <c r="H304" s="31">
        <f>IFERROR(__xludf.DUMMYFUNCTION("""COMPUTED_VALUE"""),-2.0493105689587487)</f>
        <v>-2.049310569</v>
      </c>
      <c r="I304" s="54">
        <f>IFERROR(__xludf.DUMMYFUNCTION("""COMPUTED_VALUE"""),4.0)</f>
        <v>4</v>
      </c>
      <c r="J304" s="55">
        <f>IFERROR(__xludf.DUMMYFUNCTION("""COMPUTED_VALUE"""),2.0)</f>
        <v>2</v>
      </c>
      <c r="K304" s="54">
        <f>IFERROR(__xludf.DUMMYFUNCTION("""COMPUTED_VALUE"""),2.0)</f>
        <v>2</v>
      </c>
      <c r="L304" s="56">
        <f>IFERROR(__xludf.DUMMYFUNCTION("""COMPUTED_VALUE"""),0.5)</f>
        <v>0.5</v>
      </c>
      <c r="M304" s="56">
        <f>IFERROR(__xludf.DUMMYFUNCTION("""COMPUTED_VALUE"""),0.2)</f>
        <v>0.2</v>
      </c>
      <c r="N304" s="31">
        <f>IFERROR(__xludf.DUMMYFUNCTION("""COMPUTED_VALUE"""),369.75)</f>
        <v>369.75</v>
      </c>
      <c r="O304" s="57">
        <f>IFERROR(__xludf.DUMMYFUNCTION("""COMPUTED_VALUE"""),0.5)</f>
        <v>0.5</v>
      </c>
      <c r="P304" s="57">
        <f>IFERROR(__xludf.DUMMYFUNCTION("""COMPUTED_VALUE"""),0.5)</f>
        <v>0.5</v>
      </c>
      <c r="Q304" s="57">
        <f>IFERROR(__xludf.DUMMYFUNCTION("""COMPUTED_VALUE"""),1.5)</f>
        <v>1.5</v>
      </c>
      <c r="R304" s="57">
        <f>IFERROR(__xludf.DUMMYFUNCTION("""COMPUTED_VALUE"""),2.5)</f>
        <v>2.5</v>
      </c>
      <c r="S304" s="31">
        <f>IFERROR(__xludf.DUMMYFUNCTION("""COMPUTED_VALUE"""),362.5833333333333)</f>
        <v>362.5833333</v>
      </c>
      <c r="T304" s="57">
        <f>IFERROR(__xludf.DUMMYFUNCTION("""COMPUTED_VALUE"""),0.8333333333333333)</f>
        <v>0.8333333333</v>
      </c>
      <c r="U304" s="57">
        <f>IFERROR(__xludf.DUMMYFUNCTION("""COMPUTED_VALUE"""),0.49999999999999994)</f>
        <v>0.5</v>
      </c>
      <c r="V304" s="57">
        <f>IFERROR(__xludf.DUMMYFUNCTION("""COMPUTED_VALUE"""),1.25)</f>
        <v>1.25</v>
      </c>
      <c r="W304" s="57">
        <f>IFERROR(__xludf.DUMMYFUNCTION("""COMPUTED_VALUE"""),3.0000000000000004)</f>
        <v>3</v>
      </c>
      <c r="X304" s="31">
        <f>IFERROR(__xludf.DUMMYFUNCTION("""COMPUTED_VALUE"""),381.0454545454545)</f>
        <v>381.0454545</v>
      </c>
      <c r="Y304" s="57">
        <f>IFERROR(__xludf.DUMMYFUNCTION("""COMPUTED_VALUE"""),0.7575757575757575)</f>
        <v>0.7575757576</v>
      </c>
      <c r="Z304" s="57">
        <f>IFERROR(__xludf.DUMMYFUNCTION("""COMPUTED_VALUE"""),0.5530303030303031)</f>
        <v>0.553030303</v>
      </c>
      <c r="AA304" s="57">
        <f>IFERROR(__xludf.DUMMYFUNCTION("""COMPUTED_VALUE"""),1.678030303030303)</f>
        <v>1.678030303</v>
      </c>
      <c r="AB304" s="57">
        <f>IFERROR(__xludf.DUMMYFUNCTION("""COMPUTED_VALUE"""),2.6808712121212124)</f>
        <v>2.680871212</v>
      </c>
      <c r="AC304" s="31">
        <f>IFERROR(__xludf.DUMMYFUNCTION("""COMPUTED_VALUE"""),351.47253787878793)</f>
        <v>351.4725379</v>
      </c>
      <c r="AD304" s="57">
        <f>IFERROR(__xludf.DUMMYFUNCTION("""COMPUTED_VALUE"""),0.661931818181818)</f>
        <v>0.6619318182</v>
      </c>
      <c r="AE304" s="57">
        <f>IFERROR(__xludf.DUMMYFUNCTION("""COMPUTED_VALUE"""),0.5381944444444444)</f>
        <v>0.5381944444</v>
      </c>
      <c r="AF304" s="57">
        <f>IFERROR(__xludf.DUMMYFUNCTION("""COMPUTED_VALUE"""),1.4482323232323229)</f>
        <v>1.448232323</v>
      </c>
      <c r="AG304" s="57">
        <f>IFERROR(__xludf.DUMMYFUNCTION("""COMPUTED_VALUE"""),2.5776515151515156)</f>
        <v>2.577651515</v>
      </c>
      <c r="AH304" s="57">
        <f>IFERROR(__xludf.DUMMYFUNCTION("""COMPUTED_VALUE"""),1.0520025326346134)</f>
        <v>1.052002533</v>
      </c>
      <c r="AI304" s="57">
        <f>IFERROR(__xludf.DUMMYFUNCTION("""COMPUTED_VALUE"""),0.755364806866953)</f>
        <v>0.7553648069</v>
      </c>
      <c r="AJ304" s="57">
        <f>IFERROR(__xludf.DUMMYFUNCTION("""COMPUTED_VALUE"""),0.9290322580645162)</f>
        <v>0.9290322581</v>
      </c>
      <c r="AK304" s="57">
        <f>IFERROR(__xludf.DUMMYFUNCTION("""COMPUTED_VALUE"""),1.0357454228421974)</f>
        <v>1.035745423</v>
      </c>
      <c r="AL304" s="57">
        <f>IFERROR(__xludf.DUMMYFUNCTION("""COMPUTED_VALUE"""),0.969875091844232)</f>
        <v>0.9698750918</v>
      </c>
      <c r="AM304" s="57">
        <f>IFERROR(__xludf.DUMMYFUNCTION("""COMPUTED_VALUE"""),0.9515487693347648)</f>
        <v>0.9515487693</v>
      </c>
      <c r="AN304" s="57">
        <f>IFERROR(__xludf.DUMMYFUNCTION("""COMPUTED_VALUE"""),1.1)</f>
        <v>1.1</v>
      </c>
      <c r="AO304" s="57">
        <f>IFERROR(__xludf.DUMMYFUNCTION("""COMPUTED_VALUE"""),0.9041095890410957)</f>
        <v>0.904109589</v>
      </c>
      <c r="AP304" s="35">
        <f>IFERROR(__xludf.DUMMYFUNCTION("""COMPUTED_VALUE"""),0.744920993227991)</f>
        <v>0.7449209932</v>
      </c>
      <c r="AQ304" s="57">
        <f>IFERROR(__xludf.DUMMYFUNCTION("""COMPUTED_VALUE"""),1.1190392087601555)</f>
        <v>1.119039209</v>
      </c>
      <c r="AR304" s="36" t="b">
        <f>IFERROR(__xludf.DUMMYFUNCTION("""COMPUTED_VALUE"""),TRUE)</f>
        <v>1</v>
      </c>
      <c r="AS304" s="57"/>
      <c r="AT304" s="37"/>
      <c r="AU304" s="30"/>
      <c r="AV304" s="30"/>
      <c r="AW304" s="30"/>
      <c r="AX304" s="30"/>
      <c r="AY304" s="30"/>
      <c r="AZ304" s="30"/>
    </row>
    <row r="305">
      <c r="A305" s="30" t="str">
        <f>IFERROR(__xludf.DUMMYFUNCTION("""COMPUTED_VALUE"""),"Elite")</f>
        <v>Elite</v>
      </c>
      <c r="B305" s="30" t="str">
        <f>IFERROR(__xludf.DUMMYFUNCTION("""COMPUTED_VALUE"""),"RSC003561")</f>
        <v>RSC003561</v>
      </c>
      <c r="C305" s="30" t="str">
        <f>IFERROR(__xludf.DUMMYFUNCTION("""COMPUTED_VALUE"""),"Dooober")</f>
        <v>Dooober</v>
      </c>
      <c r="D305" s="31" t="str">
        <f>IFERROR(__xludf.DUMMYFUNCTION("""COMPUTED_VALUE"""),"Drive Bye")</f>
        <v>Drive Bye</v>
      </c>
      <c r="E305" s="31">
        <f>IFERROR(__xludf.DUMMYFUNCTION("""COMPUTED_VALUE"""),42.384947854561176)</f>
        <v>42.38494785</v>
      </c>
      <c r="F305" s="31">
        <f>IFERROR(__xludf.DUMMYFUNCTION("""COMPUTED_VALUE"""),-2.629263703484427)</f>
        <v>-2.629263703</v>
      </c>
      <c r="G305" s="31">
        <f>IFERROR(__xludf.DUMMYFUNCTION("""COMPUTED_VALUE"""),41.259534354992766)</f>
        <v>41.25953435</v>
      </c>
      <c r="H305" s="31">
        <f>IFERROR(__xludf.DUMMYFUNCTION("""COMPUTED_VALUE"""),-2.752451664466974)</f>
        <v>-2.752451664</v>
      </c>
      <c r="I305" s="54">
        <f>IFERROR(__xludf.DUMMYFUNCTION("""COMPUTED_VALUE"""),38.0)</f>
        <v>38</v>
      </c>
      <c r="J305" s="55">
        <f>IFERROR(__xludf.DUMMYFUNCTION("""COMPUTED_VALUE"""),13.0)</f>
        <v>13</v>
      </c>
      <c r="K305" s="54">
        <f>IFERROR(__xludf.DUMMYFUNCTION("""COMPUTED_VALUE"""),25.0)</f>
        <v>25</v>
      </c>
      <c r="L305" s="56">
        <f>IFERROR(__xludf.DUMMYFUNCTION("""COMPUTED_VALUE"""),0.34210526315789475)</f>
        <v>0.3421052632</v>
      </c>
      <c r="M305" s="56">
        <f>IFERROR(__xludf.DUMMYFUNCTION("""COMPUTED_VALUE"""),0.3181818181818182)</f>
        <v>0.3181818182</v>
      </c>
      <c r="N305" s="31">
        <f>IFERROR(__xludf.DUMMYFUNCTION("""COMPUTED_VALUE"""),354.6578947368421)</f>
        <v>354.6578947</v>
      </c>
      <c r="O305" s="57">
        <f>IFERROR(__xludf.DUMMYFUNCTION("""COMPUTED_VALUE"""),0.7368421052631579)</f>
        <v>0.7368421053</v>
      </c>
      <c r="P305" s="57">
        <f>IFERROR(__xludf.DUMMYFUNCTION("""COMPUTED_VALUE"""),0.4473684210526316)</f>
        <v>0.4473684211</v>
      </c>
      <c r="Q305" s="57">
        <f>IFERROR(__xludf.DUMMYFUNCTION("""COMPUTED_VALUE"""),1.868421052631579)</f>
        <v>1.868421053</v>
      </c>
      <c r="R305" s="57">
        <f>IFERROR(__xludf.DUMMYFUNCTION("""COMPUTED_VALUE"""),2.3157894736842106)</f>
        <v>2.315789474</v>
      </c>
      <c r="S305" s="31">
        <f>IFERROR(__xludf.DUMMYFUNCTION("""COMPUTED_VALUE"""),387.40350877192986)</f>
        <v>387.4035088</v>
      </c>
      <c r="T305" s="57">
        <f>IFERROR(__xludf.DUMMYFUNCTION("""COMPUTED_VALUE"""),0.9035087719298246)</f>
        <v>0.9035087719</v>
      </c>
      <c r="U305" s="57">
        <f>IFERROR(__xludf.DUMMYFUNCTION("""COMPUTED_VALUE"""),0.7368421052631579)</f>
        <v>0.7368421053</v>
      </c>
      <c r="V305" s="57">
        <f>IFERROR(__xludf.DUMMYFUNCTION("""COMPUTED_VALUE"""),1.307017543859649)</f>
        <v>1.307017544</v>
      </c>
      <c r="W305" s="57">
        <f>IFERROR(__xludf.DUMMYFUNCTION("""COMPUTED_VALUE"""),3.070175438596491)</f>
        <v>3.070175439</v>
      </c>
      <c r="X305" s="31">
        <f>IFERROR(__xludf.DUMMYFUNCTION("""COMPUTED_VALUE"""),364.8894310835613)</f>
        <v>364.8894311</v>
      </c>
      <c r="Y305" s="57">
        <f>IFERROR(__xludf.DUMMYFUNCTION("""COMPUTED_VALUE"""),0.7799956693236343)</f>
        <v>0.7799956693</v>
      </c>
      <c r="Z305" s="57">
        <f>IFERROR(__xludf.DUMMYFUNCTION("""COMPUTED_VALUE"""),0.6087196037570275)</f>
        <v>0.6087196038</v>
      </c>
      <c r="AA305" s="57">
        <f>IFERROR(__xludf.DUMMYFUNCTION("""COMPUTED_VALUE"""),1.4206508160988547)</f>
        <v>1.420650816</v>
      </c>
      <c r="AB305" s="57">
        <f>IFERROR(__xludf.DUMMYFUNCTION("""COMPUTED_VALUE"""),2.715510605178998)</f>
        <v>2.715510605</v>
      </c>
      <c r="AC305" s="31">
        <f>IFERROR(__xludf.DUMMYFUNCTION("""COMPUTED_VALUE"""),353.17663967989637)</f>
        <v>353.1766397</v>
      </c>
      <c r="AD305" s="57">
        <f>IFERROR(__xludf.DUMMYFUNCTION("""COMPUTED_VALUE"""),0.7287653583694013)</f>
        <v>0.7287653584</v>
      </c>
      <c r="AE305" s="57">
        <f>IFERROR(__xludf.DUMMYFUNCTION("""COMPUTED_VALUE"""),0.5478376125900021)</f>
        <v>0.5478376126</v>
      </c>
      <c r="AF305" s="57">
        <f>IFERROR(__xludf.DUMMYFUNCTION("""COMPUTED_VALUE"""),1.452183486484092)</f>
        <v>1.452183486</v>
      </c>
      <c r="AG305" s="57">
        <f>IFERROR(__xludf.DUMMYFUNCTION("""COMPUTED_VALUE"""),2.5477241825471366)</f>
        <v>2.547724183</v>
      </c>
      <c r="AH305" s="57">
        <f>IFERROR(__xludf.DUMMYFUNCTION("""COMPUTED_VALUE"""),1.0041940912578144)</f>
        <v>1.004194091</v>
      </c>
      <c r="AI305" s="57">
        <f>IFERROR(__xludf.DUMMYFUNCTION("""COMPUTED_VALUE"""),1.011082781036448)</f>
        <v>1.011082781</v>
      </c>
      <c r="AJ305" s="57">
        <f>IFERROR(__xludf.DUMMYFUNCTION("""COMPUTED_VALUE"""),0.8166077150811458)</f>
        <v>0.8166077151</v>
      </c>
      <c r="AK305" s="57">
        <f>IFERROR(__xludf.DUMMYFUNCTION("""COMPUTED_VALUE"""),1.2866287697260954)</f>
        <v>1.28662877</v>
      </c>
      <c r="AL305" s="57">
        <f>IFERROR(__xludf.DUMMYFUNCTION("""COMPUTED_VALUE"""),0.908963964603482)</f>
        <v>0.9089639646</v>
      </c>
      <c r="AM305" s="57">
        <f>IFERROR(__xludf.DUMMYFUNCTION("""COMPUTED_VALUE"""),1.0617010956483766)</f>
        <v>1.061701096</v>
      </c>
      <c r="AN305" s="57">
        <f>IFERROR(__xludf.DUMMYFUNCTION("""COMPUTED_VALUE"""),1.1583510107348334)</f>
        <v>1.158351011</v>
      </c>
      <c r="AO305" s="57">
        <f>IFERROR(__xludf.DUMMYFUNCTION("""COMPUTED_VALUE"""),1.2104786846281212)</f>
        <v>1.210478685</v>
      </c>
      <c r="AP305" s="35">
        <f>IFERROR(__xludf.DUMMYFUNCTION("""COMPUTED_VALUE"""),0.9200132284784478)</f>
        <v>0.9200132285</v>
      </c>
      <c r="AQ305" s="57">
        <f>IFERROR(__xludf.DUMMYFUNCTION("""COMPUTED_VALUE"""),1.130607051484564)</f>
        <v>1.130607051</v>
      </c>
      <c r="AR305" s="36" t="b">
        <f>IFERROR(__xludf.DUMMYFUNCTION("""COMPUTED_VALUE"""),TRUE)</f>
        <v>1</v>
      </c>
      <c r="AS305" s="57"/>
      <c r="AT305" s="37"/>
      <c r="AU305" s="30"/>
      <c r="AV305" s="30"/>
      <c r="AW305" s="30"/>
      <c r="AX305" s="30"/>
      <c r="AY305" s="30"/>
      <c r="AZ305" s="30"/>
    </row>
    <row r="306">
      <c r="A306" s="30" t="str">
        <f>IFERROR(__xludf.DUMMYFUNCTION("""COMPUTED_VALUE"""),"Elite")</f>
        <v>Elite</v>
      </c>
      <c r="B306" s="30" t="str">
        <f>IFERROR(__xludf.DUMMYFUNCTION("""COMPUTED_VALUE"""),"RSC007642")</f>
        <v>RSC007642</v>
      </c>
      <c r="C306" s="30" t="str">
        <f>IFERROR(__xludf.DUMMYFUNCTION("""COMPUTED_VALUE"""),"Luminati7")</f>
        <v>Luminati7</v>
      </c>
      <c r="D306" s="31"/>
      <c r="E306" s="31">
        <f>IFERROR(__xludf.DUMMYFUNCTION("""COMPUTED_VALUE"""),41.653838301478686)</f>
        <v>41.6538383</v>
      </c>
      <c r="F306" s="31">
        <f>IFERROR(__xludf.DUMMYFUNCTION("""COMPUTED_VALUE"""),-2.7082090893720903)</f>
        <v>-2.708209089</v>
      </c>
      <c r="G306" s="31">
        <f>IFERROR(__xludf.DUMMYFUNCTION("""COMPUTED_VALUE"""),37.491984398908826)</f>
        <v>37.4919844</v>
      </c>
      <c r="H306" s="31">
        <f>IFERROR(__xludf.DUMMYFUNCTION("""COMPUTED_VALUE"""),-3.242282821234862)</f>
        <v>-3.242282821</v>
      </c>
      <c r="I306" s="54">
        <f>IFERROR(__xludf.DUMMYFUNCTION("""COMPUTED_VALUE"""),8.0)</f>
        <v>8</v>
      </c>
      <c r="J306" s="55">
        <f>IFERROR(__xludf.DUMMYFUNCTION("""COMPUTED_VALUE"""),2.0)</f>
        <v>2</v>
      </c>
      <c r="K306" s="54">
        <f>IFERROR(__xludf.DUMMYFUNCTION("""COMPUTED_VALUE"""),6.0)</f>
        <v>6</v>
      </c>
      <c r="L306" s="56">
        <f>IFERROR(__xludf.DUMMYFUNCTION("""COMPUTED_VALUE"""),0.25)</f>
        <v>0.25</v>
      </c>
      <c r="M306" s="56">
        <f>IFERROR(__xludf.DUMMYFUNCTION("""COMPUTED_VALUE"""),0.35294117647058826)</f>
        <v>0.3529411765</v>
      </c>
      <c r="N306" s="31">
        <f>IFERROR(__xludf.DUMMYFUNCTION("""COMPUTED_VALUE"""),458.25)</f>
        <v>458.25</v>
      </c>
      <c r="O306" s="57">
        <f>IFERROR(__xludf.DUMMYFUNCTION("""COMPUTED_VALUE"""),0.75)</f>
        <v>0.75</v>
      </c>
      <c r="P306" s="57">
        <f>IFERROR(__xludf.DUMMYFUNCTION("""COMPUTED_VALUE"""),0.25)</f>
        <v>0.25</v>
      </c>
      <c r="Q306" s="57">
        <f>IFERROR(__xludf.DUMMYFUNCTION("""COMPUTED_VALUE"""),2.75)</f>
        <v>2.75</v>
      </c>
      <c r="R306" s="57">
        <f>IFERROR(__xludf.DUMMYFUNCTION("""COMPUTED_VALUE"""),2.125)</f>
        <v>2.125</v>
      </c>
      <c r="S306" s="31">
        <f>IFERROR(__xludf.DUMMYFUNCTION("""COMPUTED_VALUE"""),427.9166666666667)</f>
        <v>427.9166667</v>
      </c>
      <c r="T306" s="57">
        <f>IFERROR(__xludf.DUMMYFUNCTION("""COMPUTED_VALUE"""),0.9166666666666666)</f>
        <v>0.9166666667</v>
      </c>
      <c r="U306" s="57">
        <f>IFERROR(__xludf.DUMMYFUNCTION("""COMPUTED_VALUE"""),0.7916666666666666)</f>
        <v>0.7916666667</v>
      </c>
      <c r="V306" s="57">
        <f>IFERROR(__xludf.DUMMYFUNCTION("""COMPUTED_VALUE"""),1.5416666666666667)</f>
        <v>1.541666667</v>
      </c>
      <c r="W306" s="57">
        <f>IFERROR(__xludf.DUMMYFUNCTION("""COMPUTED_VALUE"""),3.791666666666667)</f>
        <v>3.791666667</v>
      </c>
      <c r="X306" s="31">
        <f>IFERROR(__xludf.DUMMYFUNCTION("""COMPUTED_VALUE"""),370.3343337218337)</f>
        <v>370.3343337</v>
      </c>
      <c r="Y306" s="57">
        <f>IFERROR(__xludf.DUMMYFUNCTION("""COMPUTED_VALUE"""),0.8534479409479411)</f>
        <v>0.8534479409</v>
      </c>
      <c r="Z306" s="57">
        <f>IFERROR(__xludf.DUMMYFUNCTION("""COMPUTED_VALUE"""),0.6495969308469309)</f>
        <v>0.6495969308</v>
      </c>
      <c r="AA306" s="57">
        <f>IFERROR(__xludf.DUMMYFUNCTION("""COMPUTED_VALUE"""),1.3482226107226107)</f>
        <v>1.348222611</v>
      </c>
      <c r="AB306" s="57">
        <f>IFERROR(__xludf.DUMMYFUNCTION("""COMPUTED_VALUE"""),2.909605672105672)</f>
        <v>2.909605672</v>
      </c>
      <c r="AC306" s="31">
        <f>IFERROR(__xludf.DUMMYFUNCTION("""COMPUTED_VALUE"""),350.766113053613)</f>
        <v>350.7661131</v>
      </c>
      <c r="AD306" s="57">
        <f>IFERROR(__xludf.DUMMYFUNCTION("""COMPUTED_VALUE"""),0.646590909090909)</f>
        <v>0.6465909091</v>
      </c>
      <c r="AE306" s="57">
        <f>IFERROR(__xludf.DUMMYFUNCTION("""COMPUTED_VALUE"""),0.48862988862988865)</f>
        <v>0.4886298886</v>
      </c>
      <c r="AF306" s="57">
        <f>IFERROR(__xludf.DUMMYFUNCTION("""COMPUTED_VALUE"""),1.6143437580937579)</f>
        <v>1.614343758</v>
      </c>
      <c r="AG306" s="57">
        <f>IFERROR(__xludf.DUMMYFUNCTION("""COMPUTED_VALUE"""),2.435063778813779)</f>
        <v>2.435063779</v>
      </c>
      <c r="AH306" s="57">
        <f>IFERROR(__xludf.DUMMYFUNCTION("""COMPUTED_VALUE"""),1.3064260854923535)</f>
        <v>1.306426085</v>
      </c>
      <c r="AI306" s="57">
        <f>IFERROR(__xludf.DUMMYFUNCTION("""COMPUTED_VALUE"""),1.1599297012302285)</f>
        <v>1.159929701</v>
      </c>
      <c r="AJ306" s="57">
        <f>IFERROR(__xludf.DUMMYFUNCTION("""COMPUTED_VALUE"""),0.5116346867380472)</f>
        <v>0.5116346867</v>
      </c>
      <c r="AK306" s="57">
        <f>IFERROR(__xludf.DUMMYFUNCTION("""COMPUTED_VALUE"""),1.70347857215197)</f>
        <v>1.703478572</v>
      </c>
      <c r="AL306" s="57">
        <f>IFERROR(__xludf.DUMMYFUNCTION("""COMPUTED_VALUE"""),0.8726670810385)</f>
        <v>0.872667081</v>
      </c>
      <c r="AM306" s="57">
        <f>IFERROR(__xludf.DUMMYFUNCTION("""COMPUTED_VALUE"""),1.1554874277146672)</f>
        <v>1.155487428</v>
      </c>
      <c r="AN306" s="57">
        <f>IFERROR(__xludf.DUMMYFUNCTION("""COMPUTED_VALUE"""),1.0740744955673656)</f>
        <v>1.074074496</v>
      </c>
      <c r="AO306" s="57">
        <f>IFERROR(__xludf.DUMMYFUNCTION("""COMPUTED_VALUE"""),1.21870444436138)</f>
        <v>1.218704444</v>
      </c>
      <c r="AP306" s="35">
        <f>IFERROR(__xludf.DUMMYFUNCTION("""COMPUTED_VALUE"""),1.1434807979079769)</f>
        <v>1.143480798</v>
      </c>
      <c r="AQ306" s="57">
        <f>IFERROR(__xludf.DUMMYFUNCTION("""COMPUTED_VALUE"""),1.303154823699065)</f>
        <v>1.303154824</v>
      </c>
      <c r="AR306" s="36" t="b">
        <f>IFERROR(__xludf.DUMMYFUNCTION("""COMPUTED_VALUE"""),TRUE)</f>
        <v>1</v>
      </c>
      <c r="AS306" s="57"/>
      <c r="AT306" s="37"/>
      <c r="AU306" s="30"/>
      <c r="AV306" s="30"/>
      <c r="AW306" s="30"/>
      <c r="AX306" s="30"/>
      <c r="AY306" s="30"/>
      <c r="AZ306" s="30"/>
    </row>
    <row r="307">
      <c r="A307" s="30" t="str">
        <f>IFERROR(__xludf.DUMMYFUNCTION("""COMPUTED_VALUE"""),"Elite")</f>
        <v>Elite</v>
      </c>
      <c r="B307" s="30" t="str">
        <f>IFERROR(__xludf.DUMMYFUNCTION("""COMPUTED_VALUE"""),"RSC000867")</f>
        <v>RSC000867</v>
      </c>
      <c r="C307" s="30" t="str">
        <f>IFERROR(__xludf.DUMMYFUNCTION("""COMPUTED_VALUE"""),"Ritter")</f>
        <v>Ritter</v>
      </c>
      <c r="D307" s="31" t="str">
        <f>IFERROR(__xludf.DUMMYFUNCTION("""COMPUTED_VALUE"""),"Pylons")</f>
        <v>Pylons</v>
      </c>
      <c r="E307" s="31">
        <f>IFERROR(__xludf.DUMMYFUNCTION("""COMPUTED_VALUE"""),40.434604837149536)</f>
        <v>40.43460484</v>
      </c>
      <c r="F307" s="31">
        <f>IFERROR(__xludf.DUMMYFUNCTION("""COMPUTED_VALUE"""),-2.848983983120717)</f>
        <v>-2.848983983</v>
      </c>
      <c r="G307" s="31">
        <f>IFERROR(__xludf.DUMMYFUNCTION("""COMPUTED_VALUE"""),24.804839005963835)</f>
        <v>24.80483901</v>
      </c>
      <c r="H307" s="31">
        <f>IFERROR(__xludf.DUMMYFUNCTION("""COMPUTED_VALUE"""),-6.378621030816316)</f>
        <v>-6.378621031</v>
      </c>
      <c r="I307" s="54">
        <f>IFERROR(__xludf.DUMMYFUNCTION("""COMPUTED_VALUE"""),20.0)</f>
        <v>20</v>
      </c>
      <c r="J307" s="55">
        <f>IFERROR(__xludf.DUMMYFUNCTION("""COMPUTED_VALUE"""),7.0)</f>
        <v>7</v>
      </c>
      <c r="K307" s="54">
        <f>IFERROR(__xludf.DUMMYFUNCTION("""COMPUTED_VALUE"""),13.0)</f>
        <v>13</v>
      </c>
      <c r="L307" s="56">
        <f>IFERROR(__xludf.DUMMYFUNCTION("""COMPUTED_VALUE"""),0.35)</f>
        <v>0.35</v>
      </c>
      <c r="M307" s="56">
        <f>IFERROR(__xludf.DUMMYFUNCTION("""COMPUTED_VALUE"""),0.35)</f>
        <v>0.35</v>
      </c>
      <c r="N307" s="31">
        <f>IFERROR(__xludf.DUMMYFUNCTION("""COMPUTED_VALUE"""),323.05)</f>
        <v>323.05</v>
      </c>
      <c r="O307" s="57">
        <f>IFERROR(__xludf.DUMMYFUNCTION("""COMPUTED_VALUE"""),0.7)</f>
        <v>0.7</v>
      </c>
      <c r="P307" s="57">
        <f>IFERROR(__xludf.DUMMYFUNCTION("""COMPUTED_VALUE"""),0.65)</f>
        <v>0.65</v>
      </c>
      <c r="Q307" s="57">
        <f>IFERROR(__xludf.DUMMYFUNCTION("""COMPUTED_VALUE"""),1.35)</f>
        <v>1.35</v>
      </c>
      <c r="R307" s="57">
        <f>IFERROR(__xludf.DUMMYFUNCTION("""COMPUTED_VALUE"""),2.0)</f>
        <v>2</v>
      </c>
      <c r="S307" s="31">
        <f>IFERROR(__xludf.DUMMYFUNCTION("""COMPUTED_VALUE"""),400.2333333333334)</f>
        <v>400.2333333</v>
      </c>
      <c r="T307" s="57">
        <f>IFERROR(__xludf.DUMMYFUNCTION("""COMPUTED_VALUE"""),1.05)</f>
        <v>1.05</v>
      </c>
      <c r="U307" s="57">
        <f>IFERROR(__xludf.DUMMYFUNCTION("""COMPUTED_VALUE"""),0.7666666666666667)</f>
        <v>0.7666666667</v>
      </c>
      <c r="V307" s="57">
        <f>IFERROR(__xludf.DUMMYFUNCTION("""COMPUTED_VALUE"""),1.4333333333333331)</f>
        <v>1.433333333</v>
      </c>
      <c r="W307" s="57">
        <f>IFERROR(__xludf.DUMMYFUNCTION("""COMPUTED_VALUE"""),3.0833333333333335)</f>
        <v>3.083333333</v>
      </c>
      <c r="X307" s="31">
        <f>IFERROR(__xludf.DUMMYFUNCTION("""COMPUTED_VALUE"""),366.56546053676385)</f>
        <v>366.5654605</v>
      </c>
      <c r="Y307" s="57">
        <f>IFERROR(__xludf.DUMMYFUNCTION("""COMPUTED_VALUE"""),0.8477252677890796)</f>
        <v>0.8477252678</v>
      </c>
      <c r="Z307" s="57">
        <f>IFERROR(__xludf.DUMMYFUNCTION("""COMPUTED_VALUE"""),0.611230063554227)</f>
        <v>0.6112300636</v>
      </c>
      <c r="AA307" s="57">
        <f>IFERROR(__xludf.DUMMYFUNCTION("""COMPUTED_VALUE"""),1.3392281935517896)</f>
        <v>1.339228194</v>
      </c>
      <c r="AB307" s="57">
        <f>IFERROR(__xludf.DUMMYFUNCTION("""COMPUTED_VALUE"""),2.8361014206377226)</f>
        <v>2.836101421</v>
      </c>
      <c r="AC307" s="31">
        <f>IFERROR(__xludf.DUMMYFUNCTION("""COMPUTED_VALUE"""),358.46917051176035)</f>
        <v>358.4691705</v>
      </c>
      <c r="AD307" s="57">
        <f>IFERROR(__xludf.DUMMYFUNCTION("""COMPUTED_VALUE"""),0.7428834229746502)</f>
        <v>0.742883423</v>
      </c>
      <c r="AE307" s="57">
        <f>IFERROR(__xludf.DUMMYFUNCTION("""COMPUTED_VALUE"""),0.5568981326615094)</f>
        <v>0.5568981327</v>
      </c>
      <c r="AF307" s="57">
        <f>IFERROR(__xludf.DUMMYFUNCTION("""COMPUTED_VALUE"""),1.5196320561961518)</f>
        <v>1.519632056</v>
      </c>
      <c r="AG307" s="57">
        <f>IFERROR(__xludf.DUMMYFUNCTION("""COMPUTED_VALUE"""),2.5515911359426195)</f>
        <v>2.551591136</v>
      </c>
      <c r="AH307" s="57">
        <f>IFERROR(__xludf.DUMMYFUNCTION("""COMPUTED_VALUE"""),0.9011932589315981)</f>
        <v>0.9011932589</v>
      </c>
      <c r="AI307" s="57">
        <f>IFERROR(__xludf.DUMMYFUNCTION("""COMPUTED_VALUE"""),0.9422743573911818)</f>
        <v>0.9422743574</v>
      </c>
      <c r="AJ307" s="57">
        <f>IFERROR(__xludf.DUMMYFUNCTION("""COMPUTED_VALUE"""),1.1671793491092188)</f>
        <v>1.167179349</v>
      </c>
      <c r="AK307" s="57">
        <f>IFERROR(__xludf.DUMMYFUNCTION("""COMPUTED_VALUE"""),0.888372941657493)</f>
        <v>0.8883729417</v>
      </c>
      <c r="AL307" s="57">
        <f>IFERROR(__xludf.DUMMYFUNCTION("""COMPUTED_VALUE"""),0.7838246386058053)</f>
        <v>0.7838246386</v>
      </c>
      <c r="AM307" s="57">
        <f>IFERROR(__xludf.DUMMYFUNCTION("""COMPUTED_VALUE"""),1.0918468225218751)</f>
        <v>1.091846823</v>
      </c>
      <c r="AN307" s="57">
        <f>IFERROR(__xludf.DUMMYFUNCTION("""COMPUTED_VALUE"""),1.2386088275255325)</f>
        <v>1.238608828</v>
      </c>
      <c r="AO307" s="57">
        <f>IFERROR(__xludf.DUMMYFUNCTION("""COMPUTED_VALUE"""),1.2543013054832335)</f>
        <v>1.254301305</v>
      </c>
      <c r="AP307" s="35">
        <f>IFERROR(__xludf.DUMMYFUNCTION("""COMPUTED_VALUE"""),1.0702681889723107)</f>
        <v>1.070268189</v>
      </c>
      <c r="AQ307" s="57">
        <f>IFERROR(__xludf.DUMMYFUNCTION("""COMPUTED_VALUE"""),1.087173156395803)</f>
        <v>1.087173156</v>
      </c>
      <c r="AR307" s="36" t="b">
        <f>IFERROR(__xludf.DUMMYFUNCTION("""COMPUTED_VALUE"""),TRUE)</f>
        <v>1</v>
      </c>
      <c r="AS307" s="57"/>
      <c r="AT307" s="37"/>
      <c r="AU307" s="30"/>
      <c r="AV307" s="30"/>
      <c r="AW307" s="30"/>
      <c r="AX307" s="30"/>
      <c r="AY307" s="30"/>
      <c r="AZ307" s="30"/>
    </row>
    <row r="308">
      <c r="A308" s="30" t="str">
        <f>IFERROR(__xludf.DUMMYFUNCTION("""COMPUTED_VALUE"""),"Elite")</f>
        <v>Elite</v>
      </c>
      <c r="B308" s="30" t="str">
        <f>IFERROR(__xludf.DUMMYFUNCTION("""COMPUTED_VALUE"""),"RSC006218")</f>
        <v>RSC006218</v>
      </c>
      <c r="C308" s="30" t="str">
        <f>IFERROR(__xludf.DUMMYFUNCTION("""COMPUTED_VALUE"""),"Stingray")</f>
        <v>Stingray</v>
      </c>
      <c r="D308" s="31" t="str">
        <f>IFERROR(__xludf.DUMMYFUNCTION("""COMPUTED_VALUE"""),"Keno")</f>
        <v>Keno</v>
      </c>
      <c r="E308" s="31">
        <f>IFERROR(__xludf.DUMMYFUNCTION("""COMPUTED_VALUE"""),40.34887963306307)</f>
        <v>40.34887963</v>
      </c>
      <c r="F308" s="31">
        <f>IFERROR(__xludf.DUMMYFUNCTION("""COMPUTED_VALUE"""),-2.859334417831679)</f>
        <v>-2.859334418</v>
      </c>
      <c r="G308" s="31">
        <f>IFERROR(__xludf.DUMMYFUNCTION("""COMPUTED_VALUE"""),56.686641134337584)</f>
        <v>56.68664113</v>
      </c>
      <c r="H308" s="31">
        <f>IFERROR(__xludf.DUMMYFUNCTION("""COMPUTED_VALUE"""),2.534498767364868)</f>
        <v>2.534498767</v>
      </c>
      <c r="I308" s="54">
        <f>IFERROR(__xludf.DUMMYFUNCTION("""COMPUTED_VALUE"""),44.0)</f>
        <v>44</v>
      </c>
      <c r="J308" s="55">
        <f>IFERROR(__xludf.DUMMYFUNCTION("""COMPUTED_VALUE"""),22.0)</f>
        <v>22</v>
      </c>
      <c r="K308" s="54">
        <f>IFERROR(__xludf.DUMMYFUNCTION("""COMPUTED_VALUE"""),22.0)</f>
        <v>22</v>
      </c>
      <c r="L308" s="56">
        <f>IFERROR(__xludf.DUMMYFUNCTION("""COMPUTED_VALUE"""),0.5)</f>
        <v>0.5</v>
      </c>
      <c r="M308" s="56">
        <f>IFERROR(__xludf.DUMMYFUNCTION("""COMPUTED_VALUE"""),0.26881720430107525)</f>
        <v>0.2688172043</v>
      </c>
      <c r="N308" s="31">
        <f>IFERROR(__xludf.DUMMYFUNCTION("""COMPUTED_VALUE"""),353.3863636363636)</f>
        <v>353.3863636</v>
      </c>
      <c r="O308" s="57">
        <f>IFERROR(__xludf.DUMMYFUNCTION("""COMPUTED_VALUE"""),0.5681818181818182)</f>
        <v>0.5681818182</v>
      </c>
      <c r="P308" s="57">
        <f>IFERROR(__xludf.DUMMYFUNCTION("""COMPUTED_VALUE"""),0.5454545454545454)</f>
        <v>0.5454545455</v>
      </c>
      <c r="Q308" s="57">
        <f>IFERROR(__xludf.DUMMYFUNCTION("""COMPUTED_VALUE"""),1.6818181818181819)</f>
        <v>1.681818182</v>
      </c>
      <c r="R308" s="57">
        <f>IFERROR(__xludf.DUMMYFUNCTION("""COMPUTED_VALUE"""),2.1136363636363638)</f>
        <v>2.113636364</v>
      </c>
      <c r="S308" s="31">
        <f>IFERROR(__xludf.DUMMYFUNCTION("""COMPUTED_VALUE"""),331.1515151515151)</f>
        <v>331.1515152</v>
      </c>
      <c r="T308" s="57">
        <f>IFERROR(__xludf.DUMMYFUNCTION("""COMPUTED_VALUE"""),0.6893939393939393)</f>
        <v>0.6893939394</v>
      </c>
      <c r="U308" s="57">
        <f>IFERROR(__xludf.DUMMYFUNCTION("""COMPUTED_VALUE"""),0.49242424242424254)</f>
        <v>0.4924242424</v>
      </c>
      <c r="V308" s="57">
        <f>IFERROR(__xludf.DUMMYFUNCTION("""COMPUTED_VALUE"""),1.113636363636364)</f>
        <v>1.113636364</v>
      </c>
      <c r="W308" s="57">
        <f>IFERROR(__xludf.DUMMYFUNCTION("""COMPUTED_VALUE"""),2.6515151515151514)</f>
        <v>2.651515152</v>
      </c>
      <c r="X308" s="31">
        <f>IFERROR(__xludf.DUMMYFUNCTION("""COMPUTED_VALUE"""),353.33173783186385)</f>
        <v>353.3317378</v>
      </c>
      <c r="Y308" s="57">
        <f>IFERROR(__xludf.DUMMYFUNCTION("""COMPUTED_VALUE"""),0.7397111594984959)</f>
        <v>0.7397111595</v>
      </c>
      <c r="Z308" s="57">
        <f>IFERROR(__xludf.DUMMYFUNCTION("""COMPUTED_VALUE"""),0.5447936234377742)</f>
        <v>0.5447936234</v>
      </c>
      <c r="AA308" s="57">
        <f>IFERROR(__xludf.DUMMYFUNCTION("""COMPUTED_VALUE"""),1.422114543404855)</f>
        <v>1.422114543</v>
      </c>
      <c r="AB308" s="57">
        <f>IFERROR(__xludf.DUMMYFUNCTION("""COMPUTED_VALUE"""),2.6374080244243747)</f>
        <v>2.637408024</v>
      </c>
      <c r="AC308" s="31">
        <f>IFERROR(__xludf.DUMMYFUNCTION("""COMPUTED_VALUE"""),364.7497753353419)</f>
        <v>364.7497753</v>
      </c>
      <c r="AD308" s="57">
        <f>IFERROR(__xludf.DUMMYFUNCTION("""COMPUTED_VALUE"""),0.8047324313344016)</f>
        <v>0.8047324313</v>
      </c>
      <c r="AE308" s="57">
        <f>IFERROR(__xludf.DUMMYFUNCTION("""COMPUTED_VALUE"""),0.6110107285829236)</f>
        <v>0.6110107286</v>
      </c>
      <c r="AF308" s="57">
        <f>IFERROR(__xludf.DUMMYFUNCTION("""COMPUTED_VALUE"""),1.4323546209412599)</f>
        <v>1.432354621</v>
      </c>
      <c r="AG308" s="57">
        <f>IFERROR(__xludf.DUMMYFUNCTION("""COMPUTED_VALUE"""),2.645702110034097)</f>
        <v>2.64570211</v>
      </c>
      <c r="AH308" s="57">
        <f>IFERROR(__xludf.DUMMYFUNCTION("""COMPUTED_VALUE"""),0.9688460076814824)</f>
        <v>0.9688460077</v>
      </c>
      <c r="AI308" s="57">
        <f>IFERROR(__xludf.DUMMYFUNCTION("""COMPUTED_VALUE"""),0.7060506027322189)</f>
        <v>0.7060506027</v>
      </c>
      <c r="AJ308" s="57">
        <f>IFERROR(__xludf.DUMMYFUNCTION("""COMPUTED_VALUE"""),0.8927086218593604)</f>
        <v>0.8927086219</v>
      </c>
      <c r="AK308" s="57">
        <f>IFERROR(__xludf.DUMMYFUNCTION("""COMPUTED_VALUE"""),1.1741632674127789)</f>
        <v>1.174163267</v>
      </c>
      <c r="AL308" s="57">
        <f>IFERROR(__xludf.DUMMYFUNCTION("""COMPUTED_VALUE"""),0.7988943107465428)</f>
        <v>0.7988943107</v>
      </c>
      <c r="AM308" s="57">
        <f>IFERROR(__xludf.DUMMYFUNCTION("""COMPUTED_VALUE"""),0.9372255014042826)</f>
        <v>0.9372255014</v>
      </c>
      <c r="AN308" s="57">
        <f>IFERROR(__xludf.DUMMYFUNCTION("""COMPUTED_VALUE"""),0.9319772056181088)</f>
        <v>0.9319772056</v>
      </c>
      <c r="AO308" s="57">
        <f>IFERROR(__xludf.DUMMYFUNCTION("""COMPUTED_VALUE"""),0.9038729919725039)</f>
        <v>0.903872992</v>
      </c>
      <c r="AP308" s="35">
        <f>IFERROR(__xludf.DUMMYFUNCTION("""COMPUTED_VALUE"""),0.7830848568428768)</f>
        <v>0.7830848568</v>
      </c>
      <c r="AQ308" s="57">
        <f>IFERROR(__xludf.DUMMYFUNCTION("""COMPUTED_VALUE"""),1.0053488603053202)</f>
        <v>1.00534886</v>
      </c>
      <c r="AR308" s="36" t="b">
        <f>IFERROR(__xludf.DUMMYFUNCTION("""COMPUTED_VALUE"""),TRUE)</f>
        <v>1</v>
      </c>
      <c r="AS308" s="57"/>
      <c r="AT308" s="37"/>
      <c r="AU308" s="30"/>
      <c r="AV308" s="30"/>
      <c r="AW308" s="30"/>
      <c r="AX308" s="30"/>
      <c r="AY308" s="30"/>
      <c r="AZ308" s="30"/>
    </row>
    <row r="309">
      <c r="A309" s="30" t="str">
        <f>IFERROR(__xludf.DUMMYFUNCTION("""COMPUTED_VALUE"""),"Elite")</f>
        <v>Elite</v>
      </c>
      <c r="B309" s="30" t="str">
        <f>IFERROR(__xludf.DUMMYFUNCTION("""COMPUTED_VALUE"""),"RSC006877")</f>
        <v>RSC006877</v>
      </c>
      <c r="C309" s="30" t="str">
        <f>IFERROR(__xludf.DUMMYFUNCTION("""COMPUTED_VALUE"""),"Jolt")</f>
        <v>Jolt</v>
      </c>
      <c r="D309" s="31"/>
      <c r="E309" s="31">
        <f>IFERROR(__xludf.DUMMYFUNCTION("""COMPUTED_VALUE"""),40.20180332485201)</f>
        <v>40.20180332</v>
      </c>
      <c r="F309" s="31">
        <f>IFERROR(__xludf.DUMMYFUNCTION("""COMPUTED_VALUE"""),-2.87723619232384)</f>
        <v>-2.877236192</v>
      </c>
      <c r="G309" s="31">
        <f>IFERROR(__xludf.DUMMYFUNCTION("""COMPUTED_VALUE"""),30.85257156276768)</f>
        <v>30.85257156</v>
      </c>
      <c r="H309" s="31">
        <f>IFERROR(__xludf.DUMMYFUNCTION("""COMPUTED_VALUE"""),-4.507169121664191)</f>
        <v>-4.507169122</v>
      </c>
      <c r="I309" s="54">
        <f>IFERROR(__xludf.DUMMYFUNCTION("""COMPUTED_VALUE"""),7.0)</f>
        <v>7</v>
      </c>
      <c r="J309" s="55">
        <f>IFERROR(__xludf.DUMMYFUNCTION("""COMPUTED_VALUE"""),4.0)</f>
        <v>4</v>
      </c>
      <c r="K309" s="54">
        <f>IFERROR(__xludf.DUMMYFUNCTION("""COMPUTED_VALUE"""),3.0)</f>
        <v>3</v>
      </c>
      <c r="L309" s="56">
        <f>IFERROR(__xludf.DUMMYFUNCTION("""COMPUTED_VALUE"""),0.5714285714285714)</f>
        <v>0.5714285714</v>
      </c>
      <c r="M309" s="56">
        <f>IFERROR(__xludf.DUMMYFUNCTION("""COMPUTED_VALUE"""),0.09090909090909091)</f>
        <v>0.09090909091</v>
      </c>
      <c r="N309" s="31">
        <f>IFERROR(__xludf.DUMMYFUNCTION("""COMPUTED_VALUE"""),331.14285714285717)</f>
        <v>331.1428571</v>
      </c>
      <c r="O309" s="57">
        <f>IFERROR(__xludf.DUMMYFUNCTION("""COMPUTED_VALUE"""),0.14285714285714285)</f>
        <v>0.1428571429</v>
      </c>
      <c r="P309" s="57">
        <f>IFERROR(__xludf.DUMMYFUNCTION("""COMPUTED_VALUE"""),1.2857142857142858)</f>
        <v>1.285714286</v>
      </c>
      <c r="Q309" s="57">
        <f>IFERROR(__xludf.DUMMYFUNCTION("""COMPUTED_VALUE"""),1.7142857142857142)</f>
        <v>1.714285714</v>
      </c>
      <c r="R309" s="57">
        <f>IFERROR(__xludf.DUMMYFUNCTION("""COMPUTED_VALUE"""),1.5714285714285714)</f>
        <v>1.571428571</v>
      </c>
      <c r="S309" s="31">
        <f>IFERROR(__xludf.DUMMYFUNCTION("""COMPUTED_VALUE"""),415.2857142857143)</f>
        <v>415.2857143</v>
      </c>
      <c r="T309" s="57">
        <f>IFERROR(__xludf.DUMMYFUNCTION("""COMPUTED_VALUE"""),0.8571428571428571)</f>
        <v>0.8571428571</v>
      </c>
      <c r="U309" s="57">
        <f>IFERROR(__xludf.DUMMYFUNCTION("""COMPUTED_VALUE"""),0.8571428571428571)</f>
        <v>0.8571428571</v>
      </c>
      <c r="V309" s="57">
        <f>IFERROR(__xludf.DUMMYFUNCTION("""COMPUTED_VALUE"""),1.7619047619047616)</f>
        <v>1.761904762</v>
      </c>
      <c r="W309" s="57">
        <f>IFERROR(__xludf.DUMMYFUNCTION("""COMPUTED_VALUE"""),3.095238095238095)</f>
        <v>3.095238095</v>
      </c>
      <c r="X309" s="31">
        <f>IFERROR(__xludf.DUMMYFUNCTION("""COMPUTED_VALUE"""),377.8547465482501)</f>
        <v>377.8547465</v>
      </c>
      <c r="Y309" s="57">
        <f>IFERROR(__xludf.DUMMYFUNCTION("""COMPUTED_VALUE"""),0.8752790643481096)</f>
        <v>0.8752790643</v>
      </c>
      <c r="Z309" s="57">
        <f>IFERROR(__xludf.DUMMYFUNCTION("""COMPUTED_VALUE"""),0.6661849401340952)</f>
        <v>0.6661849401</v>
      </c>
      <c r="AA309" s="57">
        <f>IFERROR(__xludf.DUMMYFUNCTION("""COMPUTED_VALUE"""),1.3681963096848264)</f>
        <v>1.36819631</v>
      </c>
      <c r="AB309" s="57">
        <f>IFERROR(__xludf.DUMMYFUNCTION("""COMPUTED_VALUE"""),2.9374138039564874)</f>
        <v>2.937413804</v>
      </c>
      <c r="AC309" s="31">
        <f>IFERROR(__xludf.DUMMYFUNCTION("""COMPUTED_VALUE"""),349.1750532501509)</f>
        <v>349.1750533</v>
      </c>
      <c r="AD309" s="57">
        <f>IFERROR(__xludf.DUMMYFUNCTION("""COMPUTED_VALUE"""),0.6624876597287402)</f>
        <v>0.6624876597</v>
      </c>
      <c r="AE309" s="57">
        <f>IFERROR(__xludf.DUMMYFUNCTION("""COMPUTED_VALUE"""),0.49409269503881675)</f>
        <v>0.494092695</v>
      </c>
      <c r="AF309" s="57">
        <f>IFERROR(__xludf.DUMMYFUNCTION("""COMPUTED_VALUE"""),1.592713620873378)</f>
        <v>1.592713621</v>
      </c>
      <c r="AG309" s="57">
        <f>IFERROR(__xludf.DUMMYFUNCTION("""COMPUTED_VALUE"""),2.354310220784293)</f>
        <v>2.354310221</v>
      </c>
      <c r="AH309" s="57">
        <f>IFERROR(__xludf.DUMMYFUNCTION("""COMPUTED_VALUE"""),0.9483577193174354)</f>
        <v>0.9483577193</v>
      </c>
      <c r="AI309" s="57">
        <f>IFERROR(__xludf.DUMMYFUNCTION("""COMPUTED_VALUE"""),0.21563743982134945)</f>
        <v>0.2156374398</v>
      </c>
      <c r="AJ309" s="57">
        <f>IFERROR(__xludf.DUMMYFUNCTION("""COMPUTED_VALUE"""),2.6021722211725433)</f>
        <v>2.602172221</v>
      </c>
      <c r="AK309" s="57">
        <f>IFERROR(__xludf.DUMMYFUNCTION("""COMPUTED_VALUE"""),1.0763301649581367)</f>
        <v>1.076330165</v>
      </c>
      <c r="AL309" s="57">
        <f>IFERROR(__xludf.DUMMYFUNCTION("""COMPUTED_VALUE"""),0.6674687802634099)</f>
        <v>0.6674687803</v>
      </c>
      <c r="AM309" s="57">
        <f>IFERROR(__xludf.DUMMYFUNCTION("""COMPUTED_VALUE"""),1.0990617904880136)</f>
        <v>1.09906179</v>
      </c>
      <c r="AN309" s="57">
        <f>IFERROR(__xludf.DUMMYFUNCTION("""COMPUTED_VALUE"""),0.97927951444976)</f>
        <v>0.9792795144</v>
      </c>
      <c r="AO309" s="57">
        <f>IFERROR(__xludf.DUMMYFUNCTION("""COMPUTED_VALUE"""),1.2866440015445624)</f>
        <v>1.286644002</v>
      </c>
      <c r="AP309" s="35">
        <f>IFERROR(__xludf.DUMMYFUNCTION("""COMPUTED_VALUE"""),1.2877572826597001)</f>
        <v>1.287757283</v>
      </c>
      <c r="AQ309" s="57">
        <f>IFERROR(__xludf.DUMMYFUNCTION("""COMPUTED_VALUE"""),1.053728994896473)</f>
        <v>1.053728995</v>
      </c>
      <c r="AR309" s="36" t="b">
        <f>IFERROR(__xludf.DUMMYFUNCTION("""COMPUTED_VALUE"""),TRUE)</f>
        <v>1</v>
      </c>
      <c r="AS309" s="57"/>
      <c r="AT309" s="37"/>
      <c r="AU309" s="30"/>
      <c r="AV309" s="30"/>
      <c r="AW309" s="30"/>
      <c r="AX309" s="30"/>
      <c r="AY309" s="30"/>
      <c r="AZ309" s="30"/>
    </row>
    <row r="310">
      <c r="A310" s="30" t="str">
        <f>IFERROR(__xludf.DUMMYFUNCTION("""COMPUTED_VALUE"""),"Elite")</f>
        <v>Elite</v>
      </c>
      <c r="B310" s="30" t="str">
        <f>IFERROR(__xludf.DUMMYFUNCTION("""COMPUTED_VALUE"""),"RSC003305")</f>
        <v>RSC003305</v>
      </c>
      <c r="C310" s="30" t="str">
        <f>IFERROR(__xludf.DUMMYFUNCTION("""COMPUTED_VALUE"""),"Sobes")</f>
        <v>Sobes</v>
      </c>
      <c r="D310" s="31" t="str">
        <f>IFERROR(__xludf.DUMMYFUNCTION("""COMPUTED_VALUE"""),"Cyclones")</f>
        <v>Cyclones</v>
      </c>
      <c r="E310" s="31">
        <f>IFERROR(__xludf.DUMMYFUNCTION("""COMPUTED_VALUE"""),39.12998117185836)</f>
        <v>39.12998117</v>
      </c>
      <c r="F310" s="31">
        <f>IFERROR(__xludf.DUMMYFUNCTION("""COMPUTED_VALUE"""),-3.013377626852799)</f>
        <v>-3.013377627</v>
      </c>
      <c r="G310" s="31">
        <f>IFERROR(__xludf.DUMMYFUNCTION("""COMPUTED_VALUE"""),34.17303163786846)</f>
        <v>34.17303164</v>
      </c>
      <c r="H310" s="31">
        <f>IFERROR(__xludf.DUMMYFUNCTION("""COMPUTED_VALUE"""),-3.7973561511628144)</f>
        <v>-3.797356151</v>
      </c>
      <c r="I310" s="54">
        <f>IFERROR(__xludf.DUMMYFUNCTION("""COMPUTED_VALUE"""),8.0)</f>
        <v>8</v>
      </c>
      <c r="J310" s="55">
        <f>IFERROR(__xludf.DUMMYFUNCTION("""COMPUTED_VALUE"""),3.0)</f>
        <v>3</v>
      </c>
      <c r="K310" s="54">
        <f>IFERROR(__xludf.DUMMYFUNCTION("""COMPUTED_VALUE"""),5.0)</f>
        <v>5</v>
      </c>
      <c r="L310" s="56">
        <f>IFERROR(__xludf.DUMMYFUNCTION("""COMPUTED_VALUE"""),0.375)</f>
        <v>0.375</v>
      </c>
      <c r="M310" s="56">
        <f>IFERROR(__xludf.DUMMYFUNCTION("""COMPUTED_VALUE"""),0.3157894736842105)</f>
        <v>0.3157894737</v>
      </c>
      <c r="N310" s="31">
        <f>IFERROR(__xludf.DUMMYFUNCTION("""COMPUTED_VALUE"""),369.625)</f>
        <v>369.625</v>
      </c>
      <c r="O310" s="57">
        <f>IFERROR(__xludf.DUMMYFUNCTION("""COMPUTED_VALUE"""),0.75)</f>
        <v>0.75</v>
      </c>
      <c r="P310" s="57">
        <f>IFERROR(__xludf.DUMMYFUNCTION("""COMPUTED_VALUE"""),0.5)</f>
        <v>0.5</v>
      </c>
      <c r="Q310" s="57">
        <f>IFERROR(__xludf.DUMMYFUNCTION("""COMPUTED_VALUE"""),1.375)</f>
        <v>1.375</v>
      </c>
      <c r="R310" s="57">
        <f>IFERROR(__xludf.DUMMYFUNCTION("""COMPUTED_VALUE"""),2.375)</f>
        <v>2.375</v>
      </c>
      <c r="S310" s="31">
        <f>IFERROR(__xludf.DUMMYFUNCTION("""COMPUTED_VALUE"""),359.0833333333333)</f>
        <v>359.0833333</v>
      </c>
      <c r="T310" s="57">
        <f>IFERROR(__xludf.DUMMYFUNCTION("""COMPUTED_VALUE"""),0.7499999999999999)</f>
        <v>0.75</v>
      </c>
      <c r="U310" s="57">
        <f>IFERROR(__xludf.DUMMYFUNCTION("""COMPUTED_VALUE"""),0.6249999999999999)</f>
        <v>0.625</v>
      </c>
      <c r="V310" s="57">
        <f>IFERROR(__xludf.DUMMYFUNCTION("""COMPUTED_VALUE"""),1.2083333333333333)</f>
        <v>1.208333333</v>
      </c>
      <c r="W310" s="57">
        <f>IFERROR(__xludf.DUMMYFUNCTION("""COMPUTED_VALUE"""),3.5833333333333335)</f>
        <v>3.583333333</v>
      </c>
      <c r="X310" s="31">
        <f>IFERROR(__xludf.DUMMYFUNCTION("""COMPUTED_VALUE"""),339.92441829004326)</f>
        <v>339.9244183</v>
      </c>
      <c r="Y310" s="57">
        <f>IFERROR(__xludf.DUMMYFUNCTION("""COMPUTED_VALUE"""),0.7330733808674985)</f>
        <v>0.7330733809</v>
      </c>
      <c r="Z310" s="57">
        <f>IFERROR(__xludf.DUMMYFUNCTION("""COMPUTED_VALUE"""),0.49199929971988804)</f>
        <v>0.4919992997</v>
      </c>
      <c r="AA310" s="57">
        <f>IFERROR(__xludf.DUMMYFUNCTION("""COMPUTED_VALUE"""),1.2995538366861896)</f>
        <v>1.299553837</v>
      </c>
      <c r="AB310" s="57">
        <f>IFERROR(__xludf.DUMMYFUNCTION("""COMPUTED_VALUE"""),2.7059213458110514)</f>
        <v>2.705921346</v>
      </c>
      <c r="AC310" s="31">
        <f>IFERROR(__xludf.DUMMYFUNCTION("""COMPUTED_VALUE"""),382.0888246965453)</f>
        <v>382.0888247</v>
      </c>
      <c r="AD310" s="57">
        <f>IFERROR(__xludf.DUMMYFUNCTION("""COMPUTED_VALUE"""),0.9152757441360383)</f>
        <v>0.9152757441</v>
      </c>
      <c r="AE310" s="57">
        <f>IFERROR(__xludf.DUMMYFUNCTION("""COMPUTED_VALUE"""),0.7112428557281498)</f>
        <v>0.7112428557</v>
      </c>
      <c r="AF310" s="57">
        <f>IFERROR(__xludf.DUMMYFUNCTION("""COMPUTED_VALUE"""),1.4627769289533996)</f>
        <v>1.462776929</v>
      </c>
      <c r="AG310" s="57">
        <f>IFERROR(__xludf.DUMMYFUNCTION("""COMPUTED_VALUE"""),2.6972301799507683)</f>
        <v>2.69723018</v>
      </c>
      <c r="AH310" s="57">
        <f>IFERROR(__xludf.DUMMYFUNCTION("""COMPUTED_VALUE"""),0.9673797716893603)</f>
        <v>0.9673797717</v>
      </c>
      <c r="AI310" s="57">
        <f>IFERROR(__xludf.DUMMYFUNCTION("""COMPUTED_VALUE"""),0.8194251894088508)</f>
        <v>0.8194251894</v>
      </c>
      <c r="AJ310" s="57">
        <f>IFERROR(__xludf.DUMMYFUNCTION("""COMPUTED_VALUE"""),0.7029947590659655)</f>
        <v>0.7029947591</v>
      </c>
      <c r="AK310" s="57">
        <f>IFERROR(__xludf.DUMMYFUNCTION("""COMPUTED_VALUE"""),0.9399929495632645)</f>
        <v>0.9399929496</v>
      </c>
      <c r="AL310" s="57">
        <f>IFERROR(__xludf.DUMMYFUNCTION("""COMPUTED_VALUE"""),0.8805329325075808)</f>
        <v>0.8805329325</v>
      </c>
      <c r="AM310" s="57">
        <f>IFERROR(__xludf.DUMMYFUNCTION("""COMPUTED_VALUE"""),1.0563622794139564)</f>
        <v>1.056362279</v>
      </c>
      <c r="AN310" s="57">
        <f>IFERROR(__xludf.DUMMYFUNCTION("""COMPUTED_VALUE"""),1.0230899382984973)</f>
        <v>1.023089938</v>
      </c>
      <c r="AO310" s="57">
        <f>IFERROR(__xludf.DUMMYFUNCTION("""COMPUTED_VALUE"""),1.270327011351101)</f>
        <v>1.270327011</v>
      </c>
      <c r="AP310" s="35">
        <f>IFERROR(__xludf.DUMMYFUNCTION("""COMPUTED_VALUE"""),0.929806291376535)</f>
        <v>0.9298062914</v>
      </c>
      <c r="AQ310" s="57">
        <f>IFERROR(__xludf.DUMMYFUNCTION("""COMPUTED_VALUE"""),1.3242562792449881)</f>
        <v>1.324256279</v>
      </c>
      <c r="AR310" s="36" t="b">
        <f>IFERROR(__xludf.DUMMYFUNCTION("""COMPUTED_VALUE"""),TRUE)</f>
        <v>1</v>
      </c>
      <c r="AS310" s="57"/>
      <c r="AT310" s="37"/>
      <c r="AU310" s="30"/>
      <c r="AV310" s="30"/>
      <c r="AW310" s="30"/>
      <c r="AX310" s="30"/>
      <c r="AY310" s="30"/>
      <c r="AZ310" s="30"/>
    </row>
    <row r="311">
      <c r="A311" s="30" t="str">
        <f>IFERROR(__xludf.DUMMYFUNCTION("""COMPUTED_VALUE"""),"Elite")</f>
        <v>Elite</v>
      </c>
      <c r="B311" s="30" t="str">
        <f>IFERROR(__xludf.DUMMYFUNCTION("""COMPUTED_VALUE"""),"RSC005009")</f>
        <v>RSC005009</v>
      </c>
      <c r="C311" s="30" t="str">
        <f>IFERROR(__xludf.DUMMYFUNCTION("""COMPUTED_VALUE"""),"Qeetz")</f>
        <v>Qeetz</v>
      </c>
      <c r="D311" s="31"/>
      <c r="E311" s="31">
        <f>IFERROR(__xludf.DUMMYFUNCTION("""COMPUTED_VALUE"""),39.07159845394436)</f>
        <v>39.07159845</v>
      </c>
      <c r="F311" s="31">
        <f>IFERROR(__xludf.DUMMYFUNCTION("""COMPUTED_VALUE"""),-3.0210901893497417)</f>
        <v>-3.021090189</v>
      </c>
      <c r="G311" s="31">
        <f>IFERROR(__xludf.DUMMYFUNCTION("""COMPUTED_VALUE"""),5.727712458893947)</f>
        <v>5.727712459</v>
      </c>
      <c r="H311" s="31">
        <f>IFERROR(__xludf.DUMMYFUNCTION("""COMPUTED_VALUE"""),-26.11690722106651)</f>
        <v>-26.11690722</v>
      </c>
      <c r="I311" s="54">
        <f>IFERROR(__xludf.DUMMYFUNCTION("""COMPUTED_VALUE"""),2.0)</f>
        <v>2</v>
      </c>
      <c r="J311" s="55">
        <f>IFERROR(__xludf.DUMMYFUNCTION("""COMPUTED_VALUE"""),1.0)</f>
        <v>1</v>
      </c>
      <c r="K311" s="54">
        <f>IFERROR(__xludf.DUMMYFUNCTION("""COMPUTED_VALUE"""),1.0)</f>
        <v>1</v>
      </c>
      <c r="L311" s="56">
        <f>IFERROR(__xludf.DUMMYFUNCTION("""COMPUTED_VALUE"""),0.5)</f>
        <v>0.5</v>
      </c>
      <c r="M311" s="56">
        <f>IFERROR(__xludf.DUMMYFUNCTION("""COMPUTED_VALUE"""),0.4)</f>
        <v>0.4</v>
      </c>
      <c r="N311" s="31">
        <f>IFERROR(__xludf.DUMMYFUNCTION("""COMPUTED_VALUE"""),241.0)</f>
        <v>241</v>
      </c>
      <c r="O311" s="57">
        <f>IFERROR(__xludf.DUMMYFUNCTION("""COMPUTED_VALUE"""),1.0)</f>
        <v>1</v>
      </c>
      <c r="P311" s="57">
        <f>IFERROR(__xludf.DUMMYFUNCTION("""COMPUTED_VALUE"""),0.0)</f>
        <v>0</v>
      </c>
      <c r="Q311" s="57">
        <f>IFERROR(__xludf.DUMMYFUNCTION("""COMPUTED_VALUE"""),0.0)</f>
        <v>0</v>
      </c>
      <c r="R311" s="57">
        <f>IFERROR(__xludf.DUMMYFUNCTION("""COMPUTED_VALUE"""),2.5)</f>
        <v>2.5</v>
      </c>
      <c r="S311" s="31">
        <f>IFERROR(__xludf.DUMMYFUNCTION("""COMPUTED_VALUE"""),385.0)</f>
        <v>385</v>
      </c>
      <c r="T311" s="57">
        <f>IFERROR(__xludf.DUMMYFUNCTION("""COMPUTED_VALUE"""),1.0)</f>
        <v>1</v>
      </c>
      <c r="U311" s="57">
        <f>IFERROR(__xludf.DUMMYFUNCTION("""COMPUTED_VALUE"""),0.5)</f>
        <v>0.5</v>
      </c>
      <c r="V311" s="57">
        <f>IFERROR(__xludf.DUMMYFUNCTION("""COMPUTED_VALUE"""),1.5)</f>
        <v>1.5</v>
      </c>
      <c r="W311" s="57">
        <f>IFERROR(__xludf.DUMMYFUNCTION("""COMPUTED_VALUE"""),2.5)</f>
        <v>2.5</v>
      </c>
      <c r="X311" s="31">
        <f>IFERROR(__xludf.DUMMYFUNCTION("""COMPUTED_VALUE"""),368.5603174603175)</f>
        <v>368.5603175</v>
      </c>
      <c r="Y311" s="57">
        <f>IFERROR(__xludf.DUMMYFUNCTION("""COMPUTED_VALUE"""),0.797883597883598)</f>
        <v>0.7978835979</v>
      </c>
      <c r="Z311" s="57">
        <f>IFERROR(__xludf.DUMMYFUNCTION("""COMPUTED_VALUE"""),0.5291005291005291)</f>
        <v>0.5291005291</v>
      </c>
      <c r="AA311" s="57">
        <f>IFERROR(__xludf.DUMMYFUNCTION("""COMPUTED_VALUE"""),1.5031746031746032)</f>
        <v>1.503174603</v>
      </c>
      <c r="AB311" s="57">
        <f>IFERROR(__xludf.DUMMYFUNCTION("""COMPUTED_VALUE"""),2.7539682539682544)</f>
        <v>2.753968254</v>
      </c>
      <c r="AC311" s="31">
        <f>IFERROR(__xludf.DUMMYFUNCTION("""COMPUTED_VALUE"""),347.43421516754853)</f>
        <v>347.4342152</v>
      </c>
      <c r="AD311" s="57">
        <f>IFERROR(__xludf.DUMMYFUNCTION("""COMPUTED_VALUE"""),0.6483245149911815)</f>
        <v>0.648324515</v>
      </c>
      <c r="AE311" s="57">
        <f>IFERROR(__xludf.DUMMYFUNCTION("""COMPUTED_VALUE"""),0.5164021164021163)</f>
        <v>0.5164021164</v>
      </c>
      <c r="AF311" s="57">
        <f>IFERROR(__xludf.DUMMYFUNCTION("""COMPUTED_VALUE"""),1.4763668430335097)</f>
        <v>1.476366843</v>
      </c>
      <c r="AG311" s="57">
        <f>IFERROR(__xludf.DUMMYFUNCTION("""COMPUTED_VALUE"""),2.5398589065255734)</f>
        <v>2.539858907</v>
      </c>
      <c r="AH311" s="57">
        <f>IFERROR(__xludf.DUMMYFUNCTION("""COMPUTED_VALUE"""),0.6936564951836389)</f>
        <v>0.6936564952</v>
      </c>
      <c r="AI311" s="57">
        <f>IFERROR(__xludf.DUMMYFUNCTION("""COMPUTED_VALUE"""),1.5424374319912952)</f>
        <v>1.542437432</v>
      </c>
      <c r="AJ311" s="57">
        <f>IFERROR(__xludf.DUMMYFUNCTION("""COMPUTED_VALUE"""),0.0)</f>
        <v>0</v>
      </c>
      <c r="AK311" s="57">
        <f>IFERROR(__xludf.DUMMYFUNCTION("""COMPUTED_VALUE"""),0.0)</f>
        <v>0</v>
      </c>
      <c r="AL311" s="57">
        <f>IFERROR(__xludf.DUMMYFUNCTION("""COMPUTED_VALUE"""),0.9843066453718491)</f>
        <v>0.9843066454</v>
      </c>
      <c r="AM311" s="57">
        <f>IFERROR(__xludf.DUMMYFUNCTION("""COMPUTED_VALUE"""),1.0446051345217124)</f>
        <v>1.044605135</v>
      </c>
      <c r="AN311" s="57">
        <f>IFERROR(__xludf.DUMMYFUNCTION("""COMPUTED_VALUE"""),1.2533156498673739)</f>
        <v>1.25331565</v>
      </c>
      <c r="AO311" s="57">
        <f>IFERROR(__xludf.DUMMYFUNCTION("""COMPUTED_VALUE"""),0.9450000000000001)</f>
        <v>0.945</v>
      </c>
      <c r="AP311" s="35">
        <f>IFERROR(__xludf.DUMMYFUNCTION("""COMPUTED_VALUE"""),0.9978880675818373)</f>
        <v>0.9978880676</v>
      </c>
      <c r="AQ311" s="57">
        <f>IFERROR(__xludf.DUMMYFUNCTION("""COMPUTED_VALUE"""),0.9077809798270892)</f>
        <v>0.9077809798</v>
      </c>
      <c r="AR311" s="36" t="b">
        <f>IFERROR(__xludf.DUMMYFUNCTION("""COMPUTED_VALUE"""),TRUE)</f>
        <v>1</v>
      </c>
      <c r="AS311" s="57"/>
      <c r="AT311" s="37"/>
      <c r="AU311" s="30"/>
      <c r="AV311" s="30"/>
      <c r="AW311" s="30"/>
      <c r="AX311" s="30"/>
      <c r="AY311" s="30"/>
      <c r="AZ311" s="30"/>
    </row>
    <row r="312">
      <c r="A312" s="30" t="str">
        <f>IFERROR(__xludf.DUMMYFUNCTION("""COMPUTED_VALUE"""),"Elite")</f>
        <v>Elite</v>
      </c>
      <c r="B312" s="30" t="str">
        <f>IFERROR(__xludf.DUMMYFUNCTION("""COMPUTED_VALUE"""),"RSC005515")</f>
        <v>RSC005515</v>
      </c>
      <c r="C312" s="30" t="str">
        <f>IFERROR(__xludf.DUMMYFUNCTION("""COMPUTED_VALUE"""),"BaronTac0")</f>
        <v>BaronTac0</v>
      </c>
      <c r="D312" s="31" t="str">
        <f>IFERROR(__xludf.DUMMYFUNCTION("""COMPUTED_VALUE"""),"Nightshade")</f>
        <v>Nightshade</v>
      </c>
      <c r="E312" s="31">
        <f>IFERROR(__xludf.DUMMYFUNCTION("""COMPUTED_VALUE"""),38.966496185388564)</f>
        <v>38.96649619</v>
      </c>
      <c r="F312" s="31">
        <f>IFERROR(__xludf.DUMMYFUNCTION("""COMPUTED_VALUE"""),-3.0350544460543123)</f>
        <v>-3.035054446</v>
      </c>
      <c r="G312" s="31">
        <f>IFERROR(__xludf.DUMMYFUNCTION("""COMPUTED_VALUE"""),40.07599330361911)</f>
        <v>40.0759933</v>
      </c>
      <c r="H312" s="31">
        <f>IFERROR(__xludf.DUMMYFUNCTION("""COMPUTED_VALUE"""),-2.8926950706426817)</f>
        <v>-2.892695071</v>
      </c>
      <c r="I312" s="54">
        <f>IFERROR(__xludf.DUMMYFUNCTION("""COMPUTED_VALUE"""),20.0)</f>
        <v>20</v>
      </c>
      <c r="J312" s="55">
        <f>IFERROR(__xludf.DUMMYFUNCTION("""COMPUTED_VALUE"""),11.0)</f>
        <v>11</v>
      </c>
      <c r="K312" s="54">
        <f>IFERROR(__xludf.DUMMYFUNCTION("""COMPUTED_VALUE"""),9.0)</f>
        <v>9</v>
      </c>
      <c r="L312" s="56">
        <f>IFERROR(__xludf.DUMMYFUNCTION("""COMPUTED_VALUE"""),0.55)</f>
        <v>0.55</v>
      </c>
      <c r="M312" s="56">
        <f>IFERROR(__xludf.DUMMYFUNCTION("""COMPUTED_VALUE"""),0.2894736842105263)</f>
        <v>0.2894736842</v>
      </c>
      <c r="N312" s="31">
        <f>IFERROR(__xludf.DUMMYFUNCTION("""COMPUTED_VALUE"""),332.3)</f>
        <v>332.3</v>
      </c>
      <c r="O312" s="57">
        <f>IFERROR(__xludf.DUMMYFUNCTION("""COMPUTED_VALUE"""),0.55)</f>
        <v>0.55</v>
      </c>
      <c r="P312" s="57">
        <f>IFERROR(__xludf.DUMMYFUNCTION("""COMPUTED_VALUE"""),0.75)</f>
        <v>0.75</v>
      </c>
      <c r="Q312" s="57">
        <f>IFERROR(__xludf.DUMMYFUNCTION("""COMPUTED_VALUE"""),1.4)</f>
        <v>1.4</v>
      </c>
      <c r="R312" s="57">
        <f>IFERROR(__xludf.DUMMYFUNCTION("""COMPUTED_VALUE"""),1.9)</f>
        <v>1.9</v>
      </c>
      <c r="S312" s="31">
        <f>IFERROR(__xludf.DUMMYFUNCTION("""COMPUTED_VALUE"""),365.1833333333334)</f>
        <v>365.1833333</v>
      </c>
      <c r="T312" s="57">
        <f>IFERROR(__xludf.DUMMYFUNCTION("""COMPUTED_VALUE"""),0.8166666666666668)</f>
        <v>0.8166666667</v>
      </c>
      <c r="U312" s="57">
        <f>IFERROR(__xludf.DUMMYFUNCTION("""COMPUTED_VALUE"""),0.7333333333333334)</f>
        <v>0.7333333333</v>
      </c>
      <c r="V312" s="57">
        <f>IFERROR(__xludf.DUMMYFUNCTION("""COMPUTED_VALUE"""),1.3833333333333333)</f>
        <v>1.383333333</v>
      </c>
      <c r="W312" s="57">
        <f>IFERROR(__xludf.DUMMYFUNCTION("""COMPUTED_VALUE"""),2.683333333333333)</f>
        <v>2.683333333</v>
      </c>
      <c r="X312" s="31">
        <f>IFERROR(__xludf.DUMMYFUNCTION("""COMPUTED_VALUE"""),358.374654865905)</f>
        <v>358.3746549</v>
      </c>
      <c r="Y312" s="57">
        <f>IFERROR(__xludf.DUMMYFUNCTION("""COMPUTED_VALUE"""),0.776152041152041)</f>
        <v>0.7761520412</v>
      </c>
      <c r="Z312" s="57">
        <f>IFERROR(__xludf.DUMMYFUNCTION("""COMPUTED_VALUE"""),0.6336800961800961)</f>
        <v>0.6336800962</v>
      </c>
      <c r="AA312" s="57">
        <f>IFERROR(__xludf.DUMMYFUNCTION("""COMPUTED_VALUE"""),1.3510117960117956)</f>
        <v>1.351011796</v>
      </c>
      <c r="AB312" s="57">
        <f>IFERROR(__xludf.DUMMYFUNCTION("""COMPUTED_VALUE"""),2.754758884758884)</f>
        <v>2.754758885</v>
      </c>
      <c r="AC312" s="31">
        <f>IFERROR(__xludf.DUMMYFUNCTION("""COMPUTED_VALUE"""),363.41810662810656)</f>
        <v>363.4181066</v>
      </c>
      <c r="AD312" s="57">
        <f>IFERROR(__xludf.DUMMYFUNCTION("""COMPUTED_VALUE"""),0.8019540494540494)</f>
        <v>0.8019540495</v>
      </c>
      <c r="AE312" s="57">
        <f>IFERROR(__xludf.DUMMYFUNCTION("""COMPUTED_VALUE"""),0.6024455407788742)</f>
        <v>0.6024455408</v>
      </c>
      <c r="AF312" s="57">
        <f>IFERROR(__xludf.DUMMYFUNCTION("""COMPUTED_VALUE"""),1.4441385712219048)</f>
        <v>1.444138571</v>
      </c>
      <c r="AG312" s="57">
        <f>IFERROR(__xludf.DUMMYFUNCTION("""COMPUTED_VALUE"""),2.636402548902549)</f>
        <v>2.636402549</v>
      </c>
      <c r="AH312" s="57">
        <f>IFERROR(__xludf.DUMMYFUNCTION("""COMPUTED_VALUE"""),0.9143738133555619)</f>
        <v>0.9143738134</v>
      </c>
      <c r="AI312" s="57">
        <f>IFERROR(__xludf.DUMMYFUNCTION("""COMPUTED_VALUE"""),0.6858248304555935)</f>
        <v>0.6858248305</v>
      </c>
      <c r="AJ312" s="57">
        <f>IFERROR(__xludf.DUMMYFUNCTION("""COMPUTED_VALUE"""),1.2449258052941339)</f>
        <v>1.244925805</v>
      </c>
      <c r="AK312" s="57">
        <f>IFERROR(__xludf.DUMMYFUNCTION("""COMPUTED_VALUE"""),0.969436055444071)</f>
        <v>0.9694360554</v>
      </c>
      <c r="AL312" s="57">
        <f>IFERROR(__xludf.DUMMYFUNCTION("""COMPUTED_VALUE"""),0.7206790180015983)</f>
        <v>0.720679018</v>
      </c>
      <c r="AM312" s="57">
        <f>IFERROR(__xludf.DUMMYFUNCTION("""COMPUTED_VALUE"""),1.0189987723042973)</f>
        <v>1.018998772</v>
      </c>
      <c r="AN312" s="57">
        <f>IFERROR(__xludf.DUMMYFUNCTION("""COMPUTED_VALUE"""),1.0521993415806652)</f>
        <v>1.052199342</v>
      </c>
      <c r="AO312" s="57">
        <f>IFERROR(__xludf.DUMMYFUNCTION("""COMPUTED_VALUE"""),1.1572611129084842)</f>
        <v>1.157261113</v>
      </c>
      <c r="AP312" s="35">
        <f>IFERROR(__xludf.DUMMYFUNCTION("""COMPUTED_VALUE"""),1.0239239490113643)</f>
        <v>1.023923949</v>
      </c>
      <c r="AQ312" s="57">
        <f>IFERROR(__xludf.DUMMYFUNCTION("""COMPUTED_VALUE"""),0.974071940807334)</f>
        <v>0.9740719408</v>
      </c>
      <c r="AR312" s="36" t="b">
        <f>IFERROR(__xludf.DUMMYFUNCTION("""COMPUTED_VALUE"""),TRUE)</f>
        <v>1</v>
      </c>
      <c r="AS312" s="57"/>
      <c r="AT312" s="37"/>
      <c r="AU312" s="30"/>
      <c r="AV312" s="30"/>
      <c r="AW312" s="30"/>
      <c r="AX312" s="30"/>
      <c r="AY312" s="30"/>
      <c r="AZ312" s="30"/>
    </row>
    <row r="313">
      <c r="A313" s="30" t="str">
        <f>IFERROR(__xludf.DUMMYFUNCTION("""COMPUTED_VALUE"""),"Elite")</f>
        <v>Elite</v>
      </c>
      <c r="B313" s="30" t="str">
        <f>IFERROR(__xludf.DUMMYFUNCTION("""COMPUTED_VALUE"""),"RSC006745")</f>
        <v>RSC006745</v>
      </c>
      <c r="C313" s="30" t="str">
        <f>IFERROR(__xludf.DUMMYFUNCTION("""COMPUTED_VALUE"""),"Angel &lt;3")</f>
        <v>Angel &lt;3</v>
      </c>
      <c r="D313" s="31" t="str">
        <f>IFERROR(__xludf.DUMMYFUNCTION("""COMPUTED_VALUE"""),"Majesties")</f>
        <v>Majesties</v>
      </c>
      <c r="E313" s="31">
        <f>IFERROR(__xludf.DUMMYFUNCTION("""COMPUTED_VALUE"""),38.822895490145946)</f>
        <v>38.82289549</v>
      </c>
      <c r="F313" s="31">
        <f>IFERROR(__xludf.DUMMYFUNCTION("""COMPUTED_VALUE"""),-3.054301133802643)</f>
        <v>-3.054301134</v>
      </c>
      <c r="G313" s="31">
        <f>IFERROR(__xludf.DUMMYFUNCTION("""COMPUTED_VALUE"""),36.11656607256705)</f>
        <v>36.11656607</v>
      </c>
      <c r="H313" s="31">
        <f>IFERROR(__xludf.DUMMYFUNCTION("""COMPUTED_VALUE"""),-3.456237535887726)</f>
        <v>-3.456237536</v>
      </c>
      <c r="I313" s="54">
        <f>IFERROR(__xludf.DUMMYFUNCTION("""COMPUTED_VALUE"""),39.0)</f>
        <v>39</v>
      </c>
      <c r="J313" s="55">
        <f>IFERROR(__xludf.DUMMYFUNCTION("""COMPUTED_VALUE"""),11.0)</f>
        <v>11</v>
      </c>
      <c r="K313" s="54">
        <f>IFERROR(__xludf.DUMMYFUNCTION("""COMPUTED_VALUE"""),28.0)</f>
        <v>28</v>
      </c>
      <c r="L313" s="56">
        <f>IFERROR(__xludf.DUMMYFUNCTION("""COMPUTED_VALUE"""),0.28205128205128205)</f>
        <v>0.2820512821</v>
      </c>
      <c r="M313" s="56">
        <f>IFERROR(__xludf.DUMMYFUNCTION("""COMPUTED_VALUE"""),0.25)</f>
        <v>0.25</v>
      </c>
      <c r="N313" s="31">
        <f>IFERROR(__xludf.DUMMYFUNCTION("""COMPUTED_VALUE"""),330.1794871794872)</f>
        <v>330.1794872</v>
      </c>
      <c r="O313" s="57">
        <f>IFERROR(__xludf.DUMMYFUNCTION("""COMPUTED_VALUE"""),0.6410256410256411)</f>
        <v>0.641025641</v>
      </c>
      <c r="P313" s="57">
        <f>IFERROR(__xludf.DUMMYFUNCTION("""COMPUTED_VALUE"""),0.5128205128205128)</f>
        <v>0.5128205128</v>
      </c>
      <c r="Q313" s="57">
        <f>IFERROR(__xludf.DUMMYFUNCTION("""COMPUTED_VALUE"""),1.4102564102564104)</f>
        <v>1.41025641</v>
      </c>
      <c r="R313" s="57">
        <f>IFERROR(__xludf.DUMMYFUNCTION("""COMPUTED_VALUE"""),2.5641025641025643)</f>
        <v>2.564102564</v>
      </c>
      <c r="S313" s="31">
        <f>IFERROR(__xludf.DUMMYFUNCTION("""COMPUTED_VALUE"""),399.6239316239317)</f>
        <v>399.6239316</v>
      </c>
      <c r="T313" s="57">
        <f>IFERROR(__xludf.DUMMYFUNCTION("""COMPUTED_VALUE"""),1.0854700854700856)</f>
        <v>1.085470085</v>
      </c>
      <c r="U313" s="57">
        <f>IFERROR(__xludf.DUMMYFUNCTION("""COMPUTED_VALUE"""),0.794871794871795)</f>
        <v>0.7948717949</v>
      </c>
      <c r="V313" s="57">
        <f>IFERROR(__xludf.DUMMYFUNCTION("""COMPUTED_VALUE"""),1.3162393162393162)</f>
        <v>1.316239316</v>
      </c>
      <c r="W313" s="57">
        <f>IFERROR(__xludf.DUMMYFUNCTION("""COMPUTED_VALUE"""),3.0427350427350426)</f>
        <v>3.042735043</v>
      </c>
      <c r="X313" s="31">
        <f>IFERROR(__xludf.DUMMYFUNCTION("""COMPUTED_VALUE"""),365.4212313520476)</f>
        <v>365.4212314</v>
      </c>
      <c r="Y313" s="57">
        <f>IFERROR(__xludf.DUMMYFUNCTION("""COMPUTED_VALUE"""),0.8070511940763003)</f>
        <v>0.8070511941</v>
      </c>
      <c r="Z313" s="57">
        <f>IFERROR(__xludf.DUMMYFUNCTION("""COMPUTED_VALUE"""),0.6118286095013392)</f>
        <v>0.6118286095</v>
      </c>
      <c r="AA313" s="57">
        <f>IFERROR(__xludf.DUMMYFUNCTION("""COMPUTED_VALUE"""),1.3981213081256738)</f>
        <v>1.398121308</v>
      </c>
      <c r="AB313" s="57">
        <f>IFERROR(__xludf.DUMMYFUNCTION("""COMPUTED_VALUE"""),2.7243304147138807)</f>
        <v>2.724330415</v>
      </c>
      <c r="AC313" s="31">
        <f>IFERROR(__xludf.DUMMYFUNCTION("""COMPUTED_VALUE"""),355.03039271039836)</f>
        <v>355.0303927</v>
      </c>
      <c r="AD313" s="57">
        <f>IFERROR(__xludf.DUMMYFUNCTION("""COMPUTED_VALUE"""),0.7432067823006653)</f>
        <v>0.7432067823</v>
      </c>
      <c r="AE313" s="57">
        <f>IFERROR(__xludf.DUMMYFUNCTION("""COMPUTED_VALUE"""),0.5520579930095147)</f>
        <v>0.552057993</v>
      </c>
      <c r="AF313" s="57">
        <f>IFERROR(__xludf.DUMMYFUNCTION("""COMPUTED_VALUE"""),1.4220407033496978)</f>
        <v>1.422040703</v>
      </c>
      <c r="AG313" s="57">
        <f>IFERROR(__xludf.DUMMYFUNCTION("""COMPUTED_VALUE"""),2.562685046158614)</f>
        <v>2.562685046</v>
      </c>
      <c r="AH313" s="57">
        <f>IFERROR(__xludf.DUMMYFUNCTION("""COMPUTED_VALUE"""),0.9300034418428444)</f>
        <v>0.9300034418</v>
      </c>
      <c r="AI313" s="57">
        <f>IFERROR(__xludf.DUMMYFUNCTION("""COMPUTED_VALUE"""),0.8625131743836983)</f>
        <v>0.8625131744</v>
      </c>
      <c r="AJ313" s="57">
        <f>IFERROR(__xludf.DUMMYFUNCTION("""COMPUTED_VALUE"""),0.9289250754706024)</f>
        <v>0.9289250755</v>
      </c>
      <c r="AK313" s="57">
        <f>IFERROR(__xludf.DUMMYFUNCTION("""COMPUTED_VALUE"""),0.9917131112593832)</f>
        <v>0.9917131113</v>
      </c>
      <c r="AL313" s="57">
        <f>IFERROR(__xludf.DUMMYFUNCTION("""COMPUTED_VALUE"""),1.0005531377904107)</f>
        <v>1.000553138</v>
      </c>
      <c r="AM313" s="57">
        <f>IFERROR(__xludf.DUMMYFUNCTION("""COMPUTED_VALUE"""),1.0935980105625913)</f>
        <v>1.093598011</v>
      </c>
      <c r="AN313" s="57">
        <f>IFERROR(__xludf.DUMMYFUNCTION("""COMPUTED_VALUE"""),1.3449829371883228)</f>
        <v>1.344982937</v>
      </c>
      <c r="AO313" s="57">
        <f>IFERROR(__xludf.DUMMYFUNCTION("""COMPUTED_VALUE"""),1.2991739557907274)</f>
        <v>1.299173956</v>
      </c>
      <c r="AP313" s="35">
        <f>IFERROR(__xludf.DUMMYFUNCTION("""COMPUTED_VALUE"""),0.9414342722548669)</f>
        <v>0.9414342723</v>
      </c>
      <c r="AQ313" s="57">
        <f>IFERROR(__xludf.DUMMYFUNCTION("""COMPUTED_VALUE"""),1.116874453370812)</f>
        <v>1.116874453</v>
      </c>
      <c r="AR313" s="36" t="b">
        <f>IFERROR(__xludf.DUMMYFUNCTION("""COMPUTED_VALUE"""),TRUE)</f>
        <v>1</v>
      </c>
      <c r="AS313" s="57"/>
      <c r="AT313" s="37"/>
      <c r="AU313" s="30"/>
      <c r="AV313" s="30"/>
      <c r="AW313" s="30"/>
      <c r="AX313" s="30"/>
      <c r="AY313" s="30"/>
      <c r="AZ313" s="30"/>
    </row>
    <row r="314">
      <c r="A314" s="30" t="str">
        <f>IFERROR(__xludf.DUMMYFUNCTION("""COMPUTED_VALUE"""),"Elite")</f>
        <v>Elite</v>
      </c>
      <c r="B314" s="30" t="str">
        <f>IFERROR(__xludf.DUMMYFUNCTION("""COMPUTED_VALUE"""),"RSC005008")</f>
        <v>RSC005008</v>
      </c>
      <c r="C314" s="30" t="str">
        <f>IFERROR(__xludf.DUMMYFUNCTION("""COMPUTED_VALUE"""),"W0NDER")</f>
        <v>W0NDER</v>
      </c>
      <c r="D314" s="31" t="str">
        <f>IFERROR(__xludf.DUMMYFUNCTION("""COMPUTED_VALUE"""),"Ghastly Goombahs")</f>
        <v>Ghastly Goombahs</v>
      </c>
      <c r="E314" s="31">
        <f>IFERROR(__xludf.DUMMYFUNCTION("""COMPUTED_VALUE"""),37.17929004005866)</f>
        <v>37.17929004</v>
      </c>
      <c r="F314" s="31">
        <f>IFERROR(__xludf.DUMMYFUNCTION("""COMPUTED_VALUE"""),-3.289087633322578)</f>
        <v>-3.289087633</v>
      </c>
      <c r="G314" s="31">
        <f>IFERROR(__xludf.DUMMYFUNCTION("""COMPUTED_VALUE"""),32.33276028078546)</f>
        <v>32.33276028</v>
      </c>
      <c r="H314" s="31">
        <f>IFERROR(__xludf.DUMMYFUNCTION("""COMPUTED_VALUE"""),-4.16875624774863)</f>
        <v>-4.168756248</v>
      </c>
      <c r="I314" s="54">
        <f>IFERROR(__xludf.DUMMYFUNCTION("""COMPUTED_VALUE"""),35.0)</f>
        <v>35</v>
      </c>
      <c r="J314" s="55">
        <f>IFERROR(__xludf.DUMMYFUNCTION("""COMPUTED_VALUE"""),11.0)</f>
        <v>11</v>
      </c>
      <c r="K314" s="54">
        <f>IFERROR(__xludf.DUMMYFUNCTION("""COMPUTED_VALUE"""),24.0)</f>
        <v>24</v>
      </c>
      <c r="L314" s="56">
        <f>IFERROR(__xludf.DUMMYFUNCTION("""COMPUTED_VALUE"""),0.3142857142857143)</f>
        <v>0.3142857143</v>
      </c>
      <c r="M314" s="56">
        <f>IFERROR(__xludf.DUMMYFUNCTION("""COMPUTED_VALUE"""),0.3076923076923077)</f>
        <v>0.3076923077</v>
      </c>
      <c r="N314" s="31">
        <f>IFERROR(__xludf.DUMMYFUNCTION("""COMPUTED_VALUE"""),338.8285714285714)</f>
        <v>338.8285714</v>
      </c>
      <c r="O314" s="57">
        <f>IFERROR(__xludf.DUMMYFUNCTION("""COMPUTED_VALUE"""),0.6857142857142857)</f>
        <v>0.6857142857</v>
      </c>
      <c r="P314" s="57">
        <f>IFERROR(__xludf.DUMMYFUNCTION("""COMPUTED_VALUE"""),0.37142857142857144)</f>
        <v>0.3714285714</v>
      </c>
      <c r="Q314" s="57">
        <f>IFERROR(__xludf.DUMMYFUNCTION("""COMPUTED_VALUE"""),1.3428571428571427)</f>
        <v>1.342857143</v>
      </c>
      <c r="R314" s="57">
        <f>IFERROR(__xludf.DUMMYFUNCTION("""COMPUTED_VALUE"""),2.2285714285714286)</f>
        <v>2.228571429</v>
      </c>
      <c r="S314" s="31">
        <f>IFERROR(__xludf.DUMMYFUNCTION("""COMPUTED_VALUE"""),386.38095238095246)</f>
        <v>386.3809524</v>
      </c>
      <c r="T314" s="57">
        <f>IFERROR(__xludf.DUMMYFUNCTION("""COMPUTED_VALUE"""),0.9523809523809522)</f>
        <v>0.9523809524</v>
      </c>
      <c r="U314" s="57">
        <f>IFERROR(__xludf.DUMMYFUNCTION("""COMPUTED_VALUE"""),0.6666666666666665)</f>
        <v>0.6666666667</v>
      </c>
      <c r="V314" s="57">
        <f>IFERROR(__xludf.DUMMYFUNCTION("""COMPUTED_VALUE"""),1.314285714285714)</f>
        <v>1.314285714</v>
      </c>
      <c r="W314" s="57">
        <f>IFERROR(__xludf.DUMMYFUNCTION("""COMPUTED_VALUE"""),2.942857142857142)</f>
        <v>2.942857143</v>
      </c>
      <c r="X314" s="31">
        <f>IFERROR(__xludf.DUMMYFUNCTION("""COMPUTED_VALUE"""),369.95005351655755)</f>
        <v>369.9500535</v>
      </c>
      <c r="Y314" s="57">
        <f>IFERROR(__xludf.DUMMYFUNCTION("""COMPUTED_VALUE"""),0.8151609406464577)</f>
        <v>0.8151609406</v>
      </c>
      <c r="Z314" s="57">
        <f>IFERROR(__xludf.DUMMYFUNCTION("""COMPUTED_VALUE"""),0.6245007739853551)</f>
        <v>0.624500774</v>
      </c>
      <c r="AA314" s="57">
        <f>IFERROR(__xludf.DUMMYFUNCTION("""COMPUTED_VALUE"""),1.426876741117441)</f>
        <v>1.426876741</v>
      </c>
      <c r="AB314" s="57">
        <f>IFERROR(__xludf.DUMMYFUNCTION("""COMPUTED_VALUE"""),2.788798432311659)</f>
        <v>2.788798432</v>
      </c>
      <c r="AC314" s="31">
        <f>IFERROR(__xludf.DUMMYFUNCTION("""COMPUTED_VALUE"""),353.805983091316)</f>
        <v>353.8059831</v>
      </c>
      <c r="AD314" s="57">
        <f>IFERROR(__xludf.DUMMYFUNCTION("""COMPUTED_VALUE"""),0.7305812174677672)</f>
        <v>0.7305812175</v>
      </c>
      <c r="AE314" s="57">
        <f>IFERROR(__xludf.DUMMYFUNCTION("""COMPUTED_VALUE"""),0.5434628231428835)</f>
        <v>0.5434628231</v>
      </c>
      <c r="AF314" s="57">
        <f>IFERROR(__xludf.DUMMYFUNCTION("""COMPUTED_VALUE"""),1.4404370388708012)</f>
        <v>1.440437039</v>
      </c>
      <c r="AG314" s="57">
        <f>IFERROR(__xludf.DUMMYFUNCTION("""COMPUTED_VALUE"""),2.5685854087604216)</f>
        <v>2.568585409</v>
      </c>
      <c r="AH314" s="57">
        <f>IFERROR(__xludf.DUMMYFUNCTION("""COMPUTED_VALUE"""),0.9576677264418137)</f>
        <v>0.9576677264</v>
      </c>
      <c r="AI314" s="57">
        <f>IFERROR(__xludf.DUMMYFUNCTION("""COMPUTED_VALUE"""),0.938587345690336)</f>
        <v>0.9385873457</v>
      </c>
      <c r="AJ314" s="57">
        <f>IFERROR(__xludf.DUMMYFUNCTION("""COMPUTED_VALUE"""),0.6834479850536491)</f>
        <v>0.6834479851</v>
      </c>
      <c r="AK314" s="57">
        <f>IFERROR(__xludf.DUMMYFUNCTION("""COMPUTED_VALUE"""),0.9322567433491199)</f>
        <v>0.9322567433</v>
      </c>
      <c r="AL314" s="57">
        <f>IFERROR(__xludf.DUMMYFUNCTION("""COMPUTED_VALUE"""),0.8676259784746341)</f>
        <v>0.8676259785</v>
      </c>
      <c r="AM314" s="57">
        <f>IFERROR(__xludf.DUMMYFUNCTION("""COMPUTED_VALUE"""),1.0444138302135955)</f>
        <v>1.04441383</v>
      </c>
      <c r="AN314" s="57">
        <f>IFERROR(__xludf.DUMMYFUNCTION("""COMPUTED_VALUE"""),1.168334870934411)</f>
        <v>1.168334871</v>
      </c>
      <c r="AO314" s="57">
        <f>IFERROR(__xludf.DUMMYFUNCTION("""COMPUTED_VALUE"""),1.0675193601638358)</f>
        <v>1.06751936</v>
      </c>
      <c r="AP314" s="35">
        <f>IFERROR(__xludf.DUMMYFUNCTION("""COMPUTED_VALUE"""),0.9210926749401265)</f>
        <v>0.9210926749</v>
      </c>
      <c r="AQ314" s="57">
        <f>IFERROR(__xludf.DUMMYFUNCTION("""COMPUTED_VALUE"""),1.0552419668487059)</f>
        <v>1.055241967</v>
      </c>
      <c r="AR314" s="36" t="b">
        <f>IFERROR(__xludf.DUMMYFUNCTION("""COMPUTED_VALUE"""),TRUE)</f>
        <v>1</v>
      </c>
      <c r="AS314" s="57"/>
      <c r="AT314" s="37"/>
      <c r="AU314" s="30"/>
      <c r="AV314" s="30"/>
      <c r="AW314" s="30"/>
      <c r="AX314" s="30"/>
      <c r="AY314" s="30"/>
      <c r="AZ314" s="30"/>
    </row>
    <row r="315">
      <c r="A315" s="30" t="str">
        <f>IFERROR(__xludf.DUMMYFUNCTION("""COMPUTED_VALUE"""),"Elite")</f>
        <v>Elite</v>
      </c>
      <c r="B315" s="30" t="str">
        <f>IFERROR(__xludf.DUMMYFUNCTION("""COMPUTED_VALUE"""),"RSC000016")</f>
        <v>RSC000016</v>
      </c>
      <c r="C315" s="30" t="str">
        <f>IFERROR(__xludf.DUMMYFUNCTION("""COMPUTED_VALUE"""),"Beans")</f>
        <v>Beans</v>
      </c>
      <c r="D315" s="31" t="str">
        <f>IFERROR(__xludf.DUMMYFUNCTION("""COMPUTED_VALUE"""),"Nightshade")</f>
        <v>Nightshade</v>
      </c>
      <c r="E315" s="31">
        <f>IFERROR(__xludf.DUMMYFUNCTION("""COMPUTED_VALUE"""),36.77659281125382)</f>
        <v>36.77659281</v>
      </c>
      <c r="F315" s="31">
        <f>IFERROR(__xludf.DUMMYFUNCTION("""COMPUTED_VALUE"""),-3.3509276687784504)</f>
        <v>-3.350927669</v>
      </c>
      <c r="G315" s="31">
        <f>IFERROR(__xludf.DUMMYFUNCTION("""COMPUTED_VALUE"""),42.7326198367976)</f>
        <v>42.73261984</v>
      </c>
      <c r="H315" s="31">
        <f>IFERROR(__xludf.DUMMYFUNCTION("""COMPUTED_VALUE"""),-2.593077082148564)</f>
        <v>-2.593077082</v>
      </c>
      <c r="I315" s="54">
        <f>IFERROR(__xludf.DUMMYFUNCTION("""COMPUTED_VALUE"""),27.0)</f>
        <v>27</v>
      </c>
      <c r="J315" s="55">
        <f>IFERROR(__xludf.DUMMYFUNCTION("""COMPUTED_VALUE"""),12.0)</f>
        <v>12</v>
      </c>
      <c r="K315" s="54">
        <f>IFERROR(__xludf.DUMMYFUNCTION("""COMPUTED_VALUE"""),15.0)</f>
        <v>15</v>
      </c>
      <c r="L315" s="56">
        <f>IFERROR(__xludf.DUMMYFUNCTION("""COMPUTED_VALUE"""),0.4444444444444444)</f>
        <v>0.4444444444</v>
      </c>
      <c r="M315" s="56">
        <f>IFERROR(__xludf.DUMMYFUNCTION("""COMPUTED_VALUE"""),0.2962962962962963)</f>
        <v>0.2962962963</v>
      </c>
      <c r="N315" s="31">
        <f>IFERROR(__xludf.DUMMYFUNCTION("""COMPUTED_VALUE"""),363.3703703703704)</f>
        <v>363.3703704</v>
      </c>
      <c r="O315" s="57">
        <f>IFERROR(__xludf.DUMMYFUNCTION("""COMPUTED_VALUE"""),0.5925925925925926)</f>
        <v>0.5925925926</v>
      </c>
      <c r="P315" s="57">
        <f>IFERROR(__xludf.DUMMYFUNCTION("""COMPUTED_VALUE"""),0.5925925925925926)</f>
        <v>0.5925925926</v>
      </c>
      <c r="Q315" s="57">
        <f>IFERROR(__xludf.DUMMYFUNCTION("""COMPUTED_VALUE"""),1.8888888888888888)</f>
        <v>1.888888889</v>
      </c>
      <c r="R315" s="57">
        <f>IFERROR(__xludf.DUMMYFUNCTION("""COMPUTED_VALUE"""),2.0)</f>
        <v>2</v>
      </c>
      <c r="S315" s="31">
        <f>IFERROR(__xludf.DUMMYFUNCTION("""COMPUTED_VALUE"""),361.25925925925924)</f>
        <v>361.2592593</v>
      </c>
      <c r="T315" s="57">
        <f>IFERROR(__xludf.DUMMYFUNCTION("""COMPUTED_VALUE"""),0.8271604938271603)</f>
        <v>0.8271604938</v>
      </c>
      <c r="U315" s="57">
        <f>IFERROR(__xludf.DUMMYFUNCTION("""COMPUTED_VALUE"""),0.5925925925925926)</f>
        <v>0.5925925926</v>
      </c>
      <c r="V315" s="57">
        <f>IFERROR(__xludf.DUMMYFUNCTION("""COMPUTED_VALUE"""),1.382716049382716)</f>
        <v>1.382716049</v>
      </c>
      <c r="W315" s="57">
        <f>IFERROR(__xludf.DUMMYFUNCTION("""COMPUTED_VALUE"""),2.691358024691358)</f>
        <v>2.691358025</v>
      </c>
      <c r="X315" s="31">
        <f>IFERROR(__xludf.DUMMYFUNCTION("""COMPUTED_VALUE"""),347.50182108866)</f>
        <v>347.5018211</v>
      </c>
      <c r="Y315" s="57">
        <f>IFERROR(__xludf.DUMMYFUNCTION("""COMPUTED_VALUE"""),0.72623627942423)</f>
        <v>0.7262362794</v>
      </c>
      <c r="Z315" s="57">
        <f>IFERROR(__xludf.DUMMYFUNCTION("""COMPUTED_VALUE"""),0.5288433780272386)</f>
        <v>0.528843378</v>
      </c>
      <c r="AA315" s="57">
        <f>IFERROR(__xludf.DUMMYFUNCTION("""COMPUTED_VALUE"""),1.3879382364169155)</f>
        <v>1.387938236</v>
      </c>
      <c r="AB315" s="57">
        <f>IFERROR(__xludf.DUMMYFUNCTION("""COMPUTED_VALUE"""),2.5480097409364486)</f>
        <v>2.548009741</v>
      </c>
      <c r="AC315" s="31">
        <f>IFERROR(__xludf.DUMMYFUNCTION("""COMPUTED_VALUE"""),363.8725638891083)</f>
        <v>363.8725639</v>
      </c>
      <c r="AD315" s="57">
        <f>IFERROR(__xludf.DUMMYFUNCTION("""COMPUTED_VALUE"""),0.8024859887255053)</f>
        <v>0.8024859887</v>
      </c>
      <c r="AE315" s="57">
        <f>IFERROR(__xludf.DUMMYFUNCTION("""COMPUTED_VALUE"""),0.6145860975475635)</f>
        <v>0.6145860975</v>
      </c>
      <c r="AF315" s="57">
        <f>IFERROR(__xludf.DUMMYFUNCTION("""COMPUTED_VALUE"""),1.3912073881666496)</f>
        <v>1.391207388</v>
      </c>
      <c r="AG315" s="57">
        <f>IFERROR(__xludf.DUMMYFUNCTION("""COMPUTED_VALUE"""),2.6827097240816085)</f>
        <v>2.682709724</v>
      </c>
      <c r="AH315" s="57">
        <f>IFERROR(__xludf.DUMMYFUNCTION("""COMPUTED_VALUE"""),0.9986198642915795)</f>
        <v>0.9986198643</v>
      </c>
      <c r="AI315" s="57">
        <f>IFERROR(__xludf.DUMMYFUNCTION("""COMPUTED_VALUE"""),0.7384460301091837)</f>
        <v>0.7384460301</v>
      </c>
      <c r="AJ315" s="57">
        <f>IFERROR(__xludf.DUMMYFUNCTION("""COMPUTED_VALUE"""),0.9642141189936877)</f>
        <v>0.964214119</v>
      </c>
      <c r="AK315" s="57">
        <f>IFERROR(__xludf.DUMMYFUNCTION("""COMPUTED_VALUE"""),1.3577335090047862)</f>
        <v>1.357733509</v>
      </c>
      <c r="AL315" s="57">
        <f>IFERROR(__xludf.DUMMYFUNCTION("""COMPUTED_VALUE"""),0.7455148732815938)</f>
        <v>0.7455148733</v>
      </c>
      <c r="AM315" s="57">
        <f>IFERROR(__xludf.DUMMYFUNCTION("""COMPUTED_VALUE"""),1.039589542660524)</f>
        <v>1.039589543</v>
      </c>
      <c r="AN315" s="57">
        <f>IFERROR(__xludf.DUMMYFUNCTION("""COMPUTED_VALUE"""),1.138968841494595)</f>
        <v>1.138968841</v>
      </c>
      <c r="AO315" s="57">
        <f>IFERROR(__xludf.DUMMYFUNCTION("""COMPUTED_VALUE"""),1.1205446020770076)</f>
        <v>1.120544602</v>
      </c>
      <c r="AP315" s="35">
        <f>IFERROR(__xludf.DUMMYFUNCTION("""COMPUTED_VALUE"""),0.9962374499835951)</f>
        <v>0.99623745</v>
      </c>
      <c r="AQ315" s="57">
        <f>IFERROR(__xludf.DUMMYFUNCTION("""COMPUTED_VALUE"""),1.0562589229750063)</f>
        <v>1.056258923</v>
      </c>
      <c r="AR315" s="36" t="b">
        <f>IFERROR(__xludf.DUMMYFUNCTION("""COMPUTED_VALUE"""),TRUE)</f>
        <v>1</v>
      </c>
      <c r="AS315" s="57"/>
      <c r="AT315" s="37"/>
      <c r="AU315" s="30"/>
      <c r="AV315" s="30"/>
      <c r="AW315" s="30"/>
      <c r="AX315" s="30"/>
      <c r="AY315" s="30"/>
      <c r="AZ315" s="30"/>
    </row>
    <row r="316">
      <c r="A316" s="30" t="str">
        <f>IFERROR(__xludf.DUMMYFUNCTION("""COMPUTED_VALUE"""),"Elite")</f>
        <v>Elite</v>
      </c>
      <c r="B316" s="30" t="str">
        <f>IFERROR(__xludf.DUMMYFUNCTION("""COMPUTED_VALUE"""),"RSC006484")</f>
        <v>RSC006484</v>
      </c>
      <c r="C316" s="30" t="str">
        <f>IFERROR(__xludf.DUMMYFUNCTION("""COMPUTED_VALUE"""),"Sunny.-._")</f>
        <v>Sunny.-._</v>
      </c>
      <c r="D316" s="31" t="str">
        <f>IFERROR(__xludf.DUMMYFUNCTION("""COMPUTED_VALUE"""),"Ghastly Goombahs")</f>
        <v>Ghastly Goombahs</v>
      </c>
      <c r="E316" s="31">
        <f>IFERROR(__xludf.DUMMYFUNCTION("""COMPUTED_VALUE"""),35.51580918824314)</f>
        <v>35.51580919</v>
      </c>
      <c r="F316" s="31">
        <f>IFERROR(__xludf.DUMMYFUNCTION("""COMPUTED_VALUE"""),-3.5565599958877794)</f>
        <v>-3.556559996</v>
      </c>
      <c r="G316" s="31">
        <f>IFERROR(__xludf.DUMMYFUNCTION("""COMPUTED_VALUE"""),34.170642556626476)</f>
        <v>34.17064256</v>
      </c>
      <c r="H316" s="31">
        <f>IFERROR(__xludf.DUMMYFUNCTION("""COMPUTED_VALUE"""),-3.797806108979467)</f>
        <v>-3.797806109</v>
      </c>
      <c r="I316" s="54">
        <f>IFERROR(__xludf.DUMMYFUNCTION("""COMPUTED_VALUE"""),25.0)</f>
        <v>25</v>
      </c>
      <c r="J316" s="55">
        <f>IFERROR(__xludf.DUMMYFUNCTION("""COMPUTED_VALUE"""),8.0)</f>
        <v>8</v>
      </c>
      <c r="K316" s="54">
        <f>IFERROR(__xludf.DUMMYFUNCTION("""COMPUTED_VALUE"""),17.0)</f>
        <v>17</v>
      </c>
      <c r="L316" s="56">
        <f>IFERROR(__xludf.DUMMYFUNCTION("""COMPUTED_VALUE"""),0.32)</f>
        <v>0.32</v>
      </c>
      <c r="M316" s="56">
        <f>IFERROR(__xludf.DUMMYFUNCTION("""COMPUTED_VALUE"""),0.3829787234042553)</f>
        <v>0.3829787234</v>
      </c>
      <c r="N316" s="31">
        <f>IFERROR(__xludf.DUMMYFUNCTION("""COMPUTED_VALUE"""),331.28)</f>
        <v>331.28</v>
      </c>
      <c r="O316" s="57">
        <f>IFERROR(__xludf.DUMMYFUNCTION("""COMPUTED_VALUE"""),0.72)</f>
        <v>0.72</v>
      </c>
      <c r="P316" s="57">
        <f>IFERROR(__xludf.DUMMYFUNCTION("""COMPUTED_VALUE"""),0.52)</f>
        <v>0.52</v>
      </c>
      <c r="Q316" s="57">
        <f>IFERROR(__xludf.DUMMYFUNCTION("""COMPUTED_VALUE"""),1.2)</f>
        <v>1.2</v>
      </c>
      <c r="R316" s="57">
        <f>IFERROR(__xludf.DUMMYFUNCTION("""COMPUTED_VALUE"""),1.88)</f>
        <v>1.88</v>
      </c>
      <c r="S316" s="31">
        <f>IFERROR(__xludf.DUMMYFUNCTION("""COMPUTED_VALUE"""),394.88)</f>
        <v>394.88</v>
      </c>
      <c r="T316" s="57">
        <f>IFERROR(__xludf.DUMMYFUNCTION("""COMPUTED_VALUE"""),1.08)</f>
        <v>1.08</v>
      </c>
      <c r="U316" s="57">
        <f>IFERROR(__xludf.DUMMYFUNCTION("""COMPUTED_VALUE"""),0.7733333333333333)</f>
        <v>0.7733333333</v>
      </c>
      <c r="V316" s="57">
        <f>IFERROR(__xludf.DUMMYFUNCTION("""COMPUTED_VALUE"""),1.2266666666666668)</f>
        <v>1.226666667</v>
      </c>
      <c r="W316" s="57">
        <f>IFERROR(__xludf.DUMMYFUNCTION("""COMPUTED_VALUE"""),3.0933333333333333)</f>
        <v>3.093333333</v>
      </c>
      <c r="X316" s="31">
        <f>IFERROR(__xludf.DUMMYFUNCTION("""COMPUTED_VALUE"""),373.4100006803489)</f>
        <v>373.4100007</v>
      </c>
      <c r="Y316" s="57">
        <f>IFERROR(__xludf.DUMMYFUNCTION("""COMPUTED_VALUE"""),0.8461082115945447)</f>
        <v>0.8461082116</v>
      </c>
      <c r="Z316" s="57">
        <f>IFERROR(__xludf.DUMMYFUNCTION("""COMPUTED_VALUE"""),0.6318870721155353)</f>
        <v>0.6318870721</v>
      </c>
      <c r="AA316" s="57">
        <f>IFERROR(__xludf.DUMMYFUNCTION("""COMPUTED_VALUE"""),1.4623513735447145)</f>
        <v>1.462351374</v>
      </c>
      <c r="AB316" s="57">
        <f>IFERROR(__xludf.DUMMYFUNCTION("""COMPUTED_VALUE"""),2.777212988191156)</f>
        <v>2.777212988</v>
      </c>
      <c r="AC316" s="31">
        <f>IFERROR(__xludf.DUMMYFUNCTION("""COMPUTED_VALUE"""),357.00416079973564)</f>
        <v>357.0041608</v>
      </c>
      <c r="AD316" s="57">
        <f>IFERROR(__xludf.DUMMYFUNCTION("""COMPUTED_VALUE"""),0.7342290222332645)</f>
        <v>0.7342290222</v>
      </c>
      <c r="AE316" s="57">
        <f>IFERROR(__xludf.DUMMYFUNCTION("""COMPUTED_VALUE"""),0.5500292344678702)</f>
        <v>0.5500292345</v>
      </c>
      <c r="AF316" s="57">
        <f>IFERROR(__xludf.DUMMYFUNCTION("""COMPUTED_VALUE"""),1.4603980678925021)</f>
        <v>1.460398068</v>
      </c>
      <c r="AG316" s="57">
        <f>IFERROR(__xludf.DUMMYFUNCTION("""COMPUTED_VALUE"""),2.630446137719651)</f>
        <v>2.630446138</v>
      </c>
      <c r="AH316" s="57">
        <f>IFERROR(__xludf.DUMMYFUNCTION("""COMPUTED_VALUE"""),0.9279443669728941)</f>
        <v>0.927944367</v>
      </c>
      <c r="AI316" s="57">
        <f>IFERROR(__xludf.DUMMYFUNCTION("""COMPUTED_VALUE"""),0.9806204579192677)</f>
        <v>0.9806204579</v>
      </c>
      <c r="AJ316" s="57">
        <f>IFERROR(__xludf.DUMMYFUNCTION("""COMPUTED_VALUE"""),0.9454042938337228)</f>
        <v>0.9454042938</v>
      </c>
      <c r="AK316" s="57">
        <f>IFERROR(__xludf.DUMMYFUNCTION("""COMPUTED_VALUE"""),0.8216937740349916)</f>
        <v>0.821693774</v>
      </c>
      <c r="AL316" s="57">
        <f>IFERROR(__xludf.DUMMYFUNCTION("""COMPUTED_VALUE"""),0.7147076585380239)</f>
        <v>0.7147076585</v>
      </c>
      <c r="AM316" s="57">
        <f>IFERROR(__xludf.DUMMYFUNCTION("""COMPUTED_VALUE"""),1.0574971192001634)</f>
        <v>1.057497119</v>
      </c>
      <c r="AN316" s="57">
        <f>IFERROR(__xludf.DUMMYFUNCTION("""COMPUTED_VALUE"""),1.2764324766032837)</f>
        <v>1.276432477</v>
      </c>
      <c r="AO316" s="57">
        <f>IFERROR(__xludf.DUMMYFUNCTION("""COMPUTED_VALUE"""),1.2238473731457127)</f>
        <v>1.223847373</v>
      </c>
      <c r="AP316" s="35">
        <f>IFERROR(__xludf.DUMMYFUNCTION("""COMPUTED_VALUE"""),0.8388316849549284)</f>
        <v>0.838831685</v>
      </c>
      <c r="AQ316" s="57">
        <f>IFERROR(__xludf.DUMMYFUNCTION("""COMPUTED_VALUE"""),1.1138264679325411)</f>
        <v>1.113826468</v>
      </c>
      <c r="AR316" s="36" t="b">
        <f>IFERROR(__xludf.DUMMYFUNCTION("""COMPUTED_VALUE"""),TRUE)</f>
        <v>1</v>
      </c>
      <c r="AS316" s="57"/>
      <c r="AT316" s="37"/>
      <c r="AU316" s="30"/>
      <c r="AV316" s="30"/>
      <c r="AW316" s="30"/>
      <c r="AX316" s="30"/>
      <c r="AY316" s="30"/>
      <c r="AZ316" s="30"/>
    </row>
    <row r="317">
      <c r="A317" s="30" t="str">
        <f>IFERROR(__xludf.DUMMYFUNCTION("""COMPUTED_VALUE"""),"Elite")</f>
        <v>Elite</v>
      </c>
      <c r="B317" s="30" t="str">
        <f>IFERROR(__xludf.DUMMYFUNCTION("""COMPUTED_VALUE"""),"RSC006188")</f>
        <v>RSC006188</v>
      </c>
      <c r="C317" s="30" t="str">
        <f>IFERROR(__xludf.DUMMYFUNCTION("""COMPUTED_VALUE"""),"Billy_Man_Fi3h")</f>
        <v>Billy_Man_Fi3h</v>
      </c>
      <c r="D317" s="31" t="str">
        <f>IFERROR(__xludf.DUMMYFUNCTION("""COMPUTED_VALUE"""),"Pixel Picassos")</f>
        <v>Pixel Picassos</v>
      </c>
      <c r="E317" s="31">
        <f>IFERROR(__xludf.DUMMYFUNCTION("""COMPUTED_VALUE"""),35.477043553199806)</f>
        <v>35.47704355</v>
      </c>
      <c r="F317" s="31">
        <f>IFERROR(__xludf.DUMMYFUNCTION("""COMPUTED_VALUE"""),-3.5631852284354406)</f>
        <v>-3.563185228</v>
      </c>
      <c r="G317" s="31">
        <f>IFERROR(__xludf.DUMMYFUNCTION("""COMPUTED_VALUE"""),25.627740117299606)</f>
        <v>25.62774012</v>
      </c>
      <c r="H317" s="31">
        <f>IFERROR(__xludf.DUMMYFUNCTION("""COMPUTED_VALUE"""),-6.067691821065406)</f>
        <v>-6.067691821</v>
      </c>
      <c r="I317" s="54">
        <f>IFERROR(__xludf.DUMMYFUNCTION("""COMPUTED_VALUE"""),32.0)</f>
        <v>32</v>
      </c>
      <c r="J317" s="55">
        <f>IFERROR(__xludf.DUMMYFUNCTION("""COMPUTED_VALUE"""),8.0)</f>
        <v>8</v>
      </c>
      <c r="K317" s="54">
        <f>IFERROR(__xludf.DUMMYFUNCTION("""COMPUTED_VALUE"""),24.0)</f>
        <v>24</v>
      </c>
      <c r="L317" s="56">
        <f>IFERROR(__xludf.DUMMYFUNCTION("""COMPUTED_VALUE"""),0.25)</f>
        <v>0.25</v>
      </c>
      <c r="M317" s="56">
        <f>IFERROR(__xludf.DUMMYFUNCTION("""COMPUTED_VALUE"""),0.2073170731707317)</f>
        <v>0.2073170732</v>
      </c>
      <c r="N317" s="31">
        <f>IFERROR(__xludf.DUMMYFUNCTION("""COMPUTED_VALUE"""),317.0)</f>
        <v>317</v>
      </c>
      <c r="O317" s="57">
        <f>IFERROR(__xludf.DUMMYFUNCTION("""COMPUTED_VALUE"""),0.53125)</f>
        <v>0.53125</v>
      </c>
      <c r="P317" s="57">
        <f>IFERROR(__xludf.DUMMYFUNCTION("""COMPUTED_VALUE"""),0.375)</f>
        <v>0.375</v>
      </c>
      <c r="Q317" s="57">
        <f>IFERROR(__xludf.DUMMYFUNCTION("""COMPUTED_VALUE"""),1.3125)</f>
        <v>1.3125</v>
      </c>
      <c r="R317" s="57">
        <f>IFERROR(__xludf.DUMMYFUNCTION("""COMPUTED_VALUE"""),2.5625)</f>
        <v>2.5625</v>
      </c>
      <c r="S317" s="31">
        <f>IFERROR(__xludf.DUMMYFUNCTION("""COMPUTED_VALUE"""),396.3437499999999)</f>
        <v>396.34375</v>
      </c>
      <c r="T317" s="57">
        <f>IFERROR(__xludf.DUMMYFUNCTION("""COMPUTED_VALUE"""),0.9375)</f>
        <v>0.9375</v>
      </c>
      <c r="U317" s="57">
        <f>IFERROR(__xludf.DUMMYFUNCTION("""COMPUTED_VALUE"""),0.6666666666666663)</f>
        <v>0.6666666667</v>
      </c>
      <c r="V317" s="57">
        <f>IFERROR(__xludf.DUMMYFUNCTION("""COMPUTED_VALUE"""),1.46875)</f>
        <v>1.46875</v>
      </c>
      <c r="W317" s="57">
        <f>IFERROR(__xludf.DUMMYFUNCTION("""COMPUTED_VALUE"""),2.9791666666666665)</f>
        <v>2.979166667</v>
      </c>
      <c r="X317" s="31">
        <f>IFERROR(__xludf.DUMMYFUNCTION("""COMPUTED_VALUE"""),366.05769411974165)</f>
        <v>366.0576941</v>
      </c>
      <c r="Y317" s="57">
        <f>IFERROR(__xludf.DUMMYFUNCTION("""COMPUTED_VALUE"""),0.8525357996097616)</f>
        <v>0.8525357996</v>
      </c>
      <c r="Z317" s="57">
        <f>IFERROR(__xludf.DUMMYFUNCTION("""COMPUTED_VALUE"""),0.6512370459652703)</f>
        <v>0.651237046</v>
      </c>
      <c r="AA317" s="57">
        <f>IFERROR(__xludf.DUMMYFUNCTION("""COMPUTED_VALUE"""),1.307330074955625)</f>
        <v>1.307330075</v>
      </c>
      <c r="AB317" s="57">
        <f>IFERROR(__xludf.DUMMYFUNCTION("""COMPUTED_VALUE"""),2.8143386767049328)</f>
        <v>2.814338677</v>
      </c>
      <c r="AC317" s="31">
        <f>IFERROR(__xludf.DUMMYFUNCTION("""COMPUTED_VALUE"""),351.454197560432)</f>
        <v>351.4541976</v>
      </c>
      <c r="AD317" s="57">
        <f>IFERROR(__xludf.DUMMYFUNCTION("""COMPUTED_VALUE"""),0.6926813442882972)</f>
        <v>0.6926813443</v>
      </c>
      <c r="AE317" s="57">
        <f>IFERROR(__xludf.DUMMYFUNCTION("""COMPUTED_VALUE"""),0.5150697689876305)</f>
        <v>0.515069769</v>
      </c>
      <c r="AF317" s="57">
        <f>IFERROR(__xludf.DUMMYFUNCTION("""COMPUTED_VALUE"""),1.5020360861448865)</f>
        <v>1.502036086</v>
      </c>
      <c r="AG317" s="57">
        <f>IFERROR(__xludf.DUMMYFUNCTION("""COMPUTED_VALUE"""),2.4748456900161298)</f>
        <v>2.47484569</v>
      </c>
      <c r="AH317" s="57">
        <f>IFERROR(__xludf.DUMMYFUNCTION("""COMPUTED_VALUE"""),0.9019667490114194)</f>
        <v>0.901966749</v>
      </c>
      <c r="AI317" s="57">
        <f>IFERROR(__xludf.DUMMYFUNCTION("""COMPUTED_VALUE"""),0.7669471747443096)</f>
        <v>0.7669471747</v>
      </c>
      <c r="AJ317" s="57">
        <f>IFERROR(__xludf.DUMMYFUNCTION("""COMPUTED_VALUE"""),0.7280567072244648)</f>
        <v>0.7280567072</v>
      </c>
      <c r="AK317" s="57">
        <f>IFERROR(__xludf.DUMMYFUNCTION("""COMPUTED_VALUE"""),0.8738138930927097)</f>
        <v>0.8738138931</v>
      </c>
      <c r="AL317" s="57">
        <f>IFERROR(__xludf.DUMMYFUNCTION("""COMPUTED_VALUE"""),1.0354180910500723)</f>
        <v>1.035418091</v>
      </c>
      <c r="AM317" s="57">
        <f>IFERROR(__xludf.DUMMYFUNCTION("""COMPUTED_VALUE"""),1.0827357445746006)</f>
        <v>1.082735745</v>
      </c>
      <c r="AN317" s="57">
        <f>IFERROR(__xludf.DUMMYFUNCTION("""COMPUTED_VALUE"""),1.09966056607726)</f>
        <v>1.099660566</v>
      </c>
      <c r="AO317" s="57">
        <f>IFERROR(__xludf.DUMMYFUNCTION("""COMPUTED_VALUE"""),1.0236927871302623)</f>
        <v>1.023692787</v>
      </c>
      <c r="AP317" s="35">
        <f>IFERROR(__xludf.DUMMYFUNCTION("""COMPUTED_VALUE"""),1.1234729684084215)</f>
        <v>1.123472968</v>
      </c>
      <c r="AQ317" s="57">
        <f>IFERROR(__xludf.DUMMYFUNCTION("""COMPUTED_VALUE"""),1.058567219121871)</f>
        <v>1.058567219</v>
      </c>
      <c r="AR317" s="36" t="b">
        <f>IFERROR(__xludf.DUMMYFUNCTION("""COMPUTED_VALUE"""),TRUE)</f>
        <v>1</v>
      </c>
      <c r="AS317" s="57"/>
      <c r="AT317" s="37"/>
      <c r="AU317" s="30"/>
      <c r="AV317" s="30"/>
      <c r="AW317" s="30"/>
      <c r="AX317" s="30"/>
      <c r="AY317" s="30"/>
      <c r="AZ317" s="30"/>
    </row>
    <row r="318">
      <c r="A318" s="30" t="str">
        <f>IFERROR(__xludf.DUMMYFUNCTION("""COMPUTED_VALUE"""),"Elite")</f>
        <v>Elite</v>
      </c>
      <c r="B318" s="30" t="str">
        <f>IFERROR(__xludf.DUMMYFUNCTION("""COMPUTED_VALUE"""),"RSC003445")</f>
        <v>RSC003445</v>
      </c>
      <c r="C318" s="30" t="str">
        <f>IFERROR(__xludf.DUMMYFUNCTION("""COMPUTED_VALUE"""),"bosco")</f>
        <v>bosco</v>
      </c>
      <c r="D318" s="31"/>
      <c r="E318" s="31">
        <f>IFERROR(__xludf.DUMMYFUNCTION("""COMPUTED_VALUE"""),35.15096619176684)</f>
        <v>35.15096619</v>
      </c>
      <c r="F318" s="31">
        <f>IFERROR(__xludf.DUMMYFUNCTION("""COMPUTED_VALUE"""),-3.619660794508299)</f>
        <v>-3.619660795</v>
      </c>
      <c r="G318" s="31">
        <f>IFERROR(__xludf.DUMMYFUNCTION("""COMPUTED_VALUE"""),29.713599374069936)</f>
        <v>29.71359937</v>
      </c>
      <c r="H318" s="31">
        <f>IFERROR(__xludf.DUMMYFUNCTION("""COMPUTED_VALUE"""),-4.794969079712552)</f>
        <v>-4.79496908</v>
      </c>
      <c r="I318" s="54">
        <f>IFERROR(__xludf.DUMMYFUNCTION("""COMPUTED_VALUE"""),11.0)</f>
        <v>11</v>
      </c>
      <c r="J318" s="55">
        <f>IFERROR(__xludf.DUMMYFUNCTION("""COMPUTED_VALUE"""),4.0)</f>
        <v>4</v>
      </c>
      <c r="K318" s="54">
        <f>IFERROR(__xludf.DUMMYFUNCTION("""COMPUTED_VALUE"""),7.0)</f>
        <v>7</v>
      </c>
      <c r="L318" s="56">
        <f>IFERROR(__xludf.DUMMYFUNCTION("""COMPUTED_VALUE"""),0.36363636363636365)</f>
        <v>0.3636363636</v>
      </c>
      <c r="M318" s="56">
        <f>IFERROR(__xludf.DUMMYFUNCTION("""COMPUTED_VALUE"""),0.13793103448275862)</f>
        <v>0.1379310345</v>
      </c>
      <c r="N318" s="31">
        <f>IFERROR(__xludf.DUMMYFUNCTION("""COMPUTED_VALUE"""),305.27272727272725)</f>
        <v>305.2727273</v>
      </c>
      <c r="O318" s="57">
        <f>IFERROR(__xludf.DUMMYFUNCTION("""COMPUTED_VALUE"""),0.36363636363636365)</f>
        <v>0.3636363636</v>
      </c>
      <c r="P318" s="57">
        <f>IFERROR(__xludf.DUMMYFUNCTION("""COMPUTED_VALUE"""),0.5454545454545454)</f>
        <v>0.5454545455</v>
      </c>
      <c r="Q318" s="57">
        <f>IFERROR(__xludf.DUMMYFUNCTION("""COMPUTED_VALUE"""),1.3636363636363635)</f>
        <v>1.363636364</v>
      </c>
      <c r="R318" s="57">
        <f>IFERROR(__xludf.DUMMYFUNCTION("""COMPUTED_VALUE"""),2.6363636363636362)</f>
        <v>2.636363636</v>
      </c>
      <c r="S318" s="31">
        <f>IFERROR(__xludf.DUMMYFUNCTION("""COMPUTED_VALUE"""),404.7083333333333)</f>
        <v>404.7083333</v>
      </c>
      <c r="T318" s="57">
        <f>IFERROR(__xludf.DUMMYFUNCTION("""COMPUTED_VALUE"""),0.8749999999999999)</f>
        <v>0.875</v>
      </c>
      <c r="U318" s="57">
        <f>IFERROR(__xludf.DUMMYFUNCTION("""COMPUTED_VALUE"""),0.7083333333333333)</f>
        <v>0.7083333333</v>
      </c>
      <c r="V318" s="57">
        <f>IFERROR(__xludf.DUMMYFUNCTION("""COMPUTED_VALUE"""),1.875)</f>
        <v>1.875</v>
      </c>
      <c r="W318" s="57">
        <f>IFERROR(__xludf.DUMMYFUNCTION("""COMPUTED_VALUE"""),2.125)</f>
        <v>2.125</v>
      </c>
      <c r="X318" s="31">
        <f>IFERROR(__xludf.DUMMYFUNCTION("""COMPUTED_VALUE"""),381.22130883301094)</f>
        <v>381.2213088</v>
      </c>
      <c r="Y318" s="57">
        <f>IFERROR(__xludf.DUMMYFUNCTION("""COMPUTED_VALUE"""),0.8280704121871859)</f>
        <v>0.8280704122</v>
      </c>
      <c r="Z318" s="57">
        <f>IFERROR(__xludf.DUMMYFUNCTION("""COMPUTED_VALUE"""),0.5818920276490787)</f>
        <v>0.5818920276</v>
      </c>
      <c r="AA318" s="57">
        <f>IFERROR(__xludf.DUMMYFUNCTION("""COMPUTED_VALUE"""),1.556811621909346)</f>
        <v>1.556811622</v>
      </c>
      <c r="AB318" s="57">
        <f>IFERROR(__xludf.DUMMYFUNCTION("""COMPUTED_VALUE"""),2.7921921622209234)</f>
        <v>2.792192162</v>
      </c>
      <c r="AC318" s="31">
        <f>IFERROR(__xludf.DUMMYFUNCTION("""COMPUTED_VALUE"""),354.62372839290987)</f>
        <v>354.6237284</v>
      </c>
      <c r="AD318" s="57">
        <f>IFERROR(__xludf.DUMMYFUNCTION("""COMPUTED_VALUE"""),0.6717213107072706)</f>
        <v>0.6717213107</v>
      </c>
      <c r="AE318" s="57">
        <f>IFERROR(__xludf.DUMMYFUNCTION("""COMPUTED_VALUE"""),0.5273302201880258)</f>
        <v>0.5273302202</v>
      </c>
      <c r="AF318" s="57">
        <f>IFERROR(__xludf.DUMMYFUNCTION("""COMPUTED_VALUE"""),1.502361254804352)</f>
        <v>1.502361255</v>
      </c>
      <c r="AG318" s="57">
        <f>IFERROR(__xludf.DUMMYFUNCTION("""COMPUTED_VALUE"""),2.5761972458378946)</f>
        <v>2.576197246</v>
      </c>
      <c r="AH318" s="57">
        <f>IFERROR(__xludf.DUMMYFUNCTION("""COMPUTED_VALUE"""),0.8608355922943105)</f>
        <v>0.8608355923</v>
      </c>
      <c r="AI318" s="57">
        <f>IFERROR(__xludf.DUMMYFUNCTION("""COMPUTED_VALUE"""),0.541350047765319)</f>
        <v>0.5413500478</v>
      </c>
      <c r="AJ318" s="57">
        <f>IFERROR(__xludf.DUMMYFUNCTION("""COMPUTED_VALUE"""),1.0343699726900863)</f>
        <v>1.034369973</v>
      </c>
      <c r="AK318" s="57">
        <f>IFERROR(__xludf.DUMMYFUNCTION("""COMPUTED_VALUE"""),0.9076620947695738)</f>
        <v>0.9076620948</v>
      </c>
      <c r="AL318" s="57">
        <f>IFERROR(__xludf.DUMMYFUNCTION("""COMPUTED_VALUE"""),1.0233547297758145)</f>
        <v>1.02335473</v>
      </c>
      <c r="AM318" s="57">
        <f>IFERROR(__xludf.DUMMYFUNCTION("""COMPUTED_VALUE"""),1.0616099466533508)</f>
        <v>1.061609947</v>
      </c>
      <c r="AN318" s="57">
        <f>IFERROR(__xludf.DUMMYFUNCTION("""COMPUTED_VALUE"""),1.056673426706382)</f>
        <v>1.056673427</v>
      </c>
      <c r="AO318" s="57">
        <f>IFERROR(__xludf.DUMMYFUNCTION("""COMPUTED_VALUE"""),1.2172934147166345)</f>
        <v>1.217293415</v>
      </c>
      <c r="AP318" s="35">
        <f>IFERROR(__xludf.DUMMYFUNCTION("""COMPUTED_VALUE"""),1.2043846369160665)</f>
        <v>1.204384637</v>
      </c>
      <c r="AQ318" s="57">
        <f>IFERROR(__xludf.DUMMYFUNCTION("""COMPUTED_VALUE"""),0.761050771774162)</f>
        <v>0.7610507718</v>
      </c>
      <c r="AR318" s="36" t="b">
        <f>IFERROR(__xludf.DUMMYFUNCTION("""COMPUTED_VALUE"""),TRUE)</f>
        <v>1</v>
      </c>
      <c r="AS318" s="57"/>
      <c r="AT318" s="37"/>
      <c r="AU318" s="30"/>
      <c r="AV318" s="30"/>
      <c r="AW318" s="30"/>
      <c r="AX318" s="30"/>
      <c r="AY318" s="30"/>
      <c r="AZ318" s="30"/>
    </row>
    <row r="319">
      <c r="A319" s="30" t="str">
        <f>IFERROR(__xludf.DUMMYFUNCTION("""COMPUTED_VALUE"""),"Elite")</f>
        <v>Elite</v>
      </c>
      <c r="B319" s="30" t="str">
        <f>IFERROR(__xludf.DUMMYFUNCTION("""COMPUTED_VALUE"""),"RSC006668")</f>
        <v>RSC006668</v>
      </c>
      <c r="C319" s="30" t="str">
        <f>IFERROR(__xludf.DUMMYFUNCTION("""COMPUTED_VALUE"""),"anubis")</f>
        <v>anubis</v>
      </c>
      <c r="D319" s="31" t="str">
        <f>IFERROR(__xludf.DUMMYFUNCTION("""COMPUTED_VALUE"""),"Thrashers")</f>
        <v>Thrashers</v>
      </c>
      <c r="E319" s="31">
        <f>IFERROR(__xludf.DUMMYFUNCTION("""COMPUTED_VALUE"""),34.10324878419865)</f>
        <v>34.10324878</v>
      </c>
      <c r="F319" s="31">
        <f>IFERROR(__xludf.DUMMYFUNCTION("""COMPUTED_VALUE"""),-3.8105317787782176)</f>
        <v>-3.810531779</v>
      </c>
      <c r="G319" s="31">
        <f>IFERROR(__xludf.DUMMYFUNCTION("""COMPUTED_VALUE"""),58.35880903961464)</f>
        <v>58.35880904</v>
      </c>
      <c r="H319" s="31">
        <f>IFERROR(__xludf.DUMMYFUNCTION("""COMPUTED_VALUE"""),2.709609707409817)</f>
        <v>2.709609707</v>
      </c>
      <c r="I319" s="54">
        <f>IFERROR(__xludf.DUMMYFUNCTION("""COMPUTED_VALUE"""),6.0)</f>
        <v>6</v>
      </c>
      <c r="J319" s="55">
        <f>IFERROR(__xludf.DUMMYFUNCTION("""COMPUTED_VALUE"""),1.0)</f>
        <v>1</v>
      </c>
      <c r="K319" s="54">
        <f>IFERROR(__xludf.DUMMYFUNCTION("""COMPUTED_VALUE"""),5.0)</f>
        <v>5</v>
      </c>
      <c r="L319" s="56">
        <f>IFERROR(__xludf.DUMMYFUNCTION("""COMPUTED_VALUE"""),0.16666666666666666)</f>
        <v>0.1666666667</v>
      </c>
      <c r="M319" s="56">
        <f>IFERROR(__xludf.DUMMYFUNCTION("""COMPUTED_VALUE"""),0.14285714285714285)</f>
        <v>0.1428571429</v>
      </c>
      <c r="N319" s="31">
        <f>IFERROR(__xludf.DUMMYFUNCTION("""COMPUTED_VALUE"""),273.5)</f>
        <v>273.5</v>
      </c>
      <c r="O319" s="57">
        <f>IFERROR(__xludf.DUMMYFUNCTION("""COMPUTED_VALUE"""),0.3333333333333333)</f>
        <v>0.3333333333</v>
      </c>
      <c r="P319" s="57">
        <f>IFERROR(__xludf.DUMMYFUNCTION("""COMPUTED_VALUE"""),0.6666666666666666)</f>
        <v>0.6666666667</v>
      </c>
      <c r="Q319" s="57">
        <f>IFERROR(__xludf.DUMMYFUNCTION("""COMPUTED_VALUE"""),0.6666666666666666)</f>
        <v>0.6666666667</v>
      </c>
      <c r="R319" s="57">
        <f>IFERROR(__xludf.DUMMYFUNCTION("""COMPUTED_VALUE"""),2.3333333333333335)</f>
        <v>2.333333333</v>
      </c>
      <c r="S319" s="31">
        <f>IFERROR(__xludf.DUMMYFUNCTION("""COMPUTED_VALUE"""),348.6111111111111)</f>
        <v>348.6111111</v>
      </c>
      <c r="T319" s="57">
        <f>IFERROR(__xludf.DUMMYFUNCTION("""COMPUTED_VALUE"""),0.8333333333333331)</f>
        <v>0.8333333333</v>
      </c>
      <c r="U319" s="57">
        <f>IFERROR(__xludf.DUMMYFUNCTION("""COMPUTED_VALUE"""),0.7222222222222222)</f>
        <v>0.7222222222</v>
      </c>
      <c r="V319" s="57">
        <f>IFERROR(__xludf.DUMMYFUNCTION("""COMPUTED_VALUE"""),1.1111111111111112)</f>
        <v>1.111111111</v>
      </c>
      <c r="W319" s="57">
        <f>IFERROR(__xludf.DUMMYFUNCTION("""COMPUTED_VALUE"""),2.111111111111111)</f>
        <v>2.111111111</v>
      </c>
      <c r="X319" s="31">
        <f>IFERROR(__xludf.DUMMYFUNCTION("""COMPUTED_VALUE"""),354.16598124098124)</f>
        <v>354.1659812</v>
      </c>
      <c r="Y319" s="57">
        <f>IFERROR(__xludf.DUMMYFUNCTION("""COMPUTED_VALUE"""),0.8038961038961038)</f>
        <v>0.8038961039</v>
      </c>
      <c r="Z319" s="57">
        <f>IFERROR(__xludf.DUMMYFUNCTION("""COMPUTED_VALUE"""),0.666468253968254)</f>
        <v>0.666468254</v>
      </c>
      <c r="AA319" s="57">
        <f>IFERROR(__xludf.DUMMYFUNCTION("""COMPUTED_VALUE"""),1.196897546897547)</f>
        <v>1.196897547</v>
      </c>
      <c r="AB319" s="57">
        <f>IFERROR(__xludf.DUMMYFUNCTION("""COMPUTED_VALUE"""),2.779587542087542)</f>
        <v>2.779587542</v>
      </c>
      <c r="AC319" s="31">
        <f>IFERROR(__xludf.DUMMYFUNCTION("""COMPUTED_VALUE"""),350.65004409171075)</f>
        <v>350.6500441</v>
      </c>
      <c r="AD319" s="57">
        <f>IFERROR(__xludf.DUMMYFUNCTION("""COMPUTED_VALUE"""),0.7281064614397947)</f>
        <v>0.7281064614</v>
      </c>
      <c r="AE319" s="57">
        <f>IFERROR(__xludf.DUMMYFUNCTION("""COMPUTED_VALUE"""),0.5379950296616963)</f>
        <v>0.5379950297</v>
      </c>
      <c r="AF319" s="57">
        <f>IFERROR(__xludf.DUMMYFUNCTION("""COMPUTED_VALUE"""),1.4437550104216772)</f>
        <v>1.44375501</v>
      </c>
      <c r="AG319" s="57">
        <f>IFERROR(__xludf.DUMMYFUNCTION("""COMPUTED_VALUE"""),2.508866442199776)</f>
        <v>2.508866442</v>
      </c>
      <c r="AH319" s="57">
        <f>IFERROR(__xludf.DUMMYFUNCTION("""COMPUTED_VALUE"""),0.7799799389971486)</f>
        <v>0.779979939</v>
      </c>
      <c r="AI319" s="57">
        <f>IFERROR(__xludf.DUMMYFUNCTION("""COMPUTED_VALUE"""),0.4578085087642033)</f>
        <v>0.4578085088</v>
      </c>
      <c r="AJ319" s="57">
        <f>IFERROR(__xludf.DUMMYFUNCTION("""COMPUTED_VALUE"""),1.2391688211058047)</f>
        <v>1.239168821</v>
      </c>
      <c r="AK319" s="57">
        <f>IFERROR(__xludf.DUMMYFUNCTION("""COMPUTED_VALUE"""),0.46175885926238514)</f>
        <v>0.4617588593</v>
      </c>
      <c r="AL319" s="57">
        <f>IFERROR(__xludf.DUMMYFUNCTION("""COMPUTED_VALUE"""),0.9300348930840117)</f>
        <v>0.9300348931</v>
      </c>
      <c r="AM319" s="57">
        <f>IFERROR(__xludf.DUMMYFUNCTION("""COMPUTED_VALUE"""),0.9843156304555108)</f>
        <v>0.9843156305</v>
      </c>
      <c r="AN319" s="57">
        <f>IFERROR(__xludf.DUMMYFUNCTION("""COMPUTED_VALUE"""),1.0366182014001075)</f>
        <v>1.036618201</v>
      </c>
      <c r="AO319" s="57">
        <f>IFERROR(__xludf.DUMMYFUNCTION("""COMPUTED_VALUE"""),1.0836558499553437)</f>
        <v>1.08365585</v>
      </c>
      <c r="AP319" s="35">
        <f>IFERROR(__xludf.DUMMYFUNCTION("""COMPUTED_VALUE"""),0.9283259991560673)</f>
        <v>0.9283259992</v>
      </c>
      <c r="AQ319" s="57">
        <f>IFERROR(__xludf.DUMMYFUNCTION("""COMPUTED_VALUE"""),0.7595051708735218)</f>
        <v>0.7595051709</v>
      </c>
      <c r="AR319" s="36" t="b">
        <f>IFERROR(__xludf.DUMMYFUNCTION("""COMPUTED_VALUE"""),TRUE)</f>
        <v>1</v>
      </c>
      <c r="AS319" s="57"/>
      <c r="AT319" s="37"/>
      <c r="AU319" s="30"/>
      <c r="AV319" s="30"/>
      <c r="AW319" s="30"/>
      <c r="AX319" s="30"/>
      <c r="AY319" s="30"/>
      <c r="AZ319" s="30"/>
    </row>
    <row r="320">
      <c r="A320" s="30" t="str">
        <f>IFERROR(__xludf.DUMMYFUNCTION("""COMPUTED_VALUE"""),"Elite")</f>
        <v>Elite</v>
      </c>
      <c r="B320" s="30" t="str">
        <f>IFERROR(__xludf.DUMMYFUNCTION("""COMPUTED_VALUE"""),"RSC005754")</f>
        <v>RSC005754</v>
      </c>
      <c r="C320" s="30" t="str">
        <f>IFERROR(__xludf.DUMMYFUNCTION("""COMPUTED_VALUE"""),"Monty.")</f>
        <v>Monty.</v>
      </c>
      <c r="D320" s="31" t="str">
        <f>IFERROR(__xludf.DUMMYFUNCTION("""COMPUTED_VALUE"""),"Fire")</f>
        <v>Fire</v>
      </c>
      <c r="E320" s="31">
        <f>IFERROR(__xludf.DUMMYFUNCTION("""COMPUTED_VALUE"""),34.03343930701864)</f>
        <v>34.03343931</v>
      </c>
      <c r="F320" s="31">
        <f>IFERROR(__xludf.DUMMYFUNCTION("""COMPUTED_VALUE"""),-3.8237806117720154)</f>
        <v>-3.823780612</v>
      </c>
      <c r="G320" s="31">
        <f>IFERROR(__xludf.DUMMYFUNCTION("""COMPUTED_VALUE"""),21.804286504122967)</f>
        <v>21.8042865</v>
      </c>
      <c r="H320" s="31">
        <f>IFERROR(__xludf.DUMMYFUNCTION("""COMPUTED_VALUE"""),-7.71032797955149)</f>
        <v>-7.71032798</v>
      </c>
      <c r="I320" s="54">
        <f>IFERROR(__xludf.DUMMYFUNCTION("""COMPUTED_VALUE"""),23.0)</f>
        <v>23</v>
      </c>
      <c r="J320" s="55">
        <f>IFERROR(__xludf.DUMMYFUNCTION("""COMPUTED_VALUE"""),9.0)</f>
        <v>9</v>
      </c>
      <c r="K320" s="54">
        <f>IFERROR(__xludf.DUMMYFUNCTION("""COMPUTED_VALUE"""),14.0)</f>
        <v>14</v>
      </c>
      <c r="L320" s="56">
        <f>IFERROR(__xludf.DUMMYFUNCTION("""COMPUTED_VALUE"""),0.391304347826087)</f>
        <v>0.3913043478</v>
      </c>
      <c r="M320" s="56">
        <f>IFERROR(__xludf.DUMMYFUNCTION("""COMPUTED_VALUE"""),0.1509433962264151)</f>
        <v>0.1509433962</v>
      </c>
      <c r="N320" s="31">
        <f>IFERROR(__xludf.DUMMYFUNCTION("""COMPUTED_VALUE"""),297.9130434782609)</f>
        <v>297.9130435</v>
      </c>
      <c r="O320" s="57">
        <f>IFERROR(__xludf.DUMMYFUNCTION("""COMPUTED_VALUE"""),0.34782608695652173)</f>
        <v>0.347826087</v>
      </c>
      <c r="P320" s="57">
        <f>IFERROR(__xludf.DUMMYFUNCTION("""COMPUTED_VALUE"""),0.6956521739130435)</f>
        <v>0.6956521739</v>
      </c>
      <c r="Q320" s="57">
        <f>IFERROR(__xludf.DUMMYFUNCTION("""COMPUTED_VALUE"""),1.391304347826087)</f>
        <v>1.391304348</v>
      </c>
      <c r="R320" s="57">
        <f>IFERROR(__xludf.DUMMYFUNCTION("""COMPUTED_VALUE"""),2.3043478260869565)</f>
        <v>2.304347826</v>
      </c>
      <c r="S320" s="31">
        <f>IFERROR(__xludf.DUMMYFUNCTION("""COMPUTED_VALUE"""),388.7971014492754)</f>
        <v>388.7971014</v>
      </c>
      <c r="T320" s="57">
        <f>IFERROR(__xludf.DUMMYFUNCTION("""COMPUTED_VALUE"""),0.898550724637681)</f>
        <v>0.8985507246</v>
      </c>
      <c r="U320" s="57">
        <f>IFERROR(__xludf.DUMMYFUNCTION("""COMPUTED_VALUE"""),0.6666666666666667)</f>
        <v>0.6666666667</v>
      </c>
      <c r="V320" s="57">
        <f>IFERROR(__xludf.DUMMYFUNCTION("""COMPUTED_VALUE"""),1.4637681159420295)</f>
        <v>1.463768116</v>
      </c>
      <c r="W320" s="57">
        <f>IFERROR(__xludf.DUMMYFUNCTION("""COMPUTED_VALUE"""),2.9130434782608687)</f>
        <v>2.913043478</v>
      </c>
      <c r="X320" s="31">
        <f>IFERROR(__xludf.DUMMYFUNCTION("""COMPUTED_VALUE"""),379.85930104614164)</f>
        <v>379.859301</v>
      </c>
      <c r="Y320" s="57">
        <f>IFERROR(__xludf.DUMMYFUNCTION("""COMPUTED_VALUE"""),0.8595098356213423)</f>
        <v>0.8595098356</v>
      </c>
      <c r="Z320" s="57">
        <f>IFERROR(__xludf.DUMMYFUNCTION("""COMPUTED_VALUE"""),0.5901223907662372)</f>
        <v>0.5901223908</v>
      </c>
      <c r="AA320" s="57">
        <f>IFERROR(__xludf.DUMMYFUNCTION("""COMPUTED_VALUE"""),1.5017057950566242)</f>
        <v>1.501705795</v>
      </c>
      <c r="AB320" s="57">
        <f>IFERROR(__xludf.DUMMYFUNCTION("""COMPUTED_VALUE"""),2.797101463040459)</f>
        <v>2.797101463</v>
      </c>
      <c r="AC320" s="31">
        <f>IFERROR(__xludf.DUMMYFUNCTION("""COMPUTED_VALUE"""),351.2986391831818)</f>
        <v>351.2986392</v>
      </c>
      <c r="AD320" s="57">
        <f>IFERROR(__xludf.DUMMYFUNCTION("""COMPUTED_VALUE"""),0.7001860784525428)</f>
        <v>0.7001860785</v>
      </c>
      <c r="AE320" s="57">
        <f>IFERROR(__xludf.DUMMYFUNCTION("""COMPUTED_VALUE"""),0.5150768441977949)</f>
        <v>0.5150768442</v>
      </c>
      <c r="AF320" s="57">
        <f>IFERROR(__xludf.DUMMYFUNCTION("""COMPUTED_VALUE"""),1.4610029436745458)</f>
        <v>1.461002944</v>
      </c>
      <c r="AG320" s="57">
        <f>IFERROR(__xludf.DUMMYFUNCTION("""COMPUTED_VALUE"""),2.5685703198884924)</f>
        <v>2.56857032</v>
      </c>
      <c r="AH320" s="57">
        <f>IFERROR(__xludf.DUMMYFUNCTION("""COMPUTED_VALUE"""),0.848033582398583)</f>
        <v>0.8480335824</v>
      </c>
      <c r="AI320" s="57">
        <f>IFERROR(__xludf.DUMMYFUNCTION("""COMPUTED_VALUE"""),0.49676235740824815)</f>
        <v>0.4967623574</v>
      </c>
      <c r="AJ320" s="57">
        <f>IFERROR(__xludf.DUMMYFUNCTION("""COMPUTED_VALUE"""),1.3505793975197724)</f>
        <v>1.350579398</v>
      </c>
      <c r="AK320" s="57">
        <f>IFERROR(__xludf.DUMMYFUNCTION("""COMPUTED_VALUE"""),0.9522940072432976)</f>
        <v>0.9522940072</v>
      </c>
      <c r="AL320" s="57">
        <f>IFERROR(__xludf.DUMMYFUNCTION("""COMPUTED_VALUE"""),0.897132466354666)</f>
        <v>0.8971324664</v>
      </c>
      <c r="AM320" s="57">
        <f>IFERROR(__xludf.DUMMYFUNCTION("""COMPUTED_VALUE"""),1.023529239322346)</f>
        <v>1.023529239</v>
      </c>
      <c r="AN320" s="57">
        <f>IFERROR(__xludf.DUMMYFUNCTION("""COMPUTED_VALUE"""),1.0454222713904326)</f>
        <v>1.045422271</v>
      </c>
      <c r="AO320" s="57">
        <f>IFERROR(__xludf.DUMMYFUNCTION("""COMPUTED_VALUE"""),1.1297091537249444)</f>
        <v>1.129709154</v>
      </c>
      <c r="AP320" s="35">
        <f>IFERROR(__xludf.DUMMYFUNCTION("""COMPUTED_VALUE"""),0.9747369429887802)</f>
        <v>0.974736943</v>
      </c>
      <c r="AQ320" s="57">
        <f>IFERROR(__xludf.DUMMYFUNCTION("""COMPUTED_VALUE"""),1.0414507720768844)</f>
        <v>1.041450772</v>
      </c>
      <c r="AR320" s="36" t="b">
        <f>IFERROR(__xludf.DUMMYFUNCTION("""COMPUTED_VALUE"""),TRUE)</f>
        <v>1</v>
      </c>
      <c r="AS320" s="57"/>
      <c r="AT320" s="37"/>
      <c r="AU320" s="30"/>
      <c r="AV320" s="30"/>
      <c r="AW320" s="30"/>
      <c r="AX320" s="30"/>
      <c r="AY320" s="30"/>
      <c r="AZ320" s="30"/>
    </row>
    <row r="321">
      <c r="A321" s="30" t="str">
        <f>IFERROR(__xludf.DUMMYFUNCTION("""COMPUTED_VALUE"""),"Elite")</f>
        <v>Elite</v>
      </c>
      <c r="B321" s="30" t="str">
        <f>IFERROR(__xludf.DUMMYFUNCTION("""COMPUTED_VALUE"""),"RSC005374")</f>
        <v>RSC005374</v>
      </c>
      <c r="C321" s="30" t="str">
        <f>IFERROR(__xludf.DUMMYFUNCTION("""COMPUTED_VALUE"""),"A Yapping Panda")</f>
        <v>A Yapping Panda</v>
      </c>
      <c r="D321" s="31" t="str">
        <f>IFERROR(__xludf.DUMMYFUNCTION("""COMPUTED_VALUE"""),"Loonie")</f>
        <v>Loonie</v>
      </c>
      <c r="E321" s="31">
        <f>IFERROR(__xludf.DUMMYFUNCTION("""COMPUTED_VALUE"""),33.59486276869724)</f>
        <v>33.59486277</v>
      </c>
      <c r="F321" s="31">
        <f>IFERROR(__xludf.DUMMYFUNCTION("""COMPUTED_VALUE"""),-3.908601898351907)</f>
        <v>-3.908601898</v>
      </c>
      <c r="G321" s="31">
        <f>IFERROR(__xludf.DUMMYFUNCTION("""COMPUTED_VALUE"""),41.14395960862647)</f>
        <v>41.14395961</v>
      </c>
      <c r="H321" s="31">
        <f>IFERROR(__xludf.DUMMYFUNCTION("""COMPUTED_VALUE"""),-2.7656480364192686)</f>
        <v>-2.765648036</v>
      </c>
      <c r="I321" s="54">
        <f>IFERROR(__xludf.DUMMYFUNCTION("""COMPUTED_VALUE"""),35.0)</f>
        <v>35</v>
      </c>
      <c r="J321" s="55">
        <f>IFERROR(__xludf.DUMMYFUNCTION("""COMPUTED_VALUE"""),10.0)</f>
        <v>10</v>
      </c>
      <c r="K321" s="54">
        <f>IFERROR(__xludf.DUMMYFUNCTION("""COMPUTED_VALUE"""),25.0)</f>
        <v>25</v>
      </c>
      <c r="L321" s="56">
        <f>IFERROR(__xludf.DUMMYFUNCTION("""COMPUTED_VALUE"""),0.2857142857142857)</f>
        <v>0.2857142857</v>
      </c>
      <c r="M321" s="56">
        <f>IFERROR(__xludf.DUMMYFUNCTION("""COMPUTED_VALUE"""),0.25)</f>
        <v>0.25</v>
      </c>
      <c r="N321" s="31">
        <f>IFERROR(__xludf.DUMMYFUNCTION("""COMPUTED_VALUE"""),347.1714285714286)</f>
        <v>347.1714286</v>
      </c>
      <c r="O321" s="57">
        <f>IFERROR(__xludf.DUMMYFUNCTION("""COMPUTED_VALUE"""),0.6)</f>
        <v>0.6</v>
      </c>
      <c r="P321" s="57">
        <f>IFERROR(__xludf.DUMMYFUNCTION("""COMPUTED_VALUE"""),0.3142857142857143)</f>
        <v>0.3142857143</v>
      </c>
      <c r="Q321" s="57">
        <f>IFERROR(__xludf.DUMMYFUNCTION("""COMPUTED_VALUE"""),1.5714285714285714)</f>
        <v>1.571428571</v>
      </c>
      <c r="R321" s="57">
        <f>IFERROR(__xludf.DUMMYFUNCTION("""COMPUTED_VALUE"""),2.4)</f>
        <v>2.4</v>
      </c>
      <c r="S321" s="31">
        <f>IFERROR(__xludf.DUMMYFUNCTION("""COMPUTED_VALUE"""),393.4095238095238)</f>
        <v>393.4095238</v>
      </c>
      <c r="T321" s="57">
        <f>IFERROR(__xludf.DUMMYFUNCTION("""COMPUTED_VALUE"""),0.9904761904761902)</f>
        <v>0.9904761905</v>
      </c>
      <c r="U321" s="57">
        <f>IFERROR(__xludf.DUMMYFUNCTION("""COMPUTED_VALUE"""),0.8285714285714284)</f>
        <v>0.8285714286</v>
      </c>
      <c r="V321" s="57">
        <f>IFERROR(__xludf.DUMMYFUNCTION("""COMPUTED_VALUE"""),1.3142857142857143)</f>
        <v>1.314285714</v>
      </c>
      <c r="W321" s="57">
        <f>IFERROR(__xludf.DUMMYFUNCTION("""COMPUTED_VALUE"""),3.028571428571428)</f>
        <v>3.028571429</v>
      </c>
      <c r="X321" s="31">
        <f>IFERROR(__xludf.DUMMYFUNCTION("""COMPUTED_VALUE"""),377.4456534071984)</f>
        <v>377.4456534</v>
      </c>
      <c r="Y321" s="57">
        <f>IFERROR(__xludf.DUMMYFUNCTION("""COMPUTED_VALUE"""),0.8767056006201465)</f>
        <v>0.8767056006</v>
      </c>
      <c r="Z321" s="57">
        <f>IFERROR(__xludf.DUMMYFUNCTION("""COMPUTED_VALUE"""),0.6186909339527545)</f>
        <v>0.618690934</v>
      </c>
      <c r="AA321" s="57">
        <f>IFERROR(__xludf.DUMMYFUNCTION("""COMPUTED_VALUE"""),1.3764256422339425)</f>
        <v>1.376425642</v>
      </c>
      <c r="AB321" s="57">
        <f>IFERROR(__xludf.DUMMYFUNCTION("""COMPUTED_VALUE"""),2.822132300317876)</f>
        <v>2.8221323</v>
      </c>
      <c r="AC321" s="31">
        <f>IFERROR(__xludf.DUMMYFUNCTION("""COMPUTED_VALUE"""),344.6641728718614)</f>
        <v>344.6641729</v>
      </c>
      <c r="AD321" s="57">
        <f>IFERROR(__xludf.DUMMYFUNCTION("""COMPUTED_VALUE"""),0.6760202833187051)</f>
        <v>0.6760202833</v>
      </c>
      <c r="AE321" s="57">
        <f>IFERROR(__xludf.DUMMYFUNCTION("""COMPUTED_VALUE"""),0.5009724470817208)</f>
        <v>0.5009724471</v>
      </c>
      <c r="AF321" s="57">
        <f>IFERROR(__xludf.DUMMYFUNCTION("""COMPUTED_VALUE"""),1.4479346953857424)</f>
        <v>1.447934695</v>
      </c>
      <c r="AG321" s="57">
        <f>IFERROR(__xludf.DUMMYFUNCTION("""COMPUTED_VALUE"""),2.485508302164326)</f>
        <v>2.485508302</v>
      </c>
      <c r="AH321" s="57">
        <f>IFERROR(__xludf.DUMMYFUNCTION("""COMPUTED_VALUE"""),1.0072744888993708)</f>
        <v>1.007274489</v>
      </c>
      <c r="AI321" s="57">
        <f>IFERROR(__xludf.DUMMYFUNCTION("""COMPUTED_VALUE"""),0.8875473337197696)</f>
        <v>0.8875473337</v>
      </c>
      <c r="AJ321" s="57">
        <f>IFERROR(__xludf.DUMMYFUNCTION("""COMPUTED_VALUE"""),0.6273512966960568)</f>
        <v>0.6273512967</v>
      </c>
      <c r="AK321" s="57">
        <f>IFERROR(__xludf.DUMMYFUNCTION("""COMPUTED_VALUE"""),1.0852896725497203)</f>
        <v>1.085289673</v>
      </c>
      <c r="AL321" s="57">
        <f>IFERROR(__xludf.DUMMYFUNCTION("""COMPUTED_VALUE"""),0.9655972574745105)</f>
        <v>0.9655972575</v>
      </c>
      <c r="AM321" s="57">
        <f>IFERROR(__xludf.DUMMYFUNCTION("""COMPUTED_VALUE"""),1.0422944873208095)</f>
        <v>1.042294487</v>
      </c>
      <c r="AN321" s="57">
        <f>IFERROR(__xludf.DUMMYFUNCTION("""COMPUTED_VALUE"""),1.129770574951919)</f>
        <v>1.129770575</v>
      </c>
      <c r="AO321" s="57">
        <f>IFERROR(__xludf.DUMMYFUNCTION("""COMPUTED_VALUE"""),1.3392331826777684)</f>
        <v>1.339233183</v>
      </c>
      <c r="AP321" s="35">
        <f>IFERROR(__xludf.DUMMYFUNCTION("""COMPUTED_VALUE"""),0.9548541337493721)</f>
        <v>0.9548541337</v>
      </c>
      <c r="AQ321" s="57">
        <f>IFERROR(__xludf.DUMMYFUNCTION("""COMPUTED_VALUE"""),1.0731500533232616)</f>
        <v>1.073150053</v>
      </c>
      <c r="AR321" s="36" t="b">
        <f>IFERROR(__xludf.DUMMYFUNCTION("""COMPUTED_VALUE"""),TRUE)</f>
        <v>1</v>
      </c>
      <c r="AS321" s="57"/>
      <c r="AT321" s="37"/>
      <c r="AU321" s="30"/>
      <c r="AV321" s="30"/>
      <c r="AW321" s="30"/>
      <c r="AX321" s="30"/>
      <c r="AY321" s="30"/>
      <c r="AZ321" s="30"/>
    </row>
    <row r="322">
      <c r="A322" s="30" t="str">
        <f>IFERROR(__xludf.DUMMYFUNCTION("""COMPUTED_VALUE"""),"Elite")</f>
        <v>Elite</v>
      </c>
      <c r="B322" s="30" t="str">
        <f>IFERROR(__xludf.DUMMYFUNCTION("""COMPUTED_VALUE"""),"RSC001019")</f>
        <v>RSC001019</v>
      </c>
      <c r="C322" s="30" t="str">
        <f>IFERROR(__xludf.DUMMYFUNCTION("""COMPUTED_VALUE"""),"Surge")</f>
        <v>Surge</v>
      </c>
      <c r="D322" s="31"/>
      <c r="E322" s="31">
        <f>IFERROR(__xludf.DUMMYFUNCTION("""COMPUTED_VALUE"""),32.966329555520595)</f>
        <v>32.96632956</v>
      </c>
      <c r="F322" s="31">
        <f>IFERROR(__xludf.DUMMYFUNCTION("""COMPUTED_VALUE"""),-4.035088600762601)</f>
        <v>-4.035088601</v>
      </c>
      <c r="G322" s="31">
        <f>IFERROR(__xludf.DUMMYFUNCTION("""COMPUTED_VALUE"""),29.848105397747666)</f>
        <v>29.8481054</v>
      </c>
      <c r="H322" s="31">
        <f>IFERROR(__xludf.DUMMYFUNCTION("""COMPUTED_VALUE"""),-4.759647856412048)</f>
        <v>-4.759647856</v>
      </c>
      <c r="I322" s="54">
        <f>IFERROR(__xludf.DUMMYFUNCTION("""COMPUTED_VALUE"""),8.0)</f>
        <v>8</v>
      </c>
      <c r="J322" s="55">
        <f>IFERROR(__xludf.DUMMYFUNCTION("""COMPUTED_VALUE"""),4.0)</f>
        <v>4</v>
      </c>
      <c r="K322" s="54">
        <f>IFERROR(__xludf.DUMMYFUNCTION("""COMPUTED_VALUE"""),4.0)</f>
        <v>4</v>
      </c>
      <c r="L322" s="56">
        <f>IFERROR(__xludf.DUMMYFUNCTION("""COMPUTED_VALUE"""),0.5)</f>
        <v>0.5</v>
      </c>
      <c r="M322" s="56">
        <f>IFERROR(__xludf.DUMMYFUNCTION("""COMPUTED_VALUE"""),0.5)</f>
        <v>0.5</v>
      </c>
      <c r="N322" s="31">
        <f>IFERROR(__xludf.DUMMYFUNCTION("""COMPUTED_VALUE"""),287.25)</f>
        <v>287.25</v>
      </c>
      <c r="O322" s="57">
        <f>IFERROR(__xludf.DUMMYFUNCTION("""COMPUTED_VALUE"""),0.625)</f>
        <v>0.625</v>
      </c>
      <c r="P322" s="57">
        <f>IFERROR(__xludf.DUMMYFUNCTION("""COMPUTED_VALUE"""),0.75)</f>
        <v>0.75</v>
      </c>
      <c r="Q322" s="57">
        <f>IFERROR(__xludf.DUMMYFUNCTION("""COMPUTED_VALUE"""),1.125)</f>
        <v>1.125</v>
      </c>
      <c r="R322" s="57">
        <f>IFERROR(__xludf.DUMMYFUNCTION("""COMPUTED_VALUE"""),1.25)</f>
        <v>1.25</v>
      </c>
      <c r="S322" s="31">
        <f>IFERROR(__xludf.DUMMYFUNCTION("""COMPUTED_VALUE"""),352.0)</f>
        <v>352</v>
      </c>
      <c r="T322" s="57">
        <f>IFERROR(__xludf.DUMMYFUNCTION("""COMPUTED_VALUE"""),0.875)</f>
        <v>0.875</v>
      </c>
      <c r="U322" s="57">
        <f>IFERROR(__xludf.DUMMYFUNCTION("""COMPUTED_VALUE"""),0.5833333333333333)</f>
        <v>0.5833333333</v>
      </c>
      <c r="V322" s="57">
        <f>IFERROR(__xludf.DUMMYFUNCTION("""COMPUTED_VALUE"""),1.25)</f>
        <v>1.25</v>
      </c>
      <c r="W322" s="57">
        <f>IFERROR(__xludf.DUMMYFUNCTION("""COMPUTED_VALUE"""),2.583333333333333)</f>
        <v>2.583333333</v>
      </c>
      <c r="X322" s="31">
        <f>IFERROR(__xludf.DUMMYFUNCTION("""COMPUTED_VALUE"""),373.8263395380786)</f>
        <v>373.8263395</v>
      </c>
      <c r="Y322" s="57">
        <f>IFERROR(__xludf.DUMMYFUNCTION("""COMPUTED_VALUE"""),0.8528732137427788)</f>
        <v>0.8528732137</v>
      </c>
      <c r="Z322" s="57">
        <f>IFERROR(__xludf.DUMMYFUNCTION("""COMPUTED_VALUE"""),0.6561702588876501)</f>
        <v>0.6561702589</v>
      </c>
      <c r="AA322" s="57">
        <f>IFERROR(__xludf.DUMMYFUNCTION("""COMPUTED_VALUE"""),1.4425100503361374)</f>
        <v>1.44251005</v>
      </c>
      <c r="AB322" s="57">
        <f>IFERROR(__xludf.DUMMYFUNCTION("""COMPUTED_VALUE"""),2.6986060437147392)</f>
        <v>2.698606044</v>
      </c>
      <c r="AC322" s="31">
        <f>IFERROR(__xludf.DUMMYFUNCTION("""COMPUTED_VALUE"""),375.1708848143268)</f>
        <v>375.1708848</v>
      </c>
      <c r="AD322" s="57">
        <f>IFERROR(__xludf.DUMMYFUNCTION("""COMPUTED_VALUE"""),0.8485162194220167)</f>
        <v>0.8485162194</v>
      </c>
      <c r="AE322" s="57">
        <f>IFERROR(__xludf.DUMMYFUNCTION("""COMPUTED_VALUE"""),0.6443805952501606)</f>
        <v>0.6443805953</v>
      </c>
      <c r="AF322" s="57">
        <f>IFERROR(__xludf.DUMMYFUNCTION("""COMPUTED_VALUE"""),1.445289676775184)</f>
        <v>1.445289677</v>
      </c>
      <c r="AG322" s="57">
        <f>IFERROR(__xludf.DUMMYFUNCTION("""COMPUTED_VALUE"""),2.698936597487323)</f>
        <v>2.698936597</v>
      </c>
      <c r="AH322" s="57">
        <f>IFERROR(__xludf.DUMMYFUNCTION("""COMPUTED_VALUE"""),0.7656510982779511)</f>
        <v>0.7656510983</v>
      </c>
      <c r="AI322" s="57">
        <f>IFERROR(__xludf.DUMMYFUNCTION("""COMPUTED_VALUE"""),0.7365799093690052)</f>
        <v>0.7365799094</v>
      </c>
      <c r="AJ322" s="57">
        <f>IFERROR(__xludf.DUMMYFUNCTION("""COMPUTED_VALUE"""),1.1639084192298434)</f>
        <v>1.163908419</v>
      </c>
      <c r="AK322" s="57">
        <f>IFERROR(__xludf.DUMMYFUNCTION("""COMPUTED_VALUE"""),0.7783906701043951)</f>
        <v>0.7783906701</v>
      </c>
      <c r="AL322" s="57">
        <f>IFERROR(__xludf.DUMMYFUNCTION("""COMPUTED_VALUE"""),0.4631453740572249)</f>
        <v>0.4631453741</v>
      </c>
      <c r="AM322" s="57">
        <f>IFERROR(__xludf.DUMMYFUNCTION("""COMPUTED_VALUE"""),0.9416136926973939)</f>
        <v>0.9416136927</v>
      </c>
      <c r="AN322" s="57">
        <f>IFERROR(__xludf.DUMMYFUNCTION("""COMPUTED_VALUE"""),1.0259438166197286)</f>
        <v>1.025943817</v>
      </c>
      <c r="AO322" s="57">
        <f>IFERROR(__xludf.DUMMYFUNCTION("""COMPUTED_VALUE"""),0.8889969111404239)</f>
        <v>0.8889969111</v>
      </c>
      <c r="AP322" s="35">
        <f>IFERROR(__xludf.DUMMYFUNCTION("""COMPUTED_VALUE"""),0.8665450890333289)</f>
        <v>0.866545089</v>
      </c>
      <c r="AQ322" s="57">
        <f>IFERROR(__xludf.DUMMYFUNCTION("""COMPUTED_VALUE"""),0.9572843503223135)</f>
        <v>0.9572843503</v>
      </c>
      <c r="AR322" s="36" t="b">
        <f>IFERROR(__xludf.DUMMYFUNCTION("""COMPUTED_VALUE"""),TRUE)</f>
        <v>1</v>
      </c>
      <c r="AS322" s="57"/>
      <c r="AT322" s="37"/>
      <c r="AU322" s="30"/>
      <c r="AV322" s="30"/>
      <c r="AW322" s="30"/>
      <c r="AX322" s="30"/>
      <c r="AY322" s="30"/>
      <c r="AZ322" s="30"/>
    </row>
    <row r="323">
      <c r="A323" s="30" t="str">
        <f>IFERROR(__xludf.DUMMYFUNCTION("""COMPUTED_VALUE"""),"Elite")</f>
        <v>Elite</v>
      </c>
      <c r="B323" s="30" t="str">
        <f>IFERROR(__xludf.DUMMYFUNCTION("""COMPUTED_VALUE"""),"RSC005709")</f>
        <v>RSC005709</v>
      </c>
      <c r="C323" s="30" t="str">
        <f>IFERROR(__xludf.DUMMYFUNCTION("""COMPUTED_VALUE"""),"ZavaRL")</f>
        <v>ZavaRL</v>
      </c>
      <c r="D323" s="31" t="str">
        <f>IFERROR(__xludf.DUMMYFUNCTION("""COMPUTED_VALUE"""),"Orochi")</f>
        <v>Orochi</v>
      </c>
      <c r="E323" s="31">
        <f>IFERROR(__xludf.DUMMYFUNCTION("""COMPUTED_VALUE"""),32.79582207471278)</f>
        <v>32.79582207</v>
      </c>
      <c r="F323" s="31">
        <f>IFERROR(__xludf.DUMMYFUNCTION("""COMPUTED_VALUE"""),-4.0704385421726625)</f>
        <v>-4.070438542</v>
      </c>
      <c r="G323" s="31">
        <f>IFERROR(__xludf.DUMMYFUNCTION("""COMPUTED_VALUE"""),40.83911990122361)</f>
        <v>40.8391199</v>
      </c>
      <c r="H323" s="31">
        <f>IFERROR(__xludf.DUMMYFUNCTION("""COMPUTED_VALUE"""),-2.800962139809221)</f>
        <v>-2.80096214</v>
      </c>
      <c r="I323" s="54">
        <f>IFERROR(__xludf.DUMMYFUNCTION("""COMPUTED_VALUE"""),21.0)</f>
        <v>21</v>
      </c>
      <c r="J323" s="55">
        <f>IFERROR(__xludf.DUMMYFUNCTION("""COMPUTED_VALUE"""),10.0)</f>
        <v>10</v>
      </c>
      <c r="K323" s="54">
        <f>IFERROR(__xludf.DUMMYFUNCTION("""COMPUTED_VALUE"""),11.0)</f>
        <v>11</v>
      </c>
      <c r="L323" s="56">
        <f>IFERROR(__xludf.DUMMYFUNCTION("""COMPUTED_VALUE"""),0.47619047619047616)</f>
        <v>0.4761904762</v>
      </c>
      <c r="M323" s="56">
        <f>IFERROR(__xludf.DUMMYFUNCTION("""COMPUTED_VALUE"""),0.14285714285714285)</f>
        <v>0.1428571429</v>
      </c>
      <c r="N323" s="31">
        <f>IFERROR(__xludf.DUMMYFUNCTION("""COMPUTED_VALUE"""),284.85714285714283)</f>
        <v>284.8571429</v>
      </c>
      <c r="O323" s="57">
        <f>IFERROR(__xludf.DUMMYFUNCTION("""COMPUTED_VALUE"""),0.2857142857142857)</f>
        <v>0.2857142857</v>
      </c>
      <c r="P323" s="57">
        <f>IFERROR(__xludf.DUMMYFUNCTION("""COMPUTED_VALUE"""),0.8095238095238095)</f>
        <v>0.8095238095</v>
      </c>
      <c r="Q323" s="57">
        <f>IFERROR(__xludf.DUMMYFUNCTION("""COMPUTED_VALUE"""),1.1428571428571428)</f>
        <v>1.142857143</v>
      </c>
      <c r="R323" s="57">
        <f>IFERROR(__xludf.DUMMYFUNCTION("""COMPUTED_VALUE"""),2.0)</f>
        <v>2</v>
      </c>
      <c r="S323" s="31">
        <f>IFERROR(__xludf.DUMMYFUNCTION("""COMPUTED_VALUE"""),344.9682539682539)</f>
        <v>344.968254</v>
      </c>
      <c r="T323" s="57">
        <f>IFERROR(__xludf.DUMMYFUNCTION("""COMPUTED_VALUE"""),0.6825396825396826)</f>
        <v>0.6825396825</v>
      </c>
      <c r="U323" s="57">
        <f>IFERROR(__xludf.DUMMYFUNCTION("""COMPUTED_VALUE"""),0.4920634920634921)</f>
        <v>0.4920634921</v>
      </c>
      <c r="V323" s="57">
        <f>IFERROR(__xludf.DUMMYFUNCTION("""COMPUTED_VALUE"""),1.3650793650793651)</f>
        <v>1.365079365</v>
      </c>
      <c r="W323" s="57">
        <f>IFERROR(__xludf.DUMMYFUNCTION("""COMPUTED_VALUE"""),2.4444444444444446)</f>
        <v>2.444444444</v>
      </c>
      <c r="X323" s="31">
        <f>IFERROR(__xludf.DUMMYFUNCTION("""COMPUTED_VALUE"""),349.5015246903268)</f>
        <v>349.5015247</v>
      </c>
      <c r="Y323" s="57">
        <f>IFERROR(__xludf.DUMMYFUNCTION("""COMPUTED_VALUE"""),0.7413616395134641)</f>
        <v>0.7413616395</v>
      </c>
      <c r="Z323" s="57">
        <f>IFERROR(__xludf.DUMMYFUNCTION("""COMPUTED_VALUE"""),0.5389506693061239)</f>
        <v>0.5389506693</v>
      </c>
      <c r="AA323" s="57">
        <f>IFERROR(__xludf.DUMMYFUNCTION("""COMPUTED_VALUE"""),1.3352108004216152)</f>
        <v>1.3352108</v>
      </c>
      <c r="AB323" s="57">
        <f>IFERROR(__xludf.DUMMYFUNCTION("""COMPUTED_VALUE"""),2.618612721881299)</f>
        <v>2.618612722</v>
      </c>
      <c r="AC323" s="31">
        <f>IFERROR(__xludf.DUMMYFUNCTION("""COMPUTED_VALUE"""),361.2353061522644)</f>
        <v>361.2353062</v>
      </c>
      <c r="AD323" s="57">
        <f>IFERROR(__xludf.DUMMYFUNCTION("""COMPUTED_VALUE"""),0.7779357972904327)</f>
        <v>0.7779357973</v>
      </c>
      <c r="AE323" s="57">
        <f>IFERROR(__xludf.DUMMYFUNCTION("""COMPUTED_VALUE"""),0.5828857270300203)</f>
        <v>0.582885727</v>
      </c>
      <c r="AF323" s="57">
        <f>IFERROR(__xludf.DUMMYFUNCTION("""COMPUTED_VALUE"""),1.4205396191901205)</f>
        <v>1.420539619</v>
      </c>
      <c r="AG323" s="57">
        <f>IFERROR(__xludf.DUMMYFUNCTION("""COMPUTED_VALUE"""),2.619469379130154)</f>
        <v>2.619469379</v>
      </c>
      <c r="AH323" s="57">
        <f>IFERROR(__xludf.DUMMYFUNCTION("""COMPUTED_VALUE"""),0.7885639581892713)</f>
        <v>0.7885639582</v>
      </c>
      <c r="AI323" s="57">
        <f>IFERROR(__xludf.DUMMYFUNCTION("""COMPUTED_VALUE"""),0.36727232081289324)</f>
        <v>0.3672723208</v>
      </c>
      <c r="AJ323" s="57">
        <f>IFERROR(__xludf.DUMMYFUNCTION("""COMPUTED_VALUE"""),1.3888207790720475)</f>
        <v>1.388820779</v>
      </c>
      <c r="AK323" s="57">
        <f>IFERROR(__xludf.DUMMYFUNCTION("""COMPUTED_VALUE"""),0.8045232441378225)</f>
        <v>0.8045232441</v>
      </c>
      <c r="AL323" s="57">
        <f>IFERROR(__xludf.DUMMYFUNCTION("""COMPUTED_VALUE"""),0.7635134107443314)</f>
        <v>0.7635134107</v>
      </c>
      <c r="AM323" s="57">
        <f>IFERROR(__xludf.DUMMYFUNCTION("""COMPUTED_VALUE"""),0.9870293249046923)</f>
        <v>0.9870293249</v>
      </c>
      <c r="AN323" s="57">
        <f>IFERROR(__xludf.DUMMYFUNCTION("""COMPUTED_VALUE"""),0.92065686456021)</f>
        <v>0.9206568646</v>
      </c>
      <c r="AO323" s="57">
        <f>IFERROR(__xludf.DUMMYFUNCTION("""COMPUTED_VALUE"""),0.9130028406811387)</f>
        <v>0.9130028407</v>
      </c>
      <c r="AP323" s="35">
        <f>IFERROR(__xludf.DUMMYFUNCTION("""COMPUTED_VALUE"""),1.0223699243956972)</f>
        <v>1.022369924</v>
      </c>
      <c r="AQ323" s="57">
        <f>IFERROR(__xludf.DUMMYFUNCTION("""COMPUTED_VALUE"""),0.9334883406081805)</f>
        <v>0.9334883406</v>
      </c>
      <c r="AR323" s="36" t="b">
        <f>IFERROR(__xludf.DUMMYFUNCTION("""COMPUTED_VALUE"""),TRUE)</f>
        <v>1</v>
      </c>
      <c r="AS323" s="57"/>
      <c r="AT323" s="37"/>
      <c r="AU323" s="30"/>
      <c r="AV323" s="30"/>
      <c r="AW323" s="30"/>
      <c r="AX323" s="30"/>
      <c r="AY323" s="30"/>
      <c r="AZ323" s="30"/>
    </row>
    <row r="324">
      <c r="A324" s="30" t="str">
        <f>IFERROR(__xludf.DUMMYFUNCTION("""COMPUTED_VALUE"""),"Elite")</f>
        <v>Elite</v>
      </c>
      <c r="B324" s="30" t="str">
        <f>IFERROR(__xludf.DUMMYFUNCTION("""COMPUTED_VALUE"""),"RSC004734")</f>
        <v>RSC004734</v>
      </c>
      <c r="C324" s="30" t="str">
        <f>IFERROR(__xludf.DUMMYFUNCTION("""COMPUTED_VALUE"""),"siiderij23")</f>
        <v>siiderij23</v>
      </c>
      <c r="D324" s="31"/>
      <c r="E324" s="31">
        <f>IFERROR(__xludf.DUMMYFUNCTION("""COMPUTED_VALUE"""),31.877116320486458)</f>
        <v>31.87711632</v>
      </c>
      <c r="F324" s="31">
        <f>IFERROR(__xludf.DUMMYFUNCTION("""COMPUTED_VALUE"""),-4.268907307729224)</f>
        <v>-4.268907308</v>
      </c>
      <c r="G324" s="31">
        <f>IFERROR(__xludf.DUMMYFUNCTION("""COMPUTED_VALUE"""),30.384834390746327)</f>
        <v>30.38483439</v>
      </c>
      <c r="H324" s="31">
        <f>IFERROR(__xludf.DUMMYFUNCTION("""COMPUTED_VALUE"""),-4.622308354278571)</f>
        <v>-4.622308354</v>
      </c>
      <c r="I324" s="54">
        <f>IFERROR(__xludf.DUMMYFUNCTION("""COMPUTED_VALUE"""),4.0)</f>
        <v>4</v>
      </c>
      <c r="J324" s="55">
        <f>IFERROR(__xludf.DUMMYFUNCTION("""COMPUTED_VALUE"""),1.0)</f>
        <v>1</v>
      </c>
      <c r="K324" s="54">
        <f>IFERROR(__xludf.DUMMYFUNCTION("""COMPUTED_VALUE"""),3.0)</f>
        <v>3</v>
      </c>
      <c r="L324" s="56">
        <f>IFERROR(__xludf.DUMMYFUNCTION("""COMPUTED_VALUE"""),0.25)</f>
        <v>0.25</v>
      </c>
      <c r="M324" s="56">
        <f>IFERROR(__xludf.DUMMYFUNCTION("""COMPUTED_VALUE"""),0.2222222222222222)</f>
        <v>0.2222222222</v>
      </c>
      <c r="N324" s="31">
        <f>IFERROR(__xludf.DUMMYFUNCTION("""COMPUTED_VALUE"""),305.0)</f>
        <v>305</v>
      </c>
      <c r="O324" s="57">
        <f>IFERROR(__xludf.DUMMYFUNCTION("""COMPUTED_VALUE"""),0.5)</f>
        <v>0.5</v>
      </c>
      <c r="P324" s="57">
        <f>IFERROR(__xludf.DUMMYFUNCTION("""COMPUTED_VALUE"""),0.25)</f>
        <v>0.25</v>
      </c>
      <c r="Q324" s="57">
        <f>IFERROR(__xludf.DUMMYFUNCTION("""COMPUTED_VALUE"""),1.75)</f>
        <v>1.75</v>
      </c>
      <c r="R324" s="57">
        <f>IFERROR(__xludf.DUMMYFUNCTION("""COMPUTED_VALUE"""),2.25)</f>
        <v>2.25</v>
      </c>
      <c r="S324" s="31">
        <f>IFERROR(__xludf.DUMMYFUNCTION("""COMPUTED_VALUE"""),308.5833333333333)</f>
        <v>308.5833333</v>
      </c>
      <c r="T324" s="57">
        <f>IFERROR(__xludf.DUMMYFUNCTION("""COMPUTED_VALUE"""),0.75)</f>
        <v>0.75</v>
      </c>
      <c r="U324" s="57">
        <f>IFERROR(__xludf.DUMMYFUNCTION("""COMPUTED_VALUE"""),0.3333333333333333)</f>
        <v>0.3333333333</v>
      </c>
      <c r="V324" s="57">
        <f>IFERROR(__xludf.DUMMYFUNCTION("""COMPUTED_VALUE"""),1.1666666666666665)</f>
        <v>1.166666667</v>
      </c>
      <c r="W324" s="57">
        <f>IFERROR(__xludf.DUMMYFUNCTION("""COMPUTED_VALUE"""),2.666666666666667)</f>
        <v>2.666666667</v>
      </c>
      <c r="X324" s="31">
        <f>IFERROR(__xludf.DUMMYFUNCTION("""COMPUTED_VALUE"""),363.5000626566416)</f>
        <v>363.5000627</v>
      </c>
      <c r="Y324" s="57">
        <f>IFERROR(__xludf.DUMMYFUNCTION("""COMPUTED_VALUE"""),0.7706279587858536)</f>
        <v>0.7706279588</v>
      </c>
      <c r="Z324" s="57">
        <f>IFERROR(__xludf.DUMMYFUNCTION("""COMPUTED_VALUE"""),0.5169869117237539)</f>
        <v>0.5169869117</v>
      </c>
      <c r="AA324" s="57">
        <f>IFERROR(__xludf.DUMMYFUNCTION("""COMPUTED_VALUE"""),1.4929406850459481)</f>
        <v>1.492940685</v>
      </c>
      <c r="AB324" s="57">
        <f>IFERROR(__xludf.DUMMYFUNCTION("""COMPUTED_VALUE"""),2.6998746867167926)</f>
        <v>2.699874687</v>
      </c>
      <c r="AC324" s="31">
        <f>IFERROR(__xludf.DUMMYFUNCTION("""COMPUTED_VALUE"""),348.0274691358025)</f>
        <v>348.0274691</v>
      </c>
      <c r="AD324" s="57">
        <f>IFERROR(__xludf.DUMMYFUNCTION("""COMPUTED_VALUE"""),0.6669126520003712)</f>
        <v>0.666912652</v>
      </c>
      <c r="AE324" s="57">
        <f>IFERROR(__xludf.DUMMYFUNCTION("""COMPUTED_VALUE"""),0.5324143692564745)</f>
        <v>0.5324143693</v>
      </c>
      <c r="AF324" s="57">
        <f>IFERROR(__xludf.DUMMYFUNCTION("""COMPUTED_VALUE"""),1.4515826603545903)</f>
        <v>1.45158266</v>
      </c>
      <c r="AG324" s="57">
        <f>IFERROR(__xludf.DUMMYFUNCTION("""COMPUTED_VALUE"""),2.5435138772858075)</f>
        <v>2.543513877</v>
      </c>
      <c r="AH324" s="57">
        <f>IFERROR(__xludf.DUMMYFUNCTION("""COMPUTED_VALUE"""),0.8763676061471661)</f>
        <v>0.8763676061</v>
      </c>
      <c r="AI324" s="57">
        <f>IFERROR(__xludf.DUMMYFUNCTION("""COMPUTED_VALUE"""),0.7497233685704942)</f>
        <v>0.7497233686</v>
      </c>
      <c r="AJ324" s="57">
        <f>IFERROR(__xludf.DUMMYFUNCTION("""COMPUTED_VALUE"""),0.46955907735760244)</f>
        <v>0.4695590774</v>
      </c>
      <c r="AK324" s="57">
        <f>IFERROR(__xludf.DUMMYFUNCTION("""COMPUTED_VALUE"""),1.205580672596704)</f>
        <v>1.205580673</v>
      </c>
      <c r="AL324" s="57">
        <f>IFERROR(__xludf.DUMMYFUNCTION("""COMPUTED_VALUE"""),0.8846029974882554)</f>
        <v>0.8846029975</v>
      </c>
      <c r="AM324" s="57">
        <f>IFERROR(__xludf.DUMMYFUNCTION("""COMPUTED_VALUE"""),0.8489223662798043)</f>
        <v>0.8489223663</v>
      </c>
      <c r="AN324" s="57">
        <f>IFERROR(__xludf.DUMMYFUNCTION("""COMPUTED_VALUE"""),0.9732322730434625)</f>
        <v>0.973232273</v>
      </c>
      <c r="AO324" s="57">
        <f>IFERROR(__xludf.DUMMYFUNCTION("""COMPUTED_VALUE"""),0.6447616482628601)</f>
        <v>0.6447616483</v>
      </c>
      <c r="AP324" s="35">
        <f>IFERROR(__xludf.DUMMYFUNCTION("""COMPUTED_VALUE"""),0.781455471307462)</f>
        <v>0.7814554713</v>
      </c>
      <c r="AQ324" s="57">
        <f>IFERROR(__xludf.DUMMYFUNCTION("""COMPUTED_VALUE"""),0.9877001624506845)</f>
        <v>0.9877001625</v>
      </c>
      <c r="AR324" s="36" t="b">
        <f>IFERROR(__xludf.DUMMYFUNCTION("""COMPUTED_VALUE"""),TRUE)</f>
        <v>1</v>
      </c>
      <c r="AS324" s="57"/>
      <c r="AT324" s="37"/>
      <c r="AU324" s="30"/>
      <c r="AV324" s="30"/>
      <c r="AW324" s="30"/>
      <c r="AX324" s="30"/>
      <c r="AY324" s="30"/>
      <c r="AZ324" s="30"/>
    </row>
    <row r="325">
      <c r="A325" s="30" t="str">
        <f>IFERROR(__xludf.DUMMYFUNCTION("""COMPUTED_VALUE"""),"Elite")</f>
        <v>Elite</v>
      </c>
      <c r="B325" s="30" t="str">
        <f>IFERROR(__xludf.DUMMYFUNCTION("""COMPUTED_VALUE"""),"RSC005308")</f>
        <v>RSC005308</v>
      </c>
      <c r="C325" s="30" t="str">
        <f>IFERROR(__xludf.DUMMYFUNCTION("""COMPUTED_VALUE"""),"6 lbs of Yeet")</f>
        <v>6 lbs of Yeet</v>
      </c>
      <c r="D325" s="31" t="str">
        <f>IFERROR(__xludf.DUMMYFUNCTION("""COMPUTED_VALUE"""),"Pixel Picassos")</f>
        <v>Pixel Picassos</v>
      </c>
      <c r="E325" s="31">
        <f>IFERROR(__xludf.DUMMYFUNCTION("""COMPUTED_VALUE"""),31.51078371375745)</f>
        <v>31.51078371</v>
      </c>
      <c r="F325" s="31">
        <f>IFERROR(__xludf.DUMMYFUNCTION("""COMPUTED_VALUE"""),-4.35197210525836)</f>
        <v>-4.351972105</v>
      </c>
      <c r="G325" s="31">
        <f>IFERROR(__xludf.DUMMYFUNCTION("""COMPUTED_VALUE"""),25.17212277727325)</f>
        <v>25.17212278</v>
      </c>
      <c r="H325" s="31">
        <f>IFERROR(__xludf.DUMMYFUNCTION("""COMPUTED_VALUE"""),-6.237255114148045)</f>
        <v>-6.237255114</v>
      </c>
      <c r="I325" s="54">
        <f>IFERROR(__xludf.DUMMYFUNCTION("""COMPUTED_VALUE"""),29.0)</f>
        <v>29</v>
      </c>
      <c r="J325" s="55">
        <f>IFERROR(__xludf.DUMMYFUNCTION("""COMPUTED_VALUE"""),8.0)</f>
        <v>8</v>
      </c>
      <c r="K325" s="54">
        <f>IFERROR(__xludf.DUMMYFUNCTION("""COMPUTED_VALUE"""),21.0)</f>
        <v>21</v>
      </c>
      <c r="L325" s="56">
        <f>IFERROR(__xludf.DUMMYFUNCTION("""COMPUTED_VALUE"""),0.27586206896551724)</f>
        <v>0.275862069</v>
      </c>
      <c r="M325" s="56">
        <f>IFERROR(__xludf.DUMMYFUNCTION("""COMPUTED_VALUE"""),0.24590163934426232)</f>
        <v>0.2459016393</v>
      </c>
      <c r="N325" s="31">
        <f>IFERROR(__xludf.DUMMYFUNCTION("""COMPUTED_VALUE"""),328.62068965517244)</f>
        <v>328.6206897</v>
      </c>
      <c r="O325" s="57">
        <f>IFERROR(__xludf.DUMMYFUNCTION("""COMPUTED_VALUE"""),0.5172413793103449)</f>
        <v>0.5172413793</v>
      </c>
      <c r="P325" s="57">
        <f>IFERROR(__xludf.DUMMYFUNCTION("""COMPUTED_VALUE"""),0.4482758620689655)</f>
        <v>0.4482758621</v>
      </c>
      <c r="Q325" s="57">
        <f>IFERROR(__xludf.DUMMYFUNCTION("""COMPUTED_VALUE"""),1.8275862068965518)</f>
        <v>1.827586207</v>
      </c>
      <c r="R325" s="57">
        <f>IFERROR(__xludf.DUMMYFUNCTION("""COMPUTED_VALUE"""),2.103448275862069)</f>
        <v>2.103448276</v>
      </c>
      <c r="S325" s="31">
        <f>IFERROR(__xludf.DUMMYFUNCTION("""COMPUTED_VALUE"""),378.448275862069)</f>
        <v>378.4482759</v>
      </c>
      <c r="T325" s="57">
        <f>IFERROR(__xludf.DUMMYFUNCTION("""COMPUTED_VALUE"""),0.9770114942528738)</f>
        <v>0.9770114943</v>
      </c>
      <c r="U325" s="57">
        <f>IFERROR(__xludf.DUMMYFUNCTION("""COMPUTED_VALUE"""),0.7126436781609194)</f>
        <v>0.7126436782</v>
      </c>
      <c r="V325" s="57">
        <f>IFERROR(__xludf.DUMMYFUNCTION("""COMPUTED_VALUE"""),1.1954022988505746)</f>
        <v>1.195402299</v>
      </c>
      <c r="W325" s="57">
        <f>IFERROR(__xludf.DUMMYFUNCTION("""COMPUTED_VALUE"""),3.172413793103449)</f>
        <v>3.172413793</v>
      </c>
      <c r="X325" s="31">
        <f>IFERROR(__xludf.DUMMYFUNCTION("""COMPUTED_VALUE"""),369.1589634890485)</f>
        <v>369.1589635</v>
      </c>
      <c r="Y325" s="57">
        <f>IFERROR(__xludf.DUMMYFUNCTION("""COMPUTED_VALUE"""),0.8749290385571366)</f>
        <v>0.8749290386</v>
      </c>
      <c r="Z325" s="57">
        <f>IFERROR(__xludf.DUMMYFUNCTION("""COMPUTED_VALUE"""),0.6512214573946721)</f>
        <v>0.6512214574</v>
      </c>
      <c r="AA325" s="57">
        <f>IFERROR(__xludf.DUMMYFUNCTION("""COMPUTED_VALUE"""),1.289248196779421)</f>
        <v>1.289248197</v>
      </c>
      <c r="AB325" s="57">
        <f>IFERROR(__xludf.DUMMYFUNCTION("""COMPUTED_VALUE"""),2.895050039983104)</f>
        <v>2.89505004</v>
      </c>
      <c r="AC325" s="31">
        <f>IFERROR(__xludf.DUMMYFUNCTION("""COMPUTED_VALUE"""),354.05080716841485)</f>
        <v>354.0508072</v>
      </c>
      <c r="AD325" s="57">
        <f>IFERROR(__xludf.DUMMYFUNCTION("""COMPUTED_VALUE"""),0.7002834513800645)</f>
        <v>0.7002834514</v>
      </c>
      <c r="AE325" s="57">
        <f>IFERROR(__xludf.DUMMYFUNCTION("""COMPUTED_VALUE"""),0.5249376447778594)</f>
        <v>0.5249376448</v>
      </c>
      <c r="AF325" s="57">
        <f>IFERROR(__xludf.DUMMYFUNCTION("""COMPUTED_VALUE"""),1.5326347260018225)</f>
        <v>1.532634726</v>
      </c>
      <c r="AG325" s="57">
        <f>IFERROR(__xludf.DUMMYFUNCTION("""COMPUTED_VALUE"""),2.4402487193781504)</f>
        <v>2.440248719</v>
      </c>
      <c r="AH325" s="57">
        <f>IFERROR(__xludf.DUMMYFUNCTION("""COMPUTED_VALUE"""),0.9281738185639955)</f>
        <v>0.9281738186</v>
      </c>
      <c r="AI325" s="57">
        <f>IFERROR(__xludf.DUMMYFUNCTION("""COMPUTED_VALUE"""),0.7386171675069653)</f>
        <v>0.7386171675</v>
      </c>
      <c r="AJ325" s="57">
        <f>IFERROR(__xludf.DUMMYFUNCTION("""COMPUTED_VALUE"""),0.8539602113288421)</f>
        <v>0.8539602113</v>
      </c>
      <c r="AK325" s="57">
        <f>IFERROR(__xludf.DUMMYFUNCTION("""COMPUTED_VALUE"""),1.1924473430562075)</f>
        <v>1.192447343</v>
      </c>
      <c r="AL325" s="57">
        <f>IFERROR(__xludf.DUMMYFUNCTION("""COMPUTED_VALUE"""),0.8619811001880544)</f>
        <v>0.8619811002</v>
      </c>
      <c r="AM325" s="57">
        <f>IFERROR(__xludf.DUMMYFUNCTION("""COMPUTED_VALUE"""),1.0251634479770557)</f>
        <v>1.025163448</v>
      </c>
      <c r="AN325" s="57">
        <f>IFERROR(__xludf.DUMMYFUNCTION("""COMPUTED_VALUE"""),1.116675125864017)</f>
        <v>1.116675126</v>
      </c>
      <c r="AO325" s="57">
        <f>IFERROR(__xludf.DUMMYFUNCTION("""COMPUTED_VALUE"""),1.094318484240335)</f>
        <v>1.094318484</v>
      </c>
      <c r="AP325" s="35">
        <f>IFERROR(__xludf.DUMMYFUNCTION("""COMPUTED_VALUE"""),0.9272088197111494)</f>
        <v>0.9272088197</v>
      </c>
      <c r="AQ325" s="57">
        <f>IFERROR(__xludf.DUMMYFUNCTION("""COMPUTED_VALUE"""),1.0958062034471652)</f>
        <v>1.095806203</v>
      </c>
      <c r="AR325" s="36" t="b">
        <f>IFERROR(__xludf.DUMMYFUNCTION("""COMPUTED_VALUE"""),TRUE)</f>
        <v>1</v>
      </c>
      <c r="AS325" s="57"/>
      <c r="AT325" s="37"/>
      <c r="AU325" s="30"/>
      <c r="AV325" s="30"/>
      <c r="AW325" s="30"/>
      <c r="AX325" s="30"/>
      <c r="AY325" s="30"/>
      <c r="AZ325" s="30"/>
    </row>
    <row r="326">
      <c r="A326" s="30" t="str">
        <f>IFERROR(__xludf.DUMMYFUNCTION("""COMPUTED_VALUE"""),"Elite")</f>
        <v>Elite</v>
      </c>
      <c r="B326" s="30" t="str">
        <f>IFERROR(__xludf.DUMMYFUNCTION("""COMPUTED_VALUE"""),"RSC003815")</f>
        <v>RSC003815</v>
      </c>
      <c r="C326" s="30" t="str">
        <f>IFERROR(__xludf.DUMMYFUNCTION("""COMPUTED_VALUE"""),"WashedDonk")</f>
        <v>WashedDonk</v>
      </c>
      <c r="D326" s="31" t="str">
        <f>IFERROR(__xludf.DUMMYFUNCTION("""COMPUTED_VALUE"""),"Geeky Ghouls")</f>
        <v>Geeky Ghouls</v>
      </c>
      <c r="E326" s="31">
        <f>IFERROR(__xludf.DUMMYFUNCTION("""COMPUTED_VALUE"""),31.433707037774713)</f>
        <v>31.43370704</v>
      </c>
      <c r="F326" s="31">
        <f>IFERROR(__xludf.DUMMYFUNCTION("""COMPUTED_VALUE"""),-4.369745414986228)</f>
        <v>-4.369745415</v>
      </c>
      <c r="G326" s="31">
        <f>IFERROR(__xludf.DUMMYFUNCTION("""COMPUTED_VALUE"""),32.88855499530953)</f>
        <v>32.888555</v>
      </c>
      <c r="H326" s="31">
        <f>IFERROR(__xludf.DUMMYFUNCTION("""COMPUTED_VALUE"""),-4.051156971752266)</f>
        <v>-4.051156972</v>
      </c>
      <c r="I326" s="54">
        <f>IFERROR(__xludf.DUMMYFUNCTION("""COMPUTED_VALUE"""),13.0)</f>
        <v>13</v>
      </c>
      <c r="J326" s="55">
        <f>IFERROR(__xludf.DUMMYFUNCTION("""COMPUTED_VALUE"""),3.0)</f>
        <v>3</v>
      </c>
      <c r="K326" s="54">
        <f>IFERROR(__xludf.DUMMYFUNCTION("""COMPUTED_VALUE"""),10.0)</f>
        <v>10</v>
      </c>
      <c r="L326" s="56">
        <f>IFERROR(__xludf.DUMMYFUNCTION("""COMPUTED_VALUE"""),0.23076923076923078)</f>
        <v>0.2307692308</v>
      </c>
      <c r="M326" s="56">
        <f>IFERROR(__xludf.DUMMYFUNCTION("""COMPUTED_VALUE"""),0.25)</f>
        <v>0.25</v>
      </c>
      <c r="N326" s="31">
        <f>IFERROR(__xludf.DUMMYFUNCTION("""COMPUTED_VALUE"""),343.15384615384613)</f>
        <v>343.1538462</v>
      </c>
      <c r="O326" s="57">
        <f>IFERROR(__xludf.DUMMYFUNCTION("""COMPUTED_VALUE"""),0.6153846153846154)</f>
        <v>0.6153846154</v>
      </c>
      <c r="P326" s="57">
        <f>IFERROR(__xludf.DUMMYFUNCTION("""COMPUTED_VALUE"""),0.3076923076923077)</f>
        <v>0.3076923077</v>
      </c>
      <c r="Q326" s="57">
        <f>IFERROR(__xludf.DUMMYFUNCTION("""COMPUTED_VALUE"""),1.6923076923076923)</f>
        <v>1.692307692</v>
      </c>
      <c r="R326" s="57">
        <f>IFERROR(__xludf.DUMMYFUNCTION("""COMPUTED_VALUE"""),2.4615384615384617)</f>
        <v>2.461538462</v>
      </c>
      <c r="S326" s="31">
        <f>IFERROR(__xludf.DUMMYFUNCTION("""COMPUTED_VALUE"""),395.7435897435897)</f>
        <v>395.7435897</v>
      </c>
      <c r="T326" s="57">
        <f>IFERROR(__xludf.DUMMYFUNCTION("""COMPUTED_VALUE"""),0.9487179487179488)</f>
        <v>0.9487179487</v>
      </c>
      <c r="U326" s="57">
        <f>IFERROR(__xludf.DUMMYFUNCTION("""COMPUTED_VALUE"""),0.641025641025641)</f>
        <v>0.641025641</v>
      </c>
      <c r="V326" s="57">
        <f>IFERROR(__xludf.DUMMYFUNCTION("""COMPUTED_VALUE"""),1.487179487179487)</f>
        <v>1.487179487</v>
      </c>
      <c r="W326" s="57">
        <f>IFERROR(__xludf.DUMMYFUNCTION("""COMPUTED_VALUE"""),2.871794871794872)</f>
        <v>2.871794872</v>
      </c>
      <c r="X326" s="31">
        <f>IFERROR(__xludf.DUMMYFUNCTION("""COMPUTED_VALUE"""),354.3173024598812)</f>
        <v>354.3173025</v>
      </c>
      <c r="Y326" s="57">
        <f>IFERROR(__xludf.DUMMYFUNCTION("""COMPUTED_VALUE"""),0.7447823444856178)</f>
        <v>0.7447823445</v>
      </c>
      <c r="Z326" s="57">
        <f>IFERROR(__xludf.DUMMYFUNCTION("""COMPUTED_VALUE"""),0.6289007594105046)</f>
        <v>0.6289007594</v>
      </c>
      <c r="AA326" s="57">
        <f>IFERROR(__xludf.DUMMYFUNCTION("""COMPUTED_VALUE"""),1.3630620732757164)</f>
        <v>1.363062073</v>
      </c>
      <c r="AB326" s="57">
        <f>IFERROR(__xludf.DUMMYFUNCTION("""COMPUTED_VALUE"""),2.650650288362682)</f>
        <v>2.650650288</v>
      </c>
      <c r="AC326" s="31">
        <f>IFERROR(__xludf.DUMMYFUNCTION("""COMPUTED_VALUE"""),363.83098614159854)</f>
        <v>363.8309861</v>
      </c>
      <c r="AD326" s="57">
        <f>IFERROR(__xludf.DUMMYFUNCTION("""COMPUTED_VALUE"""),0.79423938261811)</f>
        <v>0.7942393826</v>
      </c>
      <c r="AE326" s="57">
        <f>IFERROR(__xludf.DUMMYFUNCTION("""COMPUTED_VALUE"""),0.5900223677335122)</f>
        <v>0.5900223677</v>
      </c>
      <c r="AF326" s="57">
        <f>IFERROR(__xludf.DUMMYFUNCTION("""COMPUTED_VALUE"""),1.4012519259989271)</f>
        <v>1.401251926</v>
      </c>
      <c r="AG326" s="57">
        <f>IFERROR(__xludf.DUMMYFUNCTION("""COMPUTED_VALUE"""),2.666126473908)</f>
        <v>2.666126474</v>
      </c>
      <c r="AH326" s="57">
        <f>IFERROR(__xludf.DUMMYFUNCTION("""COMPUTED_VALUE"""),0.9431682820448253)</f>
        <v>0.943168282</v>
      </c>
      <c r="AI326" s="57">
        <f>IFERROR(__xludf.DUMMYFUNCTION("""COMPUTED_VALUE"""),0.7748099991668477)</f>
        <v>0.7748099992</v>
      </c>
      <c r="AJ326" s="57">
        <f>IFERROR(__xludf.DUMMYFUNCTION("""COMPUTED_VALUE"""),0.5214926153973862)</f>
        <v>0.5214926154</v>
      </c>
      <c r="AK326" s="57">
        <f>IFERROR(__xludf.DUMMYFUNCTION("""COMPUTED_VALUE"""),1.207711233724997)</f>
        <v>1.207711234</v>
      </c>
      <c r="AL326" s="57">
        <f>IFERROR(__xludf.DUMMYFUNCTION("""COMPUTED_VALUE"""),0.923263950764626)</f>
        <v>0.9232639508</v>
      </c>
      <c r="AM326" s="57">
        <f>IFERROR(__xludf.DUMMYFUNCTION("""COMPUTED_VALUE"""),1.1169186122046613)</f>
        <v>1.116918612</v>
      </c>
      <c r="AN326" s="57">
        <f>IFERROR(__xludf.DUMMYFUNCTION("""COMPUTED_VALUE"""),1.2738190637066977)</f>
        <v>1.273819064</v>
      </c>
      <c r="AO326" s="57">
        <f>IFERROR(__xludf.DUMMYFUNCTION("""COMPUTED_VALUE"""),1.019279483183486)</f>
        <v>1.019279483</v>
      </c>
      <c r="AP326" s="35">
        <f>IFERROR(__xludf.DUMMYFUNCTION("""COMPUTED_VALUE"""),1.0910577855089836)</f>
        <v>1.091057786</v>
      </c>
      <c r="AQ326" s="57">
        <f>IFERROR(__xludf.DUMMYFUNCTION("""COMPUTED_VALUE"""),1.0834303130832064)</f>
        <v>1.083430313</v>
      </c>
      <c r="AR326" s="36" t="b">
        <f>IFERROR(__xludf.DUMMYFUNCTION("""COMPUTED_VALUE"""),TRUE)</f>
        <v>1</v>
      </c>
      <c r="AS326" s="57"/>
      <c r="AT326" s="37"/>
      <c r="AU326" s="30"/>
      <c r="AV326" s="30"/>
      <c r="AW326" s="30"/>
      <c r="AX326" s="30"/>
      <c r="AY326" s="30"/>
      <c r="AZ326" s="30"/>
    </row>
    <row r="327">
      <c r="A327" s="30" t="str">
        <f>IFERROR(__xludf.DUMMYFUNCTION("""COMPUTED_VALUE"""),"Elite")</f>
        <v>Elite</v>
      </c>
      <c r="B327" s="30" t="str">
        <f>IFERROR(__xludf.DUMMYFUNCTION("""COMPUTED_VALUE"""),"RSC004214")</f>
        <v>RSC004214</v>
      </c>
      <c r="C327" s="30" t="str">
        <f>IFERROR(__xludf.DUMMYFUNCTION("""COMPUTED_VALUE"""),"Miserable")</f>
        <v>Miserable</v>
      </c>
      <c r="D327" s="31" t="str">
        <f>IFERROR(__xludf.DUMMYFUNCTION("""COMPUTED_VALUE"""),"Summoned")</f>
        <v>Summoned</v>
      </c>
      <c r="E327" s="31">
        <f>IFERROR(__xludf.DUMMYFUNCTION("""COMPUTED_VALUE"""),30.869801049858754)</f>
        <v>30.86980105</v>
      </c>
      <c r="F327" s="31">
        <f>IFERROR(__xludf.DUMMYFUNCTION("""COMPUTED_VALUE"""),-4.503006325193368)</f>
        <v>-4.503006325</v>
      </c>
      <c r="G327" s="31">
        <f>IFERROR(__xludf.DUMMYFUNCTION("""COMPUTED_VALUE"""),28.79030329639185)</f>
        <v>28.7903033</v>
      </c>
      <c r="H327" s="31">
        <f>IFERROR(__xludf.DUMMYFUNCTION("""COMPUTED_VALUE"""),-5.0476753336424665)</f>
        <v>-5.047675334</v>
      </c>
      <c r="I327" s="54">
        <f>IFERROR(__xludf.DUMMYFUNCTION("""COMPUTED_VALUE"""),30.0)</f>
        <v>30</v>
      </c>
      <c r="J327" s="55">
        <f>IFERROR(__xludf.DUMMYFUNCTION("""COMPUTED_VALUE"""),6.0)</f>
        <v>6</v>
      </c>
      <c r="K327" s="54">
        <f>IFERROR(__xludf.DUMMYFUNCTION("""COMPUTED_VALUE"""),24.0)</f>
        <v>24</v>
      </c>
      <c r="L327" s="56">
        <f>IFERROR(__xludf.DUMMYFUNCTION("""COMPUTED_VALUE"""),0.2)</f>
        <v>0.2</v>
      </c>
      <c r="M327" s="56">
        <f>IFERROR(__xludf.DUMMYFUNCTION("""COMPUTED_VALUE"""),0.2727272727272727)</f>
        <v>0.2727272727</v>
      </c>
      <c r="N327" s="31">
        <f>IFERROR(__xludf.DUMMYFUNCTION("""COMPUTED_VALUE"""),365.0)</f>
        <v>365</v>
      </c>
      <c r="O327" s="57">
        <f>IFERROR(__xludf.DUMMYFUNCTION("""COMPUTED_VALUE"""),0.5769230769230769)</f>
        <v>0.5769230769</v>
      </c>
      <c r="P327" s="57">
        <f>IFERROR(__xludf.DUMMYFUNCTION("""COMPUTED_VALUE"""),0.4230769230769231)</f>
        <v>0.4230769231</v>
      </c>
      <c r="Q327" s="57">
        <f>IFERROR(__xludf.DUMMYFUNCTION("""COMPUTED_VALUE"""),2.230769230769231)</f>
        <v>2.230769231</v>
      </c>
      <c r="R327" s="57">
        <f>IFERROR(__xludf.DUMMYFUNCTION("""COMPUTED_VALUE"""),2.1153846153846154)</f>
        <v>2.115384615</v>
      </c>
      <c r="S327" s="31">
        <f>IFERROR(__xludf.DUMMYFUNCTION("""COMPUTED_VALUE"""),409.6923076923077)</f>
        <v>409.6923077</v>
      </c>
      <c r="T327" s="57">
        <f>IFERROR(__xludf.DUMMYFUNCTION("""COMPUTED_VALUE"""),1.141025641025641)</f>
        <v>1.141025641</v>
      </c>
      <c r="U327" s="57">
        <f>IFERROR(__xludf.DUMMYFUNCTION("""COMPUTED_VALUE"""),0.8333333333333335)</f>
        <v>0.8333333333</v>
      </c>
      <c r="V327" s="57">
        <f>IFERROR(__xludf.DUMMYFUNCTION("""COMPUTED_VALUE"""),1.205128205128205)</f>
        <v>1.205128205</v>
      </c>
      <c r="W327" s="57">
        <f>IFERROR(__xludf.DUMMYFUNCTION("""COMPUTED_VALUE"""),3.4615384615384617)</f>
        <v>3.461538462</v>
      </c>
      <c r="X327" s="31">
        <f>IFERROR(__xludf.DUMMYFUNCTION("""COMPUTED_VALUE"""),381.331315017015)</f>
        <v>381.331315</v>
      </c>
      <c r="Y327" s="57">
        <f>IFERROR(__xludf.DUMMYFUNCTION("""COMPUTED_VALUE"""),0.904161871343368)</f>
        <v>0.9041618713</v>
      </c>
      <c r="Z327" s="57">
        <f>IFERROR(__xludf.DUMMYFUNCTION("""COMPUTED_VALUE"""),0.6647074454127034)</f>
        <v>0.6647074454</v>
      </c>
      <c r="AA327" s="57">
        <f>IFERROR(__xludf.DUMMYFUNCTION("""COMPUTED_VALUE"""),1.3743078425459623)</f>
        <v>1.374307843</v>
      </c>
      <c r="AB327" s="57">
        <f>IFERROR(__xludf.DUMMYFUNCTION("""COMPUTED_VALUE"""),2.925406082473827)</f>
        <v>2.925406082</v>
      </c>
      <c r="AC327" s="31">
        <f>IFERROR(__xludf.DUMMYFUNCTION("""COMPUTED_VALUE"""),355.5900839903107)</f>
        <v>355.590084</v>
      </c>
      <c r="AD327" s="57">
        <f>IFERROR(__xludf.DUMMYFUNCTION("""COMPUTED_VALUE"""),0.7188310612754493)</f>
        <v>0.7188310613</v>
      </c>
      <c r="AE327" s="57">
        <f>IFERROR(__xludf.DUMMYFUNCTION("""COMPUTED_VALUE"""),0.5327027262601917)</f>
        <v>0.5327027263</v>
      </c>
      <c r="AF327" s="57">
        <f>IFERROR(__xludf.DUMMYFUNCTION("""COMPUTED_VALUE"""),1.510337232898742)</f>
        <v>1.510337233</v>
      </c>
      <c r="AG327" s="57">
        <f>IFERROR(__xludf.DUMMYFUNCTION("""COMPUTED_VALUE"""),2.5182527804696666)</f>
        <v>2.51825278</v>
      </c>
      <c r="AH327" s="57">
        <f>IFERROR(__xludf.DUMMYFUNCTION("""COMPUTED_VALUE"""),1.0264628189405465)</f>
        <v>1.026462819</v>
      </c>
      <c r="AI327" s="57">
        <f>IFERROR(__xludf.DUMMYFUNCTION("""COMPUTED_VALUE"""),0.8025850690138797)</f>
        <v>0.802585069</v>
      </c>
      <c r="AJ327" s="57">
        <f>IFERROR(__xludf.DUMMYFUNCTION("""COMPUTED_VALUE"""),0.7942082933329624)</f>
        <v>0.7942082933</v>
      </c>
      <c r="AK327" s="57">
        <f>IFERROR(__xludf.DUMMYFUNCTION("""COMPUTED_VALUE"""),1.4770007533269816)</f>
        <v>1.477000753</v>
      </c>
      <c r="AL327" s="57">
        <f>IFERROR(__xludf.DUMMYFUNCTION("""COMPUTED_VALUE"""),0.8400207603424489)</f>
        <v>0.8400207603</v>
      </c>
      <c r="AM327" s="57">
        <f>IFERROR(__xludf.DUMMYFUNCTION("""COMPUTED_VALUE"""),1.0743736261839056)</f>
        <v>1.074373626</v>
      </c>
      <c r="AN327" s="57">
        <f>IFERROR(__xludf.DUMMYFUNCTION("""COMPUTED_VALUE"""),1.261970535574952)</f>
        <v>1.261970536</v>
      </c>
      <c r="AO327" s="57">
        <f>IFERROR(__xludf.DUMMYFUNCTION("""COMPUTED_VALUE"""),1.2536843675881104)</f>
        <v>1.253684368</v>
      </c>
      <c r="AP327" s="35">
        <f>IFERROR(__xludf.DUMMYFUNCTION("""COMPUTED_VALUE"""),0.876898295869181)</f>
        <v>0.8768982959</v>
      </c>
      <c r="AQ327" s="57">
        <f>IFERROR(__xludf.DUMMYFUNCTION("""COMPUTED_VALUE"""),1.183267677700069)</f>
        <v>1.183267678</v>
      </c>
      <c r="AR327" s="36" t="b">
        <f>IFERROR(__xludf.DUMMYFUNCTION("""COMPUTED_VALUE"""),TRUE)</f>
        <v>1</v>
      </c>
      <c r="AS327" s="57"/>
      <c r="AT327" s="37"/>
      <c r="AU327" s="30"/>
      <c r="AV327" s="30"/>
      <c r="AW327" s="30"/>
      <c r="AX327" s="30"/>
      <c r="AY327" s="30"/>
      <c r="AZ327" s="30"/>
    </row>
    <row r="328">
      <c r="A328" s="30" t="str">
        <f>IFERROR(__xludf.DUMMYFUNCTION("""COMPUTED_VALUE"""),"Elite")</f>
        <v>Elite</v>
      </c>
      <c r="B328" s="30" t="str">
        <f>IFERROR(__xludf.DUMMYFUNCTION("""COMPUTED_VALUE"""),"RSC000030")</f>
        <v>RSC000030</v>
      </c>
      <c r="C328" s="30" t="str">
        <f>IFERROR(__xludf.DUMMYFUNCTION("""COMPUTED_VALUE"""),"ADeadM0053")</f>
        <v>ADeadM0053</v>
      </c>
      <c r="D328" s="31" t="str">
        <f>IFERROR(__xludf.DUMMYFUNCTION("""COMPUTED_VALUE"""),"Drive Bye")</f>
        <v>Drive Bye</v>
      </c>
      <c r="E328" s="31">
        <f>IFERROR(__xludf.DUMMYFUNCTION("""COMPUTED_VALUE"""),29.137519349670544)</f>
        <v>29.13751935</v>
      </c>
      <c r="F328" s="31">
        <f>IFERROR(__xludf.DUMMYFUNCTION("""COMPUTED_VALUE"""),-4.950498439788512)</f>
        <v>-4.95049844</v>
      </c>
      <c r="G328" s="31">
        <f>IFERROR(__xludf.DUMMYFUNCTION("""COMPUTED_VALUE"""),28.620184414203983)</f>
        <v>28.62018441</v>
      </c>
      <c r="H328" s="31">
        <f>IFERROR(__xludf.DUMMYFUNCTION("""COMPUTED_VALUE"""),-5.096261769411008)</f>
        <v>-5.096261769</v>
      </c>
      <c r="I328" s="54">
        <f>IFERROR(__xludf.DUMMYFUNCTION("""COMPUTED_VALUE"""),47.0)</f>
        <v>47</v>
      </c>
      <c r="J328" s="55">
        <f>IFERROR(__xludf.DUMMYFUNCTION("""COMPUTED_VALUE"""),14.0)</f>
        <v>14</v>
      </c>
      <c r="K328" s="54">
        <f>IFERROR(__xludf.DUMMYFUNCTION("""COMPUTED_VALUE"""),33.0)</f>
        <v>33</v>
      </c>
      <c r="L328" s="56">
        <f>IFERROR(__xludf.DUMMYFUNCTION("""COMPUTED_VALUE"""),0.2978723404255319)</f>
        <v>0.2978723404</v>
      </c>
      <c r="M328" s="56">
        <f>IFERROR(__xludf.DUMMYFUNCTION("""COMPUTED_VALUE"""),0.2571428571428572)</f>
        <v>0.2571428571</v>
      </c>
      <c r="N328" s="31">
        <f>IFERROR(__xludf.DUMMYFUNCTION("""COMPUTED_VALUE"""),319.02127659574467)</f>
        <v>319.0212766</v>
      </c>
      <c r="O328" s="57">
        <f>IFERROR(__xludf.DUMMYFUNCTION("""COMPUTED_VALUE"""),0.574468085106383)</f>
        <v>0.5744680851</v>
      </c>
      <c r="P328" s="57">
        <f>IFERROR(__xludf.DUMMYFUNCTION("""COMPUTED_VALUE"""),0.40425531914893614)</f>
        <v>0.4042553191</v>
      </c>
      <c r="Q328" s="57">
        <f>IFERROR(__xludf.DUMMYFUNCTION("""COMPUTED_VALUE"""),1.5106382978723405)</f>
        <v>1.510638298</v>
      </c>
      <c r="R328" s="57">
        <f>IFERROR(__xludf.DUMMYFUNCTION("""COMPUTED_VALUE"""),2.234042553191489)</f>
        <v>2.234042553</v>
      </c>
      <c r="S328" s="31">
        <f>IFERROR(__xludf.DUMMYFUNCTION("""COMPUTED_VALUE"""),396.68794326241147)</f>
        <v>396.6879433</v>
      </c>
      <c r="T328" s="57">
        <f>IFERROR(__xludf.DUMMYFUNCTION("""COMPUTED_VALUE"""),0.9858156028368795)</f>
        <v>0.9858156028</v>
      </c>
      <c r="U328" s="57">
        <f>IFERROR(__xludf.DUMMYFUNCTION("""COMPUTED_VALUE"""),0.7943262411347517)</f>
        <v>0.7943262411</v>
      </c>
      <c r="V328" s="57">
        <f>IFERROR(__xludf.DUMMYFUNCTION("""COMPUTED_VALUE"""),1.304964539007092)</f>
        <v>1.304964539</v>
      </c>
      <c r="W328" s="57">
        <f>IFERROR(__xludf.DUMMYFUNCTION("""COMPUTED_VALUE"""),3.134751773049645)</f>
        <v>3.134751773</v>
      </c>
      <c r="X328" s="31">
        <f>IFERROR(__xludf.DUMMYFUNCTION("""COMPUTED_VALUE"""),368.536969587516)</f>
        <v>368.5369696</v>
      </c>
      <c r="Y328" s="57">
        <f>IFERROR(__xludf.DUMMYFUNCTION("""COMPUTED_VALUE"""),0.8125829808362184)</f>
        <v>0.8125829808</v>
      </c>
      <c r="Z328" s="57">
        <f>IFERROR(__xludf.DUMMYFUNCTION("""COMPUTED_VALUE"""),0.6279387765783464)</f>
        <v>0.6279387766</v>
      </c>
      <c r="AA328" s="57">
        <f>IFERROR(__xludf.DUMMYFUNCTION("""COMPUTED_VALUE"""),1.407330902633555)</f>
        <v>1.407330903</v>
      </c>
      <c r="AB328" s="57">
        <f>IFERROR(__xludf.DUMMYFUNCTION("""COMPUTED_VALUE"""),2.7517332696665466)</f>
        <v>2.75173327</v>
      </c>
      <c r="AC328" s="31">
        <f>IFERROR(__xludf.DUMMYFUNCTION("""COMPUTED_VALUE"""),351.7324616191765)</f>
        <v>351.7324616</v>
      </c>
      <c r="AD328" s="57">
        <f>IFERROR(__xludf.DUMMYFUNCTION("""COMPUTED_VALUE"""),0.7238824913044816)</f>
        <v>0.7238824913</v>
      </c>
      <c r="AE328" s="57">
        <f>IFERROR(__xludf.DUMMYFUNCTION("""COMPUTED_VALUE"""),0.5380050674224381)</f>
        <v>0.5380050674</v>
      </c>
      <c r="AF328" s="57">
        <f>IFERROR(__xludf.DUMMYFUNCTION("""COMPUTED_VALUE"""),1.4478945328189332)</f>
        <v>1.447894533</v>
      </c>
      <c r="AG328" s="57">
        <f>IFERROR(__xludf.DUMMYFUNCTION("""COMPUTED_VALUE"""),2.532727871189295)</f>
        <v>2.532727871</v>
      </c>
      <c r="AH328" s="57">
        <f>IFERROR(__xludf.DUMMYFUNCTION("""COMPUTED_VALUE"""),0.9069998120934073)</f>
        <v>0.9069998121</v>
      </c>
      <c r="AI328" s="57">
        <f>IFERROR(__xludf.DUMMYFUNCTION("""COMPUTED_VALUE"""),0.7935930099250716)</f>
        <v>0.7935930099</v>
      </c>
      <c r="AJ328" s="57">
        <f>IFERROR(__xludf.DUMMYFUNCTION("""COMPUTED_VALUE"""),0.7513968615308924)</f>
        <v>0.7513968615</v>
      </c>
      <c r="AK328" s="57">
        <f>IFERROR(__xludf.DUMMYFUNCTION("""COMPUTED_VALUE"""),1.0433344857869242)</f>
        <v>1.043334486</v>
      </c>
      <c r="AL328" s="57">
        <f>IFERROR(__xludf.DUMMYFUNCTION("""COMPUTED_VALUE"""),0.882069715662918)</f>
        <v>0.8820697157</v>
      </c>
      <c r="AM328" s="57">
        <f>IFERROR(__xludf.DUMMYFUNCTION("""COMPUTED_VALUE"""),1.07638575230703)</f>
        <v>1.076385752</v>
      </c>
      <c r="AN328" s="57">
        <f>IFERROR(__xludf.DUMMYFUNCTION("""COMPUTED_VALUE"""),1.2131876080180632)</f>
        <v>1.213187608</v>
      </c>
      <c r="AO328" s="57">
        <f>IFERROR(__xludf.DUMMYFUNCTION("""COMPUTED_VALUE"""),1.2649740241605314)</f>
        <v>1.264974024</v>
      </c>
      <c r="AP328" s="35">
        <f>IFERROR(__xludf.DUMMYFUNCTION("""COMPUTED_VALUE"""),0.9272620508546331)</f>
        <v>0.9272620509</v>
      </c>
      <c r="AQ328" s="57">
        <f>IFERROR(__xludf.DUMMYFUNCTION("""COMPUTED_VALUE"""),1.1391917260314668)</f>
        <v>1.139191726</v>
      </c>
      <c r="AR328" s="36" t="b">
        <f>IFERROR(__xludf.DUMMYFUNCTION("""COMPUTED_VALUE"""),TRUE)</f>
        <v>1</v>
      </c>
      <c r="AS328" s="57"/>
      <c r="AT328" s="37"/>
      <c r="AU328" s="30"/>
      <c r="AV328" s="30"/>
      <c r="AW328" s="30"/>
      <c r="AX328" s="30"/>
      <c r="AY328" s="30"/>
      <c r="AZ328" s="30"/>
    </row>
    <row r="329">
      <c r="A329" s="30" t="str">
        <f>IFERROR(__xludf.DUMMYFUNCTION("""COMPUTED_VALUE"""),"Elite")</f>
        <v>Elite</v>
      </c>
      <c r="B329" s="30" t="str">
        <f>IFERROR(__xludf.DUMMYFUNCTION("""COMPUTED_VALUE"""),"RSC003709")</f>
        <v>RSC003709</v>
      </c>
      <c r="C329" s="30" t="str">
        <f>IFERROR(__xludf.DUMMYFUNCTION("""COMPUTED_VALUE"""),"donald.")</f>
        <v>donald.</v>
      </c>
      <c r="D329" s="31"/>
      <c r="E329" s="31">
        <f>IFERROR(__xludf.DUMMYFUNCTION("""COMPUTED_VALUE"""),28.76922621369419)</f>
        <v>28.76922621</v>
      </c>
      <c r="F329" s="31">
        <f>IFERROR(__xludf.DUMMYFUNCTION("""COMPUTED_VALUE"""),-5.053659839412672)</f>
        <v>-5.053659839</v>
      </c>
      <c r="G329" s="31">
        <f>IFERROR(__xludf.DUMMYFUNCTION("""COMPUTED_VALUE"""),36.61192678024747)</f>
        <v>36.61192678</v>
      </c>
      <c r="H329" s="31">
        <f>IFERROR(__xludf.DUMMYFUNCTION("""COMPUTED_VALUE"""),-3.3767338926604893)</f>
        <v>-3.376733893</v>
      </c>
      <c r="I329" s="54">
        <f>IFERROR(__xludf.DUMMYFUNCTION("""COMPUTED_VALUE"""),37.0)</f>
        <v>37</v>
      </c>
      <c r="J329" s="55">
        <f>IFERROR(__xludf.DUMMYFUNCTION("""COMPUTED_VALUE"""),13.0)</f>
        <v>13</v>
      </c>
      <c r="K329" s="54">
        <f>IFERROR(__xludf.DUMMYFUNCTION("""COMPUTED_VALUE"""),24.0)</f>
        <v>24</v>
      </c>
      <c r="L329" s="56">
        <f>IFERROR(__xludf.DUMMYFUNCTION("""COMPUTED_VALUE"""),0.35135135135135137)</f>
        <v>0.3513513514</v>
      </c>
      <c r="M329" s="56">
        <f>IFERROR(__xludf.DUMMYFUNCTION("""COMPUTED_VALUE"""),0.2898550724637681)</f>
        <v>0.2898550725</v>
      </c>
      <c r="N329" s="31">
        <f>IFERROR(__xludf.DUMMYFUNCTION("""COMPUTED_VALUE"""),341.7567567567568)</f>
        <v>341.7567568</v>
      </c>
      <c r="O329" s="57">
        <f>IFERROR(__xludf.DUMMYFUNCTION("""COMPUTED_VALUE"""),0.5405405405405406)</f>
        <v>0.5405405405</v>
      </c>
      <c r="P329" s="57">
        <f>IFERROR(__xludf.DUMMYFUNCTION("""COMPUTED_VALUE"""),0.4594594594594595)</f>
        <v>0.4594594595</v>
      </c>
      <c r="Q329" s="57">
        <f>IFERROR(__xludf.DUMMYFUNCTION("""COMPUTED_VALUE"""),1.7837837837837838)</f>
        <v>1.783783784</v>
      </c>
      <c r="R329" s="57">
        <f>IFERROR(__xludf.DUMMYFUNCTION("""COMPUTED_VALUE"""),1.864864864864865)</f>
        <v>1.864864865</v>
      </c>
      <c r="S329" s="31">
        <f>IFERROR(__xludf.DUMMYFUNCTION("""COMPUTED_VALUE"""),356.82882882882876)</f>
        <v>356.8288288</v>
      </c>
      <c r="T329" s="57">
        <f>IFERROR(__xludf.DUMMYFUNCTION("""COMPUTED_VALUE"""),0.8828828828828829)</f>
        <v>0.8828828829</v>
      </c>
      <c r="U329" s="57">
        <f>IFERROR(__xludf.DUMMYFUNCTION("""COMPUTED_VALUE"""),0.6486486486486487)</f>
        <v>0.6486486486</v>
      </c>
      <c r="V329" s="57">
        <f>IFERROR(__xludf.DUMMYFUNCTION("""COMPUTED_VALUE"""),0.9549549549549549)</f>
        <v>0.954954955</v>
      </c>
      <c r="W329" s="57">
        <f>IFERROR(__xludf.DUMMYFUNCTION("""COMPUTED_VALUE"""),3.1981981981981984)</f>
        <v>3.198198198</v>
      </c>
      <c r="X329" s="31">
        <f>IFERROR(__xludf.DUMMYFUNCTION("""COMPUTED_VALUE"""),362.51552934989246)</f>
        <v>362.5155293</v>
      </c>
      <c r="Y329" s="57">
        <f>IFERROR(__xludf.DUMMYFUNCTION("""COMPUTED_VALUE"""),0.8063765466896331)</f>
        <v>0.8063765467</v>
      </c>
      <c r="Z329" s="57">
        <f>IFERROR(__xludf.DUMMYFUNCTION("""COMPUTED_VALUE"""),0.6178277225151819)</f>
        <v>0.6178277225</v>
      </c>
      <c r="AA329" s="57">
        <f>IFERROR(__xludf.DUMMYFUNCTION("""COMPUTED_VALUE"""),1.3550964588361283)</f>
        <v>1.355096459</v>
      </c>
      <c r="AB329" s="57">
        <f>IFERROR(__xludf.DUMMYFUNCTION("""COMPUTED_VALUE"""),2.804878875237816)</f>
        <v>2.804878875</v>
      </c>
      <c r="AC329" s="31">
        <f>IFERROR(__xludf.DUMMYFUNCTION("""COMPUTED_VALUE"""),363.85139538242913)</f>
        <v>363.8513954</v>
      </c>
      <c r="AD329" s="57">
        <f>IFERROR(__xludf.DUMMYFUNCTION("""COMPUTED_VALUE"""),0.7819137506447624)</f>
        <v>0.7819137506</v>
      </c>
      <c r="AE329" s="57">
        <f>IFERROR(__xludf.DUMMYFUNCTION("""COMPUTED_VALUE"""),0.5752833782968267)</f>
        <v>0.5752833783</v>
      </c>
      <c r="AF329" s="57">
        <f>IFERROR(__xludf.DUMMYFUNCTION("""COMPUTED_VALUE"""),1.4931764426596559)</f>
        <v>1.493176443</v>
      </c>
      <c r="AG329" s="57">
        <f>IFERROR(__xludf.DUMMYFUNCTION("""COMPUTED_VALUE"""),2.537324818791204)</f>
        <v>2.537324819</v>
      </c>
      <c r="AH329" s="57">
        <f>IFERROR(__xludf.DUMMYFUNCTION("""COMPUTED_VALUE"""),0.9392756523512859)</f>
        <v>0.9392756524</v>
      </c>
      <c r="AI329" s="57">
        <f>IFERROR(__xludf.DUMMYFUNCTION("""COMPUTED_VALUE"""),0.6913045589680619)</f>
        <v>0.691304559</v>
      </c>
      <c r="AJ329" s="57">
        <f>IFERROR(__xludf.DUMMYFUNCTION("""COMPUTED_VALUE"""),0.7986663213175507)</f>
        <v>0.7986663213</v>
      </c>
      <c r="AK329" s="57">
        <f>IFERROR(__xludf.DUMMYFUNCTION("""COMPUTED_VALUE"""),1.1946235775100338)</f>
        <v>1.194623578</v>
      </c>
      <c r="AL329" s="57">
        <f>IFERROR(__xludf.DUMMYFUNCTION("""COMPUTED_VALUE"""),0.7349728545016546)</f>
        <v>0.7349728545</v>
      </c>
      <c r="AM329" s="57">
        <f>IFERROR(__xludf.DUMMYFUNCTION("""COMPUTED_VALUE"""),0.9843132223017816)</f>
        <v>0.9843132223</v>
      </c>
      <c r="AN329" s="57">
        <f>IFERROR(__xludf.DUMMYFUNCTION("""COMPUTED_VALUE"""),1.094876688201469)</f>
        <v>1.094876688</v>
      </c>
      <c r="AO329" s="57">
        <f>IFERROR(__xludf.DUMMYFUNCTION("""COMPUTED_VALUE"""),1.0498859552756787)</f>
        <v>1.049885955</v>
      </c>
      <c r="AP329" s="35">
        <f>IFERROR(__xludf.DUMMYFUNCTION("""COMPUTED_VALUE"""),0.7047136377104484)</f>
        <v>0.7047136377</v>
      </c>
      <c r="AQ329" s="57">
        <f>IFERROR(__xludf.DUMMYFUNCTION("""COMPUTED_VALUE"""),1.1402268477375994)</f>
        <v>1.140226848</v>
      </c>
      <c r="AR329" s="36" t="b">
        <f>IFERROR(__xludf.DUMMYFUNCTION("""COMPUTED_VALUE"""),TRUE)</f>
        <v>1</v>
      </c>
      <c r="AS329" s="57"/>
      <c r="AT329" s="37"/>
      <c r="AU329" s="30"/>
      <c r="AV329" s="30"/>
      <c r="AW329" s="30"/>
      <c r="AX329" s="30"/>
      <c r="AY329" s="30"/>
      <c r="AZ329" s="30"/>
    </row>
    <row r="330">
      <c r="A330" s="30" t="str">
        <f>IFERROR(__xludf.DUMMYFUNCTION("""COMPUTED_VALUE"""),"Elite")</f>
        <v>Elite</v>
      </c>
      <c r="B330" s="30" t="str">
        <f>IFERROR(__xludf.DUMMYFUNCTION("""COMPUTED_VALUE"""),"RSC007629")</f>
        <v>RSC007629</v>
      </c>
      <c r="C330" s="30" t="str">
        <f>IFERROR(__xludf.DUMMYFUNCTION("""COMPUTED_VALUE"""),"Mochi")</f>
        <v>Mochi</v>
      </c>
      <c r="D330" s="31" t="str">
        <f>IFERROR(__xludf.DUMMYFUNCTION("""COMPUTED_VALUE"""),"Desolation")</f>
        <v>Desolation</v>
      </c>
      <c r="E330" s="31">
        <f>IFERROR(__xludf.DUMMYFUNCTION("""COMPUTED_VALUE"""),28.277783245267372)</f>
        <v>28.27778325</v>
      </c>
      <c r="F330" s="31">
        <f>IFERROR(__xludf.DUMMYFUNCTION("""COMPUTED_VALUE"""),-5.1960464811764595)</f>
        <v>-5.196046481</v>
      </c>
      <c r="G330" s="31">
        <f>IFERROR(__xludf.DUMMYFUNCTION("""COMPUTED_VALUE"""),26.43832996202255)</f>
        <v>26.43832996</v>
      </c>
      <c r="H330" s="31">
        <f>IFERROR(__xludf.DUMMYFUNCTION("""COMPUTED_VALUE"""),-5.78112041685516)</f>
        <v>-5.781120417</v>
      </c>
      <c r="I330" s="54">
        <f>IFERROR(__xludf.DUMMYFUNCTION("""COMPUTED_VALUE"""),8.0)</f>
        <v>8</v>
      </c>
      <c r="J330" s="55">
        <f>IFERROR(__xludf.DUMMYFUNCTION("""COMPUTED_VALUE"""),5.0)</f>
        <v>5</v>
      </c>
      <c r="K330" s="54">
        <f>IFERROR(__xludf.DUMMYFUNCTION("""COMPUTED_VALUE"""),3.0)</f>
        <v>3</v>
      </c>
      <c r="L330" s="56">
        <f>IFERROR(__xludf.DUMMYFUNCTION("""COMPUTED_VALUE"""),0.625)</f>
        <v>0.625</v>
      </c>
      <c r="M330" s="56">
        <f>IFERROR(__xludf.DUMMYFUNCTION("""COMPUTED_VALUE"""),0.23076923076923078)</f>
        <v>0.2307692308</v>
      </c>
      <c r="N330" s="31">
        <f>IFERROR(__xludf.DUMMYFUNCTION("""COMPUTED_VALUE"""),268.75)</f>
        <v>268.75</v>
      </c>
      <c r="O330" s="57">
        <f>IFERROR(__xludf.DUMMYFUNCTION("""COMPUTED_VALUE"""),0.375)</f>
        <v>0.375</v>
      </c>
      <c r="P330" s="57">
        <f>IFERROR(__xludf.DUMMYFUNCTION("""COMPUTED_VALUE"""),0.875)</f>
        <v>0.875</v>
      </c>
      <c r="Q330" s="57">
        <f>IFERROR(__xludf.DUMMYFUNCTION("""COMPUTED_VALUE"""),1.0)</f>
        <v>1</v>
      </c>
      <c r="R330" s="57">
        <f>IFERROR(__xludf.DUMMYFUNCTION("""COMPUTED_VALUE"""),1.625)</f>
        <v>1.625</v>
      </c>
      <c r="S330" s="31">
        <f>IFERROR(__xludf.DUMMYFUNCTION("""COMPUTED_VALUE"""),368.20833333333337)</f>
        <v>368.2083333</v>
      </c>
      <c r="T330" s="57">
        <f>IFERROR(__xludf.DUMMYFUNCTION("""COMPUTED_VALUE"""),0.9583333333333333)</f>
        <v>0.9583333333</v>
      </c>
      <c r="U330" s="57">
        <f>IFERROR(__xludf.DUMMYFUNCTION("""COMPUTED_VALUE"""),0.7083333333333333)</f>
        <v>0.7083333333</v>
      </c>
      <c r="V330" s="57">
        <f>IFERROR(__xludf.DUMMYFUNCTION("""COMPUTED_VALUE"""),0.9166666666666666)</f>
        <v>0.9166666667</v>
      </c>
      <c r="W330" s="57">
        <f>IFERROR(__xludf.DUMMYFUNCTION("""COMPUTED_VALUE"""),2.625)</f>
        <v>2.625</v>
      </c>
      <c r="X330" s="31">
        <f>IFERROR(__xludf.DUMMYFUNCTION("""COMPUTED_VALUE"""),363.1935967885066)</f>
        <v>363.1935968</v>
      </c>
      <c r="Y330" s="57">
        <f>IFERROR(__xludf.DUMMYFUNCTION("""COMPUTED_VALUE"""),0.7663006399750832)</f>
        <v>0.76630064</v>
      </c>
      <c r="Z330" s="57">
        <f>IFERROR(__xludf.DUMMYFUNCTION("""COMPUTED_VALUE"""),0.6133628066289785)</f>
        <v>0.6133628066</v>
      </c>
      <c r="AA330" s="57">
        <f>IFERROR(__xludf.DUMMYFUNCTION("""COMPUTED_VALUE"""),1.350303652398032)</f>
        <v>1.350303652</v>
      </c>
      <c r="AB330" s="57">
        <f>IFERROR(__xludf.DUMMYFUNCTION("""COMPUTED_VALUE"""),2.7529972825571978)</f>
        <v>2.752997283</v>
      </c>
      <c r="AC330" s="31">
        <f>IFERROR(__xludf.DUMMYFUNCTION("""COMPUTED_VALUE"""),369.33593500878766)</f>
        <v>369.335935</v>
      </c>
      <c r="AD330" s="57">
        <f>IFERROR(__xludf.DUMMYFUNCTION("""COMPUTED_VALUE"""),0.7711263050605576)</f>
        <v>0.7711263051</v>
      </c>
      <c r="AE330" s="57">
        <f>IFERROR(__xludf.DUMMYFUNCTION("""COMPUTED_VALUE"""),0.55615588409862)</f>
        <v>0.5561558841</v>
      </c>
      <c r="AF330" s="57">
        <f>IFERROR(__xludf.DUMMYFUNCTION("""COMPUTED_VALUE"""),1.58644504429234)</f>
        <v>1.586445044</v>
      </c>
      <c r="AG330" s="57">
        <f>IFERROR(__xludf.DUMMYFUNCTION("""COMPUTED_VALUE"""),2.4921443683373696)</f>
        <v>2.492144368</v>
      </c>
      <c r="AH330" s="57">
        <f>IFERROR(__xludf.DUMMYFUNCTION("""COMPUTED_VALUE"""),0.7276573290752377)</f>
        <v>0.7276573291</v>
      </c>
      <c r="AI330" s="57">
        <f>IFERROR(__xludf.DUMMYFUNCTION("""COMPUTED_VALUE"""),0.48630165712029594)</f>
        <v>0.4863016571</v>
      </c>
      <c r="AJ330" s="57">
        <f>IFERROR(__xludf.DUMMYFUNCTION("""COMPUTED_VALUE"""),1.573299905687667)</f>
        <v>1.573299906</v>
      </c>
      <c r="AK330" s="57">
        <f>IFERROR(__xludf.DUMMYFUNCTION("""COMPUTED_VALUE"""),0.6303401454703819)</f>
        <v>0.6303401455</v>
      </c>
      <c r="AL330" s="57">
        <f>IFERROR(__xludf.DUMMYFUNCTION("""COMPUTED_VALUE"""),0.6520489024013149)</f>
        <v>0.6520489024</v>
      </c>
      <c r="AM330" s="57">
        <f>IFERROR(__xludf.DUMMYFUNCTION("""COMPUTED_VALUE"""),1.0138073374342744)</f>
        <v>1.013807337</v>
      </c>
      <c r="AN330" s="57">
        <f>IFERROR(__xludf.DUMMYFUNCTION("""COMPUTED_VALUE"""),1.2505970677050382)</f>
        <v>1.250597068</v>
      </c>
      <c r="AO330" s="57">
        <f>IFERROR(__xludf.DUMMYFUNCTION("""COMPUTED_VALUE"""),1.154835809537115)</f>
        <v>1.15483581</v>
      </c>
      <c r="AP330" s="35">
        <f>IFERROR(__xludf.DUMMYFUNCTION("""COMPUTED_VALUE"""),0.6788596513374895)</f>
        <v>0.6788596513</v>
      </c>
      <c r="AQ330" s="57">
        <f>IFERROR(__xludf.DUMMYFUNCTION("""COMPUTED_VALUE"""),0.9535062081723873)</f>
        <v>0.9535062082</v>
      </c>
      <c r="AR330" s="36" t="b">
        <f>IFERROR(__xludf.DUMMYFUNCTION("""COMPUTED_VALUE"""),TRUE)</f>
        <v>1</v>
      </c>
      <c r="AS330" s="57"/>
      <c r="AT330" s="37"/>
      <c r="AU330" s="30"/>
      <c r="AV330" s="30"/>
      <c r="AW330" s="30"/>
      <c r="AX330" s="30"/>
      <c r="AY330" s="30"/>
      <c r="AZ330" s="30"/>
    </row>
    <row r="331">
      <c r="A331" s="30" t="str">
        <f>IFERROR(__xludf.DUMMYFUNCTION("""COMPUTED_VALUE"""),"Elite")</f>
        <v>Elite</v>
      </c>
      <c r="B331" s="30" t="str">
        <f>IFERROR(__xludf.DUMMYFUNCTION("""COMPUTED_VALUE"""),"RSC006478")</f>
        <v>RSC006478</v>
      </c>
      <c r="C331" s="30" t="str">
        <f>IFERROR(__xludf.DUMMYFUNCTION("""COMPUTED_VALUE"""),"Wontay")</f>
        <v>Wontay</v>
      </c>
      <c r="D331" s="31"/>
      <c r="E331" s="31">
        <f>IFERROR(__xludf.DUMMYFUNCTION("""COMPUTED_VALUE"""),28.27174636231303)</f>
        <v>28.27174636</v>
      </c>
      <c r="F331" s="31">
        <f>IFERROR(__xludf.DUMMYFUNCTION("""COMPUTED_VALUE"""),-5.197830063824048)</f>
        <v>-5.197830064</v>
      </c>
      <c r="G331" s="31">
        <f>IFERROR(__xludf.DUMMYFUNCTION("""COMPUTED_VALUE"""),30.04883500983682)</f>
        <v>30.04883501</v>
      </c>
      <c r="H331" s="31">
        <f>IFERROR(__xludf.DUMMYFUNCTION("""COMPUTED_VALUE"""),-4.707616434900715)</f>
        <v>-4.707616435</v>
      </c>
      <c r="I331" s="54">
        <f>IFERROR(__xludf.DUMMYFUNCTION("""COMPUTED_VALUE"""),4.0)</f>
        <v>4</v>
      </c>
      <c r="J331" s="55">
        <f>IFERROR(__xludf.DUMMYFUNCTION("""COMPUTED_VALUE"""),1.0)</f>
        <v>1</v>
      </c>
      <c r="K331" s="54">
        <f>IFERROR(__xludf.DUMMYFUNCTION("""COMPUTED_VALUE"""),3.0)</f>
        <v>3</v>
      </c>
      <c r="L331" s="56">
        <f>IFERROR(__xludf.DUMMYFUNCTION("""COMPUTED_VALUE"""),0.25)</f>
        <v>0.25</v>
      </c>
      <c r="M331" s="56">
        <f>IFERROR(__xludf.DUMMYFUNCTION("""COMPUTED_VALUE"""),0.2222222222222222)</f>
        <v>0.2222222222</v>
      </c>
      <c r="N331" s="31">
        <f>IFERROR(__xludf.DUMMYFUNCTION("""COMPUTED_VALUE"""),310.5)</f>
        <v>310.5</v>
      </c>
      <c r="O331" s="57">
        <f>IFERROR(__xludf.DUMMYFUNCTION("""COMPUTED_VALUE"""),0.5)</f>
        <v>0.5</v>
      </c>
      <c r="P331" s="57">
        <f>IFERROR(__xludf.DUMMYFUNCTION("""COMPUTED_VALUE"""),0.5)</f>
        <v>0.5</v>
      </c>
      <c r="Q331" s="57">
        <f>IFERROR(__xludf.DUMMYFUNCTION("""COMPUTED_VALUE"""),1.75)</f>
        <v>1.75</v>
      </c>
      <c r="R331" s="57">
        <f>IFERROR(__xludf.DUMMYFUNCTION("""COMPUTED_VALUE"""),2.25)</f>
        <v>2.25</v>
      </c>
      <c r="S331" s="31">
        <f>IFERROR(__xludf.DUMMYFUNCTION("""COMPUTED_VALUE"""),348.0833333333333)</f>
        <v>348.0833333</v>
      </c>
      <c r="T331" s="57">
        <f>IFERROR(__xludf.DUMMYFUNCTION("""COMPUTED_VALUE"""),0.9166666666666665)</f>
        <v>0.9166666667</v>
      </c>
      <c r="U331" s="57">
        <f>IFERROR(__xludf.DUMMYFUNCTION("""COMPUTED_VALUE"""),0.7499999999999999)</f>
        <v>0.75</v>
      </c>
      <c r="V331" s="57">
        <f>IFERROR(__xludf.DUMMYFUNCTION("""COMPUTED_VALUE"""),1.0833333333333333)</f>
        <v>1.083333333</v>
      </c>
      <c r="W331" s="57">
        <f>IFERROR(__xludf.DUMMYFUNCTION("""COMPUTED_VALUE"""),3.2499999999999996)</f>
        <v>3.25</v>
      </c>
      <c r="X331" s="31">
        <f>IFERROR(__xludf.DUMMYFUNCTION("""COMPUTED_VALUE"""),353.16709995588326)</f>
        <v>353.1671</v>
      </c>
      <c r="Y331" s="57">
        <f>IFERROR(__xludf.DUMMYFUNCTION("""COMPUTED_VALUE"""),0.7518119367240184)</f>
        <v>0.7518119367</v>
      </c>
      <c r="Z331" s="57">
        <f>IFERROR(__xludf.DUMMYFUNCTION("""COMPUTED_VALUE"""),0.5245793155605974)</f>
        <v>0.5245793156</v>
      </c>
      <c r="AA331" s="57">
        <f>IFERROR(__xludf.DUMMYFUNCTION("""COMPUTED_VALUE"""),1.3593464423016322)</f>
        <v>1.359346442</v>
      </c>
      <c r="AB331" s="57">
        <f>IFERROR(__xludf.DUMMYFUNCTION("""COMPUTED_VALUE"""),2.889987867901935)</f>
        <v>2.889987868</v>
      </c>
      <c r="AC331" s="31">
        <f>IFERROR(__xludf.DUMMYFUNCTION("""COMPUTED_VALUE"""),365.5942574735825)</f>
        <v>365.5942575</v>
      </c>
      <c r="AD331" s="57">
        <f>IFERROR(__xludf.DUMMYFUNCTION("""COMPUTED_VALUE"""),0.7049064095292117)</f>
        <v>0.7049064095</v>
      </c>
      <c r="AE331" s="57">
        <f>IFERROR(__xludf.DUMMYFUNCTION("""COMPUTED_VALUE"""),0.5396144513770719)</f>
        <v>0.5396144514</v>
      </c>
      <c r="AF331" s="57">
        <f>IFERROR(__xludf.DUMMYFUNCTION("""COMPUTED_VALUE"""),1.653711319089935)</f>
        <v>1.653711319</v>
      </c>
      <c r="AG331" s="57">
        <f>IFERROR(__xludf.DUMMYFUNCTION("""COMPUTED_VALUE"""),2.4790432448898136)</f>
        <v>2.479043245</v>
      </c>
      <c r="AH331" s="57">
        <f>IFERROR(__xludf.DUMMYFUNCTION("""COMPUTED_VALUE"""),0.849302180361617)</f>
        <v>0.8493021804</v>
      </c>
      <c r="AI331" s="57">
        <f>IFERROR(__xludf.DUMMYFUNCTION("""COMPUTED_VALUE"""),0.7093140213236773)</f>
        <v>0.7093140213</v>
      </c>
      <c r="AJ331" s="57">
        <f>IFERROR(__xludf.DUMMYFUNCTION("""COMPUTED_VALUE"""),0.9265874898717453)</f>
        <v>0.9265874899</v>
      </c>
      <c r="AK331" s="57">
        <f>IFERROR(__xludf.DUMMYFUNCTION("""COMPUTED_VALUE"""),1.0582258099092254)</f>
        <v>1.05822581</v>
      </c>
      <c r="AL331" s="57">
        <f>IFERROR(__xludf.DUMMYFUNCTION("""COMPUTED_VALUE"""),0.9076082091903992)</f>
        <v>0.9076082092</v>
      </c>
      <c r="AM331" s="57">
        <f>IFERROR(__xludf.DUMMYFUNCTION("""COMPUTED_VALUE"""),0.9856052089133303)</f>
        <v>0.9856052089</v>
      </c>
      <c r="AN331" s="57">
        <f>IFERROR(__xludf.DUMMYFUNCTION("""COMPUTED_VALUE"""),1.2192765529382177)</f>
        <v>1.219276553</v>
      </c>
      <c r="AO331" s="57">
        <f>IFERROR(__xludf.DUMMYFUNCTION("""COMPUTED_VALUE"""),1.4297170661380427)</f>
        <v>1.429717066</v>
      </c>
      <c r="AP331" s="35">
        <f>IFERROR(__xludf.DUMMYFUNCTION("""COMPUTED_VALUE"""),0.7969516082294987)</f>
        <v>0.7969516082</v>
      </c>
      <c r="AQ331" s="57">
        <f>IFERROR(__xludf.DUMMYFUNCTION("""COMPUTED_VALUE"""),1.1245721949550693)</f>
        <v>1.124572195</v>
      </c>
      <c r="AR331" s="36" t="b">
        <f>IFERROR(__xludf.DUMMYFUNCTION("""COMPUTED_VALUE"""),TRUE)</f>
        <v>1</v>
      </c>
      <c r="AS331" s="57"/>
      <c r="AT331" s="37"/>
      <c r="AU331" s="30"/>
      <c r="AV331" s="30"/>
      <c r="AW331" s="30"/>
      <c r="AX331" s="30"/>
      <c r="AY331" s="30"/>
      <c r="AZ331" s="30"/>
    </row>
    <row r="332">
      <c r="A332" s="30" t="str">
        <f>IFERROR(__xludf.DUMMYFUNCTION("""COMPUTED_VALUE"""),"Elite")</f>
        <v>Elite</v>
      </c>
      <c r="B332" s="30" t="str">
        <f>IFERROR(__xludf.DUMMYFUNCTION("""COMPUTED_VALUE"""),"RSC003277")</f>
        <v>RSC003277</v>
      </c>
      <c r="C332" s="30" t="str">
        <f>IFERROR(__xludf.DUMMYFUNCTION("""COMPUTED_VALUE"""),"Miikey.RL")</f>
        <v>Miikey.RL</v>
      </c>
      <c r="D332" s="31" t="str">
        <f>IFERROR(__xludf.DUMMYFUNCTION("""COMPUTED_VALUE"""),"Orochi")</f>
        <v>Orochi</v>
      </c>
      <c r="E332" s="31">
        <f>IFERROR(__xludf.DUMMYFUNCTION("""COMPUTED_VALUE"""),27.626871901816997)</f>
        <v>27.6268719</v>
      </c>
      <c r="F332" s="31">
        <f>IFERROR(__xludf.DUMMYFUNCTION("""COMPUTED_VALUE"""),-5.393348860175519)</f>
        <v>-5.39334886</v>
      </c>
      <c r="G332" s="31">
        <f>IFERROR(__xludf.DUMMYFUNCTION("""COMPUTED_VALUE"""),23.628421450904163)</f>
        <v>23.62842145</v>
      </c>
      <c r="H332" s="31">
        <f>IFERROR(__xludf.DUMMYFUNCTION("""COMPUTED_VALUE"""),-6.861347770811789)</f>
        <v>-6.861347771</v>
      </c>
      <c r="I332" s="54">
        <f>IFERROR(__xludf.DUMMYFUNCTION("""COMPUTED_VALUE"""),35.0)</f>
        <v>35</v>
      </c>
      <c r="J332" s="55">
        <f>IFERROR(__xludf.DUMMYFUNCTION("""COMPUTED_VALUE"""),15.0)</f>
        <v>15</v>
      </c>
      <c r="K332" s="54">
        <f>IFERROR(__xludf.DUMMYFUNCTION("""COMPUTED_VALUE"""),20.0)</f>
        <v>20</v>
      </c>
      <c r="L332" s="56">
        <f>IFERROR(__xludf.DUMMYFUNCTION("""COMPUTED_VALUE"""),0.42857142857142855)</f>
        <v>0.4285714286</v>
      </c>
      <c r="M332" s="56">
        <f>IFERROR(__xludf.DUMMYFUNCTION("""COMPUTED_VALUE"""),0.25)</f>
        <v>0.25</v>
      </c>
      <c r="N332" s="31">
        <f>IFERROR(__xludf.DUMMYFUNCTION("""COMPUTED_VALUE"""),300.4)</f>
        <v>300.4</v>
      </c>
      <c r="O332" s="57">
        <f>IFERROR(__xludf.DUMMYFUNCTION("""COMPUTED_VALUE"""),0.4857142857142857)</f>
        <v>0.4857142857</v>
      </c>
      <c r="P332" s="57">
        <f>IFERROR(__xludf.DUMMYFUNCTION("""COMPUTED_VALUE"""),0.37142857142857144)</f>
        <v>0.3714285714</v>
      </c>
      <c r="Q332" s="57">
        <f>IFERROR(__xludf.DUMMYFUNCTION("""COMPUTED_VALUE"""),1.3142857142857143)</f>
        <v>1.314285714</v>
      </c>
      <c r="R332" s="57">
        <f>IFERROR(__xludf.DUMMYFUNCTION("""COMPUTED_VALUE"""),1.9428571428571428)</f>
        <v>1.942857143</v>
      </c>
      <c r="S332" s="31">
        <f>IFERROR(__xludf.DUMMYFUNCTION("""COMPUTED_VALUE"""),347.3714285714286)</f>
        <v>347.3714286</v>
      </c>
      <c r="T332" s="57">
        <f>IFERROR(__xludf.DUMMYFUNCTION("""COMPUTED_VALUE"""),0.6857142857142857)</f>
        <v>0.6857142857</v>
      </c>
      <c r="U332" s="57">
        <f>IFERROR(__xludf.DUMMYFUNCTION("""COMPUTED_VALUE"""),0.5238095238095237)</f>
        <v>0.5238095238</v>
      </c>
      <c r="V332" s="57">
        <f>IFERROR(__xludf.DUMMYFUNCTION("""COMPUTED_VALUE"""),1.361904761904762)</f>
        <v>1.361904762</v>
      </c>
      <c r="W332" s="57">
        <f>IFERROR(__xludf.DUMMYFUNCTION("""COMPUTED_VALUE"""),2.7238095238095235)</f>
        <v>2.723809524</v>
      </c>
      <c r="X332" s="31">
        <f>IFERROR(__xludf.DUMMYFUNCTION("""COMPUTED_VALUE"""),364.6014392443173)</f>
        <v>364.6014392</v>
      </c>
      <c r="Y332" s="57">
        <f>IFERROR(__xludf.DUMMYFUNCTION("""COMPUTED_VALUE"""),0.775497715496382)</f>
        <v>0.7754977155</v>
      </c>
      <c r="Z332" s="57">
        <f>IFERROR(__xludf.DUMMYFUNCTION("""COMPUTED_VALUE"""),0.5741567994524979)</f>
        <v>0.5741567995</v>
      </c>
      <c r="AA332" s="57">
        <f>IFERROR(__xludf.DUMMYFUNCTION("""COMPUTED_VALUE"""),1.4132011281183936)</f>
        <v>1.413201128</v>
      </c>
      <c r="AB332" s="57">
        <f>IFERROR(__xludf.DUMMYFUNCTION("""COMPUTED_VALUE"""),2.7790046063961467)</f>
        <v>2.779004606</v>
      </c>
      <c r="AC332" s="31">
        <f>IFERROR(__xludf.DUMMYFUNCTION("""COMPUTED_VALUE"""),357.5586102414024)</f>
        <v>357.5586102</v>
      </c>
      <c r="AD332" s="57">
        <f>IFERROR(__xludf.DUMMYFUNCTION("""COMPUTED_VALUE"""),0.7171488666584762)</f>
        <v>0.7171488667</v>
      </c>
      <c r="AE332" s="57">
        <f>IFERROR(__xludf.DUMMYFUNCTION("""COMPUTED_VALUE"""),0.5436973352259742)</f>
        <v>0.5436973352</v>
      </c>
      <c r="AF332" s="57">
        <f>IFERROR(__xludf.DUMMYFUNCTION("""COMPUTED_VALUE"""),1.5034777869211085)</f>
        <v>1.503477787</v>
      </c>
      <c r="AG332" s="57">
        <f>IFERROR(__xludf.DUMMYFUNCTION("""COMPUTED_VALUE"""),2.5906668236743067)</f>
        <v>2.590666824</v>
      </c>
      <c r="AH332" s="57">
        <f>IFERROR(__xludf.DUMMYFUNCTION("""COMPUTED_VALUE"""),0.840141983428081)</f>
        <v>0.8401419834</v>
      </c>
      <c r="AI332" s="57">
        <f>IFERROR(__xludf.DUMMYFUNCTION("""COMPUTED_VALUE"""),0.6772851611373942)</f>
        <v>0.6772851611</v>
      </c>
      <c r="AJ332" s="57">
        <f>IFERROR(__xludf.DUMMYFUNCTION("""COMPUTED_VALUE"""),0.6831531945511494)</f>
        <v>0.6831531946</v>
      </c>
      <c r="AK332" s="57">
        <f>IFERROR(__xludf.DUMMYFUNCTION("""COMPUTED_VALUE"""),0.8741637061211057)</f>
        <v>0.8741637061</v>
      </c>
      <c r="AL332" s="57">
        <f>IFERROR(__xludf.DUMMYFUNCTION("""COMPUTED_VALUE"""),0.7499448115453209)</f>
        <v>0.7499448115</v>
      </c>
      <c r="AM332" s="57">
        <f>IFERROR(__xludf.DUMMYFUNCTION("""COMPUTED_VALUE"""),0.9527428890335703)</f>
        <v>0.952742889</v>
      </c>
      <c r="AN332" s="57">
        <f>IFERROR(__xludf.DUMMYFUNCTION("""COMPUTED_VALUE"""),0.8842247656079456)</f>
        <v>0.8842247656</v>
      </c>
      <c r="AO332" s="57">
        <f>IFERROR(__xludf.DUMMYFUNCTION("""COMPUTED_VALUE"""),0.9123109302354616)</f>
        <v>0.9123109302</v>
      </c>
      <c r="AP332" s="35">
        <f>IFERROR(__xludf.DUMMYFUNCTION("""COMPUTED_VALUE"""),0.9637020058978227)</f>
        <v>0.9637020059</v>
      </c>
      <c r="AQ332" s="57">
        <f>IFERROR(__xludf.DUMMYFUNCTION("""COMPUTED_VALUE"""),0.9801385422465344)</f>
        <v>0.9801385422</v>
      </c>
      <c r="AR332" s="36" t="b">
        <f>IFERROR(__xludf.DUMMYFUNCTION("""COMPUTED_VALUE"""),TRUE)</f>
        <v>1</v>
      </c>
      <c r="AS332" s="57"/>
      <c r="AT332" s="37"/>
      <c r="AU332" s="30"/>
      <c r="AV332" s="30"/>
      <c r="AW332" s="30"/>
      <c r="AX332" s="30"/>
      <c r="AY332" s="30"/>
      <c r="AZ332" s="30"/>
    </row>
    <row r="333">
      <c r="A333" s="30" t="str">
        <f>IFERROR(__xludf.DUMMYFUNCTION("""COMPUTED_VALUE"""),"Elite")</f>
        <v>Elite</v>
      </c>
      <c r="B333" s="30" t="str">
        <f>IFERROR(__xludf.DUMMYFUNCTION("""COMPUTED_VALUE"""),"RSC004239")</f>
        <v>RSC004239</v>
      </c>
      <c r="C333" s="30" t="str">
        <f>IFERROR(__xludf.DUMMYFUNCTION("""COMPUTED_VALUE"""),"Nitro")</f>
        <v>Nitro</v>
      </c>
      <c r="D333" s="31" t="str">
        <f>IFERROR(__xludf.DUMMYFUNCTION("""COMPUTED_VALUE"""),"Mosaic Maestros")</f>
        <v>Mosaic Maestros</v>
      </c>
      <c r="E333" s="31">
        <f>IFERROR(__xludf.DUMMYFUNCTION("""COMPUTED_VALUE"""),27.593138894418374)</f>
        <v>27.59313889</v>
      </c>
      <c r="F333" s="31">
        <f>IFERROR(__xludf.DUMMYFUNCTION("""COMPUTED_VALUE"""),-5.403854286367785)</f>
        <v>-5.403854286</v>
      </c>
      <c r="G333" s="31">
        <f>IFERROR(__xludf.DUMMYFUNCTION("""COMPUTED_VALUE"""),43.80070457468965)</f>
        <v>43.80070457</v>
      </c>
      <c r="H333" s="31">
        <f>IFERROR(__xludf.DUMMYFUNCTION("""COMPUTED_VALUE"""),-2.4870789636539334)</f>
        <v>-2.487078964</v>
      </c>
      <c r="I333" s="54">
        <f>IFERROR(__xludf.DUMMYFUNCTION("""COMPUTED_VALUE"""),4.0)</f>
        <v>4</v>
      </c>
      <c r="J333" s="55">
        <f>IFERROR(__xludf.DUMMYFUNCTION("""COMPUTED_VALUE"""),0.0)</f>
        <v>0</v>
      </c>
      <c r="K333" s="54">
        <f>IFERROR(__xludf.DUMMYFUNCTION("""COMPUTED_VALUE"""),4.0)</f>
        <v>4</v>
      </c>
      <c r="L333" s="56">
        <f>IFERROR(__xludf.DUMMYFUNCTION("""COMPUTED_VALUE"""),0.0)</f>
        <v>0</v>
      </c>
      <c r="M333" s="56">
        <f>IFERROR(__xludf.DUMMYFUNCTION("""COMPUTED_VALUE"""),0.1)</f>
        <v>0.1</v>
      </c>
      <c r="N333" s="31">
        <f>IFERROR(__xludf.DUMMYFUNCTION("""COMPUTED_VALUE"""),390.25)</f>
        <v>390.25</v>
      </c>
      <c r="O333" s="57">
        <f>IFERROR(__xludf.DUMMYFUNCTION("""COMPUTED_VALUE"""),0.25)</f>
        <v>0.25</v>
      </c>
      <c r="P333" s="57">
        <f>IFERROR(__xludf.DUMMYFUNCTION("""COMPUTED_VALUE"""),0.75)</f>
        <v>0.75</v>
      </c>
      <c r="Q333" s="57">
        <f>IFERROR(__xludf.DUMMYFUNCTION("""COMPUTED_VALUE"""),2.5)</f>
        <v>2.5</v>
      </c>
      <c r="R333" s="57">
        <f>IFERROR(__xludf.DUMMYFUNCTION("""COMPUTED_VALUE"""),2.5)</f>
        <v>2.5</v>
      </c>
      <c r="S333" s="31">
        <f>IFERROR(__xludf.DUMMYFUNCTION("""COMPUTED_VALUE"""),443.5)</f>
        <v>443.5</v>
      </c>
      <c r="T333" s="57">
        <f>IFERROR(__xludf.DUMMYFUNCTION("""COMPUTED_VALUE"""),1.3333333333333333)</f>
        <v>1.333333333</v>
      </c>
      <c r="U333" s="57">
        <f>IFERROR(__xludf.DUMMYFUNCTION("""COMPUTED_VALUE"""),0.9166666666666666)</f>
        <v>0.9166666667</v>
      </c>
      <c r="V333" s="57">
        <f>IFERROR(__xludf.DUMMYFUNCTION("""COMPUTED_VALUE"""),1.0833333333333335)</f>
        <v>1.083333333</v>
      </c>
      <c r="W333" s="57">
        <f>IFERROR(__xludf.DUMMYFUNCTION("""COMPUTED_VALUE"""),4.166666666666667)</f>
        <v>4.166666667</v>
      </c>
      <c r="X333" s="31">
        <f>IFERROR(__xludf.DUMMYFUNCTION("""COMPUTED_VALUE"""),381.3971631205674)</f>
        <v>381.3971631</v>
      </c>
      <c r="Y333" s="57">
        <f>IFERROR(__xludf.DUMMYFUNCTION("""COMPUTED_VALUE"""),0.8985650667986146)</f>
        <v>0.8985650668</v>
      </c>
      <c r="Z333" s="57">
        <f>IFERROR(__xludf.DUMMYFUNCTION("""COMPUTED_VALUE"""),0.6107537522678542)</f>
        <v>0.6107537523</v>
      </c>
      <c r="AA333" s="57">
        <f>IFERROR(__xludf.DUMMYFUNCTION("""COMPUTED_VALUE"""),1.4355929407883885)</f>
        <v>1.435592941</v>
      </c>
      <c r="AB333" s="57">
        <f>IFERROR(__xludf.DUMMYFUNCTION("""COMPUTED_VALUE"""),2.9035131123206335)</f>
        <v>2.903513112</v>
      </c>
      <c r="AC333" s="31">
        <f>IFERROR(__xludf.DUMMYFUNCTION("""COMPUTED_VALUE"""),357.7749189070317)</f>
        <v>357.7749189</v>
      </c>
      <c r="AD333" s="57">
        <f>IFERROR(__xludf.DUMMYFUNCTION("""COMPUTED_VALUE"""),0.681510803232723)</f>
        <v>0.6815108032</v>
      </c>
      <c r="AE333" s="57">
        <f>IFERROR(__xludf.DUMMYFUNCTION("""COMPUTED_VALUE"""),0.5164659959316071)</f>
        <v>0.5164659959</v>
      </c>
      <c r="AF333" s="57">
        <f>IFERROR(__xludf.DUMMYFUNCTION("""COMPUTED_VALUE"""),1.5564901863763811)</f>
        <v>1.556490186</v>
      </c>
      <c r="AG333" s="57">
        <f>IFERROR(__xludf.DUMMYFUNCTION("""COMPUTED_VALUE"""),2.574742976524273)</f>
        <v>2.574742977</v>
      </c>
      <c r="AH333" s="57">
        <f>IFERROR(__xludf.DUMMYFUNCTION("""COMPUTED_VALUE"""),1.0907695855041393)</f>
        <v>1.090769586</v>
      </c>
      <c r="AI333" s="57">
        <f>IFERROR(__xludf.DUMMYFUNCTION("""COMPUTED_VALUE"""),0.36683204259438534)</f>
        <v>0.3668320426</v>
      </c>
      <c r="AJ333" s="57">
        <f>IFERROR(__xludf.DUMMYFUNCTION("""COMPUTED_VALUE"""),1.4521769214392162)</f>
        <v>1.452176921</v>
      </c>
      <c r="AK333" s="57">
        <f>IFERROR(__xludf.DUMMYFUNCTION("""COMPUTED_VALUE"""),1.6061778107449403)</f>
        <v>1.606177811</v>
      </c>
      <c r="AL333" s="57">
        <f>IFERROR(__xludf.DUMMYFUNCTION("""COMPUTED_VALUE"""),0.9709707037922787)</f>
        <v>0.9709707038</v>
      </c>
      <c r="AM333" s="57">
        <f>IFERROR(__xludf.DUMMYFUNCTION("""COMPUTED_VALUE"""),1.1628298343157855)</f>
        <v>1.162829834</v>
      </c>
      <c r="AN333" s="57">
        <f>IFERROR(__xludf.DUMMYFUNCTION("""COMPUTED_VALUE"""),1.4838472834067546)</f>
        <v>1.483847283</v>
      </c>
      <c r="AO333" s="57">
        <f>IFERROR(__xludf.DUMMYFUNCTION("""COMPUTED_VALUE"""),1.5008776667566837)</f>
        <v>1.500877667</v>
      </c>
      <c r="AP333" s="35">
        <f>IFERROR(__xludf.DUMMYFUNCTION("""COMPUTED_VALUE"""),0.7546243106617648)</f>
        <v>0.7546243107</v>
      </c>
      <c r="AQ333" s="57">
        <f>IFERROR(__xludf.DUMMYFUNCTION("""COMPUTED_VALUE"""),1.4350431720063623)</f>
        <v>1.435043172</v>
      </c>
      <c r="AR333" s="36" t="b">
        <f>IFERROR(__xludf.DUMMYFUNCTION("""COMPUTED_VALUE"""),TRUE)</f>
        <v>1</v>
      </c>
      <c r="AS333" s="57"/>
      <c r="AT333" s="37"/>
      <c r="AU333" s="30"/>
      <c r="AV333" s="30"/>
      <c r="AW333" s="30"/>
      <c r="AX333" s="30"/>
      <c r="AY333" s="30"/>
      <c r="AZ333" s="30"/>
    </row>
    <row r="334">
      <c r="A334" s="30" t="str">
        <f>IFERROR(__xludf.DUMMYFUNCTION("""COMPUTED_VALUE"""),"Elite")</f>
        <v>Elite</v>
      </c>
      <c r="B334" s="30" t="str">
        <f>IFERROR(__xludf.DUMMYFUNCTION("""COMPUTED_VALUE"""),"RSC004820")</f>
        <v>RSC004820</v>
      </c>
      <c r="C334" s="30" t="str">
        <f>IFERROR(__xludf.DUMMYFUNCTION("""COMPUTED_VALUE"""),"AoS Arctic")</f>
        <v>AoS Arctic</v>
      </c>
      <c r="D334" s="31" t="str">
        <f>IFERROR(__xludf.DUMMYFUNCTION("""COMPUTED_VALUE"""),"Summoned")</f>
        <v>Summoned</v>
      </c>
      <c r="E334" s="31">
        <f>IFERROR(__xludf.DUMMYFUNCTION("""COMPUTED_VALUE"""),26.483269146168002)</f>
        <v>26.48326915</v>
      </c>
      <c r="F334" s="31">
        <f>IFERROR(__xludf.DUMMYFUNCTION("""COMPUTED_VALUE"""),-5.7657759059518305)</f>
        <v>-5.765775906</v>
      </c>
      <c r="G334" s="31">
        <f>IFERROR(__xludf.DUMMYFUNCTION("""COMPUTED_VALUE"""),27.793092814514512)</f>
        <v>27.79309281</v>
      </c>
      <c r="H334" s="31">
        <f>IFERROR(__xludf.DUMMYFUNCTION("""COMPUTED_VALUE"""),-5.341992322847824)</f>
        <v>-5.341992323</v>
      </c>
      <c r="I334" s="54">
        <f>IFERROR(__xludf.DUMMYFUNCTION("""COMPUTED_VALUE"""),39.0)</f>
        <v>39</v>
      </c>
      <c r="J334" s="55">
        <f>IFERROR(__xludf.DUMMYFUNCTION("""COMPUTED_VALUE"""),13.0)</f>
        <v>13</v>
      </c>
      <c r="K334" s="54">
        <f>IFERROR(__xludf.DUMMYFUNCTION("""COMPUTED_VALUE"""),26.0)</f>
        <v>26</v>
      </c>
      <c r="L334" s="56">
        <f>IFERROR(__xludf.DUMMYFUNCTION("""COMPUTED_VALUE"""),0.3333333333333333)</f>
        <v>0.3333333333</v>
      </c>
      <c r="M334" s="56">
        <f>IFERROR(__xludf.DUMMYFUNCTION("""COMPUTED_VALUE"""),0.23188405797101447)</f>
        <v>0.231884058</v>
      </c>
      <c r="N334" s="31">
        <f>IFERROR(__xludf.DUMMYFUNCTION("""COMPUTED_VALUE"""),299.54285714285714)</f>
        <v>299.5428571</v>
      </c>
      <c r="O334" s="57">
        <f>IFERROR(__xludf.DUMMYFUNCTION("""COMPUTED_VALUE"""),0.45714285714285713)</f>
        <v>0.4571428571</v>
      </c>
      <c r="P334" s="57">
        <f>IFERROR(__xludf.DUMMYFUNCTION("""COMPUTED_VALUE"""),0.5142857142857142)</f>
        <v>0.5142857143</v>
      </c>
      <c r="Q334" s="57">
        <f>IFERROR(__xludf.DUMMYFUNCTION("""COMPUTED_VALUE"""),1.2285714285714286)</f>
        <v>1.228571429</v>
      </c>
      <c r="R334" s="57">
        <f>IFERROR(__xludf.DUMMYFUNCTION("""COMPUTED_VALUE"""),1.9714285714285715)</f>
        <v>1.971428571</v>
      </c>
      <c r="S334" s="31">
        <f>IFERROR(__xludf.DUMMYFUNCTION("""COMPUTED_VALUE"""),356.55238095238093)</f>
        <v>356.552381</v>
      </c>
      <c r="T334" s="57">
        <f>IFERROR(__xludf.DUMMYFUNCTION("""COMPUTED_VALUE"""),0.9238095238095239)</f>
        <v>0.9238095238</v>
      </c>
      <c r="U334" s="57">
        <f>IFERROR(__xludf.DUMMYFUNCTION("""COMPUTED_VALUE"""),0.6476190476190478)</f>
        <v>0.6476190476</v>
      </c>
      <c r="V334" s="57">
        <f>IFERROR(__xludf.DUMMYFUNCTION("""COMPUTED_VALUE"""),1.104761904761905)</f>
        <v>1.104761905</v>
      </c>
      <c r="W334" s="57">
        <f>IFERROR(__xludf.DUMMYFUNCTION("""COMPUTED_VALUE"""),2.904761904761905)</f>
        <v>2.904761905</v>
      </c>
      <c r="X334" s="31">
        <f>IFERROR(__xludf.DUMMYFUNCTION("""COMPUTED_VALUE"""),367.4867677131463)</f>
        <v>367.4867677</v>
      </c>
      <c r="Y334" s="57">
        <f>IFERROR(__xludf.DUMMYFUNCTION("""COMPUTED_VALUE"""),0.820477283619906)</f>
        <v>0.8204772836</v>
      </c>
      <c r="Z334" s="57">
        <f>IFERROR(__xludf.DUMMYFUNCTION("""COMPUTED_VALUE"""),0.6086115548681451)</f>
        <v>0.6086115549</v>
      </c>
      <c r="AA334" s="57">
        <f>IFERROR(__xludf.DUMMYFUNCTION("""COMPUTED_VALUE"""),1.3803707520995754)</f>
        <v>1.380370752</v>
      </c>
      <c r="AB334" s="57">
        <f>IFERROR(__xludf.DUMMYFUNCTION("""COMPUTED_VALUE"""),2.817692954081692)</f>
        <v>2.817692954</v>
      </c>
      <c r="AC334" s="31">
        <f>IFERROR(__xludf.DUMMYFUNCTION("""COMPUTED_VALUE"""),362.33016996376296)</f>
        <v>362.33017</v>
      </c>
      <c r="AD334" s="57">
        <f>IFERROR(__xludf.DUMMYFUNCTION("""COMPUTED_VALUE"""),0.7599613584901442)</f>
        <v>0.7599613585</v>
      </c>
      <c r="AE334" s="57">
        <f>IFERROR(__xludf.DUMMYFUNCTION("""COMPUTED_VALUE"""),0.5802078697875962)</f>
        <v>0.5802078698</v>
      </c>
      <c r="AF334" s="57">
        <f>IFERROR(__xludf.DUMMYFUNCTION("""COMPUTED_VALUE"""),1.5062182399966684)</f>
        <v>1.50621824</v>
      </c>
      <c r="AG334" s="57">
        <f>IFERROR(__xludf.DUMMYFUNCTION("""COMPUTED_VALUE"""),2.5661484551082245)</f>
        <v>2.566148455</v>
      </c>
      <c r="AH334" s="57">
        <f>IFERROR(__xludf.DUMMYFUNCTION("""COMPUTED_VALUE"""),0.8267124351604912)</f>
        <v>0.8267124352</v>
      </c>
      <c r="AI334" s="57">
        <f>IFERROR(__xludf.DUMMYFUNCTION("""COMPUTED_VALUE"""),0.601534343865966)</f>
        <v>0.6015343439</v>
      </c>
      <c r="AJ334" s="57">
        <f>IFERROR(__xludf.DUMMYFUNCTION("""COMPUTED_VALUE"""),0.886381831521839)</f>
        <v>0.8863818315</v>
      </c>
      <c r="AK334" s="57">
        <f>IFERROR(__xludf.DUMMYFUNCTION("""COMPUTED_VALUE"""),0.8156662799237819)</f>
        <v>0.8156662799</v>
      </c>
      <c r="AL334" s="57">
        <f>IFERROR(__xludf.DUMMYFUNCTION("""COMPUTED_VALUE"""),0.7682441627662686)</f>
        <v>0.7682441628</v>
      </c>
      <c r="AM334" s="57">
        <f>IFERROR(__xludf.DUMMYFUNCTION("""COMPUTED_VALUE"""),0.9702454952900492)</f>
        <v>0.9702454953</v>
      </c>
      <c r="AN334" s="57">
        <f>IFERROR(__xludf.DUMMYFUNCTION("""COMPUTED_VALUE"""),1.125941622336844)</f>
        <v>1.125941622</v>
      </c>
      <c r="AO334" s="57">
        <f>IFERROR(__xludf.DUMMYFUNCTION("""COMPUTED_VALUE"""),1.0640925931144267)</f>
        <v>1.064092593</v>
      </c>
      <c r="AP334" s="35">
        <f>IFERROR(__xludf.DUMMYFUNCTION("""COMPUTED_VALUE"""),0.8003370855848235)</f>
        <v>0.8003370856</v>
      </c>
      <c r="AQ334" s="57">
        <f>IFERROR(__xludf.DUMMYFUNCTION("""COMPUTED_VALUE"""),1.0309007944084487)</f>
        <v>1.030900794</v>
      </c>
      <c r="AR334" s="36" t="b">
        <f>IFERROR(__xludf.DUMMYFUNCTION("""COMPUTED_VALUE"""),TRUE)</f>
        <v>1</v>
      </c>
      <c r="AS334" s="57"/>
      <c r="AT334" s="37"/>
      <c r="AU334" s="30"/>
      <c r="AV334" s="30"/>
      <c r="AW334" s="30"/>
      <c r="AX334" s="30"/>
      <c r="AY334" s="30"/>
      <c r="AZ334" s="30"/>
    </row>
    <row r="335">
      <c r="A335" s="30" t="str">
        <f>IFERROR(__xludf.DUMMYFUNCTION("""COMPUTED_VALUE"""),"Elite")</f>
        <v>Elite</v>
      </c>
      <c r="B335" s="30" t="str">
        <f>IFERROR(__xludf.DUMMYFUNCTION("""COMPUTED_VALUE"""),"RSC003082")</f>
        <v>RSC003082</v>
      </c>
      <c r="C335" s="30" t="str">
        <f>IFERROR(__xludf.DUMMYFUNCTION("""COMPUTED_VALUE"""),"Skulzy9")</f>
        <v>Skulzy9</v>
      </c>
      <c r="D335" s="31" t="str">
        <f>IFERROR(__xludf.DUMMYFUNCTION("""COMPUTED_VALUE"""),"Drive Bye")</f>
        <v>Drive Bye</v>
      </c>
      <c r="E335" s="31">
        <f>IFERROR(__xludf.DUMMYFUNCTION("""COMPUTED_VALUE"""),24.524292527080338)</f>
        <v>24.52429253</v>
      </c>
      <c r="F335" s="31">
        <f>IFERROR(__xludf.DUMMYFUNCTION("""COMPUTED_VALUE"""),-6.489513085740868)</f>
        <v>-6.489513086</v>
      </c>
      <c r="G335" s="31">
        <f>IFERROR(__xludf.DUMMYFUNCTION("""COMPUTED_VALUE"""),40.15859879649421)</f>
        <v>40.1585988</v>
      </c>
      <c r="H335" s="31">
        <f>IFERROR(__xludf.DUMMYFUNCTION("""COMPUTED_VALUE"""),-2.882529728851146)</f>
        <v>-2.882529729</v>
      </c>
      <c r="I335" s="54">
        <f>IFERROR(__xludf.DUMMYFUNCTION("""COMPUTED_VALUE"""),28.0)</f>
        <v>28</v>
      </c>
      <c r="J335" s="55">
        <f>IFERROR(__xludf.DUMMYFUNCTION("""COMPUTED_VALUE"""),7.0)</f>
        <v>7</v>
      </c>
      <c r="K335" s="54">
        <f>IFERROR(__xludf.DUMMYFUNCTION("""COMPUTED_VALUE"""),21.0)</f>
        <v>21</v>
      </c>
      <c r="L335" s="56">
        <f>IFERROR(__xludf.DUMMYFUNCTION("""COMPUTED_VALUE"""),0.25)</f>
        <v>0.25</v>
      </c>
      <c r="M335" s="56">
        <f>IFERROR(__xludf.DUMMYFUNCTION("""COMPUTED_VALUE"""),0.1896551724137931)</f>
        <v>0.1896551724</v>
      </c>
      <c r="N335" s="31">
        <f>IFERROR(__xludf.DUMMYFUNCTION("""COMPUTED_VALUE"""),329.7857142857143)</f>
        <v>329.7857143</v>
      </c>
      <c r="O335" s="57">
        <f>IFERROR(__xludf.DUMMYFUNCTION("""COMPUTED_VALUE"""),0.39285714285714285)</f>
        <v>0.3928571429</v>
      </c>
      <c r="P335" s="57">
        <f>IFERROR(__xludf.DUMMYFUNCTION("""COMPUTED_VALUE"""),0.5)</f>
        <v>0.5</v>
      </c>
      <c r="Q335" s="57">
        <f>IFERROR(__xludf.DUMMYFUNCTION("""COMPUTED_VALUE"""),1.4642857142857142)</f>
        <v>1.464285714</v>
      </c>
      <c r="R335" s="57">
        <f>IFERROR(__xludf.DUMMYFUNCTION("""COMPUTED_VALUE"""),2.0714285714285716)</f>
        <v>2.071428571</v>
      </c>
      <c r="S335" s="31">
        <f>IFERROR(__xludf.DUMMYFUNCTION("""COMPUTED_VALUE"""),383.1904761904761)</f>
        <v>383.1904762</v>
      </c>
      <c r="T335" s="57">
        <f>IFERROR(__xludf.DUMMYFUNCTION("""COMPUTED_VALUE"""),0.988095238095238)</f>
        <v>0.9880952381</v>
      </c>
      <c r="U335" s="57">
        <f>IFERROR(__xludf.DUMMYFUNCTION("""COMPUTED_VALUE"""),0.8095238095238095)</f>
        <v>0.8095238095</v>
      </c>
      <c r="V335" s="57">
        <f>IFERROR(__xludf.DUMMYFUNCTION("""COMPUTED_VALUE"""),1.1785714285714284)</f>
        <v>1.178571429</v>
      </c>
      <c r="W335" s="57">
        <f>IFERROR(__xludf.DUMMYFUNCTION("""COMPUTED_VALUE"""),2.976190476190476)</f>
        <v>2.976190476</v>
      </c>
      <c r="X335" s="31">
        <f>IFERROR(__xludf.DUMMYFUNCTION("""COMPUTED_VALUE"""),367.95867620297605)</f>
        <v>367.9586762</v>
      </c>
      <c r="Y335" s="57">
        <f>IFERROR(__xludf.DUMMYFUNCTION("""COMPUTED_VALUE"""),0.8295698048352247)</f>
        <v>0.8295698048</v>
      </c>
      <c r="Z335" s="57">
        <f>IFERROR(__xludf.DUMMYFUNCTION("""COMPUTED_VALUE"""),0.6378707810541311)</f>
        <v>0.6378707811</v>
      </c>
      <c r="AA335" s="57">
        <f>IFERROR(__xludf.DUMMYFUNCTION("""COMPUTED_VALUE"""),1.3843109613205673)</f>
        <v>1.384310961</v>
      </c>
      <c r="AB335" s="57">
        <f>IFERROR(__xludf.DUMMYFUNCTION("""COMPUTED_VALUE"""),2.7051012086864796)</f>
        <v>2.705101209</v>
      </c>
      <c r="AC335" s="31">
        <f>IFERROR(__xludf.DUMMYFUNCTION("""COMPUTED_VALUE"""),345.6120352891936)</f>
        <v>345.6120353</v>
      </c>
      <c r="AD335" s="57">
        <f>IFERROR(__xludf.DUMMYFUNCTION("""COMPUTED_VALUE"""),0.7172852833157853)</f>
        <v>0.7172852833</v>
      </c>
      <c r="AE335" s="57">
        <f>IFERROR(__xludf.DUMMYFUNCTION("""COMPUTED_VALUE"""),0.5203866001276404)</f>
        <v>0.5203866001</v>
      </c>
      <c r="AF335" s="57">
        <f>IFERROR(__xludf.DUMMYFUNCTION("""COMPUTED_VALUE"""),1.3912690231502725)</f>
        <v>1.391269023</v>
      </c>
      <c r="AG335" s="57">
        <f>IFERROR(__xludf.DUMMYFUNCTION("""COMPUTED_VALUE"""),2.5229655537050775)</f>
        <v>2.522965554</v>
      </c>
      <c r="AH335" s="57">
        <f>IFERROR(__xludf.DUMMYFUNCTION("""COMPUTED_VALUE"""),0.9542078417777421)</f>
        <v>0.9542078418</v>
      </c>
      <c r="AI335" s="57">
        <f>IFERROR(__xludf.DUMMYFUNCTION("""COMPUTED_VALUE"""),0.5476999904990205)</f>
        <v>0.5476999905</v>
      </c>
      <c r="AJ335" s="57">
        <f>IFERROR(__xludf.DUMMYFUNCTION("""COMPUTED_VALUE"""),0.9608241255200654)</f>
        <v>0.9608241255</v>
      </c>
      <c r="AK335" s="57">
        <f>IFERROR(__xludf.DUMMYFUNCTION("""COMPUTED_VALUE"""),1.052482079253162)</f>
        <v>1.052482079</v>
      </c>
      <c r="AL335" s="57">
        <f>IFERROR(__xludf.DUMMYFUNCTION("""COMPUTED_VALUE"""),0.8210292718371024)</f>
        <v>0.8210292718</v>
      </c>
      <c r="AM335" s="57">
        <f>IFERROR(__xludf.DUMMYFUNCTION("""COMPUTED_VALUE"""),1.0413954092472542)</f>
        <v>1.041395409</v>
      </c>
      <c r="AN335" s="57">
        <f>IFERROR(__xludf.DUMMYFUNCTION("""COMPUTED_VALUE"""),1.1910935431063585)</f>
        <v>1.191093543</v>
      </c>
      <c r="AO335" s="57">
        <f>IFERROR(__xludf.DUMMYFUNCTION("""COMPUTED_VALUE"""),1.269103137450517)</f>
        <v>1.269103137</v>
      </c>
      <c r="AP335" s="35">
        <f>IFERROR(__xludf.DUMMYFUNCTION("""COMPUTED_VALUE"""),0.8513776611630142)</f>
        <v>0.8513776612</v>
      </c>
      <c r="AQ335" s="57">
        <f>IFERROR(__xludf.DUMMYFUNCTION("""COMPUTED_VALUE"""),1.1002140942577263)</f>
        <v>1.100214094</v>
      </c>
      <c r="AR335" s="36" t="b">
        <f>IFERROR(__xludf.DUMMYFUNCTION("""COMPUTED_VALUE"""),TRUE)</f>
        <v>1</v>
      </c>
      <c r="AS335" s="57"/>
      <c r="AT335" s="37"/>
      <c r="AU335" s="30"/>
      <c r="AV335" s="30"/>
      <c r="AW335" s="30"/>
      <c r="AX335" s="30"/>
      <c r="AY335" s="30"/>
      <c r="AZ335" s="30"/>
    </row>
    <row r="336">
      <c r="A336" s="30" t="str">
        <f>IFERROR(__xludf.DUMMYFUNCTION("""COMPUTED_VALUE"""),"Elite")</f>
        <v>Elite</v>
      </c>
      <c r="B336" s="30" t="str">
        <f>IFERROR(__xludf.DUMMYFUNCTION("""COMPUTED_VALUE"""),"RSC005469")</f>
        <v>RSC005469</v>
      </c>
      <c r="C336" s="30" t="str">
        <f>IFERROR(__xludf.DUMMYFUNCTION("""COMPUTED_VALUE"""),"Axlos (Goofy and Silly)")</f>
        <v>Axlos (Goofy and Silly)</v>
      </c>
      <c r="D336" s="31" t="str">
        <f>IFERROR(__xludf.DUMMYFUNCTION("""COMPUTED_VALUE"""),"Keno")</f>
        <v>Keno</v>
      </c>
      <c r="E336" s="31">
        <f>IFERROR(__xludf.DUMMYFUNCTION("""COMPUTED_VALUE"""),23.143247988425227)</f>
        <v>23.14324799</v>
      </c>
      <c r="F336" s="31">
        <f>IFERROR(__xludf.DUMMYFUNCTION("""COMPUTED_VALUE"""),-7.074596116065716)</f>
        <v>-7.074596116</v>
      </c>
      <c r="G336" s="31">
        <f>IFERROR(__xludf.DUMMYFUNCTION("""COMPUTED_VALUE"""),33.05268956703218)</f>
        <v>33.05268957</v>
      </c>
      <c r="H336" s="31">
        <f>IFERROR(__xludf.DUMMYFUNCTION("""COMPUTED_VALUE"""),-4.017355715070153)</f>
        <v>-4.017355715</v>
      </c>
      <c r="I336" s="54">
        <f>IFERROR(__xludf.DUMMYFUNCTION("""COMPUTED_VALUE"""),27.0)</f>
        <v>27</v>
      </c>
      <c r="J336" s="55">
        <f>IFERROR(__xludf.DUMMYFUNCTION("""COMPUTED_VALUE"""),12.0)</f>
        <v>12</v>
      </c>
      <c r="K336" s="54">
        <f>IFERROR(__xludf.DUMMYFUNCTION("""COMPUTED_VALUE"""),15.0)</f>
        <v>15</v>
      </c>
      <c r="L336" s="56">
        <f>IFERROR(__xludf.DUMMYFUNCTION("""COMPUTED_VALUE"""),0.4444444444444444)</f>
        <v>0.4444444444</v>
      </c>
      <c r="M336" s="56">
        <f>IFERROR(__xludf.DUMMYFUNCTION("""COMPUTED_VALUE"""),0.2545454545454545)</f>
        <v>0.2545454545</v>
      </c>
      <c r="N336" s="31">
        <f>IFERROR(__xludf.DUMMYFUNCTION("""COMPUTED_VALUE"""),292.4074074074074)</f>
        <v>292.4074074</v>
      </c>
      <c r="O336" s="57">
        <f>IFERROR(__xludf.DUMMYFUNCTION("""COMPUTED_VALUE"""),0.5185185185185185)</f>
        <v>0.5185185185</v>
      </c>
      <c r="P336" s="57">
        <f>IFERROR(__xludf.DUMMYFUNCTION("""COMPUTED_VALUE"""),0.3333333333333333)</f>
        <v>0.3333333333</v>
      </c>
      <c r="Q336" s="57">
        <f>IFERROR(__xludf.DUMMYFUNCTION("""COMPUTED_VALUE"""),1.1111111111111112)</f>
        <v>1.111111111</v>
      </c>
      <c r="R336" s="57">
        <f>IFERROR(__xludf.DUMMYFUNCTION("""COMPUTED_VALUE"""),2.037037037037037)</f>
        <v>2.037037037</v>
      </c>
      <c r="S336" s="31">
        <f>IFERROR(__xludf.DUMMYFUNCTION("""COMPUTED_VALUE"""),333.7654320987654)</f>
        <v>333.7654321</v>
      </c>
      <c r="T336" s="57">
        <f>IFERROR(__xludf.DUMMYFUNCTION("""COMPUTED_VALUE"""),0.7283950617283952)</f>
        <v>0.7283950617</v>
      </c>
      <c r="U336" s="57">
        <f>IFERROR(__xludf.DUMMYFUNCTION("""COMPUTED_VALUE"""),0.5061728395061728)</f>
        <v>0.5061728395</v>
      </c>
      <c r="V336" s="57">
        <f>IFERROR(__xludf.DUMMYFUNCTION("""COMPUTED_VALUE"""),1.1975308641975304)</f>
        <v>1.197530864</v>
      </c>
      <c r="W336" s="57">
        <f>IFERROR(__xludf.DUMMYFUNCTION("""COMPUTED_VALUE"""),2.481481481481482)</f>
        <v>2.481481481</v>
      </c>
      <c r="X336" s="31">
        <f>IFERROR(__xludf.DUMMYFUNCTION("""COMPUTED_VALUE"""),347.1070558929915)</f>
        <v>347.1070559</v>
      </c>
      <c r="Y336" s="57">
        <f>IFERROR(__xludf.DUMMYFUNCTION("""COMPUTED_VALUE"""),0.7071262616321716)</f>
        <v>0.7071262616</v>
      </c>
      <c r="Z336" s="57">
        <f>IFERROR(__xludf.DUMMYFUNCTION("""COMPUTED_VALUE"""),0.5351702926759684)</f>
        <v>0.5351702927</v>
      </c>
      <c r="AA336" s="57">
        <f>IFERROR(__xludf.DUMMYFUNCTION("""COMPUTED_VALUE"""),1.4493527244343085)</f>
        <v>1.449352724</v>
      </c>
      <c r="AB336" s="57">
        <f>IFERROR(__xludf.DUMMYFUNCTION("""COMPUTED_VALUE"""),2.4655975173828377)</f>
        <v>2.465597517</v>
      </c>
      <c r="AC336" s="31">
        <f>IFERROR(__xludf.DUMMYFUNCTION("""COMPUTED_VALUE"""),365.99030059786963)</f>
        <v>365.9903006</v>
      </c>
      <c r="AD336" s="57">
        <f>IFERROR(__xludf.DUMMYFUNCTION("""COMPUTED_VALUE"""),0.8449468793300416)</f>
        <v>0.8449468793</v>
      </c>
      <c r="AE336" s="57">
        <f>IFERROR(__xludf.DUMMYFUNCTION("""COMPUTED_VALUE"""),0.6380657056110749)</f>
        <v>0.6380657056</v>
      </c>
      <c r="AF336" s="57">
        <f>IFERROR(__xludf.DUMMYFUNCTION("""COMPUTED_VALUE"""),1.3483464164173466)</f>
        <v>1.348346416</v>
      </c>
      <c r="AG336" s="57">
        <f>IFERROR(__xludf.DUMMYFUNCTION("""COMPUTED_VALUE"""),2.7383134382929573)</f>
        <v>2.738313438</v>
      </c>
      <c r="AH336" s="57">
        <f>IFERROR(__xludf.DUMMYFUNCTION("""COMPUTED_VALUE"""),0.7989485156566727)</f>
        <v>0.7989485157</v>
      </c>
      <c r="AI336" s="57">
        <f>IFERROR(__xludf.DUMMYFUNCTION("""COMPUTED_VALUE"""),0.6136699610390322)</f>
        <v>0.613669961</v>
      </c>
      <c r="AJ336" s="57">
        <f>IFERROR(__xludf.DUMMYFUNCTION("""COMPUTED_VALUE"""),0.5224122381159795)</f>
        <v>0.5224122381</v>
      </c>
      <c r="AK336" s="57">
        <f>IFERROR(__xludf.DUMMYFUNCTION("""COMPUTED_VALUE"""),0.8240546328319789)</f>
        <v>0.8240546328</v>
      </c>
      <c r="AL336" s="57">
        <f>IFERROR(__xludf.DUMMYFUNCTION("""COMPUTED_VALUE"""),0.7439020707238357)</f>
        <v>0.7439020707</v>
      </c>
      <c r="AM336" s="57">
        <f>IFERROR(__xludf.DUMMYFUNCTION("""COMPUTED_VALUE"""),0.9615633748501524)</f>
        <v>0.9615633749</v>
      </c>
      <c r="AN336" s="57">
        <f>IFERROR(__xludf.DUMMYFUNCTION("""COMPUTED_VALUE"""),1.0300777969229022)</f>
        <v>1.030077797</v>
      </c>
      <c r="AO336" s="57">
        <f>IFERROR(__xludf.DUMMYFUNCTION("""COMPUTED_VALUE"""),0.9458163998139695)</f>
        <v>0.9458163998</v>
      </c>
      <c r="AP336" s="35">
        <f>IFERROR(__xludf.DUMMYFUNCTION("""COMPUTED_VALUE"""),0.8262521910702822)</f>
        <v>0.8262521911</v>
      </c>
      <c r="AQ336" s="57">
        <f>IFERROR(__xludf.DUMMYFUNCTION("""COMPUTED_VALUE"""),1.0064422372210629)</f>
        <v>1.006442237</v>
      </c>
      <c r="AR336" s="36" t="b">
        <f>IFERROR(__xludf.DUMMYFUNCTION("""COMPUTED_VALUE"""),TRUE)</f>
        <v>1</v>
      </c>
      <c r="AS336" s="57"/>
      <c r="AT336" s="37"/>
      <c r="AU336" s="30"/>
      <c r="AV336" s="30"/>
      <c r="AW336" s="30"/>
      <c r="AX336" s="30"/>
      <c r="AY336" s="30"/>
      <c r="AZ336" s="30"/>
    </row>
    <row r="337">
      <c r="A337" s="30" t="str">
        <f>IFERROR(__xludf.DUMMYFUNCTION("""COMPUTED_VALUE"""),"Elite")</f>
        <v>Elite</v>
      </c>
      <c r="B337" s="30" t="str">
        <f>IFERROR(__xludf.DUMMYFUNCTION("""COMPUTED_VALUE"""),"RSC008102")</f>
        <v>RSC008102</v>
      </c>
      <c r="C337" s="30" t="str">
        <f>IFERROR(__xludf.DUMMYFUNCTION("""COMPUTED_VALUE"""),"Talent?")</f>
        <v>Talent?</v>
      </c>
      <c r="D337" s="31"/>
      <c r="E337" s="31">
        <f>IFERROR(__xludf.DUMMYFUNCTION("""COMPUTED_VALUE"""),21.100232682386395)</f>
        <v>21.10023268</v>
      </c>
      <c r="F337" s="31">
        <f>IFERROR(__xludf.DUMMYFUNCTION("""COMPUTED_VALUE"""),-8.074773566043023)</f>
        <v>-8.074773566</v>
      </c>
      <c r="G337" s="31">
        <f>IFERROR(__xludf.DUMMYFUNCTION("""COMPUTED_VALUE"""),26.878123557746175)</f>
        <v>26.87812356</v>
      </c>
      <c r="H337" s="31">
        <f>IFERROR(__xludf.DUMMYFUNCTION("""COMPUTED_VALUE"""),-5.633312446307781)</f>
        <v>-5.633312446</v>
      </c>
      <c r="I337" s="54">
        <f>IFERROR(__xludf.DUMMYFUNCTION("""COMPUTED_VALUE"""),4.0)</f>
        <v>4</v>
      </c>
      <c r="J337" s="55">
        <f>IFERROR(__xludf.DUMMYFUNCTION("""COMPUTED_VALUE"""),1.0)</f>
        <v>1</v>
      </c>
      <c r="K337" s="54">
        <f>IFERROR(__xludf.DUMMYFUNCTION("""COMPUTED_VALUE"""),3.0)</f>
        <v>3</v>
      </c>
      <c r="L337" s="56">
        <f>IFERROR(__xludf.DUMMYFUNCTION("""COMPUTED_VALUE"""),0.25)</f>
        <v>0.25</v>
      </c>
      <c r="M337" s="56">
        <f>IFERROR(__xludf.DUMMYFUNCTION("""COMPUTED_VALUE"""),0.2857142857142857)</f>
        <v>0.2857142857</v>
      </c>
      <c r="N337" s="31">
        <f>IFERROR(__xludf.DUMMYFUNCTION("""COMPUTED_VALUE"""),340.0)</f>
        <v>340</v>
      </c>
      <c r="O337" s="57">
        <f>IFERROR(__xludf.DUMMYFUNCTION("""COMPUTED_VALUE"""),0.5)</f>
        <v>0.5</v>
      </c>
      <c r="P337" s="57">
        <f>IFERROR(__xludf.DUMMYFUNCTION("""COMPUTED_VALUE"""),0.5)</f>
        <v>0.5</v>
      </c>
      <c r="Q337" s="57">
        <f>IFERROR(__xludf.DUMMYFUNCTION("""COMPUTED_VALUE"""),2.0)</f>
        <v>2</v>
      </c>
      <c r="R337" s="57">
        <f>IFERROR(__xludf.DUMMYFUNCTION("""COMPUTED_VALUE"""),1.75)</f>
        <v>1.75</v>
      </c>
      <c r="S337" s="31">
        <f>IFERROR(__xludf.DUMMYFUNCTION("""COMPUTED_VALUE"""),360.1666666666667)</f>
        <v>360.1666667</v>
      </c>
      <c r="T337" s="57">
        <f>IFERROR(__xludf.DUMMYFUNCTION("""COMPUTED_VALUE"""),1.0)</f>
        <v>1</v>
      </c>
      <c r="U337" s="57">
        <f>IFERROR(__xludf.DUMMYFUNCTION("""COMPUTED_VALUE"""),0.5833333333333333)</f>
        <v>0.5833333333</v>
      </c>
      <c r="V337" s="57">
        <f>IFERROR(__xludf.DUMMYFUNCTION("""COMPUTED_VALUE"""),1.25)</f>
        <v>1.25</v>
      </c>
      <c r="W337" s="57">
        <f>IFERROR(__xludf.DUMMYFUNCTION("""COMPUTED_VALUE"""),3.0833333333333335)</f>
        <v>3.083333333</v>
      </c>
      <c r="X337" s="31">
        <f>IFERROR(__xludf.DUMMYFUNCTION("""COMPUTED_VALUE"""),335.97755331088666)</f>
        <v>335.9775533</v>
      </c>
      <c r="Y337" s="57">
        <f>IFERROR(__xludf.DUMMYFUNCTION("""COMPUTED_VALUE"""),0.6214927048260382)</f>
        <v>0.6214927048</v>
      </c>
      <c r="Z337" s="57">
        <f>IFERROR(__xludf.DUMMYFUNCTION("""COMPUTED_VALUE"""),0.46885521885521886)</f>
        <v>0.4688552189</v>
      </c>
      <c r="AA337" s="57">
        <f>IFERROR(__xludf.DUMMYFUNCTION("""COMPUTED_VALUE"""),1.384680134680135)</f>
        <v>1.384680135</v>
      </c>
      <c r="AB337" s="57">
        <f>IFERROR(__xludf.DUMMYFUNCTION("""COMPUTED_VALUE"""),2.318742985409652)</f>
        <v>2.318742985</v>
      </c>
      <c r="AC337" s="31">
        <f>IFERROR(__xludf.DUMMYFUNCTION("""COMPUTED_VALUE"""),333.45997007108116)</f>
        <v>333.4599701</v>
      </c>
      <c r="AD337" s="57">
        <f>IFERROR(__xludf.DUMMYFUNCTION("""COMPUTED_VALUE"""),0.6917321361765807)</f>
        <v>0.6917321362</v>
      </c>
      <c r="AE337" s="57">
        <f>IFERROR(__xludf.DUMMYFUNCTION("""COMPUTED_VALUE"""),0.4933595211372989)</f>
        <v>0.4933595211</v>
      </c>
      <c r="AF337" s="57">
        <f>IFERROR(__xludf.DUMMYFUNCTION("""COMPUTED_VALUE"""),1.2240927796483352)</f>
        <v>1.22409278</v>
      </c>
      <c r="AG337" s="57">
        <f>IFERROR(__xludf.DUMMYFUNCTION("""COMPUTED_VALUE"""),2.510381593714927)</f>
        <v>2.510381594</v>
      </c>
      <c r="AH337" s="57">
        <f>IFERROR(__xludf.DUMMYFUNCTION("""COMPUTED_VALUE"""),1.0196126387449886)</f>
        <v>1.019612639</v>
      </c>
      <c r="AI337" s="57">
        <f>IFERROR(__xludf.DUMMYFUNCTION("""COMPUTED_VALUE"""),0.7228231476473769)</f>
        <v>0.7228231476</v>
      </c>
      <c r="AJ337" s="57">
        <f>IFERROR(__xludf.DUMMYFUNCTION("""COMPUTED_VALUE"""),1.0134597156398104)</f>
        <v>1.013459716</v>
      </c>
      <c r="AK337" s="57">
        <f>IFERROR(__xludf.DUMMYFUNCTION("""COMPUTED_VALUE"""),1.6338630806845966)</f>
        <v>1.633863081</v>
      </c>
      <c r="AL337" s="57">
        <f>IFERROR(__xludf.DUMMYFUNCTION("""COMPUTED_VALUE"""),0.6971051749189672)</f>
        <v>0.6971051749</v>
      </c>
      <c r="AM337" s="57">
        <f>IFERROR(__xludf.DUMMYFUNCTION("""COMPUTED_VALUE"""),1.0719962185491523)</f>
        <v>1.071996219</v>
      </c>
      <c r="AN337" s="57">
        <f>IFERROR(__xludf.DUMMYFUNCTION("""COMPUTED_VALUE"""),1.6090293453724602)</f>
        <v>1.609029345</v>
      </c>
      <c r="AO337" s="57">
        <f>IFERROR(__xludf.DUMMYFUNCTION("""COMPUTED_VALUE"""),1.2441651705565528)</f>
        <v>1.244165171</v>
      </c>
      <c r="AP337" s="35">
        <f>IFERROR(__xludf.DUMMYFUNCTION("""COMPUTED_VALUE"""),0.9027355623100303)</f>
        <v>0.9027355623</v>
      </c>
      <c r="AQ337" s="57">
        <f>IFERROR(__xludf.DUMMYFUNCTION("""COMPUTED_VALUE"""),1.3297434656340756)</f>
        <v>1.329743466</v>
      </c>
      <c r="AR337" s="36" t="b">
        <f>IFERROR(__xludf.DUMMYFUNCTION("""COMPUTED_VALUE"""),TRUE)</f>
        <v>1</v>
      </c>
      <c r="AS337" s="57"/>
      <c r="AT337" s="37"/>
      <c r="AU337" s="30"/>
      <c r="AV337" s="30"/>
      <c r="AW337" s="30"/>
      <c r="AX337" s="30"/>
      <c r="AY337" s="30"/>
      <c r="AZ337" s="30"/>
    </row>
    <row r="338">
      <c r="A338" s="30" t="str">
        <f>IFERROR(__xludf.DUMMYFUNCTION("""COMPUTED_VALUE"""),"Elite")</f>
        <v>Elite</v>
      </c>
      <c r="B338" s="30" t="str">
        <f>IFERROR(__xludf.DUMMYFUNCTION("""COMPUTED_VALUE"""),"RSC000690")</f>
        <v>RSC000690</v>
      </c>
      <c r="C338" s="30" t="str">
        <f>IFERROR(__xludf.DUMMYFUNCTION("""COMPUTED_VALUE"""),"paco")</f>
        <v>paco</v>
      </c>
      <c r="D338" s="31" t="str">
        <f>IFERROR(__xludf.DUMMYFUNCTION("""COMPUTED_VALUE"""),"Drive Bye")</f>
        <v>Drive Bye</v>
      </c>
      <c r="E338" s="31">
        <f>IFERROR(__xludf.DUMMYFUNCTION("""COMPUTED_VALUE"""),19.545727245674655)</f>
        <v>19.54572725</v>
      </c>
      <c r="F338" s="31">
        <f>IFERROR(__xludf.DUMMYFUNCTION("""COMPUTED_VALUE"""),-8.962218491623942)</f>
        <v>-8.962218492</v>
      </c>
      <c r="G338" s="31">
        <f>IFERROR(__xludf.DUMMYFUNCTION("""COMPUTED_VALUE"""),15.998989889276302)</f>
        <v>15.99898989</v>
      </c>
      <c r="H338" s="31">
        <f>IFERROR(__xludf.DUMMYFUNCTION("""COMPUTED_VALUE"""),-11.506345230286305)</f>
        <v>-11.50634523</v>
      </c>
      <c r="I338" s="54">
        <f>IFERROR(__xludf.DUMMYFUNCTION("""COMPUTED_VALUE"""),21.0)</f>
        <v>21</v>
      </c>
      <c r="J338" s="55">
        <f>IFERROR(__xludf.DUMMYFUNCTION("""COMPUTED_VALUE"""),8.0)</f>
        <v>8</v>
      </c>
      <c r="K338" s="54">
        <f>IFERROR(__xludf.DUMMYFUNCTION("""COMPUTED_VALUE"""),13.0)</f>
        <v>13</v>
      </c>
      <c r="L338" s="56">
        <f>IFERROR(__xludf.DUMMYFUNCTION("""COMPUTED_VALUE"""),0.38095238095238093)</f>
        <v>0.380952381</v>
      </c>
      <c r="M338" s="56">
        <f>IFERROR(__xludf.DUMMYFUNCTION("""COMPUTED_VALUE"""),0.2972972972972973)</f>
        <v>0.2972972973</v>
      </c>
      <c r="N338" s="31">
        <f>IFERROR(__xludf.DUMMYFUNCTION("""COMPUTED_VALUE"""),295.4761904761905)</f>
        <v>295.4761905</v>
      </c>
      <c r="O338" s="57">
        <f>IFERROR(__xludf.DUMMYFUNCTION("""COMPUTED_VALUE"""),0.5238095238095238)</f>
        <v>0.5238095238</v>
      </c>
      <c r="P338" s="57">
        <f>IFERROR(__xludf.DUMMYFUNCTION("""COMPUTED_VALUE"""),0.38095238095238093)</f>
        <v>0.380952381</v>
      </c>
      <c r="Q338" s="57">
        <f>IFERROR(__xludf.DUMMYFUNCTION("""COMPUTED_VALUE"""),1.4285714285714286)</f>
        <v>1.428571429</v>
      </c>
      <c r="R338" s="57">
        <f>IFERROR(__xludf.DUMMYFUNCTION("""COMPUTED_VALUE"""),1.7619047619047619)</f>
        <v>1.761904762</v>
      </c>
      <c r="S338" s="31">
        <f>IFERROR(__xludf.DUMMYFUNCTION("""COMPUTED_VALUE"""),377.5873015873016)</f>
        <v>377.5873016</v>
      </c>
      <c r="T338" s="57">
        <f>IFERROR(__xludf.DUMMYFUNCTION("""COMPUTED_VALUE"""),0.888888888888889)</f>
        <v>0.8888888889</v>
      </c>
      <c r="U338" s="57">
        <f>IFERROR(__xludf.DUMMYFUNCTION("""COMPUTED_VALUE"""),0.6984126984126985)</f>
        <v>0.6984126984</v>
      </c>
      <c r="V338" s="57">
        <f>IFERROR(__xludf.DUMMYFUNCTION("""COMPUTED_VALUE"""),1.2380952380952384)</f>
        <v>1.238095238</v>
      </c>
      <c r="W338" s="57">
        <f>IFERROR(__xludf.DUMMYFUNCTION("""COMPUTED_VALUE"""),3.142857142857143)</f>
        <v>3.142857143</v>
      </c>
      <c r="X338" s="31">
        <f>IFERROR(__xludf.DUMMYFUNCTION("""COMPUTED_VALUE"""),360.8312020249458)</f>
        <v>360.831202</v>
      </c>
      <c r="Y338" s="57">
        <f>IFERROR(__xludf.DUMMYFUNCTION("""COMPUTED_VALUE"""),0.7724802228994492)</f>
        <v>0.7724802229</v>
      </c>
      <c r="Z338" s="57">
        <f>IFERROR(__xludf.DUMMYFUNCTION("""COMPUTED_VALUE"""),0.5958859951840574)</f>
        <v>0.5958859952</v>
      </c>
      <c r="AA338" s="57">
        <f>IFERROR(__xludf.DUMMYFUNCTION("""COMPUTED_VALUE"""),1.392905897570455)</f>
        <v>1.392905898</v>
      </c>
      <c r="AB338" s="57">
        <f>IFERROR(__xludf.DUMMYFUNCTION("""COMPUTED_VALUE"""),2.7263616283843173)</f>
        <v>2.726361628</v>
      </c>
      <c r="AC338" s="31">
        <f>IFERROR(__xludf.DUMMYFUNCTION("""COMPUTED_VALUE"""),355.2827343886154)</f>
        <v>355.2827344</v>
      </c>
      <c r="AD338" s="57">
        <f>IFERROR(__xludf.DUMMYFUNCTION("""COMPUTED_VALUE"""),0.730627216234704)</f>
        <v>0.7306272162</v>
      </c>
      <c r="AE338" s="57">
        <f>IFERROR(__xludf.DUMMYFUNCTION("""COMPUTED_VALUE"""),0.5576962811026596)</f>
        <v>0.5576962811</v>
      </c>
      <c r="AF338" s="57">
        <f>IFERROR(__xludf.DUMMYFUNCTION("""COMPUTED_VALUE"""),1.4622656460695957)</f>
        <v>1.462265646</v>
      </c>
      <c r="AG338" s="57">
        <f>IFERROR(__xludf.DUMMYFUNCTION("""COMPUTED_VALUE"""),2.5417903339745784)</f>
        <v>2.541790334</v>
      </c>
      <c r="AH338" s="57">
        <f>IFERROR(__xludf.DUMMYFUNCTION("""COMPUTED_VALUE"""),0.8316649301426303)</f>
        <v>0.8316649301</v>
      </c>
      <c r="AI338" s="57">
        <f>IFERROR(__xludf.DUMMYFUNCTION("""COMPUTED_VALUE"""),0.7169313052817584)</f>
        <v>0.7169313053</v>
      </c>
      <c r="AJ338" s="57">
        <f>IFERROR(__xludf.DUMMYFUNCTION("""COMPUTED_VALUE"""),0.683082161134684)</f>
        <v>0.6830821611</v>
      </c>
      <c r="AK338" s="57">
        <f>IFERROR(__xludf.DUMMYFUNCTION("""COMPUTED_VALUE"""),0.9769575264325375)</f>
        <v>0.9769575264</v>
      </c>
      <c r="AL338" s="57">
        <f>IFERROR(__xludf.DUMMYFUNCTION("""COMPUTED_VALUE"""),0.6931747038118934)</f>
        <v>0.6931747038</v>
      </c>
      <c r="AM338" s="57">
        <f>IFERROR(__xludf.DUMMYFUNCTION("""COMPUTED_VALUE"""),1.0464375017136056)</f>
        <v>1.046437502</v>
      </c>
      <c r="AN338" s="57">
        <f>IFERROR(__xludf.DUMMYFUNCTION("""COMPUTED_VALUE"""),1.150694687758488)</f>
        <v>1.150694688</v>
      </c>
      <c r="AO338" s="57">
        <f>IFERROR(__xludf.DUMMYFUNCTION("""COMPUTED_VALUE"""),1.1720575815797998)</f>
        <v>1.172057582</v>
      </c>
      <c r="AP338" s="35">
        <f>IFERROR(__xludf.DUMMYFUNCTION("""COMPUTED_VALUE"""),0.8888577758589137)</f>
        <v>0.8888577759</v>
      </c>
      <c r="AQ338" s="57">
        <f>IFERROR(__xludf.DUMMYFUNCTION("""COMPUTED_VALUE"""),1.1527660564675886)</f>
        <v>1.152766056</v>
      </c>
      <c r="AR338" s="36" t="b">
        <f>IFERROR(__xludf.DUMMYFUNCTION("""COMPUTED_VALUE"""),TRUE)</f>
        <v>1</v>
      </c>
      <c r="AS338" s="57"/>
      <c r="AT338" s="37"/>
      <c r="AU338" s="30"/>
      <c r="AV338" s="30"/>
      <c r="AW338" s="30"/>
      <c r="AX338" s="30"/>
      <c r="AY338" s="30"/>
      <c r="AZ338" s="30"/>
    </row>
    <row r="339">
      <c r="A339" s="30" t="str">
        <f>IFERROR(__xludf.DUMMYFUNCTION("""COMPUTED_VALUE"""),"Elite")</f>
        <v>Elite</v>
      </c>
      <c r="B339" s="30" t="str">
        <f>IFERROR(__xludf.DUMMYFUNCTION("""COMPUTED_VALUE"""),"RSC007877")</f>
        <v>RSC007877</v>
      </c>
      <c r="C339" s="30" t="str">
        <f>IFERROR(__xludf.DUMMYFUNCTION("""COMPUTED_VALUE"""),"Torro")</f>
        <v>Torro</v>
      </c>
      <c r="D339" s="31" t="str">
        <f>IFERROR(__xludf.DUMMYFUNCTION("""COMPUTED_VALUE"""),"Wyverns")</f>
        <v>Wyverns</v>
      </c>
      <c r="E339" s="31">
        <f>IFERROR(__xludf.DUMMYFUNCTION("""COMPUTED_VALUE"""),18.290048869901277)</f>
        <v>18.29004887</v>
      </c>
      <c r="F339" s="31">
        <f>IFERROR(__xludf.DUMMYFUNCTION("""COMPUTED_VALUE"""),-9.772503956941504)</f>
        <v>-9.772503957</v>
      </c>
      <c r="G339" s="31">
        <f>IFERROR(__xludf.DUMMYFUNCTION("""COMPUTED_VALUE"""),26.360632356309207)</f>
        <v>26.36063236</v>
      </c>
      <c r="H339" s="31">
        <f>IFERROR(__xludf.DUMMYFUNCTION("""COMPUTED_VALUE"""),-5.807781866161913)</f>
        <v>-5.807781866</v>
      </c>
      <c r="I339" s="54">
        <f>IFERROR(__xludf.DUMMYFUNCTION("""COMPUTED_VALUE"""),19.0)</f>
        <v>19</v>
      </c>
      <c r="J339" s="55">
        <f>IFERROR(__xludf.DUMMYFUNCTION("""COMPUTED_VALUE"""),8.0)</f>
        <v>8</v>
      </c>
      <c r="K339" s="54">
        <f>IFERROR(__xludf.DUMMYFUNCTION("""COMPUTED_VALUE"""),11.0)</f>
        <v>11</v>
      </c>
      <c r="L339" s="56">
        <f>IFERROR(__xludf.DUMMYFUNCTION("""COMPUTED_VALUE"""),0.42105263157894735)</f>
        <v>0.4210526316</v>
      </c>
      <c r="M339" s="56">
        <f>IFERROR(__xludf.DUMMYFUNCTION("""COMPUTED_VALUE"""),0.1875)</f>
        <v>0.1875</v>
      </c>
      <c r="N339" s="31">
        <f>IFERROR(__xludf.DUMMYFUNCTION("""COMPUTED_VALUE"""),273.1578947368421)</f>
        <v>273.1578947</v>
      </c>
      <c r="O339" s="57">
        <f>IFERROR(__xludf.DUMMYFUNCTION("""COMPUTED_VALUE"""),0.3157894736842105)</f>
        <v>0.3157894737</v>
      </c>
      <c r="P339" s="57">
        <f>IFERROR(__xludf.DUMMYFUNCTION("""COMPUTED_VALUE"""),0.47368421052631576)</f>
        <v>0.4736842105</v>
      </c>
      <c r="Q339" s="57">
        <f>IFERROR(__xludf.DUMMYFUNCTION("""COMPUTED_VALUE"""),1.2105263157894737)</f>
        <v>1.210526316</v>
      </c>
      <c r="R339" s="57">
        <f>IFERROR(__xludf.DUMMYFUNCTION("""COMPUTED_VALUE"""),1.6842105263157894)</f>
        <v>1.684210526</v>
      </c>
      <c r="S339" s="31">
        <f>IFERROR(__xludf.DUMMYFUNCTION("""COMPUTED_VALUE"""),351.66666666666663)</f>
        <v>351.6666667</v>
      </c>
      <c r="T339" s="57">
        <f>IFERROR(__xludf.DUMMYFUNCTION("""COMPUTED_VALUE"""),0.8421052631578947)</f>
        <v>0.8421052632</v>
      </c>
      <c r="U339" s="57">
        <f>IFERROR(__xludf.DUMMYFUNCTION("""COMPUTED_VALUE"""),0.6842105263157895)</f>
        <v>0.6842105263</v>
      </c>
      <c r="V339" s="57">
        <f>IFERROR(__xludf.DUMMYFUNCTION("""COMPUTED_VALUE"""),1.2105263157894735)</f>
        <v>1.210526316</v>
      </c>
      <c r="W339" s="57">
        <f>IFERROR(__xludf.DUMMYFUNCTION("""COMPUTED_VALUE"""),2.543859649122807)</f>
        <v>2.543859649</v>
      </c>
      <c r="X339" s="31">
        <f>IFERROR(__xludf.DUMMYFUNCTION("""COMPUTED_VALUE"""),382.5124367808919)</f>
        <v>382.5124368</v>
      </c>
      <c r="Y339" s="57">
        <f>IFERROR(__xludf.DUMMYFUNCTION("""COMPUTED_VALUE"""),0.9160829724228328)</f>
        <v>0.9160829724</v>
      </c>
      <c r="Z339" s="57">
        <f>IFERROR(__xludf.DUMMYFUNCTION("""COMPUTED_VALUE"""),0.6358021886067875)</f>
        <v>0.6358021886</v>
      </c>
      <c r="AA339" s="57">
        <f>IFERROR(__xludf.DUMMYFUNCTION("""COMPUTED_VALUE"""),1.4106217447855116)</f>
        <v>1.410621745</v>
      </c>
      <c r="AB339" s="57">
        <f>IFERROR(__xludf.DUMMYFUNCTION("""COMPUTED_VALUE"""),2.8063666866008012)</f>
        <v>2.806366687</v>
      </c>
      <c r="AC339" s="31">
        <f>IFERROR(__xludf.DUMMYFUNCTION("""COMPUTED_VALUE"""),349.7020460794888)</f>
        <v>349.7020461</v>
      </c>
      <c r="AD339" s="57">
        <f>IFERROR(__xludf.DUMMYFUNCTION("""COMPUTED_VALUE"""),0.7221234407148523)</f>
        <v>0.7221234407</v>
      </c>
      <c r="AE339" s="57">
        <f>IFERROR(__xludf.DUMMYFUNCTION("""COMPUTED_VALUE"""),0.5177304120005675)</f>
        <v>0.517730412</v>
      </c>
      <c r="AF339" s="57">
        <f>IFERROR(__xludf.DUMMYFUNCTION("""COMPUTED_VALUE"""),1.4171316237467846)</f>
        <v>1.417131624</v>
      </c>
      <c r="AG339" s="57">
        <f>IFERROR(__xludf.DUMMYFUNCTION("""COMPUTED_VALUE"""),2.5450234716149183)</f>
        <v>2.545023472</v>
      </c>
      <c r="AH339" s="57">
        <f>IFERROR(__xludf.DUMMYFUNCTION("""COMPUTED_VALUE"""),0.7811160895374117)</f>
        <v>0.7811160895</v>
      </c>
      <c r="AI339" s="57">
        <f>IFERROR(__xludf.DUMMYFUNCTION("""COMPUTED_VALUE"""),0.43730677593238176)</f>
        <v>0.4373067759</v>
      </c>
      <c r="AJ339" s="57">
        <f>IFERROR(__xludf.DUMMYFUNCTION("""COMPUTED_VALUE"""),0.9149244462884606)</f>
        <v>0.9149244463</v>
      </c>
      <c r="AK339" s="57">
        <f>IFERROR(__xludf.DUMMYFUNCTION("""COMPUTED_VALUE"""),0.8542088084866367)</f>
        <v>0.8542088085</v>
      </c>
      <c r="AL339" s="57">
        <f>IFERROR(__xludf.DUMMYFUNCTION("""COMPUTED_VALUE"""),0.6617662057344764)</f>
        <v>0.6617662057</v>
      </c>
      <c r="AM339" s="57">
        <f>IFERROR(__xludf.DUMMYFUNCTION("""COMPUTED_VALUE"""),0.9193600857169145)</f>
        <v>0.9193600857</v>
      </c>
      <c r="AN339" s="57">
        <f>IFERROR(__xludf.DUMMYFUNCTION("""COMPUTED_VALUE"""),0.9192456234949071)</f>
        <v>0.9192456235</v>
      </c>
      <c r="AO339" s="57">
        <f>IFERROR(__xludf.DUMMYFUNCTION("""COMPUTED_VALUE"""),1.0761374191162782)</f>
        <v>1.076137419</v>
      </c>
      <c r="AP339" s="35">
        <f>IFERROR(__xludf.DUMMYFUNCTION("""COMPUTED_VALUE"""),0.8581508971234078)</f>
        <v>0.8581508971</v>
      </c>
      <c r="AQ339" s="57">
        <f>IFERROR(__xludf.DUMMYFUNCTION("""COMPUTED_VALUE"""),0.9064601790167504)</f>
        <v>0.906460179</v>
      </c>
      <c r="AR339" s="36" t="b">
        <f>IFERROR(__xludf.DUMMYFUNCTION("""COMPUTED_VALUE"""),TRUE)</f>
        <v>1</v>
      </c>
      <c r="AS339" s="57"/>
      <c r="AT339" s="37"/>
      <c r="AU339" s="30"/>
      <c r="AV339" s="30"/>
      <c r="AW339" s="30"/>
      <c r="AX339" s="30"/>
      <c r="AY339" s="30"/>
      <c r="AZ339" s="30"/>
    </row>
    <row r="340">
      <c r="A340" s="30" t="str">
        <f>IFERROR(__xludf.DUMMYFUNCTION("""COMPUTED_VALUE"""),"Elite")</f>
        <v>Elite</v>
      </c>
      <c r="B340" s="30" t="str">
        <f>IFERROR(__xludf.DUMMYFUNCTION("""COMPUTED_VALUE"""),"RSC004990")</f>
        <v>RSC004990</v>
      </c>
      <c r="C340" s="30" t="str">
        <f>IFERROR(__xludf.DUMMYFUNCTION("""COMPUTED_VALUE"""),"Legend")</f>
        <v>Legend</v>
      </c>
      <c r="D340" s="31" t="str">
        <f>IFERROR(__xludf.DUMMYFUNCTION("""COMPUTED_VALUE"""),"Majesties")</f>
        <v>Majesties</v>
      </c>
      <c r="E340" s="31">
        <f>IFERROR(__xludf.DUMMYFUNCTION("""COMPUTED_VALUE"""),17.697554247455187)</f>
        <v>17.69755425</v>
      </c>
      <c r="F340" s="31">
        <f>IFERROR(__xludf.DUMMYFUNCTION("""COMPUTED_VALUE"""),-10.187279520151751)</f>
        <v>-10.18727952</v>
      </c>
      <c r="G340" s="31">
        <f>IFERROR(__xludf.DUMMYFUNCTION("""COMPUTED_VALUE"""),21.774047397672952)</f>
        <v>21.7740474</v>
      </c>
      <c r="H340" s="31">
        <f>IFERROR(__xludf.DUMMYFUNCTION("""COMPUTED_VALUE"""),-7.725534625009262)</f>
        <v>-7.725534625</v>
      </c>
      <c r="I340" s="54">
        <f>IFERROR(__xludf.DUMMYFUNCTION("""COMPUTED_VALUE"""),22.0)</f>
        <v>22</v>
      </c>
      <c r="J340" s="55">
        <f>IFERROR(__xludf.DUMMYFUNCTION("""COMPUTED_VALUE"""),6.0)</f>
        <v>6</v>
      </c>
      <c r="K340" s="54">
        <f>IFERROR(__xludf.DUMMYFUNCTION("""COMPUTED_VALUE"""),16.0)</f>
        <v>16</v>
      </c>
      <c r="L340" s="56">
        <f>IFERROR(__xludf.DUMMYFUNCTION("""COMPUTED_VALUE"""),0.2727272727272727)</f>
        <v>0.2727272727</v>
      </c>
      <c r="M340" s="56">
        <f>IFERROR(__xludf.DUMMYFUNCTION("""COMPUTED_VALUE"""),0.27777777777777773)</f>
        <v>0.2777777778</v>
      </c>
      <c r="N340" s="31">
        <f>IFERROR(__xludf.DUMMYFUNCTION("""COMPUTED_VALUE"""),324.72727272727275)</f>
        <v>324.7272727</v>
      </c>
      <c r="O340" s="57">
        <f>IFERROR(__xludf.DUMMYFUNCTION("""COMPUTED_VALUE"""),0.45454545454545453)</f>
        <v>0.4545454545</v>
      </c>
      <c r="P340" s="57">
        <f>IFERROR(__xludf.DUMMYFUNCTION("""COMPUTED_VALUE"""),0.4090909090909091)</f>
        <v>0.4090909091</v>
      </c>
      <c r="Q340" s="57">
        <f>IFERROR(__xludf.DUMMYFUNCTION("""COMPUTED_VALUE"""),1.4090909090909092)</f>
        <v>1.409090909</v>
      </c>
      <c r="R340" s="57">
        <f>IFERROR(__xludf.DUMMYFUNCTION("""COMPUTED_VALUE"""),1.6363636363636365)</f>
        <v>1.636363636</v>
      </c>
      <c r="S340" s="31">
        <f>IFERROR(__xludf.DUMMYFUNCTION("""COMPUTED_VALUE"""),397.8636363636364)</f>
        <v>397.8636364</v>
      </c>
      <c r="T340" s="57">
        <f>IFERROR(__xludf.DUMMYFUNCTION("""COMPUTED_VALUE"""),1.090909090909091)</f>
        <v>1.090909091</v>
      </c>
      <c r="U340" s="57">
        <f>IFERROR(__xludf.DUMMYFUNCTION("""COMPUTED_VALUE"""),0.7575757575757575)</f>
        <v>0.7575757576</v>
      </c>
      <c r="V340" s="57">
        <f>IFERROR(__xludf.DUMMYFUNCTION("""COMPUTED_VALUE"""),1.2424242424242424)</f>
        <v>1.242424242</v>
      </c>
      <c r="W340" s="57">
        <f>IFERROR(__xludf.DUMMYFUNCTION("""COMPUTED_VALUE"""),3.0909090909090917)</f>
        <v>3.090909091</v>
      </c>
      <c r="X340" s="31">
        <f>IFERROR(__xludf.DUMMYFUNCTION("""COMPUTED_VALUE"""),370.38031549282454)</f>
        <v>370.3803155</v>
      </c>
      <c r="Y340" s="57">
        <f>IFERROR(__xludf.DUMMYFUNCTION("""COMPUTED_VALUE"""),0.853330243119354)</f>
        <v>0.8533302431</v>
      </c>
      <c r="Z340" s="57">
        <f>IFERROR(__xludf.DUMMYFUNCTION("""COMPUTED_VALUE"""),0.6538947063542305)</f>
        <v>0.6538947064</v>
      </c>
      <c r="AA340" s="57">
        <f>IFERROR(__xludf.DUMMYFUNCTION("""COMPUTED_VALUE"""),1.337133318323062)</f>
        <v>1.337133318</v>
      </c>
      <c r="AB340" s="57">
        <f>IFERROR(__xludf.DUMMYFUNCTION("""COMPUTED_VALUE"""),2.800966255326424)</f>
        <v>2.800966255</v>
      </c>
      <c r="AC340" s="31">
        <f>IFERROR(__xludf.DUMMYFUNCTION("""COMPUTED_VALUE"""),352.0051377832531)</f>
        <v>352.0051378</v>
      </c>
      <c r="AD340" s="57">
        <f>IFERROR(__xludf.DUMMYFUNCTION("""COMPUTED_VALUE"""),0.7158762503264368)</f>
        <v>0.7158762503</v>
      </c>
      <c r="AE340" s="57">
        <f>IFERROR(__xludf.DUMMYFUNCTION("""COMPUTED_VALUE"""),0.5352244692299528)</f>
        <v>0.5352244692</v>
      </c>
      <c r="AF340" s="57">
        <f>IFERROR(__xludf.DUMMYFUNCTION("""COMPUTED_VALUE"""),1.455404155628926)</f>
        <v>1.455404156</v>
      </c>
      <c r="AG340" s="57">
        <f>IFERROR(__xludf.DUMMYFUNCTION("""COMPUTED_VALUE"""),2.502111692013458)</f>
        <v>2.502111692</v>
      </c>
      <c r="AH340" s="57">
        <f>IFERROR(__xludf.DUMMYFUNCTION("""COMPUTED_VALUE"""),0.9225071962649117)</f>
        <v>0.9225071963</v>
      </c>
      <c r="AI340" s="57">
        <f>IFERROR(__xludf.DUMMYFUNCTION("""COMPUTED_VALUE"""),0.6349497616916102)</f>
        <v>0.6349497617</v>
      </c>
      <c r="AJ340" s="57">
        <f>IFERROR(__xludf.DUMMYFUNCTION("""COMPUTED_VALUE"""),0.7643352137458949)</f>
        <v>0.7643352137</v>
      </c>
      <c r="AK340" s="57">
        <f>IFERROR(__xludf.DUMMYFUNCTION("""COMPUTED_VALUE"""),0.9681784290920872)</f>
        <v>0.9681784291</v>
      </c>
      <c r="AL340" s="57">
        <f>IFERROR(__xludf.DUMMYFUNCTION("""COMPUTED_VALUE"""),0.6539930417921708)</f>
        <v>0.6539930418</v>
      </c>
      <c r="AM340" s="57">
        <f>IFERROR(__xludf.DUMMYFUNCTION("""COMPUTED_VALUE"""),1.0742029738655057)</f>
        <v>1.074202974</v>
      </c>
      <c r="AN340" s="57">
        <f>IFERROR(__xludf.DUMMYFUNCTION("""COMPUTED_VALUE"""),1.2784137204855954)</f>
        <v>1.27841372</v>
      </c>
      <c r="AO340" s="57">
        <f>IFERROR(__xludf.DUMMYFUNCTION("""COMPUTED_VALUE"""),1.158559245416739)</f>
        <v>1.158559245</v>
      </c>
      <c r="AP340" s="35">
        <f>IFERROR(__xludf.DUMMYFUNCTION("""COMPUTED_VALUE"""),0.929170057614302)</f>
        <v>0.9291700576</v>
      </c>
      <c r="AQ340" s="57">
        <f>IFERROR(__xludf.DUMMYFUNCTION("""COMPUTED_VALUE"""),1.1035152904935221)</f>
        <v>1.10351529</v>
      </c>
      <c r="AR340" s="36" t="b">
        <f>IFERROR(__xludf.DUMMYFUNCTION("""COMPUTED_VALUE"""),TRUE)</f>
        <v>1</v>
      </c>
      <c r="AS340" s="57"/>
      <c r="AT340" s="37"/>
      <c r="AU340" s="30"/>
      <c r="AV340" s="30"/>
      <c r="AW340" s="30"/>
      <c r="AX340" s="30"/>
      <c r="AY340" s="30"/>
      <c r="AZ340" s="30"/>
    </row>
    <row r="341">
      <c r="A341" s="30" t="str">
        <f>IFERROR(__xludf.DUMMYFUNCTION("""COMPUTED_VALUE"""),"Elite")</f>
        <v>Elite</v>
      </c>
      <c r="B341" s="30" t="str">
        <f>IFERROR(__xludf.DUMMYFUNCTION("""COMPUTED_VALUE"""),"RSC004889")</f>
        <v>RSC004889</v>
      </c>
      <c r="C341" s="30" t="str">
        <f>IFERROR(__xludf.DUMMYFUNCTION("""COMPUTED_VALUE"""),"Steeltoehammer")</f>
        <v>Steeltoehammer</v>
      </c>
      <c r="D341" s="31" t="str">
        <f>IFERROR(__xludf.DUMMYFUNCTION("""COMPUTED_VALUE"""),"Despair")</f>
        <v>Despair</v>
      </c>
      <c r="E341" s="31">
        <f>IFERROR(__xludf.DUMMYFUNCTION("""COMPUTED_VALUE"""),13.821187145308791)</f>
        <v>13.82118715</v>
      </c>
      <c r="F341" s="31">
        <f>IFERROR(__xludf.DUMMYFUNCTION("""COMPUTED_VALUE"""),-13.52683810841659)</f>
        <v>-13.52683811</v>
      </c>
      <c r="G341" s="31">
        <f>IFERROR(__xludf.DUMMYFUNCTION("""COMPUTED_VALUE"""),6.638650196533085)</f>
        <v>6.638650197</v>
      </c>
      <c r="H341" s="31">
        <f>IFERROR(__xludf.DUMMYFUNCTION("""COMPUTED_VALUE"""),-24.14363660024818)</f>
        <v>-24.1436366</v>
      </c>
      <c r="I341" s="54">
        <f>IFERROR(__xludf.DUMMYFUNCTION("""COMPUTED_VALUE"""),11.0)</f>
        <v>11</v>
      </c>
      <c r="J341" s="55">
        <f>IFERROR(__xludf.DUMMYFUNCTION("""COMPUTED_VALUE"""),4.0)</f>
        <v>4</v>
      </c>
      <c r="K341" s="54">
        <f>IFERROR(__xludf.DUMMYFUNCTION("""COMPUTED_VALUE"""),7.0)</f>
        <v>7</v>
      </c>
      <c r="L341" s="56">
        <f>IFERROR(__xludf.DUMMYFUNCTION("""COMPUTED_VALUE"""),0.36363636363636365)</f>
        <v>0.3636363636</v>
      </c>
      <c r="M341" s="56">
        <f>IFERROR(__xludf.DUMMYFUNCTION("""COMPUTED_VALUE"""),0.23529411764705885)</f>
        <v>0.2352941176</v>
      </c>
      <c r="N341" s="31">
        <f>IFERROR(__xludf.DUMMYFUNCTION("""COMPUTED_VALUE"""),288.90909090909093)</f>
        <v>288.9090909</v>
      </c>
      <c r="O341" s="57">
        <f>IFERROR(__xludf.DUMMYFUNCTION("""COMPUTED_VALUE"""),0.36363636363636365)</f>
        <v>0.3636363636</v>
      </c>
      <c r="P341" s="57">
        <f>IFERROR(__xludf.DUMMYFUNCTION("""COMPUTED_VALUE"""),0.2727272727272727)</f>
        <v>0.2727272727</v>
      </c>
      <c r="Q341" s="57">
        <f>IFERROR(__xludf.DUMMYFUNCTION("""COMPUTED_VALUE"""),1.2727272727272727)</f>
        <v>1.272727273</v>
      </c>
      <c r="R341" s="57">
        <f>IFERROR(__xludf.DUMMYFUNCTION("""COMPUTED_VALUE"""),1.5454545454545454)</f>
        <v>1.545454545</v>
      </c>
      <c r="S341" s="31">
        <f>IFERROR(__xludf.DUMMYFUNCTION("""COMPUTED_VALUE"""),377.8484848484848)</f>
        <v>377.8484848</v>
      </c>
      <c r="T341" s="57">
        <f>IFERROR(__xludf.DUMMYFUNCTION("""COMPUTED_VALUE"""),0.7575757575757575)</f>
        <v>0.7575757576</v>
      </c>
      <c r="U341" s="57">
        <f>IFERROR(__xludf.DUMMYFUNCTION("""COMPUTED_VALUE"""),0.4848484848484848)</f>
        <v>0.4848484848</v>
      </c>
      <c r="V341" s="57">
        <f>IFERROR(__xludf.DUMMYFUNCTION("""COMPUTED_VALUE"""),1.272727272727273)</f>
        <v>1.272727273</v>
      </c>
      <c r="W341" s="57">
        <f>IFERROR(__xludf.DUMMYFUNCTION("""COMPUTED_VALUE"""),3.1212121212121215)</f>
        <v>3.121212121</v>
      </c>
      <c r="X341" s="31">
        <f>IFERROR(__xludf.DUMMYFUNCTION("""COMPUTED_VALUE"""),374.00451006941444)</f>
        <v>374.0045101</v>
      </c>
      <c r="Y341" s="57">
        <f>IFERROR(__xludf.DUMMYFUNCTION("""COMPUTED_VALUE"""),0.8588229090550077)</f>
        <v>0.8588229091</v>
      </c>
      <c r="Z341" s="57">
        <f>IFERROR(__xludf.DUMMYFUNCTION("""COMPUTED_VALUE"""),0.6421210826349166)</f>
        <v>0.6421210826</v>
      </c>
      <c r="AA341" s="57">
        <f>IFERROR(__xludf.DUMMYFUNCTION("""COMPUTED_VALUE"""),1.3655824554551463)</f>
        <v>1.365582455</v>
      </c>
      <c r="AB341" s="57">
        <f>IFERROR(__xludf.DUMMYFUNCTION("""COMPUTED_VALUE"""),2.9306566777232734)</f>
        <v>2.930656678</v>
      </c>
      <c r="AC341" s="31">
        <f>IFERROR(__xludf.DUMMYFUNCTION("""COMPUTED_VALUE"""),352.76880552911666)</f>
        <v>352.7688055</v>
      </c>
      <c r="AD341" s="57">
        <f>IFERROR(__xludf.DUMMYFUNCTION("""COMPUTED_VALUE"""),0.7116344657754713)</f>
        <v>0.7116344658</v>
      </c>
      <c r="AE341" s="57">
        <f>IFERROR(__xludf.DUMMYFUNCTION("""COMPUTED_VALUE"""),0.5178400366442314)</f>
        <v>0.5178400366</v>
      </c>
      <c r="AF341" s="57">
        <f>IFERROR(__xludf.DUMMYFUNCTION("""COMPUTED_VALUE"""),1.5018402456771867)</f>
        <v>1.501840246</v>
      </c>
      <c r="AG341" s="57">
        <f>IFERROR(__xludf.DUMMYFUNCTION("""COMPUTED_VALUE"""),2.4751568806353257)</f>
        <v>2.475156881</v>
      </c>
      <c r="AH341" s="57">
        <f>IFERROR(__xludf.DUMMYFUNCTION("""COMPUTED_VALUE"""),0.8189757324935725)</f>
        <v>0.8189757325</v>
      </c>
      <c r="AI341" s="57">
        <f>IFERROR(__xludf.DUMMYFUNCTION("""COMPUTED_VALUE"""),0.5109875661237226)</f>
        <v>0.5109875661</v>
      </c>
      <c r="AJ341" s="57">
        <f>IFERROR(__xludf.DUMMYFUNCTION("""COMPUTED_VALUE"""),0.5266631651245671)</f>
        <v>0.5266631651</v>
      </c>
      <c r="AK341" s="57">
        <f>IFERROR(__xludf.DUMMYFUNCTION("""COMPUTED_VALUE"""),0.8474451769358425)</f>
        <v>0.8474451769</v>
      </c>
      <c r="AL341" s="57">
        <f>IFERROR(__xludf.DUMMYFUNCTION("""COMPUTED_VALUE"""),0.6243865015367659)</f>
        <v>0.6243865015</v>
      </c>
      <c r="AM341" s="57">
        <f>IFERROR(__xludf.DUMMYFUNCTION("""COMPUTED_VALUE"""),1.0102778834895787)</f>
        <v>1.010277883</v>
      </c>
      <c r="AN341" s="57">
        <f>IFERROR(__xludf.DUMMYFUNCTION("""COMPUTED_VALUE"""),0.8821093959979992)</f>
        <v>0.882109396</v>
      </c>
      <c r="AO341" s="57">
        <f>IFERROR(__xludf.DUMMYFUNCTION("""COMPUTED_VALUE"""),0.7550732999747175)</f>
        <v>0.7550733</v>
      </c>
      <c r="AP341" s="35">
        <f>IFERROR(__xludf.DUMMYFUNCTION("""COMPUTED_VALUE"""),0.9320032398212638)</f>
        <v>0.9320032398</v>
      </c>
      <c r="AQ341" s="57">
        <f>IFERROR(__xludf.DUMMYFUNCTION("""COMPUTED_VALUE"""),1.065021414803485)</f>
        <v>1.065021415</v>
      </c>
      <c r="AR341" s="36" t="b">
        <f>IFERROR(__xludf.DUMMYFUNCTION("""COMPUTED_VALUE"""),TRUE)</f>
        <v>1</v>
      </c>
      <c r="AS341" s="57"/>
      <c r="AT341" s="37"/>
      <c r="AU341" s="30"/>
      <c r="AV341" s="30"/>
      <c r="AW341" s="30"/>
      <c r="AX341" s="30"/>
      <c r="AY341" s="30"/>
      <c r="AZ341" s="30"/>
    </row>
    <row r="342">
      <c r="A342" s="30" t="str">
        <f>IFERROR(__xludf.DUMMYFUNCTION("""COMPUTED_VALUE"""),"Elite")</f>
        <v>Elite</v>
      </c>
      <c r="B342" s="30" t="str">
        <f>IFERROR(__xludf.DUMMYFUNCTION("""COMPUTED_VALUE"""),"RSC007386")</f>
        <v>RSC007386</v>
      </c>
      <c r="C342" s="30" t="str">
        <f>IFERROR(__xludf.DUMMYFUNCTION("""COMPUTED_VALUE"""),"oddtrip")</f>
        <v>oddtrip</v>
      </c>
      <c r="D342" s="31" t="str">
        <f>IFERROR(__xludf.DUMMYFUNCTION("""COMPUTED_VALUE"""),"Loonie")</f>
        <v>Loonie</v>
      </c>
      <c r="E342" s="31">
        <f>IFERROR(__xludf.DUMMYFUNCTION("""COMPUTED_VALUE"""),11.934010233404294)</f>
        <v>11.93401023</v>
      </c>
      <c r="F342" s="31">
        <f>IFERROR(__xludf.DUMMYFUNCTION("""COMPUTED_VALUE"""),-15.643466736552279)</f>
        <v>-15.64346674</v>
      </c>
      <c r="G342" s="31">
        <f>IFERROR(__xludf.DUMMYFUNCTION("""COMPUTED_VALUE"""),12.338984841985386)</f>
        <v>12.33898484</v>
      </c>
      <c r="H342" s="31">
        <f>IFERROR(__xludf.DUMMYFUNCTION("""COMPUTED_VALUE"""),-15.156785203928395)</f>
        <v>-15.1567852</v>
      </c>
      <c r="I342" s="54">
        <f>IFERROR(__xludf.DUMMYFUNCTION("""COMPUTED_VALUE"""),20.0)</f>
        <v>20</v>
      </c>
      <c r="J342" s="55">
        <f>IFERROR(__xludf.DUMMYFUNCTION("""COMPUTED_VALUE"""),4.0)</f>
        <v>4</v>
      </c>
      <c r="K342" s="54">
        <f>IFERROR(__xludf.DUMMYFUNCTION("""COMPUTED_VALUE"""),16.0)</f>
        <v>16</v>
      </c>
      <c r="L342" s="56">
        <f>IFERROR(__xludf.DUMMYFUNCTION("""COMPUTED_VALUE"""),0.2)</f>
        <v>0.2</v>
      </c>
      <c r="M342" s="56">
        <f>IFERROR(__xludf.DUMMYFUNCTION("""COMPUTED_VALUE"""),0.1627906976744186)</f>
        <v>0.1627906977</v>
      </c>
      <c r="N342" s="31">
        <f>IFERROR(__xludf.DUMMYFUNCTION("""COMPUTED_VALUE"""),261.85)</f>
        <v>261.85</v>
      </c>
      <c r="O342" s="57">
        <f>IFERROR(__xludf.DUMMYFUNCTION("""COMPUTED_VALUE"""),0.35)</f>
        <v>0.35</v>
      </c>
      <c r="P342" s="57">
        <f>IFERROR(__xludf.DUMMYFUNCTION("""COMPUTED_VALUE"""),0.35)</f>
        <v>0.35</v>
      </c>
      <c r="Q342" s="57">
        <f>IFERROR(__xludf.DUMMYFUNCTION("""COMPUTED_VALUE"""),1.2)</f>
        <v>1.2</v>
      </c>
      <c r="R342" s="57">
        <f>IFERROR(__xludf.DUMMYFUNCTION("""COMPUTED_VALUE"""),2.15)</f>
        <v>2.15</v>
      </c>
      <c r="S342" s="31">
        <f>IFERROR(__xludf.DUMMYFUNCTION("""COMPUTED_VALUE"""),395.29999999999995)</f>
        <v>395.3</v>
      </c>
      <c r="T342" s="57">
        <f>IFERROR(__xludf.DUMMYFUNCTION("""COMPUTED_VALUE"""),1.0000000000000002)</f>
        <v>1</v>
      </c>
      <c r="U342" s="57">
        <f>IFERROR(__xludf.DUMMYFUNCTION("""COMPUTED_VALUE"""),0.8166666666666667)</f>
        <v>0.8166666667</v>
      </c>
      <c r="V342" s="57">
        <f>IFERROR(__xludf.DUMMYFUNCTION("""COMPUTED_VALUE"""),1.4666666666666666)</f>
        <v>1.466666667</v>
      </c>
      <c r="W342" s="57">
        <f>IFERROR(__xludf.DUMMYFUNCTION("""COMPUTED_VALUE"""),2.8)</f>
        <v>2.8</v>
      </c>
      <c r="X342" s="31">
        <f>IFERROR(__xludf.DUMMYFUNCTION("""COMPUTED_VALUE"""),363.15220444438626)</f>
        <v>363.1522044</v>
      </c>
      <c r="Y342" s="57">
        <f>IFERROR(__xludf.DUMMYFUNCTION("""COMPUTED_VALUE"""),0.7734700822915791)</f>
        <v>0.7734700823</v>
      </c>
      <c r="Z342" s="57">
        <f>IFERROR(__xludf.DUMMYFUNCTION("""COMPUTED_VALUE"""),0.5838575085192821)</f>
        <v>0.5838575085</v>
      </c>
      <c r="AA342" s="57">
        <f>IFERROR(__xludf.DUMMYFUNCTION("""COMPUTED_VALUE"""),1.399550370796581)</f>
        <v>1.399550371</v>
      </c>
      <c r="AB342" s="57">
        <f>IFERROR(__xludf.DUMMYFUNCTION("""COMPUTED_VALUE"""),2.781223492812053)</f>
        <v>2.781223493</v>
      </c>
      <c r="AC342" s="31">
        <f>IFERROR(__xludf.DUMMYFUNCTION("""COMPUTED_VALUE"""),349.8710362168821)</f>
        <v>349.8710362</v>
      </c>
      <c r="AD342" s="57">
        <f>IFERROR(__xludf.DUMMYFUNCTION("""COMPUTED_VALUE"""),0.6780707625393843)</f>
        <v>0.6780707625</v>
      </c>
      <c r="AE342" s="57">
        <f>IFERROR(__xludf.DUMMYFUNCTION("""COMPUTED_VALUE"""),0.5072115319299562)</f>
        <v>0.5072115319</v>
      </c>
      <c r="AF342" s="57">
        <f>IFERROR(__xludf.DUMMYFUNCTION("""COMPUTED_VALUE"""),1.498936091571202)</f>
        <v>1.498936092</v>
      </c>
      <c r="AG342" s="57">
        <f>IFERROR(__xludf.DUMMYFUNCTION("""COMPUTED_VALUE"""),2.5514342929082057)</f>
        <v>2.551434293</v>
      </c>
      <c r="AH342" s="57">
        <f>IFERROR(__xludf.DUMMYFUNCTION("""COMPUTED_VALUE"""),0.7484186254208292)</f>
        <v>0.7484186254</v>
      </c>
      <c r="AI342" s="57">
        <f>IFERROR(__xludf.DUMMYFUNCTION("""COMPUTED_VALUE"""),0.5161703163387331)</f>
        <v>0.5161703163</v>
      </c>
      <c r="AJ342" s="57">
        <f>IFERROR(__xludf.DUMMYFUNCTION("""COMPUTED_VALUE"""),0.6900474022509676)</f>
        <v>0.6900474023</v>
      </c>
      <c r="AK342" s="57">
        <f>IFERROR(__xludf.DUMMYFUNCTION("""COMPUTED_VALUE"""),0.8005678205680845)</f>
        <v>0.8005678206</v>
      </c>
      <c r="AL342" s="57">
        <f>IFERROR(__xludf.DUMMYFUNCTION("""COMPUTED_VALUE"""),0.8426632839324902)</f>
        <v>0.8426632839</v>
      </c>
      <c r="AM342" s="57">
        <f>IFERROR(__xludf.DUMMYFUNCTION("""COMPUTED_VALUE"""),1.08852430237839)</f>
        <v>1.088524302</v>
      </c>
      <c r="AN342" s="57">
        <f>IFERROR(__xludf.DUMMYFUNCTION("""COMPUTED_VALUE"""),1.2928748285095595)</f>
        <v>1.292874829</v>
      </c>
      <c r="AO342" s="57">
        <f>IFERROR(__xludf.DUMMYFUNCTION("""COMPUTED_VALUE"""),1.3987431089784401)</f>
        <v>1.398743109</v>
      </c>
      <c r="AP342" s="35">
        <f>IFERROR(__xludf.DUMMYFUNCTION("""COMPUTED_VALUE"""),1.0479556129386647)</f>
        <v>1.047955613</v>
      </c>
      <c r="AQ342" s="57">
        <f>IFERROR(__xludf.DUMMYFUNCTION("""COMPUTED_VALUE"""),1.0067511680512098)</f>
        <v>1.006751168</v>
      </c>
      <c r="AR342" s="36" t="b">
        <f>IFERROR(__xludf.DUMMYFUNCTION("""COMPUTED_VALUE"""),TRUE)</f>
        <v>1</v>
      </c>
      <c r="AS342" s="57"/>
      <c r="AT342" s="37"/>
      <c r="AU342" s="30"/>
      <c r="AV342" s="30"/>
      <c r="AW342" s="30"/>
      <c r="AX342" s="30"/>
      <c r="AY342" s="30"/>
      <c r="AZ342" s="30"/>
    </row>
    <row r="343">
      <c r="A343" s="30" t="str">
        <f>IFERROR(__xludf.DUMMYFUNCTION("""COMPUTED_VALUE"""),"Elite")</f>
        <v>Elite</v>
      </c>
      <c r="B343" s="30" t="str">
        <f>IFERROR(__xludf.DUMMYFUNCTION("""COMPUTED_VALUE"""),"RSC006438")</f>
        <v>RSC006438</v>
      </c>
      <c r="C343" s="30" t="str">
        <f>IFERROR(__xludf.DUMMYFUNCTION("""COMPUTED_VALUE"""),"WestyzWorld")</f>
        <v>WestyzWorld</v>
      </c>
      <c r="D343" s="31"/>
      <c r="E343" s="31">
        <f>IFERROR(__xludf.DUMMYFUNCTION("""COMPUTED_VALUE"""),11.156555843219387)</f>
        <v>11.15655584</v>
      </c>
      <c r="F343" s="31">
        <f>IFERROR(__xludf.DUMMYFUNCTION("""COMPUTED_VALUE"""),-16.632434252847265)</f>
        <v>-16.63243425</v>
      </c>
      <c r="G343" s="31">
        <f>IFERROR(__xludf.DUMMYFUNCTION("""COMPUTED_VALUE"""),25.808122521566855)</f>
        <v>25.80812252</v>
      </c>
      <c r="H343" s="31">
        <f>IFERROR(__xludf.DUMMYFUNCTION("""COMPUTED_VALUE"""),-6.002281024009537)</f>
        <v>-6.002281024</v>
      </c>
      <c r="I343" s="54">
        <f>IFERROR(__xludf.DUMMYFUNCTION("""COMPUTED_VALUE"""),7.0)</f>
        <v>7</v>
      </c>
      <c r="J343" s="55">
        <f>IFERROR(__xludf.DUMMYFUNCTION("""COMPUTED_VALUE"""),0.0)</f>
        <v>0</v>
      </c>
      <c r="K343" s="54">
        <f>IFERROR(__xludf.DUMMYFUNCTION("""COMPUTED_VALUE"""),7.0)</f>
        <v>7</v>
      </c>
      <c r="L343" s="56">
        <f>IFERROR(__xludf.DUMMYFUNCTION("""COMPUTED_VALUE"""),0.0)</f>
        <v>0</v>
      </c>
      <c r="M343" s="56">
        <f>IFERROR(__xludf.DUMMYFUNCTION("""COMPUTED_VALUE"""),0.15384615384615383)</f>
        <v>0.1538461538</v>
      </c>
      <c r="N343" s="31">
        <f>IFERROR(__xludf.DUMMYFUNCTION("""COMPUTED_VALUE"""),261.2857142857143)</f>
        <v>261.2857143</v>
      </c>
      <c r="O343" s="57">
        <f>IFERROR(__xludf.DUMMYFUNCTION("""COMPUTED_VALUE"""),0.2857142857142857)</f>
        <v>0.2857142857</v>
      </c>
      <c r="P343" s="57">
        <f>IFERROR(__xludf.DUMMYFUNCTION("""COMPUTED_VALUE"""),0.42857142857142855)</f>
        <v>0.4285714286</v>
      </c>
      <c r="Q343" s="57">
        <f>IFERROR(__xludf.DUMMYFUNCTION("""COMPUTED_VALUE"""),0.8571428571428571)</f>
        <v>0.8571428571</v>
      </c>
      <c r="R343" s="57">
        <f>IFERROR(__xludf.DUMMYFUNCTION("""COMPUTED_VALUE"""),1.8571428571428572)</f>
        <v>1.857142857</v>
      </c>
      <c r="S343" s="31">
        <f>IFERROR(__xludf.DUMMYFUNCTION("""COMPUTED_VALUE"""),408.61904761904765)</f>
        <v>408.6190476</v>
      </c>
      <c r="T343" s="57">
        <f>IFERROR(__xludf.DUMMYFUNCTION("""COMPUTED_VALUE"""),1.2857142857142858)</f>
        <v>1.285714286</v>
      </c>
      <c r="U343" s="57">
        <f>IFERROR(__xludf.DUMMYFUNCTION("""COMPUTED_VALUE"""),1.0476190476190477)</f>
        <v>1.047619048</v>
      </c>
      <c r="V343" s="57">
        <f>IFERROR(__xludf.DUMMYFUNCTION("""COMPUTED_VALUE"""),0.9047619047619048)</f>
        <v>0.9047619048</v>
      </c>
      <c r="W343" s="57">
        <f>IFERROR(__xludf.DUMMYFUNCTION("""COMPUTED_VALUE"""),2.7619047619047623)</f>
        <v>2.761904762</v>
      </c>
      <c r="X343" s="31">
        <f>IFERROR(__xludf.DUMMYFUNCTION("""COMPUTED_VALUE"""),396.38869047619045)</f>
        <v>396.3886905</v>
      </c>
      <c r="Y343" s="57">
        <f>IFERROR(__xludf.DUMMYFUNCTION("""COMPUTED_VALUE"""),1.0896284271284273)</f>
        <v>1.089628427</v>
      </c>
      <c r="Z343" s="57">
        <f>IFERROR(__xludf.DUMMYFUNCTION("""COMPUTED_VALUE"""),0.8250541125541125)</f>
        <v>0.8250541126</v>
      </c>
      <c r="AA343" s="57">
        <f>IFERROR(__xludf.DUMMYFUNCTION("""COMPUTED_VALUE"""),1.145364357864358)</f>
        <v>1.145364358</v>
      </c>
      <c r="AB343" s="57">
        <f>IFERROR(__xludf.DUMMYFUNCTION("""COMPUTED_VALUE"""),3.0113636363636362)</f>
        <v>3.011363636</v>
      </c>
      <c r="AC343" s="31">
        <f>IFERROR(__xludf.DUMMYFUNCTION("""COMPUTED_VALUE"""),353.0556216931217)</f>
        <v>353.0556217</v>
      </c>
      <c r="AD343" s="57">
        <f>IFERROR(__xludf.DUMMYFUNCTION("""COMPUTED_VALUE"""),0.7242003367003367)</f>
        <v>0.7242003367</v>
      </c>
      <c r="AE343" s="57">
        <f>IFERROR(__xludf.DUMMYFUNCTION("""COMPUTED_VALUE"""),0.5478475228475228)</f>
        <v>0.5478475228</v>
      </c>
      <c r="AF343" s="57">
        <f>IFERROR(__xludf.DUMMYFUNCTION("""COMPUTED_VALUE"""),1.4762385762385761)</f>
        <v>1.476238576</v>
      </c>
      <c r="AG343" s="57">
        <f>IFERROR(__xludf.DUMMYFUNCTION("""COMPUTED_VALUE"""),2.4728655603655603)</f>
        <v>2.47286556</v>
      </c>
      <c r="AH343" s="57">
        <f>IFERROR(__xludf.DUMMYFUNCTION("""COMPUTED_VALUE"""),0.7400695477746154)</f>
        <v>0.7400695478</v>
      </c>
      <c r="AI343" s="57">
        <f>IFERROR(__xludf.DUMMYFUNCTION("""COMPUTED_VALUE"""),0.3945238233609245)</f>
        <v>0.3945238234</v>
      </c>
      <c r="AJ343" s="57">
        <f>IFERROR(__xludf.DUMMYFUNCTION("""COMPUTED_VALUE"""),0.7822823152395795)</f>
        <v>0.7822823152</v>
      </c>
      <c r="AK343" s="57">
        <f>IFERROR(__xludf.DUMMYFUNCTION("""COMPUTED_VALUE"""),0.5806262422208465)</f>
        <v>0.5806262422</v>
      </c>
      <c r="AL343" s="57">
        <f>IFERROR(__xludf.DUMMYFUNCTION("""COMPUTED_VALUE"""),0.751008419911157)</f>
        <v>0.7510084199</v>
      </c>
      <c r="AM343" s="57">
        <f>IFERROR(__xludf.DUMMYFUNCTION("""COMPUTED_VALUE"""),1.0308544553280887)</f>
        <v>1.030854455</v>
      </c>
      <c r="AN343" s="57">
        <f>IFERROR(__xludf.DUMMYFUNCTION("""COMPUTED_VALUE"""),1.1799566289791255)</f>
        <v>1.179956629</v>
      </c>
      <c r="AO343" s="57">
        <f>IFERROR(__xludf.DUMMYFUNCTION("""COMPUTED_VALUE"""),1.2697579851774121)</f>
        <v>1.269757985</v>
      </c>
      <c r="AP343" s="35">
        <f>IFERROR(__xludf.DUMMYFUNCTION("""COMPUTED_VALUE"""),0.789933699743303)</f>
        <v>0.7899336997</v>
      </c>
      <c r="AQ343" s="57">
        <f>IFERROR(__xludf.DUMMYFUNCTION("""COMPUTED_VALUE"""),0.917160826594789)</f>
        <v>0.9171608266</v>
      </c>
      <c r="AR343" s="36" t="b">
        <f>IFERROR(__xludf.DUMMYFUNCTION("""COMPUTED_VALUE"""),TRUE)</f>
        <v>1</v>
      </c>
      <c r="AS343" s="57"/>
      <c r="AT343" s="37"/>
      <c r="AU343" s="30"/>
      <c r="AV343" s="30"/>
      <c r="AW343" s="30"/>
      <c r="AX343" s="30"/>
      <c r="AY343" s="30"/>
      <c r="AZ343" s="30"/>
    </row>
    <row r="344">
      <c r="A344" s="30" t="str">
        <f>IFERROR(__xludf.DUMMYFUNCTION("""COMPUTED_VALUE"""),"Elite")</f>
        <v>Elite</v>
      </c>
      <c r="B344" s="30" t="str">
        <f>IFERROR(__xludf.DUMMYFUNCTION("""COMPUTED_VALUE"""),"RSC007494")</f>
        <v>RSC007494</v>
      </c>
      <c r="C344" s="30" t="str">
        <f>IFERROR(__xludf.DUMMYFUNCTION("""COMPUTED_VALUE"""),"CantaloupeLover-")</f>
        <v>CantaloupeLover-</v>
      </c>
      <c r="D344" s="31"/>
      <c r="E344" s="31">
        <f>IFERROR(__xludf.DUMMYFUNCTION("""COMPUTED_VALUE"""),7.034161220232477)</f>
        <v>7.03416122</v>
      </c>
      <c r="F344" s="31">
        <f>IFERROR(__xludf.DUMMYFUNCTION("""COMPUTED_VALUE"""),-23.34236569999528)</f>
        <v>-23.3423657</v>
      </c>
      <c r="G344" s="31">
        <f>IFERROR(__xludf.DUMMYFUNCTION("""COMPUTED_VALUE"""),10.030880564041944)</f>
        <v>10.03088056</v>
      </c>
      <c r="H344" s="31">
        <f>IFERROR(__xludf.DUMMYFUNCTION("""COMPUTED_VALUE"""),-18.202854372154913)</f>
        <v>-18.20285437</v>
      </c>
      <c r="I344" s="54">
        <f>IFERROR(__xludf.DUMMYFUNCTION("""COMPUTED_VALUE"""),4.0)</f>
        <v>4</v>
      </c>
      <c r="J344" s="55">
        <f>IFERROR(__xludf.DUMMYFUNCTION("""COMPUTED_VALUE"""),1.0)</f>
        <v>1</v>
      </c>
      <c r="K344" s="54">
        <f>IFERROR(__xludf.DUMMYFUNCTION("""COMPUTED_VALUE"""),3.0)</f>
        <v>3</v>
      </c>
      <c r="L344" s="56">
        <f>IFERROR(__xludf.DUMMYFUNCTION("""COMPUTED_VALUE"""),0.25)</f>
        <v>0.25</v>
      </c>
      <c r="M344" s="56">
        <f>IFERROR(__xludf.DUMMYFUNCTION("""COMPUTED_VALUE"""),0.25)</f>
        <v>0.25</v>
      </c>
      <c r="N344" s="31">
        <f>IFERROR(__xludf.DUMMYFUNCTION("""COMPUTED_VALUE"""),318.75)</f>
        <v>318.75</v>
      </c>
      <c r="O344" s="57">
        <f>IFERROR(__xludf.DUMMYFUNCTION("""COMPUTED_VALUE"""),0.25)</f>
        <v>0.25</v>
      </c>
      <c r="P344" s="57">
        <f>IFERROR(__xludf.DUMMYFUNCTION("""COMPUTED_VALUE"""),0.5)</f>
        <v>0.5</v>
      </c>
      <c r="Q344" s="57">
        <f>IFERROR(__xludf.DUMMYFUNCTION("""COMPUTED_VALUE"""),2.0)</f>
        <v>2</v>
      </c>
      <c r="R344" s="57">
        <f>IFERROR(__xludf.DUMMYFUNCTION("""COMPUTED_VALUE"""),1.0)</f>
        <v>1</v>
      </c>
      <c r="S344" s="31">
        <f>IFERROR(__xludf.DUMMYFUNCTION("""COMPUTED_VALUE"""),389.08333333333337)</f>
        <v>389.0833333</v>
      </c>
      <c r="T344" s="57">
        <f>IFERROR(__xludf.DUMMYFUNCTION("""COMPUTED_VALUE"""),1.0)</f>
        <v>1</v>
      </c>
      <c r="U344" s="57">
        <f>IFERROR(__xludf.DUMMYFUNCTION("""COMPUTED_VALUE"""),0.5833333333333333)</f>
        <v>0.5833333333</v>
      </c>
      <c r="V344" s="57">
        <f>IFERROR(__xludf.DUMMYFUNCTION("""COMPUTED_VALUE"""),1.3333333333333335)</f>
        <v>1.333333333</v>
      </c>
      <c r="W344" s="57">
        <f>IFERROR(__xludf.DUMMYFUNCTION("""COMPUTED_VALUE"""),3.333333333333333)</f>
        <v>3.333333333</v>
      </c>
      <c r="X344" s="31">
        <f>IFERROR(__xludf.DUMMYFUNCTION("""COMPUTED_VALUE"""),381.39716312056737)</f>
        <v>381.3971631</v>
      </c>
      <c r="Y344" s="57">
        <f>IFERROR(__xludf.DUMMYFUNCTION("""COMPUTED_VALUE"""),0.8985650667986146)</f>
        <v>0.8985650668</v>
      </c>
      <c r="Z344" s="57">
        <f>IFERROR(__xludf.DUMMYFUNCTION("""COMPUTED_VALUE"""),0.6107537522678542)</f>
        <v>0.6107537523</v>
      </c>
      <c r="AA344" s="57">
        <f>IFERROR(__xludf.DUMMYFUNCTION("""COMPUTED_VALUE"""),1.4355929407883885)</f>
        <v>1.435592941</v>
      </c>
      <c r="AB344" s="57">
        <f>IFERROR(__xludf.DUMMYFUNCTION("""COMPUTED_VALUE"""),2.9035131123206335)</f>
        <v>2.903513112</v>
      </c>
      <c r="AC344" s="31">
        <f>IFERROR(__xludf.DUMMYFUNCTION("""COMPUTED_VALUE"""),357.7749189070317)</f>
        <v>357.7749189</v>
      </c>
      <c r="AD344" s="57">
        <f>IFERROR(__xludf.DUMMYFUNCTION("""COMPUTED_VALUE"""),0.681510803232723)</f>
        <v>0.6815108032</v>
      </c>
      <c r="AE344" s="57">
        <f>IFERROR(__xludf.DUMMYFUNCTION("""COMPUTED_VALUE"""),0.5164659959316071)</f>
        <v>0.5164659959</v>
      </c>
      <c r="AF344" s="57">
        <f>IFERROR(__xludf.DUMMYFUNCTION("""COMPUTED_VALUE"""),1.5564901863763811)</f>
        <v>1.556490186</v>
      </c>
      <c r="AG344" s="57">
        <f>IFERROR(__xludf.DUMMYFUNCTION("""COMPUTED_VALUE"""),2.574742976524273)</f>
        <v>2.574742977</v>
      </c>
      <c r="AH344" s="57">
        <f>IFERROR(__xludf.DUMMYFUNCTION("""COMPUTED_VALUE"""),0.8909232681087621)</f>
        <v>0.8909232681</v>
      </c>
      <c r="AI344" s="57">
        <f>IFERROR(__xludf.DUMMYFUNCTION("""COMPUTED_VALUE"""),0.36683204259438534)</f>
        <v>0.3668320426</v>
      </c>
      <c r="AJ344" s="57">
        <f>IFERROR(__xludf.DUMMYFUNCTION("""COMPUTED_VALUE"""),0.9681179476261441)</f>
        <v>0.9681179476</v>
      </c>
      <c r="AK344" s="57">
        <f>IFERROR(__xludf.DUMMYFUNCTION("""COMPUTED_VALUE"""),1.2849422485959523)</f>
        <v>1.284942249</v>
      </c>
      <c r="AL344" s="57">
        <f>IFERROR(__xludf.DUMMYFUNCTION("""COMPUTED_VALUE"""),0.38838828151691146)</f>
        <v>0.3883882815</v>
      </c>
      <c r="AM344" s="57">
        <f>IFERROR(__xludf.DUMMYFUNCTION("""COMPUTED_VALUE"""),1.0201526674972574)</f>
        <v>1.020152667</v>
      </c>
      <c r="AN344" s="57">
        <f>IFERROR(__xludf.DUMMYFUNCTION("""COMPUTED_VALUE"""),1.112885462555066)</f>
        <v>1.112885463</v>
      </c>
      <c r="AO344" s="57">
        <f>IFERROR(__xludf.DUMMYFUNCTION("""COMPUTED_VALUE"""),0.9551039697542532)</f>
        <v>0.9551039698</v>
      </c>
      <c r="AP344" s="35">
        <f>IFERROR(__xludf.DUMMYFUNCTION("""COMPUTED_VALUE"""),0.9287683823529413)</f>
        <v>0.9287683824</v>
      </c>
      <c r="AQ344" s="57">
        <f>IFERROR(__xludf.DUMMYFUNCTION("""COMPUTED_VALUE"""),1.1480345376050896)</f>
        <v>1.148034538</v>
      </c>
      <c r="AR344" s="36" t="b">
        <f>IFERROR(__xludf.DUMMYFUNCTION("""COMPUTED_VALUE"""),TRUE)</f>
        <v>1</v>
      </c>
      <c r="AS344" s="57"/>
      <c r="AT344" s="37"/>
      <c r="AU344" s="30"/>
      <c r="AV344" s="30"/>
      <c r="AW344" s="30"/>
      <c r="AX344" s="30"/>
      <c r="AY344" s="30"/>
      <c r="AZ344" s="30"/>
    </row>
    <row r="345">
      <c r="A345" s="30" t="str">
        <f>IFERROR(__xludf.DUMMYFUNCTION("""COMPUTED_VALUE"""),"Elite")</f>
        <v>Elite</v>
      </c>
      <c r="B345" s="30" t="str">
        <f>IFERROR(__xludf.DUMMYFUNCTION("""COMPUTED_VALUE"""),"RSC007907")</f>
        <v>RSC007907</v>
      </c>
      <c r="C345" s="30" t="str">
        <f>IFERROR(__xludf.DUMMYFUNCTION("""COMPUTED_VALUE"""),"Chazie.")</f>
        <v>Chazie.</v>
      </c>
      <c r="D345" s="31"/>
      <c r="E345" s="31">
        <f>IFERROR(__xludf.DUMMYFUNCTION("""COMPUTED_VALUE"""),6.551967579179134)</f>
        <v>6.551967579</v>
      </c>
      <c r="F345" s="31">
        <f>IFERROR(__xludf.DUMMYFUNCTION("""COMPUTED_VALUE"""),-24.32359649756158)</f>
        <v>-24.3235965</v>
      </c>
      <c r="G345" s="31">
        <f>IFERROR(__xludf.DUMMYFUNCTION("""COMPUTED_VALUE"""),10.752341373836543)</f>
        <v>10.75234137</v>
      </c>
      <c r="H345" s="31">
        <f>IFERROR(__xludf.DUMMYFUNCTION("""COMPUTED_VALUE"""),-17.176685214787376)</f>
        <v>-17.17668521</v>
      </c>
      <c r="I345" s="54">
        <f>IFERROR(__xludf.DUMMYFUNCTION("""COMPUTED_VALUE"""),4.0)</f>
        <v>4</v>
      </c>
      <c r="J345" s="55">
        <f>IFERROR(__xludf.DUMMYFUNCTION("""COMPUTED_VALUE"""),0.0)</f>
        <v>0</v>
      </c>
      <c r="K345" s="54">
        <f>IFERROR(__xludf.DUMMYFUNCTION("""COMPUTED_VALUE"""),4.0)</f>
        <v>4</v>
      </c>
      <c r="L345" s="56">
        <f>IFERROR(__xludf.DUMMYFUNCTION("""COMPUTED_VALUE"""),0.0)</f>
        <v>0</v>
      </c>
      <c r="M345" s="56">
        <f>IFERROR(__xludf.DUMMYFUNCTION("""COMPUTED_VALUE"""),0.0)</f>
        <v>0</v>
      </c>
      <c r="N345" s="31">
        <f>IFERROR(__xludf.DUMMYFUNCTION("""COMPUTED_VALUE"""),318.75)</f>
        <v>318.75</v>
      </c>
      <c r="O345" s="57">
        <f>IFERROR(__xludf.DUMMYFUNCTION("""COMPUTED_VALUE"""),0.0)</f>
        <v>0</v>
      </c>
      <c r="P345" s="57">
        <f>IFERROR(__xludf.DUMMYFUNCTION("""COMPUTED_VALUE"""),1.0)</f>
        <v>1</v>
      </c>
      <c r="Q345" s="57">
        <f>IFERROR(__xludf.DUMMYFUNCTION("""COMPUTED_VALUE"""),1.75)</f>
        <v>1.75</v>
      </c>
      <c r="R345" s="57">
        <f>IFERROR(__xludf.DUMMYFUNCTION("""COMPUTED_VALUE"""),1.0)</f>
        <v>1</v>
      </c>
      <c r="S345" s="31">
        <f>IFERROR(__xludf.DUMMYFUNCTION("""COMPUTED_VALUE"""),460.75)</f>
        <v>460.75</v>
      </c>
      <c r="T345" s="57">
        <f>IFERROR(__xludf.DUMMYFUNCTION("""COMPUTED_VALUE"""),1.1666666666666665)</f>
        <v>1.166666667</v>
      </c>
      <c r="U345" s="57">
        <f>IFERROR(__xludf.DUMMYFUNCTION("""COMPUTED_VALUE"""),0.8333333333333333)</f>
        <v>0.8333333333</v>
      </c>
      <c r="V345" s="57">
        <f>IFERROR(__xludf.DUMMYFUNCTION("""COMPUTED_VALUE"""),1.9166666666666667)</f>
        <v>1.916666667</v>
      </c>
      <c r="W345" s="57">
        <f>IFERROR(__xludf.DUMMYFUNCTION("""COMPUTED_VALUE"""),3.583333333333333)</f>
        <v>3.583333333</v>
      </c>
      <c r="X345" s="31">
        <f>IFERROR(__xludf.DUMMYFUNCTION("""COMPUTED_VALUE"""),375.901672979798)</f>
        <v>375.901673</v>
      </c>
      <c r="Y345" s="57">
        <f>IFERROR(__xludf.DUMMYFUNCTION("""COMPUTED_VALUE"""),0.8650838744588744)</f>
        <v>0.8650838745</v>
      </c>
      <c r="Z345" s="57">
        <f>IFERROR(__xludf.DUMMYFUNCTION("""COMPUTED_VALUE"""),0.6381042568542569)</f>
        <v>0.6381042569</v>
      </c>
      <c r="AA345" s="57">
        <f>IFERROR(__xludf.DUMMYFUNCTION("""COMPUTED_VALUE"""),1.32558170995671)</f>
        <v>1.32558171</v>
      </c>
      <c r="AB345" s="57">
        <f>IFERROR(__xludf.DUMMYFUNCTION("""COMPUTED_VALUE"""),2.9777191558441554)</f>
        <v>2.977719156</v>
      </c>
      <c r="AC345" s="31">
        <f>IFERROR(__xludf.DUMMYFUNCTION("""COMPUTED_VALUE"""),367.0007876382877)</f>
        <v>367.0007876</v>
      </c>
      <c r="AD345" s="57">
        <f>IFERROR(__xludf.DUMMYFUNCTION("""COMPUTED_VALUE"""),0.7089105339105339)</f>
        <v>0.7089105339</v>
      </c>
      <c r="AE345" s="57">
        <f>IFERROR(__xludf.DUMMYFUNCTION("""COMPUTED_VALUE"""),0.5241311928811929)</f>
        <v>0.5241311929</v>
      </c>
      <c r="AF345" s="57">
        <f>IFERROR(__xludf.DUMMYFUNCTION("""COMPUTED_VALUE"""),1.7256523569023572)</f>
        <v>1.725652357</v>
      </c>
      <c r="AG345" s="57">
        <f>IFERROR(__xludf.DUMMYFUNCTION("""COMPUTED_VALUE"""),2.3810365560365563)</f>
        <v>2.381036556</v>
      </c>
      <c r="AH345" s="57">
        <f>IFERROR(__xludf.DUMMYFUNCTION("""COMPUTED_VALUE"""),0.8685267463626176)</f>
        <v>0.8685267464</v>
      </c>
      <c r="AI345" s="57">
        <f>IFERROR(__xludf.DUMMYFUNCTION("""COMPUTED_VALUE"""),0.0)</f>
        <v>0</v>
      </c>
      <c r="AJ345" s="57">
        <f>IFERROR(__xludf.DUMMYFUNCTION("""COMPUTED_VALUE"""),1.9079192644553675)</f>
        <v>1.907919264</v>
      </c>
      <c r="AK345" s="57">
        <f>IFERROR(__xludf.DUMMYFUNCTION("""COMPUTED_VALUE"""),1.0141092399058569)</f>
        <v>1.01410924</v>
      </c>
      <c r="AL345" s="57">
        <f>IFERROR(__xludf.DUMMYFUNCTION("""COMPUTED_VALUE"""),0.41998515204007936)</f>
        <v>0.419985152</v>
      </c>
      <c r="AM345" s="57">
        <f>IFERROR(__xludf.DUMMYFUNCTION("""COMPUTED_VALUE"""),1.2257194716575843)</f>
        <v>1.225719472</v>
      </c>
      <c r="AN345" s="57">
        <f>IFERROR(__xludf.DUMMYFUNCTION("""COMPUTED_VALUE"""),1.348616823306801)</f>
        <v>1.348616823</v>
      </c>
      <c r="AO345" s="57">
        <f>IFERROR(__xludf.DUMMYFUNCTION("""COMPUTED_VALUE"""),1.3059516910943705)</f>
        <v>1.305951691</v>
      </c>
      <c r="AP345" s="35">
        <f>IFERROR(__xludf.DUMMYFUNCTION("""COMPUTED_VALUE"""),1.445906089583312)</f>
        <v>1.44590609</v>
      </c>
      <c r="AQ345" s="57">
        <f>IFERROR(__xludf.DUMMYFUNCTION("""COMPUTED_VALUE"""),1.2033818992971792)</f>
        <v>1.203381899</v>
      </c>
      <c r="AR345" s="36" t="b">
        <f>IFERROR(__xludf.DUMMYFUNCTION("""COMPUTED_VALUE"""),TRUE)</f>
        <v>1</v>
      </c>
      <c r="AS345" s="57"/>
      <c r="AT345" s="37"/>
      <c r="AU345" s="30"/>
      <c r="AV345" s="30"/>
      <c r="AW345" s="30"/>
      <c r="AX345" s="30"/>
      <c r="AY345" s="30"/>
      <c r="AZ345" s="30"/>
    </row>
    <row r="346">
      <c r="A346" s="30" t="str">
        <f>IFERROR(__xludf.DUMMYFUNCTION("""COMPUTED_VALUE"""),"Elite")</f>
        <v>Elite</v>
      </c>
      <c r="B346" s="30" t="str">
        <f>IFERROR(__xludf.DUMMYFUNCTION("""COMPUTED_VALUE"""),"RSC007470")</f>
        <v>RSC007470</v>
      </c>
      <c r="C346" s="30" t="str">
        <f>IFERROR(__xludf.DUMMYFUNCTION("""COMPUTED_VALUE"""),"Fused Gavin")</f>
        <v>Fused Gavin</v>
      </c>
      <c r="D346" s="31" t="str">
        <f>IFERROR(__xludf.DUMMYFUNCTION("""COMPUTED_VALUE"""),"Loonie")</f>
        <v>Loonie</v>
      </c>
      <c r="E346" s="31">
        <f>IFERROR(__xludf.DUMMYFUNCTION("""COMPUTED_VALUE"""),4.948195973784209)</f>
        <v>4.948195974</v>
      </c>
      <c r="F346" s="31">
        <f>IFERROR(__xludf.DUMMYFUNCTION("""COMPUTED_VALUE"""),-27.958712189096776)</f>
        <v>-27.95871219</v>
      </c>
      <c r="G346" s="31">
        <f>IFERROR(__xludf.DUMMYFUNCTION("""COMPUTED_VALUE"""),10.041994534314476)</f>
        <v>10.04199453</v>
      </c>
      <c r="H346" s="31">
        <f>IFERROR(__xludf.DUMMYFUNCTION("""COMPUTED_VALUE"""),-18.186492119108166)</f>
        <v>-18.18649212</v>
      </c>
      <c r="I346" s="54">
        <f>IFERROR(__xludf.DUMMYFUNCTION("""COMPUTED_VALUE"""),34.0)</f>
        <v>34</v>
      </c>
      <c r="J346" s="55">
        <f>IFERROR(__xludf.DUMMYFUNCTION("""COMPUTED_VALUE"""),9.0)</f>
        <v>9</v>
      </c>
      <c r="K346" s="54">
        <f>IFERROR(__xludf.DUMMYFUNCTION("""COMPUTED_VALUE"""),25.0)</f>
        <v>25</v>
      </c>
      <c r="L346" s="56">
        <f>IFERROR(__xludf.DUMMYFUNCTION("""COMPUTED_VALUE"""),0.2647058823529412)</f>
        <v>0.2647058824</v>
      </c>
      <c r="M346" s="56">
        <f>IFERROR(__xludf.DUMMYFUNCTION("""COMPUTED_VALUE"""),0.2181818181818182)</f>
        <v>0.2181818182</v>
      </c>
      <c r="N346" s="31">
        <f>IFERROR(__xludf.DUMMYFUNCTION("""COMPUTED_VALUE"""),285.5)</f>
        <v>285.5</v>
      </c>
      <c r="O346" s="57">
        <f>IFERROR(__xludf.DUMMYFUNCTION("""COMPUTED_VALUE"""),0.35294117647058826)</f>
        <v>0.3529411765</v>
      </c>
      <c r="P346" s="57">
        <f>IFERROR(__xludf.DUMMYFUNCTION("""COMPUTED_VALUE"""),0.2647058823529412)</f>
        <v>0.2647058824</v>
      </c>
      <c r="Q346" s="57">
        <f>IFERROR(__xludf.DUMMYFUNCTION("""COMPUTED_VALUE"""),1.5588235294117647)</f>
        <v>1.558823529</v>
      </c>
      <c r="R346" s="57">
        <f>IFERROR(__xludf.DUMMYFUNCTION("""COMPUTED_VALUE"""),1.6176470588235294)</f>
        <v>1.617647059</v>
      </c>
      <c r="S346" s="31">
        <f>IFERROR(__xludf.DUMMYFUNCTION("""COMPUTED_VALUE"""),397.76470588235304)</f>
        <v>397.7647059</v>
      </c>
      <c r="T346" s="57">
        <f>IFERROR(__xludf.DUMMYFUNCTION("""COMPUTED_VALUE"""),1.049019607843137)</f>
        <v>1.049019608</v>
      </c>
      <c r="U346" s="57">
        <f>IFERROR(__xludf.DUMMYFUNCTION("""COMPUTED_VALUE"""),0.8823529411764702)</f>
        <v>0.8823529412</v>
      </c>
      <c r="V346" s="57">
        <f>IFERROR(__xludf.DUMMYFUNCTION("""COMPUTED_VALUE"""),1.2450980392156863)</f>
        <v>1.245098039</v>
      </c>
      <c r="W346" s="57">
        <f>IFERROR(__xludf.DUMMYFUNCTION("""COMPUTED_VALUE"""),3.0980392156862746)</f>
        <v>3.098039216</v>
      </c>
      <c r="X346" s="31">
        <f>IFERROR(__xludf.DUMMYFUNCTION("""COMPUTED_VALUE"""),381.17758141887776)</f>
        <v>381.1775814</v>
      </c>
      <c r="Y346" s="57">
        <f>IFERROR(__xludf.DUMMYFUNCTION("""COMPUTED_VALUE"""),0.906517670106173)</f>
        <v>0.9065176701</v>
      </c>
      <c r="Z346" s="57">
        <f>IFERROR(__xludf.DUMMYFUNCTION("""COMPUTED_VALUE"""),0.6281968255251703)</f>
        <v>0.6281968255</v>
      </c>
      <c r="AA346" s="57">
        <f>IFERROR(__xludf.DUMMYFUNCTION("""COMPUTED_VALUE"""),1.3615134094043067)</f>
        <v>1.361513409</v>
      </c>
      <c r="AB346" s="57">
        <f>IFERROR(__xludf.DUMMYFUNCTION("""COMPUTED_VALUE"""),2.8456208702236685)</f>
        <v>2.84562087</v>
      </c>
      <c r="AC346" s="31">
        <f>IFERROR(__xludf.DUMMYFUNCTION("""COMPUTED_VALUE"""),344.3668157629657)</f>
        <v>344.3668158</v>
      </c>
      <c r="AD346" s="57">
        <f>IFERROR(__xludf.DUMMYFUNCTION("""COMPUTED_VALUE"""),0.6781055076774125)</f>
        <v>0.6781055077</v>
      </c>
      <c r="AE346" s="57">
        <f>IFERROR(__xludf.DUMMYFUNCTION("""COMPUTED_VALUE"""),0.49898473689134226)</f>
        <v>0.4989847369</v>
      </c>
      <c r="AF346" s="57">
        <f>IFERROR(__xludf.DUMMYFUNCTION("""COMPUTED_VALUE"""),1.4467524419226379)</f>
        <v>1.446752442</v>
      </c>
      <c r="AG346" s="57">
        <f>IFERROR(__xludf.DUMMYFUNCTION("""COMPUTED_VALUE"""),2.4667994596806606)</f>
        <v>2.46679946</v>
      </c>
      <c r="AH346" s="57">
        <f>IFERROR(__xludf.DUMMYFUNCTION("""COMPUTED_VALUE"""),0.8290578154792799)</f>
        <v>0.8290578155</v>
      </c>
      <c r="AI346" s="57">
        <f>IFERROR(__xludf.DUMMYFUNCTION("""COMPUTED_VALUE"""),0.5204812119568994)</f>
        <v>0.520481212</v>
      </c>
      <c r="AJ346" s="57">
        <f>IFERROR(__xludf.DUMMYFUNCTION("""COMPUTED_VALUE"""),0.5304889363992368)</f>
        <v>0.5304889364</v>
      </c>
      <c r="AK346" s="57">
        <f>IFERROR(__xludf.DUMMYFUNCTION("""COMPUTED_VALUE"""),1.0774639006934674)</f>
        <v>1.077463901</v>
      </c>
      <c r="AL346" s="57">
        <f>IFERROR(__xludf.DUMMYFUNCTION("""COMPUTED_VALUE"""),0.655767558434986)</f>
        <v>0.6557675584</v>
      </c>
      <c r="AM346" s="57">
        <f>IFERROR(__xludf.DUMMYFUNCTION("""COMPUTED_VALUE"""),1.043515477488818)</f>
        <v>1.043515477</v>
      </c>
      <c r="AN346" s="57">
        <f>IFERROR(__xludf.DUMMYFUNCTION("""COMPUTED_VALUE"""),1.1571970877526017)</f>
        <v>1.157197088</v>
      </c>
      <c r="AO346" s="57">
        <f>IFERROR(__xludf.DUMMYFUNCTION("""COMPUTED_VALUE"""),1.4045803883819794)</f>
        <v>1.404580388</v>
      </c>
      <c r="AP346" s="35">
        <f>IFERROR(__xludf.DUMMYFUNCTION("""COMPUTED_VALUE"""),0.914495612467339)</f>
        <v>0.9144956125</v>
      </c>
      <c r="AQ346" s="57">
        <f>IFERROR(__xludf.DUMMYFUNCTION("""COMPUTED_VALUE"""),1.088704137681829)</f>
        <v>1.088704138</v>
      </c>
      <c r="AR346" s="36" t="b">
        <f>IFERROR(__xludf.DUMMYFUNCTION("""COMPUTED_VALUE"""),TRUE)</f>
        <v>1</v>
      </c>
      <c r="AS346" s="57"/>
      <c r="AT346" s="37"/>
      <c r="AU346" s="30"/>
      <c r="AV346" s="30"/>
      <c r="AW346" s="30"/>
      <c r="AX346" s="30"/>
      <c r="AY346" s="30"/>
      <c r="AZ346" s="30"/>
    </row>
    <row r="347">
      <c r="A347" s="30" t="str">
        <f>IFERROR(__xludf.DUMMYFUNCTION("""COMPUTED_VALUE"""),"Elite")</f>
        <v>Elite</v>
      </c>
      <c r="B347" s="30" t="str">
        <f>IFERROR(__xludf.DUMMYFUNCTION("""COMPUTED_VALUE"""),"RSC007260")</f>
        <v>RSC007260</v>
      </c>
      <c r="C347" s="30" t="str">
        <f>IFERROR(__xludf.DUMMYFUNCTION("""COMPUTED_VALUE"""),"Veoloux")</f>
        <v>Veoloux</v>
      </c>
      <c r="D347" s="31" t="str">
        <f>IFERROR(__xludf.DUMMYFUNCTION("""COMPUTED_VALUE"""),"Ghastly Goombahs")</f>
        <v>Ghastly Goombahs</v>
      </c>
      <c r="E347" s="31">
        <f>IFERROR(__xludf.DUMMYFUNCTION("""COMPUTED_VALUE"""),0.4816133687957276)</f>
        <v>0.4816133688</v>
      </c>
      <c r="F347" s="31">
        <f>IFERROR(__xludf.DUMMYFUNCTION("""COMPUTED_VALUE"""),-41.99832451595662)</f>
        <v>-41.99832452</v>
      </c>
      <c r="G347" s="31">
        <f>IFERROR(__xludf.DUMMYFUNCTION("""COMPUTED_VALUE"""),5.929223343880828)</f>
        <v>5.929223344</v>
      </c>
      <c r="H347" s="31">
        <f>IFERROR(__xludf.DUMMYFUNCTION("""COMPUTED_VALUE"""),-25.664391384727406)</f>
        <v>-25.66439138</v>
      </c>
      <c r="I347" s="54">
        <f>IFERROR(__xludf.DUMMYFUNCTION("""COMPUTED_VALUE"""),6.0)</f>
        <v>6</v>
      </c>
      <c r="J347" s="55">
        <f>IFERROR(__xludf.DUMMYFUNCTION("""COMPUTED_VALUE"""),2.0)</f>
        <v>2</v>
      </c>
      <c r="K347" s="54">
        <f>IFERROR(__xludf.DUMMYFUNCTION("""COMPUTED_VALUE"""),4.0)</f>
        <v>4</v>
      </c>
      <c r="L347" s="56">
        <f>IFERROR(__xludf.DUMMYFUNCTION("""COMPUTED_VALUE"""),0.3333333333333333)</f>
        <v>0.3333333333</v>
      </c>
      <c r="M347" s="56">
        <f>IFERROR(__xludf.DUMMYFUNCTION("""COMPUTED_VALUE"""),0.1111111111111111)</f>
        <v>0.1111111111</v>
      </c>
      <c r="N347" s="31">
        <f>IFERROR(__xludf.DUMMYFUNCTION("""COMPUTED_VALUE"""),230.0)</f>
        <v>230</v>
      </c>
      <c r="O347" s="57">
        <f>IFERROR(__xludf.DUMMYFUNCTION("""COMPUTED_VALUE"""),0.16666666666666666)</f>
        <v>0.1666666667</v>
      </c>
      <c r="P347" s="57">
        <f>IFERROR(__xludf.DUMMYFUNCTION("""COMPUTED_VALUE"""),0.3333333333333333)</f>
        <v>0.3333333333</v>
      </c>
      <c r="Q347" s="57">
        <f>IFERROR(__xludf.DUMMYFUNCTION("""COMPUTED_VALUE"""),1.1666666666666667)</f>
        <v>1.166666667</v>
      </c>
      <c r="R347" s="57">
        <f>IFERROR(__xludf.DUMMYFUNCTION("""COMPUTED_VALUE"""),1.5)</f>
        <v>1.5</v>
      </c>
      <c r="S347" s="31">
        <f>IFERROR(__xludf.DUMMYFUNCTION("""COMPUTED_VALUE"""),362.8888888888889)</f>
        <v>362.8888889</v>
      </c>
      <c r="T347" s="57">
        <f>IFERROR(__xludf.DUMMYFUNCTION("""COMPUTED_VALUE"""),0.6666666666666666)</f>
        <v>0.6666666667</v>
      </c>
      <c r="U347" s="57">
        <f>IFERROR(__xludf.DUMMYFUNCTION("""COMPUTED_VALUE"""),0.6666666666666666)</f>
        <v>0.6666666667</v>
      </c>
      <c r="V347" s="57">
        <f>IFERROR(__xludf.DUMMYFUNCTION("""COMPUTED_VALUE"""),1.3333333333333333)</f>
        <v>1.333333333</v>
      </c>
      <c r="W347" s="57">
        <f>IFERROR(__xludf.DUMMYFUNCTION("""COMPUTED_VALUE"""),2.7222222222222228)</f>
        <v>2.722222222</v>
      </c>
      <c r="X347" s="31">
        <f>IFERROR(__xludf.DUMMYFUNCTION("""COMPUTED_VALUE"""),366.351673964605)</f>
        <v>366.351674</v>
      </c>
      <c r="Y347" s="57">
        <f>IFERROR(__xludf.DUMMYFUNCTION("""COMPUTED_VALUE"""),0.7954281457155021)</f>
        <v>0.7954281457</v>
      </c>
      <c r="Z347" s="57">
        <f>IFERROR(__xludf.DUMMYFUNCTION("""COMPUTED_VALUE"""),0.5471621662713617)</f>
        <v>0.5471621663</v>
      </c>
      <c r="AA347" s="57">
        <f>IFERROR(__xludf.DUMMYFUNCTION("""COMPUTED_VALUE"""),1.430660463419084)</f>
        <v>1.430660463</v>
      </c>
      <c r="AB347" s="57">
        <f>IFERROR(__xludf.DUMMYFUNCTION("""COMPUTED_VALUE"""),2.8152253238460134)</f>
        <v>2.815225324</v>
      </c>
      <c r="AC347" s="31">
        <f>IFERROR(__xludf.DUMMYFUNCTION("""COMPUTED_VALUE"""),342.7176057694257)</f>
        <v>342.7176058</v>
      </c>
      <c r="AD347" s="57">
        <f>IFERROR(__xludf.DUMMYFUNCTION("""COMPUTED_VALUE"""),0.6234147256177905)</f>
        <v>0.6234147256</v>
      </c>
      <c r="AE347" s="57">
        <f>IFERROR(__xludf.DUMMYFUNCTION("""COMPUTED_VALUE"""),0.4934858298364045)</f>
        <v>0.4934858298</v>
      </c>
      <c r="AF347" s="57">
        <f>IFERROR(__xludf.DUMMYFUNCTION("""COMPUTED_VALUE"""),1.4918595045510754)</f>
        <v>1.491859505</v>
      </c>
      <c r="AG347" s="57">
        <f>IFERROR(__xludf.DUMMYFUNCTION("""COMPUTED_VALUE"""),2.4664512761256057)</f>
        <v>2.466451276</v>
      </c>
      <c r="AH347" s="57">
        <f>IFERROR(__xludf.DUMMYFUNCTION("""COMPUTED_VALUE"""),0.6711064623704798)</f>
        <v>0.6711064624</v>
      </c>
      <c r="AI347" s="57">
        <f>IFERROR(__xludf.DUMMYFUNCTION("""COMPUTED_VALUE"""),0.2673447703717675)</f>
        <v>0.2673447704</v>
      </c>
      <c r="AJ347" s="57">
        <f>IFERROR(__xludf.DUMMYFUNCTION("""COMPUTED_VALUE"""),0.6754668790466317)</f>
        <v>0.675466879</v>
      </c>
      <c r="AK347" s="57">
        <f>IFERROR(__xludf.DUMMYFUNCTION("""COMPUTED_VALUE"""),0.7820218077557749)</f>
        <v>0.7820218078</v>
      </c>
      <c r="AL347" s="57">
        <f>IFERROR(__xludf.DUMMYFUNCTION("""COMPUTED_VALUE"""),0.6081612130429985)</f>
        <v>0.608161213</v>
      </c>
      <c r="AM347" s="57">
        <f>IFERROR(__xludf.DUMMYFUNCTION("""COMPUTED_VALUE"""),0.9905479206953189)</f>
        <v>0.9905479207</v>
      </c>
      <c r="AN347" s="57">
        <f>IFERROR(__xludf.DUMMYFUNCTION("""COMPUTED_VALUE"""),0.8381230539271247)</f>
        <v>0.8381230539</v>
      </c>
      <c r="AO347" s="57">
        <f>IFERROR(__xludf.DUMMYFUNCTION("""COMPUTED_VALUE"""),1.2184078281758197)</f>
        <v>1.218407828</v>
      </c>
      <c r="AP347" s="35">
        <f>IFERROR(__xludf.DUMMYFUNCTION("""COMPUTED_VALUE"""),0.9319704901516939)</f>
        <v>0.9319704902</v>
      </c>
      <c r="AQ347" s="57">
        <f>IFERROR(__xludf.DUMMYFUNCTION("""COMPUTED_VALUE"""),0.9669642423162297)</f>
        <v>0.9669642423</v>
      </c>
      <c r="AR347" s="36" t="b">
        <f>IFERROR(__xludf.DUMMYFUNCTION("""COMPUTED_VALUE"""),TRUE)</f>
        <v>1</v>
      </c>
      <c r="AS347" s="57"/>
      <c r="AT347" s="37"/>
      <c r="AU347" s="30"/>
      <c r="AV347" s="30"/>
      <c r="AW347" s="30"/>
      <c r="AX347" s="30"/>
      <c r="AY347" s="30"/>
      <c r="AZ347" s="30"/>
    </row>
    <row r="348">
      <c r="A348" s="30" t="str">
        <f>IFERROR(__xludf.DUMMYFUNCTION("""COMPUTED_VALUE"""),"Elite")</f>
        <v>Elite</v>
      </c>
      <c r="B348" s="30" t="str">
        <f>IFERROR(__xludf.DUMMYFUNCTION("""COMPUTED_VALUE"""),"RSC003110")</f>
        <v>RSC003110</v>
      </c>
      <c r="C348" s="30" t="str">
        <f>IFERROR(__xludf.DUMMYFUNCTION("""COMPUTED_VALUE"""),"Rev")</f>
        <v>Rev</v>
      </c>
      <c r="D348" s="31"/>
      <c r="E348" s="31">
        <f>IFERROR(__xludf.DUMMYFUNCTION("""COMPUTED_VALUE"""),-4.106129795528801)</f>
        <v>-4.106129796</v>
      </c>
      <c r="F348" s="31">
        <f>IFERROR(__xludf.DUMMYFUNCTION("""COMPUTED_VALUE"""),-65.6910740131363)</f>
        <v>-65.69107401</v>
      </c>
      <c r="G348" s="31">
        <f>IFERROR(__xludf.DUMMYFUNCTION("""COMPUTED_VALUE"""),6.553169245519257)</f>
        <v>6.553169246</v>
      </c>
      <c r="H348" s="31">
        <f>IFERROR(__xludf.DUMMYFUNCTION("""COMPUTED_VALUE"""),-24.321090862444148)</f>
        <v>-24.32109086</v>
      </c>
      <c r="I348" s="54">
        <f>IFERROR(__xludf.DUMMYFUNCTION("""COMPUTED_VALUE"""),8.0)</f>
        <v>8</v>
      </c>
      <c r="J348" s="55">
        <f>IFERROR(__xludf.DUMMYFUNCTION("""COMPUTED_VALUE"""),0.0)</f>
        <v>0</v>
      </c>
      <c r="K348" s="54">
        <f>IFERROR(__xludf.DUMMYFUNCTION("""COMPUTED_VALUE"""),8.0)</f>
        <v>8</v>
      </c>
      <c r="L348" s="56">
        <f>IFERROR(__xludf.DUMMYFUNCTION("""COMPUTED_VALUE"""),0.0)</f>
        <v>0</v>
      </c>
      <c r="M348" s="56">
        <f>IFERROR(__xludf.DUMMYFUNCTION("""COMPUTED_VALUE"""),0.058823529411764705)</f>
        <v>0.05882352941</v>
      </c>
      <c r="N348" s="31">
        <f>IFERROR(__xludf.DUMMYFUNCTION("""COMPUTED_VALUE"""),241.125)</f>
        <v>241.125</v>
      </c>
      <c r="O348" s="57">
        <f>IFERROR(__xludf.DUMMYFUNCTION("""COMPUTED_VALUE"""),0.125)</f>
        <v>0.125</v>
      </c>
      <c r="P348" s="57">
        <f>IFERROR(__xludf.DUMMYFUNCTION("""COMPUTED_VALUE"""),0.25)</f>
        <v>0.25</v>
      </c>
      <c r="Q348" s="57">
        <f>IFERROR(__xludf.DUMMYFUNCTION("""COMPUTED_VALUE"""),1.125)</f>
        <v>1.125</v>
      </c>
      <c r="R348" s="57">
        <f>IFERROR(__xludf.DUMMYFUNCTION("""COMPUTED_VALUE"""),2.125)</f>
        <v>2.125</v>
      </c>
      <c r="S348" s="31">
        <f>IFERROR(__xludf.DUMMYFUNCTION("""COMPUTED_VALUE"""),413.04166666666663)</f>
        <v>413.0416667</v>
      </c>
      <c r="T348" s="57">
        <f>IFERROR(__xludf.DUMMYFUNCTION("""COMPUTED_VALUE"""),1.0833333333333333)</f>
        <v>1.083333333</v>
      </c>
      <c r="U348" s="57">
        <f>IFERROR(__xludf.DUMMYFUNCTION("""COMPUTED_VALUE"""),0.9166666666666666)</f>
        <v>0.9166666667</v>
      </c>
      <c r="V348" s="57">
        <f>IFERROR(__xludf.DUMMYFUNCTION("""COMPUTED_VALUE"""),1.2916666666666667)</f>
        <v>1.291666667</v>
      </c>
      <c r="W348" s="57">
        <f>IFERROR(__xludf.DUMMYFUNCTION("""COMPUTED_VALUE"""),3.291666666666667)</f>
        <v>3.291666667</v>
      </c>
      <c r="X348" s="31">
        <f>IFERROR(__xludf.DUMMYFUNCTION("""COMPUTED_VALUE"""),391.5428508053508)</f>
        <v>391.5428508</v>
      </c>
      <c r="Y348" s="57">
        <f>IFERROR(__xludf.DUMMYFUNCTION("""COMPUTED_VALUE"""),0.9671674515424517)</f>
        <v>0.9671674515</v>
      </c>
      <c r="Z348" s="57">
        <f>IFERROR(__xludf.DUMMYFUNCTION("""COMPUTED_VALUE"""),0.6440511534261535)</f>
        <v>0.6440511534</v>
      </c>
      <c r="AA348" s="57">
        <f>IFERROR(__xludf.DUMMYFUNCTION("""COMPUTED_VALUE"""),1.3997048184548184)</f>
        <v>1.399704818</v>
      </c>
      <c r="AB348" s="57">
        <f>IFERROR(__xludf.DUMMYFUNCTION("""COMPUTED_VALUE"""),3.015967103467104)</f>
        <v>3.015967103</v>
      </c>
      <c r="AC348" s="31">
        <f>IFERROR(__xludf.DUMMYFUNCTION("""COMPUTED_VALUE"""),362.96247213122206)</f>
        <v>362.9624721</v>
      </c>
      <c r="AD348" s="57">
        <f>IFERROR(__xludf.DUMMYFUNCTION("""COMPUTED_VALUE"""),0.7628725316225317)</f>
        <v>0.7628725316</v>
      </c>
      <c r="AE348" s="57">
        <f>IFERROR(__xludf.DUMMYFUNCTION("""COMPUTED_VALUE"""),0.5620828214578214)</f>
        <v>0.5620828215</v>
      </c>
      <c r="AF348" s="57">
        <f>IFERROR(__xludf.DUMMYFUNCTION("""COMPUTED_VALUE"""),1.531074824824825)</f>
        <v>1.531074825</v>
      </c>
      <c r="AG348" s="57">
        <f>IFERROR(__xludf.DUMMYFUNCTION("""COMPUTED_VALUE"""),2.5454679110929113)</f>
        <v>2.545467911</v>
      </c>
      <c r="AH348" s="57">
        <f>IFERROR(__xludf.DUMMYFUNCTION("""COMPUTED_VALUE"""),0.6643248779527431)</f>
        <v>0.664324878</v>
      </c>
      <c r="AI348" s="57">
        <f>IFERROR(__xludf.DUMMYFUNCTION("""COMPUTED_VALUE"""),0.16385437254391777)</f>
        <v>0.1638543725</v>
      </c>
      <c r="AJ348" s="57">
        <f>IFERROR(__xludf.DUMMYFUNCTION("""COMPUTED_VALUE"""),0.4447743116425414)</f>
        <v>0.4447743116</v>
      </c>
      <c r="AK348" s="57">
        <f>IFERROR(__xludf.DUMMYFUNCTION("""COMPUTED_VALUE"""),0.7347779362309839)</f>
        <v>0.7347779362</v>
      </c>
      <c r="AL348" s="57">
        <f>IFERROR(__xludf.DUMMYFUNCTION("""COMPUTED_VALUE"""),0.8348170451253574)</f>
        <v>0.8348170451</v>
      </c>
      <c r="AM348" s="57">
        <f>IFERROR(__xludf.DUMMYFUNCTION("""COMPUTED_VALUE"""),1.0549079514977624)</f>
        <v>1.054907951</v>
      </c>
      <c r="AN348" s="57">
        <f>IFERROR(__xludf.DUMMYFUNCTION("""COMPUTED_VALUE"""),1.1201093787902174)</f>
        <v>1.120109379</v>
      </c>
      <c r="AO348" s="57">
        <f>IFERROR(__xludf.DUMMYFUNCTION("""COMPUTED_VALUE"""),1.4232823926954912)</f>
        <v>1.423282393</v>
      </c>
      <c r="AP348" s="35">
        <f>IFERROR(__xludf.DUMMYFUNCTION("""COMPUTED_VALUE"""),0.9228136172972394)</f>
        <v>0.9228136173</v>
      </c>
      <c r="AQ348" s="57">
        <f>IFERROR(__xludf.DUMMYFUNCTION("""COMPUTED_VALUE"""),1.0914133190917843)</f>
        <v>1.091413319</v>
      </c>
      <c r="AR348" s="36" t="b">
        <f>IFERROR(__xludf.DUMMYFUNCTION("""COMPUTED_VALUE"""),TRUE)</f>
        <v>1</v>
      </c>
      <c r="AS348" s="57"/>
      <c r="AT348" s="37"/>
      <c r="AU348" s="30"/>
      <c r="AV348" s="30"/>
      <c r="AW348" s="30"/>
      <c r="AX348" s="30"/>
      <c r="AY348" s="30"/>
      <c r="AZ348" s="30"/>
    </row>
    <row r="349">
      <c r="A349" s="30" t="str">
        <f>IFERROR(__xludf.DUMMYFUNCTION("""COMPUTED_VALUE"""),"Elite")</f>
        <v>Elite</v>
      </c>
      <c r="B349" s="30" t="str">
        <f>IFERROR(__xludf.DUMMYFUNCTION("""COMPUTED_VALUE"""),"RSC005522")</f>
        <v>RSC005522</v>
      </c>
      <c r="C349" s="30" t="str">
        <f>IFERROR(__xludf.DUMMYFUNCTION("""COMPUTED_VALUE"""),"Diviniation")</f>
        <v>Diviniation</v>
      </c>
      <c r="D349" s="31"/>
      <c r="E349" s="31">
        <f>IFERROR(__xludf.DUMMYFUNCTION("""COMPUTED_VALUE"""),-4.950044681512658)</f>
        <v>-4.950044682</v>
      </c>
      <c r="F349" s="31">
        <f>IFERROR(__xludf.DUMMYFUNCTION("""COMPUTED_VALUE"""),-71.55896572891433)</f>
        <v>-71.55896573</v>
      </c>
      <c r="G349" s="31">
        <f>IFERROR(__xludf.DUMMYFUNCTION("""COMPUTED_VALUE"""),5.7262288977836775)</f>
        <v>5.726228898</v>
      </c>
      <c r="H349" s="31">
        <f>IFERROR(__xludf.DUMMYFUNCTION("""COMPUTED_VALUE"""),-26.120273623900903)</f>
        <v>-26.12027362</v>
      </c>
      <c r="I349" s="54">
        <f>IFERROR(__xludf.DUMMYFUNCTION("""COMPUTED_VALUE"""),2.0)</f>
        <v>2</v>
      </c>
      <c r="J349" s="55">
        <f>IFERROR(__xludf.DUMMYFUNCTION("""COMPUTED_VALUE"""),1.0)</f>
        <v>1</v>
      </c>
      <c r="K349" s="54">
        <f>IFERROR(__xludf.DUMMYFUNCTION("""COMPUTED_VALUE"""),1.0)</f>
        <v>1</v>
      </c>
      <c r="L349" s="56">
        <f>IFERROR(__xludf.DUMMYFUNCTION("""COMPUTED_VALUE"""),0.5)</f>
        <v>0.5</v>
      </c>
      <c r="M349" s="56">
        <f>IFERROR(__xludf.DUMMYFUNCTION("""COMPUTED_VALUE"""),0.0)</f>
        <v>0</v>
      </c>
      <c r="N349" s="31">
        <f>IFERROR(__xludf.DUMMYFUNCTION("""COMPUTED_VALUE"""),280.0)</f>
        <v>280</v>
      </c>
      <c r="O349" s="57">
        <f>IFERROR(__xludf.DUMMYFUNCTION("""COMPUTED_VALUE"""),0.0)</f>
        <v>0</v>
      </c>
      <c r="P349" s="57">
        <f>IFERROR(__xludf.DUMMYFUNCTION("""COMPUTED_VALUE"""),0.5)</f>
        <v>0.5</v>
      </c>
      <c r="Q349" s="57">
        <f>IFERROR(__xludf.DUMMYFUNCTION("""COMPUTED_VALUE"""),2.0)</f>
        <v>2</v>
      </c>
      <c r="R349" s="57">
        <f>IFERROR(__xludf.DUMMYFUNCTION("""COMPUTED_VALUE"""),1.5)</f>
        <v>1.5</v>
      </c>
      <c r="S349" s="31">
        <f>IFERROR(__xludf.DUMMYFUNCTION("""COMPUTED_VALUE"""),323.5)</f>
        <v>323.5</v>
      </c>
      <c r="T349" s="57">
        <f>IFERROR(__xludf.DUMMYFUNCTION("""COMPUTED_VALUE"""),1.0)</f>
        <v>1</v>
      </c>
      <c r="U349" s="57">
        <f>IFERROR(__xludf.DUMMYFUNCTION("""COMPUTED_VALUE"""),0.6666666666666666)</f>
        <v>0.6666666667</v>
      </c>
      <c r="V349" s="57">
        <f>IFERROR(__xludf.DUMMYFUNCTION("""COMPUTED_VALUE"""),0.5)</f>
        <v>0.5</v>
      </c>
      <c r="W349" s="57">
        <f>IFERROR(__xludf.DUMMYFUNCTION("""COMPUTED_VALUE"""),3.5)</f>
        <v>3.5</v>
      </c>
      <c r="X349" s="31">
        <f>IFERROR(__xludf.DUMMYFUNCTION("""COMPUTED_VALUE"""),340.7015873015873)</f>
        <v>340.7015873</v>
      </c>
      <c r="Y349" s="57">
        <f>IFERROR(__xludf.DUMMYFUNCTION("""COMPUTED_VALUE"""),0.7447895100069012)</f>
        <v>0.74478951</v>
      </c>
      <c r="Z349" s="57">
        <f>IFERROR(__xludf.DUMMYFUNCTION("""COMPUTED_VALUE"""),0.6051069703243616)</f>
        <v>0.6051069703</v>
      </c>
      <c r="AA349" s="57">
        <f>IFERROR(__xludf.DUMMYFUNCTION("""COMPUTED_VALUE"""),1.1603864734299518)</f>
        <v>1.160386473</v>
      </c>
      <c r="AB349" s="57">
        <f>IFERROR(__xludf.DUMMYFUNCTION("""COMPUTED_VALUE"""),2.7706004140786753)</f>
        <v>2.770600414</v>
      </c>
      <c r="AC349" s="31">
        <f>IFERROR(__xludf.DUMMYFUNCTION("""COMPUTED_VALUE"""),355.5930526800092)</f>
        <v>355.5930527</v>
      </c>
      <c r="AD349" s="57">
        <f>IFERROR(__xludf.DUMMYFUNCTION("""COMPUTED_VALUE"""),0.730503795721187)</f>
        <v>0.7305037957</v>
      </c>
      <c r="AE349" s="57">
        <f>IFERROR(__xludf.DUMMYFUNCTION("""COMPUTED_VALUE"""),0.5709454796411317)</f>
        <v>0.5709454796</v>
      </c>
      <c r="AF349" s="57">
        <f>IFERROR(__xludf.DUMMYFUNCTION("""COMPUTED_VALUE"""),1.4979296066252588)</f>
        <v>1.497929607</v>
      </c>
      <c r="AG349" s="57">
        <f>IFERROR(__xludf.DUMMYFUNCTION("""COMPUTED_VALUE"""),2.384334023464458)</f>
        <v>2.384334023</v>
      </c>
      <c r="AH349" s="57">
        <f>IFERROR(__xludf.DUMMYFUNCTION("""COMPUTED_VALUE"""),0.787416958485874)</f>
        <v>0.7874169585</v>
      </c>
      <c r="AI349" s="57">
        <f>IFERROR(__xludf.DUMMYFUNCTION("""COMPUTED_VALUE"""),0.0)</f>
        <v>0</v>
      </c>
      <c r="AJ349" s="57">
        <f>IFERROR(__xludf.DUMMYFUNCTION("""COMPUTED_VALUE"""),0.8757403602079054)</f>
        <v>0.8757403602</v>
      </c>
      <c r="AK349" s="57">
        <f>IFERROR(__xludf.DUMMYFUNCTION("""COMPUTED_VALUE"""),1.335176226675881)</f>
        <v>1.335176227</v>
      </c>
      <c r="AL349" s="57">
        <f>IFERROR(__xludf.DUMMYFUNCTION("""COMPUTED_VALUE"""),0.6291064864395497)</f>
        <v>0.6291064864</v>
      </c>
      <c r="AM349" s="57">
        <f>IFERROR(__xludf.DUMMYFUNCTION("""COMPUTED_VALUE"""),0.949511279246373)</f>
        <v>0.9495112792</v>
      </c>
      <c r="AN349" s="57">
        <f>IFERROR(__xludf.DUMMYFUNCTION("""COMPUTED_VALUE"""),1.3426612305411418)</f>
        <v>1.342661231</v>
      </c>
      <c r="AO349" s="57">
        <f>IFERROR(__xludf.DUMMYFUNCTION("""COMPUTED_VALUE"""),1.1017335766423357)</f>
        <v>1.101733577</v>
      </c>
      <c r="AP349" s="35">
        <f>IFERROR(__xludf.DUMMYFUNCTION("""COMPUTED_VALUE"""),0.43089092422980846)</f>
        <v>0.4308909242</v>
      </c>
      <c r="AQ349" s="57">
        <f>IFERROR(__xludf.DUMMYFUNCTION("""COMPUTED_VALUE"""),1.2632640860857867)</f>
        <v>1.263264086</v>
      </c>
      <c r="AR349" s="36" t="b">
        <f>IFERROR(__xludf.DUMMYFUNCTION("""COMPUTED_VALUE"""),TRUE)</f>
        <v>1</v>
      </c>
      <c r="AS349" s="57"/>
      <c r="AT349" s="37"/>
      <c r="AU349" s="30"/>
      <c r="AV349" s="30"/>
      <c r="AW349" s="30"/>
      <c r="AX349" s="30"/>
      <c r="AY349" s="30"/>
      <c r="AZ349" s="30"/>
    </row>
    <row r="350">
      <c r="A350" s="30" t="str">
        <f>IFERROR(__xludf.DUMMYFUNCTION("""COMPUTED_VALUE"""),"Elite")</f>
        <v>Elite</v>
      </c>
      <c r="B350" s="30" t="str">
        <f>IFERROR(__xludf.DUMMYFUNCTION("""COMPUTED_VALUE"""),"RSC004650")</f>
        <v>RSC004650</v>
      </c>
      <c r="C350" s="30" t="str">
        <f>IFERROR(__xludf.DUMMYFUNCTION("""COMPUTED_VALUE"""),"xolzkii")</f>
        <v>xolzkii</v>
      </c>
      <c r="D350" s="31" t="str">
        <f>IFERROR(__xludf.DUMMYFUNCTION("""COMPUTED_VALUE"""),"Summoned")</f>
        <v>Summoned</v>
      </c>
      <c r="E350" s="31">
        <f>IFERROR(__xludf.DUMMYFUNCTION("""COMPUTED_VALUE"""),-5.857878304930978)</f>
        <v>-5.857878305</v>
      </c>
      <c r="F350" s="31">
        <f>IFERROR(__xludf.DUMMYFUNCTION("""COMPUTED_VALUE"""),-78.54735969879671)</f>
        <v>-78.5473597</v>
      </c>
      <c r="G350" s="31">
        <f>IFERROR(__xludf.DUMMYFUNCTION("""COMPUTED_VALUE"""),3.945625037006792)</f>
        <v>3.945625037</v>
      </c>
      <c r="H350" s="31">
        <f>IFERROR(__xludf.DUMMYFUNCTION("""COMPUTED_VALUE"""),-30.55788479469607)</f>
        <v>-30.55788479</v>
      </c>
      <c r="I350" s="54">
        <f>IFERROR(__xludf.DUMMYFUNCTION("""COMPUTED_VALUE"""),4.0)</f>
        <v>4</v>
      </c>
      <c r="J350" s="55">
        <f>IFERROR(__xludf.DUMMYFUNCTION("""COMPUTED_VALUE"""),0.0)</f>
        <v>0</v>
      </c>
      <c r="K350" s="54">
        <f>IFERROR(__xludf.DUMMYFUNCTION("""COMPUTED_VALUE"""),4.0)</f>
        <v>4</v>
      </c>
      <c r="L350" s="56">
        <f>IFERROR(__xludf.DUMMYFUNCTION("""COMPUTED_VALUE"""),0.0)</f>
        <v>0</v>
      </c>
      <c r="M350" s="56">
        <f>IFERROR(__xludf.DUMMYFUNCTION("""COMPUTED_VALUE"""),0.16666666666666666)</f>
        <v>0.1666666667</v>
      </c>
      <c r="N350" s="31">
        <f>IFERROR(__xludf.DUMMYFUNCTION("""COMPUTED_VALUE"""),345.5)</f>
        <v>345.5</v>
      </c>
      <c r="O350" s="57">
        <f>IFERROR(__xludf.DUMMYFUNCTION("""COMPUTED_VALUE"""),0.25)</f>
        <v>0.25</v>
      </c>
      <c r="P350" s="57">
        <f>IFERROR(__xludf.DUMMYFUNCTION("""COMPUTED_VALUE"""),0.25)</f>
        <v>0.25</v>
      </c>
      <c r="Q350" s="57">
        <f>IFERROR(__xludf.DUMMYFUNCTION("""COMPUTED_VALUE"""),1.75)</f>
        <v>1.75</v>
      </c>
      <c r="R350" s="57">
        <f>IFERROR(__xludf.DUMMYFUNCTION("""COMPUTED_VALUE"""),1.5)</f>
        <v>1.5</v>
      </c>
      <c r="S350" s="31">
        <f>IFERROR(__xludf.DUMMYFUNCTION("""COMPUTED_VALUE"""),492.0)</f>
        <v>492</v>
      </c>
      <c r="T350" s="57">
        <f>IFERROR(__xludf.DUMMYFUNCTION("""COMPUTED_VALUE"""),1.3333333333333333)</f>
        <v>1.333333333</v>
      </c>
      <c r="U350" s="57">
        <f>IFERROR(__xludf.DUMMYFUNCTION("""COMPUTED_VALUE"""),0.9166666666666666)</f>
        <v>0.9166666667</v>
      </c>
      <c r="V350" s="57">
        <f>IFERROR(__xludf.DUMMYFUNCTION("""COMPUTED_VALUE"""),1.4166666666666667)</f>
        <v>1.416666667</v>
      </c>
      <c r="W350" s="57">
        <f>IFERROR(__xludf.DUMMYFUNCTION("""COMPUTED_VALUE"""),4.666666666666666)</f>
        <v>4.666666667</v>
      </c>
      <c r="X350" s="31">
        <f>IFERROR(__xludf.DUMMYFUNCTION("""COMPUTED_VALUE"""),407.5343434343434)</f>
        <v>407.5343434</v>
      </c>
      <c r="Y350" s="57">
        <f>IFERROR(__xludf.DUMMYFUNCTION("""COMPUTED_VALUE"""),1.035479797979798)</f>
        <v>1.035479798</v>
      </c>
      <c r="Z350" s="57">
        <f>IFERROR(__xludf.DUMMYFUNCTION("""COMPUTED_VALUE"""),0.6847222222222222)</f>
        <v>0.6847222222</v>
      </c>
      <c r="AA350" s="57">
        <f>IFERROR(__xludf.DUMMYFUNCTION("""COMPUTED_VALUE"""),1.5238636363636366)</f>
        <v>1.523863636</v>
      </c>
      <c r="AB350" s="57">
        <f>IFERROR(__xludf.DUMMYFUNCTION("""COMPUTED_VALUE"""),2.862121212121212)</f>
        <v>2.862121212</v>
      </c>
      <c r="AC350" s="31">
        <f>IFERROR(__xludf.DUMMYFUNCTION("""COMPUTED_VALUE"""),347.5255892255893)</f>
        <v>347.5255892</v>
      </c>
      <c r="AD350" s="57">
        <f>IFERROR(__xludf.DUMMYFUNCTION("""COMPUTED_VALUE"""),0.7414983164983164)</f>
        <v>0.7414983165</v>
      </c>
      <c r="AE350" s="57">
        <f>IFERROR(__xludf.DUMMYFUNCTION("""COMPUTED_VALUE"""),0.5118265993265995)</f>
        <v>0.5118265993</v>
      </c>
      <c r="AF350" s="57">
        <f>IFERROR(__xludf.DUMMYFUNCTION("""COMPUTED_VALUE"""),1.3414562289562288)</f>
        <v>1.341456229</v>
      </c>
      <c r="AG350" s="57">
        <f>IFERROR(__xludf.DUMMYFUNCTION("""COMPUTED_VALUE"""),2.597516835016835)</f>
        <v>2.597516835</v>
      </c>
      <c r="AH350" s="57">
        <f>IFERROR(__xludf.DUMMYFUNCTION("""COMPUTED_VALUE"""),0.9941713954644232)</f>
        <v>0.9941713955</v>
      </c>
      <c r="AI350" s="57">
        <f>IFERROR(__xludf.DUMMYFUNCTION("""COMPUTED_VALUE"""),0.3371551822000227)</f>
        <v>0.3371551822</v>
      </c>
      <c r="AJ350" s="57">
        <f>IFERROR(__xludf.DUMMYFUNCTION("""COMPUTED_VALUE"""),0.48844667379327344)</f>
        <v>0.4884466738</v>
      </c>
      <c r="AK350" s="57">
        <f>IFERROR(__xludf.DUMMYFUNCTION("""COMPUTED_VALUE"""),1.3045524425061965)</f>
        <v>1.304552443</v>
      </c>
      <c r="AL350" s="57">
        <f>IFERROR(__xludf.DUMMYFUNCTION("""COMPUTED_VALUE"""),0.5774746018114945)</f>
        <v>0.5774746018</v>
      </c>
      <c r="AM350" s="57">
        <f>IFERROR(__xludf.DUMMYFUNCTION("""COMPUTED_VALUE"""),1.207260217271148)</f>
        <v>1.207260217</v>
      </c>
      <c r="AN350" s="57">
        <f>IFERROR(__xludf.DUMMYFUNCTION("""COMPUTED_VALUE"""),1.287647847823436)</f>
        <v>1.287647848</v>
      </c>
      <c r="AO350" s="57">
        <f>IFERROR(__xludf.DUMMYFUNCTION("""COMPUTED_VALUE"""),1.3387423935091278)</f>
        <v>1.338742394</v>
      </c>
      <c r="AP350" s="35">
        <f>IFERROR(__xludf.DUMMYFUNCTION("""COMPUTED_VALUE"""),0.9296544867014664)</f>
        <v>0.9296544867</v>
      </c>
      <c r="AQ350" s="57">
        <f>IFERROR(__xludf.DUMMYFUNCTION("""COMPUTED_VALUE"""),1.6304923239809423)</f>
        <v>1.630492324</v>
      </c>
      <c r="AR350" s="36" t="b">
        <f>IFERROR(__xludf.DUMMYFUNCTION("""COMPUTED_VALUE"""),TRUE)</f>
        <v>1</v>
      </c>
      <c r="AS350" s="57"/>
      <c r="AT350" s="37"/>
      <c r="AU350" s="30"/>
      <c r="AV350" s="30"/>
      <c r="AW350" s="30"/>
      <c r="AX350" s="30"/>
      <c r="AY350" s="30"/>
      <c r="AZ350" s="30"/>
    </row>
    <row r="351">
      <c r="A351" s="30" t="str">
        <f>IFERROR(__xludf.DUMMYFUNCTION("""COMPUTED_VALUE"""),"Elite")</f>
        <v>Elite</v>
      </c>
      <c r="B351" s="30" t="str">
        <f>IFERROR(__xludf.DUMMYFUNCTION("""COMPUTED_VALUE"""),"RSC004794")</f>
        <v>RSC004794</v>
      </c>
      <c r="C351" s="30" t="str">
        <f>IFERROR(__xludf.DUMMYFUNCTION("""COMPUTED_VALUE"""),"Buddha")</f>
        <v>Buddha</v>
      </c>
      <c r="D351" s="31"/>
      <c r="E351" s="31">
        <f>IFERROR(__xludf.DUMMYFUNCTION("""COMPUTED_VALUE"""),-14.850980463902914)</f>
        <v>-14.85098046</v>
      </c>
      <c r="F351" s="31">
        <f>IFERROR(__xludf.DUMMYFUNCTION("""COMPUTED_VALUE"""),-210.84665607747715)</f>
        <v>-210.8466561</v>
      </c>
      <c r="G351" s="31">
        <f>IFERROR(__xludf.DUMMYFUNCTION("""COMPUTED_VALUE"""),-13.652670385539757)</f>
        <v>-13.65267039</v>
      </c>
      <c r="H351" s="31">
        <f>IFERROR(__xludf.DUMMYFUNCTION("""COMPUTED_VALUE"""),-183.60103093148768)</f>
        <v>-183.6010309</v>
      </c>
      <c r="I351" s="54">
        <f>IFERROR(__xludf.DUMMYFUNCTION("""COMPUTED_VALUE"""),4.0)</f>
        <v>4</v>
      </c>
      <c r="J351" s="55">
        <f>IFERROR(__xludf.DUMMYFUNCTION("""COMPUTED_VALUE"""),0.0)</f>
        <v>0</v>
      </c>
      <c r="K351" s="54">
        <f>IFERROR(__xludf.DUMMYFUNCTION("""COMPUTED_VALUE"""),4.0)</f>
        <v>4</v>
      </c>
      <c r="L351" s="56">
        <f>IFERROR(__xludf.DUMMYFUNCTION("""COMPUTED_VALUE"""),0.0)</f>
        <v>0</v>
      </c>
      <c r="M351" s="56">
        <f>IFERROR(__xludf.DUMMYFUNCTION("""COMPUTED_VALUE"""),0.6666666666666666)</f>
        <v>0.6666666667</v>
      </c>
      <c r="N351" s="31">
        <f>IFERROR(__xludf.DUMMYFUNCTION("""COMPUTED_VALUE"""),216.75)</f>
        <v>216.75</v>
      </c>
      <c r="O351" s="57">
        <f>IFERROR(__xludf.DUMMYFUNCTION("""COMPUTED_VALUE"""),0.5)</f>
        <v>0.5</v>
      </c>
      <c r="P351" s="57">
        <f>IFERROR(__xludf.DUMMYFUNCTION("""COMPUTED_VALUE"""),0.25)</f>
        <v>0.25</v>
      </c>
      <c r="Q351" s="57">
        <f>IFERROR(__xludf.DUMMYFUNCTION("""COMPUTED_VALUE"""),0.75)</f>
        <v>0.75</v>
      </c>
      <c r="R351" s="57">
        <f>IFERROR(__xludf.DUMMYFUNCTION("""COMPUTED_VALUE"""),0.75)</f>
        <v>0.75</v>
      </c>
      <c r="S351" s="31">
        <f>IFERROR(__xludf.DUMMYFUNCTION("""COMPUTED_VALUE"""),381.3333333333333)</f>
        <v>381.3333333</v>
      </c>
      <c r="T351" s="57">
        <f>IFERROR(__xludf.DUMMYFUNCTION("""COMPUTED_VALUE"""),1.25)</f>
        <v>1.25</v>
      </c>
      <c r="U351" s="57">
        <f>IFERROR(__xludf.DUMMYFUNCTION("""COMPUTED_VALUE"""),0.9166666666666666)</f>
        <v>0.9166666667</v>
      </c>
      <c r="V351" s="57">
        <f>IFERROR(__xludf.DUMMYFUNCTION("""COMPUTED_VALUE"""),0.7499999999999999)</f>
        <v>0.75</v>
      </c>
      <c r="W351" s="57">
        <f>IFERROR(__xludf.DUMMYFUNCTION("""COMPUTED_VALUE"""),3.5)</f>
        <v>3.5</v>
      </c>
      <c r="X351" s="31">
        <f>IFERROR(__xludf.DUMMYFUNCTION("""COMPUTED_VALUE"""),361.72716750841755)</f>
        <v>361.7271675</v>
      </c>
      <c r="Y351" s="57">
        <f>IFERROR(__xludf.DUMMYFUNCTION("""COMPUTED_VALUE"""),0.6696127946127947)</f>
        <v>0.6696127946</v>
      </c>
      <c r="Z351" s="57">
        <f>IFERROR(__xludf.DUMMYFUNCTION("""COMPUTED_VALUE"""),0.5808080808080809)</f>
        <v>0.5808080808</v>
      </c>
      <c r="AA351" s="57">
        <f>IFERROR(__xludf.DUMMYFUNCTION("""COMPUTED_VALUE"""),1.4974747474747474)</f>
        <v>1.497474747</v>
      </c>
      <c r="AB351" s="57">
        <f>IFERROR(__xludf.DUMMYFUNCTION("""COMPUTED_VALUE"""),2.7387415824915826)</f>
        <v>2.738741582</v>
      </c>
      <c r="AC351" s="31">
        <f>IFERROR(__xludf.DUMMYFUNCTION("""COMPUTED_VALUE"""),347.708648989899)</f>
        <v>347.708649</v>
      </c>
      <c r="AD351" s="57">
        <f>IFERROR(__xludf.DUMMYFUNCTION("""COMPUTED_VALUE"""),0.6434132996632996)</f>
        <v>0.6434132997</v>
      </c>
      <c r="AE351" s="57">
        <f>IFERROR(__xludf.DUMMYFUNCTION("""COMPUTED_VALUE"""),0.5343364197530863)</f>
        <v>0.5343364198</v>
      </c>
      <c r="AF351" s="57">
        <f>IFERROR(__xludf.DUMMYFUNCTION("""COMPUTED_VALUE"""),1.4895131874298537)</f>
        <v>1.489513187</v>
      </c>
      <c r="AG351" s="57">
        <f>IFERROR(__xludf.DUMMYFUNCTION("""COMPUTED_VALUE"""),2.5128367003367007)</f>
        <v>2.5128367</v>
      </c>
      <c r="AH351" s="57">
        <f>IFERROR(__xludf.DUMMYFUNCTION("""COMPUTED_VALUE"""),0.6233667198951287)</f>
        <v>0.6233667199</v>
      </c>
      <c r="AI351" s="57">
        <f>IFERROR(__xludf.DUMMYFUNCTION("""COMPUTED_VALUE"""),0.7771054783319706)</f>
        <v>0.7771054783</v>
      </c>
      <c r="AJ351" s="57">
        <f>IFERROR(__xludf.DUMMYFUNCTION("""COMPUTED_VALUE"""),0.46787003610108313)</f>
        <v>0.4678700361</v>
      </c>
      <c r="AK351" s="57">
        <f>IFERROR(__xludf.DUMMYFUNCTION("""COMPUTED_VALUE"""),0.5035202147448729)</f>
        <v>0.5035202147</v>
      </c>
      <c r="AL351" s="57">
        <f>IFERROR(__xludf.DUMMYFUNCTION("""COMPUTED_VALUE"""),0.29846746503642907)</f>
        <v>0.298467465</v>
      </c>
      <c r="AM351" s="57">
        <f>IFERROR(__xludf.DUMMYFUNCTION("""COMPUTED_VALUE"""),1.0542015297329292)</f>
        <v>1.05420153</v>
      </c>
      <c r="AN351" s="57">
        <f>IFERROR(__xludf.DUMMYFUNCTION("""COMPUTED_VALUE"""),1.866750471401634)</f>
        <v>1.866750471</v>
      </c>
      <c r="AO351" s="57">
        <f>IFERROR(__xludf.DUMMYFUNCTION("""COMPUTED_VALUE"""),1.5782608695652172)</f>
        <v>1.57826087</v>
      </c>
      <c r="AP351" s="35">
        <f>IFERROR(__xludf.DUMMYFUNCTION("""COMPUTED_VALUE"""),0.5008431703204047)</f>
        <v>0.5008431703</v>
      </c>
      <c r="AQ351" s="57">
        <f>IFERROR(__xludf.DUMMYFUNCTION("""COMPUTED_VALUE"""),1.277959199354566)</f>
        <v>1.277959199</v>
      </c>
      <c r="AR351" s="36" t="b">
        <f>IFERROR(__xludf.DUMMYFUNCTION("""COMPUTED_VALUE"""),TRUE)</f>
        <v>1</v>
      </c>
      <c r="AS351" s="57"/>
      <c r="AT351" s="37"/>
      <c r="AU351" s="30"/>
      <c r="AV351" s="30"/>
      <c r="AW351" s="30"/>
      <c r="AX351" s="30"/>
      <c r="AY351" s="30"/>
      <c r="AZ351" s="30"/>
    </row>
    <row r="352">
      <c r="A352" s="30" t="str">
        <f>IFERROR(__xludf.DUMMYFUNCTION("""COMPUTED_VALUE"""),"Elite")</f>
        <v>Elite</v>
      </c>
      <c r="B352" s="30" t="str">
        <f>IFERROR(__xludf.DUMMYFUNCTION("""COMPUTED_VALUE"""),"RSC005490")</f>
        <v>RSC005490</v>
      </c>
      <c r="C352" s="30" t="str">
        <f>IFERROR(__xludf.DUMMYFUNCTION("""COMPUTED_VALUE"""),"iProfessorEx")</f>
        <v>iProfessorEx</v>
      </c>
      <c r="D352" s="31" t="str">
        <f>IFERROR(__xludf.DUMMYFUNCTION("""COMPUTED_VALUE"""),"Repossessed")</f>
        <v>Repossessed</v>
      </c>
      <c r="E352" s="31">
        <f>IFERROR(__xludf.DUMMYFUNCTION("""COMPUTED_VALUE"""),-25.99071675941174)</f>
        <v>-25.99071676</v>
      </c>
      <c r="F352" s="31">
        <f>IFERROR(__xludf.DUMMYFUNCTION("""COMPUTED_VALUE"""),-844.3450110925935)</f>
        <v>-844.3450111</v>
      </c>
      <c r="G352" s="31">
        <f>IFERROR(__xludf.DUMMYFUNCTION("""COMPUTED_VALUE"""),-7.650046391131205)</f>
        <v>-7.650046391</v>
      </c>
      <c r="H352" s="31">
        <f>IFERROR(__xludf.DUMMYFUNCTION("""COMPUTED_VALUE"""),-94.73945599767383)</f>
        <v>-94.739456</v>
      </c>
      <c r="I352" s="54">
        <f>IFERROR(__xludf.DUMMYFUNCTION("""COMPUTED_VALUE"""),4.0)</f>
        <v>4</v>
      </c>
      <c r="J352" s="55">
        <f>IFERROR(__xludf.DUMMYFUNCTION("""COMPUTED_VALUE"""),0.0)</f>
        <v>0</v>
      </c>
      <c r="K352" s="54">
        <f>IFERROR(__xludf.DUMMYFUNCTION("""COMPUTED_VALUE"""),4.0)</f>
        <v>4</v>
      </c>
      <c r="L352" s="56">
        <f>IFERROR(__xludf.DUMMYFUNCTION("""COMPUTED_VALUE"""),0.0)</f>
        <v>0</v>
      </c>
      <c r="M352" s="56">
        <f>IFERROR(__xludf.DUMMYFUNCTION("""COMPUTED_VALUE"""),0.0)</f>
        <v>0</v>
      </c>
      <c r="N352" s="31">
        <f>IFERROR(__xludf.DUMMYFUNCTION("""COMPUTED_VALUE"""),233.0)</f>
        <v>233</v>
      </c>
      <c r="O352" s="57">
        <f>IFERROR(__xludf.DUMMYFUNCTION("""COMPUTED_VALUE"""),0.0)</f>
        <v>0</v>
      </c>
      <c r="P352" s="57">
        <f>IFERROR(__xludf.DUMMYFUNCTION("""COMPUTED_VALUE"""),0.25)</f>
        <v>0.25</v>
      </c>
      <c r="Q352" s="57">
        <f>IFERROR(__xludf.DUMMYFUNCTION("""COMPUTED_VALUE"""),1.5)</f>
        <v>1.5</v>
      </c>
      <c r="R352" s="57">
        <f>IFERROR(__xludf.DUMMYFUNCTION("""COMPUTED_VALUE"""),1.25)</f>
        <v>1.25</v>
      </c>
      <c r="S352" s="31">
        <f>IFERROR(__xludf.DUMMYFUNCTION("""COMPUTED_VALUE"""),443.0833333333333)</f>
        <v>443.0833333</v>
      </c>
      <c r="T352" s="57">
        <f>IFERROR(__xludf.DUMMYFUNCTION("""COMPUTED_VALUE"""),1.0833333333333335)</f>
        <v>1.083333333</v>
      </c>
      <c r="U352" s="57">
        <f>IFERROR(__xludf.DUMMYFUNCTION("""COMPUTED_VALUE"""),0.9999999999999999)</f>
        <v>1</v>
      </c>
      <c r="V352" s="57">
        <f>IFERROR(__xludf.DUMMYFUNCTION("""COMPUTED_VALUE"""),1.6666666666666667)</f>
        <v>1.666666667</v>
      </c>
      <c r="W352" s="57">
        <f>IFERROR(__xludf.DUMMYFUNCTION("""COMPUTED_VALUE"""),3.0833333333333335)</f>
        <v>3.083333333</v>
      </c>
      <c r="X352" s="31">
        <f>IFERROR(__xludf.DUMMYFUNCTION("""COMPUTED_VALUE"""),382.28055555555557)</f>
        <v>382.2805556</v>
      </c>
      <c r="Y352" s="57">
        <f>IFERROR(__xludf.DUMMYFUNCTION("""COMPUTED_VALUE"""),0.7972222222222222)</f>
        <v>0.7972222222</v>
      </c>
      <c r="Z352" s="57">
        <f>IFERROR(__xludf.DUMMYFUNCTION("""COMPUTED_VALUE"""),0.6319444444444444)</f>
        <v>0.6319444444</v>
      </c>
      <c r="AA352" s="57">
        <f>IFERROR(__xludf.DUMMYFUNCTION("""COMPUTED_VALUE"""),1.5583333333333333)</f>
        <v>1.558333333</v>
      </c>
      <c r="AB352" s="57">
        <f>IFERROR(__xludf.DUMMYFUNCTION("""COMPUTED_VALUE"""),2.836111111111111)</f>
        <v>2.836111111</v>
      </c>
      <c r="AC352" s="31">
        <f>IFERROR(__xludf.DUMMYFUNCTION("""COMPUTED_VALUE"""),365.4805555555556)</f>
        <v>365.4805556</v>
      </c>
      <c r="AD352" s="57">
        <f>IFERROR(__xludf.DUMMYFUNCTION("""COMPUTED_VALUE"""),0.7250000000000001)</f>
        <v>0.725</v>
      </c>
      <c r="AE352" s="57">
        <f>IFERROR(__xludf.DUMMYFUNCTION("""COMPUTED_VALUE"""),0.524074074074074)</f>
        <v>0.5240740741</v>
      </c>
      <c r="AF352" s="57">
        <f>IFERROR(__xludf.DUMMYFUNCTION("""COMPUTED_VALUE"""),1.6199074074074074)</f>
        <v>1.619907407</v>
      </c>
      <c r="AG352" s="57">
        <f>IFERROR(__xludf.DUMMYFUNCTION("""COMPUTED_VALUE"""),2.655092592592593)</f>
        <v>2.655092593</v>
      </c>
      <c r="AH352" s="57">
        <f>IFERROR(__xludf.DUMMYFUNCTION("""COMPUTED_VALUE"""),0.6375168157600722)</f>
        <v>0.6375168158</v>
      </c>
      <c r="AI352" s="57">
        <f>IFERROR(__xludf.DUMMYFUNCTION("""COMPUTED_VALUE"""),0.0)</f>
        <v>0</v>
      </c>
      <c r="AJ352" s="57">
        <f>IFERROR(__xludf.DUMMYFUNCTION("""COMPUTED_VALUE"""),0.4770318021201414)</f>
        <v>0.4770318021</v>
      </c>
      <c r="AK352" s="57">
        <f>IFERROR(__xludf.DUMMYFUNCTION("""COMPUTED_VALUE"""),0.9259788511003144)</f>
        <v>0.9259788511</v>
      </c>
      <c r="AL352" s="57">
        <f>IFERROR(__xludf.DUMMYFUNCTION("""COMPUTED_VALUE"""),0.4707933740191804)</f>
        <v>0.470793374</v>
      </c>
      <c r="AM352" s="57">
        <f>IFERROR(__xludf.DUMMYFUNCTION("""COMPUTED_VALUE"""),1.159052760843185)</f>
        <v>1.159052761</v>
      </c>
      <c r="AN352" s="57">
        <f>IFERROR(__xludf.DUMMYFUNCTION("""COMPUTED_VALUE"""),1.3588850174216032)</f>
        <v>1.358885017</v>
      </c>
      <c r="AO352" s="57">
        <f>IFERROR(__xludf.DUMMYFUNCTION("""COMPUTED_VALUE"""),1.5824175824175823)</f>
        <v>1.582417582</v>
      </c>
      <c r="AP352" s="35">
        <f>IFERROR(__xludf.DUMMYFUNCTION("""COMPUTED_VALUE"""),1.0695187165775402)</f>
        <v>1.069518717</v>
      </c>
      <c r="AQ352" s="57">
        <f>IFERROR(__xludf.DUMMYFUNCTION("""COMPUTED_VALUE"""),1.0871694417238003)</f>
        <v>1.087169442</v>
      </c>
      <c r="AR352" s="36" t="b">
        <f>IFERROR(__xludf.DUMMYFUNCTION("""COMPUTED_VALUE"""),TRUE)</f>
        <v>1</v>
      </c>
      <c r="AS352" s="57"/>
      <c r="AT352" s="37"/>
      <c r="AU352" s="30"/>
      <c r="AV352" s="30"/>
      <c r="AW352" s="30"/>
      <c r="AX352" s="30"/>
      <c r="AY352" s="30"/>
      <c r="AZ352" s="30"/>
    </row>
    <row r="353">
      <c r="A353" s="30" t="str">
        <f>IFERROR(__xludf.DUMMYFUNCTION("""COMPUTED_VALUE"""),"Master")</f>
        <v>Master</v>
      </c>
      <c r="B353" s="30" t="str">
        <f>IFERROR(__xludf.DUMMYFUNCTION("""COMPUTED_VALUE"""),"RSC006408")</f>
        <v>RSC006408</v>
      </c>
      <c r="C353" s="30" t="str">
        <f>IFERROR(__xludf.DUMMYFUNCTION("""COMPUTED_VALUE"""),"Met.")</f>
        <v>Met.</v>
      </c>
      <c r="D353" s="31" t="str">
        <f>IFERROR(__xludf.DUMMYFUNCTION("""COMPUTED_VALUE"""),"Battle Masters")</f>
        <v>Battle Masters</v>
      </c>
      <c r="E353" s="31">
        <f>IFERROR(__xludf.DUMMYFUNCTION("""COMPUTED_VALUE"""),105.12861020851362)</f>
        <v>105.1286102</v>
      </c>
      <c r="F353" s="31">
        <f>IFERROR(__xludf.DUMMYFUNCTION("""COMPUTED_VALUE"""),72.87577313975858)</f>
        <v>72.87577314</v>
      </c>
      <c r="G353" s="31">
        <f>IFERROR(__xludf.DUMMYFUNCTION("""COMPUTED_VALUE"""),97.74597014860706)</f>
        <v>97.74597015</v>
      </c>
      <c r="H353" s="31">
        <f>IFERROR(__xludf.DUMMYFUNCTION("""COMPUTED_VALUE"""),35.616359102014684)</f>
        <v>35.6163591</v>
      </c>
      <c r="I353" s="54">
        <f>IFERROR(__xludf.DUMMYFUNCTION("""COMPUTED_VALUE"""),40.0)</f>
        <v>40</v>
      </c>
      <c r="J353" s="55">
        <f>IFERROR(__xludf.DUMMYFUNCTION("""COMPUTED_VALUE"""),31.0)</f>
        <v>31</v>
      </c>
      <c r="K353" s="54">
        <f>IFERROR(__xludf.DUMMYFUNCTION("""COMPUTED_VALUE"""),9.0)</f>
        <v>9</v>
      </c>
      <c r="L353" s="56">
        <f>IFERROR(__xludf.DUMMYFUNCTION("""COMPUTED_VALUE"""),0.775)</f>
        <v>0.775</v>
      </c>
      <c r="M353" s="56">
        <f>IFERROR(__xludf.DUMMYFUNCTION("""COMPUTED_VALUE"""),0.33548387096774196)</f>
        <v>0.335483871</v>
      </c>
      <c r="N353" s="31">
        <f>IFERROR(__xludf.DUMMYFUNCTION("""COMPUTED_VALUE"""),471.95)</f>
        <v>471.95</v>
      </c>
      <c r="O353" s="57">
        <f>IFERROR(__xludf.DUMMYFUNCTION("""COMPUTED_VALUE"""),1.3)</f>
        <v>1.3</v>
      </c>
      <c r="P353" s="57">
        <f>IFERROR(__xludf.DUMMYFUNCTION("""COMPUTED_VALUE"""),1.05)</f>
        <v>1.05</v>
      </c>
      <c r="Q353" s="57">
        <f>IFERROR(__xludf.DUMMYFUNCTION("""COMPUTED_VALUE"""),1.275)</f>
        <v>1.275</v>
      </c>
      <c r="R353" s="57">
        <f>IFERROR(__xludf.DUMMYFUNCTION("""COMPUTED_VALUE"""),3.875)</f>
        <v>3.875</v>
      </c>
      <c r="S353" s="31">
        <f>IFERROR(__xludf.DUMMYFUNCTION("""COMPUTED_VALUE"""),336.225)</f>
        <v>336.225</v>
      </c>
      <c r="T353" s="57">
        <f>IFERROR(__xludf.DUMMYFUNCTION("""COMPUTED_VALUE"""),0.5916666666666667)</f>
        <v>0.5916666667</v>
      </c>
      <c r="U353" s="57">
        <f>IFERROR(__xludf.DUMMYFUNCTION("""COMPUTED_VALUE"""),0.475)</f>
        <v>0.475</v>
      </c>
      <c r="V353" s="57">
        <f>IFERROR(__xludf.DUMMYFUNCTION("""COMPUTED_VALUE"""),1.575)</f>
        <v>1.575</v>
      </c>
      <c r="W353" s="57">
        <f>IFERROR(__xludf.DUMMYFUNCTION("""COMPUTED_VALUE"""),2.225)</f>
        <v>2.225</v>
      </c>
      <c r="X353" s="31">
        <f>IFERROR(__xludf.DUMMYFUNCTION("""COMPUTED_VALUE"""),370.0449347107684)</f>
        <v>370.0449347</v>
      </c>
      <c r="Y353" s="57">
        <f>IFERROR(__xludf.DUMMYFUNCTION("""COMPUTED_VALUE"""),0.7920302714102635)</f>
        <v>0.7920302714</v>
      </c>
      <c r="Z353" s="57">
        <f>IFERROR(__xludf.DUMMYFUNCTION("""COMPUTED_VALUE"""),0.6199408900226504)</f>
        <v>0.61994089</v>
      </c>
      <c r="AA353" s="57">
        <f>IFERROR(__xludf.DUMMYFUNCTION("""COMPUTED_VALUE"""),1.502764888983987)</f>
        <v>1.502764889</v>
      </c>
      <c r="AB353" s="57">
        <f>IFERROR(__xludf.DUMMYFUNCTION("""COMPUTED_VALUE"""),2.6741255580875682)</f>
        <v>2.674125558</v>
      </c>
      <c r="AC353" s="31">
        <f>IFERROR(__xludf.DUMMYFUNCTION("""COMPUTED_VALUE"""),393.9608924941723)</f>
        <v>393.9608925</v>
      </c>
      <c r="AD353" s="57">
        <f>IFERROR(__xludf.DUMMYFUNCTION("""COMPUTED_VALUE"""),0.9547564302633764)</f>
        <v>0.9547564303</v>
      </c>
      <c r="AE353" s="57">
        <f>IFERROR(__xludf.DUMMYFUNCTION("""COMPUTED_VALUE"""),0.7330571888754976)</f>
        <v>0.7330571889</v>
      </c>
      <c r="AF353" s="57">
        <f>IFERROR(__xludf.DUMMYFUNCTION("""COMPUTED_VALUE"""),1.4488875279631466)</f>
        <v>1.448887528</v>
      </c>
      <c r="AG353" s="57">
        <f>IFERROR(__xludf.DUMMYFUNCTION("""COMPUTED_VALUE"""),2.891949511277243)</f>
        <v>2.891949511</v>
      </c>
      <c r="AH353" s="57">
        <f>IFERROR(__xludf.DUMMYFUNCTION("""COMPUTED_VALUE"""),1.1979615464166442)</f>
        <v>1.197961546</v>
      </c>
      <c r="AI353" s="57">
        <f>IFERROR(__xludf.DUMMYFUNCTION("""COMPUTED_VALUE"""),1.3616038172598488)</f>
        <v>1.361603817</v>
      </c>
      <c r="AJ353" s="57">
        <f>IFERROR(__xludf.DUMMYFUNCTION("""COMPUTED_VALUE"""),1.4323575512719402)</f>
        <v>1.432357551</v>
      </c>
      <c r="AK353" s="57">
        <f>IFERROR(__xludf.DUMMYFUNCTION("""COMPUTED_VALUE"""),0.8799854891375878)</f>
        <v>0.8799854891</v>
      </c>
      <c r="AL353" s="57">
        <f>IFERROR(__xludf.DUMMYFUNCTION("""COMPUTED_VALUE"""),1.3399265737141406)</f>
        <v>1.339926574</v>
      </c>
      <c r="AM353" s="57">
        <f>IFERROR(__xludf.DUMMYFUNCTION("""COMPUTED_VALUE"""),0.9086058704270538)</f>
        <v>0.9086058704</v>
      </c>
      <c r="AN353" s="57">
        <f>IFERROR(__xludf.DUMMYFUNCTION("""COMPUTED_VALUE"""),0.7470253196423466)</f>
        <v>0.7470253196</v>
      </c>
      <c r="AO353" s="57">
        <f>IFERROR(__xludf.DUMMYFUNCTION("""COMPUTED_VALUE"""),0.7662020809478226)</f>
        <v>0.7662020809</v>
      </c>
      <c r="AP353" s="35">
        <f>IFERROR(__xludf.DUMMYFUNCTION("""COMPUTED_VALUE"""),1.0480681386326844)</f>
        <v>1.048068139</v>
      </c>
      <c r="AQ353" s="57">
        <f>IFERROR(__xludf.DUMMYFUNCTION("""COMPUTED_VALUE"""),0.8320476924768014)</f>
        <v>0.8320476925</v>
      </c>
      <c r="AR353" s="36" t="b">
        <f>IFERROR(__xludf.DUMMYFUNCTION("""COMPUTED_VALUE"""),TRUE)</f>
        <v>1</v>
      </c>
      <c r="AS353" s="57"/>
      <c r="AT353" s="37"/>
      <c r="AU353" s="30"/>
      <c r="AV353" s="30"/>
      <c r="AW353" s="30"/>
      <c r="AX353" s="30"/>
      <c r="AY353" s="30"/>
      <c r="AZ353" s="30"/>
    </row>
    <row r="354">
      <c r="A354" s="30" t="str">
        <f>IFERROR(__xludf.DUMMYFUNCTION("""COMPUTED_VALUE"""),"Master")</f>
        <v>Master</v>
      </c>
      <c r="B354" s="30" t="str">
        <f>IFERROR(__xludf.DUMMYFUNCTION("""COMPUTED_VALUE"""),"RSC000799")</f>
        <v>RSC000799</v>
      </c>
      <c r="C354" s="30" t="str">
        <f>IFERROR(__xludf.DUMMYFUNCTION("""COMPUTED_VALUE"""),"Foam")</f>
        <v>Foam</v>
      </c>
      <c r="D354" s="31" t="str">
        <f>IFERROR(__xludf.DUMMYFUNCTION("""COMPUTED_VALUE"""),"Tempests")</f>
        <v>Tempests</v>
      </c>
      <c r="E354" s="31">
        <f>IFERROR(__xludf.DUMMYFUNCTION("""COMPUTED_VALUE"""),96.69703265546949)</f>
        <v>96.69703266</v>
      </c>
      <c r="F354" s="31">
        <f>IFERROR(__xludf.DUMMYFUNCTION("""COMPUTED_VALUE"""),32.37366088873808)</f>
        <v>32.37366089</v>
      </c>
      <c r="G354" s="31">
        <f>IFERROR(__xludf.DUMMYFUNCTION("""COMPUTED_VALUE"""),93.93279868048359)</f>
        <v>93.93279868</v>
      </c>
      <c r="H354" s="31">
        <f>IFERROR(__xludf.DUMMYFUNCTION("""COMPUTED_VALUE"""),25.35990379094288)</f>
        <v>25.35990379</v>
      </c>
      <c r="I354" s="54">
        <f>IFERROR(__xludf.DUMMYFUNCTION("""COMPUTED_VALUE"""),8.0)</f>
        <v>8</v>
      </c>
      <c r="J354" s="55">
        <f>IFERROR(__xludf.DUMMYFUNCTION("""COMPUTED_VALUE"""),7.0)</f>
        <v>7</v>
      </c>
      <c r="K354" s="54">
        <f>IFERROR(__xludf.DUMMYFUNCTION("""COMPUTED_VALUE"""),1.0)</f>
        <v>1</v>
      </c>
      <c r="L354" s="56">
        <f>IFERROR(__xludf.DUMMYFUNCTION("""COMPUTED_VALUE"""),0.875)</f>
        <v>0.875</v>
      </c>
      <c r="M354" s="56">
        <f>IFERROR(__xludf.DUMMYFUNCTION("""COMPUTED_VALUE"""),0.5357142857142857)</f>
        <v>0.5357142857</v>
      </c>
      <c r="N354" s="31">
        <f>IFERROR(__xludf.DUMMYFUNCTION("""COMPUTED_VALUE"""),485.0)</f>
        <v>485</v>
      </c>
      <c r="O354" s="57">
        <f>IFERROR(__xludf.DUMMYFUNCTION("""COMPUTED_VALUE"""),1.875)</f>
        <v>1.875</v>
      </c>
      <c r="P354" s="57">
        <f>IFERROR(__xludf.DUMMYFUNCTION("""COMPUTED_VALUE"""),0.5)</f>
        <v>0.5</v>
      </c>
      <c r="Q354" s="57">
        <f>IFERROR(__xludf.DUMMYFUNCTION("""COMPUTED_VALUE"""),1.25)</f>
        <v>1.25</v>
      </c>
      <c r="R354" s="57">
        <f>IFERROR(__xludf.DUMMYFUNCTION("""COMPUTED_VALUE"""),3.5)</f>
        <v>3.5</v>
      </c>
      <c r="S354" s="31">
        <f>IFERROR(__xludf.DUMMYFUNCTION("""COMPUTED_VALUE"""),335.25)</f>
        <v>335.25</v>
      </c>
      <c r="T354" s="57">
        <f>IFERROR(__xludf.DUMMYFUNCTION("""COMPUTED_VALUE"""),0.6666666666666666)</f>
        <v>0.6666666667</v>
      </c>
      <c r="U354" s="57">
        <f>IFERROR(__xludf.DUMMYFUNCTION("""COMPUTED_VALUE"""),0.4583333333333333)</f>
        <v>0.4583333333</v>
      </c>
      <c r="V354" s="57">
        <f>IFERROR(__xludf.DUMMYFUNCTION("""COMPUTED_VALUE"""),1.25)</f>
        <v>1.25</v>
      </c>
      <c r="W354" s="57">
        <f>IFERROR(__xludf.DUMMYFUNCTION("""COMPUTED_VALUE"""),2.1666666666666665)</f>
        <v>2.166666667</v>
      </c>
      <c r="X354" s="31">
        <f>IFERROR(__xludf.DUMMYFUNCTION("""COMPUTED_VALUE"""),373.24884366277456)</f>
        <v>373.2488437</v>
      </c>
      <c r="Y354" s="57">
        <f>IFERROR(__xludf.DUMMYFUNCTION("""COMPUTED_VALUE"""),0.806238999827491)</f>
        <v>0.8062389998</v>
      </c>
      <c r="Z354" s="57">
        <f>IFERROR(__xludf.DUMMYFUNCTION("""COMPUTED_VALUE"""),0.621469323514867)</f>
        <v>0.6214693235</v>
      </c>
      <c r="AA354" s="57">
        <f>IFERROR(__xludf.DUMMYFUNCTION("""COMPUTED_VALUE"""),1.5272800389658683)</f>
        <v>1.527280039</v>
      </c>
      <c r="AB354" s="57">
        <f>IFERROR(__xludf.DUMMYFUNCTION("""COMPUTED_VALUE"""),2.6947000149754516)</f>
        <v>2.694700015</v>
      </c>
      <c r="AC354" s="31">
        <f>IFERROR(__xludf.DUMMYFUNCTION("""COMPUTED_VALUE"""),418.26250385968115)</f>
        <v>418.2625039</v>
      </c>
      <c r="AD354" s="57">
        <f>IFERROR(__xludf.DUMMYFUNCTION("""COMPUTED_VALUE"""),1.0527782692416838)</f>
        <v>1.052778269</v>
      </c>
      <c r="AE354" s="57">
        <f>IFERROR(__xludf.DUMMYFUNCTION("""COMPUTED_VALUE"""),0.8224765255085621)</f>
        <v>0.8224765255</v>
      </c>
      <c r="AF354" s="57">
        <f>IFERROR(__xludf.DUMMYFUNCTION("""COMPUTED_VALUE"""),1.514875306863363)</f>
        <v>1.514875307</v>
      </c>
      <c r="AG354" s="57">
        <f>IFERROR(__xludf.DUMMYFUNCTION("""COMPUTED_VALUE"""),3.10431786625904)</f>
        <v>3.104317866</v>
      </c>
      <c r="AH354" s="57">
        <f>IFERROR(__xludf.DUMMYFUNCTION("""COMPUTED_VALUE"""),1.1595588787531095)</f>
        <v>1.159558879</v>
      </c>
      <c r="AI354" s="57">
        <f>IFERROR(__xludf.DUMMYFUNCTION("""COMPUTED_VALUE"""),1.7810018071047025)</f>
        <v>1.781001807</v>
      </c>
      <c r="AJ354" s="57">
        <f>IFERROR(__xludf.DUMMYFUNCTION("""COMPUTED_VALUE"""),0.6079200858539213)</f>
        <v>0.6079200859</v>
      </c>
      <c r="AK354" s="57">
        <f>IFERROR(__xludf.DUMMYFUNCTION("""COMPUTED_VALUE"""),0.825150422834601)</f>
        <v>0.8251504228</v>
      </c>
      <c r="AL354" s="57">
        <f>IFERROR(__xludf.DUMMYFUNCTION("""COMPUTED_VALUE"""),1.1274618614419758)</f>
        <v>1.127461861</v>
      </c>
      <c r="AM354" s="57">
        <f>IFERROR(__xludf.DUMMYFUNCTION("""COMPUTED_VALUE"""),0.8981943432432814)</f>
        <v>0.8981943432</v>
      </c>
      <c r="AN354" s="57">
        <f>IFERROR(__xludf.DUMMYFUNCTION("""COMPUTED_VALUE"""),0.8268846667170797)</f>
        <v>0.8268846667</v>
      </c>
      <c r="AO354" s="57">
        <f>IFERROR(__xludf.DUMMYFUNCTION("""COMPUTED_VALUE"""),0.7374995289246469)</f>
        <v>0.7374995289</v>
      </c>
      <c r="AP354" s="35">
        <f>IFERROR(__xludf.DUMMYFUNCTION("""COMPUTED_VALUE"""),0.8184484626973738)</f>
        <v>0.8184484627</v>
      </c>
      <c r="AQ354" s="57">
        <f>IFERROR(__xludf.DUMMYFUNCTION("""COMPUTED_VALUE"""),0.8040474467011886)</f>
        <v>0.8040474467</v>
      </c>
      <c r="AR354" s="36" t="b">
        <f>IFERROR(__xludf.DUMMYFUNCTION("""COMPUTED_VALUE"""),TRUE)</f>
        <v>1</v>
      </c>
      <c r="AS354" s="57"/>
      <c r="AT354" s="37"/>
      <c r="AU354" s="30"/>
      <c r="AV354" s="30"/>
      <c r="AW354" s="30"/>
      <c r="AX354" s="30"/>
      <c r="AY354" s="30"/>
      <c r="AZ354" s="30"/>
    </row>
    <row r="355">
      <c r="A355" s="30" t="str">
        <f>IFERROR(__xludf.DUMMYFUNCTION("""COMPUTED_VALUE"""),"Master")</f>
        <v>Master</v>
      </c>
      <c r="B355" s="30" t="str">
        <f>IFERROR(__xludf.DUMMYFUNCTION("""COMPUTED_VALUE"""),"RSC007455")</f>
        <v>RSC007455</v>
      </c>
      <c r="C355" s="30" t="str">
        <f>IFERROR(__xludf.DUMMYFUNCTION("""COMPUTED_VALUE"""),"Shlumpy")</f>
        <v>Shlumpy</v>
      </c>
      <c r="D355" s="31" t="str">
        <f>IFERROR(__xludf.DUMMYFUNCTION("""COMPUTED_VALUE"""),"Hard Hats")</f>
        <v>Hard Hats</v>
      </c>
      <c r="E355" s="31">
        <f>IFERROR(__xludf.DUMMYFUNCTION("""COMPUTED_VALUE"""),90.79517549453504)</f>
        <v>90.79517549</v>
      </c>
      <c r="F355" s="31">
        <f>IFERROR(__xludf.DUMMYFUNCTION("""COMPUTED_VALUE"""),19.470377297585255)</f>
        <v>19.4703773</v>
      </c>
      <c r="G355" s="31">
        <f>IFERROR(__xludf.DUMMYFUNCTION("""COMPUTED_VALUE"""),70.09315399627174)</f>
        <v>70.093154</v>
      </c>
      <c r="H355" s="31">
        <f>IFERROR(__xludf.DUMMYFUNCTION("""COMPUTED_VALUE"""),4.7443378050061344)</f>
        <v>4.744337805</v>
      </c>
      <c r="I355" s="54">
        <f>IFERROR(__xludf.DUMMYFUNCTION("""COMPUTED_VALUE"""),24.0)</f>
        <v>24</v>
      </c>
      <c r="J355" s="55">
        <f>IFERROR(__xludf.DUMMYFUNCTION("""COMPUTED_VALUE"""),14.0)</f>
        <v>14</v>
      </c>
      <c r="K355" s="54">
        <f>IFERROR(__xludf.DUMMYFUNCTION("""COMPUTED_VALUE"""),10.0)</f>
        <v>10</v>
      </c>
      <c r="L355" s="56">
        <f>IFERROR(__xludf.DUMMYFUNCTION("""COMPUTED_VALUE"""),0.5833333333333334)</f>
        <v>0.5833333333</v>
      </c>
      <c r="M355" s="56">
        <f>IFERROR(__xludf.DUMMYFUNCTION("""COMPUTED_VALUE"""),0.5230769230769231)</f>
        <v>0.5230769231</v>
      </c>
      <c r="N355" s="31">
        <f>IFERROR(__xludf.DUMMYFUNCTION("""COMPUTED_VALUE"""),442.4583333333333)</f>
        <v>442.4583333</v>
      </c>
      <c r="O355" s="57">
        <f>IFERROR(__xludf.DUMMYFUNCTION("""COMPUTED_VALUE"""),1.4166666666666667)</f>
        <v>1.416666667</v>
      </c>
      <c r="P355" s="57">
        <f>IFERROR(__xludf.DUMMYFUNCTION("""COMPUTED_VALUE"""),0.875)</f>
        <v>0.875</v>
      </c>
      <c r="Q355" s="57">
        <f>IFERROR(__xludf.DUMMYFUNCTION("""COMPUTED_VALUE"""),1.2916666666666667)</f>
        <v>1.291666667</v>
      </c>
      <c r="R355" s="57">
        <f>IFERROR(__xludf.DUMMYFUNCTION("""COMPUTED_VALUE"""),2.7083333333333335)</f>
        <v>2.708333333</v>
      </c>
      <c r="S355" s="31">
        <f>IFERROR(__xludf.DUMMYFUNCTION("""COMPUTED_VALUE"""),381.0)</f>
        <v>381</v>
      </c>
      <c r="T355" s="57">
        <f>IFERROR(__xludf.DUMMYFUNCTION("""COMPUTED_VALUE"""),0.9166666666666666)</f>
        <v>0.9166666667</v>
      </c>
      <c r="U355" s="57">
        <f>IFERROR(__xludf.DUMMYFUNCTION("""COMPUTED_VALUE"""),0.6805555555555555)</f>
        <v>0.6805555556</v>
      </c>
      <c r="V355" s="57">
        <f>IFERROR(__xludf.DUMMYFUNCTION("""COMPUTED_VALUE"""),1.3750000000000002)</f>
        <v>1.375</v>
      </c>
      <c r="W355" s="57">
        <f>IFERROR(__xludf.DUMMYFUNCTION("""COMPUTED_VALUE"""),2.569444444444444)</f>
        <v>2.569444444</v>
      </c>
      <c r="X355" s="31">
        <f>IFERROR(__xludf.DUMMYFUNCTION("""COMPUTED_VALUE"""),395.63800072748523)</f>
        <v>395.6380007</v>
      </c>
      <c r="Y355" s="57">
        <f>IFERROR(__xludf.DUMMYFUNCTION("""COMPUTED_VALUE"""),0.9114111077629635)</f>
        <v>0.9114111078</v>
      </c>
      <c r="Z355" s="57">
        <f>IFERROR(__xludf.DUMMYFUNCTION("""COMPUTED_VALUE"""),0.6762066889504584)</f>
        <v>0.676206689</v>
      </c>
      <c r="AA355" s="57">
        <f>IFERROR(__xludf.DUMMYFUNCTION("""COMPUTED_VALUE"""),1.5226048231540925)</f>
        <v>1.522604823</v>
      </c>
      <c r="AB355" s="57">
        <f>IFERROR(__xludf.DUMMYFUNCTION("""COMPUTED_VALUE"""),2.8025075850355523)</f>
        <v>2.802507585</v>
      </c>
      <c r="AC355" s="31">
        <f>IFERROR(__xludf.DUMMYFUNCTION("""COMPUTED_VALUE"""),383.3323411309934)</f>
        <v>383.3323411</v>
      </c>
      <c r="AD355" s="57">
        <f>IFERROR(__xludf.DUMMYFUNCTION("""COMPUTED_VALUE"""),0.8607883370479894)</f>
        <v>0.860788337</v>
      </c>
      <c r="AE355" s="57">
        <f>IFERROR(__xludf.DUMMYFUNCTION("""COMPUTED_VALUE"""),0.6655305850125569)</f>
        <v>0.665530585</v>
      </c>
      <c r="AF355" s="57">
        <f>IFERROR(__xludf.DUMMYFUNCTION("""COMPUTED_VALUE"""),1.4652901807565764)</f>
        <v>1.465290181</v>
      </c>
      <c r="AG355" s="57">
        <f>IFERROR(__xludf.DUMMYFUNCTION("""COMPUTED_VALUE"""),2.8416538839247245)</f>
        <v>2.841653884</v>
      </c>
      <c r="AH355" s="57">
        <f>IFERROR(__xludf.DUMMYFUNCTION("""COMPUTED_VALUE"""),1.1542421180219051)</f>
        <v>1.154242118</v>
      </c>
      <c r="AI355" s="57">
        <f>IFERROR(__xludf.DUMMYFUNCTION("""COMPUTED_VALUE"""),1.645778184594161)</f>
        <v>1.645778185</v>
      </c>
      <c r="AJ355" s="57">
        <f>IFERROR(__xludf.DUMMYFUNCTION("""COMPUTED_VALUE"""),1.314740478806832)</f>
        <v>1.314740479</v>
      </c>
      <c r="AK355" s="57">
        <f>IFERROR(__xludf.DUMMYFUNCTION("""COMPUTED_VALUE"""),0.8815091260624826)</f>
        <v>0.8815091261</v>
      </c>
      <c r="AL355" s="57">
        <f>IFERROR(__xludf.DUMMYFUNCTION("""COMPUTED_VALUE"""),0.953083466165395)</f>
        <v>0.9530834662</v>
      </c>
      <c r="AM355" s="57">
        <f>IFERROR(__xludf.DUMMYFUNCTION("""COMPUTED_VALUE"""),0.9630015299324903)</f>
        <v>0.9630015299</v>
      </c>
      <c r="AN355" s="57">
        <f>IFERROR(__xludf.DUMMYFUNCTION("""COMPUTED_VALUE"""),1.005766397686992)</f>
        <v>1.005766398</v>
      </c>
      <c r="AO355" s="57">
        <f>IFERROR(__xludf.DUMMYFUNCTION("""COMPUTED_VALUE"""),1.0064312682441028)</f>
        <v>1.006431268</v>
      </c>
      <c r="AP355" s="35">
        <f>IFERROR(__xludf.DUMMYFUNCTION("""COMPUTED_VALUE"""),0.9030576936907849)</f>
        <v>0.9030576937</v>
      </c>
      <c r="AQ355" s="57">
        <f>IFERROR(__xludf.DUMMYFUNCTION("""COMPUTED_VALUE"""),0.9168376414623864)</f>
        <v>0.9168376415</v>
      </c>
      <c r="AR355" s="36" t="b">
        <f>IFERROR(__xludf.DUMMYFUNCTION("""COMPUTED_VALUE"""),TRUE)</f>
        <v>1</v>
      </c>
      <c r="AS355" s="57"/>
      <c r="AT355" s="37"/>
      <c r="AU355" s="30"/>
      <c r="AV355" s="30"/>
      <c r="AW355" s="30"/>
      <c r="AX355" s="30"/>
      <c r="AY355" s="30"/>
      <c r="AZ355" s="30"/>
    </row>
    <row r="356">
      <c r="A356" s="30" t="str">
        <f>IFERROR(__xludf.DUMMYFUNCTION("""COMPUTED_VALUE"""),"Master")</f>
        <v>Master</v>
      </c>
      <c r="B356" s="30" t="str">
        <f>IFERROR(__xludf.DUMMYFUNCTION("""COMPUTED_VALUE"""),"RSC006889")</f>
        <v>RSC006889</v>
      </c>
      <c r="C356" s="30" t="str">
        <f>IFERROR(__xludf.DUMMYFUNCTION("""COMPUTED_VALUE"""),"Jay")</f>
        <v>Jay</v>
      </c>
      <c r="D356" s="31" t="str">
        <f>IFERROR(__xludf.DUMMYFUNCTION("""COMPUTED_VALUE"""),"Basilisks")</f>
        <v>Basilisks</v>
      </c>
      <c r="E356" s="31">
        <f>IFERROR(__xludf.DUMMYFUNCTION("""COMPUTED_VALUE"""),90.05442313700738)</f>
        <v>90.05442314</v>
      </c>
      <c r="F356" s="31">
        <f>IFERROR(__xludf.DUMMYFUNCTION("""COMPUTED_VALUE"""),18.329035147849165)</f>
        <v>18.32903515</v>
      </c>
      <c r="G356" s="31">
        <f>IFERROR(__xludf.DUMMYFUNCTION("""COMPUTED_VALUE"""),86.03642335948979)</f>
        <v>86.03642336</v>
      </c>
      <c r="H356" s="31">
        <f>IFERROR(__xludf.DUMMYFUNCTION("""COMPUTED_VALUE"""),13.381897530462226)</f>
        <v>13.38189753</v>
      </c>
      <c r="I356" s="54">
        <f>IFERROR(__xludf.DUMMYFUNCTION("""COMPUTED_VALUE"""),47.0)</f>
        <v>47</v>
      </c>
      <c r="J356" s="55">
        <f>IFERROR(__xludf.DUMMYFUNCTION("""COMPUTED_VALUE"""),27.0)</f>
        <v>27</v>
      </c>
      <c r="K356" s="54">
        <f>IFERROR(__xludf.DUMMYFUNCTION("""COMPUTED_VALUE"""),20.0)</f>
        <v>20</v>
      </c>
      <c r="L356" s="56">
        <f>IFERROR(__xludf.DUMMYFUNCTION("""COMPUTED_VALUE"""),0.574468085106383)</f>
        <v>0.5744680851</v>
      </c>
      <c r="M356" s="56">
        <f>IFERROR(__xludf.DUMMYFUNCTION("""COMPUTED_VALUE"""),0.38461538461538464)</f>
        <v>0.3846153846</v>
      </c>
      <c r="N356" s="31">
        <f>IFERROR(__xludf.DUMMYFUNCTION("""COMPUTED_VALUE"""),502.4255319148936)</f>
        <v>502.4255319</v>
      </c>
      <c r="O356" s="57">
        <f>IFERROR(__xludf.DUMMYFUNCTION("""COMPUTED_VALUE"""),1.3829787234042554)</f>
        <v>1.382978723</v>
      </c>
      <c r="P356" s="57">
        <f>IFERROR(__xludf.DUMMYFUNCTION("""COMPUTED_VALUE"""),0.6382978723404256)</f>
        <v>0.6382978723</v>
      </c>
      <c r="Q356" s="57">
        <f>IFERROR(__xludf.DUMMYFUNCTION("""COMPUTED_VALUE"""),2.234042553191489)</f>
        <v>2.234042553</v>
      </c>
      <c r="R356" s="57">
        <f>IFERROR(__xludf.DUMMYFUNCTION("""COMPUTED_VALUE"""),3.595744680851064)</f>
        <v>3.595744681</v>
      </c>
      <c r="S356" s="31">
        <f>IFERROR(__xludf.DUMMYFUNCTION("""COMPUTED_VALUE"""),366.03546099290764)</f>
        <v>366.035461</v>
      </c>
      <c r="T356" s="57">
        <f>IFERROR(__xludf.DUMMYFUNCTION("""COMPUTED_VALUE"""),0.7730496453900709)</f>
        <v>0.7730496454</v>
      </c>
      <c r="U356" s="57">
        <f>IFERROR(__xludf.DUMMYFUNCTION("""COMPUTED_VALUE"""),0.6524822695035462)</f>
        <v>0.6524822695</v>
      </c>
      <c r="V356" s="57">
        <f>IFERROR(__xludf.DUMMYFUNCTION("""COMPUTED_VALUE"""),1.3758865248226948)</f>
        <v>1.375886525</v>
      </c>
      <c r="W356" s="57">
        <f>IFERROR(__xludf.DUMMYFUNCTION("""COMPUTED_VALUE"""),3.0567375886524815)</f>
        <v>3.056737589</v>
      </c>
      <c r="X356" s="31">
        <f>IFERROR(__xludf.DUMMYFUNCTION("""COMPUTED_VALUE"""),386.11101078658436)</f>
        <v>386.1110108</v>
      </c>
      <c r="Y356" s="57">
        <f>IFERROR(__xludf.DUMMYFUNCTION("""COMPUTED_VALUE"""),0.8659744023707661)</f>
        <v>0.8659744024</v>
      </c>
      <c r="Z356" s="57">
        <f>IFERROR(__xludf.DUMMYFUNCTION("""COMPUTED_VALUE"""),0.6729662755871695)</f>
        <v>0.6729662756</v>
      </c>
      <c r="AA356" s="57">
        <f>IFERROR(__xludf.DUMMYFUNCTION("""COMPUTED_VALUE"""),1.4941381374905987)</f>
        <v>1.494138137</v>
      </c>
      <c r="AB356" s="57">
        <f>IFERROR(__xludf.DUMMYFUNCTION("""COMPUTED_VALUE"""),2.856100867509512)</f>
        <v>2.856100868</v>
      </c>
      <c r="AC356" s="31">
        <f>IFERROR(__xludf.DUMMYFUNCTION("""COMPUTED_VALUE"""),390.76567506428626)</f>
        <v>390.7656751</v>
      </c>
      <c r="AD356" s="57">
        <f>IFERROR(__xludf.DUMMYFUNCTION("""COMPUTED_VALUE"""),0.8879418446633229)</f>
        <v>0.8879418447</v>
      </c>
      <c r="AE356" s="57">
        <f>IFERROR(__xludf.DUMMYFUNCTION("""COMPUTED_VALUE"""),0.6742195432986362)</f>
        <v>0.6742195433</v>
      </c>
      <c r="AF356" s="57">
        <f>IFERROR(__xludf.DUMMYFUNCTION("""COMPUTED_VALUE"""),1.517611660343957)</f>
        <v>1.51761166</v>
      </c>
      <c r="AG356" s="57">
        <f>IFERROR(__xludf.DUMMYFUNCTION("""COMPUTED_VALUE"""),2.847490850309917)</f>
        <v>2.84749085</v>
      </c>
      <c r="AH356" s="57">
        <f>IFERROR(__xludf.DUMMYFUNCTION("""COMPUTED_VALUE"""),1.2857463282368335)</f>
        <v>1.285746328</v>
      </c>
      <c r="AI356" s="57">
        <f>IFERROR(__xludf.DUMMYFUNCTION("""COMPUTED_VALUE"""),1.557510474043076)</f>
        <v>1.557510474</v>
      </c>
      <c r="AJ356" s="57">
        <f>IFERROR(__xludf.DUMMYFUNCTION("""COMPUTED_VALUE"""),0.9467211069224382)</f>
        <v>0.9467211069</v>
      </c>
      <c r="AK356" s="57">
        <f>IFERROR(__xludf.DUMMYFUNCTION("""COMPUTED_VALUE"""),1.4720778783981916)</f>
        <v>1.472077878</v>
      </c>
      <c r="AL356" s="57">
        <f>IFERROR(__xludf.DUMMYFUNCTION("""COMPUTED_VALUE"""),1.2627765530694182)</f>
        <v>1.262776553</v>
      </c>
      <c r="AM356" s="57">
        <f>IFERROR(__xludf.DUMMYFUNCTION("""COMPUTED_VALUE"""),0.948005756808699)</f>
        <v>0.9480057568</v>
      </c>
      <c r="AN356" s="57">
        <f>IFERROR(__xludf.DUMMYFUNCTION("""COMPUTED_VALUE"""),0.8926934136548421)</f>
        <v>0.8926934137</v>
      </c>
      <c r="AO356" s="57">
        <f>IFERROR(__xludf.DUMMYFUNCTION("""COMPUTED_VALUE"""),0.9695616157499857)</f>
        <v>0.9695616157</v>
      </c>
      <c r="AP356" s="35">
        <f>IFERROR(__xludf.DUMMYFUNCTION("""COMPUTED_VALUE"""),0.9208563052499904)</f>
        <v>0.9208563052</v>
      </c>
      <c r="AQ356" s="57">
        <f>IFERROR(__xludf.DUMMYFUNCTION("""COMPUTED_VALUE"""),1.0702484717628067)</f>
        <v>1.070248472</v>
      </c>
      <c r="AR356" s="36" t="b">
        <f>IFERROR(__xludf.DUMMYFUNCTION("""COMPUTED_VALUE"""),TRUE)</f>
        <v>1</v>
      </c>
      <c r="AS356" s="57"/>
      <c r="AT356" s="37"/>
      <c r="AU356" s="30"/>
      <c r="AV356" s="30"/>
      <c r="AW356" s="30"/>
      <c r="AX356" s="30"/>
      <c r="AY356" s="30"/>
      <c r="AZ356" s="30"/>
    </row>
    <row r="357">
      <c r="A357" s="30" t="str">
        <f>IFERROR(__xludf.DUMMYFUNCTION("""COMPUTED_VALUE"""),"Master")</f>
        <v>Master</v>
      </c>
      <c r="B357" s="30" t="str">
        <f>IFERROR(__xludf.DUMMYFUNCTION("""COMPUTED_VALUE"""),"RSC000618")</f>
        <v>RSC000618</v>
      </c>
      <c r="C357" s="30" t="str">
        <f>IFERROR(__xludf.DUMMYFUNCTION("""COMPUTED_VALUE"""),"Taelo")</f>
        <v>Taelo</v>
      </c>
      <c r="D357" s="31" t="str">
        <f>IFERROR(__xludf.DUMMYFUNCTION("""COMPUTED_VALUE"""),"Oblivion")</f>
        <v>Oblivion</v>
      </c>
      <c r="E357" s="31">
        <f>IFERROR(__xludf.DUMMYFUNCTION("""COMPUTED_VALUE"""),86.41422926584288)</f>
        <v>86.41422927</v>
      </c>
      <c r="F357" s="31">
        <f>IFERROR(__xludf.DUMMYFUNCTION("""COMPUTED_VALUE"""),13.77075276328881)</f>
        <v>13.77075276</v>
      </c>
      <c r="G357" s="31">
        <f>IFERROR(__xludf.DUMMYFUNCTION("""COMPUTED_VALUE"""),81.8946564056389)</f>
        <v>81.89465641</v>
      </c>
      <c r="H357" s="31">
        <f>IFERROR(__xludf.DUMMYFUNCTION("""COMPUTED_VALUE"""),9.899466597947374)</f>
        <v>9.899466598</v>
      </c>
      <c r="I357" s="54">
        <f>IFERROR(__xludf.DUMMYFUNCTION("""COMPUTED_VALUE"""),48.0)</f>
        <v>48</v>
      </c>
      <c r="J357" s="55">
        <f>IFERROR(__xludf.DUMMYFUNCTION("""COMPUTED_VALUE"""),33.0)</f>
        <v>33</v>
      </c>
      <c r="K357" s="54">
        <f>IFERROR(__xludf.DUMMYFUNCTION("""COMPUTED_VALUE"""),15.0)</f>
        <v>15</v>
      </c>
      <c r="L357" s="56">
        <f>IFERROR(__xludf.DUMMYFUNCTION("""COMPUTED_VALUE"""),0.6875)</f>
        <v>0.6875</v>
      </c>
      <c r="M357" s="56">
        <f>IFERROR(__xludf.DUMMYFUNCTION("""COMPUTED_VALUE"""),0.2928176795580111)</f>
        <v>0.2928176796</v>
      </c>
      <c r="N357" s="31">
        <f>IFERROR(__xludf.DUMMYFUNCTION("""COMPUTED_VALUE"""),412.4375)</f>
        <v>412.4375</v>
      </c>
      <c r="O357" s="57">
        <f>IFERROR(__xludf.DUMMYFUNCTION("""COMPUTED_VALUE"""),1.1041666666666667)</f>
        <v>1.104166667</v>
      </c>
      <c r="P357" s="57">
        <f>IFERROR(__xludf.DUMMYFUNCTION("""COMPUTED_VALUE"""),0.9791666666666666)</f>
        <v>0.9791666667</v>
      </c>
      <c r="Q357" s="57">
        <f>IFERROR(__xludf.DUMMYFUNCTION("""COMPUTED_VALUE"""),1.1666666666666667)</f>
        <v>1.166666667</v>
      </c>
      <c r="R357" s="57">
        <f>IFERROR(__xludf.DUMMYFUNCTION("""COMPUTED_VALUE"""),3.7708333333333335)</f>
        <v>3.770833333</v>
      </c>
      <c r="S357" s="31">
        <f>IFERROR(__xludf.DUMMYFUNCTION("""COMPUTED_VALUE"""),356.8680555555555)</f>
        <v>356.8680556</v>
      </c>
      <c r="T357" s="57">
        <f>IFERROR(__xludf.DUMMYFUNCTION("""COMPUTED_VALUE"""),0.7361111111111113)</f>
        <v>0.7361111111</v>
      </c>
      <c r="U357" s="57">
        <f>IFERROR(__xludf.DUMMYFUNCTION("""COMPUTED_VALUE"""),0.49999999999999994)</f>
        <v>0.5</v>
      </c>
      <c r="V357" s="57">
        <f>IFERROR(__xludf.DUMMYFUNCTION("""COMPUTED_VALUE"""),1.513888888888889)</f>
        <v>1.513888889</v>
      </c>
      <c r="W357" s="57">
        <f>IFERROR(__xludf.DUMMYFUNCTION("""COMPUTED_VALUE"""),2.430555555555555)</f>
        <v>2.430555556</v>
      </c>
      <c r="X357" s="31">
        <f>IFERROR(__xludf.DUMMYFUNCTION("""COMPUTED_VALUE"""),381.1647219636984)</f>
        <v>381.164722</v>
      </c>
      <c r="Y357" s="57">
        <f>IFERROR(__xludf.DUMMYFUNCTION("""COMPUTED_VALUE"""),0.8248836483203114)</f>
        <v>0.8248836483</v>
      </c>
      <c r="Z357" s="57">
        <f>IFERROR(__xludf.DUMMYFUNCTION("""COMPUTED_VALUE"""),0.6156256550404103)</f>
        <v>0.615625655</v>
      </c>
      <c r="AA357" s="57">
        <f>IFERROR(__xludf.DUMMYFUNCTION("""COMPUTED_VALUE"""),1.5334070052880915)</f>
        <v>1.533407005</v>
      </c>
      <c r="AB357" s="57">
        <f>IFERROR(__xludf.DUMMYFUNCTION("""COMPUTED_VALUE"""),2.783449870910914)</f>
        <v>2.783449871</v>
      </c>
      <c r="AC357" s="31">
        <f>IFERROR(__xludf.DUMMYFUNCTION("""COMPUTED_VALUE"""),400.1771113275062)</f>
        <v>400.1771113</v>
      </c>
      <c r="AD357" s="57">
        <f>IFERROR(__xludf.DUMMYFUNCTION("""COMPUTED_VALUE"""),0.9636971816305068)</f>
        <v>0.9636971816</v>
      </c>
      <c r="AE357" s="57">
        <f>IFERROR(__xludf.DUMMYFUNCTION("""COMPUTED_VALUE"""),0.7410818793398883)</f>
        <v>0.7410818793</v>
      </c>
      <c r="AF357" s="57">
        <f>IFERROR(__xludf.DUMMYFUNCTION("""COMPUTED_VALUE"""),1.4845925136352907)</f>
        <v>1.484592514</v>
      </c>
      <c r="AG357" s="57">
        <f>IFERROR(__xludf.DUMMYFUNCTION("""COMPUTED_VALUE"""),2.922856240412346)</f>
        <v>2.92285624</v>
      </c>
      <c r="AH357" s="57">
        <f>IFERROR(__xludf.DUMMYFUNCTION("""COMPUTED_VALUE"""),1.0306374061020693)</f>
        <v>1.030637406</v>
      </c>
      <c r="AI357" s="57">
        <f>IFERROR(__xludf.DUMMYFUNCTION("""COMPUTED_VALUE"""),1.1457610209033668)</f>
        <v>1.145761021</v>
      </c>
      <c r="AJ357" s="57">
        <f>IFERROR(__xludf.DUMMYFUNCTION("""COMPUTED_VALUE"""),1.3212665077425048)</f>
        <v>1.321266508</v>
      </c>
      <c r="AK357" s="57">
        <f>IFERROR(__xludf.DUMMYFUNCTION("""COMPUTED_VALUE"""),0.7858497573922655)</f>
        <v>0.7858497574</v>
      </c>
      <c r="AL357" s="57">
        <f>IFERROR(__xludf.DUMMYFUNCTION("""COMPUTED_VALUE"""),1.2901193295778919)</f>
        <v>1.29011933</v>
      </c>
      <c r="AM357" s="57">
        <f>IFERROR(__xludf.DUMMYFUNCTION("""COMPUTED_VALUE"""),0.9362567808401301)</f>
        <v>0.9362567808</v>
      </c>
      <c r="AN357" s="57">
        <f>IFERROR(__xludf.DUMMYFUNCTION("""COMPUTED_VALUE"""),0.8923817469409592)</f>
        <v>0.8923817469</v>
      </c>
      <c r="AO357" s="57">
        <f>IFERROR(__xludf.DUMMYFUNCTION("""COMPUTED_VALUE"""),0.8121818769349036)</f>
        <v>0.8121818769</v>
      </c>
      <c r="AP357" s="35">
        <f>IFERROR(__xludf.DUMMYFUNCTION("""COMPUTED_VALUE"""),0.9872714052225584)</f>
        <v>0.9872714052</v>
      </c>
      <c r="AQ357" s="57">
        <f>IFERROR(__xludf.DUMMYFUNCTION("""COMPUTED_VALUE"""),0.8732169316058598)</f>
        <v>0.8732169316</v>
      </c>
      <c r="AR357" s="36" t="b">
        <f>IFERROR(__xludf.DUMMYFUNCTION("""COMPUTED_VALUE"""),TRUE)</f>
        <v>1</v>
      </c>
      <c r="AS357" s="57"/>
      <c r="AT357" s="37"/>
      <c r="AU357" s="30"/>
      <c r="AV357" s="30"/>
      <c r="AW357" s="30"/>
      <c r="AX357" s="30"/>
      <c r="AY357" s="30"/>
      <c r="AZ357" s="30"/>
    </row>
    <row r="358">
      <c r="A358" s="30" t="str">
        <f>IFERROR(__xludf.DUMMYFUNCTION("""COMPUTED_VALUE"""),"Master")</f>
        <v>Master</v>
      </c>
      <c r="B358" s="30" t="str">
        <f>IFERROR(__xludf.DUMMYFUNCTION("""COMPUTED_VALUE"""),"RSC007976")</f>
        <v>RSC007976</v>
      </c>
      <c r="C358" s="30" t="str">
        <f>IFERROR(__xludf.DUMMYFUNCTION("""COMPUTED_VALUE"""),"Just Kraze")</f>
        <v>Just Kraze</v>
      </c>
      <c r="D358" s="31" t="str">
        <f>IFERROR(__xludf.DUMMYFUNCTION("""COMPUTED_VALUE"""),"Battle Masters")</f>
        <v>Battle Masters</v>
      </c>
      <c r="E358" s="31">
        <f>IFERROR(__xludf.DUMMYFUNCTION("""COMPUTED_VALUE"""),85.90729719170442)</f>
        <v>85.90729719</v>
      </c>
      <c r="F358" s="31">
        <f>IFERROR(__xludf.DUMMYFUNCTION("""COMPUTED_VALUE"""),13.252115406661979)</f>
        <v>13.25211541</v>
      </c>
      <c r="G358" s="31">
        <f>IFERROR(__xludf.DUMMYFUNCTION("""COMPUTED_VALUE"""),72.47788554790749)</f>
        <v>72.47788555</v>
      </c>
      <c r="H358" s="31">
        <f>IFERROR(__xludf.DUMMYFUNCTION("""COMPUTED_VALUE"""),5.426065745720848)</f>
        <v>5.426065746</v>
      </c>
      <c r="I358" s="54">
        <f>IFERROR(__xludf.DUMMYFUNCTION("""COMPUTED_VALUE"""),45.0)</f>
        <v>45</v>
      </c>
      <c r="J358" s="55">
        <f>IFERROR(__xludf.DUMMYFUNCTION("""COMPUTED_VALUE"""),32.0)</f>
        <v>32</v>
      </c>
      <c r="K358" s="54">
        <f>IFERROR(__xludf.DUMMYFUNCTION("""COMPUTED_VALUE"""),13.0)</f>
        <v>13</v>
      </c>
      <c r="L358" s="56">
        <f>IFERROR(__xludf.DUMMYFUNCTION("""COMPUTED_VALUE"""),0.7111111111111111)</f>
        <v>0.7111111111</v>
      </c>
      <c r="M358" s="56">
        <f>IFERROR(__xludf.DUMMYFUNCTION("""COMPUTED_VALUE"""),0.35172413793103446)</f>
        <v>0.3517241379</v>
      </c>
      <c r="N358" s="31">
        <f>IFERROR(__xludf.DUMMYFUNCTION("""COMPUTED_VALUE"""),419.46666666666664)</f>
        <v>419.4666667</v>
      </c>
      <c r="O358" s="57">
        <f>IFERROR(__xludf.DUMMYFUNCTION("""COMPUTED_VALUE"""),1.1333333333333333)</f>
        <v>1.133333333</v>
      </c>
      <c r="P358" s="57">
        <f>IFERROR(__xludf.DUMMYFUNCTION("""COMPUTED_VALUE"""),0.9777777777777777)</f>
        <v>0.9777777778</v>
      </c>
      <c r="Q358" s="57">
        <f>IFERROR(__xludf.DUMMYFUNCTION("""COMPUTED_VALUE"""),1.0888888888888888)</f>
        <v>1.088888889</v>
      </c>
      <c r="R358" s="57">
        <f>IFERROR(__xludf.DUMMYFUNCTION("""COMPUTED_VALUE"""),3.2222222222222223)</f>
        <v>3.222222222</v>
      </c>
      <c r="S358" s="31">
        <f>IFERROR(__xludf.DUMMYFUNCTION("""COMPUTED_VALUE"""),352.8592592592593)</f>
        <v>352.8592593</v>
      </c>
      <c r="T358" s="57">
        <f>IFERROR(__xludf.DUMMYFUNCTION("""COMPUTED_VALUE"""),0.6296296296296295)</f>
        <v>0.6296296296</v>
      </c>
      <c r="U358" s="57">
        <f>IFERROR(__xludf.DUMMYFUNCTION("""COMPUTED_VALUE"""),0.5111111111111111)</f>
        <v>0.5111111111</v>
      </c>
      <c r="V358" s="57">
        <f>IFERROR(__xludf.DUMMYFUNCTION("""COMPUTED_VALUE"""),1.5925925925925923)</f>
        <v>1.592592593</v>
      </c>
      <c r="W358" s="57">
        <f>IFERROR(__xludf.DUMMYFUNCTION("""COMPUTED_VALUE"""),2.3851851851851853)</f>
        <v>2.385185185</v>
      </c>
      <c r="X358" s="31">
        <f>IFERROR(__xludf.DUMMYFUNCTION("""COMPUTED_VALUE"""),375.23466118907777)</f>
        <v>375.2346612</v>
      </c>
      <c r="Y358" s="57">
        <f>IFERROR(__xludf.DUMMYFUNCTION("""COMPUTED_VALUE"""),0.8045496243198179)</f>
        <v>0.8045496243</v>
      </c>
      <c r="Z358" s="57">
        <f>IFERROR(__xludf.DUMMYFUNCTION("""COMPUTED_VALUE"""),0.6276714440580891)</f>
        <v>0.6276714441</v>
      </c>
      <c r="AA358" s="57">
        <f>IFERROR(__xludf.DUMMYFUNCTION("""COMPUTED_VALUE"""),1.5136711888008276)</f>
        <v>1.513671189</v>
      </c>
      <c r="AB358" s="57">
        <f>IFERROR(__xludf.DUMMYFUNCTION("""COMPUTED_VALUE"""),2.718484058733848)</f>
        <v>2.718484059</v>
      </c>
      <c r="AC358" s="31">
        <f>IFERROR(__xludf.DUMMYFUNCTION("""COMPUTED_VALUE"""),395.36112554391576)</f>
        <v>395.3611255</v>
      </c>
      <c r="AD358" s="57">
        <f>IFERROR(__xludf.DUMMYFUNCTION("""COMPUTED_VALUE"""),0.9418788584408637)</f>
        <v>0.9418788584</v>
      </c>
      <c r="AE358" s="57">
        <f>IFERROR(__xludf.DUMMYFUNCTION("""COMPUTED_VALUE"""),0.7209860778655095)</f>
        <v>0.7209860779</v>
      </c>
      <c r="AF358" s="57">
        <f>IFERROR(__xludf.DUMMYFUNCTION("""COMPUTED_VALUE"""),1.4788313663818031)</f>
        <v>1.478831366</v>
      </c>
      <c r="AG358" s="57">
        <f>IFERROR(__xludf.DUMMYFUNCTION("""COMPUTED_VALUE"""),2.8810356202539658)</f>
        <v>2.88103562</v>
      </c>
      <c r="AH358" s="57">
        <f>IFERROR(__xludf.DUMMYFUNCTION("""COMPUTED_VALUE"""),1.060970944195861)</f>
        <v>1.060970944</v>
      </c>
      <c r="AI358" s="57">
        <f>IFERROR(__xludf.DUMMYFUNCTION("""COMPUTED_VALUE"""),1.203268682778795)</f>
        <v>1.203268683</v>
      </c>
      <c r="AJ358" s="57">
        <f>IFERROR(__xludf.DUMMYFUNCTION("""COMPUTED_VALUE"""),1.356167348851595)</f>
        <v>1.356167349</v>
      </c>
      <c r="AK358" s="57">
        <f>IFERROR(__xludf.DUMMYFUNCTION("""COMPUTED_VALUE"""),0.7363171444983813)</f>
        <v>0.7363171445</v>
      </c>
      <c r="AL358" s="57">
        <f>IFERROR(__xludf.DUMMYFUNCTION("""COMPUTED_VALUE"""),1.1184249856439403)</f>
        <v>1.118424986</v>
      </c>
      <c r="AM358" s="57">
        <f>IFERROR(__xludf.DUMMYFUNCTION("""COMPUTED_VALUE"""),0.9403695760436596)</f>
        <v>0.940369576</v>
      </c>
      <c r="AN358" s="57">
        <f>IFERROR(__xludf.DUMMYFUNCTION("""COMPUTED_VALUE"""),0.78258644413877)</f>
        <v>0.7825864441</v>
      </c>
      <c r="AO358" s="57">
        <f>IFERROR(__xludf.DUMMYFUNCTION("""COMPUTED_VALUE"""),0.8142972186318059)</f>
        <v>0.8142972186</v>
      </c>
      <c r="AP358" s="35">
        <f>IFERROR(__xludf.DUMMYFUNCTION("""COMPUTED_VALUE"""),1.0521390671736894)</f>
        <v>1.052139067</v>
      </c>
      <c r="AQ358" s="57">
        <f>IFERROR(__xludf.DUMMYFUNCTION("""COMPUTED_VALUE"""),0.8773953179979658)</f>
        <v>0.877395318</v>
      </c>
      <c r="AR358" s="36" t="b">
        <f>IFERROR(__xludf.DUMMYFUNCTION("""COMPUTED_VALUE"""),TRUE)</f>
        <v>1</v>
      </c>
      <c r="AS358" s="57"/>
      <c r="AT358" s="37"/>
      <c r="AU358" s="30"/>
      <c r="AV358" s="30"/>
      <c r="AW358" s="30"/>
      <c r="AX358" s="30"/>
      <c r="AY358" s="30"/>
      <c r="AZ358" s="30"/>
    </row>
    <row r="359">
      <c r="A359" s="30" t="str">
        <f>IFERROR(__xludf.DUMMYFUNCTION("""COMPUTED_VALUE"""),"Master")</f>
        <v>Master</v>
      </c>
      <c r="B359" s="30" t="str">
        <f>IFERROR(__xludf.DUMMYFUNCTION("""COMPUTED_VALUE"""),"RSC004717")</f>
        <v>RSC004717</v>
      </c>
      <c r="C359" s="30" t="str">
        <f>IFERROR(__xludf.DUMMYFUNCTION("""COMPUTED_VALUE"""),"slain.")</f>
        <v>slain.</v>
      </c>
      <c r="D359" s="31" t="str">
        <f>IFERROR(__xludf.DUMMYFUNCTION("""COMPUTED_VALUE"""),"Battle Masters")</f>
        <v>Battle Masters</v>
      </c>
      <c r="E359" s="31">
        <f>IFERROR(__xludf.DUMMYFUNCTION("""COMPUTED_VALUE"""),83.45963885265272)</f>
        <v>83.45963885</v>
      </c>
      <c r="F359" s="31">
        <f>IFERROR(__xludf.DUMMYFUNCTION("""COMPUTED_VALUE"""),11.063734629810146)</f>
        <v>11.06373463</v>
      </c>
      <c r="G359" s="31">
        <f>IFERROR(__xludf.DUMMYFUNCTION("""COMPUTED_VALUE"""),70.75217289575286)</f>
        <v>70.7521729</v>
      </c>
      <c r="H359" s="31">
        <f>IFERROR(__xludf.DUMMYFUNCTION("""COMPUTED_VALUE"""),4.920174544782537)</f>
        <v>4.920174545</v>
      </c>
      <c r="I359" s="54">
        <f>IFERROR(__xludf.DUMMYFUNCTION("""COMPUTED_VALUE"""),48.0)</f>
        <v>48</v>
      </c>
      <c r="J359" s="55">
        <f>IFERROR(__xludf.DUMMYFUNCTION("""COMPUTED_VALUE"""),35.0)</f>
        <v>35</v>
      </c>
      <c r="K359" s="54">
        <f>IFERROR(__xludf.DUMMYFUNCTION("""COMPUTED_VALUE"""),13.0)</f>
        <v>13</v>
      </c>
      <c r="L359" s="56">
        <f>IFERROR(__xludf.DUMMYFUNCTION("""COMPUTED_VALUE"""),0.7291666666666666)</f>
        <v>0.7291666667</v>
      </c>
      <c r="M359" s="56">
        <f>IFERROR(__xludf.DUMMYFUNCTION("""COMPUTED_VALUE"""),0.4013605442176871)</f>
        <v>0.4013605442</v>
      </c>
      <c r="N359" s="31">
        <f>IFERROR(__xludf.DUMMYFUNCTION("""COMPUTED_VALUE"""),440.1666666666667)</f>
        <v>440.1666667</v>
      </c>
      <c r="O359" s="57">
        <f>IFERROR(__xludf.DUMMYFUNCTION("""COMPUTED_VALUE"""),1.2291666666666667)</f>
        <v>1.229166667</v>
      </c>
      <c r="P359" s="57">
        <f>IFERROR(__xludf.DUMMYFUNCTION("""COMPUTED_VALUE"""),0.8333333333333334)</f>
        <v>0.8333333333</v>
      </c>
      <c r="Q359" s="57">
        <f>IFERROR(__xludf.DUMMYFUNCTION("""COMPUTED_VALUE"""),1.7291666666666667)</f>
        <v>1.729166667</v>
      </c>
      <c r="R359" s="57">
        <f>IFERROR(__xludf.DUMMYFUNCTION("""COMPUTED_VALUE"""),3.0625)</f>
        <v>3.0625</v>
      </c>
      <c r="S359" s="31">
        <f>IFERROR(__xludf.DUMMYFUNCTION("""COMPUTED_VALUE"""),350.4305555555556)</f>
        <v>350.4305556</v>
      </c>
      <c r="T359" s="57">
        <f>IFERROR(__xludf.DUMMYFUNCTION("""COMPUTED_VALUE"""),0.6458333333333333)</f>
        <v>0.6458333333</v>
      </c>
      <c r="U359" s="57">
        <f>IFERROR(__xludf.DUMMYFUNCTION("""COMPUTED_VALUE"""),0.5208333333333334)</f>
        <v>0.5208333333</v>
      </c>
      <c r="V359" s="57">
        <f>IFERROR(__xludf.DUMMYFUNCTION("""COMPUTED_VALUE"""),1.5416666666666663)</f>
        <v>1.541666667</v>
      </c>
      <c r="W359" s="57">
        <f>IFERROR(__xludf.DUMMYFUNCTION("""COMPUTED_VALUE"""),2.3958333333333335)</f>
        <v>2.395833333</v>
      </c>
      <c r="X359" s="31">
        <f>IFERROR(__xludf.DUMMYFUNCTION("""COMPUTED_VALUE"""),374.0672674019297)</f>
        <v>374.0672674</v>
      </c>
      <c r="Y359" s="57">
        <f>IFERROR(__xludf.DUMMYFUNCTION("""COMPUTED_VALUE"""),0.8018739383590763)</f>
        <v>0.8018739384</v>
      </c>
      <c r="Z359" s="57">
        <f>IFERROR(__xludf.DUMMYFUNCTION("""COMPUTED_VALUE"""),0.6297657675150606)</f>
        <v>0.6297657675</v>
      </c>
      <c r="AA359" s="57">
        <f>IFERROR(__xludf.DUMMYFUNCTION("""COMPUTED_VALUE"""),1.5062830613750642)</f>
        <v>1.506283061</v>
      </c>
      <c r="AB359" s="57">
        <f>IFERROR(__xludf.DUMMYFUNCTION("""COMPUTED_VALUE"""),2.6980760237508874)</f>
        <v>2.698076024</v>
      </c>
      <c r="AC359" s="31">
        <f>IFERROR(__xludf.DUMMYFUNCTION("""COMPUTED_VALUE"""),395.5867974467921)</f>
        <v>395.5867974</v>
      </c>
      <c r="AD359" s="57">
        <f>IFERROR(__xludf.DUMMYFUNCTION("""COMPUTED_VALUE"""),0.9462834737892627)</f>
        <v>0.9462834738</v>
      </c>
      <c r="AE359" s="57">
        <f>IFERROR(__xludf.DUMMYFUNCTION("""COMPUTED_VALUE"""),0.7239009853618948)</f>
        <v>0.7239009854</v>
      </c>
      <c r="AF359" s="57">
        <f>IFERROR(__xludf.DUMMYFUNCTION("""COMPUTED_VALUE"""),1.467927612054637)</f>
        <v>1.467927612</v>
      </c>
      <c r="AG359" s="57">
        <f>IFERROR(__xludf.DUMMYFUNCTION("""COMPUTED_VALUE"""),2.892971848254014)</f>
        <v>2.892971848</v>
      </c>
      <c r="AH359" s="57">
        <f>IFERROR(__xludf.DUMMYFUNCTION("""COMPUTED_VALUE"""),1.112693015812467)</f>
        <v>1.112693016</v>
      </c>
      <c r="AI359" s="57">
        <f>IFERROR(__xludf.DUMMYFUNCTION("""COMPUTED_VALUE"""),1.2989412799788598)</f>
        <v>1.29894128</v>
      </c>
      <c r="AJ359" s="57">
        <f>IFERROR(__xludf.DUMMYFUNCTION("""COMPUTED_VALUE"""),1.151170326031164)</f>
        <v>1.151170326</v>
      </c>
      <c r="AK359" s="57">
        <f>IFERROR(__xludf.DUMMYFUNCTION("""COMPUTED_VALUE"""),1.1779645348086185)</f>
        <v>1.177964535</v>
      </c>
      <c r="AL359" s="57">
        <f>IFERROR(__xludf.DUMMYFUNCTION("""COMPUTED_VALUE"""),1.0586000004971707)</f>
        <v>1.0586</v>
      </c>
      <c r="AM359" s="57">
        <f>IFERROR(__xludf.DUMMYFUNCTION("""COMPUTED_VALUE"""),0.936811600730152)</f>
        <v>0.9368116007</v>
      </c>
      <c r="AN359" s="57">
        <f>IFERROR(__xludf.DUMMYFUNCTION("""COMPUTED_VALUE"""),0.8054050673537807)</f>
        <v>0.8054050674</v>
      </c>
      <c r="AO359" s="57">
        <f>IFERROR(__xludf.DUMMYFUNCTION("""COMPUTED_VALUE"""),0.8270270633928635)</f>
        <v>0.8270270634</v>
      </c>
      <c r="AP359" s="35">
        <f>IFERROR(__xludf.DUMMYFUNCTION("""COMPUTED_VALUE"""),1.0234906746274508)</f>
        <v>1.023490675</v>
      </c>
      <c r="AQ359" s="57">
        <f>IFERROR(__xludf.DUMMYFUNCTION("""COMPUTED_VALUE"""),0.8879784380584749)</f>
        <v>0.8879784381</v>
      </c>
      <c r="AR359" s="36" t="b">
        <f>IFERROR(__xludf.DUMMYFUNCTION("""COMPUTED_VALUE"""),TRUE)</f>
        <v>1</v>
      </c>
      <c r="AS359" s="57"/>
      <c r="AT359" s="37"/>
      <c r="AU359" s="30"/>
      <c r="AV359" s="30"/>
      <c r="AW359" s="30"/>
      <c r="AX359" s="30"/>
      <c r="AY359" s="30"/>
      <c r="AZ359" s="30"/>
    </row>
    <row r="360">
      <c r="A360" s="30" t="str">
        <f>IFERROR(__xludf.DUMMYFUNCTION("""COMPUTED_VALUE"""),"Master")</f>
        <v>Master</v>
      </c>
      <c r="B360" s="30" t="str">
        <f>IFERROR(__xludf.DUMMYFUNCTION("""COMPUTED_VALUE"""),"RSC007605")</f>
        <v>RSC007605</v>
      </c>
      <c r="C360" s="30" t="str">
        <f>IFERROR(__xludf.DUMMYFUNCTION("""COMPUTED_VALUE"""),"Afterburner3375")</f>
        <v>Afterburner3375</v>
      </c>
      <c r="D360" s="31" t="str">
        <f>IFERROR(__xludf.DUMMYFUNCTION("""COMPUTED_VALUE"""),"Oblivion")</f>
        <v>Oblivion</v>
      </c>
      <c r="E360" s="31">
        <f>IFERROR(__xludf.DUMMYFUNCTION("""COMPUTED_VALUE"""),78.55135304145065)</f>
        <v>78.55135304</v>
      </c>
      <c r="F360" s="31">
        <f>IFERROR(__xludf.DUMMYFUNCTION("""COMPUTED_VALUE"""),7.891678073987147)</f>
        <v>7.891678074</v>
      </c>
      <c r="G360" s="31">
        <f>IFERROR(__xludf.DUMMYFUNCTION("""COMPUTED_VALUE"""),70.69131821958)</f>
        <v>70.69131822</v>
      </c>
      <c r="H360" s="31">
        <f>IFERROR(__xludf.DUMMYFUNCTION("""COMPUTED_VALUE"""),4.90355687657934)</f>
        <v>4.903556877</v>
      </c>
      <c r="I360" s="54">
        <f>IFERROR(__xludf.DUMMYFUNCTION("""COMPUTED_VALUE"""),44.0)</f>
        <v>44</v>
      </c>
      <c r="J360" s="55">
        <f>IFERROR(__xludf.DUMMYFUNCTION("""COMPUTED_VALUE"""),30.0)</f>
        <v>30</v>
      </c>
      <c r="K360" s="54">
        <f>IFERROR(__xludf.DUMMYFUNCTION("""COMPUTED_VALUE"""),14.0)</f>
        <v>14</v>
      </c>
      <c r="L360" s="56">
        <f>IFERROR(__xludf.DUMMYFUNCTION("""COMPUTED_VALUE"""),0.6818181818181818)</f>
        <v>0.6818181818</v>
      </c>
      <c r="M360" s="56">
        <f>IFERROR(__xludf.DUMMYFUNCTION("""COMPUTED_VALUE"""),0.39534883720930236)</f>
        <v>0.3953488372</v>
      </c>
      <c r="N360" s="31">
        <f>IFERROR(__xludf.DUMMYFUNCTION("""COMPUTED_VALUE"""),412.22727272727275)</f>
        <v>412.2272727</v>
      </c>
      <c r="O360" s="57">
        <f>IFERROR(__xludf.DUMMYFUNCTION("""COMPUTED_VALUE"""),1.1590909090909092)</f>
        <v>1.159090909</v>
      </c>
      <c r="P360" s="57">
        <f>IFERROR(__xludf.DUMMYFUNCTION("""COMPUTED_VALUE"""),0.9090909090909091)</f>
        <v>0.9090909091</v>
      </c>
      <c r="Q360" s="57">
        <f>IFERROR(__xludf.DUMMYFUNCTION("""COMPUTED_VALUE"""),1.25)</f>
        <v>1.25</v>
      </c>
      <c r="R360" s="57">
        <f>IFERROR(__xludf.DUMMYFUNCTION("""COMPUTED_VALUE"""),2.9318181818181817)</f>
        <v>2.931818182</v>
      </c>
      <c r="S360" s="31">
        <f>IFERROR(__xludf.DUMMYFUNCTION("""COMPUTED_VALUE"""),357.39393939393943)</f>
        <v>357.3939394</v>
      </c>
      <c r="T360" s="57">
        <f>IFERROR(__xludf.DUMMYFUNCTION("""COMPUTED_VALUE"""),0.7500000000000001)</f>
        <v>0.75</v>
      </c>
      <c r="U360" s="57">
        <f>IFERROR(__xludf.DUMMYFUNCTION("""COMPUTED_VALUE"""),0.5075757575757576)</f>
        <v>0.5075757576</v>
      </c>
      <c r="V360" s="57">
        <f>IFERROR(__xludf.DUMMYFUNCTION("""COMPUTED_VALUE"""),1.5)</f>
        <v>1.5</v>
      </c>
      <c r="W360" s="57">
        <f>IFERROR(__xludf.DUMMYFUNCTION("""COMPUTED_VALUE"""),2.4621212121212115)</f>
        <v>2.462121212</v>
      </c>
      <c r="X360" s="31">
        <f>IFERROR(__xludf.DUMMYFUNCTION("""COMPUTED_VALUE"""),380.3357886372825)</f>
        <v>380.3357886</v>
      </c>
      <c r="Y360" s="57">
        <f>IFERROR(__xludf.DUMMYFUNCTION("""COMPUTED_VALUE"""),0.8185282939671503)</f>
        <v>0.818528294</v>
      </c>
      <c r="Z360" s="57">
        <f>IFERROR(__xludf.DUMMYFUNCTION("""COMPUTED_VALUE"""),0.6110351370579605)</f>
        <v>0.6110351371</v>
      </c>
      <c r="AA360" s="57">
        <f>IFERROR(__xludf.DUMMYFUNCTION("""COMPUTED_VALUE"""),1.5416777924109304)</f>
        <v>1.541677792</v>
      </c>
      <c r="AB360" s="57">
        <f>IFERROR(__xludf.DUMMYFUNCTION("""COMPUTED_VALUE"""),2.7803068136058577)</f>
        <v>2.780306814</v>
      </c>
      <c r="AC360" s="31">
        <f>IFERROR(__xludf.DUMMYFUNCTION("""COMPUTED_VALUE"""),400.80213350657147)</f>
        <v>400.8021335</v>
      </c>
      <c r="AD360" s="57">
        <f>IFERROR(__xludf.DUMMYFUNCTION("""COMPUTED_VALUE"""),0.9679491397907717)</f>
        <v>0.9679491398</v>
      </c>
      <c r="AE360" s="57">
        <f>IFERROR(__xludf.DUMMYFUNCTION("""COMPUTED_VALUE"""),0.7424402249850585)</f>
        <v>0.742440225</v>
      </c>
      <c r="AF360" s="57">
        <f>IFERROR(__xludf.DUMMYFUNCTION("""COMPUTED_VALUE"""),1.4871782743056465)</f>
        <v>1.487178274</v>
      </c>
      <c r="AG360" s="57">
        <f>IFERROR(__xludf.DUMMYFUNCTION("""COMPUTED_VALUE"""),2.9360592286387286)</f>
        <v>2.936059229</v>
      </c>
      <c r="AH360" s="57">
        <f>IFERROR(__xludf.DUMMYFUNCTION("""COMPUTED_VALUE"""),1.0285056846398097)</f>
        <v>1.028505685</v>
      </c>
      <c r="AI360" s="57">
        <f>IFERROR(__xludf.DUMMYFUNCTION("""COMPUTED_VALUE"""),1.197470880899232)</f>
        <v>1.197470881</v>
      </c>
      <c r="AJ360" s="57">
        <f>IFERROR(__xludf.DUMMYFUNCTION("""COMPUTED_VALUE"""),1.2244634362439137)</f>
        <v>1.224463436</v>
      </c>
      <c r="AK360" s="57">
        <f>IFERROR(__xludf.DUMMYFUNCTION("""COMPUTED_VALUE"""),0.840517926866311)</f>
        <v>0.8405179269</v>
      </c>
      <c r="AL360" s="57">
        <f>IFERROR(__xludf.DUMMYFUNCTION("""COMPUTED_VALUE"""),0.9985555309037436)</f>
        <v>0.9985555309</v>
      </c>
      <c r="AM360" s="57">
        <f>IFERROR(__xludf.DUMMYFUNCTION("""COMPUTED_VALUE"""),0.9396800145325734)</f>
        <v>0.9396800145</v>
      </c>
      <c r="AN360" s="57">
        <f>IFERROR(__xludf.DUMMYFUNCTION("""COMPUTED_VALUE"""),0.9162786497763993)</f>
        <v>0.9162786498</v>
      </c>
      <c r="AO360" s="57">
        <f>IFERROR(__xludf.DUMMYFUNCTION("""COMPUTED_VALUE"""),0.8306817837344939)</f>
        <v>0.8306817837</v>
      </c>
      <c r="AP360" s="35">
        <f>IFERROR(__xludf.DUMMYFUNCTION("""COMPUTED_VALUE"""),0.9729659513705823)</f>
        <v>0.9729659514</v>
      </c>
      <c r="AQ360" s="57">
        <f>IFERROR(__xludf.DUMMYFUNCTION("""COMPUTED_VALUE"""),0.8855573780823195)</f>
        <v>0.8855573781</v>
      </c>
      <c r="AR360" s="36" t="b">
        <f>IFERROR(__xludf.DUMMYFUNCTION("""COMPUTED_VALUE"""),TRUE)</f>
        <v>1</v>
      </c>
      <c r="AS360" s="57"/>
      <c r="AT360" s="37"/>
      <c r="AU360" s="30"/>
      <c r="AV360" s="30"/>
      <c r="AW360" s="30"/>
      <c r="AX360" s="30"/>
      <c r="AY360" s="30"/>
      <c r="AZ360" s="30"/>
    </row>
    <row r="361">
      <c r="A361" s="30" t="str">
        <f>IFERROR(__xludf.DUMMYFUNCTION("""COMPUTED_VALUE"""),"Master")</f>
        <v>Master</v>
      </c>
      <c r="B361" s="30" t="str">
        <f>IFERROR(__xludf.DUMMYFUNCTION("""COMPUTED_VALUE"""),"RSC007099")</f>
        <v>RSC007099</v>
      </c>
      <c r="C361" s="30" t="str">
        <f>IFERROR(__xludf.DUMMYFUNCTION("""COMPUTED_VALUE"""),"gumwee wigglebean")</f>
        <v>gumwee wigglebean</v>
      </c>
      <c r="D361" s="31" t="str">
        <f>IFERROR(__xludf.DUMMYFUNCTION("""COMPUTED_VALUE"""),"Andromeda")</f>
        <v>Andromeda</v>
      </c>
      <c r="E361" s="31">
        <f>IFERROR(__xludf.DUMMYFUNCTION("""COMPUTED_VALUE"""),78.46006616670114)</f>
        <v>78.46006617</v>
      </c>
      <c r="F361" s="31">
        <f>IFERROR(__xludf.DUMMYFUNCTION("""COMPUTED_VALUE"""),7.8446019063399675)</f>
        <v>7.844601906</v>
      </c>
      <c r="G361" s="31">
        <f>IFERROR(__xludf.DUMMYFUNCTION("""COMPUTED_VALUE"""),72.09903158136478)</f>
        <v>72.09903158</v>
      </c>
      <c r="H361" s="31">
        <f>IFERROR(__xludf.DUMMYFUNCTION("""COMPUTED_VALUE"""),5.309023328710539)</f>
        <v>5.309023329</v>
      </c>
      <c r="I361" s="54">
        <f>IFERROR(__xludf.DUMMYFUNCTION("""COMPUTED_VALUE"""),24.0)</f>
        <v>24</v>
      </c>
      <c r="J361" s="55">
        <f>IFERROR(__xludf.DUMMYFUNCTION("""COMPUTED_VALUE"""),12.0)</f>
        <v>12</v>
      </c>
      <c r="K361" s="54">
        <f>IFERROR(__xludf.DUMMYFUNCTION("""COMPUTED_VALUE"""),12.0)</f>
        <v>12</v>
      </c>
      <c r="L361" s="56">
        <f>IFERROR(__xludf.DUMMYFUNCTION("""COMPUTED_VALUE"""),0.5)</f>
        <v>0.5</v>
      </c>
      <c r="M361" s="56">
        <f>IFERROR(__xludf.DUMMYFUNCTION("""COMPUTED_VALUE"""),0.37142857142857144)</f>
        <v>0.3714285714</v>
      </c>
      <c r="N361" s="31">
        <f>IFERROR(__xludf.DUMMYFUNCTION("""COMPUTED_VALUE"""),447.375)</f>
        <v>447.375</v>
      </c>
      <c r="O361" s="57">
        <f>IFERROR(__xludf.DUMMYFUNCTION("""COMPUTED_VALUE"""),1.0833333333333333)</f>
        <v>1.083333333</v>
      </c>
      <c r="P361" s="57">
        <f>IFERROR(__xludf.DUMMYFUNCTION("""COMPUTED_VALUE"""),0.8333333333333334)</f>
        <v>0.8333333333</v>
      </c>
      <c r="Q361" s="57">
        <f>IFERROR(__xludf.DUMMYFUNCTION("""COMPUTED_VALUE"""),1.625)</f>
        <v>1.625</v>
      </c>
      <c r="R361" s="57">
        <f>IFERROR(__xludf.DUMMYFUNCTION("""COMPUTED_VALUE"""),2.9166666666666665)</f>
        <v>2.916666667</v>
      </c>
      <c r="S361" s="31">
        <f>IFERROR(__xludf.DUMMYFUNCTION("""COMPUTED_VALUE"""),387.5416666666667)</f>
        <v>387.5416667</v>
      </c>
      <c r="T361" s="57">
        <f>IFERROR(__xludf.DUMMYFUNCTION("""COMPUTED_VALUE"""),0.75)</f>
        <v>0.75</v>
      </c>
      <c r="U361" s="57">
        <f>IFERROR(__xludf.DUMMYFUNCTION("""COMPUTED_VALUE"""),0.5694444444444445)</f>
        <v>0.5694444444</v>
      </c>
      <c r="V361" s="57">
        <f>IFERROR(__xludf.DUMMYFUNCTION("""COMPUTED_VALUE"""),1.6388888888888886)</f>
        <v>1.638888889</v>
      </c>
      <c r="W361" s="57">
        <f>IFERROR(__xludf.DUMMYFUNCTION("""COMPUTED_VALUE"""),2.638888888888889)</f>
        <v>2.638888889</v>
      </c>
      <c r="X361" s="31">
        <f>IFERROR(__xludf.DUMMYFUNCTION("""COMPUTED_VALUE"""),379.32481396473355)</f>
        <v>379.324814</v>
      </c>
      <c r="Y361" s="57">
        <f>IFERROR(__xludf.DUMMYFUNCTION("""COMPUTED_VALUE"""),0.8526585553010994)</f>
        <v>0.8526585553</v>
      </c>
      <c r="Z361" s="57">
        <f>IFERROR(__xludf.DUMMYFUNCTION("""COMPUTED_VALUE"""),0.6613066208753343)</f>
        <v>0.6613066209</v>
      </c>
      <c r="AA361" s="57">
        <f>IFERROR(__xludf.DUMMYFUNCTION("""COMPUTED_VALUE"""),1.4242825291180548)</f>
        <v>1.424282529</v>
      </c>
      <c r="AB361" s="57">
        <f>IFERROR(__xludf.DUMMYFUNCTION("""COMPUTED_VALUE"""),2.7318876055718158)</f>
        <v>2.731887606</v>
      </c>
      <c r="AC361" s="31">
        <f>IFERROR(__xludf.DUMMYFUNCTION("""COMPUTED_VALUE"""),390.24312413278614)</f>
        <v>390.2431241</v>
      </c>
      <c r="AD361" s="57">
        <f>IFERROR(__xludf.DUMMYFUNCTION("""COMPUTED_VALUE"""),0.8766478266208421)</f>
        <v>0.8766478266</v>
      </c>
      <c r="AE361" s="57">
        <f>IFERROR(__xludf.DUMMYFUNCTION("""COMPUTED_VALUE"""),0.6751778539601266)</f>
        <v>0.675177854</v>
      </c>
      <c r="AF361" s="57">
        <f>IFERROR(__xludf.DUMMYFUNCTION("""COMPUTED_VALUE"""),1.5132837163936301)</f>
        <v>1.513283716</v>
      </c>
      <c r="AG361" s="57">
        <f>IFERROR(__xludf.DUMMYFUNCTION("""COMPUTED_VALUE"""),2.772743018480804)</f>
        <v>2.772743018</v>
      </c>
      <c r="AH361" s="57">
        <f>IFERROR(__xludf.DUMMYFUNCTION("""COMPUTED_VALUE"""),1.1464007238927645)</f>
        <v>1.146400724</v>
      </c>
      <c r="AI361" s="57">
        <f>IFERROR(__xludf.DUMMYFUNCTION("""COMPUTED_VALUE"""),1.2357680021967186)</f>
        <v>1.235768002</v>
      </c>
      <c r="AJ361" s="57">
        <f>IFERROR(__xludf.DUMMYFUNCTION("""COMPUTED_VALUE"""),1.2342426938999496)</f>
        <v>1.234242694</v>
      </c>
      <c r="AK361" s="57">
        <f>IFERROR(__xludf.DUMMYFUNCTION("""COMPUTED_VALUE"""),1.0738237532037982)</f>
        <v>1.073823753</v>
      </c>
      <c r="AL361" s="57">
        <f>IFERROR(__xludf.DUMMYFUNCTION("""COMPUTED_VALUE"""),1.0519065947426742)</f>
        <v>1.051906595</v>
      </c>
      <c r="AM361" s="57">
        <f>IFERROR(__xludf.DUMMYFUNCTION("""COMPUTED_VALUE"""),1.0216617853602825)</f>
        <v>1.021661785</v>
      </c>
      <c r="AN361" s="57">
        <f>IFERROR(__xludf.DUMMYFUNCTION("""COMPUTED_VALUE"""),0.8796017999668724)</f>
        <v>0.8796018</v>
      </c>
      <c r="AO361" s="57">
        <f>IFERROR(__xludf.DUMMYFUNCTION("""COMPUTED_VALUE"""),0.8610898885160154)</f>
        <v>0.8610898885</v>
      </c>
      <c r="AP361" s="35">
        <f>IFERROR(__xludf.DUMMYFUNCTION("""COMPUTED_VALUE"""),1.1506768182459717)</f>
        <v>1.150676818</v>
      </c>
      <c r="AQ361" s="57">
        <f>IFERROR(__xludf.DUMMYFUNCTION("""COMPUTED_VALUE"""),0.9659580736435673)</f>
        <v>0.9659580736</v>
      </c>
      <c r="AR361" s="36" t="b">
        <f>IFERROR(__xludf.DUMMYFUNCTION("""COMPUTED_VALUE"""),TRUE)</f>
        <v>1</v>
      </c>
      <c r="AS361" s="57"/>
      <c r="AT361" s="37"/>
      <c r="AU361" s="30"/>
      <c r="AV361" s="30"/>
      <c r="AW361" s="30"/>
      <c r="AX361" s="30"/>
      <c r="AY361" s="30"/>
      <c r="AZ361" s="30"/>
    </row>
    <row r="362">
      <c r="A362" s="30" t="str">
        <f>IFERROR(__xludf.DUMMYFUNCTION("""COMPUTED_VALUE"""),"Master")</f>
        <v>Master</v>
      </c>
      <c r="B362" s="30" t="str">
        <f>IFERROR(__xludf.DUMMYFUNCTION("""COMPUTED_VALUE"""),"RSC005653")</f>
        <v>RSC005653</v>
      </c>
      <c r="C362" s="30" t="str">
        <f>IFERROR(__xludf.DUMMYFUNCTION("""COMPUTED_VALUE"""),"xim")</f>
        <v>xim</v>
      </c>
      <c r="D362" s="31" t="str">
        <f>IFERROR(__xludf.DUMMYFUNCTION("""COMPUTED_VALUE"""),"Tempests")</f>
        <v>Tempests</v>
      </c>
      <c r="E362" s="31">
        <f>IFERROR(__xludf.DUMMYFUNCTION("""COMPUTED_VALUE"""),76.72915932145365)</f>
        <v>76.72915932</v>
      </c>
      <c r="F362" s="31">
        <f>IFERROR(__xludf.DUMMYFUNCTION("""COMPUTED_VALUE"""),7.0176741616233125)</f>
        <v>7.017674162</v>
      </c>
      <c r="G362" s="31">
        <f>IFERROR(__xludf.DUMMYFUNCTION("""COMPUTED_VALUE"""),75.34160096301508)</f>
        <v>75.34160096</v>
      </c>
      <c r="H362" s="31">
        <f>IFERROR(__xludf.DUMMYFUNCTION("""COMPUTED_VALUE"""),6.436184968537254)</f>
        <v>6.436184969</v>
      </c>
      <c r="I362" s="54">
        <f>IFERROR(__xludf.DUMMYFUNCTION("""COMPUTED_VALUE"""),8.0)</f>
        <v>8</v>
      </c>
      <c r="J362" s="55">
        <f>IFERROR(__xludf.DUMMYFUNCTION("""COMPUTED_VALUE"""),7.0)</f>
        <v>7</v>
      </c>
      <c r="K362" s="54">
        <f>IFERROR(__xludf.DUMMYFUNCTION("""COMPUTED_VALUE"""),1.0)</f>
        <v>1</v>
      </c>
      <c r="L362" s="56">
        <f>IFERROR(__xludf.DUMMYFUNCTION("""COMPUTED_VALUE"""),0.875)</f>
        <v>0.875</v>
      </c>
      <c r="M362" s="56">
        <f>IFERROR(__xludf.DUMMYFUNCTION("""COMPUTED_VALUE"""),0.34782608695652173)</f>
        <v>0.347826087</v>
      </c>
      <c r="N362" s="31">
        <f>IFERROR(__xludf.DUMMYFUNCTION("""COMPUTED_VALUE"""),383.875)</f>
        <v>383.875</v>
      </c>
      <c r="O362" s="57">
        <f>IFERROR(__xludf.DUMMYFUNCTION("""COMPUTED_VALUE"""),1.0)</f>
        <v>1</v>
      </c>
      <c r="P362" s="57">
        <f>IFERROR(__xludf.DUMMYFUNCTION("""COMPUTED_VALUE"""),1.125)</f>
        <v>1.125</v>
      </c>
      <c r="Q362" s="57">
        <f>IFERROR(__xludf.DUMMYFUNCTION("""COMPUTED_VALUE"""),0.875)</f>
        <v>0.875</v>
      </c>
      <c r="R362" s="57">
        <f>IFERROR(__xludf.DUMMYFUNCTION("""COMPUTED_VALUE"""),2.875)</f>
        <v>2.875</v>
      </c>
      <c r="S362" s="31">
        <f>IFERROR(__xludf.DUMMYFUNCTION("""COMPUTED_VALUE"""),335.25)</f>
        <v>335.25</v>
      </c>
      <c r="T362" s="57">
        <f>IFERROR(__xludf.DUMMYFUNCTION("""COMPUTED_VALUE"""),0.6666666666666666)</f>
        <v>0.6666666667</v>
      </c>
      <c r="U362" s="57">
        <f>IFERROR(__xludf.DUMMYFUNCTION("""COMPUTED_VALUE"""),0.4583333333333333)</f>
        <v>0.4583333333</v>
      </c>
      <c r="V362" s="57">
        <f>IFERROR(__xludf.DUMMYFUNCTION("""COMPUTED_VALUE"""),1.25)</f>
        <v>1.25</v>
      </c>
      <c r="W362" s="57">
        <f>IFERROR(__xludf.DUMMYFUNCTION("""COMPUTED_VALUE"""),2.1666666666666665)</f>
        <v>2.166666667</v>
      </c>
      <c r="X362" s="31">
        <f>IFERROR(__xludf.DUMMYFUNCTION("""COMPUTED_VALUE"""),373.24884366277456)</f>
        <v>373.2488437</v>
      </c>
      <c r="Y362" s="57">
        <f>IFERROR(__xludf.DUMMYFUNCTION("""COMPUTED_VALUE"""),0.806238999827491)</f>
        <v>0.8062389998</v>
      </c>
      <c r="Z362" s="57">
        <f>IFERROR(__xludf.DUMMYFUNCTION("""COMPUTED_VALUE"""),0.621469323514867)</f>
        <v>0.6214693235</v>
      </c>
      <c r="AA362" s="57">
        <f>IFERROR(__xludf.DUMMYFUNCTION("""COMPUTED_VALUE"""),1.5272800389658683)</f>
        <v>1.527280039</v>
      </c>
      <c r="AB362" s="57">
        <f>IFERROR(__xludf.DUMMYFUNCTION("""COMPUTED_VALUE"""),2.6947000149754516)</f>
        <v>2.694700015</v>
      </c>
      <c r="AC362" s="31">
        <f>IFERROR(__xludf.DUMMYFUNCTION("""COMPUTED_VALUE"""),418.26250385968115)</f>
        <v>418.2625039</v>
      </c>
      <c r="AD362" s="57">
        <f>IFERROR(__xludf.DUMMYFUNCTION("""COMPUTED_VALUE"""),1.0527782692416838)</f>
        <v>1.052778269</v>
      </c>
      <c r="AE362" s="57">
        <f>IFERROR(__xludf.DUMMYFUNCTION("""COMPUTED_VALUE"""),0.8224765255085621)</f>
        <v>0.8224765255</v>
      </c>
      <c r="AF362" s="57">
        <f>IFERROR(__xludf.DUMMYFUNCTION("""COMPUTED_VALUE"""),1.514875306863363)</f>
        <v>1.514875307</v>
      </c>
      <c r="AG362" s="57">
        <f>IFERROR(__xludf.DUMMYFUNCTION("""COMPUTED_VALUE"""),3.10431786625904)</f>
        <v>3.104317866</v>
      </c>
      <c r="AH362" s="57">
        <f>IFERROR(__xludf.DUMMYFUNCTION("""COMPUTED_VALUE"""),0.9177848754254637)</f>
        <v>0.9177848754</v>
      </c>
      <c r="AI362" s="57">
        <f>IFERROR(__xludf.DUMMYFUNCTION("""COMPUTED_VALUE"""),0.9498676304558413)</f>
        <v>0.9498676305</v>
      </c>
      <c r="AJ362" s="57">
        <f>IFERROR(__xludf.DUMMYFUNCTION("""COMPUTED_VALUE"""),1.367820193171323)</f>
        <v>1.367820193</v>
      </c>
      <c r="AK362" s="57">
        <f>IFERROR(__xludf.DUMMYFUNCTION("""COMPUTED_VALUE"""),0.5776052959842207)</f>
        <v>0.577605296</v>
      </c>
      <c r="AL362" s="57">
        <f>IFERROR(__xludf.DUMMYFUNCTION("""COMPUTED_VALUE"""),0.9261293861844802)</f>
        <v>0.9261293862</v>
      </c>
      <c r="AM362" s="57">
        <f>IFERROR(__xludf.DUMMYFUNCTION("""COMPUTED_VALUE"""),0.8981943432432814)</f>
        <v>0.8981943432</v>
      </c>
      <c r="AN362" s="57">
        <f>IFERROR(__xludf.DUMMYFUNCTION("""COMPUTED_VALUE"""),0.8268846667170797)</f>
        <v>0.8268846667</v>
      </c>
      <c r="AO362" s="57">
        <f>IFERROR(__xludf.DUMMYFUNCTION("""COMPUTED_VALUE"""),0.7374995289246469)</f>
        <v>0.7374995289</v>
      </c>
      <c r="AP362" s="35">
        <f>IFERROR(__xludf.DUMMYFUNCTION("""COMPUTED_VALUE"""),0.8184484626973738)</f>
        <v>0.8184484627</v>
      </c>
      <c r="AQ362" s="57">
        <f>IFERROR(__xludf.DUMMYFUNCTION("""COMPUTED_VALUE"""),0.8040474467011886)</f>
        <v>0.8040474467</v>
      </c>
      <c r="AR362" s="36" t="b">
        <f>IFERROR(__xludf.DUMMYFUNCTION("""COMPUTED_VALUE"""),TRUE)</f>
        <v>1</v>
      </c>
      <c r="AS362" s="57"/>
      <c r="AT362" s="37"/>
      <c r="AU362" s="30"/>
      <c r="AV362" s="30"/>
      <c r="AW362" s="30"/>
      <c r="AX362" s="30"/>
      <c r="AY362" s="30"/>
      <c r="AZ362" s="30"/>
    </row>
    <row r="363">
      <c r="A363" s="30" t="str">
        <f>IFERROR(__xludf.DUMMYFUNCTION("""COMPUTED_VALUE"""),"Master")</f>
        <v>Master</v>
      </c>
      <c r="B363" s="30" t="str">
        <f>IFERROR(__xludf.DUMMYFUNCTION("""COMPUTED_VALUE"""),"RSC007858")</f>
        <v>RSC007858</v>
      </c>
      <c r="C363" s="30" t="str">
        <f>IFERROR(__xludf.DUMMYFUNCTION("""COMPUTED_VALUE"""),"Patty")</f>
        <v>Patty</v>
      </c>
      <c r="D363" s="31" t="str">
        <f>IFERROR(__xludf.DUMMYFUNCTION("""COMPUTED_VALUE"""),"Phantom Phreaks")</f>
        <v>Phantom Phreaks</v>
      </c>
      <c r="E363" s="31">
        <f>IFERROR(__xludf.DUMMYFUNCTION("""COMPUTED_VALUE"""),75.13801352379363)</f>
        <v>75.13801352</v>
      </c>
      <c r="F363" s="31">
        <f>IFERROR(__xludf.DUMMYFUNCTION("""COMPUTED_VALUE"""),6.356344349813028)</f>
        <v>6.35634435</v>
      </c>
      <c r="G363" s="31">
        <f>IFERROR(__xludf.DUMMYFUNCTION("""COMPUTED_VALUE"""),70.9341330184806)</f>
        <v>70.93413302</v>
      </c>
      <c r="H363" s="31">
        <f>IFERROR(__xludf.DUMMYFUNCTION("""COMPUTED_VALUE"""),4.970336377435117)</f>
        <v>4.970336377</v>
      </c>
      <c r="I363" s="54">
        <f>IFERROR(__xludf.DUMMYFUNCTION("""COMPUTED_VALUE"""),44.0)</f>
        <v>44</v>
      </c>
      <c r="J363" s="55">
        <f>IFERROR(__xludf.DUMMYFUNCTION("""COMPUTED_VALUE"""),29.0)</f>
        <v>29</v>
      </c>
      <c r="K363" s="54">
        <f>IFERROR(__xludf.DUMMYFUNCTION("""COMPUTED_VALUE"""),15.0)</f>
        <v>15</v>
      </c>
      <c r="L363" s="56">
        <f>IFERROR(__xludf.DUMMYFUNCTION("""COMPUTED_VALUE"""),0.6590909090909091)</f>
        <v>0.6590909091</v>
      </c>
      <c r="M363" s="56">
        <f>IFERROR(__xludf.DUMMYFUNCTION("""COMPUTED_VALUE"""),0.2967741935483871)</f>
        <v>0.2967741935</v>
      </c>
      <c r="N363" s="31">
        <f>IFERROR(__xludf.DUMMYFUNCTION("""COMPUTED_VALUE"""),452.70454545454544)</f>
        <v>452.7045455</v>
      </c>
      <c r="O363" s="57">
        <f>IFERROR(__xludf.DUMMYFUNCTION("""COMPUTED_VALUE"""),1.0454545454545454)</f>
        <v>1.045454545</v>
      </c>
      <c r="P363" s="57">
        <f>IFERROR(__xludf.DUMMYFUNCTION("""COMPUTED_VALUE"""),0.7045454545454546)</f>
        <v>0.7045454545</v>
      </c>
      <c r="Q363" s="57">
        <f>IFERROR(__xludf.DUMMYFUNCTION("""COMPUTED_VALUE"""),1.6590909090909092)</f>
        <v>1.659090909</v>
      </c>
      <c r="R363" s="57">
        <f>IFERROR(__xludf.DUMMYFUNCTION("""COMPUTED_VALUE"""),3.522727272727273)</f>
        <v>3.522727273</v>
      </c>
      <c r="S363" s="31">
        <f>IFERROR(__xludf.DUMMYFUNCTION("""COMPUTED_VALUE"""),387.29545454545445)</f>
        <v>387.2954545</v>
      </c>
      <c r="T363" s="57">
        <f>IFERROR(__xludf.DUMMYFUNCTION("""COMPUTED_VALUE"""),0.7954545454545454)</f>
        <v>0.7954545455</v>
      </c>
      <c r="U363" s="57">
        <f>IFERROR(__xludf.DUMMYFUNCTION("""COMPUTED_VALUE"""),0.6060606060606061)</f>
        <v>0.6060606061</v>
      </c>
      <c r="V363" s="57">
        <f>IFERROR(__xludf.DUMMYFUNCTION("""COMPUTED_VALUE"""),1.621212121212121)</f>
        <v>1.621212121</v>
      </c>
      <c r="W363" s="57">
        <f>IFERROR(__xludf.DUMMYFUNCTION("""COMPUTED_VALUE"""),2.621212121212121)</f>
        <v>2.621212121</v>
      </c>
      <c r="X363" s="31">
        <f>IFERROR(__xludf.DUMMYFUNCTION("""COMPUTED_VALUE"""),386.39213560486456)</f>
        <v>386.3921356</v>
      </c>
      <c r="Y363" s="57">
        <f>IFERROR(__xludf.DUMMYFUNCTION("""COMPUTED_VALUE"""),0.8672545417640932)</f>
        <v>0.8672545418</v>
      </c>
      <c r="Z363" s="57">
        <f>IFERROR(__xludf.DUMMYFUNCTION("""COMPUTED_VALUE"""),0.6719634066606698)</f>
        <v>0.6719634067</v>
      </c>
      <c r="AA363" s="57">
        <f>IFERROR(__xludf.DUMMYFUNCTION("""COMPUTED_VALUE"""),1.4919727174320294)</f>
        <v>1.491972717</v>
      </c>
      <c r="AB363" s="57">
        <f>IFERROR(__xludf.DUMMYFUNCTION("""COMPUTED_VALUE"""),2.8159651381278796)</f>
        <v>2.815965138</v>
      </c>
      <c r="AC363" s="31">
        <f>IFERROR(__xludf.DUMMYFUNCTION("""COMPUTED_VALUE"""),392.1051920850599)</f>
        <v>392.1051921</v>
      </c>
      <c r="AD363" s="57">
        <f>IFERROR(__xludf.DUMMYFUNCTION("""COMPUTED_VALUE"""),0.8970545926941067)</f>
        <v>0.8970545927</v>
      </c>
      <c r="AE363" s="57">
        <f>IFERROR(__xludf.DUMMYFUNCTION("""COMPUTED_VALUE"""),0.6878555439848775)</f>
        <v>0.687855544</v>
      </c>
      <c r="AF363" s="57">
        <f>IFERROR(__xludf.DUMMYFUNCTION("""COMPUTED_VALUE"""),1.5013572982567611)</f>
        <v>1.501357298</v>
      </c>
      <c r="AG363" s="57">
        <f>IFERROR(__xludf.DUMMYFUNCTION("""COMPUTED_VALUE"""),2.8819735400381763)</f>
        <v>2.88197354</v>
      </c>
      <c r="AH363" s="57">
        <f>IFERROR(__xludf.DUMMYFUNCTION("""COMPUTED_VALUE"""),1.1545487144591027)</f>
        <v>1.154548714</v>
      </c>
      <c r="AI363" s="57">
        <f>IFERROR(__xludf.DUMMYFUNCTION("""COMPUTED_VALUE"""),1.1654302357616297)</f>
        <v>1.165430236</v>
      </c>
      <c r="AJ363" s="57">
        <f>IFERROR(__xludf.DUMMYFUNCTION("""COMPUTED_VALUE"""),1.0242636854591436)</f>
        <v>1.024263685</v>
      </c>
      <c r="AK363" s="57">
        <f>IFERROR(__xludf.DUMMYFUNCTION("""COMPUTED_VALUE"""),1.105060674775614)</f>
        <v>1.105060675</v>
      </c>
      <c r="AL363" s="57">
        <f>IFERROR(__xludf.DUMMYFUNCTION("""COMPUTED_VALUE"""),1.2223315806989015)</f>
        <v>1.222331581</v>
      </c>
      <c r="AM363" s="57">
        <f>IFERROR(__xludf.DUMMYFUNCTION("""COMPUTED_VALUE"""),1.002337829519164)</f>
        <v>1.00233783</v>
      </c>
      <c r="AN363" s="57">
        <f>IFERROR(__xludf.DUMMYFUNCTION("""COMPUTED_VALUE"""),0.917210008305637)</f>
        <v>0.9172100083</v>
      </c>
      <c r="AO363" s="57">
        <f>IFERROR(__xludf.DUMMYFUNCTION("""COMPUTED_VALUE"""),0.9019250156380264)</f>
        <v>0.9019250156</v>
      </c>
      <c r="AP363" s="35">
        <f>IFERROR(__xludf.DUMMYFUNCTION("""COMPUTED_VALUE"""),1.0866231682859038)</f>
        <v>1.086623168</v>
      </c>
      <c r="AQ363" s="57">
        <f>IFERROR(__xludf.DUMMYFUNCTION("""COMPUTED_VALUE"""),0.9308396917707458)</f>
        <v>0.9308396918</v>
      </c>
      <c r="AR363" s="36" t="b">
        <f>IFERROR(__xludf.DUMMYFUNCTION("""COMPUTED_VALUE"""),TRUE)</f>
        <v>1</v>
      </c>
      <c r="AS363" s="57"/>
      <c r="AT363" s="37"/>
      <c r="AU363" s="30"/>
      <c r="AV363" s="30"/>
      <c r="AW363" s="30"/>
      <c r="AX363" s="30"/>
      <c r="AY363" s="30"/>
      <c r="AZ363" s="30"/>
    </row>
    <row r="364">
      <c r="A364" s="30" t="str">
        <f>IFERROR(__xludf.DUMMYFUNCTION("""COMPUTED_VALUE"""),"Master")</f>
        <v>Master</v>
      </c>
      <c r="B364" s="30" t="str">
        <f>IFERROR(__xludf.DUMMYFUNCTION("""COMPUTED_VALUE"""),"RSC007893")</f>
        <v>RSC007893</v>
      </c>
      <c r="C364" s="30" t="str">
        <f>IFERROR(__xludf.DUMMYFUNCTION("""COMPUTED_VALUE"""),"solar722")</f>
        <v>solar722</v>
      </c>
      <c r="D364" s="31" t="str">
        <f>IFERROR(__xludf.DUMMYFUNCTION("""COMPUTED_VALUE"""),"Fromunda Frauds")</f>
        <v>Fromunda Frauds</v>
      </c>
      <c r="E364" s="31">
        <f>IFERROR(__xludf.DUMMYFUNCTION("""COMPUTED_VALUE"""),73.62113850731618)</f>
        <v>73.62113851</v>
      </c>
      <c r="F364" s="31">
        <f>IFERROR(__xludf.DUMMYFUNCTION("""COMPUTED_VALUE"""),5.801511636423598)</f>
        <v>5.801511636</v>
      </c>
      <c r="G364" s="31">
        <f>IFERROR(__xludf.DUMMYFUNCTION("""COMPUTED_VALUE"""),67.91343904971414)</f>
        <v>67.91343905</v>
      </c>
      <c r="H364" s="31">
        <f>IFERROR(__xludf.DUMMYFUNCTION("""COMPUTED_VALUE"""),4.222442648142488)</f>
        <v>4.222442648</v>
      </c>
      <c r="I364" s="54">
        <f>IFERROR(__xludf.DUMMYFUNCTION("""COMPUTED_VALUE"""),32.0)</f>
        <v>32</v>
      </c>
      <c r="J364" s="55">
        <f>IFERROR(__xludf.DUMMYFUNCTION("""COMPUTED_VALUE"""),16.0)</f>
        <v>16</v>
      </c>
      <c r="K364" s="54">
        <f>IFERROR(__xludf.DUMMYFUNCTION("""COMPUTED_VALUE"""),16.0)</f>
        <v>16</v>
      </c>
      <c r="L364" s="56">
        <f>IFERROR(__xludf.DUMMYFUNCTION("""COMPUTED_VALUE"""),0.5)</f>
        <v>0.5</v>
      </c>
      <c r="M364" s="56">
        <f>IFERROR(__xludf.DUMMYFUNCTION("""COMPUTED_VALUE"""),0.30701754385964913)</f>
        <v>0.3070175439</v>
      </c>
      <c r="N364" s="31">
        <f>IFERROR(__xludf.DUMMYFUNCTION("""COMPUTED_VALUE"""),437.125)</f>
        <v>437.125</v>
      </c>
      <c r="O364" s="57">
        <f>IFERROR(__xludf.DUMMYFUNCTION("""COMPUTED_VALUE"""),1.09375)</f>
        <v>1.09375</v>
      </c>
      <c r="P364" s="57">
        <f>IFERROR(__xludf.DUMMYFUNCTION("""COMPUTED_VALUE"""),0.6875)</f>
        <v>0.6875</v>
      </c>
      <c r="Q364" s="57">
        <f>IFERROR(__xludf.DUMMYFUNCTION("""COMPUTED_VALUE"""),1.59375)</f>
        <v>1.59375</v>
      </c>
      <c r="R364" s="57">
        <f>IFERROR(__xludf.DUMMYFUNCTION("""COMPUTED_VALUE"""),3.5625)</f>
        <v>3.5625</v>
      </c>
      <c r="S364" s="31">
        <f>IFERROR(__xludf.DUMMYFUNCTION("""COMPUTED_VALUE"""),398.9374999999999)</f>
        <v>398.9375</v>
      </c>
      <c r="T364" s="57">
        <f>IFERROR(__xludf.DUMMYFUNCTION("""COMPUTED_VALUE"""),0.9270833333333331)</f>
        <v>0.9270833333</v>
      </c>
      <c r="U364" s="57">
        <f>IFERROR(__xludf.DUMMYFUNCTION("""COMPUTED_VALUE"""),0.7604166666666667)</f>
        <v>0.7604166667</v>
      </c>
      <c r="V364" s="57">
        <f>IFERROR(__xludf.DUMMYFUNCTION("""COMPUTED_VALUE"""),1.510416666666667)</f>
        <v>1.510416667</v>
      </c>
      <c r="W364" s="57">
        <f>IFERROR(__xludf.DUMMYFUNCTION("""COMPUTED_VALUE"""),2.8541666666666665)</f>
        <v>2.854166667</v>
      </c>
      <c r="X364" s="31">
        <f>IFERROR(__xludf.DUMMYFUNCTION("""COMPUTED_VALUE"""),394.9100890913252)</f>
        <v>394.9100891</v>
      </c>
      <c r="Y364" s="57">
        <f>IFERROR(__xludf.DUMMYFUNCTION("""COMPUTED_VALUE"""),0.9200032064012448)</f>
        <v>0.9200032064</v>
      </c>
      <c r="Z364" s="57">
        <f>IFERROR(__xludf.DUMMYFUNCTION("""COMPUTED_VALUE"""),0.7048943043670856)</f>
        <v>0.7048943044</v>
      </c>
      <c r="AA364" s="57">
        <f>IFERROR(__xludf.DUMMYFUNCTION("""COMPUTED_VALUE"""),1.5086346358995186)</f>
        <v>1.508634636</v>
      </c>
      <c r="AB364" s="57">
        <f>IFERROR(__xludf.DUMMYFUNCTION("""COMPUTED_VALUE"""),2.8729657923882357)</f>
        <v>2.872965792</v>
      </c>
      <c r="AC364" s="31">
        <f>IFERROR(__xludf.DUMMYFUNCTION("""COMPUTED_VALUE"""),387.4749805408496)</f>
        <v>387.4749805</v>
      </c>
      <c r="AD364" s="57">
        <f>IFERROR(__xludf.DUMMYFUNCTION("""COMPUTED_VALUE"""),0.881999522160441)</f>
        <v>0.8819995222</v>
      </c>
      <c r="AE364" s="57">
        <f>IFERROR(__xludf.DUMMYFUNCTION("""COMPUTED_VALUE"""),0.6796761974680943)</f>
        <v>0.6796761975</v>
      </c>
      <c r="AF364" s="57">
        <f>IFERROR(__xludf.DUMMYFUNCTION("""COMPUTED_VALUE"""),1.498953330817232)</f>
        <v>1.498953331</v>
      </c>
      <c r="AG364" s="57">
        <f>IFERROR(__xludf.DUMMYFUNCTION("""COMPUTED_VALUE"""),2.849001133029625)</f>
        <v>2.849001133</v>
      </c>
      <c r="AH364" s="57">
        <f>IFERROR(__xludf.DUMMYFUNCTION("""COMPUTED_VALUE"""),1.1281373558361043)</f>
        <v>1.128137356</v>
      </c>
      <c r="AI364" s="57">
        <f>IFERROR(__xludf.DUMMYFUNCTION("""COMPUTED_VALUE"""),1.2400800369153038)</f>
        <v>1.240080037</v>
      </c>
      <c r="AJ364" s="57">
        <f>IFERROR(__xludf.DUMMYFUNCTION("""COMPUTED_VALUE"""),1.0115110733038035)</f>
        <v>1.011511073</v>
      </c>
      <c r="AK364" s="57">
        <f>IFERROR(__xludf.DUMMYFUNCTION("""COMPUTED_VALUE"""),1.0632419083595381)</f>
        <v>1.063241908</v>
      </c>
      <c r="AL364" s="57">
        <f>IFERROR(__xludf.DUMMYFUNCTION("""COMPUTED_VALUE"""),1.250438253147215)</f>
        <v>1.250438253</v>
      </c>
      <c r="AM364" s="57">
        <f>IFERROR(__xludf.DUMMYFUNCTION("""COMPUTED_VALUE"""),1.0101982983466988)</f>
        <v>1.010198298</v>
      </c>
      <c r="AN364" s="57">
        <f>IFERROR(__xludf.DUMMYFUNCTION("""COMPUTED_VALUE"""),1.0076957633221557)</f>
        <v>1.007695763</v>
      </c>
      <c r="AO364" s="57">
        <f>IFERROR(__xludf.DUMMYFUNCTION("""COMPUTED_VALUE"""),1.0787669327948874)</f>
        <v>1.078766933</v>
      </c>
      <c r="AP364" s="35">
        <f>IFERROR(__xludf.DUMMYFUNCTION("""COMPUTED_VALUE"""),1.0011812209031552)</f>
        <v>1.001181221</v>
      </c>
      <c r="AQ364" s="57">
        <f>IFERROR(__xludf.DUMMYFUNCTION("""COMPUTED_VALUE"""),0.9934565438365551)</f>
        <v>0.9934565438</v>
      </c>
      <c r="AR364" s="36" t="b">
        <f>IFERROR(__xludf.DUMMYFUNCTION("""COMPUTED_VALUE"""),TRUE)</f>
        <v>1</v>
      </c>
      <c r="AS364" s="57"/>
      <c r="AT364" s="37"/>
      <c r="AU364" s="30"/>
      <c r="AV364" s="30"/>
      <c r="AW364" s="30"/>
      <c r="AX364" s="30"/>
      <c r="AY364" s="30"/>
      <c r="AZ364" s="30"/>
    </row>
    <row r="365">
      <c r="A365" s="30" t="str">
        <f>IFERROR(__xludf.DUMMYFUNCTION("""COMPUTED_VALUE"""),"Master")</f>
        <v>Master</v>
      </c>
      <c r="B365" s="30" t="str">
        <f>IFERROR(__xludf.DUMMYFUNCTION("""COMPUTED_VALUE"""),"RSC004575")</f>
        <v>RSC004575</v>
      </c>
      <c r="C365" s="30" t="str">
        <f>IFERROR(__xludf.DUMMYFUNCTION("""COMPUTED_VALUE"""),"Diamond ^.^")</f>
        <v>Diamond ^.^</v>
      </c>
      <c r="D365" s="31" t="str">
        <f>IFERROR(__xludf.DUMMYFUNCTION("""COMPUTED_VALUE"""),"Lemurs")</f>
        <v>Lemurs</v>
      </c>
      <c r="E365" s="31">
        <f>IFERROR(__xludf.DUMMYFUNCTION("""COMPUTED_VALUE"""),73.25904811954464)</f>
        <v>73.25904812</v>
      </c>
      <c r="F365" s="31">
        <f>IFERROR(__xludf.DUMMYFUNCTION("""COMPUTED_VALUE"""),5.678854119121005)</f>
        <v>5.678854119</v>
      </c>
      <c r="G365" s="31">
        <f>IFERROR(__xludf.DUMMYFUNCTION("""COMPUTED_VALUE"""),71.92845909291384)</f>
        <v>71.92845909</v>
      </c>
      <c r="H365" s="31">
        <f>IFERROR(__xludf.DUMMYFUNCTION("""COMPUTED_VALUE"""),5.2574647613622885)</f>
        <v>5.257464761</v>
      </c>
      <c r="I365" s="54">
        <f>IFERROR(__xludf.DUMMYFUNCTION("""COMPUTED_VALUE"""),45.0)</f>
        <v>45</v>
      </c>
      <c r="J365" s="55">
        <f>IFERROR(__xludf.DUMMYFUNCTION("""COMPUTED_VALUE"""),28.0)</f>
        <v>28</v>
      </c>
      <c r="K365" s="54">
        <f>IFERROR(__xludf.DUMMYFUNCTION("""COMPUTED_VALUE"""),17.0)</f>
        <v>17</v>
      </c>
      <c r="L365" s="56">
        <f>IFERROR(__xludf.DUMMYFUNCTION("""COMPUTED_VALUE"""),0.6222222222222222)</f>
        <v>0.6222222222</v>
      </c>
      <c r="M365" s="56">
        <f>IFERROR(__xludf.DUMMYFUNCTION("""COMPUTED_VALUE"""),0.34246575342465757)</f>
        <v>0.3424657534</v>
      </c>
      <c r="N365" s="31">
        <f>IFERROR(__xludf.DUMMYFUNCTION("""COMPUTED_VALUE"""),425.46666666666664)</f>
        <v>425.4666667</v>
      </c>
      <c r="O365" s="57">
        <f>IFERROR(__xludf.DUMMYFUNCTION("""COMPUTED_VALUE"""),1.1111111111111112)</f>
        <v>1.111111111</v>
      </c>
      <c r="P365" s="57">
        <f>IFERROR(__xludf.DUMMYFUNCTION("""COMPUTED_VALUE"""),0.7333333333333333)</f>
        <v>0.7333333333</v>
      </c>
      <c r="Q365" s="57">
        <f>IFERROR(__xludf.DUMMYFUNCTION("""COMPUTED_VALUE"""),1.3777777777777778)</f>
        <v>1.377777778</v>
      </c>
      <c r="R365" s="57">
        <f>IFERROR(__xludf.DUMMYFUNCTION("""COMPUTED_VALUE"""),3.2444444444444445)</f>
        <v>3.244444444</v>
      </c>
      <c r="S365" s="31">
        <f>IFERROR(__xludf.DUMMYFUNCTION("""COMPUTED_VALUE"""),395.6212121212122)</f>
        <v>395.6212121</v>
      </c>
      <c r="T365" s="57">
        <f>IFERROR(__xludf.DUMMYFUNCTION("""COMPUTED_VALUE"""),0.8863636363636362)</f>
        <v>0.8863636364</v>
      </c>
      <c r="U365" s="57">
        <f>IFERROR(__xludf.DUMMYFUNCTION("""COMPUTED_VALUE"""),0.6742424242424243)</f>
        <v>0.6742424242</v>
      </c>
      <c r="V365" s="57">
        <f>IFERROR(__xludf.DUMMYFUNCTION("""COMPUTED_VALUE"""),1.5075757575757576)</f>
        <v>1.507575758</v>
      </c>
      <c r="W365" s="57">
        <f>IFERROR(__xludf.DUMMYFUNCTION("""COMPUTED_VALUE"""),2.6363636363636362)</f>
        <v>2.636363636</v>
      </c>
      <c r="X365" s="31">
        <f>IFERROR(__xludf.DUMMYFUNCTION("""COMPUTED_VALUE"""),383.7144310458201)</f>
        <v>383.714431</v>
      </c>
      <c r="Y365" s="57">
        <f>IFERROR(__xludf.DUMMYFUNCTION("""COMPUTED_VALUE"""),0.8625580222310402)</f>
        <v>0.8625580222</v>
      </c>
      <c r="Z365" s="57">
        <f>IFERROR(__xludf.DUMMYFUNCTION("""COMPUTED_VALUE"""),0.68132965303273)</f>
        <v>0.681329653</v>
      </c>
      <c r="AA365" s="57">
        <f>IFERROR(__xludf.DUMMYFUNCTION("""COMPUTED_VALUE"""),1.4763399328223985)</f>
        <v>1.476339933</v>
      </c>
      <c r="AB365" s="57">
        <f>IFERROR(__xludf.DUMMYFUNCTION("""COMPUTED_VALUE"""),2.7434850005069267)</f>
        <v>2.743485001</v>
      </c>
      <c r="AC365" s="31">
        <f>IFERROR(__xludf.DUMMYFUNCTION("""COMPUTED_VALUE"""),388.1898163155092)</f>
        <v>388.1898163</v>
      </c>
      <c r="AD365" s="57">
        <f>IFERROR(__xludf.DUMMYFUNCTION("""COMPUTED_VALUE"""),0.8932923704883968)</f>
        <v>0.8932923705</v>
      </c>
      <c r="AE365" s="57">
        <f>IFERROR(__xludf.DUMMYFUNCTION("""COMPUTED_VALUE"""),0.6750889653576526)</f>
        <v>0.6750889654</v>
      </c>
      <c r="AF365" s="57">
        <f>IFERROR(__xludf.DUMMYFUNCTION("""COMPUTED_VALUE"""),1.4925636194169336)</f>
        <v>1.492563619</v>
      </c>
      <c r="AG365" s="57">
        <f>IFERROR(__xludf.DUMMYFUNCTION("""COMPUTED_VALUE"""),2.843445982850176)</f>
        <v>2.843445983</v>
      </c>
      <c r="AH365" s="57">
        <f>IFERROR(__xludf.DUMMYFUNCTION("""COMPUTED_VALUE"""),1.096027378319631)</f>
        <v>1.096027378</v>
      </c>
      <c r="AI365" s="57">
        <f>IFERROR(__xludf.DUMMYFUNCTION("""COMPUTED_VALUE"""),1.243838129394998)</f>
        <v>1.243838129</v>
      </c>
      <c r="AJ365" s="57">
        <f>IFERROR(__xludf.DUMMYFUNCTION("""COMPUTED_VALUE"""),1.08627658125744)</f>
        <v>1.086276581</v>
      </c>
      <c r="AK365" s="57">
        <f>IFERROR(__xludf.DUMMYFUNCTION("""COMPUTED_VALUE"""),0.9230948415559019)</f>
        <v>0.9230948416</v>
      </c>
      <c r="AL365" s="57">
        <f>IFERROR(__xludf.DUMMYFUNCTION("""COMPUTED_VALUE"""),1.141025524667193)</f>
        <v>1.141025525</v>
      </c>
      <c r="AM365" s="57">
        <f>IFERROR(__xludf.DUMMYFUNCTION("""COMPUTED_VALUE"""),1.0310303186745933)</f>
        <v>1.031030319</v>
      </c>
      <c r="AN365" s="57">
        <f>IFERROR(__xludf.DUMMYFUNCTION("""COMPUTED_VALUE"""),1.0275988554033988)</f>
        <v>1.027598855</v>
      </c>
      <c r="AO365" s="57">
        <f>IFERROR(__xludf.DUMMYFUNCTION("""COMPUTED_VALUE"""),0.9895979446091051)</f>
        <v>0.9895979446</v>
      </c>
      <c r="AP365" s="35">
        <f>IFERROR(__xludf.DUMMYFUNCTION("""COMPUTED_VALUE"""),1.021157610153946)</f>
        <v>1.02115761</v>
      </c>
      <c r="AQ365" s="57">
        <f>IFERROR(__xludf.DUMMYFUNCTION("""COMPUTED_VALUE"""),0.960954273807403)</f>
        <v>0.9609542738</v>
      </c>
      <c r="AR365" s="36" t="b">
        <f>IFERROR(__xludf.DUMMYFUNCTION("""COMPUTED_VALUE"""),TRUE)</f>
        <v>1</v>
      </c>
      <c r="AS365" s="57"/>
      <c r="AT365" s="37"/>
      <c r="AU365" s="30"/>
      <c r="AV365" s="30"/>
      <c r="AW365" s="30"/>
      <c r="AX365" s="30"/>
      <c r="AY365" s="30"/>
      <c r="AZ365" s="30"/>
    </row>
    <row r="366">
      <c r="A366" s="30" t="str">
        <f>IFERROR(__xludf.DUMMYFUNCTION("""COMPUTED_VALUE"""),"Master")</f>
        <v>Master</v>
      </c>
      <c r="B366" s="30" t="str">
        <f>IFERROR(__xludf.DUMMYFUNCTION("""COMPUTED_VALUE"""),"RSC006952")</f>
        <v>RSC006952</v>
      </c>
      <c r="C366" s="30" t="str">
        <f>IFERROR(__xludf.DUMMYFUNCTION("""COMPUTED_VALUE"""),"nave")</f>
        <v>nave</v>
      </c>
      <c r="D366" s="31" t="str">
        <f>IFERROR(__xludf.DUMMYFUNCTION("""COMPUTED_VALUE"""),"Kawaii")</f>
        <v>Kawaii</v>
      </c>
      <c r="E366" s="31">
        <f>IFERROR(__xludf.DUMMYFUNCTION("""COMPUTED_VALUE"""),72.38238923067613)</f>
        <v>72.38238923</v>
      </c>
      <c r="F366" s="31">
        <f>IFERROR(__xludf.DUMMYFUNCTION("""COMPUTED_VALUE"""),5.396230235785079)</f>
        <v>5.396230236</v>
      </c>
      <c r="G366" s="31">
        <f>IFERROR(__xludf.DUMMYFUNCTION("""COMPUTED_VALUE"""),64.26532960126849)</f>
        <v>64.2653296</v>
      </c>
      <c r="H366" s="31">
        <f>IFERROR(__xludf.DUMMYFUNCTION("""COMPUTED_VALUE"""),3.519504073690704)</f>
        <v>3.519504074</v>
      </c>
      <c r="I366" s="54">
        <f>IFERROR(__xludf.DUMMYFUNCTION("""COMPUTED_VALUE"""),48.0)</f>
        <v>48</v>
      </c>
      <c r="J366" s="55">
        <f>IFERROR(__xludf.DUMMYFUNCTION("""COMPUTED_VALUE"""),22.0)</f>
        <v>22</v>
      </c>
      <c r="K366" s="54">
        <f>IFERROR(__xludf.DUMMYFUNCTION("""COMPUTED_VALUE"""),26.0)</f>
        <v>26</v>
      </c>
      <c r="L366" s="56">
        <f>IFERROR(__xludf.DUMMYFUNCTION("""COMPUTED_VALUE"""),0.4583333333333333)</f>
        <v>0.4583333333</v>
      </c>
      <c r="M366" s="56">
        <f>IFERROR(__xludf.DUMMYFUNCTION("""COMPUTED_VALUE"""),0.3181818181818181)</f>
        <v>0.3181818182</v>
      </c>
      <c r="N366" s="31">
        <f>IFERROR(__xludf.DUMMYFUNCTION("""COMPUTED_VALUE"""),426.5)</f>
        <v>426.5</v>
      </c>
      <c r="O366" s="57">
        <f>IFERROR(__xludf.DUMMYFUNCTION("""COMPUTED_VALUE"""),1.0208333333333333)</f>
        <v>1.020833333</v>
      </c>
      <c r="P366" s="57">
        <f>IFERROR(__xludf.DUMMYFUNCTION("""COMPUTED_VALUE"""),0.75)</f>
        <v>0.75</v>
      </c>
      <c r="Q366" s="57">
        <f>IFERROR(__xludf.DUMMYFUNCTION("""COMPUTED_VALUE"""),1.5833333333333333)</f>
        <v>1.583333333</v>
      </c>
      <c r="R366" s="57">
        <f>IFERROR(__xludf.DUMMYFUNCTION("""COMPUTED_VALUE"""),3.2083333333333335)</f>
        <v>3.208333333</v>
      </c>
      <c r="S366" s="31">
        <f>IFERROR(__xludf.DUMMYFUNCTION("""COMPUTED_VALUE"""),412.5208333333333)</f>
        <v>412.5208333</v>
      </c>
      <c r="T366" s="57">
        <f>IFERROR(__xludf.DUMMYFUNCTION("""COMPUTED_VALUE"""),0.9583333333333338)</f>
        <v>0.9583333333</v>
      </c>
      <c r="U366" s="57">
        <f>IFERROR(__xludf.DUMMYFUNCTION("""COMPUTED_VALUE"""),0.6944444444444442)</f>
        <v>0.6944444444</v>
      </c>
      <c r="V366" s="57">
        <f>IFERROR(__xludf.DUMMYFUNCTION("""COMPUTED_VALUE"""),1.5416666666666667)</f>
        <v>1.541666667</v>
      </c>
      <c r="W366" s="57">
        <f>IFERROR(__xludf.DUMMYFUNCTION("""COMPUTED_VALUE"""),2.9375)</f>
        <v>2.9375</v>
      </c>
      <c r="X366" s="31">
        <f>IFERROR(__xludf.DUMMYFUNCTION("""COMPUTED_VALUE"""),395.3000769403993)</f>
        <v>395.3000769</v>
      </c>
      <c r="Y366" s="57">
        <f>IFERROR(__xludf.DUMMYFUNCTION("""COMPUTED_VALUE"""),0.9354878514525686)</f>
        <v>0.9354878515</v>
      </c>
      <c r="Z366" s="57">
        <f>IFERROR(__xludf.DUMMYFUNCTION("""COMPUTED_VALUE"""),0.7010439980457415)</f>
        <v>0.701043998</v>
      </c>
      <c r="AA366" s="57">
        <f>IFERROR(__xludf.DUMMYFUNCTION("""COMPUTED_VALUE"""),1.4702826997461418)</f>
        <v>1.4702827</v>
      </c>
      <c r="AB366" s="57">
        <f>IFERROR(__xludf.DUMMYFUNCTION("""COMPUTED_VALUE"""),2.9228220147468242)</f>
        <v>2.922822015</v>
      </c>
      <c r="AC366" s="31">
        <f>IFERROR(__xludf.DUMMYFUNCTION("""COMPUTED_VALUE"""),380.4698395719509)</f>
        <v>380.4698396</v>
      </c>
      <c r="AD366" s="57">
        <f>IFERROR(__xludf.DUMMYFUNCTION("""COMPUTED_VALUE"""),0.8384628252880736)</f>
        <v>0.8384628253</v>
      </c>
      <c r="AE366" s="57">
        <f>IFERROR(__xludf.DUMMYFUNCTION("""COMPUTED_VALUE"""),0.6442196030476287)</f>
        <v>0.644219603</v>
      </c>
      <c r="AF366" s="57">
        <f>IFERROR(__xludf.DUMMYFUNCTION("""COMPUTED_VALUE"""),1.486150899981973)</f>
        <v>1.4861509</v>
      </c>
      <c r="AG366" s="57">
        <f>IFERROR(__xludf.DUMMYFUNCTION("""COMPUTED_VALUE"""),2.7569819294332127)</f>
        <v>2.756981929</v>
      </c>
      <c r="AH366" s="57">
        <f>IFERROR(__xludf.DUMMYFUNCTION("""COMPUTED_VALUE"""),1.1209824160565145)</f>
        <v>1.120982416</v>
      </c>
      <c r="AI366" s="57">
        <f>IFERROR(__xludf.DUMMYFUNCTION("""COMPUTED_VALUE"""),1.2175057766963038)</f>
        <v>1.217505777</v>
      </c>
      <c r="AJ366" s="57">
        <f>IFERROR(__xludf.DUMMYFUNCTION("""COMPUTED_VALUE"""),1.164199283058064)</f>
        <v>1.164199283</v>
      </c>
      <c r="AK366" s="57">
        <f>IFERROR(__xludf.DUMMYFUNCTION("""COMPUTED_VALUE"""),1.0653920361334364)</f>
        <v>1.065392036</v>
      </c>
      <c r="AL366" s="57">
        <f>IFERROR(__xludf.DUMMYFUNCTION("""COMPUTED_VALUE"""),1.163712137203928)</f>
        <v>1.163712137</v>
      </c>
      <c r="AM366" s="57">
        <f>IFERROR(__xludf.DUMMYFUNCTION("""COMPUTED_VALUE"""),1.0435637567445513)</f>
        <v>1.043563757</v>
      </c>
      <c r="AN366" s="57">
        <f>IFERROR(__xludf.DUMMYFUNCTION("""COMPUTED_VALUE"""),1.0244209284442252)</f>
        <v>1.024420928</v>
      </c>
      <c r="AO366" s="57">
        <f>IFERROR(__xludf.DUMMYFUNCTION("""COMPUTED_VALUE"""),0.9905861064074517)</f>
        <v>0.9905861064</v>
      </c>
      <c r="AP366" s="35">
        <f>IFERROR(__xludf.DUMMYFUNCTION("""COMPUTED_VALUE"""),1.0485511847026767)</f>
        <v>1.048551185</v>
      </c>
      <c r="AQ366" s="57">
        <f>IFERROR(__xludf.DUMMYFUNCTION("""COMPUTED_VALUE"""),1.0050218539408555)</f>
        <v>1.005021854</v>
      </c>
      <c r="AR366" s="36" t="b">
        <f>IFERROR(__xludf.DUMMYFUNCTION("""COMPUTED_VALUE"""),TRUE)</f>
        <v>1</v>
      </c>
      <c r="AS366" s="57"/>
      <c r="AT366" s="37"/>
      <c r="AU366" s="30"/>
      <c r="AV366" s="30"/>
      <c r="AW366" s="30"/>
      <c r="AX366" s="30"/>
      <c r="AY366" s="30"/>
      <c r="AZ366" s="30"/>
    </row>
    <row r="367">
      <c r="A367" s="30" t="str">
        <f>IFERROR(__xludf.DUMMYFUNCTION("""COMPUTED_VALUE"""),"Master")</f>
        <v>Master</v>
      </c>
      <c r="B367" s="30" t="str">
        <f>IFERROR(__xludf.DUMMYFUNCTION("""COMPUTED_VALUE"""),"RSC005625")</f>
        <v>RSC005625</v>
      </c>
      <c r="C367" s="30" t="str">
        <f>IFERROR(__xludf.DUMMYFUNCTION("""COMPUTED_VALUE"""),"aspect of hope")</f>
        <v>aspect of hope</v>
      </c>
      <c r="D367" s="31" t="str">
        <f>IFERROR(__xludf.DUMMYFUNCTION("""COMPUTED_VALUE"""),"Spectres")</f>
        <v>Spectres</v>
      </c>
      <c r="E367" s="31">
        <f>IFERROR(__xludf.DUMMYFUNCTION("""COMPUTED_VALUE"""),71.69515001542034)</f>
        <v>71.69515002</v>
      </c>
      <c r="F367" s="31">
        <f>IFERROR(__xludf.DUMMYFUNCTION("""COMPUTED_VALUE"""),5.188060116889355)</f>
        <v>5.188060117</v>
      </c>
      <c r="G367" s="31">
        <f>IFERROR(__xludf.DUMMYFUNCTION("""COMPUTED_VALUE"""),52.60565979137735)</f>
        <v>52.60565979</v>
      </c>
      <c r="H367" s="31">
        <f>IFERROR(__xludf.DUMMYFUNCTION("""COMPUTED_VALUE"""),2.1810496025045025)</f>
        <v>2.181049603</v>
      </c>
      <c r="I367" s="54">
        <f>IFERROR(__xludf.DUMMYFUNCTION("""COMPUTED_VALUE"""),35.0)</f>
        <v>35</v>
      </c>
      <c r="J367" s="55">
        <f>IFERROR(__xludf.DUMMYFUNCTION("""COMPUTED_VALUE"""),12.0)</f>
        <v>12</v>
      </c>
      <c r="K367" s="54">
        <f>IFERROR(__xludf.DUMMYFUNCTION("""COMPUTED_VALUE"""),23.0)</f>
        <v>23</v>
      </c>
      <c r="L367" s="56">
        <f>IFERROR(__xludf.DUMMYFUNCTION("""COMPUTED_VALUE"""),0.34285714285714286)</f>
        <v>0.3428571429</v>
      </c>
      <c r="M367" s="56">
        <f>IFERROR(__xludf.DUMMYFUNCTION("""COMPUTED_VALUE"""),0.3619047619047619)</f>
        <v>0.3619047619</v>
      </c>
      <c r="N367" s="31">
        <f>IFERROR(__xludf.DUMMYFUNCTION("""COMPUTED_VALUE"""),396.22857142857146)</f>
        <v>396.2285714</v>
      </c>
      <c r="O367" s="57">
        <f>IFERROR(__xludf.DUMMYFUNCTION("""COMPUTED_VALUE"""),1.0857142857142856)</f>
        <v>1.085714286</v>
      </c>
      <c r="P367" s="57">
        <f>IFERROR(__xludf.DUMMYFUNCTION("""COMPUTED_VALUE"""),0.8857142857142857)</f>
        <v>0.8857142857</v>
      </c>
      <c r="Q367" s="57">
        <f>IFERROR(__xludf.DUMMYFUNCTION("""COMPUTED_VALUE"""),1.2857142857142858)</f>
        <v>1.285714286</v>
      </c>
      <c r="R367" s="57">
        <f>IFERROR(__xludf.DUMMYFUNCTION("""COMPUTED_VALUE"""),3.0)</f>
        <v>3</v>
      </c>
      <c r="S367" s="31">
        <f>IFERROR(__xludf.DUMMYFUNCTION("""COMPUTED_VALUE"""),418.61904761904765)</f>
        <v>418.6190476</v>
      </c>
      <c r="T367" s="57">
        <f>IFERROR(__xludf.DUMMYFUNCTION("""COMPUTED_VALUE"""),1.095238095238095)</f>
        <v>1.095238095</v>
      </c>
      <c r="U367" s="57">
        <f>IFERROR(__xludf.DUMMYFUNCTION("""COMPUTED_VALUE"""),0.8666666666666665)</f>
        <v>0.8666666667</v>
      </c>
      <c r="V367" s="57">
        <f>IFERROR(__xludf.DUMMYFUNCTION("""COMPUTED_VALUE"""),1.5047619047619052)</f>
        <v>1.504761905</v>
      </c>
      <c r="W367" s="57">
        <f>IFERROR(__xludf.DUMMYFUNCTION("""COMPUTED_VALUE"""),3.019047619047619)</f>
        <v>3.019047619</v>
      </c>
      <c r="X367" s="31">
        <f>IFERROR(__xludf.DUMMYFUNCTION("""COMPUTED_VALUE"""),389.5817945185855)</f>
        <v>389.5817945</v>
      </c>
      <c r="Y367" s="57">
        <f>IFERROR(__xludf.DUMMYFUNCTION("""COMPUTED_VALUE"""),0.8904070637053875)</f>
        <v>0.8904070637</v>
      </c>
      <c r="Z367" s="57">
        <f>IFERROR(__xludf.DUMMYFUNCTION("""COMPUTED_VALUE"""),0.672480794129561)</f>
        <v>0.6724807941</v>
      </c>
      <c r="AA367" s="57">
        <f>IFERROR(__xludf.DUMMYFUNCTION("""COMPUTED_VALUE"""),1.4660744398267227)</f>
        <v>1.46607444</v>
      </c>
      <c r="AB367" s="57">
        <f>IFERROR(__xludf.DUMMYFUNCTION("""COMPUTED_VALUE"""),2.8769685755789336)</f>
        <v>2.876968576</v>
      </c>
      <c r="AC367" s="31">
        <f>IFERROR(__xludf.DUMMYFUNCTION("""COMPUTED_VALUE"""),380.15031080832165)</f>
        <v>380.1503108</v>
      </c>
      <c r="AD367" s="57">
        <f>IFERROR(__xludf.DUMMYFUNCTION("""COMPUTED_VALUE"""),0.8470025343476538)</f>
        <v>0.8470025343</v>
      </c>
      <c r="AE367" s="57">
        <f>IFERROR(__xludf.DUMMYFUNCTION("""COMPUTED_VALUE"""),0.6598052554942062)</f>
        <v>0.6598052555</v>
      </c>
      <c r="AF367" s="57">
        <f>IFERROR(__xludf.DUMMYFUNCTION("""COMPUTED_VALUE"""),1.4686623846228448)</f>
        <v>1.468662385</v>
      </c>
      <c r="AG367" s="57">
        <f>IFERROR(__xludf.DUMMYFUNCTION("""COMPUTED_VALUE"""),2.770828140290778)</f>
        <v>2.77082814</v>
      </c>
      <c r="AH367" s="57">
        <f>IFERROR(__xludf.DUMMYFUNCTION("""COMPUTED_VALUE"""),1.0422944823747804)</f>
        <v>1.042294482</v>
      </c>
      <c r="AI367" s="57">
        <f>IFERROR(__xludf.DUMMYFUNCTION("""COMPUTED_VALUE"""),1.281831212642691)</f>
        <v>1.281831213</v>
      </c>
      <c r="AJ367" s="57">
        <f>IFERROR(__xludf.DUMMYFUNCTION("""COMPUTED_VALUE"""),1.34238743680644)</f>
        <v>1.342387437</v>
      </c>
      <c r="AK367" s="57">
        <f>IFERROR(__xludf.DUMMYFUNCTION("""COMPUTED_VALUE"""),0.8754321613843603)</f>
        <v>0.8754321614</v>
      </c>
      <c r="AL367" s="57">
        <f>IFERROR(__xludf.DUMMYFUNCTION("""COMPUTED_VALUE"""),1.0827087961093005)</f>
        <v>1.082708796</v>
      </c>
      <c r="AM367" s="57">
        <f>IFERROR(__xludf.DUMMYFUNCTION("""COMPUTED_VALUE"""),1.0745344200088818)</f>
        <v>1.07453442</v>
      </c>
      <c r="AN367" s="57">
        <f>IFERROR(__xludf.DUMMYFUNCTION("""COMPUTED_VALUE"""),1.230042010988)</f>
        <v>1.230042011</v>
      </c>
      <c r="AO367" s="57">
        <f>IFERROR(__xludf.DUMMYFUNCTION("""COMPUTED_VALUE"""),1.2887604735068365)</f>
        <v>1.288760474</v>
      </c>
      <c r="AP367" s="35">
        <f>IFERROR(__xludf.DUMMYFUNCTION("""COMPUTED_VALUE"""),1.0263884724296504)</f>
        <v>1.026388472</v>
      </c>
      <c r="AQ367" s="57">
        <f>IFERROR(__xludf.DUMMYFUNCTION("""COMPUTED_VALUE"""),1.0493849827470203)</f>
        <v>1.049384983</v>
      </c>
      <c r="AR367" s="36" t="b">
        <f>IFERROR(__xludf.DUMMYFUNCTION("""COMPUTED_VALUE"""),TRUE)</f>
        <v>1</v>
      </c>
      <c r="AS367" s="57"/>
      <c r="AT367" s="37"/>
      <c r="AU367" s="30"/>
      <c r="AV367" s="30"/>
      <c r="AW367" s="30"/>
      <c r="AX367" s="30"/>
      <c r="AY367" s="30"/>
      <c r="AZ367" s="30"/>
    </row>
    <row r="368">
      <c r="A368" s="30" t="str">
        <f>IFERROR(__xludf.DUMMYFUNCTION("""COMPUTED_VALUE"""),"Master")</f>
        <v>Master</v>
      </c>
      <c r="B368" s="30" t="str">
        <f>IFERROR(__xludf.DUMMYFUNCTION("""COMPUTED_VALUE"""),"RSC004132")</f>
        <v>RSC004132</v>
      </c>
      <c r="C368" s="30" t="str">
        <f>IFERROR(__xludf.DUMMYFUNCTION("""COMPUTED_VALUE"""),"Rob Belichick")</f>
        <v>Rob Belichick</v>
      </c>
      <c r="D368" s="31" t="str">
        <f>IFERROR(__xludf.DUMMYFUNCTION("""COMPUTED_VALUE"""),"Battle Masters")</f>
        <v>Battle Masters</v>
      </c>
      <c r="E368" s="31">
        <f>IFERROR(__xludf.DUMMYFUNCTION("""COMPUTED_VALUE"""),70.24906753717505)</f>
        <v>70.24906754</v>
      </c>
      <c r="F368" s="31">
        <f>IFERROR(__xludf.DUMMYFUNCTION("""COMPUTED_VALUE"""),4.78512843791923)</f>
        <v>4.785128438</v>
      </c>
      <c r="G368" s="31">
        <f>IFERROR(__xludf.DUMMYFUNCTION("""COMPUTED_VALUE"""),51.47346547605003)</f>
        <v>51.47346548</v>
      </c>
      <c r="H368" s="31">
        <f>IFERROR(__xludf.DUMMYFUNCTION("""COMPUTED_VALUE"""),2.0986336890454624)</f>
        <v>2.098633689</v>
      </c>
      <c r="I368" s="54">
        <f>IFERROR(__xludf.DUMMYFUNCTION("""COMPUTED_VALUE"""),11.0)</f>
        <v>11</v>
      </c>
      <c r="J368" s="55">
        <f>IFERROR(__xludf.DUMMYFUNCTION("""COMPUTED_VALUE"""),7.0)</f>
        <v>7</v>
      </c>
      <c r="K368" s="54">
        <f>IFERROR(__xludf.DUMMYFUNCTION("""COMPUTED_VALUE"""),4.0)</f>
        <v>4</v>
      </c>
      <c r="L368" s="56">
        <f>IFERROR(__xludf.DUMMYFUNCTION("""COMPUTED_VALUE"""),0.6363636363636364)</f>
        <v>0.6363636364</v>
      </c>
      <c r="M368" s="56">
        <f>IFERROR(__xludf.DUMMYFUNCTION("""COMPUTED_VALUE"""),0.4482758620689656)</f>
        <v>0.4482758621</v>
      </c>
      <c r="N368" s="31">
        <f>IFERROR(__xludf.DUMMYFUNCTION("""COMPUTED_VALUE"""),424.27272727272725)</f>
        <v>424.2727273</v>
      </c>
      <c r="O368" s="57">
        <f>IFERROR(__xludf.DUMMYFUNCTION("""COMPUTED_VALUE"""),1.1818181818181819)</f>
        <v>1.181818182</v>
      </c>
      <c r="P368" s="57">
        <f>IFERROR(__xludf.DUMMYFUNCTION("""COMPUTED_VALUE"""),0.8181818181818182)</f>
        <v>0.8181818182</v>
      </c>
      <c r="Q368" s="57">
        <f>IFERROR(__xludf.DUMMYFUNCTION("""COMPUTED_VALUE"""),1.2727272727272727)</f>
        <v>1.272727273</v>
      </c>
      <c r="R368" s="57">
        <f>IFERROR(__xludf.DUMMYFUNCTION("""COMPUTED_VALUE"""),2.6363636363636362)</f>
        <v>2.636363636</v>
      </c>
      <c r="S368" s="31">
        <f>IFERROR(__xludf.DUMMYFUNCTION("""COMPUTED_VALUE"""),392.1515151515152)</f>
        <v>392.1515152</v>
      </c>
      <c r="T368" s="57">
        <f>IFERROR(__xludf.DUMMYFUNCTION("""COMPUTED_VALUE"""),0.9090909090909091)</f>
        <v>0.9090909091</v>
      </c>
      <c r="U368" s="57">
        <f>IFERROR(__xludf.DUMMYFUNCTION("""COMPUTED_VALUE"""),0.7272727272727273)</f>
        <v>0.7272727273</v>
      </c>
      <c r="V368" s="57">
        <f>IFERROR(__xludf.DUMMYFUNCTION("""COMPUTED_VALUE"""),1.212121212121212)</f>
        <v>1.212121212</v>
      </c>
      <c r="W368" s="57">
        <f>IFERROR(__xludf.DUMMYFUNCTION("""COMPUTED_VALUE"""),3.060606060606061)</f>
        <v>3.060606061</v>
      </c>
      <c r="X368" s="31">
        <f>IFERROR(__xludf.DUMMYFUNCTION("""COMPUTED_VALUE"""),383.9182298769096)</f>
        <v>383.9182299</v>
      </c>
      <c r="Y368" s="57">
        <f>IFERROR(__xludf.DUMMYFUNCTION("""COMPUTED_VALUE"""),0.8267231028789996)</f>
        <v>0.8267231029</v>
      </c>
      <c r="Z368" s="57">
        <f>IFERROR(__xludf.DUMMYFUNCTION("""COMPUTED_VALUE"""),0.6740602816296178)</f>
        <v>0.6740602816</v>
      </c>
      <c r="AA368" s="57">
        <f>IFERROR(__xludf.DUMMYFUNCTION("""COMPUTED_VALUE"""),1.4888522578735817)</f>
        <v>1.488852258</v>
      </c>
      <c r="AB368" s="57">
        <f>IFERROR(__xludf.DUMMYFUNCTION("""COMPUTED_VALUE"""),2.701681210323568)</f>
        <v>2.70168121</v>
      </c>
      <c r="AC368" s="31">
        <f>IFERROR(__xludf.DUMMYFUNCTION("""COMPUTED_VALUE"""),402.42238233172156)</f>
        <v>402.4223823</v>
      </c>
      <c r="AD368" s="57">
        <f>IFERROR(__xludf.DUMMYFUNCTION("""COMPUTED_VALUE"""),0.933491603945025)</f>
        <v>0.9334916039</v>
      </c>
      <c r="AE368" s="57">
        <f>IFERROR(__xludf.DUMMYFUNCTION("""COMPUTED_VALUE"""),0.7025303214340066)</f>
        <v>0.7025303214</v>
      </c>
      <c r="AF368" s="57">
        <f>IFERROR(__xludf.DUMMYFUNCTION("""COMPUTED_VALUE"""),1.4925580137761978)</f>
        <v>1.492558014</v>
      </c>
      <c r="AG368" s="57">
        <f>IFERROR(__xludf.DUMMYFUNCTION("""COMPUTED_VALUE"""),2.9455194608970277)</f>
        <v>2.945519461</v>
      </c>
      <c r="AH368" s="57">
        <f>IFERROR(__xludf.DUMMYFUNCTION("""COMPUTED_VALUE"""),1.054297041865316)</f>
        <v>1.054297042</v>
      </c>
      <c r="AI368" s="57">
        <f>IFERROR(__xludf.DUMMYFUNCTION("""COMPUTED_VALUE"""),1.2660190802185098)</f>
        <v>1.26601908</v>
      </c>
      <c r="AJ368" s="57">
        <f>IFERROR(__xludf.DUMMYFUNCTION("""COMPUTED_VALUE"""),1.1646213597040815)</f>
        <v>1.16462136</v>
      </c>
      <c r="AK368" s="57">
        <f>IFERROR(__xludf.DUMMYFUNCTION("""COMPUTED_VALUE"""),0.8527154462205797)</f>
        <v>0.8527154462</v>
      </c>
      <c r="AL368" s="57">
        <f>IFERROR(__xludf.DUMMYFUNCTION("""COMPUTED_VALUE"""),0.8950420023912382)</f>
        <v>0.8950420024</v>
      </c>
      <c r="AM368" s="57">
        <f>IFERROR(__xludf.DUMMYFUNCTION("""COMPUTED_VALUE"""),1.0214454137206386)</f>
        <v>1.021445414</v>
      </c>
      <c r="AN368" s="57">
        <f>IFERROR(__xludf.DUMMYFUNCTION("""COMPUTED_VALUE"""),1.099631673440684)</f>
        <v>1.099631673</v>
      </c>
      <c r="AO368" s="57">
        <f>IFERROR(__xludf.DUMMYFUNCTION("""COMPUTED_VALUE"""),1.078943155520842)</f>
        <v>1.078943156</v>
      </c>
      <c r="AP368" s="35">
        <f>IFERROR(__xludf.DUMMYFUNCTION("""COMPUTED_VALUE"""),0.8141312918800927)</f>
        <v>0.8141312919</v>
      </c>
      <c r="AQ368" s="57">
        <f>IFERROR(__xludf.DUMMYFUNCTION("""COMPUTED_VALUE"""),1.1328524064611998)</f>
        <v>1.132852406</v>
      </c>
      <c r="AR368" s="36" t="b">
        <f>IFERROR(__xludf.DUMMYFUNCTION("""COMPUTED_VALUE"""),TRUE)</f>
        <v>1</v>
      </c>
      <c r="AS368" s="57"/>
      <c r="AT368" s="37"/>
      <c r="AU368" s="30"/>
      <c r="AV368" s="30"/>
      <c r="AW368" s="30"/>
      <c r="AX368" s="30"/>
      <c r="AY368" s="30"/>
      <c r="AZ368" s="30"/>
    </row>
    <row r="369">
      <c r="A369" s="30" t="str">
        <f>IFERROR(__xludf.DUMMYFUNCTION("""COMPUTED_VALUE"""),"Master")</f>
        <v>Master</v>
      </c>
      <c r="B369" s="30" t="str">
        <f>IFERROR(__xludf.DUMMYFUNCTION("""COMPUTED_VALUE"""),"RSC000381")</f>
        <v>RSC000381</v>
      </c>
      <c r="C369" s="30" t="str">
        <f>IFERROR(__xludf.DUMMYFUNCTION("""COMPUTED_VALUE"""),"Noriko")</f>
        <v>Noriko</v>
      </c>
      <c r="D369" s="31" t="str">
        <f>IFERROR(__xludf.DUMMYFUNCTION("""COMPUTED_VALUE"""),"Andromeda")</f>
        <v>Andromeda</v>
      </c>
      <c r="E369" s="31">
        <f>IFERROR(__xludf.DUMMYFUNCTION("""COMPUTED_VALUE"""),66.88593751854214)</f>
        <v>66.88593752</v>
      </c>
      <c r="F369" s="31">
        <f>IFERROR(__xludf.DUMMYFUNCTION("""COMPUTED_VALUE"""),4.004823034547806)</f>
        <v>4.004823035</v>
      </c>
      <c r="G369" s="31">
        <f>IFERROR(__xludf.DUMMYFUNCTION("""COMPUTED_VALUE"""),68.62712909420806)</f>
        <v>68.62712909</v>
      </c>
      <c r="H369" s="31">
        <f>IFERROR(__xludf.DUMMYFUNCTION("""COMPUTED_VALUE"""),4.383847615232878)</f>
        <v>4.383847615</v>
      </c>
      <c r="I369" s="54">
        <f>IFERROR(__xludf.DUMMYFUNCTION("""COMPUTED_VALUE"""),28.0)</f>
        <v>28</v>
      </c>
      <c r="J369" s="55">
        <f>IFERROR(__xludf.DUMMYFUNCTION("""COMPUTED_VALUE"""),16.0)</f>
        <v>16</v>
      </c>
      <c r="K369" s="54">
        <f>IFERROR(__xludf.DUMMYFUNCTION("""COMPUTED_VALUE"""),12.0)</f>
        <v>12</v>
      </c>
      <c r="L369" s="56">
        <f>IFERROR(__xludf.DUMMYFUNCTION("""COMPUTED_VALUE"""),0.5714285714285714)</f>
        <v>0.5714285714</v>
      </c>
      <c r="M369" s="56">
        <f>IFERROR(__xludf.DUMMYFUNCTION("""COMPUTED_VALUE"""),0.4177215189873418)</f>
        <v>0.417721519</v>
      </c>
      <c r="N369" s="31">
        <f>IFERROR(__xludf.DUMMYFUNCTION("""COMPUTED_VALUE"""),443.0357142857143)</f>
        <v>443.0357143</v>
      </c>
      <c r="O369" s="57">
        <f>IFERROR(__xludf.DUMMYFUNCTION("""COMPUTED_VALUE"""),1.1785714285714286)</f>
        <v>1.178571429</v>
      </c>
      <c r="P369" s="57">
        <f>IFERROR(__xludf.DUMMYFUNCTION("""COMPUTED_VALUE"""),0.6428571428571429)</f>
        <v>0.6428571429</v>
      </c>
      <c r="Q369" s="57">
        <f>IFERROR(__xludf.DUMMYFUNCTION("""COMPUTED_VALUE"""),1.5357142857142858)</f>
        <v>1.535714286</v>
      </c>
      <c r="R369" s="57">
        <f>IFERROR(__xludf.DUMMYFUNCTION("""COMPUTED_VALUE"""),2.8214285714285716)</f>
        <v>2.821428571</v>
      </c>
      <c r="S369" s="31">
        <f>IFERROR(__xludf.DUMMYFUNCTION("""COMPUTED_VALUE"""),364.2976190476191)</f>
        <v>364.297619</v>
      </c>
      <c r="T369" s="57">
        <f>IFERROR(__xludf.DUMMYFUNCTION("""COMPUTED_VALUE"""),0.7857142857142856)</f>
        <v>0.7857142857</v>
      </c>
      <c r="U369" s="57">
        <f>IFERROR(__xludf.DUMMYFUNCTION("""COMPUTED_VALUE"""),0.6071428571428571)</f>
        <v>0.6071428571</v>
      </c>
      <c r="V369" s="57">
        <f>IFERROR(__xludf.DUMMYFUNCTION("""COMPUTED_VALUE"""),1.4166666666666665)</f>
        <v>1.416666667</v>
      </c>
      <c r="W369" s="57">
        <f>IFERROR(__xludf.DUMMYFUNCTION("""COMPUTED_VALUE"""),2.678571428571428)</f>
        <v>2.678571429</v>
      </c>
      <c r="X369" s="31">
        <f>IFERROR(__xludf.DUMMYFUNCTION("""COMPUTED_VALUE"""),376.63253135797686)</f>
        <v>376.6325314</v>
      </c>
      <c r="Y369" s="57">
        <f>IFERROR(__xludf.DUMMYFUNCTION("""COMPUTED_VALUE"""),0.8282678666200791)</f>
        <v>0.8282678666</v>
      </c>
      <c r="Z369" s="57">
        <f>IFERROR(__xludf.DUMMYFUNCTION("""COMPUTED_VALUE"""),0.621300459468934)</f>
        <v>0.6213004595</v>
      </c>
      <c r="AA369" s="57">
        <f>IFERROR(__xludf.DUMMYFUNCTION("""COMPUTED_VALUE"""),1.5040818196815564)</f>
        <v>1.50408182</v>
      </c>
      <c r="AB369" s="57">
        <f>IFERROR(__xludf.DUMMYFUNCTION("""COMPUTED_VALUE"""),2.68835614548447)</f>
        <v>2.688356145</v>
      </c>
      <c r="AC369" s="31">
        <f>IFERROR(__xludf.DUMMYFUNCTION("""COMPUTED_VALUE"""),399.4521161865451)</f>
        <v>399.4521162</v>
      </c>
      <c r="AD369" s="57">
        <f>IFERROR(__xludf.DUMMYFUNCTION("""COMPUTED_VALUE"""),0.9811014835692591)</f>
        <v>0.9811014836</v>
      </c>
      <c r="AE369" s="57">
        <f>IFERROR(__xludf.DUMMYFUNCTION("""COMPUTED_VALUE"""),0.7655362379043025)</f>
        <v>0.7655362379</v>
      </c>
      <c r="AF369" s="57">
        <f>IFERROR(__xludf.DUMMYFUNCTION("""COMPUTED_VALUE"""),1.4370587782263544)</f>
        <v>1.437058778</v>
      </c>
      <c r="AG369" s="57">
        <f>IFERROR(__xludf.DUMMYFUNCTION("""COMPUTED_VALUE"""),3.0178171025044445)</f>
        <v>3.017817103</v>
      </c>
      <c r="AH369" s="57">
        <f>IFERROR(__xludf.DUMMYFUNCTION("""COMPUTED_VALUE"""),1.109108442121297)</f>
        <v>1.109108442</v>
      </c>
      <c r="AI369" s="57">
        <f>IFERROR(__xludf.DUMMYFUNCTION("""COMPUTED_VALUE"""),1.2012737197010155)</f>
        <v>1.20127372</v>
      </c>
      <c r="AJ369" s="57">
        <f>IFERROR(__xludf.DUMMYFUNCTION("""COMPUTED_VALUE"""),0.8397475011986365)</f>
        <v>0.8397475012</v>
      </c>
      <c r="AK369" s="57">
        <f>IFERROR(__xludf.DUMMYFUNCTION("""COMPUTED_VALUE"""),1.0686509897734968)</f>
        <v>1.06865099</v>
      </c>
      <c r="AL369" s="57">
        <f>IFERROR(__xludf.DUMMYFUNCTION("""COMPUTED_VALUE"""),0.9349236469920948)</f>
        <v>0.934923647</v>
      </c>
      <c r="AM369" s="57">
        <f>IFERROR(__xludf.DUMMYFUNCTION("""COMPUTED_VALUE"""),0.9672494771869989)</f>
        <v>0.9672494772</v>
      </c>
      <c r="AN369" s="57">
        <f>IFERROR(__xludf.DUMMYFUNCTION("""COMPUTED_VALUE"""),0.9486234072082956)</f>
        <v>0.9486234072</v>
      </c>
      <c r="AO369" s="57">
        <f>IFERROR(__xludf.DUMMYFUNCTION("""COMPUTED_VALUE"""),0.9772129537161806)</f>
        <v>0.9772129537</v>
      </c>
      <c r="AP369" s="35">
        <f>IFERROR(__xludf.DUMMYFUNCTION("""COMPUTED_VALUE"""),0.9418813844625837)</f>
        <v>0.9418813845</v>
      </c>
      <c r="AQ369" s="57">
        <f>IFERROR(__xludf.DUMMYFUNCTION("""COMPUTED_VALUE"""),0.9963603345749122)</f>
        <v>0.9963603346</v>
      </c>
      <c r="AR369" s="36" t="b">
        <f>IFERROR(__xludf.DUMMYFUNCTION("""COMPUTED_VALUE"""),TRUE)</f>
        <v>1</v>
      </c>
      <c r="AS369" s="57"/>
      <c r="AT369" s="37"/>
      <c r="AU369" s="30"/>
      <c r="AV369" s="30"/>
      <c r="AW369" s="30"/>
      <c r="AX369" s="30"/>
      <c r="AY369" s="30"/>
      <c r="AZ369" s="30"/>
    </row>
    <row r="370">
      <c r="A370" s="30" t="str">
        <f>IFERROR(__xludf.DUMMYFUNCTION("""COMPUTED_VALUE"""),"Master")</f>
        <v>Master</v>
      </c>
      <c r="B370" s="30" t="str">
        <f>IFERROR(__xludf.DUMMYFUNCTION("""COMPUTED_VALUE"""),"RSC006481")</f>
        <v>RSC006481</v>
      </c>
      <c r="C370" s="30" t="str">
        <f>IFERROR(__xludf.DUMMYFUNCTION("""COMPUTED_VALUE"""),"Mixsta.")</f>
        <v>Mixsta.</v>
      </c>
      <c r="D370" s="31" t="str">
        <f>IFERROR(__xludf.DUMMYFUNCTION("""COMPUTED_VALUE"""),"Phantom Phreaks")</f>
        <v>Phantom Phreaks</v>
      </c>
      <c r="E370" s="31">
        <f>IFERROR(__xludf.DUMMYFUNCTION("""COMPUTED_VALUE"""),66.68257598017152)</f>
        <v>66.68257598</v>
      </c>
      <c r="F370" s="31">
        <f>IFERROR(__xludf.DUMMYFUNCTION("""COMPUTED_VALUE"""),3.9637036877269054)</f>
        <v>3.963703688</v>
      </c>
      <c r="G370" s="31">
        <f>IFERROR(__xludf.DUMMYFUNCTION("""COMPUTED_VALUE"""),48.55907033086866)</f>
        <v>48.55907033</v>
      </c>
      <c r="H370" s="31">
        <f>IFERROR(__xludf.DUMMYFUNCTION("""COMPUTED_VALUE"""),-2.096353373293514)</f>
        <v>-2.096353373</v>
      </c>
      <c r="I370" s="54">
        <f>IFERROR(__xludf.DUMMYFUNCTION("""COMPUTED_VALUE"""),24.0)</f>
        <v>24</v>
      </c>
      <c r="J370" s="55">
        <f>IFERROR(__xludf.DUMMYFUNCTION("""COMPUTED_VALUE"""),16.0)</f>
        <v>16</v>
      </c>
      <c r="K370" s="54">
        <f>IFERROR(__xludf.DUMMYFUNCTION("""COMPUTED_VALUE"""),8.0)</f>
        <v>8</v>
      </c>
      <c r="L370" s="56">
        <f>IFERROR(__xludf.DUMMYFUNCTION("""COMPUTED_VALUE"""),0.6666666666666666)</f>
        <v>0.6666666667</v>
      </c>
      <c r="M370" s="56">
        <f>IFERROR(__xludf.DUMMYFUNCTION("""COMPUTED_VALUE"""),0.23255813953488372)</f>
        <v>0.2325581395</v>
      </c>
      <c r="N370" s="31">
        <f>IFERROR(__xludf.DUMMYFUNCTION("""COMPUTED_VALUE"""),387.7083333333333)</f>
        <v>387.7083333</v>
      </c>
      <c r="O370" s="57">
        <f>IFERROR(__xludf.DUMMYFUNCTION("""COMPUTED_VALUE"""),0.8333333333333334)</f>
        <v>0.8333333333</v>
      </c>
      <c r="P370" s="57">
        <f>IFERROR(__xludf.DUMMYFUNCTION("""COMPUTED_VALUE"""),0.7916666666666666)</f>
        <v>0.7916666667</v>
      </c>
      <c r="Q370" s="57">
        <f>IFERROR(__xludf.DUMMYFUNCTION("""COMPUTED_VALUE"""),1.2083333333333333)</f>
        <v>1.208333333</v>
      </c>
      <c r="R370" s="57">
        <f>IFERROR(__xludf.DUMMYFUNCTION("""COMPUTED_VALUE"""),3.5833333333333335)</f>
        <v>3.583333333</v>
      </c>
      <c r="S370" s="31">
        <f>IFERROR(__xludf.DUMMYFUNCTION("""COMPUTED_VALUE"""),396.3333333333333)</f>
        <v>396.3333333</v>
      </c>
      <c r="T370" s="57">
        <f>IFERROR(__xludf.DUMMYFUNCTION("""COMPUTED_VALUE"""),0.6805555555555557)</f>
        <v>0.6805555556</v>
      </c>
      <c r="U370" s="57">
        <f>IFERROR(__xludf.DUMMYFUNCTION("""COMPUTED_VALUE"""),0.4861111111111111)</f>
        <v>0.4861111111</v>
      </c>
      <c r="V370" s="57">
        <f>IFERROR(__xludf.DUMMYFUNCTION("""COMPUTED_VALUE"""),1.9444444444444446)</f>
        <v>1.944444444</v>
      </c>
      <c r="W370" s="57">
        <f>IFERROR(__xludf.DUMMYFUNCTION("""COMPUTED_VALUE"""),2.597222222222222)</f>
        <v>2.597222222</v>
      </c>
      <c r="X370" s="31">
        <f>IFERROR(__xludf.DUMMYFUNCTION("""COMPUTED_VALUE"""),376.0266652996797)</f>
        <v>376.0266653</v>
      </c>
      <c r="Y370" s="57">
        <f>IFERROR(__xludf.DUMMYFUNCTION("""COMPUTED_VALUE"""),0.7929020204730914)</f>
        <v>0.7929020205</v>
      </c>
      <c r="Z370" s="57">
        <f>IFERROR(__xludf.DUMMYFUNCTION("""COMPUTED_VALUE"""),0.6436071243040336)</f>
        <v>0.6436071243</v>
      </c>
      <c r="AA370" s="57">
        <f>IFERROR(__xludf.DUMMYFUNCTION("""COMPUTED_VALUE"""),1.5083237743814903)</f>
        <v>1.508323774</v>
      </c>
      <c r="AB370" s="57">
        <f>IFERROR(__xludf.DUMMYFUNCTION("""COMPUTED_VALUE"""),2.68509031718072)</f>
        <v>2.685090317</v>
      </c>
      <c r="AC370" s="31">
        <f>IFERROR(__xludf.DUMMYFUNCTION("""COMPUTED_VALUE"""),392.7653038792551)</f>
        <v>392.7653039</v>
      </c>
      <c r="AD370" s="57">
        <f>IFERROR(__xludf.DUMMYFUNCTION("""COMPUTED_VALUE"""),0.8968231535187946)</f>
        <v>0.8968231535</v>
      </c>
      <c r="AE370" s="57">
        <f>IFERROR(__xludf.DUMMYFUNCTION("""COMPUTED_VALUE"""),0.6853352029048702)</f>
        <v>0.6853352029</v>
      </c>
      <c r="AF370" s="57">
        <f>IFERROR(__xludf.DUMMYFUNCTION("""COMPUTED_VALUE"""),1.4796293259350708)</f>
        <v>1.479629326</v>
      </c>
      <c r="AG370" s="57">
        <f>IFERROR(__xludf.DUMMYFUNCTION("""COMPUTED_VALUE"""),2.9209233578815295)</f>
        <v>2.920923358</v>
      </c>
      <c r="AH370" s="57">
        <f>IFERROR(__xludf.DUMMYFUNCTION("""COMPUTED_VALUE"""),0.9871247014540867)</f>
        <v>0.9871247015</v>
      </c>
      <c r="AI370" s="57">
        <f>IFERROR(__xludf.DUMMYFUNCTION("""COMPUTED_VALUE"""),0.9292058641256626)</f>
        <v>0.9292058641</v>
      </c>
      <c r="AJ370" s="57">
        <f>IFERROR(__xludf.DUMMYFUNCTION("""COMPUTED_VALUE"""),1.155152490797348)</f>
        <v>1.155152491</v>
      </c>
      <c r="AK370" s="57">
        <f>IFERROR(__xludf.DUMMYFUNCTION("""COMPUTED_VALUE"""),0.8166459748759788)</f>
        <v>0.8166459749</v>
      </c>
      <c r="AL370" s="57">
        <f>IFERROR(__xludf.DUMMYFUNCTION("""COMPUTED_VALUE"""),1.226781018976216)</f>
        <v>1.226781019</v>
      </c>
      <c r="AM370" s="57">
        <f>IFERROR(__xludf.DUMMYFUNCTION("""COMPUTED_VALUE"""),1.0540032660116536)</f>
        <v>1.054003266</v>
      </c>
      <c r="AN370" s="57">
        <f>IFERROR(__xludf.DUMMYFUNCTION("""COMPUTED_VALUE"""),0.8583097759663882)</f>
        <v>0.858309776</v>
      </c>
      <c r="AO370" s="57">
        <f>IFERROR(__xludf.DUMMYFUNCTION("""COMPUTED_VALUE"""),0.7552916876685739)</f>
        <v>0.7552916877</v>
      </c>
      <c r="AP370" s="35">
        <f>IFERROR(__xludf.DUMMYFUNCTION("""COMPUTED_VALUE"""),1.289142608152412)</f>
        <v>1.289142608</v>
      </c>
      <c r="AQ370" s="57">
        <f>IFERROR(__xludf.DUMMYFUNCTION("""COMPUTED_VALUE"""),0.9672755533040104)</f>
        <v>0.9672755533</v>
      </c>
      <c r="AR370" s="36" t="b">
        <f>IFERROR(__xludf.DUMMYFUNCTION("""COMPUTED_VALUE"""),TRUE)</f>
        <v>1</v>
      </c>
      <c r="AS370" s="57"/>
      <c r="AT370" s="37"/>
      <c r="AU370" s="30"/>
      <c r="AV370" s="30"/>
      <c r="AW370" s="30"/>
      <c r="AX370" s="30"/>
      <c r="AY370" s="30"/>
      <c r="AZ370" s="30"/>
    </row>
    <row r="371">
      <c r="A371" s="30" t="str">
        <f>IFERROR(__xludf.DUMMYFUNCTION("""COMPUTED_VALUE"""),"Master")</f>
        <v>Master</v>
      </c>
      <c r="B371" s="30" t="str">
        <f>IFERROR(__xludf.DUMMYFUNCTION("""COMPUTED_VALUE"""),"RSC007174")</f>
        <v>RSC007174</v>
      </c>
      <c r="C371" s="30" t="str">
        <f>IFERROR(__xludf.DUMMYFUNCTION("""COMPUTED_VALUE"""),"LMNS")</f>
        <v>LMNS</v>
      </c>
      <c r="D371" s="31" t="str">
        <f>IFERROR(__xludf.DUMMYFUNCTION("""COMPUTED_VALUE"""),"Care Bears")</f>
        <v>Care Bears</v>
      </c>
      <c r="E371" s="31">
        <f>IFERROR(__xludf.DUMMYFUNCTION("""COMPUTED_VALUE"""),65.61031371174526)</f>
        <v>65.61031371</v>
      </c>
      <c r="F371" s="31">
        <f>IFERROR(__xludf.DUMMYFUNCTION("""COMPUTED_VALUE"""),3.7568796483292886)</f>
        <v>3.756879648</v>
      </c>
      <c r="G371" s="31">
        <f>IFERROR(__xludf.DUMMYFUNCTION("""COMPUTED_VALUE"""),52.01226373242911)</f>
        <v>52.01226373</v>
      </c>
      <c r="H371" s="31">
        <f>IFERROR(__xludf.DUMMYFUNCTION("""COMPUTED_VALUE"""),2.137101213932574)</f>
        <v>2.137101214</v>
      </c>
      <c r="I371" s="54">
        <f>IFERROR(__xludf.DUMMYFUNCTION("""COMPUTED_VALUE"""),16.0)</f>
        <v>16</v>
      </c>
      <c r="J371" s="55">
        <f>IFERROR(__xludf.DUMMYFUNCTION("""COMPUTED_VALUE"""),10.0)</f>
        <v>10</v>
      </c>
      <c r="K371" s="54">
        <f>IFERROR(__xludf.DUMMYFUNCTION("""COMPUTED_VALUE"""),6.0)</f>
        <v>6</v>
      </c>
      <c r="L371" s="56">
        <f>IFERROR(__xludf.DUMMYFUNCTION("""COMPUTED_VALUE"""),0.625)</f>
        <v>0.625</v>
      </c>
      <c r="M371" s="56">
        <f>IFERROR(__xludf.DUMMYFUNCTION("""COMPUTED_VALUE"""),0.22033898305084745)</f>
        <v>0.2203389831</v>
      </c>
      <c r="N371" s="31">
        <f>IFERROR(__xludf.DUMMYFUNCTION("""COMPUTED_VALUE"""),374.4375)</f>
        <v>374.4375</v>
      </c>
      <c r="O371" s="57">
        <f>IFERROR(__xludf.DUMMYFUNCTION("""COMPUTED_VALUE"""),0.8125)</f>
        <v>0.8125</v>
      </c>
      <c r="P371" s="57">
        <f>IFERROR(__xludf.DUMMYFUNCTION("""COMPUTED_VALUE"""),0.6875)</f>
        <v>0.6875</v>
      </c>
      <c r="Q371" s="57">
        <f>IFERROR(__xludf.DUMMYFUNCTION("""COMPUTED_VALUE"""),1.375)</f>
        <v>1.375</v>
      </c>
      <c r="R371" s="57">
        <f>IFERROR(__xludf.DUMMYFUNCTION("""COMPUTED_VALUE"""),3.6875)</f>
        <v>3.6875</v>
      </c>
      <c r="S371" s="31">
        <f>IFERROR(__xludf.DUMMYFUNCTION("""COMPUTED_VALUE"""),364.75000000000006)</f>
        <v>364.75</v>
      </c>
      <c r="T371" s="57">
        <f>IFERROR(__xludf.DUMMYFUNCTION("""COMPUTED_VALUE"""),0.7083333333333334)</f>
        <v>0.7083333333</v>
      </c>
      <c r="U371" s="57">
        <f>IFERROR(__xludf.DUMMYFUNCTION("""COMPUTED_VALUE"""),0.5416666666666666)</f>
        <v>0.5416666667</v>
      </c>
      <c r="V371" s="57">
        <f>IFERROR(__xludf.DUMMYFUNCTION("""COMPUTED_VALUE"""),1.6250000000000002)</f>
        <v>1.625</v>
      </c>
      <c r="W371" s="57">
        <f>IFERROR(__xludf.DUMMYFUNCTION("""COMPUTED_VALUE"""),2.5625000000000004)</f>
        <v>2.5625</v>
      </c>
      <c r="X371" s="31">
        <f>IFERROR(__xludf.DUMMYFUNCTION("""COMPUTED_VALUE"""),395.7884780218213)</f>
        <v>395.788478</v>
      </c>
      <c r="Y371" s="57">
        <f>IFERROR(__xludf.DUMMYFUNCTION("""COMPUTED_VALUE"""),0.8643821157111422)</f>
        <v>0.8643821157</v>
      </c>
      <c r="Z371" s="57">
        <f>IFERROR(__xludf.DUMMYFUNCTION("""COMPUTED_VALUE"""),0.7267769863599748)</f>
        <v>0.7267769864</v>
      </c>
      <c r="AA371" s="57">
        <f>IFERROR(__xludf.DUMMYFUNCTION("""COMPUTED_VALUE"""),1.6144745473428104)</f>
        <v>1.614474547</v>
      </c>
      <c r="AB371" s="57">
        <f>IFERROR(__xludf.DUMMYFUNCTION("""COMPUTED_VALUE"""),2.7394682852793037)</f>
        <v>2.739468285</v>
      </c>
      <c r="AC371" s="31">
        <f>IFERROR(__xludf.DUMMYFUNCTION("""COMPUTED_VALUE"""),373.2922800471038)</f>
        <v>373.29228</v>
      </c>
      <c r="AD371" s="57">
        <f>IFERROR(__xludf.DUMMYFUNCTION("""COMPUTED_VALUE"""),0.8157435191475108)</f>
        <v>0.8157435191</v>
      </c>
      <c r="AE371" s="57">
        <f>IFERROR(__xludf.DUMMYFUNCTION("""COMPUTED_VALUE"""),0.640639401614153)</f>
        <v>0.6406394016</v>
      </c>
      <c r="AF371" s="57">
        <f>IFERROR(__xludf.DUMMYFUNCTION("""COMPUTED_VALUE"""),1.4016764624545348)</f>
        <v>1.401676462</v>
      </c>
      <c r="AG371" s="57">
        <f>IFERROR(__xludf.DUMMYFUNCTION("""COMPUTED_VALUE"""),2.951930685942149)</f>
        <v>2.951930686</v>
      </c>
      <c r="AH371" s="57">
        <f>IFERROR(__xludf.DUMMYFUNCTION("""COMPUTED_VALUE"""),1.0030678908032913)</f>
        <v>1.003067891</v>
      </c>
      <c r="AI371" s="57">
        <f>IFERROR(__xludf.DUMMYFUNCTION("""COMPUTED_VALUE"""),0.9960238493210459)</f>
        <v>0.9960238493</v>
      </c>
      <c r="AJ371" s="57">
        <f>IFERROR(__xludf.DUMMYFUNCTION("""COMPUTED_VALUE"""),1.073146606761584)</f>
        <v>1.073146607</v>
      </c>
      <c r="AK371" s="57">
        <f>IFERROR(__xludf.DUMMYFUNCTION("""COMPUTED_VALUE"""),0.9809681740622079)</f>
        <v>0.9809681741</v>
      </c>
      <c r="AL371" s="57">
        <f>IFERROR(__xludf.DUMMYFUNCTION("""COMPUTED_VALUE"""),1.2491824477996116)</f>
        <v>1.249182448</v>
      </c>
      <c r="AM371" s="57">
        <f>IFERROR(__xludf.DUMMYFUNCTION("""COMPUTED_VALUE"""),0.9215781162277544)</f>
        <v>0.9215781162</v>
      </c>
      <c r="AN371" s="57">
        <f>IFERROR(__xludf.DUMMYFUNCTION("""COMPUTED_VALUE"""),0.819467826159933)</f>
        <v>0.8194678262</v>
      </c>
      <c r="AO371" s="57">
        <f>IFERROR(__xludf.DUMMYFUNCTION("""COMPUTED_VALUE"""),0.7452996955497674)</f>
        <v>0.7452996955</v>
      </c>
      <c r="AP371" s="35">
        <f>IFERROR(__xludf.DUMMYFUNCTION("""COMPUTED_VALUE"""),1.0065194292932726)</f>
        <v>1.006519429</v>
      </c>
      <c r="AQ371" s="57">
        <f>IFERROR(__xludf.DUMMYFUNCTION("""COMPUTED_VALUE"""),0.935400498618563)</f>
        <v>0.9354004986</v>
      </c>
      <c r="AR371" s="36" t="b">
        <f>IFERROR(__xludf.DUMMYFUNCTION("""COMPUTED_VALUE"""),TRUE)</f>
        <v>1</v>
      </c>
      <c r="AS371" s="57"/>
      <c r="AT371" s="37"/>
      <c r="AU371" s="30"/>
      <c r="AV371" s="30"/>
      <c r="AW371" s="30"/>
      <c r="AX371" s="30"/>
      <c r="AY371" s="30"/>
      <c r="AZ371" s="30"/>
    </row>
    <row r="372">
      <c r="A372" s="30" t="str">
        <f>IFERROR(__xludf.DUMMYFUNCTION("""COMPUTED_VALUE"""),"Master")</f>
        <v>Master</v>
      </c>
      <c r="B372" s="30" t="str">
        <f>IFERROR(__xludf.DUMMYFUNCTION("""COMPUTED_VALUE"""),"RSC002620")</f>
        <v>RSC002620</v>
      </c>
      <c r="C372" s="30" t="str">
        <f>IFERROR(__xludf.DUMMYFUNCTION("""COMPUTED_VALUE"""),"Instnt")</f>
        <v>Instnt</v>
      </c>
      <c r="D372" s="31" t="str">
        <f>IFERROR(__xludf.DUMMYFUNCTION("""COMPUTED_VALUE"""),"Tempests")</f>
        <v>Tempests</v>
      </c>
      <c r="E372" s="31">
        <f>IFERROR(__xludf.DUMMYFUNCTION("""COMPUTED_VALUE"""),63.61607024234434)</f>
        <v>63.61607024</v>
      </c>
      <c r="F372" s="31">
        <f>IFERROR(__xludf.DUMMYFUNCTION("""COMPUTED_VALUE"""),3.41297391032384)</f>
        <v>3.41297391</v>
      </c>
      <c r="G372" s="31">
        <f>IFERROR(__xludf.DUMMYFUNCTION("""COMPUTED_VALUE"""),80.47810780768737)</f>
        <v>80.47810781</v>
      </c>
      <c r="H372" s="31">
        <f>IFERROR(__xludf.DUMMYFUNCTION("""COMPUTED_VALUE"""),8.976781012131578)</f>
        <v>8.976781012</v>
      </c>
      <c r="I372" s="54">
        <f>IFERROR(__xludf.DUMMYFUNCTION("""COMPUTED_VALUE"""),6.0)</f>
        <v>6</v>
      </c>
      <c r="J372" s="55">
        <f>IFERROR(__xludf.DUMMYFUNCTION("""COMPUTED_VALUE"""),1.0)</f>
        <v>1</v>
      </c>
      <c r="K372" s="54">
        <f>IFERROR(__xludf.DUMMYFUNCTION("""COMPUTED_VALUE"""),5.0)</f>
        <v>5</v>
      </c>
      <c r="L372" s="56">
        <f>IFERROR(__xludf.DUMMYFUNCTION("""COMPUTED_VALUE"""),0.16666666666666666)</f>
        <v>0.1666666667</v>
      </c>
      <c r="M372" s="56">
        <f>IFERROR(__xludf.DUMMYFUNCTION("""COMPUTED_VALUE"""),0.27272727272727276)</f>
        <v>0.2727272727</v>
      </c>
      <c r="N372" s="31">
        <f>IFERROR(__xludf.DUMMYFUNCTION("""COMPUTED_VALUE"""),415.0)</f>
        <v>415</v>
      </c>
      <c r="O372" s="57">
        <f>IFERROR(__xludf.DUMMYFUNCTION("""COMPUTED_VALUE"""),1.0)</f>
        <v>1</v>
      </c>
      <c r="P372" s="57">
        <f>IFERROR(__xludf.DUMMYFUNCTION("""COMPUTED_VALUE"""),0.5)</f>
        <v>0.5</v>
      </c>
      <c r="Q372" s="57">
        <f>IFERROR(__xludf.DUMMYFUNCTION("""COMPUTED_VALUE"""),1.5)</f>
        <v>1.5</v>
      </c>
      <c r="R372" s="57">
        <f>IFERROR(__xludf.DUMMYFUNCTION("""COMPUTED_VALUE"""),3.6666666666666665)</f>
        <v>3.666666667</v>
      </c>
      <c r="S372" s="31">
        <f>IFERROR(__xludf.DUMMYFUNCTION("""COMPUTED_VALUE"""),393.2777777777778)</f>
        <v>393.2777778</v>
      </c>
      <c r="T372" s="57">
        <f>IFERROR(__xludf.DUMMYFUNCTION("""COMPUTED_VALUE"""),1.1666666666666667)</f>
        <v>1.166666667</v>
      </c>
      <c r="U372" s="57">
        <f>IFERROR(__xludf.DUMMYFUNCTION("""COMPUTED_VALUE"""),0.8333333333333334)</f>
        <v>0.8333333333</v>
      </c>
      <c r="V372" s="57">
        <f>IFERROR(__xludf.DUMMYFUNCTION("""COMPUTED_VALUE"""),1.3333333333333333)</f>
        <v>1.333333333</v>
      </c>
      <c r="W372" s="57">
        <f>IFERROR(__xludf.DUMMYFUNCTION("""COMPUTED_VALUE"""),2.444444444444444)</f>
        <v>2.444444444</v>
      </c>
      <c r="X372" s="31">
        <f>IFERROR(__xludf.DUMMYFUNCTION("""COMPUTED_VALUE"""),384.471836959337)</f>
        <v>384.471837</v>
      </c>
      <c r="Y372" s="57">
        <f>IFERROR(__xludf.DUMMYFUNCTION("""COMPUTED_VALUE"""),0.8888673055339723)</f>
        <v>0.8888673055</v>
      </c>
      <c r="Z372" s="57">
        <f>IFERROR(__xludf.DUMMYFUNCTION("""COMPUTED_VALUE"""),0.8013079513079512)</f>
        <v>0.8013079513</v>
      </c>
      <c r="AA372" s="57">
        <f>IFERROR(__xludf.DUMMYFUNCTION("""COMPUTED_VALUE"""),1.457039411206078)</f>
        <v>1.457039411</v>
      </c>
      <c r="AB372" s="57">
        <f>IFERROR(__xludf.DUMMYFUNCTION("""COMPUTED_VALUE"""),2.8414249330916)</f>
        <v>2.841424933</v>
      </c>
      <c r="AC372" s="31">
        <f>IFERROR(__xludf.DUMMYFUNCTION("""COMPUTED_VALUE"""),369.54577894787116)</f>
        <v>369.5457789</v>
      </c>
      <c r="AD372" s="57">
        <f>IFERROR(__xludf.DUMMYFUNCTION("""COMPUTED_VALUE"""),0.8178885784559543)</f>
        <v>0.8178885785</v>
      </c>
      <c r="AE372" s="57">
        <f>IFERROR(__xludf.DUMMYFUNCTION("""COMPUTED_VALUE"""),0.599845977505552)</f>
        <v>0.5998459775</v>
      </c>
      <c r="AF372" s="57">
        <f>IFERROR(__xludf.DUMMYFUNCTION("""COMPUTED_VALUE"""),1.4037705661819135)</f>
        <v>1.403770566</v>
      </c>
      <c r="AG372" s="57">
        <f>IFERROR(__xludf.DUMMYFUNCTION("""COMPUTED_VALUE"""),2.650797573847219)</f>
        <v>2.650797574</v>
      </c>
      <c r="AH372" s="57">
        <f>IFERROR(__xludf.DUMMYFUNCTION("""COMPUTED_VALUE"""),1.1230002441958367)</f>
        <v>1.123000244</v>
      </c>
      <c r="AI372" s="57">
        <f>IFERROR(__xludf.DUMMYFUNCTION("""COMPUTED_VALUE"""),1.2226604287442717)</f>
        <v>1.222660429</v>
      </c>
      <c r="AJ372" s="57">
        <f>IFERROR(__xludf.DUMMYFUNCTION("""COMPUTED_VALUE"""),0.8335473083927984)</f>
        <v>0.8335473084</v>
      </c>
      <c r="AK372" s="57">
        <f>IFERROR(__xludf.DUMMYFUNCTION("""COMPUTED_VALUE"""),1.0685506849454887)</f>
        <v>1.068550685</v>
      </c>
      <c r="AL372" s="57">
        <f>IFERROR(__xludf.DUMMYFUNCTION("""COMPUTED_VALUE"""),1.383231485814691)</f>
        <v>1.383231486</v>
      </c>
      <c r="AM372" s="57">
        <f>IFERROR(__xludf.DUMMYFUNCTION("""COMPUTED_VALUE"""),1.0229039944462102)</f>
        <v>1.022903994</v>
      </c>
      <c r="AN372" s="57">
        <f>IFERROR(__xludf.DUMMYFUNCTION("""COMPUTED_VALUE"""),1.312531869946337)</f>
        <v>1.31253187</v>
      </c>
      <c r="AO372" s="57">
        <f>IFERROR(__xludf.DUMMYFUNCTION("""COMPUTED_VALUE"""),1.0399663849249319)</f>
        <v>1.039966385</v>
      </c>
      <c r="AP372" s="35">
        <f>IFERROR(__xludf.DUMMYFUNCTION("""COMPUTED_VALUE"""),0.9150976446338223)</f>
        <v>0.9150976446</v>
      </c>
      <c r="AQ372" s="57">
        <f>IFERROR(__xludf.DUMMYFUNCTION("""COMPUTED_VALUE"""),0.8602882363620203)</f>
        <v>0.8602882364</v>
      </c>
      <c r="AR372" s="36" t="b">
        <f>IFERROR(__xludf.DUMMYFUNCTION("""COMPUTED_VALUE"""),TRUE)</f>
        <v>1</v>
      </c>
      <c r="AS372" s="57"/>
      <c r="AT372" s="37"/>
      <c r="AU372" s="30"/>
      <c r="AV372" s="30"/>
      <c r="AW372" s="30"/>
      <c r="AX372" s="30"/>
      <c r="AY372" s="30"/>
      <c r="AZ372" s="30"/>
    </row>
    <row r="373">
      <c r="A373" s="30" t="str">
        <f>IFERROR(__xludf.DUMMYFUNCTION("""COMPUTED_VALUE"""),"Master")</f>
        <v>Master</v>
      </c>
      <c r="B373" s="30" t="str">
        <f>IFERROR(__xludf.DUMMYFUNCTION("""COMPUTED_VALUE"""),"RSC004131")</f>
        <v>RSC004131</v>
      </c>
      <c r="C373" s="30" t="str">
        <f>IFERROR(__xludf.DUMMYFUNCTION("""COMPUTED_VALUE"""),"Poptart Pounder")</f>
        <v>Poptart Pounder</v>
      </c>
      <c r="D373" s="31"/>
      <c r="E373" s="31">
        <f>IFERROR(__xludf.DUMMYFUNCTION("""COMPUTED_VALUE"""),63.55798519596749)</f>
        <v>63.5579852</v>
      </c>
      <c r="F373" s="31">
        <f>IFERROR(__xludf.DUMMYFUNCTION("""COMPUTED_VALUE"""),3.403684728362091)</f>
        <v>3.403684728</v>
      </c>
      <c r="G373" s="31">
        <f>IFERROR(__xludf.DUMMYFUNCTION("""COMPUTED_VALUE"""),73.2604246442427)</f>
        <v>73.26042464</v>
      </c>
      <c r="H373" s="31">
        <f>IFERROR(__xludf.DUMMYFUNCTION("""COMPUTED_VALUE"""),5.679313679579149)</f>
        <v>5.67931368</v>
      </c>
      <c r="I373" s="54">
        <f>IFERROR(__xludf.DUMMYFUNCTION("""COMPUTED_VALUE"""),4.0)</f>
        <v>4</v>
      </c>
      <c r="J373" s="55">
        <f>IFERROR(__xludf.DUMMYFUNCTION("""COMPUTED_VALUE"""),1.0)</f>
        <v>1</v>
      </c>
      <c r="K373" s="54">
        <f>IFERROR(__xludf.DUMMYFUNCTION("""COMPUTED_VALUE"""),3.0)</f>
        <v>3</v>
      </c>
      <c r="L373" s="56">
        <f>IFERROR(__xludf.DUMMYFUNCTION("""COMPUTED_VALUE"""),0.25)</f>
        <v>0.25</v>
      </c>
      <c r="M373" s="56">
        <f>IFERROR(__xludf.DUMMYFUNCTION("""COMPUTED_VALUE"""),0.5555555555555556)</f>
        <v>0.5555555556</v>
      </c>
      <c r="N373" s="31">
        <f>IFERROR(__xludf.DUMMYFUNCTION("""COMPUTED_VALUE"""),394.0)</f>
        <v>394</v>
      </c>
      <c r="O373" s="57">
        <f>IFERROR(__xludf.DUMMYFUNCTION("""COMPUTED_VALUE"""),1.25)</f>
        <v>1.25</v>
      </c>
      <c r="P373" s="57">
        <f>IFERROR(__xludf.DUMMYFUNCTION("""COMPUTED_VALUE"""),0.75)</f>
        <v>0.75</v>
      </c>
      <c r="Q373" s="57">
        <f>IFERROR(__xludf.DUMMYFUNCTION("""COMPUTED_VALUE"""),0.75)</f>
        <v>0.75</v>
      </c>
      <c r="R373" s="57">
        <f>IFERROR(__xludf.DUMMYFUNCTION("""COMPUTED_VALUE"""),2.25)</f>
        <v>2.25</v>
      </c>
      <c r="S373" s="31">
        <f>IFERROR(__xludf.DUMMYFUNCTION("""COMPUTED_VALUE"""),366.5)</f>
        <v>366.5</v>
      </c>
      <c r="T373" s="57">
        <f>IFERROR(__xludf.DUMMYFUNCTION("""COMPUTED_VALUE"""),0.9166666666666665)</f>
        <v>0.9166666667</v>
      </c>
      <c r="U373" s="57">
        <f>IFERROR(__xludf.DUMMYFUNCTION("""COMPUTED_VALUE"""),0.75)</f>
        <v>0.75</v>
      </c>
      <c r="V373" s="57">
        <f>IFERROR(__xludf.DUMMYFUNCTION("""COMPUTED_VALUE"""),1.25)</f>
        <v>1.25</v>
      </c>
      <c r="W373" s="57">
        <f>IFERROR(__xludf.DUMMYFUNCTION("""COMPUTED_VALUE"""),2.0)</f>
        <v>2</v>
      </c>
      <c r="X373" s="31">
        <f>IFERROR(__xludf.DUMMYFUNCTION("""COMPUTED_VALUE"""),366.86499493414385)</f>
        <v>366.8649949</v>
      </c>
      <c r="Y373" s="57">
        <f>IFERROR(__xludf.DUMMYFUNCTION("""COMPUTED_VALUE"""),0.8297619047619048)</f>
        <v>0.8297619048</v>
      </c>
      <c r="Z373" s="57">
        <f>IFERROR(__xludf.DUMMYFUNCTION("""COMPUTED_VALUE"""),0.686676798378926)</f>
        <v>0.6866767984</v>
      </c>
      <c r="AA373" s="57">
        <f>IFERROR(__xludf.DUMMYFUNCTION("""COMPUTED_VALUE"""),1.3678318135764946)</f>
        <v>1.367831814</v>
      </c>
      <c r="AB373" s="57">
        <f>IFERROR(__xludf.DUMMYFUNCTION("""COMPUTED_VALUE"""),2.499062816616008)</f>
        <v>2.499062817</v>
      </c>
      <c r="AC373" s="31">
        <f>IFERROR(__xludf.DUMMYFUNCTION("""COMPUTED_VALUE"""),399.0497298210064)</f>
        <v>399.0497298</v>
      </c>
      <c r="AD373" s="57">
        <f>IFERROR(__xludf.DUMMYFUNCTION("""COMPUTED_VALUE"""),1.0140070921985815)</f>
        <v>1.014007092</v>
      </c>
      <c r="AE373" s="57">
        <f>IFERROR(__xludf.DUMMYFUNCTION("""COMPUTED_VALUE"""),0.7760216143194868)</f>
        <v>0.7760216143</v>
      </c>
      <c r="AF373" s="57">
        <f>IFERROR(__xludf.DUMMYFUNCTION("""COMPUTED_VALUE"""),1.2880445795339412)</f>
        <v>1.28804458</v>
      </c>
      <c r="AG373" s="57">
        <f>IFERROR(__xludf.DUMMYFUNCTION("""COMPUTED_VALUE"""),3.0752617359000336)</f>
        <v>3.075261736</v>
      </c>
      <c r="AH373" s="57">
        <f>IFERROR(__xludf.DUMMYFUNCTION("""COMPUTED_VALUE"""),0.9873456127303445)</f>
        <v>0.9873456127</v>
      </c>
      <c r="AI373" s="57">
        <f>IFERROR(__xludf.DUMMYFUNCTION("""COMPUTED_VALUE"""),1.232732995278895)</f>
        <v>1.232732995</v>
      </c>
      <c r="AJ373" s="57">
        <f>IFERROR(__xludf.DUMMYFUNCTION("""COMPUTED_VALUE"""),0.9664679258421097)</f>
        <v>0.9664679258</v>
      </c>
      <c r="AK373" s="57">
        <f>IFERROR(__xludf.DUMMYFUNCTION("""COMPUTED_VALUE"""),0.5822779831668371)</f>
        <v>0.5822779832</v>
      </c>
      <c r="AL373" s="57">
        <f>IFERROR(__xludf.DUMMYFUNCTION("""COMPUTED_VALUE"""),0.731645041374501)</f>
        <v>0.7316450414</v>
      </c>
      <c r="AM373" s="57">
        <f>IFERROR(__xludf.DUMMYFUNCTION("""COMPUTED_VALUE"""),0.9990050974086274)</f>
        <v>0.9990050974</v>
      </c>
      <c r="AN373" s="57">
        <f>IFERROR(__xludf.DUMMYFUNCTION("""COMPUTED_VALUE"""),1.104734576757532)</f>
        <v>1.104734577</v>
      </c>
      <c r="AO373" s="57">
        <f>IFERROR(__xludf.DUMMYFUNCTION("""COMPUTED_VALUE"""),1.0922168941350054)</f>
        <v>1.092216894</v>
      </c>
      <c r="AP373" s="35">
        <f>IFERROR(__xludf.DUMMYFUNCTION("""COMPUTED_VALUE"""),0.9138550424058367)</f>
        <v>0.9138550424</v>
      </c>
      <c r="AQ373" s="57">
        <f>IFERROR(__xludf.DUMMYFUNCTION("""COMPUTED_VALUE"""),0.800300011149063)</f>
        <v>0.8003000111</v>
      </c>
      <c r="AR373" s="36" t="b">
        <f>IFERROR(__xludf.DUMMYFUNCTION("""COMPUTED_VALUE"""),TRUE)</f>
        <v>1</v>
      </c>
      <c r="AS373" s="57"/>
      <c r="AT373" s="37"/>
      <c r="AU373" s="30"/>
      <c r="AV373" s="30"/>
      <c r="AW373" s="30"/>
      <c r="AX373" s="30"/>
      <c r="AY373" s="30"/>
      <c r="AZ373" s="30"/>
    </row>
    <row r="374">
      <c r="A374" s="30" t="str">
        <f>IFERROR(__xludf.DUMMYFUNCTION("""COMPUTED_VALUE"""),"Master")</f>
        <v>Master</v>
      </c>
      <c r="B374" s="30" t="str">
        <f>IFERROR(__xludf.DUMMYFUNCTION("""COMPUTED_VALUE"""),"RSC007466")</f>
        <v>RSC007466</v>
      </c>
      <c r="C374" s="30" t="str">
        <f>IFERROR(__xludf.DUMMYFUNCTION("""COMPUTED_VALUE"""),"Viiper :)")</f>
        <v>Viiper :)</v>
      </c>
      <c r="D374" s="31" t="str">
        <f>IFERROR(__xludf.DUMMYFUNCTION("""COMPUTED_VALUE"""),"Phantom Phreaks")</f>
        <v>Phantom Phreaks</v>
      </c>
      <c r="E374" s="31">
        <f>IFERROR(__xludf.DUMMYFUNCTION("""COMPUTED_VALUE"""),63.336944596676204)</f>
        <v>63.3369446</v>
      </c>
      <c r="F374" s="31">
        <f>IFERROR(__xludf.DUMMYFUNCTION("""COMPUTED_VALUE"""),3.3686883592875247)</f>
        <v>3.368688359</v>
      </c>
      <c r="G374" s="31">
        <f>IFERROR(__xludf.DUMMYFUNCTION("""COMPUTED_VALUE"""),59.90747832899674)</f>
        <v>59.90747833</v>
      </c>
      <c r="H374" s="31">
        <f>IFERROR(__xludf.DUMMYFUNCTION("""COMPUTED_VALUE"""),2.8906564397671044)</f>
        <v>2.89065644</v>
      </c>
      <c r="I374" s="54">
        <f>IFERROR(__xludf.DUMMYFUNCTION("""COMPUTED_VALUE"""),36.0)</f>
        <v>36</v>
      </c>
      <c r="J374" s="55">
        <f>IFERROR(__xludf.DUMMYFUNCTION("""COMPUTED_VALUE"""),22.0)</f>
        <v>22</v>
      </c>
      <c r="K374" s="54">
        <f>IFERROR(__xludf.DUMMYFUNCTION("""COMPUTED_VALUE"""),14.0)</f>
        <v>14</v>
      </c>
      <c r="L374" s="56">
        <f>IFERROR(__xludf.DUMMYFUNCTION("""COMPUTED_VALUE"""),0.6111111111111112)</f>
        <v>0.6111111111</v>
      </c>
      <c r="M374" s="56">
        <f>IFERROR(__xludf.DUMMYFUNCTION("""COMPUTED_VALUE"""),0.2521008403361345)</f>
        <v>0.2521008403</v>
      </c>
      <c r="N374" s="31">
        <f>IFERROR(__xludf.DUMMYFUNCTION("""COMPUTED_VALUE"""),395.47222222222223)</f>
        <v>395.4722222</v>
      </c>
      <c r="O374" s="57">
        <f>IFERROR(__xludf.DUMMYFUNCTION("""COMPUTED_VALUE"""),0.8333333333333334)</f>
        <v>0.8333333333</v>
      </c>
      <c r="P374" s="57">
        <f>IFERROR(__xludf.DUMMYFUNCTION("""COMPUTED_VALUE"""),0.7777777777777778)</f>
        <v>0.7777777778</v>
      </c>
      <c r="Q374" s="57">
        <f>IFERROR(__xludf.DUMMYFUNCTION("""COMPUTED_VALUE"""),1.3888888888888888)</f>
        <v>1.388888889</v>
      </c>
      <c r="R374" s="57">
        <f>IFERROR(__xludf.DUMMYFUNCTION("""COMPUTED_VALUE"""),3.3055555555555554)</f>
        <v>3.305555556</v>
      </c>
      <c r="S374" s="31">
        <f>IFERROR(__xludf.DUMMYFUNCTION("""COMPUTED_VALUE"""),386.6944444444445)</f>
        <v>386.6944444</v>
      </c>
      <c r="T374" s="57">
        <f>IFERROR(__xludf.DUMMYFUNCTION("""COMPUTED_VALUE"""),0.8333333333333334)</f>
        <v>0.8333333333</v>
      </c>
      <c r="U374" s="57">
        <f>IFERROR(__xludf.DUMMYFUNCTION("""COMPUTED_VALUE"""),0.675925925925926)</f>
        <v>0.6759259259</v>
      </c>
      <c r="V374" s="57">
        <f>IFERROR(__xludf.DUMMYFUNCTION("""COMPUTED_VALUE"""),1.5648148148148147)</f>
        <v>1.564814815</v>
      </c>
      <c r="W374" s="57">
        <f>IFERROR(__xludf.DUMMYFUNCTION("""COMPUTED_VALUE"""),2.5648148148148153)</f>
        <v>2.564814815</v>
      </c>
      <c r="X374" s="31">
        <f>IFERROR(__xludf.DUMMYFUNCTION("""COMPUTED_VALUE"""),389.1594004345686)</f>
        <v>389.1594004</v>
      </c>
      <c r="Y374" s="57">
        <f>IFERROR(__xludf.DUMMYFUNCTION("""COMPUTED_VALUE"""),0.9025273642235422)</f>
        <v>0.9025273642</v>
      </c>
      <c r="Z374" s="57">
        <f>IFERROR(__xludf.DUMMYFUNCTION("""COMPUTED_VALUE"""),0.6927546752975884)</f>
        <v>0.6927546753</v>
      </c>
      <c r="AA374" s="57">
        <f>IFERROR(__xludf.DUMMYFUNCTION("""COMPUTED_VALUE"""),1.465267933334933)</f>
        <v>1.465267933</v>
      </c>
      <c r="AB374" s="57">
        <f>IFERROR(__xludf.DUMMYFUNCTION("""COMPUTED_VALUE"""),2.8735233268804334)</f>
        <v>2.873523327</v>
      </c>
      <c r="AC374" s="31">
        <f>IFERROR(__xludf.DUMMYFUNCTION("""COMPUTED_VALUE"""),390.8218031095437)</f>
        <v>390.8218031</v>
      </c>
      <c r="AD374" s="57">
        <f>IFERROR(__xludf.DUMMYFUNCTION("""COMPUTED_VALUE"""),0.9036486344877791)</f>
        <v>0.9036486345</v>
      </c>
      <c r="AE374" s="57">
        <f>IFERROR(__xludf.DUMMYFUNCTION("""COMPUTED_VALUE"""),0.6895789832116321)</f>
        <v>0.6895789832</v>
      </c>
      <c r="AF374" s="57">
        <f>IFERROR(__xludf.DUMMYFUNCTION("""COMPUTED_VALUE"""),1.5001461873263482)</f>
        <v>1.500146187</v>
      </c>
      <c r="AG374" s="57">
        <f>IFERROR(__xludf.DUMMYFUNCTION("""COMPUTED_VALUE"""),2.85510046849325)</f>
        <v>2.855100468</v>
      </c>
      <c r="AH374" s="57">
        <f>IFERROR(__xludf.DUMMYFUNCTION("""COMPUTED_VALUE"""),1.0118990779830548)</f>
        <v>1.011899078</v>
      </c>
      <c r="AI374" s="57">
        <f>IFERROR(__xludf.DUMMYFUNCTION("""COMPUTED_VALUE"""),0.92218734309901)</f>
        <v>0.9221873431</v>
      </c>
      <c r="AJ374" s="57">
        <f>IFERROR(__xludf.DUMMYFUNCTION("""COMPUTED_VALUE"""),1.1279023820525536)</f>
        <v>1.127902382</v>
      </c>
      <c r="AK374" s="57">
        <f>IFERROR(__xludf.DUMMYFUNCTION("""COMPUTED_VALUE"""),0.9258356956292714)</f>
        <v>0.9258356956</v>
      </c>
      <c r="AL374" s="57">
        <f>IFERROR(__xludf.DUMMYFUNCTION("""COMPUTED_VALUE"""),1.157772061625568)</f>
        <v>1.157772062</v>
      </c>
      <c r="AM374" s="57">
        <f>IFERROR(__xludf.DUMMYFUNCTION("""COMPUTED_VALUE"""),0.9936659477135293)</f>
        <v>0.9936659477</v>
      </c>
      <c r="AN374" s="57">
        <f>IFERROR(__xludf.DUMMYFUNCTION("""COMPUTED_VALUE"""),0.9233330382733188)</f>
        <v>0.9233330383</v>
      </c>
      <c r="AO374" s="57">
        <f>IFERROR(__xludf.DUMMYFUNCTION("""COMPUTED_VALUE"""),0.9757074907297693)</f>
        <v>0.9757074907</v>
      </c>
      <c r="AP374" s="35">
        <f>IFERROR(__xludf.DUMMYFUNCTION("""COMPUTED_VALUE"""),1.0679376646517569)</f>
        <v>1.067937665</v>
      </c>
      <c r="AQ374" s="57">
        <f>IFERROR(__xludf.DUMMYFUNCTION("""COMPUTED_VALUE"""),0.8925679464030105)</f>
        <v>0.8925679464</v>
      </c>
      <c r="AR374" s="36" t="b">
        <f>IFERROR(__xludf.DUMMYFUNCTION("""COMPUTED_VALUE"""),TRUE)</f>
        <v>1</v>
      </c>
      <c r="AS374" s="57"/>
      <c r="AT374" s="37"/>
      <c r="AU374" s="30"/>
      <c r="AV374" s="30"/>
      <c r="AW374" s="30"/>
      <c r="AX374" s="30"/>
      <c r="AY374" s="30"/>
      <c r="AZ374" s="30"/>
    </row>
    <row r="375">
      <c r="A375" s="30" t="str">
        <f>IFERROR(__xludf.DUMMYFUNCTION("""COMPUTED_VALUE"""),"Master")</f>
        <v>Master</v>
      </c>
      <c r="B375" s="30" t="str">
        <f>IFERROR(__xludf.DUMMYFUNCTION("""COMPUTED_VALUE"""),"RSC006985")</f>
        <v>RSC006985</v>
      </c>
      <c r="C375" s="30" t="str">
        <f>IFERROR(__xludf.DUMMYFUNCTION("""COMPUTED_VALUE"""),"not so jucy skep")</f>
        <v>not so jucy skep</v>
      </c>
      <c r="D375" s="31"/>
      <c r="E375" s="31">
        <f>IFERROR(__xludf.DUMMYFUNCTION("""COMPUTED_VALUE"""),62.70256813176961)</f>
        <v>62.70256813</v>
      </c>
      <c r="F375" s="31">
        <f>IFERROR(__xludf.DUMMYFUNCTION("""COMPUTED_VALUE"""),3.271280928070639)</f>
        <v>3.271280928</v>
      </c>
      <c r="G375" s="31">
        <f>IFERROR(__xludf.DUMMYFUNCTION("""COMPUTED_VALUE"""),59.71975237057364)</f>
        <v>59.71975237</v>
      </c>
      <c r="H375" s="31">
        <f>IFERROR(__xludf.DUMMYFUNCTION("""COMPUTED_VALUE"""),2.867665433033051)</f>
        <v>2.867665433</v>
      </c>
      <c r="I375" s="54">
        <f>IFERROR(__xludf.DUMMYFUNCTION("""COMPUTED_VALUE"""),7.0)</f>
        <v>7</v>
      </c>
      <c r="J375" s="55">
        <f>IFERROR(__xludf.DUMMYFUNCTION("""COMPUTED_VALUE"""),3.0)</f>
        <v>3</v>
      </c>
      <c r="K375" s="54">
        <f>IFERROR(__xludf.DUMMYFUNCTION("""COMPUTED_VALUE"""),4.0)</f>
        <v>4</v>
      </c>
      <c r="L375" s="56">
        <f>IFERROR(__xludf.DUMMYFUNCTION("""COMPUTED_VALUE"""),0.42857142857142855)</f>
        <v>0.4285714286</v>
      </c>
      <c r="M375" s="56">
        <f>IFERROR(__xludf.DUMMYFUNCTION("""COMPUTED_VALUE"""),0.5)</f>
        <v>0.5</v>
      </c>
      <c r="N375" s="31">
        <f>IFERROR(__xludf.DUMMYFUNCTION("""COMPUTED_VALUE"""),412.57142857142856)</f>
        <v>412.5714286</v>
      </c>
      <c r="O375" s="57">
        <f>IFERROR(__xludf.DUMMYFUNCTION("""COMPUTED_VALUE"""),1.2857142857142858)</f>
        <v>1.285714286</v>
      </c>
      <c r="P375" s="57">
        <f>IFERROR(__xludf.DUMMYFUNCTION("""COMPUTED_VALUE"""),0.5714285714285714)</f>
        <v>0.5714285714</v>
      </c>
      <c r="Q375" s="57">
        <f>IFERROR(__xludf.DUMMYFUNCTION("""COMPUTED_VALUE"""),1.5714285714285714)</f>
        <v>1.571428571</v>
      </c>
      <c r="R375" s="57">
        <f>IFERROR(__xludf.DUMMYFUNCTION("""COMPUTED_VALUE"""),2.5714285714285716)</f>
        <v>2.571428571</v>
      </c>
      <c r="S375" s="31">
        <f>IFERROR(__xludf.DUMMYFUNCTION("""COMPUTED_VALUE"""),356.42857142857144)</f>
        <v>356.4285714</v>
      </c>
      <c r="T375" s="57">
        <f>IFERROR(__xludf.DUMMYFUNCTION("""COMPUTED_VALUE"""),0.8095238095238094)</f>
        <v>0.8095238095</v>
      </c>
      <c r="U375" s="57">
        <f>IFERROR(__xludf.DUMMYFUNCTION("""COMPUTED_VALUE"""),0.6666666666666666)</f>
        <v>0.6666666667</v>
      </c>
      <c r="V375" s="57">
        <f>IFERROR(__xludf.DUMMYFUNCTION("""COMPUTED_VALUE"""),1.1904761904761905)</f>
        <v>1.19047619</v>
      </c>
      <c r="W375" s="57">
        <f>IFERROR(__xludf.DUMMYFUNCTION("""COMPUTED_VALUE"""),2.952380952380952)</f>
        <v>2.952380952</v>
      </c>
      <c r="X375" s="31">
        <f>IFERROR(__xludf.DUMMYFUNCTION("""COMPUTED_VALUE"""),375.0123650149945)</f>
        <v>375.012365</v>
      </c>
      <c r="Y375" s="57">
        <f>IFERROR(__xludf.DUMMYFUNCTION("""COMPUTED_VALUE"""),0.8805859102435016)</f>
        <v>0.8805859102</v>
      </c>
      <c r="Z375" s="57">
        <f>IFERROR(__xludf.DUMMYFUNCTION("""COMPUTED_VALUE"""),0.6757070873360229)</f>
        <v>0.6757070873</v>
      </c>
      <c r="AA375" s="57">
        <f>IFERROR(__xludf.DUMMYFUNCTION("""COMPUTED_VALUE"""),1.4394175878418292)</f>
        <v>1.439417588</v>
      </c>
      <c r="AB375" s="57">
        <f>IFERROR(__xludf.DUMMYFUNCTION("""COMPUTED_VALUE"""),2.7796946115939565)</f>
        <v>2.779694612</v>
      </c>
      <c r="AC375" s="31">
        <f>IFERROR(__xludf.DUMMYFUNCTION("""COMPUTED_VALUE"""),407.97003343615506)</f>
        <v>407.9700334</v>
      </c>
      <c r="AD375" s="57">
        <f>IFERROR(__xludf.DUMMYFUNCTION("""COMPUTED_VALUE"""),1.0078246028329858)</f>
        <v>1.007824603</v>
      </c>
      <c r="AE375" s="57">
        <f>IFERROR(__xludf.DUMMYFUNCTION("""COMPUTED_VALUE"""),0.7895865648259628)</f>
        <v>0.7895865648</v>
      </c>
      <c r="AF375" s="57">
        <f>IFERROR(__xludf.DUMMYFUNCTION("""COMPUTED_VALUE"""),1.504878454916512)</f>
        <v>1.504878455</v>
      </c>
      <c r="AG375" s="57">
        <f>IFERROR(__xludf.DUMMYFUNCTION("""COMPUTED_VALUE"""),2.932845811045414)</f>
        <v>2.932845811</v>
      </c>
      <c r="AH375" s="57">
        <f>IFERROR(__xludf.DUMMYFUNCTION("""COMPUTED_VALUE"""),1.0112787576492273)</f>
        <v>1.011278758</v>
      </c>
      <c r="AI375" s="57">
        <f>IFERROR(__xludf.DUMMYFUNCTION("""COMPUTED_VALUE"""),1.2757321880217596)</f>
        <v>1.275732188</v>
      </c>
      <c r="AJ375" s="57">
        <f>IFERROR(__xludf.DUMMYFUNCTION("""COMPUTED_VALUE"""),0.7237060467898453)</f>
        <v>0.7237060468</v>
      </c>
      <c r="AK375" s="57">
        <f>IFERROR(__xludf.DUMMYFUNCTION("""COMPUTED_VALUE"""),1.0442229180002125)</f>
        <v>1.044222918</v>
      </c>
      <c r="AL375" s="57">
        <f>IFERROR(__xludf.DUMMYFUNCTION("""COMPUTED_VALUE"""),0.8767690963310427)</f>
        <v>0.8767690963</v>
      </c>
      <c r="AM375" s="57">
        <f>IFERROR(__xludf.DUMMYFUNCTION("""COMPUTED_VALUE"""),0.9504448511032964)</f>
        <v>0.9504448511</v>
      </c>
      <c r="AN375" s="57">
        <f>IFERROR(__xludf.DUMMYFUNCTION("""COMPUTED_VALUE"""),0.919301342557205)</f>
        <v>0.9193013426</v>
      </c>
      <c r="AO375" s="57">
        <f>IFERROR(__xludf.DUMMYFUNCTION("""COMPUTED_VALUE"""),0.9866207993984522)</f>
        <v>0.9866207994</v>
      </c>
      <c r="AP375" s="35">
        <f>IFERROR(__xludf.DUMMYFUNCTION("""COMPUTED_VALUE"""),0.8270540811309068)</f>
        <v>0.8270540811</v>
      </c>
      <c r="AQ375" s="57">
        <f>IFERROR(__xludf.DUMMYFUNCTION("""COMPUTED_VALUE"""),1.0621242132379327)</f>
        <v>1.062124213</v>
      </c>
      <c r="AR375" s="36" t="b">
        <f>IFERROR(__xludf.DUMMYFUNCTION("""COMPUTED_VALUE"""),TRUE)</f>
        <v>1</v>
      </c>
      <c r="AS375" s="57"/>
      <c r="AT375" s="37"/>
      <c r="AU375" s="30"/>
      <c r="AV375" s="30"/>
      <c r="AW375" s="30"/>
      <c r="AX375" s="30"/>
      <c r="AY375" s="30"/>
      <c r="AZ375" s="30"/>
    </row>
    <row r="376">
      <c r="A376" s="30" t="str">
        <f>IFERROR(__xludf.DUMMYFUNCTION("""COMPUTED_VALUE"""),"Master")</f>
        <v>Master</v>
      </c>
      <c r="B376" s="30" t="str">
        <f>IFERROR(__xludf.DUMMYFUNCTION("""COMPUTED_VALUE"""),"RSC000330")</f>
        <v>RSC000330</v>
      </c>
      <c r="C376" s="30" t="str">
        <f>IFERROR(__xludf.DUMMYFUNCTION("""COMPUTED_VALUE"""),"Infinite")</f>
        <v>Infinite</v>
      </c>
      <c r="D376" s="31" t="str">
        <f>IFERROR(__xludf.DUMMYFUNCTION("""COMPUTED_VALUE"""),"Oblivion")</f>
        <v>Oblivion</v>
      </c>
      <c r="E376" s="31">
        <f>IFERROR(__xludf.DUMMYFUNCTION("""COMPUTED_VALUE"""),62.2423390056189)</f>
        <v>62.24233901</v>
      </c>
      <c r="F376" s="31">
        <f>IFERROR(__xludf.DUMMYFUNCTION("""COMPUTED_VALUE"""),3.203327568094915)</f>
        <v>3.203327568</v>
      </c>
      <c r="G376" s="31">
        <f>IFERROR(__xludf.DUMMYFUNCTION("""COMPUTED_VALUE"""),55.4663772719487)</f>
        <v>55.46637727</v>
      </c>
      <c r="H376" s="31">
        <f>IFERROR(__xludf.DUMMYFUNCTION("""COMPUTED_VALUE"""),2.418617351486395)</f>
        <v>2.418617351</v>
      </c>
      <c r="I376" s="54">
        <f>IFERROR(__xludf.DUMMYFUNCTION("""COMPUTED_VALUE"""),44.0)</f>
        <v>44</v>
      </c>
      <c r="J376" s="55">
        <f>IFERROR(__xludf.DUMMYFUNCTION("""COMPUTED_VALUE"""),30.0)</f>
        <v>30</v>
      </c>
      <c r="K376" s="54">
        <f>IFERROR(__xludf.DUMMYFUNCTION("""COMPUTED_VALUE"""),14.0)</f>
        <v>14</v>
      </c>
      <c r="L376" s="56">
        <f>IFERROR(__xludf.DUMMYFUNCTION("""COMPUTED_VALUE"""),0.6818181818181818)</f>
        <v>0.6818181818</v>
      </c>
      <c r="M376" s="56">
        <f>IFERROR(__xludf.DUMMYFUNCTION("""COMPUTED_VALUE"""),0.41441441441441434)</f>
        <v>0.4144144144</v>
      </c>
      <c r="N376" s="31">
        <f>IFERROR(__xludf.DUMMYFUNCTION("""COMPUTED_VALUE"""),397.95454545454544)</f>
        <v>397.9545455</v>
      </c>
      <c r="O376" s="57">
        <f>IFERROR(__xludf.DUMMYFUNCTION("""COMPUTED_VALUE"""),1.0454545454545454)</f>
        <v>1.045454545</v>
      </c>
      <c r="P376" s="57">
        <f>IFERROR(__xludf.DUMMYFUNCTION("""COMPUTED_VALUE"""),0.7045454545454546)</f>
        <v>0.7045454545</v>
      </c>
      <c r="Q376" s="57">
        <f>IFERROR(__xludf.DUMMYFUNCTION("""COMPUTED_VALUE"""),1.5454545454545454)</f>
        <v>1.545454545</v>
      </c>
      <c r="R376" s="57">
        <f>IFERROR(__xludf.DUMMYFUNCTION("""COMPUTED_VALUE"""),2.522727272727273)</f>
        <v>2.522727273</v>
      </c>
      <c r="S376" s="31">
        <f>IFERROR(__xludf.DUMMYFUNCTION("""COMPUTED_VALUE"""),356.71969696969705)</f>
        <v>356.719697</v>
      </c>
      <c r="T376" s="57">
        <f>IFERROR(__xludf.DUMMYFUNCTION("""COMPUTED_VALUE"""),0.7272727272727273)</f>
        <v>0.7272727273</v>
      </c>
      <c r="U376" s="57">
        <f>IFERROR(__xludf.DUMMYFUNCTION("""COMPUTED_VALUE"""),0.4848484848484848)</f>
        <v>0.4848484848</v>
      </c>
      <c r="V376" s="57">
        <f>IFERROR(__xludf.DUMMYFUNCTION("""COMPUTED_VALUE"""),1.5530303030303032)</f>
        <v>1.553030303</v>
      </c>
      <c r="W376" s="57">
        <f>IFERROR(__xludf.DUMMYFUNCTION("""COMPUTED_VALUE"""),2.378787878787879)</f>
        <v>2.378787879</v>
      </c>
      <c r="X376" s="31">
        <f>IFERROR(__xludf.DUMMYFUNCTION("""COMPUTED_VALUE"""),380.8497084940465)</f>
        <v>380.8497085</v>
      </c>
      <c r="Y376" s="57">
        <f>IFERROR(__xludf.DUMMYFUNCTION("""COMPUTED_VALUE"""),0.8182778983906215)</f>
        <v>0.8182778984</v>
      </c>
      <c r="Z376" s="57">
        <f>IFERROR(__xludf.DUMMYFUNCTION("""COMPUTED_VALUE"""),0.617807024441303)</f>
        <v>0.6178070244</v>
      </c>
      <c r="AA376" s="57">
        <f>IFERROR(__xludf.DUMMYFUNCTION("""COMPUTED_VALUE"""),1.5405762371737857)</f>
        <v>1.540576237</v>
      </c>
      <c r="AB376" s="57">
        <f>IFERROR(__xludf.DUMMYFUNCTION("""COMPUTED_VALUE"""),2.7711752756782313)</f>
        <v>2.771175276</v>
      </c>
      <c r="AC376" s="31">
        <f>IFERROR(__xludf.DUMMYFUNCTION("""COMPUTED_VALUE"""),402.98583555899364)</f>
        <v>402.9858356</v>
      </c>
      <c r="AD376" s="57">
        <f>IFERROR(__xludf.DUMMYFUNCTION("""COMPUTED_VALUE"""),0.9624302456302366)</f>
        <v>0.9624302456</v>
      </c>
      <c r="AE376" s="57">
        <f>IFERROR(__xludf.DUMMYFUNCTION("""COMPUTED_VALUE"""),0.7458135784586795)</f>
        <v>0.7458135785</v>
      </c>
      <c r="AF376" s="57">
        <f>IFERROR(__xludf.DUMMYFUNCTION("""COMPUTED_VALUE"""),1.5012730784106525)</f>
        <v>1.501273078</v>
      </c>
      <c r="AG376" s="57">
        <f>IFERROR(__xludf.DUMMYFUNCTION("""COMPUTED_VALUE"""),2.9546074373959157)</f>
        <v>2.954607437</v>
      </c>
      <c r="AH376" s="57">
        <f>IFERROR(__xludf.DUMMYFUNCTION("""COMPUTED_VALUE"""),0.9875149703525704)</f>
        <v>0.9875149704</v>
      </c>
      <c r="AI376" s="57">
        <f>IFERROR(__xludf.DUMMYFUNCTION("""COMPUTED_VALUE"""),1.0862652646269875)</f>
        <v>1.086265265</v>
      </c>
      <c r="AJ376" s="57">
        <f>IFERROR(__xludf.DUMMYFUNCTION("""COMPUTED_VALUE"""),0.9446669716063486)</f>
        <v>0.9446669716</v>
      </c>
      <c r="AK376" s="57">
        <f>IFERROR(__xludf.DUMMYFUNCTION("""COMPUTED_VALUE"""),1.0294293341293153)</f>
        <v>1.029429334</v>
      </c>
      <c r="AL376" s="57">
        <f>IFERROR(__xludf.DUMMYFUNCTION("""COMPUTED_VALUE"""),0.8538282415449119)</f>
        <v>0.8538282415</v>
      </c>
      <c r="AM376" s="57">
        <f>IFERROR(__xludf.DUMMYFUNCTION("""COMPUTED_VALUE"""),0.9366416437083168)</f>
        <v>0.9366416437</v>
      </c>
      <c r="AN376" s="57">
        <f>IFERROR(__xludf.DUMMYFUNCTION("""COMPUTED_VALUE"""),0.8887845177086147)</f>
        <v>0.8887845177</v>
      </c>
      <c r="AO376" s="57">
        <f>IFERROR(__xludf.DUMMYFUNCTION("""COMPUTED_VALUE"""),0.784789530819829)</f>
        <v>0.7847895308</v>
      </c>
      <c r="AP376" s="35">
        <f>IFERROR(__xludf.DUMMYFUNCTION("""COMPUTED_VALUE"""),1.0080840308684527)</f>
        <v>1.008084031</v>
      </c>
      <c r="AQ376" s="57">
        <f>IFERROR(__xludf.DUMMYFUNCTION("""COMPUTED_VALUE"""),0.8584039774263944)</f>
        <v>0.8584039774</v>
      </c>
      <c r="AR376" s="36" t="b">
        <f>IFERROR(__xludf.DUMMYFUNCTION("""COMPUTED_VALUE"""),TRUE)</f>
        <v>1</v>
      </c>
      <c r="AS376" s="57"/>
      <c r="AT376" s="37"/>
      <c r="AU376" s="30"/>
      <c r="AV376" s="30"/>
      <c r="AW376" s="30"/>
      <c r="AX376" s="30"/>
      <c r="AY376" s="30"/>
      <c r="AZ376" s="30"/>
    </row>
    <row r="377">
      <c r="A377" s="30" t="str">
        <f>IFERROR(__xludf.DUMMYFUNCTION("""COMPUTED_VALUE"""),"Master")</f>
        <v>Master</v>
      </c>
      <c r="B377" s="30" t="str">
        <f>IFERROR(__xludf.DUMMYFUNCTION("""COMPUTED_VALUE"""),"RSC002959")</f>
        <v>RSC002959</v>
      </c>
      <c r="C377" s="30" t="str">
        <f>IFERROR(__xludf.DUMMYFUNCTION("""COMPUTED_VALUE"""),"JACKS0NTHEBOSS")</f>
        <v>JACKS0NTHEBOSS</v>
      </c>
      <c r="D377" s="31"/>
      <c r="E377" s="31">
        <f>IFERROR(__xludf.DUMMYFUNCTION("""COMPUTED_VALUE"""),60.54292700170141)</f>
        <v>60.542927</v>
      </c>
      <c r="F377" s="31">
        <f>IFERROR(__xludf.DUMMYFUNCTION("""COMPUTED_VALUE"""),2.970746159444271)</f>
        <v>2.970746159</v>
      </c>
      <c r="G377" s="31">
        <f>IFERROR(__xludf.DUMMYFUNCTION("""COMPUTED_VALUE"""),62.01374743323319)</f>
        <v>62.01374743</v>
      </c>
      <c r="H377" s="31">
        <f>IFERROR(__xludf.DUMMYFUNCTION("""COMPUTED_VALUE"""),3.170393938810542)</f>
        <v>3.170393939</v>
      </c>
      <c r="I377" s="54">
        <f>IFERROR(__xludf.DUMMYFUNCTION("""COMPUTED_VALUE"""),35.0)</f>
        <v>35</v>
      </c>
      <c r="J377" s="55">
        <f>IFERROR(__xludf.DUMMYFUNCTION("""COMPUTED_VALUE"""),18.0)</f>
        <v>18</v>
      </c>
      <c r="K377" s="54">
        <f>IFERROR(__xludf.DUMMYFUNCTION("""COMPUTED_VALUE"""),17.0)</f>
        <v>17</v>
      </c>
      <c r="L377" s="56">
        <f>IFERROR(__xludf.DUMMYFUNCTION("""COMPUTED_VALUE"""),0.5142857142857142)</f>
        <v>0.5142857143</v>
      </c>
      <c r="M377" s="56">
        <f>IFERROR(__xludf.DUMMYFUNCTION("""COMPUTED_VALUE"""),0.27722772277227725)</f>
        <v>0.2772277228</v>
      </c>
      <c r="N377" s="31">
        <f>IFERROR(__xludf.DUMMYFUNCTION("""COMPUTED_VALUE"""),403.0571428571429)</f>
        <v>403.0571429</v>
      </c>
      <c r="O377" s="57">
        <f>IFERROR(__xludf.DUMMYFUNCTION("""COMPUTED_VALUE"""),0.8)</f>
        <v>0.8</v>
      </c>
      <c r="P377" s="57">
        <f>IFERROR(__xludf.DUMMYFUNCTION("""COMPUTED_VALUE"""),0.8285714285714286)</f>
        <v>0.8285714286</v>
      </c>
      <c r="Q377" s="57">
        <f>IFERROR(__xludf.DUMMYFUNCTION("""COMPUTED_VALUE"""),1.6571428571428573)</f>
        <v>1.657142857</v>
      </c>
      <c r="R377" s="57">
        <f>IFERROR(__xludf.DUMMYFUNCTION("""COMPUTED_VALUE"""),2.8857142857142857)</f>
        <v>2.885714286</v>
      </c>
      <c r="S377" s="31">
        <f>IFERROR(__xludf.DUMMYFUNCTION("""COMPUTED_VALUE"""),355.66666666666674)</f>
        <v>355.6666667</v>
      </c>
      <c r="T377" s="57">
        <f>IFERROR(__xludf.DUMMYFUNCTION("""COMPUTED_VALUE"""),0.761904761904762)</f>
        <v>0.7619047619</v>
      </c>
      <c r="U377" s="57">
        <f>IFERROR(__xludf.DUMMYFUNCTION("""COMPUTED_VALUE"""),0.5904761904761905)</f>
        <v>0.5904761905</v>
      </c>
      <c r="V377" s="57">
        <f>IFERROR(__xludf.DUMMYFUNCTION("""COMPUTED_VALUE"""),1.3714285714285717)</f>
        <v>1.371428571</v>
      </c>
      <c r="W377" s="57">
        <f>IFERROR(__xludf.DUMMYFUNCTION("""COMPUTED_VALUE"""),2.8380952380952373)</f>
        <v>2.838095238</v>
      </c>
      <c r="X377" s="31">
        <f>IFERROR(__xludf.DUMMYFUNCTION("""COMPUTED_VALUE"""),382.5043265481155)</f>
        <v>382.5043265</v>
      </c>
      <c r="Y377" s="57">
        <f>IFERROR(__xludf.DUMMYFUNCTION("""COMPUTED_VALUE"""),0.8607122860572238)</f>
        <v>0.8607122861</v>
      </c>
      <c r="Z377" s="57">
        <f>IFERROR(__xludf.DUMMYFUNCTION("""COMPUTED_VALUE"""),0.6539946700392776)</f>
        <v>0.65399467</v>
      </c>
      <c r="AA377" s="57">
        <f>IFERROR(__xludf.DUMMYFUNCTION("""COMPUTED_VALUE"""),1.4945643734089653)</f>
        <v>1.494564373</v>
      </c>
      <c r="AB377" s="57">
        <f>IFERROR(__xludf.DUMMYFUNCTION("""COMPUTED_VALUE"""),2.778994796241789)</f>
        <v>2.778994796</v>
      </c>
      <c r="AC377" s="31">
        <f>IFERROR(__xludf.DUMMYFUNCTION("""COMPUTED_VALUE"""),392.46116698535417)</f>
        <v>392.461167</v>
      </c>
      <c r="AD377" s="57">
        <f>IFERROR(__xludf.DUMMYFUNCTION("""COMPUTED_VALUE"""),0.9303775355251428)</f>
        <v>0.9303775355</v>
      </c>
      <c r="AE377" s="57">
        <f>IFERROR(__xludf.DUMMYFUNCTION("""COMPUTED_VALUE"""),0.726418350201329)</f>
        <v>0.7264183502</v>
      </c>
      <c r="AF377" s="57">
        <f>IFERROR(__xludf.DUMMYFUNCTION("""COMPUTED_VALUE"""),1.4582322891726835)</f>
        <v>1.458232289</v>
      </c>
      <c r="AG377" s="57">
        <f>IFERROR(__xludf.DUMMYFUNCTION("""COMPUTED_VALUE"""),2.953564219830139)</f>
        <v>2.95356422</v>
      </c>
      <c r="AH377" s="57">
        <f>IFERROR(__xludf.DUMMYFUNCTION("""COMPUTED_VALUE"""),1.0269987880665505)</f>
        <v>1.026998788</v>
      </c>
      <c r="AI377" s="57">
        <f>IFERROR(__xludf.DUMMYFUNCTION("""COMPUTED_VALUE"""),0.8598659892926667)</f>
        <v>0.8598659893</v>
      </c>
      <c r="AJ377" s="57">
        <f>IFERROR(__xludf.DUMMYFUNCTION("""COMPUTED_VALUE"""),1.1406256853805903)</f>
        <v>1.140625685</v>
      </c>
      <c r="AK377" s="57">
        <f>IFERROR(__xludf.DUMMYFUNCTION("""COMPUTED_VALUE"""),1.1364052692064746)</f>
        <v>1.136405269</v>
      </c>
      <c r="AL377" s="57">
        <f>IFERROR(__xludf.DUMMYFUNCTION("""COMPUTED_VALUE"""),0.9770277776049997)</f>
        <v>0.9770277776</v>
      </c>
      <c r="AM377" s="57">
        <f>IFERROR(__xludf.DUMMYFUNCTION("""COMPUTED_VALUE"""),0.9298369769470495)</f>
        <v>0.9298369769</v>
      </c>
      <c r="AN377" s="57">
        <f>IFERROR(__xludf.DUMMYFUNCTION("""COMPUTED_VALUE"""),0.8852026097999806)</f>
        <v>0.8852026098</v>
      </c>
      <c r="AO377" s="57">
        <f>IFERROR(__xludf.DUMMYFUNCTION("""COMPUTED_VALUE"""),0.9028761510254016)</f>
        <v>0.902876151</v>
      </c>
      <c r="AP377" s="35">
        <f>IFERROR(__xludf.DUMMYFUNCTION("""COMPUTED_VALUE"""),0.9176109077861049)</f>
        <v>0.9176109078</v>
      </c>
      <c r="AQ377" s="57">
        <f>IFERROR(__xludf.DUMMYFUNCTION("""COMPUTED_VALUE"""),1.021266841497283)</f>
        <v>1.021266841</v>
      </c>
      <c r="AR377" s="36" t="b">
        <f>IFERROR(__xludf.DUMMYFUNCTION("""COMPUTED_VALUE"""),TRUE)</f>
        <v>1</v>
      </c>
      <c r="AS377" s="57"/>
      <c r="AT377" s="37"/>
      <c r="AU377" s="30"/>
      <c r="AV377" s="30"/>
      <c r="AW377" s="30"/>
      <c r="AX377" s="30"/>
      <c r="AY377" s="30"/>
      <c r="AZ377" s="30"/>
    </row>
    <row r="378">
      <c r="A378" s="30" t="str">
        <f>IFERROR(__xludf.DUMMYFUNCTION("""COMPUTED_VALUE"""),"Master")</f>
        <v>Master</v>
      </c>
      <c r="B378" s="30" t="str">
        <f>IFERROR(__xludf.DUMMYFUNCTION("""COMPUTED_VALUE"""),"RSC003728")</f>
        <v>RSC003728</v>
      </c>
      <c r="C378" s="30" t="str">
        <f>IFERROR(__xludf.DUMMYFUNCTION("""COMPUTED_VALUE"""),"yy")</f>
        <v>yy</v>
      </c>
      <c r="D378" s="31" t="str">
        <f>IFERROR(__xludf.DUMMYFUNCTION("""COMPUTED_VALUE"""),"Kawaii")</f>
        <v>Kawaii</v>
      </c>
      <c r="E378" s="31">
        <f>IFERROR(__xludf.DUMMYFUNCTION("""COMPUTED_VALUE"""),60.075062629460305)</f>
        <v>60.07506263</v>
      </c>
      <c r="F378" s="31">
        <f>IFERROR(__xludf.DUMMYFUNCTION("""COMPUTED_VALUE"""),2.9114353808681663)</f>
        <v>2.911435381</v>
      </c>
      <c r="G378" s="31">
        <f>IFERROR(__xludf.DUMMYFUNCTION("""COMPUTED_VALUE"""),48.183617341141144)</f>
        <v>48.18361734</v>
      </c>
      <c r="H378" s="31">
        <f>IFERROR(__xludf.DUMMYFUNCTION("""COMPUTED_VALUE"""),-2.122961021630262)</f>
        <v>-2.122961022</v>
      </c>
      <c r="I378" s="54">
        <f>IFERROR(__xludf.DUMMYFUNCTION("""COMPUTED_VALUE"""),45.0)</f>
        <v>45</v>
      </c>
      <c r="J378" s="55">
        <f>IFERROR(__xludf.DUMMYFUNCTION("""COMPUTED_VALUE"""),23.0)</f>
        <v>23</v>
      </c>
      <c r="K378" s="54">
        <f>IFERROR(__xludf.DUMMYFUNCTION("""COMPUTED_VALUE"""),22.0)</f>
        <v>22</v>
      </c>
      <c r="L378" s="56">
        <f>IFERROR(__xludf.DUMMYFUNCTION("""COMPUTED_VALUE"""),0.5111111111111111)</f>
        <v>0.5111111111</v>
      </c>
      <c r="M378" s="56">
        <f>IFERROR(__xludf.DUMMYFUNCTION("""COMPUTED_VALUE"""),0.27941176470588236)</f>
        <v>0.2794117647</v>
      </c>
      <c r="N378" s="31">
        <f>IFERROR(__xludf.DUMMYFUNCTION("""COMPUTED_VALUE"""),406.9555555555556)</f>
        <v>406.9555556</v>
      </c>
      <c r="O378" s="57">
        <f>IFERROR(__xludf.DUMMYFUNCTION("""COMPUTED_VALUE"""),0.8444444444444444)</f>
        <v>0.8444444444</v>
      </c>
      <c r="P378" s="57">
        <f>IFERROR(__xludf.DUMMYFUNCTION("""COMPUTED_VALUE"""),0.7111111111111111)</f>
        <v>0.7111111111</v>
      </c>
      <c r="Q378" s="57">
        <f>IFERROR(__xludf.DUMMYFUNCTION("""COMPUTED_VALUE"""),1.4444444444444444)</f>
        <v>1.444444444</v>
      </c>
      <c r="R378" s="57">
        <f>IFERROR(__xludf.DUMMYFUNCTION("""COMPUTED_VALUE"""),3.022222222222222)</f>
        <v>3.022222222</v>
      </c>
      <c r="S378" s="31">
        <f>IFERROR(__xludf.DUMMYFUNCTION("""COMPUTED_VALUE"""),420.1407407407408)</f>
        <v>420.1407407</v>
      </c>
      <c r="T378" s="57">
        <f>IFERROR(__xludf.DUMMYFUNCTION("""COMPUTED_VALUE"""),0.9555555555555557)</f>
        <v>0.9555555556</v>
      </c>
      <c r="U378" s="57">
        <f>IFERROR(__xludf.DUMMYFUNCTION("""COMPUTED_VALUE"""),0.6888888888888888)</f>
        <v>0.6888888889</v>
      </c>
      <c r="V378" s="57">
        <f>IFERROR(__xludf.DUMMYFUNCTION("""COMPUTED_VALUE"""),1.7185185185185188)</f>
        <v>1.718518519</v>
      </c>
      <c r="W378" s="57">
        <f>IFERROR(__xludf.DUMMYFUNCTION("""COMPUTED_VALUE"""),2.933333333333334)</f>
        <v>2.933333333</v>
      </c>
      <c r="X378" s="31">
        <f>IFERROR(__xludf.DUMMYFUNCTION("""COMPUTED_VALUE"""),393.91541740025133)</f>
        <v>393.9154174</v>
      </c>
      <c r="Y378" s="57">
        <f>IFERROR(__xludf.DUMMYFUNCTION("""COMPUTED_VALUE"""),0.9166074672200903)</f>
        <v>0.9166074672</v>
      </c>
      <c r="Z378" s="57">
        <f>IFERROR(__xludf.DUMMYFUNCTION("""COMPUTED_VALUE"""),0.7072926078933566)</f>
        <v>0.7072926079</v>
      </c>
      <c r="AA378" s="57">
        <f>IFERROR(__xludf.DUMMYFUNCTION("""COMPUTED_VALUE"""),1.4858276800743384)</f>
        <v>1.48582768</v>
      </c>
      <c r="AB378" s="57">
        <f>IFERROR(__xludf.DUMMYFUNCTION("""COMPUTED_VALUE"""),2.8826450249293782)</f>
        <v>2.882645025</v>
      </c>
      <c r="AC378" s="31">
        <f>IFERROR(__xludf.DUMMYFUNCTION("""COMPUTED_VALUE"""),380.7413895132292)</f>
        <v>380.7413895</v>
      </c>
      <c r="AD378" s="57">
        <f>IFERROR(__xludf.DUMMYFUNCTION("""COMPUTED_VALUE"""),0.8361595174087807)</f>
        <v>0.8361595174</v>
      </c>
      <c r="AE378" s="57">
        <f>IFERROR(__xludf.DUMMYFUNCTION("""COMPUTED_VALUE"""),0.6453517441956043)</f>
        <v>0.6453517442</v>
      </c>
      <c r="AF378" s="57">
        <f>IFERROR(__xludf.DUMMYFUNCTION("""COMPUTED_VALUE"""),1.4818871122393633)</f>
        <v>1.481887112</v>
      </c>
      <c r="AG378" s="57">
        <f>IFERROR(__xludf.DUMMYFUNCTION("""COMPUTED_VALUE"""),2.796853978467839)</f>
        <v>2.796853978</v>
      </c>
      <c r="AH378" s="57">
        <f>IFERROR(__xludf.DUMMYFUNCTION("""COMPUTED_VALUE"""),1.0688503187842033)</f>
        <v>1.068850319</v>
      </c>
      <c r="AI378" s="57">
        <f>IFERROR(__xludf.DUMMYFUNCTION("""COMPUTED_VALUE"""),1.0099083091959993)</f>
        <v>1.009908309</v>
      </c>
      <c r="AJ378" s="57">
        <f>IFERROR(__xludf.DUMMYFUNCTION("""COMPUTED_VALUE"""),1.1018969383858601)</f>
        <v>1.101896938</v>
      </c>
      <c r="AK378" s="57">
        <f>IFERROR(__xludf.DUMMYFUNCTION("""COMPUTED_VALUE"""),0.9747331173301472)</f>
        <v>0.9747331173</v>
      </c>
      <c r="AL378" s="57">
        <f>IFERROR(__xludf.DUMMYFUNCTION("""COMPUTED_VALUE"""),1.080579195585264)</f>
        <v>1.080579196</v>
      </c>
      <c r="AM378" s="57">
        <f>IFERROR(__xludf.DUMMYFUNCTION("""COMPUTED_VALUE"""),1.0665760266850441)</f>
        <v>1.066576027</v>
      </c>
      <c r="AN378" s="57">
        <f>IFERROR(__xludf.DUMMYFUNCTION("""COMPUTED_VALUE"""),1.0424915677957416)</f>
        <v>1.042491568</v>
      </c>
      <c r="AO378" s="57">
        <f>IFERROR(__xludf.DUMMYFUNCTION("""COMPUTED_VALUE"""),0.9739800489937502)</f>
        <v>0.973980049</v>
      </c>
      <c r="AP378" s="35">
        <f>IFERROR(__xludf.DUMMYFUNCTION("""COMPUTED_VALUE"""),1.1566068808413492)</f>
        <v>1.156606881</v>
      </c>
      <c r="AQ378" s="57">
        <f>IFERROR(__xludf.DUMMYFUNCTION("""COMPUTED_VALUE"""),1.0175839577768329)</f>
        <v>1.017583958</v>
      </c>
      <c r="AR378" s="36" t="b">
        <f>IFERROR(__xludf.DUMMYFUNCTION("""COMPUTED_VALUE"""),TRUE)</f>
        <v>1</v>
      </c>
      <c r="AS378" s="57"/>
      <c r="AT378" s="37"/>
      <c r="AU378" s="30"/>
      <c r="AV378" s="30"/>
      <c r="AW378" s="30"/>
      <c r="AX378" s="30"/>
      <c r="AY378" s="30"/>
      <c r="AZ378" s="30"/>
    </row>
    <row r="379">
      <c r="A379" s="30" t="str">
        <f>IFERROR(__xludf.DUMMYFUNCTION("""COMPUTED_VALUE"""),"Master")</f>
        <v>Master</v>
      </c>
      <c r="B379" s="30" t="str">
        <f>IFERROR(__xludf.DUMMYFUNCTION("""COMPUTED_VALUE"""),"RSC005234")</f>
        <v>RSC005234</v>
      </c>
      <c r="C379" s="30" t="str">
        <f>IFERROR(__xludf.DUMMYFUNCTION("""COMPUTED_VALUE"""),"Hirsch")</f>
        <v>Hirsch</v>
      </c>
      <c r="D379" s="31" t="str">
        <f>IFERROR(__xludf.DUMMYFUNCTION("""COMPUTED_VALUE"""),"The OG")</f>
        <v>The OG</v>
      </c>
      <c r="E379" s="31">
        <f>IFERROR(__xludf.DUMMYFUNCTION("""COMPUTED_VALUE"""),60.02589579282818)</f>
        <v>60.02589579</v>
      </c>
      <c r="F379" s="31">
        <f>IFERROR(__xludf.DUMMYFUNCTION("""COMPUTED_VALUE"""),2.9053140297276947)</f>
        <v>2.90531403</v>
      </c>
      <c r="G379" s="31">
        <f>IFERROR(__xludf.DUMMYFUNCTION("""COMPUTED_VALUE"""),57.067322981133906)</f>
        <v>57.06732298</v>
      </c>
      <c r="H379" s="31">
        <f>IFERROR(__xludf.DUMMYFUNCTION("""COMPUTED_VALUE"""),2.5726376371974715)</f>
        <v>2.572637637</v>
      </c>
      <c r="I379" s="54">
        <f>IFERROR(__xludf.DUMMYFUNCTION("""COMPUTED_VALUE"""),13.0)</f>
        <v>13</v>
      </c>
      <c r="J379" s="55">
        <f>IFERROR(__xludf.DUMMYFUNCTION("""COMPUTED_VALUE"""),6.0)</f>
        <v>6</v>
      </c>
      <c r="K379" s="54">
        <f>IFERROR(__xludf.DUMMYFUNCTION("""COMPUTED_VALUE"""),7.0)</f>
        <v>7</v>
      </c>
      <c r="L379" s="56">
        <f>IFERROR(__xludf.DUMMYFUNCTION("""COMPUTED_VALUE"""),0.46153846153846156)</f>
        <v>0.4615384615</v>
      </c>
      <c r="M379" s="56">
        <f>IFERROR(__xludf.DUMMYFUNCTION("""COMPUTED_VALUE"""),0.34375)</f>
        <v>0.34375</v>
      </c>
      <c r="N379" s="31">
        <f>IFERROR(__xludf.DUMMYFUNCTION("""COMPUTED_VALUE"""),359.0)</f>
        <v>359</v>
      </c>
      <c r="O379" s="57">
        <f>IFERROR(__xludf.DUMMYFUNCTION("""COMPUTED_VALUE"""),0.8461538461538461)</f>
        <v>0.8461538462</v>
      </c>
      <c r="P379" s="57">
        <f>IFERROR(__xludf.DUMMYFUNCTION("""COMPUTED_VALUE"""),0.9230769230769231)</f>
        <v>0.9230769231</v>
      </c>
      <c r="Q379" s="57">
        <f>IFERROR(__xludf.DUMMYFUNCTION("""COMPUTED_VALUE"""),1.3076923076923077)</f>
        <v>1.307692308</v>
      </c>
      <c r="R379" s="57">
        <f>IFERROR(__xludf.DUMMYFUNCTION("""COMPUTED_VALUE"""),2.4615384615384617)</f>
        <v>2.461538462</v>
      </c>
      <c r="S379" s="31">
        <f>IFERROR(__xludf.DUMMYFUNCTION("""COMPUTED_VALUE"""),374.43589743589746)</f>
        <v>374.4358974</v>
      </c>
      <c r="T379" s="57">
        <f>IFERROR(__xludf.DUMMYFUNCTION("""COMPUTED_VALUE"""),0.9487179487179488)</f>
        <v>0.9487179487</v>
      </c>
      <c r="U379" s="57">
        <f>IFERROR(__xludf.DUMMYFUNCTION("""COMPUTED_VALUE"""),0.7179487179487178)</f>
        <v>0.7179487179</v>
      </c>
      <c r="V379" s="57">
        <f>IFERROR(__xludf.DUMMYFUNCTION("""COMPUTED_VALUE"""),1.307692307692308)</f>
        <v>1.307692308</v>
      </c>
      <c r="W379" s="57">
        <f>IFERROR(__xludf.DUMMYFUNCTION("""COMPUTED_VALUE"""),2.717948717948718)</f>
        <v>2.717948718</v>
      </c>
      <c r="X379" s="31">
        <f>IFERROR(__xludf.DUMMYFUNCTION("""COMPUTED_VALUE"""),391.6709299258588)</f>
        <v>391.6709299</v>
      </c>
      <c r="Y379" s="57">
        <f>IFERROR(__xludf.DUMMYFUNCTION("""COMPUTED_VALUE"""),0.8974849503458456)</f>
        <v>0.8974849503</v>
      </c>
      <c r="Z379" s="57">
        <f>IFERROR(__xludf.DUMMYFUNCTION("""COMPUTED_VALUE"""),0.6840169342120797)</f>
        <v>0.6840169342</v>
      </c>
      <c r="AA379" s="57">
        <f>IFERROR(__xludf.DUMMYFUNCTION("""COMPUTED_VALUE"""),1.4320861250678951)</f>
        <v>1.432086125</v>
      </c>
      <c r="AB379" s="57">
        <f>IFERROR(__xludf.DUMMYFUNCTION("""COMPUTED_VALUE"""),2.837457787152307)</f>
        <v>2.837457787</v>
      </c>
      <c r="AC379" s="31">
        <f>IFERROR(__xludf.DUMMYFUNCTION("""COMPUTED_VALUE"""),384.3982593638854)</f>
        <v>384.3982594</v>
      </c>
      <c r="AD379" s="57">
        <f>IFERROR(__xludf.DUMMYFUNCTION("""COMPUTED_VALUE"""),0.8884961943981715)</f>
        <v>0.8884961944</v>
      </c>
      <c r="AE379" s="57">
        <f>IFERROR(__xludf.DUMMYFUNCTION("""COMPUTED_VALUE"""),0.6710849165901258)</f>
        <v>0.6710849166</v>
      </c>
      <c r="AF379" s="57">
        <f>IFERROR(__xludf.DUMMYFUNCTION("""COMPUTED_VALUE"""),1.4548562652704615)</f>
        <v>1.454856265</v>
      </c>
      <c r="AG379" s="57">
        <f>IFERROR(__xludf.DUMMYFUNCTION("""COMPUTED_VALUE"""),2.72810580726918)</f>
        <v>2.728105807</v>
      </c>
      <c r="AH379" s="57">
        <f>IFERROR(__xludf.DUMMYFUNCTION("""COMPUTED_VALUE"""),0.9339272258778818)</f>
        <v>0.9339272259</v>
      </c>
      <c r="AI379" s="57">
        <f>IFERROR(__xludf.DUMMYFUNCTION("""COMPUTED_VALUE"""),0.9523438046090831)</f>
        <v>0.9523438046</v>
      </c>
      <c r="AJ379" s="57">
        <f>IFERROR(__xludf.DUMMYFUNCTION("""COMPUTED_VALUE"""),1.3754994342105067)</f>
        <v>1.375499434</v>
      </c>
      <c r="AK379" s="57">
        <f>IFERROR(__xludf.DUMMYFUNCTION("""COMPUTED_VALUE"""),0.8988463939076513)</f>
        <v>0.8988463939</v>
      </c>
      <c r="AL379" s="57">
        <f>IFERROR(__xludf.DUMMYFUNCTION("""COMPUTED_VALUE"""),0.9022884871178984)</f>
        <v>0.9022884871</v>
      </c>
      <c r="AM379" s="57">
        <f>IFERROR(__xludf.DUMMYFUNCTION("""COMPUTED_VALUE"""),0.9559961407061182)</f>
        <v>0.9559961407</v>
      </c>
      <c r="AN379" s="57">
        <f>IFERROR(__xludf.DUMMYFUNCTION("""COMPUTED_VALUE"""),1.0570850779752468)</f>
        <v>1.057085078</v>
      </c>
      <c r="AO379" s="57">
        <f>IFERROR(__xludf.DUMMYFUNCTION("""COMPUTED_VALUE"""),1.049606642817585)</f>
        <v>1.049606643</v>
      </c>
      <c r="AP379" s="35">
        <f>IFERROR(__xludf.DUMMYFUNCTION("""COMPUTED_VALUE"""),0.9131380332522322)</f>
        <v>0.9131380333</v>
      </c>
      <c r="AQ379" s="57">
        <f>IFERROR(__xludf.DUMMYFUNCTION("""COMPUTED_VALUE"""),0.9578816397746205)</f>
        <v>0.9578816398</v>
      </c>
      <c r="AR379" s="36" t="b">
        <f>IFERROR(__xludf.DUMMYFUNCTION("""COMPUTED_VALUE"""),TRUE)</f>
        <v>1</v>
      </c>
      <c r="AS379" s="57"/>
      <c r="AT379" s="37"/>
      <c r="AU379" s="30"/>
      <c r="AV379" s="30"/>
      <c r="AW379" s="30"/>
      <c r="AX379" s="30"/>
      <c r="AY379" s="30"/>
      <c r="AZ379" s="30"/>
    </row>
    <row r="380">
      <c r="A380" s="30" t="str">
        <f>IFERROR(__xludf.DUMMYFUNCTION("""COMPUTED_VALUE"""),"Master")</f>
        <v>Master</v>
      </c>
      <c r="B380" s="30" t="str">
        <f>IFERROR(__xludf.DUMMYFUNCTION("""COMPUTED_VALUE"""),"RSC007282")</f>
        <v>RSC007282</v>
      </c>
      <c r="C380" s="30" t="str">
        <f>IFERROR(__xludf.DUMMYFUNCTION("""COMPUTED_VALUE"""),"kRs^^")</f>
        <v>kRs^^</v>
      </c>
      <c r="D380" s="31" t="str">
        <f>IFERROR(__xludf.DUMMYFUNCTION("""COMPUTED_VALUE"""),"Helicoprions")</f>
        <v>Helicoprions</v>
      </c>
      <c r="E380" s="31">
        <f>IFERROR(__xludf.DUMMYFUNCTION("""COMPUTED_VALUE"""),59.57335041282848)</f>
        <v>59.57335041</v>
      </c>
      <c r="F380" s="31">
        <f>IFERROR(__xludf.DUMMYFUNCTION("""COMPUTED_VALUE"""),2.84994191410393)</f>
        <v>2.849941914</v>
      </c>
      <c r="G380" s="31">
        <f>IFERROR(__xludf.DUMMYFUNCTION("""COMPUTED_VALUE"""),49.37287476423103)</f>
        <v>49.37287476</v>
      </c>
      <c r="H380" s="31">
        <f>IFERROR(__xludf.DUMMYFUNCTION("""COMPUTED_VALUE"""),-2.040843071649574)</f>
        <v>-2.040843072</v>
      </c>
      <c r="I380" s="54">
        <f>IFERROR(__xludf.DUMMYFUNCTION("""COMPUTED_VALUE"""),18.0)</f>
        <v>18</v>
      </c>
      <c r="J380" s="55">
        <f>IFERROR(__xludf.DUMMYFUNCTION("""COMPUTED_VALUE"""),9.0)</f>
        <v>9</v>
      </c>
      <c r="K380" s="54">
        <f>IFERROR(__xludf.DUMMYFUNCTION("""COMPUTED_VALUE"""),9.0)</f>
        <v>9</v>
      </c>
      <c r="L380" s="56">
        <f>IFERROR(__xludf.DUMMYFUNCTION("""COMPUTED_VALUE"""),0.5)</f>
        <v>0.5</v>
      </c>
      <c r="M380" s="56">
        <f>IFERROR(__xludf.DUMMYFUNCTION("""COMPUTED_VALUE"""),0.2857142857142857)</f>
        <v>0.2857142857</v>
      </c>
      <c r="N380" s="31">
        <f>IFERROR(__xludf.DUMMYFUNCTION("""COMPUTED_VALUE"""),399.3888888888889)</f>
        <v>399.3888889</v>
      </c>
      <c r="O380" s="57">
        <f>IFERROR(__xludf.DUMMYFUNCTION("""COMPUTED_VALUE"""),1.0)</f>
        <v>1</v>
      </c>
      <c r="P380" s="57">
        <f>IFERROR(__xludf.DUMMYFUNCTION("""COMPUTED_VALUE"""),0.6666666666666666)</f>
        <v>0.6666666667</v>
      </c>
      <c r="Q380" s="57">
        <f>IFERROR(__xludf.DUMMYFUNCTION("""COMPUTED_VALUE"""),1.2777777777777777)</f>
        <v>1.277777778</v>
      </c>
      <c r="R380" s="57">
        <f>IFERROR(__xludf.DUMMYFUNCTION("""COMPUTED_VALUE"""),3.5)</f>
        <v>3.5</v>
      </c>
      <c r="S380" s="31">
        <f>IFERROR(__xludf.DUMMYFUNCTION("""COMPUTED_VALUE"""),423.14814814814815)</f>
        <v>423.1481481</v>
      </c>
      <c r="T380" s="57">
        <f>IFERROR(__xludf.DUMMYFUNCTION("""COMPUTED_VALUE"""),1.0000000000000002)</f>
        <v>1</v>
      </c>
      <c r="U380" s="57">
        <f>IFERROR(__xludf.DUMMYFUNCTION("""COMPUTED_VALUE"""),0.7592592592592592)</f>
        <v>0.7592592593</v>
      </c>
      <c r="V380" s="57">
        <f>IFERROR(__xludf.DUMMYFUNCTION("""COMPUTED_VALUE"""),1.4814814814814814)</f>
        <v>1.481481481</v>
      </c>
      <c r="W380" s="57">
        <f>IFERROR(__xludf.DUMMYFUNCTION("""COMPUTED_VALUE"""),3.259259259259259)</f>
        <v>3.259259259</v>
      </c>
      <c r="X380" s="31">
        <f>IFERROR(__xludf.DUMMYFUNCTION("""COMPUTED_VALUE"""),389.59338190614386)</f>
        <v>389.5933819</v>
      </c>
      <c r="Y380" s="57">
        <f>IFERROR(__xludf.DUMMYFUNCTION("""COMPUTED_VALUE"""),0.8876297828678927)</f>
        <v>0.8876297829</v>
      </c>
      <c r="Z380" s="57">
        <f>IFERROR(__xludf.DUMMYFUNCTION("""COMPUTED_VALUE"""),0.6711761456609164)</f>
        <v>0.6711761457</v>
      </c>
      <c r="AA380" s="57">
        <f>IFERROR(__xludf.DUMMYFUNCTION("""COMPUTED_VALUE"""),1.4934414640536344)</f>
        <v>1.493441464</v>
      </c>
      <c r="AB380" s="57">
        <f>IFERROR(__xludf.DUMMYFUNCTION("""COMPUTED_VALUE"""),2.84895502114916)</f>
        <v>2.848955021</v>
      </c>
      <c r="AC380" s="31">
        <f>IFERROR(__xludf.DUMMYFUNCTION("""COMPUTED_VALUE"""),402.9380819310262)</f>
        <v>402.9380819</v>
      </c>
      <c r="AD380" s="57">
        <f>IFERROR(__xludf.DUMMYFUNCTION("""COMPUTED_VALUE"""),0.9527019660150938)</f>
        <v>0.952701966</v>
      </c>
      <c r="AE380" s="57">
        <f>IFERROR(__xludf.DUMMYFUNCTION("""COMPUTED_VALUE"""),0.7289551281046405)</f>
        <v>0.7289551281</v>
      </c>
      <c r="AF380" s="57">
        <f>IFERROR(__xludf.DUMMYFUNCTION("""COMPUTED_VALUE"""),1.5047910341875534)</f>
        <v>1.504791034</v>
      </c>
      <c r="AG380" s="57">
        <f>IFERROR(__xludf.DUMMYFUNCTION("""COMPUTED_VALUE"""),2.9314554516120777)</f>
        <v>2.931455452</v>
      </c>
      <c r="AH380" s="57">
        <f>IFERROR(__xludf.DUMMYFUNCTION("""COMPUTED_VALUE"""),0.9911917160444894)</f>
        <v>0.991191716</v>
      </c>
      <c r="AI380" s="57">
        <f>IFERROR(__xludf.DUMMYFUNCTION("""COMPUTED_VALUE"""),1.0496462017211339)</f>
        <v>1.049646202</v>
      </c>
      <c r="AJ380" s="57">
        <f>IFERROR(__xludf.DUMMYFUNCTION("""COMPUTED_VALUE"""),0.9145510347119303)</f>
        <v>0.9145510347</v>
      </c>
      <c r="AK380" s="57">
        <f>IFERROR(__xludf.DUMMYFUNCTION("""COMPUTED_VALUE"""),0.8491396803594449)</f>
        <v>0.8491396804</v>
      </c>
      <c r="AL380" s="57">
        <f>IFERROR(__xludf.DUMMYFUNCTION("""COMPUTED_VALUE"""),1.1939461669374052)</f>
        <v>1.193946167</v>
      </c>
      <c r="AM380" s="57">
        <f>IFERROR(__xludf.DUMMYFUNCTION("""COMPUTED_VALUE"""),1.0861276597611402)</f>
        <v>1.08612766</v>
      </c>
      <c r="AN380" s="57">
        <f>IFERROR(__xludf.DUMMYFUNCTION("""COMPUTED_VALUE"""),1.1265958165227898)</f>
        <v>1.126595817</v>
      </c>
      <c r="AO380" s="57">
        <f>IFERROR(__xludf.DUMMYFUNCTION("""COMPUTED_VALUE"""),1.1312369549600219)</f>
        <v>1.131236955</v>
      </c>
      <c r="AP380" s="35">
        <f>IFERROR(__xludf.DUMMYFUNCTION("""COMPUTED_VALUE"""),0.991991662974396)</f>
        <v>0.991991663</v>
      </c>
      <c r="AQ380" s="57">
        <f>IFERROR(__xludf.DUMMYFUNCTION("""COMPUTED_VALUE"""),1.1440192053100924)</f>
        <v>1.144019205</v>
      </c>
      <c r="AR380" s="36" t="b">
        <f>IFERROR(__xludf.DUMMYFUNCTION("""COMPUTED_VALUE"""),TRUE)</f>
        <v>1</v>
      </c>
      <c r="AS380" s="57"/>
      <c r="AT380" s="37"/>
      <c r="AU380" s="30"/>
      <c r="AV380" s="30"/>
      <c r="AW380" s="30"/>
      <c r="AX380" s="30"/>
      <c r="AY380" s="30"/>
      <c r="AZ380" s="30"/>
    </row>
    <row r="381">
      <c r="A381" s="30" t="str">
        <f>IFERROR(__xludf.DUMMYFUNCTION("""COMPUTED_VALUE"""),"Master")</f>
        <v>Master</v>
      </c>
      <c r="B381" s="30" t="str">
        <f>IFERROR(__xludf.DUMMYFUNCTION("""COMPUTED_VALUE"""),"RSC007412")</f>
        <v>RSC007412</v>
      </c>
      <c r="C381" s="30" t="str">
        <f>IFERROR(__xludf.DUMMYFUNCTION("""COMPUTED_VALUE"""),"spuf.")</f>
        <v>spuf.</v>
      </c>
      <c r="D381" s="31" t="str">
        <f>IFERROR(__xludf.DUMMYFUNCTION("""COMPUTED_VALUE"""),"Care Bears")</f>
        <v>Care Bears</v>
      </c>
      <c r="E381" s="31">
        <f>IFERROR(__xludf.DUMMYFUNCTION("""COMPUTED_VALUE"""),58.9061791321682)</f>
        <v>58.90617913</v>
      </c>
      <c r="F381" s="31">
        <f>IFERROR(__xludf.DUMMYFUNCTION("""COMPUTED_VALUE"""),2.7714055734423404)</f>
        <v>2.771405573</v>
      </c>
      <c r="G381" s="31">
        <f>IFERROR(__xludf.DUMMYFUNCTION("""COMPUTED_VALUE"""),52.42028915887533)</f>
        <v>52.42028916</v>
      </c>
      <c r="H381" s="31">
        <f>IFERROR(__xludf.DUMMYFUNCTION("""COMPUTED_VALUE"""),2.167138290138676)</f>
        <v>2.16713829</v>
      </c>
      <c r="I381" s="54">
        <f>IFERROR(__xludf.DUMMYFUNCTION("""COMPUTED_VALUE"""),39.0)</f>
        <v>39</v>
      </c>
      <c r="J381" s="55">
        <f>IFERROR(__xludf.DUMMYFUNCTION("""COMPUTED_VALUE"""),17.0)</f>
        <v>17</v>
      </c>
      <c r="K381" s="54">
        <f>IFERROR(__xludf.DUMMYFUNCTION("""COMPUTED_VALUE"""),22.0)</f>
        <v>22</v>
      </c>
      <c r="L381" s="56">
        <f>IFERROR(__xludf.DUMMYFUNCTION("""COMPUTED_VALUE"""),0.4358974358974359)</f>
        <v>0.4358974359</v>
      </c>
      <c r="M381" s="56">
        <f>IFERROR(__xludf.DUMMYFUNCTION("""COMPUTED_VALUE"""),0.3636363636363637)</f>
        <v>0.3636363636</v>
      </c>
      <c r="N381" s="31">
        <f>IFERROR(__xludf.DUMMYFUNCTION("""COMPUTED_VALUE"""),396.61538461538464)</f>
        <v>396.6153846</v>
      </c>
      <c r="O381" s="57">
        <f>IFERROR(__xludf.DUMMYFUNCTION("""COMPUTED_VALUE"""),0.9230769230769231)</f>
        <v>0.9230769231</v>
      </c>
      <c r="P381" s="57">
        <f>IFERROR(__xludf.DUMMYFUNCTION("""COMPUTED_VALUE"""),0.6666666666666666)</f>
        <v>0.6666666667</v>
      </c>
      <c r="Q381" s="57">
        <f>IFERROR(__xludf.DUMMYFUNCTION("""COMPUTED_VALUE"""),1.5128205128205128)</f>
        <v>1.512820513</v>
      </c>
      <c r="R381" s="57">
        <f>IFERROR(__xludf.DUMMYFUNCTION("""COMPUTED_VALUE"""),2.5384615384615383)</f>
        <v>2.538461538</v>
      </c>
      <c r="S381" s="31">
        <f>IFERROR(__xludf.DUMMYFUNCTION("""COMPUTED_VALUE"""),377.04273504273505)</f>
        <v>377.042735</v>
      </c>
      <c r="T381" s="57">
        <f>IFERROR(__xludf.DUMMYFUNCTION("""COMPUTED_VALUE"""),0.9059829059829059)</f>
        <v>0.905982906</v>
      </c>
      <c r="U381" s="57">
        <f>IFERROR(__xludf.DUMMYFUNCTION("""COMPUTED_VALUE"""),0.7094017094017093)</f>
        <v>0.7094017094</v>
      </c>
      <c r="V381" s="57">
        <f>IFERROR(__xludf.DUMMYFUNCTION("""COMPUTED_VALUE"""),1.35042735042735)</f>
        <v>1.35042735</v>
      </c>
      <c r="W381" s="57">
        <f>IFERROR(__xludf.DUMMYFUNCTION("""COMPUTED_VALUE"""),2.863247863247863)</f>
        <v>2.863247863</v>
      </c>
      <c r="X381" s="31">
        <f>IFERROR(__xludf.DUMMYFUNCTION("""COMPUTED_VALUE"""),399.5623040736095)</f>
        <v>399.5623041</v>
      </c>
      <c r="Y381" s="57">
        <f>IFERROR(__xludf.DUMMYFUNCTION("""COMPUTED_VALUE"""),0.9588275726593783)</f>
        <v>0.9588275727</v>
      </c>
      <c r="Z381" s="57">
        <f>IFERROR(__xludf.DUMMYFUNCTION("""COMPUTED_VALUE"""),0.7550770079459889)</f>
        <v>0.7550770079</v>
      </c>
      <c r="AA381" s="57">
        <f>IFERROR(__xludf.DUMMYFUNCTION("""COMPUTED_VALUE"""),1.463950867293552)</f>
        <v>1.463950867</v>
      </c>
      <c r="AB381" s="57">
        <f>IFERROR(__xludf.DUMMYFUNCTION("""COMPUTED_VALUE"""),2.9394782156170893)</f>
        <v>2.939478216</v>
      </c>
      <c r="AC381" s="31">
        <f>IFERROR(__xludf.DUMMYFUNCTION("""COMPUTED_VALUE"""),379.09828865753)</f>
        <v>379.0982887</v>
      </c>
      <c r="AD381" s="57">
        <f>IFERROR(__xludf.DUMMYFUNCTION("""COMPUTED_VALUE"""),0.8424664869711836)</f>
        <v>0.842466487</v>
      </c>
      <c r="AE381" s="57">
        <f>IFERROR(__xludf.DUMMYFUNCTION("""COMPUTED_VALUE"""),0.6505972914443142)</f>
        <v>0.6505972914</v>
      </c>
      <c r="AF381" s="57">
        <f>IFERROR(__xludf.DUMMYFUNCTION("""COMPUTED_VALUE"""),1.4699505476646542)</f>
        <v>1.469950548</v>
      </c>
      <c r="AG381" s="57">
        <f>IFERROR(__xludf.DUMMYFUNCTION("""COMPUTED_VALUE"""),2.751572555618103)</f>
        <v>2.751572556</v>
      </c>
      <c r="AH381" s="57">
        <f>IFERROR(__xludf.DUMMYFUNCTION("""COMPUTED_VALUE"""),1.0462072673023308)</f>
        <v>1.046207267</v>
      </c>
      <c r="AI381" s="57">
        <f>IFERROR(__xludf.DUMMYFUNCTION("""COMPUTED_VALUE"""),1.0956838489748693)</f>
        <v>1.095683849</v>
      </c>
      <c r="AJ381" s="57">
        <f>IFERROR(__xludf.DUMMYFUNCTION("""COMPUTED_VALUE"""),1.0246994191855283)</f>
        <v>1.024699419</v>
      </c>
      <c r="AK381" s="57">
        <f>IFERROR(__xludf.DUMMYFUNCTION("""COMPUTED_VALUE"""),1.0291642227175377)</f>
        <v>1.029164223</v>
      </c>
      <c r="AL381" s="57">
        <f>IFERROR(__xludf.DUMMYFUNCTION("""COMPUTED_VALUE"""),0.9225493739129506)</f>
        <v>0.9225493739</v>
      </c>
      <c r="AM381" s="57">
        <f>IFERROR(__xludf.DUMMYFUNCTION("""COMPUTED_VALUE"""),0.9436394054161682)</f>
        <v>0.9436394054</v>
      </c>
      <c r="AN381" s="57">
        <f>IFERROR(__xludf.DUMMYFUNCTION("""COMPUTED_VALUE"""),0.9448861628687795)</f>
        <v>0.9448861629</v>
      </c>
      <c r="AO381" s="57">
        <f>IFERROR(__xludf.DUMMYFUNCTION("""COMPUTED_VALUE"""),0.9395090857440772)</f>
        <v>0.9395090857</v>
      </c>
      <c r="AP381" s="35">
        <f>IFERROR(__xludf.DUMMYFUNCTION("""COMPUTED_VALUE"""),0.9224540116731677)</f>
        <v>0.9224540117</v>
      </c>
      <c r="AQ381" s="57">
        <f>IFERROR(__xludf.DUMMYFUNCTION("""COMPUTED_VALUE"""),0.9740667061370879)</f>
        <v>0.9740667061</v>
      </c>
      <c r="AR381" s="36" t="b">
        <f>IFERROR(__xludf.DUMMYFUNCTION("""COMPUTED_VALUE"""),TRUE)</f>
        <v>1</v>
      </c>
      <c r="AS381" s="57"/>
      <c r="AT381" s="37"/>
      <c r="AU381" s="30"/>
      <c r="AV381" s="30"/>
      <c r="AW381" s="30"/>
      <c r="AX381" s="30"/>
      <c r="AY381" s="30"/>
      <c r="AZ381" s="30"/>
    </row>
    <row r="382">
      <c r="A382" s="30" t="str">
        <f>IFERROR(__xludf.DUMMYFUNCTION("""COMPUTED_VALUE"""),"Master")</f>
        <v>Master</v>
      </c>
      <c r="B382" s="30" t="str">
        <f>IFERROR(__xludf.DUMMYFUNCTION("""COMPUTED_VALUE"""),"RSC005220")</f>
        <v>RSC005220</v>
      </c>
      <c r="C382" s="30" t="str">
        <f>IFERROR(__xludf.DUMMYFUNCTION("""COMPUTED_VALUE"""),"Swax")</f>
        <v>Swax</v>
      </c>
      <c r="D382" s="31" t="str">
        <f>IFERROR(__xludf.DUMMYFUNCTION("""COMPUTED_VALUE"""),"Andromeda")</f>
        <v>Andromeda</v>
      </c>
      <c r="E382" s="31">
        <f>IFERROR(__xludf.DUMMYFUNCTION("""COMPUTED_VALUE"""),57.90333939293549)</f>
        <v>57.90333939</v>
      </c>
      <c r="F382" s="31">
        <f>IFERROR(__xludf.DUMMYFUNCTION("""COMPUTED_VALUE"""),2.6599242097700575)</f>
        <v>2.65992421</v>
      </c>
      <c r="G382" s="31">
        <f>IFERROR(__xludf.DUMMYFUNCTION("""COMPUTED_VALUE"""),51.69990971822622)</f>
        <v>51.69990972</v>
      </c>
      <c r="H382" s="31">
        <f>IFERROR(__xludf.DUMMYFUNCTION("""COMPUTED_VALUE"""),2.1146376604790302)</f>
        <v>2.11463766</v>
      </c>
      <c r="I382" s="54">
        <f>IFERROR(__xludf.DUMMYFUNCTION("""COMPUTED_VALUE"""),46.0)</f>
        <v>46</v>
      </c>
      <c r="J382" s="55">
        <f>IFERROR(__xludf.DUMMYFUNCTION("""COMPUTED_VALUE"""),24.0)</f>
        <v>24</v>
      </c>
      <c r="K382" s="54">
        <f>IFERROR(__xludf.DUMMYFUNCTION("""COMPUTED_VALUE"""),22.0)</f>
        <v>22</v>
      </c>
      <c r="L382" s="56">
        <f>IFERROR(__xludf.DUMMYFUNCTION("""COMPUTED_VALUE"""),0.5217391304347826)</f>
        <v>0.5217391304</v>
      </c>
      <c r="M382" s="56">
        <f>IFERROR(__xludf.DUMMYFUNCTION("""COMPUTED_VALUE"""),0.30281690140845074)</f>
        <v>0.3028169014</v>
      </c>
      <c r="N382" s="31">
        <f>IFERROR(__xludf.DUMMYFUNCTION("""COMPUTED_VALUE"""),383.1521739130435)</f>
        <v>383.1521739</v>
      </c>
      <c r="O382" s="57">
        <f>IFERROR(__xludf.DUMMYFUNCTION("""COMPUTED_VALUE"""),0.9347826086956522)</f>
        <v>0.9347826087</v>
      </c>
      <c r="P382" s="57">
        <f>IFERROR(__xludf.DUMMYFUNCTION("""COMPUTED_VALUE"""),0.6304347826086957)</f>
        <v>0.6304347826</v>
      </c>
      <c r="Q382" s="57">
        <f>IFERROR(__xludf.DUMMYFUNCTION("""COMPUTED_VALUE"""),1.6304347826086956)</f>
        <v>1.630434783</v>
      </c>
      <c r="R382" s="57">
        <f>IFERROR(__xludf.DUMMYFUNCTION("""COMPUTED_VALUE"""),3.0869565217391304)</f>
        <v>3.086956522</v>
      </c>
      <c r="S382" s="31">
        <f>IFERROR(__xludf.DUMMYFUNCTION("""COMPUTED_VALUE"""),354.9347826086956)</f>
        <v>354.9347826</v>
      </c>
      <c r="T382" s="57">
        <f>IFERROR(__xludf.DUMMYFUNCTION("""COMPUTED_VALUE"""),0.7173913043478259)</f>
        <v>0.7173913043</v>
      </c>
      <c r="U382" s="57">
        <f>IFERROR(__xludf.DUMMYFUNCTION("""COMPUTED_VALUE"""),0.5434782608695652)</f>
        <v>0.5434782609</v>
      </c>
      <c r="V382" s="57">
        <f>IFERROR(__xludf.DUMMYFUNCTION("""COMPUTED_VALUE"""),1.4492753623188406)</f>
        <v>1.449275362</v>
      </c>
      <c r="W382" s="57">
        <f>IFERROR(__xludf.DUMMYFUNCTION("""COMPUTED_VALUE"""),2.768115942028985)</f>
        <v>2.768115942</v>
      </c>
      <c r="X382" s="31">
        <f>IFERROR(__xludf.DUMMYFUNCTION("""COMPUTED_VALUE"""),374.4983216213617)</f>
        <v>374.4983216</v>
      </c>
      <c r="Y382" s="57">
        <f>IFERROR(__xludf.DUMMYFUNCTION("""COMPUTED_VALUE"""),0.8194264025528573)</f>
        <v>0.8194264026</v>
      </c>
      <c r="Z382" s="57">
        <f>IFERROR(__xludf.DUMMYFUNCTION("""COMPUTED_VALUE"""),0.6304876356410236)</f>
        <v>0.6304876356</v>
      </c>
      <c r="AA382" s="57">
        <f>IFERROR(__xludf.DUMMYFUNCTION("""COMPUTED_VALUE"""),1.4749203543515639)</f>
        <v>1.474920354</v>
      </c>
      <c r="AB382" s="57">
        <f>IFERROR(__xludf.DUMMYFUNCTION("""COMPUTED_VALUE"""),2.7097024169500252)</f>
        <v>2.709702417</v>
      </c>
      <c r="AC382" s="31">
        <f>IFERROR(__xludf.DUMMYFUNCTION("""COMPUTED_VALUE"""),392.62306497584075)</f>
        <v>392.623065</v>
      </c>
      <c r="AD382" s="57">
        <f>IFERROR(__xludf.DUMMYFUNCTION("""COMPUTED_VALUE"""),0.9289681295335412)</f>
        <v>0.9289681295</v>
      </c>
      <c r="AE382" s="57">
        <f>IFERROR(__xludf.DUMMYFUNCTION("""COMPUTED_VALUE"""),0.7237036361506762)</f>
        <v>0.7237036362</v>
      </c>
      <c r="AF382" s="57">
        <f>IFERROR(__xludf.DUMMYFUNCTION("""COMPUTED_VALUE"""),1.468392446699578)</f>
        <v>1.468392447</v>
      </c>
      <c r="AG382" s="57">
        <f>IFERROR(__xludf.DUMMYFUNCTION("""COMPUTED_VALUE"""),2.9234705818000863)</f>
        <v>2.923470582</v>
      </c>
      <c r="AH382" s="57">
        <f>IFERROR(__xludf.DUMMYFUNCTION("""COMPUTED_VALUE"""),0.975877904515416)</f>
        <v>0.9758779045</v>
      </c>
      <c r="AI382" s="57">
        <f>IFERROR(__xludf.DUMMYFUNCTION("""COMPUTED_VALUE"""),1.0062590728112821)</f>
        <v>1.006259073</v>
      </c>
      <c r="AJ382" s="57">
        <f>IFERROR(__xludf.DUMMYFUNCTION("""COMPUTED_VALUE"""),0.871122861786255)</f>
        <v>0.8711228618</v>
      </c>
      <c r="AK382" s="57">
        <f>IFERROR(__xludf.DUMMYFUNCTION("""COMPUTED_VALUE"""),1.1103535613202935)</f>
        <v>1.110353561</v>
      </c>
      <c r="AL382" s="57">
        <f>IFERROR(__xludf.DUMMYFUNCTION("""COMPUTED_VALUE"""),1.0559218693551484)</f>
        <v>1.055921869</v>
      </c>
      <c r="AM382" s="57">
        <f>IFERROR(__xludf.DUMMYFUNCTION("""COMPUTED_VALUE"""),0.9477606763951111)</f>
        <v>0.9477606764</v>
      </c>
      <c r="AN382" s="57">
        <f>IFERROR(__xludf.DUMMYFUNCTION("""COMPUTED_VALUE"""),0.875479850432999)</f>
        <v>0.8754798504</v>
      </c>
      <c r="AO382" s="57">
        <f>IFERROR(__xludf.DUMMYFUNCTION("""COMPUTED_VALUE"""),0.8619966992961011)</f>
        <v>0.8619966993</v>
      </c>
      <c r="AP382" s="35">
        <f>IFERROR(__xludf.DUMMYFUNCTION("""COMPUTED_VALUE"""),0.9826126258566701)</f>
        <v>0.9826126259</v>
      </c>
      <c r="AQ382" s="57">
        <f>IFERROR(__xludf.DUMMYFUNCTION("""COMPUTED_VALUE"""),1.0215571734791116)</f>
        <v>1.021557173</v>
      </c>
      <c r="AR382" s="36" t="b">
        <f>IFERROR(__xludf.DUMMYFUNCTION("""COMPUTED_VALUE"""),TRUE)</f>
        <v>1</v>
      </c>
      <c r="AS382" s="57"/>
      <c r="AT382" s="37"/>
      <c r="AU382" s="30"/>
      <c r="AV382" s="30"/>
      <c r="AW382" s="30"/>
      <c r="AX382" s="30"/>
      <c r="AY382" s="30"/>
      <c r="AZ382" s="30"/>
    </row>
    <row r="383">
      <c r="A383" s="30" t="str">
        <f>IFERROR(__xludf.DUMMYFUNCTION("""COMPUTED_VALUE"""),"Master")</f>
        <v>Master</v>
      </c>
      <c r="B383" s="30" t="str">
        <f>IFERROR(__xludf.DUMMYFUNCTION("""COMPUTED_VALUE"""),"RSC001357")</f>
        <v>RSC001357</v>
      </c>
      <c r="C383" s="30" t="str">
        <f>IFERROR(__xludf.DUMMYFUNCTION("""COMPUTED_VALUE"""),"Isaac13003")</f>
        <v>Isaac13003</v>
      </c>
      <c r="D383" s="31" t="str">
        <f>IFERROR(__xludf.DUMMYFUNCTION("""COMPUTED_VALUE"""),"Andromeda")</f>
        <v>Andromeda</v>
      </c>
      <c r="E383" s="31">
        <f>IFERROR(__xludf.DUMMYFUNCTION("""COMPUTED_VALUE"""),57.87346321774606)</f>
        <v>57.87346322</v>
      </c>
      <c r="F383" s="31">
        <f>IFERROR(__xludf.DUMMYFUNCTION("""COMPUTED_VALUE"""),2.6567187521161424)</f>
        <v>2.656718752</v>
      </c>
      <c r="G383" s="31">
        <f>IFERROR(__xludf.DUMMYFUNCTION("""COMPUTED_VALUE"""),53.02082477527099)</f>
        <v>53.02082478</v>
      </c>
      <c r="H383" s="31">
        <f>IFERROR(__xludf.DUMMYFUNCTION("""COMPUTED_VALUE"""),2.212821863586845)</f>
        <v>2.212821864</v>
      </c>
      <c r="I383" s="54">
        <f>IFERROR(__xludf.DUMMYFUNCTION("""COMPUTED_VALUE"""),8.0)</f>
        <v>8</v>
      </c>
      <c r="J383" s="55">
        <f>IFERROR(__xludf.DUMMYFUNCTION("""COMPUTED_VALUE"""),4.0)</f>
        <v>4</v>
      </c>
      <c r="K383" s="54">
        <f>IFERROR(__xludf.DUMMYFUNCTION("""COMPUTED_VALUE"""),4.0)</f>
        <v>4</v>
      </c>
      <c r="L383" s="56">
        <f>IFERROR(__xludf.DUMMYFUNCTION("""COMPUTED_VALUE"""),0.5)</f>
        <v>0.5</v>
      </c>
      <c r="M383" s="56">
        <f>IFERROR(__xludf.DUMMYFUNCTION("""COMPUTED_VALUE"""),0.4)</f>
        <v>0.4</v>
      </c>
      <c r="N383" s="31">
        <f>IFERROR(__xludf.DUMMYFUNCTION("""COMPUTED_VALUE"""),390.125)</f>
        <v>390.125</v>
      </c>
      <c r="O383" s="57">
        <f>IFERROR(__xludf.DUMMYFUNCTION("""COMPUTED_VALUE"""),1.0)</f>
        <v>1</v>
      </c>
      <c r="P383" s="57">
        <f>IFERROR(__xludf.DUMMYFUNCTION("""COMPUTED_VALUE"""),0.625)</f>
        <v>0.625</v>
      </c>
      <c r="Q383" s="57">
        <f>IFERROR(__xludf.DUMMYFUNCTION("""COMPUTED_VALUE"""),1.375)</f>
        <v>1.375</v>
      </c>
      <c r="R383" s="57">
        <f>IFERROR(__xludf.DUMMYFUNCTION("""COMPUTED_VALUE"""),2.5)</f>
        <v>2.5</v>
      </c>
      <c r="S383" s="31">
        <f>IFERROR(__xludf.DUMMYFUNCTION("""COMPUTED_VALUE"""),336.08333333333337)</f>
        <v>336.0833333</v>
      </c>
      <c r="T383" s="57">
        <f>IFERROR(__xludf.DUMMYFUNCTION("""COMPUTED_VALUE"""),0.5416666666666667)</f>
        <v>0.5416666667</v>
      </c>
      <c r="U383" s="57">
        <f>IFERROR(__xludf.DUMMYFUNCTION("""COMPUTED_VALUE"""),0.4583333333333333)</f>
        <v>0.4583333333</v>
      </c>
      <c r="V383" s="57">
        <f>IFERROR(__xludf.DUMMYFUNCTION("""COMPUTED_VALUE"""),1.375)</f>
        <v>1.375</v>
      </c>
      <c r="W383" s="57">
        <f>IFERROR(__xludf.DUMMYFUNCTION("""COMPUTED_VALUE"""),2.666666666666667)</f>
        <v>2.666666667</v>
      </c>
      <c r="X383" s="31">
        <f>IFERROR(__xludf.DUMMYFUNCTION("""COMPUTED_VALUE"""),342.88861273554255)</f>
        <v>342.8886127</v>
      </c>
      <c r="Y383" s="57">
        <f>IFERROR(__xludf.DUMMYFUNCTION("""COMPUTED_VALUE"""),0.6473684210526315)</f>
        <v>0.6473684211</v>
      </c>
      <c r="Z383" s="57">
        <f>IFERROR(__xludf.DUMMYFUNCTION("""COMPUTED_VALUE"""),0.5535180543952474)</f>
        <v>0.5535180544</v>
      </c>
      <c r="AA383" s="57">
        <f>IFERROR(__xludf.DUMMYFUNCTION("""COMPUTED_VALUE"""),1.4294277360066836)</f>
        <v>1.429427736</v>
      </c>
      <c r="AB383" s="57">
        <f>IFERROR(__xludf.DUMMYFUNCTION("""COMPUTED_VALUE"""),2.428202450570872)</f>
        <v>2.428202451</v>
      </c>
      <c r="AC383" s="31">
        <f>IFERROR(__xludf.DUMMYFUNCTION("""COMPUTED_VALUE"""),389.2890807265076)</f>
        <v>389.2890807</v>
      </c>
      <c r="AD383" s="57">
        <f>IFERROR(__xludf.DUMMYFUNCTION("""COMPUTED_VALUE"""),0.8825327206906155)</f>
        <v>0.8825327207</v>
      </c>
      <c r="AE383" s="57">
        <f>IFERROR(__xludf.DUMMYFUNCTION("""COMPUTED_VALUE"""),0.6916968346792908)</f>
        <v>0.6916968347</v>
      </c>
      <c r="AF383" s="57">
        <f>IFERROR(__xludf.DUMMYFUNCTION("""COMPUTED_VALUE"""),1.5479276895943561)</f>
        <v>1.54792769</v>
      </c>
      <c r="AG383" s="57">
        <f>IFERROR(__xludf.DUMMYFUNCTION("""COMPUTED_VALUE"""),2.8535513165630126)</f>
        <v>2.853551317</v>
      </c>
      <c r="AH383" s="57">
        <f>IFERROR(__xludf.DUMMYFUNCTION("""COMPUTED_VALUE"""),1.002147296995673)</f>
        <v>1.002147297</v>
      </c>
      <c r="AI383" s="57">
        <f>IFERROR(__xludf.DUMMYFUNCTION("""COMPUTED_VALUE"""),1.133102463574905)</f>
        <v>1.133102464</v>
      </c>
      <c r="AJ383" s="57">
        <f>IFERROR(__xludf.DUMMYFUNCTION("""COMPUTED_VALUE"""),0.9035750471372113)</f>
        <v>0.9035750471</v>
      </c>
      <c r="AK383" s="57">
        <f>IFERROR(__xludf.DUMMYFUNCTION("""COMPUTED_VALUE"""),0.888284387728943)</f>
        <v>0.8882843877</v>
      </c>
      <c r="AL383" s="57">
        <f>IFERROR(__xludf.DUMMYFUNCTION("""COMPUTED_VALUE"""),0.8761012936718969)</f>
        <v>0.8761012937</v>
      </c>
      <c r="AM383" s="57">
        <f>IFERROR(__xludf.DUMMYFUNCTION("""COMPUTED_VALUE"""),0.9801530901014265)</f>
        <v>0.9801530901</v>
      </c>
      <c r="AN383" s="57">
        <f>IFERROR(__xludf.DUMMYFUNCTION("""COMPUTED_VALUE"""),0.8367208672086723)</f>
        <v>0.8367208672</v>
      </c>
      <c r="AO383" s="57">
        <f>IFERROR(__xludf.DUMMYFUNCTION("""COMPUTED_VALUE"""),0.8280368267916586)</f>
        <v>0.8280368268</v>
      </c>
      <c r="AP383" s="35">
        <f>IFERROR(__xludf.DUMMYFUNCTION("""COMPUTED_VALUE"""),0.961923408483219)</f>
        <v>0.9619234085</v>
      </c>
      <c r="AQ383" s="57">
        <f>IFERROR(__xludf.DUMMYFUNCTION("""COMPUTED_VALUE"""),1.0982060684601203)</f>
        <v>1.098206068</v>
      </c>
      <c r="AR383" s="36" t="b">
        <f>IFERROR(__xludf.DUMMYFUNCTION("""COMPUTED_VALUE"""),TRUE)</f>
        <v>1</v>
      </c>
      <c r="AS383" s="57"/>
      <c r="AT383" s="37"/>
      <c r="AU383" s="30"/>
      <c r="AV383" s="30"/>
      <c r="AW383" s="30"/>
      <c r="AX383" s="30"/>
      <c r="AY383" s="30"/>
      <c r="AZ383" s="30"/>
    </row>
    <row r="384">
      <c r="A384" s="30" t="str">
        <f>IFERROR(__xludf.DUMMYFUNCTION("""COMPUTED_VALUE"""),"Master")</f>
        <v>Master</v>
      </c>
      <c r="B384" s="30" t="str">
        <f>IFERROR(__xludf.DUMMYFUNCTION("""COMPUTED_VALUE"""),"RSC003031")</f>
        <v>RSC003031</v>
      </c>
      <c r="C384" s="30" t="str">
        <f>IFERROR(__xludf.DUMMYFUNCTION("""COMPUTED_VALUE"""),"Yesper")</f>
        <v>Yesper</v>
      </c>
      <c r="D384" s="31" t="str">
        <f>IFERROR(__xludf.DUMMYFUNCTION("""COMPUTED_VALUE"""),"Spectres")</f>
        <v>Spectres</v>
      </c>
      <c r="E384" s="31">
        <f>IFERROR(__xludf.DUMMYFUNCTION("""COMPUTED_VALUE"""),56.64921897176069)</f>
        <v>56.64921897</v>
      </c>
      <c r="F384" s="31">
        <f>IFERROR(__xludf.DUMMYFUNCTION("""COMPUTED_VALUE"""),2.530802173409428)</f>
        <v>2.530802173</v>
      </c>
      <c r="G384" s="31">
        <f>IFERROR(__xludf.DUMMYFUNCTION("""COMPUTED_VALUE"""),40.45114879288678)</f>
        <v>40.45114879</v>
      </c>
      <c r="H384" s="31">
        <f>IFERROR(__xludf.DUMMYFUNCTION("""COMPUTED_VALUE"""),-2.8469935315435517)</f>
        <v>-2.846993532</v>
      </c>
      <c r="I384" s="54">
        <f>IFERROR(__xludf.DUMMYFUNCTION("""COMPUTED_VALUE"""),39.0)</f>
        <v>39</v>
      </c>
      <c r="J384" s="55">
        <f>IFERROR(__xludf.DUMMYFUNCTION("""COMPUTED_VALUE"""),13.0)</f>
        <v>13</v>
      </c>
      <c r="K384" s="54">
        <f>IFERROR(__xludf.DUMMYFUNCTION("""COMPUTED_VALUE"""),26.0)</f>
        <v>26</v>
      </c>
      <c r="L384" s="56">
        <f>IFERROR(__xludf.DUMMYFUNCTION("""COMPUTED_VALUE"""),0.3333333333333333)</f>
        <v>0.3333333333</v>
      </c>
      <c r="M384" s="56">
        <f>IFERROR(__xludf.DUMMYFUNCTION("""COMPUTED_VALUE"""),0.2900763358778626)</f>
        <v>0.2900763359</v>
      </c>
      <c r="N384" s="31">
        <f>IFERROR(__xludf.DUMMYFUNCTION("""COMPUTED_VALUE"""),377.0)</f>
        <v>377</v>
      </c>
      <c r="O384" s="57">
        <f>IFERROR(__xludf.DUMMYFUNCTION("""COMPUTED_VALUE"""),0.9743589743589743)</f>
        <v>0.9743589744</v>
      </c>
      <c r="P384" s="57">
        <f>IFERROR(__xludf.DUMMYFUNCTION("""COMPUTED_VALUE"""),0.5897435897435898)</f>
        <v>0.5897435897</v>
      </c>
      <c r="Q384" s="57">
        <f>IFERROR(__xludf.DUMMYFUNCTION("""COMPUTED_VALUE"""),1.2820512820512822)</f>
        <v>1.282051282</v>
      </c>
      <c r="R384" s="57">
        <f>IFERROR(__xludf.DUMMYFUNCTION("""COMPUTED_VALUE"""),3.358974358974359)</f>
        <v>3.358974359</v>
      </c>
      <c r="S384" s="31">
        <f>IFERROR(__xludf.DUMMYFUNCTION("""COMPUTED_VALUE"""),424.09401709401715)</f>
        <v>424.0940171</v>
      </c>
      <c r="T384" s="57">
        <f>IFERROR(__xludf.DUMMYFUNCTION("""COMPUTED_VALUE"""),1.1111111111111112)</f>
        <v>1.111111111</v>
      </c>
      <c r="U384" s="57">
        <f>IFERROR(__xludf.DUMMYFUNCTION("""COMPUTED_VALUE"""),0.8717948717948718)</f>
        <v>0.8717948718</v>
      </c>
      <c r="V384" s="57">
        <f>IFERROR(__xludf.DUMMYFUNCTION("""COMPUTED_VALUE"""),1.5470085470085475)</f>
        <v>1.547008547</v>
      </c>
      <c r="W384" s="57">
        <f>IFERROR(__xludf.DUMMYFUNCTION("""COMPUTED_VALUE"""),3.0512820512820515)</f>
        <v>3.051282051</v>
      </c>
      <c r="X384" s="31">
        <f>IFERROR(__xludf.DUMMYFUNCTION("""COMPUTED_VALUE"""),391.4236384374252)</f>
        <v>391.4236384</v>
      </c>
      <c r="Y384" s="57">
        <f>IFERROR(__xludf.DUMMYFUNCTION("""COMPUTED_VALUE"""),0.9122016254180701)</f>
        <v>0.9122016254</v>
      </c>
      <c r="Z384" s="57">
        <f>IFERROR(__xludf.DUMMYFUNCTION("""COMPUTED_VALUE"""),0.6921512436309063)</f>
        <v>0.6921512436</v>
      </c>
      <c r="AA384" s="57">
        <f>IFERROR(__xludf.DUMMYFUNCTION("""COMPUTED_VALUE"""),1.4511649660708608)</f>
        <v>1.451164966</v>
      </c>
      <c r="AB384" s="57">
        <f>IFERROR(__xludf.DUMMYFUNCTION("""COMPUTED_VALUE"""),2.8972924409171217)</f>
        <v>2.897292441</v>
      </c>
      <c r="AC384" s="31">
        <f>IFERROR(__xludf.DUMMYFUNCTION("""COMPUTED_VALUE"""),377.7752940388935)</f>
        <v>377.775294</v>
      </c>
      <c r="AD384" s="57">
        <f>IFERROR(__xludf.DUMMYFUNCTION("""COMPUTED_VALUE"""),0.8358017218806751)</f>
        <v>0.8358017219</v>
      </c>
      <c r="AE384" s="57">
        <f>IFERROR(__xludf.DUMMYFUNCTION("""COMPUTED_VALUE"""),0.6431559726204154)</f>
        <v>0.6431559726</v>
      </c>
      <c r="AF384" s="57">
        <f>IFERROR(__xludf.DUMMYFUNCTION("""COMPUTED_VALUE"""),1.4741643346416706)</f>
        <v>1.474164335</v>
      </c>
      <c r="AG384" s="57">
        <f>IFERROR(__xludf.DUMMYFUNCTION("""COMPUTED_VALUE"""),2.7352377206529086)</f>
        <v>2.735237721</v>
      </c>
      <c r="AH384" s="57">
        <f>IFERROR(__xludf.DUMMYFUNCTION("""COMPUTED_VALUE"""),0.9979477375807068)</f>
        <v>0.9979477376</v>
      </c>
      <c r="AI384" s="57">
        <f>IFERROR(__xludf.DUMMYFUNCTION("""COMPUTED_VALUE"""),1.1657776585653894)</f>
        <v>1.165777659</v>
      </c>
      <c r="AJ384" s="57">
        <f>IFERROR(__xludf.DUMMYFUNCTION("""COMPUTED_VALUE"""),0.9169526753219641)</f>
        <v>0.9169526753</v>
      </c>
      <c r="AK384" s="57">
        <f>IFERROR(__xludf.DUMMYFUNCTION("""COMPUTED_VALUE"""),0.8696800295083208)</f>
        <v>0.8696800295</v>
      </c>
      <c r="AL384" s="57">
        <f>IFERROR(__xludf.DUMMYFUNCTION("""COMPUTED_VALUE"""),1.2280374512283938)</f>
        <v>1.228037451</v>
      </c>
      <c r="AM384" s="57">
        <f>IFERROR(__xludf.DUMMYFUNCTION("""COMPUTED_VALUE"""),1.083465522897424)</f>
        <v>1.083465523</v>
      </c>
      <c r="AN384" s="57">
        <f>IFERROR(__xludf.DUMMYFUNCTION("""COMPUTED_VALUE"""),1.2180542986884935)</f>
        <v>1.218054299</v>
      </c>
      <c r="AO384" s="57">
        <f>IFERROR(__xludf.DUMMYFUNCTION("""COMPUTED_VALUE"""),1.2595438927792515)</f>
        <v>1.259543893</v>
      </c>
      <c r="AP384" s="35">
        <f>IFERROR(__xludf.DUMMYFUNCTION("""COMPUTED_VALUE"""),1.0660459583703916)</f>
        <v>1.066045958</v>
      </c>
      <c r="AQ384" s="57">
        <f>IFERROR(__xludf.DUMMYFUNCTION("""COMPUTED_VALUE"""),1.0531494881877321)</f>
        <v>1.053149488</v>
      </c>
      <c r="AR384" s="36" t="b">
        <f>IFERROR(__xludf.DUMMYFUNCTION("""COMPUTED_VALUE"""),TRUE)</f>
        <v>1</v>
      </c>
      <c r="AS384" s="57"/>
      <c r="AT384" s="37"/>
      <c r="AU384" s="30"/>
      <c r="AV384" s="30"/>
      <c r="AW384" s="30"/>
      <c r="AX384" s="30"/>
      <c r="AY384" s="30"/>
      <c r="AZ384" s="30"/>
    </row>
    <row r="385">
      <c r="A385" s="30" t="str">
        <f>IFERROR(__xludf.DUMMYFUNCTION("""COMPUTED_VALUE"""),"Master")</f>
        <v>Master</v>
      </c>
      <c r="B385" s="30" t="str">
        <f>IFERROR(__xludf.DUMMYFUNCTION("""COMPUTED_VALUE"""),"RSC007565")</f>
        <v>RSC007565</v>
      </c>
      <c r="C385" s="30" t="str">
        <f>IFERROR(__xludf.DUMMYFUNCTION("""COMPUTED_VALUE"""),"AcX")</f>
        <v>AcX</v>
      </c>
      <c r="D385" s="31" t="str">
        <f>IFERROR(__xludf.DUMMYFUNCTION("""COMPUTED_VALUE"""),"Care Bears")</f>
        <v>Care Bears</v>
      </c>
      <c r="E385" s="31">
        <f>IFERROR(__xludf.DUMMYFUNCTION("""COMPUTED_VALUE"""),56.58883253835208)</f>
        <v>56.58883254</v>
      </c>
      <c r="F385" s="31">
        <f>IFERROR(__xludf.DUMMYFUNCTION("""COMPUTED_VALUE"""),2.524856752500731)</f>
        <v>2.524856753</v>
      </c>
      <c r="G385" s="31">
        <f>IFERROR(__xludf.DUMMYFUNCTION("""COMPUTED_VALUE"""),49.24137070571545)</f>
        <v>49.24137071</v>
      </c>
      <c r="H385" s="31">
        <f>IFERROR(__xludf.DUMMYFUNCTION("""COMPUTED_VALUE"""),-2.049617611936879)</f>
        <v>-2.049617612</v>
      </c>
      <c r="I385" s="54">
        <f>IFERROR(__xludf.DUMMYFUNCTION("""COMPUTED_VALUE"""),39.0)</f>
        <v>39</v>
      </c>
      <c r="J385" s="55">
        <f>IFERROR(__xludf.DUMMYFUNCTION("""COMPUTED_VALUE"""),18.0)</f>
        <v>18</v>
      </c>
      <c r="K385" s="54">
        <f>IFERROR(__xludf.DUMMYFUNCTION("""COMPUTED_VALUE"""),21.0)</f>
        <v>21</v>
      </c>
      <c r="L385" s="56">
        <f>IFERROR(__xludf.DUMMYFUNCTION("""COMPUTED_VALUE"""),0.46153846153846156)</f>
        <v>0.4615384615</v>
      </c>
      <c r="M385" s="56">
        <f>IFERROR(__xludf.DUMMYFUNCTION("""COMPUTED_VALUE"""),0.3097345132743363)</f>
        <v>0.3097345133</v>
      </c>
      <c r="N385" s="31">
        <f>IFERROR(__xludf.DUMMYFUNCTION("""COMPUTED_VALUE"""),391.4102564102564)</f>
        <v>391.4102564</v>
      </c>
      <c r="O385" s="57">
        <f>IFERROR(__xludf.DUMMYFUNCTION("""COMPUTED_VALUE"""),0.8974358974358975)</f>
        <v>0.8974358974</v>
      </c>
      <c r="P385" s="57">
        <f>IFERROR(__xludf.DUMMYFUNCTION("""COMPUTED_VALUE"""),0.5897435897435898)</f>
        <v>0.5897435897</v>
      </c>
      <c r="Q385" s="57">
        <f>IFERROR(__xludf.DUMMYFUNCTION("""COMPUTED_VALUE"""),1.5384615384615385)</f>
        <v>1.538461538</v>
      </c>
      <c r="R385" s="57">
        <f>IFERROR(__xludf.DUMMYFUNCTION("""COMPUTED_VALUE"""),2.8974358974358974)</f>
        <v>2.897435897</v>
      </c>
      <c r="S385" s="31">
        <f>IFERROR(__xludf.DUMMYFUNCTION("""COMPUTED_VALUE"""),381.1709401709401)</f>
        <v>381.1709402</v>
      </c>
      <c r="T385" s="57">
        <f>IFERROR(__xludf.DUMMYFUNCTION("""COMPUTED_VALUE"""),0.8974358974358972)</f>
        <v>0.8974358974</v>
      </c>
      <c r="U385" s="57">
        <f>IFERROR(__xludf.DUMMYFUNCTION("""COMPUTED_VALUE"""),0.6837606837606837)</f>
        <v>0.6837606838</v>
      </c>
      <c r="V385" s="57">
        <f>IFERROR(__xludf.DUMMYFUNCTION("""COMPUTED_VALUE"""),1.452991452991453)</f>
        <v>1.452991453</v>
      </c>
      <c r="W385" s="57">
        <f>IFERROR(__xludf.DUMMYFUNCTION("""COMPUTED_VALUE"""),2.8205128205128207)</f>
        <v>2.820512821</v>
      </c>
      <c r="X385" s="31">
        <f>IFERROR(__xludf.DUMMYFUNCTION("""COMPUTED_VALUE"""),398.4258088433803)</f>
        <v>398.4258088</v>
      </c>
      <c r="Y385" s="57">
        <f>IFERROR(__xludf.DUMMYFUNCTION("""COMPUTED_VALUE"""),0.9430960311382811)</f>
        <v>0.9430960311</v>
      </c>
      <c r="Z385" s="57">
        <f>IFERROR(__xludf.DUMMYFUNCTION("""COMPUTED_VALUE"""),0.7155899828562341)</f>
        <v>0.7155899829</v>
      </c>
      <c r="AA385" s="57">
        <f>IFERROR(__xludf.DUMMYFUNCTION("""COMPUTED_VALUE"""),1.4734179119013624)</f>
        <v>1.473417912</v>
      </c>
      <c r="AB385" s="57">
        <f>IFERROR(__xludf.DUMMYFUNCTION("""COMPUTED_VALUE"""),2.9095405914139687)</f>
        <v>2.909540591</v>
      </c>
      <c r="AC385" s="31">
        <f>IFERROR(__xludf.DUMMYFUNCTION("""COMPUTED_VALUE"""),381.5080429697136)</f>
        <v>381.508043</v>
      </c>
      <c r="AD385" s="57">
        <f>IFERROR(__xludf.DUMMYFUNCTION("""COMPUTED_VALUE"""),0.8513217920705765)</f>
        <v>0.8513217921</v>
      </c>
      <c r="AE385" s="57">
        <f>IFERROR(__xludf.DUMMYFUNCTION("""COMPUTED_VALUE"""),0.6402223466777576)</f>
        <v>0.6402223467</v>
      </c>
      <c r="AF385" s="57">
        <f>IFERROR(__xludf.DUMMYFUNCTION("""COMPUTED_VALUE"""),1.4886407568966509)</f>
        <v>1.488640757</v>
      </c>
      <c r="AG385" s="57">
        <f>IFERROR(__xludf.DUMMYFUNCTION("""COMPUTED_VALUE"""),2.752054562486589)</f>
        <v>2.752054562</v>
      </c>
      <c r="AH385" s="57">
        <f>IFERROR(__xludf.DUMMYFUNCTION("""COMPUTED_VALUE"""),1.025955451328005)</f>
        <v>1.025955451</v>
      </c>
      <c r="AI385" s="57">
        <f>IFERROR(__xludf.DUMMYFUNCTION("""COMPUTED_VALUE"""),1.054167655280106)</f>
        <v>1.054167655</v>
      </c>
      <c r="AJ385" s="57">
        <f>IFERROR(__xludf.DUMMYFUNCTION("""COMPUTED_VALUE"""),0.921154334589987)</f>
        <v>0.9211543346</v>
      </c>
      <c r="AK385" s="57">
        <f>IFERROR(__xludf.DUMMYFUNCTION("""COMPUTED_VALUE"""),1.0334672964810854)</f>
        <v>1.033467296</v>
      </c>
      <c r="AL385" s="57">
        <f>IFERROR(__xludf.DUMMYFUNCTION("""COMPUTED_VALUE"""),1.052826472603781)</f>
        <v>1.052826473</v>
      </c>
      <c r="AM385" s="57">
        <f>IFERROR(__xludf.DUMMYFUNCTION("""COMPUTED_VALUE"""),0.9566923921858109)</f>
        <v>0.9566923922</v>
      </c>
      <c r="AN385" s="57">
        <f>IFERROR(__xludf.DUMMYFUNCTION("""COMPUTED_VALUE"""),0.9515848522368673)</f>
        <v>0.9515848522</v>
      </c>
      <c r="AO385" s="57">
        <f>IFERROR(__xludf.DUMMYFUNCTION("""COMPUTED_VALUE"""),0.9555202003128863)</f>
        <v>0.9555202003</v>
      </c>
      <c r="AP385" s="35">
        <f>IFERROR(__xludf.DUMMYFUNCTION("""COMPUTED_VALUE"""),0.9861366834589718)</f>
        <v>0.9861366835</v>
      </c>
      <c r="AQ385" s="57">
        <f>IFERROR(__xludf.DUMMYFUNCTION("""COMPUTED_VALUE"""),0.9694014336270584)</f>
        <v>0.9694014336</v>
      </c>
      <c r="AR385" s="36" t="b">
        <f>IFERROR(__xludf.DUMMYFUNCTION("""COMPUTED_VALUE"""),TRUE)</f>
        <v>1</v>
      </c>
      <c r="AS385" s="57"/>
      <c r="AT385" s="37"/>
      <c r="AU385" s="30"/>
      <c r="AV385" s="30"/>
      <c r="AW385" s="30"/>
      <c r="AX385" s="30"/>
      <c r="AY385" s="30"/>
      <c r="AZ385" s="30"/>
    </row>
    <row r="386">
      <c r="A386" s="30" t="str">
        <f>IFERROR(__xludf.DUMMYFUNCTION("""COMPUTED_VALUE"""),"Master")</f>
        <v>Master</v>
      </c>
      <c r="B386" s="30" t="str">
        <f>IFERROR(__xludf.DUMMYFUNCTION("""COMPUTED_VALUE"""),"RSC005349")</f>
        <v>RSC005349</v>
      </c>
      <c r="C386" s="30" t="str">
        <f>IFERROR(__xludf.DUMMYFUNCTION("""COMPUTED_VALUE"""),"Rzemb1e")</f>
        <v>Rzemb1e</v>
      </c>
      <c r="D386" s="31" t="str">
        <f>IFERROR(__xludf.DUMMYFUNCTION("""COMPUTED_VALUE"""),"Heinous Henchmen")</f>
        <v>Heinous Henchmen</v>
      </c>
      <c r="E386" s="31">
        <f>IFERROR(__xludf.DUMMYFUNCTION("""COMPUTED_VALUE"""),56.39719413108175)</f>
        <v>56.39719413</v>
      </c>
      <c r="F386" s="31">
        <f>IFERROR(__xludf.DUMMYFUNCTION("""COMPUTED_VALUE"""),2.506147887430799)</f>
        <v>2.506147887</v>
      </c>
      <c r="G386" s="31">
        <f>IFERROR(__xludf.DUMMYFUNCTION("""COMPUTED_VALUE"""),48.67567268671587)</f>
        <v>48.67567269</v>
      </c>
      <c r="H386" s="31">
        <f>IFERROR(__xludf.DUMMYFUNCTION("""COMPUTED_VALUE"""),-2.088220319972051)</f>
        <v>-2.08822032</v>
      </c>
      <c r="I386" s="54">
        <f>IFERROR(__xludf.DUMMYFUNCTION("""COMPUTED_VALUE"""),47.0)</f>
        <v>47</v>
      </c>
      <c r="J386" s="55">
        <f>IFERROR(__xludf.DUMMYFUNCTION("""COMPUTED_VALUE"""),17.0)</f>
        <v>17</v>
      </c>
      <c r="K386" s="54">
        <f>IFERROR(__xludf.DUMMYFUNCTION("""COMPUTED_VALUE"""),30.0)</f>
        <v>30</v>
      </c>
      <c r="L386" s="56">
        <f>IFERROR(__xludf.DUMMYFUNCTION("""COMPUTED_VALUE"""),0.3617021276595745)</f>
        <v>0.3617021277</v>
      </c>
      <c r="M386" s="56">
        <f>IFERROR(__xludf.DUMMYFUNCTION("""COMPUTED_VALUE"""),0.34558823529411764)</f>
        <v>0.3455882353</v>
      </c>
      <c r="N386" s="31">
        <f>IFERROR(__xludf.DUMMYFUNCTION("""COMPUTED_VALUE"""),385.70212765957444)</f>
        <v>385.7021277</v>
      </c>
      <c r="O386" s="57">
        <f>IFERROR(__xludf.DUMMYFUNCTION("""COMPUTED_VALUE"""),1.0)</f>
        <v>1</v>
      </c>
      <c r="P386" s="57">
        <f>IFERROR(__xludf.DUMMYFUNCTION("""COMPUTED_VALUE"""),0.5957446808510638)</f>
        <v>0.5957446809</v>
      </c>
      <c r="Q386" s="57">
        <f>IFERROR(__xludf.DUMMYFUNCTION("""COMPUTED_VALUE"""),1.5106382978723405)</f>
        <v>1.510638298</v>
      </c>
      <c r="R386" s="57">
        <f>IFERROR(__xludf.DUMMYFUNCTION("""COMPUTED_VALUE"""),2.893617021276596)</f>
        <v>2.893617021</v>
      </c>
      <c r="S386" s="31">
        <f>IFERROR(__xludf.DUMMYFUNCTION("""COMPUTED_VALUE"""),392.7801418439716)</f>
        <v>392.7801418</v>
      </c>
      <c r="T386" s="57">
        <f>IFERROR(__xludf.DUMMYFUNCTION("""COMPUTED_VALUE"""),0.9503546099290779)</f>
        <v>0.9503546099</v>
      </c>
      <c r="U386" s="57">
        <f>IFERROR(__xludf.DUMMYFUNCTION("""COMPUTED_VALUE"""),0.7375886524822696)</f>
        <v>0.7375886525</v>
      </c>
      <c r="V386" s="57">
        <f>IFERROR(__xludf.DUMMYFUNCTION("""COMPUTED_VALUE"""),1.354609929078014)</f>
        <v>1.354609929</v>
      </c>
      <c r="W386" s="57">
        <f>IFERROR(__xludf.DUMMYFUNCTION("""COMPUTED_VALUE"""),3.0567375886524815)</f>
        <v>3.056737589</v>
      </c>
      <c r="X386" s="31">
        <f>IFERROR(__xludf.DUMMYFUNCTION("""COMPUTED_VALUE"""),384.8384909444471)</f>
        <v>384.8384909</v>
      </c>
      <c r="Y386" s="57">
        <f>IFERROR(__xludf.DUMMYFUNCTION("""COMPUTED_VALUE"""),0.8879028551569754)</f>
        <v>0.8879028552</v>
      </c>
      <c r="Z386" s="57">
        <f>IFERROR(__xludf.DUMMYFUNCTION("""COMPUTED_VALUE"""),0.6887012426265781)</f>
        <v>0.6887012426</v>
      </c>
      <c r="AA386" s="57">
        <f>IFERROR(__xludf.DUMMYFUNCTION("""COMPUTED_VALUE"""),1.4384478089361665)</f>
        <v>1.438447809</v>
      </c>
      <c r="AB386" s="57">
        <f>IFERROR(__xludf.DUMMYFUNCTION("""COMPUTED_VALUE"""),2.7881341594956384)</f>
        <v>2.788134159</v>
      </c>
      <c r="AC386" s="31">
        <f>IFERROR(__xludf.DUMMYFUNCTION("""COMPUTED_VALUE"""),381.97265217636317)</f>
        <v>381.9726522</v>
      </c>
      <c r="AD386" s="57">
        <f>IFERROR(__xludf.DUMMYFUNCTION("""COMPUTED_VALUE"""),0.8698414157738533)</f>
        <v>0.8698414158</v>
      </c>
      <c r="AE386" s="57">
        <f>IFERROR(__xludf.DUMMYFUNCTION("""COMPUTED_VALUE"""),0.6661569993410027)</f>
        <v>0.6661569993</v>
      </c>
      <c r="AF386" s="57">
        <f>IFERROR(__xludf.DUMMYFUNCTION("""COMPUTED_VALUE"""),1.4540562675535742)</f>
        <v>1.454056268</v>
      </c>
      <c r="AG386" s="57">
        <f>IFERROR(__xludf.DUMMYFUNCTION("""COMPUTED_VALUE"""),2.781713625913038)</f>
        <v>2.781713626</v>
      </c>
      <c r="AH386" s="57">
        <f>IFERROR(__xludf.DUMMYFUNCTION("""COMPUTED_VALUE"""),1.0097637238214878)</f>
        <v>1.009763724</v>
      </c>
      <c r="AI386" s="57">
        <f>IFERROR(__xludf.DUMMYFUNCTION("""COMPUTED_VALUE"""),1.1496348436230197)</f>
        <v>1.149634844</v>
      </c>
      <c r="AJ386" s="57">
        <f>IFERROR(__xludf.DUMMYFUNCTION("""COMPUTED_VALUE"""),0.8943007150572696)</f>
        <v>0.8943007151</v>
      </c>
      <c r="AK386" s="57">
        <f>IFERROR(__xludf.DUMMYFUNCTION("""COMPUTED_VALUE"""),1.0389132329892328)</f>
        <v>1.038913233</v>
      </c>
      <c r="AL386" s="57">
        <f>IFERROR(__xludf.DUMMYFUNCTION("""COMPUTED_VALUE"""),1.0402282227477058)</f>
        <v>1.040228223</v>
      </c>
      <c r="AM386" s="57">
        <f>IFERROR(__xludf.DUMMYFUNCTION("""COMPUTED_VALUE"""),1.0206363216944194)</f>
        <v>1.020636322</v>
      </c>
      <c r="AN386" s="57">
        <f>IFERROR(__xludf.DUMMYFUNCTION("""COMPUTED_VALUE"""),1.070336247270048)</f>
        <v>1.070336247</v>
      </c>
      <c r="AO386" s="57">
        <f>IFERROR(__xludf.DUMMYFUNCTION("""COMPUTED_VALUE"""),1.0709849305182666)</f>
        <v>1.070984931</v>
      </c>
      <c r="AP386" s="35">
        <f>IFERROR(__xludf.DUMMYFUNCTION("""COMPUTED_VALUE"""),0.9417164256239811)</f>
        <v>0.9417164256</v>
      </c>
      <c r="AQ386" s="57">
        <f>IFERROR(__xludf.DUMMYFUNCTION("""COMPUTED_VALUE"""),1.096338057565147)</f>
        <v>1.096338058</v>
      </c>
      <c r="AR386" s="36" t="b">
        <f>IFERROR(__xludf.DUMMYFUNCTION("""COMPUTED_VALUE"""),TRUE)</f>
        <v>1</v>
      </c>
      <c r="AS386" s="57"/>
      <c r="AT386" s="37"/>
      <c r="AU386" s="30"/>
      <c r="AV386" s="30"/>
      <c r="AW386" s="30"/>
      <c r="AX386" s="30"/>
      <c r="AY386" s="30"/>
      <c r="AZ386" s="30"/>
    </row>
    <row r="387">
      <c r="A387" s="30" t="str">
        <f>IFERROR(__xludf.DUMMYFUNCTION("""COMPUTED_VALUE"""),"Master")</f>
        <v>Master</v>
      </c>
      <c r="B387" s="30" t="str">
        <f>IFERROR(__xludf.DUMMYFUNCTION("""COMPUTED_VALUE"""),"RSC007997")</f>
        <v>RSC007997</v>
      </c>
      <c r="C387" s="30" t="str">
        <f>IFERROR(__xludf.DUMMYFUNCTION("""COMPUTED_VALUE"""),"dreamyrll")</f>
        <v>dreamyrll</v>
      </c>
      <c r="D387" s="31" t="str">
        <f>IFERROR(__xludf.DUMMYFUNCTION("""COMPUTED_VALUE"""),"The OG")</f>
        <v>The OG</v>
      </c>
      <c r="E387" s="31">
        <f>IFERROR(__xludf.DUMMYFUNCTION("""COMPUTED_VALUE"""),55.85039973906404)</f>
        <v>55.85039974</v>
      </c>
      <c r="F387" s="31">
        <f>IFERROR(__xludf.DUMMYFUNCTION("""COMPUTED_VALUE"""),2.4540703391667744)</f>
        <v>2.454070339</v>
      </c>
      <c r="G387" s="31">
        <f>IFERROR(__xludf.DUMMYFUNCTION("""COMPUTED_VALUE"""),48.10087021931261)</f>
        <v>48.10087022</v>
      </c>
      <c r="H387" s="31">
        <f>IFERROR(__xludf.DUMMYFUNCTION("""COMPUTED_VALUE"""),-2.128912481306753)</f>
        <v>-2.128912481</v>
      </c>
      <c r="I387" s="54">
        <f>IFERROR(__xludf.DUMMYFUNCTION("""COMPUTED_VALUE"""),24.0)</f>
        <v>24</v>
      </c>
      <c r="J387" s="55">
        <f>IFERROR(__xludf.DUMMYFUNCTION("""COMPUTED_VALUE"""),7.0)</f>
        <v>7</v>
      </c>
      <c r="K387" s="54">
        <f>IFERROR(__xludf.DUMMYFUNCTION("""COMPUTED_VALUE"""),17.0)</f>
        <v>17</v>
      </c>
      <c r="L387" s="56">
        <f>IFERROR(__xludf.DUMMYFUNCTION("""COMPUTED_VALUE"""),0.2916666666666667)</f>
        <v>0.2916666667</v>
      </c>
      <c r="M387" s="56">
        <f>IFERROR(__xludf.DUMMYFUNCTION("""COMPUTED_VALUE"""),0.29333333333333333)</f>
        <v>0.2933333333</v>
      </c>
      <c r="N387" s="31">
        <f>IFERROR(__xludf.DUMMYFUNCTION("""COMPUTED_VALUE"""),437.9166666666667)</f>
        <v>437.9166667</v>
      </c>
      <c r="O387" s="57">
        <f>IFERROR(__xludf.DUMMYFUNCTION("""COMPUTED_VALUE"""),0.9166666666666666)</f>
        <v>0.9166666667</v>
      </c>
      <c r="P387" s="57">
        <f>IFERROR(__xludf.DUMMYFUNCTION("""COMPUTED_VALUE"""),0.5833333333333334)</f>
        <v>0.5833333333</v>
      </c>
      <c r="Q387" s="57">
        <f>IFERROR(__xludf.DUMMYFUNCTION("""COMPUTED_VALUE"""),1.6666666666666667)</f>
        <v>1.666666667</v>
      </c>
      <c r="R387" s="57">
        <f>IFERROR(__xludf.DUMMYFUNCTION("""COMPUTED_VALUE"""),3.125)</f>
        <v>3.125</v>
      </c>
      <c r="S387" s="31">
        <f>IFERROR(__xludf.DUMMYFUNCTION("""COMPUTED_VALUE"""),426.0555555555556)</f>
        <v>426.0555556</v>
      </c>
      <c r="T387" s="57">
        <f>IFERROR(__xludf.DUMMYFUNCTION("""COMPUTED_VALUE"""),1.125)</f>
        <v>1.125</v>
      </c>
      <c r="U387" s="57">
        <f>IFERROR(__xludf.DUMMYFUNCTION("""COMPUTED_VALUE"""),0.7777777777777777)</f>
        <v>0.7777777778</v>
      </c>
      <c r="V387" s="57">
        <f>IFERROR(__xludf.DUMMYFUNCTION("""COMPUTED_VALUE"""),1.5833333333333333)</f>
        <v>1.583333333</v>
      </c>
      <c r="W387" s="57">
        <f>IFERROR(__xludf.DUMMYFUNCTION("""COMPUTED_VALUE"""),3.2083333333333326)</f>
        <v>3.208333333</v>
      </c>
      <c r="X387" s="31">
        <f>IFERROR(__xludf.DUMMYFUNCTION("""COMPUTED_VALUE"""),389.1800562202159)</f>
        <v>389.1800562</v>
      </c>
      <c r="Y387" s="57">
        <f>IFERROR(__xludf.DUMMYFUNCTION("""COMPUTED_VALUE"""),0.9121737479191796)</f>
        <v>0.9121737479</v>
      </c>
      <c r="Z387" s="57">
        <f>IFERROR(__xludf.DUMMYFUNCTION("""COMPUTED_VALUE"""),0.6731840353058322)</f>
        <v>0.6731840353</v>
      </c>
      <c r="AA387" s="57">
        <f>IFERROR(__xludf.DUMMYFUNCTION("""COMPUTED_VALUE"""),1.457874597988751)</f>
        <v>1.457874598</v>
      </c>
      <c r="AB387" s="57">
        <f>IFERROR(__xludf.DUMMYFUNCTION("""COMPUTED_VALUE"""),2.8870360105327495)</f>
        <v>2.887036011</v>
      </c>
      <c r="AC387" s="31">
        <f>IFERROR(__xludf.DUMMYFUNCTION("""COMPUTED_VALUE"""),384.7251943315396)</f>
        <v>384.7251943</v>
      </c>
      <c r="AD387" s="57">
        <f>IFERROR(__xludf.DUMMYFUNCTION("""COMPUTED_VALUE"""),0.8731643428972106)</f>
        <v>0.8731643429</v>
      </c>
      <c r="AE387" s="57">
        <f>IFERROR(__xludf.DUMMYFUNCTION("""COMPUTED_VALUE"""),0.6668671586139929)</f>
        <v>0.6668671586</v>
      </c>
      <c r="AF387" s="57">
        <f>IFERROR(__xludf.DUMMYFUNCTION("""COMPUTED_VALUE"""),1.4832325836039966)</f>
        <v>1.483232584</v>
      </c>
      <c r="AG387" s="57">
        <f>IFERROR(__xludf.DUMMYFUNCTION("""COMPUTED_VALUE"""),2.749445714325137)</f>
        <v>2.749445714</v>
      </c>
      <c r="AH387" s="57">
        <f>IFERROR(__xludf.DUMMYFUNCTION("""COMPUTED_VALUE"""),1.138258354583581)</f>
        <v>1.138258355</v>
      </c>
      <c r="AI387" s="57">
        <f>IFERROR(__xludf.DUMMYFUNCTION("""COMPUTED_VALUE"""),1.0498214615877612)</f>
        <v>1.049821462</v>
      </c>
      <c r="AJ387" s="57">
        <f>IFERROR(__xludf.DUMMYFUNCTION("""COMPUTED_VALUE"""),0.8747369334332267)</f>
        <v>0.8747369334</v>
      </c>
      <c r="AK387" s="57">
        <f>IFERROR(__xludf.DUMMYFUNCTION("""COMPUTED_VALUE"""),1.1236718267184755)</f>
        <v>1.123671827</v>
      </c>
      <c r="AL387" s="57">
        <f>IFERROR(__xludf.DUMMYFUNCTION("""COMPUTED_VALUE"""),1.1365927262059234)</f>
        <v>1.136592726</v>
      </c>
      <c r="AM387" s="57">
        <f>IFERROR(__xludf.DUMMYFUNCTION("""COMPUTED_VALUE"""),1.094751770410542)</f>
        <v>1.09475177</v>
      </c>
      <c r="AN387" s="57">
        <f>IFERROR(__xludf.DUMMYFUNCTION("""COMPUTED_VALUE"""),1.23331766844454)</f>
        <v>1.233317668</v>
      </c>
      <c r="AO387" s="57">
        <f>IFERROR(__xludf.DUMMYFUNCTION("""COMPUTED_VALUE"""),1.1553716918203918)</f>
        <v>1.155371692</v>
      </c>
      <c r="AP387" s="35">
        <f>IFERROR(__xludf.DUMMYFUNCTION("""COMPUTED_VALUE"""),1.0860559169613504)</f>
        <v>1.086055917</v>
      </c>
      <c r="AQ387" s="57">
        <f>IFERROR(__xludf.DUMMYFUNCTION("""COMPUTED_VALUE"""),1.1112896831312102)</f>
        <v>1.111289683</v>
      </c>
      <c r="AR387" s="36" t="b">
        <f>IFERROR(__xludf.DUMMYFUNCTION("""COMPUTED_VALUE"""),TRUE)</f>
        <v>1</v>
      </c>
      <c r="AS387" s="57"/>
      <c r="AT387" s="37"/>
      <c r="AU387" s="30"/>
      <c r="AV387" s="30"/>
      <c r="AW387" s="30"/>
      <c r="AX387" s="30"/>
      <c r="AY387" s="30"/>
      <c r="AZ387" s="30"/>
    </row>
    <row r="388">
      <c r="A388" s="30" t="str">
        <f>IFERROR(__xludf.DUMMYFUNCTION("""COMPUTED_VALUE"""),"Master")</f>
        <v>Master</v>
      </c>
      <c r="B388" s="30" t="str">
        <f>IFERROR(__xludf.DUMMYFUNCTION("""COMPUTED_VALUE"""),"RSC005183")</f>
        <v>RSC005183</v>
      </c>
      <c r="C388" s="30" t="str">
        <f>IFERROR(__xludf.DUMMYFUNCTION("""COMPUTED_VALUE"""),"Kagura.")</f>
        <v>Kagura.</v>
      </c>
      <c r="D388" s="31" t="str">
        <f>IFERROR(__xludf.DUMMYFUNCTION("""COMPUTED_VALUE"""),"Phantom Phreaks")</f>
        <v>Phantom Phreaks</v>
      </c>
      <c r="E388" s="31">
        <f>IFERROR(__xludf.DUMMYFUNCTION("""COMPUTED_VALUE"""),54.79579765912281)</f>
        <v>54.79579766</v>
      </c>
      <c r="F388" s="31">
        <f>IFERROR(__xludf.DUMMYFUNCTION("""COMPUTED_VALUE"""),2.3588413952345197)</f>
        <v>2.358841395</v>
      </c>
      <c r="G388" s="31">
        <f>IFERROR(__xludf.DUMMYFUNCTION("""COMPUTED_VALUE"""),60.16741313982004)</f>
        <v>60.16741314</v>
      </c>
      <c r="H388" s="31">
        <f>IFERROR(__xludf.DUMMYFUNCTION("""COMPUTED_VALUE"""),2.9229899168853657)</f>
        <v>2.922989917</v>
      </c>
      <c r="I388" s="54">
        <f>IFERROR(__xludf.DUMMYFUNCTION("""COMPUTED_VALUE"""),48.0)</f>
        <v>48</v>
      </c>
      <c r="J388" s="55">
        <f>IFERROR(__xludf.DUMMYFUNCTION("""COMPUTED_VALUE"""),18.0)</f>
        <v>18</v>
      </c>
      <c r="K388" s="54">
        <f>IFERROR(__xludf.DUMMYFUNCTION("""COMPUTED_VALUE"""),30.0)</f>
        <v>30</v>
      </c>
      <c r="L388" s="56">
        <f>IFERROR(__xludf.DUMMYFUNCTION("""COMPUTED_VALUE"""),0.375)</f>
        <v>0.375</v>
      </c>
      <c r="M388" s="56">
        <f>IFERROR(__xludf.DUMMYFUNCTION("""COMPUTED_VALUE"""),0.2828947368421053)</f>
        <v>0.2828947368</v>
      </c>
      <c r="N388" s="31">
        <f>IFERROR(__xludf.DUMMYFUNCTION("""COMPUTED_VALUE"""),412.1041666666667)</f>
        <v>412.1041667</v>
      </c>
      <c r="O388" s="57">
        <f>IFERROR(__xludf.DUMMYFUNCTION("""COMPUTED_VALUE"""),0.8958333333333334)</f>
        <v>0.8958333333</v>
      </c>
      <c r="P388" s="57">
        <f>IFERROR(__xludf.DUMMYFUNCTION("""COMPUTED_VALUE"""),0.5625)</f>
        <v>0.5625</v>
      </c>
      <c r="Q388" s="57">
        <f>IFERROR(__xludf.DUMMYFUNCTION("""COMPUTED_VALUE"""),1.7708333333333333)</f>
        <v>1.770833333</v>
      </c>
      <c r="R388" s="57">
        <f>IFERROR(__xludf.DUMMYFUNCTION("""COMPUTED_VALUE"""),3.1666666666666665)</f>
        <v>3.166666667</v>
      </c>
      <c r="S388" s="31">
        <f>IFERROR(__xludf.DUMMYFUNCTION("""COMPUTED_VALUE"""),395.8680555555555)</f>
        <v>395.8680556</v>
      </c>
      <c r="T388" s="57">
        <f>IFERROR(__xludf.DUMMYFUNCTION("""COMPUTED_VALUE"""),0.9791666666666665)</f>
        <v>0.9791666667</v>
      </c>
      <c r="U388" s="57">
        <f>IFERROR(__xludf.DUMMYFUNCTION("""COMPUTED_VALUE"""),0.7638888888888887)</f>
        <v>0.7638888889</v>
      </c>
      <c r="V388" s="57">
        <f>IFERROR(__xludf.DUMMYFUNCTION("""COMPUTED_VALUE"""),1.4861111111111114)</f>
        <v>1.486111111</v>
      </c>
      <c r="W388" s="57">
        <f>IFERROR(__xludf.DUMMYFUNCTION("""COMPUTED_VALUE"""),2.8819444444444446)</f>
        <v>2.881944444</v>
      </c>
      <c r="X388" s="31">
        <f>IFERROR(__xludf.DUMMYFUNCTION("""COMPUTED_VALUE"""),388.4139544886396)</f>
        <v>388.4139545</v>
      </c>
      <c r="Y388" s="57">
        <f>IFERROR(__xludf.DUMMYFUNCTION("""COMPUTED_VALUE"""),0.908610523596877)</f>
        <v>0.9086105236</v>
      </c>
      <c r="Z388" s="57">
        <f>IFERROR(__xludf.DUMMYFUNCTION("""COMPUTED_VALUE"""),0.719323372274915)</f>
        <v>0.7193233723</v>
      </c>
      <c r="AA388" s="57">
        <f>IFERROR(__xludf.DUMMYFUNCTION("""COMPUTED_VALUE"""),1.4547163994399723)</f>
        <v>1.454716399</v>
      </c>
      <c r="AB388" s="57">
        <f>IFERROR(__xludf.DUMMYFUNCTION("""COMPUTED_VALUE"""),2.8702300395274833)</f>
        <v>2.87023004</v>
      </c>
      <c r="AC388" s="31">
        <f>IFERROR(__xludf.DUMMYFUNCTION("""COMPUTED_VALUE"""),386.8847066275466)</f>
        <v>386.8847066</v>
      </c>
      <c r="AD388" s="57">
        <f>IFERROR(__xludf.DUMMYFUNCTION("""COMPUTED_VALUE"""),0.8840047684099072)</f>
        <v>0.8840047684</v>
      </c>
      <c r="AE388" s="57">
        <f>IFERROR(__xludf.DUMMYFUNCTION("""COMPUTED_VALUE"""),0.6816494115759367)</f>
        <v>0.6816494116</v>
      </c>
      <c r="AF388" s="57">
        <f>IFERROR(__xludf.DUMMYFUNCTION("""COMPUTED_VALUE"""),1.4870153085792934)</f>
        <v>1.487015309</v>
      </c>
      <c r="AG388" s="57">
        <f>IFERROR(__xludf.DUMMYFUNCTION("""COMPUTED_VALUE"""),2.8264859828382285)</f>
        <v>2.826485983</v>
      </c>
      <c r="AH388" s="57">
        <f>IFERROR(__xludf.DUMMYFUNCTION("""COMPUTED_VALUE"""),1.0651859833358541)</f>
        <v>1.065185983</v>
      </c>
      <c r="AI388" s="57">
        <f>IFERROR(__xludf.DUMMYFUNCTION("""COMPUTED_VALUE"""),1.013380657374397)</f>
        <v>1.013380657</v>
      </c>
      <c r="AJ388" s="57">
        <f>IFERROR(__xludf.DUMMYFUNCTION("""COMPUTED_VALUE"""),0.825204262554163)</f>
        <v>0.8252042626</v>
      </c>
      <c r="AK388" s="57">
        <f>IFERROR(__xludf.DUMMYFUNCTION("""COMPUTED_VALUE"""),1.1908642252144679)</f>
        <v>1.190864225</v>
      </c>
      <c r="AL388" s="57">
        <f>IFERROR(__xludf.DUMMYFUNCTION("""COMPUTED_VALUE"""),1.1203546332421024)</f>
        <v>1.120354633</v>
      </c>
      <c r="AM388" s="57">
        <f>IFERROR(__xludf.DUMMYFUNCTION("""COMPUTED_VALUE"""),1.0191911258099093)</f>
        <v>1.019191126</v>
      </c>
      <c r="AN388" s="57">
        <f>IFERROR(__xludf.DUMMYFUNCTION("""COMPUTED_VALUE"""),1.0776527909785614)</f>
        <v>1.077652791</v>
      </c>
      <c r="AO388" s="57">
        <f>IFERROR(__xludf.DUMMYFUNCTION("""COMPUTED_VALUE"""),1.0619547735158832)</f>
        <v>1.061954774</v>
      </c>
      <c r="AP388" s="35">
        <f>IFERROR(__xludf.DUMMYFUNCTION("""COMPUTED_VALUE"""),1.0215813279366515)</f>
        <v>1.021581328</v>
      </c>
      <c r="AQ388" s="57">
        <f>IFERROR(__xludf.DUMMYFUNCTION("""COMPUTED_VALUE"""),1.0040813470542904)</f>
        <v>1.004081347</v>
      </c>
      <c r="AR388" s="36" t="b">
        <f>IFERROR(__xludf.DUMMYFUNCTION("""COMPUTED_VALUE"""),TRUE)</f>
        <v>1</v>
      </c>
      <c r="AS388" s="57"/>
      <c r="AT388" s="37"/>
      <c r="AU388" s="30"/>
      <c r="AV388" s="30"/>
      <c r="AW388" s="30"/>
      <c r="AX388" s="30"/>
      <c r="AY388" s="30"/>
      <c r="AZ388" s="30"/>
    </row>
    <row r="389">
      <c r="A389" s="30" t="str">
        <f>IFERROR(__xludf.DUMMYFUNCTION("""COMPUTED_VALUE"""),"Master")</f>
        <v>Master</v>
      </c>
      <c r="B389" s="30" t="str">
        <f>IFERROR(__xludf.DUMMYFUNCTION("""COMPUTED_VALUE"""),"RSC006405")</f>
        <v>RSC006405</v>
      </c>
      <c r="C389" s="30" t="str">
        <f>IFERROR(__xludf.DUMMYFUNCTION("""COMPUTED_VALUE"""),"Lil Panda")</f>
        <v>Lil Panda</v>
      </c>
      <c r="D389" s="31" t="str">
        <f>IFERROR(__xludf.DUMMYFUNCTION("""COMPUTED_VALUE"""),"Helicoprions")</f>
        <v>Helicoprions</v>
      </c>
      <c r="E389" s="31">
        <f>IFERROR(__xludf.DUMMYFUNCTION("""COMPUTED_VALUE"""),54.21958614951013)</f>
        <v>54.21958615</v>
      </c>
      <c r="F389" s="31">
        <f>IFERROR(__xludf.DUMMYFUNCTION("""COMPUTED_VALUE"""),2.309556884826794)</f>
        <v>2.309556885</v>
      </c>
      <c r="G389" s="31">
        <f>IFERROR(__xludf.DUMMYFUNCTION("""COMPUTED_VALUE"""),48.67870868997804)</f>
        <v>48.67870869</v>
      </c>
      <c r="H389" s="31">
        <f>IFERROR(__xludf.DUMMYFUNCTION("""COMPUTED_VALUE"""),-2.0880093730947427)</f>
        <v>-2.088009373</v>
      </c>
      <c r="I389" s="54">
        <f>IFERROR(__xludf.DUMMYFUNCTION("""COMPUTED_VALUE"""),45.0)</f>
        <v>45</v>
      </c>
      <c r="J389" s="55">
        <f>IFERROR(__xludf.DUMMYFUNCTION("""COMPUTED_VALUE"""),29.0)</f>
        <v>29</v>
      </c>
      <c r="K389" s="54">
        <f>IFERROR(__xludf.DUMMYFUNCTION("""COMPUTED_VALUE"""),16.0)</f>
        <v>16</v>
      </c>
      <c r="L389" s="56">
        <f>IFERROR(__xludf.DUMMYFUNCTION("""COMPUTED_VALUE"""),0.6444444444444445)</f>
        <v>0.6444444444</v>
      </c>
      <c r="M389" s="56">
        <f>IFERROR(__xludf.DUMMYFUNCTION("""COMPUTED_VALUE"""),0.39639639639639634)</f>
        <v>0.3963963964</v>
      </c>
      <c r="N389" s="31">
        <f>IFERROR(__xludf.DUMMYFUNCTION("""COMPUTED_VALUE"""),382.24444444444447)</f>
        <v>382.2444444</v>
      </c>
      <c r="O389" s="57">
        <f>IFERROR(__xludf.DUMMYFUNCTION("""COMPUTED_VALUE"""),0.9777777777777777)</f>
        <v>0.9777777778</v>
      </c>
      <c r="P389" s="57">
        <f>IFERROR(__xludf.DUMMYFUNCTION("""COMPUTED_VALUE"""),0.6)</f>
        <v>0.6</v>
      </c>
      <c r="Q389" s="57">
        <f>IFERROR(__xludf.DUMMYFUNCTION("""COMPUTED_VALUE"""),1.3111111111111111)</f>
        <v>1.311111111</v>
      </c>
      <c r="R389" s="57">
        <f>IFERROR(__xludf.DUMMYFUNCTION("""COMPUTED_VALUE"""),2.466666666666667)</f>
        <v>2.466666667</v>
      </c>
      <c r="S389" s="31">
        <f>IFERROR(__xludf.DUMMYFUNCTION("""COMPUTED_VALUE"""),372.75555555555553)</f>
        <v>372.7555556</v>
      </c>
      <c r="T389" s="57">
        <f>IFERROR(__xludf.DUMMYFUNCTION("""COMPUTED_VALUE"""),0.7259259259259259)</f>
        <v>0.7259259259</v>
      </c>
      <c r="U389" s="57">
        <f>IFERROR(__xludf.DUMMYFUNCTION("""COMPUTED_VALUE"""),0.5407407407407407)</f>
        <v>0.5407407407</v>
      </c>
      <c r="V389" s="57">
        <f>IFERROR(__xludf.DUMMYFUNCTION("""COMPUTED_VALUE"""),1.585185185185185)</f>
        <v>1.585185185</v>
      </c>
      <c r="W389" s="57">
        <f>IFERROR(__xludf.DUMMYFUNCTION("""COMPUTED_VALUE"""),2.607407407407408)</f>
        <v>2.607407407</v>
      </c>
      <c r="X389" s="31">
        <f>IFERROR(__xludf.DUMMYFUNCTION("""COMPUTED_VALUE"""),379.8463118215373)</f>
        <v>379.8463118</v>
      </c>
      <c r="Y389" s="57">
        <f>IFERROR(__xludf.DUMMYFUNCTION("""COMPUTED_VALUE"""),0.8412553387510463)</f>
        <v>0.8412553388</v>
      </c>
      <c r="Z389" s="57">
        <f>IFERROR(__xludf.DUMMYFUNCTION("""COMPUTED_VALUE"""),0.6285680110738066)</f>
        <v>0.6285680111</v>
      </c>
      <c r="AA389" s="57">
        <f>IFERROR(__xludf.DUMMYFUNCTION("""COMPUTED_VALUE"""),1.5349662426209614)</f>
        <v>1.534966243</v>
      </c>
      <c r="AB389" s="57">
        <f>IFERROR(__xludf.DUMMYFUNCTION("""COMPUTED_VALUE"""),2.728554256828988)</f>
        <v>2.728554257</v>
      </c>
      <c r="AC389" s="31">
        <f>IFERROR(__xludf.DUMMYFUNCTION("""COMPUTED_VALUE"""),393.93377013603214)</f>
        <v>393.9337701</v>
      </c>
      <c r="AD389" s="57">
        <f>IFERROR(__xludf.DUMMYFUNCTION("""COMPUTED_VALUE"""),0.9165097782486771)</f>
        <v>0.9165097782</v>
      </c>
      <c r="AE389" s="57">
        <f>IFERROR(__xludf.DUMMYFUNCTION("""COMPUTED_VALUE"""),0.7075792599928555)</f>
        <v>0.70757926</v>
      </c>
      <c r="AF389" s="57">
        <f>IFERROR(__xludf.DUMMYFUNCTION("""COMPUTED_VALUE"""),1.4773216553525124)</f>
        <v>1.477321655</v>
      </c>
      <c r="AG389" s="57">
        <f>IFERROR(__xludf.DUMMYFUNCTION("""COMPUTED_VALUE"""),2.909709536108029)</f>
        <v>2.909709536</v>
      </c>
      <c r="AH389" s="57">
        <f>IFERROR(__xludf.DUMMYFUNCTION("""COMPUTED_VALUE"""),0.9703266727106155)</f>
        <v>0.9703266727</v>
      </c>
      <c r="AI389" s="57">
        <f>IFERROR(__xludf.DUMMYFUNCTION("""COMPUTED_VALUE"""),1.066849258985731)</f>
        <v>1.066849259</v>
      </c>
      <c r="AJ389" s="57">
        <f>IFERROR(__xludf.DUMMYFUNCTION("""COMPUTED_VALUE"""),0.8479615414477499)</f>
        <v>0.8479615414</v>
      </c>
      <c r="AK389" s="57">
        <f>IFERROR(__xludf.DUMMYFUNCTION("""COMPUTED_VALUE"""),0.8874919733023606)</f>
        <v>0.8874919733</v>
      </c>
      <c r="AL389" s="57">
        <f>IFERROR(__xludf.DUMMYFUNCTION("""COMPUTED_VALUE"""),0.8477363929480165)</f>
        <v>0.8477363929</v>
      </c>
      <c r="AM389" s="57">
        <f>IFERROR(__xludf.DUMMYFUNCTION("""COMPUTED_VALUE"""),0.9813325651841179)</f>
        <v>0.9813325652</v>
      </c>
      <c r="AN389" s="57">
        <f>IFERROR(__xludf.DUMMYFUNCTION("""COMPUTED_VALUE"""),0.8629079572958882)</f>
        <v>0.8629079573</v>
      </c>
      <c r="AO389" s="57">
        <f>IFERROR(__xludf.DUMMYFUNCTION("""COMPUTED_VALUE"""),0.8602740375173926)</f>
        <v>0.8602740375</v>
      </c>
      <c r="AP389" s="35">
        <f>IFERROR(__xludf.DUMMYFUNCTION("""COMPUTED_VALUE"""),1.0327166429917538)</f>
        <v>1.032716643</v>
      </c>
      <c r="AQ389" s="57">
        <f>IFERROR(__xludf.DUMMYFUNCTION("""COMPUTED_VALUE"""),0.9556003516813437)</f>
        <v>0.9556003517</v>
      </c>
      <c r="AR389" s="36" t="b">
        <f>IFERROR(__xludf.DUMMYFUNCTION("""COMPUTED_VALUE"""),TRUE)</f>
        <v>1</v>
      </c>
      <c r="AS389" s="57"/>
      <c r="AT389" s="37"/>
      <c r="AU389" s="30"/>
      <c r="AV389" s="30"/>
      <c r="AW389" s="30"/>
      <c r="AX389" s="30"/>
      <c r="AY389" s="30"/>
      <c r="AZ389" s="30"/>
    </row>
    <row r="390">
      <c r="A390" s="30" t="str">
        <f>IFERROR(__xludf.DUMMYFUNCTION("""COMPUTED_VALUE"""),"Master")</f>
        <v>Master</v>
      </c>
      <c r="B390" s="30" t="str">
        <f>IFERROR(__xludf.DUMMYFUNCTION("""COMPUTED_VALUE"""),"RSC002490")</f>
        <v>RSC002490</v>
      </c>
      <c r="C390" s="30" t="str">
        <f>IFERROR(__xludf.DUMMYFUNCTION("""COMPUTED_VALUE"""),"alexis bexas")</f>
        <v>alexis bexas</v>
      </c>
      <c r="D390" s="31" t="str">
        <f>IFERROR(__xludf.DUMMYFUNCTION("""COMPUTED_VALUE"""),"Tempests")</f>
        <v>Tempests</v>
      </c>
      <c r="E390" s="31">
        <f>IFERROR(__xludf.DUMMYFUNCTION("""COMPUTED_VALUE"""),53.79868780826768)</f>
        <v>53.79868781</v>
      </c>
      <c r="F390" s="31">
        <f>IFERROR(__xludf.DUMMYFUNCTION("""COMPUTED_VALUE"""),2.274721961128189)</f>
        <v>2.274721961</v>
      </c>
      <c r="G390" s="31">
        <f>IFERROR(__xludf.DUMMYFUNCTION("""COMPUTED_VALUE"""),55.61504995154294)</f>
        <v>55.61504995</v>
      </c>
      <c r="H390" s="31">
        <f>IFERROR(__xludf.DUMMYFUNCTION("""COMPUTED_VALUE"""),2.4322351606225245)</f>
        <v>2.432235161</v>
      </c>
      <c r="I390" s="54">
        <f>IFERROR(__xludf.DUMMYFUNCTION("""COMPUTED_VALUE"""),44.0)</f>
        <v>44</v>
      </c>
      <c r="J390" s="55">
        <f>IFERROR(__xludf.DUMMYFUNCTION("""COMPUTED_VALUE"""),25.0)</f>
        <v>25</v>
      </c>
      <c r="K390" s="54">
        <f>IFERROR(__xludf.DUMMYFUNCTION("""COMPUTED_VALUE"""),19.0)</f>
        <v>19</v>
      </c>
      <c r="L390" s="56">
        <f>IFERROR(__xludf.DUMMYFUNCTION("""COMPUTED_VALUE"""),0.5681818181818182)</f>
        <v>0.5681818182</v>
      </c>
      <c r="M390" s="56">
        <f>IFERROR(__xludf.DUMMYFUNCTION("""COMPUTED_VALUE"""),0.3185840707964602)</f>
        <v>0.3185840708</v>
      </c>
      <c r="N390" s="31">
        <f>IFERROR(__xludf.DUMMYFUNCTION("""COMPUTED_VALUE"""),356.1818181818182)</f>
        <v>356.1818182</v>
      </c>
      <c r="O390" s="57">
        <f>IFERROR(__xludf.DUMMYFUNCTION("""COMPUTED_VALUE"""),0.8181818181818182)</f>
        <v>0.8181818182</v>
      </c>
      <c r="P390" s="57">
        <f>IFERROR(__xludf.DUMMYFUNCTION("""COMPUTED_VALUE"""),0.7954545454545454)</f>
        <v>0.7954545455</v>
      </c>
      <c r="Q390" s="57">
        <f>IFERROR(__xludf.DUMMYFUNCTION("""COMPUTED_VALUE"""),1.1136363636363635)</f>
        <v>1.113636364</v>
      </c>
      <c r="R390" s="57">
        <f>IFERROR(__xludf.DUMMYFUNCTION("""COMPUTED_VALUE"""),2.5681818181818183)</f>
        <v>2.568181818</v>
      </c>
      <c r="S390" s="31">
        <f>IFERROR(__xludf.DUMMYFUNCTION("""COMPUTED_VALUE"""),353.8030303030303)</f>
        <v>353.8030303</v>
      </c>
      <c r="T390" s="57">
        <f>IFERROR(__xludf.DUMMYFUNCTION("""COMPUTED_VALUE"""),0.8636363636363636)</f>
        <v>0.8636363636</v>
      </c>
      <c r="U390" s="57">
        <f>IFERROR(__xludf.DUMMYFUNCTION("""COMPUTED_VALUE"""),0.6136363636363636)</f>
        <v>0.6136363636</v>
      </c>
      <c r="V390" s="57">
        <f>IFERROR(__xludf.DUMMYFUNCTION("""COMPUTED_VALUE"""),1.2121212121212124)</f>
        <v>1.212121212</v>
      </c>
      <c r="W390" s="57">
        <f>IFERROR(__xludf.DUMMYFUNCTION("""COMPUTED_VALUE"""),2.545454545454545)</f>
        <v>2.545454545</v>
      </c>
      <c r="X390" s="31">
        <f>IFERROR(__xludf.DUMMYFUNCTION("""COMPUTED_VALUE"""),379.23568656633654)</f>
        <v>379.2356866</v>
      </c>
      <c r="Y390" s="57">
        <f>IFERROR(__xludf.DUMMYFUNCTION("""COMPUTED_VALUE"""),0.842661466321376)</f>
        <v>0.8426614663</v>
      </c>
      <c r="Z390" s="57">
        <f>IFERROR(__xludf.DUMMYFUNCTION("""COMPUTED_VALUE"""),0.6546773702200546)</f>
        <v>0.6546773702</v>
      </c>
      <c r="AA390" s="57">
        <f>IFERROR(__xludf.DUMMYFUNCTION("""COMPUTED_VALUE"""),1.4953004469568774)</f>
        <v>1.495300447</v>
      </c>
      <c r="AB390" s="57">
        <f>IFERROR(__xludf.DUMMYFUNCTION("""COMPUTED_VALUE"""),2.745120937231867)</f>
        <v>2.745120937</v>
      </c>
      <c r="AC390" s="31">
        <f>IFERROR(__xludf.DUMMYFUNCTION("""COMPUTED_VALUE"""),391.4929235939035)</f>
        <v>391.4929236</v>
      </c>
      <c r="AD390" s="57">
        <f>IFERROR(__xludf.DUMMYFUNCTION("""COMPUTED_VALUE"""),0.9164706664479575)</f>
        <v>0.9164706664</v>
      </c>
      <c r="AE390" s="57">
        <f>IFERROR(__xludf.DUMMYFUNCTION("""COMPUTED_VALUE"""),0.7009279255088867)</f>
        <v>0.7009279255</v>
      </c>
      <c r="AF390" s="57">
        <f>IFERROR(__xludf.DUMMYFUNCTION("""COMPUTED_VALUE"""),1.47442153614993)</f>
        <v>1.474421536</v>
      </c>
      <c r="AG390" s="57">
        <f>IFERROR(__xludf.DUMMYFUNCTION("""COMPUTED_VALUE"""),2.865390668988981)</f>
        <v>2.865390669</v>
      </c>
      <c r="AH390" s="57">
        <f>IFERROR(__xludf.DUMMYFUNCTION("""COMPUTED_VALUE"""),0.9098039752853525)</f>
        <v>0.9098039753</v>
      </c>
      <c r="AI390" s="57">
        <f>IFERROR(__xludf.DUMMYFUNCTION("""COMPUTED_VALUE"""),0.8927528704796569)</f>
        <v>0.8927528705</v>
      </c>
      <c r="AJ390" s="57">
        <f>IFERROR(__xludf.DUMMYFUNCTION("""COMPUTED_VALUE"""),1.1348592580000727)</f>
        <v>1.134859258</v>
      </c>
      <c r="AK390" s="57">
        <f>IFERROR(__xludf.DUMMYFUNCTION("""COMPUTED_VALUE"""),0.7553039184060866)</f>
        <v>0.7553039184</v>
      </c>
      <c r="AL390" s="57">
        <f>IFERROR(__xludf.DUMMYFUNCTION("""COMPUTED_VALUE"""),0.8962763248921902)</f>
        <v>0.8962763249</v>
      </c>
      <c r="AM390" s="57">
        <f>IFERROR(__xludf.DUMMYFUNCTION("""COMPUTED_VALUE"""),0.9329370701012403)</f>
        <v>0.9329370701</v>
      </c>
      <c r="AN390" s="57">
        <f>IFERROR(__xludf.DUMMYFUNCTION("""COMPUTED_VALUE"""),1.0248912501084846)</f>
        <v>1.02489125</v>
      </c>
      <c r="AO390" s="57">
        <f>IFERROR(__xludf.DUMMYFUNCTION("""COMPUTED_VALUE"""),0.9373110963498006)</f>
        <v>0.9373110963</v>
      </c>
      <c r="AP390" s="35">
        <f>IFERROR(__xludf.DUMMYFUNCTION("""COMPUTED_VALUE"""),0.8106205108063934)</f>
        <v>0.8106205108</v>
      </c>
      <c r="AQ390" s="57">
        <f>IFERROR(__xludf.DUMMYFUNCTION("""COMPUTED_VALUE"""),0.9272649925658059)</f>
        <v>0.9272649926</v>
      </c>
      <c r="AR390" s="36" t="b">
        <f>IFERROR(__xludf.DUMMYFUNCTION("""COMPUTED_VALUE"""),TRUE)</f>
        <v>1</v>
      </c>
      <c r="AS390" s="57"/>
      <c r="AT390" s="37"/>
      <c r="AU390" s="30"/>
      <c r="AV390" s="30"/>
      <c r="AW390" s="30"/>
      <c r="AX390" s="30"/>
      <c r="AY390" s="30"/>
      <c r="AZ390" s="30"/>
    </row>
    <row r="391">
      <c r="A391" s="30" t="str">
        <f>IFERROR(__xludf.DUMMYFUNCTION("""COMPUTED_VALUE"""),"Master")</f>
        <v>Master</v>
      </c>
      <c r="B391" s="30" t="str">
        <f>IFERROR(__xludf.DUMMYFUNCTION("""COMPUTED_VALUE"""),"RSC007106")</f>
        <v>RSC007106</v>
      </c>
      <c r="C391" s="30" t="str">
        <f>IFERROR(__xludf.DUMMYFUNCTION("""COMPUTED_VALUE"""),"Sim")</f>
        <v>Sim</v>
      </c>
      <c r="D391" s="31"/>
      <c r="E391" s="31">
        <f>IFERROR(__xludf.DUMMYFUNCTION("""COMPUTED_VALUE"""),53.68196249725994)</f>
        <v>53.6819625</v>
      </c>
      <c r="F391" s="31">
        <f>IFERROR(__xludf.DUMMYFUNCTION("""COMPUTED_VALUE"""),2.265230897750018)</f>
        <v>2.265230898</v>
      </c>
      <c r="G391" s="31">
        <f>IFERROR(__xludf.DUMMYFUNCTION("""COMPUTED_VALUE"""),58.091355783587936)</f>
        <v>58.09135578</v>
      </c>
      <c r="H391" s="31">
        <f>IFERROR(__xludf.DUMMYFUNCTION("""COMPUTED_VALUE"""),2.6802472103422277)</f>
        <v>2.68024721</v>
      </c>
      <c r="I391" s="54">
        <f>IFERROR(__xludf.DUMMYFUNCTION("""COMPUTED_VALUE"""),42.0)</f>
        <v>42</v>
      </c>
      <c r="J391" s="55">
        <f>IFERROR(__xludf.DUMMYFUNCTION("""COMPUTED_VALUE"""),22.0)</f>
        <v>22</v>
      </c>
      <c r="K391" s="54">
        <f>IFERROR(__xludf.DUMMYFUNCTION("""COMPUTED_VALUE"""),20.0)</f>
        <v>20</v>
      </c>
      <c r="L391" s="56">
        <f>IFERROR(__xludf.DUMMYFUNCTION("""COMPUTED_VALUE"""),0.5238095238095238)</f>
        <v>0.5238095238</v>
      </c>
      <c r="M391" s="56">
        <f>IFERROR(__xludf.DUMMYFUNCTION("""COMPUTED_VALUE"""),0.3247863247863248)</f>
        <v>0.3247863248</v>
      </c>
      <c r="N391" s="31">
        <f>IFERROR(__xludf.DUMMYFUNCTION("""COMPUTED_VALUE"""),390.07142857142856)</f>
        <v>390.0714286</v>
      </c>
      <c r="O391" s="57">
        <f>IFERROR(__xludf.DUMMYFUNCTION("""COMPUTED_VALUE"""),0.9047619047619048)</f>
        <v>0.9047619048</v>
      </c>
      <c r="P391" s="57">
        <f>IFERROR(__xludf.DUMMYFUNCTION("""COMPUTED_VALUE"""),0.5476190476190477)</f>
        <v>0.5476190476</v>
      </c>
      <c r="Q391" s="57">
        <f>IFERROR(__xludf.DUMMYFUNCTION("""COMPUTED_VALUE"""),1.5)</f>
        <v>1.5</v>
      </c>
      <c r="R391" s="57">
        <f>IFERROR(__xludf.DUMMYFUNCTION("""COMPUTED_VALUE"""),2.7857142857142856)</f>
        <v>2.785714286</v>
      </c>
      <c r="S391" s="31">
        <f>IFERROR(__xludf.DUMMYFUNCTION("""COMPUTED_VALUE"""),357.88888888888897)</f>
        <v>357.8888889</v>
      </c>
      <c r="T391" s="57">
        <f>IFERROR(__xludf.DUMMYFUNCTION("""COMPUTED_VALUE"""),0.857142857142857)</f>
        <v>0.8571428571</v>
      </c>
      <c r="U391" s="57">
        <f>IFERROR(__xludf.DUMMYFUNCTION("""COMPUTED_VALUE"""),0.5873015873015871)</f>
        <v>0.5873015873</v>
      </c>
      <c r="V391" s="57">
        <f>IFERROR(__xludf.DUMMYFUNCTION("""COMPUTED_VALUE"""),1.3174603174603174)</f>
        <v>1.317460317</v>
      </c>
      <c r="W391" s="57">
        <f>IFERROR(__xludf.DUMMYFUNCTION("""COMPUTED_VALUE"""),2.579365079365079)</f>
        <v>2.579365079</v>
      </c>
      <c r="X391" s="31">
        <f>IFERROR(__xludf.DUMMYFUNCTION("""COMPUTED_VALUE"""),383.07428061945427)</f>
        <v>383.0742806</v>
      </c>
      <c r="Y391" s="57">
        <f>IFERROR(__xludf.DUMMYFUNCTION("""COMPUTED_VALUE"""),0.8629010890434278)</f>
        <v>0.862901089</v>
      </c>
      <c r="Z391" s="57">
        <f>IFERROR(__xludf.DUMMYFUNCTION("""COMPUTED_VALUE"""),0.683953355725208)</f>
        <v>0.6839533557</v>
      </c>
      <c r="AA391" s="57">
        <f>IFERROR(__xludf.DUMMYFUNCTION("""COMPUTED_VALUE"""),1.4852436679205812)</f>
        <v>1.485243668</v>
      </c>
      <c r="AB391" s="57">
        <f>IFERROR(__xludf.DUMMYFUNCTION("""COMPUTED_VALUE"""),2.7775794340948994)</f>
        <v>2.777579434</v>
      </c>
      <c r="AC391" s="31">
        <f>IFERROR(__xludf.DUMMYFUNCTION("""COMPUTED_VALUE"""),383.2433346713545)</f>
        <v>383.2433347</v>
      </c>
      <c r="AD391" s="57">
        <f>IFERROR(__xludf.DUMMYFUNCTION("""COMPUTED_VALUE"""),0.8773342726594406)</f>
        <v>0.8773342727</v>
      </c>
      <c r="AE391" s="57">
        <f>IFERROR(__xludf.DUMMYFUNCTION("""COMPUTED_VALUE"""),0.6674082720692321)</f>
        <v>0.6674082721</v>
      </c>
      <c r="AF391" s="57">
        <f>IFERROR(__xludf.DUMMYFUNCTION("""COMPUTED_VALUE"""),1.4543677202278555)</f>
        <v>1.45436772</v>
      </c>
      <c r="AG391" s="57">
        <f>IFERROR(__xludf.DUMMYFUNCTION("""COMPUTED_VALUE"""),2.797511728313956)</f>
        <v>2.797511728</v>
      </c>
      <c r="AH391" s="57">
        <f>IFERROR(__xludf.DUMMYFUNCTION("""COMPUTED_VALUE"""),1.0178166018358268)</f>
        <v>1.017816602</v>
      </c>
      <c r="AI391" s="57">
        <f>IFERROR(__xludf.DUMMYFUNCTION("""COMPUTED_VALUE"""),1.0312624651255484)</f>
        <v>1.031262465</v>
      </c>
      <c r="AJ391" s="57">
        <f>IFERROR(__xludf.DUMMYFUNCTION("""COMPUTED_VALUE"""),0.8205158229777554)</f>
        <v>0.820515823</v>
      </c>
      <c r="AK391" s="57">
        <f>IFERROR(__xludf.DUMMYFUNCTION("""COMPUTED_VALUE"""),1.0313760262535223)</f>
        <v>1.031376026</v>
      </c>
      <c r="AL391" s="57">
        <f>IFERROR(__xludf.DUMMYFUNCTION("""COMPUTED_VALUE"""),0.9957828800214609)</f>
        <v>0.99578288</v>
      </c>
      <c r="AM391" s="57">
        <f>IFERROR(__xludf.DUMMYFUNCTION("""COMPUTED_VALUE"""),0.9342545479956551)</f>
        <v>0.934254548</v>
      </c>
      <c r="AN391" s="57">
        <f>IFERROR(__xludf.DUMMYFUNCTION("""COMPUTED_VALUE"""),0.9933268923012323)</f>
        <v>0.9933268923</v>
      </c>
      <c r="AO391" s="57">
        <f>IFERROR(__xludf.DUMMYFUNCTION("""COMPUTED_VALUE"""),0.8586866083562975)</f>
        <v>0.8586866084</v>
      </c>
      <c r="AP391" s="35">
        <f>IFERROR(__xludf.DUMMYFUNCTION("""COMPUTED_VALUE"""),0.8870331151149298)</f>
        <v>0.8870331151</v>
      </c>
      <c r="AQ391" s="57">
        <f>IFERROR(__xludf.DUMMYFUNCTION("""COMPUTED_VALUE"""),0.9286377367657856)</f>
        <v>0.9286377368</v>
      </c>
      <c r="AR391" s="36" t="b">
        <f>IFERROR(__xludf.DUMMYFUNCTION("""COMPUTED_VALUE"""),TRUE)</f>
        <v>1</v>
      </c>
      <c r="AS391" s="57"/>
      <c r="AT391" s="37"/>
      <c r="AU391" s="30"/>
      <c r="AV391" s="30"/>
      <c r="AW391" s="30"/>
      <c r="AX391" s="30"/>
      <c r="AY391" s="30"/>
      <c r="AZ391" s="30"/>
    </row>
    <row r="392">
      <c r="A392" s="30" t="str">
        <f>IFERROR(__xludf.DUMMYFUNCTION("""COMPUTED_VALUE"""),"Master")</f>
        <v>Master</v>
      </c>
      <c r="B392" s="30" t="str">
        <f>IFERROR(__xludf.DUMMYFUNCTION("""COMPUTED_VALUE"""),"RSC007244")</f>
        <v>RSC007244</v>
      </c>
      <c r="C392" s="30" t="str">
        <f>IFERROR(__xludf.DUMMYFUNCTION("""COMPUTED_VALUE"""),"Joxtrot")</f>
        <v>Joxtrot</v>
      </c>
      <c r="D392" s="31" t="str">
        <f>IFERROR(__xludf.DUMMYFUNCTION("""COMPUTED_VALUE"""),"Fromunda Frauds")</f>
        <v>Fromunda Frauds</v>
      </c>
      <c r="E392" s="31">
        <f>IFERROR(__xludf.DUMMYFUNCTION("""COMPUTED_VALUE"""),53.38707935922467)</f>
        <v>53.38707936</v>
      </c>
      <c r="F392" s="31">
        <f>IFERROR(__xludf.DUMMYFUNCTION("""COMPUTED_VALUE"""),2.241574817298737)</f>
        <v>2.241574817</v>
      </c>
      <c r="G392" s="31">
        <f>IFERROR(__xludf.DUMMYFUNCTION("""COMPUTED_VALUE"""),52.427374800657724)</f>
        <v>52.4273748</v>
      </c>
      <c r="H392" s="31">
        <f>IFERROR(__xludf.DUMMYFUNCTION("""COMPUTED_VALUE"""),2.1676669632980308)</f>
        <v>2.167666963</v>
      </c>
      <c r="I392" s="54">
        <f>IFERROR(__xludf.DUMMYFUNCTION("""COMPUTED_VALUE"""),44.0)</f>
        <v>44</v>
      </c>
      <c r="J392" s="55">
        <f>IFERROR(__xludf.DUMMYFUNCTION("""COMPUTED_VALUE"""),21.0)</f>
        <v>21</v>
      </c>
      <c r="K392" s="54">
        <f>IFERROR(__xludf.DUMMYFUNCTION("""COMPUTED_VALUE"""),23.0)</f>
        <v>23</v>
      </c>
      <c r="L392" s="56">
        <f>IFERROR(__xludf.DUMMYFUNCTION("""COMPUTED_VALUE"""),0.4772727272727273)</f>
        <v>0.4772727273</v>
      </c>
      <c r="M392" s="56">
        <f>IFERROR(__xludf.DUMMYFUNCTION("""COMPUTED_VALUE"""),0.33644859813084116)</f>
        <v>0.3364485981</v>
      </c>
      <c r="N392" s="31">
        <f>IFERROR(__xludf.DUMMYFUNCTION("""COMPUTED_VALUE"""),373.02272727272725)</f>
        <v>373.0227273</v>
      </c>
      <c r="O392" s="57">
        <f>IFERROR(__xludf.DUMMYFUNCTION("""COMPUTED_VALUE"""),0.8181818181818182)</f>
        <v>0.8181818182</v>
      </c>
      <c r="P392" s="57">
        <f>IFERROR(__xludf.DUMMYFUNCTION("""COMPUTED_VALUE"""),0.7272727272727273)</f>
        <v>0.7272727273</v>
      </c>
      <c r="Q392" s="57">
        <f>IFERROR(__xludf.DUMMYFUNCTION("""COMPUTED_VALUE"""),1.2954545454545454)</f>
        <v>1.295454545</v>
      </c>
      <c r="R392" s="57">
        <f>IFERROR(__xludf.DUMMYFUNCTION("""COMPUTED_VALUE"""),2.4318181818181817)</f>
        <v>2.431818182</v>
      </c>
      <c r="S392" s="31">
        <f>IFERROR(__xludf.DUMMYFUNCTION("""COMPUTED_VALUE"""),389.17424242424244)</f>
        <v>389.1742424</v>
      </c>
      <c r="T392" s="57">
        <f>IFERROR(__xludf.DUMMYFUNCTION("""COMPUTED_VALUE"""),0.9090909090909093)</f>
        <v>0.9090909091</v>
      </c>
      <c r="U392" s="57">
        <f>IFERROR(__xludf.DUMMYFUNCTION("""COMPUTED_VALUE"""),0.712121212121212)</f>
        <v>0.7121212121</v>
      </c>
      <c r="V392" s="57">
        <f>IFERROR(__xludf.DUMMYFUNCTION("""COMPUTED_VALUE"""),1.4318181818181819)</f>
        <v>1.431818182</v>
      </c>
      <c r="W392" s="57">
        <f>IFERROR(__xludf.DUMMYFUNCTION("""COMPUTED_VALUE"""),2.696969696969696)</f>
        <v>2.696969697</v>
      </c>
      <c r="X392" s="31">
        <f>IFERROR(__xludf.DUMMYFUNCTION("""COMPUTED_VALUE"""),394.3160908012658)</f>
        <v>394.3160908</v>
      </c>
      <c r="Y392" s="57">
        <f>IFERROR(__xludf.DUMMYFUNCTION("""COMPUTED_VALUE"""),0.9390433247053953)</f>
        <v>0.9390433247</v>
      </c>
      <c r="Z392" s="57">
        <f>IFERROR(__xludf.DUMMYFUNCTION("""COMPUTED_VALUE"""),0.6861718239737021)</f>
        <v>0.686171824</v>
      </c>
      <c r="AA392" s="57">
        <f>IFERROR(__xludf.DUMMYFUNCTION("""COMPUTED_VALUE"""),1.4537679049211578)</f>
        <v>1.453767905</v>
      </c>
      <c r="AB392" s="57">
        <f>IFERROR(__xludf.DUMMYFUNCTION("""COMPUTED_VALUE"""),2.874977679278381)</f>
        <v>2.874977679</v>
      </c>
      <c r="AC392" s="31">
        <f>IFERROR(__xludf.DUMMYFUNCTION("""COMPUTED_VALUE"""),382.87395539062766)</f>
        <v>382.8739554</v>
      </c>
      <c r="AD392" s="57">
        <f>IFERROR(__xludf.DUMMYFUNCTION("""COMPUTED_VALUE"""),0.855914494001265)</f>
        <v>0.855914494</v>
      </c>
      <c r="AE392" s="57">
        <f>IFERROR(__xludf.DUMMYFUNCTION("""COMPUTED_VALUE"""),0.6419966349251637)</f>
        <v>0.6419966349</v>
      </c>
      <c r="AF392" s="57">
        <f>IFERROR(__xludf.DUMMYFUNCTION("""COMPUTED_VALUE"""),1.4957563363743618)</f>
        <v>1.495756336</v>
      </c>
      <c r="AG392" s="57">
        <f>IFERROR(__xludf.DUMMYFUNCTION("""COMPUTED_VALUE"""),2.7285315069772147)</f>
        <v>2.728531507</v>
      </c>
      <c r="AH392" s="57">
        <f>IFERROR(__xludf.DUMMYFUNCTION("""COMPUTED_VALUE"""),0.9742703101655226)</f>
        <v>0.9742703102</v>
      </c>
      <c r="AI392" s="57">
        <f>IFERROR(__xludf.DUMMYFUNCTION("""COMPUTED_VALUE"""),0.9559153676168604)</f>
        <v>0.9559153676</v>
      </c>
      <c r="AJ392" s="57">
        <f>IFERROR(__xludf.DUMMYFUNCTION("""COMPUTED_VALUE"""),1.132829500512108)</f>
        <v>1.132829501</v>
      </c>
      <c r="AK392" s="57">
        <f>IFERROR(__xludf.DUMMYFUNCTION("""COMPUTED_VALUE"""),0.8660866171522711)</f>
        <v>0.8660866172</v>
      </c>
      <c r="AL392" s="57">
        <f>IFERROR(__xludf.DUMMYFUNCTION("""COMPUTED_VALUE"""),0.8912553055003037)</f>
        <v>0.8912553055</v>
      </c>
      <c r="AM392" s="57">
        <f>IFERROR(__xludf.DUMMYFUNCTION("""COMPUTED_VALUE"""),0.9869600848228768)</f>
        <v>0.9869600848</v>
      </c>
      <c r="AN392" s="57">
        <f>IFERROR(__xludf.DUMMYFUNCTION("""COMPUTED_VALUE"""),0.968103265497486)</f>
        <v>0.9681032655</v>
      </c>
      <c r="AO392" s="57">
        <f>IFERROR(__xludf.DUMMYFUNCTION("""COMPUTED_VALUE"""),1.0378176241589665)</f>
        <v>1.037817624</v>
      </c>
      <c r="AP392" s="35">
        <f>IFERROR(__xludf.DUMMYFUNCTION("""COMPUTED_VALUE"""),0.9849014942284295)</f>
        <v>0.9849014942</v>
      </c>
      <c r="AQ392" s="57">
        <f>IFERROR(__xludf.DUMMYFUNCTION("""COMPUTED_VALUE"""),0.9380836993651495)</f>
        <v>0.9380836994</v>
      </c>
      <c r="AR392" s="36" t="b">
        <f>IFERROR(__xludf.DUMMYFUNCTION("""COMPUTED_VALUE"""),TRUE)</f>
        <v>1</v>
      </c>
      <c r="AS392" s="57"/>
      <c r="AT392" s="37"/>
      <c r="AU392" s="30"/>
      <c r="AV392" s="30"/>
      <c r="AW392" s="30"/>
      <c r="AX392" s="30"/>
      <c r="AY392" s="30"/>
      <c r="AZ392" s="30"/>
    </row>
    <row r="393">
      <c r="A393" s="30" t="str">
        <f>IFERROR(__xludf.DUMMYFUNCTION("""COMPUTED_VALUE"""),"Master")</f>
        <v>Master</v>
      </c>
      <c r="B393" s="30" t="str">
        <f>IFERROR(__xludf.DUMMYFUNCTION("""COMPUTED_VALUE"""),"RSC000241")</f>
        <v>RSC000241</v>
      </c>
      <c r="C393" s="30" t="str">
        <f>IFERROR(__xludf.DUMMYFUNCTION("""COMPUTED_VALUE"""),"Geherpaderp")</f>
        <v>Geherpaderp</v>
      </c>
      <c r="D393" s="31" t="str">
        <f>IFERROR(__xludf.DUMMYFUNCTION("""COMPUTED_VALUE"""),"Fromunda Frauds")</f>
        <v>Fromunda Frauds</v>
      </c>
      <c r="E393" s="31">
        <f>IFERROR(__xludf.DUMMYFUNCTION("""COMPUTED_VALUE"""),52.36927862842998)</f>
        <v>52.36927863</v>
      </c>
      <c r="F393" s="31">
        <f>IFERROR(__xludf.DUMMYFUNCTION("""COMPUTED_VALUE"""),2.1633394713052785)</f>
        <v>2.163339471</v>
      </c>
      <c r="G393" s="31">
        <f>IFERROR(__xludf.DUMMYFUNCTION("""COMPUTED_VALUE"""),52.76142222038048)</f>
        <v>52.76142222</v>
      </c>
      <c r="H393" s="31">
        <f>IFERROR(__xludf.DUMMYFUNCTION("""COMPUTED_VALUE"""),2.1928693542442166)</f>
        <v>2.192869354</v>
      </c>
      <c r="I393" s="54">
        <f>IFERROR(__xludf.DUMMYFUNCTION("""COMPUTED_VALUE"""),38.0)</f>
        <v>38</v>
      </c>
      <c r="J393" s="55">
        <f>IFERROR(__xludf.DUMMYFUNCTION("""COMPUTED_VALUE"""),19.0)</f>
        <v>19</v>
      </c>
      <c r="K393" s="54">
        <f>IFERROR(__xludf.DUMMYFUNCTION("""COMPUTED_VALUE"""),19.0)</f>
        <v>19</v>
      </c>
      <c r="L393" s="56">
        <f>IFERROR(__xludf.DUMMYFUNCTION("""COMPUTED_VALUE"""),0.5)</f>
        <v>0.5</v>
      </c>
      <c r="M393" s="56">
        <f>IFERROR(__xludf.DUMMYFUNCTION("""COMPUTED_VALUE"""),0.3235294117647059)</f>
        <v>0.3235294118</v>
      </c>
      <c r="N393" s="31">
        <f>IFERROR(__xludf.DUMMYFUNCTION("""COMPUTED_VALUE"""),380.57894736842104)</f>
        <v>380.5789474</v>
      </c>
      <c r="O393" s="57">
        <f>IFERROR(__xludf.DUMMYFUNCTION("""COMPUTED_VALUE"""),0.868421052631579)</f>
        <v>0.8684210526</v>
      </c>
      <c r="P393" s="57">
        <f>IFERROR(__xludf.DUMMYFUNCTION("""COMPUTED_VALUE"""),0.5789473684210527)</f>
        <v>0.5789473684</v>
      </c>
      <c r="Q393" s="57">
        <f>IFERROR(__xludf.DUMMYFUNCTION("""COMPUTED_VALUE"""),1.5526315789473684)</f>
        <v>1.552631579</v>
      </c>
      <c r="R393" s="57">
        <f>IFERROR(__xludf.DUMMYFUNCTION("""COMPUTED_VALUE"""),2.6842105263157894)</f>
        <v>2.684210526</v>
      </c>
      <c r="S393" s="31">
        <f>IFERROR(__xludf.DUMMYFUNCTION("""COMPUTED_VALUE"""),383.9210526315789)</f>
        <v>383.9210526</v>
      </c>
      <c r="T393" s="57">
        <f>IFERROR(__xludf.DUMMYFUNCTION("""COMPUTED_VALUE"""),0.8684210526315791)</f>
        <v>0.8684210526</v>
      </c>
      <c r="U393" s="57">
        <f>IFERROR(__xludf.DUMMYFUNCTION("""COMPUTED_VALUE"""),0.6666666666666666)</f>
        <v>0.6666666667</v>
      </c>
      <c r="V393" s="57">
        <f>IFERROR(__xludf.DUMMYFUNCTION("""COMPUTED_VALUE"""),1.4210526315789476)</f>
        <v>1.421052632</v>
      </c>
      <c r="W393" s="57">
        <f>IFERROR(__xludf.DUMMYFUNCTION("""COMPUTED_VALUE"""),2.7105263157894726)</f>
        <v>2.710526316</v>
      </c>
      <c r="X393" s="31">
        <f>IFERROR(__xludf.DUMMYFUNCTION("""COMPUTED_VALUE"""),395.22936957491316)</f>
        <v>395.2293696</v>
      </c>
      <c r="Y393" s="57">
        <f>IFERROR(__xludf.DUMMYFUNCTION("""COMPUTED_VALUE"""),0.9333458607121178)</f>
        <v>0.9333458607</v>
      </c>
      <c r="Z393" s="57">
        <f>IFERROR(__xludf.DUMMYFUNCTION("""COMPUTED_VALUE"""),0.6742360710911471)</f>
        <v>0.6742360711</v>
      </c>
      <c r="AA393" s="57">
        <f>IFERROR(__xludf.DUMMYFUNCTION("""COMPUTED_VALUE"""),1.4944228611375092)</f>
        <v>1.494422861</v>
      </c>
      <c r="AB393" s="57">
        <f>IFERROR(__xludf.DUMMYFUNCTION("""COMPUTED_VALUE"""),2.8459293248642252)</f>
        <v>2.845929325</v>
      </c>
      <c r="AC393" s="31">
        <f>IFERROR(__xludf.DUMMYFUNCTION("""COMPUTED_VALUE"""),381.0749783941117)</f>
        <v>381.0749784</v>
      </c>
      <c r="AD393" s="57">
        <f>IFERROR(__xludf.DUMMYFUNCTION("""COMPUTED_VALUE"""),0.8461445311575707)</f>
        <v>0.8461445312</v>
      </c>
      <c r="AE393" s="57">
        <f>IFERROR(__xludf.DUMMYFUNCTION("""COMPUTED_VALUE"""),0.6428286899672482)</f>
        <v>0.64282869</v>
      </c>
      <c r="AF393" s="57">
        <f>IFERROR(__xludf.DUMMYFUNCTION("""COMPUTED_VALUE"""),1.4750516732691974)</f>
        <v>1.475051673</v>
      </c>
      <c r="AG393" s="57">
        <f>IFERROR(__xludf.DUMMYFUNCTION("""COMPUTED_VALUE"""),2.7581024211961958)</f>
        <v>2.758102421</v>
      </c>
      <c r="AH393" s="57">
        <f>IFERROR(__xludf.DUMMYFUNCTION("""COMPUTED_VALUE"""),0.9986983374563688)</f>
        <v>0.9986983375</v>
      </c>
      <c r="AI393" s="57">
        <f>IFERROR(__xludf.DUMMYFUNCTION("""COMPUTED_VALUE"""),1.0263270879308677)</f>
        <v>1.026327088</v>
      </c>
      <c r="AJ393" s="57">
        <f>IFERROR(__xludf.DUMMYFUNCTION("""COMPUTED_VALUE"""),0.9006246570148413)</f>
        <v>0.900624657</v>
      </c>
      <c r="AK393" s="57">
        <f>IFERROR(__xludf.DUMMYFUNCTION("""COMPUTED_VALUE"""),1.0525947036867045)</f>
        <v>1.052594704</v>
      </c>
      <c r="AL393" s="57">
        <f>IFERROR(__xludf.DUMMYFUNCTION("""COMPUTED_VALUE"""),0.9732091548477162)</f>
        <v>0.9732091548</v>
      </c>
      <c r="AM393" s="57">
        <f>IFERROR(__xludf.DUMMYFUNCTION("""COMPUTED_VALUE"""),0.9713879640182185)</f>
        <v>0.971387964</v>
      </c>
      <c r="AN393" s="57">
        <f>IFERROR(__xludf.DUMMYFUNCTION("""COMPUTED_VALUE"""),0.9304386392939025)</f>
        <v>0.9304386393</v>
      </c>
      <c r="AO393" s="57">
        <f>IFERROR(__xludf.DUMMYFUNCTION("""COMPUTED_VALUE"""),0.9887733618104552)</f>
        <v>0.9887733618</v>
      </c>
      <c r="AP393" s="35">
        <f>IFERROR(__xludf.DUMMYFUNCTION("""COMPUTED_VALUE"""),0.9509039700431814)</f>
        <v>0.95090397</v>
      </c>
      <c r="AQ393" s="57">
        <f>IFERROR(__xludf.DUMMYFUNCTION("""COMPUTED_VALUE"""),0.9524222165702543)</f>
        <v>0.9524222166</v>
      </c>
      <c r="AR393" s="36" t="b">
        <f>IFERROR(__xludf.DUMMYFUNCTION("""COMPUTED_VALUE"""),TRUE)</f>
        <v>1</v>
      </c>
      <c r="AS393" s="57"/>
      <c r="AT393" s="37"/>
      <c r="AU393" s="30"/>
      <c r="AV393" s="30"/>
      <c r="AW393" s="30"/>
      <c r="AX393" s="30"/>
      <c r="AY393" s="30"/>
      <c r="AZ393" s="30"/>
    </row>
    <row r="394">
      <c r="A394" s="30" t="str">
        <f>IFERROR(__xludf.DUMMYFUNCTION("""COMPUTED_VALUE"""),"Master")</f>
        <v>Master</v>
      </c>
      <c r="B394" s="30" t="str">
        <f>IFERROR(__xludf.DUMMYFUNCTION("""COMPUTED_VALUE"""),"RSC002944")</f>
        <v>RSC002944</v>
      </c>
      <c r="C394" s="30" t="str">
        <f>IFERROR(__xludf.DUMMYFUNCTION("""COMPUTED_VALUE"""),"PayloSoul")</f>
        <v>PayloSoul</v>
      </c>
      <c r="D394" s="31"/>
      <c r="E394" s="31">
        <f>IFERROR(__xludf.DUMMYFUNCTION("""COMPUTED_VALUE"""),51.78261213296787)</f>
        <v>51.78261213</v>
      </c>
      <c r="F394" s="31">
        <f>IFERROR(__xludf.DUMMYFUNCTION("""COMPUTED_VALUE"""),2.1205412658609966)</f>
        <v>2.120541266</v>
      </c>
      <c r="G394" s="31">
        <f>IFERROR(__xludf.DUMMYFUNCTION("""COMPUTED_VALUE"""),45.69224418103669)</f>
        <v>45.69224418</v>
      </c>
      <c r="H394" s="31">
        <f>IFERROR(__xludf.DUMMYFUNCTION("""COMPUTED_VALUE"""),-2.3169772193598646)</f>
        <v>-2.316977219</v>
      </c>
      <c r="I394" s="54">
        <f>IFERROR(__xludf.DUMMYFUNCTION("""COMPUTED_VALUE"""),26.0)</f>
        <v>26</v>
      </c>
      <c r="J394" s="55">
        <f>IFERROR(__xludf.DUMMYFUNCTION("""COMPUTED_VALUE"""),7.0)</f>
        <v>7</v>
      </c>
      <c r="K394" s="54">
        <f>IFERROR(__xludf.DUMMYFUNCTION("""COMPUTED_VALUE"""),19.0)</f>
        <v>19</v>
      </c>
      <c r="L394" s="56">
        <f>IFERROR(__xludf.DUMMYFUNCTION("""COMPUTED_VALUE"""),0.2692307692307692)</f>
        <v>0.2692307692</v>
      </c>
      <c r="M394" s="56">
        <f>IFERROR(__xludf.DUMMYFUNCTION("""COMPUTED_VALUE"""),0.30136986301369867)</f>
        <v>0.301369863</v>
      </c>
      <c r="N394" s="31">
        <f>IFERROR(__xludf.DUMMYFUNCTION("""COMPUTED_VALUE"""),394.38461538461536)</f>
        <v>394.3846154</v>
      </c>
      <c r="O394" s="57">
        <f>IFERROR(__xludf.DUMMYFUNCTION("""COMPUTED_VALUE"""),0.8461538461538461)</f>
        <v>0.8461538462</v>
      </c>
      <c r="P394" s="57">
        <f>IFERROR(__xludf.DUMMYFUNCTION("""COMPUTED_VALUE"""),0.6538461538461539)</f>
        <v>0.6538461538</v>
      </c>
      <c r="Q394" s="57">
        <f>IFERROR(__xludf.DUMMYFUNCTION("""COMPUTED_VALUE"""),1.6538461538461537)</f>
        <v>1.653846154</v>
      </c>
      <c r="R394" s="57">
        <f>IFERROR(__xludf.DUMMYFUNCTION("""COMPUTED_VALUE"""),2.8076923076923075)</f>
        <v>2.807692308</v>
      </c>
      <c r="S394" s="31">
        <f>IFERROR(__xludf.DUMMYFUNCTION("""COMPUTED_VALUE"""),426.8461538461539)</f>
        <v>426.8461538</v>
      </c>
      <c r="T394" s="57">
        <f>IFERROR(__xludf.DUMMYFUNCTION("""COMPUTED_VALUE"""),1.128205128205128)</f>
        <v>1.128205128</v>
      </c>
      <c r="U394" s="57">
        <f>IFERROR(__xludf.DUMMYFUNCTION("""COMPUTED_VALUE"""),0.8717948717948718)</f>
        <v>0.8717948718</v>
      </c>
      <c r="V394" s="57">
        <f>IFERROR(__xludf.DUMMYFUNCTION("""COMPUTED_VALUE"""),1.4871794871794868)</f>
        <v>1.487179487</v>
      </c>
      <c r="W394" s="57">
        <f>IFERROR(__xludf.DUMMYFUNCTION("""COMPUTED_VALUE"""),3.2179487179487176)</f>
        <v>3.217948718</v>
      </c>
      <c r="X394" s="31">
        <f>IFERROR(__xludf.DUMMYFUNCTION("""COMPUTED_VALUE"""),396.62371044516027)</f>
        <v>396.6237104</v>
      </c>
      <c r="Y394" s="57">
        <f>IFERROR(__xludf.DUMMYFUNCTION("""COMPUTED_VALUE"""),0.927591532935119)</f>
        <v>0.9275915329</v>
      </c>
      <c r="Z394" s="57">
        <f>IFERROR(__xludf.DUMMYFUNCTION("""COMPUTED_VALUE"""),0.6917781777899114)</f>
        <v>0.6917781778</v>
      </c>
      <c r="AA394" s="57">
        <f>IFERROR(__xludf.DUMMYFUNCTION("""COMPUTED_VALUE"""),1.4608915794245616)</f>
        <v>1.460891579</v>
      </c>
      <c r="AB394" s="57">
        <f>IFERROR(__xludf.DUMMYFUNCTION("""COMPUTED_VALUE"""),2.960825923027729)</f>
        <v>2.960825923</v>
      </c>
      <c r="AC394" s="31">
        <f>IFERROR(__xludf.DUMMYFUNCTION("""COMPUTED_VALUE"""),378.3868720563323)</f>
        <v>378.3868721</v>
      </c>
      <c r="AD394" s="57">
        <f>IFERROR(__xludf.DUMMYFUNCTION("""COMPUTED_VALUE"""),0.8269008051435319)</f>
        <v>0.8269008051</v>
      </c>
      <c r="AE394" s="57">
        <f>IFERROR(__xludf.DUMMYFUNCTION("""COMPUTED_VALUE"""),0.6257797853413324)</f>
        <v>0.6257797853</v>
      </c>
      <c r="AF394" s="57">
        <f>IFERROR(__xludf.DUMMYFUNCTION("""COMPUTED_VALUE"""),1.5165207901258198)</f>
        <v>1.51652079</v>
      </c>
      <c r="AG394" s="57">
        <f>IFERROR(__xludf.DUMMYFUNCTION("""COMPUTED_VALUE"""),2.703592159307246)</f>
        <v>2.703592159</v>
      </c>
      <c r="AH394" s="57">
        <f>IFERROR(__xludf.DUMMYFUNCTION("""COMPUTED_VALUE"""),1.0422788011680844)</f>
        <v>1.042278801</v>
      </c>
      <c r="AI394" s="57">
        <f>IFERROR(__xludf.DUMMYFUNCTION("""COMPUTED_VALUE"""),1.0232833743667384)</f>
        <v>1.023283374</v>
      </c>
      <c r="AJ394" s="57">
        <f>IFERROR(__xludf.DUMMYFUNCTION("""COMPUTED_VALUE"""),1.044850231922261)</f>
        <v>1.044850232</v>
      </c>
      <c r="AK394" s="57">
        <f>IFERROR(__xludf.DUMMYFUNCTION("""COMPUTED_VALUE"""),1.090552905449414)</f>
        <v>1.090552905</v>
      </c>
      <c r="AL394" s="57">
        <f>IFERROR(__xludf.DUMMYFUNCTION("""COMPUTED_VALUE"""),1.0385043831506509)</f>
        <v>1.038504383</v>
      </c>
      <c r="AM394" s="57">
        <f>IFERROR(__xludf.DUMMYFUNCTION("""COMPUTED_VALUE"""),1.0761992856329057)</f>
        <v>1.076199286</v>
      </c>
      <c r="AN394" s="57">
        <f>IFERROR(__xludf.DUMMYFUNCTION("""COMPUTED_VALUE"""),1.2162736378535282)</f>
        <v>1.216273638</v>
      </c>
      <c r="AO394" s="57">
        <f>IFERROR(__xludf.DUMMYFUNCTION("""COMPUTED_VALUE"""),1.2602231463560714)</f>
        <v>1.260223146</v>
      </c>
      <c r="AP394" s="35">
        <f>IFERROR(__xludf.DUMMYFUNCTION("""COMPUTED_VALUE"""),1.0179944275983026)</f>
        <v>1.017994428</v>
      </c>
      <c r="AQ394" s="57">
        <f>IFERROR(__xludf.DUMMYFUNCTION("""COMPUTED_VALUE"""),1.0868415778588076)</f>
        <v>1.086841578</v>
      </c>
      <c r="AR394" s="36" t="b">
        <f>IFERROR(__xludf.DUMMYFUNCTION("""COMPUTED_VALUE"""),TRUE)</f>
        <v>1</v>
      </c>
      <c r="AS394" s="57"/>
      <c r="AT394" s="37"/>
      <c r="AU394" s="30"/>
      <c r="AV394" s="30"/>
      <c r="AW394" s="30"/>
      <c r="AX394" s="30"/>
      <c r="AY394" s="30"/>
      <c r="AZ394" s="30"/>
    </row>
    <row r="395">
      <c r="A395" s="30" t="str">
        <f>IFERROR(__xludf.DUMMYFUNCTION("""COMPUTED_VALUE"""),"Master")</f>
        <v>Master</v>
      </c>
      <c r="B395" s="30" t="str">
        <f>IFERROR(__xludf.DUMMYFUNCTION("""COMPUTED_VALUE"""),"RSC002888")</f>
        <v>RSC002888</v>
      </c>
      <c r="C395" s="30" t="str">
        <f>IFERROR(__xludf.DUMMYFUNCTION("""COMPUTED_VALUE"""),"kri0s")</f>
        <v>kri0s</v>
      </c>
      <c r="D395" s="31" t="str">
        <f>IFERROR(__xludf.DUMMYFUNCTION("""COMPUTED_VALUE"""),"Basilisks")</f>
        <v>Basilisks</v>
      </c>
      <c r="E395" s="31">
        <f>IFERROR(__xludf.DUMMYFUNCTION("""COMPUTED_VALUE"""),51.28413699460922)</f>
        <v>51.28413699</v>
      </c>
      <c r="F395" s="31">
        <f>IFERROR(__xludf.DUMMYFUNCTION("""COMPUTED_VALUE"""),2.085431165023039)</f>
        <v>2.085431165</v>
      </c>
      <c r="G395" s="31">
        <f>IFERROR(__xludf.DUMMYFUNCTION("""COMPUTED_VALUE"""),43.911671039872516)</f>
        <v>43.91167104</v>
      </c>
      <c r="H395" s="31">
        <f>IFERROR(__xludf.DUMMYFUNCTION("""COMPUTED_VALUE"""),-2.476496802589007)</f>
        <v>-2.476496803</v>
      </c>
      <c r="I395" s="54">
        <f>IFERROR(__xludf.DUMMYFUNCTION("""COMPUTED_VALUE"""),45.0)</f>
        <v>45</v>
      </c>
      <c r="J395" s="55">
        <f>IFERROR(__xludf.DUMMYFUNCTION("""COMPUTED_VALUE"""),27.0)</f>
        <v>27</v>
      </c>
      <c r="K395" s="54">
        <f>IFERROR(__xludf.DUMMYFUNCTION("""COMPUTED_VALUE"""),18.0)</f>
        <v>18</v>
      </c>
      <c r="L395" s="56">
        <f>IFERROR(__xludf.DUMMYFUNCTION("""COMPUTED_VALUE"""),0.6)</f>
        <v>0.6</v>
      </c>
      <c r="M395" s="56">
        <f>IFERROR(__xludf.DUMMYFUNCTION("""COMPUTED_VALUE"""),0.2920353982300885)</f>
        <v>0.2920353982</v>
      </c>
      <c r="N395" s="31">
        <f>IFERROR(__xludf.DUMMYFUNCTION("""COMPUTED_VALUE"""),383.9555555555556)</f>
        <v>383.9555556</v>
      </c>
      <c r="O395" s="57">
        <f>IFERROR(__xludf.DUMMYFUNCTION("""COMPUTED_VALUE"""),0.7333333333333333)</f>
        <v>0.7333333333</v>
      </c>
      <c r="P395" s="57">
        <f>IFERROR(__xludf.DUMMYFUNCTION("""COMPUTED_VALUE"""),0.7555555555555555)</f>
        <v>0.7555555556</v>
      </c>
      <c r="Q395" s="57">
        <f>IFERROR(__xludf.DUMMYFUNCTION("""COMPUTED_VALUE"""),1.6666666666666667)</f>
        <v>1.666666667</v>
      </c>
      <c r="R395" s="57">
        <f>IFERROR(__xludf.DUMMYFUNCTION("""COMPUTED_VALUE"""),2.511111111111111)</f>
        <v>2.511111111</v>
      </c>
      <c r="S395" s="31">
        <f>IFERROR(__xludf.DUMMYFUNCTION("""COMPUTED_VALUE"""),364.08148148148143)</f>
        <v>364.0814815</v>
      </c>
      <c r="T395" s="57">
        <f>IFERROR(__xludf.DUMMYFUNCTION("""COMPUTED_VALUE"""),0.7703703703703705)</f>
        <v>0.7703703704</v>
      </c>
      <c r="U395" s="57">
        <f>IFERROR(__xludf.DUMMYFUNCTION("""COMPUTED_VALUE"""),0.651851851851852)</f>
        <v>0.6518518519</v>
      </c>
      <c r="V395" s="57">
        <f>IFERROR(__xludf.DUMMYFUNCTION("""COMPUTED_VALUE"""),1.3555555555555556)</f>
        <v>1.355555556</v>
      </c>
      <c r="W395" s="57">
        <f>IFERROR(__xludf.DUMMYFUNCTION("""COMPUTED_VALUE"""),3.0814814814814806)</f>
        <v>3.081481481</v>
      </c>
      <c r="X395" s="31">
        <f>IFERROR(__xludf.DUMMYFUNCTION("""COMPUTED_VALUE"""),386.4548090443846)</f>
        <v>386.454809</v>
      </c>
      <c r="Y395" s="57">
        <f>IFERROR(__xludf.DUMMYFUNCTION("""COMPUTED_VALUE"""),0.8692580940556996)</f>
        <v>0.8692580941</v>
      </c>
      <c r="Z395" s="57">
        <f>IFERROR(__xludf.DUMMYFUNCTION("""COMPUTED_VALUE"""),0.675347808377584)</f>
        <v>0.6753478084</v>
      </c>
      <c r="AA395" s="57">
        <f>IFERROR(__xludf.DUMMYFUNCTION("""COMPUTED_VALUE"""),1.4958591072202156)</f>
        <v>1.495859107</v>
      </c>
      <c r="AB395" s="57">
        <f>IFERROR(__xludf.DUMMYFUNCTION("""COMPUTED_VALUE"""),2.8602613701887614)</f>
        <v>2.86026137</v>
      </c>
      <c r="AC395" s="31">
        <f>IFERROR(__xludf.DUMMYFUNCTION("""COMPUTED_VALUE"""),391.63239295971437)</f>
        <v>391.632393</v>
      </c>
      <c r="AD395" s="57">
        <f>IFERROR(__xludf.DUMMYFUNCTION("""COMPUTED_VALUE"""),0.895970135524459)</f>
        <v>0.8959701355</v>
      </c>
      <c r="AE395" s="57">
        <f>IFERROR(__xludf.DUMMYFUNCTION("""COMPUTED_VALUE"""),0.6807959313467655)</f>
        <v>0.6807959313</v>
      </c>
      <c r="AF395" s="57">
        <f>IFERROR(__xludf.DUMMYFUNCTION("""COMPUTED_VALUE"""),1.5133699054088223)</f>
        <v>1.513369905</v>
      </c>
      <c r="AG395" s="57">
        <f>IFERROR(__xludf.DUMMYFUNCTION("""COMPUTED_VALUE"""),2.8578782134931373)</f>
        <v>2.857878213</v>
      </c>
      <c r="AH395" s="57">
        <f>IFERROR(__xludf.DUMMYFUNCTION("""COMPUTED_VALUE"""),0.9803978487424342)</f>
        <v>0.9803978487</v>
      </c>
      <c r="AI395" s="57">
        <f>IFERROR(__xludf.DUMMYFUNCTION("""COMPUTED_VALUE"""),0.8184796616062144)</f>
        <v>0.8184796616</v>
      </c>
      <c r="AJ395" s="57">
        <f>IFERROR(__xludf.DUMMYFUNCTION("""COMPUTED_VALUE"""),1.1098120901822943)</f>
        <v>1.10981209</v>
      </c>
      <c r="AK395" s="57">
        <f>IFERROR(__xludf.DUMMYFUNCTION("""COMPUTED_VALUE"""),1.1012949713813907)</f>
        <v>1.101294971</v>
      </c>
      <c r="AL395" s="57">
        <f>IFERROR(__xludf.DUMMYFUNCTION("""COMPUTED_VALUE"""),0.8786627433090725)</f>
        <v>0.8786627433</v>
      </c>
      <c r="AM395" s="57">
        <f>IFERROR(__xludf.DUMMYFUNCTION("""COMPUTED_VALUE"""),0.9421062255164392)</f>
        <v>0.9421062255</v>
      </c>
      <c r="AN395" s="57">
        <f>IFERROR(__xludf.DUMMYFUNCTION("""COMPUTED_VALUE"""),0.8862389382836248)</f>
        <v>0.8862389383</v>
      </c>
      <c r="AO395" s="57">
        <f>IFERROR(__xludf.DUMMYFUNCTION("""COMPUTED_VALUE"""),0.9652091022814195)</f>
        <v>0.9652091023</v>
      </c>
      <c r="AP395" s="35">
        <f>IFERROR(__xludf.DUMMYFUNCTION("""COMPUTED_VALUE"""),0.9062053698858117)</f>
        <v>0.9062053699</v>
      </c>
      <c r="AQ395" s="57">
        <f>IFERROR(__xludf.DUMMYFUNCTION("""COMPUTED_VALUE"""),1.0773426210619765)</f>
        <v>1.077342621</v>
      </c>
      <c r="AR395" s="36" t="b">
        <f>IFERROR(__xludf.DUMMYFUNCTION("""COMPUTED_VALUE"""),TRUE)</f>
        <v>1</v>
      </c>
      <c r="AS395" s="57"/>
      <c r="AT395" s="37"/>
      <c r="AU395" s="30"/>
      <c r="AV395" s="30"/>
      <c r="AW395" s="30"/>
      <c r="AX395" s="30"/>
      <c r="AY395" s="30"/>
      <c r="AZ395" s="30"/>
    </row>
    <row r="396">
      <c r="A396" s="30" t="str">
        <f>IFERROR(__xludf.DUMMYFUNCTION("""COMPUTED_VALUE"""),"Master")</f>
        <v>Master</v>
      </c>
      <c r="B396" s="30" t="str">
        <f>IFERROR(__xludf.DUMMYFUNCTION("""COMPUTED_VALUE"""),"RSC000839")</f>
        <v>RSC000839</v>
      </c>
      <c r="C396" s="30" t="str">
        <f>IFERROR(__xludf.DUMMYFUNCTION("""COMPUTED_VALUE"""),"p0larbear")</f>
        <v>p0larbear</v>
      </c>
      <c r="D396" s="31" t="str">
        <f>IFERROR(__xludf.DUMMYFUNCTION("""COMPUTED_VALUE"""),"Heinous Henchmen")</f>
        <v>Heinous Henchmen</v>
      </c>
      <c r="E396" s="31">
        <f>IFERROR(__xludf.DUMMYFUNCTION("""COMPUTED_VALUE"""),51.12275001426361)</f>
        <v>51.12275001</v>
      </c>
      <c r="F396" s="31">
        <f>IFERROR(__xludf.DUMMYFUNCTION("""COMPUTED_VALUE"""),2.0743035322699073)</f>
        <v>2.074303532</v>
      </c>
      <c r="G396" s="31">
        <f>IFERROR(__xludf.DUMMYFUNCTION("""COMPUTED_VALUE"""),49.114699636211355)</f>
        <v>49.11469964</v>
      </c>
      <c r="H396" s="31">
        <f>IFERROR(__xludf.DUMMYFUNCTION("""COMPUTED_VALUE"""),-2.0581399752829714)</f>
        <v>-2.058139975</v>
      </c>
      <c r="I396" s="54">
        <f>IFERROR(__xludf.DUMMYFUNCTION("""COMPUTED_VALUE"""),40.0)</f>
        <v>40</v>
      </c>
      <c r="J396" s="55">
        <f>IFERROR(__xludf.DUMMYFUNCTION("""COMPUTED_VALUE"""),15.0)</f>
        <v>15</v>
      </c>
      <c r="K396" s="54">
        <f>IFERROR(__xludf.DUMMYFUNCTION("""COMPUTED_VALUE"""),25.0)</f>
        <v>25</v>
      </c>
      <c r="L396" s="56">
        <f>IFERROR(__xludf.DUMMYFUNCTION("""COMPUTED_VALUE"""),0.375)</f>
        <v>0.375</v>
      </c>
      <c r="M396" s="56">
        <f>IFERROR(__xludf.DUMMYFUNCTION("""COMPUTED_VALUE"""),0.28971962616822433)</f>
        <v>0.2897196262</v>
      </c>
      <c r="N396" s="31">
        <f>IFERROR(__xludf.DUMMYFUNCTION("""COMPUTED_VALUE"""),376.75)</f>
        <v>376.75</v>
      </c>
      <c r="O396" s="57">
        <f>IFERROR(__xludf.DUMMYFUNCTION("""COMPUTED_VALUE"""),0.775)</f>
        <v>0.775</v>
      </c>
      <c r="P396" s="57">
        <f>IFERROR(__xludf.DUMMYFUNCTION("""COMPUTED_VALUE"""),0.75)</f>
        <v>0.75</v>
      </c>
      <c r="Q396" s="57">
        <f>IFERROR(__xludf.DUMMYFUNCTION("""COMPUTED_VALUE"""),1.45)</f>
        <v>1.45</v>
      </c>
      <c r="R396" s="57">
        <f>IFERROR(__xludf.DUMMYFUNCTION("""COMPUTED_VALUE"""),2.675)</f>
        <v>2.675</v>
      </c>
      <c r="S396" s="31">
        <f>IFERROR(__xludf.DUMMYFUNCTION("""COMPUTED_VALUE"""),391.08333333333337)</f>
        <v>391.0833333</v>
      </c>
      <c r="T396" s="57">
        <f>IFERROR(__xludf.DUMMYFUNCTION("""COMPUTED_VALUE"""),0.925)</f>
        <v>0.925</v>
      </c>
      <c r="U396" s="57">
        <f>IFERROR(__xludf.DUMMYFUNCTION("""COMPUTED_VALUE"""),0.7333333333333334)</f>
        <v>0.7333333333</v>
      </c>
      <c r="V396" s="57">
        <f>IFERROR(__xludf.DUMMYFUNCTION("""COMPUTED_VALUE"""),1.3666666666666667)</f>
        <v>1.366666667</v>
      </c>
      <c r="W396" s="57">
        <f>IFERROR(__xludf.DUMMYFUNCTION("""COMPUTED_VALUE"""),3.05)</f>
        <v>3.05</v>
      </c>
      <c r="X396" s="31">
        <f>IFERROR(__xludf.DUMMYFUNCTION("""COMPUTED_VALUE"""),383.31288798814876)</f>
        <v>383.312888</v>
      </c>
      <c r="Y396" s="57">
        <f>IFERROR(__xludf.DUMMYFUNCTION("""COMPUTED_VALUE"""),0.8782848227352431)</f>
        <v>0.8782848227</v>
      </c>
      <c r="Z396" s="57">
        <f>IFERROR(__xludf.DUMMYFUNCTION("""COMPUTED_VALUE"""),0.681921061289428)</f>
        <v>0.6819210613</v>
      </c>
      <c r="AA396" s="57">
        <f>IFERROR(__xludf.DUMMYFUNCTION("""COMPUTED_VALUE"""),1.4345096303517424)</f>
        <v>1.43450963</v>
      </c>
      <c r="AB396" s="57">
        <f>IFERROR(__xludf.DUMMYFUNCTION("""COMPUTED_VALUE"""),2.7653655151298855)</f>
        <v>2.765365515</v>
      </c>
      <c r="AC396" s="31">
        <f>IFERROR(__xludf.DUMMYFUNCTION("""COMPUTED_VALUE"""),383.0753583058774)</f>
        <v>383.0753583</v>
      </c>
      <c r="AD396" s="57">
        <f>IFERROR(__xludf.DUMMYFUNCTION("""COMPUTED_VALUE"""),0.8812243902254918)</f>
        <v>0.8812243902</v>
      </c>
      <c r="AE396" s="57">
        <f>IFERROR(__xludf.DUMMYFUNCTION("""COMPUTED_VALUE"""),0.6801460903872945)</f>
        <v>0.6801460904</v>
      </c>
      <c r="AF396" s="57">
        <f>IFERROR(__xludf.DUMMYFUNCTION("""COMPUTED_VALUE"""),1.4403686431791975)</f>
        <v>1.440368643</v>
      </c>
      <c r="AG396" s="57">
        <f>IFERROR(__xludf.DUMMYFUNCTION("""COMPUTED_VALUE"""),2.802875228041245)</f>
        <v>2.802875228</v>
      </c>
      <c r="AH396" s="57">
        <f>IFERROR(__xludf.DUMMYFUNCTION("""COMPUTED_VALUE"""),0.9834879530391858)</f>
        <v>0.983487953</v>
      </c>
      <c r="AI396" s="57">
        <f>IFERROR(__xludf.DUMMYFUNCTION("""COMPUTED_VALUE"""),0.8794581818164263)</f>
        <v>0.8794581818</v>
      </c>
      <c r="AJ396" s="57">
        <f>IFERROR(__xludf.DUMMYFUNCTION("""COMPUTED_VALUE"""),1.102704272802522)</f>
        <v>1.102704273</v>
      </c>
      <c r="AK396" s="57">
        <f>IFERROR(__xludf.DUMMYFUNCTION("""COMPUTED_VALUE"""),1.0066867304189182)</f>
        <v>1.00668673</v>
      </c>
      <c r="AL396" s="57">
        <f>IFERROR(__xludf.DUMMYFUNCTION("""COMPUTED_VALUE"""),0.9543771243322133)</f>
        <v>0.9543771243</v>
      </c>
      <c r="AM396" s="57">
        <f>IFERROR(__xludf.DUMMYFUNCTION("""COMPUTED_VALUE"""),1.0202718081981759)</f>
        <v>1.020271808</v>
      </c>
      <c r="AN396" s="57">
        <f>IFERROR(__xludf.DUMMYFUNCTION("""COMPUTED_VALUE"""),1.053189097722618)</f>
        <v>1.053189098</v>
      </c>
      <c r="AO396" s="57">
        <f>IFERROR(__xludf.DUMMYFUNCTION("""COMPUTED_VALUE"""),1.0753932895791358)</f>
        <v>1.07539329</v>
      </c>
      <c r="AP396" s="35">
        <f>IFERROR(__xludf.DUMMYFUNCTION("""COMPUTED_VALUE"""),0.9527065122118138)</f>
        <v>0.9527065122</v>
      </c>
      <c r="AQ396" s="57">
        <f>IFERROR(__xludf.DUMMYFUNCTION("""COMPUTED_VALUE"""),1.1029283410503314)</f>
        <v>1.102928341</v>
      </c>
      <c r="AR396" s="36" t="b">
        <f>IFERROR(__xludf.DUMMYFUNCTION("""COMPUTED_VALUE"""),TRUE)</f>
        <v>1</v>
      </c>
      <c r="AS396" s="57"/>
      <c r="AT396" s="37"/>
      <c r="AU396" s="30"/>
      <c r="AV396" s="30"/>
      <c r="AW396" s="30"/>
      <c r="AX396" s="30"/>
      <c r="AY396" s="30"/>
      <c r="AZ396" s="30"/>
    </row>
    <row r="397">
      <c r="A397" s="30" t="str">
        <f>IFERROR(__xludf.DUMMYFUNCTION("""COMPUTED_VALUE"""),"Master")</f>
        <v>Master</v>
      </c>
      <c r="B397" s="30" t="str">
        <f>IFERROR(__xludf.DUMMYFUNCTION("""COMPUTED_VALUE"""),"RSC003308")</f>
        <v>RSC003308</v>
      </c>
      <c r="C397" s="30" t="str">
        <f>IFERROR(__xludf.DUMMYFUNCTION("""COMPUTED_VALUE"""),"Tman")</f>
        <v>Tman</v>
      </c>
      <c r="D397" s="31" t="str">
        <f>IFERROR(__xludf.DUMMYFUNCTION("""COMPUTED_VALUE"""),"Plinko")</f>
        <v>Plinko</v>
      </c>
      <c r="E397" s="31">
        <f>IFERROR(__xludf.DUMMYFUNCTION("""COMPUTED_VALUE"""),50.09133108366286)</f>
        <v>50.09133108</v>
      </c>
      <c r="F397" s="31">
        <f>IFERROR(__xludf.DUMMYFUNCTION("""COMPUTED_VALUE"""),2.005846762452536)</f>
        <v>2.005846762</v>
      </c>
      <c r="G397" s="31">
        <f>IFERROR(__xludf.DUMMYFUNCTION("""COMPUTED_VALUE"""),48.48010021801628)</f>
        <v>48.48010022</v>
      </c>
      <c r="H397" s="31">
        <f>IFERROR(__xludf.DUMMYFUNCTION("""COMPUTED_VALUE"""),-2.1018964001707796)</f>
        <v>-2.1018964</v>
      </c>
      <c r="I397" s="54">
        <f>IFERROR(__xludf.DUMMYFUNCTION("""COMPUTED_VALUE"""),41.0)</f>
        <v>41</v>
      </c>
      <c r="J397" s="55">
        <f>IFERROR(__xludf.DUMMYFUNCTION("""COMPUTED_VALUE"""),16.0)</f>
        <v>16</v>
      </c>
      <c r="K397" s="54">
        <f>IFERROR(__xludf.DUMMYFUNCTION("""COMPUTED_VALUE"""),25.0)</f>
        <v>25</v>
      </c>
      <c r="L397" s="56">
        <f>IFERROR(__xludf.DUMMYFUNCTION("""COMPUTED_VALUE"""),0.3902439024390244)</f>
        <v>0.3902439024</v>
      </c>
      <c r="M397" s="56">
        <f>IFERROR(__xludf.DUMMYFUNCTION("""COMPUTED_VALUE"""),0.3017241379310345)</f>
        <v>0.3017241379</v>
      </c>
      <c r="N397" s="31">
        <f>IFERROR(__xludf.DUMMYFUNCTION("""COMPUTED_VALUE"""),396.0243902439024)</f>
        <v>396.0243902</v>
      </c>
      <c r="O397" s="57">
        <f>IFERROR(__xludf.DUMMYFUNCTION("""COMPUTED_VALUE"""),0.8536585365853658)</f>
        <v>0.8536585366</v>
      </c>
      <c r="P397" s="57">
        <f>IFERROR(__xludf.DUMMYFUNCTION("""COMPUTED_VALUE"""),0.5121951219512195)</f>
        <v>0.512195122</v>
      </c>
      <c r="Q397" s="57">
        <f>IFERROR(__xludf.DUMMYFUNCTION("""COMPUTED_VALUE"""),1.5365853658536586)</f>
        <v>1.536585366</v>
      </c>
      <c r="R397" s="57">
        <f>IFERROR(__xludf.DUMMYFUNCTION("""COMPUTED_VALUE"""),2.8292682926829267)</f>
        <v>2.829268293</v>
      </c>
      <c r="S397" s="31">
        <f>IFERROR(__xludf.DUMMYFUNCTION("""COMPUTED_VALUE"""),395.9837398373983)</f>
        <v>395.9837398</v>
      </c>
      <c r="T397" s="57">
        <f>IFERROR(__xludf.DUMMYFUNCTION("""COMPUTED_VALUE"""),0.8943089430894307)</f>
        <v>0.8943089431</v>
      </c>
      <c r="U397" s="57">
        <f>IFERROR(__xludf.DUMMYFUNCTION("""COMPUTED_VALUE"""),0.6666666666666667)</f>
        <v>0.6666666667</v>
      </c>
      <c r="V397" s="57">
        <f>IFERROR(__xludf.DUMMYFUNCTION("""COMPUTED_VALUE"""),1.5691056910569106)</f>
        <v>1.569105691</v>
      </c>
      <c r="W397" s="57">
        <f>IFERROR(__xludf.DUMMYFUNCTION("""COMPUTED_VALUE"""),2.796747967479675)</f>
        <v>2.796747967</v>
      </c>
      <c r="X397" s="31">
        <f>IFERROR(__xludf.DUMMYFUNCTION("""COMPUTED_VALUE"""),388.12698114060566)</f>
        <v>388.1269811</v>
      </c>
      <c r="Y397" s="57">
        <f>IFERROR(__xludf.DUMMYFUNCTION("""COMPUTED_VALUE"""),0.9270285854585228)</f>
        <v>0.9270285855</v>
      </c>
      <c r="Z397" s="57">
        <f>IFERROR(__xludf.DUMMYFUNCTION("""COMPUTED_VALUE"""),0.7053655792810741)</f>
        <v>0.7053655793</v>
      </c>
      <c r="AA397" s="57">
        <f>IFERROR(__xludf.DUMMYFUNCTION("""COMPUTED_VALUE"""),1.4078466498772317)</f>
        <v>1.40784665</v>
      </c>
      <c r="AB397" s="57">
        <f>IFERROR(__xludf.DUMMYFUNCTION("""COMPUTED_VALUE"""),2.86558281847697)</f>
        <v>2.865582818</v>
      </c>
      <c r="AC397" s="31">
        <f>IFERROR(__xludf.DUMMYFUNCTION("""COMPUTED_VALUE"""),383.3079896905218)</f>
        <v>383.3079897</v>
      </c>
      <c r="AD397" s="57">
        <f>IFERROR(__xludf.DUMMYFUNCTION("""COMPUTED_VALUE"""),0.8718125794125233)</f>
        <v>0.8718125794</v>
      </c>
      <c r="AE397" s="57">
        <f>IFERROR(__xludf.DUMMYFUNCTION("""COMPUTED_VALUE"""),0.6522218889396103)</f>
        <v>0.6522218889</v>
      </c>
      <c r="AF397" s="57">
        <f>IFERROR(__xludf.DUMMYFUNCTION("""COMPUTED_VALUE"""),1.4656349697168314)</f>
        <v>1.46563497</v>
      </c>
      <c r="AG397" s="57">
        <f>IFERROR(__xludf.DUMMYFUNCTION("""COMPUTED_VALUE"""),2.7559351287497282)</f>
        <v>2.755935129</v>
      </c>
      <c r="AH397" s="57">
        <f>IFERROR(__xludf.DUMMYFUNCTION("""COMPUTED_VALUE"""),1.033175412189158)</f>
        <v>1.033175412</v>
      </c>
      <c r="AI397" s="57">
        <f>IFERROR(__xludf.DUMMYFUNCTION("""COMPUTED_VALUE"""),0.979176667949216)</f>
        <v>0.9791766679</v>
      </c>
      <c r="AJ397" s="57">
        <f>IFERROR(__xludf.DUMMYFUNCTION("""COMPUTED_VALUE"""),0.7853080840079626)</f>
        <v>0.785308084</v>
      </c>
      <c r="AK397" s="57">
        <f>IFERROR(__xludf.DUMMYFUNCTION("""COMPUTED_VALUE"""),1.0484093226504654)</f>
        <v>1.048409323</v>
      </c>
      <c r="AL397" s="57">
        <f>IFERROR(__xludf.DUMMYFUNCTION("""COMPUTED_VALUE"""),1.0266091763801666)</f>
        <v>1.026609176</v>
      </c>
      <c r="AM397" s="57">
        <f>IFERROR(__xludf.DUMMYFUNCTION("""COMPUTED_VALUE"""),1.020242753218814)</f>
        <v>1.020242753</v>
      </c>
      <c r="AN397" s="57">
        <f>IFERROR(__xludf.DUMMYFUNCTION("""COMPUTED_VALUE"""),0.9647048182954266)</f>
        <v>0.9647048183</v>
      </c>
      <c r="AO397" s="57">
        <f>IFERROR(__xludf.DUMMYFUNCTION("""COMPUTED_VALUE"""),0.9451363750215168)</f>
        <v>0.945136375</v>
      </c>
      <c r="AP397" s="35">
        <f>IFERROR(__xludf.DUMMYFUNCTION("""COMPUTED_VALUE"""),1.1145430442965796)</f>
        <v>1.114543044</v>
      </c>
      <c r="AQ397" s="57">
        <f>IFERROR(__xludf.DUMMYFUNCTION("""COMPUTED_VALUE"""),0.9759787605671505)</f>
        <v>0.9759787606</v>
      </c>
      <c r="AR397" s="36" t="b">
        <f>IFERROR(__xludf.DUMMYFUNCTION("""COMPUTED_VALUE"""),TRUE)</f>
        <v>1</v>
      </c>
      <c r="AS397" s="57"/>
      <c r="AT397" s="37"/>
      <c r="AU397" s="30"/>
      <c r="AV397" s="30"/>
      <c r="AW397" s="30"/>
      <c r="AX397" s="30"/>
      <c r="AY397" s="30"/>
      <c r="AZ397" s="30"/>
    </row>
    <row r="398">
      <c r="A398" s="30" t="str">
        <f>IFERROR(__xludf.DUMMYFUNCTION("""COMPUTED_VALUE"""),"Master")</f>
        <v>Master</v>
      </c>
      <c r="B398" s="30" t="str">
        <f>IFERROR(__xludf.DUMMYFUNCTION("""COMPUTED_VALUE"""),"RSC005499")</f>
        <v>RSC005499</v>
      </c>
      <c r="C398" s="30" t="str">
        <f>IFERROR(__xludf.DUMMYFUNCTION("""COMPUTED_VALUE"""),"R0cket")</f>
        <v>R0cket</v>
      </c>
      <c r="D398" s="31"/>
      <c r="E398" s="31">
        <f>IFERROR(__xludf.DUMMYFUNCTION("""COMPUTED_VALUE"""),49.668311232951005)</f>
        <v>49.66831123</v>
      </c>
      <c r="F398" s="31">
        <f>IFERROR(__xludf.DUMMYFUNCTION("""COMPUTED_VALUE"""),-2.0213978368678878)</f>
        <v>-2.021397837</v>
      </c>
      <c r="G398" s="31">
        <f>IFERROR(__xludf.DUMMYFUNCTION("""COMPUTED_VALUE"""),45.045579137039184)</f>
        <v>45.04557914</v>
      </c>
      <c r="H398" s="31">
        <f>IFERROR(__xludf.DUMMYFUNCTION("""COMPUTED_VALUE"""),-2.3727418146471684)</f>
        <v>-2.372741815</v>
      </c>
      <c r="I398" s="54">
        <f>IFERROR(__xludf.DUMMYFUNCTION("""COMPUTED_VALUE"""),33.0)</f>
        <v>33</v>
      </c>
      <c r="J398" s="55">
        <f>IFERROR(__xludf.DUMMYFUNCTION("""COMPUTED_VALUE"""),17.0)</f>
        <v>17</v>
      </c>
      <c r="K398" s="54">
        <f>IFERROR(__xludf.DUMMYFUNCTION("""COMPUTED_VALUE"""),16.0)</f>
        <v>16</v>
      </c>
      <c r="L398" s="56">
        <f>IFERROR(__xludf.DUMMYFUNCTION("""COMPUTED_VALUE"""),0.5151515151515151)</f>
        <v>0.5151515152</v>
      </c>
      <c r="M398" s="56">
        <f>IFERROR(__xludf.DUMMYFUNCTION("""COMPUTED_VALUE"""),0.3421052631578947)</f>
        <v>0.3421052632</v>
      </c>
      <c r="N398" s="31">
        <f>IFERROR(__xludf.DUMMYFUNCTION("""COMPUTED_VALUE"""),348.8181818181818)</f>
        <v>348.8181818</v>
      </c>
      <c r="O398" s="57">
        <f>IFERROR(__xludf.DUMMYFUNCTION("""COMPUTED_VALUE"""),0.7878787878787878)</f>
        <v>0.7878787879</v>
      </c>
      <c r="P398" s="57">
        <f>IFERROR(__xludf.DUMMYFUNCTION("""COMPUTED_VALUE"""),0.7272727272727273)</f>
        <v>0.7272727273</v>
      </c>
      <c r="Q398" s="57">
        <f>IFERROR(__xludf.DUMMYFUNCTION("""COMPUTED_VALUE"""),1.3636363636363635)</f>
        <v>1.363636364</v>
      </c>
      <c r="R398" s="57">
        <f>IFERROR(__xludf.DUMMYFUNCTION("""COMPUTED_VALUE"""),2.303030303030303)</f>
        <v>2.303030303</v>
      </c>
      <c r="S398" s="31">
        <f>IFERROR(__xludf.DUMMYFUNCTION("""COMPUTED_VALUE"""),356.67676767676767)</f>
        <v>356.6767677</v>
      </c>
      <c r="T398" s="57">
        <f>IFERROR(__xludf.DUMMYFUNCTION("""COMPUTED_VALUE"""),0.9090909090909091)</f>
        <v>0.9090909091</v>
      </c>
      <c r="U398" s="57">
        <f>IFERROR(__xludf.DUMMYFUNCTION("""COMPUTED_VALUE"""),0.6464646464646464)</f>
        <v>0.6464646465</v>
      </c>
      <c r="V398" s="57">
        <f>IFERROR(__xludf.DUMMYFUNCTION("""COMPUTED_VALUE"""),1.2525252525252526)</f>
        <v>1.252525253</v>
      </c>
      <c r="W398" s="57">
        <f>IFERROR(__xludf.DUMMYFUNCTION("""COMPUTED_VALUE"""),2.696969696969697)</f>
        <v>2.696969697</v>
      </c>
      <c r="X398" s="31">
        <f>IFERROR(__xludf.DUMMYFUNCTION("""COMPUTED_VALUE"""),382.6865128130055)</f>
        <v>382.6865128</v>
      </c>
      <c r="Y398" s="57">
        <f>IFERROR(__xludf.DUMMYFUNCTION("""COMPUTED_VALUE"""),0.8573202424846194)</f>
        <v>0.8573202425</v>
      </c>
      <c r="Z398" s="57">
        <f>IFERROR(__xludf.DUMMYFUNCTION("""COMPUTED_VALUE"""),0.6807516289901147)</f>
        <v>0.680751629</v>
      </c>
      <c r="AA398" s="57">
        <f>IFERROR(__xludf.DUMMYFUNCTION("""COMPUTED_VALUE"""),1.4960907374920158)</f>
        <v>1.496090737</v>
      </c>
      <c r="AB398" s="57">
        <f>IFERROR(__xludf.DUMMYFUNCTION("""COMPUTED_VALUE"""),2.809583692340027)</f>
        <v>2.809583692</v>
      </c>
      <c r="AC398" s="31">
        <f>IFERROR(__xludf.DUMMYFUNCTION("""COMPUTED_VALUE"""),378.32394739519367)</f>
        <v>378.3239474</v>
      </c>
      <c r="AD398" s="57">
        <f>IFERROR(__xludf.DUMMYFUNCTION("""COMPUTED_VALUE"""),0.8473301551658962)</f>
        <v>0.8473301552</v>
      </c>
      <c r="AE398" s="57">
        <f>IFERROR(__xludf.DUMMYFUNCTION("""COMPUTED_VALUE"""),0.6362740732296822)</f>
        <v>0.6362740732</v>
      </c>
      <c r="AF398" s="57">
        <f>IFERROR(__xludf.DUMMYFUNCTION("""COMPUTED_VALUE"""),1.4605917950650298)</f>
        <v>1.460591795</v>
      </c>
      <c r="AG398" s="57">
        <f>IFERROR(__xludf.DUMMYFUNCTION("""COMPUTED_VALUE"""),2.7664083689256773)</f>
        <v>2.766408369</v>
      </c>
      <c r="AH398" s="57">
        <f>IFERROR(__xludf.DUMMYFUNCTION("""COMPUTED_VALUE"""),0.9220092574626517)</f>
        <v>0.9220092575</v>
      </c>
      <c r="AI398" s="57">
        <f>IFERROR(__xludf.DUMMYFUNCTION("""COMPUTED_VALUE"""),0.9298368328748213)</f>
        <v>0.9298368329</v>
      </c>
      <c r="AJ398" s="57">
        <f>IFERROR(__xludf.DUMMYFUNCTION("""COMPUTED_VALUE"""),1.143018013575726)</f>
        <v>1.143018014</v>
      </c>
      <c r="AK398" s="57">
        <f>IFERROR(__xludf.DUMMYFUNCTION("""COMPUTED_VALUE"""),0.9336190770369558)</f>
        <v>0.933619077</v>
      </c>
      <c r="AL398" s="57">
        <f>IFERROR(__xludf.DUMMYFUNCTION("""COMPUTED_VALUE"""),0.8324983140232022)</f>
        <v>0.832498314</v>
      </c>
      <c r="AM398" s="57">
        <f>IFERROR(__xludf.DUMMYFUNCTION("""COMPUTED_VALUE"""),0.9320338076587843)</f>
        <v>0.9320338077</v>
      </c>
      <c r="AN398" s="57">
        <f>IFERROR(__xludf.DUMMYFUNCTION("""COMPUTED_VALUE"""),1.060386614057137)</f>
        <v>1.060386614</v>
      </c>
      <c r="AO398" s="57">
        <f>IFERROR(__xludf.DUMMYFUNCTION("""COMPUTED_VALUE"""),0.9496336386644678)</f>
        <v>0.9496336387</v>
      </c>
      <c r="AP398" s="35">
        <f>IFERROR(__xludf.DUMMYFUNCTION("""COMPUTED_VALUE"""),0.8371987213990334)</f>
        <v>0.8371987214</v>
      </c>
      <c r="AQ398" s="57">
        <f>IFERROR(__xludf.DUMMYFUNCTION("""COMPUTED_VALUE"""),0.9599179068139675)</f>
        <v>0.9599179068</v>
      </c>
      <c r="AR398" s="36" t="b">
        <f>IFERROR(__xludf.DUMMYFUNCTION("""COMPUTED_VALUE"""),TRUE)</f>
        <v>1</v>
      </c>
      <c r="AS398" s="57"/>
      <c r="AT398" s="37"/>
      <c r="AU398" s="30"/>
      <c r="AV398" s="30"/>
      <c r="AW398" s="30"/>
      <c r="AX398" s="30"/>
      <c r="AY398" s="30"/>
      <c r="AZ398" s="30"/>
    </row>
    <row r="399">
      <c r="A399" s="30" t="str">
        <f>IFERROR(__xludf.DUMMYFUNCTION("""COMPUTED_VALUE"""),"Master")</f>
        <v>Master</v>
      </c>
      <c r="B399" s="30" t="str">
        <f>IFERROR(__xludf.DUMMYFUNCTION("""COMPUTED_VALUE"""),"RSC002862")</f>
        <v>RSC002862</v>
      </c>
      <c r="C399" s="30" t="str">
        <f>IFERROR(__xludf.DUMMYFUNCTION("""COMPUTED_VALUE"""),"Doodle!")</f>
        <v>Doodle!</v>
      </c>
      <c r="D399" s="31" t="str">
        <f>IFERROR(__xludf.DUMMYFUNCTION("""COMPUTED_VALUE"""),"The OG")</f>
        <v>The OG</v>
      </c>
      <c r="E399" s="31">
        <f>IFERROR(__xludf.DUMMYFUNCTION("""COMPUTED_VALUE"""),49.6474770040208)</f>
        <v>49.647477</v>
      </c>
      <c r="F399" s="31">
        <f>IFERROR(__xludf.DUMMYFUNCTION("""COMPUTED_VALUE"""),-2.022757096264513)</f>
        <v>-2.022757096</v>
      </c>
      <c r="G399" s="31">
        <f>IFERROR(__xludf.DUMMYFUNCTION("""COMPUTED_VALUE"""),33.760130150228576)</f>
        <v>33.76013015</v>
      </c>
      <c r="H399" s="31">
        <f>IFERROR(__xludf.DUMMYFUNCTION("""COMPUTED_VALUE"""),-3.876314579525993)</f>
        <v>-3.87631458</v>
      </c>
      <c r="I399" s="54">
        <f>IFERROR(__xludf.DUMMYFUNCTION("""COMPUTED_VALUE"""),38.0)</f>
        <v>38</v>
      </c>
      <c r="J399" s="55">
        <f>IFERROR(__xludf.DUMMYFUNCTION("""COMPUTED_VALUE"""),11.0)</f>
        <v>11</v>
      </c>
      <c r="K399" s="54">
        <f>IFERROR(__xludf.DUMMYFUNCTION("""COMPUTED_VALUE"""),27.0)</f>
        <v>27</v>
      </c>
      <c r="L399" s="56">
        <f>IFERROR(__xludf.DUMMYFUNCTION("""COMPUTED_VALUE"""),0.2894736842105263)</f>
        <v>0.2894736842</v>
      </c>
      <c r="M399" s="56">
        <f>IFERROR(__xludf.DUMMYFUNCTION("""COMPUTED_VALUE"""),0.32142857142857145)</f>
        <v>0.3214285714</v>
      </c>
      <c r="N399" s="31">
        <f>IFERROR(__xludf.DUMMYFUNCTION("""COMPUTED_VALUE"""),390.4736842105263)</f>
        <v>390.4736842</v>
      </c>
      <c r="O399" s="57">
        <f>IFERROR(__xludf.DUMMYFUNCTION("""COMPUTED_VALUE"""),0.9473684210526315)</f>
        <v>0.9473684211</v>
      </c>
      <c r="P399" s="57">
        <f>IFERROR(__xludf.DUMMYFUNCTION("""COMPUTED_VALUE"""),0.5526315789473685)</f>
        <v>0.5526315789</v>
      </c>
      <c r="Q399" s="57">
        <f>IFERROR(__xludf.DUMMYFUNCTION("""COMPUTED_VALUE"""),1.605263157894737)</f>
        <v>1.605263158</v>
      </c>
      <c r="R399" s="57">
        <f>IFERROR(__xludf.DUMMYFUNCTION("""COMPUTED_VALUE"""),2.9473684210526314)</f>
        <v>2.947368421</v>
      </c>
      <c r="S399" s="31">
        <f>IFERROR(__xludf.DUMMYFUNCTION("""COMPUTED_VALUE"""),426.719298245614)</f>
        <v>426.7192982</v>
      </c>
      <c r="T399" s="57">
        <f>IFERROR(__xludf.DUMMYFUNCTION("""COMPUTED_VALUE"""),1.0964912280701755)</f>
        <v>1.096491228</v>
      </c>
      <c r="U399" s="57">
        <f>IFERROR(__xludf.DUMMYFUNCTION("""COMPUTED_VALUE"""),0.8684210526315788)</f>
        <v>0.8684210526</v>
      </c>
      <c r="V399" s="57">
        <f>IFERROR(__xludf.DUMMYFUNCTION("""COMPUTED_VALUE"""),1.535087719298246)</f>
        <v>1.535087719</v>
      </c>
      <c r="W399" s="57">
        <f>IFERROR(__xludf.DUMMYFUNCTION("""COMPUTED_VALUE"""),3.280701754385966)</f>
        <v>3.280701754</v>
      </c>
      <c r="X399" s="31">
        <f>IFERROR(__xludf.DUMMYFUNCTION("""COMPUTED_VALUE"""),390.28107873218886)</f>
        <v>390.2810787</v>
      </c>
      <c r="Y399" s="57">
        <f>IFERROR(__xludf.DUMMYFUNCTION("""COMPUTED_VALUE"""),0.8964620506619998)</f>
        <v>0.8964620507</v>
      </c>
      <c r="Z399" s="57">
        <f>IFERROR(__xludf.DUMMYFUNCTION("""COMPUTED_VALUE"""),0.6641591813313201)</f>
        <v>0.6641591813</v>
      </c>
      <c r="AA399" s="57">
        <f>IFERROR(__xludf.DUMMYFUNCTION("""COMPUTED_VALUE"""),1.4865415706165854)</f>
        <v>1.486541571</v>
      </c>
      <c r="AB399" s="57">
        <f>IFERROR(__xludf.DUMMYFUNCTION("""COMPUTED_VALUE"""),2.8590881161571953)</f>
        <v>2.859088116</v>
      </c>
      <c r="AC399" s="31">
        <f>IFERROR(__xludf.DUMMYFUNCTION("""COMPUTED_VALUE"""),382.59385283086635)</f>
        <v>382.5938528</v>
      </c>
      <c r="AD399" s="57">
        <f>IFERROR(__xludf.DUMMYFUNCTION("""COMPUTED_VALUE"""),0.860612882596925)</f>
        <v>0.8606128826</v>
      </c>
      <c r="AE399" s="57">
        <f>IFERROR(__xludf.DUMMYFUNCTION("""COMPUTED_VALUE"""),0.6558851879042493)</f>
        <v>0.6558851879</v>
      </c>
      <c r="AF399" s="57">
        <f>IFERROR(__xludf.DUMMYFUNCTION("""COMPUTED_VALUE"""),1.471943811545492)</f>
        <v>1.471943812</v>
      </c>
      <c r="AG399" s="57">
        <f>IFERROR(__xludf.DUMMYFUNCTION("""COMPUTED_VALUE"""),2.7797153508859784)</f>
        <v>2.779715351</v>
      </c>
      <c r="AH399" s="57">
        <f>IFERROR(__xludf.DUMMYFUNCTION("""COMPUTED_VALUE"""),1.0205958128217585)</f>
        <v>1.020595813</v>
      </c>
      <c r="AI399" s="57">
        <f>IFERROR(__xludf.DUMMYFUNCTION("""COMPUTED_VALUE"""),1.1008066927768023)</f>
        <v>1.100806693</v>
      </c>
      <c r="AJ399" s="57">
        <f>IFERROR(__xludf.DUMMYFUNCTION("""COMPUTED_VALUE"""),0.8425736533450203)</f>
        <v>0.8425736533</v>
      </c>
      <c r="AK399" s="57">
        <f>IFERROR(__xludf.DUMMYFUNCTION("""COMPUTED_VALUE"""),1.0905736654507647)</f>
        <v>1.090573665</v>
      </c>
      <c r="AL399" s="57">
        <f>IFERROR(__xludf.DUMMYFUNCTION("""COMPUTED_VALUE"""),1.0603130353304762)</f>
        <v>1.060313035</v>
      </c>
      <c r="AM399" s="57">
        <f>IFERROR(__xludf.DUMMYFUNCTION("""COMPUTED_VALUE"""),1.0933640432474798)</f>
        <v>1.093364043</v>
      </c>
      <c r="AN399" s="57">
        <f>IFERROR(__xludf.DUMMYFUNCTION("""COMPUTED_VALUE"""),1.2231317848429417)</f>
        <v>1.223131785</v>
      </c>
      <c r="AO399" s="57">
        <f>IFERROR(__xludf.DUMMYFUNCTION("""COMPUTED_VALUE"""),1.3075495710091845)</f>
        <v>1.307549571</v>
      </c>
      <c r="AP399" s="35">
        <f>IFERROR(__xludf.DUMMYFUNCTION("""COMPUTED_VALUE"""),1.032657108042747)</f>
        <v>1.032657108</v>
      </c>
      <c r="AQ399" s="57">
        <f>IFERROR(__xludf.DUMMYFUNCTION("""COMPUTED_VALUE"""),1.1474643736393293)</f>
        <v>1.147464374</v>
      </c>
      <c r="AR399" s="36" t="b">
        <f>IFERROR(__xludf.DUMMYFUNCTION("""COMPUTED_VALUE"""),TRUE)</f>
        <v>1</v>
      </c>
      <c r="AS399" s="57"/>
      <c r="AT399" s="37"/>
      <c r="AU399" s="30"/>
      <c r="AV399" s="30"/>
      <c r="AW399" s="30"/>
      <c r="AX399" s="30"/>
      <c r="AY399" s="30"/>
      <c r="AZ399" s="30"/>
    </row>
    <row r="400">
      <c r="A400" s="30" t="str">
        <f>IFERROR(__xludf.DUMMYFUNCTION("""COMPUTED_VALUE"""),"Master")</f>
        <v>Master</v>
      </c>
      <c r="B400" s="30" t="str">
        <f>IFERROR(__xludf.DUMMYFUNCTION("""COMPUTED_VALUE"""),"RSC005690")</f>
        <v>RSC005690</v>
      </c>
      <c r="C400" s="30" t="str">
        <f>IFERROR(__xludf.DUMMYFUNCTION("""COMPUTED_VALUE"""),"DQ.")</f>
        <v>DQ.</v>
      </c>
      <c r="D400" s="31" t="str">
        <f>IFERROR(__xludf.DUMMYFUNCTION("""COMPUTED_VALUE"""),"Kawaii")</f>
        <v>Kawaii</v>
      </c>
      <c r="E400" s="31">
        <f>IFERROR(__xludf.DUMMYFUNCTION("""COMPUTED_VALUE"""),49.44442080814463)</f>
        <v>49.44442081</v>
      </c>
      <c r="F400" s="31">
        <f>IFERROR(__xludf.DUMMYFUNCTION("""COMPUTED_VALUE"""),-2.0361001845022972)</f>
        <v>-2.036100185</v>
      </c>
      <c r="G400" s="31">
        <f>IFERROR(__xludf.DUMMYFUNCTION("""COMPUTED_VALUE"""),43.573272553805424)</f>
        <v>43.57327255</v>
      </c>
      <c r="H400" s="31">
        <f>IFERROR(__xludf.DUMMYFUNCTION("""COMPUTED_VALUE"""),-2.509015417990388)</f>
        <v>-2.509015418</v>
      </c>
      <c r="I400" s="54">
        <f>IFERROR(__xludf.DUMMYFUNCTION("""COMPUTED_VALUE"""),44.0)</f>
        <v>44</v>
      </c>
      <c r="J400" s="55">
        <f>IFERROR(__xludf.DUMMYFUNCTION("""COMPUTED_VALUE"""),22.0)</f>
        <v>22</v>
      </c>
      <c r="K400" s="54">
        <f>IFERROR(__xludf.DUMMYFUNCTION("""COMPUTED_VALUE"""),22.0)</f>
        <v>22</v>
      </c>
      <c r="L400" s="56">
        <f>IFERROR(__xludf.DUMMYFUNCTION("""COMPUTED_VALUE"""),0.5)</f>
        <v>0.5</v>
      </c>
      <c r="M400" s="56">
        <f>IFERROR(__xludf.DUMMYFUNCTION("""COMPUTED_VALUE"""),0.3185840707964602)</f>
        <v>0.3185840708</v>
      </c>
      <c r="N400" s="31">
        <f>IFERROR(__xludf.DUMMYFUNCTION("""COMPUTED_VALUE"""),363.1363636363636)</f>
        <v>363.1363636</v>
      </c>
      <c r="O400" s="57">
        <f>IFERROR(__xludf.DUMMYFUNCTION("""COMPUTED_VALUE"""),0.8181818181818182)</f>
        <v>0.8181818182</v>
      </c>
      <c r="P400" s="57">
        <f>IFERROR(__xludf.DUMMYFUNCTION("""COMPUTED_VALUE"""),0.6363636363636364)</f>
        <v>0.6363636364</v>
      </c>
      <c r="Q400" s="57">
        <f>IFERROR(__xludf.DUMMYFUNCTION("""COMPUTED_VALUE"""),1.2045454545454546)</f>
        <v>1.204545455</v>
      </c>
      <c r="R400" s="57">
        <f>IFERROR(__xludf.DUMMYFUNCTION("""COMPUTED_VALUE"""),2.5681818181818183)</f>
        <v>2.568181818</v>
      </c>
      <c r="S400" s="31">
        <f>IFERROR(__xludf.DUMMYFUNCTION("""COMPUTED_VALUE"""),397.58333333333337)</f>
        <v>397.5833333</v>
      </c>
      <c r="T400" s="57">
        <f>IFERROR(__xludf.DUMMYFUNCTION("""COMPUTED_VALUE"""),0.9242424242424243)</f>
        <v>0.9242424242</v>
      </c>
      <c r="U400" s="57">
        <f>IFERROR(__xludf.DUMMYFUNCTION("""COMPUTED_VALUE"""),0.6363636363636362)</f>
        <v>0.6363636364</v>
      </c>
      <c r="V400" s="57">
        <f>IFERROR(__xludf.DUMMYFUNCTION("""COMPUTED_VALUE"""),1.4924242424242422)</f>
        <v>1.492424242</v>
      </c>
      <c r="W400" s="57">
        <f>IFERROR(__xludf.DUMMYFUNCTION("""COMPUTED_VALUE"""),2.7045454545454546)</f>
        <v>2.704545455</v>
      </c>
      <c r="X400" s="31">
        <f>IFERROR(__xludf.DUMMYFUNCTION("""COMPUTED_VALUE"""),388.3123439505944)</f>
        <v>388.312344</v>
      </c>
      <c r="Y400" s="57">
        <f>IFERROR(__xludf.DUMMYFUNCTION("""COMPUTED_VALUE"""),0.9073833143683231)</f>
        <v>0.9073833144</v>
      </c>
      <c r="Z400" s="57">
        <f>IFERROR(__xludf.DUMMYFUNCTION("""COMPUTED_VALUE"""),0.6924059949673825)</f>
        <v>0.692405995</v>
      </c>
      <c r="AA400" s="57">
        <f>IFERROR(__xludf.DUMMYFUNCTION("""COMPUTED_VALUE"""),1.4532090149856418)</f>
        <v>1.453209015</v>
      </c>
      <c r="AB400" s="57">
        <f>IFERROR(__xludf.DUMMYFUNCTION("""COMPUTED_VALUE"""),2.795362120317426)</f>
        <v>2.79536212</v>
      </c>
      <c r="AC400" s="31">
        <f>IFERROR(__xludf.DUMMYFUNCTION("""COMPUTED_VALUE"""),381.14972652699004)</f>
        <v>381.1497265</v>
      </c>
      <c r="AD400" s="57">
        <f>IFERROR(__xludf.DUMMYFUNCTION("""COMPUTED_VALUE"""),0.8542700468549811)</f>
        <v>0.8542700469</v>
      </c>
      <c r="AE400" s="57">
        <f>IFERROR(__xludf.DUMMYFUNCTION("""COMPUTED_VALUE"""),0.6553895621494769)</f>
        <v>0.6553895621</v>
      </c>
      <c r="AF400" s="57">
        <f>IFERROR(__xludf.DUMMYFUNCTION("""COMPUTED_VALUE"""),1.4580230932333742)</f>
        <v>1.458023093</v>
      </c>
      <c r="AG400" s="57">
        <f>IFERROR(__xludf.DUMMYFUNCTION("""COMPUTED_VALUE"""),2.7626936243710927)</f>
        <v>2.762693624</v>
      </c>
      <c r="AH400" s="57">
        <f>IFERROR(__xludf.DUMMYFUNCTION("""COMPUTED_VALUE"""),0.9527394049189988)</f>
        <v>0.9527394049</v>
      </c>
      <c r="AI400" s="57">
        <f>IFERROR(__xludf.DUMMYFUNCTION("""COMPUTED_VALUE"""),0.9577554793053757)</f>
        <v>0.9577554793</v>
      </c>
      <c r="AJ400" s="57">
        <f>IFERROR(__xludf.DUMMYFUNCTION("""COMPUTED_VALUE"""),0.9709700506620196)</f>
        <v>0.9709700507</v>
      </c>
      <c r="AK400" s="57">
        <f>IFERROR(__xludf.DUMMYFUNCTION("""COMPUTED_VALUE"""),0.8261497778297895)</f>
        <v>0.8261497778</v>
      </c>
      <c r="AL400" s="57">
        <f>IFERROR(__xludf.DUMMYFUNCTION("""COMPUTED_VALUE"""),0.9295934212634405)</f>
        <v>0.9295934213</v>
      </c>
      <c r="AM400" s="57">
        <f>IFERROR(__xludf.DUMMYFUNCTION("""COMPUTED_VALUE"""),1.023875082848045)</f>
        <v>1.023875083</v>
      </c>
      <c r="AN400" s="57">
        <f>IFERROR(__xludf.DUMMYFUNCTION("""COMPUTED_VALUE"""),1.0185799205331847)</f>
        <v>1.018579921</v>
      </c>
      <c r="AO400" s="57">
        <f>IFERROR(__xludf.DUMMYFUNCTION("""COMPUTED_VALUE"""),0.9190614191513661)</f>
        <v>0.9190614192</v>
      </c>
      <c r="AP400" s="35">
        <f>IFERROR(__xludf.DUMMYFUNCTION("""COMPUTED_VALUE"""),1.0269852629829632)</f>
        <v>1.026985263</v>
      </c>
      <c r="AQ400" s="57">
        <f>IFERROR(__xludf.DUMMYFUNCTION("""COMPUTED_VALUE"""),0.9675116632968973)</f>
        <v>0.9675116633</v>
      </c>
      <c r="AR400" s="36" t="b">
        <f>IFERROR(__xludf.DUMMYFUNCTION("""COMPUTED_VALUE"""),TRUE)</f>
        <v>1</v>
      </c>
      <c r="AS400" s="57"/>
      <c r="AT400" s="37"/>
      <c r="AU400" s="30"/>
      <c r="AV400" s="30"/>
      <c r="AW400" s="30"/>
      <c r="AX400" s="30"/>
      <c r="AY400" s="30"/>
      <c r="AZ400" s="30"/>
    </row>
    <row r="401">
      <c r="A401" s="30" t="str">
        <f>IFERROR(__xludf.DUMMYFUNCTION("""COMPUTED_VALUE"""),"Master")</f>
        <v>Master</v>
      </c>
      <c r="B401" s="30" t="str">
        <f>IFERROR(__xludf.DUMMYFUNCTION("""COMPUTED_VALUE"""),"RSC004730")</f>
        <v>RSC004730</v>
      </c>
      <c r="C401" s="30" t="str">
        <f>IFERROR(__xludf.DUMMYFUNCTION("""COMPUTED_VALUE"""),"SgtPickle")</f>
        <v>SgtPickle</v>
      </c>
      <c r="D401" s="31" t="str">
        <f>IFERROR(__xludf.DUMMYFUNCTION("""COMPUTED_VALUE"""),"Lemurs")</f>
        <v>Lemurs</v>
      </c>
      <c r="E401" s="31">
        <f>IFERROR(__xludf.DUMMYFUNCTION("""COMPUTED_VALUE"""),49.11341838312778)</f>
        <v>49.11341838</v>
      </c>
      <c r="F401" s="31">
        <f>IFERROR(__xludf.DUMMYFUNCTION("""COMPUTED_VALUE"""),-2.058226531917464)</f>
        <v>-2.058226532</v>
      </c>
      <c r="G401" s="31">
        <f>IFERROR(__xludf.DUMMYFUNCTION("""COMPUTED_VALUE"""),40.449554048045144)</f>
        <v>40.44955405</v>
      </c>
      <c r="H401" s="31">
        <f>IFERROR(__xludf.DUMMYFUNCTION("""COMPUTED_VALUE"""),-2.847185300724961)</f>
        <v>-2.847185301</v>
      </c>
      <c r="I401" s="54">
        <f>IFERROR(__xludf.DUMMYFUNCTION("""COMPUTED_VALUE"""),25.0)</f>
        <v>25</v>
      </c>
      <c r="J401" s="55">
        <f>IFERROR(__xludf.DUMMYFUNCTION("""COMPUTED_VALUE"""),14.0)</f>
        <v>14</v>
      </c>
      <c r="K401" s="54">
        <f>IFERROR(__xludf.DUMMYFUNCTION("""COMPUTED_VALUE"""),11.0)</f>
        <v>11</v>
      </c>
      <c r="L401" s="56">
        <f>IFERROR(__xludf.DUMMYFUNCTION("""COMPUTED_VALUE"""),0.56)</f>
        <v>0.56</v>
      </c>
      <c r="M401" s="56">
        <f>IFERROR(__xludf.DUMMYFUNCTION("""COMPUTED_VALUE"""),0.3058823529411765)</f>
        <v>0.3058823529</v>
      </c>
      <c r="N401" s="31">
        <f>IFERROR(__xludf.DUMMYFUNCTION("""COMPUTED_VALUE"""),384.96)</f>
        <v>384.96</v>
      </c>
      <c r="O401" s="57">
        <f>IFERROR(__xludf.DUMMYFUNCTION("""COMPUTED_VALUE"""),1.04)</f>
        <v>1.04</v>
      </c>
      <c r="P401" s="57">
        <f>IFERROR(__xludf.DUMMYFUNCTION("""COMPUTED_VALUE"""),0.44)</f>
        <v>0.44</v>
      </c>
      <c r="Q401" s="57">
        <f>IFERROR(__xludf.DUMMYFUNCTION("""COMPUTED_VALUE"""),1.44)</f>
        <v>1.44</v>
      </c>
      <c r="R401" s="57">
        <f>IFERROR(__xludf.DUMMYFUNCTION("""COMPUTED_VALUE"""),3.4)</f>
        <v>3.4</v>
      </c>
      <c r="S401" s="31">
        <f>IFERROR(__xludf.DUMMYFUNCTION("""COMPUTED_VALUE"""),437.76000000000005)</f>
        <v>437.76</v>
      </c>
      <c r="T401" s="57">
        <f>IFERROR(__xludf.DUMMYFUNCTION("""COMPUTED_VALUE"""),1.0266666666666666)</f>
        <v>1.026666667</v>
      </c>
      <c r="U401" s="57">
        <f>IFERROR(__xludf.DUMMYFUNCTION("""COMPUTED_VALUE"""),0.8133333333333332)</f>
        <v>0.8133333333</v>
      </c>
      <c r="V401" s="57">
        <f>IFERROR(__xludf.DUMMYFUNCTION("""COMPUTED_VALUE"""),1.7066666666666666)</f>
        <v>1.706666667</v>
      </c>
      <c r="W401" s="57">
        <f>IFERROR(__xludf.DUMMYFUNCTION("""COMPUTED_VALUE"""),2.786666666666667)</f>
        <v>2.786666667</v>
      </c>
      <c r="X401" s="31">
        <f>IFERROR(__xludf.DUMMYFUNCTION("""COMPUTED_VALUE"""),380.5523611518878)</f>
        <v>380.5523612</v>
      </c>
      <c r="Y401" s="57">
        <f>IFERROR(__xludf.DUMMYFUNCTION("""COMPUTED_VALUE"""),0.8328481000033544)</f>
        <v>0.8328481</v>
      </c>
      <c r="Z401" s="57">
        <f>IFERROR(__xludf.DUMMYFUNCTION("""COMPUTED_VALUE"""),0.6706822931395265)</f>
        <v>0.6706822931</v>
      </c>
      <c r="AA401" s="57">
        <f>IFERROR(__xludf.DUMMYFUNCTION("""COMPUTED_VALUE"""),1.4959878027227398)</f>
        <v>1.495987803</v>
      </c>
      <c r="AB401" s="57">
        <f>IFERROR(__xludf.DUMMYFUNCTION("""COMPUTED_VALUE"""),2.6733996791196284)</f>
        <v>2.673399679</v>
      </c>
      <c r="AC401" s="31">
        <f>IFERROR(__xludf.DUMMYFUNCTION("""COMPUTED_VALUE"""),397.17074911830736)</f>
        <v>397.1707491</v>
      </c>
      <c r="AD401" s="57">
        <f>IFERROR(__xludf.DUMMYFUNCTION("""COMPUTED_VALUE"""),0.932171861058503)</f>
        <v>0.9321718611</v>
      </c>
      <c r="AE401" s="57">
        <f>IFERROR(__xludf.DUMMYFUNCTION("""COMPUTED_VALUE"""),0.7192177309914186)</f>
        <v>0.719217731</v>
      </c>
      <c r="AF401" s="57">
        <f>IFERROR(__xludf.DUMMYFUNCTION("""COMPUTED_VALUE"""),1.516783995697469)</f>
        <v>1.516783996</v>
      </c>
      <c r="AG401" s="57">
        <f>IFERROR(__xludf.DUMMYFUNCTION("""COMPUTED_VALUE"""),2.9353760206093478)</f>
        <v>2.935376021</v>
      </c>
      <c r="AH401" s="57">
        <f>IFERROR(__xludf.DUMMYFUNCTION("""COMPUTED_VALUE"""),0.969255668637697)</f>
        <v>0.9692556686</v>
      </c>
      <c r="AI401" s="57">
        <f>IFERROR(__xludf.DUMMYFUNCTION("""COMPUTED_VALUE"""),1.1156740977131145)</f>
        <v>1.115674098</v>
      </c>
      <c r="AJ401" s="57">
        <f>IFERROR(__xludf.DUMMYFUNCTION("""COMPUTED_VALUE"""),0.6117757961743714)</f>
        <v>0.6117757962</v>
      </c>
      <c r="AK401" s="57">
        <f>IFERROR(__xludf.DUMMYFUNCTION("""COMPUTED_VALUE"""),0.9493771058270158)</f>
        <v>0.9493771058</v>
      </c>
      <c r="AL401" s="57">
        <f>IFERROR(__xludf.DUMMYFUNCTION("""COMPUTED_VALUE"""),1.1582843138761494)</f>
        <v>1.158284314</v>
      </c>
      <c r="AM401" s="57">
        <f>IFERROR(__xludf.DUMMYFUNCTION("""COMPUTED_VALUE"""),1.1503279040890757)</f>
        <v>1.150327904</v>
      </c>
      <c r="AN401" s="57">
        <f>IFERROR(__xludf.DUMMYFUNCTION("""COMPUTED_VALUE"""),1.2327177869079986)</f>
        <v>1.232717787</v>
      </c>
      <c r="AO401" s="57">
        <f>IFERROR(__xludf.DUMMYFUNCTION("""COMPUTED_VALUE"""),1.2126954023581624)</f>
        <v>1.212695402</v>
      </c>
      <c r="AP401" s="35">
        <f>IFERROR(__xludf.DUMMYFUNCTION("""COMPUTED_VALUE"""),1.1408292658272248)</f>
        <v>1.140829266</v>
      </c>
      <c r="AQ401" s="57">
        <f>IFERROR(__xludf.DUMMYFUNCTION("""COMPUTED_VALUE"""),1.0423681458600078)</f>
        <v>1.042368146</v>
      </c>
      <c r="AR401" s="36" t="b">
        <f>IFERROR(__xludf.DUMMYFUNCTION("""COMPUTED_VALUE"""),TRUE)</f>
        <v>1</v>
      </c>
      <c r="AS401" s="57"/>
      <c r="AT401" s="37"/>
      <c r="AU401" s="30"/>
      <c r="AV401" s="30"/>
      <c r="AW401" s="30"/>
      <c r="AX401" s="30"/>
      <c r="AY401" s="30"/>
      <c r="AZ401" s="30"/>
    </row>
    <row r="402">
      <c r="A402" s="30" t="str">
        <f>IFERROR(__xludf.DUMMYFUNCTION("""COMPUTED_VALUE"""),"Master")</f>
        <v>Master</v>
      </c>
      <c r="B402" s="30" t="str">
        <f>IFERROR(__xludf.DUMMYFUNCTION("""COMPUTED_VALUE"""),"RSC006534")</f>
        <v>RSC006534</v>
      </c>
      <c r="C402" s="30" t="str">
        <f>IFERROR(__xludf.DUMMYFUNCTION("""COMPUTED_VALUE"""),"FIN0oo")</f>
        <v>FIN0oo</v>
      </c>
      <c r="D402" s="31" t="str">
        <f>IFERROR(__xludf.DUMMYFUNCTION("""COMPUTED_VALUE"""),"Helicoprions")</f>
        <v>Helicoprions</v>
      </c>
      <c r="E402" s="31">
        <f>IFERROR(__xludf.DUMMYFUNCTION("""COMPUTED_VALUE"""),48.426230425176094)</f>
        <v>48.42623043</v>
      </c>
      <c r="F402" s="31">
        <f>IFERROR(__xludf.DUMMYFUNCTION("""COMPUTED_VALUE"""),-2.1056938365181193)</f>
        <v>-2.105693837</v>
      </c>
      <c r="G402" s="31">
        <f>IFERROR(__xludf.DUMMYFUNCTION("""COMPUTED_VALUE"""),63.76761220714329)</f>
        <v>63.76761221</v>
      </c>
      <c r="H402" s="31">
        <f>IFERROR(__xludf.DUMMYFUNCTION("""COMPUTED_VALUE"""),3.437393150267354)</f>
        <v>3.43739315</v>
      </c>
      <c r="I402" s="54">
        <f>IFERROR(__xludf.DUMMYFUNCTION("""COMPUTED_VALUE"""),42.0)</f>
        <v>42</v>
      </c>
      <c r="J402" s="55">
        <f>IFERROR(__xludf.DUMMYFUNCTION("""COMPUTED_VALUE"""),26.0)</f>
        <v>26</v>
      </c>
      <c r="K402" s="54">
        <f>IFERROR(__xludf.DUMMYFUNCTION("""COMPUTED_VALUE"""),16.0)</f>
        <v>16</v>
      </c>
      <c r="L402" s="56">
        <f>IFERROR(__xludf.DUMMYFUNCTION("""COMPUTED_VALUE"""),0.6190476190476191)</f>
        <v>0.619047619</v>
      </c>
      <c r="M402" s="56">
        <f>IFERROR(__xludf.DUMMYFUNCTION("""COMPUTED_VALUE"""),0.24193548387096772)</f>
        <v>0.2419354839</v>
      </c>
      <c r="N402" s="31">
        <f>IFERROR(__xludf.DUMMYFUNCTION("""COMPUTED_VALUE"""),420.1190476190476)</f>
        <v>420.1190476</v>
      </c>
      <c r="O402" s="57">
        <f>IFERROR(__xludf.DUMMYFUNCTION("""COMPUTED_VALUE"""),0.7142857142857143)</f>
        <v>0.7142857143</v>
      </c>
      <c r="P402" s="57">
        <f>IFERROR(__xludf.DUMMYFUNCTION("""COMPUTED_VALUE"""),0.5476190476190477)</f>
        <v>0.5476190476</v>
      </c>
      <c r="Q402" s="57">
        <f>IFERROR(__xludf.DUMMYFUNCTION("""COMPUTED_VALUE"""),1.9761904761904763)</f>
        <v>1.976190476</v>
      </c>
      <c r="R402" s="57">
        <f>IFERROR(__xludf.DUMMYFUNCTION("""COMPUTED_VALUE"""),2.9523809523809526)</f>
        <v>2.952380952</v>
      </c>
      <c r="S402" s="31">
        <f>IFERROR(__xludf.DUMMYFUNCTION("""COMPUTED_VALUE"""),377.38888888888886)</f>
        <v>377.3888889</v>
      </c>
      <c r="T402" s="57">
        <f>IFERROR(__xludf.DUMMYFUNCTION("""COMPUTED_VALUE"""),0.7380952380952379)</f>
        <v>0.7380952381</v>
      </c>
      <c r="U402" s="57">
        <f>IFERROR(__xludf.DUMMYFUNCTION("""COMPUTED_VALUE"""),0.5555555555555556)</f>
        <v>0.5555555556</v>
      </c>
      <c r="V402" s="57">
        <f>IFERROR(__xludf.DUMMYFUNCTION("""COMPUTED_VALUE"""),1.5873015873015874)</f>
        <v>1.587301587</v>
      </c>
      <c r="W402" s="57">
        <f>IFERROR(__xludf.DUMMYFUNCTION("""COMPUTED_VALUE"""),2.6111111111111116)</f>
        <v>2.611111111</v>
      </c>
      <c r="X402" s="31">
        <f>IFERROR(__xludf.DUMMYFUNCTION("""COMPUTED_VALUE"""),381.50881723695744)</f>
        <v>381.5088172</v>
      </c>
      <c r="Y402" s="57">
        <f>IFERROR(__xludf.DUMMYFUNCTION("""COMPUTED_VALUE"""),0.8498813707879281)</f>
        <v>0.8498813708</v>
      </c>
      <c r="Z402" s="57">
        <f>IFERROR(__xludf.DUMMYFUNCTION("""COMPUTED_VALUE"""),0.6317561562095213)</f>
        <v>0.6317561562</v>
      </c>
      <c r="AA402" s="57">
        <f>IFERROR(__xludf.DUMMYFUNCTION("""COMPUTED_VALUE"""),1.5254865970947278)</f>
        <v>1.525486597</v>
      </c>
      <c r="AB402" s="57">
        <f>IFERROR(__xludf.DUMMYFUNCTION("""COMPUTED_VALUE"""),2.7471497898224624)</f>
        <v>2.74714979</v>
      </c>
      <c r="AC402" s="31">
        <f>IFERROR(__xludf.DUMMYFUNCTION("""COMPUTED_VALUE"""),394.1557942458866)</f>
        <v>394.1557942</v>
      </c>
      <c r="AD402" s="57">
        <f>IFERROR(__xludf.DUMMYFUNCTION("""COMPUTED_VALUE"""),0.9155972178674163)</f>
        <v>0.9155972179</v>
      </c>
      <c r="AE402" s="57">
        <f>IFERROR(__xludf.DUMMYFUNCTION("""COMPUTED_VALUE"""),0.7023829518475551)</f>
        <v>0.7023829518</v>
      </c>
      <c r="AF402" s="57">
        <f>IFERROR(__xludf.DUMMYFUNCTION("""COMPUTED_VALUE"""),1.4876875415942803)</f>
        <v>1.487687542</v>
      </c>
      <c r="AG402" s="57">
        <f>IFERROR(__xludf.DUMMYFUNCTION("""COMPUTED_VALUE"""),2.8889126435614854)</f>
        <v>2.888912644</v>
      </c>
      <c r="AH402" s="57">
        <f>IFERROR(__xludf.DUMMYFUNCTION("""COMPUTED_VALUE"""),1.0658705358444236)</f>
        <v>1.065870536</v>
      </c>
      <c r="AI402" s="57">
        <f>IFERROR(__xludf.DUMMYFUNCTION("""COMPUTED_VALUE"""),0.7801309356852446)</f>
        <v>0.7801309357</v>
      </c>
      <c r="AJ402" s="57">
        <f>IFERROR(__xludf.DUMMYFUNCTION("""COMPUTED_VALUE"""),0.7796587974958463)</f>
        <v>0.7796587975</v>
      </c>
      <c r="AK402" s="57">
        <f>IFERROR(__xludf.DUMMYFUNCTION("""COMPUTED_VALUE"""),1.3283639345885037)</f>
        <v>1.328363935</v>
      </c>
      <c r="AL402" s="57">
        <f>IFERROR(__xludf.DUMMYFUNCTION("""COMPUTED_VALUE"""),1.02196961855559)</f>
        <v>1.021969619</v>
      </c>
      <c r="AM402" s="57">
        <f>IFERROR(__xludf.DUMMYFUNCTION("""COMPUTED_VALUE"""),0.9892009616503576)</f>
        <v>0.9892009617</v>
      </c>
      <c r="AN402" s="57">
        <f>IFERROR(__xludf.DUMMYFUNCTION("""COMPUTED_VALUE"""),0.868468545687673)</f>
        <v>0.8684685457</v>
      </c>
      <c r="AO402" s="57">
        <f>IFERROR(__xludf.DUMMYFUNCTION("""COMPUTED_VALUE"""),0.8793828917929944)</f>
        <v>0.8793828918</v>
      </c>
      <c r="AP402" s="35">
        <f>IFERROR(__xludf.DUMMYFUNCTION("""COMPUTED_VALUE"""),1.040521490208164)</f>
        <v>1.04052149</v>
      </c>
      <c r="AQ402" s="57">
        <f>IFERROR(__xludf.DUMMYFUNCTION("""COMPUTED_VALUE"""),0.9504800651149996)</f>
        <v>0.9504800651</v>
      </c>
      <c r="AR402" s="36" t="b">
        <f>IFERROR(__xludf.DUMMYFUNCTION("""COMPUTED_VALUE"""),TRUE)</f>
        <v>1</v>
      </c>
      <c r="AS402" s="57"/>
      <c r="AT402" s="37"/>
      <c r="AU402" s="30"/>
      <c r="AV402" s="30"/>
      <c r="AW402" s="30"/>
      <c r="AX402" s="30"/>
      <c r="AY402" s="30"/>
      <c r="AZ402" s="30"/>
    </row>
    <row r="403">
      <c r="A403" s="30" t="str">
        <f>IFERROR(__xludf.DUMMYFUNCTION("""COMPUTED_VALUE"""),"Master")</f>
        <v>Master</v>
      </c>
      <c r="B403" s="30" t="str">
        <f>IFERROR(__xludf.DUMMYFUNCTION("""COMPUTED_VALUE"""),"RSC002476")</f>
        <v>RSC002476</v>
      </c>
      <c r="C403" s="30" t="str">
        <f>IFERROR(__xludf.DUMMYFUNCTION("""COMPUTED_VALUE"""),"Argnor")</f>
        <v>Argnor</v>
      </c>
      <c r="D403" s="31" t="str">
        <f>IFERROR(__xludf.DUMMYFUNCTION("""COMPUTED_VALUE"""),"Helicoprions")</f>
        <v>Helicoprions</v>
      </c>
      <c r="E403" s="31">
        <f>IFERROR(__xludf.DUMMYFUNCTION("""COMPUTED_VALUE"""),47.97405057244824)</f>
        <v>47.97405057</v>
      </c>
      <c r="F403" s="31">
        <f>IFERROR(__xludf.DUMMYFUNCTION("""COMPUTED_VALUE"""),-2.1380958695870076)</f>
        <v>-2.13809587</v>
      </c>
      <c r="G403" s="31">
        <f>IFERROR(__xludf.DUMMYFUNCTION("""COMPUTED_VALUE"""),38.290875442597766)</f>
        <v>38.29087544</v>
      </c>
      <c r="H403" s="31">
        <f>IFERROR(__xludf.DUMMYFUNCTION("""COMPUTED_VALUE"""),-3.1273278780353575)</f>
        <v>-3.127327878</v>
      </c>
      <c r="I403" s="54">
        <f>IFERROR(__xludf.DUMMYFUNCTION("""COMPUTED_VALUE"""),38.0)</f>
        <v>38</v>
      </c>
      <c r="J403" s="55">
        <f>IFERROR(__xludf.DUMMYFUNCTION("""COMPUTED_VALUE"""),25.0)</f>
        <v>25</v>
      </c>
      <c r="K403" s="54">
        <f>IFERROR(__xludf.DUMMYFUNCTION("""COMPUTED_VALUE"""),13.0)</f>
        <v>13</v>
      </c>
      <c r="L403" s="56">
        <f>IFERROR(__xludf.DUMMYFUNCTION("""COMPUTED_VALUE"""),0.6578947368421053)</f>
        <v>0.6578947368</v>
      </c>
      <c r="M403" s="56">
        <f>IFERROR(__xludf.DUMMYFUNCTION("""COMPUTED_VALUE"""),0.23853211009174313)</f>
        <v>0.2385321101</v>
      </c>
      <c r="N403" s="31">
        <f>IFERROR(__xludf.DUMMYFUNCTION("""COMPUTED_VALUE"""),332.7631578947368)</f>
        <v>332.7631579</v>
      </c>
      <c r="O403" s="57">
        <f>IFERROR(__xludf.DUMMYFUNCTION("""COMPUTED_VALUE"""),0.6842105263157895)</f>
        <v>0.6842105263</v>
      </c>
      <c r="P403" s="57">
        <f>IFERROR(__xludf.DUMMYFUNCTION("""COMPUTED_VALUE"""),0.7105263157894737)</f>
        <v>0.7105263158</v>
      </c>
      <c r="Q403" s="57">
        <f>IFERROR(__xludf.DUMMYFUNCTION("""COMPUTED_VALUE"""),1.0789473684210527)</f>
        <v>1.078947368</v>
      </c>
      <c r="R403" s="57">
        <f>IFERROR(__xludf.DUMMYFUNCTION("""COMPUTED_VALUE"""),2.8684210526315788)</f>
        <v>2.868421053</v>
      </c>
      <c r="S403" s="31">
        <f>IFERROR(__xludf.DUMMYFUNCTION("""COMPUTED_VALUE"""),363.64912280701753)</f>
        <v>363.6491228</v>
      </c>
      <c r="T403" s="57">
        <f>IFERROR(__xludf.DUMMYFUNCTION("""COMPUTED_VALUE"""),0.6578947368421053)</f>
        <v>0.6578947368</v>
      </c>
      <c r="U403" s="57">
        <f>IFERROR(__xludf.DUMMYFUNCTION("""COMPUTED_VALUE"""),0.48245614035087725)</f>
        <v>0.4824561404</v>
      </c>
      <c r="V403" s="57">
        <f>IFERROR(__xludf.DUMMYFUNCTION("""COMPUTED_VALUE"""),1.6666666666666667)</f>
        <v>1.666666667</v>
      </c>
      <c r="W403" s="57">
        <f>IFERROR(__xludf.DUMMYFUNCTION("""COMPUTED_VALUE"""),2.6228070175438596)</f>
        <v>2.622807018</v>
      </c>
      <c r="X403" s="31">
        <f>IFERROR(__xludf.DUMMYFUNCTION("""COMPUTED_VALUE"""),374.58337490192815)</f>
        <v>374.5833749</v>
      </c>
      <c r="Y403" s="57">
        <f>IFERROR(__xludf.DUMMYFUNCTION("""COMPUTED_VALUE"""),0.808112516775767)</f>
        <v>0.8081125168</v>
      </c>
      <c r="Z403" s="57">
        <f>IFERROR(__xludf.DUMMYFUNCTION("""COMPUTED_VALUE"""),0.6081049826030116)</f>
        <v>0.6081049826</v>
      </c>
      <c r="AA403" s="57">
        <f>IFERROR(__xludf.DUMMYFUNCTION("""COMPUTED_VALUE"""),1.5467348106789247)</f>
        <v>1.546734811</v>
      </c>
      <c r="AB403" s="57">
        <f>IFERROR(__xludf.DUMMYFUNCTION("""COMPUTED_VALUE"""),2.6786933097088053)</f>
        <v>2.67869331</v>
      </c>
      <c r="AC403" s="31">
        <f>IFERROR(__xludf.DUMMYFUNCTION("""COMPUTED_VALUE"""),391.01685397406817)</f>
        <v>391.016854</v>
      </c>
      <c r="AD403" s="57">
        <f>IFERROR(__xludf.DUMMYFUNCTION("""COMPUTED_VALUE"""),0.901490115631428)</f>
        <v>0.9014901156</v>
      </c>
      <c r="AE403" s="57">
        <f>IFERROR(__xludf.DUMMYFUNCTION("""COMPUTED_VALUE"""),0.6928016284600242)</f>
        <v>0.6928016285</v>
      </c>
      <c r="AF403" s="57">
        <f>IFERROR(__xludf.DUMMYFUNCTION("""COMPUTED_VALUE"""),1.4691658532235083)</f>
        <v>1.469165853</v>
      </c>
      <c r="AG403" s="57">
        <f>IFERROR(__xludf.DUMMYFUNCTION("""COMPUTED_VALUE"""),2.9100010079821015)</f>
        <v>2.910001008</v>
      </c>
      <c r="AH403" s="57">
        <f>IFERROR(__xludf.DUMMYFUNCTION("""COMPUTED_VALUE"""),0.8510199867671313)</f>
        <v>0.8510199868</v>
      </c>
      <c r="AI403" s="57">
        <f>IFERROR(__xludf.DUMMYFUNCTION("""COMPUTED_VALUE"""),0.7589772915441785)</f>
        <v>0.7589772915</v>
      </c>
      <c r="AJ403" s="57">
        <f>IFERROR(__xludf.DUMMYFUNCTION("""COMPUTED_VALUE"""),1.025584072844702)</f>
        <v>1.025584073</v>
      </c>
      <c r="AK403" s="57">
        <f>IFERROR(__xludf.DUMMYFUNCTION("""COMPUTED_VALUE"""),0.7343945314640452)</f>
        <v>0.7343945315</v>
      </c>
      <c r="AL403" s="57">
        <f>IFERROR(__xludf.DUMMYFUNCTION("""COMPUTED_VALUE"""),0.9857113604990275)</f>
        <v>0.9857113605</v>
      </c>
      <c r="AM403" s="57">
        <f>IFERROR(__xludf.DUMMYFUNCTION("""COMPUTED_VALUE"""),0.9708095638313543)</f>
        <v>0.9708095638</v>
      </c>
      <c r="AN403" s="57">
        <f>IFERROR(__xludf.DUMMYFUNCTION("""COMPUTED_VALUE"""),0.8141127914550744)</f>
        <v>0.8141127915</v>
      </c>
      <c r="AO403" s="57">
        <f>IFERROR(__xludf.DUMMYFUNCTION("""COMPUTED_VALUE"""),0.7933763974202436)</f>
        <v>0.7933763974</v>
      </c>
      <c r="AP403" s="35">
        <f>IFERROR(__xludf.DUMMYFUNCTION("""COMPUTED_VALUE"""),1.0775387320177394)</f>
        <v>1.077538732</v>
      </c>
      <c r="AQ403" s="57">
        <f>IFERROR(__xludf.DUMMYFUNCTION("""COMPUTED_VALUE"""),0.9791367335848459)</f>
        <v>0.9791367336</v>
      </c>
      <c r="AR403" s="36" t="b">
        <f>IFERROR(__xludf.DUMMYFUNCTION("""COMPUTED_VALUE"""),TRUE)</f>
        <v>1</v>
      </c>
      <c r="AS403" s="57"/>
      <c r="AT403" s="37"/>
      <c r="AU403" s="30"/>
      <c r="AV403" s="30"/>
      <c r="AW403" s="30"/>
      <c r="AX403" s="30"/>
      <c r="AY403" s="30"/>
      <c r="AZ403" s="30"/>
    </row>
    <row r="404">
      <c r="A404" s="30" t="str">
        <f>IFERROR(__xludf.DUMMYFUNCTION("""COMPUTED_VALUE"""),"Master")</f>
        <v>Master</v>
      </c>
      <c r="B404" s="30" t="str">
        <f>IFERROR(__xludf.DUMMYFUNCTION("""COMPUTED_VALUE"""),"RSC003721")</f>
        <v>RSC003721</v>
      </c>
      <c r="C404" s="30" t="str">
        <f>IFERROR(__xludf.DUMMYFUNCTION("""COMPUTED_VALUE"""),"Kyurmex.")</f>
        <v>Kyurmex.</v>
      </c>
      <c r="D404" s="31" t="str">
        <f>IFERROR(__xludf.DUMMYFUNCTION("""COMPUTED_VALUE"""),"Spectres")</f>
        <v>Spectres</v>
      </c>
      <c r="E404" s="31">
        <f>IFERROR(__xludf.DUMMYFUNCTION("""COMPUTED_VALUE"""),46.46645571067115)</f>
        <v>46.46645571</v>
      </c>
      <c r="F404" s="31">
        <f>IFERROR(__xludf.DUMMYFUNCTION("""COMPUTED_VALUE"""),-2.253267359649823)</f>
        <v>-2.25326736</v>
      </c>
      <c r="G404" s="31">
        <f>IFERROR(__xludf.DUMMYFUNCTION("""COMPUTED_VALUE"""),33.816635004819275)</f>
        <v>33.816635</v>
      </c>
      <c r="H404" s="31">
        <f>IFERROR(__xludf.DUMMYFUNCTION("""COMPUTED_VALUE"""),-3.865366105416077)</f>
        <v>-3.865366105</v>
      </c>
      <c r="I404" s="54">
        <f>IFERROR(__xludf.DUMMYFUNCTION("""COMPUTED_VALUE"""),43.0)</f>
        <v>43</v>
      </c>
      <c r="J404" s="55">
        <f>IFERROR(__xludf.DUMMYFUNCTION("""COMPUTED_VALUE"""),16.0)</f>
        <v>16</v>
      </c>
      <c r="K404" s="54">
        <f>IFERROR(__xludf.DUMMYFUNCTION("""COMPUTED_VALUE"""),27.0)</f>
        <v>27</v>
      </c>
      <c r="L404" s="56">
        <f>IFERROR(__xludf.DUMMYFUNCTION("""COMPUTED_VALUE"""),0.37209302325581395)</f>
        <v>0.3720930233</v>
      </c>
      <c r="M404" s="56">
        <f>IFERROR(__xludf.DUMMYFUNCTION("""COMPUTED_VALUE"""),0.29059829059829057)</f>
        <v>0.2905982906</v>
      </c>
      <c r="N404" s="31">
        <f>IFERROR(__xludf.DUMMYFUNCTION("""COMPUTED_VALUE"""),374.7674418604651)</f>
        <v>374.7674419</v>
      </c>
      <c r="O404" s="57">
        <f>IFERROR(__xludf.DUMMYFUNCTION("""COMPUTED_VALUE"""),0.7906976744186046)</f>
        <v>0.7906976744</v>
      </c>
      <c r="P404" s="57">
        <f>IFERROR(__xludf.DUMMYFUNCTION("""COMPUTED_VALUE"""),0.6511627906976745)</f>
        <v>0.6511627907</v>
      </c>
      <c r="Q404" s="57">
        <f>IFERROR(__xludf.DUMMYFUNCTION("""COMPUTED_VALUE"""),1.8604651162790697)</f>
        <v>1.860465116</v>
      </c>
      <c r="R404" s="57">
        <f>IFERROR(__xludf.DUMMYFUNCTION("""COMPUTED_VALUE"""),2.7209302325581395)</f>
        <v>2.720930233</v>
      </c>
      <c r="S404" s="31">
        <f>IFERROR(__xludf.DUMMYFUNCTION("""COMPUTED_VALUE"""),419.5581395348838)</f>
        <v>419.5581395</v>
      </c>
      <c r="T404" s="57">
        <f>IFERROR(__xludf.DUMMYFUNCTION("""COMPUTED_VALUE"""),1.031007751937985)</f>
        <v>1.031007752</v>
      </c>
      <c r="U404" s="57">
        <f>IFERROR(__xludf.DUMMYFUNCTION("""COMPUTED_VALUE"""),0.813953488372093)</f>
        <v>0.8139534884</v>
      </c>
      <c r="V404" s="57">
        <f>IFERROR(__xludf.DUMMYFUNCTION("""COMPUTED_VALUE"""),1.6356589147286824)</f>
        <v>1.635658915</v>
      </c>
      <c r="W404" s="57">
        <f>IFERROR(__xludf.DUMMYFUNCTION("""COMPUTED_VALUE"""),3.131782945736434)</f>
        <v>3.131782946</v>
      </c>
      <c r="X404" s="31">
        <f>IFERROR(__xludf.DUMMYFUNCTION("""COMPUTED_VALUE"""),391.7061346575542)</f>
        <v>391.7061347</v>
      </c>
      <c r="Y404" s="57">
        <f>IFERROR(__xludf.DUMMYFUNCTION("""COMPUTED_VALUE"""),0.8883312481486686)</f>
        <v>0.8883312481</v>
      </c>
      <c r="Z404" s="57">
        <f>IFERROR(__xludf.DUMMYFUNCTION("""COMPUTED_VALUE"""),0.6745425797594397)</f>
        <v>0.6745425798</v>
      </c>
      <c r="AA404" s="57">
        <f>IFERROR(__xludf.DUMMYFUNCTION("""COMPUTED_VALUE"""),1.5148204954819082)</f>
        <v>1.514820495</v>
      </c>
      <c r="AB404" s="57">
        <f>IFERROR(__xludf.DUMMYFUNCTION("""COMPUTED_VALUE"""),2.892736881250039)</f>
        <v>2.892736881</v>
      </c>
      <c r="AC404" s="31">
        <f>IFERROR(__xludf.DUMMYFUNCTION("""COMPUTED_VALUE"""),382.89865315170863)</f>
        <v>382.8986532</v>
      </c>
      <c r="AD404" s="57">
        <f>IFERROR(__xludf.DUMMYFUNCTION("""COMPUTED_VALUE"""),0.8479468315288264)</f>
        <v>0.8479468315</v>
      </c>
      <c r="AE404" s="57">
        <f>IFERROR(__xludf.DUMMYFUNCTION("""COMPUTED_VALUE"""),0.6629342677209763)</f>
        <v>0.6629342677</v>
      </c>
      <c r="AF404" s="57">
        <f>IFERROR(__xludf.DUMMYFUNCTION("""COMPUTED_VALUE"""),1.4978554296423041)</f>
        <v>1.49785543</v>
      </c>
      <c r="AG404" s="57">
        <f>IFERROR(__xludf.DUMMYFUNCTION("""COMPUTED_VALUE"""),2.799535793028022)</f>
        <v>2.799535793</v>
      </c>
      <c r="AH404" s="57">
        <f>IFERROR(__xludf.DUMMYFUNCTION("""COMPUTED_VALUE"""),0.9787640640041064)</f>
        <v>0.978764064</v>
      </c>
      <c r="AI404" s="57">
        <f>IFERROR(__xludf.DUMMYFUNCTION("""COMPUTED_VALUE"""),0.9324849684183582)</f>
        <v>0.9324849684</v>
      </c>
      <c r="AJ404" s="57">
        <f>IFERROR(__xludf.DUMMYFUNCTION("""COMPUTED_VALUE"""),0.9822433722369345)</f>
        <v>0.9822433722</v>
      </c>
      <c r="AK404" s="57">
        <f>IFERROR(__xludf.DUMMYFUNCTION("""COMPUTED_VALUE"""),1.2420859045945167)</f>
        <v>1.242085905</v>
      </c>
      <c r="AL404" s="57">
        <f>IFERROR(__xludf.DUMMYFUNCTION("""COMPUTED_VALUE"""),0.9719219305337541)</f>
        <v>0.9719219305</v>
      </c>
      <c r="AM404" s="57">
        <f>IFERROR(__xludf.DUMMYFUNCTION("""COMPUTED_VALUE"""),1.0711043366774917)</f>
        <v>1.071104337</v>
      </c>
      <c r="AN404" s="57">
        <f>IFERROR(__xludf.DUMMYFUNCTION("""COMPUTED_VALUE"""),1.1606118259226637)</f>
        <v>1.160611826</v>
      </c>
      <c r="AO404" s="57">
        <f>IFERROR(__xludf.DUMMYFUNCTION("""COMPUTED_VALUE"""),1.20667473454733)</f>
        <v>1.206674735</v>
      </c>
      <c r="AP404" s="35">
        <f>IFERROR(__xludf.DUMMYFUNCTION("""COMPUTED_VALUE"""),1.0797707844640245)</f>
        <v>1.079770784</v>
      </c>
      <c r="AQ404" s="57">
        <f>IFERROR(__xludf.DUMMYFUNCTION("""COMPUTED_VALUE"""),1.0826366428401522)</f>
        <v>1.082636643</v>
      </c>
      <c r="AR404" s="36" t="b">
        <f>IFERROR(__xludf.DUMMYFUNCTION("""COMPUTED_VALUE"""),TRUE)</f>
        <v>1</v>
      </c>
      <c r="AS404" s="57"/>
      <c r="AT404" s="37"/>
      <c r="AU404" s="30"/>
      <c r="AV404" s="30"/>
      <c r="AW404" s="30"/>
      <c r="AX404" s="30"/>
      <c r="AY404" s="30"/>
      <c r="AZ404" s="30"/>
    </row>
    <row r="405">
      <c r="A405" s="30" t="str">
        <f>IFERROR(__xludf.DUMMYFUNCTION("""COMPUTED_VALUE"""),"Master")</f>
        <v>Master</v>
      </c>
      <c r="B405" s="30" t="str">
        <f>IFERROR(__xludf.DUMMYFUNCTION("""COMPUTED_VALUE"""),"RSC003178")</f>
        <v>RSC003178</v>
      </c>
      <c r="C405" s="30" t="str">
        <f>IFERROR(__xludf.DUMMYFUNCTION("""COMPUTED_VALUE"""),"Snack Time!")</f>
        <v>Snack Time!</v>
      </c>
      <c r="D405" s="31" t="str">
        <f>IFERROR(__xludf.DUMMYFUNCTION("""COMPUTED_VALUE"""),"The OG")</f>
        <v>The OG</v>
      </c>
      <c r="E405" s="31">
        <f>IFERROR(__xludf.DUMMYFUNCTION("""COMPUTED_VALUE"""),45.24450772046185)</f>
        <v>45.24450772</v>
      </c>
      <c r="F405" s="31">
        <f>IFERROR(__xludf.DUMMYFUNCTION("""COMPUTED_VALUE"""),-2.3553325830747713)</f>
        <v>-2.355332583</v>
      </c>
      <c r="G405" s="31">
        <f>IFERROR(__xludf.DUMMYFUNCTION("""COMPUTED_VALUE"""),25.253139454142367)</f>
        <v>25.25313945</v>
      </c>
      <c r="H405" s="31">
        <f>IFERROR(__xludf.DUMMYFUNCTION("""COMPUTED_VALUE"""),-6.206640737129246)</f>
        <v>-6.206640737</v>
      </c>
      <c r="I405" s="54">
        <f>IFERROR(__xludf.DUMMYFUNCTION("""COMPUTED_VALUE"""),32.0)</f>
        <v>32</v>
      </c>
      <c r="J405" s="55">
        <f>IFERROR(__xludf.DUMMYFUNCTION("""COMPUTED_VALUE"""),8.0)</f>
        <v>8</v>
      </c>
      <c r="K405" s="54">
        <f>IFERROR(__xludf.DUMMYFUNCTION("""COMPUTED_VALUE"""),24.0)</f>
        <v>24</v>
      </c>
      <c r="L405" s="56">
        <f>IFERROR(__xludf.DUMMYFUNCTION("""COMPUTED_VALUE"""),0.25)</f>
        <v>0.25</v>
      </c>
      <c r="M405" s="56">
        <f>IFERROR(__xludf.DUMMYFUNCTION("""COMPUTED_VALUE"""),0.3132530120481928)</f>
        <v>0.313253012</v>
      </c>
      <c r="N405" s="31">
        <f>IFERROR(__xludf.DUMMYFUNCTION("""COMPUTED_VALUE"""),349.5625)</f>
        <v>349.5625</v>
      </c>
      <c r="O405" s="57">
        <f>IFERROR(__xludf.DUMMYFUNCTION("""COMPUTED_VALUE"""),0.8125)</f>
        <v>0.8125</v>
      </c>
      <c r="P405" s="57">
        <f>IFERROR(__xludf.DUMMYFUNCTION("""COMPUTED_VALUE"""),0.71875)</f>
        <v>0.71875</v>
      </c>
      <c r="Q405" s="57">
        <f>IFERROR(__xludf.DUMMYFUNCTION("""COMPUTED_VALUE"""),1.28125)</f>
        <v>1.28125</v>
      </c>
      <c r="R405" s="57">
        <f>IFERROR(__xludf.DUMMYFUNCTION("""COMPUTED_VALUE"""),2.59375)</f>
        <v>2.59375</v>
      </c>
      <c r="S405" s="31">
        <f>IFERROR(__xludf.DUMMYFUNCTION("""COMPUTED_VALUE"""),437.02083333333314)</f>
        <v>437.0208333</v>
      </c>
      <c r="T405" s="57">
        <f>IFERROR(__xludf.DUMMYFUNCTION("""COMPUTED_VALUE"""),1.1354166666666667)</f>
        <v>1.135416667</v>
      </c>
      <c r="U405" s="57">
        <f>IFERROR(__xludf.DUMMYFUNCTION("""COMPUTED_VALUE"""),0.8854166666666665)</f>
        <v>0.8854166667</v>
      </c>
      <c r="V405" s="57">
        <f>IFERROR(__xludf.DUMMYFUNCTION("""COMPUTED_VALUE"""),1.5833333333333337)</f>
        <v>1.583333333</v>
      </c>
      <c r="W405" s="57">
        <f>IFERROR(__xludf.DUMMYFUNCTION("""COMPUTED_VALUE"""),3.260416666666667)</f>
        <v>3.260416667</v>
      </c>
      <c r="X405" s="31">
        <f>IFERROR(__xludf.DUMMYFUNCTION("""COMPUTED_VALUE"""),394.739173227439)</f>
        <v>394.7391732</v>
      </c>
      <c r="Y405" s="57">
        <f>IFERROR(__xludf.DUMMYFUNCTION("""COMPUTED_VALUE"""),0.9036087986305376)</f>
        <v>0.9036087986</v>
      </c>
      <c r="Z405" s="57">
        <f>IFERROR(__xludf.DUMMYFUNCTION("""COMPUTED_VALUE"""),0.6798874839874779)</f>
        <v>0.679887484</v>
      </c>
      <c r="AA405" s="57">
        <f>IFERROR(__xludf.DUMMYFUNCTION("""COMPUTED_VALUE"""),1.529162189500507)</f>
        <v>1.52916219</v>
      </c>
      <c r="AB405" s="57">
        <f>IFERROR(__xludf.DUMMYFUNCTION("""COMPUTED_VALUE"""),2.875045925589847)</f>
        <v>2.875045926</v>
      </c>
      <c r="AC405" s="31">
        <f>IFERROR(__xludf.DUMMYFUNCTION("""COMPUTED_VALUE"""),382.75079635683704)</f>
        <v>382.7507964</v>
      </c>
      <c r="AD405" s="57">
        <f>IFERROR(__xludf.DUMMYFUNCTION("""COMPUTED_VALUE"""),0.851129558276005)</f>
        <v>0.8511295583</v>
      </c>
      <c r="AE405" s="57">
        <f>IFERROR(__xludf.DUMMYFUNCTION("""COMPUTED_VALUE"""),0.6534903649505002)</f>
        <v>0.653490365</v>
      </c>
      <c r="AF405" s="57">
        <f>IFERROR(__xludf.DUMMYFUNCTION("""COMPUTED_VALUE"""),1.4813442217274169)</f>
        <v>1.481344222</v>
      </c>
      <c r="AG405" s="57">
        <f>IFERROR(__xludf.DUMMYFUNCTION("""COMPUTED_VALUE"""),2.8078854053387885)</f>
        <v>2.807885405</v>
      </c>
      <c r="AH405" s="57">
        <f>IFERROR(__xludf.DUMMYFUNCTION("""COMPUTED_VALUE"""),0.9132900658268109)</f>
        <v>0.9132900658</v>
      </c>
      <c r="AI405" s="57">
        <f>IFERROR(__xludf.DUMMYFUNCTION("""COMPUTED_VALUE"""),0.954613774248129)</f>
        <v>0.9546137742</v>
      </c>
      <c r="AJ405" s="57">
        <f>IFERROR(__xludf.DUMMYFUNCTION("""COMPUTED_VALUE"""),1.099863193934685)</f>
        <v>1.099863194</v>
      </c>
      <c r="AK405" s="57">
        <f>IFERROR(__xludf.DUMMYFUNCTION("""COMPUTED_VALUE"""),0.8649238854868694)</f>
        <v>0.8649238855</v>
      </c>
      <c r="AL405" s="57">
        <f>IFERROR(__xludf.DUMMYFUNCTION("""COMPUTED_VALUE"""),0.9237378402510156)</f>
        <v>0.9237378403</v>
      </c>
      <c r="AM405" s="57">
        <f>IFERROR(__xludf.DUMMYFUNCTION("""COMPUTED_VALUE"""),1.1071129063786445)</f>
        <v>1.107112906</v>
      </c>
      <c r="AN405" s="57">
        <f>IFERROR(__xludf.DUMMYFUNCTION("""COMPUTED_VALUE"""),1.2565356472706386)</f>
        <v>1.256535647</v>
      </c>
      <c r="AO405" s="57">
        <f>IFERROR(__xludf.DUMMYFUNCTION("""COMPUTED_VALUE"""),1.302298817848181)</f>
        <v>1.302298818</v>
      </c>
      <c r="AP405" s="35">
        <f>IFERROR(__xludf.DUMMYFUNCTION("""COMPUTED_VALUE"""),1.0354253748914113)</f>
        <v>1.035425375</v>
      </c>
      <c r="AQ405" s="57">
        <f>IFERROR(__xludf.DUMMYFUNCTION("""COMPUTED_VALUE"""),1.1340398557277853)</f>
        <v>1.134039856</v>
      </c>
      <c r="AR405" s="36" t="b">
        <f>IFERROR(__xludf.DUMMYFUNCTION("""COMPUTED_VALUE"""),TRUE)</f>
        <v>1</v>
      </c>
      <c r="AS405" s="57"/>
      <c r="AT405" s="37"/>
      <c r="AU405" s="30"/>
      <c r="AV405" s="30"/>
      <c r="AW405" s="30"/>
      <c r="AX405" s="30"/>
      <c r="AY405" s="30"/>
      <c r="AZ405" s="30"/>
    </row>
    <row r="406">
      <c r="A406" s="30" t="str">
        <f>IFERROR(__xludf.DUMMYFUNCTION("""COMPUTED_VALUE"""),"Master")</f>
        <v>Master</v>
      </c>
      <c r="B406" s="30" t="str">
        <f>IFERROR(__xludf.DUMMYFUNCTION("""COMPUTED_VALUE"""),"RSC007809")</f>
        <v>RSC007809</v>
      </c>
      <c r="C406" s="30" t="str">
        <f>IFERROR(__xludf.DUMMYFUNCTION("""COMPUTED_VALUE"""),"wndr")</f>
        <v>wndr</v>
      </c>
      <c r="D406" s="31" t="str">
        <f>IFERROR(__xludf.DUMMYFUNCTION("""COMPUTED_VALUE"""),"Basilisks")</f>
        <v>Basilisks</v>
      </c>
      <c r="E406" s="31">
        <f>IFERROR(__xludf.DUMMYFUNCTION("""COMPUTED_VALUE"""),44.82800410776218)</f>
        <v>44.82800411</v>
      </c>
      <c r="F406" s="31">
        <f>IFERROR(__xludf.DUMMYFUNCTION("""COMPUTED_VALUE"""),-2.392047767402198)</f>
        <v>-2.392047767</v>
      </c>
      <c r="G406" s="31">
        <f>IFERROR(__xludf.DUMMYFUNCTION("""COMPUTED_VALUE"""),34.50623167605059)</f>
        <v>34.50623168</v>
      </c>
      <c r="H406" s="31">
        <f>IFERROR(__xludf.DUMMYFUNCTION("""COMPUTED_VALUE"""),-3.7353719865081767)</f>
        <v>-3.735371987</v>
      </c>
      <c r="I406" s="54">
        <f>IFERROR(__xludf.DUMMYFUNCTION("""COMPUTED_VALUE"""),38.0)</f>
        <v>38</v>
      </c>
      <c r="J406" s="55">
        <f>IFERROR(__xludf.DUMMYFUNCTION("""COMPUTED_VALUE"""),24.0)</f>
        <v>24</v>
      </c>
      <c r="K406" s="54">
        <f>IFERROR(__xludf.DUMMYFUNCTION("""COMPUTED_VALUE"""),14.0)</f>
        <v>14</v>
      </c>
      <c r="L406" s="56">
        <f>IFERROR(__xludf.DUMMYFUNCTION("""COMPUTED_VALUE"""),0.631578947368421)</f>
        <v>0.6315789474</v>
      </c>
      <c r="M406" s="56">
        <f>IFERROR(__xludf.DUMMYFUNCTION("""COMPUTED_VALUE"""),0.3058823529411765)</f>
        <v>0.3058823529</v>
      </c>
      <c r="N406" s="31">
        <f>IFERROR(__xludf.DUMMYFUNCTION("""COMPUTED_VALUE"""),351.5263157894737)</f>
        <v>351.5263158</v>
      </c>
      <c r="O406" s="57">
        <f>IFERROR(__xludf.DUMMYFUNCTION("""COMPUTED_VALUE"""),0.6842105263157895)</f>
        <v>0.6842105263</v>
      </c>
      <c r="P406" s="57">
        <f>IFERROR(__xludf.DUMMYFUNCTION("""COMPUTED_VALUE"""),0.7368421052631579)</f>
        <v>0.7368421053</v>
      </c>
      <c r="Q406" s="57">
        <f>IFERROR(__xludf.DUMMYFUNCTION("""COMPUTED_VALUE"""),1.4473684210526316)</f>
        <v>1.447368421</v>
      </c>
      <c r="R406" s="57">
        <f>IFERROR(__xludf.DUMMYFUNCTION("""COMPUTED_VALUE"""),2.236842105263158)</f>
        <v>2.236842105</v>
      </c>
      <c r="S406" s="31">
        <f>IFERROR(__xludf.DUMMYFUNCTION("""COMPUTED_VALUE"""),356.2456140350877)</f>
        <v>356.245614</v>
      </c>
      <c r="T406" s="57">
        <f>IFERROR(__xludf.DUMMYFUNCTION("""COMPUTED_VALUE"""),0.7105263157894738)</f>
        <v>0.7105263158</v>
      </c>
      <c r="U406" s="57">
        <f>IFERROR(__xludf.DUMMYFUNCTION("""COMPUTED_VALUE"""),0.5964912280701755)</f>
        <v>0.5964912281</v>
      </c>
      <c r="V406" s="57">
        <f>IFERROR(__xludf.DUMMYFUNCTION("""COMPUTED_VALUE"""),1.4210526315789471)</f>
        <v>1.421052632</v>
      </c>
      <c r="W406" s="57">
        <f>IFERROR(__xludf.DUMMYFUNCTION("""COMPUTED_VALUE"""),2.8947368421052633)</f>
        <v>2.894736842</v>
      </c>
      <c r="X406" s="31">
        <f>IFERROR(__xludf.DUMMYFUNCTION("""COMPUTED_VALUE"""),383.1830926101547)</f>
        <v>383.1830926</v>
      </c>
      <c r="Y406" s="57">
        <f>IFERROR(__xludf.DUMMYFUNCTION("""COMPUTED_VALUE"""),0.8493177280483692)</f>
        <v>0.849317728</v>
      </c>
      <c r="Z406" s="57">
        <f>IFERROR(__xludf.DUMMYFUNCTION("""COMPUTED_VALUE"""),0.6661002364758384)</f>
        <v>0.6661002365</v>
      </c>
      <c r="AA406" s="57">
        <f>IFERROR(__xludf.DUMMYFUNCTION("""COMPUTED_VALUE"""),1.5065592532083978)</f>
        <v>1.506559253</v>
      </c>
      <c r="AB406" s="57">
        <f>IFERROR(__xludf.DUMMYFUNCTION("""COMPUTED_VALUE"""),2.8246704085672434)</f>
        <v>2.824670409</v>
      </c>
      <c r="AC406" s="31">
        <f>IFERROR(__xludf.DUMMYFUNCTION("""COMPUTED_VALUE"""),392.4386358050907)</f>
        <v>392.4386358</v>
      </c>
      <c r="AD406" s="57">
        <f>IFERROR(__xludf.DUMMYFUNCTION("""COMPUTED_VALUE"""),0.9058099539667146)</f>
        <v>0.905809954</v>
      </c>
      <c r="AE406" s="57">
        <f>IFERROR(__xludf.DUMMYFUNCTION("""COMPUTED_VALUE"""),0.6889870155459182)</f>
        <v>0.6889870155</v>
      </c>
      <c r="AF406" s="57">
        <f>IFERROR(__xludf.DUMMYFUNCTION("""COMPUTED_VALUE"""),1.5070449291087096)</f>
        <v>1.507044929</v>
      </c>
      <c r="AG406" s="57">
        <f>IFERROR(__xludf.DUMMYFUNCTION("""COMPUTED_VALUE"""),2.878287617799542)</f>
        <v>2.878287618</v>
      </c>
      <c r="AH406" s="57">
        <f>IFERROR(__xludf.DUMMYFUNCTION("""COMPUTED_VALUE"""),0.8957484908903398)</f>
        <v>0.8957484909</v>
      </c>
      <c r="AI406" s="57">
        <f>IFERROR(__xludf.DUMMYFUNCTION("""COMPUTED_VALUE"""),0.7553577031467815)</f>
        <v>0.7553577031</v>
      </c>
      <c r="AJ406" s="57">
        <f>IFERROR(__xludf.DUMMYFUNCTION("""COMPUTED_VALUE"""),1.0694571721055173)</f>
        <v>1.069457172</v>
      </c>
      <c r="AK406" s="57">
        <f>IFERROR(__xludf.DUMMYFUNCTION("""COMPUTED_VALUE"""),0.9604016397232619)</f>
        <v>0.9604016397</v>
      </c>
      <c r="AL406" s="57">
        <f>IFERROR(__xludf.DUMMYFUNCTION("""COMPUTED_VALUE"""),0.7771433582350707)</f>
        <v>0.7771433582</v>
      </c>
      <c r="AM406" s="57">
        <f>IFERROR(__xludf.DUMMYFUNCTION("""COMPUTED_VALUE"""),0.9297007642180267)</f>
        <v>0.9297007642</v>
      </c>
      <c r="AN406" s="57">
        <f>IFERROR(__xludf.DUMMYFUNCTION("""COMPUTED_VALUE"""),0.8365848166412096)</f>
        <v>0.8365848166</v>
      </c>
      <c r="AO406" s="57">
        <f>IFERROR(__xludf.DUMMYFUNCTION("""COMPUTED_VALUE"""),0.8954976975027875)</f>
        <v>0.8954976975</v>
      </c>
      <c r="AP406" s="35">
        <f>IFERROR(__xludf.DUMMYFUNCTION("""COMPUTED_VALUE"""),0.9432437712308002)</f>
        <v>0.9432437712</v>
      </c>
      <c r="AQ406" s="57">
        <f>IFERROR(__xludf.DUMMYFUNCTION("""COMPUTED_VALUE"""),1.0248051713663682)</f>
        <v>1.024805171</v>
      </c>
      <c r="AR406" s="36" t="b">
        <f>IFERROR(__xludf.DUMMYFUNCTION("""COMPUTED_VALUE"""),TRUE)</f>
        <v>1</v>
      </c>
      <c r="AS406" s="57"/>
      <c r="AT406" s="37"/>
      <c r="AU406" s="30"/>
      <c r="AV406" s="30"/>
      <c r="AW406" s="30"/>
      <c r="AX406" s="30"/>
      <c r="AY406" s="30"/>
      <c r="AZ406" s="30"/>
    </row>
    <row r="407">
      <c r="A407" s="30" t="str">
        <f>IFERROR(__xludf.DUMMYFUNCTION("""COMPUTED_VALUE"""),"Master")</f>
        <v>Master</v>
      </c>
      <c r="B407" s="30" t="str">
        <f>IFERROR(__xludf.DUMMYFUNCTION("""COMPUTED_VALUE"""),"RSC000203")</f>
        <v>RSC000203</v>
      </c>
      <c r="C407" s="30" t="str">
        <f>IFERROR(__xludf.DUMMYFUNCTION("""COMPUTED_VALUE"""),"FrostyBrew")</f>
        <v>FrostyBrew</v>
      </c>
      <c r="D407" s="31"/>
      <c r="E407" s="31">
        <f>IFERROR(__xludf.DUMMYFUNCTION("""COMPUTED_VALUE"""),43.296800806520004)</f>
        <v>43.29680081</v>
      </c>
      <c r="F407" s="31">
        <f>IFERROR(__xludf.DUMMYFUNCTION("""COMPUTED_VALUE"""),-2.5361373622435877)</f>
        <v>-2.536137362</v>
      </c>
      <c r="G407" s="31">
        <f>IFERROR(__xludf.DUMMYFUNCTION("""COMPUTED_VALUE"""),22.615649999096867)</f>
        <v>22.61565</v>
      </c>
      <c r="H407" s="31">
        <f>IFERROR(__xludf.DUMMYFUNCTION("""COMPUTED_VALUE"""),-7.3165515562121675)</f>
        <v>-7.316551556</v>
      </c>
      <c r="I407" s="54">
        <f>IFERROR(__xludf.DUMMYFUNCTION("""COMPUTED_VALUE"""),4.0)</f>
        <v>4</v>
      </c>
      <c r="J407" s="55">
        <f>IFERROR(__xludf.DUMMYFUNCTION("""COMPUTED_VALUE"""),2.0)</f>
        <v>2</v>
      </c>
      <c r="K407" s="54">
        <f>IFERROR(__xludf.DUMMYFUNCTION("""COMPUTED_VALUE"""),2.0)</f>
        <v>2</v>
      </c>
      <c r="L407" s="56">
        <f>IFERROR(__xludf.DUMMYFUNCTION("""COMPUTED_VALUE"""),0.5)</f>
        <v>0.5</v>
      </c>
      <c r="M407" s="56">
        <f>IFERROR(__xludf.DUMMYFUNCTION("""COMPUTED_VALUE"""),0.3)</f>
        <v>0.3</v>
      </c>
      <c r="N407" s="31">
        <f>IFERROR(__xludf.DUMMYFUNCTION("""COMPUTED_VALUE"""),382.5)</f>
        <v>382.5</v>
      </c>
      <c r="O407" s="57">
        <f>IFERROR(__xludf.DUMMYFUNCTION("""COMPUTED_VALUE"""),0.75)</f>
        <v>0.75</v>
      </c>
      <c r="P407" s="57">
        <f>IFERROR(__xludf.DUMMYFUNCTION("""COMPUTED_VALUE"""),0.75)</f>
        <v>0.75</v>
      </c>
      <c r="Q407" s="57">
        <f>IFERROR(__xludf.DUMMYFUNCTION("""COMPUTED_VALUE"""),1.75)</f>
        <v>1.75</v>
      </c>
      <c r="R407" s="57">
        <f>IFERROR(__xludf.DUMMYFUNCTION("""COMPUTED_VALUE"""),2.5)</f>
        <v>2.5</v>
      </c>
      <c r="S407" s="31">
        <f>IFERROR(__xludf.DUMMYFUNCTION("""COMPUTED_VALUE"""),408.9166666666667)</f>
        <v>408.9166667</v>
      </c>
      <c r="T407" s="57">
        <f>IFERROR(__xludf.DUMMYFUNCTION("""COMPUTED_VALUE"""),1.0)</f>
        <v>1</v>
      </c>
      <c r="U407" s="57">
        <f>IFERROR(__xludf.DUMMYFUNCTION("""COMPUTED_VALUE"""),0.75)</f>
        <v>0.75</v>
      </c>
      <c r="V407" s="57">
        <f>IFERROR(__xludf.DUMMYFUNCTION("""COMPUTED_VALUE"""),1.4166666666666667)</f>
        <v>1.416666667</v>
      </c>
      <c r="W407" s="57">
        <f>IFERROR(__xludf.DUMMYFUNCTION("""COMPUTED_VALUE"""),4.25)</f>
        <v>4.25</v>
      </c>
      <c r="X407" s="31">
        <f>IFERROR(__xludf.DUMMYFUNCTION("""COMPUTED_VALUE"""),390.1769444444444)</f>
        <v>390.1769444</v>
      </c>
      <c r="Y407" s="57">
        <f>IFERROR(__xludf.DUMMYFUNCTION("""COMPUTED_VALUE"""),0.9531481481481482)</f>
        <v>0.9531481481</v>
      </c>
      <c r="Z407" s="57">
        <f>IFERROR(__xludf.DUMMYFUNCTION("""COMPUTED_VALUE"""),0.5994444444444444)</f>
        <v>0.5994444444</v>
      </c>
      <c r="AA407" s="57">
        <f>IFERROR(__xludf.DUMMYFUNCTION("""COMPUTED_VALUE"""),1.4323148148148146)</f>
        <v>1.432314815</v>
      </c>
      <c r="AB407" s="57">
        <f>IFERROR(__xludf.DUMMYFUNCTION("""COMPUTED_VALUE"""),3.048148148148148)</f>
        <v>3.048148148</v>
      </c>
      <c r="AC407" s="31">
        <f>IFERROR(__xludf.DUMMYFUNCTION("""COMPUTED_VALUE"""),412.1648957661724)</f>
        <v>412.1648958</v>
      </c>
      <c r="AD407" s="57">
        <f>IFERROR(__xludf.DUMMYFUNCTION("""COMPUTED_VALUE"""),0.9473694390715665)</f>
        <v>0.9473694391</v>
      </c>
      <c r="AE407" s="57">
        <f>IFERROR(__xludf.DUMMYFUNCTION("""COMPUTED_VALUE"""),0.7322652052439288)</f>
        <v>0.7322652052</v>
      </c>
      <c r="AF407" s="57">
        <f>IFERROR(__xludf.DUMMYFUNCTION("""COMPUTED_VALUE"""),1.5820524392864819)</f>
        <v>1.582052439</v>
      </c>
      <c r="AG407" s="57">
        <f>IFERROR(__xludf.DUMMYFUNCTION("""COMPUTED_VALUE"""),2.7083859875349234)</f>
        <v>2.708385988</v>
      </c>
      <c r="AH407" s="57">
        <f>IFERROR(__xludf.DUMMYFUNCTION("""COMPUTED_VALUE"""),0.928026631887152)</f>
        <v>0.9280266319</v>
      </c>
      <c r="AI407" s="57">
        <f>IFERROR(__xludf.DUMMYFUNCTION("""COMPUTED_VALUE"""),0.7916658159619431)</f>
        <v>0.791665816</v>
      </c>
      <c r="AJ407" s="57">
        <f>IFERROR(__xludf.DUMMYFUNCTION("""COMPUTED_VALUE"""),1.0242190870589891)</f>
        <v>1.024219087</v>
      </c>
      <c r="AK407" s="57">
        <f>IFERROR(__xludf.DUMMYFUNCTION("""COMPUTED_VALUE"""),1.106158023933305)</f>
        <v>1.106158024</v>
      </c>
      <c r="AL407" s="57">
        <f>IFERROR(__xludf.DUMMYFUNCTION("""COMPUTED_VALUE"""),0.9230589773784095)</f>
        <v>0.9230589774</v>
      </c>
      <c r="AM407" s="57">
        <f>IFERROR(__xludf.DUMMYFUNCTION("""COMPUTED_VALUE"""),1.0480287789656688)</f>
        <v>1.048028779</v>
      </c>
      <c r="AN407" s="57">
        <f>IFERROR(__xludf.DUMMYFUNCTION("""COMPUTED_VALUE"""),1.0491548474839711)</f>
        <v>1.049154847</v>
      </c>
      <c r="AO407" s="57">
        <f>IFERROR(__xludf.DUMMYFUNCTION("""COMPUTED_VALUE"""),1.2511584800741427)</f>
        <v>1.25115848</v>
      </c>
      <c r="AP407" s="35">
        <f>IFERROR(__xludf.DUMMYFUNCTION("""COMPUTED_VALUE"""),0.9890749240416319)</f>
        <v>0.989074924</v>
      </c>
      <c r="AQ407" s="57">
        <f>IFERROR(__xludf.DUMMYFUNCTION("""COMPUTED_VALUE"""),1.3942891859052249)</f>
        <v>1.394289186</v>
      </c>
      <c r="AR407" s="36" t="b">
        <f>IFERROR(__xludf.DUMMYFUNCTION("""COMPUTED_VALUE"""),TRUE)</f>
        <v>1</v>
      </c>
      <c r="AS407" s="57"/>
      <c r="AT407" s="37"/>
      <c r="AU407" s="30"/>
      <c r="AV407" s="30"/>
      <c r="AW407" s="30"/>
      <c r="AX407" s="30"/>
      <c r="AY407" s="30"/>
      <c r="AZ407" s="30"/>
    </row>
    <row r="408">
      <c r="A408" s="30" t="str">
        <f>IFERROR(__xludf.DUMMYFUNCTION("""COMPUTED_VALUE"""),"Master")</f>
        <v>Master</v>
      </c>
      <c r="B408" s="30" t="str">
        <f>IFERROR(__xludf.DUMMYFUNCTION("""COMPUTED_VALUE"""),"RSC006259")</f>
        <v>RSC006259</v>
      </c>
      <c r="C408" s="30" t="str">
        <f>IFERROR(__xludf.DUMMYFUNCTION("""COMPUTED_VALUE"""),"mojomo")</f>
        <v>mojomo</v>
      </c>
      <c r="D408" s="31" t="str">
        <f>IFERROR(__xludf.DUMMYFUNCTION("""COMPUTED_VALUE"""),"Plinko")</f>
        <v>Plinko</v>
      </c>
      <c r="E408" s="31">
        <f>IFERROR(__xludf.DUMMYFUNCTION("""COMPUTED_VALUE"""),41.28388073178191)</f>
        <v>41.28388073</v>
      </c>
      <c r="F408" s="31">
        <f>IFERROR(__xludf.DUMMYFUNCTION("""COMPUTED_VALUE"""),-2.749685115708606)</f>
        <v>-2.749685116</v>
      </c>
      <c r="G408" s="31">
        <f>IFERROR(__xludf.DUMMYFUNCTION("""COMPUTED_VALUE"""),35.5260415184037)</f>
        <v>35.52604152</v>
      </c>
      <c r="H408" s="31">
        <f>IFERROR(__xludf.DUMMYFUNCTION("""COMPUTED_VALUE"""),-3.554814358572052)</f>
        <v>-3.554814359</v>
      </c>
      <c r="I408" s="54">
        <f>IFERROR(__xludf.DUMMYFUNCTION("""COMPUTED_VALUE"""),44.0)</f>
        <v>44</v>
      </c>
      <c r="J408" s="55">
        <f>IFERROR(__xludf.DUMMYFUNCTION("""COMPUTED_VALUE"""),18.0)</f>
        <v>18</v>
      </c>
      <c r="K408" s="54">
        <f>IFERROR(__xludf.DUMMYFUNCTION("""COMPUTED_VALUE"""),26.0)</f>
        <v>26</v>
      </c>
      <c r="L408" s="56">
        <f>IFERROR(__xludf.DUMMYFUNCTION("""COMPUTED_VALUE"""),0.4090909090909091)</f>
        <v>0.4090909091</v>
      </c>
      <c r="M408" s="56">
        <f>IFERROR(__xludf.DUMMYFUNCTION("""COMPUTED_VALUE"""),0.2566371681415929)</f>
        <v>0.2566371681</v>
      </c>
      <c r="N408" s="31">
        <f>IFERROR(__xludf.DUMMYFUNCTION("""COMPUTED_VALUE"""),362.8181818181818)</f>
        <v>362.8181818</v>
      </c>
      <c r="O408" s="57">
        <f>IFERROR(__xludf.DUMMYFUNCTION("""COMPUTED_VALUE"""),0.6590909090909091)</f>
        <v>0.6590909091</v>
      </c>
      <c r="P408" s="57">
        <f>IFERROR(__xludf.DUMMYFUNCTION("""COMPUTED_VALUE"""),0.6363636363636364)</f>
        <v>0.6363636364</v>
      </c>
      <c r="Q408" s="57">
        <f>IFERROR(__xludf.DUMMYFUNCTION("""COMPUTED_VALUE"""),1.7045454545454546)</f>
        <v>1.704545455</v>
      </c>
      <c r="R408" s="57">
        <f>IFERROR(__xludf.DUMMYFUNCTION("""COMPUTED_VALUE"""),2.5681818181818183)</f>
        <v>2.568181818</v>
      </c>
      <c r="S408" s="31">
        <f>IFERROR(__xludf.DUMMYFUNCTION("""COMPUTED_VALUE"""),412.08333333333337)</f>
        <v>412.0833333</v>
      </c>
      <c r="T408" s="57">
        <f>IFERROR(__xludf.DUMMYFUNCTION("""COMPUTED_VALUE"""),0.9772727272727273)</f>
        <v>0.9772727273</v>
      </c>
      <c r="U408" s="57">
        <f>IFERROR(__xludf.DUMMYFUNCTION("""COMPUTED_VALUE"""),0.7803030303030304)</f>
        <v>0.7803030303</v>
      </c>
      <c r="V408" s="57">
        <f>IFERROR(__xludf.DUMMYFUNCTION("""COMPUTED_VALUE"""),1.4999999999999998)</f>
        <v>1.5</v>
      </c>
      <c r="W408" s="57">
        <f>IFERROR(__xludf.DUMMYFUNCTION("""COMPUTED_VALUE"""),3.1515151515151514)</f>
        <v>3.151515152</v>
      </c>
      <c r="X408" s="31">
        <f>IFERROR(__xludf.DUMMYFUNCTION("""COMPUTED_VALUE"""),392.78902405328336)</f>
        <v>392.7890241</v>
      </c>
      <c r="Y408" s="57">
        <f>IFERROR(__xludf.DUMMYFUNCTION("""COMPUTED_VALUE"""),0.9427354611737006)</f>
        <v>0.9427354612</v>
      </c>
      <c r="Z408" s="57">
        <f>IFERROR(__xludf.DUMMYFUNCTION("""COMPUTED_VALUE"""),0.7174944883667957)</f>
        <v>0.7174944884</v>
      </c>
      <c r="AA408" s="57">
        <f>IFERROR(__xludf.DUMMYFUNCTION("""COMPUTED_VALUE"""),1.4442750624771317)</f>
        <v>1.444275062</v>
      </c>
      <c r="AB408" s="57">
        <f>IFERROR(__xludf.DUMMYFUNCTION("""COMPUTED_VALUE"""),2.892909942065332)</f>
        <v>2.892909942</v>
      </c>
      <c r="AC408" s="31">
        <f>IFERROR(__xludf.DUMMYFUNCTION("""COMPUTED_VALUE"""),379.01634779043076)</f>
        <v>379.0163478</v>
      </c>
      <c r="AD408" s="57">
        <f>IFERROR(__xludf.DUMMYFUNCTION("""COMPUTED_VALUE"""),0.8384794464574931)</f>
        <v>0.8384794465</v>
      </c>
      <c r="AE408" s="57">
        <f>IFERROR(__xludf.DUMMYFUNCTION("""COMPUTED_VALUE"""),0.6409063852416852)</f>
        <v>0.6409063852</v>
      </c>
      <c r="AF408" s="57">
        <f>IFERROR(__xludf.DUMMYFUNCTION("""COMPUTED_VALUE"""),1.472043594263873)</f>
        <v>1.472043594</v>
      </c>
      <c r="AG408" s="57">
        <f>IFERROR(__xludf.DUMMYFUNCTION("""COMPUTED_VALUE"""),2.7475835466212586)</f>
        <v>2.747583547</v>
      </c>
      <c r="AH408" s="57">
        <f>IFERROR(__xludf.DUMMYFUNCTION("""COMPUTED_VALUE"""),0.9572626192334971)</f>
        <v>0.9572626192</v>
      </c>
      <c r="AI408" s="57">
        <f>IFERROR(__xludf.DUMMYFUNCTION("""COMPUTED_VALUE"""),0.7860549377513237)</f>
        <v>0.7860549378</v>
      </c>
      <c r="AJ408" s="57">
        <f>IFERROR(__xludf.DUMMYFUNCTION("""COMPUTED_VALUE"""),0.9929119931043662)</f>
        <v>0.9929119931</v>
      </c>
      <c r="AK408" s="57">
        <f>IFERROR(__xludf.DUMMYFUNCTION("""COMPUTED_VALUE"""),1.1579449556980337)</f>
        <v>1.157944956</v>
      </c>
      <c r="AL408" s="57">
        <f>IFERROR(__xludf.DUMMYFUNCTION("""COMPUTED_VALUE"""),0.9347056330061181)</f>
        <v>0.934705633</v>
      </c>
      <c r="AM408" s="57">
        <f>IFERROR(__xludf.DUMMYFUNCTION("""COMPUTED_VALUE"""),1.049121304564337)</f>
        <v>1.049121305</v>
      </c>
      <c r="AN408" s="57">
        <f>IFERROR(__xludf.DUMMYFUNCTION("""COMPUTED_VALUE"""),1.036635161740949)</f>
        <v>1.036635162</v>
      </c>
      <c r="AO408" s="57">
        <f>IFERROR(__xludf.DUMMYFUNCTION("""COMPUTED_VALUE"""),1.0875387099895404)</f>
        <v>1.08753871</v>
      </c>
      <c r="AP408" s="35">
        <f>IFERROR(__xludf.DUMMYFUNCTION("""COMPUTED_VALUE"""),1.0385833273526803)</f>
        <v>1.038583327</v>
      </c>
      <c r="AQ408" s="57">
        <f>IFERROR(__xludf.DUMMYFUNCTION("""COMPUTED_VALUE"""),1.0893927618310835)</f>
        <v>1.089392762</v>
      </c>
      <c r="AR408" s="36" t="b">
        <f>IFERROR(__xludf.DUMMYFUNCTION("""COMPUTED_VALUE"""),TRUE)</f>
        <v>1</v>
      </c>
      <c r="AS408" s="57"/>
      <c r="AT408" s="37"/>
      <c r="AU408" s="30"/>
      <c r="AV408" s="30"/>
      <c r="AW408" s="30"/>
      <c r="AX408" s="30"/>
      <c r="AY408" s="30"/>
      <c r="AZ408" s="30"/>
    </row>
    <row r="409">
      <c r="A409" s="30" t="str">
        <f>IFERROR(__xludf.DUMMYFUNCTION("""COMPUTED_VALUE"""),"Master")</f>
        <v>Master</v>
      </c>
      <c r="B409" s="30" t="str">
        <f>IFERROR(__xludf.DUMMYFUNCTION("""COMPUTED_VALUE"""),"RSC005524")</f>
        <v>RSC005524</v>
      </c>
      <c r="C409" s="30" t="str">
        <f>IFERROR(__xludf.DUMMYFUNCTION("""COMPUTED_VALUE"""),"RaunchyRomanian")</f>
        <v>RaunchyRomanian</v>
      </c>
      <c r="D409" s="31" t="str">
        <f>IFERROR(__xludf.DUMMYFUNCTION("""COMPUTED_VALUE"""),"Heinous Henchmen")</f>
        <v>Heinous Henchmen</v>
      </c>
      <c r="E409" s="31">
        <f>IFERROR(__xludf.DUMMYFUNCTION("""COMPUTED_VALUE"""),40.421102723706866)</f>
        <v>40.42110272</v>
      </c>
      <c r="F409" s="31">
        <f>IFERROR(__xludf.DUMMYFUNCTION("""COMPUTED_VALUE"""),-2.8506101515041977)</f>
        <v>-2.850610152</v>
      </c>
      <c r="G409" s="31">
        <f>IFERROR(__xludf.DUMMYFUNCTION("""COMPUTED_VALUE"""),31.52470574952013)</f>
        <v>31.52470575</v>
      </c>
      <c r="H409" s="31">
        <f>IFERROR(__xludf.DUMMYFUNCTION("""COMPUTED_VALUE"""),-4.348772887497703)</f>
        <v>-4.348772887</v>
      </c>
      <c r="I409" s="54">
        <f>IFERROR(__xludf.DUMMYFUNCTION("""COMPUTED_VALUE"""),14.0)</f>
        <v>14</v>
      </c>
      <c r="J409" s="55">
        <f>IFERROR(__xludf.DUMMYFUNCTION("""COMPUTED_VALUE"""),5.0)</f>
        <v>5</v>
      </c>
      <c r="K409" s="54">
        <f>IFERROR(__xludf.DUMMYFUNCTION("""COMPUTED_VALUE"""),9.0)</f>
        <v>9</v>
      </c>
      <c r="L409" s="56">
        <f>IFERROR(__xludf.DUMMYFUNCTION("""COMPUTED_VALUE"""),0.35714285714285715)</f>
        <v>0.3571428571</v>
      </c>
      <c r="M409" s="56">
        <f>IFERROR(__xludf.DUMMYFUNCTION("""COMPUTED_VALUE"""),0.37037037037037035)</f>
        <v>0.3703703704</v>
      </c>
      <c r="N409" s="31">
        <f>IFERROR(__xludf.DUMMYFUNCTION("""COMPUTED_VALUE"""),338.14285714285717)</f>
        <v>338.1428571</v>
      </c>
      <c r="O409" s="57">
        <f>IFERROR(__xludf.DUMMYFUNCTION("""COMPUTED_VALUE"""),0.7142857142857143)</f>
        <v>0.7142857143</v>
      </c>
      <c r="P409" s="57">
        <f>IFERROR(__xludf.DUMMYFUNCTION("""COMPUTED_VALUE"""),0.7142857142857143)</f>
        <v>0.7142857143</v>
      </c>
      <c r="Q409" s="57">
        <f>IFERROR(__xludf.DUMMYFUNCTION("""COMPUTED_VALUE"""),1.1428571428571428)</f>
        <v>1.142857143</v>
      </c>
      <c r="R409" s="57">
        <f>IFERROR(__xludf.DUMMYFUNCTION("""COMPUTED_VALUE"""),1.9285714285714286)</f>
        <v>1.928571429</v>
      </c>
      <c r="S409" s="31">
        <f>IFERROR(__xludf.DUMMYFUNCTION("""COMPUTED_VALUE"""),413.2857142857142)</f>
        <v>413.2857143</v>
      </c>
      <c r="T409" s="57">
        <f>IFERROR(__xludf.DUMMYFUNCTION("""COMPUTED_VALUE"""),1.1666666666666665)</f>
        <v>1.166666667</v>
      </c>
      <c r="U409" s="57">
        <f>IFERROR(__xludf.DUMMYFUNCTION("""COMPUTED_VALUE"""),0.8571428571428573)</f>
        <v>0.8571428571</v>
      </c>
      <c r="V409" s="57">
        <f>IFERROR(__xludf.DUMMYFUNCTION("""COMPUTED_VALUE"""),1.1428571428571428)</f>
        <v>1.142857143</v>
      </c>
      <c r="W409" s="57">
        <f>IFERROR(__xludf.DUMMYFUNCTION("""COMPUTED_VALUE"""),3.119047619047619)</f>
        <v>3.119047619</v>
      </c>
      <c r="X409" s="31">
        <f>IFERROR(__xludf.DUMMYFUNCTION("""COMPUTED_VALUE"""),406.6703429038794)</f>
        <v>406.6703429</v>
      </c>
      <c r="Y409" s="57">
        <f>IFERROR(__xludf.DUMMYFUNCTION("""COMPUTED_VALUE"""),1.020232025262513)</f>
        <v>1.020232025</v>
      </c>
      <c r="Z409" s="57">
        <f>IFERROR(__xludf.DUMMYFUNCTION("""COMPUTED_VALUE"""),0.7557620100303027)</f>
        <v>0.75576201</v>
      </c>
      <c r="AA409" s="57">
        <f>IFERROR(__xludf.DUMMYFUNCTION("""COMPUTED_VALUE"""),1.4083227648776433)</f>
        <v>1.408322765</v>
      </c>
      <c r="AB409" s="57">
        <f>IFERROR(__xludf.DUMMYFUNCTION("""COMPUTED_VALUE"""),2.9736555826494846)</f>
        <v>2.973655583</v>
      </c>
      <c r="AC409" s="31">
        <f>IFERROR(__xludf.DUMMYFUNCTION("""COMPUTED_VALUE"""),374.3279088638844)</f>
        <v>374.3279089</v>
      </c>
      <c r="AD409" s="57">
        <f>IFERROR(__xludf.DUMMYFUNCTION("""COMPUTED_VALUE"""),0.815646480737944)</f>
        <v>0.8156464807</v>
      </c>
      <c r="AE409" s="57">
        <f>IFERROR(__xludf.DUMMYFUNCTION("""COMPUTED_VALUE"""),0.6247424643257977)</f>
        <v>0.6247424643</v>
      </c>
      <c r="AF409" s="57">
        <f>IFERROR(__xludf.DUMMYFUNCTION("""COMPUTED_VALUE"""),1.4849467591337508)</f>
        <v>1.484946759</v>
      </c>
      <c r="AG409" s="57">
        <f>IFERROR(__xludf.DUMMYFUNCTION("""COMPUTED_VALUE"""),2.5882845025629577)</f>
        <v>2.588284503</v>
      </c>
      <c r="AH409" s="57">
        <f>IFERROR(__xludf.DUMMYFUNCTION("""COMPUTED_VALUE"""),0.9033332784860958)</f>
        <v>0.9033332785</v>
      </c>
      <c r="AI409" s="57">
        <f>IFERROR(__xludf.DUMMYFUNCTION("""COMPUTED_VALUE"""),0.8757295362072487)</f>
        <v>0.8757295362</v>
      </c>
      <c r="AJ409" s="57">
        <f>IFERROR(__xludf.DUMMYFUNCTION("""COMPUTED_VALUE"""),1.143328259359717)</f>
        <v>1.143328259</v>
      </c>
      <c r="AK409" s="57">
        <f>IFERROR(__xludf.DUMMYFUNCTION("""COMPUTED_VALUE"""),0.7696283626517578)</f>
        <v>0.7696283627</v>
      </c>
      <c r="AL409" s="57">
        <f>IFERROR(__xludf.DUMMYFUNCTION("""COMPUTED_VALUE"""),0.7451157037264368)</f>
        <v>0.7451157037</v>
      </c>
      <c r="AM409" s="57">
        <f>IFERROR(__xludf.DUMMYFUNCTION("""COMPUTED_VALUE"""),1.0162671596226982)</f>
        <v>1.01626716</v>
      </c>
      <c r="AN409" s="57">
        <f>IFERROR(__xludf.DUMMYFUNCTION("""COMPUTED_VALUE"""),1.1435307241668629)</f>
        <v>1.143530724</v>
      </c>
      <c r="AO409" s="57">
        <f>IFERROR(__xludf.DUMMYFUNCTION("""COMPUTED_VALUE"""),1.1341438783202262)</f>
        <v>1.134143878</v>
      </c>
      <c r="AP409" s="35">
        <f>IFERROR(__xludf.DUMMYFUNCTION("""COMPUTED_VALUE"""),0.81150228581048)</f>
        <v>0.8115022858</v>
      </c>
      <c r="AQ409" s="57">
        <f>IFERROR(__xludf.DUMMYFUNCTION("""COMPUTED_VALUE"""),1.0488933678958854)</f>
        <v>1.048893368</v>
      </c>
      <c r="AR409" s="36" t="b">
        <f>IFERROR(__xludf.DUMMYFUNCTION("""COMPUTED_VALUE"""),TRUE)</f>
        <v>1</v>
      </c>
      <c r="AS409" s="57"/>
      <c r="AT409" s="37"/>
      <c r="AU409" s="30"/>
      <c r="AV409" s="30"/>
      <c r="AW409" s="30"/>
      <c r="AX409" s="30"/>
      <c r="AY409" s="30"/>
      <c r="AZ409" s="30"/>
    </row>
    <row r="410">
      <c r="A410" s="30" t="str">
        <f>IFERROR(__xludf.DUMMYFUNCTION("""COMPUTED_VALUE"""),"Master")</f>
        <v>Master</v>
      </c>
      <c r="B410" s="30" t="str">
        <f>IFERROR(__xludf.DUMMYFUNCTION("""COMPUTED_VALUE"""),"RSC000232")</f>
        <v>RSC000232</v>
      </c>
      <c r="C410" s="30" t="str">
        <f>IFERROR(__xludf.DUMMYFUNCTION("""COMPUTED_VALUE"""),"Unexpected")</f>
        <v>Unexpected</v>
      </c>
      <c r="D410" s="31" t="str">
        <f>IFERROR(__xludf.DUMMYFUNCTION("""COMPUTED_VALUE"""),"Lemurs")</f>
        <v>Lemurs</v>
      </c>
      <c r="E410" s="31">
        <f>IFERROR(__xludf.DUMMYFUNCTION("""COMPUTED_VALUE"""),40.08837223034967)</f>
        <v>40.08837223</v>
      </c>
      <c r="F410" s="31">
        <f>IFERROR(__xludf.DUMMYFUNCTION("""COMPUTED_VALUE"""),-2.8911680173578107)</f>
        <v>-2.891168017</v>
      </c>
      <c r="G410" s="31">
        <f>IFERROR(__xludf.DUMMYFUNCTION("""COMPUTED_VALUE"""),38.60625201220878)</f>
        <v>38.60625201</v>
      </c>
      <c r="H410" s="31">
        <f>IFERROR(__xludf.DUMMYFUNCTION("""COMPUTED_VALUE"""),-3.0837080861151254)</f>
        <v>-3.083708086</v>
      </c>
      <c r="I410" s="54">
        <f>IFERROR(__xludf.DUMMYFUNCTION("""COMPUTED_VALUE"""),48.0)</f>
        <v>48</v>
      </c>
      <c r="J410" s="55">
        <f>IFERROR(__xludf.DUMMYFUNCTION("""COMPUTED_VALUE"""),28.0)</f>
        <v>28</v>
      </c>
      <c r="K410" s="54">
        <f>IFERROR(__xludf.DUMMYFUNCTION("""COMPUTED_VALUE"""),20.0)</f>
        <v>20</v>
      </c>
      <c r="L410" s="56">
        <f>IFERROR(__xludf.DUMMYFUNCTION("""COMPUTED_VALUE"""),0.5833333333333334)</f>
        <v>0.5833333333</v>
      </c>
      <c r="M410" s="56">
        <f>IFERROR(__xludf.DUMMYFUNCTION("""COMPUTED_VALUE"""),0.2833333333333333)</f>
        <v>0.2833333333</v>
      </c>
      <c r="N410" s="31">
        <f>IFERROR(__xludf.DUMMYFUNCTION("""COMPUTED_VALUE"""),360.1041666666667)</f>
        <v>360.1041667</v>
      </c>
      <c r="O410" s="57">
        <f>IFERROR(__xludf.DUMMYFUNCTION("""COMPUTED_VALUE"""),0.7083333333333334)</f>
        <v>0.7083333333</v>
      </c>
      <c r="P410" s="57">
        <f>IFERROR(__xludf.DUMMYFUNCTION("""COMPUTED_VALUE"""),0.625)</f>
        <v>0.625</v>
      </c>
      <c r="Q410" s="57">
        <f>IFERROR(__xludf.DUMMYFUNCTION("""COMPUTED_VALUE"""),1.4791666666666667)</f>
        <v>1.479166667</v>
      </c>
      <c r="R410" s="57">
        <f>IFERROR(__xludf.DUMMYFUNCTION("""COMPUTED_VALUE"""),2.5)</f>
        <v>2.5</v>
      </c>
      <c r="S410" s="31">
        <f>IFERROR(__xludf.DUMMYFUNCTION("""COMPUTED_VALUE"""),403.11347517730496)</f>
        <v>403.1134752</v>
      </c>
      <c r="T410" s="57">
        <f>IFERROR(__xludf.DUMMYFUNCTION("""COMPUTED_VALUE"""),0.929078014184397)</f>
        <v>0.9290780142</v>
      </c>
      <c r="U410" s="57">
        <f>IFERROR(__xludf.DUMMYFUNCTION("""COMPUTED_VALUE"""),0.7092198581560284)</f>
        <v>0.7092198582</v>
      </c>
      <c r="V410" s="57">
        <f>IFERROR(__xludf.DUMMYFUNCTION("""COMPUTED_VALUE"""),1.5319148936170215)</f>
        <v>1.531914894</v>
      </c>
      <c r="W410" s="57">
        <f>IFERROR(__xludf.DUMMYFUNCTION("""COMPUTED_VALUE"""),2.702127659574468)</f>
        <v>2.70212766</v>
      </c>
      <c r="X410" s="31">
        <f>IFERROR(__xludf.DUMMYFUNCTION("""COMPUTED_VALUE"""),382.4577861637627)</f>
        <v>382.4577862</v>
      </c>
      <c r="Y410" s="57">
        <f>IFERROR(__xludf.DUMMYFUNCTION("""COMPUTED_VALUE"""),0.8543278755195249)</f>
        <v>0.8543278755</v>
      </c>
      <c r="Z410" s="57">
        <f>IFERROR(__xludf.DUMMYFUNCTION("""COMPUTED_VALUE"""),0.6752437980974998)</f>
        <v>0.6752437981</v>
      </c>
      <c r="AA410" s="57">
        <f>IFERROR(__xludf.DUMMYFUNCTION("""COMPUTED_VALUE"""),1.479947635281444)</f>
        <v>1.479947635</v>
      </c>
      <c r="AB410" s="57">
        <f>IFERROR(__xludf.DUMMYFUNCTION("""COMPUTED_VALUE"""),2.732641579675824)</f>
        <v>2.73264158</v>
      </c>
      <c r="AC410" s="31">
        <f>IFERROR(__xludf.DUMMYFUNCTION("""COMPUTED_VALUE"""),389.6884752875669)</f>
        <v>389.6884753</v>
      </c>
      <c r="AD410" s="57">
        <f>IFERROR(__xludf.DUMMYFUNCTION("""COMPUTED_VALUE"""),0.9005876933373701)</f>
        <v>0.9005876933</v>
      </c>
      <c r="AE410" s="57">
        <f>IFERROR(__xludf.DUMMYFUNCTION("""COMPUTED_VALUE"""),0.6824907917526871)</f>
        <v>0.6824907918</v>
      </c>
      <c r="AF410" s="57">
        <f>IFERROR(__xludf.DUMMYFUNCTION("""COMPUTED_VALUE"""),1.495567526977796)</f>
        <v>1.495567527</v>
      </c>
      <c r="AG410" s="57">
        <f>IFERROR(__xludf.DUMMYFUNCTION("""COMPUTED_VALUE"""),2.859125460115681)</f>
        <v>2.85912546</v>
      </c>
      <c r="AH410" s="57">
        <f>IFERROR(__xludf.DUMMYFUNCTION("""COMPUTED_VALUE"""),0.9240821566532889)</f>
        <v>0.9240821567</v>
      </c>
      <c r="AI410" s="57">
        <f>IFERROR(__xludf.DUMMYFUNCTION("""COMPUTED_VALUE"""),0.7865234430512964)</f>
        <v>0.7865234431</v>
      </c>
      <c r="AJ410" s="57">
        <f>IFERROR(__xludf.DUMMYFUNCTION("""COMPUTED_VALUE"""),0.9157632711716938)</f>
        <v>0.9157632712</v>
      </c>
      <c r="AK410" s="57">
        <f>IFERROR(__xludf.DUMMYFUNCTION("""COMPUTED_VALUE"""),0.9890336878708034)</f>
        <v>0.9890336879</v>
      </c>
      <c r="AL410" s="57">
        <f>IFERROR(__xludf.DUMMYFUNCTION("""COMPUTED_VALUE"""),0.8743932488708801)</f>
        <v>0.8743932489</v>
      </c>
      <c r="AM410" s="57">
        <f>IFERROR(__xludf.DUMMYFUNCTION("""COMPUTED_VALUE"""),1.0540077617996193)</f>
        <v>1.054007762</v>
      </c>
      <c r="AN410" s="57">
        <f>IFERROR(__xludf.DUMMYFUNCTION("""COMPUTED_VALUE"""),1.0874958441680436)</f>
        <v>1.087495844</v>
      </c>
      <c r="AO410" s="57">
        <f>IFERROR(__xludf.DUMMYFUNCTION("""COMPUTED_VALUE"""),1.0503167302746892)</f>
        <v>1.05031673</v>
      </c>
      <c r="AP410" s="35">
        <f>IFERROR(__xludf.DUMMYFUNCTION("""COMPUTED_VALUE"""),1.0351142547862477)</f>
        <v>1.035114255</v>
      </c>
      <c r="AQ410" s="57">
        <f>IFERROR(__xludf.DUMMYFUNCTION("""COMPUTED_VALUE"""),0.9888335446813424)</f>
        <v>0.9888335447</v>
      </c>
      <c r="AR410" s="36" t="b">
        <f>IFERROR(__xludf.DUMMYFUNCTION("""COMPUTED_VALUE"""),TRUE)</f>
        <v>1</v>
      </c>
      <c r="AS410" s="57"/>
      <c r="AT410" s="37"/>
      <c r="AU410" s="30"/>
      <c r="AV410" s="30"/>
      <c r="AW410" s="30"/>
      <c r="AX410" s="30"/>
      <c r="AY410" s="30"/>
      <c r="AZ410" s="30"/>
    </row>
    <row r="411">
      <c r="A411" s="30" t="str">
        <f>IFERROR(__xludf.DUMMYFUNCTION("""COMPUTED_VALUE"""),"Master")</f>
        <v>Master</v>
      </c>
      <c r="B411" s="30" t="str">
        <f>IFERROR(__xludf.DUMMYFUNCTION("""COMPUTED_VALUE"""),"RSC002050")</f>
        <v>RSC002050</v>
      </c>
      <c r="C411" s="30" t="str">
        <f>IFERROR(__xludf.DUMMYFUNCTION("""COMPUTED_VALUE"""),"Goobz")</f>
        <v>Goobz</v>
      </c>
      <c r="D411" s="31" t="str">
        <f>IFERROR(__xludf.DUMMYFUNCTION("""COMPUTED_VALUE"""),"Plinko")</f>
        <v>Plinko</v>
      </c>
      <c r="E411" s="31">
        <f>IFERROR(__xludf.DUMMYFUNCTION("""COMPUTED_VALUE"""),39.765427206393724)</f>
        <v>39.76542721</v>
      </c>
      <c r="F411" s="31">
        <f>IFERROR(__xludf.DUMMYFUNCTION("""COMPUTED_VALUE"""),-2.931439444018165)</f>
        <v>-2.931439444</v>
      </c>
      <c r="G411" s="31">
        <f>IFERROR(__xludf.DUMMYFUNCTION("""COMPUTED_VALUE"""),32.819449801439006)</f>
        <v>32.8194498</v>
      </c>
      <c r="H411" s="31">
        <f>IFERROR(__xludf.DUMMYFUNCTION("""COMPUTED_VALUE"""),-4.06551299545496)</f>
        <v>-4.065512995</v>
      </c>
      <c r="I411" s="54">
        <f>IFERROR(__xludf.DUMMYFUNCTION("""COMPUTED_VALUE"""),37.0)</f>
        <v>37</v>
      </c>
      <c r="J411" s="55">
        <f>IFERROR(__xludf.DUMMYFUNCTION("""COMPUTED_VALUE"""),18.0)</f>
        <v>18</v>
      </c>
      <c r="K411" s="54">
        <f>IFERROR(__xludf.DUMMYFUNCTION("""COMPUTED_VALUE"""),19.0)</f>
        <v>19</v>
      </c>
      <c r="L411" s="56">
        <f>IFERROR(__xludf.DUMMYFUNCTION("""COMPUTED_VALUE"""),0.4864864864864865)</f>
        <v>0.4864864865</v>
      </c>
      <c r="M411" s="56">
        <f>IFERROR(__xludf.DUMMYFUNCTION("""COMPUTED_VALUE"""),0.24752475247524752)</f>
        <v>0.2475247525</v>
      </c>
      <c r="N411" s="31">
        <f>IFERROR(__xludf.DUMMYFUNCTION("""COMPUTED_VALUE"""),365.8918918918919)</f>
        <v>365.8918919</v>
      </c>
      <c r="O411" s="57">
        <f>IFERROR(__xludf.DUMMYFUNCTION("""COMPUTED_VALUE"""),0.6756756756756757)</f>
        <v>0.6756756757</v>
      </c>
      <c r="P411" s="57">
        <f>IFERROR(__xludf.DUMMYFUNCTION("""COMPUTED_VALUE"""),0.4864864864864865)</f>
        <v>0.4864864865</v>
      </c>
      <c r="Q411" s="57">
        <f>IFERROR(__xludf.DUMMYFUNCTION("""COMPUTED_VALUE"""),1.7027027027027026)</f>
        <v>1.702702703</v>
      </c>
      <c r="R411" s="57">
        <f>IFERROR(__xludf.DUMMYFUNCTION("""COMPUTED_VALUE"""),2.72972972972973)</f>
        <v>2.72972973</v>
      </c>
      <c r="S411" s="31">
        <f>IFERROR(__xludf.DUMMYFUNCTION("""COMPUTED_VALUE"""),393.6576576576575)</f>
        <v>393.6576577</v>
      </c>
      <c r="T411" s="57">
        <f>IFERROR(__xludf.DUMMYFUNCTION("""COMPUTED_VALUE"""),0.8108108108108109)</f>
        <v>0.8108108108</v>
      </c>
      <c r="U411" s="57">
        <f>IFERROR(__xludf.DUMMYFUNCTION("""COMPUTED_VALUE"""),0.6666666666666666)</f>
        <v>0.6666666667</v>
      </c>
      <c r="V411" s="57">
        <f>IFERROR(__xludf.DUMMYFUNCTION("""COMPUTED_VALUE"""),1.5675675675675673)</f>
        <v>1.567567568</v>
      </c>
      <c r="W411" s="57">
        <f>IFERROR(__xludf.DUMMYFUNCTION("""COMPUTED_VALUE"""),2.981981981981982)</f>
        <v>2.981981982</v>
      </c>
      <c r="X411" s="31">
        <f>IFERROR(__xludf.DUMMYFUNCTION("""COMPUTED_VALUE"""),390.9147295265913)</f>
        <v>390.9147295</v>
      </c>
      <c r="Y411" s="57">
        <f>IFERROR(__xludf.DUMMYFUNCTION("""COMPUTED_VALUE"""),0.9116012392211641)</f>
        <v>0.9116012392</v>
      </c>
      <c r="Z411" s="57">
        <f>IFERROR(__xludf.DUMMYFUNCTION("""COMPUTED_VALUE"""),0.7091444446247092)</f>
        <v>0.7091444446</v>
      </c>
      <c r="AA411" s="57">
        <f>IFERROR(__xludf.DUMMYFUNCTION("""COMPUTED_VALUE"""),1.4414365331772685)</f>
        <v>1.441436533</v>
      </c>
      <c r="AB411" s="57">
        <f>IFERROR(__xludf.DUMMYFUNCTION("""COMPUTED_VALUE"""),2.871672040278972)</f>
        <v>2.87167204</v>
      </c>
      <c r="AC411" s="31">
        <f>IFERROR(__xludf.DUMMYFUNCTION("""COMPUTED_VALUE"""),382.5081897036972)</f>
        <v>382.5081897</v>
      </c>
      <c r="AD411" s="57">
        <f>IFERROR(__xludf.DUMMYFUNCTION("""COMPUTED_VALUE"""),0.841836483584728)</f>
        <v>0.8418364836</v>
      </c>
      <c r="AE411" s="57">
        <f>IFERROR(__xludf.DUMMYFUNCTION("""COMPUTED_VALUE"""),0.6367978212349377)</f>
        <v>0.6367978212</v>
      </c>
      <c r="AF411" s="57">
        <f>IFERROR(__xludf.DUMMYFUNCTION("""COMPUTED_VALUE"""),1.4941474719819205)</f>
        <v>1.494147472</v>
      </c>
      <c r="AG411" s="57">
        <f>IFERROR(__xludf.DUMMYFUNCTION("""COMPUTED_VALUE"""),2.7516735321601264)</f>
        <v>2.751673532</v>
      </c>
      <c r="AH411" s="57">
        <f>IFERROR(__xludf.DUMMYFUNCTION("""COMPUTED_VALUE"""),0.9565596286325874)</f>
        <v>0.9565596286</v>
      </c>
      <c r="AI411" s="57">
        <f>IFERROR(__xludf.DUMMYFUNCTION("""COMPUTED_VALUE"""),0.8026210420324118)</f>
        <v>0.802621042</v>
      </c>
      <c r="AJ411" s="57">
        <f>IFERROR(__xludf.DUMMYFUNCTION("""COMPUTED_VALUE"""),0.7639575235088691)</f>
        <v>0.7639575235</v>
      </c>
      <c r="AK411" s="57">
        <f>IFERROR(__xludf.DUMMYFUNCTION("""COMPUTED_VALUE"""),1.1395814232741985)</f>
        <v>1.139581423</v>
      </c>
      <c r="AL411" s="57">
        <f>IFERROR(__xludf.DUMMYFUNCTION("""COMPUTED_VALUE"""),0.9920252885475225)</f>
        <v>0.9920252885</v>
      </c>
      <c r="AM411" s="57">
        <f>IFERROR(__xludf.DUMMYFUNCTION("""COMPUTED_VALUE"""),1.0070166916820658)</f>
        <v>1.007016692</v>
      </c>
      <c r="AN411" s="57">
        <f>IFERROR(__xludf.DUMMYFUNCTION("""COMPUTED_VALUE"""),0.8894358365545174)</f>
        <v>0.8894358366</v>
      </c>
      <c r="AO411" s="57">
        <f>IFERROR(__xludf.DUMMYFUNCTION("""COMPUTED_VALUE"""),0.940099963723861)</f>
        <v>0.9400999637</v>
      </c>
      <c r="AP411" s="35">
        <f>IFERROR(__xludf.DUMMYFUNCTION("""COMPUTED_VALUE"""),1.0875037030678527)</f>
        <v>1.087503703</v>
      </c>
      <c r="AQ411" s="57">
        <f>IFERROR(__xludf.DUMMYFUNCTION("""COMPUTED_VALUE"""),1.038413140552183)</f>
        <v>1.038413141</v>
      </c>
      <c r="AR411" s="36" t="b">
        <f>IFERROR(__xludf.DUMMYFUNCTION("""COMPUTED_VALUE"""),TRUE)</f>
        <v>1</v>
      </c>
      <c r="AS411" s="57"/>
      <c r="AT411" s="37"/>
      <c r="AU411" s="30"/>
      <c r="AV411" s="30"/>
      <c r="AW411" s="30"/>
      <c r="AX411" s="30"/>
      <c r="AY411" s="30"/>
      <c r="AZ411" s="30"/>
    </row>
    <row r="412">
      <c r="A412" s="30" t="str">
        <f>IFERROR(__xludf.DUMMYFUNCTION("""COMPUTED_VALUE"""),"Master")</f>
        <v>Master</v>
      </c>
      <c r="B412" s="30" t="str">
        <f>IFERROR(__xludf.DUMMYFUNCTION("""COMPUTED_VALUE"""),"RSC003801")</f>
        <v>RSC003801</v>
      </c>
      <c r="C412" s="30" t="str">
        <f>IFERROR(__xludf.DUMMYFUNCTION("""COMPUTED_VALUE"""),"veil._")</f>
        <v>veil._</v>
      </c>
      <c r="D412" s="31" t="str">
        <f>IFERROR(__xludf.DUMMYFUNCTION("""COMPUTED_VALUE"""),"Basilisks")</f>
        <v>Basilisks</v>
      </c>
      <c r="E412" s="31">
        <f>IFERROR(__xludf.DUMMYFUNCTION("""COMPUTED_VALUE"""),35.94335114731639)</f>
        <v>35.94335115</v>
      </c>
      <c r="F412" s="31">
        <f>IFERROR(__xludf.DUMMYFUNCTION("""COMPUTED_VALUE"""),-3.4847161940847067)</f>
        <v>-3.484716194</v>
      </c>
      <c r="G412" s="31">
        <f>IFERROR(__xludf.DUMMYFUNCTION("""COMPUTED_VALUE"""),20.620685962160433)</f>
        <v>20.62068596</v>
      </c>
      <c r="H412" s="31">
        <f>IFERROR(__xludf.DUMMYFUNCTION("""COMPUTED_VALUE"""),-8.335914504419152)</f>
        <v>-8.335914504</v>
      </c>
      <c r="I412" s="54">
        <f>IFERROR(__xludf.DUMMYFUNCTION("""COMPUTED_VALUE"""),14.0)</f>
        <v>14</v>
      </c>
      <c r="J412" s="55">
        <f>IFERROR(__xludf.DUMMYFUNCTION("""COMPUTED_VALUE"""),6.0)</f>
        <v>6</v>
      </c>
      <c r="K412" s="54">
        <f>IFERROR(__xludf.DUMMYFUNCTION("""COMPUTED_VALUE"""),8.0)</f>
        <v>8</v>
      </c>
      <c r="L412" s="56">
        <f>IFERROR(__xludf.DUMMYFUNCTION("""COMPUTED_VALUE"""),0.42857142857142855)</f>
        <v>0.4285714286</v>
      </c>
      <c r="M412" s="56">
        <f>IFERROR(__xludf.DUMMYFUNCTION("""COMPUTED_VALUE"""),0.37500000000000006)</f>
        <v>0.375</v>
      </c>
      <c r="N412" s="31">
        <f>IFERROR(__xludf.DUMMYFUNCTION("""COMPUTED_VALUE"""),352.0)</f>
        <v>352</v>
      </c>
      <c r="O412" s="57">
        <f>IFERROR(__xludf.DUMMYFUNCTION("""COMPUTED_VALUE"""),0.6428571428571429)</f>
        <v>0.6428571429</v>
      </c>
      <c r="P412" s="57">
        <f>IFERROR(__xludf.DUMMYFUNCTION("""COMPUTED_VALUE"""),0.7142857142857143)</f>
        <v>0.7142857143</v>
      </c>
      <c r="Q412" s="57">
        <f>IFERROR(__xludf.DUMMYFUNCTION("""COMPUTED_VALUE"""),1.7142857142857142)</f>
        <v>1.714285714</v>
      </c>
      <c r="R412" s="57">
        <f>IFERROR(__xludf.DUMMYFUNCTION("""COMPUTED_VALUE"""),1.7142857142857142)</f>
        <v>1.714285714</v>
      </c>
      <c r="S412" s="31">
        <f>IFERROR(__xludf.DUMMYFUNCTION("""COMPUTED_VALUE"""),396.59523809523813)</f>
        <v>396.5952381</v>
      </c>
      <c r="T412" s="57">
        <f>IFERROR(__xludf.DUMMYFUNCTION("""COMPUTED_VALUE"""),0.9285714285714287)</f>
        <v>0.9285714286</v>
      </c>
      <c r="U412" s="57">
        <f>IFERROR(__xludf.DUMMYFUNCTION("""COMPUTED_VALUE"""),0.738095238095238)</f>
        <v>0.7380952381</v>
      </c>
      <c r="V412" s="57">
        <f>IFERROR(__xludf.DUMMYFUNCTION("""COMPUTED_VALUE"""),1.3095238095238095)</f>
        <v>1.30952381</v>
      </c>
      <c r="W412" s="57">
        <f>IFERROR(__xludf.DUMMYFUNCTION("""COMPUTED_VALUE"""),3.4761904761904754)</f>
        <v>3.476190476</v>
      </c>
      <c r="X412" s="31">
        <f>IFERROR(__xludf.DUMMYFUNCTION("""COMPUTED_VALUE"""),391.4608401684936)</f>
        <v>391.4608402</v>
      </c>
      <c r="Y412" s="57">
        <f>IFERROR(__xludf.DUMMYFUNCTION("""COMPUTED_VALUE"""),0.8716831896190175)</f>
        <v>0.8716831896</v>
      </c>
      <c r="Z412" s="57">
        <f>IFERROR(__xludf.DUMMYFUNCTION("""COMPUTED_VALUE"""),0.666427189516565)</f>
        <v>0.6664271895</v>
      </c>
      <c r="AA412" s="57">
        <f>IFERROR(__xludf.DUMMYFUNCTION("""COMPUTED_VALUE"""),1.4766271304638423)</f>
        <v>1.47662713</v>
      </c>
      <c r="AB412" s="57">
        <f>IFERROR(__xludf.DUMMYFUNCTION("""COMPUTED_VALUE"""),2.9349516947802843)</f>
        <v>2.934951695</v>
      </c>
      <c r="AC412" s="31">
        <f>IFERROR(__xludf.DUMMYFUNCTION("""COMPUTED_VALUE"""),386.8378160308308)</f>
        <v>386.837816</v>
      </c>
      <c r="AD412" s="57">
        <f>IFERROR(__xludf.DUMMYFUNCTION("""COMPUTED_VALUE"""),0.8301527665397275)</f>
        <v>0.8301527665</v>
      </c>
      <c r="AE412" s="57">
        <f>IFERROR(__xludf.DUMMYFUNCTION("""COMPUTED_VALUE"""),0.6250133274711047)</f>
        <v>0.6250133275</v>
      </c>
      <c r="AF412" s="57">
        <f>IFERROR(__xludf.DUMMYFUNCTION("""COMPUTED_VALUE"""),1.580973556806478)</f>
        <v>1.580973557</v>
      </c>
      <c r="AG412" s="57">
        <f>IFERROR(__xludf.DUMMYFUNCTION("""COMPUTED_VALUE"""),2.7477301851135842)</f>
        <v>2.747730185</v>
      </c>
      <c r="AH412" s="57">
        <f>IFERROR(__xludf.DUMMYFUNCTION("""COMPUTED_VALUE"""),0.9099420620551372)</f>
        <v>0.9099420621</v>
      </c>
      <c r="AI412" s="57">
        <f>IFERROR(__xludf.DUMMYFUNCTION("""COMPUTED_VALUE"""),0.7743841480366597)</f>
        <v>0.774384148</v>
      </c>
      <c r="AJ412" s="57">
        <f>IFERROR(__xludf.DUMMYFUNCTION("""COMPUTED_VALUE"""),1.1428327731439243)</f>
        <v>1.142832773</v>
      </c>
      <c r="AK412" s="57">
        <f>IFERROR(__xludf.DUMMYFUNCTION("""COMPUTED_VALUE"""),1.0843228255812976)</f>
        <v>1.084322826</v>
      </c>
      <c r="AL412" s="57">
        <f>IFERROR(__xludf.DUMMYFUNCTION("""COMPUTED_VALUE"""),0.6238915755168479)</f>
        <v>0.6238915755</v>
      </c>
      <c r="AM412" s="57">
        <f>IFERROR(__xludf.DUMMYFUNCTION("""COMPUTED_VALUE"""),1.01311599373397)</f>
        <v>1.013115994</v>
      </c>
      <c r="AN412" s="57">
        <f>IFERROR(__xludf.DUMMYFUNCTION("""COMPUTED_VALUE"""),1.065262516967059)</f>
        <v>1.065262517</v>
      </c>
      <c r="AO412" s="57">
        <f>IFERROR(__xludf.DUMMYFUNCTION("""COMPUTED_VALUE"""),1.1075407031796856)</f>
        <v>1.107540703</v>
      </c>
      <c r="AP412" s="35">
        <f>IFERROR(__xludf.DUMMYFUNCTION("""COMPUTED_VALUE"""),0.8868344502870256)</f>
        <v>0.8868344503</v>
      </c>
      <c r="AQ412" s="57">
        <f>IFERROR(__xludf.DUMMYFUNCTION("""COMPUTED_VALUE"""),1.1844114785169264)</f>
        <v>1.184411479</v>
      </c>
      <c r="AR412" s="36" t="b">
        <f>IFERROR(__xludf.DUMMYFUNCTION("""COMPUTED_VALUE"""),TRUE)</f>
        <v>1</v>
      </c>
      <c r="AS412" s="57"/>
      <c r="AT412" s="37"/>
      <c r="AU412" s="30"/>
      <c r="AV412" s="30"/>
      <c r="AW412" s="30"/>
      <c r="AX412" s="30"/>
      <c r="AY412" s="30"/>
      <c r="AZ412" s="30"/>
    </row>
    <row r="413">
      <c r="A413" s="30" t="str">
        <f>IFERROR(__xludf.DUMMYFUNCTION("""COMPUTED_VALUE"""),"Master")</f>
        <v>Master</v>
      </c>
      <c r="B413" s="30" t="str">
        <f>IFERROR(__xludf.DUMMYFUNCTION("""COMPUTED_VALUE"""),"RSC007558")</f>
        <v>RSC007558</v>
      </c>
      <c r="C413" s="30" t="str">
        <f>IFERROR(__xludf.DUMMYFUNCTION("""COMPUTED_VALUE"""),"Frijole")</f>
        <v>Frijole</v>
      </c>
      <c r="D413" s="31" t="str">
        <f>IFERROR(__xludf.DUMMYFUNCTION("""COMPUTED_VALUE"""),"Fromunda Frauds")</f>
        <v>Fromunda Frauds</v>
      </c>
      <c r="E413" s="31">
        <f>IFERROR(__xludf.DUMMYFUNCTION("""COMPUTED_VALUE"""),35.42386347672069)</f>
        <v>35.42386348</v>
      </c>
      <c r="F413" s="31">
        <f>IFERROR(__xludf.DUMMYFUNCTION("""COMPUTED_VALUE"""),-3.572304442839811)</f>
        <v>-3.572304443</v>
      </c>
      <c r="G413" s="31">
        <f>IFERROR(__xludf.DUMMYFUNCTION("""COMPUTED_VALUE"""),33.995064773314944)</f>
        <v>33.99506477</v>
      </c>
      <c r="H413" s="31">
        <f>IFERROR(__xludf.DUMMYFUNCTION("""COMPUTED_VALUE"""),-3.831092737458692)</f>
        <v>-3.831092737</v>
      </c>
      <c r="I413" s="54">
        <f>IFERROR(__xludf.DUMMYFUNCTION("""COMPUTED_VALUE"""),34.0)</f>
        <v>34</v>
      </c>
      <c r="J413" s="55">
        <f>IFERROR(__xludf.DUMMYFUNCTION("""COMPUTED_VALUE"""),14.0)</f>
        <v>14</v>
      </c>
      <c r="K413" s="54">
        <f>IFERROR(__xludf.DUMMYFUNCTION("""COMPUTED_VALUE"""),20.0)</f>
        <v>20</v>
      </c>
      <c r="L413" s="56">
        <f>IFERROR(__xludf.DUMMYFUNCTION("""COMPUTED_VALUE"""),0.4117647058823529)</f>
        <v>0.4117647059</v>
      </c>
      <c r="M413" s="56">
        <f>IFERROR(__xludf.DUMMYFUNCTION("""COMPUTED_VALUE"""),0.3026315789473684)</f>
        <v>0.3026315789</v>
      </c>
      <c r="N413" s="31">
        <f>IFERROR(__xludf.DUMMYFUNCTION("""COMPUTED_VALUE"""),340.8235294117647)</f>
        <v>340.8235294</v>
      </c>
      <c r="O413" s="57">
        <f>IFERROR(__xludf.DUMMYFUNCTION("""COMPUTED_VALUE"""),0.6764705882352942)</f>
        <v>0.6764705882</v>
      </c>
      <c r="P413" s="57">
        <f>IFERROR(__xludf.DUMMYFUNCTION("""COMPUTED_VALUE"""),0.5882352941176471)</f>
        <v>0.5882352941</v>
      </c>
      <c r="Q413" s="57">
        <f>IFERROR(__xludf.DUMMYFUNCTION("""COMPUTED_VALUE"""),1.3235294117647058)</f>
        <v>1.323529412</v>
      </c>
      <c r="R413" s="57">
        <f>IFERROR(__xludf.DUMMYFUNCTION("""COMPUTED_VALUE"""),2.235294117647059)</f>
        <v>2.235294118</v>
      </c>
      <c r="S413" s="31">
        <f>IFERROR(__xludf.DUMMYFUNCTION("""COMPUTED_VALUE"""),399.66666666666663)</f>
        <v>399.6666667</v>
      </c>
      <c r="T413" s="57">
        <f>IFERROR(__xludf.DUMMYFUNCTION("""COMPUTED_VALUE"""),0.9607843137254903)</f>
        <v>0.9607843137</v>
      </c>
      <c r="U413" s="57">
        <f>IFERROR(__xludf.DUMMYFUNCTION("""COMPUTED_VALUE"""),0.7450980392156862)</f>
        <v>0.7450980392</v>
      </c>
      <c r="V413" s="57">
        <f>IFERROR(__xludf.DUMMYFUNCTION("""COMPUTED_VALUE"""),1.4313725490196079)</f>
        <v>1.431372549</v>
      </c>
      <c r="W413" s="57">
        <f>IFERROR(__xludf.DUMMYFUNCTION("""COMPUTED_VALUE"""),2.8529411764705874)</f>
        <v>2.852941176</v>
      </c>
      <c r="X413" s="31">
        <f>IFERROR(__xludf.DUMMYFUNCTION("""COMPUTED_VALUE"""),391.87898960972177)</f>
        <v>391.8789896</v>
      </c>
      <c r="Y413" s="57">
        <f>IFERROR(__xludf.DUMMYFUNCTION("""COMPUTED_VALUE"""),0.923307421266875)</f>
        <v>0.9233074213</v>
      </c>
      <c r="Z413" s="57">
        <f>IFERROR(__xludf.DUMMYFUNCTION("""COMPUTED_VALUE"""),0.6815744028097624)</f>
        <v>0.6815744028</v>
      </c>
      <c r="AA413" s="57">
        <f>IFERROR(__xludf.DUMMYFUNCTION("""COMPUTED_VALUE"""),1.4661454018303655)</f>
        <v>1.466145402</v>
      </c>
      <c r="AB413" s="57">
        <f>IFERROR(__xludf.DUMMYFUNCTION("""COMPUTED_VALUE"""),2.849314507575997)</f>
        <v>2.849314508</v>
      </c>
      <c r="AC413" s="31">
        <f>IFERROR(__xludf.DUMMYFUNCTION("""COMPUTED_VALUE"""),383.6732040575288)</f>
        <v>383.6732041</v>
      </c>
      <c r="AD413" s="57">
        <f>IFERROR(__xludf.DUMMYFUNCTION("""COMPUTED_VALUE"""),0.8597606285355498)</f>
        <v>0.8597606285</v>
      </c>
      <c r="AE413" s="57">
        <f>IFERROR(__xludf.DUMMYFUNCTION("""COMPUTED_VALUE"""),0.6493326161600818)</f>
        <v>0.6493326162</v>
      </c>
      <c r="AF413" s="57">
        <f>IFERROR(__xludf.DUMMYFUNCTION("""COMPUTED_VALUE"""),1.4790141941833652)</f>
        <v>1.479014194</v>
      </c>
      <c r="AG413" s="57">
        <f>IFERROR(__xludf.DUMMYFUNCTION("""COMPUTED_VALUE"""),2.7846013602678426)</f>
        <v>2.78460136</v>
      </c>
      <c r="AH413" s="57">
        <f>IFERROR(__xludf.DUMMYFUNCTION("""COMPUTED_VALUE"""),0.8883172601250018)</f>
        <v>0.8883172601</v>
      </c>
      <c r="AI413" s="57">
        <f>IFERROR(__xludf.DUMMYFUNCTION("""COMPUTED_VALUE"""),0.7868127078435101)</f>
        <v>0.7868127078</v>
      </c>
      <c r="AJ413" s="57">
        <f>IFERROR(__xludf.DUMMYFUNCTION("""COMPUTED_VALUE"""),0.9059075110014616)</f>
        <v>0.905907511</v>
      </c>
      <c r="AK413" s="57">
        <f>IFERROR(__xludf.DUMMYFUNCTION("""COMPUTED_VALUE"""),0.8948726908570949)</f>
        <v>0.8948726909</v>
      </c>
      <c r="AL413" s="57">
        <f>IFERROR(__xludf.DUMMYFUNCTION("""COMPUTED_VALUE"""),0.8027339746153297)</f>
        <v>0.8027339746</v>
      </c>
      <c r="AM413" s="57">
        <f>IFERROR(__xludf.DUMMYFUNCTION("""COMPUTED_VALUE"""),1.0198726577934192)</f>
        <v>1.019872658</v>
      </c>
      <c r="AN413" s="57">
        <f>IFERROR(__xludf.DUMMYFUNCTION("""COMPUTED_VALUE"""),1.0405898312906368)</f>
        <v>1.040589831</v>
      </c>
      <c r="AO413" s="57">
        <f>IFERROR(__xludf.DUMMYFUNCTION("""COMPUTED_VALUE"""),1.0932013235004867)</f>
        <v>1.093201324</v>
      </c>
      <c r="AP413" s="35">
        <f>IFERROR(__xludf.DUMMYFUNCTION("""COMPUTED_VALUE"""),0.9762828074436911)</f>
        <v>0.9762828074</v>
      </c>
      <c r="AQ413" s="57">
        <f>IFERROR(__xludf.DUMMYFUNCTION("""COMPUTED_VALUE"""),1.0012728215453042)</f>
        <v>1.001272822</v>
      </c>
      <c r="AR413" s="36" t="b">
        <f>IFERROR(__xludf.DUMMYFUNCTION("""COMPUTED_VALUE"""),TRUE)</f>
        <v>1</v>
      </c>
      <c r="AS413" s="57"/>
      <c r="AT413" s="37"/>
      <c r="AU413" s="30"/>
      <c r="AV413" s="30"/>
      <c r="AW413" s="30"/>
      <c r="AX413" s="30"/>
      <c r="AY413" s="30"/>
      <c r="AZ413" s="30"/>
    </row>
    <row r="414">
      <c r="A414" s="30" t="str">
        <f>IFERROR(__xludf.DUMMYFUNCTION("""COMPUTED_VALUE"""),"Master")</f>
        <v>Master</v>
      </c>
      <c r="B414" s="30" t="str">
        <f>IFERROR(__xludf.DUMMYFUNCTION("""COMPUTED_VALUE"""),"RSC007354")</f>
        <v>RSC007354</v>
      </c>
      <c r="C414" s="30" t="str">
        <f>IFERROR(__xludf.DUMMYFUNCTION("""COMPUTED_VALUE"""),"Fanatic")</f>
        <v>Fanatic</v>
      </c>
      <c r="D414" s="31" t="str">
        <f>IFERROR(__xludf.DUMMYFUNCTION("""COMPUTED_VALUE"""),"Desolation")</f>
        <v>Desolation</v>
      </c>
      <c r="E414" s="31">
        <f>IFERROR(__xludf.DUMMYFUNCTION("""COMPUTED_VALUE"""),34.580340792900984)</f>
        <v>34.58034079</v>
      </c>
      <c r="F414" s="31">
        <f>IFERROR(__xludf.DUMMYFUNCTION("""COMPUTED_VALUE"""),-3.7217913027892715)</f>
        <v>-3.721791303</v>
      </c>
      <c r="G414" s="31">
        <f>IFERROR(__xludf.DUMMYFUNCTION("""COMPUTED_VALUE"""),36.33853832562848)</f>
        <v>36.33853833</v>
      </c>
      <c r="H414" s="31">
        <f>IFERROR(__xludf.DUMMYFUNCTION("""COMPUTED_VALUE"""),-3.420260217242275)</f>
        <v>-3.420260217</v>
      </c>
      <c r="I414" s="54">
        <f>IFERROR(__xludf.DUMMYFUNCTION("""COMPUTED_VALUE"""),4.0)</f>
        <v>4</v>
      </c>
      <c r="J414" s="55">
        <f>IFERROR(__xludf.DUMMYFUNCTION("""COMPUTED_VALUE"""),3.0)</f>
        <v>3</v>
      </c>
      <c r="K414" s="54">
        <f>IFERROR(__xludf.DUMMYFUNCTION("""COMPUTED_VALUE"""),1.0)</f>
        <v>1</v>
      </c>
      <c r="L414" s="56">
        <f>IFERROR(__xludf.DUMMYFUNCTION("""COMPUTED_VALUE"""),0.75)</f>
        <v>0.75</v>
      </c>
      <c r="M414" s="56">
        <f>IFERROR(__xludf.DUMMYFUNCTION("""COMPUTED_VALUE"""),0.25)</f>
        <v>0.25</v>
      </c>
      <c r="N414" s="31">
        <f>IFERROR(__xludf.DUMMYFUNCTION("""COMPUTED_VALUE"""),350.75)</f>
        <v>350.75</v>
      </c>
      <c r="O414" s="57">
        <f>IFERROR(__xludf.DUMMYFUNCTION("""COMPUTED_VALUE"""),0.5)</f>
        <v>0.5</v>
      </c>
      <c r="P414" s="57">
        <f>IFERROR(__xludf.DUMMYFUNCTION("""COMPUTED_VALUE"""),0.75)</f>
        <v>0.75</v>
      </c>
      <c r="Q414" s="57">
        <f>IFERROR(__xludf.DUMMYFUNCTION("""COMPUTED_VALUE"""),2.0)</f>
        <v>2</v>
      </c>
      <c r="R414" s="57">
        <f>IFERROR(__xludf.DUMMYFUNCTION("""COMPUTED_VALUE"""),2.0)</f>
        <v>2</v>
      </c>
      <c r="S414" s="31">
        <f>IFERROR(__xludf.DUMMYFUNCTION("""COMPUTED_VALUE"""),358.5)</f>
        <v>358.5</v>
      </c>
      <c r="T414" s="57">
        <f>IFERROR(__xludf.DUMMYFUNCTION("""COMPUTED_VALUE"""),0.8333333333333333)</f>
        <v>0.8333333333</v>
      </c>
      <c r="U414" s="57">
        <f>IFERROR(__xludf.DUMMYFUNCTION("""COMPUTED_VALUE"""),0.6666666666666666)</f>
        <v>0.6666666667</v>
      </c>
      <c r="V414" s="57">
        <f>IFERROR(__xludf.DUMMYFUNCTION("""COMPUTED_VALUE"""),1.0833333333333333)</f>
        <v>1.083333333</v>
      </c>
      <c r="W414" s="57">
        <f>IFERROR(__xludf.DUMMYFUNCTION("""COMPUTED_VALUE"""),3.0)</f>
        <v>3</v>
      </c>
      <c r="X414" s="31">
        <f>IFERROR(__xludf.DUMMYFUNCTION("""COMPUTED_VALUE"""),384.62987012987014)</f>
        <v>384.6298701</v>
      </c>
      <c r="Y414" s="57">
        <f>IFERROR(__xludf.DUMMYFUNCTION("""COMPUTED_VALUE"""),0.8975468975468975)</f>
        <v>0.8975468975</v>
      </c>
      <c r="Z414" s="57">
        <f>IFERROR(__xludf.DUMMYFUNCTION("""COMPUTED_VALUE"""),0.5916305916305916)</f>
        <v>0.5916305916</v>
      </c>
      <c r="AA414" s="57">
        <f>IFERROR(__xludf.DUMMYFUNCTION("""COMPUTED_VALUE"""),1.4545454545454544)</f>
        <v>1.454545455</v>
      </c>
      <c r="AB414" s="57">
        <f>IFERROR(__xludf.DUMMYFUNCTION("""COMPUTED_VALUE"""),2.9184704184704184)</f>
        <v>2.918470418</v>
      </c>
      <c r="AC414" s="31">
        <f>IFERROR(__xludf.DUMMYFUNCTION("""COMPUTED_VALUE"""),369.2811447811448)</f>
        <v>369.2811448</v>
      </c>
      <c r="AD414" s="57">
        <f>IFERROR(__xludf.DUMMYFUNCTION("""COMPUTED_VALUE"""),0.9776334776334776)</f>
        <v>0.9776334776</v>
      </c>
      <c r="AE414" s="57">
        <f>IFERROR(__xludf.DUMMYFUNCTION("""COMPUTED_VALUE"""),0.689033189033189)</f>
        <v>0.689033189</v>
      </c>
      <c r="AF414" s="57">
        <f>IFERROR(__xludf.DUMMYFUNCTION("""COMPUTED_VALUE"""),1.3011063011063009)</f>
        <v>1.301106301</v>
      </c>
      <c r="AG414" s="57">
        <f>IFERROR(__xludf.DUMMYFUNCTION("""COMPUTED_VALUE"""),2.5735930735930737)</f>
        <v>2.573593074</v>
      </c>
      <c r="AH414" s="57">
        <f>IFERROR(__xludf.DUMMYFUNCTION("""COMPUTED_VALUE"""),0.9498183293595255)</f>
        <v>0.9498183294</v>
      </c>
      <c r="AI414" s="57">
        <f>IFERROR(__xludf.DUMMYFUNCTION("""COMPUTED_VALUE"""),0.5114391143911439)</f>
        <v>0.5114391144</v>
      </c>
      <c r="AJ414" s="57">
        <f>IFERROR(__xludf.DUMMYFUNCTION("""COMPUTED_VALUE"""),1.0884816753926703)</f>
        <v>1.088481675</v>
      </c>
      <c r="AK414" s="57">
        <f>IFERROR(__xludf.DUMMYFUNCTION("""COMPUTED_VALUE"""),1.5371534195933458)</f>
        <v>1.53715342</v>
      </c>
      <c r="AL414" s="57">
        <f>IFERROR(__xludf.DUMMYFUNCTION("""COMPUTED_VALUE"""),0.7771236333052985)</f>
        <v>0.7771236333</v>
      </c>
      <c r="AM414" s="57">
        <f>IFERROR(__xludf.DUMMYFUNCTION("""COMPUTED_VALUE"""),0.9320648962571539)</f>
        <v>0.9320648963</v>
      </c>
      <c r="AN414" s="57">
        <f>IFERROR(__xludf.DUMMYFUNCTION("""COMPUTED_VALUE"""),0.9284565916398713)</f>
        <v>0.9284565916</v>
      </c>
      <c r="AO414" s="57">
        <f>IFERROR(__xludf.DUMMYFUNCTION("""COMPUTED_VALUE"""),1.1268292682926828)</f>
        <v>1.126829268</v>
      </c>
      <c r="AP414" s="35">
        <f>IFERROR(__xludf.DUMMYFUNCTION("""COMPUTED_VALUE"""),0.7447916666666667)</f>
        <v>0.7447916667</v>
      </c>
      <c r="AQ414" s="57">
        <f>IFERROR(__xludf.DUMMYFUNCTION("""COMPUTED_VALUE"""),1.0279357231149568)</f>
        <v>1.027935723</v>
      </c>
      <c r="AR414" s="36" t="b">
        <f>IFERROR(__xludf.DUMMYFUNCTION("""COMPUTED_VALUE"""),TRUE)</f>
        <v>1</v>
      </c>
      <c r="AS414" s="57"/>
      <c r="AT414" s="37"/>
      <c r="AU414" s="30"/>
      <c r="AV414" s="30"/>
      <c r="AW414" s="30"/>
      <c r="AX414" s="30"/>
      <c r="AY414" s="30"/>
      <c r="AZ414" s="30"/>
    </row>
    <row r="415">
      <c r="A415" s="30" t="str">
        <f>IFERROR(__xludf.DUMMYFUNCTION("""COMPUTED_VALUE"""),"Master")</f>
        <v>Master</v>
      </c>
      <c r="B415" s="30" t="str">
        <f>IFERROR(__xludf.DUMMYFUNCTION("""COMPUTED_VALUE"""),"RSC006087")</f>
        <v>RSC006087</v>
      </c>
      <c r="C415" s="30" t="str">
        <f>IFERROR(__xludf.DUMMYFUNCTION("""COMPUTED_VALUE"""),"DoorTK")</f>
        <v>DoorTK</v>
      </c>
      <c r="D415" s="31" t="str">
        <f>IFERROR(__xludf.DUMMYFUNCTION("""COMPUTED_VALUE"""),"Lemurs")</f>
        <v>Lemurs</v>
      </c>
      <c r="E415" s="31">
        <f>IFERROR(__xludf.DUMMYFUNCTION("""COMPUTED_VALUE"""),34.42809182294448)</f>
        <v>34.42809182</v>
      </c>
      <c r="F415" s="31">
        <f>IFERROR(__xludf.DUMMYFUNCTION("""COMPUTED_VALUE"""),-3.749771763704481)</f>
        <v>-3.749771764</v>
      </c>
      <c r="G415" s="31">
        <f>IFERROR(__xludf.DUMMYFUNCTION("""COMPUTED_VALUE"""),30.113331172232407)</f>
        <v>30.11333117</v>
      </c>
      <c r="H415" s="31">
        <f>IFERROR(__xludf.DUMMYFUNCTION("""COMPUTED_VALUE"""),-4.691069135726255)</f>
        <v>-4.691069136</v>
      </c>
      <c r="I415" s="54">
        <f>IFERROR(__xludf.DUMMYFUNCTION("""COMPUTED_VALUE"""),26.0)</f>
        <v>26</v>
      </c>
      <c r="J415" s="55">
        <f>IFERROR(__xludf.DUMMYFUNCTION("""COMPUTED_VALUE"""),14.0)</f>
        <v>14</v>
      </c>
      <c r="K415" s="54">
        <f>IFERROR(__xludf.DUMMYFUNCTION("""COMPUTED_VALUE"""),12.0)</f>
        <v>12</v>
      </c>
      <c r="L415" s="56">
        <f>IFERROR(__xludf.DUMMYFUNCTION("""COMPUTED_VALUE"""),0.5384615384615384)</f>
        <v>0.5384615385</v>
      </c>
      <c r="M415" s="56">
        <f>IFERROR(__xludf.DUMMYFUNCTION("""COMPUTED_VALUE"""),0.2698412698412699)</f>
        <v>0.2698412698</v>
      </c>
      <c r="N415" s="31">
        <f>IFERROR(__xludf.DUMMYFUNCTION("""COMPUTED_VALUE"""),323.84615384615387)</f>
        <v>323.8461538</v>
      </c>
      <c r="O415" s="57">
        <f>IFERROR(__xludf.DUMMYFUNCTION("""COMPUTED_VALUE"""),0.6538461538461539)</f>
        <v>0.6538461538</v>
      </c>
      <c r="P415" s="57">
        <f>IFERROR(__xludf.DUMMYFUNCTION("""COMPUTED_VALUE"""),0.5769230769230769)</f>
        <v>0.5769230769</v>
      </c>
      <c r="Q415" s="57">
        <f>IFERROR(__xludf.DUMMYFUNCTION("""COMPUTED_VALUE"""),1.4230769230769231)</f>
        <v>1.423076923</v>
      </c>
      <c r="R415" s="57">
        <f>IFERROR(__xludf.DUMMYFUNCTION("""COMPUTED_VALUE"""),2.423076923076923)</f>
        <v>2.423076923</v>
      </c>
      <c r="S415" s="31">
        <f>IFERROR(__xludf.DUMMYFUNCTION("""COMPUTED_VALUE"""),381.6533333333333)</f>
        <v>381.6533333</v>
      </c>
      <c r="T415" s="57">
        <f>IFERROR(__xludf.DUMMYFUNCTION("""COMPUTED_VALUE"""),0.9066666666666666)</f>
        <v>0.9066666667</v>
      </c>
      <c r="U415" s="57">
        <f>IFERROR(__xludf.DUMMYFUNCTION("""COMPUTED_VALUE"""),0.6666666666666667)</f>
        <v>0.6666666667</v>
      </c>
      <c r="V415" s="57">
        <f>IFERROR(__xludf.DUMMYFUNCTION("""COMPUTED_VALUE"""),1.4)</f>
        <v>1.4</v>
      </c>
      <c r="W415" s="57">
        <f>IFERROR(__xludf.DUMMYFUNCTION("""COMPUTED_VALUE"""),2.733333333333333)</f>
        <v>2.733333333</v>
      </c>
      <c r="X415" s="31">
        <f>IFERROR(__xludf.DUMMYFUNCTION("""COMPUTED_VALUE"""),382.15151618321653)</f>
        <v>382.1515162</v>
      </c>
      <c r="Y415" s="57">
        <f>IFERROR(__xludf.DUMMYFUNCTION("""COMPUTED_VALUE"""),0.8613225928234286)</f>
        <v>0.8613225928</v>
      </c>
      <c r="Z415" s="57">
        <f>IFERROR(__xludf.DUMMYFUNCTION("""COMPUTED_VALUE"""),0.6690941983694678)</f>
        <v>0.6690941984</v>
      </c>
      <c r="AA415" s="57">
        <f>IFERROR(__xludf.DUMMYFUNCTION("""COMPUTED_VALUE"""),1.4702570241680686)</f>
        <v>1.470257024</v>
      </c>
      <c r="AB415" s="57">
        <f>IFERROR(__xludf.DUMMYFUNCTION("""COMPUTED_VALUE"""),2.772799059569276)</f>
        <v>2.77279906</v>
      </c>
      <c r="AC415" s="31">
        <f>IFERROR(__xludf.DUMMYFUNCTION("""COMPUTED_VALUE"""),384.84384124764836)</f>
        <v>384.8438412</v>
      </c>
      <c r="AD415" s="57">
        <f>IFERROR(__xludf.DUMMYFUNCTION("""COMPUTED_VALUE"""),0.8818432938304298)</f>
        <v>0.8818432938</v>
      </c>
      <c r="AE415" s="57">
        <f>IFERROR(__xludf.DUMMYFUNCTION("""COMPUTED_VALUE"""),0.6587910669692161)</f>
        <v>0.658791067</v>
      </c>
      <c r="AF415" s="57">
        <f>IFERROR(__xludf.DUMMYFUNCTION("""COMPUTED_VALUE"""),1.4796379355652447)</f>
        <v>1.479637936</v>
      </c>
      <c r="AG415" s="57">
        <f>IFERROR(__xludf.DUMMYFUNCTION("""COMPUTED_VALUE"""),2.8104707796092994)</f>
        <v>2.81047078</v>
      </c>
      <c r="AH415" s="57">
        <f>IFERROR(__xludf.DUMMYFUNCTION("""COMPUTED_VALUE"""),0.8415001596394465)</f>
        <v>0.8415001596</v>
      </c>
      <c r="AI415" s="57">
        <f>IFERROR(__xludf.DUMMYFUNCTION("""COMPUTED_VALUE"""),0.7414539050425464)</f>
        <v>0.741453905</v>
      </c>
      <c r="AJ415" s="57">
        <f>IFERROR(__xludf.DUMMYFUNCTION("""COMPUTED_VALUE"""),0.8757299633360621)</f>
        <v>0.8757299633</v>
      </c>
      <c r="AK415" s="57">
        <f>IFERROR(__xludf.DUMMYFUNCTION("""COMPUTED_VALUE"""),0.9617737480712034)</f>
        <v>0.9617737481</v>
      </c>
      <c r="AL415" s="57">
        <f>IFERROR(__xludf.DUMMYFUNCTION("""COMPUTED_VALUE"""),0.8621605108499899)</f>
        <v>0.8621605108</v>
      </c>
      <c r="AM415" s="57">
        <f>IFERROR(__xludf.DUMMYFUNCTION("""COMPUTED_VALUE"""),0.9986963734833271)</f>
        <v>0.9986963735</v>
      </c>
      <c r="AN415" s="57">
        <f>IFERROR(__xludf.DUMMYFUNCTION("""COMPUTED_VALUE"""),1.052644705039722)</f>
        <v>1.052644705</v>
      </c>
      <c r="AO415" s="57">
        <f>IFERROR(__xludf.DUMMYFUNCTION("""COMPUTED_VALUE"""),0.9963719133887026)</f>
        <v>0.9963719134</v>
      </c>
      <c r="AP415" s="35">
        <f>IFERROR(__xludf.DUMMYFUNCTION("""COMPUTED_VALUE"""),0.9522144611362608)</f>
        <v>0.9522144611</v>
      </c>
      <c r="AQ415" s="57">
        <f>IFERROR(__xludf.DUMMYFUNCTION("""COMPUTED_VALUE"""),0.9857668278919304)</f>
        <v>0.9857668279</v>
      </c>
      <c r="AR415" s="36" t="b">
        <f>IFERROR(__xludf.DUMMYFUNCTION("""COMPUTED_VALUE"""),TRUE)</f>
        <v>1</v>
      </c>
      <c r="AS415" s="57"/>
      <c r="AT415" s="37"/>
      <c r="AU415" s="30"/>
      <c r="AV415" s="30"/>
      <c r="AW415" s="30"/>
      <c r="AX415" s="30"/>
      <c r="AY415" s="30"/>
      <c r="AZ415" s="30"/>
    </row>
    <row r="416">
      <c r="A416" s="30" t="str">
        <f>IFERROR(__xludf.DUMMYFUNCTION("""COMPUTED_VALUE"""),"Master")</f>
        <v>Master</v>
      </c>
      <c r="B416" s="30" t="str">
        <f>IFERROR(__xludf.DUMMYFUNCTION("""COMPUTED_VALUE"""),"RSC005385")</f>
        <v>RSC005385</v>
      </c>
      <c r="C416" s="30" t="str">
        <f>IFERROR(__xludf.DUMMYFUNCTION("""COMPUTED_VALUE"""),"Girth")</f>
        <v>Girth</v>
      </c>
      <c r="D416" s="31" t="str">
        <f>IFERROR(__xludf.DUMMYFUNCTION("""COMPUTED_VALUE"""),"Plinko")</f>
        <v>Plinko</v>
      </c>
      <c r="E416" s="31">
        <f>IFERROR(__xludf.DUMMYFUNCTION("""COMPUTED_VALUE"""),33.19553580346802)</f>
        <v>33.1955358</v>
      </c>
      <c r="F416" s="31">
        <f>IFERROR(__xludf.DUMMYFUNCTION("""COMPUTED_VALUE"""),-3.9882742870778722)</f>
        <v>-3.988274287</v>
      </c>
      <c r="G416" s="31">
        <f>IFERROR(__xludf.DUMMYFUNCTION("""COMPUTED_VALUE"""),31.057386881445197)</f>
        <v>31.05738688</v>
      </c>
      <c r="H416" s="31">
        <f>IFERROR(__xludf.DUMMYFUNCTION("""COMPUTED_VALUE"""),-4.4580375989173096)</f>
        <v>-4.458037599</v>
      </c>
      <c r="I416" s="54">
        <f>IFERROR(__xludf.DUMMYFUNCTION("""COMPUTED_VALUE"""),23.0)</f>
        <v>23</v>
      </c>
      <c r="J416" s="55">
        <f>IFERROR(__xludf.DUMMYFUNCTION("""COMPUTED_VALUE"""),8.0)</f>
        <v>8</v>
      </c>
      <c r="K416" s="54">
        <f>IFERROR(__xludf.DUMMYFUNCTION("""COMPUTED_VALUE"""),15.0)</f>
        <v>15</v>
      </c>
      <c r="L416" s="56">
        <f>IFERROR(__xludf.DUMMYFUNCTION("""COMPUTED_VALUE"""),0.34782608695652173)</f>
        <v>0.347826087</v>
      </c>
      <c r="M416" s="56">
        <f>IFERROR(__xludf.DUMMYFUNCTION("""COMPUTED_VALUE"""),0.3018867924528302)</f>
        <v>0.3018867925</v>
      </c>
      <c r="N416" s="31">
        <f>IFERROR(__xludf.DUMMYFUNCTION("""COMPUTED_VALUE"""),335.4782608695652)</f>
        <v>335.4782609</v>
      </c>
      <c r="O416" s="57">
        <f>IFERROR(__xludf.DUMMYFUNCTION("""COMPUTED_VALUE"""),0.6956521739130435)</f>
        <v>0.6956521739</v>
      </c>
      <c r="P416" s="57">
        <f>IFERROR(__xludf.DUMMYFUNCTION("""COMPUTED_VALUE"""),0.5652173913043478)</f>
        <v>0.5652173913</v>
      </c>
      <c r="Q416" s="57">
        <f>IFERROR(__xludf.DUMMYFUNCTION("""COMPUTED_VALUE"""),1.2173913043478262)</f>
        <v>1.217391304</v>
      </c>
      <c r="R416" s="57">
        <f>IFERROR(__xludf.DUMMYFUNCTION("""COMPUTED_VALUE"""),2.3043478260869565)</f>
        <v>2.304347826</v>
      </c>
      <c r="S416" s="31">
        <f>IFERROR(__xludf.DUMMYFUNCTION("""COMPUTED_VALUE"""),388.7391304347827)</f>
        <v>388.7391304</v>
      </c>
      <c r="T416" s="57">
        <f>IFERROR(__xludf.DUMMYFUNCTION("""COMPUTED_VALUE"""),0.9999999999999999)</f>
        <v>1</v>
      </c>
      <c r="U416" s="57">
        <f>IFERROR(__xludf.DUMMYFUNCTION("""COMPUTED_VALUE"""),0.7971014492753624)</f>
        <v>0.7971014493</v>
      </c>
      <c r="V416" s="57">
        <f>IFERROR(__xludf.DUMMYFUNCTION("""COMPUTED_VALUE"""),1.2463768115942029)</f>
        <v>1.246376812</v>
      </c>
      <c r="W416" s="57">
        <f>IFERROR(__xludf.DUMMYFUNCTION("""COMPUTED_VALUE"""),3.144927536231884)</f>
        <v>3.144927536</v>
      </c>
      <c r="X416" s="31">
        <f>IFERROR(__xludf.DUMMYFUNCTION("""COMPUTED_VALUE"""),396.45921960823654)</f>
        <v>396.4592196</v>
      </c>
      <c r="Y416" s="57">
        <f>IFERROR(__xludf.DUMMYFUNCTION("""COMPUTED_VALUE"""),0.9148597388091144)</f>
        <v>0.9148597388</v>
      </c>
      <c r="Z416" s="57">
        <f>IFERROR(__xludf.DUMMYFUNCTION("""COMPUTED_VALUE"""),0.7096370294630288)</f>
        <v>0.7096370295</v>
      </c>
      <c r="AA416" s="57">
        <f>IFERROR(__xludf.DUMMYFUNCTION("""COMPUTED_VALUE"""),1.4940886960030209)</f>
        <v>1.494088696</v>
      </c>
      <c r="AB416" s="57">
        <f>IFERROR(__xludf.DUMMYFUNCTION("""COMPUTED_VALUE"""),2.9567578183247947)</f>
        <v>2.956757818</v>
      </c>
      <c r="AC416" s="31">
        <f>IFERROR(__xludf.DUMMYFUNCTION("""COMPUTED_VALUE"""),390.6364371536302)</f>
        <v>390.6364372</v>
      </c>
      <c r="AD416" s="57">
        <f>IFERROR(__xludf.DUMMYFUNCTION("""COMPUTED_VALUE"""),0.8867112509378493)</f>
        <v>0.8867112509</v>
      </c>
      <c r="AE416" s="57">
        <f>IFERROR(__xludf.DUMMYFUNCTION("""COMPUTED_VALUE"""),0.6854818681568727)</f>
        <v>0.6854818682</v>
      </c>
      <c r="AF416" s="57">
        <f>IFERROR(__xludf.DUMMYFUNCTION("""COMPUTED_VALUE"""),1.5157610169078146)</f>
        <v>1.515761017</v>
      </c>
      <c r="AG416" s="57">
        <f>IFERROR(__xludf.DUMMYFUNCTION("""COMPUTED_VALUE"""),2.8345909105877296)</f>
        <v>2.834590911</v>
      </c>
      <c r="AH416" s="57">
        <f>IFERROR(__xludf.DUMMYFUNCTION("""COMPUTED_VALUE"""),0.8587992029469276)</f>
        <v>0.8587992029</v>
      </c>
      <c r="AI416" s="57">
        <f>IFERROR(__xludf.DUMMYFUNCTION("""COMPUTED_VALUE"""),0.7845306723888661)</f>
        <v>0.7845306724</v>
      </c>
      <c r="AJ416" s="57">
        <f>IFERROR(__xludf.DUMMYFUNCTION("""COMPUTED_VALUE"""),0.8245548388086578)</f>
        <v>0.8245548388</v>
      </c>
      <c r="AK416" s="57">
        <f>IFERROR(__xludf.DUMMYFUNCTION("""COMPUTED_VALUE"""),0.8031551747064526)</f>
        <v>0.8031551747</v>
      </c>
      <c r="AL416" s="57">
        <f>IFERROR(__xludf.DUMMYFUNCTION("""COMPUTED_VALUE"""),0.8129384093767409)</f>
        <v>0.8129384094</v>
      </c>
      <c r="AM416" s="57">
        <f>IFERROR(__xludf.DUMMYFUNCTION("""COMPUTED_VALUE"""),0.9805274066243622)</f>
        <v>0.9805274066</v>
      </c>
      <c r="AN416" s="57">
        <f>IFERROR(__xludf.DUMMYFUNCTION("""COMPUTED_VALUE"""),1.0930637316073322)</f>
        <v>1.093063732</v>
      </c>
      <c r="AO416" s="57">
        <f>IFERROR(__xludf.DUMMYFUNCTION("""COMPUTED_VALUE"""),1.1232523334901459)</f>
        <v>1.123252333</v>
      </c>
      <c r="AP416" s="35">
        <f>IFERROR(__xludf.DUMMYFUNCTION("""COMPUTED_VALUE"""),0.8342053687498636)</f>
        <v>0.8342053687</v>
      </c>
      <c r="AQ416" s="57">
        <f>IFERROR(__xludf.DUMMYFUNCTION("""COMPUTED_VALUE"""),1.063640558161676)</f>
        <v>1.063640558</v>
      </c>
      <c r="AR416" s="36" t="b">
        <f>IFERROR(__xludf.DUMMYFUNCTION("""COMPUTED_VALUE"""),TRUE)</f>
        <v>1</v>
      </c>
      <c r="AS416" s="57"/>
      <c r="AT416" s="37"/>
      <c r="AU416" s="30"/>
      <c r="AV416" s="30"/>
      <c r="AW416" s="30"/>
      <c r="AX416" s="30"/>
      <c r="AY416" s="30"/>
      <c r="AZ416" s="30"/>
    </row>
    <row r="417">
      <c r="A417" s="30" t="str">
        <f>IFERROR(__xludf.DUMMYFUNCTION("""COMPUTED_VALUE"""),"Master")</f>
        <v>Master</v>
      </c>
      <c r="B417" s="30" t="str">
        <f>IFERROR(__xludf.DUMMYFUNCTION("""COMPUTED_VALUE"""),"RSC007853")</f>
        <v>RSC007853</v>
      </c>
      <c r="C417" s="30" t="str">
        <f>IFERROR(__xludf.DUMMYFUNCTION("""COMPUTED_VALUE"""),"jun1o4.")</f>
        <v>jun1o4.</v>
      </c>
      <c r="D417" s="31"/>
      <c r="E417" s="31">
        <f>IFERROR(__xludf.DUMMYFUNCTION("""COMPUTED_VALUE"""),29.949250813941177)</f>
        <v>29.94925081</v>
      </c>
      <c r="F417" s="31">
        <f>IFERROR(__xludf.DUMMYFUNCTION("""COMPUTED_VALUE"""),-4.7333287141054505)</f>
        <v>-4.733328714</v>
      </c>
      <c r="G417" s="31">
        <f>IFERROR(__xludf.DUMMYFUNCTION("""COMPUTED_VALUE"""),-4.663634808904781)</f>
        <v>-4.663634809</v>
      </c>
      <c r="H417" s="31">
        <f>IFERROR(__xludf.DUMMYFUNCTION("""COMPUTED_VALUE"""),-69.50302120620901)</f>
        <v>-69.50302121</v>
      </c>
      <c r="I417" s="54">
        <f>IFERROR(__xludf.DUMMYFUNCTION("""COMPUTED_VALUE"""),1.0)</f>
        <v>1</v>
      </c>
      <c r="J417" s="55">
        <f>IFERROR(__xludf.DUMMYFUNCTION("""COMPUTED_VALUE"""),0.0)</f>
        <v>0</v>
      </c>
      <c r="K417" s="54">
        <f>IFERROR(__xludf.DUMMYFUNCTION("""COMPUTED_VALUE"""),1.0)</f>
        <v>1</v>
      </c>
      <c r="L417" s="56">
        <f>IFERROR(__xludf.DUMMYFUNCTION("""COMPUTED_VALUE"""),0.0)</f>
        <v>0</v>
      </c>
      <c r="M417" s="56">
        <f>IFERROR(__xludf.DUMMYFUNCTION("""COMPUTED_VALUE"""),0.0)</f>
        <v>0</v>
      </c>
      <c r="N417" s="31">
        <f>IFERROR(__xludf.DUMMYFUNCTION("""COMPUTED_VALUE"""),314.0)</f>
        <v>314</v>
      </c>
      <c r="O417" s="57">
        <f>IFERROR(__xludf.DUMMYFUNCTION("""COMPUTED_VALUE"""),0.0)</f>
        <v>0</v>
      </c>
      <c r="P417" s="57">
        <f>IFERROR(__xludf.DUMMYFUNCTION("""COMPUTED_VALUE"""),1.0)</f>
        <v>1</v>
      </c>
      <c r="Q417" s="57">
        <f>IFERROR(__xludf.DUMMYFUNCTION("""COMPUTED_VALUE"""),1.0)</f>
        <v>1</v>
      </c>
      <c r="R417" s="57">
        <f>IFERROR(__xludf.DUMMYFUNCTION("""COMPUTED_VALUE"""),3.0)</f>
        <v>3</v>
      </c>
      <c r="S417" s="31">
        <f>IFERROR(__xludf.DUMMYFUNCTION("""COMPUTED_VALUE"""),589.0)</f>
        <v>589</v>
      </c>
      <c r="T417" s="57">
        <f>IFERROR(__xludf.DUMMYFUNCTION("""COMPUTED_VALUE"""),1.0)</f>
        <v>1</v>
      </c>
      <c r="U417" s="57">
        <f>IFERROR(__xludf.DUMMYFUNCTION("""COMPUTED_VALUE"""),0.6666666666666666)</f>
        <v>0.6666666667</v>
      </c>
      <c r="V417" s="57">
        <f>IFERROR(__xludf.DUMMYFUNCTION("""COMPUTED_VALUE"""),2.6666666666666665)</f>
        <v>2.666666667</v>
      </c>
      <c r="W417" s="57">
        <f>IFERROR(__xludf.DUMMYFUNCTION("""COMPUTED_VALUE"""),3.6666666666666665)</f>
        <v>3.666666667</v>
      </c>
      <c r="X417" s="31">
        <f>IFERROR(__xludf.DUMMYFUNCTION("""COMPUTED_VALUE"""),425.8459595959596)</f>
        <v>425.8459596</v>
      </c>
      <c r="Y417" s="57">
        <f>IFERROR(__xludf.DUMMYFUNCTION("""COMPUTED_VALUE"""),0.9908459595959597)</f>
        <v>0.9908459596</v>
      </c>
      <c r="Z417" s="57">
        <f>IFERROR(__xludf.DUMMYFUNCTION("""COMPUTED_VALUE"""),0.7279040404040403)</f>
        <v>0.7279040404</v>
      </c>
      <c r="AA417" s="57">
        <f>IFERROR(__xludf.DUMMYFUNCTION("""COMPUTED_VALUE"""),1.4870580808080807)</f>
        <v>1.487058081</v>
      </c>
      <c r="AB417" s="57">
        <f>IFERROR(__xludf.DUMMYFUNCTION("""COMPUTED_VALUE"""),3.5561868686868685)</f>
        <v>3.556186869</v>
      </c>
      <c r="AC417" s="31">
        <f>IFERROR(__xludf.DUMMYFUNCTION("""COMPUTED_VALUE"""),394.18876262626253)</f>
        <v>394.1887626</v>
      </c>
      <c r="AD417" s="57">
        <f>IFERROR(__xludf.DUMMYFUNCTION("""COMPUTED_VALUE"""),0.8010311447811448)</f>
        <v>0.8010311448</v>
      </c>
      <c r="AE417" s="57">
        <f>IFERROR(__xludf.DUMMYFUNCTION("""COMPUTED_VALUE"""),0.6175294612794613)</f>
        <v>0.6175294613</v>
      </c>
      <c r="AF417" s="57">
        <f>IFERROR(__xludf.DUMMYFUNCTION("""COMPUTED_VALUE"""),1.692024410774411)</f>
        <v>1.692024411</v>
      </c>
      <c r="AG417" s="57">
        <f>IFERROR(__xludf.DUMMYFUNCTION("""COMPUTED_VALUE"""),2.690867003367003)</f>
        <v>2.690867003</v>
      </c>
      <c r="AH417" s="57">
        <f>IFERROR(__xludf.DUMMYFUNCTION("""COMPUTED_VALUE"""),0.7965726823565213)</f>
        <v>0.7965726824</v>
      </c>
      <c r="AI417" s="57">
        <f>IFERROR(__xludf.DUMMYFUNCTION("""COMPUTED_VALUE"""),0.0)</f>
        <v>0</v>
      </c>
      <c r="AJ417" s="57">
        <f>IFERROR(__xludf.DUMMYFUNCTION("""COMPUTED_VALUE"""),1.6193559379792128)</f>
        <v>1.619355938</v>
      </c>
      <c r="AK417" s="57">
        <f>IFERROR(__xludf.DUMMYFUNCTION("""COMPUTED_VALUE"""),0.591008021889186)</f>
        <v>0.5910080219</v>
      </c>
      <c r="AL417" s="57">
        <f>IFERROR(__xludf.DUMMYFUNCTION("""COMPUTED_VALUE"""),1.1148823023383125)</f>
        <v>1.114882302</v>
      </c>
      <c r="AM417" s="57">
        <f>IFERROR(__xludf.DUMMYFUNCTION("""COMPUTED_VALUE"""),1.3831292436326978)</f>
        <v>1.383129244</v>
      </c>
      <c r="AN417" s="57">
        <f>IFERROR(__xludf.DUMMYFUNCTION("""COMPUTED_VALUE"""),1.0092386110226186)</f>
        <v>1.009238611</v>
      </c>
      <c r="AO417" s="57">
        <f>IFERROR(__xludf.DUMMYFUNCTION("""COMPUTED_VALUE"""),0.9158716392020816)</f>
        <v>0.9158716392</v>
      </c>
      <c r="AP417" s="35">
        <f>IFERROR(__xludf.DUMMYFUNCTION("""COMPUTED_VALUE"""),1.793249840798132)</f>
        <v>1.793249841</v>
      </c>
      <c r="AQ417" s="57">
        <f>IFERROR(__xludf.DUMMYFUNCTION("""COMPUTED_VALUE"""),1.031066927037103)</f>
        <v>1.031066927</v>
      </c>
      <c r="AR417" s="36" t="b">
        <f>IFERROR(__xludf.DUMMYFUNCTION("""COMPUTED_VALUE"""),TRUE)</f>
        <v>1</v>
      </c>
      <c r="AS417" s="57"/>
      <c r="AT417" s="37"/>
      <c r="AU417" s="30"/>
      <c r="AV417" s="30"/>
      <c r="AW417" s="30"/>
      <c r="AX417" s="30"/>
      <c r="AY417" s="30"/>
      <c r="AZ417" s="30"/>
    </row>
    <row r="418">
      <c r="A418" s="30" t="str">
        <f>IFERROR(__xludf.DUMMYFUNCTION("""COMPUTED_VALUE"""),"Master")</f>
        <v>Master</v>
      </c>
      <c r="B418" s="30" t="str">
        <f>IFERROR(__xludf.DUMMYFUNCTION("""COMPUTED_VALUE"""),"RSC002500")</f>
        <v>RSC002500</v>
      </c>
      <c r="C418" s="30" t="str">
        <f>IFERROR(__xludf.DUMMYFUNCTION("""COMPUTED_VALUE"""),"kalten")</f>
        <v>kalten</v>
      </c>
      <c r="D418" s="31" t="str">
        <f>IFERROR(__xludf.DUMMYFUNCTION("""COMPUTED_VALUE"""),"Heinous Henchmen")</f>
        <v>Heinous Henchmen</v>
      </c>
      <c r="E418" s="31">
        <f>IFERROR(__xludf.DUMMYFUNCTION("""COMPUTED_VALUE"""),29.93425032008577)</f>
        <v>29.93425032</v>
      </c>
      <c r="F418" s="31">
        <f>IFERROR(__xludf.DUMMYFUNCTION("""COMPUTED_VALUE"""),-4.737218993652158)</f>
        <v>-4.737218994</v>
      </c>
      <c r="G418" s="31">
        <f>IFERROR(__xludf.DUMMYFUNCTION("""COMPUTED_VALUE"""),24.836322475464108)</f>
        <v>24.83632248</v>
      </c>
      <c r="H418" s="31">
        <f>IFERROR(__xludf.DUMMYFUNCTION("""COMPUTED_VALUE"""),-6.366335506128141)</f>
        <v>-6.366335506</v>
      </c>
      <c r="I418" s="54">
        <f>IFERROR(__xludf.DUMMYFUNCTION("""COMPUTED_VALUE"""),43.0)</f>
        <v>43</v>
      </c>
      <c r="J418" s="55">
        <f>IFERROR(__xludf.DUMMYFUNCTION("""COMPUTED_VALUE"""),14.0)</f>
        <v>14</v>
      </c>
      <c r="K418" s="54">
        <f>IFERROR(__xludf.DUMMYFUNCTION("""COMPUTED_VALUE"""),29.0)</f>
        <v>29</v>
      </c>
      <c r="L418" s="56">
        <f>IFERROR(__xludf.DUMMYFUNCTION("""COMPUTED_VALUE"""),0.32558139534883723)</f>
        <v>0.3255813953</v>
      </c>
      <c r="M418" s="56">
        <f>IFERROR(__xludf.DUMMYFUNCTION("""COMPUTED_VALUE"""),0.25252525252525254)</f>
        <v>0.2525252525</v>
      </c>
      <c r="N418" s="31">
        <f>IFERROR(__xludf.DUMMYFUNCTION("""COMPUTED_VALUE"""),334.83720930232556)</f>
        <v>334.8372093</v>
      </c>
      <c r="O418" s="57">
        <f>IFERROR(__xludf.DUMMYFUNCTION("""COMPUTED_VALUE"""),0.5813953488372093)</f>
        <v>0.5813953488</v>
      </c>
      <c r="P418" s="57">
        <f>IFERROR(__xludf.DUMMYFUNCTION("""COMPUTED_VALUE"""),0.5581395348837209)</f>
        <v>0.5581395349</v>
      </c>
      <c r="Q418" s="57">
        <f>IFERROR(__xludf.DUMMYFUNCTION("""COMPUTED_VALUE"""),1.6046511627906976)</f>
        <v>1.604651163</v>
      </c>
      <c r="R418" s="57">
        <f>IFERROR(__xludf.DUMMYFUNCTION("""COMPUTED_VALUE"""),2.302325581395349)</f>
        <v>2.302325581</v>
      </c>
      <c r="S418" s="31">
        <f>IFERROR(__xludf.DUMMYFUNCTION("""COMPUTED_VALUE"""),391.5813953488372)</f>
        <v>391.5813953</v>
      </c>
      <c r="T418" s="57">
        <f>IFERROR(__xludf.DUMMYFUNCTION("""COMPUTED_VALUE"""),0.9302325581395349)</f>
        <v>0.9302325581</v>
      </c>
      <c r="U418" s="57">
        <f>IFERROR(__xludf.DUMMYFUNCTION("""COMPUTED_VALUE"""),0.6976744186046513)</f>
        <v>0.6976744186</v>
      </c>
      <c r="V418" s="57">
        <f>IFERROR(__xludf.DUMMYFUNCTION("""COMPUTED_VALUE"""),1.4341085271317828)</f>
        <v>1.434108527</v>
      </c>
      <c r="W418" s="57">
        <f>IFERROR(__xludf.DUMMYFUNCTION("""COMPUTED_VALUE"""),3.0387596899224802)</f>
        <v>3.03875969</v>
      </c>
      <c r="X418" s="31">
        <f>IFERROR(__xludf.DUMMYFUNCTION("""COMPUTED_VALUE"""),383.37923773342226)</f>
        <v>383.3792377</v>
      </c>
      <c r="Y418" s="57">
        <f>IFERROR(__xludf.DUMMYFUNCTION("""COMPUTED_VALUE"""),0.8781212086082703)</f>
        <v>0.8781212086</v>
      </c>
      <c r="Z418" s="57">
        <f>IFERROR(__xludf.DUMMYFUNCTION("""COMPUTED_VALUE"""),0.6879516596840031)</f>
        <v>0.6879516597</v>
      </c>
      <c r="AA418" s="57">
        <f>IFERROR(__xludf.DUMMYFUNCTION("""COMPUTED_VALUE"""),1.451025210628764)</f>
        <v>1.451025211</v>
      </c>
      <c r="AB418" s="57">
        <f>IFERROR(__xludf.DUMMYFUNCTION("""COMPUTED_VALUE"""),2.7770389736433803)</f>
        <v>2.777038974</v>
      </c>
      <c r="AC418" s="31">
        <f>IFERROR(__xludf.DUMMYFUNCTION("""COMPUTED_VALUE"""),381.8751469524591)</f>
        <v>381.875147</v>
      </c>
      <c r="AD418" s="57">
        <f>IFERROR(__xludf.DUMMYFUNCTION("""COMPUTED_VALUE"""),0.86613157331354)</f>
        <v>0.8661315733</v>
      </c>
      <c r="AE418" s="57">
        <f>IFERROR(__xludf.DUMMYFUNCTION("""COMPUTED_VALUE"""),0.6602238577350554)</f>
        <v>0.6602238577</v>
      </c>
      <c r="AF418" s="57">
        <f>IFERROR(__xludf.DUMMYFUNCTION("""COMPUTED_VALUE"""),1.455955271483335)</f>
        <v>1.455955271</v>
      </c>
      <c r="AG418" s="57">
        <f>IFERROR(__xludf.DUMMYFUNCTION("""COMPUTED_VALUE"""),2.809570420284507)</f>
        <v>2.80957042</v>
      </c>
      <c r="AH418" s="57">
        <f>IFERROR(__xludf.DUMMYFUNCTION("""COMPUTED_VALUE"""),0.8768237785948677)</f>
        <v>0.8768237786</v>
      </c>
      <c r="AI418" s="57">
        <f>IFERROR(__xludf.DUMMYFUNCTION("""COMPUTED_VALUE"""),0.6712552304414655)</f>
        <v>0.6712552304</v>
      </c>
      <c r="AJ418" s="57">
        <f>IFERROR(__xludf.DUMMYFUNCTION("""COMPUTED_VALUE"""),0.8453792275826839)</f>
        <v>0.8453792276</v>
      </c>
      <c r="AK418" s="57">
        <f>IFERROR(__xludf.DUMMYFUNCTION("""COMPUTED_VALUE"""),1.1021294364049181)</f>
        <v>1.102129436</v>
      </c>
      <c r="AL418" s="57">
        <f>IFERROR(__xludf.DUMMYFUNCTION("""COMPUTED_VALUE"""),0.8194582220730411)</f>
        <v>0.8194582221</v>
      </c>
      <c r="AM418" s="57">
        <f>IFERROR(__xludf.DUMMYFUNCTION("""COMPUTED_VALUE"""),1.0213943709208326)</f>
        <v>1.021394371</v>
      </c>
      <c r="AN418" s="57">
        <f>IFERROR(__xludf.DUMMYFUNCTION("""COMPUTED_VALUE"""),1.0593441418114198)</f>
        <v>1.059344142</v>
      </c>
      <c r="AO418" s="57">
        <f>IFERROR(__xludf.DUMMYFUNCTION("""COMPUTED_VALUE"""),1.0141329100435839)</f>
        <v>1.01413291</v>
      </c>
      <c r="AP418" s="35">
        <f>IFERROR(__xludf.DUMMYFUNCTION("""COMPUTED_VALUE"""),0.9883415647274311)</f>
        <v>0.9883415647</v>
      </c>
      <c r="AQ418" s="57">
        <f>IFERROR(__xludf.DUMMYFUNCTION("""COMPUTED_VALUE"""),1.0942445240283147)</f>
        <v>1.094244524</v>
      </c>
      <c r="AR418" s="36" t="b">
        <f>IFERROR(__xludf.DUMMYFUNCTION("""COMPUTED_VALUE"""),TRUE)</f>
        <v>1</v>
      </c>
      <c r="AS418" s="57"/>
      <c r="AT418" s="37"/>
      <c r="AU418" s="30"/>
      <c r="AV418" s="30"/>
      <c r="AW418" s="30"/>
      <c r="AX418" s="30"/>
      <c r="AY418" s="30"/>
      <c r="AZ418" s="30"/>
    </row>
    <row r="419">
      <c r="A419" s="30" t="str">
        <f>IFERROR(__xludf.DUMMYFUNCTION("""COMPUTED_VALUE"""),"Master")</f>
        <v>Master</v>
      </c>
      <c r="B419" s="30" t="str">
        <f>IFERROR(__xludf.DUMMYFUNCTION("""COMPUTED_VALUE"""),"RSC001903")</f>
        <v>RSC001903</v>
      </c>
      <c r="C419" s="30" t="str">
        <f>IFERROR(__xludf.DUMMYFUNCTION("""COMPUTED_VALUE"""),"Plasma")</f>
        <v>Plasma</v>
      </c>
      <c r="D419" s="31" t="str">
        <f>IFERROR(__xludf.DUMMYFUNCTION("""COMPUTED_VALUE"""),"Spectres")</f>
        <v>Spectres</v>
      </c>
      <c r="E419" s="31">
        <f>IFERROR(__xludf.DUMMYFUNCTION("""COMPUTED_VALUE"""),28.504565531673993)</f>
        <v>28.50456553</v>
      </c>
      <c r="F419" s="31">
        <f>IFERROR(__xludf.DUMMYFUNCTION("""COMPUTED_VALUE"""),-5.129655664407664)</f>
        <v>-5.129655664</v>
      </c>
      <c r="G419" s="31">
        <f>IFERROR(__xludf.DUMMYFUNCTION("""COMPUTED_VALUE"""),18.32271704494391)</f>
        <v>18.32271704</v>
      </c>
      <c r="H419" s="31">
        <f>IFERROR(__xludf.DUMMYFUNCTION("""COMPUTED_VALUE"""),-9.75026454781034)</f>
        <v>-9.750264548</v>
      </c>
      <c r="I419" s="54">
        <f>IFERROR(__xludf.DUMMYFUNCTION("""COMPUTED_VALUE"""),19.0)</f>
        <v>19</v>
      </c>
      <c r="J419" s="55">
        <f>IFERROR(__xludf.DUMMYFUNCTION("""COMPUTED_VALUE"""),4.0)</f>
        <v>4</v>
      </c>
      <c r="K419" s="54">
        <f>IFERROR(__xludf.DUMMYFUNCTION("""COMPUTED_VALUE"""),15.0)</f>
        <v>15</v>
      </c>
      <c r="L419" s="56">
        <f>IFERROR(__xludf.DUMMYFUNCTION("""COMPUTED_VALUE"""),0.21052631578947367)</f>
        <v>0.2105263158</v>
      </c>
      <c r="M419" s="56">
        <f>IFERROR(__xludf.DUMMYFUNCTION("""COMPUTED_VALUE"""),0.3055555555555556)</f>
        <v>0.3055555556</v>
      </c>
      <c r="N419" s="31">
        <f>IFERROR(__xludf.DUMMYFUNCTION("""COMPUTED_VALUE"""),356.7368421052632)</f>
        <v>356.7368421</v>
      </c>
      <c r="O419" s="57">
        <f>IFERROR(__xludf.DUMMYFUNCTION("""COMPUTED_VALUE"""),0.5789473684210527)</f>
        <v>0.5789473684</v>
      </c>
      <c r="P419" s="57">
        <f>IFERROR(__xludf.DUMMYFUNCTION("""COMPUTED_VALUE"""),0.5789473684210527)</f>
        <v>0.5789473684</v>
      </c>
      <c r="Q419" s="57">
        <f>IFERROR(__xludf.DUMMYFUNCTION("""COMPUTED_VALUE"""),1.894736842105263)</f>
        <v>1.894736842</v>
      </c>
      <c r="R419" s="57">
        <f>IFERROR(__xludf.DUMMYFUNCTION("""COMPUTED_VALUE"""),1.894736842105263)</f>
        <v>1.894736842</v>
      </c>
      <c r="S419" s="31">
        <f>IFERROR(__xludf.DUMMYFUNCTION("""COMPUTED_VALUE"""),467.59649122807014)</f>
        <v>467.5964912</v>
      </c>
      <c r="T419" s="57">
        <f>IFERROR(__xludf.DUMMYFUNCTION("""COMPUTED_VALUE"""),1.3333333333333333)</f>
        <v>1.333333333</v>
      </c>
      <c r="U419" s="57">
        <f>IFERROR(__xludf.DUMMYFUNCTION("""COMPUTED_VALUE"""),1.0175438596491226)</f>
        <v>1.01754386</v>
      </c>
      <c r="V419" s="57">
        <f>IFERROR(__xludf.DUMMYFUNCTION("""COMPUTED_VALUE"""),1.5614035087719298)</f>
        <v>1.561403509</v>
      </c>
      <c r="W419" s="57">
        <f>IFERROR(__xludf.DUMMYFUNCTION("""COMPUTED_VALUE"""),3.5438596491228074)</f>
        <v>3.543859649</v>
      </c>
      <c r="X419" s="31">
        <f>IFERROR(__xludf.DUMMYFUNCTION("""COMPUTED_VALUE"""),410.8632893303083)</f>
        <v>410.8632893</v>
      </c>
      <c r="Y419" s="57">
        <f>IFERROR(__xludf.DUMMYFUNCTION("""COMPUTED_VALUE"""),1.0813148046941587)</f>
        <v>1.081314805</v>
      </c>
      <c r="Z419" s="57">
        <f>IFERROR(__xludf.DUMMYFUNCTION("""COMPUTED_VALUE"""),0.7781136684619915)</f>
        <v>0.7781136685</v>
      </c>
      <c r="AA419" s="57">
        <f>IFERROR(__xludf.DUMMYFUNCTION("""COMPUTED_VALUE"""),1.3975839528266296)</f>
        <v>1.397583953</v>
      </c>
      <c r="AB419" s="57">
        <f>IFERROR(__xludf.DUMMYFUNCTION("""COMPUTED_VALUE"""),3.0369469904840045)</f>
        <v>3.03694699</v>
      </c>
      <c r="AC419" s="31">
        <f>IFERROR(__xludf.DUMMYFUNCTION("""COMPUTED_VALUE"""),364.7563562906196)</f>
        <v>364.7563563</v>
      </c>
      <c r="AD419" s="57">
        <f>IFERROR(__xludf.DUMMYFUNCTION("""COMPUTED_VALUE"""),0.7653863443045875)</f>
        <v>0.7653863443</v>
      </c>
      <c r="AE419" s="57">
        <f>IFERROR(__xludf.DUMMYFUNCTION("""COMPUTED_VALUE"""),0.5789864260503835)</f>
        <v>0.5789864261</v>
      </c>
      <c r="AF419" s="57">
        <f>IFERROR(__xludf.DUMMYFUNCTION("""COMPUTED_VALUE"""),1.4533078511088764)</f>
        <v>1.453307851</v>
      </c>
      <c r="AG419" s="57">
        <f>IFERROR(__xludf.DUMMYFUNCTION("""COMPUTED_VALUE"""),2.5658161606305554)</f>
        <v>2.565816161</v>
      </c>
      <c r="AH419" s="57">
        <f>IFERROR(__xludf.DUMMYFUNCTION("""COMPUTED_VALUE"""),0.9780140522651596)</f>
        <v>0.9780140523</v>
      </c>
      <c r="AI419" s="57">
        <f>IFERROR(__xludf.DUMMYFUNCTION("""COMPUTED_VALUE"""),0.7564119385316065)</f>
        <v>0.7564119385</v>
      </c>
      <c r="AJ419" s="57">
        <f>IFERROR(__xludf.DUMMYFUNCTION("""COMPUTED_VALUE"""),0.9999325413730382)</f>
        <v>0.9999325414</v>
      </c>
      <c r="AK419" s="57">
        <f>IFERROR(__xludf.DUMMYFUNCTION("""COMPUTED_VALUE"""),1.3037408699468427)</f>
        <v>1.30374087</v>
      </c>
      <c r="AL419" s="57">
        <f>IFERROR(__xludf.DUMMYFUNCTION("""COMPUTED_VALUE"""),0.7384538577540283)</f>
        <v>0.7384538578</v>
      </c>
      <c r="AM419" s="57">
        <f>IFERROR(__xludf.DUMMYFUNCTION("""COMPUTED_VALUE"""),1.1380829180193608)</f>
        <v>1.138082918</v>
      </c>
      <c r="AN419" s="57">
        <f>IFERROR(__xludf.DUMMYFUNCTION("""COMPUTED_VALUE"""),1.2330667512782791)</f>
        <v>1.233066751</v>
      </c>
      <c r="AO419" s="57">
        <f>IFERROR(__xludf.DUMMYFUNCTION("""COMPUTED_VALUE"""),1.3077059315258983)</f>
        <v>1.307705932</v>
      </c>
      <c r="AP419" s="35">
        <f>IFERROR(__xludf.DUMMYFUNCTION("""COMPUTED_VALUE"""),1.117216254246461)</f>
        <v>1.117216254</v>
      </c>
      <c r="AQ419" s="57">
        <f>IFERROR(__xludf.DUMMYFUNCTION("""COMPUTED_VALUE"""),1.1669152145978074)</f>
        <v>1.166915215</v>
      </c>
      <c r="AR419" s="36" t="b">
        <f>IFERROR(__xludf.DUMMYFUNCTION("""COMPUTED_VALUE"""),TRUE)</f>
        <v>1</v>
      </c>
      <c r="AS419" s="57"/>
      <c r="AT419" s="37"/>
      <c r="AU419" s="30"/>
      <c r="AV419" s="30"/>
      <c r="AW419" s="30"/>
      <c r="AX419" s="30"/>
      <c r="AY419" s="30"/>
      <c r="AZ419" s="30"/>
    </row>
    <row r="420">
      <c r="A420" s="30" t="str">
        <f>IFERROR(__xludf.DUMMYFUNCTION("""COMPUTED_VALUE"""),"Master")</f>
        <v>Master</v>
      </c>
      <c r="B420" s="30" t="str">
        <f>IFERROR(__xludf.DUMMYFUNCTION("""COMPUTED_VALUE"""),"RSC000021")</f>
        <v>RSC000021</v>
      </c>
      <c r="C420" s="30" t="str">
        <f>IFERROR(__xludf.DUMMYFUNCTION("""COMPUTED_VALUE"""),"TyTy")</f>
        <v>TyTy</v>
      </c>
      <c r="D420" s="31" t="str">
        <f>IFERROR(__xludf.DUMMYFUNCTION("""COMPUTED_VALUE"""),"Andromeda")</f>
        <v>Andromeda</v>
      </c>
      <c r="E420" s="31">
        <f>IFERROR(__xludf.DUMMYFUNCTION("""COMPUTED_VALUE"""),28.159077555451628)</f>
        <v>28.15907756</v>
      </c>
      <c r="F420" s="31">
        <f>IFERROR(__xludf.DUMMYFUNCTION("""COMPUTED_VALUE"""),-5.231274303472642)</f>
        <v>-5.231274303</v>
      </c>
      <c r="G420" s="31">
        <f>IFERROR(__xludf.DUMMYFUNCTION("""COMPUTED_VALUE"""),29.659559817573385)</f>
        <v>29.65955982</v>
      </c>
      <c r="H420" s="31">
        <f>IFERROR(__xludf.DUMMYFUNCTION("""COMPUTED_VALUE"""),-4.809264013065752)</f>
        <v>-4.809264013</v>
      </c>
      <c r="I420" s="54">
        <f>IFERROR(__xludf.DUMMYFUNCTION("""COMPUTED_VALUE"""),11.0)</f>
        <v>11</v>
      </c>
      <c r="J420" s="55">
        <f>IFERROR(__xludf.DUMMYFUNCTION("""COMPUTED_VALUE"""),4.0)</f>
        <v>4</v>
      </c>
      <c r="K420" s="54">
        <f>IFERROR(__xludf.DUMMYFUNCTION("""COMPUTED_VALUE"""),7.0)</f>
        <v>7</v>
      </c>
      <c r="L420" s="56">
        <f>IFERROR(__xludf.DUMMYFUNCTION("""COMPUTED_VALUE"""),0.36363636363636365)</f>
        <v>0.3636363636</v>
      </c>
      <c r="M420" s="56">
        <f>IFERROR(__xludf.DUMMYFUNCTION("""COMPUTED_VALUE"""),0.23529411764705885)</f>
        <v>0.2352941176</v>
      </c>
      <c r="N420" s="31">
        <f>IFERROR(__xludf.DUMMYFUNCTION("""COMPUTED_VALUE"""),290.72727272727275)</f>
        <v>290.7272727</v>
      </c>
      <c r="O420" s="57">
        <f>IFERROR(__xludf.DUMMYFUNCTION("""COMPUTED_VALUE"""),0.36363636363636365)</f>
        <v>0.3636363636</v>
      </c>
      <c r="P420" s="57">
        <f>IFERROR(__xludf.DUMMYFUNCTION("""COMPUTED_VALUE"""),0.9090909090909091)</f>
        <v>0.9090909091</v>
      </c>
      <c r="Q420" s="57">
        <f>IFERROR(__xludf.DUMMYFUNCTION("""COMPUTED_VALUE"""),1.0909090909090908)</f>
        <v>1.090909091</v>
      </c>
      <c r="R420" s="57">
        <f>IFERROR(__xludf.DUMMYFUNCTION("""COMPUTED_VALUE"""),1.5454545454545454)</f>
        <v>1.545454545</v>
      </c>
      <c r="S420" s="31">
        <f>IFERROR(__xludf.DUMMYFUNCTION("""COMPUTED_VALUE"""),355.8484848484849)</f>
        <v>355.8484848</v>
      </c>
      <c r="T420" s="57">
        <f>IFERROR(__xludf.DUMMYFUNCTION("""COMPUTED_VALUE"""),0.9090909090909091)</f>
        <v>0.9090909091</v>
      </c>
      <c r="U420" s="57">
        <f>IFERROR(__xludf.DUMMYFUNCTION("""COMPUTED_VALUE"""),0.6969696969696969)</f>
        <v>0.696969697</v>
      </c>
      <c r="V420" s="57">
        <f>IFERROR(__xludf.DUMMYFUNCTION("""COMPUTED_VALUE"""),0.9696969696969696)</f>
        <v>0.9696969697</v>
      </c>
      <c r="W420" s="57">
        <f>IFERROR(__xludf.DUMMYFUNCTION("""COMPUTED_VALUE"""),3.03030303030303)</f>
        <v>3.03030303</v>
      </c>
      <c r="X420" s="31">
        <f>IFERROR(__xludf.DUMMYFUNCTION("""COMPUTED_VALUE"""),385.51601855907376)</f>
        <v>385.5160186</v>
      </c>
      <c r="Y420" s="57">
        <f>IFERROR(__xludf.DUMMYFUNCTION("""COMPUTED_VALUE"""),0.8714051008446632)</f>
        <v>0.8714051008</v>
      </c>
      <c r="Z420" s="57">
        <f>IFERROR(__xludf.DUMMYFUNCTION("""COMPUTED_VALUE"""),0.6710041509705228)</f>
        <v>0.671004151</v>
      </c>
      <c r="AA420" s="57">
        <f>IFERROR(__xludf.DUMMYFUNCTION("""COMPUTED_VALUE"""),1.4962784024572093)</f>
        <v>1.496278402</v>
      </c>
      <c r="AB420" s="57">
        <f>IFERROR(__xludf.DUMMYFUNCTION("""COMPUTED_VALUE"""),2.8443950382315033)</f>
        <v>2.844395038</v>
      </c>
      <c r="AC420" s="31">
        <f>IFERROR(__xludf.DUMMYFUNCTION("""COMPUTED_VALUE"""),377.18580120660846)</f>
        <v>377.1858012</v>
      </c>
      <c r="AD420" s="57">
        <f>IFERROR(__xludf.DUMMYFUNCTION("""COMPUTED_VALUE"""),0.8487210755438426)</f>
        <v>0.8487210755</v>
      </c>
      <c r="AE420" s="57">
        <f>IFERROR(__xludf.DUMMYFUNCTION("""COMPUTED_VALUE"""),0.6545605509058727)</f>
        <v>0.6545605509</v>
      </c>
      <c r="AF420" s="57">
        <f>IFERROR(__xludf.DUMMYFUNCTION("""COMPUTED_VALUE"""),1.4376828306292766)</f>
        <v>1.437682831</v>
      </c>
      <c r="AG420" s="57">
        <f>IFERROR(__xludf.DUMMYFUNCTION("""COMPUTED_VALUE"""),2.828264733022941)</f>
        <v>2.828264733</v>
      </c>
      <c r="AH420" s="57">
        <f>IFERROR(__xludf.DUMMYFUNCTION("""COMPUTED_VALUE"""),0.7707800023151536)</f>
        <v>0.7707800023</v>
      </c>
      <c r="AI420" s="57">
        <f>IFERROR(__xludf.DUMMYFUNCTION("""COMPUTED_VALUE"""),0.4284521430121823)</f>
        <v>0.428452143</v>
      </c>
      <c r="AJ420" s="57">
        <f>IFERROR(__xludf.DUMMYFUNCTION("""COMPUTED_VALUE"""),1.3888568564554975)</f>
        <v>1.388856856</v>
      </c>
      <c r="AK420" s="57">
        <f>IFERROR(__xludf.DUMMYFUNCTION("""COMPUTED_VALUE"""),0.7587967719080277)</f>
        <v>0.7587967719</v>
      </c>
      <c r="AL420" s="57">
        <f>IFERROR(__xludf.DUMMYFUNCTION("""COMPUTED_VALUE"""),0.5464320674828461)</f>
        <v>0.5464320675</v>
      </c>
      <c r="AM420" s="57">
        <f>IFERROR(__xludf.DUMMYFUNCTION("""COMPUTED_VALUE"""),0.9230446147958367)</f>
        <v>0.9230446148</v>
      </c>
      <c r="AN420" s="57">
        <f>IFERROR(__xludf.DUMMYFUNCTION("""COMPUTED_VALUE"""),1.043247174258811)</f>
        <v>1.043247174</v>
      </c>
      <c r="AO420" s="57">
        <f>IFERROR(__xludf.DUMMYFUNCTION("""COMPUTED_VALUE"""),1.0386965504782917)</f>
        <v>1.03869655</v>
      </c>
      <c r="AP420" s="35">
        <f>IFERROR(__xludf.DUMMYFUNCTION("""COMPUTED_VALUE"""),0.6480725566208265)</f>
        <v>0.6480725566</v>
      </c>
      <c r="AQ420" s="57">
        <f>IFERROR(__xludf.DUMMYFUNCTION("""COMPUTED_VALUE"""),1.0653594137145994)</f>
        <v>1.065359414</v>
      </c>
      <c r="AR420" s="36" t="b">
        <f>IFERROR(__xludf.DUMMYFUNCTION("""COMPUTED_VALUE"""),TRUE)</f>
        <v>1</v>
      </c>
      <c r="AS420" s="57"/>
      <c r="AT420" s="37"/>
      <c r="AU420" s="30"/>
      <c r="AV420" s="30"/>
      <c r="AW420" s="30"/>
      <c r="AX420" s="30"/>
      <c r="AY420" s="30"/>
      <c r="AZ420" s="30"/>
    </row>
    <row r="421">
      <c r="A421" s="30" t="str">
        <f>IFERROR(__xludf.DUMMYFUNCTION("""COMPUTED_VALUE"""),"Master")</f>
        <v>Master</v>
      </c>
      <c r="B421" s="30" t="str">
        <f>IFERROR(__xludf.DUMMYFUNCTION("""COMPUTED_VALUE"""),"RSC002059")</f>
        <v>RSC002059</v>
      </c>
      <c r="C421" s="30" t="str">
        <f>IFERROR(__xludf.DUMMYFUNCTION("""COMPUTED_VALUE"""),"Thermal")</f>
        <v>Thermal</v>
      </c>
      <c r="D421" s="31"/>
      <c r="E421" s="31">
        <f>IFERROR(__xludf.DUMMYFUNCTION("""COMPUTED_VALUE"""),27.752752341852194)</f>
        <v>27.75275234</v>
      </c>
      <c r="F421" s="31">
        <f>IFERROR(__xludf.DUMMYFUNCTION("""COMPUTED_VALUE"""),-5.354393887929361)</f>
        <v>-5.354393888</v>
      </c>
      <c r="G421" s="31">
        <f>IFERROR(__xludf.DUMMYFUNCTION("""COMPUTED_VALUE"""),28.181598731503477)</f>
        <v>28.18159873</v>
      </c>
      <c r="H421" s="31">
        <f>IFERROR(__xludf.DUMMYFUNCTION("""COMPUTED_VALUE"""),-5.224565364175885)</f>
        <v>-5.224565364</v>
      </c>
      <c r="I421" s="54">
        <f>IFERROR(__xludf.DUMMYFUNCTION("""COMPUTED_VALUE"""),12.0)</f>
        <v>12</v>
      </c>
      <c r="J421" s="55">
        <f>IFERROR(__xludf.DUMMYFUNCTION("""COMPUTED_VALUE"""),5.0)</f>
        <v>5</v>
      </c>
      <c r="K421" s="54">
        <f>IFERROR(__xludf.DUMMYFUNCTION("""COMPUTED_VALUE"""),7.0)</f>
        <v>7</v>
      </c>
      <c r="L421" s="56">
        <f>IFERROR(__xludf.DUMMYFUNCTION("""COMPUTED_VALUE"""),0.4166666666666667)</f>
        <v>0.4166666667</v>
      </c>
      <c r="M421" s="56">
        <f>IFERROR(__xludf.DUMMYFUNCTION("""COMPUTED_VALUE"""),0.21052631578947367)</f>
        <v>0.2105263158</v>
      </c>
      <c r="N421" s="31">
        <f>IFERROR(__xludf.DUMMYFUNCTION("""COMPUTED_VALUE"""),321.1666666666667)</f>
        <v>321.1666667</v>
      </c>
      <c r="O421" s="57">
        <f>IFERROR(__xludf.DUMMYFUNCTION("""COMPUTED_VALUE"""),0.6666666666666666)</f>
        <v>0.6666666667</v>
      </c>
      <c r="P421" s="57">
        <f>IFERROR(__xludf.DUMMYFUNCTION("""COMPUTED_VALUE"""),0.4166666666666667)</f>
        <v>0.4166666667</v>
      </c>
      <c r="Q421" s="57">
        <f>IFERROR(__xludf.DUMMYFUNCTION("""COMPUTED_VALUE"""),1.1666666666666667)</f>
        <v>1.166666667</v>
      </c>
      <c r="R421" s="57">
        <f>IFERROR(__xludf.DUMMYFUNCTION("""COMPUTED_VALUE"""),3.1666666666666665)</f>
        <v>3.166666667</v>
      </c>
      <c r="S421" s="31">
        <f>IFERROR(__xludf.DUMMYFUNCTION("""COMPUTED_VALUE"""),441.4166666666667)</f>
        <v>441.4166667</v>
      </c>
      <c r="T421" s="57">
        <f>IFERROR(__xludf.DUMMYFUNCTION("""COMPUTED_VALUE"""),1.1111111111111112)</f>
        <v>1.111111111</v>
      </c>
      <c r="U421" s="57">
        <f>IFERROR(__xludf.DUMMYFUNCTION("""COMPUTED_VALUE"""),0.9166666666666666)</f>
        <v>0.9166666667</v>
      </c>
      <c r="V421" s="57">
        <f>IFERROR(__xludf.DUMMYFUNCTION("""COMPUTED_VALUE"""),1.777777777777778)</f>
        <v>1.777777778</v>
      </c>
      <c r="W421" s="57">
        <f>IFERROR(__xludf.DUMMYFUNCTION("""COMPUTED_VALUE"""),2.777777777777778)</f>
        <v>2.777777778</v>
      </c>
      <c r="X421" s="31">
        <f>IFERROR(__xludf.DUMMYFUNCTION("""COMPUTED_VALUE"""),393.63151348950305)</f>
        <v>393.6315135</v>
      </c>
      <c r="Y421" s="57">
        <f>IFERROR(__xludf.DUMMYFUNCTION("""COMPUTED_VALUE"""),0.9305884893247196)</f>
        <v>0.9305884893</v>
      </c>
      <c r="Z421" s="57">
        <f>IFERROR(__xludf.DUMMYFUNCTION("""COMPUTED_VALUE"""),0.6984998124627412)</f>
        <v>0.6984998125</v>
      </c>
      <c r="AA421" s="57">
        <f>IFERROR(__xludf.DUMMYFUNCTION("""COMPUTED_VALUE"""),1.49479851679909)</f>
        <v>1.494798517</v>
      </c>
      <c r="AB421" s="57">
        <f>IFERROR(__xludf.DUMMYFUNCTION("""COMPUTED_VALUE"""),2.8862646799217413)</f>
        <v>2.88626468</v>
      </c>
      <c r="AC421" s="31">
        <f>IFERROR(__xludf.DUMMYFUNCTION("""COMPUTED_VALUE"""),391.78306334362856)</f>
        <v>391.7830633</v>
      </c>
      <c r="AD421" s="57">
        <f>IFERROR(__xludf.DUMMYFUNCTION("""COMPUTED_VALUE"""),0.9298519291919726)</f>
        <v>0.9298519292</v>
      </c>
      <c r="AE421" s="57">
        <f>IFERROR(__xludf.DUMMYFUNCTION("""COMPUTED_VALUE"""),0.6865571498943027)</f>
        <v>0.6865571499</v>
      </c>
      <c r="AF421" s="57">
        <f>IFERROR(__xludf.DUMMYFUNCTION("""COMPUTED_VALUE"""),1.4808783171785243)</f>
        <v>1.480878317</v>
      </c>
      <c r="AG421" s="57">
        <f>IFERROR(__xludf.DUMMYFUNCTION("""COMPUTED_VALUE"""),2.9026606367452916)</f>
        <v>2.902660637</v>
      </c>
      <c r="AH421" s="57">
        <f>IFERROR(__xludf.DUMMYFUNCTION("""COMPUTED_VALUE"""),0.8197563823349224)</f>
        <v>0.8197563823</v>
      </c>
      <c r="AI421" s="57">
        <f>IFERROR(__xludf.DUMMYFUNCTION("""COMPUTED_VALUE"""),0.7169600295887862)</f>
        <v>0.7169600296</v>
      </c>
      <c r="AJ421" s="57">
        <f>IFERROR(__xludf.DUMMYFUNCTION("""COMPUTED_VALUE"""),0.606892910125273)</f>
        <v>0.6068929101</v>
      </c>
      <c r="AK421" s="57">
        <f>IFERROR(__xludf.DUMMYFUNCTION("""COMPUTED_VALUE"""),0.7878207501136784)</f>
        <v>0.7878207501</v>
      </c>
      <c r="AL421" s="57">
        <f>IFERROR(__xludf.DUMMYFUNCTION("""COMPUTED_VALUE"""),1.0909531161098462)</f>
        <v>1.090953116</v>
      </c>
      <c r="AM421" s="57">
        <f>IFERROR(__xludf.DUMMYFUNCTION("""COMPUTED_VALUE"""),1.1213956493309012)</f>
        <v>1.121395649</v>
      </c>
      <c r="AN421" s="57">
        <f>IFERROR(__xludf.DUMMYFUNCTION("""COMPUTED_VALUE"""),1.1939875937186668)</f>
        <v>1.193987594</v>
      </c>
      <c r="AO421" s="57">
        <f>IFERROR(__xludf.DUMMYFUNCTION("""COMPUTED_VALUE"""),1.3123363103487773)</f>
        <v>1.31233631</v>
      </c>
      <c r="AP421" s="35">
        <f>IFERROR(__xludf.DUMMYFUNCTION("""COMPUTED_VALUE"""),1.1893093000818933)</f>
        <v>1.1893093</v>
      </c>
      <c r="AQ421" s="57">
        <f>IFERROR(__xludf.DUMMYFUNCTION("""COMPUTED_VALUE"""),0.9624126980111524)</f>
        <v>0.962412698</v>
      </c>
      <c r="AR421" s="36" t="b">
        <f>IFERROR(__xludf.DUMMYFUNCTION("""COMPUTED_VALUE"""),TRUE)</f>
        <v>1</v>
      </c>
      <c r="AS421" s="57"/>
      <c r="AT421" s="37"/>
      <c r="AU421" s="30"/>
      <c r="AV421" s="30"/>
      <c r="AW421" s="30"/>
      <c r="AX421" s="30"/>
      <c r="AY421" s="30"/>
      <c r="AZ421" s="30"/>
    </row>
    <row r="422">
      <c r="A422" s="30" t="str">
        <f>IFERROR(__xludf.DUMMYFUNCTION("""COMPUTED_VALUE"""),"Master")</f>
        <v>Master</v>
      </c>
      <c r="B422" s="30" t="str">
        <f>IFERROR(__xludf.DUMMYFUNCTION("""COMPUTED_VALUE"""),"RSC000824")</f>
        <v>RSC000824</v>
      </c>
      <c r="C422" s="30" t="str">
        <f>IFERROR(__xludf.DUMMYFUNCTION("""COMPUTED_VALUE"""),"Cart")</f>
        <v>Cart</v>
      </c>
      <c r="D422" s="31" t="str">
        <f>IFERROR(__xludf.DUMMYFUNCTION("""COMPUTED_VALUE"""),"Hard Hats")</f>
        <v>Hard Hats</v>
      </c>
      <c r="E422" s="31">
        <f>IFERROR(__xludf.DUMMYFUNCTION("""COMPUTED_VALUE"""),27.041598546212107)</f>
        <v>27.04159855</v>
      </c>
      <c r="F422" s="31">
        <f>IFERROR(__xludf.DUMMYFUNCTION("""COMPUTED_VALUE"""),-5.579688403205198)</f>
        <v>-5.579688403</v>
      </c>
      <c r="G422" s="31">
        <f>IFERROR(__xludf.DUMMYFUNCTION("""COMPUTED_VALUE"""),30.420289985720267)</f>
        <v>30.42028999</v>
      </c>
      <c r="H422" s="31">
        <f>IFERROR(__xludf.DUMMYFUNCTION("""COMPUTED_VALUE"""),-4.613434707200908)</f>
        <v>-4.613434707</v>
      </c>
      <c r="I422" s="54">
        <f>IFERROR(__xludf.DUMMYFUNCTION("""COMPUTED_VALUE"""),27.0)</f>
        <v>27</v>
      </c>
      <c r="J422" s="55">
        <f>IFERROR(__xludf.DUMMYFUNCTION("""COMPUTED_VALUE"""),11.0)</f>
        <v>11</v>
      </c>
      <c r="K422" s="54">
        <f>IFERROR(__xludf.DUMMYFUNCTION("""COMPUTED_VALUE"""),16.0)</f>
        <v>16</v>
      </c>
      <c r="L422" s="56">
        <f>IFERROR(__xludf.DUMMYFUNCTION("""COMPUTED_VALUE"""),0.4074074074074074)</f>
        <v>0.4074074074</v>
      </c>
      <c r="M422" s="56">
        <f>IFERROR(__xludf.DUMMYFUNCTION("""COMPUTED_VALUE"""),0.29411764705882354)</f>
        <v>0.2941176471</v>
      </c>
      <c r="N422" s="31">
        <f>IFERROR(__xludf.DUMMYFUNCTION("""COMPUTED_VALUE"""),334.4074074074074)</f>
        <v>334.4074074</v>
      </c>
      <c r="O422" s="57">
        <f>IFERROR(__xludf.DUMMYFUNCTION("""COMPUTED_VALUE"""),0.5555555555555556)</f>
        <v>0.5555555556</v>
      </c>
      <c r="P422" s="57">
        <f>IFERROR(__xludf.DUMMYFUNCTION("""COMPUTED_VALUE"""),0.6296296296296297)</f>
        <v>0.6296296296</v>
      </c>
      <c r="Q422" s="57">
        <f>IFERROR(__xludf.DUMMYFUNCTION("""COMPUTED_VALUE"""),1.5555555555555556)</f>
        <v>1.555555556</v>
      </c>
      <c r="R422" s="57">
        <f>IFERROR(__xludf.DUMMYFUNCTION("""COMPUTED_VALUE"""),1.8888888888888888)</f>
        <v>1.888888889</v>
      </c>
      <c r="S422" s="31">
        <f>IFERROR(__xludf.DUMMYFUNCTION("""COMPUTED_VALUE"""),399.4567901234568)</f>
        <v>399.4567901</v>
      </c>
      <c r="T422" s="57">
        <f>IFERROR(__xludf.DUMMYFUNCTION("""COMPUTED_VALUE"""),1.0740740740740742)</f>
        <v>1.074074074</v>
      </c>
      <c r="U422" s="57">
        <f>IFERROR(__xludf.DUMMYFUNCTION("""COMPUTED_VALUE"""),0.8888888888888888)</f>
        <v>0.8888888889</v>
      </c>
      <c r="V422" s="57">
        <f>IFERROR(__xludf.DUMMYFUNCTION("""COMPUTED_VALUE"""),1.3333333333333333)</f>
        <v>1.333333333</v>
      </c>
      <c r="W422" s="57">
        <f>IFERROR(__xludf.DUMMYFUNCTION("""COMPUTED_VALUE"""),3.0617283950617287)</f>
        <v>3.061728395</v>
      </c>
      <c r="X422" s="31">
        <f>IFERROR(__xludf.DUMMYFUNCTION("""COMPUTED_VALUE"""),394.8327682204873)</f>
        <v>394.8327682</v>
      </c>
      <c r="Y422" s="57">
        <f>IFERROR(__xludf.DUMMYFUNCTION("""COMPUTED_VALUE"""),0.954849939572492)</f>
        <v>0.9548499396</v>
      </c>
      <c r="Z422" s="57">
        <f>IFERROR(__xludf.DUMMYFUNCTION("""COMPUTED_VALUE"""),0.7051089446069804)</f>
        <v>0.7051089446</v>
      </c>
      <c r="AA422" s="57">
        <f>IFERROR(__xludf.DUMMYFUNCTION("""COMPUTED_VALUE"""),1.461683391800853)</f>
        <v>1.461683392</v>
      </c>
      <c r="AB422" s="57">
        <f>IFERROR(__xludf.DUMMYFUNCTION("""COMPUTED_VALUE"""),2.9455652943335675)</f>
        <v>2.945565294</v>
      </c>
      <c r="AC422" s="31">
        <f>IFERROR(__xludf.DUMMYFUNCTION("""COMPUTED_VALUE"""),384.8790456062747)</f>
        <v>384.8790456</v>
      </c>
      <c r="AD422" s="57">
        <f>IFERROR(__xludf.DUMMYFUNCTION("""COMPUTED_VALUE"""),0.8439791783342646)</f>
        <v>0.8439791783</v>
      </c>
      <c r="AE422" s="57">
        <f>IFERROR(__xludf.DUMMYFUNCTION("""COMPUTED_VALUE"""),0.6592441041153967)</f>
        <v>0.6592441041</v>
      </c>
      <c r="AF422" s="57">
        <f>IFERROR(__xludf.DUMMYFUNCTION("""COMPUTED_VALUE"""),1.5184985713780332)</f>
        <v>1.518498571</v>
      </c>
      <c r="AG422" s="57">
        <f>IFERROR(__xludf.DUMMYFUNCTION("""COMPUTED_VALUE"""),2.744066867921932)</f>
        <v>2.744066868</v>
      </c>
      <c r="AH422" s="57">
        <f>IFERROR(__xludf.DUMMYFUNCTION("""COMPUTED_VALUE"""),0.8688636370957461)</f>
        <v>0.8688636371</v>
      </c>
      <c r="AI422" s="57">
        <f>IFERROR(__xludf.DUMMYFUNCTION("""COMPUTED_VALUE"""),0.6582574189235785)</f>
        <v>0.6582574189</v>
      </c>
      <c r="AJ422" s="57">
        <f>IFERROR(__xludf.DUMMYFUNCTION("""COMPUTED_VALUE"""),0.9550781352447512)</f>
        <v>0.9550781352</v>
      </c>
      <c r="AK422" s="57">
        <f>IFERROR(__xludf.DUMMYFUNCTION("""COMPUTED_VALUE"""),1.0244037003893216)</f>
        <v>1.0244037</v>
      </c>
      <c r="AL422" s="57">
        <f>IFERROR(__xludf.DUMMYFUNCTION("""COMPUTED_VALUE"""),0.6883538119897693)</f>
        <v>0.688353812</v>
      </c>
      <c r="AM422" s="57">
        <f>IFERROR(__xludf.DUMMYFUNCTION("""COMPUTED_VALUE"""),1.0117113428143514)</f>
        <v>1.011711343</v>
      </c>
      <c r="AN422" s="57">
        <f>IFERROR(__xludf.DUMMYFUNCTION("""COMPUTED_VALUE"""),1.1248616453334663)</f>
        <v>1.124861645</v>
      </c>
      <c r="AO422" s="57">
        <f>IFERROR(__xludf.DUMMYFUNCTION("""COMPUTED_VALUE"""),1.2606404949016004)</f>
        <v>1.260640495</v>
      </c>
      <c r="AP422" s="35">
        <f>IFERROR(__xludf.DUMMYFUNCTION("""COMPUTED_VALUE"""),0.9121902464052853)</f>
        <v>0.9121902464</v>
      </c>
      <c r="AQ422" s="57">
        <f>IFERROR(__xludf.DUMMYFUNCTION("""COMPUTED_VALUE"""),1.039436606939804)</f>
        <v>1.039436607</v>
      </c>
      <c r="AR422" s="36" t="b">
        <f>IFERROR(__xludf.DUMMYFUNCTION("""COMPUTED_VALUE"""),TRUE)</f>
        <v>1</v>
      </c>
      <c r="AS422" s="57"/>
      <c r="AT422" s="37"/>
      <c r="AU422" s="30"/>
      <c r="AV422" s="30"/>
      <c r="AW422" s="30"/>
      <c r="AX422" s="30"/>
      <c r="AY422" s="30"/>
      <c r="AZ422" s="30"/>
    </row>
    <row r="423">
      <c r="A423" s="30" t="str">
        <f>IFERROR(__xludf.DUMMYFUNCTION("""COMPUTED_VALUE"""),"Master")</f>
        <v>Master</v>
      </c>
      <c r="B423" s="30" t="str">
        <f>IFERROR(__xludf.DUMMYFUNCTION("""COMPUTED_VALUE"""),"RSC003323")</f>
        <v>RSC003323</v>
      </c>
      <c r="C423" s="30" t="str">
        <f>IFERROR(__xludf.DUMMYFUNCTION("""COMPUTED_VALUE"""),"Boog McCroog")</f>
        <v>Boog McCroog</v>
      </c>
      <c r="D423" s="31" t="str">
        <f>IFERROR(__xludf.DUMMYFUNCTION("""COMPUTED_VALUE"""),"Hard Hats")</f>
        <v>Hard Hats</v>
      </c>
      <c r="E423" s="31">
        <f>IFERROR(__xludf.DUMMYFUNCTION("""COMPUTED_VALUE"""),23.144766275533357)</f>
        <v>23.14476628</v>
      </c>
      <c r="F423" s="31">
        <f>IFERROR(__xludf.DUMMYFUNCTION("""COMPUTED_VALUE"""),-7.07391519070808)</f>
        <v>-7.073915191</v>
      </c>
      <c r="G423" s="31">
        <f>IFERROR(__xludf.DUMMYFUNCTION("""COMPUTED_VALUE"""),19.573077837846153)</f>
        <v>19.57307784</v>
      </c>
      <c r="H423" s="31">
        <f>IFERROR(__xludf.DUMMYFUNCTION("""COMPUTED_VALUE"""),-8.94554544641474)</f>
        <v>-8.945545446</v>
      </c>
      <c r="I423" s="54">
        <f>IFERROR(__xludf.DUMMYFUNCTION("""COMPUTED_VALUE"""),42.0)</f>
        <v>42</v>
      </c>
      <c r="J423" s="55">
        <f>IFERROR(__xludf.DUMMYFUNCTION("""COMPUTED_VALUE"""),16.0)</f>
        <v>16</v>
      </c>
      <c r="K423" s="54">
        <f>IFERROR(__xludf.DUMMYFUNCTION("""COMPUTED_VALUE"""),26.0)</f>
        <v>26</v>
      </c>
      <c r="L423" s="56">
        <f>IFERROR(__xludf.DUMMYFUNCTION("""COMPUTED_VALUE"""),0.38095238095238093)</f>
        <v>0.380952381</v>
      </c>
      <c r="M423" s="56">
        <f>IFERROR(__xludf.DUMMYFUNCTION("""COMPUTED_VALUE"""),0.18269230769230768)</f>
        <v>0.1826923077</v>
      </c>
      <c r="N423" s="31">
        <f>IFERROR(__xludf.DUMMYFUNCTION("""COMPUTED_VALUE"""),318.3809523809524)</f>
        <v>318.3809524</v>
      </c>
      <c r="O423" s="57">
        <f>IFERROR(__xludf.DUMMYFUNCTION("""COMPUTED_VALUE"""),0.4523809523809524)</f>
        <v>0.4523809524</v>
      </c>
      <c r="P423" s="57">
        <f>IFERROR(__xludf.DUMMYFUNCTION("""COMPUTED_VALUE"""),0.5)</f>
        <v>0.5</v>
      </c>
      <c r="Q423" s="57">
        <f>IFERROR(__xludf.DUMMYFUNCTION("""COMPUTED_VALUE"""),1.5714285714285714)</f>
        <v>1.571428571</v>
      </c>
      <c r="R423" s="57">
        <f>IFERROR(__xludf.DUMMYFUNCTION("""COMPUTED_VALUE"""),2.4761904761904763)</f>
        <v>2.476190476</v>
      </c>
      <c r="S423" s="31">
        <f>IFERROR(__xludf.DUMMYFUNCTION("""COMPUTED_VALUE"""),403.8730158730159)</f>
        <v>403.8730159</v>
      </c>
      <c r="T423" s="57">
        <f>IFERROR(__xludf.DUMMYFUNCTION("""COMPUTED_VALUE"""),0.9603174603174603)</f>
        <v>0.9603174603</v>
      </c>
      <c r="U423" s="57">
        <f>IFERROR(__xludf.DUMMYFUNCTION("""COMPUTED_VALUE"""),0.7380952380952381)</f>
        <v>0.7380952381</v>
      </c>
      <c r="V423" s="57">
        <f>IFERROR(__xludf.DUMMYFUNCTION("""COMPUTED_VALUE"""),1.6428571428571428)</f>
        <v>1.642857143</v>
      </c>
      <c r="W423" s="57">
        <f>IFERROR(__xludf.DUMMYFUNCTION("""COMPUTED_VALUE"""),2.9682539682539684)</f>
        <v>2.968253968</v>
      </c>
      <c r="X423" s="31">
        <f>IFERROR(__xludf.DUMMYFUNCTION("""COMPUTED_VALUE"""),392.11303685333377)</f>
        <v>392.1130369</v>
      </c>
      <c r="Y423" s="57">
        <f>IFERROR(__xludf.DUMMYFUNCTION("""COMPUTED_VALUE"""),0.9244143006409326)</f>
        <v>0.9244143006</v>
      </c>
      <c r="Z423" s="57">
        <f>IFERROR(__xludf.DUMMYFUNCTION("""COMPUTED_VALUE"""),0.7151411167314469)</f>
        <v>0.7151411167</v>
      </c>
      <c r="AA423" s="57">
        <f>IFERROR(__xludf.DUMMYFUNCTION("""COMPUTED_VALUE"""),1.4668932942152824)</f>
        <v>1.466893294</v>
      </c>
      <c r="AB423" s="57">
        <f>IFERROR(__xludf.DUMMYFUNCTION("""COMPUTED_VALUE"""),2.9017854252262745)</f>
        <v>2.901785425</v>
      </c>
      <c r="AC423" s="31">
        <f>IFERROR(__xludf.DUMMYFUNCTION("""COMPUTED_VALUE"""),382.7350191634915)</f>
        <v>382.7350192</v>
      </c>
      <c r="AD423" s="57">
        <f>IFERROR(__xludf.DUMMYFUNCTION("""COMPUTED_VALUE"""),0.8441823232715603)</f>
        <v>0.8441823233</v>
      </c>
      <c r="AE423" s="57">
        <f>IFERROR(__xludf.DUMMYFUNCTION("""COMPUTED_VALUE"""),0.6505346443335492)</f>
        <v>0.6505346443</v>
      </c>
      <c r="AF423" s="57">
        <f>IFERROR(__xludf.DUMMYFUNCTION("""COMPUTED_VALUE"""),1.5066966911371555)</f>
        <v>1.506696691</v>
      </c>
      <c r="AG423" s="57">
        <f>IFERROR(__xludf.DUMMYFUNCTION("""COMPUTED_VALUE"""),2.7699878958796305)</f>
        <v>2.769987896</v>
      </c>
      <c r="AH423" s="57">
        <f>IFERROR(__xludf.DUMMYFUNCTION("""COMPUTED_VALUE"""),0.8318573855008309)</f>
        <v>0.8318573855</v>
      </c>
      <c r="AI423" s="57">
        <f>IFERROR(__xludf.DUMMYFUNCTION("""COMPUTED_VALUE"""),0.5358806266255216)</f>
        <v>0.5358806266</v>
      </c>
      <c r="AJ423" s="57">
        <f>IFERROR(__xludf.DUMMYFUNCTION("""COMPUTED_VALUE"""),0.7685985740424833)</f>
        <v>0.768598574</v>
      </c>
      <c r="AK423" s="57">
        <f>IFERROR(__xludf.DUMMYFUNCTION("""COMPUTED_VALUE"""),1.042962781210172)</f>
        <v>1.042962781</v>
      </c>
      <c r="AL423" s="57">
        <f>IFERROR(__xludf.DUMMYFUNCTION("""COMPUTED_VALUE"""),0.893935486098629)</f>
        <v>0.8939354861</v>
      </c>
      <c r="AM423" s="57">
        <f>IFERROR(__xludf.DUMMYFUNCTION("""COMPUTED_VALUE"""),1.0299912982084318)</f>
        <v>1.029991298</v>
      </c>
      <c r="AN423" s="57">
        <f>IFERROR(__xludf.DUMMYFUNCTION("""COMPUTED_VALUE"""),1.038838818970709)</f>
        <v>1.038838819</v>
      </c>
      <c r="AO423" s="57">
        <f>IFERROR(__xludf.DUMMYFUNCTION("""COMPUTED_VALUE"""),1.032097331319311)</f>
        <v>1.032097331</v>
      </c>
      <c r="AP423" s="35">
        <f>IFERROR(__xludf.DUMMYFUNCTION("""COMPUTED_VALUE"""),1.1199568157655206)</f>
        <v>1.119956816</v>
      </c>
      <c r="AQ423" s="57">
        <f>IFERROR(__xludf.DUMMYFUNCTION("""COMPUTED_VALUE"""),1.0229060848020872)</f>
        <v>1.022906085</v>
      </c>
      <c r="AR423" s="36" t="b">
        <f>IFERROR(__xludf.DUMMYFUNCTION("""COMPUTED_VALUE"""),TRUE)</f>
        <v>1</v>
      </c>
      <c r="AS423" s="57"/>
      <c r="AT423" s="37"/>
      <c r="AU423" s="30"/>
      <c r="AV423" s="30"/>
      <c r="AW423" s="30"/>
      <c r="AX423" s="30"/>
      <c r="AY423" s="30"/>
      <c r="AZ423" s="30"/>
    </row>
    <row r="424">
      <c r="A424" s="30" t="str">
        <f>IFERROR(__xludf.DUMMYFUNCTION("""COMPUTED_VALUE"""),"Master")</f>
        <v>Master</v>
      </c>
      <c r="B424" s="30" t="str">
        <f>IFERROR(__xludf.DUMMYFUNCTION("""COMPUTED_VALUE"""),"RSC007878")</f>
        <v>RSC007878</v>
      </c>
      <c r="C424" s="30" t="str">
        <f>IFERROR(__xludf.DUMMYFUNCTION("""COMPUTED_VALUE"""),"oneam")</f>
        <v>oneam</v>
      </c>
      <c r="D424" s="31" t="str">
        <f>IFERROR(__xludf.DUMMYFUNCTION("""COMPUTED_VALUE"""),"Hard Hats")</f>
        <v>Hard Hats</v>
      </c>
      <c r="E424" s="31">
        <f>IFERROR(__xludf.DUMMYFUNCTION("""COMPUTED_VALUE"""),22.452493250967965)</f>
        <v>22.45249325</v>
      </c>
      <c r="F424" s="31">
        <f>IFERROR(__xludf.DUMMYFUNCTION("""COMPUTED_VALUE"""),-7.393577823366861)</f>
        <v>-7.393577823</v>
      </c>
      <c r="G424" s="31">
        <f>IFERROR(__xludf.DUMMYFUNCTION("""COMPUTED_VALUE"""),25.90582069607437)</f>
        <v>25.9058207</v>
      </c>
      <c r="H424" s="31">
        <f>IFERROR(__xludf.DUMMYFUNCTION("""COMPUTED_VALUE"""),-5.967251689027242)</f>
        <v>-5.967251689</v>
      </c>
      <c r="I424" s="54">
        <f>IFERROR(__xludf.DUMMYFUNCTION("""COMPUTED_VALUE"""),22.0)</f>
        <v>22</v>
      </c>
      <c r="J424" s="55">
        <f>IFERROR(__xludf.DUMMYFUNCTION("""COMPUTED_VALUE"""),5.0)</f>
        <v>5</v>
      </c>
      <c r="K424" s="54">
        <f>IFERROR(__xludf.DUMMYFUNCTION("""COMPUTED_VALUE"""),17.0)</f>
        <v>17</v>
      </c>
      <c r="L424" s="56">
        <f>IFERROR(__xludf.DUMMYFUNCTION("""COMPUTED_VALUE"""),0.22727272727272727)</f>
        <v>0.2272727273</v>
      </c>
      <c r="M424" s="56">
        <f>IFERROR(__xludf.DUMMYFUNCTION("""COMPUTED_VALUE"""),0.3111111111111111)</f>
        <v>0.3111111111</v>
      </c>
      <c r="N424" s="31">
        <f>IFERROR(__xludf.DUMMYFUNCTION("""COMPUTED_VALUE"""),333.72727272727275)</f>
        <v>333.7272727</v>
      </c>
      <c r="O424" s="57">
        <f>IFERROR(__xludf.DUMMYFUNCTION("""COMPUTED_VALUE"""),0.6363636363636364)</f>
        <v>0.6363636364</v>
      </c>
      <c r="P424" s="57">
        <f>IFERROR(__xludf.DUMMYFUNCTION("""COMPUTED_VALUE"""),0.3181818181818182)</f>
        <v>0.3181818182</v>
      </c>
      <c r="Q424" s="57">
        <f>IFERROR(__xludf.DUMMYFUNCTION("""COMPUTED_VALUE"""),1.5909090909090908)</f>
        <v>1.590909091</v>
      </c>
      <c r="R424" s="57">
        <f>IFERROR(__xludf.DUMMYFUNCTION("""COMPUTED_VALUE"""),2.0454545454545454)</f>
        <v>2.045454545</v>
      </c>
      <c r="S424" s="31">
        <f>IFERROR(__xludf.DUMMYFUNCTION("""COMPUTED_VALUE"""),395.54545454545456)</f>
        <v>395.5454545</v>
      </c>
      <c r="T424" s="57">
        <f>IFERROR(__xludf.DUMMYFUNCTION("""COMPUTED_VALUE"""),0.9848484848484849)</f>
        <v>0.9848484848</v>
      </c>
      <c r="U424" s="57">
        <f>IFERROR(__xludf.DUMMYFUNCTION("""COMPUTED_VALUE"""),0.7272727272727274)</f>
        <v>0.7272727273</v>
      </c>
      <c r="V424" s="57">
        <f>IFERROR(__xludf.DUMMYFUNCTION("""COMPUTED_VALUE"""),1.3939393939393943)</f>
        <v>1.393939394</v>
      </c>
      <c r="W424" s="57">
        <f>IFERROR(__xludf.DUMMYFUNCTION("""COMPUTED_VALUE"""),2.939393939393939)</f>
        <v>2.939393939</v>
      </c>
      <c r="X424" s="31">
        <f>IFERROR(__xludf.DUMMYFUNCTION("""COMPUTED_VALUE"""),394.01286753375274)</f>
        <v>394.0128675</v>
      </c>
      <c r="Y424" s="57">
        <f>IFERROR(__xludf.DUMMYFUNCTION("""COMPUTED_VALUE"""),0.9204497626873391)</f>
        <v>0.9204497627</v>
      </c>
      <c r="Z424" s="57">
        <f>IFERROR(__xludf.DUMMYFUNCTION("""COMPUTED_VALUE"""),0.7019178982213128)</f>
        <v>0.7019178982</v>
      </c>
      <c r="AA424" s="57">
        <f>IFERROR(__xludf.DUMMYFUNCTION("""COMPUTED_VALUE"""),1.4459737076795987)</f>
        <v>1.445973708</v>
      </c>
      <c r="AB424" s="57">
        <f>IFERROR(__xludf.DUMMYFUNCTION("""COMPUTED_VALUE"""),2.9094349236659323)</f>
        <v>2.909434924</v>
      </c>
      <c r="AC424" s="31">
        <f>IFERROR(__xludf.DUMMYFUNCTION("""COMPUTED_VALUE"""),370.87499357661216)</f>
        <v>370.8749936</v>
      </c>
      <c r="AD424" s="57">
        <f>IFERROR(__xludf.DUMMYFUNCTION("""COMPUTED_VALUE"""),0.7995257501454295)</f>
        <v>0.7995257501</v>
      </c>
      <c r="AE424" s="57">
        <f>IFERROR(__xludf.DUMMYFUNCTION("""COMPUTED_VALUE"""),0.5946294970198275)</f>
        <v>0.594629497</v>
      </c>
      <c r="AF424" s="57">
        <f>IFERROR(__xludf.DUMMYFUNCTION("""COMPUTED_VALUE"""),1.4808728236671604)</f>
        <v>1.480872824</v>
      </c>
      <c r="AG424" s="57">
        <f>IFERROR(__xludf.DUMMYFUNCTION("""COMPUTED_VALUE"""),2.6495335161120255)</f>
        <v>2.649533516</v>
      </c>
      <c r="AH424" s="57">
        <f>IFERROR(__xludf.DUMMYFUNCTION("""COMPUTED_VALUE"""),0.8998376232080318)</f>
        <v>0.8998376232</v>
      </c>
      <c r="AI424" s="57">
        <f>IFERROR(__xludf.DUMMYFUNCTION("""COMPUTED_VALUE"""),0.7959263804172476)</f>
        <v>0.7959263804</v>
      </c>
      <c r="AJ424" s="57">
        <f>IFERROR(__xludf.DUMMYFUNCTION("""COMPUTED_VALUE"""),0.5350925572587406)</f>
        <v>0.5350925573</v>
      </c>
      <c r="AK424" s="57">
        <f>IFERROR(__xludf.DUMMYFUNCTION("""COMPUTED_VALUE"""),1.074305008156907)</f>
        <v>1.074305008</v>
      </c>
      <c r="AL424" s="57">
        <f>IFERROR(__xludf.DUMMYFUNCTION("""COMPUTED_VALUE"""),0.7720055372071999)</f>
        <v>0.7720055372</v>
      </c>
      <c r="AM424" s="57">
        <f>IFERROR(__xludf.DUMMYFUNCTION("""COMPUTED_VALUE"""),1.0038896877183092)</f>
        <v>1.003889688</v>
      </c>
      <c r="AN424" s="57">
        <f>IFERROR(__xludf.DUMMYFUNCTION("""COMPUTED_VALUE"""),1.069964407370944)</f>
        <v>1.069964407</v>
      </c>
      <c r="AO424" s="57">
        <f>IFERROR(__xludf.DUMMYFUNCTION("""COMPUTED_VALUE"""),1.0361222147428706)</f>
        <v>1.036122215</v>
      </c>
      <c r="AP424" s="35">
        <f>IFERROR(__xludf.DUMMYFUNCTION("""COMPUTED_VALUE"""),0.9640143430936199)</f>
        <v>0.9640143431</v>
      </c>
      <c r="AQ424" s="57">
        <f>IFERROR(__xludf.DUMMYFUNCTION("""COMPUTED_VALUE"""),1.0102971939617258)</f>
        <v>1.010297194</v>
      </c>
      <c r="AR424" s="36" t="b">
        <f>IFERROR(__xludf.DUMMYFUNCTION("""COMPUTED_VALUE"""),TRUE)</f>
        <v>1</v>
      </c>
      <c r="AS424" s="57"/>
      <c r="AT424" s="37"/>
      <c r="AU424" s="30"/>
      <c r="AV424" s="30"/>
      <c r="AW424" s="30"/>
      <c r="AX424" s="30"/>
      <c r="AY424" s="30"/>
      <c r="AZ424" s="30"/>
    </row>
    <row r="425">
      <c r="A425" s="30" t="str">
        <f>IFERROR(__xludf.DUMMYFUNCTION("""COMPUTED_VALUE"""),"Master")</f>
        <v>Master</v>
      </c>
      <c r="B425" s="30" t="str">
        <f>IFERROR(__xludf.DUMMYFUNCTION("""COMPUTED_VALUE"""),"RSC007252")</f>
        <v>RSC007252</v>
      </c>
      <c r="C425" s="30" t="str">
        <f>IFERROR(__xludf.DUMMYFUNCTION("""COMPUTED_VALUE"""),"mario.")</f>
        <v>mario.</v>
      </c>
      <c r="D425" s="31"/>
      <c r="E425" s="31">
        <f>IFERROR(__xludf.DUMMYFUNCTION("""COMPUTED_VALUE"""),17.200985606381096)</f>
        <v>17.20098561</v>
      </c>
      <c r="F425" s="31">
        <f>IFERROR(__xludf.DUMMYFUNCTION("""COMPUTED_VALUE"""),-10.552227787658854)</f>
        <v>-10.55222779</v>
      </c>
      <c r="G425" s="31">
        <f>IFERROR(__xludf.DUMMYFUNCTION("""COMPUTED_VALUE"""),8.518468230552209)</f>
        <v>8.518468231</v>
      </c>
      <c r="H425" s="31">
        <f>IFERROR(__xludf.DUMMYFUNCTION("""COMPUTED_VALUE"""),-20.605140872790955)</f>
        <v>-20.60514087</v>
      </c>
      <c r="I425" s="54">
        <f>IFERROR(__xludf.DUMMYFUNCTION("""COMPUTED_VALUE"""),12.0)</f>
        <v>12</v>
      </c>
      <c r="J425" s="55">
        <f>IFERROR(__xludf.DUMMYFUNCTION("""COMPUTED_VALUE"""),3.0)</f>
        <v>3</v>
      </c>
      <c r="K425" s="54">
        <f>IFERROR(__xludf.DUMMYFUNCTION("""COMPUTED_VALUE"""),9.0)</f>
        <v>9</v>
      </c>
      <c r="L425" s="56">
        <f>IFERROR(__xludf.DUMMYFUNCTION("""COMPUTED_VALUE"""),0.25)</f>
        <v>0.25</v>
      </c>
      <c r="M425" s="56">
        <f>IFERROR(__xludf.DUMMYFUNCTION("""COMPUTED_VALUE"""),0.13793103448275862)</f>
        <v>0.1379310345</v>
      </c>
      <c r="N425" s="31">
        <f>IFERROR(__xludf.DUMMYFUNCTION("""COMPUTED_VALUE"""),301.9166666666667)</f>
        <v>301.9166667</v>
      </c>
      <c r="O425" s="57">
        <f>IFERROR(__xludf.DUMMYFUNCTION("""COMPUTED_VALUE"""),0.3333333333333333)</f>
        <v>0.3333333333</v>
      </c>
      <c r="P425" s="57">
        <f>IFERROR(__xludf.DUMMYFUNCTION("""COMPUTED_VALUE"""),0.5833333333333334)</f>
        <v>0.5833333333</v>
      </c>
      <c r="Q425" s="57">
        <f>IFERROR(__xludf.DUMMYFUNCTION("""COMPUTED_VALUE"""),1.0)</f>
        <v>1</v>
      </c>
      <c r="R425" s="57">
        <f>IFERROR(__xludf.DUMMYFUNCTION("""COMPUTED_VALUE"""),2.4166666666666665)</f>
        <v>2.416666667</v>
      </c>
      <c r="S425" s="31">
        <f>IFERROR(__xludf.DUMMYFUNCTION("""COMPUTED_VALUE"""),435.4444444444445)</f>
        <v>435.4444444</v>
      </c>
      <c r="T425" s="57">
        <f>IFERROR(__xludf.DUMMYFUNCTION("""COMPUTED_VALUE"""),1.0277777777777777)</f>
        <v>1.027777778</v>
      </c>
      <c r="U425" s="57">
        <f>IFERROR(__xludf.DUMMYFUNCTION("""COMPUTED_VALUE"""),0.8333333333333331)</f>
        <v>0.8333333333</v>
      </c>
      <c r="V425" s="57">
        <f>IFERROR(__xludf.DUMMYFUNCTION("""COMPUTED_VALUE"""),1.5)</f>
        <v>1.5</v>
      </c>
      <c r="W425" s="57">
        <f>IFERROR(__xludf.DUMMYFUNCTION("""COMPUTED_VALUE"""),3.361111111111111)</f>
        <v>3.361111111</v>
      </c>
      <c r="X425" s="31">
        <f>IFERROR(__xludf.DUMMYFUNCTION("""COMPUTED_VALUE"""),406.08654701475734)</f>
        <v>406.086547</v>
      </c>
      <c r="Y425" s="57">
        <f>IFERROR(__xludf.DUMMYFUNCTION("""COMPUTED_VALUE"""),0.970740316727425)</f>
        <v>0.9707403167</v>
      </c>
      <c r="Z425" s="57">
        <f>IFERROR(__xludf.DUMMYFUNCTION("""COMPUTED_VALUE"""),0.7124662379338823)</f>
        <v>0.7124662379</v>
      </c>
      <c r="AA425" s="57">
        <f>IFERROR(__xludf.DUMMYFUNCTION("""COMPUTED_VALUE"""),1.5236329835483022)</f>
        <v>1.523632984</v>
      </c>
      <c r="AB425" s="57">
        <f>IFERROR(__xludf.DUMMYFUNCTION("""COMPUTED_VALUE"""),3.171396064052788)</f>
        <v>3.171396064</v>
      </c>
      <c r="AC425" s="31">
        <f>IFERROR(__xludf.DUMMYFUNCTION("""COMPUTED_VALUE"""),391.0818400499686)</f>
        <v>391.08184</v>
      </c>
      <c r="AD425" s="57">
        <f>IFERROR(__xludf.DUMMYFUNCTION("""COMPUTED_VALUE"""),0.8783845271774999)</f>
        <v>0.8783845272</v>
      </c>
      <c r="AE425" s="57">
        <f>IFERROR(__xludf.DUMMYFUNCTION("""COMPUTED_VALUE"""),0.6829000799067364)</f>
        <v>0.6829000799</v>
      </c>
      <c r="AF425" s="57">
        <f>IFERROR(__xludf.DUMMYFUNCTION("""COMPUTED_VALUE"""),1.5556525776929384)</f>
        <v>1.555652578</v>
      </c>
      <c r="AG425" s="57">
        <f>IFERROR(__xludf.DUMMYFUNCTION("""COMPUTED_VALUE"""),2.839944026095863)</f>
        <v>2.839944026</v>
      </c>
      <c r="AH425" s="57">
        <f>IFERROR(__xludf.DUMMYFUNCTION("""COMPUTED_VALUE"""),0.7720038000948618)</f>
        <v>0.7720038001</v>
      </c>
      <c r="AI425" s="57">
        <f>IFERROR(__xludf.DUMMYFUNCTION("""COMPUTED_VALUE"""),0.37948452303050967)</f>
        <v>0.379484523</v>
      </c>
      <c r="AJ425" s="57">
        <f>IFERROR(__xludf.DUMMYFUNCTION("""COMPUTED_VALUE"""),0.8542001245819142)</f>
        <v>0.8542001246</v>
      </c>
      <c r="AK425" s="57">
        <f>IFERROR(__xludf.DUMMYFUNCTION("""COMPUTED_VALUE"""),0.642817049474516)</f>
        <v>0.6428170495</v>
      </c>
      <c r="AL425" s="57">
        <f>IFERROR(__xludf.DUMMYFUNCTION("""COMPUTED_VALUE"""),0.8509557387259193)</f>
        <v>0.8509557387</v>
      </c>
      <c r="AM425" s="57">
        <f>IFERROR(__xludf.DUMMYFUNCTION("""COMPUTED_VALUE"""),1.0722946811351037)</f>
        <v>1.072294681</v>
      </c>
      <c r="AN425" s="57">
        <f>IFERROR(__xludf.DUMMYFUNCTION("""COMPUTED_VALUE"""),1.0587566623817977)</f>
        <v>1.058756662</v>
      </c>
      <c r="AO425" s="57">
        <f>IFERROR(__xludf.DUMMYFUNCTION("""COMPUTED_VALUE"""),1.1696460673700968)</f>
        <v>1.169646067</v>
      </c>
      <c r="AP425" s="35">
        <f>IFERROR(__xludf.DUMMYFUNCTION("""COMPUTED_VALUE"""),0.9844890575332225)</f>
        <v>0.9844890575</v>
      </c>
      <c r="AQ425" s="57">
        <f>IFERROR(__xludf.DUMMYFUNCTION("""COMPUTED_VALUE"""),1.0598206730495474)</f>
        <v>1.059820673</v>
      </c>
      <c r="AR425" s="36" t="b">
        <f>IFERROR(__xludf.DUMMYFUNCTION("""COMPUTED_VALUE"""),TRUE)</f>
        <v>1</v>
      </c>
      <c r="AS425" s="57"/>
      <c r="AT425" s="37"/>
      <c r="AU425" s="30"/>
      <c r="AV425" s="30"/>
      <c r="AW425" s="30"/>
      <c r="AX425" s="30"/>
      <c r="AY425" s="30"/>
      <c r="AZ425" s="30"/>
    </row>
    <row r="426">
      <c r="A426" s="30" t="str">
        <f>IFERROR(__xludf.DUMMYFUNCTION("""COMPUTED_VALUE"""),"Master")</f>
        <v>Master</v>
      </c>
      <c r="B426" s="30" t="str">
        <f>IFERROR(__xludf.DUMMYFUNCTION("""COMPUTED_VALUE"""),"RSC005109")</f>
        <v>RSC005109</v>
      </c>
      <c r="C426" s="30" t="str">
        <f>IFERROR(__xludf.DUMMYFUNCTION("""COMPUTED_VALUE"""),"delta ^_^")</f>
        <v>delta ^_^</v>
      </c>
      <c r="D426" s="31"/>
      <c r="E426" s="31">
        <f>IFERROR(__xludf.DUMMYFUNCTION("""COMPUTED_VALUE"""),15.57400849315291)</f>
        <v>15.57400849</v>
      </c>
      <c r="F426" s="31">
        <f>IFERROR(__xludf.DUMMYFUNCTION("""COMPUTED_VALUE"""),-11.869437166270771)</f>
        <v>-11.86943717</v>
      </c>
      <c r="G426" s="31">
        <f>IFERROR(__xludf.DUMMYFUNCTION("""COMPUTED_VALUE"""),24.68639093750729)</f>
        <v>24.68639094</v>
      </c>
      <c r="H426" s="31">
        <f>IFERROR(__xludf.DUMMYFUNCTION("""COMPUTED_VALUE"""),-6.4251279730769)</f>
        <v>-6.425127973</v>
      </c>
      <c r="I426" s="54">
        <f>IFERROR(__xludf.DUMMYFUNCTION("""COMPUTED_VALUE"""),8.0)</f>
        <v>8</v>
      </c>
      <c r="J426" s="55">
        <f>IFERROR(__xludf.DUMMYFUNCTION("""COMPUTED_VALUE"""),3.0)</f>
        <v>3</v>
      </c>
      <c r="K426" s="54">
        <f>IFERROR(__xludf.DUMMYFUNCTION("""COMPUTED_VALUE"""),5.0)</f>
        <v>5</v>
      </c>
      <c r="L426" s="56">
        <f>IFERROR(__xludf.DUMMYFUNCTION("""COMPUTED_VALUE"""),0.375)</f>
        <v>0.375</v>
      </c>
      <c r="M426" s="56">
        <f>IFERROR(__xludf.DUMMYFUNCTION("""COMPUTED_VALUE"""),0.3333333333333333)</f>
        <v>0.3333333333</v>
      </c>
      <c r="N426" s="31">
        <f>IFERROR(__xludf.DUMMYFUNCTION("""COMPUTED_VALUE"""),365.25)</f>
        <v>365.25</v>
      </c>
      <c r="O426" s="57">
        <f>IFERROR(__xludf.DUMMYFUNCTION("""COMPUTED_VALUE"""),0.625)</f>
        <v>0.625</v>
      </c>
      <c r="P426" s="57">
        <f>IFERROR(__xludf.DUMMYFUNCTION("""COMPUTED_VALUE"""),0.25)</f>
        <v>0.25</v>
      </c>
      <c r="Q426" s="57">
        <f>IFERROR(__xludf.DUMMYFUNCTION("""COMPUTED_VALUE"""),1.875)</f>
        <v>1.875</v>
      </c>
      <c r="R426" s="57">
        <f>IFERROR(__xludf.DUMMYFUNCTION("""COMPUTED_VALUE"""),1.875)</f>
        <v>1.875</v>
      </c>
      <c r="S426" s="31">
        <f>IFERROR(__xludf.DUMMYFUNCTION("""COMPUTED_VALUE"""),435.4583333333333)</f>
        <v>435.4583333</v>
      </c>
      <c r="T426" s="57">
        <f>IFERROR(__xludf.DUMMYFUNCTION("""COMPUTED_VALUE"""),1.3333333333333333)</f>
        <v>1.333333333</v>
      </c>
      <c r="U426" s="57">
        <f>IFERROR(__xludf.DUMMYFUNCTION("""COMPUTED_VALUE"""),1.125)</f>
        <v>1.125</v>
      </c>
      <c r="V426" s="57">
        <f>IFERROR(__xludf.DUMMYFUNCTION("""COMPUTED_VALUE"""),1.0833333333333335)</f>
        <v>1.083333333</v>
      </c>
      <c r="W426" s="57">
        <f>IFERROR(__xludf.DUMMYFUNCTION("""COMPUTED_VALUE"""),3.666666666666667)</f>
        <v>3.666666667</v>
      </c>
      <c r="X426" s="31">
        <f>IFERROR(__xludf.DUMMYFUNCTION("""COMPUTED_VALUE"""),408.64405820628656)</f>
        <v>408.6440582</v>
      </c>
      <c r="Y426" s="57">
        <f>IFERROR(__xludf.DUMMYFUNCTION("""COMPUTED_VALUE"""),1.0370110264132004)</f>
        <v>1.037011026</v>
      </c>
      <c r="Z426" s="57">
        <f>IFERROR(__xludf.DUMMYFUNCTION("""COMPUTED_VALUE"""),0.7824443973900496)</f>
        <v>0.7824443974</v>
      </c>
      <c r="AA426" s="57">
        <f>IFERROR(__xludf.DUMMYFUNCTION("""COMPUTED_VALUE"""),1.4642355229311752)</f>
        <v>1.464235523</v>
      </c>
      <c r="AB426" s="57">
        <f>IFERROR(__xludf.DUMMYFUNCTION("""COMPUTED_VALUE"""),3.003246361126796)</f>
        <v>3.003246361</v>
      </c>
      <c r="AC426" s="31">
        <f>IFERROR(__xludf.DUMMYFUNCTION("""COMPUTED_VALUE"""),357.6467933736955)</f>
        <v>357.6467934</v>
      </c>
      <c r="AD426" s="57">
        <f>IFERROR(__xludf.DUMMYFUNCTION("""COMPUTED_VALUE"""),0.7463990317251186)</f>
        <v>0.7463990317</v>
      </c>
      <c r="AE426" s="57">
        <f>IFERROR(__xludf.DUMMYFUNCTION("""COMPUTED_VALUE"""),0.5389202584854759)</f>
        <v>0.5389202585</v>
      </c>
      <c r="AF426" s="57">
        <f>IFERROR(__xludf.DUMMYFUNCTION("""COMPUTED_VALUE"""),1.4673816320555453)</f>
        <v>1.467381632</v>
      </c>
      <c r="AG426" s="57">
        <f>IFERROR(__xludf.DUMMYFUNCTION("""COMPUTED_VALUE"""),2.5927078758600492)</f>
        <v>2.592707876</v>
      </c>
      <c r="AH426" s="57">
        <f>IFERROR(__xludf.DUMMYFUNCTION("""COMPUTED_VALUE"""),1.0212589816745823)</f>
        <v>1.021258982</v>
      </c>
      <c r="AI426" s="57">
        <f>IFERROR(__xludf.DUMMYFUNCTION("""COMPUTED_VALUE"""),0.8373537122033312)</f>
        <v>0.8373537122</v>
      </c>
      <c r="AJ426" s="57">
        <f>IFERROR(__xludf.DUMMYFUNCTION("""COMPUTED_VALUE"""),0.4638905219532355)</f>
        <v>0.463890522</v>
      </c>
      <c r="AK426" s="57">
        <f>IFERROR(__xludf.DUMMYFUNCTION("""COMPUTED_VALUE"""),1.2777862002902767)</f>
        <v>1.2777862</v>
      </c>
      <c r="AL426" s="57">
        <f>IFERROR(__xludf.DUMMYFUNCTION("""COMPUTED_VALUE"""),0.7231821284062045)</f>
        <v>0.7231821284</v>
      </c>
      <c r="AM426" s="57">
        <f>IFERROR(__xludf.DUMMYFUNCTION("""COMPUTED_VALUE"""),1.0656176802000892)</f>
        <v>1.06561768</v>
      </c>
      <c r="AN426" s="57">
        <f>IFERROR(__xludf.DUMMYFUNCTION("""COMPUTED_VALUE"""),1.2857465343884031)</f>
        <v>1.285746534</v>
      </c>
      <c r="AO426" s="57">
        <f>IFERROR(__xludf.DUMMYFUNCTION("""COMPUTED_VALUE"""),1.4378018473294607)</f>
        <v>1.437801847</v>
      </c>
      <c r="AP426" s="35">
        <f>IFERROR(__xludf.DUMMYFUNCTION("""COMPUTED_VALUE"""),0.7398627586664924)</f>
        <v>0.7398627587</v>
      </c>
      <c r="AQ426" s="57">
        <f>IFERROR(__xludf.DUMMYFUNCTION("""COMPUTED_VALUE"""),1.2209010603082728)</f>
        <v>1.22090106</v>
      </c>
      <c r="AR426" s="36" t="b">
        <f>IFERROR(__xludf.DUMMYFUNCTION("""COMPUTED_VALUE"""),TRUE)</f>
        <v>1</v>
      </c>
      <c r="AS426" s="57"/>
      <c r="AT426" s="37"/>
      <c r="AU426" s="30"/>
      <c r="AV426" s="30"/>
      <c r="AW426" s="30"/>
      <c r="AX426" s="30"/>
      <c r="AY426" s="30"/>
      <c r="AZ426" s="30"/>
    </row>
    <row r="427">
      <c r="A427" s="30" t="str">
        <f>IFERROR(__xludf.DUMMYFUNCTION("""COMPUTED_VALUE"""),"Master")</f>
        <v>Master</v>
      </c>
      <c r="B427" s="30" t="str">
        <f>IFERROR(__xludf.DUMMYFUNCTION("""COMPUTED_VALUE"""),"RSC000777")</f>
        <v>RSC000777</v>
      </c>
      <c r="C427" s="30" t="str">
        <f>IFERROR(__xludf.DUMMYFUNCTION("""COMPUTED_VALUE"""),"Marcus.")</f>
        <v>Marcus.</v>
      </c>
      <c r="D427" s="31" t="str">
        <f>IFERROR(__xludf.DUMMYFUNCTION("""COMPUTED_VALUE"""),"Care Bears")</f>
        <v>Care Bears</v>
      </c>
      <c r="E427" s="31">
        <f>IFERROR(__xludf.DUMMYFUNCTION("""COMPUTED_VALUE"""),5.891091160496295)</f>
        <v>5.89109116</v>
      </c>
      <c r="F427" s="31">
        <f>IFERROR(__xludf.DUMMYFUNCTION("""COMPUTED_VALUE"""),-25.749304213065532)</f>
        <v>-25.74930421</v>
      </c>
      <c r="G427" s="31">
        <f>IFERROR(__xludf.DUMMYFUNCTION("""COMPUTED_VALUE"""),-1.2398377880631841)</f>
        <v>-1.239837788</v>
      </c>
      <c r="H427" s="31">
        <f>IFERROR(__xludf.DUMMYFUNCTION("""COMPUTED_VALUE"""),-49.49990967812896)</f>
        <v>-49.49990968</v>
      </c>
      <c r="I427" s="54">
        <f>IFERROR(__xludf.DUMMYFUNCTION("""COMPUTED_VALUE"""),15.0)</f>
        <v>15</v>
      </c>
      <c r="J427" s="55">
        <f>IFERROR(__xludf.DUMMYFUNCTION("""COMPUTED_VALUE"""),6.0)</f>
        <v>6</v>
      </c>
      <c r="K427" s="54">
        <f>IFERROR(__xludf.DUMMYFUNCTION("""COMPUTED_VALUE"""),9.0)</f>
        <v>9</v>
      </c>
      <c r="L427" s="56">
        <f>IFERROR(__xludf.DUMMYFUNCTION("""COMPUTED_VALUE"""),0.4)</f>
        <v>0.4</v>
      </c>
      <c r="M427" s="56">
        <f>IFERROR(__xludf.DUMMYFUNCTION("""COMPUTED_VALUE"""),0.09090909090909091)</f>
        <v>0.09090909091</v>
      </c>
      <c r="N427" s="31">
        <f>IFERROR(__xludf.DUMMYFUNCTION("""COMPUTED_VALUE"""),248.86666666666667)</f>
        <v>248.8666667</v>
      </c>
      <c r="O427" s="57">
        <f>IFERROR(__xludf.DUMMYFUNCTION("""COMPUTED_VALUE"""),0.2)</f>
        <v>0.2</v>
      </c>
      <c r="P427" s="57">
        <f>IFERROR(__xludf.DUMMYFUNCTION("""COMPUTED_VALUE"""),0.3333333333333333)</f>
        <v>0.3333333333</v>
      </c>
      <c r="Q427" s="57">
        <f>IFERROR(__xludf.DUMMYFUNCTION("""COMPUTED_VALUE"""),1.6)</f>
        <v>1.6</v>
      </c>
      <c r="R427" s="57">
        <f>IFERROR(__xludf.DUMMYFUNCTION("""COMPUTED_VALUE"""),2.2)</f>
        <v>2.2</v>
      </c>
      <c r="S427" s="31">
        <f>IFERROR(__xludf.DUMMYFUNCTION("""COMPUTED_VALUE"""),350.1555555555555)</f>
        <v>350.1555556</v>
      </c>
      <c r="T427" s="57">
        <f>IFERROR(__xludf.DUMMYFUNCTION("""COMPUTED_VALUE"""),0.7555555555555554)</f>
        <v>0.7555555556</v>
      </c>
      <c r="U427" s="57">
        <f>IFERROR(__xludf.DUMMYFUNCTION("""COMPUTED_VALUE"""),0.4888888888888888)</f>
        <v>0.4888888889</v>
      </c>
      <c r="V427" s="57">
        <f>IFERROR(__xludf.DUMMYFUNCTION("""COMPUTED_VALUE"""),1.3777777777777775)</f>
        <v>1.377777778</v>
      </c>
      <c r="W427" s="57">
        <f>IFERROR(__xludf.DUMMYFUNCTION("""COMPUTED_VALUE"""),2.866666666666667)</f>
        <v>2.866666667</v>
      </c>
      <c r="X427" s="31">
        <f>IFERROR(__xludf.DUMMYFUNCTION("""COMPUTED_VALUE"""),395.56281138697506)</f>
        <v>395.5628114</v>
      </c>
      <c r="Y427" s="57">
        <f>IFERROR(__xludf.DUMMYFUNCTION("""COMPUTED_VALUE"""),0.9556774120299212)</f>
        <v>0.955677412</v>
      </c>
      <c r="Z427" s="57">
        <f>IFERROR(__xludf.DUMMYFUNCTION("""COMPUTED_VALUE"""),0.753249966030464)</f>
        <v>0.753249966</v>
      </c>
      <c r="AA427" s="57">
        <f>IFERROR(__xludf.DUMMYFUNCTION("""COMPUTED_VALUE"""),1.399887600876993)</f>
        <v>1.399887601</v>
      </c>
      <c r="AB427" s="57">
        <f>IFERROR(__xludf.DUMMYFUNCTION("""COMPUTED_VALUE"""),2.932205737430136)</f>
        <v>2.932205737</v>
      </c>
      <c r="AC427" s="31">
        <f>IFERROR(__xludf.DUMMYFUNCTION("""COMPUTED_VALUE"""),367.7813732299303)</f>
        <v>367.7813732</v>
      </c>
      <c r="AD427" s="57">
        <f>IFERROR(__xludf.DUMMYFUNCTION("""COMPUTED_VALUE"""),0.7928665797032449)</f>
        <v>0.7928665797</v>
      </c>
      <c r="AE427" s="57">
        <f>IFERROR(__xludf.DUMMYFUNCTION("""COMPUTED_VALUE"""),0.5978998657980027)</f>
        <v>0.5978998658</v>
      </c>
      <c r="AF427" s="57">
        <f>IFERROR(__xludf.DUMMYFUNCTION("""COMPUTED_VALUE"""),1.487228970187626)</f>
        <v>1.48722897</v>
      </c>
      <c r="AG427" s="57">
        <f>IFERROR(__xludf.DUMMYFUNCTION("""COMPUTED_VALUE"""),2.59835094239215)</f>
        <v>2.598350942</v>
      </c>
      <c r="AH427" s="57">
        <f>IFERROR(__xludf.DUMMYFUNCTION("""COMPUTED_VALUE"""),0.6766701219288768)</f>
        <v>0.6766701219</v>
      </c>
      <c r="AI427" s="57">
        <f>IFERROR(__xludf.DUMMYFUNCTION("""COMPUTED_VALUE"""),0.252249249898837)</f>
        <v>0.2522492499</v>
      </c>
      <c r="AJ427" s="57">
        <f>IFERROR(__xludf.DUMMYFUNCTION("""COMPUTED_VALUE"""),0.5575069545942133)</f>
        <v>0.5575069546</v>
      </c>
      <c r="AK427" s="57">
        <f>IFERROR(__xludf.DUMMYFUNCTION("""COMPUTED_VALUE"""),1.075826272936404)</f>
        <v>1.075826273</v>
      </c>
      <c r="AL427" s="57">
        <f>IFERROR(__xludf.DUMMYFUNCTION("""COMPUTED_VALUE"""),0.8466908623107657)</f>
        <v>0.8466908623</v>
      </c>
      <c r="AM427" s="57">
        <f>IFERROR(__xludf.DUMMYFUNCTION("""COMPUTED_VALUE"""),0.8852084813731438)</f>
        <v>0.8852084814</v>
      </c>
      <c r="AN427" s="57">
        <f>IFERROR(__xludf.DUMMYFUNCTION("""COMPUTED_VALUE"""),0.7905968541735292)</f>
        <v>0.7905968542</v>
      </c>
      <c r="AO427" s="57">
        <f>IFERROR(__xludf.DUMMYFUNCTION("""COMPUTED_VALUE"""),0.6490393772803921)</f>
        <v>0.6490393773</v>
      </c>
      <c r="AP427" s="35">
        <f>IFERROR(__xludf.DUMMYFUNCTION("""COMPUTED_VALUE"""),0.9842060011922642)</f>
        <v>0.9842060012</v>
      </c>
      <c r="AQ427" s="57">
        <f>IFERROR(__xludf.DUMMYFUNCTION("""COMPUTED_VALUE"""),0.97764854289491)</f>
        <v>0.9776485429</v>
      </c>
      <c r="AR427" s="36" t="b">
        <f>IFERROR(__xludf.DUMMYFUNCTION("""COMPUTED_VALUE"""),TRUE)</f>
        <v>1</v>
      </c>
      <c r="AS427" s="57"/>
      <c r="AT427" s="37"/>
      <c r="AU427" s="30"/>
      <c r="AV427" s="30"/>
      <c r="AW427" s="30"/>
      <c r="AX427" s="30"/>
      <c r="AY427" s="30"/>
      <c r="AZ427" s="30"/>
    </row>
    <row r="428">
      <c r="A428" s="30" t="str">
        <f>IFERROR(__xludf.DUMMYFUNCTION("""COMPUTED_VALUE"""),"Master")</f>
        <v>Master</v>
      </c>
      <c r="B428" s="30" t="str">
        <f>IFERROR(__xludf.DUMMYFUNCTION("""COMPUTED_VALUE"""),"RSC003412")</f>
        <v>RSC003412</v>
      </c>
      <c r="C428" s="30" t="str">
        <f>IFERROR(__xludf.DUMMYFUNCTION("""COMPUTED_VALUE"""),"Python")</f>
        <v>Python</v>
      </c>
      <c r="D428" s="31"/>
      <c r="E428" s="31">
        <f>IFERROR(__xludf.DUMMYFUNCTION("""COMPUTED_VALUE"""),5.866194942430127)</f>
        <v>5.866194942</v>
      </c>
      <c r="F428" s="31">
        <f>IFERROR(__xludf.DUMMYFUNCTION("""COMPUTED_VALUE"""),-25.80492289855832)</f>
        <v>-25.8049229</v>
      </c>
      <c r="G428" s="31">
        <f>IFERROR(__xludf.DUMMYFUNCTION("""COMPUTED_VALUE"""),-0.12638486831231432)</f>
        <v>-0.1263848683</v>
      </c>
      <c r="H428" s="31">
        <f>IFERROR(__xludf.DUMMYFUNCTION("""COMPUTED_VALUE"""),-44.486830184250344)</f>
        <v>-44.48683018</v>
      </c>
      <c r="I428" s="54">
        <f>IFERROR(__xludf.DUMMYFUNCTION("""COMPUTED_VALUE"""),12.0)</f>
        <v>12</v>
      </c>
      <c r="J428" s="55">
        <f>IFERROR(__xludf.DUMMYFUNCTION("""COMPUTED_VALUE"""),5.0)</f>
        <v>5</v>
      </c>
      <c r="K428" s="54">
        <f>IFERROR(__xludf.DUMMYFUNCTION("""COMPUTED_VALUE"""),7.0)</f>
        <v>7</v>
      </c>
      <c r="L428" s="56">
        <f>IFERROR(__xludf.DUMMYFUNCTION("""COMPUTED_VALUE"""),0.4166666666666667)</f>
        <v>0.4166666667</v>
      </c>
      <c r="M428" s="56">
        <f>IFERROR(__xludf.DUMMYFUNCTION("""COMPUTED_VALUE"""),0.2608695652173913)</f>
        <v>0.2608695652</v>
      </c>
      <c r="N428" s="31">
        <f>IFERROR(__xludf.DUMMYFUNCTION("""COMPUTED_VALUE"""),269.4166666666667)</f>
        <v>269.4166667</v>
      </c>
      <c r="O428" s="57">
        <f>IFERROR(__xludf.DUMMYFUNCTION("""COMPUTED_VALUE"""),0.5)</f>
        <v>0.5</v>
      </c>
      <c r="P428" s="57">
        <f>IFERROR(__xludf.DUMMYFUNCTION("""COMPUTED_VALUE"""),0.3333333333333333)</f>
        <v>0.3333333333</v>
      </c>
      <c r="Q428" s="57">
        <f>IFERROR(__xludf.DUMMYFUNCTION("""COMPUTED_VALUE"""),1.0833333333333333)</f>
        <v>1.083333333</v>
      </c>
      <c r="R428" s="57">
        <f>IFERROR(__xludf.DUMMYFUNCTION("""COMPUTED_VALUE"""),1.9166666666666667)</f>
        <v>1.916666667</v>
      </c>
      <c r="S428" s="31">
        <f>IFERROR(__xludf.DUMMYFUNCTION("""COMPUTED_VALUE"""),418.6111111111111)</f>
        <v>418.6111111</v>
      </c>
      <c r="T428" s="57">
        <f>IFERROR(__xludf.DUMMYFUNCTION("""COMPUTED_VALUE"""),1.138888888888889)</f>
        <v>1.138888889</v>
      </c>
      <c r="U428" s="57">
        <f>IFERROR(__xludf.DUMMYFUNCTION("""COMPUTED_VALUE"""),0.9444444444444443)</f>
        <v>0.9444444444</v>
      </c>
      <c r="V428" s="57">
        <f>IFERROR(__xludf.DUMMYFUNCTION("""COMPUTED_VALUE"""),1.4722222222222223)</f>
        <v>1.472222222</v>
      </c>
      <c r="W428" s="57">
        <f>IFERROR(__xludf.DUMMYFUNCTION("""COMPUTED_VALUE"""),3.2500000000000004)</f>
        <v>3.25</v>
      </c>
      <c r="X428" s="31">
        <f>IFERROR(__xludf.DUMMYFUNCTION("""COMPUTED_VALUE"""),399.4469900107944)</f>
        <v>399.44699</v>
      </c>
      <c r="Y428" s="57">
        <f>IFERROR(__xludf.DUMMYFUNCTION("""COMPUTED_VALUE"""),0.9640664649360303)</f>
        <v>0.9640664649</v>
      </c>
      <c r="Z428" s="57">
        <f>IFERROR(__xludf.DUMMYFUNCTION("""COMPUTED_VALUE"""),0.661095804356674)</f>
        <v>0.6610958044</v>
      </c>
      <c r="AA428" s="57">
        <f>IFERROR(__xludf.DUMMYFUNCTION("""COMPUTED_VALUE"""),1.5291106598715294)</f>
        <v>1.52911066</v>
      </c>
      <c r="AB428" s="57">
        <f>IFERROR(__xludf.DUMMYFUNCTION("""COMPUTED_VALUE"""),2.915202792376705)</f>
        <v>2.915202792</v>
      </c>
      <c r="AC428" s="31">
        <f>IFERROR(__xludf.DUMMYFUNCTION("""COMPUTED_VALUE"""),376.2735076148028)</f>
        <v>376.2735076</v>
      </c>
      <c r="AD428" s="57">
        <f>IFERROR(__xludf.DUMMYFUNCTION("""COMPUTED_VALUE"""),0.7912502664190916)</f>
        <v>0.7912502664</v>
      </c>
      <c r="AE428" s="57">
        <f>IFERROR(__xludf.DUMMYFUNCTION("""COMPUTED_VALUE"""),0.6119172248304227)</f>
        <v>0.6119172248</v>
      </c>
      <c r="AF428" s="57">
        <f>IFERROR(__xludf.DUMMYFUNCTION("""COMPUTED_VALUE"""),1.4910886922319238)</f>
        <v>1.491088692</v>
      </c>
      <c r="AG428" s="57">
        <f>IFERROR(__xludf.DUMMYFUNCTION("""COMPUTED_VALUE"""),2.7230949436808207)</f>
        <v>2.723094944</v>
      </c>
      <c r="AH428" s="57">
        <f>IFERROR(__xludf.DUMMYFUNCTION("""COMPUTED_VALUE"""),0.7160128502654852)</f>
        <v>0.7160128503</v>
      </c>
      <c r="AI428" s="57">
        <f>IFERROR(__xludf.DUMMYFUNCTION("""COMPUTED_VALUE"""),0.6319113196167586)</f>
        <v>0.6319113196</v>
      </c>
      <c r="AJ428" s="57">
        <f>IFERROR(__xludf.DUMMYFUNCTION("""COMPUTED_VALUE"""),0.5447359868415343)</f>
        <v>0.5447359868</v>
      </c>
      <c r="AK428" s="57">
        <f>IFERROR(__xludf.DUMMYFUNCTION("""COMPUTED_VALUE"""),0.7265384943076423)</f>
        <v>0.7265384943</v>
      </c>
      <c r="AL428" s="57">
        <f>IFERROR(__xludf.DUMMYFUNCTION("""COMPUTED_VALUE"""),0.7038559823683191)</f>
        <v>0.7038559824</v>
      </c>
      <c r="AM428" s="57">
        <f>IFERROR(__xludf.DUMMYFUNCTION("""COMPUTED_VALUE"""),1.047976631642158)</f>
        <v>1.047976632</v>
      </c>
      <c r="AN428" s="57">
        <f>IFERROR(__xludf.DUMMYFUNCTION("""COMPUTED_VALUE"""),1.181338559436832)</f>
        <v>1.181338559</v>
      </c>
      <c r="AO428" s="57">
        <f>IFERROR(__xludf.DUMMYFUNCTION("""COMPUTED_VALUE"""),1.428604505157165)</f>
        <v>1.428604505</v>
      </c>
      <c r="AP428" s="35">
        <f>IFERROR(__xludf.DUMMYFUNCTION("""COMPUTED_VALUE"""),0.9627963893377823)</f>
        <v>0.9627963893</v>
      </c>
      <c r="AQ428" s="57">
        <f>IFERROR(__xludf.DUMMYFUNCTION("""COMPUTED_VALUE"""),1.1148452548477226)</f>
        <v>1.114845255</v>
      </c>
      <c r="AR428" s="36" t="b">
        <f>IFERROR(__xludf.DUMMYFUNCTION("""COMPUTED_VALUE"""),TRUE)</f>
        <v>1</v>
      </c>
      <c r="AS428" s="57"/>
      <c r="AT428" s="37"/>
      <c r="AU428" s="30"/>
      <c r="AV428" s="30"/>
      <c r="AW428" s="30"/>
      <c r="AX428" s="30"/>
      <c r="AY428" s="30"/>
      <c r="AZ428" s="30"/>
    </row>
    <row r="429">
      <c r="A429" s="30" t="str">
        <f>IFERROR(__xludf.DUMMYFUNCTION("""COMPUTED_VALUE"""),"Master")</f>
        <v>Master</v>
      </c>
      <c r="B429" s="30" t="str">
        <f>IFERROR(__xludf.DUMMYFUNCTION("""COMPUTED_VALUE"""),"RSC007067")</f>
        <v>RSC007067</v>
      </c>
      <c r="C429" s="30" t="str">
        <f>IFERROR(__xludf.DUMMYFUNCTION("""COMPUTED_VALUE"""),"ThyChad_")</f>
        <v>ThyChad_</v>
      </c>
      <c r="D429" s="31"/>
      <c r="E429" s="31">
        <f>IFERROR(__xludf.DUMMYFUNCTION("""COMPUTED_VALUE"""),-8.333225912682721)</f>
        <v>-8.333225913</v>
      </c>
      <c r="F429" s="31">
        <f>IFERROR(__xludf.DUMMYFUNCTION("""COMPUTED_VALUE"""),-101.88028937519468)</f>
        <v>-101.8802894</v>
      </c>
      <c r="G429" s="31">
        <f>IFERROR(__xludf.DUMMYFUNCTION("""COMPUTED_VALUE"""),9.935138565431586)</f>
        <v>9.935138565</v>
      </c>
      <c r="H429" s="31">
        <f>IFERROR(__xludf.DUMMYFUNCTION("""COMPUTED_VALUE"""),-18.34454795639398)</f>
        <v>-18.34454796</v>
      </c>
      <c r="I429" s="54">
        <f>IFERROR(__xludf.DUMMYFUNCTION("""COMPUTED_VALUE"""),4.0)</f>
        <v>4</v>
      </c>
      <c r="J429" s="55">
        <f>IFERROR(__xludf.DUMMYFUNCTION("""COMPUTED_VALUE"""),0.0)</f>
        <v>0</v>
      </c>
      <c r="K429" s="54">
        <f>IFERROR(__xludf.DUMMYFUNCTION("""COMPUTED_VALUE"""),4.0)</f>
        <v>4</v>
      </c>
      <c r="L429" s="56">
        <f>IFERROR(__xludf.DUMMYFUNCTION("""COMPUTED_VALUE"""),0.0)</f>
        <v>0</v>
      </c>
      <c r="M429" s="56">
        <f>IFERROR(__xludf.DUMMYFUNCTION("""COMPUTED_VALUE"""),0.16666666666666666)</f>
        <v>0.1666666667</v>
      </c>
      <c r="N429" s="31">
        <f>IFERROR(__xludf.DUMMYFUNCTION("""COMPUTED_VALUE"""),338.0)</f>
        <v>338</v>
      </c>
      <c r="O429" s="57">
        <f>IFERROR(__xludf.DUMMYFUNCTION("""COMPUTED_VALUE"""),0.25)</f>
        <v>0.25</v>
      </c>
      <c r="P429" s="57">
        <f>IFERROR(__xludf.DUMMYFUNCTION("""COMPUTED_VALUE"""),0.0)</f>
        <v>0</v>
      </c>
      <c r="Q429" s="57">
        <f>IFERROR(__xludf.DUMMYFUNCTION("""COMPUTED_VALUE"""),2.5)</f>
        <v>2.5</v>
      </c>
      <c r="R429" s="57">
        <f>IFERROR(__xludf.DUMMYFUNCTION("""COMPUTED_VALUE"""),1.5)</f>
        <v>1.5</v>
      </c>
      <c r="S429" s="31">
        <f>IFERROR(__xludf.DUMMYFUNCTION("""COMPUTED_VALUE"""),420.0)</f>
        <v>420</v>
      </c>
      <c r="T429" s="57">
        <f>IFERROR(__xludf.DUMMYFUNCTION("""COMPUTED_VALUE"""),1.1666666666666667)</f>
        <v>1.166666667</v>
      </c>
      <c r="U429" s="57">
        <f>IFERROR(__xludf.DUMMYFUNCTION("""COMPUTED_VALUE"""),0.9999999999999999)</f>
        <v>1</v>
      </c>
      <c r="V429" s="57">
        <f>IFERROR(__xludf.DUMMYFUNCTION("""COMPUTED_VALUE"""),1.1666666666666665)</f>
        <v>1.166666667</v>
      </c>
      <c r="W429" s="57">
        <f>IFERROR(__xludf.DUMMYFUNCTION("""COMPUTED_VALUE"""),3.7499999999999996)</f>
        <v>3.75</v>
      </c>
      <c r="X429" s="31">
        <f>IFERROR(__xludf.DUMMYFUNCTION("""COMPUTED_VALUE"""),443.8611111111111)</f>
        <v>443.8611111</v>
      </c>
      <c r="Y429" s="57">
        <f>IFERROR(__xludf.DUMMYFUNCTION("""COMPUTED_VALUE"""),1.2208333333333332)</f>
        <v>1.220833333</v>
      </c>
      <c r="Z429" s="57">
        <f>IFERROR(__xludf.DUMMYFUNCTION("""COMPUTED_VALUE"""),0.9537037037037037)</f>
        <v>0.9537037037</v>
      </c>
      <c r="AA429" s="57">
        <f>IFERROR(__xludf.DUMMYFUNCTION("""COMPUTED_VALUE"""),1.3643518518518518)</f>
        <v>1.364351852</v>
      </c>
      <c r="AB429" s="57">
        <f>IFERROR(__xludf.DUMMYFUNCTION("""COMPUTED_VALUE"""),3.386574074074074)</f>
        <v>3.386574074</v>
      </c>
      <c r="AC429" s="31">
        <f>IFERROR(__xludf.DUMMYFUNCTION("""COMPUTED_VALUE"""),346.50493827160494)</f>
        <v>346.5049383</v>
      </c>
      <c r="AD429" s="57">
        <f>IFERROR(__xludf.DUMMYFUNCTION("""COMPUTED_VALUE"""),0.6223765432098765)</f>
        <v>0.6223765432</v>
      </c>
      <c r="AE429" s="57">
        <f>IFERROR(__xludf.DUMMYFUNCTION("""COMPUTED_VALUE"""),0.5023148148148149)</f>
        <v>0.5023148148</v>
      </c>
      <c r="AF429" s="57">
        <f>IFERROR(__xludf.DUMMYFUNCTION("""COMPUTED_VALUE"""),1.5697530864197529)</f>
        <v>1.569753086</v>
      </c>
      <c r="AG429" s="57">
        <f>IFERROR(__xludf.DUMMYFUNCTION("""COMPUTED_VALUE"""),2.3353395061728395)</f>
        <v>2.335339506</v>
      </c>
      <c r="AH429" s="57">
        <f>IFERROR(__xludf.DUMMYFUNCTION("""COMPUTED_VALUE"""),0.9754550734138789)</f>
        <v>0.9754550734</v>
      </c>
      <c r="AI429" s="57">
        <f>IFERROR(__xludf.DUMMYFUNCTION("""COMPUTED_VALUE"""),0.40168608975948433)</f>
        <v>0.4016860898</v>
      </c>
      <c r="AJ429" s="57">
        <f>IFERROR(__xludf.DUMMYFUNCTION("""COMPUTED_VALUE"""),0.0)</f>
        <v>0</v>
      </c>
      <c r="AK429" s="57">
        <f>IFERROR(__xludf.DUMMYFUNCTION("""COMPUTED_VALUE"""),1.5926071569012978)</f>
        <v>1.592607157</v>
      </c>
      <c r="AL429" s="57">
        <f>IFERROR(__xludf.DUMMYFUNCTION("""COMPUTED_VALUE"""),0.6423048965836252)</f>
        <v>0.6423048966</v>
      </c>
      <c r="AM429" s="57">
        <f>IFERROR(__xludf.DUMMYFUNCTION("""COMPUTED_VALUE"""),0.9462419425495964)</f>
        <v>0.9462419425</v>
      </c>
      <c r="AN429" s="57">
        <f>IFERROR(__xludf.DUMMYFUNCTION("""COMPUTED_VALUE"""),0.9556313993174063)</f>
        <v>0.9556313993</v>
      </c>
      <c r="AO429" s="57">
        <f>IFERROR(__xludf.DUMMYFUNCTION("""COMPUTED_VALUE"""),1.048543689320388)</f>
        <v>1.048543689</v>
      </c>
      <c r="AP429" s="35">
        <f>IFERROR(__xludf.DUMMYFUNCTION("""COMPUTED_VALUE"""),0.8551068883610451)</f>
        <v>0.8551068884</v>
      </c>
      <c r="AQ429" s="57">
        <f>IFERROR(__xludf.DUMMYFUNCTION("""COMPUTED_VALUE"""),1.1073137388926861)</f>
        <v>1.107313739</v>
      </c>
      <c r="AR429" s="36" t="b">
        <f>IFERROR(__xludf.DUMMYFUNCTION("""COMPUTED_VALUE"""),TRUE)</f>
        <v>1</v>
      </c>
      <c r="AS429" s="57"/>
      <c r="AT429" s="37"/>
      <c r="AU429" s="30"/>
      <c r="AV429" s="30"/>
      <c r="AW429" s="30"/>
      <c r="AX429" s="30"/>
      <c r="AY429" s="30"/>
      <c r="AZ429" s="30"/>
    </row>
    <row r="430">
      <c r="A430" s="30" t="str">
        <f>IFERROR(__xludf.DUMMYFUNCTION("""COMPUTED_VALUE"""),"Master")</f>
        <v>Master</v>
      </c>
      <c r="B430" s="30" t="str">
        <f>IFERROR(__xludf.DUMMYFUNCTION("""COMPUTED_VALUE"""),"RSC006704")</f>
        <v>RSC006704</v>
      </c>
      <c r="C430" s="30" t="str">
        <f>IFERROR(__xludf.DUMMYFUNCTION("""COMPUTED_VALUE"""),"noah")</f>
        <v>noah</v>
      </c>
      <c r="D430" s="31"/>
      <c r="E430" s="31">
        <f>IFERROR(__xludf.DUMMYFUNCTION("""COMPUTED_VALUE"""),-13.00363684332845)</f>
        <v>-13.00363684</v>
      </c>
      <c r="F430" s="31">
        <f>IFERROR(__xludf.DUMMYFUNCTION("""COMPUTED_VALUE"""),-170.493765860035)</f>
        <v>-170.4937659</v>
      </c>
      <c r="G430" s="31">
        <f>IFERROR(__xludf.DUMMYFUNCTION("""COMPUTED_VALUE"""),-29.985877861715977)</f>
        <v>-29.98587786</v>
      </c>
      <c r="H430" s="31">
        <f>IFERROR(__xludf.DUMMYFUNCTION("""COMPUTED_VALUE"""),-1452.4625857779547)</f>
        <v>-1452.462586</v>
      </c>
      <c r="I430" s="54">
        <f>IFERROR(__xludf.DUMMYFUNCTION("""COMPUTED_VALUE"""),4.0)</f>
        <v>4</v>
      </c>
      <c r="J430" s="55">
        <f>IFERROR(__xludf.DUMMYFUNCTION("""COMPUTED_VALUE"""),0.0)</f>
        <v>0</v>
      </c>
      <c r="K430" s="54">
        <f>IFERROR(__xludf.DUMMYFUNCTION("""COMPUTED_VALUE"""),4.0)</f>
        <v>4</v>
      </c>
      <c r="L430" s="56">
        <f>IFERROR(__xludf.DUMMYFUNCTION("""COMPUTED_VALUE"""),0.0)</f>
        <v>0</v>
      </c>
      <c r="M430" s="56">
        <f>IFERROR(__xludf.DUMMYFUNCTION("""COMPUTED_VALUE"""),0.0)</f>
        <v>0</v>
      </c>
      <c r="N430" s="31">
        <f>IFERROR(__xludf.DUMMYFUNCTION("""COMPUTED_VALUE"""),175.25)</f>
        <v>175.25</v>
      </c>
      <c r="O430" s="57">
        <f>IFERROR(__xludf.DUMMYFUNCTION("""COMPUTED_VALUE"""),0.0)</f>
        <v>0</v>
      </c>
      <c r="P430" s="57">
        <f>IFERROR(__xludf.DUMMYFUNCTION("""COMPUTED_VALUE"""),0.25)</f>
        <v>0.25</v>
      </c>
      <c r="Q430" s="57">
        <f>IFERROR(__xludf.DUMMYFUNCTION("""COMPUTED_VALUE"""),0.75)</f>
        <v>0.75</v>
      </c>
      <c r="R430" s="57">
        <f>IFERROR(__xludf.DUMMYFUNCTION("""COMPUTED_VALUE"""),2.25)</f>
        <v>2.25</v>
      </c>
      <c r="S430" s="31">
        <f>IFERROR(__xludf.DUMMYFUNCTION("""COMPUTED_VALUE"""),447.8333333333333)</f>
        <v>447.8333333</v>
      </c>
      <c r="T430" s="57">
        <f>IFERROR(__xludf.DUMMYFUNCTION("""COMPUTED_VALUE"""),1.1666666666666667)</f>
        <v>1.166666667</v>
      </c>
      <c r="U430" s="57">
        <f>IFERROR(__xludf.DUMMYFUNCTION("""COMPUTED_VALUE"""),0.8333333333333334)</f>
        <v>0.8333333333</v>
      </c>
      <c r="V430" s="57">
        <f>IFERROR(__xludf.DUMMYFUNCTION("""COMPUTED_VALUE"""),2.0)</f>
        <v>2</v>
      </c>
      <c r="W430" s="57">
        <f>IFERROR(__xludf.DUMMYFUNCTION("""COMPUTED_VALUE"""),3.0)</f>
        <v>3</v>
      </c>
      <c r="X430" s="31">
        <f>IFERROR(__xludf.DUMMYFUNCTION("""COMPUTED_VALUE"""),443.8611111111111)</f>
        <v>443.8611111</v>
      </c>
      <c r="Y430" s="57">
        <f>IFERROR(__xludf.DUMMYFUNCTION("""COMPUTED_VALUE"""),1.2208333333333334)</f>
        <v>1.220833333</v>
      </c>
      <c r="Z430" s="57">
        <f>IFERROR(__xludf.DUMMYFUNCTION("""COMPUTED_VALUE"""),0.9537037037037037)</f>
        <v>0.9537037037</v>
      </c>
      <c r="AA430" s="57">
        <f>IFERROR(__xludf.DUMMYFUNCTION("""COMPUTED_VALUE"""),1.3643518518518516)</f>
        <v>1.364351852</v>
      </c>
      <c r="AB430" s="57">
        <f>IFERROR(__xludf.DUMMYFUNCTION("""COMPUTED_VALUE"""),3.386574074074074)</f>
        <v>3.386574074</v>
      </c>
      <c r="AC430" s="31">
        <f>IFERROR(__xludf.DUMMYFUNCTION("""COMPUTED_VALUE"""),346.50493827160494)</f>
        <v>346.5049383</v>
      </c>
      <c r="AD430" s="57">
        <f>IFERROR(__xludf.DUMMYFUNCTION("""COMPUTED_VALUE"""),0.6223765432098765)</f>
        <v>0.6223765432</v>
      </c>
      <c r="AE430" s="57">
        <f>IFERROR(__xludf.DUMMYFUNCTION("""COMPUTED_VALUE"""),0.5023148148148148)</f>
        <v>0.5023148148</v>
      </c>
      <c r="AF430" s="57">
        <f>IFERROR(__xludf.DUMMYFUNCTION("""COMPUTED_VALUE"""),1.5697530864197529)</f>
        <v>1.569753086</v>
      </c>
      <c r="AG430" s="57">
        <f>IFERROR(__xludf.DUMMYFUNCTION("""COMPUTED_VALUE"""),2.33533950617284)</f>
        <v>2.335339506</v>
      </c>
      <c r="AH430" s="57">
        <f>IFERROR(__xludf.DUMMYFUNCTION("""COMPUTED_VALUE"""),0.5057647976798293)</f>
        <v>0.5057647977</v>
      </c>
      <c r="AI430" s="57">
        <f>IFERROR(__xludf.DUMMYFUNCTION("""COMPUTED_VALUE"""),0.0)</f>
        <v>0</v>
      </c>
      <c r="AJ430" s="57">
        <f>IFERROR(__xludf.DUMMYFUNCTION("""COMPUTED_VALUE"""),0.4976958525345623)</f>
        <v>0.4976958525</v>
      </c>
      <c r="AK430" s="57">
        <f>IFERROR(__xludf.DUMMYFUNCTION("""COMPUTED_VALUE"""),0.47778214707038935)</f>
        <v>0.4777821471</v>
      </c>
      <c r="AL430" s="57">
        <f>IFERROR(__xludf.DUMMYFUNCTION("""COMPUTED_VALUE"""),0.9634573448754377)</f>
        <v>0.9634573449</v>
      </c>
      <c r="AM430" s="57">
        <f>IFERROR(__xludf.DUMMYFUNCTION("""COMPUTED_VALUE"""),1.0089492458852243)</f>
        <v>1.008949246</v>
      </c>
      <c r="AN430" s="57">
        <f>IFERROR(__xludf.DUMMYFUNCTION("""COMPUTED_VALUE"""),0.9556313993174061)</f>
        <v>0.9556313993</v>
      </c>
      <c r="AO430" s="57">
        <f>IFERROR(__xludf.DUMMYFUNCTION("""COMPUTED_VALUE"""),0.8737864077669903)</f>
        <v>0.8737864078</v>
      </c>
      <c r="AP430" s="35">
        <f>IFERROR(__xludf.DUMMYFUNCTION("""COMPUTED_VALUE"""),1.4658975229046491)</f>
        <v>1.465897523</v>
      </c>
      <c r="AQ430" s="57">
        <f>IFERROR(__xludf.DUMMYFUNCTION("""COMPUTED_VALUE"""),0.885850991114149)</f>
        <v>0.8858509911</v>
      </c>
      <c r="AR430" s="36" t="b">
        <f>IFERROR(__xludf.DUMMYFUNCTION("""COMPUTED_VALUE"""),TRUE)</f>
        <v>1</v>
      </c>
      <c r="AS430" s="57"/>
      <c r="AT430" s="37"/>
      <c r="AU430" s="30"/>
      <c r="AV430" s="30"/>
      <c r="AW430" s="30"/>
      <c r="AX430" s="30"/>
      <c r="AY430" s="30"/>
      <c r="AZ430" s="30"/>
    </row>
    <row r="431">
      <c r="A431" s="30" t="str">
        <f>IFERROR(__xludf.DUMMYFUNCTION("""COMPUTED_VALUE"""),"Master")</f>
        <v>Master</v>
      </c>
      <c r="B431" s="30" t="str">
        <f>IFERROR(__xludf.DUMMYFUNCTION("""COMPUTED_VALUE"""),"RSC007924")</f>
        <v>RSC007924</v>
      </c>
      <c r="C431" s="30" t="str">
        <f>IFERROR(__xludf.DUMMYFUNCTION("""COMPUTED_VALUE"""),"Kaorix")</f>
        <v>Kaorix</v>
      </c>
      <c r="D431" s="31"/>
      <c r="E431" s="31">
        <f>IFERROR(__xludf.DUMMYFUNCTION("""COMPUTED_VALUE"""),-17.045240672696877)</f>
        <v>-17.04524067</v>
      </c>
      <c r="F431" s="31">
        <f>IFERROR(__xludf.DUMMYFUNCTION("""COMPUTED_VALUE"""),-273.1303252373991)</f>
        <v>-273.1303252</v>
      </c>
      <c r="G431" s="31">
        <f>IFERROR(__xludf.DUMMYFUNCTION("""COMPUTED_VALUE"""),-11.421833384117782)</f>
        <v>-11.42183338</v>
      </c>
      <c r="H431" s="31">
        <f>IFERROR(__xludf.DUMMYFUNCTION("""COMPUTED_VALUE"""),-142.7021148841868)</f>
        <v>-142.7021149</v>
      </c>
      <c r="I431" s="54">
        <f>IFERROR(__xludf.DUMMYFUNCTION("""COMPUTED_VALUE"""),4.0)</f>
        <v>4</v>
      </c>
      <c r="J431" s="55">
        <f>IFERROR(__xludf.DUMMYFUNCTION("""COMPUTED_VALUE"""),1.0)</f>
        <v>1</v>
      </c>
      <c r="K431" s="54">
        <f>IFERROR(__xludf.DUMMYFUNCTION("""COMPUTED_VALUE"""),3.0)</f>
        <v>3</v>
      </c>
      <c r="L431" s="56">
        <f>IFERROR(__xludf.DUMMYFUNCTION("""COMPUTED_VALUE"""),0.25)</f>
        <v>0.25</v>
      </c>
      <c r="M431" s="56">
        <f>IFERROR(__xludf.DUMMYFUNCTION("""COMPUTED_VALUE"""),0.14285714285714285)</f>
        <v>0.1428571429</v>
      </c>
      <c r="N431" s="31">
        <f>IFERROR(__xludf.DUMMYFUNCTION("""COMPUTED_VALUE"""),249.25)</f>
        <v>249.25</v>
      </c>
      <c r="O431" s="57">
        <f>IFERROR(__xludf.DUMMYFUNCTION("""COMPUTED_VALUE"""),0.25)</f>
        <v>0.25</v>
      </c>
      <c r="P431" s="57">
        <f>IFERROR(__xludf.DUMMYFUNCTION("""COMPUTED_VALUE"""),0.0)</f>
        <v>0</v>
      </c>
      <c r="Q431" s="57">
        <f>IFERROR(__xludf.DUMMYFUNCTION("""COMPUTED_VALUE"""),1.25)</f>
        <v>1.25</v>
      </c>
      <c r="R431" s="57">
        <f>IFERROR(__xludf.DUMMYFUNCTION("""COMPUTED_VALUE"""),1.75)</f>
        <v>1.75</v>
      </c>
      <c r="S431" s="31">
        <f>IFERROR(__xludf.DUMMYFUNCTION("""COMPUTED_VALUE"""),385.8333333333333)</f>
        <v>385.8333333</v>
      </c>
      <c r="T431" s="57">
        <f>IFERROR(__xludf.DUMMYFUNCTION("""COMPUTED_VALUE"""),1.0833333333333335)</f>
        <v>1.083333333</v>
      </c>
      <c r="U431" s="57">
        <f>IFERROR(__xludf.DUMMYFUNCTION("""COMPUTED_VALUE"""),0.7499999999999999)</f>
        <v>0.75</v>
      </c>
      <c r="V431" s="57">
        <f>IFERROR(__xludf.DUMMYFUNCTION("""COMPUTED_VALUE"""),1.0833333333333333)</f>
        <v>1.083333333</v>
      </c>
      <c r="W431" s="57">
        <f>IFERROR(__xludf.DUMMYFUNCTION("""COMPUTED_VALUE"""),2.75)</f>
        <v>2.75</v>
      </c>
      <c r="X431" s="31">
        <f>IFERROR(__xludf.DUMMYFUNCTION("""COMPUTED_VALUE"""),402.99964367990685)</f>
        <v>402.9996437</v>
      </c>
      <c r="Y431" s="57">
        <f>IFERROR(__xludf.DUMMYFUNCTION("""COMPUTED_VALUE"""),0.9452880939723045)</f>
        <v>0.945288094</v>
      </c>
      <c r="Z431" s="57">
        <f>IFERROR(__xludf.DUMMYFUNCTION("""COMPUTED_VALUE"""),0.7048929141034403)</f>
        <v>0.7048929141</v>
      </c>
      <c r="AA431" s="57">
        <f>IFERROR(__xludf.DUMMYFUNCTION("""COMPUTED_VALUE"""),1.420889977468925)</f>
        <v>1.420889977</v>
      </c>
      <c r="AB431" s="57">
        <f>IFERROR(__xludf.DUMMYFUNCTION("""COMPUTED_VALUE"""),3.016977101845523)</f>
        <v>3.016977102</v>
      </c>
      <c r="AC431" s="31">
        <f>IFERROR(__xludf.DUMMYFUNCTION("""COMPUTED_VALUE"""),379.73705918837493)</f>
        <v>379.7370592</v>
      </c>
      <c r="AD431" s="57">
        <f>IFERROR(__xludf.DUMMYFUNCTION("""COMPUTED_VALUE"""),0.7524321114233394)</f>
        <v>0.7524321114</v>
      </c>
      <c r="AE431" s="57">
        <f>IFERROR(__xludf.DUMMYFUNCTION("""COMPUTED_VALUE"""),0.5585799515624077)</f>
        <v>0.5585799516</v>
      </c>
      <c r="AF431" s="57">
        <f>IFERROR(__xludf.DUMMYFUNCTION("""COMPUTED_VALUE"""),1.6299683341350006)</f>
        <v>1.629968334</v>
      </c>
      <c r="AG431" s="57">
        <f>IFERROR(__xludf.DUMMYFUNCTION("""COMPUTED_VALUE"""),2.6048673873235275)</f>
        <v>2.604867387</v>
      </c>
      <c r="AH431" s="57">
        <f>IFERROR(__xludf.DUMMYFUNCTION("""COMPUTED_VALUE"""),0.6563752311473907)</f>
        <v>0.6563752311</v>
      </c>
      <c r="AI431" s="57">
        <f>IFERROR(__xludf.DUMMYFUNCTION("""COMPUTED_VALUE"""),0.33225588887625634)</f>
        <v>0.3322558889</v>
      </c>
      <c r="AJ431" s="57">
        <f>IFERROR(__xludf.DUMMYFUNCTION("""COMPUTED_VALUE"""),0.0)</f>
        <v>0</v>
      </c>
      <c r="AK431" s="57">
        <f>IFERROR(__xludf.DUMMYFUNCTION("""COMPUTED_VALUE"""),0.7668860638715144)</f>
        <v>0.7668860639</v>
      </c>
      <c r="AL431" s="57">
        <f>IFERROR(__xludf.DUMMYFUNCTION("""COMPUTED_VALUE"""),0.6718192290771876)</f>
        <v>0.6718192291</v>
      </c>
      <c r="AM431" s="57">
        <f>IFERROR(__xludf.DUMMYFUNCTION("""COMPUTED_VALUE"""),0.9574036587481245)</f>
        <v>0.9574036587</v>
      </c>
      <c r="AN431" s="57">
        <f>IFERROR(__xludf.DUMMYFUNCTION("""COMPUTED_VALUE"""),1.1460350979148939)</f>
        <v>1.146035098</v>
      </c>
      <c r="AO431" s="57">
        <f>IFERROR(__xludf.DUMMYFUNCTION("""COMPUTED_VALUE"""),1.0639914020896801)</f>
        <v>1.063991402</v>
      </c>
      <c r="AP431" s="35">
        <f>IFERROR(__xludf.DUMMYFUNCTION("""COMPUTED_VALUE"""),0.7624329473159549)</f>
        <v>0.7624329473</v>
      </c>
      <c r="AQ431" s="57">
        <f>IFERROR(__xludf.DUMMYFUNCTION("""COMPUTED_VALUE"""),0.9115084096322078)</f>
        <v>0.9115084096</v>
      </c>
      <c r="AR431" s="36" t="b">
        <f>IFERROR(__xludf.DUMMYFUNCTION("""COMPUTED_VALUE"""),TRUE)</f>
        <v>1</v>
      </c>
      <c r="AS431" s="57"/>
      <c r="AT431" s="37"/>
      <c r="AU431" s="30"/>
      <c r="AV431" s="30"/>
      <c r="AW431" s="30"/>
      <c r="AX431" s="30"/>
      <c r="AY431" s="30"/>
      <c r="AZ431" s="30"/>
    </row>
    <row r="432">
      <c r="A432" s="30" t="str">
        <f>IFERROR(__xludf.DUMMYFUNCTION("""COMPUTED_VALUE"""),"Master")</f>
        <v>Master</v>
      </c>
      <c r="B432" s="30" t="str">
        <f>IFERROR(__xludf.DUMMYFUNCTION("""COMPUTED_VALUE"""),"RSC005301")</f>
        <v>RSC005301</v>
      </c>
      <c r="C432" s="30" t="str">
        <f>IFERROR(__xludf.DUMMYFUNCTION("""COMPUTED_VALUE"""),"Nehtaro")</f>
        <v>Nehtaro</v>
      </c>
      <c r="D432" s="31"/>
      <c r="E432" s="31">
        <f>IFERROR(__xludf.DUMMYFUNCTION("""COMPUTED_VALUE"""),-22.42418605567302)</f>
        <v>-22.42418606</v>
      </c>
      <c r="F432" s="31">
        <f>IFERROR(__xludf.DUMMYFUNCTION("""COMPUTED_VALUE"""),-530.8012612884805)</f>
        <v>-530.8012613</v>
      </c>
      <c r="G432" s="31">
        <f>IFERROR(__xludf.DUMMYFUNCTION("""COMPUTED_VALUE"""),-26.13522380520415)</f>
        <v>-26.13522381</v>
      </c>
      <c r="H432" s="31">
        <f>IFERROR(__xludf.DUMMYFUNCTION("""COMPUTED_VALUE"""),-860.7180821656923)</f>
        <v>-860.7180822</v>
      </c>
      <c r="I432" s="54">
        <f>IFERROR(__xludf.DUMMYFUNCTION("""COMPUTED_VALUE"""),2.0)</f>
        <v>2</v>
      </c>
      <c r="J432" s="55">
        <f>IFERROR(__xludf.DUMMYFUNCTION("""COMPUTED_VALUE"""),0.0)</f>
        <v>0</v>
      </c>
      <c r="K432" s="54">
        <f>IFERROR(__xludf.DUMMYFUNCTION("""COMPUTED_VALUE"""),2.0)</f>
        <v>2</v>
      </c>
      <c r="L432" s="56">
        <f>IFERROR(__xludf.DUMMYFUNCTION("""COMPUTED_VALUE"""),0.0)</f>
        <v>0</v>
      </c>
      <c r="M432" s="56">
        <f>IFERROR(__xludf.DUMMYFUNCTION("""COMPUTED_VALUE"""),0.0)</f>
        <v>0</v>
      </c>
      <c r="N432" s="31">
        <f>IFERROR(__xludf.DUMMYFUNCTION("""COMPUTED_VALUE"""),239.5)</f>
        <v>239.5</v>
      </c>
      <c r="O432" s="57">
        <f>IFERROR(__xludf.DUMMYFUNCTION("""COMPUTED_VALUE"""),0.0)</f>
        <v>0</v>
      </c>
      <c r="P432" s="57">
        <f>IFERROR(__xludf.DUMMYFUNCTION("""COMPUTED_VALUE"""),0.5)</f>
        <v>0.5</v>
      </c>
      <c r="Q432" s="57">
        <f>IFERROR(__xludf.DUMMYFUNCTION("""COMPUTED_VALUE"""),1.5)</f>
        <v>1.5</v>
      </c>
      <c r="R432" s="57">
        <f>IFERROR(__xludf.DUMMYFUNCTION("""COMPUTED_VALUE"""),2.5)</f>
        <v>2.5</v>
      </c>
      <c r="S432" s="31">
        <f>IFERROR(__xludf.DUMMYFUNCTION("""COMPUTED_VALUE"""),530.0)</f>
        <v>530</v>
      </c>
      <c r="T432" s="57">
        <f>IFERROR(__xludf.DUMMYFUNCTION("""COMPUTED_VALUE"""),1.5)</f>
        <v>1.5</v>
      </c>
      <c r="U432" s="57">
        <f>IFERROR(__xludf.DUMMYFUNCTION("""COMPUTED_VALUE"""),1.5)</f>
        <v>1.5</v>
      </c>
      <c r="V432" s="57">
        <f>IFERROR(__xludf.DUMMYFUNCTION("""COMPUTED_VALUE"""),2.0)</f>
        <v>2</v>
      </c>
      <c r="W432" s="57">
        <f>IFERROR(__xludf.DUMMYFUNCTION("""COMPUTED_VALUE"""),4.0)</f>
        <v>4</v>
      </c>
      <c r="X432" s="31">
        <f>IFERROR(__xludf.DUMMYFUNCTION("""COMPUTED_VALUE"""),382.66533776301213)</f>
        <v>382.6653378</v>
      </c>
      <c r="Y432" s="57">
        <f>IFERROR(__xludf.DUMMYFUNCTION("""COMPUTED_VALUE"""),0.9502569781639548)</f>
        <v>0.9502569782</v>
      </c>
      <c r="Z432" s="57">
        <f>IFERROR(__xludf.DUMMYFUNCTION("""COMPUTED_VALUE"""),0.7088735553851833)</f>
        <v>0.7088735554</v>
      </c>
      <c r="AA432" s="57">
        <f>IFERROR(__xludf.DUMMYFUNCTION("""COMPUTED_VALUE"""),1.476076894681546)</f>
        <v>1.476076895</v>
      </c>
      <c r="AB432" s="57">
        <f>IFERROR(__xludf.DUMMYFUNCTION("""COMPUTED_VALUE"""),3.026634863844166)</f>
        <v>3.026634864</v>
      </c>
      <c r="AC432" s="31">
        <f>IFERROR(__xludf.DUMMYFUNCTION("""COMPUTED_VALUE"""),420.75706808264954)</f>
        <v>420.7570681</v>
      </c>
      <c r="AD432" s="57">
        <f>IFERROR(__xludf.DUMMYFUNCTION("""COMPUTED_VALUE"""),1.0791189860957304)</f>
        <v>1.079118986</v>
      </c>
      <c r="AE432" s="57">
        <f>IFERROR(__xludf.DUMMYFUNCTION("""COMPUTED_VALUE"""),0.8508050089445437)</f>
        <v>0.8508050089</v>
      </c>
      <c r="AF432" s="57">
        <f>IFERROR(__xludf.DUMMYFUNCTION("""COMPUTED_VALUE"""),1.5624764554997117)</f>
        <v>1.562476455</v>
      </c>
      <c r="AG432" s="57">
        <f>IFERROR(__xludf.DUMMYFUNCTION("""COMPUTED_VALUE"""),3.067370872022035)</f>
        <v>3.067370872</v>
      </c>
      <c r="AH432" s="57">
        <f>IFERROR(__xludf.DUMMYFUNCTION("""COMPUTED_VALUE"""),0.5692120659823471)</f>
        <v>0.569212066</v>
      </c>
      <c r="AI432" s="57">
        <f>IFERROR(__xludf.DUMMYFUNCTION("""COMPUTED_VALUE"""),0.0)</f>
        <v>0</v>
      </c>
      <c r="AJ432" s="57">
        <f>IFERROR(__xludf.DUMMYFUNCTION("""COMPUTED_VALUE"""),0.5876787216148025)</f>
        <v>0.5876787216</v>
      </c>
      <c r="AK432" s="57">
        <f>IFERROR(__xludf.DUMMYFUNCTION("""COMPUTED_VALUE"""),0.9600144659589571)</f>
        <v>0.960014466</v>
      </c>
      <c r="AL432" s="57">
        <f>IFERROR(__xludf.DUMMYFUNCTION("""COMPUTED_VALUE"""),0.8150302341340225)</f>
        <v>0.8150302341</v>
      </c>
      <c r="AM432" s="57">
        <f>IFERROR(__xludf.DUMMYFUNCTION("""COMPUTED_VALUE"""),1.3850222314314589)</f>
        <v>1.385022231</v>
      </c>
      <c r="AN432" s="57">
        <f>IFERROR(__xludf.DUMMYFUNCTION("""COMPUTED_VALUE"""),1.5785203734028186)</f>
        <v>1.578520373</v>
      </c>
      <c r="AO432" s="57">
        <f>IFERROR(__xludf.DUMMYFUNCTION("""COMPUTED_VALUE"""),2.116033231321402)</f>
        <v>2.116033231</v>
      </c>
      <c r="AP432" s="35">
        <f>IFERROR(__xludf.DUMMYFUNCTION("""COMPUTED_VALUE"""),1.3549429621222322)</f>
        <v>1.354942962</v>
      </c>
      <c r="AQ432" s="57">
        <f>IFERROR(__xludf.DUMMYFUNCTION("""COMPUTED_VALUE"""),1.3215997898469825)</f>
        <v>1.32159979</v>
      </c>
      <c r="AR432" s="36" t="b">
        <f>IFERROR(__xludf.DUMMYFUNCTION("""COMPUTED_VALUE"""),TRUE)</f>
        <v>1</v>
      </c>
      <c r="AS432" s="57"/>
      <c r="AT432" s="37"/>
      <c r="AU432" s="30"/>
      <c r="AV432" s="30"/>
      <c r="AW432" s="30"/>
      <c r="AX432" s="30"/>
      <c r="AY432" s="30"/>
      <c r="AZ432" s="30"/>
    </row>
    <row r="433">
      <c r="A433" s="30" t="str">
        <f>IFERROR(__xludf.DUMMYFUNCTION("""COMPUTED_VALUE"""),"Premier")</f>
        <v>Premier</v>
      </c>
      <c r="B433" s="30" t="str">
        <f>IFERROR(__xludf.DUMMYFUNCTION("""COMPUTED_VALUE"""),"RSC004216")</f>
        <v>RSC004216</v>
      </c>
      <c r="C433" s="30" t="str">
        <f>IFERROR(__xludf.DUMMYFUNCTION("""COMPUTED_VALUE"""),"GrEh")</f>
        <v>GrEh</v>
      </c>
      <c r="D433" s="31" t="str">
        <f>IFERROR(__xludf.DUMMYFUNCTION("""COMPUTED_VALUE"""),"Long Beards")</f>
        <v>Long Beards</v>
      </c>
      <c r="E433" s="31">
        <f>IFERROR(__xludf.DUMMYFUNCTION("""COMPUTED_VALUE"""),101.83291421401691)</f>
        <v>101.8329142</v>
      </c>
      <c r="F433" s="31">
        <f>IFERROR(__xludf.DUMMYFUNCTION("""COMPUTED_VALUE"""),52.434497347177846)</f>
        <v>52.43449735</v>
      </c>
      <c r="G433" s="31">
        <f>IFERROR(__xludf.DUMMYFUNCTION("""COMPUTED_VALUE"""),73.3792630621812)</f>
        <v>73.37926306</v>
      </c>
      <c r="H433" s="31">
        <f>IFERROR(__xludf.DUMMYFUNCTION("""COMPUTED_VALUE"""),5.719180888398824)</f>
        <v>5.719180888</v>
      </c>
      <c r="I433" s="54">
        <f>IFERROR(__xludf.DUMMYFUNCTION("""COMPUTED_VALUE"""),48.0)</f>
        <v>48</v>
      </c>
      <c r="J433" s="55">
        <f>IFERROR(__xludf.DUMMYFUNCTION("""COMPUTED_VALUE"""),32.0)</f>
        <v>32</v>
      </c>
      <c r="K433" s="54">
        <f>IFERROR(__xludf.DUMMYFUNCTION("""COMPUTED_VALUE"""),16.0)</f>
        <v>16</v>
      </c>
      <c r="L433" s="56">
        <f>IFERROR(__xludf.DUMMYFUNCTION("""COMPUTED_VALUE"""),0.6666666666666666)</f>
        <v>0.6666666667</v>
      </c>
      <c r="M433" s="56">
        <f>IFERROR(__xludf.DUMMYFUNCTION("""COMPUTED_VALUE"""),0.3202247191011236)</f>
        <v>0.3202247191</v>
      </c>
      <c r="N433" s="31">
        <f>IFERROR(__xludf.DUMMYFUNCTION("""COMPUTED_VALUE"""),401.875)</f>
        <v>401.875</v>
      </c>
      <c r="O433" s="57">
        <f>IFERROR(__xludf.DUMMYFUNCTION("""COMPUTED_VALUE"""),1.1875)</f>
        <v>1.1875</v>
      </c>
      <c r="P433" s="57">
        <f>IFERROR(__xludf.DUMMYFUNCTION("""COMPUTED_VALUE"""),0.9583333333333334)</f>
        <v>0.9583333333</v>
      </c>
      <c r="Q433" s="57">
        <f>IFERROR(__xludf.DUMMYFUNCTION("""COMPUTED_VALUE"""),1.0)</f>
        <v>1</v>
      </c>
      <c r="R433" s="57">
        <f>IFERROR(__xludf.DUMMYFUNCTION("""COMPUTED_VALUE"""),3.7083333333333335)</f>
        <v>3.708333333</v>
      </c>
      <c r="S433" s="31">
        <f>IFERROR(__xludf.DUMMYFUNCTION("""COMPUTED_VALUE"""),379.3680555555556)</f>
        <v>379.3680556</v>
      </c>
      <c r="T433" s="57">
        <f>IFERROR(__xludf.DUMMYFUNCTION("""COMPUTED_VALUE"""),0.7013888888888888)</f>
        <v>0.7013888889</v>
      </c>
      <c r="U433" s="57">
        <f>IFERROR(__xludf.DUMMYFUNCTION("""COMPUTED_VALUE"""),0.5069444444444443)</f>
        <v>0.5069444444</v>
      </c>
      <c r="V433" s="57">
        <f>IFERROR(__xludf.DUMMYFUNCTION("""COMPUTED_VALUE"""),1.840277777777778)</f>
        <v>1.840277778</v>
      </c>
      <c r="W433" s="57">
        <f>IFERROR(__xludf.DUMMYFUNCTION("""COMPUTED_VALUE"""),2.409722222222222)</f>
        <v>2.409722222</v>
      </c>
      <c r="X433" s="31">
        <f>IFERROR(__xludf.DUMMYFUNCTION("""COMPUTED_VALUE"""),373.7147375971709)</f>
        <v>373.7147376</v>
      </c>
      <c r="Y433" s="57">
        <f>IFERROR(__xludf.DUMMYFUNCTION("""COMPUTED_VALUE"""),0.7973737417140633)</f>
        <v>0.7973737417</v>
      </c>
      <c r="Z433" s="57">
        <f>IFERROR(__xludf.DUMMYFUNCTION("""COMPUTED_VALUE"""),0.6130584522273491)</f>
        <v>0.6130584522</v>
      </c>
      <c r="AA433" s="57">
        <f>IFERROR(__xludf.DUMMYFUNCTION("""COMPUTED_VALUE"""),1.4915034341302043)</f>
        <v>1.491503434</v>
      </c>
      <c r="AB433" s="57">
        <f>IFERROR(__xludf.DUMMYFUNCTION("""COMPUTED_VALUE"""),2.707798897366652)</f>
        <v>2.707798897</v>
      </c>
      <c r="AC433" s="31">
        <f>IFERROR(__xludf.DUMMYFUNCTION("""COMPUTED_VALUE"""),374.08847958946416)</f>
        <v>374.0884796</v>
      </c>
      <c r="AD433" s="57">
        <f>IFERROR(__xludf.DUMMYFUNCTION("""COMPUTED_VALUE"""),0.8400102516195219)</f>
        <v>0.8400102516</v>
      </c>
      <c r="AE433" s="57">
        <f>IFERROR(__xludf.DUMMYFUNCTION("""COMPUTED_VALUE"""),0.6611822953421695)</f>
        <v>0.6611822953</v>
      </c>
      <c r="AF433" s="57">
        <f>IFERROR(__xludf.DUMMYFUNCTION("""COMPUTED_VALUE"""),1.4178318283536624)</f>
        <v>1.417831828</v>
      </c>
      <c r="AG433" s="57">
        <f>IFERROR(__xludf.DUMMYFUNCTION("""COMPUTED_VALUE"""),2.7492465946009332)</f>
        <v>2.749246595</v>
      </c>
      <c r="AH433" s="57">
        <f>IFERROR(__xludf.DUMMYFUNCTION("""COMPUTED_VALUE"""),1.0742779367090631)</f>
        <v>1.074277937</v>
      </c>
      <c r="AI433" s="57">
        <f>IFERROR(__xludf.DUMMYFUNCTION("""COMPUTED_VALUE"""),1.4136732232856983)</f>
        <v>1.413673223</v>
      </c>
      <c r="AJ433" s="57">
        <f>IFERROR(__xludf.DUMMYFUNCTION("""COMPUTED_VALUE"""),1.4494237672189705)</f>
        <v>1.449423767</v>
      </c>
      <c r="AK433" s="57">
        <f>IFERROR(__xludf.DUMMYFUNCTION("""COMPUTED_VALUE"""),0.7053022650515369)</f>
        <v>0.7053022651</v>
      </c>
      <c r="AL433" s="57">
        <f>IFERROR(__xludf.DUMMYFUNCTION("""COMPUTED_VALUE"""),1.3488543881861628)</f>
        <v>1.348854388</v>
      </c>
      <c r="AM433" s="57">
        <f>IFERROR(__xludf.DUMMYFUNCTION("""COMPUTED_VALUE"""),1.0151273615665606)</f>
        <v>1.015127362</v>
      </c>
      <c r="AN433" s="57">
        <f>IFERROR(__xludf.DUMMYFUNCTION("""COMPUTED_VALUE"""),0.879623760096687)</f>
        <v>0.8796237601</v>
      </c>
      <c r="AO433" s="57">
        <f>IFERROR(__xludf.DUMMYFUNCTION("""COMPUTED_VALUE"""),0.8269104562584955)</f>
        <v>0.8269104563</v>
      </c>
      <c r="AP433" s="35">
        <f>IFERROR(__xludf.DUMMYFUNCTION("""COMPUTED_VALUE"""),1.2338407915573908)</f>
        <v>1.233840792</v>
      </c>
      <c r="AQ433" s="57">
        <f>IFERROR(__xludf.DUMMYFUNCTION("""COMPUTED_VALUE"""),0.8899191976795946)</f>
        <v>0.8899191977</v>
      </c>
      <c r="AR433" s="36" t="b">
        <f>IFERROR(__xludf.DUMMYFUNCTION("""COMPUTED_VALUE"""),TRUE)</f>
        <v>1</v>
      </c>
      <c r="AS433" s="57"/>
      <c r="AT433" s="37"/>
      <c r="AU433" s="30"/>
      <c r="AV433" s="30"/>
      <c r="AW433" s="30"/>
      <c r="AX433" s="30"/>
      <c r="AY433" s="30"/>
      <c r="AZ433" s="30"/>
    </row>
    <row r="434">
      <c r="A434" s="30" t="str">
        <f>IFERROR(__xludf.DUMMYFUNCTION("""COMPUTED_VALUE"""),"Premier")</f>
        <v>Premier</v>
      </c>
      <c r="B434" s="30" t="str">
        <f>IFERROR(__xludf.DUMMYFUNCTION("""COMPUTED_VALUE"""),"RSC004459")</f>
        <v>RSC004459</v>
      </c>
      <c r="C434" s="30" t="str">
        <f>IFERROR(__xludf.DUMMYFUNCTION("""COMPUTED_VALUE"""),"phoenix")</f>
        <v>phoenix</v>
      </c>
      <c r="D434" s="31" t="str">
        <f>IFERROR(__xludf.DUMMYFUNCTION("""COMPUTED_VALUE"""),"Long Beards")</f>
        <v>Long Beards</v>
      </c>
      <c r="E434" s="31">
        <f>IFERROR(__xludf.DUMMYFUNCTION("""COMPUTED_VALUE"""),89.93916540036744)</f>
        <v>89.9391654</v>
      </c>
      <c r="F434" s="31">
        <f>IFERROR(__xludf.DUMMYFUNCTION("""COMPUTED_VALUE"""),18.158795952102235)</f>
        <v>18.15879595</v>
      </c>
      <c r="G434" s="31">
        <f>IFERROR(__xludf.DUMMYFUNCTION("""COMPUTED_VALUE"""),67.7078298633848)</f>
        <v>67.70782986</v>
      </c>
      <c r="H434" s="31">
        <f>IFERROR(__xludf.DUMMYFUNCTION("""COMPUTED_VALUE"""),4.177538841402422)</f>
        <v>4.177538841</v>
      </c>
      <c r="I434" s="54">
        <f>IFERROR(__xludf.DUMMYFUNCTION("""COMPUTED_VALUE"""),48.0)</f>
        <v>48</v>
      </c>
      <c r="J434" s="55">
        <f>IFERROR(__xludf.DUMMYFUNCTION("""COMPUTED_VALUE"""),32.0)</f>
        <v>32</v>
      </c>
      <c r="K434" s="54">
        <f>IFERROR(__xludf.DUMMYFUNCTION("""COMPUTED_VALUE"""),16.0)</f>
        <v>16</v>
      </c>
      <c r="L434" s="56">
        <f>IFERROR(__xludf.DUMMYFUNCTION("""COMPUTED_VALUE"""),0.6666666666666666)</f>
        <v>0.6666666667</v>
      </c>
      <c r="M434" s="56">
        <f>IFERROR(__xludf.DUMMYFUNCTION("""COMPUTED_VALUE"""),0.31901840490797545)</f>
        <v>0.3190184049</v>
      </c>
      <c r="N434" s="31">
        <f>IFERROR(__xludf.DUMMYFUNCTION("""COMPUTED_VALUE"""),420.0416666666667)</f>
        <v>420.0416667</v>
      </c>
      <c r="O434" s="57">
        <f>IFERROR(__xludf.DUMMYFUNCTION("""COMPUTED_VALUE"""),1.0833333333333333)</f>
        <v>1.083333333</v>
      </c>
      <c r="P434" s="57">
        <f>IFERROR(__xludf.DUMMYFUNCTION("""COMPUTED_VALUE"""),0.8333333333333334)</f>
        <v>0.8333333333</v>
      </c>
      <c r="Q434" s="57">
        <f>IFERROR(__xludf.DUMMYFUNCTION("""COMPUTED_VALUE"""),1.6875)</f>
        <v>1.6875</v>
      </c>
      <c r="R434" s="57">
        <f>IFERROR(__xludf.DUMMYFUNCTION("""COMPUTED_VALUE"""),3.3958333333333335)</f>
        <v>3.395833333</v>
      </c>
      <c r="S434" s="31">
        <f>IFERROR(__xludf.DUMMYFUNCTION("""COMPUTED_VALUE"""),379.3680555555556)</f>
        <v>379.3680556</v>
      </c>
      <c r="T434" s="57">
        <f>IFERROR(__xludf.DUMMYFUNCTION("""COMPUTED_VALUE"""),0.7013888888888888)</f>
        <v>0.7013888889</v>
      </c>
      <c r="U434" s="57">
        <f>IFERROR(__xludf.DUMMYFUNCTION("""COMPUTED_VALUE"""),0.5069444444444443)</f>
        <v>0.5069444444</v>
      </c>
      <c r="V434" s="57">
        <f>IFERROR(__xludf.DUMMYFUNCTION("""COMPUTED_VALUE"""),1.840277777777778)</f>
        <v>1.840277778</v>
      </c>
      <c r="W434" s="57">
        <f>IFERROR(__xludf.DUMMYFUNCTION("""COMPUTED_VALUE"""),2.409722222222222)</f>
        <v>2.409722222</v>
      </c>
      <c r="X434" s="31">
        <f>IFERROR(__xludf.DUMMYFUNCTION("""COMPUTED_VALUE"""),373.7147375971709)</f>
        <v>373.7147376</v>
      </c>
      <c r="Y434" s="57">
        <f>IFERROR(__xludf.DUMMYFUNCTION("""COMPUTED_VALUE"""),0.7973737417140633)</f>
        <v>0.7973737417</v>
      </c>
      <c r="Z434" s="57">
        <f>IFERROR(__xludf.DUMMYFUNCTION("""COMPUTED_VALUE"""),0.6130584522273491)</f>
        <v>0.6130584522</v>
      </c>
      <c r="AA434" s="57">
        <f>IFERROR(__xludf.DUMMYFUNCTION("""COMPUTED_VALUE"""),1.4915034341302043)</f>
        <v>1.491503434</v>
      </c>
      <c r="AB434" s="57">
        <f>IFERROR(__xludf.DUMMYFUNCTION("""COMPUTED_VALUE"""),2.707798897366652)</f>
        <v>2.707798897</v>
      </c>
      <c r="AC434" s="31">
        <f>IFERROR(__xludf.DUMMYFUNCTION("""COMPUTED_VALUE"""),374.08847958946416)</f>
        <v>374.0884796</v>
      </c>
      <c r="AD434" s="57">
        <f>IFERROR(__xludf.DUMMYFUNCTION("""COMPUTED_VALUE"""),0.8400102516195219)</f>
        <v>0.8400102516</v>
      </c>
      <c r="AE434" s="57">
        <f>IFERROR(__xludf.DUMMYFUNCTION("""COMPUTED_VALUE"""),0.6611822953421695)</f>
        <v>0.6611822953</v>
      </c>
      <c r="AF434" s="57">
        <f>IFERROR(__xludf.DUMMYFUNCTION("""COMPUTED_VALUE"""),1.4178318283536624)</f>
        <v>1.417831828</v>
      </c>
      <c r="AG434" s="57">
        <f>IFERROR(__xludf.DUMMYFUNCTION("""COMPUTED_VALUE"""),2.7492465946009332)</f>
        <v>2.749246595</v>
      </c>
      <c r="AH434" s="57">
        <f>IFERROR(__xludf.DUMMYFUNCTION("""COMPUTED_VALUE"""),1.1228404230133815)</f>
        <v>1.122840423</v>
      </c>
      <c r="AI434" s="57">
        <f>IFERROR(__xludf.DUMMYFUNCTION("""COMPUTED_VALUE"""),1.2896668001904614)</f>
        <v>1.2896668</v>
      </c>
      <c r="AJ434" s="57">
        <f>IFERROR(__xludf.DUMMYFUNCTION("""COMPUTED_VALUE"""),1.2603684932338874)</f>
        <v>1.260368493</v>
      </c>
      <c r="AK434" s="57">
        <f>IFERROR(__xludf.DUMMYFUNCTION("""COMPUTED_VALUE"""),1.1901975722744687)</f>
        <v>1.190197572</v>
      </c>
      <c r="AL434" s="57">
        <f>IFERROR(__xludf.DUMMYFUNCTION("""COMPUTED_VALUE"""),1.2351868835637334)</f>
        <v>1.235186884</v>
      </c>
      <c r="AM434" s="57">
        <f>IFERROR(__xludf.DUMMYFUNCTION("""COMPUTED_VALUE"""),1.0151273615665606)</f>
        <v>1.015127362</v>
      </c>
      <c r="AN434" s="57">
        <f>IFERROR(__xludf.DUMMYFUNCTION("""COMPUTED_VALUE"""),0.879623760096687)</f>
        <v>0.8796237601</v>
      </c>
      <c r="AO434" s="57">
        <f>IFERROR(__xludf.DUMMYFUNCTION("""COMPUTED_VALUE"""),0.8269104562584955)</f>
        <v>0.8269104563</v>
      </c>
      <c r="AP434" s="35">
        <f>IFERROR(__xludf.DUMMYFUNCTION("""COMPUTED_VALUE"""),1.2338407915573908)</f>
        <v>1.233840792</v>
      </c>
      <c r="AQ434" s="57">
        <f>IFERROR(__xludf.DUMMYFUNCTION("""COMPUTED_VALUE"""),0.8899191976795946)</f>
        <v>0.8899191977</v>
      </c>
      <c r="AR434" s="36" t="b">
        <f>IFERROR(__xludf.DUMMYFUNCTION("""COMPUTED_VALUE"""),TRUE)</f>
        <v>1</v>
      </c>
      <c r="AS434" s="57"/>
      <c r="AT434" s="37"/>
      <c r="AU434" s="30"/>
      <c r="AV434" s="30"/>
      <c r="AW434" s="30"/>
      <c r="AX434" s="30"/>
      <c r="AY434" s="30"/>
      <c r="AZ434" s="30"/>
    </row>
    <row r="435">
      <c r="A435" s="30" t="str">
        <f>IFERROR(__xludf.DUMMYFUNCTION("""COMPUTED_VALUE"""),"Premier")</f>
        <v>Premier</v>
      </c>
      <c r="B435" s="30" t="str">
        <f>IFERROR(__xludf.DUMMYFUNCTION("""COMPUTED_VALUE"""),"RSC007982")</f>
        <v>RSC007982</v>
      </c>
      <c r="C435" s="30" t="str">
        <f>IFERROR(__xludf.DUMMYFUNCTION("""COMPUTED_VALUE"""),"Cadomac")</f>
        <v>Cadomac</v>
      </c>
      <c r="D435" s="31" t="str">
        <f>IFERROR(__xludf.DUMMYFUNCTION("""COMPUTED_VALUE"""),"Hurricanes")</f>
        <v>Hurricanes</v>
      </c>
      <c r="E435" s="31">
        <f>IFERROR(__xludf.DUMMYFUNCTION("""COMPUTED_VALUE"""),86.72746194907634)</f>
        <v>86.72746195</v>
      </c>
      <c r="F435" s="31">
        <f>IFERROR(__xludf.DUMMYFUNCTION("""COMPUTED_VALUE"""),14.103767570033027)</f>
        <v>14.10376757</v>
      </c>
      <c r="G435" s="31">
        <f>IFERROR(__xludf.DUMMYFUNCTION("""COMPUTED_VALUE"""),73.3421742056196)</f>
        <v>73.34217421</v>
      </c>
      <c r="H435" s="31">
        <f>IFERROR(__xludf.DUMMYFUNCTION("""COMPUTED_VALUE"""),5.7066976133632386)</f>
        <v>5.706697613</v>
      </c>
      <c r="I435" s="54">
        <f>IFERROR(__xludf.DUMMYFUNCTION("""COMPUTED_VALUE"""),43.0)</f>
        <v>43</v>
      </c>
      <c r="J435" s="55">
        <f>IFERROR(__xludf.DUMMYFUNCTION("""COMPUTED_VALUE"""),23.0)</f>
        <v>23</v>
      </c>
      <c r="K435" s="54">
        <f>IFERROR(__xludf.DUMMYFUNCTION("""COMPUTED_VALUE"""),20.0)</f>
        <v>20</v>
      </c>
      <c r="L435" s="56">
        <f>IFERROR(__xludf.DUMMYFUNCTION("""COMPUTED_VALUE"""),0.5348837209302325)</f>
        <v>0.5348837209</v>
      </c>
      <c r="M435" s="56">
        <f>IFERROR(__xludf.DUMMYFUNCTION("""COMPUTED_VALUE"""),0.26973684210526316)</f>
        <v>0.2697368421</v>
      </c>
      <c r="N435" s="31">
        <f>IFERROR(__xludf.DUMMYFUNCTION("""COMPUTED_VALUE"""),455.83720930232556)</f>
        <v>455.8372093</v>
      </c>
      <c r="O435" s="57">
        <f>IFERROR(__xludf.DUMMYFUNCTION("""COMPUTED_VALUE"""),0.9534883720930233)</f>
        <v>0.9534883721</v>
      </c>
      <c r="P435" s="57">
        <f>IFERROR(__xludf.DUMMYFUNCTION("""COMPUTED_VALUE"""),0.813953488372093)</f>
        <v>0.8139534884</v>
      </c>
      <c r="Q435" s="57">
        <f>IFERROR(__xludf.DUMMYFUNCTION("""COMPUTED_VALUE"""),1.744186046511628)</f>
        <v>1.744186047</v>
      </c>
      <c r="R435" s="57">
        <f>IFERROR(__xludf.DUMMYFUNCTION("""COMPUTED_VALUE"""),3.5348837209302326)</f>
        <v>3.534883721</v>
      </c>
      <c r="S435" s="31">
        <f>IFERROR(__xludf.DUMMYFUNCTION("""COMPUTED_VALUE"""),387.5581395348837)</f>
        <v>387.5581395</v>
      </c>
      <c r="T435" s="57">
        <f>IFERROR(__xludf.DUMMYFUNCTION("""COMPUTED_VALUE"""),0.7751937984496121)</f>
        <v>0.7751937984</v>
      </c>
      <c r="U435" s="57">
        <f>IFERROR(__xludf.DUMMYFUNCTION("""COMPUTED_VALUE"""),0.6046511627906976)</f>
        <v>0.6046511628</v>
      </c>
      <c r="V435" s="57">
        <f>IFERROR(__xludf.DUMMYFUNCTION("""COMPUTED_VALUE"""),1.7209302325581395)</f>
        <v>1.720930233</v>
      </c>
      <c r="W435" s="57">
        <f>IFERROR(__xludf.DUMMYFUNCTION("""COMPUTED_VALUE"""),2.7054263565891468)</f>
        <v>2.705426357</v>
      </c>
      <c r="X435" s="31">
        <f>IFERROR(__xludf.DUMMYFUNCTION("""COMPUTED_VALUE"""),374.3676368094415)</f>
        <v>374.3676368</v>
      </c>
      <c r="Y435" s="57">
        <f>IFERROR(__xludf.DUMMYFUNCTION("""COMPUTED_VALUE"""),0.8564998353312397)</f>
        <v>0.8564998353</v>
      </c>
      <c r="Z435" s="57">
        <f>IFERROR(__xludf.DUMMYFUNCTION("""COMPUTED_VALUE"""),0.6615410990907097)</f>
        <v>0.6615410991</v>
      </c>
      <c r="AA435" s="57">
        <f>IFERROR(__xludf.DUMMYFUNCTION("""COMPUTED_VALUE"""),1.41682393592039)</f>
        <v>1.416823936</v>
      </c>
      <c r="AB435" s="57">
        <f>IFERROR(__xludf.DUMMYFUNCTION("""COMPUTED_VALUE"""),2.732278425574378)</f>
        <v>2.732278426</v>
      </c>
      <c r="AC435" s="31">
        <f>IFERROR(__xludf.DUMMYFUNCTION("""COMPUTED_VALUE"""),374.7436167983826)</f>
        <v>374.7436168</v>
      </c>
      <c r="AD435" s="57">
        <f>IFERROR(__xludf.DUMMYFUNCTION("""COMPUTED_VALUE"""),0.8278496601347834)</f>
        <v>0.8278496601</v>
      </c>
      <c r="AE435" s="57">
        <f>IFERROR(__xludf.DUMMYFUNCTION("""COMPUTED_VALUE"""),0.6407912360277012)</f>
        <v>0.640791236</v>
      </c>
      <c r="AF435" s="57">
        <f>IFERROR(__xludf.DUMMYFUNCTION("""COMPUTED_VALUE"""),1.4453412928853941)</f>
        <v>1.445341293</v>
      </c>
      <c r="AG435" s="57">
        <f>IFERROR(__xludf.DUMMYFUNCTION("""COMPUTED_VALUE"""),2.7214786250180554)</f>
        <v>2.721478625</v>
      </c>
      <c r="AH435" s="57">
        <f>IFERROR(__xludf.DUMMYFUNCTION("""COMPUTED_VALUE"""),1.2163975285203388)</f>
        <v>1.216397529</v>
      </c>
      <c r="AI435" s="57">
        <f>IFERROR(__xludf.DUMMYFUNCTION("""COMPUTED_VALUE"""),1.1517651308062196)</f>
        <v>1.151765131</v>
      </c>
      <c r="AJ435" s="57">
        <f>IFERROR(__xludf.DUMMYFUNCTION("""COMPUTED_VALUE"""),1.2702319298525895)</f>
        <v>1.27023193</v>
      </c>
      <c r="AK435" s="57">
        <f>IFERROR(__xludf.DUMMYFUNCTION("""COMPUTED_VALUE"""),1.206764142903326)</f>
        <v>1.206764143</v>
      </c>
      <c r="AL435" s="57">
        <f>IFERROR(__xludf.DUMMYFUNCTION("""COMPUTED_VALUE"""),1.2988835144375903)</f>
        <v>1.298883514</v>
      </c>
      <c r="AM435" s="57">
        <f>IFERROR(__xludf.DUMMYFUNCTION("""COMPUTED_VALUE"""),1.035234089244088)</f>
        <v>1.035234089</v>
      </c>
      <c r="AN435" s="57">
        <f>IFERROR(__xludf.DUMMYFUNCTION("""COMPUTED_VALUE"""),0.9050717425413356)</f>
        <v>0.9050717425</v>
      </c>
      <c r="AO435" s="57">
        <f>IFERROR(__xludf.DUMMYFUNCTION("""COMPUTED_VALUE"""),0.9140039275289057)</f>
        <v>0.9140039275</v>
      </c>
      <c r="AP435" s="35">
        <f>IFERROR(__xludf.DUMMYFUNCTION("""COMPUTED_VALUE"""),1.214639440319871)</f>
        <v>1.21463944</v>
      </c>
      <c r="AQ435" s="57">
        <f>IFERROR(__xludf.DUMMYFUNCTION("""COMPUTED_VALUE"""),0.9901722793936762)</f>
        <v>0.9901722794</v>
      </c>
      <c r="AR435" s="36" t="b">
        <f>IFERROR(__xludf.DUMMYFUNCTION("""COMPUTED_VALUE"""),TRUE)</f>
        <v>1</v>
      </c>
      <c r="AS435" s="57"/>
      <c r="AT435" s="37"/>
      <c r="AU435" s="30"/>
      <c r="AV435" s="30"/>
      <c r="AW435" s="30"/>
      <c r="AX435" s="30"/>
      <c r="AY435" s="30"/>
      <c r="AZ435" s="30"/>
    </row>
    <row r="436">
      <c r="A436" s="30" t="str">
        <f>IFERROR(__xludf.DUMMYFUNCTION("""COMPUTED_VALUE"""),"Premier")</f>
        <v>Premier</v>
      </c>
      <c r="B436" s="30" t="str">
        <f>IFERROR(__xludf.DUMMYFUNCTION("""COMPUTED_VALUE"""),"RSC007460")</f>
        <v>RSC007460</v>
      </c>
      <c r="C436" s="30" t="str">
        <f>IFERROR(__xludf.DUMMYFUNCTION("""COMPUTED_VALUE"""),"mogii")</f>
        <v>mogii</v>
      </c>
      <c r="D436" s="31" t="str">
        <f>IFERROR(__xludf.DUMMYFUNCTION("""COMPUTED_VALUE"""),"Gummy Bears")</f>
        <v>Gummy Bears</v>
      </c>
      <c r="E436" s="31">
        <f>IFERROR(__xludf.DUMMYFUNCTION("""COMPUTED_VALUE"""),84.20602524103721)</f>
        <v>84.20602524</v>
      </c>
      <c r="F436" s="31">
        <f>IFERROR(__xludf.DUMMYFUNCTION("""COMPUTED_VALUE"""),11.679742703706268)</f>
        <v>11.6797427</v>
      </c>
      <c r="G436" s="31">
        <f>IFERROR(__xludf.DUMMYFUNCTION("""COMPUTED_VALUE"""),79.76812204744519)</f>
        <v>79.76812205</v>
      </c>
      <c r="H436" s="31">
        <f>IFERROR(__xludf.DUMMYFUNCTION("""COMPUTED_VALUE"""),8.555724906974985)</f>
        <v>8.555724907</v>
      </c>
      <c r="I436" s="54">
        <f>IFERROR(__xludf.DUMMYFUNCTION("""COMPUTED_VALUE"""),35.0)</f>
        <v>35</v>
      </c>
      <c r="J436" s="55">
        <f>IFERROR(__xludf.DUMMYFUNCTION("""COMPUTED_VALUE"""),19.0)</f>
        <v>19</v>
      </c>
      <c r="K436" s="54">
        <f>IFERROR(__xludf.DUMMYFUNCTION("""COMPUTED_VALUE"""),16.0)</f>
        <v>16</v>
      </c>
      <c r="L436" s="56">
        <f>IFERROR(__xludf.DUMMYFUNCTION("""COMPUTED_VALUE"""),0.5428571428571428)</f>
        <v>0.5428571429</v>
      </c>
      <c r="M436" s="56">
        <f>IFERROR(__xludf.DUMMYFUNCTION("""COMPUTED_VALUE"""),0.3445378151260505)</f>
        <v>0.3445378151</v>
      </c>
      <c r="N436" s="31">
        <f>IFERROR(__xludf.DUMMYFUNCTION("""COMPUTED_VALUE"""),429.57142857142856)</f>
        <v>429.5714286</v>
      </c>
      <c r="O436" s="57">
        <f>IFERROR(__xludf.DUMMYFUNCTION("""COMPUTED_VALUE"""),1.1714285714285715)</f>
        <v>1.171428571</v>
      </c>
      <c r="P436" s="57">
        <f>IFERROR(__xludf.DUMMYFUNCTION("""COMPUTED_VALUE"""),0.6)</f>
        <v>0.6</v>
      </c>
      <c r="Q436" s="57">
        <f>IFERROR(__xludf.DUMMYFUNCTION("""COMPUTED_VALUE"""),1.6571428571428573)</f>
        <v>1.657142857</v>
      </c>
      <c r="R436" s="57">
        <f>IFERROR(__xludf.DUMMYFUNCTION("""COMPUTED_VALUE"""),3.4)</f>
        <v>3.4</v>
      </c>
      <c r="S436" s="31">
        <f>IFERROR(__xludf.DUMMYFUNCTION("""COMPUTED_VALUE"""),342.43809523809523)</f>
        <v>342.4380952</v>
      </c>
      <c r="T436" s="57">
        <f>IFERROR(__xludf.DUMMYFUNCTION("""COMPUTED_VALUE"""),0.7714285714285715)</f>
        <v>0.7714285714</v>
      </c>
      <c r="U436" s="57">
        <f>IFERROR(__xludf.DUMMYFUNCTION("""COMPUTED_VALUE"""),0.580952380952381)</f>
        <v>0.580952381</v>
      </c>
      <c r="V436" s="57">
        <f>IFERROR(__xludf.DUMMYFUNCTION("""COMPUTED_VALUE"""),1.2857142857142856)</f>
        <v>1.285714286</v>
      </c>
      <c r="W436" s="57">
        <f>IFERROR(__xludf.DUMMYFUNCTION("""COMPUTED_VALUE"""),2.676190476190477)</f>
        <v>2.676190476</v>
      </c>
      <c r="X436" s="31">
        <f>IFERROR(__xludf.DUMMYFUNCTION("""COMPUTED_VALUE"""),370.038466892398)</f>
        <v>370.0384669</v>
      </c>
      <c r="Y436" s="57">
        <f>IFERROR(__xludf.DUMMYFUNCTION("""COMPUTED_VALUE"""),0.8148704708894442)</f>
        <v>0.8148704709</v>
      </c>
      <c r="Z436" s="57">
        <f>IFERROR(__xludf.DUMMYFUNCTION("""COMPUTED_VALUE"""),0.6917882837277501)</f>
        <v>0.6917882837</v>
      </c>
      <c r="AA436" s="57">
        <f>IFERROR(__xludf.DUMMYFUNCTION("""COMPUTED_VALUE"""),1.3921078593793688)</f>
        <v>1.392107859</v>
      </c>
      <c r="AB436" s="57">
        <f>IFERROR(__xludf.DUMMYFUNCTION("""COMPUTED_VALUE"""),2.7335188992423616)</f>
        <v>2.733518899</v>
      </c>
      <c r="AC436" s="31">
        <f>IFERROR(__xludf.DUMMYFUNCTION("""COMPUTED_VALUE"""),375.1915573791457)</f>
        <v>375.1915574</v>
      </c>
      <c r="AD436" s="57">
        <f>IFERROR(__xludf.DUMMYFUNCTION("""COMPUTED_VALUE"""),0.8201785987665032)</f>
        <v>0.8201785988</v>
      </c>
      <c r="AE436" s="57">
        <f>IFERROR(__xludf.DUMMYFUNCTION("""COMPUTED_VALUE"""),0.6387622357438895)</f>
        <v>0.6387622357</v>
      </c>
      <c r="AF436" s="57">
        <f>IFERROR(__xludf.DUMMYFUNCTION("""COMPUTED_VALUE"""),1.4824993356715968)</f>
        <v>1.482499336</v>
      </c>
      <c r="AG436" s="57">
        <f>IFERROR(__xludf.DUMMYFUNCTION("""COMPUTED_VALUE"""),2.701270146600571)</f>
        <v>2.701270147</v>
      </c>
      <c r="AH436" s="57">
        <f>IFERROR(__xludf.DUMMYFUNCTION("""COMPUTED_VALUE"""),1.144938952177247)</f>
        <v>1.144938952</v>
      </c>
      <c r="AI436" s="57">
        <f>IFERROR(__xludf.DUMMYFUNCTION("""COMPUTED_VALUE"""),1.4282603486488503)</f>
        <v>1.428260349</v>
      </c>
      <c r="AJ436" s="57">
        <f>IFERROR(__xludf.DUMMYFUNCTION("""COMPUTED_VALUE"""),0.9393166446373465)</f>
        <v>0.9393166446</v>
      </c>
      <c r="AK436" s="57">
        <f>IFERROR(__xludf.DUMMYFUNCTION("""COMPUTED_VALUE"""),1.1178034399537482)</f>
        <v>1.11780344</v>
      </c>
      <c r="AL436" s="57">
        <f>IFERROR(__xludf.DUMMYFUNCTION("""COMPUTED_VALUE"""),1.2586671511839531)</f>
        <v>1.258667151</v>
      </c>
      <c r="AM436" s="57">
        <f>IFERROR(__xludf.DUMMYFUNCTION("""COMPUTED_VALUE"""),0.925412155427807)</f>
        <v>0.9254121554</v>
      </c>
      <c r="AN436" s="57">
        <f>IFERROR(__xludf.DUMMYFUNCTION("""COMPUTED_VALUE"""),0.9466885830168135)</f>
        <v>0.946688583</v>
      </c>
      <c r="AO436" s="57">
        <f>IFERROR(__xludf.DUMMYFUNCTION("""COMPUTED_VALUE"""),0.8397834924608407)</f>
        <v>0.8397834925</v>
      </c>
      <c r="AP436" s="35">
        <f>IFERROR(__xludf.DUMMYFUNCTION("""COMPUTED_VALUE"""),0.9235737569124021)</f>
        <v>0.9235737569</v>
      </c>
      <c r="AQ436" s="57">
        <f>IFERROR(__xludf.DUMMYFUNCTION("""COMPUTED_VALUE"""),0.9790276105031598)</f>
        <v>0.9790276105</v>
      </c>
      <c r="AR436" s="36" t="b">
        <f>IFERROR(__xludf.DUMMYFUNCTION("""COMPUTED_VALUE"""),TRUE)</f>
        <v>1</v>
      </c>
      <c r="AS436" s="57"/>
      <c r="AT436" s="37"/>
      <c r="AU436" s="30"/>
      <c r="AV436" s="30"/>
      <c r="AW436" s="30"/>
      <c r="AX436" s="30"/>
      <c r="AY436" s="30"/>
      <c r="AZ436" s="30"/>
    </row>
    <row r="437">
      <c r="A437" s="30" t="str">
        <f>IFERROR(__xludf.DUMMYFUNCTION("""COMPUTED_VALUE"""),"Premier")</f>
        <v>Premier</v>
      </c>
      <c r="B437" s="30" t="str">
        <f>IFERROR(__xludf.DUMMYFUNCTION("""COMPUTED_VALUE"""),"RSC001605")</f>
        <v>RSC001605</v>
      </c>
      <c r="C437" s="30" t="str">
        <f>IFERROR(__xludf.DUMMYFUNCTION("""COMPUTED_VALUE"""),"Reeves")</f>
        <v>Reeves</v>
      </c>
      <c r="D437" s="31" t="str">
        <f>IFERROR(__xludf.DUMMYFUNCTION("""COMPUTED_VALUE"""),"Crooked Capos")</f>
        <v>Crooked Capos</v>
      </c>
      <c r="E437" s="31">
        <f>IFERROR(__xludf.DUMMYFUNCTION("""COMPUTED_VALUE"""),80.87496592699166)</f>
        <v>80.87496593</v>
      </c>
      <c r="F437" s="31">
        <f>IFERROR(__xludf.DUMMYFUNCTION("""COMPUTED_VALUE"""),9.223772869413596)</f>
        <v>9.223772869</v>
      </c>
      <c r="G437" s="31">
        <f>IFERROR(__xludf.DUMMYFUNCTION("""COMPUTED_VALUE"""),72.90390873894319)</f>
        <v>72.90390874</v>
      </c>
      <c r="H437" s="31">
        <f>IFERROR(__xludf.DUMMYFUNCTION("""COMPUTED_VALUE"""),5.56196887315412)</f>
        <v>5.561968873</v>
      </c>
      <c r="I437" s="54">
        <f>IFERROR(__xludf.DUMMYFUNCTION("""COMPUTED_VALUE"""),32.0)</f>
        <v>32</v>
      </c>
      <c r="J437" s="55">
        <f>IFERROR(__xludf.DUMMYFUNCTION("""COMPUTED_VALUE"""),17.0)</f>
        <v>17</v>
      </c>
      <c r="K437" s="54">
        <f>IFERROR(__xludf.DUMMYFUNCTION("""COMPUTED_VALUE"""),15.0)</f>
        <v>15</v>
      </c>
      <c r="L437" s="56">
        <f>IFERROR(__xludf.DUMMYFUNCTION("""COMPUTED_VALUE"""),0.53125)</f>
        <v>0.53125</v>
      </c>
      <c r="M437" s="56">
        <f>IFERROR(__xludf.DUMMYFUNCTION("""COMPUTED_VALUE"""),0.28440366972477066)</f>
        <v>0.2844036697</v>
      </c>
      <c r="N437" s="31">
        <f>IFERROR(__xludf.DUMMYFUNCTION("""COMPUTED_VALUE"""),420.53125)</f>
        <v>420.53125</v>
      </c>
      <c r="O437" s="57">
        <f>IFERROR(__xludf.DUMMYFUNCTION("""COMPUTED_VALUE"""),0.96875)</f>
        <v>0.96875</v>
      </c>
      <c r="P437" s="57">
        <f>IFERROR(__xludf.DUMMYFUNCTION("""COMPUTED_VALUE"""),0.75)</f>
        <v>0.75</v>
      </c>
      <c r="Q437" s="57">
        <f>IFERROR(__xludf.DUMMYFUNCTION("""COMPUTED_VALUE"""),1.59375)</f>
        <v>1.59375</v>
      </c>
      <c r="R437" s="57">
        <f>IFERROR(__xludf.DUMMYFUNCTION("""COMPUTED_VALUE"""),3.40625)</f>
        <v>3.40625</v>
      </c>
      <c r="S437" s="31">
        <f>IFERROR(__xludf.DUMMYFUNCTION("""COMPUTED_VALUE"""),373.93750000000006)</f>
        <v>373.9375</v>
      </c>
      <c r="T437" s="57">
        <f>IFERROR(__xludf.DUMMYFUNCTION("""COMPUTED_VALUE"""),0.7812499999999998)</f>
        <v>0.78125</v>
      </c>
      <c r="U437" s="57">
        <f>IFERROR(__xludf.DUMMYFUNCTION("""COMPUTED_VALUE"""),0.6458333333333333)</f>
        <v>0.6458333333</v>
      </c>
      <c r="V437" s="57">
        <f>IFERROR(__xludf.DUMMYFUNCTION("""COMPUTED_VALUE"""),1.5208333333333333)</f>
        <v>1.520833333</v>
      </c>
      <c r="W437" s="57">
        <f>IFERROR(__xludf.DUMMYFUNCTION("""COMPUTED_VALUE"""),2.666666666666667)</f>
        <v>2.666666667</v>
      </c>
      <c r="X437" s="31">
        <f>IFERROR(__xludf.DUMMYFUNCTION("""COMPUTED_VALUE"""),373.8699413725977)</f>
        <v>373.8699414</v>
      </c>
      <c r="Y437" s="57">
        <f>IFERROR(__xludf.DUMMYFUNCTION("""COMPUTED_VALUE"""),0.8323221493514695)</f>
        <v>0.8323221494</v>
      </c>
      <c r="Z437" s="57">
        <f>IFERROR(__xludf.DUMMYFUNCTION("""COMPUTED_VALUE"""),0.6531733118399004)</f>
        <v>0.6531733118</v>
      </c>
      <c r="AA437" s="57">
        <f>IFERROR(__xludf.DUMMYFUNCTION("""COMPUTED_VALUE"""),1.435784777268189)</f>
        <v>1.435784777</v>
      </c>
      <c r="AB437" s="57">
        <f>IFERROR(__xludf.DUMMYFUNCTION("""COMPUTED_VALUE"""),2.7408153322480544)</f>
        <v>2.740815332</v>
      </c>
      <c r="AC437" s="31">
        <f>IFERROR(__xludf.DUMMYFUNCTION("""COMPUTED_VALUE"""),368.1060930671497)</f>
        <v>368.1060931</v>
      </c>
      <c r="AD437" s="57">
        <f>IFERROR(__xludf.DUMMYFUNCTION("""COMPUTED_VALUE"""),0.8070908465362424)</f>
        <v>0.8070908465</v>
      </c>
      <c r="AE437" s="57">
        <f>IFERROR(__xludf.DUMMYFUNCTION("""COMPUTED_VALUE"""),0.6165093973129854)</f>
        <v>0.6165093973</v>
      </c>
      <c r="AF437" s="57">
        <f>IFERROR(__xludf.DUMMYFUNCTION("""COMPUTED_VALUE"""),1.4299025508046055)</f>
        <v>1.429902551</v>
      </c>
      <c r="AG437" s="57">
        <f>IFERROR(__xludf.DUMMYFUNCTION("""COMPUTED_VALUE"""),2.702941294512263)</f>
        <v>2.702941295</v>
      </c>
      <c r="AH437" s="57">
        <f>IFERROR(__xludf.DUMMYFUNCTION("""COMPUTED_VALUE"""),1.1424186068098767)</f>
        <v>1.142418607</v>
      </c>
      <c r="AI437" s="57">
        <f>IFERROR(__xludf.DUMMYFUNCTION("""COMPUTED_VALUE"""),1.200298583681804)</f>
        <v>1.200298584</v>
      </c>
      <c r="AJ437" s="57">
        <f>IFERROR(__xludf.DUMMYFUNCTION("""COMPUTED_VALUE"""),1.216526468645611)</f>
        <v>1.216526469</v>
      </c>
      <c r="AK437" s="57">
        <f>IFERROR(__xludf.DUMMYFUNCTION("""COMPUTED_VALUE"""),1.1145864444421039)</f>
        <v>1.114586444</v>
      </c>
      <c r="AL437" s="57">
        <f>IFERROR(__xludf.DUMMYFUNCTION("""COMPUTED_VALUE"""),1.2602012507321758)</f>
        <v>1.260201251</v>
      </c>
      <c r="AM437" s="57">
        <f>IFERROR(__xludf.DUMMYFUNCTION("""COMPUTED_VALUE"""),1.0001807008799755)</f>
        <v>1.000180701</v>
      </c>
      <c r="AN437" s="57">
        <f>IFERROR(__xludf.DUMMYFUNCTION("""COMPUTED_VALUE"""),0.9386389640222067)</f>
        <v>0.938638964</v>
      </c>
      <c r="AO437" s="57">
        <f>IFERROR(__xludf.DUMMYFUNCTION("""COMPUTED_VALUE"""),0.9887625866312704)</f>
        <v>0.9887625866</v>
      </c>
      <c r="AP437" s="35">
        <f>IFERROR(__xludf.DUMMYFUNCTION("""COMPUTED_VALUE"""),1.0592348918944263)</f>
        <v>1.059234892</v>
      </c>
      <c r="AQ437" s="57">
        <f>IFERROR(__xludf.DUMMYFUNCTION("""COMPUTED_VALUE"""),0.9729464934361084)</f>
        <v>0.9729464934</v>
      </c>
      <c r="AR437" s="36" t="b">
        <f>IFERROR(__xludf.DUMMYFUNCTION("""COMPUTED_VALUE"""),TRUE)</f>
        <v>1</v>
      </c>
      <c r="AS437" s="57"/>
      <c r="AT437" s="37"/>
      <c r="AU437" s="30"/>
      <c r="AV437" s="30"/>
      <c r="AW437" s="30"/>
      <c r="AX437" s="30"/>
      <c r="AY437" s="30"/>
      <c r="AZ437" s="30"/>
    </row>
    <row r="438">
      <c r="A438" s="30" t="str">
        <f>IFERROR(__xludf.DUMMYFUNCTION("""COMPUTED_VALUE"""),"Premier")</f>
        <v>Premier</v>
      </c>
      <c r="B438" s="30" t="str">
        <f>IFERROR(__xludf.DUMMYFUNCTION("""COMPUTED_VALUE"""),"RSC004923")</f>
        <v>RSC004923</v>
      </c>
      <c r="C438" s="30" t="str">
        <f>IFERROR(__xludf.DUMMYFUNCTION("""COMPUTED_VALUE"""),"Monster.")</f>
        <v>Monster.</v>
      </c>
      <c r="D438" s="31" t="str">
        <f>IFERROR(__xludf.DUMMYFUNCTION("""COMPUTED_VALUE"""),"Long Beards")</f>
        <v>Long Beards</v>
      </c>
      <c r="E438" s="31">
        <f>IFERROR(__xludf.DUMMYFUNCTION("""COMPUTED_VALUE"""),80.55278083309267)</f>
        <v>80.55278083</v>
      </c>
      <c r="F438" s="31">
        <f>IFERROR(__xludf.DUMMYFUNCTION("""COMPUTED_VALUE"""),9.022601205733505)</f>
        <v>9.022601206</v>
      </c>
      <c r="G438" s="31">
        <f>IFERROR(__xludf.DUMMYFUNCTION("""COMPUTED_VALUE"""),56.78426496455639)</f>
        <v>56.78426496</v>
      </c>
      <c r="H438" s="31">
        <f>IFERROR(__xludf.DUMMYFUNCTION("""COMPUTED_VALUE"""),2.5441861115321545)</f>
        <v>2.544186112</v>
      </c>
      <c r="I438" s="54">
        <f>IFERROR(__xludf.DUMMYFUNCTION("""COMPUTED_VALUE"""),48.0)</f>
        <v>48</v>
      </c>
      <c r="J438" s="55">
        <f>IFERROR(__xludf.DUMMYFUNCTION("""COMPUTED_VALUE"""),32.0)</f>
        <v>32</v>
      </c>
      <c r="K438" s="54">
        <f>IFERROR(__xludf.DUMMYFUNCTION("""COMPUTED_VALUE"""),16.0)</f>
        <v>16</v>
      </c>
      <c r="L438" s="56">
        <f>IFERROR(__xludf.DUMMYFUNCTION("""COMPUTED_VALUE"""),0.6666666666666666)</f>
        <v>0.6666666667</v>
      </c>
      <c r="M438" s="56">
        <f>IFERROR(__xludf.DUMMYFUNCTION("""COMPUTED_VALUE"""),0.2894736842105263)</f>
        <v>0.2894736842</v>
      </c>
      <c r="N438" s="31">
        <f>IFERROR(__xludf.DUMMYFUNCTION("""COMPUTED_VALUE"""),384.3125)</f>
        <v>384.3125</v>
      </c>
      <c r="O438" s="57">
        <f>IFERROR(__xludf.DUMMYFUNCTION("""COMPUTED_VALUE"""),0.9166666666666666)</f>
        <v>0.9166666667</v>
      </c>
      <c r="P438" s="57">
        <f>IFERROR(__xludf.DUMMYFUNCTION("""COMPUTED_VALUE"""),0.8958333333333334)</f>
        <v>0.8958333333</v>
      </c>
      <c r="Q438" s="57">
        <f>IFERROR(__xludf.DUMMYFUNCTION("""COMPUTED_VALUE"""),1.25)</f>
        <v>1.25</v>
      </c>
      <c r="R438" s="57">
        <f>IFERROR(__xludf.DUMMYFUNCTION("""COMPUTED_VALUE"""),3.1666666666666665)</f>
        <v>3.166666667</v>
      </c>
      <c r="S438" s="31">
        <f>IFERROR(__xludf.DUMMYFUNCTION("""COMPUTED_VALUE"""),379.3680555555556)</f>
        <v>379.3680556</v>
      </c>
      <c r="T438" s="57">
        <f>IFERROR(__xludf.DUMMYFUNCTION("""COMPUTED_VALUE"""),0.7013888888888888)</f>
        <v>0.7013888889</v>
      </c>
      <c r="U438" s="57">
        <f>IFERROR(__xludf.DUMMYFUNCTION("""COMPUTED_VALUE"""),0.5069444444444443)</f>
        <v>0.5069444444</v>
      </c>
      <c r="V438" s="57">
        <f>IFERROR(__xludf.DUMMYFUNCTION("""COMPUTED_VALUE"""),1.840277777777778)</f>
        <v>1.840277778</v>
      </c>
      <c r="W438" s="57">
        <f>IFERROR(__xludf.DUMMYFUNCTION("""COMPUTED_VALUE"""),2.409722222222222)</f>
        <v>2.409722222</v>
      </c>
      <c r="X438" s="31">
        <f>IFERROR(__xludf.DUMMYFUNCTION("""COMPUTED_VALUE"""),373.7147375971709)</f>
        <v>373.7147376</v>
      </c>
      <c r="Y438" s="57">
        <f>IFERROR(__xludf.DUMMYFUNCTION("""COMPUTED_VALUE"""),0.7973737417140633)</f>
        <v>0.7973737417</v>
      </c>
      <c r="Z438" s="57">
        <f>IFERROR(__xludf.DUMMYFUNCTION("""COMPUTED_VALUE"""),0.6130584522273491)</f>
        <v>0.6130584522</v>
      </c>
      <c r="AA438" s="57">
        <f>IFERROR(__xludf.DUMMYFUNCTION("""COMPUTED_VALUE"""),1.4915034341302043)</f>
        <v>1.491503434</v>
      </c>
      <c r="AB438" s="57">
        <f>IFERROR(__xludf.DUMMYFUNCTION("""COMPUTED_VALUE"""),2.707798897366652)</f>
        <v>2.707798897</v>
      </c>
      <c r="AC438" s="31">
        <f>IFERROR(__xludf.DUMMYFUNCTION("""COMPUTED_VALUE"""),374.08847958946416)</f>
        <v>374.0884796</v>
      </c>
      <c r="AD438" s="57">
        <f>IFERROR(__xludf.DUMMYFUNCTION("""COMPUTED_VALUE"""),0.8400102516195219)</f>
        <v>0.8400102516</v>
      </c>
      <c r="AE438" s="57">
        <f>IFERROR(__xludf.DUMMYFUNCTION("""COMPUTED_VALUE"""),0.6611822953421695)</f>
        <v>0.6611822953</v>
      </c>
      <c r="AF438" s="57">
        <f>IFERROR(__xludf.DUMMYFUNCTION("""COMPUTED_VALUE"""),1.4178318283536624)</f>
        <v>1.417831828</v>
      </c>
      <c r="AG438" s="57">
        <f>IFERROR(__xludf.DUMMYFUNCTION("""COMPUTED_VALUE"""),2.7492465946009332)</f>
        <v>2.749246595</v>
      </c>
      <c r="AH438" s="57">
        <f>IFERROR(__xludf.DUMMYFUNCTION("""COMPUTED_VALUE"""),1.0273304872199112)</f>
        <v>1.027330487</v>
      </c>
      <c r="AI438" s="57">
        <f>IFERROR(__xludf.DUMMYFUNCTION("""COMPUTED_VALUE"""),1.0912565232380829)</f>
        <v>1.091256523</v>
      </c>
      <c r="AJ438" s="57">
        <f>IFERROR(__xludf.DUMMYFUNCTION("""COMPUTED_VALUE"""),1.354896130226429)</f>
        <v>1.35489613</v>
      </c>
      <c r="AK438" s="57">
        <f>IFERROR(__xludf.DUMMYFUNCTION("""COMPUTED_VALUE"""),0.8816278313144211)</f>
        <v>0.8816278313</v>
      </c>
      <c r="AL438" s="57">
        <f>IFERROR(__xludf.DUMMYFUNCTION("""COMPUTED_VALUE"""),1.151830713507285)</f>
        <v>1.151830714</v>
      </c>
      <c r="AM438" s="57">
        <f>IFERROR(__xludf.DUMMYFUNCTION("""COMPUTED_VALUE"""),1.0151273615665606)</f>
        <v>1.015127362</v>
      </c>
      <c r="AN438" s="57">
        <f>IFERROR(__xludf.DUMMYFUNCTION("""COMPUTED_VALUE"""),0.879623760096687)</f>
        <v>0.8796237601</v>
      </c>
      <c r="AO438" s="57">
        <f>IFERROR(__xludf.DUMMYFUNCTION("""COMPUTED_VALUE"""),0.8269104562584955)</f>
        <v>0.8269104563</v>
      </c>
      <c r="AP438" s="35">
        <f>IFERROR(__xludf.DUMMYFUNCTION("""COMPUTED_VALUE"""),1.2338407915573908)</f>
        <v>1.233840792</v>
      </c>
      <c r="AQ438" s="57">
        <f>IFERROR(__xludf.DUMMYFUNCTION("""COMPUTED_VALUE"""),0.8899191976795946)</f>
        <v>0.8899191977</v>
      </c>
      <c r="AR438" s="36" t="b">
        <f>IFERROR(__xludf.DUMMYFUNCTION("""COMPUTED_VALUE"""),TRUE)</f>
        <v>1</v>
      </c>
      <c r="AS438" s="57"/>
      <c r="AT438" s="37"/>
      <c r="AU438" s="30"/>
      <c r="AV438" s="30"/>
      <c r="AW438" s="30"/>
      <c r="AX438" s="30"/>
      <c r="AY438" s="30"/>
      <c r="AZ438" s="30"/>
    </row>
    <row r="439">
      <c r="A439" s="30" t="str">
        <f>IFERROR(__xludf.DUMMYFUNCTION("""COMPUTED_VALUE"""),"Premier")</f>
        <v>Premier</v>
      </c>
      <c r="B439" s="30" t="str">
        <f>IFERROR(__xludf.DUMMYFUNCTION("""COMPUTED_VALUE"""),"RSC005157")</f>
        <v>RSC005157</v>
      </c>
      <c r="C439" s="30" t="str">
        <f>IFERROR(__xludf.DUMMYFUNCTION("""COMPUTED_VALUE"""),"ScuLa")</f>
        <v>ScuLa</v>
      </c>
      <c r="D439" s="31" t="str">
        <f>IFERROR(__xludf.DUMMYFUNCTION("""COMPUTED_VALUE"""),"Excavators")</f>
        <v>Excavators</v>
      </c>
      <c r="E439" s="31">
        <f>IFERROR(__xludf.DUMMYFUNCTION("""COMPUTED_VALUE"""),79.81252618486425)</f>
        <v>79.81252618</v>
      </c>
      <c r="F439" s="31">
        <f>IFERROR(__xludf.DUMMYFUNCTION("""COMPUTED_VALUE"""),8.581302943048922)</f>
        <v>8.581302943</v>
      </c>
      <c r="G439" s="31">
        <f>IFERROR(__xludf.DUMMYFUNCTION("""COMPUTED_VALUE"""),77.22481439384859)</f>
        <v>77.22481439</v>
      </c>
      <c r="H439" s="31">
        <f>IFERROR(__xludf.DUMMYFUNCTION("""COMPUTED_VALUE"""),7.242252934892475)</f>
        <v>7.242252935</v>
      </c>
      <c r="I439" s="54">
        <f>IFERROR(__xludf.DUMMYFUNCTION("""COMPUTED_VALUE"""),46.0)</f>
        <v>46</v>
      </c>
      <c r="J439" s="55">
        <f>IFERROR(__xludf.DUMMYFUNCTION("""COMPUTED_VALUE"""),30.0)</f>
        <v>30</v>
      </c>
      <c r="K439" s="54">
        <f>IFERROR(__xludf.DUMMYFUNCTION("""COMPUTED_VALUE"""),16.0)</f>
        <v>16</v>
      </c>
      <c r="L439" s="56">
        <f>IFERROR(__xludf.DUMMYFUNCTION("""COMPUTED_VALUE"""),0.6521739130434783)</f>
        <v>0.652173913</v>
      </c>
      <c r="M439" s="56">
        <f>IFERROR(__xludf.DUMMYFUNCTION("""COMPUTED_VALUE"""),0.34615384615384615)</f>
        <v>0.3461538462</v>
      </c>
      <c r="N439" s="31">
        <f>IFERROR(__xludf.DUMMYFUNCTION("""COMPUTED_VALUE"""),428.2173913043478)</f>
        <v>428.2173913</v>
      </c>
      <c r="O439" s="57">
        <f>IFERROR(__xludf.DUMMYFUNCTION("""COMPUTED_VALUE"""),0.9782608695652174)</f>
        <v>0.9782608696</v>
      </c>
      <c r="P439" s="57">
        <f>IFERROR(__xludf.DUMMYFUNCTION("""COMPUTED_VALUE"""),0.8478260869565217)</f>
        <v>0.847826087</v>
      </c>
      <c r="Q439" s="57">
        <f>IFERROR(__xludf.DUMMYFUNCTION("""COMPUTED_VALUE"""),1.608695652173913)</f>
        <v>1.608695652</v>
      </c>
      <c r="R439" s="57">
        <f>IFERROR(__xludf.DUMMYFUNCTION("""COMPUTED_VALUE"""),2.8260869565217392)</f>
        <v>2.826086957</v>
      </c>
      <c r="S439" s="31">
        <f>IFERROR(__xludf.DUMMYFUNCTION("""COMPUTED_VALUE"""),348.3115942028985)</f>
        <v>348.3115942</v>
      </c>
      <c r="T439" s="57">
        <f>IFERROR(__xludf.DUMMYFUNCTION("""COMPUTED_VALUE"""),0.710144927536232)</f>
        <v>0.7101449275</v>
      </c>
      <c r="U439" s="57">
        <f>IFERROR(__xludf.DUMMYFUNCTION("""COMPUTED_VALUE"""),0.5217391304347826)</f>
        <v>0.5217391304</v>
      </c>
      <c r="V439" s="57">
        <f>IFERROR(__xludf.DUMMYFUNCTION("""COMPUTED_VALUE"""),1.4855072463768115)</f>
        <v>1.485507246</v>
      </c>
      <c r="W439" s="57">
        <f>IFERROR(__xludf.DUMMYFUNCTION("""COMPUTED_VALUE"""),2.391304347826087)</f>
        <v>2.391304348</v>
      </c>
      <c r="X439" s="31">
        <f>IFERROR(__xludf.DUMMYFUNCTION("""COMPUTED_VALUE"""),372.3024886593501)</f>
        <v>372.3024887</v>
      </c>
      <c r="Y439" s="57">
        <f>IFERROR(__xludf.DUMMYFUNCTION("""COMPUTED_VALUE"""),0.8148649307372162)</f>
        <v>0.8148649307</v>
      </c>
      <c r="Z439" s="57">
        <f>IFERROR(__xludf.DUMMYFUNCTION("""COMPUTED_VALUE"""),0.625390753125309)</f>
        <v>0.6253907531</v>
      </c>
      <c r="AA439" s="57">
        <f>IFERROR(__xludf.DUMMYFUNCTION("""COMPUTED_VALUE"""),1.4677792996997285)</f>
        <v>1.4677793</v>
      </c>
      <c r="AB439" s="57">
        <f>IFERROR(__xludf.DUMMYFUNCTION("""COMPUTED_VALUE"""),2.725405750494122)</f>
        <v>2.72540575</v>
      </c>
      <c r="AC439" s="31">
        <f>IFERROR(__xludf.DUMMYFUNCTION("""COMPUTED_VALUE"""),378.16042776849036)</f>
        <v>378.1604278</v>
      </c>
      <c r="AD439" s="57">
        <f>IFERROR(__xludf.DUMMYFUNCTION("""COMPUTED_VALUE"""),0.8597838080017105)</f>
        <v>0.859783808</v>
      </c>
      <c r="AE439" s="57">
        <f>IFERROR(__xludf.DUMMYFUNCTION("""COMPUTED_VALUE"""),0.6766565355321577)</f>
        <v>0.6766565355</v>
      </c>
      <c r="AF439" s="57">
        <f>IFERROR(__xludf.DUMMYFUNCTION("""COMPUTED_VALUE"""),1.4224770319156932)</f>
        <v>1.422477032</v>
      </c>
      <c r="AG439" s="57">
        <f>IFERROR(__xludf.DUMMYFUNCTION("""COMPUTED_VALUE"""),2.7672654452157506)</f>
        <v>2.767265445</v>
      </c>
      <c r="AH439" s="57">
        <f>IFERROR(__xludf.DUMMYFUNCTION("""COMPUTED_VALUE"""),1.1323696501805902)</f>
        <v>1.13236965</v>
      </c>
      <c r="AI439" s="57">
        <f>IFERROR(__xludf.DUMMYFUNCTION("""COMPUTED_VALUE"""),1.137798665735365)</f>
        <v>1.137798666</v>
      </c>
      <c r="AJ439" s="57">
        <f>IFERROR(__xludf.DUMMYFUNCTION("""COMPUTED_VALUE"""),1.2529637156164426)</f>
        <v>1.252963716</v>
      </c>
      <c r="AK439" s="57">
        <f>IFERROR(__xludf.DUMMYFUNCTION("""COMPUTED_VALUE"""),1.1309115128610785)</f>
        <v>1.130911513</v>
      </c>
      <c r="AL439" s="57">
        <f>IFERROR(__xludf.DUMMYFUNCTION("""COMPUTED_VALUE"""),1.0212561868279328)</f>
        <v>1.021256187</v>
      </c>
      <c r="AM439" s="57">
        <f>IFERROR(__xludf.DUMMYFUNCTION("""COMPUTED_VALUE"""),0.9355607464703175)</f>
        <v>0.9355607465</v>
      </c>
      <c r="AN439" s="57">
        <f>IFERROR(__xludf.DUMMYFUNCTION("""COMPUTED_VALUE"""),0.8714879003244832)</f>
        <v>0.8714879003</v>
      </c>
      <c r="AO439" s="57">
        <f>IFERROR(__xludf.DUMMYFUNCTION("""COMPUTED_VALUE"""),0.8342610245313975)</f>
        <v>0.8342610245</v>
      </c>
      <c r="AP439" s="35">
        <f>IFERROR(__xludf.DUMMYFUNCTION("""COMPUTED_VALUE"""),1.0120780737817394)</f>
        <v>1.012078074</v>
      </c>
      <c r="AQ439" s="57">
        <f>IFERROR(__xludf.DUMMYFUNCTION("""COMPUTED_VALUE"""),0.8774122339004159)</f>
        <v>0.8774122339</v>
      </c>
      <c r="AR439" s="36" t="b">
        <f>IFERROR(__xludf.DUMMYFUNCTION("""COMPUTED_VALUE"""),TRUE)</f>
        <v>1</v>
      </c>
      <c r="AS439" s="57"/>
      <c r="AT439" s="37"/>
      <c r="AU439" s="30"/>
      <c r="AV439" s="30"/>
      <c r="AW439" s="30"/>
      <c r="AX439" s="30"/>
      <c r="AY439" s="30"/>
      <c r="AZ439" s="30"/>
    </row>
    <row r="440">
      <c r="A440" s="30" t="str">
        <f>IFERROR(__xludf.DUMMYFUNCTION("""COMPUTED_VALUE"""),"Premier")</f>
        <v>Premier</v>
      </c>
      <c r="B440" s="30" t="str">
        <f>IFERROR(__xludf.DUMMYFUNCTION("""COMPUTED_VALUE"""),"RSC000672")</f>
        <v>RSC000672</v>
      </c>
      <c r="C440" s="30" t="str">
        <f>IFERROR(__xludf.DUMMYFUNCTION("""COMPUTED_VALUE"""),"Feathers McGraw")</f>
        <v>Feathers McGraw</v>
      </c>
      <c r="D440" s="31" t="str">
        <f>IFERROR(__xludf.DUMMYFUNCTION("""COMPUTED_VALUE"""),"Hurricanes")</f>
        <v>Hurricanes</v>
      </c>
      <c r="E440" s="31">
        <f>IFERROR(__xludf.DUMMYFUNCTION("""COMPUTED_VALUE"""),74.92866309815969)</f>
        <v>74.9286631</v>
      </c>
      <c r="F440" s="31">
        <f>IFERROR(__xludf.DUMMYFUNCTION("""COMPUTED_VALUE"""),6.275624287647384)</f>
        <v>6.275624288</v>
      </c>
      <c r="G440" s="31">
        <f>IFERROR(__xludf.DUMMYFUNCTION("""COMPUTED_VALUE"""),48.45709592398063)</f>
        <v>48.45709592</v>
      </c>
      <c r="H440" s="31">
        <f>IFERROR(__xludf.DUMMYFUNCTION("""COMPUTED_VALUE"""),-2.103516423849779)</f>
        <v>-2.103516424</v>
      </c>
      <c r="I440" s="54">
        <f>IFERROR(__xludf.DUMMYFUNCTION("""COMPUTED_VALUE"""),13.0)</f>
        <v>13</v>
      </c>
      <c r="J440" s="55">
        <f>IFERROR(__xludf.DUMMYFUNCTION("""COMPUTED_VALUE"""),8.0)</f>
        <v>8</v>
      </c>
      <c r="K440" s="54">
        <f>IFERROR(__xludf.DUMMYFUNCTION("""COMPUTED_VALUE"""),5.0)</f>
        <v>5</v>
      </c>
      <c r="L440" s="56">
        <f>IFERROR(__xludf.DUMMYFUNCTION("""COMPUTED_VALUE"""),0.6153846153846154)</f>
        <v>0.6153846154</v>
      </c>
      <c r="M440" s="56">
        <f>IFERROR(__xludf.DUMMYFUNCTION("""COMPUTED_VALUE"""),0.18181818181818182)</f>
        <v>0.1818181818</v>
      </c>
      <c r="N440" s="31">
        <f>IFERROR(__xludf.DUMMYFUNCTION("""COMPUTED_VALUE"""),367.84615384615387)</f>
        <v>367.8461538</v>
      </c>
      <c r="O440" s="57">
        <f>IFERROR(__xludf.DUMMYFUNCTION("""COMPUTED_VALUE"""),0.6153846153846154)</f>
        <v>0.6153846154</v>
      </c>
      <c r="P440" s="57">
        <f>IFERROR(__xludf.DUMMYFUNCTION("""COMPUTED_VALUE"""),1.0)</f>
        <v>1</v>
      </c>
      <c r="Q440" s="57">
        <f>IFERROR(__xludf.DUMMYFUNCTION("""COMPUTED_VALUE"""),1.1538461538461537)</f>
        <v>1.153846154</v>
      </c>
      <c r="R440" s="57">
        <f>IFERROR(__xludf.DUMMYFUNCTION("""COMPUTED_VALUE"""),3.3846153846153846)</f>
        <v>3.384615385</v>
      </c>
      <c r="S440" s="31">
        <f>IFERROR(__xludf.DUMMYFUNCTION("""COMPUTED_VALUE"""),409.58974358974353)</f>
        <v>409.5897436</v>
      </c>
      <c r="T440" s="57">
        <f>IFERROR(__xludf.DUMMYFUNCTION("""COMPUTED_VALUE"""),0.8205128205128207)</f>
        <v>0.8205128205</v>
      </c>
      <c r="U440" s="57">
        <f>IFERROR(__xludf.DUMMYFUNCTION("""COMPUTED_VALUE"""),0.641025641025641)</f>
        <v>0.641025641</v>
      </c>
      <c r="V440" s="57">
        <f>IFERROR(__xludf.DUMMYFUNCTION("""COMPUTED_VALUE"""),1.8974358974358974)</f>
        <v>1.897435897</v>
      </c>
      <c r="W440" s="57">
        <f>IFERROR(__xludf.DUMMYFUNCTION("""COMPUTED_VALUE"""),2.5641025641025643)</f>
        <v>2.564102564</v>
      </c>
      <c r="X440" s="31">
        <f>IFERROR(__xludf.DUMMYFUNCTION("""COMPUTED_VALUE"""),373.67666448163163)</f>
        <v>373.6766645</v>
      </c>
      <c r="Y440" s="57">
        <f>IFERROR(__xludf.DUMMYFUNCTION("""COMPUTED_VALUE"""),0.91699821814837)</f>
        <v>0.9169982181</v>
      </c>
      <c r="Z440" s="57">
        <f>IFERROR(__xludf.DUMMYFUNCTION("""COMPUTED_VALUE"""),0.6739254279320002)</f>
        <v>0.6739254279</v>
      </c>
      <c r="AA440" s="57">
        <f>IFERROR(__xludf.DUMMYFUNCTION("""COMPUTED_VALUE"""),1.2950939898740708)</f>
        <v>1.29509399</v>
      </c>
      <c r="AB440" s="57">
        <f>IFERROR(__xludf.DUMMYFUNCTION("""COMPUTED_VALUE"""),2.780581730240477)</f>
        <v>2.78058173</v>
      </c>
      <c r="AC440" s="31">
        <f>IFERROR(__xludf.DUMMYFUNCTION("""COMPUTED_VALUE"""),365.6645074779427)</f>
        <v>365.6645075</v>
      </c>
      <c r="AD440" s="57">
        <f>IFERROR(__xludf.DUMMYFUNCTION("""COMPUTED_VALUE"""),0.8146640049951477)</f>
        <v>0.814664005</v>
      </c>
      <c r="AE440" s="57">
        <f>IFERROR(__xludf.DUMMYFUNCTION("""COMPUTED_VALUE"""),0.6241995546469763)</f>
        <v>0.6241995546</v>
      </c>
      <c r="AF440" s="57">
        <f>IFERROR(__xludf.DUMMYFUNCTION("""COMPUTED_VALUE"""),1.390157319922234)</f>
        <v>1.39015732</v>
      </c>
      <c r="AG440" s="57">
        <f>IFERROR(__xludf.DUMMYFUNCTION("""COMPUTED_VALUE"""),2.590066896980446)</f>
        <v>2.590066897</v>
      </c>
      <c r="AH440" s="57">
        <f>IFERROR(__xludf.DUMMYFUNCTION("""COMPUTED_VALUE"""),1.0059662513686614)</f>
        <v>1.005966251</v>
      </c>
      <c r="AI440" s="57">
        <f>IFERROR(__xludf.DUMMYFUNCTION("""COMPUTED_VALUE"""),0.755384565429868)</f>
        <v>0.7553845654</v>
      </c>
      <c r="AJ440" s="57">
        <f>IFERROR(__xludf.DUMMYFUNCTION("""COMPUTED_VALUE"""),1.6020517678285788)</f>
        <v>1.602051768</v>
      </c>
      <c r="AK440" s="57">
        <f>IFERROR(__xludf.DUMMYFUNCTION("""COMPUTED_VALUE"""),0.8300112061494598)</f>
        <v>0.8300112061</v>
      </c>
      <c r="AL440" s="57">
        <f>IFERROR(__xludf.DUMMYFUNCTION("""COMPUTED_VALUE"""),1.3067675543675106)</f>
        <v>1.306767554</v>
      </c>
      <c r="AM440" s="57">
        <f>IFERROR(__xludf.DUMMYFUNCTION("""COMPUTED_VALUE"""),1.096107363722942)</f>
        <v>1.096107364</v>
      </c>
      <c r="AN440" s="57">
        <f>IFERROR(__xludf.DUMMYFUNCTION("""COMPUTED_VALUE"""),0.8947812594114136)</f>
        <v>0.8947812594</v>
      </c>
      <c r="AO440" s="57">
        <f>IFERROR(__xludf.DUMMYFUNCTION("""COMPUTED_VALUE"""),0.9511818584923927)</f>
        <v>0.9511818585</v>
      </c>
      <c r="AP440" s="35">
        <f>IFERROR(__xludf.DUMMYFUNCTION("""COMPUTED_VALUE"""),1.465095129983883)</f>
        <v>1.46509513</v>
      </c>
      <c r="AQ440" s="57">
        <f>IFERROR(__xludf.DUMMYFUNCTION("""COMPUTED_VALUE"""),0.9221460877112249)</f>
        <v>0.9221460877</v>
      </c>
      <c r="AR440" s="36" t="b">
        <f>IFERROR(__xludf.DUMMYFUNCTION("""COMPUTED_VALUE"""),TRUE)</f>
        <v>1</v>
      </c>
      <c r="AS440" s="57"/>
      <c r="AT440" s="37"/>
      <c r="AU440" s="30"/>
      <c r="AV440" s="30"/>
      <c r="AW440" s="30"/>
      <c r="AX440" s="30"/>
      <c r="AY440" s="30"/>
      <c r="AZ440" s="30"/>
    </row>
    <row r="441">
      <c r="A441" s="30" t="str">
        <f>IFERROR(__xludf.DUMMYFUNCTION("""COMPUTED_VALUE"""),"Premier")</f>
        <v>Premier</v>
      </c>
      <c r="B441" s="30" t="str">
        <f>IFERROR(__xludf.DUMMYFUNCTION("""COMPUTED_VALUE"""),"RSC006677")</f>
        <v>RSC006677</v>
      </c>
      <c r="C441" s="30" t="str">
        <f>IFERROR(__xludf.DUMMYFUNCTION("""COMPUTED_VALUE"""),"luigi")</f>
        <v>luigi</v>
      </c>
      <c r="D441" s="31" t="str">
        <f>IFERROR(__xludf.DUMMYFUNCTION("""COMPUTED_VALUE"""),"Punks")</f>
        <v>Punks</v>
      </c>
      <c r="E441" s="31">
        <f>IFERROR(__xludf.DUMMYFUNCTION("""COMPUTED_VALUE"""),74.50321935515302)</f>
        <v>74.50321936</v>
      </c>
      <c r="F441" s="31">
        <f>IFERROR(__xludf.DUMMYFUNCTION("""COMPUTED_VALUE"""),6.115786068925066)</f>
        <v>6.115786069</v>
      </c>
      <c r="G441" s="31">
        <f>IFERROR(__xludf.DUMMYFUNCTION("""COMPUTED_VALUE"""),71.12399761922553)</f>
        <v>71.12399762</v>
      </c>
      <c r="H441" s="31">
        <f>IFERROR(__xludf.DUMMYFUNCTION("""COMPUTED_VALUE"""),5.023444089293811)</f>
        <v>5.023444089</v>
      </c>
      <c r="I441" s="54">
        <f>IFERROR(__xludf.DUMMYFUNCTION("""COMPUTED_VALUE"""),48.0)</f>
        <v>48</v>
      </c>
      <c r="J441" s="55">
        <f>IFERROR(__xludf.DUMMYFUNCTION("""COMPUTED_VALUE"""),24.0)</f>
        <v>24</v>
      </c>
      <c r="K441" s="54">
        <f>IFERROR(__xludf.DUMMYFUNCTION("""COMPUTED_VALUE"""),24.0)</f>
        <v>24</v>
      </c>
      <c r="L441" s="56">
        <f>IFERROR(__xludf.DUMMYFUNCTION("""COMPUTED_VALUE"""),0.5)</f>
        <v>0.5</v>
      </c>
      <c r="M441" s="56">
        <f>IFERROR(__xludf.DUMMYFUNCTION("""COMPUTED_VALUE"""),0.3184713375796178)</f>
        <v>0.3184713376</v>
      </c>
      <c r="N441" s="31">
        <f>IFERROR(__xludf.DUMMYFUNCTION("""COMPUTED_VALUE"""),389.9791666666667)</f>
        <v>389.9791667</v>
      </c>
      <c r="O441" s="57">
        <f>IFERROR(__xludf.DUMMYFUNCTION("""COMPUTED_VALUE"""),1.0416666666666667)</f>
        <v>1.041666667</v>
      </c>
      <c r="P441" s="57">
        <f>IFERROR(__xludf.DUMMYFUNCTION("""COMPUTED_VALUE"""),0.625)</f>
        <v>0.625</v>
      </c>
      <c r="Q441" s="57">
        <f>IFERROR(__xludf.DUMMYFUNCTION("""COMPUTED_VALUE"""),1.375)</f>
        <v>1.375</v>
      </c>
      <c r="R441" s="57">
        <f>IFERROR(__xludf.DUMMYFUNCTION("""COMPUTED_VALUE"""),3.2708333333333335)</f>
        <v>3.270833333</v>
      </c>
      <c r="S441" s="31">
        <f>IFERROR(__xludf.DUMMYFUNCTION("""COMPUTED_VALUE"""),356.59722222222223)</f>
        <v>356.5972222</v>
      </c>
      <c r="T441" s="57">
        <f>IFERROR(__xludf.DUMMYFUNCTION("""COMPUTED_VALUE"""),0.736111111111111)</f>
        <v>0.7361111111</v>
      </c>
      <c r="U441" s="57">
        <f>IFERROR(__xludf.DUMMYFUNCTION("""COMPUTED_VALUE"""),0.5902777777777777)</f>
        <v>0.5902777778</v>
      </c>
      <c r="V441" s="57">
        <f>IFERROR(__xludf.DUMMYFUNCTION("""COMPUTED_VALUE"""),1.3680555555555554)</f>
        <v>1.368055556</v>
      </c>
      <c r="W441" s="57">
        <f>IFERROR(__xludf.DUMMYFUNCTION("""COMPUTED_VALUE"""),2.5902777777777777)</f>
        <v>2.590277778</v>
      </c>
      <c r="X441" s="31">
        <f>IFERROR(__xludf.DUMMYFUNCTION("""COMPUTED_VALUE"""),373.6265021754087)</f>
        <v>373.6265022</v>
      </c>
      <c r="Y441" s="57">
        <f>IFERROR(__xludf.DUMMYFUNCTION("""COMPUTED_VALUE"""),0.8144605856641047)</f>
        <v>0.8144605857</v>
      </c>
      <c r="Z441" s="57">
        <f>IFERROR(__xludf.DUMMYFUNCTION("""COMPUTED_VALUE"""),0.640295901127422)</f>
        <v>0.6402959011</v>
      </c>
      <c r="AA441" s="57">
        <f>IFERROR(__xludf.DUMMYFUNCTION("""COMPUTED_VALUE"""),1.4381276180144305)</f>
        <v>1.438127618</v>
      </c>
      <c r="AB441" s="57">
        <f>IFERROR(__xludf.DUMMYFUNCTION("""COMPUTED_VALUE"""),2.6965856949557985)</f>
        <v>2.696585695</v>
      </c>
      <c r="AC441" s="31">
        <f>IFERROR(__xludf.DUMMYFUNCTION("""COMPUTED_VALUE"""),370.5937347851289)</f>
        <v>370.5937348</v>
      </c>
      <c r="AD441" s="57">
        <f>IFERROR(__xludf.DUMMYFUNCTION("""COMPUTED_VALUE"""),0.8321299809778884)</f>
        <v>0.832129981</v>
      </c>
      <c r="AE441" s="57">
        <f>IFERROR(__xludf.DUMMYFUNCTION("""COMPUTED_VALUE"""),0.6418963863973987)</f>
        <v>0.6418963864</v>
      </c>
      <c r="AF441" s="57">
        <f>IFERROR(__xludf.DUMMYFUNCTION("""COMPUTED_VALUE"""),1.3992491523504613)</f>
        <v>1.399249152</v>
      </c>
      <c r="AG441" s="57">
        <f>IFERROR(__xludf.DUMMYFUNCTION("""COMPUTED_VALUE"""),2.7466102026420547)</f>
        <v>2.746610203</v>
      </c>
      <c r="AH441" s="57">
        <f>IFERROR(__xludf.DUMMYFUNCTION("""COMPUTED_VALUE"""),1.052309119291446)</f>
        <v>1.052309119</v>
      </c>
      <c r="AI441" s="57">
        <f>IFERROR(__xludf.DUMMYFUNCTION("""COMPUTED_VALUE"""),1.2518076388048638)</f>
        <v>1.251807639</v>
      </c>
      <c r="AJ441" s="57">
        <f>IFERROR(__xludf.DUMMYFUNCTION("""COMPUTED_VALUE"""),0.9736773928698548)</f>
        <v>0.9736773929</v>
      </c>
      <c r="AK441" s="57">
        <f>IFERROR(__xludf.DUMMYFUNCTION("""COMPUTED_VALUE"""),0.9826698824081991)</f>
        <v>0.9826698824</v>
      </c>
      <c r="AL441" s="57">
        <f>IFERROR(__xludf.DUMMYFUNCTION("""COMPUTED_VALUE"""),1.1908618595339853)</f>
        <v>1.19086186</v>
      </c>
      <c r="AM441" s="57">
        <f>IFERROR(__xludf.DUMMYFUNCTION("""COMPUTED_VALUE"""),0.9544216487480548)</f>
        <v>0.9544216487</v>
      </c>
      <c r="AN441" s="57">
        <f>IFERROR(__xludf.DUMMYFUNCTION("""COMPUTED_VALUE"""),0.9038020059753927)</f>
        <v>0.903802006</v>
      </c>
      <c r="AO441" s="57">
        <f>IFERROR(__xludf.DUMMYFUNCTION("""COMPUTED_VALUE"""),0.9218827994032552)</f>
        <v>0.9218827994</v>
      </c>
      <c r="AP441" s="35">
        <f>IFERROR(__xludf.DUMMYFUNCTION("""COMPUTED_VALUE"""),0.9512754907275747)</f>
        <v>0.9512754907</v>
      </c>
      <c r="AQ441" s="57">
        <f>IFERROR(__xludf.DUMMYFUNCTION("""COMPUTED_VALUE"""),0.9605768444975143)</f>
        <v>0.9605768445</v>
      </c>
      <c r="AR441" s="36" t="b">
        <f>IFERROR(__xludf.DUMMYFUNCTION("""COMPUTED_VALUE"""),TRUE)</f>
        <v>1</v>
      </c>
      <c r="AS441" s="57"/>
      <c r="AT441" s="37"/>
      <c r="AU441" s="30"/>
      <c r="AV441" s="30"/>
      <c r="AW441" s="30"/>
      <c r="AX441" s="30"/>
      <c r="AY441" s="30"/>
      <c r="AZ441" s="30"/>
    </row>
    <row r="442">
      <c r="A442" s="30" t="str">
        <f>IFERROR(__xludf.DUMMYFUNCTION("""COMPUTED_VALUE"""),"Premier")</f>
        <v>Premier</v>
      </c>
      <c r="B442" s="30" t="str">
        <f>IFERROR(__xludf.DUMMYFUNCTION("""COMPUTED_VALUE"""),"RSC002062")</f>
        <v>RSC002062</v>
      </c>
      <c r="C442" s="30" t="str">
        <f>IFERROR(__xludf.DUMMYFUNCTION("""COMPUTED_VALUE"""),"Gromit")</f>
        <v>Gromit</v>
      </c>
      <c r="D442" s="31" t="str">
        <f>IFERROR(__xludf.DUMMYFUNCTION("""COMPUTED_VALUE"""),"Excavators")</f>
        <v>Excavators</v>
      </c>
      <c r="E442" s="31">
        <f>IFERROR(__xludf.DUMMYFUNCTION("""COMPUTED_VALUE"""),71.9446665570095)</f>
        <v>71.94466656</v>
      </c>
      <c r="F442" s="31">
        <f>IFERROR(__xludf.DUMMYFUNCTION("""COMPUTED_VALUE"""),5.2623338697886295)</f>
        <v>5.26233387</v>
      </c>
      <c r="G442" s="31">
        <f>IFERROR(__xludf.DUMMYFUNCTION("""COMPUTED_VALUE"""),61.13614383604333)</f>
        <v>61.13614384</v>
      </c>
      <c r="H442" s="31">
        <f>IFERROR(__xludf.DUMMYFUNCTION("""COMPUTED_VALUE"""),3.0487913916538187)</f>
        <v>3.048791392</v>
      </c>
      <c r="I442" s="54">
        <f>IFERROR(__xludf.DUMMYFUNCTION("""COMPUTED_VALUE"""),46.0)</f>
        <v>46</v>
      </c>
      <c r="J442" s="55">
        <f>IFERROR(__xludf.DUMMYFUNCTION("""COMPUTED_VALUE"""),30.0)</f>
        <v>30</v>
      </c>
      <c r="K442" s="54">
        <f>IFERROR(__xludf.DUMMYFUNCTION("""COMPUTED_VALUE"""),16.0)</f>
        <v>16</v>
      </c>
      <c r="L442" s="56">
        <f>IFERROR(__xludf.DUMMYFUNCTION("""COMPUTED_VALUE"""),0.6521739130434783)</f>
        <v>0.652173913</v>
      </c>
      <c r="M442" s="56">
        <f>IFERROR(__xludf.DUMMYFUNCTION("""COMPUTED_VALUE"""),0.3129251700680272)</f>
        <v>0.3129251701</v>
      </c>
      <c r="N442" s="31">
        <f>IFERROR(__xludf.DUMMYFUNCTION("""COMPUTED_VALUE"""),361.67391304347825)</f>
        <v>361.673913</v>
      </c>
      <c r="O442" s="57">
        <f>IFERROR(__xludf.DUMMYFUNCTION("""COMPUTED_VALUE"""),1.0)</f>
        <v>1</v>
      </c>
      <c r="P442" s="57">
        <f>IFERROR(__xludf.DUMMYFUNCTION("""COMPUTED_VALUE"""),0.6521739130434783)</f>
        <v>0.652173913</v>
      </c>
      <c r="Q442" s="57">
        <f>IFERROR(__xludf.DUMMYFUNCTION("""COMPUTED_VALUE"""),0.9565217391304348)</f>
        <v>0.9565217391</v>
      </c>
      <c r="R442" s="57">
        <f>IFERROR(__xludf.DUMMYFUNCTION("""COMPUTED_VALUE"""),3.1956521739130435)</f>
        <v>3.195652174</v>
      </c>
      <c r="S442" s="31">
        <f>IFERROR(__xludf.DUMMYFUNCTION("""COMPUTED_VALUE"""),348.3115942028985)</f>
        <v>348.3115942</v>
      </c>
      <c r="T442" s="57">
        <f>IFERROR(__xludf.DUMMYFUNCTION("""COMPUTED_VALUE"""),0.710144927536232)</f>
        <v>0.7101449275</v>
      </c>
      <c r="U442" s="57">
        <f>IFERROR(__xludf.DUMMYFUNCTION("""COMPUTED_VALUE"""),0.5217391304347826)</f>
        <v>0.5217391304</v>
      </c>
      <c r="V442" s="57">
        <f>IFERROR(__xludf.DUMMYFUNCTION("""COMPUTED_VALUE"""),1.4855072463768115)</f>
        <v>1.485507246</v>
      </c>
      <c r="W442" s="57">
        <f>IFERROR(__xludf.DUMMYFUNCTION("""COMPUTED_VALUE"""),2.391304347826087)</f>
        <v>2.391304348</v>
      </c>
      <c r="X442" s="31">
        <f>IFERROR(__xludf.DUMMYFUNCTION("""COMPUTED_VALUE"""),372.3024886593501)</f>
        <v>372.3024887</v>
      </c>
      <c r="Y442" s="57">
        <f>IFERROR(__xludf.DUMMYFUNCTION("""COMPUTED_VALUE"""),0.8148649307372162)</f>
        <v>0.8148649307</v>
      </c>
      <c r="Z442" s="57">
        <f>IFERROR(__xludf.DUMMYFUNCTION("""COMPUTED_VALUE"""),0.625390753125309)</f>
        <v>0.6253907531</v>
      </c>
      <c r="AA442" s="57">
        <f>IFERROR(__xludf.DUMMYFUNCTION("""COMPUTED_VALUE"""),1.4677792996997285)</f>
        <v>1.4677793</v>
      </c>
      <c r="AB442" s="57">
        <f>IFERROR(__xludf.DUMMYFUNCTION("""COMPUTED_VALUE"""),2.725405750494122)</f>
        <v>2.72540575</v>
      </c>
      <c r="AC442" s="31">
        <f>IFERROR(__xludf.DUMMYFUNCTION("""COMPUTED_VALUE"""),378.16042776849036)</f>
        <v>378.1604278</v>
      </c>
      <c r="AD442" s="57">
        <f>IFERROR(__xludf.DUMMYFUNCTION("""COMPUTED_VALUE"""),0.8597838080017105)</f>
        <v>0.859783808</v>
      </c>
      <c r="AE442" s="57">
        <f>IFERROR(__xludf.DUMMYFUNCTION("""COMPUTED_VALUE"""),0.6766565355321577)</f>
        <v>0.6766565355</v>
      </c>
      <c r="AF442" s="57">
        <f>IFERROR(__xludf.DUMMYFUNCTION("""COMPUTED_VALUE"""),1.4224770319156932)</f>
        <v>1.422477032</v>
      </c>
      <c r="AG442" s="57">
        <f>IFERROR(__xludf.DUMMYFUNCTION("""COMPUTED_VALUE"""),2.7672654452157506)</f>
        <v>2.767265445</v>
      </c>
      <c r="AH442" s="57">
        <f>IFERROR(__xludf.DUMMYFUNCTION("""COMPUTED_VALUE"""),0.9564033846103401)</f>
        <v>0.9564033846</v>
      </c>
      <c r="AI442" s="57">
        <f>IFERROR(__xludf.DUMMYFUNCTION("""COMPUTED_VALUE"""),1.163083080529484)</f>
        <v>1.163083081</v>
      </c>
      <c r="AJ442" s="57">
        <f>IFERROR(__xludf.DUMMYFUNCTION("""COMPUTED_VALUE"""),0.963818242781879)</f>
        <v>0.9638182428</v>
      </c>
      <c r="AK442" s="57">
        <f>IFERROR(__xludf.DUMMYFUNCTION("""COMPUTED_VALUE"""),0.6724338725119926)</f>
        <v>0.6724338725</v>
      </c>
      <c r="AL442" s="57">
        <f>IFERROR(__xludf.DUMMYFUNCTION("""COMPUTED_VALUE"""),1.1548050727977393)</f>
        <v>1.154805073</v>
      </c>
      <c r="AM442" s="57">
        <f>IFERROR(__xludf.DUMMYFUNCTION("""COMPUTED_VALUE"""),0.9355607464703175)</f>
        <v>0.9355607465</v>
      </c>
      <c r="AN442" s="57">
        <f>IFERROR(__xludf.DUMMYFUNCTION("""COMPUTED_VALUE"""),0.8714879003244832)</f>
        <v>0.8714879003</v>
      </c>
      <c r="AO442" s="57">
        <f>IFERROR(__xludf.DUMMYFUNCTION("""COMPUTED_VALUE"""),0.8342610245313975)</f>
        <v>0.8342610245</v>
      </c>
      <c r="AP442" s="35">
        <f>IFERROR(__xludf.DUMMYFUNCTION("""COMPUTED_VALUE"""),1.0120780737817394)</f>
        <v>1.012078074</v>
      </c>
      <c r="AQ442" s="57">
        <f>IFERROR(__xludf.DUMMYFUNCTION("""COMPUTED_VALUE"""),0.8774122339004159)</f>
        <v>0.8774122339</v>
      </c>
      <c r="AR442" s="36" t="b">
        <f>IFERROR(__xludf.DUMMYFUNCTION("""COMPUTED_VALUE"""),TRUE)</f>
        <v>1</v>
      </c>
      <c r="AS442" s="57"/>
      <c r="AT442" s="37"/>
      <c r="AU442" s="30"/>
      <c r="AV442" s="30"/>
      <c r="AW442" s="30"/>
      <c r="AX442" s="30"/>
      <c r="AY442" s="30"/>
      <c r="AZ442" s="30"/>
    </row>
    <row r="443">
      <c r="A443" s="30" t="str">
        <f>IFERROR(__xludf.DUMMYFUNCTION("""COMPUTED_VALUE"""),"Premier")</f>
        <v>Premier</v>
      </c>
      <c r="B443" s="30" t="str">
        <f>IFERROR(__xludf.DUMMYFUNCTION("""COMPUTED_VALUE"""),"RSC004090")</f>
        <v>RSC004090</v>
      </c>
      <c r="C443" s="30" t="str">
        <f>IFERROR(__xludf.DUMMYFUNCTION("""COMPUTED_VALUE"""),"LikeWisse")</f>
        <v>LikeWisse</v>
      </c>
      <c r="D443" s="31" t="str">
        <f>IFERROR(__xludf.DUMMYFUNCTION("""COMPUTED_VALUE"""),"Super Clusters")</f>
        <v>Super Clusters</v>
      </c>
      <c r="E443" s="31">
        <f>IFERROR(__xludf.DUMMYFUNCTION("""COMPUTED_VALUE"""),70.72123597272338)</f>
        <v>70.72123597</v>
      </c>
      <c r="F443" s="31">
        <f>IFERROR(__xludf.DUMMYFUNCTION("""COMPUTED_VALUE"""),4.911716696477276)</f>
        <v>4.911716696</v>
      </c>
      <c r="G443" s="31">
        <f>IFERROR(__xludf.DUMMYFUNCTION("""COMPUTED_VALUE"""),70.7109878083181)</f>
        <v>70.71098781</v>
      </c>
      <c r="H443" s="31">
        <f>IFERROR(__xludf.DUMMYFUNCTION("""COMPUTED_VALUE"""),4.908919449327045)</f>
        <v>4.908919449</v>
      </c>
      <c r="I443" s="54">
        <f>IFERROR(__xludf.DUMMYFUNCTION("""COMPUTED_VALUE"""),46.0)</f>
        <v>46</v>
      </c>
      <c r="J443" s="55">
        <f>IFERROR(__xludf.DUMMYFUNCTION("""COMPUTED_VALUE"""),27.0)</f>
        <v>27</v>
      </c>
      <c r="K443" s="54">
        <f>IFERROR(__xludf.DUMMYFUNCTION("""COMPUTED_VALUE"""),19.0)</f>
        <v>19</v>
      </c>
      <c r="L443" s="56">
        <f>IFERROR(__xludf.DUMMYFUNCTION("""COMPUTED_VALUE"""),0.5869565217391305)</f>
        <v>0.5869565217</v>
      </c>
      <c r="M443" s="56">
        <f>IFERROR(__xludf.DUMMYFUNCTION("""COMPUTED_VALUE"""),0.3902439024390244)</f>
        <v>0.3902439024</v>
      </c>
      <c r="N443" s="31">
        <f>IFERROR(__xludf.DUMMYFUNCTION("""COMPUTED_VALUE"""),400.4130434782609)</f>
        <v>400.4130435</v>
      </c>
      <c r="O443" s="57">
        <f>IFERROR(__xludf.DUMMYFUNCTION("""COMPUTED_VALUE"""),1.0434782608695652)</f>
        <v>1.043478261</v>
      </c>
      <c r="P443" s="57">
        <f>IFERROR(__xludf.DUMMYFUNCTION("""COMPUTED_VALUE"""),0.717391304347826)</f>
        <v>0.7173913043</v>
      </c>
      <c r="Q443" s="57">
        <f>IFERROR(__xludf.DUMMYFUNCTION("""COMPUTED_VALUE"""),1.4565217391304348)</f>
        <v>1.456521739</v>
      </c>
      <c r="R443" s="57">
        <f>IFERROR(__xludf.DUMMYFUNCTION("""COMPUTED_VALUE"""),2.6739130434782608)</f>
        <v>2.673913043</v>
      </c>
      <c r="S443" s="31">
        <f>IFERROR(__xludf.DUMMYFUNCTION("""COMPUTED_VALUE"""),354.1159420289855)</f>
        <v>354.115942</v>
      </c>
      <c r="T443" s="57">
        <f>IFERROR(__xludf.DUMMYFUNCTION("""COMPUTED_VALUE"""),0.7608695652173914)</f>
        <v>0.7608695652</v>
      </c>
      <c r="U443" s="57">
        <f>IFERROR(__xludf.DUMMYFUNCTION("""COMPUTED_VALUE"""),0.5942028985507247)</f>
        <v>0.5942028986</v>
      </c>
      <c r="V443" s="57">
        <f>IFERROR(__xludf.DUMMYFUNCTION("""COMPUTED_VALUE"""),1.2753623188405798)</f>
        <v>1.275362319</v>
      </c>
      <c r="W443" s="57">
        <f>IFERROR(__xludf.DUMMYFUNCTION("""COMPUTED_VALUE"""),2.3840579710144927)</f>
        <v>2.384057971</v>
      </c>
      <c r="X443" s="31">
        <f>IFERROR(__xludf.DUMMYFUNCTION("""COMPUTED_VALUE"""),364.5799112873667)</f>
        <v>364.5799113</v>
      </c>
      <c r="Y443" s="57">
        <f>IFERROR(__xludf.DUMMYFUNCTION("""COMPUTED_VALUE"""),0.8117081714111253)</f>
        <v>0.8117081714</v>
      </c>
      <c r="Z443" s="57">
        <f>IFERROR(__xludf.DUMMYFUNCTION("""COMPUTED_VALUE"""),0.6042251795096863)</f>
        <v>0.6042251795</v>
      </c>
      <c r="AA443" s="57">
        <f>IFERROR(__xludf.DUMMYFUNCTION("""COMPUTED_VALUE"""),1.3966394962088189)</f>
        <v>1.396639496</v>
      </c>
      <c r="AB443" s="57">
        <f>IFERROR(__xludf.DUMMYFUNCTION("""COMPUTED_VALUE"""),2.639827521871218)</f>
        <v>2.639827522</v>
      </c>
      <c r="AC443" s="31">
        <f>IFERROR(__xludf.DUMMYFUNCTION("""COMPUTED_VALUE"""),373.6731938267421)</f>
        <v>373.6731938</v>
      </c>
      <c r="AD443" s="57">
        <f>IFERROR(__xludf.DUMMYFUNCTION("""COMPUTED_VALUE"""),0.8432153321485957)</f>
        <v>0.8432153321</v>
      </c>
      <c r="AE443" s="57">
        <f>IFERROR(__xludf.DUMMYFUNCTION("""COMPUTED_VALUE"""),0.6488175020037237)</f>
        <v>0.648817502</v>
      </c>
      <c r="AF443" s="57">
        <f>IFERROR(__xludf.DUMMYFUNCTION("""COMPUTED_VALUE"""),1.4208524491621806)</f>
        <v>1.420852449</v>
      </c>
      <c r="AG443" s="57">
        <f>IFERROR(__xludf.DUMMYFUNCTION("""COMPUTED_VALUE"""),2.756006405093833)</f>
        <v>2.756006405</v>
      </c>
      <c r="AH443" s="57">
        <f>IFERROR(__xludf.DUMMYFUNCTION("""COMPUTED_VALUE"""),1.0715594538042166)</f>
        <v>1.071559454</v>
      </c>
      <c r="AI443" s="57">
        <f>IFERROR(__xludf.DUMMYFUNCTION("""COMPUTED_VALUE"""),1.237499154825233)</f>
        <v>1.237499155</v>
      </c>
      <c r="AJ443" s="57">
        <f>IFERROR(__xludf.DUMMYFUNCTION("""COMPUTED_VALUE"""),1.105690432413318)</f>
        <v>1.105690432</v>
      </c>
      <c r="AK443" s="57">
        <f>IFERROR(__xludf.DUMMYFUNCTION("""COMPUTED_VALUE"""),1.02510414785806)</f>
        <v>1.025104148</v>
      </c>
      <c r="AL443" s="57">
        <f>IFERROR(__xludf.DUMMYFUNCTION("""COMPUTED_VALUE"""),0.9702129278568288)</f>
        <v>0.9702129279</v>
      </c>
      <c r="AM443" s="57">
        <f>IFERROR(__xludf.DUMMYFUNCTION("""COMPUTED_VALUE"""),0.9712985577800161)</f>
        <v>0.9712985578</v>
      </c>
      <c r="AN443" s="57">
        <f>IFERROR(__xludf.DUMMYFUNCTION("""COMPUTED_VALUE"""),0.9373683695886013)</f>
        <v>0.9373683696</v>
      </c>
      <c r="AO443" s="57">
        <f>IFERROR(__xludf.DUMMYFUNCTION("""COMPUTED_VALUE"""),0.9834130034648764)</f>
        <v>0.9834130035</v>
      </c>
      <c r="AP443" s="35">
        <f>IFERROR(__xludf.DUMMYFUNCTION("""COMPUTED_VALUE"""),0.9131650095121567)</f>
        <v>0.9131650095</v>
      </c>
      <c r="AQ443" s="57">
        <f>IFERROR(__xludf.DUMMYFUNCTION("""COMPUTED_VALUE"""),0.903111264377066)</f>
        <v>0.9031112644</v>
      </c>
      <c r="AR443" s="36" t="b">
        <f>IFERROR(__xludf.DUMMYFUNCTION("""COMPUTED_VALUE"""),TRUE)</f>
        <v>1</v>
      </c>
      <c r="AS443" s="57"/>
      <c r="AT443" s="37"/>
      <c r="AU443" s="30"/>
      <c r="AV443" s="30"/>
      <c r="AW443" s="30"/>
      <c r="AX443" s="30"/>
      <c r="AY443" s="30"/>
      <c r="AZ443" s="30"/>
    </row>
    <row r="444">
      <c r="A444" s="30" t="str">
        <f>IFERROR(__xludf.DUMMYFUNCTION("""COMPUTED_VALUE"""),"Premier")</f>
        <v>Premier</v>
      </c>
      <c r="B444" s="30" t="str">
        <f>IFERROR(__xludf.DUMMYFUNCTION("""COMPUTED_VALUE"""),"RSC004079")</f>
        <v>RSC004079</v>
      </c>
      <c r="C444" s="30" t="str">
        <f>IFERROR(__xludf.DUMMYFUNCTION("""COMPUTED_VALUE"""),"tox")</f>
        <v>tox</v>
      </c>
      <c r="D444" s="31" t="str">
        <f>IFERROR(__xludf.DUMMYFUNCTION("""COMPUTED_VALUE"""),"Super Clusters")</f>
        <v>Super Clusters</v>
      </c>
      <c r="E444" s="31">
        <f>IFERROR(__xludf.DUMMYFUNCTION("""COMPUTED_VALUE"""),66.44484740026658)</f>
        <v>66.4448474</v>
      </c>
      <c r="F444" s="31">
        <f>IFERROR(__xludf.DUMMYFUNCTION("""COMPUTED_VALUE"""),3.9164190954562335)</f>
        <v>3.916419095</v>
      </c>
      <c r="G444" s="31">
        <f>IFERROR(__xludf.DUMMYFUNCTION("""COMPUTED_VALUE"""),65.57337402807508)</f>
        <v>65.57337403</v>
      </c>
      <c r="H444" s="31">
        <f>IFERROR(__xludf.DUMMYFUNCTION("""COMPUTED_VALUE"""),3.7500426863590626)</f>
        <v>3.750042686</v>
      </c>
      <c r="I444" s="54">
        <f>IFERROR(__xludf.DUMMYFUNCTION("""COMPUTED_VALUE"""),43.0)</f>
        <v>43</v>
      </c>
      <c r="J444" s="55">
        <f>IFERROR(__xludf.DUMMYFUNCTION("""COMPUTED_VALUE"""),24.0)</f>
        <v>24</v>
      </c>
      <c r="K444" s="54">
        <f>IFERROR(__xludf.DUMMYFUNCTION("""COMPUTED_VALUE"""),19.0)</f>
        <v>19</v>
      </c>
      <c r="L444" s="56">
        <f>IFERROR(__xludf.DUMMYFUNCTION("""COMPUTED_VALUE"""),0.5581395348837209)</f>
        <v>0.5581395349</v>
      </c>
      <c r="M444" s="56">
        <f>IFERROR(__xludf.DUMMYFUNCTION("""COMPUTED_VALUE"""),0.3826086956521739)</f>
        <v>0.3826086957</v>
      </c>
      <c r="N444" s="31">
        <f>IFERROR(__xludf.DUMMYFUNCTION("""COMPUTED_VALUE"""),386.6279069767442)</f>
        <v>386.627907</v>
      </c>
      <c r="O444" s="57">
        <f>IFERROR(__xludf.DUMMYFUNCTION("""COMPUTED_VALUE"""),1.0232558139534884)</f>
        <v>1.023255814</v>
      </c>
      <c r="P444" s="57">
        <f>IFERROR(__xludf.DUMMYFUNCTION("""COMPUTED_VALUE"""),0.6744186046511628)</f>
        <v>0.6744186047</v>
      </c>
      <c r="Q444" s="57">
        <f>IFERROR(__xludf.DUMMYFUNCTION("""COMPUTED_VALUE"""),1.2790697674418605)</f>
        <v>1.279069767</v>
      </c>
      <c r="R444" s="57">
        <f>IFERROR(__xludf.DUMMYFUNCTION("""COMPUTED_VALUE"""),2.6744186046511627)</f>
        <v>2.674418605</v>
      </c>
      <c r="S444" s="31">
        <f>IFERROR(__xludf.DUMMYFUNCTION("""COMPUTED_VALUE"""),355.41085271317826)</f>
        <v>355.4108527</v>
      </c>
      <c r="T444" s="57">
        <f>IFERROR(__xludf.DUMMYFUNCTION("""COMPUTED_VALUE"""),0.7751937984496124)</f>
        <v>0.7751937984</v>
      </c>
      <c r="U444" s="57">
        <f>IFERROR(__xludf.DUMMYFUNCTION("""COMPUTED_VALUE"""),0.6046511627906977)</f>
        <v>0.6046511628</v>
      </c>
      <c r="V444" s="57">
        <f>IFERROR(__xludf.DUMMYFUNCTION("""COMPUTED_VALUE"""),1.2868217054263569)</f>
        <v>1.286821705</v>
      </c>
      <c r="W444" s="57">
        <f>IFERROR(__xludf.DUMMYFUNCTION("""COMPUTED_VALUE"""),2.4108527131782944)</f>
        <v>2.410852713</v>
      </c>
      <c r="X444" s="31">
        <f>IFERROR(__xludf.DUMMYFUNCTION("""COMPUTED_VALUE"""),366.4584208466046)</f>
        <v>366.4584208</v>
      </c>
      <c r="Y444" s="57">
        <f>IFERROR(__xludf.DUMMYFUNCTION("""COMPUTED_VALUE"""),0.8226968177924084)</f>
        <v>0.8226968178</v>
      </c>
      <c r="Z444" s="57">
        <f>IFERROR(__xludf.DUMMYFUNCTION("""COMPUTED_VALUE"""),0.593660133886412)</f>
        <v>0.5936601339</v>
      </c>
      <c r="AA444" s="57">
        <f>IFERROR(__xludf.DUMMYFUNCTION("""COMPUTED_VALUE"""),1.4041443165742615)</f>
        <v>1.404144317</v>
      </c>
      <c r="AB444" s="57">
        <f>IFERROR(__xludf.DUMMYFUNCTION("""COMPUTED_VALUE"""),2.673031360870543)</f>
        <v>2.673031361</v>
      </c>
      <c r="AC444" s="31">
        <f>IFERROR(__xludf.DUMMYFUNCTION("""COMPUTED_VALUE"""),375.3581793306989)</f>
        <v>375.3581793</v>
      </c>
      <c r="AD444" s="57">
        <f>IFERROR(__xludf.DUMMYFUNCTION("""COMPUTED_VALUE"""),0.8424421530739986)</f>
        <v>0.8424421531</v>
      </c>
      <c r="AE444" s="57">
        <f>IFERROR(__xludf.DUMMYFUNCTION("""COMPUTED_VALUE"""),0.6522606689649293)</f>
        <v>0.652260669</v>
      </c>
      <c r="AF444" s="57">
        <f>IFERROR(__xludf.DUMMYFUNCTION("""COMPUTED_VALUE"""),1.4390868431676833)</f>
        <v>1.439086843</v>
      </c>
      <c r="AG444" s="57">
        <f>IFERROR(__xludf.DUMMYFUNCTION("""COMPUTED_VALUE"""),2.7609550704547345)</f>
        <v>2.76095507</v>
      </c>
      <c r="AH444" s="57">
        <f>IFERROR(__xludf.DUMMYFUNCTION("""COMPUTED_VALUE"""),1.0300239298531881)</f>
        <v>1.03002393</v>
      </c>
      <c r="AI444" s="57">
        <f>IFERROR(__xludf.DUMMYFUNCTION("""COMPUTED_VALUE"""),1.2146303579654891)</f>
        <v>1.214630358</v>
      </c>
      <c r="AJ444" s="57">
        <f>IFERROR(__xludf.DUMMYFUNCTION("""COMPUTED_VALUE"""),1.0339709823702783)</f>
        <v>1.033970982</v>
      </c>
      <c r="AK444" s="57">
        <f>IFERROR(__xludf.DUMMYFUNCTION("""COMPUTED_VALUE"""),0.8888065188799885)</f>
        <v>0.8888065189</v>
      </c>
      <c r="AL444" s="57">
        <f>IFERROR(__xludf.DUMMYFUNCTION("""COMPUTED_VALUE"""),0.9686570539558548)</f>
        <v>0.968657054</v>
      </c>
      <c r="AM444" s="57">
        <f>IFERROR(__xludf.DUMMYFUNCTION("""COMPUTED_VALUE"""),0.9698531470285118)</f>
        <v>0.969853147</v>
      </c>
      <c r="AN444" s="57">
        <f>IFERROR(__xludf.DUMMYFUNCTION("""COMPUTED_VALUE"""),0.9422593860636733)</f>
        <v>0.9422593861</v>
      </c>
      <c r="AO444" s="57">
        <f>IFERROR(__xludf.DUMMYFUNCTION("""COMPUTED_VALUE"""),1.018514008734817)</f>
        <v>1.018514009</v>
      </c>
      <c r="AP444" s="35">
        <f>IFERROR(__xludf.DUMMYFUNCTION("""COMPUTED_VALUE"""),0.9164454751815393)</f>
        <v>0.9164454752</v>
      </c>
      <c r="AQ444" s="57">
        <f>IFERROR(__xludf.DUMMYFUNCTION("""COMPUTED_VALUE"""),0.9019171074719964)</f>
        <v>0.9019171075</v>
      </c>
      <c r="AR444" s="36" t="b">
        <f>IFERROR(__xludf.DUMMYFUNCTION("""COMPUTED_VALUE"""),TRUE)</f>
        <v>1</v>
      </c>
      <c r="AS444" s="57"/>
      <c r="AT444" s="37"/>
      <c r="AU444" s="30"/>
      <c r="AV444" s="30"/>
      <c r="AW444" s="30"/>
      <c r="AX444" s="30"/>
      <c r="AY444" s="30"/>
      <c r="AZ444" s="30"/>
    </row>
    <row r="445">
      <c r="A445" s="30" t="str">
        <f>IFERROR(__xludf.DUMMYFUNCTION("""COMPUTED_VALUE"""),"Premier")</f>
        <v>Premier</v>
      </c>
      <c r="B445" s="30" t="str">
        <f>IFERROR(__xludf.DUMMYFUNCTION("""COMPUTED_VALUE"""),"RSC007896")</f>
        <v>RSC007896</v>
      </c>
      <c r="C445" s="30" t="str">
        <f>IFERROR(__xludf.DUMMYFUNCTION("""COMPUTED_VALUE"""),"Notice")</f>
        <v>Notice</v>
      </c>
      <c r="D445" s="31" t="str">
        <f>IFERROR(__xludf.DUMMYFUNCTION("""COMPUTED_VALUE"""),"Hurricanes")</f>
        <v>Hurricanes</v>
      </c>
      <c r="E445" s="31">
        <f>IFERROR(__xludf.DUMMYFUNCTION("""COMPUTED_VALUE"""),66.22551903121641)</f>
        <v>66.22551903</v>
      </c>
      <c r="F445" s="31">
        <f>IFERROR(__xludf.DUMMYFUNCTION("""COMPUTED_VALUE"""),3.873529592251632)</f>
        <v>3.873529592</v>
      </c>
      <c r="G445" s="31">
        <f>IFERROR(__xludf.DUMMYFUNCTION("""COMPUTED_VALUE"""),50.286997220177135)</f>
        <v>50.28699722</v>
      </c>
      <c r="H445" s="31">
        <f>IFERROR(__xludf.DUMMYFUNCTION("""COMPUTED_VALUE"""),2.018488190905271)</f>
        <v>2.018488191</v>
      </c>
      <c r="I445" s="54">
        <f>IFERROR(__xludf.DUMMYFUNCTION("""COMPUTED_VALUE"""),43.0)</f>
        <v>43</v>
      </c>
      <c r="J445" s="55">
        <f>IFERROR(__xludf.DUMMYFUNCTION("""COMPUTED_VALUE"""),24.0)</f>
        <v>24</v>
      </c>
      <c r="K445" s="54">
        <f>IFERROR(__xludf.DUMMYFUNCTION("""COMPUTED_VALUE"""),19.0)</f>
        <v>19</v>
      </c>
      <c r="L445" s="56">
        <f>IFERROR(__xludf.DUMMYFUNCTION("""COMPUTED_VALUE"""),0.5581395348837209)</f>
        <v>0.5581395349</v>
      </c>
      <c r="M445" s="56">
        <f>IFERROR(__xludf.DUMMYFUNCTION("""COMPUTED_VALUE"""),0.29133858267716534)</f>
        <v>0.2913385827</v>
      </c>
      <c r="N445" s="31">
        <f>IFERROR(__xludf.DUMMYFUNCTION("""COMPUTED_VALUE"""),395.4418604651163)</f>
        <v>395.4418605</v>
      </c>
      <c r="O445" s="57">
        <f>IFERROR(__xludf.DUMMYFUNCTION("""COMPUTED_VALUE"""),0.8604651162790697)</f>
        <v>0.8604651163</v>
      </c>
      <c r="P445" s="57">
        <f>IFERROR(__xludf.DUMMYFUNCTION("""COMPUTED_VALUE"""),0.6744186046511628)</f>
        <v>0.6744186047</v>
      </c>
      <c r="Q445" s="57">
        <f>IFERROR(__xludf.DUMMYFUNCTION("""COMPUTED_VALUE"""),1.558139534883721)</f>
        <v>1.558139535</v>
      </c>
      <c r="R445" s="57">
        <f>IFERROR(__xludf.DUMMYFUNCTION("""COMPUTED_VALUE"""),2.953488372093023)</f>
        <v>2.953488372</v>
      </c>
      <c r="S445" s="31">
        <f>IFERROR(__xludf.DUMMYFUNCTION("""COMPUTED_VALUE"""),379.8837209302326)</f>
        <v>379.8837209</v>
      </c>
      <c r="T445" s="57">
        <f>IFERROR(__xludf.DUMMYFUNCTION("""COMPUTED_VALUE"""),0.75968992248062)</f>
        <v>0.7596899225</v>
      </c>
      <c r="U445" s="57">
        <f>IFERROR(__xludf.DUMMYFUNCTION("""COMPUTED_VALUE"""),0.5968992248062015)</f>
        <v>0.5968992248</v>
      </c>
      <c r="V445" s="57">
        <f>IFERROR(__xludf.DUMMYFUNCTION("""COMPUTED_VALUE"""),1.612403100775194)</f>
        <v>1.612403101</v>
      </c>
      <c r="W445" s="57">
        <f>IFERROR(__xludf.DUMMYFUNCTION("""COMPUTED_VALUE"""),2.7906976744186047)</f>
        <v>2.790697674</v>
      </c>
      <c r="X445" s="31">
        <f>IFERROR(__xludf.DUMMYFUNCTION("""COMPUTED_VALUE"""),376.70753540403933)</f>
        <v>376.7075354</v>
      </c>
      <c r="Y445" s="57">
        <f>IFERROR(__xludf.DUMMYFUNCTION("""COMPUTED_VALUE"""),0.8656263927706336)</f>
        <v>0.8656263928</v>
      </c>
      <c r="Z445" s="57">
        <f>IFERROR(__xludf.DUMMYFUNCTION("""COMPUTED_VALUE"""),0.673649973748083)</f>
        <v>0.6736499737</v>
      </c>
      <c r="AA445" s="57">
        <f>IFERROR(__xludf.DUMMYFUNCTION("""COMPUTED_VALUE"""),1.4197799596820198)</f>
        <v>1.41977996</v>
      </c>
      <c r="AB445" s="57">
        <f>IFERROR(__xludf.DUMMYFUNCTION("""COMPUTED_VALUE"""),2.7228941657962515)</f>
        <v>2.722894166</v>
      </c>
      <c r="AC445" s="31">
        <f>IFERROR(__xludf.DUMMYFUNCTION("""COMPUTED_VALUE"""),372.012127766595)</f>
        <v>372.0121278</v>
      </c>
      <c r="AD445" s="57">
        <f>IFERROR(__xludf.DUMMYFUNCTION("""COMPUTED_VALUE"""),0.8176621554543682)</f>
        <v>0.8176621555</v>
      </c>
      <c r="AE445" s="57">
        <f>IFERROR(__xludf.DUMMYFUNCTION("""COMPUTED_VALUE"""),0.6338762775619634)</f>
        <v>0.6338762776</v>
      </c>
      <c r="AF445" s="57">
        <f>IFERROR(__xludf.DUMMYFUNCTION("""COMPUTED_VALUE"""),1.4276748624153335)</f>
        <v>1.427674862</v>
      </c>
      <c r="AG445" s="57">
        <f>IFERROR(__xludf.DUMMYFUNCTION("""COMPUTED_VALUE"""),2.6953165884461625)</f>
        <v>2.695316588</v>
      </c>
      <c r="AH445" s="57">
        <f>IFERROR(__xludf.DUMMYFUNCTION("""COMPUTED_VALUE"""),1.0629810991356212)</f>
        <v>1.062981099</v>
      </c>
      <c r="AI445" s="57">
        <f>IFERROR(__xludf.DUMMYFUNCTION("""COMPUTED_VALUE"""),1.0523479783663416)</f>
        <v>1.052347978</v>
      </c>
      <c r="AJ445" s="57">
        <f>IFERROR(__xludf.DUMMYFUNCTION("""COMPUTED_VALUE"""),1.0639593695557352)</f>
        <v>1.06395937</v>
      </c>
      <c r="AK445" s="57">
        <f>IFERROR(__xludf.DUMMYFUNCTION("""COMPUTED_VALUE"""),1.0913826221242475)</f>
        <v>1.091382622</v>
      </c>
      <c r="AL445" s="57">
        <f>IFERROR(__xludf.DUMMYFUNCTION("""COMPUTED_VALUE"""),1.0957853280588814)</f>
        <v>1.095785328</v>
      </c>
      <c r="AM445" s="57">
        <f>IFERROR(__xludf.DUMMYFUNCTION("""COMPUTED_VALUE"""),1.0084314361346305)</f>
        <v>1.008431436</v>
      </c>
      <c r="AN445" s="57">
        <f>IFERROR(__xludf.DUMMYFUNCTION("""COMPUTED_VALUE"""),0.8776187149851797)</f>
        <v>0.877618715</v>
      </c>
      <c r="AO445" s="57">
        <f>IFERROR(__xludf.DUMMYFUNCTION("""COMPUTED_VALUE"""),0.8860673169556404)</f>
        <v>0.886067317</v>
      </c>
      <c r="AP445" s="35">
        <f>IFERROR(__xludf.DUMMYFUNCTION("""COMPUTED_VALUE"""),1.1356711226832044)</f>
        <v>1.135671123</v>
      </c>
      <c r="AQ445" s="57">
        <f>IFERROR(__xludf.DUMMYFUNCTION("""COMPUTED_VALUE"""),1.0249012647917315)</f>
        <v>1.024901265</v>
      </c>
      <c r="AR445" s="36" t="b">
        <f>IFERROR(__xludf.DUMMYFUNCTION("""COMPUTED_VALUE"""),TRUE)</f>
        <v>1</v>
      </c>
      <c r="AS445" s="57"/>
      <c r="AT445" s="37"/>
      <c r="AU445" s="30"/>
      <c r="AV445" s="30"/>
      <c r="AW445" s="30"/>
      <c r="AX445" s="30"/>
      <c r="AY445" s="30"/>
      <c r="AZ445" s="30"/>
    </row>
    <row r="446">
      <c r="A446" s="30" t="str">
        <f>IFERROR(__xludf.DUMMYFUNCTION("""COMPUTED_VALUE"""),"Premier")</f>
        <v>Premier</v>
      </c>
      <c r="B446" s="30" t="str">
        <f>IFERROR(__xludf.DUMMYFUNCTION("""COMPUTED_VALUE"""),"RSC005170")</f>
        <v>RSC005170</v>
      </c>
      <c r="C446" s="30" t="str">
        <f>IFERROR(__xludf.DUMMYFUNCTION("""COMPUTED_VALUE"""),"FrenchyNF")</f>
        <v>FrenchyNF</v>
      </c>
      <c r="D446" s="31" t="str">
        <f>IFERROR(__xludf.DUMMYFUNCTION("""COMPUTED_VALUE"""),"Super Clusters")</f>
        <v>Super Clusters</v>
      </c>
      <c r="E446" s="31">
        <f>IFERROR(__xludf.DUMMYFUNCTION("""COMPUTED_VALUE"""),65.08621555656669)</f>
        <v>65.08621556</v>
      </c>
      <c r="F446" s="31">
        <f>IFERROR(__xludf.DUMMYFUNCTION("""COMPUTED_VALUE"""),3.661593448807823)</f>
        <v>3.661593449</v>
      </c>
      <c r="G446" s="31">
        <f>IFERROR(__xludf.DUMMYFUNCTION("""COMPUTED_VALUE"""),55.050214726341004)</f>
        <v>55.05021473</v>
      </c>
      <c r="H446" s="31">
        <f>IFERROR(__xludf.DUMMYFUNCTION("""COMPUTED_VALUE"""),2.3812074833580676)</f>
        <v>2.381207483</v>
      </c>
      <c r="I446" s="54">
        <f>IFERROR(__xludf.DUMMYFUNCTION("""COMPUTED_VALUE"""),11.0)</f>
        <v>11</v>
      </c>
      <c r="J446" s="55">
        <f>IFERROR(__xludf.DUMMYFUNCTION("""COMPUTED_VALUE"""),8.0)</f>
        <v>8</v>
      </c>
      <c r="K446" s="54">
        <f>IFERROR(__xludf.DUMMYFUNCTION("""COMPUTED_VALUE"""),3.0)</f>
        <v>3</v>
      </c>
      <c r="L446" s="56">
        <f>IFERROR(__xludf.DUMMYFUNCTION("""COMPUTED_VALUE"""),0.7272727272727273)</f>
        <v>0.7272727273</v>
      </c>
      <c r="M446" s="56">
        <f>IFERROR(__xludf.DUMMYFUNCTION("""COMPUTED_VALUE"""),0.35714285714285715)</f>
        <v>0.3571428571</v>
      </c>
      <c r="N446" s="31">
        <f>IFERROR(__xludf.DUMMYFUNCTION("""COMPUTED_VALUE"""),344.45454545454544)</f>
        <v>344.4545455</v>
      </c>
      <c r="O446" s="57">
        <f>IFERROR(__xludf.DUMMYFUNCTION("""COMPUTED_VALUE"""),0.9090909090909091)</f>
        <v>0.9090909091</v>
      </c>
      <c r="P446" s="57">
        <f>IFERROR(__xludf.DUMMYFUNCTION("""COMPUTED_VALUE"""),0.8181818181818182)</f>
        <v>0.8181818182</v>
      </c>
      <c r="Q446" s="57">
        <f>IFERROR(__xludf.DUMMYFUNCTION("""COMPUTED_VALUE"""),1.0909090909090908)</f>
        <v>1.090909091</v>
      </c>
      <c r="R446" s="57">
        <f>IFERROR(__xludf.DUMMYFUNCTION("""COMPUTED_VALUE"""),2.5454545454545454)</f>
        <v>2.545454545</v>
      </c>
      <c r="S446" s="31">
        <f>IFERROR(__xludf.DUMMYFUNCTION("""COMPUTED_VALUE"""),328.48484848484844)</f>
        <v>328.4848485</v>
      </c>
      <c r="T446" s="57">
        <f>IFERROR(__xludf.DUMMYFUNCTION("""COMPUTED_VALUE"""),0.5151515151515151)</f>
        <v>0.5151515152</v>
      </c>
      <c r="U446" s="57">
        <f>IFERROR(__xludf.DUMMYFUNCTION("""COMPUTED_VALUE"""),0.45454545454545453)</f>
        <v>0.4545454545</v>
      </c>
      <c r="V446" s="57">
        <f>IFERROR(__xludf.DUMMYFUNCTION("""COMPUTED_VALUE"""),1.484848484848485)</f>
        <v>1.484848485</v>
      </c>
      <c r="W446" s="57">
        <f>IFERROR(__xludf.DUMMYFUNCTION("""COMPUTED_VALUE"""),2.0606060606060606)</f>
        <v>2.060606061</v>
      </c>
      <c r="X446" s="31">
        <f>IFERROR(__xludf.DUMMYFUNCTION("""COMPUTED_VALUE"""),347.3482589004072)</f>
        <v>347.3482589</v>
      </c>
      <c r="Y446" s="57">
        <f>IFERROR(__xludf.DUMMYFUNCTION("""COMPUTED_VALUE"""),0.7188016559687802)</f>
        <v>0.718801656</v>
      </c>
      <c r="Z446" s="57">
        <f>IFERROR(__xludf.DUMMYFUNCTION("""COMPUTED_VALUE"""),0.541104339029299)</f>
        <v>0.541104339</v>
      </c>
      <c r="AA446" s="57">
        <f>IFERROR(__xludf.DUMMYFUNCTION("""COMPUTED_VALUE"""),1.390949544028931)</f>
        <v>1.390949544</v>
      </c>
      <c r="AB446" s="57">
        <f>IFERROR(__xludf.DUMMYFUNCTION("""COMPUTED_VALUE"""),2.363869071140863)</f>
        <v>2.363869071</v>
      </c>
      <c r="AC446" s="31">
        <f>IFERROR(__xludf.DUMMYFUNCTION("""COMPUTED_VALUE"""),377.6520809991716)</f>
        <v>377.652081</v>
      </c>
      <c r="AD446" s="57">
        <f>IFERROR(__xludf.DUMMYFUNCTION("""COMPUTED_VALUE"""),0.9299086526421996)</f>
        <v>0.9299086526</v>
      </c>
      <c r="AE446" s="57">
        <f>IFERROR(__xludf.DUMMYFUNCTION("""COMPUTED_VALUE"""),0.7185202627092355)</f>
        <v>0.7185202627</v>
      </c>
      <c r="AF446" s="57">
        <f>IFERROR(__xludf.DUMMYFUNCTION("""COMPUTED_VALUE"""),1.296288787839539)</f>
        <v>1.296288788</v>
      </c>
      <c r="AG446" s="57">
        <f>IFERROR(__xludf.DUMMYFUNCTION("""COMPUTED_VALUE"""),2.878947141832638)</f>
        <v>2.878947142</v>
      </c>
      <c r="AH446" s="57">
        <f>IFERROR(__xludf.DUMMYFUNCTION("""COMPUTED_VALUE"""),0.9120949222448507)</f>
        <v>0.9120949222</v>
      </c>
      <c r="AI446" s="57">
        <f>IFERROR(__xludf.DUMMYFUNCTION("""COMPUTED_VALUE"""),0.9776131306100444)</f>
        <v>0.9776131306</v>
      </c>
      <c r="AJ446" s="57">
        <f>IFERROR(__xludf.DUMMYFUNCTION("""COMPUTED_VALUE"""),1.13870388998746)</f>
        <v>1.13870389</v>
      </c>
      <c r="AK446" s="57">
        <f>IFERROR(__xludf.DUMMYFUNCTION("""COMPUTED_VALUE"""),0.8415633160935192)</f>
        <v>0.8415633161</v>
      </c>
      <c r="AL446" s="57">
        <f>IFERROR(__xludf.DUMMYFUNCTION("""COMPUTED_VALUE"""),0.8841616118850301)</f>
        <v>0.8841616119</v>
      </c>
      <c r="AM446" s="57">
        <f>IFERROR(__xludf.DUMMYFUNCTION("""COMPUTED_VALUE"""),0.9456930906310738)</f>
        <v>0.9456930906</v>
      </c>
      <c r="AN446" s="57">
        <f>IFERROR(__xludf.DUMMYFUNCTION("""COMPUTED_VALUE"""),0.7166810355454855)</f>
        <v>0.7166810355</v>
      </c>
      <c r="AO446" s="57">
        <f>IFERROR(__xludf.DUMMYFUNCTION("""COMPUTED_VALUE"""),0.8400329137276469)</f>
        <v>0.8400329137</v>
      </c>
      <c r="AP446" s="35">
        <f>IFERROR(__xludf.DUMMYFUNCTION("""COMPUTED_VALUE"""),1.0675070790472907)</f>
        <v>1.067507079</v>
      </c>
      <c r="AQ446" s="57">
        <f>IFERROR(__xludf.DUMMYFUNCTION("""COMPUTED_VALUE"""),0.8717090492713117)</f>
        <v>0.8717090493</v>
      </c>
      <c r="AR446" s="36" t="b">
        <f>IFERROR(__xludf.DUMMYFUNCTION("""COMPUTED_VALUE"""),TRUE)</f>
        <v>1</v>
      </c>
      <c r="AS446" s="57"/>
      <c r="AT446" s="37"/>
      <c r="AU446" s="30"/>
      <c r="AV446" s="30"/>
      <c r="AW446" s="30"/>
      <c r="AX446" s="30"/>
      <c r="AY446" s="30"/>
      <c r="AZ446" s="30"/>
    </row>
    <row r="447">
      <c r="A447" s="30" t="str">
        <f>IFERROR(__xludf.DUMMYFUNCTION("""COMPUTED_VALUE"""),"Premier")</f>
        <v>Premier</v>
      </c>
      <c r="B447" s="30" t="str">
        <f>IFERROR(__xludf.DUMMYFUNCTION("""COMPUTED_VALUE"""),"RSC006203")</f>
        <v>RSC006203</v>
      </c>
      <c r="C447" s="30" t="str">
        <f>IFERROR(__xludf.DUMMYFUNCTION("""COMPUTED_VALUE"""),"Lonzo Ball")</f>
        <v>Lonzo Ball</v>
      </c>
      <c r="D447" s="31" t="str">
        <f>IFERROR(__xludf.DUMMYFUNCTION("""COMPUTED_VALUE"""),"Capybaras")</f>
        <v>Capybaras</v>
      </c>
      <c r="E447" s="31">
        <f>IFERROR(__xludf.DUMMYFUNCTION("""COMPUTED_VALUE"""),64.66240644693559)</f>
        <v>64.66240645</v>
      </c>
      <c r="F447" s="31">
        <f>IFERROR(__xludf.DUMMYFUNCTION("""COMPUTED_VALUE"""),3.587173215834622)</f>
        <v>3.587173216</v>
      </c>
      <c r="G447" s="31">
        <f>IFERROR(__xludf.DUMMYFUNCTION("""COMPUTED_VALUE"""),58.69814754197688)</f>
        <v>58.69814754</v>
      </c>
      <c r="H447" s="31">
        <f>IFERROR(__xludf.DUMMYFUNCTION("""COMPUTED_VALUE"""),2.7476459006582665)</f>
        <v>2.747645901</v>
      </c>
      <c r="I447" s="54">
        <f>IFERROR(__xludf.DUMMYFUNCTION("""COMPUTED_VALUE"""),44.0)</f>
        <v>44</v>
      </c>
      <c r="J447" s="55">
        <f>IFERROR(__xludf.DUMMYFUNCTION("""COMPUTED_VALUE"""),21.0)</f>
        <v>21</v>
      </c>
      <c r="K447" s="54">
        <f>IFERROR(__xludf.DUMMYFUNCTION("""COMPUTED_VALUE"""),23.0)</f>
        <v>23</v>
      </c>
      <c r="L447" s="56">
        <f>IFERROR(__xludf.DUMMYFUNCTION("""COMPUTED_VALUE"""),0.4772727272727273)</f>
        <v>0.4772727273</v>
      </c>
      <c r="M447" s="56">
        <f>IFERROR(__xludf.DUMMYFUNCTION("""COMPUTED_VALUE"""),0.31851851851851853)</f>
        <v>0.3185185185</v>
      </c>
      <c r="N447" s="31">
        <f>IFERROR(__xludf.DUMMYFUNCTION("""COMPUTED_VALUE"""),392.04545454545456)</f>
        <v>392.0454545</v>
      </c>
      <c r="O447" s="57">
        <f>IFERROR(__xludf.DUMMYFUNCTION("""COMPUTED_VALUE"""),0.9772727272727273)</f>
        <v>0.9772727273</v>
      </c>
      <c r="P447" s="57">
        <f>IFERROR(__xludf.DUMMYFUNCTION("""COMPUTED_VALUE"""),0.5909090909090909)</f>
        <v>0.5909090909</v>
      </c>
      <c r="Q447" s="57">
        <f>IFERROR(__xludf.DUMMYFUNCTION("""COMPUTED_VALUE"""),1.4545454545454546)</f>
        <v>1.454545455</v>
      </c>
      <c r="R447" s="57">
        <f>IFERROR(__xludf.DUMMYFUNCTION("""COMPUTED_VALUE"""),3.0681818181818183)</f>
        <v>3.068181818</v>
      </c>
      <c r="S447" s="31">
        <f>IFERROR(__xludf.DUMMYFUNCTION("""COMPUTED_VALUE"""),378.52272727272725)</f>
        <v>378.5227273</v>
      </c>
      <c r="T447" s="57">
        <f>IFERROR(__xludf.DUMMYFUNCTION("""COMPUTED_VALUE"""),0.8333333333333333)</f>
        <v>0.8333333333</v>
      </c>
      <c r="U447" s="57">
        <f>IFERROR(__xludf.DUMMYFUNCTION("""COMPUTED_VALUE"""),0.6136363636363636)</f>
        <v>0.6136363636</v>
      </c>
      <c r="V447" s="57">
        <f>IFERROR(__xludf.DUMMYFUNCTION("""COMPUTED_VALUE"""),1.4924242424242422)</f>
        <v>1.492424242</v>
      </c>
      <c r="W447" s="57">
        <f>IFERROR(__xludf.DUMMYFUNCTION("""COMPUTED_VALUE"""),2.6590909090909087)</f>
        <v>2.659090909</v>
      </c>
      <c r="X447" s="31">
        <f>IFERROR(__xludf.DUMMYFUNCTION("""COMPUTED_VALUE"""),373.9831528287857)</f>
        <v>373.9831528</v>
      </c>
      <c r="Y447" s="57">
        <f>IFERROR(__xludf.DUMMYFUNCTION("""COMPUTED_VALUE"""),0.8113320172726812)</f>
        <v>0.8113320173</v>
      </c>
      <c r="Z447" s="57">
        <f>IFERROR(__xludf.DUMMYFUNCTION("""COMPUTED_VALUE"""),0.634746334777864)</f>
        <v>0.6347463348</v>
      </c>
      <c r="AA447" s="57">
        <f>IFERROR(__xludf.DUMMYFUNCTION("""COMPUTED_VALUE"""),1.4713800982484537)</f>
        <v>1.471380098</v>
      </c>
      <c r="AB447" s="57">
        <f>IFERROR(__xludf.DUMMYFUNCTION("""COMPUTED_VALUE"""),2.6862924338075906)</f>
        <v>2.686292434</v>
      </c>
      <c r="AC447" s="31">
        <f>IFERROR(__xludf.DUMMYFUNCTION("""COMPUTED_VALUE"""),373.60286167158085)</f>
        <v>373.6028617</v>
      </c>
      <c r="AD447" s="57">
        <f>IFERROR(__xludf.DUMMYFUNCTION("""COMPUTED_VALUE"""),0.8389508672863543)</f>
        <v>0.8389508673</v>
      </c>
      <c r="AE447" s="57">
        <f>IFERROR(__xludf.DUMMYFUNCTION("""COMPUTED_VALUE"""),0.649114253688963)</f>
        <v>0.6491142537</v>
      </c>
      <c r="AF447" s="57">
        <f>IFERROR(__xludf.DUMMYFUNCTION("""COMPUTED_VALUE"""),1.410156355094091)</f>
        <v>1.410156355</v>
      </c>
      <c r="AG447" s="57">
        <f>IFERROR(__xludf.DUMMYFUNCTION("""COMPUTED_VALUE"""),2.7947419507609856)</f>
        <v>2.794741951</v>
      </c>
      <c r="AH447" s="57">
        <f>IFERROR(__xludf.DUMMYFUNCTION("""COMPUTED_VALUE"""),1.0493641638379254)</f>
        <v>1.049364164</v>
      </c>
      <c r="AI447" s="57">
        <f>IFERROR(__xludf.DUMMYFUNCTION("""COMPUTED_VALUE"""),1.164874804210865)</f>
        <v>1.164874804</v>
      </c>
      <c r="AJ447" s="57">
        <f>IFERROR(__xludf.DUMMYFUNCTION("""COMPUTED_VALUE"""),0.9103314055282441)</f>
        <v>0.9103314055</v>
      </c>
      <c r="AK447" s="57">
        <f>IFERROR(__xludf.DUMMYFUNCTION("""COMPUTED_VALUE"""),1.03147814020127)</f>
        <v>1.03147814</v>
      </c>
      <c r="AL447" s="57">
        <f>IFERROR(__xludf.DUMMYFUNCTION("""COMPUTED_VALUE"""),1.0978408283263423)</f>
        <v>1.097840828</v>
      </c>
      <c r="AM447" s="57">
        <f>IFERROR(__xludf.DUMMYFUNCTION("""COMPUTED_VALUE"""),1.0121384463701224)</f>
        <v>1.012138446</v>
      </c>
      <c r="AN447" s="57">
        <f>IFERROR(__xludf.DUMMYFUNCTION("""COMPUTED_VALUE"""),1.0271175247522095)</f>
        <v>1.027117525</v>
      </c>
      <c r="AO447" s="57">
        <f>IFERROR(__xludf.DUMMYFUNCTION("""COMPUTED_VALUE"""),0.9667426655580642)</f>
        <v>0.9667426656</v>
      </c>
      <c r="AP447" s="35">
        <f>IFERROR(__xludf.DUMMYFUNCTION("""COMPUTED_VALUE"""),1.0143023167166931)</f>
        <v>1.014302317</v>
      </c>
      <c r="AQ447" s="57">
        <f>IFERROR(__xludf.DUMMYFUNCTION("""COMPUTED_VALUE"""),0.9898739525249207)</f>
        <v>0.9898739525</v>
      </c>
      <c r="AR447" s="36" t="b">
        <f>IFERROR(__xludf.DUMMYFUNCTION("""COMPUTED_VALUE"""),TRUE)</f>
        <v>1</v>
      </c>
      <c r="AS447" s="57"/>
      <c r="AT447" s="37"/>
      <c r="AU447" s="30"/>
      <c r="AV447" s="30"/>
      <c r="AW447" s="30"/>
      <c r="AX447" s="30"/>
      <c r="AY447" s="30"/>
      <c r="AZ447" s="30"/>
    </row>
    <row r="448">
      <c r="A448" s="30" t="str">
        <f>IFERROR(__xludf.DUMMYFUNCTION("""COMPUTED_VALUE"""),"Premier")</f>
        <v>Premier</v>
      </c>
      <c r="B448" s="30" t="str">
        <f>IFERROR(__xludf.DUMMYFUNCTION("""COMPUTED_VALUE"""),"RSC006029")</f>
        <v>RSC006029</v>
      </c>
      <c r="C448" s="30" t="str">
        <f>IFERROR(__xludf.DUMMYFUNCTION("""COMPUTED_VALUE"""),"bman.")</f>
        <v>bman.</v>
      </c>
      <c r="D448" s="31"/>
      <c r="E448" s="31">
        <f>IFERROR(__xludf.DUMMYFUNCTION("""COMPUTED_VALUE"""),64.554088230029)</f>
        <v>64.55408823</v>
      </c>
      <c r="F448" s="31">
        <f>IFERROR(__xludf.DUMMYFUNCTION("""COMPUTED_VALUE"""),3.568519357359387)</f>
        <v>3.568519357</v>
      </c>
      <c r="G448" s="31">
        <f>IFERROR(__xludf.DUMMYFUNCTION("""COMPUTED_VALUE"""),56.68940427643662)</f>
        <v>56.68940428</v>
      </c>
      <c r="H448" s="31">
        <f>IFERROR(__xludf.DUMMYFUNCTION("""COMPUTED_VALUE"""),2.5347720824515805)</f>
        <v>2.534772082</v>
      </c>
      <c r="I448" s="54">
        <f>IFERROR(__xludf.DUMMYFUNCTION("""COMPUTED_VALUE"""),12.0)</f>
        <v>12</v>
      </c>
      <c r="J448" s="55">
        <f>IFERROR(__xludf.DUMMYFUNCTION("""COMPUTED_VALUE"""),6.0)</f>
        <v>6</v>
      </c>
      <c r="K448" s="54">
        <f>IFERROR(__xludf.DUMMYFUNCTION("""COMPUTED_VALUE"""),6.0)</f>
        <v>6</v>
      </c>
      <c r="L448" s="56">
        <f>IFERROR(__xludf.DUMMYFUNCTION("""COMPUTED_VALUE"""),0.5)</f>
        <v>0.5</v>
      </c>
      <c r="M448" s="56">
        <f>IFERROR(__xludf.DUMMYFUNCTION("""COMPUTED_VALUE"""),0.29268292682926833)</f>
        <v>0.2926829268</v>
      </c>
      <c r="N448" s="31">
        <f>IFERROR(__xludf.DUMMYFUNCTION("""COMPUTED_VALUE"""),434.1666666666667)</f>
        <v>434.1666667</v>
      </c>
      <c r="O448" s="57">
        <f>IFERROR(__xludf.DUMMYFUNCTION("""COMPUTED_VALUE"""),1.0)</f>
        <v>1</v>
      </c>
      <c r="P448" s="57">
        <f>IFERROR(__xludf.DUMMYFUNCTION("""COMPUTED_VALUE"""),0.5833333333333334)</f>
        <v>0.5833333333</v>
      </c>
      <c r="Q448" s="57">
        <f>IFERROR(__xludf.DUMMYFUNCTION("""COMPUTED_VALUE"""),1.5)</f>
        <v>1.5</v>
      </c>
      <c r="R448" s="57">
        <f>IFERROR(__xludf.DUMMYFUNCTION("""COMPUTED_VALUE"""),3.4166666666666665)</f>
        <v>3.416666667</v>
      </c>
      <c r="S448" s="31">
        <f>IFERROR(__xludf.DUMMYFUNCTION("""COMPUTED_VALUE"""),399.1111111111111)</f>
        <v>399.1111111</v>
      </c>
      <c r="T448" s="57">
        <f>IFERROR(__xludf.DUMMYFUNCTION("""COMPUTED_VALUE"""),0.861111111111111)</f>
        <v>0.8611111111</v>
      </c>
      <c r="U448" s="57">
        <f>IFERROR(__xludf.DUMMYFUNCTION("""COMPUTED_VALUE"""),0.5833333333333334)</f>
        <v>0.5833333333</v>
      </c>
      <c r="V448" s="57">
        <f>IFERROR(__xludf.DUMMYFUNCTION("""COMPUTED_VALUE"""),1.611111111111111)</f>
        <v>1.611111111</v>
      </c>
      <c r="W448" s="57">
        <f>IFERROR(__xludf.DUMMYFUNCTION("""COMPUTED_VALUE"""),3.0833333333333335)</f>
        <v>3.083333333</v>
      </c>
      <c r="X448" s="31">
        <f>IFERROR(__xludf.DUMMYFUNCTION("""COMPUTED_VALUE"""),362.2634249644202)</f>
        <v>362.263425</v>
      </c>
      <c r="Y448" s="57">
        <f>IFERROR(__xludf.DUMMYFUNCTION("""COMPUTED_VALUE"""),0.7539208375658845)</f>
        <v>0.7539208376</v>
      </c>
      <c r="Z448" s="57">
        <f>IFERROR(__xludf.DUMMYFUNCTION("""COMPUTED_VALUE"""),0.5570721587289117)</f>
        <v>0.5570721587</v>
      </c>
      <c r="AA448" s="57">
        <f>IFERROR(__xludf.DUMMYFUNCTION("""COMPUTED_VALUE"""),1.4838230510997994)</f>
        <v>1.483823051</v>
      </c>
      <c r="AB448" s="57">
        <f>IFERROR(__xludf.DUMMYFUNCTION("""COMPUTED_VALUE"""),2.629145864303723)</f>
        <v>2.629145864</v>
      </c>
      <c r="AC448" s="31">
        <f>IFERROR(__xludf.DUMMYFUNCTION("""COMPUTED_VALUE"""),384.8547619813339)</f>
        <v>384.854762</v>
      </c>
      <c r="AD448" s="57">
        <f>IFERROR(__xludf.DUMMYFUNCTION("""COMPUTED_VALUE"""),0.8995753907393752)</f>
        <v>0.8995753907</v>
      </c>
      <c r="AE448" s="57">
        <f>IFERROR(__xludf.DUMMYFUNCTION("""COMPUTED_VALUE"""),0.7042632927232181)</f>
        <v>0.7042632927</v>
      </c>
      <c r="AF448" s="57">
        <f>IFERROR(__xludf.DUMMYFUNCTION("""COMPUTED_VALUE"""),1.4319825826447756)</f>
        <v>1.431982583</v>
      </c>
      <c r="AG448" s="57">
        <f>IFERROR(__xludf.DUMMYFUNCTION("""COMPUTED_VALUE"""),2.8628999387130634)</f>
        <v>2.862899939</v>
      </c>
      <c r="AH448" s="57">
        <f>IFERROR(__xludf.DUMMYFUNCTION("""COMPUTED_VALUE"""),1.1281312057345012)</f>
        <v>1.128131206</v>
      </c>
      <c r="AI448" s="57">
        <f>IFERROR(__xludf.DUMMYFUNCTION("""COMPUTED_VALUE"""),1.111635567507115)</f>
        <v>1.111635568</v>
      </c>
      <c r="AJ448" s="57">
        <f>IFERROR(__xludf.DUMMYFUNCTION("""COMPUTED_VALUE"""),0.8282887087267072)</f>
        <v>0.8282887087</v>
      </c>
      <c r="AK448" s="57">
        <f>IFERROR(__xludf.DUMMYFUNCTION("""COMPUTED_VALUE"""),1.0474987742026867)</f>
        <v>1.047498774</v>
      </c>
      <c r="AL448" s="57">
        <f>IFERROR(__xludf.DUMMYFUNCTION("""COMPUTED_VALUE"""),1.1934286003032761)</f>
        <v>1.1934286</v>
      </c>
      <c r="AM448" s="57">
        <f>IFERROR(__xludf.DUMMYFUNCTION("""COMPUTED_VALUE"""),1.1017151708050843)</f>
        <v>1.101715171</v>
      </c>
      <c r="AN448" s="57">
        <f>IFERROR(__xludf.DUMMYFUNCTION("""COMPUTED_VALUE"""),1.1421770936737894)</f>
        <v>1.142177094</v>
      </c>
      <c r="AO448" s="57">
        <f>IFERROR(__xludf.DUMMYFUNCTION("""COMPUTED_VALUE"""),1.0471414235892573)</f>
        <v>1.047141424</v>
      </c>
      <c r="AP448" s="35">
        <f>IFERROR(__xludf.DUMMYFUNCTION("""COMPUTED_VALUE"""),1.085783854022868)</f>
        <v>1.085783854</v>
      </c>
      <c r="AQ448" s="57">
        <f>IFERROR(__xludf.DUMMYFUNCTION("""COMPUTED_VALUE"""),1.1727509588555647)</f>
        <v>1.172750959</v>
      </c>
      <c r="AR448" s="36" t="b">
        <f>IFERROR(__xludf.DUMMYFUNCTION("""COMPUTED_VALUE"""),TRUE)</f>
        <v>1</v>
      </c>
      <c r="AS448" s="57"/>
      <c r="AT448" s="37"/>
      <c r="AU448" s="30"/>
      <c r="AV448" s="30"/>
      <c r="AW448" s="30"/>
      <c r="AX448" s="30"/>
      <c r="AY448" s="30"/>
      <c r="AZ448" s="30"/>
    </row>
    <row r="449">
      <c r="A449" s="30" t="str">
        <f>IFERROR(__xludf.DUMMYFUNCTION("""COMPUTED_VALUE"""),"Premier")</f>
        <v>Premier</v>
      </c>
      <c r="B449" s="30" t="str">
        <f>IFERROR(__xludf.DUMMYFUNCTION("""COMPUTED_VALUE"""),"RSC004924")</f>
        <v>RSC004924</v>
      </c>
      <c r="C449" s="30" t="str">
        <f>IFERROR(__xludf.DUMMYFUNCTION("""COMPUTED_VALUE"""),"comet")</f>
        <v>comet</v>
      </c>
      <c r="D449" s="31" t="str">
        <f>IFERROR(__xludf.DUMMYFUNCTION("""COMPUTED_VALUE"""),"Excavators")</f>
        <v>Excavators</v>
      </c>
      <c r="E449" s="31">
        <f>IFERROR(__xludf.DUMMYFUNCTION("""COMPUTED_VALUE"""),63.40456499260504)</f>
        <v>63.40456499</v>
      </c>
      <c r="F449" s="31">
        <f>IFERROR(__xludf.DUMMYFUNCTION("""COMPUTED_VALUE"""),3.3793353353201927)</f>
        <v>3.379335335</v>
      </c>
      <c r="G449" s="31">
        <f>IFERROR(__xludf.DUMMYFUNCTION("""COMPUTED_VALUE"""),58.65508947647434)</f>
        <v>58.65508948</v>
      </c>
      <c r="H449" s="31">
        <f>IFERROR(__xludf.DUMMYFUNCTION("""COMPUTED_VALUE"""),2.742770408046702)</f>
        <v>2.742770408</v>
      </c>
      <c r="I449" s="54">
        <f>IFERROR(__xludf.DUMMYFUNCTION("""COMPUTED_VALUE"""),42.0)</f>
        <v>42</v>
      </c>
      <c r="J449" s="55">
        <f>IFERROR(__xludf.DUMMYFUNCTION("""COMPUTED_VALUE"""),29.0)</f>
        <v>29</v>
      </c>
      <c r="K449" s="54">
        <f>IFERROR(__xludf.DUMMYFUNCTION("""COMPUTED_VALUE"""),13.0)</f>
        <v>13</v>
      </c>
      <c r="L449" s="56">
        <f>IFERROR(__xludf.DUMMYFUNCTION("""COMPUTED_VALUE"""),0.6904761904761905)</f>
        <v>0.6904761905</v>
      </c>
      <c r="M449" s="56">
        <f>IFERROR(__xludf.DUMMYFUNCTION("""COMPUTED_VALUE"""),0.2782608695652174)</f>
        <v>0.2782608696</v>
      </c>
      <c r="N449" s="31">
        <f>IFERROR(__xludf.DUMMYFUNCTION("""COMPUTED_VALUE"""),376.8333333333333)</f>
        <v>376.8333333</v>
      </c>
      <c r="O449" s="57">
        <f>IFERROR(__xludf.DUMMYFUNCTION("""COMPUTED_VALUE"""),0.7619047619047619)</f>
        <v>0.7619047619</v>
      </c>
      <c r="P449" s="57">
        <f>IFERROR(__xludf.DUMMYFUNCTION("""COMPUTED_VALUE"""),0.7619047619047619)</f>
        <v>0.7619047619</v>
      </c>
      <c r="Q449" s="57">
        <f>IFERROR(__xludf.DUMMYFUNCTION("""COMPUTED_VALUE"""),1.3095238095238095)</f>
        <v>1.30952381</v>
      </c>
      <c r="R449" s="57">
        <f>IFERROR(__xludf.DUMMYFUNCTION("""COMPUTED_VALUE"""),2.738095238095238)</f>
        <v>2.738095238</v>
      </c>
      <c r="S449" s="31">
        <f>IFERROR(__xludf.DUMMYFUNCTION("""COMPUTED_VALUE"""),343.2063492063492)</f>
        <v>343.2063492</v>
      </c>
      <c r="T449" s="57">
        <f>IFERROR(__xludf.DUMMYFUNCTION("""COMPUTED_VALUE"""),0.6746031746031745)</f>
        <v>0.6746031746</v>
      </c>
      <c r="U449" s="57">
        <f>IFERROR(__xludf.DUMMYFUNCTION("""COMPUTED_VALUE"""),0.5)</f>
        <v>0.5</v>
      </c>
      <c r="V449" s="57">
        <f>IFERROR(__xludf.DUMMYFUNCTION("""COMPUTED_VALUE"""),1.4920634920634923)</f>
        <v>1.492063492</v>
      </c>
      <c r="W449" s="57">
        <f>IFERROR(__xludf.DUMMYFUNCTION("""COMPUTED_VALUE"""),2.3333333333333335)</f>
        <v>2.333333333</v>
      </c>
      <c r="X449" s="31">
        <f>IFERROR(__xludf.DUMMYFUNCTION("""COMPUTED_VALUE"""),371.01542277407873)</f>
        <v>371.0154228</v>
      </c>
      <c r="Y449" s="57">
        <f>IFERROR(__xludf.DUMMYFUNCTION("""COMPUTED_VALUE"""),0.8023294845359887)</f>
        <v>0.8023294845</v>
      </c>
      <c r="Z449" s="57">
        <f>IFERROR(__xludf.DUMMYFUNCTION("""COMPUTED_VALUE"""),0.6147933097029318)</f>
        <v>0.6147933097</v>
      </c>
      <c r="AA449" s="57">
        <f>IFERROR(__xludf.DUMMYFUNCTION("""COMPUTED_VALUE"""),1.4810410899386781)</f>
        <v>1.48104109</v>
      </c>
      <c r="AB449" s="57">
        <f>IFERROR(__xludf.DUMMYFUNCTION("""COMPUTED_VALUE"""),2.72427080572322)</f>
        <v>2.724270806</v>
      </c>
      <c r="AC449" s="31">
        <f>IFERROR(__xludf.DUMMYFUNCTION("""COMPUTED_VALUE"""),379.85306665505993)</f>
        <v>379.8530667</v>
      </c>
      <c r="AD449" s="57">
        <f>IFERROR(__xludf.DUMMYFUNCTION("""COMPUTED_VALUE"""),0.865968036949434)</f>
        <v>0.8659680369</v>
      </c>
      <c r="AE449" s="57">
        <f>IFERROR(__xludf.DUMMYFUNCTION("""COMPUTED_VALUE"""),0.6811556341309232)</f>
        <v>0.6811556341</v>
      </c>
      <c r="AF449" s="57">
        <f>IFERROR(__xludf.DUMMYFUNCTION("""COMPUTED_VALUE"""),1.4330813160511855)</f>
        <v>1.433081316</v>
      </c>
      <c r="AG449" s="57">
        <f>IFERROR(__xludf.DUMMYFUNCTION("""COMPUTED_VALUE"""),2.800432570273949)</f>
        <v>2.80043257</v>
      </c>
      <c r="AH449" s="57">
        <f>IFERROR(__xludf.DUMMYFUNCTION("""COMPUTED_VALUE"""),0.9920502594639605)</f>
        <v>0.9920502595</v>
      </c>
      <c r="AI449" s="57">
        <f>IFERROR(__xludf.DUMMYFUNCTION("""COMPUTED_VALUE"""),0.8798301200454716)</f>
        <v>0.87983012</v>
      </c>
      <c r="AJ449" s="57">
        <f>IFERROR(__xludf.DUMMYFUNCTION("""COMPUTED_VALUE"""),1.118547250771647)</f>
        <v>1.118547251</v>
      </c>
      <c r="AK449" s="57">
        <f>IFERROR(__xludf.DUMMYFUNCTION("""COMPUTED_VALUE"""),0.9137819290898055)</f>
        <v>0.9137819291</v>
      </c>
      <c r="AL449" s="57">
        <f>IFERROR(__xludf.DUMMYFUNCTION("""COMPUTED_VALUE"""),0.9777401059963343)</f>
        <v>0.977740106</v>
      </c>
      <c r="AM449" s="57">
        <f>IFERROR(__xludf.DUMMYFUNCTION("""COMPUTED_VALUE"""),0.9250460442862419)</f>
        <v>0.9250460443</v>
      </c>
      <c r="AN449" s="57">
        <f>IFERROR(__xludf.DUMMYFUNCTION("""COMPUTED_VALUE"""),0.8408056635153048)</f>
        <v>0.8408056635</v>
      </c>
      <c r="AO449" s="57">
        <f>IFERROR(__xludf.DUMMYFUNCTION("""COMPUTED_VALUE"""),0.8132814591648697)</f>
        <v>0.8132814592</v>
      </c>
      <c r="AP449" s="35">
        <f>IFERROR(__xludf.DUMMYFUNCTION("""COMPUTED_VALUE"""),1.0074423337743252)</f>
        <v>1.007442334</v>
      </c>
      <c r="AQ449" s="57">
        <f>IFERROR(__xludf.DUMMYFUNCTION("""COMPUTED_VALUE"""),0.856498307154856)</f>
        <v>0.8564983072</v>
      </c>
      <c r="AR449" s="36" t="b">
        <f>IFERROR(__xludf.DUMMYFUNCTION("""COMPUTED_VALUE"""),TRUE)</f>
        <v>1</v>
      </c>
      <c r="AS449" s="57"/>
      <c r="AT449" s="37"/>
      <c r="AU449" s="30"/>
      <c r="AV449" s="30"/>
      <c r="AW449" s="30"/>
      <c r="AX449" s="30"/>
      <c r="AY449" s="30"/>
      <c r="AZ449" s="30"/>
    </row>
    <row r="450">
      <c r="A450" s="30" t="str">
        <f>IFERROR(__xludf.DUMMYFUNCTION("""COMPUTED_VALUE"""),"Premier")</f>
        <v>Premier</v>
      </c>
      <c r="B450" s="30" t="str">
        <f>IFERROR(__xludf.DUMMYFUNCTION("""COMPUTED_VALUE"""),"RSC007188")</f>
        <v>RSC007188</v>
      </c>
      <c r="C450" s="30" t="str">
        <f>IFERROR(__xludf.DUMMYFUNCTION("""COMPUTED_VALUE"""),"spoody")</f>
        <v>spoody</v>
      </c>
      <c r="D450" s="31"/>
      <c r="E450" s="31">
        <f>IFERROR(__xludf.DUMMYFUNCTION("""COMPUTED_VALUE"""),63.09201265844796)</f>
        <v>63.09201266</v>
      </c>
      <c r="F450" s="31">
        <f>IFERROR(__xludf.DUMMYFUNCTION("""COMPUTED_VALUE"""),3.330553562936246)</f>
        <v>3.330553563</v>
      </c>
      <c r="G450" s="31">
        <f>IFERROR(__xludf.DUMMYFUNCTION("""COMPUTED_VALUE"""),58.31994235991849)</f>
        <v>58.31994236</v>
      </c>
      <c r="H450" s="31">
        <f>IFERROR(__xludf.DUMMYFUNCTION("""COMPUTED_VALUE"""),2.7053093093889276)</f>
        <v>2.705309309</v>
      </c>
      <c r="I450" s="54">
        <f>IFERROR(__xludf.DUMMYFUNCTION("""COMPUTED_VALUE"""),28.0)</f>
        <v>28</v>
      </c>
      <c r="J450" s="55">
        <f>IFERROR(__xludf.DUMMYFUNCTION("""COMPUTED_VALUE"""),12.0)</f>
        <v>12</v>
      </c>
      <c r="K450" s="54">
        <f>IFERROR(__xludf.DUMMYFUNCTION("""COMPUTED_VALUE"""),16.0)</f>
        <v>16</v>
      </c>
      <c r="L450" s="56">
        <f>IFERROR(__xludf.DUMMYFUNCTION("""COMPUTED_VALUE"""),0.42857142857142855)</f>
        <v>0.4285714286</v>
      </c>
      <c r="M450" s="56">
        <f>IFERROR(__xludf.DUMMYFUNCTION("""COMPUTED_VALUE"""),0.29069767441860467)</f>
        <v>0.2906976744</v>
      </c>
      <c r="N450" s="31">
        <f>IFERROR(__xludf.DUMMYFUNCTION("""COMPUTED_VALUE"""),389.64285714285717)</f>
        <v>389.6428571</v>
      </c>
      <c r="O450" s="57">
        <f>IFERROR(__xludf.DUMMYFUNCTION("""COMPUTED_VALUE"""),0.8928571428571429)</f>
        <v>0.8928571429</v>
      </c>
      <c r="P450" s="57">
        <f>IFERROR(__xludf.DUMMYFUNCTION("""COMPUTED_VALUE"""),0.6785714285714286)</f>
        <v>0.6785714286</v>
      </c>
      <c r="Q450" s="57">
        <f>IFERROR(__xludf.DUMMYFUNCTION("""COMPUTED_VALUE"""),1.5357142857142858)</f>
        <v>1.535714286</v>
      </c>
      <c r="R450" s="57">
        <f>IFERROR(__xludf.DUMMYFUNCTION("""COMPUTED_VALUE"""),3.0714285714285716)</f>
        <v>3.071428571</v>
      </c>
      <c r="S450" s="31">
        <f>IFERROR(__xludf.DUMMYFUNCTION("""COMPUTED_VALUE"""),394.38095238095235)</f>
        <v>394.3809524</v>
      </c>
      <c r="T450" s="57">
        <f>IFERROR(__xludf.DUMMYFUNCTION("""COMPUTED_VALUE"""),0.9047619047619049)</f>
        <v>0.9047619048</v>
      </c>
      <c r="U450" s="57">
        <f>IFERROR(__xludf.DUMMYFUNCTION("""COMPUTED_VALUE"""),0.7142857142857143)</f>
        <v>0.7142857143</v>
      </c>
      <c r="V450" s="57">
        <f>IFERROR(__xludf.DUMMYFUNCTION("""COMPUTED_VALUE"""),1.5357142857142854)</f>
        <v>1.535714286</v>
      </c>
      <c r="W450" s="57">
        <f>IFERROR(__xludf.DUMMYFUNCTION("""COMPUTED_VALUE"""),2.75)</f>
        <v>2.75</v>
      </c>
      <c r="X450" s="31">
        <f>IFERROR(__xludf.DUMMYFUNCTION("""COMPUTED_VALUE"""),379.8465376775252)</f>
        <v>379.8465377</v>
      </c>
      <c r="Y450" s="57">
        <f>IFERROR(__xludf.DUMMYFUNCTION("""COMPUTED_VALUE"""),0.8140223835502081)</f>
        <v>0.8140223836</v>
      </c>
      <c r="Z450" s="57">
        <f>IFERROR(__xludf.DUMMYFUNCTION("""COMPUTED_VALUE"""),0.6700133285402078)</f>
        <v>0.6700133285</v>
      </c>
      <c r="AA450" s="57">
        <f>IFERROR(__xludf.DUMMYFUNCTION("""COMPUTED_VALUE"""),1.4804254311848406)</f>
        <v>1.480425431</v>
      </c>
      <c r="AB450" s="57">
        <f>IFERROR(__xludf.DUMMYFUNCTION("""COMPUTED_VALUE"""),2.8084319085588816)</f>
        <v>2.808431909</v>
      </c>
      <c r="AC450" s="31">
        <f>IFERROR(__xludf.DUMMYFUNCTION("""COMPUTED_VALUE"""),377.00085720977535)</f>
        <v>377.0008572</v>
      </c>
      <c r="AD450" s="57">
        <f>IFERROR(__xludf.DUMMYFUNCTION("""COMPUTED_VALUE"""),0.8296826987179439)</f>
        <v>0.8296826987</v>
      </c>
      <c r="AE450" s="57">
        <f>IFERROR(__xludf.DUMMYFUNCTION("""COMPUTED_VALUE"""),0.6374765659672487)</f>
        <v>0.637476566</v>
      </c>
      <c r="AF450" s="57">
        <f>IFERROR(__xludf.DUMMYFUNCTION("""COMPUTED_VALUE"""),1.480912748389976)</f>
        <v>1.480912748</v>
      </c>
      <c r="AG450" s="57">
        <f>IFERROR(__xludf.DUMMYFUNCTION("""COMPUTED_VALUE"""),2.783947182601699)</f>
        <v>2.783947183</v>
      </c>
      <c r="AH450" s="57">
        <f>IFERROR(__xludf.DUMMYFUNCTION("""COMPUTED_VALUE"""),1.0335330800747953)</f>
        <v>1.03353308</v>
      </c>
      <c r="AI450" s="57">
        <f>IFERROR(__xludf.DUMMYFUNCTION("""COMPUTED_VALUE"""),1.0761428968409472)</f>
        <v>1.076142897</v>
      </c>
      <c r="AJ450" s="57">
        <f>IFERROR(__xludf.DUMMYFUNCTION("""COMPUTED_VALUE"""),1.064464899257632)</f>
        <v>1.064464899</v>
      </c>
      <c r="AK450" s="57">
        <f>IFERROR(__xludf.DUMMYFUNCTION("""COMPUTED_VALUE"""),1.0370052438159434)</f>
        <v>1.037005244</v>
      </c>
      <c r="AL450" s="57">
        <f>IFERROR(__xludf.DUMMYFUNCTION("""COMPUTED_VALUE"""),1.1032639522127035)</f>
        <v>1.103263952</v>
      </c>
      <c r="AM450" s="57">
        <f>IFERROR(__xludf.DUMMYFUNCTION("""COMPUTED_VALUE"""),1.0382639125587247)</f>
        <v>1.038263913</v>
      </c>
      <c r="AN450" s="57">
        <f>IFERROR(__xludf.DUMMYFUNCTION("""COMPUTED_VALUE"""),1.1114705480406486)</f>
        <v>1.111470548</v>
      </c>
      <c r="AO450" s="57">
        <f>IFERROR(__xludf.DUMMYFUNCTION("""COMPUTED_VALUE"""),1.0660768731899184)</f>
        <v>1.066076873</v>
      </c>
      <c r="AP450" s="35">
        <f>IFERROR(__xludf.DUMMYFUNCTION("""COMPUTED_VALUE"""),1.0373465987308763)</f>
        <v>1.037346599</v>
      </c>
      <c r="AQ450" s="57">
        <f>IFERROR(__xludf.DUMMYFUNCTION("""COMPUTED_VALUE"""),0.9791941159830841)</f>
        <v>0.979194116</v>
      </c>
      <c r="AR450" s="36" t="b">
        <f>IFERROR(__xludf.DUMMYFUNCTION("""COMPUTED_VALUE"""),TRUE)</f>
        <v>1</v>
      </c>
      <c r="AS450" s="57"/>
      <c r="AT450" s="37"/>
      <c r="AU450" s="30"/>
      <c r="AV450" s="30"/>
      <c r="AW450" s="30"/>
      <c r="AX450" s="30"/>
      <c r="AY450" s="30"/>
      <c r="AZ450" s="30"/>
    </row>
    <row r="451">
      <c r="A451" s="30" t="str">
        <f>IFERROR(__xludf.DUMMYFUNCTION("""COMPUTED_VALUE"""),"Premier")</f>
        <v>Premier</v>
      </c>
      <c r="B451" s="30" t="str">
        <f>IFERROR(__xludf.DUMMYFUNCTION("""COMPUTED_VALUE"""),"RSC000462")</f>
        <v>RSC000462</v>
      </c>
      <c r="C451" s="30" t="str">
        <f>IFERROR(__xludf.DUMMYFUNCTION("""COMPUTED_VALUE"""),"Kruncho")</f>
        <v>Kruncho</v>
      </c>
      <c r="D451" s="31" t="str">
        <f>IFERROR(__xludf.DUMMYFUNCTION("""COMPUTED_VALUE"""),"Feta Forgers")</f>
        <v>Feta Forgers</v>
      </c>
      <c r="E451" s="31">
        <f>IFERROR(__xludf.DUMMYFUNCTION("""COMPUTED_VALUE"""),61.59931695413714)</f>
        <v>61.59931695</v>
      </c>
      <c r="F451" s="31">
        <f>IFERROR(__xludf.DUMMYFUNCTION("""COMPUTED_VALUE"""),3.1120300282884177)</f>
        <v>3.112030028</v>
      </c>
      <c r="G451" s="31">
        <f>IFERROR(__xludf.DUMMYFUNCTION("""COMPUTED_VALUE"""),63.1386083471487)</f>
        <v>63.13860835</v>
      </c>
      <c r="H451" s="31">
        <f>IFERROR(__xludf.DUMMYFUNCTION("""COMPUTED_VALUE"""),3.3377567381621356)</f>
        <v>3.337756738</v>
      </c>
      <c r="I451" s="54">
        <f>IFERROR(__xludf.DUMMYFUNCTION("""COMPUTED_VALUE"""),44.0)</f>
        <v>44</v>
      </c>
      <c r="J451" s="55">
        <f>IFERROR(__xludf.DUMMYFUNCTION("""COMPUTED_VALUE"""),23.0)</f>
        <v>23</v>
      </c>
      <c r="K451" s="54">
        <f>IFERROR(__xludf.DUMMYFUNCTION("""COMPUTED_VALUE"""),21.0)</f>
        <v>21</v>
      </c>
      <c r="L451" s="56">
        <f>IFERROR(__xludf.DUMMYFUNCTION("""COMPUTED_VALUE"""),0.5227272727272727)</f>
        <v>0.5227272727</v>
      </c>
      <c r="M451" s="56">
        <f>IFERROR(__xludf.DUMMYFUNCTION("""COMPUTED_VALUE"""),0.2698412698412698)</f>
        <v>0.2698412698</v>
      </c>
      <c r="N451" s="31">
        <f>IFERROR(__xludf.DUMMYFUNCTION("""COMPUTED_VALUE"""),370.40909090909093)</f>
        <v>370.4090909</v>
      </c>
      <c r="O451" s="57">
        <f>IFERROR(__xludf.DUMMYFUNCTION("""COMPUTED_VALUE"""),0.7727272727272727)</f>
        <v>0.7727272727</v>
      </c>
      <c r="P451" s="57">
        <f>IFERROR(__xludf.DUMMYFUNCTION("""COMPUTED_VALUE"""),0.8181818181818182)</f>
        <v>0.8181818182</v>
      </c>
      <c r="Q451" s="57">
        <f>IFERROR(__xludf.DUMMYFUNCTION("""COMPUTED_VALUE"""),1.25)</f>
        <v>1.25</v>
      </c>
      <c r="R451" s="57">
        <f>IFERROR(__xludf.DUMMYFUNCTION("""COMPUTED_VALUE"""),2.8636363636363638)</f>
        <v>2.863636364</v>
      </c>
      <c r="S451" s="31">
        <f>IFERROR(__xludf.DUMMYFUNCTION("""COMPUTED_VALUE"""),371.6363636363636)</f>
        <v>371.6363636</v>
      </c>
      <c r="T451" s="57">
        <f>IFERROR(__xludf.DUMMYFUNCTION("""COMPUTED_VALUE"""),0.8484848484848485)</f>
        <v>0.8484848485</v>
      </c>
      <c r="U451" s="57">
        <f>IFERROR(__xludf.DUMMYFUNCTION("""COMPUTED_VALUE"""),0.6893939393939396)</f>
        <v>0.6893939394</v>
      </c>
      <c r="V451" s="57">
        <f>IFERROR(__xludf.DUMMYFUNCTION("""COMPUTED_VALUE"""),1.3712121212121213)</f>
        <v>1.371212121</v>
      </c>
      <c r="W451" s="57">
        <f>IFERROR(__xludf.DUMMYFUNCTION("""COMPUTED_VALUE"""),2.462121212121212)</f>
        <v>2.462121212</v>
      </c>
      <c r="X451" s="31">
        <f>IFERROR(__xludf.DUMMYFUNCTION("""COMPUTED_VALUE"""),370.8955200781689)</f>
        <v>370.8955201</v>
      </c>
      <c r="Y451" s="57">
        <f>IFERROR(__xludf.DUMMYFUNCTION("""COMPUTED_VALUE"""),0.842731019000542)</f>
        <v>0.842731019</v>
      </c>
      <c r="Z451" s="57">
        <f>IFERROR(__xludf.DUMMYFUNCTION("""COMPUTED_VALUE"""),0.6007856647519273)</f>
        <v>0.6007856648</v>
      </c>
      <c r="AA451" s="57">
        <f>IFERROR(__xludf.DUMMYFUNCTION("""COMPUTED_VALUE"""),1.4223191990318091)</f>
        <v>1.422319199</v>
      </c>
      <c r="AB451" s="57">
        <f>IFERROR(__xludf.DUMMYFUNCTION("""COMPUTED_VALUE"""),2.7061641150833484)</f>
        <v>2.706164115</v>
      </c>
      <c r="AC451" s="31">
        <f>IFERROR(__xludf.DUMMYFUNCTION("""COMPUTED_VALUE"""),375.44205089415084)</f>
        <v>375.4420509</v>
      </c>
      <c r="AD451" s="57">
        <f>IFERROR(__xludf.DUMMYFUNCTION("""COMPUTED_VALUE"""),0.8394788154842368)</f>
        <v>0.8394788155</v>
      </c>
      <c r="AE451" s="57">
        <f>IFERROR(__xludf.DUMMYFUNCTION("""COMPUTED_VALUE"""),0.6487398092059369)</f>
        <v>0.6487398092</v>
      </c>
      <c r="AF451" s="57">
        <f>IFERROR(__xludf.DUMMYFUNCTION("""COMPUTED_VALUE"""),1.4437151963782335)</f>
        <v>1.443715196</v>
      </c>
      <c r="AG451" s="57">
        <f>IFERROR(__xludf.DUMMYFUNCTION("""COMPUTED_VALUE"""),2.742284357077734)</f>
        <v>2.742284357</v>
      </c>
      <c r="AH451" s="57">
        <f>IFERROR(__xludf.DUMMYFUNCTION("""COMPUTED_VALUE"""),0.9865945757192797)</f>
        <v>0.9865945757</v>
      </c>
      <c r="AI451" s="57">
        <f>IFERROR(__xludf.DUMMYFUNCTION("""COMPUTED_VALUE"""),0.9204845416873805)</f>
        <v>0.9204845417</v>
      </c>
      <c r="AJ451" s="57">
        <f>IFERROR(__xludf.DUMMYFUNCTION("""COMPUTED_VALUE"""),1.2611863902467768)</f>
        <v>1.26118639</v>
      </c>
      <c r="AK451" s="57">
        <f>IFERROR(__xludf.DUMMYFUNCTION("""COMPUTED_VALUE"""),0.8658217376500602)</f>
        <v>0.8658217377</v>
      </c>
      <c r="AL451" s="57">
        <f>IFERROR(__xludf.DUMMYFUNCTION("""COMPUTED_VALUE"""),1.0442521601545167)</f>
        <v>1.04425216</v>
      </c>
      <c r="AM451" s="57">
        <f>IFERROR(__xludf.DUMMYFUNCTION("""COMPUTED_VALUE"""),1.0019974454208522)</f>
        <v>1.001997445</v>
      </c>
      <c r="AN451" s="57">
        <f>IFERROR(__xludf.DUMMYFUNCTION("""COMPUTED_VALUE"""),1.0068275990257607)</f>
        <v>1.006827599</v>
      </c>
      <c r="AO451" s="57">
        <f>IFERROR(__xludf.DUMMYFUNCTION("""COMPUTED_VALUE"""),1.1474873317401804)</f>
        <v>1.147487332</v>
      </c>
      <c r="AP451" s="35">
        <f>IFERROR(__xludf.DUMMYFUNCTION("""COMPUTED_VALUE"""),0.9640677860114122)</f>
        <v>0.964067786</v>
      </c>
      <c r="AQ451" s="57">
        <f>IFERROR(__xludf.DUMMYFUNCTION("""COMPUTED_VALUE"""),0.909819621950526)</f>
        <v>0.909819622</v>
      </c>
      <c r="AR451" s="36" t="b">
        <f>IFERROR(__xludf.DUMMYFUNCTION("""COMPUTED_VALUE"""),TRUE)</f>
        <v>1</v>
      </c>
      <c r="AS451" s="57"/>
      <c r="AT451" s="37"/>
      <c r="AU451" s="30"/>
      <c r="AV451" s="30"/>
      <c r="AW451" s="30"/>
      <c r="AX451" s="30"/>
      <c r="AY451" s="30"/>
      <c r="AZ451" s="30"/>
    </row>
    <row r="452">
      <c r="A452" s="30" t="str">
        <f>IFERROR(__xludf.DUMMYFUNCTION("""COMPUTED_VALUE"""),"Premier")</f>
        <v>Premier</v>
      </c>
      <c r="B452" s="30" t="str">
        <f>IFERROR(__xludf.DUMMYFUNCTION("""COMPUTED_VALUE"""),"RSC007721")</f>
        <v>RSC007721</v>
      </c>
      <c r="C452" s="30" t="str">
        <f>IFERROR(__xludf.DUMMYFUNCTION("""COMPUTED_VALUE"""),"Ace!")</f>
        <v>Ace!</v>
      </c>
      <c r="D452" s="31" t="str">
        <f>IFERROR(__xludf.DUMMYFUNCTION("""COMPUTED_VALUE"""),"Gummy Bears")</f>
        <v>Gummy Bears</v>
      </c>
      <c r="E452" s="31">
        <f>IFERROR(__xludf.DUMMYFUNCTION("""COMPUTED_VALUE"""),58.926481337844706)</f>
        <v>58.92648134</v>
      </c>
      <c r="F452" s="31">
        <f>IFERROR(__xludf.DUMMYFUNCTION("""COMPUTED_VALUE"""),2.7737425698805938)</f>
        <v>2.77374257</v>
      </c>
      <c r="G452" s="31">
        <f>IFERROR(__xludf.DUMMYFUNCTION("""COMPUTED_VALUE"""),56.960590758434066)</f>
        <v>56.96059076</v>
      </c>
      <c r="H452" s="31">
        <f>IFERROR(__xludf.DUMMYFUNCTION("""COMPUTED_VALUE"""),2.5618455716630084)</f>
        <v>2.561845572</v>
      </c>
      <c r="I452" s="54">
        <f>IFERROR(__xludf.DUMMYFUNCTION("""COMPUTED_VALUE"""),31.0)</f>
        <v>31</v>
      </c>
      <c r="J452" s="55">
        <f>IFERROR(__xludf.DUMMYFUNCTION("""COMPUTED_VALUE"""),20.0)</f>
        <v>20</v>
      </c>
      <c r="K452" s="54">
        <f>IFERROR(__xludf.DUMMYFUNCTION("""COMPUTED_VALUE"""),11.0)</f>
        <v>11</v>
      </c>
      <c r="L452" s="56">
        <f>IFERROR(__xludf.DUMMYFUNCTION("""COMPUTED_VALUE"""),0.6451612903225806)</f>
        <v>0.6451612903</v>
      </c>
      <c r="M452" s="56">
        <f>IFERROR(__xludf.DUMMYFUNCTION("""COMPUTED_VALUE"""),0.24096385542168675)</f>
        <v>0.2409638554</v>
      </c>
      <c r="N452" s="31">
        <f>IFERROR(__xludf.DUMMYFUNCTION("""COMPUTED_VALUE"""),393.5806451612903)</f>
        <v>393.5806452</v>
      </c>
      <c r="O452" s="57">
        <f>IFERROR(__xludf.DUMMYFUNCTION("""COMPUTED_VALUE"""),0.6451612903225806)</f>
        <v>0.6451612903</v>
      </c>
      <c r="P452" s="57">
        <f>IFERROR(__xludf.DUMMYFUNCTION("""COMPUTED_VALUE"""),0.8709677419354839)</f>
        <v>0.8709677419</v>
      </c>
      <c r="Q452" s="57">
        <f>IFERROR(__xludf.DUMMYFUNCTION("""COMPUTED_VALUE"""),1.5806451612903225)</f>
        <v>1.580645161</v>
      </c>
      <c r="R452" s="57">
        <f>IFERROR(__xludf.DUMMYFUNCTION("""COMPUTED_VALUE"""),2.6774193548387095)</f>
        <v>2.677419355</v>
      </c>
      <c r="S452" s="31">
        <f>IFERROR(__xludf.DUMMYFUNCTION("""COMPUTED_VALUE"""),345.89247311827955)</f>
        <v>345.8924731</v>
      </c>
      <c r="T452" s="57">
        <f>IFERROR(__xludf.DUMMYFUNCTION("""COMPUTED_VALUE"""),0.8387096774193548)</f>
        <v>0.8387096774</v>
      </c>
      <c r="U452" s="57">
        <f>IFERROR(__xludf.DUMMYFUNCTION("""COMPUTED_VALUE"""),0.6344086021505375)</f>
        <v>0.6344086022</v>
      </c>
      <c r="V452" s="57">
        <f>IFERROR(__xludf.DUMMYFUNCTION("""COMPUTED_VALUE"""),1.1935483870967742)</f>
        <v>1.193548387</v>
      </c>
      <c r="W452" s="57">
        <f>IFERROR(__xludf.DUMMYFUNCTION("""COMPUTED_VALUE"""),2.8602150537634414)</f>
        <v>2.860215054</v>
      </c>
      <c r="X452" s="31">
        <f>IFERROR(__xludf.DUMMYFUNCTION("""COMPUTED_VALUE"""),361.2237570687102)</f>
        <v>361.2237571</v>
      </c>
      <c r="Y452" s="57">
        <f>IFERROR(__xludf.DUMMYFUNCTION("""COMPUTED_VALUE"""),0.7895028719966972)</f>
        <v>0.789502872</v>
      </c>
      <c r="Z452" s="57">
        <f>IFERROR(__xludf.DUMMYFUNCTION("""COMPUTED_VALUE"""),0.6581886338777169)</f>
        <v>0.6581886339</v>
      </c>
      <c r="AA452" s="57">
        <f>IFERROR(__xludf.DUMMYFUNCTION("""COMPUTED_VALUE"""),1.3500029222077796)</f>
        <v>1.350002922</v>
      </c>
      <c r="AB452" s="57">
        <f>IFERROR(__xludf.DUMMYFUNCTION("""COMPUTED_VALUE"""),2.7140929528188003)</f>
        <v>2.714092953</v>
      </c>
      <c r="AC452" s="31">
        <f>IFERROR(__xludf.DUMMYFUNCTION("""COMPUTED_VALUE"""),374.81343269633055)</f>
        <v>374.8134327</v>
      </c>
      <c r="AD452" s="57">
        <f>IFERROR(__xludf.DUMMYFUNCTION("""COMPUTED_VALUE"""),0.8274765417102572)</f>
        <v>0.8274765417</v>
      </c>
      <c r="AE452" s="57">
        <f>IFERROR(__xludf.DUMMYFUNCTION("""COMPUTED_VALUE"""),0.6580544501291455)</f>
        <v>0.6580544501</v>
      </c>
      <c r="AF452" s="57">
        <f>IFERROR(__xludf.DUMMYFUNCTION("""COMPUTED_VALUE"""),1.4422997884278907)</f>
        <v>1.442299788</v>
      </c>
      <c r="AG452" s="57">
        <f>IFERROR(__xludf.DUMMYFUNCTION("""COMPUTED_VALUE"""),2.6953833630217847)</f>
        <v>2.695383363</v>
      </c>
      <c r="AH452" s="57">
        <f>IFERROR(__xludf.DUMMYFUNCTION("""COMPUTED_VALUE"""),1.0500708107763168)</f>
        <v>1.050070811</v>
      </c>
      <c r="AI452" s="57">
        <f>IFERROR(__xludf.DUMMYFUNCTION("""COMPUTED_VALUE"""),0.7796732086073871)</f>
        <v>0.7796732086</v>
      </c>
      <c r="AJ452" s="57">
        <f>IFERROR(__xludf.DUMMYFUNCTION("""COMPUTED_VALUE"""),1.323549657273123)</f>
        <v>1.323549657</v>
      </c>
      <c r="AK452" s="57">
        <f>IFERROR(__xludf.DUMMYFUNCTION("""COMPUTED_VALUE"""),1.0959199841617036)</f>
        <v>1.095919984</v>
      </c>
      <c r="AL452" s="57">
        <f>IFERROR(__xludf.DUMMYFUNCTION("""COMPUTED_VALUE"""),0.9933352678399945)</f>
        <v>0.9933352678</v>
      </c>
      <c r="AM452" s="57">
        <f>IFERROR(__xludf.DUMMYFUNCTION("""COMPUTED_VALUE"""),0.957557376417204)</f>
        <v>0.9575573764</v>
      </c>
      <c r="AN452" s="57">
        <f>IFERROR(__xludf.DUMMYFUNCTION("""COMPUTED_VALUE"""),1.0623263159236023)</f>
        <v>1.062326316</v>
      </c>
      <c r="AO452" s="57">
        <f>IFERROR(__xludf.DUMMYFUNCTION("""COMPUTED_VALUE"""),0.9638704916748876)</f>
        <v>0.9638704917</v>
      </c>
      <c r="AP452" s="35">
        <f>IFERROR(__xludf.DUMMYFUNCTION("""COMPUTED_VALUE"""),0.8841080026292526)</f>
        <v>0.8841080026</v>
      </c>
      <c r="AQ452" s="57">
        <f>IFERROR(__xludf.DUMMYFUNCTION("""COMPUTED_VALUE"""),1.0538382816966094)</f>
        <v>1.053838282</v>
      </c>
      <c r="AR452" s="36" t="b">
        <f>IFERROR(__xludf.DUMMYFUNCTION("""COMPUTED_VALUE"""),TRUE)</f>
        <v>1</v>
      </c>
      <c r="AS452" s="57"/>
      <c r="AT452" s="37"/>
      <c r="AU452" s="30"/>
      <c r="AV452" s="30"/>
      <c r="AW452" s="30"/>
      <c r="AX452" s="30"/>
      <c r="AY452" s="30"/>
      <c r="AZ452" s="30"/>
    </row>
    <row r="453">
      <c r="A453" s="30" t="str">
        <f>IFERROR(__xludf.DUMMYFUNCTION("""COMPUTED_VALUE"""),"Premier")</f>
        <v>Premier</v>
      </c>
      <c r="B453" s="30" t="str">
        <f>IFERROR(__xludf.DUMMYFUNCTION("""COMPUTED_VALUE"""),"RSC004370")</f>
        <v>RSC004370</v>
      </c>
      <c r="C453" s="30" t="str">
        <f>IFERROR(__xludf.DUMMYFUNCTION("""COMPUTED_VALUE"""),"Nightfang")</f>
        <v>Nightfang</v>
      </c>
      <c r="D453" s="31" t="str">
        <f>IFERROR(__xludf.DUMMYFUNCTION("""COMPUTED_VALUE"""),"Old Heads")</f>
        <v>Old Heads</v>
      </c>
      <c r="E453" s="31">
        <f>IFERROR(__xludf.DUMMYFUNCTION("""COMPUTED_VALUE"""),58.06271329850814)</f>
        <v>58.0627133</v>
      </c>
      <c r="F453" s="31">
        <f>IFERROR(__xludf.DUMMYFUNCTION("""COMPUTED_VALUE"""),2.6771343504149865)</f>
        <v>2.67713435</v>
      </c>
      <c r="G453" s="31">
        <f>IFERROR(__xludf.DUMMYFUNCTION("""COMPUTED_VALUE"""),48.2702736807034)</f>
        <v>48.27027368</v>
      </c>
      <c r="H453" s="31">
        <f>IFERROR(__xludf.DUMMYFUNCTION("""COMPUTED_VALUE"""),-2.1167624434684997)</f>
        <v>-2.116762443</v>
      </c>
      <c r="I453" s="54">
        <f>IFERROR(__xludf.DUMMYFUNCTION("""COMPUTED_VALUE"""),42.0)</f>
        <v>42</v>
      </c>
      <c r="J453" s="55">
        <f>IFERROR(__xludf.DUMMYFUNCTION("""COMPUTED_VALUE"""),24.0)</f>
        <v>24</v>
      </c>
      <c r="K453" s="54">
        <f>IFERROR(__xludf.DUMMYFUNCTION("""COMPUTED_VALUE"""),18.0)</f>
        <v>18</v>
      </c>
      <c r="L453" s="56">
        <f>IFERROR(__xludf.DUMMYFUNCTION("""COMPUTED_VALUE"""),0.5714285714285714)</f>
        <v>0.5714285714</v>
      </c>
      <c r="M453" s="56">
        <f>IFERROR(__xludf.DUMMYFUNCTION("""COMPUTED_VALUE"""),0.33962264150943394)</f>
        <v>0.3396226415</v>
      </c>
      <c r="N453" s="31">
        <f>IFERROR(__xludf.DUMMYFUNCTION("""COMPUTED_VALUE"""),354.4761904761905)</f>
        <v>354.4761905</v>
      </c>
      <c r="O453" s="57">
        <f>IFERROR(__xludf.DUMMYFUNCTION("""COMPUTED_VALUE"""),0.8571428571428571)</f>
        <v>0.8571428571</v>
      </c>
      <c r="P453" s="57">
        <f>IFERROR(__xludf.DUMMYFUNCTION("""COMPUTED_VALUE"""),0.7380952380952381)</f>
        <v>0.7380952381</v>
      </c>
      <c r="Q453" s="57">
        <f>IFERROR(__xludf.DUMMYFUNCTION("""COMPUTED_VALUE"""),1.2142857142857142)</f>
        <v>1.214285714</v>
      </c>
      <c r="R453" s="57">
        <f>IFERROR(__xludf.DUMMYFUNCTION("""COMPUTED_VALUE"""),2.5238095238095237)</f>
        <v>2.523809524</v>
      </c>
      <c r="S453" s="31">
        <f>IFERROR(__xludf.DUMMYFUNCTION("""COMPUTED_VALUE"""),369.51587301587296)</f>
        <v>369.515873</v>
      </c>
      <c r="T453" s="57">
        <f>IFERROR(__xludf.DUMMYFUNCTION("""COMPUTED_VALUE"""),0.8253968253968254)</f>
        <v>0.8253968254</v>
      </c>
      <c r="U453" s="57">
        <f>IFERROR(__xludf.DUMMYFUNCTION("""COMPUTED_VALUE"""),0.6190476190476191)</f>
        <v>0.619047619</v>
      </c>
      <c r="V453" s="57">
        <f>IFERROR(__xludf.DUMMYFUNCTION("""COMPUTED_VALUE"""),1.4523809523809526)</f>
        <v>1.452380952</v>
      </c>
      <c r="W453" s="57">
        <f>IFERROR(__xludf.DUMMYFUNCTION("""COMPUTED_VALUE"""),2.658730158730159)</f>
        <v>2.658730159</v>
      </c>
      <c r="X453" s="31">
        <f>IFERROR(__xludf.DUMMYFUNCTION("""COMPUTED_VALUE"""),373.25788365000557)</f>
        <v>373.2578837</v>
      </c>
      <c r="Y453" s="57">
        <f>IFERROR(__xludf.DUMMYFUNCTION("""COMPUTED_VALUE"""),0.8300854858345202)</f>
        <v>0.8300854858</v>
      </c>
      <c r="Z453" s="57">
        <f>IFERROR(__xludf.DUMMYFUNCTION("""COMPUTED_VALUE"""),0.6294765061316716)</f>
        <v>0.6294765061</v>
      </c>
      <c r="AA453" s="57">
        <f>IFERROR(__xludf.DUMMYFUNCTION("""COMPUTED_VALUE"""),1.423047853717956)</f>
        <v>1.423047854</v>
      </c>
      <c r="AB453" s="57">
        <f>IFERROR(__xludf.DUMMYFUNCTION("""COMPUTED_VALUE"""),2.744244447688333)</f>
        <v>2.744244448</v>
      </c>
      <c r="AC453" s="31">
        <f>IFERROR(__xludf.DUMMYFUNCTION("""COMPUTED_VALUE"""),375.1140438880228)</f>
        <v>375.1140439</v>
      </c>
      <c r="AD453" s="57">
        <f>IFERROR(__xludf.DUMMYFUNCTION("""COMPUTED_VALUE"""),0.8290107186340676)</f>
        <v>0.8290107186</v>
      </c>
      <c r="AE453" s="57">
        <f>IFERROR(__xludf.DUMMYFUNCTION("""COMPUTED_VALUE"""),0.6320550382574427)</f>
        <v>0.6320550383</v>
      </c>
      <c r="AF453" s="57">
        <f>IFERROR(__xludf.DUMMYFUNCTION("""COMPUTED_VALUE"""),1.4416302435472526)</f>
        <v>1.441630244</v>
      </c>
      <c r="AG453" s="57">
        <f>IFERROR(__xludf.DUMMYFUNCTION("""COMPUTED_VALUE"""),2.7462247876331514)</f>
        <v>2.746224788</v>
      </c>
      <c r="AH453" s="57">
        <f>IFERROR(__xludf.DUMMYFUNCTION("""COMPUTED_VALUE"""),0.9449824560074508)</f>
        <v>0.944982456</v>
      </c>
      <c r="AI453" s="57">
        <f>IFERROR(__xludf.DUMMYFUNCTION("""COMPUTED_VALUE"""),1.0339345895975167)</f>
        <v>1.03393459</v>
      </c>
      <c r="AJ453" s="57">
        <f>IFERROR(__xludf.DUMMYFUNCTION("""COMPUTED_VALUE"""),1.1677705158875802)</f>
        <v>1.167770516</v>
      </c>
      <c r="AK453" s="57">
        <f>IFERROR(__xludf.DUMMYFUNCTION("""COMPUTED_VALUE"""),0.8423003885502999)</f>
        <v>0.8423003886</v>
      </c>
      <c r="AL453" s="57">
        <f>IFERROR(__xludf.DUMMYFUNCTION("""COMPUTED_VALUE"""),0.9190105395504359)</f>
        <v>0.9190105396</v>
      </c>
      <c r="AM453" s="57">
        <f>IFERROR(__xludf.DUMMYFUNCTION("""COMPUTED_VALUE"""),0.9899747311495732)</f>
        <v>0.9899747311</v>
      </c>
      <c r="AN453" s="57">
        <f>IFERROR(__xludf.DUMMYFUNCTION("""COMPUTED_VALUE"""),0.9943515932783945)</f>
        <v>0.9943515933</v>
      </c>
      <c r="AO453" s="57">
        <f>IFERROR(__xludf.DUMMYFUNCTION("""COMPUTED_VALUE"""),0.9834324442890787)</f>
        <v>0.9834324443</v>
      </c>
      <c r="AP453" s="35">
        <f>IFERROR(__xludf.DUMMYFUNCTION("""COMPUTED_VALUE"""),1.020612868770617)</f>
        <v>1.020612869</v>
      </c>
      <c r="AQ453" s="57">
        <f>IFERROR(__xludf.DUMMYFUNCTION("""COMPUTED_VALUE"""),0.9688386765143284)</f>
        <v>0.9688386765</v>
      </c>
      <c r="AR453" s="36" t="b">
        <f>IFERROR(__xludf.DUMMYFUNCTION("""COMPUTED_VALUE"""),TRUE)</f>
        <v>1</v>
      </c>
      <c r="AS453" s="57"/>
      <c r="AT453" s="37"/>
      <c r="AU453" s="30"/>
      <c r="AV453" s="30"/>
      <c r="AW453" s="30"/>
      <c r="AX453" s="30"/>
      <c r="AY453" s="30"/>
      <c r="AZ453" s="30"/>
    </row>
    <row r="454">
      <c r="A454" s="30" t="str">
        <f>IFERROR(__xludf.DUMMYFUNCTION("""COMPUTED_VALUE"""),"Premier")</f>
        <v>Premier</v>
      </c>
      <c r="B454" s="30" t="str">
        <f>IFERROR(__xludf.DUMMYFUNCTION("""COMPUTED_VALUE"""),"RSC005670")</f>
        <v>RSC005670</v>
      </c>
      <c r="C454" s="30" t="str">
        <f>IFERROR(__xludf.DUMMYFUNCTION("""COMPUTED_VALUE"""),"mesi")</f>
        <v>mesi</v>
      </c>
      <c r="D454" s="31" t="str">
        <f>IFERROR(__xludf.DUMMYFUNCTION("""COMPUTED_VALUE"""),"Old Heads")</f>
        <v>Old Heads</v>
      </c>
      <c r="E454" s="31">
        <f>IFERROR(__xludf.DUMMYFUNCTION("""COMPUTED_VALUE"""),57.56629389372057)</f>
        <v>57.56629389</v>
      </c>
      <c r="F454" s="31">
        <f>IFERROR(__xludf.DUMMYFUNCTION("""COMPUTED_VALUE"""),2.6241372130394307)</f>
        <v>2.624137213</v>
      </c>
      <c r="G454" s="31">
        <f>IFERROR(__xludf.DUMMYFUNCTION("""COMPUTED_VALUE"""),48.65876580181732)</f>
        <v>48.6587658</v>
      </c>
      <c r="H454" s="31">
        <f>IFERROR(__xludf.DUMMYFUNCTION("""COMPUTED_VALUE"""),-2.0893957953249247)</f>
        <v>-2.089395795</v>
      </c>
      <c r="I454" s="54">
        <f>IFERROR(__xludf.DUMMYFUNCTION("""COMPUTED_VALUE"""),47.0)</f>
        <v>47</v>
      </c>
      <c r="J454" s="55">
        <f>IFERROR(__xludf.DUMMYFUNCTION("""COMPUTED_VALUE"""),26.0)</f>
        <v>26</v>
      </c>
      <c r="K454" s="54">
        <f>IFERROR(__xludf.DUMMYFUNCTION("""COMPUTED_VALUE"""),21.0)</f>
        <v>21</v>
      </c>
      <c r="L454" s="56">
        <f>IFERROR(__xludf.DUMMYFUNCTION("""COMPUTED_VALUE"""),0.5531914893617021)</f>
        <v>0.5531914894</v>
      </c>
      <c r="M454" s="56">
        <f>IFERROR(__xludf.DUMMYFUNCTION("""COMPUTED_VALUE"""),0.30344827586206896)</f>
        <v>0.3034482759</v>
      </c>
      <c r="N454" s="31">
        <f>IFERROR(__xludf.DUMMYFUNCTION("""COMPUTED_VALUE"""),366.3191489361702)</f>
        <v>366.3191489</v>
      </c>
      <c r="O454" s="57">
        <f>IFERROR(__xludf.DUMMYFUNCTION("""COMPUTED_VALUE"""),0.9361702127659575)</f>
        <v>0.9361702128</v>
      </c>
      <c r="P454" s="57">
        <f>IFERROR(__xludf.DUMMYFUNCTION("""COMPUTED_VALUE"""),0.46808510638297873)</f>
        <v>0.4680851064</v>
      </c>
      <c r="Q454" s="57">
        <f>IFERROR(__xludf.DUMMYFUNCTION("""COMPUTED_VALUE"""),1.425531914893617)</f>
        <v>1.425531915</v>
      </c>
      <c r="R454" s="57">
        <f>IFERROR(__xludf.DUMMYFUNCTION("""COMPUTED_VALUE"""),3.0851063829787235)</f>
        <v>3.085106383</v>
      </c>
      <c r="S454" s="31">
        <f>IFERROR(__xludf.DUMMYFUNCTION("""COMPUTED_VALUE"""),377.127659574468)</f>
        <v>377.1276596</v>
      </c>
      <c r="T454" s="57">
        <f>IFERROR(__xludf.DUMMYFUNCTION("""COMPUTED_VALUE"""),0.8368794326241136)</f>
        <v>0.8368794326</v>
      </c>
      <c r="U454" s="57">
        <f>IFERROR(__xludf.DUMMYFUNCTION("""COMPUTED_VALUE"""),0.6382978723404256)</f>
        <v>0.6382978723</v>
      </c>
      <c r="V454" s="57">
        <f>IFERROR(__xludf.DUMMYFUNCTION("""COMPUTED_VALUE"""),1.5035460992907805)</f>
        <v>1.503546099</v>
      </c>
      <c r="W454" s="57">
        <f>IFERROR(__xludf.DUMMYFUNCTION("""COMPUTED_VALUE"""),2.723404255319149)</f>
        <v>2.723404255</v>
      </c>
      <c r="X454" s="31">
        <f>IFERROR(__xludf.DUMMYFUNCTION("""COMPUTED_VALUE"""),374.8570349786486)</f>
        <v>374.857035</v>
      </c>
      <c r="Y454" s="57">
        <f>IFERROR(__xludf.DUMMYFUNCTION("""COMPUTED_VALUE"""),0.839651738216878)</f>
        <v>0.8396517382</v>
      </c>
      <c r="Z454" s="57">
        <f>IFERROR(__xludf.DUMMYFUNCTION("""COMPUTED_VALUE"""),0.6423521315417765)</f>
        <v>0.6423521315</v>
      </c>
      <c r="AA454" s="57">
        <f>IFERROR(__xludf.DUMMYFUNCTION("""COMPUTED_VALUE"""),1.40984812679679)</f>
        <v>1.409848127</v>
      </c>
      <c r="AB454" s="57">
        <f>IFERROR(__xludf.DUMMYFUNCTION("""COMPUTED_VALUE"""),2.759050396415715)</f>
        <v>2.759050396</v>
      </c>
      <c r="AC454" s="31">
        <f>IFERROR(__xludf.DUMMYFUNCTION("""COMPUTED_VALUE"""),372.37482864338983)</f>
        <v>372.3748286</v>
      </c>
      <c r="AD454" s="57">
        <f>IFERROR(__xludf.DUMMYFUNCTION("""COMPUTED_VALUE"""),0.8171593679343752)</f>
        <v>0.8171593679</v>
      </c>
      <c r="AE454" s="57">
        <f>IFERROR(__xludf.DUMMYFUNCTION("""COMPUTED_VALUE"""),0.6219935876925631)</f>
        <v>0.6219935877</v>
      </c>
      <c r="AF454" s="57">
        <f>IFERROR(__xludf.DUMMYFUNCTION("""COMPUTED_VALUE"""),1.4427738919978819)</f>
        <v>1.442773892</v>
      </c>
      <c r="AG454" s="57">
        <f>IFERROR(__xludf.DUMMYFUNCTION("""COMPUTED_VALUE"""),2.7074122216598098)</f>
        <v>2.707412222</v>
      </c>
      <c r="AH454" s="57">
        <f>IFERROR(__xludf.DUMMYFUNCTION("""COMPUTED_VALUE"""),0.9837376770892886)</f>
        <v>0.9837376771</v>
      </c>
      <c r="AI454" s="57">
        <f>IFERROR(__xludf.DUMMYFUNCTION("""COMPUTED_VALUE"""),1.1456396995514098)</f>
        <v>1.1456397</v>
      </c>
      <c r="AJ454" s="57">
        <f>IFERROR(__xludf.DUMMYFUNCTION("""COMPUTED_VALUE"""),0.7525561607788508)</f>
        <v>0.7525561608</v>
      </c>
      <c r="AK454" s="57">
        <f>IFERROR(__xludf.DUMMYFUNCTION("""COMPUTED_VALUE"""),0.9880494253466223)</f>
        <v>0.9880494253</v>
      </c>
      <c r="AL454" s="57">
        <f>IFERROR(__xludf.DUMMYFUNCTION("""COMPUTED_VALUE"""),1.1395037513302515)</f>
        <v>1.139503751</v>
      </c>
      <c r="AM454" s="57">
        <f>IFERROR(__xludf.DUMMYFUNCTION("""COMPUTED_VALUE"""),1.0060573082107123)</f>
        <v>1.006057308</v>
      </c>
      <c r="AN454" s="57">
        <f>IFERROR(__xludf.DUMMYFUNCTION("""COMPUTED_VALUE"""),0.9966982673094302)</f>
        <v>0.9966982673</v>
      </c>
      <c r="AO454" s="57">
        <f>IFERROR(__xludf.DUMMYFUNCTION("""COMPUTED_VALUE"""),0.993688416364993)</f>
        <v>0.9936884164</v>
      </c>
      <c r="AP454" s="35">
        <f>IFERROR(__xludf.DUMMYFUNCTION("""COMPUTED_VALUE"""),1.0664596212266315)</f>
        <v>1.066459621</v>
      </c>
      <c r="AQ454" s="57">
        <f>IFERROR(__xludf.DUMMYFUNCTION("""COMPUTED_VALUE"""),0.987080286339505)</f>
        <v>0.9870802863</v>
      </c>
      <c r="AR454" s="36" t="b">
        <f>IFERROR(__xludf.DUMMYFUNCTION("""COMPUTED_VALUE"""),TRUE)</f>
        <v>1</v>
      </c>
      <c r="AS454" s="57"/>
      <c r="AT454" s="37"/>
      <c r="AU454" s="30"/>
      <c r="AV454" s="30"/>
      <c r="AW454" s="30"/>
      <c r="AX454" s="30"/>
      <c r="AY454" s="30"/>
      <c r="AZ454" s="30"/>
    </row>
    <row r="455">
      <c r="A455" s="30" t="str">
        <f>IFERROR(__xludf.DUMMYFUNCTION("""COMPUTED_VALUE"""),"Premier")</f>
        <v>Premier</v>
      </c>
      <c r="B455" s="30" t="str">
        <f>IFERROR(__xludf.DUMMYFUNCTION("""COMPUTED_VALUE"""),"RSC007409")</f>
        <v>RSC007409</v>
      </c>
      <c r="C455" s="30" t="str">
        <f>IFERROR(__xludf.DUMMYFUNCTION("""COMPUTED_VALUE"""),"Averded")</f>
        <v>Averded</v>
      </c>
      <c r="D455" s="31" t="str">
        <f>IFERROR(__xludf.DUMMYFUNCTION("""COMPUTED_VALUE"""),"Excavators")</f>
        <v>Excavators</v>
      </c>
      <c r="E455" s="31">
        <f>IFERROR(__xludf.DUMMYFUNCTION("""COMPUTED_VALUE"""),54.59297516570883)</f>
        <v>54.59297517</v>
      </c>
      <c r="F455" s="31">
        <f>IFERROR(__xludf.DUMMYFUNCTION("""COMPUTED_VALUE"""),2.3412791340714483)</f>
        <v>2.341279134</v>
      </c>
      <c r="G455" s="31">
        <f>IFERROR(__xludf.DUMMYFUNCTION("""COMPUTED_VALUE"""),35.28105840408976)</f>
        <v>35.2810584</v>
      </c>
      <c r="H455" s="31">
        <f>IFERROR(__xludf.DUMMYFUNCTION("""COMPUTED_VALUE"""),-3.596968010509107)</f>
        <v>-3.596968011</v>
      </c>
      <c r="I455" s="54">
        <f>IFERROR(__xludf.DUMMYFUNCTION("""COMPUTED_VALUE"""),4.0)</f>
        <v>4</v>
      </c>
      <c r="J455" s="55">
        <f>IFERROR(__xludf.DUMMYFUNCTION("""COMPUTED_VALUE"""),1.0)</f>
        <v>1</v>
      </c>
      <c r="K455" s="54">
        <f>IFERROR(__xludf.DUMMYFUNCTION("""COMPUTED_VALUE"""),3.0)</f>
        <v>3</v>
      </c>
      <c r="L455" s="56">
        <f>IFERROR(__xludf.DUMMYFUNCTION("""COMPUTED_VALUE"""),0.25)</f>
        <v>0.25</v>
      </c>
      <c r="M455" s="56">
        <f>IFERROR(__xludf.DUMMYFUNCTION("""COMPUTED_VALUE"""),0.5454545454545454)</f>
        <v>0.5454545455</v>
      </c>
      <c r="N455" s="31">
        <f>IFERROR(__xludf.DUMMYFUNCTION("""COMPUTED_VALUE"""),367.0)</f>
        <v>367</v>
      </c>
      <c r="O455" s="57">
        <f>IFERROR(__xludf.DUMMYFUNCTION("""COMPUTED_VALUE"""),1.5)</f>
        <v>1.5</v>
      </c>
      <c r="P455" s="57">
        <f>IFERROR(__xludf.DUMMYFUNCTION("""COMPUTED_VALUE"""),0.0)</f>
        <v>0</v>
      </c>
      <c r="Q455" s="57">
        <f>IFERROR(__xludf.DUMMYFUNCTION("""COMPUTED_VALUE"""),0.75)</f>
        <v>0.75</v>
      </c>
      <c r="R455" s="57">
        <f>IFERROR(__xludf.DUMMYFUNCTION("""COMPUTED_VALUE"""),2.75)</f>
        <v>2.75</v>
      </c>
      <c r="S455" s="31">
        <f>IFERROR(__xludf.DUMMYFUNCTION("""COMPUTED_VALUE"""),401.91666666666663)</f>
        <v>401.9166667</v>
      </c>
      <c r="T455" s="57">
        <f>IFERROR(__xludf.DUMMYFUNCTION("""COMPUTED_VALUE"""),1.0833333333333333)</f>
        <v>1.083333333</v>
      </c>
      <c r="U455" s="57">
        <f>IFERROR(__xludf.DUMMYFUNCTION("""COMPUTED_VALUE"""),0.75)</f>
        <v>0.75</v>
      </c>
      <c r="V455" s="57">
        <f>IFERROR(__xludf.DUMMYFUNCTION("""COMPUTED_VALUE"""),1.4166666666666667)</f>
        <v>1.416666667</v>
      </c>
      <c r="W455" s="57">
        <f>IFERROR(__xludf.DUMMYFUNCTION("""COMPUTED_VALUE"""),3.0)</f>
        <v>3</v>
      </c>
      <c r="X455" s="31">
        <f>IFERROR(__xludf.DUMMYFUNCTION("""COMPUTED_VALUE"""),385.81668045469866)</f>
        <v>385.8166805</v>
      </c>
      <c r="Y455" s="57">
        <f>IFERROR(__xludf.DUMMYFUNCTION("""COMPUTED_VALUE"""),0.9464871158501088)</f>
        <v>0.9464871159</v>
      </c>
      <c r="Z455" s="57">
        <f>IFERROR(__xludf.DUMMYFUNCTION("""COMPUTED_VALUE"""),0.736663909060269)</f>
        <v>0.7366639091</v>
      </c>
      <c r="AA455" s="57">
        <f>IFERROR(__xludf.DUMMYFUNCTION("""COMPUTED_VALUE"""),1.328530502190765)</f>
        <v>1.328530502</v>
      </c>
      <c r="AB455" s="57">
        <f>IFERROR(__xludf.DUMMYFUNCTION("""COMPUTED_VALUE"""),2.7373226705885956)</f>
        <v>2.737322671</v>
      </c>
      <c r="AC455" s="31">
        <f>IFERROR(__xludf.DUMMYFUNCTION("""COMPUTED_VALUE"""),360.3877194595091)</f>
        <v>360.3877195</v>
      </c>
      <c r="AD455" s="57">
        <f>IFERROR(__xludf.DUMMYFUNCTION("""COMPUTED_VALUE"""),0.7948494040506174)</f>
        <v>0.7948494041</v>
      </c>
      <c r="AE455" s="57">
        <f>IFERROR(__xludf.DUMMYFUNCTION("""COMPUTED_VALUE"""),0.6294160002451207)</f>
        <v>0.6294160002</v>
      </c>
      <c r="AF455" s="57">
        <f>IFERROR(__xludf.DUMMYFUNCTION("""COMPUTED_VALUE"""),1.3111320484930193)</f>
        <v>1.311132048</v>
      </c>
      <c r="AG455" s="57">
        <f>IFERROR(__xludf.DUMMYFUNCTION("""COMPUTED_VALUE"""),2.4190106321046665)</f>
        <v>2.419010632</v>
      </c>
      <c r="AH455" s="57">
        <f>IFERROR(__xludf.DUMMYFUNCTION("""COMPUTED_VALUE"""),1.0183476855160538)</f>
        <v>1.018347686</v>
      </c>
      <c r="AI455" s="57">
        <f>IFERROR(__xludf.DUMMYFUNCTION("""COMPUTED_VALUE"""),1.8871499335042305)</f>
        <v>1.887149934</v>
      </c>
      <c r="AJ455" s="57">
        <f>IFERROR(__xludf.DUMMYFUNCTION("""COMPUTED_VALUE"""),0.0)</f>
        <v>0</v>
      </c>
      <c r="AK455" s="57">
        <f>IFERROR(__xludf.DUMMYFUNCTION("""COMPUTED_VALUE"""),0.5720247635331851)</f>
        <v>0.5720247635</v>
      </c>
      <c r="AL455" s="57">
        <f>IFERROR(__xludf.DUMMYFUNCTION("""COMPUTED_VALUE"""),1.1368284055896667)</f>
        <v>1.136828406</v>
      </c>
      <c r="AM455" s="57">
        <f>IFERROR(__xludf.DUMMYFUNCTION("""COMPUTED_VALUE"""),1.0417296271197853)</f>
        <v>1.041729627</v>
      </c>
      <c r="AN455" s="57">
        <f>IFERROR(__xludf.DUMMYFUNCTION("""COMPUTED_VALUE"""),1.1445832861235654)</f>
        <v>1.144583286</v>
      </c>
      <c r="AO455" s="57">
        <f>IFERROR(__xludf.DUMMYFUNCTION("""COMPUTED_VALUE"""),1.0181033586357493)</f>
        <v>1.018103359</v>
      </c>
      <c r="AP455" s="35">
        <f>IFERROR(__xludf.DUMMYFUNCTION("""COMPUTED_VALUE"""),1.0663410921545)</f>
        <v>1.066341092</v>
      </c>
      <c r="AQ455" s="57">
        <f>IFERROR(__xludf.DUMMYFUNCTION("""COMPUTED_VALUE"""),1.0959614050012314)</f>
        <v>1.095961405</v>
      </c>
      <c r="AR455" s="36" t="b">
        <f>IFERROR(__xludf.DUMMYFUNCTION("""COMPUTED_VALUE"""),TRUE)</f>
        <v>1</v>
      </c>
      <c r="AS455" s="57"/>
      <c r="AT455" s="37"/>
      <c r="AU455" s="30"/>
      <c r="AV455" s="30"/>
      <c r="AW455" s="30"/>
      <c r="AX455" s="30"/>
      <c r="AY455" s="30"/>
      <c r="AZ455" s="30"/>
    </row>
    <row r="456">
      <c r="A456" s="30" t="str">
        <f>IFERROR(__xludf.DUMMYFUNCTION("""COMPUTED_VALUE"""),"Premier")</f>
        <v>Premier</v>
      </c>
      <c r="B456" s="30" t="str">
        <f>IFERROR(__xludf.DUMMYFUNCTION("""COMPUTED_VALUE"""),"RSC001177")</f>
        <v>RSC001177</v>
      </c>
      <c r="C456" s="30" t="str">
        <f>IFERROR(__xludf.DUMMYFUNCTION("""COMPUTED_VALUE"""),"Calster")</f>
        <v>Calster</v>
      </c>
      <c r="D456" s="31" t="str">
        <f>IFERROR(__xludf.DUMMYFUNCTION("""COMPUTED_VALUE"""),"Crooked Capos")</f>
        <v>Crooked Capos</v>
      </c>
      <c r="E456" s="31">
        <f>IFERROR(__xludf.DUMMYFUNCTION("""COMPUTED_VALUE"""),53.864915206541006)</f>
        <v>53.86491521</v>
      </c>
      <c r="F456" s="31">
        <f>IFERROR(__xludf.DUMMYFUNCTION("""COMPUTED_VALUE"""),2.2801394254318423)</f>
        <v>2.280139425</v>
      </c>
      <c r="G456" s="31">
        <f>IFERROR(__xludf.DUMMYFUNCTION("""COMPUTED_VALUE"""),42.55142991317951)</f>
        <v>42.55142991</v>
      </c>
      <c r="H456" s="31">
        <f>IFERROR(__xludf.DUMMYFUNCTION("""COMPUTED_VALUE"""),-2.6118293311037464)</f>
        <v>-2.611829331</v>
      </c>
      <c r="I456" s="54">
        <f>IFERROR(__xludf.DUMMYFUNCTION("""COMPUTED_VALUE"""),24.0)</f>
        <v>24</v>
      </c>
      <c r="J456" s="55">
        <f>IFERROR(__xludf.DUMMYFUNCTION("""COMPUTED_VALUE"""),12.0)</f>
        <v>12</v>
      </c>
      <c r="K456" s="54">
        <f>IFERROR(__xludf.DUMMYFUNCTION("""COMPUTED_VALUE"""),12.0)</f>
        <v>12</v>
      </c>
      <c r="L456" s="56">
        <f>IFERROR(__xludf.DUMMYFUNCTION("""COMPUTED_VALUE"""),0.5)</f>
        <v>0.5</v>
      </c>
      <c r="M456" s="56">
        <f>IFERROR(__xludf.DUMMYFUNCTION("""COMPUTED_VALUE"""),0.27999999999999997)</f>
        <v>0.28</v>
      </c>
      <c r="N456" s="31">
        <f>IFERROR(__xludf.DUMMYFUNCTION("""COMPUTED_VALUE"""),349.4583333333333)</f>
        <v>349.4583333</v>
      </c>
      <c r="O456" s="57">
        <f>IFERROR(__xludf.DUMMYFUNCTION("""COMPUTED_VALUE"""),0.5833333333333334)</f>
        <v>0.5833333333</v>
      </c>
      <c r="P456" s="57">
        <f>IFERROR(__xludf.DUMMYFUNCTION("""COMPUTED_VALUE"""),1.0)</f>
        <v>1</v>
      </c>
      <c r="Q456" s="57">
        <f>IFERROR(__xludf.DUMMYFUNCTION("""COMPUTED_VALUE"""),1.25)</f>
        <v>1.25</v>
      </c>
      <c r="R456" s="57">
        <f>IFERROR(__xludf.DUMMYFUNCTION("""COMPUTED_VALUE"""),2.0833333333333335)</f>
        <v>2.083333333</v>
      </c>
      <c r="S456" s="31">
        <f>IFERROR(__xludf.DUMMYFUNCTION("""COMPUTED_VALUE"""),369.05555555555566)</f>
        <v>369.0555556</v>
      </c>
      <c r="T456" s="57">
        <f>IFERROR(__xludf.DUMMYFUNCTION("""COMPUTED_VALUE"""),0.8194444444444445)</f>
        <v>0.8194444444</v>
      </c>
      <c r="U456" s="57">
        <f>IFERROR(__xludf.DUMMYFUNCTION("""COMPUTED_VALUE"""),0.6666666666666666)</f>
        <v>0.6666666667</v>
      </c>
      <c r="V456" s="57">
        <f>IFERROR(__xludf.DUMMYFUNCTION("""COMPUTED_VALUE"""),1.3333333333333333)</f>
        <v>1.333333333</v>
      </c>
      <c r="W456" s="57">
        <f>IFERROR(__xludf.DUMMYFUNCTION("""COMPUTED_VALUE"""),2.722222222222222)</f>
        <v>2.722222222</v>
      </c>
      <c r="X456" s="31">
        <f>IFERROR(__xludf.DUMMYFUNCTION("""COMPUTED_VALUE"""),373.1648724057737)</f>
        <v>373.1648724</v>
      </c>
      <c r="Y456" s="57">
        <f>IFERROR(__xludf.DUMMYFUNCTION("""COMPUTED_VALUE"""),0.8245627286100325)</f>
        <v>0.8245627286</v>
      </c>
      <c r="Z456" s="57">
        <f>IFERROR(__xludf.DUMMYFUNCTION("""COMPUTED_VALUE"""),0.6385233520946839)</f>
        <v>0.6385233521</v>
      </c>
      <c r="AA456" s="57">
        <f>IFERROR(__xludf.DUMMYFUNCTION("""COMPUTED_VALUE"""),1.422867656765443)</f>
        <v>1.422867657</v>
      </c>
      <c r="AB456" s="57">
        <f>IFERROR(__xludf.DUMMYFUNCTION("""COMPUTED_VALUE"""),2.7218994765379576)</f>
        <v>2.721899477</v>
      </c>
      <c r="AC456" s="31">
        <f>IFERROR(__xludf.DUMMYFUNCTION("""COMPUTED_VALUE"""),362.33796105745677)</f>
        <v>362.3379611</v>
      </c>
      <c r="AD456" s="57">
        <f>IFERROR(__xludf.DUMMYFUNCTION("""COMPUTED_VALUE"""),0.7908695510393451)</f>
        <v>0.790869551</v>
      </c>
      <c r="AE456" s="57">
        <f>IFERROR(__xludf.DUMMYFUNCTION("""COMPUTED_VALUE"""),0.6062759197109231)</f>
        <v>0.6062759197</v>
      </c>
      <c r="AF456" s="57">
        <f>IFERROR(__xludf.DUMMYFUNCTION("""COMPUTED_VALUE"""),1.4059838517552772)</f>
        <v>1.405983852</v>
      </c>
      <c r="AG456" s="57">
        <f>IFERROR(__xludf.DUMMYFUNCTION("""COMPUTED_VALUE"""),2.671985380285872)</f>
        <v>2.67198538</v>
      </c>
      <c r="AH456" s="57">
        <f>IFERROR(__xludf.DUMMYFUNCTION("""COMPUTED_VALUE"""),0.9644541033279118)</f>
        <v>0.9644541033</v>
      </c>
      <c r="AI456" s="57">
        <f>IFERROR(__xludf.DUMMYFUNCTION("""COMPUTED_VALUE"""),0.7375847667503803)</f>
        <v>0.7375847668</v>
      </c>
      <c r="AJ456" s="57">
        <f>IFERROR(__xludf.DUMMYFUNCTION("""COMPUTED_VALUE"""),1.6494140167678233)</f>
        <v>1.649414017</v>
      </c>
      <c r="AK456" s="57">
        <f>IFERROR(__xludf.DUMMYFUNCTION("""COMPUTED_VALUE"""),0.889057152711575)</f>
        <v>0.8890571527</v>
      </c>
      <c r="AL456" s="57">
        <f>IFERROR(__xludf.DUMMYFUNCTION("""COMPUTED_VALUE"""),0.7796948848239733)</f>
        <v>0.7796948848</v>
      </c>
      <c r="AM456" s="57">
        <f>IFERROR(__xludf.DUMMYFUNCTION("""COMPUTED_VALUE"""),0.9889879322677789)</f>
        <v>0.9889879323</v>
      </c>
      <c r="AN456" s="57">
        <f>IFERROR(__xludf.DUMMYFUNCTION("""COMPUTED_VALUE"""),0.993792729178754)</f>
        <v>0.9937927292</v>
      </c>
      <c r="AO456" s="57">
        <f>IFERROR(__xludf.DUMMYFUNCTION("""COMPUTED_VALUE"""),1.0440756230444168)</f>
        <v>1.044075623</v>
      </c>
      <c r="AP456" s="35">
        <f>IFERROR(__xludf.DUMMYFUNCTION("""COMPUTED_VALUE"""),0.9370747356534583)</f>
        <v>0.9370747357</v>
      </c>
      <c r="AQ456" s="57">
        <f>IFERROR(__xludf.DUMMYFUNCTION("""COMPUTED_VALUE"""),1.0001185736971723)</f>
        <v>1.000118574</v>
      </c>
      <c r="AR456" s="36" t="b">
        <f>IFERROR(__xludf.DUMMYFUNCTION("""COMPUTED_VALUE"""),TRUE)</f>
        <v>1</v>
      </c>
      <c r="AS456" s="57"/>
      <c r="AT456" s="37"/>
      <c r="AU456" s="30"/>
      <c r="AV456" s="30"/>
      <c r="AW456" s="30"/>
      <c r="AX456" s="30"/>
      <c r="AY456" s="30"/>
      <c r="AZ456" s="30"/>
    </row>
    <row r="457">
      <c r="A457" s="30" t="str">
        <f>IFERROR(__xludf.DUMMYFUNCTION("""COMPUTED_VALUE"""),"Premier")</f>
        <v>Premier</v>
      </c>
      <c r="B457" s="30" t="str">
        <f>IFERROR(__xludf.DUMMYFUNCTION("""COMPUTED_VALUE"""),"RSC007845")</f>
        <v>RSC007845</v>
      </c>
      <c r="C457" s="30" t="str">
        <f>IFERROR(__xludf.DUMMYFUNCTION("""COMPUTED_VALUE"""),"Enchanted")</f>
        <v>Enchanted</v>
      </c>
      <c r="D457" s="31" t="str">
        <f>IFERROR(__xludf.DUMMYFUNCTION("""COMPUTED_VALUE"""),"Old Heads")</f>
        <v>Old Heads</v>
      </c>
      <c r="E457" s="31">
        <f>IFERROR(__xludf.DUMMYFUNCTION("""COMPUTED_VALUE"""),53.85216253235597)</f>
        <v>53.85216253</v>
      </c>
      <c r="F457" s="31">
        <f>IFERROR(__xludf.DUMMYFUNCTION("""COMPUTED_VALUE"""),2.2790944109623905)</f>
        <v>2.279094411</v>
      </c>
      <c r="G457" s="31">
        <f>IFERROR(__xludf.DUMMYFUNCTION("""COMPUTED_VALUE"""),49.76396746835198)</f>
        <v>49.76396747</v>
      </c>
      <c r="H457" s="31">
        <f>IFERROR(__xludf.DUMMYFUNCTION("""COMPUTED_VALUE"""),-2.015180265484037)</f>
        <v>-2.015180265</v>
      </c>
      <c r="I457" s="54">
        <f>IFERROR(__xludf.DUMMYFUNCTION("""COMPUTED_VALUE"""),48.0)</f>
        <v>48</v>
      </c>
      <c r="J457" s="55">
        <f>IFERROR(__xludf.DUMMYFUNCTION("""COMPUTED_VALUE"""),27.0)</f>
        <v>27</v>
      </c>
      <c r="K457" s="54">
        <f>IFERROR(__xludf.DUMMYFUNCTION("""COMPUTED_VALUE"""),21.0)</f>
        <v>21</v>
      </c>
      <c r="L457" s="56">
        <f>IFERROR(__xludf.DUMMYFUNCTION("""COMPUTED_VALUE"""),0.5625)</f>
        <v>0.5625</v>
      </c>
      <c r="M457" s="56">
        <f>IFERROR(__xludf.DUMMYFUNCTION("""COMPUTED_VALUE"""),0.29838709677419356)</f>
        <v>0.2983870968</v>
      </c>
      <c r="N457" s="31">
        <f>IFERROR(__xludf.DUMMYFUNCTION("""COMPUTED_VALUE"""),390.0833333333333)</f>
        <v>390.0833333</v>
      </c>
      <c r="O457" s="57">
        <f>IFERROR(__xludf.DUMMYFUNCTION("""COMPUTED_VALUE"""),0.7708333333333334)</f>
        <v>0.7708333333</v>
      </c>
      <c r="P457" s="57">
        <f>IFERROR(__xludf.DUMMYFUNCTION("""COMPUTED_VALUE"""),0.625)</f>
        <v>0.625</v>
      </c>
      <c r="Q457" s="57">
        <f>IFERROR(__xludf.DUMMYFUNCTION("""COMPUTED_VALUE"""),1.5833333333333333)</f>
        <v>1.583333333</v>
      </c>
      <c r="R457" s="57">
        <f>IFERROR(__xludf.DUMMYFUNCTION("""COMPUTED_VALUE"""),2.5833333333333335)</f>
        <v>2.583333333</v>
      </c>
      <c r="S457" s="31">
        <f>IFERROR(__xludf.DUMMYFUNCTION("""COMPUTED_VALUE"""),374.06249999999994)</f>
        <v>374.0625</v>
      </c>
      <c r="T457" s="57">
        <f>IFERROR(__xludf.DUMMYFUNCTION("""COMPUTED_VALUE"""),0.8194444444444445)</f>
        <v>0.8194444444</v>
      </c>
      <c r="U457" s="57">
        <f>IFERROR(__xludf.DUMMYFUNCTION("""COMPUTED_VALUE"""),0.625)</f>
        <v>0.625</v>
      </c>
      <c r="V457" s="57">
        <f>IFERROR(__xludf.DUMMYFUNCTION("""COMPUTED_VALUE"""),1.4861111111111114)</f>
        <v>1.486111111</v>
      </c>
      <c r="W457" s="57">
        <f>IFERROR(__xludf.DUMMYFUNCTION("""COMPUTED_VALUE"""),2.715277777777778)</f>
        <v>2.715277778</v>
      </c>
      <c r="X457" s="31">
        <f>IFERROR(__xludf.DUMMYFUNCTION("""COMPUTED_VALUE"""),374.87165729223625)</f>
        <v>374.8716573</v>
      </c>
      <c r="Y457" s="57">
        <f>IFERROR(__xludf.DUMMYFUNCTION("""COMPUTED_VALUE"""),0.8389284147397285)</f>
        <v>0.8389284147</v>
      </c>
      <c r="Z457" s="57">
        <f>IFERROR(__xludf.DUMMYFUNCTION("""COMPUTED_VALUE"""),0.6366349816920817)</f>
        <v>0.6366349817</v>
      </c>
      <c r="AA457" s="57">
        <f>IFERROR(__xludf.DUMMYFUNCTION("""COMPUTED_VALUE"""),1.4122157134492526)</f>
        <v>1.412215713</v>
      </c>
      <c r="AB457" s="57">
        <f>IFERROR(__xludf.DUMMYFUNCTION("""COMPUTED_VALUE"""),2.7609607634297677)</f>
        <v>2.760960763</v>
      </c>
      <c r="AC457" s="31">
        <f>IFERROR(__xludf.DUMMYFUNCTION("""COMPUTED_VALUE"""),372.7887169628127)</f>
        <v>372.788717</v>
      </c>
      <c r="AD457" s="57">
        <f>IFERROR(__xludf.DUMMYFUNCTION("""COMPUTED_VALUE"""),0.8188858637526609)</f>
        <v>0.8188858638</v>
      </c>
      <c r="AE457" s="57">
        <f>IFERROR(__xludf.DUMMYFUNCTION("""COMPUTED_VALUE"""),0.6228447355153282)</f>
        <v>0.6228447355</v>
      </c>
      <c r="AF457" s="57">
        <f>IFERROR(__xludf.DUMMYFUNCTION("""COMPUTED_VALUE"""),1.4442282642871447)</f>
        <v>1.444228264</v>
      </c>
      <c r="AG457" s="57">
        <f>IFERROR(__xludf.DUMMYFUNCTION("""COMPUTED_VALUE"""),2.709712542986004)</f>
        <v>2.709712543</v>
      </c>
      <c r="AH457" s="57">
        <f>IFERROR(__xludf.DUMMYFUNCTION("""COMPUTED_VALUE"""),1.0463925424337504)</f>
        <v>1.046392542</v>
      </c>
      <c r="AI457" s="57">
        <f>IFERROR(__xludf.DUMMYFUNCTION("""COMPUTED_VALUE"""),0.9413196239594124)</f>
        <v>0.941319624</v>
      </c>
      <c r="AJ457" s="57">
        <f>IFERROR(__xludf.DUMMYFUNCTION("""COMPUTED_VALUE"""),1.0034603559471185)</f>
        <v>1.003460356</v>
      </c>
      <c r="AK457" s="57">
        <f>IFERROR(__xludf.DUMMYFUNCTION("""COMPUTED_VALUE"""),1.0963179245871146)</f>
        <v>1.096317925</v>
      </c>
      <c r="AL457" s="57">
        <f>IFERROR(__xludf.DUMMYFUNCTION("""COMPUTED_VALUE"""),0.9533606581333512)</f>
        <v>0.9533606581</v>
      </c>
      <c r="AM457" s="57">
        <f>IFERROR(__xludf.DUMMYFUNCTION("""COMPUTED_VALUE"""),0.9978415084829806)</f>
        <v>0.9978415085</v>
      </c>
      <c r="AN457" s="57">
        <f>IFERROR(__xludf.DUMMYFUNCTION("""COMPUTED_VALUE"""),0.9767751694269067)</f>
        <v>0.9767751694</v>
      </c>
      <c r="AO457" s="57">
        <f>IFERROR(__xludf.DUMMYFUNCTION("""COMPUTED_VALUE"""),0.9817242501171431)</f>
        <v>0.9817242501</v>
      </c>
      <c r="AP457" s="35">
        <f>IFERROR(__xludf.DUMMYFUNCTION("""COMPUTED_VALUE"""),1.0523258571322462)</f>
        <v>1.052325857</v>
      </c>
      <c r="AQ457" s="57">
        <f>IFERROR(__xludf.DUMMYFUNCTION("""COMPUTED_VALUE"""),0.9834539533277392)</f>
        <v>0.9834539533</v>
      </c>
      <c r="AR457" s="36" t="b">
        <f>IFERROR(__xludf.DUMMYFUNCTION("""COMPUTED_VALUE"""),TRUE)</f>
        <v>1</v>
      </c>
      <c r="AS457" s="57"/>
      <c r="AT457" s="37"/>
      <c r="AU457" s="30"/>
      <c r="AV457" s="30"/>
      <c r="AW457" s="30"/>
      <c r="AX457" s="30"/>
      <c r="AY457" s="30"/>
      <c r="AZ457" s="30"/>
    </row>
    <row r="458">
      <c r="A458" s="30" t="str">
        <f>IFERROR(__xludf.DUMMYFUNCTION("""COMPUTED_VALUE"""),"Premier")</f>
        <v>Premier</v>
      </c>
      <c r="B458" s="30" t="str">
        <f>IFERROR(__xludf.DUMMYFUNCTION("""COMPUTED_VALUE"""),"RSC007569")</f>
        <v>RSC007569</v>
      </c>
      <c r="C458" s="30" t="str">
        <f>IFERROR(__xludf.DUMMYFUNCTION("""COMPUTED_VALUE"""),"newo")</f>
        <v>newo</v>
      </c>
      <c r="D458" s="31" t="str">
        <f>IFERROR(__xludf.DUMMYFUNCTION("""COMPUTED_VALUE"""),"Gummy Bears")</f>
        <v>Gummy Bears</v>
      </c>
      <c r="E458" s="31">
        <f>IFERROR(__xludf.DUMMYFUNCTION("""COMPUTED_VALUE"""),53.16292108348307)</f>
        <v>53.16292108</v>
      </c>
      <c r="F458" s="31">
        <f>IFERROR(__xludf.DUMMYFUNCTION("""COMPUTED_VALUE"""),2.223895537764146)</f>
        <v>2.223895538</v>
      </c>
      <c r="G458" s="31">
        <f>IFERROR(__xludf.DUMMYFUNCTION("""COMPUTED_VALUE"""),43.54191868744903)</f>
        <v>43.54191869</v>
      </c>
      <c r="H458" s="31">
        <f>IFERROR(__xludf.DUMMYFUNCTION("""COMPUTED_VALUE"""),-2.5120659482270478)</f>
        <v>-2.512065948</v>
      </c>
      <c r="I458" s="54">
        <f>IFERROR(__xludf.DUMMYFUNCTION("""COMPUTED_VALUE"""),37.0)</f>
        <v>37</v>
      </c>
      <c r="J458" s="55">
        <f>IFERROR(__xludf.DUMMYFUNCTION("""COMPUTED_VALUE"""),23.0)</f>
        <v>23</v>
      </c>
      <c r="K458" s="54">
        <f>IFERROR(__xludf.DUMMYFUNCTION("""COMPUTED_VALUE"""),14.0)</f>
        <v>14</v>
      </c>
      <c r="L458" s="56">
        <f>IFERROR(__xludf.DUMMYFUNCTION("""COMPUTED_VALUE"""),0.6216216216216216)</f>
        <v>0.6216216216</v>
      </c>
      <c r="M458" s="56">
        <f>IFERROR(__xludf.DUMMYFUNCTION("""COMPUTED_VALUE"""),0.3924050632911392)</f>
        <v>0.3924050633</v>
      </c>
      <c r="N458" s="31">
        <f>IFERROR(__xludf.DUMMYFUNCTION("""COMPUTED_VALUE"""),351.4054054054054)</f>
        <v>351.4054054</v>
      </c>
      <c r="O458" s="57">
        <f>IFERROR(__xludf.DUMMYFUNCTION("""COMPUTED_VALUE"""),0.8378378378378378)</f>
        <v>0.8378378378</v>
      </c>
      <c r="P458" s="57">
        <f>IFERROR(__xludf.DUMMYFUNCTION("""COMPUTED_VALUE"""),0.6756756756756757)</f>
        <v>0.6756756757</v>
      </c>
      <c r="Q458" s="57">
        <f>IFERROR(__xludf.DUMMYFUNCTION("""COMPUTED_VALUE"""),1.2972972972972974)</f>
        <v>1.297297297</v>
      </c>
      <c r="R458" s="57">
        <f>IFERROR(__xludf.DUMMYFUNCTION("""COMPUTED_VALUE"""),2.135135135135135)</f>
        <v>2.135135135</v>
      </c>
      <c r="S458" s="31">
        <f>IFERROR(__xludf.DUMMYFUNCTION("""COMPUTED_VALUE"""),329.3063063063063)</f>
        <v>329.3063063</v>
      </c>
      <c r="T458" s="57">
        <f>IFERROR(__xludf.DUMMYFUNCTION("""COMPUTED_VALUE"""),0.6936936936936936)</f>
        <v>0.6936936937</v>
      </c>
      <c r="U458" s="57">
        <f>IFERROR(__xludf.DUMMYFUNCTION("""COMPUTED_VALUE"""),0.5315315315315315)</f>
        <v>0.5315315315</v>
      </c>
      <c r="V458" s="57">
        <f>IFERROR(__xludf.DUMMYFUNCTION("""COMPUTED_VALUE"""),1.243243243243243)</f>
        <v>1.243243243</v>
      </c>
      <c r="W458" s="57">
        <f>IFERROR(__xludf.DUMMYFUNCTION("""COMPUTED_VALUE"""),2.6306306306306317)</f>
        <v>2.630630631</v>
      </c>
      <c r="X458" s="31">
        <f>IFERROR(__xludf.DUMMYFUNCTION("""COMPUTED_VALUE"""),363.468593266388)</f>
        <v>363.4685933</v>
      </c>
      <c r="Y458" s="57">
        <f>IFERROR(__xludf.DUMMYFUNCTION("""COMPUTED_VALUE"""),0.7827594188662751)</f>
        <v>0.7827594189</v>
      </c>
      <c r="Z458" s="57">
        <f>IFERROR(__xludf.DUMMYFUNCTION("""COMPUTED_VALUE"""),0.6726412461319848)</f>
        <v>0.6726412461</v>
      </c>
      <c r="AA458" s="57">
        <f>IFERROR(__xludf.DUMMYFUNCTION("""COMPUTED_VALUE"""),1.3797395697897494)</f>
        <v>1.37973957</v>
      </c>
      <c r="AB458" s="57">
        <f>IFERROR(__xludf.DUMMYFUNCTION("""COMPUTED_VALUE"""),2.6975505130185877)</f>
        <v>2.697550513</v>
      </c>
      <c r="AC458" s="31">
        <f>IFERROR(__xludf.DUMMYFUNCTION("""COMPUTED_VALUE"""),376.9619967760393)</f>
        <v>376.9619968</v>
      </c>
      <c r="AD458" s="57">
        <f>IFERROR(__xludf.DUMMYFUNCTION("""COMPUTED_VALUE"""),0.8343348142269787)</f>
        <v>0.8343348142</v>
      </c>
      <c r="AE458" s="57">
        <f>IFERROR(__xludf.DUMMYFUNCTION("""COMPUTED_VALUE"""),0.6589354211226724)</f>
        <v>0.6589354211</v>
      </c>
      <c r="AF458" s="57">
        <f>IFERROR(__xludf.DUMMYFUNCTION("""COMPUTED_VALUE"""),1.4536913376153529)</f>
        <v>1.453691338</v>
      </c>
      <c r="AG458" s="57">
        <f>IFERROR(__xludf.DUMMYFUNCTION("""COMPUTED_VALUE"""),2.7275996754268923)</f>
        <v>2.727599675</v>
      </c>
      <c r="AH458" s="57">
        <f>IFERROR(__xludf.DUMMYFUNCTION("""COMPUTED_VALUE"""),0.9322037988200238)</f>
        <v>0.9322037988</v>
      </c>
      <c r="AI458" s="57">
        <f>IFERROR(__xludf.DUMMYFUNCTION("""COMPUTED_VALUE"""),1.0041985825727584)</f>
        <v>1.004198583</v>
      </c>
      <c r="AJ458" s="57">
        <f>IFERROR(__xludf.DUMMYFUNCTION("""COMPUTED_VALUE"""),1.0254050002722297)</f>
        <v>1.025405</v>
      </c>
      <c r="AK458" s="57">
        <f>IFERROR(__xludf.DUMMYFUNCTION("""COMPUTED_VALUE"""),0.8924159233316987)</f>
        <v>0.8924159233</v>
      </c>
      <c r="AL458" s="57">
        <f>IFERROR(__xludf.DUMMYFUNCTION("""COMPUTED_VALUE"""),0.782789041357753)</f>
        <v>0.7827890414</v>
      </c>
      <c r="AM458" s="57">
        <f>IFERROR(__xludf.DUMMYFUNCTION("""COMPUTED_VALUE"""),0.9060103469929134)</f>
        <v>0.906010347</v>
      </c>
      <c r="AN458" s="57">
        <f>IFERROR(__xludf.DUMMYFUNCTION("""COMPUTED_VALUE"""),0.8862157094173564)</f>
        <v>0.8862157094</v>
      </c>
      <c r="AO458" s="57">
        <f>IFERROR(__xludf.DUMMYFUNCTION("""COMPUTED_VALUE"""),0.7902154894426963)</f>
        <v>0.7902154894</v>
      </c>
      <c r="AP458" s="35">
        <f>IFERROR(__xludf.DUMMYFUNCTION("""COMPUTED_VALUE"""),0.9010709487970209)</f>
        <v>0.9010709488</v>
      </c>
      <c r="AQ458" s="57">
        <f>IFERROR(__xludf.DUMMYFUNCTION("""COMPUTED_VALUE"""),0.9751923524453034)</f>
        <v>0.9751923524</v>
      </c>
      <c r="AR458" s="36" t="b">
        <f>IFERROR(__xludf.DUMMYFUNCTION("""COMPUTED_VALUE"""),TRUE)</f>
        <v>1</v>
      </c>
      <c r="AS458" s="57"/>
      <c r="AT458" s="37"/>
      <c r="AU458" s="30"/>
      <c r="AV458" s="30"/>
      <c r="AW458" s="30"/>
      <c r="AX458" s="30"/>
      <c r="AY458" s="30"/>
      <c r="AZ458" s="30"/>
    </row>
    <row r="459">
      <c r="A459" s="30" t="str">
        <f>IFERROR(__xludf.DUMMYFUNCTION("""COMPUTED_VALUE"""),"Premier")</f>
        <v>Premier</v>
      </c>
      <c r="B459" s="30" t="str">
        <f>IFERROR(__xludf.DUMMYFUNCTION("""COMPUTED_VALUE"""),"RSC005917")</f>
        <v>RSC005917</v>
      </c>
      <c r="C459" s="30" t="str">
        <f>IFERROR(__xludf.DUMMYFUNCTION("""COMPUTED_VALUE"""),"GAVALANCHE")</f>
        <v>GAVALANCHE</v>
      </c>
      <c r="D459" s="31" t="str">
        <f>IFERROR(__xludf.DUMMYFUNCTION("""COMPUTED_VALUE"""),"Crooked Capos")</f>
        <v>Crooked Capos</v>
      </c>
      <c r="E459" s="31">
        <f>IFERROR(__xludf.DUMMYFUNCTION("""COMPUTED_VALUE"""),52.92417368186439)</f>
        <v>52.92417368</v>
      </c>
      <c r="F459" s="31">
        <f>IFERROR(__xludf.DUMMYFUNCTION("""COMPUTED_VALUE"""),2.205348255125506)</f>
        <v>2.205348255</v>
      </c>
      <c r="G459" s="31">
        <f>IFERROR(__xludf.DUMMYFUNCTION("""COMPUTED_VALUE"""),42.189664934410864)</f>
        <v>42.18966493</v>
      </c>
      <c r="H459" s="31">
        <f>IFERROR(__xludf.DUMMYFUNCTION("""COMPUTED_VALUE"""),-2.649967048012002)</f>
        <v>-2.649967048</v>
      </c>
      <c r="I459" s="54">
        <f>IFERROR(__xludf.DUMMYFUNCTION("""COMPUTED_VALUE"""),44.0)</f>
        <v>44</v>
      </c>
      <c r="J459" s="55">
        <f>IFERROR(__xludf.DUMMYFUNCTION("""COMPUTED_VALUE"""),20.0)</f>
        <v>20</v>
      </c>
      <c r="K459" s="54">
        <f>IFERROR(__xludf.DUMMYFUNCTION("""COMPUTED_VALUE"""),24.0)</f>
        <v>24</v>
      </c>
      <c r="L459" s="56">
        <f>IFERROR(__xludf.DUMMYFUNCTION("""COMPUTED_VALUE"""),0.45454545454545453)</f>
        <v>0.4545454545</v>
      </c>
      <c r="M459" s="56">
        <f>IFERROR(__xludf.DUMMYFUNCTION("""COMPUTED_VALUE"""),0.33333333333333337)</f>
        <v>0.3333333333</v>
      </c>
      <c r="N459" s="31">
        <f>IFERROR(__xludf.DUMMYFUNCTION("""COMPUTED_VALUE"""),367.25)</f>
        <v>367.25</v>
      </c>
      <c r="O459" s="57">
        <f>IFERROR(__xludf.DUMMYFUNCTION("""COMPUTED_VALUE"""),0.8636363636363636)</f>
        <v>0.8636363636</v>
      </c>
      <c r="P459" s="57">
        <f>IFERROR(__xludf.DUMMYFUNCTION("""COMPUTED_VALUE"""),0.6590909090909091)</f>
        <v>0.6590909091</v>
      </c>
      <c r="Q459" s="57">
        <f>IFERROR(__xludf.DUMMYFUNCTION("""COMPUTED_VALUE"""),1.4545454545454546)</f>
        <v>1.454545455</v>
      </c>
      <c r="R459" s="57">
        <f>IFERROR(__xludf.DUMMYFUNCTION("""COMPUTED_VALUE"""),2.590909090909091)</f>
        <v>2.590909091</v>
      </c>
      <c r="S459" s="31">
        <f>IFERROR(__xludf.DUMMYFUNCTION("""COMPUTED_VALUE"""),392.0984848484848)</f>
        <v>392.0984848</v>
      </c>
      <c r="T459" s="57">
        <f>IFERROR(__xludf.DUMMYFUNCTION("""COMPUTED_VALUE"""),0.8636363636363638)</f>
        <v>0.8636363636</v>
      </c>
      <c r="U459" s="57">
        <f>IFERROR(__xludf.DUMMYFUNCTION("""COMPUTED_VALUE"""),0.6969696969696968)</f>
        <v>0.696969697</v>
      </c>
      <c r="V459" s="57">
        <f>IFERROR(__xludf.DUMMYFUNCTION("""COMPUTED_VALUE"""),1.5303030303030305)</f>
        <v>1.53030303</v>
      </c>
      <c r="W459" s="57">
        <f>IFERROR(__xludf.DUMMYFUNCTION("""COMPUTED_VALUE"""),2.886363636363637)</f>
        <v>2.886363636</v>
      </c>
      <c r="X459" s="31">
        <f>IFERROR(__xludf.DUMMYFUNCTION("""COMPUTED_VALUE"""),373.55339269655235)</f>
        <v>373.5533927</v>
      </c>
      <c r="Y459" s="57">
        <f>IFERROR(__xludf.DUMMYFUNCTION("""COMPUTED_VALUE"""),0.8256458728306633)</f>
        <v>0.8256458728</v>
      </c>
      <c r="Z459" s="57">
        <f>IFERROR(__xludf.DUMMYFUNCTION("""COMPUTED_VALUE"""),0.6390091102999579)</f>
        <v>0.6390091103</v>
      </c>
      <c r="AA459" s="57">
        <f>IFERROR(__xludf.DUMMYFUNCTION("""COMPUTED_VALUE"""),1.4484495036638494)</f>
        <v>1.448449504</v>
      </c>
      <c r="AB459" s="57">
        <f>IFERROR(__xludf.DUMMYFUNCTION("""COMPUTED_VALUE"""),2.719308548417757)</f>
        <v>2.719308548</v>
      </c>
      <c r="AC459" s="31">
        <f>IFERROR(__xludf.DUMMYFUNCTION("""COMPUTED_VALUE"""),373.01850251986235)</f>
        <v>373.0185025</v>
      </c>
      <c r="AD459" s="57">
        <f>IFERROR(__xludf.DUMMYFUNCTION("""COMPUTED_VALUE"""),0.8376537488588702)</f>
        <v>0.8376537489</v>
      </c>
      <c r="AE459" s="57">
        <f>IFERROR(__xludf.DUMMYFUNCTION("""COMPUTED_VALUE"""),0.6440002981037163)</f>
        <v>0.6440002981</v>
      </c>
      <c r="AF459" s="57">
        <f>IFERROR(__xludf.DUMMYFUNCTION("""COMPUTED_VALUE"""),1.4252949679371485)</f>
        <v>1.425294968</v>
      </c>
      <c r="AG459" s="57">
        <f>IFERROR(__xludf.DUMMYFUNCTION("""COMPUTED_VALUE"""),2.7309966387785622)</f>
        <v>2.730996639</v>
      </c>
      <c r="AH459" s="57">
        <f>IFERROR(__xludf.DUMMYFUNCTION("""COMPUTED_VALUE"""),0.9845356128961587)</f>
        <v>0.9845356129</v>
      </c>
      <c r="AI459" s="57">
        <f>IFERROR(__xludf.DUMMYFUNCTION("""COMPUTED_VALUE"""),1.0310183232784302)</f>
        <v>1.031018323</v>
      </c>
      <c r="AJ459" s="57">
        <f>IFERROR(__xludf.DUMMYFUNCTION("""COMPUTED_VALUE"""),1.0234326149096944)</f>
        <v>1.023432615</v>
      </c>
      <c r="AK459" s="57">
        <f>IFERROR(__xludf.DUMMYFUNCTION("""COMPUTED_VALUE"""),1.0205224092319927)</f>
        <v>1.020522409</v>
      </c>
      <c r="AL459" s="57">
        <f>IFERROR(__xludf.DUMMYFUNCTION("""COMPUTED_VALUE"""),0.9487046062670639)</f>
        <v>0.9487046063</v>
      </c>
      <c r="AM459" s="57">
        <f>IFERROR(__xludf.DUMMYFUNCTION("""COMPUTED_VALUE"""),1.0496450909415167)</f>
        <v>1.049645091</v>
      </c>
      <c r="AN459" s="57">
        <f>IFERROR(__xludf.DUMMYFUNCTION("""COMPUTED_VALUE"""),1.046013057238999)</f>
        <v>1.046013057</v>
      </c>
      <c r="AO459" s="57">
        <f>IFERROR(__xludf.DUMMYFUNCTION("""COMPUTED_VALUE"""),1.090703850282403)</f>
        <v>1.09070385</v>
      </c>
      <c r="AP459" s="35">
        <f>IFERROR(__xludf.DUMMYFUNCTION("""COMPUTED_VALUE"""),1.0565111358263666)</f>
        <v>1.056511136</v>
      </c>
      <c r="AQ459" s="57">
        <f>IFERROR(__xludf.DUMMYFUNCTION("""COMPUTED_VALUE"""),1.0614329286182262)</f>
        <v>1.061432929</v>
      </c>
      <c r="AR459" s="36" t="b">
        <f>IFERROR(__xludf.DUMMYFUNCTION("""COMPUTED_VALUE"""),TRUE)</f>
        <v>1</v>
      </c>
      <c r="AS459" s="57"/>
      <c r="AT459" s="37"/>
      <c r="AU459" s="30"/>
      <c r="AV459" s="30"/>
      <c r="AW459" s="30"/>
      <c r="AX459" s="30"/>
      <c r="AY459" s="30"/>
      <c r="AZ459" s="30"/>
    </row>
    <row r="460">
      <c r="A460" s="30" t="str">
        <f>IFERROR(__xludf.DUMMYFUNCTION("""COMPUTED_VALUE"""),"Premier")</f>
        <v>Premier</v>
      </c>
      <c r="B460" s="30" t="str">
        <f>IFERROR(__xludf.DUMMYFUNCTION("""COMPUTED_VALUE"""),"RSC005187")</f>
        <v>RSC005187</v>
      </c>
      <c r="C460" s="30" t="str">
        <f>IFERROR(__xludf.DUMMYFUNCTION("""COMPUTED_VALUE"""),"christophr")</f>
        <v>christophr</v>
      </c>
      <c r="D460" s="31" t="str">
        <f>IFERROR(__xludf.DUMMYFUNCTION("""COMPUTED_VALUE"""),"Old Heads")</f>
        <v>Old Heads</v>
      </c>
      <c r="E460" s="31">
        <f>IFERROR(__xludf.DUMMYFUNCTION("""COMPUTED_VALUE"""),50.568860205074245)</f>
        <v>50.56886021</v>
      </c>
      <c r="F460" s="31">
        <f>IFERROR(__xludf.DUMMYFUNCTION("""COMPUTED_VALUE"""),2.036978958354057)</f>
        <v>2.036978958</v>
      </c>
      <c r="G460" s="31">
        <f>IFERROR(__xludf.DUMMYFUNCTION("""COMPUTED_VALUE"""),39.30069955875611)</f>
        <v>39.30069956</v>
      </c>
      <c r="H460" s="31">
        <f>IFERROR(__xludf.DUMMYFUNCTION("""COMPUTED_VALUE"""),-2.9910053301529467)</f>
        <v>-2.99100533</v>
      </c>
      <c r="I460" s="54">
        <f>IFERROR(__xludf.DUMMYFUNCTION("""COMPUTED_VALUE"""),3.0)</f>
        <v>3</v>
      </c>
      <c r="J460" s="55">
        <f>IFERROR(__xludf.DUMMYFUNCTION("""COMPUTED_VALUE"""),1.0)</f>
        <v>1</v>
      </c>
      <c r="K460" s="54">
        <f>IFERROR(__xludf.DUMMYFUNCTION("""COMPUTED_VALUE"""),2.0)</f>
        <v>2</v>
      </c>
      <c r="L460" s="56">
        <f>IFERROR(__xludf.DUMMYFUNCTION("""COMPUTED_VALUE"""),0.3333333333333333)</f>
        <v>0.3333333333</v>
      </c>
      <c r="M460" s="56">
        <f>IFERROR(__xludf.DUMMYFUNCTION("""COMPUTED_VALUE"""),0.42857142857142855)</f>
        <v>0.4285714286</v>
      </c>
      <c r="N460" s="31">
        <f>IFERROR(__xludf.DUMMYFUNCTION("""COMPUTED_VALUE"""),342.6666666666667)</f>
        <v>342.6666667</v>
      </c>
      <c r="O460" s="57">
        <f>IFERROR(__xludf.DUMMYFUNCTION("""COMPUTED_VALUE"""),1.0)</f>
        <v>1</v>
      </c>
      <c r="P460" s="57">
        <f>IFERROR(__xludf.DUMMYFUNCTION("""COMPUTED_VALUE"""),0.3333333333333333)</f>
        <v>0.3333333333</v>
      </c>
      <c r="Q460" s="57">
        <f>IFERROR(__xludf.DUMMYFUNCTION("""COMPUTED_VALUE"""),1.6666666666666667)</f>
        <v>1.666666667</v>
      </c>
      <c r="R460" s="57">
        <f>IFERROR(__xludf.DUMMYFUNCTION("""COMPUTED_VALUE"""),2.3333333333333335)</f>
        <v>2.333333333</v>
      </c>
      <c r="S460" s="31">
        <f>IFERROR(__xludf.DUMMYFUNCTION("""COMPUTED_VALUE"""),339.77777777777777)</f>
        <v>339.7777778</v>
      </c>
      <c r="T460" s="57">
        <f>IFERROR(__xludf.DUMMYFUNCTION("""COMPUTED_VALUE"""),0.5555555555555555)</f>
        <v>0.5555555556</v>
      </c>
      <c r="U460" s="57">
        <f>IFERROR(__xludf.DUMMYFUNCTION("""COMPUTED_VALUE"""),0.3333333333333333)</f>
        <v>0.3333333333</v>
      </c>
      <c r="V460" s="57">
        <f>IFERROR(__xludf.DUMMYFUNCTION("""COMPUTED_VALUE"""),1.222222222222222)</f>
        <v>1.222222222</v>
      </c>
      <c r="W460" s="57">
        <f>IFERROR(__xludf.DUMMYFUNCTION("""COMPUTED_VALUE"""),2.6666666666666665)</f>
        <v>2.666666667</v>
      </c>
      <c r="X460" s="31">
        <f>IFERROR(__xludf.DUMMYFUNCTION("""COMPUTED_VALUE"""),378.9781641721366)</f>
        <v>378.9781642</v>
      </c>
      <c r="Y460" s="57">
        <f>IFERROR(__xludf.DUMMYFUNCTION("""COMPUTED_VALUE"""),0.8521171794925017)</f>
        <v>0.8521171795</v>
      </c>
      <c r="Z460" s="57">
        <f>IFERROR(__xludf.DUMMYFUNCTION("""COMPUTED_VALUE"""),0.49084059552437515)</f>
        <v>0.4908405955</v>
      </c>
      <c r="AA460" s="57">
        <f>IFERROR(__xludf.DUMMYFUNCTION("""COMPUTED_VALUE"""),1.4585050248069262)</f>
        <v>1.458505025</v>
      </c>
      <c r="AB460" s="57">
        <f>IFERROR(__xludf.DUMMYFUNCTION("""COMPUTED_VALUE"""),2.812939565589684)</f>
        <v>2.812939566</v>
      </c>
      <c r="AC460" s="31">
        <f>IFERROR(__xludf.DUMMYFUNCTION("""COMPUTED_VALUE"""),381.6235518036294)</f>
        <v>381.6235518</v>
      </c>
      <c r="AD460" s="57">
        <f>IFERROR(__xludf.DUMMYFUNCTION("""COMPUTED_VALUE"""),0.864970579491601)</f>
        <v>0.8649705795</v>
      </c>
      <c r="AE460" s="57">
        <f>IFERROR(__xludf.DUMMYFUNCTION("""COMPUTED_VALUE"""),0.6517044555385662)</f>
        <v>0.6517044555</v>
      </c>
      <c r="AF460" s="57">
        <f>IFERROR(__xludf.DUMMYFUNCTION("""COMPUTED_VALUE"""),1.4454331907526727)</f>
        <v>1.445433191</v>
      </c>
      <c r="AG460" s="57">
        <f>IFERROR(__xludf.DUMMYFUNCTION("""COMPUTED_VALUE"""),2.6848886409129733)</f>
        <v>2.684888641</v>
      </c>
      <c r="AH460" s="57">
        <f>IFERROR(__xludf.DUMMYFUNCTION("""COMPUTED_VALUE"""),0.8979180269329692)</f>
        <v>0.8979180269</v>
      </c>
      <c r="AI460" s="57">
        <f>IFERROR(__xludf.DUMMYFUNCTION("""COMPUTED_VALUE"""),1.1561086859020853)</f>
        <v>1.156108686</v>
      </c>
      <c r="AJ460" s="57">
        <f>IFERROR(__xludf.DUMMYFUNCTION("""COMPUTED_VALUE"""),0.5114792917256763)</f>
        <v>0.5114792917</v>
      </c>
      <c r="AK460" s="57">
        <f>IFERROR(__xludf.DUMMYFUNCTION("""COMPUTED_VALUE"""),1.1530568671934205)</f>
        <v>1.153056867</v>
      </c>
      <c r="AL460" s="57">
        <f>IFERROR(__xludf.DUMMYFUNCTION("""COMPUTED_VALUE"""),0.8690614939396158)</f>
        <v>0.8690614939</v>
      </c>
      <c r="AM460" s="57">
        <f>IFERROR(__xludf.DUMMYFUNCTION("""COMPUTED_VALUE"""),0.8965629418782199)</f>
        <v>0.8965629419</v>
      </c>
      <c r="AN460" s="57">
        <f>IFERROR(__xludf.DUMMYFUNCTION("""COMPUTED_VALUE"""),0.6519708426562055)</f>
        <v>0.6519708427</v>
      </c>
      <c r="AO460" s="57">
        <f>IFERROR(__xludf.DUMMYFUNCTION("""COMPUTED_VALUE"""),0.6791070998869326)</f>
        <v>0.6791070999</v>
      </c>
      <c r="AP460" s="35">
        <f>IFERROR(__xludf.DUMMYFUNCTION("""COMPUTED_VALUE"""),0.8379965796717206)</f>
        <v>0.8379965797</v>
      </c>
      <c r="AQ460" s="57">
        <f>IFERROR(__xludf.DUMMYFUNCTION("""COMPUTED_VALUE"""),0.9479999852423584)</f>
        <v>0.9479999852</v>
      </c>
      <c r="AR460" s="36" t="b">
        <f>IFERROR(__xludf.DUMMYFUNCTION("""COMPUTED_VALUE"""),TRUE)</f>
        <v>1</v>
      </c>
      <c r="AS460" s="57"/>
      <c r="AT460" s="37"/>
      <c r="AU460" s="30"/>
      <c r="AV460" s="30"/>
      <c r="AW460" s="30"/>
      <c r="AX460" s="30"/>
      <c r="AY460" s="30"/>
      <c r="AZ460" s="30"/>
    </row>
    <row r="461">
      <c r="A461" s="30" t="str">
        <f>IFERROR(__xludf.DUMMYFUNCTION("""COMPUTED_VALUE"""),"Premier")</f>
        <v>Premier</v>
      </c>
      <c r="B461" s="30" t="str">
        <f>IFERROR(__xludf.DUMMYFUNCTION("""COMPUTED_VALUE"""),"RSC002542")</f>
        <v>RSC002542</v>
      </c>
      <c r="C461" s="30" t="str">
        <f>IFERROR(__xludf.DUMMYFUNCTION("""COMPUTED_VALUE"""),"wicked.")</f>
        <v>wicked.</v>
      </c>
      <c r="D461" s="31" t="str">
        <f>IFERROR(__xludf.DUMMYFUNCTION("""COMPUTED_VALUE"""),"Fairies")</f>
        <v>Fairies</v>
      </c>
      <c r="E461" s="31">
        <f>IFERROR(__xludf.DUMMYFUNCTION("""COMPUTED_VALUE"""),48.50441686889613)</f>
        <v>48.50441687</v>
      </c>
      <c r="F461" s="31">
        <f>IFERROR(__xludf.DUMMYFUNCTION("""COMPUTED_VALUE"""),-2.100186569264326)</f>
        <v>-2.100186569</v>
      </c>
      <c r="G461" s="31">
        <f>IFERROR(__xludf.DUMMYFUNCTION("""COMPUTED_VALUE"""),53.07771924866918)</f>
        <v>53.07771925</v>
      </c>
      <c r="H461" s="31">
        <f>IFERROR(__xludf.DUMMYFUNCTION("""COMPUTED_VALUE"""),2.2172433611197024)</f>
        <v>2.217243361</v>
      </c>
      <c r="I461" s="54">
        <f>IFERROR(__xludf.DUMMYFUNCTION("""COMPUTED_VALUE"""),23.0)</f>
        <v>23</v>
      </c>
      <c r="J461" s="55">
        <f>IFERROR(__xludf.DUMMYFUNCTION("""COMPUTED_VALUE"""),9.0)</f>
        <v>9</v>
      </c>
      <c r="K461" s="54">
        <f>IFERROR(__xludf.DUMMYFUNCTION("""COMPUTED_VALUE"""),14.0)</f>
        <v>14</v>
      </c>
      <c r="L461" s="56">
        <f>IFERROR(__xludf.DUMMYFUNCTION("""COMPUTED_VALUE"""),0.391304347826087)</f>
        <v>0.3913043478</v>
      </c>
      <c r="M461" s="56">
        <f>IFERROR(__xludf.DUMMYFUNCTION("""COMPUTED_VALUE"""),0.31666666666666665)</f>
        <v>0.3166666667</v>
      </c>
      <c r="N461" s="31">
        <f>IFERROR(__xludf.DUMMYFUNCTION("""COMPUTED_VALUE"""),374.4347826086956)</f>
        <v>374.4347826</v>
      </c>
      <c r="O461" s="57">
        <f>IFERROR(__xludf.DUMMYFUNCTION("""COMPUTED_VALUE"""),0.8260869565217391)</f>
        <v>0.8260869565</v>
      </c>
      <c r="P461" s="57">
        <f>IFERROR(__xludf.DUMMYFUNCTION("""COMPUTED_VALUE"""),0.6521739130434783)</f>
        <v>0.652173913</v>
      </c>
      <c r="Q461" s="57">
        <f>IFERROR(__xludf.DUMMYFUNCTION("""COMPUTED_VALUE"""),1.3043478260869565)</f>
        <v>1.304347826</v>
      </c>
      <c r="R461" s="57">
        <f>IFERROR(__xludf.DUMMYFUNCTION("""COMPUTED_VALUE"""),2.608695652173913)</f>
        <v>2.608695652</v>
      </c>
      <c r="S461" s="31">
        <f>IFERROR(__xludf.DUMMYFUNCTION("""COMPUTED_VALUE"""),378.2028985507246)</f>
        <v>378.2028986</v>
      </c>
      <c r="T461" s="57">
        <f>IFERROR(__xludf.DUMMYFUNCTION("""COMPUTED_VALUE"""),0.9420289855072462)</f>
        <v>0.9420289855</v>
      </c>
      <c r="U461" s="57">
        <f>IFERROR(__xludf.DUMMYFUNCTION("""COMPUTED_VALUE"""),0.7681159420289854)</f>
        <v>0.768115942</v>
      </c>
      <c r="V461" s="57">
        <f>IFERROR(__xludf.DUMMYFUNCTION("""COMPUTED_VALUE"""),1.2608695652173914)</f>
        <v>1.260869565</v>
      </c>
      <c r="W461" s="57">
        <f>IFERROR(__xludf.DUMMYFUNCTION("""COMPUTED_VALUE"""),2.840579710144928)</f>
        <v>2.84057971</v>
      </c>
      <c r="X461" s="31">
        <f>IFERROR(__xludf.DUMMYFUNCTION("""COMPUTED_VALUE"""),367.2790654439624)</f>
        <v>367.2790654</v>
      </c>
      <c r="Y461" s="57">
        <f>IFERROR(__xludf.DUMMYFUNCTION("""COMPUTED_VALUE"""),0.798979176436535)</f>
        <v>0.7989791764</v>
      </c>
      <c r="Z461" s="57">
        <f>IFERROR(__xludf.DUMMYFUNCTION("""COMPUTED_VALUE"""),0.6052346642564131)</f>
        <v>0.6052346643</v>
      </c>
      <c r="AA461" s="57">
        <f>IFERROR(__xludf.DUMMYFUNCTION("""COMPUTED_VALUE"""),1.4304855297868067)</f>
        <v>1.43048553</v>
      </c>
      <c r="AB461" s="57">
        <f>IFERROR(__xludf.DUMMYFUNCTION("""COMPUTED_VALUE"""),2.617886961567934)</f>
        <v>2.617886962</v>
      </c>
      <c r="AC461" s="31">
        <f>IFERROR(__xludf.DUMMYFUNCTION("""COMPUTED_VALUE"""),367.49175195171324)</f>
        <v>367.491752</v>
      </c>
      <c r="AD461" s="57">
        <f>IFERROR(__xludf.DUMMYFUNCTION("""COMPUTED_VALUE"""),0.8288319853883068)</f>
        <v>0.8288319854</v>
      </c>
      <c r="AE461" s="57">
        <f>IFERROR(__xludf.DUMMYFUNCTION("""COMPUTED_VALUE"""),0.6353563344385043)</f>
        <v>0.6353563344</v>
      </c>
      <c r="AF461" s="57">
        <f>IFERROR(__xludf.DUMMYFUNCTION("""COMPUTED_VALUE"""),1.3643139933075878)</f>
        <v>1.364313993</v>
      </c>
      <c r="AG461" s="57">
        <f>IFERROR(__xludf.DUMMYFUNCTION("""COMPUTED_VALUE"""),2.7613494896044095)</f>
        <v>2.76134949</v>
      </c>
      <c r="AH461" s="57">
        <f>IFERROR(__xludf.DUMMYFUNCTION("""COMPUTED_VALUE"""),1.0188930244559466)</f>
        <v>1.018893024</v>
      </c>
      <c r="AI461" s="57">
        <f>IFERROR(__xludf.DUMMYFUNCTION("""COMPUTED_VALUE"""),0.9966880756112693)</f>
        <v>0.9966880756</v>
      </c>
      <c r="AJ461" s="57">
        <f>IFERROR(__xludf.DUMMYFUNCTION("""COMPUTED_VALUE"""),1.0264695222088822)</f>
        <v>1.026469522</v>
      </c>
      <c r="AK461" s="57">
        <f>IFERROR(__xludf.DUMMYFUNCTION("""COMPUTED_VALUE"""),0.9560466523727051)</f>
        <v>0.9560466524</v>
      </c>
      <c r="AL461" s="57">
        <f>IFERROR(__xludf.DUMMYFUNCTION("""COMPUTED_VALUE"""),0.9447176686597663)</f>
        <v>0.9447176687</v>
      </c>
      <c r="AM461" s="57">
        <f>IFERROR(__xludf.DUMMYFUNCTION("""COMPUTED_VALUE"""),1.0297425966643583)</f>
        <v>1.029742597</v>
      </c>
      <c r="AN461" s="57">
        <f>IFERROR(__xludf.DUMMYFUNCTION("""COMPUTED_VALUE"""),1.1790407225739181)</f>
        <v>1.179040723</v>
      </c>
      <c r="AO461" s="57">
        <f>IFERROR(__xludf.DUMMYFUNCTION("""COMPUTED_VALUE"""),1.2691208673129901)</f>
        <v>1.269120867</v>
      </c>
      <c r="AP461" s="35">
        <f>IFERROR(__xludf.DUMMYFUNCTION("""COMPUTED_VALUE"""),0.8814276963747448)</f>
        <v>0.8814276964</v>
      </c>
      <c r="AQ461" s="57">
        <f>IFERROR(__xludf.DUMMYFUNCTION("""COMPUTED_VALUE"""),1.0850658381535376)</f>
        <v>1.085065838</v>
      </c>
      <c r="AR461" s="36" t="b">
        <f>IFERROR(__xludf.DUMMYFUNCTION("""COMPUTED_VALUE"""),TRUE)</f>
        <v>1</v>
      </c>
      <c r="AS461" s="57"/>
      <c r="AT461" s="37"/>
      <c r="AU461" s="30"/>
      <c r="AV461" s="30"/>
      <c r="AW461" s="30"/>
      <c r="AX461" s="30"/>
      <c r="AY461" s="30"/>
      <c r="AZ461" s="30"/>
    </row>
    <row r="462">
      <c r="A462" s="30" t="str">
        <f>IFERROR(__xludf.DUMMYFUNCTION("""COMPUTED_VALUE"""),"Premier")</f>
        <v>Premier</v>
      </c>
      <c r="B462" s="30" t="str">
        <f>IFERROR(__xludf.DUMMYFUNCTION("""COMPUTED_VALUE"""),"RSC007541")</f>
        <v>RSC007541</v>
      </c>
      <c r="C462" s="30" t="str">
        <f>IFERROR(__xludf.DUMMYFUNCTION("""COMPUTED_VALUE"""),"Water RL")</f>
        <v>Water RL</v>
      </c>
      <c r="D462" s="31" t="str">
        <f>IFERROR(__xludf.DUMMYFUNCTION("""COMPUTED_VALUE"""),"Interstellar")</f>
        <v>Interstellar</v>
      </c>
      <c r="E462" s="31">
        <f>IFERROR(__xludf.DUMMYFUNCTION("""COMPUTED_VALUE"""),48.42079148412364)</f>
        <v>48.42079148</v>
      </c>
      <c r="F462" s="31">
        <f>IFERROR(__xludf.DUMMYFUNCTION("""COMPUTED_VALUE"""),-2.1060779774567564)</f>
        <v>-2.106077977</v>
      </c>
      <c r="G462" s="31">
        <f>IFERROR(__xludf.DUMMYFUNCTION("""COMPUTED_VALUE"""),59.91785772568028)</f>
        <v>59.91785773</v>
      </c>
      <c r="H462" s="31">
        <f>IFERROR(__xludf.DUMMYFUNCTION("""COMPUTED_VALUE"""),2.8919363750556903)</f>
        <v>2.891936375</v>
      </c>
      <c r="I462" s="54">
        <f>IFERROR(__xludf.DUMMYFUNCTION("""COMPUTED_VALUE"""),40.0)</f>
        <v>40</v>
      </c>
      <c r="J462" s="55">
        <f>IFERROR(__xludf.DUMMYFUNCTION("""COMPUTED_VALUE"""),14.0)</f>
        <v>14</v>
      </c>
      <c r="K462" s="54">
        <f>IFERROR(__xludf.DUMMYFUNCTION("""COMPUTED_VALUE"""),26.0)</f>
        <v>26</v>
      </c>
      <c r="L462" s="56">
        <f>IFERROR(__xludf.DUMMYFUNCTION("""COMPUTED_VALUE"""),0.35)</f>
        <v>0.35</v>
      </c>
      <c r="M462" s="56">
        <f>IFERROR(__xludf.DUMMYFUNCTION("""COMPUTED_VALUE"""),0.27884615384615385)</f>
        <v>0.2788461538</v>
      </c>
      <c r="N462" s="31">
        <f>IFERROR(__xludf.DUMMYFUNCTION("""COMPUTED_VALUE"""),390.825)</f>
        <v>390.825</v>
      </c>
      <c r="O462" s="57">
        <f>IFERROR(__xludf.DUMMYFUNCTION("""COMPUTED_VALUE"""),0.725)</f>
        <v>0.725</v>
      </c>
      <c r="P462" s="57">
        <f>IFERROR(__xludf.DUMMYFUNCTION("""COMPUTED_VALUE"""),0.625)</f>
        <v>0.625</v>
      </c>
      <c r="Q462" s="57">
        <f>IFERROR(__xludf.DUMMYFUNCTION("""COMPUTED_VALUE"""),1.725)</f>
        <v>1.725</v>
      </c>
      <c r="R462" s="57">
        <f>IFERROR(__xludf.DUMMYFUNCTION("""COMPUTED_VALUE"""),2.6)</f>
        <v>2.6</v>
      </c>
      <c r="S462" s="31">
        <f>IFERROR(__xludf.DUMMYFUNCTION("""COMPUTED_VALUE"""),364.4166666666667)</f>
        <v>364.4166667</v>
      </c>
      <c r="T462" s="57">
        <f>IFERROR(__xludf.DUMMYFUNCTION("""COMPUTED_VALUE"""),0.9166666666666666)</f>
        <v>0.9166666667</v>
      </c>
      <c r="U462" s="57">
        <f>IFERROR(__xludf.DUMMYFUNCTION("""COMPUTED_VALUE"""),0.7083333333333334)</f>
        <v>0.7083333333</v>
      </c>
      <c r="V462" s="57">
        <f>IFERROR(__xludf.DUMMYFUNCTION("""COMPUTED_VALUE"""),1.1083333333333334)</f>
        <v>1.108333333</v>
      </c>
      <c r="W462" s="57">
        <f>IFERROR(__xludf.DUMMYFUNCTION("""COMPUTED_VALUE"""),3.0083333333333333)</f>
        <v>3.008333333</v>
      </c>
      <c r="X462" s="31">
        <f>IFERROR(__xludf.DUMMYFUNCTION("""COMPUTED_VALUE"""),371.3181424613694)</f>
        <v>371.3181425</v>
      </c>
      <c r="Y462" s="57">
        <f>IFERROR(__xludf.DUMMYFUNCTION("""COMPUTED_VALUE"""),0.813880427187307)</f>
        <v>0.8138804272</v>
      </c>
      <c r="Z462" s="57">
        <f>IFERROR(__xludf.DUMMYFUNCTION("""COMPUTED_VALUE"""),0.6682782488335712)</f>
        <v>0.6682782488</v>
      </c>
      <c r="AA462" s="57">
        <f>IFERROR(__xludf.DUMMYFUNCTION("""COMPUTED_VALUE"""),1.4112998982794351)</f>
        <v>1.411299898</v>
      </c>
      <c r="AB462" s="57">
        <f>IFERROR(__xludf.DUMMYFUNCTION("""COMPUTED_VALUE"""),2.7239108761991933)</f>
        <v>2.723910876</v>
      </c>
      <c r="AC462" s="31">
        <f>IFERROR(__xludf.DUMMYFUNCTION("""COMPUTED_VALUE"""),371.89025512797207)</f>
        <v>371.8902551</v>
      </c>
      <c r="AD462" s="57">
        <f>IFERROR(__xludf.DUMMYFUNCTION("""COMPUTED_VALUE"""),0.815398257218094)</f>
        <v>0.8153982572</v>
      </c>
      <c r="AE462" s="57">
        <f>IFERROR(__xludf.DUMMYFUNCTION("""COMPUTED_VALUE"""),0.6414919918554047)</f>
        <v>0.6414919919</v>
      </c>
      <c r="AF462" s="57">
        <f>IFERROR(__xludf.DUMMYFUNCTION("""COMPUTED_VALUE"""),1.4242973867133575)</f>
        <v>1.424297387</v>
      </c>
      <c r="AG462" s="57">
        <f>IFERROR(__xludf.DUMMYFUNCTION("""COMPUTED_VALUE"""),2.660984766070039)</f>
        <v>2.660984766</v>
      </c>
      <c r="AH462" s="57">
        <f>IFERROR(__xludf.DUMMYFUNCTION("""COMPUTED_VALUE"""),1.0509148723606976)</f>
        <v>1.050914872</v>
      </c>
      <c r="AI462" s="57">
        <f>IFERROR(__xludf.DUMMYFUNCTION("""COMPUTED_VALUE"""),0.8891360676603516)</f>
        <v>0.8891360677</v>
      </c>
      <c r="AJ462" s="57">
        <f>IFERROR(__xludf.DUMMYFUNCTION("""COMPUTED_VALUE"""),0.9742911960479749)</f>
        <v>0.974291196</v>
      </c>
      <c r="AK462" s="57">
        <f>IFERROR(__xludf.DUMMYFUNCTION("""COMPUTED_VALUE"""),1.2111234746983073)</f>
        <v>1.211123475</v>
      </c>
      <c r="AL462" s="57">
        <f>IFERROR(__xludf.DUMMYFUNCTION("""COMPUTED_VALUE"""),0.9770818807955424)</f>
        <v>0.9770818808</v>
      </c>
      <c r="AM462" s="57">
        <f>IFERROR(__xludf.DUMMYFUNCTION("""COMPUTED_VALUE"""),0.9814135777235266)</f>
        <v>0.9814135777</v>
      </c>
      <c r="AN462" s="57">
        <f>IFERROR(__xludf.DUMMYFUNCTION("""COMPUTED_VALUE"""),1.1262915731179075)</f>
        <v>1.126291573</v>
      </c>
      <c r="AO462" s="57">
        <f>IFERROR(__xludf.DUMMYFUNCTION("""COMPUTED_VALUE"""),1.059937734872675)</f>
        <v>1.059937735</v>
      </c>
      <c r="AP462" s="35">
        <f>IFERROR(__xludf.DUMMYFUNCTION("""COMPUTED_VALUE"""),0.7853280048305404)</f>
        <v>0.7853280048</v>
      </c>
      <c r="AQ462" s="57">
        <f>IFERROR(__xludf.DUMMYFUNCTION("""COMPUTED_VALUE"""),1.1044169468316116)</f>
        <v>1.104416947</v>
      </c>
      <c r="AR462" s="36" t="b">
        <f>IFERROR(__xludf.DUMMYFUNCTION("""COMPUTED_VALUE"""),TRUE)</f>
        <v>1</v>
      </c>
      <c r="AS462" s="57"/>
      <c r="AT462" s="37"/>
      <c r="AU462" s="30"/>
      <c r="AV462" s="30"/>
      <c r="AW462" s="30"/>
      <c r="AX462" s="30"/>
      <c r="AY462" s="30"/>
      <c r="AZ462" s="30"/>
    </row>
    <row r="463">
      <c r="A463" s="30" t="str">
        <f>IFERROR(__xludf.DUMMYFUNCTION("""COMPUTED_VALUE"""),"Premier")</f>
        <v>Premier</v>
      </c>
      <c r="B463" s="30" t="str">
        <f>IFERROR(__xludf.DUMMYFUNCTION("""COMPUTED_VALUE"""),"RSC001114")</f>
        <v>RSC001114</v>
      </c>
      <c r="C463" s="30" t="str">
        <f>IFERROR(__xludf.DUMMYFUNCTION("""COMPUTED_VALUE"""),"ashes.")</f>
        <v>ashes.</v>
      </c>
      <c r="D463" s="31" t="str">
        <f>IFERROR(__xludf.DUMMYFUNCTION("""COMPUTED_VALUE"""),"Punks")</f>
        <v>Punks</v>
      </c>
      <c r="E463" s="31">
        <f>IFERROR(__xludf.DUMMYFUNCTION("""COMPUTED_VALUE"""),46.56838441941097)</f>
        <v>46.56838442</v>
      </c>
      <c r="F463" s="31">
        <f>IFERROR(__xludf.DUMMYFUNCTION("""COMPUTED_VALUE"""),-2.245118357612328)</f>
        <v>-2.245118358</v>
      </c>
      <c r="G463" s="31">
        <f>IFERROR(__xludf.DUMMYFUNCTION("""COMPUTED_VALUE"""),41.21889958198612)</f>
        <v>41.21889958</v>
      </c>
      <c r="H463" s="31">
        <f>IFERROR(__xludf.DUMMYFUNCTION("""COMPUTED_VALUE"""),-2.7570794230160374)</f>
        <v>-2.757079423</v>
      </c>
      <c r="I463" s="54">
        <f>IFERROR(__xludf.DUMMYFUNCTION("""COMPUTED_VALUE"""),48.0)</f>
        <v>48</v>
      </c>
      <c r="J463" s="55">
        <f>IFERROR(__xludf.DUMMYFUNCTION("""COMPUTED_VALUE"""),24.0)</f>
        <v>24</v>
      </c>
      <c r="K463" s="54">
        <f>IFERROR(__xludf.DUMMYFUNCTION("""COMPUTED_VALUE"""),24.0)</f>
        <v>24</v>
      </c>
      <c r="L463" s="56">
        <f>IFERROR(__xludf.DUMMYFUNCTION("""COMPUTED_VALUE"""),0.5)</f>
        <v>0.5</v>
      </c>
      <c r="M463" s="56">
        <f>IFERROR(__xludf.DUMMYFUNCTION("""COMPUTED_VALUE"""),0.3032786885245902)</f>
        <v>0.3032786885</v>
      </c>
      <c r="N463" s="31">
        <f>IFERROR(__xludf.DUMMYFUNCTION("""COMPUTED_VALUE"""),340.8958333333333)</f>
        <v>340.8958333</v>
      </c>
      <c r="O463" s="57">
        <f>IFERROR(__xludf.DUMMYFUNCTION("""COMPUTED_VALUE"""),0.7708333333333334)</f>
        <v>0.7708333333</v>
      </c>
      <c r="P463" s="57">
        <f>IFERROR(__xludf.DUMMYFUNCTION("""COMPUTED_VALUE"""),0.5208333333333334)</f>
        <v>0.5208333333</v>
      </c>
      <c r="Q463" s="57">
        <f>IFERROR(__xludf.DUMMYFUNCTION("""COMPUTED_VALUE"""),1.3541666666666667)</f>
        <v>1.354166667</v>
      </c>
      <c r="R463" s="57">
        <f>IFERROR(__xludf.DUMMYFUNCTION("""COMPUTED_VALUE"""),2.5416666666666665)</f>
        <v>2.541666667</v>
      </c>
      <c r="S463" s="31">
        <f>IFERROR(__xludf.DUMMYFUNCTION("""COMPUTED_VALUE"""),356.59722222222223)</f>
        <v>356.5972222</v>
      </c>
      <c r="T463" s="57">
        <f>IFERROR(__xludf.DUMMYFUNCTION("""COMPUTED_VALUE"""),0.736111111111111)</f>
        <v>0.7361111111</v>
      </c>
      <c r="U463" s="57">
        <f>IFERROR(__xludf.DUMMYFUNCTION("""COMPUTED_VALUE"""),0.5902777777777777)</f>
        <v>0.5902777778</v>
      </c>
      <c r="V463" s="57">
        <f>IFERROR(__xludf.DUMMYFUNCTION("""COMPUTED_VALUE"""),1.3680555555555554)</f>
        <v>1.368055556</v>
      </c>
      <c r="W463" s="57">
        <f>IFERROR(__xludf.DUMMYFUNCTION("""COMPUTED_VALUE"""),2.5902777777777777)</f>
        <v>2.590277778</v>
      </c>
      <c r="X463" s="31">
        <f>IFERROR(__xludf.DUMMYFUNCTION("""COMPUTED_VALUE"""),373.6265021754087)</f>
        <v>373.6265022</v>
      </c>
      <c r="Y463" s="57">
        <f>IFERROR(__xludf.DUMMYFUNCTION("""COMPUTED_VALUE"""),0.8144605856641047)</f>
        <v>0.8144605857</v>
      </c>
      <c r="Z463" s="57">
        <f>IFERROR(__xludf.DUMMYFUNCTION("""COMPUTED_VALUE"""),0.640295901127422)</f>
        <v>0.6402959011</v>
      </c>
      <c r="AA463" s="57">
        <f>IFERROR(__xludf.DUMMYFUNCTION("""COMPUTED_VALUE"""),1.4381276180144305)</f>
        <v>1.438127618</v>
      </c>
      <c r="AB463" s="57">
        <f>IFERROR(__xludf.DUMMYFUNCTION("""COMPUTED_VALUE"""),2.6965856949557985)</f>
        <v>2.696585695</v>
      </c>
      <c r="AC463" s="31">
        <f>IFERROR(__xludf.DUMMYFUNCTION("""COMPUTED_VALUE"""),370.5937347851289)</f>
        <v>370.5937348</v>
      </c>
      <c r="AD463" s="57">
        <f>IFERROR(__xludf.DUMMYFUNCTION("""COMPUTED_VALUE"""),0.8321299809778884)</f>
        <v>0.832129981</v>
      </c>
      <c r="AE463" s="57">
        <f>IFERROR(__xludf.DUMMYFUNCTION("""COMPUTED_VALUE"""),0.6418963863973987)</f>
        <v>0.6418963864</v>
      </c>
      <c r="AF463" s="57">
        <f>IFERROR(__xludf.DUMMYFUNCTION("""COMPUTED_VALUE"""),1.3992491523504613)</f>
        <v>1.399249152</v>
      </c>
      <c r="AG463" s="57">
        <f>IFERROR(__xludf.DUMMYFUNCTION("""COMPUTED_VALUE"""),2.7466102026420547)</f>
        <v>2.746610203</v>
      </c>
      <c r="AH463" s="57">
        <f>IFERROR(__xludf.DUMMYFUNCTION("""COMPUTED_VALUE"""),0.9198639948162791)</f>
        <v>0.9198639948</v>
      </c>
      <c r="AI463" s="57">
        <f>IFERROR(__xludf.DUMMYFUNCTION("""COMPUTED_VALUE"""),0.9263376527155992)</f>
        <v>0.9263376527</v>
      </c>
      <c r="AJ463" s="57">
        <f>IFERROR(__xludf.DUMMYFUNCTION("""COMPUTED_VALUE"""),0.8113978273915456)</f>
        <v>0.8113978274</v>
      </c>
      <c r="AK463" s="57">
        <f>IFERROR(__xludf.DUMMYFUNCTION("""COMPUTED_VALUE"""),0.9677809447959537)</f>
        <v>0.9677809448</v>
      </c>
      <c r="AL463" s="57">
        <f>IFERROR(__xludf.DUMMYFUNCTION("""COMPUTED_VALUE"""),0.9253831010391478)</f>
        <v>0.925383101</v>
      </c>
      <c r="AM463" s="57">
        <f>IFERROR(__xludf.DUMMYFUNCTION("""COMPUTED_VALUE"""),0.9544216487480548)</f>
        <v>0.9544216487</v>
      </c>
      <c r="AN463" s="57">
        <f>IFERROR(__xludf.DUMMYFUNCTION("""COMPUTED_VALUE"""),0.9038020059753927)</f>
        <v>0.903802006</v>
      </c>
      <c r="AO463" s="57">
        <f>IFERROR(__xludf.DUMMYFUNCTION("""COMPUTED_VALUE"""),0.9218827994032552)</f>
        <v>0.9218827994</v>
      </c>
      <c r="AP463" s="35">
        <f>IFERROR(__xludf.DUMMYFUNCTION("""COMPUTED_VALUE"""),0.9512754907275747)</f>
        <v>0.9512754907</v>
      </c>
      <c r="AQ463" s="57">
        <f>IFERROR(__xludf.DUMMYFUNCTION("""COMPUTED_VALUE"""),0.9605768444975143)</f>
        <v>0.9605768445</v>
      </c>
      <c r="AR463" s="36" t="b">
        <f>IFERROR(__xludf.DUMMYFUNCTION("""COMPUTED_VALUE"""),TRUE)</f>
        <v>1</v>
      </c>
      <c r="AS463" s="57"/>
      <c r="AT463" s="37"/>
      <c r="AU463" s="30"/>
      <c r="AV463" s="30"/>
      <c r="AW463" s="30"/>
      <c r="AX463" s="30"/>
      <c r="AY463" s="30"/>
      <c r="AZ463" s="30"/>
    </row>
    <row r="464">
      <c r="A464" s="30" t="str">
        <f>IFERROR(__xludf.DUMMYFUNCTION("""COMPUTED_VALUE"""),"Premier")</f>
        <v>Premier</v>
      </c>
      <c r="B464" s="30" t="str">
        <f>IFERROR(__xludf.DUMMYFUNCTION("""COMPUTED_VALUE"""),"RSC007450")</f>
        <v>RSC007450</v>
      </c>
      <c r="C464" s="30" t="str">
        <f>IFERROR(__xludf.DUMMYFUNCTION("""COMPUTED_VALUE"""),"kev")</f>
        <v>kev</v>
      </c>
      <c r="D464" s="31" t="str">
        <f>IFERROR(__xludf.DUMMYFUNCTION("""COMPUTED_VALUE"""),"Gummy Bears")</f>
        <v>Gummy Bears</v>
      </c>
      <c r="E464" s="31">
        <f>IFERROR(__xludf.DUMMYFUNCTION("""COMPUTED_VALUE"""),44.977241649682064)</f>
        <v>44.97724165</v>
      </c>
      <c r="F464" s="31">
        <f>IFERROR(__xludf.DUMMYFUNCTION("""COMPUTED_VALUE"""),-2.3787755546671048)</f>
        <v>-2.378775555</v>
      </c>
      <c r="G464" s="31">
        <f>IFERROR(__xludf.DUMMYFUNCTION("""COMPUTED_VALUE"""),42.012147440898005)</f>
        <v>42.01214744</v>
      </c>
      <c r="H464" s="31">
        <f>IFERROR(__xludf.DUMMYFUNCTION("""COMPUTED_VALUE"""),-2.669027156954592)</f>
        <v>-2.669027157</v>
      </c>
      <c r="I464" s="54">
        <f>IFERROR(__xludf.DUMMYFUNCTION("""COMPUTED_VALUE"""),33.0)</f>
        <v>33</v>
      </c>
      <c r="J464" s="55">
        <f>IFERROR(__xludf.DUMMYFUNCTION("""COMPUTED_VALUE"""),17.0)</f>
        <v>17</v>
      </c>
      <c r="K464" s="54">
        <f>IFERROR(__xludf.DUMMYFUNCTION("""COMPUTED_VALUE"""),16.0)</f>
        <v>16</v>
      </c>
      <c r="L464" s="56">
        <f>IFERROR(__xludf.DUMMYFUNCTION("""COMPUTED_VALUE"""),0.5151515151515151)</f>
        <v>0.5151515152</v>
      </c>
      <c r="M464" s="56">
        <f>IFERROR(__xludf.DUMMYFUNCTION("""COMPUTED_VALUE"""),0.32926829268292684)</f>
        <v>0.3292682927</v>
      </c>
      <c r="N464" s="31">
        <f>IFERROR(__xludf.DUMMYFUNCTION("""COMPUTED_VALUE"""),363.54545454545456)</f>
        <v>363.5454545</v>
      </c>
      <c r="O464" s="57">
        <f>IFERROR(__xludf.DUMMYFUNCTION("""COMPUTED_VALUE"""),0.8181818181818182)</f>
        <v>0.8181818182</v>
      </c>
      <c r="P464" s="57">
        <f>IFERROR(__xludf.DUMMYFUNCTION("""COMPUTED_VALUE"""),0.48484848484848486)</f>
        <v>0.4848484848</v>
      </c>
      <c r="Q464" s="57">
        <f>IFERROR(__xludf.DUMMYFUNCTION("""COMPUTED_VALUE"""),1.3636363636363635)</f>
        <v>1.363636364</v>
      </c>
      <c r="R464" s="57">
        <f>IFERROR(__xludf.DUMMYFUNCTION("""COMPUTED_VALUE"""),2.484848484848485)</f>
        <v>2.484848485</v>
      </c>
      <c r="S464" s="31">
        <f>IFERROR(__xludf.DUMMYFUNCTION("""COMPUTED_VALUE"""),355.3131313131313)</f>
        <v>355.3131313</v>
      </c>
      <c r="T464" s="57">
        <f>IFERROR(__xludf.DUMMYFUNCTION("""COMPUTED_VALUE"""),0.7979797979797979)</f>
        <v>0.797979798</v>
      </c>
      <c r="U464" s="57">
        <f>IFERROR(__xludf.DUMMYFUNCTION("""COMPUTED_VALUE"""),0.6262626262626263)</f>
        <v>0.6262626263</v>
      </c>
      <c r="V464" s="57">
        <f>IFERROR(__xludf.DUMMYFUNCTION("""COMPUTED_VALUE"""),1.313131313131313)</f>
        <v>1.313131313</v>
      </c>
      <c r="W464" s="57">
        <f>IFERROR(__xludf.DUMMYFUNCTION("""COMPUTED_VALUE"""),2.7575757575757582)</f>
        <v>2.757575758</v>
      </c>
      <c r="X464" s="31">
        <f>IFERROR(__xludf.DUMMYFUNCTION("""COMPUTED_VALUE"""),359.95437640695576)</f>
        <v>359.9543764</v>
      </c>
      <c r="Y464" s="57">
        <f>IFERROR(__xludf.DUMMYFUNCTION("""COMPUTED_VALUE"""),0.7733478388990424)</f>
        <v>0.7733478389</v>
      </c>
      <c r="Z464" s="57">
        <f>IFERROR(__xludf.DUMMYFUNCTION("""COMPUTED_VALUE"""),0.6545146724661866)</f>
        <v>0.6545146725</v>
      </c>
      <c r="AA464" s="57">
        <f>IFERROR(__xludf.DUMMYFUNCTION("""COMPUTED_VALUE"""),1.3769455620107232)</f>
        <v>1.376945562</v>
      </c>
      <c r="AB464" s="57">
        <f>IFERROR(__xludf.DUMMYFUNCTION("""COMPUTED_VALUE"""),2.5777055936963804)</f>
        <v>2.577705594</v>
      </c>
      <c r="AC464" s="31">
        <f>IFERROR(__xludf.DUMMYFUNCTION("""COMPUTED_VALUE"""),367.77816554401306)</f>
        <v>367.7781655</v>
      </c>
      <c r="AD464" s="57">
        <f>IFERROR(__xludf.DUMMYFUNCTION("""COMPUTED_VALUE"""),0.8173400932387711)</f>
        <v>0.8173400932</v>
      </c>
      <c r="AE464" s="57">
        <f>IFERROR(__xludf.DUMMYFUNCTION("""COMPUTED_VALUE"""),0.6448154368893477)</f>
        <v>0.6448154369</v>
      </c>
      <c r="AF464" s="57">
        <f>IFERROR(__xludf.DUMMYFUNCTION("""COMPUTED_VALUE"""),1.3655865003662033)</f>
        <v>1.3655865</v>
      </c>
      <c r="AG464" s="57">
        <f>IFERROR(__xludf.DUMMYFUNCTION("""COMPUTED_VALUE"""),2.7048301091931037)</f>
        <v>2.704830109</v>
      </c>
      <c r="AH464" s="57">
        <f>IFERROR(__xludf.DUMMYFUNCTION("""COMPUTED_VALUE"""),0.9884911302651762)</f>
        <v>0.9884911303</v>
      </c>
      <c r="AI464" s="57">
        <f>IFERROR(__xludf.DUMMYFUNCTION("""COMPUTED_VALUE"""),1.0010298343982023)</f>
        <v>1.001029834</v>
      </c>
      <c r="AJ464" s="57">
        <f>IFERROR(__xludf.DUMMYFUNCTION("""COMPUTED_VALUE"""),0.7519182344446359)</f>
        <v>0.7519182344</v>
      </c>
      <c r="AK464" s="57">
        <f>IFERROR(__xludf.DUMMYFUNCTION("""COMPUTED_VALUE"""),0.9985719419975836)</f>
        <v>0.998571942</v>
      </c>
      <c r="AL464" s="57">
        <f>IFERROR(__xludf.DUMMYFUNCTION("""COMPUTED_VALUE"""),0.9186708164786574)</f>
        <v>0.9186708165</v>
      </c>
      <c r="AM464" s="57">
        <f>IFERROR(__xludf.DUMMYFUNCTION("""COMPUTED_VALUE"""),0.9871060184344663)</f>
        <v>0.9871060184</v>
      </c>
      <c r="AN464" s="57">
        <f>IFERROR(__xludf.DUMMYFUNCTION("""COMPUTED_VALUE"""),1.031851073788248)</f>
        <v>1.031851074</v>
      </c>
      <c r="AO464" s="57">
        <f>IFERROR(__xludf.DUMMYFUNCTION("""COMPUTED_VALUE"""),0.956835121667926)</f>
        <v>0.9568351217</v>
      </c>
      <c r="AP464" s="35">
        <f>IFERROR(__xludf.DUMMYFUNCTION("""COMPUTED_VALUE"""),0.9536552129292434)</f>
        <v>0.9536552129</v>
      </c>
      <c r="AQ464" s="57">
        <f>IFERROR(__xludf.DUMMYFUNCTION("""COMPUTED_VALUE"""),1.0697791727337829)</f>
        <v>1.069779173</v>
      </c>
      <c r="AR464" s="36" t="b">
        <f>IFERROR(__xludf.DUMMYFUNCTION("""COMPUTED_VALUE"""),TRUE)</f>
        <v>1</v>
      </c>
      <c r="AS464" s="57"/>
      <c r="AT464" s="37"/>
      <c r="AU464" s="30"/>
      <c r="AV464" s="30"/>
      <c r="AW464" s="30"/>
      <c r="AX464" s="30"/>
      <c r="AY464" s="30"/>
      <c r="AZ464" s="30"/>
    </row>
    <row r="465">
      <c r="A465" s="30" t="str">
        <f>IFERROR(__xludf.DUMMYFUNCTION("""COMPUTED_VALUE"""),"Premier")</f>
        <v>Premier</v>
      </c>
      <c r="B465" s="30" t="str">
        <f>IFERROR(__xludf.DUMMYFUNCTION("""COMPUTED_VALUE"""),"RSC000750")</f>
        <v>RSC000750</v>
      </c>
      <c r="C465" s="30" t="str">
        <f>IFERROR(__xludf.DUMMYFUNCTION("""COMPUTED_VALUE"""),"Jatt")</f>
        <v>Jatt</v>
      </c>
      <c r="D465" s="31" t="str">
        <f>IFERROR(__xludf.DUMMYFUNCTION("""COMPUTED_VALUE"""),"Crooked Capos")</f>
        <v>Crooked Capos</v>
      </c>
      <c r="E465" s="31">
        <f>IFERROR(__xludf.DUMMYFUNCTION("""COMPUTED_VALUE"""),44.90010042827267)</f>
        <v>44.90010043</v>
      </c>
      <c r="F465" s="31">
        <f>IFERROR(__xludf.DUMMYFUNCTION("""COMPUTED_VALUE"""),-2.385619566990919)</f>
        <v>-2.385619567</v>
      </c>
      <c r="G465" s="31">
        <f>IFERROR(__xludf.DUMMYFUNCTION("""COMPUTED_VALUE"""),40.557648095834516)</f>
        <v>40.5576481</v>
      </c>
      <c r="H465" s="31">
        <f>IFERROR(__xludf.DUMMYFUNCTION("""COMPUTED_VALUE"""),-2.8342346737863022)</f>
        <v>-2.834234674</v>
      </c>
      <c r="I465" s="54">
        <f>IFERROR(__xludf.DUMMYFUNCTION("""COMPUTED_VALUE"""),24.0)</f>
        <v>24</v>
      </c>
      <c r="J465" s="55">
        <f>IFERROR(__xludf.DUMMYFUNCTION("""COMPUTED_VALUE"""),11.0)</f>
        <v>11</v>
      </c>
      <c r="K465" s="54">
        <f>IFERROR(__xludf.DUMMYFUNCTION("""COMPUTED_VALUE"""),13.0)</f>
        <v>13</v>
      </c>
      <c r="L465" s="56">
        <f>IFERROR(__xludf.DUMMYFUNCTION("""COMPUTED_VALUE"""),0.4583333333333333)</f>
        <v>0.4583333333</v>
      </c>
      <c r="M465" s="56">
        <f>IFERROR(__xludf.DUMMYFUNCTION("""COMPUTED_VALUE"""),0.31343283582089554)</f>
        <v>0.3134328358</v>
      </c>
      <c r="N465" s="31">
        <f>IFERROR(__xludf.DUMMYFUNCTION("""COMPUTED_VALUE"""),394.5833333333333)</f>
        <v>394.5833333</v>
      </c>
      <c r="O465" s="57">
        <f>IFERROR(__xludf.DUMMYFUNCTION("""COMPUTED_VALUE"""),0.875)</f>
        <v>0.875</v>
      </c>
      <c r="P465" s="57">
        <f>IFERROR(__xludf.DUMMYFUNCTION("""COMPUTED_VALUE"""),0.4166666666666667)</f>
        <v>0.4166666667</v>
      </c>
      <c r="Q465" s="57">
        <f>IFERROR(__xludf.DUMMYFUNCTION("""COMPUTED_VALUE"""),1.75)</f>
        <v>1.75</v>
      </c>
      <c r="R465" s="57">
        <f>IFERROR(__xludf.DUMMYFUNCTION("""COMPUTED_VALUE"""),2.7916666666666665)</f>
        <v>2.791666667</v>
      </c>
      <c r="S465" s="31">
        <f>IFERROR(__xludf.DUMMYFUNCTION("""COMPUTED_VALUE"""),409.47222222222223)</f>
        <v>409.4722222</v>
      </c>
      <c r="T465" s="57">
        <f>IFERROR(__xludf.DUMMYFUNCTION("""COMPUTED_VALUE"""),0.8888888888888887)</f>
        <v>0.8888888889</v>
      </c>
      <c r="U465" s="57">
        <f>IFERROR(__xludf.DUMMYFUNCTION("""COMPUTED_VALUE"""),0.6944444444444446)</f>
        <v>0.6944444444</v>
      </c>
      <c r="V465" s="57">
        <f>IFERROR(__xludf.DUMMYFUNCTION("""COMPUTED_VALUE"""),1.722222222222222)</f>
        <v>1.722222222</v>
      </c>
      <c r="W465" s="57">
        <f>IFERROR(__xludf.DUMMYFUNCTION("""COMPUTED_VALUE"""),2.9305555555555567)</f>
        <v>2.930555556</v>
      </c>
      <c r="X465" s="31">
        <f>IFERROR(__xludf.DUMMYFUNCTION("""COMPUTED_VALUE"""),370.7628753156833)</f>
        <v>370.7628753</v>
      </c>
      <c r="Y465" s="57">
        <f>IFERROR(__xludf.DUMMYFUNCTION("""COMPUTED_VALUE"""),0.8199084086165543)</f>
        <v>0.8199084086</v>
      </c>
      <c r="Z465" s="57">
        <f>IFERROR(__xludf.DUMMYFUNCTION("""COMPUTED_VALUE"""),0.6336877945663505)</f>
        <v>0.6336877946</v>
      </c>
      <c r="AA465" s="57">
        <f>IFERROR(__xludf.DUMMYFUNCTION("""COMPUTED_VALUE"""),1.454845322173836)</f>
        <v>1.454845322</v>
      </c>
      <c r="AB465" s="57">
        <f>IFERROR(__xludf.DUMMYFUNCTION("""COMPUTED_VALUE"""),2.7033143437094114)</f>
        <v>2.703314344</v>
      </c>
      <c r="AC465" s="31">
        <f>IFERROR(__xludf.DUMMYFUNCTION("""COMPUTED_VALUE"""),380.9621639326612)</f>
        <v>380.9621639</v>
      </c>
      <c r="AD465" s="57">
        <f>IFERROR(__xludf.DUMMYFUNCTION("""COMPUTED_VALUE"""),0.8675141737204356)</f>
        <v>0.8675141737</v>
      </c>
      <c r="AE465" s="57">
        <f>IFERROR(__xludf.DUMMYFUNCTION("""COMPUTED_VALUE"""),0.6727709231088536)</f>
        <v>0.6727709231</v>
      </c>
      <c r="AF465" s="57">
        <f>IFERROR(__xludf.DUMMYFUNCTION("""COMPUTED_VALUE"""),1.4350661820554205)</f>
        <v>1.435066182</v>
      </c>
      <c r="AG465" s="57">
        <f>IFERROR(__xludf.DUMMYFUNCTION("""COMPUTED_VALUE"""),2.7665547537711213)</f>
        <v>2.766554754</v>
      </c>
      <c r="AH465" s="57">
        <f>IFERROR(__xludf.DUMMYFUNCTION("""COMPUTED_VALUE"""),1.035754651485757)</f>
        <v>1.035754651</v>
      </c>
      <c r="AI465" s="57">
        <f>IFERROR(__xludf.DUMMYFUNCTION("""COMPUTED_VALUE"""),1.0086290535720708)</f>
        <v>1.008629054</v>
      </c>
      <c r="AJ465" s="57">
        <f>IFERROR(__xludf.DUMMYFUNCTION("""COMPUTED_VALUE"""),0.6193291837602953)</f>
        <v>0.6193291838</v>
      </c>
      <c r="AK465" s="57">
        <f>IFERROR(__xludf.DUMMYFUNCTION("""COMPUTED_VALUE"""),1.2194559539362186)</f>
        <v>1.219455954</v>
      </c>
      <c r="AL465" s="57">
        <f>IFERROR(__xludf.DUMMYFUNCTION("""COMPUTED_VALUE"""),1.0090769621896385)</f>
        <v>1.009076962</v>
      </c>
      <c r="AM465" s="57">
        <f>IFERROR(__xludf.DUMMYFUNCTION("""COMPUTED_VALUE"""),1.1044045924867212)</f>
        <v>1.104404592</v>
      </c>
      <c r="AN465" s="57">
        <f>IFERROR(__xludf.DUMMYFUNCTION("""COMPUTED_VALUE"""),1.0841319341860713)</f>
        <v>1.084131934</v>
      </c>
      <c r="AO465" s="57">
        <f>IFERROR(__xludf.DUMMYFUNCTION("""COMPUTED_VALUE"""),1.0958778919194294)</f>
        <v>1.095877892</v>
      </c>
      <c r="AP465" s="35">
        <f>IFERROR(__xludf.DUMMYFUNCTION("""COMPUTED_VALUE"""),1.1837837301142573)</f>
        <v>1.18378373</v>
      </c>
      <c r="AQ465" s="57">
        <f>IFERROR(__xludf.DUMMYFUNCTION("""COMPUTED_VALUE"""),1.0840602249512468)</f>
        <v>1.084060225</v>
      </c>
      <c r="AR465" s="36" t="b">
        <f>IFERROR(__xludf.DUMMYFUNCTION("""COMPUTED_VALUE"""),TRUE)</f>
        <v>1</v>
      </c>
      <c r="AS465" s="57"/>
      <c r="AT465" s="37"/>
      <c r="AU465" s="30"/>
      <c r="AV465" s="30"/>
      <c r="AW465" s="30"/>
      <c r="AX465" s="30"/>
      <c r="AY465" s="30"/>
      <c r="AZ465" s="30"/>
    </row>
    <row r="466">
      <c r="A466" s="30" t="str">
        <f>IFERROR(__xludf.DUMMYFUNCTION("""COMPUTED_VALUE"""),"Premier")</f>
        <v>Premier</v>
      </c>
      <c r="B466" s="30" t="str">
        <f>IFERROR(__xludf.DUMMYFUNCTION("""COMPUTED_VALUE"""),"RSC005920")</f>
        <v>RSC005920</v>
      </c>
      <c r="C466" s="30" t="str">
        <f>IFERROR(__xludf.DUMMYFUNCTION("""COMPUTED_VALUE"""),"Lavar Ball")</f>
        <v>Lavar Ball</v>
      </c>
      <c r="D466" s="31" t="str">
        <f>IFERROR(__xludf.DUMMYFUNCTION("""COMPUTED_VALUE"""),"Capybaras")</f>
        <v>Capybaras</v>
      </c>
      <c r="E466" s="31">
        <f>IFERROR(__xludf.DUMMYFUNCTION("""COMPUTED_VALUE"""),44.40115109650591)</f>
        <v>44.4011511</v>
      </c>
      <c r="F466" s="31">
        <f>IFERROR(__xludf.DUMMYFUNCTION("""COMPUTED_VALUE"""),-2.4307446488114572)</f>
        <v>-2.430744649</v>
      </c>
      <c r="G466" s="31">
        <f>IFERROR(__xludf.DUMMYFUNCTION("""COMPUTED_VALUE"""),46.26185614243944)</f>
        <v>46.26185614</v>
      </c>
      <c r="H466" s="31">
        <f>IFERROR(__xludf.DUMMYFUNCTION("""COMPUTED_VALUE"""),-2.2697899870147964)</f>
        <v>-2.269789987</v>
      </c>
      <c r="I466" s="54">
        <f>IFERROR(__xludf.DUMMYFUNCTION("""COMPUTED_VALUE"""),20.0)</f>
        <v>20</v>
      </c>
      <c r="J466" s="55">
        <f>IFERROR(__xludf.DUMMYFUNCTION("""COMPUTED_VALUE"""),9.0)</f>
        <v>9</v>
      </c>
      <c r="K466" s="54">
        <f>IFERROR(__xludf.DUMMYFUNCTION("""COMPUTED_VALUE"""),11.0)</f>
        <v>11</v>
      </c>
      <c r="L466" s="56">
        <f>IFERROR(__xludf.DUMMYFUNCTION("""COMPUTED_VALUE"""),0.45)</f>
        <v>0.45</v>
      </c>
      <c r="M466" s="56">
        <f>IFERROR(__xludf.DUMMYFUNCTION("""COMPUTED_VALUE"""),0.1929824561403509)</f>
        <v>0.1929824561</v>
      </c>
      <c r="N466" s="31">
        <f>IFERROR(__xludf.DUMMYFUNCTION("""COMPUTED_VALUE"""),355.55)</f>
        <v>355.55</v>
      </c>
      <c r="O466" s="57">
        <f>IFERROR(__xludf.DUMMYFUNCTION("""COMPUTED_VALUE"""),0.55)</f>
        <v>0.55</v>
      </c>
      <c r="P466" s="57">
        <f>IFERROR(__xludf.DUMMYFUNCTION("""COMPUTED_VALUE"""),0.65)</f>
        <v>0.65</v>
      </c>
      <c r="Q466" s="57">
        <f>IFERROR(__xludf.DUMMYFUNCTION("""COMPUTED_VALUE"""),1.45)</f>
        <v>1.45</v>
      </c>
      <c r="R466" s="57">
        <f>IFERROR(__xludf.DUMMYFUNCTION("""COMPUTED_VALUE"""),2.85)</f>
        <v>2.85</v>
      </c>
      <c r="S466" s="31">
        <f>IFERROR(__xludf.DUMMYFUNCTION("""COMPUTED_VALUE"""),377.08333333333337)</f>
        <v>377.0833333</v>
      </c>
      <c r="T466" s="57">
        <f>IFERROR(__xludf.DUMMYFUNCTION("""COMPUTED_VALUE"""),0.85)</f>
        <v>0.85</v>
      </c>
      <c r="U466" s="57">
        <f>IFERROR(__xludf.DUMMYFUNCTION("""COMPUTED_VALUE"""),0.6)</f>
        <v>0.6</v>
      </c>
      <c r="V466" s="57">
        <f>IFERROR(__xludf.DUMMYFUNCTION("""COMPUTED_VALUE"""),1.4000000000000001)</f>
        <v>1.4</v>
      </c>
      <c r="W466" s="57">
        <f>IFERROR(__xludf.DUMMYFUNCTION("""COMPUTED_VALUE"""),2.666666666666667)</f>
        <v>2.666666667</v>
      </c>
      <c r="X466" s="31">
        <f>IFERROR(__xludf.DUMMYFUNCTION("""COMPUTED_VALUE"""),368.1411195657334)</f>
        <v>368.1411196</v>
      </c>
      <c r="Y466" s="57">
        <f>IFERROR(__xludf.DUMMYFUNCTION("""COMPUTED_VALUE"""),0.8345965241996293)</f>
        <v>0.8345965242</v>
      </c>
      <c r="Z466" s="57">
        <f>IFERROR(__xludf.DUMMYFUNCTION("""COMPUTED_VALUE"""),0.605756058367063)</f>
        <v>0.6057560584</v>
      </c>
      <c r="AA466" s="57">
        <f>IFERROR(__xludf.DUMMYFUNCTION("""COMPUTED_VALUE"""),1.4301467129259742)</f>
        <v>1.430146713</v>
      </c>
      <c r="AB466" s="57">
        <f>IFERROR(__xludf.DUMMYFUNCTION("""COMPUTED_VALUE"""),2.5255032165119875)</f>
        <v>2.525503217</v>
      </c>
      <c r="AC466" s="31">
        <f>IFERROR(__xludf.DUMMYFUNCTION("""COMPUTED_VALUE"""),366.2026394756942)</f>
        <v>366.2026395</v>
      </c>
      <c r="AD466" s="57">
        <f>IFERROR(__xludf.DUMMYFUNCTION("""COMPUTED_VALUE"""),0.8431060106349821)</f>
        <v>0.8431060106</v>
      </c>
      <c r="AE466" s="57">
        <f>IFERROR(__xludf.DUMMYFUNCTION("""COMPUTED_VALUE"""),0.6614673658105944)</f>
        <v>0.6614673658</v>
      </c>
      <c r="AF466" s="57">
        <f>IFERROR(__xludf.DUMMYFUNCTION("""COMPUTED_VALUE"""),1.2912925431596376)</f>
        <v>1.291292543</v>
      </c>
      <c r="AG466" s="57">
        <f>IFERROR(__xludf.DUMMYFUNCTION("""COMPUTED_VALUE"""),2.734708362452725)</f>
        <v>2.734708362</v>
      </c>
      <c r="AH466" s="57">
        <f>IFERROR(__xludf.DUMMYFUNCTION("""COMPUTED_VALUE"""),0.970910533329454)</f>
        <v>0.9709105333</v>
      </c>
      <c r="AI466" s="57">
        <f>IFERROR(__xludf.DUMMYFUNCTION("""COMPUTED_VALUE"""),0.6523497556206124)</f>
        <v>0.6523497556</v>
      </c>
      <c r="AJ466" s="57">
        <f>IFERROR(__xludf.DUMMYFUNCTION("""COMPUTED_VALUE"""),0.9826637466890876)</f>
        <v>0.9826637467</v>
      </c>
      <c r="AK466" s="57">
        <f>IFERROR(__xludf.DUMMYFUNCTION("""COMPUTED_VALUE"""),1.1229058881204597)</f>
        <v>1.122905888</v>
      </c>
      <c r="AL466" s="57">
        <f>IFERROR(__xludf.DUMMYFUNCTION("""COMPUTED_VALUE"""),1.0421586590841707)</f>
        <v>1.042158659</v>
      </c>
      <c r="AM466" s="57">
        <f>IFERROR(__xludf.DUMMYFUNCTION("""COMPUTED_VALUE"""),1.0242901792066814)</f>
        <v>1.024290179</v>
      </c>
      <c r="AN466" s="57">
        <f>IFERROR(__xludf.DUMMYFUNCTION("""COMPUTED_VALUE"""),1.0184561945248245)</f>
        <v>1.018456195</v>
      </c>
      <c r="AO466" s="57">
        <f>IFERROR(__xludf.DUMMYFUNCTION("""COMPUTED_VALUE"""),0.9904977287679472)</f>
        <v>0.9904977288</v>
      </c>
      <c r="AP466" s="35">
        <f>IFERROR(__xludf.DUMMYFUNCTION("""COMPUTED_VALUE"""),0.9789205452465111)</f>
        <v>0.9789205452</v>
      </c>
      <c r="AQ466" s="57">
        <f>IFERROR(__xludf.DUMMYFUNCTION("""COMPUTED_VALUE"""),1.0558951773380207)</f>
        <v>1.055895177</v>
      </c>
      <c r="AR466" s="36" t="b">
        <f>IFERROR(__xludf.DUMMYFUNCTION("""COMPUTED_VALUE"""),TRUE)</f>
        <v>1</v>
      </c>
      <c r="AS466" s="57"/>
      <c r="AT466" s="37"/>
      <c r="AU466" s="30"/>
      <c r="AV466" s="30"/>
      <c r="AW466" s="30"/>
      <c r="AX466" s="30"/>
      <c r="AY466" s="30"/>
      <c r="AZ466" s="30"/>
    </row>
    <row r="467">
      <c r="A467" s="30" t="str">
        <f>IFERROR(__xludf.DUMMYFUNCTION("""COMPUTED_VALUE"""),"Premier")</f>
        <v>Premier</v>
      </c>
      <c r="B467" s="30" t="str">
        <f>IFERROR(__xludf.DUMMYFUNCTION("""COMPUTED_VALUE"""),"RSC001214")</f>
        <v>RSC001214</v>
      </c>
      <c r="C467" s="30" t="str">
        <f>IFERROR(__xludf.DUMMYFUNCTION("""COMPUTED_VALUE"""),"Corrupt")</f>
        <v>Corrupt</v>
      </c>
      <c r="D467" s="31" t="str">
        <f>IFERROR(__xludf.DUMMYFUNCTION("""COMPUTED_VALUE"""),"Interstellar")</f>
        <v>Interstellar</v>
      </c>
      <c r="E467" s="31">
        <f>IFERROR(__xludf.DUMMYFUNCTION("""COMPUTED_VALUE"""),44.13764128533073)</f>
        <v>44.13764129</v>
      </c>
      <c r="F467" s="31">
        <f>IFERROR(__xludf.DUMMYFUNCTION("""COMPUTED_VALUE"""),-2.455189055346155)</f>
        <v>-2.455189055</v>
      </c>
      <c r="G467" s="31">
        <f>IFERROR(__xludf.DUMMYFUNCTION("""COMPUTED_VALUE"""),37.98537480133639)</f>
        <v>37.9853748</v>
      </c>
      <c r="H467" s="31">
        <f>IFERROR(__xludf.DUMMYFUNCTION("""COMPUTED_VALUE"""),-3.17051938084388)</f>
        <v>-3.170519381</v>
      </c>
      <c r="I467" s="54">
        <f>IFERROR(__xludf.DUMMYFUNCTION("""COMPUTED_VALUE"""),23.0)</f>
        <v>23</v>
      </c>
      <c r="J467" s="55">
        <f>IFERROR(__xludf.DUMMYFUNCTION("""COMPUTED_VALUE"""),12.0)</f>
        <v>12</v>
      </c>
      <c r="K467" s="54">
        <f>IFERROR(__xludf.DUMMYFUNCTION("""COMPUTED_VALUE"""),11.0)</f>
        <v>11</v>
      </c>
      <c r="L467" s="56">
        <f>IFERROR(__xludf.DUMMYFUNCTION("""COMPUTED_VALUE"""),0.5217391304347826)</f>
        <v>0.5217391304</v>
      </c>
      <c r="M467" s="56">
        <f>IFERROR(__xludf.DUMMYFUNCTION("""COMPUTED_VALUE"""),0.5)</f>
        <v>0.5</v>
      </c>
      <c r="N467" s="31">
        <f>IFERROR(__xludf.DUMMYFUNCTION("""COMPUTED_VALUE"""),363.0869565217391)</f>
        <v>363.0869565</v>
      </c>
      <c r="O467" s="57">
        <f>IFERROR(__xludf.DUMMYFUNCTION("""COMPUTED_VALUE"""),0.9130434782608695)</f>
        <v>0.9130434783</v>
      </c>
      <c r="P467" s="57">
        <f>IFERROR(__xludf.DUMMYFUNCTION("""COMPUTED_VALUE"""),0.5217391304347826)</f>
        <v>0.5217391304</v>
      </c>
      <c r="Q467" s="57">
        <f>IFERROR(__xludf.DUMMYFUNCTION("""COMPUTED_VALUE"""),1.608695652173913)</f>
        <v>1.608695652</v>
      </c>
      <c r="R467" s="57">
        <f>IFERROR(__xludf.DUMMYFUNCTION("""COMPUTED_VALUE"""),1.826086956521739)</f>
        <v>1.826086957</v>
      </c>
      <c r="S467" s="31">
        <f>IFERROR(__xludf.DUMMYFUNCTION("""COMPUTED_VALUE"""),343.27536231884056)</f>
        <v>343.2753623</v>
      </c>
      <c r="T467" s="57">
        <f>IFERROR(__xludf.DUMMYFUNCTION("""COMPUTED_VALUE"""),0.782608695652174)</f>
        <v>0.7826086957</v>
      </c>
      <c r="U467" s="57">
        <f>IFERROR(__xludf.DUMMYFUNCTION("""COMPUTED_VALUE"""),0.6231884057971014)</f>
        <v>0.6231884058</v>
      </c>
      <c r="V467" s="57">
        <f>IFERROR(__xludf.DUMMYFUNCTION("""COMPUTED_VALUE"""),1.0869565217391304)</f>
        <v>1.086956522</v>
      </c>
      <c r="W467" s="57">
        <f>IFERROR(__xludf.DUMMYFUNCTION("""COMPUTED_VALUE"""),3.0)</f>
        <v>3</v>
      </c>
      <c r="X467" s="31">
        <f>IFERROR(__xludf.DUMMYFUNCTION("""COMPUTED_VALUE"""),368.91888908023975)</f>
        <v>368.9188891</v>
      </c>
      <c r="Y467" s="57">
        <f>IFERROR(__xludf.DUMMYFUNCTION("""COMPUTED_VALUE"""),0.8410218382921449)</f>
        <v>0.8410218383</v>
      </c>
      <c r="Z467" s="57">
        <f>IFERROR(__xludf.DUMMYFUNCTION("""COMPUTED_VALUE"""),0.6332231130229128)</f>
        <v>0.633223113</v>
      </c>
      <c r="AA467" s="57">
        <f>IFERROR(__xludf.DUMMYFUNCTION("""COMPUTED_VALUE"""),1.341710316923993)</f>
        <v>1.341710317</v>
      </c>
      <c r="AB467" s="57">
        <f>IFERROR(__xludf.DUMMYFUNCTION("""COMPUTED_VALUE"""),2.6875091760175858)</f>
        <v>2.687509176</v>
      </c>
      <c r="AC467" s="31">
        <f>IFERROR(__xludf.DUMMYFUNCTION("""COMPUTED_VALUE"""),360.2831975459161)</f>
        <v>360.2831975</v>
      </c>
      <c r="AD467" s="57">
        <f>IFERROR(__xludf.DUMMYFUNCTION("""COMPUTED_VALUE"""),0.7981066195662732)</f>
        <v>0.7981066196</v>
      </c>
      <c r="AE467" s="57">
        <f>IFERROR(__xludf.DUMMYFUNCTION("""COMPUTED_VALUE"""),0.6147277694531885)</f>
        <v>0.6147277695</v>
      </c>
      <c r="AF467" s="57">
        <f>IFERROR(__xludf.DUMMYFUNCTION("""COMPUTED_VALUE"""),1.3514399820830694)</f>
        <v>1.351439982</v>
      </c>
      <c r="AG467" s="57">
        <f>IFERROR(__xludf.DUMMYFUNCTION("""COMPUTED_VALUE"""),2.6303539332767754)</f>
        <v>2.630353933</v>
      </c>
      <c r="AH467" s="57">
        <f>IFERROR(__xludf.DUMMYFUNCTION("""COMPUTED_VALUE"""),1.0077820975136254)</f>
        <v>1.007782098</v>
      </c>
      <c r="AI467" s="57">
        <f>IFERROR(__xludf.DUMMYFUNCTION("""COMPUTED_VALUE"""),1.1440119100340982)</f>
        <v>1.14401191</v>
      </c>
      <c r="AJ467" s="57">
        <f>IFERROR(__xludf.DUMMYFUNCTION("""COMPUTED_VALUE"""),0.8487320019703665)</f>
        <v>0.848732002</v>
      </c>
      <c r="AK467" s="57">
        <f>IFERROR(__xludf.DUMMYFUNCTION("""COMPUTED_VALUE"""),1.1903567109908333)</f>
        <v>1.190356711</v>
      </c>
      <c r="AL467" s="57">
        <f>IFERROR(__xludf.DUMMYFUNCTION("""COMPUTED_VALUE"""),0.6942362141534629)</f>
        <v>0.6942362142</v>
      </c>
      <c r="AM467" s="57">
        <f>IFERROR(__xludf.DUMMYFUNCTION("""COMPUTED_VALUE"""),0.9304900683580294)</f>
        <v>0.9304900684</v>
      </c>
      <c r="AN467" s="57">
        <f>IFERROR(__xludf.DUMMYFUNCTION("""COMPUTED_VALUE"""),0.9305450346466746)</f>
        <v>0.9305450346</v>
      </c>
      <c r="AO467" s="57">
        <f>IFERROR(__xludf.DUMMYFUNCTION("""COMPUTED_VALUE"""),0.9841529675410817)</f>
        <v>0.9841529675</v>
      </c>
      <c r="AP467" s="35">
        <f>IFERROR(__xludf.DUMMYFUNCTION("""COMPUTED_VALUE"""),0.8101275722699133)</f>
        <v>0.8101275723</v>
      </c>
      <c r="AQ467" s="57">
        <f>IFERROR(__xludf.DUMMYFUNCTION("""COMPUTED_VALUE"""),1.1162752584329667)</f>
        <v>1.116275258</v>
      </c>
      <c r="AR467" s="36" t="b">
        <f>IFERROR(__xludf.DUMMYFUNCTION("""COMPUTED_VALUE"""),TRUE)</f>
        <v>1</v>
      </c>
      <c r="AS467" s="57"/>
      <c r="AT467" s="37"/>
      <c r="AU467" s="30"/>
      <c r="AV467" s="30"/>
      <c r="AW467" s="30"/>
      <c r="AX467" s="30"/>
      <c r="AY467" s="30"/>
      <c r="AZ467" s="30"/>
    </row>
    <row r="468">
      <c r="A468" s="30" t="str">
        <f>IFERROR(__xludf.DUMMYFUNCTION("""COMPUTED_VALUE"""),"Premier")</f>
        <v>Premier</v>
      </c>
      <c r="B468" s="30" t="str">
        <f>IFERROR(__xludf.DUMMYFUNCTION("""COMPUTED_VALUE"""),"RSC007962")</f>
        <v>RSC007962</v>
      </c>
      <c r="C468" s="30" t="str">
        <f>IFERROR(__xludf.DUMMYFUNCTION("""COMPUTED_VALUE"""),"Kamikazi")</f>
        <v>Kamikazi</v>
      </c>
      <c r="D468" s="31" t="str">
        <f>IFERROR(__xludf.DUMMYFUNCTION("""COMPUTED_VALUE"""),"Feta Forgers")</f>
        <v>Feta Forgers</v>
      </c>
      <c r="E468" s="31">
        <f>IFERROR(__xludf.DUMMYFUNCTION("""COMPUTED_VALUE"""),43.15399342206386)</f>
        <v>43.15399342</v>
      </c>
      <c r="F468" s="31">
        <f>IFERROR(__xludf.DUMMYFUNCTION("""COMPUTED_VALUE"""),-2.5503458015534712)</f>
        <v>-2.550345802</v>
      </c>
      <c r="G468" s="31">
        <f>IFERROR(__xludf.DUMMYFUNCTION("""COMPUTED_VALUE"""),35.22192805504374)</f>
        <v>35.22192806</v>
      </c>
      <c r="H468" s="31">
        <f>IFERROR(__xludf.DUMMYFUNCTION("""COMPUTED_VALUE"""),-3.6072557579463425)</f>
        <v>-3.607255758</v>
      </c>
      <c r="I468" s="54">
        <f>IFERROR(__xludf.DUMMYFUNCTION("""COMPUTED_VALUE"""),40.0)</f>
        <v>40</v>
      </c>
      <c r="J468" s="55">
        <f>IFERROR(__xludf.DUMMYFUNCTION("""COMPUTED_VALUE"""),16.0)</f>
        <v>16</v>
      </c>
      <c r="K468" s="54">
        <f>IFERROR(__xludf.DUMMYFUNCTION("""COMPUTED_VALUE"""),24.0)</f>
        <v>24</v>
      </c>
      <c r="L468" s="56">
        <f>IFERROR(__xludf.DUMMYFUNCTION("""COMPUTED_VALUE"""),0.4)</f>
        <v>0.4</v>
      </c>
      <c r="M468" s="56">
        <f>IFERROR(__xludf.DUMMYFUNCTION("""COMPUTED_VALUE"""),0.3211009174311926)</f>
        <v>0.3211009174</v>
      </c>
      <c r="N468" s="31">
        <f>IFERROR(__xludf.DUMMYFUNCTION("""COMPUTED_VALUE"""),360.075)</f>
        <v>360.075</v>
      </c>
      <c r="O468" s="57">
        <f>IFERROR(__xludf.DUMMYFUNCTION("""COMPUTED_VALUE"""),0.875)</f>
        <v>0.875</v>
      </c>
      <c r="P468" s="57">
        <f>IFERROR(__xludf.DUMMYFUNCTION("""COMPUTED_VALUE"""),0.325)</f>
        <v>0.325</v>
      </c>
      <c r="Q468" s="57">
        <f>IFERROR(__xludf.DUMMYFUNCTION("""COMPUTED_VALUE"""),1.525)</f>
        <v>1.525</v>
      </c>
      <c r="R468" s="57">
        <f>IFERROR(__xludf.DUMMYFUNCTION("""COMPUTED_VALUE"""),2.725)</f>
        <v>2.725</v>
      </c>
      <c r="S468" s="31">
        <f>IFERROR(__xludf.DUMMYFUNCTION("""COMPUTED_VALUE"""),400.35)</f>
        <v>400.35</v>
      </c>
      <c r="T468" s="57">
        <f>IFERROR(__xludf.DUMMYFUNCTION("""COMPUTED_VALUE"""),0.9916666666666668)</f>
        <v>0.9916666667</v>
      </c>
      <c r="U468" s="57">
        <f>IFERROR(__xludf.DUMMYFUNCTION("""COMPUTED_VALUE"""),0.8333333333333334)</f>
        <v>0.8333333333</v>
      </c>
      <c r="V468" s="57">
        <f>IFERROR(__xludf.DUMMYFUNCTION("""COMPUTED_VALUE"""),1.4499999999999997)</f>
        <v>1.45</v>
      </c>
      <c r="W468" s="57">
        <f>IFERROR(__xludf.DUMMYFUNCTION("""COMPUTED_VALUE"""),2.9416666666666673)</f>
        <v>2.941666667</v>
      </c>
      <c r="X468" s="31">
        <f>IFERROR(__xludf.DUMMYFUNCTION("""COMPUTED_VALUE"""),377.2933232952389)</f>
        <v>377.2933233</v>
      </c>
      <c r="Y468" s="57">
        <f>IFERROR(__xludf.DUMMYFUNCTION("""COMPUTED_VALUE"""),0.9067338066047658)</f>
        <v>0.9067338066</v>
      </c>
      <c r="Z468" s="57">
        <f>IFERROR(__xludf.DUMMYFUNCTION("""COMPUTED_VALUE"""),0.7079838132528613)</f>
        <v>0.7079838133</v>
      </c>
      <c r="AA468" s="57">
        <f>IFERROR(__xludf.DUMMYFUNCTION("""COMPUTED_VALUE"""),1.3126010042765728)</f>
        <v>1.312601004</v>
      </c>
      <c r="AB468" s="57">
        <f>IFERROR(__xludf.DUMMYFUNCTION("""COMPUTED_VALUE"""),2.786869114876593)</f>
        <v>2.786869115</v>
      </c>
      <c r="AC468" s="31">
        <f>IFERROR(__xludf.DUMMYFUNCTION("""COMPUTED_VALUE"""),357.82441512616765)</f>
        <v>357.8244151</v>
      </c>
      <c r="AD468" s="57">
        <f>IFERROR(__xludf.DUMMYFUNCTION("""COMPUTED_VALUE"""),0.749096649064236)</f>
        <v>0.7490966491</v>
      </c>
      <c r="AE468" s="57">
        <f>IFERROR(__xludf.DUMMYFUNCTION("""COMPUTED_VALUE"""),0.5804854500178468)</f>
        <v>0.58048545</v>
      </c>
      <c r="AF468" s="57">
        <f>IFERROR(__xludf.DUMMYFUNCTION("""COMPUTED_VALUE"""),1.4226229347937094)</f>
        <v>1.422622935</v>
      </c>
      <c r="AG468" s="57">
        <f>IFERROR(__xludf.DUMMYFUNCTION("""COMPUTED_VALUE"""),2.4767935487424477)</f>
        <v>2.476793549</v>
      </c>
      <c r="AH468" s="57">
        <f>IFERROR(__xludf.DUMMYFUNCTION("""COMPUTED_VALUE"""),1.0062896347445682)</f>
        <v>1.006289635</v>
      </c>
      <c r="AI468" s="57">
        <f>IFERROR(__xludf.DUMMYFUNCTION("""COMPUTED_VALUE"""),1.1680735738079209)</f>
        <v>1.168073574</v>
      </c>
      <c r="AJ468" s="57">
        <f>IFERROR(__xludf.DUMMYFUNCTION("""COMPUTED_VALUE"""),0.559876220825187)</f>
        <v>0.5598762208</v>
      </c>
      <c r="AK468" s="57">
        <f>IFERROR(__xludf.DUMMYFUNCTION("""COMPUTED_VALUE"""),1.0719635981554985)</f>
        <v>1.071963598</v>
      </c>
      <c r="AL468" s="57">
        <f>IFERROR(__xludf.DUMMYFUNCTION("""COMPUTED_VALUE"""),1.100212814016564)</f>
        <v>1.100212814</v>
      </c>
      <c r="AM468" s="57">
        <f>IFERROR(__xludf.DUMMYFUNCTION("""COMPUTED_VALUE"""),1.061110746682148)</f>
        <v>1.061110747</v>
      </c>
      <c r="AN468" s="57">
        <f>IFERROR(__xludf.DUMMYFUNCTION("""COMPUTED_VALUE"""),1.0936690122759725)</f>
        <v>1.093669012</v>
      </c>
      <c r="AO468" s="57">
        <f>IFERROR(__xludf.DUMMYFUNCTION("""COMPUTED_VALUE"""),1.1770513926081847)</f>
        <v>1.177051393</v>
      </c>
      <c r="AP468" s="35">
        <f>IFERROR(__xludf.DUMMYFUNCTION("""COMPUTED_VALUE"""),1.1046768936453413)</f>
        <v>1.104676894</v>
      </c>
      <c r="AQ468" s="57">
        <f>IFERROR(__xludf.DUMMYFUNCTION("""COMPUTED_VALUE"""),1.0555453253845863)</f>
        <v>1.055545325</v>
      </c>
      <c r="AR468" s="36" t="b">
        <f>IFERROR(__xludf.DUMMYFUNCTION("""COMPUTED_VALUE"""),TRUE)</f>
        <v>1</v>
      </c>
      <c r="AS468" s="57"/>
      <c r="AT468" s="37"/>
      <c r="AU468" s="30"/>
      <c r="AV468" s="30"/>
      <c r="AW468" s="30"/>
      <c r="AX468" s="30"/>
      <c r="AY468" s="30"/>
      <c r="AZ468" s="30"/>
    </row>
    <row r="469">
      <c r="A469" s="30" t="str">
        <f>IFERROR(__xludf.DUMMYFUNCTION("""COMPUTED_VALUE"""),"Premier")</f>
        <v>Premier</v>
      </c>
      <c r="B469" s="30" t="str">
        <f>IFERROR(__xludf.DUMMYFUNCTION("""COMPUTED_VALUE"""),"RSC001977")</f>
        <v>RSC001977</v>
      </c>
      <c r="C469" s="30" t="str">
        <f>IFERROR(__xludf.DUMMYFUNCTION("""COMPUTED_VALUE"""),"LaMelo Ball")</f>
        <v>LaMelo Ball</v>
      </c>
      <c r="D469" s="31" t="str">
        <f>IFERROR(__xludf.DUMMYFUNCTION("""COMPUTED_VALUE"""),"Capybaras")</f>
        <v>Capybaras</v>
      </c>
      <c r="E469" s="31">
        <f>IFERROR(__xludf.DUMMYFUNCTION("""COMPUTED_VALUE"""),42.40051840190476)</f>
        <v>42.4005184</v>
      </c>
      <c r="F469" s="31">
        <f>IFERROR(__xludf.DUMMYFUNCTION("""COMPUTED_VALUE"""),-2.6276247555894527)</f>
        <v>-2.627624756</v>
      </c>
      <c r="G469" s="31">
        <f>IFERROR(__xludf.DUMMYFUNCTION("""COMPUTED_VALUE"""),32.4022904354532)</f>
        <v>32.40229044</v>
      </c>
      <c r="H469" s="31">
        <f>IFERROR(__xludf.DUMMYFUNCTION("""COMPUTED_VALUE"""),-4.153774123605068)</f>
        <v>-4.153774124</v>
      </c>
      <c r="I469" s="54">
        <f>IFERROR(__xludf.DUMMYFUNCTION("""COMPUTED_VALUE"""),32.0)</f>
        <v>32</v>
      </c>
      <c r="J469" s="55">
        <f>IFERROR(__xludf.DUMMYFUNCTION("""COMPUTED_VALUE"""),16.0)</f>
        <v>16</v>
      </c>
      <c r="K469" s="54">
        <f>IFERROR(__xludf.DUMMYFUNCTION("""COMPUTED_VALUE"""),16.0)</f>
        <v>16</v>
      </c>
      <c r="L469" s="56">
        <f>IFERROR(__xludf.DUMMYFUNCTION("""COMPUTED_VALUE"""),0.5)</f>
        <v>0.5</v>
      </c>
      <c r="M469" s="56">
        <f>IFERROR(__xludf.DUMMYFUNCTION("""COMPUTED_VALUE"""),0.3287671232876712)</f>
        <v>0.3287671233</v>
      </c>
      <c r="N469" s="31">
        <f>IFERROR(__xludf.DUMMYFUNCTION("""COMPUTED_VALUE"""),321.375)</f>
        <v>321.375</v>
      </c>
      <c r="O469" s="57">
        <f>IFERROR(__xludf.DUMMYFUNCTION("""COMPUTED_VALUE"""),0.75)</f>
        <v>0.75</v>
      </c>
      <c r="P469" s="57">
        <f>IFERROR(__xludf.DUMMYFUNCTION("""COMPUTED_VALUE"""),0.59375)</f>
        <v>0.59375</v>
      </c>
      <c r="Q469" s="57">
        <f>IFERROR(__xludf.DUMMYFUNCTION("""COMPUTED_VALUE"""),0.8125)</f>
        <v>0.8125</v>
      </c>
      <c r="R469" s="57">
        <f>IFERROR(__xludf.DUMMYFUNCTION("""COMPUTED_VALUE"""),2.28125)</f>
        <v>2.28125</v>
      </c>
      <c r="S469" s="31">
        <f>IFERROR(__xludf.DUMMYFUNCTION("""COMPUTED_VALUE"""),358.5416666666667)</f>
        <v>358.5416667</v>
      </c>
      <c r="T469" s="57">
        <f>IFERROR(__xludf.DUMMYFUNCTION("""COMPUTED_VALUE"""),0.8541666666666667)</f>
        <v>0.8541666667</v>
      </c>
      <c r="U469" s="57">
        <f>IFERROR(__xludf.DUMMYFUNCTION("""COMPUTED_VALUE"""),0.59375)</f>
        <v>0.59375</v>
      </c>
      <c r="V469" s="57">
        <f>IFERROR(__xludf.DUMMYFUNCTION("""COMPUTED_VALUE"""),1.2083333333333333)</f>
        <v>1.208333333</v>
      </c>
      <c r="W469" s="57">
        <f>IFERROR(__xludf.DUMMYFUNCTION("""COMPUTED_VALUE"""),2.7812499999999996)</f>
        <v>2.78125</v>
      </c>
      <c r="X469" s="31">
        <f>IFERROR(__xludf.DUMMYFUNCTION("""COMPUTED_VALUE"""),370.40015184961425)</f>
        <v>370.4001518</v>
      </c>
      <c r="Y469" s="57">
        <f>IFERROR(__xludf.DUMMYFUNCTION("""COMPUTED_VALUE"""),0.83345677804265)</f>
        <v>0.833456778</v>
      </c>
      <c r="Z469" s="57">
        <f>IFERROR(__xludf.DUMMYFUNCTION("""COMPUTED_VALUE"""),0.6340997213753095)</f>
        <v>0.6340997214</v>
      </c>
      <c r="AA469" s="57">
        <f>IFERROR(__xludf.DUMMYFUNCTION("""COMPUTED_VALUE"""),1.4155180201063695)</f>
        <v>1.41551802</v>
      </c>
      <c r="AB469" s="57">
        <f>IFERROR(__xludf.DUMMYFUNCTION("""COMPUTED_VALUE"""),2.647761242246869)</f>
        <v>2.647761242</v>
      </c>
      <c r="AC469" s="31">
        <f>IFERROR(__xludf.DUMMYFUNCTION("""COMPUTED_VALUE"""),367.3923908456568)</f>
        <v>367.3923908</v>
      </c>
      <c r="AD469" s="57">
        <f>IFERROR(__xludf.DUMMYFUNCTION("""COMPUTED_VALUE"""),0.8066128084763821)</f>
        <v>0.8066128085</v>
      </c>
      <c r="AE469" s="57">
        <f>IFERROR(__xludf.DUMMYFUNCTION("""COMPUTED_VALUE"""),0.6326215356522646)</f>
        <v>0.6326215357</v>
      </c>
      <c r="AF469" s="57">
        <f>IFERROR(__xludf.DUMMYFUNCTION("""COMPUTED_VALUE"""),1.3858332738020698)</f>
        <v>1.385833274</v>
      </c>
      <c r="AG469" s="57">
        <f>IFERROR(__xludf.DUMMYFUNCTION("""COMPUTED_VALUE"""),2.6894826002311025)</f>
        <v>2.6894826</v>
      </c>
      <c r="AH469" s="57">
        <f>IFERROR(__xludf.DUMMYFUNCTION("""COMPUTED_VALUE"""),0.8747459337964653)</f>
        <v>0.8747459338</v>
      </c>
      <c r="AI469" s="57">
        <f>IFERROR(__xludf.DUMMYFUNCTION("""COMPUTED_VALUE"""),0.9298141464139176)</f>
        <v>0.9298141464</v>
      </c>
      <c r="AJ469" s="57">
        <f>IFERROR(__xludf.DUMMYFUNCTION("""COMPUTED_VALUE"""),0.9385548334010063)</f>
        <v>0.9385548334</v>
      </c>
      <c r="AK469" s="57">
        <f>IFERROR(__xludf.DUMMYFUNCTION("""COMPUTED_VALUE"""),0.5862898628280767)</f>
        <v>0.5862898628</v>
      </c>
      <c r="AL469" s="57">
        <f>IFERROR(__xludf.DUMMYFUNCTION("""COMPUTED_VALUE"""),0.8482114737622679)</f>
        <v>0.8482114738</v>
      </c>
      <c r="AM469" s="57">
        <f>IFERROR(__xludf.DUMMYFUNCTION("""COMPUTED_VALUE"""),0.9679846643589871)</f>
        <v>0.9679846644</v>
      </c>
      <c r="AN469" s="57">
        <f>IFERROR(__xludf.DUMMYFUNCTION("""COMPUTED_VALUE"""),1.0248481854963774)</f>
        <v>1.024848185</v>
      </c>
      <c r="AO469" s="57">
        <f>IFERROR(__xludf.DUMMYFUNCTION("""COMPUTED_VALUE"""),0.9363669151473616)</f>
        <v>0.9363669151</v>
      </c>
      <c r="AP469" s="35">
        <f>IFERROR(__xludf.DUMMYFUNCTION("""COMPUTED_VALUE"""),0.853633310328704)</f>
        <v>0.8536333103</v>
      </c>
      <c r="AQ469" s="57">
        <f>IFERROR(__xludf.DUMMYFUNCTION("""COMPUTED_VALUE"""),1.050415708041656)</f>
        <v>1.050415708</v>
      </c>
      <c r="AR469" s="36" t="b">
        <f>IFERROR(__xludf.DUMMYFUNCTION("""COMPUTED_VALUE"""),TRUE)</f>
        <v>1</v>
      </c>
      <c r="AS469" s="57"/>
      <c r="AT469" s="37"/>
      <c r="AU469" s="30"/>
      <c r="AV469" s="30"/>
      <c r="AW469" s="30"/>
      <c r="AX469" s="30"/>
      <c r="AY469" s="30"/>
      <c r="AZ469" s="30"/>
    </row>
    <row r="470">
      <c r="A470" s="30" t="str">
        <f>IFERROR(__xludf.DUMMYFUNCTION("""COMPUTED_VALUE"""),"Premier")</f>
        <v>Premier</v>
      </c>
      <c r="B470" s="30" t="str">
        <f>IFERROR(__xludf.DUMMYFUNCTION("""COMPUTED_VALUE"""),"RSC006889")</f>
        <v>RSC006889</v>
      </c>
      <c r="C470" s="30" t="str">
        <f>IFERROR(__xludf.DUMMYFUNCTION("""COMPUTED_VALUE"""),"Jay")</f>
        <v>Jay</v>
      </c>
      <c r="D470" s="31" t="str">
        <f>IFERROR(__xludf.DUMMYFUNCTION("""COMPUTED_VALUE"""),"Basilisks")</f>
        <v>Basilisks</v>
      </c>
      <c r="E470" s="31">
        <f>IFERROR(__xludf.DUMMYFUNCTION("""COMPUTED_VALUE"""),41.94876191683451)</f>
        <v>41.94876192</v>
      </c>
      <c r="F470" s="31">
        <f>IFERROR(__xludf.DUMMYFUNCTION("""COMPUTED_VALUE"""),-2.675888931617981)</f>
        <v>-2.675888932</v>
      </c>
      <c r="G470" s="31">
        <f>IFERROR(__xludf.DUMMYFUNCTION("""COMPUTED_VALUE"""),44.44757166865269)</f>
        <v>44.44757167</v>
      </c>
      <c r="H470" s="31">
        <f>IFERROR(__xludf.DUMMYFUNCTION("""COMPUTED_VALUE"""),-2.4264828194548635)</f>
        <v>-2.426482819</v>
      </c>
      <c r="I470" s="54">
        <f>IFERROR(__xludf.DUMMYFUNCTION("""COMPUTED_VALUE"""),4.0)</f>
        <v>4</v>
      </c>
      <c r="J470" s="55">
        <f>IFERROR(__xludf.DUMMYFUNCTION("""COMPUTED_VALUE"""),3.0)</f>
        <v>3</v>
      </c>
      <c r="K470" s="54">
        <f>IFERROR(__xludf.DUMMYFUNCTION("""COMPUTED_VALUE"""),1.0)</f>
        <v>1</v>
      </c>
      <c r="L470" s="56">
        <f>IFERROR(__xludf.DUMMYFUNCTION("""COMPUTED_VALUE"""),0.75)</f>
        <v>0.75</v>
      </c>
      <c r="M470" s="56">
        <f>IFERROR(__xludf.DUMMYFUNCTION("""COMPUTED_VALUE"""),0.2)</f>
        <v>0.2</v>
      </c>
      <c r="N470" s="31">
        <f>IFERROR(__xludf.DUMMYFUNCTION("""COMPUTED_VALUE"""),401.5)</f>
        <v>401.5</v>
      </c>
      <c r="O470" s="57">
        <f>IFERROR(__xludf.DUMMYFUNCTION("""COMPUTED_VALUE"""),0.75)</f>
        <v>0.75</v>
      </c>
      <c r="P470" s="57">
        <f>IFERROR(__xludf.DUMMYFUNCTION("""COMPUTED_VALUE"""),0.0)</f>
        <v>0</v>
      </c>
      <c r="Q470" s="57">
        <f>IFERROR(__xludf.DUMMYFUNCTION("""COMPUTED_VALUE"""),1.75)</f>
        <v>1.75</v>
      </c>
      <c r="R470" s="57">
        <f>IFERROR(__xludf.DUMMYFUNCTION("""COMPUTED_VALUE"""),3.75)</f>
        <v>3.75</v>
      </c>
      <c r="S470" s="31">
        <f>IFERROR(__xludf.DUMMYFUNCTION("""COMPUTED_VALUE"""),426.5)</f>
        <v>426.5</v>
      </c>
      <c r="T470" s="57">
        <f>IFERROR(__xludf.DUMMYFUNCTION("""COMPUTED_VALUE"""),0.8333333333333334)</f>
        <v>0.8333333333</v>
      </c>
      <c r="U470" s="57">
        <f>IFERROR(__xludf.DUMMYFUNCTION("""COMPUTED_VALUE"""),0.49999999999999994)</f>
        <v>0.5</v>
      </c>
      <c r="V470" s="57">
        <f>IFERROR(__xludf.DUMMYFUNCTION("""COMPUTED_VALUE"""),2.0833333333333335)</f>
        <v>2.083333333</v>
      </c>
      <c r="W470" s="57">
        <f>IFERROR(__xludf.DUMMYFUNCTION("""COMPUTED_VALUE"""),2.666666666666667)</f>
        <v>2.666666667</v>
      </c>
      <c r="X470" s="31">
        <f>IFERROR(__xludf.DUMMYFUNCTION("""COMPUTED_VALUE"""),367.33772374197906)</f>
        <v>367.3377237</v>
      </c>
      <c r="Y470" s="57">
        <f>IFERROR(__xludf.DUMMYFUNCTION("""COMPUTED_VALUE"""),0.8719393785883148)</f>
        <v>0.8719393786</v>
      </c>
      <c r="Z470" s="57">
        <f>IFERROR(__xludf.DUMMYFUNCTION("""COMPUTED_VALUE"""),0.5654339750084431)</f>
        <v>0.565433975</v>
      </c>
      <c r="AA470" s="57">
        <f>IFERROR(__xludf.DUMMYFUNCTION("""COMPUTED_VALUE"""),1.4655099628503883)</f>
        <v>1.465509963</v>
      </c>
      <c r="AB470" s="57">
        <f>IFERROR(__xludf.DUMMYFUNCTION("""COMPUTED_VALUE"""),2.652228976697062)</f>
        <v>2.652228977</v>
      </c>
      <c r="AC470" s="31">
        <f>IFERROR(__xludf.DUMMYFUNCTION("""COMPUTED_VALUE"""),367.9780127772148)</f>
        <v>367.9780128</v>
      </c>
      <c r="AD470" s="57">
        <f>IFERROR(__xludf.DUMMYFUNCTION("""COMPUTED_VALUE"""),0.7813098052459755)</f>
        <v>0.7813098052</v>
      </c>
      <c r="AE470" s="57">
        <f>IFERROR(__xludf.DUMMYFUNCTION("""COMPUTED_VALUE"""),0.5782252617359)</f>
        <v>0.5782252617</v>
      </c>
      <c r="AF470" s="57">
        <f>IFERROR(__xludf.DUMMYFUNCTION("""COMPUTED_VALUE"""),1.4380558369920073)</f>
        <v>1.438055837</v>
      </c>
      <c r="AG470" s="57">
        <f>IFERROR(__xludf.DUMMYFUNCTION("""COMPUTED_VALUE"""),2.695070640549364)</f>
        <v>2.695070641</v>
      </c>
      <c r="AH470" s="57">
        <f>IFERROR(__xludf.DUMMYFUNCTION("""COMPUTED_VALUE"""),1.0910977994847764)</f>
        <v>1.091097799</v>
      </c>
      <c r="AI470" s="57">
        <f>IFERROR(__xludf.DUMMYFUNCTION("""COMPUTED_VALUE"""),0.9599265169389262)</f>
        <v>0.9599265169</v>
      </c>
      <c r="AJ470" s="57">
        <f>IFERROR(__xludf.DUMMYFUNCTION("""COMPUTED_VALUE"""),0.0)</f>
        <v>0</v>
      </c>
      <c r="AK470" s="57">
        <f>IFERROR(__xludf.DUMMYFUNCTION("""COMPUTED_VALUE"""),1.2169207585572537)</f>
        <v>1.216920759</v>
      </c>
      <c r="AL470" s="57">
        <f>IFERROR(__xludf.DUMMYFUNCTION("""COMPUTED_VALUE"""),1.3914292054458353)</f>
        <v>1.391429205</v>
      </c>
      <c r="AM470" s="57">
        <f>IFERROR(__xludf.DUMMYFUNCTION("""COMPUTED_VALUE"""),1.1610569033186937)</f>
        <v>1.161056903</v>
      </c>
      <c r="AN470" s="57">
        <f>IFERROR(__xludf.DUMMYFUNCTION("""COMPUTED_VALUE"""),0.9557239342516158)</f>
        <v>0.9557239343</v>
      </c>
      <c r="AO470" s="57">
        <f>IFERROR(__xludf.DUMMYFUNCTION("""COMPUTED_VALUE"""),0.8842765417351053)</f>
        <v>0.8842765417</v>
      </c>
      <c r="AP470" s="35">
        <f>IFERROR(__xludf.DUMMYFUNCTION("""COMPUTED_VALUE"""),1.4215756877430508)</f>
        <v>1.421575688</v>
      </c>
      <c r="AQ470" s="57">
        <f>IFERROR(__xludf.DUMMYFUNCTION("""COMPUTED_VALUE"""),1.00544360615032)</f>
        <v>1.005443606</v>
      </c>
      <c r="AR470" s="36" t="b">
        <f>IFERROR(__xludf.DUMMYFUNCTION("""COMPUTED_VALUE"""),TRUE)</f>
        <v>1</v>
      </c>
      <c r="AS470" s="57"/>
      <c r="AT470" s="37"/>
      <c r="AU470" s="30"/>
      <c r="AV470" s="30"/>
      <c r="AW470" s="30"/>
      <c r="AX470" s="30"/>
      <c r="AY470" s="30"/>
      <c r="AZ470" s="30"/>
    </row>
    <row r="471">
      <c r="A471" s="30" t="str">
        <f>IFERROR(__xludf.DUMMYFUNCTION("""COMPUTED_VALUE"""),"Premier")</f>
        <v>Premier</v>
      </c>
      <c r="B471" s="30" t="str">
        <f>IFERROR(__xludf.DUMMYFUNCTION("""COMPUTED_VALUE"""),"RSC003804")</f>
        <v>RSC003804</v>
      </c>
      <c r="C471" s="30" t="str">
        <f>IFERROR(__xludf.DUMMYFUNCTION("""COMPUTED_VALUE"""),"ayylo")</f>
        <v>ayylo</v>
      </c>
      <c r="D471" s="31" t="str">
        <f>IFERROR(__xludf.DUMMYFUNCTION("""COMPUTED_VALUE"""),"Hurricanes")</f>
        <v>Hurricanes</v>
      </c>
      <c r="E471" s="31">
        <f>IFERROR(__xludf.DUMMYFUNCTION("""COMPUTED_VALUE"""),41.03707671292047)</f>
        <v>41.03707671</v>
      </c>
      <c r="F471" s="31">
        <f>IFERROR(__xludf.DUMMYFUNCTION("""COMPUTED_VALUE"""),-2.7779456144122534)</f>
        <v>-2.777945614</v>
      </c>
      <c r="G471" s="31">
        <f>IFERROR(__xludf.DUMMYFUNCTION("""COMPUTED_VALUE"""),21.105981762417425)</f>
        <v>21.10598176</v>
      </c>
      <c r="H471" s="31">
        <f>IFERROR(__xludf.DUMMYFUNCTION("""COMPUTED_VALUE"""),-8.07170775832043)</f>
        <v>-8.071707758</v>
      </c>
      <c r="I471" s="54">
        <f>IFERROR(__xludf.DUMMYFUNCTION("""COMPUTED_VALUE"""),42.0)</f>
        <v>42</v>
      </c>
      <c r="J471" s="55">
        <f>IFERROR(__xludf.DUMMYFUNCTION("""COMPUTED_VALUE"""),26.0)</f>
        <v>26</v>
      </c>
      <c r="K471" s="54">
        <f>IFERROR(__xludf.DUMMYFUNCTION("""COMPUTED_VALUE"""),16.0)</f>
        <v>16</v>
      </c>
      <c r="L471" s="56">
        <f>IFERROR(__xludf.DUMMYFUNCTION("""COMPUTED_VALUE"""),0.6190476190476191)</f>
        <v>0.619047619</v>
      </c>
      <c r="M471" s="56">
        <f>IFERROR(__xludf.DUMMYFUNCTION("""COMPUTED_VALUE"""),0.26956521739130435)</f>
        <v>0.2695652174</v>
      </c>
      <c r="N471" s="31">
        <f>IFERROR(__xludf.DUMMYFUNCTION("""COMPUTED_VALUE"""),329.4047619047619)</f>
        <v>329.4047619</v>
      </c>
      <c r="O471" s="57">
        <f>IFERROR(__xludf.DUMMYFUNCTION("""COMPUTED_VALUE"""),0.7380952380952381)</f>
        <v>0.7380952381</v>
      </c>
      <c r="P471" s="57">
        <f>IFERROR(__xludf.DUMMYFUNCTION("""COMPUTED_VALUE"""),0.35714285714285715)</f>
        <v>0.3571428571</v>
      </c>
      <c r="Q471" s="57">
        <f>IFERROR(__xludf.DUMMYFUNCTION("""COMPUTED_VALUE"""),1.4047619047619047)</f>
        <v>1.404761905</v>
      </c>
      <c r="R471" s="57">
        <f>IFERROR(__xludf.DUMMYFUNCTION("""COMPUTED_VALUE"""),2.738095238095238)</f>
        <v>2.738095238</v>
      </c>
      <c r="S471" s="31">
        <f>IFERROR(__xludf.DUMMYFUNCTION("""COMPUTED_VALUE"""),371.46031746031747)</f>
        <v>371.4603175</v>
      </c>
      <c r="T471" s="57">
        <f>IFERROR(__xludf.DUMMYFUNCTION("""COMPUTED_VALUE"""),0.6984126984126984)</f>
        <v>0.6984126984</v>
      </c>
      <c r="U471" s="57">
        <f>IFERROR(__xludf.DUMMYFUNCTION("""COMPUTED_VALUE"""),0.5476190476190478)</f>
        <v>0.5476190476</v>
      </c>
      <c r="V471" s="57">
        <f>IFERROR(__xludf.DUMMYFUNCTION("""COMPUTED_VALUE"""),1.6428571428571428)</f>
        <v>1.642857143</v>
      </c>
      <c r="W471" s="57">
        <f>IFERROR(__xludf.DUMMYFUNCTION("""COMPUTED_VALUE"""),2.7698412698412698)</f>
        <v>2.76984127</v>
      </c>
      <c r="X471" s="31">
        <f>IFERROR(__xludf.DUMMYFUNCTION("""COMPUTED_VALUE"""),375.457054057939)</f>
        <v>375.4570541</v>
      </c>
      <c r="Y471" s="57">
        <f>IFERROR(__xludf.DUMMYFUNCTION("""COMPUTED_VALUE"""),0.8541409405624252)</f>
        <v>0.8541409406</v>
      </c>
      <c r="Z471" s="57">
        <f>IFERROR(__xludf.DUMMYFUNCTION("""COMPUTED_VALUE"""),0.6667743332438262)</f>
        <v>0.6667743332</v>
      </c>
      <c r="AA471" s="57">
        <f>IFERROR(__xludf.DUMMYFUNCTION("""COMPUTED_VALUE"""),1.4262491519226896)</f>
        <v>1.426249152</v>
      </c>
      <c r="AB471" s="57">
        <f>IFERROR(__xludf.DUMMYFUNCTION("""COMPUTED_VALUE"""),2.728376310097493)</f>
        <v>2.72837631</v>
      </c>
      <c r="AC471" s="31">
        <f>IFERROR(__xludf.DUMMYFUNCTION("""COMPUTED_VALUE"""),376.24865683329006)</f>
        <v>376.2486568</v>
      </c>
      <c r="AD471" s="57">
        <f>IFERROR(__xludf.DUMMYFUNCTION("""COMPUTED_VALUE"""),0.8329323540648579)</f>
        <v>0.8329323541</v>
      </c>
      <c r="AE471" s="57">
        <f>IFERROR(__xludf.DUMMYFUNCTION("""COMPUTED_VALUE"""),0.6497562894225868)</f>
        <v>0.6497562894</v>
      </c>
      <c r="AF471" s="57">
        <f>IFERROR(__xludf.DUMMYFUNCTION("""COMPUTED_VALUE"""),1.4421636077907567)</f>
        <v>1.442163608</v>
      </c>
      <c r="AG471" s="57">
        <f>IFERROR(__xludf.DUMMYFUNCTION("""COMPUTED_VALUE"""),2.7025191993542395)</f>
        <v>2.702519199</v>
      </c>
      <c r="AH471" s="57">
        <f>IFERROR(__xludf.DUMMYFUNCTION("""COMPUTED_VALUE"""),0.8754975092195906)</f>
        <v>0.8754975092</v>
      </c>
      <c r="AI471" s="57">
        <f>IFERROR(__xludf.DUMMYFUNCTION("""COMPUTED_VALUE"""),0.8861406745616283)</f>
        <v>0.8861406746</v>
      </c>
      <c r="AJ471" s="57">
        <f>IFERROR(__xludf.DUMMYFUNCTION("""COMPUTED_VALUE"""),0.5496566373528083)</f>
        <v>0.5496566374</v>
      </c>
      <c r="AK471" s="57">
        <f>IFERROR(__xludf.DUMMYFUNCTION("""COMPUTED_VALUE"""),0.9740655617526311)</f>
        <v>0.9740655618</v>
      </c>
      <c r="AL471" s="57">
        <f>IFERROR(__xludf.DUMMYFUNCTION("""COMPUTED_VALUE"""),1.013164028122168)</f>
        <v>1.013164028</v>
      </c>
      <c r="AM471" s="57">
        <f>IFERROR(__xludf.DUMMYFUNCTION("""COMPUTED_VALUE"""),0.9893550099687173)</f>
        <v>0.98935501</v>
      </c>
      <c r="AN471" s="57">
        <f>IFERROR(__xludf.DUMMYFUNCTION("""COMPUTED_VALUE"""),0.8176785179654489)</f>
        <v>0.817678518</v>
      </c>
      <c r="AO471" s="57">
        <f>IFERROR(__xludf.DUMMYFUNCTION("""COMPUTED_VALUE"""),0.8212959322457818)</f>
        <v>0.8212959322</v>
      </c>
      <c r="AP471" s="35">
        <f>IFERROR(__xludf.DUMMYFUNCTION("""COMPUTED_VALUE"""),1.1518724765882942)</f>
        <v>1.151872477</v>
      </c>
      <c r="AQ471" s="57">
        <f>IFERROR(__xludf.DUMMYFUNCTION("""COMPUTED_VALUE"""),1.0151976688810551)</f>
        <v>1.015197669</v>
      </c>
      <c r="AR471" s="36" t="b">
        <f>IFERROR(__xludf.DUMMYFUNCTION("""COMPUTED_VALUE"""),TRUE)</f>
        <v>1</v>
      </c>
      <c r="AS471" s="57"/>
      <c r="AT471" s="37"/>
      <c r="AU471" s="30"/>
      <c r="AV471" s="30"/>
      <c r="AW471" s="30"/>
      <c r="AX471" s="30"/>
      <c r="AY471" s="30"/>
      <c r="AZ471" s="30"/>
    </row>
    <row r="472">
      <c r="A472" s="30" t="str">
        <f>IFERROR(__xludf.DUMMYFUNCTION("""COMPUTED_VALUE"""),"Premier")</f>
        <v>Premier</v>
      </c>
      <c r="B472" s="30" t="str">
        <f>IFERROR(__xludf.DUMMYFUNCTION("""COMPUTED_VALUE"""),"RSC007819")</f>
        <v>RSC007819</v>
      </c>
      <c r="C472" s="30" t="str">
        <f>IFERROR(__xludf.DUMMYFUNCTION("""COMPUTED_VALUE"""),"DivineRL_ TTV")</f>
        <v>DivineRL_ TTV</v>
      </c>
      <c r="D472" s="31" t="str">
        <f>IFERROR(__xludf.DUMMYFUNCTION("""COMPUTED_VALUE"""),"Interstellar")</f>
        <v>Interstellar</v>
      </c>
      <c r="E472" s="31">
        <f>IFERROR(__xludf.DUMMYFUNCTION("""COMPUTED_VALUE"""),38.5789391597954)</f>
        <v>38.57893916</v>
      </c>
      <c r="F472" s="31">
        <f>IFERROR(__xludf.DUMMYFUNCTION("""COMPUTED_VALUE"""),-3.0874474569027606)</f>
        <v>-3.087447457</v>
      </c>
      <c r="G472" s="31">
        <f>IFERROR(__xludf.DUMMYFUNCTION("""COMPUTED_VALUE"""),48.59292122226342)</f>
        <v>48.59292122</v>
      </c>
      <c r="H472" s="31">
        <f>IFERROR(__xludf.DUMMYFUNCTION("""COMPUTED_VALUE"""),-2.0939859611818616)</f>
        <v>-2.093985961</v>
      </c>
      <c r="I472" s="54">
        <f>IFERROR(__xludf.DUMMYFUNCTION("""COMPUTED_VALUE"""),48.0)</f>
        <v>48</v>
      </c>
      <c r="J472" s="55">
        <f>IFERROR(__xludf.DUMMYFUNCTION("""COMPUTED_VALUE"""),17.0)</f>
        <v>17</v>
      </c>
      <c r="K472" s="54">
        <f>IFERROR(__xludf.DUMMYFUNCTION("""COMPUTED_VALUE"""),31.0)</f>
        <v>31</v>
      </c>
      <c r="L472" s="56">
        <f>IFERROR(__xludf.DUMMYFUNCTION("""COMPUTED_VALUE"""),0.3541666666666667)</f>
        <v>0.3541666667</v>
      </c>
      <c r="M472" s="56">
        <f>IFERROR(__xludf.DUMMYFUNCTION("""COMPUTED_VALUE"""),0.2884615384615385)</f>
        <v>0.2884615385</v>
      </c>
      <c r="N472" s="31">
        <f>IFERROR(__xludf.DUMMYFUNCTION("""COMPUTED_VALUE"""),369.3333333333333)</f>
        <v>369.3333333</v>
      </c>
      <c r="O472" s="57">
        <f>IFERROR(__xludf.DUMMYFUNCTION("""COMPUTED_VALUE"""),0.625)</f>
        <v>0.625</v>
      </c>
      <c r="P472" s="57">
        <f>IFERROR(__xludf.DUMMYFUNCTION("""COMPUTED_VALUE"""),0.625)</f>
        <v>0.625</v>
      </c>
      <c r="Q472" s="57">
        <f>IFERROR(__xludf.DUMMYFUNCTION("""COMPUTED_VALUE"""),1.7083333333333333)</f>
        <v>1.708333333</v>
      </c>
      <c r="R472" s="57">
        <f>IFERROR(__xludf.DUMMYFUNCTION("""COMPUTED_VALUE"""),2.1666666666666665)</f>
        <v>2.166666667</v>
      </c>
      <c r="S472" s="31">
        <f>IFERROR(__xludf.DUMMYFUNCTION("""COMPUTED_VALUE"""),363.6527777777778)</f>
        <v>363.6527778</v>
      </c>
      <c r="T472" s="57">
        <f>IFERROR(__xludf.DUMMYFUNCTION("""COMPUTED_VALUE"""),0.9027777777777776)</f>
        <v>0.9027777778</v>
      </c>
      <c r="U472" s="57">
        <f>IFERROR(__xludf.DUMMYFUNCTION("""COMPUTED_VALUE"""),0.6875000000000001)</f>
        <v>0.6875</v>
      </c>
      <c r="V472" s="57">
        <f>IFERROR(__xludf.DUMMYFUNCTION("""COMPUTED_VALUE"""),1.152777777777778)</f>
        <v>1.152777778</v>
      </c>
      <c r="W472" s="57">
        <f>IFERROR(__xludf.DUMMYFUNCTION("""COMPUTED_VALUE"""),2.909722222222222)</f>
        <v>2.909722222</v>
      </c>
      <c r="X472" s="31">
        <f>IFERROR(__xludf.DUMMYFUNCTION("""COMPUTED_VALUE"""),372.08181208636296)</f>
        <v>372.0818121</v>
      </c>
      <c r="Y472" s="57">
        <f>IFERROR(__xludf.DUMMYFUNCTION("""COMPUTED_VALUE"""),0.8280002068419324)</f>
        <v>0.8280002068</v>
      </c>
      <c r="Z472" s="57">
        <f>IFERROR(__xludf.DUMMYFUNCTION("""COMPUTED_VALUE"""),0.6566681102780418)</f>
        <v>0.6566681103</v>
      </c>
      <c r="AA472" s="57">
        <f>IFERROR(__xludf.DUMMYFUNCTION("""COMPUTED_VALUE"""),1.4133395674714506)</f>
        <v>1.413339567</v>
      </c>
      <c r="AB472" s="57">
        <f>IFERROR(__xludf.DUMMYFUNCTION("""COMPUTED_VALUE"""),2.720265531835583)</f>
        <v>2.720265532</v>
      </c>
      <c r="AC472" s="31">
        <f>IFERROR(__xludf.DUMMYFUNCTION("""COMPUTED_VALUE"""),369.56864498019536)</f>
        <v>369.568645</v>
      </c>
      <c r="AD472" s="57">
        <f>IFERROR(__xludf.DUMMYFUNCTION("""COMPUTED_VALUE"""),0.8112991800586188)</f>
        <v>0.8112991801</v>
      </c>
      <c r="AE472" s="57">
        <f>IFERROR(__xludf.DUMMYFUNCTION("""COMPUTED_VALUE"""),0.6351625496054646)</f>
        <v>0.6351625496</v>
      </c>
      <c r="AF472" s="57">
        <f>IFERROR(__xludf.DUMMYFUNCTION("""COMPUTED_VALUE"""),1.4170291279520122)</f>
        <v>1.417029128</v>
      </c>
      <c r="AG472" s="57">
        <f>IFERROR(__xludf.DUMMYFUNCTION("""COMPUTED_VALUE"""),2.6664264455090314)</f>
        <v>2.666426446</v>
      </c>
      <c r="AH472" s="57">
        <f>IFERROR(__xludf.DUMMYFUNCTION("""COMPUTED_VALUE"""),0.9993632802726685)</f>
        <v>0.9993632803</v>
      </c>
      <c r="AI472" s="57">
        <f>IFERROR(__xludf.DUMMYFUNCTION("""COMPUTED_VALUE"""),0.7703693228863387)</f>
        <v>0.7703693229</v>
      </c>
      <c r="AJ472" s="57">
        <f>IFERROR(__xludf.DUMMYFUNCTION("""COMPUTED_VALUE"""),0.9840000805907446)</f>
        <v>0.9840000806</v>
      </c>
      <c r="AK472" s="57">
        <f>IFERROR(__xludf.DUMMYFUNCTION("""COMPUTED_VALUE"""),1.2055739008007083)</f>
        <v>1.205573901</v>
      </c>
      <c r="AL472" s="57">
        <f>IFERROR(__xludf.DUMMYFUNCTION("""COMPUTED_VALUE"""),0.8125731989779457)</f>
        <v>0.812573199</v>
      </c>
      <c r="AM472" s="57">
        <f>IFERROR(__xludf.DUMMYFUNCTION("""COMPUTED_VALUE"""),0.9773462877389215)</f>
        <v>0.9773462877</v>
      </c>
      <c r="AN472" s="57">
        <f>IFERROR(__xludf.DUMMYFUNCTION("""COMPUTED_VALUE"""),1.0903110534489522)</f>
        <v>1.090311053</v>
      </c>
      <c r="AO472" s="57">
        <f>IFERROR(__xludf.DUMMYFUNCTION("""COMPUTED_VALUE"""),1.0469520131088803)</f>
        <v>1.046952013</v>
      </c>
      <c r="AP472" s="35">
        <f>IFERROR(__xludf.DUMMYFUNCTION("""COMPUTED_VALUE"""),0.8156410563387584)</f>
        <v>0.8156410563</v>
      </c>
      <c r="AQ472" s="57">
        <f>IFERROR(__xludf.DUMMYFUNCTION("""COMPUTED_VALUE"""),1.069646395974733)</f>
        <v>1.069646396</v>
      </c>
      <c r="AR472" s="36" t="b">
        <f>IFERROR(__xludf.DUMMYFUNCTION("""COMPUTED_VALUE"""),TRUE)</f>
        <v>1</v>
      </c>
      <c r="AS472" s="57"/>
      <c r="AT472" s="37"/>
      <c r="AU472" s="30"/>
      <c r="AV472" s="30"/>
      <c r="AW472" s="30"/>
      <c r="AX472" s="30"/>
      <c r="AY472" s="30"/>
      <c r="AZ472" s="30"/>
    </row>
    <row r="473">
      <c r="A473" s="30" t="str">
        <f>IFERROR(__xludf.DUMMYFUNCTION("""COMPUTED_VALUE"""),"Premier")</f>
        <v>Premier</v>
      </c>
      <c r="B473" s="30" t="str">
        <f>IFERROR(__xludf.DUMMYFUNCTION("""COMPUTED_VALUE"""),"RSC007691")</f>
        <v>RSC007691</v>
      </c>
      <c r="C473" s="30" t="str">
        <f>IFERROR(__xludf.DUMMYFUNCTION("""COMPUTED_VALUE"""),"exy")</f>
        <v>exy</v>
      </c>
      <c r="D473" s="31"/>
      <c r="E473" s="31">
        <f>IFERROR(__xludf.DUMMYFUNCTION("""COMPUTED_VALUE"""),38.44395353095352)</f>
        <v>38.44395353</v>
      </c>
      <c r="F473" s="31">
        <f>IFERROR(__xludf.DUMMYFUNCTION("""COMPUTED_VALUE"""),-3.1060343185669987)</f>
        <v>-3.106034319</v>
      </c>
      <c r="G473" s="31">
        <f>IFERROR(__xludf.DUMMYFUNCTION("""COMPUTED_VALUE"""),18.6692262808183)</f>
        <v>18.66922628</v>
      </c>
      <c r="H473" s="31">
        <f>IFERROR(__xludf.DUMMYFUNCTION("""COMPUTED_VALUE"""),-9.51829481188656)</f>
        <v>-9.518294812</v>
      </c>
      <c r="I473" s="54">
        <f>IFERROR(__xludf.DUMMYFUNCTION("""COMPUTED_VALUE"""),4.0)</f>
        <v>4</v>
      </c>
      <c r="J473" s="55">
        <f>IFERROR(__xludf.DUMMYFUNCTION("""COMPUTED_VALUE"""),1.0)</f>
        <v>1</v>
      </c>
      <c r="K473" s="54">
        <f>IFERROR(__xludf.DUMMYFUNCTION("""COMPUTED_VALUE"""),3.0)</f>
        <v>3</v>
      </c>
      <c r="L473" s="56">
        <f>IFERROR(__xludf.DUMMYFUNCTION("""COMPUTED_VALUE"""),0.25)</f>
        <v>0.25</v>
      </c>
      <c r="M473" s="56">
        <f>IFERROR(__xludf.DUMMYFUNCTION("""COMPUTED_VALUE"""),0.07692307692307693)</f>
        <v>0.07692307692</v>
      </c>
      <c r="N473" s="31">
        <f>IFERROR(__xludf.DUMMYFUNCTION("""COMPUTED_VALUE"""),239.25)</f>
        <v>239.25</v>
      </c>
      <c r="O473" s="57">
        <f>IFERROR(__xludf.DUMMYFUNCTION("""COMPUTED_VALUE"""),0.25)</f>
        <v>0.25</v>
      </c>
      <c r="P473" s="57">
        <f>IFERROR(__xludf.DUMMYFUNCTION("""COMPUTED_VALUE"""),0.75)</f>
        <v>0.75</v>
      </c>
      <c r="Q473" s="57">
        <f>IFERROR(__xludf.DUMMYFUNCTION("""COMPUTED_VALUE"""),0.5)</f>
        <v>0.5</v>
      </c>
      <c r="R473" s="57">
        <f>IFERROR(__xludf.DUMMYFUNCTION("""COMPUTED_VALUE"""),3.25)</f>
        <v>3.25</v>
      </c>
      <c r="S473" s="31">
        <f>IFERROR(__xludf.DUMMYFUNCTION("""COMPUTED_VALUE"""),373.8333333333333)</f>
        <v>373.8333333</v>
      </c>
      <c r="T473" s="57">
        <f>IFERROR(__xludf.DUMMYFUNCTION("""COMPUTED_VALUE"""),0.6666666666666667)</f>
        <v>0.6666666667</v>
      </c>
      <c r="U473" s="57">
        <f>IFERROR(__xludf.DUMMYFUNCTION("""COMPUTED_VALUE"""),0.6666666666666667)</f>
        <v>0.6666666667</v>
      </c>
      <c r="V473" s="57">
        <f>IFERROR(__xludf.DUMMYFUNCTION("""COMPUTED_VALUE"""),1.6666666666666667)</f>
        <v>1.666666667</v>
      </c>
      <c r="W473" s="57">
        <f>IFERROR(__xludf.DUMMYFUNCTION("""COMPUTED_VALUE"""),2.583333333333333)</f>
        <v>2.583333333</v>
      </c>
      <c r="X473" s="31">
        <f>IFERROR(__xludf.DUMMYFUNCTION("""COMPUTED_VALUE"""),375.01266620621453)</f>
        <v>375.0126662</v>
      </c>
      <c r="Y473" s="57">
        <f>IFERROR(__xludf.DUMMYFUNCTION("""COMPUTED_VALUE"""),0.7964975448846415)</f>
        <v>0.7964975449</v>
      </c>
      <c r="Z473" s="57">
        <f>IFERROR(__xludf.DUMMYFUNCTION("""COMPUTED_VALUE"""),0.6867599270825078)</f>
        <v>0.6867599271</v>
      </c>
      <c r="AA473" s="57">
        <f>IFERROR(__xludf.DUMMYFUNCTION("""COMPUTED_VALUE"""),1.438318481866869)</f>
        <v>1.438318482</v>
      </c>
      <c r="AB473" s="57">
        <f>IFERROR(__xludf.DUMMYFUNCTION("""COMPUTED_VALUE"""),2.5087302845367363)</f>
        <v>2.508730285</v>
      </c>
      <c r="AC473" s="31">
        <f>IFERROR(__xludf.DUMMYFUNCTION("""COMPUTED_VALUE"""),342.43105057298607)</f>
        <v>342.4310506</v>
      </c>
      <c r="AD473" s="57">
        <f>IFERROR(__xludf.DUMMYFUNCTION("""COMPUTED_VALUE"""),0.7745817874850132)</f>
        <v>0.7745817875</v>
      </c>
      <c r="AE473" s="57">
        <f>IFERROR(__xludf.DUMMYFUNCTION("""COMPUTED_VALUE"""),0.5936250662057113)</f>
        <v>0.5936250662</v>
      </c>
      <c r="AF473" s="57">
        <f>IFERROR(__xludf.DUMMYFUNCTION("""COMPUTED_VALUE"""),1.2476895622056912)</f>
        <v>1.247689562</v>
      </c>
      <c r="AG473" s="57">
        <f>IFERROR(__xludf.DUMMYFUNCTION("""COMPUTED_VALUE"""),2.742691707207837)</f>
        <v>2.742691707</v>
      </c>
      <c r="AH473" s="57">
        <f>IFERROR(__xludf.DUMMYFUNCTION("""COMPUTED_VALUE"""),0.6986807989511046)</f>
        <v>0.698680799</v>
      </c>
      <c r="AI473" s="57">
        <f>IFERROR(__xludf.DUMMYFUNCTION("""COMPUTED_VALUE"""),0.3227548130349464)</f>
        <v>0.322754813</v>
      </c>
      <c r="AJ473" s="57">
        <f>IFERROR(__xludf.DUMMYFUNCTION("""COMPUTED_VALUE"""),1.2634237378043929)</f>
        <v>1.263423738</v>
      </c>
      <c r="AK473" s="57">
        <f>IFERROR(__xludf.DUMMYFUNCTION("""COMPUTED_VALUE"""),0.4007407091841738)</f>
        <v>0.4007407092</v>
      </c>
      <c r="AL473" s="57">
        <f>IFERROR(__xludf.DUMMYFUNCTION("""COMPUTED_VALUE"""),1.1849673047316798)</f>
        <v>1.184967305</v>
      </c>
      <c r="AM473" s="57">
        <f>IFERROR(__xludf.DUMMYFUNCTION("""COMPUTED_VALUE"""),0.9968552185588507)</f>
        <v>0.9968552186</v>
      </c>
      <c r="AN473" s="57">
        <f>IFERROR(__xludf.DUMMYFUNCTION("""COMPUTED_VALUE"""),0.8369977672225236)</f>
        <v>0.8369977672</v>
      </c>
      <c r="AO473" s="57">
        <f>IFERROR(__xludf.DUMMYFUNCTION("""COMPUTED_VALUE"""),0.9707419439844122)</f>
        <v>0.970741944</v>
      </c>
      <c r="AP473" s="35">
        <f>IFERROR(__xludf.DUMMYFUNCTION("""COMPUTED_VALUE"""),1.1587605163102768)</f>
        <v>1.158760516</v>
      </c>
      <c r="AQ473" s="57">
        <f>IFERROR(__xludf.DUMMYFUNCTION("""COMPUTED_VALUE"""),1.0297373732267807)</f>
        <v>1.029737373</v>
      </c>
      <c r="AR473" s="36" t="b">
        <f>IFERROR(__xludf.DUMMYFUNCTION("""COMPUTED_VALUE"""),TRUE)</f>
        <v>1</v>
      </c>
      <c r="AS473" s="57"/>
      <c r="AT473" s="37"/>
      <c r="AU473" s="30"/>
      <c r="AV473" s="30"/>
      <c r="AW473" s="30"/>
      <c r="AX473" s="30"/>
      <c r="AY473" s="30"/>
      <c r="AZ473" s="30"/>
    </row>
    <row r="474">
      <c r="A474" s="30" t="str">
        <f>IFERROR(__xludf.DUMMYFUNCTION("""COMPUTED_VALUE"""),"Premier")</f>
        <v>Premier</v>
      </c>
      <c r="B474" s="30" t="str">
        <f>IFERROR(__xludf.DUMMYFUNCTION("""COMPUTED_VALUE"""),"RSC007596")</f>
        <v>RSC007596</v>
      </c>
      <c r="C474" s="30" t="str">
        <f>IFERROR(__xludf.DUMMYFUNCTION("""COMPUTED_VALUE"""),"Sean")</f>
        <v>Sean</v>
      </c>
      <c r="D474" s="31" t="str">
        <f>IFERROR(__xludf.DUMMYFUNCTION("""COMPUTED_VALUE"""),"Punks")</f>
        <v>Punks</v>
      </c>
      <c r="E474" s="31">
        <f>IFERROR(__xludf.DUMMYFUNCTION("""COMPUTED_VALUE"""),37.832947736780106)</f>
        <v>37.83294774</v>
      </c>
      <c r="F474" s="31">
        <f>IFERROR(__xludf.DUMMYFUNCTION("""COMPUTED_VALUE"""),-3.192421758164211)</f>
        <v>-3.192421758</v>
      </c>
      <c r="G474" s="31">
        <f>IFERROR(__xludf.DUMMYFUNCTION("""COMPUTED_VALUE"""),34.148807983653846)</f>
        <v>34.14880798</v>
      </c>
      <c r="H474" s="31">
        <f>IFERROR(__xludf.DUMMYFUNCTION("""COMPUTED_VALUE"""),-3.8019220978918127)</f>
        <v>-3.801922098</v>
      </c>
      <c r="I474" s="54">
        <f>IFERROR(__xludf.DUMMYFUNCTION("""COMPUTED_VALUE"""),48.0)</f>
        <v>48</v>
      </c>
      <c r="J474" s="55">
        <f>IFERROR(__xludf.DUMMYFUNCTION("""COMPUTED_VALUE"""),24.0)</f>
        <v>24</v>
      </c>
      <c r="K474" s="54">
        <f>IFERROR(__xludf.DUMMYFUNCTION("""COMPUTED_VALUE"""),24.0)</f>
        <v>24</v>
      </c>
      <c r="L474" s="56">
        <f>IFERROR(__xludf.DUMMYFUNCTION("""COMPUTED_VALUE"""),0.5)</f>
        <v>0.5</v>
      </c>
      <c r="M474" s="56">
        <f>IFERROR(__xludf.DUMMYFUNCTION("""COMPUTED_VALUE"""),0.25742574257425743)</f>
        <v>0.2574257426</v>
      </c>
      <c r="N474" s="31">
        <f>IFERROR(__xludf.DUMMYFUNCTION("""COMPUTED_VALUE"""),332.5625)</f>
        <v>332.5625</v>
      </c>
      <c r="O474" s="57">
        <f>IFERROR(__xludf.DUMMYFUNCTION("""COMPUTED_VALUE"""),0.5416666666666666)</f>
        <v>0.5416666667</v>
      </c>
      <c r="P474" s="57">
        <f>IFERROR(__xludf.DUMMYFUNCTION("""COMPUTED_VALUE"""),0.6666666666666666)</f>
        <v>0.6666666667</v>
      </c>
      <c r="Q474" s="57">
        <f>IFERROR(__xludf.DUMMYFUNCTION("""COMPUTED_VALUE"""),1.2708333333333333)</f>
        <v>1.270833333</v>
      </c>
      <c r="R474" s="57">
        <f>IFERROR(__xludf.DUMMYFUNCTION("""COMPUTED_VALUE"""),2.1041666666666665)</f>
        <v>2.104166667</v>
      </c>
      <c r="S474" s="31">
        <f>IFERROR(__xludf.DUMMYFUNCTION("""COMPUTED_VALUE"""),356.59722222222223)</f>
        <v>356.5972222</v>
      </c>
      <c r="T474" s="57">
        <f>IFERROR(__xludf.DUMMYFUNCTION("""COMPUTED_VALUE"""),0.736111111111111)</f>
        <v>0.7361111111</v>
      </c>
      <c r="U474" s="57">
        <f>IFERROR(__xludf.DUMMYFUNCTION("""COMPUTED_VALUE"""),0.5902777777777777)</f>
        <v>0.5902777778</v>
      </c>
      <c r="V474" s="57">
        <f>IFERROR(__xludf.DUMMYFUNCTION("""COMPUTED_VALUE"""),1.3680555555555554)</f>
        <v>1.368055556</v>
      </c>
      <c r="W474" s="57">
        <f>IFERROR(__xludf.DUMMYFUNCTION("""COMPUTED_VALUE"""),2.5902777777777777)</f>
        <v>2.590277778</v>
      </c>
      <c r="X474" s="31">
        <f>IFERROR(__xludf.DUMMYFUNCTION("""COMPUTED_VALUE"""),373.6265021754087)</f>
        <v>373.6265022</v>
      </c>
      <c r="Y474" s="57">
        <f>IFERROR(__xludf.DUMMYFUNCTION("""COMPUTED_VALUE"""),0.8144605856641047)</f>
        <v>0.8144605857</v>
      </c>
      <c r="Z474" s="57">
        <f>IFERROR(__xludf.DUMMYFUNCTION("""COMPUTED_VALUE"""),0.640295901127422)</f>
        <v>0.6402959011</v>
      </c>
      <c r="AA474" s="57">
        <f>IFERROR(__xludf.DUMMYFUNCTION("""COMPUTED_VALUE"""),1.4381276180144305)</f>
        <v>1.438127618</v>
      </c>
      <c r="AB474" s="57">
        <f>IFERROR(__xludf.DUMMYFUNCTION("""COMPUTED_VALUE"""),2.6965856949557985)</f>
        <v>2.696585695</v>
      </c>
      <c r="AC474" s="31">
        <f>IFERROR(__xludf.DUMMYFUNCTION("""COMPUTED_VALUE"""),370.5937347851289)</f>
        <v>370.5937348</v>
      </c>
      <c r="AD474" s="57">
        <f>IFERROR(__xludf.DUMMYFUNCTION("""COMPUTED_VALUE"""),0.8321299809778884)</f>
        <v>0.832129981</v>
      </c>
      <c r="AE474" s="57">
        <f>IFERROR(__xludf.DUMMYFUNCTION("""COMPUTED_VALUE"""),0.6418963863973987)</f>
        <v>0.6418963864</v>
      </c>
      <c r="AF474" s="57">
        <f>IFERROR(__xludf.DUMMYFUNCTION("""COMPUTED_VALUE"""),1.3992491523504613)</f>
        <v>1.399249152</v>
      </c>
      <c r="AG474" s="57">
        <f>IFERROR(__xludf.DUMMYFUNCTION("""COMPUTED_VALUE"""),2.7466102026420547)</f>
        <v>2.746610203</v>
      </c>
      <c r="AH474" s="57">
        <f>IFERROR(__xludf.DUMMYFUNCTION("""COMPUTED_VALUE"""),0.8973775560259283)</f>
        <v>0.897377556</v>
      </c>
      <c r="AI474" s="57">
        <f>IFERROR(__xludf.DUMMYFUNCTION("""COMPUTED_VALUE"""),0.6509399721785292)</f>
        <v>0.6509399722</v>
      </c>
      <c r="AJ474" s="57">
        <f>IFERROR(__xludf.DUMMYFUNCTION("""COMPUTED_VALUE"""),1.0385892190611783)</f>
        <v>1.038589219</v>
      </c>
      <c r="AK474" s="57">
        <f>IFERROR(__xludf.DUMMYFUNCTION("""COMPUTED_VALUE"""),0.9082251943469718)</f>
        <v>0.9082251943</v>
      </c>
      <c r="AL474" s="57">
        <f>IFERROR(__xludf.DUMMYFUNCTION("""COMPUTED_VALUE"""),0.7660958459422452)</f>
        <v>0.7660958459</v>
      </c>
      <c r="AM474" s="57">
        <f>IFERROR(__xludf.DUMMYFUNCTION("""COMPUTED_VALUE"""),0.9544216487480548)</f>
        <v>0.9544216487</v>
      </c>
      <c r="AN474" s="57">
        <f>IFERROR(__xludf.DUMMYFUNCTION("""COMPUTED_VALUE"""),0.9038020059753927)</f>
        <v>0.903802006</v>
      </c>
      <c r="AO474" s="57">
        <f>IFERROR(__xludf.DUMMYFUNCTION("""COMPUTED_VALUE"""),0.9218827994032552)</f>
        <v>0.9218827994</v>
      </c>
      <c r="AP474" s="35">
        <f>IFERROR(__xludf.DUMMYFUNCTION("""COMPUTED_VALUE"""),0.9512754907275747)</f>
        <v>0.9512754907</v>
      </c>
      <c r="AQ474" s="57">
        <f>IFERROR(__xludf.DUMMYFUNCTION("""COMPUTED_VALUE"""),0.9605768444975143)</f>
        <v>0.9605768445</v>
      </c>
      <c r="AR474" s="36" t="b">
        <f>IFERROR(__xludf.DUMMYFUNCTION("""COMPUTED_VALUE"""),TRUE)</f>
        <v>1</v>
      </c>
      <c r="AS474" s="57"/>
      <c r="AT474" s="37"/>
      <c r="AU474" s="30"/>
      <c r="AV474" s="30"/>
      <c r="AW474" s="30"/>
      <c r="AX474" s="30"/>
      <c r="AY474" s="30"/>
      <c r="AZ474" s="30"/>
    </row>
    <row r="475">
      <c r="A475" s="30" t="str">
        <f>IFERROR(__xludf.DUMMYFUNCTION("""COMPUTED_VALUE"""),"Premier")</f>
        <v>Premier</v>
      </c>
      <c r="B475" s="30" t="str">
        <f>IFERROR(__xludf.DUMMYFUNCTION("""COMPUTED_VALUE"""),"RSC003749")</f>
        <v>RSC003749</v>
      </c>
      <c r="C475" s="30" t="str">
        <f>IFERROR(__xludf.DUMMYFUNCTION("""COMPUTED_VALUE"""),"Rule")</f>
        <v>Rule</v>
      </c>
      <c r="D475" s="31" t="str">
        <f>IFERROR(__xludf.DUMMYFUNCTION("""COMPUTED_VALUE"""),"Fairies")</f>
        <v>Fairies</v>
      </c>
      <c r="E475" s="31">
        <f>IFERROR(__xludf.DUMMYFUNCTION("""COMPUTED_VALUE"""),34.79079130548242)</f>
        <v>34.79079131</v>
      </c>
      <c r="F475" s="31">
        <f>IFERROR(__xludf.DUMMYFUNCTION("""COMPUTED_VALUE"""),-3.6836265780129853)</f>
        <v>-3.683626578</v>
      </c>
      <c r="G475" s="31">
        <f>IFERROR(__xludf.DUMMYFUNCTION("""COMPUTED_VALUE"""),37.06120805106491)</f>
        <v>37.06120805</v>
      </c>
      <c r="H475" s="31">
        <f>IFERROR(__xludf.DUMMYFUNCTION("""COMPUTED_VALUE"""),-3.3070363102153433)</f>
        <v>-3.30703631</v>
      </c>
      <c r="I475" s="54">
        <f>IFERROR(__xludf.DUMMYFUNCTION("""COMPUTED_VALUE"""),31.0)</f>
        <v>31</v>
      </c>
      <c r="J475" s="55">
        <f>IFERROR(__xludf.DUMMYFUNCTION("""COMPUTED_VALUE"""),12.0)</f>
        <v>12</v>
      </c>
      <c r="K475" s="54">
        <f>IFERROR(__xludf.DUMMYFUNCTION("""COMPUTED_VALUE"""),19.0)</f>
        <v>19</v>
      </c>
      <c r="L475" s="56">
        <f>IFERROR(__xludf.DUMMYFUNCTION("""COMPUTED_VALUE"""),0.3870967741935484)</f>
        <v>0.3870967742</v>
      </c>
      <c r="M475" s="56">
        <f>IFERROR(__xludf.DUMMYFUNCTION("""COMPUTED_VALUE"""),0.3823529411764706)</f>
        <v>0.3823529412</v>
      </c>
      <c r="N475" s="31">
        <f>IFERROR(__xludf.DUMMYFUNCTION("""COMPUTED_VALUE"""),350.741935483871)</f>
        <v>350.7419355</v>
      </c>
      <c r="O475" s="57">
        <f>IFERROR(__xludf.DUMMYFUNCTION("""COMPUTED_VALUE"""),0.8387096774193549)</f>
        <v>0.8387096774</v>
      </c>
      <c r="P475" s="57">
        <f>IFERROR(__xludf.DUMMYFUNCTION("""COMPUTED_VALUE"""),0.45161290322580644)</f>
        <v>0.4516129032</v>
      </c>
      <c r="Q475" s="57">
        <f>IFERROR(__xludf.DUMMYFUNCTION("""COMPUTED_VALUE"""),1.5161290322580645)</f>
        <v>1.516129032</v>
      </c>
      <c r="R475" s="57">
        <f>IFERROR(__xludf.DUMMYFUNCTION("""COMPUTED_VALUE"""),2.193548387096774)</f>
        <v>2.193548387</v>
      </c>
      <c r="S475" s="31">
        <f>IFERROR(__xludf.DUMMYFUNCTION("""COMPUTED_VALUE"""),372.02150537634407)</f>
        <v>372.0215054</v>
      </c>
      <c r="T475" s="57">
        <f>IFERROR(__xludf.DUMMYFUNCTION("""COMPUTED_VALUE"""),0.9247311827956989)</f>
        <v>0.9247311828</v>
      </c>
      <c r="U475" s="57">
        <f>IFERROR(__xludf.DUMMYFUNCTION("""COMPUTED_VALUE"""),0.7204301075268816)</f>
        <v>0.7204301075</v>
      </c>
      <c r="V475" s="57">
        <f>IFERROR(__xludf.DUMMYFUNCTION("""COMPUTED_VALUE"""),1.1935483870967742)</f>
        <v>1.193548387</v>
      </c>
      <c r="W475" s="57">
        <f>IFERROR(__xludf.DUMMYFUNCTION("""COMPUTED_VALUE"""),2.946236559139785)</f>
        <v>2.946236559</v>
      </c>
      <c r="X475" s="31">
        <f>IFERROR(__xludf.DUMMYFUNCTION("""COMPUTED_VALUE"""),370.6660208314089)</f>
        <v>370.6660208</v>
      </c>
      <c r="Y475" s="57">
        <f>IFERROR(__xludf.DUMMYFUNCTION("""COMPUTED_VALUE"""),0.8365132070668189)</f>
        <v>0.8365132071</v>
      </c>
      <c r="Z475" s="57">
        <f>IFERROR(__xludf.DUMMYFUNCTION("""COMPUTED_VALUE"""),0.6072678103159072)</f>
        <v>0.6072678103</v>
      </c>
      <c r="AA475" s="57">
        <f>IFERROR(__xludf.DUMMYFUNCTION("""COMPUTED_VALUE"""),1.408968185827468)</f>
        <v>1.408968186</v>
      </c>
      <c r="AB475" s="57">
        <f>IFERROR(__xludf.DUMMYFUNCTION("""COMPUTED_VALUE"""),2.7137183144104684)</f>
        <v>2.713718314</v>
      </c>
      <c r="AC475" s="31">
        <f>IFERROR(__xludf.DUMMYFUNCTION("""COMPUTED_VALUE"""),376.3536636081741)</f>
        <v>376.3536636</v>
      </c>
      <c r="AD475" s="57">
        <f>IFERROR(__xludf.DUMMYFUNCTION("""COMPUTED_VALUE"""),0.8413775128750008)</f>
        <v>0.8413775129</v>
      </c>
      <c r="AE475" s="57">
        <f>IFERROR(__xludf.DUMMYFUNCTION("""COMPUTED_VALUE"""),0.6487502681799002)</f>
        <v>0.6487502682</v>
      </c>
      <c r="AF475" s="57">
        <f>IFERROR(__xludf.DUMMYFUNCTION("""COMPUTED_VALUE"""),1.4277962072342676)</f>
        <v>1.427796207</v>
      </c>
      <c r="AG475" s="57">
        <f>IFERROR(__xludf.DUMMYFUNCTION("""COMPUTED_VALUE"""),2.7312481555342982)</f>
        <v>2.731248156</v>
      </c>
      <c r="AH475" s="57">
        <f>IFERROR(__xludf.DUMMYFUNCTION("""COMPUTED_VALUE"""),0.9319477114192044)</f>
        <v>0.9319477114</v>
      </c>
      <c r="AI475" s="57">
        <f>IFERROR(__xludf.DUMMYFUNCTION("""COMPUTED_VALUE"""),0.996829205184567)</f>
        <v>0.9968292052</v>
      </c>
      <c r="AJ475" s="57">
        <f>IFERROR(__xludf.DUMMYFUNCTION("""COMPUTED_VALUE"""),0.6961275014079423)</f>
        <v>0.6961275014</v>
      </c>
      <c r="AK475" s="57">
        <f>IFERROR(__xludf.DUMMYFUNCTION("""COMPUTED_VALUE"""),1.0618665497052295)</f>
        <v>1.06186655</v>
      </c>
      <c r="AL475" s="57">
        <f>IFERROR(__xludf.DUMMYFUNCTION("""COMPUTED_VALUE"""),0.8031303866153688)</f>
        <v>0.8031303866</v>
      </c>
      <c r="AM475" s="57">
        <f>IFERROR(__xludf.DUMMYFUNCTION("""COMPUTED_VALUE"""),1.003656889136735)</f>
        <v>1.003656889</v>
      </c>
      <c r="AN475" s="57">
        <f>IFERROR(__xludf.DUMMYFUNCTION("""COMPUTED_VALUE"""),1.1054591547193986)</f>
        <v>1.105459155</v>
      </c>
      <c r="AO475" s="57">
        <f>IFERROR(__xludf.DUMMYFUNCTION("""COMPUTED_VALUE"""),1.1863466090061752)</f>
        <v>1.186346609</v>
      </c>
      <c r="AP475" s="35">
        <f>IFERROR(__xludf.DUMMYFUNCTION("""COMPUTED_VALUE"""),0.8471081172040938)</f>
        <v>0.8471081172</v>
      </c>
      <c r="AQ475" s="57">
        <f>IFERROR(__xludf.DUMMYFUNCTION("""COMPUTED_VALUE"""),1.085682527731265)</f>
        <v>1.085682528</v>
      </c>
      <c r="AR475" s="36" t="b">
        <f>IFERROR(__xludf.DUMMYFUNCTION("""COMPUTED_VALUE"""),TRUE)</f>
        <v>1</v>
      </c>
      <c r="AS475" s="57"/>
      <c r="AT475" s="37"/>
      <c r="AU475" s="30"/>
      <c r="AV475" s="30"/>
      <c r="AW475" s="30"/>
      <c r="AX475" s="30"/>
      <c r="AY475" s="30"/>
      <c r="AZ475" s="30"/>
    </row>
    <row r="476">
      <c r="A476" s="30" t="str">
        <f>IFERROR(__xludf.DUMMYFUNCTION("""COMPUTED_VALUE"""),"Premier")</f>
        <v>Premier</v>
      </c>
      <c r="B476" s="30" t="str">
        <f>IFERROR(__xludf.DUMMYFUNCTION("""COMPUTED_VALUE"""),"RSC004580")</f>
        <v>RSC004580</v>
      </c>
      <c r="C476" s="30" t="str">
        <f>IFERROR(__xludf.DUMMYFUNCTION("""COMPUTED_VALUE"""),"Stati_c")</f>
        <v>Stati_c</v>
      </c>
      <c r="D476" s="31" t="str">
        <f>IFERROR(__xludf.DUMMYFUNCTION("""COMPUTED_VALUE"""),"Feta Forgers")</f>
        <v>Feta Forgers</v>
      </c>
      <c r="E476" s="31">
        <f>IFERROR(__xludf.DUMMYFUNCTION("""COMPUTED_VALUE"""),32.55050609694806)</f>
        <v>32.5505061</v>
      </c>
      <c r="F476" s="31">
        <f>IFERROR(__xludf.DUMMYFUNCTION("""COMPUTED_VALUE"""),-4.122097736104468)</f>
        <v>-4.122097736</v>
      </c>
      <c r="G476" s="31">
        <f>IFERROR(__xludf.DUMMYFUNCTION("""COMPUTED_VALUE"""),25.226061842050026)</f>
        <v>25.22606184</v>
      </c>
      <c r="H476" s="31">
        <f>IFERROR(__xludf.DUMMYFUNCTION("""COMPUTED_VALUE"""),-6.216850191483199)</f>
        <v>-6.216850191</v>
      </c>
      <c r="I476" s="54">
        <f>IFERROR(__xludf.DUMMYFUNCTION("""COMPUTED_VALUE"""),40.0)</f>
        <v>40</v>
      </c>
      <c r="J476" s="55">
        <f>IFERROR(__xludf.DUMMYFUNCTION("""COMPUTED_VALUE"""),17.0)</f>
        <v>17</v>
      </c>
      <c r="K476" s="54">
        <f>IFERROR(__xludf.DUMMYFUNCTION("""COMPUTED_VALUE"""),23.0)</f>
        <v>23</v>
      </c>
      <c r="L476" s="56">
        <f>IFERROR(__xludf.DUMMYFUNCTION("""COMPUTED_VALUE"""),0.425)</f>
        <v>0.425</v>
      </c>
      <c r="M476" s="56">
        <f>IFERROR(__xludf.DUMMYFUNCTION("""COMPUTED_VALUE"""),0.28421052631578947)</f>
        <v>0.2842105263</v>
      </c>
      <c r="N476" s="31">
        <f>IFERROR(__xludf.DUMMYFUNCTION("""COMPUTED_VALUE"""),300.3)</f>
        <v>300.3</v>
      </c>
      <c r="O476" s="57">
        <f>IFERROR(__xludf.DUMMYFUNCTION("""COMPUTED_VALUE"""),0.675)</f>
        <v>0.675</v>
      </c>
      <c r="P476" s="57">
        <f>IFERROR(__xludf.DUMMYFUNCTION("""COMPUTED_VALUE"""),0.55)</f>
        <v>0.55</v>
      </c>
      <c r="Q476" s="57">
        <f>IFERROR(__xludf.DUMMYFUNCTION("""COMPUTED_VALUE"""),0.9)</f>
        <v>0.9</v>
      </c>
      <c r="R476" s="57">
        <f>IFERROR(__xludf.DUMMYFUNCTION("""COMPUTED_VALUE"""),2.375)</f>
        <v>2.375</v>
      </c>
      <c r="S476" s="31">
        <f>IFERROR(__xludf.DUMMYFUNCTION("""COMPUTED_VALUE"""),396.35)</f>
        <v>396.35</v>
      </c>
      <c r="T476" s="57">
        <f>IFERROR(__xludf.DUMMYFUNCTION("""COMPUTED_VALUE"""),0.975)</f>
        <v>0.975</v>
      </c>
      <c r="U476" s="57">
        <f>IFERROR(__xludf.DUMMYFUNCTION("""COMPUTED_VALUE"""),0.7833333333333334)</f>
        <v>0.7833333333</v>
      </c>
      <c r="V476" s="57">
        <f>IFERROR(__xludf.DUMMYFUNCTION("""COMPUTED_VALUE"""),1.4749999999999999)</f>
        <v>1.475</v>
      </c>
      <c r="W476" s="57">
        <f>IFERROR(__xludf.DUMMYFUNCTION("""COMPUTED_VALUE"""),2.6916666666666678)</f>
        <v>2.691666667</v>
      </c>
      <c r="X476" s="31">
        <f>IFERROR(__xludf.DUMMYFUNCTION("""COMPUTED_VALUE"""),377.49984255219505)</f>
        <v>377.4998426</v>
      </c>
      <c r="Y476" s="57">
        <f>IFERROR(__xludf.DUMMYFUNCTION("""COMPUTED_VALUE"""),0.8497874761724689)</f>
        <v>0.8497874762</v>
      </c>
      <c r="Z476" s="57">
        <f>IFERROR(__xludf.DUMMYFUNCTION("""COMPUTED_VALUE"""),0.668881812380391)</f>
        <v>0.6688818124</v>
      </c>
      <c r="AA476" s="57">
        <f>IFERROR(__xludf.DUMMYFUNCTION("""COMPUTED_VALUE"""),1.4147370427776806)</f>
        <v>1.414737043</v>
      </c>
      <c r="AB476" s="57">
        <f>IFERROR(__xludf.DUMMYFUNCTION("""COMPUTED_VALUE"""),2.7533004956526606)</f>
        <v>2.753300496</v>
      </c>
      <c r="AC476" s="31">
        <f>IFERROR(__xludf.DUMMYFUNCTION("""COMPUTED_VALUE"""),373.613979789896)</f>
        <v>373.6139798</v>
      </c>
      <c r="AD476" s="57">
        <f>IFERROR(__xludf.DUMMYFUNCTION("""COMPUTED_VALUE"""),0.8206698540886253)</f>
        <v>0.8206698541</v>
      </c>
      <c r="AE476" s="57">
        <f>IFERROR(__xludf.DUMMYFUNCTION("""COMPUTED_VALUE"""),0.6362267690247106)</f>
        <v>0.636226769</v>
      </c>
      <c r="AF476" s="57">
        <f>IFERROR(__xludf.DUMMYFUNCTION("""COMPUTED_VALUE"""),1.4453962659720851)</f>
        <v>1.445396266</v>
      </c>
      <c r="AG476" s="57">
        <f>IFERROR(__xludf.DUMMYFUNCTION("""COMPUTED_VALUE"""),2.683387926797013)</f>
        <v>2.683387927</v>
      </c>
      <c r="AH476" s="57">
        <f>IFERROR(__xludf.DUMMYFUNCTION("""COMPUTED_VALUE"""),0.8037707801214383)</f>
        <v>0.8037707801</v>
      </c>
      <c r="AI476" s="57">
        <f>IFERROR(__xludf.DUMMYFUNCTION("""COMPUTED_VALUE"""),0.8224988363312122)</f>
        <v>0.8224988363</v>
      </c>
      <c r="AJ476" s="57">
        <f>IFERROR(__xludf.DUMMYFUNCTION("""COMPUTED_VALUE"""),0.8644716424665847)</f>
        <v>0.8644716425</v>
      </c>
      <c r="AK476" s="57">
        <f>IFERROR(__xludf.DUMMYFUNCTION("""COMPUTED_VALUE"""),0.6226666148156368)</f>
        <v>0.6226666148</v>
      </c>
      <c r="AL476" s="57">
        <f>IFERROR(__xludf.DUMMYFUNCTION("""COMPUTED_VALUE"""),0.8850751605023743)</f>
        <v>0.8850751605</v>
      </c>
      <c r="AM476" s="57">
        <f>IFERROR(__xludf.DUMMYFUNCTION("""COMPUTED_VALUE"""),1.0499342127412905)</f>
        <v>1.049934213</v>
      </c>
      <c r="AN476" s="57">
        <f>IFERROR(__xludf.DUMMYFUNCTION("""COMPUTED_VALUE"""),1.147345692115282)</f>
        <v>1.147345692</v>
      </c>
      <c r="AO476" s="57">
        <f>IFERROR(__xludf.DUMMYFUNCTION("""COMPUTED_VALUE"""),1.171108735257185)</f>
        <v>1.171108735</v>
      </c>
      <c r="AP476" s="35">
        <f>IFERROR(__xludf.DUMMYFUNCTION("""COMPUTED_VALUE"""),1.0425965783040498)</f>
        <v>1.042596578</v>
      </c>
      <c r="AQ476" s="57">
        <f>IFERROR(__xludf.DUMMYFUNCTION("""COMPUTED_VALUE"""),0.9776145651071105)</f>
        <v>0.9776145651</v>
      </c>
      <c r="AR476" s="36" t="b">
        <f>IFERROR(__xludf.DUMMYFUNCTION("""COMPUTED_VALUE"""),TRUE)</f>
        <v>1</v>
      </c>
      <c r="AS476" s="57"/>
      <c r="AT476" s="37"/>
      <c r="AU476" s="30"/>
      <c r="AV476" s="30"/>
      <c r="AW476" s="30"/>
      <c r="AX476" s="30"/>
      <c r="AY476" s="30"/>
      <c r="AZ476" s="30"/>
    </row>
    <row r="477">
      <c r="A477" s="30" t="str">
        <f>IFERROR(__xludf.DUMMYFUNCTION("""COMPUTED_VALUE"""),"Premier")</f>
        <v>Premier</v>
      </c>
      <c r="B477" s="30" t="str">
        <f>IFERROR(__xludf.DUMMYFUNCTION("""COMPUTED_VALUE"""),"RSC001945")</f>
        <v>RSC001945</v>
      </c>
      <c r="C477" s="30" t="str">
        <f>IFERROR(__xludf.DUMMYFUNCTION("""COMPUTED_VALUE"""),"Brody")</f>
        <v>Brody</v>
      </c>
      <c r="D477" s="31"/>
      <c r="E477" s="31">
        <f>IFERROR(__xludf.DUMMYFUNCTION("""COMPUTED_VALUE"""),29.824566189761423)</f>
        <v>29.82456619</v>
      </c>
      <c r="F477" s="31">
        <f>IFERROR(__xludf.DUMMYFUNCTION("""COMPUTED_VALUE"""),-4.765802667463714)</f>
        <v>-4.765802667</v>
      </c>
      <c r="G477" s="31">
        <f>IFERROR(__xludf.DUMMYFUNCTION("""COMPUTED_VALUE"""),37.51602234273422)</f>
        <v>37.51602234</v>
      </c>
      <c r="H477" s="31">
        <f>IFERROR(__xludf.DUMMYFUNCTION("""COMPUTED_VALUE"""),-3.238727812569866)</f>
        <v>-3.238727813</v>
      </c>
      <c r="I477" s="54">
        <f>IFERROR(__xludf.DUMMYFUNCTION("""COMPUTED_VALUE"""),27.0)</f>
        <v>27</v>
      </c>
      <c r="J477" s="55">
        <f>IFERROR(__xludf.DUMMYFUNCTION("""COMPUTED_VALUE"""),7.0)</f>
        <v>7</v>
      </c>
      <c r="K477" s="54">
        <f>IFERROR(__xludf.DUMMYFUNCTION("""COMPUTED_VALUE"""),20.0)</f>
        <v>20</v>
      </c>
      <c r="L477" s="56">
        <f>IFERROR(__xludf.DUMMYFUNCTION("""COMPUTED_VALUE"""),0.25925925925925924)</f>
        <v>0.2592592593</v>
      </c>
      <c r="M477" s="56">
        <f>IFERROR(__xludf.DUMMYFUNCTION("""COMPUTED_VALUE"""),0.19047619047619047)</f>
        <v>0.1904761905</v>
      </c>
      <c r="N477" s="31">
        <f>IFERROR(__xludf.DUMMYFUNCTION("""COMPUTED_VALUE"""),413.3333333333333)</f>
        <v>413.3333333</v>
      </c>
      <c r="O477" s="57">
        <f>IFERROR(__xludf.DUMMYFUNCTION("""COMPUTED_VALUE"""),0.4444444444444444)</f>
        <v>0.4444444444</v>
      </c>
      <c r="P477" s="57">
        <f>IFERROR(__xludf.DUMMYFUNCTION("""COMPUTED_VALUE"""),0.5185185185185185)</f>
        <v>0.5185185185</v>
      </c>
      <c r="Q477" s="57">
        <f>IFERROR(__xludf.DUMMYFUNCTION("""COMPUTED_VALUE"""),2.2962962962962963)</f>
        <v>2.296296296</v>
      </c>
      <c r="R477" s="57">
        <f>IFERROR(__xludf.DUMMYFUNCTION("""COMPUTED_VALUE"""),2.3333333333333335)</f>
        <v>2.333333333</v>
      </c>
      <c r="S477" s="31">
        <f>IFERROR(__xludf.DUMMYFUNCTION("""COMPUTED_VALUE"""),401.59259259259267)</f>
        <v>401.5925926</v>
      </c>
      <c r="T477" s="57">
        <f>IFERROR(__xludf.DUMMYFUNCTION("""COMPUTED_VALUE"""),1.0123456790123455)</f>
        <v>1.012345679</v>
      </c>
      <c r="U477" s="57">
        <f>IFERROR(__xludf.DUMMYFUNCTION("""COMPUTED_VALUE"""),0.8148148148148148)</f>
        <v>0.8148148148</v>
      </c>
      <c r="V477" s="57">
        <f>IFERROR(__xludf.DUMMYFUNCTION("""COMPUTED_VALUE"""),1.308641975308642)</f>
        <v>1.308641975</v>
      </c>
      <c r="W477" s="57">
        <f>IFERROR(__xludf.DUMMYFUNCTION("""COMPUTED_VALUE"""),3.407407407407408)</f>
        <v>3.407407407</v>
      </c>
      <c r="X477" s="31">
        <f>IFERROR(__xludf.DUMMYFUNCTION("""COMPUTED_VALUE"""),381.6969522045693)</f>
        <v>381.6969522</v>
      </c>
      <c r="Y477" s="57">
        <f>IFERROR(__xludf.DUMMYFUNCTION("""COMPUTED_VALUE"""),0.9013285307858951)</f>
        <v>0.9013285308</v>
      </c>
      <c r="Z477" s="57">
        <f>IFERROR(__xludf.DUMMYFUNCTION("""COMPUTED_VALUE"""),0.6856789820838801)</f>
        <v>0.6856789821</v>
      </c>
      <c r="AA477" s="57">
        <f>IFERROR(__xludf.DUMMYFUNCTION("""COMPUTED_VALUE"""),1.3698838119858232)</f>
        <v>1.369883812</v>
      </c>
      <c r="AB477" s="57">
        <f>IFERROR(__xludf.DUMMYFUNCTION("""COMPUTED_VALUE"""),2.9298161206654636)</f>
        <v>2.929816121</v>
      </c>
      <c r="AC477" s="31">
        <f>IFERROR(__xludf.DUMMYFUNCTION("""COMPUTED_VALUE"""),372.3548204361239)</f>
        <v>372.3548204</v>
      </c>
      <c r="AD477" s="57">
        <f>IFERROR(__xludf.DUMMYFUNCTION("""COMPUTED_VALUE"""),0.7738659818781902)</f>
        <v>0.7738659819</v>
      </c>
      <c r="AE477" s="57">
        <f>IFERROR(__xludf.DUMMYFUNCTION("""COMPUTED_VALUE"""),0.5951330453671013)</f>
        <v>0.5951330454</v>
      </c>
      <c r="AF477" s="57">
        <f>IFERROR(__xludf.DUMMYFUNCTION("""COMPUTED_VALUE"""),1.5419819734428584)</f>
        <v>1.541981973</v>
      </c>
      <c r="AG477" s="57">
        <f>IFERROR(__xludf.DUMMYFUNCTION("""COMPUTED_VALUE"""),2.588233681320602)</f>
        <v>2.588233681</v>
      </c>
      <c r="AH477" s="57">
        <f>IFERROR(__xludf.DUMMYFUNCTION("""COMPUTED_VALUE"""),1.110052322806545)</f>
        <v>1.110052323</v>
      </c>
      <c r="AI477" s="57">
        <f>IFERROR(__xludf.DUMMYFUNCTION("""COMPUTED_VALUE"""),0.5743170714983074)</f>
        <v>0.5743170715</v>
      </c>
      <c r="AJ477" s="57">
        <f>IFERROR(__xludf.DUMMYFUNCTION("""COMPUTED_VALUE"""),0.8712648752325222)</f>
        <v>0.8712648752</v>
      </c>
      <c r="AK477" s="57">
        <f>IFERROR(__xludf.DUMMYFUNCTION("""COMPUTED_VALUE"""),1.4891849164547906)</f>
        <v>1.489184916</v>
      </c>
      <c r="AL477" s="57">
        <f>IFERROR(__xludf.DUMMYFUNCTION("""COMPUTED_VALUE"""),0.90151571327315)</f>
        <v>0.9015157133</v>
      </c>
      <c r="AM477" s="57">
        <f>IFERROR(__xludf.DUMMYFUNCTION("""COMPUTED_VALUE"""),1.0521241793341864)</f>
        <v>1.052124179</v>
      </c>
      <c r="AN477" s="57">
        <f>IFERROR(__xludf.DUMMYFUNCTION("""COMPUTED_VALUE"""),1.1231705692591925)</f>
        <v>1.123170569</v>
      </c>
      <c r="AO477" s="57">
        <f>IFERROR(__xludf.DUMMYFUNCTION("""COMPUTED_VALUE"""),1.1883327856112371)</f>
        <v>1.188332786</v>
      </c>
      <c r="AP477" s="35">
        <f>IFERROR(__xludf.DUMMYFUNCTION("""COMPUTED_VALUE"""),0.9552941379835687)</f>
        <v>0.955294138</v>
      </c>
      <c r="AQ477" s="57">
        <f>IFERROR(__xludf.DUMMYFUNCTION("""COMPUTED_VALUE"""),1.1630106692953368)</f>
        <v>1.163010669</v>
      </c>
      <c r="AR477" s="36" t="b">
        <f>IFERROR(__xludf.DUMMYFUNCTION("""COMPUTED_VALUE"""),TRUE)</f>
        <v>1</v>
      </c>
      <c r="AS477" s="57"/>
      <c r="AT477" s="37"/>
      <c r="AU477" s="30"/>
      <c r="AV477" s="30"/>
      <c r="AW477" s="30"/>
      <c r="AX477" s="30"/>
      <c r="AY477" s="30"/>
      <c r="AZ477" s="30"/>
    </row>
    <row r="478">
      <c r="A478" s="30" t="str">
        <f>IFERROR(__xludf.DUMMYFUNCTION("""COMPUTED_VALUE"""),"Premier")</f>
        <v>Premier</v>
      </c>
      <c r="B478" s="30" t="str">
        <f>IFERROR(__xludf.DUMMYFUNCTION("""COMPUTED_VALUE"""),"RSC005481")</f>
        <v>RSC005481</v>
      </c>
      <c r="C478" s="30" t="str">
        <f>IFERROR(__xludf.DUMMYFUNCTION("""COMPUTED_VALUE"""),"Leonis")</f>
        <v>Leonis</v>
      </c>
      <c r="D478" s="31" t="str">
        <f>IFERROR(__xludf.DUMMYFUNCTION("""COMPUTED_VALUE"""),"Super Clusters")</f>
        <v>Super Clusters</v>
      </c>
      <c r="E478" s="31">
        <f>IFERROR(__xludf.DUMMYFUNCTION("""COMPUTED_VALUE"""),29.228510123708492)</f>
        <v>29.22851012</v>
      </c>
      <c r="F478" s="31">
        <f>IFERROR(__xludf.DUMMYFUNCTION("""COMPUTED_VALUE"""),-4.925465983311068)</f>
        <v>-4.925465983</v>
      </c>
      <c r="G478" s="31">
        <f>IFERROR(__xludf.DUMMYFUNCTION("""COMPUTED_VALUE"""),36.74019603571266)</f>
        <v>36.74019604</v>
      </c>
      <c r="H478" s="31">
        <f>IFERROR(__xludf.DUMMYFUNCTION("""COMPUTED_VALUE"""),-3.356605453117739)</f>
        <v>-3.356605453</v>
      </c>
      <c r="I478" s="54">
        <f>IFERROR(__xludf.DUMMYFUNCTION("""COMPUTED_VALUE"""),46.0)</f>
        <v>46</v>
      </c>
      <c r="J478" s="55">
        <f>IFERROR(__xludf.DUMMYFUNCTION("""COMPUTED_VALUE"""),13.0)</f>
        <v>13</v>
      </c>
      <c r="K478" s="54">
        <f>IFERROR(__xludf.DUMMYFUNCTION("""COMPUTED_VALUE"""),33.0)</f>
        <v>33</v>
      </c>
      <c r="L478" s="56">
        <f>IFERROR(__xludf.DUMMYFUNCTION("""COMPUTED_VALUE"""),0.2826086956521739)</f>
        <v>0.2826086957</v>
      </c>
      <c r="M478" s="56">
        <f>IFERROR(__xludf.DUMMYFUNCTION("""COMPUTED_VALUE"""),0.21568627450980393)</f>
        <v>0.2156862745</v>
      </c>
      <c r="N478" s="31">
        <f>IFERROR(__xludf.DUMMYFUNCTION("""COMPUTED_VALUE"""),353.39130434782606)</f>
        <v>353.3913043</v>
      </c>
      <c r="O478" s="57">
        <f>IFERROR(__xludf.DUMMYFUNCTION("""COMPUTED_VALUE"""),0.4782608695652174)</f>
        <v>0.4782608696</v>
      </c>
      <c r="P478" s="57">
        <f>IFERROR(__xludf.DUMMYFUNCTION("""COMPUTED_VALUE"""),0.6739130434782609)</f>
        <v>0.6739130435</v>
      </c>
      <c r="Q478" s="57">
        <f>IFERROR(__xludf.DUMMYFUNCTION("""COMPUTED_VALUE"""),1.6956521739130435)</f>
        <v>1.695652174</v>
      </c>
      <c r="R478" s="57">
        <f>IFERROR(__xludf.DUMMYFUNCTION("""COMPUTED_VALUE"""),2.217391304347826)</f>
        <v>2.217391304</v>
      </c>
      <c r="S478" s="31">
        <f>IFERROR(__xludf.DUMMYFUNCTION("""COMPUTED_VALUE"""),398.4202898550726)</f>
        <v>398.4202899</v>
      </c>
      <c r="T478" s="57">
        <f>IFERROR(__xludf.DUMMYFUNCTION("""COMPUTED_VALUE"""),1.0289855072463767)</f>
        <v>1.028985507</v>
      </c>
      <c r="U478" s="57">
        <f>IFERROR(__xludf.DUMMYFUNCTION("""COMPUTED_VALUE"""),0.8260869565217392)</f>
        <v>0.8260869565</v>
      </c>
      <c r="V478" s="57">
        <f>IFERROR(__xludf.DUMMYFUNCTION("""COMPUTED_VALUE"""),1.2101449275362317)</f>
        <v>1.210144928</v>
      </c>
      <c r="W478" s="57">
        <f>IFERROR(__xludf.DUMMYFUNCTION("""COMPUTED_VALUE"""),3.0652173913043472)</f>
        <v>3.065217391</v>
      </c>
      <c r="X478" s="31">
        <f>IFERROR(__xludf.DUMMYFUNCTION("""COMPUTED_VALUE"""),374.3959361841269)</f>
        <v>374.3959362</v>
      </c>
      <c r="Y478" s="57">
        <f>IFERROR(__xludf.DUMMYFUNCTION("""COMPUTED_VALUE"""),0.8361031964666097)</f>
        <v>0.8361031965</v>
      </c>
      <c r="Z478" s="57">
        <f>IFERROR(__xludf.DUMMYFUNCTION("""COMPUTED_VALUE"""),0.6651590819513042)</f>
        <v>0.665159082</v>
      </c>
      <c r="AA478" s="57">
        <f>IFERROR(__xludf.DUMMYFUNCTION("""COMPUTED_VALUE"""),1.4252621014167328)</f>
        <v>1.425262101</v>
      </c>
      <c r="AB478" s="57">
        <f>IFERROR(__xludf.DUMMYFUNCTION("""COMPUTED_VALUE"""),2.716386274021142)</f>
        <v>2.716386274</v>
      </c>
      <c r="AC478" s="31">
        <f>IFERROR(__xludf.DUMMYFUNCTION("""COMPUTED_VALUE"""),366.9573090396105)</f>
        <v>366.957309</v>
      </c>
      <c r="AD478" s="57">
        <f>IFERROR(__xludf.DUMMYFUNCTION("""COMPUTED_VALUE"""),0.8085607691630318)</f>
        <v>0.8085607692</v>
      </c>
      <c r="AE478" s="57">
        <f>IFERROR(__xludf.DUMMYFUNCTION("""COMPUTED_VALUE"""),0.6211229195959768)</f>
        <v>0.6211229196</v>
      </c>
      <c r="AF478" s="57">
        <f>IFERROR(__xludf.DUMMYFUNCTION("""COMPUTED_VALUE"""),1.4191362505828256)</f>
        <v>1.419136251</v>
      </c>
      <c r="AG478" s="57">
        <f>IFERROR(__xludf.DUMMYFUNCTION("""COMPUTED_VALUE"""),2.6821463380539354)</f>
        <v>2.682146338</v>
      </c>
      <c r="AH478" s="57">
        <f>IFERROR(__xludf.DUMMYFUNCTION("""COMPUTED_VALUE"""),0.963031109184638)</f>
        <v>0.9630311092</v>
      </c>
      <c r="AI478" s="57">
        <f>IFERROR(__xludf.DUMMYFUNCTION("""COMPUTED_VALUE"""),0.591496505649515)</f>
        <v>0.5914965056</v>
      </c>
      <c r="AJ478" s="57">
        <f>IFERROR(__xludf.DUMMYFUNCTION("""COMPUTED_VALUE"""),1.0849914279714916)</f>
        <v>1.084991428</v>
      </c>
      <c r="AK478" s="57">
        <f>IFERROR(__xludf.DUMMYFUNCTION("""COMPUTED_VALUE"""),1.1948480445176815)</f>
        <v>1.194848045</v>
      </c>
      <c r="AL478" s="57">
        <f>IFERROR(__xludf.DUMMYFUNCTION("""COMPUTED_VALUE"""),0.8267227156429809)</f>
        <v>0.8267227156</v>
      </c>
      <c r="AM478" s="57">
        <f>IFERROR(__xludf.DUMMYFUNCTION("""COMPUTED_VALUE"""),1.064168307796831)</f>
        <v>1.064168308</v>
      </c>
      <c r="AN478" s="57">
        <f>IFERROR(__xludf.DUMMYFUNCTION("""COMPUTED_VALUE"""),1.2306919906476759)</f>
        <v>1.230691991</v>
      </c>
      <c r="AO478" s="57">
        <f>IFERROR(__xludf.DUMMYFUNCTION("""COMPUTED_VALUE"""),1.241938926998243)</f>
        <v>1.241938927</v>
      </c>
      <c r="AP478" s="35">
        <f>IFERROR(__xludf.DUMMYFUNCTION("""COMPUTED_VALUE"""),0.8490683407166505)</f>
        <v>0.8490683407</v>
      </c>
      <c r="AQ478" s="57">
        <f>IFERROR(__xludf.DUMMYFUNCTION("""COMPUTED_VALUE"""),1.1284173464648017)</f>
        <v>1.128417346</v>
      </c>
      <c r="AR478" s="36" t="b">
        <f>IFERROR(__xludf.DUMMYFUNCTION("""COMPUTED_VALUE"""),TRUE)</f>
        <v>1</v>
      </c>
      <c r="AS478" s="57"/>
      <c r="AT478" s="37"/>
      <c r="AU478" s="30"/>
      <c r="AV478" s="30"/>
      <c r="AW478" s="30"/>
      <c r="AX478" s="30"/>
      <c r="AY478" s="30"/>
      <c r="AZ478" s="30"/>
    </row>
    <row r="479">
      <c r="A479" s="30" t="str">
        <f>IFERROR(__xludf.DUMMYFUNCTION("""COMPUTED_VALUE"""),"Premier")</f>
        <v>Premier</v>
      </c>
      <c r="B479" s="30" t="str">
        <f>IFERROR(__xludf.DUMMYFUNCTION("""COMPUTED_VALUE"""),"RSC007471")</f>
        <v>RSC007471</v>
      </c>
      <c r="C479" s="30" t="str">
        <f>IFERROR(__xludf.DUMMYFUNCTION("""COMPUTED_VALUE"""),"ha ha boo.")</f>
        <v>ha ha boo.</v>
      </c>
      <c r="D479" s="31"/>
      <c r="E479" s="31">
        <f>IFERROR(__xludf.DUMMYFUNCTION("""COMPUTED_VALUE"""),24.765089325777883)</f>
        <v>24.76508933</v>
      </c>
      <c r="F479" s="31">
        <f>IFERROR(__xludf.DUMMYFUNCTION("""COMPUTED_VALUE"""),-6.394177689971908)</f>
        <v>-6.39417769</v>
      </c>
      <c r="G479" s="31">
        <f>IFERROR(__xludf.DUMMYFUNCTION("""COMPUTED_VALUE"""),25.38629834384702)</f>
        <v>25.38629834</v>
      </c>
      <c r="H479" s="31">
        <f>IFERROR(__xludf.DUMMYFUNCTION("""COMPUTED_VALUE"""),-6.156761423110002)</f>
        <v>-6.156761423</v>
      </c>
      <c r="I479" s="54">
        <f>IFERROR(__xludf.DUMMYFUNCTION("""COMPUTED_VALUE"""),24.0)</f>
        <v>24</v>
      </c>
      <c r="J479" s="55">
        <f>IFERROR(__xludf.DUMMYFUNCTION("""COMPUTED_VALUE"""),5.0)</f>
        <v>5</v>
      </c>
      <c r="K479" s="54">
        <f>IFERROR(__xludf.DUMMYFUNCTION("""COMPUTED_VALUE"""),19.0)</f>
        <v>19</v>
      </c>
      <c r="L479" s="56">
        <f>IFERROR(__xludf.DUMMYFUNCTION("""COMPUTED_VALUE"""),0.20833333333333334)</f>
        <v>0.2083333333</v>
      </c>
      <c r="M479" s="56">
        <f>IFERROR(__xludf.DUMMYFUNCTION("""COMPUTED_VALUE"""),0.27272727272727276)</f>
        <v>0.2727272727</v>
      </c>
      <c r="N479" s="31">
        <f>IFERROR(__xludf.DUMMYFUNCTION("""COMPUTED_VALUE"""),339.9166666666667)</f>
        <v>339.9166667</v>
      </c>
      <c r="O479" s="57">
        <f>IFERROR(__xludf.DUMMYFUNCTION("""COMPUTED_VALUE"""),0.625)</f>
        <v>0.625</v>
      </c>
      <c r="P479" s="57">
        <f>IFERROR(__xludf.DUMMYFUNCTION("""COMPUTED_VALUE"""),0.4583333333333333)</f>
        <v>0.4583333333</v>
      </c>
      <c r="Q479" s="57">
        <f>IFERROR(__xludf.DUMMYFUNCTION("""COMPUTED_VALUE"""),1.6666666666666667)</f>
        <v>1.666666667</v>
      </c>
      <c r="R479" s="57">
        <f>IFERROR(__xludf.DUMMYFUNCTION("""COMPUTED_VALUE"""),2.2916666666666665)</f>
        <v>2.291666667</v>
      </c>
      <c r="S479" s="31">
        <f>IFERROR(__xludf.DUMMYFUNCTION("""COMPUTED_VALUE"""),400.40277777777777)</f>
        <v>400.4027778</v>
      </c>
      <c r="T479" s="57">
        <f>IFERROR(__xludf.DUMMYFUNCTION("""COMPUTED_VALUE"""),1.0138888888888893)</f>
        <v>1.013888889</v>
      </c>
      <c r="U479" s="57">
        <f>IFERROR(__xludf.DUMMYFUNCTION("""COMPUTED_VALUE"""),0.7777777777777778)</f>
        <v>0.7777777778</v>
      </c>
      <c r="V479" s="57">
        <f>IFERROR(__xludf.DUMMYFUNCTION("""COMPUTED_VALUE"""),1.2222222222222223)</f>
        <v>1.222222222</v>
      </c>
      <c r="W479" s="57">
        <f>IFERROR(__xludf.DUMMYFUNCTION("""COMPUTED_VALUE"""),3.2916666666666674)</f>
        <v>3.291666667</v>
      </c>
      <c r="X479" s="31">
        <f>IFERROR(__xludf.DUMMYFUNCTION("""COMPUTED_VALUE"""),376.27389442790144)</f>
        <v>376.2738944</v>
      </c>
      <c r="Y479" s="57">
        <f>IFERROR(__xludf.DUMMYFUNCTION("""COMPUTED_VALUE"""),0.8515186204705824)</f>
        <v>0.8515186205</v>
      </c>
      <c r="Z479" s="57">
        <f>IFERROR(__xludf.DUMMYFUNCTION("""COMPUTED_VALUE"""),0.6171140175959531)</f>
        <v>0.6171140176</v>
      </c>
      <c r="AA479" s="57">
        <f>IFERROR(__xludf.DUMMYFUNCTION("""COMPUTED_VALUE"""),1.4468241612777917)</f>
        <v>1.446824161</v>
      </c>
      <c r="AB479" s="57">
        <f>IFERROR(__xludf.DUMMYFUNCTION("""COMPUTED_VALUE"""),2.814548423122758)</f>
        <v>2.814548423</v>
      </c>
      <c r="AC479" s="31">
        <f>IFERROR(__xludf.DUMMYFUNCTION("""COMPUTED_VALUE"""),372.43745935492717)</f>
        <v>372.4374594</v>
      </c>
      <c r="AD479" s="57">
        <f>IFERROR(__xludf.DUMMYFUNCTION("""COMPUTED_VALUE"""),0.8053655417307332)</f>
        <v>0.8053655417</v>
      </c>
      <c r="AE479" s="57">
        <f>IFERROR(__xludf.DUMMYFUNCTION("""COMPUTED_VALUE"""),0.6294843056451679)</f>
        <v>0.6294843056</v>
      </c>
      <c r="AF479" s="57">
        <f>IFERROR(__xludf.DUMMYFUNCTION("""COMPUTED_VALUE"""),1.4764233523070178)</f>
        <v>1.476423352</v>
      </c>
      <c r="AG479" s="57">
        <f>IFERROR(__xludf.DUMMYFUNCTION("""COMPUTED_VALUE"""),2.717334066609617)</f>
        <v>2.717334067</v>
      </c>
      <c r="AH479" s="57">
        <f>IFERROR(__xludf.DUMMYFUNCTION("""COMPUTED_VALUE"""),0.9126811982216089)</f>
        <v>0.9126811982</v>
      </c>
      <c r="AI479" s="57">
        <f>IFERROR(__xludf.DUMMYFUNCTION("""COMPUTED_VALUE"""),0.7760451218919461)</f>
        <v>0.7760451219</v>
      </c>
      <c r="AJ479" s="57">
        <f>IFERROR(__xludf.DUMMYFUNCTION("""COMPUTED_VALUE"""),0.7281092304018296)</f>
        <v>0.7281092304</v>
      </c>
      <c r="AK479" s="57">
        <f>IFERROR(__xludf.DUMMYFUNCTION("""COMPUTED_VALUE"""),1.1288541759126067)</f>
        <v>1.128854176</v>
      </c>
      <c r="AL479" s="57">
        <f>IFERROR(__xludf.DUMMYFUNCTION("""COMPUTED_VALUE"""),0.843351097248764)</f>
        <v>0.8433510972</v>
      </c>
      <c r="AM479" s="57">
        <f>IFERROR(__xludf.DUMMYFUNCTION("""COMPUTED_VALUE"""),1.0641258500980055)</f>
        <v>1.06412585</v>
      </c>
      <c r="AN479" s="57">
        <f>IFERROR(__xludf.DUMMYFUNCTION("""COMPUTED_VALUE"""),1.1906831683006236)</f>
        <v>1.190683168</v>
      </c>
      <c r="AO479" s="57">
        <f>IFERROR(__xludf.DUMMYFUNCTION("""COMPUTED_VALUE"""),1.260346962799048)</f>
        <v>1.260346963</v>
      </c>
      <c r="AP479" s="35">
        <f>IFERROR(__xludf.DUMMYFUNCTION("""COMPUTED_VALUE"""),0.8447621037395396)</f>
        <v>0.8447621037</v>
      </c>
      <c r="AQ479" s="57">
        <f>IFERROR(__xludf.DUMMYFUNCTION("""COMPUTED_VALUE"""),1.1695185769852714)</f>
        <v>1.169518577</v>
      </c>
      <c r="AR479" s="36" t="b">
        <f>IFERROR(__xludf.DUMMYFUNCTION("""COMPUTED_VALUE"""),TRUE)</f>
        <v>1</v>
      </c>
      <c r="AS479" s="57"/>
      <c r="AT479" s="37"/>
      <c r="AU479" s="30"/>
      <c r="AV479" s="30"/>
      <c r="AW479" s="30"/>
      <c r="AX479" s="30"/>
      <c r="AY479" s="30"/>
      <c r="AZ479" s="30"/>
    </row>
    <row r="480">
      <c r="A480" s="30" t="str">
        <f>IFERROR(__xludf.DUMMYFUNCTION("""COMPUTED_VALUE"""),"Premier")</f>
        <v>Premier</v>
      </c>
      <c r="B480" s="30" t="str">
        <f>IFERROR(__xludf.DUMMYFUNCTION("""COMPUTED_VALUE"""),"RSC002714")</f>
        <v>RSC002714</v>
      </c>
      <c r="C480" s="30" t="str">
        <f>IFERROR(__xludf.DUMMYFUNCTION("""COMPUTED_VALUE"""),"Yujin")</f>
        <v>Yujin</v>
      </c>
      <c r="D480" s="31" t="str">
        <f>IFERROR(__xludf.DUMMYFUNCTION("""COMPUTED_VALUE"""),"Fairies")</f>
        <v>Fairies</v>
      </c>
      <c r="E480" s="31">
        <f>IFERROR(__xludf.DUMMYFUNCTION("""COMPUTED_VALUE"""),24.763672114147063)</f>
        <v>24.76367211</v>
      </c>
      <c r="F480" s="31">
        <f>IFERROR(__xludf.DUMMYFUNCTION("""COMPUTED_VALUE"""),-6.394733277189391)</f>
        <v>-6.394733277</v>
      </c>
      <c r="G480" s="31">
        <f>IFERROR(__xludf.DUMMYFUNCTION("""COMPUTED_VALUE"""),28.487007330817566)</f>
        <v>28.48700733</v>
      </c>
      <c r="H480" s="31">
        <f>IFERROR(__xludf.DUMMYFUNCTION("""COMPUTED_VALUE"""),-5.134753582254198)</f>
        <v>-5.134753582</v>
      </c>
      <c r="I480" s="54">
        <f>IFERROR(__xludf.DUMMYFUNCTION("""COMPUTED_VALUE"""),42.0)</f>
        <v>42</v>
      </c>
      <c r="J480" s="55">
        <f>IFERROR(__xludf.DUMMYFUNCTION("""COMPUTED_VALUE"""),11.0)</f>
        <v>11</v>
      </c>
      <c r="K480" s="54">
        <f>IFERROR(__xludf.DUMMYFUNCTION("""COMPUTED_VALUE"""),31.0)</f>
        <v>31</v>
      </c>
      <c r="L480" s="56">
        <f>IFERROR(__xludf.DUMMYFUNCTION("""COMPUTED_VALUE"""),0.2619047619047619)</f>
        <v>0.2619047619</v>
      </c>
      <c r="M480" s="56">
        <f>IFERROR(__xludf.DUMMYFUNCTION("""COMPUTED_VALUE"""),0.38461538461538464)</f>
        <v>0.3846153846</v>
      </c>
      <c r="N480" s="31">
        <f>IFERROR(__xludf.DUMMYFUNCTION("""COMPUTED_VALUE"""),341.92857142857144)</f>
        <v>341.9285714</v>
      </c>
      <c r="O480" s="57">
        <f>IFERROR(__xludf.DUMMYFUNCTION("""COMPUTED_VALUE"""),0.8333333333333334)</f>
        <v>0.8333333333</v>
      </c>
      <c r="P480" s="57">
        <f>IFERROR(__xludf.DUMMYFUNCTION("""COMPUTED_VALUE"""),0.35714285714285715)</f>
        <v>0.3571428571</v>
      </c>
      <c r="Q480" s="57">
        <f>IFERROR(__xludf.DUMMYFUNCTION("""COMPUTED_VALUE"""),1.380952380952381)</f>
        <v>1.380952381</v>
      </c>
      <c r="R480" s="57">
        <f>IFERROR(__xludf.DUMMYFUNCTION("""COMPUTED_VALUE"""),2.1666666666666665)</f>
        <v>2.166666667</v>
      </c>
      <c r="S480" s="31">
        <f>IFERROR(__xludf.DUMMYFUNCTION("""COMPUTED_VALUE"""),399.8095238095239)</f>
        <v>399.8095238</v>
      </c>
      <c r="T480" s="57">
        <f>IFERROR(__xludf.DUMMYFUNCTION("""COMPUTED_VALUE"""),1.103174603174603)</f>
        <v>1.103174603</v>
      </c>
      <c r="U480" s="57">
        <f>IFERROR(__xludf.DUMMYFUNCTION("""COMPUTED_VALUE"""),0.8730158730158729)</f>
        <v>0.873015873</v>
      </c>
      <c r="V480" s="57">
        <f>IFERROR(__xludf.DUMMYFUNCTION("""COMPUTED_VALUE"""),1.0873015873015872)</f>
        <v>1.087301587</v>
      </c>
      <c r="W480" s="57">
        <f>IFERROR(__xludf.DUMMYFUNCTION("""COMPUTED_VALUE"""),3.19047619047619)</f>
        <v>3.19047619</v>
      </c>
      <c r="X480" s="31">
        <f>IFERROR(__xludf.DUMMYFUNCTION("""COMPUTED_VALUE"""),371.63030044436016)</f>
        <v>371.6303004</v>
      </c>
      <c r="Y480" s="57">
        <f>IFERROR(__xludf.DUMMYFUNCTION("""COMPUTED_VALUE"""),0.837933904260491)</f>
        <v>0.8379339043</v>
      </c>
      <c r="Z480" s="57">
        <f>IFERROR(__xludf.DUMMYFUNCTION("""COMPUTED_VALUE"""),0.6458522414847763)</f>
        <v>0.6458522415</v>
      </c>
      <c r="AA480" s="57">
        <f>IFERROR(__xludf.DUMMYFUNCTION("""COMPUTED_VALUE"""),1.391209025120417)</f>
        <v>1.391209025</v>
      </c>
      <c r="AB480" s="57">
        <f>IFERROR(__xludf.DUMMYFUNCTION("""COMPUTED_VALUE"""),2.7911859359458036)</f>
        <v>2.791185936</v>
      </c>
      <c r="AC480" s="31">
        <f>IFERROR(__xludf.DUMMYFUNCTION("""COMPUTED_VALUE"""),372.62243616555435)</f>
        <v>372.6224362</v>
      </c>
      <c r="AD480" s="57">
        <f>IFERROR(__xludf.DUMMYFUNCTION("""COMPUTED_VALUE"""),0.8179985891720731)</f>
        <v>0.8179985892</v>
      </c>
      <c r="AE480" s="57">
        <f>IFERROR(__xludf.DUMMYFUNCTION("""COMPUTED_VALUE"""),0.6285472042881937)</f>
        <v>0.6285472043</v>
      </c>
      <c r="AF480" s="57">
        <f>IFERROR(__xludf.DUMMYFUNCTION("""COMPUTED_VALUE"""),1.466647835196265)</f>
        <v>1.466647835</v>
      </c>
      <c r="AG480" s="57">
        <f>IFERROR(__xludf.DUMMYFUNCTION("""COMPUTED_VALUE"""),2.6846455626529155)</f>
        <v>2.684645563</v>
      </c>
      <c r="AH480" s="57">
        <f>IFERROR(__xludf.DUMMYFUNCTION("""COMPUTED_VALUE"""),0.9176274379695544)</f>
        <v>0.917627438</v>
      </c>
      <c r="AI480" s="57">
        <f>IFERROR(__xludf.DUMMYFUNCTION("""COMPUTED_VALUE"""),1.0187466633368905)</f>
        <v>1.018746663</v>
      </c>
      <c r="AJ480" s="57">
        <f>IFERROR(__xludf.DUMMYFUNCTION("""COMPUTED_VALUE"""),0.5682037159759674)</f>
        <v>0.568203716</v>
      </c>
      <c r="AK480" s="57">
        <f>IFERROR(__xludf.DUMMYFUNCTION("""COMPUTED_VALUE"""),0.9415705309840678)</f>
        <v>0.941570531</v>
      </c>
      <c r="AL480" s="57">
        <f>IFERROR(__xludf.DUMMYFUNCTION("""COMPUTED_VALUE"""),0.8070587405681992)</f>
        <v>0.8070587406</v>
      </c>
      <c r="AM480" s="57">
        <f>IFERROR(__xludf.DUMMYFUNCTION("""COMPUTED_VALUE"""),1.075825957494504)</f>
        <v>1.075825957</v>
      </c>
      <c r="AN480" s="57">
        <f>IFERROR(__xludf.DUMMYFUNCTION("""COMPUTED_VALUE"""),1.3165413137784385)</f>
        <v>1.316541314</v>
      </c>
      <c r="AO480" s="57">
        <f>IFERROR(__xludf.DUMMYFUNCTION("""COMPUTED_VALUE"""),1.351726938361104)</f>
        <v>1.351726938</v>
      </c>
      <c r="AP480" s="35">
        <f>IFERROR(__xludf.DUMMYFUNCTION("""COMPUTED_VALUE"""),0.7815515624673834)</f>
        <v>0.7815515625</v>
      </c>
      <c r="AQ480" s="57">
        <f>IFERROR(__xludf.DUMMYFUNCTION("""COMPUTED_VALUE"""),1.1430539790947625)</f>
        <v>1.143053979</v>
      </c>
      <c r="AR480" s="36" t="b">
        <f>IFERROR(__xludf.DUMMYFUNCTION("""COMPUTED_VALUE"""),TRUE)</f>
        <v>1</v>
      </c>
      <c r="AS480" s="57"/>
      <c r="AT480" s="37"/>
      <c r="AU480" s="30"/>
      <c r="AV480" s="30"/>
      <c r="AW480" s="30"/>
      <c r="AX480" s="30"/>
      <c r="AY480" s="30"/>
      <c r="AZ480" s="30"/>
    </row>
    <row r="481">
      <c r="A481" s="30" t="str">
        <f>IFERROR(__xludf.DUMMYFUNCTION("""COMPUTED_VALUE"""),"Premier")</f>
        <v>Premier</v>
      </c>
      <c r="B481" s="30" t="str">
        <f>IFERROR(__xludf.DUMMYFUNCTION("""COMPUTED_VALUE"""),"RSC003334")</f>
        <v>RSC003334</v>
      </c>
      <c r="C481" s="30" t="str">
        <f>IFERROR(__xludf.DUMMYFUNCTION("""COMPUTED_VALUE"""),"hawk rl")</f>
        <v>hawk rl</v>
      </c>
      <c r="D481" s="31" t="str">
        <f>IFERROR(__xludf.DUMMYFUNCTION("""COMPUTED_VALUE"""),"Interstellar")</f>
        <v>Interstellar</v>
      </c>
      <c r="E481" s="31">
        <f>IFERROR(__xludf.DUMMYFUNCTION("""COMPUTED_VALUE"""),23.973096308457897)</f>
        <v>23.97309631</v>
      </c>
      <c r="F481" s="31">
        <f>IFERROR(__xludf.DUMMYFUNCTION("""COMPUTED_VALUE"""),-6.715010068203842)</f>
        <v>-6.715010068</v>
      </c>
      <c r="G481" s="31">
        <f>IFERROR(__xludf.DUMMYFUNCTION("""COMPUTED_VALUE"""),27.372130521201747)</f>
        <v>27.37213052</v>
      </c>
      <c r="H481" s="31">
        <f>IFERROR(__xludf.DUMMYFUNCTION("""COMPUTED_VALUE"""),-5.473385095581138)</f>
        <v>-5.473385096</v>
      </c>
      <c r="I481" s="54">
        <f>IFERROR(__xludf.DUMMYFUNCTION("""COMPUTED_VALUE"""),25.0)</f>
        <v>25</v>
      </c>
      <c r="J481" s="55">
        <f>IFERROR(__xludf.DUMMYFUNCTION("""COMPUTED_VALUE"""),7.0)</f>
        <v>7</v>
      </c>
      <c r="K481" s="54">
        <f>IFERROR(__xludf.DUMMYFUNCTION("""COMPUTED_VALUE"""),18.0)</f>
        <v>18</v>
      </c>
      <c r="L481" s="56">
        <f>IFERROR(__xludf.DUMMYFUNCTION("""COMPUTED_VALUE"""),0.28)</f>
        <v>0.28</v>
      </c>
      <c r="M481" s="56">
        <f>IFERROR(__xludf.DUMMYFUNCTION("""COMPUTED_VALUE"""),0.33333333333333337)</f>
        <v>0.3333333333</v>
      </c>
      <c r="N481" s="31">
        <f>IFERROR(__xludf.DUMMYFUNCTION("""COMPUTED_VALUE"""),283.92)</f>
        <v>283.92</v>
      </c>
      <c r="O481" s="57">
        <f>IFERROR(__xludf.DUMMYFUNCTION("""COMPUTED_VALUE"""),0.56)</f>
        <v>0.56</v>
      </c>
      <c r="P481" s="57">
        <f>IFERROR(__xludf.DUMMYFUNCTION("""COMPUTED_VALUE"""),0.64)</f>
        <v>0.64</v>
      </c>
      <c r="Q481" s="57">
        <f>IFERROR(__xludf.DUMMYFUNCTION("""COMPUTED_VALUE"""),1.08)</f>
        <v>1.08</v>
      </c>
      <c r="R481" s="57">
        <f>IFERROR(__xludf.DUMMYFUNCTION("""COMPUTED_VALUE"""),1.68)</f>
        <v>1.68</v>
      </c>
      <c r="S481" s="31">
        <f>IFERROR(__xludf.DUMMYFUNCTION("""COMPUTED_VALUE"""),365.16)</f>
        <v>365.16</v>
      </c>
      <c r="T481" s="57">
        <f>IFERROR(__xludf.DUMMYFUNCTION("""COMPUTED_VALUE"""),0.9466666666666669)</f>
        <v>0.9466666667</v>
      </c>
      <c r="U481" s="57">
        <f>IFERROR(__xludf.DUMMYFUNCTION("""COMPUTED_VALUE"""),0.6666666666666665)</f>
        <v>0.6666666667</v>
      </c>
      <c r="V481" s="57">
        <f>IFERROR(__xludf.DUMMYFUNCTION("""COMPUTED_VALUE"""),1.2133333333333334)</f>
        <v>1.213333333</v>
      </c>
      <c r="W481" s="57">
        <f>IFERROR(__xludf.DUMMYFUNCTION("""COMPUTED_VALUE"""),2.746666666666667)</f>
        <v>2.746666667</v>
      </c>
      <c r="X481" s="31">
        <f>IFERROR(__xludf.DUMMYFUNCTION("""COMPUTED_VALUE"""),373.0630856173339)</f>
        <v>373.0630856</v>
      </c>
      <c r="Y481" s="57">
        <f>IFERROR(__xludf.DUMMYFUNCTION("""COMPUTED_VALUE"""),0.8307082792933861)</f>
        <v>0.8307082793</v>
      </c>
      <c r="Z481" s="57">
        <f>IFERROR(__xludf.DUMMYFUNCTION("""COMPUTED_VALUE"""),0.673704665638523)</f>
        <v>0.6737046656</v>
      </c>
      <c r="AA481" s="57">
        <f>IFERROR(__xludf.DUMMYFUNCTION("""COMPUTED_VALUE"""),1.4584912263441407)</f>
        <v>1.458491226</v>
      </c>
      <c r="AB481" s="57">
        <f>IFERROR(__xludf.DUMMYFUNCTION("""COMPUTED_VALUE"""),2.686055581260947)</f>
        <v>2.686055581</v>
      </c>
      <c r="AC481" s="31">
        <f>IFERROR(__xludf.DUMMYFUNCTION("""COMPUTED_VALUE"""),372.14620888277796)</f>
        <v>372.1462089</v>
      </c>
      <c r="AD481" s="57">
        <f>IFERROR(__xludf.DUMMYFUNCTION("""COMPUTED_VALUE"""),0.8250259700453967)</f>
        <v>0.82502597</v>
      </c>
      <c r="AE481" s="57">
        <f>IFERROR(__xludf.DUMMYFUNCTION("""COMPUTED_VALUE"""),0.6534066595338566)</f>
        <v>0.6534066595</v>
      </c>
      <c r="AF481" s="57">
        <f>IFERROR(__xludf.DUMMYFUNCTION("""COMPUTED_VALUE"""),1.4168857216660178)</f>
        <v>1.416885722</v>
      </c>
      <c r="AG481" s="57">
        <f>IFERROR(__xludf.DUMMYFUNCTION("""COMPUTED_VALUE"""),2.688862840151925)</f>
        <v>2.68886284</v>
      </c>
      <c r="AH481" s="57">
        <f>IFERROR(__xludf.DUMMYFUNCTION("""COMPUTED_VALUE"""),0.7629259501322282)</f>
        <v>0.7629259501</v>
      </c>
      <c r="AI481" s="57">
        <f>IFERROR(__xludf.DUMMYFUNCTION("""COMPUTED_VALUE"""),0.6787665120034783)</f>
        <v>0.678766512</v>
      </c>
      <c r="AJ481" s="57">
        <f>IFERROR(__xludf.DUMMYFUNCTION("""COMPUTED_VALUE"""),0.9794819055817078)</f>
        <v>0.9794819056</v>
      </c>
      <c r="AK481" s="57">
        <f>IFERROR(__xludf.DUMMYFUNCTION("""COMPUTED_VALUE"""),0.7622350790084206)</f>
        <v>0.762235079</v>
      </c>
      <c r="AL481" s="57">
        <f>IFERROR(__xludf.DUMMYFUNCTION("""COMPUTED_VALUE"""),0.6247994412035823)</f>
        <v>0.6247994412</v>
      </c>
      <c r="AM481" s="57">
        <f>IFERROR(__xludf.DUMMYFUNCTION("""COMPUTED_VALUE"""),0.9788156858128805)</f>
        <v>0.9788156858</v>
      </c>
      <c r="AN481" s="57">
        <f>IFERROR(__xludf.DUMMYFUNCTION("""COMPUTED_VALUE"""),1.1395897817124405)</f>
        <v>1.139589782</v>
      </c>
      <c r="AO481" s="57">
        <f>IFERROR(__xludf.DUMMYFUNCTION("""COMPUTED_VALUE"""),0.9895532874702804)</f>
        <v>0.9895532875</v>
      </c>
      <c r="AP481" s="35">
        <f>IFERROR(__xludf.DUMMYFUNCTION("""COMPUTED_VALUE"""),0.8319099295336037)</f>
        <v>0.8319099295</v>
      </c>
      <c r="AQ481" s="57">
        <f>IFERROR(__xludf.DUMMYFUNCTION("""COMPUTED_VALUE"""),1.0225650898025225)</f>
        <v>1.02256509</v>
      </c>
      <c r="AR481" s="36" t="b">
        <f>IFERROR(__xludf.DUMMYFUNCTION("""COMPUTED_VALUE"""),TRUE)</f>
        <v>1</v>
      </c>
      <c r="AS481" s="57"/>
      <c r="AT481" s="37"/>
      <c r="AU481" s="30"/>
      <c r="AV481" s="30"/>
      <c r="AW481" s="30"/>
      <c r="AX481" s="30"/>
      <c r="AY481" s="30"/>
      <c r="AZ481" s="30"/>
    </row>
    <row r="482">
      <c r="A482" s="30" t="str">
        <f>IFERROR(__xludf.DUMMYFUNCTION("""COMPUTED_VALUE"""),"Premier")</f>
        <v>Premier</v>
      </c>
      <c r="B482" s="30" t="str">
        <f>IFERROR(__xludf.DUMMYFUNCTION("""COMPUTED_VALUE"""),"RSC007150")</f>
        <v>RSC007150</v>
      </c>
      <c r="C482" s="30" t="str">
        <f>IFERROR(__xludf.DUMMYFUNCTION("""COMPUTED_VALUE"""),"peach")</f>
        <v>peach</v>
      </c>
      <c r="D482" s="31" t="str">
        <f>IFERROR(__xludf.DUMMYFUNCTION("""COMPUTED_VALUE"""),"Fairies")</f>
        <v>Fairies</v>
      </c>
      <c r="E482" s="31">
        <f>IFERROR(__xludf.DUMMYFUNCTION("""COMPUTED_VALUE"""),14.203511544710828)</f>
        <v>14.20351154</v>
      </c>
      <c r="F482" s="31">
        <f>IFERROR(__xludf.DUMMYFUNCTION("""COMPUTED_VALUE"""),-13.141983947959373)</f>
        <v>-13.14198395</v>
      </c>
      <c r="G482" s="31">
        <f>IFERROR(__xludf.DUMMYFUNCTION("""COMPUTED_VALUE"""),9.407892392296176)</f>
        <v>9.407892392</v>
      </c>
      <c r="H482" s="31">
        <f>IFERROR(__xludf.DUMMYFUNCTION("""COMPUTED_VALUE"""),-19.149163866184864)</f>
        <v>-19.14916387</v>
      </c>
      <c r="I482" s="54">
        <f>IFERROR(__xludf.DUMMYFUNCTION("""COMPUTED_VALUE"""),28.0)</f>
        <v>28</v>
      </c>
      <c r="J482" s="55">
        <f>IFERROR(__xludf.DUMMYFUNCTION("""COMPUTED_VALUE"""),7.0)</f>
        <v>7</v>
      </c>
      <c r="K482" s="54">
        <f>IFERROR(__xludf.DUMMYFUNCTION("""COMPUTED_VALUE"""),21.0)</f>
        <v>21</v>
      </c>
      <c r="L482" s="56">
        <f>IFERROR(__xludf.DUMMYFUNCTION("""COMPUTED_VALUE"""),0.25)</f>
        <v>0.25</v>
      </c>
      <c r="M482" s="56">
        <f>IFERROR(__xludf.DUMMYFUNCTION("""COMPUTED_VALUE"""),0.16176470588235295)</f>
        <v>0.1617647059</v>
      </c>
      <c r="N482" s="31">
        <f>IFERROR(__xludf.DUMMYFUNCTION("""COMPUTED_VALUE"""),303.42857142857144)</f>
        <v>303.4285714</v>
      </c>
      <c r="O482" s="57">
        <f>IFERROR(__xludf.DUMMYFUNCTION("""COMPUTED_VALUE"""),0.39285714285714285)</f>
        <v>0.3928571429</v>
      </c>
      <c r="P482" s="57">
        <f>IFERROR(__xludf.DUMMYFUNCTION("""COMPUTED_VALUE"""),0.39285714285714285)</f>
        <v>0.3928571429</v>
      </c>
      <c r="Q482" s="57">
        <f>IFERROR(__xludf.DUMMYFUNCTION("""COMPUTED_VALUE"""),1.4285714285714286)</f>
        <v>1.428571429</v>
      </c>
      <c r="R482" s="57">
        <f>IFERROR(__xludf.DUMMYFUNCTION("""COMPUTED_VALUE"""),2.4285714285714284)</f>
        <v>2.428571429</v>
      </c>
      <c r="S482" s="31">
        <f>IFERROR(__xludf.DUMMYFUNCTION("""COMPUTED_VALUE"""),400.11904761904765)</f>
        <v>400.1190476</v>
      </c>
      <c r="T482" s="57">
        <f>IFERROR(__xludf.DUMMYFUNCTION("""COMPUTED_VALUE"""),0.9642857142857142)</f>
        <v>0.9642857143</v>
      </c>
      <c r="U482" s="57">
        <f>IFERROR(__xludf.DUMMYFUNCTION("""COMPUTED_VALUE"""),0.8095238095238094)</f>
        <v>0.8095238095</v>
      </c>
      <c r="V482" s="57">
        <f>IFERROR(__xludf.DUMMYFUNCTION("""COMPUTED_VALUE"""),1.440476190476191)</f>
        <v>1.44047619</v>
      </c>
      <c r="W482" s="57">
        <f>IFERROR(__xludf.DUMMYFUNCTION("""COMPUTED_VALUE"""),3.2142857142857144)</f>
        <v>3.214285714</v>
      </c>
      <c r="X482" s="31">
        <f>IFERROR(__xludf.DUMMYFUNCTION("""COMPUTED_VALUE"""),379.17442402427866)</f>
        <v>379.174424</v>
      </c>
      <c r="Y482" s="57">
        <f>IFERROR(__xludf.DUMMYFUNCTION("""COMPUTED_VALUE"""),0.8675302211817941)</f>
        <v>0.8675302212</v>
      </c>
      <c r="Z482" s="57">
        <f>IFERROR(__xludf.DUMMYFUNCTION("""COMPUTED_VALUE"""),0.6701188143884996)</f>
        <v>0.6701188144</v>
      </c>
      <c r="AA482" s="57">
        <f>IFERROR(__xludf.DUMMYFUNCTION("""COMPUTED_VALUE"""),1.4173348012733906)</f>
        <v>1.417334801</v>
      </c>
      <c r="AB482" s="57">
        <f>IFERROR(__xludf.DUMMYFUNCTION("""COMPUTED_VALUE"""),2.7800062694848306)</f>
        <v>2.780006269</v>
      </c>
      <c r="AC482" s="31">
        <f>IFERROR(__xludf.DUMMYFUNCTION("""COMPUTED_VALUE"""),367.44280129824847)</f>
        <v>367.4428013</v>
      </c>
      <c r="AD482" s="57">
        <f>IFERROR(__xludf.DUMMYFUNCTION("""COMPUTED_VALUE"""),0.7933296730456617)</f>
        <v>0.793329673</v>
      </c>
      <c r="AE482" s="57">
        <f>IFERROR(__xludf.DUMMYFUNCTION("""COMPUTED_VALUE"""),0.6057640357755564)</f>
        <v>0.6057640358</v>
      </c>
      <c r="AF482" s="57">
        <f>IFERROR(__xludf.DUMMYFUNCTION("""COMPUTED_VALUE"""),1.4545709140980634)</f>
        <v>1.454570914</v>
      </c>
      <c r="AG482" s="57">
        <f>IFERROR(__xludf.DUMMYFUNCTION("""COMPUTED_VALUE"""),2.679194419389272)</f>
        <v>2.679194419</v>
      </c>
      <c r="AH482" s="57">
        <f>IFERROR(__xludf.DUMMYFUNCTION("""COMPUTED_VALUE"""),0.8257845040275601)</f>
        <v>0.825784504</v>
      </c>
      <c r="AI482" s="57">
        <f>IFERROR(__xludf.DUMMYFUNCTION("""COMPUTED_VALUE"""),0.4952003639910884)</f>
        <v>0.495200364</v>
      </c>
      <c r="AJ482" s="57">
        <f>IFERROR(__xludf.DUMMYFUNCTION("""COMPUTED_VALUE"""),0.6485316388157147)</f>
        <v>0.6485316388</v>
      </c>
      <c r="AK482" s="57">
        <f>IFERROR(__xludf.DUMMYFUNCTION("""COMPUTED_VALUE"""),0.9821256665628046)</f>
        <v>0.9821256666</v>
      </c>
      <c r="AL482" s="57">
        <f>IFERROR(__xludf.DUMMYFUNCTION("""COMPUTED_VALUE"""),0.9064558402316418)</f>
        <v>0.9064558402</v>
      </c>
      <c r="AM482" s="57">
        <f>IFERROR(__xludf.DUMMYFUNCTION("""COMPUTED_VALUE"""),1.0552374376216576)</f>
        <v>1.055237438</v>
      </c>
      <c r="AN482" s="57">
        <f>IFERROR(__xludf.DUMMYFUNCTION("""COMPUTED_VALUE"""),1.1115298242545542)</f>
        <v>1.111529824</v>
      </c>
      <c r="AO482" s="57">
        <f>IFERROR(__xludf.DUMMYFUNCTION("""COMPUTED_VALUE"""),1.2080302658902666)</f>
        <v>1.208030266</v>
      </c>
      <c r="AP482" s="35">
        <f>IFERROR(__xludf.DUMMYFUNCTION("""COMPUTED_VALUE"""),1.0163273978611187)</f>
        <v>1.016327398</v>
      </c>
      <c r="AQ482" s="57">
        <f>IFERROR(__xludf.DUMMYFUNCTION("""COMPUTED_VALUE"""),1.1562152753279082)</f>
        <v>1.156215275</v>
      </c>
      <c r="AR482" s="36" t="b">
        <f>IFERROR(__xludf.DUMMYFUNCTION("""COMPUTED_VALUE"""),TRUE)</f>
        <v>1</v>
      </c>
      <c r="AS482" s="57"/>
      <c r="AT482" s="37"/>
      <c r="AU482" s="30"/>
      <c r="AV482" s="30"/>
      <c r="AW482" s="30"/>
      <c r="AX482" s="30"/>
      <c r="AY482" s="30"/>
      <c r="AZ482" s="30"/>
    </row>
    <row r="483">
      <c r="A483" s="30" t="str">
        <f>IFERROR(__xludf.DUMMYFUNCTION("""COMPUTED_VALUE"""),"Premier")</f>
        <v>Premier</v>
      </c>
      <c r="B483" s="30" t="str">
        <f>IFERROR(__xludf.DUMMYFUNCTION("""COMPUTED_VALUE"""),"RSC005340")</f>
        <v>RSC005340</v>
      </c>
      <c r="C483" s="30" t="str">
        <f>IFERROR(__xludf.DUMMYFUNCTION("""COMPUTED_VALUE"""),"Mystikal")</f>
        <v>Mystikal</v>
      </c>
      <c r="D483" s="31"/>
      <c r="E483" s="31">
        <f>IFERROR(__xludf.DUMMYFUNCTION("""COMPUTED_VALUE"""),13.735679054920624)</f>
        <v>13.73567905</v>
      </c>
      <c r="F483" s="31">
        <f>IFERROR(__xludf.DUMMYFUNCTION("""COMPUTED_VALUE"""),-13.614811079169746)</f>
        <v>-13.61481108</v>
      </c>
      <c r="G483" s="31">
        <f>IFERROR(__xludf.DUMMYFUNCTION("""COMPUTED_VALUE"""),6.47027097432936)</f>
        <v>6.470270974</v>
      </c>
      <c r="H483" s="31">
        <f>IFERROR(__xludf.DUMMYFUNCTION("""COMPUTED_VALUE"""),-24.494666892025073)</f>
        <v>-24.49466689</v>
      </c>
      <c r="I483" s="54">
        <f>IFERROR(__xludf.DUMMYFUNCTION("""COMPUTED_VALUE"""),4.0)</f>
        <v>4</v>
      </c>
      <c r="J483" s="55">
        <f>IFERROR(__xludf.DUMMYFUNCTION("""COMPUTED_VALUE"""),0.0)</f>
        <v>0</v>
      </c>
      <c r="K483" s="54">
        <f>IFERROR(__xludf.DUMMYFUNCTION("""COMPUTED_VALUE"""),4.0)</f>
        <v>4</v>
      </c>
      <c r="L483" s="56">
        <f>IFERROR(__xludf.DUMMYFUNCTION("""COMPUTED_VALUE"""),0.0)</f>
        <v>0</v>
      </c>
      <c r="M483" s="56">
        <f>IFERROR(__xludf.DUMMYFUNCTION("""COMPUTED_VALUE"""),0.2857142857142857)</f>
        <v>0.2857142857</v>
      </c>
      <c r="N483" s="31">
        <f>IFERROR(__xludf.DUMMYFUNCTION("""COMPUTED_VALUE"""),272.0)</f>
        <v>272</v>
      </c>
      <c r="O483" s="57">
        <f>IFERROR(__xludf.DUMMYFUNCTION("""COMPUTED_VALUE"""),0.5)</f>
        <v>0.5</v>
      </c>
      <c r="P483" s="57">
        <f>IFERROR(__xludf.DUMMYFUNCTION("""COMPUTED_VALUE"""),0.5)</f>
        <v>0.5</v>
      </c>
      <c r="Q483" s="57">
        <f>IFERROR(__xludf.DUMMYFUNCTION("""COMPUTED_VALUE"""),1.0)</f>
        <v>1</v>
      </c>
      <c r="R483" s="57">
        <f>IFERROR(__xludf.DUMMYFUNCTION("""COMPUTED_VALUE"""),1.75)</f>
        <v>1.75</v>
      </c>
      <c r="S483" s="31">
        <f>IFERROR(__xludf.DUMMYFUNCTION("""COMPUTED_VALUE"""),403.66666666666663)</f>
        <v>403.6666667</v>
      </c>
      <c r="T483" s="57">
        <f>IFERROR(__xludf.DUMMYFUNCTION("""COMPUTED_VALUE"""),1.0)</f>
        <v>1</v>
      </c>
      <c r="U483" s="57">
        <f>IFERROR(__xludf.DUMMYFUNCTION("""COMPUTED_VALUE"""),0.9166666666666666)</f>
        <v>0.9166666667</v>
      </c>
      <c r="V483" s="57">
        <f>IFERROR(__xludf.DUMMYFUNCTION("""COMPUTED_VALUE"""),1.5833333333333333)</f>
        <v>1.583333333</v>
      </c>
      <c r="W483" s="57">
        <f>IFERROR(__xludf.DUMMYFUNCTION("""COMPUTED_VALUE"""),2.916666666666667)</f>
        <v>2.916666667</v>
      </c>
      <c r="X483" s="31">
        <f>IFERROR(__xludf.DUMMYFUNCTION("""COMPUTED_VALUE"""),391.5191597127081)</f>
        <v>391.5191597</v>
      </c>
      <c r="Y483" s="57">
        <f>IFERROR(__xludf.DUMMYFUNCTION("""COMPUTED_VALUE"""),0.88480923319633)</f>
        <v>0.8848092332</v>
      </c>
      <c r="Z483" s="57">
        <f>IFERROR(__xludf.DUMMYFUNCTION("""COMPUTED_VALUE"""),0.7155478058703865)</f>
        <v>0.7155478059</v>
      </c>
      <c r="AA483" s="57">
        <f>IFERROR(__xludf.DUMMYFUNCTION("""COMPUTED_VALUE"""),1.5116951052434924)</f>
        <v>1.511695105</v>
      </c>
      <c r="AB483" s="57">
        <f>IFERROR(__xludf.DUMMYFUNCTION("""COMPUTED_VALUE"""),2.737518163324615)</f>
        <v>2.737518163</v>
      </c>
      <c r="AC483" s="31">
        <f>IFERROR(__xludf.DUMMYFUNCTION("""COMPUTED_VALUE"""),339.212291554227)</f>
        <v>339.2122916</v>
      </c>
      <c r="AD483" s="57">
        <f>IFERROR(__xludf.DUMMYFUNCTION("""COMPUTED_VALUE"""),0.7679439808472066)</f>
        <v>0.7679439808</v>
      </c>
      <c r="AE483" s="57">
        <f>IFERROR(__xludf.DUMMYFUNCTION("""COMPUTED_VALUE"""),0.58229750487815)</f>
        <v>0.5822975049</v>
      </c>
      <c r="AF483" s="57">
        <f>IFERROR(__xludf.DUMMYFUNCTION("""COMPUTED_VALUE"""),1.2408353053514343)</f>
        <v>1.240835305</v>
      </c>
      <c r="AG483" s="57">
        <f>IFERROR(__xludf.DUMMYFUNCTION("""COMPUTED_VALUE"""),2.7223453868615164)</f>
        <v>2.722345387</v>
      </c>
      <c r="AH483" s="57">
        <f>IFERROR(__xludf.DUMMYFUNCTION("""COMPUTED_VALUE"""),0.8018577356195763)</f>
        <v>0.8018577356</v>
      </c>
      <c r="AI483" s="57">
        <f>IFERROR(__xludf.DUMMYFUNCTION("""COMPUTED_VALUE"""),0.6510891581549906)</f>
        <v>0.6510891582</v>
      </c>
      <c r="AJ483" s="57">
        <f>IFERROR(__xludf.DUMMYFUNCTION("""COMPUTED_VALUE"""),0.858667598283164)</f>
        <v>0.8586675983</v>
      </c>
      <c r="AK483" s="57">
        <f>IFERROR(__xludf.DUMMYFUNCTION("""COMPUTED_VALUE"""),0.8059087259100643)</f>
        <v>0.8059087259</v>
      </c>
      <c r="AL483" s="57">
        <f>IFERROR(__xludf.DUMMYFUNCTION("""COMPUTED_VALUE"""),0.6428280586459697)</f>
        <v>0.6428280586</v>
      </c>
      <c r="AM483" s="57">
        <f>IFERROR(__xludf.DUMMYFUNCTION("""COMPUTED_VALUE"""),1.0310265964068586)</f>
        <v>1.031026596</v>
      </c>
      <c r="AN483" s="57">
        <f>IFERROR(__xludf.DUMMYFUNCTION("""COMPUTED_VALUE"""),1.1301871211125918)</f>
        <v>1.130187121</v>
      </c>
      <c r="AO483" s="57">
        <f>IFERROR(__xludf.DUMMYFUNCTION("""COMPUTED_VALUE"""),1.2810697749979694)</f>
        <v>1.281069775</v>
      </c>
      <c r="AP483" s="35">
        <f>IFERROR(__xludf.DUMMYFUNCTION("""COMPUTED_VALUE"""),1.0473893365410494)</f>
        <v>1.047389337</v>
      </c>
      <c r="AQ483" s="57">
        <f>IFERROR(__xludf.DUMMYFUNCTION("""COMPUTED_VALUE"""),1.0654419414424936)</f>
        <v>1.065441941</v>
      </c>
      <c r="AR483" s="36" t="b">
        <f>IFERROR(__xludf.DUMMYFUNCTION("""COMPUTED_VALUE"""),TRUE)</f>
        <v>1</v>
      </c>
      <c r="AS483" s="57"/>
      <c r="AT483" s="37"/>
      <c r="AU483" s="30"/>
      <c r="AV483" s="30"/>
      <c r="AW483" s="30"/>
      <c r="AX483" s="30"/>
      <c r="AY483" s="30"/>
      <c r="AZ483" s="30"/>
    </row>
    <row r="484">
      <c r="A484" s="30" t="str">
        <f>IFERROR(__xludf.DUMMYFUNCTION("""COMPUTED_VALUE"""),"Premier")</f>
        <v>Premier</v>
      </c>
      <c r="B484" s="30" t="str">
        <f>IFERROR(__xludf.DUMMYFUNCTION("""COMPUTED_VALUE"""),"RSC000330")</f>
        <v>RSC000330</v>
      </c>
      <c r="C484" s="30" t="str">
        <f>IFERROR(__xludf.DUMMYFUNCTION("""COMPUTED_VALUE"""),"Infinite")</f>
        <v>Infinite</v>
      </c>
      <c r="D484" s="31" t="str">
        <f>IFERROR(__xludf.DUMMYFUNCTION("""COMPUTED_VALUE"""),"Oblivion")</f>
        <v>Oblivion</v>
      </c>
      <c r="E484" s="31">
        <f>IFERROR(__xludf.DUMMYFUNCTION("""COMPUTED_VALUE"""),5.617533924585807)</f>
        <v>5.617533925</v>
      </c>
      <c r="F484" s="31">
        <f>IFERROR(__xludf.DUMMYFUNCTION("""COMPUTED_VALUE"""),-26.368321637965646)</f>
        <v>-26.36832164</v>
      </c>
      <c r="G484" s="31">
        <f>IFERROR(__xludf.DUMMYFUNCTION("""COMPUTED_VALUE"""),0.38584664658405643)</f>
        <v>0.3858466466</v>
      </c>
      <c r="H484" s="31">
        <f>IFERROR(__xludf.DUMMYFUNCTION("""COMPUTED_VALUE"""),-42.37937894288276)</f>
        <v>-42.37937894</v>
      </c>
      <c r="I484" s="54">
        <f>IFERROR(__xludf.DUMMYFUNCTION("""COMPUTED_VALUE"""),4.0)</f>
        <v>4</v>
      </c>
      <c r="J484" s="55">
        <f>IFERROR(__xludf.DUMMYFUNCTION("""COMPUTED_VALUE"""),0.0)</f>
        <v>0</v>
      </c>
      <c r="K484" s="54">
        <f>IFERROR(__xludf.DUMMYFUNCTION("""COMPUTED_VALUE"""),4.0)</f>
        <v>4</v>
      </c>
      <c r="L484" s="56">
        <f>IFERROR(__xludf.DUMMYFUNCTION("""COMPUTED_VALUE"""),0.0)</f>
        <v>0</v>
      </c>
      <c r="M484" s="56">
        <f>IFERROR(__xludf.DUMMYFUNCTION("""COMPUTED_VALUE"""),0.6666666666666666)</f>
        <v>0.6666666667</v>
      </c>
      <c r="N484" s="31">
        <f>IFERROR(__xludf.DUMMYFUNCTION("""COMPUTED_VALUE"""),349.0)</f>
        <v>349</v>
      </c>
      <c r="O484" s="57">
        <f>IFERROR(__xludf.DUMMYFUNCTION("""COMPUTED_VALUE"""),1.0)</f>
        <v>1</v>
      </c>
      <c r="P484" s="57">
        <f>IFERROR(__xludf.DUMMYFUNCTION("""COMPUTED_VALUE"""),0.0)</f>
        <v>0</v>
      </c>
      <c r="Q484" s="57">
        <f>IFERROR(__xludf.DUMMYFUNCTION("""COMPUTED_VALUE"""),1.75)</f>
        <v>1.75</v>
      </c>
      <c r="R484" s="57">
        <f>IFERROR(__xludf.DUMMYFUNCTION("""COMPUTED_VALUE"""),1.5)</f>
        <v>1.5</v>
      </c>
      <c r="S484" s="31">
        <f>IFERROR(__xludf.DUMMYFUNCTION("""COMPUTED_VALUE"""),453.75000000000006)</f>
        <v>453.75</v>
      </c>
      <c r="T484" s="57">
        <f>IFERROR(__xludf.DUMMYFUNCTION("""COMPUTED_VALUE"""),1.0833333333333333)</f>
        <v>1.083333333</v>
      </c>
      <c r="U484" s="57">
        <f>IFERROR(__xludf.DUMMYFUNCTION("""COMPUTED_VALUE"""),1.0)</f>
        <v>1</v>
      </c>
      <c r="V484" s="57">
        <f>IFERROR(__xludf.DUMMYFUNCTION("""COMPUTED_VALUE"""),1.3333333333333333)</f>
        <v>1.333333333</v>
      </c>
      <c r="W484" s="57">
        <f>IFERROR(__xludf.DUMMYFUNCTION("""COMPUTED_VALUE"""),3.5000000000000004)</f>
        <v>3.5</v>
      </c>
      <c r="X484" s="31">
        <f>IFERROR(__xludf.DUMMYFUNCTION("""COMPUTED_VALUE"""),393.5612772240679)</f>
        <v>393.5612772</v>
      </c>
      <c r="Y484" s="57">
        <f>IFERROR(__xludf.DUMMYFUNCTION("""COMPUTED_VALUE"""),0.8506829088224438)</f>
        <v>0.8506829088</v>
      </c>
      <c r="Z484" s="57">
        <f>IFERROR(__xludf.DUMMYFUNCTION("""COMPUTED_VALUE"""),0.615171650055371)</f>
        <v>0.6151716501</v>
      </c>
      <c r="AA484" s="57">
        <f>IFERROR(__xludf.DUMMYFUNCTION("""COMPUTED_VALUE"""),1.569029162052418)</f>
        <v>1.569029162</v>
      </c>
      <c r="AB484" s="57">
        <f>IFERROR(__xludf.DUMMYFUNCTION("""COMPUTED_VALUE"""),3.0754891103728315)</f>
        <v>3.07548911</v>
      </c>
      <c r="AC484" s="31">
        <f>IFERROR(__xludf.DUMMYFUNCTION("""COMPUTED_VALUE"""),379.6340593084779)</f>
        <v>379.6340593</v>
      </c>
      <c r="AD484" s="57">
        <f>IFERROR(__xludf.DUMMYFUNCTION("""COMPUTED_VALUE"""),0.7444321397809768)</f>
        <v>0.7444321398</v>
      </c>
      <c r="AE484" s="57">
        <f>IFERROR(__xludf.DUMMYFUNCTION("""COMPUTED_VALUE"""),0.5830564784053157)</f>
        <v>0.5830564784</v>
      </c>
      <c r="AF484" s="57">
        <f>IFERROR(__xludf.DUMMYFUNCTION("""COMPUTED_VALUE"""),1.6587301587301588)</f>
        <v>1.658730159</v>
      </c>
      <c r="AG484" s="57">
        <f>IFERROR(__xludf.DUMMYFUNCTION("""COMPUTED_VALUE"""),2.755321766949674)</f>
        <v>2.755321767</v>
      </c>
      <c r="AH484" s="57">
        <f>IFERROR(__xludf.DUMMYFUNCTION("""COMPUTED_VALUE"""),0.9193063463160304)</f>
        <v>0.9193063463</v>
      </c>
      <c r="AI484" s="57">
        <f>IFERROR(__xludf.DUMMYFUNCTION("""COMPUTED_VALUE"""),1.3433057851239674)</f>
        <v>1.343305785</v>
      </c>
      <c r="AJ484" s="57">
        <f>IFERROR(__xludf.DUMMYFUNCTION("""COMPUTED_VALUE"""),0.0)</f>
        <v>0</v>
      </c>
      <c r="AK484" s="57">
        <f>IFERROR(__xludf.DUMMYFUNCTION("""COMPUTED_VALUE"""),1.055023923444976)</f>
        <v>1.055023923</v>
      </c>
      <c r="AL484" s="57">
        <f>IFERROR(__xludf.DUMMYFUNCTION("""COMPUTED_VALUE"""),0.5444010271296194)</f>
        <v>0.5444010271</v>
      </c>
      <c r="AM484" s="57">
        <f>IFERROR(__xludf.DUMMYFUNCTION("""COMPUTED_VALUE"""),1.1529335487486607)</f>
        <v>1.152933549</v>
      </c>
      <c r="AN484" s="57">
        <f>IFERROR(__xludf.DUMMYFUNCTION("""COMPUTED_VALUE"""),1.273486656541549)</f>
        <v>1.273486657</v>
      </c>
      <c r="AO484" s="57">
        <f>IFERROR(__xludf.DUMMYFUNCTION("""COMPUTED_VALUE"""),1.6255625562556255)</f>
        <v>1.625562556</v>
      </c>
      <c r="AP484" s="35">
        <f>IFERROR(__xludf.DUMMYFUNCTION("""COMPUTED_VALUE"""),0.8497823785437006)</f>
        <v>0.8497823785</v>
      </c>
      <c r="AQ484" s="57">
        <f>IFERROR(__xludf.DUMMYFUNCTION("""COMPUTED_VALUE"""),1.13803036668067)</f>
        <v>1.138030367</v>
      </c>
      <c r="AR484" s="36" t="b">
        <f>IFERROR(__xludf.DUMMYFUNCTION("""COMPUTED_VALUE"""),TRUE)</f>
        <v>1</v>
      </c>
      <c r="AS484" s="57"/>
      <c r="AT484" s="37"/>
      <c r="AU484" s="30"/>
      <c r="AV484" s="30"/>
      <c r="AW484" s="30"/>
      <c r="AX484" s="30"/>
      <c r="AY484" s="30"/>
      <c r="AZ484" s="30"/>
    </row>
    <row r="485">
      <c r="A485" s="30" t="str">
        <f>IFERROR(__xludf.DUMMYFUNCTION("""COMPUTED_VALUE"""),"Premier")</f>
        <v>Premier</v>
      </c>
      <c r="B485" s="30" t="str">
        <f>IFERROR(__xludf.DUMMYFUNCTION("""COMPUTED_VALUE"""),"RSC007830")</f>
        <v>RSC007830</v>
      </c>
      <c r="C485" s="30" t="str">
        <f>IFERROR(__xludf.DUMMYFUNCTION("""COMPUTED_VALUE"""),"ghosty rl")</f>
        <v>ghosty rl</v>
      </c>
      <c r="D485" s="31"/>
      <c r="E485" s="31">
        <f>IFERROR(__xludf.DUMMYFUNCTION("""COMPUTED_VALUE"""),-5.840420851328474)</f>
        <v>-5.840420851</v>
      </c>
      <c r="F485" s="31">
        <f>IFERROR(__xludf.DUMMYFUNCTION("""COMPUTED_VALUE"""),-78.40586660356585)</f>
        <v>-78.4058666</v>
      </c>
      <c r="G485" s="31">
        <f>IFERROR(__xludf.DUMMYFUNCTION("""COMPUTED_VALUE"""),17.905602943555273)</f>
        <v>17.90560294</v>
      </c>
      <c r="H485" s="31">
        <f>IFERROR(__xludf.DUMMYFUNCTION("""COMPUTED_VALUE"""),-10.039133314561706)</f>
        <v>-10.03913331</v>
      </c>
      <c r="I485" s="54">
        <f>IFERROR(__xludf.DUMMYFUNCTION("""COMPUTED_VALUE"""),8.0)</f>
        <v>8</v>
      </c>
      <c r="J485" s="55">
        <f>IFERROR(__xludf.DUMMYFUNCTION("""COMPUTED_VALUE"""),2.0)</f>
        <v>2</v>
      </c>
      <c r="K485" s="54">
        <f>IFERROR(__xludf.DUMMYFUNCTION("""COMPUTED_VALUE"""),6.0)</f>
        <v>6</v>
      </c>
      <c r="L485" s="56">
        <f>IFERROR(__xludf.DUMMYFUNCTION("""COMPUTED_VALUE"""),0.25)</f>
        <v>0.25</v>
      </c>
      <c r="M485" s="56">
        <f>IFERROR(__xludf.DUMMYFUNCTION("""COMPUTED_VALUE"""),0.125)</f>
        <v>0.125</v>
      </c>
      <c r="N485" s="31">
        <f>IFERROR(__xludf.DUMMYFUNCTION("""COMPUTED_VALUE"""),336.625)</f>
        <v>336.625</v>
      </c>
      <c r="O485" s="57">
        <f>IFERROR(__xludf.DUMMYFUNCTION("""COMPUTED_VALUE"""),0.25)</f>
        <v>0.25</v>
      </c>
      <c r="P485" s="57">
        <f>IFERROR(__xludf.DUMMYFUNCTION("""COMPUTED_VALUE"""),0.25)</f>
        <v>0.25</v>
      </c>
      <c r="Q485" s="57">
        <f>IFERROR(__xludf.DUMMYFUNCTION("""COMPUTED_VALUE"""),2.25)</f>
        <v>2.25</v>
      </c>
      <c r="R485" s="57">
        <f>IFERROR(__xludf.DUMMYFUNCTION("""COMPUTED_VALUE"""),2.0)</f>
        <v>2</v>
      </c>
      <c r="S485" s="31">
        <f>IFERROR(__xludf.DUMMYFUNCTION("""COMPUTED_VALUE"""),410.08333333333337)</f>
        <v>410.0833333</v>
      </c>
      <c r="T485" s="57">
        <f>IFERROR(__xludf.DUMMYFUNCTION("""COMPUTED_VALUE"""),1.1666666666666667)</f>
        <v>1.166666667</v>
      </c>
      <c r="U485" s="57">
        <f>IFERROR(__xludf.DUMMYFUNCTION("""COMPUTED_VALUE"""),1.0833333333333333)</f>
        <v>1.083333333</v>
      </c>
      <c r="V485" s="57">
        <f>IFERROR(__xludf.DUMMYFUNCTION("""COMPUTED_VALUE"""),1.0833333333333333)</f>
        <v>1.083333333</v>
      </c>
      <c r="W485" s="57">
        <f>IFERROR(__xludf.DUMMYFUNCTION("""COMPUTED_VALUE"""),3.041666666666667)</f>
        <v>3.041666667</v>
      </c>
      <c r="X485" s="31">
        <f>IFERROR(__xludf.DUMMYFUNCTION("""COMPUTED_VALUE"""),375.05125000000004)</f>
        <v>375.05125</v>
      </c>
      <c r="Y485" s="57">
        <f>IFERROR(__xludf.DUMMYFUNCTION("""COMPUTED_VALUE"""),0.8495833333333334)</f>
        <v>0.8495833333</v>
      </c>
      <c r="Z485" s="57">
        <f>IFERROR(__xludf.DUMMYFUNCTION("""COMPUTED_VALUE"""),0.7629166666666667)</f>
        <v>0.7629166667</v>
      </c>
      <c r="AA485" s="57">
        <f>IFERROR(__xludf.DUMMYFUNCTION("""COMPUTED_VALUE"""),1.4084722222222223)</f>
        <v>1.408472222</v>
      </c>
      <c r="AB485" s="57">
        <f>IFERROR(__xludf.DUMMYFUNCTION("""COMPUTED_VALUE"""),2.78625)</f>
        <v>2.78625</v>
      </c>
      <c r="AC485" s="31">
        <f>IFERROR(__xludf.DUMMYFUNCTION("""COMPUTED_VALUE"""),371.8889351851853)</f>
        <v>371.8889352</v>
      </c>
      <c r="AD485" s="57">
        <f>IFERROR(__xludf.DUMMYFUNCTION("""COMPUTED_VALUE"""),0.8117129629629629)</f>
        <v>0.811712963</v>
      </c>
      <c r="AE485" s="57">
        <f>IFERROR(__xludf.DUMMYFUNCTION("""COMPUTED_VALUE"""),0.5972222222222221)</f>
        <v>0.5972222222</v>
      </c>
      <c r="AF485" s="57">
        <f>IFERROR(__xludf.DUMMYFUNCTION("""COMPUTED_VALUE"""),1.4992129629629631)</f>
        <v>1.499212963</v>
      </c>
      <c r="AG485" s="57">
        <f>IFERROR(__xludf.DUMMYFUNCTION("""COMPUTED_VALUE"""),2.6489814814814814)</f>
        <v>2.648981481</v>
      </c>
      <c r="AH485" s="57">
        <f>IFERROR(__xludf.DUMMYFUNCTION("""COMPUTED_VALUE"""),0.9051761645782085)</f>
        <v>0.9051761646</v>
      </c>
      <c r="AI485" s="57">
        <f>IFERROR(__xludf.DUMMYFUNCTION("""COMPUTED_VALUE"""),0.307990646210004)</f>
        <v>0.3079906462</v>
      </c>
      <c r="AJ485" s="57">
        <f>IFERROR(__xludf.DUMMYFUNCTION("""COMPUTED_VALUE"""),0.4186046511627908)</f>
        <v>0.4186046512</v>
      </c>
      <c r="AK485" s="57">
        <f>IFERROR(__xludf.DUMMYFUNCTION("""COMPUTED_VALUE"""),1.5007874502053544)</f>
        <v>1.50078745</v>
      </c>
      <c r="AL485" s="57">
        <f>IFERROR(__xludf.DUMMYFUNCTION("""COMPUTED_VALUE"""),0.7550071655772659)</f>
        <v>0.7550071656</v>
      </c>
      <c r="AM485" s="57">
        <f>IFERROR(__xludf.DUMMYFUNCTION("""COMPUTED_VALUE"""),1.0934061233853596)</f>
        <v>1.093406123</v>
      </c>
      <c r="AN485" s="57">
        <f>IFERROR(__xludf.DUMMYFUNCTION("""COMPUTED_VALUE"""),1.373222167729279)</f>
        <v>1.373222168</v>
      </c>
      <c r="AO485" s="57">
        <f>IFERROR(__xludf.DUMMYFUNCTION("""COMPUTED_VALUE"""),1.4199890770070998)</f>
        <v>1.419989077</v>
      </c>
      <c r="AP485" s="35">
        <f>IFERROR(__xludf.DUMMYFUNCTION("""COMPUTED_VALUE"""),0.769154915688788)</f>
        <v>0.7691549157</v>
      </c>
      <c r="AQ485" s="57">
        <f>IFERROR(__xludf.DUMMYFUNCTION("""COMPUTED_VALUE"""),1.0916704052639452)</f>
        <v>1.091670405</v>
      </c>
      <c r="AR485" s="36" t="b">
        <f>IFERROR(__xludf.DUMMYFUNCTION("""COMPUTED_VALUE"""),TRUE)</f>
        <v>1</v>
      </c>
      <c r="AS485" s="57"/>
      <c r="AT485" s="37"/>
      <c r="AU485" s="30"/>
      <c r="AV485" s="30"/>
      <c r="AW485" s="30"/>
      <c r="AX485" s="30"/>
      <c r="AY485" s="30"/>
      <c r="AZ485" s="30"/>
    </row>
    <row r="486">
      <c r="A486" s="30" t="str">
        <f>IFERROR(__xludf.DUMMYFUNCTION("""COMPUTED_VALUE"""),"Premier")</f>
        <v>Premier</v>
      </c>
      <c r="B486" s="30" t="str">
        <f>IFERROR(__xludf.DUMMYFUNCTION("""COMPUTED_VALUE"""),"RSC004810")</f>
        <v>RSC004810</v>
      </c>
      <c r="C486" s="30" t="str">
        <f>IFERROR(__xludf.DUMMYFUNCTION("""COMPUTED_VALUE"""),"feed.")</f>
        <v>feed.</v>
      </c>
      <c r="D486" s="31"/>
      <c r="E486" s="31">
        <f>IFERROR(__xludf.DUMMYFUNCTION("""COMPUTED_VALUE"""),-37.55254565844449)</f>
        <v>-37.55254566</v>
      </c>
      <c r="F486" s="31">
        <f>IFERROR(__xludf.DUMMYFUNCTION("""COMPUTED_VALUE"""),-4332.72591472551)</f>
        <v>-4332.725915</v>
      </c>
      <c r="G486" s="31">
        <f>IFERROR(__xludf.DUMMYFUNCTION("""COMPUTED_VALUE"""),-0.6958780665853439)</f>
        <v>-0.6958780666</v>
      </c>
      <c r="H486" s="31">
        <f>IFERROR(__xludf.DUMMYFUNCTION("""COMPUTED_VALUE"""),-46.97363172536436)</f>
        <v>-46.97363173</v>
      </c>
      <c r="I486" s="54">
        <f>IFERROR(__xludf.DUMMYFUNCTION("""COMPUTED_VALUE"""),2.0)</f>
        <v>2</v>
      </c>
      <c r="J486" s="55">
        <f>IFERROR(__xludf.DUMMYFUNCTION("""COMPUTED_VALUE"""),0.0)</f>
        <v>0</v>
      </c>
      <c r="K486" s="54">
        <f>IFERROR(__xludf.DUMMYFUNCTION("""COMPUTED_VALUE"""),2.0)</f>
        <v>2</v>
      </c>
      <c r="L486" s="56">
        <f>IFERROR(__xludf.DUMMYFUNCTION("""COMPUTED_VALUE"""),0.0)</f>
        <v>0</v>
      </c>
      <c r="M486" s="56">
        <f>IFERROR(__xludf.DUMMYFUNCTION("""COMPUTED_VALUE"""),0.0)</f>
        <v>0</v>
      </c>
      <c r="N486" s="31">
        <f>IFERROR(__xludf.DUMMYFUNCTION("""COMPUTED_VALUE"""),292.5)</f>
        <v>292.5</v>
      </c>
      <c r="O486" s="57">
        <f>IFERROR(__xludf.DUMMYFUNCTION("""COMPUTED_VALUE"""),0.0)</f>
        <v>0</v>
      </c>
      <c r="P486" s="57">
        <f>IFERROR(__xludf.DUMMYFUNCTION("""COMPUTED_VALUE"""),0.5)</f>
        <v>0.5</v>
      </c>
      <c r="Q486" s="57">
        <f>IFERROR(__xludf.DUMMYFUNCTION("""COMPUTED_VALUE"""),2.5)</f>
        <v>2.5</v>
      </c>
      <c r="R486" s="57">
        <f>IFERROR(__xludf.DUMMYFUNCTION("""COMPUTED_VALUE"""),1.5)</f>
        <v>1.5</v>
      </c>
      <c r="S486" s="31">
        <f>IFERROR(__xludf.DUMMYFUNCTION("""COMPUTED_VALUE"""),564.6666666666666)</f>
        <v>564.6666667</v>
      </c>
      <c r="T486" s="57">
        <f>IFERROR(__xludf.DUMMYFUNCTION("""COMPUTED_VALUE"""),2.1666666666666665)</f>
        <v>2.166666667</v>
      </c>
      <c r="U486" s="57">
        <f>IFERROR(__xludf.DUMMYFUNCTION("""COMPUTED_VALUE"""),1.5)</f>
        <v>1.5</v>
      </c>
      <c r="V486" s="57">
        <f>IFERROR(__xludf.DUMMYFUNCTION("""COMPUTED_VALUE"""),0.8333333333333333)</f>
        <v>0.8333333333</v>
      </c>
      <c r="W486" s="57">
        <f>IFERROR(__xludf.DUMMYFUNCTION("""COMPUTED_VALUE"""),4.5)</f>
        <v>4.5</v>
      </c>
      <c r="X486" s="31">
        <f>IFERROR(__xludf.DUMMYFUNCTION("""COMPUTED_VALUE"""),388.9082125603864)</f>
        <v>388.9082126</v>
      </c>
      <c r="Y486" s="57">
        <f>IFERROR(__xludf.DUMMYFUNCTION("""COMPUTED_VALUE"""),0.9133885438233263)</f>
        <v>0.9133885438</v>
      </c>
      <c r="Z486" s="57">
        <f>IFERROR(__xludf.DUMMYFUNCTION("""COMPUTED_VALUE"""),0.753968253968254)</f>
        <v>0.753968254</v>
      </c>
      <c r="AA486" s="57">
        <f>IFERROR(__xludf.DUMMYFUNCTION("""COMPUTED_VALUE"""),1.2915804002760525)</f>
        <v>1.2915804</v>
      </c>
      <c r="AB486" s="57">
        <f>IFERROR(__xludf.DUMMYFUNCTION("""COMPUTED_VALUE"""),2.9199447895100072)</f>
        <v>2.91994479</v>
      </c>
      <c r="AC486" s="31">
        <f>IFERROR(__xludf.DUMMYFUNCTION("""COMPUTED_VALUE"""),346.6098458707154)</f>
        <v>346.6098459</v>
      </c>
      <c r="AD486" s="57">
        <f>IFERROR(__xludf.DUMMYFUNCTION("""COMPUTED_VALUE"""),0.6982976765585462)</f>
        <v>0.6982976766</v>
      </c>
      <c r="AE486" s="57">
        <f>IFERROR(__xludf.DUMMYFUNCTION("""COMPUTED_VALUE"""),0.5144927536231885)</f>
        <v>0.5144927536</v>
      </c>
      <c r="AF486" s="57">
        <f>IFERROR(__xludf.DUMMYFUNCTION("""COMPUTED_VALUE"""),1.4876926616057051)</f>
        <v>1.487692662</v>
      </c>
      <c r="AG486" s="57">
        <f>IFERROR(__xludf.DUMMYFUNCTION("""COMPUTED_VALUE"""),2.3719806763285023)</f>
        <v>2.371980676</v>
      </c>
      <c r="AH486" s="57">
        <f>IFERROR(__xludf.DUMMYFUNCTION("""COMPUTED_VALUE"""),0.8438883184787017)</f>
        <v>0.8438883185</v>
      </c>
      <c r="AI486" s="57">
        <f>IFERROR(__xludf.DUMMYFUNCTION("""COMPUTED_VALUE"""),0.0)</f>
        <v>0</v>
      </c>
      <c r="AJ486" s="57">
        <f>IFERROR(__xludf.DUMMYFUNCTION("""COMPUTED_VALUE"""),0.9718309859154929)</f>
        <v>0.9718309859</v>
      </c>
      <c r="AK486" s="57">
        <f>IFERROR(__xludf.DUMMYFUNCTION("""COMPUTED_VALUE"""),1.6804546157414566)</f>
        <v>1.680454616</v>
      </c>
      <c r="AL486" s="57">
        <f>IFERROR(__xludf.DUMMYFUNCTION("""COMPUTED_VALUE"""),0.6323828920570265)</f>
        <v>0.6323828921</v>
      </c>
      <c r="AM486" s="57">
        <f>IFERROR(__xludf.DUMMYFUNCTION("""COMPUTED_VALUE"""),1.451927854516546)</f>
        <v>1.451927855</v>
      </c>
      <c r="AN486" s="57">
        <f>IFERROR(__xludf.DUMMYFUNCTION("""COMPUTED_VALUE"""),2.3721193804306764)</f>
        <v>2.37211938</v>
      </c>
      <c r="AO486" s="57">
        <f>IFERROR(__xludf.DUMMYFUNCTION("""COMPUTED_VALUE"""),1.9894736842105263)</f>
        <v>1.989473684</v>
      </c>
      <c r="AP486" s="35">
        <f>IFERROR(__xludf.DUMMYFUNCTION("""COMPUTED_VALUE"""),0.645204381512156)</f>
        <v>0.6452043815</v>
      </c>
      <c r="AQ486" s="57">
        <f>IFERROR(__xludf.DUMMYFUNCTION("""COMPUTED_VALUE"""),1.5411250295438428)</f>
        <v>1.54112503</v>
      </c>
      <c r="AR486" s="36" t="b">
        <f>IFERROR(__xludf.DUMMYFUNCTION("""COMPUTED_VALUE"""),TRUE)</f>
        <v>1</v>
      </c>
      <c r="AS486" s="57"/>
      <c r="AT486" s="37"/>
      <c r="AU486" s="30"/>
      <c r="AV486" s="30"/>
      <c r="AW486" s="30"/>
      <c r="AX486" s="30"/>
      <c r="AY486" s="30"/>
      <c r="AZ486" s="30"/>
    </row>
    <row r="487">
      <c r="A487" s="30" t="str">
        <f>IFERROR(__xludf.DUMMYFUNCTION("""COMPUTED_VALUE"""),"Prospect")</f>
        <v>Prospect</v>
      </c>
      <c r="B487" s="30" t="str">
        <f>IFERROR(__xludf.DUMMYFUNCTION("""COMPUTED_VALUE"""),"RSC007904")</f>
        <v>RSC007904</v>
      </c>
      <c r="C487" s="30" t="str">
        <f>IFERROR(__xludf.DUMMYFUNCTION("""COMPUTED_VALUE"""),"Branthedan")</f>
        <v>Branthedan</v>
      </c>
      <c r="D487" s="31" t="str">
        <f>IFERROR(__xludf.DUMMYFUNCTION("""COMPUTED_VALUE"""),"Dime")</f>
        <v>Dime</v>
      </c>
      <c r="E487" s="31">
        <f>IFERROR(__xludf.DUMMYFUNCTION("""COMPUTED_VALUE"""),100.51827312641062)</f>
        <v>100.5182731</v>
      </c>
      <c r="F487" s="31">
        <f>IFERROR(__xludf.DUMMYFUNCTION("""COMPUTED_VALUE"""),46.18124224193021)</f>
        <v>46.18124224</v>
      </c>
      <c r="G487" s="31">
        <f>IFERROR(__xludf.DUMMYFUNCTION("""COMPUTED_VALUE"""),86.49506484239724)</f>
        <v>86.49506484</v>
      </c>
      <c r="H487" s="31">
        <f>IFERROR(__xludf.DUMMYFUNCTION("""COMPUTED_VALUE"""),13.855756740419585)</f>
        <v>13.85575674</v>
      </c>
      <c r="I487" s="54">
        <f>IFERROR(__xludf.DUMMYFUNCTION("""COMPUTED_VALUE"""),48.0)</f>
        <v>48</v>
      </c>
      <c r="J487" s="55">
        <f>IFERROR(__xludf.DUMMYFUNCTION("""COMPUTED_VALUE"""),29.0)</f>
        <v>29</v>
      </c>
      <c r="K487" s="54">
        <f>IFERROR(__xludf.DUMMYFUNCTION("""COMPUTED_VALUE"""),19.0)</f>
        <v>19</v>
      </c>
      <c r="L487" s="56">
        <f>IFERROR(__xludf.DUMMYFUNCTION("""COMPUTED_VALUE"""),0.6041666666666666)</f>
        <v>0.6041666667</v>
      </c>
      <c r="M487" s="56">
        <f>IFERROR(__xludf.DUMMYFUNCTION("""COMPUTED_VALUE"""),0.39622641509433965)</f>
        <v>0.3962264151</v>
      </c>
      <c r="N487" s="31">
        <f>IFERROR(__xludf.DUMMYFUNCTION("""COMPUTED_VALUE"""),407.3333333333333)</f>
        <v>407.3333333</v>
      </c>
      <c r="O487" s="57">
        <f>IFERROR(__xludf.DUMMYFUNCTION("""COMPUTED_VALUE"""),1.3125)</f>
        <v>1.3125</v>
      </c>
      <c r="P487" s="57">
        <f>IFERROR(__xludf.DUMMYFUNCTION("""COMPUTED_VALUE"""),0.6458333333333334)</f>
        <v>0.6458333333</v>
      </c>
      <c r="Q487" s="57">
        <f>IFERROR(__xludf.DUMMYFUNCTION("""COMPUTED_VALUE"""),1.1041666666666667)</f>
        <v>1.104166667</v>
      </c>
      <c r="R487" s="57">
        <f>IFERROR(__xludf.DUMMYFUNCTION("""COMPUTED_VALUE"""),3.3125)</f>
        <v>3.3125</v>
      </c>
      <c r="S487" s="31">
        <f>IFERROR(__xludf.DUMMYFUNCTION("""COMPUTED_VALUE"""),314.6319444444444)</f>
        <v>314.6319444</v>
      </c>
      <c r="T487" s="57">
        <f>IFERROR(__xludf.DUMMYFUNCTION("""COMPUTED_VALUE"""),0.673611111111111)</f>
        <v>0.6736111111</v>
      </c>
      <c r="U487" s="57">
        <f>IFERROR(__xludf.DUMMYFUNCTION("""COMPUTED_VALUE"""),0.46527777777777785)</f>
        <v>0.4652777778</v>
      </c>
      <c r="V487" s="57">
        <f>IFERROR(__xludf.DUMMYFUNCTION("""COMPUTED_VALUE"""),1.3333333333333333)</f>
        <v>1.333333333</v>
      </c>
      <c r="W487" s="57">
        <f>IFERROR(__xludf.DUMMYFUNCTION("""COMPUTED_VALUE"""),1.9722222222222225)</f>
        <v>1.972222222</v>
      </c>
      <c r="X487" s="31">
        <f>IFERROR(__xludf.DUMMYFUNCTION("""COMPUTED_VALUE"""),331.7679221655415)</f>
        <v>331.7679222</v>
      </c>
      <c r="Y487" s="57">
        <f>IFERROR(__xludf.DUMMYFUNCTION("""COMPUTED_VALUE"""),0.7689432195633527)</f>
        <v>0.7689432196</v>
      </c>
      <c r="Z487" s="57">
        <f>IFERROR(__xludf.DUMMYFUNCTION("""COMPUTED_VALUE"""),0.508793551835426)</f>
        <v>0.5087935518</v>
      </c>
      <c r="AA487" s="57">
        <f>IFERROR(__xludf.DUMMYFUNCTION("""COMPUTED_VALUE"""),1.2103500019558762)</f>
        <v>1.210350002</v>
      </c>
      <c r="AB487" s="57">
        <f>IFERROR(__xludf.DUMMYFUNCTION("""COMPUTED_VALUE"""),2.398450660286533)</f>
        <v>2.39845066</v>
      </c>
      <c r="AC487" s="31">
        <f>IFERROR(__xludf.DUMMYFUNCTION("""COMPUTED_VALUE"""),337.90947009576513)</f>
        <v>337.9094701</v>
      </c>
      <c r="AD487" s="57">
        <f>IFERROR(__xludf.DUMMYFUNCTION("""COMPUTED_VALUE"""),0.8110684118398753)</f>
        <v>0.8110684118</v>
      </c>
      <c r="AE487" s="57">
        <f>IFERROR(__xludf.DUMMYFUNCTION("""COMPUTED_VALUE"""),0.5427506065589153)</f>
        <v>0.5427506066</v>
      </c>
      <c r="AF487" s="57">
        <f>IFERROR(__xludf.DUMMYFUNCTION("""COMPUTED_VALUE"""),1.1798152823307584)</f>
        <v>1.179815282</v>
      </c>
      <c r="AG487" s="57">
        <f>IFERROR(__xludf.DUMMYFUNCTION("""COMPUTED_VALUE"""),2.4836630009173586)</f>
        <v>2.483663001</v>
      </c>
      <c r="AH487" s="57">
        <f>IFERROR(__xludf.DUMMYFUNCTION("""COMPUTED_VALUE"""),1.2054510730873957)</f>
        <v>1.205451073</v>
      </c>
      <c r="AI487" s="57">
        <f>IFERROR(__xludf.DUMMYFUNCTION("""COMPUTED_VALUE"""),1.6182358736208795)</f>
        <v>1.618235874</v>
      </c>
      <c r="AJ487" s="57">
        <f>IFERROR(__xludf.DUMMYFUNCTION("""COMPUTED_VALUE"""),1.1899265068130855)</f>
        <v>1.189926507</v>
      </c>
      <c r="AK487" s="57">
        <f>IFERROR(__xludf.DUMMYFUNCTION("""COMPUTED_VALUE"""),0.9358809664554898)</f>
        <v>0.9358809665</v>
      </c>
      <c r="AL487" s="57">
        <f>IFERROR(__xludf.DUMMYFUNCTION("""COMPUTED_VALUE"""),1.3337155639780858)</f>
        <v>1.333715564</v>
      </c>
      <c r="AM487" s="57">
        <f>IFERROR(__xludf.DUMMYFUNCTION("""COMPUTED_VALUE"""),0.9483495040471489)</f>
        <v>0.948349504</v>
      </c>
      <c r="AN487" s="57">
        <f>IFERROR(__xludf.DUMMYFUNCTION("""COMPUTED_VALUE"""),0.8760219141975446)</f>
        <v>0.8760219142</v>
      </c>
      <c r="AO487" s="57">
        <f>IFERROR(__xludf.DUMMYFUNCTION("""COMPUTED_VALUE"""),0.914472630597088)</f>
        <v>0.9144726306</v>
      </c>
      <c r="AP487" s="35">
        <f>IFERROR(__xludf.DUMMYFUNCTION("""COMPUTED_VALUE"""),1.101609725433735)</f>
        <v>1.101609725</v>
      </c>
      <c r="AQ487" s="57">
        <f>IFERROR(__xludf.DUMMYFUNCTION("""COMPUTED_VALUE"""),0.8222900953845802)</f>
        <v>0.8222900954</v>
      </c>
      <c r="AR487" s="36" t="b">
        <f>IFERROR(__xludf.DUMMYFUNCTION("""COMPUTED_VALUE"""),TRUE)</f>
        <v>1</v>
      </c>
      <c r="AS487" s="57"/>
      <c r="AT487" s="37"/>
      <c r="AU487" s="30"/>
      <c r="AV487" s="30"/>
      <c r="AW487" s="30"/>
      <c r="AX487" s="30"/>
      <c r="AY487" s="30"/>
      <c r="AZ487" s="30"/>
    </row>
    <row r="488">
      <c r="A488" s="30" t="str">
        <f>IFERROR(__xludf.DUMMYFUNCTION("""COMPUTED_VALUE"""),"Prospect")</f>
        <v>Prospect</v>
      </c>
      <c r="B488" s="30" t="str">
        <f>IFERROR(__xludf.DUMMYFUNCTION("""COMPUTED_VALUE"""),"RSC006832")</f>
        <v>RSC006832</v>
      </c>
      <c r="C488" s="30" t="str">
        <f>IFERROR(__xludf.DUMMYFUNCTION("""COMPUTED_VALUE"""),"Pandaliciously")</f>
        <v>Pandaliciously</v>
      </c>
      <c r="D488" s="31" t="str">
        <f>IFERROR(__xludf.DUMMYFUNCTION("""COMPUTED_VALUE"""),"Horizon Highball")</f>
        <v>Horizon Highball</v>
      </c>
      <c r="E488" s="31">
        <f>IFERROR(__xludf.DUMMYFUNCTION("""COMPUTED_VALUE"""),94.24991677704946)</f>
        <v>94.24991678</v>
      </c>
      <c r="F488" s="31">
        <f>IFERROR(__xludf.DUMMYFUNCTION("""COMPUTED_VALUE"""),26.066207159069684)</f>
        <v>26.06620716</v>
      </c>
      <c r="G488" s="31">
        <f>IFERROR(__xludf.DUMMYFUNCTION("""COMPUTED_VALUE"""),77.5253745168737)</f>
        <v>77.52537452</v>
      </c>
      <c r="H488" s="31">
        <f>IFERROR(__xludf.DUMMYFUNCTION("""COMPUTED_VALUE"""),7.383066878384281)</f>
        <v>7.383066878</v>
      </c>
      <c r="I488" s="54">
        <f>IFERROR(__xludf.DUMMYFUNCTION("""COMPUTED_VALUE"""),33.0)</f>
        <v>33</v>
      </c>
      <c r="J488" s="55">
        <f>IFERROR(__xludf.DUMMYFUNCTION("""COMPUTED_VALUE"""),23.0)</f>
        <v>23</v>
      </c>
      <c r="K488" s="54">
        <f>IFERROR(__xludf.DUMMYFUNCTION("""COMPUTED_VALUE"""),10.0)</f>
        <v>10</v>
      </c>
      <c r="L488" s="56">
        <f>IFERROR(__xludf.DUMMYFUNCTION("""COMPUTED_VALUE"""),0.696969696969697)</f>
        <v>0.696969697</v>
      </c>
      <c r="M488" s="56">
        <f>IFERROR(__xludf.DUMMYFUNCTION("""COMPUTED_VALUE"""),0.41000000000000003)</f>
        <v>0.41</v>
      </c>
      <c r="N488" s="31">
        <f>IFERROR(__xludf.DUMMYFUNCTION("""COMPUTED_VALUE"""),415.030303030303)</f>
        <v>415.030303</v>
      </c>
      <c r="O488" s="57">
        <f>IFERROR(__xludf.DUMMYFUNCTION("""COMPUTED_VALUE"""),1.2424242424242424)</f>
        <v>1.242424242</v>
      </c>
      <c r="P488" s="57">
        <f>IFERROR(__xludf.DUMMYFUNCTION("""COMPUTED_VALUE"""),0.5151515151515151)</f>
        <v>0.5151515152</v>
      </c>
      <c r="Q488" s="57">
        <f>IFERROR(__xludf.DUMMYFUNCTION("""COMPUTED_VALUE"""),1.303030303030303)</f>
        <v>1.303030303</v>
      </c>
      <c r="R488" s="57">
        <f>IFERROR(__xludf.DUMMYFUNCTION("""COMPUTED_VALUE"""),3.0303030303030303)</f>
        <v>3.03030303</v>
      </c>
      <c r="S488" s="31">
        <f>IFERROR(__xludf.DUMMYFUNCTION("""COMPUTED_VALUE"""),314.7272727272727)</f>
        <v>314.7272727</v>
      </c>
      <c r="T488" s="57">
        <f>IFERROR(__xludf.DUMMYFUNCTION("""COMPUTED_VALUE"""),0.6161616161616161)</f>
        <v>0.6161616162</v>
      </c>
      <c r="U488" s="57">
        <f>IFERROR(__xludf.DUMMYFUNCTION("""COMPUTED_VALUE"""),0.4444444444444445)</f>
        <v>0.4444444444</v>
      </c>
      <c r="V488" s="57">
        <f>IFERROR(__xludf.DUMMYFUNCTION("""COMPUTED_VALUE"""),1.262626262626263)</f>
        <v>1.262626263</v>
      </c>
      <c r="W488" s="57">
        <f>IFERROR(__xludf.DUMMYFUNCTION("""COMPUTED_VALUE"""),2.1313131313131315)</f>
        <v>2.131313131</v>
      </c>
      <c r="X488" s="31">
        <f>IFERROR(__xludf.DUMMYFUNCTION("""COMPUTED_VALUE"""),339.5621283279351)</f>
        <v>339.5621283</v>
      </c>
      <c r="Y488" s="57">
        <f>IFERROR(__xludf.DUMMYFUNCTION("""COMPUTED_VALUE"""),0.7987061500931656)</f>
        <v>0.7987061501</v>
      </c>
      <c r="Z488" s="57">
        <f>IFERROR(__xludf.DUMMYFUNCTION("""COMPUTED_VALUE"""),0.5401566040128939)</f>
        <v>0.540156604</v>
      </c>
      <c r="AA488" s="57">
        <f>IFERROR(__xludf.DUMMYFUNCTION("""COMPUTED_VALUE"""),1.2339149062731924)</f>
        <v>1.233914906</v>
      </c>
      <c r="AB488" s="57">
        <f>IFERROR(__xludf.DUMMYFUNCTION("""COMPUTED_VALUE"""),2.4896994739246)</f>
        <v>2.489699474</v>
      </c>
      <c r="AC488" s="31">
        <f>IFERROR(__xludf.DUMMYFUNCTION("""COMPUTED_VALUE"""),336.0228449533775)</f>
        <v>336.022845</v>
      </c>
      <c r="AD488" s="57">
        <f>IFERROR(__xludf.DUMMYFUNCTION("""COMPUTED_VALUE"""),0.7835933672369881)</f>
        <v>0.7835933672</v>
      </c>
      <c r="AE488" s="57">
        <f>IFERROR(__xludf.DUMMYFUNCTION("""COMPUTED_VALUE"""),0.5236052240327341)</f>
        <v>0.523605224</v>
      </c>
      <c r="AF488" s="57">
        <f>IFERROR(__xludf.DUMMYFUNCTION("""COMPUTED_VALUE"""),1.2072693939193007)</f>
        <v>1.207269394</v>
      </c>
      <c r="AG488" s="57">
        <f>IFERROR(__xludf.DUMMYFUNCTION("""COMPUTED_VALUE"""),2.4648069414938596)</f>
        <v>2.464806941</v>
      </c>
      <c r="AH488" s="57">
        <f>IFERROR(__xludf.DUMMYFUNCTION("""COMPUTED_VALUE"""),1.2351252578909855)</f>
        <v>1.235125258</v>
      </c>
      <c r="AI488" s="57">
        <f>IFERROR(__xludf.DUMMYFUNCTION("""COMPUTED_VALUE"""),1.5855471656238338)</f>
        <v>1.585547166</v>
      </c>
      <c r="AJ488" s="57">
        <f>IFERROR(__xludf.DUMMYFUNCTION("""COMPUTED_VALUE"""),0.9838548041669453)</f>
        <v>0.9838548042</v>
      </c>
      <c r="AK488" s="57">
        <f>IFERROR(__xludf.DUMMYFUNCTION("""COMPUTED_VALUE"""),1.0793202491451577)</f>
        <v>1.079320249</v>
      </c>
      <c r="AL488" s="57">
        <f>IFERROR(__xludf.DUMMYFUNCTION("""COMPUTED_VALUE"""),1.2294281468009973)</f>
        <v>1.229428147</v>
      </c>
      <c r="AM488" s="57">
        <f>IFERROR(__xludf.DUMMYFUNCTION("""COMPUTED_VALUE"""),0.9268621158579913)</f>
        <v>0.9268621159</v>
      </c>
      <c r="AN488" s="57">
        <f>IFERROR(__xludf.DUMMYFUNCTION("""COMPUTED_VALUE"""),0.7714496953475863)</f>
        <v>0.7714496953</v>
      </c>
      <c r="AO488" s="57">
        <f>IFERROR(__xludf.DUMMYFUNCTION("""COMPUTED_VALUE"""),0.8228066474474416)</f>
        <v>0.8228066474</v>
      </c>
      <c r="AP488" s="35">
        <f>IFERROR(__xludf.DUMMYFUNCTION("""COMPUTED_VALUE"""),1.0232685059618802)</f>
        <v>1.023268506</v>
      </c>
      <c r="AQ488" s="57">
        <f>IFERROR(__xludf.DUMMYFUNCTION("""COMPUTED_VALUE"""),0.8560523684223897)</f>
        <v>0.8560523684</v>
      </c>
      <c r="AR488" s="36" t="b">
        <f>IFERROR(__xludf.DUMMYFUNCTION("""COMPUTED_VALUE"""),TRUE)</f>
        <v>1</v>
      </c>
      <c r="AS488" s="57"/>
      <c r="AT488" s="37"/>
      <c r="AU488" s="30"/>
      <c r="AV488" s="30"/>
      <c r="AW488" s="30"/>
      <c r="AX488" s="30"/>
      <c r="AY488" s="30"/>
      <c r="AZ488" s="30"/>
    </row>
    <row r="489">
      <c r="A489" s="30" t="str">
        <f>IFERROR(__xludf.DUMMYFUNCTION("""COMPUTED_VALUE"""),"Prospect")</f>
        <v>Prospect</v>
      </c>
      <c r="B489" s="30" t="str">
        <f>IFERROR(__xludf.DUMMYFUNCTION("""COMPUTED_VALUE"""),"RSC005603")</f>
        <v>RSC005603</v>
      </c>
      <c r="C489" s="30" t="str">
        <f>IFERROR(__xludf.DUMMYFUNCTION("""COMPUTED_VALUE"""),"Aiden_23-")</f>
        <v>Aiden_23-</v>
      </c>
      <c r="D489" s="31" t="str">
        <f>IFERROR(__xludf.DUMMYFUNCTION("""COMPUTED_VALUE"""),"Emus")</f>
        <v>Emus</v>
      </c>
      <c r="E489" s="31">
        <f>IFERROR(__xludf.DUMMYFUNCTION("""COMPUTED_VALUE"""),87.127878736598)</f>
        <v>87.12787874</v>
      </c>
      <c r="F489" s="31">
        <f>IFERROR(__xludf.DUMMYFUNCTION("""COMPUTED_VALUE"""),14.544045237921953)</f>
        <v>14.54404524</v>
      </c>
      <c r="G489" s="31">
        <f>IFERROR(__xludf.DUMMYFUNCTION("""COMPUTED_VALUE"""),64.22463750083554)</f>
        <v>64.2246375</v>
      </c>
      <c r="H489" s="31">
        <f>IFERROR(__xludf.DUMMYFUNCTION("""COMPUTED_VALUE"""),3.512679137251078)</f>
        <v>3.512679137</v>
      </c>
      <c r="I489" s="54">
        <f>IFERROR(__xludf.DUMMYFUNCTION("""COMPUTED_VALUE"""),38.0)</f>
        <v>38</v>
      </c>
      <c r="J489" s="55">
        <f>IFERROR(__xludf.DUMMYFUNCTION("""COMPUTED_VALUE"""),21.0)</f>
        <v>21</v>
      </c>
      <c r="K489" s="54">
        <f>IFERROR(__xludf.DUMMYFUNCTION("""COMPUTED_VALUE"""),17.0)</f>
        <v>17</v>
      </c>
      <c r="L489" s="56">
        <f>IFERROR(__xludf.DUMMYFUNCTION("""COMPUTED_VALUE"""),0.5526315789473685)</f>
        <v>0.5526315789</v>
      </c>
      <c r="M489" s="56">
        <f>IFERROR(__xludf.DUMMYFUNCTION("""COMPUTED_VALUE"""),0.328)</f>
        <v>0.328</v>
      </c>
      <c r="N489" s="31">
        <f>IFERROR(__xludf.DUMMYFUNCTION("""COMPUTED_VALUE"""),374.2368421052632)</f>
        <v>374.2368421</v>
      </c>
      <c r="O489" s="57">
        <f>IFERROR(__xludf.DUMMYFUNCTION("""COMPUTED_VALUE"""),1.0789473684210527)</f>
        <v>1.078947368</v>
      </c>
      <c r="P489" s="57">
        <f>IFERROR(__xludf.DUMMYFUNCTION("""COMPUTED_VALUE"""),0.631578947368421)</f>
        <v>0.6315789474</v>
      </c>
      <c r="Q489" s="57">
        <f>IFERROR(__xludf.DUMMYFUNCTION("""COMPUTED_VALUE"""),1.0)</f>
        <v>1</v>
      </c>
      <c r="R489" s="57">
        <f>IFERROR(__xludf.DUMMYFUNCTION("""COMPUTED_VALUE"""),3.289473684210526)</f>
        <v>3.289473684</v>
      </c>
      <c r="S489" s="31">
        <f>IFERROR(__xludf.DUMMYFUNCTION("""COMPUTED_VALUE"""),338.9035087719298)</f>
        <v>338.9035088</v>
      </c>
      <c r="T489" s="57">
        <f>IFERROR(__xludf.DUMMYFUNCTION("""COMPUTED_VALUE"""),0.7807017543859649)</f>
        <v>0.7807017544</v>
      </c>
      <c r="U489" s="57">
        <f>IFERROR(__xludf.DUMMYFUNCTION("""COMPUTED_VALUE"""),0.4736842105263157)</f>
        <v>0.4736842105</v>
      </c>
      <c r="V489" s="57">
        <f>IFERROR(__xludf.DUMMYFUNCTION("""COMPUTED_VALUE"""),1.3859649122807016)</f>
        <v>1.385964912</v>
      </c>
      <c r="W489" s="57">
        <f>IFERROR(__xludf.DUMMYFUNCTION("""COMPUTED_VALUE"""),2.385964912280703)</f>
        <v>2.385964912</v>
      </c>
      <c r="X489" s="31">
        <f>IFERROR(__xludf.DUMMYFUNCTION("""COMPUTED_VALUE"""),339.3849562118209)</f>
        <v>339.3849562</v>
      </c>
      <c r="Y489" s="57">
        <f>IFERROR(__xludf.DUMMYFUNCTION("""COMPUTED_VALUE"""),0.8175663076350876)</f>
        <v>0.8175663076</v>
      </c>
      <c r="Z489" s="57">
        <f>IFERROR(__xludf.DUMMYFUNCTION("""COMPUTED_VALUE"""),0.5276652056185904)</f>
        <v>0.5276652056</v>
      </c>
      <c r="AA489" s="57">
        <f>IFERROR(__xludf.DUMMYFUNCTION("""COMPUTED_VALUE"""),1.1840206172097345)</f>
        <v>1.184020617</v>
      </c>
      <c r="AB489" s="57">
        <f>IFERROR(__xludf.DUMMYFUNCTION("""COMPUTED_VALUE"""),2.489869069156554)</f>
        <v>2.489869069</v>
      </c>
      <c r="AC489" s="31">
        <f>IFERROR(__xludf.DUMMYFUNCTION("""COMPUTED_VALUE"""),334.1886333381012)</f>
        <v>334.1886333</v>
      </c>
      <c r="AD489" s="57">
        <f>IFERROR(__xludf.DUMMYFUNCTION("""COMPUTED_VALUE"""),0.7872031146451183)</f>
        <v>0.7872031146</v>
      </c>
      <c r="AE489" s="57">
        <f>IFERROR(__xludf.DUMMYFUNCTION("""COMPUTED_VALUE"""),0.5294166347514164)</f>
        <v>0.5294166348</v>
      </c>
      <c r="AF489" s="57">
        <f>IFERROR(__xludf.DUMMYFUNCTION("""COMPUTED_VALUE"""),1.2046149273324303)</f>
        <v>1.204614927</v>
      </c>
      <c r="AG489" s="57">
        <f>IFERROR(__xludf.DUMMYFUNCTION("""COMPUTED_VALUE"""),2.386797783814686)</f>
        <v>2.386797784</v>
      </c>
      <c r="AH489" s="57">
        <f>IFERROR(__xludf.DUMMYFUNCTION("""COMPUTED_VALUE"""),1.1198371361920167)</f>
        <v>1.119837136</v>
      </c>
      <c r="AI489" s="57">
        <f>IFERROR(__xludf.DUMMYFUNCTION("""COMPUTED_VALUE"""),1.3706086121209728)</f>
        <v>1.370608612</v>
      </c>
      <c r="AJ489" s="57">
        <f>IFERROR(__xludf.DUMMYFUNCTION("""COMPUTED_VALUE"""),1.192971482025634)</f>
        <v>1.192971482</v>
      </c>
      <c r="AK489" s="57">
        <f>IFERROR(__xludf.DUMMYFUNCTION("""COMPUTED_VALUE"""),0.830140800441896)</f>
        <v>0.8301408004</v>
      </c>
      <c r="AL489" s="57">
        <f>IFERROR(__xludf.DUMMYFUNCTION("""COMPUTED_VALUE"""),1.3781953823306905)</f>
        <v>1.378195382</v>
      </c>
      <c r="AM489" s="57">
        <f>IFERROR(__xludf.DUMMYFUNCTION("""COMPUTED_VALUE"""),0.9985814119598436)</f>
        <v>0.998581412</v>
      </c>
      <c r="AN489" s="57">
        <f>IFERROR(__xludf.DUMMYFUNCTION("""COMPUTED_VALUE"""),0.9549094025709571)</f>
        <v>0.9549094026</v>
      </c>
      <c r="AO489" s="57">
        <f>IFERROR(__xludf.DUMMYFUNCTION("""COMPUTED_VALUE"""),0.897698399444413)</f>
        <v>0.8976983994</v>
      </c>
      <c r="AP489" s="35">
        <f>IFERROR(__xludf.DUMMYFUNCTION("""COMPUTED_VALUE"""),1.1705580900667671)</f>
        <v>1.17055809</v>
      </c>
      <c r="AQ489" s="57">
        <f>IFERROR(__xludf.DUMMYFUNCTION("""COMPUTED_VALUE"""),0.9582692286261266)</f>
        <v>0.9582692286</v>
      </c>
      <c r="AR489" s="36" t="b">
        <f>IFERROR(__xludf.DUMMYFUNCTION("""COMPUTED_VALUE"""),TRUE)</f>
        <v>1</v>
      </c>
      <c r="AS489" s="57"/>
      <c r="AT489" s="37"/>
      <c r="AU489" s="30"/>
      <c r="AV489" s="30"/>
      <c r="AW489" s="30"/>
      <c r="AX489" s="30"/>
      <c r="AY489" s="30"/>
      <c r="AZ489" s="30"/>
    </row>
    <row r="490">
      <c r="A490" s="30" t="str">
        <f>IFERROR(__xludf.DUMMYFUNCTION("""COMPUTED_VALUE"""),"Prospect")</f>
        <v>Prospect</v>
      </c>
      <c r="B490" s="30" t="str">
        <f>IFERROR(__xludf.DUMMYFUNCTION("""COMPUTED_VALUE"""),"RSC002736")</f>
        <v>RSC002736</v>
      </c>
      <c r="C490" s="30" t="str">
        <f>IFERROR(__xludf.DUMMYFUNCTION("""COMPUTED_VALUE"""),"chulainn")</f>
        <v>chulainn</v>
      </c>
      <c r="D490" s="31" t="str">
        <f>IFERROR(__xludf.DUMMYFUNCTION("""COMPUTED_VALUE"""),"Earth")</f>
        <v>Earth</v>
      </c>
      <c r="E490" s="31">
        <f>IFERROR(__xludf.DUMMYFUNCTION("""COMPUTED_VALUE"""),86.25214968300043)</f>
        <v>86.25214968</v>
      </c>
      <c r="F490" s="31">
        <f>IFERROR(__xludf.DUMMYFUNCTION("""COMPUTED_VALUE"""),13.602245908854497)</f>
        <v>13.60224591</v>
      </c>
      <c r="G490" s="31">
        <f>IFERROR(__xludf.DUMMYFUNCTION("""COMPUTED_VALUE"""),78.82927173882567)</f>
        <v>78.82927174</v>
      </c>
      <c r="H490" s="31">
        <f>IFERROR(__xludf.DUMMYFUNCTION("""COMPUTED_VALUE"""),8.03728471850535)</f>
        <v>8.037284719</v>
      </c>
      <c r="I490" s="54">
        <f>IFERROR(__xludf.DUMMYFUNCTION("""COMPUTED_VALUE"""),47.0)</f>
        <v>47</v>
      </c>
      <c r="J490" s="55">
        <f>IFERROR(__xludf.DUMMYFUNCTION("""COMPUTED_VALUE"""),24.0)</f>
        <v>24</v>
      </c>
      <c r="K490" s="54">
        <f>IFERROR(__xludf.DUMMYFUNCTION("""COMPUTED_VALUE"""),23.0)</f>
        <v>23</v>
      </c>
      <c r="L490" s="56">
        <f>IFERROR(__xludf.DUMMYFUNCTION("""COMPUTED_VALUE"""),0.5106382978723404)</f>
        <v>0.5106382979</v>
      </c>
      <c r="M490" s="56">
        <f>IFERROR(__xludf.DUMMYFUNCTION("""COMPUTED_VALUE"""),0.3416149068322981)</f>
        <v>0.3416149068</v>
      </c>
      <c r="N490" s="31">
        <f>IFERROR(__xludf.DUMMYFUNCTION("""COMPUTED_VALUE"""),410.0851063829787)</f>
        <v>410.0851064</v>
      </c>
      <c r="O490" s="57">
        <f>IFERROR(__xludf.DUMMYFUNCTION("""COMPUTED_VALUE"""),1.1702127659574468)</f>
        <v>1.170212766</v>
      </c>
      <c r="P490" s="57">
        <f>IFERROR(__xludf.DUMMYFUNCTION("""COMPUTED_VALUE"""),0.6808510638297872)</f>
        <v>0.6808510638</v>
      </c>
      <c r="Q490" s="57">
        <f>IFERROR(__xludf.DUMMYFUNCTION("""COMPUTED_VALUE"""),0.9148936170212766)</f>
        <v>0.914893617</v>
      </c>
      <c r="R490" s="57">
        <f>IFERROR(__xludf.DUMMYFUNCTION("""COMPUTED_VALUE"""),3.425531914893617)</f>
        <v>3.425531915</v>
      </c>
      <c r="S490" s="31">
        <f>IFERROR(__xludf.DUMMYFUNCTION("""COMPUTED_VALUE"""),365.9432624113474)</f>
        <v>365.9432624</v>
      </c>
      <c r="T490" s="57">
        <f>IFERROR(__xludf.DUMMYFUNCTION("""COMPUTED_VALUE"""),0.9361702127659576)</f>
        <v>0.9361702128</v>
      </c>
      <c r="U490" s="57">
        <f>IFERROR(__xludf.DUMMYFUNCTION("""COMPUTED_VALUE"""),0.5886524822695035)</f>
        <v>0.5886524823</v>
      </c>
      <c r="V490" s="57">
        <f>IFERROR(__xludf.DUMMYFUNCTION("""COMPUTED_VALUE"""),1.3687943262411346)</f>
        <v>1.368794326</v>
      </c>
      <c r="W490" s="57">
        <f>IFERROR(__xludf.DUMMYFUNCTION("""COMPUTED_VALUE"""),2.340425531914893)</f>
        <v>2.340425532</v>
      </c>
      <c r="X490" s="31">
        <f>IFERROR(__xludf.DUMMYFUNCTION("""COMPUTED_VALUE"""),328.4472241613236)</f>
        <v>328.4472242</v>
      </c>
      <c r="Y490" s="57">
        <f>IFERROR(__xludf.DUMMYFUNCTION("""COMPUTED_VALUE"""),0.768232295687578)</f>
        <v>0.7682322957</v>
      </c>
      <c r="Z490" s="57">
        <f>IFERROR(__xludf.DUMMYFUNCTION("""COMPUTED_VALUE"""),0.4797681442102481)</f>
        <v>0.4797681442</v>
      </c>
      <c r="AA490" s="57">
        <f>IFERROR(__xludf.DUMMYFUNCTION("""COMPUTED_VALUE"""),1.2025507166739475)</f>
        <v>1.202550717</v>
      </c>
      <c r="AB490" s="57">
        <f>IFERROR(__xludf.DUMMYFUNCTION("""COMPUTED_VALUE"""),2.2948527993850387)</f>
        <v>2.294852799</v>
      </c>
      <c r="AC490" s="31">
        <f>IFERROR(__xludf.DUMMYFUNCTION("""COMPUTED_VALUE"""),338.78853413690814)</f>
        <v>338.7885341</v>
      </c>
      <c r="AD490" s="57">
        <f>IFERROR(__xludf.DUMMYFUNCTION("""COMPUTED_VALUE"""),0.8216338634825805)</f>
        <v>0.8216338635</v>
      </c>
      <c r="AE490" s="57">
        <f>IFERROR(__xludf.DUMMYFUNCTION("""COMPUTED_VALUE"""),0.5516381418672671)</f>
        <v>0.5516381419</v>
      </c>
      <c r="AF490" s="57">
        <f>IFERROR(__xludf.DUMMYFUNCTION("""COMPUTED_VALUE"""),1.1358241217956586)</f>
        <v>1.135824122</v>
      </c>
      <c r="AG490" s="57">
        <f>IFERROR(__xludf.DUMMYFUNCTION("""COMPUTED_VALUE"""),2.571653878015198)</f>
        <v>2.571653878</v>
      </c>
      <c r="AH490" s="57">
        <f>IFERROR(__xludf.DUMMYFUNCTION("""COMPUTED_VALUE"""),1.2104456469511418)</f>
        <v>1.210445647</v>
      </c>
      <c r="AI490" s="57">
        <f>IFERROR(__xludf.DUMMYFUNCTION("""COMPUTED_VALUE"""),1.4242508956451458)</f>
        <v>1.424250896</v>
      </c>
      <c r="AJ490" s="57">
        <f>IFERROR(__xludf.DUMMYFUNCTION("""COMPUTED_VALUE"""),1.2342349307557685)</f>
        <v>1.234234931</v>
      </c>
      <c r="AK490" s="57">
        <f>IFERROR(__xludf.DUMMYFUNCTION("""COMPUTED_VALUE"""),0.8054888071710378)</f>
        <v>0.8054888072</v>
      </c>
      <c r="AL490" s="57">
        <f>IFERROR(__xludf.DUMMYFUNCTION("""COMPUTED_VALUE"""),1.3320345883939257)</f>
        <v>1.332034588</v>
      </c>
      <c r="AM490" s="57">
        <f>IFERROR(__xludf.DUMMYFUNCTION("""COMPUTED_VALUE"""),1.1141615318740121)</f>
        <v>1.114161532</v>
      </c>
      <c r="AN490" s="57">
        <f>IFERROR(__xludf.DUMMYFUNCTION("""COMPUTED_VALUE"""),1.2186030423624314)</f>
        <v>1.218603042</v>
      </c>
      <c r="AO490" s="57">
        <f>IFERROR(__xludf.DUMMYFUNCTION("""COMPUTED_VALUE"""),1.2269519962366222)</f>
        <v>1.226951996</v>
      </c>
      <c r="AP490" s="35">
        <f>IFERROR(__xludf.DUMMYFUNCTION("""COMPUTED_VALUE"""),1.1382424934450905)</f>
        <v>1.138242493</v>
      </c>
      <c r="AQ490" s="57">
        <f>IFERROR(__xludf.DUMMYFUNCTION("""COMPUTED_VALUE"""),1.0198586735245359)</f>
        <v>1.019858674</v>
      </c>
      <c r="AR490" s="36" t="b">
        <f>IFERROR(__xludf.DUMMYFUNCTION("""COMPUTED_VALUE"""),TRUE)</f>
        <v>1</v>
      </c>
      <c r="AS490" s="57"/>
      <c r="AT490" s="37"/>
      <c r="AU490" s="30"/>
      <c r="AV490" s="30"/>
      <c r="AW490" s="30"/>
      <c r="AX490" s="30"/>
      <c r="AY490" s="30"/>
      <c r="AZ490" s="30"/>
    </row>
    <row r="491">
      <c r="A491" s="30" t="str">
        <f>IFERROR(__xludf.DUMMYFUNCTION("""COMPUTED_VALUE"""),"Prospect")</f>
        <v>Prospect</v>
      </c>
      <c r="B491" s="30" t="str">
        <f>IFERROR(__xludf.DUMMYFUNCTION("""COMPUTED_VALUE"""),"RSC000962")</f>
        <v>RSC000962</v>
      </c>
      <c r="C491" s="30" t="str">
        <f>IFERROR(__xludf.DUMMYFUNCTION("""COMPUTED_VALUE"""),"pythagorjags")</f>
        <v>pythagorjags</v>
      </c>
      <c r="D491" s="31" t="str">
        <f>IFERROR(__xludf.DUMMYFUNCTION("""COMPUTED_VALUE"""),"Hawaiian Pizza")</f>
        <v>Hawaiian Pizza</v>
      </c>
      <c r="E491" s="31">
        <f>IFERROR(__xludf.DUMMYFUNCTION("""COMPUTED_VALUE"""),86.24751214036785)</f>
        <v>86.24751214</v>
      </c>
      <c r="F491" s="31">
        <f>IFERROR(__xludf.DUMMYFUNCTION("""COMPUTED_VALUE"""),13.59746204694047)</f>
        <v>13.59746205</v>
      </c>
      <c r="G491" s="31">
        <f>IFERROR(__xludf.DUMMYFUNCTION("""COMPUTED_VALUE"""),67.49257899211787)</f>
        <v>67.49257899</v>
      </c>
      <c r="H491" s="31">
        <f>IFERROR(__xludf.DUMMYFUNCTION("""COMPUTED_VALUE"""),4.131269409713498)</f>
        <v>4.13126941</v>
      </c>
      <c r="I491" s="54">
        <f>IFERROR(__xludf.DUMMYFUNCTION("""COMPUTED_VALUE"""),32.0)</f>
        <v>32</v>
      </c>
      <c r="J491" s="55">
        <f>IFERROR(__xludf.DUMMYFUNCTION("""COMPUTED_VALUE"""),21.0)</f>
        <v>21</v>
      </c>
      <c r="K491" s="54">
        <f>IFERROR(__xludf.DUMMYFUNCTION("""COMPUTED_VALUE"""),11.0)</f>
        <v>11</v>
      </c>
      <c r="L491" s="56">
        <f>IFERROR(__xludf.DUMMYFUNCTION("""COMPUTED_VALUE"""),0.65625)</f>
        <v>0.65625</v>
      </c>
      <c r="M491" s="56">
        <f>IFERROR(__xludf.DUMMYFUNCTION("""COMPUTED_VALUE"""),0.4367816091954023)</f>
        <v>0.4367816092</v>
      </c>
      <c r="N491" s="31">
        <f>IFERROR(__xludf.DUMMYFUNCTION("""COMPUTED_VALUE"""),389.84375)</f>
        <v>389.84375</v>
      </c>
      <c r="O491" s="57">
        <f>IFERROR(__xludf.DUMMYFUNCTION("""COMPUTED_VALUE"""),1.1875)</f>
        <v>1.1875</v>
      </c>
      <c r="P491" s="57">
        <f>IFERROR(__xludf.DUMMYFUNCTION("""COMPUTED_VALUE"""),0.5625)</f>
        <v>0.5625</v>
      </c>
      <c r="Q491" s="57">
        <f>IFERROR(__xludf.DUMMYFUNCTION("""COMPUTED_VALUE"""),1.1875)</f>
        <v>1.1875</v>
      </c>
      <c r="R491" s="57">
        <f>IFERROR(__xludf.DUMMYFUNCTION("""COMPUTED_VALUE"""),2.71875)</f>
        <v>2.71875</v>
      </c>
      <c r="S491" s="31">
        <f>IFERROR(__xludf.DUMMYFUNCTION("""COMPUTED_VALUE"""),313.09375000000006)</f>
        <v>313.09375</v>
      </c>
      <c r="T491" s="57">
        <f>IFERROR(__xludf.DUMMYFUNCTION("""COMPUTED_VALUE"""),0.6354166666666666)</f>
        <v>0.6354166667</v>
      </c>
      <c r="U491" s="57">
        <f>IFERROR(__xludf.DUMMYFUNCTION("""COMPUTED_VALUE"""),0.4583333333333333)</f>
        <v>0.4583333333</v>
      </c>
      <c r="V491" s="57">
        <f>IFERROR(__xludf.DUMMYFUNCTION("""COMPUTED_VALUE"""),1.135416666666667)</f>
        <v>1.135416667</v>
      </c>
      <c r="W491" s="57">
        <f>IFERROR(__xludf.DUMMYFUNCTION("""COMPUTED_VALUE"""),2.354166666666668)</f>
        <v>2.354166667</v>
      </c>
      <c r="X491" s="31">
        <f>IFERROR(__xludf.DUMMYFUNCTION("""COMPUTED_VALUE"""),333.9527776834997)</f>
        <v>333.9527777</v>
      </c>
      <c r="Y491" s="57">
        <f>IFERROR(__xludf.DUMMYFUNCTION("""COMPUTED_VALUE"""),0.7792276490793036)</f>
        <v>0.7792276491</v>
      </c>
      <c r="Z491" s="57">
        <f>IFERROR(__xludf.DUMMYFUNCTION("""COMPUTED_VALUE"""),0.5582419724910884)</f>
        <v>0.5582419725</v>
      </c>
      <c r="AA491" s="57">
        <f>IFERROR(__xludf.DUMMYFUNCTION("""COMPUTED_VALUE"""),1.1410888310626706)</f>
        <v>1.141088831</v>
      </c>
      <c r="AB491" s="57">
        <f>IFERROR(__xludf.DUMMYFUNCTION("""COMPUTED_VALUE"""),2.483887949943373)</f>
        <v>2.48388795</v>
      </c>
      <c r="AC491" s="31">
        <f>IFERROR(__xludf.DUMMYFUNCTION("""COMPUTED_VALUE"""),336.7046761153048)</f>
        <v>336.7046761</v>
      </c>
      <c r="AD491" s="57">
        <f>IFERROR(__xludf.DUMMYFUNCTION("""COMPUTED_VALUE"""),0.8094011102032831)</f>
        <v>0.8094011102</v>
      </c>
      <c r="AE491" s="57">
        <f>IFERROR(__xludf.DUMMYFUNCTION("""COMPUTED_VALUE"""),0.5290195343530762)</f>
        <v>0.5290195344</v>
      </c>
      <c r="AF491" s="57">
        <f>IFERROR(__xludf.DUMMYFUNCTION("""COMPUTED_VALUE"""),1.247895776722622)</f>
        <v>1.247895777</v>
      </c>
      <c r="AG491" s="57">
        <f>IFERROR(__xludf.DUMMYFUNCTION("""COMPUTED_VALUE"""),2.3529955117587535)</f>
        <v>2.352995512</v>
      </c>
      <c r="AH491" s="57">
        <f>IFERROR(__xludf.DUMMYFUNCTION("""COMPUTED_VALUE"""),1.1578210154304411)</f>
        <v>1.157821015</v>
      </c>
      <c r="AI491" s="57">
        <f>IFERROR(__xludf.DUMMYFUNCTION("""COMPUTED_VALUE"""),1.467134137858739)</f>
        <v>1.467134138</v>
      </c>
      <c r="AJ491" s="57">
        <f>IFERROR(__xludf.DUMMYFUNCTION("""COMPUTED_VALUE"""),1.0632877681688373)</f>
        <v>1.063287768</v>
      </c>
      <c r="AK491" s="57">
        <f>IFERROR(__xludf.DUMMYFUNCTION("""COMPUTED_VALUE"""),0.9516019063056365)</f>
        <v>0.9516019063</v>
      </c>
      <c r="AL491" s="57">
        <f>IFERROR(__xludf.DUMMYFUNCTION("""COMPUTED_VALUE"""),1.1554420679569686)</f>
        <v>1.155442068</v>
      </c>
      <c r="AM491" s="57">
        <f>IFERROR(__xludf.DUMMYFUNCTION("""COMPUTED_VALUE"""),0.937538990308179)</f>
        <v>0.9375389903</v>
      </c>
      <c r="AN491" s="57">
        <f>IFERROR(__xludf.DUMMYFUNCTION("""COMPUTED_VALUE"""),0.8154441996731547)</f>
        <v>0.8154441997</v>
      </c>
      <c r="AO491" s="57">
        <f>IFERROR(__xludf.DUMMYFUNCTION("""COMPUTED_VALUE"""),0.8210298686214427)</f>
        <v>0.8210298686</v>
      </c>
      <c r="AP491" s="35">
        <f>IFERROR(__xludf.DUMMYFUNCTION("""COMPUTED_VALUE"""),0.9950291649154771)</f>
        <v>0.9950291649</v>
      </c>
      <c r="AQ491" s="57">
        <f>IFERROR(__xludf.DUMMYFUNCTION("""COMPUTED_VALUE"""),0.9477749053536564)</f>
        <v>0.9477749054</v>
      </c>
      <c r="AR491" s="36" t="b">
        <f>IFERROR(__xludf.DUMMYFUNCTION("""COMPUTED_VALUE"""),TRUE)</f>
        <v>1</v>
      </c>
      <c r="AS491" s="57"/>
      <c r="AT491" s="37"/>
      <c r="AU491" s="30"/>
      <c r="AV491" s="30"/>
      <c r="AW491" s="30"/>
      <c r="AX491" s="30"/>
      <c r="AY491" s="30"/>
      <c r="AZ491" s="30"/>
    </row>
    <row r="492">
      <c r="A492" s="30" t="str">
        <f>IFERROR(__xludf.DUMMYFUNCTION("""COMPUTED_VALUE"""),"Prospect")</f>
        <v>Prospect</v>
      </c>
      <c r="B492" s="30" t="str">
        <f>IFERROR(__xludf.DUMMYFUNCTION("""COMPUTED_VALUE"""),"RSC007045")</f>
        <v>RSC007045</v>
      </c>
      <c r="C492" s="30" t="str">
        <f>IFERROR(__xludf.DUMMYFUNCTION("""COMPUTED_VALUE"""),"fetty_steve98")</f>
        <v>fetty_steve98</v>
      </c>
      <c r="D492" s="31" t="str">
        <f>IFERROR(__xludf.DUMMYFUNCTION("""COMPUTED_VALUE"""),"Blacktips")</f>
        <v>Blacktips</v>
      </c>
      <c r="E492" s="31">
        <f>IFERROR(__xludf.DUMMYFUNCTION("""COMPUTED_VALUE"""),85.26095167023445)</f>
        <v>85.26095167</v>
      </c>
      <c r="F492" s="31">
        <f>IFERROR(__xludf.DUMMYFUNCTION("""COMPUTED_VALUE"""),12.625435931666356)</f>
        <v>12.62543593</v>
      </c>
      <c r="G492" s="31">
        <f>IFERROR(__xludf.DUMMYFUNCTION("""COMPUTED_VALUE"""),83.92854214322749)</f>
        <v>83.92854214</v>
      </c>
      <c r="H492" s="31">
        <f>IFERROR(__xludf.DUMMYFUNCTION("""COMPUTED_VALUE"""),11.445825497040156)</f>
        <v>11.4458255</v>
      </c>
      <c r="I492" s="54">
        <f>IFERROR(__xludf.DUMMYFUNCTION("""COMPUTED_VALUE"""),44.0)</f>
        <v>44</v>
      </c>
      <c r="J492" s="55">
        <f>IFERROR(__xludf.DUMMYFUNCTION("""COMPUTED_VALUE"""),30.0)</f>
        <v>30</v>
      </c>
      <c r="K492" s="54">
        <f>IFERROR(__xludf.DUMMYFUNCTION("""COMPUTED_VALUE"""),14.0)</f>
        <v>14</v>
      </c>
      <c r="L492" s="56">
        <f>IFERROR(__xludf.DUMMYFUNCTION("""COMPUTED_VALUE"""),0.6818181818181818)</f>
        <v>0.6818181818</v>
      </c>
      <c r="M492" s="56">
        <f>IFERROR(__xludf.DUMMYFUNCTION("""COMPUTED_VALUE"""),0.376)</f>
        <v>0.376</v>
      </c>
      <c r="N492" s="31">
        <f>IFERROR(__xludf.DUMMYFUNCTION("""COMPUTED_VALUE"""),399.52272727272725)</f>
        <v>399.5227273</v>
      </c>
      <c r="O492" s="57">
        <f>IFERROR(__xludf.DUMMYFUNCTION("""COMPUTED_VALUE"""),1.0681818181818181)</f>
        <v>1.068181818</v>
      </c>
      <c r="P492" s="57">
        <f>IFERROR(__xludf.DUMMYFUNCTION("""COMPUTED_VALUE"""),0.75)</f>
        <v>0.75</v>
      </c>
      <c r="Q492" s="57">
        <f>IFERROR(__xludf.DUMMYFUNCTION("""COMPUTED_VALUE"""),1.1136363636363635)</f>
        <v>1.113636364</v>
      </c>
      <c r="R492" s="57">
        <f>IFERROR(__xludf.DUMMYFUNCTION("""COMPUTED_VALUE"""),2.840909090909091)</f>
        <v>2.840909091</v>
      </c>
      <c r="S492" s="31">
        <f>IFERROR(__xludf.DUMMYFUNCTION("""COMPUTED_VALUE"""),315.65909090909093)</f>
        <v>315.6590909</v>
      </c>
      <c r="T492" s="57">
        <f>IFERROR(__xludf.DUMMYFUNCTION("""COMPUTED_VALUE"""),0.6818181818181819)</f>
        <v>0.6818181818</v>
      </c>
      <c r="U492" s="57">
        <f>IFERROR(__xludf.DUMMYFUNCTION("""COMPUTED_VALUE"""),0.4469696969696969)</f>
        <v>0.446969697</v>
      </c>
      <c r="V492" s="57">
        <f>IFERROR(__xludf.DUMMYFUNCTION("""COMPUTED_VALUE"""),1.1893939393939392)</f>
        <v>1.189393939</v>
      </c>
      <c r="W492" s="57">
        <f>IFERROR(__xludf.DUMMYFUNCTION("""COMPUTED_VALUE"""),2.181818181818182)</f>
        <v>2.181818182</v>
      </c>
      <c r="X492" s="31">
        <f>IFERROR(__xludf.DUMMYFUNCTION("""COMPUTED_VALUE"""),327.25837057689137)</f>
        <v>327.2583706</v>
      </c>
      <c r="Y492" s="57">
        <f>IFERROR(__xludf.DUMMYFUNCTION("""COMPUTED_VALUE"""),0.7364987532601746)</f>
        <v>0.7364987533</v>
      </c>
      <c r="Z492" s="57">
        <f>IFERROR(__xludf.DUMMYFUNCTION("""COMPUTED_VALUE"""),0.5102157217228449)</f>
        <v>0.5102157217</v>
      </c>
      <c r="AA492" s="57">
        <f>IFERROR(__xludf.DUMMYFUNCTION("""COMPUTED_VALUE"""),1.2086882827816907)</f>
        <v>1.208688283</v>
      </c>
      <c r="AB492" s="57">
        <f>IFERROR(__xludf.DUMMYFUNCTION("""COMPUTED_VALUE"""),2.3851213977347485)</f>
        <v>2.385121398</v>
      </c>
      <c r="AC492" s="31">
        <f>IFERROR(__xludf.DUMMYFUNCTION("""COMPUTED_VALUE"""),338.5050010340484)</f>
        <v>338.505001</v>
      </c>
      <c r="AD492" s="57">
        <f>IFERROR(__xludf.DUMMYFUNCTION("""COMPUTED_VALUE"""),0.8084258892553419)</f>
        <v>0.8084258893</v>
      </c>
      <c r="AE492" s="57">
        <f>IFERROR(__xludf.DUMMYFUNCTION("""COMPUTED_VALUE"""),0.536687057643965)</f>
        <v>0.5366870576</v>
      </c>
      <c r="AF492" s="57">
        <f>IFERROR(__xludf.DUMMYFUNCTION("""COMPUTED_VALUE"""),1.1868771246718843)</f>
        <v>1.186877125</v>
      </c>
      <c r="AG492" s="57">
        <f>IFERROR(__xludf.DUMMYFUNCTION("""COMPUTED_VALUE"""),2.511231089474866)</f>
        <v>2.511231089</v>
      </c>
      <c r="AH492" s="57">
        <f>IFERROR(__xludf.DUMMYFUNCTION("""COMPUTED_VALUE"""),1.1802564985813648)</f>
        <v>1.180256499</v>
      </c>
      <c r="AI492" s="57">
        <f>IFERROR(__xludf.DUMMYFUNCTION("""COMPUTED_VALUE"""),1.3213107501613326)</f>
        <v>1.32131075</v>
      </c>
      <c r="AJ492" s="57">
        <f>IFERROR(__xludf.DUMMYFUNCTION("""COMPUTED_VALUE"""),1.3974624305129892)</f>
        <v>1.397462431</v>
      </c>
      <c r="AK492" s="57">
        <f>IFERROR(__xludf.DUMMYFUNCTION("""COMPUTED_VALUE"""),0.9382912017486491)</f>
        <v>0.9382912017</v>
      </c>
      <c r="AL492" s="57">
        <f>IFERROR(__xludf.DUMMYFUNCTION("""COMPUTED_VALUE"""),1.131281427191619)</f>
        <v>1.131281427</v>
      </c>
      <c r="AM492" s="57">
        <f>IFERROR(__xludf.DUMMYFUNCTION("""COMPUTED_VALUE"""),0.9645562017333484)</f>
        <v>0.9645562017</v>
      </c>
      <c r="AN492" s="57">
        <f>IFERROR(__xludf.DUMMYFUNCTION("""COMPUTED_VALUE"""),0.9257560570198599)</f>
        <v>0.925756057</v>
      </c>
      <c r="AO492" s="57">
        <f>IFERROR(__xludf.DUMMYFUNCTION("""COMPUTED_VALUE"""),0.876040619564632)</f>
        <v>0.8760406196</v>
      </c>
      <c r="AP492" s="35">
        <f>IFERROR(__xludf.DUMMYFUNCTION("""COMPUTED_VALUE"""),0.9840369567053738)</f>
        <v>0.9840369567</v>
      </c>
      <c r="AQ492" s="57">
        <f>IFERROR(__xludf.DUMMYFUNCTION("""COMPUTED_VALUE"""),0.9147619001239718)</f>
        <v>0.9147619001</v>
      </c>
      <c r="AR492" s="36" t="b">
        <f>IFERROR(__xludf.DUMMYFUNCTION("""COMPUTED_VALUE"""),TRUE)</f>
        <v>1</v>
      </c>
      <c r="AS492" s="57"/>
      <c r="AT492" s="37"/>
      <c r="AU492" s="30"/>
      <c r="AV492" s="30"/>
      <c r="AW492" s="30"/>
      <c r="AX492" s="30"/>
      <c r="AY492" s="30"/>
      <c r="AZ492" s="30"/>
    </row>
    <row r="493">
      <c r="A493" s="30" t="str">
        <f>IFERROR(__xludf.DUMMYFUNCTION("""COMPUTED_VALUE"""),"Prospect")</f>
        <v>Prospect</v>
      </c>
      <c r="B493" s="30" t="str">
        <f>IFERROR(__xludf.DUMMYFUNCTION("""COMPUTED_VALUE"""),"RSC007297")</f>
        <v>RSC007297</v>
      </c>
      <c r="C493" s="30" t="str">
        <f>IFERROR(__xludf.DUMMYFUNCTION("""COMPUTED_VALUE"""),"Marc_Byy_8")</f>
        <v>Marc_Byy_8</v>
      </c>
      <c r="D493" s="31" t="str">
        <f>IFERROR(__xludf.DUMMYFUNCTION("""COMPUTED_VALUE"""),"Tic Tacs")</f>
        <v>Tic Tacs</v>
      </c>
      <c r="E493" s="31">
        <f>IFERROR(__xludf.DUMMYFUNCTION("""COMPUTED_VALUE"""),84.89389290947814)</f>
        <v>84.89389291</v>
      </c>
      <c r="F493" s="31">
        <f>IFERROR(__xludf.DUMMYFUNCTION("""COMPUTED_VALUE"""),12.28591260998637)</f>
        <v>12.28591261</v>
      </c>
      <c r="G493" s="31">
        <f>IFERROR(__xludf.DUMMYFUNCTION("""COMPUTED_VALUE"""),65.7984248647309)</f>
        <v>65.79842486</v>
      </c>
      <c r="H493" s="31">
        <f>IFERROR(__xludf.DUMMYFUNCTION("""COMPUTED_VALUE"""),3.791986425941623)</f>
        <v>3.791986426</v>
      </c>
      <c r="I493" s="54">
        <f>IFERROR(__xludf.DUMMYFUNCTION("""COMPUTED_VALUE"""),39.0)</f>
        <v>39</v>
      </c>
      <c r="J493" s="55">
        <f>IFERROR(__xludf.DUMMYFUNCTION("""COMPUTED_VALUE"""),23.0)</f>
        <v>23</v>
      </c>
      <c r="K493" s="54">
        <f>IFERROR(__xludf.DUMMYFUNCTION("""COMPUTED_VALUE"""),16.0)</f>
        <v>16</v>
      </c>
      <c r="L493" s="56">
        <f>IFERROR(__xludf.DUMMYFUNCTION("""COMPUTED_VALUE"""),0.5897435897435898)</f>
        <v>0.5897435897</v>
      </c>
      <c r="M493" s="56">
        <f>IFERROR(__xludf.DUMMYFUNCTION("""COMPUTED_VALUE"""),0.4426229508196721)</f>
        <v>0.4426229508</v>
      </c>
      <c r="N493" s="31">
        <f>IFERROR(__xludf.DUMMYFUNCTION("""COMPUTED_VALUE"""),389.6923076923077)</f>
        <v>389.6923077</v>
      </c>
      <c r="O493" s="57">
        <f>IFERROR(__xludf.DUMMYFUNCTION("""COMPUTED_VALUE"""),1.3846153846153846)</f>
        <v>1.384615385</v>
      </c>
      <c r="P493" s="57">
        <f>IFERROR(__xludf.DUMMYFUNCTION("""COMPUTED_VALUE"""),0.2564102564102564)</f>
        <v>0.2564102564</v>
      </c>
      <c r="Q493" s="57">
        <f>IFERROR(__xludf.DUMMYFUNCTION("""COMPUTED_VALUE"""),0.9743589743589743)</f>
        <v>0.9743589744</v>
      </c>
      <c r="R493" s="57">
        <f>IFERROR(__xludf.DUMMYFUNCTION("""COMPUTED_VALUE"""),3.128205128205128)</f>
        <v>3.128205128</v>
      </c>
      <c r="S493" s="31">
        <f>IFERROR(__xludf.DUMMYFUNCTION("""COMPUTED_VALUE"""),312.6837606837606)</f>
        <v>312.6837607</v>
      </c>
      <c r="T493" s="57">
        <f>IFERROR(__xludf.DUMMYFUNCTION("""COMPUTED_VALUE"""),0.7692307692307692)</f>
        <v>0.7692307692</v>
      </c>
      <c r="U493" s="57">
        <f>IFERROR(__xludf.DUMMYFUNCTION("""COMPUTED_VALUE"""),0.5128205128205128)</f>
        <v>0.5128205128</v>
      </c>
      <c r="V493" s="57">
        <f>IFERROR(__xludf.DUMMYFUNCTION("""COMPUTED_VALUE"""),0.9145299145299143)</f>
        <v>0.9145299145</v>
      </c>
      <c r="W493" s="57">
        <f>IFERROR(__xludf.DUMMYFUNCTION("""COMPUTED_VALUE"""),2.4871794871794877)</f>
        <v>2.487179487</v>
      </c>
      <c r="X493" s="31">
        <f>IFERROR(__xludf.DUMMYFUNCTION("""COMPUTED_VALUE"""),325.9444317475517)</f>
        <v>325.9444317</v>
      </c>
      <c r="Y493" s="57">
        <f>IFERROR(__xludf.DUMMYFUNCTION("""COMPUTED_VALUE"""),0.735221230370663)</f>
        <v>0.7352212304</v>
      </c>
      <c r="Z493" s="57">
        <f>IFERROR(__xludf.DUMMYFUNCTION("""COMPUTED_VALUE"""),0.4853686366158767)</f>
        <v>0.4853686366</v>
      </c>
      <c r="AA493" s="57">
        <f>IFERROR(__xludf.DUMMYFUNCTION("""COMPUTED_VALUE"""),1.2512897151541849)</f>
        <v>1.251289715</v>
      </c>
      <c r="AB493" s="57">
        <f>IFERROR(__xludf.DUMMYFUNCTION("""COMPUTED_VALUE"""),2.342703571197546)</f>
        <v>2.342703571</v>
      </c>
      <c r="AC493" s="31">
        <f>IFERROR(__xludf.DUMMYFUNCTION("""COMPUTED_VALUE"""),338.9673928621594)</f>
        <v>338.9673929</v>
      </c>
      <c r="AD493" s="57">
        <f>IFERROR(__xludf.DUMMYFUNCTION("""COMPUTED_VALUE"""),0.8092719669464062)</f>
        <v>0.8092719669</v>
      </c>
      <c r="AE493" s="57">
        <f>IFERROR(__xludf.DUMMYFUNCTION("""COMPUTED_VALUE"""),0.541560690994806)</f>
        <v>0.541560691</v>
      </c>
      <c r="AF493" s="57">
        <f>IFERROR(__xludf.DUMMYFUNCTION("""COMPUTED_VALUE"""),1.1872133559678981)</f>
        <v>1.187213356</v>
      </c>
      <c r="AG493" s="57">
        <f>IFERROR(__xludf.DUMMYFUNCTION("""COMPUTED_VALUE"""),2.538552001890979)</f>
        <v>2.538552002</v>
      </c>
      <c r="AH493" s="57">
        <f>IFERROR(__xludf.DUMMYFUNCTION("""COMPUTED_VALUE"""),1.1496454110285927)</f>
        <v>1.149645411</v>
      </c>
      <c r="AI493" s="57">
        <f>IFERROR(__xludf.DUMMYFUNCTION("""COMPUTED_VALUE"""),1.710939512510113)</f>
        <v>1.710939513</v>
      </c>
      <c r="AJ493" s="57">
        <f>IFERROR(__xludf.DUMMYFUNCTION("""COMPUTED_VALUE"""),0.47346541333945447)</f>
        <v>0.4734654133</v>
      </c>
      <c r="AK493" s="57">
        <f>IFERROR(__xludf.DUMMYFUNCTION("""COMPUTED_VALUE"""),0.820710927367061)</f>
        <v>0.8207109274</v>
      </c>
      <c r="AL493" s="57">
        <f>IFERROR(__xludf.DUMMYFUNCTION("""COMPUTED_VALUE"""),1.2322793174514108)</f>
        <v>1.232279317</v>
      </c>
      <c r="AM493" s="57">
        <f>IFERROR(__xludf.DUMMYFUNCTION("""COMPUTED_VALUE"""),0.9593161601421017)</f>
        <v>0.9593161601</v>
      </c>
      <c r="AN493" s="57">
        <f>IFERROR(__xludf.DUMMYFUNCTION("""COMPUTED_VALUE"""),1.04625755820865)</f>
        <v>1.046257558</v>
      </c>
      <c r="AO493" s="57">
        <f>IFERROR(__xludf.DUMMYFUNCTION("""COMPUTED_VALUE"""),1.0565588176360923)</f>
        <v>1.056558818</v>
      </c>
      <c r="AP493" s="35">
        <f>IFERROR(__xludf.DUMMYFUNCTION("""COMPUTED_VALUE"""),0.7308698404967112)</f>
        <v>0.7308698405</v>
      </c>
      <c r="AQ493" s="57">
        <f>IFERROR(__xludf.DUMMYFUNCTION("""COMPUTED_VALUE"""),1.0616705919426623)</f>
        <v>1.061670592</v>
      </c>
      <c r="AR493" s="36" t="b">
        <f>IFERROR(__xludf.DUMMYFUNCTION("""COMPUTED_VALUE"""),TRUE)</f>
        <v>1</v>
      </c>
      <c r="AS493" s="57"/>
      <c r="AT493" s="37"/>
      <c r="AU493" s="30"/>
      <c r="AV493" s="30"/>
      <c r="AW493" s="30"/>
      <c r="AX493" s="30"/>
      <c r="AY493" s="30"/>
      <c r="AZ493" s="30"/>
    </row>
    <row r="494">
      <c r="A494" s="30" t="str">
        <f>IFERROR(__xludf.DUMMYFUNCTION("""COMPUTED_VALUE"""),"Prospect")</f>
        <v>Prospect</v>
      </c>
      <c r="B494" s="30" t="str">
        <f>IFERROR(__xludf.DUMMYFUNCTION("""COMPUTED_VALUE"""),"RSC007453")</f>
        <v>RSC007453</v>
      </c>
      <c r="C494" s="30" t="str">
        <f>IFERROR(__xludf.DUMMYFUNCTION("""COMPUTED_VALUE"""),"TheDoy420")</f>
        <v>TheDoy420</v>
      </c>
      <c r="D494" s="31" t="str">
        <f>IFERROR(__xludf.DUMMYFUNCTION("""COMPUTED_VALUE"""),"Emus")</f>
        <v>Emus</v>
      </c>
      <c r="E494" s="31">
        <f>IFERROR(__xludf.DUMMYFUNCTION("""COMPUTED_VALUE"""),84.85858155569377)</f>
        <v>84.85858156</v>
      </c>
      <c r="F494" s="31">
        <f>IFERROR(__xludf.DUMMYFUNCTION("""COMPUTED_VALUE"""),12.253852825511538)</f>
        <v>12.25385283</v>
      </c>
      <c r="G494" s="31">
        <f>IFERROR(__xludf.DUMMYFUNCTION("""COMPUTED_VALUE"""),73.02290393825785)</f>
        <v>73.02290394</v>
      </c>
      <c r="H494" s="31">
        <f>IFERROR(__xludf.DUMMYFUNCTION("""COMPUTED_VALUE"""),5.6007630137879625)</f>
        <v>5.600763014</v>
      </c>
      <c r="I494" s="54">
        <f>IFERROR(__xludf.DUMMYFUNCTION("""COMPUTED_VALUE"""),45.0)</f>
        <v>45</v>
      </c>
      <c r="J494" s="55">
        <f>IFERROR(__xludf.DUMMYFUNCTION("""COMPUTED_VALUE"""),28.0)</f>
        <v>28</v>
      </c>
      <c r="K494" s="54">
        <f>IFERROR(__xludf.DUMMYFUNCTION("""COMPUTED_VALUE"""),17.0)</f>
        <v>17</v>
      </c>
      <c r="L494" s="56">
        <f>IFERROR(__xludf.DUMMYFUNCTION("""COMPUTED_VALUE"""),0.6222222222222222)</f>
        <v>0.6222222222</v>
      </c>
      <c r="M494" s="56">
        <f>IFERROR(__xludf.DUMMYFUNCTION("""COMPUTED_VALUE"""),0.32608695652173914)</f>
        <v>0.3260869565</v>
      </c>
      <c r="N494" s="31">
        <f>IFERROR(__xludf.DUMMYFUNCTION("""COMPUTED_VALUE"""),399.97777777777776)</f>
        <v>399.9777778</v>
      </c>
      <c r="O494" s="57">
        <f>IFERROR(__xludf.DUMMYFUNCTION("""COMPUTED_VALUE"""),1.0)</f>
        <v>1</v>
      </c>
      <c r="P494" s="57">
        <f>IFERROR(__xludf.DUMMYFUNCTION("""COMPUTED_VALUE"""),0.7111111111111111)</f>
        <v>0.7111111111</v>
      </c>
      <c r="Q494" s="57">
        <f>IFERROR(__xludf.DUMMYFUNCTION("""COMPUTED_VALUE"""),1.4222222222222223)</f>
        <v>1.422222222</v>
      </c>
      <c r="R494" s="57">
        <f>IFERROR(__xludf.DUMMYFUNCTION("""COMPUTED_VALUE"""),3.066666666666667)</f>
        <v>3.066666667</v>
      </c>
      <c r="S494" s="31">
        <f>IFERROR(__xludf.DUMMYFUNCTION("""COMPUTED_VALUE"""),329.7481481481481)</f>
        <v>329.7481481</v>
      </c>
      <c r="T494" s="57">
        <f>IFERROR(__xludf.DUMMYFUNCTION("""COMPUTED_VALUE"""),0.6592592592592591)</f>
        <v>0.6592592593</v>
      </c>
      <c r="U494" s="57">
        <f>IFERROR(__xludf.DUMMYFUNCTION("""COMPUTED_VALUE"""),0.437037037037037)</f>
        <v>0.437037037</v>
      </c>
      <c r="V494" s="57">
        <f>IFERROR(__xludf.DUMMYFUNCTION("""COMPUTED_VALUE"""),1.4518518518518517)</f>
        <v>1.451851852</v>
      </c>
      <c r="W494" s="57">
        <f>IFERROR(__xludf.DUMMYFUNCTION("""COMPUTED_VALUE"""),2.1925925925925935)</f>
        <v>2.192592593</v>
      </c>
      <c r="X494" s="31">
        <f>IFERROR(__xludf.DUMMYFUNCTION("""COMPUTED_VALUE"""),335.6909857155267)</f>
        <v>335.6909857</v>
      </c>
      <c r="Y494" s="57">
        <f>IFERROR(__xludf.DUMMYFUNCTION("""COMPUTED_VALUE"""),0.7895512266621734)</f>
        <v>0.7895512267</v>
      </c>
      <c r="Z494" s="57">
        <f>IFERROR(__xludf.DUMMYFUNCTION("""COMPUTED_VALUE"""),0.5093997276590461)</f>
        <v>0.5093997277</v>
      </c>
      <c r="AA494" s="57">
        <f>IFERROR(__xludf.DUMMYFUNCTION("""COMPUTED_VALUE"""),1.217842016775885)</f>
        <v>1.217842017</v>
      </c>
      <c r="AB494" s="57">
        <f>IFERROR(__xludf.DUMMYFUNCTION("""COMPUTED_VALUE"""),2.412097689927149)</f>
        <v>2.41209769</v>
      </c>
      <c r="AC494" s="31">
        <f>IFERROR(__xludf.DUMMYFUNCTION("""COMPUTED_VALUE"""),339.0770113943793)</f>
        <v>339.0770114</v>
      </c>
      <c r="AD494" s="57">
        <f>IFERROR(__xludf.DUMMYFUNCTION("""COMPUTED_VALUE"""),0.8168846405971498)</f>
        <v>0.8168846406</v>
      </c>
      <c r="AE494" s="57">
        <f>IFERROR(__xludf.DUMMYFUNCTION("""COMPUTED_VALUE"""),0.5485437100466313)</f>
        <v>0.54854371</v>
      </c>
      <c r="AF494" s="57">
        <f>IFERROR(__xludf.DUMMYFUNCTION("""COMPUTED_VALUE"""),1.1862715007135454)</f>
        <v>1.186271501</v>
      </c>
      <c r="AG494" s="57">
        <f>IFERROR(__xludf.DUMMYFUNCTION("""COMPUTED_VALUE"""),2.4849003429462795)</f>
        <v>2.484900343</v>
      </c>
      <c r="AH494" s="57">
        <f>IFERROR(__xludf.DUMMYFUNCTION("""COMPUTED_VALUE"""),1.1796074765816693)</f>
        <v>1.179607477</v>
      </c>
      <c r="AI494" s="57">
        <f>IFERROR(__xludf.DUMMYFUNCTION("""COMPUTED_VALUE"""),1.2241630584080896)</f>
        <v>1.224163058</v>
      </c>
      <c r="AJ494" s="57">
        <f>IFERROR(__xludf.DUMMYFUNCTION("""COMPUTED_VALUE"""),1.2963617995923427)</f>
        <v>1.2963618</v>
      </c>
      <c r="AK494" s="57">
        <f>IFERROR(__xludf.DUMMYFUNCTION("""COMPUTED_VALUE"""),1.1989011127442175)</f>
        <v>1.198901113</v>
      </c>
      <c r="AL494" s="57">
        <f>IFERROR(__xludf.DUMMYFUNCTION("""COMPUTED_VALUE"""),1.234120585709527)</f>
        <v>1.234120586</v>
      </c>
      <c r="AM494" s="57">
        <f>IFERROR(__xludf.DUMMYFUNCTION("""COMPUTED_VALUE"""),0.9822967019662103)</f>
        <v>0.982296702</v>
      </c>
      <c r="AN494" s="57">
        <f>IFERROR(__xludf.DUMMYFUNCTION("""COMPUTED_VALUE"""),0.8349797163209747)</f>
        <v>0.8349797163</v>
      </c>
      <c r="AO494" s="57">
        <f>IFERROR(__xludf.DUMMYFUNCTION("""COMPUTED_VALUE"""),0.8579451721449619)</f>
        <v>0.8579451721</v>
      </c>
      <c r="AP494" s="35">
        <f>IFERROR(__xludf.DUMMYFUNCTION("""COMPUTED_VALUE"""),1.1921512247503863)</f>
        <v>1.192151225</v>
      </c>
      <c r="AQ494" s="57">
        <f>IFERROR(__xludf.DUMMYFUNCTION("""COMPUTED_VALUE"""),0.9089982556464432)</f>
        <v>0.9089982556</v>
      </c>
      <c r="AR494" s="36" t="b">
        <f>IFERROR(__xludf.DUMMYFUNCTION("""COMPUTED_VALUE"""),TRUE)</f>
        <v>1</v>
      </c>
      <c r="AS494" s="57"/>
      <c r="AT494" s="37"/>
      <c r="AU494" s="30"/>
      <c r="AV494" s="30"/>
      <c r="AW494" s="30"/>
      <c r="AX494" s="30"/>
      <c r="AY494" s="30"/>
      <c r="AZ494" s="30"/>
    </row>
    <row r="495">
      <c r="A495" s="30" t="str">
        <f>IFERROR(__xludf.DUMMYFUNCTION("""COMPUTED_VALUE"""),"Prospect")</f>
        <v>Prospect</v>
      </c>
      <c r="B495" s="30" t="str">
        <f>IFERROR(__xludf.DUMMYFUNCTION("""COMPUTED_VALUE"""),"RSC005915")</f>
        <v>RSC005915</v>
      </c>
      <c r="C495" s="30" t="str">
        <f>IFERROR(__xludf.DUMMYFUNCTION("""COMPUTED_VALUE"""),"BromzaTheOldMan")</f>
        <v>BromzaTheOldMan</v>
      </c>
      <c r="D495" s="31" t="str">
        <f>IFERROR(__xludf.DUMMYFUNCTION("""COMPUTED_VALUE"""),"Honey Badgers")</f>
        <v>Honey Badgers</v>
      </c>
      <c r="E495" s="31">
        <f>IFERROR(__xludf.DUMMYFUNCTION("""COMPUTED_VALUE"""),79.73503694117109)</f>
        <v>79.73503694</v>
      </c>
      <c r="F495" s="31">
        <f>IFERROR(__xludf.DUMMYFUNCTION("""COMPUTED_VALUE"""),8.536730919453818)</f>
        <v>8.536730919</v>
      </c>
      <c r="G495" s="31">
        <f>IFERROR(__xludf.DUMMYFUNCTION("""COMPUTED_VALUE"""),64.24424898832295)</f>
        <v>64.24424899</v>
      </c>
      <c r="H495" s="31">
        <f>IFERROR(__xludf.DUMMYFUNCTION("""COMPUTED_VALUE"""),3.515965886238406)</f>
        <v>3.515965886</v>
      </c>
      <c r="I495" s="54">
        <f>IFERROR(__xludf.DUMMYFUNCTION("""COMPUTED_VALUE"""),48.0)</f>
        <v>48</v>
      </c>
      <c r="J495" s="55">
        <f>IFERROR(__xludf.DUMMYFUNCTION("""COMPUTED_VALUE"""),26.0)</f>
        <v>26</v>
      </c>
      <c r="K495" s="54">
        <f>IFERROR(__xludf.DUMMYFUNCTION("""COMPUTED_VALUE"""),22.0)</f>
        <v>22</v>
      </c>
      <c r="L495" s="56">
        <f>IFERROR(__xludf.DUMMYFUNCTION("""COMPUTED_VALUE"""),0.5416666666666666)</f>
        <v>0.5416666667</v>
      </c>
      <c r="M495" s="56">
        <f>IFERROR(__xludf.DUMMYFUNCTION("""COMPUTED_VALUE"""),0.41481481481481486)</f>
        <v>0.4148148148</v>
      </c>
      <c r="N495" s="31">
        <f>IFERROR(__xludf.DUMMYFUNCTION("""COMPUTED_VALUE"""),388.625)</f>
        <v>388.625</v>
      </c>
      <c r="O495" s="57">
        <f>IFERROR(__xludf.DUMMYFUNCTION("""COMPUTED_VALUE"""),1.1666666666666667)</f>
        <v>1.166666667</v>
      </c>
      <c r="P495" s="57">
        <f>IFERROR(__xludf.DUMMYFUNCTION("""COMPUTED_VALUE"""),0.4375)</f>
        <v>0.4375</v>
      </c>
      <c r="Q495" s="57">
        <f>IFERROR(__xludf.DUMMYFUNCTION("""COMPUTED_VALUE"""),1.3541666666666667)</f>
        <v>1.354166667</v>
      </c>
      <c r="R495" s="57">
        <f>IFERROR(__xludf.DUMMYFUNCTION("""COMPUTED_VALUE"""),2.8125)</f>
        <v>2.8125</v>
      </c>
      <c r="S495" s="31">
        <f>IFERROR(__xludf.DUMMYFUNCTION("""COMPUTED_VALUE"""),335.4305555555555)</f>
        <v>335.4305556</v>
      </c>
      <c r="T495" s="57">
        <f>IFERROR(__xludf.DUMMYFUNCTION("""COMPUTED_VALUE"""),0.7430555555555555)</f>
        <v>0.7430555556</v>
      </c>
      <c r="U495" s="57">
        <f>IFERROR(__xludf.DUMMYFUNCTION("""COMPUTED_VALUE"""),0.5208333333333334)</f>
        <v>0.5208333333</v>
      </c>
      <c r="V495" s="57">
        <f>IFERROR(__xludf.DUMMYFUNCTION("""COMPUTED_VALUE"""),1.173611111111111)</f>
        <v>1.173611111</v>
      </c>
      <c r="W495" s="57">
        <f>IFERROR(__xludf.DUMMYFUNCTION("""COMPUTED_VALUE"""),2.5416666666666665)</f>
        <v>2.541666667</v>
      </c>
      <c r="X495" s="31">
        <f>IFERROR(__xludf.DUMMYFUNCTION("""COMPUTED_VALUE"""),337.20257147216824)</f>
        <v>337.2025715</v>
      </c>
      <c r="Y495" s="57">
        <f>IFERROR(__xludf.DUMMYFUNCTION("""COMPUTED_VALUE"""),0.8074596957762799)</f>
        <v>0.8074596958</v>
      </c>
      <c r="Z495" s="57">
        <f>IFERROR(__xludf.DUMMYFUNCTION("""COMPUTED_VALUE"""),0.5412155296440695)</f>
        <v>0.5412155296</v>
      </c>
      <c r="AA495" s="57">
        <f>IFERROR(__xludf.DUMMYFUNCTION("""COMPUTED_VALUE"""),1.1786230558618151)</f>
        <v>1.178623056</v>
      </c>
      <c r="AB495" s="57">
        <f>IFERROR(__xludf.DUMMYFUNCTION("""COMPUTED_VALUE"""),2.4401916422987386)</f>
        <v>2.440191642</v>
      </c>
      <c r="AC495" s="31">
        <f>IFERROR(__xludf.DUMMYFUNCTION("""COMPUTED_VALUE"""),334.2319898395694)</f>
        <v>334.2319898</v>
      </c>
      <c r="AD495" s="57">
        <f>IFERROR(__xludf.DUMMYFUNCTION("""COMPUTED_VALUE"""),0.7992644730507807)</f>
        <v>0.7992644731</v>
      </c>
      <c r="AE495" s="57">
        <f>IFERROR(__xludf.DUMMYFUNCTION("""COMPUTED_VALUE"""),0.5174335084015285)</f>
        <v>0.5174335084</v>
      </c>
      <c r="AF495" s="57">
        <f>IFERROR(__xludf.DUMMYFUNCTION("""COMPUTED_VALUE"""),1.2026361825094423)</f>
        <v>1.202636183</v>
      </c>
      <c r="AG495" s="57">
        <f>IFERROR(__xludf.DUMMYFUNCTION("""COMPUTED_VALUE"""),2.39502349992356)</f>
        <v>2.3950235</v>
      </c>
      <c r="AH495" s="57">
        <f>IFERROR(__xludf.DUMMYFUNCTION("""COMPUTED_VALUE"""),1.1627402876263853)</f>
        <v>1.162740288</v>
      </c>
      <c r="AI495" s="57">
        <f>IFERROR(__xludf.DUMMYFUNCTION("""COMPUTED_VALUE"""),1.4596753715494413)</f>
        <v>1.459675372</v>
      </c>
      <c r="AJ495" s="57">
        <f>IFERROR(__xludf.DUMMYFUNCTION("""COMPUTED_VALUE"""),0.8455192655603972)</f>
        <v>0.8455192656</v>
      </c>
      <c r="AK495" s="57">
        <f>IFERROR(__xludf.DUMMYFUNCTION("""COMPUTED_VALUE"""),1.1259986073602395)</f>
        <v>1.125998607</v>
      </c>
      <c r="AL495" s="57">
        <f>IFERROR(__xludf.DUMMYFUNCTION("""COMPUTED_VALUE"""),1.1743099807119906)</f>
        <v>1.174309981</v>
      </c>
      <c r="AM495" s="57">
        <f>IFERROR(__xludf.DUMMYFUNCTION("""COMPUTED_VALUE"""),0.9947449513540884)</f>
        <v>0.9947449514</v>
      </c>
      <c r="AN495" s="57">
        <f>IFERROR(__xludf.DUMMYFUNCTION("""COMPUTED_VALUE"""),0.9202385697297161)</f>
        <v>0.9202385697</v>
      </c>
      <c r="AO495" s="57">
        <f>IFERROR(__xludf.DUMMYFUNCTION("""COMPUTED_VALUE"""),0.9623399640358796)</f>
        <v>0.962339964</v>
      </c>
      <c r="AP495" s="35">
        <f>IFERROR(__xludf.DUMMYFUNCTION("""COMPUTED_VALUE"""),0.9957476270926675)</f>
        <v>0.9957476271</v>
      </c>
      <c r="AQ495" s="57">
        <f>IFERROR(__xludf.DUMMYFUNCTION("""COMPUTED_VALUE"""),1.0415848585860803)</f>
        <v>1.041584859</v>
      </c>
      <c r="AR495" s="36" t="b">
        <f>IFERROR(__xludf.DUMMYFUNCTION("""COMPUTED_VALUE"""),TRUE)</f>
        <v>1</v>
      </c>
      <c r="AS495" s="57"/>
      <c r="AT495" s="37"/>
      <c r="AU495" s="30"/>
      <c r="AV495" s="30"/>
      <c r="AW495" s="30"/>
      <c r="AX495" s="30"/>
      <c r="AY495" s="30"/>
      <c r="AZ495" s="30"/>
    </row>
    <row r="496">
      <c r="A496" s="30" t="str">
        <f>IFERROR(__xludf.DUMMYFUNCTION("""COMPUTED_VALUE"""),"Prospect")</f>
        <v>Prospect</v>
      </c>
      <c r="B496" s="30" t="str">
        <f>IFERROR(__xludf.DUMMYFUNCTION("""COMPUTED_VALUE"""),"RSC000221")</f>
        <v>RSC000221</v>
      </c>
      <c r="C496" s="30" t="str">
        <f>IFERROR(__xludf.DUMMYFUNCTION("""COMPUTED_VALUE"""),"Treefrog")</f>
        <v>Treefrog</v>
      </c>
      <c r="D496" s="31" t="str">
        <f>IFERROR(__xludf.DUMMYFUNCTION("""COMPUTED_VALUE"""),"Dime")</f>
        <v>Dime</v>
      </c>
      <c r="E496" s="31">
        <f>IFERROR(__xludf.DUMMYFUNCTION("""COMPUTED_VALUE"""),76.81909099697356)</f>
        <v>76.819091</v>
      </c>
      <c r="F496" s="31">
        <f>IFERROR(__xludf.DUMMYFUNCTION("""COMPUTED_VALUE"""),7.0577313615164154)</f>
        <v>7.057731362</v>
      </c>
      <c r="G496" s="31">
        <f>IFERROR(__xludf.DUMMYFUNCTION("""COMPUTED_VALUE"""),63.59250190234561)</f>
        <v>63.5925019</v>
      </c>
      <c r="H496" s="31">
        <f>IFERROR(__xludf.DUMMYFUNCTION("""COMPUTED_VALUE"""),3.4092000805870986)</f>
        <v>3.409200081</v>
      </c>
      <c r="I496" s="54">
        <f>IFERROR(__xludf.DUMMYFUNCTION("""COMPUTED_VALUE"""),43.0)</f>
        <v>43</v>
      </c>
      <c r="J496" s="55">
        <f>IFERROR(__xludf.DUMMYFUNCTION("""COMPUTED_VALUE"""),26.0)</f>
        <v>26</v>
      </c>
      <c r="K496" s="54">
        <f>IFERROR(__xludf.DUMMYFUNCTION("""COMPUTED_VALUE"""),17.0)</f>
        <v>17</v>
      </c>
      <c r="L496" s="56">
        <f>IFERROR(__xludf.DUMMYFUNCTION("""COMPUTED_VALUE"""),0.6046511627906976)</f>
        <v>0.6046511628</v>
      </c>
      <c r="M496" s="56">
        <f>IFERROR(__xludf.DUMMYFUNCTION("""COMPUTED_VALUE"""),0.35)</f>
        <v>0.35</v>
      </c>
      <c r="N496" s="31">
        <f>IFERROR(__xludf.DUMMYFUNCTION("""COMPUTED_VALUE"""),341.86046511627904)</f>
        <v>341.8604651</v>
      </c>
      <c r="O496" s="57">
        <f>IFERROR(__xludf.DUMMYFUNCTION("""COMPUTED_VALUE"""),0.9767441860465116)</f>
        <v>0.976744186</v>
      </c>
      <c r="P496" s="57">
        <f>IFERROR(__xludf.DUMMYFUNCTION("""COMPUTED_VALUE"""),0.6976744186046512)</f>
        <v>0.6976744186</v>
      </c>
      <c r="Q496" s="57">
        <f>IFERROR(__xludf.DUMMYFUNCTION("""COMPUTED_VALUE"""),0.9069767441860465)</f>
        <v>0.9069767442</v>
      </c>
      <c r="R496" s="57">
        <f>IFERROR(__xludf.DUMMYFUNCTION("""COMPUTED_VALUE"""),2.7906976744186047)</f>
        <v>2.790697674</v>
      </c>
      <c r="S496" s="31">
        <f>IFERROR(__xludf.DUMMYFUNCTION("""COMPUTED_VALUE"""),317.7441860465117)</f>
        <v>317.744186</v>
      </c>
      <c r="T496" s="57">
        <f>IFERROR(__xludf.DUMMYFUNCTION("""COMPUTED_VALUE"""),0.6976744186046511)</f>
        <v>0.6976744186</v>
      </c>
      <c r="U496" s="57">
        <f>IFERROR(__xludf.DUMMYFUNCTION("""COMPUTED_VALUE"""),0.47286821705426363)</f>
        <v>0.4728682171</v>
      </c>
      <c r="V496" s="57">
        <f>IFERROR(__xludf.DUMMYFUNCTION("""COMPUTED_VALUE"""),1.3255813953488371)</f>
        <v>1.325581395</v>
      </c>
      <c r="W496" s="57">
        <f>IFERROR(__xludf.DUMMYFUNCTION("""COMPUTED_VALUE"""),1.9922480620155043)</f>
        <v>1.992248062</v>
      </c>
      <c r="X496" s="31">
        <f>IFERROR(__xludf.DUMMYFUNCTION("""COMPUTED_VALUE"""),331.5573836014628)</f>
        <v>331.5573836</v>
      </c>
      <c r="Y496" s="57">
        <f>IFERROR(__xludf.DUMMYFUNCTION("""COMPUTED_VALUE"""),0.7893463463968264)</f>
        <v>0.7893463464</v>
      </c>
      <c r="Z496" s="57">
        <f>IFERROR(__xludf.DUMMYFUNCTION("""COMPUTED_VALUE"""),0.5123705719932677)</f>
        <v>0.512370572</v>
      </c>
      <c r="AA496" s="57">
        <f>IFERROR(__xludf.DUMMYFUNCTION("""COMPUTED_VALUE"""),1.1742235871245532)</f>
        <v>1.174223587</v>
      </c>
      <c r="AB496" s="57">
        <f>IFERROR(__xludf.DUMMYFUNCTION("""COMPUTED_VALUE"""),2.4295024712574094)</f>
        <v>2.429502471</v>
      </c>
      <c r="AC496" s="31">
        <f>IFERROR(__xludf.DUMMYFUNCTION("""COMPUTED_VALUE"""),337.61643388382294)</f>
        <v>337.6164339</v>
      </c>
      <c r="AD496" s="57">
        <f>IFERROR(__xludf.DUMMYFUNCTION("""COMPUTED_VALUE"""),0.806745939451904)</f>
        <v>0.8067459395</v>
      </c>
      <c r="AE496" s="57">
        <f>IFERROR(__xludf.DUMMYFUNCTION("""COMPUTED_VALUE"""),0.5436489043663105)</f>
        <v>0.5436489044</v>
      </c>
      <c r="AF496" s="57">
        <f>IFERROR(__xludf.DUMMYFUNCTION("""COMPUTED_VALUE"""),1.1908815682038083)</f>
        <v>1.190881568</v>
      </c>
      <c r="AG496" s="57">
        <f>IFERROR(__xludf.DUMMYFUNCTION("""COMPUTED_VALUE"""),2.4428791114297455)</f>
        <v>2.442879111</v>
      </c>
      <c r="AH496" s="57">
        <f>IFERROR(__xludf.DUMMYFUNCTION("""COMPUTED_VALUE"""),1.0125705706432422)</f>
        <v>1.012570571</v>
      </c>
      <c r="AI496" s="57">
        <f>IFERROR(__xludf.DUMMYFUNCTION("""COMPUTED_VALUE"""),1.210720920033515)</f>
        <v>1.21072092</v>
      </c>
      <c r="AJ496" s="57">
        <f>IFERROR(__xludf.DUMMYFUNCTION("""COMPUTED_VALUE"""),1.2833179888734922)</f>
        <v>1.283317989</v>
      </c>
      <c r="AK496" s="57">
        <f>IFERROR(__xludf.DUMMYFUNCTION("""COMPUTED_VALUE"""),0.7616011267636194)</f>
        <v>0.7616011268</v>
      </c>
      <c r="AL496" s="57">
        <f>IFERROR(__xludf.DUMMYFUNCTION("""COMPUTED_VALUE"""),1.1423805874639827)</f>
        <v>1.142380587</v>
      </c>
      <c r="AM496" s="57">
        <f>IFERROR(__xludf.DUMMYFUNCTION("""COMPUTED_VALUE"""),0.9583384408306382)</f>
        <v>0.9583384408</v>
      </c>
      <c r="AN496" s="57">
        <f>IFERROR(__xludf.DUMMYFUNCTION("""COMPUTED_VALUE"""),0.8838634926092515)</f>
        <v>0.8838634926</v>
      </c>
      <c r="AO496" s="57">
        <f>IFERROR(__xludf.DUMMYFUNCTION("""COMPUTED_VALUE"""),0.9229027639403086)</f>
        <v>0.9229027639</v>
      </c>
      <c r="AP496" s="35">
        <f>IFERROR(__xludf.DUMMYFUNCTION("""COMPUTED_VALUE"""),1.128900330298193)</f>
        <v>1.12890033</v>
      </c>
      <c r="AQ496" s="57">
        <f>IFERROR(__xludf.DUMMYFUNCTION("""COMPUTED_VALUE"""),0.8200230646336406)</f>
        <v>0.8200230646</v>
      </c>
      <c r="AR496" s="36" t="b">
        <f>IFERROR(__xludf.DUMMYFUNCTION("""COMPUTED_VALUE"""),TRUE)</f>
        <v>1</v>
      </c>
      <c r="AS496" s="57"/>
      <c r="AT496" s="37"/>
      <c r="AU496" s="30"/>
      <c r="AV496" s="30"/>
      <c r="AW496" s="30"/>
      <c r="AX496" s="30"/>
      <c r="AY496" s="30"/>
      <c r="AZ496" s="30"/>
    </row>
    <row r="497">
      <c r="A497" s="30" t="str">
        <f>IFERROR(__xludf.DUMMYFUNCTION("""COMPUTED_VALUE"""),"Prospect")</f>
        <v>Prospect</v>
      </c>
      <c r="B497" s="30" t="str">
        <f>IFERROR(__xludf.DUMMYFUNCTION("""COMPUTED_VALUE"""),"RSC007518")</f>
        <v>RSC007518</v>
      </c>
      <c r="C497" s="30" t="str">
        <f>IFERROR(__xludf.DUMMYFUNCTION("""COMPUTED_VALUE"""),"LoneDrifter.")</f>
        <v>LoneDrifter.</v>
      </c>
      <c r="D497" s="31" t="str">
        <f>IFERROR(__xludf.DUMMYFUNCTION("""COMPUTED_VALUE"""),"Blacktips")</f>
        <v>Blacktips</v>
      </c>
      <c r="E497" s="31">
        <f>IFERROR(__xludf.DUMMYFUNCTION("""COMPUTED_VALUE"""),75.15006465694758)</f>
        <v>75.15006466</v>
      </c>
      <c r="F497" s="31">
        <f>IFERROR(__xludf.DUMMYFUNCTION("""COMPUTED_VALUE"""),6.361033308043612)</f>
        <v>6.361033308</v>
      </c>
      <c r="G497" s="31">
        <f>IFERROR(__xludf.DUMMYFUNCTION("""COMPUTED_VALUE"""),68.07421579417753)</f>
        <v>68.07421579</v>
      </c>
      <c r="H497" s="31">
        <f>IFERROR(__xludf.DUMMYFUNCTION("""COMPUTED_VALUE"""),4.258044694696456)</f>
        <v>4.258044695</v>
      </c>
      <c r="I497" s="54">
        <f>IFERROR(__xludf.DUMMYFUNCTION("""COMPUTED_VALUE"""),48.0)</f>
        <v>48</v>
      </c>
      <c r="J497" s="55">
        <f>IFERROR(__xludf.DUMMYFUNCTION("""COMPUTED_VALUE"""),30.0)</f>
        <v>30</v>
      </c>
      <c r="K497" s="54">
        <f>IFERROR(__xludf.DUMMYFUNCTION("""COMPUTED_VALUE"""),18.0)</f>
        <v>18</v>
      </c>
      <c r="L497" s="56">
        <f>IFERROR(__xludf.DUMMYFUNCTION("""COMPUTED_VALUE"""),0.625)</f>
        <v>0.625</v>
      </c>
      <c r="M497" s="56">
        <f>IFERROR(__xludf.DUMMYFUNCTION("""COMPUTED_VALUE"""),0.3923076923076923)</f>
        <v>0.3923076923</v>
      </c>
      <c r="N497" s="31">
        <f>IFERROR(__xludf.DUMMYFUNCTION("""COMPUTED_VALUE"""),377.4375)</f>
        <v>377.4375</v>
      </c>
      <c r="O497" s="57">
        <f>IFERROR(__xludf.DUMMYFUNCTION("""COMPUTED_VALUE"""),1.0625)</f>
        <v>1.0625</v>
      </c>
      <c r="P497" s="57">
        <f>IFERROR(__xludf.DUMMYFUNCTION("""COMPUTED_VALUE"""),0.5208333333333334)</f>
        <v>0.5208333333</v>
      </c>
      <c r="Q497" s="57">
        <f>IFERROR(__xludf.DUMMYFUNCTION("""COMPUTED_VALUE"""),1.3541666666666667)</f>
        <v>1.354166667</v>
      </c>
      <c r="R497" s="57">
        <f>IFERROR(__xludf.DUMMYFUNCTION("""COMPUTED_VALUE"""),2.7083333333333335)</f>
        <v>2.708333333</v>
      </c>
      <c r="S497" s="31">
        <f>IFERROR(__xludf.DUMMYFUNCTION("""COMPUTED_VALUE"""),320.0138888888889)</f>
        <v>320.0138889</v>
      </c>
      <c r="T497" s="57">
        <f>IFERROR(__xludf.DUMMYFUNCTION("""COMPUTED_VALUE"""),0.7152777777777778)</f>
        <v>0.7152777778</v>
      </c>
      <c r="U497" s="57">
        <f>IFERROR(__xludf.DUMMYFUNCTION("""COMPUTED_VALUE"""),0.4861111111111111)</f>
        <v>0.4861111111</v>
      </c>
      <c r="V497" s="57">
        <f>IFERROR(__xludf.DUMMYFUNCTION("""COMPUTED_VALUE"""),1.1388888888888886)</f>
        <v>1.138888889</v>
      </c>
      <c r="W497" s="57">
        <f>IFERROR(__xludf.DUMMYFUNCTION("""COMPUTED_VALUE"""),2.2708333333333335)</f>
        <v>2.270833333</v>
      </c>
      <c r="X497" s="31">
        <f>IFERROR(__xludf.DUMMYFUNCTION("""COMPUTED_VALUE"""),328.91177524377713)</f>
        <v>328.9117752</v>
      </c>
      <c r="Y497" s="57">
        <f>IFERROR(__xludf.DUMMYFUNCTION("""COMPUTED_VALUE"""),0.7433972776344633)</f>
        <v>0.7433972776</v>
      </c>
      <c r="Z497" s="57">
        <f>IFERROR(__xludf.DUMMYFUNCTION("""COMPUTED_VALUE"""),0.5183885582749898)</f>
        <v>0.5183885583</v>
      </c>
      <c r="AA497" s="57">
        <f>IFERROR(__xludf.DUMMYFUNCTION("""COMPUTED_VALUE"""),1.2151656027169129)</f>
        <v>1.215165603</v>
      </c>
      <c r="AB497" s="57">
        <f>IFERROR(__xludf.DUMMYFUNCTION("""COMPUTED_VALUE"""),2.391674462084739)</f>
        <v>2.391674462</v>
      </c>
      <c r="AC497" s="31">
        <f>IFERROR(__xludf.DUMMYFUNCTION("""COMPUTED_VALUE"""),338.21950742330733)</f>
        <v>338.2195074</v>
      </c>
      <c r="AD497" s="57">
        <f>IFERROR(__xludf.DUMMYFUNCTION("""COMPUTED_VALUE"""),0.7997232476731221)</f>
        <v>0.7997232477</v>
      </c>
      <c r="AE497" s="57">
        <f>IFERROR(__xludf.DUMMYFUNCTION("""COMPUTED_VALUE"""),0.5333226738158519)</f>
        <v>0.5333226738</v>
      </c>
      <c r="AF497" s="57">
        <f>IFERROR(__xludf.DUMMYFUNCTION("""COMPUTED_VALUE"""),1.195595667356877)</f>
        <v>1.195595667</v>
      </c>
      <c r="AG497" s="57">
        <f>IFERROR(__xludf.DUMMYFUNCTION("""COMPUTED_VALUE"""),2.4953686947637252)</f>
        <v>2.495368695</v>
      </c>
      <c r="AH497" s="57">
        <f>IFERROR(__xludf.DUMMYFUNCTION("""COMPUTED_VALUE"""),1.115954259632956)</f>
        <v>1.11595426</v>
      </c>
      <c r="AI497" s="57">
        <f>IFERROR(__xludf.DUMMYFUNCTION("""COMPUTED_VALUE"""),1.3285846111032213)</f>
        <v>1.328584611</v>
      </c>
      <c r="AJ497" s="57">
        <f>IFERROR(__xludf.DUMMYFUNCTION("""COMPUTED_VALUE"""),0.9765820185495604)</f>
        <v>0.9765820185</v>
      </c>
      <c r="AK497" s="57">
        <f>IFERROR(__xludf.DUMMYFUNCTION("""COMPUTED_VALUE"""),1.132629285668411)</f>
        <v>1.132629286</v>
      </c>
      <c r="AL497" s="57">
        <f>IFERROR(__xludf.DUMMYFUNCTION("""COMPUTED_VALUE"""),1.0853439569938073)</f>
        <v>1.085343957</v>
      </c>
      <c r="AM497" s="57">
        <f>IFERROR(__xludf.DUMMYFUNCTION("""COMPUTED_VALUE"""),0.9729474983122953)</f>
        <v>0.9729474983</v>
      </c>
      <c r="AN497" s="57">
        <f>IFERROR(__xludf.DUMMYFUNCTION("""COMPUTED_VALUE"""),0.9621743303309322)</f>
        <v>0.9621743303</v>
      </c>
      <c r="AO497" s="57">
        <f>IFERROR(__xludf.DUMMYFUNCTION("""COMPUTED_VALUE"""),0.9377350316695138)</f>
        <v>0.9377350317</v>
      </c>
      <c r="AP497" s="35">
        <f>IFERROR(__xludf.DUMMYFUNCTION("""COMPUTED_VALUE"""),0.9372293672093072)</f>
        <v>0.9372293672</v>
      </c>
      <c r="AQ497" s="57">
        <f>IFERROR(__xludf.DUMMYFUNCTION("""COMPUTED_VALUE"""),0.9494742571921463)</f>
        <v>0.9494742572</v>
      </c>
      <c r="AR497" s="36" t="b">
        <f>IFERROR(__xludf.DUMMYFUNCTION("""COMPUTED_VALUE"""),TRUE)</f>
        <v>1</v>
      </c>
      <c r="AS497" s="57"/>
      <c r="AT497" s="37"/>
      <c r="AU497" s="30"/>
      <c r="AV497" s="30"/>
      <c r="AW497" s="30"/>
      <c r="AX497" s="30"/>
      <c r="AY497" s="30"/>
      <c r="AZ497" s="30"/>
    </row>
    <row r="498">
      <c r="A498" s="30" t="str">
        <f>IFERROR(__xludf.DUMMYFUNCTION("""COMPUTED_VALUE"""),"Prospect")</f>
        <v>Prospect</v>
      </c>
      <c r="B498" s="30" t="str">
        <f>IFERROR(__xludf.DUMMYFUNCTION("""COMPUTED_VALUE"""),"RSC007572")</f>
        <v>RSC007572</v>
      </c>
      <c r="C498" s="30" t="str">
        <f>IFERROR(__xludf.DUMMYFUNCTION("""COMPUTED_VALUE"""),"Mexalato")</f>
        <v>Mexalato</v>
      </c>
      <c r="D498" s="31" t="str">
        <f>IFERROR(__xludf.DUMMYFUNCTION("""COMPUTED_VALUE"""),"Horizon Highball")</f>
        <v>Horizon Highball</v>
      </c>
      <c r="E498" s="31">
        <f>IFERROR(__xludf.DUMMYFUNCTION("""COMPUTED_VALUE"""),70.47217059502586)</f>
        <v>70.4721706</v>
      </c>
      <c r="F498" s="31">
        <f>IFERROR(__xludf.DUMMYFUNCTION("""COMPUTED_VALUE"""),4.844362875383491)</f>
        <v>4.844362875</v>
      </c>
      <c r="G498" s="31">
        <f>IFERROR(__xludf.DUMMYFUNCTION("""COMPUTED_VALUE"""),63.24442381776977)</f>
        <v>63.24442382</v>
      </c>
      <c r="H498" s="31">
        <f>IFERROR(__xludf.DUMMYFUNCTION("""COMPUTED_VALUE"""),3.354204386448329)</f>
        <v>3.354204386</v>
      </c>
      <c r="I498" s="54">
        <f>IFERROR(__xludf.DUMMYFUNCTION("""COMPUTED_VALUE"""),48.0)</f>
        <v>48</v>
      </c>
      <c r="J498" s="55">
        <f>IFERROR(__xludf.DUMMYFUNCTION("""COMPUTED_VALUE"""),34.0)</f>
        <v>34</v>
      </c>
      <c r="K498" s="54">
        <f>IFERROR(__xludf.DUMMYFUNCTION("""COMPUTED_VALUE"""),14.0)</f>
        <v>14</v>
      </c>
      <c r="L498" s="56">
        <f>IFERROR(__xludf.DUMMYFUNCTION("""COMPUTED_VALUE"""),0.7083333333333334)</f>
        <v>0.7083333333</v>
      </c>
      <c r="M498" s="56">
        <f>IFERROR(__xludf.DUMMYFUNCTION("""COMPUTED_VALUE"""),0.328125)</f>
        <v>0.328125</v>
      </c>
      <c r="N498" s="31">
        <f>IFERROR(__xludf.DUMMYFUNCTION("""COMPUTED_VALUE"""),338.5625)</f>
        <v>338.5625</v>
      </c>
      <c r="O498" s="57">
        <f>IFERROR(__xludf.DUMMYFUNCTION("""COMPUTED_VALUE"""),0.875)</f>
        <v>0.875</v>
      </c>
      <c r="P498" s="57">
        <f>IFERROR(__xludf.DUMMYFUNCTION("""COMPUTED_VALUE"""),0.625)</f>
        <v>0.625</v>
      </c>
      <c r="Q498" s="57">
        <f>IFERROR(__xludf.DUMMYFUNCTION("""COMPUTED_VALUE"""),0.9375)</f>
        <v>0.9375</v>
      </c>
      <c r="R498" s="57">
        <f>IFERROR(__xludf.DUMMYFUNCTION("""COMPUTED_VALUE"""),2.6666666666666665)</f>
        <v>2.666666667</v>
      </c>
      <c r="S498" s="31">
        <f>IFERROR(__xludf.DUMMYFUNCTION("""COMPUTED_VALUE"""),317.51388888888886)</f>
        <v>317.5138889</v>
      </c>
      <c r="T498" s="57">
        <f>IFERROR(__xludf.DUMMYFUNCTION("""COMPUTED_VALUE"""),0.6249999999999999)</f>
        <v>0.625</v>
      </c>
      <c r="U498" s="57">
        <f>IFERROR(__xludf.DUMMYFUNCTION("""COMPUTED_VALUE"""),0.4513888888888887)</f>
        <v>0.4513888889</v>
      </c>
      <c r="V498" s="57">
        <f>IFERROR(__xludf.DUMMYFUNCTION("""COMPUTED_VALUE"""),1.3125000000000002)</f>
        <v>1.3125</v>
      </c>
      <c r="W498" s="57">
        <f>IFERROR(__xludf.DUMMYFUNCTION("""COMPUTED_VALUE"""),1.9583333333333328)</f>
        <v>1.958333333</v>
      </c>
      <c r="X498" s="31">
        <f>IFERROR(__xludf.DUMMYFUNCTION("""COMPUTED_VALUE"""),335.06767233367526)</f>
        <v>335.0676723</v>
      </c>
      <c r="Y498" s="57">
        <f>IFERROR(__xludf.DUMMYFUNCTION("""COMPUTED_VALUE"""),0.7801805614186365)</f>
        <v>0.7801805614</v>
      </c>
      <c r="Z498" s="57">
        <f>IFERROR(__xludf.DUMMYFUNCTION("""COMPUTED_VALUE"""),0.5199230084309839)</f>
        <v>0.5199230084</v>
      </c>
      <c r="AA498" s="57">
        <f>IFERROR(__xludf.DUMMYFUNCTION("""COMPUTED_VALUE"""),1.2298784831844738)</f>
        <v>1.229878483</v>
      </c>
      <c r="AB498" s="57">
        <f>IFERROR(__xludf.DUMMYFUNCTION("""COMPUTED_VALUE"""),2.401204979231391)</f>
        <v>2.401204979</v>
      </c>
      <c r="AC498" s="31">
        <f>IFERROR(__xludf.DUMMYFUNCTION("""COMPUTED_VALUE"""),335.02497665223945)</f>
        <v>335.0249767</v>
      </c>
      <c r="AD498" s="57">
        <f>IFERROR(__xludf.DUMMYFUNCTION("""COMPUTED_VALUE"""),0.7975379086303135)</f>
        <v>0.7975379086</v>
      </c>
      <c r="AE498" s="57">
        <f>IFERROR(__xludf.DUMMYFUNCTION("""COMPUTED_VALUE"""),0.5319651326382108)</f>
        <v>0.5319651326</v>
      </c>
      <c r="AF498" s="57">
        <f>IFERROR(__xludf.DUMMYFUNCTION("""COMPUTED_VALUE"""),1.1695272092604065)</f>
        <v>1.169527209</v>
      </c>
      <c r="AG498" s="57">
        <f>IFERROR(__xludf.DUMMYFUNCTION("""COMPUTED_VALUE"""),2.4784648704110093)</f>
        <v>2.47846487</v>
      </c>
      <c r="AH498" s="57">
        <f>IFERROR(__xludf.DUMMYFUNCTION("""COMPUTED_VALUE"""),1.0105589839393752)</f>
        <v>1.010558984</v>
      </c>
      <c r="AI498" s="57">
        <f>IFERROR(__xludf.DUMMYFUNCTION("""COMPUTED_VALUE"""),1.0971265322080044)</f>
        <v>1.097126532</v>
      </c>
      <c r="AJ498" s="57">
        <f>IFERROR(__xludf.DUMMYFUNCTION("""COMPUTED_VALUE"""),1.1748890324830032)</f>
        <v>1.174889032</v>
      </c>
      <c r="AK498" s="57">
        <f>IFERROR(__xludf.DUMMYFUNCTION("""COMPUTED_VALUE"""),0.8016059759677268)</f>
        <v>0.801605976</v>
      </c>
      <c r="AL498" s="57">
        <f>IFERROR(__xludf.DUMMYFUNCTION("""COMPUTED_VALUE"""),1.0759348250211218)</f>
        <v>1.075934825</v>
      </c>
      <c r="AM498" s="57">
        <f>IFERROR(__xludf.DUMMYFUNCTION("""COMPUTED_VALUE"""),0.9476112293300991)</f>
        <v>0.9476112293</v>
      </c>
      <c r="AN498" s="57">
        <f>IFERROR(__xludf.DUMMYFUNCTION("""COMPUTED_VALUE"""),0.8010966062311717)</f>
        <v>0.8010966062</v>
      </c>
      <c r="AO498" s="57">
        <f>IFERROR(__xludf.DUMMYFUNCTION("""COMPUTED_VALUE"""),0.8681840995094321)</f>
        <v>0.8681840995</v>
      </c>
      <c r="AP498" s="35">
        <f>IFERROR(__xludf.DUMMYFUNCTION("""COMPUTED_VALUE"""),1.0671786017441316)</f>
        <v>1.067178602</v>
      </c>
      <c r="AQ498" s="57">
        <f>IFERROR(__xludf.DUMMYFUNCTION("""COMPUTED_VALUE"""),0.8155627488162971)</f>
        <v>0.8155627488</v>
      </c>
      <c r="AR498" s="36" t="b">
        <f>IFERROR(__xludf.DUMMYFUNCTION("""COMPUTED_VALUE"""),TRUE)</f>
        <v>1</v>
      </c>
      <c r="AS498" s="57"/>
      <c r="AT498" s="37"/>
      <c r="AU498" s="30"/>
      <c r="AV498" s="30"/>
      <c r="AW498" s="30"/>
      <c r="AX498" s="30"/>
      <c r="AY498" s="30"/>
      <c r="AZ498" s="30"/>
    </row>
    <row r="499">
      <c r="A499" s="30" t="str">
        <f>IFERROR(__xludf.DUMMYFUNCTION("""COMPUTED_VALUE"""),"Prospect")</f>
        <v>Prospect</v>
      </c>
      <c r="B499" s="30" t="str">
        <f>IFERROR(__xludf.DUMMYFUNCTION("""COMPUTED_VALUE"""),"RSC007262")</f>
        <v>RSC007262</v>
      </c>
      <c r="C499" s="30" t="str">
        <f>IFERROR(__xludf.DUMMYFUNCTION("""COMPUTED_VALUE"""),"Vvreze")</f>
        <v>Vvreze</v>
      </c>
      <c r="D499" s="31" t="str">
        <f>IFERROR(__xludf.DUMMYFUNCTION("""COMPUTED_VALUE"""),"Hawaiian Pizza")</f>
        <v>Hawaiian Pizza</v>
      </c>
      <c r="E499" s="31">
        <f>IFERROR(__xludf.DUMMYFUNCTION("""COMPUTED_VALUE"""),68.69420580262911)</f>
        <v>68.6942058</v>
      </c>
      <c r="F499" s="31">
        <f>IFERROR(__xludf.DUMMYFUNCTION("""COMPUTED_VALUE"""),4.399472383715178)</f>
        <v>4.399472384</v>
      </c>
      <c r="G499" s="31">
        <f>IFERROR(__xludf.DUMMYFUNCTION("""COMPUTED_VALUE"""),52.86405640922966)</f>
        <v>52.86405641</v>
      </c>
      <c r="H499" s="31">
        <f>IFERROR(__xludf.DUMMYFUNCTION("""COMPUTED_VALUE"""),2.2007233612570003)</f>
        <v>2.200723361</v>
      </c>
      <c r="I499" s="54">
        <f>IFERROR(__xludf.DUMMYFUNCTION("""COMPUTED_VALUE"""),45.0)</f>
        <v>45</v>
      </c>
      <c r="J499" s="55">
        <f>IFERROR(__xludf.DUMMYFUNCTION("""COMPUTED_VALUE"""),21.0)</f>
        <v>21</v>
      </c>
      <c r="K499" s="54">
        <f>IFERROR(__xludf.DUMMYFUNCTION("""COMPUTED_VALUE"""),24.0)</f>
        <v>24</v>
      </c>
      <c r="L499" s="56">
        <f>IFERROR(__xludf.DUMMYFUNCTION("""COMPUTED_VALUE"""),0.4666666666666667)</f>
        <v>0.4666666667</v>
      </c>
      <c r="M499" s="56">
        <f>IFERROR(__xludf.DUMMYFUNCTION("""COMPUTED_VALUE"""),0.34108527131782945)</f>
        <v>0.3410852713</v>
      </c>
      <c r="N499" s="31">
        <f>IFERROR(__xludf.DUMMYFUNCTION("""COMPUTED_VALUE"""),377.06666666666666)</f>
        <v>377.0666667</v>
      </c>
      <c r="O499" s="57">
        <f>IFERROR(__xludf.DUMMYFUNCTION("""COMPUTED_VALUE"""),0.9777777777777777)</f>
        <v>0.9777777778</v>
      </c>
      <c r="P499" s="57">
        <f>IFERROR(__xludf.DUMMYFUNCTION("""COMPUTED_VALUE"""),0.4666666666666667)</f>
        <v>0.4666666667</v>
      </c>
      <c r="Q499" s="57">
        <f>IFERROR(__xludf.DUMMYFUNCTION("""COMPUTED_VALUE"""),1.3555555555555556)</f>
        <v>1.355555556</v>
      </c>
      <c r="R499" s="57">
        <f>IFERROR(__xludf.DUMMYFUNCTION("""COMPUTED_VALUE"""),2.8666666666666667)</f>
        <v>2.866666667</v>
      </c>
      <c r="S499" s="31">
        <f>IFERROR(__xludf.DUMMYFUNCTION("""COMPUTED_VALUE"""),350.61481481481485)</f>
        <v>350.6148148</v>
      </c>
      <c r="T499" s="57">
        <f>IFERROR(__xludf.DUMMYFUNCTION("""COMPUTED_VALUE"""),0.8148148148148149)</f>
        <v>0.8148148148</v>
      </c>
      <c r="U499" s="57">
        <f>IFERROR(__xludf.DUMMYFUNCTION("""COMPUTED_VALUE"""),0.6)</f>
        <v>0.6</v>
      </c>
      <c r="V499" s="57">
        <f>IFERROR(__xludf.DUMMYFUNCTION("""COMPUTED_VALUE"""),1.2740740740740741)</f>
        <v>1.274074074</v>
      </c>
      <c r="W499" s="57">
        <f>IFERROR(__xludf.DUMMYFUNCTION("""COMPUTED_VALUE"""),2.644444444444444)</f>
        <v>2.644444444</v>
      </c>
      <c r="X499" s="31">
        <f>IFERROR(__xludf.DUMMYFUNCTION("""COMPUTED_VALUE"""),335.90316098897466)</f>
        <v>335.903161</v>
      </c>
      <c r="Y499" s="57">
        <f>IFERROR(__xludf.DUMMYFUNCTION("""COMPUTED_VALUE"""),0.799047411605923)</f>
        <v>0.7990474116</v>
      </c>
      <c r="Z499" s="57">
        <f>IFERROR(__xludf.DUMMYFUNCTION("""COMPUTED_VALUE"""),0.5312414889106359)</f>
        <v>0.5312414889</v>
      </c>
      <c r="AA499" s="57">
        <f>IFERROR(__xludf.DUMMYFUNCTION("""COMPUTED_VALUE"""),1.1729661049433926)</f>
        <v>1.172966105</v>
      </c>
      <c r="AB499" s="57">
        <f>IFERROR(__xludf.DUMMYFUNCTION("""COMPUTED_VALUE"""),2.5048596251306394)</f>
        <v>2.504859625</v>
      </c>
      <c r="AC499" s="31">
        <f>IFERROR(__xludf.DUMMYFUNCTION("""COMPUTED_VALUE"""),336.4937890362277)</f>
        <v>336.493789</v>
      </c>
      <c r="AD499" s="57">
        <f>IFERROR(__xludf.DUMMYFUNCTION("""COMPUTED_VALUE"""),0.8036009248600346)</f>
        <v>0.8036009249</v>
      </c>
      <c r="AE499" s="57">
        <f>IFERROR(__xludf.DUMMYFUNCTION("""COMPUTED_VALUE"""),0.5236324425113593)</f>
        <v>0.5236324425</v>
      </c>
      <c r="AF499" s="57">
        <f>IFERROR(__xludf.DUMMYFUNCTION("""COMPUTED_VALUE"""),1.2156753782841014)</f>
        <v>1.215675378</v>
      </c>
      <c r="AG499" s="57">
        <f>IFERROR(__xludf.DUMMYFUNCTION("""COMPUTED_VALUE"""),2.4074144390624594)</f>
        <v>2.407414439</v>
      </c>
      <c r="AH499" s="57">
        <f>IFERROR(__xludf.DUMMYFUNCTION("""COMPUTED_VALUE"""),1.1205754131351018)</f>
        <v>1.120575413</v>
      </c>
      <c r="AI499" s="57">
        <f>IFERROR(__xludf.DUMMYFUNCTION("""COMPUTED_VALUE"""),1.2167454609986668)</f>
        <v>1.216745461</v>
      </c>
      <c r="AJ499" s="57">
        <f>IFERROR(__xludf.DUMMYFUNCTION("""COMPUTED_VALUE"""),0.8912103773183289)</f>
        <v>0.8912103773</v>
      </c>
      <c r="AK499" s="57">
        <f>IFERROR(__xludf.DUMMYFUNCTION("""COMPUTED_VALUE"""),1.1150637577844933)</f>
        <v>1.115063758</v>
      </c>
      <c r="AL499" s="57">
        <f>IFERROR(__xludf.DUMMYFUNCTION("""COMPUTED_VALUE"""),1.1907657527314066)</f>
        <v>1.190765753</v>
      </c>
      <c r="AM499" s="57">
        <f>IFERROR(__xludf.DUMMYFUNCTION("""COMPUTED_VALUE"""),1.043797306886085)</f>
        <v>1.043797307</v>
      </c>
      <c r="AN499" s="57">
        <f>IFERROR(__xludf.DUMMYFUNCTION("""COMPUTED_VALUE"""),1.019732750497499)</f>
        <v>1.01973275</v>
      </c>
      <c r="AO499" s="57">
        <f>IFERROR(__xludf.DUMMYFUNCTION("""COMPUTED_VALUE"""),1.1294298591594574)</f>
        <v>1.129429859</v>
      </c>
      <c r="AP499" s="35">
        <f>IFERROR(__xludf.DUMMYFUNCTION("""COMPUTED_VALUE"""),1.086198542911486)</f>
        <v>1.086198543</v>
      </c>
      <c r="AQ499" s="57">
        <f>IFERROR(__xludf.DUMMYFUNCTION("""COMPUTED_VALUE"""),1.0557256055043502)</f>
        <v>1.055725606</v>
      </c>
      <c r="AR499" s="36" t="b">
        <f>IFERROR(__xludf.DUMMYFUNCTION("""COMPUTED_VALUE"""),TRUE)</f>
        <v>1</v>
      </c>
      <c r="AS499" s="57"/>
      <c r="AT499" s="37"/>
      <c r="AU499" s="30"/>
      <c r="AV499" s="30"/>
      <c r="AW499" s="30"/>
      <c r="AX499" s="30"/>
      <c r="AY499" s="30"/>
      <c r="AZ499" s="30"/>
    </row>
    <row r="500">
      <c r="A500" s="30" t="str">
        <f>IFERROR(__xludf.DUMMYFUNCTION("""COMPUTED_VALUE"""),"Prospect")</f>
        <v>Prospect</v>
      </c>
      <c r="B500" s="30" t="str">
        <f>IFERROR(__xludf.DUMMYFUNCTION("""COMPUTED_VALUE"""),"RSC006308")</f>
        <v>RSC006308</v>
      </c>
      <c r="C500" s="30" t="str">
        <f>IFERROR(__xludf.DUMMYFUNCTION("""COMPUTED_VALUE"""),"SqueezySponge_")</f>
        <v>SqueezySponge_</v>
      </c>
      <c r="D500" s="31" t="str">
        <f>IFERROR(__xludf.DUMMYFUNCTION("""COMPUTED_VALUE"""),"Hawaiian Pizza")</f>
        <v>Hawaiian Pizza</v>
      </c>
      <c r="E500" s="31">
        <f>IFERROR(__xludf.DUMMYFUNCTION("""COMPUTED_VALUE"""),68.36019986207299)</f>
        <v>68.36019986</v>
      </c>
      <c r="F500" s="31">
        <f>IFERROR(__xludf.DUMMYFUNCTION("""COMPUTED_VALUE"""),4.322454072120615)</f>
        <v>4.322454072</v>
      </c>
      <c r="G500" s="31">
        <f>IFERROR(__xludf.DUMMYFUNCTION("""COMPUTED_VALUE"""),62.596458796449824)</f>
        <v>62.5964588</v>
      </c>
      <c r="H500" s="31">
        <f>IFERROR(__xludf.DUMMYFUNCTION("""COMPUTED_VALUE"""),3.2554154037145326)</f>
        <v>3.255415404</v>
      </c>
      <c r="I500" s="54">
        <f>IFERROR(__xludf.DUMMYFUNCTION("""COMPUTED_VALUE"""),43.0)</f>
        <v>43</v>
      </c>
      <c r="J500" s="55">
        <f>IFERROR(__xludf.DUMMYFUNCTION("""COMPUTED_VALUE"""),25.0)</f>
        <v>25</v>
      </c>
      <c r="K500" s="54">
        <f>IFERROR(__xludf.DUMMYFUNCTION("""COMPUTED_VALUE"""),18.0)</f>
        <v>18</v>
      </c>
      <c r="L500" s="56">
        <f>IFERROR(__xludf.DUMMYFUNCTION("""COMPUTED_VALUE"""),0.5813953488372093)</f>
        <v>0.5813953488</v>
      </c>
      <c r="M500" s="56">
        <f>IFERROR(__xludf.DUMMYFUNCTION("""COMPUTED_VALUE"""),0.3305084745762712)</f>
        <v>0.3305084746</v>
      </c>
      <c r="N500" s="31">
        <f>IFERROR(__xludf.DUMMYFUNCTION("""COMPUTED_VALUE"""),346.3255813953488)</f>
        <v>346.3255814</v>
      </c>
      <c r="O500" s="57">
        <f>IFERROR(__xludf.DUMMYFUNCTION("""COMPUTED_VALUE"""),0.9069767441860465)</f>
        <v>0.9069767442</v>
      </c>
      <c r="P500" s="57">
        <f>IFERROR(__xludf.DUMMYFUNCTION("""COMPUTED_VALUE"""),0.5581395348837209)</f>
        <v>0.5581395349</v>
      </c>
      <c r="Q500" s="57">
        <f>IFERROR(__xludf.DUMMYFUNCTION("""COMPUTED_VALUE"""),1.1395348837209303)</f>
        <v>1.139534884</v>
      </c>
      <c r="R500" s="57">
        <f>IFERROR(__xludf.DUMMYFUNCTION("""COMPUTED_VALUE"""),2.744186046511628)</f>
        <v>2.744186047</v>
      </c>
      <c r="S500" s="31">
        <f>IFERROR(__xludf.DUMMYFUNCTION("""COMPUTED_VALUE"""),307.7054263565892)</f>
        <v>307.7054264</v>
      </c>
      <c r="T500" s="57">
        <f>IFERROR(__xludf.DUMMYFUNCTION("""COMPUTED_VALUE"""),0.6744186046511627)</f>
        <v>0.6744186047</v>
      </c>
      <c r="U500" s="57">
        <f>IFERROR(__xludf.DUMMYFUNCTION("""COMPUTED_VALUE"""),0.4883720930232558)</f>
        <v>0.488372093</v>
      </c>
      <c r="V500" s="57">
        <f>IFERROR(__xludf.DUMMYFUNCTION("""COMPUTED_VALUE"""),1.046511627906977)</f>
        <v>1.046511628</v>
      </c>
      <c r="W500" s="57">
        <f>IFERROR(__xludf.DUMMYFUNCTION("""COMPUTED_VALUE"""),2.2325581395348837)</f>
        <v>2.23255814</v>
      </c>
      <c r="X500" s="31">
        <f>IFERROR(__xludf.DUMMYFUNCTION("""COMPUTED_VALUE"""),331.0952360486815)</f>
        <v>331.095236</v>
      </c>
      <c r="Y500" s="57">
        <f>IFERROR(__xludf.DUMMYFUNCTION("""COMPUTED_VALUE"""),0.766326137609344)</f>
        <v>0.7663261376</v>
      </c>
      <c r="Z500" s="57">
        <f>IFERROR(__xludf.DUMMYFUNCTION("""COMPUTED_VALUE"""),0.5234055835151787)</f>
        <v>0.5234055835</v>
      </c>
      <c r="AA500" s="57">
        <f>IFERROR(__xludf.DUMMYFUNCTION("""COMPUTED_VALUE"""),1.1637027605116097)</f>
        <v>1.163702761</v>
      </c>
      <c r="AB500" s="57">
        <f>IFERROR(__xludf.DUMMYFUNCTION("""COMPUTED_VALUE"""),2.35767213665264)</f>
        <v>2.357672137</v>
      </c>
      <c r="AC500" s="31">
        <f>IFERROR(__xludf.DUMMYFUNCTION("""COMPUTED_VALUE"""),337.57673238214994)</f>
        <v>337.5767324</v>
      </c>
      <c r="AD500" s="57">
        <f>IFERROR(__xludf.DUMMYFUNCTION("""COMPUTED_VALUE"""),0.8353719749992289)</f>
        <v>0.835371975</v>
      </c>
      <c r="AE500" s="57">
        <f>IFERROR(__xludf.DUMMYFUNCTION("""COMPUTED_VALUE"""),0.5496882853632431)</f>
        <v>0.5496882854</v>
      </c>
      <c r="AF500" s="57">
        <f>IFERROR(__xludf.DUMMYFUNCTION("""COMPUTED_VALUE"""),1.162971293759556)</f>
        <v>1.162971294</v>
      </c>
      <c r="AG500" s="57">
        <f>IFERROR(__xludf.DUMMYFUNCTION("""COMPUTED_VALUE"""),2.457449177544903)</f>
        <v>2.457449178</v>
      </c>
      <c r="AH500" s="57">
        <f>IFERROR(__xludf.DUMMYFUNCTION("""COMPUTED_VALUE"""),1.025916623315421)</f>
        <v>1.025916623</v>
      </c>
      <c r="AI500" s="57">
        <f>IFERROR(__xludf.DUMMYFUNCTION("""COMPUTED_VALUE"""),1.0857160299001936)</f>
        <v>1.08571603</v>
      </c>
      <c r="AJ500" s="57">
        <f>IFERROR(__xludf.DUMMYFUNCTION("""COMPUTED_VALUE"""),1.0153746218457123)</f>
        <v>1.015374622</v>
      </c>
      <c r="AK500" s="57">
        <f>IFERROR(__xludf.DUMMYFUNCTION("""COMPUTED_VALUE"""),0.9798478172553491)</f>
        <v>0.9798478173</v>
      </c>
      <c r="AL500" s="57">
        <f>IFERROR(__xludf.DUMMYFUNCTION("""COMPUTED_VALUE"""),1.1166806913391336)</f>
        <v>1.116680691</v>
      </c>
      <c r="AM500" s="57">
        <f>IFERROR(__xludf.DUMMYFUNCTION("""COMPUTED_VALUE"""),0.9293562481561853)</f>
        <v>0.9293562482</v>
      </c>
      <c r="AN500" s="57">
        <f>IFERROR(__xludf.DUMMYFUNCTION("""COMPUTED_VALUE"""),0.8800673388945089)</f>
        <v>0.8800673389</v>
      </c>
      <c r="AO500" s="57">
        <f>IFERROR(__xludf.DUMMYFUNCTION("""COMPUTED_VALUE"""),0.9330662652533454)</f>
        <v>0.9330662653</v>
      </c>
      <c r="AP500" s="35">
        <f>IFERROR(__xludf.DUMMYFUNCTION("""COMPUTED_VALUE"""),0.8992946166484036)</f>
        <v>0.8992946166</v>
      </c>
      <c r="AQ500" s="57">
        <f>IFERROR(__xludf.DUMMYFUNCTION("""COMPUTED_VALUE"""),0.94693325031385)</f>
        <v>0.9469332503</v>
      </c>
      <c r="AR500" s="36" t="b">
        <f>IFERROR(__xludf.DUMMYFUNCTION("""COMPUTED_VALUE"""),TRUE)</f>
        <v>1</v>
      </c>
      <c r="AS500" s="57"/>
      <c r="AT500" s="37"/>
      <c r="AU500" s="30"/>
      <c r="AV500" s="30"/>
      <c r="AW500" s="30"/>
      <c r="AX500" s="30"/>
      <c r="AY500" s="30"/>
      <c r="AZ500" s="30"/>
    </row>
    <row r="501">
      <c r="A501" s="30" t="str">
        <f>IFERROR(__xludf.DUMMYFUNCTION("""COMPUTED_VALUE"""),"Prospect")</f>
        <v>Prospect</v>
      </c>
      <c r="B501" s="30" t="str">
        <f>IFERROR(__xludf.DUMMYFUNCTION("""COMPUTED_VALUE"""),"RSC007202")</f>
        <v>RSC007202</v>
      </c>
      <c r="C501" s="30" t="str">
        <f>IFERROR(__xludf.DUMMYFUNCTION("""COMPUTED_VALUE"""),"GreatHonda")</f>
        <v>GreatHonda</v>
      </c>
      <c r="D501" s="31" t="str">
        <f>IFERROR(__xludf.DUMMYFUNCTION("""COMPUTED_VALUE"""),"Horizon Highball")</f>
        <v>Horizon Highball</v>
      </c>
      <c r="E501" s="31">
        <f>IFERROR(__xludf.DUMMYFUNCTION("""COMPUTED_VALUE"""),67.76112299811237)</f>
        <v>67.761123</v>
      </c>
      <c r="F501" s="31">
        <f>IFERROR(__xludf.DUMMYFUNCTION("""COMPUTED_VALUE"""),4.189110912614168)</f>
        <v>4.189110913</v>
      </c>
      <c r="G501" s="31">
        <f>IFERROR(__xludf.DUMMYFUNCTION("""COMPUTED_VALUE"""),67.50462745190598)</f>
        <v>67.50462745</v>
      </c>
      <c r="H501" s="31">
        <f>IFERROR(__xludf.DUMMYFUNCTION("""COMPUTED_VALUE"""),4.133839530624724)</f>
        <v>4.133839531</v>
      </c>
      <c r="I501" s="54">
        <f>IFERROR(__xludf.DUMMYFUNCTION("""COMPUTED_VALUE"""),30.0)</f>
        <v>30</v>
      </c>
      <c r="J501" s="55">
        <f>IFERROR(__xludf.DUMMYFUNCTION("""COMPUTED_VALUE"""),22.0)</f>
        <v>22</v>
      </c>
      <c r="K501" s="54">
        <f>IFERROR(__xludf.DUMMYFUNCTION("""COMPUTED_VALUE"""),8.0)</f>
        <v>8</v>
      </c>
      <c r="L501" s="56">
        <f>IFERROR(__xludf.DUMMYFUNCTION("""COMPUTED_VALUE"""),0.7333333333333333)</f>
        <v>0.7333333333</v>
      </c>
      <c r="M501" s="56">
        <f>IFERROR(__xludf.DUMMYFUNCTION("""COMPUTED_VALUE"""),0.32432432432432434)</f>
        <v>0.3243243243</v>
      </c>
      <c r="N501" s="31">
        <f>IFERROR(__xludf.DUMMYFUNCTION("""COMPUTED_VALUE"""),340.46666666666664)</f>
        <v>340.4666667</v>
      </c>
      <c r="O501" s="57">
        <f>IFERROR(__xludf.DUMMYFUNCTION("""COMPUTED_VALUE"""),0.8)</f>
        <v>0.8</v>
      </c>
      <c r="P501" s="57">
        <f>IFERROR(__xludf.DUMMYFUNCTION("""COMPUTED_VALUE"""),0.7)</f>
        <v>0.7</v>
      </c>
      <c r="Q501" s="57">
        <f>IFERROR(__xludf.DUMMYFUNCTION("""COMPUTED_VALUE"""),0.9666666666666667)</f>
        <v>0.9666666667</v>
      </c>
      <c r="R501" s="57">
        <f>IFERROR(__xludf.DUMMYFUNCTION("""COMPUTED_VALUE"""),2.466666666666667)</f>
        <v>2.466666667</v>
      </c>
      <c r="S501" s="31">
        <f>IFERROR(__xludf.DUMMYFUNCTION("""COMPUTED_VALUE"""),313.6555555555555)</f>
        <v>313.6555556</v>
      </c>
      <c r="T501" s="57">
        <f>IFERROR(__xludf.DUMMYFUNCTION("""COMPUTED_VALUE"""),0.5777777777777777)</f>
        <v>0.5777777778</v>
      </c>
      <c r="U501" s="57">
        <f>IFERROR(__xludf.DUMMYFUNCTION("""COMPUTED_VALUE"""),0.4333333333333334)</f>
        <v>0.4333333333</v>
      </c>
      <c r="V501" s="57">
        <f>IFERROR(__xludf.DUMMYFUNCTION("""COMPUTED_VALUE"""),1.2666666666666666)</f>
        <v>1.266666667</v>
      </c>
      <c r="W501" s="57">
        <f>IFERROR(__xludf.DUMMYFUNCTION("""COMPUTED_VALUE"""),1.888888888888889)</f>
        <v>1.888888889</v>
      </c>
      <c r="X501" s="31">
        <f>IFERROR(__xludf.DUMMYFUNCTION("""COMPUTED_VALUE"""),334.6673362332643)</f>
        <v>334.6673362</v>
      </c>
      <c r="Y501" s="57">
        <f>IFERROR(__xludf.DUMMYFUNCTION("""COMPUTED_VALUE"""),0.7796630574901556)</f>
        <v>0.7796630575</v>
      </c>
      <c r="Z501" s="57">
        <f>IFERROR(__xludf.DUMMYFUNCTION("""COMPUTED_VALUE"""),0.5168262628952033)</f>
        <v>0.5168262629</v>
      </c>
      <c r="AA501" s="57">
        <f>IFERROR(__xludf.DUMMYFUNCTION("""COMPUTED_VALUE"""),1.220215669093056)</f>
        <v>1.220215669</v>
      </c>
      <c r="AB501" s="57">
        <f>IFERROR(__xludf.DUMMYFUNCTION("""COMPUTED_VALUE"""),2.4019413605284416)</f>
        <v>2.401941361</v>
      </c>
      <c r="AC501" s="31">
        <f>IFERROR(__xludf.DUMMYFUNCTION("""COMPUTED_VALUE"""),336.6336413660082)</f>
        <v>336.6336414</v>
      </c>
      <c r="AD501" s="57">
        <f>IFERROR(__xludf.DUMMYFUNCTION("""COMPUTED_VALUE"""),0.8066887225302288)</f>
        <v>0.8066887225</v>
      </c>
      <c r="AE501" s="57">
        <f>IFERROR(__xludf.DUMMYFUNCTION("""COMPUTED_VALUE"""),0.5373822413851367)</f>
        <v>0.5373822414</v>
      </c>
      <c r="AF501" s="57">
        <f>IFERROR(__xludf.DUMMYFUNCTION("""COMPUTED_VALUE"""),1.1741392007854183)</f>
        <v>1.174139201</v>
      </c>
      <c r="AG501" s="57">
        <f>IFERROR(__xludf.DUMMYFUNCTION("""COMPUTED_VALUE"""),2.468594386460343)</f>
        <v>2.468594386</v>
      </c>
      <c r="AH501" s="57">
        <f>IFERROR(__xludf.DUMMYFUNCTION("""COMPUTED_VALUE"""),1.0113863406078627)</f>
        <v>1.011386341</v>
      </c>
      <c r="AI501" s="57">
        <f>IFERROR(__xludf.DUMMYFUNCTION("""COMPUTED_VALUE"""),0.9917084219186191)</f>
        <v>0.9917084219</v>
      </c>
      <c r="AJ501" s="57">
        <f>IFERROR(__xludf.DUMMYFUNCTION("""COMPUTED_VALUE"""),1.3026109649543047)</f>
        <v>1.302610965</v>
      </c>
      <c r="AK501" s="57">
        <f>IFERROR(__xludf.DUMMYFUNCTION("""COMPUTED_VALUE"""),0.8232981796536843)</f>
        <v>0.8232981797</v>
      </c>
      <c r="AL501" s="57">
        <f>IFERROR(__xludf.DUMMYFUNCTION("""COMPUTED_VALUE"""),0.999219102253392)</f>
        <v>0.9992191023</v>
      </c>
      <c r="AM501" s="57">
        <f>IFERROR(__xludf.DUMMYFUNCTION("""COMPUTED_VALUE"""),0.9372159203996429)</f>
        <v>0.9372159204</v>
      </c>
      <c r="AN501" s="57">
        <f>IFERROR(__xludf.DUMMYFUNCTION("""COMPUTED_VALUE"""),0.7410608624162919)</f>
        <v>0.7410608624</v>
      </c>
      <c r="AO501" s="57">
        <f>IFERROR(__xludf.DUMMYFUNCTION("""COMPUTED_VALUE"""),0.8384506834189274)</f>
        <v>0.8384506834</v>
      </c>
      <c r="AP501" s="35">
        <f>IFERROR(__xludf.DUMMYFUNCTION("""COMPUTED_VALUE"""),1.038067858617269)</f>
        <v>1.038067859</v>
      </c>
      <c r="AQ501" s="57">
        <f>IFERROR(__xludf.DUMMYFUNCTION("""COMPUTED_VALUE"""),0.7864009171619919)</f>
        <v>0.7864009172</v>
      </c>
      <c r="AR501" s="36" t="b">
        <f>IFERROR(__xludf.DUMMYFUNCTION("""COMPUTED_VALUE"""),TRUE)</f>
        <v>1</v>
      </c>
      <c r="AS501" s="57"/>
      <c r="AT501" s="37"/>
      <c r="AU501" s="30"/>
      <c r="AV501" s="30"/>
      <c r="AW501" s="30"/>
      <c r="AX501" s="30"/>
      <c r="AY501" s="30"/>
      <c r="AZ501" s="30"/>
    </row>
    <row r="502">
      <c r="A502" s="30" t="str">
        <f>IFERROR(__xludf.DUMMYFUNCTION("""COMPUTED_VALUE"""),"Prospect")</f>
        <v>Prospect</v>
      </c>
      <c r="B502" s="30" t="str">
        <f>IFERROR(__xludf.DUMMYFUNCTION("""COMPUTED_VALUE"""),"RSC007092")</f>
        <v>RSC007092</v>
      </c>
      <c r="C502" s="30" t="str">
        <f>IFERROR(__xludf.DUMMYFUNCTION("""COMPUTED_VALUE"""),"Minjaaa")</f>
        <v>Minjaaa</v>
      </c>
      <c r="D502" s="31" t="str">
        <f>IFERROR(__xludf.DUMMYFUNCTION("""COMPUTED_VALUE"""),"Horizon Highball")</f>
        <v>Horizon Highball</v>
      </c>
      <c r="E502" s="31">
        <f>IFERROR(__xludf.DUMMYFUNCTION("""COMPUTED_VALUE"""),67.57775707341341)</f>
        <v>67.57775707</v>
      </c>
      <c r="F502" s="31">
        <f>IFERROR(__xludf.DUMMYFUNCTION("""COMPUTED_VALUE"""),4.149489299265876)</f>
        <v>4.149489299</v>
      </c>
      <c r="G502" s="31">
        <f>IFERROR(__xludf.DUMMYFUNCTION("""COMPUTED_VALUE"""),65.1535780906887)</f>
        <v>65.15357809</v>
      </c>
      <c r="H502" s="31">
        <f>IFERROR(__xludf.DUMMYFUNCTION("""COMPUTED_VALUE"""),3.673636234806125)</f>
        <v>3.673636235</v>
      </c>
      <c r="I502" s="54">
        <f>IFERROR(__xludf.DUMMYFUNCTION("""COMPUTED_VALUE"""),33.0)</f>
        <v>33</v>
      </c>
      <c r="J502" s="55">
        <f>IFERROR(__xludf.DUMMYFUNCTION("""COMPUTED_VALUE"""),23.0)</f>
        <v>23</v>
      </c>
      <c r="K502" s="54">
        <f>IFERROR(__xludf.DUMMYFUNCTION("""COMPUTED_VALUE"""),10.0)</f>
        <v>10</v>
      </c>
      <c r="L502" s="56">
        <f>IFERROR(__xludf.DUMMYFUNCTION("""COMPUTED_VALUE"""),0.696969696969697)</f>
        <v>0.696969697</v>
      </c>
      <c r="M502" s="56">
        <f>IFERROR(__xludf.DUMMYFUNCTION("""COMPUTED_VALUE"""),0.30000000000000004)</f>
        <v>0.3</v>
      </c>
      <c r="N502" s="31">
        <f>IFERROR(__xludf.DUMMYFUNCTION("""COMPUTED_VALUE"""),322.54545454545456)</f>
        <v>322.5454545</v>
      </c>
      <c r="O502" s="57">
        <f>IFERROR(__xludf.DUMMYFUNCTION("""COMPUTED_VALUE"""),0.8181818181818182)</f>
        <v>0.8181818182</v>
      </c>
      <c r="P502" s="57">
        <f>IFERROR(__xludf.DUMMYFUNCTION("""COMPUTED_VALUE"""),0.696969696969697)</f>
        <v>0.696969697</v>
      </c>
      <c r="Q502" s="57">
        <f>IFERROR(__xludf.DUMMYFUNCTION("""COMPUTED_VALUE"""),0.9393939393939394)</f>
        <v>0.9393939394</v>
      </c>
      <c r="R502" s="57">
        <f>IFERROR(__xludf.DUMMYFUNCTION("""COMPUTED_VALUE"""),2.727272727272727)</f>
        <v>2.727272727</v>
      </c>
      <c r="S502" s="31">
        <f>IFERROR(__xludf.DUMMYFUNCTION("""COMPUTED_VALUE"""),323.80808080808083)</f>
        <v>323.8080808</v>
      </c>
      <c r="T502" s="57">
        <f>IFERROR(__xludf.DUMMYFUNCTION("""COMPUTED_VALUE"""),0.6767676767676766)</f>
        <v>0.6767676768</v>
      </c>
      <c r="U502" s="57">
        <f>IFERROR(__xludf.DUMMYFUNCTION("""COMPUTED_VALUE"""),0.4747474747474748)</f>
        <v>0.4747474747</v>
      </c>
      <c r="V502" s="57">
        <f>IFERROR(__xludf.DUMMYFUNCTION("""COMPUTED_VALUE"""),1.4040404040404044)</f>
        <v>1.404040404</v>
      </c>
      <c r="W502" s="57">
        <f>IFERROR(__xludf.DUMMYFUNCTION("""COMPUTED_VALUE"""),1.8484848484848484)</f>
        <v>1.848484848</v>
      </c>
      <c r="X502" s="31">
        <f>IFERROR(__xludf.DUMMYFUNCTION("""COMPUTED_VALUE"""),330.9371582488798)</f>
        <v>330.9371582</v>
      </c>
      <c r="Y502" s="57">
        <f>IFERROR(__xludf.DUMMYFUNCTION("""COMPUTED_VALUE"""),0.7621254308609081)</f>
        <v>0.7621254309</v>
      </c>
      <c r="Z502" s="57">
        <f>IFERROR(__xludf.DUMMYFUNCTION("""COMPUTED_VALUE"""),0.5025046360634196)</f>
        <v>0.5025046361</v>
      </c>
      <c r="AA502" s="57">
        <f>IFERROR(__xludf.DUMMYFUNCTION("""COMPUTED_VALUE"""),1.2346264365424982)</f>
        <v>1.234626437</v>
      </c>
      <c r="AB502" s="57">
        <f>IFERROR(__xludf.DUMMYFUNCTION("""COMPUTED_VALUE"""),2.3120410469954074)</f>
        <v>2.312041047</v>
      </c>
      <c r="AC502" s="31">
        <f>IFERROR(__xludf.DUMMYFUNCTION("""COMPUTED_VALUE"""),332.564685884039)</f>
        <v>332.5646859</v>
      </c>
      <c r="AD502" s="57">
        <f>IFERROR(__xludf.DUMMYFUNCTION("""COMPUTED_VALUE"""),0.8031635282964431)</f>
        <v>0.8031635283</v>
      </c>
      <c r="AE502" s="57">
        <f>IFERROR(__xludf.DUMMYFUNCTION("""COMPUTED_VALUE"""),0.5354003969283003)</f>
        <v>0.5354003969</v>
      </c>
      <c r="AF502" s="57">
        <f>IFERROR(__xludf.DUMMYFUNCTION("""COMPUTED_VALUE"""),1.1275923050333203)</f>
        <v>1.127592305</v>
      </c>
      <c r="AG502" s="57">
        <f>IFERROR(__xludf.DUMMYFUNCTION("""COMPUTED_VALUE"""),2.501095966556038)</f>
        <v>2.501095967</v>
      </c>
      <c r="AH502" s="57">
        <f>IFERROR(__xludf.DUMMYFUNCTION("""COMPUTED_VALUE"""),0.9698728344774464)</f>
        <v>0.9698728345</v>
      </c>
      <c r="AI502" s="57">
        <f>IFERROR(__xludf.DUMMYFUNCTION("""COMPUTED_VALUE"""),1.0186989191568867)</f>
        <v>1.018698919</v>
      </c>
      <c r="AJ502" s="57">
        <f>IFERROR(__xludf.DUMMYFUNCTION("""COMPUTED_VALUE"""),1.301772843218556)</f>
        <v>1.301772843</v>
      </c>
      <c r="AK502" s="57">
        <f>IFERROR(__xludf.DUMMYFUNCTION("""COMPUTED_VALUE"""),0.8330971532890874)</f>
        <v>0.8330971533</v>
      </c>
      <c r="AL502" s="57">
        <f>IFERROR(__xludf.DUMMYFUNCTION("""COMPUTED_VALUE"""),1.090431060519493)</f>
        <v>1.090431061</v>
      </c>
      <c r="AM502" s="57">
        <f>IFERROR(__xludf.DUMMYFUNCTION("""COMPUTED_VALUE"""),0.978457911832803)</f>
        <v>0.9784579118</v>
      </c>
      <c r="AN502" s="57">
        <f>IFERROR(__xludf.DUMMYFUNCTION("""COMPUTED_VALUE"""),0.8880003859773973)</f>
        <v>0.888000386</v>
      </c>
      <c r="AO502" s="57">
        <f>IFERROR(__xludf.DUMMYFUNCTION("""COMPUTED_VALUE"""),0.9447623776501007)</f>
        <v>0.9447623777</v>
      </c>
      <c r="AP502" s="35">
        <f>IFERROR(__xludf.DUMMYFUNCTION("""COMPUTED_VALUE"""),1.1372188076357255)</f>
        <v>1.137218808</v>
      </c>
      <c r="AQ502" s="57">
        <f>IFERROR(__xludf.DUMMYFUNCTION("""COMPUTED_VALUE"""),0.7995034737324541)</f>
        <v>0.7995034737</v>
      </c>
      <c r="AR502" s="36" t="b">
        <f>IFERROR(__xludf.DUMMYFUNCTION("""COMPUTED_VALUE"""),TRUE)</f>
        <v>1</v>
      </c>
      <c r="AS502" s="57"/>
      <c r="AT502" s="37"/>
      <c r="AU502" s="30"/>
      <c r="AV502" s="30"/>
      <c r="AW502" s="30"/>
      <c r="AX502" s="30"/>
      <c r="AY502" s="30"/>
      <c r="AZ502" s="30"/>
    </row>
    <row r="503">
      <c r="A503" s="30" t="str">
        <f>IFERROR(__xludf.DUMMYFUNCTION("""COMPUTED_VALUE"""),"Prospect")</f>
        <v>Prospect</v>
      </c>
      <c r="B503" s="30" t="str">
        <f>IFERROR(__xludf.DUMMYFUNCTION("""COMPUTED_VALUE"""),"RSC003295")</f>
        <v>RSC003295</v>
      </c>
      <c r="C503" s="30" t="str">
        <f>IFERROR(__xludf.DUMMYFUNCTION("""COMPUTED_VALUE"""),"ConfuciusDragon")</f>
        <v>ConfuciusDragon</v>
      </c>
      <c r="D503" s="31" t="str">
        <f>IFERROR(__xludf.DUMMYFUNCTION("""COMPUTED_VALUE"""),"Mop Tops")</f>
        <v>Mop Tops</v>
      </c>
      <c r="E503" s="31">
        <f>IFERROR(__xludf.DUMMYFUNCTION("""COMPUTED_VALUE"""),67.4476929434309)</f>
        <v>67.44769294</v>
      </c>
      <c r="F503" s="31">
        <f>IFERROR(__xludf.DUMMYFUNCTION("""COMPUTED_VALUE"""),4.12171500626132)</f>
        <v>4.121715006</v>
      </c>
      <c r="G503" s="31">
        <f>IFERROR(__xludf.DUMMYFUNCTION("""COMPUTED_VALUE"""),68.22566715628209)</f>
        <v>68.22566716</v>
      </c>
      <c r="H503" s="31">
        <f>IFERROR(__xludf.DUMMYFUNCTION("""COMPUTED_VALUE"""),4.291980528505017)</f>
        <v>4.291980529</v>
      </c>
      <c r="I503" s="54">
        <f>IFERROR(__xludf.DUMMYFUNCTION("""COMPUTED_VALUE"""),45.0)</f>
        <v>45</v>
      </c>
      <c r="J503" s="55">
        <f>IFERROR(__xludf.DUMMYFUNCTION("""COMPUTED_VALUE"""),24.0)</f>
        <v>24</v>
      </c>
      <c r="K503" s="54">
        <f>IFERROR(__xludf.DUMMYFUNCTION("""COMPUTED_VALUE"""),21.0)</f>
        <v>21</v>
      </c>
      <c r="L503" s="56">
        <f>IFERROR(__xludf.DUMMYFUNCTION("""COMPUTED_VALUE"""),0.5333333333333333)</f>
        <v>0.5333333333</v>
      </c>
      <c r="M503" s="56">
        <f>IFERROR(__xludf.DUMMYFUNCTION("""COMPUTED_VALUE"""),0.34210526315789475)</f>
        <v>0.3421052632</v>
      </c>
      <c r="N503" s="31">
        <f>IFERROR(__xludf.DUMMYFUNCTION("""COMPUTED_VALUE"""),370.44444444444446)</f>
        <v>370.4444444</v>
      </c>
      <c r="O503" s="57">
        <f>IFERROR(__xludf.DUMMYFUNCTION("""COMPUTED_VALUE"""),0.8666666666666667)</f>
        <v>0.8666666667</v>
      </c>
      <c r="P503" s="57">
        <f>IFERROR(__xludf.DUMMYFUNCTION("""COMPUTED_VALUE"""),0.6222222222222222)</f>
        <v>0.6222222222</v>
      </c>
      <c r="Q503" s="57">
        <f>IFERROR(__xludf.DUMMYFUNCTION("""COMPUTED_VALUE"""),1.3777777777777778)</f>
        <v>1.377777778</v>
      </c>
      <c r="R503" s="57">
        <f>IFERROR(__xludf.DUMMYFUNCTION("""COMPUTED_VALUE"""),2.533333333333333)</f>
        <v>2.533333333</v>
      </c>
      <c r="S503" s="31">
        <f>IFERROR(__xludf.DUMMYFUNCTION("""COMPUTED_VALUE"""),334.43703703703704)</f>
        <v>334.437037</v>
      </c>
      <c r="T503" s="57">
        <f>IFERROR(__xludf.DUMMYFUNCTION("""COMPUTED_VALUE"""),0.6962962962962963)</f>
        <v>0.6962962963</v>
      </c>
      <c r="U503" s="57">
        <f>IFERROR(__xludf.DUMMYFUNCTION("""COMPUTED_VALUE"""),0.4962962962962961)</f>
        <v>0.4962962963</v>
      </c>
      <c r="V503" s="57">
        <f>IFERROR(__xludf.DUMMYFUNCTION("""COMPUTED_VALUE"""),1.251851851851852)</f>
        <v>1.251851852</v>
      </c>
      <c r="W503" s="57">
        <f>IFERROR(__xludf.DUMMYFUNCTION("""COMPUTED_VALUE"""),2.2666666666666666)</f>
        <v>2.266666667</v>
      </c>
      <c r="X503" s="31">
        <f>IFERROR(__xludf.DUMMYFUNCTION("""COMPUTED_VALUE"""),335.00629860618915)</f>
        <v>335.0062986</v>
      </c>
      <c r="Y503" s="57">
        <f>IFERROR(__xludf.DUMMYFUNCTION("""COMPUTED_VALUE"""),0.7947943139370406)</f>
        <v>0.7947943139</v>
      </c>
      <c r="Z503" s="57">
        <f>IFERROR(__xludf.DUMMYFUNCTION("""COMPUTED_VALUE"""),0.5123050211360424)</f>
        <v>0.5123050211</v>
      </c>
      <c r="AA503" s="57">
        <f>IFERROR(__xludf.DUMMYFUNCTION("""COMPUTED_VALUE"""),1.1854765162265952)</f>
        <v>1.185476516</v>
      </c>
      <c r="AB503" s="57">
        <f>IFERROR(__xludf.DUMMYFUNCTION("""COMPUTED_VALUE"""),2.438519222135466)</f>
        <v>2.438519222</v>
      </c>
      <c r="AC503" s="31">
        <f>IFERROR(__xludf.DUMMYFUNCTION("""COMPUTED_VALUE"""),336.68001221660376)</f>
        <v>336.6800122</v>
      </c>
      <c r="AD503" s="57">
        <f>IFERROR(__xludf.DUMMYFUNCTION("""COMPUTED_VALUE"""),0.7966936438377693)</f>
        <v>0.7966936438</v>
      </c>
      <c r="AE503" s="57">
        <f>IFERROR(__xludf.DUMMYFUNCTION("""COMPUTED_VALUE"""),0.5347629764347229)</f>
        <v>0.5347629764</v>
      </c>
      <c r="AF503" s="57">
        <f>IFERROR(__xludf.DUMMYFUNCTION("""COMPUTED_VALUE"""),1.201378780006406)</f>
        <v>1.20137878</v>
      </c>
      <c r="AG503" s="57">
        <f>IFERROR(__xludf.DUMMYFUNCTION("""COMPUTED_VALUE"""),2.4538966217737492)</f>
        <v>2.453896622</v>
      </c>
      <c r="AH503" s="57">
        <f>IFERROR(__xludf.DUMMYFUNCTION("""COMPUTED_VALUE"""),1.100286417377573)</f>
        <v>1.100286417</v>
      </c>
      <c r="AI503" s="57">
        <f>IFERROR(__xludf.DUMMYFUNCTION("""COMPUTED_VALUE"""),1.0878292721049323)</f>
        <v>1.087829272</v>
      </c>
      <c r="AJ503" s="57">
        <f>IFERROR(__xludf.DUMMYFUNCTION("""COMPUTED_VALUE"""),1.163547683069969)</f>
        <v>1.163547683</v>
      </c>
      <c r="AK503" s="57">
        <f>IFERROR(__xludf.DUMMYFUNCTION("""COMPUTED_VALUE"""),1.1468304590584089)</f>
        <v>1.146830459</v>
      </c>
      <c r="AL503" s="57">
        <f>IFERROR(__xludf.DUMMYFUNCTION("""COMPUTED_VALUE"""),1.0323716618111503)</f>
        <v>1.032371662</v>
      </c>
      <c r="AM503" s="57">
        <f>IFERROR(__xludf.DUMMYFUNCTION("""COMPUTED_VALUE"""),0.998300743682968)</f>
        <v>0.9983007437</v>
      </c>
      <c r="AN503" s="57">
        <f>IFERROR(__xludf.DUMMYFUNCTION("""COMPUTED_VALUE"""),0.8760710589978544)</f>
        <v>0.876071059</v>
      </c>
      <c r="AO503" s="57">
        <f>IFERROR(__xludf.DUMMYFUNCTION("""COMPUTED_VALUE"""),0.9687515753715498)</f>
        <v>0.9687515754</v>
      </c>
      <c r="AP503" s="35">
        <f>IFERROR(__xludf.DUMMYFUNCTION("""COMPUTED_VALUE"""),1.055990426395397)</f>
        <v>1.055990426</v>
      </c>
      <c r="AQ503" s="57">
        <f>IFERROR(__xludf.DUMMYFUNCTION("""COMPUTED_VALUE"""),0.9295258557288287)</f>
        <v>0.9295258557</v>
      </c>
      <c r="AR503" s="36" t="b">
        <f>IFERROR(__xludf.DUMMYFUNCTION("""COMPUTED_VALUE"""),TRUE)</f>
        <v>1</v>
      </c>
      <c r="AS503" s="57"/>
      <c r="AT503" s="37"/>
      <c r="AU503" s="30"/>
      <c r="AV503" s="30"/>
      <c r="AW503" s="30"/>
      <c r="AX503" s="30"/>
      <c r="AY503" s="30"/>
      <c r="AZ503" s="30"/>
    </row>
    <row r="504">
      <c r="A504" s="30" t="str">
        <f>IFERROR(__xludf.DUMMYFUNCTION("""COMPUTED_VALUE"""),"Prospect")</f>
        <v>Prospect</v>
      </c>
      <c r="B504" s="30" t="str">
        <f>IFERROR(__xludf.DUMMYFUNCTION("""COMPUTED_VALUE"""),"RSC007865")</f>
        <v>RSC007865</v>
      </c>
      <c r="C504" s="30" t="str">
        <f>IFERROR(__xludf.DUMMYFUNCTION("""COMPUTED_VALUE"""),"StoveMessiah")</f>
        <v>StoveMessiah</v>
      </c>
      <c r="D504" s="31" t="str">
        <f>IFERROR(__xludf.DUMMYFUNCTION("""COMPUTED_VALUE"""),"Emus")</f>
        <v>Emus</v>
      </c>
      <c r="E504" s="31">
        <f>IFERROR(__xludf.DUMMYFUNCTION("""COMPUTED_VALUE"""),67.18603459568396)</f>
        <v>67.1860346</v>
      </c>
      <c r="F504" s="31">
        <f>IFERROR(__xludf.DUMMYFUNCTION("""COMPUTED_VALUE"""),4.066655521043173)</f>
        <v>4.066655521</v>
      </c>
      <c r="G504" s="31">
        <f>IFERROR(__xludf.DUMMYFUNCTION("""COMPUTED_VALUE"""),56.1091148068606)</f>
        <v>56.10911481</v>
      </c>
      <c r="H504" s="31">
        <f>IFERROR(__xludf.DUMMYFUNCTION("""COMPUTED_VALUE"""),2.47847303070621)</f>
        <v>2.478473031</v>
      </c>
      <c r="I504" s="54">
        <f>IFERROR(__xludf.DUMMYFUNCTION("""COMPUTED_VALUE"""),33.0)</f>
        <v>33</v>
      </c>
      <c r="J504" s="55">
        <f>IFERROR(__xludf.DUMMYFUNCTION("""COMPUTED_VALUE"""),21.0)</f>
        <v>21</v>
      </c>
      <c r="K504" s="54">
        <f>IFERROR(__xludf.DUMMYFUNCTION("""COMPUTED_VALUE"""),12.0)</f>
        <v>12</v>
      </c>
      <c r="L504" s="56">
        <f>IFERROR(__xludf.DUMMYFUNCTION("""COMPUTED_VALUE"""),0.6363636363636364)</f>
        <v>0.6363636364</v>
      </c>
      <c r="M504" s="56">
        <f>IFERROR(__xludf.DUMMYFUNCTION("""COMPUTED_VALUE"""),0.2873563218390805)</f>
        <v>0.2873563218</v>
      </c>
      <c r="N504" s="31">
        <f>IFERROR(__xludf.DUMMYFUNCTION("""COMPUTED_VALUE"""),339.8484848484849)</f>
        <v>339.8484848</v>
      </c>
      <c r="O504" s="57">
        <f>IFERROR(__xludf.DUMMYFUNCTION("""COMPUTED_VALUE"""),0.7575757575757576)</f>
        <v>0.7575757576</v>
      </c>
      <c r="P504" s="57">
        <f>IFERROR(__xludf.DUMMYFUNCTION("""COMPUTED_VALUE"""),0.7575757575757576)</f>
        <v>0.7575757576</v>
      </c>
      <c r="Q504" s="57">
        <f>IFERROR(__xludf.DUMMYFUNCTION("""COMPUTED_VALUE"""),0.9090909090909091)</f>
        <v>0.9090909091</v>
      </c>
      <c r="R504" s="57">
        <f>IFERROR(__xludf.DUMMYFUNCTION("""COMPUTED_VALUE"""),2.6363636363636362)</f>
        <v>2.636363636</v>
      </c>
      <c r="S504" s="31">
        <f>IFERROR(__xludf.DUMMYFUNCTION("""COMPUTED_VALUE"""),332.9292929292929)</f>
        <v>332.9292929</v>
      </c>
      <c r="T504" s="57">
        <f>IFERROR(__xludf.DUMMYFUNCTION("""COMPUTED_VALUE"""),0.6565656565656565)</f>
        <v>0.6565656566</v>
      </c>
      <c r="U504" s="57">
        <f>IFERROR(__xludf.DUMMYFUNCTION("""COMPUTED_VALUE"""),0.4343434343434344)</f>
        <v>0.4343434343</v>
      </c>
      <c r="V504" s="57">
        <f>IFERROR(__xludf.DUMMYFUNCTION("""COMPUTED_VALUE"""),1.484848484848485)</f>
        <v>1.484848485</v>
      </c>
      <c r="W504" s="57">
        <f>IFERROR(__xludf.DUMMYFUNCTION("""COMPUTED_VALUE"""),2.05050505050505)</f>
        <v>2.050505051</v>
      </c>
      <c r="X504" s="31">
        <f>IFERROR(__xludf.DUMMYFUNCTION("""COMPUTED_VALUE"""),334.25757094141306)</f>
        <v>334.2575709</v>
      </c>
      <c r="Y504" s="57">
        <f>IFERROR(__xludf.DUMMYFUNCTION("""COMPUTED_VALUE"""),0.7920535051044849)</f>
        <v>0.7920535051</v>
      </c>
      <c r="Z504" s="57">
        <f>IFERROR(__xludf.DUMMYFUNCTION("""COMPUTED_VALUE"""),0.5245867195513817)</f>
        <v>0.5245867196</v>
      </c>
      <c r="AA504" s="57">
        <f>IFERROR(__xludf.DUMMYFUNCTION("""COMPUTED_VALUE"""),1.179870615223784)</f>
        <v>1.179870615</v>
      </c>
      <c r="AB504" s="57">
        <f>IFERROR(__xludf.DUMMYFUNCTION("""COMPUTED_VALUE"""),2.412238811897274)</f>
        <v>2.412238812</v>
      </c>
      <c r="AC504" s="31">
        <f>IFERROR(__xludf.DUMMYFUNCTION("""COMPUTED_VALUE"""),339.5813694068843)</f>
        <v>339.5813694</v>
      </c>
      <c r="AD504" s="57">
        <f>IFERROR(__xludf.DUMMYFUNCTION("""COMPUTED_VALUE"""),0.8227384673812526)</f>
        <v>0.8227384674</v>
      </c>
      <c r="AE504" s="57">
        <f>IFERROR(__xludf.DUMMYFUNCTION("""COMPUTED_VALUE"""),0.5493651425423902)</f>
        <v>0.5493651425</v>
      </c>
      <c r="AF504" s="57">
        <f>IFERROR(__xludf.DUMMYFUNCTION("""COMPUTED_VALUE"""),1.1942553588546976)</f>
        <v>1.194255359</v>
      </c>
      <c r="AG504" s="57">
        <f>IFERROR(__xludf.DUMMYFUNCTION("""COMPUTED_VALUE"""),2.455604121274253)</f>
        <v>2.455604121</v>
      </c>
      <c r="AH504" s="57">
        <f>IFERROR(__xludf.DUMMYFUNCTION("""COMPUTED_VALUE"""),1.0007866021686265)</f>
        <v>1.000786602</v>
      </c>
      <c r="AI504" s="57">
        <f>IFERROR(__xludf.DUMMYFUNCTION("""COMPUTED_VALUE"""),0.9207977839994457)</f>
        <v>0.920797784</v>
      </c>
      <c r="AJ504" s="57">
        <f>IFERROR(__xludf.DUMMYFUNCTION("""COMPUTED_VALUE"""),1.379002231684733)</f>
        <v>1.379002232</v>
      </c>
      <c r="AK504" s="57">
        <f>IFERROR(__xludf.DUMMYFUNCTION("""COMPUTED_VALUE"""),0.7612198700642516)</f>
        <v>0.7612198701</v>
      </c>
      <c r="AL504" s="57">
        <f>IFERROR(__xludf.DUMMYFUNCTION("""COMPUTED_VALUE"""),1.0736110163374315)</f>
        <v>1.073611016</v>
      </c>
      <c r="AM504" s="57">
        <f>IFERROR(__xludf.DUMMYFUNCTION("""COMPUTED_VALUE"""),0.9960261842136315)</f>
        <v>0.9960261842</v>
      </c>
      <c r="AN504" s="57">
        <f>IFERROR(__xludf.DUMMYFUNCTION("""COMPUTED_VALUE"""),0.8289410403897457)</f>
        <v>0.8289410404</v>
      </c>
      <c r="AO504" s="57">
        <f>IFERROR(__xludf.DUMMYFUNCTION("""COMPUTED_VALUE"""),0.8279726080654083)</f>
        <v>0.8279726081</v>
      </c>
      <c r="AP504" s="35">
        <f>IFERROR(__xludf.DUMMYFUNCTION("""COMPUTED_VALUE"""),1.2584841640173035)</f>
        <v>1.258484164</v>
      </c>
      <c r="AQ504" s="57">
        <f>IFERROR(__xludf.DUMMYFUNCTION("""COMPUTED_VALUE"""),0.8500423094064583)</f>
        <v>0.8500423094</v>
      </c>
      <c r="AR504" s="36" t="b">
        <f>IFERROR(__xludf.DUMMYFUNCTION("""COMPUTED_VALUE"""),TRUE)</f>
        <v>1</v>
      </c>
      <c r="AS504" s="57"/>
      <c r="AT504" s="37"/>
      <c r="AU504" s="30"/>
      <c r="AV504" s="30"/>
      <c r="AW504" s="30"/>
      <c r="AX504" s="30"/>
      <c r="AY504" s="30"/>
      <c r="AZ504" s="30"/>
    </row>
    <row r="505">
      <c r="A505" s="30" t="str">
        <f>IFERROR(__xludf.DUMMYFUNCTION("""COMPUTED_VALUE"""),"Prospect")</f>
        <v>Prospect</v>
      </c>
      <c r="B505" s="30" t="str">
        <f>IFERROR(__xludf.DUMMYFUNCTION("""COMPUTED_VALUE"""),"RSC007897")</f>
        <v>RSC007897</v>
      </c>
      <c r="C505" s="30" t="str">
        <f>IFERROR(__xludf.DUMMYFUNCTION("""COMPUTED_VALUE"""),"Synnicall")</f>
        <v>Synnicall</v>
      </c>
      <c r="D505" s="31" t="str">
        <f>IFERROR(__xludf.DUMMYFUNCTION("""COMPUTED_VALUE"""),"Poppy")</f>
        <v>Poppy</v>
      </c>
      <c r="E505" s="31">
        <f>IFERROR(__xludf.DUMMYFUNCTION("""COMPUTED_VALUE"""),65.40938633551139)</f>
        <v>65.40938634</v>
      </c>
      <c r="F505" s="31">
        <f>IFERROR(__xludf.DUMMYFUNCTION("""COMPUTED_VALUE"""),3.7199146082218566)</f>
        <v>3.719914608</v>
      </c>
      <c r="G505" s="31">
        <f>IFERROR(__xludf.DUMMYFUNCTION("""COMPUTED_VALUE"""),53.29586623591645)</f>
        <v>53.29586624</v>
      </c>
      <c r="H505" s="31">
        <f>IFERROR(__xludf.DUMMYFUNCTION("""COMPUTED_VALUE"""),2.234349577967404)</f>
        <v>2.234349578</v>
      </c>
      <c r="I505" s="54">
        <f>IFERROR(__xludf.DUMMYFUNCTION("""COMPUTED_VALUE"""),46.0)</f>
        <v>46</v>
      </c>
      <c r="J505" s="55">
        <f>IFERROR(__xludf.DUMMYFUNCTION("""COMPUTED_VALUE"""),22.0)</f>
        <v>22</v>
      </c>
      <c r="K505" s="54">
        <f>IFERROR(__xludf.DUMMYFUNCTION("""COMPUTED_VALUE"""),24.0)</f>
        <v>24</v>
      </c>
      <c r="L505" s="56">
        <f>IFERROR(__xludf.DUMMYFUNCTION("""COMPUTED_VALUE"""),0.4782608695652174)</f>
        <v>0.4782608696</v>
      </c>
      <c r="M505" s="56">
        <f>IFERROR(__xludf.DUMMYFUNCTION("""COMPUTED_VALUE"""),0.2835820895522388)</f>
        <v>0.2835820896</v>
      </c>
      <c r="N505" s="31">
        <f>IFERROR(__xludf.DUMMYFUNCTION("""COMPUTED_VALUE"""),376.4130434782609)</f>
        <v>376.4130435</v>
      </c>
      <c r="O505" s="57">
        <f>IFERROR(__xludf.DUMMYFUNCTION("""COMPUTED_VALUE"""),0.8260869565217391)</f>
        <v>0.8260869565</v>
      </c>
      <c r="P505" s="57">
        <f>IFERROR(__xludf.DUMMYFUNCTION("""COMPUTED_VALUE"""),0.6086956521739131)</f>
        <v>0.6086956522</v>
      </c>
      <c r="Q505" s="57">
        <f>IFERROR(__xludf.DUMMYFUNCTION("""COMPUTED_VALUE"""),1.5217391304347827)</f>
        <v>1.52173913</v>
      </c>
      <c r="R505" s="57">
        <f>IFERROR(__xludf.DUMMYFUNCTION("""COMPUTED_VALUE"""),2.9130434782608696)</f>
        <v>2.913043478</v>
      </c>
      <c r="S505" s="31">
        <f>IFERROR(__xludf.DUMMYFUNCTION("""COMPUTED_VALUE"""),358.57971014492756)</f>
        <v>358.5797101</v>
      </c>
      <c r="T505" s="57">
        <f>IFERROR(__xludf.DUMMYFUNCTION("""COMPUTED_VALUE"""),0.8260869565217392)</f>
        <v>0.8260869565</v>
      </c>
      <c r="U505" s="57">
        <f>IFERROR(__xludf.DUMMYFUNCTION("""COMPUTED_VALUE"""),0.6014492753623188)</f>
        <v>0.6014492754</v>
      </c>
      <c r="V505" s="57">
        <f>IFERROR(__xludf.DUMMYFUNCTION("""COMPUTED_VALUE"""),1.2826086956521738)</f>
        <v>1.282608696</v>
      </c>
      <c r="W505" s="57">
        <f>IFERROR(__xludf.DUMMYFUNCTION("""COMPUTED_VALUE"""),2.72463768115942)</f>
        <v>2.724637681</v>
      </c>
      <c r="X505" s="31">
        <f>IFERROR(__xludf.DUMMYFUNCTION("""COMPUTED_VALUE"""),335.8247295306295)</f>
        <v>335.8247295</v>
      </c>
      <c r="Y505" s="57">
        <f>IFERROR(__xludf.DUMMYFUNCTION("""COMPUTED_VALUE"""),0.8013886177620195)</f>
        <v>0.8013886178</v>
      </c>
      <c r="Z505" s="57">
        <f>IFERROR(__xludf.DUMMYFUNCTION("""COMPUTED_VALUE"""),0.5272481736919991)</f>
        <v>0.5272481737</v>
      </c>
      <c r="AA505" s="57">
        <f>IFERROR(__xludf.DUMMYFUNCTION("""COMPUTED_VALUE"""),1.1697051807132077)</f>
        <v>1.169705181</v>
      </c>
      <c r="AB505" s="57">
        <f>IFERROR(__xludf.DUMMYFUNCTION("""COMPUTED_VALUE"""),2.495848152635015)</f>
        <v>2.495848153</v>
      </c>
      <c r="AC505" s="31">
        <f>IFERROR(__xludf.DUMMYFUNCTION("""COMPUTED_VALUE"""),336.3325625045449)</f>
        <v>336.3325625</v>
      </c>
      <c r="AD505" s="57">
        <f>IFERROR(__xludf.DUMMYFUNCTION("""COMPUTED_VALUE"""),0.8091977145724896)</f>
        <v>0.8091977146</v>
      </c>
      <c r="AE505" s="57">
        <f>IFERROR(__xludf.DUMMYFUNCTION("""COMPUTED_VALUE"""),0.5277063532952119)</f>
        <v>0.5277063533</v>
      </c>
      <c r="AF505" s="57">
        <f>IFERROR(__xludf.DUMMYFUNCTION("""COMPUTED_VALUE"""),1.1997974374313645)</f>
        <v>1.199797437</v>
      </c>
      <c r="AG505" s="57">
        <f>IFERROR(__xludf.DUMMYFUNCTION("""COMPUTED_VALUE"""),2.4107624829638388)</f>
        <v>2.410762483</v>
      </c>
      <c r="AH505" s="57">
        <f>IFERROR(__xludf.DUMMYFUNCTION("""COMPUTED_VALUE"""),1.1191691957366583)</f>
        <v>1.119169196</v>
      </c>
      <c r="AI505" s="57">
        <f>IFERROR(__xludf.DUMMYFUNCTION("""COMPUTED_VALUE"""),1.0208715887910933)</f>
        <v>1.020871589</v>
      </c>
      <c r="AJ505" s="57">
        <f>IFERROR(__xludf.DUMMYFUNCTION("""COMPUTED_VALUE"""),1.1534741781541407)</f>
        <v>1.153474178</v>
      </c>
      <c r="AK505" s="57">
        <f>IFERROR(__xludf.DUMMYFUNCTION("""COMPUTED_VALUE"""),1.2683300388544423)</f>
        <v>1.268330039</v>
      </c>
      <c r="AL505" s="57">
        <f>IFERROR(__xludf.DUMMYFUNCTION("""COMPUTED_VALUE"""),1.2083494325328628)</f>
        <v>1.208349433</v>
      </c>
      <c r="AM505" s="57">
        <f>IFERROR(__xludf.DUMMYFUNCTION("""COMPUTED_VALUE"""),1.0677585020200921)</f>
        <v>1.067758502</v>
      </c>
      <c r="AN505" s="57">
        <f>IFERROR(__xludf.DUMMYFUNCTION("""COMPUTED_VALUE"""),1.0308194279433278)</f>
        <v>1.030819428</v>
      </c>
      <c r="AO505" s="57">
        <f>IFERROR(__xludf.DUMMYFUNCTION("""COMPUTED_VALUE"""),1.1407327808283043)</f>
        <v>1.140732781</v>
      </c>
      <c r="AP505" s="35">
        <f>IFERROR(__xludf.DUMMYFUNCTION("""COMPUTED_VALUE"""),1.09652305281757)</f>
        <v>1.096523053</v>
      </c>
      <c r="AQ505" s="57">
        <f>IFERROR(__xludf.DUMMYFUNCTION("""COMPUTED_VALUE"""),1.091668048107357)</f>
        <v>1.091668048</v>
      </c>
      <c r="AR505" s="36" t="b">
        <f>IFERROR(__xludf.DUMMYFUNCTION("""COMPUTED_VALUE"""),TRUE)</f>
        <v>1</v>
      </c>
      <c r="AS505" s="57"/>
      <c r="AT505" s="37"/>
      <c r="AU505" s="30"/>
      <c r="AV505" s="30"/>
      <c r="AW505" s="30"/>
      <c r="AX505" s="30"/>
      <c r="AY505" s="30"/>
      <c r="AZ505" s="30"/>
    </row>
    <row r="506">
      <c r="A506" s="30" t="str">
        <f>IFERROR(__xludf.DUMMYFUNCTION("""COMPUTED_VALUE"""),"Prospect")</f>
        <v>Prospect</v>
      </c>
      <c r="B506" s="30" t="str">
        <f>IFERROR(__xludf.DUMMYFUNCTION("""COMPUTED_VALUE"""),"RSC007866")</f>
        <v>RSC007866</v>
      </c>
      <c r="C506" s="30" t="str">
        <f>IFERROR(__xludf.DUMMYFUNCTION("""COMPUTED_VALUE"""),"Swzyy GN")</f>
        <v>Swzyy GN</v>
      </c>
      <c r="D506" s="31" t="str">
        <f>IFERROR(__xludf.DUMMYFUNCTION("""COMPUTED_VALUE"""),"Prism Proteges")</f>
        <v>Prism Proteges</v>
      </c>
      <c r="E506" s="31">
        <f>IFERROR(__xludf.DUMMYFUNCTION("""COMPUTED_VALUE"""),64.82916297702107)</f>
        <v>64.82916298</v>
      </c>
      <c r="F506" s="31">
        <f>IFERROR(__xludf.DUMMYFUNCTION("""COMPUTED_VALUE"""),3.616180634910757)</f>
        <v>3.616180635</v>
      </c>
      <c r="G506" s="31">
        <f>IFERROR(__xludf.DUMMYFUNCTION("""COMPUTED_VALUE"""),53.7748956153604)</f>
        <v>53.77489562</v>
      </c>
      <c r="H506" s="31">
        <f>IFERROR(__xludf.DUMMYFUNCTION("""COMPUTED_VALUE"""),2.2727814847382506)</f>
        <v>2.272781485</v>
      </c>
      <c r="I506" s="54">
        <f>IFERROR(__xludf.DUMMYFUNCTION("""COMPUTED_VALUE"""),20.0)</f>
        <v>20</v>
      </c>
      <c r="J506" s="55">
        <f>IFERROR(__xludf.DUMMYFUNCTION("""COMPUTED_VALUE"""),9.0)</f>
        <v>9</v>
      </c>
      <c r="K506" s="54">
        <f>IFERROR(__xludf.DUMMYFUNCTION("""COMPUTED_VALUE"""),11.0)</f>
        <v>11</v>
      </c>
      <c r="L506" s="56">
        <f>IFERROR(__xludf.DUMMYFUNCTION("""COMPUTED_VALUE"""),0.45)</f>
        <v>0.45</v>
      </c>
      <c r="M506" s="56">
        <f>IFERROR(__xludf.DUMMYFUNCTION("""COMPUTED_VALUE"""),0.3035714285714286)</f>
        <v>0.3035714286</v>
      </c>
      <c r="N506" s="31">
        <f>IFERROR(__xludf.DUMMYFUNCTION("""COMPUTED_VALUE"""),346.6)</f>
        <v>346.6</v>
      </c>
      <c r="O506" s="57">
        <f>IFERROR(__xludf.DUMMYFUNCTION("""COMPUTED_VALUE"""),0.85)</f>
        <v>0.85</v>
      </c>
      <c r="P506" s="57">
        <f>IFERROR(__xludf.DUMMYFUNCTION("""COMPUTED_VALUE"""),0.5)</f>
        <v>0.5</v>
      </c>
      <c r="Q506" s="57">
        <f>IFERROR(__xludf.DUMMYFUNCTION("""COMPUTED_VALUE"""),1.25)</f>
        <v>1.25</v>
      </c>
      <c r="R506" s="57">
        <f>IFERROR(__xludf.DUMMYFUNCTION("""COMPUTED_VALUE"""),2.8)</f>
        <v>2.8</v>
      </c>
      <c r="S506" s="31">
        <f>IFERROR(__xludf.DUMMYFUNCTION("""COMPUTED_VALUE"""),323.7)</f>
        <v>323.7</v>
      </c>
      <c r="T506" s="57">
        <f>IFERROR(__xludf.DUMMYFUNCTION("""COMPUTED_VALUE"""),0.7166666666666669)</f>
        <v>0.7166666667</v>
      </c>
      <c r="U506" s="57">
        <f>IFERROR(__xludf.DUMMYFUNCTION("""COMPUTED_VALUE"""),0.39999999999999997)</f>
        <v>0.4</v>
      </c>
      <c r="V506" s="57">
        <f>IFERROR(__xludf.DUMMYFUNCTION("""COMPUTED_VALUE"""),1.3166666666666669)</f>
        <v>1.316666667</v>
      </c>
      <c r="W506" s="57">
        <f>IFERROR(__xludf.DUMMYFUNCTION("""COMPUTED_VALUE"""),2.4166666666666665)</f>
        <v>2.416666667</v>
      </c>
      <c r="X506" s="31">
        <f>IFERROR(__xludf.DUMMYFUNCTION("""COMPUTED_VALUE"""),336.2032702224395)</f>
        <v>336.2032702</v>
      </c>
      <c r="Y506" s="57">
        <f>IFERROR(__xludf.DUMMYFUNCTION("""COMPUTED_VALUE"""),0.7800551957957105)</f>
        <v>0.7800551958</v>
      </c>
      <c r="Z506" s="57">
        <f>IFERROR(__xludf.DUMMYFUNCTION("""COMPUTED_VALUE"""),0.4604202796034739)</f>
        <v>0.4604202796</v>
      </c>
      <c r="AA506" s="57">
        <f>IFERROR(__xludf.DUMMYFUNCTION("""COMPUTED_VALUE"""),1.2826090449129033)</f>
        <v>1.282609045</v>
      </c>
      <c r="AB506" s="57">
        <f>IFERROR(__xludf.DUMMYFUNCTION("""COMPUTED_VALUE"""),2.2682986286286306)</f>
        <v>2.268298629</v>
      </c>
      <c r="AC506" s="31">
        <f>IFERROR(__xludf.DUMMYFUNCTION("""COMPUTED_VALUE"""),329.557404366914)</f>
        <v>329.5574044</v>
      </c>
      <c r="AD506" s="57">
        <f>IFERROR(__xludf.DUMMYFUNCTION("""COMPUTED_VALUE"""),0.7893415591043317)</f>
        <v>0.7893415591</v>
      </c>
      <c r="AE506" s="57">
        <f>IFERROR(__xludf.DUMMYFUNCTION("""COMPUTED_VALUE"""),0.516977764969642)</f>
        <v>0.516977765</v>
      </c>
      <c r="AF506" s="57">
        <f>IFERROR(__xludf.DUMMYFUNCTION("""COMPUTED_VALUE"""),1.0942134748767995)</f>
        <v>1.094213475</v>
      </c>
      <c r="AG506" s="57">
        <f>IFERROR(__xludf.DUMMYFUNCTION("""COMPUTED_VALUE"""),2.5926007987842126)</f>
        <v>2.592600799</v>
      </c>
      <c r="AH506" s="57">
        <f>IFERROR(__xludf.DUMMYFUNCTION("""COMPUTED_VALUE"""),1.0517135873970884)</f>
        <v>1.051713587</v>
      </c>
      <c r="AI506" s="57">
        <f>IFERROR(__xludf.DUMMYFUNCTION("""COMPUTED_VALUE"""),1.0768468861116316)</f>
        <v>1.076846886</v>
      </c>
      <c r="AJ506" s="57">
        <f>IFERROR(__xludf.DUMMYFUNCTION("""COMPUTED_VALUE"""),0.967159583796338)</f>
        <v>0.9671595838</v>
      </c>
      <c r="AK506" s="57">
        <f>IFERROR(__xludf.DUMMYFUNCTION("""COMPUTED_VALUE"""),1.1423730640318983)</f>
        <v>1.142373064</v>
      </c>
      <c r="AL506" s="57">
        <f>IFERROR(__xludf.DUMMYFUNCTION("""COMPUTED_VALUE"""),1.0799965815458539)</f>
        <v>1.079996582</v>
      </c>
      <c r="AM506" s="57">
        <f>IFERROR(__xludf.DUMMYFUNCTION("""COMPUTED_VALUE"""),0.962810384877675)</f>
        <v>0.9628103849</v>
      </c>
      <c r="AN506" s="57">
        <f>IFERROR(__xludf.DUMMYFUNCTION("""COMPUTED_VALUE"""),0.9187384053453002)</f>
        <v>0.9187384053</v>
      </c>
      <c r="AO506" s="57">
        <f>IFERROR(__xludf.DUMMYFUNCTION("""COMPUTED_VALUE"""),0.8687714632042066)</f>
        <v>0.8687714632</v>
      </c>
      <c r="AP506" s="35">
        <f>IFERROR(__xludf.DUMMYFUNCTION("""COMPUTED_VALUE"""),1.026553392780788)</f>
        <v>1.026553393</v>
      </c>
      <c r="AQ506" s="57">
        <f>IFERROR(__xludf.DUMMYFUNCTION("""COMPUTED_VALUE"""),1.0654093937039217)</f>
        <v>1.065409394</v>
      </c>
      <c r="AR506" s="36" t="b">
        <f>IFERROR(__xludf.DUMMYFUNCTION("""COMPUTED_VALUE"""),TRUE)</f>
        <v>1</v>
      </c>
      <c r="AS506" s="57"/>
      <c r="AT506" s="37"/>
      <c r="AU506" s="30"/>
      <c r="AV506" s="30"/>
      <c r="AW506" s="30"/>
      <c r="AX506" s="30"/>
      <c r="AY506" s="30"/>
      <c r="AZ506" s="30"/>
    </row>
    <row r="507">
      <c r="A507" s="30" t="str">
        <f>IFERROR(__xludf.DUMMYFUNCTION("""COMPUTED_VALUE"""),"Prospect")</f>
        <v>Prospect</v>
      </c>
      <c r="B507" s="30" t="str">
        <f>IFERROR(__xludf.DUMMYFUNCTION("""COMPUTED_VALUE"""),"RSC007442")</f>
        <v>RSC007442</v>
      </c>
      <c r="C507" s="30" t="str">
        <f>IFERROR(__xludf.DUMMYFUNCTION("""COMPUTED_VALUE"""),"willbong")</f>
        <v>willbong</v>
      </c>
      <c r="D507" s="31" t="str">
        <f>IFERROR(__xludf.DUMMYFUNCTION("""COMPUTED_VALUE"""),"Mop Tops")</f>
        <v>Mop Tops</v>
      </c>
      <c r="E507" s="31">
        <f>IFERROR(__xludf.DUMMYFUNCTION("""COMPUTED_VALUE"""),63.16093171255858)</f>
        <v>63.16093171</v>
      </c>
      <c r="F507" s="31">
        <f>IFERROR(__xludf.DUMMYFUNCTION("""COMPUTED_VALUE"""),3.341216224734239)</f>
        <v>3.341216225</v>
      </c>
      <c r="G507" s="31">
        <f>IFERROR(__xludf.DUMMYFUNCTION("""COMPUTED_VALUE"""),59.38021878506373)</f>
        <v>59.38021879</v>
      </c>
      <c r="H507" s="31">
        <f>IFERROR(__xludf.DUMMYFUNCTION("""COMPUTED_VALUE"""),2.826834258292293)</f>
        <v>2.826834258</v>
      </c>
      <c r="I507" s="54">
        <f>IFERROR(__xludf.DUMMYFUNCTION("""COMPUTED_VALUE"""),40.0)</f>
        <v>40</v>
      </c>
      <c r="J507" s="55">
        <f>IFERROR(__xludf.DUMMYFUNCTION("""COMPUTED_VALUE"""),20.0)</f>
        <v>20</v>
      </c>
      <c r="K507" s="54">
        <f>IFERROR(__xludf.DUMMYFUNCTION("""COMPUTED_VALUE"""),20.0)</f>
        <v>20</v>
      </c>
      <c r="L507" s="56">
        <f>IFERROR(__xludf.DUMMYFUNCTION("""COMPUTED_VALUE"""),0.5)</f>
        <v>0.5</v>
      </c>
      <c r="M507" s="56">
        <f>IFERROR(__xludf.DUMMYFUNCTION("""COMPUTED_VALUE"""),0.3298969072164949)</f>
        <v>0.3298969072</v>
      </c>
      <c r="N507" s="31">
        <f>IFERROR(__xludf.DUMMYFUNCTION("""COMPUTED_VALUE"""),332.975)</f>
        <v>332.975</v>
      </c>
      <c r="O507" s="57">
        <f>IFERROR(__xludf.DUMMYFUNCTION("""COMPUTED_VALUE"""),0.8)</f>
        <v>0.8</v>
      </c>
      <c r="P507" s="57">
        <f>IFERROR(__xludf.DUMMYFUNCTION("""COMPUTED_VALUE"""),0.725)</f>
        <v>0.725</v>
      </c>
      <c r="Q507" s="57">
        <f>IFERROR(__xludf.DUMMYFUNCTION("""COMPUTED_VALUE"""),1.1)</f>
        <v>1.1</v>
      </c>
      <c r="R507" s="57">
        <f>IFERROR(__xludf.DUMMYFUNCTION("""COMPUTED_VALUE"""),2.425)</f>
        <v>2.425</v>
      </c>
      <c r="S507" s="31">
        <f>IFERROR(__xludf.DUMMYFUNCTION("""COMPUTED_VALUE"""),338.1916666666667)</f>
        <v>338.1916667</v>
      </c>
      <c r="T507" s="57">
        <f>IFERROR(__xludf.DUMMYFUNCTION("""COMPUTED_VALUE"""),0.7416666666666666)</f>
        <v>0.7416666667</v>
      </c>
      <c r="U507" s="57">
        <f>IFERROR(__xludf.DUMMYFUNCTION("""COMPUTED_VALUE"""),0.5249999999999998)</f>
        <v>0.525</v>
      </c>
      <c r="V507" s="57">
        <f>IFERROR(__xludf.DUMMYFUNCTION("""COMPUTED_VALUE"""),1.2666666666666668)</f>
        <v>1.266666667</v>
      </c>
      <c r="W507" s="57">
        <f>IFERROR(__xludf.DUMMYFUNCTION("""COMPUTED_VALUE"""),2.2583333333333337)</f>
        <v>2.258333333</v>
      </c>
      <c r="X507" s="31">
        <f>IFERROR(__xludf.DUMMYFUNCTION("""COMPUTED_VALUE"""),334.924339854763)</f>
        <v>334.9243399</v>
      </c>
      <c r="Y507" s="57">
        <f>IFERROR(__xludf.DUMMYFUNCTION("""COMPUTED_VALUE"""),0.8084778661420182)</f>
        <v>0.8084778661</v>
      </c>
      <c r="Z507" s="57">
        <f>IFERROR(__xludf.DUMMYFUNCTION("""COMPUTED_VALUE"""),0.5279982328854329)</f>
        <v>0.5279982329</v>
      </c>
      <c r="AA507" s="57">
        <f>IFERROR(__xludf.DUMMYFUNCTION("""COMPUTED_VALUE"""),1.1545464900627969)</f>
        <v>1.15454649</v>
      </c>
      <c r="AB507" s="57">
        <f>IFERROR(__xludf.DUMMYFUNCTION("""COMPUTED_VALUE"""),2.4653171997130063)</f>
        <v>2.4653172</v>
      </c>
      <c r="AC507" s="31">
        <f>IFERROR(__xludf.DUMMYFUNCTION("""COMPUTED_VALUE"""),336.0739473420672)</f>
        <v>336.0739473</v>
      </c>
      <c r="AD507" s="57">
        <f>IFERROR(__xludf.DUMMYFUNCTION("""COMPUTED_VALUE"""),0.7923161766743363)</f>
        <v>0.7923161767</v>
      </c>
      <c r="AE507" s="57">
        <f>IFERROR(__xludf.DUMMYFUNCTION("""COMPUTED_VALUE"""),0.5341977456900276)</f>
        <v>0.5341977457</v>
      </c>
      <c r="AF507" s="57">
        <f>IFERROR(__xludf.DUMMYFUNCTION("""COMPUTED_VALUE"""),1.2065243054609391)</f>
        <v>1.206524305</v>
      </c>
      <c r="AG507" s="57">
        <f>IFERROR(__xludf.DUMMYFUNCTION("""COMPUTED_VALUE"""),2.407770218720138)</f>
        <v>2.407770219</v>
      </c>
      <c r="AH507" s="57">
        <f>IFERROR(__xludf.DUMMYFUNCTION("""COMPUTED_VALUE"""),0.9907789718108886)</f>
        <v>0.9907789718</v>
      </c>
      <c r="AI507" s="57">
        <f>IFERROR(__xludf.DUMMYFUNCTION("""COMPUTED_VALUE"""),1.0096979255906597)</f>
        <v>1.009697926</v>
      </c>
      <c r="AJ507" s="57">
        <f>IFERROR(__xludf.DUMMYFUNCTION("""COMPUTED_VALUE"""),1.3571753266452136)</f>
        <v>1.357175327</v>
      </c>
      <c r="AK507" s="57">
        <f>IFERROR(__xludf.DUMMYFUNCTION("""COMPUTED_VALUE"""),0.9117097724606198)</f>
        <v>0.9117097725</v>
      </c>
      <c r="AL507" s="57">
        <f>IFERROR(__xludf.DUMMYFUNCTION("""COMPUTED_VALUE"""),1.0071559076301808)</f>
        <v>1.007155908</v>
      </c>
      <c r="AM507" s="57">
        <f>IFERROR(__xludf.DUMMYFUNCTION("""COMPUTED_VALUE"""),1.0097554176364745)</f>
        <v>1.009755418</v>
      </c>
      <c r="AN507" s="57">
        <f>IFERROR(__xludf.DUMMYFUNCTION("""COMPUTED_VALUE"""),0.9173617457282183)</f>
        <v>0.9173617457</v>
      </c>
      <c r="AO507" s="57">
        <f>IFERROR(__xludf.DUMMYFUNCTION("""COMPUTED_VALUE"""),0.9943215096212572)</f>
        <v>0.9943215096</v>
      </c>
      <c r="AP507" s="35">
        <f>IFERROR(__xludf.DUMMYFUNCTION("""COMPUTED_VALUE"""),1.0971118768874968)</f>
        <v>1.097111877</v>
      </c>
      <c r="AQ507" s="57">
        <f>IFERROR(__xludf.DUMMYFUNCTION("""COMPUTED_VALUE"""),0.9160416897250512)</f>
        <v>0.9160416897</v>
      </c>
      <c r="AR507" s="36" t="b">
        <f>IFERROR(__xludf.DUMMYFUNCTION("""COMPUTED_VALUE"""),TRUE)</f>
        <v>1</v>
      </c>
      <c r="AS507" s="57"/>
      <c r="AT507" s="37"/>
      <c r="AU507" s="30"/>
      <c r="AV507" s="30"/>
      <c r="AW507" s="30"/>
      <c r="AX507" s="30"/>
      <c r="AY507" s="30"/>
      <c r="AZ507" s="30"/>
    </row>
    <row r="508">
      <c r="A508" s="30" t="str">
        <f>IFERROR(__xludf.DUMMYFUNCTION("""COMPUTED_VALUE"""),"Prospect")</f>
        <v>Prospect</v>
      </c>
      <c r="B508" s="30" t="str">
        <f>IFERROR(__xludf.DUMMYFUNCTION("""COMPUTED_VALUE"""),"RSC007189")</f>
        <v>RSC007189</v>
      </c>
      <c r="C508" s="30" t="str">
        <f>IFERROR(__xludf.DUMMYFUNCTION("""COMPUTED_VALUE"""),"RU_Fluffy")</f>
        <v>RU_Fluffy</v>
      </c>
      <c r="D508" s="31"/>
      <c r="E508" s="31">
        <f>IFERROR(__xludf.DUMMYFUNCTION("""COMPUTED_VALUE"""),62.569650836832935)</f>
        <v>62.56965084</v>
      </c>
      <c r="F508" s="31">
        <f>IFERROR(__xludf.DUMMYFUNCTION("""COMPUTED_VALUE"""),3.251426041368282)</f>
        <v>3.251426041</v>
      </c>
      <c r="G508" s="31">
        <f>IFERROR(__xludf.DUMMYFUNCTION("""COMPUTED_VALUE"""),24.54262388633345)</f>
        <v>24.54262389</v>
      </c>
      <c r="H508" s="31">
        <f>IFERROR(__xludf.DUMMYFUNCTION("""COMPUTED_VALUE"""),-6.482188703800763)</f>
        <v>-6.482188704</v>
      </c>
      <c r="I508" s="54">
        <f>IFERROR(__xludf.DUMMYFUNCTION("""COMPUTED_VALUE"""),1.0)</f>
        <v>1</v>
      </c>
      <c r="J508" s="55">
        <f>IFERROR(__xludf.DUMMYFUNCTION("""COMPUTED_VALUE"""),1.0)</f>
        <v>1</v>
      </c>
      <c r="K508" s="54">
        <f>IFERROR(__xludf.DUMMYFUNCTION("""COMPUTED_VALUE"""),0.0)</f>
        <v>0</v>
      </c>
      <c r="L508" s="56">
        <f>IFERROR(__xludf.DUMMYFUNCTION("""COMPUTED_VALUE"""),1.0)</f>
        <v>1</v>
      </c>
      <c r="M508" s="56">
        <f>IFERROR(__xludf.DUMMYFUNCTION("""COMPUTED_VALUE"""),0.3333333333333333)</f>
        <v>0.3333333333</v>
      </c>
      <c r="N508" s="31">
        <f>IFERROR(__xludf.DUMMYFUNCTION("""COMPUTED_VALUE"""),225.0)</f>
        <v>225</v>
      </c>
      <c r="O508" s="57">
        <f>IFERROR(__xludf.DUMMYFUNCTION("""COMPUTED_VALUE"""),1.0)</f>
        <v>1</v>
      </c>
      <c r="P508" s="57">
        <f>IFERROR(__xludf.DUMMYFUNCTION("""COMPUTED_VALUE"""),0.0)</f>
        <v>0</v>
      </c>
      <c r="Q508" s="57">
        <f>IFERROR(__xludf.DUMMYFUNCTION("""COMPUTED_VALUE"""),0.0)</f>
        <v>0</v>
      </c>
      <c r="R508" s="57">
        <f>IFERROR(__xludf.DUMMYFUNCTION("""COMPUTED_VALUE"""),3.0)</f>
        <v>3</v>
      </c>
      <c r="S508" s="31">
        <f>IFERROR(__xludf.DUMMYFUNCTION("""COMPUTED_VALUE"""),186.66666666666666)</f>
        <v>186.6666667</v>
      </c>
      <c r="T508" s="57">
        <f>IFERROR(__xludf.DUMMYFUNCTION("""COMPUTED_VALUE"""),0.3333333333333333)</f>
        <v>0.3333333333</v>
      </c>
      <c r="U508" s="57">
        <f>IFERROR(__xludf.DUMMYFUNCTION("""COMPUTED_VALUE"""),0.0)</f>
        <v>0</v>
      </c>
      <c r="V508" s="57">
        <f>IFERROR(__xludf.DUMMYFUNCTION("""COMPUTED_VALUE"""),0.3333333333333333)</f>
        <v>0.3333333333</v>
      </c>
      <c r="W508" s="57">
        <f>IFERROR(__xludf.DUMMYFUNCTION("""COMPUTED_VALUE"""),2.0)</f>
        <v>2</v>
      </c>
      <c r="X508" s="31">
        <f>IFERROR(__xludf.DUMMYFUNCTION("""COMPUTED_VALUE"""),278.9557926829268)</f>
        <v>278.9557927</v>
      </c>
      <c r="Y508" s="57">
        <f>IFERROR(__xludf.DUMMYFUNCTION("""COMPUTED_VALUE"""),0.5724085365853658)</f>
        <v>0.5724085366</v>
      </c>
      <c r="Z508" s="57">
        <f>IFERROR(__xludf.DUMMYFUNCTION("""COMPUTED_VALUE"""),0.3742378048780488)</f>
        <v>0.3742378049</v>
      </c>
      <c r="AA508" s="57">
        <f>IFERROR(__xludf.DUMMYFUNCTION("""COMPUTED_VALUE"""),1.0683434959349594)</f>
        <v>1.068343496</v>
      </c>
      <c r="AB508" s="57">
        <f>IFERROR(__xludf.DUMMYFUNCTION("""COMPUTED_VALUE"""),1.9408028455284552)</f>
        <v>1.940802846</v>
      </c>
      <c r="AC508" s="31">
        <f>IFERROR(__xludf.DUMMYFUNCTION("""COMPUTED_VALUE"""),355.21417682926835)</f>
        <v>355.2141768</v>
      </c>
      <c r="AD508" s="57">
        <f>IFERROR(__xludf.DUMMYFUNCTION("""COMPUTED_VALUE"""),0.9841632791327912)</f>
        <v>0.9841632791</v>
      </c>
      <c r="AE508" s="57">
        <f>IFERROR(__xludf.DUMMYFUNCTION("""COMPUTED_VALUE"""),0.6431233062330625)</f>
        <v>0.6431233062</v>
      </c>
      <c r="AF508" s="57">
        <f>IFERROR(__xludf.DUMMYFUNCTION("""COMPUTED_VALUE"""),1.027777777777778)</f>
        <v>1.027777778</v>
      </c>
      <c r="AG508" s="57">
        <f>IFERROR(__xludf.DUMMYFUNCTION("""COMPUTED_VALUE"""),2.6909722222222228)</f>
        <v>2.690972222</v>
      </c>
      <c r="AH508" s="57">
        <f>IFERROR(__xludf.DUMMYFUNCTION("""COMPUTED_VALUE"""),0.6334206647054658)</f>
        <v>0.6334206647</v>
      </c>
      <c r="AI508" s="57">
        <f>IFERROR(__xludf.DUMMYFUNCTION("""COMPUTED_VALUE"""),1.016091558385681)</f>
        <v>1.016091558</v>
      </c>
      <c r="AJ508" s="57">
        <f>IFERROR(__xludf.DUMMYFUNCTION("""COMPUTED_VALUE"""),0.0)</f>
        <v>0</v>
      </c>
      <c r="AK508" s="57">
        <f>IFERROR(__xludf.DUMMYFUNCTION("""COMPUTED_VALUE"""),0.0)</f>
        <v>0</v>
      </c>
      <c r="AL508" s="57">
        <f>IFERROR(__xludf.DUMMYFUNCTION("""COMPUTED_VALUE"""),1.114838709677419)</f>
        <v>1.11483871</v>
      </c>
      <c r="AM508" s="57">
        <f>IFERROR(__xludf.DUMMYFUNCTION("""COMPUTED_VALUE"""),0.6691621811160596)</f>
        <v>0.6691621811</v>
      </c>
      <c r="AN508" s="57">
        <f>IFERROR(__xludf.DUMMYFUNCTION("""COMPUTED_VALUE"""),0.5823346648912561)</f>
        <v>0.5823346649</v>
      </c>
      <c r="AO508" s="57">
        <f>IFERROR(__xludf.DUMMYFUNCTION("""COMPUTED_VALUE"""),0.0)</f>
        <v>0</v>
      </c>
      <c r="AP508" s="35">
        <f>IFERROR(__xludf.DUMMYFUNCTION("""COMPUTED_VALUE"""),0.3120095124851367)</f>
        <v>0.3120095125</v>
      </c>
      <c r="AQ508" s="57">
        <f>IFERROR(__xludf.DUMMYFUNCTION("""COMPUTED_VALUE"""),1.0305013745254614)</f>
        <v>1.030501375</v>
      </c>
      <c r="AR508" s="36" t="b">
        <f>IFERROR(__xludf.DUMMYFUNCTION("""COMPUTED_VALUE"""),TRUE)</f>
        <v>1</v>
      </c>
      <c r="AS508" s="57"/>
      <c r="AT508" s="37"/>
      <c r="AU508" s="30"/>
      <c r="AV508" s="30"/>
      <c r="AW508" s="30"/>
      <c r="AX508" s="30"/>
      <c r="AY508" s="30"/>
      <c r="AZ508" s="30"/>
    </row>
    <row r="509">
      <c r="A509" s="30" t="str">
        <f>IFERROR(__xludf.DUMMYFUNCTION("""COMPUTED_VALUE"""),"Prospect")</f>
        <v>Prospect</v>
      </c>
      <c r="B509" s="30" t="str">
        <f>IFERROR(__xludf.DUMMYFUNCTION("""COMPUTED_VALUE"""),"RSC007431")</f>
        <v>RSC007431</v>
      </c>
      <c r="C509" s="30" t="str">
        <f>IFERROR(__xludf.DUMMYFUNCTION("""COMPUTED_VALUE"""),"xPotatodactylx")</f>
        <v>xPotatodactylx</v>
      </c>
      <c r="D509" s="31" t="str">
        <f>IFERROR(__xludf.DUMMYFUNCTION("""COMPUTED_VALUE"""),"Hawaiian Pizza")</f>
        <v>Hawaiian Pizza</v>
      </c>
      <c r="E509" s="31">
        <f>IFERROR(__xludf.DUMMYFUNCTION("""COMPUTED_VALUE"""),61.56908547890509)</f>
        <v>61.56908548</v>
      </c>
      <c r="F509" s="31">
        <f>IFERROR(__xludf.DUMMYFUNCTION("""COMPUTED_VALUE"""),3.1078391214003767)</f>
        <v>3.107839121</v>
      </c>
      <c r="G509" s="31">
        <f>IFERROR(__xludf.DUMMYFUNCTION("""COMPUTED_VALUE"""),57.336575194782085)</f>
        <v>57.33657519</v>
      </c>
      <c r="H509" s="31">
        <f>IFERROR(__xludf.DUMMYFUNCTION("""COMPUTED_VALUE"""),2.600211261585052)</f>
        <v>2.600211262</v>
      </c>
      <c r="I509" s="54">
        <f>IFERROR(__xludf.DUMMYFUNCTION("""COMPUTED_VALUE"""),43.0)</f>
        <v>43</v>
      </c>
      <c r="J509" s="55">
        <f>IFERROR(__xludf.DUMMYFUNCTION("""COMPUTED_VALUE"""),27.0)</f>
        <v>27</v>
      </c>
      <c r="K509" s="54">
        <f>IFERROR(__xludf.DUMMYFUNCTION("""COMPUTED_VALUE"""),16.0)</f>
        <v>16</v>
      </c>
      <c r="L509" s="56">
        <f>IFERROR(__xludf.DUMMYFUNCTION("""COMPUTED_VALUE"""),0.627906976744186)</f>
        <v>0.6279069767</v>
      </c>
      <c r="M509" s="56">
        <f>IFERROR(__xludf.DUMMYFUNCTION("""COMPUTED_VALUE"""),0.3047619047619048)</f>
        <v>0.3047619048</v>
      </c>
      <c r="N509" s="31">
        <f>IFERROR(__xludf.DUMMYFUNCTION("""COMPUTED_VALUE"""),321.7906976744186)</f>
        <v>321.7906977</v>
      </c>
      <c r="O509" s="57">
        <f>IFERROR(__xludf.DUMMYFUNCTION("""COMPUTED_VALUE"""),0.7441860465116279)</f>
        <v>0.7441860465</v>
      </c>
      <c r="P509" s="57">
        <f>IFERROR(__xludf.DUMMYFUNCTION("""COMPUTED_VALUE"""),0.6976744186046512)</f>
        <v>0.6976744186</v>
      </c>
      <c r="Q509" s="57">
        <f>IFERROR(__xludf.DUMMYFUNCTION("""COMPUTED_VALUE"""),1.1162790697674418)</f>
        <v>1.11627907</v>
      </c>
      <c r="R509" s="57">
        <f>IFERROR(__xludf.DUMMYFUNCTION("""COMPUTED_VALUE"""),2.441860465116279)</f>
        <v>2.441860465</v>
      </c>
      <c r="S509" s="31">
        <f>IFERROR(__xludf.DUMMYFUNCTION("""COMPUTED_VALUE"""),304.21705426356596)</f>
        <v>304.2170543</v>
      </c>
      <c r="T509" s="57">
        <f>IFERROR(__xludf.DUMMYFUNCTION("""COMPUTED_VALUE"""),0.6046511627906976)</f>
        <v>0.6046511628</v>
      </c>
      <c r="U509" s="57">
        <f>IFERROR(__xludf.DUMMYFUNCTION("""COMPUTED_VALUE"""),0.43410852713178305)</f>
        <v>0.4341085271</v>
      </c>
      <c r="V509" s="57">
        <f>IFERROR(__xludf.DUMMYFUNCTION("""COMPUTED_VALUE"""),1.1395348837209305)</f>
        <v>1.139534884</v>
      </c>
      <c r="W509" s="57">
        <f>IFERROR(__xludf.DUMMYFUNCTION("""COMPUTED_VALUE"""),2.147286821705426)</f>
        <v>2.147286822</v>
      </c>
      <c r="X509" s="31">
        <f>IFERROR(__xludf.DUMMYFUNCTION("""COMPUTED_VALUE"""),328.8666627379299)</f>
        <v>328.8666627</v>
      </c>
      <c r="Y509" s="57">
        <f>IFERROR(__xludf.DUMMYFUNCTION("""COMPUTED_VALUE"""),0.7537623598468741)</f>
        <v>0.7537623598</v>
      </c>
      <c r="Z509" s="57">
        <f>IFERROR(__xludf.DUMMYFUNCTION("""COMPUTED_VALUE"""),0.5112139253607374)</f>
        <v>0.5112139254</v>
      </c>
      <c r="AA509" s="57">
        <f>IFERROR(__xludf.DUMMYFUNCTION("""COMPUTED_VALUE"""),1.1790957308966996)</f>
        <v>1.179095731</v>
      </c>
      <c r="AB509" s="57">
        <f>IFERROR(__xludf.DUMMYFUNCTION("""COMPUTED_VALUE"""),2.344764559432218)</f>
        <v>2.344764559</v>
      </c>
      <c r="AC509" s="31">
        <f>IFERROR(__xludf.DUMMYFUNCTION("""COMPUTED_VALUE"""),336.038839723794)</f>
        <v>336.0388397</v>
      </c>
      <c r="AD509" s="57">
        <f>IFERROR(__xludf.DUMMYFUNCTION("""COMPUTED_VALUE"""),0.8350458739373444)</f>
        <v>0.8350458739</v>
      </c>
      <c r="AE509" s="57">
        <f>IFERROR(__xludf.DUMMYFUNCTION("""COMPUTED_VALUE"""),0.5475770040359874)</f>
        <v>0.547577004</v>
      </c>
      <c r="AF509" s="57">
        <f>IFERROR(__xludf.DUMMYFUNCTION("""COMPUTED_VALUE"""),1.1600760067833236)</f>
        <v>1.160076007</v>
      </c>
      <c r="AG509" s="57">
        <f>IFERROR(__xludf.DUMMYFUNCTION("""COMPUTED_VALUE"""),2.463214903615253)</f>
        <v>2.463214904</v>
      </c>
      <c r="AH509" s="57">
        <f>IFERROR(__xludf.DUMMYFUNCTION("""COMPUTED_VALUE"""),0.957599716565244)</f>
        <v>0.9575997166</v>
      </c>
      <c r="AI509" s="57">
        <f>IFERROR(__xludf.DUMMYFUNCTION("""COMPUTED_VALUE"""),0.8911918132146427)</f>
        <v>0.8911918132</v>
      </c>
      <c r="AJ509" s="57">
        <f>IFERROR(__xludf.DUMMYFUNCTION("""COMPUTED_VALUE"""),1.2741119759638393)</f>
        <v>1.274111976</v>
      </c>
      <c r="AK509" s="57">
        <f>IFERROR(__xludf.DUMMYFUNCTION("""COMPUTED_VALUE"""),0.9622464935402616)</f>
        <v>0.9622464935</v>
      </c>
      <c r="AL509" s="57">
        <f>IFERROR(__xludf.DUMMYFUNCTION("""COMPUTED_VALUE"""),0.9913306636511364)</f>
        <v>0.9913306637</v>
      </c>
      <c r="AM509" s="57">
        <f>IFERROR(__xludf.DUMMYFUNCTION("""COMPUTED_VALUE"""),0.9250468008245428)</f>
        <v>0.9250468008</v>
      </c>
      <c r="AN509" s="57">
        <f>IFERROR(__xludf.DUMMYFUNCTION("""COMPUTED_VALUE"""),0.8021774434498583)</f>
        <v>0.8021774434</v>
      </c>
      <c r="AO509" s="57">
        <f>IFERROR(__xludf.DUMMYFUNCTION("""COMPUTED_VALUE"""),0.8491719524765585)</f>
        <v>0.8491719525</v>
      </c>
      <c r="AP509" s="35">
        <f>IFERROR(__xludf.DUMMYFUNCTION("""COMPUTED_VALUE"""),0.9664481465421954)</f>
        <v>0.9664481465</v>
      </c>
      <c r="AQ509" s="57">
        <f>IFERROR(__xludf.DUMMYFUNCTION("""COMPUTED_VALUE"""),0.9157792892542649)</f>
        <v>0.9157792893</v>
      </c>
      <c r="AR509" s="36" t="b">
        <f>IFERROR(__xludf.DUMMYFUNCTION("""COMPUTED_VALUE"""),TRUE)</f>
        <v>1</v>
      </c>
      <c r="AS509" s="57"/>
      <c r="AT509" s="37"/>
      <c r="AU509" s="30"/>
      <c r="AV509" s="30"/>
      <c r="AW509" s="30"/>
      <c r="AX509" s="30"/>
      <c r="AY509" s="30"/>
      <c r="AZ509" s="30"/>
    </row>
    <row r="510">
      <c r="A510" s="30" t="str">
        <f>IFERROR(__xludf.DUMMYFUNCTION("""COMPUTED_VALUE"""),"Prospect")</f>
        <v>Prospect</v>
      </c>
      <c r="B510" s="30" t="str">
        <f>IFERROR(__xludf.DUMMYFUNCTION("""COMPUTED_VALUE"""),"RSC007600")</f>
        <v>RSC007600</v>
      </c>
      <c r="C510" s="30" t="str">
        <f>IFERROR(__xludf.DUMMYFUNCTION("""COMPUTED_VALUE"""),"CN Tyson")</f>
        <v>CN Tyson</v>
      </c>
      <c r="D510" s="31" t="str">
        <f>IFERROR(__xludf.DUMMYFUNCTION("""COMPUTED_VALUE"""),"Mop Tops")</f>
        <v>Mop Tops</v>
      </c>
      <c r="E510" s="31">
        <f>IFERROR(__xludf.DUMMYFUNCTION("""COMPUTED_VALUE"""),59.825671184001166)</f>
        <v>59.82567118</v>
      </c>
      <c r="F510" s="31">
        <f>IFERROR(__xludf.DUMMYFUNCTION("""COMPUTED_VALUE"""),2.880600606921024)</f>
        <v>2.880600607</v>
      </c>
      <c r="G510" s="31">
        <f>IFERROR(__xludf.DUMMYFUNCTION("""COMPUTED_VALUE"""),52.65990137859894)</f>
        <v>52.65990138</v>
      </c>
      <c r="H510" s="31">
        <f>IFERROR(__xludf.DUMMYFUNCTION("""COMPUTED_VALUE"""),2.1851520336649304)</f>
        <v>2.185152034</v>
      </c>
      <c r="I510" s="54">
        <f>IFERROR(__xludf.DUMMYFUNCTION("""COMPUTED_VALUE"""),42.0)</f>
        <v>42</v>
      </c>
      <c r="J510" s="55">
        <f>IFERROR(__xludf.DUMMYFUNCTION("""COMPUTED_VALUE"""),17.0)</f>
        <v>17</v>
      </c>
      <c r="K510" s="54">
        <f>IFERROR(__xludf.DUMMYFUNCTION("""COMPUTED_VALUE"""),25.0)</f>
        <v>25</v>
      </c>
      <c r="L510" s="56">
        <f>IFERROR(__xludf.DUMMYFUNCTION("""COMPUTED_VALUE"""),0.40476190476190477)</f>
        <v>0.4047619048</v>
      </c>
      <c r="M510" s="56">
        <f>IFERROR(__xludf.DUMMYFUNCTION("""COMPUTED_VALUE"""),0.2661290322580645)</f>
        <v>0.2661290323</v>
      </c>
      <c r="N510" s="31">
        <f>IFERROR(__xludf.DUMMYFUNCTION("""COMPUTED_VALUE"""),333.07142857142856)</f>
        <v>333.0714286</v>
      </c>
      <c r="O510" s="57">
        <f>IFERROR(__xludf.DUMMYFUNCTION("""COMPUTED_VALUE"""),0.7857142857142857)</f>
        <v>0.7857142857</v>
      </c>
      <c r="P510" s="57">
        <f>IFERROR(__xludf.DUMMYFUNCTION("""COMPUTED_VALUE"""),0.42857142857142855)</f>
        <v>0.4285714286</v>
      </c>
      <c r="Q510" s="57">
        <f>IFERROR(__xludf.DUMMYFUNCTION("""COMPUTED_VALUE"""),1.2142857142857142)</f>
        <v>1.214285714</v>
      </c>
      <c r="R510" s="57">
        <f>IFERROR(__xludf.DUMMYFUNCTION("""COMPUTED_VALUE"""),2.9523809523809526)</f>
        <v>2.952380952</v>
      </c>
      <c r="S510" s="31">
        <f>IFERROR(__xludf.DUMMYFUNCTION("""COMPUTED_VALUE"""),339.44444444444446)</f>
        <v>339.4444444</v>
      </c>
      <c r="T510" s="57">
        <f>IFERROR(__xludf.DUMMYFUNCTION("""COMPUTED_VALUE"""),0.8492063492063492)</f>
        <v>0.8492063492</v>
      </c>
      <c r="U510" s="57">
        <f>IFERROR(__xludf.DUMMYFUNCTION("""COMPUTED_VALUE"""),0.5238095238095237)</f>
        <v>0.5238095238</v>
      </c>
      <c r="V510" s="57">
        <f>IFERROR(__xludf.DUMMYFUNCTION("""COMPUTED_VALUE"""),1.2142857142857142)</f>
        <v>1.214285714</v>
      </c>
      <c r="W510" s="57">
        <f>IFERROR(__xludf.DUMMYFUNCTION("""COMPUTED_VALUE"""),2.4523809523809526)</f>
        <v>2.452380952</v>
      </c>
      <c r="X510" s="31">
        <f>IFERROR(__xludf.DUMMYFUNCTION("""COMPUTED_VALUE"""),338.4827051240783)</f>
        <v>338.4827051</v>
      </c>
      <c r="Y510" s="57">
        <f>IFERROR(__xludf.DUMMYFUNCTION("""COMPUTED_VALUE"""),0.7973914645050917)</f>
        <v>0.7973914645</v>
      </c>
      <c r="Z510" s="57">
        <f>IFERROR(__xludf.DUMMYFUNCTION("""COMPUTED_VALUE"""),0.5317995086452507)</f>
        <v>0.5317995086</v>
      </c>
      <c r="AA510" s="57">
        <f>IFERROR(__xludf.DUMMYFUNCTION("""COMPUTED_VALUE"""),1.2248755377351728)</f>
        <v>1.224875538</v>
      </c>
      <c r="AB510" s="57">
        <f>IFERROR(__xludf.DUMMYFUNCTION("""COMPUTED_VALUE"""),2.46295960877091)</f>
        <v>2.462959609</v>
      </c>
      <c r="AC510" s="31">
        <f>IFERROR(__xludf.DUMMYFUNCTION("""COMPUTED_VALUE"""),333.91579567495137)</f>
        <v>333.9157957</v>
      </c>
      <c r="AD510" s="57">
        <f>IFERROR(__xludf.DUMMYFUNCTION("""COMPUTED_VALUE"""),0.7682545296044917)</f>
        <v>0.7682545296</v>
      </c>
      <c r="AE510" s="57">
        <f>IFERROR(__xludf.DUMMYFUNCTION("""COMPUTED_VALUE"""),0.5220108604385437)</f>
        <v>0.5220108604</v>
      </c>
      <c r="AF510" s="57">
        <f>IFERROR(__xludf.DUMMYFUNCTION("""COMPUTED_VALUE"""),1.208696876662012)</f>
        <v>1.208696877</v>
      </c>
      <c r="AG510" s="57">
        <f>IFERROR(__xludf.DUMMYFUNCTION("""COMPUTED_VALUE"""),2.4563985519112492)</f>
        <v>2.456398552</v>
      </c>
      <c r="AH510" s="57">
        <f>IFERROR(__xludf.DUMMYFUNCTION("""COMPUTED_VALUE"""),0.997471317276812)</f>
        <v>0.9974713173</v>
      </c>
      <c r="AI510" s="57">
        <f>IFERROR(__xludf.DUMMYFUNCTION("""COMPUTED_VALUE"""),1.0227265254378421)</f>
        <v>1.022726525</v>
      </c>
      <c r="AJ510" s="57">
        <f>IFERROR(__xludf.DUMMYFUNCTION("""COMPUTED_VALUE"""),0.8210009811125074)</f>
        <v>0.8210009811</v>
      </c>
      <c r="AK510" s="57">
        <f>IFERROR(__xludf.DUMMYFUNCTION("""COMPUTED_VALUE"""),1.0046238537813852)</f>
        <v>1.004623854</v>
      </c>
      <c r="AL510" s="57">
        <f>IFERROR(__xludf.DUMMYFUNCTION("""COMPUTED_VALUE"""),1.2019144654208473)</f>
        <v>1.201914465</v>
      </c>
      <c r="AM510" s="57">
        <f>IFERROR(__xludf.DUMMYFUNCTION("""COMPUTED_VALUE"""),1.0028413248470514)</f>
        <v>1.002841325</v>
      </c>
      <c r="AN510" s="57">
        <f>IFERROR(__xludf.DUMMYFUNCTION("""COMPUTED_VALUE"""),1.0649804857560357)</f>
        <v>1.064980486</v>
      </c>
      <c r="AO510" s="57">
        <f>IFERROR(__xludf.DUMMYFUNCTION("""COMPUTED_VALUE"""),0.9849755693530419)</f>
        <v>0.9849755694</v>
      </c>
      <c r="AP510" s="35">
        <f>IFERROR(__xludf.DUMMYFUNCTION("""COMPUTED_VALUE"""),0.9913543677514864)</f>
        <v>0.9913543678</v>
      </c>
      <c r="AQ510" s="57">
        <f>IFERROR(__xludf.DUMMYFUNCTION("""COMPUTED_VALUE"""),0.9957049005788462)</f>
        <v>0.9957049006</v>
      </c>
      <c r="AR510" s="36" t="b">
        <f>IFERROR(__xludf.DUMMYFUNCTION("""COMPUTED_VALUE"""),TRUE)</f>
        <v>1</v>
      </c>
      <c r="AS510" s="57"/>
      <c r="AT510" s="37"/>
      <c r="AU510" s="30"/>
      <c r="AV510" s="30"/>
      <c r="AW510" s="30"/>
      <c r="AX510" s="30"/>
      <c r="AY510" s="30"/>
      <c r="AZ510" s="30"/>
    </row>
    <row r="511">
      <c r="A511" s="30" t="str">
        <f>IFERROR(__xludf.DUMMYFUNCTION("""COMPUTED_VALUE"""),"Prospect")</f>
        <v>Prospect</v>
      </c>
      <c r="B511" s="30" t="str">
        <f>IFERROR(__xludf.DUMMYFUNCTION("""COMPUTED_VALUE"""),"RSC005884")</f>
        <v>RSC005884</v>
      </c>
      <c r="C511" s="30" t="str">
        <f>IFERROR(__xludf.DUMMYFUNCTION("""COMPUTED_VALUE"""),"Zachthebull36")</f>
        <v>Zachthebull36</v>
      </c>
      <c r="D511" s="31" t="str">
        <f>IFERROR(__xludf.DUMMYFUNCTION("""COMPUTED_VALUE"""),"Earth")</f>
        <v>Earth</v>
      </c>
      <c r="E511" s="31">
        <f>IFERROR(__xludf.DUMMYFUNCTION("""COMPUTED_VALUE"""),59.553184865227806)</f>
        <v>59.55318487</v>
      </c>
      <c r="F511" s="31">
        <f>IFERROR(__xludf.DUMMYFUNCTION("""COMPUTED_VALUE"""),2.8475147063446187)</f>
        <v>2.847514706</v>
      </c>
      <c r="G511" s="31">
        <f>IFERROR(__xludf.DUMMYFUNCTION("""COMPUTED_VALUE"""),48.04744178855524)</f>
        <v>48.04744179</v>
      </c>
      <c r="H511" s="31">
        <f>IFERROR(__xludf.DUMMYFUNCTION("""COMPUTED_VALUE"""),-2.1327722037806756)</f>
        <v>-2.132772204</v>
      </c>
      <c r="I511" s="54">
        <f>IFERROR(__xludf.DUMMYFUNCTION("""COMPUTED_VALUE"""),34.0)</f>
        <v>34</v>
      </c>
      <c r="J511" s="55">
        <f>IFERROR(__xludf.DUMMYFUNCTION("""COMPUTED_VALUE"""),20.0)</f>
        <v>20</v>
      </c>
      <c r="K511" s="54">
        <f>IFERROR(__xludf.DUMMYFUNCTION("""COMPUTED_VALUE"""),14.0)</f>
        <v>14</v>
      </c>
      <c r="L511" s="56">
        <f>IFERROR(__xludf.DUMMYFUNCTION("""COMPUTED_VALUE"""),0.5882352941176471)</f>
        <v>0.5882352941</v>
      </c>
      <c r="M511" s="56">
        <f>IFERROR(__xludf.DUMMYFUNCTION("""COMPUTED_VALUE"""),0.3163265306122449)</f>
        <v>0.3163265306</v>
      </c>
      <c r="N511" s="31">
        <f>IFERROR(__xludf.DUMMYFUNCTION("""COMPUTED_VALUE"""),326.61764705882354)</f>
        <v>326.6176471</v>
      </c>
      <c r="O511" s="57">
        <f>IFERROR(__xludf.DUMMYFUNCTION("""COMPUTED_VALUE"""),0.9117647058823529)</f>
        <v>0.9117647059</v>
      </c>
      <c r="P511" s="57">
        <f>IFERROR(__xludf.DUMMYFUNCTION("""COMPUTED_VALUE"""),0.5588235294117647)</f>
        <v>0.5588235294</v>
      </c>
      <c r="Q511" s="57">
        <f>IFERROR(__xludf.DUMMYFUNCTION("""COMPUTED_VALUE"""),0.7647058823529411)</f>
        <v>0.7647058824</v>
      </c>
      <c r="R511" s="57">
        <f>IFERROR(__xludf.DUMMYFUNCTION("""COMPUTED_VALUE"""),2.8823529411764706)</f>
        <v>2.882352941</v>
      </c>
      <c r="S511" s="31">
        <f>IFERROR(__xludf.DUMMYFUNCTION("""COMPUTED_VALUE"""),355.8921568627451)</f>
        <v>355.8921569</v>
      </c>
      <c r="T511" s="57">
        <f>IFERROR(__xludf.DUMMYFUNCTION("""COMPUTED_VALUE"""),0.8823529411764706)</f>
        <v>0.8823529412</v>
      </c>
      <c r="U511" s="57">
        <f>IFERROR(__xludf.DUMMYFUNCTION("""COMPUTED_VALUE"""),0.5588235294117646)</f>
        <v>0.5588235294</v>
      </c>
      <c r="V511" s="57">
        <f>IFERROR(__xludf.DUMMYFUNCTION("""COMPUTED_VALUE"""),1.352941176470588)</f>
        <v>1.352941176</v>
      </c>
      <c r="W511" s="57">
        <f>IFERROR(__xludf.DUMMYFUNCTION("""COMPUTED_VALUE"""),2.205882352941177)</f>
        <v>2.205882353</v>
      </c>
      <c r="X511" s="31">
        <f>IFERROR(__xludf.DUMMYFUNCTION("""COMPUTED_VALUE"""),323.61337053949245)</f>
        <v>323.6133705</v>
      </c>
      <c r="Y511" s="57">
        <f>IFERROR(__xludf.DUMMYFUNCTION("""COMPUTED_VALUE"""),0.7344039978101581)</f>
        <v>0.7344039978</v>
      </c>
      <c r="Z511" s="57">
        <f>IFERROR(__xludf.DUMMYFUNCTION("""COMPUTED_VALUE"""),0.46375139101791246)</f>
        <v>0.463751391</v>
      </c>
      <c r="AA511" s="57">
        <f>IFERROR(__xludf.DUMMYFUNCTION("""COMPUTED_VALUE"""),1.2092318141485618)</f>
        <v>1.209231814</v>
      </c>
      <c r="AB511" s="57">
        <f>IFERROR(__xludf.DUMMYFUNCTION("""COMPUTED_VALUE"""),2.2278700127530895)</f>
        <v>2.227870013</v>
      </c>
      <c r="AC511" s="31">
        <f>IFERROR(__xludf.DUMMYFUNCTION("""COMPUTED_VALUE"""),342.9397352460659)</f>
        <v>342.9397352</v>
      </c>
      <c r="AD511" s="57">
        <f>IFERROR(__xludf.DUMMYFUNCTION("""COMPUTED_VALUE"""),0.8518844999869642)</f>
        <v>0.8518845</v>
      </c>
      <c r="AE511" s="57">
        <f>IFERROR(__xludf.DUMMYFUNCTION("""COMPUTED_VALUE"""),0.5694329279015096)</f>
        <v>0.5694329279</v>
      </c>
      <c r="AF511" s="57">
        <f>IFERROR(__xludf.DUMMYFUNCTION("""COMPUTED_VALUE"""),1.127223040932547)</f>
        <v>1.127223041</v>
      </c>
      <c r="AG511" s="57">
        <f>IFERROR(__xludf.DUMMYFUNCTION("""COMPUTED_VALUE"""),2.641674327856873)</f>
        <v>2.641674328</v>
      </c>
      <c r="AH511" s="57">
        <f>IFERROR(__xludf.DUMMYFUNCTION("""COMPUTED_VALUE"""),0.9524053747357946)</f>
        <v>0.9524053747</v>
      </c>
      <c r="AI511" s="57">
        <f>IFERROR(__xludf.DUMMYFUNCTION("""COMPUTED_VALUE"""),1.0702914607511993)</f>
        <v>1.070291461</v>
      </c>
      <c r="AJ511" s="57">
        <f>IFERROR(__xludf.DUMMYFUNCTION("""COMPUTED_VALUE"""),0.9813684843817464)</f>
        <v>0.9813684844</v>
      </c>
      <c r="AK511" s="57">
        <f>IFERROR(__xludf.DUMMYFUNCTION("""COMPUTED_VALUE"""),0.6783980229150596)</f>
        <v>0.6783980229</v>
      </c>
      <c r="AL511" s="57">
        <f>IFERROR(__xludf.DUMMYFUNCTION("""COMPUTED_VALUE"""),1.0911083591120994)</f>
        <v>1.091108359</v>
      </c>
      <c r="AM511" s="57">
        <f>IFERROR(__xludf.DUMMYFUNCTION("""COMPUTED_VALUE"""),1.0997449093943215)</f>
        <v>1.099744909</v>
      </c>
      <c r="AN511" s="57">
        <f>IFERROR(__xludf.DUMMYFUNCTION("""COMPUTED_VALUE"""),1.201454436260513)</f>
        <v>1.201454436</v>
      </c>
      <c r="AO511" s="57">
        <f>IFERROR(__xludf.DUMMYFUNCTION("""COMPUTED_VALUE"""),1.2050066915921767)</f>
        <v>1.205006692</v>
      </c>
      <c r="AP511" s="35">
        <f>IFERROR(__xludf.DUMMYFUNCTION("""COMPUTED_VALUE"""),1.1188435175460663)</f>
        <v>1.118843518</v>
      </c>
      <c r="AQ511" s="57">
        <f>IFERROR(__xludf.DUMMYFUNCTION("""COMPUTED_VALUE"""),0.9901306361295553)</f>
        <v>0.9901306361</v>
      </c>
      <c r="AR511" s="36" t="b">
        <f>IFERROR(__xludf.DUMMYFUNCTION("""COMPUTED_VALUE"""),TRUE)</f>
        <v>1</v>
      </c>
      <c r="AS511" s="57"/>
      <c r="AT511" s="37"/>
      <c r="AU511" s="30"/>
      <c r="AV511" s="30"/>
      <c r="AW511" s="30"/>
      <c r="AX511" s="30"/>
      <c r="AY511" s="30"/>
      <c r="AZ511" s="30"/>
    </row>
    <row r="512">
      <c r="A512" s="30" t="str">
        <f>IFERROR(__xludf.DUMMYFUNCTION("""COMPUTED_VALUE"""),"Prospect")</f>
        <v>Prospect</v>
      </c>
      <c r="B512" s="30" t="str">
        <f>IFERROR(__xludf.DUMMYFUNCTION("""COMPUTED_VALUE"""),"RSC006369")</f>
        <v>RSC006369</v>
      </c>
      <c r="C512" s="30" t="str">
        <f>IFERROR(__xludf.DUMMYFUNCTION("""COMPUTED_VALUE"""),"nate")</f>
        <v>nate</v>
      </c>
      <c r="D512" s="31" t="str">
        <f>IFERROR(__xludf.DUMMYFUNCTION("""COMPUTED_VALUE"""),"Emus")</f>
        <v>Emus</v>
      </c>
      <c r="E512" s="31">
        <f>IFERROR(__xludf.DUMMYFUNCTION("""COMPUTED_VALUE"""),58.86989336989694)</f>
        <v>58.86989337</v>
      </c>
      <c r="F512" s="31">
        <f>IFERROR(__xludf.DUMMYFUNCTION("""COMPUTED_VALUE"""),2.767236819576879)</f>
        <v>2.76723682</v>
      </c>
      <c r="G512" s="31">
        <f>IFERROR(__xludf.DUMMYFUNCTION("""COMPUTED_VALUE"""),40.946143230143534)</f>
        <v>40.94614323</v>
      </c>
      <c r="H512" s="31">
        <f>IFERROR(__xludf.DUMMYFUNCTION("""COMPUTED_VALUE"""),-2.788479536401392)</f>
        <v>-2.788479536</v>
      </c>
      <c r="I512" s="54">
        <f>IFERROR(__xludf.DUMMYFUNCTION("""COMPUTED_VALUE"""),28.0)</f>
        <v>28</v>
      </c>
      <c r="J512" s="55">
        <f>IFERROR(__xludf.DUMMYFUNCTION("""COMPUTED_VALUE"""),17.0)</f>
        <v>17</v>
      </c>
      <c r="K512" s="54">
        <f>IFERROR(__xludf.DUMMYFUNCTION("""COMPUTED_VALUE"""),11.0)</f>
        <v>11</v>
      </c>
      <c r="L512" s="56">
        <f>IFERROR(__xludf.DUMMYFUNCTION("""COMPUTED_VALUE"""),0.6071428571428571)</f>
        <v>0.6071428571</v>
      </c>
      <c r="M512" s="56">
        <f>IFERROR(__xludf.DUMMYFUNCTION("""COMPUTED_VALUE"""),0.3538461538461538)</f>
        <v>0.3538461538</v>
      </c>
      <c r="N512" s="31">
        <f>IFERROR(__xludf.DUMMYFUNCTION("""COMPUTED_VALUE"""),317.07142857142856)</f>
        <v>317.0714286</v>
      </c>
      <c r="O512" s="57">
        <f>IFERROR(__xludf.DUMMYFUNCTION("""COMPUTED_VALUE"""),0.8214285714285714)</f>
        <v>0.8214285714</v>
      </c>
      <c r="P512" s="57">
        <f>IFERROR(__xludf.DUMMYFUNCTION("""COMPUTED_VALUE"""),0.5714285714285714)</f>
        <v>0.5714285714</v>
      </c>
      <c r="Q512" s="57">
        <f>IFERROR(__xludf.DUMMYFUNCTION("""COMPUTED_VALUE"""),1.1071428571428572)</f>
        <v>1.107142857</v>
      </c>
      <c r="R512" s="57">
        <f>IFERROR(__xludf.DUMMYFUNCTION("""COMPUTED_VALUE"""),2.3214285714285716)</f>
        <v>2.321428571</v>
      </c>
      <c r="S512" s="31">
        <f>IFERROR(__xludf.DUMMYFUNCTION("""COMPUTED_VALUE"""),328.58333333333337)</f>
        <v>328.5833333</v>
      </c>
      <c r="T512" s="57">
        <f>IFERROR(__xludf.DUMMYFUNCTION("""COMPUTED_VALUE"""),0.6785714285714285)</f>
        <v>0.6785714286</v>
      </c>
      <c r="U512" s="57">
        <f>IFERROR(__xludf.DUMMYFUNCTION("""COMPUTED_VALUE"""),0.42857142857142866)</f>
        <v>0.4285714286</v>
      </c>
      <c r="V512" s="57">
        <f>IFERROR(__xludf.DUMMYFUNCTION("""COMPUTED_VALUE"""),1.392857142857143)</f>
        <v>1.392857143</v>
      </c>
      <c r="W512" s="57">
        <f>IFERROR(__xludf.DUMMYFUNCTION("""COMPUTED_VALUE"""),2.2857142857142856)</f>
        <v>2.285714286</v>
      </c>
      <c r="X512" s="31">
        <f>IFERROR(__xludf.DUMMYFUNCTION("""COMPUTED_VALUE"""),337.447542537467)</f>
        <v>337.4475425</v>
      </c>
      <c r="Y512" s="57">
        <f>IFERROR(__xludf.DUMMYFUNCTION("""COMPUTED_VALUE"""),0.7854416435180223)</f>
        <v>0.7854416435</v>
      </c>
      <c r="Z512" s="57">
        <f>IFERROR(__xludf.DUMMYFUNCTION("""COMPUTED_VALUE"""),0.5061835353054025)</f>
        <v>0.5061835353</v>
      </c>
      <c r="AA512" s="57">
        <f>IFERROR(__xludf.DUMMYFUNCTION("""COMPUTED_VALUE"""),1.2756881523122694)</f>
        <v>1.275688152</v>
      </c>
      <c r="AB512" s="57">
        <f>IFERROR(__xludf.DUMMYFUNCTION("""COMPUTED_VALUE"""),2.387684002981725)</f>
        <v>2.387684003</v>
      </c>
      <c r="AC512" s="31">
        <f>IFERROR(__xludf.DUMMYFUNCTION("""COMPUTED_VALUE"""),338.8910949805274)</f>
        <v>338.891095</v>
      </c>
      <c r="AD512" s="57">
        <f>IFERROR(__xludf.DUMMYFUNCTION("""COMPUTED_VALUE"""),0.7965998639870818)</f>
        <v>0.796599864</v>
      </c>
      <c r="AE512" s="57">
        <f>IFERROR(__xludf.DUMMYFUNCTION("""COMPUTED_VALUE"""),0.5456596962519803)</f>
        <v>0.5456596963</v>
      </c>
      <c r="AF512" s="57">
        <f>IFERROR(__xludf.DUMMYFUNCTION("""COMPUTED_VALUE"""),1.187603565700497)</f>
        <v>1.187603566</v>
      </c>
      <c r="AG512" s="57">
        <f>IFERROR(__xludf.DUMMYFUNCTION("""COMPUTED_VALUE"""),2.5326680815913294)</f>
        <v>2.532668082</v>
      </c>
      <c r="AH512" s="57">
        <f>IFERROR(__xludf.DUMMYFUNCTION("""COMPUTED_VALUE"""),0.9356145182559236)</f>
        <v>0.9356145183</v>
      </c>
      <c r="AI512" s="57">
        <f>IFERROR(__xludf.DUMMYFUNCTION("""COMPUTED_VALUE"""),1.031168355110204)</f>
        <v>1.031168355</v>
      </c>
      <c r="AJ512" s="57">
        <f>IFERROR(__xludf.DUMMYFUNCTION("""COMPUTED_VALUE"""),1.0472251759724824)</f>
        <v>1.047225176</v>
      </c>
      <c r="AK512" s="57">
        <f>IFERROR(__xludf.DUMMYFUNCTION("""COMPUTED_VALUE"""),0.9322495225835897)</f>
        <v>0.9322495226</v>
      </c>
      <c r="AL512" s="57">
        <f>IFERROR(__xludf.DUMMYFUNCTION("""COMPUTED_VALUE"""),0.9165940804884186)</f>
        <v>0.9165940805</v>
      </c>
      <c r="AM512" s="57">
        <f>IFERROR(__xludf.DUMMYFUNCTION("""COMPUTED_VALUE"""),0.9737315935464268)</f>
        <v>0.9737315935</v>
      </c>
      <c r="AN512" s="57">
        <f>IFERROR(__xludf.DUMMYFUNCTION("""COMPUTED_VALUE"""),0.8639361487533076)</f>
        <v>0.8639361488</v>
      </c>
      <c r="AO512" s="57">
        <f>IFERROR(__xludf.DUMMYFUNCTION("""COMPUTED_VALUE"""),0.8466720046768271)</f>
        <v>0.8466720047</v>
      </c>
      <c r="AP512" s="35">
        <f>IFERROR(__xludf.DUMMYFUNCTION("""COMPUTED_VALUE"""),1.091847674788307)</f>
        <v>1.091847675</v>
      </c>
      <c r="AQ512" s="57">
        <f>IFERROR(__xludf.DUMMYFUNCTION("""COMPUTED_VALUE"""),0.9572934621415146)</f>
        <v>0.9572934621</v>
      </c>
      <c r="AR512" s="36" t="b">
        <f>IFERROR(__xludf.DUMMYFUNCTION("""COMPUTED_VALUE"""),TRUE)</f>
        <v>1</v>
      </c>
      <c r="AS512" s="57"/>
      <c r="AT512" s="37"/>
      <c r="AU512" s="30"/>
      <c r="AV512" s="30"/>
      <c r="AW512" s="30"/>
      <c r="AX512" s="30"/>
      <c r="AY512" s="30"/>
      <c r="AZ512" s="30"/>
    </row>
    <row r="513">
      <c r="A513" s="30" t="str">
        <f>IFERROR(__xludf.DUMMYFUNCTION("""COMPUTED_VALUE"""),"Prospect")</f>
        <v>Prospect</v>
      </c>
      <c r="B513" s="30" t="str">
        <f>IFERROR(__xludf.DUMMYFUNCTION("""COMPUTED_VALUE"""),"RSC007138")</f>
        <v>RSC007138</v>
      </c>
      <c r="C513" s="30" t="str">
        <f>IFERROR(__xludf.DUMMYFUNCTION("""COMPUTED_VALUE"""),"GFC-RAIDER")</f>
        <v>GFC-RAIDER</v>
      </c>
      <c r="D513" s="31" t="str">
        <f>IFERROR(__xludf.DUMMYFUNCTION("""COMPUTED_VALUE"""),"Mop Tops")</f>
        <v>Mop Tops</v>
      </c>
      <c r="E513" s="31">
        <f>IFERROR(__xludf.DUMMYFUNCTION("""COMPUTED_VALUE"""),58.77640946320929)</f>
        <v>58.77640946</v>
      </c>
      <c r="F513" s="31">
        <f>IFERROR(__xludf.DUMMYFUNCTION("""COMPUTED_VALUE"""),2.756544526294024)</f>
        <v>2.756544526</v>
      </c>
      <c r="G513" s="31">
        <f>IFERROR(__xludf.DUMMYFUNCTION("""COMPUTED_VALUE"""),46.977343226654725)</f>
        <v>46.97734323</v>
      </c>
      <c r="H513" s="31">
        <f>IFERROR(__xludf.DUMMYFUNCTION("""COMPUTED_VALUE"""),-2.212963979746452)</f>
        <v>-2.21296398</v>
      </c>
      <c r="I513" s="54">
        <f>IFERROR(__xludf.DUMMYFUNCTION("""COMPUTED_VALUE"""),25.0)</f>
        <v>25</v>
      </c>
      <c r="J513" s="55">
        <f>IFERROR(__xludf.DUMMYFUNCTION("""COMPUTED_VALUE"""),16.0)</f>
        <v>16</v>
      </c>
      <c r="K513" s="54">
        <f>IFERROR(__xludf.DUMMYFUNCTION("""COMPUTED_VALUE"""),9.0)</f>
        <v>9</v>
      </c>
      <c r="L513" s="56">
        <f>IFERROR(__xludf.DUMMYFUNCTION("""COMPUTED_VALUE"""),0.64)</f>
        <v>0.64</v>
      </c>
      <c r="M513" s="56">
        <f>IFERROR(__xludf.DUMMYFUNCTION("""COMPUTED_VALUE"""),0.3278688524590164)</f>
        <v>0.3278688525</v>
      </c>
      <c r="N513" s="31">
        <f>IFERROR(__xludf.DUMMYFUNCTION("""COMPUTED_VALUE"""),345.72)</f>
        <v>345.72</v>
      </c>
      <c r="O513" s="57">
        <f>IFERROR(__xludf.DUMMYFUNCTION("""COMPUTED_VALUE"""),0.8)</f>
        <v>0.8</v>
      </c>
      <c r="P513" s="57">
        <f>IFERROR(__xludf.DUMMYFUNCTION("""COMPUTED_VALUE"""),0.48)</f>
        <v>0.48</v>
      </c>
      <c r="Q513" s="57">
        <f>IFERROR(__xludf.DUMMYFUNCTION("""COMPUTED_VALUE"""),1.44)</f>
        <v>1.44</v>
      </c>
      <c r="R513" s="57">
        <f>IFERROR(__xludf.DUMMYFUNCTION("""COMPUTED_VALUE"""),2.44)</f>
        <v>2.44</v>
      </c>
      <c r="S513" s="31">
        <f>IFERROR(__xludf.DUMMYFUNCTION("""COMPUTED_VALUE"""),332.54666666666674)</f>
        <v>332.5466667</v>
      </c>
      <c r="T513" s="57">
        <f>IFERROR(__xludf.DUMMYFUNCTION("""COMPUTED_VALUE"""),0.6666666666666665)</f>
        <v>0.6666666667</v>
      </c>
      <c r="U513" s="57">
        <f>IFERROR(__xludf.DUMMYFUNCTION("""COMPUTED_VALUE"""),0.46666666666666673)</f>
        <v>0.4666666667</v>
      </c>
      <c r="V513" s="57">
        <f>IFERROR(__xludf.DUMMYFUNCTION("""COMPUTED_VALUE"""),1.373333333333333)</f>
        <v>1.373333333</v>
      </c>
      <c r="W513" s="57">
        <f>IFERROR(__xludf.DUMMYFUNCTION("""COMPUTED_VALUE"""),2.426666666666667)</f>
        <v>2.426666667</v>
      </c>
      <c r="X513" s="31">
        <f>IFERROR(__xludf.DUMMYFUNCTION("""COMPUTED_VALUE"""),335.2833959721183)</f>
        <v>335.283396</v>
      </c>
      <c r="Y513" s="57">
        <f>IFERROR(__xludf.DUMMYFUNCTION("""COMPUTED_VALUE"""),0.785570428712937)</f>
        <v>0.7855704287</v>
      </c>
      <c r="Z513" s="57">
        <f>IFERROR(__xludf.DUMMYFUNCTION("""COMPUTED_VALUE"""),0.5099888504145744)</f>
        <v>0.5099888504</v>
      </c>
      <c r="AA513" s="57">
        <f>IFERROR(__xludf.DUMMYFUNCTION("""COMPUTED_VALUE"""),1.217741756073426)</f>
        <v>1.217741756</v>
      </c>
      <c r="AB513" s="57">
        <f>IFERROR(__xludf.DUMMYFUNCTION("""COMPUTED_VALUE"""),2.4347411195494577)</f>
        <v>2.43474112</v>
      </c>
      <c r="AC513" s="31">
        <f>IFERROR(__xludf.DUMMYFUNCTION("""COMPUTED_VALUE"""),333.97148287781476)</f>
        <v>333.9714829</v>
      </c>
      <c r="AD513" s="57">
        <f>IFERROR(__xludf.DUMMYFUNCTION("""COMPUTED_VALUE"""),0.7829114344920824)</f>
        <v>0.7829114345</v>
      </c>
      <c r="AE513" s="57">
        <f>IFERROR(__xludf.DUMMYFUNCTION("""COMPUTED_VALUE"""),0.5246555924249308)</f>
        <v>0.5246555924</v>
      </c>
      <c r="AF513" s="57">
        <f>IFERROR(__xludf.DUMMYFUNCTION("""COMPUTED_VALUE"""),1.207226298755434)</f>
        <v>1.207226299</v>
      </c>
      <c r="AG513" s="57">
        <f>IFERROR(__xludf.DUMMYFUNCTION("""COMPUTED_VALUE"""),2.479331887089921)</f>
        <v>2.479331887</v>
      </c>
      <c r="AH513" s="57">
        <f>IFERROR(__xludf.DUMMYFUNCTION("""COMPUTED_VALUE"""),1.0351782045010218)</f>
        <v>1.035178205</v>
      </c>
      <c r="AI513" s="57">
        <f>IFERROR(__xludf.DUMMYFUNCTION("""COMPUTED_VALUE"""),1.0218269458779892)</f>
        <v>1.021826946</v>
      </c>
      <c r="AJ513" s="57">
        <f>IFERROR(__xludf.DUMMYFUNCTION("""COMPUTED_VALUE"""),0.9148858926318979)</f>
        <v>0.9148858926</v>
      </c>
      <c r="AK513" s="57">
        <f>IFERROR(__xludf.DUMMYFUNCTION("""COMPUTED_VALUE"""),1.1928169569239333)</f>
        <v>1.192816957</v>
      </c>
      <c r="AL513" s="57">
        <f>IFERROR(__xludf.DUMMYFUNCTION("""COMPUTED_VALUE"""),0.9841360943669037)</f>
        <v>0.9841360944</v>
      </c>
      <c r="AM513" s="57">
        <f>IFERROR(__xludf.DUMMYFUNCTION("""COMPUTED_VALUE"""),0.9918375638688677)</f>
        <v>0.9918375639</v>
      </c>
      <c r="AN513" s="57">
        <f>IFERROR(__xludf.DUMMYFUNCTION("""COMPUTED_VALUE"""),0.8486402266425939)</f>
        <v>0.8486402266</v>
      </c>
      <c r="AO513" s="57">
        <f>IFERROR(__xludf.DUMMYFUNCTION("""COMPUTED_VALUE"""),0.9150526845583179)</f>
        <v>0.9150526846</v>
      </c>
      <c r="AP513" s="35">
        <f>IFERROR(__xludf.DUMMYFUNCTION("""COMPUTED_VALUE"""),1.1277705855809754)</f>
        <v>1.127770586</v>
      </c>
      <c r="AQ513" s="57">
        <f>IFERROR(__xludf.DUMMYFUNCTION("""COMPUTED_VALUE"""),0.9966836503404992)</f>
        <v>0.9966836503</v>
      </c>
      <c r="AR513" s="36" t="b">
        <f>IFERROR(__xludf.DUMMYFUNCTION("""COMPUTED_VALUE"""),TRUE)</f>
        <v>1</v>
      </c>
      <c r="AS513" s="57"/>
      <c r="AT513" s="37"/>
      <c r="AU513" s="30"/>
      <c r="AV513" s="30"/>
      <c r="AW513" s="30"/>
      <c r="AX513" s="30"/>
      <c r="AY513" s="30"/>
      <c r="AZ513" s="30"/>
    </row>
    <row r="514">
      <c r="A514" s="30" t="str">
        <f>IFERROR(__xludf.DUMMYFUNCTION("""COMPUTED_VALUE"""),"Prospect")</f>
        <v>Prospect</v>
      </c>
      <c r="B514" s="30" t="str">
        <f>IFERROR(__xludf.DUMMYFUNCTION("""COMPUTED_VALUE"""),"RSC000989")</f>
        <v>RSC000989</v>
      </c>
      <c r="C514" s="30" t="str">
        <f>IFERROR(__xludf.DUMMYFUNCTION("""COMPUTED_VALUE"""),"Piky Life88")</f>
        <v>Piky Life88</v>
      </c>
      <c r="D514" s="31" t="str">
        <f>IFERROR(__xludf.DUMMYFUNCTION("""COMPUTED_VALUE"""),"Devoured")</f>
        <v>Devoured</v>
      </c>
      <c r="E514" s="31">
        <f>IFERROR(__xludf.DUMMYFUNCTION("""COMPUTED_VALUE"""),58.60110062611243)</f>
        <v>58.60110063</v>
      </c>
      <c r="F514" s="31">
        <f>IFERROR(__xludf.DUMMYFUNCTION("""COMPUTED_VALUE"""),2.7366775278245448)</f>
        <v>2.736677528</v>
      </c>
      <c r="G514" s="31">
        <f>IFERROR(__xludf.DUMMYFUNCTION("""COMPUTED_VALUE"""),19.808201883393274)</f>
        <v>19.80820188</v>
      </c>
      <c r="H514" s="31">
        <f>IFERROR(__xludf.DUMMYFUNCTION("""COMPUTED_VALUE"""),-8.803844483194942)</f>
        <v>-8.803844483</v>
      </c>
      <c r="I514" s="54">
        <f>IFERROR(__xludf.DUMMYFUNCTION("""COMPUTED_VALUE"""),1.0)</f>
        <v>1</v>
      </c>
      <c r="J514" s="55">
        <f>IFERROR(__xludf.DUMMYFUNCTION("""COMPUTED_VALUE"""),0.0)</f>
        <v>0</v>
      </c>
      <c r="K514" s="54">
        <f>IFERROR(__xludf.DUMMYFUNCTION("""COMPUTED_VALUE"""),1.0)</f>
        <v>1</v>
      </c>
      <c r="L514" s="56">
        <f>IFERROR(__xludf.DUMMYFUNCTION("""COMPUTED_VALUE"""),0.0)</f>
        <v>0</v>
      </c>
      <c r="M514" s="56">
        <f>IFERROR(__xludf.DUMMYFUNCTION("""COMPUTED_VALUE"""),0.25)</f>
        <v>0.25</v>
      </c>
      <c r="N514" s="31">
        <f>IFERROR(__xludf.DUMMYFUNCTION("""COMPUTED_VALUE"""),454.0)</f>
        <v>454</v>
      </c>
      <c r="O514" s="57">
        <f>IFERROR(__xludf.DUMMYFUNCTION("""COMPUTED_VALUE"""),1.0)</f>
        <v>1</v>
      </c>
      <c r="P514" s="57">
        <f>IFERROR(__xludf.DUMMYFUNCTION("""COMPUTED_VALUE"""),0.0)</f>
        <v>0</v>
      </c>
      <c r="Q514" s="57">
        <f>IFERROR(__xludf.DUMMYFUNCTION("""COMPUTED_VALUE"""),3.0)</f>
        <v>3</v>
      </c>
      <c r="R514" s="57">
        <f>IFERROR(__xludf.DUMMYFUNCTION("""COMPUTED_VALUE"""),4.0)</f>
        <v>4</v>
      </c>
      <c r="S514" s="31">
        <f>IFERROR(__xludf.DUMMYFUNCTION("""COMPUTED_VALUE"""),507.0)</f>
        <v>507</v>
      </c>
      <c r="T514" s="57">
        <f>IFERROR(__xludf.DUMMYFUNCTION("""COMPUTED_VALUE"""),1.6666666666666667)</f>
        <v>1.666666667</v>
      </c>
      <c r="U514" s="57">
        <f>IFERROR(__xludf.DUMMYFUNCTION("""COMPUTED_VALUE"""),1.3333333333333333)</f>
        <v>1.333333333</v>
      </c>
      <c r="V514" s="57">
        <f>IFERROR(__xludf.DUMMYFUNCTION("""COMPUTED_VALUE"""),1.3333333333333333)</f>
        <v>1.333333333</v>
      </c>
      <c r="W514" s="57">
        <f>IFERROR(__xludf.DUMMYFUNCTION("""COMPUTED_VALUE"""),4.0)</f>
        <v>4</v>
      </c>
      <c r="X514" s="31">
        <f>IFERROR(__xludf.DUMMYFUNCTION("""COMPUTED_VALUE"""),363.76201615148983)</f>
        <v>363.7620162</v>
      </c>
      <c r="Y514" s="57">
        <f>IFERROR(__xludf.DUMMYFUNCTION("""COMPUTED_VALUE"""),0.9667919799498748)</f>
        <v>0.9667919799</v>
      </c>
      <c r="Z514" s="57">
        <f>IFERROR(__xludf.DUMMYFUNCTION("""COMPUTED_VALUE"""),0.6380395433027012)</f>
        <v>0.6380395433</v>
      </c>
      <c r="AA514" s="57">
        <f>IFERROR(__xludf.DUMMYFUNCTION("""COMPUTED_VALUE"""),1.1764550264550264)</f>
        <v>1.176455026</v>
      </c>
      <c r="AB514" s="57">
        <f>IFERROR(__xludf.DUMMYFUNCTION("""COMPUTED_VALUE"""),2.892522974101922)</f>
        <v>2.892522974</v>
      </c>
      <c r="AC514" s="31">
        <f>IFERROR(__xludf.DUMMYFUNCTION("""COMPUTED_VALUE"""),332.41166341780377)</f>
        <v>332.4116634</v>
      </c>
      <c r="AD514" s="57">
        <f>IFERROR(__xludf.DUMMYFUNCTION("""COMPUTED_VALUE"""),0.7061774807388841)</f>
        <v>0.7061774807</v>
      </c>
      <c r="AE514" s="57">
        <f>IFERROR(__xludf.DUMMYFUNCTION("""COMPUTED_VALUE"""),0.44643089204492714)</f>
        <v>0.446430892</v>
      </c>
      <c r="AF514" s="57">
        <f>IFERROR(__xludf.DUMMYFUNCTION("""COMPUTED_VALUE"""),1.410224635663232)</f>
        <v>1.410224636</v>
      </c>
      <c r="AG514" s="57">
        <f>IFERROR(__xludf.DUMMYFUNCTION("""COMPUTED_VALUE"""),2.2880905968625274)</f>
        <v>2.288090597</v>
      </c>
      <c r="AH514" s="57">
        <f>IFERROR(__xludf.DUMMYFUNCTION("""COMPUTED_VALUE"""),1.3657763850162306)</f>
        <v>1.365776385</v>
      </c>
      <c r="AI514" s="57">
        <f>IFERROR(__xludf.DUMMYFUNCTION("""COMPUTED_VALUE"""),1.4160746091105667)</f>
        <v>1.416074609</v>
      </c>
      <c r="AJ514" s="57">
        <f>IFERROR(__xludf.DUMMYFUNCTION("""COMPUTED_VALUE"""),0.0)</f>
        <v>0</v>
      </c>
      <c r="AK514" s="57">
        <f>IFERROR(__xludf.DUMMYFUNCTION("""COMPUTED_VALUE"""),2.12732065809437)</f>
        <v>2.127320658</v>
      </c>
      <c r="AL514" s="57">
        <f>IFERROR(__xludf.DUMMYFUNCTION("""COMPUTED_VALUE"""),1.7481825262884585)</f>
        <v>1.748182526</v>
      </c>
      <c r="AM514" s="57">
        <f>IFERROR(__xludf.DUMMYFUNCTION("""COMPUTED_VALUE"""),1.393768391114421)</f>
        <v>1.393768391</v>
      </c>
      <c r="AN514" s="57">
        <f>IFERROR(__xludf.DUMMYFUNCTION("""COMPUTED_VALUE"""),1.7239144523655217)</f>
        <v>1.723914452</v>
      </c>
      <c r="AO514" s="57">
        <f>IFERROR(__xludf.DUMMYFUNCTION("""COMPUTED_VALUE"""),2.0897346368715084)</f>
        <v>2.089734637</v>
      </c>
      <c r="AP514" s="35">
        <f>IFERROR(__xludf.DUMMYFUNCTION("""COMPUTED_VALUE"""),1.1333483247132898)</f>
        <v>1.133348325</v>
      </c>
      <c r="AQ514" s="57">
        <f>IFERROR(__xludf.DUMMYFUNCTION("""COMPUTED_VALUE"""),1.3828757924531025)</f>
        <v>1.382875792</v>
      </c>
      <c r="AR514" s="36" t="b">
        <f>IFERROR(__xludf.DUMMYFUNCTION("""COMPUTED_VALUE"""),TRUE)</f>
        <v>1</v>
      </c>
      <c r="AS514" s="57"/>
      <c r="AT514" s="37"/>
      <c r="AU514" s="30"/>
      <c r="AV514" s="30"/>
      <c r="AW514" s="30"/>
      <c r="AX514" s="30"/>
      <c r="AY514" s="30"/>
      <c r="AZ514" s="30"/>
    </row>
    <row r="515">
      <c r="A515" s="30" t="str">
        <f>IFERROR(__xludf.DUMMYFUNCTION("""COMPUTED_VALUE"""),"Prospect")</f>
        <v>Prospect</v>
      </c>
      <c r="B515" s="30" t="str">
        <f>IFERROR(__xludf.DUMMYFUNCTION("""COMPUTED_VALUE"""),"RSC007141")</f>
        <v>RSC007141</v>
      </c>
      <c r="C515" s="30" t="str">
        <f>IFERROR(__xludf.DUMMYFUNCTION("""COMPUTED_VALUE"""),"Cuddlingus")</f>
        <v>Cuddlingus</v>
      </c>
      <c r="D515" s="31" t="str">
        <f>IFERROR(__xludf.DUMMYFUNCTION("""COMPUTED_VALUE"""),"Skeletons")</f>
        <v>Skeletons</v>
      </c>
      <c r="E515" s="31">
        <f>IFERROR(__xludf.DUMMYFUNCTION("""COMPUTED_VALUE"""),56.959189913565886)</f>
        <v>56.95918991</v>
      </c>
      <c r="F515" s="31">
        <f>IFERROR(__xludf.DUMMYFUNCTION("""COMPUTED_VALUE"""),2.5617044439629866)</f>
        <v>2.561704444</v>
      </c>
      <c r="G515" s="31">
        <f>IFERROR(__xludf.DUMMYFUNCTION("""COMPUTED_VALUE"""),44.61135330779445)</f>
        <v>44.61135331</v>
      </c>
      <c r="H515" s="31">
        <f>IFERROR(__xludf.DUMMYFUNCTION("""COMPUTED_VALUE"""),-2.411551073675471)</f>
        <v>-2.411551074</v>
      </c>
      <c r="I515" s="54">
        <f>IFERROR(__xludf.DUMMYFUNCTION("""COMPUTED_VALUE"""),28.0)</f>
        <v>28</v>
      </c>
      <c r="J515" s="55">
        <f>IFERROR(__xludf.DUMMYFUNCTION("""COMPUTED_VALUE"""),13.0)</f>
        <v>13</v>
      </c>
      <c r="K515" s="54">
        <f>IFERROR(__xludf.DUMMYFUNCTION("""COMPUTED_VALUE"""),15.0)</f>
        <v>15</v>
      </c>
      <c r="L515" s="56">
        <f>IFERROR(__xludf.DUMMYFUNCTION("""COMPUTED_VALUE"""),0.4642857142857143)</f>
        <v>0.4642857143</v>
      </c>
      <c r="M515" s="56">
        <f>IFERROR(__xludf.DUMMYFUNCTION("""COMPUTED_VALUE"""),0.3194444444444444)</f>
        <v>0.3194444444</v>
      </c>
      <c r="N515" s="31">
        <f>IFERROR(__xludf.DUMMYFUNCTION("""COMPUTED_VALUE"""),323.10714285714283)</f>
        <v>323.1071429</v>
      </c>
      <c r="O515" s="57">
        <f>IFERROR(__xludf.DUMMYFUNCTION("""COMPUTED_VALUE"""),0.8214285714285714)</f>
        <v>0.8214285714</v>
      </c>
      <c r="P515" s="57">
        <f>IFERROR(__xludf.DUMMYFUNCTION("""COMPUTED_VALUE"""),0.39285714285714285)</f>
        <v>0.3928571429</v>
      </c>
      <c r="Q515" s="57">
        <f>IFERROR(__xludf.DUMMYFUNCTION("""COMPUTED_VALUE"""),1.0)</f>
        <v>1</v>
      </c>
      <c r="R515" s="57">
        <f>IFERROR(__xludf.DUMMYFUNCTION("""COMPUTED_VALUE"""),2.5714285714285716)</f>
        <v>2.571428571</v>
      </c>
      <c r="S515" s="31">
        <f>IFERROR(__xludf.DUMMYFUNCTION("""COMPUTED_VALUE"""),346.7619047619047)</f>
        <v>346.7619048</v>
      </c>
      <c r="T515" s="57">
        <f>IFERROR(__xludf.DUMMYFUNCTION("""COMPUTED_VALUE"""),0.8690476190476192)</f>
        <v>0.869047619</v>
      </c>
      <c r="U515" s="57">
        <f>IFERROR(__xludf.DUMMYFUNCTION("""COMPUTED_VALUE"""),0.5595238095238095)</f>
        <v>0.5595238095</v>
      </c>
      <c r="V515" s="57">
        <f>IFERROR(__xludf.DUMMYFUNCTION("""COMPUTED_VALUE"""),1.2499999999999998)</f>
        <v>1.25</v>
      </c>
      <c r="W515" s="57">
        <f>IFERROR(__xludf.DUMMYFUNCTION("""COMPUTED_VALUE"""),2.3928571428571423)</f>
        <v>2.392857143</v>
      </c>
      <c r="X515" s="31">
        <f>IFERROR(__xludf.DUMMYFUNCTION("""COMPUTED_VALUE"""),342.9290025787203)</f>
        <v>342.9290026</v>
      </c>
      <c r="Y515" s="57">
        <f>IFERROR(__xludf.DUMMYFUNCTION("""COMPUTED_VALUE"""),0.8697151040502108)</f>
        <v>0.8697151041</v>
      </c>
      <c r="Z515" s="57">
        <f>IFERROR(__xludf.DUMMYFUNCTION("""COMPUTED_VALUE"""),0.5747890059754764)</f>
        <v>0.574789006</v>
      </c>
      <c r="AA515" s="57">
        <f>IFERROR(__xludf.DUMMYFUNCTION("""COMPUTED_VALUE"""),1.1500185079306822)</f>
        <v>1.150018508</v>
      </c>
      <c r="AB515" s="57">
        <f>IFERROR(__xludf.DUMMYFUNCTION("""COMPUTED_VALUE"""),2.5270023288052186)</f>
        <v>2.527002329</v>
      </c>
      <c r="AC515" s="31">
        <f>IFERROR(__xludf.DUMMYFUNCTION("""COMPUTED_VALUE"""),332.50244901774266)</f>
        <v>332.502449</v>
      </c>
      <c r="AD515" s="57">
        <f>IFERROR(__xludf.DUMMYFUNCTION("""COMPUTED_VALUE"""),0.7663482866192519)</f>
        <v>0.7663482866</v>
      </c>
      <c r="AE515" s="57">
        <f>IFERROR(__xludf.DUMMYFUNCTION("""COMPUTED_VALUE"""),0.513422330342858)</f>
        <v>0.5134223303</v>
      </c>
      <c r="AF515" s="57">
        <f>IFERROR(__xludf.DUMMYFUNCTION("""COMPUTED_VALUE"""),1.2189224698848895)</f>
        <v>1.21892247</v>
      </c>
      <c r="AG515" s="57">
        <f>IFERROR(__xludf.DUMMYFUNCTION("""COMPUTED_VALUE"""),2.3619787443539835)</f>
        <v>2.361978744</v>
      </c>
      <c r="AH515" s="57">
        <f>IFERROR(__xludf.DUMMYFUNCTION("""COMPUTED_VALUE"""),0.9717436482397203)</f>
        <v>0.9717436482</v>
      </c>
      <c r="AI515" s="57">
        <f>IFERROR(__xludf.DUMMYFUNCTION("""COMPUTED_VALUE"""),1.071873697339765)</f>
        <v>1.071873697</v>
      </c>
      <c r="AJ515" s="57">
        <f>IFERROR(__xludf.DUMMYFUNCTION("""COMPUTED_VALUE"""),0.7651734637151387)</f>
        <v>0.7651734637</v>
      </c>
      <c r="AK515" s="57">
        <f>IFERROR(__xludf.DUMMYFUNCTION("""COMPUTED_VALUE"""),0.8203967230946495)</f>
        <v>0.8203967231</v>
      </c>
      <c r="AL515" s="57">
        <f>IFERROR(__xludf.DUMMYFUNCTION("""COMPUTED_VALUE"""),1.08867557660087)</f>
        <v>1.088675577</v>
      </c>
      <c r="AM515" s="57">
        <f>IFERROR(__xludf.DUMMYFUNCTION("""COMPUTED_VALUE"""),1.0111769554466439)</f>
        <v>1.011176955</v>
      </c>
      <c r="AN515" s="57">
        <f>IFERROR(__xludf.DUMMYFUNCTION("""COMPUTED_VALUE"""),0.9992325245365026)</f>
        <v>0.9992325245</v>
      </c>
      <c r="AO515" s="57">
        <f>IFERROR(__xludf.DUMMYFUNCTION("""COMPUTED_VALUE"""),0.9734420869345608)</f>
        <v>0.9734420869</v>
      </c>
      <c r="AP515" s="35">
        <f>IFERROR(__xludf.DUMMYFUNCTION("""COMPUTED_VALUE"""),1.0869390287024354)</f>
        <v>1.086939029</v>
      </c>
      <c r="AQ515" s="57">
        <f>IFERROR(__xludf.DUMMYFUNCTION("""COMPUTED_VALUE"""),0.9469152899390082)</f>
        <v>0.9469152899</v>
      </c>
      <c r="AR515" s="36" t="b">
        <f>IFERROR(__xludf.DUMMYFUNCTION("""COMPUTED_VALUE"""),TRUE)</f>
        <v>1</v>
      </c>
      <c r="AS515" s="57"/>
      <c r="AT515" s="37"/>
      <c r="AU515" s="30"/>
      <c r="AV515" s="30"/>
      <c r="AW515" s="30"/>
      <c r="AX515" s="30"/>
      <c r="AY515" s="30"/>
      <c r="AZ515" s="30"/>
    </row>
    <row r="516">
      <c r="A516" s="30" t="str">
        <f>IFERROR(__xludf.DUMMYFUNCTION("""COMPUTED_VALUE"""),"Prospect")</f>
        <v>Prospect</v>
      </c>
      <c r="B516" s="30" t="str">
        <f>IFERROR(__xludf.DUMMYFUNCTION("""COMPUTED_VALUE"""),"RSC007487")</f>
        <v>RSC007487</v>
      </c>
      <c r="C516" s="30" t="str">
        <f>IFERROR(__xludf.DUMMYFUNCTION("""COMPUTED_VALUE"""),"YoloOnTinder")</f>
        <v>YoloOnTinder</v>
      </c>
      <c r="D516" s="31" t="str">
        <f>IFERROR(__xludf.DUMMYFUNCTION("""COMPUTED_VALUE"""),"Dime")</f>
        <v>Dime</v>
      </c>
      <c r="E516" s="31">
        <f>IFERROR(__xludf.DUMMYFUNCTION("""COMPUTED_VALUE"""),56.62673370712175)</f>
        <v>56.62673371</v>
      </c>
      <c r="F516" s="31">
        <f>IFERROR(__xludf.DUMMYFUNCTION("""COMPUTED_VALUE"""),2.5285855345913304)</f>
        <v>2.528585535</v>
      </c>
      <c r="G516" s="31">
        <f>IFERROR(__xludf.DUMMYFUNCTION("""COMPUTED_VALUE"""),55.41624359920661)</f>
        <v>55.4162436</v>
      </c>
      <c r="H516" s="31">
        <f>IFERROR(__xludf.DUMMYFUNCTION("""COMPUTED_VALUE"""),2.4140556472185155)</f>
        <v>2.414055647</v>
      </c>
      <c r="I516" s="54">
        <f>IFERROR(__xludf.DUMMYFUNCTION("""COMPUTED_VALUE"""),30.0)</f>
        <v>30</v>
      </c>
      <c r="J516" s="55">
        <f>IFERROR(__xludf.DUMMYFUNCTION("""COMPUTED_VALUE"""),21.0)</f>
        <v>21</v>
      </c>
      <c r="K516" s="54">
        <f>IFERROR(__xludf.DUMMYFUNCTION("""COMPUTED_VALUE"""),9.0)</f>
        <v>9</v>
      </c>
      <c r="L516" s="56">
        <f>IFERROR(__xludf.DUMMYFUNCTION("""COMPUTED_VALUE"""),0.7)</f>
        <v>0.7</v>
      </c>
      <c r="M516" s="56">
        <f>IFERROR(__xludf.DUMMYFUNCTION("""COMPUTED_VALUE"""),0.21428571428571427)</f>
        <v>0.2142857143</v>
      </c>
      <c r="N516" s="31">
        <f>IFERROR(__xludf.DUMMYFUNCTION("""COMPUTED_VALUE"""),289.7)</f>
        <v>289.7</v>
      </c>
      <c r="O516" s="57">
        <f>IFERROR(__xludf.DUMMYFUNCTION("""COMPUTED_VALUE"""),0.5)</f>
        <v>0.5</v>
      </c>
      <c r="P516" s="57">
        <f>IFERROR(__xludf.DUMMYFUNCTION("""COMPUTED_VALUE"""),0.9333333333333333)</f>
        <v>0.9333333333</v>
      </c>
      <c r="Q516" s="57">
        <f>IFERROR(__xludf.DUMMYFUNCTION("""COMPUTED_VALUE"""),0.8)</f>
        <v>0.8</v>
      </c>
      <c r="R516" s="57">
        <f>IFERROR(__xludf.DUMMYFUNCTION("""COMPUTED_VALUE"""),2.3333333333333335)</f>
        <v>2.333333333</v>
      </c>
      <c r="S516" s="31">
        <f>IFERROR(__xludf.DUMMYFUNCTION("""COMPUTED_VALUE"""),299.32222222222225)</f>
        <v>299.3222222</v>
      </c>
      <c r="T516" s="57">
        <f>IFERROR(__xludf.DUMMYFUNCTION("""COMPUTED_VALUE"""),0.6)</f>
        <v>0.6</v>
      </c>
      <c r="U516" s="57">
        <f>IFERROR(__xludf.DUMMYFUNCTION("""COMPUTED_VALUE"""),0.4555555555555555)</f>
        <v>0.4555555556</v>
      </c>
      <c r="V516" s="57">
        <f>IFERROR(__xludf.DUMMYFUNCTION("""COMPUTED_VALUE"""),1.2444444444444445)</f>
        <v>1.244444444</v>
      </c>
      <c r="W516" s="57">
        <f>IFERROR(__xludf.DUMMYFUNCTION("""COMPUTED_VALUE"""),1.9000000000000001)</f>
        <v>1.9</v>
      </c>
      <c r="X516" s="31">
        <f>IFERROR(__xludf.DUMMYFUNCTION("""COMPUTED_VALUE"""),336.63401729361954)</f>
        <v>336.6340173</v>
      </c>
      <c r="Y516" s="57">
        <f>IFERROR(__xludf.DUMMYFUNCTION("""COMPUTED_VALUE"""),0.7878944697301409)</f>
        <v>0.7878944697</v>
      </c>
      <c r="Z516" s="57">
        <f>IFERROR(__xludf.DUMMYFUNCTION("""COMPUTED_VALUE"""),0.5297863251741869)</f>
        <v>0.5297863252</v>
      </c>
      <c r="AA516" s="57">
        <f>IFERROR(__xludf.DUMMYFUNCTION("""COMPUTED_VALUE"""),1.2187050383301334)</f>
        <v>1.218705038</v>
      </c>
      <c r="AB516" s="57">
        <f>IFERROR(__xludf.DUMMYFUNCTION("""COMPUTED_VALUE"""),2.457343574016228)</f>
        <v>2.457343574</v>
      </c>
      <c r="AC516" s="31">
        <f>IFERROR(__xludf.DUMMYFUNCTION("""COMPUTED_VALUE"""),334.3677708175608)</f>
        <v>334.3677708</v>
      </c>
      <c r="AD516" s="57">
        <f>IFERROR(__xludf.DUMMYFUNCTION("""COMPUTED_VALUE"""),0.7817712376397999)</f>
        <v>0.7817712376</v>
      </c>
      <c r="AE516" s="57">
        <f>IFERROR(__xludf.DUMMYFUNCTION("""COMPUTED_VALUE"""),0.526247596559606)</f>
        <v>0.5262475966</v>
      </c>
      <c r="AF516" s="57">
        <f>IFERROR(__xludf.DUMMYFUNCTION("""COMPUTED_VALUE"""),1.187512123152239)</f>
        <v>1.187512123</v>
      </c>
      <c r="AG516" s="57">
        <f>IFERROR(__xludf.DUMMYFUNCTION("""COMPUTED_VALUE"""),2.442033893744843)</f>
        <v>2.442033894</v>
      </c>
      <c r="AH516" s="57">
        <f>IFERROR(__xludf.DUMMYFUNCTION("""COMPUTED_VALUE"""),0.8664112551627092)</f>
        <v>0.8664112552</v>
      </c>
      <c r="AI516" s="57">
        <f>IFERROR(__xludf.DUMMYFUNCTION("""COMPUTED_VALUE"""),0.6395732868217574)</f>
        <v>0.6395732868</v>
      </c>
      <c r="AJ516" s="57">
        <f>IFERROR(__xludf.DUMMYFUNCTION("""COMPUTED_VALUE"""),1.773563127765503)</f>
        <v>1.773563128</v>
      </c>
      <c r="AK516" s="57">
        <f>IFERROR(__xludf.DUMMYFUNCTION("""COMPUTED_VALUE"""),0.6736773329744273)</f>
        <v>0.673677333</v>
      </c>
      <c r="AL516" s="57">
        <f>IFERROR(__xludf.DUMMYFUNCTION("""COMPUTED_VALUE"""),0.9554876938072232)</f>
        <v>0.9554876938</v>
      </c>
      <c r="AM516" s="57">
        <f>IFERROR(__xludf.DUMMYFUNCTION("""COMPUTED_VALUE"""),0.8891621370550525)</f>
        <v>0.8891621371</v>
      </c>
      <c r="AN516" s="57">
        <f>IFERROR(__xludf.DUMMYFUNCTION("""COMPUTED_VALUE"""),0.7615233042637093)</f>
        <v>0.7615233043</v>
      </c>
      <c r="AO516" s="57">
        <f>IFERROR(__xludf.DUMMYFUNCTION("""COMPUTED_VALUE"""),0.8598854555292168)</f>
        <v>0.8598854555</v>
      </c>
      <c r="AP516" s="35">
        <f>IFERROR(__xludf.DUMMYFUNCTION("""COMPUTED_VALUE"""),1.0211202918710989)</f>
        <v>1.021120292</v>
      </c>
      <c r="AQ516" s="57">
        <f>IFERROR(__xludf.DUMMYFUNCTION("""COMPUTED_VALUE"""),0.7731926540881225)</f>
        <v>0.7731926541</v>
      </c>
      <c r="AR516" s="36" t="b">
        <f>IFERROR(__xludf.DUMMYFUNCTION("""COMPUTED_VALUE"""),TRUE)</f>
        <v>1</v>
      </c>
      <c r="AS516" s="57"/>
      <c r="AT516" s="37"/>
      <c r="AU516" s="30"/>
      <c r="AV516" s="30"/>
      <c r="AW516" s="30"/>
      <c r="AX516" s="30"/>
      <c r="AY516" s="30"/>
      <c r="AZ516" s="30"/>
    </row>
    <row r="517">
      <c r="A517" s="30" t="str">
        <f>IFERROR(__xludf.DUMMYFUNCTION("""COMPUTED_VALUE"""),"Prospect")</f>
        <v>Prospect</v>
      </c>
      <c r="B517" s="30" t="str">
        <f>IFERROR(__xludf.DUMMYFUNCTION("""COMPUTED_VALUE"""),"RSC006586")</f>
        <v>RSC006586</v>
      </c>
      <c r="C517" s="30" t="str">
        <f>IFERROR(__xludf.DUMMYFUNCTION("""COMPUTED_VALUE"""),"dino_chick3n")</f>
        <v>dino_chick3n</v>
      </c>
      <c r="D517" s="31"/>
      <c r="E517" s="31">
        <f>IFERROR(__xludf.DUMMYFUNCTION("""COMPUTED_VALUE"""),56.100035411712895)</f>
        <v>56.10003541</v>
      </c>
      <c r="F517" s="31">
        <f>IFERROR(__xludf.DUMMYFUNCTION("""COMPUTED_VALUE"""),2.4776094627019214)</f>
        <v>2.477609463</v>
      </c>
      <c r="G517" s="31">
        <f>IFERROR(__xludf.DUMMYFUNCTION("""COMPUTED_VALUE"""),54.774740836873285)</f>
        <v>54.77474084</v>
      </c>
      <c r="H517" s="31">
        <f>IFERROR(__xludf.DUMMYFUNCTION("""COMPUTED_VALUE"""),2.357007110927195)</f>
        <v>2.357007111</v>
      </c>
      <c r="I517" s="54">
        <f>IFERROR(__xludf.DUMMYFUNCTION("""COMPUTED_VALUE"""),14.0)</f>
        <v>14</v>
      </c>
      <c r="J517" s="55">
        <f>IFERROR(__xludf.DUMMYFUNCTION("""COMPUTED_VALUE"""),4.0)</f>
        <v>4</v>
      </c>
      <c r="K517" s="54">
        <f>IFERROR(__xludf.DUMMYFUNCTION("""COMPUTED_VALUE"""),10.0)</f>
        <v>10</v>
      </c>
      <c r="L517" s="56">
        <f>IFERROR(__xludf.DUMMYFUNCTION("""COMPUTED_VALUE"""),0.2857142857142857)</f>
        <v>0.2857142857</v>
      </c>
      <c r="M517" s="56">
        <f>IFERROR(__xludf.DUMMYFUNCTION("""COMPUTED_VALUE"""),0.2857142857142857)</f>
        <v>0.2857142857</v>
      </c>
      <c r="N517" s="31">
        <f>IFERROR(__xludf.DUMMYFUNCTION("""COMPUTED_VALUE"""),342.0)</f>
        <v>342</v>
      </c>
      <c r="O517" s="57">
        <f>IFERROR(__xludf.DUMMYFUNCTION("""COMPUTED_VALUE"""),0.7142857142857143)</f>
        <v>0.7142857143</v>
      </c>
      <c r="P517" s="57">
        <f>IFERROR(__xludf.DUMMYFUNCTION("""COMPUTED_VALUE"""),0.5714285714285714)</f>
        <v>0.5714285714</v>
      </c>
      <c r="Q517" s="57">
        <f>IFERROR(__xludf.DUMMYFUNCTION("""COMPUTED_VALUE"""),1.1428571428571428)</f>
        <v>1.142857143</v>
      </c>
      <c r="R517" s="57">
        <f>IFERROR(__xludf.DUMMYFUNCTION("""COMPUTED_VALUE"""),2.5)</f>
        <v>2.5</v>
      </c>
      <c r="S517" s="31">
        <f>IFERROR(__xludf.DUMMYFUNCTION("""COMPUTED_VALUE"""),358.4047619047619)</f>
        <v>358.4047619</v>
      </c>
      <c r="T517" s="57">
        <f>IFERROR(__xludf.DUMMYFUNCTION("""COMPUTED_VALUE"""),0.9285714285714287)</f>
        <v>0.9285714286</v>
      </c>
      <c r="U517" s="57">
        <f>IFERROR(__xludf.DUMMYFUNCTION("""COMPUTED_VALUE"""),0.6904761904761905)</f>
        <v>0.6904761905</v>
      </c>
      <c r="V517" s="57">
        <f>IFERROR(__xludf.DUMMYFUNCTION("""COMPUTED_VALUE"""),1.4047619047619047)</f>
        <v>1.404761905</v>
      </c>
      <c r="W517" s="57">
        <f>IFERROR(__xludf.DUMMYFUNCTION("""COMPUTED_VALUE"""),2.3095238095238098)</f>
        <v>2.30952381</v>
      </c>
      <c r="X517" s="31">
        <f>IFERROR(__xludf.DUMMYFUNCTION("""COMPUTED_VALUE"""),339.23801406470693)</f>
        <v>339.2380141</v>
      </c>
      <c r="Y517" s="57">
        <f>IFERROR(__xludf.DUMMYFUNCTION("""COMPUTED_VALUE"""),0.8551570383750814)</f>
        <v>0.8551570384</v>
      </c>
      <c r="Z517" s="57">
        <f>IFERROR(__xludf.DUMMYFUNCTION("""COMPUTED_VALUE"""),0.6130845047356218)</f>
        <v>0.6130845047</v>
      </c>
      <c r="AA517" s="57">
        <f>IFERROR(__xludf.DUMMYFUNCTION("""COMPUTED_VALUE"""),1.0853329139988186)</f>
        <v>1.085332914</v>
      </c>
      <c r="AB517" s="57">
        <f>IFERROR(__xludf.DUMMYFUNCTION("""COMPUTED_VALUE"""),2.5200574021770348)</f>
        <v>2.520057402</v>
      </c>
      <c r="AC517" s="31">
        <f>IFERROR(__xludf.DUMMYFUNCTION("""COMPUTED_VALUE"""),325.1770902938738)</f>
        <v>325.1770903</v>
      </c>
      <c r="AD517" s="57">
        <f>IFERROR(__xludf.DUMMYFUNCTION("""COMPUTED_VALUE"""),0.7544581454747552)</f>
        <v>0.7544581455</v>
      </c>
      <c r="AE517" s="57">
        <f>IFERROR(__xludf.DUMMYFUNCTION("""COMPUTED_VALUE"""),0.49748999912615727)</f>
        <v>0.4974899991</v>
      </c>
      <c r="AF517" s="57">
        <f>IFERROR(__xludf.DUMMYFUNCTION("""COMPUTED_VALUE"""),1.2103753652174536)</f>
        <v>1.210375365</v>
      </c>
      <c r="AG517" s="57">
        <f>IFERROR(__xludf.DUMMYFUNCTION("""COMPUTED_VALUE"""),2.239568590667786)</f>
        <v>2.239568591</v>
      </c>
      <c r="AH517" s="57">
        <f>IFERROR(__xludf.DUMMYFUNCTION("""COMPUTED_VALUE"""),1.0517346092583668)</f>
        <v>1.051734609</v>
      </c>
      <c r="AI517" s="57">
        <f>IFERROR(__xludf.DUMMYFUNCTION("""COMPUTED_VALUE"""),0.9467532673217257)</f>
        <v>0.9467532673</v>
      </c>
      <c r="AJ517" s="57">
        <f>IFERROR(__xludf.DUMMYFUNCTION("""COMPUTED_VALUE"""),1.1486232334967286)</f>
        <v>1.148623233</v>
      </c>
      <c r="AK517" s="57">
        <f>IFERROR(__xludf.DUMMYFUNCTION("""COMPUTED_VALUE"""),0.9442171211505279)</f>
        <v>0.9442171212</v>
      </c>
      <c r="AL517" s="57">
        <f>IFERROR(__xludf.DUMMYFUNCTION("""COMPUTED_VALUE"""),1.1162864180259644)</f>
        <v>1.116286418</v>
      </c>
      <c r="AM517" s="57">
        <f>IFERROR(__xludf.DUMMYFUNCTION("""COMPUTED_VALUE"""),1.0564994105772565)</f>
        <v>1.056499411</v>
      </c>
      <c r="AN517" s="57">
        <f>IFERROR(__xludf.DUMMYFUNCTION("""COMPUTED_VALUE"""),1.0858490159139016)</f>
        <v>1.085849016</v>
      </c>
      <c r="AO517" s="57">
        <f>IFERROR(__xludf.DUMMYFUNCTION("""COMPUTED_VALUE"""),1.126233309018211)</f>
        <v>1.126233309</v>
      </c>
      <c r="AP517" s="35">
        <f>IFERROR(__xludf.DUMMYFUNCTION("""COMPUTED_VALUE"""),1.2943142943911805)</f>
        <v>1.294314294</v>
      </c>
      <c r="AQ517" s="57">
        <f>IFERROR(__xludf.DUMMYFUNCTION("""COMPUTED_VALUE"""),0.9164568265503203)</f>
        <v>0.9164568266</v>
      </c>
      <c r="AR517" s="36" t="b">
        <f>IFERROR(__xludf.DUMMYFUNCTION("""COMPUTED_VALUE"""),TRUE)</f>
        <v>1</v>
      </c>
      <c r="AS517" s="57"/>
      <c r="AT517" s="37"/>
      <c r="AU517" s="30"/>
      <c r="AV517" s="30"/>
      <c r="AW517" s="30"/>
      <c r="AX517" s="30"/>
      <c r="AY517" s="30"/>
      <c r="AZ517" s="30"/>
    </row>
    <row r="518">
      <c r="A518" s="30" t="str">
        <f>IFERROR(__xludf.DUMMYFUNCTION("""COMPUTED_VALUE"""),"Prospect")</f>
        <v>Prospect</v>
      </c>
      <c r="B518" s="30" t="str">
        <f>IFERROR(__xludf.DUMMYFUNCTION("""COMPUTED_VALUE"""),"RSC003374")</f>
        <v>RSC003374</v>
      </c>
      <c r="C518" s="30" t="str">
        <f>IFERROR(__xludf.DUMMYFUNCTION("""COMPUTED_VALUE"""),"Raisonbran")</f>
        <v>Raisonbran</v>
      </c>
      <c r="D518" s="31" t="str">
        <f>IFERROR(__xludf.DUMMYFUNCTION("""COMPUTED_VALUE"""),"Skeletons")</f>
        <v>Skeletons</v>
      </c>
      <c r="E518" s="31">
        <f>IFERROR(__xludf.DUMMYFUNCTION("""COMPUTED_VALUE"""),54.31639482777355)</f>
        <v>54.31639483</v>
      </c>
      <c r="F518" s="31">
        <f>IFERROR(__xludf.DUMMYFUNCTION("""COMPUTED_VALUE"""),2.3177065995741115)</f>
        <v>2.3177066</v>
      </c>
      <c r="G518" s="31">
        <f>IFERROR(__xludf.DUMMYFUNCTION("""COMPUTED_VALUE"""),42.020945092796524)</f>
        <v>42.02094509</v>
      </c>
      <c r="H518" s="31">
        <f>IFERROR(__xludf.DUMMYFUNCTION("""COMPUTED_VALUE"""),-2.6680771118888416)</f>
        <v>-2.668077112</v>
      </c>
      <c r="I518" s="54">
        <f>IFERROR(__xludf.DUMMYFUNCTION("""COMPUTED_VALUE"""),38.0)</f>
        <v>38</v>
      </c>
      <c r="J518" s="55">
        <f>IFERROR(__xludf.DUMMYFUNCTION("""COMPUTED_VALUE"""),17.0)</f>
        <v>17</v>
      </c>
      <c r="K518" s="54">
        <f>IFERROR(__xludf.DUMMYFUNCTION("""COMPUTED_VALUE"""),21.0)</f>
        <v>21</v>
      </c>
      <c r="L518" s="56">
        <f>IFERROR(__xludf.DUMMYFUNCTION("""COMPUTED_VALUE"""),0.4473684210526316)</f>
        <v>0.4473684211</v>
      </c>
      <c r="M518" s="56">
        <f>IFERROR(__xludf.DUMMYFUNCTION("""COMPUTED_VALUE"""),0.3626373626373626)</f>
        <v>0.3626373626</v>
      </c>
      <c r="N518" s="31">
        <f>IFERROR(__xludf.DUMMYFUNCTION("""COMPUTED_VALUE"""),332.4736842105263)</f>
        <v>332.4736842</v>
      </c>
      <c r="O518" s="57">
        <f>IFERROR(__xludf.DUMMYFUNCTION("""COMPUTED_VALUE"""),0.868421052631579)</f>
        <v>0.8684210526</v>
      </c>
      <c r="P518" s="57">
        <f>IFERROR(__xludf.DUMMYFUNCTION("""COMPUTED_VALUE"""),0.3157894736842105)</f>
        <v>0.3157894737</v>
      </c>
      <c r="Q518" s="57">
        <f>IFERROR(__xludf.DUMMYFUNCTION("""COMPUTED_VALUE"""),1.2894736842105263)</f>
        <v>1.289473684</v>
      </c>
      <c r="R518" s="57">
        <f>IFERROR(__xludf.DUMMYFUNCTION("""COMPUTED_VALUE"""),2.3947368421052633)</f>
        <v>2.394736842</v>
      </c>
      <c r="S518" s="31">
        <f>IFERROR(__xludf.DUMMYFUNCTION("""COMPUTED_VALUE"""),321.83333333333337)</f>
        <v>321.8333333</v>
      </c>
      <c r="T518" s="57">
        <f>IFERROR(__xludf.DUMMYFUNCTION("""COMPUTED_VALUE"""),0.7982456140350876)</f>
        <v>0.798245614</v>
      </c>
      <c r="U518" s="57">
        <f>IFERROR(__xludf.DUMMYFUNCTION("""COMPUTED_VALUE"""),0.48245614035087736)</f>
        <v>0.4824561404</v>
      </c>
      <c r="V518" s="57">
        <f>IFERROR(__xludf.DUMMYFUNCTION("""COMPUTED_VALUE"""),1.0877192982456139)</f>
        <v>1.087719298</v>
      </c>
      <c r="W518" s="57">
        <f>IFERROR(__xludf.DUMMYFUNCTION("""COMPUTED_VALUE"""),2.5614035087719302)</f>
        <v>2.561403509</v>
      </c>
      <c r="X518" s="31">
        <f>IFERROR(__xludf.DUMMYFUNCTION("""COMPUTED_VALUE"""),329.59903850540866)</f>
        <v>329.5990385</v>
      </c>
      <c r="Y518" s="57">
        <f>IFERROR(__xludf.DUMMYFUNCTION("""COMPUTED_VALUE"""),0.7969843683507623)</f>
        <v>0.7969843684</v>
      </c>
      <c r="Z518" s="57">
        <f>IFERROR(__xludf.DUMMYFUNCTION("""COMPUTED_VALUE"""),0.5323429906926953)</f>
        <v>0.5323429907</v>
      </c>
      <c r="AA518" s="57">
        <f>IFERROR(__xludf.DUMMYFUNCTION("""COMPUTED_VALUE"""),1.143488144570025)</f>
        <v>1.143488145</v>
      </c>
      <c r="AB518" s="57">
        <f>IFERROR(__xludf.DUMMYFUNCTION("""COMPUTED_VALUE"""),2.3839399322293557)</f>
        <v>2.383939932</v>
      </c>
      <c r="AC518" s="31">
        <f>IFERROR(__xludf.DUMMYFUNCTION("""COMPUTED_VALUE"""),333.6239513967076)</f>
        <v>333.6239514</v>
      </c>
      <c r="AD518" s="57">
        <f>IFERROR(__xludf.DUMMYFUNCTION("""COMPUTED_VALUE"""),0.8015910260724886)</f>
        <v>0.8015910261</v>
      </c>
      <c r="AE518" s="57">
        <f>IFERROR(__xludf.DUMMYFUNCTION("""COMPUTED_VALUE"""),0.5316669196974497)</f>
        <v>0.5316669197</v>
      </c>
      <c r="AF518" s="57">
        <f>IFERROR(__xludf.DUMMYFUNCTION("""COMPUTED_VALUE"""),1.178233836024162)</f>
        <v>1.178233836</v>
      </c>
      <c r="AG518" s="57">
        <f>IFERROR(__xludf.DUMMYFUNCTION("""COMPUTED_VALUE"""),2.3801377795986363)</f>
        <v>2.38013778</v>
      </c>
      <c r="AH518" s="57">
        <f>IFERROR(__xludf.DUMMYFUNCTION("""COMPUTED_VALUE"""),0.9965522044164823)</f>
        <v>0.9965522044</v>
      </c>
      <c r="AI518" s="57">
        <f>IFERROR(__xludf.DUMMYFUNCTION("""COMPUTED_VALUE"""),1.083371724963706)</f>
        <v>1.083371725</v>
      </c>
      <c r="AJ518" s="57">
        <f>IFERROR(__xludf.DUMMYFUNCTION("""COMPUTED_VALUE"""),0.5939611098315344)</f>
        <v>0.5939611098</v>
      </c>
      <c r="AK518" s="57">
        <f>IFERROR(__xludf.DUMMYFUNCTION("""COMPUTED_VALUE"""),1.0944123694170358)</f>
        <v>1.094412369</v>
      </c>
      <c r="AL518" s="57">
        <f>IFERROR(__xludf.DUMMYFUNCTION("""COMPUTED_VALUE"""),1.006133704792959)</f>
        <v>1.006133705</v>
      </c>
      <c r="AM518" s="57">
        <f>IFERROR(__xludf.DUMMYFUNCTION("""COMPUTED_VALUE"""),0.9764389325670079)</f>
        <v>0.9764389326</v>
      </c>
      <c r="AN518" s="57">
        <f>IFERROR(__xludf.DUMMYFUNCTION("""COMPUTED_VALUE"""),1.0015825224865267)</f>
        <v>1.001582522</v>
      </c>
      <c r="AO518" s="57">
        <f>IFERROR(__xludf.DUMMYFUNCTION("""COMPUTED_VALUE"""),0.9062881427688112)</f>
        <v>0.9062881428</v>
      </c>
      <c r="AP518" s="35">
        <f>IFERROR(__xludf.DUMMYFUNCTION("""COMPUTED_VALUE"""),0.9512291871242956)</f>
        <v>0.9512291871</v>
      </c>
      <c r="AQ518" s="57">
        <f>IFERROR(__xludf.DUMMYFUNCTION("""COMPUTED_VALUE"""),1.0744412953293745)</f>
        <v>1.074441295</v>
      </c>
      <c r="AR518" s="36" t="b">
        <f>IFERROR(__xludf.DUMMYFUNCTION("""COMPUTED_VALUE"""),TRUE)</f>
        <v>1</v>
      </c>
      <c r="AS518" s="57"/>
      <c r="AT518" s="37"/>
      <c r="AU518" s="30"/>
      <c r="AV518" s="30"/>
      <c r="AW518" s="30"/>
      <c r="AX518" s="30"/>
      <c r="AY518" s="30"/>
      <c r="AZ518" s="30"/>
    </row>
    <row r="519">
      <c r="A519" s="30" t="str">
        <f>IFERROR(__xludf.DUMMYFUNCTION("""COMPUTED_VALUE"""),"Prospect")</f>
        <v>Prospect</v>
      </c>
      <c r="B519" s="30" t="str">
        <f>IFERROR(__xludf.DUMMYFUNCTION("""COMPUTED_VALUE"""),"RSC006966")</f>
        <v>RSC006966</v>
      </c>
      <c r="C519" s="30" t="str">
        <f>IFERROR(__xludf.DUMMYFUNCTION("""COMPUTED_VALUE"""),"Pivot97")</f>
        <v>Pivot97</v>
      </c>
      <c r="D519" s="31" t="str">
        <f>IFERROR(__xludf.DUMMYFUNCTION("""COMPUTED_VALUE"""),"Prism Proteges")</f>
        <v>Prism Proteges</v>
      </c>
      <c r="E519" s="31">
        <f>IFERROR(__xludf.DUMMYFUNCTION("""COMPUTED_VALUE"""),54.293387511430296)</f>
        <v>54.29338751</v>
      </c>
      <c r="F519" s="31">
        <f>IFERROR(__xludf.DUMMYFUNCTION("""COMPUTED_VALUE"""),2.3157650421026874)</f>
        <v>2.315765042</v>
      </c>
      <c r="G519" s="31">
        <f>IFERROR(__xludf.DUMMYFUNCTION("""COMPUTED_VALUE"""),40.843411815844156)</f>
        <v>40.84341182</v>
      </c>
      <c r="H519" s="31">
        <f>IFERROR(__xludf.DUMMYFUNCTION("""COMPUTED_VALUE"""),-2.800459781055349)</f>
        <v>-2.800459781</v>
      </c>
      <c r="I519" s="54">
        <f>IFERROR(__xludf.DUMMYFUNCTION("""COMPUTED_VALUE"""),34.0)</f>
        <v>34</v>
      </c>
      <c r="J519" s="55">
        <f>IFERROR(__xludf.DUMMYFUNCTION("""COMPUTED_VALUE"""),17.0)</f>
        <v>17</v>
      </c>
      <c r="K519" s="54">
        <f>IFERROR(__xludf.DUMMYFUNCTION("""COMPUTED_VALUE"""),17.0)</f>
        <v>17</v>
      </c>
      <c r="L519" s="56">
        <f>IFERROR(__xludf.DUMMYFUNCTION("""COMPUTED_VALUE"""),0.5)</f>
        <v>0.5</v>
      </c>
      <c r="M519" s="56">
        <f>IFERROR(__xludf.DUMMYFUNCTION("""COMPUTED_VALUE"""),0.3170731707317073)</f>
        <v>0.3170731707</v>
      </c>
      <c r="N519" s="31">
        <f>IFERROR(__xludf.DUMMYFUNCTION("""COMPUTED_VALUE"""),314.3529411764706)</f>
        <v>314.3529412</v>
      </c>
      <c r="O519" s="57">
        <f>IFERROR(__xludf.DUMMYFUNCTION("""COMPUTED_VALUE"""),0.7647058823529411)</f>
        <v>0.7647058824</v>
      </c>
      <c r="P519" s="57">
        <f>IFERROR(__xludf.DUMMYFUNCTION("""COMPUTED_VALUE"""),0.47058823529411764)</f>
        <v>0.4705882353</v>
      </c>
      <c r="Q519" s="57">
        <f>IFERROR(__xludf.DUMMYFUNCTION("""COMPUTED_VALUE"""),1.2058823529411764)</f>
        <v>1.205882353</v>
      </c>
      <c r="R519" s="57">
        <f>IFERROR(__xludf.DUMMYFUNCTION("""COMPUTED_VALUE"""),2.411764705882353)</f>
        <v>2.411764706</v>
      </c>
      <c r="S519" s="31">
        <f>IFERROR(__xludf.DUMMYFUNCTION("""COMPUTED_VALUE"""),332.7941176470589)</f>
        <v>332.7941176</v>
      </c>
      <c r="T519" s="57">
        <f>IFERROR(__xludf.DUMMYFUNCTION("""COMPUTED_VALUE"""),0.6960784313725489)</f>
        <v>0.6960784314</v>
      </c>
      <c r="U519" s="57">
        <f>IFERROR(__xludf.DUMMYFUNCTION("""COMPUTED_VALUE"""),0.47058823529411775)</f>
        <v>0.4705882353</v>
      </c>
      <c r="V519" s="57">
        <f>IFERROR(__xludf.DUMMYFUNCTION("""COMPUTED_VALUE"""),1.3039215686274506)</f>
        <v>1.303921569</v>
      </c>
      <c r="W519" s="57">
        <f>IFERROR(__xludf.DUMMYFUNCTION("""COMPUTED_VALUE"""),2.4705882352941186)</f>
        <v>2.470588235</v>
      </c>
      <c r="X519" s="31">
        <f>IFERROR(__xludf.DUMMYFUNCTION("""COMPUTED_VALUE"""),340.6148246669525)</f>
        <v>340.6148247</v>
      </c>
      <c r="Y519" s="57">
        <f>IFERROR(__xludf.DUMMYFUNCTION("""COMPUTED_VALUE"""),0.8123567936448544)</f>
        <v>0.8123567936</v>
      </c>
      <c r="Z519" s="57">
        <f>IFERROR(__xludf.DUMMYFUNCTION("""COMPUTED_VALUE"""),0.5080236751653889)</f>
        <v>0.5080236752</v>
      </c>
      <c r="AA519" s="57">
        <f>IFERROR(__xludf.DUMMYFUNCTION("""COMPUTED_VALUE"""),1.2252141127350715)</f>
        <v>1.225214113</v>
      </c>
      <c r="AB519" s="57">
        <f>IFERROR(__xludf.DUMMYFUNCTION("""COMPUTED_VALUE"""),2.4177449554065564)</f>
        <v>2.417744955</v>
      </c>
      <c r="AC519" s="31">
        <f>IFERROR(__xludf.DUMMYFUNCTION("""COMPUTED_VALUE"""),333.41225793112676)</f>
        <v>333.4122579</v>
      </c>
      <c r="AD519" s="57">
        <f>IFERROR(__xludf.DUMMYFUNCTION("""COMPUTED_VALUE"""),0.7850718841457563)</f>
        <v>0.7850718841</v>
      </c>
      <c r="AE519" s="57">
        <f>IFERROR(__xludf.DUMMYFUNCTION("""COMPUTED_VALUE"""),0.5154279278599965)</f>
        <v>0.5154279279</v>
      </c>
      <c r="AF519" s="57">
        <f>IFERROR(__xludf.DUMMYFUNCTION("""COMPUTED_VALUE"""),1.1736399313828185)</f>
        <v>1.173639931</v>
      </c>
      <c r="AG519" s="57">
        <f>IFERROR(__xludf.DUMMYFUNCTION("""COMPUTED_VALUE"""),2.5022265548044946)</f>
        <v>2.502226555</v>
      </c>
      <c r="AH519" s="57">
        <f>IFERROR(__xludf.DUMMYFUNCTION("""COMPUTED_VALUE"""),0.9428355847714716)</f>
        <v>0.9428355848</v>
      </c>
      <c r="AI519" s="57">
        <f>IFERROR(__xludf.DUMMYFUNCTION("""COMPUTED_VALUE"""),0.9740584241977082)</f>
        <v>0.9740584242</v>
      </c>
      <c r="AJ519" s="57">
        <f>IFERROR(__xludf.DUMMYFUNCTION("""COMPUTED_VALUE"""),0.9130049224300891)</f>
        <v>0.9130049224</v>
      </c>
      <c r="AK519" s="57">
        <f>IFERROR(__xludf.DUMMYFUNCTION("""COMPUTED_VALUE"""),1.027472157938908)</f>
        <v>1.027472158</v>
      </c>
      <c r="AL519" s="57">
        <f>IFERROR(__xludf.DUMMYFUNCTION("""COMPUTED_VALUE"""),0.9638474586769743)</f>
        <v>0.9638474587</v>
      </c>
      <c r="AM519" s="57">
        <f>IFERROR(__xludf.DUMMYFUNCTION("""COMPUTED_VALUE"""),0.9770394402899506)</f>
        <v>0.9770394403</v>
      </c>
      <c r="AN519" s="57">
        <f>IFERROR(__xludf.DUMMYFUNCTION("""COMPUTED_VALUE"""),0.8568629410353156)</f>
        <v>0.856862941</v>
      </c>
      <c r="AO519" s="57">
        <f>IFERROR(__xludf.DUMMYFUNCTION("""COMPUTED_VALUE"""),0.9263116234512419)</f>
        <v>0.9263116235</v>
      </c>
      <c r="AP519" s="35">
        <f>IFERROR(__xludf.DUMMYFUNCTION("""COMPUTED_VALUE"""),1.0642397561979422)</f>
        <v>1.064239756</v>
      </c>
      <c r="AQ519" s="57">
        <f>IFERROR(__xludf.DUMMYFUNCTION("""COMPUTED_VALUE"""),1.0218564326933635)</f>
        <v>1.021856433</v>
      </c>
      <c r="AR519" s="36" t="b">
        <f>IFERROR(__xludf.DUMMYFUNCTION("""COMPUTED_VALUE"""),TRUE)</f>
        <v>1</v>
      </c>
      <c r="AS519" s="57"/>
      <c r="AT519" s="37"/>
      <c r="AU519" s="30"/>
      <c r="AV519" s="30"/>
      <c r="AW519" s="30"/>
      <c r="AX519" s="30"/>
      <c r="AY519" s="30"/>
      <c r="AZ519" s="30"/>
    </row>
    <row r="520">
      <c r="A520" s="30" t="str">
        <f>IFERROR(__xludf.DUMMYFUNCTION("""COMPUTED_VALUE"""),"Prospect")</f>
        <v>Prospect</v>
      </c>
      <c r="B520" s="30" t="str">
        <f>IFERROR(__xludf.DUMMYFUNCTION("""COMPUTED_VALUE"""),"RSC005139")</f>
        <v>RSC005139</v>
      </c>
      <c r="C520" s="30" t="str">
        <f>IFERROR(__xludf.DUMMYFUNCTION("""COMPUTED_VALUE"""),"brillo_padd")</f>
        <v>brillo_padd</v>
      </c>
      <c r="D520" s="31" t="str">
        <f>IFERROR(__xludf.DUMMYFUNCTION("""COMPUTED_VALUE"""),"Principales")</f>
        <v>Principales</v>
      </c>
      <c r="E520" s="31">
        <f>IFERROR(__xludf.DUMMYFUNCTION("""COMPUTED_VALUE"""),54.190581166900415)</f>
        <v>54.19058117</v>
      </c>
      <c r="F520" s="31">
        <f>IFERROR(__xludf.DUMMYFUNCTION("""COMPUTED_VALUE"""),2.307125247121689)</f>
        <v>2.307125247</v>
      </c>
      <c r="G520" s="31">
        <f>IFERROR(__xludf.DUMMYFUNCTION("""COMPUTED_VALUE"""),51.494925919829626)</f>
        <v>51.49492592</v>
      </c>
      <c r="H520" s="31">
        <f>IFERROR(__xludf.DUMMYFUNCTION("""COMPUTED_VALUE"""),2.1001403945225245)</f>
        <v>2.100140395</v>
      </c>
      <c r="I520" s="54">
        <f>IFERROR(__xludf.DUMMYFUNCTION("""COMPUTED_VALUE"""),46.0)</f>
        <v>46</v>
      </c>
      <c r="J520" s="55">
        <f>IFERROR(__xludf.DUMMYFUNCTION("""COMPUTED_VALUE"""),17.0)</f>
        <v>17</v>
      </c>
      <c r="K520" s="54">
        <f>IFERROR(__xludf.DUMMYFUNCTION("""COMPUTED_VALUE"""),29.0)</f>
        <v>29</v>
      </c>
      <c r="L520" s="56">
        <f>IFERROR(__xludf.DUMMYFUNCTION("""COMPUTED_VALUE"""),0.3695652173913043)</f>
        <v>0.3695652174</v>
      </c>
      <c r="M520" s="56">
        <f>IFERROR(__xludf.DUMMYFUNCTION("""COMPUTED_VALUE"""),0.3391304347826087)</f>
        <v>0.3391304348</v>
      </c>
      <c r="N520" s="31">
        <f>IFERROR(__xludf.DUMMYFUNCTION("""COMPUTED_VALUE"""),319.2608695652174)</f>
        <v>319.2608696</v>
      </c>
      <c r="O520" s="57">
        <f>IFERROR(__xludf.DUMMYFUNCTION("""COMPUTED_VALUE"""),0.8478260869565217)</f>
        <v>0.847826087</v>
      </c>
      <c r="P520" s="57">
        <f>IFERROR(__xludf.DUMMYFUNCTION("""COMPUTED_VALUE"""),0.43478260869565216)</f>
        <v>0.4347826087</v>
      </c>
      <c r="Q520" s="57">
        <f>IFERROR(__xludf.DUMMYFUNCTION("""COMPUTED_VALUE"""),1.1304347826086956)</f>
        <v>1.130434783</v>
      </c>
      <c r="R520" s="57">
        <f>IFERROR(__xludf.DUMMYFUNCTION("""COMPUTED_VALUE"""),2.5)</f>
        <v>2.5</v>
      </c>
      <c r="S520" s="31">
        <f>IFERROR(__xludf.DUMMYFUNCTION("""COMPUTED_VALUE"""),345.42753623188406)</f>
        <v>345.4275362</v>
      </c>
      <c r="T520" s="57">
        <f>IFERROR(__xludf.DUMMYFUNCTION("""COMPUTED_VALUE"""),0.9710144927536233)</f>
        <v>0.9710144928</v>
      </c>
      <c r="U520" s="57">
        <f>IFERROR(__xludf.DUMMYFUNCTION("""COMPUTED_VALUE"""),0.6231884057971014)</f>
        <v>0.6231884058</v>
      </c>
      <c r="V520" s="57">
        <f>IFERROR(__xludf.DUMMYFUNCTION("""COMPUTED_VALUE"""),0.9782608695652174)</f>
        <v>0.9782608696</v>
      </c>
      <c r="W520" s="57">
        <f>IFERROR(__xludf.DUMMYFUNCTION("""COMPUTED_VALUE"""),2.4782608695652173)</f>
        <v>2.47826087</v>
      </c>
      <c r="X520" s="31">
        <f>IFERROR(__xludf.DUMMYFUNCTION("""COMPUTED_VALUE"""),337.5130867434752)</f>
        <v>337.5130867</v>
      </c>
      <c r="Y520" s="57">
        <f>IFERROR(__xludf.DUMMYFUNCTION("""COMPUTED_VALUE"""),0.799960098930196)</f>
        <v>0.7999600989</v>
      </c>
      <c r="Z520" s="57">
        <f>IFERROR(__xludf.DUMMYFUNCTION("""COMPUTED_VALUE"""),0.5904915193502908)</f>
        <v>0.5904915194</v>
      </c>
      <c r="AA520" s="57">
        <f>IFERROR(__xludf.DUMMYFUNCTION("""COMPUTED_VALUE"""),1.1499947216554083)</f>
        <v>1.149994722</v>
      </c>
      <c r="AB520" s="57">
        <f>IFERROR(__xludf.DUMMYFUNCTION("""COMPUTED_VALUE"""),2.4716204560042687)</f>
        <v>2.471620456</v>
      </c>
      <c r="AC520" s="31">
        <f>IFERROR(__xludf.DUMMYFUNCTION("""COMPUTED_VALUE"""),333.04033547733906)</f>
        <v>333.0403355</v>
      </c>
      <c r="AD520" s="57">
        <f>IFERROR(__xludf.DUMMYFUNCTION("""COMPUTED_VALUE"""),0.7805019924738015)</f>
        <v>0.7805019925</v>
      </c>
      <c r="AE520" s="57">
        <f>IFERROR(__xludf.DUMMYFUNCTION("""COMPUTED_VALUE"""),0.518729049252478)</f>
        <v>0.5187290493</v>
      </c>
      <c r="AF520" s="57">
        <f>IFERROR(__xludf.DUMMYFUNCTION("""COMPUTED_VALUE"""),1.21323518273306)</f>
        <v>1.213235183</v>
      </c>
      <c r="AG520" s="57">
        <f>IFERROR(__xludf.DUMMYFUNCTION("""COMPUTED_VALUE"""),2.3664308535080356)</f>
        <v>2.366430854</v>
      </c>
      <c r="AH520" s="57">
        <f>IFERROR(__xludf.DUMMYFUNCTION("""COMPUTED_VALUE"""),0.9586252341105413)</f>
        <v>0.9586252341</v>
      </c>
      <c r="AI520" s="57">
        <f>IFERROR(__xludf.DUMMYFUNCTION("""COMPUTED_VALUE"""),1.0862574280807875)</f>
        <v>1.086257428</v>
      </c>
      <c r="AJ520" s="57">
        <f>IFERROR(__xludf.DUMMYFUNCTION("""COMPUTED_VALUE"""),0.8381690004101408)</f>
        <v>0.8381690004</v>
      </c>
      <c r="AK520" s="57">
        <f>IFERROR(__xludf.DUMMYFUNCTION("""COMPUTED_VALUE"""),0.9317523912075812)</f>
        <v>0.9317523912</v>
      </c>
      <c r="AL520" s="57">
        <f>IFERROR(__xludf.DUMMYFUNCTION("""COMPUTED_VALUE"""),1.056443291505416)</f>
        <v>1.056443292</v>
      </c>
      <c r="AM520" s="57">
        <f>IFERROR(__xludf.DUMMYFUNCTION("""COMPUTED_VALUE"""),1.0234493114467713)</f>
        <v>1.023449311</v>
      </c>
      <c r="AN520" s="57">
        <f>IFERROR(__xludf.DUMMYFUNCTION("""COMPUTED_VALUE"""),1.2138286572695087)</f>
        <v>1.213828657</v>
      </c>
      <c r="AO520" s="57">
        <f>IFERROR(__xludf.DUMMYFUNCTION("""COMPUTED_VALUE"""),1.0553723218290867)</f>
        <v>1.055372322</v>
      </c>
      <c r="AP520" s="35">
        <f>IFERROR(__xludf.DUMMYFUNCTION("""COMPUTED_VALUE"""),0.8506655301487112)</f>
        <v>0.8506655301</v>
      </c>
      <c r="AQ520" s="57">
        <f>IFERROR(__xludf.DUMMYFUNCTION("""COMPUTED_VALUE"""),1.0026866639434129)</f>
        <v>1.002686664</v>
      </c>
      <c r="AR520" s="36" t="b">
        <f>IFERROR(__xludf.DUMMYFUNCTION("""COMPUTED_VALUE"""),TRUE)</f>
        <v>1</v>
      </c>
      <c r="AS520" s="57"/>
      <c r="AT520" s="37"/>
      <c r="AU520" s="30"/>
      <c r="AV520" s="30"/>
      <c r="AW520" s="30"/>
      <c r="AX520" s="30"/>
      <c r="AY520" s="30"/>
      <c r="AZ520" s="30"/>
    </row>
    <row r="521">
      <c r="A521" s="30" t="str">
        <f>IFERROR(__xludf.DUMMYFUNCTION("""COMPUTED_VALUE"""),"Prospect")</f>
        <v>Prospect</v>
      </c>
      <c r="B521" s="30" t="str">
        <f>IFERROR(__xludf.DUMMYFUNCTION("""COMPUTED_VALUE"""),"RSC006934")</f>
        <v>RSC006934</v>
      </c>
      <c r="C521" s="30" t="str">
        <f>IFERROR(__xludf.DUMMYFUNCTION("""COMPUTED_VALUE"""),"TPM_CheezeTV")</f>
        <v>TPM_CheezeTV</v>
      </c>
      <c r="D521" s="31" t="str">
        <f>IFERROR(__xludf.DUMMYFUNCTION("""COMPUTED_VALUE"""),"Gloom")</f>
        <v>Gloom</v>
      </c>
      <c r="E521" s="31">
        <f>IFERROR(__xludf.DUMMYFUNCTION("""COMPUTED_VALUE"""),53.739091507733995)</f>
        <v>53.73909151</v>
      </c>
      <c r="F521" s="31">
        <f>IFERROR(__xludf.DUMMYFUNCTION("""COMPUTED_VALUE"""),2.269867032642601)</f>
        <v>2.269867033</v>
      </c>
      <c r="G521" s="31">
        <f>IFERROR(__xludf.DUMMYFUNCTION("""COMPUTED_VALUE"""),27.97681278030232)</f>
        <v>27.97681278</v>
      </c>
      <c r="H521" s="31">
        <f>IFERROR(__xludf.DUMMYFUNCTION("""COMPUTED_VALUE"""),-5.286011995115067)</f>
        <v>-5.286011995</v>
      </c>
      <c r="I521" s="54">
        <f>IFERROR(__xludf.DUMMYFUNCTION("""COMPUTED_VALUE"""),13.0)</f>
        <v>13</v>
      </c>
      <c r="J521" s="55">
        <f>IFERROR(__xludf.DUMMYFUNCTION("""COMPUTED_VALUE"""),8.0)</f>
        <v>8</v>
      </c>
      <c r="K521" s="54">
        <f>IFERROR(__xludf.DUMMYFUNCTION("""COMPUTED_VALUE"""),5.0)</f>
        <v>5</v>
      </c>
      <c r="L521" s="56">
        <f>IFERROR(__xludf.DUMMYFUNCTION("""COMPUTED_VALUE"""),0.6153846153846154)</f>
        <v>0.6153846154</v>
      </c>
      <c r="M521" s="56">
        <f>IFERROR(__xludf.DUMMYFUNCTION("""COMPUTED_VALUE"""),0.46153846153846156)</f>
        <v>0.4615384615</v>
      </c>
      <c r="N521" s="31">
        <f>IFERROR(__xludf.DUMMYFUNCTION("""COMPUTED_VALUE"""),312.3076923076923)</f>
        <v>312.3076923</v>
      </c>
      <c r="O521" s="57">
        <f>IFERROR(__xludf.DUMMYFUNCTION("""COMPUTED_VALUE"""),0.9230769230769231)</f>
        <v>0.9230769231</v>
      </c>
      <c r="P521" s="57">
        <f>IFERROR(__xludf.DUMMYFUNCTION("""COMPUTED_VALUE"""),0.23076923076923078)</f>
        <v>0.2307692308</v>
      </c>
      <c r="Q521" s="57">
        <f>IFERROR(__xludf.DUMMYFUNCTION("""COMPUTED_VALUE"""),1.0769230769230769)</f>
        <v>1.076923077</v>
      </c>
      <c r="R521" s="57">
        <f>IFERROR(__xludf.DUMMYFUNCTION("""COMPUTED_VALUE"""),2.0)</f>
        <v>2</v>
      </c>
      <c r="S521" s="31">
        <f>IFERROR(__xludf.DUMMYFUNCTION("""COMPUTED_VALUE"""),316.1794871794872)</f>
        <v>316.1794872</v>
      </c>
      <c r="T521" s="57">
        <f>IFERROR(__xludf.DUMMYFUNCTION("""COMPUTED_VALUE"""),0.6923076923076923)</f>
        <v>0.6923076923</v>
      </c>
      <c r="U521" s="57">
        <f>IFERROR(__xludf.DUMMYFUNCTION("""COMPUTED_VALUE"""),0.41025641025641024)</f>
        <v>0.4102564103</v>
      </c>
      <c r="V521" s="57">
        <f>IFERROR(__xludf.DUMMYFUNCTION("""COMPUTED_VALUE"""),1.2564102564102564)</f>
        <v>1.256410256</v>
      </c>
      <c r="W521" s="57">
        <f>IFERROR(__xludf.DUMMYFUNCTION("""COMPUTED_VALUE"""),2.6153846153846154)</f>
        <v>2.615384615</v>
      </c>
      <c r="X521" s="31">
        <f>IFERROR(__xludf.DUMMYFUNCTION("""COMPUTED_VALUE"""),343.7712284906622)</f>
        <v>343.7712285</v>
      </c>
      <c r="Y521" s="57">
        <f>IFERROR(__xludf.DUMMYFUNCTION("""COMPUTED_VALUE"""),0.8393996750832863)</f>
        <v>0.8393996751</v>
      </c>
      <c r="Z521" s="57">
        <f>IFERROR(__xludf.DUMMYFUNCTION("""COMPUTED_VALUE"""),0.5172974257432539)</f>
        <v>0.5172974257</v>
      </c>
      <c r="AA521" s="57">
        <f>IFERROR(__xludf.DUMMYFUNCTION("""COMPUTED_VALUE"""),1.2570297625683702)</f>
        <v>1.257029763</v>
      </c>
      <c r="AB521" s="57">
        <f>IFERROR(__xludf.DUMMYFUNCTION("""COMPUTED_VALUE"""),2.570123775335308)</f>
        <v>2.570123775</v>
      </c>
      <c r="AC521" s="31">
        <f>IFERROR(__xludf.DUMMYFUNCTION("""COMPUTED_VALUE"""),330.6455752592575)</f>
        <v>330.6455753</v>
      </c>
      <c r="AD521" s="57">
        <f>IFERROR(__xludf.DUMMYFUNCTION("""COMPUTED_VALUE"""),0.7423214694106126)</f>
        <v>0.7423214694</v>
      </c>
      <c r="AE521" s="57">
        <f>IFERROR(__xludf.DUMMYFUNCTION("""COMPUTED_VALUE"""),0.4745603259363576)</f>
        <v>0.4745603259</v>
      </c>
      <c r="AF521" s="57">
        <f>IFERROR(__xludf.DUMMYFUNCTION("""COMPUTED_VALUE"""),1.2534722958503837)</f>
        <v>1.253472296</v>
      </c>
      <c r="AG521" s="57">
        <f>IFERROR(__xludf.DUMMYFUNCTION("""COMPUTED_VALUE"""),2.4158174257759155)</f>
        <v>2.415817426</v>
      </c>
      <c r="AH521" s="57">
        <f>IFERROR(__xludf.DUMMYFUNCTION("""COMPUTED_VALUE"""),0.9445391551446393)</f>
        <v>0.9445391551</v>
      </c>
      <c r="AI521" s="57">
        <f>IFERROR(__xludf.DUMMYFUNCTION("""COMPUTED_VALUE"""),1.2435002369119492)</f>
        <v>1.243500237</v>
      </c>
      <c r="AJ521" s="57">
        <f>IFERROR(__xludf.DUMMYFUNCTION("""COMPUTED_VALUE"""),0.48628007474897683)</f>
        <v>0.4862800747</v>
      </c>
      <c r="AK521" s="57">
        <f>IFERROR(__xludf.DUMMYFUNCTION("""COMPUTED_VALUE"""),0.8591518779379708)</f>
        <v>0.8591518779</v>
      </c>
      <c r="AL521" s="57">
        <f>IFERROR(__xludf.DUMMYFUNCTION("""COMPUTED_VALUE"""),0.8278771312189029)</f>
        <v>0.8278771312</v>
      </c>
      <c r="AM521" s="57">
        <f>IFERROR(__xludf.DUMMYFUNCTION("""COMPUTED_VALUE"""),0.9197380728098817)</f>
        <v>0.9197380728</v>
      </c>
      <c r="AN521" s="57">
        <f>IFERROR(__xludf.DUMMYFUNCTION("""COMPUTED_VALUE"""),0.8247652612434008)</f>
        <v>0.8247652612</v>
      </c>
      <c r="AO521" s="57">
        <f>IFERROR(__xludf.DUMMYFUNCTION("""COMPUTED_VALUE"""),0.7930764582231452)</f>
        <v>0.7930764582</v>
      </c>
      <c r="AP521" s="35">
        <f>IFERROR(__xludf.DUMMYFUNCTION("""COMPUTED_VALUE"""),0.9995071666745201)</f>
        <v>0.9995071667</v>
      </c>
      <c r="AQ521" s="57">
        <f>IFERROR(__xludf.DUMMYFUNCTION("""COMPUTED_VALUE"""),1.017610373665137)</f>
        <v>1.017610374</v>
      </c>
      <c r="AR521" s="36" t="b">
        <f>IFERROR(__xludf.DUMMYFUNCTION("""COMPUTED_VALUE"""),TRUE)</f>
        <v>1</v>
      </c>
      <c r="AS521" s="57"/>
      <c r="AT521" s="37"/>
      <c r="AU521" s="30"/>
      <c r="AV521" s="30"/>
      <c r="AW521" s="30"/>
      <c r="AX521" s="30"/>
      <c r="AY521" s="30"/>
      <c r="AZ521" s="30"/>
    </row>
    <row r="522">
      <c r="A522" s="30" t="str">
        <f>IFERROR(__xludf.DUMMYFUNCTION("""COMPUTED_VALUE"""),"Prospect")</f>
        <v>Prospect</v>
      </c>
      <c r="B522" s="30" t="str">
        <f>IFERROR(__xludf.DUMMYFUNCTION("""COMPUTED_VALUE"""),"RSC005018")</f>
        <v>RSC005018</v>
      </c>
      <c r="C522" s="30" t="str">
        <f>IFERROR(__xludf.DUMMYFUNCTION("""COMPUTED_VALUE"""),"Smitty")</f>
        <v>Smitty</v>
      </c>
      <c r="D522" s="31" t="str">
        <f>IFERROR(__xludf.DUMMYFUNCTION("""COMPUTED_VALUE"""),"Hawaiian Pizza")</f>
        <v>Hawaiian Pizza</v>
      </c>
      <c r="E522" s="31">
        <f>IFERROR(__xludf.DUMMYFUNCTION("""COMPUTED_VALUE"""),53.72865072022222)</f>
        <v>53.72865072</v>
      </c>
      <c r="F522" s="31">
        <f>IFERROR(__xludf.DUMMYFUNCTION("""COMPUTED_VALUE"""),2.269018442702063)</f>
        <v>2.269018443</v>
      </c>
      <c r="G522" s="31">
        <f>IFERROR(__xludf.DUMMYFUNCTION("""COMPUTED_VALUE"""),52.25332362462178)</f>
        <v>52.25332362</v>
      </c>
      <c r="H522" s="31">
        <f>IFERROR(__xludf.DUMMYFUNCTION("""COMPUTED_VALUE"""),2.1547508222940426)</f>
        <v>2.154750822</v>
      </c>
      <c r="I522" s="54">
        <f>IFERROR(__xludf.DUMMYFUNCTION("""COMPUTED_VALUE"""),17.0)</f>
        <v>17</v>
      </c>
      <c r="J522" s="55">
        <f>IFERROR(__xludf.DUMMYFUNCTION("""COMPUTED_VALUE"""),10.0)</f>
        <v>10</v>
      </c>
      <c r="K522" s="54">
        <f>IFERROR(__xludf.DUMMYFUNCTION("""COMPUTED_VALUE"""),7.0)</f>
        <v>7</v>
      </c>
      <c r="L522" s="56">
        <f>IFERROR(__xludf.DUMMYFUNCTION("""COMPUTED_VALUE"""),0.5882352941176471)</f>
        <v>0.5882352941</v>
      </c>
      <c r="M522" s="56">
        <f>IFERROR(__xludf.DUMMYFUNCTION("""COMPUTED_VALUE"""),0.3055555555555556)</f>
        <v>0.3055555556</v>
      </c>
      <c r="N522" s="31">
        <f>IFERROR(__xludf.DUMMYFUNCTION("""COMPUTED_VALUE"""),293.52941176470586)</f>
        <v>293.5294118</v>
      </c>
      <c r="O522" s="57">
        <f>IFERROR(__xludf.DUMMYFUNCTION("""COMPUTED_VALUE"""),0.6470588235294118)</f>
        <v>0.6470588235</v>
      </c>
      <c r="P522" s="57">
        <f>IFERROR(__xludf.DUMMYFUNCTION("""COMPUTED_VALUE"""),0.5882352941176471)</f>
        <v>0.5882352941</v>
      </c>
      <c r="Q522" s="57">
        <f>IFERROR(__xludf.DUMMYFUNCTION("""COMPUTED_VALUE"""),1.0588235294117647)</f>
        <v>1.058823529</v>
      </c>
      <c r="R522" s="57">
        <f>IFERROR(__xludf.DUMMYFUNCTION("""COMPUTED_VALUE"""),2.1176470588235294)</f>
        <v>2.117647059</v>
      </c>
      <c r="S522" s="31">
        <f>IFERROR(__xludf.DUMMYFUNCTION("""COMPUTED_VALUE"""),270.6078431372549)</f>
        <v>270.6078431</v>
      </c>
      <c r="T522" s="57">
        <f>IFERROR(__xludf.DUMMYFUNCTION("""COMPUTED_VALUE"""),0.4901960784313725)</f>
        <v>0.4901960784</v>
      </c>
      <c r="U522" s="57">
        <f>IFERROR(__xludf.DUMMYFUNCTION("""COMPUTED_VALUE"""),0.3529411764705882)</f>
        <v>0.3529411765</v>
      </c>
      <c r="V522" s="57">
        <f>IFERROR(__xludf.DUMMYFUNCTION("""COMPUTED_VALUE"""),1.0)</f>
        <v>1</v>
      </c>
      <c r="W522" s="57">
        <f>IFERROR(__xludf.DUMMYFUNCTION("""COMPUTED_VALUE"""),1.9411764705882353)</f>
        <v>1.941176471</v>
      </c>
      <c r="X522" s="31">
        <f>IFERROR(__xludf.DUMMYFUNCTION("""COMPUTED_VALUE"""),324.6537927811954)</f>
        <v>324.6537928</v>
      </c>
      <c r="Y522" s="57">
        <f>IFERROR(__xludf.DUMMYFUNCTION("""COMPUTED_VALUE"""),0.7430464947137376)</f>
        <v>0.7430464947</v>
      </c>
      <c r="Z522" s="57">
        <f>IFERROR(__xludf.DUMMYFUNCTION("""COMPUTED_VALUE"""),0.5334789829717755)</f>
        <v>0.533478983</v>
      </c>
      <c r="AA522" s="57">
        <f>IFERROR(__xludf.DUMMYFUNCTION("""COMPUTED_VALUE"""),1.1256773345349453)</f>
        <v>1.125677335</v>
      </c>
      <c r="AB522" s="57">
        <f>IFERROR(__xludf.DUMMYFUNCTION("""COMPUTED_VALUE"""),2.3650598018122277)</f>
        <v>2.365059802</v>
      </c>
      <c r="AC522" s="31">
        <f>IFERROR(__xludf.DUMMYFUNCTION("""COMPUTED_VALUE"""),337.69343693731804)</f>
        <v>337.6934369</v>
      </c>
      <c r="AD522" s="57">
        <f>IFERROR(__xludf.DUMMYFUNCTION("""COMPUTED_VALUE"""),0.8316860430550231)</f>
        <v>0.8316860431</v>
      </c>
      <c r="AE522" s="57">
        <f>IFERROR(__xludf.DUMMYFUNCTION("""COMPUTED_VALUE"""),0.5518249163786326)</f>
        <v>0.5518249164</v>
      </c>
      <c r="AF522" s="57">
        <f>IFERROR(__xludf.DUMMYFUNCTION("""COMPUTED_VALUE"""),1.2111823126049206)</f>
        <v>1.211182313</v>
      </c>
      <c r="AG522" s="57">
        <f>IFERROR(__xludf.DUMMYFUNCTION("""COMPUTED_VALUE"""),2.4319378147574957)</f>
        <v>2.431937815</v>
      </c>
      <c r="AH522" s="57">
        <f>IFERROR(__xludf.DUMMYFUNCTION("""COMPUTED_VALUE"""),0.8692185860253784)</f>
        <v>0.869218586</v>
      </c>
      <c r="AI522" s="57">
        <f>IFERROR(__xludf.DUMMYFUNCTION("""COMPUTED_VALUE"""),0.7780085152716737)</f>
        <v>0.7780085153</v>
      </c>
      <c r="AJ522" s="57">
        <f>IFERROR(__xludf.DUMMYFUNCTION("""COMPUTED_VALUE"""),1.065981757362387)</f>
        <v>1.065981757</v>
      </c>
      <c r="AK522" s="57">
        <f>IFERROR(__xludf.DUMMYFUNCTION("""COMPUTED_VALUE"""),0.8742065652647503)</f>
        <v>0.8742065653</v>
      </c>
      <c r="AL522" s="57">
        <f>IFERROR(__xludf.DUMMYFUNCTION("""COMPUTED_VALUE"""),0.870765299167279)</f>
        <v>0.8707652992</v>
      </c>
      <c r="AM522" s="57">
        <f>IFERROR(__xludf.DUMMYFUNCTION("""COMPUTED_VALUE"""),0.833527434930152)</f>
        <v>0.8335274349</v>
      </c>
      <c r="AN522" s="57">
        <f>IFERROR(__xludf.DUMMYFUNCTION("""COMPUTED_VALUE"""),0.6597111781278545)</f>
        <v>0.6597111781</v>
      </c>
      <c r="AO522" s="57">
        <f>IFERROR(__xludf.DUMMYFUNCTION("""COMPUTED_VALUE"""),0.6615840318666519)</f>
        <v>0.6615840319</v>
      </c>
      <c r="AP522" s="35">
        <f>IFERROR(__xludf.DUMMYFUNCTION("""COMPUTED_VALUE"""),0.888354033008165)</f>
        <v>0.888354033</v>
      </c>
      <c r="AQ522" s="57">
        <f>IFERROR(__xludf.DUMMYFUNCTION("""COMPUTED_VALUE"""),0.8207726794480242)</f>
        <v>0.8207726794</v>
      </c>
      <c r="AR522" s="36" t="b">
        <f>IFERROR(__xludf.DUMMYFUNCTION("""COMPUTED_VALUE"""),TRUE)</f>
        <v>1</v>
      </c>
      <c r="AS522" s="57"/>
      <c r="AT522" s="37"/>
      <c r="AU522" s="30"/>
      <c r="AV522" s="30"/>
      <c r="AW522" s="30"/>
      <c r="AX522" s="30"/>
      <c r="AY522" s="30"/>
      <c r="AZ522" s="30"/>
    </row>
    <row r="523">
      <c r="A523" s="30" t="str">
        <f>IFERROR(__xludf.DUMMYFUNCTION("""COMPUTED_VALUE"""),"Prospect")</f>
        <v>Prospect</v>
      </c>
      <c r="B523" s="30" t="str">
        <f>IFERROR(__xludf.DUMMYFUNCTION("""COMPUTED_VALUE"""),"RSC003335")</f>
        <v>RSC003335</v>
      </c>
      <c r="C523" s="30" t="str">
        <f>IFERROR(__xludf.DUMMYFUNCTION("""COMPUTED_VALUE"""),"xEaglex20x")</f>
        <v>xEaglex20x</v>
      </c>
      <c r="D523" s="31" t="str">
        <f>IFERROR(__xludf.DUMMYFUNCTION("""COMPUTED_VALUE"""),"Earth")</f>
        <v>Earth</v>
      </c>
      <c r="E523" s="31">
        <f>IFERROR(__xludf.DUMMYFUNCTION("""COMPUTED_VALUE"""),53.69178898511664)</f>
        <v>53.69178899</v>
      </c>
      <c r="F523" s="31">
        <f>IFERROR(__xludf.DUMMYFUNCTION("""COMPUTED_VALUE"""),2.266027099709552)</f>
        <v>2.2660271</v>
      </c>
      <c r="G523" s="31">
        <f>IFERROR(__xludf.DUMMYFUNCTION("""COMPUTED_VALUE"""),45.416307060797784)</f>
        <v>45.41630706</v>
      </c>
      <c r="H523" s="31">
        <f>IFERROR(__xludf.DUMMYFUNCTION("""COMPUTED_VALUE"""),-2.34048101803084)</f>
        <v>-2.340481018</v>
      </c>
      <c r="I523" s="54">
        <f>IFERROR(__xludf.DUMMYFUNCTION("""COMPUTED_VALUE"""),45.0)</f>
        <v>45</v>
      </c>
      <c r="J523" s="55">
        <f>IFERROR(__xludf.DUMMYFUNCTION("""COMPUTED_VALUE"""),24.0)</f>
        <v>24</v>
      </c>
      <c r="K523" s="54">
        <f>IFERROR(__xludf.DUMMYFUNCTION("""COMPUTED_VALUE"""),21.0)</f>
        <v>21</v>
      </c>
      <c r="L523" s="56">
        <f>IFERROR(__xludf.DUMMYFUNCTION("""COMPUTED_VALUE"""),0.5333333333333333)</f>
        <v>0.5333333333</v>
      </c>
      <c r="M523" s="56">
        <f>IFERROR(__xludf.DUMMYFUNCTION("""COMPUTED_VALUE"""),0.32727272727272727)</f>
        <v>0.3272727273</v>
      </c>
      <c r="N523" s="31">
        <f>IFERROR(__xludf.DUMMYFUNCTION("""COMPUTED_VALUE"""),331.5777777777778)</f>
        <v>331.5777778</v>
      </c>
      <c r="O523" s="57">
        <f>IFERROR(__xludf.DUMMYFUNCTION("""COMPUTED_VALUE"""),0.8)</f>
        <v>0.8</v>
      </c>
      <c r="P523" s="57">
        <f>IFERROR(__xludf.DUMMYFUNCTION("""COMPUTED_VALUE"""),0.6888888888888889)</f>
        <v>0.6888888889</v>
      </c>
      <c r="Q523" s="57">
        <f>IFERROR(__xludf.DUMMYFUNCTION("""COMPUTED_VALUE"""),1.2666666666666666)</f>
        <v>1.266666667</v>
      </c>
      <c r="R523" s="57">
        <f>IFERROR(__xludf.DUMMYFUNCTION("""COMPUTED_VALUE"""),2.4444444444444446)</f>
        <v>2.444444444</v>
      </c>
      <c r="S523" s="31">
        <f>IFERROR(__xludf.DUMMYFUNCTION("""COMPUTED_VALUE"""),363.55555555555554)</f>
        <v>363.5555556</v>
      </c>
      <c r="T523" s="57">
        <f>IFERROR(__xludf.DUMMYFUNCTION("""COMPUTED_VALUE"""),0.9259259259259258)</f>
        <v>0.9259259259</v>
      </c>
      <c r="U523" s="57">
        <f>IFERROR(__xludf.DUMMYFUNCTION("""COMPUTED_VALUE"""),0.5777777777777776)</f>
        <v>0.5777777778</v>
      </c>
      <c r="V523" s="57">
        <f>IFERROR(__xludf.DUMMYFUNCTION("""COMPUTED_VALUE"""),1.3777777777777775)</f>
        <v>1.377777778</v>
      </c>
      <c r="W523" s="57">
        <f>IFERROR(__xludf.DUMMYFUNCTION("""COMPUTED_VALUE"""),2.348148148148148)</f>
        <v>2.348148148</v>
      </c>
      <c r="X523" s="31">
        <f>IFERROR(__xludf.DUMMYFUNCTION("""COMPUTED_VALUE"""),327.5598507977134)</f>
        <v>327.5598508</v>
      </c>
      <c r="Y523" s="57">
        <f>IFERROR(__xludf.DUMMYFUNCTION("""COMPUTED_VALUE"""),0.7634142003367913)</f>
        <v>0.7634142003</v>
      </c>
      <c r="Z523" s="57">
        <f>IFERROR(__xludf.DUMMYFUNCTION("""COMPUTED_VALUE"""),0.4780889175436178)</f>
        <v>0.4780889175</v>
      </c>
      <c r="AA523" s="57">
        <f>IFERROR(__xludf.DUMMYFUNCTION("""COMPUTED_VALUE"""),1.2032403302720023)</f>
        <v>1.20324033</v>
      </c>
      <c r="AB523" s="57">
        <f>IFERROR(__xludf.DUMMYFUNCTION("""COMPUTED_VALUE"""),2.2917914362997704)</f>
        <v>2.291791436</v>
      </c>
      <c r="AC523" s="31">
        <f>IFERROR(__xludf.DUMMYFUNCTION("""COMPUTED_VALUE"""),339.8491436671091)</f>
        <v>339.8491437</v>
      </c>
      <c r="AD523" s="57">
        <f>IFERROR(__xludf.DUMMYFUNCTION("""COMPUTED_VALUE"""),0.8251123686906897)</f>
        <v>0.8251123687</v>
      </c>
      <c r="AE523" s="57">
        <f>IFERROR(__xludf.DUMMYFUNCTION("""COMPUTED_VALUE"""),0.5547396677344862)</f>
        <v>0.5547396677</v>
      </c>
      <c r="AF523" s="57">
        <f>IFERROR(__xludf.DUMMYFUNCTION("""COMPUTED_VALUE"""),1.1400566336023576)</f>
        <v>1.140056634</v>
      </c>
      <c r="AG523" s="57">
        <f>IFERROR(__xludf.DUMMYFUNCTION("""COMPUTED_VALUE"""),2.580627806864495)</f>
        <v>2.580627807</v>
      </c>
      <c r="AH523" s="57">
        <f>IFERROR(__xludf.DUMMYFUNCTION("""COMPUTED_VALUE"""),0.9756616544620947)</f>
        <v>0.9756616545</v>
      </c>
      <c r="AI523" s="57">
        <f>IFERROR(__xludf.DUMMYFUNCTION("""COMPUTED_VALUE"""),0.9695649106187335)</f>
        <v>0.9695649106</v>
      </c>
      <c r="AJ523" s="57">
        <f>IFERROR(__xludf.DUMMYFUNCTION("""COMPUTED_VALUE"""),1.241823739957623)</f>
        <v>1.24182374</v>
      </c>
      <c r="AK523" s="57">
        <f>IFERROR(__xludf.DUMMYFUNCTION("""COMPUTED_VALUE"""),1.1110559154103123)</f>
        <v>1.111055915</v>
      </c>
      <c r="AL523" s="57">
        <f>IFERROR(__xludf.DUMMYFUNCTION("""COMPUTED_VALUE"""),0.947228592182956)</f>
        <v>0.9472285922</v>
      </c>
      <c r="AM523" s="57">
        <f>IFERROR(__xludf.DUMMYFUNCTION("""COMPUTED_VALUE"""),1.1098904663382312)</f>
        <v>1.109890466</v>
      </c>
      <c r="AN523" s="57">
        <f>IFERROR(__xludf.DUMMYFUNCTION("""COMPUTED_VALUE"""),1.2128749052839731)</f>
        <v>1.212874905</v>
      </c>
      <c r="AO523" s="57">
        <f>IFERROR(__xludf.DUMMYFUNCTION("""COMPUTED_VALUE"""),1.2085153128969253)</f>
        <v>1.208515313</v>
      </c>
      <c r="AP523" s="35">
        <f>IFERROR(__xludf.DUMMYFUNCTION("""COMPUTED_VALUE"""),1.1450561813086166)</f>
        <v>1.145056181</v>
      </c>
      <c r="AQ523" s="57">
        <f>IFERROR(__xludf.DUMMYFUNCTION("""COMPUTED_VALUE"""),1.0245906808777367)</f>
        <v>1.024590681</v>
      </c>
      <c r="AR523" s="36" t="b">
        <f>IFERROR(__xludf.DUMMYFUNCTION("""COMPUTED_VALUE"""),TRUE)</f>
        <v>1</v>
      </c>
      <c r="AS523" s="57"/>
      <c r="AT523" s="37"/>
      <c r="AU523" s="30"/>
      <c r="AV523" s="30"/>
      <c r="AW523" s="30"/>
      <c r="AX523" s="30"/>
      <c r="AY523" s="30"/>
      <c r="AZ523" s="30"/>
    </row>
    <row r="524">
      <c r="A524" s="30" t="str">
        <f>IFERROR(__xludf.DUMMYFUNCTION("""COMPUTED_VALUE"""),"Prospect")</f>
        <v>Prospect</v>
      </c>
      <c r="B524" s="30" t="str">
        <f>IFERROR(__xludf.DUMMYFUNCTION("""COMPUTED_VALUE"""),"RSC006344")</f>
        <v>RSC006344</v>
      </c>
      <c r="C524" s="30" t="str">
        <f>IFERROR(__xludf.DUMMYFUNCTION("""COMPUTED_VALUE"""),"FerrisCrueller")</f>
        <v>FerrisCrueller</v>
      </c>
      <c r="D524" s="31" t="str">
        <f>IFERROR(__xludf.DUMMYFUNCTION("""COMPUTED_VALUE"""),"Poppy")</f>
        <v>Poppy</v>
      </c>
      <c r="E524" s="31">
        <f>IFERROR(__xludf.DUMMYFUNCTION("""COMPUTED_VALUE"""),53.42038060274299)</f>
        <v>53.4203806</v>
      </c>
      <c r="F524" s="31">
        <f>IFERROR(__xludf.DUMMYFUNCTION("""COMPUTED_VALUE"""),2.244223467721524)</f>
        <v>2.244223468</v>
      </c>
      <c r="G524" s="31">
        <f>IFERROR(__xludf.DUMMYFUNCTION("""COMPUTED_VALUE"""),35.28470760764893)</f>
        <v>35.28470761</v>
      </c>
      <c r="H524" s="31">
        <f>IFERROR(__xludf.DUMMYFUNCTION("""COMPUTED_VALUE"""),-3.5963345602650008)</f>
        <v>-3.59633456</v>
      </c>
      <c r="I524" s="54">
        <f>IFERROR(__xludf.DUMMYFUNCTION("""COMPUTED_VALUE"""),20.0)</f>
        <v>20</v>
      </c>
      <c r="J524" s="55">
        <f>IFERROR(__xludf.DUMMYFUNCTION("""COMPUTED_VALUE"""),9.0)</f>
        <v>9</v>
      </c>
      <c r="K524" s="54">
        <f>IFERROR(__xludf.DUMMYFUNCTION("""COMPUTED_VALUE"""),11.0)</f>
        <v>11</v>
      </c>
      <c r="L524" s="56">
        <f>IFERROR(__xludf.DUMMYFUNCTION("""COMPUTED_VALUE"""),0.45)</f>
        <v>0.45</v>
      </c>
      <c r="M524" s="56">
        <f>IFERROR(__xludf.DUMMYFUNCTION("""COMPUTED_VALUE"""),0.3695652173913044)</f>
        <v>0.3695652174</v>
      </c>
      <c r="N524" s="31">
        <f>IFERROR(__xludf.DUMMYFUNCTION("""COMPUTED_VALUE"""),331.25)</f>
        <v>331.25</v>
      </c>
      <c r="O524" s="57">
        <f>IFERROR(__xludf.DUMMYFUNCTION("""COMPUTED_VALUE"""),0.85)</f>
        <v>0.85</v>
      </c>
      <c r="P524" s="57">
        <f>IFERROR(__xludf.DUMMYFUNCTION("""COMPUTED_VALUE"""),0.45)</f>
        <v>0.45</v>
      </c>
      <c r="Q524" s="57">
        <f>IFERROR(__xludf.DUMMYFUNCTION("""COMPUTED_VALUE"""),1.1)</f>
        <v>1.1</v>
      </c>
      <c r="R524" s="57">
        <f>IFERROR(__xludf.DUMMYFUNCTION("""COMPUTED_VALUE"""),2.3)</f>
        <v>2.3</v>
      </c>
      <c r="S524" s="31">
        <f>IFERROR(__xludf.DUMMYFUNCTION("""COMPUTED_VALUE"""),360.6166666666666)</f>
        <v>360.6166667</v>
      </c>
      <c r="T524" s="57">
        <f>IFERROR(__xludf.DUMMYFUNCTION("""COMPUTED_VALUE"""),0.8166666666666667)</f>
        <v>0.8166666667</v>
      </c>
      <c r="U524" s="57">
        <f>IFERROR(__xludf.DUMMYFUNCTION("""COMPUTED_VALUE"""),0.5666666666666665)</f>
        <v>0.5666666667</v>
      </c>
      <c r="V524" s="57">
        <f>IFERROR(__xludf.DUMMYFUNCTION("""COMPUTED_VALUE"""),1.2333333333333334)</f>
        <v>1.233333333</v>
      </c>
      <c r="W524" s="57">
        <f>IFERROR(__xludf.DUMMYFUNCTION("""COMPUTED_VALUE"""),2.7166666666666672)</f>
        <v>2.716666667</v>
      </c>
      <c r="X524" s="31">
        <f>IFERROR(__xludf.DUMMYFUNCTION("""COMPUTED_VALUE"""),337.6286229280762)</f>
        <v>337.6286229</v>
      </c>
      <c r="Y524" s="57">
        <f>IFERROR(__xludf.DUMMYFUNCTION("""COMPUTED_VALUE"""),0.8270442842014856)</f>
        <v>0.8270442842</v>
      </c>
      <c r="Z524" s="57">
        <f>IFERROR(__xludf.DUMMYFUNCTION("""COMPUTED_VALUE"""),0.5653604472649332)</f>
        <v>0.5653604473</v>
      </c>
      <c r="AA524" s="57">
        <f>IFERROR(__xludf.DUMMYFUNCTION("""COMPUTED_VALUE"""),1.1064172515871482)</f>
        <v>1.106417252</v>
      </c>
      <c r="AB524" s="57">
        <f>IFERROR(__xludf.DUMMYFUNCTION("""COMPUTED_VALUE"""),2.541351103418127)</f>
        <v>2.541351103</v>
      </c>
      <c r="AC524" s="31">
        <f>IFERROR(__xludf.DUMMYFUNCTION("""COMPUTED_VALUE"""),342.911059820015)</f>
        <v>342.9110598</v>
      </c>
      <c r="AD524" s="57">
        <f>IFERROR(__xludf.DUMMYFUNCTION("""COMPUTED_VALUE"""),0.8291238811925495)</f>
        <v>0.8291238812</v>
      </c>
      <c r="AE524" s="57">
        <f>IFERROR(__xludf.DUMMYFUNCTION("""COMPUTED_VALUE"""),0.5401740270096091)</f>
        <v>0.540174027</v>
      </c>
      <c r="AF524" s="57">
        <f>IFERROR(__xludf.DUMMYFUNCTION("""COMPUTED_VALUE"""),1.2384596800066454)</f>
        <v>1.23845968</v>
      </c>
      <c r="AG524" s="57">
        <f>IFERROR(__xludf.DUMMYFUNCTION("""COMPUTED_VALUE"""),2.3545766192950497)</f>
        <v>2.354576619</v>
      </c>
      <c r="AH524" s="57">
        <f>IFERROR(__xludf.DUMMYFUNCTION("""COMPUTED_VALUE"""),0.965993923246058)</f>
        <v>0.9659939232</v>
      </c>
      <c r="AI524" s="57">
        <f>IFERROR(__xludf.DUMMYFUNCTION("""COMPUTED_VALUE"""),1.0251785279389418)</f>
        <v>1.025178528</v>
      </c>
      <c r="AJ524" s="57">
        <f>IFERROR(__xludf.DUMMYFUNCTION("""COMPUTED_VALUE"""),0.8330648596549329)</f>
        <v>0.8330648597</v>
      </c>
      <c r="AK524" s="57">
        <f>IFERROR(__xludf.DUMMYFUNCTION("""COMPUTED_VALUE"""),0.8882000906110222)</f>
        <v>0.8882000906</v>
      </c>
      <c r="AL524" s="57">
        <f>IFERROR(__xludf.DUMMYFUNCTION("""COMPUTED_VALUE"""),0.9768210476364154)</f>
        <v>0.9768210476</v>
      </c>
      <c r="AM524" s="57">
        <f>IFERROR(__xludf.DUMMYFUNCTION("""COMPUTED_VALUE"""),1.0680867739803195)</f>
        <v>1.068086774</v>
      </c>
      <c r="AN524" s="57">
        <f>IFERROR(__xludf.DUMMYFUNCTION("""COMPUTED_VALUE"""),0.9874521621960806)</f>
        <v>0.9874521622</v>
      </c>
      <c r="AO524" s="57">
        <f>IFERROR(__xludf.DUMMYFUNCTION("""COMPUTED_VALUE"""),1.0023104187922103)</f>
        <v>1.002310419</v>
      </c>
      <c r="AP524" s="35">
        <f>IFERROR(__xludf.DUMMYFUNCTION("""COMPUTED_VALUE"""),1.1147090589595605)</f>
        <v>1.114709059</v>
      </c>
      <c r="AQ524" s="57">
        <f>IFERROR(__xludf.DUMMYFUNCTION("""COMPUTED_VALUE"""),1.068985179974833)</f>
        <v>1.06898518</v>
      </c>
      <c r="AR524" s="36" t="b">
        <f>IFERROR(__xludf.DUMMYFUNCTION("""COMPUTED_VALUE"""),TRUE)</f>
        <v>1</v>
      </c>
      <c r="AS524" s="57"/>
      <c r="AT524" s="37"/>
      <c r="AU524" s="30"/>
      <c r="AV524" s="30"/>
      <c r="AW524" s="30"/>
      <c r="AX524" s="30"/>
      <c r="AY524" s="30"/>
      <c r="AZ524" s="30"/>
    </row>
    <row r="525">
      <c r="A525" s="30" t="str">
        <f>IFERROR(__xludf.DUMMYFUNCTION("""COMPUTED_VALUE"""),"Prospect")</f>
        <v>Prospect</v>
      </c>
      <c r="B525" s="30" t="str">
        <f>IFERROR(__xludf.DUMMYFUNCTION("""COMPUTED_VALUE"""),"RSC002596")</f>
        <v>RSC002596</v>
      </c>
      <c r="C525" s="30" t="str">
        <f>IFERROR(__xludf.DUMMYFUNCTION("""COMPUTED_VALUE"""),"Jeff Wadowski")</f>
        <v>Jeff Wadowski</v>
      </c>
      <c r="D525" s="31" t="str">
        <f>IFERROR(__xludf.DUMMYFUNCTION("""COMPUTED_VALUE"""),"Tic Tacs")</f>
        <v>Tic Tacs</v>
      </c>
      <c r="E525" s="31">
        <f>IFERROR(__xludf.DUMMYFUNCTION("""COMPUTED_VALUE"""),52.058286347434674)</f>
        <v>52.05828635</v>
      </c>
      <c r="F525" s="31">
        <f>IFERROR(__xludf.DUMMYFUNCTION("""COMPUTED_VALUE"""),2.140449574216494)</f>
        <v>2.140449574</v>
      </c>
      <c r="G525" s="31">
        <f>IFERROR(__xludf.DUMMYFUNCTION("""COMPUTED_VALUE"""),58.81579002741029)</f>
        <v>58.81579003</v>
      </c>
      <c r="H525" s="31">
        <f>IFERROR(__xludf.DUMMYFUNCTION("""COMPUTED_VALUE"""),2.761040338353352)</f>
        <v>2.761040338</v>
      </c>
      <c r="I525" s="54">
        <f>IFERROR(__xludf.DUMMYFUNCTION("""COMPUTED_VALUE"""),48.0)</f>
        <v>48</v>
      </c>
      <c r="J525" s="55">
        <f>IFERROR(__xludf.DUMMYFUNCTION("""COMPUTED_VALUE"""),26.0)</f>
        <v>26</v>
      </c>
      <c r="K525" s="54">
        <f>IFERROR(__xludf.DUMMYFUNCTION("""COMPUTED_VALUE"""),22.0)</f>
        <v>22</v>
      </c>
      <c r="L525" s="56">
        <f>IFERROR(__xludf.DUMMYFUNCTION("""COMPUTED_VALUE"""),0.5416666666666666)</f>
        <v>0.5416666667</v>
      </c>
      <c r="M525" s="56">
        <f>IFERROR(__xludf.DUMMYFUNCTION("""COMPUTED_VALUE"""),0.31775700934579443)</f>
        <v>0.3177570093</v>
      </c>
      <c r="N525" s="31">
        <f>IFERROR(__xludf.DUMMYFUNCTION("""COMPUTED_VALUE"""),372.4375)</f>
        <v>372.4375</v>
      </c>
      <c r="O525" s="57">
        <f>IFERROR(__xludf.DUMMYFUNCTION("""COMPUTED_VALUE"""),0.7083333333333334)</f>
        <v>0.7083333333</v>
      </c>
      <c r="P525" s="57">
        <f>IFERROR(__xludf.DUMMYFUNCTION("""COMPUTED_VALUE"""),0.625)</f>
        <v>0.625</v>
      </c>
      <c r="Q525" s="57">
        <f>IFERROR(__xludf.DUMMYFUNCTION("""COMPUTED_VALUE"""),1.625)</f>
        <v>1.625</v>
      </c>
      <c r="R525" s="57">
        <f>IFERROR(__xludf.DUMMYFUNCTION("""COMPUTED_VALUE"""),2.2291666666666665)</f>
        <v>2.229166667</v>
      </c>
      <c r="S525" s="31">
        <f>IFERROR(__xludf.DUMMYFUNCTION("""COMPUTED_VALUE"""),322.5208333333333)</f>
        <v>322.5208333</v>
      </c>
      <c r="T525" s="57">
        <f>IFERROR(__xludf.DUMMYFUNCTION("""COMPUTED_VALUE"""),0.826388888888889)</f>
        <v>0.8263888889</v>
      </c>
      <c r="U525" s="57">
        <f>IFERROR(__xludf.DUMMYFUNCTION("""COMPUTED_VALUE"""),0.5069444444444443)</f>
        <v>0.5069444444</v>
      </c>
      <c r="V525" s="57">
        <f>IFERROR(__xludf.DUMMYFUNCTION("""COMPUTED_VALUE"""),0.9791666666666666)</f>
        <v>0.9791666667</v>
      </c>
      <c r="W525" s="57">
        <f>IFERROR(__xludf.DUMMYFUNCTION("""COMPUTED_VALUE"""),2.5694444444444433)</f>
        <v>2.569444444</v>
      </c>
      <c r="X525" s="31">
        <f>IFERROR(__xludf.DUMMYFUNCTION("""COMPUTED_VALUE"""),327.2816856517104)</f>
        <v>327.2816857</v>
      </c>
      <c r="Y525" s="57">
        <f>IFERROR(__xludf.DUMMYFUNCTION("""COMPUTED_VALUE"""),0.7479460672211453)</f>
        <v>0.7479460672</v>
      </c>
      <c r="Z525" s="57">
        <f>IFERROR(__xludf.DUMMYFUNCTION("""COMPUTED_VALUE"""),0.49161493708944337)</f>
        <v>0.4916149371</v>
      </c>
      <c r="AA525" s="57">
        <f>IFERROR(__xludf.DUMMYFUNCTION("""COMPUTED_VALUE"""),1.2352514491252455)</f>
        <v>1.235251449</v>
      </c>
      <c r="AB525" s="57">
        <f>IFERROR(__xludf.DUMMYFUNCTION("""COMPUTED_VALUE"""),2.316592763568408)</f>
        <v>2.316592764</v>
      </c>
      <c r="AC525" s="31">
        <f>IFERROR(__xludf.DUMMYFUNCTION("""COMPUTED_VALUE"""),337.65326304636875)</f>
        <v>337.653263</v>
      </c>
      <c r="AD525" s="57">
        <f>IFERROR(__xludf.DUMMYFUNCTION("""COMPUTED_VALUE"""),0.8135246239030317)</f>
        <v>0.8135246239</v>
      </c>
      <c r="AE525" s="57">
        <f>IFERROR(__xludf.DUMMYFUNCTION("""COMPUTED_VALUE"""),0.5421822099519603)</f>
        <v>0.54218221</v>
      </c>
      <c r="AF525" s="57">
        <f>IFERROR(__xludf.DUMMYFUNCTION("""COMPUTED_VALUE"""),1.1645744873412613)</f>
        <v>1.164574487</v>
      </c>
      <c r="AG525" s="57">
        <f>IFERROR(__xludf.DUMMYFUNCTION("""COMPUTED_VALUE"""),2.514872901047572)</f>
        <v>2.514872901</v>
      </c>
      <c r="AH525" s="57">
        <f>IFERROR(__xludf.DUMMYFUNCTION("""COMPUTED_VALUE"""),1.103017624173987)</f>
        <v>1.103017624</v>
      </c>
      <c r="AI525" s="57">
        <f>IFERROR(__xludf.DUMMYFUNCTION("""COMPUTED_VALUE"""),0.8706968572567305)</f>
        <v>0.8706968573</v>
      </c>
      <c r="AJ525" s="57">
        <f>IFERROR(__xludf.DUMMYFUNCTION("""COMPUTED_VALUE"""),1.1527489993730664)</f>
        <v>1.152748999</v>
      </c>
      <c r="AK525" s="57">
        <f>IFERROR(__xludf.DUMMYFUNCTION("""COMPUTED_VALUE"""),1.3953594361404018)</f>
        <v>1.395359436</v>
      </c>
      <c r="AL525" s="57">
        <f>IFERROR(__xludf.DUMMYFUNCTION("""COMPUTED_VALUE"""),0.886393370312315)</f>
        <v>0.8863933703</v>
      </c>
      <c r="AM525" s="57">
        <f>IFERROR(__xludf.DUMMYFUNCTION("""COMPUTED_VALUE"""),0.9854533494323189)</f>
        <v>0.9854533494</v>
      </c>
      <c r="AN525" s="57">
        <f>IFERROR(__xludf.DUMMYFUNCTION("""COMPUTED_VALUE"""),1.1048776443991255)</f>
        <v>1.104877644</v>
      </c>
      <c r="AO525" s="57">
        <f>IFERROR(__xludf.DUMMYFUNCTION("""COMPUTED_VALUE"""),1.0311819397631767)</f>
        <v>1.03118194</v>
      </c>
      <c r="AP525" s="35">
        <f>IFERROR(__xludf.DUMMYFUNCTION("""COMPUTED_VALUE"""),0.792686110475784)</f>
        <v>0.7926861105</v>
      </c>
      <c r="AQ525" s="57">
        <f>IFERROR(__xludf.DUMMYFUNCTION("""COMPUTED_VALUE"""),1.1091480923416812)</f>
        <v>1.109148092</v>
      </c>
      <c r="AR525" s="36" t="b">
        <f>IFERROR(__xludf.DUMMYFUNCTION("""COMPUTED_VALUE"""),TRUE)</f>
        <v>1</v>
      </c>
      <c r="AS525" s="57"/>
      <c r="AT525" s="37"/>
      <c r="AU525" s="30"/>
      <c r="AV525" s="30"/>
      <c r="AW525" s="30"/>
      <c r="AX525" s="30"/>
      <c r="AY525" s="30"/>
      <c r="AZ525" s="30"/>
    </row>
    <row r="526">
      <c r="A526" s="30" t="str">
        <f>IFERROR(__xludf.DUMMYFUNCTION("""COMPUTED_VALUE"""),"Prospect")</f>
        <v>Prospect</v>
      </c>
      <c r="B526" s="30" t="str">
        <f>IFERROR(__xludf.DUMMYFUNCTION("""COMPUTED_VALUE"""),"RSC006495")</f>
        <v>RSC006495</v>
      </c>
      <c r="C526" s="30" t="str">
        <f>IFERROR(__xludf.DUMMYFUNCTION("""COMPUTED_VALUE"""),"Hype.56")</f>
        <v>Hype.56</v>
      </c>
      <c r="D526" s="31" t="str">
        <f>IFERROR(__xludf.DUMMYFUNCTION("""COMPUTED_VALUE"""),"Prism Proteges")</f>
        <v>Prism Proteges</v>
      </c>
      <c r="E526" s="31">
        <f>IFERROR(__xludf.DUMMYFUNCTION("""COMPUTED_VALUE"""),50.996554406492365)</f>
        <v>50.99655441</v>
      </c>
      <c r="F526" s="31">
        <f>IFERROR(__xludf.DUMMYFUNCTION("""COMPUTED_VALUE"""),2.0656824936656992)</f>
        <v>2.065682494</v>
      </c>
      <c r="G526" s="31">
        <f>IFERROR(__xludf.DUMMYFUNCTION("""COMPUTED_VALUE"""),40.65717051260472)</f>
        <v>40.65717051</v>
      </c>
      <c r="H526" s="31">
        <f>IFERROR(__xludf.DUMMYFUNCTION("""COMPUTED_VALUE"""),-2.8223962607523307)</f>
        <v>-2.822396261</v>
      </c>
      <c r="I526" s="54">
        <f>IFERROR(__xludf.DUMMYFUNCTION("""COMPUTED_VALUE"""),33.0)</f>
        <v>33</v>
      </c>
      <c r="J526" s="55">
        <f>IFERROR(__xludf.DUMMYFUNCTION("""COMPUTED_VALUE"""),14.0)</f>
        <v>14</v>
      </c>
      <c r="K526" s="54">
        <f>IFERROR(__xludf.DUMMYFUNCTION("""COMPUTED_VALUE"""),19.0)</f>
        <v>19</v>
      </c>
      <c r="L526" s="56">
        <f>IFERROR(__xludf.DUMMYFUNCTION("""COMPUTED_VALUE"""),0.42424242424242425)</f>
        <v>0.4242424242</v>
      </c>
      <c r="M526" s="56">
        <f>IFERROR(__xludf.DUMMYFUNCTION("""COMPUTED_VALUE"""),0.2692307692307692)</f>
        <v>0.2692307692</v>
      </c>
      <c r="N526" s="31">
        <f>IFERROR(__xludf.DUMMYFUNCTION("""COMPUTED_VALUE"""),297.1212121212121)</f>
        <v>297.1212121</v>
      </c>
      <c r="O526" s="57">
        <f>IFERROR(__xludf.DUMMYFUNCTION("""COMPUTED_VALUE"""),0.6363636363636364)</f>
        <v>0.6363636364</v>
      </c>
      <c r="P526" s="57">
        <f>IFERROR(__xludf.DUMMYFUNCTION("""COMPUTED_VALUE"""),0.5454545454545454)</f>
        <v>0.5454545455</v>
      </c>
      <c r="Q526" s="57">
        <f>IFERROR(__xludf.DUMMYFUNCTION("""COMPUTED_VALUE"""),1.121212121212121)</f>
        <v>1.121212121</v>
      </c>
      <c r="R526" s="57">
        <f>IFERROR(__xludf.DUMMYFUNCTION("""COMPUTED_VALUE"""),2.3636363636363638)</f>
        <v>2.363636364</v>
      </c>
      <c r="S526" s="31">
        <f>IFERROR(__xludf.DUMMYFUNCTION("""COMPUTED_VALUE"""),326.00000000000006)</f>
        <v>326</v>
      </c>
      <c r="T526" s="57">
        <f>IFERROR(__xludf.DUMMYFUNCTION("""COMPUTED_VALUE"""),0.7373737373737373)</f>
        <v>0.7373737374</v>
      </c>
      <c r="U526" s="57">
        <f>IFERROR(__xludf.DUMMYFUNCTION("""COMPUTED_VALUE"""),0.4747474747474749)</f>
        <v>0.4747474747</v>
      </c>
      <c r="V526" s="57">
        <f>IFERROR(__xludf.DUMMYFUNCTION("""COMPUTED_VALUE"""),1.4444444444444442)</f>
        <v>1.444444444</v>
      </c>
      <c r="W526" s="57">
        <f>IFERROR(__xludf.DUMMYFUNCTION("""COMPUTED_VALUE"""),2.1919191919191916)</f>
        <v>2.191919192</v>
      </c>
      <c r="X526" s="31">
        <f>IFERROR(__xludf.DUMMYFUNCTION("""COMPUTED_VALUE"""),338.7183065610535)</f>
        <v>338.7183066</v>
      </c>
      <c r="Y526" s="57">
        <f>IFERROR(__xludf.DUMMYFUNCTION("""COMPUTED_VALUE"""),0.8158307860074867)</f>
        <v>0.815830786</v>
      </c>
      <c r="Z526" s="57">
        <f>IFERROR(__xludf.DUMMYFUNCTION("""COMPUTED_VALUE"""),0.5538755010778507)</f>
        <v>0.5538755011</v>
      </c>
      <c r="AA526" s="57">
        <f>IFERROR(__xludf.DUMMYFUNCTION("""COMPUTED_VALUE"""),1.200356773255267)</f>
        <v>1.200356773</v>
      </c>
      <c r="AB526" s="57">
        <f>IFERROR(__xludf.DUMMYFUNCTION("""COMPUTED_VALUE"""),2.401874042708232)</f>
        <v>2.401874043</v>
      </c>
      <c r="AC526" s="31">
        <f>IFERROR(__xludf.DUMMYFUNCTION("""COMPUTED_VALUE"""),327.46760087981045)</f>
        <v>327.4676009</v>
      </c>
      <c r="AD526" s="57">
        <f>IFERROR(__xludf.DUMMYFUNCTION("""COMPUTED_VALUE"""),0.7704310516746777)</f>
        <v>0.7704310517</v>
      </c>
      <c r="AE526" s="57">
        <f>IFERROR(__xludf.DUMMYFUNCTION("""COMPUTED_VALUE"""),0.5172599008393788)</f>
        <v>0.5172599008</v>
      </c>
      <c r="AF526" s="57">
        <f>IFERROR(__xludf.DUMMYFUNCTION("""COMPUTED_VALUE"""),1.1382035257633587)</f>
        <v>1.138203526</v>
      </c>
      <c r="AG526" s="57">
        <f>IFERROR(__xludf.DUMMYFUNCTION("""COMPUTED_VALUE"""),2.4032413557993304)</f>
        <v>2.403241356</v>
      </c>
      <c r="AH526" s="57">
        <f>IFERROR(__xludf.DUMMYFUNCTION("""COMPUTED_VALUE"""),0.9073301032619215)</f>
        <v>0.9073301033</v>
      </c>
      <c r="AI526" s="57">
        <f>IFERROR(__xludf.DUMMYFUNCTION("""COMPUTED_VALUE"""),0.8259838891233414)</f>
        <v>0.8259838891</v>
      </c>
      <c r="AJ526" s="57">
        <f>IFERROR(__xludf.DUMMYFUNCTION("""COMPUTED_VALUE"""),1.0545076944286886)</f>
        <v>1.054507694</v>
      </c>
      <c r="AK526" s="57">
        <f>IFERROR(__xludf.DUMMYFUNCTION("""COMPUTED_VALUE"""),0.9850717343896453)</f>
        <v>0.9850717344</v>
      </c>
      <c r="AL526" s="57">
        <f>IFERROR(__xludf.DUMMYFUNCTION("""COMPUTED_VALUE"""),0.9835201770028654)</f>
        <v>0.983520177</v>
      </c>
      <c r="AM526" s="57">
        <f>IFERROR(__xludf.DUMMYFUNCTION("""COMPUTED_VALUE"""),0.9624516705631292)</f>
        <v>0.9624516706</v>
      </c>
      <c r="AN526" s="57">
        <f>IFERROR(__xludf.DUMMYFUNCTION("""COMPUTED_VALUE"""),0.9038317136600073)</f>
        <v>0.9038317137</v>
      </c>
      <c r="AO526" s="57">
        <f>IFERROR(__xludf.DUMMYFUNCTION("""COMPUTED_VALUE"""),0.8571375224641795)</f>
        <v>0.8571375225</v>
      </c>
      <c r="AP526" s="35">
        <f>IFERROR(__xludf.DUMMYFUNCTION("""COMPUTED_VALUE"""),1.203345935664804)</f>
        <v>1.203345936</v>
      </c>
      <c r="AQ526" s="57">
        <f>IFERROR(__xludf.DUMMYFUNCTION("""COMPUTED_VALUE"""),0.9125870686573115)</f>
        <v>0.9125870687</v>
      </c>
      <c r="AR526" s="36" t="b">
        <f>IFERROR(__xludf.DUMMYFUNCTION("""COMPUTED_VALUE"""),TRUE)</f>
        <v>1</v>
      </c>
      <c r="AS526" s="57"/>
      <c r="AT526" s="37"/>
      <c r="AU526" s="30"/>
      <c r="AV526" s="30"/>
      <c r="AW526" s="30"/>
      <c r="AX526" s="30"/>
      <c r="AY526" s="30"/>
      <c r="AZ526" s="30"/>
    </row>
    <row r="527">
      <c r="A527" s="30" t="str">
        <f>IFERROR(__xludf.DUMMYFUNCTION("""COMPUTED_VALUE"""),"Prospect")</f>
        <v>Prospect</v>
      </c>
      <c r="B527" s="30" t="str">
        <f>IFERROR(__xludf.DUMMYFUNCTION("""COMPUTED_VALUE"""),"RSC006115")</f>
        <v>RSC006115</v>
      </c>
      <c r="C527" s="30" t="str">
        <f>IFERROR(__xludf.DUMMYFUNCTION("""COMPUTED_VALUE"""),"Shame")</f>
        <v>Shame</v>
      </c>
      <c r="D527" s="31" t="str">
        <f>IFERROR(__xludf.DUMMYFUNCTION("""COMPUTED_VALUE"""),"Gloom")</f>
        <v>Gloom</v>
      </c>
      <c r="E527" s="31">
        <f>IFERROR(__xludf.DUMMYFUNCTION("""COMPUTED_VALUE"""),49.29471312474927)</f>
        <v>49.29471312</v>
      </c>
      <c r="F527" s="31">
        <f>IFERROR(__xludf.DUMMYFUNCTION("""COMPUTED_VALUE"""),-2.0460494421887123)</f>
        <v>-2.046049442</v>
      </c>
      <c r="G527" s="31">
        <f>IFERROR(__xludf.DUMMYFUNCTION("""COMPUTED_VALUE"""),48.00230654526495)</f>
        <v>48.00230655</v>
      </c>
      <c r="H527" s="31">
        <f>IFERROR(__xludf.DUMMYFUNCTION("""COMPUTED_VALUE"""),-2.136043236654948)</f>
        <v>-2.136043237</v>
      </c>
      <c r="I527" s="54">
        <f>IFERROR(__xludf.DUMMYFUNCTION("""COMPUTED_VALUE"""),47.0)</f>
        <v>47</v>
      </c>
      <c r="J527" s="55">
        <f>IFERROR(__xludf.DUMMYFUNCTION("""COMPUTED_VALUE"""),20.0)</f>
        <v>20</v>
      </c>
      <c r="K527" s="54">
        <f>IFERROR(__xludf.DUMMYFUNCTION("""COMPUTED_VALUE"""),27.0)</f>
        <v>27</v>
      </c>
      <c r="L527" s="56">
        <f>IFERROR(__xludf.DUMMYFUNCTION("""COMPUTED_VALUE"""),0.425531914893617)</f>
        <v>0.4255319149</v>
      </c>
      <c r="M527" s="56">
        <f>IFERROR(__xludf.DUMMYFUNCTION("""COMPUTED_VALUE"""),0.3235294117647059)</f>
        <v>0.3235294118</v>
      </c>
      <c r="N527" s="31">
        <f>IFERROR(__xludf.DUMMYFUNCTION("""COMPUTED_VALUE"""),369.3404255319149)</f>
        <v>369.3404255</v>
      </c>
      <c r="O527" s="57">
        <f>IFERROR(__xludf.DUMMYFUNCTION("""COMPUTED_VALUE"""),0.7021276595744681)</f>
        <v>0.7021276596</v>
      </c>
      <c r="P527" s="57">
        <f>IFERROR(__xludf.DUMMYFUNCTION("""COMPUTED_VALUE"""),0.3829787234042553)</f>
        <v>0.3829787234</v>
      </c>
      <c r="Q527" s="57">
        <f>IFERROR(__xludf.DUMMYFUNCTION("""COMPUTED_VALUE"""),1.8297872340425532)</f>
        <v>1.829787234</v>
      </c>
      <c r="R527" s="57">
        <f>IFERROR(__xludf.DUMMYFUNCTION("""COMPUTED_VALUE"""),2.1702127659574466)</f>
        <v>2.170212766</v>
      </c>
      <c r="S527" s="31">
        <f>IFERROR(__xludf.DUMMYFUNCTION("""COMPUTED_VALUE"""),332.6170212765957)</f>
        <v>332.6170213</v>
      </c>
      <c r="T527" s="57">
        <f>IFERROR(__xludf.DUMMYFUNCTION("""COMPUTED_VALUE"""),0.8297872340425531)</f>
        <v>0.829787234</v>
      </c>
      <c r="U527" s="57">
        <f>IFERROR(__xludf.DUMMYFUNCTION("""COMPUTED_VALUE"""),0.524822695035461)</f>
        <v>0.524822695</v>
      </c>
      <c r="V527" s="57">
        <f>IFERROR(__xludf.DUMMYFUNCTION("""COMPUTED_VALUE"""),1.0567375886524821)</f>
        <v>1.056737589</v>
      </c>
      <c r="W527" s="57">
        <f>IFERROR(__xludf.DUMMYFUNCTION("""COMPUTED_VALUE"""),2.900709219858156)</f>
        <v>2.90070922</v>
      </c>
      <c r="X527" s="31">
        <f>IFERROR(__xludf.DUMMYFUNCTION("""COMPUTED_VALUE"""),343.37896071237594)</f>
        <v>343.3789607</v>
      </c>
      <c r="Y527" s="57">
        <f>IFERROR(__xludf.DUMMYFUNCTION("""COMPUTED_VALUE"""),0.8627848559528425)</f>
        <v>0.862784856</v>
      </c>
      <c r="Z527" s="57">
        <f>IFERROR(__xludf.DUMMYFUNCTION("""COMPUTED_VALUE"""),0.5513701367486968)</f>
        <v>0.5513701367</v>
      </c>
      <c r="AA527" s="57">
        <f>IFERROR(__xludf.DUMMYFUNCTION("""COMPUTED_VALUE"""),1.1625211231209898)</f>
        <v>1.162521123</v>
      </c>
      <c r="AB527" s="57">
        <f>IFERROR(__xludf.DUMMYFUNCTION("""COMPUTED_VALUE"""),2.587754599895622)</f>
        <v>2.5877546</v>
      </c>
      <c r="AC527" s="31">
        <f>IFERROR(__xludf.DUMMYFUNCTION("""COMPUTED_VALUE"""),331.6970677652911)</f>
        <v>331.6970678</v>
      </c>
      <c r="AD527" s="57">
        <f>IFERROR(__xludf.DUMMYFUNCTION("""COMPUTED_VALUE"""),0.756165374955114)</f>
        <v>0.756165375</v>
      </c>
      <c r="AE527" s="57">
        <f>IFERROR(__xludf.DUMMYFUNCTION("""COMPUTED_VALUE"""),0.5042094654133115)</f>
        <v>0.5042094654</v>
      </c>
      <c r="AF527" s="57">
        <f>IFERROR(__xludf.DUMMYFUNCTION("""COMPUTED_VALUE"""),1.2330560332384723)</f>
        <v>1.233056033</v>
      </c>
      <c r="AG527" s="57">
        <f>IFERROR(__xludf.DUMMYFUNCTION("""COMPUTED_VALUE"""),2.3452269701901405)</f>
        <v>2.34522697</v>
      </c>
      <c r="AH527" s="57">
        <f>IFERROR(__xludf.DUMMYFUNCTION("""COMPUTED_VALUE"""),1.1134871586904116)</f>
        <v>1.113487159</v>
      </c>
      <c r="AI527" s="57">
        <f>IFERROR(__xludf.DUMMYFUNCTION("""COMPUTED_VALUE"""),0.9285371729909564)</f>
        <v>0.928537173</v>
      </c>
      <c r="AJ527" s="57">
        <f>IFERROR(__xludf.DUMMYFUNCTION("""COMPUTED_VALUE"""),0.7595627406366109)</f>
        <v>0.7595627406</v>
      </c>
      <c r="AK527" s="57">
        <f>IFERROR(__xludf.DUMMYFUNCTION("""COMPUTED_VALUE"""),1.483944917926267)</f>
        <v>1.483944918</v>
      </c>
      <c r="AL527" s="57">
        <f>IFERROR(__xludf.DUMMYFUNCTION("""COMPUTED_VALUE"""),0.9253743000326725)</f>
        <v>0.9253743</v>
      </c>
      <c r="AM527" s="57">
        <f>IFERROR(__xludf.DUMMYFUNCTION("""COMPUTED_VALUE"""),0.9686587104420916)</f>
        <v>0.9686587104</v>
      </c>
      <c r="AN527" s="57">
        <f>IFERROR(__xludf.DUMMYFUNCTION("""COMPUTED_VALUE"""),0.9617545188900569)</f>
        <v>0.9617545189</v>
      </c>
      <c r="AO527" s="57">
        <f>IFERROR(__xludf.DUMMYFUNCTION("""COMPUTED_VALUE"""),0.9518518687468639)</f>
        <v>0.9518518687</v>
      </c>
      <c r="AP527" s="35">
        <f>IFERROR(__xludf.DUMMYFUNCTION("""COMPUTED_VALUE"""),0.9090050646266853)</f>
        <v>0.9090050646</v>
      </c>
      <c r="AQ527" s="57">
        <f>IFERROR(__xludf.DUMMYFUNCTION("""COMPUTED_VALUE"""),1.1209367456926391)</f>
        <v>1.120936746</v>
      </c>
      <c r="AR527" s="36" t="b">
        <f>IFERROR(__xludf.DUMMYFUNCTION("""COMPUTED_VALUE"""),TRUE)</f>
        <v>1</v>
      </c>
      <c r="AS527" s="57"/>
      <c r="AT527" s="37"/>
      <c r="AU527" s="30"/>
      <c r="AV527" s="30"/>
      <c r="AW527" s="30"/>
      <c r="AX527" s="30"/>
      <c r="AY527" s="30"/>
      <c r="AZ527" s="30"/>
    </row>
    <row r="528">
      <c r="A528" s="30" t="str">
        <f>IFERROR(__xludf.DUMMYFUNCTION("""COMPUTED_VALUE"""),"Prospect")</f>
        <v>Prospect</v>
      </c>
      <c r="B528" s="30" t="str">
        <f>IFERROR(__xludf.DUMMYFUNCTION("""COMPUTED_VALUE"""),"RSC007423")</f>
        <v>RSC007423</v>
      </c>
      <c r="C528" s="30" t="str">
        <f>IFERROR(__xludf.DUMMYFUNCTION("""COMPUTED_VALUE"""),"Valuedsquash465")</f>
        <v>Valuedsquash465</v>
      </c>
      <c r="D528" s="31" t="str">
        <f>IFERROR(__xludf.DUMMYFUNCTION("""COMPUTED_VALUE"""),"Tic Tacs")</f>
        <v>Tic Tacs</v>
      </c>
      <c r="E528" s="31">
        <f>IFERROR(__xludf.DUMMYFUNCTION("""COMPUTED_VALUE"""),49.10215630526211)</f>
        <v>49.10215631</v>
      </c>
      <c r="F528" s="31">
        <f>IFERROR(__xludf.DUMMYFUNCTION("""COMPUTED_VALUE"""),-2.058987662060878)</f>
        <v>-2.058987662</v>
      </c>
      <c r="G528" s="31">
        <f>IFERROR(__xludf.DUMMYFUNCTION("""COMPUTED_VALUE"""),57.79214827897329)</f>
        <v>57.79214828</v>
      </c>
      <c r="H528" s="31">
        <f>IFERROR(__xludf.DUMMYFUNCTION("""COMPUTED_VALUE"""),2.648027304799312)</f>
        <v>2.648027305</v>
      </c>
      <c r="I528" s="54">
        <f>IFERROR(__xludf.DUMMYFUNCTION("""COMPUTED_VALUE"""),26.0)</f>
        <v>26</v>
      </c>
      <c r="J528" s="55">
        <f>IFERROR(__xludf.DUMMYFUNCTION("""COMPUTED_VALUE"""),14.0)</f>
        <v>14</v>
      </c>
      <c r="K528" s="54">
        <f>IFERROR(__xludf.DUMMYFUNCTION("""COMPUTED_VALUE"""),12.0)</f>
        <v>12</v>
      </c>
      <c r="L528" s="56">
        <f>IFERROR(__xludf.DUMMYFUNCTION("""COMPUTED_VALUE"""),0.5384615384615384)</f>
        <v>0.5384615385</v>
      </c>
      <c r="M528" s="56">
        <f>IFERROR(__xludf.DUMMYFUNCTION("""COMPUTED_VALUE"""),0.2711864406779661)</f>
        <v>0.2711864407</v>
      </c>
      <c r="N528" s="31">
        <f>IFERROR(__xludf.DUMMYFUNCTION("""COMPUTED_VALUE"""),337.15384615384613)</f>
        <v>337.1538462</v>
      </c>
      <c r="O528" s="57">
        <f>IFERROR(__xludf.DUMMYFUNCTION("""COMPUTED_VALUE"""),0.6153846153846154)</f>
        <v>0.6153846154</v>
      </c>
      <c r="P528" s="57">
        <f>IFERROR(__xludf.DUMMYFUNCTION("""COMPUTED_VALUE"""),0.8076923076923077)</f>
        <v>0.8076923077</v>
      </c>
      <c r="Q528" s="57">
        <f>IFERROR(__xludf.DUMMYFUNCTION("""COMPUTED_VALUE"""),1.4230769230769231)</f>
        <v>1.423076923</v>
      </c>
      <c r="R528" s="57">
        <f>IFERROR(__xludf.DUMMYFUNCTION("""COMPUTED_VALUE"""),2.269230769230769)</f>
        <v>2.269230769</v>
      </c>
      <c r="S528" s="31">
        <f>IFERROR(__xludf.DUMMYFUNCTION("""COMPUTED_VALUE"""),322.5897435897436)</f>
        <v>322.5897436</v>
      </c>
      <c r="T528" s="57">
        <f>IFERROR(__xludf.DUMMYFUNCTION("""COMPUTED_VALUE"""),0.8333333333333333)</f>
        <v>0.8333333333</v>
      </c>
      <c r="U528" s="57">
        <f>IFERROR(__xludf.DUMMYFUNCTION("""COMPUTED_VALUE"""),0.435897435897436)</f>
        <v>0.4358974359</v>
      </c>
      <c r="V528" s="57">
        <f>IFERROR(__xludf.DUMMYFUNCTION("""COMPUTED_VALUE"""),1.0256410256410253)</f>
        <v>1.025641026</v>
      </c>
      <c r="W528" s="57">
        <f>IFERROR(__xludf.DUMMYFUNCTION("""COMPUTED_VALUE"""),2.589743589743589)</f>
        <v>2.58974359</v>
      </c>
      <c r="X528" s="31">
        <f>IFERROR(__xludf.DUMMYFUNCTION("""COMPUTED_VALUE"""),323.73008257579755)</f>
        <v>323.7300826</v>
      </c>
      <c r="Y528" s="57">
        <f>IFERROR(__xludf.DUMMYFUNCTION("""COMPUTED_VALUE"""),0.7206685246168517)</f>
        <v>0.7206685246</v>
      </c>
      <c r="Z528" s="57">
        <f>IFERROR(__xludf.DUMMYFUNCTION("""COMPUTED_VALUE"""),0.4533156734934694)</f>
        <v>0.4533156735</v>
      </c>
      <c r="AA528" s="57">
        <f>IFERROR(__xludf.DUMMYFUNCTION("""COMPUTED_VALUE"""),1.2623051525911322)</f>
        <v>1.262305153</v>
      </c>
      <c r="AB528" s="57">
        <f>IFERROR(__xludf.DUMMYFUNCTION("""COMPUTED_VALUE"""),2.205000538130606)</f>
        <v>2.205000538</v>
      </c>
      <c r="AC528" s="31">
        <f>IFERROR(__xludf.DUMMYFUNCTION("""COMPUTED_VALUE"""),341.10837501760994)</f>
        <v>341.108375</v>
      </c>
      <c r="AD528" s="57">
        <f>IFERROR(__xludf.DUMMYFUNCTION("""COMPUTED_VALUE"""),0.8513025617441824)</f>
        <v>0.8513025617</v>
      </c>
      <c r="AE528" s="57">
        <f>IFERROR(__xludf.DUMMYFUNCTION("""COMPUTED_VALUE"""),0.5665680339785986)</f>
        <v>0.566568034</v>
      </c>
      <c r="AF528" s="57">
        <f>IFERROR(__xludf.DUMMYFUNCTION("""COMPUTED_VALUE"""),1.1181008677359765)</f>
        <v>1.118100868</v>
      </c>
      <c r="AG528" s="57">
        <f>IFERROR(__xludf.DUMMYFUNCTION("""COMPUTED_VALUE"""),2.60414420932171)</f>
        <v>2.604144209</v>
      </c>
      <c r="AH528" s="57">
        <f>IFERROR(__xludf.DUMMYFUNCTION("""COMPUTED_VALUE"""),0.9884068256501775)</f>
        <v>0.9884068257</v>
      </c>
      <c r="AI528" s="57">
        <f>IFERROR(__xludf.DUMMYFUNCTION("""COMPUTED_VALUE"""),0.7228741496134947)</f>
        <v>0.7228741496</v>
      </c>
      <c r="AJ528" s="57">
        <f>IFERROR(__xludf.DUMMYFUNCTION("""COMPUTED_VALUE"""),1.425587500975774)</f>
        <v>1.425587501</v>
      </c>
      <c r="AK528" s="57">
        <f>IFERROR(__xludf.DUMMYFUNCTION("""COMPUTED_VALUE"""),1.2727625602853592)</f>
        <v>1.27276256</v>
      </c>
      <c r="AL528" s="57">
        <f>IFERROR(__xludf.DUMMYFUNCTION("""COMPUTED_VALUE"""),0.8713921299396187)</f>
        <v>0.8713921299</v>
      </c>
      <c r="AM528" s="57">
        <f>IFERROR(__xludf.DUMMYFUNCTION("""COMPUTED_VALUE"""),0.9964775007099101)</f>
        <v>0.9964775007</v>
      </c>
      <c r="AN528" s="57">
        <f>IFERROR(__xludf.DUMMYFUNCTION("""COMPUTED_VALUE"""),1.156333744111248)</f>
        <v>1.156333744</v>
      </c>
      <c r="AO528" s="57">
        <f>IFERROR(__xludf.DUMMYFUNCTION("""COMPUTED_VALUE"""),0.9615759202372156)</f>
        <v>0.9615759202</v>
      </c>
      <c r="AP528" s="35">
        <f>IFERROR(__xludf.DUMMYFUNCTION("""COMPUTED_VALUE"""),0.8125143302597579)</f>
        <v>0.8125143303</v>
      </c>
      <c r="AQ528" s="57">
        <f>IFERROR(__xludf.DUMMYFUNCTION("""COMPUTED_VALUE"""),1.174486602138958)</f>
        <v>1.174486602</v>
      </c>
      <c r="AR528" s="36" t="b">
        <f>IFERROR(__xludf.DUMMYFUNCTION("""COMPUTED_VALUE"""),TRUE)</f>
        <v>1</v>
      </c>
      <c r="AS528" s="57"/>
      <c r="AT528" s="37"/>
      <c r="AU528" s="30"/>
      <c r="AV528" s="30"/>
      <c r="AW528" s="30"/>
      <c r="AX528" s="30"/>
      <c r="AY528" s="30"/>
      <c r="AZ528" s="30"/>
    </row>
    <row r="529">
      <c r="A529" s="30" t="str">
        <f>IFERROR(__xludf.DUMMYFUNCTION("""COMPUTED_VALUE"""),"Prospect")</f>
        <v>Prospect</v>
      </c>
      <c r="B529" s="30" t="str">
        <f>IFERROR(__xludf.DUMMYFUNCTION("""COMPUTED_VALUE"""),"RSC006402")</f>
        <v>RSC006402</v>
      </c>
      <c r="C529" s="30" t="str">
        <f>IFERROR(__xludf.DUMMYFUNCTION("""COMPUTED_VALUE"""),"DEADLYFEET1001")</f>
        <v>DEADLYFEET1001</v>
      </c>
      <c r="D529" s="31" t="str">
        <f>IFERROR(__xludf.DUMMYFUNCTION("""COMPUTED_VALUE"""),"Principales")</f>
        <v>Principales</v>
      </c>
      <c r="E529" s="31">
        <f>IFERROR(__xludf.DUMMYFUNCTION("""COMPUTED_VALUE"""),48.939412493411716)</f>
        <v>48.93941249</v>
      </c>
      <c r="F529" s="31">
        <f>IFERROR(__xludf.DUMMYFUNCTION("""COMPUTED_VALUE"""),-2.0700481637602564)</f>
        <v>-2.070048164</v>
      </c>
      <c r="G529" s="31">
        <f>IFERROR(__xludf.DUMMYFUNCTION("""COMPUTED_VALUE"""),42.23983395813161)</f>
        <v>42.23983396</v>
      </c>
      <c r="H529" s="31">
        <f>IFERROR(__xludf.DUMMYFUNCTION("""COMPUTED_VALUE"""),-2.6446220000509135)</f>
        <v>-2.644622</v>
      </c>
      <c r="I529" s="54">
        <f>IFERROR(__xludf.DUMMYFUNCTION("""COMPUTED_VALUE"""),28.0)</f>
        <v>28</v>
      </c>
      <c r="J529" s="55">
        <f>IFERROR(__xludf.DUMMYFUNCTION("""COMPUTED_VALUE"""),8.0)</f>
        <v>8</v>
      </c>
      <c r="K529" s="54">
        <f>IFERROR(__xludf.DUMMYFUNCTION("""COMPUTED_VALUE"""),20.0)</f>
        <v>20</v>
      </c>
      <c r="L529" s="56">
        <f>IFERROR(__xludf.DUMMYFUNCTION("""COMPUTED_VALUE"""),0.2857142857142857)</f>
        <v>0.2857142857</v>
      </c>
      <c r="M529" s="56">
        <f>IFERROR(__xludf.DUMMYFUNCTION("""COMPUTED_VALUE"""),0.3384615384615384)</f>
        <v>0.3384615385</v>
      </c>
      <c r="N529" s="31">
        <f>IFERROR(__xludf.DUMMYFUNCTION("""COMPUTED_VALUE"""),331.75)</f>
        <v>331.75</v>
      </c>
      <c r="O529" s="57">
        <f>IFERROR(__xludf.DUMMYFUNCTION("""COMPUTED_VALUE"""),0.7857142857142857)</f>
        <v>0.7857142857</v>
      </c>
      <c r="P529" s="57">
        <f>IFERROR(__xludf.DUMMYFUNCTION("""COMPUTED_VALUE"""),0.32142857142857145)</f>
        <v>0.3214285714</v>
      </c>
      <c r="Q529" s="57">
        <f>IFERROR(__xludf.DUMMYFUNCTION("""COMPUTED_VALUE"""),1.0714285714285714)</f>
        <v>1.071428571</v>
      </c>
      <c r="R529" s="57">
        <f>IFERROR(__xludf.DUMMYFUNCTION("""COMPUTED_VALUE"""),2.3214285714285716)</f>
        <v>2.321428571</v>
      </c>
      <c r="S529" s="31">
        <f>IFERROR(__xludf.DUMMYFUNCTION("""COMPUTED_VALUE"""),357.86904761904765)</f>
        <v>357.8690476</v>
      </c>
      <c r="T529" s="57">
        <f>IFERROR(__xludf.DUMMYFUNCTION("""COMPUTED_VALUE"""),1.0595238095238095)</f>
        <v>1.05952381</v>
      </c>
      <c r="U529" s="57">
        <f>IFERROR(__xludf.DUMMYFUNCTION("""COMPUTED_VALUE"""),0.6547619047619049)</f>
        <v>0.6547619048</v>
      </c>
      <c r="V529" s="57">
        <f>IFERROR(__xludf.DUMMYFUNCTION("""COMPUTED_VALUE"""),0.9523809523809524)</f>
        <v>0.9523809524</v>
      </c>
      <c r="W529" s="57">
        <f>IFERROR(__xludf.DUMMYFUNCTION("""COMPUTED_VALUE"""),2.5833333333333326)</f>
        <v>2.583333333</v>
      </c>
      <c r="X529" s="31">
        <f>IFERROR(__xludf.DUMMYFUNCTION("""COMPUTED_VALUE"""),352.9192502956603)</f>
        <v>352.9192503</v>
      </c>
      <c r="Y529" s="57">
        <f>IFERROR(__xludf.DUMMYFUNCTION("""COMPUTED_VALUE"""),0.8969742035283055)</f>
        <v>0.8969742035</v>
      </c>
      <c r="Z529" s="57">
        <f>IFERROR(__xludf.DUMMYFUNCTION("""COMPUTED_VALUE"""),0.6299300478624295)</f>
        <v>0.6299300479</v>
      </c>
      <c r="AA529" s="57">
        <f>IFERROR(__xludf.DUMMYFUNCTION("""COMPUTED_VALUE"""),1.126271428635203)</f>
        <v>1.126271429</v>
      </c>
      <c r="AB529" s="57">
        <f>IFERROR(__xludf.DUMMYFUNCTION("""COMPUTED_VALUE"""),2.659294112127323)</f>
        <v>2.659294112</v>
      </c>
      <c r="AC529" s="31">
        <f>IFERROR(__xludf.DUMMYFUNCTION("""COMPUTED_VALUE"""),332.35397648238256)</f>
        <v>332.3539765</v>
      </c>
      <c r="AD529" s="57">
        <f>IFERROR(__xludf.DUMMYFUNCTION("""COMPUTED_VALUE"""),0.744971749118981)</f>
        <v>0.7449717491</v>
      </c>
      <c r="AE529" s="57">
        <f>IFERROR(__xludf.DUMMYFUNCTION("""COMPUTED_VALUE"""),0.5052100826430336)</f>
        <v>0.5052100826</v>
      </c>
      <c r="AF529" s="57">
        <f>IFERROR(__xludf.DUMMYFUNCTION("""COMPUTED_VALUE"""),1.2482925707488879)</f>
        <v>1.248292571</v>
      </c>
      <c r="AG529" s="57">
        <f>IFERROR(__xludf.DUMMYFUNCTION("""COMPUTED_VALUE"""),2.3306350396463023)</f>
        <v>2.33063504</v>
      </c>
      <c r="AH529" s="57">
        <f>IFERROR(__xludf.DUMMYFUNCTION("""COMPUTED_VALUE"""),0.9981827312891663)</f>
        <v>0.9981827313</v>
      </c>
      <c r="AI529" s="57">
        <f>IFERROR(__xludf.DUMMYFUNCTION("""COMPUTED_VALUE"""),1.0546900424660233)</f>
        <v>1.054690042</v>
      </c>
      <c r="AJ529" s="57">
        <f>IFERROR(__xludf.DUMMYFUNCTION("""COMPUTED_VALUE"""),0.6362275466613823)</f>
        <v>0.6362275467</v>
      </c>
      <c r="AK529" s="57">
        <f>IFERROR(__xludf.DUMMYFUNCTION("""COMPUTED_VALUE"""),0.8583152672179964)</f>
        <v>0.8583152672</v>
      </c>
      <c r="AL529" s="57">
        <f>IFERROR(__xludf.DUMMYFUNCTION("""COMPUTED_VALUE"""),0.9960498027099396)</f>
        <v>0.9960498027</v>
      </c>
      <c r="AM529" s="57">
        <f>IFERROR(__xludf.DUMMYFUNCTION("""COMPUTED_VALUE"""),1.0140252970594283)</f>
        <v>1.014025297</v>
      </c>
      <c r="AN529" s="57">
        <f>IFERROR(__xludf.DUMMYFUNCTION("""COMPUTED_VALUE"""),1.1812199340361236)</f>
        <v>1.181219934</v>
      </c>
      <c r="AO529" s="57">
        <f>IFERROR(__xludf.DUMMYFUNCTION("""COMPUTED_VALUE"""),1.039420022879903)</f>
        <v>1.039420023</v>
      </c>
      <c r="AP529" s="35">
        <f>IFERROR(__xludf.DUMMYFUNCTION("""COMPUTED_VALUE"""),0.8456051784382312)</f>
        <v>0.8456051784</v>
      </c>
      <c r="AQ529" s="57">
        <f>IFERROR(__xludf.DUMMYFUNCTION("""COMPUTED_VALUE"""),0.971435736104712)</f>
        <v>0.9714357361</v>
      </c>
      <c r="AR529" s="36" t="b">
        <f>IFERROR(__xludf.DUMMYFUNCTION("""COMPUTED_VALUE"""),TRUE)</f>
        <v>1</v>
      </c>
      <c r="AS529" s="57"/>
      <c r="AT529" s="37"/>
      <c r="AU529" s="30"/>
      <c r="AV529" s="30"/>
      <c r="AW529" s="30"/>
      <c r="AX529" s="30"/>
      <c r="AY529" s="30"/>
      <c r="AZ529" s="30"/>
    </row>
    <row r="530">
      <c r="A530" s="30" t="str">
        <f>IFERROR(__xludf.DUMMYFUNCTION("""COMPUTED_VALUE"""),"Prospect")</f>
        <v>Prospect</v>
      </c>
      <c r="B530" s="30" t="str">
        <f>IFERROR(__xludf.DUMMYFUNCTION("""COMPUTED_VALUE"""),"RSC006667")</f>
        <v>RSC006667</v>
      </c>
      <c r="C530" s="30" t="str">
        <f>IFERROR(__xludf.DUMMYFUNCTION("""COMPUTED_VALUE"""),"GET2DACHOPPA5")</f>
        <v>GET2DACHOPPA5</v>
      </c>
      <c r="D530" s="31" t="str">
        <f>IFERROR(__xludf.DUMMYFUNCTION("""COMPUTED_VALUE"""),"Honey Badgers")</f>
        <v>Honey Badgers</v>
      </c>
      <c r="E530" s="31">
        <f>IFERROR(__xludf.DUMMYFUNCTION("""COMPUTED_VALUE"""),48.62350406125114)</f>
        <v>48.62350406</v>
      </c>
      <c r="F530" s="31">
        <f>IFERROR(__xludf.DUMMYFUNCTION("""COMPUTED_VALUE"""),-2.091851543322319)</f>
        <v>-2.091851543</v>
      </c>
      <c r="G530" s="31">
        <f>IFERROR(__xludf.DUMMYFUNCTION("""COMPUTED_VALUE"""),47.16793707028583)</f>
        <v>47.16793707</v>
      </c>
      <c r="H530" s="31">
        <f>IFERROR(__xludf.DUMMYFUNCTION("""COMPUTED_VALUE"""),-2.1982694453491374)</f>
        <v>-2.198269445</v>
      </c>
      <c r="I530" s="54">
        <f>IFERROR(__xludf.DUMMYFUNCTION("""COMPUTED_VALUE"""),23.0)</f>
        <v>23</v>
      </c>
      <c r="J530" s="55">
        <f>IFERROR(__xludf.DUMMYFUNCTION("""COMPUTED_VALUE"""),12.0)</f>
        <v>12</v>
      </c>
      <c r="K530" s="54">
        <f>IFERROR(__xludf.DUMMYFUNCTION("""COMPUTED_VALUE"""),11.0)</f>
        <v>11</v>
      </c>
      <c r="L530" s="56">
        <f>IFERROR(__xludf.DUMMYFUNCTION("""COMPUTED_VALUE"""),0.5217391304347826)</f>
        <v>0.5217391304</v>
      </c>
      <c r="M530" s="56">
        <f>IFERROR(__xludf.DUMMYFUNCTION("""COMPUTED_VALUE"""),0.2954545454545454)</f>
        <v>0.2954545455</v>
      </c>
      <c r="N530" s="31">
        <f>IFERROR(__xludf.DUMMYFUNCTION("""COMPUTED_VALUE"""),311.2173913043478)</f>
        <v>311.2173913</v>
      </c>
      <c r="O530" s="57">
        <f>IFERROR(__xludf.DUMMYFUNCTION("""COMPUTED_VALUE"""),0.5652173913043478)</f>
        <v>0.5652173913</v>
      </c>
      <c r="P530" s="57">
        <f>IFERROR(__xludf.DUMMYFUNCTION("""COMPUTED_VALUE"""),0.8260869565217391)</f>
        <v>0.8260869565</v>
      </c>
      <c r="Q530" s="57">
        <f>IFERROR(__xludf.DUMMYFUNCTION("""COMPUTED_VALUE"""),0.9565217391304348)</f>
        <v>0.9565217391</v>
      </c>
      <c r="R530" s="57">
        <f>IFERROR(__xludf.DUMMYFUNCTION("""COMPUTED_VALUE"""),1.9130434782608696)</f>
        <v>1.913043478</v>
      </c>
      <c r="S530" s="31">
        <f>IFERROR(__xludf.DUMMYFUNCTION("""COMPUTED_VALUE"""),331.36231884057975)</f>
        <v>331.3623188</v>
      </c>
      <c r="T530" s="57">
        <f>IFERROR(__xludf.DUMMYFUNCTION("""COMPUTED_VALUE"""),0.7681159420289854)</f>
        <v>0.768115942</v>
      </c>
      <c r="U530" s="57">
        <f>IFERROR(__xludf.DUMMYFUNCTION("""COMPUTED_VALUE"""),0.5072463768115941)</f>
        <v>0.5072463768</v>
      </c>
      <c r="V530" s="57">
        <f>IFERROR(__xludf.DUMMYFUNCTION("""COMPUTED_VALUE"""),1.1014492753623188)</f>
        <v>1.101449275</v>
      </c>
      <c r="W530" s="57">
        <f>IFERROR(__xludf.DUMMYFUNCTION("""COMPUTED_VALUE"""),2.579710144927536)</f>
        <v>2.579710145</v>
      </c>
      <c r="X530" s="31">
        <f>IFERROR(__xludf.DUMMYFUNCTION("""COMPUTED_VALUE"""),338.15635498703745)</f>
        <v>338.156355</v>
      </c>
      <c r="Y530" s="57">
        <f>IFERROR(__xludf.DUMMYFUNCTION("""COMPUTED_VALUE"""),0.841868273518697)</f>
        <v>0.8418682735</v>
      </c>
      <c r="Z530" s="57">
        <f>IFERROR(__xludf.DUMMYFUNCTION("""COMPUTED_VALUE"""),0.550844430650089)</f>
        <v>0.5508444307</v>
      </c>
      <c r="AA530" s="57">
        <f>IFERROR(__xludf.DUMMYFUNCTION("""COMPUTED_VALUE"""),1.135013674183325)</f>
        <v>1.135013674</v>
      </c>
      <c r="AB530" s="57">
        <f>IFERROR(__xludf.DUMMYFUNCTION("""COMPUTED_VALUE"""),2.488670943380666)</f>
        <v>2.488670943</v>
      </c>
      <c r="AC530" s="31">
        <f>IFERROR(__xludf.DUMMYFUNCTION("""COMPUTED_VALUE"""),333.11884905997607)</f>
        <v>333.1188491</v>
      </c>
      <c r="AD530" s="57">
        <f>IFERROR(__xludf.DUMMYFUNCTION("""COMPUTED_VALUE"""),0.7879349548187224)</f>
        <v>0.7879349548</v>
      </c>
      <c r="AE530" s="57">
        <f>IFERROR(__xludf.DUMMYFUNCTION("""COMPUTED_VALUE"""),0.5130051105584164)</f>
        <v>0.5130051106</v>
      </c>
      <c r="AF530" s="57">
        <f>IFERROR(__xludf.DUMMYFUNCTION("""COMPUTED_VALUE"""),1.216452928995905)</f>
        <v>1.216452929</v>
      </c>
      <c r="AG530" s="57">
        <f>IFERROR(__xludf.DUMMYFUNCTION("""COMPUTED_VALUE"""),2.330038502772246)</f>
        <v>2.330038503</v>
      </c>
      <c r="AH530" s="57">
        <f>IFERROR(__xludf.DUMMYFUNCTION("""COMPUTED_VALUE"""),0.9342533218476478)</f>
        <v>0.9342533218</v>
      </c>
      <c r="AI530" s="57">
        <f>IFERROR(__xludf.DUMMYFUNCTION("""COMPUTED_VALUE"""),0.7173401660221883)</f>
        <v>0.717340166</v>
      </c>
      <c r="AJ530" s="57">
        <f>IFERROR(__xludf.DUMMYFUNCTION("""COMPUTED_VALUE"""),1.6102899162593662)</f>
        <v>1.610289916</v>
      </c>
      <c r="AK530" s="57">
        <f>IFERROR(__xludf.DUMMYFUNCTION("""COMPUTED_VALUE"""),0.7863203880153219)</f>
        <v>0.786320388</v>
      </c>
      <c r="AL530" s="57">
        <f>IFERROR(__xludf.DUMMYFUNCTION("""COMPUTED_VALUE"""),0.8210351356789848)</f>
        <v>0.8210351357</v>
      </c>
      <c r="AM530" s="57">
        <f>IFERROR(__xludf.DUMMYFUNCTION("""COMPUTED_VALUE"""),0.9799085953989594)</f>
        <v>0.9799085954</v>
      </c>
      <c r="AN530" s="57">
        <f>IFERROR(__xludf.DUMMYFUNCTION("""COMPUTED_VALUE"""),0.9123944519473881)</f>
        <v>0.9123944519</v>
      </c>
      <c r="AO530" s="57">
        <f>IFERROR(__xludf.DUMMYFUNCTION("""COMPUTED_VALUE"""),0.9208523288743395)</f>
        <v>0.9208523289</v>
      </c>
      <c r="AP530" s="35">
        <f>IFERROR(__xludf.DUMMYFUNCTION("""COMPUTED_VALUE"""),0.9704281987217849)</f>
        <v>0.9704281987</v>
      </c>
      <c r="AQ530" s="57">
        <f>IFERROR(__xludf.DUMMYFUNCTION("""COMPUTED_VALUE"""),1.0365814539640184)</f>
        <v>1.036581454</v>
      </c>
      <c r="AR530" s="36" t="b">
        <f>IFERROR(__xludf.DUMMYFUNCTION("""COMPUTED_VALUE"""),TRUE)</f>
        <v>1</v>
      </c>
      <c r="AS530" s="57"/>
      <c r="AT530" s="37"/>
      <c r="AU530" s="30"/>
      <c r="AV530" s="30"/>
      <c r="AW530" s="30"/>
      <c r="AX530" s="30"/>
      <c r="AY530" s="30"/>
      <c r="AZ530" s="30"/>
    </row>
    <row r="531">
      <c r="A531" s="30" t="str">
        <f>IFERROR(__xludf.DUMMYFUNCTION("""COMPUTED_VALUE"""),"Prospect")</f>
        <v>Prospect</v>
      </c>
      <c r="B531" s="30" t="str">
        <f>IFERROR(__xludf.DUMMYFUNCTION("""COMPUTED_VALUE"""),"RSC006758")</f>
        <v>RSC006758</v>
      </c>
      <c r="C531" s="30" t="str">
        <f>IFERROR(__xludf.DUMMYFUNCTION("""COMPUTED_VALUE"""),"El Booger Sugar")</f>
        <v>El Booger Sugar</v>
      </c>
      <c r="D531" s="31" t="str">
        <f>IFERROR(__xludf.DUMMYFUNCTION("""COMPUTED_VALUE"""),"Principales")</f>
        <v>Principales</v>
      </c>
      <c r="E531" s="31">
        <f>IFERROR(__xludf.DUMMYFUNCTION("""COMPUTED_VALUE"""),48.55915020827031)</f>
        <v>48.55915021</v>
      </c>
      <c r="F531" s="31">
        <f>IFERROR(__xludf.DUMMYFUNCTION("""COMPUTED_VALUE"""),-2.096347780864528)</f>
        <v>-2.096347781</v>
      </c>
      <c r="G531" s="31">
        <f>IFERROR(__xludf.DUMMYFUNCTION("""COMPUTED_VALUE"""),47.910324032406244)</f>
        <v>47.91032403</v>
      </c>
      <c r="H531" s="31">
        <f>IFERROR(__xludf.DUMMYFUNCTION("""COMPUTED_VALUE"""),-2.142739049270131)</f>
        <v>-2.142739049</v>
      </c>
      <c r="I531" s="54">
        <f>IFERROR(__xludf.DUMMYFUNCTION("""COMPUTED_VALUE"""),20.0)</f>
        <v>20</v>
      </c>
      <c r="J531" s="55">
        <f>IFERROR(__xludf.DUMMYFUNCTION("""COMPUTED_VALUE"""),9.0)</f>
        <v>9</v>
      </c>
      <c r="K531" s="54">
        <f>IFERROR(__xludf.DUMMYFUNCTION("""COMPUTED_VALUE"""),11.0)</f>
        <v>11</v>
      </c>
      <c r="L531" s="56">
        <f>IFERROR(__xludf.DUMMYFUNCTION("""COMPUTED_VALUE"""),0.45)</f>
        <v>0.45</v>
      </c>
      <c r="M531" s="56">
        <f>IFERROR(__xludf.DUMMYFUNCTION("""COMPUTED_VALUE"""),0.27083333333333337)</f>
        <v>0.2708333333</v>
      </c>
      <c r="N531" s="31">
        <f>IFERROR(__xludf.DUMMYFUNCTION("""COMPUTED_VALUE"""),303.25)</f>
        <v>303.25</v>
      </c>
      <c r="O531" s="57">
        <f>IFERROR(__xludf.DUMMYFUNCTION("""COMPUTED_VALUE"""),0.65)</f>
        <v>0.65</v>
      </c>
      <c r="P531" s="57">
        <f>IFERROR(__xludf.DUMMYFUNCTION("""COMPUTED_VALUE"""),0.7)</f>
        <v>0.7</v>
      </c>
      <c r="Q531" s="57">
        <f>IFERROR(__xludf.DUMMYFUNCTION("""COMPUTED_VALUE"""),0.85)</f>
        <v>0.85</v>
      </c>
      <c r="R531" s="57">
        <f>IFERROR(__xludf.DUMMYFUNCTION("""COMPUTED_VALUE"""),2.4)</f>
        <v>2.4</v>
      </c>
      <c r="S531" s="31">
        <f>IFERROR(__xludf.DUMMYFUNCTION("""COMPUTED_VALUE"""),355.0833333333333)</f>
        <v>355.0833333</v>
      </c>
      <c r="T531" s="57">
        <f>IFERROR(__xludf.DUMMYFUNCTION("""COMPUTED_VALUE"""),0.9166666666666667)</f>
        <v>0.9166666667</v>
      </c>
      <c r="U531" s="57">
        <f>IFERROR(__xludf.DUMMYFUNCTION("""COMPUTED_VALUE"""),0.6166666666666665)</f>
        <v>0.6166666667</v>
      </c>
      <c r="V531" s="57">
        <f>IFERROR(__xludf.DUMMYFUNCTION("""COMPUTED_VALUE"""),1.2499999999999998)</f>
        <v>1.25</v>
      </c>
      <c r="W531" s="57">
        <f>IFERROR(__xludf.DUMMYFUNCTION("""COMPUTED_VALUE"""),2.233333333333333)</f>
        <v>2.233333333</v>
      </c>
      <c r="X531" s="31">
        <f>IFERROR(__xludf.DUMMYFUNCTION("""COMPUTED_VALUE"""),333.17125263234055)</f>
        <v>333.1712526</v>
      </c>
      <c r="Y531" s="57">
        <f>IFERROR(__xludf.DUMMYFUNCTION("""COMPUTED_VALUE"""),0.7783120468256215)</f>
        <v>0.7783120468</v>
      </c>
      <c r="Z531" s="57">
        <f>IFERROR(__xludf.DUMMYFUNCTION("""COMPUTED_VALUE"""),0.5490165260258356)</f>
        <v>0.549016526</v>
      </c>
      <c r="AA531" s="57">
        <f>IFERROR(__xludf.DUMMYFUNCTION("""COMPUTED_VALUE"""),1.1877976528815222)</f>
        <v>1.187797653</v>
      </c>
      <c r="AB531" s="57">
        <f>IFERROR(__xludf.DUMMYFUNCTION("""COMPUTED_VALUE"""),2.4317050169718586)</f>
        <v>2.431705017</v>
      </c>
      <c r="AC531" s="31">
        <f>IFERROR(__xludf.DUMMYFUNCTION("""COMPUTED_VALUE"""),336.41590501742354)</f>
        <v>336.415905</v>
      </c>
      <c r="AD531" s="57">
        <f>IFERROR(__xludf.DUMMYFUNCTION("""COMPUTED_VALUE"""),0.8079303299424293)</f>
        <v>0.8079303299</v>
      </c>
      <c r="AE531" s="57">
        <f>IFERROR(__xludf.DUMMYFUNCTION("""COMPUTED_VALUE"""),0.5429957889642903)</f>
        <v>0.542995789</v>
      </c>
      <c r="AF531" s="57">
        <f>IFERROR(__xludf.DUMMYFUNCTION("""COMPUTED_VALUE"""),1.1713624926845299)</f>
        <v>1.171362493</v>
      </c>
      <c r="AG531" s="57">
        <f>IFERROR(__xludf.DUMMYFUNCTION("""COMPUTED_VALUE"""),2.484650736655343)</f>
        <v>2.484650737</v>
      </c>
      <c r="AH531" s="57">
        <f>IFERROR(__xludf.DUMMYFUNCTION("""COMPUTED_VALUE"""),0.9014139803654473)</f>
        <v>0.9014139804</v>
      </c>
      <c r="AI531" s="57">
        <f>IFERROR(__xludf.DUMMYFUNCTION("""COMPUTED_VALUE"""),0.804524815953273)</f>
        <v>0.804524816</v>
      </c>
      <c r="AJ531" s="57">
        <f>IFERROR(__xludf.DUMMYFUNCTION("""COMPUTED_VALUE"""),1.2891444357886814)</f>
        <v>1.289144436</v>
      </c>
      <c r="AK531" s="57">
        <f>IFERROR(__xludf.DUMMYFUNCTION("""COMPUTED_VALUE"""),0.7256506890979316)</f>
        <v>0.7256506891</v>
      </c>
      <c r="AL531" s="57">
        <f>IFERROR(__xludf.DUMMYFUNCTION("""COMPUTED_VALUE"""),0.9659305288238241)</f>
        <v>0.9659305288</v>
      </c>
      <c r="AM531" s="57">
        <f>IFERROR(__xludf.DUMMYFUNCTION("""COMPUTED_VALUE"""),1.0657682213812518)</f>
        <v>1.065768221</v>
      </c>
      <c r="AN531" s="57">
        <f>IFERROR(__xludf.DUMMYFUNCTION("""COMPUTED_VALUE"""),1.1777624031457954)</f>
        <v>1.177762403</v>
      </c>
      <c r="AO531" s="57">
        <f>IFERROR(__xludf.DUMMYFUNCTION("""COMPUTED_VALUE"""),1.123220590699755)</f>
        <v>1.123220591</v>
      </c>
      <c r="AP531" s="35">
        <f>IFERROR(__xludf.DUMMYFUNCTION("""COMPUTED_VALUE"""),1.052367797635884)</f>
        <v>1.052367798</v>
      </c>
      <c r="AQ531" s="57">
        <f>IFERROR(__xludf.DUMMYFUNCTION("""COMPUTED_VALUE"""),0.9184228011810607)</f>
        <v>0.9184228012</v>
      </c>
      <c r="AR531" s="36" t="b">
        <f>IFERROR(__xludf.DUMMYFUNCTION("""COMPUTED_VALUE"""),TRUE)</f>
        <v>1</v>
      </c>
      <c r="AS531" s="57"/>
      <c r="AT531" s="37"/>
      <c r="AU531" s="30"/>
      <c r="AV531" s="30"/>
      <c r="AW531" s="30"/>
      <c r="AX531" s="30"/>
      <c r="AY531" s="30"/>
      <c r="AZ531" s="30"/>
    </row>
    <row r="532">
      <c r="A532" s="30" t="str">
        <f>IFERROR(__xludf.DUMMYFUNCTION("""COMPUTED_VALUE"""),"Prospect")</f>
        <v>Prospect</v>
      </c>
      <c r="B532" s="30" t="str">
        <f>IFERROR(__xludf.DUMMYFUNCTION("""COMPUTED_VALUE"""),"RSC007886")</f>
        <v>RSC007886</v>
      </c>
      <c r="C532" s="30" t="str">
        <f>IFERROR(__xludf.DUMMYFUNCTION("""COMPUTED_VALUE"""),"BabyDino8453")</f>
        <v>BabyDino8453</v>
      </c>
      <c r="D532" s="31" t="str">
        <f>IFERROR(__xludf.DUMMYFUNCTION("""COMPUTED_VALUE"""),"Dime")</f>
        <v>Dime</v>
      </c>
      <c r="E532" s="31">
        <f>IFERROR(__xludf.DUMMYFUNCTION("""COMPUTED_VALUE"""),48.555162873589374)</f>
        <v>48.55516287</v>
      </c>
      <c r="F532" s="31">
        <f>IFERROR(__xludf.DUMMYFUNCTION("""COMPUTED_VALUE"""),-2.0966269799295287)</f>
        <v>-2.09662698</v>
      </c>
      <c r="G532" s="31">
        <f>IFERROR(__xludf.DUMMYFUNCTION("""COMPUTED_VALUE"""),33.61840245113822)</f>
        <v>33.61840245</v>
      </c>
      <c r="H532" s="31">
        <f>IFERROR(__xludf.DUMMYFUNCTION("""COMPUTED_VALUE"""),-3.903978845736634)</f>
        <v>-3.903978846</v>
      </c>
      <c r="I532" s="54">
        <f>IFERROR(__xludf.DUMMYFUNCTION("""COMPUTED_VALUE"""),23.0)</f>
        <v>23</v>
      </c>
      <c r="J532" s="55">
        <f>IFERROR(__xludf.DUMMYFUNCTION("""COMPUTED_VALUE"""),11.0)</f>
        <v>11</v>
      </c>
      <c r="K532" s="54">
        <f>IFERROR(__xludf.DUMMYFUNCTION("""COMPUTED_VALUE"""),12.0)</f>
        <v>12</v>
      </c>
      <c r="L532" s="56">
        <f>IFERROR(__xludf.DUMMYFUNCTION("""COMPUTED_VALUE"""),0.4782608695652174)</f>
        <v>0.4782608696</v>
      </c>
      <c r="M532" s="56">
        <f>IFERROR(__xludf.DUMMYFUNCTION("""COMPUTED_VALUE"""),0.3103448275862069)</f>
        <v>0.3103448276</v>
      </c>
      <c r="N532" s="31">
        <f>IFERROR(__xludf.DUMMYFUNCTION("""COMPUTED_VALUE"""),285.8695652173913)</f>
        <v>285.8695652</v>
      </c>
      <c r="O532" s="57">
        <f>IFERROR(__xludf.DUMMYFUNCTION("""COMPUTED_VALUE"""),0.782608695652174)</f>
        <v>0.7826086957</v>
      </c>
      <c r="P532" s="57">
        <f>IFERROR(__xludf.DUMMYFUNCTION("""COMPUTED_VALUE"""),0.391304347826087)</f>
        <v>0.3913043478</v>
      </c>
      <c r="Q532" s="57">
        <f>IFERROR(__xludf.DUMMYFUNCTION("""COMPUTED_VALUE"""),0.8695652173913043)</f>
        <v>0.8695652174</v>
      </c>
      <c r="R532" s="57">
        <f>IFERROR(__xludf.DUMMYFUNCTION("""COMPUTED_VALUE"""),2.5217391304347827)</f>
        <v>2.52173913</v>
      </c>
      <c r="S532" s="31">
        <f>IFERROR(__xludf.DUMMYFUNCTION("""COMPUTED_VALUE"""),328.78260869565213)</f>
        <v>328.7826087</v>
      </c>
      <c r="T532" s="57">
        <f>IFERROR(__xludf.DUMMYFUNCTION("""COMPUTED_VALUE"""),0.7246376811594203)</f>
        <v>0.7246376812</v>
      </c>
      <c r="U532" s="57">
        <f>IFERROR(__xludf.DUMMYFUNCTION("""COMPUTED_VALUE"""),0.46376811594202894)</f>
        <v>0.4637681159</v>
      </c>
      <c r="V532" s="57">
        <f>IFERROR(__xludf.DUMMYFUNCTION("""COMPUTED_VALUE"""),1.4637681159420293)</f>
        <v>1.463768116</v>
      </c>
      <c r="W532" s="57">
        <f>IFERROR(__xludf.DUMMYFUNCTION("""COMPUTED_VALUE"""),2.0289855072463765)</f>
        <v>2.028985507</v>
      </c>
      <c r="X532" s="31">
        <f>IFERROR(__xludf.DUMMYFUNCTION("""COMPUTED_VALUE"""),325.8144571400215)</f>
        <v>325.8144571</v>
      </c>
      <c r="Y532" s="57">
        <f>IFERROR(__xludf.DUMMYFUNCTION("""COMPUTED_VALUE"""),0.7060792213527869)</f>
        <v>0.7060792214</v>
      </c>
      <c r="Z532" s="57">
        <f>IFERROR(__xludf.DUMMYFUNCTION("""COMPUTED_VALUE"""),0.47472420109846863)</f>
        <v>0.4747242011</v>
      </c>
      <c r="AA532" s="57">
        <f>IFERROR(__xludf.DUMMYFUNCTION("""COMPUTED_VALUE"""),1.2669928170219282)</f>
        <v>1.266992817</v>
      </c>
      <c r="AB532" s="57">
        <f>IFERROR(__xludf.DUMMYFUNCTION("""COMPUTED_VALUE"""),2.2635804305631213)</f>
        <v>2.263580431</v>
      </c>
      <c r="AC532" s="31">
        <f>IFERROR(__xludf.DUMMYFUNCTION("""COMPUTED_VALUE"""),343.0769281592278)</f>
        <v>343.0769282</v>
      </c>
      <c r="AD532" s="57">
        <f>IFERROR(__xludf.DUMMYFUNCTION("""COMPUTED_VALUE"""),0.857363261347919)</f>
        <v>0.8573632613</v>
      </c>
      <c r="AE532" s="57">
        <f>IFERROR(__xludf.DUMMYFUNCTION("""COMPUTED_VALUE"""),0.5625968454398411)</f>
        <v>0.5625968454</v>
      </c>
      <c r="AF532" s="57">
        <f>IFERROR(__xludf.DUMMYFUNCTION("""COMPUTED_VALUE"""),1.1490867815835606)</f>
        <v>1.149086782</v>
      </c>
      <c r="AG532" s="57">
        <f>IFERROR(__xludf.DUMMYFUNCTION("""COMPUTED_VALUE"""),2.614209977575745)</f>
        <v>2.614209978</v>
      </c>
      <c r="AH532" s="57">
        <f>IFERROR(__xludf.DUMMYFUNCTION("""COMPUTED_VALUE"""),0.8332520835814247)</f>
        <v>0.8332520836</v>
      </c>
      <c r="AI532" s="57">
        <f>IFERROR(__xludf.DUMMYFUNCTION("""COMPUTED_VALUE"""),0.912808760223504)</f>
        <v>0.9128087602</v>
      </c>
      <c r="AJ532" s="57">
        <f>IFERROR(__xludf.DUMMYFUNCTION("""COMPUTED_VALUE"""),0.6955324243244969)</f>
        <v>0.6955324243</v>
      </c>
      <c r="AK532" s="57">
        <f>IFERROR(__xludf.DUMMYFUNCTION("""COMPUTED_VALUE"""),0.7567446004321392)</f>
        <v>0.7567446004</v>
      </c>
      <c r="AL532" s="57">
        <f>IFERROR(__xludf.DUMMYFUNCTION("""COMPUTED_VALUE"""),0.964627612956051)</f>
        <v>0.964627613</v>
      </c>
      <c r="AM532" s="57">
        <f>IFERROR(__xludf.DUMMYFUNCTION("""COMPUTED_VALUE"""),1.0091099442967784)</f>
        <v>1.009109944</v>
      </c>
      <c r="AN532" s="57">
        <f>IFERROR(__xludf.DUMMYFUNCTION("""COMPUTED_VALUE"""),1.0262838209161247)</f>
        <v>1.026283821</v>
      </c>
      <c r="AO532" s="57">
        <f>IFERROR(__xludf.DUMMYFUNCTION("""COMPUTED_VALUE"""),0.9769211573138923)</f>
        <v>0.9769211573</v>
      </c>
      <c r="AP532" s="35">
        <f>IFERROR(__xludf.DUMMYFUNCTION("""COMPUTED_VALUE"""),1.155308930150545)</f>
        <v>1.15530893</v>
      </c>
      <c r="AQ532" s="57">
        <f>IFERROR(__xludf.DUMMYFUNCTION("""COMPUTED_VALUE"""),0.8963611276413167)</f>
        <v>0.8963611276</v>
      </c>
      <c r="AR532" s="36" t="b">
        <f>IFERROR(__xludf.DUMMYFUNCTION("""COMPUTED_VALUE"""),TRUE)</f>
        <v>1</v>
      </c>
      <c r="AS532" s="57"/>
      <c r="AT532" s="37"/>
      <c r="AU532" s="30"/>
      <c r="AV532" s="30"/>
      <c r="AW532" s="30"/>
      <c r="AX532" s="30"/>
      <c r="AY532" s="30"/>
      <c r="AZ532" s="30"/>
    </row>
    <row r="533">
      <c r="A533" s="30" t="str">
        <f>IFERROR(__xludf.DUMMYFUNCTION("""COMPUTED_VALUE"""),"Prospect")</f>
        <v>Prospect</v>
      </c>
      <c r="B533" s="30" t="str">
        <f>IFERROR(__xludf.DUMMYFUNCTION("""COMPUTED_VALUE"""),"RSC008010")</f>
        <v>RSC008010</v>
      </c>
      <c r="C533" s="30" t="str">
        <f>IFERROR(__xludf.DUMMYFUNCTION("""COMPUTED_VALUE"""),"WamBamTYMan-")</f>
        <v>WamBamTYMan-</v>
      </c>
      <c r="D533" s="31" t="str">
        <f>IFERROR(__xludf.DUMMYFUNCTION("""COMPUTED_VALUE"""),"Khans")</f>
        <v>Khans</v>
      </c>
      <c r="E533" s="31">
        <f>IFERROR(__xludf.DUMMYFUNCTION("""COMPUTED_VALUE"""),47.58802435517085)</f>
        <v>47.58802436</v>
      </c>
      <c r="F533" s="31">
        <f>IFERROR(__xludf.DUMMYFUNCTION("""COMPUTED_VALUE"""),-2.166518313312128)</f>
        <v>-2.166518313</v>
      </c>
      <c r="G533" s="31">
        <f>IFERROR(__xludf.DUMMYFUNCTION("""COMPUTED_VALUE"""),45.58855375034736)</f>
        <v>45.58855375</v>
      </c>
      <c r="H533" s="31">
        <f>IFERROR(__xludf.DUMMYFUNCTION("""COMPUTED_VALUE"""),-2.325759181059211)</f>
        <v>-2.325759181</v>
      </c>
      <c r="I533" s="54">
        <f>IFERROR(__xludf.DUMMYFUNCTION("""COMPUTED_VALUE"""),47.0)</f>
        <v>47</v>
      </c>
      <c r="J533" s="55">
        <f>IFERROR(__xludf.DUMMYFUNCTION("""COMPUTED_VALUE"""),18.0)</f>
        <v>18</v>
      </c>
      <c r="K533" s="54">
        <f>IFERROR(__xludf.DUMMYFUNCTION("""COMPUTED_VALUE"""),29.0)</f>
        <v>29</v>
      </c>
      <c r="L533" s="56">
        <f>IFERROR(__xludf.DUMMYFUNCTION("""COMPUTED_VALUE"""),0.3829787234042553)</f>
        <v>0.3829787234</v>
      </c>
      <c r="M533" s="56">
        <f>IFERROR(__xludf.DUMMYFUNCTION("""COMPUTED_VALUE"""),0.3113207547169812)</f>
        <v>0.3113207547</v>
      </c>
      <c r="N533" s="31">
        <f>IFERROR(__xludf.DUMMYFUNCTION("""COMPUTED_VALUE"""),339.93617021276594)</f>
        <v>339.9361702</v>
      </c>
      <c r="O533" s="57">
        <f>IFERROR(__xludf.DUMMYFUNCTION("""COMPUTED_VALUE"""),0.7021276595744681)</f>
        <v>0.7021276596</v>
      </c>
      <c r="P533" s="57">
        <f>IFERROR(__xludf.DUMMYFUNCTION("""COMPUTED_VALUE"""),0.40425531914893614)</f>
        <v>0.4042553191</v>
      </c>
      <c r="Q533" s="57">
        <f>IFERROR(__xludf.DUMMYFUNCTION("""COMPUTED_VALUE"""),1.4680851063829787)</f>
        <v>1.468085106</v>
      </c>
      <c r="R533" s="57">
        <f>IFERROR(__xludf.DUMMYFUNCTION("""COMPUTED_VALUE"""),2.25531914893617)</f>
        <v>2.255319149</v>
      </c>
      <c r="S533" s="31">
        <f>IFERROR(__xludf.DUMMYFUNCTION("""COMPUTED_VALUE"""),344.19858156028374)</f>
        <v>344.1985816</v>
      </c>
      <c r="T533" s="57">
        <f>IFERROR(__xludf.DUMMYFUNCTION("""COMPUTED_VALUE"""),0.8581560283687942)</f>
        <v>0.8581560284</v>
      </c>
      <c r="U533" s="57">
        <f>IFERROR(__xludf.DUMMYFUNCTION("""COMPUTED_VALUE"""),0.5744680851063829)</f>
        <v>0.5744680851</v>
      </c>
      <c r="V533" s="57">
        <f>IFERROR(__xludf.DUMMYFUNCTION("""COMPUTED_VALUE"""),1.1276595744680857)</f>
        <v>1.127659574</v>
      </c>
      <c r="W533" s="57">
        <f>IFERROR(__xludf.DUMMYFUNCTION("""COMPUTED_VALUE"""),2.794326241134752)</f>
        <v>2.794326241</v>
      </c>
      <c r="X533" s="31">
        <f>IFERROR(__xludf.DUMMYFUNCTION("""COMPUTED_VALUE"""),339.21100524022444)</f>
        <v>339.2110052</v>
      </c>
      <c r="Y533" s="57">
        <f>IFERROR(__xludf.DUMMYFUNCTION("""COMPUTED_VALUE"""),0.827454341386027)</f>
        <v>0.8274543414</v>
      </c>
      <c r="Z533" s="57">
        <f>IFERROR(__xludf.DUMMYFUNCTION("""COMPUTED_VALUE"""),0.5665386014153772)</f>
        <v>0.5665386014</v>
      </c>
      <c r="AA533" s="57">
        <f>IFERROR(__xludf.DUMMYFUNCTION("""COMPUTED_VALUE"""),1.1556873679380684)</f>
        <v>1.155687368</v>
      </c>
      <c r="AB533" s="57">
        <f>IFERROR(__xludf.DUMMYFUNCTION("""COMPUTED_VALUE"""),2.5446659996137115)</f>
        <v>2.544666</v>
      </c>
      <c r="AC533" s="31">
        <f>IFERROR(__xludf.DUMMYFUNCTION("""COMPUTED_VALUE"""),330.50111453628625)</f>
        <v>330.5011145</v>
      </c>
      <c r="AD533" s="57">
        <f>IFERROR(__xludf.DUMMYFUNCTION("""COMPUTED_VALUE"""),0.7592765854024042)</f>
        <v>0.7592765854</v>
      </c>
      <c r="AE533" s="57">
        <f>IFERROR(__xludf.DUMMYFUNCTION("""COMPUTED_VALUE"""),0.5015531105325434)</f>
        <v>0.5015531105</v>
      </c>
      <c r="AF533" s="57">
        <f>IFERROR(__xludf.DUMMYFUNCTION("""COMPUTED_VALUE"""),1.2258776989489393)</f>
        <v>1.225877699</v>
      </c>
      <c r="AG533" s="57">
        <f>IFERROR(__xludf.DUMMYFUNCTION("""COMPUTED_VALUE"""),2.321177187219427)</f>
        <v>2.321177187</v>
      </c>
      <c r="AH533" s="57">
        <f>IFERROR(__xludf.DUMMYFUNCTION("""COMPUTED_VALUE"""),1.0285477272587042)</f>
        <v>1.028547727</v>
      </c>
      <c r="AI533" s="57">
        <f>IFERROR(__xludf.DUMMYFUNCTION("""COMPUTED_VALUE"""),0.924732400647324)</f>
        <v>0.9247324006</v>
      </c>
      <c r="AJ533" s="57">
        <f>IFERROR(__xludf.DUMMYFUNCTION("""COMPUTED_VALUE"""),0.8060070023685079)</f>
        <v>0.8060070024</v>
      </c>
      <c r="AK533" s="57">
        <f>IFERROR(__xludf.DUMMYFUNCTION("""COMPUTED_VALUE"""),1.1975787695964342)</f>
        <v>1.19757877</v>
      </c>
      <c r="AL533" s="57">
        <f>IFERROR(__xludf.DUMMYFUNCTION("""COMPUTED_VALUE"""),0.9716273110704877)</f>
        <v>0.9716273111</v>
      </c>
      <c r="AM533" s="57">
        <f>IFERROR(__xludf.DUMMYFUNCTION("""COMPUTED_VALUE"""),1.0147034625734717)</f>
        <v>1.014703463</v>
      </c>
      <c r="AN533" s="57">
        <f>IFERROR(__xludf.DUMMYFUNCTION("""COMPUTED_VALUE"""),1.037103783794693)</f>
        <v>1.037103784</v>
      </c>
      <c r="AO533" s="57">
        <f>IFERROR(__xludf.DUMMYFUNCTION("""COMPUTED_VALUE"""),1.0139963696581233)</f>
        <v>1.01399637</v>
      </c>
      <c r="AP533" s="35">
        <f>IFERROR(__xludf.DUMMYFUNCTION("""COMPUTED_VALUE"""),0.975747945121189)</f>
        <v>0.9757479451</v>
      </c>
      <c r="AQ533" s="57">
        <f>IFERROR(__xludf.DUMMYFUNCTION("""COMPUTED_VALUE"""),1.0981112026328563)</f>
        <v>1.098111203</v>
      </c>
      <c r="AR533" s="36" t="b">
        <f>IFERROR(__xludf.DUMMYFUNCTION("""COMPUTED_VALUE"""),TRUE)</f>
        <v>1</v>
      </c>
      <c r="AS533" s="57"/>
      <c r="AT533" s="37"/>
      <c r="AU533" s="30"/>
      <c r="AV533" s="30"/>
      <c r="AW533" s="30"/>
      <c r="AX533" s="30"/>
      <c r="AY533" s="30"/>
      <c r="AZ533" s="30"/>
    </row>
    <row r="534">
      <c r="A534" s="30" t="str">
        <f>IFERROR(__xludf.DUMMYFUNCTION("""COMPUTED_VALUE"""),"Prospect")</f>
        <v>Prospect</v>
      </c>
      <c r="B534" s="30" t="str">
        <f>IFERROR(__xludf.DUMMYFUNCTION("""COMPUTED_VALUE"""),"RSC004303")</f>
        <v>RSC004303</v>
      </c>
      <c r="C534" s="30" t="str">
        <f>IFERROR(__xludf.DUMMYFUNCTION("""COMPUTED_VALUE"""),"Shogun")</f>
        <v>Shogun</v>
      </c>
      <c r="D534" s="31" t="str">
        <f>IFERROR(__xludf.DUMMYFUNCTION("""COMPUTED_VALUE"""),"Honey Badgers")</f>
        <v>Honey Badgers</v>
      </c>
      <c r="E534" s="31">
        <f>IFERROR(__xludf.DUMMYFUNCTION("""COMPUTED_VALUE"""),47.44939926877864)</f>
        <v>47.44939927</v>
      </c>
      <c r="F534" s="31">
        <f>IFERROR(__xludf.DUMMYFUNCTION("""COMPUTED_VALUE"""),-2.1769001242644213)</f>
        <v>-2.176900124</v>
      </c>
      <c r="G534" s="31">
        <f>IFERROR(__xludf.DUMMYFUNCTION("""COMPUTED_VALUE"""),43.8127534274287)</f>
        <v>43.81275343</v>
      </c>
      <c r="H534" s="31">
        <f>IFERROR(__xludf.DUMMYFUNCTION("""COMPUTED_VALUE"""),-2.485926128813158)</f>
        <v>-2.485926129</v>
      </c>
      <c r="I534" s="54">
        <f>IFERROR(__xludf.DUMMYFUNCTION("""COMPUTED_VALUE"""),42.0)</f>
        <v>42</v>
      </c>
      <c r="J534" s="55">
        <f>IFERROR(__xludf.DUMMYFUNCTION("""COMPUTED_VALUE"""),24.0)</f>
        <v>24</v>
      </c>
      <c r="K534" s="54">
        <f>IFERROR(__xludf.DUMMYFUNCTION("""COMPUTED_VALUE"""),18.0)</f>
        <v>18</v>
      </c>
      <c r="L534" s="56">
        <f>IFERROR(__xludf.DUMMYFUNCTION("""COMPUTED_VALUE"""),0.5714285714285714)</f>
        <v>0.5714285714</v>
      </c>
      <c r="M534" s="56">
        <f>IFERROR(__xludf.DUMMYFUNCTION("""COMPUTED_VALUE"""),0.2903225806451613)</f>
        <v>0.2903225806</v>
      </c>
      <c r="N534" s="31">
        <f>IFERROR(__xludf.DUMMYFUNCTION("""COMPUTED_VALUE"""),325.4047619047619)</f>
        <v>325.4047619</v>
      </c>
      <c r="O534" s="57">
        <f>IFERROR(__xludf.DUMMYFUNCTION("""COMPUTED_VALUE"""),0.6428571428571429)</f>
        <v>0.6428571429</v>
      </c>
      <c r="P534" s="57">
        <f>IFERROR(__xludf.DUMMYFUNCTION("""COMPUTED_VALUE"""),0.4523809523809524)</f>
        <v>0.4523809524</v>
      </c>
      <c r="Q534" s="57">
        <f>IFERROR(__xludf.DUMMYFUNCTION("""COMPUTED_VALUE"""),1.380952380952381)</f>
        <v>1.380952381</v>
      </c>
      <c r="R534" s="57">
        <f>IFERROR(__xludf.DUMMYFUNCTION("""COMPUTED_VALUE"""),2.2142857142857144)</f>
        <v>2.214285714</v>
      </c>
      <c r="S534" s="31">
        <f>IFERROR(__xludf.DUMMYFUNCTION("""COMPUTED_VALUE"""),326.6587301587302)</f>
        <v>326.6587302</v>
      </c>
      <c r="T534" s="57">
        <f>IFERROR(__xludf.DUMMYFUNCTION("""COMPUTED_VALUE"""),0.6984126984126984)</f>
        <v>0.6984126984</v>
      </c>
      <c r="U534" s="57">
        <f>IFERROR(__xludf.DUMMYFUNCTION("""COMPUTED_VALUE"""),0.492063492063492)</f>
        <v>0.4920634921</v>
      </c>
      <c r="V534" s="57">
        <f>IFERROR(__xludf.DUMMYFUNCTION("""COMPUTED_VALUE"""),1.1587301587301586)</f>
        <v>1.158730159</v>
      </c>
      <c r="W534" s="57">
        <f>IFERROR(__xludf.DUMMYFUNCTION("""COMPUTED_VALUE"""),2.436507936507936)</f>
        <v>2.436507937</v>
      </c>
      <c r="X534" s="31">
        <f>IFERROR(__xludf.DUMMYFUNCTION("""COMPUTED_VALUE"""),336.76817591698193)</f>
        <v>336.7681759</v>
      </c>
      <c r="Y534" s="57">
        <f>IFERROR(__xludf.DUMMYFUNCTION("""COMPUTED_VALUE"""),0.8031176825283649)</f>
        <v>0.8031176825</v>
      </c>
      <c r="Z534" s="57">
        <f>IFERROR(__xludf.DUMMYFUNCTION("""COMPUTED_VALUE"""),0.5503402701984511)</f>
        <v>0.5503402702</v>
      </c>
      <c r="AA534" s="57">
        <f>IFERROR(__xludf.DUMMYFUNCTION("""COMPUTED_VALUE"""),1.1748692244202876)</f>
        <v>1.174869224</v>
      </c>
      <c r="AB534" s="57">
        <f>IFERROR(__xludf.DUMMYFUNCTION("""COMPUTED_VALUE"""),2.4434840908170123)</f>
        <v>2.443484091</v>
      </c>
      <c r="AC534" s="31">
        <f>IFERROR(__xludf.DUMMYFUNCTION("""COMPUTED_VALUE"""),334.82672221157503)</f>
        <v>334.8267222</v>
      </c>
      <c r="AD534" s="57">
        <f>IFERROR(__xludf.DUMMYFUNCTION("""COMPUTED_VALUE"""),0.7990873983895445)</f>
        <v>0.7990873984</v>
      </c>
      <c r="AE534" s="57">
        <f>IFERROR(__xludf.DUMMYFUNCTION("""COMPUTED_VALUE"""),0.5184309792866616)</f>
        <v>0.5184309793</v>
      </c>
      <c r="AF534" s="57">
        <f>IFERROR(__xludf.DUMMYFUNCTION("""COMPUTED_VALUE"""),1.2086375321267717)</f>
        <v>1.208637532</v>
      </c>
      <c r="AG534" s="57">
        <f>IFERROR(__xludf.DUMMYFUNCTION("""COMPUTED_VALUE"""),2.3916400350220584)</f>
        <v>2.391640035</v>
      </c>
      <c r="AH534" s="57">
        <f>IFERROR(__xludf.DUMMYFUNCTION("""COMPUTED_VALUE"""),0.9718601901169064)</f>
        <v>0.9718601901</v>
      </c>
      <c r="AI534" s="57">
        <f>IFERROR(__xludf.DUMMYFUNCTION("""COMPUTED_VALUE"""),0.8044891511901413)</f>
        <v>0.8044891512</v>
      </c>
      <c r="AJ534" s="57">
        <f>IFERROR(__xludf.DUMMYFUNCTION("""COMPUTED_VALUE"""),0.8725962962387179)</f>
        <v>0.8725962962</v>
      </c>
      <c r="AK534" s="57">
        <f>IFERROR(__xludf.DUMMYFUNCTION("""COMPUTED_VALUE"""),1.1425695001564253)</f>
        <v>1.1425695</v>
      </c>
      <c r="AL534" s="57">
        <f>IFERROR(__xludf.DUMMYFUNCTION("""COMPUTED_VALUE"""),0.9258440575758684)</f>
        <v>0.9258440576</v>
      </c>
      <c r="AM534" s="57">
        <f>IFERROR(__xludf.DUMMYFUNCTION("""COMPUTED_VALUE"""),0.9699809944014904)</f>
        <v>0.9699809944</v>
      </c>
      <c r="AN534" s="57">
        <f>IFERROR(__xludf.DUMMYFUNCTION("""COMPUTED_VALUE"""),0.8696268474801406)</f>
        <v>0.8696268475</v>
      </c>
      <c r="AO534" s="57">
        <f>IFERROR(__xludf.DUMMYFUNCTION("""COMPUTED_VALUE"""),0.8941077342678473)</f>
        <v>0.8941077343</v>
      </c>
      <c r="AP534" s="35">
        <f>IFERROR(__xludf.DUMMYFUNCTION("""COMPUTED_VALUE"""),0.9862630960496114)</f>
        <v>0.986263096</v>
      </c>
      <c r="AQ534" s="57">
        <f>IFERROR(__xludf.DUMMYFUNCTION("""COMPUTED_VALUE"""),0.9971449970411946)</f>
        <v>0.997144997</v>
      </c>
      <c r="AR534" s="36" t="b">
        <f>IFERROR(__xludf.DUMMYFUNCTION("""COMPUTED_VALUE"""),TRUE)</f>
        <v>1</v>
      </c>
      <c r="AS534" s="57"/>
      <c r="AT534" s="37"/>
      <c r="AU534" s="30"/>
      <c r="AV534" s="30"/>
      <c r="AW534" s="30"/>
      <c r="AX534" s="30"/>
      <c r="AY534" s="30"/>
      <c r="AZ534" s="30"/>
    </row>
    <row r="535">
      <c r="A535" s="30" t="str">
        <f>IFERROR(__xludf.DUMMYFUNCTION("""COMPUTED_VALUE"""),"Prospect")</f>
        <v>Prospect</v>
      </c>
      <c r="B535" s="30" t="str">
        <f>IFERROR(__xludf.DUMMYFUNCTION("""COMPUTED_VALUE"""),"RSC006587")</f>
        <v>RSC006587</v>
      </c>
      <c r="C535" s="30" t="str">
        <f>IFERROR(__xludf.DUMMYFUNCTION("""COMPUTED_VALUE"""),"Enterprise15")</f>
        <v>Enterprise15</v>
      </c>
      <c r="D535" s="31" t="str">
        <f>IFERROR(__xludf.DUMMYFUNCTION("""COMPUTED_VALUE"""),"Skeletons")</f>
        <v>Skeletons</v>
      </c>
      <c r="E535" s="31">
        <f>IFERROR(__xludf.DUMMYFUNCTION("""COMPUTED_VALUE"""),46.787436136930246)</f>
        <v>46.78743614</v>
      </c>
      <c r="F535" s="31">
        <f>IFERROR(__xludf.DUMMYFUNCTION("""COMPUTED_VALUE"""),-2.227788533142324)</f>
        <v>-2.227788533</v>
      </c>
      <c r="G535" s="31">
        <f>IFERROR(__xludf.DUMMYFUNCTION("""COMPUTED_VALUE"""),47.429065380394086)</f>
        <v>47.42906538</v>
      </c>
      <c r="H535" s="31">
        <f>IFERROR(__xludf.DUMMYFUNCTION("""COMPUTED_VALUE"""),-2.1784308396299634)</f>
        <v>-2.17843084</v>
      </c>
      <c r="I535" s="54">
        <f>IFERROR(__xludf.DUMMYFUNCTION("""COMPUTED_VALUE"""),44.0)</f>
        <v>44</v>
      </c>
      <c r="J535" s="55">
        <f>IFERROR(__xludf.DUMMYFUNCTION("""COMPUTED_VALUE"""),17.0)</f>
        <v>17</v>
      </c>
      <c r="K535" s="54">
        <f>IFERROR(__xludf.DUMMYFUNCTION("""COMPUTED_VALUE"""),27.0)</f>
        <v>27</v>
      </c>
      <c r="L535" s="56">
        <f>IFERROR(__xludf.DUMMYFUNCTION("""COMPUTED_VALUE"""),0.38636363636363635)</f>
        <v>0.3863636364</v>
      </c>
      <c r="M535" s="56">
        <f>IFERROR(__xludf.DUMMYFUNCTION("""COMPUTED_VALUE"""),0.3191489361702128)</f>
        <v>0.3191489362</v>
      </c>
      <c r="N535" s="31">
        <f>IFERROR(__xludf.DUMMYFUNCTION("""COMPUTED_VALUE"""),336.40909090909093)</f>
        <v>336.4090909</v>
      </c>
      <c r="O535" s="57">
        <f>IFERROR(__xludf.DUMMYFUNCTION("""COMPUTED_VALUE"""),0.6818181818181818)</f>
        <v>0.6818181818</v>
      </c>
      <c r="P535" s="57">
        <f>IFERROR(__xludf.DUMMYFUNCTION("""COMPUTED_VALUE"""),0.5227272727272727)</f>
        <v>0.5227272727</v>
      </c>
      <c r="Q535" s="57">
        <f>IFERROR(__xludf.DUMMYFUNCTION("""COMPUTED_VALUE"""),1.4090909090909092)</f>
        <v>1.409090909</v>
      </c>
      <c r="R535" s="57">
        <f>IFERROR(__xludf.DUMMYFUNCTION("""COMPUTED_VALUE"""),2.1363636363636362)</f>
        <v>2.136363636</v>
      </c>
      <c r="S535" s="31">
        <f>IFERROR(__xludf.DUMMYFUNCTION("""COMPUTED_VALUE"""),338.8712121212122)</f>
        <v>338.8712121</v>
      </c>
      <c r="T535" s="57">
        <f>IFERROR(__xludf.DUMMYFUNCTION("""COMPUTED_VALUE"""),0.8787878787878789)</f>
        <v>0.8787878788</v>
      </c>
      <c r="U535" s="57">
        <f>IFERROR(__xludf.DUMMYFUNCTION("""COMPUTED_VALUE"""),0.5454545454545454)</f>
        <v>0.5454545455</v>
      </c>
      <c r="V535" s="57">
        <f>IFERROR(__xludf.DUMMYFUNCTION("""COMPUTED_VALUE"""),1.1515151515151514)</f>
        <v>1.151515152</v>
      </c>
      <c r="W535" s="57">
        <f>IFERROR(__xludf.DUMMYFUNCTION("""COMPUTED_VALUE"""),2.568181818181818)</f>
        <v>2.568181818</v>
      </c>
      <c r="X535" s="31">
        <f>IFERROR(__xludf.DUMMYFUNCTION("""COMPUTED_VALUE"""),334.1806185013539)</f>
        <v>334.1806185</v>
      </c>
      <c r="Y535" s="57">
        <f>IFERROR(__xludf.DUMMYFUNCTION("""COMPUTED_VALUE"""),0.8104762629614283)</f>
        <v>0.810476263</v>
      </c>
      <c r="Z535" s="57">
        <f>IFERROR(__xludf.DUMMYFUNCTION("""COMPUTED_VALUE"""),0.542770409478509)</f>
        <v>0.5427704095</v>
      </c>
      <c r="AA535" s="57">
        <f>IFERROR(__xludf.DUMMYFUNCTION("""COMPUTED_VALUE"""),1.1565878800622167)</f>
        <v>1.15658788</v>
      </c>
      <c r="AB535" s="57">
        <f>IFERROR(__xludf.DUMMYFUNCTION("""COMPUTED_VALUE"""),2.421089099216154)</f>
        <v>2.421089099</v>
      </c>
      <c r="AC535" s="31">
        <f>IFERROR(__xludf.DUMMYFUNCTION("""COMPUTED_VALUE"""),332.52590790655194)</f>
        <v>332.5259079</v>
      </c>
      <c r="AD535" s="57">
        <f>IFERROR(__xludf.DUMMYFUNCTION("""COMPUTED_VALUE"""),0.7907060173724099)</f>
        <v>0.7907060174</v>
      </c>
      <c r="AE535" s="57">
        <f>IFERROR(__xludf.DUMMYFUNCTION("""COMPUTED_VALUE"""),0.5230510593046787)</f>
        <v>0.5230510593</v>
      </c>
      <c r="AF535" s="57">
        <f>IFERROR(__xludf.DUMMYFUNCTION("""COMPUTED_VALUE"""),1.1792025294914716)</f>
        <v>1.179202529</v>
      </c>
      <c r="AG535" s="57">
        <f>IFERROR(__xludf.DUMMYFUNCTION("""COMPUTED_VALUE"""),2.3879213938724164)</f>
        <v>2.387921394</v>
      </c>
      <c r="AH535" s="57">
        <f>IFERROR(__xludf.DUMMYFUNCTION("""COMPUTED_VALUE"""),1.0116778359526508)</f>
        <v>1.011677836</v>
      </c>
      <c r="AI535" s="57">
        <f>IFERROR(__xludf.DUMMYFUNCTION("""COMPUTED_VALUE"""),0.8622903668849359)</f>
        <v>0.8622903669</v>
      </c>
      <c r="AJ535" s="57">
        <f>IFERROR(__xludf.DUMMYFUNCTION("""COMPUTED_VALUE"""),0.9993809656406463)</f>
        <v>0.9993809656</v>
      </c>
      <c r="AK535" s="57">
        <f>IFERROR(__xludf.DUMMYFUNCTION("""COMPUTED_VALUE"""),1.1949524138983796)</f>
        <v>1.194952414</v>
      </c>
      <c r="AL535" s="57">
        <f>IFERROR(__xludf.DUMMYFUNCTION("""COMPUTED_VALUE"""),0.8946540877960656)</f>
        <v>0.8946540878</v>
      </c>
      <c r="AM535" s="57">
        <f>IFERROR(__xludf.DUMMYFUNCTION("""COMPUTED_VALUE"""),1.01403610311362)</f>
        <v>1.014036103</v>
      </c>
      <c r="AN535" s="57">
        <f>IFERROR(__xludf.DUMMYFUNCTION("""COMPUTED_VALUE"""),1.084285769921064)</f>
        <v>1.08428577</v>
      </c>
      <c r="AO535" s="57">
        <f>IFERROR(__xludf.DUMMYFUNCTION("""COMPUTED_VALUE"""),1.004945251121216)</f>
        <v>1.004945251</v>
      </c>
      <c r="AP535" s="35">
        <f>IFERROR(__xludf.DUMMYFUNCTION("""COMPUTED_VALUE"""),0.9956140569735242)</f>
        <v>0.995614057</v>
      </c>
      <c r="AQ535" s="57">
        <f>IFERROR(__xludf.DUMMYFUNCTION("""COMPUTED_VALUE"""),1.0607547731363074)</f>
        <v>1.060754773</v>
      </c>
      <c r="AR535" s="36" t="b">
        <f>IFERROR(__xludf.DUMMYFUNCTION("""COMPUTED_VALUE"""),TRUE)</f>
        <v>1</v>
      </c>
      <c r="AS535" s="57"/>
      <c r="AT535" s="37"/>
      <c r="AU535" s="30"/>
      <c r="AV535" s="30"/>
      <c r="AW535" s="30"/>
      <c r="AX535" s="30"/>
      <c r="AY535" s="30"/>
      <c r="AZ535" s="30"/>
    </row>
    <row r="536">
      <c r="A536" s="30" t="str">
        <f>IFERROR(__xludf.DUMMYFUNCTION("""COMPUTED_VALUE"""),"Prospect")</f>
        <v>Prospect</v>
      </c>
      <c r="B536" s="30" t="str">
        <f>IFERROR(__xludf.DUMMYFUNCTION("""COMPUTED_VALUE"""),"RSC003737")</f>
        <v>RSC003737</v>
      </c>
      <c r="C536" s="30" t="str">
        <f>IFERROR(__xludf.DUMMYFUNCTION("""COMPUTED_VALUE"""),"MeOnDisplay")</f>
        <v>MeOnDisplay</v>
      </c>
      <c r="D536" s="31" t="str">
        <f>IFERROR(__xludf.DUMMYFUNCTION("""COMPUTED_VALUE"""),"Honey Badgers")</f>
        <v>Honey Badgers</v>
      </c>
      <c r="E536" s="31">
        <f>IFERROR(__xludf.DUMMYFUNCTION("""COMPUTED_VALUE"""),45.84176846551038)</f>
        <v>45.84176847</v>
      </c>
      <c r="F536" s="31">
        <f>IFERROR(__xludf.DUMMYFUNCTION("""COMPUTED_VALUE"""),-2.304418687236682)</f>
        <v>-2.304418687</v>
      </c>
      <c r="G536" s="31">
        <f>IFERROR(__xludf.DUMMYFUNCTION("""COMPUTED_VALUE"""),24.142741027726935)</f>
        <v>24.14274103</v>
      </c>
      <c r="H536" s="31">
        <f>IFERROR(__xludf.DUMMYFUNCTION("""COMPUTED_VALUE"""),-6.64450850101152)</f>
        <v>-6.644508501</v>
      </c>
      <c r="I536" s="54">
        <f>IFERROR(__xludf.DUMMYFUNCTION("""COMPUTED_VALUE"""),31.0)</f>
        <v>31</v>
      </c>
      <c r="J536" s="55">
        <f>IFERROR(__xludf.DUMMYFUNCTION("""COMPUTED_VALUE"""),16.0)</f>
        <v>16</v>
      </c>
      <c r="K536" s="54">
        <f>IFERROR(__xludf.DUMMYFUNCTION("""COMPUTED_VALUE"""),15.0)</f>
        <v>15</v>
      </c>
      <c r="L536" s="56">
        <f>IFERROR(__xludf.DUMMYFUNCTION("""COMPUTED_VALUE"""),0.5161290322580645)</f>
        <v>0.5161290323</v>
      </c>
      <c r="M536" s="56">
        <f>IFERROR(__xludf.DUMMYFUNCTION("""COMPUTED_VALUE"""),0.3714285714285714)</f>
        <v>0.3714285714</v>
      </c>
      <c r="N536" s="31">
        <f>IFERROR(__xludf.DUMMYFUNCTION("""COMPUTED_VALUE"""),290.96774193548384)</f>
        <v>290.9677419</v>
      </c>
      <c r="O536" s="57">
        <f>IFERROR(__xludf.DUMMYFUNCTION("""COMPUTED_VALUE"""),0.8387096774193549)</f>
        <v>0.8387096774</v>
      </c>
      <c r="P536" s="57">
        <f>IFERROR(__xludf.DUMMYFUNCTION("""COMPUTED_VALUE"""),0.3225806451612903)</f>
        <v>0.3225806452</v>
      </c>
      <c r="Q536" s="57">
        <f>IFERROR(__xludf.DUMMYFUNCTION("""COMPUTED_VALUE"""),1.1290322580645162)</f>
        <v>1.129032258</v>
      </c>
      <c r="R536" s="57">
        <f>IFERROR(__xludf.DUMMYFUNCTION("""COMPUTED_VALUE"""),2.2580645161290325)</f>
        <v>2.258064516</v>
      </c>
      <c r="S536" s="31">
        <f>IFERROR(__xludf.DUMMYFUNCTION("""COMPUTED_VALUE"""),350.3333333333333)</f>
        <v>350.3333333</v>
      </c>
      <c r="T536" s="57">
        <f>IFERROR(__xludf.DUMMYFUNCTION("""COMPUTED_VALUE"""),0.7849462365591399)</f>
        <v>0.7849462366</v>
      </c>
      <c r="U536" s="57">
        <f>IFERROR(__xludf.DUMMYFUNCTION("""COMPUTED_VALUE"""),0.5698924731182794)</f>
        <v>0.5698924731</v>
      </c>
      <c r="V536" s="57">
        <f>IFERROR(__xludf.DUMMYFUNCTION("""COMPUTED_VALUE"""),1.2473118279569892)</f>
        <v>1.247311828</v>
      </c>
      <c r="W536" s="57">
        <f>IFERROR(__xludf.DUMMYFUNCTION("""COMPUTED_VALUE"""),2.655913978494624)</f>
        <v>2.655913978</v>
      </c>
      <c r="X536" s="31">
        <f>IFERROR(__xludf.DUMMYFUNCTION("""COMPUTED_VALUE"""),337.08346155203355)</f>
        <v>337.0834616</v>
      </c>
      <c r="Y536" s="57">
        <f>IFERROR(__xludf.DUMMYFUNCTION("""COMPUTED_VALUE"""),0.7878134786258545)</f>
        <v>0.7878134786</v>
      </c>
      <c r="Z536" s="57">
        <f>IFERROR(__xludf.DUMMYFUNCTION("""COMPUTED_VALUE"""),0.5217089545981831)</f>
        <v>0.5217089546</v>
      </c>
      <c r="AA536" s="57">
        <f>IFERROR(__xludf.DUMMYFUNCTION("""COMPUTED_VALUE"""),1.216064239705345)</f>
        <v>1.21606424</v>
      </c>
      <c r="AB536" s="57">
        <f>IFERROR(__xludf.DUMMYFUNCTION("""COMPUTED_VALUE"""),2.3997623918906137)</f>
        <v>2.399762392</v>
      </c>
      <c r="AC536" s="31">
        <f>IFERROR(__xludf.DUMMYFUNCTION("""COMPUTED_VALUE"""),334.2521020430019)</f>
        <v>334.252102</v>
      </c>
      <c r="AD536" s="57">
        <f>IFERROR(__xludf.DUMMYFUNCTION("""COMPUTED_VALUE"""),0.8079101522478533)</f>
        <v>0.8079101522</v>
      </c>
      <c r="AE536" s="57">
        <f>IFERROR(__xludf.DUMMYFUNCTION("""COMPUTED_VALUE"""),0.5193676817310771)</f>
        <v>0.5193676817</v>
      </c>
      <c r="AF536" s="57">
        <f>IFERROR(__xludf.DUMMYFUNCTION("""COMPUTED_VALUE"""),1.1842541872476215)</f>
        <v>1.184254187</v>
      </c>
      <c r="AG536" s="57">
        <f>IFERROR(__xludf.DUMMYFUNCTION("""COMPUTED_VALUE"""),2.447822224450763)</f>
        <v>2.447822224</v>
      </c>
      <c r="AH536" s="57">
        <f>IFERROR(__xludf.DUMMYFUNCTION("""COMPUTED_VALUE"""),0.8705038507074235)</f>
        <v>0.8705038507</v>
      </c>
      <c r="AI536" s="57">
        <f>IFERROR(__xludf.DUMMYFUNCTION("""COMPUTED_VALUE"""),1.038122463352896)</f>
        <v>1.038122463</v>
      </c>
      <c r="AJ536" s="57">
        <f>IFERROR(__xludf.DUMMYFUNCTION("""COMPUTED_VALUE"""),0.6211026532997082)</f>
        <v>0.6211026533</v>
      </c>
      <c r="AK536" s="57">
        <f>IFERROR(__xludf.DUMMYFUNCTION("""COMPUTED_VALUE"""),0.953369867906949)</f>
        <v>0.9533698679</v>
      </c>
      <c r="AL536" s="57">
        <f>IFERROR(__xludf.DUMMYFUNCTION("""COMPUTED_VALUE"""),0.9224789666397004)</f>
        <v>0.9224789666</v>
      </c>
      <c r="AM536" s="57">
        <f>IFERROR(__xludf.DUMMYFUNCTION("""COMPUTED_VALUE"""),1.0393073920633584)</f>
        <v>1.039307392</v>
      </c>
      <c r="AN536" s="57">
        <f>IFERROR(__xludf.DUMMYFUNCTION("""COMPUTED_VALUE"""),0.9963605064593261)</f>
        <v>0.9963605065</v>
      </c>
      <c r="AO536" s="57">
        <f>IFERROR(__xludf.DUMMYFUNCTION("""COMPUTED_VALUE"""),1.092357085488799)</f>
        <v>1.092357085</v>
      </c>
      <c r="AP536" s="35">
        <f>IFERROR(__xludf.DUMMYFUNCTION("""COMPUTED_VALUE"""),1.025695672343112)</f>
        <v>1.025695672</v>
      </c>
      <c r="AQ536" s="57">
        <f>IFERROR(__xludf.DUMMYFUNCTION("""COMPUTED_VALUE"""),1.106740395411483)</f>
        <v>1.106740395</v>
      </c>
      <c r="AR536" s="36" t="b">
        <f>IFERROR(__xludf.DUMMYFUNCTION("""COMPUTED_VALUE"""),TRUE)</f>
        <v>1</v>
      </c>
      <c r="AS536" s="57"/>
      <c r="AT536" s="37"/>
      <c r="AU536" s="30"/>
      <c r="AV536" s="30"/>
      <c r="AW536" s="30"/>
      <c r="AX536" s="30"/>
      <c r="AY536" s="30"/>
      <c r="AZ536" s="30"/>
    </row>
    <row r="537">
      <c r="A537" s="30" t="str">
        <f>IFERROR(__xludf.DUMMYFUNCTION("""COMPUTED_VALUE"""),"Prospect")</f>
        <v>Prospect</v>
      </c>
      <c r="B537" s="30" t="str">
        <f>IFERROR(__xludf.DUMMYFUNCTION("""COMPUTED_VALUE"""),"RSC004106")</f>
        <v>RSC004106</v>
      </c>
      <c r="C537" s="30" t="str">
        <f>IFERROR(__xludf.DUMMYFUNCTION("""COMPUTED_VALUE"""),"K.Doughboy")</f>
        <v>K.Doughboy</v>
      </c>
      <c r="D537" s="31" t="str">
        <f>IFERROR(__xludf.DUMMYFUNCTION("""COMPUTED_VALUE"""),"Blacktips")</f>
        <v>Blacktips</v>
      </c>
      <c r="E537" s="31">
        <f>IFERROR(__xludf.DUMMYFUNCTION("""COMPUTED_VALUE"""),45.40473452408805)</f>
        <v>45.40473452</v>
      </c>
      <c r="F537" s="31">
        <f>IFERROR(__xludf.DUMMYFUNCTION("""COMPUTED_VALUE"""),-2.341476137752226)</f>
        <v>-2.341476138</v>
      </c>
      <c r="G537" s="31">
        <f>IFERROR(__xludf.DUMMYFUNCTION("""COMPUTED_VALUE"""),40.533972217395544)</f>
        <v>40.53397222</v>
      </c>
      <c r="H537" s="31">
        <f>IFERROR(__xludf.DUMMYFUNCTION("""COMPUTED_VALUE"""),-2.8370629807529517)</f>
        <v>-2.837062981</v>
      </c>
      <c r="I537" s="54">
        <f>IFERROR(__xludf.DUMMYFUNCTION("""COMPUTED_VALUE"""),48.0)</f>
        <v>48</v>
      </c>
      <c r="J537" s="55">
        <f>IFERROR(__xludf.DUMMYFUNCTION("""COMPUTED_VALUE"""),30.0)</f>
        <v>30</v>
      </c>
      <c r="K537" s="54">
        <f>IFERROR(__xludf.DUMMYFUNCTION("""COMPUTED_VALUE"""),18.0)</f>
        <v>18</v>
      </c>
      <c r="L537" s="56">
        <f>IFERROR(__xludf.DUMMYFUNCTION("""COMPUTED_VALUE"""),0.625)</f>
        <v>0.625</v>
      </c>
      <c r="M537" s="56">
        <f>IFERROR(__xludf.DUMMYFUNCTION("""COMPUTED_VALUE"""),0.3333333333333333)</f>
        <v>0.3333333333</v>
      </c>
      <c r="N537" s="31">
        <f>IFERROR(__xludf.DUMMYFUNCTION("""COMPUTED_VALUE"""),301.25)</f>
        <v>301.25</v>
      </c>
      <c r="O537" s="57">
        <f>IFERROR(__xludf.DUMMYFUNCTION("""COMPUTED_VALUE"""),0.6666666666666666)</f>
        <v>0.6666666667</v>
      </c>
      <c r="P537" s="57">
        <f>IFERROR(__xludf.DUMMYFUNCTION("""COMPUTED_VALUE"""),0.5625)</f>
        <v>0.5625</v>
      </c>
      <c r="Q537" s="57">
        <f>IFERROR(__xludf.DUMMYFUNCTION("""COMPUTED_VALUE"""),0.9791666666666666)</f>
        <v>0.9791666667</v>
      </c>
      <c r="R537" s="57">
        <f>IFERROR(__xludf.DUMMYFUNCTION("""COMPUTED_VALUE"""),2.0)</f>
        <v>2</v>
      </c>
      <c r="S537" s="31">
        <f>IFERROR(__xludf.DUMMYFUNCTION("""COMPUTED_VALUE"""),320.0138888888889)</f>
        <v>320.0138889</v>
      </c>
      <c r="T537" s="57">
        <f>IFERROR(__xludf.DUMMYFUNCTION("""COMPUTED_VALUE"""),0.7152777777777778)</f>
        <v>0.7152777778</v>
      </c>
      <c r="U537" s="57">
        <f>IFERROR(__xludf.DUMMYFUNCTION("""COMPUTED_VALUE"""),0.4861111111111111)</f>
        <v>0.4861111111</v>
      </c>
      <c r="V537" s="57">
        <f>IFERROR(__xludf.DUMMYFUNCTION("""COMPUTED_VALUE"""),1.1388888888888886)</f>
        <v>1.138888889</v>
      </c>
      <c r="W537" s="57">
        <f>IFERROR(__xludf.DUMMYFUNCTION("""COMPUTED_VALUE"""),2.2708333333333335)</f>
        <v>2.270833333</v>
      </c>
      <c r="X537" s="31">
        <f>IFERROR(__xludf.DUMMYFUNCTION("""COMPUTED_VALUE"""),328.91177524377713)</f>
        <v>328.9117752</v>
      </c>
      <c r="Y537" s="57">
        <f>IFERROR(__xludf.DUMMYFUNCTION("""COMPUTED_VALUE"""),0.7433972776344633)</f>
        <v>0.7433972776</v>
      </c>
      <c r="Z537" s="57">
        <f>IFERROR(__xludf.DUMMYFUNCTION("""COMPUTED_VALUE"""),0.5183885582749898)</f>
        <v>0.5183885583</v>
      </c>
      <c r="AA537" s="57">
        <f>IFERROR(__xludf.DUMMYFUNCTION("""COMPUTED_VALUE"""),1.2151656027169129)</f>
        <v>1.215165603</v>
      </c>
      <c r="AB537" s="57">
        <f>IFERROR(__xludf.DUMMYFUNCTION("""COMPUTED_VALUE"""),2.391674462084739)</f>
        <v>2.391674462</v>
      </c>
      <c r="AC537" s="31">
        <f>IFERROR(__xludf.DUMMYFUNCTION("""COMPUTED_VALUE"""),338.21950742330733)</f>
        <v>338.2195074</v>
      </c>
      <c r="AD537" s="57">
        <f>IFERROR(__xludf.DUMMYFUNCTION("""COMPUTED_VALUE"""),0.7997232476731221)</f>
        <v>0.7997232477</v>
      </c>
      <c r="AE537" s="57">
        <f>IFERROR(__xludf.DUMMYFUNCTION("""COMPUTED_VALUE"""),0.5333226738158519)</f>
        <v>0.5333226738</v>
      </c>
      <c r="AF537" s="57">
        <f>IFERROR(__xludf.DUMMYFUNCTION("""COMPUTED_VALUE"""),1.195595667356877)</f>
        <v>1.195595667</v>
      </c>
      <c r="AG537" s="57">
        <f>IFERROR(__xludf.DUMMYFUNCTION("""COMPUTED_VALUE"""),2.4953686947637252)</f>
        <v>2.495368695</v>
      </c>
      <c r="AH537" s="57">
        <f>IFERROR(__xludf.DUMMYFUNCTION("""COMPUTED_VALUE"""),0.8906937458901885)</f>
        <v>0.8906937459</v>
      </c>
      <c r="AI537" s="57">
        <f>IFERROR(__xludf.DUMMYFUNCTION("""COMPUTED_VALUE"""),0.8336217167706486)</f>
        <v>0.8336217168</v>
      </c>
      <c r="AJ537" s="57">
        <f>IFERROR(__xludf.DUMMYFUNCTION("""COMPUTED_VALUE"""),1.0547085800335252)</f>
        <v>1.05470858</v>
      </c>
      <c r="AK537" s="57">
        <f>IFERROR(__xludf.DUMMYFUNCTION("""COMPUTED_VALUE"""),0.8189780988679278)</f>
        <v>0.8189780989</v>
      </c>
      <c r="AL537" s="57">
        <f>IFERROR(__xludf.DUMMYFUNCTION("""COMPUTED_VALUE"""),0.8014847682415807)</f>
        <v>0.8014847682</v>
      </c>
      <c r="AM537" s="57">
        <f>IFERROR(__xludf.DUMMYFUNCTION("""COMPUTED_VALUE"""),0.9729474983122953)</f>
        <v>0.9729474983</v>
      </c>
      <c r="AN537" s="57">
        <f>IFERROR(__xludf.DUMMYFUNCTION("""COMPUTED_VALUE"""),0.9621743303309322)</f>
        <v>0.9621743303</v>
      </c>
      <c r="AO537" s="57">
        <f>IFERROR(__xludf.DUMMYFUNCTION("""COMPUTED_VALUE"""),0.9377350316695138)</f>
        <v>0.9377350317</v>
      </c>
      <c r="AP537" s="35">
        <f>IFERROR(__xludf.DUMMYFUNCTION("""COMPUTED_VALUE"""),0.9372293672093072)</f>
        <v>0.9372293672</v>
      </c>
      <c r="AQ537" s="57">
        <f>IFERROR(__xludf.DUMMYFUNCTION("""COMPUTED_VALUE"""),0.9494742571921463)</f>
        <v>0.9494742572</v>
      </c>
      <c r="AR537" s="36" t="b">
        <f>IFERROR(__xludf.DUMMYFUNCTION("""COMPUTED_VALUE"""),TRUE)</f>
        <v>1</v>
      </c>
      <c r="AS537" s="57"/>
      <c r="AT537" s="37"/>
      <c r="AU537" s="30"/>
      <c r="AV537" s="30"/>
      <c r="AW537" s="30"/>
      <c r="AX537" s="30"/>
      <c r="AY537" s="30"/>
      <c r="AZ537" s="30"/>
    </row>
    <row r="538">
      <c r="A538" s="30" t="str">
        <f>IFERROR(__xludf.DUMMYFUNCTION("""COMPUTED_VALUE"""),"Prospect")</f>
        <v>Prospect</v>
      </c>
      <c r="B538" s="30" t="str">
        <f>IFERROR(__xludf.DUMMYFUNCTION("""COMPUTED_VALUE"""),"RSC007502")</f>
        <v>RSC007502</v>
      </c>
      <c r="C538" s="30" t="str">
        <f>IFERROR(__xludf.DUMMYFUNCTION("""COMPUTED_VALUE"""),"Cr1m5on_RL")</f>
        <v>Cr1m5on_RL</v>
      </c>
      <c r="D538" s="31"/>
      <c r="E538" s="31">
        <f>IFERROR(__xludf.DUMMYFUNCTION("""COMPUTED_VALUE"""),44.11779798459838)</f>
        <v>44.11779798</v>
      </c>
      <c r="F538" s="31">
        <f>IFERROR(__xludf.DUMMYFUNCTION("""COMPUTED_VALUE"""),-2.4570472942997323)</f>
        <v>-2.457047294</v>
      </c>
      <c r="G538" s="31">
        <f>IFERROR(__xludf.DUMMYFUNCTION("""COMPUTED_VALUE"""),42.51031450180316)</f>
        <v>42.5103145</v>
      </c>
      <c r="H538" s="31">
        <f>IFERROR(__xludf.DUMMYFUNCTION("""COMPUTED_VALUE"""),-2.6161167298245402)</f>
        <v>-2.61611673</v>
      </c>
      <c r="I538" s="54">
        <f>IFERROR(__xludf.DUMMYFUNCTION("""COMPUTED_VALUE"""),26.0)</f>
        <v>26</v>
      </c>
      <c r="J538" s="55">
        <f>IFERROR(__xludf.DUMMYFUNCTION("""COMPUTED_VALUE"""),10.0)</f>
        <v>10</v>
      </c>
      <c r="K538" s="54">
        <f>IFERROR(__xludf.DUMMYFUNCTION("""COMPUTED_VALUE"""),16.0)</f>
        <v>16</v>
      </c>
      <c r="L538" s="56">
        <f>IFERROR(__xludf.DUMMYFUNCTION("""COMPUTED_VALUE"""),0.38461538461538464)</f>
        <v>0.3846153846</v>
      </c>
      <c r="M538" s="56">
        <f>IFERROR(__xludf.DUMMYFUNCTION("""COMPUTED_VALUE"""),0.2205882352941176)</f>
        <v>0.2205882353</v>
      </c>
      <c r="N538" s="31">
        <f>IFERROR(__xludf.DUMMYFUNCTION("""COMPUTED_VALUE"""),337.96153846153845)</f>
        <v>337.9615385</v>
      </c>
      <c r="O538" s="57">
        <f>IFERROR(__xludf.DUMMYFUNCTION("""COMPUTED_VALUE"""),0.5769230769230769)</f>
        <v>0.5769230769</v>
      </c>
      <c r="P538" s="57">
        <f>IFERROR(__xludf.DUMMYFUNCTION("""COMPUTED_VALUE"""),0.46153846153846156)</f>
        <v>0.4615384615</v>
      </c>
      <c r="Q538" s="57">
        <f>IFERROR(__xludf.DUMMYFUNCTION("""COMPUTED_VALUE"""),1.5384615384615385)</f>
        <v>1.538461538</v>
      </c>
      <c r="R538" s="57">
        <f>IFERROR(__xludf.DUMMYFUNCTION("""COMPUTED_VALUE"""),2.6153846153846154)</f>
        <v>2.615384615</v>
      </c>
      <c r="S538" s="31">
        <f>IFERROR(__xludf.DUMMYFUNCTION("""COMPUTED_VALUE"""),355.38461538461536)</f>
        <v>355.3846154</v>
      </c>
      <c r="T538" s="57">
        <f>IFERROR(__xludf.DUMMYFUNCTION("""COMPUTED_VALUE"""),0.8076923076923076)</f>
        <v>0.8076923077</v>
      </c>
      <c r="U538" s="57">
        <f>IFERROR(__xludf.DUMMYFUNCTION("""COMPUTED_VALUE"""),0.5769230769230769)</f>
        <v>0.5769230769</v>
      </c>
      <c r="V538" s="57">
        <f>IFERROR(__xludf.DUMMYFUNCTION("""COMPUTED_VALUE"""),1.3846153846153848)</f>
        <v>1.384615385</v>
      </c>
      <c r="W538" s="57">
        <f>IFERROR(__xludf.DUMMYFUNCTION("""COMPUTED_VALUE"""),2.7435897435897427)</f>
        <v>2.743589744</v>
      </c>
      <c r="X538" s="31">
        <f>IFERROR(__xludf.DUMMYFUNCTION("""COMPUTED_VALUE"""),331.2019845178777)</f>
        <v>331.2019845</v>
      </c>
      <c r="Y538" s="57">
        <f>IFERROR(__xludf.DUMMYFUNCTION("""COMPUTED_VALUE"""),0.7741104817801063)</f>
        <v>0.7741104818</v>
      </c>
      <c r="Z538" s="57">
        <f>IFERROR(__xludf.DUMMYFUNCTION("""COMPUTED_VALUE"""),0.5335261772880577)</f>
        <v>0.5335261773</v>
      </c>
      <c r="AA538" s="57">
        <f>IFERROR(__xludf.DUMMYFUNCTION("""COMPUTED_VALUE"""),1.1648044652173366)</f>
        <v>1.164804465</v>
      </c>
      <c r="AB538" s="57">
        <f>IFERROR(__xludf.DUMMYFUNCTION("""COMPUTED_VALUE"""),2.4223077318207578)</f>
        <v>2.422307732</v>
      </c>
      <c r="AC538" s="31">
        <f>IFERROR(__xludf.DUMMYFUNCTION("""COMPUTED_VALUE"""),342.58857863842)</f>
        <v>342.5885786</v>
      </c>
      <c r="AD538" s="57">
        <f>IFERROR(__xludf.DUMMYFUNCTION("""COMPUTED_VALUE"""),0.8170290471186505)</f>
        <v>0.8170290471</v>
      </c>
      <c r="AE538" s="57">
        <f>IFERROR(__xludf.DUMMYFUNCTION("""COMPUTED_VALUE"""),0.5522937224243694)</f>
        <v>0.5522937224</v>
      </c>
      <c r="AF538" s="57">
        <f>IFERROR(__xludf.DUMMYFUNCTION("""COMPUTED_VALUE"""),1.208241489737903)</f>
        <v>1.20824149</v>
      </c>
      <c r="AG538" s="57">
        <f>IFERROR(__xludf.DUMMYFUNCTION("""COMPUTED_VALUE"""),2.4251050417665696)</f>
        <v>2.425105042</v>
      </c>
      <c r="AH538" s="57">
        <f>IFERROR(__xludf.DUMMYFUNCTION("""COMPUTED_VALUE"""),0.9864938866459845)</f>
        <v>0.9864938866</v>
      </c>
      <c r="AI538" s="57">
        <f>IFERROR(__xludf.DUMMYFUNCTION("""COMPUTED_VALUE"""),0.7061230918994426)</f>
        <v>0.7061230919</v>
      </c>
      <c r="AJ538" s="57">
        <f>IFERROR(__xludf.DUMMYFUNCTION("""COMPUTED_VALUE"""),0.8356757333986613)</f>
        <v>0.8356757334</v>
      </c>
      <c r="AK538" s="57">
        <f>IFERROR(__xludf.DUMMYFUNCTION("""COMPUTED_VALUE"""),1.2733063311666846)</f>
        <v>1.273306331</v>
      </c>
      <c r="AL538" s="57">
        <f>IFERROR(__xludf.DUMMYFUNCTION("""COMPUTED_VALUE"""),1.0784624048612081)</f>
        <v>1.078462405</v>
      </c>
      <c r="AM538" s="57">
        <f>IFERROR(__xludf.DUMMYFUNCTION("""COMPUTED_VALUE"""),1.073014752317803)</f>
        <v>1.073014752</v>
      </c>
      <c r="AN538" s="57">
        <f>IFERROR(__xludf.DUMMYFUNCTION("""COMPUTED_VALUE"""),1.0433811796928238)</f>
        <v>1.04338118</v>
      </c>
      <c r="AO538" s="57">
        <f>IFERROR(__xludf.DUMMYFUNCTION("""COMPUTED_VALUE"""),1.081339775783089)</f>
        <v>1.081339776</v>
      </c>
      <c r="AP538" s="35">
        <f>IFERROR(__xludf.DUMMYFUNCTION("""COMPUTED_VALUE"""),1.188710574145193)</f>
        <v>1.188710574</v>
      </c>
      <c r="AQ538" s="57">
        <f>IFERROR(__xludf.DUMMYFUNCTION("""COMPUTED_VALUE"""),1.1326346803704785)</f>
        <v>1.13263468</v>
      </c>
      <c r="AR538" s="36" t="b">
        <f>IFERROR(__xludf.DUMMYFUNCTION("""COMPUTED_VALUE"""),TRUE)</f>
        <v>1</v>
      </c>
      <c r="AS538" s="57"/>
      <c r="AT538" s="37"/>
      <c r="AU538" s="30"/>
      <c r="AV538" s="30"/>
      <c r="AW538" s="30"/>
      <c r="AX538" s="30"/>
      <c r="AY538" s="30"/>
      <c r="AZ538" s="30"/>
    </row>
    <row r="539">
      <c r="A539" s="30" t="str">
        <f>IFERROR(__xludf.DUMMYFUNCTION("""COMPUTED_VALUE"""),"Prospect")</f>
        <v>Prospect</v>
      </c>
      <c r="B539" s="30" t="str">
        <f>IFERROR(__xludf.DUMMYFUNCTION("""COMPUTED_VALUE"""),"RSC005608")</f>
        <v>RSC005608</v>
      </c>
      <c r="C539" s="30" t="str">
        <f>IFERROR(__xludf.DUMMYFUNCTION("""COMPUTED_VALUE"""),"wolverine36535")</f>
        <v>wolverine36535</v>
      </c>
      <c r="D539" s="31" t="str">
        <f>IFERROR(__xludf.DUMMYFUNCTION("""COMPUTED_VALUE"""),"Prism Proteges")</f>
        <v>Prism Proteges</v>
      </c>
      <c r="E539" s="31">
        <f>IFERROR(__xludf.DUMMYFUNCTION("""COMPUTED_VALUE"""),40.281032237995475)</f>
        <v>40.28103224</v>
      </c>
      <c r="F539" s="31">
        <f>IFERROR(__xludf.DUMMYFUNCTION("""COMPUTED_VALUE"""),-2.8675699679020905)</f>
        <v>-2.867569968</v>
      </c>
      <c r="G539" s="31">
        <f>IFERROR(__xludf.DUMMYFUNCTION("""COMPUTED_VALUE"""),37.29440241450308)</f>
        <v>37.29440241</v>
      </c>
      <c r="H539" s="31">
        <f>IFERROR(__xludf.DUMMYFUNCTION("""COMPUTED_VALUE"""),-3.271735661107834)</f>
        <v>-3.271735661</v>
      </c>
      <c r="I539" s="54">
        <f>IFERROR(__xludf.DUMMYFUNCTION("""COMPUTED_VALUE"""),34.0)</f>
        <v>34</v>
      </c>
      <c r="J539" s="55">
        <f>IFERROR(__xludf.DUMMYFUNCTION("""COMPUTED_VALUE"""),14.0)</f>
        <v>14</v>
      </c>
      <c r="K539" s="54">
        <f>IFERROR(__xludf.DUMMYFUNCTION("""COMPUTED_VALUE"""),20.0)</f>
        <v>20</v>
      </c>
      <c r="L539" s="56">
        <f>IFERROR(__xludf.DUMMYFUNCTION("""COMPUTED_VALUE"""),0.4117647058823529)</f>
        <v>0.4117647059</v>
      </c>
      <c r="M539" s="56">
        <f>IFERROR(__xludf.DUMMYFUNCTION("""COMPUTED_VALUE"""),0.30434782608695654)</f>
        <v>0.3043478261</v>
      </c>
      <c r="N539" s="31">
        <f>IFERROR(__xludf.DUMMYFUNCTION("""COMPUTED_VALUE"""),300.4117647058824)</f>
        <v>300.4117647</v>
      </c>
      <c r="O539" s="57">
        <f>IFERROR(__xludf.DUMMYFUNCTION("""COMPUTED_VALUE"""),0.6176470588235294)</f>
        <v>0.6176470588</v>
      </c>
      <c r="P539" s="57">
        <f>IFERROR(__xludf.DUMMYFUNCTION("""COMPUTED_VALUE"""),0.47058823529411764)</f>
        <v>0.4705882353</v>
      </c>
      <c r="Q539" s="57">
        <f>IFERROR(__xludf.DUMMYFUNCTION("""COMPUTED_VALUE"""),1.1176470588235294)</f>
        <v>1.117647059</v>
      </c>
      <c r="R539" s="57">
        <f>IFERROR(__xludf.DUMMYFUNCTION("""COMPUTED_VALUE"""),2.0294117647058822)</f>
        <v>2.029411765</v>
      </c>
      <c r="S539" s="31">
        <f>IFERROR(__xludf.DUMMYFUNCTION("""COMPUTED_VALUE"""),327.66666666666674)</f>
        <v>327.6666667</v>
      </c>
      <c r="T539" s="57">
        <f>IFERROR(__xludf.DUMMYFUNCTION("""COMPUTED_VALUE"""),0.784313725490196)</f>
        <v>0.7843137255</v>
      </c>
      <c r="U539" s="57">
        <f>IFERROR(__xludf.DUMMYFUNCTION("""COMPUTED_VALUE"""),0.45098039215686275)</f>
        <v>0.4509803922</v>
      </c>
      <c r="V539" s="57">
        <f>IFERROR(__xludf.DUMMYFUNCTION("""COMPUTED_VALUE"""),1.3333333333333333)</f>
        <v>1.333333333</v>
      </c>
      <c r="W539" s="57">
        <f>IFERROR(__xludf.DUMMYFUNCTION("""COMPUTED_VALUE"""),2.2941176470588234)</f>
        <v>2.294117647</v>
      </c>
      <c r="X539" s="31">
        <f>IFERROR(__xludf.DUMMYFUNCTION("""COMPUTED_VALUE"""),332.3163122508447)</f>
        <v>332.3163123</v>
      </c>
      <c r="Y539" s="57">
        <f>IFERROR(__xludf.DUMMYFUNCTION("""COMPUTED_VALUE"""),0.7561454535477453)</f>
        <v>0.7561454535</v>
      </c>
      <c r="Z539" s="57">
        <f>IFERROR(__xludf.DUMMYFUNCTION("""COMPUTED_VALUE"""),0.4978066167627225)</f>
        <v>0.4978066168</v>
      </c>
      <c r="AA539" s="57">
        <f>IFERROR(__xludf.DUMMYFUNCTION("""COMPUTED_VALUE"""),1.2688267738263859)</f>
        <v>1.268826774</v>
      </c>
      <c r="AB539" s="57">
        <f>IFERROR(__xludf.DUMMYFUNCTION("""COMPUTED_VALUE"""),2.3122238248196014)</f>
        <v>2.312223825</v>
      </c>
      <c r="AC539" s="31">
        <f>IFERROR(__xludf.DUMMYFUNCTION("""COMPUTED_VALUE"""),334.81477847873583)</f>
        <v>334.8147785</v>
      </c>
      <c r="AD539" s="57">
        <f>IFERROR(__xludf.DUMMYFUNCTION("""COMPUTED_VALUE"""),0.7943458470678785)</f>
        <v>0.7943458471</v>
      </c>
      <c r="AE539" s="57">
        <f>IFERROR(__xludf.DUMMYFUNCTION("""COMPUTED_VALUE"""),0.5301404520097326)</f>
        <v>0.530140452</v>
      </c>
      <c r="AF539" s="57">
        <f>IFERROR(__xludf.DUMMYFUNCTION("""COMPUTED_VALUE"""),1.1555622163929489)</f>
        <v>1.155562216</v>
      </c>
      <c r="AG539" s="57">
        <f>IFERROR(__xludf.DUMMYFUNCTION("""COMPUTED_VALUE"""),2.54670207586705)</f>
        <v>2.546702076</v>
      </c>
      <c r="AH539" s="57">
        <f>IFERROR(__xludf.DUMMYFUNCTION("""COMPUTED_VALUE"""),0.8972476247041216)</f>
        <v>0.8972476247</v>
      </c>
      <c r="AI539" s="57">
        <f>IFERROR(__xludf.DUMMYFUNCTION("""COMPUTED_VALUE"""),0.7775543374506372)</f>
        <v>0.7775543375</v>
      </c>
      <c r="AJ539" s="57">
        <f>IFERROR(__xludf.DUMMYFUNCTION("""COMPUTED_VALUE"""),0.8876670955972972)</f>
        <v>0.8876670956</v>
      </c>
      <c r="AK539" s="57">
        <f>IFERROR(__xludf.DUMMYFUNCTION("""COMPUTED_VALUE"""),0.9671889950782828)</f>
        <v>0.9671889951</v>
      </c>
      <c r="AL539" s="57">
        <f>IFERROR(__xludf.DUMMYFUNCTION("""COMPUTED_VALUE"""),0.796878356497569)</f>
        <v>0.7968783565</v>
      </c>
      <c r="AM539" s="57">
        <f>IFERROR(__xludf.DUMMYFUNCTION("""COMPUTED_VALUE"""),0.9860083739113347)</f>
        <v>0.9860083739</v>
      </c>
      <c r="AN539" s="57">
        <f>IFERROR(__xludf.DUMMYFUNCTION("""COMPUTED_VALUE"""),1.0372524516417951)</f>
        <v>1.037252452</v>
      </c>
      <c r="AO539" s="57">
        <f>IFERROR(__xludf.DUMMYFUNCTION("""COMPUTED_VALUE"""),0.9059349092015399)</f>
        <v>0.9059349092</v>
      </c>
      <c r="AP539" s="35">
        <f>IFERROR(__xludf.DUMMYFUNCTION("""COMPUTED_VALUE"""),1.0508395321076145)</f>
        <v>1.050839532</v>
      </c>
      <c r="AQ539" s="57">
        <f>IFERROR(__xludf.DUMMYFUNCTION("""COMPUTED_VALUE"""),0.9921693663189416)</f>
        <v>0.9921693663</v>
      </c>
      <c r="AR539" s="36" t="b">
        <f>IFERROR(__xludf.DUMMYFUNCTION("""COMPUTED_VALUE"""),TRUE)</f>
        <v>1</v>
      </c>
      <c r="AS539" s="57"/>
      <c r="AT539" s="37"/>
      <c r="AU539" s="30"/>
      <c r="AV539" s="30"/>
      <c r="AW539" s="30"/>
      <c r="AX539" s="30"/>
      <c r="AY539" s="30"/>
      <c r="AZ539" s="30"/>
    </row>
    <row r="540">
      <c r="A540" s="30" t="str">
        <f>IFERROR(__xludf.DUMMYFUNCTION("""COMPUTED_VALUE"""),"Prospect")</f>
        <v>Prospect</v>
      </c>
      <c r="B540" s="30" t="str">
        <f>IFERROR(__xludf.DUMMYFUNCTION("""COMPUTED_VALUE"""),"RSC007102")</f>
        <v>RSC007102</v>
      </c>
      <c r="C540" s="30" t="str">
        <f>IFERROR(__xludf.DUMMYFUNCTION("""COMPUTED_VALUE"""),"tepochtli_13")</f>
        <v>tepochtli_13</v>
      </c>
      <c r="D540" s="31" t="str">
        <f>IFERROR(__xludf.DUMMYFUNCTION("""COMPUTED_VALUE"""),"Poppy")</f>
        <v>Poppy</v>
      </c>
      <c r="E540" s="31">
        <f>IFERROR(__xludf.DUMMYFUNCTION("""COMPUTED_VALUE"""),39.24542497003654)</f>
        <v>39.24542497</v>
      </c>
      <c r="F540" s="31">
        <f>IFERROR(__xludf.DUMMYFUNCTION("""COMPUTED_VALUE"""),-2.998219688422348)</f>
        <v>-2.998219688</v>
      </c>
      <c r="G540" s="31">
        <f>IFERROR(__xludf.DUMMYFUNCTION("""COMPUTED_VALUE"""),22.57544126172944)</f>
        <v>22.57544126</v>
      </c>
      <c r="H540" s="31">
        <f>IFERROR(__xludf.DUMMYFUNCTION("""COMPUTED_VALUE"""),-7.335435699977578)</f>
        <v>-7.3354357</v>
      </c>
      <c r="I540" s="54">
        <f>IFERROR(__xludf.DUMMYFUNCTION("""COMPUTED_VALUE"""),37.0)</f>
        <v>37</v>
      </c>
      <c r="J540" s="55">
        <f>IFERROR(__xludf.DUMMYFUNCTION("""COMPUTED_VALUE"""),18.0)</f>
        <v>18</v>
      </c>
      <c r="K540" s="54">
        <f>IFERROR(__xludf.DUMMYFUNCTION("""COMPUTED_VALUE"""),19.0)</f>
        <v>19</v>
      </c>
      <c r="L540" s="56">
        <f>IFERROR(__xludf.DUMMYFUNCTION("""COMPUTED_VALUE"""),0.4864864864864865)</f>
        <v>0.4864864865</v>
      </c>
      <c r="M540" s="56">
        <f>IFERROR(__xludf.DUMMYFUNCTION("""COMPUTED_VALUE"""),0.2784810126582279)</f>
        <v>0.2784810127</v>
      </c>
      <c r="N540" s="31">
        <f>IFERROR(__xludf.DUMMYFUNCTION("""COMPUTED_VALUE"""),286.5945945945946)</f>
        <v>286.5945946</v>
      </c>
      <c r="O540" s="57">
        <f>IFERROR(__xludf.DUMMYFUNCTION("""COMPUTED_VALUE"""),0.5945945945945946)</f>
        <v>0.5945945946</v>
      </c>
      <c r="P540" s="57">
        <f>IFERROR(__xludf.DUMMYFUNCTION("""COMPUTED_VALUE"""),0.4864864864864865)</f>
        <v>0.4864864865</v>
      </c>
      <c r="Q540" s="57">
        <f>IFERROR(__xludf.DUMMYFUNCTION("""COMPUTED_VALUE"""),1.0810810810810811)</f>
        <v>1.081081081</v>
      </c>
      <c r="R540" s="57">
        <f>IFERROR(__xludf.DUMMYFUNCTION("""COMPUTED_VALUE"""),2.135135135135135)</f>
        <v>2.135135135</v>
      </c>
      <c r="S540" s="31">
        <f>IFERROR(__xludf.DUMMYFUNCTION("""COMPUTED_VALUE"""),353.29729729729735)</f>
        <v>353.2972973</v>
      </c>
      <c r="T540" s="57">
        <f>IFERROR(__xludf.DUMMYFUNCTION("""COMPUTED_VALUE"""),0.837837837837838)</f>
        <v>0.8378378378</v>
      </c>
      <c r="U540" s="57">
        <f>IFERROR(__xludf.DUMMYFUNCTION("""COMPUTED_VALUE"""),0.5855855855855855)</f>
        <v>0.5855855856</v>
      </c>
      <c r="V540" s="57">
        <f>IFERROR(__xludf.DUMMYFUNCTION("""COMPUTED_VALUE"""),1.234234234234234)</f>
        <v>1.234234234</v>
      </c>
      <c r="W540" s="57">
        <f>IFERROR(__xludf.DUMMYFUNCTION("""COMPUTED_VALUE"""),2.7207207207207196)</f>
        <v>2.720720721</v>
      </c>
      <c r="X540" s="31">
        <f>IFERROR(__xludf.DUMMYFUNCTION("""COMPUTED_VALUE"""),342.59218094684456)</f>
        <v>342.5921809</v>
      </c>
      <c r="Y540" s="57">
        <f>IFERROR(__xludf.DUMMYFUNCTION("""COMPUTED_VALUE"""),0.8271795075035339)</f>
        <v>0.8271795075</v>
      </c>
      <c r="Z540" s="57">
        <f>IFERROR(__xludf.DUMMYFUNCTION("""COMPUTED_VALUE"""),0.5387024699733319)</f>
        <v>0.53870247</v>
      </c>
      <c r="AA540" s="57">
        <f>IFERROR(__xludf.DUMMYFUNCTION("""COMPUTED_VALUE"""),1.2011623913132017)</f>
        <v>1.201162391</v>
      </c>
      <c r="AB540" s="57">
        <f>IFERROR(__xludf.DUMMYFUNCTION("""COMPUTED_VALUE"""),2.4888819124185404)</f>
        <v>2.488881912</v>
      </c>
      <c r="AC540" s="31">
        <f>IFERROR(__xludf.DUMMYFUNCTION("""COMPUTED_VALUE"""),327.2093725669574)</f>
        <v>327.2093726</v>
      </c>
      <c r="AD540" s="57">
        <f>IFERROR(__xludf.DUMMYFUNCTION("""COMPUTED_VALUE"""),0.7575421336309595)</f>
        <v>0.7575421336</v>
      </c>
      <c r="AE540" s="57">
        <f>IFERROR(__xludf.DUMMYFUNCTION("""COMPUTED_VALUE"""),0.4982904607996397)</f>
        <v>0.4982904608</v>
      </c>
      <c r="AF540" s="57">
        <f>IFERROR(__xludf.DUMMYFUNCTION("""COMPUTED_VALUE"""),1.1839158186848244)</f>
        <v>1.183915819</v>
      </c>
      <c r="AG540" s="57">
        <f>IFERROR(__xludf.DUMMYFUNCTION("""COMPUTED_VALUE"""),2.382055588266192)</f>
        <v>2.382055588</v>
      </c>
      <c r="AH540" s="57">
        <f>IFERROR(__xludf.DUMMYFUNCTION("""COMPUTED_VALUE"""),0.8758752609873613)</f>
        <v>0.875875261</v>
      </c>
      <c r="AI540" s="57">
        <f>IFERROR(__xludf.DUMMYFUNCTION("""COMPUTED_VALUE"""),0.7848997015448574)</f>
        <v>0.7848997015</v>
      </c>
      <c r="AJ540" s="57">
        <f>IFERROR(__xludf.DUMMYFUNCTION("""COMPUTED_VALUE"""),0.9763110570204163)</f>
        <v>0.976311057</v>
      </c>
      <c r="AK540" s="57">
        <f>IFERROR(__xludf.DUMMYFUNCTION("""COMPUTED_VALUE"""),0.913140160828344)</f>
        <v>0.9131401608</v>
      </c>
      <c r="AL540" s="57">
        <f>IFERROR(__xludf.DUMMYFUNCTION("""COMPUTED_VALUE"""),0.8963414395753959)</f>
        <v>0.8963414396</v>
      </c>
      <c r="AM540" s="57">
        <f>IFERROR(__xludf.DUMMYFUNCTION("""COMPUTED_VALUE"""),1.0312474041902133)</f>
        <v>1.031247404</v>
      </c>
      <c r="AN540" s="57">
        <f>IFERROR(__xludf.DUMMYFUNCTION("""COMPUTED_VALUE"""),1.012885147948686)</f>
        <v>1.012885148</v>
      </c>
      <c r="AO540" s="57">
        <f>IFERROR(__xludf.DUMMYFUNCTION("""COMPUTED_VALUE"""),1.0870297023412097)</f>
        <v>1.087029702</v>
      </c>
      <c r="AP540" s="35">
        <f>IFERROR(__xludf.DUMMYFUNCTION("""COMPUTED_VALUE"""),1.0275331988082608)</f>
        <v>1.027533199</v>
      </c>
      <c r="AQ540" s="57">
        <f>IFERROR(__xludf.DUMMYFUNCTION("""COMPUTED_VALUE"""),1.093149782295976)</f>
        <v>1.093149782</v>
      </c>
      <c r="AR540" s="36" t="b">
        <f>IFERROR(__xludf.DUMMYFUNCTION("""COMPUTED_VALUE"""),TRUE)</f>
        <v>1</v>
      </c>
      <c r="AS540" s="57"/>
      <c r="AT540" s="37"/>
      <c r="AU540" s="30"/>
      <c r="AV540" s="30"/>
      <c r="AW540" s="30"/>
      <c r="AX540" s="30"/>
      <c r="AY540" s="30"/>
      <c r="AZ540" s="30"/>
    </row>
    <row r="541">
      <c r="A541" s="30" t="str">
        <f>IFERROR(__xludf.DUMMYFUNCTION("""COMPUTED_VALUE"""),"Prospect")</f>
        <v>Prospect</v>
      </c>
      <c r="B541" s="30" t="str">
        <f>IFERROR(__xludf.DUMMYFUNCTION("""COMPUTED_VALUE"""),"RSC003127")</f>
        <v>RSC003127</v>
      </c>
      <c r="C541" s="30" t="str">
        <f>IFERROR(__xludf.DUMMYFUNCTION("""COMPUTED_VALUE"""),"Lim")</f>
        <v>Lim</v>
      </c>
      <c r="D541" s="31"/>
      <c r="E541" s="31">
        <f>IFERROR(__xludf.DUMMYFUNCTION("""COMPUTED_VALUE"""),38.82440973328116)</f>
        <v>38.82440973</v>
      </c>
      <c r="F541" s="31">
        <f>IFERROR(__xludf.DUMMYFUNCTION("""COMPUTED_VALUE"""),-3.0540971658495786)</f>
        <v>-3.054097166</v>
      </c>
      <c r="G541" s="31">
        <f>IFERROR(__xludf.DUMMYFUNCTION("""COMPUTED_VALUE"""),45.37672031413928)</f>
        <v>45.37672031</v>
      </c>
      <c r="H541" s="31">
        <f>IFERROR(__xludf.DUMMYFUNCTION("""COMPUTED_VALUE"""),-2.343888228498737)</f>
        <v>-2.343888228</v>
      </c>
      <c r="I541" s="54">
        <f>IFERROR(__xludf.DUMMYFUNCTION("""COMPUTED_VALUE"""),26.0)</f>
        <v>26</v>
      </c>
      <c r="J541" s="55">
        <f>IFERROR(__xludf.DUMMYFUNCTION("""COMPUTED_VALUE"""),10.0)</f>
        <v>10</v>
      </c>
      <c r="K541" s="54">
        <f>IFERROR(__xludf.DUMMYFUNCTION("""COMPUTED_VALUE"""),16.0)</f>
        <v>16</v>
      </c>
      <c r="L541" s="56">
        <f>IFERROR(__xludf.DUMMYFUNCTION("""COMPUTED_VALUE"""),0.38461538461538464)</f>
        <v>0.3846153846</v>
      </c>
      <c r="M541" s="56">
        <f>IFERROR(__xludf.DUMMYFUNCTION("""COMPUTED_VALUE"""),0.25)</f>
        <v>0.25</v>
      </c>
      <c r="N541" s="31">
        <f>IFERROR(__xludf.DUMMYFUNCTION("""COMPUTED_VALUE"""),319.5)</f>
        <v>319.5</v>
      </c>
      <c r="O541" s="57">
        <f>IFERROR(__xludf.DUMMYFUNCTION("""COMPUTED_VALUE"""),0.5384615384615384)</f>
        <v>0.5384615385</v>
      </c>
      <c r="P541" s="57">
        <f>IFERROR(__xludf.DUMMYFUNCTION("""COMPUTED_VALUE"""),0.5769230769230769)</f>
        <v>0.5769230769</v>
      </c>
      <c r="Q541" s="57">
        <f>IFERROR(__xludf.DUMMYFUNCTION("""COMPUTED_VALUE"""),1.3846153846153846)</f>
        <v>1.384615385</v>
      </c>
      <c r="R541" s="57">
        <f>IFERROR(__xludf.DUMMYFUNCTION("""COMPUTED_VALUE"""),2.1538461538461537)</f>
        <v>2.153846154</v>
      </c>
      <c r="S541" s="31">
        <f>IFERROR(__xludf.DUMMYFUNCTION("""COMPUTED_VALUE"""),338.6923076923077)</f>
        <v>338.6923077</v>
      </c>
      <c r="T541" s="57">
        <f>IFERROR(__xludf.DUMMYFUNCTION("""COMPUTED_VALUE"""),0.8846153846153845)</f>
        <v>0.8846153846</v>
      </c>
      <c r="U541" s="57">
        <f>IFERROR(__xludf.DUMMYFUNCTION("""COMPUTED_VALUE"""),0.6025641025641025)</f>
        <v>0.6025641026</v>
      </c>
      <c r="V541" s="57">
        <f>IFERROR(__xludf.DUMMYFUNCTION("""COMPUTED_VALUE"""),1.0384615384615385)</f>
        <v>1.038461538</v>
      </c>
      <c r="W541" s="57">
        <f>IFERROR(__xludf.DUMMYFUNCTION("""COMPUTED_VALUE"""),2.7564102564102564)</f>
        <v>2.756410256</v>
      </c>
      <c r="X541" s="31">
        <f>IFERROR(__xludf.DUMMYFUNCTION("""COMPUTED_VALUE"""),333.97492907566027)</f>
        <v>333.9749291</v>
      </c>
      <c r="Y541" s="57">
        <f>IFERROR(__xludf.DUMMYFUNCTION("""COMPUTED_VALUE"""),0.7943731717524282)</f>
        <v>0.7943731718</v>
      </c>
      <c r="Z541" s="57">
        <f>IFERROR(__xludf.DUMMYFUNCTION("""COMPUTED_VALUE"""),0.533958484938565)</f>
        <v>0.5339584849</v>
      </c>
      <c r="AA541" s="57">
        <f>IFERROR(__xludf.DUMMYFUNCTION("""COMPUTED_VALUE"""),1.1542813689466)</f>
        <v>1.154281369</v>
      </c>
      <c r="AB541" s="57">
        <f>IFERROR(__xludf.DUMMYFUNCTION("""COMPUTED_VALUE"""),2.434419314230969)</f>
        <v>2.434419314</v>
      </c>
      <c r="AC541" s="31">
        <f>IFERROR(__xludf.DUMMYFUNCTION("""COMPUTED_VALUE"""),332.26414023906625)</f>
        <v>332.2641402</v>
      </c>
      <c r="AD541" s="57">
        <f>IFERROR(__xludf.DUMMYFUNCTION("""COMPUTED_VALUE"""),0.8034935912759281)</f>
        <v>0.8034935913</v>
      </c>
      <c r="AE541" s="57">
        <f>IFERROR(__xludf.DUMMYFUNCTION("""COMPUTED_VALUE"""),0.5205424469563086)</f>
        <v>0.520542447</v>
      </c>
      <c r="AF541" s="57">
        <f>IFERROR(__xludf.DUMMYFUNCTION("""COMPUTED_VALUE"""),1.1672527597293696)</f>
        <v>1.16725276</v>
      </c>
      <c r="AG541" s="57">
        <f>IFERROR(__xludf.DUMMYFUNCTION("""COMPUTED_VALUE"""),2.3903224388630155)</f>
        <v>2.390322439</v>
      </c>
      <c r="AH541" s="57">
        <f>IFERROR(__xludf.DUMMYFUNCTION("""COMPUTED_VALUE"""),0.961584358065597)</f>
        <v>0.9615843581</v>
      </c>
      <c r="AI541" s="57">
        <f>IFERROR(__xludf.DUMMYFUNCTION("""COMPUTED_VALUE"""),0.6701503836595321)</f>
        <v>0.6701503837</v>
      </c>
      <c r="AJ541" s="57">
        <f>IFERROR(__xludf.DUMMYFUNCTION("""COMPUTED_VALUE"""),1.1083113015978514)</f>
        <v>1.108311302</v>
      </c>
      <c r="AK541" s="57">
        <f>IFERROR(__xludf.DUMMYFUNCTION("""COMPUTED_VALUE"""),1.186217272201105)</f>
        <v>1.186217272</v>
      </c>
      <c r="AL541" s="57">
        <f>IFERROR(__xludf.DUMMYFUNCTION("""COMPUTED_VALUE"""),0.901069294597199)</f>
        <v>0.9010692946</v>
      </c>
      <c r="AM541" s="57">
        <f>IFERROR(__xludf.DUMMYFUNCTION("""COMPUTED_VALUE"""),1.0141249483298151)</f>
        <v>1.014124948</v>
      </c>
      <c r="AN541" s="57">
        <f>IFERROR(__xludf.DUMMYFUNCTION("""COMPUTED_VALUE"""),1.1136017882676945)</f>
        <v>1.113601788</v>
      </c>
      <c r="AO541" s="57">
        <f>IFERROR(__xludf.DUMMYFUNCTION("""COMPUTED_VALUE"""),1.1284849282494893)</f>
        <v>1.128484928</v>
      </c>
      <c r="AP541" s="35">
        <f>IFERROR(__xludf.DUMMYFUNCTION("""COMPUTED_VALUE"""),0.8996606602160104)</f>
        <v>0.8996606602</v>
      </c>
      <c r="AQ541" s="57">
        <f>IFERROR(__xludf.DUMMYFUNCTION("""COMPUTED_VALUE"""),1.1322660152657407)</f>
        <v>1.132266015</v>
      </c>
      <c r="AR541" s="36" t="b">
        <f>IFERROR(__xludf.DUMMYFUNCTION("""COMPUTED_VALUE"""),TRUE)</f>
        <v>1</v>
      </c>
      <c r="AS541" s="57"/>
      <c r="AT541" s="37"/>
      <c r="AU541" s="30"/>
      <c r="AV541" s="30"/>
      <c r="AW541" s="30"/>
      <c r="AX541" s="30"/>
      <c r="AY541" s="30"/>
      <c r="AZ541" s="30"/>
    </row>
    <row r="542">
      <c r="A542" s="30" t="str">
        <f>IFERROR(__xludf.DUMMYFUNCTION("""COMPUTED_VALUE"""),"Prospect")</f>
        <v>Prospect</v>
      </c>
      <c r="B542" s="30" t="str">
        <f>IFERROR(__xludf.DUMMYFUNCTION("""COMPUTED_VALUE"""),"RSC006569")</f>
        <v>RSC006569</v>
      </c>
      <c r="C542" s="30" t="str">
        <f>IFERROR(__xludf.DUMMYFUNCTION("""COMPUTED_VALUE"""),"mulliganisoup")</f>
        <v>mulliganisoup</v>
      </c>
      <c r="D542" s="31" t="str">
        <f>IFERROR(__xludf.DUMMYFUNCTION("""COMPUTED_VALUE"""),"Poppy")</f>
        <v>Poppy</v>
      </c>
      <c r="E542" s="31">
        <f>IFERROR(__xludf.DUMMYFUNCTION("""COMPUTED_VALUE"""),37.88361254842305)</f>
        <v>37.88361255</v>
      </c>
      <c r="F542" s="31">
        <f>IFERROR(__xludf.DUMMYFUNCTION("""COMPUTED_VALUE"""),-3.1851153751252923)</f>
        <v>-3.185115375</v>
      </c>
      <c r="G542" s="31">
        <f>IFERROR(__xludf.DUMMYFUNCTION("""COMPUTED_VALUE"""),32.53170147819431)</f>
        <v>32.53170148</v>
      </c>
      <c r="H542" s="31">
        <f>IFERROR(__xludf.DUMMYFUNCTION("""COMPUTED_VALUE"""),-4.1260970860730355)</f>
        <v>-4.126097086</v>
      </c>
      <c r="I542" s="54">
        <f>IFERROR(__xludf.DUMMYFUNCTION("""COMPUTED_VALUE"""),13.0)</f>
        <v>13</v>
      </c>
      <c r="J542" s="55">
        <f>IFERROR(__xludf.DUMMYFUNCTION("""COMPUTED_VALUE"""),4.0)</f>
        <v>4</v>
      </c>
      <c r="K542" s="54">
        <f>IFERROR(__xludf.DUMMYFUNCTION("""COMPUTED_VALUE"""),9.0)</f>
        <v>9</v>
      </c>
      <c r="L542" s="56">
        <f>IFERROR(__xludf.DUMMYFUNCTION("""COMPUTED_VALUE"""),0.3076923076923077)</f>
        <v>0.3076923077</v>
      </c>
      <c r="M542" s="56">
        <f>IFERROR(__xludf.DUMMYFUNCTION("""COMPUTED_VALUE"""),0.2692307692307692)</f>
        <v>0.2692307692</v>
      </c>
      <c r="N542" s="31">
        <f>IFERROR(__xludf.DUMMYFUNCTION("""COMPUTED_VALUE"""),313.53846153846155)</f>
        <v>313.5384615</v>
      </c>
      <c r="O542" s="57">
        <f>IFERROR(__xludf.DUMMYFUNCTION("""COMPUTED_VALUE"""),0.5384615384615384)</f>
        <v>0.5384615385</v>
      </c>
      <c r="P542" s="57">
        <f>IFERROR(__xludf.DUMMYFUNCTION("""COMPUTED_VALUE"""),0.5384615384615384)</f>
        <v>0.5384615385</v>
      </c>
      <c r="Q542" s="57">
        <f>IFERROR(__xludf.DUMMYFUNCTION("""COMPUTED_VALUE"""),1.4615384615384615)</f>
        <v>1.461538462</v>
      </c>
      <c r="R542" s="57">
        <f>IFERROR(__xludf.DUMMYFUNCTION("""COMPUTED_VALUE"""),2.0)</f>
        <v>2</v>
      </c>
      <c r="S542" s="31">
        <f>IFERROR(__xludf.DUMMYFUNCTION("""COMPUTED_VALUE"""),358.7435897435897)</f>
        <v>358.7435897</v>
      </c>
      <c r="T542" s="57">
        <f>IFERROR(__xludf.DUMMYFUNCTION("""COMPUTED_VALUE"""),0.9743589743589743)</f>
        <v>0.9743589744</v>
      </c>
      <c r="U542" s="57">
        <f>IFERROR(__xludf.DUMMYFUNCTION("""COMPUTED_VALUE"""),0.5641025641025641)</f>
        <v>0.5641025641</v>
      </c>
      <c r="V542" s="57">
        <f>IFERROR(__xludf.DUMMYFUNCTION("""COMPUTED_VALUE"""),0.9743589743589742)</f>
        <v>0.9743589744</v>
      </c>
      <c r="W542" s="57">
        <f>IFERROR(__xludf.DUMMYFUNCTION("""COMPUTED_VALUE"""),3.17948717948718)</f>
        <v>3.179487179</v>
      </c>
      <c r="X542" s="31">
        <f>IFERROR(__xludf.DUMMYFUNCTION("""COMPUTED_VALUE"""),341.5298334390725)</f>
        <v>341.5298334</v>
      </c>
      <c r="Y542" s="57">
        <f>IFERROR(__xludf.DUMMYFUNCTION("""COMPUTED_VALUE"""),0.8592977348412132)</f>
        <v>0.8592977348</v>
      </c>
      <c r="Z542" s="57">
        <f>IFERROR(__xludf.DUMMYFUNCTION("""COMPUTED_VALUE"""),0.592332726571857)</f>
        <v>0.5923327266</v>
      </c>
      <c r="AA542" s="57">
        <f>IFERROR(__xludf.DUMMYFUNCTION("""COMPUTED_VALUE"""),1.0953008811704465)</f>
        <v>1.095300881</v>
      </c>
      <c r="AB542" s="57">
        <f>IFERROR(__xludf.DUMMYFUNCTION("""COMPUTED_VALUE"""),2.666968087076783)</f>
        <v>2.666968087</v>
      </c>
      <c r="AC542" s="31">
        <f>IFERROR(__xludf.DUMMYFUNCTION("""COMPUTED_VALUE"""),332.9003821364329)</f>
        <v>332.9003821</v>
      </c>
      <c r="AD542" s="57">
        <f>IFERROR(__xludf.DUMMYFUNCTION("""COMPUTED_VALUE"""),0.7453321976872702)</f>
        <v>0.7453321977</v>
      </c>
      <c r="AE542" s="57">
        <f>IFERROR(__xludf.DUMMYFUNCTION("""COMPUTED_VALUE"""),0.5132253617760865)</f>
        <v>0.5132253618</v>
      </c>
      <c r="AF542" s="57">
        <f>IFERROR(__xludf.DUMMYFUNCTION("""COMPUTED_VALUE"""),1.2937253152832864)</f>
        <v>1.293725315</v>
      </c>
      <c r="AG542" s="57">
        <f>IFERROR(__xludf.DUMMYFUNCTION("""COMPUTED_VALUE"""),2.2419206306887465)</f>
        <v>2.241920631</v>
      </c>
      <c r="AH542" s="57">
        <f>IFERROR(__xludf.DUMMYFUNCTION("""COMPUTED_VALUE"""),0.9418386951864891)</f>
        <v>0.9418386952</v>
      </c>
      <c r="AI542" s="57">
        <f>IFERROR(__xludf.DUMMYFUNCTION("""COMPUTED_VALUE"""),0.7224450253623265)</f>
        <v>0.7224450254</v>
      </c>
      <c r="AJ542" s="57">
        <f>IFERROR(__xludf.DUMMYFUNCTION("""COMPUTED_VALUE"""),1.0491717256491744)</f>
        <v>1.049171726</v>
      </c>
      <c r="AK542" s="57">
        <f>IFERROR(__xludf.DUMMYFUNCTION("""COMPUTED_VALUE"""),1.1297131193714247)</f>
        <v>1.129713119</v>
      </c>
      <c r="AL542" s="57">
        <f>IFERROR(__xludf.DUMMYFUNCTION("""COMPUTED_VALUE"""),0.8920922411894548)</f>
        <v>0.8920922412</v>
      </c>
      <c r="AM542" s="57">
        <f>IFERROR(__xludf.DUMMYFUNCTION("""COMPUTED_VALUE"""),1.0504019111044602)</f>
        <v>1.050401911</v>
      </c>
      <c r="AN542" s="57">
        <f>IFERROR(__xludf.DUMMYFUNCTION("""COMPUTED_VALUE"""),1.1339014812357475)</f>
        <v>1.133901481</v>
      </c>
      <c r="AO542" s="57">
        <f>IFERROR(__xludf.DUMMYFUNCTION("""COMPUTED_VALUE"""),0.9523407010909632)</f>
        <v>0.9523407011</v>
      </c>
      <c r="AP542" s="35">
        <f>IFERROR(__xludf.DUMMYFUNCTION("""COMPUTED_VALUE"""),0.8895811106421891)</f>
        <v>0.8895811106</v>
      </c>
      <c r="AQ542" s="57">
        <f>IFERROR(__xludf.DUMMYFUNCTION("""COMPUTED_VALUE"""),1.192172937836748)</f>
        <v>1.192172938</v>
      </c>
      <c r="AR542" s="36" t="b">
        <f>IFERROR(__xludf.DUMMYFUNCTION("""COMPUTED_VALUE"""),TRUE)</f>
        <v>1</v>
      </c>
      <c r="AS542" s="57"/>
      <c r="AT542" s="37"/>
      <c r="AU542" s="30"/>
      <c r="AV542" s="30"/>
      <c r="AW542" s="30"/>
      <c r="AX542" s="30"/>
      <c r="AY542" s="30"/>
      <c r="AZ542" s="30"/>
    </row>
    <row r="543">
      <c r="A543" s="30" t="str">
        <f>IFERROR(__xludf.DUMMYFUNCTION("""COMPUTED_VALUE"""),"Prospect")</f>
        <v>Prospect</v>
      </c>
      <c r="B543" s="30" t="str">
        <f>IFERROR(__xludf.DUMMYFUNCTION("""COMPUTED_VALUE"""),"RSC001619")</f>
        <v>RSC001619</v>
      </c>
      <c r="C543" s="30" t="str">
        <f>IFERROR(__xludf.DUMMYFUNCTION("""COMPUTED_VALUE"""),"Rob")</f>
        <v>Rob</v>
      </c>
      <c r="D543" s="31" t="str">
        <f>IFERROR(__xludf.DUMMYFUNCTION("""COMPUTED_VALUE"""),"Gloom")</f>
        <v>Gloom</v>
      </c>
      <c r="E543" s="31">
        <f>IFERROR(__xludf.DUMMYFUNCTION("""COMPUTED_VALUE"""),37.5302913775447)</f>
        <v>37.53029138</v>
      </c>
      <c r="F543" s="31">
        <f>IFERROR(__xludf.DUMMYFUNCTION("""COMPUTED_VALUE"""),-3.2366204220966233)</f>
        <v>-3.236620422</v>
      </c>
      <c r="G543" s="31">
        <f>IFERROR(__xludf.DUMMYFUNCTION("""COMPUTED_VALUE"""),19.67483554636989)</f>
        <v>19.67483555</v>
      </c>
      <c r="H543" s="31">
        <f>IFERROR(__xludf.DUMMYFUNCTION("""COMPUTED_VALUE"""),-8.883862379317994)</f>
        <v>-8.883862379</v>
      </c>
      <c r="I543" s="54">
        <f>IFERROR(__xludf.DUMMYFUNCTION("""COMPUTED_VALUE"""),28.0)</f>
        <v>28</v>
      </c>
      <c r="J543" s="55">
        <f>IFERROR(__xludf.DUMMYFUNCTION("""COMPUTED_VALUE"""),11.0)</f>
        <v>11</v>
      </c>
      <c r="K543" s="54">
        <f>IFERROR(__xludf.DUMMYFUNCTION("""COMPUTED_VALUE"""),17.0)</f>
        <v>17</v>
      </c>
      <c r="L543" s="56">
        <f>IFERROR(__xludf.DUMMYFUNCTION("""COMPUTED_VALUE"""),0.39285714285714285)</f>
        <v>0.3928571429</v>
      </c>
      <c r="M543" s="56">
        <f>IFERROR(__xludf.DUMMYFUNCTION("""COMPUTED_VALUE"""),0.35714285714285715)</f>
        <v>0.3571428571</v>
      </c>
      <c r="N543" s="31">
        <f>IFERROR(__xludf.DUMMYFUNCTION("""COMPUTED_VALUE"""),301.64285714285717)</f>
        <v>301.6428571</v>
      </c>
      <c r="O543" s="57">
        <f>IFERROR(__xludf.DUMMYFUNCTION("""COMPUTED_VALUE"""),0.7142857142857143)</f>
        <v>0.7142857143</v>
      </c>
      <c r="P543" s="57">
        <f>IFERROR(__xludf.DUMMYFUNCTION("""COMPUTED_VALUE"""),0.25)</f>
        <v>0.25</v>
      </c>
      <c r="Q543" s="57">
        <f>IFERROR(__xludf.DUMMYFUNCTION("""COMPUTED_VALUE"""),1.4642857142857142)</f>
        <v>1.464285714</v>
      </c>
      <c r="R543" s="57">
        <f>IFERROR(__xludf.DUMMYFUNCTION("""COMPUTED_VALUE"""),2.0)</f>
        <v>2</v>
      </c>
      <c r="S543" s="31">
        <f>IFERROR(__xludf.DUMMYFUNCTION("""COMPUTED_VALUE"""),338.78571428571433)</f>
        <v>338.7857143</v>
      </c>
      <c r="T543" s="57">
        <f>IFERROR(__xludf.DUMMYFUNCTION("""COMPUTED_VALUE"""),0.8452380952380951)</f>
        <v>0.8452380952</v>
      </c>
      <c r="U543" s="57">
        <f>IFERROR(__xludf.DUMMYFUNCTION("""COMPUTED_VALUE"""),0.5476190476190477)</f>
        <v>0.5476190476</v>
      </c>
      <c r="V543" s="57">
        <f>IFERROR(__xludf.DUMMYFUNCTION("""COMPUTED_VALUE"""),1.0476190476190477)</f>
        <v>1.047619048</v>
      </c>
      <c r="W543" s="57">
        <f>IFERROR(__xludf.DUMMYFUNCTION("""COMPUTED_VALUE"""),3.035714285714285)</f>
        <v>3.035714286</v>
      </c>
      <c r="X543" s="31">
        <f>IFERROR(__xludf.DUMMYFUNCTION("""COMPUTED_VALUE"""),343.46706592626424)</f>
        <v>343.4670659</v>
      </c>
      <c r="Y543" s="57">
        <f>IFERROR(__xludf.DUMMYFUNCTION("""COMPUTED_VALUE"""),0.8615854228163141)</f>
        <v>0.8615854228</v>
      </c>
      <c r="Z543" s="57">
        <f>IFERROR(__xludf.DUMMYFUNCTION("""COMPUTED_VALUE"""),0.5476829774677924)</f>
        <v>0.5476829775</v>
      </c>
      <c r="AA543" s="57">
        <f>IFERROR(__xludf.DUMMYFUNCTION("""COMPUTED_VALUE"""),1.1587948807900865)</f>
        <v>1.158794881</v>
      </c>
      <c r="AB543" s="57">
        <f>IFERROR(__xludf.DUMMYFUNCTION("""COMPUTED_VALUE"""),2.5692319859885044)</f>
        <v>2.569231986</v>
      </c>
      <c r="AC543" s="31">
        <f>IFERROR(__xludf.DUMMYFUNCTION("""COMPUTED_VALUE"""),335.4788203463412)</f>
        <v>335.4788203</v>
      </c>
      <c r="AD543" s="57">
        <f>IFERROR(__xludf.DUMMYFUNCTION("""COMPUTED_VALUE"""),0.7862188228058634)</f>
        <v>0.7862188228</v>
      </c>
      <c r="AE543" s="57">
        <f>IFERROR(__xludf.DUMMYFUNCTION("""COMPUTED_VALUE"""),0.5274761250303557)</f>
        <v>0.527476125</v>
      </c>
      <c r="AF543" s="57">
        <f>IFERROR(__xludf.DUMMYFUNCTION("""COMPUTED_VALUE"""),1.2009226703150122)</f>
        <v>1.20092267</v>
      </c>
      <c r="AG543" s="57">
        <f>IFERROR(__xludf.DUMMYFUNCTION("""COMPUTED_VALUE"""),2.393805180967599)</f>
        <v>2.393805181</v>
      </c>
      <c r="AH543" s="57">
        <f>IFERROR(__xludf.DUMMYFUNCTION("""COMPUTED_VALUE"""),0.8991412835881786)</f>
        <v>0.8991412836</v>
      </c>
      <c r="AI543" s="57">
        <f>IFERROR(__xludf.DUMMYFUNCTION("""COMPUTED_VALUE"""),0.9085075217819973)</f>
        <v>0.9085075218</v>
      </c>
      <c r="AJ543" s="57">
        <f>IFERROR(__xludf.DUMMYFUNCTION("""COMPUTED_VALUE"""),0.4739551007841592)</f>
        <v>0.4739551008</v>
      </c>
      <c r="AK543" s="57">
        <f>IFERROR(__xludf.DUMMYFUNCTION("""COMPUTED_VALUE"""),1.2193005848591563)</f>
        <v>1.219300585</v>
      </c>
      <c r="AL543" s="57">
        <f>IFERROR(__xludf.DUMMYFUNCTION("""COMPUTED_VALUE"""),0.8354898785838456)</f>
        <v>0.8354898786</v>
      </c>
      <c r="AM543" s="57">
        <f>IFERROR(__xludf.DUMMYFUNCTION("""COMPUTED_VALUE"""),0.9863703041573282)</f>
        <v>0.9863703042</v>
      </c>
      <c r="AN543" s="57">
        <f>IFERROR(__xludf.DUMMYFUNCTION("""COMPUTED_VALUE"""),0.9810264575684399)</f>
        <v>0.9810264576</v>
      </c>
      <c r="AO543" s="57">
        <f>IFERROR(__xludf.DUMMYFUNCTION("""COMPUTED_VALUE"""),0.9998832721640533)</f>
        <v>0.9998832722</v>
      </c>
      <c r="AP543" s="35">
        <f>IFERROR(__xludf.DUMMYFUNCTION("""COMPUTED_VALUE"""),0.9040590918944712)</f>
        <v>0.9040590919</v>
      </c>
      <c r="AQ543" s="57">
        <f>IFERROR(__xludf.DUMMYFUNCTION("""COMPUTED_VALUE"""),1.1815648809721255)</f>
        <v>1.181564881</v>
      </c>
      <c r="AR543" s="36" t="b">
        <f>IFERROR(__xludf.DUMMYFUNCTION("""COMPUTED_VALUE"""),TRUE)</f>
        <v>1</v>
      </c>
      <c r="AS543" s="57"/>
      <c r="AT543" s="37"/>
      <c r="AU543" s="30"/>
      <c r="AV543" s="30"/>
      <c r="AW543" s="30"/>
      <c r="AX543" s="30"/>
      <c r="AY543" s="30"/>
      <c r="AZ543" s="30"/>
    </row>
    <row r="544">
      <c r="A544" s="30" t="str">
        <f>IFERROR(__xludf.DUMMYFUNCTION("""COMPUTED_VALUE"""),"Prospect")</f>
        <v>Prospect</v>
      </c>
      <c r="B544" s="30" t="str">
        <f>IFERROR(__xludf.DUMMYFUNCTION("""COMPUTED_VALUE"""),"RSC006755")</f>
        <v>RSC006755</v>
      </c>
      <c r="C544" s="30" t="str">
        <f>IFERROR(__xludf.DUMMYFUNCTION("""COMPUTED_VALUE"""),"Fox_gt_400")</f>
        <v>Fox_gt_400</v>
      </c>
      <c r="D544" s="31" t="str">
        <f>IFERROR(__xludf.DUMMYFUNCTION("""COMPUTED_VALUE"""),"Undead")</f>
        <v>Undead</v>
      </c>
      <c r="E544" s="31">
        <f>IFERROR(__xludf.DUMMYFUNCTION("""COMPUTED_VALUE"""),35.98299447524676)</f>
        <v>35.98299448</v>
      </c>
      <c r="F544" s="31">
        <f>IFERROR(__xludf.DUMMYFUNCTION("""COMPUTED_VALUE"""),-3.47816678918382)</f>
        <v>-3.478166789</v>
      </c>
      <c r="G544" s="31">
        <f>IFERROR(__xludf.DUMMYFUNCTION("""COMPUTED_VALUE"""),40.52407248069608)</f>
        <v>40.52407248</v>
      </c>
      <c r="H544" s="31">
        <f>IFERROR(__xludf.DUMMYFUNCTION("""COMPUTED_VALUE"""),-2.8382469709017384)</f>
        <v>-2.838246971</v>
      </c>
      <c r="I544" s="54">
        <f>IFERROR(__xludf.DUMMYFUNCTION("""COMPUTED_VALUE"""),32.0)</f>
        <v>32</v>
      </c>
      <c r="J544" s="55">
        <f>IFERROR(__xludf.DUMMYFUNCTION("""COMPUTED_VALUE"""),11.0)</f>
        <v>11</v>
      </c>
      <c r="K544" s="54">
        <f>IFERROR(__xludf.DUMMYFUNCTION("""COMPUTED_VALUE"""),21.0)</f>
        <v>21</v>
      </c>
      <c r="L544" s="56">
        <f>IFERROR(__xludf.DUMMYFUNCTION("""COMPUTED_VALUE"""),0.34375)</f>
        <v>0.34375</v>
      </c>
      <c r="M544" s="56">
        <f>IFERROR(__xludf.DUMMYFUNCTION("""COMPUTED_VALUE"""),0.2535211267605634)</f>
        <v>0.2535211268</v>
      </c>
      <c r="N544" s="31">
        <f>IFERROR(__xludf.DUMMYFUNCTION("""COMPUTED_VALUE"""),312.28125)</f>
        <v>312.28125</v>
      </c>
      <c r="O544" s="57">
        <f>IFERROR(__xludf.DUMMYFUNCTION("""COMPUTED_VALUE"""),0.5625)</f>
        <v>0.5625</v>
      </c>
      <c r="P544" s="57">
        <f>IFERROR(__xludf.DUMMYFUNCTION("""COMPUTED_VALUE"""),0.4375)</f>
        <v>0.4375</v>
      </c>
      <c r="Q544" s="57">
        <f>IFERROR(__xludf.DUMMYFUNCTION("""COMPUTED_VALUE"""),1.40625)</f>
        <v>1.40625</v>
      </c>
      <c r="R544" s="57">
        <f>IFERROR(__xludf.DUMMYFUNCTION("""COMPUTED_VALUE"""),2.21875)</f>
        <v>2.21875</v>
      </c>
      <c r="S544" s="31">
        <f>IFERROR(__xludf.DUMMYFUNCTION("""COMPUTED_VALUE"""),351.0520833333333)</f>
        <v>351.0520833</v>
      </c>
      <c r="T544" s="57">
        <f>IFERROR(__xludf.DUMMYFUNCTION("""COMPUTED_VALUE"""),0.8958333333333333)</f>
        <v>0.8958333333</v>
      </c>
      <c r="U544" s="57">
        <f>IFERROR(__xludf.DUMMYFUNCTION("""COMPUTED_VALUE"""),0.5625000000000001)</f>
        <v>0.5625</v>
      </c>
      <c r="V544" s="57">
        <f>IFERROR(__xludf.DUMMYFUNCTION("""COMPUTED_VALUE"""),1.1250000000000002)</f>
        <v>1.125</v>
      </c>
      <c r="W544" s="57">
        <f>IFERROR(__xludf.DUMMYFUNCTION("""COMPUTED_VALUE"""),2.5937500000000004)</f>
        <v>2.59375</v>
      </c>
      <c r="X544" s="31">
        <f>IFERROR(__xludf.DUMMYFUNCTION("""COMPUTED_VALUE"""),337.5984293201468)</f>
        <v>337.5984293</v>
      </c>
      <c r="Y544" s="57">
        <f>IFERROR(__xludf.DUMMYFUNCTION("""COMPUTED_VALUE"""),0.7863947122751368)</f>
        <v>0.7863947123</v>
      </c>
      <c r="Z544" s="57">
        <f>IFERROR(__xludf.DUMMYFUNCTION("""COMPUTED_VALUE"""),0.4900713998075438)</f>
        <v>0.4900713998</v>
      </c>
      <c r="AA544" s="57">
        <f>IFERROR(__xludf.DUMMYFUNCTION("""COMPUTED_VALUE"""),1.2627234645190903)</f>
        <v>1.262723465</v>
      </c>
      <c r="AB544" s="57">
        <f>IFERROR(__xludf.DUMMYFUNCTION("""COMPUTED_VALUE"""),2.446199458943933)</f>
        <v>2.446199459</v>
      </c>
      <c r="AC544" s="31">
        <f>IFERROR(__xludf.DUMMYFUNCTION("""COMPUTED_VALUE"""),333.7173487507703)</f>
        <v>333.7173488</v>
      </c>
      <c r="AD544" s="57">
        <f>IFERROR(__xludf.DUMMYFUNCTION("""COMPUTED_VALUE"""),0.7922035435144457)</f>
        <v>0.7922035435</v>
      </c>
      <c r="AE544" s="57">
        <f>IFERROR(__xludf.DUMMYFUNCTION("""COMPUTED_VALUE"""),0.5297629780204091)</f>
        <v>0.529762978</v>
      </c>
      <c r="AF544" s="57">
        <f>IFERROR(__xludf.DUMMYFUNCTION("""COMPUTED_VALUE"""),1.1517216679954134)</f>
        <v>1.151721668</v>
      </c>
      <c r="AG544" s="57">
        <f>IFERROR(__xludf.DUMMYFUNCTION("""COMPUTED_VALUE"""),2.4980914741473703)</f>
        <v>2.498091474</v>
      </c>
      <c r="AH544" s="57">
        <f>IFERROR(__xludf.DUMMYFUNCTION("""COMPUTED_VALUE"""),0.9357657046269434)</f>
        <v>0.9357657046</v>
      </c>
      <c r="AI544" s="57">
        <f>IFERROR(__xludf.DUMMYFUNCTION("""COMPUTED_VALUE"""),0.7100447916511281)</f>
        <v>0.7100447917</v>
      </c>
      <c r="AJ544" s="57">
        <f>IFERROR(__xludf.DUMMYFUNCTION("""COMPUTED_VALUE"""),0.8258410235362754)</f>
        <v>0.8258410235</v>
      </c>
      <c r="AK544" s="57">
        <f>IFERROR(__xludf.DUMMYFUNCTION("""COMPUTED_VALUE"""),1.2209981274795294)</f>
        <v>1.220998127</v>
      </c>
      <c r="AL544" s="57">
        <f>IFERROR(__xludf.DUMMYFUNCTION("""COMPUTED_VALUE"""),0.8881780443037167)</f>
        <v>0.8881780443</v>
      </c>
      <c r="AM544" s="57">
        <f>IFERROR(__xludf.DUMMYFUNCTION("""COMPUTED_VALUE"""),1.03985105629869)</f>
        <v>1.039851056</v>
      </c>
      <c r="AN544" s="57">
        <f>IFERROR(__xludf.DUMMYFUNCTION("""COMPUTED_VALUE"""),1.1391650011755254)</f>
        <v>1.139165001</v>
      </c>
      <c r="AO544" s="57">
        <f>IFERROR(__xludf.DUMMYFUNCTION("""COMPUTED_VALUE"""),1.1477919344424095)</f>
        <v>1.147791934</v>
      </c>
      <c r="AP544" s="35">
        <f>IFERROR(__xludf.DUMMYFUNCTION("""COMPUTED_VALUE"""),0.8909314126260082)</f>
        <v>0.8909314126</v>
      </c>
      <c r="AQ544" s="57">
        <f>IFERROR(__xludf.DUMMYFUNCTION("""COMPUTED_VALUE"""),1.0603182788372325)</f>
        <v>1.060318279</v>
      </c>
      <c r="AR544" s="36" t="b">
        <f>IFERROR(__xludf.DUMMYFUNCTION("""COMPUTED_VALUE"""),TRUE)</f>
        <v>1</v>
      </c>
      <c r="AS544" s="57"/>
      <c r="AT544" s="37"/>
      <c r="AU544" s="30"/>
      <c r="AV544" s="30"/>
      <c r="AW544" s="30"/>
      <c r="AX544" s="30"/>
      <c r="AY544" s="30"/>
      <c r="AZ544" s="30"/>
    </row>
    <row r="545">
      <c r="A545" s="30" t="str">
        <f>IFERROR(__xludf.DUMMYFUNCTION("""COMPUTED_VALUE"""),"Prospect")</f>
        <v>Prospect</v>
      </c>
      <c r="B545" s="30" t="str">
        <f>IFERROR(__xludf.DUMMYFUNCTION("""COMPUTED_VALUE"""),"RSC007851")</f>
        <v>RSC007851</v>
      </c>
      <c r="C545" s="30" t="str">
        <f>IFERROR(__xludf.DUMMYFUNCTION("""COMPUTED_VALUE"""),"Carridripdrip")</f>
        <v>Carridripdrip</v>
      </c>
      <c r="D545" s="31" t="str">
        <f>IFERROR(__xludf.DUMMYFUNCTION("""COMPUTED_VALUE"""),"Undead")</f>
        <v>Undead</v>
      </c>
      <c r="E545" s="31">
        <f>IFERROR(__xludf.DUMMYFUNCTION("""COMPUTED_VALUE"""),35.78113169005006)</f>
        <v>35.78113169</v>
      </c>
      <c r="F545" s="31">
        <f>IFERROR(__xludf.DUMMYFUNCTION("""COMPUTED_VALUE"""),-3.5117131514004196)</f>
        <v>-3.511713151</v>
      </c>
      <c r="G545" s="31">
        <f>IFERROR(__xludf.DUMMYFUNCTION("""COMPUTED_VALUE"""),44.43992608623704)</f>
        <v>44.43992609</v>
      </c>
      <c r="H545" s="31">
        <f>IFERROR(__xludf.DUMMYFUNCTION("""COMPUTED_VALUE"""),-2.42718384608752)</f>
        <v>-2.427183846</v>
      </c>
      <c r="I545" s="54">
        <f>IFERROR(__xludf.DUMMYFUNCTION("""COMPUTED_VALUE"""),39.0)</f>
        <v>39</v>
      </c>
      <c r="J545" s="55">
        <f>IFERROR(__xludf.DUMMYFUNCTION("""COMPUTED_VALUE"""),14.0)</f>
        <v>14</v>
      </c>
      <c r="K545" s="54">
        <f>IFERROR(__xludf.DUMMYFUNCTION("""COMPUTED_VALUE"""),25.0)</f>
        <v>25</v>
      </c>
      <c r="L545" s="56">
        <f>IFERROR(__xludf.DUMMYFUNCTION("""COMPUTED_VALUE"""),0.358974358974359)</f>
        <v>0.358974359</v>
      </c>
      <c r="M545" s="56">
        <f>IFERROR(__xludf.DUMMYFUNCTION("""COMPUTED_VALUE"""),0.28750000000000003)</f>
        <v>0.2875</v>
      </c>
      <c r="N545" s="31">
        <f>IFERROR(__xludf.DUMMYFUNCTION("""COMPUTED_VALUE"""),326.3076923076923)</f>
        <v>326.3076923</v>
      </c>
      <c r="O545" s="57">
        <f>IFERROR(__xludf.DUMMYFUNCTION("""COMPUTED_VALUE"""),0.5897435897435898)</f>
        <v>0.5897435897</v>
      </c>
      <c r="P545" s="57">
        <f>IFERROR(__xludf.DUMMYFUNCTION("""COMPUTED_VALUE"""),0.41025641025641024)</f>
        <v>0.4102564103</v>
      </c>
      <c r="Q545" s="57">
        <f>IFERROR(__xludf.DUMMYFUNCTION("""COMPUTED_VALUE"""),1.3846153846153846)</f>
        <v>1.384615385</v>
      </c>
      <c r="R545" s="57">
        <f>IFERROR(__xludf.DUMMYFUNCTION("""COMPUTED_VALUE"""),2.051282051282051)</f>
        <v>2.051282051</v>
      </c>
      <c r="S545" s="31">
        <f>IFERROR(__xludf.DUMMYFUNCTION("""COMPUTED_VALUE"""),355.0512820512821)</f>
        <v>355.0512821</v>
      </c>
      <c r="T545" s="57">
        <f>IFERROR(__xludf.DUMMYFUNCTION("""COMPUTED_VALUE"""),0.9401709401709399)</f>
        <v>0.9401709402</v>
      </c>
      <c r="U545" s="57">
        <f>IFERROR(__xludf.DUMMYFUNCTION("""COMPUTED_VALUE"""),0.623931623931624)</f>
        <v>0.6239316239</v>
      </c>
      <c r="V545" s="57">
        <f>IFERROR(__xludf.DUMMYFUNCTION("""COMPUTED_VALUE"""),1.1111111111111112)</f>
        <v>1.111111111</v>
      </c>
      <c r="W545" s="57">
        <f>IFERROR(__xludf.DUMMYFUNCTION("""COMPUTED_VALUE"""),2.6324786324786325)</f>
        <v>2.632478632</v>
      </c>
      <c r="X545" s="31">
        <f>IFERROR(__xludf.DUMMYFUNCTION("""COMPUTED_VALUE"""),341.32549814184864)</f>
        <v>341.3254981</v>
      </c>
      <c r="Y545" s="57">
        <f>IFERROR(__xludf.DUMMYFUNCTION("""COMPUTED_VALUE"""),0.8320439246632207)</f>
        <v>0.8320439247</v>
      </c>
      <c r="Z545" s="57">
        <f>IFERROR(__xludf.DUMMYFUNCTION("""COMPUTED_VALUE"""),0.5151822778958101)</f>
        <v>0.5151822779</v>
      </c>
      <c r="AA545" s="57">
        <f>IFERROR(__xludf.DUMMYFUNCTION("""COMPUTED_VALUE"""),1.228354244961691)</f>
        <v>1.228354245</v>
      </c>
      <c r="AB545" s="57">
        <f>IFERROR(__xludf.DUMMYFUNCTION("""COMPUTED_VALUE"""),2.541375047284394)</f>
        <v>2.541375047</v>
      </c>
      <c r="AC545" s="31">
        <f>IFERROR(__xludf.DUMMYFUNCTION("""COMPUTED_VALUE"""),332.95793404161367)</f>
        <v>332.957934</v>
      </c>
      <c r="AD545" s="57">
        <f>IFERROR(__xludf.DUMMYFUNCTION("""COMPUTED_VALUE"""),0.7740536141874924)</f>
        <v>0.7740536142</v>
      </c>
      <c r="AE545" s="57">
        <f>IFERROR(__xludf.DUMMYFUNCTION("""COMPUTED_VALUE"""),0.5215998699837382)</f>
        <v>0.52159987</v>
      </c>
      <c r="AF545" s="57">
        <f>IFERROR(__xludf.DUMMYFUNCTION("""COMPUTED_VALUE"""),1.204170060501831)</f>
        <v>1.204170061</v>
      </c>
      <c r="AG545" s="57">
        <f>IFERROR(__xludf.DUMMYFUNCTION("""COMPUTED_VALUE"""),2.4068403024321996)</f>
        <v>2.406840302</v>
      </c>
      <c r="AH545" s="57">
        <f>IFERROR(__xludf.DUMMYFUNCTION("""COMPUTED_VALUE"""),0.9800267810014397)</f>
        <v>0.980026781</v>
      </c>
      <c r="AI545" s="57">
        <f>IFERROR(__xludf.DUMMYFUNCTION("""COMPUTED_VALUE"""),0.7618898470781394)</f>
        <v>0.7618898471</v>
      </c>
      <c r="AJ545" s="57">
        <f>IFERROR(__xludf.DUMMYFUNCTION("""COMPUTED_VALUE"""),0.7865347249208492)</f>
        <v>0.7865347249</v>
      </c>
      <c r="AK545" s="57">
        <f>IFERROR(__xludf.DUMMYFUNCTION("""COMPUTED_VALUE"""),1.149850365851443)</f>
        <v>1.149850366</v>
      </c>
      <c r="AL545" s="57">
        <f>IFERROR(__xludf.DUMMYFUNCTION("""COMPUTED_VALUE"""),0.8522717727508369)</f>
        <v>0.8522717728</v>
      </c>
      <c r="AM545" s="57">
        <f>IFERROR(__xludf.DUMMYFUNCTION("""COMPUTED_VALUE"""),1.0402131806271597)</f>
        <v>1.040213181</v>
      </c>
      <c r="AN545" s="57">
        <f>IFERROR(__xludf.DUMMYFUNCTION("""COMPUTED_VALUE"""),1.1299534944041383)</f>
        <v>1.129953494</v>
      </c>
      <c r="AO545" s="57">
        <f>IFERROR(__xludf.DUMMYFUNCTION("""COMPUTED_VALUE"""),1.2110890663397536)</f>
        <v>1.211089066</v>
      </c>
      <c r="AP545" s="35">
        <f>IFERROR(__xludf.DUMMYFUNCTION("""COMPUTED_VALUE"""),0.9045526692878109)</f>
        <v>0.9045526693</v>
      </c>
      <c r="AQ545" s="57">
        <f>IFERROR(__xludf.DUMMYFUNCTION("""COMPUTED_VALUE"""),1.0358481465738745)</f>
        <v>1.035848147</v>
      </c>
      <c r="AR545" s="36" t="b">
        <f>IFERROR(__xludf.DUMMYFUNCTION("""COMPUTED_VALUE"""),TRUE)</f>
        <v>1</v>
      </c>
      <c r="AS545" s="57"/>
      <c r="AT545" s="37"/>
      <c r="AU545" s="30"/>
      <c r="AV545" s="30"/>
      <c r="AW545" s="30"/>
      <c r="AX545" s="30"/>
      <c r="AY545" s="30"/>
      <c r="AZ545" s="30"/>
    </row>
    <row r="546">
      <c r="A546" s="30" t="str">
        <f>IFERROR(__xludf.DUMMYFUNCTION("""COMPUTED_VALUE"""),"Prospect")</f>
        <v>Prospect</v>
      </c>
      <c r="B546" s="30" t="str">
        <f>IFERROR(__xludf.DUMMYFUNCTION("""COMPUTED_VALUE"""),"RSC007864")</f>
        <v>RSC007864</v>
      </c>
      <c r="C546" s="30" t="str">
        <f>IFERROR(__xludf.DUMMYFUNCTION("""COMPUTED_VALUE"""),"z . a . c")</f>
        <v>z . a . c</v>
      </c>
      <c r="D546" s="31" t="str">
        <f>IFERROR(__xludf.DUMMYFUNCTION("""COMPUTED_VALUE"""),"Khans")</f>
        <v>Khans</v>
      </c>
      <c r="E546" s="31">
        <f>IFERROR(__xludf.DUMMYFUNCTION("""COMPUTED_VALUE"""),33.28016917076306)</f>
        <v>33.28016917</v>
      </c>
      <c r="F546" s="31">
        <f>IFERROR(__xludf.DUMMYFUNCTION("""COMPUTED_VALUE"""),-3.9711899391342187)</f>
        <v>-3.971189939</v>
      </c>
      <c r="G546" s="31">
        <f>IFERROR(__xludf.DUMMYFUNCTION("""COMPUTED_VALUE"""),30.77916058667502)</f>
        <v>30.77916059</v>
      </c>
      <c r="H546" s="31">
        <f>IFERROR(__xludf.DUMMYFUNCTION("""COMPUTED_VALUE"""),-4.524967615695332)</f>
        <v>-4.524967616</v>
      </c>
      <c r="I546" s="54">
        <f>IFERROR(__xludf.DUMMYFUNCTION("""COMPUTED_VALUE"""),22.0)</f>
        <v>22</v>
      </c>
      <c r="J546" s="55">
        <f>IFERROR(__xludf.DUMMYFUNCTION("""COMPUTED_VALUE"""),9.0)</f>
        <v>9</v>
      </c>
      <c r="K546" s="54">
        <f>IFERROR(__xludf.DUMMYFUNCTION("""COMPUTED_VALUE"""),13.0)</f>
        <v>13</v>
      </c>
      <c r="L546" s="56">
        <f>IFERROR(__xludf.DUMMYFUNCTION("""COMPUTED_VALUE"""),0.4090909090909091)</f>
        <v>0.4090909091</v>
      </c>
      <c r="M546" s="56">
        <f>IFERROR(__xludf.DUMMYFUNCTION("""COMPUTED_VALUE"""),0.35135135135135137)</f>
        <v>0.3513513514</v>
      </c>
      <c r="N546" s="31">
        <f>IFERROR(__xludf.DUMMYFUNCTION("""COMPUTED_VALUE"""),297.5)</f>
        <v>297.5</v>
      </c>
      <c r="O546" s="57">
        <f>IFERROR(__xludf.DUMMYFUNCTION("""COMPUTED_VALUE"""),0.5909090909090909)</f>
        <v>0.5909090909</v>
      </c>
      <c r="P546" s="57">
        <f>IFERROR(__xludf.DUMMYFUNCTION("""COMPUTED_VALUE"""),0.4090909090909091)</f>
        <v>0.4090909091</v>
      </c>
      <c r="Q546" s="57">
        <f>IFERROR(__xludf.DUMMYFUNCTION("""COMPUTED_VALUE"""),1.4545454545454546)</f>
        <v>1.454545455</v>
      </c>
      <c r="R546" s="57">
        <f>IFERROR(__xludf.DUMMYFUNCTION("""COMPUTED_VALUE"""),1.6818181818181819)</f>
        <v>1.681818182</v>
      </c>
      <c r="S546" s="31">
        <f>IFERROR(__xludf.DUMMYFUNCTION("""COMPUTED_VALUE"""),335.78787878787875)</f>
        <v>335.7878788</v>
      </c>
      <c r="T546" s="57">
        <f>IFERROR(__xludf.DUMMYFUNCTION("""COMPUTED_VALUE"""),0.9242424242424243)</f>
        <v>0.9242424242</v>
      </c>
      <c r="U546" s="57">
        <f>IFERROR(__xludf.DUMMYFUNCTION("""COMPUTED_VALUE"""),0.5909090909090908)</f>
        <v>0.5909090909</v>
      </c>
      <c r="V546" s="57">
        <f>IFERROR(__xludf.DUMMYFUNCTION("""COMPUTED_VALUE"""),0.8787878787878789)</f>
        <v>0.8787878788</v>
      </c>
      <c r="W546" s="57">
        <f>IFERROR(__xludf.DUMMYFUNCTION("""COMPUTED_VALUE"""),2.9090909090909083)</f>
        <v>2.909090909</v>
      </c>
      <c r="X546" s="31">
        <f>IFERROR(__xludf.DUMMYFUNCTION("""COMPUTED_VALUE"""),337.46965740333735)</f>
        <v>337.4696574</v>
      </c>
      <c r="Y546" s="57">
        <f>IFERROR(__xludf.DUMMYFUNCTION("""COMPUTED_VALUE"""),0.8333110685969193)</f>
        <v>0.8333110686</v>
      </c>
      <c r="Z546" s="57">
        <f>IFERROR(__xludf.DUMMYFUNCTION("""COMPUTED_VALUE"""),0.5693513269482053)</f>
        <v>0.5693513269</v>
      </c>
      <c r="AA546" s="57">
        <f>IFERROR(__xludf.DUMMYFUNCTION("""COMPUTED_VALUE"""),1.143482812591801)</f>
        <v>1.143482813</v>
      </c>
      <c r="AB546" s="57">
        <f>IFERROR(__xludf.DUMMYFUNCTION("""COMPUTED_VALUE"""),2.5702620153371165)</f>
        <v>2.570262015</v>
      </c>
      <c r="AC546" s="31">
        <f>IFERROR(__xludf.DUMMYFUNCTION("""COMPUTED_VALUE"""),320.8505007962392)</f>
        <v>320.8505008</v>
      </c>
      <c r="AD546" s="57">
        <f>IFERROR(__xludf.DUMMYFUNCTION("""COMPUTED_VALUE"""),0.7200031973677086)</f>
        <v>0.7200031974</v>
      </c>
      <c r="AE546" s="57">
        <f>IFERROR(__xludf.DUMMYFUNCTION("""COMPUTED_VALUE"""),0.46369524986482824)</f>
        <v>0.4636952499</v>
      </c>
      <c r="AF546" s="57">
        <f>IFERROR(__xludf.DUMMYFUNCTION("""COMPUTED_VALUE"""),1.2363244636403488)</f>
        <v>1.236324464</v>
      </c>
      <c r="AG546" s="57">
        <f>IFERROR(__xludf.DUMMYFUNCTION("""COMPUTED_VALUE"""),2.2559074215143666)</f>
        <v>2.255907422</v>
      </c>
      <c r="AH546" s="57">
        <f>IFERROR(__xludf.DUMMYFUNCTION("""COMPUTED_VALUE"""),0.9272231125141105)</f>
        <v>0.9272231125</v>
      </c>
      <c r="AI546" s="57">
        <f>IFERROR(__xludf.DUMMYFUNCTION("""COMPUTED_VALUE"""),0.8207034261367471)</f>
        <v>0.8207034261</v>
      </c>
      <c r="AJ546" s="57">
        <f>IFERROR(__xludf.DUMMYFUNCTION("""COMPUTED_VALUE"""),0.8822408881914645)</f>
        <v>0.8822408882</v>
      </c>
      <c r="AK546" s="57">
        <f>IFERROR(__xludf.DUMMYFUNCTION("""COMPUTED_VALUE"""),1.1765078644990616)</f>
        <v>1.176507864</v>
      </c>
      <c r="AL546" s="57">
        <f>IFERROR(__xludf.DUMMYFUNCTION("""COMPUTED_VALUE"""),0.7455173761914375)</f>
        <v>0.7455173762</v>
      </c>
      <c r="AM546" s="57">
        <f>IFERROR(__xludf.DUMMYFUNCTION("""COMPUTED_VALUE"""),0.9950165042143372)</f>
        <v>0.9950165042</v>
      </c>
      <c r="AN546" s="57">
        <f>IFERROR(__xludf.DUMMYFUNCTION("""COMPUTED_VALUE"""),1.109120542222738)</f>
        <v>1.109120542</v>
      </c>
      <c r="AO546" s="57">
        <f>IFERROR(__xludf.DUMMYFUNCTION("""COMPUTED_VALUE"""),1.0378637283176941)</f>
        <v>1.037863728</v>
      </c>
      <c r="AP546" s="35">
        <f>IFERROR(__xludf.DUMMYFUNCTION("""COMPUTED_VALUE"""),0.7685186599316096)</f>
        <v>0.7685186599</v>
      </c>
      <c r="AQ546" s="57">
        <f>IFERROR(__xludf.DUMMYFUNCTION("""COMPUTED_VALUE"""),1.1318265965617327)</f>
        <v>1.131826597</v>
      </c>
      <c r="AR546" s="36" t="b">
        <f>IFERROR(__xludf.DUMMYFUNCTION("""COMPUTED_VALUE"""),TRUE)</f>
        <v>1</v>
      </c>
      <c r="AS546" s="57"/>
      <c r="AT546" s="37"/>
      <c r="AU546" s="30"/>
      <c r="AV546" s="30"/>
      <c r="AW546" s="30"/>
      <c r="AX546" s="30"/>
      <c r="AY546" s="30"/>
      <c r="AZ546" s="30"/>
    </row>
    <row r="547">
      <c r="A547" s="30" t="str">
        <f>IFERROR(__xludf.DUMMYFUNCTION("""COMPUTED_VALUE"""),"Prospect")</f>
        <v>Prospect</v>
      </c>
      <c r="B547" s="30" t="str">
        <f>IFERROR(__xludf.DUMMYFUNCTION("""COMPUTED_VALUE"""),"RSC005561")</f>
        <v>RSC005561</v>
      </c>
      <c r="C547" s="30" t="str">
        <f>IFERROR(__xludf.DUMMYFUNCTION("""COMPUTED_VALUE"""),"Angelofthebronx")</f>
        <v>Angelofthebronx</v>
      </c>
      <c r="D547" s="31" t="str">
        <f>IFERROR(__xludf.DUMMYFUNCTION("""COMPUTED_VALUE"""),"Earth")</f>
        <v>Earth</v>
      </c>
      <c r="E547" s="31">
        <f>IFERROR(__xludf.DUMMYFUNCTION("""COMPUTED_VALUE"""),32.28172989738968)</f>
        <v>32.2817299</v>
      </c>
      <c r="F547" s="31">
        <f>IFERROR(__xludf.DUMMYFUNCTION("""COMPUTED_VALUE"""),-4.179802172399103)</f>
        <v>-4.179802172</v>
      </c>
      <c r="G547" s="31">
        <f>IFERROR(__xludf.DUMMYFUNCTION("""COMPUTED_VALUE"""),17.131403646449037)</f>
        <v>17.13140365</v>
      </c>
      <c r="H547" s="31">
        <f>IFERROR(__xludf.DUMMYFUNCTION("""COMPUTED_VALUE"""),-10.604678634463854)</f>
        <v>-10.60467863</v>
      </c>
      <c r="I547" s="54">
        <f>IFERROR(__xludf.DUMMYFUNCTION("""COMPUTED_VALUE"""),13.0)</f>
        <v>13</v>
      </c>
      <c r="J547" s="55">
        <f>IFERROR(__xludf.DUMMYFUNCTION("""COMPUTED_VALUE"""),4.0)</f>
        <v>4</v>
      </c>
      <c r="K547" s="54">
        <f>IFERROR(__xludf.DUMMYFUNCTION("""COMPUTED_VALUE"""),9.0)</f>
        <v>9</v>
      </c>
      <c r="L547" s="56">
        <f>IFERROR(__xludf.DUMMYFUNCTION("""COMPUTED_VALUE"""),0.3076923076923077)</f>
        <v>0.3076923077</v>
      </c>
      <c r="M547" s="56">
        <f>IFERROR(__xludf.DUMMYFUNCTION("""COMPUTED_VALUE"""),0.3333333333333333)</f>
        <v>0.3333333333</v>
      </c>
      <c r="N547" s="31">
        <f>IFERROR(__xludf.DUMMYFUNCTION("""COMPUTED_VALUE"""),255.07692307692307)</f>
        <v>255.0769231</v>
      </c>
      <c r="O547" s="57">
        <f>IFERROR(__xludf.DUMMYFUNCTION("""COMPUTED_VALUE"""),0.6153846153846154)</f>
        <v>0.6153846154</v>
      </c>
      <c r="P547" s="57">
        <f>IFERROR(__xludf.DUMMYFUNCTION("""COMPUTED_VALUE"""),0.5384615384615384)</f>
        <v>0.5384615385</v>
      </c>
      <c r="Q547" s="57">
        <f>IFERROR(__xludf.DUMMYFUNCTION("""COMPUTED_VALUE"""),0.5384615384615384)</f>
        <v>0.5384615385</v>
      </c>
      <c r="R547" s="57">
        <f>IFERROR(__xludf.DUMMYFUNCTION("""COMPUTED_VALUE"""),1.8461538461538463)</f>
        <v>1.846153846</v>
      </c>
      <c r="S547" s="31">
        <f>IFERROR(__xludf.DUMMYFUNCTION("""COMPUTED_VALUE"""),386.3589743589745)</f>
        <v>386.3589744</v>
      </c>
      <c r="T547" s="57">
        <f>IFERROR(__xludf.DUMMYFUNCTION("""COMPUTED_VALUE"""),0.9999999999999999)</f>
        <v>1</v>
      </c>
      <c r="U547" s="57">
        <f>IFERROR(__xludf.DUMMYFUNCTION("""COMPUTED_VALUE"""),0.6923076923076924)</f>
        <v>0.6923076923</v>
      </c>
      <c r="V547" s="57">
        <f>IFERROR(__xludf.DUMMYFUNCTION("""COMPUTED_VALUE"""),1.3846153846153846)</f>
        <v>1.384615385</v>
      </c>
      <c r="W547" s="57">
        <f>IFERROR(__xludf.DUMMYFUNCTION("""COMPUTED_VALUE"""),2.6153846153846154)</f>
        <v>2.615384615</v>
      </c>
      <c r="X547" s="31">
        <f>IFERROR(__xludf.DUMMYFUNCTION("""COMPUTED_VALUE"""),343.8779445898192)</f>
        <v>343.8779446</v>
      </c>
      <c r="Y547" s="57">
        <f>IFERROR(__xludf.DUMMYFUNCTION("""COMPUTED_VALUE"""),0.8582575079715363)</f>
        <v>0.858257508</v>
      </c>
      <c r="Z547" s="57">
        <f>IFERROR(__xludf.DUMMYFUNCTION("""COMPUTED_VALUE"""),0.5419099190891543)</f>
        <v>0.5419099191</v>
      </c>
      <c r="AA547" s="57">
        <f>IFERROR(__xludf.DUMMYFUNCTION("""COMPUTED_VALUE"""),1.1710093692607242)</f>
        <v>1.171009369</v>
      </c>
      <c r="AB547" s="57">
        <f>IFERROR(__xludf.DUMMYFUNCTION("""COMPUTED_VALUE"""),2.4684209530964116)</f>
        <v>2.468420953</v>
      </c>
      <c r="AC547" s="31">
        <f>IFERROR(__xludf.DUMMYFUNCTION("""COMPUTED_VALUE"""),325.32418485847995)</f>
        <v>325.3241849</v>
      </c>
      <c r="AD547" s="57">
        <f>IFERROR(__xludf.DUMMYFUNCTION("""COMPUTED_VALUE"""),0.7456406880379174)</f>
        <v>0.745640688</v>
      </c>
      <c r="AE547" s="57">
        <f>IFERROR(__xludf.DUMMYFUNCTION("""COMPUTED_VALUE"""),0.5001418197459149)</f>
        <v>0.5001418197</v>
      </c>
      <c r="AF547" s="57">
        <f>IFERROR(__xludf.DUMMYFUNCTION("""COMPUTED_VALUE"""),1.1384162903349262)</f>
        <v>1.13841629</v>
      </c>
      <c r="AG547" s="57">
        <f>IFERROR(__xludf.DUMMYFUNCTION("""COMPUTED_VALUE"""),2.366892087691198)</f>
        <v>2.366892088</v>
      </c>
      <c r="AH547" s="57">
        <f>IFERROR(__xludf.DUMMYFUNCTION("""COMPUTED_VALUE"""),0.7840699675859779)</f>
        <v>0.7840699676</v>
      </c>
      <c r="AI547" s="57">
        <f>IFERROR(__xludf.DUMMYFUNCTION("""COMPUTED_VALUE"""),0.8253098647338325)</f>
        <v>0.8253098647</v>
      </c>
      <c r="AJ547" s="57">
        <f>IFERROR(__xludf.DUMMYFUNCTION("""COMPUTED_VALUE"""),1.0766177056241588)</f>
        <v>1.076617706</v>
      </c>
      <c r="AK547" s="57">
        <f>IFERROR(__xludf.DUMMYFUNCTION("""COMPUTED_VALUE"""),0.4729917720196371)</f>
        <v>0.472991772</v>
      </c>
      <c r="AL547" s="57">
        <f>IFERROR(__xludf.DUMMYFUNCTION("""COMPUTED_VALUE"""),0.7799907126119512)</f>
        <v>0.7799907126</v>
      </c>
      <c r="AM547" s="57">
        <f>IFERROR(__xludf.DUMMYFUNCTION("""COMPUTED_VALUE"""),1.1235351974079846)</f>
        <v>1.123535197</v>
      </c>
      <c r="AN547" s="57">
        <f>IFERROR(__xludf.DUMMYFUNCTION("""COMPUTED_VALUE"""),1.1651514734353647)</f>
        <v>1.165151473</v>
      </c>
      <c r="AO547" s="57">
        <f>IFERROR(__xludf.DUMMYFUNCTION("""COMPUTED_VALUE"""),1.2775327926665887)</f>
        <v>1.277532793</v>
      </c>
      <c r="AP547" s="35">
        <f>IFERROR(__xludf.DUMMYFUNCTION("""COMPUTED_VALUE"""),1.1824118755680948)</f>
        <v>1.182411876</v>
      </c>
      <c r="AQ547" s="57">
        <f>IFERROR(__xludf.DUMMYFUNCTION("""COMPUTED_VALUE"""),1.0595375201720967)</f>
        <v>1.05953752</v>
      </c>
      <c r="AR547" s="36" t="b">
        <f>IFERROR(__xludf.DUMMYFUNCTION("""COMPUTED_VALUE"""),TRUE)</f>
        <v>1</v>
      </c>
      <c r="AS547" s="57"/>
      <c r="AT547" s="37"/>
      <c r="AU547" s="30"/>
      <c r="AV547" s="30"/>
      <c r="AW547" s="30"/>
      <c r="AX547" s="30"/>
      <c r="AY547" s="30"/>
      <c r="AZ547" s="30"/>
    </row>
    <row r="548">
      <c r="A548" s="30" t="str">
        <f>IFERROR(__xludf.DUMMYFUNCTION("""COMPUTED_VALUE"""),"Prospect")</f>
        <v>Prospect</v>
      </c>
      <c r="B548" s="30" t="str">
        <f>IFERROR(__xludf.DUMMYFUNCTION("""COMPUTED_VALUE"""),"RSC005136")</f>
        <v>RSC005136</v>
      </c>
      <c r="C548" s="30" t="str">
        <f>IFERROR(__xludf.DUMMYFUNCTION("""COMPUTED_VALUE"""),"tdogplayz")</f>
        <v>tdogplayz</v>
      </c>
      <c r="D548" s="31" t="str">
        <f>IFERROR(__xludf.DUMMYFUNCTION("""COMPUTED_VALUE"""),"Principales")</f>
        <v>Principales</v>
      </c>
      <c r="E548" s="31">
        <f>IFERROR(__xludf.DUMMYFUNCTION("""COMPUTED_VALUE"""),31.06718229220704)</f>
        <v>31.06718229</v>
      </c>
      <c r="F548" s="31">
        <f>IFERROR(__xludf.DUMMYFUNCTION("""COMPUTED_VALUE"""),-4.455707095250351)</f>
        <v>-4.455707095</v>
      </c>
      <c r="G548" s="31">
        <f>IFERROR(__xludf.DUMMYFUNCTION("""COMPUTED_VALUE"""),41.6269924077867)</f>
        <v>41.62699241</v>
      </c>
      <c r="H548" s="31">
        <f>IFERROR(__xludf.DUMMYFUNCTION("""COMPUTED_VALUE"""),-2.7111835573421574)</f>
        <v>-2.711183557</v>
      </c>
      <c r="I548" s="54">
        <f>IFERROR(__xludf.DUMMYFUNCTION("""COMPUTED_VALUE"""),31.0)</f>
        <v>31</v>
      </c>
      <c r="J548" s="55">
        <f>IFERROR(__xludf.DUMMYFUNCTION("""COMPUTED_VALUE"""),11.0)</f>
        <v>11</v>
      </c>
      <c r="K548" s="54">
        <f>IFERROR(__xludf.DUMMYFUNCTION("""COMPUTED_VALUE"""),20.0)</f>
        <v>20</v>
      </c>
      <c r="L548" s="56">
        <f>IFERROR(__xludf.DUMMYFUNCTION("""COMPUTED_VALUE"""),0.3548387096774194)</f>
        <v>0.3548387097</v>
      </c>
      <c r="M548" s="56">
        <f>IFERROR(__xludf.DUMMYFUNCTION("""COMPUTED_VALUE"""),0.31481481481481477)</f>
        <v>0.3148148148</v>
      </c>
      <c r="N548" s="31">
        <f>IFERROR(__xludf.DUMMYFUNCTION("""COMPUTED_VALUE"""),306.80645161290323)</f>
        <v>306.8064516</v>
      </c>
      <c r="O548" s="57">
        <f>IFERROR(__xludf.DUMMYFUNCTION("""COMPUTED_VALUE"""),0.5483870967741935)</f>
        <v>0.5483870968</v>
      </c>
      <c r="P548" s="57">
        <f>IFERROR(__xludf.DUMMYFUNCTION("""COMPUTED_VALUE"""),0.45161290322580644)</f>
        <v>0.4516129032</v>
      </c>
      <c r="Q548" s="57">
        <f>IFERROR(__xludf.DUMMYFUNCTION("""COMPUTED_VALUE"""),1.064516129032258)</f>
        <v>1.064516129</v>
      </c>
      <c r="R548" s="57">
        <f>IFERROR(__xludf.DUMMYFUNCTION("""COMPUTED_VALUE"""),1.7419354838709677)</f>
        <v>1.741935484</v>
      </c>
      <c r="S548" s="31">
        <f>IFERROR(__xludf.DUMMYFUNCTION("""COMPUTED_VALUE"""),339.2258064516129)</f>
        <v>339.2258065</v>
      </c>
      <c r="T548" s="57">
        <f>IFERROR(__xludf.DUMMYFUNCTION("""COMPUTED_VALUE"""),0.903225806451613)</f>
        <v>0.9032258065</v>
      </c>
      <c r="U548" s="57">
        <f>IFERROR(__xludf.DUMMYFUNCTION("""COMPUTED_VALUE"""),0.6021505376344084)</f>
        <v>0.6021505376</v>
      </c>
      <c r="V548" s="57">
        <f>IFERROR(__xludf.DUMMYFUNCTION("""COMPUTED_VALUE"""),1.032258064516129)</f>
        <v>1.032258065</v>
      </c>
      <c r="W548" s="57">
        <f>IFERROR(__xludf.DUMMYFUNCTION("""COMPUTED_VALUE"""),2.462365591397849)</f>
        <v>2.462365591</v>
      </c>
      <c r="X548" s="31">
        <f>IFERROR(__xludf.DUMMYFUNCTION("""COMPUTED_VALUE"""),331.5169073844588)</f>
        <v>331.5169074</v>
      </c>
      <c r="Y548" s="57">
        <f>IFERROR(__xludf.DUMMYFUNCTION("""COMPUTED_VALUE"""),0.7640554351103046)</f>
        <v>0.7640554351</v>
      </c>
      <c r="Z548" s="57">
        <f>IFERROR(__xludf.DUMMYFUNCTION("""COMPUTED_VALUE"""),0.5797792951200174)</f>
        <v>0.5797792951</v>
      </c>
      <c r="AA548" s="57">
        <f>IFERROR(__xludf.DUMMYFUNCTION("""COMPUTED_VALUE"""),1.1408945791747345)</f>
        <v>1.140894579</v>
      </c>
      <c r="AB548" s="57">
        <f>IFERROR(__xludf.DUMMYFUNCTION("""COMPUTED_VALUE"""),2.4328663998445306)</f>
        <v>2.4328664</v>
      </c>
      <c r="AC548" s="31">
        <f>IFERROR(__xludf.DUMMYFUNCTION("""COMPUTED_VALUE"""),335.706826358343)</f>
        <v>335.7068264</v>
      </c>
      <c r="AD548" s="57">
        <f>IFERROR(__xludf.DUMMYFUNCTION("""COMPUTED_VALUE"""),0.8040904873321276)</f>
        <v>0.8040904873</v>
      </c>
      <c r="AE548" s="57">
        <f>IFERROR(__xludf.DUMMYFUNCTION("""COMPUTED_VALUE"""),0.5236866001146524)</f>
        <v>0.5236866001</v>
      </c>
      <c r="AF548" s="57">
        <f>IFERROR(__xludf.DUMMYFUNCTION("""COMPUTED_VALUE"""),1.22626652836017)</f>
        <v>1.226266528</v>
      </c>
      <c r="AG548" s="57">
        <f>IFERROR(__xludf.DUMMYFUNCTION("""COMPUTED_VALUE"""),2.3666255432197656)</f>
        <v>2.366625543</v>
      </c>
      <c r="AH548" s="57">
        <f>IFERROR(__xludf.DUMMYFUNCTION("""COMPUTED_VALUE"""),0.9139118645308967)</f>
        <v>0.9139118645</v>
      </c>
      <c r="AI548" s="57">
        <f>IFERROR(__xludf.DUMMYFUNCTION("""COMPUTED_VALUE"""),0.6819967471492839)</f>
        <v>0.6819967471</v>
      </c>
      <c r="AJ548" s="57">
        <f>IFERROR(__xludf.DUMMYFUNCTION("""COMPUTED_VALUE"""),0.8623724630856191)</f>
        <v>0.8623724631</v>
      </c>
      <c r="AK548" s="57">
        <f>IFERROR(__xludf.DUMMYFUNCTION("""COMPUTED_VALUE"""),0.868095234121563)</f>
        <v>0.8680952341</v>
      </c>
      <c r="AL548" s="57">
        <f>IFERROR(__xludf.DUMMYFUNCTION("""COMPUTED_VALUE"""),0.7360418672322303)</f>
        <v>0.7360418672</v>
      </c>
      <c r="AM548" s="57">
        <f>IFERROR(__xludf.DUMMYFUNCTION("""COMPUTED_VALUE"""),1.0232534115016165)</f>
        <v>1.023253412</v>
      </c>
      <c r="AN548" s="57">
        <f>IFERROR(__xludf.DUMMYFUNCTION("""COMPUTED_VALUE"""),1.1821469555035844)</f>
        <v>1.182146956</v>
      </c>
      <c r="AO548" s="57">
        <f>IFERROR(__xludf.DUMMYFUNCTION("""COMPUTED_VALUE"""),1.0385857906667055)</f>
        <v>1.038585791</v>
      </c>
      <c r="AP548" s="35">
        <f>IFERROR(__xludf.DUMMYFUNCTION("""COMPUTED_VALUE"""),0.9047795329721107)</f>
        <v>0.904779533</v>
      </c>
      <c r="AQ548" s="57">
        <f>IFERROR(__xludf.DUMMYFUNCTION("""COMPUTED_VALUE"""),1.0121252821590219)</f>
        <v>1.012125282</v>
      </c>
      <c r="AR548" s="36" t="b">
        <f>IFERROR(__xludf.DUMMYFUNCTION("""COMPUTED_VALUE"""),TRUE)</f>
        <v>1</v>
      </c>
      <c r="AS548" s="57"/>
      <c r="AT548" s="37"/>
      <c r="AU548" s="30"/>
      <c r="AV548" s="30"/>
      <c r="AW548" s="30"/>
      <c r="AX548" s="30"/>
      <c r="AY548" s="30"/>
      <c r="AZ548" s="30"/>
    </row>
    <row r="549">
      <c r="A549" s="30" t="str">
        <f>IFERROR(__xludf.DUMMYFUNCTION("""COMPUTED_VALUE"""),"Prospect")</f>
        <v>Prospect</v>
      </c>
      <c r="B549" s="30" t="str">
        <f>IFERROR(__xludf.DUMMYFUNCTION("""COMPUTED_VALUE"""),"RSC000253")</f>
        <v>RSC000253</v>
      </c>
      <c r="C549" s="30" t="str">
        <f>IFERROR(__xludf.DUMMYFUNCTION("""COMPUTED_VALUE"""),"musah")</f>
        <v>musah</v>
      </c>
      <c r="D549" s="31" t="str">
        <f>IFERROR(__xludf.DUMMYFUNCTION("""COMPUTED_VALUE"""),"Khans")</f>
        <v>Khans</v>
      </c>
      <c r="E549" s="31">
        <f>IFERROR(__xludf.DUMMYFUNCTION("""COMPUTED_VALUE"""),30.285367406203743)</f>
        <v>30.28536741</v>
      </c>
      <c r="F549" s="31">
        <f>IFERROR(__xludf.DUMMYFUNCTION("""COMPUTED_VALUE"""),-4.647332273467287)</f>
        <v>-4.647332273</v>
      </c>
      <c r="G549" s="31">
        <f>IFERROR(__xludf.DUMMYFUNCTION("""COMPUTED_VALUE"""),18.947675936061987)</f>
        <v>18.94767594</v>
      </c>
      <c r="H549" s="31">
        <f>IFERROR(__xludf.DUMMYFUNCTION("""COMPUTED_VALUE"""),-9.336969438929941)</f>
        <v>-9.336969439</v>
      </c>
      <c r="I549" s="54">
        <f>IFERROR(__xludf.DUMMYFUNCTION("""COMPUTED_VALUE"""),38.0)</f>
        <v>38</v>
      </c>
      <c r="J549" s="55">
        <f>IFERROR(__xludf.DUMMYFUNCTION("""COMPUTED_VALUE"""),16.0)</f>
        <v>16</v>
      </c>
      <c r="K549" s="54">
        <f>IFERROR(__xludf.DUMMYFUNCTION("""COMPUTED_VALUE"""),22.0)</f>
        <v>22</v>
      </c>
      <c r="L549" s="56">
        <f>IFERROR(__xludf.DUMMYFUNCTION("""COMPUTED_VALUE"""),0.42105263157894735)</f>
        <v>0.4210526316</v>
      </c>
      <c r="M549" s="56">
        <f>IFERROR(__xludf.DUMMYFUNCTION("""COMPUTED_VALUE"""),0.25609756097560976)</f>
        <v>0.256097561</v>
      </c>
      <c r="N549" s="31">
        <f>IFERROR(__xludf.DUMMYFUNCTION("""COMPUTED_VALUE"""),266.6842105263158)</f>
        <v>266.6842105</v>
      </c>
      <c r="O549" s="57">
        <f>IFERROR(__xludf.DUMMYFUNCTION("""COMPUTED_VALUE"""),0.5526315789473685)</f>
        <v>0.5526315789</v>
      </c>
      <c r="P549" s="57">
        <f>IFERROR(__xludf.DUMMYFUNCTION("""COMPUTED_VALUE"""),0.23684210526315788)</f>
        <v>0.2368421053</v>
      </c>
      <c r="Q549" s="57">
        <f>IFERROR(__xludf.DUMMYFUNCTION("""COMPUTED_VALUE"""),0.9473684210526315)</f>
        <v>0.9473684211</v>
      </c>
      <c r="R549" s="57">
        <f>IFERROR(__xludf.DUMMYFUNCTION("""COMPUTED_VALUE"""),2.1578947368421053)</f>
        <v>2.157894737</v>
      </c>
      <c r="S549" s="31">
        <f>IFERROR(__xludf.DUMMYFUNCTION("""COMPUTED_VALUE"""),351.9561403508772)</f>
        <v>351.9561404</v>
      </c>
      <c r="T549" s="57">
        <f>IFERROR(__xludf.DUMMYFUNCTION("""COMPUTED_VALUE"""),0.8684210526315788)</f>
        <v>0.8684210526</v>
      </c>
      <c r="U549" s="57">
        <f>IFERROR(__xludf.DUMMYFUNCTION("""COMPUTED_VALUE"""),0.6052631578947368)</f>
        <v>0.6052631579</v>
      </c>
      <c r="V549" s="57">
        <f>IFERROR(__xludf.DUMMYFUNCTION("""COMPUTED_VALUE"""),1.1578947368421058)</f>
        <v>1.157894737</v>
      </c>
      <c r="W549" s="57">
        <f>IFERROR(__xludf.DUMMYFUNCTION("""COMPUTED_VALUE"""),2.81578947368421)</f>
        <v>2.815789474</v>
      </c>
      <c r="X549" s="31">
        <f>IFERROR(__xludf.DUMMYFUNCTION("""COMPUTED_VALUE"""),341.5397031092276)</f>
        <v>341.5397031</v>
      </c>
      <c r="Y549" s="57">
        <f>IFERROR(__xludf.DUMMYFUNCTION("""COMPUTED_VALUE"""),0.8352173690255034)</f>
        <v>0.835217369</v>
      </c>
      <c r="Z549" s="57">
        <f>IFERROR(__xludf.DUMMYFUNCTION("""COMPUTED_VALUE"""),0.5789389119389294)</f>
        <v>0.5789389119</v>
      </c>
      <c r="AA549" s="57">
        <f>IFERROR(__xludf.DUMMYFUNCTION("""COMPUTED_VALUE"""),1.1614886822350823)</f>
        <v>1.161488682</v>
      </c>
      <c r="AB549" s="57">
        <f>IFERROR(__xludf.DUMMYFUNCTION("""COMPUTED_VALUE"""),2.5668797666958523)</f>
        <v>2.566879767</v>
      </c>
      <c r="AC549" s="31">
        <f>IFERROR(__xludf.DUMMYFUNCTION("""COMPUTED_VALUE"""),329.74551947379297)</f>
        <v>329.7455195</v>
      </c>
      <c r="AD549" s="57">
        <f>IFERROR(__xludf.DUMMYFUNCTION("""COMPUTED_VALUE"""),0.7502941011594286)</f>
        <v>0.7502941012</v>
      </c>
      <c r="AE549" s="57">
        <f>IFERROR(__xludf.DUMMYFUNCTION("""COMPUTED_VALUE"""),0.4980682763339145)</f>
        <v>0.4980682763</v>
      </c>
      <c r="AF549" s="57">
        <f>IFERROR(__xludf.DUMMYFUNCTION("""COMPUTED_VALUE"""),1.2299136848863346)</f>
        <v>1.229913685</v>
      </c>
      <c r="AG549" s="57">
        <f>IFERROR(__xludf.DUMMYFUNCTION("""COMPUTED_VALUE"""),2.313011406909449)</f>
        <v>2.313011407</v>
      </c>
      <c r="AH549" s="57">
        <f>IFERROR(__xludf.DUMMYFUNCTION("""COMPUTED_VALUE"""),0.8087576472665641)</f>
        <v>0.8087576473</v>
      </c>
      <c r="AI549" s="57">
        <f>IFERROR(__xludf.DUMMYFUNCTION("""COMPUTED_VALUE"""),0.7365532770328163)</f>
        <v>0.736553277</v>
      </c>
      <c r="AJ549" s="57">
        <f>IFERROR(__xludf.DUMMYFUNCTION("""COMPUTED_VALUE"""),0.47552136226474784)</f>
        <v>0.4755213623</v>
      </c>
      <c r="AK549" s="57">
        <f>IFERROR(__xludf.DUMMYFUNCTION("""COMPUTED_VALUE"""),0.7702722822701049)</f>
        <v>0.7702722823</v>
      </c>
      <c r="AL549" s="57">
        <f>IFERROR(__xludf.DUMMYFUNCTION("""COMPUTED_VALUE"""),0.9329373518850889)</f>
        <v>0.9329373519</v>
      </c>
      <c r="AM549" s="57">
        <f>IFERROR(__xludf.DUMMYFUNCTION("""COMPUTED_VALUE"""),1.030498466640402)</f>
        <v>1.030498467</v>
      </c>
      <c r="AN549" s="57">
        <f>IFERROR(__xludf.DUMMYFUNCTION("""COMPUTED_VALUE"""),1.0397545415570273)</f>
        <v>1.039754542</v>
      </c>
      <c r="AO549" s="57">
        <f>IFERROR(__xludf.DUMMYFUNCTION("""COMPUTED_VALUE"""),1.04546981626722)</f>
        <v>1.045469816</v>
      </c>
      <c r="AP549" s="35">
        <f>IFERROR(__xludf.DUMMYFUNCTION("""COMPUTED_VALUE"""),0.9969057422186322)</f>
        <v>0.9969057422</v>
      </c>
      <c r="AQ549" s="57">
        <f>IFERROR(__xludf.DUMMYFUNCTION("""COMPUTED_VALUE"""),1.096969756907921)</f>
        <v>1.096969757</v>
      </c>
      <c r="AR549" s="36" t="b">
        <f>IFERROR(__xludf.DUMMYFUNCTION("""COMPUTED_VALUE"""),TRUE)</f>
        <v>1</v>
      </c>
      <c r="AS549" s="57"/>
      <c r="AT549" s="37"/>
      <c r="AU549" s="30"/>
      <c r="AV549" s="30"/>
      <c r="AW549" s="30"/>
      <c r="AX549" s="30"/>
      <c r="AY549" s="30"/>
      <c r="AZ549" s="30"/>
    </row>
    <row r="550">
      <c r="A550" s="30" t="str">
        <f>IFERROR(__xludf.DUMMYFUNCTION("""COMPUTED_VALUE"""),"Prospect")</f>
        <v>Prospect</v>
      </c>
      <c r="B550" s="30" t="str">
        <f>IFERROR(__xludf.DUMMYFUNCTION("""COMPUTED_VALUE"""),"RSC006793")</f>
        <v>RSC006793</v>
      </c>
      <c r="C550" s="30" t="str">
        <f>IFERROR(__xludf.DUMMYFUNCTION("""COMPUTED_VALUE"""),"Yogibear8003")</f>
        <v>Yogibear8003</v>
      </c>
      <c r="D550" s="31"/>
      <c r="E550" s="31">
        <f>IFERROR(__xludf.DUMMYFUNCTION("""COMPUTED_VALUE"""),30.20726382166936)</f>
        <v>30.20726382</v>
      </c>
      <c r="F550" s="31">
        <f>IFERROR(__xludf.DUMMYFUNCTION("""COMPUTED_VALUE"""),-4.667116595433466)</f>
        <v>-4.667116595</v>
      </c>
      <c r="G550" s="31">
        <f>IFERROR(__xludf.DUMMYFUNCTION("""COMPUTED_VALUE"""),51.88142731136972)</f>
        <v>51.88142731</v>
      </c>
      <c r="H550" s="31">
        <f>IFERROR(__xludf.DUMMYFUNCTION("""COMPUTED_VALUE"""),2.1276365781434463)</f>
        <v>2.127636578</v>
      </c>
      <c r="I550" s="54">
        <f>IFERROR(__xludf.DUMMYFUNCTION("""COMPUTED_VALUE"""),5.0)</f>
        <v>5</v>
      </c>
      <c r="J550" s="55">
        <f>IFERROR(__xludf.DUMMYFUNCTION("""COMPUTED_VALUE"""),0.0)</f>
        <v>0</v>
      </c>
      <c r="K550" s="54">
        <f>IFERROR(__xludf.DUMMYFUNCTION("""COMPUTED_VALUE"""),5.0)</f>
        <v>5</v>
      </c>
      <c r="L550" s="56">
        <f>IFERROR(__xludf.DUMMYFUNCTION("""COMPUTED_VALUE"""),0.0)</f>
        <v>0</v>
      </c>
      <c r="M550" s="56">
        <f>IFERROR(__xludf.DUMMYFUNCTION("""COMPUTED_VALUE"""),0.22222222222222224)</f>
        <v>0.2222222222</v>
      </c>
      <c r="N550" s="31">
        <f>IFERROR(__xludf.DUMMYFUNCTION("""COMPUTED_VALUE"""),320.2)</f>
        <v>320.2</v>
      </c>
      <c r="O550" s="57">
        <f>IFERROR(__xludf.DUMMYFUNCTION("""COMPUTED_VALUE"""),0.4)</f>
        <v>0.4</v>
      </c>
      <c r="P550" s="57">
        <f>IFERROR(__xludf.DUMMYFUNCTION("""COMPUTED_VALUE"""),0.6)</f>
        <v>0.6</v>
      </c>
      <c r="Q550" s="57">
        <f>IFERROR(__xludf.DUMMYFUNCTION("""COMPUTED_VALUE"""),1.4)</f>
        <v>1.4</v>
      </c>
      <c r="R550" s="57">
        <f>IFERROR(__xludf.DUMMYFUNCTION("""COMPUTED_VALUE"""),1.8)</f>
        <v>1.8</v>
      </c>
      <c r="S550" s="31">
        <f>IFERROR(__xludf.DUMMYFUNCTION("""COMPUTED_VALUE"""),372.5333333333333)</f>
        <v>372.5333333</v>
      </c>
      <c r="T550" s="57">
        <f>IFERROR(__xludf.DUMMYFUNCTION("""COMPUTED_VALUE"""),1.0666666666666667)</f>
        <v>1.066666667</v>
      </c>
      <c r="U550" s="57">
        <f>IFERROR(__xludf.DUMMYFUNCTION("""COMPUTED_VALUE"""),0.6666666666666667)</f>
        <v>0.6666666667</v>
      </c>
      <c r="V550" s="57">
        <f>IFERROR(__xludf.DUMMYFUNCTION("""COMPUTED_VALUE"""),1.3333333333333335)</f>
        <v>1.333333333</v>
      </c>
      <c r="W550" s="57">
        <f>IFERROR(__xludf.DUMMYFUNCTION("""COMPUTED_VALUE"""),2.4666666666666663)</f>
        <v>2.466666667</v>
      </c>
      <c r="X550" s="31">
        <f>IFERROR(__xludf.DUMMYFUNCTION("""COMPUTED_VALUE"""),343.70758726533876)</f>
        <v>343.7075873</v>
      </c>
      <c r="Y550" s="57">
        <f>IFERROR(__xludf.DUMMYFUNCTION("""COMPUTED_VALUE"""),0.9143552081998092)</f>
        <v>0.9143552082</v>
      </c>
      <c r="Z550" s="57">
        <f>IFERROR(__xludf.DUMMYFUNCTION("""COMPUTED_VALUE"""),0.5180283954041732)</f>
        <v>0.5180283954</v>
      </c>
      <c r="AA550" s="57">
        <f>IFERROR(__xludf.DUMMYFUNCTION("""COMPUTED_VALUE"""),1.2000525954317711)</f>
        <v>1.200052595</v>
      </c>
      <c r="AB550" s="57">
        <f>IFERROR(__xludf.DUMMYFUNCTION("""COMPUTED_VALUE"""),2.530658439294698)</f>
        <v>2.530658439</v>
      </c>
      <c r="AC550" s="31">
        <f>IFERROR(__xludf.DUMMYFUNCTION("""COMPUTED_VALUE"""),317.7523145886262)</f>
        <v>317.7523146</v>
      </c>
      <c r="AD550" s="57">
        <f>IFERROR(__xludf.DUMMYFUNCTION("""COMPUTED_VALUE"""),0.6721222132680695)</f>
        <v>0.6721222133</v>
      </c>
      <c r="AE550" s="57">
        <f>IFERROR(__xludf.DUMMYFUNCTION("""COMPUTED_VALUE"""),0.4817902071222754)</f>
        <v>0.4817902071</v>
      </c>
      <c r="AF550" s="57">
        <f>IFERROR(__xludf.DUMMYFUNCTION("""COMPUTED_VALUE"""),1.1322773897839542)</f>
        <v>1.13227739</v>
      </c>
      <c r="AG550" s="57">
        <f>IFERROR(__xludf.DUMMYFUNCTION("""COMPUTED_VALUE"""),2.350940113062813)</f>
        <v>2.350940113</v>
      </c>
      <c r="AH550" s="57">
        <f>IFERROR(__xludf.DUMMYFUNCTION("""COMPUTED_VALUE"""),1.0077031237822538)</f>
        <v>1.007703124</v>
      </c>
      <c r="AI550" s="57">
        <f>IFERROR(__xludf.DUMMYFUNCTION("""COMPUTED_VALUE"""),0.5951298619563163)</f>
        <v>0.595129862</v>
      </c>
      <c r="AJ550" s="57">
        <f>IFERROR(__xludf.DUMMYFUNCTION("""COMPUTED_VALUE"""),1.2453553250569156)</f>
        <v>1.245355325</v>
      </c>
      <c r="AK550" s="57">
        <f>IFERROR(__xludf.DUMMYFUNCTION("""COMPUTED_VALUE"""),1.2364461329278411)</f>
        <v>1.236446133</v>
      </c>
      <c r="AL550" s="57">
        <f>IFERROR(__xludf.DUMMYFUNCTION("""COMPUTED_VALUE"""),0.7656511495118239)</f>
        <v>0.7656511495</v>
      </c>
      <c r="AM550" s="57">
        <f>IFERROR(__xludf.DUMMYFUNCTION("""COMPUTED_VALUE"""),1.0838670635622056)</f>
        <v>1.083867064</v>
      </c>
      <c r="AN550" s="57">
        <f>IFERROR(__xludf.DUMMYFUNCTION("""COMPUTED_VALUE"""),1.1665779962764466)</f>
        <v>1.166577996</v>
      </c>
      <c r="AO550" s="57">
        <f>IFERROR(__xludf.DUMMYFUNCTION("""COMPUTED_VALUE"""),1.2869307408265214)</f>
        <v>1.286930741</v>
      </c>
      <c r="AP550" s="35">
        <f>IFERROR(__xludf.DUMMYFUNCTION("""COMPUTED_VALUE"""),1.1110624137716305)</f>
        <v>1.111062414</v>
      </c>
      <c r="AQ550" s="57">
        <f>IFERROR(__xludf.DUMMYFUNCTION("""COMPUTED_VALUE"""),0.9747133901460577)</f>
        <v>0.9747133901</v>
      </c>
      <c r="AR550" s="36" t="b">
        <f>IFERROR(__xludf.DUMMYFUNCTION("""COMPUTED_VALUE"""),TRUE)</f>
        <v>1</v>
      </c>
      <c r="AS550" s="57"/>
      <c r="AT550" s="37"/>
      <c r="AU550" s="30"/>
      <c r="AV550" s="30"/>
      <c r="AW550" s="30"/>
      <c r="AX550" s="30"/>
      <c r="AY550" s="30"/>
      <c r="AZ550" s="30"/>
    </row>
    <row r="551">
      <c r="A551" s="30" t="str">
        <f>IFERROR(__xludf.DUMMYFUNCTION("""COMPUTED_VALUE"""),"Prospect")</f>
        <v>Prospect</v>
      </c>
      <c r="B551" s="30" t="str">
        <f>IFERROR(__xludf.DUMMYFUNCTION("""COMPUTED_VALUE"""),"RSC007834")</f>
        <v>RSC007834</v>
      </c>
      <c r="C551" s="30" t="str">
        <f>IFERROR(__xludf.DUMMYFUNCTION("""COMPUTED_VALUE"""),"Kyyrbes")</f>
        <v>Kyyrbes</v>
      </c>
      <c r="D551" s="31" t="str">
        <f>IFERROR(__xludf.DUMMYFUNCTION("""COMPUTED_VALUE"""),"Gloom")</f>
        <v>Gloom</v>
      </c>
      <c r="E551" s="31">
        <f>IFERROR(__xludf.DUMMYFUNCTION("""COMPUTED_VALUE"""),28.971672020884906)</f>
        <v>28.97167202</v>
      </c>
      <c r="F551" s="31">
        <f>IFERROR(__xludf.DUMMYFUNCTION("""COMPUTED_VALUE"""),-4.996585295767924)</f>
        <v>-4.996585296</v>
      </c>
      <c r="G551" s="31">
        <f>IFERROR(__xludf.DUMMYFUNCTION("""COMPUTED_VALUE"""),38.500778649079336)</f>
        <v>38.50077865</v>
      </c>
      <c r="H551" s="31">
        <f>IFERROR(__xludf.DUMMYFUNCTION("""COMPUTED_VALUE"""),-3.0981881988305013)</f>
        <v>-3.098188199</v>
      </c>
      <c r="I551" s="54">
        <f>IFERROR(__xludf.DUMMYFUNCTION("""COMPUTED_VALUE"""),37.0)</f>
        <v>37</v>
      </c>
      <c r="J551" s="55">
        <f>IFERROR(__xludf.DUMMYFUNCTION("""COMPUTED_VALUE"""),13.0)</f>
        <v>13</v>
      </c>
      <c r="K551" s="54">
        <f>IFERROR(__xludf.DUMMYFUNCTION("""COMPUTED_VALUE"""),24.0)</f>
        <v>24</v>
      </c>
      <c r="L551" s="56">
        <f>IFERROR(__xludf.DUMMYFUNCTION("""COMPUTED_VALUE"""),0.35135135135135137)</f>
        <v>0.3513513514</v>
      </c>
      <c r="M551" s="56">
        <f>IFERROR(__xludf.DUMMYFUNCTION("""COMPUTED_VALUE"""),0.1643835616438356)</f>
        <v>0.1643835616</v>
      </c>
      <c r="N551" s="31">
        <f>IFERROR(__xludf.DUMMYFUNCTION("""COMPUTED_VALUE"""),308.72972972972974)</f>
        <v>308.7297297</v>
      </c>
      <c r="O551" s="57">
        <f>IFERROR(__xludf.DUMMYFUNCTION("""COMPUTED_VALUE"""),0.32432432432432434)</f>
        <v>0.3243243243</v>
      </c>
      <c r="P551" s="57">
        <f>IFERROR(__xludf.DUMMYFUNCTION("""COMPUTED_VALUE"""),0.4864864864864865)</f>
        <v>0.4864864865</v>
      </c>
      <c r="Q551" s="57">
        <f>IFERROR(__xludf.DUMMYFUNCTION("""COMPUTED_VALUE"""),1.4324324324324325)</f>
        <v>1.432432432</v>
      </c>
      <c r="R551" s="57">
        <f>IFERROR(__xludf.DUMMYFUNCTION("""COMPUTED_VALUE"""),1.972972972972973)</f>
        <v>1.972972973</v>
      </c>
      <c r="S551" s="31">
        <f>IFERROR(__xludf.DUMMYFUNCTION("""COMPUTED_VALUE"""),338.9459459459459)</f>
        <v>338.9459459</v>
      </c>
      <c r="T551" s="57">
        <f>IFERROR(__xludf.DUMMYFUNCTION("""COMPUTED_VALUE"""),0.8828828828828829)</f>
        <v>0.8828828829</v>
      </c>
      <c r="U551" s="57">
        <f>IFERROR(__xludf.DUMMYFUNCTION("""COMPUTED_VALUE"""),0.5495495495495497)</f>
        <v>0.5495495495</v>
      </c>
      <c r="V551" s="57">
        <f>IFERROR(__xludf.DUMMYFUNCTION("""COMPUTED_VALUE"""),1.0450450450450453)</f>
        <v>1.045045045</v>
      </c>
      <c r="W551" s="57">
        <f>IFERROR(__xludf.DUMMYFUNCTION("""COMPUTED_VALUE"""),2.8468468468468466)</f>
        <v>2.846846847</v>
      </c>
      <c r="X551" s="31">
        <f>IFERROR(__xludf.DUMMYFUNCTION("""COMPUTED_VALUE"""),346.65192984752576)</f>
        <v>346.6519298</v>
      </c>
      <c r="Y551" s="57">
        <f>IFERROR(__xludf.DUMMYFUNCTION("""COMPUTED_VALUE"""),0.8789180883743526)</f>
        <v>0.8789180884</v>
      </c>
      <c r="Z551" s="57">
        <f>IFERROR(__xludf.DUMMYFUNCTION("""COMPUTED_VALUE"""),0.5576919108301716)</f>
        <v>0.5576919108</v>
      </c>
      <c r="AA551" s="57">
        <f>IFERROR(__xludf.DUMMYFUNCTION("""COMPUTED_VALUE"""),1.181613657106082)</f>
        <v>1.181613657</v>
      </c>
      <c r="AB551" s="57">
        <f>IFERROR(__xludf.DUMMYFUNCTION("""COMPUTED_VALUE"""),2.6143438255070026)</f>
        <v>2.614343826</v>
      </c>
      <c r="AC551" s="31">
        <f>IFERROR(__xludf.DUMMYFUNCTION("""COMPUTED_VALUE"""),326.59277151296493)</f>
        <v>326.5927715</v>
      </c>
      <c r="AD551" s="57">
        <f>IFERROR(__xludf.DUMMYFUNCTION("""COMPUTED_VALUE"""),0.7172671795685356)</f>
        <v>0.7172671796</v>
      </c>
      <c r="AE551" s="57">
        <f>IFERROR(__xludf.DUMMYFUNCTION("""COMPUTED_VALUE"""),0.4838411859126588)</f>
        <v>0.4838411859</v>
      </c>
      <c r="AF551" s="57">
        <f>IFERROR(__xludf.DUMMYFUNCTION("""COMPUTED_VALUE"""),1.243072161782243)</f>
        <v>1.243072162</v>
      </c>
      <c r="AG551" s="57">
        <f>IFERROR(__xludf.DUMMYFUNCTION("""COMPUTED_VALUE"""),2.3189053507464696)</f>
        <v>2.318905351</v>
      </c>
      <c r="AH551" s="57">
        <f>IFERROR(__xludf.DUMMYFUNCTION("""COMPUTED_VALUE"""),0.9453048464591444)</f>
        <v>0.9453048465</v>
      </c>
      <c r="AI551" s="57">
        <f>IFERROR(__xludf.DUMMYFUNCTION("""COMPUTED_VALUE"""),0.45216668706271795)</f>
        <v>0.4521666871</v>
      </c>
      <c r="AJ551" s="57">
        <f>IFERROR(__xludf.DUMMYFUNCTION("""COMPUTED_VALUE"""),1.0054672910261617)</f>
        <v>1.005467291</v>
      </c>
      <c r="AK551" s="57">
        <f>IFERROR(__xludf.DUMMYFUNCTION("""COMPUTED_VALUE"""),1.1523324843657476)</f>
        <v>1.152332484</v>
      </c>
      <c r="AL551" s="57">
        <f>IFERROR(__xludf.DUMMYFUNCTION("""COMPUTED_VALUE"""),0.8508208290337771)</f>
        <v>0.850820829</v>
      </c>
      <c r="AM551" s="57">
        <f>IFERROR(__xludf.DUMMYFUNCTION("""COMPUTED_VALUE"""),0.9777702552962294)</f>
        <v>0.9777702553</v>
      </c>
      <c r="AN551" s="57">
        <f>IFERROR(__xludf.DUMMYFUNCTION("""COMPUTED_VALUE"""),1.004510994324697)</f>
        <v>1.004510994</v>
      </c>
      <c r="AO551" s="57">
        <f>IFERROR(__xludf.DUMMYFUNCTION("""COMPUTED_VALUE"""),0.9853998935209564)</f>
        <v>0.9853998935</v>
      </c>
      <c r="AP551" s="35">
        <f>IFERROR(__xludf.DUMMYFUNCTION("""COMPUTED_VALUE"""),0.8844219417745135)</f>
        <v>0.8844219418</v>
      </c>
      <c r="AQ551" s="57">
        <f>IFERROR(__xludf.DUMMYFUNCTION("""COMPUTED_VALUE"""),1.088933605087217)</f>
        <v>1.088933605</v>
      </c>
      <c r="AR551" s="36" t="b">
        <f>IFERROR(__xludf.DUMMYFUNCTION("""COMPUTED_VALUE"""),TRUE)</f>
        <v>1</v>
      </c>
      <c r="AS551" s="57"/>
      <c r="AT551" s="37"/>
      <c r="AU551" s="30"/>
      <c r="AV551" s="30"/>
      <c r="AW551" s="30"/>
      <c r="AX551" s="30"/>
      <c r="AY551" s="30"/>
      <c r="AZ551" s="30"/>
    </row>
    <row r="552">
      <c r="A552" s="30" t="str">
        <f>IFERROR(__xludf.DUMMYFUNCTION("""COMPUTED_VALUE"""),"Prospect")</f>
        <v>Prospect</v>
      </c>
      <c r="B552" s="30" t="str">
        <f>IFERROR(__xludf.DUMMYFUNCTION("""COMPUTED_VALUE"""),"RSC001820")</f>
        <v>RSC001820</v>
      </c>
      <c r="C552" s="30" t="str">
        <f>IFERROR(__xludf.DUMMYFUNCTION("""COMPUTED_VALUE"""),"YourEvilTwin")</f>
        <v>YourEvilTwin</v>
      </c>
      <c r="D552" s="31" t="str">
        <f>IFERROR(__xludf.DUMMYFUNCTION("""COMPUTED_VALUE"""),"Tic Tacs")</f>
        <v>Tic Tacs</v>
      </c>
      <c r="E552" s="31">
        <f>IFERROR(__xludf.DUMMYFUNCTION("""COMPUTED_VALUE"""),25.611759345738175)</f>
        <v>25.61175935</v>
      </c>
      <c r="F552" s="31">
        <f>IFERROR(__xludf.DUMMYFUNCTION("""COMPUTED_VALUE"""),-6.073533237870728)</f>
        <v>-6.073533238</v>
      </c>
      <c r="G552" s="31">
        <f>IFERROR(__xludf.DUMMYFUNCTION("""COMPUTED_VALUE"""),19.73319813284077)</f>
        <v>19.73319813</v>
      </c>
      <c r="H552" s="31">
        <f>IFERROR(__xludf.DUMMYFUNCTION("""COMPUTED_VALUE"""),-8.848731025931807)</f>
        <v>-8.848731026</v>
      </c>
      <c r="I552" s="54">
        <f>IFERROR(__xludf.DUMMYFUNCTION("""COMPUTED_VALUE"""),30.0)</f>
        <v>30</v>
      </c>
      <c r="J552" s="55">
        <f>IFERROR(__xludf.DUMMYFUNCTION("""COMPUTED_VALUE"""),15.0)</f>
        <v>15</v>
      </c>
      <c r="K552" s="54">
        <f>IFERROR(__xludf.DUMMYFUNCTION("""COMPUTED_VALUE"""),15.0)</f>
        <v>15</v>
      </c>
      <c r="L552" s="56">
        <f>IFERROR(__xludf.DUMMYFUNCTION("""COMPUTED_VALUE"""),0.5)</f>
        <v>0.5</v>
      </c>
      <c r="M552" s="56">
        <f>IFERROR(__xludf.DUMMYFUNCTION("""COMPUTED_VALUE"""),0.29166666666666663)</f>
        <v>0.2916666667</v>
      </c>
      <c r="N552" s="31">
        <f>IFERROR(__xludf.DUMMYFUNCTION("""COMPUTED_VALUE"""),278.4)</f>
        <v>278.4</v>
      </c>
      <c r="O552" s="57">
        <f>IFERROR(__xludf.DUMMYFUNCTION("""COMPUTED_VALUE"""),0.4666666666666667)</f>
        <v>0.4666666667</v>
      </c>
      <c r="P552" s="57">
        <f>IFERROR(__xludf.DUMMYFUNCTION("""COMPUTED_VALUE"""),0.5)</f>
        <v>0.5</v>
      </c>
      <c r="Q552" s="57">
        <f>IFERROR(__xludf.DUMMYFUNCTION("""COMPUTED_VALUE"""),1.1333333333333333)</f>
        <v>1.133333333</v>
      </c>
      <c r="R552" s="57">
        <f>IFERROR(__xludf.DUMMYFUNCTION("""COMPUTED_VALUE"""),1.6)</f>
        <v>1.6</v>
      </c>
      <c r="S552" s="31">
        <f>IFERROR(__xludf.DUMMYFUNCTION("""COMPUTED_VALUE"""),332.2666666666666)</f>
        <v>332.2666667</v>
      </c>
      <c r="T552" s="57">
        <f>IFERROR(__xludf.DUMMYFUNCTION("""COMPUTED_VALUE"""),0.8666666666666667)</f>
        <v>0.8666666667</v>
      </c>
      <c r="U552" s="57">
        <f>IFERROR(__xludf.DUMMYFUNCTION("""COMPUTED_VALUE"""),0.5333333333333334)</f>
        <v>0.5333333333</v>
      </c>
      <c r="V552" s="57">
        <f>IFERROR(__xludf.DUMMYFUNCTION("""COMPUTED_VALUE"""),1.022222222222222)</f>
        <v>1.022222222</v>
      </c>
      <c r="W552" s="57">
        <f>IFERROR(__xludf.DUMMYFUNCTION("""COMPUTED_VALUE"""),2.6444444444444444)</f>
        <v>2.644444444</v>
      </c>
      <c r="X552" s="31">
        <f>IFERROR(__xludf.DUMMYFUNCTION("""COMPUTED_VALUE"""),332.3226091275821)</f>
        <v>332.3226091</v>
      </c>
      <c r="Y552" s="57">
        <f>IFERROR(__xludf.DUMMYFUNCTION("""COMPUTED_VALUE"""),0.7875246319108976)</f>
        <v>0.7875246319</v>
      </c>
      <c r="Z552" s="57">
        <f>IFERROR(__xludf.DUMMYFUNCTION("""COMPUTED_VALUE"""),0.5288255513067279)</f>
        <v>0.5288255513</v>
      </c>
      <c r="AA552" s="57">
        <f>IFERROR(__xludf.DUMMYFUNCTION("""COMPUTED_VALUE"""),1.195300903222474)</f>
        <v>1.195300903</v>
      </c>
      <c r="AB552" s="57">
        <f>IFERROR(__xludf.DUMMYFUNCTION("""COMPUTED_VALUE"""),2.3754295836994435)</f>
        <v>2.375429584</v>
      </c>
      <c r="AC552" s="31">
        <f>IFERROR(__xludf.DUMMYFUNCTION("""COMPUTED_VALUE"""),334.39968019278405)</f>
        <v>334.3996802</v>
      </c>
      <c r="AD552" s="57">
        <f>IFERROR(__xludf.DUMMYFUNCTION("""COMPUTED_VALUE"""),0.7937711765491575)</f>
        <v>0.7937711765</v>
      </c>
      <c r="AE552" s="57">
        <f>IFERROR(__xludf.DUMMYFUNCTION("""COMPUTED_VALUE"""),0.525757190809066)</f>
        <v>0.5257571908</v>
      </c>
      <c r="AF552" s="57">
        <f>IFERROR(__xludf.DUMMYFUNCTION("""COMPUTED_VALUE"""),1.1788397279000549)</f>
        <v>1.178839728</v>
      </c>
      <c r="AG552" s="57">
        <f>IFERROR(__xludf.DUMMYFUNCTION("""COMPUTED_VALUE"""),2.4203171280170483)</f>
        <v>2.420317128</v>
      </c>
      <c r="AH552" s="57">
        <f>IFERROR(__xludf.DUMMYFUNCTION("""COMPUTED_VALUE"""),0.83253668137332)</f>
        <v>0.8325366814</v>
      </c>
      <c r="AI552" s="57">
        <f>IFERROR(__xludf.DUMMYFUNCTION("""COMPUTED_VALUE"""),0.5879108242446575)</f>
        <v>0.5879108242</v>
      </c>
      <c r="AJ552" s="57">
        <f>IFERROR(__xludf.DUMMYFUNCTION("""COMPUTED_VALUE"""),0.9510093418419454)</f>
        <v>0.9510093418</v>
      </c>
      <c r="AK552" s="57">
        <f>IFERROR(__xludf.DUMMYFUNCTION("""COMPUTED_VALUE"""),0.9613973015247924)</f>
        <v>0.9613973015</v>
      </c>
      <c r="AL552" s="57">
        <f>IFERROR(__xludf.DUMMYFUNCTION("""COMPUTED_VALUE"""),0.6610703950646628)</f>
        <v>0.6610703951</v>
      </c>
      <c r="AM552" s="57">
        <f>IFERROR(__xludf.DUMMYFUNCTION("""COMPUTED_VALUE"""),0.9998316621879494)</f>
        <v>0.9998316622</v>
      </c>
      <c r="AN552" s="57">
        <f>IFERROR(__xludf.DUMMYFUNCTION("""COMPUTED_VALUE"""),1.1004946785775247)</f>
        <v>1.100494679</v>
      </c>
      <c r="AO552" s="57">
        <f>IFERROR(__xludf.DUMMYFUNCTION("""COMPUTED_VALUE"""),1.0085241380933028)</f>
        <v>1.008524138</v>
      </c>
      <c r="AP552" s="35">
        <f>IFERROR(__xludf.DUMMYFUNCTION("""COMPUTED_VALUE"""),0.8552007444036559)</f>
        <v>0.8552007444</v>
      </c>
      <c r="AQ552" s="57">
        <f>IFERROR(__xludf.DUMMYFUNCTION("""COMPUTED_VALUE"""),1.1132489308843425)</f>
        <v>1.113248931</v>
      </c>
      <c r="AR552" s="36" t="b">
        <f>IFERROR(__xludf.DUMMYFUNCTION("""COMPUTED_VALUE"""),TRUE)</f>
        <v>1</v>
      </c>
      <c r="AS552" s="57"/>
      <c r="AT552" s="37"/>
      <c r="AU552" s="30"/>
      <c r="AV552" s="30"/>
      <c r="AW552" s="30"/>
      <c r="AX552" s="30"/>
      <c r="AY552" s="30"/>
      <c r="AZ552" s="30"/>
    </row>
    <row r="553">
      <c r="A553" s="30" t="str">
        <f>IFERROR(__xludf.DUMMYFUNCTION("""COMPUTED_VALUE"""),"Prospect")</f>
        <v>Prospect</v>
      </c>
      <c r="B553" s="30" t="str">
        <f>IFERROR(__xludf.DUMMYFUNCTION("""COMPUTED_VALUE"""),"RSC002796")</f>
        <v>RSC002796</v>
      </c>
      <c r="C553" s="30" t="str">
        <f>IFERROR(__xludf.DUMMYFUNCTION("""COMPUTED_VALUE"""),"Carno")</f>
        <v>Carno</v>
      </c>
      <c r="D553" s="31" t="str">
        <f>IFERROR(__xludf.DUMMYFUNCTION("""COMPUTED_VALUE"""),"Undead")</f>
        <v>Undead</v>
      </c>
      <c r="E553" s="31">
        <f>IFERROR(__xludf.DUMMYFUNCTION("""COMPUTED_VALUE"""),24.767328465351753)</f>
        <v>24.76732847</v>
      </c>
      <c r="F553" s="31">
        <f>IFERROR(__xludf.DUMMYFUNCTION("""COMPUTED_VALUE"""),-6.393300015614773)</f>
        <v>-6.393300016</v>
      </c>
      <c r="G553" s="31">
        <f>IFERROR(__xludf.DUMMYFUNCTION("""COMPUTED_VALUE"""),26.883220197585096)</f>
        <v>26.8832202</v>
      </c>
      <c r="H553" s="31">
        <f>IFERROR(__xludf.DUMMYFUNCTION("""COMPUTED_VALUE"""),-5.631629979616063)</f>
        <v>-5.63162998</v>
      </c>
      <c r="I553" s="54">
        <f>IFERROR(__xludf.DUMMYFUNCTION("""COMPUTED_VALUE"""),41.0)</f>
        <v>41</v>
      </c>
      <c r="J553" s="55">
        <f>IFERROR(__xludf.DUMMYFUNCTION("""COMPUTED_VALUE"""),12.0)</f>
        <v>12</v>
      </c>
      <c r="K553" s="54">
        <f>IFERROR(__xludf.DUMMYFUNCTION("""COMPUTED_VALUE"""),29.0)</f>
        <v>29</v>
      </c>
      <c r="L553" s="56">
        <f>IFERROR(__xludf.DUMMYFUNCTION("""COMPUTED_VALUE"""),0.2926829268292683)</f>
        <v>0.2926829268</v>
      </c>
      <c r="M553" s="56">
        <f>IFERROR(__xludf.DUMMYFUNCTION("""COMPUTED_VALUE"""),0.3026315789473684)</f>
        <v>0.3026315789</v>
      </c>
      <c r="N553" s="31">
        <f>IFERROR(__xludf.DUMMYFUNCTION("""COMPUTED_VALUE"""),272.8048780487805)</f>
        <v>272.804878</v>
      </c>
      <c r="O553" s="57">
        <f>IFERROR(__xludf.DUMMYFUNCTION("""COMPUTED_VALUE"""),0.5609756097560976)</f>
        <v>0.5609756098</v>
      </c>
      <c r="P553" s="57">
        <f>IFERROR(__xludf.DUMMYFUNCTION("""COMPUTED_VALUE"""),0.34146341463414637)</f>
        <v>0.3414634146</v>
      </c>
      <c r="Q553" s="57">
        <f>IFERROR(__xludf.DUMMYFUNCTION("""COMPUTED_VALUE"""),1.048780487804878)</f>
        <v>1.048780488</v>
      </c>
      <c r="R553" s="57">
        <f>IFERROR(__xludf.DUMMYFUNCTION("""COMPUTED_VALUE"""),1.853658536585366)</f>
        <v>1.853658537</v>
      </c>
      <c r="S553" s="31">
        <f>IFERROR(__xludf.DUMMYFUNCTION("""COMPUTED_VALUE"""),356.04878048780495)</f>
        <v>356.0487805</v>
      </c>
      <c r="T553" s="57">
        <f>IFERROR(__xludf.DUMMYFUNCTION("""COMPUTED_VALUE"""),0.983739837398374)</f>
        <v>0.9837398374</v>
      </c>
      <c r="U553" s="57">
        <f>IFERROR(__xludf.DUMMYFUNCTION("""COMPUTED_VALUE"""),0.6585365853658536)</f>
        <v>0.6585365854</v>
      </c>
      <c r="V553" s="57">
        <f>IFERROR(__xludf.DUMMYFUNCTION("""COMPUTED_VALUE"""),1.0000000000000002)</f>
        <v>1</v>
      </c>
      <c r="W553" s="57">
        <f>IFERROR(__xludf.DUMMYFUNCTION("""COMPUTED_VALUE"""),2.6666666666666665)</f>
        <v>2.666666667</v>
      </c>
      <c r="X553" s="31">
        <f>IFERROR(__xludf.DUMMYFUNCTION("""COMPUTED_VALUE"""),338.9077694199556)</f>
        <v>338.9077694</v>
      </c>
      <c r="Y553" s="57">
        <f>IFERROR(__xludf.DUMMYFUNCTION("""COMPUTED_VALUE"""),0.818993275424978)</f>
        <v>0.8189932754</v>
      </c>
      <c r="Z553" s="57">
        <f>IFERROR(__xludf.DUMMYFUNCTION("""COMPUTED_VALUE"""),0.5091621998557337)</f>
        <v>0.5091621999</v>
      </c>
      <c r="AA553" s="57">
        <f>IFERROR(__xludf.DUMMYFUNCTION("""COMPUTED_VALUE"""),1.2170892118299288)</f>
        <v>1.217089212</v>
      </c>
      <c r="AB553" s="57">
        <f>IFERROR(__xludf.DUMMYFUNCTION("""COMPUTED_VALUE"""),2.5310502466295297)</f>
        <v>2.531050247</v>
      </c>
      <c r="AC553" s="31">
        <f>IFERROR(__xludf.DUMMYFUNCTION("""COMPUTED_VALUE"""),334.43217628201734)</f>
        <v>334.4321763</v>
      </c>
      <c r="AD553" s="57">
        <f>IFERROR(__xludf.DUMMYFUNCTION("""COMPUTED_VALUE"""),0.7844480370908263)</f>
        <v>0.7844480371</v>
      </c>
      <c r="AE553" s="57">
        <f>IFERROR(__xludf.DUMMYFUNCTION("""COMPUTED_VALUE"""),0.5283722484115678)</f>
        <v>0.5283722484</v>
      </c>
      <c r="AF553" s="57">
        <f>IFERROR(__xludf.DUMMYFUNCTION("""COMPUTED_VALUE"""),1.1980196591391088)</f>
        <v>1.198019659</v>
      </c>
      <c r="AG553" s="57">
        <f>IFERROR(__xludf.DUMMYFUNCTION("""COMPUTED_VALUE"""),2.426333830294778)</f>
        <v>2.42633383</v>
      </c>
      <c r="AH553" s="57">
        <f>IFERROR(__xludf.DUMMYFUNCTION("""COMPUTED_VALUE"""),0.8157255712701871)</f>
        <v>0.8157255713</v>
      </c>
      <c r="AI553" s="57">
        <f>IFERROR(__xludf.DUMMYFUNCTION("""COMPUTED_VALUE"""),0.7151214398298581)</f>
        <v>0.7151214398</v>
      </c>
      <c r="AJ553" s="57">
        <f>IFERROR(__xludf.DUMMYFUNCTION("""COMPUTED_VALUE"""),0.6462553922176633)</f>
        <v>0.6462553922</v>
      </c>
      <c r="AK553" s="57">
        <f>IFERROR(__xludf.DUMMYFUNCTION("""COMPUTED_VALUE"""),0.875428445438472)</f>
        <v>0.8754284454</v>
      </c>
      <c r="AL553" s="57">
        <f>IFERROR(__xludf.DUMMYFUNCTION("""COMPUTED_VALUE"""),0.763975061238858)</f>
        <v>0.7639750612</v>
      </c>
      <c r="AM553" s="57">
        <f>IFERROR(__xludf.DUMMYFUNCTION("""COMPUTED_VALUE"""),1.0505772148487076)</f>
        <v>1.050577215</v>
      </c>
      <c r="AN553" s="57">
        <f>IFERROR(__xludf.DUMMYFUNCTION("""COMPUTED_VALUE"""),1.201157404971254)</f>
        <v>1.201157405</v>
      </c>
      <c r="AO553" s="57">
        <f>IFERROR(__xludf.DUMMYFUNCTION("""COMPUTED_VALUE"""),1.2933728889388167)</f>
        <v>1.293372889</v>
      </c>
      <c r="AP553" s="35">
        <f>IFERROR(__xludf.DUMMYFUNCTION("""COMPUTED_VALUE"""),0.8216324574075152)</f>
        <v>0.8216324574</v>
      </c>
      <c r="AQ553" s="57">
        <f>IFERROR(__xludf.DUMMYFUNCTION("""COMPUTED_VALUE"""),1.0535810856452692)</f>
        <v>1.053581086</v>
      </c>
      <c r="AR553" s="36" t="b">
        <f>IFERROR(__xludf.DUMMYFUNCTION("""COMPUTED_VALUE"""),TRUE)</f>
        <v>1</v>
      </c>
      <c r="AS553" s="57"/>
      <c r="AT553" s="37"/>
      <c r="AU553" s="30"/>
      <c r="AV553" s="30"/>
      <c r="AW553" s="30"/>
      <c r="AX553" s="30"/>
      <c r="AY553" s="30"/>
      <c r="AZ553" s="30"/>
    </row>
    <row r="554">
      <c r="A554" s="30" t="str">
        <f>IFERROR(__xludf.DUMMYFUNCTION("""COMPUTED_VALUE"""),"Prospect")</f>
        <v>Prospect</v>
      </c>
      <c r="B554" s="30" t="str">
        <f>IFERROR(__xludf.DUMMYFUNCTION("""COMPUTED_VALUE"""),"RSC006416")</f>
        <v>RSC006416</v>
      </c>
      <c r="C554" s="30" t="str">
        <f>IFERROR(__xludf.DUMMYFUNCTION("""COMPUTED_VALUE"""),"StaRazor")</f>
        <v>StaRazor</v>
      </c>
      <c r="D554" s="31" t="str">
        <f>IFERROR(__xludf.DUMMYFUNCTION("""COMPUTED_VALUE"""),"Skeletons")</f>
        <v>Skeletons</v>
      </c>
      <c r="E554" s="31">
        <f>IFERROR(__xludf.DUMMYFUNCTION("""COMPUTED_VALUE"""),24.529579980361987)</f>
        <v>24.52957998</v>
      </c>
      <c r="F554" s="31">
        <f>IFERROR(__xludf.DUMMYFUNCTION("""COMPUTED_VALUE"""),-6.487399322254224)</f>
        <v>-6.487399322</v>
      </c>
      <c r="G554" s="31">
        <f>IFERROR(__xludf.DUMMYFUNCTION("""COMPUTED_VALUE"""),32.110181665185465)</f>
        <v>32.11018167</v>
      </c>
      <c r="H554" s="31">
        <f>IFERROR(__xludf.DUMMYFUNCTION("""COMPUTED_VALUE"""),-4.217248504634681)</f>
        <v>-4.217248505</v>
      </c>
      <c r="I554" s="54">
        <f>IFERROR(__xludf.DUMMYFUNCTION("""COMPUTED_VALUE"""),23.0)</f>
        <v>23</v>
      </c>
      <c r="J554" s="55">
        <f>IFERROR(__xludf.DUMMYFUNCTION("""COMPUTED_VALUE"""),7.0)</f>
        <v>7</v>
      </c>
      <c r="K554" s="54">
        <f>IFERROR(__xludf.DUMMYFUNCTION("""COMPUTED_VALUE"""),16.0)</f>
        <v>16</v>
      </c>
      <c r="L554" s="56">
        <f>IFERROR(__xludf.DUMMYFUNCTION("""COMPUTED_VALUE"""),0.30434782608695654)</f>
        <v>0.3043478261</v>
      </c>
      <c r="M554" s="56">
        <f>IFERROR(__xludf.DUMMYFUNCTION("""COMPUTED_VALUE"""),0.44827586206896547)</f>
        <v>0.4482758621</v>
      </c>
      <c r="N554" s="31">
        <f>IFERROR(__xludf.DUMMYFUNCTION("""COMPUTED_VALUE"""),292.7391304347826)</f>
        <v>292.7391304</v>
      </c>
      <c r="O554" s="57">
        <f>IFERROR(__xludf.DUMMYFUNCTION("""COMPUTED_VALUE"""),0.5652173913043478)</f>
        <v>0.5652173913</v>
      </c>
      <c r="P554" s="57">
        <f>IFERROR(__xludf.DUMMYFUNCTION("""COMPUTED_VALUE"""),0.4782608695652174)</f>
        <v>0.4782608696</v>
      </c>
      <c r="Q554" s="57">
        <f>IFERROR(__xludf.DUMMYFUNCTION("""COMPUTED_VALUE"""),1.2608695652173914)</f>
        <v>1.260869565</v>
      </c>
      <c r="R554" s="57">
        <f>IFERROR(__xludf.DUMMYFUNCTION("""COMPUTED_VALUE"""),1.2608695652173914)</f>
        <v>1.260869565</v>
      </c>
      <c r="S554" s="31">
        <f>IFERROR(__xludf.DUMMYFUNCTION("""COMPUTED_VALUE"""),347.27536231884056)</f>
        <v>347.2753623</v>
      </c>
      <c r="T554" s="57">
        <f>IFERROR(__xludf.DUMMYFUNCTION("""COMPUTED_VALUE"""),1.0724637681159421)</f>
        <v>1.072463768</v>
      </c>
      <c r="U554" s="57">
        <f>IFERROR(__xludf.DUMMYFUNCTION("""COMPUTED_VALUE"""),0.6376811594202898)</f>
        <v>0.6376811594</v>
      </c>
      <c r="V554" s="57">
        <f>IFERROR(__xludf.DUMMYFUNCTION("""COMPUTED_VALUE"""),0.826086956521739)</f>
        <v>0.8260869565</v>
      </c>
      <c r="W554" s="57">
        <f>IFERROR(__xludf.DUMMYFUNCTION("""COMPUTED_VALUE"""),2.7101449275362315)</f>
        <v>2.710144928</v>
      </c>
      <c r="X554" s="31">
        <f>IFERROR(__xludf.DUMMYFUNCTION("""COMPUTED_VALUE"""),336.31177994124516)</f>
        <v>336.3117799</v>
      </c>
      <c r="Y554" s="57">
        <f>IFERROR(__xludf.DUMMYFUNCTION("""COMPUTED_VALUE"""),0.8108260346202272)</f>
        <v>0.8108260346</v>
      </c>
      <c r="Z554" s="57">
        <f>IFERROR(__xludf.DUMMYFUNCTION("""COMPUTED_VALUE"""),0.6082599924875808)</f>
        <v>0.6082599925</v>
      </c>
      <c r="AA554" s="57">
        <f>IFERROR(__xludf.DUMMYFUNCTION("""COMPUTED_VALUE"""),1.1015879750556914)</f>
        <v>1.101587975</v>
      </c>
      <c r="AB554" s="57">
        <f>IFERROR(__xludf.DUMMYFUNCTION("""COMPUTED_VALUE"""),2.5179240362100637)</f>
        <v>2.517924036</v>
      </c>
      <c r="AC554" s="31">
        <f>IFERROR(__xludf.DUMMYFUNCTION("""COMPUTED_VALUE"""),332.52548491861455)</f>
        <v>332.5254849</v>
      </c>
      <c r="AD554" s="57">
        <f>IFERROR(__xludf.DUMMYFUNCTION("""COMPUTED_VALUE"""),0.7741306476876043)</f>
        <v>0.7741306477</v>
      </c>
      <c r="AE554" s="57">
        <f>IFERROR(__xludf.DUMMYFUNCTION("""COMPUTED_VALUE"""),0.5054564794153548)</f>
        <v>0.5054564794</v>
      </c>
      <c r="AF554" s="57">
        <f>IFERROR(__xludf.DUMMYFUNCTION("""COMPUTED_VALUE"""),1.2748009102488733)</f>
        <v>1.27480091</v>
      </c>
      <c r="AG554" s="57">
        <f>IFERROR(__xludf.DUMMYFUNCTION("""COMPUTED_VALUE"""),2.252244961356887)</f>
        <v>2.252244961</v>
      </c>
      <c r="AH554" s="57">
        <f>IFERROR(__xludf.DUMMYFUNCTION("""COMPUTED_VALUE"""),0.8803509616907419)</f>
        <v>0.8803509617</v>
      </c>
      <c r="AI554" s="57">
        <f>IFERROR(__xludf.DUMMYFUNCTION("""COMPUTED_VALUE"""),0.7301317845930805)</f>
        <v>0.7301317846</v>
      </c>
      <c r="AJ554" s="57">
        <f>IFERROR(__xludf.DUMMYFUNCTION("""COMPUTED_VALUE"""),0.9461959417720915)</f>
        <v>0.9461959418</v>
      </c>
      <c r="AK554" s="57">
        <f>IFERROR(__xludf.DUMMYFUNCTION("""COMPUTED_VALUE"""),0.9890717484436357)</f>
        <v>0.9890717484</v>
      </c>
      <c r="AL554" s="57">
        <f>IFERROR(__xludf.DUMMYFUNCTION("""COMPUTED_VALUE"""),0.559827899207628)</f>
        <v>0.5598278992</v>
      </c>
      <c r="AM554" s="57">
        <f>IFERROR(__xludf.DUMMYFUNCTION("""COMPUTED_VALUE"""),1.032599459880682)</f>
        <v>1.03259946</v>
      </c>
      <c r="AN554" s="57">
        <f>IFERROR(__xludf.DUMMYFUNCTION("""COMPUTED_VALUE"""),1.3226804793191678)</f>
        <v>1.322680479</v>
      </c>
      <c r="AO554" s="57">
        <f>IFERROR(__xludf.DUMMYFUNCTION("""COMPUTED_VALUE"""),1.0483693935094864)</f>
        <v>1.048369394</v>
      </c>
      <c r="AP554" s="35">
        <f>IFERROR(__xludf.DUMMYFUNCTION("""COMPUTED_VALUE"""),0.7499055683500682)</f>
        <v>0.7499055684</v>
      </c>
      <c r="AQ554" s="57">
        <f>IFERROR(__xludf.DUMMYFUNCTION("""COMPUTED_VALUE"""),1.076341020841715)</f>
        <v>1.076341021</v>
      </c>
      <c r="AR554" s="36" t="b">
        <f>IFERROR(__xludf.DUMMYFUNCTION("""COMPUTED_VALUE"""),TRUE)</f>
        <v>1</v>
      </c>
      <c r="AS554" s="57"/>
      <c r="AT554" s="37"/>
      <c r="AU554" s="30"/>
      <c r="AV554" s="30"/>
      <c r="AW554" s="30"/>
      <c r="AX554" s="30"/>
      <c r="AY554" s="30"/>
      <c r="AZ554" s="30"/>
    </row>
    <row r="555">
      <c r="A555" s="30" t="str">
        <f>IFERROR(__xludf.DUMMYFUNCTION("""COMPUTED_VALUE"""),"Prospect")</f>
        <v>Prospect</v>
      </c>
      <c r="B555" s="30" t="str">
        <f>IFERROR(__xludf.DUMMYFUNCTION("""COMPUTED_VALUE"""),"RSC004012")</f>
        <v>RSC004012</v>
      </c>
      <c r="C555" s="30" t="str">
        <f>IFERROR(__xludf.DUMMYFUNCTION("""COMPUTED_VALUE"""),"kgfan3")</f>
        <v>kgfan3</v>
      </c>
      <c r="D555" s="31" t="str">
        <f>IFERROR(__xludf.DUMMYFUNCTION("""COMPUTED_VALUE"""),"Undead")</f>
        <v>Undead</v>
      </c>
      <c r="E555" s="31">
        <f>IFERROR(__xludf.DUMMYFUNCTION("""COMPUTED_VALUE"""),21.269310055351497)</f>
        <v>21.26931006</v>
      </c>
      <c r="F555" s="31">
        <f>IFERROR(__xludf.DUMMYFUNCTION("""COMPUTED_VALUE"""),-7.985238684640096)</f>
        <v>-7.985238685</v>
      </c>
      <c r="G555" s="31">
        <f>IFERROR(__xludf.DUMMYFUNCTION("""COMPUTED_VALUE"""),21.70290504253834)</f>
        <v>21.70290504</v>
      </c>
      <c r="H555" s="31">
        <f>IFERROR(__xludf.DUMMYFUNCTION("""COMPUTED_VALUE"""),-7.761465603590958)</f>
        <v>-7.761465604</v>
      </c>
      <c r="I555" s="54">
        <f>IFERROR(__xludf.DUMMYFUNCTION("""COMPUTED_VALUE"""),32.0)</f>
        <v>32</v>
      </c>
      <c r="J555" s="55">
        <f>IFERROR(__xludf.DUMMYFUNCTION("""COMPUTED_VALUE"""),8.0)</f>
        <v>8</v>
      </c>
      <c r="K555" s="54">
        <f>IFERROR(__xludf.DUMMYFUNCTION("""COMPUTED_VALUE"""),24.0)</f>
        <v>24</v>
      </c>
      <c r="L555" s="56">
        <f>IFERROR(__xludf.DUMMYFUNCTION("""COMPUTED_VALUE"""),0.25)</f>
        <v>0.25</v>
      </c>
      <c r="M555" s="56">
        <f>IFERROR(__xludf.DUMMYFUNCTION("""COMPUTED_VALUE"""),0.3392857142857143)</f>
        <v>0.3392857143</v>
      </c>
      <c r="N555" s="31">
        <f>IFERROR(__xludf.DUMMYFUNCTION("""COMPUTED_VALUE"""),251.78125)</f>
        <v>251.78125</v>
      </c>
      <c r="O555" s="57">
        <f>IFERROR(__xludf.DUMMYFUNCTION("""COMPUTED_VALUE"""),0.59375)</f>
        <v>0.59375</v>
      </c>
      <c r="P555" s="57">
        <f>IFERROR(__xludf.DUMMYFUNCTION("""COMPUTED_VALUE"""),0.34375)</f>
        <v>0.34375</v>
      </c>
      <c r="Q555" s="57">
        <f>IFERROR(__xludf.DUMMYFUNCTION("""COMPUTED_VALUE"""),0.75)</f>
        <v>0.75</v>
      </c>
      <c r="R555" s="57">
        <f>IFERROR(__xludf.DUMMYFUNCTION("""COMPUTED_VALUE"""),1.75)</f>
        <v>1.75</v>
      </c>
      <c r="S555" s="31">
        <f>IFERROR(__xludf.DUMMYFUNCTION("""COMPUTED_VALUE"""),358.54166666666674)</f>
        <v>358.5416667</v>
      </c>
      <c r="T555" s="57">
        <f>IFERROR(__xludf.DUMMYFUNCTION("""COMPUTED_VALUE"""),1.0729166666666665)</f>
        <v>1.072916667</v>
      </c>
      <c r="U555" s="57">
        <f>IFERROR(__xludf.DUMMYFUNCTION("""COMPUTED_VALUE"""),0.7083333333333335)</f>
        <v>0.7083333333</v>
      </c>
      <c r="V555" s="57">
        <f>IFERROR(__xludf.DUMMYFUNCTION("""COMPUTED_VALUE"""),0.9583333333333331)</f>
        <v>0.9583333333</v>
      </c>
      <c r="W555" s="57">
        <f>IFERROR(__xludf.DUMMYFUNCTION("""COMPUTED_VALUE"""),2.8125000000000004)</f>
        <v>2.8125</v>
      </c>
      <c r="X555" s="31">
        <f>IFERROR(__xludf.DUMMYFUNCTION("""COMPUTED_VALUE"""),338.09837913661363)</f>
        <v>338.0983791</v>
      </c>
      <c r="Y555" s="57">
        <f>IFERROR(__xludf.DUMMYFUNCTION("""COMPUTED_VALUE"""),0.8254971553395933)</f>
        <v>0.8254971553</v>
      </c>
      <c r="Z555" s="57">
        <f>IFERROR(__xludf.DUMMYFUNCTION("""COMPUTED_VALUE"""),0.5183668219109552)</f>
        <v>0.5183668219</v>
      </c>
      <c r="AA555" s="57">
        <f>IFERROR(__xludf.DUMMYFUNCTION("""COMPUTED_VALUE"""),1.193987164559128)</f>
        <v>1.193987165</v>
      </c>
      <c r="AB555" s="57">
        <f>IFERROR(__xludf.DUMMYFUNCTION("""COMPUTED_VALUE"""),2.5472812404789473)</f>
        <v>2.54728124</v>
      </c>
      <c r="AC555" s="31">
        <f>IFERROR(__xludf.DUMMYFUNCTION("""COMPUTED_VALUE"""),336.355752962978)</f>
        <v>336.355753</v>
      </c>
      <c r="AD555" s="57">
        <f>IFERROR(__xludf.DUMMYFUNCTION("""COMPUTED_VALUE"""),0.7963085707198587)</f>
        <v>0.7963085707</v>
      </c>
      <c r="AE555" s="57">
        <f>IFERROR(__xludf.DUMMYFUNCTION("""COMPUTED_VALUE"""),0.534615552551222)</f>
        <v>0.5346155526</v>
      </c>
      <c r="AF555" s="57">
        <f>IFERROR(__xludf.DUMMYFUNCTION("""COMPUTED_VALUE"""),1.2080635894149871)</f>
        <v>1.208063589</v>
      </c>
      <c r="AG555" s="57">
        <f>IFERROR(__xludf.DUMMYFUNCTION("""COMPUTED_VALUE"""),2.409050378499117)</f>
        <v>2.409050378</v>
      </c>
      <c r="AH555" s="57">
        <f>IFERROR(__xludf.DUMMYFUNCTION("""COMPUTED_VALUE"""),0.7485563953702111)</f>
        <v>0.7485563954</v>
      </c>
      <c r="AI555" s="57">
        <f>IFERROR(__xludf.DUMMYFUNCTION("""COMPUTED_VALUE"""),0.7456280414805195)</f>
        <v>0.7456280415</v>
      </c>
      <c r="AJ555" s="57">
        <f>IFERROR(__xludf.DUMMYFUNCTION("""COMPUTED_VALUE"""),0.6429854095332647)</f>
        <v>0.6429854095</v>
      </c>
      <c r="AK555" s="57">
        <f>IFERROR(__xludf.DUMMYFUNCTION("""COMPUTED_VALUE"""),0.6208282466018138)</f>
        <v>0.6208282466</v>
      </c>
      <c r="AL555" s="57">
        <f>IFERROR(__xludf.DUMMYFUNCTION("""COMPUTED_VALUE"""),0.7264273157667556)</f>
        <v>0.7264273158</v>
      </c>
      <c r="AM555" s="57">
        <f>IFERROR(__xludf.DUMMYFUNCTION("""COMPUTED_VALUE"""),1.060465499959681)</f>
        <v>1.0604655</v>
      </c>
      <c r="AN555" s="57">
        <f>IFERROR(__xludf.DUMMYFUNCTION("""COMPUTED_VALUE"""),1.2997218218459998)</f>
        <v>1.299721822</v>
      </c>
      <c r="AO555" s="57">
        <f>IFERROR(__xludf.DUMMYFUNCTION("""COMPUTED_VALUE"""),1.3664712003018793)</f>
        <v>1.3664712</v>
      </c>
      <c r="AP555" s="35">
        <f>IFERROR(__xludf.DUMMYFUNCTION("""COMPUTED_VALUE"""),0.8026328605359769)</f>
        <v>0.8026328605</v>
      </c>
      <c r="AQ555" s="57">
        <f>IFERROR(__xludf.DUMMYFUNCTION("""COMPUTED_VALUE"""),1.1041183656152493)</f>
        <v>1.104118366</v>
      </c>
      <c r="AR555" s="36" t="b">
        <f>IFERROR(__xludf.DUMMYFUNCTION("""COMPUTED_VALUE"""),TRUE)</f>
        <v>1</v>
      </c>
      <c r="AS555" s="57"/>
      <c r="AT555" s="37"/>
      <c r="AU555" s="30"/>
      <c r="AV555" s="30"/>
      <c r="AW555" s="30"/>
      <c r="AX555" s="30"/>
      <c r="AY555" s="30"/>
      <c r="AZ555" s="30"/>
    </row>
    <row r="556">
      <c r="A556" s="30" t="str">
        <f>IFERROR(__xludf.DUMMYFUNCTION("""COMPUTED_VALUE"""),"Prospect")</f>
        <v>Prospect</v>
      </c>
      <c r="B556" s="30" t="str">
        <f>IFERROR(__xludf.DUMMYFUNCTION("""COMPUTED_VALUE"""),"RSC005909")</f>
        <v>RSC005909</v>
      </c>
      <c r="C556" s="30" t="str">
        <f>IFERROR(__xludf.DUMMYFUNCTION("""COMPUTED_VALUE"""),"YadiCraft")</f>
        <v>YadiCraft</v>
      </c>
      <c r="D556" s="31"/>
      <c r="E556" s="31">
        <f>IFERROR(__xludf.DUMMYFUNCTION("""COMPUTED_VALUE"""),9.372073345430856)</f>
        <v>9.372073345</v>
      </c>
      <c r="F556" s="31">
        <f>IFERROR(__xludf.DUMMYFUNCTION("""COMPUTED_VALUE"""),-19.20535590124255)</f>
        <v>-19.2053559</v>
      </c>
      <c r="G556" s="31">
        <f>IFERROR(__xludf.DUMMYFUNCTION("""COMPUTED_VALUE"""),31.718676320622272)</f>
        <v>31.71867632</v>
      </c>
      <c r="H556" s="31">
        <f>IFERROR(__xludf.DUMMYFUNCTION("""COMPUTED_VALUE"""),-4.304549781546797)</f>
        <v>-4.304549782</v>
      </c>
      <c r="I556" s="54">
        <f>IFERROR(__xludf.DUMMYFUNCTION("""COMPUTED_VALUE"""),5.0)</f>
        <v>5</v>
      </c>
      <c r="J556" s="55">
        <f>IFERROR(__xludf.DUMMYFUNCTION("""COMPUTED_VALUE"""),2.0)</f>
        <v>2</v>
      </c>
      <c r="K556" s="54">
        <f>IFERROR(__xludf.DUMMYFUNCTION("""COMPUTED_VALUE"""),3.0)</f>
        <v>3</v>
      </c>
      <c r="L556" s="56">
        <f>IFERROR(__xludf.DUMMYFUNCTION("""COMPUTED_VALUE"""),0.4)</f>
        <v>0.4</v>
      </c>
      <c r="M556" s="56">
        <f>IFERROR(__xludf.DUMMYFUNCTION("""COMPUTED_VALUE"""),0.25)</f>
        <v>0.25</v>
      </c>
      <c r="N556" s="31">
        <f>IFERROR(__xludf.DUMMYFUNCTION("""COMPUTED_VALUE"""),275.6)</f>
        <v>275.6</v>
      </c>
      <c r="O556" s="57">
        <f>IFERROR(__xludf.DUMMYFUNCTION("""COMPUTED_VALUE"""),0.4)</f>
        <v>0.4</v>
      </c>
      <c r="P556" s="57">
        <f>IFERROR(__xludf.DUMMYFUNCTION("""COMPUTED_VALUE"""),0.2)</f>
        <v>0.2</v>
      </c>
      <c r="Q556" s="57">
        <f>IFERROR(__xludf.DUMMYFUNCTION("""COMPUTED_VALUE"""),1.6)</f>
        <v>1.6</v>
      </c>
      <c r="R556" s="57">
        <f>IFERROR(__xludf.DUMMYFUNCTION("""COMPUTED_VALUE"""),1.6)</f>
        <v>1.6</v>
      </c>
      <c r="S556" s="31">
        <f>IFERROR(__xludf.DUMMYFUNCTION("""COMPUTED_VALUE"""),299.0)</f>
        <v>299</v>
      </c>
      <c r="T556" s="57">
        <f>IFERROR(__xludf.DUMMYFUNCTION("""COMPUTED_VALUE"""),0.6666666666666667)</f>
        <v>0.6666666667</v>
      </c>
      <c r="U556" s="57">
        <f>IFERROR(__xludf.DUMMYFUNCTION("""COMPUTED_VALUE"""),0.5333333333333333)</f>
        <v>0.5333333333</v>
      </c>
      <c r="V556" s="57">
        <f>IFERROR(__xludf.DUMMYFUNCTION("""COMPUTED_VALUE"""),1.0666666666666667)</f>
        <v>1.066666667</v>
      </c>
      <c r="W556" s="57">
        <f>IFERROR(__xludf.DUMMYFUNCTION("""COMPUTED_VALUE"""),2.1333333333333337)</f>
        <v>2.133333333</v>
      </c>
      <c r="X556" s="31">
        <f>IFERROR(__xludf.DUMMYFUNCTION("""COMPUTED_VALUE"""),300.3070059412133)</f>
        <v>300.3070059</v>
      </c>
      <c r="Y556" s="57">
        <f>IFERROR(__xludf.DUMMYFUNCTION("""COMPUTED_VALUE"""),0.6337494788409423)</f>
        <v>0.6337494788</v>
      </c>
      <c r="Z556" s="57">
        <f>IFERROR(__xludf.DUMMYFUNCTION("""COMPUTED_VALUE"""),0.39046930373149885)</f>
        <v>0.3904693037</v>
      </c>
      <c r="AA556" s="57">
        <f>IFERROR(__xludf.DUMMYFUNCTION("""COMPUTED_VALUE"""),1.1415017198248905)</f>
        <v>1.14150172</v>
      </c>
      <c r="AB556" s="57">
        <f>IFERROR(__xludf.DUMMYFUNCTION("""COMPUTED_VALUE"""),2.0030589430894308)</f>
        <v>2.003058943</v>
      </c>
      <c r="AC556" s="31">
        <f>IFERROR(__xludf.DUMMYFUNCTION("""COMPUTED_VALUE"""),349.2365729448961)</f>
        <v>349.2365729</v>
      </c>
      <c r="AD556" s="57">
        <f>IFERROR(__xludf.DUMMYFUNCTION("""COMPUTED_VALUE"""),0.9515008512264609)</f>
        <v>0.9515008512</v>
      </c>
      <c r="AE556" s="57">
        <f>IFERROR(__xludf.DUMMYFUNCTION("""COMPUTED_VALUE"""),0.6246980751858802)</f>
        <v>0.6246980752</v>
      </c>
      <c r="AF556" s="57">
        <f>IFERROR(__xludf.DUMMYFUNCTION("""COMPUTED_VALUE"""),1.0240242165242166)</f>
        <v>1.024024217</v>
      </c>
      <c r="AG556" s="57">
        <f>IFERROR(__xludf.DUMMYFUNCTION("""COMPUTED_VALUE"""),2.6619266381766384)</f>
        <v>2.661926638</v>
      </c>
      <c r="AH556" s="57">
        <f>IFERROR(__xludf.DUMMYFUNCTION("""COMPUTED_VALUE"""),0.7891498810563727)</f>
        <v>0.7891498811</v>
      </c>
      <c r="AI556" s="57">
        <f>IFERROR(__xludf.DUMMYFUNCTION("""COMPUTED_VALUE"""),0.4203884836092474)</f>
        <v>0.4203884836</v>
      </c>
      <c r="AJ556" s="57">
        <f>IFERROR(__xludf.DUMMYFUNCTION("""COMPUTED_VALUE"""),0.3201546602180415)</f>
        <v>0.3201546602</v>
      </c>
      <c r="AK556" s="57">
        <f>IFERROR(__xludf.DUMMYFUNCTION("""COMPUTED_VALUE"""),1.5624630493903584)</f>
        <v>1.562463049</v>
      </c>
      <c r="AL556" s="57">
        <f>IFERROR(__xludf.DUMMYFUNCTION("""COMPUTED_VALUE"""),0.6010684055124694)</f>
        <v>0.6010684055</v>
      </c>
      <c r="AM556" s="57">
        <f>IFERROR(__xludf.DUMMYFUNCTION("""COMPUTED_VALUE"""),0.9956477674001747)</f>
        <v>0.9956477674</v>
      </c>
      <c r="AN556" s="57">
        <f>IFERROR(__xludf.DUMMYFUNCTION("""COMPUTED_VALUE"""),1.051940378532423)</f>
        <v>1.051940379</v>
      </c>
      <c r="AO556" s="57">
        <f>IFERROR(__xludf.DUMMYFUNCTION("""COMPUTED_VALUE"""),1.365877748229021)</f>
        <v>1.365877748</v>
      </c>
      <c r="AP556" s="35">
        <f>IFERROR(__xludf.DUMMYFUNCTION("""COMPUTED_VALUE"""),0.934441576514047)</f>
        <v>0.9344415765</v>
      </c>
      <c r="AQ556" s="57">
        <f>IFERROR(__xludf.DUMMYFUNCTION("""COMPUTED_VALUE"""),1.0650377217771603)</f>
        <v>1.065037722</v>
      </c>
      <c r="AR556" s="36" t="b">
        <f>IFERROR(__xludf.DUMMYFUNCTION("""COMPUTED_VALUE"""),TRUE)</f>
        <v>1</v>
      </c>
      <c r="AS556" s="57"/>
      <c r="AT556" s="37"/>
      <c r="AU556" s="30"/>
      <c r="AV556" s="30"/>
      <c r="AW556" s="30"/>
      <c r="AX556" s="30"/>
      <c r="AY556" s="30"/>
      <c r="AZ556" s="30"/>
    </row>
    <row r="557">
      <c r="A557" s="30" t="str">
        <f>IFERROR(__xludf.DUMMYFUNCTION("""COMPUTED_VALUE"""),"Prospect")</f>
        <v>Prospect</v>
      </c>
      <c r="B557" s="30" t="str">
        <f>IFERROR(__xludf.DUMMYFUNCTION("""COMPUTED_VALUE"""),"RSC007929")</f>
        <v>RSC007929</v>
      </c>
      <c r="C557" s="30" t="str">
        <f>IFERROR(__xludf.DUMMYFUNCTION("""COMPUTED_VALUE"""),"Leaux Mane")</f>
        <v>Leaux Mane</v>
      </c>
      <c r="D557" s="31" t="str">
        <f>IFERROR(__xludf.DUMMYFUNCTION("""COMPUTED_VALUE"""),"Blacktips")</f>
        <v>Blacktips</v>
      </c>
      <c r="E557" s="31">
        <f>IFERROR(__xludf.DUMMYFUNCTION("""COMPUTED_VALUE"""),8.968419555918722)</f>
        <v>8.968419556</v>
      </c>
      <c r="F557" s="31">
        <f>IFERROR(__xludf.DUMMYFUNCTION("""COMPUTED_VALUE"""),-19.852537753786628)</f>
        <v>-19.85253775</v>
      </c>
      <c r="G557" s="31">
        <f>IFERROR(__xludf.DUMMYFUNCTION("""COMPUTED_VALUE"""),15.910983062042448)</f>
        <v>15.91098306</v>
      </c>
      <c r="H557" s="31">
        <f>IFERROR(__xludf.DUMMYFUNCTION("""COMPUTED_VALUE"""),-11.580381952622492)</f>
        <v>-11.58038195</v>
      </c>
      <c r="I557" s="54">
        <f>IFERROR(__xludf.DUMMYFUNCTION("""COMPUTED_VALUE"""),4.0)</f>
        <v>4</v>
      </c>
      <c r="J557" s="55">
        <f>IFERROR(__xludf.DUMMYFUNCTION("""COMPUTED_VALUE"""),0.0)</f>
        <v>0</v>
      </c>
      <c r="K557" s="54">
        <f>IFERROR(__xludf.DUMMYFUNCTION("""COMPUTED_VALUE"""),4.0)</f>
        <v>4</v>
      </c>
      <c r="L557" s="56">
        <f>IFERROR(__xludf.DUMMYFUNCTION("""COMPUTED_VALUE"""),0.0)</f>
        <v>0</v>
      </c>
      <c r="M557" s="56">
        <f>IFERROR(__xludf.DUMMYFUNCTION("""COMPUTED_VALUE"""),0.4)</f>
        <v>0.4</v>
      </c>
      <c r="N557" s="31">
        <f>IFERROR(__xludf.DUMMYFUNCTION("""COMPUTED_VALUE"""),281.75)</f>
        <v>281.75</v>
      </c>
      <c r="O557" s="57">
        <f>IFERROR(__xludf.DUMMYFUNCTION("""COMPUTED_VALUE"""),0.5)</f>
        <v>0.5</v>
      </c>
      <c r="P557" s="57">
        <f>IFERROR(__xludf.DUMMYFUNCTION("""COMPUTED_VALUE"""),0.25)</f>
        <v>0.25</v>
      </c>
      <c r="Q557" s="57">
        <f>IFERROR(__xludf.DUMMYFUNCTION("""COMPUTED_VALUE"""),1.5)</f>
        <v>1.5</v>
      </c>
      <c r="R557" s="57">
        <f>IFERROR(__xludf.DUMMYFUNCTION("""COMPUTED_VALUE"""),1.25)</f>
        <v>1.25</v>
      </c>
      <c r="S557" s="31">
        <f>IFERROR(__xludf.DUMMYFUNCTION("""COMPUTED_VALUE"""),367.9166666666667)</f>
        <v>367.9166667</v>
      </c>
      <c r="T557" s="57">
        <f>IFERROR(__xludf.DUMMYFUNCTION("""COMPUTED_VALUE"""),1.0833333333333333)</f>
        <v>1.083333333</v>
      </c>
      <c r="U557" s="57">
        <f>IFERROR(__xludf.DUMMYFUNCTION("""COMPUTED_VALUE"""),0.9166666666666666)</f>
        <v>0.9166666667</v>
      </c>
      <c r="V557" s="57">
        <f>IFERROR(__xludf.DUMMYFUNCTION("""COMPUTED_VALUE"""),0.5833333333333334)</f>
        <v>0.5833333333</v>
      </c>
      <c r="W557" s="57">
        <f>IFERROR(__xludf.DUMMYFUNCTION("""COMPUTED_VALUE"""),3.25)</f>
        <v>3.25</v>
      </c>
      <c r="X557" s="31">
        <f>IFERROR(__xludf.DUMMYFUNCTION("""COMPUTED_VALUE"""),347.0992265795207)</f>
        <v>347.0992266</v>
      </c>
      <c r="Y557" s="57">
        <f>IFERROR(__xludf.DUMMYFUNCTION("""COMPUTED_VALUE"""),0.8192810457516341)</f>
        <v>0.8192810458</v>
      </c>
      <c r="Z557" s="57">
        <f>IFERROR(__xludf.DUMMYFUNCTION("""COMPUTED_VALUE"""),0.608289760348584)</f>
        <v>0.6082897603</v>
      </c>
      <c r="AA557" s="57">
        <f>IFERROR(__xludf.DUMMYFUNCTION("""COMPUTED_VALUE"""),1.2864161220043573)</f>
        <v>1.286416122</v>
      </c>
      <c r="AB557" s="57">
        <f>IFERROR(__xludf.DUMMYFUNCTION("""COMPUTED_VALUE"""),2.4637581699346405)</f>
        <v>2.46375817</v>
      </c>
      <c r="AC557" s="31">
        <f>IFERROR(__xludf.DUMMYFUNCTION("""COMPUTED_VALUE"""),335.0790777051562)</f>
        <v>335.0790777</v>
      </c>
      <c r="AD557" s="57">
        <f>IFERROR(__xludf.DUMMYFUNCTION("""COMPUTED_VALUE"""),0.7039941902687)</f>
        <v>0.7039941903</v>
      </c>
      <c r="AE557" s="57">
        <f>IFERROR(__xludf.DUMMYFUNCTION("""COMPUTED_VALUE"""),0.4963144517066085)</f>
        <v>0.4963144517</v>
      </c>
      <c r="AF557" s="57">
        <f>IFERROR(__xludf.DUMMYFUNCTION("""COMPUTED_VALUE"""),1.2914996368917937)</f>
        <v>1.291499637</v>
      </c>
      <c r="AG557" s="57">
        <f>IFERROR(__xludf.DUMMYFUNCTION("""COMPUTED_VALUE"""),2.320882352941177)</f>
        <v>2.320882353</v>
      </c>
      <c r="AH557" s="57">
        <f>IFERROR(__xludf.DUMMYFUNCTION("""COMPUTED_VALUE"""),0.8408462919547556)</f>
        <v>0.840846292</v>
      </c>
      <c r="AI557" s="57">
        <f>IFERROR(__xludf.DUMMYFUNCTION("""COMPUTED_VALUE"""),0.7102331338972561)</f>
        <v>0.7102331339</v>
      </c>
      <c r="AJ557" s="57">
        <f>IFERROR(__xludf.DUMMYFUNCTION("""COMPUTED_VALUE"""),0.5037129165599737)</f>
        <v>0.5037129166</v>
      </c>
      <c r="AK557" s="57">
        <f>IFERROR(__xludf.DUMMYFUNCTION("""COMPUTED_VALUE"""),1.1614405123721108)</f>
        <v>1.161440512</v>
      </c>
      <c r="AL557" s="57">
        <f>IFERROR(__xludf.DUMMYFUNCTION("""COMPUTED_VALUE"""),0.538588265112153)</f>
        <v>0.5385882651</v>
      </c>
      <c r="AM557" s="57">
        <f>IFERROR(__xludf.DUMMYFUNCTION("""COMPUTED_VALUE"""),1.0599754724096935)</f>
        <v>1.059975472</v>
      </c>
      <c r="AN557" s="57">
        <f>IFERROR(__xludf.DUMMYFUNCTION("""COMPUTED_VALUE"""),1.3222975668129235)</f>
        <v>1.322297567</v>
      </c>
      <c r="AO557" s="57">
        <f>IFERROR(__xludf.DUMMYFUNCTION("""COMPUTED_VALUE"""),1.5069572536308444)</f>
        <v>1.506957254</v>
      </c>
      <c r="AP557" s="35">
        <f>IFERROR(__xludf.DUMMYFUNCTION("""COMPUTED_VALUE"""),0.45345617437104657)</f>
        <v>0.4534561744</v>
      </c>
      <c r="AQ557" s="57">
        <f>IFERROR(__xludf.DUMMYFUNCTION("""COMPUTED_VALUE"""),1.3191229722380655)</f>
        <v>1.319122972</v>
      </c>
      <c r="AR557" s="36" t="b">
        <f>IFERROR(__xludf.DUMMYFUNCTION("""COMPUTED_VALUE"""),TRUE)</f>
        <v>1</v>
      </c>
      <c r="AS557" s="57"/>
      <c r="AT557" s="37"/>
      <c r="AU557" s="30"/>
      <c r="AV557" s="30"/>
      <c r="AW557" s="30"/>
      <c r="AX557" s="30"/>
      <c r="AY557" s="30"/>
      <c r="AZ557" s="30"/>
    </row>
    <row r="558">
      <c r="A558" s="30" t="str">
        <f>IFERROR(__xludf.DUMMYFUNCTION("""COMPUTED_VALUE"""),"Prospect")</f>
        <v>Prospect</v>
      </c>
      <c r="B558" s="30" t="str">
        <f>IFERROR(__xludf.DUMMYFUNCTION("""COMPUTED_VALUE"""),"RSC004879")</f>
        <v>RSC004879</v>
      </c>
      <c r="C558" s="30" t="str">
        <f>IFERROR(__xludf.DUMMYFUNCTION("""COMPUTED_VALUE"""),"DefNotMongo.")</f>
        <v>DefNotMongo.</v>
      </c>
      <c r="D558" s="31" t="str">
        <f>IFERROR(__xludf.DUMMYFUNCTION("""COMPUTED_VALUE"""),"Khans")</f>
        <v>Khans</v>
      </c>
      <c r="E558" s="31">
        <f>IFERROR(__xludf.DUMMYFUNCTION("""COMPUTED_VALUE"""),0.08576458986495084)</f>
        <v>0.08576458986</v>
      </c>
      <c r="F558" s="31">
        <f>IFERROR(__xludf.DUMMYFUNCTION("""COMPUTED_VALUE"""),-43.59960239754666)</f>
        <v>-43.5996024</v>
      </c>
      <c r="G558" s="31">
        <f>IFERROR(__xludf.DUMMYFUNCTION("""COMPUTED_VALUE"""),9.999331078498194)</f>
        <v>9.999331078</v>
      </c>
      <c r="H558" s="31">
        <f>IFERROR(__xludf.DUMMYFUNCTION("""COMPUTED_VALUE"""),-18.2493994008695)</f>
        <v>-18.2493994</v>
      </c>
      <c r="I558" s="54">
        <f>IFERROR(__xludf.DUMMYFUNCTION("""COMPUTED_VALUE"""),14.0)</f>
        <v>14</v>
      </c>
      <c r="J558" s="55">
        <f>IFERROR(__xludf.DUMMYFUNCTION("""COMPUTED_VALUE"""),3.0)</f>
        <v>3</v>
      </c>
      <c r="K558" s="54">
        <f>IFERROR(__xludf.DUMMYFUNCTION("""COMPUTED_VALUE"""),11.0)</f>
        <v>11</v>
      </c>
      <c r="L558" s="56">
        <f>IFERROR(__xludf.DUMMYFUNCTION("""COMPUTED_VALUE"""),0.21428571428571427)</f>
        <v>0.2142857143</v>
      </c>
      <c r="M558" s="56">
        <f>IFERROR(__xludf.DUMMYFUNCTION("""COMPUTED_VALUE"""),0.36363636363636365)</f>
        <v>0.3636363636</v>
      </c>
      <c r="N558" s="31">
        <f>IFERROR(__xludf.DUMMYFUNCTION("""COMPUTED_VALUE"""),263.2142857142857)</f>
        <v>263.2142857</v>
      </c>
      <c r="O558" s="57">
        <f>IFERROR(__xludf.DUMMYFUNCTION("""COMPUTED_VALUE"""),0.2857142857142857)</f>
        <v>0.2857142857</v>
      </c>
      <c r="P558" s="57">
        <f>IFERROR(__xludf.DUMMYFUNCTION("""COMPUTED_VALUE"""),0.42857142857142855)</f>
        <v>0.4285714286</v>
      </c>
      <c r="Q558" s="57">
        <f>IFERROR(__xludf.DUMMYFUNCTION("""COMPUTED_VALUE"""),1.6428571428571428)</f>
        <v>1.642857143</v>
      </c>
      <c r="R558" s="57">
        <f>IFERROR(__xludf.DUMMYFUNCTION("""COMPUTED_VALUE"""),0.7857142857142857)</f>
        <v>0.7857142857</v>
      </c>
      <c r="S558" s="31">
        <f>IFERROR(__xludf.DUMMYFUNCTION("""COMPUTED_VALUE"""),358.33333333333337)</f>
        <v>358.3333333</v>
      </c>
      <c r="T558" s="57">
        <f>IFERROR(__xludf.DUMMYFUNCTION("""COMPUTED_VALUE"""),1.0952380952380953)</f>
        <v>1.095238095</v>
      </c>
      <c r="U558" s="57">
        <f>IFERROR(__xludf.DUMMYFUNCTION("""COMPUTED_VALUE"""),0.738095238095238)</f>
        <v>0.7380952381</v>
      </c>
      <c r="V558" s="57">
        <f>IFERROR(__xludf.DUMMYFUNCTION("""COMPUTED_VALUE"""),0.9047619047619049)</f>
        <v>0.9047619048</v>
      </c>
      <c r="W558" s="57">
        <f>IFERROR(__xludf.DUMMYFUNCTION("""COMPUTED_VALUE"""),3.0714285714285716)</f>
        <v>3.071428571</v>
      </c>
      <c r="X558" s="31">
        <f>IFERROR(__xludf.DUMMYFUNCTION("""COMPUTED_VALUE"""),343.7756202116738)</f>
        <v>343.7756202</v>
      </c>
      <c r="Y558" s="57">
        <f>IFERROR(__xludf.DUMMYFUNCTION("""COMPUTED_VALUE"""),0.8497355017015076)</f>
        <v>0.8497355017</v>
      </c>
      <c r="Z558" s="57">
        <f>IFERROR(__xludf.DUMMYFUNCTION("""COMPUTED_VALUE"""),0.5754562526531488)</f>
        <v>0.5754562527</v>
      </c>
      <c r="AA558" s="57">
        <f>IFERROR(__xludf.DUMMYFUNCTION("""COMPUTED_VALUE"""),1.1440187895368719)</f>
        <v>1.14401879</v>
      </c>
      <c r="AB558" s="57">
        <f>IFERROR(__xludf.DUMMYFUNCTION("""COMPUTED_VALUE"""),2.577768148663435)</f>
        <v>2.577768149</v>
      </c>
      <c r="AC558" s="31">
        <f>IFERROR(__xludf.DUMMYFUNCTION("""COMPUTED_VALUE"""),330.53581245794186)</f>
        <v>330.5358125</v>
      </c>
      <c r="AD558" s="57">
        <f>IFERROR(__xludf.DUMMYFUNCTION("""COMPUTED_VALUE"""),0.7629208185304336)</f>
        <v>0.7629208185</v>
      </c>
      <c r="AE558" s="57">
        <f>IFERROR(__xludf.DUMMYFUNCTION("""COMPUTED_VALUE"""),0.4906139818328697)</f>
        <v>0.4906139818</v>
      </c>
      <c r="AF558" s="57">
        <f>IFERROR(__xludf.DUMMYFUNCTION("""COMPUTED_VALUE"""),1.2413279206050423)</f>
        <v>1.241327921</v>
      </c>
      <c r="AG558" s="57">
        <f>IFERROR(__xludf.DUMMYFUNCTION("""COMPUTED_VALUE"""),2.2969116273253696)</f>
        <v>2.296911627</v>
      </c>
      <c r="AH558" s="57">
        <f>IFERROR(__xludf.DUMMYFUNCTION("""COMPUTED_VALUE"""),0.7963260735862856)</f>
        <v>0.7963260736</v>
      </c>
      <c r="AI558" s="57">
        <f>IFERROR(__xludf.DUMMYFUNCTION("""COMPUTED_VALUE"""),0.374500575649042)</f>
        <v>0.3745005756</v>
      </c>
      <c r="AJ558" s="57">
        <f>IFERROR(__xludf.DUMMYFUNCTION("""COMPUTED_VALUE"""),0.8735410005445456)</f>
        <v>0.8735410005</v>
      </c>
      <c r="AK558" s="57">
        <f>IFERROR(__xludf.DUMMYFUNCTION("""COMPUTED_VALUE"""),1.323467486380544)</f>
        <v>1.323467486</v>
      </c>
      <c r="AL558" s="57">
        <f>IFERROR(__xludf.DUMMYFUNCTION("""COMPUTED_VALUE"""),0.3420742341006858)</f>
        <v>0.3420742341</v>
      </c>
      <c r="AM558" s="57">
        <f>IFERROR(__xludf.DUMMYFUNCTION("""COMPUTED_VALUE"""),1.042346554746075)</f>
        <v>1.042346555</v>
      </c>
      <c r="AN558" s="57">
        <f>IFERROR(__xludf.DUMMYFUNCTION("""COMPUTED_VALUE"""),1.2889164840647405)</f>
        <v>1.288916484</v>
      </c>
      <c r="AO558" s="57">
        <f>IFERROR(__xludf.DUMMYFUNCTION("""COMPUTED_VALUE"""),1.2826261504540788)</f>
        <v>1.28262615</v>
      </c>
      <c r="AP558" s="35">
        <f>IFERROR(__xludf.DUMMYFUNCTION("""COMPUTED_VALUE"""),0.7908628014127073)</f>
        <v>0.7908628014</v>
      </c>
      <c r="AQ558" s="57">
        <f>IFERROR(__xludf.DUMMYFUNCTION("""COMPUTED_VALUE"""),1.1915069138475847)</f>
        <v>1.191506914</v>
      </c>
      <c r="AR558" s="36" t="b">
        <f>IFERROR(__xludf.DUMMYFUNCTION("""COMPUTED_VALUE"""),TRUE)</f>
        <v>1</v>
      </c>
      <c r="AS558" s="57"/>
      <c r="AT558" s="37"/>
      <c r="AU558" s="30"/>
      <c r="AV558" s="30"/>
      <c r="AW558" s="30"/>
      <c r="AX558" s="30"/>
      <c r="AY558" s="30"/>
      <c r="AZ558" s="30"/>
    </row>
    <row r="559">
      <c r="A559" s="30" t="str">
        <f>IFERROR(__xludf.DUMMYFUNCTION("""COMPUTED_VALUE"""),"Prospect")</f>
        <v>Prospect</v>
      </c>
      <c r="B559" s="30" t="str">
        <f>IFERROR(__xludf.DUMMYFUNCTION("""COMPUTED_VALUE"""),"RSC006461")</f>
        <v>RSC006461</v>
      </c>
      <c r="C559" s="30" t="str">
        <f>IFERROR(__xludf.DUMMYFUNCTION("""COMPUTED_VALUE"""),"Cynical89")</f>
        <v>Cynical89</v>
      </c>
      <c r="D559" s="31"/>
      <c r="E559" s="31">
        <f>IFERROR(__xludf.DUMMYFUNCTION("""COMPUTED_VALUE"""),-16.503911866887876)</f>
        <v>-16.50391187</v>
      </c>
      <c r="F559" s="31">
        <f>IFERROR(__xludf.DUMMYFUNCTION("""COMPUTED_VALUE"""),-256.0676624880182)</f>
        <v>-256.0676625</v>
      </c>
      <c r="G559" s="31">
        <f>IFERROR(__xludf.DUMMYFUNCTION("""COMPUTED_VALUE"""),15.98457729378918)</f>
        <v>15.98457729</v>
      </c>
      <c r="H559" s="31">
        <f>IFERROR(__xludf.DUMMYFUNCTION("""COMPUTED_VALUE"""),-11.518429300583051)</f>
        <v>-11.5184293</v>
      </c>
      <c r="I559" s="54">
        <f>IFERROR(__xludf.DUMMYFUNCTION("""COMPUTED_VALUE"""),1.0)</f>
        <v>1</v>
      </c>
      <c r="J559" s="55">
        <f>IFERROR(__xludf.DUMMYFUNCTION("""COMPUTED_VALUE"""),0.0)</f>
        <v>0</v>
      </c>
      <c r="K559" s="54">
        <f>IFERROR(__xludf.DUMMYFUNCTION("""COMPUTED_VALUE"""),1.0)</f>
        <v>1</v>
      </c>
      <c r="L559" s="56">
        <f>IFERROR(__xludf.DUMMYFUNCTION("""COMPUTED_VALUE"""),0.0)</f>
        <v>0</v>
      </c>
      <c r="M559" s="56">
        <f>IFERROR(__xludf.DUMMYFUNCTION("""COMPUTED_VALUE"""),0.0)</f>
        <v>0</v>
      </c>
      <c r="N559" s="31">
        <f>IFERROR(__xludf.DUMMYFUNCTION("""COMPUTED_VALUE"""),190.0)</f>
        <v>190</v>
      </c>
      <c r="O559" s="57">
        <f>IFERROR(__xludf.DUMMYFUNCTION("""COMPUTED_VALUE"""),0.0)</f>
        <v>0</v>
      </c>
      <c r="P559" s="57">
        <f>IFERROR(__xludf.DUMMYFUNCTION("""COMPUTED_VALUE"""),1.0)</f>
        <v>1</v>
      </c>
      <c r="Q559" s="57">
        <f>IFERROR(__xludf.DUMMYFUNCTION("""COMPUTED_VALUE"""),0.0)</f>
        <v>0</v>
      </c>
      <c r="R559" s="57">
        <f>IFERROR(__xludf.DUMMYFUNCTION("""COMPUTED_VALUE"""),1.0)</f>
        <v>1</v>
      </c>
      <c r="S559" s="31">
        <f>IFERROR(__xludf.DUMMYFUNCTION("""COMPUTED_VALUE"""),412.0)</f>
        <v>412</v>
      </c>
      <c r="T559" s="57">
        <f>IFERROR(__xludf.DUMMYFUNCTION("""COMPUTED_VALUE"""),1.6666666666666667)</f>
        <v>1.666666667</v>
      </c>
      <c r="U559" s="57">
        <f>IFERROR(__xludf.DUMMYFUNCTION("""COMPUTED_VALUE"""),1.3333333333333333)</f>
        <v>1.333333333</v>
      </c>
      <c r="V559" s="57">
        <f>IFERROR(__xludf.DUMMYFUNCTION("""COMPUTED_VALUE"""),1.0)</f>
        <v>1</v>
      </c>
      <c r="W559" s="57">
        <f>IFERROR(__xludf.DUMMYFUNCTION("""COMPUTED_VALUE"""),3.0)</f>
        <v>3</v>
      </c>
      <c r="X559" s="31">
        <f>IFERROR(__xludf.DUMMYFUNCTION("""COMPUTED_VALUE"""),320.5485636114911)</f>
        <v>320.5485636</v>
      </c>
      <c r="Y559" s="57">
        <f>IFERROR(__xludf.DUMMYFUNCTION("""COMPUTED_VALUE"""),0.7660738714090286)</f>
        <v>0.7660738714</v>
      </c>
      <c r="Z559" s="57">
        <f>IFERROR(__xludf.DUMMYFUNCTION("""COMPUTED_VALUE"""),0.6146830825353398)</f>
        <v>0.6146830825</v>
      </c>
      <c r="AA559" s="57">
        <f>IFERROR(__xludf.DUMMYFUNCTION("""COMPUTED_VALUE"""),1.1048791609667123)</f>
        <v>1.104879161</v>
      </c>
      <c r="AB559" s="57">
        <f>IFERROR(__xludf.DUMMYFUNCTION("""COMPUTED_VALUE"""),2.4345645234838122)</f>
        <v>2.434564523</v>
      </c>
      <c r="AC559" s="31">
        <f>IFERROR(__xludf.DUMMYFUNCTION("""COMPUTED_VALUE"""),294.17677458580334)</f>
        <v>294.1767746</v>
      </c>
      <c r="AD559" s="57">
        <f>IFERROR(__xludf.DUMMYFUNCTION("""COMPUTED_VALUE"""),0.5897552819577442)</f>
        <v>0.589755282</v>
      </c>
      <c r="AE559" s="57">
        <f>IFERROR(__xludf.DUMMYFUNCTION("""COMPUTED_VALUE"""),0.425140598875209)</f>
        <v>0.4251405989</v>
      </c>
      <c r="AF559" s="57">
        <f>IFERROR(__xludf.DUMMYFUNCTION("""COMPUTED_VALUE"""),1.062015503875969)</f>
        <v>1.062015504</v>
      </c>
      <c r="AG559" s="57">
        <f>IFERROR(__xludf.DUMMYFUNCTION("""COMPUTED_VALUE"""),2.1070071439428486)</f>
        <v>2.107007144</v>
      </c>
      <c r="AH559" s="57">
        <f>IFERROR(__xludf.DUMMYFUNCTION("""COMPUTED_VALUE"""),0.6458701584022642)</f>
        <v>0.6458701584</v>
      </c>
      <c r="AI559" s="57">
        <f>IFERROR(__xludf.DUMMYFUNCTION("""COMPUTED_VALUE"""),0.0)</f>
        <v>0</v>
      </c>
      <c r="AJ559" s="57">
        <f>IFERROR(__xludf.DUMMYFUNCTION("""COMPUTED_VALUE"""),2.352163031819807)</f>
        <v>2.352163032</v>
      </c>
      <c r="AK559" s="57">
        <f>IFERROR(__xludf.DUMMYFUNCTION("""COMPUTED_VALUE"""),0.0)</f>
        <v>0</v>
      </c>
      <c r="AL559" s="57">
        <f>IFERROR(__xludf.DUMMYFUNCTION("""COMPUTED_VALUE"""),0.4746068388399942)</f>
        <v>0.4746068388</v>
      </c>
      <c r="AM559" s="57">
        <f>IFERROR(__xludf.DUMMYFUNCTION("""COMPUTED_VALUE"""),1.2852966656851073)</f>
        <v>1.285296666</v>
      </c>
      <c r="AN559" s="57">
        <f>IFERROR(__xludf.DUMMYFUNCTION("""COMPUTED_VALUE"""),2.1755952380952386)</f>
        <v>2.175595238</v>
      </c>
      <c r="AO559" s="57">
        <f>IFERROR(__xludf.DUMMYFUNCTION("""COMPUTED_VALUE"""),2.1691394658753707)</f>
        <v>2.169139466</v>
      </c>
      <c r="AP559" s="35">
        <f>IFERROR(__xludf.DUMMYFUNCTION("""COMPUTED_VALUE"""),0.9050763516302104)</f>
        <v>0.9050763516</v>
      </c>
      <c r="AQ559" s="57">
        <f>IFERROR(__xludf.DUMMYFUNCTION("""COMPUTED_VALUE"""),1.232253230942124)</f>
        <v>1.232253231</v>
      </c>
      <c r="AR559" s="36" t="b">
        <f>IFERROR(__xludf.DUMMYFUNCTION("""COMPUTED_VALUE"""),TRUE)</f>
        <v>1</v>
      </c>
      <c r="AS559" s="57"/>
      <c r="AT559" s="37"/>
      <c r="AU559" s="30"/>
      <c r="AV559" s="30"/>
      <c r="AW559" s="30"/>
      <c r="AX559" s="30"/>
      <c r="AY559" s="30"/>
      <c r="AZ559" s="30"/>
    </row>
    <row r="560">
      <c r="A560" s="30" t="str">
        <f>IFERROR(__xludf.DUMMYFUNCTION("""COMPUTED_VALUE"""),"Prospect")</f>
        <v>Prospect</v>
      </c>
      <c r="B560" s="30" t="str">
        <f>IFERROR(__xludf.DUMMYFUNCTION("""COMPUTED_VALUE"""),"RSC005252")</f>
        <v>RSC005252</v>
      </c>
      <c r="C560" s="30" t="str">
        <f>IFERROR(__xludf.DUMMYFUNCTION("""COMPUTED_VALUE"""),"MysticMax07")</f>
        <v>MysticMax07</v>
      </c>
      <c r="D560" s="31"/>
      <c r="E560" s="31">
        <f>IFERROR(__xludf.DUMMYFUNCTION("""COMPUTED_VALUE"""),-18.67050680233872)</f>
        <v>-18.6705068</v>
      </c>
      <c r="F560" s="31">
        <f>IFERROR(__xludf.DUMMYFUNCTION("""COMPUTED_VALUE"""),-332.3578596901981)</f>
        <v>-332.3578597</v>
      </c>
      <c r="G560" s="31">
        <f>IFERROR(__xludf.DUMMYFUNCTION("""COMPUTED_VALUE"""),-14.81276555269234)</f>
        <v>-14.81276555</v>
      </c>
      <c r="H560" s="31">
        <f>IFERROR(__xludf.DUMMYFUNCTION("""COMPUTED_VALUE"""),-209.91152023117834)</f>
        <v>-209.9115202</v>
      </c>
      <c r="I560" s="54">
        <f>IFERROR(__xludf.DUMMYFUNCTION("""COMPUTED_VALUE"""),2.0)</f>
        <v>2</v>
      </c>
      <c r="J560" s="55">
        <f>IFERROR(__xludf.DUMMYFUNCTION("""COMPUTED_VALUE"""),0.0)</f>
        <v>0</v>
      </c>
      <c r="K560" s="54">
        <f>IFERROR(__xludf.DUMMYFUNCTION("""COMPUTED_VALUE"""),2.0)</f>
        <v>2</v>
      </c>
      <c r="L560" s="56">
        <f>IFERROR(__xludf.DUMMYFUNCTION("""COMPUTED_VALUE"""),0.0)</f>
        <v>0</v>
      </c>
      <c r="M560" s="56">
        <f>IFERROR(__xludf.DUMMYFUNCTION("""COMPUTED_VALUE"""),0.0)</f>
        <v>0</v>
      </c>
      <c r="N560" s="31">
        <f>IFERROR(__xludf.DUMMYFUNCTION("""COMPUTED_VALUE"""),151.0)</f>
        <v>151</v>
      </c>
      <c r="O560" s="57">
        <f>IFERROR(__xludf.DUMMYFUNCTION("""COMPUTED_VALUE"""),0.0)</f>
        <v>0</v>
      </c>
      <c r="P560" s="57">
        <f>IFERROR(__xludf.DUMMYFUNCTION("""COMPUTED_VALUE"""),0.0)</f>
        <v>0</v>
      </c>
      <c r="Q560" s="57">
        <f>IFERROR(__xludf.DUMMYFUNCTION("""COMPUTED_VALUE"""),0.5)</f>
        <v>0.5</v>
      </c>
      <c r="R560" s="57">
        <f>IFERROR(__xludf.DUMMYFUNCTION("""COMPUTED_VALUE"""),1.0)</f>
        <v>1</v>
      </c>
      <c r="S560" s="31">
        <f>IFERROR(__xludf.DUMMYFUNCTION("""COMPUTED_VALUE"""),347.33333333333337)</f>
        <v>347.3333333</v>
      </c>
      <c r="T560" s="57">
        <f>IFERROR(__xludf.DUMMYFUNCTION("""COMPUTED_VALUE"""),0.8333333333333333)</f>
        <v>0.8333333333</v>
      </c>
      <c r="U560" s="57">
        <f>IFERROR(__xludf.DUMMYFUNCTION("""COMPUTED_VALUE"""),0.6666666666666666)</f>
        <v>0.6666666667</v>
      </c>
      <c r="V560" s="57">
        <f>IFERROR(__xludf.DUMMYFUNCTION("""COMPUTED_VALUE"""),1.1666666666666665)</f>
        <v>1.166666667</v>
      </c>
      <c r="W560" s="57">
        <f>IFERROR(__xludf.DUMMYFUNCTION("""COMPUTED_VALUE"""),2.0)</f>
        <v>2</v>
      </c>
      <c r="X560" s="31">
        <f>IFERROR(__xludf.DUMMYFUNCTION("""COMPUTED_VALUE"""),359.40340909090907)</f>
        <v>359.4034091</v>
      </c>
      <c r="Y560" s="57">
        <f>IFERROR(__xludf.DUMMYFUNCTION("""COMPUTED_VALUE"""),0.9324494949494948)</f>
        <v>0.9324494949</v>
      </c>
      <c r="Z560" s="57">
        <f>IFERROR(__xludf.DUMMYFUNCTION("""COMPUTED_VALUE"""),0.6111111111111112)</f>
        <v>0.6111111111</v>
      </c>
      <c r="AA560" s="57">
        <f>IFERROR(__xludf.DUMMYFUNCTION("""COMPUTED_VALUE"""),1.148989898989899)</f>
        <v>1.148989899</v>
      </c>
      <c r="AB560" s="57">
        <f>IFERROR(__xludf.DUMMYFUNCTION("""COMPUTED_VALUE"""),2.5164141414141414)</f>
        <v>2.516414141</v>
      </c>
      <c r="AC560" s="31">
        <f>IFERROR(__xludf.DUMMYFUNCTION("""COMPUTED_VALUE"""),318.5622895622896)</f>
        <v>318.5622896</v>
      </c>
      <c r="AD560" s="57">
        <f>IFERROR(__xludf.DUMMYFUNCTION("""COMPUTED_VALUE"""),0.7041245791245792)</f>
        <v>0.7041245791</v>
      </c>
      <c r="AE560" s="57">
        <f>IFERROR(__xludf.DUMMYFUNCTION("""COMPUTED_VALUE"""),0.473063973063973)</f>
        <v>0.4730639731</v>
      </c>
      <c r="AF560" s="57">
        <f>IFERROR(__xludf.DUMMYFUNCTION("""COMPUTED_VALUE"""),1.1557239057239055)</f>
        <v>1.155723906</v>
      </c>
      <c r="AG560" s="57">
        <f>IFERROR(__xludf.DUMMYFUNCTION("""COMPUTED_VALUE"""),2.2411616161616164)</f>
        <v>2.241161616</v>
      </c>
      <c r="AH560" s="57">
        <f>IFERROR(__xludf.DUMMYFUNCTION("""COMPUTED_VALUE"""),0.4740046293849682)</f>
        <v>0.4740046294</v>
      </c>
      <c r="AI560" s="57">
        <f>IFERROR(__xludf.DUMMYFUNCTION("""COMPUTED_VALUE"""),0.0)</f>
        <v>0</v>
      </c>
      <c r="AJ560" s="57">
        <f>IFERROR(__xludf.DUMMYFUNCTION("""COMPUTED_VALUE"""),0.0)</f>
        <v>0</v>
      </c>
      <c r="AK560" s="57">
        <f>IFERROR(__xludf.DUMMYFUNCTION("""COMPUTED_VALUE"""),0.43262927895120185)</f>
        <v>0.432629279</v>
      </c>
      <c r="AL560" s="57">
        <f>IFERROR(__xludf.DUMMYFUNCTION("""COMPUTED_VALUE"""),0.4461971830985915)</f>
        <v>0.4461971831</v>
      </c>
      <c r="AM560" s="57">
        <f>IFERROR(__xludf.DUMMYFUNCTION("""COMPUTED_VALUE"""),0.9664163570732223)</f>
        <v>0.9664163571</v>
      </c>
      <c r="AN560" s="57">
        <f>IFERROR(__xludf.DUMMYFUNCTION("""COMPUTED_VALUE"""),0.8937034529451592)</f>
        <v>0.8937034529</v>
      </c>
      <c r="AO560" s="57">
        <f>IFERROR(__xludf.DUMMYFUNCTION("""COMPUTED_VALUE"""),1.0909090909090908)</f>
        <v>1.090909091</v>
      </c>
      <c r="AP560" s="35">
        <f>IFERROR(__xludf.DUMMYFUNCTION("""COMPUTED_VALUE"""),1.0153846153846153)</f>
        <v>1.015384615</v>
      </c>
      <c r="AQ560" s="57">
        <f>IFERROR(__xludf.DUMMYFUNCTION("""COMPUTED_VALUE"""),0.7947817360762669)</f>
        <v>0.7947817361</v>
      </c>
      <c r="AR560" s="36" t="b">
        <f>IFERROR(__xludf.DUMMYFUNCTION("""COMPUTED_VALUE"""),TRUE)</f>
        <v>1</v>
      </c>
      <c r="AS560" s="57"/>
      <c r="AT560" s="37"/>
      <c r="AU560" s="30"/>
      <c r="AV560" s="30"/>
      <c r="AW560" s="30"/>
      <c r="AX560" s="30"/>
      <c r="AY560" s="30"/>
      <c r="AZ560" s="30"/>
    </row>
    <row r="561">
      <c r="A561" s="30" t="str">
        <f>IFERROR(__xludf.DUMMYFUNCTION("""COMPUTED_VALUE"""),"Prospect")</f>
        <v>Prospect</v>
      </c>
      <c r="B561" s="30" t="str">
        <f>IFERROR(__xludf.DUMMYFUNCTION("""COMPUTED_VALUE"""),"RSC008002")</f>
        <v>RSC008002</v>
      </c>
      <c r="C561" s="30" t="str">
        <f>IFERROR(__xludf.DUMMYFUNCTION("""COMPUTED_VALUE"""),"majorpilots")</f>
        <v>majorpilots</v>
      </c>
      <c r="D561" s="31"/>
      <c r="E561" s="31">
        <f>IFERROR(__xludf.DUMMYFUNCTION("""COMPUTED_VALUE"""),-33.21344313391526)</f>
        <v>-33.21344313</v>
      </c>
      <c r="F561" s="31">
        <f>IFERROR(__xludf.DUMMYFUNCTION("""COMPUTED_VALUE"""),-2290.867289805262)</f>
        <v>-2290.86729</v>
      </c>
      <c r="G561" s="31">
        <f>IFERROR(__xludf.DUMMYFUNCTION("""COMPUTED_VALUE"""),-52.76179763430781)</f>
        <v>-52.76179763</v>
      </c>
      <c r="H561" s="31">
        <f>IFERROR(__xludf.DUMMYFUNCTION("""COMPUTED_VALUE"""),-50651.97670235819)</f>
        <v>-50651.9767</v>
      </c>
      <c r="I561" s="54">
        <f>IFERROR(__xludf.DUMMYFUNCTION("""COMPUTED_VALUE"""),4.0)</f>
        <v>4</v>
      </c>
      <c r="J561" s="55">
        <f>IFERROR(__xludf.DUMMYFUNCTION("""COMPUTED_VALUE"""),1.0)</f>
        <v>1</v>
      </c>
      <c r="K561" s="54">
        <f>IFERROR(__xludf.DUMMYFUNCTION("""COMPUTED_VALUE"""),3.0)</f>
        <v>3</v>
      </c>
      <c r="L561" s="56">
        <f>IFERROR(__xludf.DUMMYFUNCTION("""COMPUTED_VALUE"""),0.25)</f>
        <v>0.25</v>
      </c>
      <c r="M561" s="56">
        <f>IFERROR(__xludf.DUMMYFUNCTION("""COMPUTED_VALUE"""),0.0)</f>
        <v>0</v>
      </c>
      <c r="N561" s="31">
        <f>IFERROR(__xludf.DUMMYFUNCTION("""COMPUTED_VALUE"""),104.5)</f>
        <v>104.5</v>
      </c>
      <c r="O561" s="57">
        <f>IFERROR(__xludf.DUMMYFUNCTION("""COMPUTED_VALUE"""),0.0)</f>
        <v>0</v>
      </c>
      <c r="P561" s="57">
        <f>IFERROR(__xludf.DUMMYFUNCTION("""COMPUTED_VALUE"""),0.25)</f>
        <v>0.25</v>
      </c>
      <c r="Q561" s="57">
        <f>IFERROR(__xludf.DUMMYFUNCTION("""COMPUTED_VALUE"""),0.25)</f>
        <v>0.25</v>
      </c>
      <c r="R561" s="57">
        <f>IFERROR(__xludf.DUMMYFUNCTION("""COMPUTED_VALUE"""),0.5)</f>
        <v>0.5</v>
      </c>
      <c r="S561" s="31">
        <f>IFERROR(__xludf.DUMMYFUNCTION("""COMPUTED_VALUE"""),398.50000000000006)</f>
        <v>398.5</v>
      </c>
      <c r="T561" s="57">
        <f>IFERROR(__xludf.DUMMYFUNCTION("""COMPUTED_VALUE"""),1.0833333333333333)</f>
        <v>1.083333333</v>
      </c>
      <c r="U561" s="57">
        <f>IFERROR(__xludf.DUMMYFUNCTION("""COMPUTED_VALUE"""),0.8333333333333333)</f>
        <v>0.8333333333</v>
      </c>
      <c r="V561" s="57">
        <f>IFERROR(__xludf.DUMMYFUNCTION("""COMPUTED_VALUE"""),0.9166666666666665)</f>
        <v>0.9166666667</v>
      </c>
      <c r="W561" s="57">
        <f>IFERROR(__xludf.DUMMYFUNCTION("""COMPUTED_VALUE"""),4.25)</f>
        <v>4.25</v>
      </c>
      <c r="X561" s="31">
        <f>IFERROR(__xludf.DUMMYFUNCTION("""COMPUTED_VALUE"""),356.0935104065267)</f>
        <v>356.0935104</v>
      </c>
      <c r="Y561" s="57">
        <f>IFERROR(__xludf.DUMMYFUNCTION("""COMPUTED_VALUE"""),0.9606591572799333)</f>
        <v>0.9606591573</v>
      </c>
      <c r="Z561" s="57">
        <f>IFERROR(__xludf.DUMMYFUNCTION("""COMPUTED_VALUE"""),0.6428544940434803)</f>
        <v>0.642854494</v>
      </c>
      <c r="AA561" s="57">
        <f>IFERROR(__xludf.DUMMYFUNCTION("""COMPUTED_VALUE"""),0.9820887220136281)</f>
        <v>0.982088722</v>
      </c>
      <c r="AB561" s="57">
        <f>IFERROR(__xludf.DUMMYFUNCTION("""COMPUTED_VALUE"""),2.9174431001715107)</f>
        <v>2.9174431</v>
      </c>
      <c r="AC561" s="31">
        <f>IFERROR(__xludf.DUMMYFUNCTION("""COMPUTED_VALUE"""),361.7969916098827)</f>
        <v>361.7969916</v>
      </c>
      <c r="AD561" s="57">
        <f>IFERROR(__xludf.DUMMYFUNCTION("""COMPUTED_VALUE"""),0.914816359956118)</f>
        <v>0.91481636</v>
      </c>
      <c r="AE561" s="57">
        <f>IFERROR(__xludf.DUMMYFUNCTION("""COMPUTED_VALUE"""),0.5750845964863486)</f>
        <v>0.5750845965</v>
      </c>
      <c r="AF561" s="57">
        <f>IFERROR(__xludf.DUMMYFUNCTION("""COMPUTED_VALUE"""),1.3665044268298334)</f>
        <v>1.366504427</v>
      </c>
      <c r="AG561" s="57">
        <f>IFERROR(__xludf.DUMMYFUNCTION("""COMPUTED_VALUE"""),2.298152011001406)</f>
        <v>2.298152011</v>
      </c>
      <c r="AH561" s="57">
        <f>IFERROR(__xludf.DUMMYFUNCTION("""COMPUTED_VALUE"""),0.2888360114190223)</f>
        <v>0.2888360114</v>
      </c>
      <c r="AI561" s="57">
        <f>IFERROR(__xludf.DUMMYFUNCTION("""COMPUTED_VALUE"""),0.0)</f>
        <v>0</v>
      </c>
      <c r="AJ561" s="57">
        <f>IFERROR(__xludf.DUMMYFUNCTION("""COMPUTED_VALUE"""),0.4347186510079557)</f>
        <v>0.434718651</v>
      </c>
      <c r="AK561" s="57">
        <f>IFERROR(__xludf.DUMMYFUNCTION("""COMPUTED_VALUE"""),0.18294854747011494)</f>
        <v>0.1829485475</v>
      </c>
      <c r="AL561" s="57">
        <f>IFERROR(__xludf.DUMMYFUNCTION("""COMPUTED_VALUE"""),0.2175661129492161)</f>
        <v>0.2175661129</v>
      </c>
      <c r="AM561" s="57">
        <f>IFERROR(__xludf.DUMMYFUNCTION("""COMPUTED_VALUE"""),1.1190880719647511)</f>
        <v>1.119088072</v>
      </c>
      <c r="AN561" s="57">
        <f>IFERROR(__xludf.DUMMYFUNCTION("""COMPUTED_VALUE"""),1.127697919833239)</f>
        <v>1.12769792</v>
      </c>
      <c r="AO561" s="57">
        <f>IFERROR(__xludf.DUMMYFUNCTION("""COMPUTED_VALUE"""),1.2963016375475003)</f>
        <v>1.296301638</v>
      </c>
      <c r="AP561" s="35">
        <f>IFERROR(__xludf.DUMMYFUNCTION("""COMPUTED_VALUE"""),0.9333847809464472)</f>
        <v>0.9333847809</v>
      </c>
      <c r="AQ561" s="57">
        <f>IFERROR(__xludf.DUMMYFUNCTION("""COMPUTED_VALUE"""),1.4567550605357653)</f>
        <v>1.456755061</v>
      </c>
      <c r="AR561" s="36" t="b">
        <f>IFERROR(__xludf.DUMMYFUNCTION("""COMPUTED_VALUE"""),TRUE)</f>
        <v>1</v>
      </c>
      <c r="AS561" s="57"/>
      <c r="AT561" s="37"/>
      <c r="AU561" s="30"/>
      <c r="AV561" s="30"/>
      <c r="AW561" s="30"/>
      <c r="AX561" s="30"/>
      <c r="AY561" s="30"/>
      <c r="AZ561" s="30"/>
    </row>
    <row r="562">
      <c r="A562" s="30" t="str">
        <f>IFERROR(__xludf.DUMMYFUNCTION("""COMPUTED_VALUE"""),"Rival")</f>
        <v>Rival</v>
      </c>
      <c r="B562" s="30" t="str">
        <f>IFERROR(__xludf.DUMMYFUNCTION("""COMPUTED_VALUE"""),"RSC005702")</f>
        <v>RSC005702</v>
      </c>
      <c r="C562" s="30" t="str">
        <f>IFERROR(__xludf.DUMMYFUNCTION("""COMPUTED_VALUE"""),"Jaegie")</f>
        <v>Jaegie</v>
      </c>
      <c r="D562" s="31" t="str">
        <f>IFERROR(__xludf.DUMMYFUNCTION("""COMPUTED_VALUE"""),"Iris")</f>
        <v>Iris</v>
      </c>
      <c r="E562" s="31">
        <f>IFERROR(__xludf.DUMMYFUNCTION("""COMPUTED_VALUE"""),116.3103176248415)</f>
        <v>116.3103176</v>
      </c>
      <c r="F562" s="31">
        <f>IFERROR(__xludf.DUMMYFUNCTION("""COMPUTED_VALUE"""),250.25403758374244)</f>
        <v>250.2540376</v>
      </c>
      <c r="G562" s="31">
        <f>IFERROR(__xludf.DUMMYFUNCTION("""COMPUTED_VALUE"""),90.68490717330994)</f>
        <v>90.68490717</v>
      </c>
      <c r="H562" s="31">
        <f>IFERROR(__xludf.DUMMYFUNCTION("""COMPUTED_VALUE"""),19.295155750998774)</f>
        <v>19.29515575</v>
      </c>
      <c r="I562" s="54">
        <f>IFERROR(__xludf.DUMMYFUNCTION("""COMPUTED_VALUE"""),42.0)</f>
        <v>42</v>
      </c>
      <c r="J562" s="55">
        <f>IFERROR(__xludf.DUMMYFUNCTION("""COMPUTED_VALUE"""),37.0)</f>
        <v>37</v>
      </c>
      <c r="K562" s="54">
        <f>IFERROR(__xludf.DUMMYFUNCTION("""COMPUTED_VALUE"""),5.0)</f>
        <v>5</v>
      </c>
      <c r="L562" s="56">
        <f>IFERROR(__xludf.DUMMYFUNCTION("""COMPUTED_VALUE"""),0.8809523809523809)</f>
        <v>0.880952381</v>
      </c>
      <c r="M562" s="56">
        <f>IFERROR(__xludf.DUMMYFUNCTION("""COMPUTED_VALUE"""),0.39473684210526316)</f>
        <v>0.3947368421</v>
      </c>
      <c r="N562" s="31">
        <f>IFERROR(__xludf.DUMMYFUNCTION("""COMPUTED_VALUE"""),436.7857142857143)</f>
        <v>436.7857143</v>
      </c>
      <c r="O562" s="57">
        <f>IFERROR(__xludf.DUMMYFUNCTION("""COMPUTED_VALUE"""),1.4285714285714286)</f>
        <v>1.428571429</v>
      </c>
      <c r="P562" s="57">
        <f>IFERROR(__xludf.DUMMYFUNCTION("""COMPUTED_VALUE"""),0.8333333333333334)</f>
        <v>0.8333333333</v>
      </c>
      <c r="Q562" s="57">
        <f>IFERROR(__xludf.DUMMYFUNCTION("""COMPUTED_VALUE"""),1.0952380952380953)</f>
        <v>1.095238095</v>
      </c>
      <c r="R562" s="57">
        <f>IFERROR(__xludf.DUMMYFUNCTION("""COMPUTED_VALUE"""),3.619047619047619)</f>
        <v>3.619047619</v>
      </c>
      <c r="S562" s="31">
        <f>IFERROR(__xludf.DUMMYFUNCTION("""COMPUTED_VALUE"""),306.6349206349206)</f>
        <v>306.6349206</v>
      </c>
      <c r="T562" s="57">
        <f>IFERROR(__xludf.DUMMYFUNCTION("""COMPUTED_VALUE"""),0.4841269841269841)</f>
        <v>0.4841269841</v>
      </c>
      <c r="U562" s="57">
        <f>IFERROR(__xludf.DUMMYFUNCTION("""COMPUTED_VALUE"""),0.3412698412698413)</f>
        <v>0.3412698413</v>
      </c>
      <c r="V562" s="57">
        <f>IFERROR(__xludf.DUMMYFUNCTION("""COMPUTED_VALUE"""),1.5079365079365081)</f>
        <v>1.507936508</v>
      </c>
      <c r="W562" s="57">
        <f>IFERROR(__xludf.DUMMYFUNCTION("""COMPUTED_VALUE"""),1.9444444444444449)</f>
        <v>1.944444444</v>
      </c>
      <c r="X562" s="31">
        <f>IFERROR(__xludf.DUMMYFUNCTION("""COMPUTED_VALUE"""),336.670574841133)</f>
        <v>336.6705748</v>
      </c>
      <c r="Y562" s="57">
        <f>IFERROR(__xludf.DUMMYFUNCTION("""COMPUTED_VALUE"""),0.7427878918933953)</f>
        <v>0.7427878919</v>
      </c>
      <c r="Z562" s="57">
        <f>IFERROR(__xludf.DUMMYFUNCTION("""COMPUTED_VALUE"""),0.5209508430938785)</f>
        <v>0.5209508431</v>
      </c>
      <c r="AA562" s="57">
        <f>IFERROR(__xludf.DUMMYFUNCTION("""COMPUTED_VALUE"""),1.313103485294096)</f>
        <v>1.313103485</v>
      </c>
      <c r="AB562" s="57">
        <f>IFERROR(__xludf.DUMMYFUNCTION("""COMPUTED_VALUE"""),2.3988391232654243)</f>
        <v>2.398839123</v>
      </c>
      <c r="AC562" s="31">
        <f>IFERROR(__xludf.DUMMYFUNCTION("""COMPUTED_VALUE"""),353.7795742297994)</f>
        <v>353.7795742</v>
      </c>
      <c r="AD562" s="57">
        <f>IFERROR(__xludf.DUMMYFUNCTION("""COMPUTED_VALUE"""),0.8445595429240346)</f>
        <v>0.8445595429</v>
      </c>
      <c r="AE562" s="57">
        <f>IFERROR(__xludf.DUMMYFUNCTION("""COMPUTED_VALUE"""),0.6122087554392968)</f>
        <v>0.6122087554</v>
      </c>
      <c r="AF562" s="57">
        <f>IFERROR(__xludf.DUMMYFUNCTION("""COMPUTED_VALUE"""),1.25149251899412)</f>
        <v>1.251492519</v>
      </c>
      <c r="AG562" s="57">
        <f>IFERROR(__xludf.DUMMYFUNCTION("""COMPUTED_VALUE"""),2.62808893681642)</f>
        <v>2.628088937</v>
      </c>
      <c r="AH562" s="57">
        <f>IFERROR(__xludf.DUMMYFUNCTION("""COMPUTED_VALUE"""),1.2346267170359526)</f>
        <v>1.234626717</v>
      </c>
      <c r="AI562" s="57">
        <f>IFERROR(__xludf.DUMMYFUNCTION("""COMPUTED_VALUE"""),1.6914987706200415)</f>
        <v>1.691498771</v>
      </c>
      <c r="AJ562" s="57">
        <f>IFERROR(__xludf.DUMMYFUNCTION("""COMPUTED_VALUE"""),1.3611914660308417)</f>
        <v>1.361191466</v>
      </c>
      <c r="AK562" s="57">
        <f>IFERROR(__xludf.DUMMYFUNCTION("""COMPUTED_VALUE"""),0.8751455391186731)</f>
        <v>0.8751455391</v>
      </c>
      <c r="AL562" s="57">
        <f>IFERROR(__xludf.DUMMYFUNCTION("""COMPUTED_VALUE"""),1.3770643635186919)</f>
        <v>1.377064364</v>
      </c>
      <c r="AM562" s="57">
        <f>IFERROR(__xludf.DUMMYFUNCTION("""COMPUTED_VALUE"""),0.9107862211588122)</f>
        <v>0.9107862212</v>
      </c>
      <c r="AN562" s="57">
        <f>IFERROR(__xludf.DUMMYFUNCTION("""COMPUTED_VALUE"""),0.6517701613214582)</f>
        <v>0.6517701613</v>
      </c>
      <c r="AO562" s="57">
        <f>IFERROR(__xludf.DUMMYFUNCTION("""COMPUTED_VALUE"""),0.6550902945910817)</f>
        <v>0.6550902946</v>
      </c>
      <c r="AP562" s="35">
        <f>IFERROR(__xludf.DUMMYFUNCTION("""COMPUTED_VALUE"""),1.1483759846991612)</f>
        <v>1.148375985</v>
      </c>
      <c r="AQ562" s="57">
        <f>IFERROR(__xludf.DUMMYFUNCTION("""COMPUTED_VALUE"""),0.8105772603031279)</f>
        <v>0.8105772603</v>
      </c>
      <c r="AR562" s="36" t="b">
        <f>IFERROR(__xludf.DUMMYFUNCTION("""COMPUTED_VALUE"""),TRUE)</f>
        <v>1</v>
      </c>
      <c r="AS562" s="57"/>
      <c r="AT562" s="37"/>
      <c r="AU562" s="30"/>
      <c r="AV562" s="30"/>
      <c r="AW562" s="30"/>
      <c r="AX562" s="30"/>
      <c r="AY562" s="30"/>
      <c r="AZ562" s="30"/>
    </row>
    <row r="563">
      <c r="A563" s="30" t="str">
        <f>IFERROR(__xludf.DUMMYFUNCTION("""COMPUTED_VALUE"""),"Rival")</f>
        <v>Rival</v>
      </c>
      <c r="B563" s="30" t="str">
        <f>IFERROR(__xludf.DUMMYFUNCTION("""COMPUTED_VALUE"""),"RSC004640")</f>
        <v>RSC004640</v>
      </c>
      <c r="C563" s="30" t="str">
        <f>IFERROR(__xludf.DUMMYFUNCTION("""COMPUTED_VALUE"""),"tharealdub")</f>
        <v>tharealdub</v>
      </c>
      <c r="D563" s="31" t="str">
        <f>IFERROR(__xludf.DUMMYFUNCTION("""COMPUTED_VALUE"""),"Lacuna")</f>
        <v>Lacuna</v>
      </c>
      <c r="E563" s="31">
        <f>IFERROR(__xludf.DUMMYFUNCTION("""COMPUTED_VALUE"""),115.78495156829672)</f>
        <v>115.7849516</v>
      </c>
      <c r="F563" s="31">
        <f>IFERROR(__xludf.DUMMYFUNCTION("""COMPUTED_VALUE"""),235.19900725492317)</f>
        <v>235.1990073</v>
      </c>
      <c r="G563" s="31">
        <f>IFERROR(__xludf.DUMMYFUNCTION("""COMPUTED_VALUE"""),75.68600495398795)</f>
        <v>75.68600495</v>
      </c>
      <c r="H563" s="31">
        <f>IFERROR(__xludf.DUMMYFUNCTION("""COMPUTED_VALUE"""),6.574336007476811)</f>
        <v>6.574336007</v>
      </c>
      <c r="I563" s="54">
        <f>IFERROR(__xludf.DUMMYFUNCTION("""COMPUTED_VALUE"""),4.0)</f>
        <v>4</v>
      </c>
      <c r="J563" s="55">
        <f>IFERROR(__xludf.DUMMYFUNCTION("""COMPUTED_VALUE"""),2.0)</f>
        <v>2</v>
      </c>
      <c r="K563" s="54">
        <f>IFERROR(__xludf.DUMMYFUNCTION("""COMPUTED_VALUE"""),2.0)</f>
        <v>2</v>
      </c>
      <c r="L563" s="56">
        <f>IFERROR(__xludf.DUMMYFUNCTION("""COMPUTED_VALUE"""),0.5)</f>
        <v>0.5</v>
      </c>
      <c r="M563" s="56">
        <f>IFERROR(__xludf.DUMMYFUNCTION("""COMPUTED_VALUE"""),0.3125)</f>
        <v>0.3125</v>
      </c>
      <c r="N563" s="31">
        <f>IFERROR(__xludf.DUMMYFUNCTION("""COMPUTED_VALUE"""),485.0)</f>
        <v>485</v>
      </c>
      <c r="O563" s="57">
        <f>IFERROR(__xludf.DUMMYFUNCTION("""COMPUTED_VALUE"""),1.25)</f>
        <v>1.25</v>
      </c>
      <c r="P563" s="57">
        <f>IFERROR(__xludf.DUMMYFUNCTION("""COMPUTED_VALUE"""),1.5)</f>
        <v>1.5</v>
      </c>
      <c r="Q563" s="57">
        <f>IFERROR(__xludf.DUMMYFUNCTION("""COMPUTED_VALUE"""),1.75)</f>
        <v>1.75</v>
      </c>
      <c r="R563" s="57">
        <f>IFERROR(__xludf.DUMMYFUNCTION("""COMPUTED_VALUE"""),4.0)</f>
        <v>4</v>
      </c>
      <c r="S563" s="31">
        <f>IFERROR(__xludf.DUMMYFUNCTION("""COMPUTED_VALUE"""),421.25)</f>
        <v>421.25</v>
      </c>
      <c r="T563" s="57">
        <f>IFERROR(__xludf.DUMMYFUNCTION("""COMPUTED_VALUE"""),1.0833333333333333)</f>
        <v>1.083333333</v>
      </c>
      <c r="U563" s="57">
        <f>IFERROR(__xludf.DUMMYFUNCTION("""COMPUTED_VALUE"""),0.8333333333333333)</f>
        <v>0.8333333333</v>
      </c>
      <c r="V563" s="57">
        <f>IFERROR(__xludf.DUMMYFUNCTION("""COMPUTED_VALUE"""),1.4166666666666665)</f>
        <v>1.416666667</v>
      </c>
      <c r="W563" s="57">
        <f>IFERROR(__xludf.DUMMYFUNCTION("""COMPUTED_VALUE"""),3.5)</f>
        <v>3.5</v>
      </c>
      <c r="X563" s="31">
        <f>IFERROR(__xludf.DUMMYFUNCTION("""COMPUTED_VALUE"""),356.3063830338856)</f>
        <v>356.306383</v>
      </c>
      <c r="Y563" s="57">
        <f>IFERROR(__xludf.DUMMYFUNCTION("""COMPUTED_VALUE"""),0.7575380467190377)</f>
        <v>0.7575380467</v>
      </c>
      <c r="Z563" s="57">
        <f>IFERROR(__xludf.DUMMYFUNCTION("""COMPUTED_VALUE"""),0.6031863316999818)</f>
        <v>0.6031863317</v>
      </c>
      <c r="AA563" s="57">
        <f>IFERROR(__xludf.DUMMYFUNCTION("""COMPUTED_VALUE"""),1.3426926965855177)</f>
        <v>1.342692697</v>
      </c>
      <c r="AB563" s="57">
        <f>IFERROR(__xludf.DUMMYFUNCTION("""COMPUTED_VALUE"""),2.750550932047393)</f>
        <v>2.750550932</v>
      </c>
      <c r="AC563" s="31">
        <f>IFERROR(__xludf.DUMMYFUNCTION("""COMPUTED_VALUE"""),378.6999732095789)</f>
        <v>378.6999732</v>
      </c>
      <c r="AD563" s="57">
        <f>IFERROR(__xludf.DUMMYFUNCTION("""COMPUTED_VALUE"""),0.9109737021769376)</f>
        <v>0.9109737022</v>
      </c>
      <c r="AE563" s="57">
        <f>IFERROR(__xludf.DUMMYFUNCTION("""COMPUTED_VALUE"""),0.6481078184819338)</f>
        <v>0.6481078185</v>
      </c>
      <c r="AF563" s="57">
        <f>IFERROR(__xludf.DUMMYFUNCTION("""COMPUTED_VALUE"""),1.39270004234615)</f>
        <v>1.392700042</v>
      </c>
      <c r="AG563" s="57">
        <f>IFERROR(__xludf.DUMMYFUNCTION("""COMPUTED_VALUE"""),2.793415605852411)</f>
        <v>2.793415606</v>
      </c>
      <c r="AH563" s="57">
        <f>IFERROR(__xludf.DUMMYFUNCTION("""COMPUTED_VALUE"""),1.2806972123327638)</f>
        <v>1.280697212</v>
      </c>
      <c r="AI563" s="57">
        <f>IFERROR(__xludf.DUMMYFUNCTION("""COMPUTED_VALUE"""),1.372158161111454)</f>
        <v>1.372158161</v>
      </c>
      <c r="AJ563" s="57">
        <f>IFERROR(__xludf.DUMMYFUNCTION("""COMPUTED_VALUE"""),2.3144297248464887)</f>
        <v>2.314429725</v>
      </c>
      <c r="AK563" s="57">
        <f>IFERROR(__xludf.DUMMYFUNCTION("""COMPUTED_VALUE"""),1.2565519830472185)</f>
        <v>1.256551983</v>
      </c>
      <c r="AL563" s="57">
        <f>IFERROR(__xludf.DUMMYFUNCTION("""COMPUTED_VALUE"""),1.4319387317876031)</f>
        <v>1.431938732</v>
      </c>
      <c r="AM563" s="57">
        <f>IFERROR(__xludf.DUMMYFUNCTION("""COMPUTED_VALUE"""),1.1822690248014391)</f>
        <v>1.182269025</v>
      </c>
      <c r="AN563" s="57">
        <f>IFERROR(__xludf.DUMMYFUNCTION("""COMPUTED_VALUE"""),1.4300711865566924)</f>
        <v>1.430071187</v>
      </c>
      <c r="AO563" s="57">
        <f>IFERROR(__xludf.DUMMYFUNCTION("""COMPUTED_VALUE"""),1.3815520835571984)</f>
        <v>1.381552084</v>
      </c>
      <c r="AP563" s="35">
        <f>IFERROR(__xludf.DUMMYFUNCTION("""COMPUTED_VALUE"""),1.0550937457761298)</f>
        <v>1.055093746</v>
      </c>
      <c r="AQ563" s="57">
        <f>IFERROR(__xludf.DUMMYFUNCTION("""COMPUTED_VALUE"""),1.2724723469835002)</f>
        <v>1.272472347</v>
      </c>
      <c r="AR563" s="36" t="b">
        <f>IFERROR(__xludf.DUMMYFUNCTION("""COMPUTED_VALUE"""),TRUE)</f>
        <v>1</v>
      </c>
      <c r="AS563" s="57"/>
      <c r="AT563" s="37"/>
      <c r="AU563" s="30"/>
      <c r="AV563" s="30"/>
      <c r="AW563" s="30"/>
      <c r="AX563" s="30"/>
      <c r="AY563" s="30"/>
      <c r="AZ563" s="30"/>
    </row>
    <row r="564">
      <c r="A564" s="30" t="str">
        <f>IFERROR(__xludf.DUMMYFUNCTION("""COMPUTED_VALUE"""),"Rival")</f>
        <v>Rival</v>
      </c>
      <c r="B564" s="30" t="str">
        <f>IFERROR(__xludf.DUMMYFUNCTION("""COMPUTED_VALUE"""),"RSC007482")</f>
        <v>RSC007482</v>
      </c>
      <c r="C564" s="30" t="str">
        <f>IFERROR(__xludf.DUMMYFUNCTION("""COMPUTED_VALUE"""),"MyTyranosaur")</f>
        <v>MyTyranosaur</v>
      </c>
      <c r="D564" s="31" t="str">
        <f>IFERROR(__xludf.DUMMYFUNCTION("""COMPUTED_VALUE"""),"50 Cent")</f>
        <v>50 Cent</v>
      </c>
      <c r="E564" s="31">
        <f>IFERROR(__xludf.DUMMYFUNCTION("""COMPUTED_VALUE"""),115.71015660881409)</f>
        <v>115.7101566</v>
      </c>
      <c r="F564" s="31">
        <f>IFERROR(__xludf.DUMMYFUNCTION("""COMPUTED_VALUE"""),233.13828988058674)</f>
        <v>233.1382899</v>
      </c>
      <c r="G564" s="31">
        <f>IFERROR(__xludf.DUMMYFUNCTION("""COMPUTED_VALUE"""),99.44231536122957)</f>
        <v>99.44231536</v>
      </c>
      <c r="H564" s="31">
        <f>IFERROR(__xludf.DUMMYFUNCTION("""COMPUTED_VALUE"""),41.69846700034803)</f>
        <v>41.698467</v>
      </c>
      <c r="I564" s="54">
        <f>IFERROR(__xludf.DUMMYFUNCTION("""COMPUTED_VALUE"""),42.0)</f>
        <v>42</v>
      </c>
      <c r="J564" s="55">
        <f>IFERROR(__xludf.DUMMYFUNCTION("""COMPUTED_VALUE"""),22.0)</f>
        <v>22</v>
      </c>
      <c r="K564" s="54">
        <f>IFERROR(__xludf.DUMMYFUNCTION("""COMPUTED_VALUE"""),20.0)</f>
        <v>20</v>
      </c>
      <c r="L564" s="56">
        <f>IFERROR(__xludf.DUMMYFUNCTION("""COMPUTED_VALUE"""),0.5238095238095238)</f>
        <v>0.5238095238</v>
      </c>
      <c r="M564" s="56">
        <f>IFERROR(__xludf.DUMMYFUNCTION("""COMPUTED_VALUE"""),0.3625730994152047)</f>
        <v>0.3625730994</v>
      </c>
      <c r="N564" s="31">
        <f>IFERROR(__xludf.DUMMYFUNCTION("""COMPUTED_VALUE"""),498.0952380952381)</f>
        <v>498.0952381</v>
      </c>
      <c r="O564" s="57">
        <f>IFERROR(__xludf.DUMMYFUNCTION("""COMPUTED_VALUE"""),1.4761904761904763)</f>
        <v>1.476190476</v>
      </c>
      <c r="P564" s="57">
        <f>IFERROR(__xludf.DUMMYFUNCTION("""COMPUTED_VALUE"""),0.7619047619047619)</f>
        <v>0.7619047619</v>
      </c>
      <c r="Q564" s="57">
        <f>IFERROR(__xludf.DUMMYFUNCTION("""COMPUTED_VALUE"""),1.7142857142857142)</f>
        <v>1.714285714</v>
      </c>
      <c r="R564" s="57">
        <f>IFERROR(__xludf.DUMMYFUNCTION("""COMPUTED_VALUE"""),4.071428571428571)</f>
        <v>4.071428571</v>
      </c>
      <c r="S564" s="31">
        <f>IFERROR(__xludf.DUMMYFUNCTION("""COMPUTED_VALUE"""),360.5079365079365)</f>
        <v>360.5079365</v>
      </c>
      <c r="T564" s="57">
        <f>IFERROR(__xludf.DUMMYFUNCTION("""COMPUTED_VALUE"""),0.8333333333333334)</f>
        <v>0.8333333333</v>
      </c>
      <c r="U564" s="57">
        <f>IFERROR(__xludf.DUMMYFUNCTION("""COMPUTED_VALUE"""),0.595238095238095)</f>
        <v>0.5952380952</v>
      </c>
      <c r="V564" s="57">
        <f>IFERROR(__xludf.DUMMYFUNCTION("""COMPUTED_VALUE"""),1.4285714285714284)</f>
        <v>1.428571429</v>
      </c>
      <c r="W564" s="57">
        <f>IFERROR(__xludf.DUMMYFUNCTION("""COMPUTED_VALUE"""),2.5317460317460316)</f>
        <v>2.531746032</v>
      </c>
      <c r="X564" s="31">
        <f>IFERROR(__xludf.DUMMYFUNCTION("""COMPUTED_VALUE"""),349.77008918626973)</f>
        <v>349.7700892</v>
      </c>
      <c r="Y564" s="57">
        <f>IFERROR(__xludf.DUMMYFUNCTION("""COMPUTED_VALUE"""),0.7936079725222647)</f>
        <v>0.7936079725</v>
      </c>
      <c r="Z564" s="57">
        <f>IFERROR(__xludf.DUMMYFUNCTION("""COMPUTED_VALUE"""),0.552937783140959)</f>
        <v>0.5529377831</v>
      </c>
      <c r="AA564" s="57">
        <f>IFERROR(__xludf.DUMMYFUNCTION("""COMPUTED_VALUE"""),1.3644338871436514)</f>
        <v>1.364433887</v>
      </c>
      <c r="AB564" s="57">
        <f>IFERROR(__xludf.DUMMYFUNCTION("""COMPUTED_VALUE"""),2.6237905796253242)</f>
        <v>2.62379058</v>
      </c>
      <c r="AC564" s="31">
        <f>IFERROR(__xludf.DUMMYFUNCTION("""COMPUTED_VALUE"""),355.26648650718994)</f>
        <v>355.2664865</v>
      </c>
      <c r="AD564" s="57">
        <f>IFERROR(__xludf.DUMMYFUNCTION("""COMPUTED_VALUE"""),0.8281539831944512)</f>
        <v>0.8281539832</v>
      </c>
      <c r="AE564" s="57">
        <f>IFERROR(__xludf.DUMMYFUNCTION("""COMPUTED_VALUE"""),0.596008842232299)</f>
        <v>0.5960088422</v>
      </c>
      <c r="AF564" s="57">
        <f>IFERROR(__xludf.DUMMYFUNCTION("""COMPUTED_VALUE"""),1.323916927609415)</f>
        <v>1.323916928</v>
      </c>
      <c r="AG564" s="57">
        <f>IFERROR(__xludf.DUMMYFUNCTION("""COMPUTED_VALUE"""),2.6752183077765155)</f>
        <v>2.675218308</v>
      </c>
      <c r="AH564" s="57">
        <f>IFERROR(__xludf.DUMMYFUNCTION("""COMPUTED_VALUE"""),1.4020327191350697)</f>
        <v>1.402032719</v>
      </c>
      <c r="AI564" s="57">
        <f>IFERROR(__xludf.DUMMYFUNCTION("""COMPUTED_VALUE"""),1.7825072464136968)</f>
        <v>1.782507246</v>
      </c>
      <c r="AJ564" s="57">
        <f>IFERROR(__xludf.DUMMYFUNCTION("""COMPUTED_VALUE"""),1.2783447289995131)</f>
        <v>1.278344729</v>
      </c>
      <c r="AK564" s="57">
        <f>IFERROR(__xludf.DUMMYFUNCTION("""COMPUTED_VALUE"""),1.2948589738037302)</f>
        <v>1.294858974</v>
      </c>
      <c r="AL564" s="57">
        <f>IFERROR(__xludf.DUMMYFUNCTION("""COMPUTED_VALUE"""),1.5219051692317789)</f>
        <v>1.521905169</v>
      </c>
      <c r="AM564" s="57">
        <f>IFERROR(__xludf.DUMMYFUNCTION("""COMPUTED_VALUE"""),1.0306997300616758)</f>
        <v>1.03069973</v>
      </c>
      <c r="AN564" s="57">
        <f>IFERROR(__xludf.DUMMYFUNCTION("""COMPUTED_VALUE"""),1.0500566554098651)</f>
        <v>1.050056655</v>
      </c>
      <c r="AO564" s="57">
        <f>IFERROR(__xludf.DUMMYFUNCTION("""COMPUTED_VALUE"""),1.0765010339080998)</f>
        <v>1.076501034</v>
      </c>
      <c r="AP564" s="35">
        <f>IFERROR(__xludf.DUMMYFUNCTION("""COMPUTED_VALUE"""),1.0470067051486418)</f>
        <v>1.047006705</v>
      </c>
      <c r="AQ564" s="57">
        <f>IFERROR(__xludf.DUMMYFUNCTION("""COMPUTED_VALUE"""),0.9649192475214861)</f>
        <v>0.9649192475</v>
      </c>
      <c r="AR564" s="36" t="b">
        <f>IFERROR(__xludf.DUMMYFUNCTION("""COMPUTED_VALUE"""),TRUE)</f>
        <v>1</v>
      </c>
      <c r="AS564" s="57"/>
      <c r="AT564" s="37"/>
      <c r="AU564" s="30"/>
      <c r="AV564" s="30"/>
      <c r="AW564" s="30"/>
      <c r="AX564" s="30"/>
      <c r="AY564" s="30"/>
      <c r="AZ564" s="30"/>
    </row>
    <row r="565">
      <c r="A565" s="30" t="str">
        <f>IFERROR(__xludf.DUMMYFUNCTION("""COMPUTED_VALUE"""),"Rival")</f>
        <v>Rival</v>
      </c>
      <c r="B565" s="30" t="str">
        <f>IFERROR(__xludf.DUMMYFUNCTION("""COMPUTED_VALUE"""),"RSC006448")</f>
        <v>RSC006448</v>
      </c>
      <c r="C565" s="30" t="str">
        <f>IFERROR(__xludf.DUMMYFUNCTION("""COMPUTED_VALUE"""),"Burger.101")</f>
        <v>Burger.101</v>
      </c>
      <c r="D565" s="31" t="str">
        <f>IFERROR(__xludf.DUMMYFUNCTION("""COMPUTED_VALUE"""),"Iris")</f>
        <v>Iris</v>
      </c>
      <c r="E565" s="31">
        <f>IFERROR(__xludf.DUMMYFUNCTION("""COMPUTED_VALUE"""),100.17078822355852)</f>
        <v>100.1707882</v>
      </c>
      <c r="F565" s="31">
        <f>IFERROR(__xludf.DUMMYFUNCTION("""COMPUTED_VALUE"""),44.67516237556127)</f>
        <v>44.67516238</v>
      </c>
      <c r="G565" s="31">
        <f>IFERROR(__xludf.DUMMYFUNCTION("""COMPUTED_VALUE"""),86.21152564766655)</f>
        <v>86.21152565</v>
      </c>
      <c r="H565" s="31">
        <f>IFERROR(__xludf.DUMMYFUNCTION("""COMPUTED_VALUE"""),13.560410700154144)</f>
        <v>13.5604107</v>
      </c>
      <c r="I565" s="54">
        <f>IFERROR(__xludf.DUMMYFUNCTION("""COMPUTED_VALUE"""),40.0)</f>
        <v>40</v>
      </c>
      <c r="J565" s="55">
        <f>IFERROR(__xludf.DUMMYFUNCTION("""COMPUTED_VALUE"""),34.0)</f>
        <v>34</v>
      </c>
      <c r="K565" s="54">
        <f>IFERROR(__xludf.DUMMYFUNCTION("""COMPUTED_VALUE"""),6.0)</f>
        <v>6</v>
      </c>
      <c r="L565" s="56">
        <f>IFERROR(__xludf.DUMMYFUNCTION("""COMPUTED_VALUE"""),0.85)</f>
        <v>0.85</v>
      </c>
      <c r="M565" s="56">
        <f>IFERROR(__xludf.DUMMYFUNCTION("""COMPUTED_VALUE"""),0.34285714285714286)</f>
        <v>0.3428571429</v>
      </c>
      <c r="N565" s="31">
        <f>IFERROR(__xludf.DUMMYFUNCTION("""COMPUTED_VALUE"""),404.65)</f>
        <v>404.65</v>
      </c>
      <c r="O565" s="57">
        <f>IFERROR(__xludf.DUMMYFUNCTION("""COMPUTED_VALUE"""),1.2)</f>
        <v>1.2</v>
      </c>
      <c r="P565" s="57">
        <f>IFERROR(__xludf.DUMMYFUNCTION("""COMPUTED_VALUE"""),0.775)</f>
        <v>0.775</v>
      </c>
      <c r="Q565" s="57">
        <f>IFERROR(__xludf.DUMMYFUNCTION("""COMPUTED_VALUE"""),0.9)</f>
        <v>0.9</v>
      </c>
      <c r="R565" s="57">
        <f>IFERROR(__xludf.DUMMYFUNCTION("""COMPUTED_VALUE"""),3.5)</f>
        <v>3.5</v>
      </c>
      <c r="S565" s="31">
        <f>IFERROR(__xludf.DUMMYFUNCTION("""COMPUTED_VALUE"""),305.48333333333323)</f>
        <v>305.4833333</v>
      </c>
      <c r="T565" s="57">
        <f>IFERROR(__xludf.DUMMYFUNCTION("""COMPUTED_VALUE"""),0.4749999999999999)</f>
        <v>0.475</v>
      </c>
      <c r="U565" s="57">
        <f>IFERROR(__xludf.DUMMYFUNCTION("""COMPUTED_VALUE"""),0.2916666666666667)</f>
        <v>0.2916666667</v>
      </c>
      <c r="V565" s="57">
        <f>IFERROR(__xludf.DUMMYFUNCTION("""COMPUTED_VALUE"""),1.5)</f>
        <v>1.5</v>
      </c>
      <c r="W565" s="57">
        <f>IFERROR(__xludf.DUMMYFUNCTION("""COMPUTED_VALUE"""),1.816666666666666)</f>
        <v>1.816666667</v>
      </c>
      <c r="X565" s="31">
        <f>IFERROR(__xludf.DUMMYFUNCTION("""COMPUTED_VALUE"""),328.7702700981817)</f>
        <v>328.7702701</v>
      </c>
      <c r="Y565" s="57">
        <f>IFERROR(__xludf.DUMMYFUNCTION("""COMPUTED_VALUE"""),0.7029162339428726)</f>
        <v>0.7029162339</v>
      </c>
      <c r="Z565" s="57">
        <f>IFERROR(__xludf.DUMMYFUNCTION("""COMPUTED_VALUE"""),0.4924144850209994)</f>
        <v>0.492414485</v>
      </c>
      <c r="AA565" s="57">
        <f>IFERROR(__xludf.DUMMYFUNCTION("""COMPUTED_VALUE"""),1.3005162606903764)</f>
        <v>1.300516261</v>
      </c>
      <c r="AB565" s="57">
        <f>IFERROR(__xludf.DUMMYFUNCTION("""COMPUTED_VALUE"""),2.2716394836934124)</f>
        <v>2.271639484</v>
      </c>
      <c r="AC565" s="31">
        <f>IFERROR(__xludf.DUMMYFUNCTION("""COMPUTED_VALUE"""),354.8358198590248)</f>
        <v>354.8358199</v>
      </c>
      <c r="AD565" s="57">
        <f>IFERROR(__xludf.DUMMYFUNCTION("""COMPUTED_VALUE"""),0.8564813097129026)</f>
        <v>0.8564813097</v>
      </c>
      <c r="AE565" s="57">
        <f>IFERROR(__xludf.DUMMYFUNCTION("""COMPUTED_VALUE"""),0.624117932951437)</f>
        <v>0.624117933</v>
      </c>
      <c r="AF565" s="57">
        <f>IFERROR(__xludf.DUMMYFUNCTION("""COMPUTED_VALUE"""),1.2003649246397907)</f>
        <v>1.200364925</v>
      </c>
      <c r="AG565" s="57">
        <f>IFERROR(__xludf.DUMMYFUNCTION("""COMPUTED_VALUE"""),2.6342715561424974)</f>
        <v>2.634271556</v>
      </c>
      <c r="AH565" s="57">
        <f>IFERROR(__xludf.DUMMYFUNCTION("""COMPUTED_VALUE"""),1.1403865600738003)</f>
        <v>1.14038656</v>
      </c>
      <c r="AI565" s="57">
        <f>IFERROR(__xludf.DUMMYFUNCTION("""COMPUTED_VALUE"""),1.4010813620699403)</f>
        <v>1.401081362</v>
      </c>
      <c r="AJ565" s="57">
        <f>IFERROR(__xludf.DUMMYFUNCTION("""COMPUTED_VALUE"""),1.2417524943323544)</f>
        <v>1.241752494</v>
      </c>
      <c r="AK565" s="57">
        <f>IFERROR(__xludf.DUMMYFUNCTION("""COMPUTED_VALUE"""),0.749771991438416)</f>
        <v>0.7497719914</v>
      </c>
      <c r="AL565" s="57">
        <f>IFERROR(__xludf.DUMMYFUNCTION("""COMPUTED_VALUE"""),1.3286405465066153)</f>
        <v>1.328640547</v>
      </c>
      <c r="AM565" s="57">
        <f>IFERROR(__xludf.DUMMYFUNCTION("""COMPUTED_VALUE"""),0.9291695786304089)</f>
        <v>0.9291695786</v>
      </c>
      <c r="AN565" s="57">
        <f>IFERROR(__xludf.DUMMYFUNCTION("""COMPUTED_VALUE"""),0.6757561954937067)</f>
        <v>0.6757561955</v>
      </c>
      <c r="AO565" s="57">
        <f>IFERROR(__xludf.DUMMYFUNCTION("""COMPUTED_VALUE"""),0.5923194291374844)</f>
        <v>0.5923194291</v>
      </c>
      <c r="AP565" s="35">
        <f>IFERROR(__xludf.DUMMYFUNCTION("""COMPUTED_VALUE"""),1.1533881161960466)</f>
        <v>1.153388116</v>
      </c>
      <c r="AQ565" s="57">
        <f>IFERROR(__xludf.DUMMYFUNCTION("""COMPUTED_VALUE"""),0.7997160991906095)</f>
        <v>0.7997160992</v>
      </c>
      <c r="AR565" s="36" t="b">
        <f>IFERROR(__xludf.DUMMYFUNCTION("""COMPUTED_VALUE"""),TRUE)</f>
        <v>1</v>
      </c>
      <c r="AS565" s="57"/>
      <c r="AT565" s="37"/>
      <c r="AU565" s="30"/>
      <c r="AV565" s="30"/>
      <c r="AW565" s="30"/>
      <c r="AX565" s="30"/>
      <c r="AY565" s="30"/>
      <c r="AZ565" s="30"/>
    </row>
    <row r="566">
      <c r="A566" s="30" t="str">
        <f>IFERROR(__xludf.DUMMYFUNCTION("""COMPUTED_VALUE"""),"Rival")</f>
        <v>Rival</v>
      </c>
      <c r="B566" s="30" t="str">
        <f>IFERROR(__xludf.DUMMYFUNCTION("""COMPUTED_VALUE"""),"RSC002480")</f>
        <v>RSC002480</v>
      </c>
      <c r="C566" s="30" t="str">
        <f>IFERROR(__xludf.DUMMYFUNCTION("""COMPUTED_VALUE"""),"blizzyy")</f>
        <v>blizzyy</v>
      </c>
      <c r="D566" s="31" t="str">
        <f>IFERROR(__xludf.DUMMYFUNCTION("""COMPUTED_VALUE"""),"Iris")</f>
        <v>Iris</v>
      </c>
      <c r="E566" s="31">
        <f>IFERROR(__xludf.DUMMYFUNCTION("""COMPUTED_VALUE"""),95.68268675944354)</f>
        <v>95.68268676</v>
      </c>
      <c r="F566" s="31">
        <f>IFERROR(__xludf.DUMMYFUNCTION("""COMPUTED_VALUE"""),29.562379526986177)</f>
        <v>29.56237953</v>
      </c>
      <c r="G566" s="31">
        <f>IFERROR(__xludf.DUMMYFUNCTION("""COMPUTED_VALUE"""),82.58553740075745)</f>
        <v>82.5855374</v>
      </c>
      <c r="H566" s="31">
        <f>IFERROR(__xludf.DUMMYFUNCTION("""COMPUTED_VALUE"""),10.39334110403102)</f>
        <v>10.3933411</v>
      </c>
      <c r="I566" s="54">
        <f>IFERROR(__xludf.DUMMYFUNCTION("""COMPUTED_VALUE"""),48.0)</f>
        <v>48</v>
      </c>
      <c r="J566" s="55">
        <f>IFERROR(__xludf.DUMMYFUNCTION("""COMPUTED_VALUE"""),42.0)</f>
        <v>42</v>
      </c>
      <c r="K566" s="54">
        <f>IFERROR(__xludf.DUMMYFUNCTION("""COMPUTED_VALUE"""),6.0)</f>
        <v>6</v>
      </c>
      <c r="L566" s="56">
        <f>IFERROR(__xludf.DUMMYFUNCTION("""COMPUTED_VALUE"""),0.875)</f>
        <v>0.875</v>
      </c>
      <c r="M566" s="56">
        <f>IFERROR(__xludf.DUMMYFUNCTION("""COMPUTED_VALUE"""),0.3308270676691729)</f>
        <v>0.3308270677</v>
      </c>
      <c r="N566" s="31">
        <f>IFERROR(__xludf.DUMMYFUNCTION("""COMPUTED_VALUE"""),397.8125)</f>
        <v>397.8125</v>
      </c>
      <c r="O566" s="57">
        <f>IFERROR(__xludf.DUMMYFUNCTION("""COMPUTED_VALUE"""),0.9166666666666666)</f>
        <v>0.9166666667</v>
      </c>
      <c r="P566" s="57">
        <f>IFERROR(__xludf.DUMMYFUNCTION("""COMPUTED_VALUE"""),1.1458333333333333)</f>
        <v>1.145833333</v>
      </c>
      <c r="Q566" s="57">
        <f>IFERROR(__xludf.DUMMYFUNCTION("""COMPUTED_VALUE"""),1.2083333333333333)</f>
        <v>1.208333333</v>
      </c>
      <c r="R566" s="57">
        <f>IFERROR(__xludf.DUMMYFUNCTION("""COMPUTED_VALUE"""),2.7708333333333335)</f>
        <v>2.770833333</v>
      </c>
      <c r="S566" s="31">
        <f>IFERROR(__xludf.DUMMYFUNCTION("""COMPUTED_VALUE"""),301.5208333333332)</f>
        <v>301.5208333</v>
      </c>
      <c r="T566" s="57">
        <f>IFERROR(__xludf.DUMMYFUNCTION("""COMPUTED_VALUE"""),0.46527777777777773)</f>
        <v>0.4652777778</v>
      </c>
      <c r="U566" s="57">
        <f>IFERROR(__xludf.DUMMYFUNCTION("""COMPUTED_VALUE"""),0.31250000000000006)</f>
        <v>0.3125</v>
      </c>
      <c r="V566" s="57">
        <f>IFERROR(__xludf.DUMMYFUNCTION("""COMPUTED_VALUE"""),1.458333333333334)</f>
        <v>1.458333333</v>
      </c>
      <c r="W566" s="57">
        <f>IFERROR(__xludf.DUMMYFUNCTION("""COMPUTED_VALUE"""),1.9027777777777783)</f>
        <v>1.902777778</v>
      </c>
      <c r="X566" s="31">
        <f>IFERROR(__xludf.DUMMYFUNCTION("""COMPUTED_VALUE"""),333.59065032873417)</f>
        <v>333.5906503</v>
      </c>
      <c r="Y566" s="57">
        <f>IFERROR(__xludf.DUMMYFUNCTION("""COMPUTED_VALUE"""),0.724502841351021)</f>
        <v>0.7245028414</v>
      </c>
      <c r="Z566" s="57">
        <f>IFERROR(__xludf.DUMMYFUNCTION("""COMPUTED_VALUE"""),0.5057712479641482)</f>
        <v>0.505771248</v>
      </c>
      <c r="AA566" s="57">
        <f>IFERROR(__xludf.DUMMYFUNCTION("""COMPUTED_VALUE"""),1.3145191417746462)</f>
        <v>1.314519142</v>
      </c>
      <c r="AB566" s="57">
        <f>IFERROR(__xludf.DUMMYFUNCTION("""COMPUTED_VALUE"""),2.356772266327012)</f>
        <v>2.356772266</v>
      </c>
      <c r="AC566" s="31">
        <f>IFERROR(__xludf.DUMMYFUNCTION("""COMPUTED_VALUE"""),353.1139091973402)</f>
        <v>353.1139092</v>
      </c>
      <c r="AD566" s="57">
        <f>IFERROR(__xludf.DUMMYFUNCTION("""COMPUTED_VALUE"""),0.8411773463403206)</f>
        <v>0.8411773463</v>
      </c>
      <c r="AE566" s="57">
        <f>IFERROR(__xludf.DUMMYFUNCTION("""COMPUTED_VALUE"""),0.6084476549533452)</f>
        <v>0.608447655</v>
      </c>
      <c r="AF566" s="57">
        <f>IFERROR(__xludf.DUMMYFUNCTION("""COMPUTED_VALUE"""),1.2375198541066388)</f>
        <v>1.237519854</v>
      </c>
      <c r="AG566" s="57">
        <f>IFERROR(__xludf.DUMMYFUNCTION("""COMPUTED_VALUE"""),2.626561978596092)</f>
        <v>2.626561979</v>
      </c>
      <c r="AH566" s="57">
        <f>IFERROR(__xludf.DUMMYFUNCTION("""COMPUTED_VALUE"""),1.1265840558483344)</f>
        <v>1.126584056</v>
      </c>
      <c r="AI566" s="57">
        <f>IFERROR(__xludf.DUMMYFUNCTION("""COMPUTED_VALUE"""),1.089742455208494)</f>
        <v>1.089742455</v>
      </c>
      <c r="AJ566" s="57">
        <f>IFERROR(__xludf.DUMMYFUNCTION("""COMPUTED_VALUE"""),1.8832077402306595)</f>
        <v>1.88320774</v>
      </c>
      <c r="AK566" s="57">
        <f>IFERROR(__xludf.DUMMYFUNCTION("""COMPUTED_VALUE"""),0.9764153110946449)</f>
        <v>0.9764153111</v>
      </c>
      <c r="AL566" s="57">
        <f>IFERROR(__xludf.DUMMYFUNCTION("""COMPUTED_VALUE"""),1.054927831862683)</f>
        <v>1.054927832</v>
      </c>
      <c r="AM566" s="57">
        <f>IFERROR(__xludf.DUMMYFUNCTION("""COMPUTED_VALUE"""),0.9038647607065785)</f>
        <v>0.9038647607</v>
      </c>
      <c r="AN566" s="57">
        <f>IFERROR(__xludf.DUMMYFUNCTION("""COMPUTED_VALUE"""),0.6422028337530715)</f>
        <v>0.6422028338</v>
      </c>
      <c r="AO566" s="57">
        <f>IFERROR(__xludf.DUMMYFUNCTION("""COMPUTED_VALUE"""),0.6178682581461249)</f>
        <v>0.6178682581</v>
      </c>
      <c r="AP566" s="35">
        <f>IFERROR(__xludf.DUMMYFUNCTION("""COMPUTED_VALUE"""),1.1094044103188436)</f>
        <v>1.10940441</v>
      </c>
      <c r="AQ566" s="57">
        <f>IFERROR(__xludf.DUMMYFUNCTION("""COMPUTED_VALUE"""),0.8073659915996992)</f>
        <v>0.8073659916</v>
      </c>
      <c r="AR566" s="36" t="b">
        <f>IFERROR(__xludf.DUMMYFUNCTION("""COMPUTED_VALUE"""),TRUE)</f>
        <v>1</v>
      </c>
      <c r="AS566" s="57"/>
      <c r="AT566" s="37"/>
      <c r="AU566" s="30"/>
      <c r="AV566" s="30"/>
      <c r="AW566" s="30"/>
      <c r="AX566" s="30"/>
      <c r="AY566" s="30"/>
      <c r="AZ566" s="30"/>
    </row>
    <row r="567">
      <c r="A567" s="30" t="str">
        <f>IFERROR(__xludf.DUMMYFUNCTION("""COMPUTED_VALUE"""),"Rival")</f>
        <v>Rival</v>
      </c>
      <c r="B567" s="30" t="str">
        <f>IFERROR(__xludf.DUMMYFUNCTION("""COMPUTED_VALUE"""),"RSC006581")</f>
        <v>RSC006581</v>
      </c>
      <c r="C567" s="30" t="str">
        <f>IFERROR(__xludf.DUMMYFUNCTION("""COMPUTED_VALUE"""),"Light_Wigglebean")</f>
        <v>Light_Wigglebean</v>
      </c>
      <c r="D567" s="31" t="str">
        <f>IFERROR(__xludf.DUMMYFUNCTION("""COMPUTED_VALUE"""),"Mining Legion")</f>
        <v>Mining Legion</v>
      </c>
      <c r="E567" s="31">
        <f>IFERROR(__xludf.DUMMYFUNCTION("""COMPUTED_VALUE"""),94.3877965419787)</f>
        <v>94.38779654</v>
      </c>
      <c r="F567" s="31">
        <f>IFERROR(__xludf.DUMMYFUNCTION("""COMPUTED_VALUE"""),26.38055764680415)</f>
        <v>26.38055765</v>
      </c>
      <c r="G567" s="31">
        <f>IFERROR(__xludf.DUMMYFUNCTION("""COMPUTED_VALUE"""),82.8337358069659)</f>
        <v>82.83373581</v>
      </c>
      <c r="H567" s="31">
        <f>IFERROR(__xludf.DUMMYFUNCTION("""COMPUTED_VALUE"""),10.578359721812784)</f>
        <v>10.57835972</v>
      </c>
      <c r="I567" s="54">
        <f>IFERROR(__xludf.DUMMYFUNCTION("""COMPUTED_VALUE"""),46.0)</f>
        <v>46</v>
      </c>
      <c r="J567" s="55">
        <f>IFERROR(__xludf.DUMMYFUNCTION("""COMPUTED_VALUE"""),31.0)</f>
        <v>31</v>
      </c>
      <c r="K567" s="54">
        <f>IFERROR(__xludf.DUMMYFUNCTION("""COMPUTED_VALUE"""),15.0)</f>
        <v>15</v>
      </c>
      <c r="L567" s="56">
        <f>IFERROR(__xludf.DUMMYFUNCTION("""COMPUTED_VALUE"""),0.6739130434782609)</f>
        <v>0.6739130435</v>
      </c>
      <c r="M567" s="56">
        <f>IFERROR(__xludf.DUMMYFUNCTION("""COMPUTED_VALUE"""),0.3125)</f>
        <v>0.3125</v>
      </c>
      <c r="N567" s="31">
        <f>IFERROR(__xludf.DUMMYFUNCTION("""COMPUTED_VALUE"""),388.54347826086956)</f>
        <v>388.5434783</v>
      </c>
      <c r="O567" s="57">
        <f>IFERROR(__xludf.DUMMYFUNCTION("""COMPUTED_VALUE"""),1.0869565217391304)</f>
        <v>1.086956522</v>
      </c>
      <c r="P567" s="57">
        <f>IFERROR(__xludf.DUMMYFUNCTION("""COMPUTED_VALUE"""),0.8043478260869565)</f>
        <v>0.8043478261</v>
      </c>
      <c r="Q567" s="57">
        <f>IFERROR(__xludf.DUMMYFUNCTION("""COMPUTED_VALUE"""),0.8260869565217391)</f>
        <v>0.8260869565</v>
      </c>
      <c r="R567" s="57">
        <f>IFERROR(__xludf.DUMMYFUNCTION("""COMPUTED_VALUE"""),3.4782608695652173)</f>
        <v>3.47826087</v>
      </c>
      <c r="S567" s="31">
        <f>IFERROR(__xludf.DUMMYFUNCTION("""COMPUTED_VALUE"""),320.3333333333333)</f>
        <v>320.3333333</v>
      </c>
      <c r="T567" s="57">
        <f>IFERROR(__xludf.DUMMYFUNCTION("""COMPUTED_VALUE"""),0.6086956521739131)</f>
        <v>0.6086956522</v>
      </c>
      <c r="U567" s="57">
        <f>IFERROR(__xludf.DUMMYFUNCTION("""COMPUTED_VALUE"""),0.42028985507246375)</f>
        <v>0.4202898551</v>
      </c>
      <c r="V567" s="57">
        <f>IFERROR(__xludf.DUMMYFUNCTION("""COMPUTED_VALUE"""),1.3985507246376812)</f>
        <v>1.398550725</v>
      </c>
      <c r="W567" s="57">
        <f>IFERROR(__xludf.DUMMYFUNCTION("""COMPUTED_VALUE"""),2.195652173913044)</f>
        <v>2.195652174</v>
      </c>
      <c r="X567" s="31">
        <f>IFERROR(__xludf.DUMMYFUNCTION("""COMPUTED_VALUE"""),341.37846022841836)</f>
        <v>341.3784602</v>
      </c>
      <c r="Y567" s="57">
        <f>IFERROR(__xludf.DUMMYFUNCTION("""COMPUTED_VALUE"""),0.7517812082664201)</f>
        <v>0.7517812083</v>
      </c>
      <c r="Z567" s="57">
        <f>IFERROR(__xludf.DUMMYFUNCTION("""COMPUTED_VALUE"""),0.5280631274269484)</f>
        <v>0.5280631274</v>
      </c>
      <c r="AA567" s="57">
        <f>IFERROR(__xludf.DUMMYFUNCTION("""COMPUTED_VALUE"""),1.2909266328309348)</f>
        <v>1.290926633</v>
      </c>
      <c r="AB567" s="57">
        <f>IFERROR(__xludf.DUMMYFUNCTION("""COMPUTED_VALUE"""),2.474924669603219)</f>
        <v>2.47492467</v>
      </c>
      <c r="AC567" s="31">
        <f>IFERROR(__xludf.DUMMYFUNCTION("""COMPUTED_VALUE"""),346.8908798478698)</f>
        <v>346.8908798</v>
      </c>
      <c r="AD567" s="57">
        <f>IFERROR(__xludf.DUMMYFUNCTION("""COMPUTED_VALUE"""),0.8002584900260807)</f>
        <v>0.80025849</v>
      </c>
      <c r="AE567" s="57">
        <f>IFERROR(__xludf.DUMMYFUNCTION("""COMPUTED_VALUE"""),0.5710786371289939)</f>
        <v>0.5710786371</v>
      </c>
      <c r="AF567" s="57">
        <f>IFERROR(__xludf.DUMMYFUNCTION("""COMPUTED_VALUE"""),1.268239785725798)</f>
        <v>1.268239786</v>
      </c>
      <c r="AG567" s="57">
        <f>IFERROR(__xludf.DUMMYFUNCTION("""COMPUTED_VALUE"""),2.5548269456375987)</f>
        <v>2.554826946</v>
      </c>
      <c r="AH567" s="57">
        <f>IFERROR(__xludf.DUMMYFUNCTION("""COMPUTED_VALUE"""),1.120074066032715)</f>
        <v>1.120074066</v>
      </c>
      <c r="AI567" s="57">
        <f>IFERROR(__xludf.DUMMYFUNCTION("""COMPUTED_VALUE"""),1.3582567823850342)</f>
        <v>1.358256782</v>
      </c>
      <c r="AJ567" s="57">
        <f>IFERROR(__xludf.DUMMYFUNCTION("""COMPUTED_VALUE"""),1.4084712223358347)</f>
        <v>1.408471222</v>
      </c>
      <c r="AK567" s="57">
        <f>IFERROR(__xludf.DUMMYFUNCTION("""COMPUTED_VALUE"""),0.6513649593865877)</f>
        <v>0.6513649594</v>
      </c>
      <c r="AL567" s="57">
        <f>IFERROR(__xludf.DUMMYFUNCTION("""COMPUTED_VALUE"""),1.3614467608087484)</f>
        <v>1.361446761</v>
      </c>
      <c r="AM567" s="57">
        <f>IFERROR(__xludf.DUMMYFUNCTION("""COMPUTED_VALUE"""),0.938352505073098)</f>
        <v>0.9383525051</v>
      </c>
      <c r="AN567" s="57">
        <f>IFERROR(__xludf.DUMMYFUNCTION("""COMPUTED_VALUE"""),0.8096712786656943)</f>
        <v>0.8096712787</v>
      </c>
      <c r="AO567" s="57">
        <f>IFERROR(__xludf.DUMMYFUNCTION("""COMPUTED_VALUE"""),0.7959083549733477)</f>
        <v>0.795908355</v>
      </c>
      <c r="AP567" s="35">
        <f>IFERROR(__xludf.DUMMYFUNCTION("""COMPUTED_VALUE"""),1.0833696424487984)</f>
        <v>1.083369642</v>
      </c>
      <c r="AQ567" s="57">
        <f>IFERROR(__xludf.DUMMYFUNCTION("""COMPUTED_VALUE"""),0.8871591935220604)</f>
        <v>0.8871591935</v>
      </c>
      <c r="AR567" s="36" t="b">
        <f>IFERROR(__xludf.DUMMYFUNCTION("""COMPUTED_VALUE"""),TRUE)</f>
        <v>1</v>
      </c>
      <c r="AS567" s="57"/>
      <c r="AT567" s="37"/>
      <c r="AU567" s="30"/>
      <c r="AV567" s="30"/>
      <c r="AW567" s="30"/>
      <c r="AX567" s="30"/>
      <c r="AY567" s="30"/>
      <c r="AZ567" s="30"/>
    </row>
    <row r="568">
      <c r="A568" s="30" t="str">
        <f>IFERROR(__xludf.DUMMYFUNCTION("""COMPUTED_VALUE"""),"Rival")</f>
        <v>Rival</v>
      </c>
      <c r="B568" s="30" t="str">
        <f>IFERROR(__xludf.DUMMYFUNCTION("""COMPUTED_VALUE"""),"RSC007920")</f>
        <v>RSC007920</v>
      </c>
      <c r="C568" s="30" t="str">
        <f>IFERROR(__xludf.DUMMYFUNCTION("""COMPUTED_VALUE"""),"EKA Luminousity")</f>
        <v>EKA Luminousity</v>
      </c>
      <c r="D568" s="31" t="str">
        <f>IFERROR(__xludf.DUMMYFUNCTION("""COMPUTED_VALUE"""),"Bulldozers")</f>
        <v>Bulldozers</v>
      </c>
      <c r="E568" s="31">
        <f>IFERROR(__xludf.DUMMYFUNCTION("""COMPUTED_VALUE"""),92.37499756345338)</f>
        <v>92.37499756</v>
      </c>
      <c r="F568" s="31">
        <f>IFERROR(__xludf.DUMMYFUNCTION("""COMPUTED_VALUE"""),22.20361084211913)</f>
        <v>22.20361084</v>
      </c>
      <c r="G568" s="31">
        <f>IFERROR(__xludf.DUMMYFUNCTION("""COMPUTED_VALUE"""),73.23103462322649)</f>
        <v>73.23103462</v>
      </c>
      <c r="H568" s="31">
        <f>IFERROR(__xludf.DUMMYFUNCTION("""COMPUTED_VALUE"""),5.6695126911963385)</f>
        <v>5.669512691</v>
      </c>
      <c r="I568" s="54">
        <f>IFERROR(__xludf.DUMMYFUNCTION("""COMPUTED_VALUE"""),43.0)</f>
        <v>43</v>
      </c>
      <c r="J568" s="55">
        <f>IFERROR(__xludf.DUMMYFUNCTION("""COMPUTED_VALUE"""),33.0)</f>
        <v>33</v>
      </c>
      <c r="K568" s="54">
        <f>IFERROR(__xludf.DUMMYFUNCTION("""COMPUTED_VALUE"""),10.0)</f>
        <v>10</v>
      </c>
      <c r="L568" s="56">
        <f>IFERROR(__xludf.DUMMYFUNCTION("""COMPUTED_VALUE"""),0.7674418604651163)</f>
        <v>0.7674418605</v>
      </c>
      <c r="M568" s="56">
        <f>IFERROR(__xludf.DUMMYFUNCTION("""COMPUTED_VALUE"""),0.3548387096774194)</f>
        <v>0.3548387097</v>
      </c>
      <c r="N568" s="31">
        <f>IFERROR(__xludf.DUMMYFUNCTION("""COMPUTED_VALUE"""),452.5813953488372)</f>
        <v>452.5813953</v>
      </c>
      <c r="O568" s="57">
        <f>IFERROR(__xludf.DUMMYFUNCTION("""COMPUTED_VALUE"""),1.2790697674418605)</f>
        <v>1.279069767</v>
      </c>
      <c r="P568" s="57">
        <f>IFERROR(__xludf.DUMMYFUNCTION("""COMPUTED_VALUE"""),0.5348837209302325)</f>
        <v>0.5348837209</v>
      </c>
      <c r="Q568" s="57">
        <f>IFERROR(__xludf.DUMMYFUNCTION("""COMPUTED_VALUE"""),1.813953488372093)</f>
        <v>1.813953488</v>
      </c>
      <c r="R568" s="57">
        <f>IFERROR(__xludf.DUMMYFUNCTION("""COMPUTED_VALUE"""),3.604651162790698)</f>
        <v>3.604651163</v>
      </c>
      <c r="S568" s="31">
        <f>IFERROR(__xludf.DUMMYFUNCTION("""COMPUTED_VALUE"""),329.9457364341086)</f>
        <v>329.9457364</v>
      </c>
      <c r="T568" s="57">
        <f>IFERROR(__xludf.DUMMYFUNCTION("""COMPUTED_VALUE"""),0.6434108527131781)</f>
        <v>0.6434108527</v>
      </c>
      <c r="U568" s="57">
        <f>IFERROR(__xludf.DUMMYFUNCTION("""COMPUTED_VALUE"""),0.4806201550387597)</f>
        <v>0.480620155</v>
      </c>
      <c r="V568" s="57">
        <f>IFERROR(__xludf.DUMMYFUNCTION("""COMPUTED_VALUE"""),1.4186046511627908)</f>
        <v>1.418604651</v>
      </c>
      <c r="W568" s="57">
        <f>IFERROR(__xludf.DUMMYFUNCTION("""COMPUTED_VALUE"""),2.65891472868217)</f>
        <v>2.658914729</v>
      </c>
      <c r="X568" s="31">
        <f>IFERROR(__xludf.DUMMYFUNCTION("""COMPUTED_VALUE"""),339.39460747546013)</f>
        <v>339.3946075</v>
      </c>
      <c r="Y568" s="57">
        <f>IFERROR(__xludf.DUMMYFUNCTION("""COMPUTED_VALUE"""),0.7386028967513455)</f>
        <v>0.7386028968</v>
      </c>
      <c r="Z568" s="57">
        <f>IFERROR(__xludf.DUMMYFUNCTION("""COMPUTED_VALUE"""),0.5233906450436241)</f>
        <v>0.523390645</v>
      </c>
      <c r="AA568" s="57">
        <f>IFERROR(__xludf.DUMMYFUNCTION("""COMPUTED_VALUE"""),1.3145454702249872)</f>
        <v>1.31454547</v>
      </c>
      <c r="AB568" s="57">
        <f>IFERROR(__xludf.DUMMYFUNCTION("""COMPUTED_VALUE"""),2.499589230493229)</f>
        <v>2.49958923</v>
      </c>
      <c r="AC568" s="31">
        <f>IFERROR(__xludf.DUMMYFUNCTION("""COMPUTED_VALUE"""),359.23777555125554)</f>
        <v>359.2377756</v>
      </c>
      <c r="AD568" s="57">
        <f>IFERROR(__xludf.DUMMYFUNCTION("""COMPUTED_VALUE"""),0.846245386522531)</f>
        <v>0.8462453865</v>
      </c>
      <c r="AE568" s="57">
        <f>IFERROR(__xludf.DUMMYFUNCTION("""COMPUTED_VALUE"""),0.6167776106448861)</f>
        <v>0.6167776106</v>
      </c>
      <c r="AF568" s="57">
        <f>IFERROR(__xludf.DUMMYFUNCTION("""COMPUTED_VALUE"""),1.316602853611817)</f>
        <v>1.316602854</v>
      </c>
      <c r="AG568" s="57">
        <f>IFERROR(__xludf.DUMMYFUNCTION("""COMPUTED_VALUE"""),2.6585640339019294)</f>
        <v>2.658564034</v>
      </c>
      <c r="AH568" s="57">
        <f>IFERROR(__xludf.DUMMYFUNCTION("""COMPUTED_VALUE"""),1.2598379851738712)</f>
        <v>1.259837985</v>
      </c>
      <c r="AI568" s="57">
        <f>IFERROR(__xludf.DUMMYFUNCTION("""COMPUTED_VALUE"""),1.5114643906041616)</f>
        <v>1.511464391</v>
      </c>
      <c r="AJ568" s="57">
        <f>IFERROR(__xludf.DUMMYFUNCTION("""COMPUTED_VALUE"""),0.8672229855603423)</f>
        <v>0.8672229856</v>
      </c>
      <c r="AK568" s="57">
        <f>IFERROR(__xludf.DUMMYFUNCTION("""COMPUTED_VALUE"""),1.3777529673400761)</f>
        <v>1.377752967</v>
      </c>
      <c r="AL568" s="57">
        <f>IFERROR(__xludf.DUMMYFUNCTION("""COMPUTED_VALUE"""),1.3558639614559942)</f>
        <v>1.355863961</v>
      </c>
      <c r="AM568" s="57">
        <f>IFERROR(__xludf.DUMMYFUNCTION("""COMPUTED_VALUE"""),0.9721596311985164)</f>
        <v>0.9721596312</v>
      </c>
      <c r="AN568" s="57">
        <f>IFERROR(__xludf.DUMMYFUNCTION("""COMPUTED_VALUE"""),0.8711187778211297)</f>
        <v>0.8711187778</v>
      </c>
      <c r="AO568" s="57">
        <f>IFERROR(__xludf.DUMMYFUNCTION("""COMPUTED_VALUE"""),0.9182818982152432)</f>
        <v>0.9182818982</v>
      </c>
      <c r="AP568" s="35">
        <f>IFERROR(__xludf.DUMMYFUNCTION("""COMPUTED_VALUE"""),1.0791598185797207)</f>
        <v>1.079159819</v>
      </c>
      <c r="AQ568" s="57">
        <f>IFERROR(__xludf.DUMMYFUNCTION("""COMPUTED_VALUE"""),1.063740672365396)</f>
        <v>1.063740672</v>
      </c>
      <c r="AR568" s="36" t="b">
        <f>IFERROR(__xludf.DUMMYFUNCTION("""COMPUTED_VALUE"""),TRUE)</f>
        <v>1</v>
      </c>
      <c r="AS568" s="57"/>
      <c r="AT568" s="37"/>
      <c r="AU568" s="30"/>
      <c r="AV568" s="30"/>
      <c r="AW568" s="30"/>
      <c r="AX568" s="30"/>
      <c r="AY568" s="30"/>
      <c r="AZ568" s="30"/>
    </row>
    <row r="569">
      <c r="A569" s="30" t="str">
        <f>IFERROR(__xludf.DUMMYFUNCTION("""COMPUTED_VALUE"""),"Rival")</f>
        <v>Rival</v>
      </c>
      <c r="B569" s="30" t="str">
        <f>IFERROR(__xludf.DUMMYFUNCTION("""COMPUTED_VALUE"""),"RSC006338")</f>
        <v>RSC006338</v>
      </c>
      <c r="C569" s="30" t="str">
        <f>IFERROR(__xludf.DUMMYFUNCTION("""COMPUTED_VALUE"""),"mykul.457")</f>
        <v>mykul.457</v>
      </c>
      <c r="D569" s="31"/>
      <c r="E569" s="31">
        <f>IFERROR(__xludf.DUMMYFUNCTION("""COMPUTED_VALUE"""),85.82005311691898)</f>
        <v>85.82005312</v>
      </c>
      <c r="F569" s="31">
        <f>IFERROR(__xludf.DUMMYFUNCTION("""COMPUTED_VALUE"""),13.165309405410552)</f>
        <v>13.16530941</v>
      </c>
      <c r="G569" s="31">
        <f>IFERROR(__xludf.DUMMYFUNCTION("""COMPUTED_VALUE"""),66.88030958166516)</f>
        <v>66.88030958</v>
      </c>
      <c r="H569" s="31">
        <f>IFERROR(__xludf.DUMMYFUNCTION("""COMPUTED_VALUE"""),4.003676654524921)</f>
        <v>4.003676655</v>
      </c>
      <c r="I569" s="54">
        <f>IFERROR(__xludf.DUMMYFUNCTION("""COMPUTED_VALUE"""),2.0)</f>
        <v>2</v>
      </c>
      <c r="J569" s="55">
        <f>IFERROR(__xludf.DUMMYFUNCTION("""COMPUTED_VALUE"""),1.0)</f>
        <v>1</v>
      </c>
      <c r="K569" s="54">
        <f>IFERROR(__xludf.DUMMYFUNCTION("""COMPUTED_VALUE"""),1.0)</f>
        <v>1</v>
      </c>
      <c r="L569" s="56">
        <f>IFERROR(__xludf.DUMMYFUNCTION("""COMPUTED_VALUE"""),0.5)</f>
        <v>0.5</v>
      </c>
      <c r="M569" s="56">
        <f>IFERROR(__xludf.DUMMYFUNCTION("""COMPUTED_VALUE"""),0.2)</f>
        <v>0.2</v>
      </c>
      <c r="N569" s="31">
        <f>IFERROR(__xludf.DUMMYFUNCTION("""COMPUTED_VALUE"""),376.0)</f>
        <v>376</v>
      </c>
      <c r="O569" s="57">
        <f>IFERROR(__xludf.DUMMYFUNCTION("""COMPUTED_VALUE"""),0.5)</f>
        <v>0.5</v>
      </c>
      <c r="P569" s="57">
        <f>IFERROR(__xludf.DUMMYFUNCTION("""COMPUTED_VALUE"""),1.5)</f>
        <v>1.5</v>
      </c>
      <c r="Q569" s="57">
        <f>IFERROR(__xludf.DUMMYFUNCTION("""COMPUTED_VALUE"""),1.0)</f>
        <v>1</v>
      </c>
      <c r="R569" s="57">
        <f>IFERROR(__xludf.DUMMYFUNCTION("""COMPUTED_VALUE"""),2.5)</f>
        <v>2.5</v>
      </c>
      <c r="S569" s="31">
        <f>IFERROR(__xludf.DUMMYFUNCTION("""COMPUTED_VALUE"""),253.66666666666666)</f>
        <v>253.6666667</v>
      </c>
      <c r="T569" s="57">
        <f>IFERROR(__xludf.DUMMYFUNCTION("""COMPUTED_VALUE"""),0.16666666666666666)</f>
        <v>0.1666666667</v>
      </c>
      <c r="U569" s="57">
        <f>IFERROR(__xludf.DUMMYFUNCTION("""COMPUTED_VALUE"""),0.16666666666666666)</f>
        <v>0.1666666667</v>
      </c>
      <c r="V569" s="57">
        <f>IFERROR(__xludf.DUMMYFUNCTION("""COMPUTED_VALUE"""),1.5)</f>
        <v>1.5</v>
      </c>
      <c r="W569" s="57">
        <f>IFERROR(__xludf.DUMMYFUNCTION("""COMPUTED_VALUE"""),2.666666666666667)</f>
        <v>2.666666667</v>
      </c>
      <c r="X569" s="31">
        <f>IFERROR(__xludf.DUMMYFUNCTION("""COMPUTED_VALUE"""),307.29298245614035)</f>
        <v>307.2929825</v>
      </c>
      <c r="Y569" s="57">
        <f>IFERROR(__xludf.DUMMYFUNCTION("""COMPUTED_VALUE"""),0.6538011695906433)</f>
        <v>0.6538011696</v>
      </c>
      <c r="Z569" s="57">
        <f>IFERROR(__xludf.DUMMYFUNCTION("""COMPUTED_VALUE"""),0.4538011695906432)</f>
        <v>0.4538011696</v>
      </c>
      <c r="AA569" s="57">
        <f>IFERROR(__xludf.DUMMYFUNCTION("""COMPUTED_VALUE"""),1.2140350877192982)</f>
        <v>1.214035088</v>
      </c>
      <c r="AB569" s="57">
        <f>IFERROR(__xludf.DUMMYFUNCTION("""COMPUTED_VALUE"""),2.350877192982456)</f>
        <v>2.350877193</v>
      </c>
      <c r="AC569" s="31">
        <f>IFERROR(__xludf.DUMMYFUNCTION("""COMPUTED_VALUE"""),383.9467836257309)</f>
        <v>383.9467836</v>
      </c>
      <c r="AD569" s="57">
        <f>IFERROR(__xludf.DUMMYFUNCTION("""COMPUTED_VALUE"""),0.9709551656920077)</f>
        <v>0.9709551657</v>
      </c>
      <c r="AE569" s="57">
        <f>IFERROR(__xludf.DUMMYFUNCTION("""COMPUTED_VALUE"""),0.6532163742690059)</f>
        <v>0.6532163743</v>
      </c>
      <c r="AF569" s="57">
        <f>IFERROR(__xludf.DUMMYFUNCTION("""COMPUTED_VALUE"""),1.3631578947368421)</f>
        <v>1.363157895</v>
      </c>
      <c r="AG569" s="57">
        <f>IFERROR(__xludf.DUMMYFUNCTION("""COMPUTED_VALUE"""),2.915594541910331)</f>
        <v>2.915594542</v>
      </c>
      <c r="AH569" s="57">
        <f>IFERROR(__xludf.DUMMYFUNCTION("""COMPUTED_VALUE"""),0.979302382609676)</f>
        <v>0.9793023826</v>
      </c>
      <c r="AI569" s="57">
        <f>IFERROR(__xludf.DUMMYFUNCTION("""COMPUTED_VALUE"""),0.5149568359767116)</f>
        <v>0.514956836</v>
      </c>
      <c r="AJ569" s="57">
        <f>IFERROR(__xludf.DUMMYFUNCTION("""COMPUTED_VALUE"""),2.2963294538943595)</f>
        <v>2.296329454</v>
      </c>
      <c r="AK569" s="57">
        <f>IFERROR(__xludf.DUMMYFUNCTION("""COMPUTED_VALUE"""),0.7335907335907336)</f>
        <v>0.7335907336</v>
      </c>
      <c r="AL569" s="57">
        <f>IFERROR(__xludf.DUMMYFUNCTION("""COMPUTED_VALUE"""),0.8574580463996793)</f>
        <v>0.8574580464</v>
      </c>
      <c r="AM569" s="57">
        <f>IFERROR(__xludf.DUMMYFUNCTION("""COMPUTED_VALUE"""),0.8254879907739913)</f>
        <v>0.8254879908</v>
      </c>
      <c r="AN569" s="57">
        <f>IFERROR(__xludf.DUMMYFUNCTION("""COMPUTED_VALUE"""),0.2549194991055456)</f>
        <v>0.2549194991</v>
      </c>
      <c r="AO569" s="57">
        <f>IFERROR(__xludf.DUMMYFUNCTION("""COMPUTED_VALUE"""),0.36726804123711343)</f>
        <v>0.3672680412</v>
      </c>
      <c r="AP569" s="35">
        <f>IFERROR(__xludf.DUMMYFUNCTION("""COMPUTED_VALUE"""),1.2355491329479769)</f>
        <v>1.235549133</v>
      </c>
      <c r="AQ569" s="57">
        <f>IFERROR(__xludf.DUMMYFUNCTION("""COMPUTED_VALUE"""),1.1343283582089554)</f>
        <v>1.134328358</v>
      </c>
      <c r="AR569" s="36" t="b">
        <f>IFERROR(__xludf.DUMMYFUNCTION("""COMPUTED_VALUE"""),TRUE)</f>
        <v>1</v>
      </c>
      <c r="AS569" s="57"/>
      <c r="AT569" s="37"/>
      <c r="AU569" s="30"/>
      <c r="AV569" s="30"/>
      <c r="AW569" s="30"/>
      <c r="AX569" s="30"/>
      <c r="AY569" s="30"/>
      <c r="AZ569" s="30"/>
    </row>
    <row r="570">
      <c r="A570" s="30" t="str">
        <f>IFERROR(__xludf.DUMMYFUNCTION("""COMPUTED_VALUE"""),"Rival")</f>
        <v>Rival</v>
      </c>
      <c r="B570" s="30" t="str">
        <f>IFERROR(__xludf.DUMMYFUNCTION("""COMPUTED_VALUE"""),"RSC007930")</f>
        <v>RSC007930</v>
      </c>
      <c r="C570" s="30" t="str">
        <f>IFERROR(__xludf.DUMMYFUNCTION("""COMPUTED_VALUE"""),"Ziffy")</f>
        <v>Ziffy</v>
      </c>
      <c r="D570" s="31" t="str">
        <f>IFERROR(__xludf.DUMMYFUNCTION("""COMPUTED_VALUE"""),"50 Cent")</f>
        <v>50 Cent</v>
      </c>
      <c r="E570" s="31">
        <f>IFERROR(__xludf.DUMMYFUNCTION("""COMPUTED_VALUE"""),83.59396595197911)</f>
        <v>83.59396595</v>
      </c>
      <c r="F570" s="31">
        <f>IFERROR(__xludf.DUMMYFUNCTION("""COMPUTED_VALUE"""),11.171533674861685)</f>
        <v>11.17153367</v>
      </c>
      <c r="G570" s="31">
        <f>IFERROR(__xludf.DUMMYFUNCTION("""COMPUTED_VALUE"""),61.15211129967222)</f>
        <v>61.1521113</v>
      </c>
      <c r="H570" s="31">
        <f>IFERROR(__xludf.DUMMYFUNCTION("""COMPUTED_VALUE"""),3.0509373357791336)</f>
        <v>3.050937336</v>
      </c>
      <c r="I570" s="54">
        <f>IFERROR(__xludf.DUMMYFUNCTION("""COMPUTED_VALUE"""),37.0)</f>
        <v>37</v>
      </c>
      <c r="J570" s="55">
        <f>IFERROR(__xludf.DUMMYFUNCTION("""COMPUTED_VALUE"""),23.0)</f>
        <v>23</v>
      </c>
      <c r="K570" s="54">
        <f>IFERROR(__xludf.DUMMYFUNCTION("""COMPUTED_VALUE"""),14.0)</f>
        <v>14</v>
      </c>
      <c r="L570" s="56">
        <f>IFERROR(__xludf.DUMMYFUNCTION("""COMPUTED_VALUE"""),0.6216216216216216)</f>
        <v>0.6216216216</v>
      </c>
      <c r="M570" s="56">
        <f>IFERROR(__xludf.DUMMYFUNCTION("""COMPUTED_VALUE"""),0.30327868852459017)</f>
        <v>0.3032786885</v>
      </c>
      <c r="N570" s="31">
        <f>IFERROR(__xludf.DUMMYFUNCTION("""COMPUTED_VALUE"""),361.8918918918919)</f>
        <v>361.8918919</v>
      </c>
      <c r="O570" s="57">
        <f>IFERROR(__xludf.DUMMYFUNCTION("""COMPUTED_VALUE"""),1.0)</f>
        <v>1</v>
      </c>
      <c r="P570" s="57">
        <f>IFERROR(__xludf.DUMMYFUNCTION("""COMPUTED_VALUE"""),0.8378378378378378)</f>
        <v>0.8378378378</v>
      </c>
      <c r="Q570" s="57">
        <f>IFERROR(__xludf.DUMMYFUNCTION("""COMPUTED_VALUE"""),0.9459459459459459)</f>
        <v>0.9459459459</v>
      </c>
      <c r="R570" s="57">
        <f>IFERROR(__xludf.DUMMYFUNCTION("""COMPUTED_VALUE"""),3.2972972972972974)</f>
        <v>3.297297297</v>
      </c>
      <c r="S570" s="31">
        <f>IFERROR(__xludf.DUMMYFUNCTION("""COMPUTED_VALUE"""),338.6846846846847)</f>
        <v>338.6846847</v>
      </c>
      <c r="T570" s="57">
        <f>IFERROR(__xludf.DUMMYFUNCTION("""COMPUTED_VALUE"""),0.8108108108108106)</f>
        <v>0.8108108108</v>
      </c>
      <c r="U570" s="57">
        <f>IFERROR(__xludf.DUMMYFUNCTION("""COMPUTED_VALUE"""),0.42342342342342354)</f>
        <v>0.4234234234</v>
      </c>
      <c r="V570" s="57">
        <f>IFERROR(__xludf.DUMMYFUNCTION("""COMPUTED_VALUE"""),1.3963963963963963)</f>
        <v>1.396396396</v>
      </c>
      <c r="W570" s="57">
        <f>IFERROR(__xludf.DUMMYFUNCTION("""COMPUTED_VALUE"""),2.3873873873873874)</f>
        <v>2.387387387</v>
      </c>
      <c r="X570" s="31">
        <f>IFERROR(__xludf.DUMMYFUNCTION("""COMPUTED_VALUE"""),347.2992053460329)</f>
        <v>347.2992053</v>
      </c>
      <c r="Y570" s="57">
        <f>IFERROR(__xludf.DUMMYFUNCTION("""COMPUTED_VALUE"""),0.8125785319073091)</f>
        <v>0.8125785319</v>
      </c>
      <c r="Z570" s="57">
        <f>IFERROR(__xludf.DUMMYFUNCTION("""COMPUTED_VALUE"""),0.5448318283046621)</f>
        <v>0.5448318283</v>
      </c>
      <c r="AA570" s="57">
        <f>IFERROR(__xludf.DUMMYFUNCTION("""COMPUTED_VALUE"""),1.2818457295824173)</f>
        <v>1.28184573</v>
      </c>
      <c r="AB570" s="57">
        <f>IFERROR(__xludf.DUMMYFUNCTION("""COMPUTED_VALUE"""),2.621213936560466)</f>
        <v>2.621213937</v>
      </c>
      <c r="AC570" s="31">
        <f>IFERROR(__xludf.DUMMYFUNCTION("""COMPUTED_VALUE"""),354.31385362508496)</f>
        <v>354.3138536</v>
      </c>
      <c r="AD570" s="57">
        <f>IFERROR(__xludf.DUMMYFUNCTION("""COMPUTED_VALUE"""),0.8302872758853491)</f>
        <v>0.8302872759</v>
      </c>
      <c r="AE570" s="57">
        <f>IFERROR(__xludf.DUMMYFUNCTION("""COMPUTED_VALUE"""),0.5966100259448194)</f>
        <v>0.5966100259</v>
      </c>
      <c r="AF570" s="57">
        <f>IFERROR(__xludf.DUMMYFUNCTION("""COMPUTED_VALUE"""),1.334350907105638)</f>
        <v>1.334350907</v>
      </c>
      <c r="AG570" s="57">
        <f>IFERROR(__xludf.DUMMYFUNCTION("""COMPUTED_VALUE"""),2.6172172713382613)</f>
        <v>2.617217271</v>
      </c>
      <c r="AH570" s="57">
        <f>IFERROR(__xludf.DUMMYFUNCTION("""COMPUTED_VALUE"""),1.0213879253923432)</f>
        <v>1.021387925</v>
      </c>
      <c r="AI570" s="57">
        <f>IFERROR(__xludf.DUMMYFUNCTION("""COMPUTED_VALUE"""),1.2044024147349282)</f>
        <v>1.204402415</v>
      </c>
      <c r="AJ570" s="57">
        <f>IFERROR(__xludf.DUMMYFUNCTION("""COMPUTED_VALUE"""),1.4043308047178706)</f>
        <v>1.404330805</v>
      </c>
      <c r="AK570" s="57">
        <f>IFERROR(__xludf.DUMMYFUNCTION("""COMPUTED_VALUE"""),0.7089184268610514)</f>
        <v>0.7089184269</v>
      </c>
      <c r="AL570" s="57">
        <f>IFERROR(__xludf.DUMMYFUNCTION("""COMPUTED_VALUE"""),1.2598485167459141)</f>
        <v>1.259848517</v>
      </c>
      <c r="AM570" s="57">
        <f>IFERROR(__xludf.DUMMYFUNCTION("""COMPUTED_VALUE"""),0.9751956798957686)</f>
        <v>0.9751956799</v>
      </c>
      <c r="AN570" s="57">
        <f>IFERROR(__xludf.DUMMYFUNCTION("""COMPUTED_VALUE"""),0.9978245535328761)</f>
        <v>0.9978245535</v>
      </c>
      <c r="AO570" s="57">
        <f>IFERROR(__xludf.DUMMYFUNCTION("""COMPUTED_VALUE"""),0.7771635235426283)</f>
        <v>0.7771635235</v>
      </c>
      <c r="AP570" s="35">
        <f>IFERROR(__xludf.DUMMYFUNCTION("""COMPUTED_VALUE"""),1.0893638479033634)</f>
        <v>1.089363848</v>
      </c>
      <c r="AQ570" s="57">
        <f>IFERROR(__xludf.DUMMYFUNCTION("""COMPUTED_VALUE"""),0.9107945574713738)</f>
        <v>0.9107945575</v>
      </c>
      <c r="AR570" s="36" t="b">
        <f>IFERROR(__xludf.DUMMYFUNCTION("""COMPUTED_VALUE"""),TRUE)</f>
        <v>1</v>
      </c>
      <c r="AS570" s="57"/>
      <c r="AT570" s="37"/>
      <c r="AU570" s="30"/>
      <c r="AV570" s="30"/>
      <c r="AW570" s="30"/>
      <c r="AX570" s="30"/>
      <c r="AY570" s="30"/>
      <c r="AZ570" s="30"/>
    </row>
    <row r="571">
      <c r="A571" s="30" t="str">
        <f>IFERROR(__xludf.DUMMYFUNCTION("""COMPUTED_VALUE"""),"Rival")</f>
        <v>Rival</v>
      </c>
      <c r="B571" s="30" t="str">
        <f>IFERROR(__xludf.DUMMYFUNCTION("""COMPUTED_VALUE"""),"RSC005834")</f>
        <v>RSC005834</v>
      </c>
      <c r="C571" s="30" t="str">
        <f>IFERROR(__xludf.DUMMYFUNCTION("""COMPUTED_VALUE"""),"IIIYummyIII")</f>
        <v>IIIYummyIII</v>
      </c>
      <c r="D571" s="31" t="str">
        <f>IFERROR(__xludf.DUMMYFUNCTION("""COMPUTED_VALUE"""),"Hot Wings")</f>
        <v>Hot Wings</v>
      </c>
      <c r="E571" s="31">
        <f>IFERROR(__xludf.DUMMYFUNCTION("""COMPUTED_VALUE"""),83.2014405816966)</f>
        <v>83.20144058</v>
      </c>
      <c r="F571" s="31">
        <f>IFERROR(__xludf.DUMMYFUNCTION("""COMPUTED_VALUE"""),10.860176392419525)</f>
        <v>10.86017639</v>
      </c>
      <c r="G571" s="31">
        <f>IFERROR(__xludf.DUMMYFUNCTION("""COMPUTED_VALUE"""),60.12930975113957)</f>
        <v>60.12930975</v>
      </c>
      <c r="H571" s="31">
        <f>IFERROR(__xludf.DUMMYFUNCTION("""COMPUTED_VALUE"""),2.9182135697181657)</f>
        <v>2.91821357</v>
      </c>
      <c r="I571" s="54">
        <f>IFERROR(__xludf.DUMMYFUNCTION("""COMPUTED_VALUE"""),37.0)</f>
        <v>37</v>
      </c>
      <c r="J571" s="55">
        <f>IFERROR(__xludf.DUMMYFUNCTION("""COMPUTED_VALUE"""),23.0)</f>
        <v>23</v>
      </c>
      <c r="K571" s="54">
        <f>IFERROR(__xludf.DUMMYFUNCTION("""COMPUTED_VALUE"""),14.0)</f>
        <v>14</v>
      </c>
      <c r="L571" s="56">
        <f>IFERROR(__xludf.DUMMYFUNCTION("""COMPUTED_VALUE"""),0.6216216216216216)</f>
        <v>0.6216216216</v>
      </c>
      <c r="M571" s="56">
        <f>IFERROR(__xludf.DUMMYFUNCTION("""COMPUTED_VALUE"""),0.3425925925925926)</f>
        <v>0.3425925926</v>
      </c>
      <c r="N571" s="31">
        <f>IFERROR(__xludf.DUMMYFUNCTION("""COMPUTED_VALUE"""),357.8378378378378)</f>
        <v>357.8378378</v>
      </c>
      <c r="O571" s="57">
        <f>IFERROR(__xludf.DUMMYFUNCTION("""COMPUTED_VALUE"""),1.0)</f>
        <v>1</v>
      </c>
      <c r="P571" s="57">
        <f>IFERROR(__xludf.DUMMYFUNCTION("""COMPUTED_VALUE"""),0.8378378378378378)</f>
        <v>0.8378378378</v>
      </c>
      <c r="Q571" s="57">
        <f>IFERROR(__xludf.DUMMYFUNCTION("""COMPUTED_VALUE"""),0.9459459459459459)</f>
        <v>0.9459459459</v>
      </c>
      <c r="R571" s="57">
        <f>IFERROR(__xludf.DUMMYFUNCTION("""COMPUTED_VALUE"""),2.918918918918919)</f>
        <v>2.918918919</v>
      </c>
      <c r="S571" s="31">
        <f>IFERROR(__xludf.DUMMYFUNCTION("""COMPUTED_VALUE"""),333.0720720720721)</f>
        <v>333.0720721</v>
      </c>
      <c r="T571" s="57">
        <f>IFERROR(__xludf.DUMMYFUNCTION("""COMPUTED_VALUE"""),0.7207207207207208)</f>
        <v>0.7207207207</v>
      </c>
      <c r="U571" s="57">
        <f>IFERROR(__xludf.DUMMYFUNCTION("""COMPUTED_VALUE"""),0.46846846846846846)</f>
        <v>0.4684684685</v>
      </c>
      <c r="V571" s="57">
        <f>IFERROR(__xludf.DUMMYFUNCTION("""COMPUTED_VALUE"""),1.4504504504504505)</f>
        <v>1.45045045</v>
      </c>
      <c r="W571" s="57">
        <f>IFERROR(__xludf.DUMMYFUNCTION("""COMPUTED_VALUE"""),2.4054054054054057)</f>
        <v>2.405405405</v>
      </c>
      <c r="X571" s="31">
        <f>IFERROR(__xludf.DUMMYFUNCTION("""COMPUTED_VALUE"""),349.27098749472526)</f>
        <v>349.2709875</v>
      </c>
      <c r="Y571" s="57">
        <f>IFERROR(__xludf.DUMMYFUNCTION("""COMPUTED_VALUE"""),0.813618636272294)</f>
        <v>0.8136186363</v>
      </c>
      <c r="Z571" s="57">
        <f>IFERROR(__xludf.DUMMYFUNCTION("""COMPUTED_VALUE"""),0.5652598737438711)</f>
        <v>0.5652598737</v>
      </c>
      <c r="AA571" s="57">
        <f>IFERROR(__xludf.DUMMYFUNCTION("""COMPUTED_VALUE"""),1.3221640774576466)</f>
        <v>1.322164077</v>
      </c>
      <c r="AB571" s="57">
        <f>IFERROR(__xludf.DUMMYFUNCTION("""COMPUTED_VALUE"""),2.539348803553033)</f>
        <v>2.539348804</v>
      </c>
      <c r="AC571" s="31">
        <f>IFERROR(__xludf.DUMMYFUNCTION("""COMPUTED_VALUE"""),343.9692800367712)</f>
        <v>343.96928</v>
      </c>
      <c r="AD571" s="57">
        <f>IFERROR(__xludf.DUMMYFUNCTION("""COMPUTED_VALUE"""),0.7756233112910834)</f>
        <v>0.7756233113</v>
      </c>
      <c r="AE571" s="57">
        <f>IFERROR(__xludf.DUMMYFUNCTION("""COMPUTED_VALUE"""),0.5580825575706096)</f>
        <v>0.5580825576</v>
      </c>
      <c r="AF571" s="57">
        <f>IFERROR(__xludf.DUMMYFUNCTION("""COMPUTED_VALUE"""),1.2956805625265122)</f>
        <v>1.295680563</v>
      </c>
      <c r="AG571" s="57">
        <f>IFERROR(__xludf.DUMMYFUNCTION("""COMPUTED_VALUE"""),2.5619327788175825)</f>
        <v>2.561932779</v>
      </c>
      <c r="AH571" s="57">
        <f>IFERROR(__xludf.DUMMYFUNCTION("""COMPUTED_VALUE"""),1.040319175594937)</f>
        <v>1.040319176</v>
      </c>
      <c r="AI571" s="57">
        <f>IFERROR(__xludf.DUMMYFUNCTION("""COMPUTED_VALUE"""),1.2892856434851405)</f>
        <v>1.289285643</v>
      </c>
      <c r="AJ571" s="57">
        <f>IFERROR(__xludf.DUMMYFUNCTION("""COMPUTED_VALUE"""),1.5012793832601246)</f>
        <v>1.501279383</v>
      </c>
      <c r="AK571" s="57">
        <f>IFERROR(__xludf.DUMMYFUNCTION("""COMPUTED_VALUE"""),0.7300765121469436)</f>
        <v>0.7300765121</v>
      </c>
      <c r="AL571" s="57">
        <f>IFERROR(__xludf.DUMMYFUNCTION("""COMPUTED_VALUE"""),1.1393425085361129)</f>
        <v>1.139342509</v>
      </c>
      <c r="AM571" s="57">
        <f>IFERROR(__xludf.DUMMYFUNCTION("""COMPUTED_VALUE"""),0.9536207815632044)</f>
        <v>0.9536207816</v>
      </c>
      <c r="AN571" s="57">
        <f>IFERROR(__xludf.DUMMYFUNCTION("""COMPUTED_VALUE"""),0.8858213032371065)</f>
        <v>0.8858213032</v>
      </c>
      <c r="AO571" s="57">
        <f>IFERROR(__xludf.DUMMYFUNCTION("""COMPUTED_VALUE"""),0.8287665377088831)</f>
        <v>0.8287665377</v>
      </c>
      <c r="AP571" s="35">
        <f>IFERROR(__xludf.DUMMYFUNCTION("""COMPUTED_VALUE"""),1.0970275740961608)</f>
        <v>1.097027574</v>
      </c>
      <c r="AQ571" s="57">
        <f>IFERROR(__xludf.DUMMYFUNCTION("""COMPUTED_VALUE"""),0.9472528555509133)</f>
        <v>0.9472528556</v>
      </c>
      <c r="AR571" s="36" t="b">
        <f>IFERROR(__xludf.DUMMYFUNCTION("""COMPUTED_VALUE"""),TRUE)</f>
        <v>1</v>
      </c>
      <c r="AS571" s="57"/>
      <c r="AT571" s="37"/>
      <c r="AU571" s="30"/>
      <c r="AV571" s="30"/>
      <c r="AW571" s="30"/>
      <c r="AX571" s="30"/>
      <c r="AY571" s="30"/>
      <c r="AZ571" s="30"/>
    </row>
    <row r="572">
      <c r="A572" s="30" t="str">
        <f>IFERROR(__xludf.DUMMYFUNCTION("""COMPUTED_VALUE"""),"Rival")</f>
        <v>Rival</v>
      </c>
      <c r="B572" s="30" t="str">
        <f>IFERROR(__xludf.DUMMYFUNCTION("""COMPUTED_VALUE"""),"RSC007937")</f>
        <v>RSC007937</v>
      </c>
      <c r="C572" s="30" t="str">
        <f>IFERROR(__xludf.DUMMYFUNCTION("""COMPUTED_VALUE"""),"Spidey")</f>
        <v>Spidey</v>
      </c>
      <c r="D572" s="31" t="str">
        <f>IFERROR(__xludf.DUMMYFUNCTION("""COMPUTED_VALUE"""),"Ocelots")</f>
        <v>Ocelots</v>
      </c>
      <c r="E572" s="31">
        <f>IFERROR(__xludf.DUMMYFUNCTION("""COMPUTED_VALUE"""),82.55431716035378)</f>
        <v>82.55431716</v>
      </c>
      <c r="F572" s="31">
        <f>IFERROR(__xludf.DUMMYFUNCTION("""COMPUTED_VALUE"""),10.3703586948271)</f>
        <v>10.37035869</v>
      </c>
      <c r="G572" s="31">
        <f>IFERROR(__xludf.DUMMYFUNCTION("""COMPUTED_VALUE"""),75.86883948466313)</f>
        <v>75.86883948</v>
      </c>
      <c r="H572" s="31">
        <f>IFERROR(__xludf.DUMMYFUNCTION("""COMPUTED_VALUE"""),6.649289704406265)</f>
        <v>6.649289704</v>
      </c>
      <c r="I572" s="54">
        <f>IFERROR(__xludf.DUMMYFUNCTION("""COMPUTED_VALUE"""),32.0)</f>
        <v>32</v>
      </c>
      <c r="J572" s="55">
        <f>IFERROR(__xludf.DUMMYFUNCTION("""COMPUTED_VALUE"""),19.0)</f>
        <v>19</v>
      </c>
      <c r="K572" s="54">
        <f>IFERROR(__xludf.DUMMYFUNCTION("""COMPUTED_VALUE"""),13.0)</f>
        <v>13</v>
      </c>
      <c r="L572" s="56">
        <f>IFERROR(__xludf.DUMMYFUNCTION("""COMPUTED_VALUE"""),0.59375)</f>
        <v>0.59375</v>
      </c>
      <c r="M572" s="56">
        <f>IFERROR(__xludf.DUMMYFUNCTION("""COMPUTED_VALUE"""),0.30357142857142855)</f>
        <v>0.3035714286</v>
      </c>
      <c r="N572" s="31">
        <f>IFERROR(__xludf.DUMMYFUNCTION("""COMPUTED_VALUE"""),381.59375)</f>
        <v>381.59375</v>
      </c>
      <c r="O572" s="57">
        <f>IFERROR(__xludf.DUMMYFUNCTION("""COMPUTED_VALUE"""),1.0625)</f>
        <v>1.0625</v>
      </c>
      <c r="P572" s="57">
        <f>IFERROR(__xludf.DUMMYFUNCTION("""COMPUTED_VALUE"""),0.53125)</f>
        <v>0.53125</v>
      </c>
      <c r="Q572" s="57">
        <f>IFERROR(__xludf.DUMMYFUNCTION("""COMPUTED_VALUE"""),1.21875)</f>
        <v>1.21875</v>
      </c>
      <c r="R572" s="57">
        <f>IFERROR(__xludf.DUMMYFUNCTION("""COMPUTED_VALUE"""),3.5)</f>
        <v>3.5</v>
      </c>
      <c r="S572" s="31">
        <f>IFERROR(__xludf.DUMMYFUNCTION("""COMPUTED_VALUE"""),329.13541666666663)</f>
        <v>329.1354167</v>
      </c>
      <c r="T572" s="57">
        <f>IFERROR(__xludf.DUMMYFUNCTION("""COMPUTED_VALUE"""),0.6562500000000002)</f>
        <v>0.65625</v>
      </c>
      <c r="U572" s="57">
        <f>IFERROR(__xludf.DUMMYFUNCTION("""COMPUTED_VALUE"""),0.45833333333333337)</f>
        <v>0.4583333333</v>
      </c>
      <c r="V572" s="57">
        <f>IFERROR(__xludf.DUMMYFUNCTION("""COMPUTED_VALUE"""),1.375)</f>
        <v>1.375</v>
      </c>
      <c r="W572" s="57">
        <f>IFERROR(__xludf.DUMMYFUNCTION("""COMPUTED_VALUE"""),2.1354166666666665)</f>
        <v>2.135416667</v>
      </c>
      <c r="X572" s="31">
        <f>IFERROR(__xludf.DUMMYFUNCTION("""COMPUTED_VALUE"""),345.18376257935165)</f>
        <v>345.1837626</v>
      </c>
      <c r="Y572" s="57">
        <f>IFERROR(__xludf.DUMMYFUNCTION("""COMPUTED_VALUE"""),0.7530685762243299)</f>
        <v>0.7530685762</v>
      </c>
      <c r="Z572" s="57">
        <f>IFERROR(__xludf.DUMMYFUNCTION("""COMPUTED_VALUE"""),0.5524735920566182)</f>
        <v>0.5524735921</v>
      </c>
      <c r="AA572" s="57">
        <f>IFERROR(__xludf.DUMMYFUNCTION("""COMPUTED_VALUE"""),1.338992723277898)</f>
        <v>1.338992723</v>
      </c>
      <c r="AB572" s="57">
        <f>IFERROR(__xludf.DUMMYFUNCTION("""COMPUTED_VALUE"""),2.5479027910104355)</f>
        <v>2.547902791</v>
      </c>
      <c r="AC572" s="31">
        <f>IFERROR(__xludf.DUMMYFUNCTION("""COMPUTED_VALUE"""),347.306632085397)</f>
        <v>347.3066321</v>
      </c>
      <c r="AD572" s="57">
        <f>IFERROR(__xludf.DUMMYFUNCTION("""COMPUTED_VALUE"""),0.7772790179691683)</f>
        <v>0.777279018</v>
      </c>
      <c r="AE572" s="57">
        <f>IFERROR(__xludf.DUMMYFUNCTION("""COMPUTED_VALUE"""),0.5568006701933299)</f>
        <v>0.5568006702</v>
      </c>
      <c r="AF572" s="57">
        <f>IFERROR(__xludf.DUMMYFUNCTION("""COMPUTED_VALUE"""),1.3383362954344908)</f>
        <v>1.338336295</v>
      </c>
      <c r="AG572" s="57">
        <f>IFERROR(__xludf.DUMMYFUNCTION("""COMPUTED_VALUE"""),2.55725789947596)</f>
        <v>2.557257899</v>
      </c>
      <c r="AH572" s="57">
        <f>IFERROR(__xludf.DUMMYFUNCTION("""COMPUTED_VALUE"""),1.0987229000169867)</f>
        <v>1.0987229</v>
      </c>
      <c r="AI572" s="57">
        <f>IFERROR(__xludf.DUMMYFUNCTION("""COMPUTED_VALUE"""),1.3669480012158843)</f>
        <v>1.366948001</v>
      </c>
      <c r="AJ572" s="57">
        <f>IFERROR(__xludf.DUMMYFUNCTION("""COMPUTED_VALUE"""),0.9541116389381171)</f>
        <v>0.9541116389</v>
      </c>
      <c r="AK572" s="57">
        <f>IFERROR(__xludf.DUMMYFUNCTION("""COMPUTED_VALUE"""),0.9106455560964465)</f>
        <v>0.9106455561</v>
      </c>
      <c r="AL572" s="57">
        <f>IFERROR(__xludf.DUMMYFUNCTION("""COMPUTED_VALUE"""),1.368653509963633)</f>
        <v>1.36865351</v>
      </c>
      <c r="AM572" s="57">
        <f>IFERROR(__xludf.DUMMYFUNCTION("""COMPUTED_VALUE"""),0.9535078191605383)</f>
        <v>0.9535078192</v>
      </c>
      <c r="AN572" s="57">
        <f>IFERROR(__xludf.DUMMYFUNCTION("""COMPUTED_VALUE"""),0.8714345820804923)</f>
        <v>0.8714345821</v>
      </c>
      <c r="AO572" s="57">
        <f>IFERROR(__xludf.DUMMYFUNCTION("""COMPUTED_VALUE"""),0.829602246918551)</f>
        <v>0.8296022469</v>
      </c>
      <c r="AP572" s="35">
        <f>IFERROR(__xludf.DUMMYFUNCTION("""COMPUTED_VALUE"""),1.026891316208168)</f>
        <v>1.026891316</v>
      </c>
      <c r="AQ572" s="57">
        <f>IFERROR(__xludf.DUMMYFUNCTION("""COMPUTED_VALUE"""),0.8381075895834366)</f>
        <v>0.8381075896</v>
      </c>
      <c r="AR572" s="36" t="b">
        <f>IFERROR(__xludf.DUMMYFUNCTION("""COMPUTED_VALUE"""),TRUE)</f>
        <v>1</v>
      </c>
      <c r="AS572" s="57"/>
      <c r="AT572" s="37"/>
      <c r="AU572" s="30"/>
      <c r="AV572" s="30"/>
      <c r="AW572" s="30"/>
      <c r="AX572" s="30"/>
      <c r="AY572" s="30"/>
      <c r="AZ572" s="30"/>
    </row>
    <row r="573">
      <c r="A573" s="30" t="str">
        <f>IFERROR(__xludf.DUMMYFUNCTION("""COMPUTED_VALUE"""),"Rival")</f>
        <v>Rival</v>
      </c>
      <c r="B573" s="30" t="str">
        <f>IFERROR(__xludf.DUMMYFUNCTION("""COMPUTED_VALUE"""),"RSC004347")</f>
        <v>RSC004347</v>
      </c>
      <c r="C573" s="30" t="str">
        <f>IFERROR(__xludf.DUMMYFUNCTION("""COMPUTED_VALUE"""),"Good job you")</f>
        <v>Good job you</v>
      </c>
      <c r="D573" s="31" t="str">
        <f>IFERROR(__xludf.DUMMYFUNCTION("""COMPUTED_VALUE"""),"Bulldozers")</f>
        <v>Bulldozers</v>
      </c>
      <c r="E573" s="31">
        <f>IFERROR(__xludf.DUMMYFUNCTION("""COMPUTED_VALUE"""),80.9476985799349)</f>
        <v>80.94769858</v>
      </c>
      <c r="F573" s="31">
        <f>IFERROR(__xludf.DUMMYFUNCTION("""COMPUTED_VALUE"""),9.269979960163827)</f>
        <v>9.26997996</v>
      </c>
      <c r="G573" s="31">
        <f>IFERROR(__xludf.DUMMYFUNCTION("""COMPUTED_VALUE"""),58.151772115047045)</f>
        <v>58.15177212</v>
      </c>
      <c r="H573" s="31">
        <f>IFERROR(__xludf.DUMMYFUNCTION("""COMPUTED_VALUE"""),2.686833231100436)</f>
        <v>2.686833231</v>
      </c>
      <c r="I573" s="54">
        <f>IFERROR(__xludf.DUMMYFUNCTION("""COMPUTED_VALUE"""),48.0)</f>
        <v>48</v>
      </c>
      <c r="J573" s="55">
        <f>IFERROR(__xludf.DUMMYFUNCTION("""COMPUTED_VALUE"""),35.0)</f>
        <v>35</v>
      </c>
      <c r="K573" s="54">
        <f>IFERROR(__xludf.DUMMYFUNCTION("""COMPUTED_VALUE"""),13.0)</f>
        <v>13</v>
      </c>
      <c r="L573" s="56">
        <f>IFERROR(__xludf.DUMMYFUNCTION("""COMPUTED_VALUE"""),0.7291666666666666)</f>
        <v>0.7291666667</v>
      </c>
      <c r="M573" s="56">
        <f>IFERROR(__xludf.DUMMYFUNCTION("""COMPUTED_VALUE"""),0.30935251798561153)</f>
        <v>0.309352518</v>
      </c>
      <c r="N573" s="31">
        <f>IFERROR(__xludf.DUMMYFUNCTION("""COMPUTED_VALUE"""),387.2083333333333)</f>
        <v>387.2083333</v>
      </c>
      <c r="O573" s="57">
        <f>IFERROR(__xludf.DUMMYFUNCTION("""COMPUTED_VALUE"""),0.8958333333333334)</f>
        <v>0.8958333333</v>
      </c>
      <c r="P573" s="57">
        <f>IFERROR(__xludf.DUMMYFUNCTION("""COMPUTED_VALUE"""),1.0)</f>
        <v>1</v>
      </c>
      <c r="Q573" s="57">
        <f>IFERROR(__xludf.DUMMYFUNCTION("""COMPUTED_VALUE"""),1.1458333333333333)</f>
        <v>1.145833333</v>
      </c>
      <c r="R573" s="57">
        <f>IFERROR(__xludf.DUMMYFUNCTION("""COMPUTED_VALUE"""),2.8958333333333335)</f>
        <v>2.895833333</v>
      </c>
      <c r="S573" s="31">
        <f>IFERROR(__xludf.DUMMYFUNCTION("""COMPUTED_VALUE"""),336.9305555555556)</f>
        <v>336.9305556</v>
      </c>
      <c r="T573" s="57">
        <f>IFERROR(__xludf.DUMMYFUNCTION("""COMPUTED_VALUE"""),0.6666666666666664)</f>
        <v>0.6666666667</v>
      </c>
      <c r="U573" s="57">
        <f>IFERROR(__xludf.DUMMYFUNCTION("""COMPUTED_VALUE"""),0.49999999999999994)</f>
        <v>0.5</v>
      </c>
      <c r="V573" s="57">
        <f>IFERROR(__xludf.DUMMYFUNCTION("""COMPUTED_VALUE"""),1.4375)</f>
        <v>1.4375</v>
      </c>
      <c r="W573" s="57">
        <f>IFERROR(__xludf.DUMMYFUNCTION("""COMPUTED_VALUE"""),2.743055555555555)</f>
        <v>2.743055556</v>
      </c>
      <c r="X573" s="31">
        <f>IFERROR(__xludf.DUMMYFUNCTION("""COMPUTED_VALUE"""),339.52088666888284)</f>
        <v>339.5208867</v>
      </c>
      <c r="Y573" s="57">
        <f>IFERROR(__xludf.DUMMYFUNCTION("""COMPUTED_VALUE"""),0.7426879511280485)</f>
        <v>0.7426879511</v>
      </c>
      <c r="Z573" s="57">
        <f>IFERROR(__xludf.DUMMYFUNCTION("""COMPUTED_VALUE"""),0.5258822181065465)</f>
        <v>0.5258822181</v>
      </c>
      <c r="AA573" s="57">
        <f>IFERROR(__xludf.DUMMYFUNCTION("""COMPUTED_VALUE"""),1.3070280744543374)</f>
        <v>1.307028074</v>
      </c>
      <c r="AB573" s="57">
        <f>IFERROR(__xludf.DUMMYFUNCTION("""COMPUTED_VALUE"""),2.511887875887363)</f>
        <v>2.511887876</v>
      </c>
      <c r="AC573" s="31">
        <f>IFERROR(__xludf.DUMMYFUNCTION("""COMPUTED_VALUE"""),357.0213127094212)</f>
        <v>357.0213127</v>
      </c>
      <c r="AD573" s="57">
        <f>IFERROR(__xludf.DUMMYFUNCTION("""COMPUTED_VALUE"""),0.8324156040695304)</f>
        <v>0.8324156041</v>
      </c>
      <c r="AE573" s="57">
        <f>IFERROR(__xludf.DUMMYFUNCTION("""COMPUTED_VALUE"""),0.608501919953064)</f>
        <v>0.60850192</v>
      </c>
      <c r="AF573" s="57">
        <f>IFERROR(__xludf.DUMMYFUNCTION("""COMPUTED_VALUE"""),1.325758401207523)</f>
        <v>1.325758401</v>
      </c>
      <c r="AG573" s="57">
        <f>IFERROR(__xludf.DUMMYFUNCTION("""COMPUTED_VALUE"""),2.6380657638773224)</f>
        <v>2.638065764</v>
      </c>
      <c r="AH573" s="57">
        <f>IFERROR(__xludf.DUMMYFUNCTION("""COMPUTED_VALUE"""),1.0845524330041363)</f>
        <v>1.084552433</v>
      </c>
      <c r="AI573" s="57">
        <f>IFERROR(__xludf.DUMMYFUNCTION("""COMPUTED_VALUE"""),1.076185175955094)</f>
        <v>1.076185176</v>
      </c>
      <c r="AJ573" s="57">
        <f>IFERROR(__xludf.DUMMYFUNCTION("""COMPUTED_VALUE"""),1.6433801886395587)</f>
        <v>1.643380189</v>
      </c>
      <c r="AK573" s="57">
        <f>IFERROR(__xludf.DUMMYFUNCTION("""COMPUTED_VALUE"""),0.8642851761600674)</f>
        <v>0.8642851762</v>
      </c>
      <c r="AL573" s="57">
        <f>IFERROR(__xludf.DUMMYFUNCTION("""COMPUTED_VALUE"""),1.097710820171956)</f>
        <v>1.09771082</v>
      </c>
      <c r="AM573" s="57">
        <f>IFERROR(__xludf.DUMMYFUNCTION("""COMPUTED_VALUE"""),0.992370628096723)</f>
        <v>0.9923706281</v>
      </c>
      <c r="AN573" s="57">
        <f>IFERROR(__xludf.DUMMYFUNCTION("""COMPUTED_VALUE"""),0.8976403422919202)</f>
        <v>0.8976403423</v>
      </c>
      <c r="AO573" s="57">
        <f>IFERROR(__xludf.DUMMYFUNCTION("""COMPUTED_VALUE"""),0.9507832415407843)</f>
        <v>0.9507832415</v>
      </c>
      <c r="AP573" s="35">
        <f>IFERROR(__xludf.DUMMYFUNCTION("""COMPUTED_VALUE"""),1.0998233535267652)</f>
        <v>1.099823354</v>
      </c>
      <c r="AQ573" s="57">
        <f>IFERROR(__xludf.DUMMYFUNCTION("""COMPUTED_VALUE"""),1.0920294579576044)</f>
        <v>1.092029458</v>
      </c>
      <c r="AR573" s="36" t="b">
        <f>IFERROR(__xludf.DUMMYFUNCTION("""COMPUTED_VALUE"""),TRUE)</f>
        <v>1</v>
      </c>
      <c r="AS573" s="57"/>
      <c r="AT573" s="37"/>
      <c r="AU573" s="30"/>
      <c r="AV573" s="30"/>
      <c r="AW573" s="30"/>
      <c r="AX573" s="30"/>
      <c r="AY573" s="30"/>
      <c r="AZ573" s="30"/>
    </row>
    <row r="574">
      <c r="A574" s="30" t="str">
        <f>IFERROR(__xludf.DUMMYFUNCTION("""COMPUTED_VALUE"""),"Rival")</f>
        <v>Rival</v>
      </c>
      <c r="B574" s="30" t="str">
        <f>IFERROR(__xludf.DUMMYFUNCTION("""COMPUTED_VALUE"""),"RSC006089")</f>
        <v>RSC006089</v>
      </c>
      <c r="C574" s="30" t="str">
        <f>IFERROR(__xludf.DUMMYFUNCTION("""COMPUTED_VALUE"""),"ZeroPop11")</f>
        <v>ZeroPop11</v>
      </c>
      <c r="D574" s="31" t="str">
        <f>IFERROR(__xludf.DUMMYFUNCTION("""COMPUTED_VALUE"""),"Wind")</f>
        <v>Wind</v>
      </c>
      <c r="E574" s="31">
        <f>IFERROR(__xludf.DUMMYFUNCTION("""COMPUTED_VALUE"""),79.41825898472624)</f>
        <v>79.41825898</v>
      </c>
      <c r="F574" s="31">
        <f>IFERROR(__xludf.DUMMYFUNCTION("""COMPUTED_VALUE"""),8.357600102082849)</f>
        <v>8.357600102</v>
      </c>
      <c r="G574" s="31">
        <f>IFERROR(__xludf.DUMMYFUNCTION("""COMPUTED_VALUE"""),68.311316103141)</f>
        <v>68.3113161</v>
      </c>
      <c r="H574" s="31">
        <f>IFERROR(__xludf.DUMMYFUNCTION("""COMPUTED_VALUE"""),4.311345200381041)</f>
        <v>4.3113452</v>
      </c>
      <c r="I574" s="54">
        <f>IFERROR(__xludf.DUMMYFUNCTION("""COMPUTED_VALUE"""),40.0)</f>
        <v>40</v>
      </c>
      <c r="J574" s="55">
        <f>IFERROR(__xludf.DUMMYFUNCTION("""COMPUTED_VALUE"""),22.0)</f>
        <v>22</v>
      </c>
      <c r="K574" s="54">
        <f>IFERROR(__xludf.DUMMYFUNCTION("""COMPUTED_VALUE"""),18.0)</f>
        <v>18</v>
      </c>
      <c r="L574" s="56">
        <f>IFERROR(__xludf.DUMMYFUNCTION("""COMPUTED_VALUE"""),0.55)</f>
        <v>0.55</v>
      </c>
      <c r="M574" s="56">
        <f>IFERROR(__xludf.DUMMYFUNCTION("""COMPUTED_VALUE"""),0.3383458646616541)</f>
        <v>0.3383458647</v>
      </c>
      <c r="N574" s="31">
        <f>IFERROR(__xludf.DUMMYFUNCTION("""COMPUTED_VALUE"""),433.175)</f>
        <v>433.175</v>
      </c>
      <c r="O574" s="57">
        <f>IFERROR(__xludf.DUMMYFUNCTION("""COMPUTED_VALUE"""),1.125)</f>
        <v>1.125</v>
      </c>
      <c r="P574" s="57">
        <f>IFERROR(__xludf.DUMMYFUNCTION("""COMPUTED_VALUE"""),0.55)</f>
        <v>0.55</v>
      </c>
      <c r="Q574" s="57">
        <f>IFERROR(__xludf.DUMMYFUNCTION("""COMPUTED_VALUE"""),1.85)</f>
        <v>1.85</v>
      </c>
      <c r="R574" s="57">
        <f>IFERROR(__xludf.DUMMYFUNCTION("""COMPUTED_VALUE"""),3.325)</f>
        <v>3.325</v>
      </c>
      <c r="S574" s="31">
        <f>IFERROR(__xludf.DUMMYFUNCTION("""COMPUTED_VALUE"""),361.45)</f>
        <v>361.45</v>
      </c>
      <c r="T574" s="57">
        <f>IFERROR(__xludf.DUMMYFUNCTION("""COMPUTED_VALUE"""),0.8083333333333332)</f>
        <v>0.8083333333</v>
      </c>
      <c r="U574" s="57">
        <f>IFERROR(__xludf.DUMMYFUNCTION("""COMPUTED_VALUE"""),0.625)</f>
        <v>0.625</v>
      </c>
      <c r="V574" s="57">
        <f>IFERROR(__xludf.DUMMYFUNCTION("""COMPUTED_VALUE"""),1.3833333333333333)</f>
        <v>1.383333333</v>
      </c>
      <c r="W574" s="57">
        <f>IFERROR(__xludf.DUMMYFUNCTION("""COMPUTED_VALUE"""),2.8500000000000005)</f>
        <v>2.85</v>
      </c>
      <c r="X574" s="31">
        <f>IFERROR(__xludf.DUMMYFUNCTION("""COMPUTED_VALUE"""),347.40878183370444)</f>
        <v>347.4087818</v>
      </c>
      <c r="Y574" s="57">
        <f>IFERROR(__xludf.DUMMYFUNCTION("""COMPUTED_VALUE"""),0.7902390935474816)</f>
        <v>0.7902390935</v>
      </c>
      <c r="Z574" s="57">
        <f>IFERROR(__xludf.DUMMYFUNCTION("""COMPUTED_VALUE"""),0.5654766188301361)</f>
        <v>0.5654766188</v>
      </c>
      <c r="AA574" s="57">
        <f>IFERROR(__xludf.DUMMYFUNCTION("""COMPUTED_VALUE"""),1.3058985633735527)</f>
        <v>1.305898563</v>
      </c>
      <c r="AB574" s="57">
        <f>IFERROR(__xludf.DUMMYFUNCTION("""COMPUTED_VALUE"""),2.6319546995872023)</f>
        <v>2.6319547</v>
      </c>
      <c r="AC574" s="31">
        <f>IFERROR(__xludf.DUMMYFUNCTION("""COMPUTED_VALUE"""),355.7549801000899)</f>
        <v>355.7549801</v>
      </c>
      <c r="AD574" s="57">
        <f>IFERROR(__xludf.DUMMYFUNCTION("""COMPUTED_VALUE"""),0.832867078790842)</f>
        <v>0.8328670788</v>
      </c>
      <c r="AE574" s="57">
        <f>IFERROR(__xludf.DUMMYFUNCTION("""COMPUTED_VALUE"""),0.5851810287127035)</f>
        <v>0.5851810287</v>
      </c>
      <c r="AF574" s="57">
        <f>IFERROR(__xludf.DUMMYFUNCTION("""COMPUTED_VALUE"""),1.3547293845202155)</f>
        <v>1.354729385</v>
      </c>
      <c r="AG574" s="57">
        <f>IFERROR(__xludf.DUMMYFUNCTION("""COMPUTED_VALUE"""),2.6135462170284436)</f>
        <v>2.613546217</v>
      </c>
      <c r="AH574" s="57">
        <f>IFERROR(__xludf.DUMMYFUNCTION("""COMPUTED_VALUE"""),1.2176217459503402)</f>
        <v>1.217621746</v>
      </c>
      <c r="AI574" s="57">
        <f>IFERROR(__xludf.DUMMYFUNCTION("""COMPUTED_VALUE"""),1.3507557552079945)</f>
        <v>1.350755755</v>
      </c>
      <c r="AJ574" s="57">
        <f>IFERROR(__xludf.DUMMYFUNCTION("""COMPUTED_VALUE"""),0.939880093532602)</f>
        <v>0.9398800935</v>
      </c>
      <c r="AK574" s="57">
        <f>IFERROR(__xludf.DUMMYFUNCTION("""COMPUTED_VALUE"""),1.3655863828887032)</f>
        <v>1.365586383</v>
      </c>
      <c r="AL574" s="57">
        <f>IFERROR(__xludf.DUMMYFUNCTION("""COMPUTED_VALUE"""),1.2722177929497138)</f>
        <v>1.272217793</v>
      </c>
      <c r="AM574" s="57">
        <f>IFERROR(__xludf.DUMMYFUNCTION("""COMPUTED_VALUE"""),1.0404169926050306)</f>
        <v>1.040416993</v>
      </c>
      <c r="AN574" s="57">
        <f>IFERROR(__xludf.DUMMYFUNCTION("""COMPUTED_VALUE"""),1.0228971711645198)</f>
        <v>1.022897171</v>
      </c>
      <c r="AO574" s="57">
        <f>IFERROR(__xludf.DUMMYFUNCTION("""COMPUTED_VALUE"""),1.1052623206473267)</f>
        <v>1.105262321</v>
      </c>
      <c r="AP574" s="35">
        <f>IFERROR(__xludf.DUMMYFUNCTION("""COMPUTED_VALUE"""),1.0592961598485429)</f>
        <v>1.05929616</v>
      </c>
      <c r="AQ574" s="57">
        <f>IFERROR(__xludf.DUMMYFUNCTION("""COMPUTED_VALUE"""),1.082845385008715)</f>
        <v>1.082845385</v>
      </c>
      <c r="AR574" s="36" t="b">
        <f>IFERROR(__xludf.DUMMYFUNCTION("""COMPUTED_VALUE"""),TRUE)</f>
        <v>1</v>
      </c>
      <c r="AS574" s="57"/>
      <c r="AT574" s="37"/>
      <c r="AU574" s="30"/>
      <c r="AV574" s="30"/>
      <c r="AW574" s="30"/>
      <c r="AX574" s="30"/>
      <c r="AY574" s="30"/>
      <c r="AZ574" s="30"/>
    </row>
    <row r="575">
      <c r="A575" s="30" t="str">
        <f>IFERROR(__xludf.DUMMYFUNCTION("""COMPUTED_VALUE"""),"Rival")</f>
        <v>Rival</v>
      </c>
      <c r="B575" s="30" t="str">
        <f>IFERROR(__xludf.DUMMYFUNCTION("""COMPUTED_VALUE"""),"RSC006678")</f>
        <v>RSC006678</v>
      </c>
      <c r="C575" s="30" t="str">
        <f>IFERROR(__xludf.DUMMYFUNCTION("""COMPUTED_VALUE"""),"EyeSucka")</f>
        <v>EyeSucka</v>
      </c>
      <c r="D575" s="31" t="str">
        <f>IFERROR(__xludf.DUMMYFUNCTION("""COMPUTED_VALUE"""),"Mining Legion")</f>
        <v>Mining Legion</v>
      </c>
      <c r="E575" s="31">
        <f>IFERROR(__xludf.DUMMYFUNCTION("""COMPUTED_VALUE"""),79.34157995595)</f>
        <v>79.34157996</v>
      </c>
      <c r="F575" s="31">
        <f>IFERROR(__xludf.DUMMYFUNCTION("""COMPUTED_VALUE"""),8.314972608084387)</f>
        <v>8.314972608</v>
      </c>
      <c r="G575" s="31">
        <f>IFERROR(__xludf.DUMMYFUNCTION("""COMPUTED_VALUE"""),68.66038681816445)</f>
        <v>68.66038682</v>
      </c>
      <c r="H575" s="31">
        <f>IFERROR(__xludf.DUMMYFUNCTION("""COMPUTED_VALUE"""),4.391584644503293)</f>
        <v>4.391584645</v>
      </c>
      <c r="I575" s="54">
        <f>IFERROR(__xludf.DUMMYFUNCTION("""COMPUTED_VALUE"""),13.0)</f>
        <v>13</v>
      </c>
      <c r="J575" s="55">
        <f>IFERROR(__xludf.DUMMYFUNCTION("""COMPUTED_VALUE"""),7.0)</f>
        <v>7</v>
      </c>
      <c r="K575" s="54">
        <f>IFERROR(__xludf.DUMMYFUNCTION("""COMPUTED_VALUE"""),6.0)</f>
        <v>6</v>
      </c>
      <c r="L575" s="56">
        <f>IFERROR(__xludf.DUMMYFUNCTION("""COMPUTED_VALUE"""),0.5384615384615384)</f>
        <v>0.5384615385</v>
      </c>
      <c r="M575" s="56">
        <f>IFERROR(__xludf.DUMMYFUNCTION("""COMPUTED_VALUE"""),0.40625)</f>
        <v>0.40625</v>
      </c>
      <c r="N575" s="31">
        <f>IFERROR(__xludf.DUMMYFUNCTION("""COMPUTED_VALUE"""),401.2307692307692)</f>
        <v>401.2307692</v>
      </c>
      <c r="O575" s="57">
        <f>IFERROR(__xludf.DUMMYFUNCTION("""COMPUTED_VALUE"""),1.0)</f>
        <v>1</v>
      </c>
      <c r="P575" s="57">
        <f>IFERROR(__xludf.DUMMYFUNCTION("""COMPUTED_VALUE"""),0.8461538461538461)</f>
        <v>0.8461538462</v>
      </c>
      <c r="Q575" s="57">
        <f>IFERROR(__xludf.DUMMYFUNCTION("""COMPUTED_VALUE"""),1.7692307692307692)</f>
        <v>1.769230769</v>
      </c>
      <c r="R575" s="57">
        <f>IFERROR(__xludf.DUMMYFUNCTION("""COMPUTED_VALUE"""),2.4615384615384617)</f>
        <v>2.461538462</v>
      </c>
      <c r="S575" s="31">
        <f>IFERROR(__xludf.DUMMYFUNCTION("""COMPUTED_VALUE"""),362.2051282051283)</f>
        <v>362.2051282</v>
      </c>
      <c r="T575" s="57">
        <f>IFERROR(__xludf.DUMMYFUNCTION("""COMPUTED_VALUE"""),0.8717948717948717)</f>
        <v>0.8717948718</v>
      </c>
      <c r="U575" s="57">
        <f>IFERROR(__xludf.DUMMYFUNCTION("""COMPUTED_VALUE"""),0.7692307692307694)</f>
        <v>0.7692307692</v>
      </c>
      <c r="V575" s="57">
        <f>IFERROR(__xludf.DUMMYFUNCTION("""COMPUTED_VALUE"""),1.1025641025641024)</f>
        <v>1.102564103</v>
      </c>
      <c r="W575" s="57">
        <f>IFERROR(__xludf.DUMMYFUNCTION("""COMPUTED_VALUE"""),2.769230769230769)</f>
        <v>2.769230769</v>
      </c>
      <c r="X575" s="31">
        <f>IFERROR(__xludf.DUMMYFUNCTION("""COMPUTED_VALUE"""),355.7210927746145)</f>
        <v>355.7210928</v>
      </c>
      <c r="Y575" s="57">
        <f>IFERROR(__xludf.DUMMYFUNCTION("""COMPUTED_VALUE"""),0.8059080620851281)</f>
        <v>0.8059080621</v>
      </c>
      <c r="Z575" s="57">
        <f>IFERROR(__xludf.DUMMYFUNCTION("""COMPUTED_VALUE"""),0.5997882953973689)</f>
        <v>0.5997882954</v>
      </c>
      <c r="AA575" s="57">
        <f>IFERROR(__xludf.DUMMYFUNCTION("""COMPUTED_VALUE"""),1.2639752967301194)</f>
        <v>1.263975297</v>
      </c>
      <c r="AB575" s="57">
        <f>IFERROR(__xludf.DUMMYFUNCTION("""COMPUTED_VALUE"""),2.6928870343314264)</f>
        <v>2.692887034</v>
      </c>
      <c r="AC575" s="31">
        <f>IFERROR(__xludf.DUMMYFUNCTION("""COMPUTED_VALUE"""),339.53650940639807)</f>
        <v>339.5365094</v>
      </c>
      <c r="AD575" s="57">
        <f>IFERROR(__xludf.DUMMYFUNCTION("""COMPUTED_VALUE"""),0.7291681712893112)</f>
        <v>0.7291681713</v>
      </c>
      <c r="AE575" s="57">
        <f>IFERROR(__xludf.DUMMYFUNCTION("""COMPUTED_VALUE"""),0.5109194265699782)</f>
        <v>0.5109194266</v>
      </c>
      <c r="AF575" s="57">
        <f>IFERROR(__xludf.DUMMYFUNCTION("""COMPUTED_VALUE"""),1.3385805439389626)</f>
        <v>1.338580544</v>
      </c>
      <c r="AG575" s="57">
        <f>IFERROR(__xludf.DUMMYFUNCTION("""COMPUTED_VALUE"""),2.405389936038106)</f>
        <v>2.405389936</v>
      </c>
      <c r="AH575" s="57">
        <f>IFERROR(__xludf.DUMMYFUNCTION("""COMPUTED_VALUE"""),1.1817014021032066)</f>
        <v>1.181701402</v>
      </c>
      <c r="AI575" s="57">
        <f>IFERROR(__xludf.DUMMYFUNCTION("""COMPUTED_VALUE"""),1.3714257415155757)</f>
        <v>1.371425742</v>
      </c>
      <c r="AJ575" s="57">
        <f>IFERROR(__xludf.DUMMYFUNCTION("""COMPUTED_VALUE"""),1.6561395048813092)</f>
        <v>1.656139505</v>
      </c>
      <c r="AK575" s="57">
        <f>IFERROR(__xludf.DUMMYFUNCTION("""COMPUTED_VALUE"""),1.3217215633693264)</f>
        <v>1.321721563</v>
      </c>
      <c r="AL575" s="57">
        <f>IFERROR(__xludf.DUMMYFUNCTION("""COMPUTED_VALUE"""),1.023342795552241)</f>
        <v>1.023342796</v>
      </c>
      <c r="AM575" s="57">
        <f>IFERROR(__xludf.DUMMYFUNCTION("""COMPUTED_VALUE"""),1.0182278632395356)</f>
        <v>1.018227863</v>
      </c>
      <c r="AN575" s="57">
        <f>IFERROR(__xludf.DUMMYFUNCTION("""COMPUTED_VALUE"""),1.0817547469859954)</f>
        <v>1.081754747</v>
      </c>
      <c r="AO575" s="57">
        <f>IFERROR(__xludf.DUMMYFUNCTION("""COMPUTED_VALUE"""),1.282503801980901)</f>
        <v>1.282503802</v>
      </c>
      <c r="AP575" s="35">
        <f>IFERROR(__xludf.DUMMYFUNCTION("""COMPUTED_VALUE"""),0.8722987746804983)</f>
        <v>0.8722987747</v>
      </c>
      <c r="AQ575" s="57">
        <f>IFERROR(__xludf.DUMMYFUNCTION("""COMPUTED_VALUE"""),1.028350143888712)</f>
        <v>1.028350144</v>
      </c>
      <c r="AR575" s="36" t="b">
        <f>IFERROR(__xludf.DUMMYFUNCTION("""COMPUTED_VALUE"""),TRUE)</f>
        <v>1</v>
      </c>
      <c r="AS575" s="57"/>
      <c r="AT575" s="37"/>
      <c r="AU575" s="30"/>
      <c r="AV575" s="30"/>
      <c r="AW575" s="30"/>
      <c r="AX575" s="30"/>
      <c r="AY575" s="30"/>
      <c r="AZ575" s="30"/>
    </row>
    <row r="576">
      <c r="A576" s="30" t="str">
        <f>IFERROR(__xludf.DUMMYFUNCTION("""COMPUTED_VALUE"""),"Rival")</f>
        <v>Rival</v>
      </c>
      <c r="B576" s="30" t="str">
        <f>IFERROR(__xludf.DUMMYFUNCTION("""COMPUTED_VALUE"""),"RSC005691")</f>
        <v>RSC005691</v>
      </c>
      <c r="C576" s="30" t="str">
        <f>IFERROR(__xludf.DUMMYFUNCTION("""COMPUTED_VALUE"""),"Dr.Ukulele")</f>
        <v>Dr.Ukulele</v>
      </c>
      <c r="D576" s="31" t="str">
        <f>IFERROR(__xludf.DUMMYFUNCTION("""COMPUTED_VALUE"""),"Hot Wings")</f>
        <v>Hot Wings</v>
      </c>
      <c r="E576" s="31">
        <f>IFERROR(__xludf.DUMMYFUNCTION("""COMPUTED_VALUE"""),78.02808726424263)</f>
        <v>78.02808726</v>
      </c>
      <c r="F576" s="31">
        <f>IFERROR(__xludf.DUMMYFUNCTION("""COMPUTED_VALUE"""),7.626738249863317)</f>
        <v>7.62673825</v>
      </c>
      <c r="G576" s="31">
        <f>IFERROR(__xludf.DUMMYFUNCTION("""COMPUTED_VALUE"""),55.0388779304132)</f>
        <v>55.03887793</v>
      </c>
      <c r="H576" s="31">
        <f>IFERROR(__xludf.DUMMYFUNCTION("""COMPUTED_VALUE"""),2.3802027976281845)</f>
        <v>2.380202798</v>
      </c>
      <c r="I576" s="54">
        <f>IFERROR(__xludf.DUMMYFUNCTION("""COMPUTED_VALUE"""),43.0)</f>
        <v>43</v>
      </c>
      <c r="J576" s="55">
        <f>IFERROR(__xludf.DUMMYFUNCTION("""COMPUTED_VALUE"""),27.0)</f>
        <v>27</v>
      </c>
      <c r="K576" s="54">
        <f>IFERROR(__xludf.DUMMYFUNCTION("""COMPUTED_VALUE"""),16.0)</f>
        <v>16</v>
      </c>
      <c r="L576" s="56">
        <f>IFERROR(__xludf.DUMMYFUNCTION("""COMPUTED_VALUE"""),0.627906976744186)</f>
        <v>0.6279069767</v>
      </c>
      <c r="M576" s="56">
        <f>IFERROR(__xludf.DUMMYFUNCTION("""COMPUTED_VALUE"""),0.3333333333333333)</f>
        <v>0.3333333333</v>
      </c>
      <c r="N576" s="31">
        <f>IFERROR(__xludf.DUMMYFUNCTION("""COMPUTED_VALUE"""),381.1860465116279)</f>
        <v>381.1860465</v>
      </c>
      <c r="O576" s="57">
        <f>IFERROR(__xludf.DUMMYFUNCTION("""COMPUTED_VALUE"""),1.0)</f>
        <v>1</v>
      </c>
      <c r="P576" s="57">
        <f>IFERROR(__xludf.DUMMYFUNCTION("""COMPUTED_VALUE"""),0.627906976744186)</f>
        <v>0.6279069767</v>
      </c>
      <c r="Q576" s="57">
        <f>IFERROR(__xludf.DUMMYFUNCTION("""COMPUTED_VALUE"""),1.4883720930232558)</f>
        <v>1.488372093</v>
      </c>
      <c r="R576" s="57">
        <f>IFERROR(__xludf.DUMMYFUNCTION("""COMPUTED_VALUE"""),3.0)</f>
        <v>3</v>
      </c>
      <c r="S576" s="31">
        <f>IFERROR(__xludf.DUMMYFUNCTION("""COMPUTED_VALUE"""),336.5348837209302)</f>
        <v>336.5348837</v>
      </c>
      <c r="T576" s="57">
        <f>IFERROR(__xludf.DUMMYFUNCTION("""COMPUTED_VALUE"""),0.7286821705426358)</f>
        <v>0.7286821705</v>
      </c>
      <c r="U576" s="57">
        <f>IFERROR(__xludf.DUMMYFUNCTION("""COMPUTED_VALUE"""),0.434108527131783)</f>
        <v>0.4341085271</v>
      </c>
      <c r="V576" s="57">
        <f>IFERROR(__xludf.DUMMYFUNCTION("""COMPUTED_VALUE"""),1.5116279069767442)</f>
        <v>1.511627907</v>
      </c>
      <c r="W576" s="57">
        <f>IFERROR(__xludf.DUMMYFUNCTION("""COMPUTED_VALUE"""),2.550387596899226)</f>
        <v>2.550387597</v>
      </c>
      <c r="X576" s="31">
        <f>IFERROR(__xludf.DUMMYFUNCTION("""COMPUTED_VALUE"""),349.39904873184327)</f>
        <v>349.3990487</v>
      </c>
      <c r="Y576" s="57">
        <f>IFERROR(__xludf.DUMMYFUNCTION("""COMPUTED_VALUE"""),0.824908556692861)</f>
        <v>0.8249085567</v>
      </c>
      <c r="Z576" s="57">
        <f>IFERROR(__xludf.DUMMYFUNCTION("""COMPUTED_VALUE"""),0.5672321679478456)</f>
        <v>0.5672321679</v>
      </c>
      <c r="AA576" s="57">
        <f>IFERROR(__xludf.DUMMYFUNCTION("""COMPUTED_VALUE"""),1.29595538476032)</f>
        <v>1.295955385</v>
      </c>
      <c r="AB576" s="57">
        <f>IFERROR(__xludf.DUMMYFUNCTION("""COMPUTED_VALUE"""),2.629466899993262)</f>
        <v>2.6294669</v>
      </c>
      <c r="AC576" s="31">
        <f>IFERROR(__xludf.DUMMYFUNCTION("""COMPUTED_VALUE"""),346.2062799243471)</f>
        <v>346.2062799</v>
      </c>
      <c r="AD576" s="57">
        <f>IFERROR(__xludf.DUMMYFUNCTION("""COMPUTED_VALUE"""),0.7755519095153633)</f>
        <v>0.7755519095</v>
      </c>
      <c r="AE576" s="57">
        <f>IFERROR(__xludf.DUMMYFUNCTION("""COMPUTED_VALUE"""),0.5642240045563873)</f>
        <v>0.5642240046</v>
      </c>
      <c r="AF576" s="57">
        <f>IFERROR(__xludf.DUMMYFUNCTION("""COMPUTED_VALUE"""),1.3418428473017392)</f>
        <v>1.341842847</v>
      </c>
      <c r="AG576" s="57">
        <f>IFERROR(__xludf.DUMMYFUNCTION("""COMPUTED_VALUE"""),2.5498237695986923)</f>
        <v>2.54982377</v>
      </c>
      <c r="AH576" s="57">
        <f>IFERROR(__xludf.DUMMYFUNCTION("""COMPUTED_VALUE"""),1.1010373543626204)</f>
        <v>1.101037354</v>
      </c>
      <c r="AI576" s="57">
        <f>IFERROR(__xludf.DUMMYFUNCTION("""COMPUTED_VALUE"""),1.2894043425473514)</f>
        <v>1.289404343</v>
      </c>
      <c r="AJ576" s="57">
        <f>IFERROR(__xludf.DUMMYFUNCTION("""COMPUTED_VALUE"""),1.1128682432394357)</f>
        <v>1.112868243</v>
      </c>
      <c r="AK576" s="57">
        <f>IFERROR(__xludf.DUMMYFUNCTION("""COMPUTED_VALUE"""),1.1092000050648008)</f>
        <v>1.109200005</v>
      </c>
      <c r="AL576" s="57">
        <f>IFERROR(__xludf.DUMMYFUNCTION("""COMPUTED_VALUE"""),1.1765518996915458)</f>
        <v>1.1765519</v>
      </c>
      <c r="AM576" s="57">
        <f>IFERROR(__xludf.DUMMYFUNCTION("""COMPUTED_VALUE"""),0.9631820262315997)</f>
        <v>0.9631820262</v>
      </c>
      <c r="AN576" s="57">
        <f>IFERROR(__xludf.DUMMYFUNCTION("""COMPUTED_VALUE"""),0.8833490265442194)</f>
        <v>0.8833490265</v>
      </c>
      <c r="AO576" s="57">
        <f>IFERROR(__xludf.DUMMYFUNCTION("""COMPUTED_VALUE"""),0.7653101351820676)</f>
        <v>0.7653101352</v>
      </c>
      <c r="AP576" s="35">
        <f>IFERROR(__xludf.DUMMYFUNCTION("""COMPUTED_VALUE"""),1.1664197122467388)</f>
        <v>1.166419712</v>
      </c>
      <c r="AQ576" s="57">
        <f>IFERROR(__xludf.DUMMYFUNCTION("""COMPUTED_VALUE"""),0.9699257278750157)</f>
        <v>0.9699257279</v>
      </c>
      <c r="AR576" s="36" t="b">
        <f>IFERROR(__xludf.DUMMYFUNCTION("""COMPUTED_VALUE"""),TRUE)</f>
        <v>1</v>
      </c>
      <c r="AS576" s="57"/>
      <c r="AT576" s="37"/>
      <c r="AU576" s="30"/>
      <c r="AV576" s="30"/>
      <c r="AW576" s="30"/>
      <c r="AX576" s="30"/>
      <c r="AY576" s="30"/>
      <c r="AZ576" s="30"/>
    </row>
    <row r="577">
      <c r="A577" s="30" t="str">
        <f>IFERROR(__xludf.DUMMYFUNCTION("""COMPUTED_VALUE"""),"Rival")</f>
        <v>Rival</v>
      </c>
      <c r="B577" s="30" t="str">
        <f>IFERROR(__xludf.DUMMYFUNCTION("""COMPUTED_VALUE"""),"RSC005518")</f>
        <v>RSC005518</v>
      </c>
      <c r="C577" s="30" t="str">
        <f>IFERROR(__xludf.DUMMYFUNCTION("""COMPUTED_VALUE"""),"PublicEnemy#1")</f>
        <v>PublicEnemy#1</v>
      </c>
      <c r="D577" s="31" t="str">
        <f>IFERROR(__xludf.DUMMYFUNCTION("""COMPUTED_VALUE"""),"Jetstream")</f>
        <v>Jetstream</v>
      </c>
      <c r="E577" s="31">
        <f>IFERROR(__xludf.DUMMYFUNCTION("""COMPUTED_VALUE"""),77.37754333245948)</f>
        <v>77.37754333</v>
      </c>
      <c r="F577" s="31">
        <f>IFERROR(__xludf.DUMMYFUNCTION("""COMPUTED_VALUE"""),7.313361120420858)</f>
        <v>7.31336112</v>
      </c>
      <c r="G577" s="31">
        <f>IFERROR(__xludf.DUMMYFUNCTION("""COMPUTED_VALUE"""),69.78090623800512)</f>
        <v>69.78090624</v>
      </c>
      <c r="H577" s="31">
        <f>IFERROR(__xludf.DUMMYFUNCTION("""COMPUTED_VALUE"""),4.664112298384981)</f>
        <v>4.664112298</v>
      </c>
      <c r="I577" s="54">
        <f>IFERROR(__xludf.DUMMYFUNCTION("""COMPUTED_VALUE"""),32.0)</f>
        <v>32</v>
      </c>
      <c r="J577" s="55">
        <f>IFERROR(__xludf.DUMMYFUNCTION("""COMPUTED_VALUE"""),16.0)</f>
        <v>16</v>
      </c>
      <c r="K577" s="54">
        <f>IFERROR(__xludf.DUMMYFUNCTION("""COMPUTED_VALUE"""),16.0)</f>
        <v>16</v>
      </c>
      <c r="L577" s="56">
        <f>IFERROR(__xludf.DUMMYFUNCTION("""COMPUTED_VALUE"""),0.5)</f>
        <v>0.5</v>
      </c>
      <c r="M577" s="56">
        <f>IFERROR(__xludf.DUMMYFUNCTION("""COMPUTED_VALUE"""),0.3235294117647059)</f>
        <v>0.3235294118</v>
      </c>
      <c r="N577" s="31">
        <f>IFERROR(__xludf.DUMMYFUNCTION("""COMPUTED_VALUE"""),428.875)</f>
        <v>428.875</v>
      </c>
      <c r="O577" s="57">
        <f>IFERROR(__xludf.DUMMYFUNCTION("""COMPUTED_VALUE"""),1.03125)</f>
        <v>1.03125</v>
      </c>
      <c r="P577" s="57">
        <f>IFERROR(__xludf.DUMMYFUNCTION("""COMPUTED_VALUE"""),0.53125)</f>
        <v>0.53125</v>
      </c>
      <c r="Q577" s="57">
        <f>IFERROR(__xludf.DUMMYFUNCTION("""COMPUTED_VALUE"""),1.625)</f>
        <v>1.625</v>
      </c>
      <c r="R577" s="57">
        <f>IFERROR(__xludf.DUMMYFUNCTION("""COMPUTED_VALUE"""),3.1875)</f>
        <v>3.1875</v>
      </c>
      <c r="S577" s="31">
        <f>IFERROR(__xludf.DUMMYFUNCTION("""COMPUTED_VALUE"""),345.88541666666663)</f>
        <v>345.8854167</v>
      </c>
      <c r="T577" s="57">
        <f>IFERROR(__xludf.DUMMYFUNCTION("""COMPUTED_VALUE"""),0.6874999999999999)</f>
        <v>0.6875</v>
      </c>
      <c r="U577" s="57">
        <f>IFERROR(__xludf.DUMMYFUNCTION("""COMPUTED_VALUE"""),0.5104166666666667)</f>
        <v>0.5104166667</v>
      </c>
      <c r="V577" s="57">
        <f>IFERROR(__xludf.DUMMYFUNCTION("""COMPUTED_VALUE"""),1.3020833333333335)</f>
        <v>1.302083333</v>
      </c>
      <c r="W577" s="57">
        <f>IFERROR(__xludf.DUMMYFUNCTION("""COMPUTED_VALUE"""),2.6562500000000004)</f>
        <v>2.65625</v>
      </c>
      <c r="X577" s="31">
        <f>IFERROR(__xludf.DUMMYFUNCTION("""COMPUTED_VALUE"""),352.96059216845924)</f>
        <v>352.9605922</v>
      </c>
      <c r="Y577" s="57">
        <f>IFERROR(__xludf.DUMMYFUNCTION("""COMPUTED_VALUE"""),0.7935806422539475)</f>
        <v>0.7935806423</v>
      </c>
      <c r="Z577" s="57">
        <f>IFERROR(__xludf.DUMMYFUNCTION("""COMPUTED_VALUE"""),0.5604532851812096)</f>
        <v>0.5604532852</v>
      </c>
      <c r="AA577" s="57">
        <f>IFERROR(__xludf.DUMMYFUNCTION("""COMPUTED_VALUE"""),1.3203365933041966)</f>
        <v>1.320336593</v>
      </c>
      <c r="AB577" s="57">
        <f>IFERROR(__xludf.DUMMYFUNCTION("""COMPUTED_VALUE"""),2.59689832612951)</f>
        <v>2.596898326</v>
      </c>
      <c r="AC577" s="31">
        <f>IFERROR(__xludf.DUMMYFUNCTION("""COMPUTED_VALUE"""),353.98346916410566)</f>
        <v>353.9834692</v>
      </c>
      <c r="AD577" s="57">
        <f>IFERROR(__xludf.DUMMYFUNCTION("""COMPUTED_VALUE"""),0.8201036039541404)</f>
        <v>0.820103604</v>
      </c>
      <c r="AE577" s="57">
        <f>IFERROR(__xludf.DUMMYFUNCTION("""COMPUTED_VALUE"""),0.5945136003447756)</f>
        <v>0.5945136003</v>
      </c>
      <c r="AF577" s="57">
        <f>IFERROR(__xludf.DUMMYFUNCTION("""COMPUTED_VALUE"""),1.2978521187903067)</f>
        <v>1.297852119</v>
      </c>
      <c r="AG577" s="57">
        <f>IFERROR(__xludf.DUMMYFUNCTION("""COMPUTED_VALUE"""),2.655111574084404)</f>
        <v>2.655111574</v>
      </c>
      <c r="AH577" s="57">
        <f>IFERROR(__xludf.DUMMYFUNCTION("""COMPUTED_VALUE"""),1.2115678763551947)</f>
        <v>1.211567876</v>
      </c>
      <c r="AI577" s="57">
        <f>IFERROR(__xludf.DUMMYFUNCTION("""COMPUTED_VALUE"""),1.2574630754307314)</f>
        <v>1.257463075</v>
      </c>
      <c r="AJ577" s="57">
        <f>IFERROR(__xludf.DUMMYFUNCTION("""COMPUTED_VALUE"""),0.8935876314552145)</f>
        <v>0.8935876315</v>
      </c>
      <c r="AK577" s="57">
        <f>IFERROR(__xludf.DUMMYFUNCTION("""COMPUTED_VALUE"""),1.25206868831452)</f>
        <v>1.252068688</v>
      </c>
      <c r="AL577" s="57">
        <f>IFERROR(__xludf.DUMMYFUNCTION("""COMPUTED_VALUE"""),1.2005145211644022)</f>
        <v>1.200514521</v>
      </c>
      <c r="AM577" s="57">
        <f>IFERROR(__xludf.DUMMYFUNCTION("""COMPUTED_VALUE"""),0.9799547721225043)</f>
        <v>0.9799547721</v>
      </c>
      <c r="AN577" s="57">
        <f>IFERROR(__xludf.DUMMYFUNCTION("""COMPUTED_VALUE"""),0.8663265752644183)</f>
        <v>0.8663265753</v>
      </c>
      <c r="AO577" s="57">
        <f>IFERROR(__xludf.DUMMYFUNCTION("""COMPUTED_VALUE"""),0.9107211611787328)</f>
        <v>0.9107211612</v>
      </c>
      <c r="AP577" s="35">
        <f>IFERROR(__xludf.DUMMYFUNCTION("""COMPUTED_VALUE"""),0.9861752979782348)</f>
        <v>0.986175298</v>
      </c>
      <c r="AQ577" s="57">
        <f>IFERROR(__xludf.DUMMYFUNCTION("""COMPUTED_VALUE"""),1.0228548315786201)</f>
        <v>1.022854832</v>
      </c>
      <c r="AR577" s="36" t="b">
        <f>IFERROR(__xludf.DUMMYFUNCTION("""COMPUTED_VALUE"""),TRUE)</f>
        <v>1</v>
      </c>
      <c r="AS577" s="57"/>
      <c r="AT577" s="37"/>
      <c r="AU577" s="30"/>
      <c r="AV577" s="30"/>
      <c r="AW577" s="30"/>
      <c r="AX577" s="30"/>
      <c r="AY577" s="30"/>
      <c r="AZ577" s="30"/>
    </row>
    <row r="578">
      <c r="A578" s="30" t="str">
        <f>IFERROR(__xludf.DUMMYFUNCTION("""COMPUTED_VALUE"""),"Rival")</f>
        <v>Rival</v>
      </c>
      <c r="B578" s="30" t="str">
        <f>IFERROR(__xludf.DUMMYFUNCTION("""COMPUTED_VALUE"""),"RSC005523")</f>
        <v>RSC005523</v>
      </c>
      <c r="C578" s="30" t="str">
        <f>IFERROR(__xludf.DUMMYFUNCTION("""COMPUTED_VALUE"""),"Laguna")</f>
        <v>Laguna</v>
      </c>
      <c r="D578" s="31" t="str">
        <f>IFERROR(__xludf.DUMMYFUNCTION("""COMPUTED_VALUE"""),"Quasars")</f>
        <v>Quasars</v>
      </c>
      <c r="E578" s="31">
        <f>IFERROR(__xludf.DUMMYFUNCTION("""COMPUTED_VALUE"""),77.30099249583552)</f>
        <v>77.3009925</v>
      </c>
      <c r="F578" s="31">
        <f>IFERROR(__xludf.DUMMYFUNCTION("""COMPUTED_VALUE"""),7.2776058664394325)</f>
        <v>7.277605866</v>
      </c>
      <c r="G578" s="31">
        <f>IFERROR(__xludf.DUMMYFUNCTION("""COMPUTED_VALUE"""),58.896752394467335)</f>
        <v>58.89675239</v>
      </c>
      <c r="H578" s="31">
        <f>IFERROR(__xludf.DUMMYFUNCTION("""COMPUTED_VALUE"""),2.7703215658886786)</f>
        <v>2.770321566</v>
      </c>
      <c r="I578" s="54">
        <f>IFERROR(__xludf.DUMMYFUNCTION("""COMPUTED_VALUE"""),37.0)</f>
        <v>37</v>
      </c>
      <c r="J578" s="55">
        <f>IFERROR(__xludf.DUMMYFUNCTION("""COMPUTED_VALUE"""),19.0)</f>
        <v>19</v>
      </c>
      <c r="K578" s="54">
        <f>IFERROR(__xludf.DUMMYFUNCTION("""COMPUTED_VALUE"""),18.0)</f>
        <v>18</v>
      </c>
      <c r="L578" s="56">
        <f>IFERROR(__xludf.DUMMYFUNCTION("""COMPUTED_VALUE"""),0.5135135135135135)</f>
        <v>0.5135135135</v>
      </c>
      <c r="M578" s="56">
        <f>IFERROR(__xludf.DUMMYFUNCTION("""COMPUTED_VALUE"""),0.36633663366336633)</f>
        <v>0.3663366337</v>
      </c>
      <c r="N578" s="31">
        <f>IFERROR(__xludf.DUMMYFUNCTION("""COMPUTED_VALUE"""),377.3243243243243)</f>
        <v>377.3243243</v>
      </c>
      <c r="O578" s="57">
        <f>IFERROR(__xludf.DUMMYFUNCTION("""COMPUTED_VALUE"""),1.0)</f>
        <v>1</v>
      </c>
      <c r="P578" s="57">
        <f>IFERROR(__xludf.DUMMYFUNCTION("""COMPUTED_VALUE"""),0.8918918918918919)</f>
        <v>0.8918918919</v>
      </c>
      <c r="Q578" s="57">
        <f>IFERROR(__xludf.DUMMYFUNCTION("""COMPUTED_VALUE"""),1.1081081081081081)</f>
        <v>1.108108108</v>
      </c>
      <c r="R578" s="57">
        <f>IFERROR(__xludf.DUMMYFUNCTION("""COMPUTED_VALUE"""),2.72972972972973)</f>
        <v>2.72972973</v>
      </c>
      <c r="S578" s="31">
        <f>IFERROR(__xludf.DUMMYFUNCTION("""COMPUTED_VALUE"""),360.5045045045044)</f>
        <v>360.5045045</v>
      </c>
      <c r="T578" s="57">
        <f>IFERROR(__xludf.DUMMYFUNCTION("""COMPUTED_VALUE"""),0.837837837837838)</f>
        <v>0.8378378378</v>
      </c>
      <c r="U578" s="57">
        <f>IFERROR(__xludf.DUMMYFUNCTION("""COMPUTED_VALUE"""),0.5585585585585586)</f>
        <v>0.5585585586</v>
      </c>
      <c r="V578" s="57">
        <f>IFERROR(__xludf.DUMMYFUNCTION("""COMPUTED_VALUE"""),1.3963963963963968)</f>
        <v>1.396396396</v>
      </c>
      <c r="W578" s="57">
        <f>IFERROR(__xludf.DUMMYFUNCTION("""COMPUTED_VALUE"""),2.522522522522523)</f>
        <v>2.522522523</v>
      </c>
      <c r="X578" s="31">
        <f>IFERROR(__xludf.DUMMYFUNCTION("""COMPUTED_VALUE"""),346.0560725633594)</f>
        <v>346.0560726</v>
      </c>
      <c r="Y578" s="57">
        <f>IFERROR(__xludf.DUMMYFUNCTION("""COMPUTED_VALUE"""),0.7784437827453204)</f>
        <v>0.7784437827</v>
      </c>
      <c r="Z578" s="57">
        <f>IFERROR(__xludf.DUMMYFUNCTION("""COMPUTED_VALUE"""),0.5223504330335895)</f>
        <v>0.522350433</v>
      </c>
      <c r="AA578" s="57">
        <f>IFERROR(__xludf.DUMMYFUNCTION("""COMPUTED_VALUE"""),1.330897909480263)</f>
        <v>1.330897909</v>
      </c>
      <c r="AB578" s="57">
        <f>IFERROR(__xludf.DUMMYFUNCTION("""COMPUTED_VALUE"""),2.565826565033432)</f>
        <v>2.565826565</v>
      </c>
      <c r="AC578" s="31">
        <f>IFERROR(__xludf.DUMMYFUNCTION("""COMPUTED_VALUE"""),353.12227468318895)</f>
        <v>353.1222747</v>
      </c>
      <c r="AD578" s="57">
        <f>IFERROR(__xludf.DUMMYFUNCTION("""COMPUTED_VALUE"""),0.8134007865809457)</f>
        <v>0.8134007866</v>
      </c>
      <c r="AE578" s="57">
        <f>IFERROR(__xludf.DUMMYFUNCTION("""COMPUTED_VALUE"""),0.5946837188303276)</f>
        <v>0.5946837188</v>
      </c>
      <c r="AF578" s="57">
        <f>IFERROR(__xludf.DUMMYFUNCTION("""COMPUTED_VALUE"""),1.3256524594095995)</f>
        <v>1.325652459</v>
      </c>
      <c r="AG578" s="57">
        <f>IFERROR(__xludf.DUMMYFUNCTION("""COMPUTED_VALUE"""),2.6634154167769752)</f>
        <v>2.663415417</v>
      </c>
      <c r="AH578" s="57">
        <f>IFERROR(__xludf.DUMMYFUNCTION("""COMPUTED_VALUE"""),1.068537306695956)</f>
        <v>1.068537307</v>
      </c>
      <c r="AI578" s="57">
        <f>IFERROR(__xludf.DUMMYFUNCTION("""COMPUTED_VALUE"""),1.2294062367500365)</f>
        <v>1.229406237</v>
      </c>
      <c r="AJ578" s="57">
        <f>IFERROR(__xludf.DUMMYFUNCTION("""COMPUTED_VALUE"""),1.4997751975556648)</f>
        <v>1.499775198</v>
      </c>
      <c r="AK578" s="57">
        <f>IFERROR(__xludf.DUMMYFUNCTION("""COMPUTED_VALUE"""),0.8358963921823234)</f>
        <v>0.8358963922</v>
      </c>
      <c r="AL578" s="57">
        <f>IFERROR(__xludf.DUMMYFUNCTION("""COMPUTED_VALUE"""),1.0248982237374755)</f>
        <v>1.024898224</v>
      </c>
      <c r="AM578" s="57">
        <f>IFERROR(__xludf.DUMMYFUNCTION("""COMPUTED_VALUE"""),1.0417517075603393)</f>
        <v>1.041751708</v>
      </c>
      <c r="AN578" s="57">
        <f>IFERROR(__xludf.DUMMYFUNCTION("""COMPUTED_VALUE"""),1.0762984513577254)</f>
        <v>1.076298451</v>
      </c>
      <c r="AO578" s="57">
        <f>IFERROR(__xludf.DUMMYFUNCTION("""COMPUTED_VALUE"""),1.0693176902614738)</f>
        <v>1.06931769</v>
      </c>
      <c r="AP578" s="35">
        <f>IFERROR(__xludf.DUMMYFUNCTION("""COMPUTED_VALUE"""),1.0492137574562064)</f>
        <v>1.049213757</v>
      </c>
      <c r="AQ578" s="57">
        <f>IFERROR(__xludf.DUMMYFUNCTION("""COMPUTED_VALUE"""),0.9831227710005627)</f>
        <v>0.983122771</v>
      </c>
      <c r="AR578" s="36" t="b">
        <f>IFERROR(__xludf.DUMMYFUNCTION("""COMPUTED_VALUE"""),TRUE)</f>
        <v>1</v>
      </c>
      <c r="AS578" s="57"/>
      <c r="AT578" s="37"/>
      <c r="AU578" s="30"/>
      <c r="AV578" s="30"/>
      <c r="AW578" s="30"/>
      <c r="AX578" s="30"/>
      <c r="AY578" s="30"/>
      <c r="AZ578" s="30"/>
    </row>
    <row r="579">
      <c r="A579" s="30" t="str">
        <f>IFERROR(__xludf.DUMMYFUNCTION("""COMPUTED_VALUE"""),"Rival")</f>
        <v>Rival</v>
      </c>
      <c r="B579" s="30" t="str">
        <f>IFERROR(__xludf.DUMMYFUNCTION("""COMPUTED_VALUE"""),"RSC008045")</f>
        <v>RSC008045</v>
      </c>
      <c r="C579" s="30" t="str">
        <f>IFERROR(__xludf.DUMMYFUNCTION("""COMPUTED_VALUE"""),"Uncaringfool230")</f>
        <v>Uncaringfool230</v>
      </c>
      <c r="D579" s="31"/>
      <c r="E579" s="31">
        <f>IFERROR(__xludf.DUMMYFUNCTION("""COMPUTED_VALUE"""),76.78687918795602)</f>
        <v>76.78687919</v>
      </c>
      <c r="F579" s="31">
        <f>IFERROR(__xludf.DUMMYFUNCTION("""COMPUTED_VALUE"""),7.043348947775969)</f>
        <v>7.043348948</v>
      </c>
      <c r="G579" s="31">
        <f>IFERROR(__xludf.DUMMYFUNCTION("""COMPUTED_VALUE"""),67.95050961177901)</f>
        <v>67.95050961</v>
      </c>
      <c r="H579" s="31">
        <f>IFERROR(__xludf.DUMMYFUNCTION("""COMPUTED_VALUE"""),4.23061310581547)</f>
        <v>4.230613106</v>
      </c>
      <c r="I579" s="54">
        <f>IFERROR(__xludf.DUMMYFUNCTION("""COMPUTED_VALUE"""),4.0)</f>
        <v>4</v>
      </c>
      <c r="J579" s="55">
        <f>IFERROR(__xludf.DUMMYFUNCTION("""COMPUTED_VALUE"""),3.0)</f>
        <v>3</v>
      </c>
      <c r="K579" s="54">
        <f>IFERROR(__xludf.DUMMYFUNCTION("""COMPUTED_VALUE"""),1.0)</f>
        <v>1</v>
      </c>
      <c r="L579" s="56">
        <f>IFERROR(__xludf.DUMMYFUNCTION("""COMPUTED_VALUE"""),0.75)</f>
        <v>0.75</v>
      </c>
      <c r="M579" s="56">
        <f>IFERROR(__xludf.DUMMYFUNCTION("""COMPUTED_VALUE"""),0.4166666666666667)</f>
        <v>0.4166666667</v>
      </c>
      <c r="N579" s="31">
        <f>IFERROR(__xludf.DUMMYFUNCTION("""COMPUTED_VALUE"""),433.75)</f>
        <v>433.75</v>
      </c>
      <c r="O579" s="57">
        <f>IFERROR(__xludf.DUMMYFUNCTION("""COMPUTED_VALUE"""),1.25)</f>
        <v>1.25</v>
      </c>
      <c r="P579" s="57">
        <f>IFERROR(__xludf.DUMMYFUNCTION("""COMPUTED_VALUE"""),0.25)</f>
        <v>0.25</v>
      </c>
      <c r="Q579" s="57">
        <f>IFERROR(__xludf.DUMMYFUNCTION("""COMPUTED_VALUE"""),1.5)</f>
        <v>1.5</v>
      </c>
      <c r="R579" s="57">
        <f>IFERROR(__xludf.DUMMYFUNCTION("""COMPUTED_VALUE"""),3.0)</f>
        <v>3</v>
      </c>
      <c r="S579" s="31">
        <f>IFERROR(__xludf.DUMMYFUNCTION("""COMPUTED_VALUE"""),324.6666666666667)</f>
        <v>324.6666667</v>
      </c>
      <c r="T579" s="57">
        <f>IFERROR(__xludf.DUMMYFUNCTION("""COMPUTED_VALUE"""),0.5)</f>
        <v>0.5</v>
      </c>
      <c r="U579" s="57">
        <f>IFERROR(__xludf.DUMMYFUNCTION("""COMPUTED_VALUE"""),0.25)</f>
        <v>0.25</v>
      </c>
      <c r="V579" s="57">
        <f>IFERROR(__xludf.DUMMYFUNCTION("""COMPUTED_VALUE"""),1.8333333333333333)</f>
        <v>1.833333333</v>
      </c>
      <c r="W579" s="57">
        <f>IFERROR(__xludf.DUMMYFUNCTION("""COMPUTED_VALUE"""),2.0833333333333335)</f>
        <v>2.083333333</v>
      </c>
      <c r="X579" s="31">
        <f>IFERROR(__xludf.DUMMYFUNCTION("""COMPUTED_VALUE"""),335.4136363636364)</f>
        <v>335.4136364</v>
      </c>
      <c r="Y579" s="57">
        <f>IFERROR(__xludf.DUMMYFUNCTION("""COMPUTED_VALUE"""),0.6237373737373737)</f>
        <v>0.6237373737</v>
      </c>
      <c r="Z579" s="57">
        <f>IFERROR(__xludf.DUMMYFUNCTION("""COMPUTED_VALUE"""),0.5627946127946127)</f>
        <v>0.5627946128</v>
      </c>
      <c r="AA579" s="57">
        <f>IFERROR(__xludf.DUMMYFUNCTION("""COMPUTED_VALUE"""),1.4055555555555557)</f>
        <v>1.405555556</v>
      </c>
      <c r="AB579" s="57">
        <f>IFERROR(__xludf.DUMMYFUNCTION("""COMPUTED_VALUE"""),2.375925925925926)</f>
        <v>2.375925926</v>
      </c>
      <c r="AC579" s="31">
        <f>IFERROR(__xludf.DUMMYFUNCTION("""COMPUTED_VALUE"""),364.532884399551)</f>
        <v>364.5328844</v>
      </c>
      <c r="AD579" s="57">
        <f>IFERROR(__xludf.DUMMYFUNCTION("""COMPUTED_VALUE"""),0.9250841750841751)</f>
        <v>0.9250841751</v>
      </c>
      <c r="AE579" s="57">
        <f>IFERROR(__xludf.DUMMYFUNCTION("""COMPUTED_VALUE"""),0.5557800224466889)</f>
        <v>0.5557800224</v>
      </c>
      <c r="AF579" s="57">
        <f>IFERROR(__xludf.DUMMYFUNCTION("""COMPUTED_VALUE"""),1.2432098765432098)</f>
        <v>1.243209877</v>
      </c>
      <c r="AG579" s="57">
        <f>IFERROR(__xludf.DUMMYFUNCTION("""COMPUTED_VALUE"""),2.888047138047138)</f>
        <v>2.888047138</v>
      </c>
      <c r="AH579" s="57">
        <f>IFERROR(__xludf.DUMMYFUNCTION("""COMPUTED_VALUE"""),1.189878934281777)</f>
        <v>1.189878934</v>
      </c>
      <c r="AI579" s="57">
        <f>IFERROR(__xludf.DUMMYFUNCTION("""COMPUTED_VALUE"""),1.35122838944495)</f>
        <v>1.351228389</v>
      </c>
      <c r="AJ579" s="57">
        <f>IFERROR(__xludf.DUMMYFUNCTION("""COMPUTED_VALUE"""),0.44981825525040403)</f>
        <v>0.4498182553</v>
      </c>
      <c r="AK579" s="57">
        <f>IFERROR(__xludf.DUMMYFUNCTION("""COMPUTED_VALUE"""),1.2065541211519366)</f>
        <v>1.206554121</v>
      </c>
      <c r="AL579" s="57">
        <f>IFERROR(__xludf.DUMMYFUNCTION("""COMPUTED_VALUE"""),1.0387642086855144)</f>
        <v>1.038764209</v>
      </c>
      <c r="AM579" s="57">
        <f>IFERROR(__xludf.DUMMYFUNCTION("""COMPUTED_VALUE"""),0.9679590555307106)</f>
        <v>0.9679590555</v>
      </c>
      <c r="AN579" s="57">
        <f>IFERROR(__xludf.DUMMYFUNCTION("""COMPUTED_VALUE"""),0.8016194331983806)</f>
        <v>0.8016194332</v>
      </c>
      <c r="AO579" s="57">
        <f>IFERROR(__xludf.DUMMYFUNCTION("""COMPUTED_VALUE"""),0.4442117858211188)</f>
        <v>0.4442117858</v>
      </c>
      <c r="AP579" s="35">
        <f>IFERROR(__xludf.DUMMYFUNCTION("""COMPUTED_VALUE"""),1.3043478260869563)</f>
        <v>1.304347826</v>
      </c>
      <c r="AQ579" s="57">
        <f>IFERROR(__xludf.DUMMYFUNCTION("""COMPUTED_VALUE"""),0.8768511301636789)</f>
        <v>0.8768511302</v>
      </c>
      <c r="AR579" s="36" t="b">
        <f>IFERROR(__xludf.DUMMYFUNCTION("""COMPUTED_VALUE"""),TRUE)</f>
        <v>1</v>
      </c>
      <c r="AS579" s="57"/>
      <c r="AT579" s="37"/>
      <c r="AU579" s="30"/>
      <c r="AV579" s="30"/>
      <c r="AW579" s="30"/>
      <c r="AX579" s="30"/>
      <c r="AY579" s="30"/>
      <c r="AZ579" s="30"/>
    </row>
    <row r="580">
      <c r="A580" s="30" t="str">
        <f>IFERROR(__xludf.DUMMYFUNCTION("""COMPUTED_VALUE"""),"Rival")</f>
        <v>Rival</v>
      </c>
      <c r="B580" s="30" t="str">
        <f>IFERROR(__xludf.DUMMYFUNCTION("""COMPUTED_VALUE"""),"RSC007132")</f>
        <v>RSC007132</v>
      </c>
      <c r="C580" s="30" t="str">
        <f>IFERROR(__xludf.DUMMYFUNCTION("""COMPUTED_VALUE"""),"yoyo")</f>
        <v>yoyo</v>
      </c>
      <c r="D580" s="31"/>
      <c r="E580" s="31">
        <f>IFERROR(__xludf.DUMMYFUNCTION("""COMPUTED_VALUE"""),75.92255562598906)</f>
        <v>75.92255563</v>
      </c>
      <c r="F580" s="31">
        <f>IFERROR(__xludf.DUMMYFUNCTION("""COMPUTED_VALUE"""),6.671527388673092)</f>
        <v>6.671527389</v>
      </c>
      <c r="G580" s="31">
        <f>IFERROR(__xludf.DUMMYFUNCTION("""COMPUTED_VALUE"""),53.14051924947121)</f>
        <v>53.14051925</v>
      </c>
      <c r="H580" s="31">
        <f>IFERROR(__xludf.DUMMYFUNCTION("""COMPUTED_VALUE"""),2.2221429136132254)</f>
        <v>2.222142914</v>
      </c>
      <c r="I580" s="54">
        <f>IFERROR(__xludf.DUMMYFUNCTION("""COMPUTED_VALUE"""),15.0)</f>
        <v>15</v>
      </c>
      <c r="J580" s="55">
        <f>IFERROR(__xludf.DUMMYFUNCTION("""COMPUTED_VALUE"""),8.0)</f>
        <v>8</v>
      </c>
      <c r="K580" s="54">
        <f>IFERROR(__xludf.DUMMYFUNCTION("""COMPUTED_VALUE"""),7.0)</f>
        <v>7</v>
      </c>
      <c r="L580" s="56">
        <f>IFERROR(__xludf.DUMMYFUNCTION("""COMPUTED_VALUE"""),0.5333333333333333)</f>
        <v>0.5333333333</v>
      </c>
      <c r="M580" s="56">
        <f>IFERROR(__xludf.DUMMYFUNCTION("""COMPUTED_VALUE"""),0.25)</f>
        <v>0.25</v>
      </c>
      <c r="N580" s="31">
        <f>IFERROR(__xludf.DUMMYFUNCTION("""COMPUTED_VALUE"""),358.1333333333333)</f>
        <v>358.1333333</v>
      </c>
      <c r="O580" s="57">
        <f>IFERROR(__xludf.DUMMYFUNCTION("""COMPUTED_VALUE"""),1.0)</f>
        <v>1</v>
      </c>
      <c r="P580" s="57">
        <f>IFERROR(__xludf.DUMMYFUNCTION("""COMPUTED_VALUE"""),0.5333333333333333)</f>
        <v>0.5333333333</v>
      </c>
      <c r="Q580" s="57">
        <f>IFERROR(__xludf.DUMMYFUNCTION("""COMPUTED_VALUE"""),0.9333333333333333)</f>
        <v>0.9333333333</v>
      </c>
      <c r="R580" s="57">
        <f>IFERROR(__xludf.DUMMYFUNCTION("""COMPUTED_VALUE"""),4.0)</f>
        <v>4</v>
      </c>
      <c r="S580" s="31">
        <f>IFERROR(__xludf.DUMMYFUNCTION("""COMPUTED_VALUE"""),361.2)</f>
        <v>361.2</v>
      </c>
      <c r="T580" s="57">
        <f>IFERROR(__xludf.DUMMYFUNCTION("""COMPUTED_VALUE"""),0.8444444444444446)</f>
        <v>0.8444444444</v>
      </c>
      <c r="U580" s="57">
        <f>IFERROR(__xludf.DUMMYFUNCTION("""COMPUTED_VALUE"""),0.6222222222222221)</f>
        <v>0.6222222222</v>
      </c>
      <c r="V580" s="57">
        <f>IFERROR(__xludf.DUMMYFUNCTION("""COMPUTED_VALUE"""),1.3999999999999997)</f>
        <v>1.4</v>
      </c>
      <c r="W580" s="57">
        <f>IFERROR(__xludf.DUMMYFUNCTION("""COMPUTED_VALUE"""),2.7111111111111112)</f>
        <v>2.711111111</v>
      </c>
      <c r="X580" s="31">
        <f>IFERROR(__xludf.DUMMYFUNCTION("""COMPUTED_VALUE"""),348.64340780778207)</f>
        <v>348.6434078</v>
      </c>
      <c r="Y580" s="57">
        <f>IFERROR(__xludf.DUMMYFUNCTION("""COMPUTED_VALUE"""),0.7696934867525572)</f>
        <v>0.7696934868</v>
      </c>
      <c r="Z580" s="57">
        <f>IFERROR(__xludf.DUMMYFUNCTION("""COMPUTED_VALUE"""),0.5645585382020901)</f>
        <v>0.5645585382</v>
      </c>
      <c r="AA580" s="57">
        <f>IFERROR(__xludf.DUMMYFUNCTION("""COMPUTED_VALUE"""),1.3686431417565044)</f>
        <v>1.368643142</v>
      </c>
      <c r="AB580" s="57">
        <f>IFERROR(__xludf.DUMMYFUNCTION("""COMPUTED_VALUE"""),2.5841620407045935)</f>
        <v>2.584162041</v>
      </c>
      <c r="AC580" s="31">
        <f>IFERROR(__xludf.DUMMYFUNCTION("""COMPUTED_VALUE"""),346.1347240177249)</f>
        <v>346.134724</v>
      </c>
      <c r="AD580" s="57">
        <f>IFERROR(__xludf.DUMMYFUNCTION("""COMPUTED_VALUE"""),0.7621538553887487)</f>
        <v>0.7621538554</v>
      </c>
      <c r="AE580" s="57">
        <f>IFERROR(__xludf.DUMMYFUNCTION("""COMPUTED_VALUE"""),0.5332652072546449)</f>
        <v>0.5332652073</v>
      </c>
      <c r="AF580" s="57">
        <f>IFERROR(__xludf.DUMMYFUNCTION("""COMPUTED_VALUE"""),1.3438978587888826)</f>
        <v>1.343897859</v>
      </c>
      <c r="AG580" s="57">
        <f>IFERROR(__xludf.DUMMYFUNCTION("""COMPUTED_VALUE"""),2.627283197128561)</f>
        <v>2.627283197</v>
      </c>
      <c r="AH580" s="57">
        <f>IFERROR(__xludf.DUMMYFUNCTION("""COMPUTED_VALUE"""),1.0346645640643497)</f>
        <v>1.034664564</v>
      </c>
      <c r="AI580" s="57">
        <f>IFERROR(__xludf.DUMMYFUNCTION("""COMPUTED_VALUE"""),1.312071037795819)</f>
        <v>1.312071038</v>
      </c>
      <c r="AJ580" s="57">
        <f>IFERROR(__xludf.DUMMYFUNCTION("""COMPUTED_VALUE"""),1.0001277527162127)</f>
        <v>1.000127753</v>
      </c>
      <c r="AK580" s="57">
        <f>IFERROR(__xludf.DUMMYFUNCTION("""COMPUTED_VALUE"""),0.6944972247924043)</f>
        <v>0.6944972248</v>
      </c>
      <c r="AL580" s="57">
        <f>IFERROR(__xludf.DUMMYFUNCTION("""COMPUTED_VALUE"""),1.5224852822762784)</f>
        <v>1.522485282</v>
      </c>
      <c r="AM580" s="57">
        <f>IFERROR(__xludf.DUMMYFUNCTION("""COMPUTED_VALUE"""),1.0360155732505367)</f>
        <v>1.036015573</v>
      </c>
      <c r="AN580" s="57">
        <f>IFERROR(__xludf.DUMMYFUNCTION("""COMPUTED_VALUE"""),1.0971178254440894)</f>
        <v>1.097117825</v>
      </c>
      <c r="AO580" s="57">
        <f>IFERROR(__xludf.DUMMYFUNCTION("""COMPUTED_VALUE"""),1.1021394242017302)</f>
        <v>1.102139424</v>
      </c>
      <c r="AP580" s="35">
        <f>IFERROR(__xludf.DUMMYFUNCTION("""COMPUTED_VALUE"""),1.0229109088313935)</f>
        <v>1.022910909</v>
      </c>
      <c r="AQ580" s="57">
        <f>IFERROR(__xludf.DUMMYFUNCTION("""COMPUTED_VALUE"""),1.0491258165729824)</f>
        <v>1.049125817</v>
      </c>
      <c r="AR580" s="36" t="b">
        <f>IFERROR(__xludf.DUMMYFUNCTION("""COMPUTED_VALUE"""),TRUE)</f>
        <v>1</v>
      </c>
      <c r="AS580" s="57"/>
      <c r="AT580" s="37"/>
      <c r="AU580" s="30"/>
      <c r="AV580" s="30"/>
      <c r="AW580" s="30"/>
      <c r="AX580" s="30"/>
      <c r="AY580" s="30"/>
      <c r="AZ580" s="30"/>
    </row>
    <row r="581">
      <c r="A581" s="30" t="str">
        <f>IFERROR(__xludf.DUMMYFUNCTION("""COMPUTED_VALUE"""),"Rival")</f>
        <v>Rival</v>
      </c>
      <c r="B581" s="30" t="str">
        <f>IFERROR(__xludf.DUMMYFUNCTION("""COMPUTED_VALUE"""),"RSC005482")</f>
        <v>RSC005482</v>
      </c>
      <c r="C581" s="30" t="str">
        <f>IFERROR(__xludf.DUMMYFUNCTION("""COMPUTED_VALUE"""),"Benny!")</f>
        <v>Benny!</v>
      </c>
      <c r="D581" s="31" t="str">
        <f>IFERROR(__xludf.DUMMYFUNCTION("""COMPUTED_VALUE"""),"Ocelots")</f>
        <v>Ocelots</v>
      </c>
      <c r="E581" s="31">
        <f>IFERROR(__xludf.DUMMYFUNCTION("""COMPUTED_VALUE"""),75.71460733237345)</f>
        <v>75.71460733</v>
      </c>
      <c r="F581" s="31">
        <f>IFERROR(__xludf.DUMMYFUNCTION("""COMPUTED_VALUE"""),6.585986969129879)</f>
        <v>6.585986969</v>
      </c>
      <c r="G581" s="31">
        <f>IFERROR(__xludf.DUMMYFUNCTION("""COMPUTED_VALUE"""),75.71273159011419)</f>
        <v>75.71273159</v>
      </c>
      <c r="H581" s="31">
        <f>IFERROR(__xludf.DUMMYFUNCTION("""COMPUTED_VALUE"""),6.585222055139023)</f>
        <v>6.585222055</v>
      </c>
      <c r="I581" s="54">
        <f>IFERROR(__xludf.DUMMYFUNCTION("""COMPUTED_VALUE"""),38.0)</f>
        <v>38</v>
      </c>
      <c r="J581" s="55">
        <f>IFERROR(__xludf.DUMMYFUNCTION("""COMPUTED_VALUE"""),25.0)</f>
        <v>25</v>
      </c>
      <c r="K581" s="54">
        <f>IFERROR(__xludf.DUMMYFUNCTION("""COMPUTED_VALUE"""),13.0)</f>
        <v>13</v>
      </c>
      <c r="L581" s="56">
        <f>IFERROR(__xludf.DUMMYFUNCTION("""COMPUTED_VALUE"""),0.6578947368421053)</f>
        <v>0.6578947368</v>
      </c>
      <c r="M581" s="56">
        <f>IFERROR(__xludf.DUMMYFUNCTION("""COMPUTED_VALUE"""),0.3364485981308411)</f>
        <v>0.3364485981</v>
      </c>
      <c r="N581" s="31">
        <f>IFERROR(__xludf.DUMMYFUNCTION("""COMPUTED_VALUE"""),407.1842105263158)</f>
        <v>407.1842105</v>
      </c>
      <c r="O581" s="57">
        <f>IFERROR(__xludf.DUMMYFUNCTION("""COMPUTED_VALUE"""),0.9473684210526315)</f>
        <v>0.9473684211</v>
      </c>
      <c r="P581" s="57">
        <f>IFERROR(__xludf.DUMMYFUNCTION("""COMPUTED_VALUE"""),0.6578947368421053)</f>
        <v>0.6578947368</v>
      </c>
      <c r="Q581" s="57">
        <f>IFERROR(__xludf.DUMMYFUNCTION("""COMPUTED_VALUE"""),1.4736842105263157)</f>
        <v>1.473684211</v>
      </c>
      <c r="R581" s="57">
        <f>IFERROR(__xludf.DUMMYFUNCTION("""COMPUTED_VALUE"""),2.8157894736842106)</f>
        <v>2.815789474</v>
      </c>
      <c r="S581" s="31">
        <f>IFERROR(__xludf.DUMMYFUNCTION("""COMPUTED_VALUE"""),323.84210526315786)</f>
        <v>323.8421053</v>
      </c>
      <c r="T581" s="57">
        <f>IFERROR(__xludf.DUMMYFUNCTION("""COMPUTED_VALUE"""),0.6578947368421051)</f>
        <v>0.6578947368</v>
      </c>
      <c r="U581" s="57">
        <f>IFERROR(__xludf.DUMMYFUNCTION("""COMPUTED_VALUE"""),0.4912280701754385)</f>
        <v>0.4912280702</v>
      </c>
      <c r="V581" s="57">
        <f>IFERROR(__xludf.DUMMYFUNCTION("""COMPUTED_VALUE"""),1.3157894736842104)</f>
        <v>1.315789474</v>
      </c>
      <c r="W581" s="57">
        <f>IFERROR(__xludf.DUMMYFUNCTION("""COMPUTED_VALUE"""),2.3684210526315788)</f>
        <v>2.368421053</v>
      </c>
      <c r="X581" s="31">
        <f>IFERROR(__xludf.DUMMYFUNCTION("""COMPUTED_VALUE"""),349.573331072896)</f>
        <v>349.5733311</v>
      </c>
      <c r="Y581" s="57">
        <f>IFERROR(__xludf.DUMMYFUNCTION("""COMPUTED_VALUE"""),0.7837893171676066)</f>
        <v>0.7837893172</v>
      </c>
      <c r="Z581" s="57">
        <f>IFERROR(__xludf.DUMMYFUNCTION("""COMPUTED_VALUE"""),0.5409417751286771)</f>
        <v>0.5409417751</v>
      </c>
      <c r="AA581" s="57">
        <f>IFERROR(__xludf.DUMMYFUNCTION("""COMPUTED_VALUE"""),1.363925730133194)</f>
        <v>1.36392573</v>
      </c>
      <c r="AB581" s="57">
        <f>IFERROR(__xludf.DUMMYFUNCTION("""COMPUTED_VALUE"""),2.625502521741791)</f>
        <v>2.625502522</v>
      </c>
      <c r="AC581" s="31">
        <f>IFERROR(__xludf.DUMMYFUNCTION("""COMPUTED_VALUE"""),353.91701958950745)</f>
        <v>353.9170196</v>
      </c>
      <c r="AD581" s="57">
        <f>IFERROR(__xludf.DUMMYFUNCTION("""COMPUTED_VALUE"""),0.8088411467794301)</f>
        <v>0.8088411468</v>
      </c>
      <c r="AE581" s="57">
        <f>IFERROR(__xludf.DUMMYFUNCTION("""COMPUTED_VALUE"""),0.5744619245073231)</f>
        <v>0.5744619245</v>
      </c>
      <c r="AF581" s="57">
        <f>IFERROR(__xludf.DUMMYFUNCTION("""COMPUTED_VALUE"""),1.350325191124027)</f>
        <v>1.350325191</v>
      </c>
      <c r="AG581" s="57">
        <f>IFERROR(__xludf.DUMMYFUNCTION("""COMPUTED_VALUE"""),2.6203819145706277)</f>
        <v>2.620381915</v>
      </c>
      <c r="AH581" s="57">
        <f>IFERROR(__xludf.DUMMYFUNCTION("""COMPUTED_VALUE"""),1.1505075709514918)</f>
        <v>1.150507571</v>
      </c>
      <c r="AI581" s="57">
        <f>IFERROR(__xludf.DUMMYFUNCTION("""COMPUTED_VALUE"""),1.1712663541225328)</f>
        <v>1.171266354</v>
      </c>
      <c r="AJ581" s="57">
        <f>IFERROR(__xludf.DUMMYFUNCTION("""COMPUTED_VALUE"""),1.1452364530622927)</f>
        <v>1.145236453</v>
      </c>
      <c r="AK581" s="57">
        <f>IFERROR(__xludf.DUMMYFUNCTION("""COMPUTED_VALUE"""),1.0913550455943157)</f>
        <v>1.091355046</v>
      </c>
      <c r="AL581" s="57">
        <f>IFERROR(__xludf.DUMMYFUNCTION("""COMPUTED_VALUE"""),1.074572167525283)</f>
        <v>1.074572168</v>
      </c>
      <c r="AM581" s="57">
        <f>IFERROR(__xludf.DUMMYFUNCTION("""COMPUTED_VALUE"""),0.926392480425309)</f>
        <v>0.9263924804</v>
      </c>
      <c r="AN581" s="57">
        <f>IFERROR(__xludf.DUMMYFUNCTION("""COMPUTED_VALUE"""),0.8393770142460617)</f>
        <v>0.8393770142</v>
      </c>
      <c r="AO581" s="57">
        <f>IFERROR(__xludf.DUMMYFUNCTION("""COMPUTED_VALUE"""),0.9080978633210331)</f>
        <v>0.9080978633</v>
      </c>
      <c r="AP581" s="35">
        <f>IFERROR(__xludf.DUMMYFUNCTION("""COMPUTED_VALUE"""),0.964707567732238)</f>
        <v>0.9647075677</v>
      </c>
      <c r="AQ581" s="57">
        <f>IFERROR(__xludf.DUMMYFUNCTION("""COMPUTED_VALUE"""),0.9020829471762757)</f>
        <v>0.9020829472</v>
      </c>
      <c r="AR581" s="36" t="b">
        <f>IFERROR(__xludf.DUMMYFUNCTION("""COMPUTED_VALUE"""),TRUE)</f>
        <v>1</v>
      </c>
      <c r="AS581" s="57"/>
      <c r="AT581" s="37"/>
      <c r="AU581" s="30"/>
      <c r="AV581" s="30"/>
      <c r="AW581" s="30"/>
      <c r="AX581" s="30"/>
      <c r="AY581" s="30"/>
      <c r="AZ581" s="30"/>
    </row>
    <row r="582">
      <c r="A582" s="30" t="str">
        <f>IFERROR(__xludf.DUMMYFUNCTION("""COMPUTED_VALUE"""),"Rival")</f>
        <v>Rival</v>
      </c>
      <c r="B582" s="30" t="str">
        <f>IFERROR(__xludf.DUMMYFUNCTION("""COMPUTED_VALUE"""),"RSC002930")</f>
        <v>RSC002930</v>
      </c>
      <c r="C582" s="30" t="str">
        <f>IFERROR(__xludf.DUMMYFUNCTION("""COMPUTED_VALUE"""),"voakes")</f>
        <v>voakes</v>
      </c>
      <c r="D582" s="31" t="str">
        <f>IFERROR(__xludf.DUMMYFUNCTION("""COMPUTED_VALUE"""),"Hippos")</f>
        <v>Hippos</v>
      </c>
      <c r="E582" s="31">
        <f>IFERROR(__xludf.DUMMYFUNCTION("""COMPUTED_VALUE"""),75.23345410027521)</f>
        <v>75.2334541</v>
      </c>
      <c r="F582" s="31">
        <f>IFERROR(__xludf.DUMMYFUNCTION("""COMPUTED_VALUE"""),6.393606739079517)</f>
        <v>6.393606739</v>
      </c>
      <c r="G582" s="31">
        <f>IFERROR(__xludf.DUMMYFUNCTION("""COMPUTED_VALUE"""),66.57615325452244)</f>
        <v>66.57615325</v>
      </c>
      <c r="H582" s="31">
        <f>IFERROR(__xludf.DUMMYFUNCTION("""COMPUTED_VALUE"""),3.9424325198615353)</f>
        <v>3.94243252</v>
      </c>
      <c r="I582" s="54">
        <f>IFERROR(__xludf.DUMMYFUNCTION("""COMPUTED_VALUE"""),44.0)</f>
        <v>44</v>
      </c>
      <c r="J582" s="55">
        <f>IFERROR(__xludf.DUMMYFUNCTION("""COMPUTED_VALUE"""),21.0)</f>
        <v>21</v>
      </c>
      <c r="K582" s="54">
        <f>IFERROR(__xludf.DUMMYFUNCTION("""COMPUTED_VALUE"""),23.0)</f>
        <v>23</v>
      </c>
      <c r="L582" s="56">
        <f>IFERROR(__xludf.DUMMYFUNCTION("""COMPUTED_VALUE"""),0.4772727272727273)</f>
        <v>0.4772727273</v>
      </c>
      <c r="M582" s="56">
        <f>IFERROR(__xludf.DUMMYFUNCTION("""COMPUTED_VALUE"""),0.34710743801652894)</f>
        <v>0.347107438</v>
      </c>
      <c r="N582" s="31">
        <f>IFERROR(__xludf.DUMMYFUNCTION("""COMPUTED_VALUE"""),403.59090909090907)</f>
        <v>403.5909091</v>
      </c>
      <c r="O582" s="57">
        <f>IFERROR(__xludf.DUMMYFUNCTION("""COMPUTED_VALUE"""),0.9545454545454546)</f>
        <v>0.9545454545</v>
      </c>
      <c r="P582" s="57">
        <f>IFERROR(__xludf.DUMMYFUNCTION("""COMPUTED_VALUE"""),0.7272727272727273)</f>
        <v>0.7272727273</v>
      </c>
      <c r="Q582" s="57">
        <f>IFERROR(__xludf.DUMMYFUNCTION("""COMPUTED_VALUE"""),1.75)</f>
        <v>1.75</v>
      </c>
      <c r="R582" s="57">
        <f>IFERROR(__xludf.DUMMYFUNCTION("""COMPUTED_VALUE"""),2.75)</f>
        <v>2.75</v>
      </c>
      <c r="S582" s="31">
        <f>IFERROR(__xludf.DUMMYFUNCTION("""COMPUTED_VALUE"""),365.3560606060605)</f>
        <v>365.3560606</v>
      </c>
      <c r="T582" s="57">
        <f>IFERROR(__xludf.DUMMYFUNCTION("""COMPUTED_VALUE"""),0.8863636363636364)</f>
        <v>0.8863636364</v>
      </c>
      <c r="U582" s="57">
        <f>IFERROR(__xludf.DUMMYFUNCTION("""COMPUTED_VALUE"""),0.6136363636363634)</f>
        <v>0.6136363636</v>
      </c>
      <c r="V582" s="57">
        <f>IFERROR(__xludf.DUMMYFUNCTION("""COMPUTED_VALUE"""),1.2499999999999998)</f>
        <v>1.25</v>
      </c>
      <c r="W582" s="57">
        <f>IFERROR(__xludf.DUMMYFUNCTION("""COMPUTED_VALUE"""),2.7196969696969693)</f>
        <v>2.71969697</v>
      </c>
      <c r="X582" s="31">
        <f>IFERROR(__xludf.DUMMYFUNCTION("""COMPUTED_VALUE"""),349.55948601811747)</f>
        <v>349.559486</v>
      </c>
      <c r="Y582" s="57">
        <f>IFERROR(__xludf.DUMMYFUNCTION("""COMPUTED_VALUE"""),0.7806531359574449)</f>
        <v>0.780653136</v>
      </c>
      <c r="Z582" s="57">
        <f>IFERROR(__xludf.DUMMYFUNCTION("""COMPUTED_VALUE"""),0.5884916050437158)</f>
        <v>0.588491605</v>
      </c>
      <c r="AA582" s="57">
        <f>IFERROR(__xludf.DUMMYFUNCTION("""COMPUTED_VALUE"""),1.300116284513524)</f>
        <v>1.300116285</v>
      </c>
      <c r="AB582" s="57">
        <f>IFERROR(__xludf.DUMMYFUNCTION("""COMPUTED_VALUE"""),2.5201545631480693)</f>
        <v>2.520154563</v>
      </c>
      <c r="AC582" s="31">
        <f>IFERROR(__xludf.DUMMYFUNCTION("""COMPUTED_VALUE"""),340.80943306499563)</f>
        <v>340.8094331</v>
      </c>
      <c r="AD582" s="57">
        <f>IFERROR(__xludf.DUMMYFUNCTION("""COMPUTED_VALUE"""),0.7421740958364313)</f>
        <v>0.7421740958</v>
      </c>
      <c r="AE582" s="57">
        <f>IFERROR(__xludf.DUMMYFUNCTION("""COMPUTED_VALUE"""),0.5300446364001223)</f>
        <v>0.5300446364</v>
      </c>
      <c r="AF582" s="57">
        <f>IFERROR(__xludf.DUMMYFUNCTION("""COMPUTED_VALUE"""),1.3339818256427458)</f>
        <v>1.333981826</v>
      </c>
      <c r="AG582" s="57">
        <f>IFERROR(__xludf.DUMMYFUNCTION("""COMPUTED_VALUE"""),2.4652441013657995)</f>
        <v>2.465244101</v>
      </c>
      <c r="AH582" s="57">
        <f>IFERROR(__xludf.DUMMYFUNCTION("""COMPUTED_VALUE"""),1.184212847224626)</f>
        <v>1.184212847</v>
      </c>
      <c r="AI582" s="57">
        <f>IFERROR(__xludf.DUMMYFUNCTION("""COMPUTED_VALUE"""),1.286147630185988)</f>
        <v>1.28614763</v>
      </c>
      <c r="AJ582" s="57">
        <f>IFERROR(__xludf.DUMMYFUNCTION("""COMPUTED_VALUE"""),1.372097135464117)</f>
        <v>1.372097135</v>
      </c>
      <c r="AK582" s="57">
        <f>IFERROR(__xludf.DUMMYFUNCTION("""COMPUTED_VALUE"""),1.311861950710465)</f>
        <v>1.311861951</v>
      </c>
      <c r="AL582" s="57">
        <f>IFERROR(__xludf.DUMMYFUNCTION("""COMPUTED_VALUE"""),1.1155081959131103)</f>
        <v>1.115508196</v>
      </c>
      <c r="AM582" s="57">
        <f>IFERROR(__xludf.DUMMYFUNCTION("""COMPUTED_VALUE"""),1.0451899468324666)</f>
        <v>1.045189947</v>
      </c>
      <c r="AN582" s="57">
        <f>IFERROR(__xludf.DUMMYFUNCTION("""COMPUTED_VALUE"""),1.1354128940717583)</f>
        <v>1.135412894</v>
      </c>
      <c r="AO582" s="57">
        <f>IFERROR(__xludf.DUMMYFUNCTION("""COMPUTED_VALUE"""),1.0427274720270305)</f>
        <v>1.042727472</v>
      </c>
      <c r="AP582" s="35">
        <f>IFERROR(__xludf.DUMMYFUNCTION("""COMPUTED_VALUE"""),0.9614524599757039)</f>
        <v>0.96145246</v>
      </c>
      <c r="AQ582" s="57">
        <f>IFERROR(__xludf.DUMMYFUNCTION("""COMPUTED_VALUE"""),1.079178638273535)</f>
        <v>1.079178638</v>
      </c>
      <c r="AR582" s="36" t="b">
        <f>IFERROR(__xludf.DUMMYFUNCTION("""COMPUTED_VALUE"""),TRUE)</f>
        <v>1</v>
      </c>
      <c r="AS582" s="57"/>
      <c r="AT582" s="37"/>
      <c r="AU582" s="30"/>
      <c r="AV582" s="30"/>
      <c r="AW582" s="30"/>
      <c r="AX582" s="30"/>
      <c r="AY582" s="30"/>
      <c r="AZ582" s="30"/>
    </row>
    <row r="583">
      <c r="A583" s="30" t="str">
        <f>IFERROR(__xludf.DUMMYFUNCTION("""COMPUTED_VALUE"""),"Rival")</f>
        <v>Rival</v>
      </c>
      <c r="B583" s="30" t="str">
        <f>IFERROR(__xludf.DUMMYFUNCTION("""COMPUTED_VALUE"""),"RSC006774")</f>
        <v>RSC006774</v>
      </c>
      <c r="C583" s="30" t="str">
        <f>IFERROR(__xludf.DUMMYFUNCTION("""COMPUTED_VALUE"""),"JazzMagic.")</f>
        <v>JazzMagic.</v>
      </c>
      <c r="D583" s="31"/>
      <c r="E583" s="31">
        <f>IFERROR(__xludf.DUMMYFUNCTION("""COMPUTED_VALUE"""),74.16429865472611)</f>
        <v>74.16429865</v>
      </c>
      <c r="F583" s="31">
        <f>IFERROR(__xludf.DUMMYFUNCTION("""COMPUTED_VALUE"""),5.99236456839649)</f>
        <v>5.992364568</v>
      </c>
      <c r="G583" s="31">
        <f>IFERROR(__xludf.DUMMYFUNCTION("""COMPUTED_VALUE"""),55.955039733688004)</f>
        <v>55.95503973</v>
      </c>
      <c r="H583" s="31">
        <f>IFERROR(__xludf.DUMMYFUNCTION("""COMPUTED_VALUE"""),2.463889407850925)</f>
        <v>2.463889408</v>
      </c>
      <c r="I583" s="54">
        <f>IFERROR(__xludf.DUMMYFUNCTION("""COMPUTED_VALUE"""),19.0)</f>
        <v>19</v>
      </c>
      <c r="J583" s="55">
        <f>IFERROR(__xludf.DUMMYFUNCTION("""COMPUTED_VALUE"""),10.0)</f>
        <v>10</v>
      </c>
      <c r="K583" s="54">
        <f>IFERROR(__xludf.DUMMYFUNCTION("""COMPUTED_VALUE"""),9.0)</f>
        <v>9</v>
      </c>
      <c r="L583" s="56">
        <f>IFERROR(__xludf.DUMMYFUNCTION("""COMPUTED_VALUE"""),0.5263157894736842)</f>
        <v>0.5263157895</v>
      </c>
      <c r="M583" s="56">
        <f>IFERROR(__xludf.DUMMYFUNCTION("""COMPUTED_VALUE"""),0.3962264150943397)</f>
        <v>0.3962264151</v>
      </c>
      <c r="N583" s="31">
        <f>IFERROR(__xludf.DUMMYFUNCTION("""COMPUTED_VALUE"""),395.7368421052632)</f>
        <v>395.7368421</v>
      </c>
      <c r="O583" s="57">
        <f>IFERROR(__xludf.DUMMYFUNCTION("""COMPUTED_VALUE"""),1.105263157894737)</f>
        <v>1.105263158</v>
      </c>
      <c r="P583" s="57">
        <f>IFERROR(__xludf.DUMMYFUNCTION("""COMPUTED_VALUE"""),0.47368421052631576)</f>
        <v>0.4736842105</v>
      </c>
      <c r="Q583" s="57">
        <f>IFERROR(__xludf.DUMMYFUNCTION("""COMPUTED_VALUE"""),1.4736842105263157)</f>
        <v>1.473684211</v>
      </c>
      <c r="R583" s="57">
        <f>IFERROR(__xludf.DUMMYFUNCTION("""COMPUTED_VALUE"""),2.789473684210526)</f>
        <v>2.789473684</v>
      </c>
      <c r="S583" s="31">
        <f>IFERROR(__xludf.DUMMYFUNCTION("""COMPUTED_VALUE"""),325.2105263157894)</f>
        <v>325.2105263</v>
      </c>
      <c r="T583" s="57">
        <f>IFERROR(__xludf.DUMMYFUNCTION("""COMPUTED_VALUE"""),0.6140350877192983)</f>
        <v>0.6140350877</v>
      </c>
      <c r="U583" s="57">
        <f>IFERROR(__xludf.DUMMYFUNCTION("""COMPUTED_VALUE"""),0.45614035087719296)</f>
        <v>0.4561403509</v>
      </c>
      <c r="V583" s="57">
        <f>IFERROR(__xludf.DUMMYFUNCTION("""COMPUTED_VALUE"""),1.4035087719298247)</f>
        <v>1.403508772</v>
      </c>
      <c r="W583" s="57">
        <f>IFERROR(__xludf.DUMMYFUNCTION("""COMPUTED_VALUE"""),2.6491228070175445)</f>
        <v>2.649122807</v>
      </c>
      <c r="X583" s="31">
        <f>IFERROR(__xludf.DUMMYFUNCTION("""COMPUTED_VALUE"""),340.26711825784696)</f>
        <v>340.2671183</v>
      </c>
      <c r="Y583" s="57">
        <f>IFERROR(__xludf.DUMMYFUNCTION("""COMPUTED_VALUE"""),0.7264459756128647)</f>
        <v>0.7264459756</v>
      </c>
      <c r="Z583" s="57">
        <f>IFERROR(__xludf.DUMMYFUNCTION("""COMPUTED_VALUE"""),0.5406470998516696)</f>
        <v>0.5406470999</v>
      </c>
      <c r="AA583" s="57">
        <f>IFERROR(__xludf.DUMMYFUNCTION("""COMPUTED_VALUE"""),1.3084406505996768)</f>
        <v>1.308440651</v>
      </c>
      <c r="AB583" s="57">
        <f>IFERROR(__xludf.DUMMYFUNCTION("""COMPUTED_VALUE"""),2.5634041249099027)</f>
        <v>2.563404125</v>
      </c>
      <c r="AC583" s="31">
        <f>IFERROR(__xludf.DUMMYFUNCTION("""COMPUTED_VALUE"""),350.1375887806956)</f>
        <v>350.1375888</v>
      </c>
      <c r="AD583" s="57">
        <f>IFERROR(__xludf.DUMMYFUNCTION("""COMPUTED_VALUE"""),0.7923638436027908)</f>
        <v>0.7923638436</v>
      </c>
      <c r="AE583" s="57">
        <f>IFERROR(__xludf.DUMMYFUNCTION("""COMPUTED_VALUE"""),0.571294615036226)</f>
        <v>0.571294615</v>
      </c>
      <c r="AF583" s="57">
        <f>IFERROR(__xludf.DUMMYFUNCTION("""COMPUTED_VALUE"""),1.3603073483209163)</f>
        <v>1.360307348</v>
      </c>
      <c r="AG583" s="57">
        <f>IFERROR(__xludf.DUMMYFUNCTION("""COMPUTED_VALUE"""),2.594162618726684)</f>
        <v>2.594162619</v>
      </c>
      <c r="AH583" s="57">
        <f>IFERROR(__xludf.DUMMYFUNCTION("""COMPUTED_VALUE"""),1.1302323851699572)</f>
        <v>1.130232385</v>
      </c>
      <c r="AI583" s="57">
        <f>IFERROR(__xludf.DUMMYFUNCTION("""COMPUTED_VALUE"""),1.394893478315754)</f>
        <v>1.394893478</v>
      </c>
      <c r="AJ583" s="57">
        <f>IFERROR(__xludf.DUMMYFUNCTION("""COMPUTED_VALUE"""),0.8291417388841994)</f>
        <v>0.8291417389</v>
      </c>
      <c r="AK583" s="57">
        <f>IFERROR(__xludf.DUMMYFUNCTION("""COMPUTED_VALUE"""),1.0833465042626913)</f>
        <v>1.083346504</v>
      </c>
      <c r="AL583" s="57">
        <f>IFERROR(__xludf.DUMMYFUNCTION("""COMPUTED_VALUE"""),1.0752886746859796)</f>
        <v>1.075288675</v>
      </c>
      <c r="AM583" s="57">
        <f>IFERROR(__xludf.DUMMYFUNCTION("""COMPUTED_VALUE"""),0.9557506701818658)</f>
        <v>0.9557506702</v>
      </c>
      <c r="AN583" s="57">
        <f>IFERROR(__xludf.DUMMYFUNCTION("""COMPUTED_VALUE"""),0.8452591222647613)</f>
        <v>0.8452591223</v>
      </c>
      <c r="AO583" s="57">
        <f>IFERROR(__xludf.DUMMYFUNCTION("""COMPUTED_VALUE"""),0.8436933278701363)</f>
        <v>0.8436933279</v>
      </c>
      <c r="AP583" s="35">
        <f>IFERROR(__xludf.DUMMYFUNCTION("""COMPUTED_VALUE"""),1.072657572421475)</f>
        <v>1.072657572</v>
      </c>
      <c r="AQ583" s="57">
        <f>IFERROR(__xludf.DUMMYFUNCTION("""COMPUTED_VALUE"""),1.0334393946216556)</f>
        <v>1.033439395</v>
      </c>
      <c r="AR583" s="36" t="b">
        <f>IFERROR(__xludf.DUMMYFUNCTION("""COMPUTED_VALUE"""),TRUE)</f>
        <v>1</v>
      </c>
      <c r="AS583" s="57"/>
      <c r="AT583" s="37"/>
      <c r="AU583" s="30"/>
      <c r="AV583" s="30"/>
      <c r="AW583" s="30"/>
      <c r="AX583" s="30"/>
      <c r="AY583" s="30"/>
      <c r="AZ583" s="30"/>
    </row>
    <row r="584">
      <c r="A584" s="30" t="str">
        <f>IFERROR(__xludf.DUMMYFUNCTION("""COMPUTED_VALUE"""),"Rival")</f>
        <v>Rival</v>
      </c>
      <c r="B584" s="30" t="str">
        <f>IFERROR(__xludf.DUMMYFUNCTION("""COMPUTED_VALUE"""),"RSC006664")</f>
        <v>RSC006664</v>
      </c>
      <c r="C584" s="30" t="str">
        <f>IFERROR(__xludf.DUMMYFUNCTION("""COMPUTED_VALUE"""),"Godless")</f>
        <v>Godless</v>
      </c>
      <c r="D584" s="31" t="str">
        <f>IFERROR(__xludf.DUMMYFUNCTION("""COMPUTED_VALUE"""),"Iris")</f>
        <v>Iris</v>
      </c>
      <c r="E584" s="31">
        <f>IFERROR(__xludf.DUMMYFUNCTION("""COMPUTED_VALUE"""),73.8881569210131)</f>
        <v>73.88815692</v>
      </c>
      <c r="F584" s="31">
        <f>IFERROR(__xludf.DUMMYFUNCTION("""COMPUTED_VALUE"""),5.894286729698651)</f>
        <v>5.89428673</v>
      </c>
      <c r="G584" s="31">
        <f>IFERROR(__xludf.DUMMYFUNCTION("""COMPUTED_VALUE"""),66.6799254598503)</f>
        <v>66.67992546</v>
      </c>
      <c r="H584" s="31">
        <f>IFERROR(__xludf.DUMMYFUNCTION("""COMPUTED_VALUE"""),3.96317186557517)</f>
        <v>3.963171866</v>
      </c>
      <c r="I584" s="54">
        <f>IFERROR(__xludf.DUMMYFUNCTION("""COMPUTED_VALUE"""),14.0)</f>
        <v>14</v>
      </c>
      <c r="J584" s="55">
        <f>IFERROR(__xludf.DUMMYFUNCTION("""COMPUTED_VALUE"""),13.0)</f>
        <v>13</v>
      </c>
      <c r="K584" s="54">
        <f>IFERROR(__xludf.DUMMYFUNCTION("""COMPUTED_VALUE"""),1.0)</f>
        <v>1</v>
      </c>
      <c r="L584" s="56">
        <f>IFERROR(__xludf.DUMMYFUNCTION("""COMPUTED_VALUE"""),0.9285714285714286)</f>
        <v>0.9285714286</v>
      </c>
      <c r="M584" s="56">
        <f>IFERROR(__xludf.DUMMYFUNCTION("""COMPUTED_VALUE"""),0.42857142857142855)</f>
        <v>0.4285714286</v>
      </c>
      <c r="N584" s="31">
        <f>IFERROR(__xludf.DUMMYFUNCTION("""COMPUTED_VALUE"""),357.5)</f>
        <v>357.5</v>
      </c>
      <c r="O584" s="57">
        <f>IFERROR(__xludf.DUMMYFUNCTION("""COMPUTED_VALUE"""),0.8571428571428571)</f>
        <v>0.8571428571</v>
      </c>
      <c r="P584" s="57">
        <f>IFERROR(__xludf.DUMMYFUNCTION("""COMPUTED_VALUE"""),0.7857142857142857)</f>
        <v>0.7857142857</v>
      </c>
      <c r="Q584" s="57">
        <f>IFERROR(__xludf.DUMMYFUNCTION("""COMPUTED_VALUE"""),1.3571428571428572)</f>
        <v>1.357142857</v>
      </c>
      <c r="R584" s="57">
        <f>IFERROR(__xludf.DUMMYFUNCTION("""COMPUTED_VALUE"""),2.0)</f>
        <v>2</v>
      </c>
      <c r="S584" s="31">
        <f>IFERROR(__xludf.DUMMYFUNCTION("""COMPUTED_VALUE"""),274.85714285714283)</f>
        <v>274.8571429</v>
      </c>
      <c r="T584" s="57">
        <f>IFERROR(__xludf.DUMMYFUNCTION("""COMPUTED_VALUE"""),0.38095238095238093)</f>
        <v>0.380952381</v>
      </c>
      <c r="U584" s="57">
        <f>IFERROR(__xludf.DUMMYFUNCTION("""COMPUTED_VALUE"""),0.2857142857142857)</f>
        <v>0.2857142857</v>
      </c>
      <c r="V584" s="57">
        <f>IFERROR(__xludf.DUMMYFUNCTION("""COMPUTED_VALUE"""),1.190476190476191)</f>
        <v>1.19047619</v>
      </c>
      <c r="W584" s="57">
        <f>IFERROR(__xludf.DUMMYFUNCTION("""COMPUTED_VALUE"""),2.023809523809524)</f>
        <v>2.023809524</v>
      </c>
      <c r="X584" s="31">
        <f>IFERROR(__xludf.DUMMYFUNCTION("""COMPUTED_VALUE"""),338.1233917359737)</f>
        <v>338.1233917</v>
      </c>
      <c r="Y584" s="57">
        <f>IFERROR(__xludf.DUMMYFUNCTION("""COMPUTED_VALUE"""),0.731323710890034)</f>
        <v>0.7313237109</v>
      </c>
      <c r="Z584" s="57">
        <f>IFERROR(__xludf.DUMMYFUNCTION("""COMPUTED_VALUE"""),0.4983946424125244)</f>
        <v>0.4983946424</v>
      </c>
      <c r="AA584" s="57">
        <f>IFERROR(__xludf.DUMMYFUNCTION("""COMPUTED_VALUE"""),1.3587743428856405)</f>
        <v>1.358774343</v>
      </c>
      <c r="AB584" s="57">
        <f>IFERROR(__xludf.DUMMYFUNCTION("""COMPUTED_VALUE"""),2.4738082173220532)</f>
        <v>2.473808217</v>
      </c>
      <c r="AC584" s="31">
        <f>IFERROR(__xludf.DUMMYFUNCTION("""COMPUTED_VALUE"""),346.1971693522927)</f>
        <v>346.1971694</v>
      </c>
      <c r="AD584" s="57">
        <f>IFERROR(__xludf.DUMMYFUNCTION("""COMPUTED_VALUE"""),0.7873051469532301)</f>
        <v>0.787305147</v>
      </c>
      <c r="AE584" s="57">
        <f>IFERROR(__xludf.DUMMYFUNCTION("""COMPUTED_VALUE"""),0.552392130643799)</f>
        <v>0.5523921306</v>
      </c>
      <c r="AF584" s="57">
        <f>IFERROR(__xludf.DUMMYFUNCTION("""COMPUTED_VALUE"""),1.3017588007780432)</f>
        <v>1.301758801</v>
      </c>
      <c r="AG584" s="57">
        <f>IFERROR(__xludf.DUMMYFUNCTION("""COMPUTED_VALUE"""),2.599953739516809)</f>
        <v>2.59995374</v>
      </c>
      <c r="AH584" s="57">
        <f>IFERROR(__xludf.DUMMYFUNCTION("""COMPUTED_VALUE"""),1.0326485357140673)</f>
        <v>1.032648536</v>
      </c>
      <c r="AI584" s="57">
        <f>IFERROR(__xludf.DUMMYFUNCTION("""COMPUTED_VALUE"""),1.088704755024008)</f>
        <v>1.088704755</v>
      </c>
      <c r="AJ584" s="57">
        <f>IFERROR(__xludf.DUMMYFUNCTION("""COMPUTED_VALUE"""),1.4223850089945265)</f>
        <v>1.422385009</v>
      </c>
      <c r="AK584" s="57">
        <f>IFERROR(__xludf.DUMMYFUNCTION("""COMPUTED_VALUE"""),1.0425455593860489)</f>
        <v>1.042545559</v>
      </c>
      <c r="AL584" s="57">
        <f>IFERROR(__xludf.DUMMYFUNCTION("""COMPUTED_VALUE"""),0.7692444560077796)</f>
        <v>0.769244456</v>
      </c>
      <c r="AM584" s="57">
        <f>IFERROR(__xludf.DUMMYFUNCTION("""COMPUTED_VALUE"""),0.8128900560413377)</f>
        <v>0.812890056</v>
      </c>
      <c r="AN584" s="57">
        <f>IFERROR(__xludf.DUMMYFUNCTION("""COMPUTED_VALUE"""),0.5209080127988126)</f>
        <v>0.5209080128</v>
      </c>
      <c r="AO584" s="57">
        <f>IFERROR(__xludf.DUMMYFUNCTION("""COMPUTED_VALUE"""),0.5732691754695833)</f>
        <v>0.5732691755</v>
      </c>
      <c r="AP584" s="35">
        <f>IFERROR(__xludf.DUMMYFUNCTION("""COMPUTED_VALUE"""),0.876139733362912)</f>
        <v>0.8761397334</v>
      </c>
      <c r="AQ584" s="57">
        <f>IFERROR(__xludf.DUMMYFUNCTION("""COMPUTED_VALUE"""),0.818094753521491)</f>
        <v>0.8180947535</v>
      </c>
      <c r="AR584" s="36" t="b">
        <f>IFERROR(__xludf.DUMMYFUNCTION("""COMPUTED_VALUE"""),TRUE)</f>
        <v>1</v>
      </c>
      <c r="AS584" s="57"/>
      <c r="AT584" s="37"/>
      <c r="AU584" s="30"/>
      <c r="AV584" s="30"/>
      <c r="AW584" s="30"/>
      <c r="AX584" s="30"/>
      <c r="AY584" s="30"/>
      <c r="AZ584" s="30"/>
    </row>
    <row r="585">
      <c r="A585" s="30" t="str">
        <f>IFERROR(__xludf.DUMMYFUNCTION("""COMPUTED_VALUE"""),"Rival")</f>
        <v>Rival</v>
      </c>
      <c r="B585" s="30" t="str">
        <f>IFERROR(__xludf.DUMMYFUNCTION("""COMPUTED_VALUE"""),"RSC000731")</f>
        <v>RSC000731</v>
      </c>
      <c r="C585" s="30" t="str">
        <f>IFERROR(__xludf.DUMMYFUNCTION("""COMPUTED_VALUE"""),"mm2")</f>
        <v>mm2</v>
      </c>
      <c r="D585" s="31" t="str">
        <f>IFERROR(__xludf.DUMMYFUNCTION("""COMPUTED_VALUE"""),"Cursed")</f>
        <v>Cursed</v>
      </c>
      <c r="E585" s="31">
        <f>IFERROR(__xludf.DUMMYFUNCTION("""COMPUTED_VALUE"""),73.87691353946116)</f>
        <v>73.87691354</v>
      </c>
      <c r="F585" s="31">
        <f>IFERROR(__xludf.DUMMYFUNCTION("""COMPUTED_VALUE"""),5.890339704816572)</f>
        <v>5.890339705</v>
      </c>
      <c r="G585" s="31">
        <f>IFERROR(__xludf.DUMMYFUNCTION("""COMPUTED_VALUE"""),63.72963092313796)</f>
        <v>63.72963092</v>
      </c>
      <c r="H585" s="31">
        <f>IFERROR(__xludf.DUMMYFUNCTION("""COMPUTED_VALUE"""),3.431247793660792)</f>
        <v>3.431247794</v>
      </c>
      <c r="I585" s="54">
        <f>IFERROR(__xludf.DUMMYFUNCTION("""COMPUTED_VALUE"""),48.0)</f>
        <v>48</v>
      </c>
      <c r="J585" s="55">
        <f>IFERROR(__xludf.DUMMYFUNCTION("""COMPUTED_VALUE"""),32.0)</f>
        <v>32</v>
      </c>
      <c r="K585" s="54">
        <f>IFERROR(__xludf.DUMMYFUNCTION("""COMPUTED_VALUE"""),16.0)</f>
        <v>16</v>
      </c>
      <c r="L585" s="56">
        <f>IFERROR(__xludf.DUMMYFUNCTION("""COMPUTED_VALUE"""),0.6666666666666666)</f>
        <v>0.6666666667</v>
      </c>
      <c r="M585" s="56">
        <f>IFERROR(__xludf.DUMMYFUNCTION("""COMPUTED_VALUE"""),0.3082706766917293)</f>
        <v>0.3082706767</v>
      </c>
      <c r="N585" s="31">
        <f>IFERROR(__xludf.DUMMYFUNCTION("""COMPUTED_VALUE"""),381.9791666666667)</f>
        <v>381.9791667</v>
      </c>
      <c r="O585" s="57">
        <f>IFERROR(__xludf.DUMMYFUNCTION("""COMPUTED_VALUE"""),0.8541666666666666)</f>
        <v>0.8541666667</v>
      </c>
      <c r="P585" s="57">
        <f>IFERROR(__xludf.DUMMYFUNCTION("""COMPUTED_VALUE"""),0.7291666666666666)</f>
        <v>0.7291666667</v>
      </c>
      <c r="Q585" s="57">
        <f>IFERROR(__xludf.DUMMYFUNCTION("""COMPUTED_VALUE"""),1.5208333333333333)</f>
        <v>1.520833333</v>
      </c>
      <c r="R585" s="57">
        <f>IFERROR(__xludf.DUMMYFUNCTION("""COMPUTED_VALUE"""),2.7708333333333335)</f>
        <v>2.770833333</v>
      </c>
      <c r="S585" s="31">
        <f>IFERROR(__xludf.DUMMYFUNCTION("""COMPUTED_VALUE"""),329.09722222222223)</f>
        <v>329.0972222</v>
      </c>
      <c r="T585" s="57">
        <f>IFERROR(__xludf.DUMMYFUNCTION("""COMPUTED_VALUE"""),0.611111111111111)</f>
        <v>0.6111111111</v>
      </c>
      <c r="U585" s="57">
        <f>IFERROR(__xludf.DUMMYFUNCTION("""COMPUTED_VALUE"""),0.45138888888888884)</f>
        <v>0.4513888889</v>
      </c>
      <c r="V585" s="57">
        <f>IFERROR(__xludf.DUMMYFUNCTION("""COMPUTED_VALUE"""),1.4166666666666663)</f>
        <v>1.416666667</v>
      </c>
      <c r="W585" s="57">
        <f>IFERROR(__xludf.DUMMYFUNCTION("""COMPUTED_VALUE"""),2.3680555555555554)</f>
        <v>2.368055556</v>
      </c>
      <c r="X585" s="31">
        <f>IFERROR(__xludf.DUMMYFUNCTION("""COMPUTED_VALUE"""),353.7926791864886)</f>
        <v>353.7926792</v>
      </c>
      <c r="Y585" s="57">
        <f>IFERROR(__xludf.DUMMYFUNCTION("""COMPUTED_VALUE"""),0.7879360361520665)</f>
        <v>0.7879360362</v>
      </c>
      <c r="Z585" s="57">
        <f>IFERROR(__xludf.DUMMYFUNCTION("""COMPUTED_VALUE"""),0.5911942182685163)</f>
        <v>0.5911942183</v>
      </c>
      <c r="AA585" s="57">
        <f>IFERROR(__xludf.DUMMYFUNCTION("""COMPUTED_VALUE"""),1.3436541438861402)</f>
        <v>1.343654144</v>
      </c>
      <c r="AB585" s="57">
        <f>IFERROR(__xludf.DUMMYFUNCTION("""COMPUTED_VALUE"""),2.5847118799272497)</f>
        <v>2.58471188</v>
      </c>
      <c r="AC585" s="31">
        <f>IFERROR(__xludf.DUMMYFUNCTION("""COMPUTED_VALUE"""),350.9929923553593)</f>
        <v>350.9929924</v>
      </c>
      <c r="AD585" s="57">
        <f>IFERROR(__xludf.DUMMYFUNCTION("""COMPUTED_VALUE"""),0.8108053901232837)</f>
        <v>0.8108053901</v>
      </c>
      <c r="AE585" s="57">
        <f>IFERROR(__xludf.DUMMYFUNCTION("""COMPUTED_VALUE"""),0.5666236361812251)</f>
        <v>0.5666236362</v>
      </c>
      <c r="AF585" s="57">
        <f>IFERROR(__xludf.DUMMYFUNCTION("""COMPUTED_VALUE"""),1.3096615619216687)</f>
        <v>1.309661562</v>
      </c>
      <c r="AG585" s="57">
        <f>IFERROR(__xludf.DUMMYFUNCTION("""COMPUTED_VALUE"""),2.6197658659854866)</f>
        <v>2.619765866</v>
      </c>
      <c r="AH585" s="57">
        <f>IFERROR(__xludf.DUMMYFUNCTION("""COMPUTED_VALUE"""),1.0882814614142944)</f>
        <v>1.088281461</v>
      </c>
      <c r="AI585" s="57">
        <f>IFERROR(__xludf.DUMMYFUNCTION("""COMPUTED_VALUE"""),1.0534792652732488)</f>
        <v>1.053479265</v>
      </c>
      <c r="AJ585" s="57">
        <f>IFERROR(__xludf.DUMMYFUNCTION("""COMPUTED_VALUE"""),1.2868624252615095)</f>
        <v>1.286862425</v>
      </c>
      <c r="AK585" s="57">
        <f>IFERROR(__xludf.DUMMYFUNCTION("""COMPUTED_VALUE"""),1.16124148219011)</f>
        <v>1.161241482</v>
      </c>
      <c r="AL585" s="57">
        <f>IFERROR(__xludf.DUMMYFUNCTION("""COMPUTED_VALUE"""),1.0576644918193936)</f>
        <v>1.057664492</v>
      </c>
      <c r="AM585" s="57">
        <f>IFERROR(__xludf.DUMMYFUNCTION("""COMPUTED_VALUE"""),0.9301979424191277)</f>
        <v>0.9301979424</v>
      </c>
      <c r="AN585" s="57">
        <f>IFERROR(__xludf.DUMMYFUNCTION("""COMPUTED_VALUE"""),0.7755846706739157)</f>
        <v>0.7755846707</v>
      </c>
      <c r="AO585" s="57">
        <f>IFERROR(__xludf.DUMMYFUNCTION("""COMPUTED_VALUE"""),0.7635204725291667)</f>
        <v>0.7635204725</v>
      </c>
      <c r="AP585" s="35">
        <f>IFERROR(__xludf.DUMMYFUNCTION("""COMPUTED_VALUE"""),1.0543387769187076)</f>
        <v>1.054338777</v>
      </c>
      <c r="AQ585" s="57">
        <f>IFERROR(__xludf.DUMMYFUNCTION("""COMPUTED_VALUE"""),0.9161777658646455)</f>
        <v>0.9161777659</v>
      </c>
      <c r="AR585" s="36" t="b">
        <f>IFERROR(__xludf.DUMMYFUNCTION("""COMPUTED_VALUE"""),TRUE)</f>
        <v>1</v>
      </c>
      <c r="AS585" s="57"/>
      <c r="AT585" s="37"/>
      <c r="AU585" s="30"/>
      <c r="AV585" s="30"/>
      <c r="AW585" s="30"/>
      <c r="AX585" s="30"/>
      <c r="AY585" s="30"/>
      <c r="AZ585" s="30"/>
    </row>
    <row r="586">
      <c r="A586" s="30" t="str">
        <f>IFERROR(__xludf.DUMMYFUNCTION("""COMPUTED_VALUE"""),"Rival")</f>
        <v>Rival</v>
      </c>
      <c r="B586" s="30" t="str">
        <f>IFERROR(__xludf.DUMMYFUNCTION("""COMPUTED_VALUE"""),"RSC005493")</f>
        <v>RSC005493</v>
      </c>
      <c r="C586" s="30" t="str">
        <f>IFERROR(__xludf.DUMMYFUNCTION("""COMPUTED_VALUE"""),"NJ111_")</f>
        <v>NJ111_</v>
      </c>
      <c r="D586" s="31" t="str">
        <f>IFERROR(__xludf.DUMMYFUNCTION("""COMPUTED_VALUE"""),"Hammerheads")</f>
        <v>Hammerheads</v>
      </c>
      <c r="E586" s="31">
        <f>IFERROR(__xludf.DUMMYFUNCTION("""COMPUTED_VALUE"""),73.8552258594857)</f>
        <v>73.85522586</v>
      </c>
      <c r="F586" s="31">
        <f>IFERROR(__xludf.DUMMYFUNCTION("""COMPUTED_VALUE"""),5.882736314415808)</f>
        <v>5.882736314</v>
      </c>
      <c r="G586" s="31">
        <f>IFERROR(__xludf.DUMMYFUNCTION("""COMPUTED_VALUE"""),65.7639608919676)</f>
        <v>65.76396089</v>
      </c>
      <c r="H586" s="31">
        <f>IFERROR(__xludf.DUMMYFUNCTION("""COMPUTED_VALUE"""),3.7855179792647626)</f>
        <v>3.785517979</v>
      </c>
      <c r="I586" s="54">
        <f>IFERROR(__xludf.DUMMYFUNCTION("""COMPUTED_VALUE"""),24.0)</f>
        <v>24</v>
      </c>
      <c r="J586" s="55">
        <f>IFERROR(__xludf.DUMMYFUNCTION("""COMPUTED_VALUE"""),17.0)</f>
        <v>17</v>
      </c>
      <c r="K586" s="54">
        <f>IFERROR(__xludf.DUMMYFUNCTION("""COMPUTED_VALUE"""),7.0)</f>
        <v>7</v>
      </c>
      <c r="L586" s="56">
        <f>IFERROR(__xludf.DUMMYFUNCTION("""COMPUTED_VALUE"""),0.7083333333333334)</f>
        <v>0.7083333333</v>
      </c>
      <c r="M586" s="56">
        <f>IFERROR(__xludf.DUMMYFUNCTION("""COMPUTED_VALUE"""),0.4385964912280702)</f>
        <v>0.4385964912</v>
      </c>
      <c r="N586" s="31">
        <f>IFERROR(__xludf.DUMMYFUNCTION("""COMPUTED_VALUE"""),347.8333333333333)</f>
        <v>347.8333333</v>
      </c>
      <c r="O586" s="57">
        <f>IFERROR(__xludf.DUMMYFUNCTION("""COMPUTED_VALUE"""),1.0416666666666667)</f>
        <v>1.041666667</v>
      </c>
      <c r="P586" s="57">
        <f>IFERROR(__xludf.DUMMYFUNCTION("""COMPUTED_VALUE"""),0.625)</f>
        <v>0.625</v>
      </c>
      <c r="Q586" s="57">
        <f>IFERROR(__xludf.DUMMYFUNCTION("""COMPUTED_VALUE"""),1.1666666666666667)</f>
        <v>1.166666667</v>
      </c>
      <c r="R586" s="57">
        <f>IFERROR(__xludf.DUMMYFUNCTION("""COMPUTED_VALUE"""),2.375)</f>
        <v>2.375</v>
      </c>
      <c r="S586" s="31">
        <f>IFERROR(__xludf.DUMMYFUNCTION("""COMPUTED_VALUE"""),301.02777777777777)</f>
        <v>301.0277778</v>
      </c>
      <c r="T586" s="57">
        <f>IFERROR(__xludf.DUMMYFUNCTION("""COMPUTED_VALUE"""),0.5833333333333334)</f>
        <v>0.5833333333</v>
      </c>
      <c r="U586" s="57">
        <f>IFERROR(__xludf.DUMMYFUNCTION("""COMPUTED_VALUE"""),0.40277777777777773)</f>
        <v>0.4027777778</v>
      </c>
      <c r="V586" s="57">
        <f>IFERROR(__xludf.DUMMYFUNCTION("""COMPUTED_VALUE"""),1.3055555555555556)</f>
        <v>1.305555556</v>
      </c>
      <c r="W586" s="57">
        <f>IFERROR(__xludf.DUMMYFUNCTION("""COMPUTED_VALUE"""),2.055555555555556)</f>
        <v>2.055555556</v>
      </c>
      <c r="X586" s="31">
        <f>IFERROR(__xludf.DUMMYFUNCTION("""COMPUTED_VALUE"""),339.156850957559)</f>
        <v>339.156851</v>
      </c>
      <c r="Y586" s="57">
        <f>IFERROR(__xludf.DUMMYFUNCTION("""COMPUTED_VALUE"""),0.777119174839807)</f>
        <v>0.7771191748</v>
      </c>
      <c r="Z586" s="57">
        <f>IFERROR(__xludf.DUMMYFUNCTION("""COMPUTED_VALUE"""),0.5595406672421684)</f>
        <v>0.5595406672</v>
      </c>
      <c r="AA586" s="57">
        <f>IFERROR(__xludf.DUMMYFUNCTION("""COMPUTED_VALUE"""),1.2349913594475999)</f>
        <v>1.234991359</v>
      </c>
      <c r="AB586" s="57">
        <f>IFERROR(__xludf.DUMMYFUNCTION("""COMPUTED_VALUE"""),2.5573212081244763)</f>
        <v>2.557321208</v>
      </c>
      <c r="AC586" s="31">
        <f>IFERROR(__xludf.DUMMYFUNCTION("""COMPUTED_VALUE"""),346.76822547181774)</f>
        <v>346.7682255</v>
      </c>
      <c r="AD586" s="57">
        <f>IFERROR(__xludf.DUMMYFUNCTION("""COMPUTED_VALUE"""),0.8096754977740268)</f>
        <v>0.8096754978</v>
      </c>
      <c r="AE586" s="57">
        <f>IFERROR(__xludf.DUMMYFUNCTION("""COMPUTED_VALUE"""),0.5589880398603372)</f>
        <v>0.5589880399</v>
      </c>
      <c r="AF586" s="57">
        <f>IFERROR(__xludf.DUMMYFUNCTION("""COMPUTED_VALUE"""),1.2733132317673082)</f>
        <v>1.273313232</v>
      </c>
      <c r="AG586" s="57">
        <f>IFERROR(__xludf.DUMMYFUNCTION("""COMPUTED_VALUE"""),2.5138316326036465)</f>
        <v>2.513831633</v>
      </c>
      <c r="AH586" s="57">
        <f>IFERROR(__xludf.DUMMYFUNCTION("""COMPUTED_VALUE"""),1.0030715266950032)</f>
        <v>1.003071527</v>
      </c>
      <c r="AI586" s="57">
        <f>IFERROR(__xludf.DUMMYFUNCTION("""COMPUTED_VALUE"""),1.286523637593621)</f>
        <v>1.286523638</v>
      </c>
      <c r="AJ586" s="57">
        <f>IFERROR(__xludf.DUMMYFUNCTION("""COMPUTED_VALUE"""),1.1180919007786927)</f>
        <v>1.118091901</v>
      </c>
      <c r="AK586" s="57">
        <f>IFERROR(__xludf.DUMMYFUNCTION("""COMPUTED_VALUE"""),0.9162448308554682)</f>
        <v>0.9162448309</v>
      </c>
      <c r="AL586" s="57">
        <f>IFERROR(__xludf.DUMMYFUNCTION("""COMPUTED_VALUE"""),0.9447728993449515)</f>
        <v>0.9447728993</v>
      </c>
      <c r="AM586" s="57">
        <f>IFERROR(__xludf.DUMMYFUNCTION("""COMPUTED_VALUE"""),0.8875768746167755)</f>
        <v>0.8875768746</v>
      </c>
      <c r="AN586" s="57">
        <f>IFERROR(__xludf.DUMMYFUNCTION("""COMPUTED_VALUE"""),0.7506356196314162)</f>
        <v>0.7506356196</v>
      </c>
      <c r="AO586" s="57">
        <f>IFERROR(__xludf.DUMMYFUNCTION("""COMPUTED_VALUE"""),0.7198364682999101)</f>
        <v>0.7198364683</v>
      </c>
      <c r="AP586" s="35">
        <f>IFERROR(__xludf.DUMMYFUNCTION("""COMPUTED_VALUE"""),1.057137400653166)</f>
        <v>1.057137401</v>
      </c>
      <c r="AQ586" s="57">
        <f>IFERROR(__xludf.DUMMYFUNCTION("""COMPUTED_VALUE"""),0.8037924798125331)</f>
        <v>0.8037924798</v>
      </c>
      <c r="AR586" s="36" t="b">
        <f>IFERROR(__xludf.DUMMYFUNCTION("""COMPUTED_VALUE"""),TRUE)</f>
        <v>1</v>
      </c>
      <c r="AS586" s="57"/>
      <c r="AT586" s="37"/>
      <c r="AU586" s="30"/>
      <c r="AV586" s="30"/>
      <c r="AW586" s="30"/>
      <c r="AX586" s="30"/>
      <c r="AY586" s="30"/>
      <c r="AZ586" s="30"/>
    </row>
    <row r="587">
      <c r="A587" s="30" t="str">
        <f>IFERROR(__xludf.DUMMYFUNCTION("""COMPUTED_VALUE"""),"Rival")</f>
        <v>Rival</v>
      </c>
      <c r="B587" s="30" t="str">
        <f>IFERROR(__xludf.DUMMYFUNCTION("""COMPUTED_VALUE"""),"RSC005287")</f>
        <v>RSC005287</v>
      </c>
      <c r="C587" s="30" t="str">
        <f>IFERROR(__xludf.DUMMYFUNCTION("""COMPUTED_VALUE"""),"the chosen one")</f>
        <v>the chosen one</v>
      </c>
      <c r="D587" s="31" t="str">
        <f>IFERROR(__xludf.DUMMYFUNCTION("""COMPUTED_VALUE"""),"Stolen")</f>
        <v>Stolen</v>
      </c>
      <c r="E587" s="31">
        <f>IFERROR(__xludf.DUMMYFUNCTION("""COMPUTED_VALUE"""),70.75755351311615)</f>
        <v>70.75755351</v>
      </c>
      <c r="F587" s="31">
        <f>IFERROR(__xludf.DUMMYFUNCTION("""COMPUTED_VALUE"""),4.921647638339288)</f>
        <v>4.921647638</v>
      </c>
      <c r="G587" s="31">
        <f>IFERROR(__xludf.DUMMYFUNCTION("""COMPUTED_VALUE"""),84.773391112106)</f>
        <v>84.77339111</v>
      </c>
      <c r="H587" s="31">
        <f>IFERROR(__xludf.DUMMYFUNCTION("""COMPUTED_VALUE"""),12.176935047568334)</f>
        <v>12.17693505</v>
      </c>
      <c r="I587" s="54">
        <f>IFERROR(__xludf.DUMMYFUNCTION("""COMPUTED_VALUE"""),48.0)</f>
        <v>48</v>
      </c>
      <c r="J587" s="55">
        <f>IFERROR(__xludf.DUMMYFUNCTION("""COMPUTED_VALUE"""),26.0)</f>
        <v>26</v>
      </c>
      <c r="K587" s="54">
        <f>IFERROR(__xludf.DUMMYFUNCTION("""COMPUTED_VALUE"""),22.0)</f>
        <v>22</v>
      </c>
      <c r="L587" s="56">
        <f>IFERROR(__xludf.DUMMYFUNCTION("""COMPUTED_VALUE"""),0.5416666666666666)</f>
        <v>0.5416666667</v>
      </c>
      <c r="M587" s="56">
        <f>IFERROR(__xludf.DUMMYFUNCTION("""COMPUTED_VALUE"""),0.2706766917293233)</f>
        <v>0.2706766917</v>
      </c>
      <c r="N587" s="31">
        <f>IFERROR(__xludf.DUMMYFUNCTION("""COMPUTED_VALUE"""),408.4375)</f>
        <v>408.4375</v>
      </c>
      <c r="O587" s="57">
        <f>IFERROR(__xludf.DUMMYFUNCTION("""COMPUTED_VALUE"""),0.75)</f>
        <v>0.75</v>
      </c>
      <c r="P587" s="57">
        <f>IFERROR(__xludf.DUMMYFUNCTION("""COMPUTED_VALUE"""),0.75)</f>
        <v>0.75</v>
      </c>
      <c r="Q587" s="57">
        <f>IFERROR(__xludf.DUMMYFUNCTION("""COMPUTED_VALUE"""),1.4375)</f>
        <v>1.4375</v>
      </c>
      <c r="R587" s="57">
        <f>IFERROR(__xludf.DUMMYFUNCTION("""COMPUTED_VALUE"""),2.7708333333333335)</f>
        <v>2.770833333</v>
      </c>
      <c r="S587" s="31">
        <f>IFERROR(__xludf.DUMMYFUNCTION("""COMPUTED_VALUE"""),323.5902777777777)</f>
        <v>323.5902778</v>
      </c>
      <c r="T587" s="57">
        <f>IFERROR(__xludf.DUMMYFUNCTION("""COMPUTED_VALUE"""),0.6527777777777778)</f>
        <v>0.6527777778</v>
      </c>
      <c r="U587" s="57">
        <f>IFERROR(__xludf.DUMMYFUNCTION("""COMPUTED_VALUE"""),0.4652777777777777)</f>
        <v>0.4652777778</v>
      </c>
      <c r="V587" s="57">
        <f>IFERROR(__xludf.DUMMYFUNCTION("""COMPUTED_VALUE"""),1.2083333333333333)</f>
        <v>1.208333333</v>
      </c>
      <c r="W587" s="57">
        <f>IFERROR(__xludf.DUMMYFUNCTION("""COMPUTED_VALUE"""),2.2847222222222223)</f>
        <v>2.284722222</v>
      </c>
      <c r="X587" s="31">
        <f>IFERROR(__xludf.DUMMYFUNCTION("""COMPUTED_VALUE"""),340.7599488935177)</f>
        <v>340.7599489</v>
      </c>
      <c r="Y587" s="57">
        <f>IFERROR(__xludf.DUMMYFUNCTION("""COMPUTED_VALUE"""),0.7365800424655885)</f>
        <v>0.7365800425</v>
      </c>
      <c r="Z587" s="57">
        <f>IFERROR(__xludf.DUMMYFUNCTION("""COMPUTED_VALUE"""),0.5455453891660079)</f>
        <v>0.5455453892</v>
      </c>
      <c r="AA587" s="57">
        <f>IFERROR(__xludf.DUMMYFUNCTION("""COMPUTED_VALUE"""),1.3058609963576524)</f>
        <v>1.305860996</v>
      </c>
      <c r="AB587" s="57">
        <f>IFERROR(__xludf.DUMMYFUNCTION("""COMPUTED_VALUE"""),2.5398818622549353)</f>
        <v>2.539881862</v>
      </c>
      <c r="AC587" s="31">
        <f>IFERROR(__xludf.DUMMYFUNCTION("""COMPUTED_VALUE"""),352.2256805657567)</f>
        <v>352.2256806</v>
      </c>
      <c r="AD587" s="57">
        <f>IFERROR(__xludf.DUMMYFUNCTION("""COMPUTED_VALUE"""),0.7963597165226509)</f>
        <v>0.7963597165</v>
      </c>
      <c r="AE587" s="57">
        <f>IFERROR(__xludf.DUMMYFUNCTION("""COMPUTED_VALUE"""),0.5724519051704822)</f>
        <v>0.5724519052</v>
      </c>
      <c r="AF587" s="57">
        <f>IFERROR(__xludf.DUMMYFUNCTION("""COMPUTED_VALUE"""),1.3329207173117064)</f>
        <v>1.332920717</v>
      </c>
      <c r="AG587" s="57">
        <f>IFERROR(__xludf.DUMMYFUNCTION("""COMPUTED_VALUE"""),2.5968719965069433)</f>
        <v>2.596871997</v>
      </c>
      <c r="AH587" s="57">
        <f>IFERROR(__xludf.DUMMYFUNCTION("""COMPUTED_VALUE"""),1.1595903494144832)</f>
        <v>1.159590349</v>
      </c>
      <c r="AI587" s="57">
        <f>IFERROR(__xludf.DUMMYFUNCTION("""COMPUTED_VALUE"""),0.9417854575504105)</f>
        <v>0.9417854576</v>
      </c>
      <c r="AJ587" s="57">
        <f>IFERROR(__xludf.DUMMYFUNCTION("""COMPUTED_VALUE"""),1.3101537320880121)</f>
        <v>1.310153732</v>
      </c>
      <c r="AK587" s="57">
        <f>IFERROR(__xludf.DUMMYFUNCTION("""COMPUTED_VALUE"""),1.0784587420167149)</f>
        <v>1.078458742</v>
      </c>
      <c r="AL587" s="57">
        <f>IFERROR(__xludf.DUMMYFUNCTION("""COMPUTED_VALUE"""),1.0669887992401572)</f>
        <v>1.066988799</v>
      </c>
      <c r="AM587" s="57">
        <f>IFERROR(__xludf.DUMMYFUNCTION("""COMPUTED_VALUE"""),0.9496135881828495)</f>
        <v>0.9496135882</v>
      </c>
      <c r="AN587" s="57">
        <f>IFERROR(__xludf.DUMMYFUNCTION("""COMPUTED_VALUE"""),0.886227891259047)</f>
        <v>0.8862278913</v>
      </c>
      <c r="AO587" s="57">
        <f>IFERROR(__xludf.DUMMYFUNCTION("""COMPUTED_VALUE"""),0.8528672169497431)</f>
        <v>0.8528672169</v>
      </c>
      <c r="AP587" s="35">
        <f>IFERROR(__xludf.DUMMYFUNCTION("""COMPUTED_VALUE"""),0.9253154330389327)</f>
        <v>0.925315433</v>
      </c>
      <c r="AQ587" s="57">
        <f>IFERROR(__xludf.DUMMYFUNCTION("""COMPUTED_VALUE"""),0.8995387762617513)</f>
        <v>0.8995387763</v>
      </c>
      <c r="AR587" s="36" t="b">
        <f>IFERROR(__xludf.DUMMYFUNCTION("""COMPUTED_VALUE"""),TRUE)</f>
        <v>1</v>
      </c>
      <c r="AS587" s="57"/>
      <c r="AT587" s="37"/>
      <c r="AU587" s="30"/>
      <c r="AV587" s="30"/>
      <c r="AW587" s="30"/>
      <c r="AX587" s="30"/>
      <c r="AY587" s="30"/>
      <c r="AZ587" s="30"/>
    </row>
    <row r="588">
      <c r="A588" s="30" t="str">
        <f>IFERROR(__xludf.DUMMYFUNCTION("""COMPUTED_VALUE"""),"Rival")</f>
        <v>Rival</v>
      </c>
      <c r="B588" s="30" t="str">
        <f>IFERROR(__xludf.DUMMYFUNCTION("""COMPUTED_VALUE"""),"RSC005314")</f>
        <v>RSC005314</v>
      </c>
      <c r="C588" s="30" t="str">
        <f>IFERROR(__xludf.DUMMYFUNCTION("""COMPUTED_VALUE"""),"daggumbigfeet")</f>
        <v>daggumbigfeet</v>
      </c>
      <c r="D588" s="31" t="str">
        <f>IFERROR(__xludf.DUMMYFUNCTION("""COMPUTED_VALUE"""),"Dice")</f>
        <v>Dice</v>
      </c>
      <c r="E588" s="31">
        <f>IFERROR(__xludf.DUMMYFUNCTION("""COMPUTED_VALUE"""),70.75541416780615)</f>
        <v>70.75541417</v>
      </c>
      <c r="F588" s="31">
        <f>IFERROR(__xludf.DUMMYFUNCTION("""COMPUTED_VALUE"""),4.921061858997684)</f>
        <v>4.921061859</v>
      </c>
      <c r="G588" s="31">
        <f>IFERROR(__xludf.DUMMYFUNCTION("""COMPUTED_VALUE"""),69.9941877359267)</f>
        <v>69.99418774</v>
      </c>
      <c r="H588" s="31">
        <f>IFERROR(__xludf.DUMMYFUNCTION("""COMPUTED_VALUE"""),4.718700444030364)</f>
        <v>4.718700444</v>
      </c>
      <c r="I588" s="54">
        <f>IFERROR(__xludf.DUMMYFUNCTION("""COMPUTED_VALUE"""),28.0)</f>
        <v>28</v>
      </c>
      <c r="J588" s="55">
        <f>IFERROR(__xludf.DUMMYFUNCTION("""COMPUTED_VALUE"""),11.0)</f>
        <v>11</v>
      </c>
      <c r="K588" s="54">
        <f>IFERROR(__xludf.DUMMYFUNCTION("""COMPUTED_VALUE"""),17.0)</f>
        <v>17</v>
      </c>
      <c r="L588" s="56">
        <f>IFERROR(__xludf.DUMMYFUNCTION("""COMPUTED_VALUE"""),0.39285714285714285)</f>
        <v>0.3928571429</v>
      </c>
      <c r="M588" s="56">
        <f>IFERROR(__xludf.DUMMYFUNCTION("""COMPUTED_VALUE"""),0.3152173913043479)</f>
        <v>0.3152173913</v>
      </c>
      <c r="N588" s="31">
        <f>IFERROR(__xludf.DUMMYFUNCTION("""COMPUTED_VALUE"""),381.57142857142856)</f>
        <v>381.5714286</v>
      </c>
      <c r="O588" s="57">
        <f>IFERROR(__xludf.DUMMYFUNCTION("""COMPUTED_VALUE"""),1.0357142857142858)</f>
        <v>1.035714286</v>
      </c>
      <c r="P588" s="57">
        <f>IFERROR(__xludf.DUMMYFUNCTION("""COMPUTED_VALUE"""),0.6071428571428571)</f>
        <v>0.6071428571</v>
      </c>
      <c r="Q588" s="57">
        <f>IFERROR(__xludf.DUMMYFUNCTION("""COMPUTED_VALUE"""),1.25)</f>
        <v>1.25</v>
      </c>
      <c r="R588" s="57">
        <f>IFERROR(__xludf.DUMMYFUNCTION("""COMPUTED_VALUE"""),3.2857142857142856)</f>
        <v>3.285714286</v>
      </c>
      <c r="S588" s="31">
        <f>IFERROR(__xludf.DUMMYFUNCTION("""COMPUTED_VALUE"""),358.5)</f>
        <v>358.5</v>
      </c>
      <c r="T588" s="57">
        <f>IFERROR(__xludf.DUMMYFUNCTION("""COMPUTED_VALUE"""),0.9404761904761906)</f>
        <v>0.9404761905</v>
      </c>
      <c r="U588" s="57">
        <f>IFERROR(__xludf.DUMMYFUNCTION("""COMPUTED_VALUE"""),0.6190476190476188)</f>
        <v>0.619047619</v>
      </c>
      <c r="V588" s="57">
        <f>IFERROR(__xludf.DUMMYFUNCTION("""COMPUTED_VALUE"""),1.2976190476190474)</f>
        <v>1.297619048</v>
      </c>
      <c r="W588" s="57">
        <f>IFERROR(__xludf.DUMMYFUNCTION("""COMPUTED_VALUE"""),2.511904761904762)</f>
        <v>2.511904762</v>
      </c>
      <c r="X588" s="31">
        <f>IFERROR(__xludf.DUMMYFUNCTION("""COMPUTED_VALUE"""),335.6497889283099)</f>
        <v>335.6497889</v>
      </c>
      <c r="Y588" s="57">
        <f>IFERROR(__xludf.DUMMYFUNCTION("""COMPUTED_VALUE"""),0.7295324567825581)</f>
        <v>0.7295324568</v>
      </c>
      <c r="Z588" s="57">
        <f>IFERROR(__xludf.DUMMYFUNCTION("""COMPUTED_VALUE"""),0.5184794587434991)</f>
        <v>0.5184794587</v>
      </c>
      <c r="AA588" s="57">
        <f>IFERROR(__xludf.DUMMYFUNCTION("""COMPUTED_VALUE"""),1.3212177023581237)</f>
        <v>1.321217702</v>
      </c>
      <c r="AB588" s="57">
        <f>IFERROR(__xludf.DUMMYFUNCTION("""COMPUTED_VALUE"""),2.4253436545646285)</f>
        <v>2.425343655</v>
      </c>
      <c r="AC588" s="31">
        <f>IFERROR(__xludf.DUMMYFUNCTION("""COMPUTED_VALUE"""),349.1356169760571)</f>
        <v>349.135617</v>
      </c>
      <c r="AD588" s="57">
        <f>IFERROR(__xludf.DUMMYFUNCTION("""COMPUTED_VALUE"""),0.8114041968413207)</f>
        <v>0.8114041968</v>
      </c>
      <c r="AE588" s="57">
        <f>IFERROR(__xludf.DUMMYFUNCTION("""COMPUTED_VALUE"""),0.5638249559597481)</f>
        <v>0.563824956</v>
      </c>
      <c r="AF588" s="57">
        <f>IFERROR(__xludf.DUMMYFUNCTION("""COMPUTED_VALUE"""),1.2669141097259764)</f>
        <v>1.26691411</v>
      </c>
      <c r="AG588" s="57">
        <f>IFERROR(__xludf.DUMMYFUNCTION("""COMPUTED_VALUE"""),2.6241656348216473)</f>
        <v>2.624165635</v>
      </c>
      <c r="AH588" s="57">
        <f>IFERROR(__xludf.DUMMYFUNCTION("""COMPUTED_VALUE"""),1.0929031872379718)</f>
        <v>1.092903187</v>
      </c>
      <c r="AI588" s="57">
        <f>IFERROR(__xludf.DUMMYFUNCTION("""COMPUTED_VALUE"""),1.2764467940222295)</f>
        <v>1.276446794</v>
      </c>
      <c r="AJ588" s="57">
        <f>IFERROR(__xludf.DUMMYFUNCTION("""COMPUTED_VALUE"""),1.0768286340028579)</f>
        <v>1.076828634</v>
      </c>
      <c r="AK588" s="57">
        <f>IFERROR(__xludf.DUMMYFUNCTION("""COMPUTED_VALUE"""),0.9866493635234398)</f>
        <v>0.9866493635</v>
      </c>
      <c r="AL588" s="57">
        <f>IFERROR(__xludf.DUMMYFUNCTION("""COMPUTED_VALUE"""),1.2520986640912248)</f>
        <v>1.252098664</v>
      </c>
      <c r="AM588" s="57">
        <f>IFERROR(__xludf.DUMMYFUNCTION("""COMPUTED_VALUE"""),1.0680775374376017)</f>
        <v>1.068077537</v>
      </c>
      <c r="AN588" s="57">
        <f>IFERROR(__xludf.DUMMYFUNCTION("""COMPUTED_VALUE"""),1.2891492101995754)</f>
        <v>1.28914921</v>
      </c>
      <c r="AO588" s="57">
        <f>IFERROR(__xludf.DUMMYFUNCTION("""COMPUTED_VALUE"""),1.1939674920735337)</f>
        <v>1.193967492</v>
      </c>
      <c r="AP588" s="35">
        <f>IFERROR(__xludf.DUMMYFUNCTION("""COMPUTED_VALUE"""),0.9821387083317479)</f>
        <v>0.9821387083</v>
      </c>
      <c r="AQ588" s="57">
        <f>IFERROR(__xludf.DUMMYFUNCTION("""COMPUTED_VALUE"""),1.0356902442164106)</f>
        <v>1.035690244</v>
      </c>
      <c r="AR588" s="36" t="b">
        <f>IFERROR(__xludf.DUMMYFUNCTION("""COMPUTED_VALUE"""),TRUE)</f>
        <v>1</v>
      </c>
      <c r="AS588" s="57"/>
      <c r="AT588" s="37"/>
      <c r="AU588" s="30"/>
      <c r="AV588" s="30"/>
      <c r="AW588" s="30"/>
      <c r="AX588" s="30"/>
      <c r="AY588" s="30"/>
      <c r="AZ588" s="30"/>
    </row>
    <row r="589">
      <c r="A589" s="30" t="str">
        <f>IFERROR(__xludf.DUMMYFUNCTION("""COMPUTED_VALUE"""),"Rival")</f>
        <v>Rival</v>
      </c>
      <c r="B589" s="30" t="str">
        <f>IFERROR(__xludf.DUMMYFUNCTION("""COMPUTED_VALUE"""),"RSC006401")</f>
        <v>RSC006401</v>
      </c>
      <c r="C589" s="30" t="str">
        <f>IFERROR(__xludf.DUMMYFUNCTION("""COMPUTED_VALUE"""),"Shadohkamii")</f>
        <v>Shadohkamii</v>
      </c>
      <c r="D589" s="31" t="str">
        <f>IFERROR(__xludf.DUMMYFUNCTION("""COMPUTED_VALUE"""),"Hue Heroes")</f>
        <v>Hue Heroes</v>
      </c>
      <c r="E589" s="31">
        <f>IFERROR(__xludf.DUMMYFUNCTION("""COMPUTED_VALUE"""),70.30624052458867)</f>
        <v>70.30624052</v>
      </c>
      <c r="F589" s="31">
        <f>IFERROR(__xludf.DUMMYFUNCTION("""COMPUTED_VALUE"""),4.800210304001312)</f>
        <v>4.800210304</v>
      </c>
      <c r="G589" s="31">
        <f>IFERROR(__xludf.DUMMYFUNCTION("""COMPUTED_VALUE"""),71.62712288851446)</f>
        <v>71.62712289</v>
      </c>
      <c r="H589" s="31">
        <f>IFERROR(__xludf.DUMMYFUNCTION("""COMPUTED_VALUE"""),5.1680630407748795)</f>
        <v>5.168063041</v>
      </c>
      <c r="I589" s="54">
        <f>IFERROR(__xludf.DUMMYFUNCTION("""COMPUTED_VALUE"""),40.0)</f>
        <v>40</v>
      </c>
      <c r="J589" s="55">
        <f>IFERROR(__xludf.DUMMYFUNCTION("""COMPUTED_VALUE"""),17.0)</f>
        <v>17</v>
      </c>
      <c r="K589" s="54">
        <f>IFERROR(__xludf.DUMMYFUNCTION("""COMPUTED_VALUE"""),23.0)</f>
        <v>23</v>
      </c>
      <c r="L589" s="56">
        <f>IFERROR(__xludf.DUMMYFUNCTION("""COMPUTED_VALUE"""),0.425)</f>
        <v>0.425</v>
      </c>
      <c r="M589" s="56">
        <f>IFERROR(__xludf.DUMMYFUNCTION("""COMPUTED_VALUE"""),0.2966101694915254)</f>
        <v>0.2966101695</v>
      </c>
      <c r="N589" s="31">
        <f>IFERROR(__xludf.DUMMYFUNCTION("""COMPUTED_VALUE"""),390.55)</f>
        <v>390.55</v>
      </c>
      <c r="O589" s="57">
        <f>IFERROR(__xludf.DUMMYFUNCTION("""COMPUTED_VALUE"""),0.875)</f>
        <v>0.875</v>
      </c>
      <c r="P589" s="57">
        <f>IFERROR(__xludf.DUMMYFUNCTION("""COMPUTED_VALUE"""),0.675)</f>
        <v>0.675</v>
      </c>
      <c r="Q589" s="57">
        <f>IFERROR(__xludf.DUMMYFUNCTION("""COMPUTED_VALUE"""),1.5)</f>
        <v>1.5</v>
      </c>
      <c r="R589" s="57">
        <f>IFERROR(__xludf.DUMMYFUNCTION("""COMPUTED_VALUE"""),2.95)</f>
        <v>2.95</v>
      </c>
      <c r="S589" s="31">
        <f>IFERROR(__xludf.DUMMYFUNCTION("""COMPUTED_VALUE"""),350.525)</f>
        <v>350.525</v>
      </c>
      <c r="T589" s="57">
        <f>IFERROR(__xludf.DUMMYFUNCTION("""COMPUTED_VALUE"""),0.8916666666666666)</f>
        <v>0.8916666667</v>
      </c>
      <c r="U589" s="57">
        <f>IFERROR(__xludf.DUMMYFUNCTION("""COMPUTED_VALUE"""),0.608333333333333)</f>
        <v>0.6083333333</v>
      </c>
      <c r="V589" s="57">
        <f>IFERROR(__xludf.DUMMYFUNCTION("""COMPUTED_VALUE"""),1.1416666666666668)</f>
        <v>1.141666667</v>
      </c>
      <c r="W589" s="57">
        <f>IFERROR(__xludf.DUMMYFUNCTION("""COMPUTED_VALUE"""),2.6916666666666655)</f>
        <v>2.691666667</v>
      </c>
      <c r="X589" s="31">
        <f>IFERROR(__xludf.DUMMYFUNCTION("""COMPUTED_VALUE"""),352.1852711862727)</f>
        <v>352.1852712</v>
      </c>
      <c r="Y589" s="57">
        <f>IFERROR(__xludf.DUMMYFUNCTION("""COMPUTED_VALUE"""),0.8186564473362017)</f>
        <v>0.8186564473</v>
      </c>
      <c r="Z589" s="57">
        <f>IFERROR(__xludf.DUMMYFUNCTION("""COMPUTED_VALUE"""),0.5828810977513019)</f>
        <v>0.5828810978</v>
      </c>
      <c r="AA589" s="57">
        <f>IFERROR(__xludf.DUMMYFUNCTION("""COMPUTED_VALUE"""),1.3047227148760894)</f>
        <v>1.304722715</v>
      </c>
      <c r="AB589" s="57">
        <f>IFERROR(__xludf.DUMMYFUNCTION("""COMPUTED_VALUE"""),2.6282605917019186)</f>
        <v>2.628260592</v>
      </c>
      <c r="AC589" s="31">
        <f>IFERROR(__xludf.DUMMYFUNCTION("""COMPUTED_VALUE"""),345.91322421953316)</f>
        <v>345.9132242</v>
      </c>
      <c r="AD589" s="57">
        <f>IFERROR(__xludf.DUMMYFUNCTION("""COMPUTED_VALUE"""),0.7616158224174153)</f>
        <v>0.7616158224</v>
      </c>
      <c r="AE589" s="57">
        <f>IFERROR(__xludf.DUMMYFUNCTION("""COMPUTED_VALUE"""),0.5498523281768677)</f>
        <v>0.5498523282</v>
      </c>
      <c r="AF589" s="57">
        <f>IFERROR(__xludf.DUMMYFUNCTION("""COMPUTED_VALUE"""),1.3426337446771615)</f>
        <v>1.342633745</v>
      </c>
      <c r="AG589" s="57">
        <f>IFERROR(__xludf.DUMMYFUNCTION("""COMPUTED_VALUE"""),2.510569579784275)</f>
        <v>2.51056958</v>
      </c>
      <c r="AH589" s="57">
        <f>IFERROR(__xludf.DUMMYFUNCTION("""COMPUTED_VALUE"""),1.1290403854353317)</f>
        <v>1.129040385</v>
      </c>
      <c r="AI589" s="57">
        <f>IFERROR(__xludf.DUMMYFUNCTION("""COMPUTED_VALUE"""),1.1488731907153613)</f>
        <v>1.148873191</v>
      </c>
      <c r="AJ589" s="57">
        <f>IFERROR(__xludf.DUMMYFUNCTION("""COMPUTED_VALUE"""),1.2276023314079283)</f>
        <v>1.227602331</v>
      </c>
      <c r="AK589" s="57">
        <f>IFERROR(__xludf.DUMMYFUNCTION("""COMPUTED_VALUE"""),1.1172071355622584)</f>
        <v>1.117207136</v>
      </c>
      <c r="AL589" s="57">
        <f>IFERROR(__xludf.DUMMYFUNCTION("""COMPUTED_VALUE"""),1.175032161527857)</f>
        <v>1.175032162</v>
      </c>
      <c r="AM589" s="57">
        <f>IFERROR(__xludf.DUMMYFUNCTION("""COMPUTED_VALUE"""),0.9952858017580338)</f>
        <v>0.9952858018</v>
      </c>
      <c r="AN589" s="57">
        <f>IFERROR(__xludf.DUMMYFUNCTION("""COMPUTED_VALUE"""),1.089182977264798)</f>
        <v>1.089182977</v>
      </c>
      <c r="AO589" s="57">
        <f>IFERROR(__xludf.DUMMYFUNCTION("""COMPUTED_VALUE"""),1.0436662566005712)</f>
        <v>1.043666257</v>
      </c>
      <c r="AP589" s="35">
        <f>IFERROR(__xludf.DUMMYFUNCTION("""COMPUTED_VALUE"""),0.8750262823278062)</f>
        <v>0.8750262823</v>
      </c>
      <c r="AQ589" s="57">
        <f>IFERROR(__xludf.DUMMYFUNCTION("""COMPUTED_VALUE"""),1.0241247291706674)</f>
        <v>1.024124729</v>
      </c>
      <c r="AR589" s="36" t="b">
        <f>IFERROR(__xludf.DUMMYFUNCTION("""COMPUTED_VALUE"""),TRUE)</f>
        <v>1</v>
      </c>
      <c r="AS589" s="57"/>
      <c r="AT589" s="37"/>
      <c r="AU589" s="30"/>
      <c r="AV589" s="30"/>
      <c r="AW589" s="30"/>
      <c r="AX589" s="30"/>
      <c r="AY589" s="30"/>
      <c r="AZ589" s="30"/>
    </row>
    <row r="590">
      <c r="A590" s="30" t="str">
        <f>IFERROR(__xludf.DUMMYFUNCTION("""COMPUTED_VALUE"""),"Rival")</f>
        <v>Rival</v>
      </c>
      <c r="B590" s="30" t="str">
        <f>IFERROR(__xludf.DUMMYFUNCTION("""COMPUTED_VALUE"""),"RSC005035")</f>
        <v>RSC005035</v>
      </c>
      <c r="C590" s="30" t="str">
        <f>IFERROR(__xludf.DUMMYFUNCTION("""COMPUTED_VALUE"""),"Broskijazz")</f>
        <v>Broskijazz</v>
      </c>
      <c r="D590" s="31" t="str">
        <f>IFERROR(__xludf.DUMMYFUNCTION("""COMPUTED_VALUE"""),"Hot Wings")</f>
        <v>Hot Wings</v>
      </c>
      <c r="E590" s="31">
        <f>IFERROR(__xludf.DUMMYFUNCTION("""COMPUTED_VALUE"""),70.14481309511453)</f>
        <v>70.1448131</v>
      </c>
      <c r="F590" s="31">
        <f>IFERROR(__xludf.DUMMYFUNCTION("""COMPUTED_VALUE"""),4.757798447272468)</f>
        <v>4.757798447</v>
      </c>
      <c r="G590" s="31">
        <f>IFERROR(__xludf.DUMMYFUNCTION("""COMPUTED_VALUE"""),72.19483588906387)</f>
        <v>72.19483589</v>
      </c>
      <c r="H590" s="31">
        <f>IFERROR(__xludf.DUMMYFUNCTION("""COMPUTED_VALUE"""),5.338289049945877)</f>
        <v>5.33828905</v>
      </c>
      <c r="I590" s="54">
        <f>IFERROR(__xludf.DUMMYFUNCTION("""COMPUTED_VALUE"""),8.0)</f>
        <v>8</v>
      </c>
      <c r="J590" s="55">
        <f>IFERROR(__xludf.DUMMYFUNCTION("""COMPUTED_VALUE"""),4.0)</f>
        <v>4</v>
      </c>
      <c r="K590" s="54">
        <f>IFERROR(__xludf.DUMMYFUNCTION("""COMPUTED_VALUE"""),4.0)</f>
        <v>4</v>
      </c>
      <c r="L590" s="56">
        <f>IFERROR(__xludf.DUMMYFUNCTION("""COMPUTED_VALUE"""),0.5)</f>
        <v>0.5</v>
      </c>
      <c r="M590" s="56">
        <f>IFERROR(__xludf.DUMMYFUNCTION("""COMPUTED_VALUE"""),0.38095238095238093)</f>
        <v>0.380952381</v>
      </c>
      <c r="N590" s="31">
        <f>IFERROR(__xludf.DUMMYFUNCTION("""COMPUTED_VALUE"""),350.125)</f>
        <v>350.125</v>
      </c>
      <c r="O590" s="57">
        <f>IFERROR(__xludf.DUMMYFUNCTION("""COMPUTED_VALUE"""),1.0)</f>
        <v>1</v>
      </c>
      <c r="P590" s="57">
        <f>IFERROR(__xludf.DUMMYFUNCTION("""COMPUTED_VALUE"""),0.75)</f>
        <v>0.75</v>
      </c>
      <c r="Q590" s="57">
        <f>IFERROR(__xludf.DUMMYFUNCTION("""COMPUTED_VALUE"""),0.625)</f>
        <v>0.625</v>
      </c>
      <c r="R590" s="57">
        <f>IFERROR(__xludf.DUMMYFUNCTION("""COMPUTED_VALUE"""),2.625)</f>
        <v>2.625</v>
      </c>
      <c r="S590" s="31">
        <f>IFERROR(__xludf.DUMMYFUNCTION("""COMPUTED_VALUE"""),326.62500000000006)</f>
        <v>326.625</v>
      </c>
      <c r="T590" s="57">
        <f>IFERROR(__xludf.DUMMYFUNCTION("""COMPUTED_VALUE"""),0.6666666666666667)</f>
        <v>0.6666666667</v>
      </c>
      <c r="U590" s="57">
        <f>IFERROR(__xludf.DUMMYFUNCTION("""COMPUTED_VALUE"""),0.41666666666666663)</f>
        <v>0.4166666667</v>
      </c>
      <c r="V590" s="57">
        <f>IFERROR(__xludf.DUMMYFUNCTION("""COMPUTED_VALUE"""),1.4583333333333333)</f>
        <v>1.458333333</v>
      </c>
      <c r="W590" s="57">
        <f>IFERROR(__xludf.DUMMYFUNCTION("""COMPUTED_VALUE"""),1.958333333333333)</f>
        <v>1.958333333</v>
      </c>
      <c r="X590" s="31">
        <f>IFERROR(__xludf.DUMMYFUNCTION("""COMPUTED_VALUE"""),336.4686992966069)</f>
        <v>336.4686993</v>
      </c>
      <c r="Y590" s="57">
        <f>IFERROR(__xludf.DUMMYFUNCTION("""COMPUTED_VALUE"""),0.6782170384115438)</f>
        <v>0.6782170384</v>
      </c>
      <c r="Z590" s="57">
        <f>IFERROR(__xludf.DUMMYFUNCTION("""COMPUTED_VALUE"""),0.4389421340129483)</f>
        <v>0.438942134</v>
      </c>
      <c r="AA590" s="57">
        <f>IFERROR(__xludf.DUMMYFUNCTION("""COMPUTED_VALUE"""),1.4749662461909725)</f>
        <v>1.474966246</v>
      </c>
      <c r="AB590" s="57">
        <f>IFERROR(__xludf.DUMMYFUNCTION("""COMPUTED_VALUE"""),2.344390329438836)</f>
        <v>2.344390329</v>
      </c>
      <c r="AC590" s="31">
        <f>IFERROR(__xludf.DUMMYFUNCTION("""COMPUTED_VALUE"""),357.3513755257637)</f>
        <v>357.3513755</v>
      </c>
      <c r="AD590" s="57">
        <f>IFERROR(__xludf.DUMMYFUNCTION("""COMPUTED_VALUE"""),0.865361598155571)</f>
        <v>0.8653615982</v>
      </c>
      <c r="AE590" s="57">
        <f>IFERROR(__xludf.DUMMYFUNCTION("""COMPUTED_VALUE"""),0.6182627393710458)</f>
        <v>0.6182627394</v>
      </c>
      <c r="AF590" s="57">
        <f>IFERROR(__xludf.DUMMYFUNCTION("""COMPUTED_VALUE"""),1.2247798629732043)</f>
        <v>1.224779863</v>
      </c>
      <c r="AG590" s="57">
        <f>IFERROR(__xludf.DUMMYFUNCTION("""COMPUTED_VALUE"""),2.7661458530001912)</f>
        <v>2.766145853</v>
      </c>
      <c r="AH590" s="57">
        <f>IFERROR(__xludf.DUMMYFUNCTION("""COMPUTED_VALUE"""),0.9797779551984888)</f>
        <v>0.9797779552</v>
      </c>
      <c r="AI590" s="57">
        <f>IFERROR(__xludf.DUMMYFUNCTION("""COMPUTED_VALUE"""),1.1555862914779174)</f>
        <v>1.155586291</v>
      </c>
      <c r="AJ590" s="57">
        <f>IFERROR(__xludf.DUMMYFUNCTION("""COMPUTED_VALUE"""),1.2130765000701313)</f>
        <v>1.2130765</v>
      </c>
      <c r="AK590" s="57">
        <f>IFERROR(__xludf.DUMMYFUNCTION("""COMPUTED_VALUE"""),0.5102957836706968)</f>
        <v>0.5102957837</v>
      </c>
      <c r="AL590" s="57">
        <f>IFERROR(__xludf.DUMMYFUNCTION("""COMPUTED_VALUE"""),0.9489738211572962)</f>
        <v>0.9489738212</v>
      </c>
      <c r="AM590" s="57">
        <f>IFERROR(__xludf.DUMMYFUNCTION("""COMPUTED_VALUE"""),0.9707440861001773)</f>
        <v>0.9707440861</v>
      </c>
      <c r="AN590" s="57">
        <f>IFERROR(__xludf.DUMMYFUNCTION("""COMPUTED_VALUE"""),0.9829695052015661)</f>
        <v>0.9829695052</v>
      </c>
      <c r="AO590" s="57">
        <f>IFERROR(__xludf.DUMMYFUNCTION("""COMPUTED_VALUE"""),0.9492519272583102)</f>
        <v>0.9492519273</v>
      </c>
      <c r="AP590" s="35">
        <f>IFERROR(__xludf.DUMMYFUNCTION("""COMPUTED_VALUE"""),0.9887231908522701)</f>
        <v>0.9887231909</v>
      </c>
      <c r="AQ590" s="57">
        <f>IFERROR(__xludf.DUMMYFUNCTION("""COMPUTED_VALUE"""),0.835327338089681)</f>
        <v>0.8353273381</v>
      </c>
      <c r="AR590" s="36" t="b">
        <f>IFERROR(__xludf.DUMMYFUNCTION("""COMPUTED_VALUE"""),TRUE)</f>
        <v>1</v>
      </c>
      <c r="AS590" s="57"/>
      <c r="AT590" s="37"/>
      <c r="AU590" s="30"/>
      <c r="AV590" s="30"/>
      <c r="AW590" s="30"/>
      <c r="AX590" s="30"/>
      <c r="AY590" s="30"/>
      <c r="AZ590" s="30"/>
    </row>
    <row r="591">
      <c r="A591" s="30" t="str">
        <f>IFERROR(__xludf.DUMMYFUNCTION("""COMPUTED_VALUE"""),"Rival")</f>
        <v>Rival</v>
      </c>
      <c r="B591" s="30" t="str">
        <f>IFERROR(__xludf.DUMMYFUNCTION("""COMPUTED_VALUE"""),"RSC005455")</f>
        <v>RSC005455</v>
      </c>
      <c r="C591" s="30" t="str">
        <f>IFERROR(__xludf.DUMMYFUNCTION("""COMPUTED_VALUE"""),"Covi")</f>
        <v>Covi</v>
      </c>
      <c r="D591" s="31" t="str">
        <f>IFERROR(__xludf.DUMMYFUNCTION("""COMPUTED_VALUE"""),"Hammerheads")</f>
        <v>Hammerheads</v>
      </c>
      <c r="E591" s="31">
        <f>IFERROR(__xludf.DUMMYFUNCTION("""COMPUTED_VALUE"""),69.92586103165635)</f>
        <v>69.92586103</v>
      </c>
      <c r="F591" s="31">
        <f>IFERROR(__xludf.DUMMYFUNCTION("""COMPUTED_VALUE"""),4.701114548401399)</f>
        <v>4.701114548</v>
      </c>
      <c r="G591" s="31">
        <f>IFERROR(__xludf.DUMMYFUNCTION("""COMPUTED_VALUE"""),40.380777413274345)</f>
        <v>40.38077741</v>
      </c>
      <c r="H591" s="31">
        <f>IFERROR(__xludf.DUMMYFUNCTION("""COMPUTED_VALUE"""),-2.855475911367963)</f>
        <v>-2.855475911</v>
      </c>
      <c r="I591" s="54">
        <f>IFERROR(__xludf.DUMMYFUNCTION("""COMPUTED_VALUE"""),8.0)</f>
        <v>8</v>
      </c>
      <c r="J591" s="55">
        <f>IFERROR(__xludf.DUMMYFUNCTION("""COMPUTED_VALUE"""),4.0)</f>
        <v>4</v>
      </c>
      <c r="K591" s="54">
        <f>IFERROR(__xludf.DUMMYFUNCTION("""COMPUTED_VALUE"""),4.0)</f>
        <v>4</v>
      </c>
      <c r="L591" s="56">
        <f>IFERROR(__xludf.DUMMYFUNCTION("""COMPUTED_VALUE"""),0.5)</f>
        <v>0.5</v>
      </c>
      <c r="M591" s="56">
        <f>IFERROR(__xludf.DUMMYFUNCTION("""COMPUTED_VALUE"""),0.3448275862068966)</f>
        <v>0.3448275862</v>
      </c>
      <c r="N591" s="31">
        <f>IFERROR(__xludf.DUMMYFUNCTION("""COMPUTED_VALUE"""),355.125)</f>
        <v>355.125</v>
      </c>
      <c r="O591" s="57">
        <f>IFERROR(__xludf.DUMMYFUNCTION("""COMPUTED_VALUE"""),1.25)</f>
        <v>1.25</v>
      </c>
      <c r="P591" s="57">
        <f>IFERROR(__xludf.DUMMYFUNCTION("""COMPUTED_VALUE"""),0.25)</f>
        <v>0.25</v>
      </c>
      <c r="Q591" s="57">
        <f>IFERROR(__xludf.DUMMYFUNCTION("""COMPUTED_VALUE"""),1.125)</f>
        <v>1.125</v>
      </c>
      <c r="R591" s="57">
        <f>IFERROR(__xludf.DUMMYFUNCTION("""COMPUTED_VALUE"""),3.625)</f>
        <v>3.625</v>
      </c>
      <c r="S591" s="31">
        <f>IFERROR(__xludf.DUMMYFUNCTION("""COMPUTED_VALUE"""),349.0416666666667)</f>
        <v>349.0416667</v>
      </c>
      <c r="T591" s="57">
        <f>IFERROR(__xludf.DUMMYFUNCTION("""COMPUTED_VALUE"""),0.7083333333333334)</f>
        <v>0.7083333333</v>
      </c>
      <c r="U591" s="57">
        <f>IFERROR(__xludf.DUMMYFUNCTION("""COMPUTED_VALUE"""),0.5833333333333333)</f>
        <v>0.5833333333</v>
      </c>
      <c r="V591" s="57">
        <f>IFERROR(__xludf.DUMMYFUNCTION("""COMPUTED_VALUE"""),1.7916666666666667)</f>
        <v>1.791666667</v>
      </c>
      <c r="W591" s="57">
        <f>IFERROR(__xludf.DUMMYFUNCTION("""COMPUTED_VALUE"""),2.8333333333333335)</f>
        <v>2.833333333</v>
      </c>
      <c r="X591" s="31">
        <f>IFERROR(__xludf.DUMMYFUNCTION("""COMPUTED_VALUE"""),346.51403508771926)</f>
        <v>346.5140351</v>
      </c>
      <c r="Y591" s="57">
        <f>IFERROR(__xludf.DUMMYFUNCTION("""COMPUTED_VALUE"""),0.8345942982456139)</f>
        <v>0.8345942982</v>
      </c>
      <c r="Z591" s="57">
        <f>IFERROR(__xludf.DUMMYFUNCTION("""COMPUTED_VALUE"""),0.5213450292397661)</f>
        <v>0.5213450292</v>
      </c>
      <c r="AA591" s="57">
        <f>IFERROR(__xludf.DUMMYFUNCTION("""COMPUTED_VALUE"""),1.3567982456140353)</f>
        <v>1.356798246</v>
      </c>
      <c r="AB591" s="57">
        <f>IFERROR(__xludf.DUMMYFUNCTION("""COMPUTED_VALUE"""),2.5875730994152044)</f>
        <v>2.587573099</v>
      </c>
      <c r="AC591" s="31">
        <f>IFERROR(__xludf.DUMMYFUNCTION("""COMPUTED_VALUE"""),359.4421113547759)</f>
        <v>359.4421114</v>
      </c>
      <c r="AD591" s="57">
        <f>IFERROR(__xludf.DUMMYFUNCTION("""COMPUTED_VALUE"""),0.8475268031189084)</f>
        <v>0.8475268031</v>
      </c>
      <c r="AE591" s="57">
        <f>IFERROR(__xludf.DUMMYFUNCTION("""COMPUTED_VALUE"""),0.5902655945419104)</f>
        <v>0.5902655945</v>
      </c>
      <c r="AF591" s="57">
        <f>IFERROR(__xludf.DUMMYFUNCTION("""COMPUTED_VALUE"""),1.3869639376218326)</f>
        <v>1.386963938</v>
      </c>
      <c r="AG591" s="57">
        <f>IFERROR(__xludf.DUMMYFUNCTION("""COMPUTED_VALUE"""),2.725566520467837)</f>
        <v>2.72556652</v>
      </c>
      <c r="AH591" s="57">
        <f>IFERROR(__xludf.DUMMYFUNCTION("""COMPUTED_VALUE"""),0.9879894113171542)</f>
        <v>0.9879894113</v>
      </c>
      <c r="AI591" s="57">
        <f>IFERROR(__xludf.DUMMYFUNCTION("""COMPUTED_VALUE"""),1.4748796089987781)</f>
        <v>1.474879609</v>
      </c>
      <c r="AJ591" s="57">
        <f>IFERROR(__xludf.DUMMYFUNCTION("""COMPUTED_VALUE"""),0.4235381535222605)</f>
        <v>0.4235381535</v>
      </c>
      <c r="AK591" s="57">
        <f>IFERROR(__xludf.DUMMYFUNCTION("""COMPUTED_VALUE"""),0.8111241896663796)</f>
        <v>0.8111241897</v>
      </c>
      <c r="AL591" s="57">
        <f>IFERROR(__xludf.DUMMYFUNCTION("""COMPUTED_VALUE"""),1.3299987260548598)</f>
        <v>1.329998726</v>
      </c>
      <c r="AM591" s="57">
        <f>IFERROR(__xludf.DUMMYFUNCTION("""COMPUTED_VALUE"""),1.007294456567416)</f>
        <v>1.007294457</v>
      </c>
      <c r="AN591" s="57">
        <f>IFERROR(__xludf.DUMMYFUNCTION("""COMPUTED_VALUE"""),0.8487157590488079)</f>
        <v>0.848715759</v>
      </c>
      <c r="AO591" s="57">
        <f>IFERROR(__xludf.DUMMYFUNCTION("""COMPUTED_VALUE"""),1.1189007291082442)</f>
        <v>1.118900729</v>
      </c>
      <c r="AP591" s="35">
        <f>IFERROR(__xludf.DUMMYFUNCTION("""COMPUTED_VALUE"""),1.3205107483433003)</f>
        <v>1.320510748</v>
      </c>
      <c r="AQ591" s="57">
        <f>IFERROR(__xludf.DUMMYFUNCTION("""COMPUTED_VALUE"""),1.094977117351263)</f>
        <v>1.094977117</v>
      </c>
      <c r="AR591" s="36" t="b">
        <f>IFERROR(__xludf.DUMMYFUNCTION("""COMPUTED_VALUE"""),TRUE)</f>
        <v>1</v>
      </c>
      <c r="AS591" s="57"/>
      <c r="AT591" s="37"/>
      <c r="AU591" s="30"/>
      <c r="AV591" s="30"/>
      <c r="AW591" s="30"/>
      <c r="AX591" s="30"/>
      <c r="AY591" s="30"/>
      <c r="AZ591" s="30"/>
    </row>
    <row r="592">
      <c r="A592" s="30" t="str">
        <f>IFERROR(__xludf.DUMMYFUNCTION("""COMPUTED_VALUE"""),"Rival")</f>
        <v>Rival</v>
      </c>
      <c r="B592" s="30" t="str">
        <f>IFERROR(__xludf.DUMMYFUNCTION("""COMPUTED_VALUE"""),"RSC001720")</f>
        <v>RSC001720</v>
      </c>
      <c r="C592" s="30" t="str">
        <f>IFERROR(__xludf.DUMMYFUNCTION("""COMPUTED_VALUE"""),"SUPERDUPERBAM")</f>
        <v>SUPERDUPERBAM</v>
      </c>
      <c r="D592" s="31"/>
      <c r="E592" s="31">
        <f>IFERROR(__xludf.DUMMYFUNCTION("""COMPUTED_VALUE"""),69.83415637021497)</f>
        <v>69.83415637</v>
      </c>
      <c r="F592" s="31">
        <f>IFERROR(__xludf.DUMMYFUNCTION("""COMPUTED_VALUE"""),4.677657198949583)</f>
        <v>4.677657199</v>
      </c>
      <c r="G592" s="31">
        <f>IFERROR(__xludf.DUMMYFUNCTION("""COMPUTED_VALUE"""),50.82434384205804)</f>
        <v>50.82434384</v>
      </c>
      <c r="H592" s="31">
        <f>IFERROR(__xludf.DUMMYFUNCTION("""COMPUTED_VALUE"""),2.0540302008910816)</f>
        <v>2.054030201</v>
      </c>
      <c r="I592" s="54">
        <f>IFERROR(__xludf.DUMMYFUNCTION("""COMPUTED_VALUE"""),4.0)</f>
        <v>4</v>
      </c>
      <c r="J592" s="55">
        <f>IFERROR(__xludf.DUMMYFUNCTION("""COMPUTED_VALUE"""),3.0)</f>
        <v>3</v>
      </c>
      <c r="K592" s="54">
        <f>IFERROR(__xludf.DUMMYFUNCTION("""COMPUTED_VALUE"""),1.0)</f>
        <v>1</v>
      </c>
      <c r="L592" s="56">
        <f>IFERROR(__xludf.DUMMYFUNCTION("""COMPUTED_VALUE"""),0.75)</f>
        <v>0.75</v>
      </c>
      <c r="M592" s="56">
        <f>IFERROR(__xludf.DUMMYFUNCTION("""COMPUTED_VALUE"""),0.45454545454545453)</f>
        <v>0.4545454545</v>
      </c>
      <c r="N592" s="31">
        <f>IFERROR(__xludf.DUMMYFUNCTION("""COMPUTED_VALUE"""),343.0)</f>
        <v>343</v>
      </c>
      <c r="O592" s="57">
        <f>IFERROR(__xludf.DUMMYFUNCTION("""COMPUTED_VALUE"""),1.25)</f>
        <v>1.25</v>
      </c>
      <c r="P592" s="57">
        <f>IFERROR(__xludf.DUMMYFUNCTION("""COMPUTED_VALUE"""),0.5)</f>
        <v>0.5</v>
      </c>
      <c r="Q592" s="57">
        <f>IFERROR(__xludf.DUMMYFUNCTION("""COMPUTED_VALUE"""),0.75)</f>
        <v>0.75</v>
      </c>
      <c r="R592" s="57">
        <f>IFERROR(__xludf.DUMMYFUNCTION("""COMPUTED_VALUE"""),2.75)</f>
        <v>2.75</v>
      </c>
      <c r="S592" s="31">
        <f>IFERROR(__xludf.DUMMYFUNCTION("""COMPUTED_VALUE"""),328.91666666666663)</f>
        <v>328.9166667</v>
      </c>
      <c r="T592" s="57">
        <f>IFERROR(__xludf.DUMMYFUNCTION("""COMPUTED_VALUE"""),0.5)</f>
        <v>0.5</v>
      </c>
      <c r="U592" s="57">
        <f>IFERROR(__xludf.DUMMYFUNCTION("""COMPUTED_VALUE"""),0.5)</f>
        <v>0.5</v>
      </c>
      <c r="V592" s="57">
        <f>IFERROR(__xludf.DUMMYFUNCTION("""COMPUTED_VALUE"""),1.75)</f>
        <v>1.75</v>
      </c>
      <c r="W592" s="57">
        <f>IFERROR(__xludf.DUMMYFUNCTION("""COMPUTED_VALUE"""),2.25)</f>
        <v>2.25</v>
      </c>
      <c r="X592" s="31">
        <f>IFERROR(__xludf.DUMMYFUNCTION("""COMPUTED_VALUE"""),340.767094017094)</f>
        <v>340.767094</v>
      </c>
      <c r="Y592" s="57">
        <f>IFERROR(__xludf.DUMMYFUNCTION("""COMPUTED_VALUE"""),0.7172008547008547)</f>
        <v>0.7172008547</v>
      </c>
      <c r="Z592" s="57">
        <f>IFERROR(__xludf.DUMMYFUNCTION("""COMPUTED_VALUE"""),0.4743589743589744)</f>
        <v>0.4743589744</v>
      </c>
      <c r="AA592" s="57">
        <f>IFERROR(__xludf.DUMMYFUNCTION("""COMPUTED_VALUE"""),1.4943376068376069)</f>
        <v>1.494337607</v>
      </c>
      <c r="AB592" s="57">
        <f>IFERROR(__xludf.DUMMYFUNCTION("""COMPUTED_VALUE"""),2.104059829059829)</f>
        <v>2.104059829</v>
      </c>
      <c r="AC592" s="31">
        <f>IFERROR(__xludf.DUMMYFUNCTION("""COMPUTED_VALUE"""),361.7855056980057)</f>
        <v>361.7855057</v>
      </c>
      <c r="AD592" s="57">
        <f>IFERROR(__xludf.DUMMYFUNCTION("""COMPUTED_VALUE"""),0.9131054131054132)</f>
        <v>0.9131054131</v>
      </c>
      <c r="AE592" s="57">
        <f>IFERROR(__xludf.DUMMYFUNCTION("""COMPUTED_VALUE"""),0.6593660968660968)</f>
        <v>0.6593660969</v>
      </c>
      <c r="AF592" s="57">
        <f>IFERROR(__xludf.DUMMYFUNCTION("""COMPUTED_VALUE"""),1.1627849002849002)</f>
        <v>1.1627849</v>
      </c>
      <c r="AG592" s="57">
        <f>IFERROR(__xludf.DUMMYFUNCTION("""COMPUTED_VALUE"""),2.8232549857549856)</f>
        <v>2.823254986</v>
      </c>
      <c r="AH592" s="57">
        <f>IFERROR(__xludf.DUMMYFUNCTION("""COMPUTED_VALUE"""),0.9480755712925476)</f>
        <v>0.9480755713</v>
      </c>
      <c r="AI592" s="57">
        <f>IFERROR(__xludf.DUMMYFUNCTION("""COMPUTED_VALUE"""),1.3689547581903276)</f>
        <v>1.368954758</v>
      </c>
      <c r="AJ592" s="57">
        <f>IFERROR(__xludf.DUMMYFUNCTION("""COMPUTED_VALUE"""),0.7583040777747773)</f>
        <v>0.7583040778</v>
      </c>
      <c r="AK592" s="57">
        <f>IFERROR(__xludf.DUMMYFUNCTION("""COMPUTED_VALUE"""),0.6450032158279991)</f>
        <v>0.6450032158</v>
      </c>
      <c r="AL592" s="57">
        <f>IFERROR(__xludf.DUMMYFUNCTION("""COMPUTED_VALUE"""),0.9740530040238657)</f>
        <v>0.974053004</v>
      </c>
      <c r="AM592" s="57">
        <f>IFERROR(__xludf.DUMMYFUNCTION("""COMPUTED_VALUE"""),0.9652242615015143)</f>
        <v>0.9652242615</v>
      </c>
      <c r="AN592" s="57">
        <f>IFERROR(__xludf.DUMMYFUNCTION("""COMPUTED_VALUE"""),0.6971547743184865)</f>
        <v>0.6971547743</v>
      </c>
      <c r="AO592" s="57">
        <f>IFERROR(__xludf.DUMMYFUNCTION("""COMPUTED_VALUE"""),1.054054054054054)</f>
        <v>1.054054054</v>
      </c>
      <c r="AP592" s="35">
        <f>IFERROR(__xludf.DUMMYFUNCTION("""COMPUTED_VALUE"""),1.1710874383355974)</f>
        <v>1.171087438</v>
      </c>
      <c r="AQ592" s="57">
        <f>IFERROR(__xludf.DUMMYFUNCTION("""COMPUTED_VALUE"""),1.0693612267695745)</f>
        <v>1.069361227</v>
      </c>
      <c r="AR592" s="36" t="b">
        <f>IFERROR(__xludf.DUMMYFUNCTION("""COMPUTED_VALUE"""),TRUE)</f>
        <v>1</v>
      </c>
      <c r="AS592" s="57"/>
      <c r="AT592" s="37"/>
      <c r="AU592" s="30"/>
      <c r="AV592" s="30"/>
      <c r="AW592" s="30"/>
      <c r="AX592" s="30"/>
      <c r="AY592" s="30"/>
      <c r="AZ592" s="30"/>
    </row>
    <row r="593">
      <c r="A593" s="30" t="str">
        <f>IFERROR(__xludf.DUMMYFUNCTION("""COMPUTED_VALUE"""),"Rival")</f>
        <v>Rival</v>
      </c>
      <c r="B593" s="30" t="str">
        <f>IFERROR(__xludf.DUMMYFUNCTION("""COMPUTED_VALUE"""),"RSC005677")</f>
        <v>RSC005677</v>
      </c>
      <c r="C593" s="30" t="str">
        <f>IFERROR(__xludf.DUMMYFUNCTION("""COMPUTED_VALUE"""),"z2kay")</f>
        <v>z2kay</v>
      </c>
      <c r="D593" s="31" t="str">
        <f>IFERROR(__xludf.DUMMYFUNCTION("""COMPUTED_VALUE"""),"Hammerheads")</f>
        <v>Hammerheads</v>
      </c>
      <c r="E593" s="31">
        <f>IFERROR(__xludf.DUMMYFUNCTION("""COMPUTED_VALUE"""),69.79786113359339)</f>
        <v>69.79786113</v>
      </c>
      <c r="F593" s="31">
        <f>IFERROR(__xludf.DUMMYFUNCTION("""COMPUTED_VALUE"""),4.668418966200776)</f>
        <v>4.668418966</v>
      </c>
      <c r="G593" s="31">
        <f>IFERROR(__xludf.DUMMYFUNCTION("""COMPUTED_VALUE"""),69.81055411394304)</f>
        <v>69.81055411</v>
      </c>
      <c r="H593" s="31">
        <f>IFERROR(__xludf.DUMMYFUNCTION("""COMPUTED_VALUE"""),4.671646768614406)</f>
        <v>4.671646769</v>
      </c>
      <c r="I593" s="54">
        <f>IFERROR(__xludf.DUMMYFUNCTION("""COMPUTED_VALUE"""),48.0)</f>
        <v>48</v>
      </c>
      <c r="J593" s="55">
        <f>IFERROR(__xludf.DUMMYFUNCTION("""COMPUTED_VALUE"""),28.0)</f>
        <v>28</v>
      </c>
      <c r="K593" s="54">
        <f>IFERROR(__xludf.DUMMYFUNCTION("""COMPUTED_VALUE"""),20.0)</f>
        <v>20</v>
      </c>
      <c r="L593" s="56">
        <f>IFERROR(__xludf.DUMMYFUNCTION("""COMPUTED_VALUE"""),0.5833333333333334)</f>
        <v>0.5833333333</v>
      </c>
      <c r="M593" s="56">
        <f>IFERROR(__xludf.DUMMYFUNCTION("""COMPUTED_VALUE"""),0.2867647058823529)</f>
        <v>0.2867647059</v>
      </c>
      <c r="N593" s="31">
        <f>IFERROR(__xludf.DUMMYFUNCTION("""COMPUTED_VALUE"""),382.8333333333333)</f>
        <v>382.8333333</v>
      </c>
      <c r="O593" s="57">
        <f>IFERROR(__xludf.DUMMYFUNCTION("""COMPUTED_VALUE"""),0.8125)</f>
        <v>0.8125</v>
      </c>
      <c r="P593" s="57">
        <f>IFERROR(__xludf.DUMMYFUNCTION("""COMPUTED_VALUE"""),0.7083333333333334)</f>
        <v>0.7083333333</v>
      </c>
      <c r="Q593" s="57">
        <f>IFERROR(__xludf.DUMMYFUNCTION("""COMPUTED_VALUE"""),1.5)</f>
        <v>1.5</v>
      </c>
      <c r="R593" s="57">
        <f>IFERROR(__xludf.DUMMYFUNCTION("""COMPUTED_VALUE"""),2.8333333333333335)</f>
        <v>2.833333333</v>
      </c>
      <c r="S593" s="31">
        <f>IFERROR(__xludf.DUMMYFUNCTION("""COMPUTED_VALUE"""),329.8888888888889)</f>
        <v>329.8888889</v>
      </c>
      <c r="T593" s="57">
        <f>IFERROR(__xludf.DUMMYFUNCTION("""COMPUTED_VALUE"""),0.6874999999999999)</f>
        <v>0.6875</v>
      </c>
      <c r="U593" s="57">
        <f>IFERROR(__xludf.DUMMYFUNCTION("""COMPUTED_VALUE"""),0.5069444444444445)</f>
        <v>0.5069444444</v>
      </c>
      <c r="V593" s="57">
        <f>IFERROR(__xludf.DUMMYFUNCTION("""COMPUTED_VALUE"""),1.4375)</f>
        <v>1.4375</v>
      </c>
      <c r="W593" s="57">
        <f>IFERROR(__xludf.DUMMYFUNCTION("""COMPUTED_VALUE"""),2.375)</f>
        <v>2.375</v>
      </c>
      <c r="X593" s="31">
        <f>IFERROR(__xludf.DUMMYFUNCTION("""COMPUTED_VALUE"""),342.73820231876965)</f>
        <v>342.7382023</v>
      </c>
      <c r="Y593" s="57">
        <f>IFERROR(__xludf.DUMMYFUNCTION("""COMPUTED_VALUE"""),0.7855465284616049)</f>
        <v>0.7855465285</v>
      </c>
      <c r="Z593" s="57">
        <f>IFERROR(__xludf.DUMMYFUNCTION("""COMPUTED_VALUE"""),0.5489373649446556)</f>
        <v>0.5489373649</v>
      </c>
      <c r="AA593" s="57">
        <f>IFERROR(__xludf.DUMMYFUNCTION("""COMPUTED_VALUE"""),1.2748553615755482)</f>
        <v>1.274855362</v>
      </c>
      <c r="AB593" s="57">
        <f>IFERROR(__xludf.DUMMYFUNCTION("""COMPUTED_VALUE"""),2.550518690335959)</f>
        <v>2.55051869</v>
      </c>
      <c r="AC593" s="31">
        <f>IFERROR(__xludf.DUMMYFUNCTION("""COMPUTED_VALUE"""),349.46722231198254)</f>
        <v>349.4672223</v>
      </c>
      <c r="AD593" s="57">
        <f>IFERROR(__xludf.DUMMYFUNCTION("""COMPUTED_VALUE"""),0.8113563092148058)</f>
        <v>0.8113563092</v>
      </c>
      <c r="AE593" s="57">
        <f>IFERROR(__xludf.DUMMYFUNCTION("""COMPUTED_VALUE"""),0.5562825537502214)</f>
        <v>0.5562825538</v>
      </c>
      <c r="AF593" s="57">
        <f>IFERROR(__xludf.DUMMYFUNCTION("""COMPUTED_VALUE"""),1.3072330389755562)</f>
        <v>1.307233039</v>
      </c>
      <c r="AG593" s="57">
        <f>IFERROR(__xludf.DUMMYFUNCTION("""COMPUTED_VALUE"""),2.542335772953935)</f>
        <v>2.542335773</v>
      </c>
      <c r="AH593" s="57">
        <f>IFERROR(__xludf.DUMMYFUNCTION("""COMPUTED_VALUE"""),1.0954770830883922)</f>
        <v>1.095477083</v>
      </c>
      <c r="AI593" s="57">
        <f>IFERROR(__xludf.DUMMYFUNCTION("""COMPUTED_VALUE"""),1.001409603613363)</f>
        <v>1.001409604</v>
      </c>
      <c r="AJ593" s="57">
        <f>IFERROR(__xludf.DUMMYFUNCTION("""COMPUTED_VALUE"""),1.2733337196323165)</f>
        <v>1.27333372</v>
      </c>
      <c r="AK593" s="57">
        <f>IFERROR(__xludf.DUMMYFUNCTION("""COMPUTED_VALUE"""),1.1474618184187804)</f>
        <v>1.147461818</v>
      </c>
      <c r="AL593" s="57">
        <f>IFERROR(__xludf.DUMMYFUNCTION("""COMPUTED_VALUE"""),1.114460711081168)</f>
        <v>1.114460711</v>
      </c>
      <c r="AM593" s="57">
        <f>IFERROR(__xludf.DUMMYFUNCTION("""COMPUTED_VALUE"""),0.9625098301182954)</f>
        <v>0.9625098301</v>
      </c>
      <c r="AN593" s="57">
        <f>IFERROR(__xludf.DUMMYFUNCTION("""COMPUTED_VALUE"""),0.8751868604732849)</f>
        <v>0.8751868605</v>
      </c>
      <c r="AO593" s="57">
        <f>IFERROR(__xludf.DUMMYFUNCTION("""COMPUTED_VALUE"""),0.9235014353514724)</f>
        <v>0.9235014354</v>
      </c>
      <c r="AP593" s="35">
        <f>IFERROR(__xludf.DUMMYFUNCTION("""COMPUTED_VALUE"""),1.1275788950861414)</f>
        <v>1.127578895</v>
      </c>
      <c r="AQ593" s="57">
        <f>IFERROR(__xludf.DUMMYFUNCTION("""COMPUTED_VALUE"""),0.9311831389430676)</f>
        <v>0.9311831389</v>
      </c>
      <c r="AR593" s="36" t="b">
        <f>IFERROR(__xludf.DUMMYFUNCTION("""COMPUTED_VALUE"""),TRUE)</f>
        <v>1</v>
      </c>
      <c r="AS593" s="57"/>
      <c r="AT593" s="37"/>
      <c r="AU593" s="30"/>
      <c r="AV593" s="30"/>
      <c r="AW593" s="30"/>
      <c r="AX593" s="30"/>
      <c r="AY593" s="30"/>
      <c r="AZ593" s="30"/>
    </row>
    <row r="594">
      <c r="A594" s="30" t="str">
        <f>IFERROR(__xludf.DUMMYFUNCTION("""COMPUTED_VALUE"""),"Rival")</f>
        <v>Rival</v>
      </c>
      <c r="B594" s="30" t="str">
        <f>IFERROR(__xludf.DUMMYFUNCTION("""COMPUTED_VALUE"""),"RSC007959")</f>
        <v>RSC007959</v>
      </c>
      <c r="C594" s="30" t="str">
        <f>IFERROR(__xludf.DUMMYFUNCTION("""COMPUTED_VALUE"""),"Cam")</f>
        <v>Cam</v>
      </c>
      <c r="D594" s="31" t="str">
        <f>IFERROR(__xludf.DUMMYFUNCTION("""COMPUTED_VALUE"""),"Mining Legion")</f>
        <v>Mining Legion</v>
      </c>
      <c r="E594" s="31">
        <f>IFERROR(__xludf.DUMMYFUNCTION("""COMPUTED_VALUE"""),69.78845222659501)</f>
        <v>69.78845223</v>
      </c>
      <c r="F594" s="31">
        <f>IFERROR(__xludf.DUMMYFUNCTION("""COMPUTED_VALUE"""),4.666028338655971)</f>
        <v>4.666028339</v>
      </c>
      <c r="G594" s="31">
        <f>IFERROR(__xludf.DUMMYFUNCTION("""COMPUTED_VALUE"""),61.5162182172774)</f>
        <v>61.51621822</v>
      </c>
      <c r="H594" s="31">
        <f>IFERROR(__xludf.DUMMYFUNCTION("""COMPUTED_VALUE"""),3.100531741263787)</f>
        <v>3.100531741</v>
      </c>
      <c r="I594" s="54">
        <f>IFERROR(__xludf.DUMMYFUNCTION("""COMPUTED_VALUE"""),41.0)</f>
        <v>41</v>
      </c>
      <c r="J594" s="55">
        <f>IFERROR(__xludf.DUMMYFUNCTION("""COMPUTED_VALUE"""),29.0)</f>
        <v>29</v>
      </c>
      <c r="K594" s="54">
        <f>IFERROR(__xludf.DUMMYFUNCTION("""COMPUTED_VALUE"""),12.0)</f>
        <v>12</v>
      </c>
      <c r="L594" s="56">
        <f>IFERROR(__xludf.DUMMYFUNCTION("""COMPUTED_VALUE"""),0.7073170731707317)</f>
        <v>0.7073170732</v>
      </c>
      <c r="M594" s="56">
        <f>IFERROR(__xludf.DUMMYFUNCTION("""COMPUTED_VALUE"""),0.3482142857142857)</f>
        <v>0.3482142857</v>
      </c>
      <c r="N594" s="31">
        <f>IFERROR(__xludf.DUMMYFUNCTION("""COMPUTED_VALUE"""),360.7073170731707)</f>
        <v>360.7073171</v>
      </c>
      <c r="O594" s="57">
        <f>IFERROR(__xludf.DUMMYFUNCTION("""COMPUTED_VALUE"""),0.9512195121951219)</f>
        <v>0.9512195122</v>
      </c>
      <c r="P594" s="57">
        <f>IFERROR(__xludf.DUMMYFUNCTION("""COMPUTED_VALUE"""),0.5121951219512195)</f>
        <v>0.512195122</v>
      </c>
      <c r="Q594" s="57">
        <f>IFERROR(__xludf.DUMMYFUNCTION("""COMPUTED_VALUE"""),1.5365853658536586)</f>
        <v>1.536585366</v>
      </c>
      <c r="R594" s="57">
        <f>IFERROR(__xludf.DUMMYFUNCTION("""COMPUTED_VALUE"""),2.731707317073171)</f>
        <v>2.731707317</v>
      </c>
      <c r="S594" s="31">
        <f>IFERROR(__xludf.DUMMYFUNCTION("""COMPUTED_VALUE"""),311.0894308943089)</f>
        <v>311.0894309</v>
      </c>
      <c r="T594" s="57">
        <f>IFERROR(__xludf.DUMMYFUNCTION("""COMPUTED_VALUE"""),0.5447154471544715)</f>
        <v>0.5447154472</v>
      </c>
      <c r="U594" s="57">
        <f>IFERROR(__xludf.DUMMYFUNCTION("""COMPUTED_VALUE"""),0.34146341463414637)</f>
        <v>0.3414634146</v>
      </c>
      <c r="V594" s="57">
        <f>IFERROR(__xludf.DUMMYFUNCTION("""COMPUTED_VALUE"""),1.4390243902439024)</f>
        <v>1.43902439</v>
      </c>
      <c r="W594" s="57">
        <f>IFERROR(__xludf.DUMMYFUNCTION("""COMPUTED_VALUE"""),2.0975609756097557)</f>
        <v>2.097560976</v>
      </c>
      <c r="X594" s="31">
        <f>IFERROR(__xludf.DUMMYFUNCTION("""COMPUTED_VALUE"""),339.26052539465024)</f>
        <v>339.2605254</v>
      </c>
      <c r="Y594" s="57">
        <f>IFERROR(__xludf.DUMMYFUNCTION("""COMPUTED_VALUE"""),0.7386969667538481)</f>
        <v>0.7386969668</v>
      </c>
      <c r="Z594" s="57">
        <f>IFERROR(__xludf.DUMMYFUNCTION("""COMPUTED_VALUE"""),0.5057178852550105)</f>
        <v>0.5057178853</v>
      </c>
      <c r="AA594" s="57">
        <f>IFERROR(__xludf.DUMMYFUNCTION("""COMPUTED_VALUE"""),1.3129656262708906)</f>
        <v>1.312965626</v>
      </c>
      <c r="AB594" s="57">
        <f>IFERROR(__xludf.DUMMYFUNCTION("""COMPUTED_VALUE"""),2.4513414803348272)</f>
        <v>2.45134148</v>
      </c>
      <c r="AC594" s="31">
        <f>IFERROR(__xludf.DUMMYFUNCTION("""COMPUTED_VALUE"""),345.9982765572047)</f>
        <v>345.9982766</v>
      </c>
      <c r="AD594" s="57">
        <f>IFERROR(__xludf.DUMMYFUNCTION("""COMPUTED_VALUE"""),0.7993208359895939)</f>
        <v>0.799320836</v>
      </c>
      <c r="AE594" s="57">
        <f>IFERROR(__xludf.DUMMYFUNCTION("""COMPUTED_VALUE"""),0.5742250381878513)</f>
        <v>0.5742250382</v>
      </c>
      <c r="AF594" s="57">
        <f>IFERROR(__xludf.DUMMYFUNCTION("""COMPUTED_VALUE"""),1.25449752202808)</f>
        <v>1.254497522</v>
      </c>
      <c r="AG594" s="57">
        <f>IFERROR(__xludf.DUMMYFUNCTION("""COMPUTED_VALUE"""),2.569635977938642)</f>
        <v>2.569635978</v>
      </c>
      <c r="AH594" s="57">
        <f>IFERROR(__xludf.DUMMYFUNCTION("""COMPUTED_VALUE"""),1.0425118895455947)</f>
        <v>1.04251189</v>
      </c>
      <c r="AI594" s="57">
        <f>IFERROR(__xludf.DUMMYFUNCTION("""COMPUTED_VALUE"""),1.190034676147871)</f>
        <v>1.190034676</v>
      </c>
      <c r="AJ594" s="57">
        <f>IFERROR(__xludf.DUMMYFUNCTION("""COMPUTED_VALUE"""),0.891976294812245)</f>
        <v>0.8919762948</v>
      </c>
      <c r="AK594" s="57">
        <f>IFERROR(__xludf.DUMMYFUNCTION("""COMPUTED_VALUE"""),1.2248612204267586)</f>
        <v>1.22486122</v>
      </c>
      <c r="AL594" s="57">
        <f>IFERROR(__xludf.DUMMYFUNCTION("""COMPUTED_VALUE"""),1.0630717115287833)</f>
        <v>1.063071712</v>
      </c>
      <c r="AM594" s="57">
        <f>IFERROR(__xludf.DUMMYFUNCTION("""COMPUTED_VALUE"""),0.9169632409559856)</f>
        <v>0.916963241</v>
      </c>
      <c r="AN594" s="57">
        <f>IFERROR(__xludf.DUMMYFUNCTION("""COMPUTED_VALUE"""),0.7374004113597288)</f>
        <v>0.7374004114</v>
      </c>
      <c r="AO594" s="57">
        <f>IFERROR(__xludf.DUMMYFUNCTION("""COMPUTED_VALUE"""),0.6752053359986704)</f>
        <v>0.675205336</v>
      </c>
      <c r="AP594" s="35">
        <f>IFERROR(__xludf.DUMMYFUNCTION("""COMPUTED_VALUE"""),1.0960107115150046)</f>
        <v>1.096010712</v>
      </c>
      <c r="AQ594" s="57">
        <f>IFERROR(__xludf.DUMMYFUNCTION("""COMPUTED_VALUE"""),0.8556788160429004)</f>
        <v>0.855678816</v>
      </c>
      <c r="AR594" s="36" t="b">
        <f>IFERROR(__xludf.DUMMYFUNCTION("""COMPUTED_VALUE"""),TRUE)</f>
        <v>1</v>
      </c>
      <c r="AS594" s="57"/>
      <c r="AT594" s="37"/>
      <c r="AU594" s="30"/>
      <c r="AV594" s="30"/>
      <c r="AW594" s="30"/>
      <c r="AX594" s="30"/>
      <c r="AY594" s="30"/>
      <c r="AZ594" s="30"/>
    </row>
    <row r="595">
      <c r="A595" s="30" t="str">
        <f>IFERROR(__xludf.DUMMYFUNCTION("""COMPUTED_VALUE"""),"Rival")</f>
        <v>Rival</v>
      </c>
      <c r="B595" s="30" t="str">
        <f>IFERROR(__xludf.DUMMYFUNCTION("""COMPUTED_VALUE"""),"RSC007346")</f>
        <v>RSC007346</v>
      </c>
      <c r="C595" s="30" t="str">
        <f>IFERROR(__xludf.DUMMYFUNCTION("""COMPUTED_VALUE"""),"Mai")</f>
        <v>Mai</v>
      </c>
      <c r="D595" s="31" t="str">
        <f>IFERROR(__xludf.DUMMYFUNCTION("""COMPUTED_VALUE"""),"Funk Hunks")</f>
        <v>Funk Hunks</v>
      </c>
      <c r="E595" s="31">
        <f>IFERROR(__xludf.DUMMYFUNCTION("""COMPUTED_VALUE"""),69.23142471638843)</f>
        <v>69.23142472</v>
      </c>
      <c r="F595" s="31">
        <f>IFERROR(__xludf.DUMMYFUNCTION("""COMPUTED_VALUE"""),4.527542298966088)</f>
        <v>4.527542299</v>
      </c>
      <c r="G595" s="31">
        <f>IFERROR(__xludf.DUMMYFUNCTION("""COMPUTED_VALUE"""),73.56645406799296)</f>
        <v>73.56645407</v>
      </c>
      <c r="H595" s="31">
        <f>IFERROR(__xludf.DUMMYFUNCTION("""COMPUTED_VALUE"""),5.782757203599431)</f>
        <v>5.782757204</v>
      </c>
      <c r="I595" s="54">
        <f>IFERROR(__xludf.DUMMYFUNCTION("""COMPUTED_VALUE"""),37.0)</f>
        <v>37</v>
      </c>
      <c r="J595" s="55">
        <f>IFERROR(__xludf.DUMMYFUNCTION("""COMPUTED_VALUE"""),13.0)</f>
        <v>13</v>
      </c>
      <c r="K595" s="54">
        <f>IFERROR(__xludf.DUMMYFUNCTION("""COMPUTED_VALUE"""),24.0)</f>
        <v>24</v>
      </c>
      <c r="L595" s="56">
        <f>IFERROR(__xludf.DUMMYFUNCTION("""COMPUTED_VALUE"""),0.35135135135135137)</f>
        <v>0.3513513514</v>
      </c>
      <c r="M595" s="56">
        <f>IFERROR(__xludf.DUMMYFUNCTION("""COMPUTED_VALUE"""),0.35185185185185186)</f>
        <v>0.3518518519</v>
      </c>
      <c r="N595" s="31">
        <f>IFERROR(__xludf.DUMMYFUNCTION("""COMPUTED_VALUE"""),429.9189189189189)</f>
        <v>429.9189189</v>
      </c>
      <c r="O595" s="57">
        <f>IFERROR(__xludf.DUMMYFUNCTION("""COMPUTED_VALUE"""),1.027027027027027)</f>
        <v>1.027027027</v>
      </c>
      <c r="P595" s="57">
        <f>IFERROR(__xludf.DUMMYFUNCTION("""COMPUTED_VALUE"""),0.5405405405405406)</f>
        <v>0.5405405405</v>
      </c>
      <c r="Q595" s="57">
        <f>IFERROR(__xludf.DUMMYFUNCTION("""COMPUTED_VALUE"""),1.7297297297297298)</f>
        <v>1.72972973</v>
      </c>
      <c r="R595" s="57">
        <f>IFERROR(__xludf.DUMMYFUNCTION("""COMPUTED_VALUE"""),2.918918918918919)</f>
        <v>2.918918919</v>
      </c>
      <c r="S595" s="31">
        <f>IFERROR(__xludf.DUMMYFUNCTION("""COMPUTED_VALUE"""),365.73873873873873)</f>
        <v>365.7387387</v>
      </c>
      <c r="T595" s="57">
        <f>IFERROR(__xludf.DUMMYFUNCTION("""COMPUTED_VALUE"""),0.9729729729729731)</f>
        <v>0.972972973</v>
      </c>
      <c r="U595" s="57">
        <f>IFERROR(__xludf.DUMMYFUNCTION("""COMPUTED_VALUE"""),0.6846846846846847)</f>
        <v>0.6846846847</v>
      </c>
      <c r="V595" s="57">
        <f>IFERROR(__xludf.DUMMYFUNCTION("""COMPUTED_VALUE"""),1.1801801801801801)</f>
        <v>1.18018018</v>
      </c>
      <c r="W595" s="57">
        <f>IFERROR(__xludf.DUMMYFUNCTION("""COMPUTED_VALUE"""),2.729729729729729)</f>
        <v>2.72972973</v>
      </c>
      <c r="X595" s="31">
        <f>IFERROR(__xludf.DUMMYFUNCTION("""COMPUTED_VALUE"""),347.41616798159885)</f>
        <v>347.416168</v>
      </c>
      <c r="Y595" s="57">
        <f>IFERROR(__xludf.DUMMYFUNCTION("""COMPUTED_VALUE"""),0.7880209893502939)</f>
        <v>0.7880209894</v>
      </c>
      <c r="Z595" s="57">
        <f>IFERROR(__xludf.DUMMYFUNCTION("""COMPUTED_VALUE"""),0.569325396021832)</f>
        <v>0.569325396</v>
      </c>
      <c r="AA595" s="57">
        <f>IFERROR(__xludf.DUMMYFUNCTION("""COMPUTED_VALUE"""),1.3437806655435156)</f>
        <v>1.343780666</v>
      </c>
      <c r="AB595" s="57">
        <f>IFERROR(__xludf.DUMMYFUNCTION("""COMPUTED_VALUE"""),2.5824264698491235)</f>
        <v>2.58242647</v>
      </c>
      <c r="AC595" s="31">
        <f>IFERROR(__xludf.DUMMYFUNCTION("""COMPUTED_VALUE"""),351.97222841594004)</f>
        <v>351.9722284</v>
      </c>
      <c r="AD595" s="57">
        <f>IFERROR(__xludf.DUMMYFUNCTION("""COMPUTED_VALUE"""),0.7936813768335503)</f>
        <v>0.7936813768</v>
      </c>
      <c r="AE595" s="57">
        <f>IFERROR(__xludf.DUMMYFUNCTION("""COMPUTED_VALUE"""),0.5708465481895892)</f>
        <v>0.5708465482</v>
      </c>
      <c r="AF595" s="57">
        <f>IFERROR(__xludf.DUMMYFUNCTION("""COMPUTED_VALUE"""),1.3457451474763027)</f>
        <v>1.345745147</v>
      </c>
      <c r="AG595" s="57">
        <f>IFERROR(__xludf.DUMMYFUNCTION("""COMPUTED_VALUE"""),2.6091043185249516)</f>
        <v>2.609104319</v>
      </c>
      <c r="AH595" s="57">
        <f>IFERROR(__xludf.DUMMYFUNCTION("""COMPUTED_VALUE"""),1.2214569338432748)</f>
        <v>1.221456934</v>
      </c>
      <c r="AI595" s="57">
        <f>IFERROR(__xludf.DUMMYFUNCTION("""COMPUTED_VALUE"""),1.2940041898481052)</f>
        <v>1.29400419</v>
      </c>
      <c r="AJ595" s="57">
        <f>IFERROR(__xludf.DUMMYFUNCTION("""COMPUTED_VALUE"""),0.9469104127104515)</f>
        <v>0.9469104127</v>
      </c>
      <c r="AK595" s="57">
        <f>IFERROR(__xludf.DUMMYFUNCTION("""COMPUTED_VALUE"""),1.2853323179158547)</f>
        <v>1.285332318</v>
      </c>
      <c r="AL595" s="57">
        <f>IFERROR(__xludf.DUMMYFUNCTION("""COMPUTED_VALUE"""),1.1187436616444373)</f>
        <v>1.118743662</v>
      </c>
      <c r="AM595" s="57">
        <f>IFERROR(__xludf.DUMMYFUNCTION("""COMPUTED_VALUE"""),1.0527395453803703)</f>
        <v>1.052739545</v>
      </c>
      <c r="AN595" s="57">
        <f>IFERROR(__xludf.DUMMYFUNCTION("""COMPUTED_VALUE"""),1.2347043874747146)</f>
        <v>1.234704387</v>
      </c>
      <c r="AO595" s="57">
        <f>IFERROR(__xludf.DUMMYFUNCTION("""COMPUTED_VALUE"""),1.2026245262707884)</f>
        <v>1.202624526</v>
      </c>
      <c r="AP595" s="35">
        <f>IFERROR(__xludf.DUMMYFUNCTION("""COMPUTED_VALUE"""),0.8782535799492514)</f>
        <v>0.8782535799</v>
      </c>
      <c r="AQ595" s="57">
        <f>IFERROR(__xludf.DUMMYFUNCTION("""COMPUTED_VALUE"""),1.0570406404985508)</f>
        <v>1.05704064</v>
      </c>
      <c r="AR595" s="36" t="b">
        <f>IFERROR(__xludf.DUMMYFUNCTION("""COMPUTED_VALUE"""),TRUE)</f>
        <v>1</v>
      </c>
      <c r="AS595" s="57"/>
      <c r="AT595" s="37"/>
      <c r="AU595" s="30"/>
      <c r="AV595" s="30"/>
      <c r="AW595" s="30"/>
      <c r="AX595" s="30"/>
      <c r="AY595" s="30"/>
      <c r="AZ595" s="30"/>
    </row>
    <row r="596">
      <c r="A596" s="30" t="str">
        <f>IFERROR(__xludf.DUMMYFUNCTION("""COMPUTED_VALUE"""),"Rival")</f>
        <v>Rival</v>
      </c>
      <c r="B596" s="30" t="str">
        <f>IFERROR(__xludf.DUMMYFUNCTION("""COMPUTED_VALUE"""),"RSC006938")</f>
        <v>RSC006938</v>
      </c>
      <c r="C596" s="30" t="str">
        <f>IFERROR(__xludf.DUMMYFUNCTION("""COMPUTED_VALUE"""),"Soda. .")</f>
        <v>Soda. .</v>
      </c>
      <c r="D596" s="31" t="str">
        <f>IFERROR(__xludf.DUMMYFUNCTION("""COMPUTED_VALUE"""),"Cursed")</f>
        <v>Cursed</v>
      </c>
      <c r="E596" s="31">
        <f>IFERROR(__xludf.DUMMYFUNCTION("""COMPUTED_VALUE"""),69.07855551057779)</f>
        <v>69.07855551</v>
      </c>
      <c r="F596" s="31">
        <f>IFERROR(__xludf.DUMMYFUNCTION("""COMPUTED_VALUE"""),4.490561685397949)</f>
        <v>4.490561685</v>
      </c>
      <c r="G596" s="31">
        <f>IFERROR(__xludf.DUMMYFUNCTION("""COMPUTED_VALUE"""),53.460593204574)</f>
        <v>53.4605932</v>
      </c>
      <c r="H596" s="31">
        <f>IFERROR(__xludf.DUMMYFUNCTION("""COMPUTED_VALUE"""),2.2474295287819617)</f>
        <v>2.247429529</v>
      </c>
      <c r="I596" s="54">
        <f>IFERROR(__xludf.DUMMYFUNCTION("""COMPUTED_VALUE"""),48.0)</f>
        <v>48</v>
      </c>
      <c r="J596" s="55">
        <f>IFERROR(__xludf.DUMMYFUNCTION("""COMPUTED_VALUE"""),32.0)</f>
        <v>32</v>
      </c>
      <c r="K596" s="54">
        <f>IFERROR(__xludf.DUMMYFUNCTION("""COMPUTED_VALUE"""),16.0)</f>
        <v>16</v>
      </c>
      <c r="L596" s="56">
        <f>IFERROR(__xludf.DUMMYFUNCTION("""COMPUTED_VALUE"""),0.6666666666666666)</f>
        <v>0.6666666667</v>
      </c>
      <c r="M596" s="56">
        <f>IFERROR(__xludf.DUMMYFUNCTION("""COMPUTED_VALUE"""),0.3404255319148936)</f>
        <v>0.3404255319</v>
      </c>
      <c r="N596" s="31">
        <f>IFERROR(__xludf.DUMMYFUNCTION("""COMPUTED_VALUE"""),357.1666666666667)</f>
        <v>357.1666667</v>
      </c>
      <c r="O596" s="57">
        <f>IFERROR(__xludf.DUMMYFUNCTION("""COMPUTED_VALUE"""),1.0)</f>
        <v>1</v>
      </c>
      <c r="P596" s="57">
        <f>IFERROR(__xludf.DUMMYFUNCTION("""COMPUTED_VALUE"""),0.4583333333333333)</f>
        <v>0.4583333333</v>
      </c>
      <c r="Q596" s="57">
        <f>IFERROR(__xludf.DUMMYFUNCTION("""COMPUTED_VALUE"""),1.2083333333333333)</f>
        <v>1.208333333</v>
      </c>
      <c r="R596" s="57">
        <f>IFERROR(__xludf.DUMMYFUNCTION("""COMPUTED_VALUE"""),2.9375)</f>
        <v>2.9375</v>
      </c>
      <c r="S596" s="31">
        <f>IFERROR(__xludf.DUMMYFUNCTION("""COMPUTED_VALUE"""),329.09722222222223)</f>
        <v>329.0972222</v>
      </c>
      <c r="T596" s="57">
        <f>IFERROR(__xludf.DUMMYFUNCTION("""COMPUTED_VALUE"""),0.611111111111111)</f>
        <v>0.6111111111</v>
      </c>
      <c r="U596" s="57">
        <f>IFERROR(__xludf.DUMMYFUNCTION("""COMPUTED_VALUE"""),0.45138888888888884)</f>
        <v>0.4513888889</v>
      </c>
      <c r="V596" s="57">
        <f>IFERROR(__xludf.DUMMYFUNCTION("""COMPUTED_VALUE"""),1.4166666666666663)</f>
        <v>1.416666667</v>
      </c>
      <c r="W596" s="57">
        <f>IFERROR(__xludf.DUMMYFUNCTION("""COMPUTED_VALUE"""),2.3680555555555554)</f>
        <v>2.368055556</v>
      </c>
      <c r="X596" s="31">
        <f>IFERROR(__xludf.DUMMYFUNCTION("""COMPUTED_VALUE"""),353.7926791864886)</f>
        <v>353.7926792</v>
      </c>
      <c r="Y596" s="57">
        <f>IFERROR(__xludf.DUMMYFUNCTION("""COMPUTED_VALUE"""),0.7879360361520665)</f>
        <v>0.7879360362</v>
      </c>
      <c r="Z596" s="57">
        <f>IFERROR(__xludf.DUMMYFUNCTION("""COMPUTED_VALUE"""),0.5911942182685163)</f>
        <v>0.5911942183</v>
      </c>
      <c r="AA596" s="57">
        <f>IFERROR(__xludf.DUMMYFUNCTION("""COMPUTED_VALUE"""),1.3436541438861402)</f>
        <v>1.343654144</v>
      </c>
      <c r="AB596" s="57">
        <f>IFERROR(__xludf.DUMMYFUNCTION("""COMPUTED_VALUE"""),2.5847118799272497)</f>
        <v>2.58471188</v>
      </c>
      <c r="AC596" s="31">
        <f>IFERROR(__xludf.DUMMYFUNCTION("""COMPUTED_VALUE"""),350.9929923553593)</f>
        <v>350.9929924</v>
      </c>
      <c r="AD596" s="57">
        <f>IFERROR(__xludf.DUMMYFUNCTION("""COMPUTED_VALUE"""),0.8108053901232837)</f>
        <v>0.8108053901</v>
      </c>
      <c r="AE596" s="57">
        <f>IFERROR(__xludf.DUMMYFUNCTION("""COMPUTED_VALUE"""),0.5666236361812251)</f>
        <v>0.5666236362</v>
      </c>
      <c r="AF596" s="57">
        <f>IFERROR(__xludf.DUMMYFUNCTION("""COMPUTED_VALUE"""),1.3096615619216687)</f>
        <v>1.309661562</v>
      </c>
      <c r="AG596" s="57">
        <f>IFERROR(__xludf.DUMMYFUNCTION("""COMPUTED_VALUE"""),2.6197658659854866)</f>
        <v>2.619765866</v>
      </c>
      <c r="AH596" s="57">
        <f>IFERROR(__xludf.DUMMYFUNCTION("""COMPUTED_VALUE"""),1.0175891668659212)</f>
        <v>1.017589167</v>
      </c>
      <c r="AI596" s="57">
        <f>IFERROR(__xludf.DUMMYFUNCTION("""COMPUTED_VALUE"""),1.2333415788564863)</f>
        <v>1.233341579</v>
      </c>
      <c r="AJ596" s="57">
        <f>IFERROR(__xludf.DUMMYFUNCTION("""COMPUTED_VALUE"""),0.8088849530215203)</f>
        <v>0.808884953</v>
      </c>
      <c r="AK596" s="57">
        <f>IFERROR(__xludf.DUMMYFUNCTION("""COMPUTED_VALUE"""),0.9226302187263888)</f>
        <v>0.9226302187</v>
      </c>
      <c r="AL596" s="57">
        <f>IFERROR(__xludf.DUMMYFUNCTION("""COMPUTED_VALUE"""),1.12128340862056)</f>
        <v>1.121283409</v>
      </c>
      <c r="AM596" s="57">
        <f>IFERROR(__xludf.DUMMYFUNCTION("""COMPUTED_VALUE"""),0.9301979424191277)</f>
        <v>0.9301979424</v>
      </c>
      <c r="AN596" s="57">
        <f>IFERROR(__xludf.DUMMYFUNCTION("""COMPUTED_VALUE"""),0.7755846706739157)</f>
        <v>0.7755846707</v>
      </c>
      <c r="AO596" s="57">
        <f>IFERROR(__xludf.DUMMYFUNCTION("""COMPUTED_VALUE"""),0.7635204725291667)</f>
        <v>0.7635204725</v>
      </c>
      <c r="AP596" s="35">
        <f>IFERROR(__xludf.DUMMYFUNCTION("""COMPUTED_VALUE"""),1.0543387769187076)</f>
        <v>1.054338777</v>
      </c>
      <c r="AQ596" s="57">
        <f>IFERROR(__xludf.DUMMYFUNCTION("""COMPUTED_VALUE"""),0.9161777658646455)</f>
        <v>0.9161777659</v>
      </c>
      <c r="AR596" s="36" t="b">
        <f>IFERROR(__xludf.DUMMYFUNCTION("""COMPUTED_VALUE"""),TRUE)</f>
        <v>1</v>
      </c>
      <c r="AS596" s="57"/>
      <c r="AT596" s="37"/>
      <c r="AU596" s="30"/>
      <c r="AV596" s="30"/>
      <c r="AW596" s="30"/>
      <c r="AX596" s="30"/>
      <c r="AY596" s="30"/>
      <c r="AZ596" s="30"/>
    </row>
    <row r="597">
      <c r="A597" s="30" t="str">
        <f>IFERROR(__xludf.DUMMYFUNCTION("""COMPUTED_VALUE"""),"Rival")</f>
        <v>Rival</v>
      </c>
      <c r="B597" s="30" t="str">
        <f>IFERROR(__xludf.DUMMYFUNCTION("""COMPUTED_VALUE"""),"RSC006480")</f>
        <v>RSC006480</v>
      </c>
      <c r="C597" s="30" t="str">
        <f>IFERROR(__xludf.DUMMYFUNCTION("""COMPUTED_VALUE"""),"Lazyz.")</f>
        <v>Lazyz.</v>
      </c>
      <c r="D597" s="31" t="str">
        <f>IFERROR(__xludf.DUMMYFUNCTION("""COMPUTED_VALUE"""),"Dracos")</f>
        <v>Dracos</v>
      </c>
      <c r="E597" s="31">
        <f>IFERROR(__xludf.DUMMYFUNCTION("""COMPUTED_VALUE"""),67.99650058498727)</f>
        <v>67.99650058</v>
      </c>
      <c r="F597" s="31">
        <f>IFERROR(__xludf.DUMMYFUNCTION("""COMPUTED_VALUE"""),4.240781534664245)</f>
        <v>4.240781535</v>
      </c>
      <c r="G597" s="31">
        <f>IFERROR(__xludf.DUMMYFUNCTION("""COMPUTED_VALUE"""),59.91059568239085)</f>
        <v>59.91059568</v>
      </c>
      <c r="H597" s="31">
        <f>IFERROR(__xludf.DUMMYFUNCTION("""COMPUTED_VALUE"""),2.8910407592753353)</f>
        <v>2.891040759</v>
      </c>
      <c r="I597" s="54">
        <f>IFERROR(__xludf.DUMMYFUNCTION("""COMPUTED_VALUE"""),28.0)</f>
        <v>28</v>
      </c>
      <c r="J597" s="55">
        <f>IFERROR(__xludf.DUMMYFUNCTION("""COMPUTED_VALUE"""),16.0)</f>
        <v>16</v>
      </c>
      <c r="K597" s="54">
        <f>IFERROR(__xludf.DUMMYFUNCTION("""COMPUTED_VALUE"""),12.0)</f>
        <v>12</v>
      </c>
      <c r="L597" s="56">
        <f>IFERROR(__xludf.DUMMYFUNCTION("""COMPUTED_VALUE"""),0.5714285714285714)</f>
        <v>0.5714285714</v>
      </c>
      <c r="M597" s="56">
        <f>IFERROR(__xludf.DUMMYFUNCTION("""COMPUTED_VALUE"""),0.2804878048780488)</f>
        <v>0.2804878049</v>
      </c>
      <c r="N597" s="31">
        <f>IFERROR(__xludf.DUMMYFUNCTION("""COMPUTED_VALUE"""),356.25)</f>
        <v>356.25</v>
      </c>
      <c r="O597" s="57">
        <f>IFERROR(__xludf.DUMMYFUNCTION("""COMPUTED_VALUE"""),0.8214285714285714)</f>
        <v>0.8214285714</v>
      </c>
      <c r="P597" s="57">
        <f>IFERROR(__xludf.DUMMYFUNCTION("""COMPUTED_VALUE"""),0.6785714285714286)</f>
        <v>0.6785714286</v>
      </c>
      <c r="Q597" s="57">
        <f>IFERROR(__xludf.DUMMYFUNCTION("""COMPUTED_VALUE"""),1.25)</f>
        <v>1.25</v>
      </c>
      <c r="R597" s="57">
        <f>IFERROR(__xludf.DUMMYFUNCTION("""COMPUTED_VALUE"""),2.9285714285714284)</f>
        <v>2.928571429</v>
      </c>
      <c r="S597" s="31">
        <f>IFERROR(__xludf.DUMMYFUNCTION("""COMPUTED_VALUE"""),341.5238095238096)</f>
        <v>341.5238095</v>
      </c>
      <c r="T597" s="57">
        <f>IFERROR(__xludf.DUMMYFUNCTION("""COMPUTED_VALUE"""),0.761904761904762)</f>
        <v>0.7619047619</v>
      </c>
      <c r="U597" s="57">
        <f>IFERROR(__xludf.DUMMYFUNCTION("""COMPUTED_VALUE"""),0.42857142857142855)</f>
        <v>0.4285714286</v>
      </c>
      <c r="V597" s="57">
        <f>IFERROR(__xludf.DUMMYFUNCTION("""COMPUTED_VALUE"""),1.404761904761905)</f>
        <v>1.404761905</v>
      </c>
      <c r="W597" s="57">
        <f>IFERROR(__xludf.DUMMYFUNCTION("""COMPUTED_VALUE"""),2.4642857142857144)</f>
        <v>2.464285714</v>
      </c>
      <c r="X597" s="31">
        <f>IFERROR(__xludf.DUMMYFUNCTION("""COMPUTED_VALUE"""),349.53299433669685)</f>
        <v>349.5329943</v>
      </c>
      <c r="Y597" s="57">
        <f>IFERROR(__xludf.DUMMYFUNCTION("""COMPUTED_VALUE"""),0.7724486496850747)</f>
        <v>0.7724486497</v>
      </c>
      <c r="Z597" s="57">
        <f>IFERROR(__xludf.DUMMYFUNCTION("""COMPUTED_VALUE"""),0.5187947639467148)</f>
        <v>0.5187947639</v>
      </c>
      <c r="AA597" s="57">
        <f>IFERROR(__xludf.DUMMYFUNCTION("""COMPUTED_VALUE"""),1.3553462656742017)</f>
        <v>1.355346266</v>
      </c>
      <c r="AB597" s="57">
        <f>IFERROR(__xludf.DUMMYFUNCTION("""COMPUTED_VALUE"""),2.68550076285617)</f>
        <v>2.685500763</v>
      </c>
      <c r="AC597" s="31">
        <f>IFERROR(__xludf.DUMMYFUNCTION("""COMPUTED_VALUE"""),349.98647035366764)</f>
        <v>349.9864704</v>
      </c>
      <c r="AD597" s="57">
        <f>IFERROR(__xludf.DUMMYFUNCTION("""COMPUTED_VALUE"""),0.7705240865090218)</f>
        <v>0.7705240865</v>
      </c>
      <c r="AE597" s="57">
        <f>IFERROR(__xludf.DUMMYFUNCTION("""COMPUTED_VALUE"""),0.5560746289846132)</f>
        <v>0.556074629</v>
      </c>
      <c r="AF597" s="57">
        <f>IFERROR(__xludf.DUMMYFUNCTION("""COMPUTED_VALUE"""),1.371769700895037)</f>
        <v>1.371769701</v>
      </c>
      <c r="AG597" s="57">
        <f>IFERROR(__xludf.DUMMYFUNCTION("""COMPUTED_VALUE"""),2.5748694854086795)</f>
        <v>2.574869485</v>
      </c>
      <c r="AH597" s="57">
        <f>IFERROR(__xludf.DUMMYFUNCTION("""COMPUTED_VALUE"""),1.0178964907986385)</f>
        <v>1.017896491</v>
      </c>
      <c r="AI597" s="57">
        <f>IFERROR(__xludf.DUMMYFUNCTION("""COMPUTED_VALUE"""),1.0660647548997204)</f>
        <v>1.066064755</v>
      </c>
      <c r="AJ597" s="57">
        <f>IFERROR(__xludf.DUMMYFUNCTION("""COMPUTED_VALUE"""),1.2202884167013577)</f>
        <v>1.220288417</v>
      </c>
      <c r="AK597" s="57">
        <f>IFERROR(__xludf.DUMMYFUNCTION("""COMPUTED_VALUE"""),0.9112316733518855)</f>
        <v>0.9112316734</v>
      </c>
      <c r="AL597" s="57">
        <f>IFERROR(__xludf.DUMMYFUNCTION("""COMPUTED_VALUE"""),1.1373669404088689)</f>
        <v>1.13736694</v>
      </c>
      <c r="AM597" s="57">
        <f>IFERROR(__xludf.DUMMYFUNCTION("""COMPUTED_VALUE"""),0.9770860406809773)</f>
        <v>0.9770860407</v>
      </c>
      <c r="AN597" s="57">
        <f>IFERROR(__xludf.DUMMYFUNCTION("""COMPUTED_VALUE"""),0.9863500469777358)</f>
        <v>0.986350047</v>
      </c>
      <c r="AO597" s="57">
        <f>IFERROR(__xludf.DUMMYFUNCTION("""COMPUTED_VALUE"""),0.8260905050603922)</f>
        <v>0.8260905051</v>
      </c>
      <c r="AP597" s="35">
        <f>IFERROR(__xludf.DUMMYFUNCTION("""COMPUTED_VALUE"""),1.036459789161792)</f>
        <v>1.036459789</v>
      </c>
      <c r="AQ597" s="57">
        <f>IFERROR(__xludf.DUMMYFUNCTION("""COMPUTED_VALUE"""),0.9176261456968712)</f>
        <v>0.9176261457</v>
      </c>
      <c r="AR597" s="36" t="b">
        <f>IFERROR(__xludf.DUMMYFUNCTION("""COMPUTED_VALUE"""),TRUE)</f>
        <v>1</v>
      </c>
      <c r="AS597" s="57"/>
      <c r="AT597" s="37"/>
      <c r="AU597" s="30"/>
      <c r="AV597" s="30"/>
      <c r="AW597" s="30"/>
      <c r="AX597" s="30"/>
      <c r="AY597" s="30"/>
      <c r="AZ597" s="30"/>
    </row>
    <row r="598">
      <c r="A598" s="30" t="str">
        <f>IFERROR(__xludf.DUMMYFUNCTION("""COMPUTED_VALUE"""),"Rival")</f>
        <v>Rival</v>
      </c>
      <c r="B598" s="30" t="str">
        <f>IFERROR(__xludf.DUMMYFUNCTION("""COMPUTED_VALUE"""),"RSC000190")</f>
        <v>RSC000190</v>
      </c>
      <c r="C598" s="30" t="str">
        <f>IFERROR(__xludf.DUMMYFUNCTION("""COMPUTED_VALUE"""),"leaf.")</f>
        <v>leaf.</v>
      </c>
      <c r="D598" s="31" t="str">
        <f>IFERROR(__xludf.DUMMYFUNCTION("""COMPUTED_VALUE"""),"Hue Heroes")</f>
        <v>Hue Heroes</v>
      </c>
      <c r="E598" s="31">
        <f>IFERROR(__xludf.DUMMYFUNCTION("""COMPUTED_VALUE"""),67.56672601394244)</f>
        <v>67.56672601</v>
      </c>
      <c r="F598" s="31">
        <f>IFERROR(__xludf.DUMMYFUNCTION("""COMPUTED_VALUE"""),4.1471231266508575)</f>
        <v>4.147123127</v>
      </c>
      <c r="G598" s="31">
        <f>IFERROR(__xludf.DUMMYFUNCTION("""COMPUTED_VALUE"""),58.3370231320716)</f>
        <v>58.33702313</v>
      </c>
      <c r="H598" s="31">
        <f>IFERROR(__xludf.DUMMYFUNCTION("""COMPUTED_VALUE"""),2.7071978010571924)</f>
        <v>2.707197801</v>
      </c>
      <c r="I598" s="54">
        <f>IFERROR(__xludf.DUMMYFUNCTION("""COMPUTED_VALUE"""),26.0)</f>
        <v>26</v>
      </c>
      <c r="J598" s="55">
        <f>IFERROR(__xludf.DUMMYFUNCTION("""COMPUTED_VALUE"""),14.0)</f>
        <v>14</v>
      </c>
      <c r="K598" s="54">
        <f>IFERROR(__xludf.DUMMYFUNCTION("""COMPUTED_VALUE"""),12.0)</f>
        <v>12</v>
      </c>
      <c r="L598" s="56">
        <f>IFERROR(__xludf.DUMMYFUNCTION("""COMPUTED_VALUE"""),0.5384615384615384)</f>
        <v>0.5384615385</v>
      </c>
      <c r="M598" s="56">
        <f>IFERROR(__xludf.DUMMYFUNCTION("""COMPUTED_VALUE"""),0.3733333333333333)</f>
        <v>0.3733333333</v>
      </c>
      <c r="N598" s="31">
        <f>IFERROR(__xludf.DUMMYFUNCTION("""COMPUTED_VALUE"""),376.96153846153845)</f>
        <v>376.9615385</v>
      </c>
      <c r="O598" s="57">
        <f>IFERROR(__xludf.DUMMYFUNCTION("""COMPUTED_VALUE"""),1.0769230769230769)</f>
        <v>1.076923077</v>
      </c>
      <c r="P598" s="57">
        <f>IFERROR(__xludf.DUMMYFUNCTION("""COMPUTED_VALUE"""),0.5)</f>
        <v>0.5</v>
      </c>
      <c r="Q598" s="57">
        <f>IFERROR(__xludf.DUMMYFUNCTION("""COMPUTED_VALUE"""),1.3846153846153846)</f>
        <v>1.384615385</v>
      </c>
      <c r="R598" s="57">
        <f>IFERROR(__xludf.DUMMYFUNCTION("""COMPUTED_VALUE"""),2.8846153846153846)</f>
        <v>2.884615385</v>
      </c>
      <c r="S598" s="31">
        <f>IFERROR(__xludf.DUMMYFUNCTION("""COMPUTED_VALUE"""),338.34615384615387)</f>
        <v>338.3461538</v>
      </c>
      <c r="T598" s="57">
        <f>IFERROR(__xludf.DUMMYFUNCTION("""COMPUTED_VALUE"""),0.7435897435897435)</f>
        <v>0.7435897436</v>
      </c>
      <c r="U598" s="57">
        <f>IFERROR(__xludf.DUMMYFUNCTION("""COMPUTED_VALUE"""),0.5128205128205127)</f>
        <v>0.5128205128</v>
      </c>
      <c r="V598" s="57">
        <f>IFERROR(__xludf.DUMMYFUNCTION("""COMPUTED_VALUE"""),1.2435897435897434)</f>
        <v>1.243589744</v>
      </c>
      <c r="W598" s="57">
        <f>IFERROR(__xludf.DUMMYFUNCTION("""COMPUTED_VALUE"""),2.525641025641025)</f>
        <v>2.525641026</v>
      </c>
      <c r="X598" s="31">
        <f>IFERROR(__xludf.DUMMYFUNCTION("""COMPUTED_VALUE"""),341.76668360305786)</f>
        <v>341.7666836</v>
      </c>
      <c r="Y598" s="57">
        <f>IFERROR(__xludf.DUMMYFUNCTION("""COMPUTED_VALUE"""),0.7149643594648423)</f>
        <v>0.7149643595</v>
      </c>
      <c r="Z598" s="57">
        <f>IFERROR(__xludf.DUMMYFUNCTION("""COMPUTED_VALUE"""),0.4860107995805895)</f>
        <v>0.4860107996</v>
      </c>
      <c r="AA598" s="57">
        <f>IFERROR(__xludf.DUMMYFUNCTION("""COMPUTED_VALUE"""),1.3993476933168294)</f>
        <v>1.399347693</v>
      </c>
      <c r="AB598" s="57">
        <f>IFERROR(__xludf.DUMMYFUNCTION("""COMPUTED_VALUE"""),2.4626534313236665)</f>
        <v>2.462653431</v>
      </c>
      <c r="AC598" s="31">
        <f>IFERROR(__xludf.DUMMYFUNCTION("""COMPUTED_VALUE"""),355.13469515937544)</f>
        <v>355.1346952</v>
      </c>
      <c r="AD598" s="57">
        <f>IFERROR(__xludf.DUMMYFUNCTION("""COMPUTED_VALUE"""),0.8138189976333827)</f>
        <v>0.8138189976</v>
      </c>
      <c r="AE598" s="57">
        <f>IFERROR(__xludf.DUMMYFUNCTION("""COMPUTED_VALUE"""),0.6025123543345516)</f>
        <v>0.6025123543</v>
      </c>
      <c r="AF598" s="57">
        <f>IFERROR(__xludf.DUMMYFUNCTION("""COMPUTED_VALUE"""),1.2784831411239632)</f>
        <v>1.278483141</v>
      </c>
      <c r="AG598" s="57">
        <f>IFERROR(__xludf.DUMMYFUNCTION("""COMPUTED_VALUE"""),2.66475668614162)</f>
        <v>2.664756686</v>
      </c>
      <c r="AH598" s="57">
        <f>IFERROR(__xludf.DUMMYFUNCTION("""COMPUTED_VALUE"""),1.0614607460202323)</f>
        <v>1.061460746</v>
      </c>
      <c r="AI598" s="57">
        <f>IFERROR(__xludf.DUMMYFUNCTION("""COMPUTED_VALUE"""),1.3232955731616134)</f>
        <v>1.323295573</v>
      </c>
      <c r="AJ598" s="57">
        <f>IFERROR(__xludf.DUMMYFUNCTION("""COMPUTED_VALUE"""),0.8298585023243681)</f>
        <v>0.8298585023</v>
      </c>
      <c r="AK598" s="57">
        <f>IFERROR(__xludf.DUMMYFUNCTION("""COMPUTED_VALUE"""),1.0830141908622404)</f>
        <v>1.083014191</v>
      </c>
      <c r="AL598" s="57">
        <f>IFERROR(__xludf.DUMMYFUNCTION("""COMPUTED_VALUE"""),1.082506106323765)</f>
        <v>1.082506106</v>
      </c>
      <c r="AM598" s="57">
        <f>IFERROR(__xludf.DUMMYFUNCTION("""COMPUTED_VALUE"""),0.9899916231715647)</f>
        <v>0.9899916232</v>
      </c>
      <c r="AN598" s="57">
        <f>IFERROR(__xludf.DUMMYFUNCTION("""COMPUTED_VALUE"""),1.040037498017842)</f>
        <v>1.040037498</v>
      </c>
      <c r="AO598" s="57">
        <f>IFERROR(__xludf.DUMMYFUNCTION("""COMPUTED_VALUE"""),1.0551627932199428)</f>
        <v>1.055162793</v>
      </c>
      <c r="AP598" s="35">
        <f>IFERROR(__xludf.DUMMYFUNCTION("""COMPUTED_VALUE"""),0.8886924597289342)</f>
        <v>0.8886924597</v>
      </c>
      <c r="AQ598" s="57">
        <f>IFERROR(__xludf.DUMMYFUNCTION("""COMPUTED_VALUE"""),1.0255771248671004)</f>
        <v>1.025577125</v>
      </c>
      <c r="AR598" s="36" t="b">
        <f>IFERROR(__xludf.DUMMYFUNCTION("""COMPUTED_VALUE"""),TRUE)</f>
        <v>1</v>
      </c>
      <c r="AS598" s="57"/>
      <c r="AT598" s="37"/>
      <c r="AU598" s="30"/>
      <c r="AV598" s="30"/>
      <c r="AW598" s="30"/>
      <c r="AX598" s="30"/>
      <c r="AY598" s="30"/>
      <c r="AZ598" s="30"/>
    </row>
    <row r="599">
      <c r="A599" s="30" t="str">
        <f>IFERROR(__xludf.DUMMYFUNCTION("""COMPUTED_VALUE"""),"Rival")</f>
        <v>Rival</v>
      </c>
      <c r="B599" s="30" t="str">
        <f>IFERROR(__xludf.DUMMYFUNCTION("""COMPUTED_VALUE"""),"RSC006211")</f>
        <v>RSC006211</v>
      </c>
      <c r="C599" s="30" t="str">
        <f>IFERROR(__xludf.DUMMYFUNCTION("""COMPUTED_VALUE"""),"Chase")</f>
        <v>Chase</v>
      </c>
      <c r="D599" s="31" t="str">
        <f>IFERROR(__xludf.DUMMYFUNCTION("""COMPUTED_VALUE"""),"Ion Imperial")</f>
        <v>Ion Imperial</v>
      </c>
      <c r="E599" s="31">
        <f>IFERROR(__xludf.DUMMYFUNCTION("""COMPUTED_VALUE"""),67.28473206901782)</f>
        <v>67.28473207</v>
      </c>
      <c r="F599" s="31">
        <f>IFERROR(__xludf.DUMMYFUNCTION("""COMPUTED_VALUE"""),4.087297002027606)</f>
        <v>4.087297002</v>
      </c>
      <c r="G599" s="31">
        <f>IFERROR(__xludf.DUMMYFUNCTION("""COMPUTED_VALUE"""),59.72140210804893)</f>
        <v>59.72140211</v>
      </c>
      <c r="H599" s="31">
        <f>IFERROR(__xludf.DUMMYFUNCTION("""COMPUTED_VALUE"""),2.867866177324126)</f>
        <v>2.867866177</v>
      </c>
      <c r="I599" s="54">
        <f>IFERROR(__xludf.DUMMYFUNCTION("""COMPUTED_VALUE"""),22.0)</f>
        <v>22</v>
      </c>
      <c r="J599" s="55">
        <f>IFERROR(__xludf.DUMMYFUNCTION("""COMPUTED_VALUE"""),14.0)</f>
        <v>14</v>
      </c>
      <c r="K599" s="54">
        <f>IFERROR(__xludf.DUMMYFUNCTION("""COMPUTED_VALUE"""),8.0)</f>
        <v>8</v>
      </c>
      <c r="L599" s="56">
        <f>IFERROR(__xludf.DUMMYFUNCTION("""COMPUTED_VALUE"""),0.6363636363636364)</f>
        <v>0.6363636364</v>
      </c>
      <c r="M599" s="56">
        <f>IFERROR(__xludf.DUMMYFUNCTION("""COMPUTED_VALUE"""),0.39285714285714285)</f>
        <v>0.3928571429</v>
      </c>
      <c r="N599" s="31">
        <f>IFERROR(__xludf.DUMMYFUNCTION("""COMPUTED_VALUE"""),376.27272727272725)</f>
        <v>376.2727273</v>
      </c>
      <c r="O599" s="57">
        <f>IFERROR(__xludf.DUMMYFUNCTION("""COMPUTED_VALUE"""),1.0)</f>
        <v>1</v>
      </c>
      <c r="P599" s="57">
        <f>IFERROR(__xludf.DUMMYFUNCTION("""COMPUTED_VALUE"""),0.5909090909090909)</f>
        <v>0.5909090909</v>
      </c>
      <c r="Q599" s="57">
        <f>IFERROR(__xludf.DUMMYFUNCTION("""COMPUTED_VALUE"""),1.3636363636363635)</f>
        <v>1.363636364</v>
      </c>
      <c r="R599" s="57">
        <f>IFERROR(__xludf.DUMMYFUNCTION("""COMPUTED_VALUE"""),2.5454545454545454)</f>
        <v>2.545454545</v>
      </c>
      <c r="S599" s="31">
        <f>IFERROR(__xludf.DUMMYFUNCTION("""COMPUTED_VALUE"""),332.80303030303025)</f>
        <v>332.8030303</v>
      </c>
      <c r="T599" s="57">
        <f>IFERROR(__xludf.DUMMYFUNCTION("""COMPUTED_VALUE"""),0.6666666666666666)</f>
        <v>0.6666666667</v>
      </c>
      <c r="U599" s="57">
        <f>IFERROR(__xludf.DUMMYFUNCTION("""COMPUTED_VALUE"""),0.5151515151515151)</f>
        <v>0.5151515152</v>
      </c>
      <c r="V599" s="57">
        <f>IFERROR(__xludf.DUMMYFUNCTION("""COMPUTED_VALUE"""),1.4090909090909092)</f>
        <v>1.409090909</v>
      </c>
      <c r="W599" s="57">
        <f>IFERROR(__xludf.DUMMYFUNCTION("""COMPUTED_VALUE"""),2.3030303030303028)</f>
        <v>2.303030303</v>
      </c>
      <c r="X599" s="31">
        <f>IFERROR(__xludf.DUMMYFUNCTION("""COMPUTED_VALUE"""),337.75776046811217)</f>
        <v>337.7577605</v>
      </c>
      <c r="Y599" s="57">
        <f>IFERROR(__xludf.DUMMYFUNCTION("""COMPUTED_VALUE"""),0.7275710037378342)</f>
        <v>0.7275710037</v>
      </c>
      <c r="Z599" s="57">
        <f>IFERROR(__xludf.DUMMYFUNCTION("""COMPUTED_VALUE"""),0.5218428194541339)</f>
        <v>0.5218428195</v>
      </c>
      <c r="AA599" s="57">
        <f>IFERROR(__xludf.DUMMYFUNCTION("""COMPUTED_VALUE"""),1.304006218168829)</f>
        <v>1.304006218</v>
      </c>
      <c r="AB599" s="57">
        <f>IFERROR(__xludf.DUMMYFUNCTION("""COMPUTED_VALUE"""),2.5080105293508446)</f>
        <v>2.508010529</v>
      </c>
      <c r="AC599" s="31">
        <f>IFERROR(__xludf.DUMMYFUNCTION("""COMPUTED_VALUE"""),352.7067636012154)</f>
        <v>352.7067636</v>
      </c>
      <c r="AD599" s="57">
        <f>IFERROR(__xludf.DUMMYFUNCTION("""COMPUTED_VALUE"""),0.8305512275901205)</f>
        <v>0.8305512276</v>
      </c>
      <c r="AE599" s="57">
        <f>IFERROR(__xludf.DUMMYFUNCTION("""COMPUTED_VALUE"""),0.5890298128464215)</f>
        <v>0.5890298128</v>
      </c>
      <c r="AF599" s="57">
        <f>IFERROR(__xludf.DUMMYFUNCTION("""COMPUTED_VALUE"""),1.2855049424709564)</f>
        <v>1.285504942</v>
      </c>
      <c r="AG599" s="57">
        <f>IFERROR(__xludf.DUMMYFUNCTION("""COMPUTED_VALUE"""),2.6269614161445856)</f>
        <v>2.626961416</v>
      </c>
      <c r="AH599" s="57">
        <f>IFERROR(__xludf.DUMMYFUNCTION("""COMPUTED_VALUE"""),1.0668146066463202)</f>
        <v>1.066814607</v>
      </c>
      <c r="AI599" s="57">
        <f>IFERROR(__xludf.DUMMYFUNCTION("""COMPUTED_VALUE"""),1.2040196519864792)</f>
        <v>1.204019652</v>
      </c>
      <c r="AJ599" s="57">
        <f>IFERROR(__xludf.DUMMYFUNCTION("""COMPUTED_VALUE"""),1.0031904634055584)</f>
        <v>1.003190463</v>
      </c>
      <c r="AK599" s="57">
        <f>IFERROR(__xludf.DUMMYFUNCTION("""COMPUTED_VALUE"""),1.0607787792828127)</f>
        <v>1.060778779</v>
      </c>
      <c r="AL599" s="57">
        <f>IFERROR(__xludf.DUMMYFUNCTION("""COMPUTED_VALUE"""),0.9689729471513662)</f>
        <v>0.9689729472</v>
      </c>
      <c r="AM599" s="57">
        <f>IFERROR(__xludf.DUMMYFUNCTION("""COMPUTED_VALUE"""),0.9853305216193554)</f>
        <v>0.9853305216</v>
      </c>
      <c r="AN599" s="57">
        <f>IFERROR(__xludf.DUMMYFUNCTION("""COMPUTED_VALUE"""),0.9162908681650633)</f>
        <v>0.9162908682</v>
      </c>
      <c r="AO599" s="57">
        <f>IFERROR(__xludf.DUMMYFUNCTION("""COMPUTED_VALUE"""),0.987177548385895)</f>
        <v>0.9871775484</v>
      </c>
      <c r="AP599" s="35">
        <f>IFERROR(__xludf.DUMMYFUNCTION("""COMPUTED_VALUE"""),1.0805860351414942)</f>
        <v>1.080586035</v>
      </c>
      <c r="AQ599" s="57">
        <f>IFERROR(__xludf.DUMMYFUNCTION("""COMPUTED_VALUE"""),0.9182697903690231)</f>
        <v>0.9182697904</v>
      </c>
      <c r="AR599" s="36" t="b">
        <f>IFERROR(__xludf.DUMMYFUNCTION("""COMPUTED_VALUE"""),TRUE)</f>
        <v>1</v>
      </c>
      <c r="AS599" s="57"/>
      <c r="AT599" s="37"/>
      <c r="AU599" s="30"/>
      <c r="AV599" s="30"/>
      <c r="AW599" s="30"/>
      <c r="AX599" s="30"/>
      <c r="AY599" s="30"/>
      <c r="AZ599" s="30"/>
    </row>
    <row r="600">
      <c r="A600" s="30" t="str">
        <f>IFERROR(__xludf.DUMMYFUNCTION("""COMPUTED_VALUE"""),"Rival")</f>
        <v>Rival</v>
      </c>
      <c r="B600" s="30" t="str">
        <f>IFERROR(__xludf.DUMMYFUNCTION("""COMPUTED_VALUE"""),"RSC004586")</f>
        <v>RSC004586</v>
      </c>
      <c r="C600" s="30" t="str">
        <f>IFERROR(__xludf.DUMMYFUNCTION("""COMPUTED_VALUE"""),"Jaybeauh")</f>
        <v>Jaybeauh</v>
      </c>
      <c r="D600" s="31" t="str">
        <f>IFERROR(__xludf.DUMMYFUNCTION("""COMPUTED_VALUE"""),"Ion Imperial")</f>
        <v>Ion Imperial</v>
      </c>
      <c r="E600" s="31">
        <f>IFERROR(__xludf.DUMMYFUNCTION("""COMPUTED_VALUE"""),67.04191702085922)</f>
        <v>67.04191702</v>
      </c>
      <c r="F600" s="31">
        <f>IFERROR(__xludf.DUMMYFUNCTION("""COMPUTED_VALUE"""),4.036787927617748)</f>
        <v>4.036787928</v>
      </c>
      <c r="G600" s="31">
        <f>IFERROR(__xludf.DUMMYFUNCTION("""COMPUTED_VALUE"""),66.84692512983621)</f>
        <v>66.84692513</v>
      </c>
      <c r="H600" s="31">
        <f>IFERROR(__xludf.DUMMYFUNCTION("""COMPUTED_VALUE"""),3.996886325832538)</f>
        <v>3.996886326</v>
      </c>
      <c r="I600" s="54">
        <f>IFERROR(__xludf.DUMMYFUNCTION("""COMPUTED_VALUE"""),30.0)</f>
        <v>30</v>
      </c>
      <c r="J600" s="55">
        <f>IFERROR(__xludf.DUMMYFUNCTION("""COMPUTED_VALUE"""),17.0)</f>
        <v>17</v>
      </c>
      <c r="K600" s="54">
        <f>IFERROR(__xludf.DUMMYFUNCTION("""COMPUTED_VALUE"""),13.0)</f>
        <v>13</v>
      </c>
      <c r="L600" s="56">
        <f>IFERROR(__xludf.DUMMYFUNCTION("""COMPUTED_VALUE"""),0.5666666666666667)</f>
        <v>0.5666666667</v>
      </c>
      <c r="M600" s="56">
        <f>IFERROR(__xludf.DUMMYFUNCTION("""COMPUTED_VALUE"""),0.2808988764044944)</f>
        <v>0.2808988764</v>
      </c>
      <c r="N600" s="31">
        <f>IFERROR(__xludf.DUMMYFUNCTION("""COMPUTED_VALUE"""),382.1)</f>
        <v>382.1</v>
      </c>
      <c r="O600" s="57">
        <f>IFERROR(__xludf.DUMMYFUNCTION("""COMPUTED_VALUE"""),0.8333333333333334)</f>
        <v>0.8333333333</v>
      </c>
      <c r="P600" s="57">
        <f>IFERROR(__xludf.DUMMYFUNCTION("""COMPUTED_VALUE"""),0.6)</f>
        <v>0.6</v>
      </c>
      <c r="Q600" s="57">
        <f>IFERROR(__xludf.DUMMYFUNCTION("""COMPUTED_VALUE"""),1.3333333333333333)</f>
        <v>1.333333333</v>
      </c>
      <c r="R600" s="57">
        <f>IFERROR(__xludf.DUMMYFUNCTION("""COMPUTED_VALUE"""),2.966666666666667)</f>
        <v>2.966666667</v>
      </c>
      <c r="S600" s="31">
        <f>IFERROR(__xludf.DUMMYFUNCTION("""COMPUTED_VALUE"""),334.44444444444446)</f>
        <v>334.4444444</v>
      </c>
      <c r="T600" s="57">
        <f>IFERROR(__xludf.DUMMYFUNCTION("""COMPUTED_VALUE"""),0.6777777777777778)</f>
        <v>0.6777777778</v>
      </c>
      <c r="U600" s="57">
        <f>IFERROR(__xludf.DUMMYFUNCTION("""COMPUTED_VALUE"""),0.46666666666666673)</f>
        <v>0.4666666667</v>
      </c>
      <c r="V600" s="57">
        <f>IFERROR(__xludf.DUMMYFUNCTION("""COMPUTED_VALUE"""),1.4222222222222218)</f>
        <v>1.422222222</v>
      </c>
      <c r="W600" s="57">
        <f>IFERROR(__xludf.DUMMYFUNCTION("""COMPUTED_VALUE"""),2.466666666666667)</f>
        <v>2.466666667</v>
      </c>
      <c r="X600" s="31">
        <f>IFERROR(__xludf.DUMMYFUNCTION("""COMPUTED_VALUE"""),347.4474618522092)</f>
        <v>347.4474619</v>
      </c>
      <c r="Y600" s="57">
        <f>IFERROR(__xludf.DUMMYFUNCTION("""COMPUTED_VALUE"""),0.7890329628574565)</f>
        <v>0.7890329629</v>
      </c>
      <c r="Z600" s="57">
        <f>IFERROR(__xludf.DUMMYFUNCTION("""COMPUTED_VALUE"""),0.5418875452333541)</f>
        <v>0.5418875452</v>
      </c>
      <c r="AA600" s="57">
        <f>IFERROR(__xludf.DUMMYFUNCTION("""COMPUTED_VALUE"""),1.3125683907673873)</f>
        <v>1.312568391</v>
      </c>
      <c r="AB600" s="57">
        <f>IFERROR(__xludf.DUMMYFUNCTION("""COMPUTED_VALUE"""),2.644706057607856)</f>
        <v>2.644706058</v>
      </c>
      <c r="AC600" s="31">
        <f>IFERROR(__xludf.DUMMYFUNCTION("""COMPUTED_VALUE"""),357.13503901344313)</f>
        <v>357.135039</v>
      </c>
      <c r="AD600" s="57">
        <f>IFERROR(__xludf.DUMMYFUNCTION("""COMPUTED_VALUE"""),0.8345877140896913)</f>
        <v>0.8345877141</v>
      </c>
      <c r="AE600" s="57">
        <f>IFERROR(__xludf.DUMMYFUNCTION("""COMPUTED_VALUE"""),0.5808417915941161)</f>
        <v>0.5808417916</v>
      </c>
      <c r="AF600" s="57">
        <f>IFERROR(__xludf.DUMMYFUNCTION("""COMPUTED_VALUE"""),1.3333067747576974)</f>
        <v>1.333306775</v>
      </c>
      <c r="AG600" s="57">
        <f>IFERROR(__xludf.DUMMYFUNCTION("""COMPUTED_VALUE"""),2.5644733801591837)</f>
        <v>2.56447338</v>
      </c>
      <c r="AH600" s="57">
        <f>IFERROR(__xludf.DUMMYFUNCTION("""COMPUTED_VALUE"""),1.0699034210015366)</f>
        <v>1.069903421</v>
      </c>
      <c r="AI600" s="57">
        <f>IFERROR(__xludf.DUMMYFUNCTION("""COMPUTED_VALUE"""),0.9984970054852459)</f>
        <v>0.9984970055</v>
      </c>
      <c r="AJ600" s="57">
        <f>IFERROR(__xludf.DUMMYFUNCTION("""COMPUTED_VALUE"""),1.0329835226788766)</f>
        <v>1.032983523</v>
      </c>
      <c r="AK600" s="57">
        <f>IFERROR(__xludf.DUMMYFUNCTION("""COMPUTED_VALUE"""),1.0000199193284987)</f>
        <v>1.000019919</v>
      </c>
      <c r="AL600" s="57">
        <f>IFERROR(__xludf.DUMMYFUNCTION("""COMPUTED_VALUE"""),1.1568327008652817)</f>
        <v>1.156832701</v>
      </c>
      <c r="AM600" s="57">
        <f>IFERROR(__xludf.DUMMYFUNCTION("""COMPUTED_VALUE"""),0.962575586713321)</f>
        <v>0.9625755867</v>
      </c>
      <c r="AN600" s="57">
        <f>IFERROR(__xludf.DUMMYFUNCTION("""COMPUTED_VALUE"""),0.8589980516444183)</f>
        <v>0.8589980516</v>
      </c>
      <c r="AO600" s="57">
        <f>IFERROR(__xludf.DUMMYFUNCTION("""COMPUTED_VALUE"""),0.8611872901889729)</f>
        <v>0.8611872902</v>
      </c>
      <c r="AP600" s="35">
        <f>IFERROR(__xludf.DUMMYFUNCTION("""COMPUTED_VALUE"""),1.0835414232326026)</f>
        <v>1.083541423</v>
      </c>
      <c r="AQ600" s="57">
        <f>IFERROR(__xludf.DUMMYFUNCTION("""COMPUTED_VALUE"""),0.9326808397367886)</f>
        <v>0.9326808397</v>
      </c>
      <c r="AR600" s="36" t="b">
        <f>IFERROR(__xludf.DUMMYFUNCTION("""COMPUTED_VALUE"""),TRUE)</f>
        <v>1</v>
      </c>
      <c r="AS600" s="57"/>
      <c r="AT600" s="37"/>
      <c r="AU600" s="30"/>
      <c r="AV600" s="30"/>
      <c r="AW600" s="30"/>
      <c r="AX600" s="30"/>
      <c r="AY600" s="30"/>
      <c r="AZ600" s="30"/>
    </row>
    <row r="601">
      <c r="A601" s="30" t="str">
        <f>IFERROR(__xludf.DUMMYFUNCTION("""COMPUTED_VALUE"""),"Rival")</f>
        <v>Rival</v>
      </c>
      <c r="B601" s="30" t="str">
        <f>IFERROR(__xludf.DUMMYFUNCTION("""COMPUTED_VALUE"""),"RSC005885")</f>
        <v>RSC005885</v>
      </c>
      <c r="C601" s="30" t="str">
        <f>IFERROR(__xludf.DUMMYFUNCTION("""COMPUTED_VALUE"""),"noot")</f>
        <v>noot</v>
      </c>
      <c r="D601" s="31" t="str">
        <f>IFERROR(__xludf.DUMMYFUNCTION("""COMPUTED_VALUE"""),"Quasars")</f>
        <v>Quasars</v>
      </c>
      <c r="E601" s="31">
        <f>IFERROR(__xludf.DUMMYFUNCTION("""COMPUTED_VALUE"""),66.03553559108238)</f>
        <v>66.03553559</v>
      </c>
      <c r="F601" s="31">
        <f>IFERROR(__xludf.DUMMYFUNCTION("""COMPUTED_VALUE"""),3.8369384237553006)</f>
        <v>3.836938424</v>
      </c>
      <c r="G601" s="31">
        <f>IFERROR(__xludf.DUMMYFUNCTION("""COMPUTED_VALUE"""),52.16575559114917)</f>
        <v>52.16575559</v>
      </c>
      <c r="H601" s="31">
        <f>IFERROR(__xludf.DUMMYFUNCTION("""COMPUTED_VALUE"""),2.1483074574734955)</f>
        <v>2.148307457</v>
      </c>
      <c r="I601" s="54">
        <f>IFERROR(__xludf.DUMMYFUNCTION("""COMPUTED_VALUE"""),44.0)</f>
        <v>44</v>
      </c>
      <c r="J601" s="55">
        <f>IFERROR(__xludf.DUMMYFUNCTION("""COMPUTED_VALUE"""),25.0)</f>
        <v>25</v>
      </c>
      <c r="K601" s="54">
        <f>IFERROR(__xludf.DUMMYFUNCTION("""COMPUTED_VALUE"""),19.0)</f>
        <v>19</v>
      </c>
      <c r="L601" s="56">
        <f>IFERROR(__xludf.DUMMYFUNCTION("""COMPUTED_VALUE"""),0.5681818181818182)</f>
        <v>0.5681818182</v>
      </c>
      <c r="M601" s="56">
        <f>IFERROR(__xludf.DUMMYFUNCTION("""COMPUTED_VALUE"""),0.28888888888888886)</f>
        <v>0.2888888889</v>
      </c>
      <c r="N601" s="31">
        <f>IFERROR(__xludf.DUMMYFUNCTION("""COMPUTED_VALUE"""),362.95454545454544)</f>
        <v>362.9545455</v>
      </c>
      <c r="O601" s="57">
        <f>IFERROR(__xludf.DUMMYFUNCTION("""COMPUTED_VALUE"""),0.8863636363636364)</f>
        <v>0.8863636364</v>
      </c>
      <c r="P601" s="57">
        <f>IFERROR(__xludf.DUMMYFUNCTION("""COMPUTED_VALUE"""),0.5909090909090909)</f>
        <v>0.5909090909</v>
      </c>
      <c r="Q601" s="57">
        <f>IFERROR(__xludf.DUMMYFUNCTION("""COMPUTED_VALUE"""),1.3863636363636365)</f>
        <v>1.386363636</v>
      </c>
      <c r="R601" s="57">
        <f>IFERROR(__xludf.DUMMYFUNCTION("""COMPUTED_VALUE"""),3.0681818181818183)</f>
        <v>3.068181818</v>
      </c>
      <c r="S601" s="31">
        <f>IFERROR(__xludf.DUMMYFUNCTION("""COMPUTED_VALUE"""),350.469696969697)</f>
        <v>350.469697</v>
      </c>
      <c r="T601" s="57">
        <f>IFERROR(__xludf.DUMMYFUNCTION("""COMPUTED_VALUE"""),0.8030303030303029)</f>
        <v>0.803030303</v>
      </c>
      <c r="U601" s="57">
        <f>IFERROR(__xludf.DUMMYFUNCTION("""COMPUTED_VALUE"""),0.5909090909090908)</f>
        <v>0.5909090909</v>
      </c>
      <c r="V601" s="57">
        <f>IFERROR(__xludf.DUMMYFUNCTION("""COMPUTED_VALUE"""),1.3636363636363635)</f>
        <v>1.363636364</v>
      </c>
      <c r="W601" s="57">
        <f>IFERROR(__xludf.DUMMYFUNCTION("""COMPUTED_VALUE"""),2.6893939393939394)</f>
        <v>2.689393939</v>
      </c>
      <c r="X601" s="31">
        <f>IFERROR(__xludf.DUMMYFUNCTION("""COMPUTED_VALUE"""),353.46458024733846)</f>
        <v>353.4645802</v>
      </c>
      <c r="Y601" s="57">
        <f>IFERROR(__xludf.DUMMYFUNCTION("""COMPUTED_VALUE"""),0.8236175788393368)</f>
        <v>0.8236175788</v>
      </c>
      <c r="Z601" s="57">
        <f>IFERROR(__xludf.DUMMYFUNCTION("""COMPUTED_VALUE"""),0.5927902731866992)</f>
        <v>0.5927902732</v>
      </c>
      <c r="AA601" s="57">
        <f>IFERROR(__xludf.DUMMYFUNCTION("""COMPUTED_VALUE"""),1.313863227480067)</f>
        <v>1.313863227</v>
      </c>
      <c r="AB601" s="57">
        <f>IFERROR(__xludf.DUMMYFUNCTION("""COMPUTED_VALUE"""),2.5551210027330367)</f>
        <v>2.555121003</v>
      </c>
      <c r="AC601" s="31">
        <f>IFERROR(__xludf.DUMMYFUNCTION("""COMPUTED_VALUE"""),348.1334713137915)</f>
        <v>348.1334713</v>
      </c>
      <c r="AD601" s="57">
        <f>IFERROR(__xludf.DUMMYFUNCTION("""COMPUTED_VALUE"""),0.7970723576719727)</f>
        <v>0.7970723577</v>
      </c>
      <c r="AE601" s="57">
        <f>IFERROR(__xludf.DUMMYFUNCTION("""COMPUTED_VALUE"""),0.5632481967999116)</f>
        <v>0.5632481968</v>
      </c>
      <c r="AF601" s="57">
        <f>IFERROR(__xludf.DUMMYFUNCTION("""COMPUTED_VALUE"""),1.2815738454046255)</f>
        <v>1.281573845</v>
      </c>
      <c r="AG601" s="57">
        <f>IFERROR(__xludf.DUMMYFUNCTION("""COMPUTED_VALUE"""),2.5840071355312717)</f>
        <v>2.584007136</v>
      </c>
      <c r="AH601" s="57">
        <f>IFERROR(__xludf.DUMMYFUNCTION("""COMPUTED_VALUE"""),1.0425729651470224)</f>
        <v>1.042572965</v>
      </c>
      <c r="AI601" s="57">
        <f>IFERROR(__xludf.DUMMYFUNCTION("""COMPUTED_VALUE"""),1.1120240563259007)</f>
        <v>1.112024056</v>
      </c>
      <c r="AJ601" s="57">
        <f>IFERROR(__xludf.DUMMYFUNCTION("""COMPUTED_VALUE"""),1.0491096008231087)</f>
        <v>1.049109601</v>
      </c>
      <c r="AK601" s="57">
        <f>IFERROR(__xludf.DUMMYFUNCTION("""COMPUTED_VALUE"""),1.0817664868355097)</f>
        <v>1.081766487</v>
      </c>
      <c r="AL601" s="57">
        <f>IFERROR(__xludf.DUMMYFUNCTION("""COMPUTED_VALUE"""),1.187373585774174)</f>
        <v>1.187373586</v>
      </c>
      <c r="AM601" s="57">
        <f>IFERROR(__xludf.DUMMYFUNCTION("""COMPUTED_VALUE"""),0.9915270625544834)</f>
        <v>0.9915270626</v>
      </c>
      <c r="AN601" s="57">
        <f>IFERROR(__xludf.DUMMYFUNCTION("""COMPUTED_VALUE"""),0.9750038411782734)</f>
        <v>0.9750038412</v>
      </c>
      <c r="AO601" s="57">
        <f>IFERROR(__xludf.DUMMYFUNCTION("""COMPUTED_VALUE"""),0.9968265635205255)</f>
        <v>0.9968265635</v>
      </c>
      <c r="AP601" s="35">
        <f>IFERROR(__xludf.DUMMYFUNCTION("""COMPUTED_VALUE"""),1.0378830422491991)</f>
        <v>1.037883042</v>
      </c>
      <c r="AQ601" s="57">
        <f>IFERROR(__xludf.DUMMYFUNCTION("""COMPUTED_VALUE"""),1.052550519727747)</f>
        <v>1.05255052</v>
      </c>
      <c r="AR601" s="36" t="b">
        <f>IFERROR(__xludf.DUMMYFUNCTION("""COMPUTED_VALUE"""),TRUE)</f>
        <v>1</v>
      </c>
      <c r="AS601" s="57"/>
      <c r="AT601" s="37"/>
      <c r="AU601" s="30"/>
      <c r="AV601" s="30"/>
      <c r="AW601" s="30"/>
      <c r="AX601" s="30"/>
      <c r="AY601" s="30"/>
      <c r="AZ601" s="30"/>
    </row>
    <row r="602">
      <c r="A602" s="30" t="str">
        <f>IFERROR(__xludf.DUMMYFUNCTION("""COMPUTED_VALUE"""),"Rival")</f>
        <v>Rival</v>
      </c>
      <c r="B602" s="30" t="str">
        <f>IFERROR(__xludf.DUMMYFUNCTION("""COMPUTED_VALUE"""),"RSC003945")</f>
        <v>RSC003945</v>
      </c>
      <c r="C602" s="30" t="str">
        <f>IFERROR(__xludf.DUMMYFUNCTION("""COMPUTED_VALUE"""),"Gaw1f3d")</f>
        <v>Gaw1f3d</v>
      </c>
      <c r="D602" s="31" t="str">
        <f>IFERROR(__xludf.DUMMYFUNCTION("""COMPUTED_VALUE"""),"Cursed")</f>
        <v>Cursed</v>
      </c>
      <c r="E602" s="31">
        <f>IFERROR(__xludf.DUMMYFUNCTION("""COMPUTED_VALUE"""),65.59539251048854)</f>
        <v>65.59539251</v>
      </c>
      <c r="F602" s="31">
        <f>IFERROR(__xludf.DUMMYFUNCTION("""COMPUTED_VALUE"""),3.7541157254202355)</f>
        <v>3.754115725</v>
      </c>
      <c r="G602" s="31">
        <f>IFERROR(__xludf.DUMMYFUNCTION("""COMPUTED_VALUE"""),53.913889501518256)</f>
        <v>53.9138895</v>
      </c>
      <c r="H602" s="31">
        <f>IFERROR(__xludf.DUMMYFUNCTION("""COMPUTED_VALUE"""),2.284160762139362)</f>
        <v>2.284160762</v>
      </c>
      <c r="I602" s="54">
        <f>IFERROR(__xludf.DUMMYFUNCTION("""COMPUTED_VALUE"""),48.0)</f>
        <v>48</v>
      </c>
      <c r="J602" s="55">
        <f>IFERROR(__xludf.DUMMYFUNCTION("""COMPUTED_VALUE"""),32.0)</f>
        <v>32</v>
      </c>
      <c r="K602" s="54">
        <f>IFERROR(__xludf.DUMMYFUNCTION("""COMPUTED_VALUE"""),16.0)</f>
        <v>16</v>
      </c>
      <c r="L602" s="56">
        <f>IFERROR(__xludf.DUMMYFUNCTION("""COMPUTED_VALUE"""),0.6666666666666666)</f>
        <v>0.6666666667</v>
      </c>
      <c r="M602" s="56">
        <f>IFERROR(__xludf.DUMMYFUNCTION("""COMPUTED_VALUE"""),0.2932330827067669)</f>
        <v>0.2932330827</v>
      </c>
      <c r="N602" s="31">
        <f>IFERROR(__xludf.DUMMYFUNCTION("""COMPUTED_VALUE"""),353.8125)</f>
        <v>353.8125</v>
      </c>
      <c r="O602" s="57">
        <f>IFERROR(__xludf.DUMMYFUNCTION("""COMPUTED_VALUE"""),0.8125)</f>
        <v>0.8125</v>
      </c>
      <c r="P602" s="57">
        <f>IFERROR(__xludf.DUMMYFUNCTION("""COMPUTED_VALUE"""),0.625)</f>
        <v>0.625</v>
      </c>
      <c r="Q602" s="57">
        <f>IFERROR(__xludf.DUMMYFUNCTION("""COMPUTED_VALUE"""),1.3541666666666667)</f>
        <v>1.354166667</v>
      </c>
      <c r="R602" s="57">
        <f>IFERROR(__xludf.DUMMYFUNCTION("""COMPUTED_VALUE"""),2.7708333333333335)</f>
        <v>2.770833333</v>
      </c>
      <c r="S602" s="31">
        <f>IFERROR(__xludf.DUMMYFUNCTION("""COMPUTED_VALUE"""),329.09722222222223)</f>
        <v>329.0972222</v>
      </c>
      <c r="T602" s="57">
        <f>IFERROR(__xludf.DUMMYFUNCTION("""COMPUTED_VALUE"""),0.611111111111111)</f>
        <v>0.6111111111</v>
      </c>
      <c r="U602" s="57">
        <f>IFERROR(__xludf.DUMMYFUNCTION("""COMPUTED_VALUE"""),0.45138888888888884)</f>
        <v>0.4513888889</v>
      </c>
      <c r="V602" s="57">
        <f>IFERROR(__xludf.DUMMYFUNCTION("""COMPUTED_VALUE"""),1.4166666666666663)</f>
        <v>1.416666667</v>
      </c>
      <c r="W602" s="57">
        <f>IFERROR(__xludf.DUMMYFUNCTION("""COMPUTED_VALUE"""),2.3680555555555554)</f>
        <v>2.368055556</v>
      </c>
      <c r="X602" s="31">
        <f>IFERROR(__xludf.DUMMYFUNCTION("""COMPUTED_VALUE"""),353.7926791864886)</f>
        <v>353.7926792</v>
      </c>
      <c r="Y602" s="57">
        <f>IFERROR(__xludf.DUMMYFUNCTION("""COMPUTED_VALUE"""),0.7879360361520665)</f>
        <v>0.7879360362</v>
      </c>
      <c r="Z602" s="57">
        <f>IFERROR(__xludf.DUMMYFUNCTION("""COMPUTED_VALUE"""),0.5911942182685163)</f>
        <v>0.5911942183</v>
      </c>
      <c r="AA602" s="57">
        <f>IFERROR(__xludf.DUMMYFUNCTION("""COMPUTED_VALUE"""),1.3436541438861402)</f>
        <v>1.343654144</v>
      </c>
      <c r="AB602" s="57">
        <f>IFERROR(__xludf.DUMMYFUNCTION("""COMPUTED_VALUE"""),2.5847118799272497)</f>
        <v>2.58471188</v>
      </c>
      <c r="AC602" s="31">
        <f>IFERROR(__xludf.DUMMYFUNCTION("""COMPUTED_VALUE"""),350.9929923553593)</f>
        <v>350.9929924</v>
      </c>
      <c r="AD602" s="57">
        <f>IFERROR(__xludf.DUMMYFUNCTION("""COMPUTED_VALUE"""),0.8108053901232837)</f>
        <v>0.8108053901</v>
      </c>
      <c r="AE602" s="57">
        <f>IFERROR(__xludf.DUMMYFUNCTION("""COMPUTED_VALUE"""),0.5666236361812251)</f>
        <v>0.5666236362</v>
      </c>
      <c r="AF602" s="57">
        <f>IFERROR(__xludf.DUMMYFUNCTION("""COMPUTED_VALUE"""),1.3096615619216687)</f>
        <v>1.309661562</v>
      </c>
      <c r="AG602" s="57">
        <f>IFERROR(__xludf.DUMMYFUNCTION("""COMPUTED_VALUE"""),2.6197658659854866)</f>
        <v>2.619765866</v>
      </c>
      <c r="AH602" s="57">
        <f>IFERROR(__xludf.DUMMYFUNCTION("""COMPUTED_VALUE"""),1.008032945688517)</f>
        <v>1.008032946</v>
      </c>
      <c r="AI602" s="57">
        <f>IFERROR(__xludf.DUMMYFUNCTION("""COMPUTED_VALUE"""),1.002090032820895)</f>
        <v>1.002090033</v>
      </c>
      <c r="AJ602" s="57">
        <f>IFERROR(__xludf.DUMMYFUNCTION("""COMPUTED_VALUE"""),1.1030249359384368)</f>
        <v>1.103024936</v>
      </c>
      <c r="AK602" s="57">
        <f>IFERROR(__xludf.DUMMYFUNCTION("""COMPUTED_VALUE"""),1.0339821416761255)</f>
        <v>1.033982142</v>
      </c>
      <c r="AL602" s="57">
        <f>IFERROR(__xludf.DUMMYFUNCTION("""COMPUTED_VALUE"""),1.0576644918193936)</f>
        <v>1.057664492</v>
      </c>
      <c r="AM602" s="57">
        <f>IFERROR(__xludf.DUMMYFUNCTION("""COMPUTED_VALUE"""),0.9301979424191277)</f>
        <v>0.9301979424</v>
      </c>
      <c r="AN602" s="57">
        <f>IFERROR(__xludf.DUMMYFUNCTION("""COMPUTED_VALUE"""),0.7755846706739157)</f>
        <v>0.7755846707</v>
      </c>
      <c r="AO602" s="57">
        <f>IFERROR(__xludf.DUMMYFUNCTION("""COMPUTED_VALUE"""),0.7635204725291667)</f>
        <v>0.7635204725</v>
      </c>
      <c r="AP602" s="35">
        <f>IFERROR(__xludf.DUMMYFUNCTION("""COMPUTED_VALUE"""),1.0543387769187076)</f>
        <v>1.054338777</v>
      </c>
      <c r="AQ602" s="57">
        <f>IFERROR(__xludf.DUMMYFUNCTION("""COMPUTED_VALUE"""),0.9161777658646455)</f>
        <v>0.9161777659</v>
      </c>
      <c r="AR602" s="36" t="b">
        <f>IFERROR(__xludf.DUMMYFUNCTION("""COMPUTED_VALUE"""),TRUE)</f>
        <v>1</v>
      </c>
      <c r="AS602" s="57"/>
      <c r="AT602" s="37"/>
      <c r="AU602" s="30"/>
      <c r="AV602" s="30"/>
      <c r="AW602" s="30"/>
      <c r="AX602" s="30"/>
      <c r="AY602" s="30"/>
      <c r="AZ602" s="30"/>
    </row>
    <row r="603">
      <c r="A603" s="30" t="str">
        <f>IFERROR(__xludf.DUMMYFUNCTION("""COMPUTED_VALUE"""),"Rival")</f>
        <v>Rival</v>
      </c>
      <c r="B603" s="30" t="str">
        <f>IFERROR(__xludf.DUMMYFUNCTION("""COMPUTED_VALUE"""),"RSC005165")</f>
        <v>RSC005165</v>
      </c>
      <c r="C603" s="30" t="str">
        <f>IFERROR(__xludf.DUMMYFUNCTION("""COMPUTED_VALUE"""),"Lucas")</f>
        <v>Lucas</v>
      </c>
      <c r="D603" s="31" t="str">
        <f>IFERROR(__xludf.DUMMYFUNCTION("""COMPUTED_VALUE"""),"Stolen")</f>
        <v>Stolen</v>
      </c>
      <c r="E603" s="31">
        <f>IFERROR(__xludf.DUMMYFUNCTION("""COMPUTED_VALUE"""),65.13235865059941)</f>
        <v>65.13235865</v>
      </c>
      <c r="F603" s="31">
        <f>IFERROR(__xludf.DUMMYFUNCTION("""COMPUTED_VALUE"""),3.6698362966063756)</f>
        <v>3.669836297</v>
      </c>
      <c r="G603" s="31">
        <f>IFERROR(__xludf.DUMMYFUNCTION("""COMPUTED_VALUE"""),56.1707869881743)</f>
        <v>56.17078699</v>
      </c>
      <c r="H603" s="31">
        <f>IFERROR(__xludf.DUMMYFUNCTION("""COMPUTED_VALUE"""),2.484352779253339)</f>
        <v>2.484352779</v>
      </c>
      <c r="I603" s="54">
        <f>IFERROR(__xludf.DUMMYFUNCTION("""COMPUTED_VALUE"""),47.0)</f>
        <v>47</v>
      </c>
      <c r="J603" s="55">
        <f>IFERROR(__xludf.DUMMYFUNCTION("""COMPUTED_VALUE"""),32.0)</f>
        <v>32</v>
      </c>
      <c r="K603" s="54">
        <f>IFERROR(__xludf.DUMMYFUNCTION("""COMPUTED_VALUE"""),15.0)</f>
        <v>15</v>
      </c>
      <c r="L603" s="56">
        <f>IFERROR(__xludf.DUMMYFUNCTION("""COMPUTED_VALUE"""),0.6808510638297872)</f>
        <v>0.6808510638</v>
      </c>
      <c r="M603" s="56">
        <f>IFERROR(__xludf.DUMMYFUNCTION("""COMPUTED_VALUE"""),0.28148148148148144)</f>
        <v>0.2814814815</v>
      </c>
      <c r="N603" s="31">
        <f>IFERROR(__xludf.DUMMYFUNCTION("""COMPUTED_VALUE"""),357.3191489361702)</f>
        <v>357.3191489</v>
      </c>
      <c r="O603" s="57">
        <f>IFERROR(__xludf.DUMMYFUNCTION("""COMPUTED_VALUE"""),0.8085106382978723)</f>
        <v>0.8085106383</v>
      </c>
      <c r="P603" s="57">
        <f>IFERROR(__xludf.DUMMYFUNCTION("""COMPUTED_VALUE"""),0.6595744680851063)</f>
        <v>0.6595744681</v>
      </c>
      <c r="Q603" s="57">
        <f>IFERROR(__xludf.DUMMYFUNCTION("""COMPUTED_VALUE"""),1.3191489361702127)</f>
        <v>1.319148936</v>
      </c>
      <c r="R603" s="57">
        <f>IFERROR(__xludf.DUMMYFUNCTION("""COMPUTED_VALUE"""),2.872340425531915)</f>
        <v>2.872340426</v>
      </c>
      <c r="S603" s="31">
        <f>IFERROR(__xludf.DUMMYFUNCTION("""COMPUTED_VALUE"""),342.29787234042556)</f>
        <v>342.2978723</v>
      </c>
      <c r="T603" s="57">
        <f>IFERROR(__xludf.DUMMYFUNCTION("""COMPUTED_VALUE"""),0.7234042553191488)</f>
        <v>0.7234042553</v>
      </c>
      <c r="U603" s="57">
        <f>IFERROR(__xludf.DUMMYFUNCTION("""COMPUTED_VALUE"""),0.5744680851063829)</f>
        <v>0.5744680851</v>
      </c>
      <c r="V603" s="57">
        <f>IFERROR(__xludf.DUMMYFUNCTION("""COMPUTED_VALUE"""),1.3900709219858158)</f>
        <v>1.390070922</v>
      </c>
      <c r="W603" s="57">
        <f>IFERROR(__xludf.DUMMYFUNCTION("""COMPUTED_VALUE"""),2.4680851063829783)</f>
        <v>2.468085106</v>
      </c>
      <c r="X603" s="31">
        <f>IFERROR(__xludf.DUMMYFUNCTION("""COMPUTED_VALUE"""),352.4198959618145)</f>
        <v>352.419896</v>
      </c>
      <c r="Y603" s="57">
        <f>IFERROR(__xludf.DUMMYFUNCTION("""COMPUTED_VALUE"""),0.8252250890665445)</f>
        <v>0.8252250891</v>
      </c>
      <c r="Z603" s="57">
        <f>IFERROR(__xludf.DUMMYFUNCTION("""COMPUTED_VALUE"""),0.5814892503840797)</f>
        <v>0.5814892504</v>
      </c>
      <c r="AA603" s="57">
        <f>IFERROR(__xludf.DUMMYFUNCTION("""COMPUTED_VALUE"""),1.3197349958121078)</f>
        <v>1.319734996</v>
      </c>
      <c r="AB603" s="57">
        <f>IFERROR(__xludf.DUMMYFUNCTION("""COMPUTED_VALUE"""),2.641388689016673)</f>
        <v>2.641388689</v>
      </c>
      <c r="AC603" s="31">
        <f>IFERROR(__xludf.DUMMYFUNCTION("""COMPUTED_VALUE"""),348.6438344672942)</f>
        <v>348.6438345</v>
      </c>
      <c r="AD603" s="57">
        <f>IFERROR(__xludf.DUMMYFUNCTION("""COMPUTED_VALUE"""),0.7917585313429122)</f>
        <v>0.7917585313</v>
      </c>
      <c r="AE603" s="57">
        <f>IFERROR(__xludf.DUMMYFUNCTION("""COMPUTED_VALUE"""),0.5637514338725982)</f>
        <v>0.5637514339</v>
      </c>
      <c r="AF603" s="57">
        <f>IFERROR(__xludf.DUMMYFUNCTION("""COMPUTED_VALUE"""),1.3214418971383086)</f>
        <v>1.321441897</v>
      </c>
      <c r="AG603" s="57">
        <f>IFERROR(__xludf.DUMMYFUNCTION("""COMPUTED_VALUE"""),2.603818005275803)</f>
        <v>2.603818005</v>
      </c>
      <c r="AH603" s="57">
        <f>IFERROR(__xludf.DUMMYFUNCTION("""COMPUTED_VALUE"""),1.0248830284985)</f>
        <v>1.024883028</v>
      </c>
      <c r="AI603" s="57">
        <f>IFERROR(__xludf.DUMMYFUNCTION("""COMPUTED_VALUE"""),1.0211581009762492)</f>
        <v>1.021158101</v>
      </c>
      <c r="AJ603" s="57">
        <f>IFERROR(__xludf.DUMMYFUNCTION("""COMPUTED_VALUE"""),1.1699739077455955)</f>
        <v>1.169973908</v>
      </c>
      <c r="AK603" s="57">
        <f>IFERROR(__xludf.DUMMYFUNCTION("""COMPUTED_VALUE"""),0.9982648037926892)</f>
        <v>0.9982648038</v>
      </c>
      <c r="AL603" s="57">
        <f>IFERROR(__xludf.DUMMYFUNCTION("""COMPUTED_VALUE"""),1.1031264165590826)</f>
        <v>1.103126417</v>
      </c>
      <c r="AM603" s="57">
        <f>IFERROR(__xludf.DUMMYFUNCTION("""COMPUTED_VALUE"""),0.9712785125432143)</f>
        <v>0.9712785125</v>
      </c>
      <c r="AN603" s="57">
        <f>IFERROR(__xludf.DUMMYFUNCTION("""COMPUTED_VALUE"""),0.8766144714982301)</f>
        <v>0.8766144715</v>
      </c>
      <c r="AO603" s="57">
        <f>IFERROR(__xludf.DUMMYFUNCTION("""COMPUTED_VALUE"""),0.9879255458754237)</f>
        <v>0.9879255459</v>
      </c>
      <c r="AP603" s="35">
        <f>IFERROR(__xludf.DUMMYFUNCTION("""COMPUTED_VALUE"""),1.0532954921987396)</f>
        <v>1.053295492</v>
      </c>
      <c r="AQ603" s="57">
        <f>IFERROR(__xludf.DUMMYFUNCTION("""COMPUTED_VALUE"""),0.934389216038397)</f>
        <v>0.934389216</v>
      </c>
      <c r="AR603" s="36" t="b">
        <f>IFERROR(__xludf.DUMMYFUNCTION("""COMPUTED_VALUE"""),TRUE)</f>
        <v>1</v>
      </c>
      <c r="AS603" s="57"/>
      <c r="AT603" s="37"/>
      <c r="AU603" s="30"/>
      <c r="AV603" s="30"/>
      <c r="AW603" s="30"/>
      <c r="AX603" s="30"/>
      <c r="AY603" s="30"/>
      <c r="AZ603" s="30"/>
    </row>
    <row r="604">
      <c r="A604" s="30" t="str">
        <f>IFERROR(__xludf.DUMMYFUNCTION("""COMPUTED_VALUE"""),"Rival")</f>
        <v>Rival</v>
      </c>
      <c r="B604" s="30" t="str">
        <f>IFERROR(__xludf.DUMMYFUNCTION("""COMPUTED_VALUE"""),"RSC007555")</f>
        <v>RSC007555</v>
      </c>
      <c r="C604" s="30" t="str">
        <f>IFERROR(__xludf.DUMMYFUNCTION("""COMPUTED_VALUE"""),"cjAstr0-")</f>
        <v>cjAstr0-</v>
      </c>
      <c r="D604" s="31" t="str">
        <f>IFERROR(__xludf.DUMMYFUNCTION("""COMPUTED_VALUE"""),"Asiago Arsonists")</f>
        <v>Asiago Arsonists</v>
      </c>
      <c r="E604" s="31">
        <f>IFERROR(__xludf.DUMMYFUNCTION("""COMPUTED_VALUE"""),64.08914200332624)</f>
        <v>64.089142</v>
      </c>
      <c r="F604" s="31">
        <f>IFERROR(__xludf.DUMMYFUNCTION("""COMPUTED_VALUE"""),3.490098378580814)</f>
        <v>3.490098379</v>
      </c>
      <c r="G604" s="31">
        <f>IFERROR(__xludf.DUMMYFUNCTION("""COMPUTED_VALUE"""),54.21393670005835)</f>
        <v>54.2139367</v>
      </c>
      <c r="H604" s="31">
        <f>IFERROR(__xludf.DUMMYFUNCTION("""COMPUTED_VALUE"""),2.309082897649769)</f>
        <v>2.309082898</v>
      </c>
      <c r="I604" s="54">
        <f>IFERROR(__xludf.DUMMYFUNCTION("""COMPUTED_VALUE"""),29.0)</f>
        <v>29</v>
      </c>
      <c r="J604" s="55">
        <f>IFERROR(__xludf.DUMMYFUNCTION("""COMPUTED_VALUE"""),17.0)</f>
        <v>17</v>
      </c>
      <c r="K604" s="54">
        <f>IFERROR(__xludf.DUMMYFUNCTION("""COMPUTED_VALUE"""),12.0)</f>
        <v>12</v>
      </c>
      <c r="L604" s="56">
        <f>IFERROR(__xludf.DUMMYFUNCTION("""COMPUTED_VALUE"""),0.5862068965517241)</f>
        <v>0.5862068966</v>
      </c>
      <c r="M604" s="56">
        <f>IFERROR(__xludf.DUMMYFUNCTION("""COMPUTED_VALUE"""),0.32926829268292684)</f>
        <v>0.3292682927</v>
      </c>
      <c r="N604" s="31">
        <f>IFERROR(__xludf.DUMMYFUNCTION("""COMPUTED_VALUE"""),344.2413793103448)</f>
        <v>344.2413793</v>
      </c>
      <c r="O604" s="57">
        <f>IFERROR(__xludf.DUMMYFUNCTION("""COMPUTED_VALUE"""),0.9310344827586207)</f>
        <v>0.9310344828</v>
      </c>
      <c r="P604" s="57">
        <f>IFERROR(__xludf.DUMMYFUNCTION("""COMPUTED_VALUE"""),0.5172413793103449)</f>
        <v>0.5172413793</v>
      </c>
      <c r="Q604" s="57">
        <f>IFERROR(__xludf.DUMMYFUNCTION("""COMPUTED_VALUE"""),0.9310344827586207)</f>
        <v>0.9310344828</v>
      </c>
      <c r="R604" s="57">
        <f>IFERROR(__xludf.DUMMYFUNCTION("""COMPUTED_VALUE"""),2.8275862068965516)</f>
        <v>2.827586207</v>
      </c>
      <c r="S604" s="31">
        <f>IFERROR(__xludf.DUMMYFUNCTION("""COMPUTED_VALUE"""),349.55172413793105)</f>
        <v>349.5517241</v>
      </c>
      <c r="T604" s="57">
        <f>IFERROR(__xludf.DUMMYFUNCTION("""COMPUTED_VALUE"""),0.7701149425287355)</f>
        <v>0.7701149425</v>
      </c>
      <c r="U604" s="57">
        <f>IFERROR(__xludf.DUMMYFUNCTION("""COMPUTED_VALUE"""),0.5632183908045977)</f>
        <v>0.5632183908</v>
      </c>
      <c r="V604" s="57">
        <f>IFERROR(__xludf.DUMMYFUNCTION("""COMPUTED_VALUE"""),1.3793103448275863)</f>
        <v>1.379310345</v>
      </c>
      <c r="W604" s="57">
        <f>IFERROR(__xludf.DUMMYFUNCTION("""COMPUTED_VALUE"""),2.4022988505747125)</f>
        <v>2.402298851</v>
      </c>
      <c r="X604" s="31">
        <f>IFERROR(__xludf.DUMMYFUNCTION("""COMPUTED_VALUE"""),357.23434750942675)</f>
        <v>357.2343475</v>
      </c>
      <c r="Y604" s="57">
        <f>IFERROR(__xludf.DUMMYFUNCTION("""COMPUTED_VALUE"""),0.8196430089495865)</f>
        <v>0.8196430089</v>
      </c>
      <c r="Z604" s="57">
        <f>IFERROR(__xludf.DUMMYFUNCTION("""COMPUTED_VALUE"""),0.6092750954713178)</f>
        <v>0.6092750955</v>
      </c>
      <c r="AA604" s="57">
        <f>IFERROR(__xludf.DUMMYFUNCTION("""COMPUTED_VALUE"""),1.3428539142243936)</f>
        <v>1.342853914</v>
      </c>
      <c r="AB604" s="57">
        <f>IFERROR(__xludf.DUMMYFUNCTION("""COMPUTED_VALUE"""),2.6591677729477055)</f>
        <v>2.659167773</v>
      </c>
      <c r="AC604" s="31">
        <f>IFERROR(__xludf.DUMMYFUNCTION("""COMPUTED_VALUE"""),345.95748241866005)</f>
        <v>345.9574824</v>
      </c>
      <c r="AD604" s="57">
        <f>IFERROR(__xludf.DUMMYFUNCTION("""COMPUTED_VALUE"""),0.7728641722918904)</f>
        <v>0.7728641723</v>
      </c>
      <c r="AE604" s="57">
        <f>IFERROR(__xludf.DUMMYFUNCTION("""COMPUTED_VALUE"""),0.559579932427472)</f>
        <v>0.5595799324</v>
      </c>
      <c r="AF604" s="57">
        <f>IFERROR(__xludf.DUMMYFUNCTION("""COMPUTED_VALUE"""),1.3280831929477164)</f>
        <v>1.328083193</v>
      </c>
      <c r="AG604" s="57">
        <f>IFERROR(__xludf.DUMMYFUNCTION("""COMPUTED_VALUE"""),2.606461369961136)</f>
        <v>2.60646137</v>
      </c>
      <c r="AH604" s="57">
        <f>IFERROR(__xludf.DUMMYFUNCTION("""COMPUTED_VALUE"""),0.9950395548715478)</f>
        <v>0.9950395549</v>
      </c>
      <c r="AI604" s="57">
        <f>IFERROR(__xludf.DUMMYFUNCTION("""COMPUTED_VALUE"""),1.2046547325355812)</f>
        <v>1.204654733</v>
      </c>
      <c r="AJ604" s="57">
        <f>IFERROR(__xludf.DUMMYFUNCTION("""COMPUTED_VALUE"""),0.9243386857468935)</f>
        <v>0.9243386857</v>
      </c>
      <c r="AK604" s="57">
        <f>IFERROR(__xludf.DUMMYFUNCTION("""COMPUTED_VALUE"""),0.7010362661786003)</f>
        <v>0.7010362662</v>
      </c>
      <c r="AL604" s="57">
        <f>IFERROR(__xludf.DUMMYFUNCTION("""COMPUTED_VALUE"""),1.0848371817375957)</f>
        <v>1.084837182</v>
      </c>
      <c r="AM604" s="57">
        <f>IFERROR(__xludf.DUMMYFUNCTION("""COMPUTED_VALUE"""),0.9784941637749629)</f>
        <v>0.9784941638</v>
      </c>
      <c r="AN604" s="57">
        <f>IFERROR(__xludf.DUMMYFUNCTION("""COMPUTED_VALUE"""),0.9395736120725)</f>
        <v>0.9395736121</v>
      </c>
      <c r="AO604" s="57">
        <f>IFERROR(__xludf.DUMMYFUNCTION("""COMPUTED_VALUE"""),0.9244073736001109)</f>
        <v>0.9244073736</v>
      </c>
      <c r="AP604" s="35">
        <f>IFERROR(__xludf.DUMMYFUNCTION("""COMPUTED_VALUE"""),1.0271484710414307)</f>
        <v>1.027148471</v>
      </c>
      <c r="AQ604" s="57">
        <f>IFERROR(__xludf.DUMMYFUNCTION("""COMPUTED_VALUE"""),0.9034025137540487)</f>
        <v>0.9034025138</v>
      </c>
      <c r="AR604" s="36" t="b">
        <f>IFERROR(__xludf.DUMMYFUNCTION("""COMPUTED_VALUE"""),TRUE)</f>
        <v>1</v>
      </c>
      <c r="AS604" s="57"/>
      <c r="AT604" s="37"/>
      <c r="AU604" s="30"/>
      <c r="AV604" s="30"/>
      <c r="AW604" s="30"/>
      <c r="AX604" s="30"/>
      <c r="AY604" s="30"/>
      <c r="AZ604" s="30"/>
    </row>
    <row r="605">
      <c r="A605" s="30" t="str">
        <f>IFERROR(__xludf.DUMMYFUNCTION("""COMPUTED_VALUE"""),"Rival")</f>
        <v>Rival</v>
      </c>
      <c r="B605" s="30" t="str">
        <f>IFERROR(__xludf.DUMMYFUNCTION("""COMPUTED_VALUE"""),"RSC006490")</f>
        <v>RSC006490</v>
      </c>
      <c r="C605" s="30" t="str">
        <f>IFERROR(__xludf.DUMMYFUNCTION("""COMPUTED_VALUE"""),"Dayz")</f>
        <v>Dayz</v>
      </c>
      <c r="D605" s="31" t="str">
        <f>IFERROR(__xludf.DUMMYFUNCTION("""COMPUTED_VALUE"""),"Stolen")</f>
        <v>Stolen</v>
      </c>
      <c r="E605" s="31">
        <f>IFERROR(__xludf.DUMMYFUNCTION("""COMPUTED_VALUE"""),63.932110271287094)</f>
        <v>63.93211027</v>
      </c>
      <c r="F605" s="31">
        <f>IFERROR(__xludf.DUMMYFUNCTION("""COMPUTED_VALUE"""),3.4642044831635297)</f>
        <v>3.464204483</v>
      </c>
      <c r="G605" s="31">
        <f>IFERROR(__xludf.DUMMYFUNCTION("""COMPUTED_VALUE"""),56.18774402751485)</f>
        <v>56.18774403</v>
      </c>
      <c r="H605" s="31">
        <f>IFERROR(__xludf.DUMMYFUNCTION("""COMPUTED_VALUE"""),2.4859737068976107)</f>
        <v>2.485973707</v>
      </c>
      <c r="I605" s="54">
        <f>IFERROR(__xludf.DUMMYFUNCTION("""COMPUTED_VALUE"""),44.0)</f>
        <v>44</v>
      </c>
      <c r="J605" s="55">
        <f>IFERROR(__xludf.DUMMYFUNCTION("""COMPUTED_VALUE"""),30.0)</f>
        <v>30</v>
      </c>
      <c r="K605" s="54">
        <f>IFERROR(__xludf.DUMMYFUNCTION("""COMPUTED_VALUE"""),14.0)</f>
        <v>14</v>
      </c>
      <c r="L605" s="56">
        <f>IFERROR(__xludf.DUMMYFUNCTION("""COMPUTED_VALUE"""),0.6818181818181818)</f>
        <v>0.6818181818</v>
      </c>
      <c r="M605" s="56">
        <f>IFERROR(__xludf.DUMMYFUNCTION("""COMPUTED_VALUE"""),0.3425925925925926)</f>
        <v>0.3425925926</v>
      </c>
      <c r="N605" s="31">
        <f>IFERROR(__xludf.DUMMYFUNCTION("""COMPUTED_VALUE"""),370.3181818181818)</f>
        <v>370.3181818</v>
      </c>
      <c r="O605" s="57">
        <f>IFERROR(__xludf.DUMMYFUNCTION("""COMPUTED_VALUE"""),0.8409090909090909)</f>
        <v>0.8409090909</v>
      </c>
      <c r="P605" s="57">
        <f>IFERROR(__xludf.DUMMYFUNCTION("""COMPUTED_VALUE"""),0.6590909090909091)</f>
        <v>0.6590909091</v>
      </c>
      <c r="Q605" s="57">
        <f>IFERROR(__xludf.DUMMYFUNCTION("""COMPUTED_VALUE"""),1.4545454545454546)</f>
        <v>1.454545455</v>
      </c>
      <c r="R605" s="57">
        <f>IFERROR(__xludf.DUMMYFUNCTION("""COMPUTED_VALUE"""),2.4545454545454546)</f>
        <v>2.454545455</v>
      </c>
      <c r="S605" s="31">
        <f>IFERROR(__xludf.DUMMYFUNCTION("""COMPUTED_VALUE"""),341.65909090909093)</f>
        <v>341.6590909</v>
      </c>
      <c r="T605" s="57">
        <f>IFERROR(__xludf.DUMMYFUNCTION("""COMPUTED_VALUE"""),0.7196969696969696)</f>
        <v>0.7196969697</v>
      </c>
      <c r="U605" s="57">
        <f>IFERROR(__xludf.DUMMYFUNCTION("""COMPUTED_VALUE"""),0.5757575757575757)</f>
        <v>0.5757575758</v>
      </c>
      <c r="V605" s="57">
        <f>IFERROR(__xludf.DUMMYFUNCTION("""COMPUTED_VALUE"""),1.3939393939393943)</f>
        <v>1.393939394</v>
      </c>
      <c r="W605" s="57">
        <f>IFERROR(__xludf.DUMMYFUNCTION("""COMPUTED_VALUE"""),2.4318181818181817)</f>
        <v>2.431818182</v>
      </c>
      <c r="X605" s="31">
        <f>IFERROR(__xludf.DUMMYFUNCTION("""COMPUTED_VALUE"""),352.653941864879)</f>
        <v>352.6539419</v>
      </c>
      <c r="Y605" s="57">
        <f>IFERROR(__xludf.DUMMYFUNCTION("""COMPUTED_VALUE"""),0.8197648689626057)</f>
        <v>0.819764869</v>
      </c>
      <c r="Z605" s="57">
        <f>IFERROR(__xludf.DUMMYFUNCTION("""COMPUTED_VALUE"""),0.5753623192608195)</f>
        <v>0.5753623193</v>
      </c>
      <c r="AA605" s="57">
        <f>IFERROR(__xludf.DUMMYFUNCTION("""COMPUTED_VALUE"""),1.3349901156497037)</f>
        <v>1.334990116</v>
      </c>
      <c r="AB605" s="57">
        <f>IFERROR(__xludf.DUMMYFUNCTION("""COMPUTED_VALUE"""),2.6314508264980394)</f>
        <v>2.631450826</v>
      </c>
      <c r="AC605" s="31">
        <f>IFERROR(__xludf.DUMMYFUNCTION("""COMPUTED_VALUE"""),347.8761978352203)</f>
        <v>347.8761978</v>
      </c>
      <c r="AD605" s="57">
        <f>IFERROR(__xludf.DUMMYFUNCTION("""COMPUTED_VALUE"""),0.7825301382594574)</f>
        <v>0.7825301383</v>
      </c>
      <c r="AE605" s="57">
        <f>IFERROR(__xludf.DUMMYFUNCTION("""COMPUTED_VALUE"""),0.5613393594388858)</f>
        <v>0.5613393594</v>
      </c>
      <c r="AF605" s="57">
        <f>IFERROR(__xludf.DUMMYFUNCTION("""COMPUTED_VALUE"""),1.3219315117828374)</f>
        <v>1.321931512</v>
      </c>
      <c r="AG605" s="57">
        <f>IFERROR(__xludf.DUMMYFUNCTION("""COMPUTED_VALUE"""),2.6013802215682778)</f>
        <v>2.601380222</v>
      </c>
      <c r="AH605" s="57">
        <f>IFERROR(__xludf.DUMMYFUNCTION("""COMPUTED_VALUE"""),1.0645114098711395)</f>
        <v>1.06451141</v>
      </c>
      <c r="AI605" s="57">
        <f>IFERROR(__xludf.DUMMYFUNCTION("""COMPUTED_VALUE"""),1.0746028169336492)</f>
        <v>1.074602817</v>
      </c>
      <c r="AJ605" s="57">
        <f>IFERROR(__xludf.DUMMYFUNCTION("""COMPUTED_VALUE"""),1.1741398460812291)</f>
        <v>1.174139846</v>
      </c>
      <c r="AK605" s="57">
        <f>IFERROR(__xludf.DUMMYFUNCTION("""COMPUTED_VALUE"""),1.100318315722549)</f>
        <v>1.100318316</v>
      </c>
      <c r="AL605" s="57">
        <f>IFERROR(__xludf.DUMMYFUNCTION("""COMPUTED_VALUE"""),0.943555053657515)</f>
        <v>0.9435550537</v>
      </c>
      <c r="AM605" s="57">
        <f>IFERROR(__xludf.DUMMYFUNCTION("""COMPUTED_VALUE"""),0.9688225491039575)</f>
        <v>0.9688225491</v>
      </c>
      <c r="AN605" s="57">
        <f>IFERROR(__xludf.DUMMYFUNCTION("""COMPUTED_VALUE"""),0.8779309738019515)</f>
        <v>0.8779309738</v>
      </c>
      <c r="AO605" s="57">
        <f>IFERROR(__xludf.DUMMYFUNCTION("""COMPUTED_VALUE"""),1.0006869697293768)</f>
        <v>1.00068697</v>
      </c>
      <c r="AP605" s="35">
        <f>IFERROR(__xludf.DUMMYFUNCTION("""COMPUTED_VALUE"""),1.044157089703246)</f>
        <v>1.04415709</v>
      </c>
      <c r="AQ605" s="57">
        <f>IFERROR(__xludf.DUMMYFUNCTION("""COMPUTED_VALUE"""),0.9241359015074088)</f>
        <v>0.9241359015</v>
      </c>
      <c r="AR605" s="36" t="b">
        <f>IFERROR(__xludf.DUMMYFUNCTION("""COMPUTED_VALUE"""),TRUE)</f>
        <v>1</v>
      </c>
      <c r="AS605" s="57"/>
      <c r="AT605" s="37"/>
      <c r="AU605" s="30"/>
      <c r="AV605" s="30"/>
      <c r="AW605" s="30"/>
      <c r="AX605" s="30"/>
      <c r="AY605" s="30"/>
      <c r="AZ605" s="30"/>
    </row>
    <row r="606">
      <c r="A606" s="30" t="str">
        <f>IFERROR(__xludf.DUMMYFUNCTION("""COMPUTED_VALUE"""),"Rival")</f>
        <v>Rival</v>
      </c>
      <c r="B606" s="30" t="str">
        <f>IFERROR(__xludf.DUMMYFUNCTION("""COMPUTED_VALUE"""),"RSC007144")</f>
        <v>RSC007144</v>
      </c>
      <c r="C606" s="30" t="str">
        <f>IFERROR(__xludf.DUMMYFUNCTION("""COMPUTED_VALUE"""),"The_Killerwon")</f>
        <v>The_Killerwon</v>
      </c>
      <c r="D606" s="31" t="str">
        <f>IFERROR(__xludf.DUMMYFUNCTION("""COMPUTED_VALUE"""),"Wind")</f>
        <v>Wind</v>
      </c>
      <c r="E606" s="31">
        <f>IFERROR(__xludf.DUMMYFUNCTION("""COMPUTED_VALUE"""),63.035886511824444)</f>
        <v>63.03588651</v>
      </c>
      <c r="F606" s="31">
        <f>IFERROR(__xludf.DUMMYFUNCTION("""COMPUTED_VALUE"""),3.3219089877232464)</f>
        <v>3.321908988</v>
      </c>
      <c r="G606" s="31">
        <f>IFERROR(__xludf.DUMMYFUNCTION("""COMPUTED_VALUE"""),46.272855987977536)</f>
        <v>46.27285599</v>
      </c>
      <c r="H606" s="31">
        <f>IFERROR(__xludf.DUMMYFUNCTION("""COMPUTED_VALUE"""),-2.268896030857609)</f>
        <v>-2.268896031</v>
      </c>
      <c r="I606" s="54">
        <f>IFERROR(__xludf.DUMMYFUNCTION("""COMPUTED_VALUE"""),40.0)</f>
        <v>40</v>
      </c>
      <c r="J606" s="55">
        <f>IFERROR(__xludf.DUMMYFUNCTION("""COMPUTED_VALUE"""),22.0)</f>
        <v>22</v>
      </c>
      <c r="K606" s="54">
        <f>IFERROR(__xludf.DUMMYFUNCTION("""COMPUTED_VALUE"""),18.0)</f>
        <v>18</v>
      </c>
      <c r="L606" s="56">
        <f>IFERROR(__xludf.DUMMYFUNCTION("""COMPUTED_VALUE"""),0.55)</f>
        <v>0.55</v>
      </c>
      <c r="M606" s="56">
        <f>IFERROR(__xludf.DUMMYFUNCTION("""COMPUTED_VALUE"""),0.38392857142857145)</f>
        <v>0.3839285714</v>
      </c>
      <c r="N606" s="31">
        <f>IFERROR(__xludf.DUMMYFUNCTION("""COMPUTED_VALUE"""),364.925)</f>
        <v>364.925</v>
      </c>
      <c r="O606" s="57">
        <f>IFERROR(__xludf.DUMMYFUNCTION("""COMPUTED_VALUE"""),1.075)</f>
        <v>1.075</v>
      </c>
      <c r="P606" s="57">
        <f>IFERROR(__xludf.DUMMYFUNCTION("""COMPUTED_VALUE"""),0.475)</f>
        <v>0.475</v>
      </c>
      <c r="Q606" s="57">
        <f>IFERROR(__xludf.DUMMYFUNCTION("""COMPUTED_VALUE"""),1.25)</f>
        <v>1.25</v>
      </c>
      <c r="R606" s="57">
        <f>IFERROR(__xludf.DUMMYFUNCTION("""COMPUTED_VALUE"""),2.8)</f>
        <v>2.8</v>
      </c>
      <c r="S606" s="31">
        <f>IFERROR(__xludf.DUMMYFUNCTION("""COMPUTED_VALUE"""),369.0083333333333)</f>
        <v>369.0083333</v>
      </c>
      <c r="T606" s="57">
        <f>IFERROR(__xludf.DUMMYFUNCTION("""COMPUTED_VALUE"""),0.8500000000000002)</f>
        <v>0.85</v>
      </c>
      <c r="U606" s="57">
        <f>IFERROR(__xludf.DUMMYFUNCTION("""COMPUTED_VALUE"""),0.6250000000000001)</f>
        <v>0.625</v>
      </c>
      <c r="V606" s="57">
        <f>IFERROR(__xludf.DUMMYFUNCTION("""COMPUTED_VALUE"""),1.4333333333333331)</f>
        <v>1.433333333</v>
      </c>
      <c r="W606" s="57">
        <f>IFERROR(__xludf.DUMMYFUNCTION("""COMPUTED_VALUE"""),2.7750000000000004)</f>
        <v>2.775</v>
      </c>
      <c r="X606" s="31">
        <f>IFERROR(__xludf.DUMMYFUNCTION("""COMPUTED_VALUE"""),347.9753112594432)</f>
        <v>347.9753113</v>
      </c>
      <c r="Y606" s="57">
        <f>IFERROR(__xludf.DUMMYFUNCTION("""COMPUTED_VALUE"""),0.7928140942532125)</f>
        <v>0.7928140943</v>
      </c>
      <c r="Z606" s="57">
        <f>IFERROR(__xludf.DUMMYFUNCTION("""COMPUTED_VALUE"""),0.5544284973297935)</f>
        <v>0.5544284973</v>
      </c>
      <c r="AA606" s="57">
        <f>IFERROR(__xludf.DUMMYFUNCTION("""COMPUTED_VALUE"""),1.315614808253054)</f>
        <v>1.315614808</v>
      </c>
      <c r="AB606" s="57">
        <f>IFERROR(__xludf.DUMMYFUNCTION("""COMPUTED_VALUE"""),2.6307494765850516)</f>
        <v>2.630749477</v>
      </c>
      <c r="AC606" s="31">
        <f>IFERROR(__xludf.DUMMYFUNCTION("""COMPUTED_VALUE"""),354.68109946898295)</f>
        <v>354.6810995</v>
      </c>
      <c r="AD606" s="57">
        <f>IFERROR(__xludf.DUMMYFUNCTION("""COMPUTED_VALUE"""),0.8304059399456085)</f>
        <v>0.8304059399</v>
      </c>
      <c r="AE606" s="57">
        <f>IFERROR(__xludf.DUMMYFUNCTION("""COMPUTED_VALUE"""),0.5784356040578921)</f>
        <v>0.5784356041</v>
      </c>
      <c r="AF606" s="57">
        <f>IFERROR(__xludf.DUMMYFUNCTION("""COMPUTED_VALUE"""),1.3452977266676496)</f>
        <v>1.345297727</v>
      </c>
      <c r="AG606" s="57">
        <f>IFERROR(__xludf.DUMMYFUNCTION("""COMPUTED_VALUE"""),2.6186452293061784)</f>
        <v>2.618645229</v>
      </c>
      <c r="AH606" s="57">
        <f>IFERROR(__xludf.DUMMYFUNCTION("""COMPUTED_VALUE"""),1.028882002864979)</f>
        <v>1.028882003</v>
      </c>
      <c r="AI606" s="57">
        <f>IFERROR(__xludf.DUMMYFUNCTION("""COMPUTED_VALUE"""),1.2945475800310535)</f>
        <v>1.29454758</v>
      </c>
      <c r="AJ606" s="57">
        <f>IFERROR(__xludf.DUMMYFUNCTION("""COMPUTED_VALUE"""),0.8211804333407875)</f>
        <v>0.8211804333</v>
      </c>
      <c r="AK606" s="57">
        <f>IFERROR(__xludf.DUMMYFUNCTION("""COMPUTED_VALUE"""),0.9291623521109298)</f>
        <v>0.9291623521</v>
      </c>
      <c r="AL606" s="57">
        <f>IFERROR(__xludf.DUMMYFUNCTION("""COMPUTED_VALUE"""),1.0692551891582016)</f>
        <v>1.069255189</v>
      </c>
      <c r="AM606" s="57">
        <f>IFERROR(__xludf.DUMMYFUNCTION("""COMPUTED_VALUE"""),1.0604440067824477)</f>
        <v>1.060444007</v>
      </c>
      <c r="AN606" s="57">
        <f>IFERROR(__xludf.DUMMYFUNCTION("""COMPUTED_VALUE"""),1.0721302839610258)</f>
        <v>1.072130284</v>
      </c>
      <c r="AO606" s="57">
        <f>IFERROR(__xludf.DUMMYFUNCTION("""COMPUTED_VALUE"""),1.1272869324179566)</f>
        <v>1.127286932</v>
      </c>
      <c r="AP606" s="35">
        <f>IFERROR(__xludf.DUMMYFUNCTION("""COMPUTED_VALUE"""),1.089477956877509)</f>
        <v>1.089477957</v>
      </c>
      <c r="AQ606" s="57">
        <f>IFERROR(__xludf.DUMMYFUNCTION("""COMPUTED_VALUE"""),1.0548324820355752)</f>
        <v>1.054832482</v>
      </c>
      <c r="AR606" s="36" t="b">
        <f>IFERROR(__xludf.DUMMYFUNCTION("""COMPUTED_VALUE"""),TRUE)</f>
        <v>1</v>
      </c>
      <c r="AS606" s="57"/>
      <c r="AT606" s="37"/>
      <c r="AU606" s="30"/>
      <c r="AV606" s="30"/>
      <c r="AW606" s="30"/>
      <c r="AX606" s="30"/>
      <c r="AY606" s="30"/>
      <c r="AZ606" s="30"/>
    </row>
    <row r="607">
      <c r="A607" s="30" t="str">
        <f>IFERROR(__xludf.DUMMYFUNCTION("""COMPUTED_VALUE"""),"Rival")</f>
        <v>Rival</v>
      </c>
      <c r="B607" s="30" t="str">
        <f>IFERROR(__xludf.DUMMYFUNCTION("""COMPUTED_VALUE"""),"RSC002036")</f>
        <v>RSC002036</v>
      </c>
      <c r="C607" s="30" t="str">
        <f>IFERROR(__xludf.DUMMYFUNCTION("""COMPUTED_VALUE"""),"Reno")</f>
        <v>Reno</v>
      </c>
      <c r="D607" s="31" t="str">
        <f>IFERROR(__xludf.DUMMYFUNCTION("""COMPUTED_VALUE"""),"Polar Ice")</f>
        <v>Polar Ice</v>
      </c>
      <c r="E607" s="31">
        <f>IFERROR(__xludf.DUMMYFUNCTION("""COMPUTED_VALUE"""),62.98370665087882)</f>
        <v>62.98370665</v>
      </c>
      <c r="F607" s="31">
        <f>IFERROR(__xludf.DUMMYFUNCTION("""COMPUTED_VALUE"""),3.313903360875606)</f>
        <v>3.313903361</v>
      </c>
      <c r="G607" s="31">
        <f>IFERROR(__xludf.DUMMYFUNCTION("""COMPUTED_VALUE"""),54.84024209315975)</f>
        <v>54.84024209</v>
      </c>
      <c r="H607" s="31">
        <f>IFERROR(__xludf.DUMMYFUNCTION("""COMPUTED_VALUE"""),2.3627214111578687)</f>
        <v>2.362721411</v>
      </c>
      <c r="I607" s="54">
        <f>IFERROR(__xludf.DUMMYFUNCTION("""COMPUTED_VALUE"""),46.0)</f>
        <v>46</v>
      </c>
      <c r="J607" s="55">
        <f>IFERROR(__xludf.DUMMYFUNCTION("""COMPUTED_VALUE"""),20.0)</f>
        <v>20</v>
      </c>
      <c r="K607" s="54">
        <f>IFERROR(__xludf.DUMMYFUNCTION("""COMPUTED_VALUE"""),26.0)</f>
        <v>26</v>
      </c>
      <c r="L607" s="56">
        <f>IFERROR(__xludf.DUMMYFUNCTION("""COMPUTED_VALUE"""),0.43478260869565216)</f>
        <v>0.4347826087</v>
      </c>
      <c r="M607" s="56">
        <f>IFERROR(__xludf.DUMMYFUNCTION("""COMPUTED_VALUE"""),0.28187919463087246)</f>
        <v>0.2818791946</v>
      </c>
      <c r="N607" s="31">
        <f>IFERROR(__xludf.DUMMYFUNCTION("""COMPUTED_VALUE"""),378.54347826086956)</f>
        <v>378.5434783</v>
      </c>
      <c r="O607" s="57">
        <f>IFERROR(__xludf.DUMMYFUNCTION("""COMPUTED_VALUE"""),0.9130434782608695)</f>
        <v>0.9130434783</v>
      </c>
      <c r="P607" s="57">
        <f>IFERROR(__xludf.DUMMYFUNCTION("""COMPUTED_VALUE"""),0.43478260869565216)</f>
        <v>0.4347826087</v>
      </c>
      <c r="Q607" s="57">
        <f>IFERROR(__xludf.DUMMYFUNCTION("""COMPUTED_VALUE"""),1.4565217391304348)</f>
        <v>1.456521739</v>
      </c>
      <c r="R607" s="57">
        <f>IFERROR(__xludf.DUMMYFUNCTION("""COMPUTED_VALUE"""),3.239130434782609)</f>
        <v>3.239130435</v>
      </c>
      <c r="S607" s="31">
        <f>IFERROR(__xludf.DUMMYFUNCTION("""COMPUTED_VALUE"""),372.5507246376811)</f>
        <v>372.5507246</v>
      </c>
      <c r="T607" s="57">
        <f>IFERROR(__xludf.DUMMYFUNCTION("""COMPUTED_VALUE"""),0.8623188405797101)</f>
        <v>0.8623188406</v>
      </c>
      <c r="U607" s="57">
        <f>IFERROR(__xludf.DUMMYFUNCTION("""COMPUTED_VALUE"""),0.601449275362319)</f>
        <v>0.6014492754</v>
      </c>
      <c r="V607" s="57">
        <f>IFERROR(__xludf.DUMMYFUNCTION("""COMPUTED_VALUE"""),1.4130434782608698)</f>
        <v>1.413043478</v>
      </c>
      <c r="W607" s="57">
        <f>IFERROR(__xludf.DUMMYFUNCTION("""COMPUTED_VALUE"""),2.746376811594203)</f>
        <v>2.746376812</v>
      </c>
      <c r="X607" s="31">
        <f>IFERROR(__xludf.DUMMYFUNCTION("""COMPUTED_VALUE"""),355.5488613663643)</f>
        <v>355.5488614</v>
      </c>
      <c r="Y607" s="57">
        <f>IFERROR(__xludf.DUMMYFUNCTION("""COMPUTED_VALUE"""),0.81491087863969)</f>
        <v>0.8149108786</v>
      </c>
      <c r="Z607" s="57">
        <f>IFERROR(__xludf.DUMMYFUNCTION("""COMPUTED_VALUE"""),0.5776910267016208)</f>
        <v>0.5776910267</v>
      </c>
      <c r="AA607" s="57">
        <f>IFERROR(__xludf.DUMMYFUNCTION("""COMPUTED_VALUE"""),1.342699424213606)</f>
        <v>1.342699424</v>
      </c>
      <c r="AB607" s="57">
        <f>IFERROR(__xludf.DUMMYFUNCTION("""COMPUTED_VALUE"""),2.679326760010315)</f>
        <v>2.67932676</v>
      </c>
      <c r="AC607" s="31">
        <f>IFERROR(__xludf.DUMMYFUNCTION("""COMPUTED_VALUE"""),347.7813835454734)</f>
        <v>347.7813835</v>
      </c>
      <c r="AD607" s="57">
        <f>IFERROR(__xludf.DUMMYFUNCTION("""COMPUTED_VALUE"""),0.7802100664465104)</f>
        <v>0.7802100664</v>
      </c>
      <c r="AE607" s="57">
        <f>IFERROR(__xludf.DUMMYFUNCTION("""COMPUTED_VALUE"""),0.5621160226138098)</f>
        <v>0.5621160226</v>
      </c>
      <c r="AF607" s="57">
        <f>IFERROR(__xludf.DUMMYFUNCTION("""COMPUTED_VALUE"""),1.332823550098077)</f>
        <v>1.33282355</v>
      </c>
      <c r="AG607" s="57">
        <f>IFERROR(__xludf.DUMMYFUNCTION("""COMPUTED_VALUE"""),2.5977278823539423)</f>
        <v>2.597727882</v>
      </c>
      <c r="AH607" s="57">
        <f>IFERROR(__xludf.DUMMYFUNCTION("""COMPUTED_VALUE"""),1.0884523904120187)</f>
        <v>1.08845239</v>
      </c>
      <c r="AI607" s="57">
        <f>IFERROR(__xludf.DUMMYFUNCTION("""COMPUTED_VALUE"""),1.1702533939601072)</f>
        <v>1.170253394</v>
      </c>
      <c r="AJ607" s="57">
        <f>IFERROR(__xludf.DUMMYFUNCTION("""COMPUTED_VALUE"""),0.7734748543084327)</f>
        <v>0.7734748543</v>
      </c>
      <c r="AK607" s="57">
        <f>IFERROR(__xludf.DUMMYFUNCTION("""COMPUTED_VALUE"""),1.0928091261767212)</f>
        <v>1.092809126</v>
      </c>
      <c r="AL607" s="57">
        <f>IFERROR(__xludf.DUMMYFUNCTION("""COMPUTED_VALUE"""),1.2469090611012947)</f>
        <v>1.246909061</v>
      </c>
      <c r="AM607" s="57">
        <f>IFERROR(__xludf.DUMMYFUNCTION("""COMPUTED_VALUE"""),1.047818640751595)</f>
        <v>1.047818641</v>
      </c>
      <c r="AN607" s="57">
        <f>IFERROR(__xludf.DUMMYFUNCTION("""COMPUTED_VALUE"""),1.058175640039506)</f>
        <v>1.05817564</v>
      </c>
      <c r="AO607" s="57">
        <f>IFERROR(__xludf.DUMMYFUNCTION("""COMPUTED_VALUE"""),1.0411262207002732)</f>
        <v>1.041126221</v>
      </c>
      <c r="AP607" s="35">
        <f>IFERROR(__xludf.DUMMYFUNCTION("""COMPUTED_VALUE"""),1.05239002324624)</f>
        <v>1.052390023</v>
      </c>
      <c r="AQ607" s="57">
        <f>IFERROR(__xludf.DUMMYFUNCTION("""COMPUTED_VALUE"""),1.0250249624587149)</f>
        <v>1.025024962</v>
      </c>
      <c r="AR607" s="36" t="b">
        <f>IFERROR(__xludf.DUMMYFUNCTION("""COMPUTED_VALUE"""),TRUE)</f>
        <v>1</v>
      </c>
      <c r="AS607" s="57"/>
      <c r="AT607" s="37"/>
      <c r="AU607" s="30"/>
      <c r="AV607" s="30"/>
      <c r="AW607" s="30"/>
      <c r="AX607" s="30"/>
      <c r="AY607" s="30"/>
      <c r="AZ607" s="30"/>
    </row>
    <row r="608">
      <c r="A608" s="30" t="str">
        <f>IFERROR(__xludf.DUMMYFUNCTION("""COMPUTED_VALUE"""),"Rival")</f>
        <v>Rival</v>
      </c>
      <c r="B608" s="30" t="str">
        <f>IFERROR(__xludf.DUMMYFUNCTION("""COMPUTED_VALUE"""),"RSC000763")</f>
        <v>RSC000763</v>
      </c>
      <c r="C608" s="30" t="str">
        <f>IFERROR(__xludf.DUMMYFUNCTION("""COMPUTED_VALUE"""),"Tenched")</f>
        <v>Tenched</v>
      </c>
      <c r="D608" s="31"/>
      <c r="E608" s="31">
        <f>IFERROR(__xludf.DUMMYFUNCTION("""COMPUTED_VALUE"""),62.04910506337345)</f>
        <v>62.04910506</v>
      </c>
      <c r="F608" s="31">
        <f>IFERROR(__xludf.DUMMYFUNCTION("""COMPUTED_VALUE"""),3.175453105592315)</f>
        <v>3.175453106</v>
      </c>
      <c r="G608" s="31">
        <f>IFERROR(__xludf.DUMMYFUNCTION("""COMPUTED_VALUE"""),46.8959853782363)</f>
        <v>46.89598538</v>
      </c>
      <c r="H608" s="31">
        <f>IFERROR(__xludf.DUMMYFUNCTION("""COMPUTED_VALUE"""),-2.219292437086584)</f>
        <v>-2.219292437</v>
      </c>
      <c r="I608" s="54">
        <f>IFERROR(__xludf.DUMMYFUNCTION("""COMPUTED_VALUE"""),13.0)</f>
        <v>13</v>
      </c>
      <c r="J608" s="55">
        <f>IFERROR(__xludf.DUMMYFUNCTION("""COMPUTED_VALUE"""),5.0)</f>
        <v>5</v>
      </c>
      <c r="K608" s="54">
        <f>IFERROR(__xludf.DUMMYFUNCTION("""COMPUTED_VALUE"""),8.0)</f>
        <v>8</v>
      </c>
      <c r="L608" s="56">
        <f>IFERROR(__xludf.DUMMYFUNCTION("""COMPUTED_VALUE"""),0.38461538461538464)</f>
        <v>0.3846153846</v>
      </c>
      <c r="M608" s="56">
        <f>IFERROR(__xludf.DUMMYFUNCTION("""COMPUTED_VALUE"""),0.3488372093023256)</f>
        <v>0.3488372093</v>
      </c>
      <c r="N608" s="31">
        <f>IFERROR(__xludf.DUMMYFUNCTION("""COMPUTED_VALUE"""),394.15384615384613)</f>
        <v>394.1538462</v>
      </c>
      <c r="O608" s="57">
        <f>IFERROR(__xludf.DUMMYFUNCTION("""COMPUTED_VALUE"""),1.1538461538461537)</f>
        <v>1.153846154</v>
      </c>
      <c r="P608" s="57">
        <f>IFERROR(__xludf.DUMMYFUNCTION("""COMPUTED_VALUE"""),0.3076923076923077)</f>
        <v>0.3076923077</v>
      </c>
      <c r="Q608" s="57">
        <f>IFERROR(__xludf.DUMMYFUNCTION("""COMPUTED_VALUE"""),1.4615384615384615)</f>
        <v>1.461538462</v>
      </c>
      <c r="R608" s="57">
        <f>IFERROR(__xludf.DUMMYFUNCTION("""COMPUTED_VALUE"""),3.3076923076923075)</f>
        <v>3.307692308</v>
      </c>
      <c r="S608" s="31">
        <f>IFERROR(__xludf.DUMMYFUNCTION("""COMPUTED_VALUE"""),429.15384615384613)</f>
        <v>429.1538462</v>
      </c>
      <c r="T608" s="57">
        <f>IFERROR(__xludf.DUMMYFUNCTION("""COMPUTED_VALUE"""),1.1025641025641026)</f>
        <v>1.102564103</v>
      </c>
      <c r="U608" s="57">
        <f>IFERROR(__xludf.DUMMYFUNCTION("""COMPUTED_VALUE"""),0.8205128205128206)</f>
        <v>0.8205128205</v>
      </c>
      <c r="V608" s="57">
        <f>IFERROR(__xludf.DUMMYFUNCTION("""COMPUTED_VALUE"""),1.6153846153846154)</f>
        <v>1.615384615</v>
      </c>
      <c r="W608" s="57">
        <f>IFERROR(__xludf.DUMMYFUNCTION("""COMPUTED_VALUE"""),3.0512820512820515)</f>
        <v>3.051282051</v>
      </c>
      <c r="X608" s="31">
        <f>IFERROR(__xludf.DUMMYFUNCTION("""COMPUTED_VALUE"""),348.06146394429703)</f>
        <v>348.0614639</v>
      </c>
      <c r="Y608" s="57">
        <f>IFERROR(__xludf.DUMMYFUNCTION("""COMPUTED_VALUE"""),0.7738584551436334)</f>
        <v>0.7738584551</v>
      </c>
      <c r="Z608" s="57">
        <f>IFERROR(__xludf.DUMMYFUNCTION("""COMPUTED_VALUE"""),0.5616019481873141)</f>
        <v>0.5616019482</v>
      </c>
      <c r="AA608" s="57">
        <f>IFERROR(__xludf.DUMMYFUNCTION("""COMPUTED_VALUE"""),1.2971346456337076)</f>
        <v>1.297134646</v>
      </c>
      <c r="AB608" s="57">
        <f>IFERROR(__xludf.DUMMYFUNCTION("""COMPUTED_VALUE"""),2.588963503316224)</f>
        <v>2.588963503</v>
      </c>
      <c r="AC608" s="31">
        <f>IFERROR(__xludf.DUMMYFUNCTION("""COMPUTED_VALUE"""),339.9304797425029)</f>
        <v>339.9304797</v>
      </c>
      <c r="AD608" s="57">
        <f>IFERROR(__xludf.DUMMYFUNCTION("""COMPUTED_VALUE"""),0.7517998979224744)</f>
        <v>0.7517998979</v>
      </c>
      <c r="AE608" s="57">
        <f>IFERROR(__xludf.DUMMYFUNCTION("""COMPUTED_VALUE"""),0.5493304867601302)</f>
        <v>0.5493304868</v>
      </c>
      <c r="AF608" s="57">
        <f>IFERROR(__xludf.DUMMYFUNCTION("""COMPUTED_VALUE"""),1.299455577082219)</f>
        <v>1.299455577</v>
      </c>
      <c r="AG608" s="57">
        <f>IFERROR(__xludf.DUMMYFUNCTION("""COMPUTED_VALUE"""),2.540476775905169)</f>
        <v>2.540476776</v>
      </c>
      <c r="AH608" s="57">
        <f>IFERROR(__xludf.DUMMYFUNCTION("""COMPUTED_VALUE"""),1.1595131053044063)</f>
        <v>1.159513105</v>
      </c>
      <c r="AI608" s="57">
        <f>IFERROR(__xludf.DUMMYFUNCTION("""COMPUTED_VALUE"""),1.5347782794792804)</f>
        <v>1.534778279</v>
      </c>
      <c r="AJ608" s="57">
        <f>IFERROR(__xludf.DUMMYFUNCTION("""COMPUTED_VALUE"""),0.5601223946390294)</f>
        <v>0.5601223946</v>
      </c>
      <c r="AK608" s="57">
        <f>IFERROR(__xludf.DUMMYFUNCTION("""COMPUTED_VALUE"""),1.1247313777514283)</f>
        <v>1.124731378</v>
      </c>
      <c r="AL608" s="57">
        <f>IFERROR(__xludf.DUMMYFUNCTION("""COMPUTED_VALUE"""),1.3019966720671086)</f>
        <v>1.301996672</v>
      </c>
      <c r="AM608" s="57">
        <f>IFERROR(__xludf.DUMMYFUNCTION("""COMPUTED_VALUE"""),1.2329829372392886)</f>
        <v>1.232982937</v>
      </c>
      <c r="AN608" s="57">
        <f>IFERROR(__xludf.DUMMYFUNCTION("""COMPUTED_VALUE"""),1.4247619771233995)</f>
        <v>1.424761977</v>
      </c>
      <c r="AO608" s="57">
        <f>IFERROR(__xludf.DUMMYFUNCTION("""COMPUTED_VALUE"""),1.4610220337753361)</f>
        <v>1.461022034</v>
      </c>
      <c r="AP608" s="35">
        <f>IFERROR(__xludf.DUMMYFUNCTION("""COMPUTED_VALUE"""),1.2453484461479545)</f>
        <v>1.245348446</v>
      </c>
      <c r="AQ608" s="57">
        <f>IFERROR(__xludf.DUMMYFUNCTION("""COMPUTED_VALUE"""),1.1785728332491516)</f>
        <v>1.178572833</v>
      </c>
      <c r="AR608" s="36" t="b">
        <f>IFERROR(__xludf.DUMMYFUNCTION("""COMPUTED_VALUE"""),TRUE)</f>
        <v>1</v>
      </c>
      <c r="AS608" s="57"/>
      <c r="AT608" s="37"/>
      <c r="AU608" s="30"/>
      <c r="AV608" s="30"/>
      <c r="AW608" s="30"/>
      <c r="AX608" s="30"/>
      <c r="AY608" s="30"/>
      <c r="AZ608" s="30"/>
    </row>
    <row r="609">
      <c r="A609" s="30" t="str">
        <f>IFERROR(__xludf.DUMMYFUNCTION("""COMPUTED_VALUE"""),"Rival")</f>
        <v>Rival</v>
      </c>
      <c r="B609" s="30" t="str">
        <f>IFERROR(__xludf.DUMMYFUNCTION("""COMPUTED_VALUE"""),"RSC007697")</f>
        <v>RSC007697</v>
      </c>
      <c r="C609" s="30" t="str">
        <f>IFERROR(__xludf.DUMMYFUNCTION("""COMPUTED_VALUE"""),"Commander Lucas")</f>
        <v>Commander Lucas</v>
      </c>
      <c r="D609" s="31" t="str">
        <f>IFERROR(__xludf.DUMMYFUNCTION("""COMPUTED_VALUE"""),"Blizzards")</f>
        <v>Blizzards</v>
      </c>
      <c r="E609" s="31">
        <f>IFERROR(__xludf.DUMMYFUNCTION("""COMPUTED_VALUE"""),61.323590651859384)</f>
        <v>61.32359065</v>
      </c>
      <c r="F609" s="31">
        <f>IFERROR(__xludf.DUMMYFUNCTION("""COMPUTED_VALUE"""),3.0741358494289215)</f>
        <v>3.074135849</v>
      </c>
      <c r="G609" s="31">
        <f>IFERROR(__xludf.DUMMYFUNCTION("""COMPUTED_VALUE"""),48.00837266986734)</f>
        <v>48.00837267</v>
      </c>
      <c r="H609" s="31">
        <f>IFERROR(__xludf.DUMMYFUNCTION("""COMPUTED_VALUE"""),-2.1356030573458393)</f>
        <v>-2.135603057</v>
      </c>
      <c r="I609" s="54">
        <f>IFERROR(__xludf.DUMMYFUNCTION("""COMPUTED_VALUE"""),19.0)</f>
        <v>19</v>
      </c>
      <c r="J609" s="55">
        <f>IFERROR(__xludf.DUMMYFUNCTION("""COMPUTED_VALUE"""),7.0)</f>
        <v>7</v>
      </c>
      <c r="K609" s="54">
        <f>IFERROR(__xludf.DUMMYFUNCTION("""COMPUTED_VALUE"""),12.0)</f>
        <v>12</v>
      </c>
      <c r="L609" s="56">
        <f>IFERROR(__xludf.DUMMYFUNCTION("""COMPUTED_VALUE"""),0.3684210526315789)</f>
        <v>0.3684210526</v>
      </c>
      <c r="M609" s="56">
        <f>IFERROR(__xludf.DUMMYFUNCTION("""COMPUTED_VALUE"""),0.31746031746031744)</f>
        <v>0.3174603175</v>
      </c>
      <c r="N609" s="31">
        <f>IFERROR(__xludf.DUMMYFUNCTION("""COMPUTED_VALUE"""),384.4736842105263)</f>
        <v>384.4736842</v>
      </c>
      <c r="O609" s="57">
        <f>IFERROR(__xludf.DUMMYFUNCTION("""COMPUTED_VALUE"""),1.0526315789473684)</f>
        <v>1.052631579</v>
      </c>
      <c r="P609" s="57">
        <f>IFERROR(__xludf.DUMMYFUNCTION("""COMPUTED_VALUE"""),0.3157894736842105)</f>
        <v>0.3157894737</v>
      </c>
      <c r="Q609" s="57">
        <f>IFERROR(__xludf.DUMMYFUNCTION("""COMPUTED_VALUE"""),1.5789473684210527)</f>
        <v>1.578947368</v>
      </c>
      <c r="R609" s="57">
        <f>IFERROR(__xludf.DUMMYFUNCTION("""COMPUTED_VALUE"""),3.3157894736842106)</f>
        <v>3.315789474</v>
      </c>
      <c r="S609" s="31">
        <f>IFERROR(__xludf.DUMMYFUNCTION("""COMPUTED_VALUE"""),401.859649122807)</f>
        <v>401.8596491</v>
      </c>
      <c r="T609" s="57">
        <f>IFERROR(__xludf.DUMMYFUNCTION("""COMPUTED_VALUE"""),0.9999999999999998)</f>
        <v>1</v>
      </c>
      <c r="U609" s="57">
        <f>IFERROR(__xludf.DUMMYFUNCTION("""COMPUTED_VALUE"""),0.6842105263157894)</f>
        <v>0.6842105263</v>
      </c>
      <c r="V609" s="57">
        <f>IFERROR(__xludf.DUMMYFUNCTION("""COMPUTED_VALUE"""),1.6491228070175439)</f>
        <v>1.649122807</v>
      </c>
      <c r="W609" s="57">
        <f>IFERROR(__xludf.DUMMYFUNCTION("""COMPUTED_VALUE"""),2.8596491228070176)</f>
        <v>2.859649123</v>
      </c>
      <c r="X609" s="31">
        <f>IFERROR(__xludf.DUMMYFUNCTION("""COMPUTED_VALUE"""),351.14582251223055)</f>
        <v>351.1458225</v>
      </c>
      <c r="Y609" s="57">
        <f>IFERROR(__xludf.DUMMYFUNCTION("""COMPUTED_VALUE"""),0.7838241099861905)</f>
        <v>0.78382411</v>
      </c>
      <c r="Z609" s="57">
        <f>IFERROR(__xludf.DUMMYFUNCTION("""COMPUTED_VALUE"""),0.5232510797168647)</f>
        <v>0.5232510797</v>
      </c>
      <c r="AA609" s="57">
        <f>IFERROR(__xludf.DUMMYFUNCTION("""COMPUTED_VALUE"""),1.3907763448988324)</f>
        <v>1.390776345</v>
      </c>
      <c r="AB609" s="57">
        <f>IFERROR(__xludf.DUMMYFUNCTION("""COMPUTED_VALUE"""),2.490037801780765)</f>
        <v>2.490037802</v>
      </c>
      <c r="AC609" s="31">
        <f>IFERROR(__xludf.DUMMYFUNCTION("""COMPUTED_VALUE"""),338.369005912369)</f>
        <v>338.3690059</v>
      </c>
      <c r="AD609" s="57">
        <f>IFERROR(__xludf.DUMMYFUNCTION("""COMPUTED_VALUE"""),0.7439086231466575)</f>
        <v>0.7439086231</v>
      </c>
      <c r="AE609" s="57">
        <f>IFERROR(__xludf.DUMMYFUNCTION("""COMPUTED_VALUE"""),0.5224433763608238)</f>
        <v>0.5224433764</v>
      </c>
      <c r="AF609" s="57">
        <f>IFERROR(__xludf.DUMMYFUNCTION("""COMPUTED_VALUE"""),1.2664145278071102)</f>
        <v>1.266414528</v>
      </c>
      <c r="AG609" s="57">
        <f>IFERROR(__xludf.DUMMYFUNCTION("""COMPUTED_VALUE"""),2.579554200519502)</f>
        <v>2.579554201</v>
      </c>
      <c r="AH609" s="57">
        <f>IFERROR(__xludf.DUMMYFUNCTION("""COMPUTED_VALUE"""),1.1362556188438178)</f>
        <v>1.136255619</v>
      </c>
      <c r="AI609" s="57">
        <f>IFERROR(__xludf.DUMMYFUNCTION("""COMPUTED_VALUE"""),1.415001179170157)</f>
        <v>1.415001179</v>
      </c>
      <c r="AJ609" s="57">
        <f>IFERROR(__xludf.DUMMYFUNCTION("""COMPUTED_VALUE"""),0.6044472721310022)</f>
        <v>0.6044472721</v>
      </c>
      <c r="AK609" s="57">
        <f>IFERROR(__xludf.DUMMYFUNCTION("""COMPUTED_VALUE"""),1.246785577511588)</f>
        <v>1.246785578</v>
      </c>
      <c r="AL609" s="57">
        <f>IFERROR(__xludf.DUMMYFUNCTION("""COMPUTED_VALUE"""),1.2854118254295401)</f>
        <v>1.285411825</v>
      </c>
      <c r="AM609" s="57">
        <f>IFERROR(__xludf.DUMMYFUNCTION("""COMPUTED_VALUE"""),1.1444238357949141)</f>
        <v>1.144423836</v>
      </c>
      <c r="AN609" s="57">
        <f>IFERROR(__xludf.DUMMYFUNCTION("""COMPUTED_VALUE"""),1.2757964283818954)</f>
        <v>1.275796428</v>
      </c>
      <c r="AO609" s="57">
        <f>IFERROR(__xludf.DUMMYFUNCTION("""COMPUTED_VALUE"""),1.307614170019527)</f>
        <v>1.30761417</v>
      </c>
      <c r="AP609" s="35">
        <f>IFERROR(__xludf.DUMMYFUNCTION("""COMPUTED_VALUE"""),1.1857570148257763)</f>
        <v>1.185757015</v>
      </c>
      <c r="AQ609" s="57">
        <f>IFERROR(__xludf.DUMMYFUNCTION("""COMPUTED_VALUE"""),1.148436028064282)</f>
        <v>1.148436028</v>
      </c>
      <c r="AR609" s="36" t="b">
        <f>IFERROR(__xludf.DUMMYFUNCTION("""COMPUTED_VALUE"""),TRUE)</f>
        <v>1</v>
      </c>
      <c r="AS609" s="57"/>
      <c r="AT609" s="37"/>
      <c r="AU609" s="30"/>
      <c r="AV609" s="30"/>
      <c r="AW609" s="30"/>
      <c r="AX609" s="30"/>
      <c r="AY609" s="30"/>
      <c r="AZ609" s="30"/>
    </row>
    <row r="610">
      <c r="A610" s="30" t="str">
        <f>IFERROR(__xludf.DUMMYFUNCTION("""COMPUTED_VALUE"""),"Rival")</f>
        <v>Rival</v>
      </c>
      <c r="B610" s="30" t="str">
        <f>IFERROR(__xludf.DUMMYFUNCTION("""COMPUTED_VALUE"""),"RSC006944")</f>
        <v>RSC006944</v>
      </c>
      <c r="C610" s="30" t="str">
        <f>IFERROR(__xludf.DUMMYFUNCTION("""COMPUTED_VALUE"""),"Pr9xk")</f>
        <v>Pr9xk</v>
      </c>
      <c r="D610" s="31" t="str">
        <f>IFERROR(__xludf.DUMMYFUNCTION("""COMPUTED_VALUE"""),"Kitsune")</f>
        <v>Kitsune</v>
      </c>
      <c r="E610" s="31">
        <f>IFERROR(__xludf.DUMMYFUNCTION("""COMPUTED_VALUE"""),61.25821138639305)</f>
        <v>61.25821139</v>
      </c>
      <c r="F610" s="31">
        <f>IFERROR(__xludf.DUMMYFUNCTION("""COMPUTED_VALUE"""),3.0652580065701427)</f>
        <v>3.065258007</v>
      </c>
      <c r="G610" s="31">
        <f>IFERROR(__xludf.DUMMYFUNCTION("""COMPUTED_VALUE"""),58.80432228957861)</f>
        <v>58.80432229</v>
      </c>
      <c r="H610" s="31">
        <f>IFERROR(__xludf.DUMMYFUNCTION("""COMPUTED_VALUE"""),2.759729889124638)</f>
        <v>2.759729889</v>
      </c>
      <c r="I610" s="54">
        <f>IFERROR(__xludf.DUMMYFUNCTION("""COMPUTED_VALUE"""),36.0)</f>
        <v>36</v>
      </c>
      <c r="J610" s="55">
        <f>IFERROR(__xludf.DUMMYFUNCTION("""COMPUTED_VALUE"""),21.0)</f>
        <v>21</v>
      </c>
      <c r="K610" s="54">
        <f>IFERROR(__xludf.DUMMYFUNCTION("""COMPUTED_VALUE"""),15.0)</f>
        <v>15</v>
      </c>
      <c r="L610" s="56">
        <f>IFERROR(__xludf.DUMMYFUNCTION("""COMPUTED_VALUE"""),0.5833333333333334)</f>
        <v>0.5833333333</v>
      </c>
      <c r="M610" s="56">
        <f>IFERROR(__xludf.DUMMYFUNCTION("""COMPUTED_VALUE"""),0.31958762886597936)</f>
        <v>0.3195876289</v>
      </c>
      <c r="N610" s="31">
        <f>IFERROR(__xludf.DUMMYFUNCTION("""COMPUTED_VALUE"""),359.3611111111111)</f>
        <v>359.3611111</v>
      </c>
      <c r="O610" s="57">
        <f>IFERROR(__xludf.DUMMYFUNCTION("""COMPUTED_VALUE"""),0.8611111111111112)</f>
        <v>0.8611111111</v>
      </c>
      <c r="P610" s="57">
        <f>IFERROR(__xludf.DUMMYFUNCTION("""COMPUTED_VALUE"""),0.5555555555555556)</f>
        <v>0.5555555556</v>
      </c>
      <c r="Q610" s="57">
        <f>IFERROR(__xludf.DUMMYFUNCTION("""COMPUTED_VALUE"""),1.1944444444444444)</f>
        <v>1.194444444</v>
      </c>
      <c r="R610" s="57">
        <f>IFERROR(__xludf.DUMMYFUNCTION("""COMPUTED_VALUE"""),2.6944444444444446)</f>
        <v>2.694444444</v>
      </c>
      <c r="S610" s="31">
        <f>IFERROR(__xludf.DUMMYFUNCTION("""COMPUTED_VALUE"""),345.53703703703707)</f>
        <v>345.537037</v>
      </c>
      <c r="T610" s="57">
        <f>IFERROR(__xludf.DUMMYFUNCTION("""COMPUTED_VALUE"""),0.7037037037037037)</f>
        <v>0.7037037037</v>
      </c>
      <c r="U610" s="57">
        <f>IFERROR(__xludf.DUMMYFUNCTION("""COMPUTED_VALUE"""),0.4999999999999998)</f>
        <v>0.5</v>
      </c>
      <c r="V610" s="57">
        <f>IFERROR(__xludf.DUMMYFUNCTION("""COMPUTED_VALUE"""),1.4166666666666665)</f>
        <v>1.416666667</v>
      </c>
      <c r="W610" s="57">
        <f>IFERROR(__xludf.DUMMYFUNCTION("""COMPUTED_VALUE"""),2.4537037037037037)</f>
        <v>2.453703704</v>
      </c>
      <c r="X610" s="31">
        <f>IFERROR(__xludf.DUMMYFUNCTION("""COMPUTED_VALUE"""),337.4489881075255)</f>
        <v>337.4489881</v>
      </c>
      <c r="Y610" s="57">
        <f>IFERROR(__xludf.DUMMYFUNCTION("""COMPUTED_VALUE"""),0.7696699119358211)</f>
        <v>0.7696699119</v>
      </c>
      <c r="Z610" s="57">
        <f>IFERROR(__xludf.DUMMYFUNCTION("""COMPUTED_VALUE"""),0.5318639919809742)</f>
        <v>0.531863992</v>
      </c>
      <c r="AA610" s="57">
        <f>IFERROR(__xludf.DUMMYFUNCTION("""COMPUTED_VALUE"""),1.2919230008082616)</f>
        <v>1.291923001</v>
      </c>
      <c r="AB610" s="57">
        <f>IFERROR(__xludf.DUMMYFUNCTION("""COMPUTED_VALUE"""),2.457198549498421)</f>
        <v>2.457198549</v>
      </c>
      <c r="AC610" s="31">
        <f>IFERROR(__xludf.DUMMYFUNCTION("""COMPUTED_VALUE"""),346.7930374107782)</f>
        <v>346.7930374</v>
      </c>
      <c r="AD610" s="57">
        <f>IFERROR(__xludf.DUMMYFUNCTION("""COMPUTED_VALUE"""),0.793003332333266)</f>
        <v>0.7930033323</v>
      </c>
      <c r="AE610" s="57">
        <f>IFERROR(__xludf.DUMMYFUNCTION("""COMPUTED_VALUE"""),0.5635547444160502)</f>
        <v>0.5635547444</v>
      </c>
      <c r="AF610" s="57">
        <f>IFERROR(__xludf.DUMMYFUNCTION("""COMPUTED_VALUE"""),1.317143297015648)</f>
        <v>1.317143297</v>
      </c>
      <c r="AG610" s="57">
        <f>IFERROR(__xludf.DUMMYFUNCTION("""COMPUTED_VALUE"""),2.5478111389748515)</f>
        <v>2.547811139</v>
      </c>
      <c r="AH610" s="57">
        <f>IFERROR(__xludf.DUMMYFUNCTION("""COMPUTED_VALUE"""),1.036240847838724)</f>
        <v>1.036240848</v>
      </c>
      <c r="AI610" s="57">
        <f>IFERROR(__xludf.DUMMYFUNCTION("""COMPUTED_VALUE"""),1.0858858670586549)</f>
        <v>1.085885867</v>
      </c>
      <c r="AJ610" s="57">
        <f>IFERROR(__xludf.DUMMYFUNCTION("""COMPUTED_VALUE"""),0.9858058352986038)</f>
        <v>0.9858058353</v>
      </c>
      <c r="AK610" s="57">
        <f>IFERROR(__xludf.DUMMYFUNCTION("""COMPUTED_VALUE"""),0.9068447200473846)</f>
        <v>0.90684472</v>
      </c>
      <c r="AL610" s="57">
        <f>IFERROR(__xludf.DUMMYFUNCTION("""COMPUTED_VALUE"""),1.0575526589182718)</f>
        <v>1.057552659</v>
      </c>
      <c r="AM610" s="57">
        <f>IFERROR(__xludf.DUMMYFUNCTION("""COMPUTED_VALUE"""),1.023968212128508)</f>
        <v>1.023968212</v>
      </c>
      <c r="AN610" s="57">
        <f>IFERROR(__xludf.DUMMYFUNCTION("""COMPUTED_VALUE"""),0.9142928582641308)</f>
        <v>0.9142928583</v>
      </c>
      <c r="AO610" s="57">
        <f>IFERROR(__xludf.DUMMYFUNCTION("""COMPUTED_VALUE"""),0.9400899619801404)</f>
        <v>0.940089962</v>
      </c>
      <c r="AP610" s="35">
        <f>IFERROR(__xludf.DUMMYFUNCTION("""COMPUTED_VALUE"""),1.0965565794403862)</f>
        <v>1.096556579</v>
      </c>
      <c r="AQ610" s="57">
        <f>IFERROR(__xludf.DUMMYFUNCTION("""COMPUTED_VALUE"""),0.9985777112739096)</f>
        <v>0.9985777113</v>
      </c>
      <c r="AR610" s="36" t="b">
        <f>IFERROR(__xludf.DUMMYFUNCTION("""COMPUTED_VALUE"""),TRUE)</f>
        <v>1</v>
      </c>
      <c r="AS610" s="57"/>
      <c r="AT610" s="37"/>
      <c r="AU610" s="30"/>
      <c r="AV610" s="30"/>
      <c r="AW610" s="30"/>
      <c r="AX610" s="30"/>
      <c r="AY610" s="30"/>
      <c r="AZ610" s="30"/>
    </row>
    <row r="611">
      <c r="A611" s="30" t="str">
        <f>IFERROR(__xludf.DUMMYFUNCTION("""COMPUTED_VALUE"""),"Rival")</f>
        <v>Rival</v>
      </c>
      <c r="B611" s="30" t="str">
        <f>IFERROR(__xludf.DUMMYFUNCTION("""COMPUTED_VALUE"""),"RSC001032")</f>
        <v>RSC001032</v>
      </c>
      <c r="C611" s="30" t="str">
        <f>IFERROR(__xludf.DUMMYFUNCTION("""COMPUTED_VALUE"""),"JmE")</f>
        <v>JmE</v>
      </c>
      <c r="D611" s="31" t="str">
        <f>IFERROR(__xludf.DUMMYFUNCTION("""COMPUTED_VALUE"""),"Blizzards")</f>
        <v>Blizzards</v>
      </c>
      <c r="E611" s="31">
        <f>IFERROR(__xludf.DUMMYFUNCTION("""COMPUTED_VALUE"""),61.227323919003666)</f>
        <v>61.22732392</v>
      </c>
      <c r="F611" s="31">
        <f>IFERROR(__xludf.DUMMYFUNCTION("""COMPUTED_VALUE"""),3.061077990338724)</f>
        <v>3.06107799</v>
      </c>
      <c r="G611" s="31">
        <f>IFERROR(__xludf.DUMMYFUNCTION("""COMPUTED_VALUE"""),46.96601076161615)</f>
        <v>46.96601076</v>
      </c>
      <c r="H611" s="31">
        <f>IFERROR(__xludf.DUMMYFUNCTION("""COMPUTED_VALUE"""),-2.213843466808586)</f>
        <v>-2.213843467</v>
      </c>
      <c r="I611" s="54">
        <f>IFERROR(__xludf.DUMMYFUNCTION("""COMPUTED_VALUE"""),7.0)</f>
        <v>7</v>
      </c>
      <c r="J611" s="55">
        <f>IFERROR(__xludf.DUMMYFUNCTION("""COMPUTED_VALUE"""),2.0)</f>
        <v>2</v>
      </c>
      <c r="K611" s="54">
        <f>IFERROR(__xludf.DUMMYFUNCTION("""COMPUTED_VALUE"""),5.0)</f>
        <v>5</v>
      </c>
      <c r="L611" s="56">
        <f>IFERROR(__xludf.DUMMYFUNCTION("""COMPUTED_VALUE"""),0.2857142857142857)</f>
        <v>0.2857142857</v>
      </c>
      <c r="M611" s="56">
        <f>IFERROR(__xludf.DUMMYFUNCTION("""COMPUTED_VALUE"""),0.2727272727272727)</f>
        <v>0.2727272727</v>
      </c>
      <c r="N611" s="31">
        <f>IFERROR(__xludf.DUMMYFUNCTION("""COMPUTED_VALUE"""),353.7142857142857)</f>
        <v>353.7142857</v>
      </c>
      <c r="O611" s="57">
        <f>IFERROR(__xludf.DUMMYFUNCTION("""COMPUTED_VALUE"""),0.8571428571428571)</f>
        <v>0.8571428571</v>
      </c>
      <c r="P611" s="57">
        <f>IFERROR(__xludf.DUMMYFUNCTION("""COMPUTED_VALUE"""),0.8571428571428571)</f>
        <v>0.8571428571</v>
      </c>
      <c r="Q611" s="57">
        <f>IFERROR(__xludf.DUMMYFUNCTION("""COMPUTED_VALUE"""),1.1428571428571428)</f>
        <v>1.142857143</v>
      </c>
      <c r="R611" s="57">
        <f>IFERROR(__xludf.DUMMYFUNCTION("""COMPUTED_VALUE"""),3.142857142857143)</f>
        <v>3.142857143</v>
      </c>
      <c r="S611" s="31">
        <f>IFERROR(__xludf.DUMMYFUNCTION("""COMPUTED_VALUE"""),490.00000000000006)</f>
        <v>490</v>
      </c>
      <c r="T611" s="57">
        <f>IFERROR(__xludf.DUMMYFUNCTION("""COMPUTED_VALUE"""),1.5714285714285716)</f>
        <v>1.571428571</v>
      </c>
      <c r="U611" s="57">
        <f>IFERROR(__xludf.DUMMYFUNCTION("""COMPUTED_VALUE"""),1.2380952380952384)</f>
        <v>1.238095238</v>
      </c>
      <c r="V611" s="57">
        <f>IFERROR(__xludf.DUMMYFUNCTION("""COMPUTED_VALUE"""),1.4285714285714286)</f>
        <v>1.428571429</v>
      </c>
      <c r="W611" s="57">
        <f>IFERROR(__xludf.DUMMYFUNCTION("""COMPUTED_VALUE"""),2.9999999999999996)</f>
        <v>3</v>
      </c>
      <c r="X611" s="31">
        <f>IFERROR(__xludf.DUMMYFUNCTION("""COMPUTED_VALUE"""),367.3463725711759)</f>
        <v>367.3463726</v>
      </c>
      <c r="Y611" s="57">
        <f>IFERROR(__xludf.DUMMYFUNCTION("""COMPUTED_VALUE"""),0.8761643967956138)</f>
        <v>0.8761643968</v>
      </c>
      <c r="Z611" s="57">
        <f>IFERROR(__xludf.DUMMYFUNCTION("""COMPUTED_VALUE"""),0.6424539421050196)</f>
        <v>0.6424539421</v>
      </c>
      <c r="AA611" s="57">
        <f>IFERROR(__xludf.DUMMYFUNCTION("""COMPUTED_VALUE"""),1.2613063728579264)</f>
        <v>1.261306373</v>
      </c>
      <c r="AB611" s="57">
        <f>IFERROR(__xludf.DUMMYFUNCTION("""COMPUTED_VALUE"""),2.8226737214251933)</f>
        <v>2.822673721</v>
      </c>
      <c r="AC611" s="31">
        <f>IFERROR(__xludf.DUMMYFUNCTION("""COMPUTED_VALUE"""),336.78867205321995)</f>
        <v>336.7886721</v>
      </c>
      <c r="AD611" s="57">
        <f>IFERROR(__xludf.DUMMYFUNCTION("""COMPUTED_VALUE"""),0.680874017680367)</f>
        <v>0.6808740177</v>
      </c>
      <c r="AE611" s="57">
        <f>IFERROR(__xludf.DUMMYFUNCTION("""COMPUTED_VALUE"""),0.4988826768379965)</f>
        <v>0.4988826768</v>
      </c>
      <c r="AF611" s="57">
        <f>IFERROR(__xludf.DUMMYFUNCTION("""COMPUTED_VALUE"""),1.4197983644435268)</f>
        <v>1.419798364</v>
      </c>
      <c r="AG611" s="57">
        <f>IFERROR(__xludf.DUMMYFUNCTION("""COMPUTED_VALUE"""),2.5004849100615103)</f>
        <v>2.50048491</v>
      </c>
      <c r="AH611" s="57">
        <f>IFERROR(__xludf.DUMMYFUNCTION("""COMPUTED_VALUE"""),1.050255887639805)</f>
        <v>1.050255888</v>
      </c>
      <c r="AI611" s="57">
        <f>IFERROR(__xludf.DUMMYFUNCTION("""COMPUTED_VALUE"""),1.2588861300112624)</f>
        <v>1.25888613</v>
      </c>
      <c r="AJ611" s="57">
        <f>IFERROR(__xludf.DUMMYFUNCTION("""COMPUTED_VALUE"""),1.718125116260951)</f>
        <v>1.718125116</v>
      </c>
      <c r="AK611" s="57">
        <f>IFERROR(__xludf.DUMMYFUNCTION("""COMPUTED_VALUE"""),0.8049432732689984)</f>
        <v>0.8049432733</v>
      </c>
      <c r="AL611" s="57">
        <f>IFERROR(__xludf.DUMMYFUNCTION("""COMPUTED_VALUE"""),1.2568990639418938)</f>
        <v>1.256899064</v>
      </c>
      <c r="AM611" s="57">
        <f>IFERROR(__xludf.DUMMYFUNCTION("""COMPUTED_VALUE"""),1.3338909448603828)</f>
        <v>1.333890945</v>
      </c>
      <c r="AN611" s="57">
        <f>IFERROR(__xludf.DUMMYFUNCTION("""COMPUTED_VALUE"""),1.793531644490166)</f>
        <v>1.793531644</v>
      </c>
      <c r="AO611" s="57">
        <f>IFERROR(__xludf.DUMMYFUNCTION("""COMPUTED_VALUE"""),1.927134627018681)</f>
        <v>1.927134627</v>
      </c>
      <c r="AP611" s="35">
        <f>IFERROR(__xludf.DUMMYFUNCTION("""COMPUTED_VALUE"""),1.1326125510128877)</f>
        <v>1.132612551</v>
      </c>
      <c r="AQ611" s="57">
        <f>IFERROR(__xludf.DUMMYFUNCTION("""COMPUTED_VALUE"""),1.0628220956707928)</f>
        <v>1.062822096</v>
      </c>
      <c r="AR611" s="36" t="b">
        <f>IFERROR(__xludf.DUMMYFUNCTION("""COMPUTED_VALUE"""),TRUE)</f>
        <v>1</v>
      </c>
      <c r="AS611" s="57"/>
      <c r="AT611" s="37"/>
      <c r="AU611" s="30"/>
      <c r="AV611" s="30"/>
      <c r="AW611" s="30"/>
      <c r="AX611" s="30"/>
      <c r="AY611" s="30"/>
      <c r="AZ611" s="30"/>
    </row>
    <row r="612">
      <c r="A612" s="30" t="str">
        <f>IFERROR(__xludf.DUMMYFUNCTION("""COMPUTED_VALUE"""),"Rival")</f>
        <v>Rival</v>
      </c>
      <c r="B612" s="30" t="str">
        <f>IFERROR(__xludf.DUMMYFUNCTION("""COMPUTED_VALUE"""),"RSC004665")</f>
        <v>RSC004665</v>
      </c>
      <c r="C612" s="30" t="str">
        <f>IFERROR(__xludf.DUMMYFUNCTION("""COMPUTED_VALUE"""),"xPrism")</f>
        <v>xPrism</v>
      </c>
      <c r="D612" s="31" t="str">
        <f>IFERROR(__xludf.DUMMYFUNCTION("""COMPUTED_VALUE"""),"Polar Ice")</f>
        <v>Polar Ice</v>
      </c>
      <c r="E612" s="31">
        <f>IFERROR(__xludf.DUMMYFUNCTION("""COMPUTED_VALUE"""),60.745278070670686)</f>
        <v>60.74527807</v>
      </c>
      <c r="F612" s="31">
        <f>IFERROR(__xludf.DUMMYFUNCTION("""COMPUTED_VALUE"""),2.9970043091444403)</f>
        <v>2.997004309</v>
      </c>
      <c r="G612" s="31">
        <f>IFERROR(__xludf.DUMMYFUNCTION("""COMPUTED_VALUE"""),50.31086933937734)</f>
        <v>50.31086934</v>
      </c>
      <c r="H612" s="31">
        <f>IFERROR(__xludf.DUMMYFUNCTION("""COMPUTED_VALUE"""),2.02004135177559)</f>
        <v>2.020041352</v>
      </c>
      <c r="I612" s="54">
        <f>IFERROR(__xludf.DUMMYFUNCTION("""COMPUTED_VALUE"""),43.0)</f>
        <v>43</v>
      </c>
      <c r="J612" s="55">
        <f>IFERROR(__xludf.DUMMYFUNCTION("""COMPUTED_VALUE"""),20.0)</f>
        <v>20</v>
      </c>
      <c r="K612" s="54">
        <f>IFERROR(__xludf.DUMMYFUNCTION("""COMPUTED_VALUE"""),23.0)</f>
        <v>23</v>
      </c>
      <c r="L612" s="56">
        <f>IFERROR(__xludf.DUMMYFUNCTION("""COMPUTED_VALUE"""),0.46511627906976744)</f>
        <v>0.4651162791</v>
      </c>
      <c r="M612" s="56">
        <f>IFERROR(__xludf.DUMMYFUNCTION("""COMPUTED_VALUE"""),0.2831858407079646)</f>
        <v>0.2831858407</v>
      </c>
      <c r="N612" s="31">
        <f>IFERROR(__xludf.DUMMYFUNCTION("""COMPUTED_VALUE"""),370.83720930232556)</f>
        <v>370.8372093</v>
      </c>
      <c r="O612" s="57">
        <f>IFERROR(__xludf.DUMMYFUNCTION("""COMPUTED_VALUE"""),0.7441860465116279)</f>
        <v>0.7441860465</v>
      </c>
      <c r="P612" s="57">
        <f>IFERROR(__xludf.DUMMYFUNCTION("""COMPUTED_VALUE"""),0.7209302325581395)</f>
        <v>0.7209302326</v>
      </c>
      <c r="Q612" s="57">
        <f>IFERROR(__xludf.DUMMYFUNCTION("""COMPUTED_VALUE"""),1.302325581395349)</f>
        <v>1.302325581</v>
      </c>
      <c r="R612" s="57">
        <f>IFERROR(__xludf.DUMMYFUNCTION("""COMPUTED_VALUE"""),2.627906976744186)</f>
        <v>2.627906977</v>
      </c>
      <c r="S612" s="31">
        <f>IFERROR(__xludf.DUMMYFUNCTION("""COMPUTED_VALUE"""),372.062015503876)</f>
        <v>372.0620155</v>
      </c>
      <c r="T612" s="57">
        <f>IFERROR(__xludf.DUMMYFUNCTION("""COMPUTED_VALUE"""),0.8449612403100774)</f>
        <v>0.8449612403</v>
      </c>
      <c r="U612" s="57">
        <f>IFERROR(__xludf.DUMMYFUNCTION("""COMPUTED_VALUE"""),0.5736434108527132)</f>
        <v>0.5736434109</v>
      </c>
      <c r="V612" s="57">
        <f>IFERROR(__xludf.DUMMYFUNCTION("""COMPUTED_VALUE"""),1.4573643410852717)</f>
        <v>1.457364341</v>
      </c>
      <c r="W612" s="57">
        <f>IFERROR(__xludf.DUMMYFUNCTION("""COMPUTED_VALUE"""),2.7364341085271318)</f>
        <v>2.736434109</v>
      </c>
      <c r="X612" s="31">
        <f>IFERROR(__xludf.DUMMYFUNCTION("""COMPUTED_VALUE"""),356.6162712204604)</f>
        <v>356.6162712</v>
      </c>
      <c r="Y612" s="57">
        <f>IFERROR(__xludf.DUMMYFUNCTION("""COMPUTED_VALUE"""),0.8187924203976604)</f>
        <v>0.8187924204</v>
      </c>
      <c r="Z612" s="57">
        <f>IFERROR(__xludf.DUMMYFUNCTION("""COMPUTED_VALUE"""),0.5773131884640563)</f>
        <v>0.5773131885</v>
      </c>
      <c r="AA612" s="57">
        <f>IFERROR(__xludf.DUMMYFUNCTION("""COMPUTED_VALUE"""),1.3479572796352415)</f>
        <v>1.34795728</v>
      </c>
      <c r="AB612" s="57">
        <f>IFERROR(__xludf.DUMMYFUNCTION("""COMPUTED_VALUE"""),2.6780585884991357)</f>
        <v>2.678058588</v>
      </c>
      <c r="AC612" s="31">
        <f>IFERROR(__xludf.DUMMYFUNCTION("""COMPUTED_VALUE"""),348.47292637753407)</f>
        <v>348.4729264</v>
      </c>
      <c r="AD612" s="57">
        <f>IFERROR(__xludf.DUMMYFUNCTION("""COMPUTED_VALUE"""),0.7861101417351747)</f>
        <v>0.7861101417</v>
      </c>
      <c r="AE612" s="57">
        <f>IFERROR(__xludf.DUMMYFUNCTION("""COMPUTED_VALUE"""),0.5637294429828899)</f>
        <v>0.563729443</v>
      </c>
      <c r="AF612" s="57">
        <f>IFERROR(__xludf.DUMMYFUNCTION("""COMPUTED_VALUE"""),1.3200246919927903)</f>
        <v>1.320024692</v>
      </c>
      <c r="AG612" s="57">
        <f>IFERROR(__xludf.DUMMYFUNCTION("""COMPUTED_VALUE"""),2.6025445015049375)</f>
        <v>2.602544502</v>
      </c>
      <c r="AH612" s="57">
        <f>IFERROR(__xludf.DUMMYFUNCTION("""COMPUTED_VALUE"""),1.0641779640021793)</f>
        <v>1.064177964</v>
      </c>
      <c r="AI612" s="57">
        <f>IFERROR(__xludf.DUMMYFUNCTION("""COMPUTED_VALUE"""),0.9466689297112895)</f>
        <v>0.9466689297</v>
      </c>
      <c r="AJ612" s="57">
        <f>IFERROR(__xludf.DUMMYFUNCTION("""COMPUTED_VALUE"""),1.2788585757441464)</f>
        <v>1.278858576</v>
      </c>
      <c r="AK612" s="57">
        <f>IFERROR(__xludf.DUMMYFUNCTION("""COMPUTED_VALUE"""),0.9865918336946246)</f>
        <v>0.9865918337</v>
      </c>
      <c r="AL612" s="57">
        <f>IFERROR(__xludf.DUMMYFUNCTION("""COMPUTED_VALUE"""),1.0097452609262136)</f>
        <v>1.009745261</v>
      </c>
      <c r="AM612" s="57">
        <f>IFERROR(__xludf.DUMMYFUNCTION("""COMPUTED_VALUE"""),1.043311944882815)</f>
        <v>1.043311945</v>
      </c>
      <c r="AN612" s="57">
        <f>IFERROR(__xludf.DUMMYFUNCTION("""COMPUTED_VALUE"""),1.031960261551649)</f>
        <v>1.031960262</v>
      </c>
      <c r="AO612" s="57">
        <f>IFERROR(__xludf.DUMMYFUNCTION("""COMPUTED_VALUE"""),0.9936433504644047)</f>
        <v>0.9936433505</v>
      </c>
      <c r="AP612" s="35">
        <f>IFERROR(__xludf.DUMMYFUNCTION("""COMPUTED_VALUE"""),1.081165080750657)</f>
        <v>1.081165081</v>
      </c>
      <c r="AQ612" s="57">
        <f>IFERROR(__xludf.DUMMYFUNCTION("""COMPUTED_VALUE"""),1.0217977008713284)</f>
        <v>1.021797701</v>
      </c>
      <c r="AR612" s="36" t="b">
        <f>IFERROR(__xludf.DUMMYFUNCTION("""COMPUTED_VALUE"""),TRUE)</f>
        <v>1</v>
      </c>
      <c r="AS612" s="57"/>
      <c r="AT612" s="37"/>
      <c r="AU612" s="30"/>
      <c r="AV612" s="30"/>
      <c r="AW612" s="30"/>
      <c r="AX612" s="30"/>
      <c r="AY612" s="30"/>
      <c r="AZ612" s="30"/>
    </row>
    <row r="613">
      <c r="A613" s="30" t="str">
        <f>IFERROR(__xludf.DUMMYFUNCTION("""COMPUTED_VALUE"""),"Rival")</f>
        <v>Rival</v>
      </c>
      <c r="B613" s="30" t="str">
        <f>IFERROR(__xludf.DUMMYFUNCTION("""COMPUTED_VALUE"""),"RSC006138")</f>
        <v>RSC006138</v>
      </c>
      <c r="C613" s="30" t="str">
        <f>IFERROR(__xludf.DUMMYFUNCTION("""COMPUTED_VALUE"""),"NekomancerKoral")</f>
        <v>NekomancerKoral</v>
      </c>
      <c r="D613" s="31" t="str">
        <f>IFERROR(__xludf.DUMMYFUNCTION("""COMPUTED_VALUE"""),"Jetstream")</f>
        <v>Jetstream</v>
      </c>
      <c r="E613" s="31">
        <f>IFERROR(__xludf.DUMMYFUNCTION("""COMPUTED_VALUE"""),60.21664367114545)</f>
        <v>60.21664367</v>
      </c>
      <c r="F613" s="31">
        <f>IFERROR(__xludf.DUMMYFUNCTION("""COMPUTED_VALUE"""),2.9291798671432847)</f>
        <v>2.929179867</v>
      </c>
      <c r="G613" s="31">
        <f>IFERROR(__xludf.DUMMYFUNCTION("""COMPUTED_VALUE"""),40.63986105727044)</f>
        <v>40.63986106</v>
      </c>
      <c r="H613" s="31">
        <f>IFERROR(__xludf.DUMMYFUNCTION("""COMPUTED_VALUE"""),-2.8244494165710923)</f>
        <v>-2.824449417</v>
      </c>
      <c r="I613" s="54">
        <f>IFERROR(__xludf.DUMMYFUNCTION("""COMPUTED_VALUE"""),24.0)</f>
        <v>24</v>
      </c>
      <c r="J613" s="55">
        <f>IFERROR(__xludf.DUMMYFUNCTION("""COMPUTED_VALUE"""),8.0)</f>
        <v>8</v>
      </c>
      <c r="K613" s="54">
        <f>IFERROR(__xludf.DUMMYFUNCTION("""COMPUTED_VALUE"""),16.0)</f>
        <v>16</v>
      </c>
      <c r="L613" s="56">
        <f>IFERROR(__xludf.DUMMYFUNCTION("""COMPUTED_VALUE"""),0.3333333333333333)</f>
        <v>0.3333333333</v>
      </c>
      <c r="M613" s="56">
        <f>IFERROR(__xludf.DUMMYFUNCTION("""COMPUTED_VALUE"""),0.42424242424242425)</f>
        <v>0.4242424242</v>
      </c>
      <c r="N613" s="31">
        <f>IFERROR(__xludf.DUMMYFUNCTION("""COMPUTED_VALUE"""),360.2083333333333)</f>
        <v>360.2083333</v>
      </c>
      <c r="O613" s="57">
        <f>IFERROR(__xludf.DUMMYFUNCTION("""COMPUTED_VALUE"""),1.1666666666666667)</f>
        <v>1.166666667</v>
      </c>
      <c r="P613" s="57">
        <f>IFERROR(__xludf.DUMMYFUNCTION("""COMPUTED_VALUE"""),0.4166666666666667)</f>
        <v>0.4166666667</v>
      </c>
      <c r="Q613" s="57">
        <f>IFERROR(__xludf.DUMMYFUNCTION("""COMPUTED_VALUE"""),1.4583333333333333)</f>
        <v>1.458333333</v>
      </c>
      <c r="R613" s="57">
        <f>IFERROR(__xludf.DUMMYFUNCTION("""COMPUTED_VALUE"""),2.75)</f>
        <v>2.75</v>
      </c>
      <c r="S613" s="31">
        <f>IFERROR(__xludf.DUMMYFUNCTION("""COMPUTED_VALUE"""),376.25)</f>
        <v>376.25</v>
      </c>
      <c r="T613" s="57">
        <f>IFERROR(__xludf.DUMMYFUNCTION("""COMPUTED_VALUE"""),0.9305555555555557)</f>
        <v>0.9305555556</v>
      </c>
      <c r="U613" s="57">
        <f>IFERROR(__xludf.DUMMYFUNCTION("""COMPUTED_VALUE"""),0.7083333333333335)</f>
        <v>0.7083333333</v>
      </c>
      <c r="V613" s="57">
        <f>IFERROR(__xludf.DUMMYFUNCTION("""COMPUTED_VALUE"""),1.3055555555555558)</f>
        <v>1.305555556</v>
      </c>
      <c r="W613" s="57">
        <f>IFERROR(__xludf.DUMMYFUNCTION("""COMPUTED_VALUE"""),3.0555555555555554)</f>
        <v>3.055555556</v>
      </c>
      <c r="X613" s="31">
        <f>IFERROR(__xludf.DUMMYFUNCTION("""COMPUTED_VALUE"""),346.9210680263675)</f>
        <v>346.921068</v>
      </c>
      <c r="Y613" s="57">
        <f>IFERROR(__xludf.DUMMYFUNCTION("""COMPUTED_VALUE"""),0.7792391974876315)</f>
        <v>0.7792391975</v>
      </c>
      <c r="Z613" s="57">
        <f>IFERROR(__xludf.DUMMYFUNCTION("""COMPUTED_VALUE"""),0.5465138778926742)</f>
        <v>0.5465138779</v>
      </c>
      <c r="AA613" s="57">
        <f>IFERROR(__xludf.DUMMYFUNCTION("""COMPUTED_VALUE"""),1.299596466466794)</f>
        <v>1.299596466</v>
      </c>
      <c r="AB613" s="57">
        <f>IFERROR(__xludf.DUMMYFUNCTION("""COMPUTED_VALUE"""),2.635260670366298)</f>
        <v>2.63526067</v>
      </c>
      <c r="AC613" s="31">
        <f>IFERROR(__xludf.DUMMYFUNCTION("""COMPUTED_VALUE"""),354.78820367183556)</f>
        <v>354.7882037</v>
      </c>
      <c r="AD613" s="57">
        <f>IFERROR(__xludf.DUMMYFUNCTION("""COMPUTED_VALUE"""),0.8149276255680972)</f>
        <v>0.8149276256</v>
      </c>
      <c r="AE613" s="57">
        <f>IFERROR(__xludf.DUMMYFUNCTION("""COMPUTED_VALUE"""),0.5927400191427765)</f>
        <v>0.5927400191</v>
      </c>
      <c r="AF613" s="57">
        <f>IFERROR(__xludf.DUMMYFUNCTION("""COMPUTED_VALUE"""),1.3590738349119125)</f>
        <v>1.359073835</v>
      </c>
      <c r="AG613" s="57">
        <f>IFERROR(__xludf.DUMMYFUNCTION("""COMPUTED_VALUE"""),2.629139069157379)</f>
        <v>2.629139069</v>
      </c>
      <c r="AH613" s="57">
        <f>IFERROR(__xludf.DUMMYFUNCTION("""COMPUTED_VALUE"""),1.0152770853297906)</f>
        <v>1.015277085</v>
      </c>
      <c r="AI613" s="57">
        <f>IFERROR(__xludf.DUMMYFUNCTION("""COMPUTED_VALUE"""),1.431619974661391)</f>
        <v>1.431619975</v>
      </c>
      <c r="AJ613" s="57">
        <f>IFERROR(__xludf.DUMMYFUNCTION("""COMPUTED_VALUE"""),0.7029501184503318)</f>
        <v>0.7029501185</v>
      </c>
      <c r="AK613" s="57">
        <f>IFERROR(__xludf.DUMMYFUNCTION("""COMPUTED_VALUE"""),1.0730346621880587)</f>
        <v>1.073034662</v>
      </c>
      <c r="AL613" s="57">
        <f>IFERROR(__xludf.DUMMYFUNCTION("""COMPUTED_VALUE"""),1.0459697747678887)</f>
        <v>1.045969775</v>
      </c>
      <c r="AM613" s="57">
        <f>IFERROR(__xludf.DUMMYFUNCTION("""COMPUTED_VALUE"""),1.0845406482243487)</f>
        <v>1.084540648</v>
      </c>
      <c r="AN613" s="57">
        <f>IFERROR(__xludf.DUMMYFUNCTION("""COMPUTED_VALUE"""),1.1941847362860953)</f>
        <v>1.194184736</v>
      </c>
      <c r="AO613" s="57">
        <f>IFERROR(__xludf.DUMMYFUNCTION("""COMPUTED_VALUE"""),1.2960939547676733)</f>
        <v>1.296093955</v>
      </c>
      <c r="AP613" s="35">
        <f>IFERROR(__xludf.DUMMYFUNCTION("""COMPUTED_VALUE"""),1.0045853380203185)</f>
        <v>1.004585338</v>
      </c>
      <c r="AQ613" s="57">
        <f>IFERROR(__xludf.DUMMYFUNCTION("""COMPUTED_VALUE"""),1.159488922638851)</f>
        <v>1.159488923</v>
      </c>
      <c r="AR613" s="36" t="b">
        <f>IFERROR(__xludf.DUMMYFUNCTION("""COMPUTED_VALUE"""),TRUE)</f>
        <v>1</v>
      </c>
      <c r="AS613" s="57"/>
      <c r="AT613" s="37"/>
      <c r="AU613" s="30"/>
      <c r="AV613" s="30"/>
      <c r="AW613" s="30"/>
      <c r="AX613" s="30"/>
      <c r="AY613" s="30"/>
      <c r="AZ613" s="30"/>
    </row>
    <row r="614">
      <c r="A614" s="30" t="str">
        <f>IFERROR(__xludf.DUMMYFUNCTION("""COMPUTED_VALUE"""),"Rival")</f>
        <v>Rival</v>
      </c>
      <c r="B614" s="30" t="str">
        <f>IFERROR(__xludf.DUMMYFUNCTION("""COMPUTED_VALUE"""),"RSC007293")</f>
        <v>RSC007293</v>
      </c>
      <c r="C614" s="30" t="str">
        <f>IFERROR(__xludf.DUMMYFUNCTION("""COMPUTED_VALUE"""),"YtExplixiit")</f>
        <v>YtExplixiit</v>
      </c>
      <c r="D614" s="31" t="str">
        <f>IFERROR(__xludf.DUMMYFUNCTION("""COMPUTED_VALUE"""),"Ion Imperial")</f>
        <v>Ion Imperial</v>
      </c>
      <c r="E614" s="31">
        <f>IFERROR(__xludf.DUMMYFUNCTION("""COMPUTED_VALUE"""),59.618608431791)</f>
        <v>59.61860843</v>
      </c>
      <c r="F614" s="31">
        <f>IFERROR(__xludf.DUMMYFUNCTION("""COMPUTED_VALUE"""),2.8554017038767636)</f>
        <v>2.855401704</v>
      </c>
      <c r="G614" s="31">
        <f>IFERROR(__xludf.DUMMYFUNCTION("""COMPUTED_VALUE"""),50.9895091363499)</f>
        <v>50.98950914</v>
      </c>
      <c r="H614" s="31">
        <f>IFERROR(__xludf.DUMMYFUNCTION("""COMPUTED_VALUE"""),2.0652032554246955)</f>
        <v>2.065203255</v>
      </c>
      <c r="I614" s="54">
        <f>IFERROR(__xludf.DUMMYFUNCTION("""COMPUTED_VALUE"""),44.0)</f>
        <v>44</v>
      </c>
      <c r="J614" s="55">
        <f>IFERROR(__xludf.DUMMYFUNCTION("""COMPUTED_VALUE"""),27.0)</f>
        <v>27</v>
      </c>
      <c r="K614" s="54">
        <f>IFERROR(__xludf.DUMMYFUNCTION("""COMPUTED_VALUE"""),17.0)</f>
        <v>17</v>
      </c>
      <c r="L614" s="56">
        <f>IFERROR(__xludf.DUMMYFUNCTION("""COMPUTED_VALUE"""),0.6136363636363636)</f>
        <v>0.6136363636</v>
      </c>
      <c r="M614" s="56">
        <f>IFERROR(__xludf.DUMMYFUNCTION("""COMPUTED_VALUE"""),0.27611940298507465)</f>
        <v>0.276119403</v>
      </c>
      <c r="N614" s="31">
        <f>IFERROR(__xludf.DUMMYFUNCTION("""COMPUTED_VALUE"""),320.8636363636364)</f>
        <v>320.8636364</v>
      </c>
      <c r="O614" s="57">
        <f>IFERROR(__xludf.DUMMYFUNCTION("""COMPUTED_VALUE"""),0.8409090909090909)</f>
        <v>0.8409090909</v>
      </c>
      <c r="P614" s="57">
        <f>IFERROR(__xludf.DUMMYFUNCTION("""COMPUTED_VALUE"""),0.5909090909090909)</f>
        <v>0.5909090909</v>
      </c>
      <c r="Q614" s="57">
        <f>IFERROR(__xludf.DUMMYFUNCTION("""COMPUTED_VALUE"""),0.7727272727272727)</f>
        <v>0.7727272727</v>
      </c>
      <c r="R614" s="57">
        <f>IFERROR(__xludf.DUMMYFUNCTION("""COMPUTED_VALUE"""),3.0454545454545454)</f>
        <v>3.045454545</v>
      </c>
      <c r="S614" s="31">
        <f>IFERROR(__xludf.DUMMYFUNCTION("""COMPUTED_VALUE"""),339.6136363636365)</f>
        <v>339.6136364</v>
      </c>
      <c r="T614" s="57">
        <f>IFERROR(__xludf.DUMMYFUNCTION("""COMPUTED_VALUE"""),0.6893939393939394)</f>
        <v>0.6893939394</v>
      </c>
      <c r="U614" s="57">
        <f>IFERROR(__xludf.DUMMYFUNCTION("""COMPUTED_VALUE"""),0.5)</f>
        <v>0.5</v>
      </c>
      <c r="V614" s="57">
        <f>IFERROR(__xludf.DUMMYFUNCTION("""COMPUTED_VALUE"""),1.4318181818181819)</f>
        <v>1.431818182</v>
      </c>
      <c r="W614" s="57">
        <f>IFERROR(__xludf.DUMMYFUNCTION("""COMPUTED_VALUE"""),2.3787878787878785)</f>
        <v>2.378787879</v>
      </c>
      <c r="X614" s="31">
        <f>IFERROR(__xludf.DUMMYFUNCTION("""COMPUTED_VALUE"""),339.8298771651112)</f>
        <v>339.8298772</v>
      </c>
      <c r="Y614" s="57">
        <f>IFERROR(__xludf.DUMMYFUNCTION("""COMPUTED_VALUE"""),0.7407750209379703)</f>
        <v>0.7407750209</v>
      </c>
      <c r="Z614" s="57">
        <f>IFERROR(__xludf.DUMMYFUNCTION("""COMPUTED_VALUE"""),0.5051883581970404)</f>
        <v>0.5051883582</v>
      </c>
      <c r="AA614" s="57">
        <f>IFERROR(__xludf.DUMMYFUNCTION("""COMPUTED_VALUE"""),1.3324136998479303)</f>
        <v>1.3324137</v>
      </c>
      <c r="AB614" s="57">
        <f>IFERROR(__xludf.DUMMYFUNCTION("""COMPUTED_VALUE"""),2.527730857157588)</f>
        <v>2.527730857</v>
      </c>
      <c r="AC614" s="31">
        <f>IFERROR(__xludf.DUMMYFUNCTION("""COMPUTED_VALUE"""),356.9694349385843)</f>
        <v>356.9694349</v>
      </c>
      <c r="AD614" s="57">
        <f>IFERROR(__xludf.DUMMYFUNCTION("""COMPUTED_VALUE"""),0.8383961892331601)</f>
        <v>0.8383961892</v>
      </c>
      <c r="AE614" s="57">
        <f>IFERROR(__xludf.DUMMYFUNCTION("""COMPUTED_VALUE"""),0.5966852185984505)</f>
        <v>0.5966852186</v>
      </c>
      <c r="AF614" s="57">
        <f>IFERROR(__xludf.DUMMYFUNCTION("""COMPUTED_VALUE"""),1.3055477685761898)</f>
        <v>1.305547769</v>
      </c>
      <c r="AG614" s="57">
        <f>IFERROR(__xludf.DUMMYFUNCTION("""COMPUTED_VALUE"""),2.614661106327905)</f>
        <v>2.614661106</v>
      </c>
      <c r="AH614" s="57">
        <f>IFERROR(__xludf.DUMMYFUNCTION("""COMPUTED_VALUE"""),0.89885464961122)</f>
        <v>0.8988546496</v>
      </c>
      <c r="AI614" s="57">
        <f>IFERROR(__xludf.DUMMYFUNCTION("""COMPUTED_VALUE"""),1.0029972723018092)</f>
        <v>1.002997272</v>
      </c>
      <c r="AJ614" s="57">
        <f>IFERROR(__xludf.DUMMYFUNCTION("""COMPUTED_VALUE"""),0.9903196400558958)</f>
        <v>0.9903196401</v>
      </c>
      <c r="AK614" s="57">
        <f>IFERROR(__xludf.DUMMYFUNCTION("""COMPUTED_VALUE"""),0.5918797391611317)</f>
        <v>0.5918797392</v>
      </c>
      <c r="AL614" s="57">
        <f>IFERROR(__xludf.DUMMYFUNCTION("""COMPUTED_VALUE"""),1.1647607172050138)</f>
        <v>1.164760717</v>
      </c>
      <c r="AM614" s="57">
        <f>IFERROR(__xludf.DUMMYFUNCTION("""COMPUTED_VALUE"""),0.9993636792524583)</f>
        <v>0.9993636793</v>
      </c>
      <c r="AN614" s="57">
        <f>IFERROR(__xludf.DUMMYFUNCTION("""COMPUTED_VALUE"""),0.9306387498339617)</f>
        <v>0.9306387498</v>
      </c>
      <c r="AO614" s="57">
        <f>IFERROR(__xludf.DUMMYFUNCTION("""COMPUTED_VALUE"""),0.9897298539983045)</f>
        <v>0.989729854</v>
      </c>
      <c r="AP614" s="35">
        <f>IFERROR(__xludf.DUMMYFUNCTION("""COMPUTED_VALUE"""),1.0746048182944956)</f>
        <v>1.074604818</v>
      </c>
      <c r="AQ614" s="57">
        <f>IFERROR(__xludf.DUMMYFUNCTION("""COMPUTED_VALUE"""),0.9410764093226307)</f>
        <v>0.9410764093</v>
      </c>
      <c r="AR614" s="36" t="b">
        <f>IFERROR(__xludf.DUMMYFUNCTION("""COMPUTED_VALUE"""),TRUE)</f>
        <v>1</v>
      </c>
      <c r="AS614" s="57"/>
      <c r="AT614" s="37"/>
      <c r="AU614" s="30"/>
      <c r="AV614" s="30"/>
      <c r="AW614" s="30"/>
      <c r="AX614" s="30"/>
      <c r="AY614" s="30"/>
      <c r="AZ614" s="30"/>
    </row>
    <row r="615">
      <c r="A615" s="30" t="str">
        <f>IFERROR(__xludf.DUMMYFUNCTION("""COMPUTED_VALUE"""),"Rival")</f>
        <v>Rival</v>
      </c>
      <c r="B615" s="30" t="str">
        <f>IFERROR(__xludf.DUMMYFUNCTION("""COMPUTED_VALUE"""),"RSC007660")</f>
        <v>RSC007660</v>
      </c>
      <c r="C615" s="30" t="str">
        <f>IFERROR(__xludf.DUMMYFUNCTION("""COMPUTED_VALUE"""),"Shraxl")</f>
        <v>Shraxl</v>
      </c>
      <c r="D615" s="31" t="str">
        <f>IFERROR(__xludf.DUMMYFUNCTION("""COMPUTED_VALUE"""),"Rockin Revenants")</f>
        <v>Rockin Revenants</v>
      </c>
      <c r="E615" s="31">
        <f>IFERROR(__xludf.DUMMYFUNCTION("""COMPUTED_VALUE"""),59.463902501545746)</f>
        <v>59.4639025</v>
      </c>
      <c r="F615" s="31">
        <f>IFERROR(__xludf.DUMMYFUNCTION("""COMPUTED_VALUE"""),2.8368089067241624)</f>
        <v>2.836808907</v>
      </c>
      <c r="G615" s="31">
        <f>IFERROR(__xludf.DUMMYFUNCTION("""COMPUTED_VALUE"""),57.860051818262356)</f>
        <v>57.86005182</v>
      </c>
      <c r="H615" s="31">
        <f>IFERROR(__xludf.DUMMYFUNCTION("""COMPUTED_VALUE"""),2.6552819431815466)</f>
        <v>2.655281943</v>
      </c>
      <c r="I615" s="54">
        <f>IFERROR(__xludf.DUMMYFUNCTION("""COMPUTED_VALUE"""),38.0)</f>
        <v>38</v>
      </c>
      <c r="J615" s="55">
        <f>IFERROR(__xludf.DUMMYFUNCTION("""COMPUTED_VALUE"""),13.0)</f>
        <v>13</v>
      </c>
      <c r="K615" s="54">
        <f>IFERROR(__xludf.DUMMYFUNCTION("""COMPUTED_VALUE"""),25.0)</f>
        <v>25</v>
      </c>
      <c r="L615" s="56">
        <f>IFERROR(__xludf.DUMMYFUNCTION("""COMPUTED_VALUE"""),0.34210526315789475)</f>
        <v>0.3421052632</v>
      </c>
      <c r="M615" s="56">
        <f>IFERROR(__xludf.DUMMYFUNCTION("""COMPUTED_VALUE"""),0.3181818181818182)</f>
        <v>0.3181818182</v>
      </c>
      <c r="N615" s="31">
        <f>IFERROR(__xludf.DUMMYFUNCTION("""COMPUTED_VALUE"""),387.44736842105266)</f>
        <v>387.4473684</v>
      </c>
      <c r="O615" s="57">
        <f>IFERROR(__xludf.DUMMYFUNCTION("""COMPUTED_VALUE"""),0.9210526315789473)</f>
        <v>0.9210526316</v>
      </c>
      <c r="P615" s="57">
        <f>IFERROR(__xludf.DUMMYFUNCTION("""COMPUTED_VALUE"""),0.5263157894736842)</f>
        <v>0.5263157895</v>
      </c>
      <c r="Q615" s="57">
        <f>IFERROR(__xludf.DUMMYFUNCTION("""COMPUTED_VALUE"""),1.5526315789473684)</f>
        <v>1.552631579</v>
      </c>
      <c r="R615" s="57">
        <f>IFERROR(__xludf.DUMMYFUNCTION("""COMPUTED_VALUE"""),2.8947368421052633)</f>
        <v>2.894736842</v>
      </c>
      <c r="S615" s="31">
        <f>IFERROR(__xludf.DUMMYFUNCTION("""COMPUTED_VALUE"""),377.40350877192986)</f>
        <v>377.4035088</v>
      </c>
      <c r="T615" s="57">
        <f>IFERROR(__xludf.DUMMYFUNCTION("""COMPUTED_VALUE"""),1.0000000000000002)</f>
        <v>1</v>
      </c>
      <c r="U615" s="57">
        <f>IFERROR(__xludf.DUMMYFUNCTION("""COMPUTED_VALUE"""),0.6666666666666667)</f>
        <v>0.6666666667</v>
      </c>
      <c r="V615" s="57">
        <f>IFERROR(__xludf.DUMMYFUNCTION("""COMPUTED_VALUE"""),1.2368421052631577)</f>
        <v>1.236842105</v>
      </c>
      <c r="W615" s="57">
        <f>IFERROR(__xludf.DUMMYFUNCTION("""COMPUTED_VALUE"""),2.807017543859649)</f>
        <v>2.807017544</v>
      </c>
      <c r="X615" s="31">
        <f>IFERROR(__xludf.DUMMYFUNCTION("""COMPUTED_VALUE"""),343.0459579266451)</f>
        <v>343.0459579</v>
      </c>
      <c r="Y615" s="57">
        <f>IFERROR(__xludf.DUMMYFUNCTION("""COMPUTED_VALUE"""),0.8002837850697351)</f>
        <v>0.8002837851</v>
      </c>
      <c r="Z615" s="57">
        <f>IFERROR(__xludf.DUMMYFUNCTION("""COMPUTED_VALUE"""),0.5644363049461828)</f>
        <v>0.5644363049</v>
      </c>
      <c r="AA615" s="57">
        <f>IFERROR(__xludf.DUMMYFUNCTION("""COMPUTED_VALUE"""),1.2878127357934044)</f>
        <v>1.287812736</v>
      </c>
      <c r="AB615" s="57">
        <f>IFERROR(__xludf.DUMMYFUNCTION("""COMPUTED_VALUE"""),2.6129469252763653)</f>
        <v>2.612946925</v>
      </c>
      <c r="AC615" s="31">
        <f>IFERROR(__xludf.DUMMYFUNCTION("""COMPUTED_VALUE"""),351.7152639095135)</f>
        <v>351.7152639</v>
      </c>
      <c r="AD615" s="57">
        <f>IFERROR(__xludf.DUMMYFUNCTION("""COMPUTED_VALUE"""),0.8067035261786868)</f>
        <v>0.8067035262</v>
      </c>
      <c r="AE615" s="57">
        <f>IFERROR(__xludf.DUMMYFUNCTION("""COMPUTED_VALUE"""),0.5655392001488329)</f>
        <v>0.5655392001</v>
      </c>
      <c r="AF615" s="57">
        <f>IFERROR(__xludf.DUMMYFUNCTION("""COMPUTED_VALUE"""),1.3585877738585108)</f>
        <v>1.358587774</v>
      </c>
      <c r="AG615" s="57">
        <f>IFERROR(__xludf.DUMMYFUNCTION("""COMPUTED_VALUE"""),2.6062931109214817)</f>
        <v>2.606293111</v>
      </c>
      <c r="AH615" s="57">
        <f>IFERROR(__xludf.DUMMYFUNCTION("""COMPUTED_VALUE"""),1.1015938407516257)</f>
        <v>1.101593841</v>
      </c>
      <c r="AI615" s="57">
        <f>IFERROR(__xludf.DUMMYFUNCTION("""COMPUTED_VALUE"""),1.1417486123333642)</f>
        <v>1.141748612</v>
      </c>
      <c r="AJ615" s="57">
        <f>IFERROR(__xludf.DUMMYFUNCTION("""COMPUTED_VALUE"""),0.9306442229560281)</f>
        <v>0.930644223</v>
      </c>
      <c r="AK615" s="57">
        <f>IFERROR(__xludf.DUMMYFUNCTION("""COMPUTED_VALUE"""),1.1428275808325257)</f>
        <v>1.142827581</v>
      </c>
      <c r="AL615" s="57">
        <f>IFERROR(__xludf.DUMMYFUNCTION("""COMPUTED_VALUE"""),1.1106720230257598)</f>
        <v>1.110672023</v>
      </c>
      <c r="AM615" s="57">
        <f>IFERROR(__xludf.DUMMYFUNCTION("""COMPUTED_VALUE"""),1.100154367225139)</f>
        <v>1.100154367</v>
      </c>
      <c r="AN615" s="57">
        <f>IFERROR(__xludf.DUMMYFUNCTION("""COMPUTED_VALUE"""),1.2495567430656642)</f>
        <v>1.249556743</v>
      </c>
      <c r="AO615" s="57">
        <f>IFERROR(__xludf.DUMMYFUNCTION("""COMPUTED_VALUE"""),1.1811193943845113)</f>
        <v>1.181119394</v>
      </c>
      <c r="AP615" s="35">
        <f>IFERROR(__xludf.DUMMYFUNCTION("""COMPUTED_VALUE"""),0.9604207746098703)</f>
        <v>0.9604207746</v>
      </c>
      <c r="AQ615" s="57">
        <f>IFERROR(__xludf.DUMMYFUNCTION("""COMPUTED_VALUE"""),1.0742726982725672)</f>
        <v>1.074272698</v>
      </c>
      <c r="AR615" s="36" t="b">
        <f>IFERROR(__xludf.DUMMYFUNCTION("""COMPUTED_VALUE"""),TRUE)</f>
        <v>1</v>
      </c>
      <c r="AS615" s="57"/>
      <c r="AT615" s="37"/>
      <c r="AU615" s="30"/>
      <c r="AV615" s="30"/>
      <c r="AW615" s="30"/>
      <c r="AX615" s="30"/>
      <c r="AY615" s="30"/>
      <c r="AZ615" s="30"/>
    </row>
    <row r="616">
      <c r="A616" s="30" t="str">
        <f>IFERROR(__xludf.DUMMYFUNCTION("""COMPUTED_VALUE"""),"Rival")</f>
        <v>Rival</v>
      </c>
      <c r="B616" s="30" t="str">
        <f>IFERROR(__xludf.DUMMYFUNCTION("""COMPUTED_VALUE"""),"RSC006748")</f>
        <v>RSC006748</v>
      </c>
      <c r="C616" s="30" t="str">
        <f>IFERROR(__xludf.DUMMYFUNCTION("""COMPUTED_VALUE"""),"Llamaboy101")</f>
        <v>Llamaboy101</v>
      </c>
      <c r="D616" s="31" t="str">
        <f>IFERROR(__xludf.DUMMYFUNCTION("""COMPUTED_VALUE"""),"Wind")</f>
        <v>Wind</v>
      </c>
      <c r="E616" s="31">
        <f>IFERROR(__xludf.DUMMYFUNCTION("""COMPUTED_VALUE"""),59.131811521545)</f>
        <v>59.13181152</v>
      </c>
      <c r="F616" s="31">
        <f>IFERROR(__xludf.DUMMYFUNCTION("""COMPUTED_VALUE"""),2.797562632950032)</f>
        <v>2.797562633</v>
      </c>
      <c r="G616" s="31">
        <f>IFERROR(__xludf.DUMMYFUNCTION("""COMPUTED_VALUE"""),48.12923129715946)</f>
        <v>48.1292313</v>
      </c>
      <c r="H616" s="31">
        <f>IFERROR(__xludf.DUMMYFUNCTION("""COMPUTED_VALUE"""),-2.1268690648894806)</f>
        <v>-2.126869065</v>
      </c>
      <c r="I616" s="54">
        <f>IFERROR(__xludf.DUMMYFUNCTION("""COMPUTED_VALUE"""),32.0)</f>
        <v>32</v>
      </c>
      <c r="J616" s="55">
        <f>IFERROR(__xludf.DUMMYFUNCTION("""COMPUTED_VALUE"""),17.0)</f>
        <v>17</v>
      </c>
      <c r="K616" s="54">
        <f>IFERROR(__xludf.DUMMYFUNCTION("""COMPUTED_VALUE"""),15.0)</f>
        <v>15</v>
      </c>
      <c r="L616" s="56">
        <f>IFERROR(__xludf.DUMMYFUNCTION("""COMPUTED_VALUE"""),0.53125)</f>
        <v>0.53125</v>
      </c>
      <c r="M616" s="56">
        <f>IFERROR(__xludf.DUMMYFUNCTION("""COMPUTED_VALUE"""),0.36764705882352944)</f>
        <v>0.3676470588</v>
      </c>
      <c r="N616" s="31">
        <f>IFERROR(__xludf.DUMMYFUNCTION("""COMPUTED_VALUE"""),335.5)</f>
        <v>335.5</v>
      </c>
      <c r="O616" s="57">
        <f>IFERROR(__xludf.DUMMYFUNCTION("""COMPUTED_VALUE"""),0.78125)</f>
        <v>0.78125</v>
      </c>
      <c r="P616" s="57">
        <f>IFERROR(__xludf.DUMMYFUNCTION("""COMPUTED_VALUE"""),0.875)</f>
        <v>0.875</v>
      </c>
      <c r="Q616" s="57">
        <f>IFERROR(__xludf.DUMMYFUNCTION("""COMPUTED_VALUE"""),1.125)</f>
        <v>1.125</v>
      </c>
      <c r="R616" s="57">
        <f>IFERROR(__xludf.DUMMYFUNCTION("""COMPUTED_VALUE"""),2.125)</f>
        <v>2.125</v>
      </c>
      <c r="S616" s="31">
        <f>IFERROR(__xludf.DUMMYFUNCTION("""COMPUTED_VALUE"""),337.4270833333333)</f>
        <v>337.4270833</v>
      </c>
      <c r="T616" s="57">
        <f>IFERROR(__xludf.DUMMYFUNCTION("""COMPUTED_VALUE"""),0.7291666666666665)</f>
        <v>0.7291666667</v>
      </c>
      <c r="U616" s="57">
        <f>IFERROR(__xludf.DUMMYFUNCTION("""COMPUTED_VALUE"""),0.5208333333333334)</f>
        <v>0.5208333333</v>
      </c>
      <c r="V616" s="57">
        <f>IFERROR(__xludf.DUMMYFUNCTION("""COMPUTED_VALUE"""),1.2916666666666667)</f>
        <v>1.291666667</v>
      </c>
      <c r="W616" s="57">
        <f>IFERROR(__xludf.DUMMYFUNCTION("""COMPUTED_VALUE"""),2.635416666666667)</f>
        <v>2.635416667</v>
      </c>
      <c r="X616" s="31">
        <f>IFERROR(__xludf.DUMMYFUNCTION("""COMPUTED_VALUE"""),339.4520236192229)</f>
        <v>339.4520236</v>
      </c>
      <c r="Y616" s="57">
        <f>IFERROR(__xludf.DUMMYFUNCTION("""COMPUTED_VALUE"""),0.7514993469742468)</f>
        <v>0.751499347</v>
      </c>
      <c r="Z616" s="57">
        <f>IFERROR(__xludf.DUMMYFUNCTION("""COMPUTED_VALUE"""),0.5210756740825533)</f>
        <v>0.5210756741</v>
      </c>
      <c r="AA616" s="57">
        <f>IFERROR(__xludf.DUMMYFUNCTION("""COMPUTED_VALUE"""),1.3143820687356877)</f>
        <v>1.314382069</v>
      </c>
      <c r="AB616" s="57">
        <f>IFERROR(__xludf.DUMMYFUNCTION("""COMPUTED_VALUE"""),2.5670546898563793)</f>
        <v>2.56705469</v>
      </c>
      <c r="AC616" s="31">
        <f>IFERROR(__xludf.DUMMYFUNCTION("""COMPUTED_VALUE"""),356.94854942199305)</f>
        <v>356.9485494</v>
      </c>
      <c r="AD616" s="57">
        <f>IFERROR(__xludf.DUMMYFUNCTION("""COMPUTED_VALUE"""),0.8486662508450689)</f>
        <v>0.8486662508</v>
      </c>
      <c r="AE616" s="57">
        <f>IFERROR(__xludf.DUMMYFUNCTION("""COMPUTED_VALUE"""),0.5920803200841358)</f>
        <v>0.5920803201</v>
      </c>
      <c r="AF616" s="57">
        <f>IFERROR(__xludf.DUMMYFUNCTION("""COMPUTED_VALUE"""),1.3402445217626087)</f>
        <v>1.340244522</v>
      </c>
      <c r="AG616" s="57">
        <f>IFERROR(__xludf.DUMMYFUNCTION("""COMPUTED_VALUE"""),2.615253074827285)</f>
        <v>2.615253075</v>
      </c>
      <c r="AH616" s="57">
        <f>IFERROR(__xludf.DUMMYFUNCTION("""COMPUTED_VALUE"""),0.9399113697009703)</f>
        <v>0.9399113697</v>
      </c>
      <c r="AI616" s="57">
        <f>IFERROR(__xludf.DUMMYFUNCTION("""COMPUTED_VALUE"""),0.9205621164056679)</f>
        <v>0.9205621164</v>
      </c>
      <c r="AJ616" s="57">
        <f>IFERROR(__xludf.DUMMYFUNCTION("""COMPUTED_VALUE"""),1.4778400333854378)</f>
        <v>1.477840033</v>
      </c>
      <c r="AK616" s="57">
        <f>IFERROR(__xludf.DUMMYFUNCTION("""COMPUTED_VALUE"""),0.8393990661647831)</f>
        <v>0.8393990662</v>
      </c>
      <c r="AL616" s="57">
        <f>IFERROR(__xludf.DUMMYFUNCTION("""COMPUTED_VALUE"""),0.8125408666770569)</f>
        <v>0.8125408667</v>
      </c>
      <c r="AM616" s="57">
        <f>IFERROR(__xludf.DUMMYFUNCTION("""COMPUTED_VALUE"""),0.9940346789973447)</f>
        <v>0.994034679</v>
      </c>
      <c r="AN616" s="57">
        <f>IFERROR(__xludf.DUMMYFUNCTION("""COMPUTED_VALUE"""),0.9702825020440828)</f>
        <v>0.970282502</v>
      </c>
      <c r="AO616" s="57">
        <f>IFERROR(__xludf.DUMMYFUNCTION("""COMPUTED_VALUE"""),0.9995349221595374)</f>
        <v>0.9995349222</v>
      </c>
      <c r="AP616" s="35">
        <f>IFERROR(__xludf.DUMMYFUNCTION("""COMPUTED_VALUE"""),0.982717808916192)</f>
        <v>0.9827178089</v>
      </c>
      <c r="AQ616" s="57">
        <f>IFERROR(__xludf.DUMMYFUNCTION("""COMPUTED_VALUE"""),1.026630510475845)</f>
        <v>1.02663051</v>
      </c>
      <c r="AR616" s="36" t="b">
        <f>IFERROR(__xludf.DUMMYFUNCTION("""COMPUTED_VALUE"""),TRUE)</f>
        <v>1</v>
      </c>
      <c r="AS616" s="57"/>
      <c r="AT616" s="37"/>
      <c r="AU616" s="30"/>
      <c r="AV616" s="30"/>
      <c r="AW616" s="30"/>
      <c r="AX616" s="30"/>
      <c r="AY616" s="30"/>
      <c r="AZ616" s="30"/>
    </row>
    <row r="617">
      <c r="A617" s="30" t="str">
        <f>IFERROR(__xludf.DUMMYFUNCTION("""COMPUTED_VALUE"""),"Rival")</f>
        <v>Rival</v>
      </c>
      <c r="B617" s="30" t="str">
        <f>IFERROR(__xludf.DUMMYFUNCTION("""COMPUTED_VALUE"""),"RSC007057")</f>
        <v>RSC007057</v>
      </c>
      <c r="C617" s="30" t="str">
        <f>IFERROR(__xludf.DUMMYFUNCTION("""COMPUTED_VALUE"""),"sinoda_20")</f>
        <v>sinoda_20</v>
      </c>
      <c r="D617" s="31" t="str">
        <f>IFERROR(__xludf.DUMMYFUNCTION("""COMPUTED_VALUE"""),"Nightfall")</f>
        <v>Nightfall</v>
      </c>
      <c r="E617" s="31">
        <f>IFERROR(__xludf.DUMMYFUNCTION("""COMPUTED_VALUE"""),58.4931146117965)</f>
        <v>58.49311461</v>
      </c>
      <c r="F617" s="31">
        <f>IFERROR(__xludf.DUMMYFUNCTION("""COMPUTED_VALUE"""),2.7245582771098045)</f>
        <v>2.724558277</v>
      </c>
      <c r="G617" s="31">
        <f>IFERROR(__xludf.DUMMYFUNCTION("""COMPUTED_VALUE"""),51.05526039388043)</f>
        <v>51.05526039</v>
      </c>
      <c r="H617" s="31">
        <f>IFERROR(__xludf.DUMMYFUNCTION("""COMPUTED_VALUE"""),2.069684284215243)</f>
        <v>2.069684284</v>
      </c>
      <c r="I617" s="54">
        <f>IFERROR(__xludf.DUMMYFUNCTION("""COMPUTED_VALUE"""),44.0)</f>
        <v>44</v>
      </c>
      <c r="J617" s="55">
        <f>IFERROR(__xludf.DUMMYFUNCTION("""COMPUTED_VALUE"""),21.0)</f>
        <v>21</v>
      </c>
      <c r="K617" s="54">
        <f>IFERROR(__xludf.DUMMYFUNCTION("""COMPUTED_VALUE"""),23.0)</f>
        <v>23</v>
      </c>
      <c r="L617" s="56">
        <f>IFERROR(__xludf.DUMMYFUNCTION("""COMPUTED_VALUE"""),0.4772727272727273)</f>
        <v>0.4772727273</v>
      </c>
      <c r="M617" s="56">
        <f>IFERROR(__xludf.DUMMYFUNCTION("""COMPUTED_VALUE"""),0.2566371681415929)</f>
        <v>0.2566371681</v>
      </c>
      <c r="N617" s="31">
        <f>IFERROR(__xludf.DUMMYFUNCTION("""COMPUTED_VALUE"""),331.0681818181818)</f>
        <v>331.0681818</v>
      </c>
      <c r="O617" s="57">
        <f>IFERROR(__xludf.DUMMYFUNCTION("""COMPUTED_VALUE"""),0.6590909090909091)</f>
        <v>0.6590909091</v>
      </c>
      <c r="P617" s="57">
        <f>IFERROR(__xludf.DUMMYFUNCTION("""COMPUTED_VALUE"""),0.7727272727272727)</f>
        <v>0.7727272727</v>
      </c>
      <c r="Q617" s="57">
        <f>IFERROR(__xludf.DUMMYFUNCTION("""COMPUTED_VALUE"""),0.8863636363636364)</f>
        <v>0.8863636364</v>
      </c>
      <c r="R617" s="57">
        <f>IFERROR(__xludf.DUMMYFUNCTION("""COMPUTED_VALUE"""),2.5681818181818183)</f>
        <v>2.568181818</v>
      </c>
      <c r="S617" s="31">
        <f>IFERROR(__xludf.DUMMYFUNCTION("""COMPUTED_VALUE"""),335.09848484848493)</f>
        <v>335.0984848</v>
      </c>
      <c r="T617" s="57">
        <f>IFERROR(__xludf.DUMMYFUNCTION("""COMPUTED_VALUE"""),0.6893939393939393)</f>
        <v>0.6893939394</v>
      </c>
      <c r="U617" s="57">
        <f>IFERROR(__xludf.DUMMYFUNCTION("""COMPUTED_VALUE"""),0.5303030303030303)</f>
        <v>0.5303030303</v>
      </c>
      <c r="V617" s="57">
        <f>IFERROR(__xludf.DUMMYFUNCTION("""COMPUTED_VALUE"""),1.4393939393939394)</f>
        <v>1.439393939</v>
      </c>
      <c r="W617" s="57">
        <f>IFERROR(__xludf.DUMMYFUNCTION("""COMPUTED_VALUE"""),2.4621212121212124)</f>
        <v>2.462121212</v>
      </c>
      <c r="X617" s="31">
        <f>IFERROR(__xludf.DUMMYFUNCTION("""COMPUTED_VALUE"""),350.5417904932018)</f>
        <v>350.5417905</v>
      </c>
      <c r="Y617" s="57">
        <f>IFERROR(__xludf.DUMMYFUNCTION("""COMPUTED_VALUE"""),0.7868054447827447)</f>
        <v>0.7868054448</v>
      </c>
      <c r="Z617" s="57">
        <f>IFERROR(__xludf.DUMMYFUNCTION("""COMPUTED_VALUE"""),0.5656090745563916)</f>
        <v>0.5656090746</v>
      </c>
      <c r="AA617" s="57">
        <f>IFERROR(__xludf.DUMMYFUNCTION("""COMPUTED_VALUE"""),1.3593362858000324)</f>
        <v>1.359336286</v>
      </c>
      <c r="AB617" s="57">
        <f>IFERROR(__xludf.DUMMYFUNCTION("""COMPUTED_VALUE"""),2.5468773013529487)</f>
        <v>2.546877301</v>
      </c>
      <c r="AC617" s="31">
        <f>IFERROR(__xludf.DUMMYFUNCTION("""COMPUTED_VALUE"""),346.85526988141106)</f>
        <v>346.8552699</v>
      </c>
      <c r="AD617" s="57">
        <f>IFERROR(__xludf.DUMMYFUNCTION("""COMPUTED_VALUE"""),0.789168143558586)</f>
        <v>0.7891681436</v>
      </c>
      <c r="AE617" s="57">
        <f>IFERROR(__xludf.DUMMYFUNCTION("""COMPUTED_VALUE"""),0.554377875803074)</f>
        <v>0.5543778758</v>
      </c>
      <c r="AF617" s="57">
        <f>IFERROR(__xludf.DUMMYFUNCTION("""COMPUTED_VALUE"""),1.3048197313852916)</f>
        <v>1.304819731</v>
      </c>
      <c r="AG617" s="57">
        <f>IFERROR(__xludf.DUMMYFUNCTION("""COMPUTED_VALUE"""),2.6035723970944886)</f>
        <v>2.603572397</v>
      </c>
      <c r="AH617" s="57">
        <f>IFERROR(__xludf.DUMMYFUNCTION("""COMPUTED_VALUE"""),0.9544850851808397)</f>
        <v>0.9544850852</v>
      </c>
      <c r="AI617" s="57">
        <f>IFERROR(__xludf.DUMMYFUNCTION("""COMPUTED_VALUE"""),0.8351717114668095)</f>
        <v>0.8351717115</v>
      </c>
      <c r="AJ617" s="57">
        <f>IFERROR(__xludf.DUMMYFUNCTION("""COMPUTED_VALUE"""),1.3938638363010012)</f>
        <v>1.393863836</v>
      </c>
      <c r="AK617" s="57">
        <f>IFERROR(__xludf.DUMMYFUNCTION("""COMPUTED_VALUE"""),0.6792996879519964)</f>
        <v>0.679299688</v>
      </c>
      <c r="AL617" s="57">
        <f>IFERROR(__xludf.DUMMYFUNCTION("""COMPUTED_VALUE"""),0.9864069157622944)</f>
        <v>0.9864069158</v>
      </c>
      <c r="AM617" s="57">
        <f>IFERROR(__xludf.DUMMYFUNCTION("""COMPUTED_VALUE"""),0.9559444663559554)</f>
        <v>0.9559444664</v>
      </c>
      <c r="AN617" s="57">
        <f>IFERROR(__xludf.DUMMYFUNCTION("""COMPUTED_VALUE"""),0.8761936562148436)</f>
        <v>0.8761936562</v>
      </c>
      <c r="AO617" s="57">
        <f>IFERROR(__xludf.DUMMYFUNCTION("""COMPUTED_VALUE"""),0.9375787167469829)</f>
        <v>0.9375787167</v>
      </c>
      <c r="AP617" s="35">
        <f>IFERROR(__xludf.DUMMYFUNCTION("""COMPUTED_VALUE"""),1.0588946638372045)</f>
        <v>1.058894664</v>
      </c>
      <c r="AQ617" s="57">
        <f>IFERROR(__xludf.DUMMYFUNCTION("""COMPUTED_VALUE"""),0.9667215655867237)</f>
        <v>0.9667215656</v>
      </c>
      <c r="AR617" s="36" t="b">
        <f>IFERROR(__xludf.DUMMYFUNCTION("""COMPUTED_VALUE"""),TRUE)</f>
        <v>1</v>
      </c>
      <c r="AS617" s="57"/>
      <c r="AT617" s="37"/>
      <c r="AU617" s="30"/>
      <c r="AV617" s="30"/>
      <c r="AW617" s="30"/>
      <c r="AX617" s="30"/>
      <c r="AY617" s="30"/>
      <c r="AZ617" s="30"/>
    </row>
    <row r="618">
      <c r="A618" s="30" t="str">
        <f>IFERROR(__xludf.DUMMYFUNCTION("""COMPUTED_VALUE"""),"Rival")</f>
        <v>Rival</v>
      </c>
      <c r="B618" s="30" t="str">
        <f>IFERROR(__xludf.DUMMYFUNCTION("""COMPUTED_VALUE"""),"RSC007186")</f>
        <v>RSC007186</v>
      </c>
      <c r="C618" s="30" t="str">
        <f>IFERROR(__xludf.DUMMYFUNCTION("""COMPUTED_VALUE"""),"Bushier Brow")</f>
        <v>Bushier Brow</v>
      </c>
      <c r="D618" s="31" t="str">
        <f>IFERROR(__xludf.DUMMYFUNCTION("""COMPUTED_VALUE"""),"Hot Wings")</f>
        <v>Hot Wings</v>
      </c>
      <c r="E618" s="31">
        <f>IFERROR(__xludf.DUMMYFUNCTION("""COMPUTED_VALUE"""),58.351530017612745)</f>
        <v>58.35153002</v>
      </c>
      <c r="F618" s="31">
        <f>IFERROR(__xludf.DUMMYFUNCTION("""COMPUTED_VALUE"""),2.7088034508891385)</f>
        <v>2.708803451</v>
      </c>
      <c r="G618" s="31">
        <f>IFERROR(__xludf.DUMMYFUNCTION("""COMPUTED_VALUE"""),46.21915857185293)</f>
        <v>46.21915857</v>
      </c>
      <c r="H618" s="31">
        <f>IFERROR(__xludf.DUMMYFUNCTION("""COMPUTED_VALUE"""),-2.2732661373423637)</f>
        <v>-2.273266137</v>
      </c>
      <c r="I618" s="54">
        <f>IFERROR(__xludf.DUMMYFUNCTION("""COMPUTED_VALUE"""),34.0)</f>
        <v>34</v>
      </c>
      <c r="J618" s="55">
        <f>IFERROR(__xludf.DUMMYFUNCTION("""COMPUTED_VALUE"""),21.0)</f>
        <v>21</v>
      </c>
      <c r="K618" s="54">
        <f>IFERROR(__xludf.DUMMYFUNCTION("""COMPUTED_VALUE"""),13.0)</f>
        <v>13</v>
      </c>
      <c r="L618" s="56">
        <f>IFERROR(__xludf.DUMMYFUNCTION("""COMPUTED_VALUE"""),0.6176470588235294)</f>
        <v>0.6176470588</v>
      </c>
      <c r="M618" s="56">
        <f>IFERROR(__xludf.DUMMYFUNCTION("""COMPUTED_VALUE"""),0.30107526881720426)</f>
        <v>0.3010752688</v>
      </c>
      <c r="N618" s="31">
        <f>IFERROR(__xludf.DUMMYFUNCTION("""COMPUTED_VALUE"""),348.05882352941177)</f>
        <v>348.0588235</v>
      </c>
      <c r="O618" s="57">
        <f>IFERROR(__xludf.DUMMYFUNCTION("""COMPUTED_VALUE"""),0.8235294117647058)</f>
        <v>0.8235294118</v>
      </c>
      <c r="P618" s="57">
        <f>IFERROR(__xludf.DUMMYFUNCTION("""COMPUTED_VALUE"""),0.4411764705882353)</f>
        <v>0.4411764706</v>
      </c>
      <c r="Q618" s="57">
        <f>IFERROR(__xludf.DUMMYFUNCTION("""COMPUTED_VALUE"""),1.3823529411764706)</f>
        <v>1.382352941</v>
      </c>
      <c r="R618" s="57">
        <f>IFERROR(__xludf.DUMMYFUNCTION("""COMPUTED_VALUE"""),2.735294117647059)</f>
        <v>2.735294118</v>
      </c>
      <c r="S618" s="31">
        <f>IFERROR(__xludf.DUMMYFUNCTION("""COMPUTED_VALUE"""),337.21568627450984)</f>
        <v>337.2156863</v>
      </c>
      <c r="T618" s="57">
        <f>IFERROR(__xludf.DUMMYFUNCTION("""COMPUTED_VALUE"""),0.7058823529411765)</f>
        <v>0.7058823529</v>
      </c>
      <c r="U618" s="57">
        <f>IFERROR(__xludf.DUMMYFUNCTION("""COMPUTED_VALUE"""),0.4509803921568627)</f>
        <v>0.4509803922</v>
      </c>
      <c r="V618" s="57">
        <f>IFERROR(__xludf.DUMMYFUNCTION("""COMPUTED_VALUE"""),1.5196078431372548)</f>
        <v>1.519607843</v>
      </c>
      <c r="W618" s="57">
        <f>IFERROR(__xludf.DUMMYFUNCTION("""COMPUTED_VALUE"""),2.3921568627450984)</f>
        <v>2.392156863</v>
      </c>
      <c r="X618" s="31">
        <f>IFERROR(__xludf.DUMMYFUNCTION("""COMPUTED_VALUE"""),348.65924927769316)</f>
        <v>348.6592493</v>
      </c>
      <c r="Y618" s="57">
        <f>IFERROR(__xludf.DUMMYFUNCTION("""COMPUTED_VALUE"""),0.8055042183674928)</f>
        <v>0.8055042184</v>
      </c>
      <c r="Z618" s="57">
        <f>IFERROR(__xludf.DUMMYFUNCTION("""COMPUTED_VALUE"""),0.5617005622781477)</f>
        <v>0.5617005623</v>
      </c>
      <c r="AA618" s="57">
        <f>IFERROR(__xludf.DUMMYFUNCTION("""COMPUTED_VALUE"""),1.3284383580988746)</f>
        <v>1.328438358</v>
      </c>
      <c r="AB618" s="57">
        <f>IFERROR(__xludf.DUMMYFUNCTION("""COMPUTED_VALUE"""),2.545477101887632)</f>
        <v>2.545477102</v>
      </c>
      <c r="AC618" s="31">
        <f>IFERROR(__xludf.DUMMYFUNCTION("""COMPUTED_VALUE"""),342.49073661320875)</f>
        <v>342.4907366</v>
      </c>
      <c r="AD618" s="57">
        <f>IFERROR(__xludf.DUMMYFUNCTION("""COMPUTED_VALUE"""),0.7566595610198384)</f>
        <v>0.756659561</v>
      </c>
      <c r="AE618" s="57">
        <f>IFERROR(__xludf.DUMMYFUNCTION("""COMPUTED_VALUE"""),0.5505102427584597)</f>
        <v>0.5505102428</v>
      </c>
      <c r="AF618" s="57">
        <f>IFERROR(__xludf.DUMMYFUNCTION("""COMPUTED_VALUE"""),1.3290873200732494)</f>
        <v>1.32908732</v>
      </c>
      <c r="AG618" s="57">
        <f>IFERROR(__xludf.DUMMYFUNCTION("""COMPUTED_VALUE"""),2.5381336538220656)</f>
        <v>2.538133654</v>
      </c>
      <c r="AH618" s="57">
        <f>IFERROR(__xludf.DUMMYFUNCTION("""COMPUTED_VALUE"""),1.016257627786562)</f>
        <v>1.016257628</v>
      </c>
      <c r="AI618" s="57">
        <f>IFERROR(__xludf.DUMMYFUNCTION("""COMPUTED_VALUE"""),1.0883750819916147)</f>
        <v>1.088375082</v>
      </c>
      <c r="AJ618" s="57">
        <f>IFERROR(__xludf.DUMMYFUNCTION("""COMPUTED_VALUE"""),0.801395571456796)</f>
        <v>0.8013955715</v>
      </c>
      <c r="AK618" s="57">
        <f>IFERROR(__xludf.DUMMYFUNCTION("""COMPUTED_VALUE"""),1.0400768409259111)</f>
        <v>1.040076841</v>
      </c>
      <c r="AL618" s="57">
        <f>IFERROR(__xludf.DUMMYFUNCTION("""COMPUTED_VALUE"""),1.0776793072059456)</f>
        <v>1.077679307</v>
      </c>
      <c r="AM618" s="57">
        <f>IFERROR(__xludf.DUMMYFUNCTION("""COMPUTED_VALUE"""),0.9671783753711092)</f>
        <v>0.9671783754</v>
      </c>
      <c r="AN618" s="57">
        <f>IFERROR(__xludf.DUMMYFUNCTION("""COMPUTED_VALUE"""),0.8763235956377499)</f>
        <v>0.8763235956</v>
      </c>
      <c r="AO618" s="57">
        <f>IFERROR(__xludf.DUMMYFUNCTION("""COMPUTED_VALUE"""),0.8028839962840243)</f>
        <v>0.8028839963</v>
      </c>
      <c r="AP618" s="35">
        <f>IFERROR(__xludf.DUMMYFUNCTION("""COMPUTED_VALUE"""),1.1439054238933317)</f>
        <v>1.143905424</v>
      </c>
      <c r="AQ618" s="57">
        <f>IFERROR(__xludf.DUMMYFUNCTION("""COMPUTED_VALUE"""),0.9397675826551977)</f>
        <v>0.9397675827</v>
      </c>
      <c r="AR618" s="36" t="b">
        <f>IFERROR(__xludf.DUMMYFUNCTION("""COMPUTED_VALUE"""),TRUE)</f>
        <v>1</v>
      </c>
      <c r="AS618" s="57"/>
      <c r="AT618" s="37"/>
      <c r="AU618" s="30"/>
      <c r="AV618" s="30"/>
      <c r="AW618" s="30"/>
      <c r="AX618" s="30"/>
      <c r="AY618" s="30"/>
      <c r="AZ618" s="30"/>
    </row>
    <row r="619">
      <c r="A619" s="30" t="str">
        <f>IFERROR(__xludf.DUMMYFUNCTION("""COMPUTED_VALUE"""),"Rival")</f>
        <v>Rival</v>
      </c>
      <c r="B619" s="30" t="str">
        <f>IFERROR(__xludf.DUMMYFUNCTION("""COMPUTED_VALUE"""),"RSC003320")</f>
        <v>RSC003320</v>
      </c>
      <c r="C619" s="30" t="str">
        <f>IFERROR(__xludf.DUMMYFUNCTION("""COMPUTED_VALUE"""),"jojomojo13")</f>
        <v>jojomojo13</v>
      </c>
      <c r="D619" s="31"/>
      <c r="E619" s="31">
        <f>IFERROR(__xludf.DUMMYFUNCTION("""COMPUTED_VALUE"""),58.29891474634704)</f>
        <v>58.29891475</v>
      </c>
      <c r="F619" s="31">
        <f>IFERROR(__xludf.DUMMYFUNCTION("""COMPUTED_VALUE"""),2.702987472290926)</f>
        <v>2.702987472</v>
      </c>
      <c r="G619" s="31">
        <f>IFERROR(__xludf.DUMMYFUNCTION("""COMPUTED_VALUE"""),46.923569280993604)</f>
        <v>46.92356928</v>
      </c>
      <c r="H619" s="31">
        <f>IFERROR(__xludf.DUMMYFUNCTION("""COMPUTED_VALUE"""),-2.217143042419047)</f>
        <v>-2.217143042</v>
      </c>
      <c r="I619" s="54">
        <f>IFERROR(__xludf.DUMMYFUNCTION("""COMPUTED_VALUE"""),4.0)</f>
        <v>4</v>
      </c>
      <c r="J619" s="55">
        <f>IFERROR(__xludf.DUMMYFUNCTION("""COMPUTED_VALUE"""),0.0)</f>
        <v>0</v>
      </c>
      <c r="K619" s="54">
        <f>IFERROR(__xludf.DUMMYFUNCTION("""COMPUTED_VALUE"""),4.0)</f>
        <v>4</v>
      </c>
      <c r="L619" s="56">
        <f>IFERROR(__xludf.DUMMYFUNCTION("""COMPUTED_VALUE"""),0.0)</f>
        <v>0</v>
      </c>
      <c r="M619" s="56">
        <f>IFERROR(__xludf.DUMMYFUNCTION("""COMPUTED_VALUE"""),0.2727272727272727)</f>
        <v>0.2727272727</v>
      </c>
      <c r="N619" s="31">
        <f>IFERROR(__xludf.DUMMYFUNCTION("""COMPUTED_VALUE"""),404.25)</f>
        <v>404.25</v>
      </c>
      <c r="O619" s="57">
        <f>IFERROR(__xludf.DUMMYFUNCTION("""COMPUTED_VALUE"""),0.75)</f>
        <v>0.75</v>
      </c>
      <c r="P619" s="57">
        <f>IFERROR(__xludf.DUMMYFUNCTION("""COMPUTED_VALUE"""),0.5)</f>
        <v>0.5</v>
      </c>
      <c r="Q619" s="57">
        <f>IFERROR(__xludf.DUMMYFUNCTION("""COMPUTED_VALUE"""),1.75)</f>
        <v>1.75</v>
      </c>
      <c r="R619" s="57">
        <f>IFERROR(__xludf.DUMMYFUNCTION("""COMPUTED_VALUE"""),2.75)</f>
        <v>2.75</v>
      </c>
      <c r="S619" s="31">
        <f>IFERROR(__xludf.DUMMYFUNCTION("""COMPUTED_VALUE"""),434.1666666666667)</f>
        <v>434.1666667</v>
      </c>
      <c r="T619" s="57">
        <f>IFERROR(__xludf.DUMMYFUNCTION("""COMPUTED_VALUE"""),1.0833333333333333)</f>
        <v>1.083333333</v>
      </c>
      <c r="U619" s="57">
        <f>IFERROR(__xludf.DUMMYFUNCTION("""COMPUTED_VALUE"""),0.75)</f>
        <v>0.75</v>
      </c>
      <c r="V619" s="57">
        <f>IFERROR(__xludf.DUMMYFUNCTION("""COMPUTED_VALUE"""),1.5833333333333333)</f>
        <v>1.583333333</v>
      </c>
      <c r="W619" s="57">
        <f>IFERROR(__xludf.DUMMYFUNCTION("""COMPUTED_VALUE"""),3.666666666666667)</f>
        <v>3.666666667</v>
      </c>
      <c r="X619" s="31">
        <f>IFERROR(__xludf.DUMMYFUNCTION("""COMPUTED_VALUE"""),397.60398363479754)</f>
        <v>397.6039836</v>
      </c>
      <c r="Y619" s="57">
        <f>IFERROR(__xludf.DUMMYFUNCTION("""COMPUTED_VALUE"""),1.0064491817398795)</f>
        <v>1.006449182</v>
      </c>
      <c r="Z619" s="57">
        <f>IFERROR(__xludf.DUMMYFUNCTION("""COMPUTED_VALUE"""),0.7042204995693367)</f>
        <v>0.7042204996</v>
      </c>
      <c r="AA619" s="57">
        <f>IFERROR(__xludf.DUMMYFUNCTION("""COMPUTED_VALUE"""),1.4902993109388456)</f>
        <v>1.490299311</v>
      </c>
      <c r="AB619" s="57">
        <f>IFERROR(__xludf.DUMMYFUNCTION("""COMPUTED_VALUE"""),3.026087424633937)</f>
        <v>3.026087425</v>
      </c>
      <c r="AC619" s="31">
        <f>IFERROR(__xludf.DUMMYFUNCTION("""COMPUTED_VALUE"""),332.8451837496412)</f>
        <v>332.8451837</v>
      </c>
      <c r="AD619" s="57">
        <f>IFERROR(__xludf.DUMMYFUNCTION("""COMPUTED_VALUE"""),0.6490381854722939)</f>
        <v>0.6490381855</v>
      </c>
      <c r="AE619" s="57">
        <f>IFERROR(__xludf.DUMMYFUNCTION("""COMPUTED_VALUE"""),0.48736721217341367)</f>
        <v>0.4873672122</v>
      </c>
      <c r="AF619" s="57">
        <f>IFERROR(__xludf.DUMMYFUNCTION("""COMPUTED_VALUE"""),1.4236398219925352)</f>
        <v>1.423639822</v>
      </c>
      <c r="AG619" s="57">
        <f>IFERROR(__xludf.DUMMYFUNCTION("""COMPUTED_VALUE"""),2.711767872523686)</f>
        <v>2.711767873</v>
      </c>
      <c r="AH619" s="57">
        <f>IFERROR(__xludf.DUMMYFUNCTION("""COMPUTED_VALUE"""),1.2145286149132564)</f>
        <v>1.214528615</v>
      </c>
      <c r="AI619" s="57">
        <f>IFERROR(__xludf.DUMMYFUNCTION("""COMPUTED_VALUE"""),1.1555560470671506)</f>
        <v>1.155556047</v>
      </c>
      <c r="AJ619" s="57">
        <f>IFERROR(__xludf.DUMMYFUNCTION("""COMPUTED_VALUE"""),1.0259204712812962)</f>
        <v>1.025920471</v>
      </c>
      <c r="AK619" s="57">
        <f>IFERROR(__xludf.DUMMYFUNCTION("""COMPUTED_VALUE"""),1.2292435017381635)</f>
        <v>1.229243502</v>
      </c>
      <c r="AL619" s="57">
        <f>IFERROR(__xludf.DUMMYFUNCTION("""COMPUTED_VALUE"""),1.0140985988748121)</f>
        <v>1.014098599</v>
      </c>
      <c r="AM619" s="57">
        <f>IFERROR(__xludf.DUMMYFUNCTION("""COMPUTED_VALUE"""),1.0919575369884933)</f>
        <v>1.091957537</v>
      </c>
      <c r="AN619" s="57">
        <f>IFERROR(__xludf.DUMMYFUNCTION("""COMPUTED_VALUE"""),1.0763914889975286)</f>
        <v>1.076391489</v>
      </c>
      <c r="AO619" s="57">
        <f>IFERROR(__xludf.DUMMYFUNCTION("""COMPUTED_VALUE"""),1.0650073385518593)</f>
        <v>1.065007339</v>
      </c>
      <c r="AP619" s="35">
        <f>IFERROR(__xludf.DUMMYFUNCTION("""COMPUTED_VALUE"""),1.0624264009998627)</f>
        <v>1.062426401</v>
      </c>
      <c r="AQ619" s="57">
        <f>IFERROR(__xludf.DUMMYFUNCTION("""COMPUTED_VALUE"""),1.2116856363164128)</f>
        <v>1.211685636</v>
      </c>
      <c r="AR619" s="36" t="b">
        <f>IFERROR(__xludf.DUMMYFUNCTION("""COMPUTED_VALUE"""),TRUE)</f>
        <v>1</v>
      </c>
      <c r="AS619" s="57"/>
      <c r="AT619" s="37"/>
      <c r="AU619" s="30"/>
      <c r="AV619" s="30"/>
      <c r="AW619" s="30"/>
      <c r="AX619" s="30"/>
      <c r="AY619" s="30"/>
      <c r="AZ619" s="30"/>
    </row>
    <row r="620">
      <c r="A620" s="30" t="str">
        <f>IFERROR(__xludf.DUMMYFUNCTION("""COMPUTED_VALUE"""),"Rival")</f>
        <v>Rival</v>
      </c>
      <c r="B620" s="30" t="str">
        <f>IFERROR(__xludf.DUMMYFUNCTION("""COMPUTED_VALUE"""),"RSC002762")</f>
        <v>RSC002762</v>
      </c>
      <c r="C620" s="30" t="str">
        <f>IFERROR(__xludf.DUMMYFUNCTION("""COMPUTED_VALUE"""),"OnwardFlame")</f>
        <v>OnwardFlame</v>
      </c>
      <c r="D620" s="31" t="str">
        <f>IFERROR(__xludf.DUMMYFUNCTION("""COMPUTED_VALUE"""),"Stolen")</f>
        <v>Stolen</v>
      </c>
      <c r="E620" s="31">
        <f>IFERROR(__xludf.DUMMYFUNCTION("""COMPUTED_VALUE"""),57.5242725887386)</f>
        <v>57.52427259</v>
      </c>
      <c r="F620" s="31">
        <f>IFERROR(__xludf.DUMMYFUNCTION("""COMPUTED_VALUE"""),2.619732647271097)</f>
        <v>2.619732647</v>
      </c>
      <c r="G620" s="31">
        <f>IFERROR(__xludf.DUMMYFUNCTION("""COMPUTED_VALUE"""),40.825794090150026)</f>
        <v>40.82579409</v>
      </c>
      <c r="H620" s="31">
        <f>IFERROR(__xludf.DUMMYFUNCTION("""COMPUTED_VALUE"""),-2.802522842868858)</f>
        <v>-2.802522843</v>
      </c>
      <c r="I620" s="54">
        <f>IFERROR(__xludf.DUMMYFUNCTION("""COMPUTED_VALUE"""),23.0)</f>
        <v>23</v>
      </c>
      <c r="J620" s="55">
        <f>IFERROR(__xludf.DUMMYFUNCTION("""COMPUTED_VALUE"""),13.0)</f>
        <v>13</v>
      </c>
      <c r="K620" s="54">
        <f>IFERROR(__xludf.DUMMYFUNCTION("""COMPUTED_VALUE"""),10.0)</f>
        <v>10</v>
      </c>
      <c r="L620" s="56">
        <f>IFERROR(__xludf.DUMMYFUNCTION("""COMPUTED_VALUE"""),0.5652173913043478)</f>
        <v>0.5652173913</v>
      </c>
      <c r="M620" s="56">
        <f>IFERROR(__xludf.DUMMYFUNCTION("""COMPUTED_VALUE"""),0.34328358208955223)</f>
        <v>0.3432835821</v>
      </c>
      <c r="N620" s="31">
        <f>IFERROR(__xludf.DUMMYFUNCTION("""COMPUTED_VALUE"""),344.2608695652174)</f>
        <v>344.2608696</v>
      </c>
      <c r="O620" s="57">
        <f>IFERROR(__xludf.DUMMYFUNCTION("""COMPUTED_VALUE"""),1.0)</f>
        <v>1</v>
      </c>
      <c r="P620" s="57">
        <f>IFERROR(__xludf.DUMMYFUNCTION("""COMPUTED_VALUE"""),0.43478260869565216)</f>
        <v>0.4347826087</v>
      </c>
      <c r="Q620" s="57">
        <f>IFERROR(__xludf.DUMMYFUNCTION("""COMPUTED_VALUE"""),1.0869565217391304)</f>
        <v>1.086956522</v>
      </c>
      <c r="R620" s="57">
        <f>IFERROR(__xludf.DUMMYFUNCTION("""COMPUTED_VALUE"""),2.9130434782608696)</f>
        <v>2.913043478</v>
      </c>
      <c r="S620" s="31">
        <f>IFERROR(__xludf.DUMMYFUNCTION("""COMPUTED_VALUE"""),365.2608695652174)</f>
        <v>365.2608696</v>
      </c>
      <c r="T620" s="57">
        <f>IFERROR(__xludf.DUMMYFUNCTION("""COMPUTED_VALUE"""),0.8550724637681159)</f>
        <v>0.8550724638</v>
      </c>
      <c r="U620" s="57">
        <f>IFERROR(__xludf.DUMMYFUNCTION("""COMPUTED_VALUE"""),0.7101449275362318)</f>
        <v>0.7101449275</v>
      </c>
      <c r="V620" s="57">
        <f>IFERROR(__xludf.DUMMYFUNCTION("""COMPUTED_VALUE"""),1.4492753623188406)</f>
        <v>1.449275362</v>
      </c>
      <c r="W620" s="57">
        <f>IFERROR(__xludf.DUMMYFUNCTION("""COMPUTED_VALUE"""),2.7536231884057973)</f>
        <v>2.753623188</v>
      </c>
      <c r="X620" s="31">
        <f>IFERROR(__xludf.DUMMYFUNCTION("""COMPUTED_VALUE"""),356.6965759223585)</f>
        <v>356.6965759</v>
      </c>
      <c r="Y620" s="57">
        <f>IFERROR(__xludf.DUMMYFUNCTION("""COMPUTED_VALUE"""),0.8471622952230288)</f>
        <v>0.8471622952</v>
      </c>
      <c r="Z620" s="57">
        <f>IFERROR(__xludf.DUMMYFUNCTION("""COMPUTED_VALUE"""),0.5826993439084212)</f>
        <v>0.5826993439</v>
      </c>
      <c r="AA620" s="57">
        <f>IFERROR(__xludf.DUMMYFUNCTION("""COMPUTED_VALUE"""),1.354424172028141)</f>
        <v>1.354424172</v>
      </c>
      <c r="AB620" s="57">
        <f>IFERROR(__xludf.DUMMYFUNCTION("""COMPUTED_VALUE"""),2.6454842789861113)</f>
        <v>2.645484279</v>
      </c>
      <c r="AC620" s="31">
        <f>IFERROR(__xludf.DUMMYFUNCTION("""COMPUTED_VALUE"""),353.095131521919)</f>
        <v>353.0951315</v>
      </c>
      <c r="AD620" s="57">
        <f>IFERROR(__xludf.DUMMYFUNCTION("""COMPUTED_VALUE"""),0.8334637394397005)</f>
        <v>0.8334637394</v>
      </c>
      <c r="AE620" s="57">
        <f>IFERROR(__xludf.DUMMYFUNCTION("""COMPUTED_VALUE"""),0.5824483959754534)</f>
        <v>0.582448396</v>
      </c>
      <c r="AF620" s="57">
        <f>IFERROR(__xludf.DUMMYFUNCTION("""COMPUTED_VALUE"""),1.281449168785543)</f>
        <v>1.281449169</v>
      </c>
      <c r="AG620" s="57">
        <f>IFERROR(__xludf.DUMMYFUNCTION("""COMPUTED_VALUE"""),2.669892884986888)</f>
        <v>2.669892885</v>
      </c>
      <c r="AH620" s="57">
        <f>IFERROR(__xludf.DUMMYFUNCTION("""COMPUTED_VALUE"""),0.9749805047760813)</f>
        <v>0.9749805048</v>
      </c>
      <c r="AI620" s="57">
        <f>IFERROR(__xludf.DUMMYFUNCTION("""COMPUTED_VALUE"""),1.1998122445881738)</f>
        <v>1.199812245</v>
      </c>
      <c r="AJ620" s="57">
        <f>IFERROR(__xludf.DUMMYFUNCTION("""COMPUTED_VALUE"""),0.7464740425072363)</f>
        <v>0.7464740425</v>
      </c>
      <c r="AK620" s="57">
        <f>IFERROR(__xludf.DUMMYFUNCTION("""COMPUTED_VALUE"""),0.848224454169542)</f>
        <v>0.8482244542</v>
      </c>
      <c r="AL620" s="57">
        <f>IFERROR(__xludf.DUMMYFUNCTION("""COMPUTED_VALUE"""),1.0910712915268044)</f>
        <v>1.091071292</v>
      </c>
      <c r="AM620" s="57">
        <f>IFERROR(__xludf.DUMMYFUNCTION("""COMPUTED_VALUE"""),1.0240100248249175)</f>
        <v>1.024010025</v>
      </c>
      <c r="AN620" s="57">
        <f>IFERROR(__xludf.DUMMYFUNCTION("""COMPUTED_VALUE"""),1.0093372528377276)</f>
        <v>1.009337253</v>
      </c>
      <c r="AO620" s="57">
        <f>IFERROR(__xludf.DUMMYFUNCTION("""COMPUTED_VALUE"""),1.2187158522832324)</f>
        <v>1.218715852</v>
      </c>
      <c r="AP620" s="35">
        <f>IFERROR(__xludf.DUMMYFUNCTION("""COMPUTED_VALUE"""),1.070030639034349)</f>
        <v>1.070030639</v>
      </c>
      <c r="AQ620" s="57">
        <f>IFERROR(__xludf.DUMMYFUNCTION("""COMPUTED_VALUE"""),1.0408767915495345)</f>
        <v>1.040876792</v>
      </c>
      <c r="AR620" s="36" t="b">
        <f>IFERROR(__xludf.DUMMYFUNCTION("""COMPUTED_VALUE"""),TRUE)</f>
        <v>1</v>
      </c>
      <c r="AS620" s="57"/>
      <c r="AT620" s="37"/>
      <c r="AU620" s="30"/>
      <c r="AV620" s="30"/>
      <c r="AW620" s="30"/>
      <c r="AX620" s="30"/>
      <c r="AY620" s="30"/>
      <c r="AZ620" s="30"/>
    </row>
    <row r="621">
      <c r="A621" s="30" t="str">
        <f>IFERROR(__xludf.DUMMYFUNCTION("""COMPUTED_VALUE"""),"Rival")</f>
        <v>Rival</v>
      </c>
      <c r="B621" s="30" t="str">
        <f>IFERROR(__xludf.DUMMYFUNCTION("""COMPUTED_VALUE"""),"RSC005828")</f>
        <v>RSC005828</v>
      </c>
      <c r="C621" s="30" t="str">
        <f>IFERROR(__xludf.DUMMYFUNCTION("""COMPUTED_VALUE"""),"Creme")</f>
        <v>Creme</v>
      </c>
      <c r="D621" s="31" t="str">
        <f>IFERROR(__xludf.DUMMYFUNCTION("""COMPUTED_VALUE"""),"Bulldozers")</f>
        <v>Bulldozers</v>
      </c>
      <c r="E621" s="31">
        <f>IFERROR(__xludf.DUMMYFUNCTION("""COMPUTED_VALUE"""),57.21085574348398)</f>
        <v>57.21085574</v>
      </c>
      <c r="F621" s="31">
        <f>IFERROR(__xludf.DUMMYFUNCTION("""COMPUTED_VALUE"""),2.5872740277949697)</f>
        <v>2.587274028</v>
      </c>
      <c r="G621" s="31">
        <f>IFERROR(__xludf.DUMMYFUNCTION("""COMPUTED_VALUE"""),37.819010557142555)</f>
        <v>37.81901056</v>
      </c>
      <c r="H621" s="31">
        <f>IFERROR(__xludf.DUMMYFUNCTION("""COMPUTED_VALUE"""),-3.194436257500168)</f>
        <v>-3.194436258</v>
      </c>
      <c r="I621" s="54">
        <f>IFERROR(__xludf.DUMMYFUNCTION("""COMPUTED_VALUE"""),45.0)</f>
        <v>45</v>
      </c>
      <c r="J621" s="55">
        <f>IFERROR(__xludf.DUMMYFUNCTION("""COMPUTED_VALUE"""),34.0)</f>
        <v>34</v>
      </c>
      <c r="K621" s="54">
        <f>IFERROR(__xludf.DUMMYFUNCTION("""COMPUTED_VALUE"""),11.0)</f>
        <v>11</v>
      </c>
      <c r="L621" s="56">
        <f>IFERROR(__xludf.DUMMYFUNCTION("""COMPUTED_VALUE"""),0.7555555555555555)</f>
        <v>0.7555555556</v>
      </c>
      <c r="M621" s="56">
        <f>IFERROR(__xludf.DUMMYFUNCTION("""COMPUTED_VALUE"""),0.3275862068965517)</f>
        <v>0.3275862069</v>
      </c>
      <c r="N621" s="31">
        <f>IFERROR(__xludf.DUMMYFUNCTION("""COMPUTED_VALUE"""),353.02222222222224)</f>
        <v>353.0222222</v>
      </c>
      <c r="O621" s="57">
        <f>IFERROR(__xludf.DUMMYFUNCTION("""COMPUTED_VALUE"""),0.8444444444444444)</f>
        <v>0.8444444444</v>
      </c>
      <c r="P621" s="57">
        <f>IFERROR(__xludf.DUMMYFUNCTION("""COMPUTED_VALUE"""),0.5777777777777777)</f>
        <v>0.5777777778</v>
      </c>
      <c r="Q621" s="57">
        <f>IFERROR(__xludf.DUMMYFUNCTION("""COMPUTED_VALUE"""),1.511111111111111)</f>
        <v>1.511111111</v>
      </c>
      <c r="R621" s="57">
        <f>IFERROR(__xludf.DUMMYFUNCTION("""COMPUTED_VALUE"""),2.577777777777778)</f>
        <v>2.577777778</v>
      </c>
      <c r="S621" s="31">
        <f>IFERROR(__xludf.DUMMYFUNCTION("""COMPUTED_VALUE"""),331.65925925925933)</f>
        <v>331.6592593</v>
      </c>
      <c r="T621" s="57">
        <f>IFERROR(__xludf.DUMMYFUNCTION("""COMPUTED_VALUE"""),0.6370370370370368)</f>
        <v>0.637037037</v>
      </c>
      <c r="U621" s="57">
        <f>IFERROR(__xludf.DUMMYFUNCTION("""COMPUTED_VALUE"""),0.48148148148148145)</f>
        <v>0.4814814815</v>
      </c>
      <c r="V621" s="57">
        <f>IFERROR(__xludf.DUMMYFUNCTION("""COMPUTED_VALUE"""),1.414814814814815)</f>
        <v>1.414814815</v>
      </c>
      <c r="W621" s="57">
        <f>IFERROR(__xludf.DUMMYFUNCTION("""COMPUTED_VALUE"""),2.7333333333333325)</f>
        <v>2.733333333</v>
      </c>
      <c r="X621" s="31">
        <f>IFERROR(__xludf.DUMMYFUNCTION("""COMPUTED_VALUE"""),338.5069650572922)</f>
        <v>338.5069651</v>
      </c>
      <c r="Y621" s="57">
        <f>IFERROR(__xludf.DUMMYFUNCTION("""COMPUTED_VALUE"""),0.7389795443386977)</f>
        <v>0.7389795443</v>
      </c>
      <c r="Z621" s="57">
        <f>IFERROR(__xludf.DUMMYFUNCTION("""COMPUTED_VALUE"""),0.5216917591335248)</f>
        <v>0.5216917591</v>
      </c>
      <c r="AA621" s="57">
        <f>IFERROR(__xludf.DUMMYFUNCTION("""COMPUTED_VALUE"""),1.3048064220646485)</f>
        <v>1.304806422</v>
      </c>
      <c r="AB621" s="57">
        <f>IFERROR(__xludf.DUMMYFUNCTION("""COMPUTED_VALUE"""),2.4988986481576756)</f>
        <v>2.498898648</v>
      </c>
      <c r="AC621" s="31">
        <f>IFERROR(__xludf.DUMMYFUNCTION("""COMPUTED_VALUE"""),358.43979173549104)</f>
        <v>358.4397917</v>
      </c>
      <c r="AD621" s="57">
        <f>IFERROR(__xludf.DUMMYFUNCTION("""COMPUTED_VALUE"""),0.8436223263534176)</f>
        <v>0.8436223264</v>
      </c>
      <c r="AE621" s="57">
        <f>IFERROR(__xludf.DUMMYFUNCTION("""COMPUTED_VALUE"""),0.6158438146807088)</f>
        <v>0.6158438147</v>
      </c>
      <c r="AF621" s="57">
        <f>IFERROR(__xludf.DUMMYFUNCTION("""COMPUTED_VALUE"""),1.3212552384807559)</f>
        <v>1.321255238</v>
      </c>
      <c r="AG621" s="57">
        <f>IFERROR(__xludf.DUMMYFUNCTION("""COMPUTED_VALUE"""),2.650438305278554)</f>
        <v>2.650438305</v>
      </c>
      <c r="AH621" s="57">
        <f>IFERROR(__xludf.DUMMYFUNCTION("""COMPUTED_VALUE"""),0.9848856917167649)</f>
        <v>0.9848856917</v>
      </c>
      <c r="AI621" s="57">
        <f>IFERROR(__xludf.DUMMYFUNCTION("""COMPUTED_VALUE"""),1.00097450964175)</f>
        <v>1.00097451</v>
      </c>
      <c r="AJ621" s="57">
        <f>IFERROR(__xludf.DUMMYFUNCTION("""COMPUTED_VALUE"""),0.9381888134694235)</f>
        <v>0.9381888135</v>
      </c>
      <c r="AK621" s="57">
        <f>IFERROR(__xludf.DUMMYFUNCTION("""COMPUTED_VALUE"""),1.1436935628339766)</f>
        <v>1.143693563</v>
      </c>
      <c r="AL621" s="57">
        <f>IFERROR(__xludf.DUMMYFUNCTION("""COMPUTED_VALUE"""),0.9725854673334343)</f>
        <v>0.9725854673</v>
      </c>
      <c r="AM621" s="57">
        <f>IFERROR(__xludf.DUMMYFUNCTION("""COMPUTED_VALUE"""),0.9797708570136101)</f>
        <v>0.979770857</v>
      </c>
      <c r="AN621" s="57">
        <f>IFERROR(__xludf.DUMMYFUNCTION("""COMPUTED_VALUE"""),0.8620496222356361)</f>
        <v>0.8620496222</v>
      </c>
      <c r="AO621" s="57">
        <f>IFERROR(__xludf.DUMMYFUNCTION("""COMPUTED_VALUE"""),0.9229233029886682)</f>
        <v>0.922923303</v>
      </c>
      <c r="AP621" s="35">
        <f>IFERROR(__xludf.DUMMYFUNCTION("""COMPUTED_VALUE"""),1.084310125157183)</f>
        <v>1.084310125</v>
      </c>
      <c r="AQ621" s="57">
        <f>IFERROR(__xludf.DUMMYFUNCTION("""COMPUTED_VALUE"""),1.093815203489143)</f>
        <v>1.093815203</v>
      </c>
      <c r="AR621" s="36" t="b">
        <f>IFERROR(__xludf.DUMMYFUNCTION("""COMPUTED_VALUE"""),TRUE)</f>
        <v>1</v>
      </c>
      <c r="AS621" s="57"/>
      <c r="AT621" s="37"/>
      <c r="AU621" s="30"/>
      <c r="AV621" s="30"/>
      <c r="AW621" s="30"/>
      <c r="AX621" s="30"/>
      <c r="AY621" s="30"/>
      <c r="AZ621" s="30"/>
    </row>
    <row r="622">
      <c r="A622" s="30" t="str">
        <f>IFERROR(__xludf.DUMMYFUNCTION("""COMPUTED_VALUE"""),"Rival")</f>
        <v>Rival</v>
      </c>
      <c r="B622" s="30" t="str">
        <f>IFERROR(__xludf.DUMMYFUNCTION("""COMPUTED_VALUE"""),"RSC002267")</f>
        <v>RSC002267</v>
      </c>
      <c r="C622" s="30" t="str">
        <f>IFERROR(__xludf.DUMMYFUNCTION("""COMPUTED_VALUE"""),"Dooqal")</f>
        <v>Dooqal</v>
      </c>
      <c r="D622" s="31" t="str">
        <f>IFERROR(__xludf.DUMMYFUNCTION("""COMPUTED_VALUE"""),"Dracos")</f>
        <v>Dracos</v>
      </c>
      <c r="E622" s="31">
        <f>IFERROR(__xludf.DUMMYFUNCTION("""COMPUTED_VALUE"""),56.92012252610896)</f>
        <v>56.92012253</v>
      </c>
      <c r="F622" s="31">
        <f>IFERROR(__xludf.DUMMYFUNCTION("""COMPUTED_VALUE"""),2.557773983042607)</f>
        <v>2.557773983</v>
      </c>
      <c r="G622" s="31">
        <f>IFERROR(__xludf.DUMMYFUNCTION("""COMPUTED_VALUE"""),53.52722624456795)</f>
        <v>53.52722624</v>
      </c>
      <c r="H622" s="31">
        <f>IFERROR(__xludf.DUMMYFUNCTION("""COMPUTED_VALUE"""),2.2527606604383807)</f>
        <v>2.25276066</v>
      </c>
      <c r="I622" s="54">
        <f>IFERROR(__xludf.DUMMYFUNCTION("""COMPUTED_VALUE"""),36.0)</f>
        <v>36</v>
      </c>
      <c r="J622" s="55">
        <f>IFERROR(__xludf.DUMMYFUNCTION("""COMPUTED_VALUE"""),21.0)</f>
        <v>21</v>
      </c>
      <c r="K622" s="54">
        <f>IFERROR(__xludf.DUMMYFUNCTION("""COMPUTED_VALUE"""),15.0)</f>
        <v>15</v>
      </c>
      <c r="L622" s="56">
        <f>IFERROR(__xludf.DUMMYFUNCTION("""COMPUTED_VALUE"""),0.5833333333333334)</f>
        <v>0.5833333333</v>
      </c>
      <c r="M622" s="56">
        <f>IFERROR(__xludf.DUMMYFUNCTION("""COMPUTED_VALUE"""),0.3440860215053763)</f>
        <v>0.3440860215</v>
      </c>
      <c r="N622" s="31">
        <f>IFERROR(__xludf.DUMMYFUNCTION("""COMPUTED_VALUE"""),368.4166666666667)</f>
        <v>368.4166667</v>
      </c>
      <c r="O622" s="57">
        <f>IFERROR(__xludf.DUMMYFUNCTION("""COMPUTED_VALUE"""),0.8888888888888888)</f>
        <v>0.8888888889</v>
      </c>
      <c r="P622" s="57">
        <f>IFERROR(__xludf.DUMMYFUNCTION("""COMPUTED_VALUE"""),0.4722222222222222)</f>
        <v>0.4722222222</v>
      </c>
      <c r="Q622" s="57">
        <f>IFERROR(__xludf.DUMMYFUNCTION("""COMPUTED_VALUE"""),1.4722222222222223)</f>
        <v>1.472222222</v>
      </c>
      <c r="R622" s="57">
        <f>IFERROR(__xludf.DUMMYFUNCTION("""COMPUTED_VALUE"""),2.5833333333333335)</f>
        <v>2.583333333</v>
      </c>
      <c r="S622" s="31">
        <f>IFERROR(__xludf.DUMMYFUNCTION("""COMPUTED_VALUE"""),343.61111111111114)</f>
        <v>343.6111111</v>
      </c>
      <c r="T622" s="57">
        <f>IFERROR(__xludf.DUMMYFUNCTION("""COMPUTED_VALUE"""),0.7962962962962963)</f>
        <v>0.7962962963</v>
      </c>
      <c r="U622" s="57">
        <f>IFERROR(__xludf.DUMMYFUNCTION("""COMPUTED_VALUE"""),0.462962962962963)</f>
        <v>0.462962963</v>
      </c>
      <c r="V622" s="57">
        <f>IFERROR(__xludf.DUMMYFUNCTION("""COMPUTED_VALUE"""),1.2777777777777781)</f>
        <v>1.277777778</v>
      </c>
      <c r="W622" s="57">
        <f>IFERROR(__xludf.DUMMYFUNCTION("""COMPUTED_VALUE"""),2.6018518518518516)</f>
        <v>2.601851852</v>
      </c>
      <c r="X622" s="31">
        <f>IFERROR(__xludf.DUMMYFUNCTION("""COMPUTED_VALUE"""),352.5774625132409)</f>
        <v>352.5774625</v>
      </c>
      <c r="Y622" s="57">
        <f>IFERROR(__xludf.DUMMYFUNCTION("""COMPUTED_VALUE"""),0.7854129312718982)</f>
        <v>0.7854129313</v>
      </c>
      <c r="Z622" s="57">
        <f>IFERROR(__xludf.DUMMYFUNCTION("""COMPUTED_VALUE"""),0.5349741626793896)</f>
        <v>0.5349741627</v>
      </c>
      <c r="AA622" s="57">
        <f>IFERROR(__xludf.DUMMYFUNCTION("""COMPUTED_VALUE"""),1.3439111703772764)</f>
        <v>1.34391117</v>
      </c>
      <c r="AB622" s="57">
        <f>IFERROR(__xludf.DUMMYFUNCTION("""COMPUTED_VALUE"""),2.6848609869396527)</f>
        <v>2.684860987</v>
      </c>
      <c r="AC622" s="31">
        <f>IFERROR(__xludf.DUMMYFUNCTION("""COMPUTED_VALUE"""),358.578452272007)</f>
        <v>358.5784523</v>
      </c>
      <c r="AD622" s="57">
        <f>IFERROR(__xludf.DUMMYFUNCTION("""COMPUTED_VALUE"""),0.8440426828554479)</f>
        <v>0.8440426829</v>
      </c>
      <c r="AE622" s="57">
        <f>IFERROR(__xludf.DUMMYFUNCTION("""COMPUTED_VALUE"""),0.5949549878812225)</f>
        <v>0.5949549879</v>
      </c>
      <c r="AF622" s="57">
        <f>IFERROR(__xludf.DUMMYFUNCTION("""COMPUTED_VALUE"""),1.3273364396065899)</f>
        <v>1.32733644</v>
      </c>
      <c r="AG622" s="57">
        <f>IFERROR(__xludf.DUMMYFUNCTION("""COMPUTED_VALUE"""),2.625193833073289)</f>
        <v>2.625193833</v>
      </c>
      <c r="AH622" s="57">
        <f>IFERROR(__xludf.DUMMYFUNCTION("""COMPUTED_VALUE"""),1.0274367138692335)</f>
        <v>1.027436714</v>
      </c>
      <c r="AI622" s="57">
        <f>IFERROR(__xludf.DUMMYFUNCTION("""COMPUTED_VALUE"""),1.0531326281767215)</f>
        <v>1.053132628</v>
      </c>
      <c r="AJ622" s="57">
        <f>IFERROR(__xludf.DUMMYFUNCTION("""COMPUTED_VALUE"""),0.7937108383676534)</f>
        <v>0.7937108384</v>
      </c>
      <c r="AK622" s="57">
        <f>IFERROR(__xludf.DUMMYFUNCTION("""COMPUTED_VALUE"""),1.1091552814285541)</f>
        <v>1.109155281</v>
      </c>
      <c r="AL622" s="57">
        <f>IFERROR(__xludf.DUMMYFUNCTION("""COMPUTED_VALUE"""),0.9840543204038577)</f>
        <v>0.9840543204</v>
      </c>
      <c r="AM622" s="57">
        <f>IFERROR(__xludf.DUMMYFUNCTION("""COMPUTED_VALUE"""),0.9745691306012135)</f>
        <v>0.9745691306</v>
      </c>
      <c r="AN622" s="57">
        <f>IFERROR(__xludf.DUMMYFUNCTION("""COMPUTED_VALUE"""),1.013856870177543)</f>
        <v>1.01385687</v>
      </c>
      <c r="AO622" s="57">
        <f>IFERROR(__xludf.DUMMYFUNCTION("""COMPUTED_VALUE"""),0.8653931259861929)</f>
        <v>0.865393126</v>
      </c>
      <c r="AP622" s="35">
        <f>IFERROR(__xludf.DUMMYFUNCTION("""COMPUTED_VALUE"""),0.9507903542605926)</f>
        <v>0.9507903543</v>
      </c>
      <c r="AQ622" s="57">
        <f>IFERROR(__xludf.DUMMYFUNCTION("""COMPUTED_VALUE"""),0.9690825202900284)</f>
        <v>0.9690825203</v>
      </c>
      <c r="AR622" s="36" t="b">
        <f>IFERROR(__xludf.DUMMYFUNCTION("""COMPUTED_VALUE"""),TRUE)</f>
        <v>1</v>
      </c>
      <c r="AS622" s="57"/>
      <c r="AT622" s="37"/>
      <c r="AU622" s="30"/>
      <c r="AV622" s="30"/>
      <c r="AW622" s="30"/>
      <c r="AX622" s="30"/>
      <c r="AY622" s="30"/>
      <c r="AZ622" s="30"/>
    </row>
    <row r="623">
      <c r="A623" s="30" t="str">
        <f>IFERROR(__xludf.DUMMYFUNCTION("""COMPUTED_VALUE"""),"Rival")</f>
        <v>Rival</v>
      </c>
      <c r="B623" s="30" t="str">
        <f>IFERROR(__xludf.DUMMYFUNCTION("""COMPUTED_VALUE"""),"RSC002330")</f>
        <v>RSC002330</v>
      </c>
      <c r="C623" s="30" t="str">
        <f>IFERROR(__xludf.DUMMYFUNCTION("""COMPUTED_VALUE"""),"JesterGG")</f>
        <v>JesterGG</v>
      </c>
      <c r="D623" s="31" t="str">
        <f>IFERROR(__xludf.DUMMYFUNCTION("""COMPUTED_VALUE"""),"Polar Bears")</f>
        <v>Polar Bears</v>
      </c>
      <c r="E623" s="31">
        <f>IFERROR(__xludf.DUMMYFUNCTION("""COMPUTED_VALUE"""),56.54017210752731)</f>
        <v>56.54017211</v>
      </c>
      <c r="F623" s="31">
        <f>IFERROR(__xludf.DUMMYFUNCTION("""COMPUTED_VALUE"""),2.520083376317771)</f>
        <v>2.520083376</v>
      </c>
      <c r="G623" s="31">
        <f>IFERROR(__xludf.DUMMYFUNCTION("""COMPUTED_VALUE"""),50.750037234209074)</f>
        <v>50.75003723</v>
      </c>
      <c r="H623" s="31">
        <f>IFERROR(__xludf.DUMMYFUNCTION("""COMPUTED_VALUE"""),2.049042048261158)</f>
        <v>2.049042048</v>
      </c>
      <c r="I623" s="54">
        <f>IFERROR(__xludf.DUMMYFUNCTION("""COMPUTED_VALUE"""),26.0)</f>
        <v>26</v>
      </c>
      <c r="J623" s="55">
        <f>IFERROR(__xludf.DUMMYFUNCTION("""COMPUTED_VALUE"""),11.0)</f>
        <v>11</v>
      </c>
      <c r="K623" s="54">
        <f>IFERROR(__xludf.DUMMYFUNCTION("""COMPUTED_VALUE"""),15.0)</f>
        <v>15</v>
      </c>
      <c r="L623" s="56">
        <f>IFERROR(__xludf.DUMMYFUNCTION("""COMPUTED_VALUE"""),0.4230769230769231)</f>
        <v>0.4230769231</v>
      </c>
      <c r="M623" s="56">
        <f>IFERROR(__xludf.DUMMYFUNCTION("""COMPUTED_VALUE"""),0.1904761904761905)</f>
        <v>0.1904761905</v>
      </c>
      <c r="N623" s="31">
        <f>IFERROR(__xludf.DUMMYFUNCTION("""COMPUTED_VALUE"""),348.5)</f>
        <v>348.5</v>
      </c>
      <c r="O623" s="57">
        <f>IFERROR(__xludf.DUMMYFUNCTION("""COMPUTED_VALUE"""),0.6153846153846154)</f>
        <v>0.6153846154</v>
      </c>
      <c r="P623" s="57">
        <f>IFERROR(__xludf.DUMMYFUNCTION("""COMPUTED_VALUE"""),0.5769230769230769)</f>
        <v>0.5769230769</v>
      </c>
      <c r="Q623" s="57">
        <f>IFERROR(__xludf.DUMMYFUNCTION("""COMPUTED_VALUE"""),1.5)</f>
        <v>1.5</v>
      </c>
      <c r="R623" s="57">
        <f>IFERROR(__xludf.DUMMYFUNCTION("""COMPUTED_VALUE"""),3.230769230769231)</f>
        <v>3.230769231</v>
      </c>
      <c r="S623" s="31">
        <f>IFERROR(__xludf.DUMMYFUNCTION("""COMPUTED_VALUE"""),365.8846153846153)</f>
        <v>365.8846154</v>
      </c>
      <c r="T623" s="57">
        <f>IFERROR(__xludf.DUMMYFUNCTION("""COMPUTED_VALUE"""),0.8461538461538459)</f>
        <v>0.8461538462</v>
      </c>
      <c r="U623" s="57">
        <f>IFERROR(__xludf.DUMMYFUNCTION("""COMPUTED_VALUE"""),0.6153846153846155)</f>
        <v>0.6153846154</v>
      </c>
      <c r="V623" s="57">
        <f>IFERROR(__xludf.DUMMYFUNCTION("""COMPUTED_VALUE"""),1.41025641025641)</f>
        <v>1.41025641</v>
      </c>
      <c r="W623" s="57">
        <f>IFERROR(__xludf.DUMMYFUNCTION("""COMPUTED_VALUE"""),2.756410256410256)</f>
        <v>2.756410256</v>
      </c>
      <c r="X623" s="31">
        <f>IFERROR(__xludf.DUMMYFUNCTION("""COMPUTED_VALUE"""),353.0463194911566)</f>
        <v>353.0463195</v>
      </c>
      <c r="Y623" s="57">
        <f>IFERROR(__xludf.DUMMYFUNCTION("""COMPUTED_VALUE"""),0.844653361920132)</f>
        <v>0.8446533619</v>
      </c>
      <c r="Z623" s="57">
        <f>IFERROR(__xludf.DUMMYFUNCTION("""COMPUTED_VALUE"""),0.5943135689198389)</f>
        <v>0.5943135689</v>
      </c>
      <c r="AA623" s="57">
        <f>IFERROR(__xludf.DUMMYFUNCTION("""COMPUTED_VALUE"""),1.2500060467042038)</f>
        <v>1.250006047</v>
      </c>
      <c r="AB623" s="57">
        <f>IFERROR(__xludf.DUMMYFUNCTION("""COMPUTED_VALUE"""),2.703128459306879)</f>
        <v>2.703128459</v>
      </c>
      <c r="AC623" s="31">
        <f>IFERROR(__xludf.DUMMYFUNCTION("""COMPUTED_VALUE"""),338.1303797570479)</f>
        <v>338.1303798</v>
      </c>
      <c r="AD623" s="57">
        <f>IFERROR(__xludf.DUMMYFUNCTION("""COMPUTED_VALUE"""),0.7420910415379317)</f>
        <v>0.7420910415</v>
      </c>
      <c r="AE623" s="57">
        <f>IFERROR(__xludf.DUMMYFUNCTION("""COMPUTED_VALUE"""),0.5109921792152872)</f>
        <v>0.5109921792</v>
      </c>
      <c r="AF623" s="57">
        <f>IFERROR(__xludf.DUMMYFUNCTION("""COMPUTED_VALUE"""),1.3554741926262313)</f>
        <v>1.355474193</v>
      </c>
      <c r="AG623" s="57">
        <f>IFERROR(__xludf.DUMMYFUNCTION("""COMPUTED_VALUE"""),2.4406735967062456)</f>
        <v>2.440673597</v>
      </c>
      <c r="AH623" s="57">
        <f>IFERROR(__xludf.DUMMYFUNCTION("""COMPUTED_VALUE"""),1.0306675201749185)</f>
        <v>1.03066752</v>
      </c>
      <c r="AI623" s="57">
        <f>IFERROR(__xludf.DUMMYFUNCTION("""COMPUTED_VALUE"""),0.8292575721023042)</f>
        <v>0.8292575721</v>
      </c>
      <c r="AJ623" s="57">
        <f>IFERROR(__xludf.DUMMYFUNCTION("""COMPUTED_VALUE"""),1.1290252578993234)</f>
        <v>1.129025258</v>
      </c>
      <c r="AK623" s="57">
        <f>IFERROR(__xludf.DUMMYFUNCTION("""COMPUTED_VALUE"""),1.1066237986381355)</f>
        <v>1.106623799</v>
      </c>
      <c r="AL623" s="57">
        <f>IFERROR(__xludf.DUMMYFUNCTION("""COMPUTED_VALUE"""),1.3237203184929114)</f>
        <v>1.323720318</v>
      </c>
      <c r="AM623" s="57">
        <f>IFERROR(__xludf.DUMMYFUNCTION("""COMPUTED_VALUE"""),1.0363643385716708)</f>
        <v>1.036364339</v>
      </c>
      <c r="AN623" s="57">
        <f>IFERROR(__xludf.DUMMYFUNCTION("""COMPUTED_VALUE"""),1.0017764497264332)</f>
        <v>1.00177645</v>
      </c>
      <c r="AO623" s="57">
        <f>IFERROR(__xludf.DUMMYFUNCTION("""COMPUTED_VALUE"""),1.0354544260247551)</f>
        <v>1.035454426</v>
      </c>
      <c r="AP623" s="35">
        <f>IFERROR(__xludf.DUMMYFUNCTION("""COMPUTED_VALUE"""),1.1281996706933748)</f>
        <v>1.128199671</v>
      </c>
      <c r="AQ623" s="57">
        <f>IFERROR(__xludf.DUMMYFUNCTION("""COMPUTED_VALUE"""),1.019711159830354)</f>
        <v>1.01971116</v>
      </c>
      <c r="AR623" s="36" t="b">
        <f>IFERROR(__xludf.DUMMYFUNCTION("""COMPUTED_VALUE"""),TRUE)</f>
        <v>1</v>
      </c>
      <c r="AS623" s="57"/>
      <c r="AT623" s="37"/>
      <c r="AU623" s="30"/>
      <c r="AV623" s="30"/>
      <c r="AW623" s="30"/>
      <c r="AX623" s="30"/>
      <c r="AY623" s="30"/>
      <c r="AZ623" s="30"/>
    </row>
    <row r="624">
      <c r="A624" s="30" t="str">
        <f>IFERROR(__xludf.DUMMYFUNCTION("""COMPUTED_VALUE"""),"Rival")</f>
        <v>Rival</v>
      </c>
      <c r="B624" s="30" t="str">
        <f>IFERROR(__xludf.DUMMYFUNCTION("""COMPUTED_VALUE"""),"RSC000724")</f>
        <v>RSC000724</v>
      </c>
      <c r="C624" s="30" t="str">
        <f>IFERROR(__xludf.DUMMYFUNCTION("""COMPUTED_VALUE"""),"dunnie14")</f>
        <v>dunnie14</v>
      </c>
      <c r="D624" s="31" t="str">
        <f>IFERROR(__xludf.DUMMYFUNCTION("""COMPUTED_VALUE"""),"Ion Imperial")</f>
        <v>Ion Imperial</v>
      </c>
      <c r="E624" s="31">
        <f>IFERROR(__xludf.DUMMYFUNCTION("""COMPUTED_VALUE"""),56.33027221292909)</f>
        <v>56.33027221</v>
      </c>
      <c r="F624" s="31">
        <f>IFERROR(__xludf.DUMMYFUNCTION("""COMPUTED_VALUE"""),2.499671128213647)</f>
        <v>2.499671128</v>
      </c>
      <c r="G624" s="31">
        <f>IFERROR(__xludf.DUMMYFUNCTION("""COMPUTED_VALUE"""),54.025296776497875)</f>
        <v>54.02529678</v>
      </c>
      <c r="H624" s="31">
        <f>IFERROR(__xludf.DUMMYFUNCTION("""COMPUTED_VALUE"""),2.2933569281312187)</f>
        <v>2.293356928</v>
      </c>
      <c r="I624" s="54">
        <f>IFERROR(__xludf.DUMMYFUNCTION("""COMPUTED_VALUE"""),48.0)</f>
        <v>48</v>
      </c>
      <c r="J624" s="55">
        <f>IFERROR(__xludf.DUMMYFUNCTION("""COMPUTED_VALUE"""),29.0)</f>
        <v>29</v>
      </c>
      <c r="K624" s="54">
        <f>IFERROR(__xludf.DUMMYFUNCTION("""COMPUTED_VALUE"""),19.0)</f>
        <v>19</v>
      </c>
      <c r="L624" s="56">
        <f>IFERROR(__xludf.DUMMYFUNCTION("""COMPUTED_VALUE"""),0.6041666666666666)</f>
        <v>0.6041666667</v>
      </c>
      <c r="M624" s="56">
        <f>IFERROR(__xludf.DUMMYFUNCTION("""COMPUTED_VALUE"""),0.3457943925233645)</f>
        <v>0.3457943925</v>
      </c>
      <c r="N624" s="31">
        <f>IFERROR(__xludf.DUMMYFUNCTION("""COMPUTED_VALUE"""),361.2291666666667)</f>
        <v>361.2291667</v>
      </c>
      <c r="O624" s="57">
        <f>IFERROR(__xludf.DUMMYFUNCTION("""COMPUTED_VALUE"""),0.7708333333333334)</f>
        <v>0.7708333333</v>
      </c>
      <c r="P624" s="57">
        <f>IFERROR(__xludf.DUMMYFUNCTION("""COMPUTED_VALUE"""),0.6666666666666666)</f>
        <v>0.6666666667</v>
      </c>
      <c r="Q624" s="57">
        <f>IFERROR(__xludf.DUMMYFUNCTION("""COMPUTED_VALUE"""),1.3541666666666667)</f>
        <v>1.354166667</v>
      </c>
      <c r="R624" s="57">
        <f>IFERROR(__xludf.DUMMYFUNCTION("""COMPUTED_VALUE"""),2.2291666666666665)</f>
        <v>2.229166667</v>
      </c>
      <c r="S624" s="31">
        <f>IFERROR(__xludf.DUMMYFUNCTION("""COMPUTED_VALUE"""),336.4375000000001)</f>
        <v>336.4375</v>
      </c>
      <c r="T624" s="57">
        <f>IFERROR(__xludf.DUMMYFUNCTION("""COMPUTED_VALUE"""),0.6805555555555557)</f>
        <v>0.6805555556</v>
      </c>
      <c r="U624" s="57">
        <f>IFERROR(__xludf.DUMMYFUNCTION("""COMPUTED_VALUE"""),0.4930555555555555)</f>
        <v>0.4930555556</v>
      </c>
      <c r="V624" s="57">
        <f>IFERROR(__xludf.DUMMYFUNCTION("""COMPUTED_VALUE"""),1.4236111111111116)</f>
        <v>1.423611111</v>
      </c>
      <c r="W624" s="57">
        <f>IFERROR(__xludf.DUMMYFUNCTION("""COMPUTED_VALUE"""),2.388888888888889)</f>
        <v>2.388888889</v>
      </c>
      <c r="X624" s="31">
        <f>IFERROR(__xludf.DUMMYFUNCTION("""COMPUTED_VALUE"""),341.7355123034337)</f>
        <v>341.7355123</v>
      </c>
      <c r="Y624" s="57">
        <f>IFERROR(__xludf.DUMMYFUNCTION("""COMPUTED_VALUE"""),0.7528297071794451)</f>
        <v>0.7528297072</v>
      </c>
      <c r="Z624" s="57">
        <f>IFERROR(__xludf.DUMMYFUNCTION("""COMPUTED_VALUE"""),0.5204735015173059)</f>
        <v>0.5204735015</v>
      </c>
      <c r="AA624" s="57">
        <f>IFERROR(__xludf.DUMMYFUNCTION("""COMPUTED_VALUE"""),1.3197019928754663)</f>
        <v>1.319701993</v>
      </c>
      <c r="AB624" s="57">
        <f>IFERROR(__xludf.DUMMYFUNCTION("""COMPUTED_VALUE"""),2.559766365509251)</f>
        <v>2.559766366</v>
      </c>
      <c r="AC624" s="31">
        <f>IFERROR(__xludf.DUMMYFUNCTION("""COMPUTED_VALUE"""),356.0443240304974)</f>
        <v>356.044324</v>
      </c>
      <c r="AD624" s="57">
        <f>IFERROR(__xludf.DUMMYFUNCTION("""COMPUTED_VALUE"""),0.8354082370409627)</f>
        <v>0.835408237</v>
      </c>
      <c r="AE624" s="57">
        <f>IFERROR(__xludf.DUMMYFUNCTION("""COMPUTED_VALUE"""),0.5899797838414229)</f>
        <v>0.5899797838</v>
      </c>
      <c r="AF624" s="57">
        <f>IFERROR(__xludf.DUMMYFUNCTION("""COMPUTED_VALUE"""),1.3096293103587946)</f>
        <v>1.30962931</v>
      </c>
      <c r="AG624" s="57">
        <f>IFERROR(__xludf.DUMMYFUNCTION("""COMPUTED_VALUE"""),2.6017962628998355)</f>
        <v>2.601796263</v>
      </c>
      <c r="AH624" s="57">
        <f>IFERROR(__xludf.DUMMYFUNCTION("""COMPUTED_VALUE"""),1.0145623516125064)</f>
        <v>1.014562352</v>
      </c>
      <c r="AI624" s="57">
        <f>IFERROR(__xludf.DUMMYFUNCTION("""COMPUTED_VALUE"""),0.9227025772018298)</f>
        <v>0.9227025772</v>
      </c>
      <c r="AJ624" s="57">
        <f>IFERROR(__xludf.DUMMYFUNCTION("""COMPUTED_VALUE"""),1.1299822212990538)</f>
        <v>1.129982221</v>
      </c>
      <c r="AK624" s="57">
        <f>IFERROR(__xludf.DUMMYFUNCTION("""COMPUTED_VALUE"""),1.0340076050189122)</f>
        <v>1.034007605</v>
      </c>
      <c r="AL624" s="57">
        <f>IFERROR(__xludf.DUMMYFUNCTION("""COMPUTED_VALUE"""),0.8567798710657482)</f>
        <v>0.8567798711</v>
      </c>
      <c r="AM624" s="57">
        <f>IFERROR(__xludf.DUMMYFUNCTION("""COMPUTED_VALUE"""),0.9844967464232123)</f>
        <v>0.9844967464</v>
      </c>
      <c r="AN624" s="57">
        <f>IFERROR(__xludf.DUMMYFUNCTION("""COMPUTED_VALUE"""),0.9039966795483244)</f>
        <v>0.9039966795</v>
      </c>
      <c r="AO624" s="57">
        <f>IFERROR(__xludf.DUMMYFUNCTION("""COMPUTED_VALUE"""),0.9473211491424243)</f>
        <v>0.9473211491</v>
      </c>
      <c r="AP624" s="35">
        <f>IFERROR(__xludf.DUMMYFUNCTION("""COMPUTED_VALUE"""),1.0787368048215493)</f>
        <v>1.078736805</v>
      </c>
      <c r="AQ624" s="57">
        <f>IFERROR(__xludf.DUMMYFUNCTION("""COMPUTED_VALUE"""),0.9332448933923049)</f>
        <v>0.9332448934</v>
      </c>
      <c r="AR624" s="36" t="b">
        <f>IFERROR(__xludf.DUMMYFUNCTION("""COMPUTED_VALUE"""),TRUE)</f>
        <v>1</v>
      </c>
      <c r="AS624" s="57"/>
      <c r="AT624" s="37"/>
      <c r="AU624" s="30"/>
      <c r="AV624" s="30"/>
      <c r="AW624" s="30"/>
      <c r="AX624" s="30"/>
      <c r="AY624" s="30"/>
      <c r="AZ624" s="30"/>
    </row>
    <row r="625">
      <c r="A625" s="30" t="str">
        <f>IFERROR(__xludf.DUMMYFUNCTION("""COMPUTED_VALUE"""),"Rival")</f>
        <v>Rival</v>
      </c>
      <c r="B625" s="30" t="str">
        <f>IFERROR(__xludf.DUMMYFUNCTION("""COMPUTED_VALUE"""),"RSC005077")</f>
        <v>RSC005077</v>
      </c>
      <c r="C625" s="30" t="str">
        <f>IFERROR(__xludf.DUMMYFUNCTION("""COMPUTED_VALUE"""),"kbm grifter")</f>
        <v>kbm grifter</v>
      </c>
      <c r="D625" s="31" t="str">
        <f>IFERROR(__xludf.DUMMYFUNCTION("""COMPUTED_VALUE"""),"Blizzards")</f>
        <v>Blizzards</v>
      </c>
      <c r="E625" s="31">
        <f>IFERROR(__xludf.DUMMYFUNCTION("""COMPUTED_VALUE"""),56.05735659991274)</f>
        <v>56.0573566</v>
      </c>
      <c r="F625" s="31">
        <f>IFERROR(__xludf.DUMMYFUNCTION("""COMPUTED_VALUE"""),2.4735571850050007)</f>
        <v>2.473557185</v>
      </c>
      <c r="G625" s="31">
        <f>IFERROR(__xludf.DUMMYFUNCTION("""COMPUTED_VALUE"""),39.18395877024582)</f>
        <v>39.18395877</v>
      </c>
      <c r="H625" s="31">
        <f>IFERROR(__xludf.DUMMYFUNCTION("""COMPUTED_VALUE"""),-3.006275026780081)</f>
        <v>-3.006275027</v>
      </c>
      <c r="I625" s="54">
        <f>IFERROR(__xludf.DUMMYFUNCTION("""COMPUTED_VALUE"""),12.0)</f>
        <v>12</v>
      </c>
      <c r="J625" s="55">
        <f>IFERROR(__xludf.DUMMYFUNCTION("""COMPUTED_VALUE"""),5.0)</f>
        <v>5</v>
      </c>
      <c r="K625" s="54">
        <f>IFERROR(__xludf.DUMMYFUNCTION("""COMPUTED_VALUE"""),7.0)</f>
        <v>7</v>
      </c>
      <c r="L625" s="56">
        <f>IFERROR(__xludf.DUMMYFUNCTION("""COMPUTED_VALUE"""),0.4166666666666667)</f>
        <v>0.4166666667</v>
      </c>
      <c r="M625" s="56">
        <f>IFERROR(__xludf.DUMMYFUNCTION("""COMPUTED_VALUE"""),0.24390243902439027)</f>
        <v>0.243902439</v>
      </c>
      <c r="N625" s="31">
        <f>IFERROR(__xludf.DUMMYFUNCTION("""COMPUTED_VALUE"""),376.25)</f>
        <v>376.25</v>
      </c>
      <c r="O625" s="57">
        <f>IFERROR(__xludf.DUMMYFUNCTION("""COMPUTED_VALUE"""),0.8333333333333334)</f>
        <v>0.8333333333</v>
      </c>
      <c r="P625" s="57">
        <f>IFERROR(__xludf.DUMMYFUNCTION("""COMPUTED_VALUE"""),0.3333333333333333)</f>
        <v>0.3333333333</v>
      </c>
      <c r="Q625" s="57">
        <f>IFERROR(__xludf.DUMMYFUNCTION("""COMPUTED_VALUE"""),1.5833333333333333)</f>
        <v>1.583333333</v>
      </c>
      <c r="R625" s="57">
        <f>IFERROR(__xludf.DUMMYFUNCTION("""COMPUTED_VALUE"""),3.4166666666666665)</f>
        <v>3.416666667</v>
      </c>
      <c r="S625" s="31">
        <f>IFERROR(__xludf.DUMMYFUNCTION("""COMPUTED_VALUE"""),408.2777777777778)</f>
        <v>408.2777778</v>
      </c>
      <c r="T625" s="57">
        <f>IFERROR(__xludf.DUMMYFUNCTION("""COMPUTED_VALUE"""),0.9444444444444445)</f>
        <v>0.9444444444</v>
      </c>
      <c r="U625" s="57">
        <f>IFERROR(__xludf.DUMMYFUNCTION("""COMPUTED_VALUE"""),0.611111111111111)</f>
        <v>0.6111111111</v>
      </c>
      <c r="V625" s="57">
        <f>IFERROR(__xludf.DUMMYFUNCTION("""COMPUTED_VALUE"""),1.75)</f>
        <v>1.75</v>
      </c>
      <c r="W625" s="57">
        <f>IFERROR(__xludf.DUMMYFUNCTION("""COMPUTED_VALUE"""),3.083333333333334)</f>
        <v>3.083333333</v>
      </c>
      <c r="X625" s="31">
        <f>IFERROR(__xludf.DUMMYFUNCTION("""COMPUTED_VALUE"""),360.7527344121673)</f>
        <v>360.7527344</v>
      </c>
      <c r="Y625" s="57">
        <f>IFERROR(__xludf.DUMMYFUNCTION("""COMPUTED_VALUE"""),0.8372335103217182)</f>
        <v>0.8372335103</v>
      </c>
      <c r="Z625" s="57">
        <f>IFERROR(__xludf.DUMMYFUNCTION("""COMPUTED_VALUE"""),0.5378802913683413)</f>
        <v>0.5378802914</v>
      </c>
      <c r="AA625" s="57">
        <f>IFERROR(__xludf.DUMMYFUNCTION("""COMPUTED_VALUE"""),1.4174078262220238)</f>
        <v>1.417407826</v>
      </c>
      <c r="AB625" s="57">
        <f>IFERROR(__xludf.DUMMYFUNCTION("""COMPUTED_VALUE"""),2.6354704249498733)</f>
        <v>2.635470425</v>
      </c>
      <c r="AC625" s="31">
        <f>IFERROR(__xludf.DUMMYFUNCTION("""COMPUTED_VALUE"""),340.72489667085364)</f>
        <v>340.7248967</v>
      </c>
      <c r="AD625" s="57">
        <f>IFERROR(__xludf.DUMMYFUNCTION("""COMPUTED_VALUE"""),0.7337501066399214)</f>
        <v>0.7337501066</v>
      </c>
      <c r="AE625" s="57">
        <f>IFERROR(__xludf.DUMMYFUNCTION("""COMPUTED_VALUE"""),0.4925638213547901)</f>
        <v>0.4925638214</v>
      </c>
      <c r="AF625" s="57">
        <f>IFERROR(__xludf.DUMMYFUNCTION("""COMPUTED_VALUE"""),1.3274856916139604)</f>
        <v>1.327485692</v>
      </c>
      <c r="AG625" s="57">
        <f>IFERROR(__xludf.DUMMYFUNCTION("""COMPUTED_VALUE"""),2.559081194551839)</f>
        <v>2.559081195</v>
      </c>
      <c r="AH625" s="57">
        <f>IFERROR(__xludf.DUMMYFUNCTION("""COMPUTED_VALUE"""),1.104263303551499)</f>
        <v>1.104263304</v>
      </c>
      <c r="AI625" s="57">
        <f>IFERROR(__xludf.DUMMYFUNCTION("""COMPUTED_VALUE"""),1.1357181767910547)</f>
        <v>1.135718177</v>
      </c>
      <c r="AJ625" s="57">
        <f>IFERROR(__xludf.DUMMYFUNCTION("""COMPUTED_VALUE"""),0.6767312556908961)</f>
        <v>0.6767312557</v>
      </c>
      <c r="AK625" s="57">
        <f>IFERROR(__xludf.DUMMYFUNCTION("""COMPUTED_VALUE"""),1.1927309976564138)</f>
        <v>1.192730998</v>
      </c>
      <c r="AL625" s="57">
        <f>IFERROR(__xludf.DUMMYFUNCTION("""COMPUTED_VALUE"""),1.3351146004826209)</f>
        <v>1.3351146</v>
      </c>
      <c r="AM625" s="57">
        <f>IFERROR(__xludf.DUMMYFUNCTION("""COMPUTED_VALUE"""),1.1317385533973867)</f>
        <v>1.131738553</v>
      </c>
      <c r="AN625" s="57">
        <f>IFERROR(__xludf.DUMMYFUNCTION("""COMPUTED_VALUE"""),1.1280538019572688)</f>
        <v>1.128053802</v>
      </c>
      <c r="AO625" s="57">
        <f>IFERROR(__xludf.DUMMYFUNCTION("""COMPUTED_VALUE"""),1.136147058960785)</f>
        <v>1.136147059</v>
      </c>
      <c r="AP625" s="35">
        <f>IFERROR(__xludf.DUMMYFUNCTION("""COMPUTED_VALUE"""),1.2346481849648534)</f>
        <v>1.234648185</v>
      </c>
      <c r="AQ625" s="57">
        <f>IFERROR(__xludf.DUMMYFUNCTION("""COMPUTED_VALUE"""),1.1699366094734223)</f>
        <v>1.169936609</v>
      </c>
      <c r="AR625" s="36" t="b">
        <f>IFERROR(__xludf.DUMMYFUNCTION("""COMPUTED_VALUE"""),TRUE)</f>
        <v>1</v>
      </c>
      <c r="AS625" s="57"/>
      <c r="AT625" s="37"/>
      <c r="AU625" s="30"/>
      <c r="AV625" s="30"/>
      <c r="AW625" s="30"/>
      <c r="AX625" s="30"/>
      <c r="AY625" s="30"/>
      <c r="AZ625" s="30"/>
    </row>
    <row r="626">
      <c r="A626" s="30" t="str">
        <f>IFERROR(__xludf.DUMMYFUNCTION("""COMPUTED_VALUE"""),"Rival")</f>
        <v>Rival</v>
      </c>
      <c r="B626" s="30" t="str">
        <f>IFERROR(__xludf.DUMMYFUNCTION("""COMPUTED_VALUE"""),"RSC001082")</f>
        <v>RSC001082</v>
      </c>
      <c r="C626" s="30" t="str">
        <f>IFERROR(__xludf.DUMMYFUNCTION("""COMPUTED_VALUE"""),"Tuxedo Marx")</f>
        <v>Tuxedo Marx</v>
      </c>
      <c r="D626" s="31" t="str">
        <f>IFERROR(__xludf.DUMMYFUNCTION("""COMPUTED_VALUE"""),"Asiago Arsonists")</f>
        <v>Asiago Arsonists</v>
      </c>
      <c r="E626" s="31">
        <f>IFERROR(__xludf.DUMMYFUNCTION("""COMPUTED_VALUE"""),56.02844937019432)</f>
        <v>56.02844937</v>
      </c>
      <c r="F626" s="31">
        <f>IFERROR(__xludf.DUMMYFUNCTION("""COMPUTED_VALUE"""),2.47081906666442)</f>
        <v>2.470819067</v>
      </c>
      <c r="G626" s="31">
        <f>IFERROR(__xludf.DUMMYFUNCTION("""COMPUTED_VALUE"""),52.32838773087141)</f>
        <v>52.32838773</v>
      </c>
      <c r="H626" s="31">
        <f>IFERROR(__xludf.DUMMYFUNCTION("""COMPUTED_VALUE"""),2.1603033490331276)</f>
        <v>2.160303349</v>
      </c>
      <c r="I626" s="54">
        <f>IFERROR(__xludf.DUMMYFUNCTION("""COMPUTED_VALUE"""),48.0)</f>
        <v>48</v>
      </c>
      <c r="J626" s="55">
        <f>IFERROR(__xludf.DUMMYFUNCTION("""COMPUTED_VALUE"""),23.0)</f>
        <v>23</v>
      </c>
      <c r="K626" s="54">
        <f>IFERROR(__xludf.DUMMYFUNCTION("""COMPUTED_VALUE"""),25.0)</f>
        <v>25</v>
      </c>
      <c r="L626" s="56">
        <f>IFERROR(__xludf.DUMMYFUNCTION("""COMPUTED_VALUE"""),0.4791666666666667)</f>
        <v>0.4791666667</v>
      </c>
      <c r="M626" s="56">
        <f>IFERROR(__xludf.DUMMYFUNCTION("""COMPUTED_VALUE"""),0.3828125)</f>
        <v>0.3828125</v>
      </c>
      <c r="N626" s="31">
        <f>IFERROR(__xludf.DUMMYFUNCTION("""COMPUTED_VALUE"""),336.1041666666667)</f>
        <v>336.1041667</v>
      </c>
      <c r="O626" s="57">
        <f>IFERROR(__xludf.DUMMYFUNCTION("""COMPUTED_VALUE"""),1.0208333333333333)</f>
        <v>1.020833333</v>
      </c>
      <c r="P626" s="57">
        <f>IFERROR(__xludf.DUMMYFUNCTION("""COMPUTED_VALUE"""),0.2916666666666667)</f>
        <v>0.2916666667</v>
      </c>
      <c r="Q626" s="57">
        <f>IFERROR(__xludf.DUMMYFUNCTION("""COMPUTED_VALUE"""),0.875)</f>
        <v>0.875</v>
      </c>
      <c r="R626" s="57">
        <f>IFERROR(__xludf.DUMMYFUNCTION("""COMPUTED_VALUE"""),2.6666666666666665)</f>
        <v>2.666666667</v>
      </c>
      <c r="S626" s="31">
        <f>IFERROR(__xludf.DUMMYFUNCTION("""COMPUTED_VALUE"""),335.0208333333333)</f>
        <v>335.0208333</v>
      </c>
      <c r="T626" s="57">
        <f>IFERROR(__xludf.DUMMYFUNCTION("""COMPUTED_VALUE"""),0.7222222222222222)</f>
        <v>0.7222222222</v>
      </c>
      <c r="U626" s="57">
        <f>IFERROR(__xludf.DUMMYFUNCTION("""COMPUTED_VALUE"""),0.5208333333333334)</f>
        <v>0.5208333333</v>
      </c>
      <c r="V626" s="57">
        <f>IFERROR(__xludf.DUMMYFUNCTION("""COMPUTED_VALUE"""),1.2083333333333333)</f>
        <v>1.208333333</v>
      </c>
      <c r="W626" s="57">
        <f>IFERROR(__xludf.DUMMYFUNCTION("""COMPUTED_VALUE"""),2.3611111111111116)</f>
        <v>2.361111111</v>
      </c>
      <c r="X626" s="31">
        <f>IFERROR(__xludf.DUMMYFUNCTION("""COMPUTED_VALUE"""),347.0752300741706)</f>
        <v>347.0752301</v>
      </c>
      <c r="Y626" s="57">
        <f>IFERROR(__xludf.DUMMYFUNCTION("""COMPUTED_VALUE"""),0.7480340506494075)</f>
        <v>0.7480340506</v>
      </c>
      <c r="Z626" s="57">
        <f>IFERROR(__xludf.DUMMYFUNCTION("""COMPUTED_VALUE"""),0.5700153598580285)</f>
        <v>0.5700153599</v>
      </c>
      <c r="AA626" s="57">
        <f>IFERROR(__xludf.DUMMYFUNCTION("""COMPUTED_VALUE"""),1.3370696819841745)</f>
        <v>1.337069682</v>
      </c>
      <c r="AB626" s="57">
        <f>IFERROR(__xludf.DUMMYFUNCTION("""COMPUTED_VALUE"""),2.573451451722119)</f>
        <v>2.573451452</v>
      </c>
      <c r="AC626" s="31">
        <f>IFERROR(__xludf.DUMMYFUNCTION("""COMPUTED_VALUE"""),351.4829700853846)</f>
        <v>351.4829701</v>
      </c>
      <c r="AD626" s="57">
        <f>IFERROR(__xludf.DUMMYFUNCTION("""COMPUTED_VALUE"""),0.7904378587836072)</f>
        <v>0.7904378588</v>
      </c>
      <c r="AE626" s="57">
        <f>IFERROR(__xludf.DUMMYFUNCTION("""COMPUTED_VALUE"""),0.5700375109717155)</f>
        <v>0.570037511</v>
      </c>
      <c r="AF626" s="57">
        <f>IFERROR(__xludf.DUMMYFUNCTION("""COMPUTED_VALUE"""),1.3338635396349614)</f>
        <v>1.33386354</v>
      </c>
      <c r="AG626" s="57">
        <f>IFERROR(__xludf.DUMMYFUNCTION("""COMPUTED_VALUE"""),2.6125287591613877)</f>
        <v>2.612528759</v>
      </c>
      <c r="AH626" s="57">
        <f>IFERROR(__xludf.DUMMYFUNCTION("""COMPUTED_VALUE"""),0.9562459500812174)</f>
        <v>0.9562459501</v>
      </c>
      <c r="AI626" s="57">
        <f>IFERROR(__xludf.DUMMYFUNCTION("""COMPUTED_VALUE"""),1.2914782888869698)</f>
        <v>1.291478289</v>
      </c>
      <c r="AJ626" s="57">
        <f>IFERROR(__xludf.DUMMYFUNCTION("""COMPUTED_VALUE"""),0.5116622345948366)</f>
        <v>0.5116622346</v>
      </c>
      <c r="AK626" s="57">
        <f>IFERROR(__xludf.DUMMYFUNCTION("""COMPUTED_VALUE"""),0.6559891428170092)</f>
        <v>0.6559891428</v>
      </c>
      <c r="AL626" s="57">
        <f>IFERROR(__xludf.DUMMYFUNCTION("""COMPUTED_VALUE"""),1.0207224159027657)</f>
        <v>1.020722416</v>
      </c>
      <c r="AM626" s="57">
        <f>IFERROR(__xludf.DUMMYFUNCTION("""COMPUTED_VALUE"""),0.9652686343008079)</f>
        <v>0.9652686343</v>
      </c>
      <c r="AN626" s="57">
        <f>IFERROR(__xludf.DUMMYFUNCTION("""COMPUTED_VALUE"""),0.9654937787861706)</f>
        <v>0.9654937788</v>
      </c>
      <c r="AO626" s="57">
        <f>IFERROR(__xludf.DUMMYFUNCTION("""COMPUTED_VALUE"""),0.9137180679886509)</f>
        <v>0.913718068</v>
      </c>
      <c r="AP626" s="35">
        <f>IFERROR(__xludf.DUMMYFUNCTION("""COMPUTED_VALUE"""),0.903717547121553)</f>
        <v>0.9037175471</v>
      </c>
      <c r="AQ626" s="57">
        <f>IFERROR(__xludf.DUMMYFUNCTION("""COMPUTED_VALUE"""),0.9174881109690598)</f>
        <v>0.917488111</v>
      </c>
      <c r="AR626" s="36" t="b">
        <f>IFERROR(__xludf.DUMMYFUNCTION("""COMPUTED_VALUE"""),TRUE)</f>
        <v>1</v>
      </c>
      <c r="AS626" s="57"/>
      <c r="AT626" s="37"/>
      <c r="AU626" s="30"/>
      <c r="AV626" s="30"/>
      <c r="AW626" s="30"/>
      <c r="AX626" s="30"/>
      <c r="AY626" s="30"/>
      <c r="AZ626" s="30"/>
    </row>
    <row r="627">
      <c r="A627" s="30" t="str">
        <f>IFERROR(__xludf.DUMMYFUNCTION("""COMPUTED_VALUE"""),"Rival")</f>
        <v>Rival</v>
      </c>
      <c r="B627" s="30" t="str">
        <f>IFERROR(__xludf.DUMMYFUNCTION("""COMPUTED_VALUE"""),"RSC005752")</f>
        <v>RSC005752</v>
      </c>
      <c r="C627" s="30" t="str">
        <f>IFERROR(__xludf.DUMMYFUNCTION("""COMPUTED_VALUE"""),"surge85")</f>
        <v>surge85</v>
      </c>
      <c r="D627" s="31" t="str">
        <f>IFERROR(__xludf.DUMMYFUNCTION("""COMPUTED_VALUE"""),"Polar Bears")</f>
        <v>Polar Bears</v>
      </c>
      <c r="E627" s="31">
        <f>IFERROR(__xludf.DUMMYFUNCTION("""COMPUTED_VALUE"""),55.27803115448981)</f>
        <v>55.27803115</v>
      </c>
      <c r="F627" s="31">
        <f>IFERROR(__xludf.DUMMYFUNCTION("""COMPUTED_VALUE"""),2.4015581449217396)</f>
        <v>2.401558145</v>
      </c>
      <c r="G627" s="31">
        <f>IFERROR(__xludf.DUMMYFUNCTION("""COMPUTED_VALUE"""),50.88676454957294)</f>
        <v>50.88676455</v>
      </c>
      <c r="H627" s="31">
        <f>IFERROR(__xludf.DUMMYFUNCTION("""COMPUTED_VALUE"""),2.0582388907431106)</f>
        <v>2.058238891</v>
      </c>
      <c r="I627" s="54">
        <f>IFERROR(__xludf.DUMMYFUNCTION("""COMPUTED_VALUE"""),45.0)</f>
        <v>45</v>
      </c>
      <c r="J627" s="55">
        <f>IFERROR(__xludf.DUMMYFUNCTION("""COMPUTED_VALUE"""),22.0)</f>
        <v>22</v>
      </c>
      <c r="K627" s="54">
        <f>IFERROR(__xludf.DUMMYFUNCTION("""COMPUTED_VALUE"""),23.0)</f>
        <v>23</v>
      </c>
      <c r="L627" s="56">
        <f>IFERROR(__xludf.DUMMYFUNCTION("""COMPUTED_VALUE"""),0.4888888888888889)</f>
        <v>0.4888888889</v>
      </c>
      <c r="M627" s="56">
        <f>IFERROR(__xludf.DUMMYFUNCTION("""COMPUTED_VALUE"""),0.35398230088495575)</f>
        <v>0.3539823009</v>
      </c>
      <c r="N627" s="31">
        <f>IFERROR(__xludf.DUMMYFUNCTION("""COMPUTED_VALUE"""),375.68888888888887)</f>
        <v>375.6888889</v>
      </c>
      <c r="O627" s="57">
        <f>IFERROR(__xludf.DUMMYFUNCTION("""COMPUTED_VALUE"""),0.8888888888888888)</f>
        <v>0.8888888889</v>
      </c>
      <c r="P627" s="57">
        <f>IFERROR(__xludf.DUMMYFUNCTION("""COMPUTED_VALUE"""),0.37777777777777777)</f>
        <v>0.3777777778</v>
      </c>
      <c r="Q627" s="57">
        <f>IFERROR(__xludf.DUMMYFUNCTION("""COMPUTED_VALUE"""),1.4666666666666666)</f>
        <v>1.466666667</v>
      </c>
      <c r="R627" s="57">
        <f>IFERROR(__xludf.DUMMYFUNCTION("""COMPUTED_VALUE"""),2.511111111111111)</f>
        <v>2.511111111</v>
      </c>
      <c r="S627" s="31">
        <f>IFERROR(__xludf.DUMMYFUNCTION("""COMPUTED_VALUE"""),358.6814814814815)</f>
        <v>358.6814815</v>
      </c>
      <c r="T627" s="57">
        <f>IFERROR(__xludf.DUMMYFUNCTION("""COMPUTED_VALUE"""),0.8074074074074075)</f>
        <v>0.8074074074</v>
      </c>
      <c r="U627" s="57">
        <f>IFERROR(__xludf.DUMMYFUNCTION("""COMPUTED_VALUE"""),0.6148148148148146)</f>
        <v>0.6148148148</v>
      </c>
      <c r="V627" s="57">
        <f>IFERROR(__xludf.DUMMYFUNCTION("""COMPUTED_VALUE"""),1.3925925925925926)</f>
        <v>1.392592593</v>
      </c>
      <c r="W627" s="57">
        <f>IFERROR(__xludf.DUMMYFUNCTION("""COMPUTED_VALUE"""),2.6148148148148147)</f>
        <v>2.614814815</v>
      </c>
      <c r="X627" s="31">
        <f>IFERROR(__xludf.DUMMYFUNCTION("""COMPUTED_VALUE"""),355.80459439977795)</f>
        <v>355.8045944</v>
      </c>
      <c r="Y627" s="57">
        <f>IFERROR(__xludf.DUMMYFUNCTION("""COMPUTED_VALUE"""),0.8246751654436526)</f>
        <v>0.8246751654</v>
      </c>
      <c r="Z627" s="57">
        <f>IFERROR(__xludf.DUMMYFUNCTION("""COMPUTED_VALUE"""),0.5785844157203214)</f>
        <v>0.5785844157</v>
      </c>
      <c r="AA627" s="57">
        <f>IFERROR(__xludf.DUMMYFUNCTION("""COMPUTED_VALUE"""),1.3329400797313702)</f>
        <v>1.33294008</v>
      </c>
      <c r="AB627" s="57">
        <f>IFERROR(__xludf.DUMMYFUNCTION("""COMPUTED_VALUE"""),2.5949256726070753)</f>
        <v>2.594925673</v>
      </c>
      <c r="AC627" s="31">
        <f>IFERROR(__xludf.DUMMYFUNCTION("""COMPUTED_VALUE"""),340.7165360165755)</f>
        <v>340.716536</v>
      </c>
      <c r="AD627" s="57">
        <f>IFERROR(__xludf.DUMMYFUNCTION("""COMPUTED_VALUE"""),0.7543356020691726)</f>
        <v>0.7543356021</v>
      </c>
      <c r="AE627" s="57">
        <f>IFERROR(__xludf.DUMMYFUNCTION("""COMPUTED_VALUE"""),0.5321816673273131)</f>
        <v>0.5321816673</v>
      </c>
      <c r="AF627" s="57">
        <f>IFERROR(__xludf.DUMMYFUNCTION("""COMPUTED_VALUE"""),1.2894037324387762)</f>
        <v>1.289403732</v>
      </c>
      <c r="AG627" s="57">
        <f>IFERROR(__xludf.DUMMYFUNCTION("""COMPUTED_VALUE"""),2.5123784583064968)</f>
        <v>2.512378458</v>
      </c>
      <c r="AH627" s="57">
        <f>IFERROR(__xludf.DUMMYFUNCTION("""COMPUTED_VALUE"""),1.1026435443409532)</f>
        <v>1.102643544</v>
      </c>
      <c r="AI627" s="57">
        <f>IFERROR(__xludf.DUMMYFUNCTION("""COMPUTED_VALUE"""),1.1783732418974144)</f>
        <v>1.178373242</v>
      </c>
      <c r="AJ627" s="57">
        <f>IFERROR(__xludf.DUMMYFUNCTION("""COMPUTED_VALUE"""),0.7098661997791617)</f>
        <v>0.7098661998</v>
      </c>
      <c r="AK627" s="57">
        <f>IFERROR(__xludf.DUMMYFUNCTION("""COMPUTED_VALUE"""),1.1374766721766933)</f>
        <v>1.137476672</v>
      </c>
      <c r="AL627" s="57">
        <f>IFERROR(__xludf.DUMMYFUNCTION("""COMPUTED_VALUE"""),0.999495558803573)</f>
        <v>0.9994955588</v>
      </c>
      <c r="AM627" s="57">
        <f>IFERROR(__xludf.DUMMYFUNCTION("""COMPUTED_VALUE"""),1.0080855816000822)</f>
        <v>1.008085582</v>
      </c>
      <c r="AN627" s="57">
        <f>IFERROR(__xludf.DUMMYFUNCTION("""COMPUTED_VALUE"""),0.9790611397556084)</f>
        <v>0.9790611398</v>
      </c>
      <c r="AO627" s="57">
        <f>IFERROR(__xludf.DUMMYFUNCTION("""COMPUTED_VALUE"""),1.0626190372745996)</f>
        <v>1.062619037</v>
      </c>
      <c r="AP627" s="35">
        <f>IFERROR(__xludf.DUMMYFUNCTION("""COMPUTED_VALUE"""),1.0447525839820528)</f>
        <v>1.044752584</v>
      </c>
      <c r="AQ627" s="57">
        <f>IFERROR(__xludf.DUMMYFUNCTION("""COMPUTED_VALUE"""),1.0076646288630522)</f>
        <v>1.007664629</v>
      </c>
      <c r="AR627" s="36" t="b">
        <f>IFERROR(__xludf.DUMMYFUNCTION("""COMPUTED_VALUE"""),TRUE)</f>
        <v>1</v>
      </c>
      <c r="AS627" s="57"/>
      <c r="AT627" s="37"/>
      <c r="AU627" s="30"/>
      <c r="AV627" s="30"/>
      <c r="AW627" s="30"/>
      <c r="AX627" s="30"/>
      <c r="AY627" s="30"/>
      <c r="AZ627" s="30"/>
    </row>
    <row r="628">
      <c r="A628" s="30" t="str">
        <f>IFERROR(__xludf.DUMMYFUNCTION("""COMPUTED_VALUE"""),"Rival")</f>
        <v>Rival</v>
      </c>
      <c r="B628" s="30" t="str">
        <f>IFERROR(__xludf.DUMMYFUNCTION("""COMPUTED_VALUE"""),"RSC003239")</f>
        <v>RSC003239</v>
      </c>
      <c r="C628" s="30" t="str">
        <f>IFERROR(__xludf.DUMMYFUNCTION("""COMPUTED_VALUE"""),"Wallaby Gangsta")</f>
        <v>Wallaby Gangsta</v>
      </c>
      <c r="D628" s="31" t="str">
        <f>IFERROR(__xludf.DUMMYFUNCTION("""COMPUTED_VALUE"""),"Necrotic Nerds")</f>
        <v>Necrotic Nerds</v>
      </c>
      <c r="E628" s="31">
        <f>IFERROR(__xludf.DUMMYFUNCTION("""COMPUTED_VALUE"""),55.11087140448384)</f>
        <v>55.1108714</v>
      </c>
      <c r="F628" s="31">
        <f>IFERROR(__xludf.DUMMYFUNCTION("""COMPUTED_VALUE"""),2.386595844773917)</f>
        <v>2.386595845</v>
      </c>
      <c r="G628" s="31">
        <f>IFERROR(__xludf.DUMMYFUNCTION("""COMPUTED_VALUE"""),53.34766175915842)</f>
        <v>53.34766176</v>
      </c>
      <c r="H628" s="31">
        <f>IFERROR(__xludf.DUMMYFUNCTION("""COMPUTED_VALUE"""),2.2384471493509674)</f>
        <v>2.238447149</v>
      </c>
      <c r="I628" s="54">
        <f>IFERROR(__xludf.DUMMYFUNCTION("""COMPUTED_VALUE"""),44.0)</f>
        <v>44</v>
      </c>
      <c r="J628" s="55">
        <f>IFERROR(__xludf.DUMMYFUNCTION("""COMPUTED_VALUE"""),15.0)</f>
        <v>15</v>
      </c>
      <c r="K628" s="54">
        <f>IFERROR(__xludf.DUMMYFUNCTION("""COMPUTED_VALUE"""),29.0)</f>
        <v>29</v>
      </c>
      <c r="L628" s="56">
        <f>IFERROR(__xludf.DUMMYFUNCTION("""COMPUTED_VALUE"""),0.3409090909090909)</f>
        <v>0.3409090909</v>
      </c>
      <c r="M628" s="56">
        <f>IFERROR(__xludf.DUMMYFUNCTION("""COMPUTED_VALUE"""),0.29203539823008845)</f>
        <v>0.2920353982</v>
      </c>
      <c r="N628" s="31">
        <f>IFERROR(__xludf.DUMMYFUNCTION("""COMPUTED_VALUE"""),329.45454545454544)</f>
        <v>329.4545455</v>
      </c>
      <c r="O628" s="57">
        <f>IFERROR(__xludf.DUMMYFUNCTION("""COMPUTED_VALUE"""),0.75)</f>
        <v>0.75</v>
      </c>
      <c r="P628" s="57">
        <f>IFERROR(__xludf.DUMMYFUNCTION("""COMPUTED_VALUE"""),0.6590909090909091)</f>
        <v>0.6590909091</v>
      </c>
      <c r="Q628" s="57">
        <f>IFERROR(__xludf.DUMMYFUNCTION("""COMPUTED_VALUE"""),1.0454545454545454)</f>
        <v>1.045454545</v>
      </c>
      <c r="R628" s="57">
        <f>IFERROR(__xludf.DUMMYFUNCTION("""COMPUTED_VALUE"""),2.5681818181818183)</f>
        <v>2.568181818</v>
      </c>
      <c r="S628" s="31">
        <f>IFERROR(__xludf.DUMMYFUNCTION("""COMPUTED_VALUE"""),369.03030303030295)</f>
        <v>369.030303</v>
      </c>
      <c r="T628" s="57">
        <f>IFERROR(__xludf.DUMMYFUNCTION("""COMPUTED_VALUE"""),0.909090909090909)</f>
        <v>0.9090909091</v>
      </c>
      <c r="U628" s="57">
        <f>IFERROR(__xludf.DUMMYFUNCTION("""COMPUTED_VALUE"""),0.6742424242424243)</f>
        <v>0.6742424242</v>
      </c>
      <c r="V628" s="57">
        <f>IFERROR(__xludf.DUMMYFUNCTION("""COMPUTED_VALUE"""),1.3106060606060608)</f>
        <v>1.310606061</v>
      </c>
      <c r="W628" s="57">
        <f>IFERROR(__xludf.DUMMYFUNCTION("""COMPUTED_VALUE"""),2.522727272727273)</f>
        <v>2.522727273</v>
      </c>
      <c r="X628" s="31">
        <f>IFERROR(__xludf.DUMMYFUNCTION("""COMPUTED_VALUE"""),352.98412439282856)</f>
        <v>352.9841244</v>
      </c>
      <c r="Y628" s="57">
        <f>IFERROR(__xludf.DUMMYFUNCTION("""COMPUTED_VALUE"""),0.8064114145979709)</f>
        <v>0.8064114146</v>
      </c>
      <c r="Z628" s="57">
        <f>IFERROR(__xludf.DUMMYFUNCTION("""COMPUTED_VALUE"""),0.5838034029158975)</f>
        <v>0.5838034029</v>
      </c>
      <c r="AA628" s="57">
        <f>IFERROR(__xludf.DUMMYFUNCTION("""COMPUTED_VALUE"""),1.320676299319906)</f>
        <v>1.320676299</v>
      </c>
      <c r="AB628" s="57">
        <f>IFERROR(__xludf.DUMMYFUNCTION("""COMPUTED_VALUE"""),2.5370855220528723)</f>
        <v>2.537085522</v>
      </c>
      <c r="AC628" s="31">
        <f>IFERROR(__xludf.DUMMYFUNCTION("""COMPUTED_VALUE"""),336.734720907699)</f>
        <v>336.7347209</v>
      </c>
      <c r="AD628" s="57">
        <f>IFERROR(__xludf.DUMMYFUNCTION("""COMPUTED_VALUE"""),0.7356769332397618)</f>
        <v>0.7356769332</v>
      </c>
      <c r="AE628" s="57">
        <f>IFERROR(__xludf.DUMMYFUNCTION("""COMPUTED_VALUE"""),0.527464263613071)</f>
        <v>0.5274642636</v>
      </c>
      <c r="AF628" s="57">
        <f>IFERROR(__xludf.DUMMYFUNCTION("""COMPUTED_VALUE"""),1.2528896099559945)</f>
        <v>1.25288961</v>
      </c>
      <c r="AG628" s="57">
        <f>IFERROR(__xludf.DUMMYFUNCTION("""COMPUTED_VALUE"""),2.4720145596995824)</f>
        <v>2.47201456</v>
      </c>
      <c r="AH628" s="57">
        <f>IFERROR(__xludf.DUMMYFUNCTION("""COMPUTED_VALUE"""),0.9783800867533672)</f>
        <v>0.9783800868</v>
      </c>
      <c r="AI628" s="57">
        <f>IFERROR(__xludf.DUMMYFUNCTION("""COMPUTED_VALUE"""),1.0194692345418015)</f>
        <v>1.019469235</v>
      </c>
      <c r="AJ628" s="57">
        <f>IFERROR(__xludf.DUMMYFUNCTION("""COMPUTED_VALUE"""),1.249546091665453)</f>
        <v>1.249546092</v>
      </c>
      <c r="AK628" s="57">
        <f>IFERROR(__xludf.DUMMYFUNCTION("""COMPUTED_VALUE"""),0.8344346837478085)</f>
        <v>0.8344346837</v>
      </c>
      <c r="AL628" s="57">
        <f>IFERROR(__xludf.DUMMYFUNCTION("""COMPUTED_VALUE"""),1.038902383525574)</f>
        <v>1.038902384</v>
      </c>
      <c r="AM628" s="57">
        <f>IFERROR(__xludf.DUMMYFUNCTION("""COMPUTED_VALUE"""),1.0454586411359876)</f>
        <v>1.045458641</v>
      </c>
      <c r="AN628" s="57">
        <f>IFERROR(__xludf.DUMMYFUNCTION("""COMPUTED_VALUE"""),1.1273289199956673)</f>
        <v>1.12732892</v>
      </c>
      <c r="AO628" s="57">
        <f>IFERROR(__xludf.DUMMYFUNCTION("""COMPUTED_VALUE"""),1.154913487785126)</f>
        <v>1.154913488</v>
      </c>
      <c r="AP628" s="35">
        <f>IFERROR(__xludf.DUMMYFUNCTION("""COMPUTED_VALUE"""),0.9923749379624432)</f>
        <v>0.992374938</v>
      </c>
      <c r="AQ628" s="57">
        <f>IFERROR(__xludf.DUMMYFUNCTION("""COMPUTED_VALUE"""),0.9943406522165712)</f>
        <v>0.9943406522</v>
      </c>
      <c r="AR628" s="36" t="b">
        <f>IFERROR(__xludf.DUMMYFUNCTION("""COMPUTED_VALUE"""),TRUE)</f>
        <v>1</v>
      </c>
      <c r="AS628" s="57"/>
      <c r="AT628" s="37"/>
      <c r="AU628" s="30"/>
      <c r="AV628" s="30"/>
      <c r="AW628" s="30"/>
      <c r="AX628" s="30"/>
      <c r="AY628" s="30"/>
      <c r="AZ628" s="30"/>
    </row>
    <row r="629">
      <c r="A629" s="30" t="str">
        <f>IFERROR(__xludf.DUMMYFUNCTION("""COMPUTED_VALUE"""),"Rival")</f>
        <v>Rival</v>
      </c>
      <c r="B629" s="30" t="str">
        <f>IFERROR(__xludf.DUMMYFUNCTION("""COMPUTED_VALUE"""),"RSC005276")</f>
        <v>RSC005276</v>
      </c>
      <c r="C629" s="30" t="str">
        <f>IFERROR(__xludf.DUMMYFUNCTION("""COMPUTED_VALUE"""),"Dc")</f>
        <v>Dc</v>
      </c>
      <c r="D629" s="31" t="str">
        <f>IFERROR(__xludf.DUMMYFUNCTION("""COMPUTED_VALUE"""),"Hippos")</f>
        <v>Hippos</v>
      </c>
      <c r="E629" s="31">
        <f>IFERROR(__xludf.DUMMYFUNCTION("""COMPUTED_VALUE"""),54.96535484906496)</f>
        <v>54.96535485</v>
      </c>
      <c r="F629" s="31">
        <f>IFERROR(__xludf.DUMMYFUNCTION("""COMPUTED_VALUE"""),2.3737053746931167)</f>
        <v>2.373705375</v>
      </c>
      <c r="G629" s="31">
        <f>IFERROR(__xludf.DUMMYFUNCTION("""COMPUTED_VALUE"""),45.27678753478579)</f>
        <v>45.27678753</v>
      </c>
      <c r="H629" s="31">
        <f>IFERROR(__xludf.DUMMYFUNCTION("""COMPUTED_VALUE"""),-2.3525291873572187)</f>
        <v>-2.352529187</v>
      </c>
      <c r="I629" s="54">
        <f>IFERROR(__xludf.DUMMYFUNCTION("""COMPUTED_VALUE"""),36.0)</f>
        <v>36</v>
      </c>
      <c r="J629" s="55">
        <f>IFERROR(__xludf.DUMMYFUNCTION("""COMPUTED_VALUE"""),16.0)</f>
        <v>16</v>
      </c>
      <c r="K629" s="54">
        <f>IFERROR(__xludf.DUMMYFUNCTION("""COMPUTED_VALUE"""),20.0)</f>
        <v>20</v>
      </c>
      <c r="L629" s="56">
        <f>IFERROR(__xludf.DUMMYFUNCTION("""COMPUTED_VALUE"""),0.4444444444444444)</f>
        <v>0.4444444444</v>
      </c>
      <c r="M629" s="56">
        <f>IFERROR(__xludf.DUMMYFUNCTION("""COMPUTED_VALUE"""),0.3548387096774193)</f>
        <v>0.3548387097</v>
      </c>
      <c r="N629" s="31">
        <f>IFERROR(__xludf.DUMMYFUNCTION("""COMPUTED_VALUE"""),343.1111111111111)</f>
        <v>343.1111111</v>
      </c>
      <c r="O629" s="57">
        <f>IFERROR(__xludf.DUMMYFUNCTION("""COMPUTED_VALUE"""),0.9166666666666666)</f>
        <v>0.9166666667</v>
      </c>
      <c r="P629" s="57">
        <f>IFERROR(__xludf.DUMMYFUNCTION("""COMPUTED_VALUE"""),0.4444444444444444)</f>
        <v>0.4444444444</v>
      </c>
      <c r="Q629" s="57">
        <f>IFERROR(__xludf.DUMMYFUNCTION("""COMPUTED_VALUE"""),1.0277777777777777)</f>
        <v>1.027777778</v>
      </c>
      <c r="R629" s="57">
        <f>IFERROR(__xludf.DUMMYFUNCTION("""COMPUTED_VALUE"""),2.5833333333333335)</f>
        <v>2.583333333</v>
      </c>
      <c r="S629" s="31">
        <f>IFERROR(__xludf.DUMMYFUNCTION("""COMPUTED_VALUE"""),377.7685185185184)</f>
        <v>377.7685185</v>
      </c>
      <c r="T629" s="57">
        <f>IFERROR(__xludf.DUMMYFUNCTION("""COMPUTED_VALUE"""),0.9351851851851849)</f>
        <v>0.9351851852</v>
      </c>
      <c r="U629" s="57">
        <f>IFERROR(__xludf.DUMMYFUNCTION("""COMPUTED_VALUE"""),0.6944444444444444)</f>
        <v>0.6944444444</v>
      </c>
      <c r="V629" s="57">
        <f>IFERROR(__xludf.DUMMYFUNCTION("""COMPUTED_VALUE"""),1.2500000000000002)</f>
        <v>1.25</v>
      </c>
      <c r="W629" s="57">
        <f>IFERROR(__xludf.DUMMYFUNCTION("""COMPUTED_VALUE"""),2.7037037037037033)</f>
        <v>2.703703704</v>
      </c>
      <c r="X629" s="31">
        <f>IFERROR(__xludf.DUMMYFUNCTION("""COMPUTED_VALUE"""),357.43958935894113)</f>
        <v>357.4395894</v>
      </c>
      <c r="Y629" s="57">
        <f>IFERROR(__xludf.DUMMYFUNCTION("""COMPUTED_VALUE"""),0.8217585574763441)</f>
        <v>0.8217585575</v>
      </c>
      <c r="Z629" s="57">
        <f>IFERROR(__xludf.DUMMYFUNCTION("""COMPUTED_VALUE"""),0.6361428471021473)</f>
        <v>0.6361428471</v>
      </c>
      <c r="AA629" s="57">
        <f>IFERROR(__xludf.DUMMYFUNCTION("""COMPUTED_VALUE"""),1.2863226492413664)</f>
        <v>1.286322649</v>
      </c>
      <c r="AB629" s="57">
        <f>IFERROR(__xludf.DUMMYFUNCTION("""COMPUTED_VALUE"""),2.5743641041093115)</f>
        <v>2.574364104</v>
      </c>
      <c r="AC629" s="31">
        <f>IFERROR(__xludf.DUMMYFUNCTION("""COMPUTED_VALUE"""),341.42977022515856)</f>
        <v>341.4297702</v>
      </c>
      <c r="AD629" s="57">
        <f>IFERROR(__xludf.DUMMYFUNCTION("""COMPUTED_VALUE"""),0.7448856839919155)</f>
        <v>0.744885684</v>
      </c>
      <c r="AE629" s="57">
        <f>IFERROR(__xludf.DUMMYFUNCTION("""COMPUTED_VALUE"""),0.5254414156326049)</f>
        <v>0.5254414156</v>
      </c>
      <c r="AF629" s="57">
        <f>IFERROR(__xludf.DUMMYFUNCTION("""COMPUTED_VALUE"""),1.330174272567212)</f>
        <v>1.330174273</v>
      </c>
      <c r="AG629" s="57">
        <f>IFERROR(__xludf.DUMMYFUNCTION("""COMPUTED_VALUE"""),2.4538323773637427)</f>
        <v>2.453832377</v>
      </c>
      <c r="AH629" s="57">
        <f>IFERROR(__xludf.DUMMYFUNCTION("""COMPUTED_VALUE"""),1.0049244120828824)</f>
        <v>1.004924412</v>
      </c>
      <c r="AI629" s="57">
        <f>IFERROR(__xludf.DUMMYFUNCTION("""COMPUTED_VALUE"""),1.2306138866223875)</f>
        <v>1.230613887</v>
      </c>
      <c r="AJ629" s="57">
        <f>IFERROR(__xludf.DUMMYFUNCTION("""COMPUTED_VALUE"""),0.8458496632005221)</f>
        <v>0.8458496632</v>
      </c>
      <c r="AK629" s="57">
        <f>IFERROR(__xludf.DUMMYFUNCTION("""COMPUTED_VALUE"""),0.7726640027356606)</f>
        <v>0.7726640027</v>
      </c>
      <c r="AL629" s="57">
        <f>IFERROR(__xludf.DUMMYFUNCTION("""COMPUTED_VALUE"""),1.0527749805423625)</f>
        <v>1.052774981</v>
      </c>
      <c r="AM629" s="57">
        <f>IFERROR(__xludf.DUMMYFUNCTION("""COMPUTED_VALUE"""),1.0568737480815618)</f>
        <v>1.056873748</v>
      </c>
      <c r="AN629" s="57">
        <f>IFERROR(__xludf.DUMMYFUNCTION("""COMPUTED_VALUE"""),1.1380291408916736)</f>
        <v>1.138029141</v>
      </c>
      <c r="AO629" s="57">
        <f>IFERROR(__xludf.DUMMYFUNCTION("""COMPUTED_VALUE"""),1.0916485937205476)</f>
        <v>1.091648594</v>
      </c>
      <c r="AP629" s="35">
        <f>IFERROR(__xludf.DUMMYFUNCTION("""COMPUTED_VALUE"""),0.9717624118157383)</f>
        <v>0.9717624118</v>
      </c>
      <c r="AQ629" s="57">
        <f>IFERROR(__xludf.DUMMYFUNCTION("""COMPUTED_VALUE"""),1.0502413778175101)</f>
        <v>1.050241378</v>
      </c>
      <c r="AR629" s="36" t="b">
        <f>IFERROR(__xludf.DUMMYFUNCTION("""COMPUTED_VALUE"""),TRUE)</f>
        <v>1</v>
      </c>
      <c r="AS629" s="57"/>
      <c r="AT629" s="37"/>
      <c r="AU629" s="30"/>
      <c r="AV629" s="30"/>
      <c r="AW629" s="30"/>
      <c r="AX629" s="30"/>
      <c r="AY629" s="30"/>
      <c r="AZ629" s="30"/>
    </row>
    <row r="630">
      <c r="A630" s="30" t="str">
        <f>IFERROR(__xludf.DUMMYFUNCTION("""COMPUTED_VALUE"""),"Rival")</f>
        <v>Rival</v>
      </c>
      <c r="B630" s="30" t="str">
        <f>IFERROR(__xludf.DUMMYFUNCTION("""COMPUTED_VALUE"""),"RSC005328")</f>
        <v>RSC005328</v>
      </c>
      <c r="C630" s="30" t="str">
        <f>IFERROR(__xludf.DUMMYFUNCTION("""COMPUTED_VALUE"""),"Razor")</f>
        <v>Razor</v>
      </c>
      <c r="D630" s="31" t="str">
        <f>IFERROR(__xludf.DUMMYFUNCTION("""COMPUTED_VALUE"""),"Dice")</f>
        <v>Dice</v>
      </c>
      <c r="E630" s="31">
        <f>IFERROR(__xludf.DUMMYFUNCTION("""COMPUTED_VALUE"""),54.81281720224074)</f>
        <v>54.8128172</v>
      </c>
      <c r="F630" s="31">
        <f>IFERROR(__xludf.DUMMYFUNCTION("""COMPUTED_VALUE"""),2.360325858182487)</f>
        <v>2.360325858</v>
      </c>
      <c r="G630" s="31">
        <f>IFERROR(__xludf.DUMMYFUNCTION("""COMPUTED_VALUE"""),50.0406071879419)</f>
        <v>50.04060719</v>
      </c>
      <c r="H630" s="31">
        <f>IFERROR(__xludf.DUMMYFUNCTION("""COMPUTED_VALUE"""),2.002595350282313)</f>
        <v>2.00259535</v>
      </c>
      <c r="I630" s="54">
        <f>IFERROR(__xludf.DUMMYFUNCTION("""COMPUTED_VALUE"""),19.0)</f>
        <v>19</v>
      </c>
      <c r="J630" s="55">
        <f>IFERROR(__xludf.DUMMYFUNCTION("""COMPUTED_VALUE"""),9.0)</f>
        <v>9</v>
      </c>
      <c r="K630" s="54">
        <f>IFERROR(__xludf.DUMMYFUNCTION("""COMPUTED_VALUE"""),10.0)</f>
        <v>10</v>
      </c>
      <c r="L630" s="56">
        <f>IFERROR(__xludf.DUMMYFUNCTION("""COMPUTED_VALUE"""),0.47368421052631576)</f>
        <v>0.4736842105</v>
      </c>
      <c r="M630" s="56">
        <f>IFERROR(__xludf.DUMMYFUNCTION("""COMPUTED_VALUE"""),0.29411764705882354)</f>
        <v>0.2941176471</v>
      </c>
      <c r="N630" s="31">
        <f>IFERROR(__xludf.DUMMYFUNCTION("""COMPUTED_VALUE"""),353.94736842105266)</f>
        <v>353.9473684</v>
      </c>
      <c r="O630" s="57">
        <f>IFERROR(__xludf.DUMMYFUNCTION("""COMPUTED_VALUE"""),0.7894736842105263)</f>
        <v>0.7894736842</v>
      </c>
      <c r="P630" s="57">
        <f>IFERROR(__xludf.DUMMYFUNCTION("""COMPUTED_VALUE"""),0.5789473684210527)</f>
        <v>0.5789473684</v>
      </c>
      <c r="Q630" s="57">
        <f>IFERROR(__xludf.DUMMYFUNCTION("""COMPUTED_VALUE"""),1.4210526315789473)</f>
        <v>1.421052632</v>
      </c>
      <c r="R630" s="57">
        <f>IFERROR(__xludf.DUMMYFUNCTION("""COMPUTED_VALUE"""),2.6842105263157894)</f>
        <v>2.684210526</v>
      </c>
      <c r="S630" s="31">
        <f>IFERROR(__xludf.DUMMYFUNCTION("""COMPUTED_VALUE"""),351.2105263157894)</f>
        <v>351.2105263</v>
      </c>
      <c r="T630" s="57">
        <f>IFERROR(__xludf.DUMMYFUNCTION("""COMPUTED_VALUE"""),0.8245614035087719)</f>
        <v>0.8245614035</v>
      </c>
      <c r="U630" s="57">
        <f>IFERROR(__xludf.DUMMYFUNCTION("""COMPUTED_VALUE"""),0.5087719298245614)</f>
        <v>0.5087719298</v>
      </c>
      <c r="V630" s="57">
        <f>IFERROR(__xludf.DUMMYFUNCTION("""COMPUTED_VALUE"""),1.5087719298245614)</f>
        <v>1.50877193</v>
      </c>
      <c r="W630" s="57">
        <f>IFERROR(__xludf.DUMMYFUNCTION("""COMPUTED_VALUE"""),2.491228070175438)</f>
        <v>2.49122807</v>
      </c>
      <c r="X630" s="31">
        <f>IFERROR(__xludf.DUMMYFUNCTION("""COMPUTED_VALUE"""),336.513488696088)</f>
        <v>336.5134887</v>
      </c>
      <c r="Y630" s="57">
        <f>IFERROR(__xludf.DUMMYFUNCTION("""COMPUTED_VALUE"""),0.7281424536074721)</f>
        <v>0.7281424536</v>
      </c>
      <c r="Z630" s="57">
        <f>IFERROR(__xludf.DUMMYFUNCTION("""COMPUTED_VALUE"""),0.46643343373379925)</f>
        <v>0.4664334337</v>
      </c>
      <c r="AA630" s="57">
        <f>IFERROR(__xludf.DUMMYFUNCTION("""COMPUTED_VALUE"""),1.33827145294585)</f>
        <v>1.338271453</v>
      </c>
      <c r="AB630" s="57">
        <f>IFERROR(__xludf.DUMMYFUNCTION("""COMPUTED_VALUE"""),2.4660525955261043)</f>
        <v>2.466052596</v>
      </c>
      <c r="AC630" s="31">
        <f>IFERROR(__xludf.DUMMYFUNCTION("""COMPUTED_VALUE"""),344.53860923660346)</f>
        <v>344.5386092</v>
      </c>
      <c r="AD630" s="57">
        <f>IFERROR(__xludf.DUMMYFUNCTION("""COMPUTED_VALUE"""),0.7724181420877712)</f>
        <v>0.7724181421</v>
      </c>
      <c r="AE630" s="57">
        <f>IFERROR(__xludf.DUMMYFUNCTION("""COMPUTED_VALUE"""),0.5721350662661241)</f>
        <v>0.5721350663</v>
      </c>
      <c r="AF630" s="57">
        <f>IFERROR(__xludf.DUMMYFUNCTION("""COMPUTED_VALUE"""),1.2845599373637744)</f>
        <v>1.284559937</v>
      </c>
      <c r="AG630" s="57">
        <f>IFERROR(__xludf.DUMMYFUNCTION("""COMPUTED_VALUE"""),2.5948427815982775)</f>
        <v>2.594842782</v>
      </c>
      <c r="AH630" s="57">
        <f>IFERROR(__xludf.DUMMYFUNCTION("""COMPUTED_VALUE"""),1.0273082868863268)</f>
        <v>1.027308287</v>
      </c>
      <c r="AI630" s="57">
        <f>IFERROR(__xludf.DUMMYFUNCTION("""COMPUTED_VALUE"""),1.022080711461095)</f>
        <v>1.022080711</v>
      </c>
      <c r="AJ630" s="57">
        <f>IFERROR(__xludf.DUMMYFUNCTION("""COMPUTED_VALUE"""),1.0119068075994486)</f>
        <v>1.011906808</v>
      </c>
      <c r="AK630" s="57">
        <f>IFERROR(__xludf.DUMMYFUNCTION("""COMPUTED_VALUE"""),1.1062563841865478)</f>
        <v>1.106256384</v>
      </c>
      <c r="AL630" s="57">
        <f>IFERROR(__xludf.DUMMYFUNCTION("""COMPUTED_VALUE"""),1.0344405238541914)</f>
        <v>1.034440524</v>
      </c>
      <c r="AM630" s="57">
        <f>IFERROR(__xludf.DUMMYFUNCTION("""COMPUTED_VALUE"""),1.043674438360997)</f>
        <v>1.043674438</v>
      </c>
      <c r="AN630" s="57">
        <f>IFERROR(__xludf.DUMMYFUNCTION("""COMPUTED_VALUE"""),1.1324177012665677)</f>
        <v>1.132417701</v>
      </c>
      <c r="AO630" s="57">
        <f>IFERROR(__xludf.DUMMYFUNCTION("""COMPUTED_VALUE"""),1.0907707145944547)</f>
        <v>1.090770715</v>
      </c>
      <c r="AP630" s="35">
        <f>IFERROR(__xludf.DUMMYFUNCTION("""COMPUTED_VALUE"""),1.1274035073403081)</f>
        <v>1.127403507</v>
      </c>
      <c r="AQ630" s="57">
        <f>IFERROR(__xludf.DUMMYFUNCTION("""COMPUTED_VALUE"""),1.0102088149681019)</f>
        <v>1.010208815</v>
      </c>
      <c r="AR630" s="36" t="b">
        <f>IFERROR(__xludf.DUMMYFUNCTION("""COMPUTED_VALUE"""),TRUE)</f>
        <v>1</v>
      </c>
      <c r="AS630" s="57"/>
      <c r="AT630" s="37"/>
      <c r="AU630" s="30"/>
      <c r="AV630" s="30"/>
      <c r="AW630" s="30"/>
      <c r="AX630" s="30"/>
      <c r="AY630" s="30"/>
      <c r="AZ630" s="30"/>
    </row>
    <row r="631">
      <c r="A631" s="30" t="str">
        <f>IFERROR(__xludf.DUMMYFUNCTION("""COMPUTED_VALUE"""),"Rival")</f>
        <v>Rival</v>
      </c>
      <c r="B631" s="30" t="str">
        <f>IFERROR(__xludf.DUMMYFUNCTION("""COMPUTED_VALUE"""),"RSC000182")</f>
        <v>RSC000182</v>
      </c>
      <c r="C631" s="30" t="str">
        <f>IFERROR(__xludf.DUMMYFUNCTION("""COMPUTED_VALUE"""),"Goose")</f>
        <v>Goose</v>
      </c>
      <c r="D631" s="31" t="str">
        <f>IFERROR(__xludf.DUMMYFUNCTION("""COMPUTED_VALUE"""),"Dice")</f>
        <v>Dice</v>
      </c>
      <c r="E631" s="31">
        <f>IFERROR(__xludf.DUMMYFUNCTION("""COMPUTED_VALUE"""),54.755513217706245)</f>
        <v>54.75551322</v>
      </c>
      <c r="F631" s="31">
        <f>IFERROR(__xludf.DUMMYFUNCTION("""COMPUTED_VALUE"""),2.355334403430926)</f>
        <v>2.355334403</v>
      </c>
      <c r="G631" s="31">
        <f>IFERROR(__xludf.DUMMYFUNCTION("""COMPUTED_VALUE"""),46.603315545151304)</f>
        <v>46.60331555</v>
      </c>
      <c r="H631" s="31">
        <f>IFERROR(__xludf.DUMMYFUNCTION("""COMPUTED_VALUE"""),-2.242338176418681)</f>
        <v>-2.242338176</v>
      </c>
      <c r="I631" s="54">
        <f>IFERROR(__xludf.DUMMYFUNCTION("""COMPUTED_VALUE"""),40.0)</f>
        <v>40</v>
      </c>
      <c r="J631" s="55">
        <f>IFERROR(__xludf.DUMMYFUNCTION("""COMPUTED_VALUE"""),18.0)</f>
        <v>18</v>
      </c>
      <c r="K631" s="54">
        <f>IFERROR(__xludf.DUMMYFUNCTION("""COMPUTED_VALUE"""),22.0)</f>
        <v>22</v>
      </c>
      <c r="L631" s="56">
        <f>IFERROR(__xludf.DUMMYFUNCTION("""COMPUTED_VALUE"""),0.45)</f>
        <v>0.45</v>
      </c>
      <c r="M631" s="56">
        <f>IFERROR(__xludf.DUMMYFUNCTION("""COMPUTED_VALUE"""),0.3027522935779816)</f>
        <v>0.3027522936</v>
      </c>
      <c r="N631" s="31">
        <f>IFERROR(__xludf.DUMMYFUNCTION("""COMPUTED_VALUE"""),331.875)</f>
        <v>331.875</v>
      </c>
      <c r="O631" s="57">
        <f>IFERROR(__xludf.DUMMYFUNCTION("""COMPUTED_VALUE"""),0.825)</f>
        <v>0.825</v>
      </c>
      <c r="P631" s="57">
        <f>IFERROR(__xludf.DUMMYFUNCTION("""COMPUTED_VALUE"""),0.575)</f>
        <v>0.575</v>
      </c>
      <c r="Q631" s="57">
        <f>IFERROR(__xludf.DUMMYFUNCTION("""COMPUTED_VALUE"""),1.15)</f>
        <v>1.15</v>
      </c>
      <c r="R631" s="57">
        <f>IFERROR(__xludf.DUMMYFUNCTION("""COMPUTED_VALUE"""),2.725)</f>
        <v>2.725</v>
      </c>
      <c r="S631" s="31">
        <f>IFERROR(__xludf.DUMMYFUNCTION("""COMPUTED_VALUE"""),355.71666666666664)</f>
        <v>355.7166667</v>
      </c>
      <c r="T631" s="57">
        <f>IFERROR(__xludf.DUMMYFUNCTION("""COMPUTED_VALUE"""),0.8666666666666666)</f>
        <v>0.8666666667</v>
      </c>
      <c r="U631" s="57">
        <f>IFERROR(__xludf.DUMMYFUNCTION("""COMPUTED_VALUE"""),0.55)</f>
        <v>0.55</v>
      </c>
      <c r="V631" s="57">
        <f>IFERROR(__xludf.DUMMYFUNCTION("""COMPUTED_VALUE"""),1.3499999999999999)</f>
        <v>1.35</v>
      </c>
      <c r="W631" s="57">
        <f>IFERROR(__xludf.DUMMYFUNCTION("""COMPUTED_VALUE"""),2.5083333333333337)</f>
        <v>2.508333333</v>
      </c>
      <c r="X631" s="31">
        <f>IFERROR(__xludf.DUMMYFUNCTION("""COMPUTED_VALUE"""),340.81562716312754)</f>
        <v>340.8156272</v>
      </c>
      <c r="Y631" s="57">
        <f>IFERROR(__xludf.DUMMYFUNCTION("""COMPUTED_VALUE"""),0.737413193453595)</f>
        <v>0.7374131935</v>
      </c>
      <c r="Z631" s="57">
        <f>IFERROR(__xludf.DUMMYFUNCTION("""COMPUTED_VALUE"""),0.5496035219638916)</f>
        <v>0.549603522</v>
      </c>
      <c r="AA631" s="57">
        <f>IFERROR(__xludf.DUMMYFUNCTION("""COMPUTED_VALUE"""),1.3525457432868708)</f>
        <v>1.352545743</v>
      </c>
      <c r="AB631" s="57">
        <f>IFERROR(__xludf.DUMMYFUNCTION("""COMPUTED_VALUE"""),2.4619071122826868)</f>
        <v>2.461907112</v>
      </c>
      <c r="AC631" s="31">
        <f>IFERROR(__xludf.DUMMYFUNCTION("""COMPUTED_VALUE"""),343.96473126726653)</f>
        <v>343.9647313</v>
      </c>
      <c r="AD631" s="57">
        <f>IFERROR(__xludf.DUMMYFUNCTION("""COMPUTED_VALUE"""),0.7842723932002571)</f>
        <v>0.7842723932</v>
      </c>
      <c r="AE631" s="57">
        <f>IFERROR(__xludf.DUMMYFUNCTION("""COMPUTED_VALUE"""),0.574101268193542)</f>
        <v>0.5741012682</v>
      </c>
      <c r="AF631" s="57">
        <f>IFERROR(__xludf.DUMMYFUNCTION("""COMPUTED_VALUE"""),1.2633058087174533)</f>
        <v>1.263305809</v>
      </c>
      <c r="AG631" s="57">
        <f>IFERROR(__xludf.DUMMYFUNCTION("""COMPUTED_VALUE"""),2.5834565937857645)</f>
        <v>2.583456594</v>
      </c>
      <c r="AH631" s="57">
        <f>IFERROR(__xludf.DUMMYFUNCTION("""COMPUTED_VALUE"""),0.9648518287827812)</f>
        <v>0.9648518288</v>
      </c>
      <c r="AI631" s="57">
        <f>IFERROR(__xludf.DUMMYFUNCTION("""COMPUTED_VALUE"""),1.0519304353345298)</f>
        <v>1.051930435</v>
      </c>
      <c r="AJ631" s="57">
        <f>IFERROR(__xludf.DUMMYFUNCTION("""COMPUTED_VALUE"""),1.0015654586677467)</f>
        <v>1.001565459</v>
      </c>
      <c r="AK631" s="57">
        <f>IFERROR(__xludf.DUMMYFUNCTION("""COMPUTED_VALUE"""),0.9103100706609709)</f>
        <v>0.9103100707</v>
      </c>
      <c r="AL631" s="57">
        <f>IFERROR(__xludf.DUMMYFUNCTION("""COMPUTED_VALUE"""),1.0547883817961965)</f>
        <v>1.054788382</v>
      </c>
      <c r="AM631" s="57">
        <f>IFERROR(__xludf.DUMMYFUNCTION("""COMPUTED_VALUE"""),1.043721702633098)</f>
        <v>1.043721703</v>
      </c>
      <c r="AN631" s="57">
        <f>IFERROR(__xludf.DUMMYFUNCTION("""COMPUTED_VALUE"""),1.1752795778005094)</f>
        <v>1.175279578</v>
      </c>
      <c r="AO631" s="57">
        <f>IFERROR(__xludf.DUMMYFUNCTION("""COMPUTED_VALUE"""),1.0007213891837732)</f>
        <v>1.000721389</v>
      </c>
      <c r="AP631" s="35">
        <f>IFERROR(__xludf.DUMMYFUNCTION("""COMPUTED_VALUE"""),0.9981178135382804)</f>
        <v>0.9981178135</v>
      </c>
      <c r="AQ631" s="57">
        <f>IFERROR(__xludf.DUMMYFUNCTION("""COMPUTED_VALUE"""),1.018857828071182)</f>
        <v>1.018857828</v>
      </c>
      <c r="AR631" s="36" t="b">
        <f>IFERROR(__xludf.DUMMYFUNCTION("""COMPUTED_VALUE"""),TRUE)</f>
        <v>1</v>
      </c>
      <c r="AS631" s="57"/>
      <c r="AT631" s="37"/>
      <c r="AU631" s="30"/>
      <c r="AV631" s="30"/>
      <c r="AW631" s="30"/>
      <c r="AX631" s="30"/>
      <c r="AY631" s="30"/>
      <c r="AZ631" s="30"/>
    </row>
    <row r="632">
      <c r="A632" s="30" t="str">
        <f>IFERROR(__xludf.DUMMYFUNCTION("""COMPUTED_VALUE"""),"Rival")</f>
        <v>Rival</v>
      </c>
      <c r="B632" s="30" t="str">
        <f>IFERROR(__xludf.DUMMYFUNCTION("""COMPUTED_VALUE"""),"RSC004545")</f>
        <v>RSC004545</v>
      </c>
      <c r="C632" s="30" t="str">
        <f>IFERROR(__xludf.DUMMYFUNCTION("""COMPUTED_VALUE"""),"Vires")</f>
        <v>Vires</v>
      </c>
      <c r="D632" s="31" t="str">
        <f>IFERROR(__xludf.DUMMYFUNCTION("""COMPUTED_VALUE"""),"Nightfall")</f>
        <v>Nightfall</v>
      </c>
      <c r="E632" s="31">
        <f>IFERROR(__xludf.DUMMYFUNCTION("""COMPUTED_VALUE"""),54.730716859682204)</f>
        <v>54.73071686</v>
      </c>
      <c r="F632" s="31">
        <f>IFERROR(__xludf.DUMMYFUNCTION("""COMPUTED_VALUE"""),2.353180384942917)</f>
        <v>2.353180385</v>
      </c>
      <c r="G632" s="31">
        <f>IFERROR(__xludf.DUMMYFUNCTION("""COMPUTED_VALUE"""),44.98521861768663)</f>
        <v>44.98521862</v>
      </c>
      <c r="H632" s="31">
        <f>IFERROR(__xludf.DUMMYFUNCTION("""COMPUTED_VALUE"""),-2.378069830889056)</f>
        <v>-2.378069831</v>
      </c>
      <c r="I632" s="54">
        <f>IFERROR(__xludf.DUMMYFUNCTION("""COMPUTED_VALUE"""),39.0)</f>
        <v>39</v>
      </c>
      <c r="J632" s="55">
        <f>IFERROR(__xludf.DUMMYFUNCTION("""COMPUTED_VALUE"""),18.0)</f>
        <v>18</v>
      </c>
      <c r="K632" s="54">
        <f>IFERROR(__xludf.DUMMYFUNCTION("""COMPUTED_VALUE"""),21.0)</f>
        <v>21</v>
      </c>
      <c r="L632" s="56">
        <f>IFERROR(__xludf.DUMMYFUNCTION("""COMPUTED_VALUE"""),0.46153846153846156)</f>
        <v>0.4615384615</v>
      </c>
      <c r="M632" s="56">
        <f>IFERROR(__xludf.DUMMYFUNCTION("""COMPUTED_VALUE"""),0.3267326732673267)</f>
        <v>0.3267326733</v>
      </c>
      <c r="N632" s="31">
        <f>IFERROR(__xludf.DUMMYFUNCTION("""COMPUTED_VALUE"""),332.79487179487177)</f>
        <v>332.7948718</v>
      </c>
      <c r="O632" s="57">
        <f>IFERROR(__xludf.DUMMYFUNCTION("""COMPUTED_VALUE"""),0.8461538461538461)</f>
        <v>0.8461538462</v>
      </c>
      <c r="P632" s="57">
        <f>IFERROR(__xludf.DUMMYFUNCTION("""COMPUTED_VALUE"""),0.48717948717948717)</f>
        <v>0.4871794872</v>
      </c>
      <c r="Q632" s="57">
        <f>IFERROR(__xludf.DUMMYFUNCTION("""COMPUTED_VALUE"""),1.2307692307692308)</f>
        <v>1.230769231</v>
      </c>
      <c r="R632" s="57">
        <f>IFERROR(__xludf.DUMMYFUNCTION("""COMPUTED_VALUE"""),2.58974358974359)</f>
        <v>2.58974359</v>
      </c>
      <c r="S632" s="31">
        <f>IFERROR(__xludf.DUMMYFUNCTION("""COMPUTED_VALUE"""),339.23931623931634)</f>
        <v>339.2393162</v>
      </c>
      <c r="T632" s="57">
        <f>IFERROR(__xludf.DUMMYFUNCTION("""COMPUTED_VALUE"""),0.7264957264957264)</f>
        <v>0.7264957265</v>
      </c>
      <c r="U632" s="57">
        <f>IFERROR(__xludf.DUMMYFUNCTION("""COMPUTED_VALUE"""),0.5470085470085471)</f>
        <v>0.547008547</v>
      </c>
      <c r="V632" s="57">
        <f>IFERROR(__xludf.DUMMYFUNCTION("""COMPUTED_VALUE"""),1.4444444444444444)</f>
        <v>1.444444444</v>
      </c>
      <c r="W632" s="57">
        <f>IFERROR(__xludf.DUMMYFUNCTION("""COMPUTED_VALUE"""),2.444444444444444)</f>
        <v>2.444444444</v>
      </c>
      <c r="X632" s="31">
        <f>IFERROR(__xludf.DUMMYFUNCTION("""COMPUTED_VALUE"""),350.0375263690722)</f>
        <v>350.0375264</v>
      </c>
      <c r="Y632" s="57">
        <f>IFERROR(__xludf.DUMMYFUNCTION("""COMPUTED_VALUE"""),0.7812030152328147)</f>
        <v>0.7812030152</v>
      </c>
      <c r="Z632" s="57">
        <f>IFERROR(__xludf.DUMMYFUNCTION("""COMPUTED_VALUE"""),0.5812547433238289)</f>
        <v>0.5812547433</v>
      </c>
      <c r="AA632" s="57">
        <f>IFERROR(__xludf.DUMMYFUNCTION("""COMPUTED_VALUE"""),1.3349224967132216)</f>
        <v>1.334922497</v>
      </c>
      <c r="AB632" s="57">
        <f>IFERROR(__xludf.DUMMYFUNCTION("""COMPUTED_VALUE"""),2.5369122644353177)</f>
        <v>2.536912264</v>
      </c>
      <c r="AC632" s="31">
        <f>IFERROR(__xludf.DUMMYFUNCTION("""COMPUTED_VALUE"""),348.21090611409426)</f>
        <v>348.2109061</v>
      </c>
      <c r="AD632" s="57">
        <f>IFERROR(__xludf.DUMMYFUNCTION("""COMPUTED_VALUE"""),0.7930545881014489)</f>
        <v>0.7930545881</v>
      </c>
      <c r="AE632" s="57">
        <f>IFERROR(__xludf.DUMMYFUNCTION("""COMPUTED_VALUE"""),0.5694597377216188)</f>
        <v>0.5694597377</v>
      </c>
      <c r="AF632" s="57">
        <f>IFERROR(__xludf.DUMMYFUNCTION("""COMPUTED_VALUE"""),1.3098971938126556)</f>
        <v>1.309897194</v>
      </c>
      <c r="AG632" s="57">
        <f>IFERROR(__xludf.DUMMYFUNCTION("""COMPUTED_VALUE"""),2.617940568587095)</f>
        <v>2.617940569</v>
      </c>
      <c r="AH632" s="57">
        <f>IFERROR(__xludf.DUMMYFUNCTION("""COMPUTED_VALUE"""),0.955727882014783)</f>
        <v>0.955727882</v>
      </c>
      <c r="AI632" s="57">
        <f>IFERROR(__xludf.DUMMYFUNCTION("""COMPUTED_VALUE"""),1.0669553632865494)</f>
        <v>1.066955363</v>
      </c>
      <c r="AJ632" s="57">
        <f>IFERROR(__xludf.DUMMYFUNCTION("""COMPUTED_VALUE"""),0.8555117331537239)</f>
        <v>0.8555117332</v>
      </c>
      <c r="AK632" s="57">
        <f>IFERROR(__xludf.DUMMYFUNCTION("""COMPUTED_VALUE"""),0.9395922340950202)</f>
        <v>0.9395922341</v>
      </c>
      <c r="AL632" s="57">
        <f>IFERROR(__xludf.DUMMYFUNCTION("""COMPUTED_VALUE"""),0.9892293281284368)</f>
        <v>0.9892293281</v>
      </c>
      <c r="AM632" s="57">
        <f>IFERROR(__xludf.DUMMYFUNCTION("""COMPUTED_VALUE"""),0.9691512786021391)</f>
        <v>0.9691512786</v>
      </c>
      <c r="AN632" s="57">
        <f>IFERROR(__xludf.DUMMYFUNCTION("""COMPUTED_VALUE"""),0.9299704588047648)</f>
        <v>0.9299704588</v>
      </c>
      <c r="AO632" s="57">
        <f>IFERROR(__xludf.DUMMYFUNCTION("""COMPUTED_VALUE"""),0.9410822935922218)</f>
        <v>0.9410822936</v>
      </c>
      <c r="AP632" s="35">
        <f>IFERROR(__xludf.DUMMYFUNCTION("""COMPUTED_VALUE"""),1.0820436751952882)</f>
        <v>1.082043675</v>
      </c>
      <c r="AQ632" s="57">
        <f>IFERROR(__xludf.DUMMYFUNCTION("""COMPUTED_VALUE"""),0.9635510375005201)</f>
        <v>0.9635510375</v>
      </c>
      <c r="AR632" s="36" t="b">
        <f>IFERROR(__xludf.DUMMYFUNCTION("""COMPUTED_VALUE"""),TRUE)</f>
        <v>1</v>
      </c>
      <c r="AS632" s="57"/>
      <c r="AT632" s="37"/>
      <c r="AU632" s="30"/>
      <c r="AV632" s="30"/>
      <c r="AW632" s="30"/>
      <c r="AX632" s="30"/>
      <c r="AY632" s="30"/>
      <c r="AZ632" s="30"/>
    </row>
    <row r="633">
      <c r="A633" s="30" t="str">
        <f>IFERROR(__xludf.DUMMYFUNCTION("""COMPUTED_VALUE"""),"Rival")</f>
        <v>Rival</v>
      </c>
      <c r="B633" s="30" t="str">
        <f>IFERROR(__xludf.DUMMYFUNCTION("""COMPUTED_VALUE"""),"RSC007527")</f>
        <v>RSC007527</v>
      </c>
      <c r="C633" s="30" t="str">
        <f>IFERROR(__xludf.DUMMYFUNCTION("""COMPUTED_VALUE"""),"Yort")</f>
        <v>Yort</v>
      </c>
      <c r="D633" s="31" t="str">
        <f>IFERROR(__xludf.DUMMYFUNCTION("""COMPUTED_VALUE"""),"Dracos")</f>
        <v>Dracos</v>
      </c>
      <c r="E633" s="31">
        <f>IFERROR(__xludf.DUMMYFUNCTION("""COMPUTED_VALUE"""),53.85042746645189)</f>
        <v>53.85042747</v>
      </c>
      <c r="F633" s="31">
        <f>IFERROR(__xludf.DUMMYFUNCTION("""COMPUTED_VALUE"""),2.278952299124949)</f>
        <v>2.278952299</v>
      </c>
      <c r="G633" s="31">
        <f>IFERROR(__xludf.DUMMYFUNCTION("""COMPUTED_VALUE"""),47.7076947693033)</f>
        <v>47.70769477</v>
      </c>
      <c r="H633" s="31">
        <f>IFERROR(__xludf.DUMMYFUNCTION("""COMPUTED_VALUE"""),-2.157630933215088)</f>
        <v>-2.157630933</v>
      </c>
      <c r="I633" s="54">
        <f>IFERROR(__xludf.DUMMYFUNCTION("""COMPUTED_VALUE"""),38.0)</f>
        <v>38</v>
      </c>
      <c r="J633" s="55">
        <f>IFERROR(__xludf.DUMMYFUNCTION("""COMPUTED_VALUE"""),19.0)</f>
        <v>19</v>
      </c>
      <c r="K633" s="54">
        <f>IFERROR(__xludf.DUMMYFUNCTION("""COMPUTED_VALUE"""),19.0)</f>
        <v>19</v>
      </c>
      <c r="L633" s="56">
        <f>IFERROR(__xludf.DUMMYFUNCTION("""COMPUTED_VALUE"""),0.5)</f>
        <v>0.5</v>
      </c>
      <c r="M633" s="56">
        <f>IFERROR(__xludf.DUMMYFUNCTION("""COMPUTED_VALUE"""),0.35051546391752575)</f>
        <v>0.3505154639</v>
      </c>
      <c r="N633" s="31">
        <f>IFERROR(__xludf.DUMMYFUNCTION("""COMPUTED_VALUE"""),356.07894736842104)</f>
        <v>356.0789474</v>
      </c>
      <c r="O633" s="57">
        <f>IFERROR(__xludf.DUMMYFUNCTION("""COMPUTED_VALUE"""),0.8947368421052632)</f>
        <v>0.8947368421</v>
      </c>
      <c r="P633" s="57">
        <f>IFERROR(__xludf.DUMMYFUNCTION("""COMPUTED_VALUE"""),0.39473684210526316)</f>
        <v>0.3947368421</v>
      </c>
      <c r="Q633" s="57">
        <f>IFERROR(__xludf.DUMMYFUNCTION("""COMPUTED_VALUE"""),1.3421052631578947)</f>
        <v>1.342105263</v>
      </c>
      <c r="R633" s="57">
        <f>IFERROR(__xludf.DUMMYFUNCTION("""COMPUTED_VALUE"""),2.5526315789473686)</f>
        <v>2.552631579</v>
      </c>
      <c r="S633" s="31">
        <f>IFERROR(__xludf.DUMMYFUNCTION("""COMPUTED_VALUE"""),353.80701754385956)</f>
        <v>353.8070175</v>
      </c>
      <c r="T633" s="57">
        <f>IFERROR(__xludf.DUMMYFUNCTION("""COMPUTED_VALUE"""),0.868421052631579)</f>
        <v>0.8684210526</v>
      </c>
      <c r="U633" s="57">
        <f>IFERROR(__xludf.DUMMYFUNCTION("""COMPUTED_VALUE"""),0.5263157894736843)</f>
        <v>0.5263157895</v>
      </c>
      <c r="V633" s="57">
        <f>IFERROR(__xludf.DUMMYFUNCTION("""COMPUTED_VALUE"""),1.2894736842105268)</f>
        <v>1.289473684</v>
      </c>
      <c r="W633" s="57">
        <f>IFERROR(__xludf.DUMMYFUNCTION("""COMPUTED_VALUE"""),2.657894736842105)</f>
        <v>2.657894737</v>
      </c>
      <c r="X633" s="31">
        <f>IFERROR(__xludf.DUMMYFUNCTION("""COMPUTED_VALUE"""),352.36384334079617)</f>
        <v>352.3638433</v>
      </c>
      <c r="Y633" s="57">
        <f>IFERROR(__xludf.DUMMYFUNCTION("""COMPUTED_VALUE"""),0.7831401130120429)</f>
        <v>0.783140113</v>
      </c>
      <c r="Z633" s="57">
        <f>IFERROR(__xludf.DUMMYFUNCTION("""COMPUTED_VALUE"""),0.553934457865033)</f>
        <v>0.5539344579</v>
      </c>
      <c r="AA633" s="57">
        <f>IFERROR(__xludf.DUMMYFUNCTION("""COMPUTED_VALUE"""),1.3174215167848364)</f>
        <v>1.317421517</v>
      </c>
      <c r="AB633" s="57">
        <f>IFERROR(__xludf.DUMMYFUNCTION("""COMPUTED_VALUE"""),2.723816545141763)</f>
        <v>2.723816545</v>
      </c>
      <c r="AC633" s="31">
        <f>IFERROR(__xludf.DUMMYFUNCTION("""COMPUTED_VALUE"""),348.0926614523507)</f>
        <v>348.0926615</v>
      </c>
      <c r="AD633" s="57">
        <f>IFERROR(__xludf.DUMMYFUNCTION("""COMPUTED_VALUE"""),0.7681816516333109)</f>
        <v>0.7681816516</v>
      </c>
      <c r="AE633" s="57">
        <f>IFERROR(__xludf.DUMMYFUNCTION("""COMPUTED_VALUE"""),0.5469278269645921)</f>
        <v>0.546927827</v>
      </c>
      <c r="AF633" s="57">
        <f>IFERROR(__xludf.DUMMYFUNCTION("""COMPUTED_VALUE"""),1.3616300004357933)</f>
        <v>1.36163</v>
      </c>
      <c r="AG633" s="57">
        <f>IFERROR(__xludf.DUMMYFUNCTION("""COMPUTED_VALUE"""),2.5465729314557315)</f>
        <v>2.546572931</v>
      </c>
      <c r="AH633" s="57">
        <f>IFERROR(__xludf.DUMMYFUNCTION("""COMPUTED_VALUE"""),1.0229429884639023)</f>
        <v>1.022942988</v>
      </c>
      <c r="AI633" s="57">
        <f>IFERROR(__xludf.DUMMYFUNCTION("""COMPUTED_VALUE"""),1.16474643751627)</f>
        <v>1.164746438</v>
      </c>
      <c r="AJ633" s="57">
        <f>IFERROR(__xludf.DUMMYFUNCTION("""COMPUTED_VALUE"""),0.7217347932286106)</f>
        <v>0.7217347932</v>
      </c>
      <c r="AK633" s="57">
        <f>IFERROR(__xludf.DUMMYFUNCTION("""COMPUTED_VALUE"""),0.9856607615345948)</f>
        <v>0.9856607615</v>
      </c>
      <c r="AL633" s="57">
        <f>IFERROR(__xludf.DUMMYFUNCTION("""COMPUTED_VALUE"""),1.0023791376311275)</f>
        <v>1.002379138</v>
      </c>
      <c r="AM633" s="57">
        <f>IFERROR(__xludf.DUMMYFUNCTION("""COMPUTED_VALUE"""),1.0040956932169331)</f>
        <v>1.004095693</v>
      </c>
      <c r="AN633" s="57">
        <f>IFERROR(__xludf.DUMMYFUNCTION("""COMPUTED_VALUE"""),1.1088961454056239)</f>
        <v>1.108896145</v>
      </c>
      <c r="AO633" s="57">
        <f>IFERROR(__xludf.DUMMYFUNCTION("""COMPUTED_VALUE"""),0.9501409092732808)</f>
        <v>0.9501409093</v>
      </c>
      <c r="AP633" s="35">
        <f>IFERROR(__xludf.DUMMYFUNCTION("""COMPUTED_VALUE"""),0.9787859601363456)</f>
        <v>0.9787859601</v>
      </c>
      <c r="AQ633" s="57">
        <f>IFERROR(__xludf.DUMMYFUNCTION("""COMPUTED_VALUE"""),0.9757979998993555)</f>
        <v>0.9757979999</v>
      </c>
      <c r="AR633" s="36" t="b">
        <f>IFERROR(__xludf.DUMMYFUNCTION("""COMPUTED_VALUE"""),TRUE)</f>
        <v>1</v>
      </c>
      <c r="AS633" s="57"/>
      <c r="AT633" s="37"/>
      <c r="AU633" s="30"/>
      <c r="AV633" s="30"/>
      <c r="AW633" s="30"/>
      <c r="AX633" s="30"/>
      <c r="AY633" s="30"/>
      <c r="AZ633" s="30"/>
    </row>
    <row r="634">
      <c r="A634" s="30" t="str">
        <f>IFERROR(__xludf.DUMMYFUNCTION("""COMPUTED_VALUE"""),"Rival")</f>
        <v>Rival</v>
      </c>
      <c r="B634" s="30" t="str">
        <f>IFERROR(__xludf.DUMMYFUNCTION("""COMPUTED_VALUE"""),"RSC003718")</f>
        <v>RSC003718</v>
      </c>
      <c r="C634" s="30" t="str">
        <f>IFERROR(__xludf.DUMMYFUNCTION("""COMPUTED_VALUE"""),"Tbonelul")</f>
        <v>Tbonelul</v>
      </c>
      <c r="D634" s="31" t="str">
        <f>IFERROR(__xludf.DUMMYFUNCTION("""COMPUTED_VALUE"""),"Heavy Metal")</f>
        <v>Heavy Metal</v>
      </c>
      <c r="E634" s="31">
        <f>IFERROR(__xludf.DUMMYFUNCTION("""COMPUTED_VALUE"""),53.81561540217498)</f>
        <v>53.8156154</v>
      </c>
      <c r="F634" s="31">
        <f>IFERROR(__xludf.DUMMYFUNCTION("""COMPUTED_VALUE"""),2.2761044126487993)</f>
        <v>2.276104413</v>
      </c>
      <c r="G634" s="31">
        <f>IFERROR(__xludf.DUMMYFUNCTION("""COMPUTED_VALUE"""),55.54525769274025)</f>
        <v>55.54525769</v>
      </c>
      <c r="H634" s="31">
        <f>IFERROR(__xludf.DUMMYFUNCTION("""COMPUTED_VALUE"""),2.425825665274518)</f>
        <v>2.425825665</v>
      </c>
      <c r="I634" s="54">
        <f>IFERROR(__xludf.DUMMYFUNCTION("""COMPUTED_VALUE"""),41.0)</f>
        <v>41</v>
      </c>
      <c r="J634" s="55">
        <f>IFERROR(__xludf.DUMMYFUNCTION("""COMPUTED_VALUE"""),19.0)</f>
        <v>19</v>
      </c>
      <c r="K634" s="54">
        <f>IFERROR(__xludf.DUMMYFUNCTION("""COMPUTED_VALUE"""),22.0)</f>
        <v>22</v>
      </c>
      <c r="L634" s="56">
        <f>IFERROR(__xludf.DUMMYFUNCTION("""COMPUTED_VALUE"""),0.4634146341463415)</f>
        <v>0.4634146341</v>
      </c>
      <c r="M634" s="56">
        <f>IFERROR(__xludf.DUMMYFUNCTION("""COMPUTED_VALUE"""),0.275)</f>
        <v>0.275</v>
      </c>
      <c r="N634" s="31">
        <f>IFERROR(__xludf.DUMMYFUNCTION("""COMPUTED_VALUE"""),338.6829268292683)</f>
        <v>338.6829268</v>
      </c>
      <c r="O634" s="57">
        <f>IFERROR(__xludf.DUMMYFUNCTION("""COMPUTED_VALUE"""),0.8048780487804879)</f>
        <v>0.8048780488</v>
      </c>
      <c r="P634" s="57">
        <f>IFERROR(__xludf.DUMMYFUNCTION("""COMPUTED_VALUE"""),0.5121951219512195)</f>
        <v>0.512195122</v>
      </c>
      <c r="Q634" s="57">
        <f>IFERROR(__xludf.DUMMYFUNCTION("""COMPUTED_VALUE"""),0.9024390243902439)</f>
        <v>0.9024390244</v>
      </c>
      <c r="R634" s="57">
        <f>IFERROR(__xludf.DUMMYFUNCTION("""COMPUTED_VALUE"""),2.926829268292683)</f>
        <v>2.926829268</v>
      </c>
      <c r="S634" s="31">
        <f>IFERROR(__xludf.DUMMYFUNCTION("""COMPUTED_VALUE"""),350.00000000000006)</f>
        <v>350</v>
      </c>
      <c r="T634" s="57">
        <f>IFERROR(__xludf.DUMMYFUNCTION("""COMPUTED_VALUE"""),0.804878048780488)</f>
        <v>0.8048780488</v>
      </c>
      <c r="U634" s="57">
        <f>IFERROR(__xludf.DUMMYFUNCTION("""COMPUTED_VALUE"""),0.5934959349593496)</f>
        <v>0.593495935</v>
      </c>
      <c r="V634" s="57">
        <f>IFERROR(__xludf.DUMMYFUNCTION("""COMPUTED_VALUE"""),1.292682926829268)</f>
        <v>1.292682927</v>
      </c>
      <c r="W634" s="57">
        <f>IFERROR(__xludf.DUMMYFUNCTION("""COMPUTED_VALUE"""),2.4959349593495936)</f>
        <v>2.495934959</v>
      </c>
      <c r="X634" s="31">
        <f>IFERROR(__xludf.DUMMYFUNCTION("""COMPUTED_VALUE"""),338.98020055642854)</f>
        <v>338.9802006</v>
      </c>
      <c r="Y634" s="57">
        <f>IFERROR(__xludf.DUMMYFUNCTION("""COMPUTED_VALUE"""),0.7580687059626422)</f>
        <v>0.758068706</v>
      </c>
      <c r="Z634" s="57">
        <f>IFERROR(__xludf.DUMMYFUNCTION("""COMPUTED_VALUE"""),0.5546239840616018)</f>
        <v>0.5546239841</v>
      </c>
      <c r="AA634" s="57">
        <f>IFERROR(__xludf.DUMMYFUNCTION("""COMPUTED_VALUE"""),1.2824965633184686)</f>
        <v>1.282496563</v>
      </c>
      <c r="AB634" s="57">
        <f>IFERROR(__xludf.DUMMYFUNCTION("""COMPUTED_VALUE"""),2.4118801971002934)</f>
        <v>2.411880197</v>
      </c>
      <c r="AC634" s="31">
        <f>IFERROR(__xludf.DUMMYFUNCTION("""COMPUTED_VALUE"""),347.846600822024)</f>
        <v>347.8466008</v>
      </c>
      <c r="AD634" s="57">
        <f>IFERROR(__xludf.DUMMYFUNCTION("""COMPUTED_VALUE"""),0.8062762038599918)</f>
        <v>0.8062762039</v>
      </c>
      <c r="AE634" s="57">
        <f>IFERROR(__xludf.DUMMYFUNCTION("""COMPUTED_VALUE"""),0.5716149815125736)</f>
        <v>0.5716149815</v>
      </c>
      <c r="AF634" s="57">
        <f>IFERROR(__xludf.DUMMYFUNCTION("""COMPUTED_VALUE"""),1.2722778082402908)</f>
        <v>1.272277808</v>
      </c>
      <c r="AG634" s="57">
        <f>IFERROR(__xludf.DUMMYFUNCTION("""COMPUTED_VALUE"""),2.606778417660268)</f>
        <v>2.606778418</v>
      </c>
      <c r="AH634" s="57">
        <f>IFERROR(__xludf.DUMMYFUNCTION("""COMPUTED_VALUE"""),0.9736559909710191)</f>
        <v>0.973655991</v>
      </c>
      <c r="AI634" s="57">
        <f>IFERROR(__xludf.DUMMYFUNCTION("""COMPUTED_VALUE"""),0.9982659105244451)</f>
        <v>0.9982659105</v>
      </c>
      <c r="AJ634" s="57">
        <f>IFERROR(__xludf.DUMMYFUNCTION("""COMPUTED_VALUE"""),0.8960491563672442)</f>
        <v>0.8960491564</v>
      </c>
      <c r="AK634" s="57">
        <f>IFERROR(__xludf.DUMMYFUNCTION("""COMPUTED_VALUE"""),0.7093097266535072)</f>
        <v>0.7093097267</v>
      </c>
      <c r="AL634" s="57">
        <f>IFERROR(__xludf.DUMMYFUNCTION("""COMPUTED_VALUE"""),1.1227763926784688)</f>
        <v>1.122776393</v>
      </c>
      <c r="AM634" s="57">
        <f>IFERROR(__xludf.DUMMYFUNCTION("""COMPUTED_VALUE"""),1.0325086817031872)</f>
        <v>1.032508682</v>
      </c>
      <c r="AN634" s="57">
        <f>IFERROR(__xludf.DUMMYFUNCTION("""COMPUTED_VALUE"""),1.0617481534980453)</f>
        <v>1.061748153</v>
      </c>
      <c r="AO634" s="57">
        <f>IFERROR(__xludf.DUMMYFUNCTION("""COMPUTED_VALUE"""),1.0700870355679213)</f>
        <v>1.070087036</v>
      </c>
      <c r="AP634" s="35">
        <f>IFERROR(__xludf.DUMMYFUNCTION("""COMPUTED_VALUE"""),1.0079426049177411)</f>
        <v>1.007942605</v>
      </c>
      <c r="AQ634" s="57">
        <f>IFERROR(__xludf.DUMMYFUNCTION("""COMPUTED_VALUE"""),1.0348503057284337)</f>
        <v>1.034850306</v>
      </c>
      <c r="AR634" s="36" t="b">
        <f>IFERROR(__xludf.DUMMYFUNCTION("""COMPUTED_VALUE"""),TRUE)</f>
        <v>1</v>
      </c>
      <c r="AS634" s="57"/>
      <c r="AT634" s="37"/>
      <c r="AU634" s="30"/>
      <c r="AV634" s="30"/>
      <c r="AW634" s="30"/>
      <c r="AX634" s="30"/>
      <c r="AY634" s="30"/>
      <c r="AZ634" s="30"/>
    </row>
    <row r="635">
      <c r="A635" s="30" t="str">
        <f>IFERROR(__xludf.DUMMYFUNCTION("""COMPUTED_VALUE"""),"Rival")</f>
        <v>Rival</v>
      </c>
      <c r="B635" s="30" t="str">
        <f>IFERROR(__xludf.DUMMYFUNCTION("""COMPUTED_VALUE"""),"RSC007561")</f>
        <v>RSC007561</v>
      </c>
      <c r="C635" s="30" t="str">
        <f>IFERROR(__xludf.DUMMYFUNCTION("""COMPUTED_VALUE"""),"Grabbitzz")</f>
        <v>Grabbitzz</v>
      </c>
      <c r="D635" s="31" t="str">
        <f>IFERROR(__xludf.DUMMYFUNCTION("""COMPUTED_VALUE"""),"Polar Bears")</f>
        <v>Polar Bears</v>
      </c>
      <c r="E635" s="31">
        <f>IFERROR(__xludf.DUMMYFUNCTION("""COMPUTED_VALUE"""),53.16206606592716)</f>
        <v>53.16206607</v>
      </c>
      <c r="F635" s="31">
        <f>IFERROR(__xludf.DUMMYFUNCTION("""COMPUTED_VALUE"""),2.2238285977263605)</f>
        <v>2.223828598</v>
      </c>
      <c r="G635" s="31">
        <f>IFERROR(__xludf.DUMMYFUNCTION("""COMPUTED_VALUE"""),41.39069158430372)</f>
        <v>41.39069158</v>
      </c>
      <c r="H635" s="31">
        <f>IFERROR(__xludf.DUMMYFUNCTION("""COMPUTED_VALUE"""),-2.73760235975422)</f>
        <v>-2.73760236</v>
      </c>
      <c r="I635" s="54">
        <f>IFERROR(__xludf.DUMMYFUNCTION("""COMPUTED_VALUE"""),29.0)</f>
        <v>29</v>
      </c>
      <c r="J635" s="55">
        <f>IFERROR(__xludf.DUMMYFUNCTION("""COMPUTED_VALUE"""),15.0)</f>
        <v>15</v>
      </c>
      <c r="K635" s="54">
        <f>IFERROR(__xludf.DUMMYFUNCTION("""COMPUTED_VALUE"""),14.0)</f>
        <v>14</v>
      </c>
      <c r="L635" s="56">
        <f>IFERROR(__xludf.DUMMYFUNCTION("""COMPUTED_VALUE"""),0.5172413793103449)</f>
        <v>0.5172413793</v>
      </c>
      <c r="M635" s="56">
        <f>IFERROR(__xludf.DUMMYFUNCTION("""COMPUTED_VALUE"""),0.2894736842105263)</f>
        <v>0.2894736842</v>
      </c>
      <c r="N635" s="31">
        <f>IFERROR(__xludf.DUMMYFUNCTION("""COMPUTED_VALUE"""),318.41379310344826)</f>
        <v>318.4137931</v>
      </c>
      <c r="O635" s="57">
        <f>IFERROR(__xludf.DUMMYFUNCTION("""COMPUTED_VALUE"""),0.7586206896551724)</f>
        <v>0.7586206897</v>
      </c>
      <c r="P635" s="57">
        <f>IFERROR(__xludf.DUMMYFUNCTION("""COMPUTED_VALUE"""),0.5517241379310345)</f>
        <v>0.5517241379</v>
      </c>
      <c r="Q635" s="57">
        <f>IFERROR(__xludf.DUMMYFUNCTION("""COMPUTED_VALUE"""),1.2413793103448276)</f>
        <v>1.24137931</v>
      </c>
      <c r="R635" s="57">
        <f>IFERROR(__xludf.DUMMYFUNCTION("""COMPUTED_VALUE"""),2.6206896551724137)</f>
        <v>2.620689655</v>
      </c>
      <c r="S635" s="31">
        <f>IFERROR(__xludf.DUMMYFUNCTION("""COMPUTED_VALUE"""),348.47126436781605)</f>
        <v>348.4712644</v>
      </c>
      <c r="T635" s="57">
        <f>IFERROR(__xludf.DUMMYFUNCTION("""COMPUTED_VALUE"""),0.7011494252873562)</f>
        <v>0.7011494253</v>
      </c>
      <c r="U635" s="57">
        <f>IFERROR(__xludf.DUMMYFUNCTION("""COMPUTED_VALUE"""),0.5402298850574714)</f>
        <v>0.5402298851</v>
      </c>
      <c r="V635" s="57">
        <f>IFERROR(__xludf.DUMMYFUNCTION("""COMPUTED_VALUE"""),1.517241379310345)</f>
        <v>1.517241379</v>
      </c>
      <c r="W635" s="57">
        <f>IFERROR(__xludf.DUMMYFUNCTION("""COMPUTED_VALUE"""),2.494252873563218)</f>
        <v>2.494252874</v>
      </c>
      <c r="X635" s="31">
        <f>IFERROR(__xludf.DUMMYFUNCTION("""COMPUTED_VALUE"""),347.81770263127504)</f>
        <v>347.8177026</v>
      </c>
      <c r="Y635" s="57">
        <f>IFERROR(__xludf.DUMMYFUNCTION("""COMPUTED_VALUE"""),0.7935024521394269)</f>
        <v>0.7935024521</v>
      </c>
      <c r="Z635" s="57">
        <f>IFERROR(__xludf.DUMMYFUNCTION("""COMPUTED_VALUE"""),0.555074516964706)</f>
        <v>0.555074517</v>
      </c>
      <c r="AA635" s="57">
        <f>IFERROR(__xludf.DUMMYFUNCTION("""COMPUTED_VALUE"""),1.3187914346704264)</f>
        <v>1.318791435</v>
      </c>
      <c r="AB635" s="57">
        <f>IFERROR(__xludf.DUMMYFUNCTION("""COMPUTED_VALUE"""),2.523594686995209)</f>
        <v>2.523594687</v>
      </c>
      <c r="AC635" s="31">
        <f>IFERROR(__xludf.DUMMYFUNCTION("""COMPUTED_VALUE"""),345.1998533927785)</f>
        <v>345.1998534</v>
      </c>
      <c r="AD635" s="57">
        <f>IFERROR(__xludf.DUMMYFUNCTION("""COMPUTED_VALUE"""),0.7913040409074739)</f>
        <v>0.7913040409</v>
      </c>
      <c r="AE635" s="57">
        <f>IFERROR(__xludf.DUMMYFUNCTION("""COMPUTED_VALUE"""),0.5457613001620797)</f>
        <v>0.5457613002</v>
      </c>
      <c r="AF635" s="57">
        <f>IFERROR(__xludf.DUMMYFUNCTION("""COMPUTED_VALUE"""),1.2928128175388147)</f>
        <v>1.292812818</v>
      </c>
      <c r="AG635" s="57">
        <f>IFERROR(__xludf.DUMMYFUNCTION("""COMPUTED_VALUE"""),2.524001642495899)</f>
        <v>2.524001642</v>
      </c>
      <c r="AH635" s="57">
        <f>IFERROR(__xludf.DUMMYFUNCTION("""COMPUTED_VALUE"""),0.9224041956389469)</f>
        <v>0.9224041956</v>
      </c>
      <c r="AI635" s="57">
        <f>IFERROR(__xludf.DUMMYFUNCTION("""COMPUTED_VALUE"""),0.9586968477820232)</f>
        <v>0.9586968478</v>
      </c>
      <c r="AJ635" s="57">
        <f>IFERROR(__xludf.DUMMYFUNCTION("""COMPUTED_VALUE"""),1.0109257247943084)</f>
        <v>1.010925725</v>
      </c>
      <c r="AK635" s="57">
        <f>IFERROR(__xludf.DUMMYFUNCTION("""COMPUTED_VALUE"""),0.9602158127640602)</f>
        <v>0.9602158128</v>
      </c>
      <c r="AL635" s="57">
        <f>IFERROR(__xludf.DUMMYFUNCTION("""COMPUTED_VALUE"""),1.038307428588241)</f>
        <v>1.038307429</v>
      </c>
      <c r="AM635" s="57">
        <f>IFERROR(__xludf.DUMMYFUNCTION("""COMPUTED_VALUE"""),1.001879035286579)</f>
        <v>1.001879035</v>
      </c>
      <c r="AN635" s="57">
        <f>IFERROR(__xludf.DUMMYFUNCTION("""COMPUTED_VALUE"""),0.8836134323176064)</f>
        <v>0.8836134323</v>
      </c>
      <c r="AO635" s="57">
        <f>IFERROR(__xludf.DUMMYFUNCTION("""COMPUTED_VALUE"""),0.9732565061923416)</f>
        <v>0.9732565062</v>
      </c>
      <c r="AP635" s="35">
        <f>IFERROR(__xludf.DUMMYFUNCTION("""COMPUTED_VALUE"""),1.1504786423559934)</f>
        <v>1.150478642</v>
      </c>
      <c r="AQ635" s="57">
        <f>IFERROR(__xludf.DUMMYFUNCTION("""COMPUTED_VALUE"""),0.9883730087152278)</f>
        <v>0.9883730087</v>
      </c>
      <c r="AR635" s="36" t="b">
        <f>IFERROR(__xludf.DUMMYFUNCTION("""COMPUTED_VALUE"""),TRUE)</f>
        <v>1</v>
      </c>
      <c r="AS635" s="57"/>
      <c r="AT635" s="37"/>
      <c r="AU635" s="30"/>
      <c r="AV635" s="30"/>
      <c r="AW635" s="30"/>
      <c r="AX635" s="30"/>
      <c r="AY635" s="30"/>
      <c r="AZ635" s="30"/>
    </row>
    <row r="636">
      <c r="A636" s="30" t="str">
        <f>IFERROR(__xludf.DUMMYFUNCTION("""COMPUTED_VALUE"""),"Rival")</f>
        <v>Rival</v>
      </c>
      <c r="B636" s="30" t="str">
        <f>IFERROR(__xludf.DUMMYFUNCTION("""COMPUTED_VALUE"""),"RSC000136")</f>
        <v>RSC000136</v>
      </c>
      <c r="C636" s="30" t="str">
        <f>IFERROR(__xludf.DUMMYFUNCTION("""COMPUTED_VALUE"""),"Blun")</f>
        <v>Blun</v>
      </c>
      <c r="D636" s="31" t="str">
        <f>IFERROR(__xludf.DUMMYFUNCTION("""COMPUTED_VALUE"""),"Tyrants")</f>
        <v>Tyrants</v>
      </c>
      <c r="E636" s="31">
        <f>IFERROR(__xludf.DUMMYFUNCTION("""COMPUTED_VALUE"""),53.10296664803673)</f>
        <v>53.10296665</v>
      </c>
      <c r="F636" s="31">
        <f>IFERROR(__xludf.DUMMYFUNCTION("""COMPUTED_VALUE"""),2.2192107060241035)</f>
        <v>2.219210706</v>
      </c>
      <c r="G636" s="31">
        <f>IFERROR(__xludf.DUMMYFUNCTION("""COMPUTED_VALUE"""),58.490114035847355)</f>
        <v>58.49011404</v>
      </c>
      <c r="H636" s="31">
        <f>IFERROR(__xludf.DUMMYFUNCTION("""COMPUTED_VALUE"""),2.724222801701698)</f>
        <v>2.724222802</v>
      </c>
      <c r="I636" s="54">
        <f>IFERROR(__xludf.DUMMYFUNCTION("""COMPUTED_VALUE"""),42.0)</f>
        <v>42</v>
      </c>
      <c r="J636" s="55">
        <f>IFERROR(__xludf.DUMMYFUNCTION("""COMPUTED_VALUE"""),19.0)</f>
        <v>19</v>
      </c>
      <c r="K636" s="54">
        <f>IFERROR(__xludf.DUMMYFUNCTION("""COMPUTED_VALUE"""),23.0)</f>
        <v>23</v>
      </c>
      <c r="L636" s="56">
        <f>IFERROR(__xludf.DUMMYFUNCTION("""COMPUTED_VALUE"""),0.4523809523809524)</f>
        <v>0.4523809524</v>
      </c>
      <c r="M636" s="56">
        <f>IFERROR(__xludf.DUMMYFUNCTION("""COMPUTED_VALUE"""),0.3391304347826087)</f>
        <v>0.3391304348</v>
      </c>
      <c r="N636" s="31">
        <f>IFERROR(__xludf.DUMMYFUNCTION("""COMPUTED_VALUE"""),340.76190476190476)</f>
        <v>340.7619048</v>
      </c>
      <c r="O636" s="57">
        <f>IFERROR(__xludf.DUMMYFUNCTION("""COMPUTED_VALUE"""),0.9285714285714286)</f>
        <v>0.9285714286</v>
      </c>
      <c r="P636" s="57">
        <f>IFERROR(__xludf.DUMMYFUNCTION("""COMPUTED_VALUE"""),0.38095238095238093)</f>
        <v>0.380952381</v>
      </c>
      <c r="Q636" s="57">
        <f>IFERROR(__xludf.DUMMYFUNCTION("""COMPUTED_VALUE"""),1.0714285714285714)</f>
        <v>1.071428571</v>
      </c>
      <c r="R636" s="57">
        <f>IFERROR(__xludf.DUMMYFUNCTION("""COMPUTED_VALUE"""),2.738095238095238)</f>
        <v>2.738095238</v>
      </c>
      <c r="S636" s="31">
        <f>IFERROR(__xludf.DUMMYFUNCTION("""COMPUTED_VALUE"""),344.6507936507937)</f>
        <v>344.6507937</v>
      </c>
      <c r="T636" s="57">
        <f>IFERROR(__xludf.DUMMYFUNCTION("""COMPUTED_VALUE"""),0.8253968253968255)</f>
        <v>0.8253968254</v>
      </c>
      <c r="U636" s="57">
        <f>IFERROR(__xludf.DUMMYFUNCTION("""COMPUTED_VALUE"""),0.6507936507936508)</f>
        <v>0.6507936508</v>
      </c>
      <c r="V636" s="57">
        <f>IFERROR(__xludf.DUMMYFUNCTION("""COMPUTED_VALUE"""),1.0555555555555554)</f>
        <v>1.055555556</v>
      </c>
      <c r="W636" s="57">
        <f>IFERROR(__xludf.DUMMYFUNCTION("""COMPUTED_VALUE"""),2.5873015873015874)</f>
        <v>2.587301587</v>
      </c>
      <c r="X636" s="31">
        <f>IFERROR(__xludf.DUMMYFUNCTION("""COMPUTED_VALUE"""),349.10056117851957)</f>
        <v>349.1005612</v>
      </c>
      <c r="Y636" s="57">
        <f>IFERROR(__xludf.DUMMYFUNCTION("""COMPUTED_VALUE"""),0.772317727271917)</f>
        <v>0.7723177273</v>
      </c>
      <c r="Z636" s="57">
        <f>IFERROR(__xludf.DUMMYFUNCTION("""COMPUTED_VALUE"""),0.5621681250311114)</f>
        <v>0.562168125</v>
      </c>
      <c r="AA636" s="57">
        <f>IFERROR(__xludf.DUMMYFUNCTION("""COMPUTED_VALUE"""),1.346952435612505)</f>
        <v>1.346952436</v>
      </c>
      <c r="AB636" s="57">
        <f>IFERROR(__xludf.DUMMYFUNCTION("""COMPUTED_VALUE"""),2.5761269330208605)</f>
        <v>2.576126933</v>
      </c>
      <c r="AC636" s="31">
        <f>IFERROR(__xludf.DUMMYFUNCTION("""COMPUTED_VALUE"""),348.7755273264488)</f>
        <v>348.7755273</v>
      </c>
      <c r="AD636" s="57">
        <f>IFERROR(__xludf.DUMMYFUNCTION("""COMPUTED_VALUE"""),0.784648693465966)</f>
        <v>0.7846486935</v>
      </c>
      <c r="AE636" s="57">
        <f>IFERROR(__xludf.DUMMYFUNCTION("""COMPUTED_VALUE"""),0.5637392039348859)</f>
        <v>0.5637392039</v>
      </c>
      <c r="AF636" s="57">
        <f>IFERROR(__xludf.DUMMYFUNCTION("""COMPUTED_VALUE"""),1.3145464023325881)</f>
        <v>1.314546402</v>
      </c>
      <c r="AG636" s="57">
        <f>IFERROR(__xludf.DUMMYFUNCTION("""COMPUTED_VALUE"""),2.5440694968311988)</f>
        <v>2.544069497</v>
      </c>
      <c r="AH636" s="57">
        <f>IFERROR(__xludf.DUMMYFUNCTION("""COMPUTED_VALUE"""),0.9770235525813042)</f>
        <v>0.9770235526</v>
      </c>
      <c r="AI636" s="57">
        <f>IFERROR(__xludf.DUMMYFUNCTION("""COMPUTED_VALUE"""),1.1834231501357941)</f>
        <v>1.18342315</v>
      </c>
      <c r="AJ636" s="57">
        <f>IFERROR(__xludf.DUMMYFUNCTION("""COMPUTED_VALUE"""),0.675759958316439)</f>
        <v>0.6757599583</v>
      </c>
      <c r="AK636" s="57">
        <f>IFERROR(__xludf.DUMMYFUNCTION("""COMPUTED_VALUE"""),0.8150557253265325)</f>
        <v>0.8150557253</v>
      </c>
      <c r="AL636" s="57">
        <f>IFERROR(__xludf.DUMMYFUNCTION("""COMPUTED_VALUE"""),1.0762658966296756)</f>
        <v>1.076265897</v>
      </c>
      <c r="AM636" s="57">
        <f>IFERROR(__xludf.DUMMYFUNCTION("""COMPUTED_VALUE"""),0.987253622530127)</f>
        <v>0.9872536225</v>
      </c>
      <c r="AN636" s="57">
        <f>IFERROR(__xludf.DUMMYFUNCTION("""COMPUTED_VALUE"""),1.0687270228956176)</f>
        <v>1.068727023</v>
      </c>
      <c r="AO636" s="57">
        <f>IFERROR(__xludf.DUMMYFUNCTION("""COMPUTED_VALUE"""),1.1576495034428265)</f>
        <v>1.157649503</v>
      </c>
      <c r="AP636" s="35">
        <f>IFERROR(__xludf.DUMMYFUNCTION("""COMPUTED_VALUE"""),0.7836620860895941)</f>
        <v>0.7836620861</v>
      </c>
      <c r="AQ636" s="57">
        <f>IFERROR(__xludf.DUMMYFUNCTION("""COMPUTED_VALUE"""),1.004337773165402)</f>
        <v>1.004337773</v>
      </c>
      <c r="AR636" s="36" t="b">
        <f>IFERROR(__xludf.DUMMYFUNCTION("""COMPUTED_VALUE"""),TRUE)</f>
        <v>1</v>
      </c>
      <c r="AS636" s="57"/>
      <c r="AT636" s="37"/>
      <c r="AU636" s="30"/>
      <c r="AV636" s="30"/>
      <c r="AW636" s="30"/>
      <c r="AX636" s="30"/>
      <c r="AY636" s="30"/>
      <c r="AZ636" s="30"/>
    </row>
    <row r="637">
      <c r="A637" s="30" t="str">
        <f>IFERROR(__xludf.DUMMYFUNCTION("""COMPUTED_VALUE"""),"Rival")</f>
        <v>Rival</v>
      </c>
      <c r="B637" s="30" t="str">
        <f>IFERROR(__xludf.DUMMYFUNCTION("""COMPUTED_VALUE"""),"RSC005959")</f>
        <v>RSC005959</v>
      </c>
      <c r="C637" s="30" t="str">
        <f>IFERROR(__xludf.DUMMYFUNCTION("""COMPUTED_VALUE"""),"Yurrbo?")</f>
        <v>Yurrbo?</v>
      </c>
      <c r="D637" s="31" t="str">
        <f>IFERROR(__xludf.DUMMYFUNCTION("""COMPUTED_VALUE"""),"Nightfall")</f>
        <v>Nightfall</v>
      </c>
      <c r="E637" s="31">
        <f>IFERROR(__xludf.DUMMYFUNCTION("""COMPUTED_VALUE"""),53.02212541317221)</f>
        <v>53.02212541</v>
      </c>
      <c r="F637" s="31">
        <f>IFERROR(__xludf.DUMMYFUNCTION("""COMPUTED_VALUE"""),2.21292275804764)</f>
        <v>2.212922758</v>
      </c>
      <c r="G637" s="31">
        <f>IFERROR(__xludf.DUMMYFUNCTION("""COMPUTED_VALUE"""),52.10724919472005)</f>
        <v>52.10724919</v>
      </c>
      <c r="H637" s="31">
        <f>IFERROR(__xludf.DUMMYFUNCTION("""COMPUTED_VALUE"""),2.144022828401104)</f>
        <v>2.144022828</v>
      </c>
      <c r="I637" s="54">
        <f>IFERROR(__xludf.DUMMYFUNCTION("""COMPUTED_VALUE"""),48.0)</f>
        <v>48</v>
      </c>
      <c r="J637" s="55">
        <f>IFERROR(__xludf.DUMMYFUNCTION("""COMPUTED_VALUE"""),23.0)</f>
        <v>23</v>
      </c>
      <c r="K637" s="54">
        <f>IFERROR(__xludf.DUMMYFUNCTION("""COMPUTED_VALUE"""),25.0)</f>
        <v>25</v>
      </c>
      <c r="L637" s="56">
        <f>IFERROR(__xludf.DUMMYFUNCTION("""COMPUTED_VALUE"""),0.4791666666666667)</f>
        <v>0.4791666667</v>
      </c>
      <c r="M637" s="56">
        <f>IFERROR(__xludf.DUMMYFUNCTION("""COMPUTED_VALUE"""),0.28030303030303033)</f>
        <v>0.2803030303</v>
      </c>
      <c r="N637" s="31">
        <f>IFERROR(__xludf.DUMMYFUNCTION("""COMPUTED_VALUE"""),354.7291666666667)</f>
        <v>354.7291667</v>
      </c>
      <c r="O637" s="57">
        <f>IFERROR(__xludf.DUMMYFUNCTION("""COMPUTED_VALUE"""),0.7708333333333334)</f>
        <v>0.7708333333</v>
      </c>
      <c r="P637" s="57">
        <f>IFERROR(__xludf.DUMMYFUNCTION("""COMPUTED_VALUE"""),0.3958333333333333)</f>
        <v>0.3958333333</v>
      </c>
      <c r="Q637" s="57">
        <f>IFERROR(__xludf.DUMMYFUNCTION("""COMPUTED_VALUE"""),1.6458333333333333)</f>
        <v>1.645833333</v>
      </c>
      <c r="R637" s="57">
        <f>IFERROR(__xludf.DUMMYFUNCTION("""COMPUTED_VALUE"""),2.75)</f>
        <v>2.75</v>
      </c>
      <c r="S637" s="31">
        <f>IFERROR(__xludf.DUMMYFUNCTION("""COMPUTED_VALUE"""),334.09027777777777)</f>
        <v>334.0902778</v>
      </c>
      <c r="T637" s="57">
        <f>IFERROR(__xludf.DUMMYFUNCTION("""COMPUTED_VALUE"""),0.6875)</f>
        <v>0.6875</v>
      </c>
      <c r="U637" s="57">
        <f>IFERROR(__xludf.DUMMYFUNCTION("""COMPUTED_VALUE"""),0.5277777777777778)</f>
        <v>0.5277777778</v>
      </c>
      <c r="V637" s="57">
        <f>IFERROR(__xludf.DUMMYFUNCTION("""COMPUTED_VALUE"""),1.4027777777777777)</f>
        <v>1.402777778</v>
      </c>
      <c r="W637" s="57">
        <f>IFERROR(__xludf.DUMMYFUNCTION("""COMPUTED_VALUE"""),2.465277777777778)</f>
        <v>2.465277778</v>
      </c>
      <c r="X637" s="31">
        <f>IFERROR(__xludf.DUMMYFUNCTION("""COMPUTED_VALUE"""),350.89088581405446)</f>
        <v>350.8908858</v>
      </c>
      <c r="Y637" s="57">
        <f>IFERROR(__xludf.DUMMYFUNCTION("""COMPUTED_VALUE"""),0.7891570954279535)</f>
        <v>0.7891570954</v>
      </c>
      <c r="Z637" s="57">
        <f>IFERROR(__xludf.DUMMYFUNCTION("""COMPUTED_VALUE"""),0.5700743116093524)</f>
        <v>0.5700743116</v>
      </c>
      <c r="AA637" s="57">
        <f>IFERROR(__xludf.DUMMYFUNCTION("""COMPUTED_VALUE"""),1.3421756862257874)</f>
        <v>1.342175686</v>
      </c>
      <c r="AB637" s="57">
        <f>IFERROR(__xludf.DUMMYFUNCTION("""COMPUTED_VALUE"""),2.563562189539866)</f>
        <v>2.56356219</v>
      </c>
      <c r="AC637" s="31">
        <f>IFERROR(__xludf.DUMMYFUNCTION("""COMPUTED_VALUE"""),346.01998574707346)</f>
        <v>346.0199857</v>
      </c>
      <c r="AD637" s="57">
        <f>IFERROR(__xludf.DUMMYFUNCTION("""COMPUTED_VALUE"""),0.7802854447266837)</f>
        <v>0.7802854447</v>
      </c>
      <c r="AE637" s="57">
        <f>IFERROR(__xludf.DUMMYFUNCTION("""COMPUTED_VALUE"""),0.548727558992324)</f>
        <v>0.548727559</v>
      </c>
      <c r="AF637" s="57">
        <f>IFERROR(__xludf.DUMMYFUNCTION("""COMPUTED_VALUE"""),1.314908406968504)</f>
        <v>1.314908407</v>
      </c>
      <c r="AG637" s="57">
        <f>IFERROR(__xludf.DUMMYFUNCTION("""COMPUTED_VALUE"""),2.587562014957266)</f>
        <v>2.587562015</v>
      </c>
      <c r="AH637" s="57">
        <f>IFERROR(__xludf.DUMMYFUNCTION("""COMPUTED_VALUE"""),1.0251695892674804)</f>
        <v>1.025169589</v>
      </c>
      <c r="AI637" s="57">
        <f>IFERROR(__xludf.DUMMYFUNCTION("""COMPUTED_VALUE"""),0.9878863415212606)</f>
        <v>0.9878863415</v>
      </c>
      <c r="AJ637" s="57">
        <f>IFERROR(__xludf.DUMMYFUNCTION("""COMPUTED_VALUE"""),0.721365870633938)</f>
        <v>0.7213658706</v>
      </c>
      <c r="AK637" s="57">
        <f>IFERROR(__xludf.DUMMYFUNCTION("""COMPUTED_VALUE"""),1.2516714659447423)</f>
        <v>1.251671466</v>
      </c>
      <c r="AL637" s="57">
        <f>IFERROR(__xludf.DUMMYFUNCTION("""COMPUTED_VALUE"""),1.0627764606621097)</f>
        <v>1.062776461</v>
      </c>
      <c r="AM637" s="57">
        <f>IFERROR(__xludf.DUMMYFUNCTION("""COMPUTED_VALUE"""),0.9521201355877345)</f>
        <v>0.9521201356</v>
      </c>
      <c r="AN637" s="57">
        <f>IFERROR(__xludf.DUMMYFUNCTION("""COMPUTED_VALUE"""),0.8711826884445286)</f>
        <v>0.8711826884</v>
      </c>
      <c r="AO637" s="57">
        <f>IFERROR(__xludf.DUMMYFUNCTION("""COMPUTED_VALUE"""),0.9258052275462666)</f>
        <v>0.9258052275</v>
      </c>
      <c r="AP637" s="35">
        <f>IFERROR(__xludf.DUMMYFUNCTION("""COMPUTED_VALUE"""),1.0451521303611184)</f>
        <v>1.04515213</v>
      </c>
      <c r="AQ637" s="57">
        <f>IFERROR(__xludf.DUMMYFUNCTION("""COMPUTED_VALUE"""),0.9616609996187652)</f>
        <v>0.9616609996</v>
      </c>
      <c r="AR637" s="36" t="b">
        <f>IFERROR(__xludf.DUMMYFUNCTION("""COMPUTED_VALUE"""),TRUE)</f>
        <v>1</v>
      </c>
      <c r="AS637" s="57"/>
      <c r="AT637" s="37"/>
      <c r="AU637" s="30"/>
      <c r="AV637" s="30"/>
      <c r="AW637" s="30"/>
      <c r="AX637" s="30"/>
      <c r="AY637" s="30"/>
      <c r="AZ637" s="30"/>
    </row>
    <row r="638">
      <c r="A638" s="30" t="str">
        <f>IFERROR(__xludf.DUMMYFUNCTION("""COMPUTED_VALUE"""),"Rival")</f>
        <v>Rival</v>
      </c>
      <c r="B638" s="30" t="str">
        <f>IFERROR(__xludf.DUMMYFUNCTION("""COMPUTED_VALUE"""),"RSC007799")</f>
        <v>RSC007799</v>
      </c>
      <c r="C638" s="30" t="str">
        <f>IFERROR(__xludf.DUMMYFUNCTION("""COMPUTED_VALUE"""),"DJstriker211")</f>
        <v>DJstriker211</v>
      </c>
      <c r="D638" s="31" t="str">
        <f>IFERROR(__xludf.DUMMYFUNCTION("""COMPUTED_VALUE"""),"Asiago Arsonists")</f>
        <v>Asiago Arsonists</v>
      </c>
      <c r="E638" s="31">
        <f>IFERROR(__xludf.DUMMYFUNCTION("""COMPUTED_VALUE"""),52.667483787490156)</f>
        <v>52.66748379</v>
      </c>
      <c r="F638" s="31">
        <f>IFERROR(__xludf.DUMMYFUNCTION("""COMPUTED_VALUE"""),2.1857266654175547)</f>
        <v>2.185726665</v>
      </c>
      <c r="G638" s="31">
        <f>IFERROR(__xludf.DUMMYFUNCTION("""COMPUTED_VALUE"""),48.44566929827329)</f>
        <v>48.4456693</v>
      </c>
      <c r="H638" s="31">
        <f>IFERROR(__xludf.DUMMYFUNCTION("""COMPUTED_VALUE"""),-2.104322011750691)</f>
        <v>-2.104322012</v>
      </c>
      <c r="I638" s="54">
        <f>IFERROR(__xludf.DUMMYFUNCTION("""COMPUTED_VALUE"""),36.0)</f>
        <v>36</v>
      </c>
      <c r="J638" s="55">
        <f>IFERROR(__xludf.DUMMYFUNCTION("""COMPUTED_VALUE"""),18.0)</f>
        <v>18</v>
      </c>
      <c r="K638" s="54">
        <f>IFERROR(__xludf.DUMMYFUNCTION("""COMPUTED_VALUE"""),18.0)</f>
        <v>18</v>
      </c>
      <c r="L638" s="56">
        <f>IFERROR(__xludf.DUMMYFUNCTION("""COMPUTED_VALUE"""),0.5)</f>
        <v>0.5</v>
      </c>
      <c r="M638" s="56">
        <f>IFERROR(__xludf.DUMMYFUNCTION("""COMPUTED_VALUE"""),0.28571428571428575)</f>
        <v>0.2857142857</v>
      </c>
      <c r="N638" s="31">
        <f>IFERROR(__xludf.DUMMYFUNCTION("""COMPUTED_VALUE"""),354.3888888888889)</f>
        <v>354.3888889</v>
      </c>
      <c r="O638" s="57">
        <f>IFERROR(__xludf.DUMMYFUNCTION("""COMPUTED_VALUE"""),0.6111111111111112)</f>
        <v>0.6111111111</v>
      </c>
      <c r="P638" s="57">
        <f>IFERROR(__xludf.DUMMYFUNCTION("""COMPUTED_VALUE"""),0.7777777777777778)</f>
        <v>0.7777777778</v>
      </c>
      <c r="Q638" s="57">
        <f>IFERROR(__xludf.DUMMYFUNCTION("""COMPUTED_VALUE"""),1.7777777777777777)</f>
        <v>1.777777778</v>
      </c>
      <c r="R638" s="57">
        <f>IFERROR(__xludf.DUMMYFUNCTION("""COMPUTED_VALUE"""),2.138888888888889)</f>
        <v>2.138888889</v>
      </c>
      <c r="S638" s="31">
        <f>IFERROR(__xludf.DUMMYFUNCTION("""COMPUTED_VALUE"""),351.1111111111111)</f>
        <v>351.1111111</v>
      </c>
      <c r="T638" s="57">
        <f>IFERROR(__xludf.DUMMYFUNCTION("""COMPUTED_VALUE"""),0.7962962962962962)</f>
        <v>0.7962962963</v>
      </c>
      <c r="U638" s="57">
        <f>IFERROR(__xludf.DUMMYFUNCTION("""COMPUTED_VALUE"""),0.5555555555555558)</f>
        <v>0.5555555556</v>
      </c>
      <c r="V638" s="57">
        <f>IFERROR(__xludf.DUMMYFUNCTION("""COMPUTED_VALUE"""),1.3333333333333335)</f>
        <v>1.333333333</v>
      </c>
      <c r="W638" s="57">
        <f>IFERROR(__xludf.DUMMYFUNCTION("""COMPUTED_VALUE"""),2.6759259259259265)</f>
        <v>2.675925926</v>
      </c>
      <c r="X638" s="31">
        <f>IFERROR(__xludf.DUMMYFUNCTION("""COMPUTED_VALUE"""),357.23761723932677)</f>
        <v>357.2376172</v>
      </c>
      <c r="Y638" s="57">
        <f>IFERROR(__xludf.DUMMYFUNCTION("""COMPUTED_VALUE"""),0.7957075428893787)</f>
        <v>0.7957075429</v>
      </c>
      <c r="Z638" s="57">
        <f>IFERROR(__xludf.DUMMYFUNCTION("""COMPUTED_VALUE"""),0.5862901258494475)</f>
        <v>0.5862901258</v>
      </c>
      <c r="AA638" s="57">
        <f>IFERROR(__xludf.DUMMYFUNCTION("""COMPUTED_VALUE"""),1.4010213707760188)</f>
        <v>1.401021371</v>
      </c>
      <c r="AB638" s="57">
        <f>IFERROR(__xludf.DUMMYFUNCTION("""COMPUTED_VALUE"""),2.6929148392296)</f>
        <v>2.692914839</v>
      </c>
      <c r="AC638" s="31">
        <f>IFERROR(__xludf.DUMMYFUNCTION("""COMPUTED_VALUE"""),347.49220029971667)</f>
        <v>347.4922003</v>
      </c>
      <c r="AD638" s="57">
        <f>IFERROR(__xludf.DUMMYFUNCTION("""COMPUTED_VALUE"""),0.77412429292037)</f>
        <v>0.7741242929</v>
      </c>
      <c r="AE638" s="57">
        <f>IFERROR(__xludf.DUMMYFUNCTION("""COMPUTED_VALUE"""),0.5642112520096388)</f>
        <v>0.564211252</v>
      </c>
      <c r="AF638" s="57">
        <f>IFERROR(__xludf.DUMMYFUNCTION("""COMPUTED_VALUE"""),1.3409827764132873)</f>
        <v>1.340982776</v>
      </c>
      <c r="AG638" s="57">
        <f>IFERROR(__xludf.DUMMYFUNCTION("""COMPUTED_VALUE"""),2.618433342844659)</f>
        <v>2.618433343</v>
      </c>
      <c r="AH638" s="57">
        <f>IFERROR(__xludf.DUMMYFUNCTION("""COMPUTED_VALUE"""),1.0198470313383257)</f>
        <v>1.019847031</v>
      </c>
      <c r="AI638" s="57">
        <f>IFERROR(__xludf.DUMMYFUNCTION("""COMPUTED_VALUE"""),0.7894224696213905)</f>
        <v>0.7894224696</v>
      </c>
      <c r="AJ638" s="57">
        <f>IFERROR(__xludf.DUMMYFUNCTION("""COMPUTED_VALUE"""),1.3785222733638258)</f>
        <v>1.378522273</v>
      </c>
      <c r="AK638" s="57">
        <f>IFERROR(__xludf.DUMMYFUNCTION("""COMPUTED_VALUE"""),1.3257275253995293)</f>
        <v>1.325727525</v>
      </c>
      <c r="AL638" s="57">
        <f>IFERROR(__xludf.DUMMYFUNCTION("""COMPUTED_VALUE"""),0.8168582540906716)</f>
        <v>0.8168582541</v>
      </c>
      <c r="AM638" s="57">
        <f>IFERROR(__xludf.DUMMYFUNCTION("""COMPUTED_VALUE"""),0.9828503331324391)</f>
        <v>0.9828503331</v>
      </c>
      <c r="AN638" s="57">
        <f>IFERROR(__xludf.DUMMYFUNCTION("""COMPUTED_VALUE"""),1.0007399118082752)</f>
        <v>1.000739912</v>
      </c>
      <c r="AO638" s="57">
        <f>IFERROR(__xludf.DUMMYFUNCTION("""COMPUTED_VALUE"""),0.9475778817708009)</f>
        <v>0.9475778818</v>
      </c>
      <c r="AP638" s="35">
        <f>IFERROR(__xludf.DUMMYFUNCTION("""COMPUTED_VALUE"""),0.9516866488587584)</f>
        <v>0.9516866489</v>
      </c>
      <c r="AQ638" s="57">
        <f>IFERROR(__xludf.DUMMYFUNCTION("""COMPUTED_VALUE"""),0.9936912548974131)</f>
        <v>0.9936912549</v>
      </c>
      <c r="AR638" s="36" t="b">
        <f>IFERROR(__xludf.DUMMYFUNCTION("""COMPUTED_VALUE"""),TRUE)</f>
        <v>1</v>
      </c>
      <c r="AS638" s="57"/>
      <c r="AT638" s="37"/>
      <c r="AU638" s="30"/>
      <c r="AV638" s="30"/>
      <c r="AW638" s="30"/>
      <c r="AX638" s="30"/>
      <c r="AY638" s="30"/>
      <c r="AZ638" s="30"/>
    </row>
    <row r="639">
      <c r="A639" s="30" t="str">
        <f>IFERROR(__xludf.DUMMYFUNCTION("""COMPUTED_VALUE"""),"Rival")</f>
        <v>Rival</v>
      </c>
      <c r="B639" s="30" t="str">
        <f>IFERROR(__xludf.DUMMYFUNCTION("""COMPUTED_VALUE"""),"RSC000291")</f>
        <v>RSC000291</v>
      </c>
      <c r="C639" s="30" t="str">
        <f>IFERROR(__xludf.DUMMYFUNCTION("""COMPUTED_VALUE"""),"Suckiest Sucker")</f>
        <v>Suckiest Sucker</v>
      </c>
      <c r="D639" s="31" t="str">
        <f>IFERROR(__xludf.DUMMYFUNCTION("""COMPUTED_VALUE"""),"Hue Heroes")</f>
        <v>Hue Heroes</v>
      </c>
      <c r="E639" s="31">
        <f>IFERROR(__xludf.DUMMYFUNCTION("""COMPUTED_VALUE"""),52.21111349342692)</f>
        <v>52.21111349</v>
      </c>
      <c r="F639" s="31">
        <f>IFERROR(__xludf.DUMMYFUNCTION("""COMPUTED_VALUE"""),2.1516403792940317)</f>
        <v>2.151640379</v>
      </c>
      <c r="G639" s="31">
        <f>IFERROR(__xludf.DUMMYFUNCTION("""COMPUTED_VALUE"""),49.42627488400471)</f>
        <v>49.42627488</v>
      </c>
      <c r="H639" s="31">
        <f>IFERROR(__xludf.DUMMYFUNCTION("""COMPUTED_VALUE"""),-2.0373010454350386)</f>
        <v>-2.037301045</v>
      </c>
      <c r="I639" s="54">
        <f>IFERROR(__xludf.DUMMYFUNCTION("""COMPUTED_VALUE"""),24.0)</f>
        <v>24</v>
      </c>
      <c r="J639" s="55">
        <f>IFERROR(__xludf.DUMMYFUNCTION("""COMPUTED_VALUE"""),13.0)</f>
        <v>13</v>
      </c>
      <c r="K639" s="54">
        <f>IFERROR(__xludf.DUMMYFUNCTION("""COMPUTED_VALUE"""),11.0)</f>
        <v>11</v>
      </c>
      <c r="L639" s="56">
        <f>IFERROR(__xludf.DUMMYFUNCTION("""COMPUTED_VALUE"""),0.5416666666666666)</f>
        <v>0.5416666667</v>
      </c>
      <c r="M639" s="56">
        <f>IFERROR(__xludf.DUMMYFUNCTION("""COMPUTED_VALUE"""),0.3148148148148148)</f>
        <v>0.3148148148</v>
      </c>
      <c r="N639" s="31">
        <f>IFERROR(__xludf.DUMMYFUNCTION("""COMPUTED_VALUE"""),349.9583333333333)</f>
        <v>349.9583333</v>
      </c>
      <c r="O639" s="57">
        <f>IFERROR(__xludf.DUMMYFUNCTION("""COMPUTED_VALUE"""),0.7083333333333334)</f>
        <v>0.7083333333</v>
      </c>
      <c r="P639" s="57">
        <f>IFERROR(__xludf.DUMMYFUNCTION("""COMPUTED_VALUE"""),0.75)</f>
        <v>0.75</v>
      </c>
      <c r="Q639" s="57">
        <f>IFERROR(__xludf.DUMMYFUNCTION("""COMPUTED_VALUE"""),1.2916666666666667)</f>
        <v>1.291666667</v>
      </c>
      <c r="R639" s="57">
        <f>IFERROR(__xludf.DUMMYFUNCTION("""COMPUTED_VALUE"""),2.25)</f>
        <v>2.25</v>
      </c>
      <c r="S639" s="31">
        <f>IFERROR(__xludf.DUMMYFUNCTION("""COMPUTED_VALUE"""),345.4027777777778)</f>
        <v>345.4027778</v>
      </c>
      <c r="T639" s="57">
        <f>IFERROR(__xludf.DUMMYFUNCTION("""COMPUTED_VALUE"""),0.7916666666666666)</f>
        <v>0.7916666667</v>
      </c>
      <c r="U639" s="57">
        <f>IFERROR(__xludf.DUMMYFUNCTION("""COMPUTED_VALUE"""),0.5416666666666666)</f>
        <v>0.5416666667</v>
      </c>
      <c r="V639" s="57">
        <f>IFERROR(__xludf.DUMMYFUNCTION("""COMPUTED_VALUE"""),1.222222222222222)</f>
        <v>1.222222222</v>
      </c>
      <c r="W639" s="57">
        <f>IFERROR(__xludf.DUMMYFUNCTION("""COMPUTED_VALUE"""),2.513888888888889)</f>
        <v>2.513888889</v>
      </c>
      <c r="X639" s="31">
        <f>IFERROR(__xludf.DUMMYFUNCTION("""COMPUTED_VALUE"""),344.6394920319677)</f>
        <v>344.639492</v>
      </c>
      <c r="Y639" s="57">
        <f>IFERROR(__xludf.DUMMYFUNCTION("""COMPUTED_VALUE"""),0.7200612919543589)</f>
        <v>0.720061292</v>
      </c>
      <c r="Z639" s="57">
        <f>IFERROR(__xludf.DUMMYFUNCTION("""COMPUTED_VALUE"""),0.488694935413085)</f>
        <v>0.4886949354</v>
      </c>
      <c r="AA639" s="57">
        <f>IFERROR(__xludf.DUMMYFUNCTION("""COMPUTED_VALUE"""),1.414790410449957)</f>
        <v>1.41479041</v>
      </c>
      <c r="AB639" s="57">
        <f>IFERROR(__xludf.DUMMYFUNCTION("""COMPUTED_VALUE"""),2.4719681178521014)</f>
        <v>2.471968118</v>
      </c>
      <c r="AC639" s="31">
        <f>IFERROR(__xludf.DUMMYFUNCTION("""COMPUTED_VALUE"""),352.7336877871791)</f>
        <v>352.7336878</v>
      </c>
      <c r="AD639" s="57">
        <f>IFERROR(__xludf.DUMMYFUNCTION("""COMPUTED_VALUE"""),0.8007243169618307)</f>
        <v>0.800724317</v>
      </c>
      <c r="AE639" s="57">
        <f>IFERROR(__xludf.DUMMYFUNCTION("""COMPUTED_VALUE"""),0.5982870193400137)</f>
        <v>0.5982870193</v>
      </c>
      <c r="AF639" s="57">
        <f>IFERROR(__xludf.DUMMYFUNCTION("""COMPUTED_VALUE"""),1.2714269116562233)</f>
        <v>1.271426912</v>
      </c>
      <c r="AG639" s="57">
        <f>IFERROR(__xludf.DUMMYFUNCTION("""COMPUTED_VALUE"""),2.643853531494228)</f>
        <v>2.643853531</v>
      </c>
      <c r="AH639" s="57">
        <f>IFERROR(__xludf.DUMMYFUNCTION("""COMPUTED_VALUE"""),0.9921318701617172)</f>
        <v>0.9921318702</v>
      </c>
      <c r="AI639" s="57">
        <f>IFERROR(__xludf.DUMMYFUNCTION("""COMPUTED_VALUE"""),0.8846157389361494)</f>
        <v>0.8846157389</v>
      </c>
      <c r="AJ639" s="57">
        <f>IFERROR(__xludf.DUMMYFUNCTION("""COMPUTED_VALUE"""),1.2535789274307587)</f>
        <v>1.253578927</v>
      </c>
      <c r="AK639" s="57">
        <f>IFERROR(__xludf.DUMMYFUNCTION("""COMPUTED_VALUE"""),1.01591892921637)</f>
        <v>1.015918929</v>
      </c>
      <c r="AL639" s="57">
        <f>IFERROR(__xludf.DUMMYFUNCTION("""COMPUTED_VALUE"""),0.8510305027103245)</f>
        <v>0.8510305027</v>
      </c>
      <c r="AM639" s="57">
        <f>IFERROR(__xludf.DUMMYFUNCTION("""COMPUTED_VALUE"""),1.002214736742182)</f>
        <v>1.002214737</v>
      </c>
      <c r="AN639" s="57">
        <f>IFERROR(__xludf.DUMMYFUNCTION("""COMPUTED_VALUE"""),1.099443443929557)</f>
        <v>1.099443444</v>
      </c>
      <c r="AO639" s="57">
        <f>IFERROR(__xludf.DUMMYFUNCTION("""COMPUTED_VALUE"""),1.1083942709756252)</f>
        <v>1.108394271</v>
      </c>
      <c r="AP639" s="35">
        <f>IFERROR(__xludf.DUMMYFUNCTION("""COMPUTED_VALUE"""),0.8638892469122046)</f>
        <v>0.8638892469</v>
      </c>
      <c r="AQ639" s="57">
        <f>IFERROR(__xludf.DUMMYFUNCTION("""COMPUTED_VALUE"""),1.0169584594291663)</f>
        <v>1.016958459</v>
      </c>
      <c r="AR639" s="36" t="b">
        <f>IFERROR(__xludf.DUMMYFUNCTION("""COMPUTED_VALUE"""),TRUE)</f>
        <v>1</v>
      </c>
      <c r="AS639" s="57"/>
      <c r="AT639" s="37"/>
      <c r="AU639" s="30"/>
      <c r="AV639" s="30"/>
      <c r="AW639" s="30"/>
      <c r="AX639" s="30"/>
      <c r="AY639" s="30"/>
      <c r="AZ639" s="30"/>
    </row>
    <row r="640">
      <c r="A640" s="30" t="str">
        <f>IFERROR(__xludf.DUMMYFUNCTION("""COMPUTED_VALUE"""),"Rival")</f>
        <v>Rival</v>
      </c>
      <c r="B640" s="30" t="str">
        <f>IFERROR(__xludf.DUMMYFUNCTION("""COMPUTED_VALUE"""),"RSC006177")</f>
        <v>RSC006177</v>
      </c>
      <c r="C640" s="30" t="str">
        <f>IFERROR(__xludf.DUMMYFUNCTION("""COMPUTED_VALUE"""),"Flyerrr85")</f>
        <v>Flyerrr85</v>
      </c>
      <c r="D640" s="31" t="str">
        <f>IFERROR(__xludf.DUMMYFUNCTION("""COMPUTED_VALUE"""),"Asiago Arsonists")</f>
        <v>Asiago Arsonists</v>
      </c>
      <c r="E640" s="31">
        <f>IFERROR(__xludf.DUMMYFUNCTION("""COMPUTED_VALUE"""),52.04042859829232)</f>
        <v>52.0404286</v>
      </c>
      <c r="F640" s="31">
        <f>IFERROR(__xludf.DUMMYFUNCTION("""COMPUTED_VALUE"""),2.139149154183661)</f>
        <v>2.139149154</v>
      </c>
      <c r="G640" s="31">
        <f>IFERROR(__xludf.DUMMYFUNCTION("""COMPUTED_VALUE"""),48.78878752256822)</f>
        <v>48.78878752</v>
      </c>
      <c r="H640" s="31">
        <f>IFERROR(__xludf.DUMMYFUNCTION("""COMPUTED_VALUE"""),-2.080388699225766)</f>
        <v>-2.080388699</v>
      </c>
      <c r="I640" s="54">
        <f>IFERROR(__xludf.DUMMYFUNCTION("""COMPUTED_VALUE"""),7.0)</f>
        <v>7</v>
      </c>
      <c r="J640" s="55">
        <f>IFERROR(__xludf.DUMMYFUNCTION("""COMPUTED_VALUE"""),4.0)</f>
        <v>4</v>
      </c>
      <c r="K640" s="54">
        <f>IFERROR(__xludf.DUMMYFUNCTION("""COMPUTED_VALUE"""),3.0)</f>
        <v>3</v>
      </c>
      <c r="L640" s="56">
        <f>IFERROR(__xludf.DUMMYFUNCTION("""COMPUTED_VALUE"""),0.5714285714285714)</f>
        <v>0.5714285714</v>
      </c>
      <c r="M640" s="56">
        <f>IFERROR(__xludf.DUMMYFUNCTION("""COMPUTED_VALUE"""),0.23529411764705882)</f>
        <v>0.2352941176</v>
      </c>
      <c r="N640" s="31">
        <f>IFERROR(__xludf.DUMMYFUNCTION("""COMPUTED_VALUE"""),368.0)</f>
        <v>368</v>
      </c>
      <c r="O640" s="57">
        <f>IFERROR(__xludf.DUMMYFUNCTION("""COMPUTED_VALUE"""),0.5714285714285714)</f>
        <v>0.5714285714</v>
      </c>
      <c r="P640" s="57">
        <f>IFERROR(__xludf.DUMMYFUNCTION("""COMPUTED_VALUE"""),0.7142857142857143)</f>
        <v>0.7142857143</v>
      </c>
      <c r="Q640" s="57">
        <f>IFERROR(__xludf.DUMMYFUNCTION("""COMPUTED_VALUE"""),1.7142857142857142)</f>
        <v>1.714285714</v>
      </c>
      <c r="R640" s="57">
        <f>IFERROR(__xludf.DUMMYFUNCTION("""COMPUTED_VALUE"""),2.4285714285714284)</f>
        <v>2.428571429</v>
      </c>
      <c r="S640" s="31">
        <f>IFERROR(__xludf.DUMMYFUNCTION("""COMPUTED_VALUE"""),363.85714285714283)</f>
        <v>363.8571429</v>
      </c>
      <c r="T640" s="57">
        <f>IFERROR(__xludf.DUMMYFUNCTION("""COMPUTED_VALUE"""),0.6666666666666666)</f>
        <v>0.6666666667</v>
      </c>
      <c r="U640" s="57">
        <f>IFERROR(__xludf.DUMMYFUNCTION("""COMPUTED_VALUE"""),0.4285714285714285)</f>
        <v>0.4285714286</v>
      </c>
      <c r="V640" s="57">
        <f>IFERROR(__xludf.DUMMYFUNCTION("""COMPUTED_VALUE"""),1.380952380952381)</f>
        <v>1.380952381</v>
      </c>
      <c r="W640" s="57">
        <f>IFERROR(__xludf.DUMMYFUNCTION("""COMPUTED_VALUE"""),2.523809523809524)</f>
        <v>2.523809524</v>
      </c>
      <c r="X640" s="31">
        <f>IFERROR(__xludf.DUMMYFUNCTION("""COMPUTED_VALUE"""),336.04144873616764)</f>
        <v>336.0414487</v>
      </c>
      <c r="Y640" s="57">
        <f>IFERROR(__xludf.DUMMYFUNCTION("""COMPUTED_VALUE"""),0.6153973053289163)</f>
        <v>0.6153973053</v>
      </c>
      <c r="Z640" s="57">
        <f>IFERROR(__xludf.DUMMYFUNCTION("""COMPUTED_VALUE"""),0.5130846230770243)</f>
        <v>0.5130846231</v>
      </c>
      <c r="AA640" s="57">
        <f>IFERROR(__xludf.DUMMYFUNCTION("""COMPUTED_VALUE"""),1.3872599664772916)</f>
        <v>1.387259966</v>
      </c>
      <c r="AB640" s="57">
        <f>IFERROR(__xludf.DUMMYFUNCTION("""COMPUTED_VALUE"""),2.2242179848182886)</f>
        <v>2.224217985</v>
      </c>
      <c r="AC640" s="31">
        <f>IFERROR(__xludf.DUMMYFUNCTION("""COMPUTED_VALUE"""),338.5412661075275)</f>
        <v>338.5412661</v>
      </c>
      <c r="AD640" s="57">
        <f>IFERROR(__xludf.DUMMYFUNCTION("""COMPUTED_VALUE"""),0.7326515317396776)</f>
        <v>0.7326515317</v>
      </c>
      <c r="AE640" s="57">
        <f>IFERROR(__xludf.DUMMYFUNCTION("""COMPUTED_VALUE"""),0.5593894932040828)</f>
        <v>0.5593894932</v>
      </c>
      <c r="AF640" s="57">
        <f>IFERROR(__xludf.DUMMYFUNCTION("""COMPUTED_VALUE"""),1.1608435791946428)</f>
        <v>1.160843579</v>
      </c>
      <c r="AG640" s="57">
        <f>IFERROR(__xludf.DUMMYFUNCTION("""COMPUTED_VALUE"""),2.5522335904554754)</f>
        <v>2.55223359</v>
      </c>
      <c r="AH640" s="57">
        <f>IFERROR(__xludf.DUMMYFUNCTION("""COMPUTED_VALUE"""),1.0870166707627182)</f>
        <v>1.087016671</v>
      </c>
      <c r="AI640" s="57">
        <f>IFERROR(__xludf.DUMMYFUNCTION("""COMPUTED_VALUE"""),0.7799459179068622)</f>
        <v>0.7799459179</v>
      </c>
      <c r="AJ640" s="57">
        <f>IFERROR(__xludf.DUMMYFUNCTION("""COMPUTED_VALUE"""),1.2769022710712954)</f>
        <v>1.276902271</v>
      </c>
      <c r="AK640" s="57">
        <f>IFERROR(__xludf.DUMMYFUNCTION("""COMPUTED_VALUE"""),1.4767585788561042)</f>
        <v>1.476758579</v>
      </c>
      <c r="AL640" s="57">
        <f>IFERROR(__xludf.DUMMYFUNCTION("""COMPUTED_VALUE"""),0.9515474749856349)</f>
        <v>0.951547475</v>
      </c>
      <c r="AM640" s="57">
        <f>IFERROR(__xludf.DUMMYFUNCTION("""COMPUTED_VALUE"""),1.0827745929128338)</f>
        <v>1.082774593</v>
      </c>
      <c r="AN640" s="57">
        <f>IFERROR(__xludf.DUMMYFUNCTION("""COMPUTED_VALUE"""),1.0833109942045456)</f>
        <v>1.083310994</v>
      </c>
      <c r="AO640" s="57">
        <f>IFERROR(__xludf.DUMMYFUNCTION("""COMPUTED_VALUE"""),0.8352841018723949)</f>
        <v>0.8352841019</v>
      </c>
      <c r="AP640" s="35">
        <f>IFERROR(__xludf.DUMMYFUNCTION("""COMPUTED_VALUE"""),0.9954532058321213)</f>
        <v>0.9954532058</v>
      </c>
      <c r="AQ640" s="57">
        <f>IFERROR(__xludf.DUMMYFUNCTION("""COMPUTED_VALUE"""),1.1346952236858705)</f>
        <v>1.134695224</v>
      </c>
      <c r="AR640" s="36" t="b">
        <f>IFERROR(__xludf.DUMMYFUNCTION("""COMPUTED_VALUE"""),TRUE)</f>
        <v>1</v>
      </c>
      <c r="AS640" s="57"/>
      <c r="AT640" s="37"/>
      <c r="AU640" s="30"/>
      <c r="AV640" s="30"/>
      <c r="AW640" s="30"/>
      <c r="AX640" s="30"/>
      <c r="AY640" s="30"/>
      <c r="AZ640" s="30"/>
    </row>
    <row r="641">
      <c r="A641" s="30" t="str">
        <f>IFERROR(__xludf.DUMMYFUNCTION("""COMPUTED_VALUE"""),"Rival")</f>
        <v>Rival</v>
      </c>
      <c r="B641" s="30" t="str">
        <f>IFERROR(__xludf.DUMMYFUNCTION("""COMPUTED_VALUE"""),"RSC006312")</f>
        <v>RSC006312</v>
      </c>
      <c r="C641" s="30" t="str">
        <f>IFERROR(__xludf.DUMMYFUNCTION("""COMPUTED_VALUE"""),"Cognitixn")</f>
        <v>Cognitixn</v>
      </c>
      <c r="D641" s="31" t="str">
        <f>IFERROR(__xludf.DUMMYFUNCTION("""COMPUTED_VALUE"""),"Hippos")</f>
        <v>Hippos</v>
      </c>
      <c r="E641" s="31">
        <f>IFERROR(__xludf.DUMMYFUNCTION("""COMPUTED_VALUE"""),51.52990717921869)</f>
        <v>51.52990718</v>
      </c>
      <c r="F641" s="31">
        <f>IFERROR(__xludf.DUMMYFUNCTION("""COMPUTED_VALUE"""),2.1026008522141737)</f>
        <v>2.102600852</v>
      </c>
      <c r="G641" s="31">
        <f>IFERROR(__xludf.DUMMYFUNCTION("""COMPUTED_VALUE"""),43.21956543766399)</f>
        <v>43.21956544</v>
      </c>
      <c r="H641" s="31">
        <f>IFERROR(__xludf.DUMMYFUNCTION("""COMPUTED_VALUE"""),-2.5438048131440834)</f>
        <v>-2.543804813</v>
      </c>
      <c r="I641" s="54">
        <f>IFERROR(__xludf.DUMMYFUNCTION("""COMPUTED_VALUE"""),45.0)</f>
        <v>45</v>
      </c>
      <c r="J641" s="55">
        <f>IFERROR(__xludf.DUMMYFUNCTION("""COMPUTED_VALUE"""),23.0)</f>
        <v>23</v>
      </c>
      <c r="K641" s="54">
        <f>IFERROR(__xludf.DUMMYFUNCTION("""COMPUTED_VALUE"""),22.0)</f>
        <v>22</v>
      </c>
      <c r="L641" s="56">
        <f>IFERROR(__xludf.DUMMYFUNCTION("""COMPUTED_VALUE"""),0.5111111111111111)</f>
        <v>0.5111111111</v>
      </c>
      <c r="M641" s="56">
        <f>IFERROR(__xludf.DUMMYFUNCTION("""COMPUTED_VALUE"""),0.2803738317757009)</f>
        <v>0.2803738318</v>
      </c>
      <c r="N641" s="31">
        <f>IFERROR(__xludf.DUMMYFUNCTION("""COMPUTED_VALUE"""),337.4)</f>
        <v>337.4</v>
      </c>
      <c r="O641" s="57">
        <f>IFERROR(__xludf.DUMMYFUNCTION("""COMPUTED_VALUE"""),0.6666666666666666)</f>
        <v>0.6666666667</v>
      </c>
      <c r="P641" s="57">
        <f>IFERROR(__xludf.DUMMYFUNCTION("""COMPUTED_VALUE"""),0.7111111111111111)</f>
        <v>0.7111111111</v>
      </c>
      <c r="Q641" s="57">
        <f>IFERROR(__xludf.DUMMYFUNCTION("""COMPUTED_VALUE"""),1.4666666666666666)</f>
        <v>1.466666667</v>
      </c>
      <c r="R641" s="57">
        <f>IFERROR(__xludf.DUMMYFUNCTION("""COMPUTED_VALUE"""),2.3777777777777778)</f>
        <v>2.377777778</v>
      </c>
      <c r="S641" s="31">
        <f>IFERROR(__xludf.DUMMYFUNCTION("""COMPUTED_VALUE"""),363.65925925925916)</f>
        <v>363.6592593</v>
      </c>
      <c r="T641" s="57">
        <f>IFERROR(__xludf.DUMMYFUNCTION("""COMPUTED_VALUE"""),0.8888888888888888)</f>
        <v>0.8888888889</v>
      </c>
      <c r="U641" s="57">
        <f>IFERROR(__xludf.DUMMYFUNCTION("""COMPUTED_VALUE"""),0.6370370370370368)</f>
        <v>0.637037037</v>
      </c>
      <c r="V641" s="57">
        <f>IFERROR(__xludf.DUMMYFUNCTION("""COMPUTED_VALUE"""),1.2296296296296296)</f>
        <v>1.22962963</v>
      </c>
      <c r="W641" s="57">
        <f>IFERROR(__xludf.DUMMYFUNCTION("""COMPUTED_VALUE"""),2.7777777777777772)</f>
        <v>2.777777778</v>
      </c>
      <c r="X641" s="31">
        <f>IFERROR(__xludf.DUMMYFUNCTION("""COMPUTED_VALUE"""),352.1204782607605)</f>
        <v>352.1204783</v>
      </c>
      <c r="Y641" s="57">
        <f>IFERROR(__xludf.DUMMYFUNCTION("""COMPUTED_VALUE"""),0.7932060951191792)</f>
        <v>0.7932060951</v>
      </c>
      <c r="Z641" s="57">
        <f>IFERROR(__xludf.DUMMYFUNCTION("""COMPUTED_VALUE"""),0.5988077140693743)</f>
        <v>0.5988077141</v>
      </c>
      <c r="AA641" s="57">
        <f>IFERROR(__xludf.DUMMYFUNCTION("""COMPUTED_VALUE"""),1.2949226742163165)</f>
        <v>1.294922674</v>
      </c>
      <c r="AB641" s="57">
        <f>IFERROR(__xludf.DUMMYFUNCTION("""COMPUTED_VALUE"""),2.554256114271053)</f>
        <v>2.554256114</v>
      </c>
      <c r="AC641" s="31">
        <f>IFERROR(__xludf.DUMMYFUNCTION("""COMPUTED_VALUE"""),343.8334609942567)</f>
        <v>343.833461</v>
      </c>
      <c r="AD641" s="57">
        <f>IFERROR(__xludf.DUMMYFUNCTION("""COMPUTED_VALUE"""),0.7545044616022963)</f>
        <v>0.7545044616</v>
      </c>
      <c r="AE641" s="57">
        <f>IFERROR(__xludf.DUMMYFUNCTION("""COMPUTED_VALUE"""),0.5391239645199644)</f>
        <v>0.5391239645</v>
      </c>
      <c r="AF641" s="57">
        <f>IFERROR(__xludf.DUMMYFUNCTION("""COMPUTED_VALUE"""),1.342114305511469)</f>
        <v>1.342114306</v>
      </c>
      <c r="AG641" s="57">
        <f>IFERROR(__xludf.DUMMYFUNCTION("""COMPUTED_VALUE"""),2.484453064553736)</f>
        <v>2.484453065</v>
      </c>
      <c r="AH641" s="57">
        <f>IFERROR(__xludf.DUMMYFUNCTION("""COMPUTED_VALUE"""),0.9812890200515877)</f>
        <v>0.9812890201</v>
      </c>
      <c r="AI641" s="57">
        <f>IFERROR(__xludf.DUMMYFUNCTION("""COMPUTED_VALUE"""),0.8835821397939864)</f>
        <v>0.8835821398</v>
      </c>
      <c r="AJ641" s="57">
        <f>IFERROR(__xludf.DUMMYFUNCTION("""COMPUTED_VALUE"""),1.3190122456238502)</f>
        <v>1.319012246</v>
      </c>
      <c r="AK641" s="57">
        <f>IFERROR(__xludf.DUMMYFUNCTION("""COMPUTED_VALUE"""),1.092803094821146)</f>
        <v>1.092803095</v>
      </c>
      <c r="AL641" s="57">
        <f>IFERROR(__xludf.DUMMYFUNCTION("""COMPUTED_VALUE"""),0.9570628689678549)</f>
        <v>0.957062869</v>
      </c>
      <c r="AM641" s="57">
        <f>IFERROR(__xludf.DUMMYFUNCTION("""COMPUTED_VALUE"""),1.0327694119225685)</f>
        <v>1.032769412</v>
      </c>
      <c r="AN641" s="57">
        <f>IFERROR(__xludf.DUMMYFUNCTION("""COMPUTED_VALUE"""),1.120627910398663)</f>
        <v>1.12062791</v>
      </c>
      <c r="AO641" s="57">
        <f>IFERROR(__xludf.DUMMYFUNCTION("""COMPUTED_VALUE"""),1.0638424022761228)</f>
        <v>1.063842402</v>
      </c>
      <c r="AP641" s="35">
        <f>IFERROR(__xludf.DUMMYFUNCTION("""COMPUTED_VALUE"""),0.9495776497803609)</f>
        <v>0.9495776498</v>
      </c>
      <c r="AQ641" s="57">
        <f>IFERROR(__xludf.DUMMYFUNCTION("""COMPUTED_VALUE"""),1.087509495331291)</f>
        <v>1.087509495</v>
      </c>
      <c r="AR641" s="36" t="b">
        <f>IFERROR(__xludf.DUMMYFUNCTION("""COMPUTED_VALUE"""),TRUE)</f>
        <v>1</v>
      </c>
      <c r="AS641" s="57"/>
      <c r="AT641" s="37"/>
      <c r="AU641" s="30"/>
      <c r="AV641" s="30"/>
      <c r="AW641" s="30"/>
      <c r="AX641" s="30"/>
      <c r="AY641" s="30"/>
      <c r="AZ641" s="30"/>
    </row>
    <row r="642">
      <c r="A642" s="30" t="str">
        <f>IFERROR(__xludf.DUMMYFUNCTION("""COMPUTED_VALUE"""),"Rival")</f>
        <v>Rival</v>
      </c>
      <c r="B642" s="30" t="str">
        <f>IFERROR(__xludf.DUMMYFUNCTION("""COMPUTED_VALUE"""),"RSC001358")</f>
        <v>RSC001358</v>
      </c>
      <c r="C642" s="30" t="str">
        <f>IFERROR(__xludf.DUMMYFUNCTION("""COMPUTED_VALUE"""),"Cob")</f>
        <v>Cob</v>
      </c>
      <c r="D642" s="31" t="str">
        <f>IFERROR(__xludf.DUMMYFUNCTION("""COMPUTED_VALUE"""),"Heavy Metal")</f>
        <v>Heavy Metal</v>
      </c>
      <c r="E642" s="31">
        <f>IFERROR(__xludf.DUMMYFUNCTION("""COMPUTED_VALUE"""),51.45514445656164)</f>
        <v>51.45514446</v>
      </c>
      <c r="F642" s="31">
        <f>IFERROR(__xludf.DUMMYFUNCTION("""COMPUTED_VALUE"""),2.0973490471839025)</f>
        <v>2.097349047</v>
      </c>
      <c r="G642" s="31">
        <f>IFERROR(__xludf.DUMMYFUNCTION("""COMPUTED_VALUE"""),52.23317910040958)</f>
        <v>52.2331791</v>
      </c>
      <c r="H642" s="31">
        <f>IFERROR(__xludf.DUMMYFUNCTION("""COMPUTED_VALUE"""),2.1532653200795666)</f>
        <v>2.15326532</v>
      </c>
      <c r="I642" s="54">
        <f>IFERROR(__xludf.DUMMYFUNCTION("""COMPUTED_VALUE"""),46.0)</f>
        <v>46</v>
      </c>
      <c r="J642" s="55">
        <f>IFERROR(__xludf.DUMMYFUNCTION("""COMPUTED_VALUE"""),20.0)</f>
        <v>20</v>
      </c>
      <c r="K642" s="54">
        <f>IFERROR(__xludf.DUMMYFUNCTION("""COMPUTED_VALUE"""),26.0)</f>
        <v>26</v>
      </c>
      <c r="L642" s="56">
        <f>IFERROR(__xludf.DUMMYFUNCTION("""COMPUTED_VALUE"""),0.43478260869565216)</f>
        <v>0.4347826087</v>
      </c>
      <c r="M642" s="56">
        <f>IFERROR(__xludf.DUMMYFUNCTION("""COMPUTED_VALUE"""),0.33333333333333337)</f>
        <v>0.3333333333</v>
      </c>
      <c r="N642" s="31">
        <f>IFERROR(__xludf.DUMMYFUNCTION("""COMPUTED_VALUE"""),345.7391304347826)</f>
        <v>345.7391304</v>
      </c>
      <c r="O642" s="57">
        <f>IFERROR(__xludf.DUMMYFUNCTION("""COMPUTED_VALUE"""),0.8260869565217391)</f>
        <v>0.8260869565</v>
      </c>
      <c r="P642" s="57">
        <f>IFERROR(__xludf.DUMMYFUNCTION("""COMPUTED_VALUE"""),0.5434782608695652)</f>
        <v>0.5434782609</v>
      </c>
      <c r="Q642" s="57">
        <f>IFERROR(__xludf.DUMMYFUNCTION("""COMPUTED_VALUE"""),1.4782608695652173)</f>
        <v>1.47826087</v>
      </c>
      <c r="R642" s="57">
        <f>IFERROR(__xludf.DUMMYFUNCTION("""COMPUTED_VALUE"""),2.4782608695652173)</f>
        <v>2.47826087</v>
      </c>
      <c r="S642" s="31">
        <f>IFERROR(__xludf.DUMMYFUNCTION("""COMPUTED_VALUE"""),357.68115942028993)</f>
        <v>357.6811594</v>
      </c>
      <c r="T642" s="57">
        <f>IFERROR(__xludf.DUMMYFUNCTION("""COMPUTED_VALUE"""),0.8405797101449276)</f>
        <v>0.8405797101</v>
      </c>
      <c r="U642" s="57">
        <f>IFERROR(__xludf.DUMMYFUNCTION("""COMPUTED_VALUE"""),0.6159420289855071)</f>
        <v>0.615942029</v>
      </c>
      <c r="V642" s="57">
        <f>IFERROR(__xludf.DUMMYFUNCTION("""COMPUTED_VALUE"""),1.326086956521739)</f>
        <v>1.326086957</v>
      </c>
      <c r="W642" s="57">
        <f>IFERROR(__xludf.DUMMYFUNCTION("""COMPUTED_VALUE"""),2.5217391304347827)</f>
        <v>2.52173913</v>
      </c>
      <c r="X642" s="31">
        <f>IFERROR(__xludf.DUMMYFUNCTION("""COMPUTED_VALUE"""),341.4957550724931)</f>
        <v>341.4957551</v>
      </c>
      <c r="Y642" s="57">
        <f>IFERROR(__xludf.DUMMYFUNCTION("""COMPUTED_VALUE"""),0.7670946309926591)</f>
        <v>0.767094631</v>
      </c>
      <c r="Z642" s="57">
        <f>IFERROR(__xludf.DUMMYFUNCTION("""COMPUTED_VALUE"""),0.5606319035316797)</f>
        <v>0.5606319035</v>
      </c>
      <c r="AA642" s="57">
        <f>IFERROR(__xludf.DUMMYFUNCTION("""COMPUTED_VALUE"""),1.2952838517315224)</f>
        <v>1.295283852</v>
      </c>
      <c r="AB642" s="57">
        <f>IFERROR(__xludf.DUMMYFUNCTION("""COMPUTED_VALUE"""),2.423953708534893)</f>
        <v>2.423953709</v>
      </c>
      <c r="AC642" s="31">
        <f>IFERROR(__xludf.DUMMYFUNCTION("""COMPUTED_VALUE"""),348.3972133611345)</f>
        <v>348.3972134</v>
      </c>
      <c r="AD642" s="57">
        <f>IFERROR(__xludf.DUMMYFUNCTION("""COMPUTED_VALUE"""),0.8056030536306326)</f>
        <v>0.8056030536</v>
      </c>
      <c r="AE642" s="57">
        <f>IFERROR(__xludf.DUMMYFUNCTION("""COMPUTED_VALUE"""),0.5737697112146665)</f>
        <v>0.5737697112</v>
      </c>
      <c r="AF642" s="57">
        <f>IFERROR(__xludf.DUMMYFUNCTION("""COMPUTED_VALUE"""),1.2637657030226908)</f>
        <v>1.263765703</v>
      </c>
      <c r="AG642" s="57">
        <f>IFERROR(__xludf.DUMMYFUNCTION("""COMPUTED_VALUE"""),2.606519434429763)</f>
        <v>2.606519434</v>
      </c>
      <c r="AH642" s="57">
        <f>IFERROR(__xludf.DUMMYFUNCTION("""COMPUTED_VALUE"""),0.9923705390731796)</f>
        <v>0.9923705391</v>
      </c>
      <c r="AI642" s="57">
        <f>IFERROR(__xludf.DUMMYFUNCTION("""COMPUTED_VALUE"""),1.025426794000831)</f>
        <v>1.025426794</v>
      </c>
      <c r="AJ642" s="57">
        <f>IFERROR(__xludf.DUMMYFUNCTION("""COMPUTED_VALUE"""),0.9472062575750566)</f>
        <v>0.9472062576</v>
      </c>
      <c r="AK642" s="57">
        <f>IFERROR(__xludf.DUMMYFUNCTION("""COMPUTED_VALUE"""),1.1697270040083334)</f>
        <v>1.169727004</v>
      </c>
      <c r="AL642" s="57">
        <f>IFERROR(__xludf.DUMMYFUNCTION("""COMPUTED_VALUE"""),0.9507931676355963)</f>
        <v>0.9507931676</v>
      </c>
      <c r="AM642" s="57">
        <f>IFERROR(__xludf.DUMMYFUNCTION("""COMPUTED_VALUE"""),1.047395623832457)</f>
        <v>1.047395624</v>
      </c>
      <c r="AN642" s="57">
        <f>IFERROR(__xludf.DUMMYFUNCTION("""COMPUTED_VALUE"""),1.0957966281906772)</f>
        <v>1.095796628</v>
      </c>
      <c r="AO642" s="57">
        <f>IFERROR(__xludf.DUMMYFUNCTION("""COMPUTED_VALUE"""),1.0986567569654944)</f>
        <v>1.098656757</v>
      </c>
      <c r="AP642" s="35">
        <f>IFERROR(__xludf.DUMMYFUNCTION("""COMPUTED_VALUE"""),1.0237809687421326)</f>
        <v>1.023780969</v>
      </c>
      <c r="AQ642" s="57">
        <f>IFERROR(__xludf.DUMMYFUNCTION("""COMPUTED_VALUE"""),1.0403412909890073)</f>
        <v>1.040341291</v>
      </c>
      <c r="AR642" s="36" t="b">
        <f>IFERROR(__xludf.DUMMYFUNCTION("""COMPUTED_VALUE"""),TRUE)</f>
        <v>1</v>
      </c>
      <c r="AS642" s="57"/>
      <c r="AT642" s="37"/>
      <c r="AU642" s="30"/>
      <c r="AV642" s="30"/>
      <c r="AW642" s="30"/>
      <c r="AX642" s="30"/>
      <c r="AY642" s="30"/>
      <c r="AZ642" s="30"/>
    </row>
    <row r="643">
      <c r="A643" s="30" t="str">
        <f>IFERROR(__xludf.DUMMYFUNCTION("""COMPUTED_VALUE"""),"Rival")</f>
        <v>Rival</v>
      </c>
      <c r="B643" s="30" t="str">
        <f>IFERROR(__xludf.DUMMYFUNCTION("""COMPUTED_VALUE"""),"RSC006654")</f>
        <v>RSC006654</v>
      </c>
      <c r="C643" s="30" t="str">
        <f>IFERROR(__xludf.DUMMYFUNCTION("""COMPUTED_VALUE"""),"Chicken")</f>
        <v>Chicken</v>
      </c>
      <c r="D643" s="31" t="str">
        <f>IFERROR(__xludf.DUMMYFUNCTION("""COMPUTED_VALUE"""),"Ocelots")</f>
        <v>Ocelots</v>
      </c>
      <c r="E643" s="31">
        <f>IFERROR(__xludf.DUMMYFUNCTION("""COMPUTED_VALUE"""),51.16981340143945)</f>
        <v>51.1698134</v>
      </c>
      <c r="F643" s="31">
        <f>IFERROR(__xludf.DUMMYFUNCTION("""COMPUTED_VALUE"""),2.077536621205118)</f>
        <v>2.077536621</v>
      </c>
      <c r="G643" s="31">
        <f>IFERROR(__xludf.DUMMYFUNCTION("""COMPUTED_VALUE"""),45.519385270421395)</f>
        <v>45.51938527</v>
      </c>
      <c r="H643" s="31">
        <f>IFERROR(__xludf.DUMMYFUNCTION("""COMPUTED_VALUE"""),-2.3316508534964733)</f>
        <v>-2.331650853</v>
      </c>
      <c r="I643" s="54">
        <f>IFERROR(__xludf.DUMMYFUNCTION("""COMPUTED_VALUE"""),34.0)</f>
        <v>34</v>
      </c>
      <c r="J643" s="55">
        <f>IFERROR(__xludf.DUMMYFUNCTION("""COMPUTED_VALUE"""),21.0)</f>
        <v>21</v>
      </c>
      <c r="K643" s="54">
        <f>IFERROR(__xludf.DUMMYFUNCTION("""COMPUTED_VALUE"""),13.0)</f>
        <v>13</v>
      </c>
      <c r="L643" s="56">
        <f>IFERROR(__xludf.DUMMYFUNCTION("""COMPUTED_VALUE"""),0.6176470588235294)</f>
        <v>0.6176470588</v>
      </c>
      <c r="M643" s="56">
        <f>IFERROR(__xludf.DUMMYFUNCTION("""COMPUTED_VALUE"""),0.32467532467532473)</f>
        <v>0.3246753247</v>
      </c>
      <c r="N643" s="31">
        <f>IFERROR(__xludf.DUMMYFUNCTION("""COMPUTED_VALUE"""),339.8529411764706)</f>
        <v>339.8529412</v>
      </c>
      <c r="O643" s="57">
        <f>IFERROR(__xludf.DUMMYFUNCTION("""COMPUTED_VALUE"""),0.7352941176470589)</f>
        <v>0.7352941176</v>
      </c>
      <c r="P643" s="57">
        <f>IFERROR(__xludf.DUMMYFUNCTION("""COMPUTED_VALUE"""),0.4411764705882353)</f>
        <v>0.4411764706</v>
      </c>
      <c r="Q643" s="57">
        <f>IFERROR(__xludf.DUMMYFUNCTION("""COMPUTED_VALUE"""),1.4411764705882353)</f>
        <v>1.441176471</v>
      </c>
      <c r="R643" s="57">
        <f>IFERROR(__xludf.DUMMYFUNCTION("""COMPUTED_VALUE"""),2.264705882352941)</f>
        <v>2.264705882</v>
      </c>
      <c r="S643" s="31">
        <f>IFERROR(__xludf.DUMMYFUNCTION("""COMPUTED_VALUE"""),317.33333333333337)</f>
        <v>317.3333333</v>
      </c>
      <c r="T643" s="57">
        <f>IFERROR(__xludf.DUMMYFUNCTION("""COMPUTED_VALUE"""),0.588235294117647)</f>
        <v>0.5882352941</v>
      </c>
      <c r="U643" s="57">
        <f>IFERROR(__xludf.DUMMYFUNCTION("""COMPUTED_VALUE"""),0.3529411764705883)</f>
        <v>0.3529411765</v>
      </c>
      <c r="V643" s="57">
        <f>IFERROR(__xludf.DUMMYFUNCTION("""COMPUTED_VALUE"""),1.3627450980392155)</f>
        <v>1.362745098</v>
      </c>
      <c r="W643" s="57">
        <f>IFERROR(__xludf.DUMMYFUNCTION("""COMPUTED_VALUE"""),2.2647058823529416)</f>
        <v>2.264705882</v>
      </c>
      <c r="X643" s="31">
        <f>IFERROR(__xludf.DUMMYFUNCTION("""COMPUTED_VALUE"""),344.24822425259663)</f>
        <v>344.2482243</v>
      </c>
      <c r="Y643" s="57">
        <f>IFERROR(__xludf.DUMMYFUNCTION("""COMPUTED_VALUE"""),0.7549973626342548)</f>
        <v>0.7549973626</v>
      </c>
      <c r="Z643" s="57">
        <f>IFERROR(__xludf.DUMMYFUNCTION("""COMPUTED_VALUE"""),0.5133690839835829)</f>
        <v>0.513369084</v>
      </c>
      <c r="AA643" s="57">
        <f>IFERROR(__xludf.DUMMYFUNCTION("""COMPUTED_VALUE"""),1.357151132860156)</f>
        <v>1.357151133</v>
      </c>
      <c r="AB643" s="57">
        <f>IFERROR(__xludf.DUMMYFUNCTION("""COMPUTED_VALUE"""),2.588530129311655)</f>
        <v>2.588530129</v>
      </c>
      <c r="AC643" s="31">
        <f>IFERROR(__xludf.DUMMYFUNCTION("""COMPUTED_VALUE"""),348.4687680044662)</f>
        <v>348.468768</v>
      </c>
      <c r="AD643" s="57">
        <f>IFERROR(__xludf.DUMMYFUNCTION("""COMPUTED_VALUE"""),0.7716920084748399)</f>
        <v>0.7716920085</v>
      </c>
      <c r="AE643" s="57">
        <f>IFERROR(__xludf.DUMMYFUNCTION("""COMPUTED_VALUE"""),0.5636321625747879)</f>
        <v>0.5636321626</v>
      </c>
      <c r="AF643" s="57">
        <f>IFERROR(__xludf.DUMMYFUNCTION("""COMPUTED_VALUE"""),1.363547303956654)</f>
        <v>1.363547304</v>
      </c>
      <c r="AG643" s="57">
        <f>IFERROR(__xludf.DUMMYFUNCTION("""COMPUTED_VALUE"""),2.5840177225948096)</f>
        <v>2.584017723</v>
      </c>
      <c r="AH643" s="57">
        <f>IFERROR(__xludf.DUMMYFUNCTION("""COMPUTED_VALUE"""),0.9752751821136373)</f>
        <v>0.9752751821</v>
      </c>
      <c r="AI643" s="57">
        <f>IFERROR(__xludf.DUMMYFUNCTION("""COMPUTED_VALUE"""),0.9528336558781823)</f>
        <v>0.9528336559</v>
      </c>
      <c r="AJ643" s="57">
        <f>IFERROR(__xludf.DUMMYFUNCTION("""COMPUTED_VALUE"""),0.7827382819547597)</f>
        <v>0.782738282</v>
      </c>
      <c r="AK643" s="57">
        <f>IFERROR(__xludf.DUMMYFUNCTION("""COMPUTED_VALUE"""),1.0569317737685535)</f>
        <v>1.056931774</v>
      </c>
      <c r="AL643" s="57">
        <f>IFERROR(__xludf.DUMMYFUNCTION("""COMPUTED_VALUE"""),0.8764281539364897)</f>
        <v>0.8764281539</v>
      </c>
      <c r="AM643" s="57">
        <f>IFERROR(__xludf.DUMMYFUNCTION("""COMPUTED_VALUE"""),0.9218154545961751)</f>
        <v>0.9218154546</v>
      </c>
      <c r="AN643" s="57">
        <f>IFERROR(__xludf.DUMMYFUNCTION("""COMPUTED_VALUE"""),0.7791223164876236)</f>
        <v>0.7791223165</v>
      </c>
      <c r="AO643" s="57">
        <f>IFERROR(__xludf.DUMMYFUNCTION("""COMPUTED_VALUE"""),0.6874998660454493)</f>
        <v>0.687499866</v>
      </c>
      <c r="AP643" s="35">
        <f>IFERROR(__xludf.DUMMYFUNCTION("""COMPUTED_VALUE"""),1.0041218439447275)</f>
        <v>1.004121844</v>
      </c>
      <c r="AQ643" s="57">
        <f>IFERROR(__xludf.DUMMYFUNCTION("""COMPUTED_VALUE"""),0.8749003369550018)</f>
        <v>0.874900337</v>
      </c>
      <c r="AR643" s="36" t="b">
        <f>IFERROR(__xludf.DUMMYFUNCTION("""COMPUTED_VALUE"""),TRUE)</f>
        <v>1</v>
      </c>
      <c r="AS643" s="57"/>
      <c r="AT643" s="37"/>
      <c r="AU643" s="30"/>
      <c r="AV643" s="30"/>
      <c r="AW643" s="30"/>
      <c r="AX643" s="30"/>
      <c r="AY643" s="30"/>
      <c r="AZ643" s="30"/>
    </row>
    <row r="644">
      <c r="A644" s="30" t="str">
        <f>IFERROR(__xludf.DUMMYFUNCTION("""COMPUTED_VALUE"""),"Rival")</f>
        <v>Rival</v>
      </c>
      <c r="B644" s="30" t="str">
        <f>IFERROR(__xludf.DUMMYFUNCTION("""COMPUTED_VALUE"""),"RSC006528")</f>
        <v>RSC006528</v>
      </c>
      <c r="C644" s="30" t="str">
        <f>IFERROR(__xludf.DUMMYFUNCTION("""COMPUTED_VALUE"""),"mxWEBBY")</f>
        <v>mxWEBBY</v>
      </c>
      <c r="D644" s="31" t="str">
        <f>IFERROR(__xludf.DUMMYFUNCTION("""COMPUTED_VALUE"""),"Lacuna")</f>
        <v>Lacuna</v>
      </c>
      <c r="E644" s="31">
        <f>IFERROR(__xludf.DUMMYFUNCTION("""COMPUTED_VALUE"""),51.12005155665182)</f>
        <v>51.12005156</v>
      </c>
      <c r="F644" s="31">
        <f>IFERROR(__xludf.DUMMYFUNCTION("""COMPUTED_VALUE"""),2.074118454351699)</f>
        <v>2.074118454</v>
      </c>
      <c r="G644" s="31">
        <f>IFERROR(__xludf.DUMMYFUNCTION("""COMPUTED_VALUE"""),58.22791124280033)</f>
        <v>58.22791124</v>
      </c>
      <c r="H644" s="31">
        <f>IFERROR(__xludf.DUMMYFUNCTION("""COMPUTED_VALUE"""),2.695171987301848)</f>
        <v>2.695171987</v>
      </c>
      <c r="I644" s="54">
        <f>IFERROR(__xludf.DUMMYFUNCTION("""COMPUTED_VALUE"""),48.0)</f>
        <v>48</v>
      </c>
      <c r="J644" s="55">
        <f>IFERROR(__xludf.DUMMYFUNCTION("""COMPUTED_VALUE"""),19.0)</f>
        <v>19</v>
      </c>
      <c r="K644" s="54">
        <f>IFERROR(__xludf.DUMMYFUNCTION("""COMPUTED_VALUE"""),29.0)</f>
        <v>29</v>
      </c>
      <c r="L644" s="56">
        <f>IFERROR(__xludf.DUMMYFUNCTION("""COMPUTED_VALUE"""),0.3958333333333333)</f>
        <v>0.3958333333</v>
      </c>
      <c r="M644" s="56">
        <f>IFERROR(__xludf.DUMMYFUNCTION("""COMPUTED_VALUE"""),0.24193548387096772)</f>
        <v>0.2419354839</v>
      </c>
      <c r="N644" s="31">
        <f>IFERROR(__xludf.DUMMYFUNCTION("""COMPUTED_VALUE"""),372.3541666666667)</f>
        <v>372.3541667</v>
      </c>
      <c r="O644" s="57">
        <f>IFERROR(__xludf.DUMMYFUNCTION("""COMPUTED_VALUE"""),0.625)</f>
        <v>0.625</v>
      </c>
      <c r="P644" s="57">
        <f>IFERROR(__xludf.DUMMYFUNCTION("""COMPUTED_VALUE"""),0.5625)</f>
        <v>0.5625</v>
      </c>
      <c r="Q644" s="57">
        <f>IFERROR(__xludf.DUMMYFUNCTION("""COMPUTED_VALUE"""),1.6041666666666667)</f>
        <v>1.604166667</v>
      </c>
      <c r="R644" s="57">
        <f>IFERROR(__xludf.DUMMYFUNCTION("""COMPUTED_VALUE"""),2.5833333333333335)</f>
        <v>2.583333333</v>
      </c>
      <c r="S644" s="31">
        <f>IFERROR(__xludf.DUMMYFUNCTION("""COMPUTED_VALUE"""),335.77777777777777)</f>
        <v>335.7777778</v>
      </c>
      <c r="T644" s="57">
        <f>IFERROR(__xludf.DUMMYFUNCTION("""COMPUTED_VALUE"""),0.7638888888888888)</f>
        <v>0.7638888889</v>
      </c>
      <c r="U644" s="57">
        <f>IFERROR(__xludf.DUMMYFUNCTION("""COMPUTED_VALUE"""),0.5833333333333331)</f>
        <v>0.5833333333</v>
      </c>
      <c r="V644" s="57">
        <f>IFERROR(__xludf.DUMMYFUNCTION("""COMPUTED_VALUE"""),1.2222222222222225)</f>
        <v>1.222222222</v>
      </c>
      <c r="W644" s="57">
        <f>IFERROR(__xludf.DUMMYFUNCTION("""COMPUTED_VALUE"""),2.6041666666666665)</f>
        <v>2.604166667</v>
      </c>
      <c r="X644" s="31">
        <f>IFERROR(__xludf.DUMMYFUNCTION("""COMPUTED_VALUE"""),352.7996067528216)</f>
        <v>352.7996068</v>
      </c>
      <c r="Y644" s="57">
        <f>IFERROR(__xludf.DUMMYFUNCTION("""COMPUTED_VALUE"""),0.8044177616497582)</f>
        <v>0.8044177616</v>
      </c>
      <c r="Z644" s="57">
        <f>IFERROR(__xludf.DUMMYFUNCTION("""COMPUTED_VALUE"""),0.5825413864807224)</f>
        <v>0.5825413865</v>
      </c>
      <c r="AA644" s="57">
        <f>IFERROR(__xludf.DUMMYFUNCTION("""COMPUTED_VALUE"""),1.3292312420956205)</f>
        <v>1.329231242</v>
      </c>
      <c r="AB644" s="57">
        <f>IFERROR(__xludf.DUMMYFUNCTION("""COMPUTED_VALUE"""),2.626399545194824)</f>
        <v>2.626399545</v>
      </c>
      <c r="AC644" s="31">
        <f>IFERROR(__xludf.DUMMYFUNCTION("""COMPUTED_VALUE"""),350.2673501180681)</f>
        <v>350.2673501</v>
      </c>
      <c r="AD644" s="57">
        <f>IFERROR(__xludf.DUMMYFUNCTION("""COMPUTED_VALUE"""),0.7781969972848729)</f>
        <v>0.7781969973</v>
      </c>
      <c r="AE644" s="57">
        <f>IFERROR(__xludf.DUMMYFUNCTION("""COMPUTED_VALUE"""),0.5598196849336091)</f>
        <v>0.5598196849</v>
      </c>
      <c r="AF644" s="57">
        <f>IFERROR(__xludf.DUMMYFUNCTION("""COMPUTED_VALUE"""),1.3580003926905648)</f>
        <v>1.358000393</v>
      </c>
      <c r="AG644" s="57">
        <f>IFERROR(__xludf.DUMMYFUNCTION("""COMPUTED_VALUE"""),2.5810586537896265)</f>
        <v>2.581058654</v>
      </c>
      <c r="AH644" s="57">
        <f>IFERROR(__xludf.DUMMYFUNCTION("""COMPUTED_VALUE"""),1.063057023559728)</f>
        <v>1.063057024</v>
      </c>
      <c r="AI644" s="57">
        <f>IFERROR(__xludf.DUMMYFUNCTION("""COMPUTED_VALUE"""),0.8031385397021875)</f>
        <v>0.8031385397</v>
      </c>
      <c r="AJ644" s="57">
        <f>IFERROR(__xludf.DUMMYFUNCTION("""COMPUTED_VALUE"""),1.0047878185396584)</f>
        <v>1.004787819</v>
      </c>
      <c r="AK644" s="57">
        <f>IFERROR(__xludf.DUMMYFUNCTION("""COMPUTED_VALUE"""),1.1812711360770523)</f>
        <v>1.181271136</v>
      </c>
      <c r="AL644" s="57">
        <f>IFERROR(__xludf.DUMMYFUNCTION("""COMPUTED_VALUE"""),1.0008812971144097)</f>
        <v>1.000881297</v>
      </c>
      <c r="AM644" s="57">
        <f>IFERROR(__xludf.DUMMYFUNCTION("""COMPUTED_VALUE"""),0.9517521316655841)</f>
        <v>0.9517521317</v>
      </c>
      <c r="AN644" s="57">
        <f>IFERROR(__xludf.DUMMYFUNCTION("""COMPUTED_VALUE"""),0.9496171334186483)</f>
        <v>0.9496171334</v>
      </c>
      <c r="AO644" s="57">
        <f>IFERROR(__xludf.DUMMYFUNCTION("""COMPUTED_VALUE"""),1.0013594688222842)</f>
        <v>1.001359469</v>
      </c>
      <c r="AP644" s="35">
        <f>IFERROR(__xludf.DUMMYFUNCTION("""COMPUTED_VALUE"""),0.9194955576693403)</f>
        <v>0.9194955577</v>
      </c>
      <c r="AQ644" s="57">
        <f>IFERROR(__xludf.DUMMYFUNCTION("""COMPUTED_VALUE"""),0.9915348452717965)</f>
        <v>0.9915348453</v>
      </c>
      <c r="AR644" s="36" t="b">
        <f>IFERROR(__xludf.DUMMYFUNCTION("""COMPUTED_VALUE"""),TRUE)</f>
        <v>1</v>
      </c>
      <c r="AS644" s="57"/>
      <c r="AT644" s="37"/>
      <c r="AU644" s="30"/>
      <c r="AV644" s="30"/>
      <c r="AW644" s="30"/>
      <c r="AX644" s="30"/>
      <c r="AY644" s="30"/>
      <c r="AZ644" s="30"/>
    </row>
    <row r="645">
      <c r="A645" s="30" t="str">
        <f>IFERROR(__xludf.DUMMYFUNCTION("""COMPUTED_VALUE"""),"Rival")</f>
        <v>Rival</v>
      </c>
      <c r="B645" s="30" t="str">
        <f>IFERROR(__xludf.DUMMYFUNCTION("""COMPUTED_VALUE"""),"RSC007618")</f>
        <v>RSC007618</v>
      </c>
      <c r="C645" s="30" t="str">
        <f>IFERROR(__xludf.DUMMYFUNCTION("""COMPUTED_VALUE"""),"Robbie")</f>
        <v>Robbie</v>
      </c>
      <c r="D645" s="31" t="str">
        <f>IFERROR(__xludf.DUMMYFUNCTION("""COMPUTED_VALUE"""),"Mining Legion")</f>
        <v>Mining Legion</v>
      </c>
      <c r="E645" s="31">
        <f>IFERROR(__xludf.DUMMYFUNCTION("""COMPUTED_VALUE"""),50.930329325832524)</f>
        <v>50.93032933</v>
      </c>
      <c r="F645" s="31">
        <f>IFERROR(__xludf.DUMMYFUNCTION("""COMPUTED_VALUE"""),2.061186240742272)</f>
        <v>2.061186241</v>
      </c>
      <c r="G645" s="31">
        <f>IFERROR(__xludf.DUMMYFUNCTION("""COMPUTED_VALUE"""),41.4155842932277)</f>
        <v>41.41558429</v>
      </c>
      <c r="H645" s="31">
        <f>IFERROR(__xludf.DUMMYFUNCTION("""COMPUTED_VALUE"""),-2.7347991189079037)</f>
        <v>-2.734799119</v>
      </c>
      <c r="I645" s="54">
        <f>IFERROR(__xludf.DUMMYFUNCTION("""COMPUTED_VALUE"""),44.0)</f>
        <v>44</v>
      </c>
      <c r="J645" s="55">
        <f>IFERROR(__xludf.DUMMYFUNCTION("""COMPUTED_VALUE"""),29.0)</f>
        <v>29</v>
      </c>
      <c r="K645" s="54">
        <f>IFERROR(__xludf.DUMMYFUNCTION("""COMPUTED_VALUE"""),15.0)</f>
        <v>15</v>
      </c>
      <c r="L645" s="56">
        <f>IFERROR(__xludf.DUMMYFUNCTION("""COMPUTED_VALUE"""),0.6590909090909091)</f>
        <v>0.6590909091</v>
      </c>
      <c r="M645" s="56">
        <f>IFERROR(__xludf.DUMMYFUNCTION("""COMPUTED_VALUE"""),0.3297872340425532)</f>
        <v>0.329787234</v>
      </c>
      <c r="N645" s="31">
        <f>IFERROR(__xludf.DUMMYFUNCTION("""COMPUTED_VALUE"""),312.97727272727275)</f>
        <v>312.9772727</v>
      </c>
      <c r="O645" s="57">
        <f>IFERROR(__xludf.DUMMYFUNCTION("""COMPUTED_VALUE"""),0.7045454545454546)</f>
        <v>0.7045454545</v>
      </c>
      <c r="P645" s="57">
        <f>IFERROR(__xludf.DUMMYFUNCTION("""COMPUTED_VALUE"""),0.6363636363636364)</f>
        <v>0.6363636364</v>
      </c>
      <c r="Q645" s="57">
        <f>IFERROR(__xludf.DUMMYFUNCTION("""COMPUTED_VALUE"""),1.1136363636363635)</f>
        <v>1.113636364</v>
      </c>
      <c r="R645" s="57">
        <f>IFERROR(__xludf.DUMMYFUNCTION("""COMPUTED_VALUE"""),2.1363636363636362)</f>
        <v>2.136363636</v>
      </c>
      <c r="S645" s="31">
        <f>IFERROR(__xludf.DUMMYFUNCTION("""COMPUTED_VALUE"""),324.4621212121212)</f>
        <v>324.4621212</v>
      </c>
      <c r="T645" s="57">
        <f>IFERROR(__xludf.DUMMYFUNCTION("""COMPUTED_VALUE"""),0.643939393939394)</f>
        <v>0.6439393939</v>
      </c>
      <c r="U645" s="57">
        <f>IFERROR(__xludf.DUMMYFUNCTION("""COMPUTED_VALUE"""),0.446969696969697)</f>
        <v>0.446969697</v>
      </c>
      <c r="V645" s="57">
        <f>IFERROR(__xludf.DUMMYFUNCTION("""COMPUTED_VALUE"""),1.3939393939393938)</f>
        <v>1.393939394</v>
      </c>
      <c r="W645" s="57">
        <f>IFERROR(__xludf.DUMMYFUNCTION("""COMPUTED_VALUE"""),2.181818181818182)</f>
        <v>2.181818182</v>
      </c>
      <c r="X645" s="31">
        <f>IFERROR(__xludf.DUMMYFUNCTION("""COMPUTED_VALUE"""),340.8451646696961)</f>
        <v>340.8451647</v>
      </c>
      <c r="Y645" s="57">
        <f>IFERROR(__xludf.DUMMYFUNCTION("""COMPUTED_VALUE"""),0.7535943921635435)</f>
        <v>0.7535943922</v>
      </c>
      <c r="Z645" s="57">
        <f>IFERROR(__xludf.DUMMYFUNCTION("""COMPUTED_VALUE"""),0.5286749498883718)</f>
        <v>0.5286749499</v>
      </c>
      <c r="AA645" s="57">
        <f>IFERROR(__xludf.DUMMYFUNCTION("""COMPUTED_VALUE"""),1.2864623037946017)</f>
        <v>1.286462304</v>
      </c>
      <c r="AB645" s="57">
        <f>IFERROR(__xludf.DUMMYFUNCTION("""COMPUTED_VALUE"""),2.472978018624929)</f>
        <v>2.472978019</v>
      </c>
      <c r="AC645" s="31">
        <f>IFERROR(__xludf.DUMMYFUNCTION("""COMPUTED_VALUE"""),346.78795280618056)</f>
        <v>346.7879528</v>
      </c>
      <c r="AD645" s="57">
        <f>IFERROR(__xludf.DUMMYFUNCTION("""COMPUTED_VALUE"""),0.7995697866141994)</f>
        <v>0.7995697866</v>
      </c>
      <c r="AE645" s="57">
        <f>IFERROR(__xludf.DUMMYFUNCTION("""COMPUTED_VALUE"""),0.5681414716227692)</f>
        <v>0.5681414716</v>
      </c>
      <c r="AF645" s="57">
        <f>IFERROR(__xludf.DUMMYFUNCTION("""COMPUTED_VALUE"""),1.2716814253971005)</f>
        <v>1.271681425</v>
      </c>
      <c r="AG645" s="57">
        <f>IFERROR(__xludf.DUMMYFUNCTION("""COMPUTED_VALUE"""),2.549005189462058)</f>
        <v>2.549005189</v>
      </c>
      <c r="AH645" s="57">
        <f>IFERROR(__xludf.DUMMYFUNCTION("""COMPUTED_VALUE"""),0.9025033026513336)</f>
        <v>0.9025033027</v>
      </c>
      <c r="AI645" s="57">
        <f>IFERROR(__xludf.DUMMYFUNCTION("""COMPUTED_VALUE"""),0.8811556743894389)</f>
        <v>0.8811556744</v>
      </c>
      <c r="AJ645" s="57">
        <f>IFERROR(__xludf.DUMMYFUNCTION("""COMPUTED_VALUE"""),1.1200795367851)</f>
        <v>1.120079537</v>
      </c>
      <c r="AK645" s="57">
        <f>IFERROR(__xludf.DUMMYFUNCTION("""COMPUTED_VALUE"""),0.8757196113709177)</f>
        <v>0.8757196114</v>
      </c>
      <c r="AL645" s="57">
        <f>IFERROR(__xludf.DUMMYFUNCTION("""COMPUTED_VALUE"""),0.8381166288698276)</f>
        <v>0.8381166289</v>
      </c>
      <c r="AM645" s="57">
        <f>IFERROR(__xludf.DUMMYFUNCTION("""COMPUTED_VALUE"""),0.9519340593449485)</f>
        <v>0.9519340593</v>
      </c>
      <c r="AN645" s="57">
        <f>IFERROR(__xludf.DUMMYFUNCTION("""COMPUTED_VALUE"""),0.854490692387806)</f>
        <v>0.8544906924</v>
      </c>
      <c r="AO645" s="57">
        <f>IFERROR(__xludf.DUMMYFUNCTION("""COMPUTED_VALUE"""),0.845452762730811)</f>
        <v>0.8454527627</v>
      </c>
      <c r="AP645" s="35">
        <f>IFERROR(__xludf.DUMMYFUNCTION("""COMPUTED_VALUE"""),1.08354468671781)</f>
        <v>1.083544687</v>
      </c>
      <c r="AQ645" s="57">
        <f>IFERROR(__xludf.DUMMYFUNCTION("""COMPUTED_VALUE"""),0.882263475609604)</f>
        <v>0.8822634756</v>
      </c>
      <c r="AR645" s="36" t="b">
        <f>IFERROR(__xludf.DUMMYFUNCTION("""COMPUTED_VALUE"""),TRUE)</f>
        <v>1</v>
      </c>
      <c r="AS645" s="57"/>
      <c r="AT645" s="37"/>
      <c r="AU645" s="30"/>
      <c r="AV645" s="30"/>
      <c r="AW645" s="30"/>
      <c r="AX645" s="30"/>
      <c r="AY645" s="30"/>
      <c r="AZ645" s="30"/>
    </row>
    <row r="646">
      <c r="A646" s="30" t="str">
        <f>IFERROR(__xludf.DUMMYFUNCTION("""COMPUTED_VALUE"""),"Rival")</f>
        <v>Rival</v>
      </c>
      <c r="B646" s="30" t="str">
        <f>IFERROR(__xludf.DUMMYFUNCTION("""COMPUTED_VALUE"""),"RSC005978")</f>
        <v>RSC005978</v>
      </c>
      <c r="C646" s="30" t="str">
        <f>IFERROR(__xludf.DUMMYFUNCTION("""COMPUTED_VALUE"""),"xDraco0")</f>
        <v>xDraco0</v>
      </c>
      <c r="D646" s="31" t="str">
        <f>IFERROR(__xludf.DUMMYFUNCTION("""COMPUTED_VALUE"""),"Funk Hunks")</f>
        <v>Funk Hunks</v>
      </c>
      <c r="E646" s="31">
        <f>IFERROR(__xludf.DUMMYFUNCTION("""COMPUTED_VALUE"""),50.871221450776375)</f>
        <v>50.87122145</v>
      </c>
      <c r="F646" s="31">
        <f>IFERROR(__xludf.DUMMYFUNCTION("""COMPUTED_VALUE"""),2.057189325932967)</f>
        <v>2.057189326</v>
      </c>
      <c r="G646" s="31">
        <f>IFERROR(__xludf.DUMMYFUNCTION("""COMPUTED_VALUE"""),55.98598501083218)</f>
        <v>55.98598501</v>
      </c>
      <c r="H646" s="31">
        <f>IFERROR(__xludf.DUMMYFUNCTION("""COMPUTED_VALUE"""),2.466806402567489)</f>
        <v>2.466806403</v>
      </c>
      <c r="I646" s="54">
        <f>IFERROR(__xludf.DUMMYFUNCTION("""COMPUTED_VALUE"""),17.0)</f>
        <v>17</v>
      </c>
      <c r="J646" s="55">
        <f>IFERROR(__xludf.DUMMYFUNCTION("""COMPUTED_VALUE"""),7.0)</f>
        <v>7</v>
      </c>
      <c r="K646" s="54">
        <f>IFERROR(__xludf.DUMMYFUNCTION("""COMPUTED_VALUE"""),10.0)</f>
        <v>10</v>
      </c>
      <c r="L646" s="56">
        <f>IFERROR(__xludf.DUMMYFUNCTION("""COMPUTED_VALUE"""),0.4117647058823529)</f>
        <v>0.4117647059</v>
      </c>
      <c r="M646" s="56">
        <f>IFERROR(__xludf.DUMMYFUNCTION("""COMPUTED_VALUE"""),0.3421052631578947)</f>
        <v>0.3421052632</v>
      </c>
      <c r="N646" s="31">
        <f>IFERROR(__xludf.DUMMYFUNCTION("""COMPUTED_VALUE"""),343.11764705882354)</f>
        <v>343.1176471</v>
      </c>
      <c r="O646" s="57">
        <f>IFERROR(__xludf.DUMMYFUNCTION("""COMPUTED_VALUE"""),0.7647058823529411)</f>
        <v>0.7647058824</v>
      </c>
      <c r="P646" s="57">
        <f>IFERROR(__xludf.DUMMYFUNCTION("""COMPUTED_VALUE"""),0.7647058823529411)</f>
        <v>0.7647058824</v>
      </c>
      <c r="Q646" s="57">
        <f>IFERROR(__xludf.DUMMYFUNCTION("""COMPUTED_VALUE"""),1.3529411764705883)</f>
        <v>1.352941176</v>
      </c>
      <c r="R646" s="57">
        <f>IFERROR(__xludf.DUMMYFUNCTION("""COMPUTED_VALUE"""),2.235294117647059)</f>
        <v>2.235294118</v>
      </c>
      <c r="S646" s="31">
        <f>IFERROR(__xludf.DUMMYFUNCTION("""COMPUTED_VALUE"""),334.078431372549)</f>
        <v>334.0784314</v>
      </c>
      <c r="T646" s="57">
        <f>IFERROR(__xludf.DUMMYFUNCTION("""COMPUTED_VALUE"""),0.8823529411764706)</f>
        <v>0.8823529412</v>
      </c>
      <c r="U646" s="57">
        <f>IFERROR(__xludf.DUMMYFUNCTION("""COMPUTED_VALUE"""),0.6274509803921569)</f>
        <v>0.6274509804</v>
      </c>
      <c r="V646" s="57">
        <f>IFERROR(__xludf.DUMMYFUNCTION("""COMPUTED_VALUE"""),0.9803921568627452)</f>
        <v>0.9803921569</v>
      </c>
      <c r="W646" s="57">
        <f>IFERROR(__xludf.DUMMYFUNCTION("""COMPUTED_VALUE"""),2.686274509803922)</f>
        <v>2.68627451</v>
      </c>
      <c r="X646" s="31">
        <f>IFERROR(__xludf.DUMMYFUNCTION("""COMPUTED_VALUE"""),345.5286654313679)</f>
        <v>345.5286654</v>
      </c>
      <c r="Y646" s="57">
        <f>IFERROR(__xludf.DUMMYFUNCTION("""COMPUTED_VALUE"""),0.7546754472745217)</f>
        <v>0.7546754473</v>
      </c>
      <c r="Z646" s="57">
        <f>IFERROR(__xludf.DUMMYFUNCTION("""COMPUTED_VALUE"""),0.5810814494795747)</f>
        <v>0.5810814495</v>
      </c>
      <c r="AA646" s="57">
        <f>IFERROR(__xludf.DUMMYFUNCTION("""COMPUTED_VALUE"""),1.3291718015380032)</f>
        <v>1.329171802</v>
      </c>
      <c r="AB646" s="57">
        <f>IFERROR(__xludf.DUMMYFUNCTION("""COMPUTED_VALUE"""),2.5355234905022104)</f>
        <v>2.535523491</v>
      </c>
      <c r="AC646" s="31">
        <f>IFERROR(__xludf.DUMMYFUNCTION("""COMPUTED_VALUE"""),365.6244754019655)</f>
        <v>365.6244754</v>
      </c>
      <c r="AD646" s="57">
        <f>IFERROR(__xludf.DUMMYFUNCTION("""COMPUTED_VALUE"""),0.9030396251943567)</f>
        <v>0.9030396252</v>
      </c>
      <c r="AE646" s="57">
        <f>IFERROR(__xludf.DUMMYFUNCTION("""COMPUTED_VALUE"""),0.6356011142300858)</f>
        <v>0.6356011142</v>
      </c>
      <c r="AF646" s="57">
        <f>IFERROR(__xludf.DUMMYFUNCTION("""COMPUTED_VALUE"""),1.3066060883150732)</f>
        <v>1.306606088</v>
      </c>
      <c r="AG646" s="57">
        <f>IFERROR(__xludf.DUMMYFUNCTION("""COMPUTED_VALUE"""),2.6917899299407204)</f>
        <v>2.69178993</v>
      </c>
      <c r="AH646" s="57">
        <f>IFERROR(__xludf.DUMMYFUNCTION("""COMPUTED_VALUE"""),0.9384427743290487)</f>
        <v>0.9384427743</v>
      </c>
      <c r="AI646" s="57">
        <f>IFERROR(__xludf.DUMMYFUNCTION("""COMPUTED_VALUE"""),0.8468132084329714)</f>
        <v>0.8468132084</v>
      </c>
      <c r="AJ646" s="57">
        <f>IFERROR(__xludf.DUMMYFUNCTION("""COMPUTED_VALUE"""),1.203122312457306)</f>
        <v>1.203122312</v>
      </c>
      <c r="AK646" s="57">
        <f>IFERROR(__xludf.DUMMYFUNCTION("""COMPUTED_VALUE"""),1.0354621707107352)</f>
        <v>1.035462171</v>
      </c>
      <c r="AL646" s="57">
        <f>IFERROR(__xludf.DUMMYFUNCTION("""COMPUTED_VALUE"""),0.8304117987752058)</f>
        <v>0.8304117988</v>
      </c>
      <c r="AM646" s="57">
        <f>IFERROR(__xludf.DUMMYFUNCTION("""COMPUTED_VALUE"""),0.9668616957017904)</f>
        <v>0.9668616957</v>
      </c>
      <c r="AN646" s="57">
        <f>IFERROR(__xludf.DUMMYFUNCTION("""COMPUTED_VALUE"""),1.169181989904469)</f>
        <v>1.16918199</v>
      </c>
      <c r="AO646" s="57">
        <f>IFERROR(__xludf.DUMMYFUNCTION("""COMPUTED_VALUE"""),1.0797986770255896)</f>
        <v>1.079798677</v>
      </c>
      <c r="AP646" s="35">
        <f>IFERROR(__xludf.DUMMYFUNCTION("""COMPUTED_VALUE"""),0.7375962653799304)</f>
        <v>0.7375962654</v>
      </c>
      <c r="AQ646" s="57">
        <f>IFERROR(__xludf.DUMMYFUNCTION("""COMPUTED_VALUE"""),1.0594555798305194)</f>
        <v>1.05945558</v>
      </c>
      <c r="AR646" s="36" t="b">
        <f>IFERROR(__xludf.DUMMYFUNCTION("""COMPUTED_VALUE"""),TRUE)</f>
        <v>1</v>
      </c>
      <c r="AS646" s="57"/>
      <c r="AT646" s="37"/>
      <c r="AU646" s="30"/>
      <c r="AV646" s="30"/>
      <c r="AW646" s="30"/>
      <c r="AX646" s="30"/>
      <c r="AY646" s="30"/>
      <c r="AZ646" s="30"/>
    </row>
    <row r="647">
      <c r="A647" s="30" t="str">
        <f>IFERROR(__xludf.DUMMYFUNCTION("""COMPUTED_VALUE"""),"Rival")</f>
        <v>Rival</v>
      </c>
      <c r="B647" s="30" t="str">
        <f>IFERROR(__xludf.DUMMYFUNCTION("""COMPUTED_VALUE"""),"RSC006935")</f>
        <v>RSC006935</v>
      </c>
      <c r="C647" s="30" t="str">
        <f>IFERROR(__xludf.DUMMYFUNCTION("""COMPUTED_VALUE"""),"Bazzinga")</f>
        <v>Bazzinga</v>
      </c>
      <c r="D647" s="31" t="str">
        <f>IFERROR(__xludf.DUMMYFUNCTION("""COMPUTED_VALUE"""),"Lacuna")</f>
        <v>Lacuna</v>
      </c>
      <c r="E647" s="31">
        <f>IFERROR(__xludf.DUMMYFUNCTION("""COMPUTED_VALUE"""),50.578613846400984)</f>
        <v>50.57861385</v>
      </c>
      <c r="F647" s="31">
        <f>IFERROR(__xludf.DUMMYFUNCTION("""COMPUTED_VALUE"""),2.03762481068542)</f>
        <v>2.037624811</v>
      </c>
      <c r="G647" s="31">
        <f>IFERROR(__xludf.DUMMYFUNCTION("""COMPUTED_VALUE"""),50.99788040891894)</f>
        <v>50.99788041</v>
      </c>
      <c r="H647" s="31">
        <f>IFERROR(__xludf.DUMMYFUNCTION("""COMPUTED_VALUE"""),2.0657727161907093)</f>
        <v>2.065772716</v>
      </c>
      <c r="I647" s="54">
        <f>IFERROR(__xludf.DUMMYFUNCTION("""COMPUTED_VALUE"""),48.0)</f>
        <v>48</v>
      </c>
      <c r="J647" s="55">
        <f>IFERROR(__xludf.DUMMYFUNCTION("""COMPUTED_VALUE"""),19.0)</f>
        <v>19</v>
      </c>
      <c r="K647" s="54">
        <f>IFERROR(__xludf.DUMMYFUNCTION("""COMPUTED_VALUE"""),29.0)</f>
        <v>29</v>
      </c>
      <c r="L647" s="56">
        <f>IFERROR(__xludf.DUMMYFUNCTION("""COMPUTED_VALUE"""),0.3958333333333333)</f>
        <v>0.3958333333</v>
      </c>
      <c r="M647" s="56">
        <f>IFERROR(__xludf.DUMMYFUNCTION("""COMPUTED_VALUE"""),0.28125)</f>
        <v>0.28125</v>
      </c>
      <c r="N647" s="31">
        <f>IFERROR(__xludf.DUMMYFUNCTION("""COMPUTED_VALUE"""),350.0833333333333)</f>
        <v>350.0833333</v>
      </c>
      <c r="O647" s="57">
        <f>IFERROR(__xludf.DUMMYFUNCTION("""COMPUTED_VALUE"""),0.75)</f>
        <v>0.75</v>
      </c>
      <c r="P647" s="57">
        <f>IFERROR(__xludf.DUMMYFUNCTION("""COMPUTED_VALUE"""),0.4375)</f>
        <v>0.4375</v>
      </c>
      <c r="Q647" s="57">
        <f>IFERROR(__xludf.DUMMYFUNCTION("""COMPUTED_VALUE"""),1.4583333333333333)</f>
        <v>1.458333333</v>
      </c>
      <c r="R647" s="57">
        <f>IFERROR(__xludf.DUMMYFUNCTION("""COMPUTED_VALUE"""),2.6666666666666665)</f>
        <v>2.666666667</v>
      </c>
      <c r="S647" s="31">
        <f>IFERROR(__xludf.DUMMYFUNCTION("""COMPUTED_VALUE"""),335.77777777777777)</f>
        <v>335.7777778</v>
      </c>
      <c r="T647" s="57">
        <f>IFERROR(__xludf.DUMMYFUNCTION("""COMPUTED_VALUE"""),0.7638888888888888)</f>
        <v>0.7638888889</v>
      </c>
      <c r="U647" s="57">
        <f>IFERROR(__xludf.DUMMYFUNCTION("""COMPUTED_VALUE"""),0.5833333333333331)</f>
        <v>0.5833333333</v>
      </c>
      <c r="V647" s="57">
        <f>IFERROR(__xludf.DUMMYFUNCTION("""COMPUTED_VALUE"""),1.2222222222222225)</f>
        <v>1.222222222</v>
      </c>
      <c r="W647" s="57">
        <f>IFERROR(__xludf.DUMMYFUNCTION("""COMPUTED_VALUE"""),2.6041666666666665)</f>
        <v>2.604166667</v>
      </c>
      <c r="X647" s="31">
        <f>IFERROR(__xludf.DUMMYFUNCTION("""COMPUTED_VALUE"""),352.7996067528216)</f>
        <v>352.7996068</v>
      </c>
      <c r="Y647" s="57">
        <f>IFERROR(__xludf.DUMMYFUNCTION("""COMPUTED_VALUE"""),0.8044177616497582)</f>
        <v>0.8044177616</v>
      </c>
      <c r="Z647" s="57">
        <f>IFERROR(__xludf.DUMMYFUNCTION("""COMPUTED_VALUE"""),0.5825413864807224)</f>
        <v>0.5825413865</v>
      </c>
      <c r="AA647" s="57">
        <f>IFERROR(__xludf.DUMMYFUNCTION("""COMPUTED_VALUE"""),1.3292312420956205)</f>
        <v>1.329231242</v>
      </c>
      <c r="AB647" s="57">
        <f>IFERROR(__xludf.DUMMYFUNCTION("""COMPUTED_VALUE"""),2.626399545194824)</f>
        <v>2.626399545</v>
      </c>
      <c r="AC647" s="31">
        <f>IFERROR(__xludf.DUMMYFUNCTION("""COMPUTED_VALUE"""),350.2673501180681)</f>
        <v>350.2673501</v>
      </c>
      <c r="AD647" s="57">
        <f>IFERROR(__xludf.DUMMYFUNCTION("""COMPUTED_VALUE"""),0.7781969972848729)</f>
        <v>0.7781969973</v>
      </c>
      <c r="AE647" s="57">
        <f>IFERROR(__xludf.DUMMYFUNCTION("""COMPUTED_VALUE"""),0.5598196849336091)</f>
        <v>0.5598196849</v>
      </c>
      <c r="AF647" s="57">
        <f>IFERROR(__xludf.DUMMYFUNCTION("""COMPUTED_VALUE"""),1.3580003926905648)</f>
        <v>1.358000393</v>
      </c>
      <c r="AG647" s="57">
        <f>IFERROR(__xludf.DUMMYFUNCTION("""COMPUTED_VALUE"""),2.5810586537896265)</f>
        <v>2.581058654</v>
      </c>
      <c r="AH647" s="57">
        <f>IFERROR(__xludf.DUMMYFUNCTION("""COMPUTED_VALUE"""),0.9994746390587853)</f>
        <v>0.9994746391</v>
      </c>
      <c r="AI647" s="57">
        <f>IFERROR(__xludf.DUMMYFUNCTION("""COMPUTED_VALUE"""),0.963766247642625)</f>
        <v>0.9637662476</v>
      </c>
      <c r="AJ647" s="57">
        <f>IFERROR(__xludf.DUMMYFUNCTION("""COMPUTED_VALUE"""),0.7815016366419566)</f>
        <v>0.7815016366</v>
      </c>
      <c r="AK647" s="57">
        <f>IFERROR(__xludf.DUMMYFUNCTION("""COMPUTED_VALUE"""),1.0738828509791385)</f>
        <v>1.073882851</v>
      </c>
      <c r="AL647" s="57">
        <f>IFERROR(__xludf.DUMMYFUNCTION("""COMPUTED_VALUE"""),1.0331677905697132)</f>
        <v>1.033167791</v>
      </c>
      <c r="AM647" s="57">
        <f>IFERROR(__xludf.DUMMYFUNCTION("""COMPUTED_VALUE"""),0.9517521316655841)</f>
        <v>0.9517521317</v>
      </c>
      <c r="AN647" s="57">
        <f>IFERROR(__xludf.DUMMYFUNCTION("""COMPUTED_VALUE"""),0.9496171334186483)</f>
        <v>0.9496171334</v>
      </c>
      <c r="AO647" s="57">
        <f>IFERROR(__xludf.DUMMYFUNCTION("""COMPUTED_VALUE"""),1.0013594688222842)</f>
        <v>1.001359469</v>
      </c>
      <c r="AP647" s="35">
        <f>IFERROR(__xludf.DUMMYFUNCTION("""COMPUTED_VALUE"""),0.9194955576693403)</f>
        <v>0.9194955577</v>
      </c>
      <c r="AQ647" s="57">
        <f>IFERROR(__xludf.DUMMYFUNCTION("""COMPUTED_VALUE"""),0.9915348452717965)</f>
        <v>0.9915348453</v>
      </c>
      <c r="AR647" s="36" t="b">
        <f>IFERROR(__xludf.DUMMYFUNCTION("""COMPUTED_VALUE"""),TRUE)</f>
        <v>1</v>
      </c>
      <c r="AS647" s="57"/>
      <c r="AT647" s="37"/>
      <c r="AU647" s="30"/>
      <c r="AV647" s="30"/>
      <c r="AW647" s="30"/>
      <c r="AX647" s="30"/>
      <c r="AY647" s="30"/>
      <c r="AZ647" s="30"/>
    </row>
    <row r="648">
      <c r="A648" s="30" t="str">
        <f>IFERROR(__xludf.DUMMYFUNCTION("""COMPUTED_VALUE"""),"Rival")</f>
        <v>Rival</v>
      </c>
      <c r="B648" s="30" t="str">
        <f>IFERROR(__xludf.DUMMYFUNCTION("""COMPUTED_VALUE"""),"RSC002960")</f>
        <v>RSC002960</v>
      </c>
      <c r="C648" s="30" t="str">
        <f>IFERROR(__xludf.DUMMYFUNCTION("""COMPUTED_VALUE"""),"Shrek is The Best Anime")</f>
        <v>Shrek is The Best Anime</v>
      </c>
      <c r="D648" s="31" t="str">
        <f>IFERROR(__xludf.DUMMYFUNCTION("""COMPUTED_VALUE"""),"Centuriones")</f>
        <v>Centuriones</v>
      </c>
      <c r="E648" s="31">
        <f>IFERROR(__xludf.DUMMYFUNCTION("""COMPUTED_VALUE"""),49.79402205524275)</f>
        <v>49.79402206</v>
      </c>
      <c r="F648" s="31">
        <f>IFERROR(__xludf.DUMMYFUNCTION("""COMPUTED_VALUE"""),-2.0132345823811626)</f>
        <v>-2.013234582</v>
      </c>
      <c r="G648" s="31">
        <f>IFERROR(__xludf.DUMMYFUNCTION("""COMPUTED_VALUE"""),45.0028875511344)</f>
        <v>45.00288755</v>
      </c>
      <c r="H648" s="31">
        <f>IFERROR(__xludf.DUMMYFUNCTION("""COMPUTED_VALUE"""),-2.3765079867174497)</f>
        <v>-2.376507987</v>
      </c>
      <c r="I648" s="54">
        <f>IFERROR(__xludf.DUMMYFUNCTION("""COMPUTED_VALUE"""),39.0)</f>
        <v>39</v>
      </c>
      <c r="J648" s="55">
        <f>IFERROR(__xludf.DUMMYFUNCTION("""COMPUTED_VALUE"""),17.0)</f>
        <v>17</v>
      </c>
      <c r="K648" s="54">
        <f>IFERROR(__xludf.DUMMYFUNCTION("""COMPUTED_VALUE"""),22.0)</f>
        <v>22</v>
      </c>
      <c r="L648" s="56">
        <f>IFERROR(__xludf.DUMMYFUNCTION("""COMPUTED_VALUE"""),0.4358974358974359)</f>
        <v>0.4358974359</v>
      </c>
      <c r="M648" s="56">
        <f>IFERROR(__xludf.DUMMYFUNCTION("""COMPUTED_VALUE"""),0.2647058823529412)</f>
        <v>0.2647058824</v>
      </c>
      <c r="N648" s="31">
        <f>IFERROR(__xludf.DUMMYFUNCTION("""COMPUTED_VALUE"""),335.79487179487177)</f>
        <v>335.7948718</v>
      </c>
      <c r="O648" s="57">
        <f>IFERROR(__xludf.DUMMYFUNCTION("""COMPUTED_VALUE"""),0.6923076923076923)</f>
        <v>0.6923076923</v>
      </c>
      <c r="P648" s="57">
        <f>IFERROR(__xludf.DUMMYFUNCTION("""COMPUTED_VALUE"""),0.5897435897435898)</f>
        <v>0.5897435897</v>
      </c>
      <c r="Q648" s="57">
        <f>IFERROR(__xludf.DUMMYFUNCTION("""COMPUTED_VALUE"""),1.1025641025641026)</f>
        <v>1.102564103</v>
      </c>
      <c r="R648" s="57">
        <f>IFERROR(__xludf.DUMMYFUNCTION("""COMPUTED_VALUE"""),2.6153846153846154)</f>
        <v>2.615384615</v>
      </c>
      <c r="S648" s="31">
        <f>IFERROR(__xludf.DUMMYFUNCTION("""COMPUTED_VALUE"""),357.8290598290599)</f>
        <v>357.8290598</v>
      </c>
      <c r="T648" s="57">
        <f>IFERROR(__xludf.DUMMYFUNCTION("""COMPUTED_VALUE"""),0.8119658119658119)</f>
        <v>0.811965812</v>
      </c>
      <c r="U648" s="57">
        <f>IFERROR(__xludf.DUMMYFUNCTION("""COMPUTED_VALUE"""),0.606837606837607)</f>
        <v>0.6068376068</v>
      </c>
      <c r="V648" s="57">
        <f>IFERROR(__xludf.DUMMYFUNCTION("""COMPUTED_VALUE"""),1.2735042735042734)</f>
        <v>1.273504274</v>
      </c>
      <c r="W648" s="57">
        <f>IFERROR(__xludf.DUMMYFUNCTION("""COMPUTED_VALUE"""),2.666666666666667)</f>
        <v>2.666666667</v>
      </c>
      <c r="X648" s="31">
        <f>IFERROR(__xludf.DUMMYFUNCTION("""COMPUTED_VALUE"""),346.2936588913057)</f>
        <v>346.2936589</v>
      </c>
      <c r="Y648" s="57">
        <f>IFERROR(__xludf.DUMMYFUNCTION("""COMPUTED_VALUE"""),0.7813869858871981)</f>
        <v>0.7813869859</v>
      </c>
      <c r="Z648" s="57">
        <f>IFERROR(__xludf.DUMMYFUNCTION("""COMPUTED_VALUE"""),0.5598796679101641)</f>
        <v>0.5598796679</v>
      </c>
      <c r="AA648" s="57">
        <f>IFERROR(__xludf.DUMMYFUNCTION("""COMPUTED_VALUE"""),1.3101931553301658)</f>
        <v>1.310193155</v>
      </c>
      <c r="AB648" s="57">
        <f>IFERROR(__xludf.DUMMYFUNCTION("""COMPUTED_VALUE"""),2.5525112498926115)</f>
        <v>2.55251125</v>
      </c>
      <c r="AC648" s="31">
        <f>IFERROR(__xludf.DUMMYFUNCTION("""COMPUTED_VALUE"""),347.1829483653952)</f>
        <v>347.1829484</v>
      </c>
      <c r="AD648" s="57">
        <f>IFERROR(__xludf.DUMMYFUNCTION("""COMPUTED_VALUE"""),0.780904411236966)</f>
        <v>0.7809044112</v>
      </c>
      <c r="AE648" s="57">
        <f>IFERROR(__xludf.DUMMYFUNCTION("""COMPUTED_VALUE"""),0.5521954547698085)</f>
        <v>0.5521954548</v>
      </c>
      <c r="AF648" s="57">
        <f>IFERROR(__xludf.DUMMYFUNCTION("""COMPUTED_VALUE"""),1.3128827756015486)</f>
        <v>1.312882776</v>
      </c>
      <c r="AG648" s="57">
        <f>IFERROR(__xludf.DUMMYFUNCTION("""COMPUTED_VALUE"""),2.558363890986624)</f>
        <v>2.558363891</v>
      </c>
      <c r="AH648" s="57">
        <f>IFERROR(__xludf.DUMMYFUNCTION("""COMPUTED_VALUE"""),0.9671986293562495)</f>
        <v>0.9671986294</v>
      </c>
      <c r="AI648" s="57">
        <f>IFERROR(__xludf.DUMMYFUNCTION("""COMPUTED_VALUE"""),0.8865460129890482)</f>
        <v>0.886546013</v>
      </c>
      <c r="AJ648" s="57">
        <f>IFERROR(__xludf.DUMMYFUNCTION("""COMPUTED_VALUE"""),1.0679979066278875)</f>
        <v>1.067997907</v>
      </c>
      <c r="AK648" s="57">
        <f>IFERROR(__xludf.DUMMYFUNCTION("""COMPUTED_VALUE"""),0.8398039208480892)</f>
        <v>0.8398039208</v>
      </c>
      <c r="AL648" s="57">
        <f>IFERROR(__xludf.DUMMYFUNCTION("""COMPUTED_VALUE"""),1.022287964819579)</f>
        <v>1.022287965</v>
      </c>
      <c r="AM648" s="57">
        <f>IFERROR(__xludf.DUMMYFUNCTION("""COMPUTED_VALUE"""),1.0333110371546679)</f>
        <v>1.033311037</v>
      </c>
      <c r="AN648" s="57">
        <f>IFERROR(__xludf.DUMMYFUNCTION("""COMPUTED_VALUE"""),1.0391340355430851)</f>
        <v>1.039134036</v>
      </c>
      <c r="AO648" s="57">
        <f>IFERROR(__xludf.DUMMYFUNCTION("""COMPUTED_VALUE"""),1.0838714845686763)</f>
        <v>1.083871485</v>
      </c>
      <c r="AP648" s="35">
        <f>IFERROR(__xludf.DUMMYFUNCTION("""COMPUTED_VALUE"""),0.9719973488820075)</f>
        <v>0.9719973489</v>
      </c>
      <c r="AQ648" s="57">
        <f>IFERROR(__xludf.DUMMYFUNCTION("""COMPUTED_VALUE"""),1.0447227869334006)</f>
        <v>1.044722787</v>
      </c>
      <c r="AR648" s="36" t="b">
        <f>IFERROR(__xludf.DUMMYFUNCTION("""COMPUTED_VALUE"""),TRUE)</f>
        <v>1</v>
      </c>
      <c r="AS648" s="57"/>
      <c r="AT648" s="37"/>
      <c r="AU648" s="30"/>
      <c r="AV648" s="30"/>
      <c r="AW648" s="30"/>
      <c r="AX648" s="30"/>
      <c r="AY648" s="30"/>
      <c r="AZ648" s="30"/>
    </row>
    <row r="649">
      <c r="A649" s="30" t="str">
        <f>IFERROR(__xludf.DUMMYFUNCTION("""COMPUTED_VALUE"""),"Rival")</f>
        <v>Rival</v>
      </c>
      <c r="B649" s="30" t="str">
        <f>IFERROR(__xludf.DUMMYFUNCTION("""COMPUTED_VALUE"""),"RSC006086")</f>
        <v>RSC006086</v>
      </c>
      <c r="C649" s="30" t="str">
        <f>IFERROR(__xludf.DUMMYFUNCTION("""COMPUTED_VALUE"""),"13o0k")</f>
        <v>13o0k</v>
      </c>
      <c r="D649" s="31" t="str">
        <f>IFERROR(__xludf.DUMMYFUNCTION("""COMPUTED_VALUE"""),"Kitsune")</f>
        <v>Kitsune</v>
      </c>
      <c r="E649" s="31">
        <f>IFERROR(__xludf.DUMMYFUNCTION("""COMPUTED_VALUE"""),49.40480908196777)</f>
        <v>49.40480908</v>
      </c>
      <c r="F649" s="31">
        <f>IFERROR(__xludf.DUMMYFUNCTION("""COMPUTED_VALUE"""),-2.038723413527556)</f>
        <v>-2.038723414</v>
      </c>
      <c r="G649" s="31">
        <f>IFERROR(__xludf.DUMMYFUNCTION("""COMPUTED_VALUE"""),59.39716976960167)</f>
        <v>59.39716977</v>
      </c>
      <c r="H649" s="31">
        <f>IFERROR(__xludf.DUMMYFUNCTION("""COMPUTED_VALUE"""),2.8288500685347224)</f>
        <v>2.828850069</v>
      </c>
      <c r="I649" s="54">
        <f>IFERROR(__xludf.DUMMYFUNCTION("""COMPUTED_VALUE"""),36.0)</f>
        <v>36</v>
      </c>
      <c r="J649" s="55">
        <f>IFERROR(__xludf.DUMMYFUNCTION("""COMPUTED_VALUE"""),19.0)</f>
        <v>19</v>
      </c>
      <c r="K649" s="54">
        <f>IFERROR(__xludf.DUMMYFUNCTION("""COMPUTED_VALUE"""),17.0)</f>
        <v>17</v>
      </c>
      <c r="L649" s="56">
        <f>IFERROR(__xludf.DUMMYFUNCTION("""COMPUTED_VALUE"""),0.5277777777777778)</f>
        <v>0.5277777778</v>
      </c>
      <c r="M649" s="56">
        <f>IFERROR(__xludf.DUMMYFUNCTION("""COMPUTED_VALUE"""),0.23157894736842108)</f>
        <v>0.2315789474</v>
      </c>
      <c r="N649" s="31">
        <f>IFERROR(__xludf.DUMMYFUNCTION("""COMPUTED_VALUE"""),345.3333333333333)</f>
        <v>345.3333333</v>
      </c>
      <c r="O649" s="57">
        <f>IFERROR(__xludf.DUMMYFUNCTION("""COMPUTED_VALUE"""),0.6111111111111112)</f>
        <v>0.6111111111</v>
      </c>
      <c r="P649" s="57">
        <f>IFERROR(__xludf.DUMMYFUNCTION("""COMPUTED_VALUE"""),0.5277777777777778)</f>
        <v>0.5277777778</v>
      </c>
      <c r="Q649" s="57">
        <f>IFERROR(__xludf.DUMMYFUNCTION("""COMPUTED_VALUE"""),1.3333333333333333)</f>
        <v>1.333333333</v>
      </c>
      <c r="R649" s="57">
        <f>IFERROR(__xludf.DUMMYFUNCTION("""COMPUTED_VALUE"""),2.638888888888889)</f>
        <v>2.638888889</v>
      </c>
      <c r="S649" s="31">
        <f>IFERROR(__xludf.DUMMYFUNCTION("""COMPUTED_VALUE"""),334.1481481481481)</f>
        <v>334.1481481</v>
      </c>
      <c r="T649" s="57">
        <f>IFERROR(__xludf.DUMMYFUNCTION("""COMPUTED_VALUE"""),0.7037037037037037)</f>
        <v>0.7037037037</v>
      </c>
      <c r="U649" s="57">
        <f>IFERROR(__xludf.DUMMYFUNCTION("""COMPUTED_VALUE"""),0.4907407407407406)</f>
        <v>0.4907407407</v>
      </c>
      <c r="V649" s="57">
        <f>IFERROR(__xludf.DUMMYFUNCTION("""COMPUTED_VALUE"""),1.2962962962962965)</f>
        <v>1.296296296</v>
      </c>
      <c r="W649" s="57">
        <f>IFERROR(__xludf.DUMMYFUNCTION("""COMPUTED_VALUE"""),2.3425925925925926)</f>
        <v>2.342592593</v>
      </c>
      <c r="X649" s="31">
        <f>IFERROR(__xludf.DUMMYFUNCTION("""COMPUTED_VALUE"""),340.06032237769404)</f>
        <v>340.0603224</v>
      </c>
      <c r="Y649" s="57">
        <f>IFERROR(__xludf.DUMMYFUNCTION("""COMPUTED_VALUE"""),0.7841606586864249)</f>
        <v>0.7841606587</v>
      </c>
      <c r="Z649" s="57">
        <f>IFERROR(__xludf.DUMMYFUNCTION("""COMPUTED_VALUE"""),0.5370295768103985)</f>
        <v>0.5370295768</v>
      </c>
      <c r="AA649" s="57">
        <f>IFERROR(__xludf.DUMMYFUNCTION("""COMPUTED_VALUE"""),1.2857391625407333)</f>
        <v>1.285739163</v>
      </c>
      <c r="AB649" s="57">
        <f>IFERROR(__xludf.DUMMYFUNCTION("""COMPUTED_VALUE"""),2.4641228614818607)</f>
        <v>2.464122861</v>
      </c>
      <c r="AC649" s="31">
        <f>IFERROR(__xludf.DUMMYFUNCTION("""COMPUTED_VALUE"""),344.02465449594195)</f>
        <v>344.0246545</v>
      </c>
      <c r="AD649" s="57">
        <f>IFERROR(__xludf.DUMMYFUNCTION("""COMPUTED_VALUE"""),0.779928117276818)</f>
        <v>0.7799281173</v>
      </c>
      <c r="AE649" s="57">
        <f>IFERROR(__xludf.DUMMYFUNCTION("""COMPUTED_VALUE"""),0.5456188371870633)</f>
        <v>0.5456188372</v>
      </c>
      <c r="AF649" s="57">
        <f>IFERROR(__xludf.DUMMYFUNCTION("""COMPUTED_VALUE"""),1.3096235061765762)</f>
        <v>1.309623506</v>
      </c>
      <c r="AG649" s="57">
        <f>IFERROR(__xludf.DUMMYFUNCTION("""COMPUTED_VALUE"""),2.532471837755004)</f>
        <v>2.532471838</v>
      </c>
      <c r="AH649" s="57">
        <f>IFERROR(__xludf.DUMMYFUNCTION("""COMPUTED_VALUE"""),1.0038040263111632)</f>
        <v>1.003804026</v>
      </c>
      <c r="AI649" s="57">
        <f>IFERROR(__xludf.DUMMYFUNCTION("""COMPUTED_VALUE"""),0.7835479931725695)</f>
        <v>0.7835479932</v>
      </c>
      <c r="AJ649" s="57">
        <f>IFERROR(__xludf.DUMMYFUNCTION("""COMPUTED_VALUE"""),0.9673012399988515)</f>
        <v>0.96730124</v>
      </c>
      <c r="AK649" s="57">
        <f>IFERROR(__xludf.DUMMYFUNCTION("""COMPUTED_VALUE"""),1.0181043078754577)</f>
        <v>1.018104308</v>
      </c>
      <c r="AL649" s="57">
        <f>IFERROR(__xludf.DUMMYFUNCTION("""COMPUTED_VALUE"""),1.042021020548928)</f>
        <v>1.042021021</v>
      </c>
      <c r="AM649" s="57">
        <f>IFERROR(__xludf.DUMMYFUNCTION("""COMPUTED_VALUE"""),0.9826143368088104)</f>
        <v>0.9826143368</v>
      </c>
      <c r="AN649" s="57">
        <f>IFERROR(__xludf.DUMMYFUNCTION("""COMPUTED_VALUE"""),0.8973973584475693)</f>
        <v>0.8973973584</v>
      </c>
      <c r="AO649" s="57">
        <f>IFERROR(__xludf.DUMMYFUNCTION("""COMPUTED_VALUE"""),0.913805797541761)</f>
        <v>0.9138057975</v>
      </c>
      <c r="AP649" s="35">
        <f>IFERROR(__xludf.DUMMYFUNCTION("""COMPUTED_VALUE"""),1.0082109451614598)</f>
        <v>1.008210945</v>
      </c>
      <c r="AQ649" s="57">
        <f>IFERROR(__xludf.DUMMYFUNCTION("""COMPUTED_VALUE"""),0.950680109831787)</f>
        <v>0.9506801098</v>
      </c>
      <c r="AR649" s="36" t="b">
        <f>IFERROR(__xludf.DUMMYFUNCTION("""COMPUTED_VALUE"""),TRUE)</f>
        <v>1</v>
      </c>
      <c r="AS649" s="57"/>
      <c r="AT649" s="37"/>
      <c r="AU649" s="30"/>
      <c r="AV649" s="30"/>
      <c r="AW649" s="30"/>
      <c r="AX649" s="30"/>
      <c r="AY649" s="30"/>
      <c r="AZ649" s="30"/>
    </row>
    <row r="650">
      <c r="A650" s="30" t="str">
        <f>IFERROR(__xludf.DUMMYFUNCTION("""COMPUTED_VALUE"""),"Rival")</f>
        <v>Rival</v>
      </c>
      <c r="B650" s="30" t="str">
        <f>IFERROR(__xludf.DUMMYFUNCTION("""COMPUTED_VALUE"""),"RSC007131")</f>
        <v>RSC007131</v>
      </c>
      <c r="C650" s="30" t="str">
        <f>IFERROR(__xludf.DUMMYFUNCTION("""COMPUTED_VALUE"""),"BankShark")</f>
        <v>BankShark</v>
      </c>
      <c r="D650" s="31" t="str">
        <f>IFERROR(__xludf.DUMMYFUNCTION("""COMPUTED_VALUE"""),"Hammerheads")</f>
        <v>Hammerheads</v>
      </c>
      <c r="E650" s="31">
        <f>IFERROR(__xludf.DUMMYFUNCTION("""COMPUTED_VALUE"""),49.31461535919748)</f>
        <v>49.31461536</v>
      </c>
      <c r="F650" s="31">
        <f>IFERROR(__xludf.DUMMYFUNCTION("""COMPUTED_VALUE"""),-2.0447212707393545)</f>
        <v>-2.044721271</v>
      </c>
      <c r="G650" s="31">
        <f>IFERROR(__xludf.DUMMYFUNCTION("""COMPUTED_VALUE"""),47.3806763126857)</f>
        <v>47.38067631</v>
      </c>
      <c r="H650" s="31">
        <f>IFERROR(__xludf.DUMMYFUNCTION("""COMPUTED_VALUE"""),-2.1820816741699005)</f>
        <v>-2.182081674</v>
      </c>
      <c r="I650" s="54">
        <f>IFERROR(__xludf.DUMMYFUNCTION("""COMPUTED_VALUE"""),44.0)</f>
        <v>44</v>
      </c>
      <c r="J650" s="55">
        <f>IFERROR(__xludf.DUMMYFUNCTION("""COMPUTED_VALUE"""),26.0)</f>
        <v>26</v>
      </c>
      <c r="K650" s="54">
        <f>IFERROR(__xludf.DUMMYFUNCTION("""COMPUTED_VALUE"""),18.0)</f>
        <v>18</v>
      </c>
      <c r="L650" s="56">
        <f>IFERROR(__xludf.DUMMYFUNCTION("""COMPUTED_VALUE"""),0.5909090909090909)</f>
        <v>0.5909090909</v>
      </c>
      <c r="M650" s="56">
        <f>IFERROR(__xludf.DUMMYFUNCTION("""COMPUTED_VALUE"""),0.3173076923076923)</f>
        <v>0.3173076923</v>
      </c>
      <c r="N650" s="31">
        <f>IFERROR(__xludf.DUMMYFUNCTION("""COMPUTED_VALUE"""),328.25)</f>
        <v>328.25</v>
      </c>
      <c r="O650" s="57">
        <f>IFERROR(__xludf.DUMMYFUNCTION("""COMPUTED_VALUE"""),0.75)</f>
        <v>0.75</v>
      </c>
      <c r="P650" s="57">
        <f>IFERROR(__xludf.DUMMYFUNCTION("""COMPUTED_VALUE"""),0.4772727272727273)</f>
        <v>0.4772727273</v>
      </c>
      <c r="Q650" s="57">
        <f>IFERROR(__xludf.DUMMYFUNCTION("""COMPUTED_VALUE"""),1.2272727272727273)</f>
        <v>1.227272727</v>
      </c>
      <c r="R650" s="57">
        <f>IFERROR(__xludf.DUMMYFUNCTION("""COMPUTED_VALUE"""),2.3636363636363638)</f>
        <v>2.363636364</v>
      </c>
      <c r="S650" s="31">
        <f>IFERROR(__xludf.DUMMYFUNCTION("""COMPUTED_VALUE"""),324.64393939393943)</f>
        <v>324.6439394</v>
      </c>
      <c r="T650" s="57">
        <f>IFERROR(__xludf.DUMMYFUNCTION("""COMPUTED_VALUE"""),0.6666666666666666)</f>
        <v>0.6666666667</v>
      </c>
      <c r="U650" s="57">
        <f>IFERROR(__xludf.DUMMYFUNCTION("""COMPUTED_VALUE"""),0.49242424242424243)</f>
        <v>0.4924242424</v>
      </c>
      <c r="V650" s="57">
        <f>IFERROR(__xludf.DUMMYFUNCTION("""COMPUTED_VALUE"""),1.3939393939393945)</f>
        <v>1.393939394</v>
      </c>
      <c r="W650" s="57">
        <f>IFERROR(__xludf.DUMMYFUNCTION("""COMPUTED_VALUE"""),2.303030303030303)</f>
        <v>2.303030303</v>
      </c>
      <c r="X650" s="31">
        <f>IFERROR(__xludf.DUMMYFUNCTION("""COMPUTED_VALUE"""),339.5447055598699)</f>
        <v>339.5447056</v>
      </c>
      <c r="Y650" s="57">
        <f>IFERROR(__xludf.DUMMYFUNCTION("""COMPUTED_VALUE"""),0.7666189401399323)</f>
        <v>0.7666189401</v>
      </c>
      <c r="Z650" s="57">
        <f>IFERROR(__xludf.DUMMYFUNCTION("""COMPUTED_VALUE"""),0.5412650041820485)</f>
        <v>0.5412650042</v>
      </c>
      <c r="AA650" s="57">
        <f>IFERROR(__xludf.DUMMYFUNCTION("""COMPUTED_VALUE"""),1.262721000506659)</f>
        <v>1.262721001</v>
      </c>
      <c r="AB650" s="57">
        <f>IFERROR(__xludf.DUMMYFUNCTION("""COMPUTED_VALUE"""),2.5323840258210457)</f>
        <v>2.532384026</v>
      </c>
      <c r="AC650" s="31">
        <f>IFERROR(__xludf.DUMMYFUNCTION("""COMPUTED_VALUE"""),348.87680565347586)</f>
        <v>348.8768057</v>
      </c>
      <c r="AD650" s="57">
        <f>IFERROR(__xludf.DUMMYFUNCTION("""COMPUTED_VALUE"""),0.8127674888403938)</f>
        <v>0.8127674888</v>
      </c>
      <c r="AE650" s="57">
        <f>IFERROR(__xludf.DUMMYFUNCTION("""COMPUTED_VALUE"""),0.5531920788386254)</f>
        <v>0.5531920788</v>
      </c>
      <c r="AF650" s="57">
        <f>IFERROR(__xludf.DUMMYFUNCTION("""COMPUTED_VALUE"""),1.3015774566602027)</f>
        <v>1.301577457</v>
      </c>
      <c r="AG650" s="57">
        <f>IFERROR(__xludf.DUMMYFUNCTION("""COMPUTED_VALUE"""),2.5231415502931807)</f>
        <v>2.52314155</v>
      </c>
      <c r="AH650" s="57">
        <f>IFERROR(__xludf.DUMMYFUNCTION("""COMPUTED_VALUE"""),0.9408765348706971)</f>
        <v>0.9408765349</v>
      </c>
      <c r="AI650" s="57">
        <f>IFERROR(__xludf.DUMMYFUNCTION("""COMPUTED_VALUE"""),0.9227731304435582)</f>
        <v>0.9227731304</v>
      </c>
      <c r="AJ650" s="57">
        <f>IFERROR(__xludf.DUMMYFUNCTION("""COMPUTED_VALUE"""),0.8627613184099027)</f>
        <v>0.8627613184</v>
      </c>
      <c r="AK650" s="57">
        <f>IFERROR(__xludf.DUMMYFUNCTION("""COMPUTED_VALUE"""),0.9429117883017593)</f>
        <v>0.9429117883</v>
      </c>
      <c r="AL650" s="57">
        <f>IFERROR(__xludf.DUMMYFUNCTION("""COMPUTED_VALUE"""),0.9367831001640463)</f>
        <v>0.9367831002</v>
      </c>
      <c r="AM650" s="57">
        <f>IFERROR(__xludf.DUMMYFUNCTION("""COMPUTED_VALUE"""),0.9561154513030594)</f>
        <v>0.9561154513</v>
      </c>
      <c r="AN650" s="57">
        <f>IFERROR(__xludf.DUMMYFUNCTION("""COMPUTED_VALUE"""),0.8696193529277777)</f>
        <v>0.8696193529</v>
      </c>
      <c r="AO650" s="57">
        <f>IFERROR(__xludf.DUMMYFUNCTION("""COMPUTED_VALUE"""),0.9097655281970178)</f>
        <v>0.9097655282</v>
      </c>
      <c r="AP650" s="35">
        <f>IFERROR(__xludf.DUMMYFUNCTION("""COMPUTED_VALUE"""),1.1039171704438946)</f>
        <v>1.10391717</v>
      </c>
      <c r="AQ650" s="57">
        <f>IFERROR(__xludf.DUMMYFUNCTION("""COMPUTED_VALUE"""),0.9094316973838983)</f>
        <v>0.9094316974</v>
      </c>
      <c r="AR650" s="36" t="b">
        <f>IFERROR(__xludf.DUMMYFUNCTION("""COMPUTED_VALUE"""),TRUE)</f>
        <v>1</v>
      </c>
      <c r="AS650" s="57"/>
      <c r="AT650" s="37"/>
      <c r="AU650" s="30"/>
      <c r="AV650" s="30"/>
      <c r="AW650" s="30"/>
      <c r="AX650" s="30"/>
      <c r="AY650" s="30"/>
      <c r="AZ650" s="30"/>
    </row>
    <row r="651">
      <c r="A651" s="30" t="str">
        <f>IFERROR(__xludf.DUMMYFUNCTION("""COMPUTED_VALUE"""),"Rival")</f>
        <v>Rival</v>
      </c>
      <c r="B651" s="30" t="str">
        <f>IFERROR(__xludf.DUMMYFUNCTION("""COMPUTED_VALUE"""),"RSC004639")</f>
        <v>RSC004639</v>
      </c>
      <c r="C651" s="30" t="str">
        <f>IFERROR(__xludf.DUMMYFUNCTION("""COMPUTED_VALUE"""),"Tydizzle")</f>
        <v>Tydizzle</v>
      </c>
      <c r="D651" s="31" t="str">
        <f>IFERROR(__xludf.DUMMYFUNCTION("""COMPUTED_VALUE"""),"Blizzards")</f>
        <v>Blizzards</v>
      </c>
      <c r="E651" s="31">
        <f>IFERROR(__xludf.DUMMYFUNCTION("""COMPUTED_VALUE"""),49.28003717249468)</f>
        <v>49.28003717</v>
      </c>
      <c r="F651" s="31">
        <f>IFERROR(__xludf.DUMMYFUNCTION("""COMPUTED_VALUE"""),-2.04702992552534)</f>
        <v>-2.047029926</v>
      </c>
      <c r="G651" s="31">
        <f>IFERROR(__xludf.DUMMYFUNCTION("""COMPUTED_VALUE"""),43.73166525601792)</f>
        <v>43.73166526</v>
      </c>
      <c r="H651" s="31">
        <f>IFERROR(__xludf.DUMMYFUNCTION("""COMPUTED_VALUE"""),-2.4937026408728573)</f>
        <v>-2.493702641</v>
      </c>
      <c r="I651" s="54">
        <f>IFERROR(__xludf.DUMMYFUNCTION("""COMPUTED_VALUE"""),36.0)</f>
        <v>36</v>
      </c>
      <c r="J651" s="55">
        <f>IFERROR(__xludf.DUMMYFUNCTION("""COMPUTED_VALUE"""),15.0)</f>
        <v>15</v>
      </c>
      <c r="K651" s="54">
        <f>IFERROR(__xludf.DUMMYFUNCTION("""COMPUTED_VALUE"""),21.0)</f>
        <v>21</v>
      </c>
      <c r="L651" s="56">
        <f>IFERROR(__xludf.DUMMYFUNCTION("""COMPUTED_VALUE"""),0.4166666666666667)</f>
        <v>0.4166666667</v>
      </c>
      <c r="M651" s="56">
        <f>IFERROR(__xludf.DUMMYFUNCTION("""COMPUTED_VALUE"""),0.3023255813953488)</f>
        <v>0.3023255814</v>
      </c>
      <c r="N651" s="31">
        <f>IFERROR(__xludf.DUMMYFUNCTION("""COMPUTED_VALUE"""),341.19444444444446)</f>
        <v>341.1944444</v>
      </c>
      <c r="O651" s="57">
        <f>IFERROR(__xludf.DUMMYFUNCTION("""COMPUTED_VALUE"""),0.7222222222222222)</f>
        <v>0.7222222222</v>
      </c>
      <c r="P651" s="57">
        <f>IFERROR(__xludf.DUMMYFUNCTION("""COMPUTED_VALUE"""),0.6111111111111112)</f>
        <v>0.6111111111</v>
      </c>
      <c r="Q651" s="57">
        <f>IFERROR(__xludf.DUMMYFUNCTION("""COMPUTED_VALUE"""),1.2222222222222223)</f>
        <v>1.222222222</v>
      </c>
      <c r="R651" s="57">
        <f>IFERROR(__xludf.DUMMYFUNCTION("""COMPUTED_VALUE"""),2.388888888888889)</f>
        <v>2.388888889</v>
      </c>
      <c r="S651" s="31">
        <f>IFERROR(__xludf.DUMMYFUNCTION("""COMPUTED_VALUE"""),382.7314814814815)</f>
        <v>382.7314815</v>
      </c>
      <c r="T651" s="57">
        <f>IFERROR(__xludf.DUMMYFUNCTION("""COMPUTED_VALUE"""),0.9722222222222222)</f>
        <v>0.9722222222</v>
      </c>
      <c r="U651" s="57">
        <f>IFERROR(__xludf.DUMMYFUNCTION("""COMPUTED_VALUE"""),0.6574074074074074)</f>
        <v>0.6574074074</v>
      </c>
      <c r="V651" s="57">
        <f>IFERROR(__xludf.DUMMYFUNCTION("""COMPUTED_VALUE"""),1.416666666666667)</f>
        <v>1.416666667</v>
      </c>
      <c r="W651" s="57">
        <f>IFERROR(__xludf.DUMMYFUNCTION("""COMPUTED_VALUE"""),2.6388888888888897)</f>
        <v>2.638888889</v>
      </c>
      <c r="X651" s="31">
        <f>IFERROR(__xludf.DUMMYFUNCTION("""COMPUTED_VALUE"""),354.08900641953977)</f>
        <v>354.0890064</v>
      </c>
      <c r="Y651" s="57">
        <f>IFERROR(__xludf.DUMMYFUNCTION("""COMPUTED_VALUE"""),0.8144554700288744)</f>
        <v>0.81445547</v>
      </c>
      <c r="Z651" s="57">
        <f>IFERROR(__xludf.DUMMYFUNCTION("""COMPUTED_VALUE"""),0.6065974155190642)</f>
        <v>0.6065974155</v>
      </c>
      <c r="AA651" s="57">
        <f>IFERROR(__xludf.DUMMYFUNCTION("""COMPUTED_VALUE"""),1.3674963869228813)</f>
        <v>1.367496387</v>
      </c>
      <c r="AB651" s="57">
        <f>IFERROR(__xludf.DUMMYFUNCTION("""COMPUTED_VALUE"""),2.609044059792028)</f>
        <v>2.60904406</v>
      </c>
      <c r="AC651" s="31">
        <f>IFERROR(__xludf.DUMMYFUNCTION("""COMPUTED_VALUE"""),341.6640242558)</f>
        <v>341.6640243</v>
      </c>
      <c r="AD651" s="57">
        <f>IFERROR(__xludf.DUMMYFUNCTION("""COMPUTED_VALUE"""),0.7505718052975833)</f>
        <v>0.7505718053</v>
      </c>
      <c r="AE651" s="57">
        <f>IFERROR(__xludf.DUMMYFUNCTION("""COMPUTED_VALUE"""),0.5511677695488794)</f>
        <v>0.5511677695</v>
      </c>
      <c r="AF651" s="57">
        <f>IFERROR(__xludf.DUMMYFUNCTION("""COMPUTED_VALUE"""),1.3193791803934887)</f>
        <v>1.31937918</v>
      </c>
      <c r="AG651" s="57">
        <f>IFERROR(__xludf.DUMMYFUNCTION("""COMPUTED_VALUE"""),2.5778505622760854)</f>
        <v>2.577850562</v>
      </c>
      <c r="AH651" s="57">
        <f>IFERROR(__xludf.DUMMYFUNCTION("""COMPUTED_VALUE"""),0.9986256094349462)</f>
        <v>0.9986256094</v>
      </c>
      <c r="AI651" s="57">
        <f>IFERROR(__xludf.DUMMYFUNCTION("""COMPUTED_VALUE"""),0.9622293525079574)</f>
        <v>0.9622293525</v>
      </c>
      <c r="AJ651" s="57">
        <f>IFERROR(__xludf.DUMMYFUNCTION("""COMPUTED_VALUE"""),1.1087569790434124)</f>
        <v>1.108756979</v>
      </c>
      <c r="AK651" s="57">
        <f>IFERROR(__xludf.DUMMYFUNCTION("""COMPUTED_VALUE"""),0.9263616103580697)</f>
        <v>0.9263616104</v>
      </c>
      <c r="AL651" s="57">
        <f>IFERROR(__xludf.DUMMYFUNCTION("""COMPUTED_VALUE"""),0.9266979722748727)</f>
        <v>0.9266979723</v>
      </c>
      <c r="AM651" s="57">
        <f>IFERROR(__xludf.DUMMYFUNCTION("""COMPUTED_VALUE"""),1.080890608131462)</f>
        <v>1.080890608</v>
      </c>
      <c r="AN651" s="57">
        <f>IFERROR(__xludf.DUMMYFUNCTION("""COMPUTED_VALUE"""),1.1937082603027451)</f>
        <v>1.19370826</v>
      </c>
      <c r="AO651" s="57">
        <f>IFERROR(__xludf.DUMMYFUNCTION("""COMPUTED_VALUE"""),1.0837622953682802)</f>
        <v>1.083762295</v>
      </c>
      <c r="AP651" s="35">
        <f>IFERROR(__xludf.DUMMYFUNCTION("""COMPUTED_VALUE"""),1.0359564238808907)</f>
        <v>1.035956424</v>
      </c>
      <c r="AQ651" s="57">
        <f>IFERROR(__xludf.DUMMYFUNCTION("""COMPUTED_VALUE"""),1.0114389900718046)</f>
        <v>1.01143899</v>
      </c>
      <c r="AR651" s="36" t="b">
        <f>IFERROR(__xludf.DUMMYFUNCTION("""COMPUTED_VALUE"""),TRUE)</f>
        <v>1</v>
      </c>
      <c r="AS651" s="57"/>
      <c r="AT651" s="37"/>
      <c r="AU651" s="30"/>
      <c r="AV651" s="30"/>
      <c r="AW651" s="30"/>
      <c r="AX651" s="30"/>
      <c r="AY651" s="30"/>
      <c r="AZ651" s="30"/>
    </row>
    <row r="652">
      <c r="A652" s="30" t="str">
        <f>IFERROR(__xludf.DUMMYFUNCTION("""COMPUTED_VALUE"""),"Rival")</f>
        <v>Rival</v>
      </c>
      <c r="B652" s="30" t="str">
        <f>IFERROR(__xludf.DUMMYFUNCTION("""COMPUTED_VALUE"""),"RSC002424")</f>
        <v>RSC002424</v>
      </c>
      <c r="C652" s="30" t="str">
        <f>IFERROR(__xludf.DUMMYFUNCTION("""COMPUTED_VALUE"""),"HufflePuffler")</f>
        <v>HufflePuffler</v>
      </c>
      <c r="D652" s="31" t="str">
        <f>IFERROR(__xludf.DUMMYFUNCTION("""COMPUTED_VALUE"""),"Centuriones")</f>
        <v>Centuriones</v>
      </c>
      <c r="E652" s="31">
        <f>IFERROR(__xludf.DUMMYFUNCTION("""COMPUTED_VALUE"""),48.92258542574502)</f>
        <v>48.92258543</v>
      </c>
      <c r="F652" s="31">
        <f>IFERROR(__xludf.DUMMYFUNCTION("""COMPUTED_VALUE"""),-2.0711983908820484)</f>
        <v>-2.071198391</v>
      </c>
      <c r="G652" s="31">
        <f>IFERROR(__xludf.DUMMYFUNCTION("""COMPUTED_VALUE"""),50.309414761471515)</f>
        <v>50.30941476</v>
      </c>
      <c r="H652" s="31">
        <f>IFERROR(__xludf.DUMMYFUNCTION("""COMPUTED_VALUE"""),2.0199466465849016)</f>
        <v>2.019946647</v>
      </c>
      <c r="I652" s="54">
        <f>IFERROR(__xludf.DUMMYFUNCTION("""COMPUTED_VALUE"""),48.0)</f>
        <v>48</v>
      </c>
      <c r="J652" s="55">
        <f>IFERROR(__xludf.DUMMYFUNCTION("""COMPUTED_VALUE"""),18.0)</f>
        <v>18</v>
      </c>
      <c r="K652" s="54">
        <f>IFERROR(__xludf.DUMMYFUNCTION("""COMPUTED_VALUE"""),30.0)</f>
        <v>30</v>
      </c>
      <c r="L652" s="56">
        <f>IFERROR(__xludf.DUMMYFUNCTION("""COMPUTED_VALUE"""),0.375)</f>
        <v>0.375</v>
      </c>
      <c r="M652" s="56">
        <f>IFERROR(__xludf.DUMMYFUNCTION("""COMPUTED_VALUE"""),0.3490566037735849)</f>
        <v>0.3490566038</v>
      </c>
      <c r="N652" s="31">
        <f>IFERROR(__xludf.DUMMYFUNCTION("""COMPUTED_VALUE"""),378.1666666666667)</f>
        <v>378.1666667</v>
      </c>
      <c r="O652" s="57">
        <f>IFERROR(__xludf.DUMMYFUNCTION("""COMPUTED_VALUE"""),0.7708333333333334)</f>
        <v>0.7708333333</v>
      </c>
      <c r="P652" s="57">
        <f>IFERROR(__xludf.DUMMYFUNCTION("""COMPUTED_VALUE"""),0.5)</f>
        <v>0.5</v>
      </c>
      <c r="Q652" s="57">
        <f>IFERROR(__xludf.DUMMYFUNCTION("""COMPUTED_VALUE"""),1.7291666666666667)</f>
        <v>1.729166667</v>
      </c>
      <c r="R652" s="57">
        <f>IFERROR(__xludf.DUMMYFUNCTION("""COMPUTED_VALUE"""),2.2083333333333335)</f>
        <v>2.208333333</v>
      </c>
      <c r="S652" s="31">
        <f>IFERROR(__xludf.DUMMYFUNCTION("""COMPUTED_VALUE"""),358.03472222222223)</f>
        <v>358.0347222</v>
      </c>
      <c r="T652" s="57">
        <f>IFERROR(__xludf.DUMMYFUNCTION("""COMPUTED_VALUE"""),0.8611111111111108)</f>
        <v>0.8611111111</v>
      </c>
      <c r="U652" s="57">
        <f>IFERROR(__xludf.DUMMYFUNCTION("""COMPUTED_VALUE"""),0.6319444444444443)</f>
        <v>0.6319444444</v>
      </c>
      <c r="V652" s="57">
        <f>IFERROR(__xludf.DUMMYFUNCTION("""COMPUTED_VALUE"""),1.2152777777777775)</f>
        <v>1.215277778</v>
      </c>
      <c r="W652" s="57">
        <f>IFERROR(__xludf.DUMMYFUNCTION("""COMPUTED_VALUE"""),2.756944444444444)</f>
        <v>2.756944444</v>
      </c>
      <c r="X652" s="31">
        <f>IFERROR(__xludf.DUMMYFUNCTION("""COMPUTED_VALUE"""),346.1604078882474)</f>
        <v>346.1604079</v>
      </c>
      <c r="Y652" s="57">
        <f>IFERROR(__xludf.DUMMYFUNCTION("""COMPUTED_VALUE"""),0.7972937184788763)</f>
        <v>0.7972937185</v>
      </c>
      <c r="Z652" s="57">
        <f>IFERROR(__xludf.DUMMYFUNCTION("""COMPUTED_VALUE"""),0.5526952605649331)</f>
        <v>0.5526952606</v>
      </c>
      <c r="AA652" s="57">
        <f>IFERROR(__xludf.DUMMYFUNCTION("""COMPUTED_VALUE"""),1.2845819065370694)</f>
        <v>1.284581907</v>
      </c>
      <c r="AB652" s="57">
        <f>IFERROR(__xludf.DUMMYFUNCTION("""COMPUTED_VALUE"""),2.5687665766245646)</f>
        <v>2.568766577</v>
      </c>
      <c r="AC652" s="31">
        <f>IFERROR(__xludf.DUMMYFUNCTION("""COMPUTED_VALUE"""),345.95298709408786)</f>
        <v>345.9529871</v>
      </c>
      <c r="AD652" s="57">
        <f>IFERROR(__xludf.DUMMYFUNCTION("""COMPUTED_VALUE"""),0.7646393652457611)</f>
        <v>0.7646393652</v>
      </c>
      <c r="AE652" s="57">
        <f>IFERROR(__xludf.DUMMYFUNCTION("""COMPUTED_VALUE"""),0.5448291967287312)</f>
        <v>0.5448291967</v>
      </c>
      <c r="AF652" s="57">
        <f>IFERROR(__xludf.DUMMYFUNCTION("""COMPUTED_VALUE"""),1.337558766598497)</f>
        <v>1.337558767</v>
      </c>
      <c r="AG652" s="57">
        <f>IFERROR(__xludf.DUMMYFUNCTION("""COMPUTED_VALUE"""),2.5352853497340493)</f>
        <v>2.53528535</v>
      </c>
      <c r="AH652" s="57">
        <f>IFERROR(__xludf.DUMMYFUNCTION("""COMPUTED_VALUE"""),1.0931157722994822)</f>
        <v>1.093115772</v>
      </c>
      <c r="AI652" s="57">
        <f>IFERROR(__xludf.DUMMYFUNCTION("""COMPUTED_VALUE"""),1.008100509036154)</f>
        <v>1.008100509</v>
      </c>
      <c r="AJ652" s="57">
        <f>IFERROR(__xludf.DUMMYFUNCTION("""COMPUTED_VALUE"""),0.917718806191197)</f>
        <v>0.9177188062</v>
      </c>
      <c r="AK652" s="57">
        <f>IFERROR(__xludf.DUMMYFUNCTION("""COMPUTED_VALUE"""),1.2927780893426128)</f>
        <v>1.292778089</v>
      </c>
      <c r="AL652" s="57">
        <f>IFERROR(__xludf.DUMMYFUNCTION("""COMPUTED_VALUE"""),0.871039361926257)</f>
        <v>0.8710393619</v>
      </c>
      <c r="AM652" s="57">
        <f>IFERROR(__xludf.DUMMYFUNCTION("""COMPUTED_VALUE"""),1.034302924492186)</f>
        <v>1.034302924</v>
      </c>
      <c r="AN652" s="57">
        <f>IFERROR(__xludf.DUMMYFUNCTION("""COMPUTED_VALUE"""),1.0800425127567657)</f>
        <v>1.080042513</v>
      </c>
      <c r="AO652" s="57">
        <f>IFERROR(__xludf.DUMMYFUNCTION("""COMPUTED_VALUE"""),1.1433867621707254)</f>
        <v>1.143386762</v>
      </c>
      <c r="AP652" s="35">
        <f>IFERROR(__xludf.DUMMYFUNCTION("""COMPUTED_VALUE"""),0.9460492722133075)</f>
        <v>0.9460492722</v>
      </c>
      <c r="AQ652" s="57">
        <f>IFERROR(__xludf.DUMMYFUNCTION("""COMPUTED_VALUE"""),1.0732561181433429)</f>
        <v>1.073256118</v>
      </c>
      <c r="AR652" s="36" t="b">
        <f>IFERROR(__xludf.DUMMYFUNCTION("""COMPUTED_VALUE"""),TRUE)</f>
        <v>1</v>
      </c>
      <c r="AS652" s="57"/>
      <c r="AT652" s="37"/>
      <c r="AU652" s="30"/>
      <c r="AV652" s="30"/>
      <c r="AW652" s="30"/>
      <c r="AX652" s="30"/>
      <c r="AY652" s="30"/>
      <c r="AZ652" s="30"/>
    </row>
    <row r="653">
      <c r="A653" s="30" t="str">
        <f>IFERROR(__xludf.DUMMYFUNCTION("""COMPUTED_VALUE"""),"Rival")</f>
        <v>Rival</v>
      </c>
      <c r="B653" s="30" t="str">
        <f>IFERROR(__xludf.DUMMYFUNCTION("""COMPUTED_VALUE"""),"RSC006372")</f>
        <v>RSC006372</v>
      </c>
      <c r="C653" s="30" t="str">
        <f>IFERROR(__xludf.DUMMYFUNCTION("""COMPUTED_VALUE"""),"x ARC Fives x")</f>
        <v>x ARC Fives x</v>
      </c>
      <c r="D653" s="31" t="str">
        <f>IFERROR(__xludf.DUMMYFUNCTION("""COMPUTED_VALUE"""),"Heavy Metal")</f>
        <v>Heavy Metal</v>
      </c>
      <c r="E653" s="31">
        <f>IFERROR(__xludf.DUMMYFUNCTION("""COMPUTED_VALUE"""),47.86269638975101)</f>
        <v>47.86269639</v>
      </c>
      <c r="F653" s="31">
        <f>IFERROR(__xludf.DUMMYFUNCTION("""COMPUTED_VALUE"""),-2.1462217890261943)</f>
        <v>-2.146221789</v>
      </c>
      <c r="G653" s="31">
        <f>IFERROR(__xludf.DUMMYFUNCTION("""COMPUTED_VALUE"""),35.14704249818884)</f>
        <v>35.1470425</v>
      </c>
      <c r="H653" s="31">
        <f>IFERROR(__xludf.DUMMYFUNCTION("""COMPUTED_VALUE"""),-3.6203485843617056)</f>
        <v>-3.620348584</v>
      </c>
      <c r="I653" s="54">
        <f>IFERROR(__xludf.DUMMYFUNCTION("""COMPUTED_VALUE"""),13.0)</f>
        <v>13</v>
      </c>
      <c r="J653" s="55">
        <f>IFERROR(__xludf.DUMMYFUNCTION("""COMPUTED_VALUE"""),4.0)</f>
        <v>4</v>
      </c>
      <c r="K653" s="54">
        <f>IFERROR(__xludf.DUMMYFUNCTION("""COMPUTED_VALUE"""),9.0)</f>
        <v>9</v>
      </c>
      <c r="L653" s="56">
        <f>IFERROR(__xludf.DUMMYFUNCTION("""COMPUTED_VALUE"""),0.3076923076923077)</f>
        <v>0.3076923077</v>
      </c>
      <c r="M653" s="56">
        <f>IFERROR(__xludf.DUMMYFUNCTION("""COMPUTED_VALUE"""),0.3636363636363637)</f>
        <v>0.3636363636</v>
      </c>
      <c r="N653" s="31">
        <f>IFERROR(__xludf.DUMMYFUNCTION("""COMPUTED_VALUE"""),337.6923076923077)</f>
        <v>337.6923077</v>
      </c>
      <c r="O653" s="57">
        <f>IFERROR(__xludf.DUMMYFUNCTION("""COMPUTED_VALUE"""),0.9230769230769231)</f>
        <v>0.9230769231</v>
      </c>
      <c r="P653" s="57">
        <f>IFERROR(__xludf.DUMMYFUNCTION("""COMPUTED_VALUE"""),0.38461538461538464)</f>
        <v>0.3846153846</v>
      </c>
      <c r="Q653" s="57">
        <f>IFERROR(__xludf.DUMMYFUNCTION("""COMPUTED_VALUE"""),1.6923076923076923)</f>
        <v>1.692307692</v>
      </c>
      <c r="R653" s="57">
        <f>IFERROR(__xludf.DUMMYFUNCTION("""COMPUTED_VALUE"""),2.5384615384615383)</f>
        <v>2.538461538</v>
      </c>
      <c r="S653" s="31">
        <f>IFERROR(__xludf.DUMMYFUNCTION("""COMPUTED_VALUE"""),360.48717948717945)</f>
        <v>360.4871795</v>
      </c>
      <c r="T653" s="57">
        <f>IFERROR(__xludf.DUMMYFUNCTION("""COMPUTED_VALUE"""),0.8717948717948717)</f>
        <v>0.8717948718</v>
      </c>
      <c r="U653" s="57">
        <f>IFERROR(__xludf.DUMMYFUNCTION("""COMPUTED_VALUE"""),0.5897435897435896)</f>
        <v>0.5897435897</v>
      </c>
      <c r="V653" s="57">
        <f>IFERROR(__xludf.DUMMYFUNCTION("""COMPUTED_VALUE"""),1.3846153846153844)</f>
        <v>1.384615385</v>
      </c>
      <c r="W653" s="57">
        <f>IFERROR(__xludf.DUMMYFUNCTION("""COMPUTED_VALUE"""),3.025641025641026)</f>
        <v>3.025641026</v>
      </c>
      <c r="X653" s="31">
        <f>IFERROR(__xludf.DUMMYFUNCTION("""COMPUTED_VALUE"""),334.3028160627997)</f>
        <v>334.3028161</v>
      </c>
      <c r="Y653" s="57">
        <f>IFERROR(__xludf.DUMMYFUNCTION("""COMPUTED_VALUE"""),0.7234051153942794)</f>
        <v>0.7234051154</v>
      </c>
      <c r="Z653" s="57">
        <f>IFERROR(__xludf.DUMMYFUNCTION("""COMPUTED_VALUE"""),0.5693406007278496)</f>
        <v>0.5693406007</v>
      </c>
      <c r="AA653" s="57">
        <f>IFERROR(__xludf.DUMMYFUNCTION("""COMPUTED_VALUE"""),1.264294943776908)</f>
        <v>1.264294944</v>
      </c>
      <c r="AB653" s="57">
        <f>IFERROR(__xludf.DUMMYFUNCTION("""COMPUTED_VALUE"""),2.4459660823050915)</f>
        <v>2.445966082</v>
      </c>
      <c r="AC653" s="31">
        <f>IFERROR(__xludf.DUMMYFUNCTION("""COMPUTED_VALUE"""),347.7191086428532)</f>
        <v>347.7191086</v>
      </c>
      <c r="AD653" s="57">
        <f>IFERROR(__xludf.DUMMYFUNCTION("""COMPUTED_VALUE"""),0.7888474369250523)</f>
        <v>0.7888474369</v>
      </c>
      <c r="AE653" s="57">
        <f>IFERROR(__xludf.DUMMYFUNCTION("""COMPUTED_VALUE"""),0.5441581117385711)</f>
        <v>0.5441581117</v>
      </c>
      <c r="AF653" s="57">
        <f>IFERROR(__xludf.DUMMYFUNCTION("""COMPUTED_VALUE"""),1.3463133650125154)</f>
        <v>1.346313365</v>
      </c>
      <c r="AG653" s="57">
        <f>IFERROR(__xludf.DUMMYFUNCTION("""COMPUTED_VALUE"""),2.5834404468359398)</f>
        <v>2.583440447</v>
      </c>
      <c r="AH653" s="57">
        <f>IFERROR(__xludf.DUMMYFUNCTION("""COMPUTED_VALUE"""),0.9711640784146718)</f>
        <v>0.9711640784</v>
      </c>
      <c r="AI653" s="57">
        <f>IFERROR(__xludf.DUMMYFUNCTION("""COMPUTED_VALUE"""),1.1701589938291501)</f>
        <v>1.170158994</v>
      </c>
      <c r="AJ653" s="57">
        <f>IFERROR(__xludf.DUMMYFUNCTION("""COMPUTED_VALUE"""),0.7068081432923023)</f>
        <v>0.7068081433</v>
      </c>
      <c r="AK653" s="57">
        <f>IFERROR(__xludf.DUMMYFUNCTION("""COMPUTED_VALUE"""),1.2569939037127218)</f>
        <v>1.256993904</v>
      </c>
      <c r="AL653" s="57">
        <f>IFERROR(__xludf.DUMMYFUNCTION("""COMPUTED_VALUE"""),0.9825895315568473)</f>
        <v>0.9825895316</v>
      </c>
      <c r="AM653" s="57">
        <f>IFERROR(__xludf.DUMMYFUNCTION("""COMPUTED_VALUE"""),1.0783252852391796)</f>
        <v>1.078325285</v>
      </c>
      <c r="AN653" s="57">
        <f>IFERROR(__xludf.DUMMYFUNCTION("""COMPUTED_VALUE"""),1.2051267723199814)</f>
        <v>1.205126772</v>
      </c>
      <c r="AO653" s="57">
        <f>IFERROR(__xludf.DUMMYFUNCTION("""COMPUTED_VALUE"""),1.0358361743210596)</f>
        <v>1.035836174</v>
      </c>
      <c r="AP653" s="35">
        <f>IFERROR(__xludf.DUMMYFUNCTION("""COMPUTED_VALUE"""),1.0951680155257408)</f>
        <v>1.095168016</v>
      </c>
      <c r="AQ653" s="57">
        <f>IFERROR(__xludf.DUMMYFUNCTION("""COMPUTED_VALUE"""),1.2369922246794387)</f>
        <v>1.236992225</v>
      </c>
      <c r="AR653" s="36" t="b">
        <f>IFERROR(__xludf.DUMMYFUNCTION("""COMPUTED_VALUE"""),TRUE)</f>
        <v>1</v>
      </c>
      <c r="AS653" s="57"/>
      <c r="AT653" s="37"/>
      <c r="AU653" s="30"/>
      <c r="AV653" s="30"/>
      <c r="AW653" s="30"/>
      <c r="AX653" s="30"/>
      <c r="AY653" s="30"/>
      <c r="AZ653" s="30"/>
    </row>
    <row r="654">
      <c r="A654" s="30" t="str">
        <f>IFERROR(__xludf.DUMMYFUNCTION("""COMPUTED_VALUE"""),"Rival")</f>
        <v>Rival</v>
      </c>
      <c r="B654" s="30" t="str">
        <f>IFERROR(__xludf.DUMMYFUNCTION("""COMPUTED_VALUE"""),"RSC006209")</f>
        <v>RSC006209</v>
      </c>
      <c r="C654" s="30" t="str">
        <f>IFERROR(__xludf.DUMMYFUNCTION("""COMPUTED_VALUE"""),"Celiscy")</f>
        <v>Celiscy</v>
      </c>
      <c r="D654" s="31" t="str">
        <f>IFERROR(__xludf.DUMMYFUNCTION("""COMPUTED_VALUE"""),"Jetstream")</f>
        <v>Jetstream</v>
      </c>
      <c r="E654" s="31">
        <f>IFERROR(__xludf.DUMMYFUNCTION("""COMPUTED_VALUE"""),47.530991138895445)</f>
        <v>47.53099114</v>
      </c>
      <c r="F654" s="31">
        <f>IFERROR(__xludf.DUMMYFUNCTION("""COMPUTED_VALUE"""),-2.1707782812685905)</f>
        <v>-2.170778281</v>
      </c>
      <c r="G654" s="31">
        <f>IFERROR(__xludf.DUMMYFUNCTION("""COMPUTED_VALUE"""),42.10336016490609)</f>
        <v>42.10336016</v>
      </c>
      <c r="H654" s="31">
        <f>IFERROR(__xludf.DUMMYFUNCTION("""COMPUTED_VALUE"""),-2.659204837233914)</f>
        <v>-2.659204837</v>
      </c>
      <c r="I654" s="54">
        <f>IFERROR(__xludf.DUMMYFUNCTION("""COMPUTED_VALUE"""),47.0)</f>
        <v>47</v>
      </c>
      <c r="J654" s="55">
        <f>IFERROR(__xludf.DUMMYFUNCTION("""COMPUTED_VALUE"""),21.0)</f>
        <v>21</v>
      </c>
      <c r="K654" s="54">
        <f>IFERROR(__xludf.DUMMYFUNCTION("""COMPUTED_VALUE"""),26.0)</f>
        <v>26</v>
      </c>
      <c r="L654" s="56">
        <f>IFERROR(__xludf.DUMMYFUNCTION("""COMPUTED_VALUE"""),0.44680851063829785)</f>
        <v>0.4468085106</v>
      </c>
      <c r="M654" s="56">
        <f>IFERROR(__xludf.DUMMYFUNCTION("""COMPUTED_VALUE"""),0.24324324324324326)</f>
        <v>0.2432432432</v>
      </c>
      <c r="N654" s="31">
        <f>IFERROR(__xludf.DUMMYFUNCTION("""COMPUTED_VALUE"""),322.8085106382979)</f>
        <v>322.8085106</v>
      </c>
      <c r="O654" s="57">
        <f>IFERROR(__xludf.DUMMYFUNCTION("""COMPUTED_VALUE"""),0.574468085106383)</f>
        <v>0.5744680851</v>
      </c>
      <c r="P654" s="57">
        <f>IFERROR(__xludf.DUMMYFUNCTION("""COMPUTED_VALUE"""),0.723404255319149)</f>
        <v>0.7234042553</v>
      </c>
      <c r="Q654" s="57">
        <f>IFERROR(__xludf.DUMMYFUNCTION("""COMPUTED_VALUE"""),1.3191489361702127)</f>
        <v>1.319148936</v>
      </c>
      <c r="R654" s="57">
        <f>IFERROR(__xludf.DUMMYFUNCTION("""COMPUTED_VALUE"""),2.3617021276595747)</f>
        <v>2.361702128</v>
      </c>
      <c r="S654" s="31">
        <f>IFERROR(__xludf.DUMMYFUNCTION("""COMPUTED_VALUE"""),341.68794326241135)</f>
        <v>341.6879433</v>
      </c>
      <c r="T654" s="57">
        <f>IFERROR(__xludf.DUMMYFUNCTION("""COMPUTED_VALUE"""),0.6879432624113474)</f>
        <v>0.6879432624</v>
      </c>
      <c r="U654" s="57">
        <f>IFERROR(__xludf.DUMMYFUNCTION("""COMPUTED_VALUE"""),0.5106382978723405)</f>
        <v>0.5106382979</v>
      </c>
      <c r="V654" s="57">
        <f>IFERROR(__xludf.DUMMYFUNCTION("""COMPUTED_VALUE"""),1.3475177304964538)</f>
        <v>1.34751773</v>
      </c>
      <c r="W654" s="57">
        <f>IFERROR(__xludf.DUMMYFUNCTION("""COMPUTED_VALUE"""),2.546099290780142)</f>
        <v>2.546099291</v>
      </c>
      <c r="X654" s="31">
        <f>IFERROR(__xludf.DUMMYFUNCTION("""COMPUTED_VALUE"""),345.41823453222884)</f>
        <v>345.4182345</v>
      </c>
      <c r="Y654" s="57">
        <f>IFERROR(__xludf.DUMMYFUNCTION("""COMPUTED_VALUE"""),0.7559590754962932)</f>
        <v>0.7559590755</v>
      </c>
      <c r="Z654" s="57">
        <f>IFERROR(__xludf.DUMMYFUNCTION("""COMPUTED_VALUE"""),0.541466474949046)</f>
        <v>0.5414664749</v>
      </c>
      <c r="AA654" s="57">
        <f>IFERROR(__xludf.DUMMYFUNCTION("""COMPUTED_VALUE"""),1.3265937109684125)</f>
        <v>1.326593711</v>
      </c>
      <c r="AB654" s="57">
        <f>IFERROR(__xludf.DUMMYFUNCTION("""COMPUTED_VALUE"""),2.5253767920427572)</f>
        <v>2.525376792</v>
      </c>
      <c r="AC654" s="31">
        <f>IFERROR(__xludf.DUMMYFUNCTION("""COMPUTED_VALUE"""),352.6771649870999)</f>
        <v>352.677165</v>
      </c>
      <c r="AD654" s="57">
        <f>IFERROR(__xludf.DUMMYFUNCTION("""COMPUTED_VALUE"""),0.8204424208321635)</f>
        <v>0.8204424208</v>
      </c>
      <c r="AE654" s="57">
        <f>IFERROR(__xludf.DUMMYFUNCTION("""COMPUTED_VALUE"""),0.5877480342909257)</f>
        <v>0.5877480343</v>
      </c>
      <c r="AF654" s="57">
        <f>IFERROR(__xludf.DUMMYFUNCTION("""COMPUTED_VALUE"""),1.2889054967359734)</f>
        <v>1.288905497</v>
      </c>
      <c r="AG654" s="57">
        <f>IFERROR(__xludf.DUMMYFUNCTION("""COMPUTED_VALUE"""),2.6687191054234867)</f>
        <v>2.668719105</v>
      </c>
      <c r="AH654" s="57">
        <f>IFERROR(__xludf.DUMMYFUNCTION("""COMPUTED_VALUE"""),0.9153087942342552)</f>
        <v>0.9153087942</v>
      </c>
      <c r="AI654" s="57">
        <f>IFERROR(__xludf.DUMMYFUNCTION("""COMPUTED_VALUE"""),0.7001930550150101)</f>
        <v>0.700193055</v>
      </c>
      <c r="AJ654" s="57">
        <f>IFERROR(__xludf.DUMMYFUNCTION("""COMPUTED_VALUE"""),1.2308067626153483)</f>
        <v>1.230806763</v>
      </c>
      <c r="AK654" s="57">
        <f>IFERROR(__xludf.DUMMYFUNCTION("""COMPUTED_VALUE"""),1.0234644351434825)</f>
        <v>1.023464435</v>
      </c>
      <c r="AL654" s="57">
        <f>IFERROR(__xludf.DUMMYFUNCTION("""COMPUTED_VALUE"""),0.8849571777187121)</f>
        <v>0.8849571777</v>
      </c>
      <c r="AM654" s="57">
        <f>IFERROR(__xludf.DUMMYFUNCTION("""COMPUTED_VALUE"""),0.9892006533040472)</f>
        <v>0.9892006533</v>
      </c>
      <c r="AN654" s="57">
        <f>IFERROR(__xludf.DUMMYFUNCTION("""COMPUTED_VALUE"""),0.91002712277739)</f>
        <v>0.9100271228</v>
      </c>
      <c r="AO654" s="57">
        <f>IFERROR(__xludf.DUMMYFUNCTION("""COMPUTED_VALUE"""),0.9430654001623895)</f>
        <v>0.9430654002</v>
      </c>
      <c r="AP654" s="35">
        <f>IFERROR(__xludf.DUMMYFUNCTION("""COMPUTED_VALUE"""),1.0157727413864843)</f>
        <v>1.015772741</v>
      </c>
      <c r="AQ654" s="57">
        <f>IFERROR(__xludf.DUMMYFUNCTION("""COMPUTED_VALUE"""),1.0082057057001077)</f>
        <v>1.008205706</v>
      </c>
      <c r="AR654" s="36" t="b">
        <f>IFERROR(__xludf.DUMMYFUNCTION("""COMPUTED_VALUE"""),TRUE)</f>
        <v>1</v>
      </c>
      <c r="AS654" s="57"/>
      <c r="AT654" s="37"/>
      <c r="AU654" s="30"/>
      <c r="AV654" s="30"/>
      <c r="AW654" s="30"/>
      <c r="AX654" s="30"/>
      <c r="AY654" s="30"/>
      <c r="AZ654" s="30"/>
    </row>
    <row r="655">
      <c r="A655" s="30" t="str">
        <f>IFERROR(__xludf.DUMMYFUNCTION("""COMPUTED_VALUE"""),"Rival")</f>
        <v>Rival</v>
      </c>
      <c r="B655" s="30" t="str">
        <f>IFERROR(__xludf.DUMMYFUNCTION("""COMPUTED_VALUE"""),"RSC006069")</f>
        <v>RSC006069</v>
      </c>
      <c r="C655" s="30" t="str">
        <f>IFERROR(__xludf.DUMMYFUNCTION("""COMPUTED_VALUE"""),"PoupSoup")</f>
        <v>PoupSoup</v>
      </c>
      <c r="D655" s="31" t="str">
        <f>IFERROR(__xludf.DUMMYFUNCTION("""COMPUTED_VALUE"""),"Blizzards")</f>
        <v>Blizzards</v>
      </c>
      <c r="E655" s="31">
        <f>IFERROR(__xludf.DUMMYFUNCTION("""COMPUTED_VALUE"""),47.519211273524306)</f>
        <v>47.51921127</v>
      </c>
      <c r="F655" s="31">
        <f>IFERROR(__xludf.DUMMYFUNCTION("""COMPUTED_VALUE"""),-2.1716601209108988)</f>
        <v>-2.171660121</v>
      </c>
      <c r="G655" s="31">
        <f>IFERROR(__xludf.DUMMYFUNCTION("""COMPUTED_VALUE"""),42.56552606909355)</f>
        <v>42.56552607</v>
      </c>
      <c r="H655" s="31">
        <f>IFERROR(__xludf.DUMMYFUNCTION("""COMPUTED_VALUE"""),-2.6103621739715654)</f>
        <v>-2.610362174</v>
      </c>
      <c r="I655" s="54">
        <f>IFERROR(__xludf.DUMMYFUNCTION("""COMPUTED_VALUE"""),42.0)</f>
        <v>42</v>
      </c>
      <c r="J655" s="55">
        <f>IFERROR(__xludf.DUMMYFUNCTION("""COMPUTED_VALUE"""),19.0)</f>
        <v>19</v>
      </c>
      <c r="K655" s="54">
        <f>IFERROR(__xludf.DUMMYFUNCTION("""COMPUTED_VALUE"""),23.0)</f>
        <v>23</v>
      </c>
      <c r="L655" s="56">
        <f>IFERROR(__xludf.DUMMYFUNCTION("""COMPUTED_VALUE"""),0.4523809523809524)</f>
        <v>0.4523809524</v>
      </c>
      <c r="M655" s="56">
        <f>IFERROR(__xludf.DUMMYFUNCTION("""COMPUTED_VALUE"""),0.25)</f>
        <v>0.25</v>
      </c>
      <c r="N655" s="31">
        <f>IFERROR(__xludf.DUMMYFUNCTION("""COMPUTED_VALUE"""),335.64285714285717)</f>
        <v>335.6428571</v>
      </c>
      <c r="O655" s="57">
        <f>IFERROR(__xludf.DUMMYFUNCTION("""COMPUTED_VALUE"""),0.6190476190476191)</f>
        <v>0.619047619</v>
      </c>
      <c r="P655" s="57">
        <f>IFERROR(__xludf.DUMMYFUNCTION("""COMPUTED_VALUE"""),0.5714285714285714)</f>
        <v>0.5714285714</v>
      </c>
      <c r="Q655" s="57">
        <f>IFERROR(__xludf.DUMMYFUNCTION("""COMPUTED_VALUE"""),1.2619047619047619)</f>
        <v>1.261904762</v>
      </c>
      <c r="R655" s="57">
        <f>IFERROR(__xludf.DUMMYFUNCTION("""COMPUTED_VALUE"""),2.4761904761904763)</f>
        <v>2.476190476</v>
      </c>
      <c r="S655" s="31">
        <f>IFERROR(__xludf.DUMMYFUNCTION("""COMPUTED_VALUE"""),362.1190476190477)</f>
        <v>362.1190476</v>
      </c>
      <c r="T655" s="57">
        <f>IFERROR(__xludf.DUMMYFUNCTION("""COMPUTED_VALUE"""),0.8333333333333334)</f>
        <v>0.8333333333</v>
      </c>
      <c r="U655" s="57">
        <f>IFERROR(__xludf.DUMMYFUNCTION("""COMPUTED_VALUE"""),0.5634920634920636)</f>
        <v>0.5634920635</v>
      </c>
      <c r="V655" s="57">
        <f>IFERROR(__xludf.DUMMYFUNCTION("""COMPUTED_VALUE"""),1.420634920634921)</f>
        <v>1.420634921</v>
      </c>
      <c r="W655" s="57">
        <f>IFERROR(__xludf.DUMMYFUNCTION("""COMPUTED_VALUE"""),2.626984126984127)</f>
        <v>2.626984127</v>
      </c>
      <c r="X655" s="31">
        <f>IFERROR(__xludf.DUMMYFUNCTION("""COMPUTED_VALUE"""),350.5004700638797)</f>
        <v>350.5004701</v>
      </c>
      <c r="Y655" s="57">
        <f>IFERROR(__xludf.DUMMYFUNCTION("""COMPUTED_VALUE"""),0.7971694686628537)</f>
        <v>0.7971694687</v>
      </c>
      <c r="Z655" s="57">
        <f>IFERROR(__xludf.DUMMYFUNCTION("""COMPUTED_VALUE"""),0.5793622744402283)</f>
        <v>0.5793622744</v>
      </c>
      <c r="AA655" s="57">
        <f>IFERROR(__xludf.DUMMYFUNCTION("""COMPUTED_VALUE"""),1.337895391598752)</f>
        <v>1.337895392</v>
      </c>
      <c r="AB655" s="57">
        <f>IFERROR(__xludf.DUMMYFUNCTION("""COMPUTED_VALUE"""),2.584621573590379)</f>
        <v>2.584621574</v>
      </c>
      <c r="AC655" s="31">
        <f>IFERROR(__xludf.DUMMYFUNCTION("""COMPUTED_VALUE"""),338.2624211783039)</f>
        <v>338.2624212</v>
      </c>
      <c r="AD655" s="57">
        <f>IFERROR(__xludf.DUMMYFUNCTION("""COMPUTED_VALUE"""),0.731618023863373)</f>
        <v>0.7316180239</v>
      </c>
      <c r="AE655" s="57">
        <f>IFERROR(__xludf.DUMMYFUNCTION("""COMPUTED_VALUE"""),0.5244224012879206)</f>
        <v>0.5244224013</v>
      </c>
      <c r="AF655" s="57">
        <f>IFERROR(__xludf.DUMMYFUNCTION("""COMPUTED_VALUE"""),1.3225629979499647)</f>
        <v>1.322562998</v>
      </c>
      <c r="AG655" s="57">
        <f>IFERROR(__xludf.DUMMYFUNCTION("""COMPUTED_VALUE"""),2.536364034160346)</f>
        <v>2.536364034</v>
      </c>
      <c r="AH655" s="57">
        <f>IFERROR(__xludf.DUMMYFUNCTION("""COMPUTED_VALUE"""),0.9922558230786567)</f>
        <v>0.9922558231</v>
      </c>
      <c r="AI655" s="57">
        <f>IFERROR(__xludf.DUMMYFUNCTION("""COMPUTED_VALUE"""),0.846135003315916)</f>
        <v>0.8461350033</v>
      </c>
      <c r="AJ655" s="57">
        <f>IFERROR(__xludf.DUMMYFUNCTION("""COMPUTED_VALUE"""),1.089634176620238)</f>
        <v>1.089634177</v>
      </c>
      <c r="AK655" s="57">
        <f>IFERROR(__xludf.DUMMYFUNCTION("""COMPUTED_VALUE"""),0.9541358437070855)</f>
        <v>0.9541358437</v>
      </c>
      <c r="AL655" s="57">
        <f>IFERROR(__xludf.DUMMYFUNCTION("""COMPUTED_VALUE"""),0.9762756618689439)</f>
        <v>0.9762756619</v>
      </c>
      <c r="AM655" s="57">
        <f>IFERROR(__xludf.DUMMYFUNCTION("""COMPUTED_VALUE"""),1.0331485363002524)</f>
        <v>1.033148536</v>
      </c>
      <c r="AN655" s="57">
        <f>IFERROR(__xludf.DUMMYFUNCTION("""COMPUTED_VALUE"""),1.0453653408617616)</f>
        <v>1.045365341</v>
      </c>
      <c r="AO655" s="57">
        <f>IFERROR(__xludf.DUMMYFUNCTION("""COMPUTED_VALUE"""),0.9726074484854952)</f>
        <v>0.9726074485</v>
      </c>
      <c r="AP655" s="35">
        <f>IFERROR(__xludf.DUMMYFUNCTION("""COMPUTED_VALUE"""),1.0618430480856185)</f>
        <v>1.061843048</v>
      </c>
      <c r="AQ655" s="57">
        <f>IFERROR(__xludf.DUMMYFUNCTION("""COMPUTED_VALUE"""),1.01639023438735)</f>
        <v>1.016390234</v>
      </c>
      <c r="AR655" s="36" t="b">
        <f>IFERROR(__xludf.DUMMYFUNCTION("""COMPUTED_VALUE"""),TRUE)</f>
        <v>1</v>
      </c>
      <c r="AS655" s="57"/>
      <c r="AT655" s="37"/>
      <c r="AU655" s="30"/>
      <c r="AV655" s="30"/>
      <c r="AW655" s="30"/>
      <c r="AX655" s="30"/>
      <c r="AY655" s="30"/>
      <c r="AZ655" s="30"/>
    </row>
    <row r="656">
      <c r="A656" s="30" t="str">
        <f>IFERROR(__xludf.DUMMYFUNCTION("""COMPUTED_VALUE"""),"Rival")</f>
        <v>Rival</v>
      </c>
      <c r="B656" s="30" t="str">
        <f>IFERROR(__xludf.DUMMYFUNCTION("""COMPUTED_VALUE"""),"RSC005703")</f>
        <v>RSC005703</v>
      </c>
      <c r="C656" s="30" t="str">
        <f>IFERROR(__xludf.DUMMYFUNCTION("""COMPUTED_VALUE"""),"Shoddy-")</f>
        <v>Shoddy-</v>
      </c>
      <c r="D656" s="31" t="str">
        <f>IFERROR(__xludf.DUMMYFUNCTION("""COMPUTED_VALUE"""),"Jetstream")</f>
        <v>Jetstream</v>
      </c>
      <c r="E656" s="31">
        <f>IFERROR(__xludf.DUMMYFUNCTION("""COMPUTED_VALUE"""),47.42483080010838)</f>
        <v>47.4248308</v>
      </c>
      <c r="F656" s="31">
        <f>IFERROR(__xludf.DUMMYFUNCTION("""COMPUTED_VALUE"""),-2.17874986950073)</f>
        <v>-2.17874987</v>
      </c>
      <c r="G656" s="31">
        <f>IFERROR(__xludf.DUMMYFUNCTION("""COMPUTED_VALUE"""),47.86301682289243)</f>
        <v>47.86301682</v>
      </c>
      <c r="H656" s="31">
        <f>IFERROR(__xludf.DUMMYFUNCTION("""COMPUTED_VALUE"""),-2.146198321621425)</f>
        <v>-2.146198322</v>
      </c>
      <c r="I656" s="54">
        <f>IFERROR(__xludf.DUMMYFUNCTION("""COMPUTED_VALUE"""),33.0)</f>
        <v>33</v>
      </c>
      <c r="J656" s="55">
        <f>IFERROR(__xludf.DUMMYFUNCTION("""COMPUTED_VALUE"""),14.0)</f>
        <v>14</v>
      </c>
      <c r="K656" s="54">
        <f>IFERROR(__xludf.DUMMYFUNCTION("""COMPUTED_VALUE"""),19.0)</f>
        <v>19</v>
      </c>
      <c r="L656" s="56">
        <f>IFERROR(__xludf.DUMMYFUNCTION("""COMPUTED_VALUE"""),0.42424242424242425)</f>
        <v>0.4242424242</v>
      </c>
      <c r="M656" s="56">
        <f>IFERROR(__xludf.DUMMYFUNCTION("""COMPUTED_VALUE"""),0.2625)</f>
        <v>0.2625</v>
      </c>
      <c r="N656" s="31">
        <f>IFERROR(__xludf.DUMMYFUNCTION("""COMPUTED_VALUE"""),329.3333333333333)</f>
        <v>329.3333333</v>
      </c>
      <c r="O656" s="57">
        <f>IFERROR(__xludf.DUMMYFUNCTION("""COMPUTED_VALUE"""),0.6363636363636364)</f>
        <v>0.6363636364</v>
      </c>
      <c r="P656" s="57">
        <f>IFERROR(__xludf.DUMMYFUNCTION("""COMPUTED_VALUE"""),0.5757575757575758)</f>
        <v>0.5757575758</v>
      </c>
      <c r="Q656" s="57">
        <f>IFERROR(__xludf.DUMMYFUNCTION("""COMPUTED_VALUE"""),1.2727272727272727)</f>
        <v>1.272727273</v>
      </c>
      <c r="R656" s="57">
        <f>IFERROR(__xludf.DUMMYFUNCTION("""COMPUTED_VALUE"""),2.4242424242424243)</f>
        <v>2.424242424</v>
      </c>
      <c r="S656" s="31">
        <f>IFERROR(__xludf.DUMMYFUNCTION("""COMPUTED_VALUE"""),338.4040404040404)</f>
        <v>338.4040404</v>
      </c>
      <c r="T656" s="57">
        <f>IFERROR(__xludf.DUMMYFUNCTION("""COMPUTED_VALUE"""),0.6666666666666665)</f>
        <v>0.6666666667</v>
      </c>
      <c r="U656" s="57">
        <f>IFERROR(__xludf.DUMMYFUNCTION("""COMPUTED_VALUE"""),0.5050505050505051)</f>
        <v>0.5050505051</v>
      </c>
      <c r="V656" s="57">
        <f>IFERROR(__xludf.DUMMYFUNCTION("""COMPUTED_VALUE"""),1.3535353535353536)</f>
        <v>1.353535354</v>
      </c>
      <c r="W656" s="57">
        <f>IFERROR(__xludf.DUMMYFUNCTION("""COMPUTED_VALUE"""),2.3939393939393936)</f>
        <v>2.393939394</v>
      </c>
      <c r="X656" s="31">
        <f>IFERROR(__xludf.DUMMYFUNCTION("""COMPUTED_VALUE"""),344.44851371540403)</f>
        <v>344.4485137</v>
      </c>
      <c r="Y656" s="57">
        <f>IFERROR(__xludf.DUMMYFUNCTION("""COMPUTED_VALUE"""),0.7456753392206164)</f>
        <v>0.7456753392</v>
      </c>
      <c r="Z656" s="57">
        <f>IFERROR(__xludf.DUMMYFUNCTION("""COMPUTED_VALUE"""),0.5368935776875009)</f>
        <v>0.5368935777</v>
      </c>
      <c r="AA656" s="57">
        <f>IFERROR(__xludf.DUMMYFUNCTION("""COMPUTED_VALUE"""),1.338576348158497)</f>
        <v>1.338576348</v>
      </c>
      <c r="AB656" s="57">
        <f>IFERROR(__xludf.DUMMYFUNCTION("""COMPUTED_VALUE"""),2.4890470413910015)</f>
        <v>2.489047041</v>
      </c>
      <c r="AC656" s="31">
        <f>IFERROR(__xludf.DUMMYFUNCTION("""COMPUTED_VALUE"""),346.27660871901503)</f>
        <v>346.2766087</v>
      </c>
      <c r="AD656" s="57">
        <f>IFERROR(__xludf.DUMMYFUNCTION("""COMPUTED_VALUE"""),0.7917311961516026)</f>
        <v>0.7917311962</v>
      </c>
      <c r="AE656" s="57">
        <f>IFERROR(__xludf.DUMMYFUNCTION("""COMPUTED_VALUE"""),0.5674686376333368)</f>
        <v>0.5674686376</v>
      </c>
      <c r="AF656" s="57">
        <f>IFERROR(__xludf.DUMMYFUNCTION("""COMPUTED_VALUE"""),1.245613632191356)</f>
        <v>1.245613632</v>
      </c>
      <c r="AG656" s="57">
        <f>IFERROR(__xludf.DUMMYFUNCTION("""COMPUTED_VALUE"""),2.6524457186144743)</f>
        <v>2.652445719</v>
      </c>
      <c r="AH656" s="57">
        <f>IFERROR(__xludf.DUMMYFUNCTION("""COMPUTED_VALUE"""),0.951070112854691)</f>
        <v>0.9510701129</v>
      </c>
      <c r="AI656" s="57">
        <f>IFERROR(__xludf.DUMMYFUNCTION("""COMPUTED_VALUE"""),0.8037622357901683)</f>
        <v>0.8037622358</v>
      </c>
      <c r="AJ656" s="57">
        <f>IFERROR(__xludf.DUMMYFUNCTION("""COMPUTED_VALUE"""),1.0146068656037248)</f>
        <v>1.014606866</v>
      </c>
      <c r="AK656" s="57">
        <f>IFERROR(__xludf.DUMMYFUNCTION("""COMPUTED_VALUE"""),1.0217672959216229)</f>
        <v>1.021767296</v>
      </c>
      <c r="AL656" s="57">
        <f>IFERROR(__xludf.DUMMYFUNCTION("""COMPUTED_VALUE"""),0.9139649521305742)</f>
        <v>0.9139649521</v>
      </c>
      <c r="AM656" s="57">
        <f>IFERROR(__xludf.DUMMYFUNCTION("""COMPUTED_VALUE"""),0.9824517364114459)</f>
        <v>0.9824517364</v>
      </c>
      <c r="AN656" s="57">
        <f>IFERROR(__xludf.DUMMYFUNCTION("""COMPUTED_VALUE"""),0.8940441390531567)</f>
        <v>0.8940441391</v>
      </c>
      <c r="AO656" s="57">
        <f>IFERROR(__xludf.DUMMYFUNCTION("""COMPUTED_VALUE"""),0.940690159166832)</f>
        <v>0.9406901592</v>
      </c>
      <c r="AP656" s="35">
        <f>IFERROR(__xludf.DUMMYFUNCTION("""COMPUTED_VALUE"""),1.0111753097964387)</f>
        <v>1.01117531</v>
      </c>
      <c r="AQ656" s="57">
        <f>IFERROR(__xludf.DUMMYFUNCTION("""COMPUTED_VALUE"""),0.9617895339581621)</f>
        <v>0.961789534</v>
      </c>
      <c r="AR656" s="36" t="b">
        <f>IFERROR(__xludf.DUMMYFUNCTION("""COMPUTED_VALUE"""),TRUE)</f>
        <v>1</v>
      </c>
      <c r="AS656" s="57"/>
      <c r="AT656" s="37"/>
      <c r="AU656" s="30"/>
      <c r="AV656" s="30"/>
      <c r="AW656" s="30"/>
      <c r="AX656" s="30"/>
      <c r="AY656" s="30"/>
      <c r="AZ656" s="30"/>
    </row>
    <row r="657">
      <c r="A657" s="30" t="str">
        <f>IFERROR(__xludf.DUMMYFUNCTION("""COMPUTED_VALUE"""),"Rival")</f>
        <v>Rival</v>
      </c>
      <c r="B657" s="30" t="str">
        <f>IFERROR(__xludf.DUMMYFUNCTION("""COMPUTED_VALUE"""),"RSC007549")</f>
        <v>RSC007549</v>
      </c>
      <c r="C657" s="30" t="str">
        <f>IFERROR(__xludf.DUMMYFUNCTION("""COMPUTED_VALUE"""),"Whiffy_RL")</f>
        <v>Whiffy_RL</v>
      </c>
      <c r="D657" s="31" t="str">
        <f>IFERROR(__xludf.DUMMYFUNCTION("""COMPUTED_VALUE"""),"Apple Associates")</f>
        <v>Apple Associates</v>
      </c>
      <c r="E657" s="31">
        <f>IFERROR(__xludf.DUMMYFUNCTION("""COMPUTED_VALUE"""),47.28925157075636)</f>
        <v>47.28925157</v>
      </c>
      <c r="F657" s="31">
        <f>IFERROR(__xludf.DUMMYFUNCTION("""COMPUTED_VALUE"""),-2.18901090222419)</f>
        <v>-2.189010902</v>
      </c>
      <c r="G657" s="31">
        <f>IFERROR(__xludf.DUMMYFUNCTION("""COMPUTED_VALUE"""),32.872054787191544)</f>
        <v>32.87205479</v>
      </c>
      <c r="H657" s="31">
        <f>IFERROR(__xludf.DUMMYFUNCTION("""COMPUTED_VALUE"""),-4.0545779980147305)</f>
        <v>-4.054577998</v>
      </c>
      <c r="I657" s="54">
        <f>IFERROR(__xludf.DUMMYFUNCTION("""COMPUTED_VALUE"""),4.0)</f>
        <v>4</v>
      </c>
      <c r="J657" s="55">
        <f>IFERROR(__xludf.DUMMYFUNCTION("""COMPUTED_VALUE"""),2.0)</f>
        <v>2</v>
      </c>
      <c r="K657" s="54">
        <f>IFERROR(__xludf.DUMMYFUNCTION("""COMPUTED_VALUE"""),2.0)</f>
        <v>2</v>
      </c>
      <c r="L657" s="56">
        <f>IFERROR(__xludf.DUMMYFUNCTION("""COMPUTED_VALUE"""),0.5)</f>
        <v>0.5</v>
      </c>
      <c r="M657" s="56">
        <f>IFERROR(__xludf.DUMMYFUNCTION("""COMPUTED_VALUE"""),0.375)</f>
        <v>0.375</v>
      </c>
      <c r="N657" s="31">
        <f>IFERROR(__xludf.DUMMYFUNCTION("""COMPUTED_VALUE"""),275.0)</f>
        <v>275</v>
      </c>
      <c r="O657" s="57">
        <f>IFERROR(__xludf.DUMMYFUNCTION("""COMPUTED_VALUE"""),0.75)</f>
        <v>0.75</v>
      </c>
      <c r="P657" s="57">
        <f>IFERROR(__xludf.DUMMYFUNCTION("""COMPUTED_VALUE"""),0.75)</f>
        <v>0.75</v>
      </c>
      <c r="Q657" s="57">
        <f>IFERROR(__xludf.DUMMYFUNCTION("""COMPUTED_VALUE"""),0.75)</f>
        <v>0.75</v>
      </c>
      <c r="R657" s="57">
        <f>IFERROR(__xludf.DUMMYFUNCTION("""COMPUTED_VALUE"""),2.0)</f>
        <v>2</v>
      </c>
      <c r="S657" s="31">
        <f>IFERROR(__xludf.DUMMYFUNCTION("""COMPUTED_VALUE"""),306.9166666666667)</f>
        <v>306.9166667</v>
      </c>
      <c r="T657" s="57">
        <f>IFERROR(__xludf.DUMMYFUNCTION("""COMPUTED_VALUE"""),0.8333333333333333)</f>
        <v>0.8333333333</v>
      </c>
      <c r="U657" s="57">
        <f>IFERROR(__xludf.DUMMYFUNCTION("""COMPUTED_VALUE"""),0.41666666666666663)</f>
        <v>0.4166666667</v>
      </c>
      <c r="V657" s="57">
        <f>IFERROR(__xludf.DUMMYFUNCTION("""COMPUTED_VALUE"""),0.9166666666666665)</f>
        <v>0.9166666667</v>
      </c>
      <c r="W657" s="57">
        <f>IFERROR(__xludf.DUMMYFUNCTION("""COMPUTED_VALUE"""),2.8333333333333335)</f>
        <v>2.833333333</v>
      </c>
      <c r="X657" s="31">
        <f>IFERROR(__xludf.DUMMYFUNCTION("""COMPUTED_VALUE"""),353.0242003367003)</f>
        <v>353.0242003</v>
      </c>
      <c r="Y657" s="57">
        <f>IFERROR(__xludf.DUMMYFUNCTION("""COMPUTED_VALUE"""),0.7236952861952862)</f>
        <v>0.7236952862</v>
      </c>
      <c r="Z657" s="57">
        <f>IFERROR(__xludf.DUMMYFUNCTION("""COMPUTED_VALUE"""),0.5094696969696969)</f>
        <v>0.509469697</v>
      </c>
      <c r="AA657" s="57">
        <f>IFERROR(__xludf.DUMMYFUNCTION("""COMPUTED_VALUE"""),1.4968434343434343)</f>
        <v>1.496843434</v>
      </c>
      <c r="AB657" s="57">
        <f>IFERROR(__xludf.DUMMYFUNCTION("""COMPUTED_VALUE"""),2.6801346801346804)</f>
        <v>2.68013468</v>
      </c>
      <c r="AC657" s="31">
        <f>IFERROR(__xludf.DUMMYFUNCTION("""COMPUTED_VALUE"""),353.40116442199786)</f>
        <v>353.4011644</v>
      </c>
      <c r="AD657" s="57">
        <f>IFERROR(__xludf.DUMMYFUNCTION("""COMPUTED_VALUE"""),0.8108866442199774)</f>
        <v>0.8108866442</v>
      </c>
      <c r="AE657" s="57">
        <f>IFERROR(__xludf.DUMMYFUNCTION("""COMPUTED_VALUE"""),0.609006734006734)</f>
        <v>0.609006734</v>
      </c>
      <c r="AF657" s="57">
        <f>IFERROR(__xludf.DUMMYFUNCTION("""COMPUTED_VALUE"""),1.3526936026936027)</f>
        <v>1.352693603</v>
      </c>
      <c r="AG657" s="57">
        <f>IFERROR(__xludf.DUMMYFUNCTION("""COMPUTED_VALUE"""),2.7267115600448935)</f>
        <v>2.72671156</v>
      </c>
      <c r="AH657" s="57">
        <f>IFERROR(__xludf.DUMMYFUNCTION("""COMPUTED_VALUE"""),0.7781525011378324)</f>
        <v>0.7781525011</v>
      </c>
      <c r="AI657" s="57">
        <f>IFERROR(__xludf.DUMMYFUNCTION("""COMPUTED_VALUE"""),0.9249134948096888)</f>
        <v>0.9249134948</v>
      </c>
      <c r="AJ657" s="57">
        <f>IFERROR(__xludf.DUMMYFUNCTION("""COMPUTED_VALUE"""),1.2315134761575675)</f>
        <v>1.231513476</v>
      </c>
      <c r="AK657" s="57">
        <f>IFERROR(__xludf.DUMMYFUNCTION("""COMPUTED_VALUE"""),0.5544492843808339)</f>
        <v>0.5544492844</v>
      </c>
      <c r="AL657" s="57">
        <f>IFERROR(__xludf.DUMMYFUNCTION("""COMPUTED_VALUE"""),0.7334842560197571)</f>
        <v>0.733484256</v>
      </c>
      <c r="AM657" s="57">
        <f>IFERROR(__xludf.DUMMYFUNCTION("""COMPUTED_VALUE"""),0.8693927112473929)</f>
        <v>0.8693927112</v>
      </c>
      <c r="AN657" s="57">
        <f>IFERROR(__xludf.DUMMYFUNCTION("""COMPUTED_VALUE"""),1.1514975283512647)</f>
        <v>1.151497528</v>
      </c>
      <c r="AO657" s="57">
        <f>IFERROR(__xludf.DUMMYFUNCTION("""COMPUTED_VALUE"""),0.8178438661710038)</f>
        <v>0.8178438662</v>
      </c>
      <c r="AP657" s="35">
        <f>IFERROR(__xludf.DUMMYFUNCTION("""COMPUTED_VALUE"""),0.6123998312948122)</f>
        <v>0.6123998313</v>
      </c>
      <c r="AQ657" s="57">
        <f>IFERROR(__xludf.DUMMYFUNCTION("""COMPUTED_VALUE"""),1.0571608040201004)</f>
        <v>1.057160804</v>
      </c>
      <c r="AR657" s="36" t="b">
        <f>IFERROR(__xludf.DUMMYFUNCTION("""COMPUTED_VALUE"""),TRUE)</f>
        <v>1</v>
      </c>
      <c r="AS657" s="57"/>
      <c r="AT657" s="37"/>
      <c r="AU657" s="30"/>
      <c r="AV657" s="30"/>
      <c r="AW657" s="30"/>
      <c r="AX657" s="30"/>
      <c r="AY657" s="30"/>
      <c r="AZ657" s="30"/>
    </row>
    <row r="658">
      <c r="A658" s="30" t="str">
        <f>IFERROR(__xludf.DUMMYFUNCTION("""COMPUTED_VALUE"""),"Rival")</f>
        <v>Rival</v>
      </c>
      <c r="B658" s="30" t="str">
        <f>IFERROR(__xludf.DUMMYFUNCTION("""COMPUTED_VALUE"""),"RSC007999")</f>
        <v>RSC007999</v>
      </c>
      <c r="C658" s="30" t="str">
        <f>IFERROR(__xludf.DUMMYFUNCTION("""COMPUTED_VALUE"""),"MerzR")</f>
        <v>MerzR</v>
      </c>
      <c r="D658" s="31"/>
      <c r="E658" s="31">
        <f>IFERROR(__xludf.DUMMYFUNCTION("""COMPUTED_VALUE"""),46.11350430695374)</f>
        <v>46.11350431</v>
      </c>
      <c r="F658" s="31">
        <f>IFERROR(__xludf.DUMMYFUNCTION("""COMPUTED_VALUE"""),-2.2819098290802846)</f>
        <v>-2.281909829</v>
      </c>
      <c r="G658" s="31">
        <f>IFERROR(__xludf.DUMMYFUNCTION("""COMPUTED_VALUE"""),58.21544254144812)</f>
        <v>58.21544254</v>
      </c>
      <c r="H658" s="31">
        <f>IFERROR(__xludf.DUMMYFUNCTION("""COMPUTED_VALUE"""),2.693803444394211)</f>
        <v>2.693803444</v>
      </c>
      <c r="I658" s="54">
        <f>IFERROR(__xludf.DUMMYFUNCTION("""COMPUTED_VALUE"""),21.0)</f>
        <v>21</v>
      </c>
      <c r="J658" s="55">
        <f>IFERROR(__xludf.DUMMYFUNCTION("""COMPUTED_VALUE"""),5.0)</f>
        <v>5</v>
      </c>
      <c r="K658" s="54">
        <f>IFERROR(__xludf.DUMMYFUNCTION("""COMPUTED_VALUE"""),16.0)</f>
        <v>16</v>
      </c>
      <c r="L658" s="56">
        <f>IFERROR(__xludf.DUMMYFUNCTION("""COMPUTED_VALUE"""),0.23809523809523808)</f>
        <v>0.2380952381</v>
      </c>
      <c r="M658" s="56">
        <f>IFERROR(__xludf.DUMMYFUNCTION("""COMPUTED_VALUE"""),0.3877551020408163)</f>
        <v>0.387755102</v>
      </c>
      <c r="N658" s="31">
        <f>IFERROR(__xludf.DUMMYFUNCTION("""COMPUTED_VALUE"""),383.5238095238095)</f>
        <v>383.5238095</v>
      </c>
      <c r="O658" s="57">
        <f>IFERROR(__xludf.DUMMYFUNCTION("""COMPUTED_VALUE"""),0.9047619047619048)</f>
        <v>0.9047619048</v>
      </c>
      <c r="P658" s="57">
        <f>IFERROR(__xludf.DUMMYFUNCTION("""COMPUTED_VALUE"""),0.3333333333333333)</f>
        <v>0.3333333333</v>
      </c>
      <c r="Q658" s="57">
        <f>IFERROR(__xludf.DUMMYFUNCTION("""COMPUTED_VALUE"""),1.8571428571428572)</f>
        <v>1.857142857</v>
      </c>
      <c r="R658" s="57">
        <f>IFERROR(__xludf.DUMMYFUNCTION("""COMPUTED_VALUE"""),2.3333333333333335)</f>
        <v>2.333333333</v>
      </c>
      <c r="S658" s="31">
        <f>IFERROR(__xludf.DUMMYFUNCTION("""COMPUTED_VALUE"""),360.69841269841277)</f>
        <v>360.6984127</v>
      </c>
      <c r="T658" s="57">
        <f>IFERROR(__xludf.DUMMYFUNCTION("""COMPUTED_VALUE"""),0.8888888888888887)</f>
        <v>0.8888888889</v>
      </c>
      <c r="U658" s="57">
        <f>IFERROR(__xludf.DUMMYFUNCTION("""COMPUTED_VALUE"""),0.7619047619047619)</f>
        <v>0.7619047619</v>
      </c>
      <c r="V658" s="57">
        <f>IFERROR(__xludf.DUMMYFUNCTION("""COMPUTED_VALUE"""),1.0158730158730163)</f>
        <v>1.015873016</v>
      </c>
      <c r="W658" s="57">
        <f>IFERROR(__xludf.DUMMYFUNCTION("""COMPUTED_VALUE"""),2.73015873015873)</f>
        <v>2.73015873</v>
      </c>
      <c r="X658" s="31">
        <f>IFERROR(__xludf.DUMMYFUNCTION("""COMPUTED_VALUE"""),340.15074882271)</f>
        <v>340.1507488</v>
      </c>
      <c r="Y658" s="57">
        <f>IFERROR(__xludf.DUMMYFUNCTION("""COMPUTED_VALUE"""),0.7894407897069949)</f>
        <v>0.7894407897</v>
      </c>
      <c r="Z658" s="57">
        <f>IFERROR(__xludf.DUMMYFUNCTION("""COMPUTED_VALUE"""),0.5342995337832156)</f>
        <v>0.5342995338</v>
      </c>
      <c r="AA658" s="57">
        <f>IFERROR(__xludf.DUMMYFUNCTION("""COMPUTED_VALUE"""),1.241610687201358)</f>
        <v>1.241610687</v>
      </c>
      <c r="AB658" s="57">
        <f>IFERROR(__xludf.DUMMYFUNCTION("""COMPUTED_VALUE"""),2.536283158881387)</f>
        <v>2.536283159</v>
      </c>
      <c r="AC658" s="31">
        <f>IFERROR(__xludf.DUMMYFUNCTION("""COMPUTED_VALUE"""),346.7696550145755)</f>
        <v>346.769655</v>
      </c>
      <c r="AD658" s="57">
        <f>IFERROR(__xludf.DUMMYFUNCTION("""COMPUTED_VALUE"""),0.7851717984765524)</f>
        <v>0.7851717985</v>
      </c>
      <c r="AE658" s="57">
        <f>IFERROR(__xludf.DUMMYFUNCTION("""COMPUTED_VALUE"""),0.572657764910982)</f>
        <v>0.5726577649</v>
      </c>
      <c r="AF658" s="57">
        <f>IFERROR(__xludf.DUMMYFUNCTION("""COMPUTED_VALUE"""),1.2798710685989456)</f>
        <v>1.279871069</v>
      </c>
      <c r="AG658" s="57">
        <f>IFERROR(__xludf.DUMMYFUNCTION("""COMPUTED_VALUE"""),2.486800127501127)</f>
        <v>2.486800128</v>
      </c>
      <c r="AH658" s="57">
        <f>IFERROR(__xludf.DUMMYFUNCTION("""COMPUTED_VALUE"""),1.1059901118155484)</f>
        <v>1.105990112</v>
      </c>
      <c r="AI658" s="57">
        <f>IFERROR(__xludf.DUMMYFUNCTION("""COMPUTED_VALUE"""),1.1523107509941006)</f>
        <v>1.152310751</v>
      </c>
      <c r="AJ658" s="57">
        <f>IFERROR(__xludf.DUMMYFUNCTION("""COMPUTED_VALUE"""),0.5820812250492212)</f>
        <v>0.582081225</v>
      </c>
      <c r="AK658" s="57">
        <f>IFERROR(__xludf.DUMMYFUNCTION("""COMPUTED_VALUE"""),1.4510390169033525)</f>
        <v>1.451039017</v>
      </c>
      <c r="AL658" s="57">
        <f>IFERROR(__xludf.DUMMYFUNCTION("""COMPUTED_VALUE"""),0.9382874431802425)</f>
        <v>0.9382874432</v>
      </c>
      <c r="AM658" s="57">
        <f>IFERROR(__xludf.DUMMYFUNCTION("""COMPUTED_VALUE"""),1.0604075220966585)</f>
        <v>1.060407522</v>
      </c>
      <c r="AN658" s="57">
        <f>IFERROR(__xludf.DUMMYFUNCTION("""COMPUTED_VALUE"""),1.1259728411282175)</f>
        <v>1.125972841</v>
      </c>
      <c r="AO658" s="57">
        <f>IFERROR(__xludf.DUMMYFUNCTION("""COMPUTED_VALUE"""),1.4259880717281215)</f>
        <v>1.425988072</v>
      </c>
      <c r="AP658" s="35">
        <f>IFERROR(__xludf.DUMMYFUNCTION("""COMPUTED_VALUE"""),0.8181896518326821)</f>
        <v>0.8181896518</v>
      </c>
      <c r="AQ658" s="57">
        <f>IFERROR(__xludf.DUMMYFUNCTION("""COMPUTED_VALUE"""),1.0764408227048476)</f>
        <v>1.076440823</v>
      </c>
      <c r="AR658" s="36" t="b">
        <f>IFERROR(__xludf.DUMMYFUNCTION("""COMPUTED_VALUE"""),TRUE)</f>
        <v>1</v>
      </c>
      <c r="AS658" s="57"/>
      <c r="AT658" s="37"/>
      <c r="AU658" s="30"/>
      <c r="AV658" s="30"/>
      <c r="AW658" s="30"/>
      <c r="AX658" s="30"/>
      <c r="AY658" s="30"/>
      <c r="AZ658" s="30"/>
    </row>
    <row r="659">
      <c r="A659" s="30" t="str">
        <f>IFERROR(__xludf.DUMMYFUNCTION("""COMPUTED_VALUE"""),"Rival")</f>
        <v>Rival</v>
      </c>
      <c r="B659" s="30" t="str">
        <f>IFERROR(__xludf.DUMMYFUNCTION("""COMPUTED_VALUE"""),"RSC005832")</f>
        <v>RSC005832</v>
      </c>
      <c r="C659" s="30" t="str">
        <f>IFERROR(__xludf.DUMMYFUNCTION("""COMPUTED_VALUE"""),"TH4NA70S")</f>
        <v>TH4NA70S</v>
      </c>
      <c r="D659" s="31" t="str">
        <f>IFERROR(__xludf.DUMMYFUNCTION("""COMPUTED_VALUE"""),"Polar Ice")</f>
        <v>Polar Ice</v>
      </c>
      <c r="E659" s="31">
        <f>IFERROR(__xludf.DUMMYFUNCTION("""COMPUTED_VALUE"""),45.440119664085735)</f>
        <v>45.44011966</v>
      </c>
      <c r="F659" s="31">
        <f>IFERROR(__xludf.DUMMYFUNCTION("""COMPUTED_VALUE"""),-2.3384357715453805)</f>
        <v>-2.338435772</v>
      </c>
      <c r="G659" s="31">
        <f>IFERROR(__xludf.DUMMYFUNCTION("""COMPUTED_VALUE"""),45.08037751834206)</f>
        <v>45.08037752</v>
      </c>
      <c r="H659" s="31">
        <f>IFERROR(__xludf.DUMMYFUNCTION("""COMPUTED_VALUE"""),-2.3696798458111665)</f>
        <v>-2.369679846</v>
      </c>
      <c r="I659" s="54">
        <f>IFERROR(__xludf.DUMMYFUNCTION("""COMPUTED_VALUE"""),36.0)</f>
        <v>36</v>
      </c>
      <c r="J659" s="55">
        <f>IFERROR(__xludf.DUMMYFUNCTION("""COMPUTED_VALUE"""),18.0)</f>
        <v>18</v>
      </c>
      <c r="K659" s="54">
        <f>IFERROR(__xludf.DUMMYFUNCTION("""COMPUTED_VALUE"""),18.0)</f>
        <v>18</v>
      </c>
      <c r="L659" s="56">
        <f>IFERROR(__xludf.DUMMYFUNCTION("""COMPUTED_VALUE"""),0.5)</f>
        <v>0.5</v>
      </c>
      <c r="M659" s="56">
        <f>IFERROR(__xludf.DUMMYFUNCTION("""COMPUTED_VALUE"""),0.20408163265306123)</f>
        <v>0.2040816327</v>
      </c>
      <c r="N659" s="31">
        <f>IFERROR(__xludf.DUMMYFUNCTION("""COMPUTED_VALUE"""),362.47222222222223)</f>
        <v>362.4722222</v>
      </c>
      <c r="O659" s="57">
        <f>IFERROR(__xludf.DUMMYFUNCTION("""COMPUTED_VALUE"""),0.5555555555555556)</f>
        <v>0.5555555556</v>
      </c>
      <c r="P659" s="57">
        <f>IFERROR(__xludf.DUMMYFUNCTION("""COMPUTED_VALUE"""),0.5)</f>
        <v>0.5</v>
      </c>
      <c r="Q659" s="57">
        <f>IFERROR(__xludf.DUMMYFUNCTION("""COMPUTED_VALUE"""),1.75)</f>
        <v>1.75</v>
      </c>
      <c r="R659" s="57">
        <f>IFERROR(__xludf.DUMMYFUNCTION("""COMPUTED_VALUE"""),2.7222222222222223)</f>
        <v>2.722222222</v>
      </c>
      <c r="S659" s="31">
        <f>IFERROR(__xludf.DUMMYFUNCTION("""COMPUTED_VALUE"""),360.7407407407408)</f>
        <v>360.7407407</v>
      </c>
      <c r="T659" s="57">
        <f>IFERROR(__xludf.DUMMYFUNCTION("""COMPUTED_VALUE"""),0.824074074074074)</f>
        <v>0.8240740741</v>
      </c>
      <c r="U659" s="57">
        <f>IFERROR(__xludf.DUMMYFUNCTION("""COMPUTED_VALUE"""),0.6388888888888888)</f>
        <v>0.6388888889</v>
      </c>
      <c r="V659" s="57">
        <f>IFERROR(__xludf.DUMMYFUNCTION("""COMPUTED_VALUE"""),1.361111111111111)</f>
        <v>1.361111111</v>
      </c>
      <c r="W659" s="57">
        <f>IFERROR(__xludf.DUMMYFUNCTION("""COMPUTED_VALUE"""),2.824074074074074)</f>
        <v>2.824074074</v>
      </c>
      <c r="X659" s="31">
        <f>IFERROR(__xludf.DUMMYFUNCTION("""COMPUTED_VALUE"""),353.8460163948992)</f>
        <v>353.8460164</v>
      </c>
      <c r="Y659" s="57">
        <f>IFERROR(__xludf.DUMMYFUNCTION("""COMPUTED_VALUE"""),0.8346955897619495)</f>
        <v>0.8346955898</v>
      </c>
      <c r="Z659" s="57">
        <f>IFERROR(__xludf.DUMMYFUNCTION("""COMPUTED_VALUE"""),0.605925096987103)</f>
        <v>0.605925097</v>
      </c>
      <c r="AA659" s="57">
        <f>IFERROR(__xludf.DUMMYFUNCTION("""COMPUTED_VALUE"""),1.2906939832139805)</f>
        <v>1.290693983</v>
      </c>
      <c r="AB659" s="57">
        <f>IFERROR(__xludf.DUMMYFUNCTION("""COMPUTED_VALUE"""),2.578543599565032)</f>
        <v>2.5785436</v>
      </c>
      <c r="AC659" s="31">
        <f>IFERROR(__xludf.DUMMYFUNCTION("""COMPUTED_VALUE"""),341.775479315096)</f>
        <v>341.7754793</v>
      </c>
      <c r="AD659" s="57">
        <f>IFERROR(__xludf.DUMMYFUNCTION("""COMPUTED_VALUE"""),0.7539627872882425)</f>
        <v>0.7539627873</v>
      </c>
      <c r="AE659" s="57">
        <f>IFERROR(__xludf.DUMMYFUNCTION("""COMPUTED_VALUE"""),0.528541379965698)</f>
        <v>0.52854138</v>
      </c>
      <c r="AF659" s="57">
        <f>IFERROR(__xludf.DUMMYFUNCTION("""COMPUTED_VALUE"""),1.290352913982347)</f>
        <v>1.290352914</v>
      </c>
      <c r="AG659" s="57">
        <f>IFERROR(__xludf.DUMMYFUNCTION("""COMPUTED_VALUE"""),2.511786192145615)</f>
        <v>2.511786192</v>
      </c>
      <c r="AH659" s="57">
        <f>IFERROR(__xludf.DUMMYFUNCTION("""COMPUTED_VALUE"""),1.0605565470893397)</f>
        <v>1.060556547</v>
      </c>
      <c r="AI659" s="57">
        <f>IFERROR(__xludf.DUMMYFUNCTION("""COMPUTED_VALUE"""),0.7368474478080107)</f>
        <v>0.7368474478</v>
      </c>
      <c r="AJ659" s="57">
        <f>IFERROR(__xludf.DUMMYFUNCTION("""COMPUTED_VALUE"""),0.9459997248133147)</f>
        <v>0.9459997248</v>
      </c>
      <c r="AK659" s="57">
        <f>IFERROR(__xludf.DUMMYFUNCTION("""COMPUTED_VALUE"""),1.3562181175683703)</f>
        <v>1.356218118</v>
      </c>
      <c r="AL659" s="57">
        <f>IFERROR(__xludf.DUMMYFUNCTION("""COMPUTED_VALUE"""),1.083779435819276)</f>
        <v>1.083779436</v>
      </c>
      <c r="AM659" s="57">
        <f>IFERROR(__xludf.DUMMYFUNCTION("""COMPUTED_VALUE"""),1.0194850981115666)</f>
        <v>1.019485098</v>
      </c>
      <c r="AN659" s="57">
        <f>IFERROR(__xludf.DUMMYFUNCTION("""COMPUTED_VALUE"""),0.9872749828582361)</f>
        <v>0.9872749829</v>
      </c>
      <c r="AO659" s="57">
        <f>IFERROR(__xludf.DUMMYFUNCTION("""COMPUTED_VALUE"""),1.054402420473578)</f>
        <v>1.05440242</v>
      </c>
      <c r="AP659" s="35">
        <f>IFERROR(__xludf.DUMMYFUNCTION("""COMPUTED_VALUE"""),1.0545575704333752)</f>
        <v>1.05455757</v>
      </c>
      <c r="AQ659" s="57">
        <f>IFERROR(__xludf.DUMMYFUNCTION("""COMPUTED_VALUE"""),1.095220602261858)</f>
        <v>1.095220602</v>
      </c>
      <c r="AR659" s="36" t="b">
        <f>IFERROR(__xludf.DUMMYFUNCTION("""COMPUTED_VALUE"""),TRUE)</f>
        <v>1</v>
      </c>
      <c r="AS659" s="57"/>
      <c r="AT659" s="37"/>
      <c r="AU659" s="30"/>
      <c r="AV659" s="30"/>
      <c r="AW659" s="30"/>
      <c r="AX659" s="30"/>
      <c r="AY659" s="30"/>
      <c r="AZ659" s="30"/>
    </row>
    <row r="660">
      <c r="A660" s="30" t="str">
        <f>IFERROR(__xludf.DUMMYFUNCTION("""COMPUTED_VALUE"""),"Rival")</f>
        <v>Rival</v>
      </c>
      <c r="B660" s="30" t="str">
        <f>IFERROR(__xludf.DUMMYFUNCTION("""COMPUTED_VALUE"""),"RSC000848")</f>
        <v>RSC000848</v>
      </c>
      <c r="C660" s="30" t="str">
        <f>IFERROR(__xludf.DUMMYFUNCTION("""COMPUTED_VALUE"""),"WittingHalo64")</f>
        <v>WittingHalo64</v>
      </c>
      <c r="D660" s="31" t="str">
        <f>IFERROR(__xludf.DUMMYFUNCTION("""COMPUTED_VALUE"""),"Ruthless Racket")</f>
        <v>Ruthless Racket</v>
      </c>
      <c r="E660" s="31">
        <f>IFERROR(__xludf.DUMMYFUNCTION("""COMPUTED_VALUE"""),45.10107231715173)</f>
        <v>45.10107232</v>
      </c>
      <c r="F660" s="31">
        <f>IFERROR(__xludf.DUMMYFUNCTION("""COMPUTED_VALUE"""),-2.3678622227726214)</f>
        <v>-2.367862223</v>
      </c>
      <c r="G660" s="31">
        <f>IFERROR(__xludf.DUMMYFUNCTION("""COMPUTED_VALUE"""),48.016226112163146)</f>
        <v>48.01622611</v>
      </c>
      <c r="H660" s="31">
        <f>IFERROR(__xludf.DUMMYFUNCTION("""COMPUTED_VALUE"""),-2.1350334407603357)</f>
        <v>-2.135033441</v>
      </c>
      <c r="I660" s="54">
        <f>IFERROR(__xludf.DUMMYFUNCTION("""COMPUTED_VALUE"""),41.0)</f>
        <v>41</v>
      </c>
      <c r="J660" s="55">
        <f>IFERROR(__xludf.DUMMYFUNCTION("""COMPUTED_VALUE"""),15.0)</f>
        <v>15</v>
      </c>
      <c r="K660" s="54">
        <f>IFERROR(__xludf.DUMMYFUNCTION("""COMPUTED_VALUE"""),26.0)</f>
        <v>26</v>
      </c>
      <c r="L660" s="56">
        <f>IFERROR(__xludf.DUMMYFUNCTION("""COMPUTED_VALUE"""),0.36585365853658536)</f>
        <v>0.3658536585</v>
      </c>
      <c r="M660" s="56">
        <f>IFERROR(__xludf.DUMMYFUNCTION("""COMPUTED_VALUE"""),0.24271844660194175)</f>
        <v>0.2427184466</v>
      </c>
      <c r="N660" s="31">
        <f>IFERROR(__xludf.DUMMYFUNCTION("""COMPUTED_VALUE"""),333.8292682926829)</f>
        <v>333.8292683</v>
      </c>
      <c r="O660" s="57">
        <f>IFERROR(__xludf.DUMMYFUNCTION("""COMPUTED_VALUE"""),0.6097560975609756)</f>
        <v>0.6097560976</v>
      </c>
      <c r="P660" s="57">
        <f>IFERROR(__xludf.DUMMYFUNCTION("""COMPUTED_VALUE"""),0.5365853658536586)</f>
        <v>0.5365853659</v>
      </c>
      <c r="Q660" s="57">
        <f>IFERROR(__xludf.DUMMYFUNCTION("""COMPUTED_VALUE"""),1.2926829268292683)</f>
        <v>1.292682927</v>
      </c>
      <c r="R660" s="57">
        <f>IFERROR(__xludf.DUMMYFUNCTION("""COMPUTED_VALUE"""),2.5121951219512195)</f>
        <v>2.512195122</v>
      </c>
      <c r="S660" s="31">
        <f>IFERROR(__xludf.DUMMYFUNCTION("""COMPUTED_VALUE"""),351.2764227642277)</f>
        <v>351.2764228</v>
      </c>
      <c r="T660" s="57">
        <f>IFERROR(__xludf.DUMMYFUNCTION("""COMPUTED_VALUE"""),0.8455284552845528)</f>
        <v>0.8455284553</v>
      </c>
      <c r="U660" s="57">
        <f>IFERROR(__xludf.DUMMYFUNCTION("""COMPUTED_VALUE"""),0.6260162601626016)</f>
        <v>0.6260162602</v>
      </c>
      <c r="V660" s="57">
        <f>IFERROR(__xludf.DUMMYFUNCTION("""COMPUTED_VALUE"""),1.1138211382113818)</f>
        <v>1.113821138</v>
      </c>
      <c r="W660" s="57">
        <f>IFERROR(__xludf.DUMMYFUNCTION("""COMPUTED_VALUE"""),2.7804878048780486)</f>
        <v>2.780487805</v>
      </c>
      <c r="X660" s="31">
        <f>IFERROR(__xludf.DUMMYFUNCTION("""COMPUTED_VALUE"""),349.571594739689)</f>
        <v>349.5715947</v>
      </c>
      <c r="Y660" s="57">
        <f>IFERROR(__xludf.DUMMYFUNCTION("""COMPUTED_VALUE"""),0.830285754327614)</f>
        <v>0.8302857543</v>
      </c>
      <c r="Z660" s="57">
        <f>IFERROR(__xludf.DUMMYFUNCTION("""COMPUTED_VALUE"""),0.5827722195207409)</f>
        <v>0.5827722195</v>
      </c>
      <c r="AA660" s="57">
        <f>IFERROR(__xludf.DUMMYFUNCTION("""COMPUTED_VALUE"""),1.229291560453991)</f>
        <v>1.22929156</v>
      </c>
      <c r="AB660" s="57">
        <f>IFERROR(__xludf.DUMMYFUNCTION("""COMPUTED_VALUE"""),2.6745825211559207)</f>
        <v>2.674582521</v>
      </c>
      <c r="AC660" s="31">
        <f>IFERROR(__xludf.DUMMYFUNCTION("""COMPUTED_VALUE"""),341.2535317134156)</f>
        <v>341.2535317</v>
      </c>
      <c r="AD660" s="57">
        <f>IFERROR(__xludf.DUMMYFUNCTION("""COMPUTED_VALUE"""),0.7472804419669508)</f>
        <v>0.747280442</v>
      </c>
      <c r="AE660" s="57">
        <f>IFERROR(__xludf.DUMMYFUNCTION("""COMPUTED_VALUE"""),0.5416025379392703)</f>
        <v>0.5416025379</v>
      </c>
      <c r="AF660" s="57">
        <f>IFERROR(__xludf.DUMMYFUNCTION("""COMPUTED_VALUE"""),1.3423522908580057)</f>
        <v>1.342352291</v>
      </c>
      <c r="AG660" s="57">
        <f>IFERROR(__xludf.DUMMYFUNCTION("""COMPUTED_VALUE"""),2.4315669581441792)</f>
        <v>2.431566958</v>
      </c>
      <c r="AH660" s="57">
        <f>IFERROR(__xludf.DUMMYFUNCTION("""COMPUTED_VALUE"""),0.978244141874647)</f>
        <v>0.9782441419</v>
      </c>
      <c r="AI660" s="57">
        <f>IFERROR(__xludf.DUMMYFUNCTION("""COMPUTED_VALUE"""),0.8159668891587861)</f>
        <v>0.8159668892</v>
      </c>
      <c r="AJ660" s="57">
        <f>IFERROR(__xludf.DUMMYFUNCTION("""COMPUTED_VALUE"""),0.9907364317296197)</f>
        <v>0.9907364317</v>
      </c>
      <c r="AK660" s="57">
        <f>IFERROR(__xludf.DUMMYFUNCTION("""COMPUTED_VALUE"""),0.9629982647871151)</f>
        <v>0.9629982648</v>
      </c>
      <c r="AL660" s="57">
        <f>IFERROR(__xludf.DUMMYFUNCTION("""COMPUTED_VALUE"""),1.0331589321597696)</f>
        <v>1.033158932</v>
      </c>
      <c r="AM660" s="57">
        <f>IFERROR(__xludf.DUMMYFUNCTION("""COMPUTED_VALUE"""),1.0048769066199679)</f>
        <v>1.004876907</v>
      </c>
      <c r="AN660" s="57">
        <f>IFERROR(__xludf.DUMMYFUNCTION("""COMPUTED_VALUE"""),1.0183583794825948)</f>
        <v>1.018358379</v>
      </c>
      <c r="AO660" s="57">
        <f>IFERROR(__xludf.DUMMYFUNCTION("""COMPUTED_VALUE"""),1.0742040186428647)</f>
        <v>1.074204019</v>
      </c>
      <c r="AP660" s="35">
        <f>IFERROR(__xludf.DUMMYFUNCTION("""COMPUTED_VALUE"""),0.9060675059056253)</f>
        <v>0.9060675059</v>
      </c>
      <c r="AQ660" s="57">
        <f>IFERROR(__xludf.DUMMYFUNCTION("""COMPUTED_VALUE"""),1.039596940039957)</f>
        <v>1.03959694</v>
      </c>
      <c r="AR660" s="36" t="b">
        <f>IFERROR(__xludf.DUMMYFUNCTION("""COMPUTED_VALUE"""),TRUE)</f>
        <v>1</v>
      </c>
      <c r="AS660" s="57"/>
      <c r="AT660" s="37"/>
      <c r="AU660" s="30"/>
      <c r="AV660" s="30"/>
      <c r="AW660" s="30"/>
      <c r="AX660" s="30"/>
      <c r="AY660" s="30"/>
      <c r="AZ660" s="30"/>
    </row>
    <row r="661">
      <c r="A661" s="30" t="str">
        <f>IFERROR(__xludf.DUMMYFUNCTION("""COMPUTED_VALUE"""),"Rival")</f>
        <v>Rival</v>
      </c>
      <c r="B661" s="30" t="str">
        <f>IFERROR(__xludf.DUMMYFUNCTION("""COMPUTED_VALUE"""),"RSC007601")</f>
        <v>RSC007601</v>
      </c>
      <c r="C661" s="30" t="str">
        <f>IFERROR(__xludf.DUMMYFUNCTION("""COMPUTED_VALUE"""),"Bricked Up Barry")</f>
        <v>Bricked Up Barry</v>
      </c>
      <c r="D661" s="31" t="str">
        <f>IFERROR(__xludf.DUMMYFUNCTION("""COMPUTED_VALUE"""),"Kitsune")</f>
        <v>Kitsune</v>
      </c>
      <c r="E661" s="31">
        <f>IFERROR(__xludf.DUMMYFUNCTION("""COMPUTED_VALUE"""),44.61488731439817)</f>
        <v>44.61488731</v>
      </c>
      <c r="F661" s="31">
        <f>IFERROR(__xludf.DUMMYFUNCTION("""COMPUTED_VALUE"""),-2.411230675091809)</f>
        <v>-2.411230675</v>
      </c>
      <c r="G661" s="31">
        <f>IFERROR(__xludf.DUMMYFUNCTION("""COMPUTED_VALUE"""),43.670204120288545)</f>
        <v>43.67020412</v>
      </c>
      <c r="H661" s="31">
        <f>IFERROR(__xludf.DUMMYFUNCTION("""COMPUTED_VALUE"""),-2.4996251325201904)</f>
        <v>-2.499625133</v>
      </c>
      <c r="I661" s="54">
        <f>IFERROR(__xludf.DUMMYFUNCTION("""COMPUTED_VALUE"""),44.0)</f>
        <v>44</v>
      </c>
      <c r="J661" s="55">
        <f>IFERROR(__xludf.DUMMYFUNCTION("""COMPUTED_VALUE"""),25.0)</f>
        <v>25</v>
      </c>
      <c r="K661" s="54">
        <f>IFERROR(__xludf.DUMMYFUNCTION("""COMPUTED_VALUE"""),19.0)</f>
        <v>19</v>
      </c>
      <c r="L661" s="56">
        <f>IFERROR(__xludf.DUMMYFUNCTION("""COMPUTED_VALUE"""),0.5681818181818182)</f>
        <v>0.5681818182</v>
      </c>
      <c r="M661" s="56">
        <f>IFERROR(__xludf.DUMMYFUNCTION("""COMPUTED_VALUE"""),0.31683168316831684)</f>
        <v>0.3168316832</v>
      </c>
      <c r="N661" s="31">
        <f>IFERROR(__xludf.DUMMYFUNCTION("""COMPUTED_VALUE"""),315.65909090909093)</f>
        <v>315.6590909</v>
      </c>
      <c r="O661" s="57">
        <f>IFERROR(__xludf.DUMMYFUNCTION("""COMPUTED_VALUE"""),0.7272727272727273)</f>
        <v>0.7272727273</v>
      </c>
      <c r="P661" s="57">
        <f>IFERROR(__xludf.DUMMYFUNCTION("""COMPUTED_VALUE"""),0.4318181818181818)</f>
        <v>0.4318181818</v>
      </c>
      <c r="Q661" s="57">
        <f>IFERROR(__xludf.DUMMYFUNCTION("""COMPUTED_VALUE"""),1.0909090909090908)</f>
        <v>1.090909091</v>
      </c>
      <c r="R661" s="57">
        <f>IFERROR(__xludf.DUMMYFUNCTION("""COMPUTED_VALUE"""),2.2954545454545454)</f>
        <v>2.295454545</v>
      </c>
      <c r="S661" s="31">
        <f>IFERROR(__xludf.DUMMYFUNCTION("""COMPUTED_VALUE"""),331.37878787878793)</f>
        <v>331.3787879</v>
      </c>
      <c r="T661" s="57">
        <f>IFERROR(__xludf.DUMMYFUNCTION("""COMPUTED_VALUE"""),0.7045454545454546)</f>
        <v>0.7045454545</v>
      </c>
      <c r="U661" s="57">
        <f>IFERROR(__xludf.DUMMYFUNCTION("""COMPUTED_VALUE"""),0.48484848484848475)</f>
        <v>0.4848484848</v>
      </c>
      <c r="V661" s="57">
        <f>IFERROR(__xludf.DUMMYFUNCTION("""COMPUTED_VALUE"""),1.2878787878787876)</f>
        <v>1.287878788</v>
      </c>
      <c r="W661" s="57">
        <f>IFERROR(__xludf.DUMMYFUNCTION("""COMPUTED_VALUE"""),2.446969696969697)</f>
        <v>2.446969697</v>
      </c>
      <c r="X661" s="31">
        <f>IFERROR(__xludf.DUMMYFUNCTION("""COMPUTED_VALUE"""),341.01938604633466)</f>
        <v>341.019386</v>
      </c>
      <c r="Y661" s="57">
        <f>IFERROR(__xludf.DUMMYFUNCTION("""COMPUTED_VALUE"""),0.7863981914551761)</f>
        <v>0.7863981915</v>
      </c>
      <c r="Z661" s="57">
        <f>IFERROR(__xludf.DUMMYFUNCTION("""COMPUTED_VALUE"""),0.545847422126998)</f>
        <v>0.5458474221</v>
      </c>
      <c r="AA661" s="57">
        <f>IFERROR(__xludf.DUMMYFUNCTION("""COMPUTED_VALUE"""),1.2877312924836952)</f>
        <v>1.287731292</v>
      </c>
      <c r="AB661" s="57">
        <f>IFERROR(__xludf.DUMMYFUNCTION("""COMPUTED_VALUE"""),2.492870459878176)</f>
        <v>2.49287046</v>
      </c>
      <c r="AC661" s="31">
        <f>IFERROR(__xludf.DUMMYFUNCTION("""COMPUTED_VALUE"""),345.4747828995571)</f>
        <v>345.4747829</v>
      </c>
      <c r="AD661" s="57">
        <f>IFERROR(__xludf.DUMMYFUNCTION("""COMPUTED_VALUE"""),0.7842727041994574)</f>
        <v>0.7842727042</v>
      </c>
      <c r="AE661" s="57">
        <f>IFERROR(__xludf.DUMMYFUNCTION("""COMPUTED_VALUE"""),0.5530426439715055)</f>
        <v>0.553042644</v>
      </c>
      <c r="AF661" s="57">
        <f>IFERROR(__xludf.DUMMYFUNCTION("""COMPUTED_VALUE"""),1.3280415523330467)</f>
        <v>1.328041552</v>
      </c>
      <c r="AG661" s="57">
        <f>IFERROR(__xludf.DUMMYFUNCTION("""COMPUTED_VALUE"""),2.530814684511084)</f>
        <v>2.530814685</v>
      </c>
      <c r="AH661" s="57">
        <f>IFERROR(__xludf.DUMMYFUNCTION("""COMPUTED_VALUE"""),0.9136964737622116)</f>
        <v>0.9136964738</v>
      </c>
      <c r="AI661" s="57">
        <f>IFERROR(__xludf.DUMMYFUNCTION("""COMPUTED_VALUE"""),0.9273212281627058)</f>
        <v>0.9273212282</v>
      </c>
      <c r="AJ661" s="57">
        <f>IFERROR(__xludf.DUMMYFUNCTION("""COMPUTED_VALUE"""),0.7808044940571174)</f>
        <v>0.7808044941</v>
      </c>
      <c r="AK661" s="57">
        <f>IFERROR(__xludf.DUMMYFUNCTION("""COMPUTED_VALUE"""),0.8214419865045851)</f>
        <v>0.8214419865</v>
      </c>
      <c r="AL661" s="57">
        <f>IFERROR(__xludf.DUMMYFUNCTION("""COMPUTED_VALUE"""),0.9070022232378477)</f>
        <v>0.9070022232</v>
      </c>
      <c r="AM661" s="57">
        <f>IFERROR(__xludf.DUMMYFUNCTION("""COMPUTED_VALUE"""),0.9717300582840271)</f>
        <v>0.9717300583</v>
      </c>
      <c r="AN661" s="57">
        <f>IFERROR(__xludf.DUMMYFUNCTION("""COMPUTED_VALUE"""),0.8959143881571515)</f>
        <v>0.8959143882</v>
      </c>
      <c r="AO661" s="57">
        <f>IFERROR(__xludf.DUMMYFUNCTION("""COMPUTED_VALUE"""),0.8882491062414121)</f>
        <v>0.8882491062</v>
      </c>
      <c r="AP661" s="35">
        <f>IFERROR(__xludf.DUMMYFUNCTION("""COMPUTED_VALUE"""),1.0001145389538588)</f>
        <v>1.000114539</v>
      </c>
      <c r="AQ661" s="57">
        <f>IFERROR(__xludf.DUMMYFUNCTION("""COMPUTED_VALUE"""),0.9815871848749324)</f>
        <v>0.9815871849</v>
      </c>
      <c r="AR661" s="36" t="b">
        <f>IFERROR(__xludf.DUMMYFUNCTION("""COMPUTED_VALUE"""),TRUE)</f>
        <v>1</v>
      </c>
      <c r="AS661" s="57"/>
      <c r="AT661" s="37"/>
      <c r="AU661" s="30"/>
      <c r="AV661" s="30"/>
      <c r="AW661" s="30"/>
      <c r="AX661" s="30"/>
      <c r="AY661" s="30"/>
      <c r="AZ661" s="30"/>
    </row>
    <row r="662">
      <c r="A662" s="30" t="str">
        <f>IFERROR(__xludf.DUMMYFUNCTION("""COMPUTED_VALUE"""),"Rival")</f>
        <v>Rival</v>
      </c>
      <c r="B662" s="30" t="str">
        <f>IFERROR(__xludf.DUMMYFUNCTION("""COMPUTED_VALUE"""),"RSC002616")</f>
        <v>RSC002616</v>
      </c>
      <c r="C662" s="30" t="str">
        <f>IFERROR(__xludf.DUMMYFUNCTION("""COMPUTED_VALUE"""),"Ruthle")</f>
        <v>Ruthle</v>
      </c>
      <c r="D662" s="31" t="str">
        <f>IFERROR(__xludf.DUMMYFUNCTION("""COMPUTED_VALUE"""),"50 Cent")</f>
        <v>50 Cent</v>
      </c>
      <c r="E662" s="31">
        <f>IFERROR(__xludf.DUMMYFUNCTION("""COMPUTED_VALUE"""),43.566680716808186)</f>
        <v>43.56668072</v>
      </c>
      <c r="F662" s="31">
        <f>IFERROR(__xludf.DUMMYFUNCTION("""COMPUTED_VALUE"""),-2.509656228001211)</f>
        <v>-2.509656228</v>
      </c>
      <c r="G662" s="31">
        <f>IFERROR(__xludf.DUMMYFUNCTION("""COMPUTED_VALUE"""),37.00151293796633)</f>
        <v>37.00151294</v>
      </c>
      <c r="H662" s="31">
        <f>IFERROR(__xludf.DUMMYFUNCTION("""COMPUTED_VALUE"""),-3.3161679880450183)</f>
        <v>-3.316167988</v>
      </c>
      <c r="I662" s="54">
        <f>IFERROR(__xludf.DUMMYFUNCTION("""COMPUTED_VALUE"""),30.0)</f>
        <v>30</v>
      </c>
      <c r="J662" s="55">
        <f>IFERROR(__xludf.DUMMYFUNCTION("""COMPUTED_VALUE"""),13.0)</f>
        <v>13</v>
      </c>
      <c r="K662" s="54">
        <f>IFERROR(__xludf.DUMMYFUNCTION("""COMPUTED_VALUE"""),17.0)</f>
        <v>17</v>
      </c>
      <c r="L662" s="56">
        <f>IFERROR(__xludf.DUMMYFUNCTION("""COMPUTED_VALUE"""),0.43333333333333335)</f>
        <v>0.4333333333</v>
      </c>
      <c r="M662" s="56">
        <f>IFERROR(__xludf.DUMMYFUNCTION("""COMPUTED_VALUE"""),0.26865671641791045)</f>
        <v>0.2686567164</v>
      </c>
      <c r="N662" s="31">
        <f>IFERROR(__xludf.DUMMYFUNCTION("""COMPUTED_VALUE"""),313.96666666666664)</f>
        <v>313.9666667</v>
      </c>
      <c r="O662" s="57">
        <f>IFERROR(__xludf.DUMMYFUNCTION("""COMPUTED_VALUE"""),0.6)</f>
        <v>0.6</v>
      </c>
      <c r="P662" s="57">
        <f>IFERROR(__xludf.DUMMYFUNCTION("""COMPUTED_VALUE"""),0.7)</f>
        <v>0.7</v>
      </c>
      <c r="Q662" s="57">
        <f>IFERROR(__xludf.DUMMYFUNCTION("""COMPUTED_VALUE"""),0.9333333333333333)</f>
        <v>0.9333333333</v>
      </c>
      <c r="R662" s="57">
        <f>IFERROR(__xludf.DUMMYFUNCTION("""COMPUTED_VALUE"""),2.2333333333333334)</f>
        <v>2.233333333</v>
      </c>
      <c r="S662" s="31">
        <f>IFERROR(__xludf.DUMMYFUNCTION("""COMPUTED_VALUE"""),360.3555555555555)</f>
        <v>360.3555556</v>
      </c>
      <c r="T662" s="57">
        <f>IFERROR(__xludf.DUMMYFUNCTION("""COMPUTED_VALUE"""),0.9222222222222223)</f>
        <v>0.9222222222</v>
      </c>
      <c r="U662" s="57">
        <f>IFERROR(__xludf.DUMMYFUNCTION("""COMPUTED_VALUE"""),0.6333333333333333)</f>
        <v>0.6333333333</v>
      </c>
      <c r="V662" s="57">
        <f>IFERROR(__xludf.DUMMYFUNCTION("""COMPUTED_VALUE"""),1.2555555555555555)</f>
        <v>1.255555556</v>
      </c>
      <c r="W662" s="57">
        <f>IFERROR(__xludf.DUMMYFUNCTION("""COMPUTED_VALUE"""),2.611111111111111)</f>
        <v>2.611111111</v>
      </c>
      <c r="X662" s="31">
        <f>IFERROR(__xludf.DUMMYFUNCTION("""COMPUTED_VALUE"""),355.6704665491724)</f>
        <v>355.6704665</v>
      </c>
      <c r="Y662" s="57">
        <f>IFERROR(__xludf.DUMMYFUNCTION("""COMPUTED_VALUE"""),0.8231779965977085)</f>
        <v>0.8231779966</v>
      </c>
      <c r="Z662" s="57">
        <f>IFERROR(__xludf.DUMMYFUNCTION("""COMPUTED_VALUE"""),0.5644141942569877)</f>
        <v>0.5644141943</v>
      </c>
      <c r="AA662" s="57">
        <f>IFERROR(__xludf.DUMMYFUNCTION("""COMPUTED_VALUE"""),1.3832533333329258)</f>
        <v>1.383253333</v>
      </c>
      <c r="AB662" s="57">
        <f>IFERROR(__xludf.DUMMYFUNCTION("""COMPUTED_VALUE"""),2.605615705507063)</f>
        <v>2.605615706</v>
      </c>
      <c r="AC662" s="31">
        <f>IFERROR(__xludf.DUMMYFUNCTION("""COMPUTED_VALUE"""),344.30789842891113)</f>
        <v>344.3078984</v>
      </c>
      <c r="AD662" s="57">
        <f>IFERROR(__xludf.DUMMYFUNCTION("""COMPUTED_VALUE"""),0.7671337437982981)</f>
        <v>0.7671337438</v>
      </c>
      <c r="AE662" s="57">
        <f>IFERROR(__xludf.DUMMYFUNCTION("""COMPUTED_VALUE"""),0.5678163050855846)</f>
        <v>0.5678163051</v>
      </c>
      <c r="AF662" s="57">
        <f>IFERROR(__xludf.DUMMYFUNCTION("""COMPUTED_VALUE"""),1.3098806069047548)</f>
        <v>1.309880607</v>
      </c>
      <c r="AG662" s="57">
        <f>IFERROR(__xludf.DUMMYFUNCTION("""COMPUTED_VALUE"""),2.6224576263047266)</f>
        <v>2.622457626</v>
      </c>
      <c r="AH662" s="57">
        <f>IFERROR(__xludf.DUMMYFUNCTION("""COMPUTED_VALUE"""),0.9118776191290047)</f>
        <v>0.9118776191</v>
      </c>
      <c r="AI662" s="57">
        <f>IFERROR(__xludf.DUMMYFUNCTION("""COMPUTED_VALUE"""),0.7821321964397352)</f>
        <v>0.7821321964</v>
      </c>
      <c r="AJ662" s="57">
        <f>IFERROR(__xludf.DUMMYFUNCTION("""COMPUTED_VALUE"""),1.232793059534442)</f>
        <v>1.23279306</v>
      </c>
      <c r="AK662" s="57">
        <f>IFERROR(__xludf.DUMMYFUNCTION("""COMPUTED_VALUE"""),0.7125331334882483)</f>
        <v>0.7125331335</v>
      </c>
      <c r="AL662" s="57">
        <f>IFERROR(__xludf.DUMMYFUNCTION("""COMPUTED_VALUE"""),0.8516184631285335)</f>
        <v>0.8516184631</v>
      </c>
      <c r="AM662" s="57">
        <f>IFERROR(__xludf.DUMMYFUNCTION("""COMPUTED_VALUE"""),1.0131725556294828)</f>
        <v>1.013172556</v>
      </c>
      <c r="AN662" s="57">
        <f>IFERROR(__xludf.DUMMYFUNCTION("""COMPUTED_VALUE"""),1.120319330732691)</f>
        <v>1.120319331</v>
      </c>
      <c r="AO662" s="57">
        <f>IFERROR(__xludf.DUMMYFUNCTION("""COMPUTED_VALUE"""),1.122107381029056)</f>
        <v>1.122107381</v>
      </c>
      <c r="AP662" s="35">
        <f>IFERROR(__xludf.DUMMYFUNCTION("""COMPUTED_VALUE"""),0.9076830146003085)</f>
        <v>0.9076830146</v>
      </c>
      <c r="AQ662" s="57">
        <f>IFERROR(__xludf.DUMMYFUNCTION("""COMPUTED_VALUE"""),1.002109062204543)</f>
        <v>1.002109062</v>
      </c>
      <c r="AR662" s="36" t="b">
        <f>IFERROR(__xludf.DUMMYFUNCTION("""COMPUTED_VALUE"""),TRUE)</f>
        <v>1</v>
      </c>
      <c r="AS662" s="57"/>
      <c r="AT662" s="37"/>
      <c r="AU662" s="30"/>
      <c r="AV662" s="30"/>
      <c r="AW662" s="30"/>
      <c r="AX662" s="30"/>
      <c r="AY662" s="30"/>
      <c r="AZ662" s="30"/>
    </row>
    <row r="663">
      <c r="A663" s="30" t="str">
        <f>IFERROR(__xludf.DUMMYFUNCTION("""COMPUTED_VALUE"""),"Rival")</f>
        <v>Rival</v>
      </c>
      <c r="B663" s="30" t="str">
        <f>IFERROR(__xludf.DUMMYFUNCTION("""COMPUTED_VALUE"""),"RSC005507")</f>
        <v>RSC005507</v>
      </c>
      <c r="C663" s="30" t="str">
        <f>IFERROR(__xludf.DUMMYFUNCTION("""COMPUTED_VALUE"""),"T Sant")</f>
        <v>T Sant</v>
      </c>
      <c r="D663" s="31" t="str">
        <f>IFERROR(__xludf.DUMMYFUNCTION("""COMPUTED_VALUE"""),"Quasars")</f>
        <v>Quasars</v>
      </c>
      <c r="E663" s="31">
        <f>IFERROR(__xludf.DUMMYFUNCTION("""COMPUTED_VALUE"""),42.92243230746944)</f>
        <v>42.92243231</v>
      </c>
      <c r="F663" s="31">
        <f>IFERROR(__xludf.DUMMYFUNCTION("""COMPUTED_VALUE"""),-2.5736776148295757)</f>
        <v>-2.573677615</v>
      </c>
      <c r="G663" s="31">
        <f>IFERROR(__xludf.DUMMYFUNCTION("""COMPUTED_VALUE"""),34.227948275993185)</f>
        <v>34.22794828</v>
      </c>
      <c r="H663" s="31">
        <f>IFERROR(__xludf.DUMMYFUNCTION("""COMPUTED_VALUE"""),-3.7870350469634846)</f>
        <v>-3.787035047</v>
      </c>
      <c r="I663" s="54">
        <f>IFERROR(__xludf.DUMMYFUNCTION("""COMPUTED_VALUE"""),48.0)</f>
        <v>48</v>
      </c>
      <c r="J663" s="55">
        <f>IFERROR(__xludf.DUMMYFUNCTION("""COMPUTED_VALUE"""),26.0)</f>
        <v>26</v>
      </c>
      <c r="K663" s="54">
        <f>IFERROR(__xludf.DUMMYFUNCTION("""COMPUTED_VALUE"""),22.0)</f>
        <v>22</v>
      </c>
      <c r="L663" s="56">
        <f>IFERROR(__xludf.DUMMYFUNCTION("""COMPUTED_VALUE"""),0.5416666666666666)</f>
        <v>0.5416666667</v>
      </c>
      <c r="M663" s="56">
        <f>IFERROR(__xludf.DUMMYFUNCTION("""COMPUTED_VALUE"""),0.32407407407407407)</f>
        <v>0.3240740741</v>
      </c>
      <c r="N663" s="31">
        <f>IFERROR(__xludf.DUMMYFUNCTION("""COMPUTED_VALUE"""),333.6458333333333)</f>
        <v>333.6458333</v>
      </c>
      <c r="O663" s="57">
        <f>IFERROR(__xludf.DUMMYFUNCTION("""COMPUTED_VALUE"""),0.7291666666666666)</f>
        <v>0.7291666667</v>
      </c>
      <c r="P663" s="57">
        <f>IFERROR(__xludf.DUMMYFUNCTION("""COMPUTED_VALUE"""),0.4375)</f>
        <v>0.4375</v>
      </c>
      <c r="Q663" s="57">
        <f>IFERROR(__xludf.DUMMYFUNCTION("""COMPUTED_VALUE"""),1.3541666666666667)</f>
        <v>1.354166667</v>
      </c>
      <c r="R663" s="57">
        <f>IFERROR(__xludf.DUMMYFUNCTION("""COMPUTED_VALUE"""),2.25)</f>
        <v>2.25</v>
      </c>
      <c r="S663" s="31">
        <f>IFERROR(__xludf.DUMMYFUNCTION("""COMPUTED_VALUE"""),348.9930555555556)</f>
        <v>348.9930556</v>
      </c>
      <c r="T663" s="57">
        <f>IFERROR(__xludf.DUMMYFUNCTION("""COMPUTED_VALUE"""),0.8055555555555554)</f>
        <v>0.8055555556</v>
      </c>
      <c r="U663" s="57">
        <f>IFERROR(__xludf.DUMMYFUNCTION("""COMPUTED_VALUE"""),0.5972222222222222)</f>
        <v>0.5972222222</v>
      </c>
      <c r="V663" s="57">
        <f>IFERROR(__xludf.DUMMYFUNCTION("""COMPUTED_VALUE"""),1.3333333333333333)</f>
        <v>1.333333333</v>
      </c>
      <c r="W663" s="57">
        <f>IFERROR(__xludf.DUMMYFUNCTION("""COMPUTED_VALUE"""),2.6666666666666665)</f>
        <v>2.666666667</v>
      </c>
      <c r="X663" s="31">
        <f>IFERROR(__xludf.DUMMYFUNCTION("""COMPUTED_VALUE"""),352.3523523198807)</f>
        <v>352.3523523</v>
      </c>
      <c r="Y663" s="57">
        <f>IFERROR(__xludf.DUMMYFUNCTION("""COMPUTED_VALUE"""),0.8160798625331407)</f>
        <v>0.8160798625</v>
      </c>
      <c r="Z663" s="57">
        <f>IFERROR(__xludf.DUMMYFUNCTION("""COMPUTED_VALUE"""),0.5854786258420164)</f>
        <v>0.5854786258</v>
      </c>
      <c r="AA663" s="57">
        <f>IFERROR(__xludf.DUMMYFUNCTION("""COMPUTED_VALUE"""),1.3048937048758076)</f>
        <v>1.304893705</v>
      </c>
      <c r="AB663" s="57">
        <f>IFERROR(__xludf.DUMMYFUNCTION("""COMPUTED_VALUE"""),2.5541050269160572)</f>
        <v>2.554105027</v>
      </c>
      <c r="AC663" s="31">
        <f>IFERROR(__xludf.DUMMYFUNCTION("""COMPUTED_VALUE"""),347.207459067197)</f>
        <v>347.2074591</v>
      </c>
      <c r="AD663" s="57">
        <f>IFERROR(__xludf.DUMMYFUNCTION("""COMPUTED_VALUE"""),0.789315018475777)</f>
        <v>0.7893150185</v>
      </c>
      <c r="AE663" s="57">
        <f>IFERROR(__xludf.DUMMYFUNCTION("""COMPUTED_VALUE"""),0.5572994366662863)</f>
        <v>0.5572994367</v>
      </c>
      <c r="AF663" s="57">
        <f>IFERROR(__xludf.DUMMYFUNCTION("""COMPUTED_VALUE"""),1.2859105180331776)</f>
        <v>1.285910518</v>
      </c>
      <c r="AG663" s="57">
        <f>IFERROR(__xludf.DUMMYFUNCTION("""COMPUTED_VALUE"""),2.5698750407166098)</f>
        <v>2.569875041</v>
      </c>
      <c r="AH663" s="57">
        <f>IFERROR(__xludf.DUMMYFUNCTION("""COMPUTED_VALUE"""),0.9609408571742721)</f>
        <v>0.9609408572</v>
      </c>
      <c r="AI663" s="57">
        <f>IFERROR(__xludf.DUMMYFUNCTION("""COMPUTED_VALUE"""),0.923796772643119)</f>
        <v>0.9237967726</v>
      </c>
      <c r="AJ663" s="57">
        <f>IFERROR(__xludf.DUMMYFUNCTION("""COMPUTED_VALUE"""),0.7850357836661105)</f>
        <v>0.7850357837</v>
      </c>
      <c r="AK663" s="57">
        <f>IFERROR(__xludf.DUMMYFUNCTION("""COMPUTED_VALUE"""),1.053080014259381)</f>
        <v>1.053080014</v>
      </c>
      <c r="AL663" s="57">
        <f>IFERROR(__xludf.DUMMYFUNCTION("""COMPUTED_VALUE"""),0.875528951544892)</f>
        <v>0.8755289515</v>
      </c>
      <c r="AM663" s="57">
        <f>IFERROR(__xludf.DUMMYFUNCTION("""COMPUTED_VALUE"""),0.9904660867390055)</f>
        <v>0.9904660867</v>
      </c>
      <c r="AN663" s="57">
        <f>IFERROR(__xludf.DUMMYFUNCTION("""COMPUTED_VALUE"""),0.9871038271365776)</f>
        <v>0.9871038271</v>
      </c>
      <c r="AO663" s="57">
        <f>IFERROR(__xludf.DUMMYFUNCTION("""COMPUTED_VALUE"""),1.020058112904321)</f>
        <v>1.020058113</v>
      </c>
      <c r="AP663" s="35">
        <f>IFERROR(__xludf.DUMMYFUNCTION("""COMPUTED_VALUE"""),1.0217945939590785)</f>
        <v>1.021794594</v>
      </c>
      <c r="AQ663" s="57">
        <f>IFERROR(__xludf.DUMMYFUNCTION("""COMPUTED_VALUE"""),1.0440708735797453)</f>
        <v>1.044070874</v>
      </c>
      <c r="AR663" s="36" t="b">
        <f>IFERROR(__xludf.DUMMYFUNCTION("""COMPUTED_VALUE"""),TRUE)</f>
        <v>1</v>
      </c>
      <c r="AS663" s="57"/>
      <c r="AT663" s="37"/>
      <c r="AU663" s="30"/>
      <c r="AV663" s="30"/>
      <c r="AW663" s="30"/>
      <c r="AX663" s="30"/>
      <c r="AY663" s="30"/>
      <c r="AZ663" s="30"/>
    </row>
    <row r="664">
      <c r="A664" s="30" t="str">
        <f>IFERROR(__xludf.DUMMYFUNCTION("""COMPUTED_VALUE"""),"Rival")</f>
        <v>Rival</v>
      </c>
      <c r="B664" s="30" t="str">
        <f>IFERROR(__xludf.DUMMYFUNCTION("""COMPUTED_VALUE"""),"RSC004365")</f>
        <v>RSC004365</v>
      </c>
      <c r="C664" s="30" t="str">
        <f>IFERROR(__xludf.DUMMYFUNCTION("""COMPUTED_VALUE"""),"Mattixbigs")</f>
        <v>Mattixbigs</v>
      </c>
      <c r="D664" s="31" t="str">
        <f>IFERROR(__xludf.DUMMYFUNCTION("""COMPUTED_VALUE"""),"Ostriches")</f>
        <v>Ostriches</v>
      </c>
      <c r="E664" s="31">
        <f>IFERROR(__xludf.DUMMYFUNCTION("""COMPUTED_VALUE"""),42.740726307091364)</f>
        <v>42.74072631</v>
      </c>
      <c r="F664" s="31">
        <f>IFERROR(__xludf.DUMMYFUNCTION("""COMPUTED_VALUE"""),-2.5922434704825217)</f>
        <v>-2.59224347</v>
      </c>
      <c r="G664" s="31">
        <f>IFERROR(__xludf.DUMMYFUNCTION("""COMPUTED_VALUE"""),52.94442676984408)</f>
        <v>52.94442677</v>
      </c>
      <c r="H664" s="31">
        <f>IFERROR(__xludf.DUMMYFUNCTION("""COMPUTED_VALUE"""),2.2069104374600137)</f>
        <v>2.206910437</v>
      </c>
      <c r="I664" s="54">
        <f>IFERROR(__xludf.DUMMYFUNCTION("""COMPUTED_VALUE"""),19.0)</f>
        <v>19</v>
      </c>
      <c r="J664" s="55">
        <f>IFERROR(__xludf.DUMMYFUNCTION("""COMPUTED_VALUE"""),6.0)</f>
        <v>6</v>
      </c>
      <c r="K664" s="54">
        <f>IFERROR(__xludf.DUMMYFUNCTION("""COMPUTED_VALUE"""),13.0)</f>
        <v>13</v>
      </c>
      <c r="L664" s="56">
        <f>IFERROR(__xludf.DUMMYFUNCTION("""COMPUTED_VALUE"""),0.3157894736842105)</f>
        <v>0.3157894737</v>
      </c>
      <c r="M664" s="56">
        <f>IFERROR(__xludf.DUMMYFUNCTION("""COMPUTED_VALUE"""),0.2653061224489796)</f>
        <v>0.2653061224</v>
      </c>
      <c r="N664" s="31">
        <f>IFERROR(__xludf.DUMMYFUNCTION("""COMPUTED_VALUE"""),340.3157894736842)</f>
        <v>340.3157895</v>
      </c>
      <c r="O664" s="57">
        <f>IFERROR(__xludf.DUMMYFUNCTION("""COMPUTED_VALUE"""),0.6842105263157895)</f>
        <v>0.6842105263</v>
      </c>
      <c r="P664" s="57">
        <f>IFERROR(__xludf.DUMMYFUNCTION("""COMPUTED_VALUE"""),0.47368421052631576)</f>
        <v>0.4736842105</v>
      </c>
      <c r="Q664" s="57">
        <f>IFERROR(__xludf.DUMMYFUNCTION("""COMPUTED_VALUE"""),1.368421052631579)</f>
        <v>1.368421053</v>
      </c>
      <c r="R664" s="57">
        <f>IFERROR(__xludf.DUMMYFUNCTION("""COMPUTED_VALUE"""),2.5789473684210527)</f>
        <v>2.578947368</v>
      </c>
      <c r="S664" s="31">
        <f>IFERROR(__xludf.DUMMYFUNCTION("""COMPUTED_VALUE"""),362.8771929824561)</f>
        <v>362.877193</v>
      </c>
      <c r="T664" s="57">
        <f>IFERROR(__xludf.DUMMYFUNCTION("""COMPUTED_VALUE"""),0.8947368421052629)</f>
        <v>0.8947368421</v>
      </c>
      <c r="U664" s="57">
        <f>IFERROR(__xludf.DUMMYFUNCTION("""COMPUTED_VALUE"""),0.6140350877192983)</f>
        <v>0.6140350877</v>
      </c>
      <c r="V664" s="57">
        <f>IFERROR(__xludf.DUMMYFUNCTION("""COMPUTED_VALUE"""),1.1578947368421055)</f>
        <v>1.157894737</v>
      </c>
      <c r="W664" s="57">
        <f>IFERROR(__xludf.DUMMYFUNCTION("""COMPUTED_VALUE"""),2.6140350877192984)</f>
        <v>2.614035088</v>
      </c>
      <c r="X664" s="31">
        <f>IFERROR(__xludf.DUMMYFUNCTION("""COMPUTED_VALUE"""),342.6153791373123)</f>
        <v>342.6153791</v>
      </c>
      <c r="Y664" s="57">
        <f>IFERROR(__xludf.DUMMYFUNCTION("""COMPUTED_VALUE"""),0.7309376187488921)</f>
        <v>0.7309376187</v>
      </c>
      <c r="Z664" s="57">
        <f>IFERROR(__xludf.DUMMYFUNCTION("""COMPUTED_VALUE"""),0.592840614980593)</f>
        <v>0.592840615</v>
      </c>
      <c r="AA664" s="57">
        <f>IFERROR(__xludf.DUMMYFUNCTION("""COMPUTED_VALUE"""),1.3605842784798599)</f>
        <v>1.360584278</v>
      </c>
      <c r="AB664" s="57">
        <f>IFERROR(__xludf.DUMMYFUNCTION("""COMPUTED_VALUE"""),2.3653844308958685)</f>
        <v>2.365384431</v>
      </c>
      <c r="AC664" s="31">
        <f>IFERROR(__xludf.DUMMYFUNCTION("""COMPUTED_VALUE"""),344.1208487617278)</f>
        <v>344.1208488</v>
      </c>
      <c r="AD664" s="57">
        <f>IFERROR(__xludf.DUMMYFUNCTION("""COMPUTED_VALUE"""),0.7585070941565125)</f>
        <v>0.7585070942</v>
      </c>
      <c r="AE664" s="57">
        <f>IFERROR(__xludf.DUMMYFUNCTION("""COMPUTED_VALUE"""),0.5776165379838757)</f>
        <v>0.577616538</v>
      </c>
      <c r="AF664" s="57">
        <f>IFERROR(__xludf.DUMMYFUNCTION("""COMPUTED_VALUE"""),1.2683798668349309)</f>
        <v>1.268379867</v>
      </c>
      <c r="AG664" s="57">
        <f>IFERROR(__xludf.DUMMYFUNCTION("""COMPUTED_VALUE"""),2.604831696178649)</f>
        <v>2.604831696</v>
      </c>
      <c r="AH664" s="57">
        <f>IFERROR(__xludf.DUMMYFUNCTION("""COMPUTED_VALUE"""),0.9889426656311712)</f>
        <v>0.9889426656</v>
      </c>
      <c r="AI664" s="57">
        <f>IFERROR(__xludf.DUMMYFUNCTION("""COMPUTED_VALUE"""),0.9020489479754391)</f>
        <v>0.902048948</v>
      </c>
      <c r="AJ664" s="57">
        <f>IFERROR(__xludf.DUMMYFUNCTION("""COMPUTED_VALUE"""),0.8200669118299012)</f>
        <v>0.8200669118</v>
      </c>
      <c r="AK664" s="57">
        <f>IFERROR(__xludf.DUMMYFUNCTION("""COMPUTED_VALUE"""),1.078873205427241)</f>
        <v>1.078873205</v>
      </c>
      <c r="AL664" s="57">
        <f>IFERROR(__xludf.DUMMYFUNCTION("""COMPUTED_VALUE"""),0.9900629557773083)</f>
        <v>0.9900629558</v>
      </c>
      <c r="AM664" s="57">
        <f>IFERROR(__xludf.DUMMYFUNCTION("""COMPUTED_VALUE"""),1.059138658329238)</f>
        <v>1.059138658</v>
      </c>
      <c r="AN664" s="57">
        <f>IFERROR(__xludf.DUMMYFUNCTION("""COMPUTED_VALUE"""),1.2240946684844836)</f>
        <v>1.224094668</v>
      </c>
      <c r="AO664" s="57">
        <f>IFERROR(__xludf.DUMMYFUNCTION("""COMPUTED_VALUE"""),1.0357507097238927)</f>
        <v>1.03575071</v>
      </c>
      <c r="AP664" s="35">
        <f>IFERROR(__xludf.DUMMYFUNCTION("""COMPUTED_VALUE"""),0.8510275733420841)</f>
        <v>0.8510275733</v>
      </c>
      <c r="AQ664" s="57">
        <f>IFERROR(__xludf.DUMMYFUNCTION("""COMPUTED_VALUE"""),1.1051206110836096)</f>
        <v>1.105120611</v>
      </c>
      <c r="AR664" s="36" t="b">
        <f>IFERROR(__xludf.DUMMYFUNCTION("""COMPUTED_VALUE"""),TRUE)</f>
        <v>1</v>
      </c>
      <c r="AS664" s="57"/>
      <c r="AT664" s="37"/>
      <c r="AU664" s="30"/>
      <c r="AV664" s="30"/>
      <c r="AW664" s="30"/>
      <c r="AX664" s="30"/>
      <c r="AY664" s="30"/>
      <c r="AZ664" s="30"/>
    </row>
    <row r="665">
      <c r="A665" s="30" t="str">
        <f>IFERROR(__xludf.DUMMYFUNCTION("""COMPUTED_VALUE"""),"Rival")</f>
        <v>Rival</v>
      </c>
      <c r="B665" s="30" t="str">
        <f>IFERROR(__xludf.DUMMYFUNCTION("""COMPUTED_VALUE"""),"RSC000828")</f>
        <v>RSC000828</v>
      </c>
      <c r="C665" s="30" t="str">
        <f>IFERROR(__xludf.DUMMYFUNCTION("""COMPUTED_VALUE"""),"MattViaAirwaves")</f>
        <v>MattViaAirwaves</v>
      </c>
      <c r="D665" s="31" t="str">
        <f>IFERROR(__xludf.DUMMYFUNCTION("""COMPUTED_VALUE"""),"Polar Ice")</f>
        <v>Polar Ice</v>
      </c>
      <c r="E665" s="31">
        <f>IFERROR(__xludf.DUMMYFUNCTION("""COMPUTED_VALUE"""),42.47736326642198)</f>
        <v>42.47736327</v>
      </c>
      <c r="F665" s="31">
        <f>IFERROR(__xludf.DUMMYFUNCTION("""COMPUTED_VALUE"""),-2.6195614350393264)</f>
        <v>-2.619561435</v>
      </c>
      <c r="G665" s="31">
        <f>IFERROR(__xludf.DUMMYFUNCTION("""COMPUTED_VALUE"""),36.73086997900777)</f>
        <v>36.73086998</v>
      </c>
      <c r="H665" s="31">
        <f>IFERROR(__xludf.DUMMYFUNCTION("""COMPUTED_VALUE"""),-3.3580626803217806)</f>
        <v>-3.35806268</v>
      </c>
      <c r="I665" s="54">
        <f>IFERROR(__xludf.DUMMYFUNCTION("""COMPUTED_VALUE"""),26.0)</f>
        <v>26</v>
      </c>
      <c r="J665" s="55">
        <f>IFERROR(__xludf.DUMMYFUNCTION("""COMPUTED_VALUE"""),10.0)</f>
        <v>10</v>
      </c>
      <c r="K665" s="54">
        <f>IFERROR(__xludf.DUMMYFUNCTION("""COMPUTED_VALUE"""),16.0)</f>
        <v>16</v>
      </c>
      <c r="L665" s="56">
        <f>IFERROR(__xludf.DUMMYFUNCTION("""COMPUTED_VALUE"""),0.38461538461538464)</f>
        <v>0.3846153846</v>
      </c>
      <c r="M665" s="56">
        <f>IFERROR(__xludf.DUMMYFUNCTION("""COMPUTED_VALUE"""),0.25806451612903225)</f>
        <v>0.2580645161</v>
      </c>
      <c r="N665" s="31">
        <f>IFERROR(__xludf.DUMMYFUNCTION("""COMPUTED_VALUE"""),319.53846153846155)</f>
        <v>319.5384615</v>
      </c>
      <c r="O665" s="57">
        <f>IFERROR(__xludf.DUMMYFUNCTION("""COMPUTED_VALUE"""),0.6153846153846154)</f>
        <v>0.6153846154</v>
      </c>
      <c r="P665" s="57">
        <f>IFERROR(__xludf.DUMMYFUNCTION("""COMPUTED_VALUE"""),0.6538461538461539)</f>
        <v>0.6538461538</v>
      </c>
      <c r="Q665" s="57">
        <f>IFERROR(__xludf.DUMMYFUNCTION("""COMPUTED_VALUE"""),1.2692307692307692)</f>
        <v>1.269230769</v>
      </c>
      <c r="R665" s="57">
        <f>IFERROR(__xludf.DUMMYFUNCTION("""COMPUTED_VALUE"""),2.3846153846153846)</f>
        <v>2.384615385</v>
      </c>
      <c r="S665" s="31">
        <f>IFERROR(__xludf.DUMMYFUNCTION("""COMPUTED_VALUE"""),391.48717948717956)</f>
        <v>391.4871795</v>
      </c>
      <c r="T665" s="57">
        <f>IFERROR(__xludf.DUMMYFUNCTION("""COMPUTED_VALUE"""),1.0256410256410255)</f>
        <v>1.025641026</v>
      </c>
      <c r="U665" s="57">
        <f>IFERROR(__xludf.DUMMYFUNCTION("""COMPUTED_VALUE"""),0.769230769230769)</f>
        <v>0.7692307692</v>
      </c>
      <c r="V665" s="57">
        <f>IFERROR(__xludf.DUMMYFUNCTION("""COMPUTED_VALUE"""),1.3076923076923075)</f>
        <v>1.307692308</v>
      </c>
      <c r="W665" s="57">
        <f>IFERROR(__xludf.DUMMYFUNCTION("""COMPUTED_VALUE"""),2.897435897435897)</f>
        <v>2.897435897</v>
      </c>
      <c r="X665" s="31">
        <f>IFERROR(__xludf.DUMMYFUNCTION("""COMPUTED_VALUE"""),361.5192281352705)</f>
        <v>361.5192281</v>
      </c>
      <c r="Y665" s="57">
        <f>IFERROR(__xludf.DUMMYFUNCTION("""COMPUTED_VALUE"""),0.840594669238394)</f>
        <v>0.8405946692</v>
      </c>
      <c r="Z665" s="57">
        <f>IFERROR(__xludf.DUMMYFUNCTION("""COMPUTED_VALUE"""),0.615475131568249)</f>
        <v>0.6154751316</v>
      </c>
      <c r="AA665" s="57">
        <f>IFERROR(__xludf.DUMMYFUNCTION("""COMPUTED_VALUE"""),1.3244606854424665)</f>
        <v>1.324460685</v>
      </c>
      <c r="AB665" s="57">
        <f>IFERROR(__xludf.DUMMYFUNCTION("""COMPUTED_VALUE"""),2.7611483978386815)</f>
        <v>2.761148398</v>
      </c>
      <c r="AC665" s="31">
        <f>IFERROR(__xludf.DUMMYFUNCTION("""COMPUTED_VALUE"""),343.30770662638065)</f>
        <v>343.3077066</v>
      </c>
      <c r="AD665" s="57">
        <f>IFERROR(__xludf.DUMMYFUNCTION("""COMPUTED_VALUE"""),0.7634211977498075)</f>
        <v>0.7634211977</v>
      </c>
      <c r="AE665" s="57">
        <f>IFERROR(__xludf.DUMMYFUNCTION("""COMPUTED_VALUE"""),0.5371994178843031)</f>
        <v>0.5371994179</v>
      </c>
      <c r="AF665" s="57">
        <f>IFERROR(__xludf.DUMMYFUNCTION("""COMPUTED_VALUE"""),1.3227605780237361)</f>
        <v>1.322760578</v>
      </c>
      <c r="AG665" s="57">
        <f>IFERROR(__xludf.DUMMYFUNCTION("""COMPUTED_VALUE"""),2.5136394816219383)</f>
        <v>2.513639482</v>
      </c>
      <c r="AH665" s="57">
        <f>IFERROR(__xludf.DUMMYFUNCTION("""COMPUTED_VALUE"""),0.9307640212289583)</f>
        <v>0.9307640212</v>
      </c>
      <c r="AI665" s="57">
        <f>IFERROR(__xludf.DUMMYFUNCTION("""COMPUTED_VALUE"""),0.8060879331075276)</f>
        <v>0.8060879331</v>
      </c>
      <c r="AJ665" s="57">
        <f>IFERROR(__xludf.DUMMYFUNCTION("""COMPUTED_VALUE"""),1.217138611991149)</f>
        <v>1.217138612</v>
      </c>
      <c r="AK665" s="57">
        <f>IFERROR(__xludf.DUMMYFUNCTION("""COMPUTED_VALUE"""),0.9595317477083094)</f>
        <v>0.9595317477</v>
      </c>
      <c r="AL665" s="57">
        <f>IFERROR(__xludf.DUMMYFUNCTION("""COMPUTED_VALUE"""),0.9486704048253968)</f>
        <v>0.9486704048</v>
      </c>
      <c r="AM665" s="57">
        <f>IFERROR(__xludf.DUMMYFUNCTION("""COMPUTED_VALUE"""),1.0828944880926108)</f>
        <v>1.082894488</v>
      </c>
      <c r="AN665" s="57">
        <f>IFERROR(__xludf.DUMMYFUNCTION("""COMPUTED_VALUE"""),1.2201374374290161)</f>
        <v>1.220137437</v>
      </c>
      <c r="AO665" s="57">
        <f>IFERROR(__xludf.DUMMYFUNCTION("""COMPUTED_VALUE"""),1.24981616604191)</f>
        <v>1.249816166</v>
      </c>
      <c r="AP665" s="35">
        <f>IFERROR(__xludf.DUMMYFUNCTION("""COMPUTED_VALUE"""),0.9873394673511526)</f>
        <v>0.9873394674</v>
      </c>
      <c r="AQ665" s="57">
        <f>IFERROR(__xludf.DUMMYFUNCTION("""COMPUTED_VALUE"""),1.0493589912457788)</f>
        <v>1.049358991</v>
      </c>
      <c r="AR665" s="36" t="b">
        <f>IFERROR(__xludf.DUMMYFUNCTION("""COMPUTED_VALUE"""),TRUE)</f>
        <v>1</v>
      </c>
      <c r="AS665" s="57"/>
      <c r="AT665" s="37"/>
      <c r="AU665" s="30"/>
      <c r="AV665" s="30"/>
      <c r="AW665" s="30"/>
      <c r="AX665" s="30"/>
      <c r="AY665" s="30"/>
      <c r="AZ665" s="30"/>
    </row>
    <row r="666">
      <c r="A666" s="30" t="str">
        <f>IFERROR(__xludf.DUMMYFUNCTION("""COMPUTED_VALUE"""),"Rival")</f>
        <v>Rival</v>
      </c>
      <c r="B666" s="30" t="str">
        <f>IFERROR(__xludf.DUMMYFUNCTION("""COMPUTED_VALUE"""),"RSC007767")</f>
        <v>RSC007767</v>
      </c>
      <c r="C666" s="30" t="str">
        <f>IFERROR(__xludf.DUMMYFUNCTION("""COMPUTED_VALUE"""),"SNOWIS")</f>
        <v>SNOWIS</v>
      </c>
      <c r="D666" s="31" t="str">
        <f>IFERROR(__xludf.DUMMYFUNCTION("""COMPUTED_VALUE"""),"Centuriones")</f>
        <v>Centuriones</v>
      </c>
      <c r="E666" s="31">
        <f>IFERROR(__xludf.DUMMYFUNCTION("""COMPUTED_VALUE"""),41.285563533402595)</f>
        <v>41.28556353</v>
      </c>
      <c r="F666" s="31">
        <f>IFERROR(__xludf.DUMMYFUNCTION("""COMPUTED_VALUE"""),-2.7494940648970014)</f>
        <v>-2.749494065</v>
      </c>
      <c r="G666" s="31">
        <f>IFERROR(__xludf.DUMMYFUNCTION("""COMPUTED_VALUE"""),46.583864336601685)</f>
        <v>46.58386434</v>
      </c>
      <c r="H666" s="31">
        <f>IFERROR(__xludf.DUMMYFUNCTION("""COMPUTED_VALUE"""),-2.243885520613654)</f>
        <v>-2.243885521</v>
      </c>
      <c r="I666" s="54">
        <f>IFERROR(__xludf.DUMMYFUNCTION("""COMPUTED_VALUE"""),20.0)</f>
        <v>20</v>
      </c>
      <c r="J666" s="55">
        <f>IFERROR(__xludf.DUMMYFUNCTION("""COMPUTED_VALUE"""),5.0)</f>
        <v>5</v>
      </c>
      <c r="K666" s="54">
        <f>IFERROR(__xludf.DUMMYFUNCTION("""COMPUTED_VALUE"""),15.0)</f>
        <v>15</v>
      </c>
      <c r="L666" s="56">
        <f>IFERROR(__xludf.DUMMYFUNCTION("""COMPUTED_VALUE"""),0.25)</f>
        <v>0.25</v>
      </c>
      <c r="M666" s="56">
        <f>IFERROR(__xludf.DUMMYFUNCTION("""COMPUTED_VALUE"""),0.33333333333333337)</f>
        <v>0.3333333333</v>
      </c>
      <c r="N666" s="31">
        <f>IFERROR(__xludf.DUMMYFUNCTION("""COMPUTED_VALUE"""),353.75)</f>
        <v>353.75</v>
      </c>
      <c r="O666" s="57">
        <f>IFERROR(__xludf.DUMMYFUNCTION("""COMPUTED_VALUE"""),0.65)</f>
        <v>0.65</v>
      </c>
      <c r="P666" s="57">
        <f>IFERROR(__xludf.DUMMYFUNCTION("""COMPUTED_VALUE"""),0.5)</f>
        <v>0.5</v>
      </c>
      <c r="Q666" s="57">
        <f>IFERROR(__xludf.DUMMYFUNCTION("""COMPUTED_VALUE"""),1.6)</f>
        <v>1.6</v>
      </c>
      <c r="R666" s="57">
        <f>IFERROR(__xludf.DUMMYFUNCTION("""COMPUTED_VALUE"""),1.95)</f>
        <v>1.95</v>
      </c>
      <c r="S666" s="31">
        <f>IFERROR(__xludf.DUMMYFUNCTION("""COMPUTED_VALUE"""),370.6166666666667)</f>
        <v>370.6166667</v>
      </c>
      <c r="T666" s="57">
        <f>IFERROR(__xludf.DUMMYFUNCTION("""COMPUTED_VALUE"""),0.9166666666666667)</f>
        <v>0.9166666667</v>
      </c>
      <c r="U666" s="57">
        <f>IFERROR(__xludf.DUMMYFUNCTION("""COMPUTED_VALUE"""),0.6666666666666667)</f>
        <v>0.6666666667</v>
      </c>
      <c r="V666" s="57">
        <f>IFERROR(__xludf.DUMMYFUNCTION("""COMPUTED_VALUE"""),1.1833333333333333)</f>
        <v>1.183333333</v>
      </c>
      <c r="W666" s="57">
        <f>IFERROR(__xludf.DUMMYFUNCTION("""COMPUTED_VALUE"""),2.8666666666666667)</f>
        <v>2.866666667</v>
      </c>
      <c r="X666" s="31">
        <f>IFERROR(__xludf.DUMMYFUNCTION("""COMPUTED_VALUE"""),356.91289043970073)</f>
        <v>356.9128904</v>
      </c>
      <c r="Y666" s="57">
        <f>IFERROR(__xludf.DUMMYFUNCTION("""COMPUTED_VALUE"""),0.873201900270866)</f>
        <v>0.8732019003</v>
      </c>
      <c r="Z666" s="57">
        <f>IFERROR(__xludf.DUMMYFUNCTION("""COMPUTED_VALUE"""),0.5855020554158485)</f>
        <v>0.5855020554</v>
      </c>
      <c r="AA666" s="57">
        <f>IFERROR(__xludf.DUMMYFUNCTION("""COMPUTED_VALUE"""),1.2409106538416885)</f>
        <v>1.240910654</v>
      </c>
      <c r="AB666" s="57">
        <f>IFERROR(__xludf.DUMMYFUNCTION("""COMPUTED_VALUE"""),2.6182301446956635)</f>
        <v>2.618230145</v>
      </c>
      <c r="AC666" s="31">
        <f>IFERROR(__xludf.DUMMYFUNCTION("""COMPUTED_VALUE"""),338.98852338912695)</f>
        <v>338.9885234</v>
      </c>
      <c r="AD666" s="57">
        <f>IFERROR(__xludf.DUMMYFUNCTION("""COMPUTED_VALUE"""),0.7072325280083901)</f>
        <v>0.707232528</v>
      </c>
      <c r="AE666" s="57">
        <f>IFERROR(__xludf.DUMMYFUNCTION("""COMPUTED_VALUE"""),0.5224561379446439)</f>
        <v>0.5224561379</v>
      </c>
      <c r="AF666" s="57">
        <f>IFERROR(__xludf.DUMMYFUNCTION("""COMPUTED_VALUE"""),1.3309446917492893)</f>
        <v>1.330944692</v>
      </c>
      <c r="AG666" s="57">
        <f>IFERROR(__xludf.DUMMYFUNCTION("""COMPUTED_VALUE"""),2.4199560869101107)</f>
        <v>2.419956087</v>
      </c>
      <c r="AH666" s="57">
        <f>IFERROR(__xludf.DUMMYFUNCTION("""COMPUTED_VALUE"""),1.0435456530011438)</f>
        <v>1.043545653</v>
      </c>
      <c r="AI666" s="57">
        <f>IFERROR(__xludf.DUMMYFUNCTION("""COMPUTED_VALUE"""),0.9190753737394399)</f>
        <v>0.9190753737</v>
      </c>
      <c r="AJ666" s="57">
        <f>IFERROR(__xludf.DUMMYFUNCTION("""COMPUTED_VALUE"""),0.9570181373828109)</f>
        <v>0.9570181374</v>
      </c>
      <c r="AK666" s="57">
        <f>IFERROR(__xludf.DUMMYFUNCTION("""COMPUTED_VALUE"""),1.2021536356233449)</f>
        <v>1.202153636</v>
      </c>
      <c r="AL666" s="57">
        <f>IFERROR(__xludf.DUMMYFUNCTION("""COMPUTED_VALUE"""),0.8057997459325107)</f>
        <v>0.8057997459</v>
      </c>
      <c r="AM666" s="57">
        <f>IFERROR(__xludf.DUMMYFUNCTION("""COMPUTED_VALUE"""),1.0383952964267653)</f>
        <v>1.038395296</v>
      </c>
      <c r="AN666" s="57">
        <f>IFERROR(__xludf.DUMMYFUNCTION("""COMPUTED_VALUE"""),1.049776307612613)</f>
        <v>1.049776308</v>
      </c>
      <c r="AO666" s="57">
        <f>IFERROR(__xludf.DUMMYFUNCTION("""COMPUTED_VALUE"""),1.1386239561416598)</f>
        <v>1.138623956</v>
      </c>
      <c r="AP666" s="35">
        <f>IFERROR(__xludf.DUMMYFUNCTION("""COMPUTED_VALUE"""),0.9536007525359672)</f>
        <v>0.9536007525</v>
      </c>
      <c r="AQ666" s="57">
        <f>IFERROR(__xludf.DUMMYFUNCTION("""COMPUTED_VALUE"""),1.0948871979318995)</f>
        <v>1.094887198</v>
      </c>
      <c r="AR666" s="36" t="b">
        <f>IFERROR(__xludf.DUMMYFUNCTION("""COMPUTED_VALUE"""),TRUE)</f>
        <v>1</v>
      </c>
      <c r="AS666" s="57"/>
      <c r="AT666" s="37"/>
      <c r="AU666" s="30"/>
      <c r="AV666" s="30"/>
      <c r="AW666" s="30"/>
      <c r="AX666" s="30"/>
      <c r="AY666" s="30"/>
      <c r="AZ666" s="30"/>
    </row>
    <row r="667">
      <c r="A667" s="30" t="str">
        <f>IFERROR(__xludf.DUMMYFUNCTION("""COMPUTED_VALUE"""),"Rival")</f>
        <v>Rival</v>
      </c>
      <c r="B667" s="30" t="str">
        <f>IFERROR(__xludf.DUMMYFUNCTION("""COMPUTED_VALUE"""),"RSC003118")</f>
        <v>RSC003118</v>
      </c>
      <c r="C667" s="30" t="str">
        <f>IFERROR(__xludf.DUMMYFUNCTION("""COMPUTED_VALUE"""),"Mysty")</f>
        <v>Mysty</v>
      </c>
      <c r="D667" s="31" t="str">
        <f>IFERROR(__xludf.DUMMYFUNCTION("""COMPUTED_VALUE"""),"Necrotic Nerds")</f>
        <v>Necrotic Nerds</v>
      </c>
      <c r="E667" s="31">
        <f>IFERROR(__xludf.DUMMYFUNCTION("""COMPUTED_VALUE"""),40.87652427774326)</f>
        <v>40.87652428</v>
      </c>
      <c r="F667" s="31">
        <f>IFERROR(__xludf.DUMMYFUNCTION("""COMPUTED_VALUE"""),-2.7965890351869014)</f>
        <v>-2.796589035</v>
      </c>
      <c r="G667" s="31">
        <f>IFERROR(__xludf.DUMMYFUNCTION("""COMPUTED_VALUE"""),37.251464024409394)</f>
        <v>37.25146402</v>
      </c>
      <c r="H667" s="31">
        <f>IFERROR(__xludf.DUMMYFUNCTION("""COMPUTED_VALUE"""),-3.278191479412686)</f>
        <v>-3.278191479</v>
      </c>
      <c r="I667" s="54">
        <f>IFERROR(__xludf.DUMMYFUNCTION("""COMPUTED_VALUE"""),37.0)</f>
        <v>37</v>
      </c>
      <c r="J667" s="55">
        <f>IFERROR(__xludf.DUMMYFUNCTION("""COMPUTED_VALUE"""),14.0)</f>
        <v>14</v>
      </c>
      <c r="K667" s="54">
        <f>IFERROR(__xludf.DUMMYFUNCTION("""COMPUTED_VALUE"""),23.0)</f>
        <v>23</v>
      </c>
      <c r="L667" s="56">
        <f>IFERROR(__xludf.DUMMYFUNCTION("""COMPUTED_VALUE"""),0.3783783783783784)</f>
        <v>0.3783783784</v>
      </c>
      <c r="M667" s="56">
        <f>IFERROR(__xludf.DUMMYFUNCTION("""COMPUTED_VALUE"""),0.2823529411764706)</f>
        <v>0.2823529412</v>
      </c>
      <c r="N667" s="31">
        <f>IFERROR(__xludf.DUMMYFUNCTION("""COMPUTED_VALUE"""),305.9189189189189)</f>
        <v>305.9189189</v>
      </c>
      <c r="O667" s="57">
        <f>IFERROR(__xludf.DUMMYFUNCTION("""COMPUTED_VALUE"""),0.6486486486486487)</f>
        <v>0.6486486486</v>
      </c>
      <c r="P667" s="57">
        <f>IFERROR(__xludf.DUMMYFUNCTION("""COMPUTED_VALUE"""),0.7027027027027027)</f>
        <v>0.7027027027</v>
      </c>
      <c r="Q667" s="57">
        <f>IFERROR(__xludf.DUMMYFUNCTION("""COMPUTED_VALUE"""),1.0)</f>
        <v>1</v>
      </c>
      <c r="R667" s="57">
        <f>IFERROR(__xludf.DUMMYFUNCTION("""COMPUTED_VALUE"""),2.2972972972972974)</f>
        <v>2.297297297</v>
      </c>
      <c r="S667" s="31">
        <f>IFERROR(__xludf.DUMMYFUNCTION("""COMPUTED_VALUE"""),372.2522522522523)</f>
        <v>372.2522523</v>
      </c>
      <c r="T667" s="57">
        <f>IFERROR(__xludf.DUMMYFUNCTION("""COMPUTED_VALUE"""),1.009009009009009)</f>
        <v>1.009009009</v>
      </c>
      <c r="U667" s="57">
        <f>IFERROR(__xludf.DUMMYFUNCTION("""COMPUTED_VALUE"""),0.6486486486486488)</f>
        <v>0.6486486486</v>
      </c>
      <c r="V667" s="57">
        <f>IFERROR(__xludf.DUMMYFUNCTION("""COMPUTED_VALUE"""),1.1891891891891893)</f>
        <v>1.189189189</v>
      </c>
      <c r="W667" s="57">
        <f>IFERROR(__xludf.DUMMYFUNCTION("""COMPUTED_VALUE"""),2.720720720720722)</f>
        <v>2.720720721</v>
      </c>
      <c r="X667" s="31">
        <f>IFERROR(__xludf.DUMMYFUNCTION("""COMPUTED_VALUE"""),338.6682056485938)</f>
        <v>338.6682056</v>
      </c>
      <c r="Y667" s="57">
        <f>IFERROR(__xludf.DUMMYFUNCTION("""COMPUTED_VALUE"""),0.7844915540557249)</f>
        <v>0.7844915541</v>
      </c>
      <c r="Z667" s="57">
        <f>IFERROR(__xludf.DUMMYFUNCTION("""COMPUTED_VALUE"""),0.5565965652687431)</f>
        <v>0.5565965653</v>
      </c>
      <c r="AA667" s="57">
        <f>IFERROR(__xludf.DUMMYFUNCTION("""COMPUTED_VALUE"""),1.2663980821539877)</f>
        <v>1.266398082</v>
      </c>
      <c r="AB667" s="57">
        <f>IFERROR(__xludf.DUMMYFUNCTION("""COMPUTED_VALUE"""),2.54096175975065)</f>
        <v>2.54096176</v>
      </c>
      <c r="AC667" s="31">
        <f>IFERROR(__xludf.DUMMYFUNCTION("""COMPUTED_VALUE"""),352.48951021431054)</f>
        <v>352.4895102</v>
      </c>
      <c r="AD667" s="57">
        <f>IFERROR(__xludf.DUMMYFUNCTION("""COMPUTED_VALUE"""),0.8333504336470119)</f>
        <v>0.8333504336</v>
      </c>
      <c r="AE667" s="57">
        <f>IFERROR(__xludf.DUMMYFUNCTION("""COMPUTED_VALUE"""),0.5781894549404295)</f>
        <v>0.5781894549</v>
      </c>
      <c r="AF667" s="57">
        <f>IFERROR(__xludf.DUMMYFUNCTION("""COMPUTED_VALUE"""),1.316859310420422)</f>
        <v>1.31685931</v>
      </c>
      <c r="AG667" s="57">
        <f>IFERROR(__xludf.DUMMYFUNCTION("""COMPUTED_VALUE"""),2.601773832542419)</f>
        <v>2.601773833</v>
      </c>
      <c r="AH667" s="57">
        <f>IFERROR(__xludf.DUMMYFUNCTION("""COMPUTED_VALUE"""),0.8678809157552599)</f>
        <v>0.8678809158</v>
      </c>
      <c r="AI667" s="57">
        <f>IFERROR(__xludf.DUMMYFUNCTION("""COMPUTED_VALUE"""),0.7783624060888188)</f>
        <v>0.7783624061</v>
      </c>
      <c r="AJ667" s="57">
        <f>IFERROR(__xludf.DUMMYFUNCTION("""COMPUTED_VALUE"""),1.2153502570798387)</f>
        <v>1.215350257</v>
      </c>
      <c r="AK667" s="57">
        <f>IFERROR(__xludf.DUMMYFUNCTION("""COMPUTED_VALUE"""),0.7593825643232448)</f>
        <v>0.7593825643</v>
      </c>
      <c r="AL667" s="57">
        <f>IFERROR(__xludf.DUMMYFUNCTION("""COMPUTED_VALUE"""),0.8829734808472606)</f>
        <v>0.8829734808</v>
      </c>
      <c r="AM667" s="57">
        <f>IFERROR(__xludf.DUMMYFUNCTION("""COMPUTED_VALUE"""),1.09916504131039)</f>
        <v>1.099165041</v>
      </c>
      <c r="AN667" s="57">
        <f>IFERROR(__xludf.DUMMYFUNCTION("""COMPUTED_VALUE"""),1.2861948656968407)</f>
        <v>1.286194866</v>
      </c>
      <c r="AO667" s="57">
        <f>IFERROR(__xludf.DUMMYFUNCTION("""COMPUTED_VALUE"""),1.1653838509324252)</f>
        <v>1.165383851</v>
      </c>
      <c r="AP667" s="35">
        <f>IFERROR(__xludf.DUMMYFUNCTION("""COMPUTED_VALUE"""),0.9390326832827514)</f>
        <v>0.9390326833</v>
      </c>
      <c r="AQ667" s="57">
        <f>IFERROR(__xludf.DUMMYFUNCTION("""COMPUTED_VALUE"""),1.07074445740093)</f>
        <v>1.070744457</v>
      </c>
      <c r="AR667" s="36" t="b">
        <f>IFERROR(__xludf.DUMMYFUNCTION("""COMPUTED_VALUE"""),TRUE)</f>
        <v>1</v>
      </c>
      <c r="AS667" s="57"/>
      <c r="AT667" s="37"/>
      <c r="AU667" s="30"/>
      <c r="AV667" s="30"/>
      <c r="AW667" s="30"/>
      <c r="AX667" s="30"/>
      <c r="AY667" s="30"/>
      <c r="AZ667" s="30"/>
    </row>
    <row r="668">
      <c r="A668" s="30" t="str">
        <f>IFERROR(__xludf.DUMMYFUNCTION("""COMPUTED_VALUE"""),"Rival")</f>
        <v>Rival</v>
      </c>
      <c r="B668" s="30" t="str">
        <f>IFERROR(__xludf.DUMMYFUNCTION("""COMPUTED_VALUE"""),"RSC007823")</f>
        <v>RSC007823</v>
      </c>
      <c r="C668" s="30" t="str">
        <f>IFERROR(__xludf.DUMMYFUNCTION("""COMPUTED_VALUE"""),"watz")</f>
        <v>watz</v>
      </c>
      <c r="D668" s="31" t="str">
        <f>IFERROR(__xludf.DUMMYFUNCTION("""COMPUTED_VALUE"""),"Hue Heroes")</f>
        <v>Hue Heroes</v>
      </c>
      <c r="E668" s="31">
        <f>IFERROR(__xludf.DUMMYFUNCTION("""COMPUTED_VALUE"""),40.463280927710464)</f>
        <v>40.46328093</v>
      </c>
      <c r="F668" s="31">
        <f>IFERROR(__xludf.DUMMYFUNCTION("""COMPUTED_VALUE"""),-2.845535326455145)</f>
        <v>-2.845535326</v>
      </c>
      <c r="G668" s="31">
        <f>IFERROR(__xludf.DUMMYFUNCTION("""COMPUTED_VALUE"""),46.060971141777955)</f>
        <v>46.06097114</v>
      </c>
      <c r="H668" s="31">
        <f>IFERROR(__xludf.DUMMYFUNCTION("""COMPUTED_VALUE"""),-2.286230018726722)</f>
        <v>-2.286230019</v>
      </c>
      <c r="I668" s="54">
        <f>IFERROR(__xludf.DUMMYFUNCTION("""COMPUTED_VALUE"""),12.0)</f>
        <v>12</v>
      </c>
      <c r="J668" s="55">
        <f>IFERROR(__xludf.DUMMYFUNCTION("""COMPUTED_VALUE"""),5.0)</f>
        <v>5</v>
      </c>
      <c r="K668" s="54">
        <f>IFERROR(__xludf.DUMMYFUNCTION("""COMPUTED_VALUE"""),7.0)</f>
        <v>7</v>
      </c>
      <c r="L668" s="56">
        <f>IFERROR(__xludf.DUMMYFUNCTION("""COMPUTED_VALUE"""),0.4166666666666667)</f>
        <v>0.4166666667</v>
      </c>
      <c r="M668" s="56">
        <f>IFERROR(__xludf.DUMMYFUNCTION("""COMPUTED_VALUE"""),0.33333333333333337)</f>
        <v>0.3333333333</v>
      </c>
      <c r="N668" s="31">
        <f>IFERROR(__xludf.DUMMYFUNCTION("""COMPUTED_VALUE"""),316.9166666666667)</f>
        <v>316.9166667</v>
      </c>
      <c r="O668" s="57">
        <f>IFERROR(__xludf.DUMMYFUNCTION("""COMPUTED_VALUE"""),0.5833333333333334)</f>
        <v>0.5833333333</v>
      </c>
      <c r="P668" s="57">
        <f>IFERROR(__xludf.DUMMYFUNCTION("""COMPUTED_VALUE"""),0.5833333333333334)</f>
        <v>0.5833333333</v>
      </c>
      <c r="Q668" s="57">
        <f>IFERROR(__xludf.DUMMYFUNCTION("""COMPUTED_VALUE"""),1.25)</f>
        <v>1.25</v>
      </c>
      <c r="R668" s="57">
        <f>IFERROR(__xludf.DUMMYFUNCTION("""COMPUTED_VALUE"""),1.75)</f>
        <v>1.75</v>
      </c>
      <c r="S668" s="31">
        <f>IFERROR(__xludf.DUMMYFUNCTION("""COMPUTED_VALUE"""),352.1388888888889)</f>
        <v>352.1388889</v>
      </c>
      <c r="T668" s="57">
        <f>IFERROR(__xludf.DUMMYFUNCTION("""COMPUTED_VALUE"""),0.972222222222222)</f>
        <v>0.9722222222</v>
      </c>
      <c r="U668" s="57">
        <f>IFERROR(__xludf.DUMMYFUNCTION("""COMPUTED_VALUE"""),0.6944444444444443)</f>
        <v>0.6944444444</v>
      </c>
      <c r="V668" s="57">
        <f>IFERROR(__xludf.DUMMYFUNCTION("""COMPUTED_VALUE"""),0.9444444444444445)</f>
        <v>0.9444444444</v>
      </c>
      <c r="W668" s="57">
        <f>IFERROR(__xludf.DUMMYFUNCTION("""COMPUTED_VALUE"""),2.638888888888889)</f>
        <v>2.638888889</v>
      </c>
      <c r="X668" s="31">
        <f>IFERROR(__xludf.DUMMYFUNCTION("""COMPUTED_VALUE"""),360.7651732901733)</f>
        <v>360.7651733</v>
      </c>
      <c r="Y668" s="57">
        <f>IFERROR(__xludf.DUMMYFUNCTION("""COMPUTED_VALUE"""),0.9091091091091091)</f>
        <v>0.9091091091</v>
      </c>
      <c r="Z668" s="57">
        <f>IFERROR(__xludf.DUMMYFUNCTION("""COMPUTED_VALUE"""),0.7061264186264187)</f>
        <v>0.7061264186</v>
      </c>
      <c r="AA668" s="57">
        <f>IFERROR(__xludf.DUMMYFUNCTION("""COMPUTED_VALUE"""),1.1488215488215487)</f>
        <v>1.148821549</v>
      </c>
      <c r="AB668" s="57">
        <f>IFERROR(__xludf.DUMMYFUNCTION("""COMPUTED_VALUE"""),2.7070048945048946)</f>
        <v>2.707004895</v>
      </c>
      <c r="AC668" s="31">
        <f>IFERROR(__xludf.DUMMYFUNCTION("""COMPUTED_VALUE"""),331.9732260398927)</f>
        <v>331.973226</v>
      </c>
      <c r="AD668" s="57">
        <f>IFERROR(__xludf.DUMMYFUNCTION("""COMPUTED_VALUE"""),0.7047227422227421)</f>
        <v>0.7047227422</v>
      </c>
      <c r="AE668" s="57">
        <f>IFERROR(__xludf.DUMMYFUNCTION("""COMPUTED_VALUE"""),0.4954627246293913)</f>
        <v>0.4954627246</v>
      </c>
      <c r="AF668" s="57">
        <f>IFERROR(__xludf.DUMMYFUNCTION("""COMPUTED_VALUE"""),1.355697147363814)</f>
        <v>1.355697147</v>
      </c>
      <c r="AG668" s="57">
        <f>IFERROR(__xludf.DUMMYFUNCTION("""COMPUTED_VALUE"""),2.280539034705702)</f>
        <v>2.280539035</v>
      </c>
      <c r="AH668" s="57">
        <f>IFERROR(__xludf.DUMMYFUNCTION("""COMPUTED_VALUE"""),0.9546452599420873)</f>
        <v>0.9546452599</v>
      </c>
      <c r="AI668" s="57">
        <f>IFERROR(__xludf.DUMMYFUNCTION("""COMPUTED_VALUE"""),0.8277486994295962)</f>
        <v>0.8277486994</v>
      </c>
      <c r="AJ668" s="57">
        <f>IFERROR(__xludf.DUMMYFUNCTION("""COMPUTED_VALUE"""),1.17735059437553)</f>
        <v>1.177350594</v>
      </c>
      <c r="AK668" s="57">
        <f>IFERROR(__xludf.DUMMYFUNCTION("""COMPUTED_VALUE"""),0.9220348382606361)</f>
        <v>0.9220348383</v>
      </c>
      <c r="AL668" s="57">
        <f>IFERROR(__xludf.DUMMYFUNCTION("""COMPUTED_VALUE"""),0.7673624407949822)</f>
        <v>0.7673624408</v>
      </c>
      <c r="AM668" s="57">
        <f>IFERROR(__xludf.DUMMYFUNCTION("""COMPUTED_VALUE"""),0.976088921437142)</f>
        <v>0.9760889214</v>
      </c>
      <c r="AN668" s="57">
        <f>IFERROR(__xludf.DUMMYFUNCTION("""COMPUTED_VALUE"""),1.0694230345738822)</f>
        <v>1.069423035</v>
      </c>
      <c r="AO668" s="57">
        <f>IFERROR(__xludf.DUMMYFUNCTION("""COMPUTED_VALUE"""),0.9834562567355878)</f>
        <v>0.9834562567</v>
      </c>
      <c r="AP668" s="35">
        <f>IFERROR(__xludf.DUMMYFUNCTION("""COMPUTED_VALUE"""),0.8220984759671748)</f>
        <v>0.822098476</v>
      </c>
      <c r="AQ668" s="57">
        <f>IFERROR(__xludf.DUMMYFUNCTION("""COMPUTED_VALUE"""),0.9748371324505994)</f>
        <v>0.9748371325</v>
      </c>
      <c r="AR668" s="36" t="b">
        <f>IFERROR(__xludf.DUMMYFUNCTION("""COMPUTED_VALUE"""),TRUE)</f>
        <v>1</v>
      </c>
      <c r="AS668" s="57"/>
      <c r="AT668" s="37"/>
      <c r="AU668" s="30"/>
      <c r="AV668" s="30"/>
      <c r="AW668" s="30"/>
      <c r="AX668" s="30"/>
      <c r="AY668" s="30"/>
      <c r="AZ668" s="30"/>
    </row>
    <row r="669">
      <c r="A669" s="30" t="str">
        <f>IFERROR(__xludf.DUMMYFUNCTION("""COMPUTED_VALUE"""),"Rival")</f>
        <v>Rival</v>
      </c>
      <c r="B669" s="30" t="str">
        <f>IFERROR(__xludf.DUMMYFUNCTION("""COMPUTED_VALUE"""),"RSC002453")</f>
        <v>RSC002453</v>
      </c>
      <c r="C669" s="30" t="str">
        <f>IFERROR(__xludf.DUMMYFUNCTION("""COMPUTED_VALUE"""),"Ghostie")</f>
        <v>Ghostie</v>
      </c>
      <c r="D669" s="31" t="str">
        <f>IFERROR(__xludf.DUMMYFUNCTION("""COMPUTED_VALUE"""),"Necrotic Nerds")</f>
        <v>Necrotic Nerds</v>
      </c>
      <c r="E669" s="31">
        <f>IFERROR(__xludf.DUMMYFUNCTION("""COMPUTED_VALUE"""),39.871560217042465)</f>
        <v>39.87156022</v>
      </c>
      <c r="F669" s="31">
        <f>IFERROR(__xludf.DUMMYFUNCTION("""COMPUTED_VALUE"""),-2.9181046650437077)</f>
        <v>-2.918104665</v>
      </c>
      <c r="G669" s="31">
        <f>IFERROR(__xludf.DUMMYFUNCTION("""COMPUTED_VALUE"""),41.496292533072086)</f>
        <v>41.49629253</v>
      </c>
      <c r="H669" s="31">
        <f>IFERROR(__xludf.DUMMYFUNCTION("""COMPUTED_VALUE"""),-2.725743148685388)</f>
        <v>-2.725743149</v>
      </c>
      <c r="I669" s="54">
        <f>IFERROR(__xludf.DUMMYFUNCTION("""COMPUTED_VALUE"""),42.0)</f>
        <v>42</v>
      </c>
      <c r="J669" s="55">
        <f>IFERROR(__xludf.DUMMYFUNCTION("""COMPUTED_VALUE"""),13.0)</f>
        <v>13</v>
      </c>
      <c r="K669" s="54">
        <f>IFERROR(__xludf.DUMMYFUNCTION("""COMPUTED_VALUE"""),29.0)</f>
        <v>29</v>
      </c>
      <c r="L669" s="56">
        <f>IFERROR(__xludf.DUMMYFUNCTION("""COMPUTED_VALUE"""),0.30952380952380953)</f>
        <v>0.3095238095</v>
      </c>
      <c r="M669" s="56">
        <f>IFERROR(__xludf.DUMMYFUNCTION("""COMPUTED_VALUE"""),0.3440860215053763)</f>
        <v>0.3440860215</v>
      </c>
      <c r="N669" s="31">
        <f>IFERROR(__xludf.DUMMYFUNCTION("""COMPUTED_VALUE"""),324.3809523809524)</f>
        <v>324.3809524</v>
      </c>
      <c r="O669" s="57">
        <f>IFERROR(__xludf.DUMMYFUNCTION("""COMPUTED_VALUE"""),0.7619047619047619)</f>
        <v>0.7619047619</v>
      </c>
      <c r="P669" s="57">
        <f>IFERROR(__xludf.DUMMYFUNCTION("""COMPUTED_VALUE"""),0.40476190476190477)</f>
        <v>0.4047619048</v>
      </c>
      <c r="Q669" s="57">
        <f>IFERROR(__xludf.DUMMYFUNCTION("""COMPUTED_VALUE"""),1.0952380952380953)</f>
        <v>1.095238095</v>
      </c>
      <c r="R669" s="57">
        <f>IFERROR(__xludf.DUMMYFUNCTION("""COMPUTED_VALUE"""),2.2142857142857144)</f>
        <v>2.214285714</v>
      </c>
      <c r="S669" s="31">
        <f>IFERROR(__xludf.DUMMYFUNCTION("""COMPUTED_VALUE"""),369.1190476190476)</f>
        <v>369.1190476</v>
      </c>
      <c r="T669" s="57">
        <f>IFERROR(__xludf.DUMMYFUNCTION("""COMPUTED_VALUE"""),0.9999999999999998)</f>
        <v>1</v>
      </c>
      <c r="U669" s="57">
        <f>IFERROR(__xludf.DUMMYFUNCTION("""COMPUTED_VALUE"""),0.7460317460317462)</f>
        <v>0.746031746</v>
      </c>
      <c r="V669" s="57">
        <f>IFERROR(__xludf.DUMMYFUNCTION("""COMPUTED_VALUE"""),1.103174603174603)</f>
        <v>1.103174603</v>
      </c>
      <c r="W669" s="57">
        <f>IFERROR(__xludf.DUMMYFUNCTION("""COMPUTED_VALUE"""),2.817460317460318)</f>
        <v>2.817460317</v>
      </c>
      <c r="X669" s="31">
        <f>IFERROR(__xludf.DUMMYFUNCTION("""COMPUTED_VALUE"""),353.93431149895866)</f>
        <v>353.9343115</v>
      </c>
      <c r="Y669" s="57">
        <f>IFERROR(__xludf.DUMMYFUNCTION("""COMPUTED_VALUE"""),0.845588555610625)</f>
        <v>0.8455885556</v>
      </c>
      <c r="Z669" s="57">
        <f>IFERROR(__xludf.DUMMYFUNCTION("""COMPUTED_VALUE"""),0.6216802339761157)</f>
        <v>0.621680234</v>
      </c>
      <c r="AA669" s="57">
        <f>IFERROR(__xludf.DUMMYFUNCTION("""COMPUTED_VALUE"""),1.2414529825798508)</f>
        <v>1.241452983</v>
      </c>
      <c r="AB669" s="57">
        <f>IFERROR(__xludf.DUMMYFUNCTION("""COMPUTED_VALUE"""),2.701317879234639)</f>
        <v>2.701317879</v>
      </c>
      <c r="AC669" s="31">
        <f>IFERROR(__xludf.DUMMYFUNCTION("""COMPUTED_VALUE"""),340.3412244929088)</f>
        <v>340.3412245</v>
      </c>
      <c r="AD669" s="57">
        <f>IFERROR(__xludf.DUMMYFUNCTION("""COMPUTED_VALUE"""),0.741488518326908)</f>
        <v>0.7414885183</v>
      </c>
      <c r="AE669" s="57">
        <f>IFERROR(__xludf.DUMMYFUNCTION("""COMPUTED_VALUE"""),0.532024242327976)</f>
        <v>0.5320242423</v>
      </c>
      <c r="AF669" s="57">
        <f>IFERROR(__xludf.DUMMYFUNCTION("""COMPUTED_VALUE"""),1.3447806692232382)</f>
        <v>1.344780669</v>
      </c>
      <c r="AG669" s="57">
        <f>IFERROR(__xludf.DUMMYFUNCTION("""COMPUTED_VALUE"""),2.475083758784864)</f>
        <v>2.475083759</v>
      </c>
      <c r="AH669" s="57">
        <f>IFERROR(__xludf.DUMMYFUNCTION("""COMPUTED_VALUE"""),0.9531050870027973)</f>
        <v>0.953105087</v>
      </c>
      <c r="AI669" s="57">
        <f>IFERROR(__xludf.DUMMYFUNCTION("""COMPUTED_VALUE"""),1.0275341331298304)</f>
        <v>1.027534133</v>
      </c>
      <c r="AJ669" s="57">
        <f>IFERROR(__xludf.DUMMYFUNCTION("""COMPUTED_VALUE"""),0.7607959798801461)</f>
        <v>0.7607959799</v>
      </c>
      <c r="AK669" s="57">
        <f>IFERROR(__xludf.DUMMYFUNCTION("""COMPUTED_VALUE"""),0.8144362276345913)</f>
        <v>0.8144362276</v>
      </c>
      <c r="AL669" s="57">
        <f>IFERROR(__xludf.DUMMYFUNCTION("""COMPUTED_VALUE"""),0.8946306186311902)</f>
        <v>0.8946306186</v>
      </c>
      <c r="AM669" s="57">
        <f>IFERROR(__xludf.DUMMYFUNCTION("""COMPUTED_VALUE"""),1.0429026958583913)</f>
        <v>1.042902696</v>
      </c>
      <c r="AN669" s="57">
        <f>IFERROR(__xludf.DUMMYFUNCTION("""COMPUTED_VALUE"""),1.182608247669423)</f>
        <v>1.182608248</v>
      </c>
      <c r="AO669" s="57">
        <f>IFERROR(__xludf.DUMMYFUNCTION("""COMPUTED_VALUE"""),1.2000248765515809)</f>
        <v>1.200024877</v>
      </c>
      <c r="AP669" s="35">
        <f>IFERROR(__xludf.DUMMYFUNCTION("""COMPUTED_VALUE"""),0.888615693590028)</f>
        <v>0.8886156936</v>
      </c>
      <c r="AQ669" s="57">
        <f>IFERROR(__xludf.DUMMYFUNCTION("""COMPUTED_VALUE"""),1.0429947319856283)</f>
        <v>1.042994732</v>
      </c>
      <c r="AR669" s="36" t="b">
        <f>IFERROR(__xludf.DUMMYFUNCTION("""COMPUTED_VALUE"""),TRUE)</f>
        <v>1</v>
      </c>
      <c r="AS669" s="57"/>
      <c r="AT669" s="37"/>
      <c r="AU669" s="30"/>
      <c r="AV669" s="30"/>
      <c r="AW669" s="30"/>
      <c r="AX669" s="30"/>
      <c r="AY669" s="30"/>
      <c r="AZ669" s="30"/>
    </row>
    <row r="670">
      <c r="A670" s="30" t="str">
        <f>IFERROR(__xludf.DUMMYFUNCTION("""COMPUTED_VALUE"""),"Rival")</f>
        <v>Rival</v>
      </c>
      <c r="B670" s="30" t="str">
        <f>IFERROR(__xludf.DUMMYFUNCTION("""COMPUTED_VALUE"""),"RSC007582")</f>
        <v>RSC007582</v>
      </c>
      <c r="C670" s="30" t="str">
        <f>IFERROR(__xludf.DUMMYFUNCTION("""COMPUTED_VALUE"""),"Wavy")</f>
        <v>Wavy</v>
      </c>
      <c r="D670" s="31" t="str">
        <f>IFERROR(__xludf.DUMMYFUNCTION("""COMPUTED_VALUE"""),"Ocelots")</f>
        <v>Ocelots</v>
      </c>
      <c r="E670" s="31">
        <f>IFERROR(__xludf.DUMMYFUNCTION("""COMPUTED_VALUE"""),39.65568202946638)</f>
        <v>39.65568203</v>
      </c>
      <c r="F670" s="31">
        <f>IFERROR(__xludf.DUMMYFUNCTION("""COMPUTED_VALUE"""),-2.9453321381830766)</f>
        <v>-2.945332138</v>
      </c>
      <c r="G670" s="31">
        <f>IFERROR(__xludf.DUMMYFUNCTION("""COMPUTED_VALUE"""),35.67685337383261)</f>
        <v>35.67685337</v>
      </c>
      <c r="H670" s="31">
        <f>IFERROR(__xludf.DUMMYFUNCTION("""COMPUTED_VALUE"""),-3.529235982762204)</f>
        <v>-3.529235983</v>
      </c>
      <c r="I670" s="54">
        <f>IFERROR(__xludf.DUMMYFUNCTION("""COMPUTED_VALUE"""),40.0)</f>
        <v>40</v>
      </c>
      <c r="J670" s="55">
        <f>IFERROR(__xludf.DUMMYFUNCTION("""COMPUTED_VALUE"""),25.0)</f>
        <v>25</v>
      </c>
      <c r="K670" s="54">
        <f>IFERROR(__xludf.DUMMYFUNCTION("""COMPUTED_VALUE"""),15.0)</f>
        <v>15</v>
      </c>
      <c r="L670" s="56">
        <f>IFERROR(__xludf.DUMMYFUNCTION("""COMPUTED_VALUE"""),0.625)</f>
        <v>0.625</v>
      </c>
      <c r="M670" s="56">
        <f>IFERROR(__xludf.DUMMYFUNCTION("""COMPUTED_VALUE"""),0.2087912087912088)</f>
        <v>0.2087912088</v>
      </c>
      <c r="N670" s="31">
        <f>IFERROR(__xludf.DUMMYFUNCTION("""COMPUTED_VALUE"""),307.1)</f>
        <v>307.1</v>
      </c>
      <c r="O670" s="57">
        <f>IFERROR(__xludf.DUMMYFUNCTION("""COMPUTED_VALUE"""),0.475)</f>
        <v>0.475</v>
      </c>
      <c r="P670" s="57">
        <f>IFERROR(__xludf.DUMMYFUNCTION("""COMPUTED_VALUE"""),0.525)</f>
        <v>0.525</v>
      </c>
      <c r="Q670" s="57">
        <f>IFERROR(__xludf.DUMMYFUNCTION("""COMPUTED_VALUE"""),1.375)</f>
        <v>1.375</v>
      </c>
      <c r="R670" s="57">
        <f>IFERROR(__xludf.DUMMYFUNCTION("""COMPUTED_VALUE"""),2.275)</f>
        <v>2.275</v>
      </c>
      <c r="S670" s="31">
        <f>IFERROR(__xludf.DUMMYFUNCTION("""COMPUTED_VALUE"""),322.58333333333326)</f>
        <v>322.5833333</v>
      </c>
      <c r="T670" s="57">
        <f>IFERROR(__xludf.DUMMYFUNCTION("""COMPUTED_VALUE"""),0.6249999999999998)</f>
        <v>0.625</v>
      </c>
      <c r="U670" s="57">
        <f>IFERROR(__xludf.DUMMYFUNCTION("""COMPUTED_VALUE"""),0.4416666666666666)</f>
        <v>0.4416666667</v>
      </c>
      <c r="V670" s="57">
        <f>IFERROR(__xludf.DUMMYFUNCTION("""COMPUTED_VALUE"""),1.3416666666666666)</f>
        <v>1.341666667</v>
      </c>
      <c r="W670" s="57">
        <f>IFERROR(__xludf.DUMMYFUNCTION("""COMPUTED_VALUE"""),2.416666666666666)</f>
        <v>2.416666667</v>
      </c>
      <c r="X670" s="31">
        <f>IFERROR(__xludf.DUMMYFUNCTION("""COMPUTED_VALUE"""),354.31603683104385)</f>
        <v>354.3160368</v>
      </c>
      <c r="Y670" s="57">
        <f>IFERROR(__xludf.DUMMYFUNCTION("""COMPUTED_VALUE"""),0.8050452965349756)</f>
        <v>0.8050452965</v>
      </c>
      <c r="Z670" s="57">
        <f>IFERROR(__xludf.DUMMYFUNCTION("""COMPUTED_VALUE"""),0.5548793752646466)</f>
        <v>0.5548793753</v>
      </c>
      <c r="AA670" s="57">
        <f>IFERROR(__xludf.DUMMYFUNCTION("""COMPUTED_VALUE"""),1.3480483837309625)</f>
        <v>1.348048384</v>
      </c>
      <c r="AB670" s="57">
        <f>IFERROR(__xludf.DUMMYFUNCTION("""COMPUTED_VALUE"""),2.655448572849418)</f>
        <v>2.655448573</v>
      </c>
      <c r="AC670" s="31">
        <f>IFERROR(__xludf.DUMMYFUNCTION("""COMPUTED_VALUE"""),347.8657620727556)</f>
        <v>347.8657621</v>
      </c>
      <c r="AD670" s="57">
        <f>IFERROR(__xludf.DUMMYFUNCTION("""COMPUTED_VALUE"""),0.7628568255580126)</f>
        <v>0.7628568256</v>
      </c>
      <c r="AE670" s="57">
        <f>IFERROR(__xludf.DUMMYFUNCTION("""COMPUTED_VALUE"""),0.5439581041832706)</f>
        <v>0.5439581042</v>
      </c>
      <c r="AF670" s="57">
        <f>IFERROR(__xludf.DUMMYFUNCTION("""COMPUTED_VALUE"""),1.354542289564062)</f>
        <v>1.35454229</v>
      </c>
      <c r="AG670" s="57">
        <f>IFERROR(__xludf.DUMMYFUNCTION("""COMPUTED_VALUE"""),2.559799031331335)</f>
        <v>2.559799031</v>
      </c>
      <c r="AH670" s="57">
        <f>IFERROR(__xludf.DUMMYFUNCTION("""COMPUTED_VALUE"""),0.8828118012251246)</f>
        <v>0.8828118012</v>
      </c>
      <c r="AI670" s="57">
        <f>IFERROR(__xludf.DUMMYFUNCTION("""COMPUTED_VALUE"""),0.6226594350159326)</f>
        <v>0.622659435</v>
      </c>
      <c r="AJ670" s="57">
        <f>IFERROR(__xludf.DUMMYFUNCTION("""COMPUTED_VALUE"""),0.9651478596651568)</f>
        <v>0.9651478597</v>
      </c>
      <c r="AK670" s="57">
        <f>IFERROR(__xludf.DUMMYFUNCTION("""COMPUTED_VALUE"""),1.0151030429936019)</f>
        <v>1.015103043</v>
      </c>
      <c r="AL670" s="57">
        <f>IFERROR(__xludf.DUMMYFUNCTION("""COMPUTED_VALUE"""),0.8887416442285265)</f>
        <v>0.8887416442</v>
      </c>
      <c r="AM670" s="57">
        <f>IFERROR(__xludf.DUMMYFUNCTION("""COMPUTED_VALUE"""),0.9104395505732009)</f>
        <v>0.9104395506</v>
      </c>
      <c r="AN670" s="57">
        <f>IFERROR(__xludf.DUMMYFUNCTION("""COMPUTED_VALUE"""),0.7763538308839077)</f>
        <v>0.7763538309</v>
      </c>
      <c r="AO670" s="57">
        <f>IFERROR(__xludf.DUMMYFUNCTION("""COMPUTED_VALUE"""),0.7959687931381774)</f>
        <v>0.7959687931</v>
      </c>
      <c r="AP670" s="35">
        <f>IFERROR(__xludf.DUMMYFUNCTION("""COMPUTED_VALUE"""),0.9952659584468079)</f>
        <v>0.9952659584</v>
      </c>
      <c r="AQ670" s="57">
        <f>IFERROR(__xludf.DUMMYFUNCTION("""COMPUTED_VALUE"""),0.9100785047678299)</f>
        <v>0.9100785048</v>
      </c>
      <c r="AR670" s="36" t="b">
        <f>IFERROR(__xludf.DUMMYFUNCTION("""COMPUTED_VALUE"""),TRUE)</f>
        <v>1</v>
      </c>
      <c r="AS670" s="57"/>
      <c r="AT670" s="37"/>
      <c r="AU670" s="30"/>
      <c r="AV670" s="30"/>
      <c r="AW670" s="30"/>
      <c r="AX670" s="30"/>
      <c r="AY670" s="30"/>
      <c r="AZ670" s="30"/>
    </row>
    <row r="671">
      <c r="A671" s="30" t="str">
        <f>IFERROR(__xludf.DUMMYFUNCTION("""COMPUTED_VALUE"""),"Rival")</f>
        <v>Rival</v>
      </c>
      <c r="B671" s="30" t="str">
        <f>IFERROR(__xludf.DUMMYFUNCTION("""COMPUTED_VALUE"""),"RSC004670")</f>
        <v>RSC004670</v>
      </c>
      <c r="C671" s="30" t="str">
        <f>IFERROR(__xludf.DUMMYFUNCTION("""COMPUTED_VALUE"""),"CarnageWolfBite")</f>
        <v>CarnageWolfBite</v>
      </c>
      <c r="D671" s="31" t="str">
        <f>IFERROR(__xludf.DUMMYFUNCTION("""COMPUTED_VALUE"""),"50 Cent")</f>
        <v>50 Cent</v>
      </c>
      <c r="E671" s="31">
        <f>IFERROR(__xludf.DUMMYFUNCTION("""COMPUTED_VALUE"""),37.89129490034254)</f>
        <v>37.8912949</v>
      </c>
      <c r="F671" s="31">
        <f>IFERROR(__xludf.DUMMYFUNCTION("""COMPUTED_VALUE"""),-3.1840097949816424)</f>
        <v>-3.184009795</v>
      </c>
      <c r="G671" s="31">
        <f>IFERROR(__xludf.DUMMYFUNCTION("""COMPUTED_VALUE"""),25.589109913955582)</f>
        <v>25.58910991</v>
      </c>
      <c r="H671" s="31">
        <f>IFERROR(__xludf.DUMMYFUNCTION("""COMPUTED_VALUE"""),-6.081825267352169)</f>
        <v>-6.081825267</v>
      </c>
      <c r="I671" s="54">
        <f>IFERROR(__xludf.DUMMYFUNCTION("""COMPUTED_VALUE"""),35.0)</f>
        <v>35</v>
      </c>
      <c r="J671" s="55">
        <f>IFERROR(__xludf.DUMMYFUNCTION("""COMPUTED_VALUE"""),17.0)</f>
        <v>17</v>
      </c>
      <c r="K671" s="54">
        <f>IFERROR(__xludf.DUMMYFUNCTION("""COMPUTED_VALUE"""),18.0)</f>
        <v>18</v>
      </c>
      <c r="L671" s="56">
        <f>IFERROR(__xludf.DUMMYFUNCTION("""COMPUTED_VALUE"""),0.4857142857142857)</f>
        <v>0.4857142857</v>
      </c>
      <c r="M671" s="56">
        <f>IFERROR(__xludf.DUMMYFUNCTION("""COMPUTED_VALUE"""),0.27631578947368424)</f>
        <v>0.2763157895</v>
      </c>
      <c r="N671" s="31">
        <f>IFERROR(__xludf.DUMMYFUNCTION("""COMPUTED_VALUE"""),300.0571428571429)</f>
        <v>300.0571429</v>
      </c>
      <c r="O671" s="57">
        <f>IFERROR(__xludf.DUMMYFUNCTION("""COMPUTED_VALUE"""),0.6)</f>
        <v>0.6</v>
      </c>
      <c r="P671" s="57">
        <f>IFERROR(__xludf.DUMMYFUNCTION("""COMPUTED_VALUE"""),0.6285714285714286)</f>
        <v>0.6285714286</v>
      </c>
      <c r="Q671" s="57">
        <f>IFERROR(__xludf.DUMMYFUNCTION("""COMPUTED_VALUE"""),1.0571428571428572)</f>
        <v>1.057142857</v>
      </c>
      <c r="R671" s="57">
        <f>IFERROR(__xludf.DUMMYFUNCTION("""COMPUTED_VALUE"""),2.1714285714285713)</f>
        <v>2.171428571</v>
      </c>
      <c r="S671" s="31">
        <f>IFERROR(__xludf.DUMMYFUNCTION("""COMPUTED_VALUE"""),363.22857142857146)</f>
        <v>363.2285714</v>
      </c>
      <c r="T671" s="57">
        <f>IFERROR(__xludf.DUMMYFUNCTION("""COMPUTED_VALUE"""),0.895238095238095)</f>
        <v>0.8952380952</v>
      </c>
      <c r="U671" s="57">
        <f>IFERROR(__xludf.DUMMYFUNCTION("""COMPUTED_VALUE"""),0.5809523809523808)</f>
        <v>0.580952381</v>
      </c>
      <c r="V671" s="57">
        <f>IFERROR(__xludf.DUMMYFUNCTION("""COMPUTED_VALUE"""),1.3619047619047622)</f>
        <v>1.361904762</v>
      </c>
      <c r="W671" s="57">
        <f>IFERROR(__xludf.DUMMYFUNCTION("""COMPUTED_VALUE"""),2.6476190476190475)</f>
        <v>2.647619048</v>
      </c>
      <c r="X671" s="31">
        <f>IFERROR(__xludf.DUMMYFUNCTION("""COMPUTED_VALUE"""),353.02063171316763)</f>
        <v>353.0206317</v>
      </c>
      <c r="Y671" s="57">
        <f>IFERROR(__xludf.DUMMYFUNCTION("""COMPUTED_VALUE"""),0.8158704304926517)</f>
        <v>0.8158704305</v>
      </c>
      <c r="Z671" s="57">
        <f>IFERROR(__xludf.DUMMYFUNCTION("""COMPUTED_VALUE"""),0.5672838586225042)</f>
        <v>0.5672838586</v>
      </c>
      <c r="AA671" s="57">
        <f>IFERROR(__xludf.DUMMYFUNCTION("""COMPUTED_VALUE"""),1.361853559994771)</f>
        <v>1.36185356</v>
      </c>
      <c r="AB671" s="57">
        <f>IFERROR(__xludf.DUMMYFUNCTION("""COMPUTED_VALUE"""),2.670190424581315)</f>
        <v>2.670190425</v>
      </c>
      <c r="AC671" s="31">
        <f>IFERROR(__xludf.DUMMYFUNCTION("""COMPUTED_VALUE"""),358.0597013214332)</f>
        <v>358.0597013</v>
      </c>
      <c r="AD671" s="57">
        <f>IFERROR(__xludf.DUMMYFUNCTION("""COMPUTED_VALUE"""),0.8303222390760211)</f>
        <v>0.8303222391</v>
      </c>
      <c r="AE671" s="57">
        <f>IFERROR(__xludf.DUMMYFUNCTION("""COMPUTED_VALUE"""),0.5931658696393155)</f>
        <v>0.5931658696</v>
      </c>
      <c r="AF671" s="57">
        <f>IFERROR(__xludf.DUMMYFUNCTION("""COMPUTED_VALUE"""),1.3502777118278457)</f>
        <v>1.350277712</v>
      </c>
      <c r="AG671" s="57">
        <f>IFERROR(__xludf.DUMMYFUNCTION("""COMPUTED_VALUE"""),2.6979095555646797)</f>
        <v>2.697909556</v>
      </c>
      <c r="AH671" s="57">
        <f>IFERROR(__xludf.DUMMYFUNCTION("""COMPUTED_VALUE"""),0.8380086944991866)</f>
        <v>0.8380086945</v>
      </c>
      <c r="AI671" s="57">
        <f>IFERROR(__xludf.DUMMYFUNCTION("""COMPUTED_VALUE"""),0.7226110198706436)</f>
        <v>0.7226110199</v>
      </c>
      <c r="AJ671" s="57">
        <f>IFERROR(__xludf.DUMMYFUNCTION("""COMPUTED_VALUE"""),1.0596891371272625)</f>
        <v>1.059689137</v>
      </c>
      <c r="AK671" s="57">
        <f>IFERROR(__xludf.DUMMYFUNCTION("""COMPUTED_VALUE"""),0.7829077291898884)</f>
        <v>0.7829077292</v>
      </c>
      <c r="AL671" s="57">
        <f>IFERROR(__xludf.DUMMYFUNCTION("""COMPUTED_VALUE"""),0.8048559548446707)</f>
        <v>0.8048559548</v>
      </c>
      <c r="AM671" s="57">
        <f>IFERROR(__xludf.DUMMYFUNCTION("""COMPUTED_VALUE"""),1.028915986201333)</f>
        <v>1.028915986</v>
      </c>
      <c r="AN671" s="57">
        <f>IFERROR(__xludf.DUMMYFUNCTION("""COMPUTED_VALUE"""),1.097279741707906)</f>
        <v>1.097279742</v>
      </c>
      <c r="AO671" s="57">
        <f>IFERROR(__xludf.DUMMYFUNCTION("""COMPUTED_VALUE"""),1.02409467874349)</f>
        <v>1.024094679</v>
      </c>
      <c r="AP671" s="35">
        <f>IFERROR(__xludf.DUMMYFUNCTION("""COMPUTED_VALUE"""),1.0000375972215334)</f>
        <v>1.000037597</v>
      </c>
      <c r="AQ671" s="57">
        <f>IFERROR(__xludf.DUMMYFUNCTION("""COMPUTED_VALUE"""),0.9915469036386023)</f>
        <v>0.9915469036</v>
      </c>
      <c r="AR671" s="36" t="b">
        <f>IFERROR(__xludf.DUMMYFUNCTION("""COMPUTED_VALUE"""),TRUE)</f>
        <v>1</v>
      </c>
      <c r="AS671" s="57"/>
      <c r="AT671" s="37"/>
      <c r="AU671" s="30"/>
      <c r="AV671" s="30"/>
      <c r="AW671" s="30"/>
      <c r="AX671" s="30"/>
      <c r="AY671" s="30"/>
      <c r="AZ671" s="30"/>
    </row>
    <row r="672">
      <c r="A672" s="30" t="str">
        <f>IFERROR(__xludf.DUMMYFUNCTION("""COMPUTED_VALUE"""),"Rival")</f>
        <v>Rival</v>
      </c>
      <c r="B672" s="30" t="str">
        <f>IFERROR(__xludf.DUMMYFUNCTION("""COMPUTED_VALUE"""),"RSC007227")</f>
        <v>RSC007227</v>
      </c>
      <c r="C672" s="30" t="str">
        <f>IFERROR(__xludf.DUMMYFUNCTION("""COMPUTED_VALUE"""),"Trickyzekie")</f>
        <v>Trickyzekie</v>
      </c>
      <c r="D672" s="31" t="str">
        <f>IFERROR(__xludf.DUMMYFUNCTION("""COMPUTED_VALUE"""),"Ostriches")</f>
        <v>Ostriches</v>
      </c>
      <c r="E672" s="31">
        <f>IFERROR(__xludf.DUMMYFUNCTION("""COMPUTED_VALUE"""),37.42705808803975)</f>
        <v>37.42705809</v>
      </c>
      <c r="F672" s="31">
        <f>IFERROR(__xludf.DUMMYFUNCTION("""COMPUTED_VALUE"""),-3.2519153840760615)</f>
        <v>-3.251915384</v>
      </c>
      <c r="G672" s="31">
        <f>IFERROR(__xludf.DUMMYFUNCTION("""COMPUTED_VALUE"""),38.82599862065207)</f>
        <v>38.82599862</v>
      </c>
      <c r="H672" s="31">
        <f>IFERROR(__xludf.DUMMYFUNCTION("""COMPUTED_VALUE"""),-3.0538831666984256)</f>
        <v>-3.053883167</v>
      </c>
      <c r="I672" s="54">
        <f>IFERROR(__xludf.DUMMYFUNCTION("""COMPUTED_VALUE"""),36.0)</f>
        <v>36</v>
      </c>
      <c r="J672" s="55">
        <f>IFERROR(__xludf.DUMMYFUNCTION("""COMPUTED_VALUE"""),12.0)</f>
        <v>12</v>
      </c>
      <c r="K672" s="54">
        <f>IFERROR(__xludf.DUMMYFUNCTION("""COMPUTED_VALUE"""),24.0)</f>
        <v>24</v>
      </c>
      <c r="L672" s="56">
        <f>IFERROR(__xludf.DUMMYFUNCTION("""COMPUTED_VALUE"""),0.3333333333333333)</f>
        <v>0.3333333333</v>
      </c>
      <c r="M672" s="56">
        <f>IFERROR(__xludf.DUMMYFUNCTION("""COMPUTED_VALUE"""),0.3088235294117647)</f>
        <v>0.3088235294</v>
      </c>
      <c r="N672" s="31">
        <f>IFERROR(__xludf.DUMMYFUNCTION("""COMPUTED_VALUE"""),338.27777777777777)</f>
        <v>338.2777778</v>
      </c>
      <c r="O672" s="57">
        <f>IFERROR(__xludf.DUMMYFUNCTION("""COMPUTED_VALUE"""),0.5833333333333334)</f>
        <v>0.5833333333</v>
      </c>
      <c r="P672" s="57">
        <f>IFERROR(__xludf.DUMMYFUNCTION("""COMPUTED_VALUE"""),0.4722222222222222)</f>
        <v>0.4722222222</v>
      </c>
      <c r="Q672" s="57">
        <f>IFERROR(__xludf.DUMMYFUNCTION("""COMPUTED_VALUE"""),1.6111111111111112)</f>
        <v>1.611111111</v>
      </c>
      <c r="R672" s="57">
        <f>IFERROR(__xludf.DUMMYFUNCTION("""COMPUTED_VALUE"""),1.8888888888888888)</f>
        <v>1.888888889</v>
      </c>
      <c r="S672" s="31">
        <f>IFERROR(__xludf.DUMMYFUNCTION("""COMPUTED_VALUE"""),360.46296296296305)</f>
        <v>360.462963</v>
      </c>
      <c r="T672" s="57">
        <f>IFERROR(__xludf.DUMMYFUNCTION("""COMPUTED_VALUE"""),0.8796296296296298)</f>
        <v>0.8796296296</v>
      </c>
      <c r="U672" s="57">
        <f>IFERROR(__xludf.DUMMYFUNCTION("""COMPUTED_VALUE"""),0.5833333333333334)</f>
        <v>0.5833333333</v>
      </c>
      <c r="V672" s="57">
        <f>IFERROR(__xludf.DUMMYFUNCTION("""COMPUTED_VALUE"""),1.2499999999999996)</f>
        <v>1.25</v>
      </c>
      <c r="W672" s="57">
        <f>IFERROR(__xludf.DUMMYFUNCTION("""COMPUTED_VALUE"""),2.759259259259258)</f>
        <v>2.759259259</v>
      </c>
      <c r="X672" s="31">
        <f>IFERROR(__xludf.DUMMYFUNCTION("""COMPUTED_VALUE"""),352.9452796883589)</f>
        <v>352.9452797</v>
      </c>
      <c r="Y672" s="57">
        <f>IFERROR(__xludf.DUMMYFUNCTION("""COMPUTED_VALUE"""),0.820823541357456)</f>
        <v>0.8208235414</v>
      </c>
      <c r="Z672" s="57">
        <f>IFERROR(__xludf.DUMMYFUNCTION("""COMPUTED_VALUE"""),0.6095040610022956)</f>
        <v>0.609504061</v>
      </c>
      <c r="AA672" s="57">
        <f>IFERROR(__xludf.DUMMYFUNCTION("""COMPUTED_VALUE"""),1.2689231135756602)</f>
        <v>1.268923114</v>
      </c>
      <c r="AB672" s="57">
        <f>IFERROR(__xludf.DUMMYFUNCTION("""COMPUTED_VALUE"""),2.596013870602058)</f>
        <v>2.596013871</v>
      </c>
      <c r="AC672" s="31">
        <f>IFERROR(__xludf.DUMMYFUNCTION("""COMPUTED_VALUE"""),334.7510072450771)</f>
        <v>334.7510072</v>
      </c>
      <c r="AD672" s="57">
        <f>IFERROR(__xludf.DUMMYFUNCTION("""COMPUTED_VALUE"""),0.7027764218165626)</f>
        <v>0.7027764218</v>
      </c>
      <c r="AE672" s="57">
        <f>IFERROR(__xludf.DUMMYFUNCTION("""COMPUTED_VALUE"""),0.5063741839329485)</f>
        <v>0.5063741839</v>
      </c>
      <c r="AF672" s="57">
        <f>IFERROR(__xludf.DUMMYFUNCTION("""COMPUTED_VALUE"""),1.332167343367189)</f>
        <v>1.332167343</v>
      </c>
      <c r="AG672" s="57">
        <f>IFERROR(__xludf.DUMMYFUNCTION("""COMPUTED_VALUE"""),2.434719161336874)</f>
        <v>2.434719161</v>
      </c>
      <c r="AH672" s="57">
        <f>IFERROR(__xludf.DUMMYFUNCTION("""COMPUTED_VALUE"""),1.0105355038711463)</f>
        <v>1.010535504</v>
      </c>
      <c r="AI672" s="57">
        <f>IFERROR(__xludf.DUMMYFUNCTION("""COMPUTED_VALUE"""),0.8300411271987636)</f>
        <v>0.8300411272</v>
      </c>
      <c r="AJ672" s="57">
        <f>IFERROR(__xludf.DUMMYFUNCTION("""COMPUTED_VALUE"""),0.9325558790429005)</f>
        <v>0.932555879</v>
      </c>
      <c r="AK672" s="57">
        <f>IFERROR(__xludf.DUMMYFUNCTION("""COMPUTED_VALUE"""),1.209390936606255)</f>
        <v>1.209390937</v>
      </c>
      <c r="AL672" s="57">
        <f>IFERROR(__xludf.DUMMYFUNCTION("""COMPUTED_VALUE"""),0.775813867522907)</f>
        <v>0.7758138675</v>
      </c>
      <c r="AM672" s="57">
        <f>IFERROR(__xludf.DUMMYFUNCTION("""COMPUTED_VALUE"""),1.0212998549838719)</f>
        <v>1.021299855</v>
      </c>
      <c r="AN672" s="57">
        <f>IFERROR(__xludf.DUMMYFUNCTION("""COMPUTED_VALUE"""),1.071642789599969)</f>
        <v>1.07164279</v>
      </c>
      <c r="AO672" s="57">
        <f>IFERROR(__xludf.DUMMYFUNCTION("""COMPUTED_VALUE"""),0.9570622587388082)</f>
        <v>0.9570622587</v>
      </c>
      <c r="AP672" s="35">
        <f>IFERROR(__xludf.DUMMYFUNCTION("""COMPUTED_VALUE"""),0.9850872654353834)</f>
        <v>0.9850872654</v>
      </c>
      <c r="AQ672" s="57">
        <f>IFERROR(__xludf.DUMMYFUNCTION("""COMPUTED_VALUE"""),1.062883095697536)</f>
        <v>1.062883096</v>
      </c>
      <c r="AR672" s="36" t="b">
        <f>IFERROR(__xludf.DUMMYFUNCTION("""COMPUTED_VALUE"""),TRUE)</f>
        <v>1</v>
      </c>
      <c r="AS672" s="57"/>
      <c r="AT672" s="37"/>
      <c r="AU672" s="30"/>
      <c r="AV672" s="30"/>
      <c r="AW672" s="30"/>
      <c r="AX672" s="30"/>
      <c r="AY672" s="30"/>
      <c r="AZ672" s="30"/>
    </row>
    <row r="673">
      <c r="A673" s="30" t="str">
        <f>IFERROR(__xludf.DUMMYFUNCTION("""COMPUTED_VALUE"""),"Rival")</f>
        <v>Rival</v>
      </c>
      <c r="B673" s="30" t="str">
        <f>IFERROR(__xludf.DUMMYFUNCTION("""COMPUTED_VALUE"""),"RSC004399")</f>
        <v>RSC004399</v>
      </c>
      <c r="C673" s="30" t="str">
        <f>IFERROR(__xludf.DUMMYFUNCTION("""COMPUTED_VALUE"""),"zippythegnome")</f>
        <v>zippythegnome</v>
      </c>
      <c r="D673" s="31" t="str">
        <f>IFERROR(__xludf.DUMMYFUNCTION("""COMPUTED_VALUE"""),"Kitsune")</f>
        <v>Kitsune</v>
      </c>
      <c r="E673" s="31">
        <f>IFERROR(__xludf.DUMMYFUNCTION("""COMPUTED_VALUE"""),37.14515947666355)</f>
        <v>37.14515948</v>
      </c>
      <c r="F673" s="31">
        <f>IFERROR(__xludf.DUMMYFUNCTION("""COMPUTED_VALUE"""),-3.2942599662882373)</f>
        <v>-3.294259966</v>
      </c>
      <c r="G673" s="31">
        <f>IFERROR(__xludf.DUMMYFUNCTION("""COMPUTED_VALUE"""),41.96566172367061)</f>
        <v>41.96566172</v>
      </c>
      <c r="H673" s="31">
        <f>IFERROR(__xludf.DUMMYFUNCTION("""COMPUTED_VALUE"""),-2.6740565493136894)</f>
        <v>-2.674056549</v>
      </c>
      <c r="I673" s="54">
        <f>IFERROR(__xludf.DUMMYFUNCTION("""COMPUTED_VALUE"""),28.0)</f>
        <v>28</v>
      </c>
      <c r="J673" s="55">
        <f>IFERROR(__xludf.DUMMYFUNCTION("""COMPUTED_VALUE"""),13.0)</f>
        <v>13</v>
      </c>
      <c r="K673" s="54">
        <f>IFERROR(__xludf.DUMMYFUNCTION("""COMPUTED_VALUE"""),15.0)</f>
        <v>15</v>
      </c>
      <c r="L673" s="56">
        <f>IFERROR(__xludf.DUMMYFUNCTION("""COMPUTED_VALUE"""),0.4642857142857143)</f>
        <v>0.4642857143</v>
      </c>
      <c r="M673" s="56">
        <f>IFERROR(__xludf.DUMMYFUNCTION("""COMPUTED_VALUE"""),0.30769230769230765)</f>
        <v>0.3076923077</v>
      </c>
      <c r="N673" s="31">
        <f>IFERROR(__xludf.DUMMYFUNCTION("""COMPUTED_VALUE"""),314.5)</f>
        <v>314.5</v>
      </c>
      <c r="O673" s="57">
        <f>IFERROR(__xludf.DUMMYFUNCTION("""COMPUTED_VALUE"""),0.5714285714285714)</f>
        <v>0.5714285714</v>
      </c>
      <c r="P673" s="57">
        <f>IFERROR(__xludf.DUMMYFUNCTION("""COMPUTED_VALUE"""),0.5714285714285714)</f>
        <v>0.5714285714</v>
      </c>
      <c r="Q673" s="57">
        <f>IFERROR(__xludf.DUMMYFUNCTION("""COMPUTED_VALUE"""),1.4285714285714286)</f>
        <v>1.428571429</v>
      </c>
      <c r="R673" s="57">
        <f>IFERROR(__xludf.DUMMYFUNCTION("""COMPUTED_VALUE"""),1.8571428571428572)</f>
        <v>1.857142857</v>
      </c>
      <c r="S673" s="31">
        <f>IFERROR(__xludf.DUMMYFUNCTION("""COMPUTED_VALUE"""),337.9166666666666)</f>
        <v>337.9166667</v>
      </c>
      <c r="T673" s="57">
        <f>IFERROR(__xludf.DUMMYFUNCTION("""COMPUTED_VALUE"""),0.7261904761904762)</f>
        <v>0.7261904762</v>
      </c>
      <c r="U673" s="57">
        <f>IFERROR(__xludf.DUMMYFUNCTION("""COMPUTED_VALUE"""),0.5357142857142857)</f>
        <v>0.5357142857</v>
      </c>
      <c r="V673" s="57">
        <f>IFERROR(__xludf.DUMMYFUNCTION("""COMPUTED_VALUE"""),1.2380952380952384)</f>
        <v>1.238095238</v>
      </c>
      <c r="W673" s="57">
        <f>IFERROR(__xludf.DUMMYFUNCTION("""COMPUTED_VALUE"""),2.488095238095238)</f>
        <v>2.488095238</v>
      </c>
      <c r="X673" s="31">
        <f>IFERROR(__xludf.DUMMYFUNCTION("""COMPUTED_VALUE"""),341.86260900789)</f>
        <v>341.862609</v>
      </c>
      <c r="Y673" s="57">
        <f>IFERROR(__xludf.DUMMYFUNCTION("""COMPUTED_VALUE"""),0.7783553536625886)</f>
        <v>0.7783553537</v>
      </c>
      <c r="Z673" s="57">
        <f>IFERROR(__xludf.DUMMYFUNCTION("""COMPUTED_VALUE"""),0.5436455416771673)</f>
        <v>0.5436455417</v>
      </c>
      <c r="AA673" s="57">
        <f>IFERROR(__xludf.DUMMYFUNCTION("""COMPUTED_VALUE"""),1.291356454974103)</f>
        <v>1.291356455</v>
      </c>
      <c r="AB673" s="57">
        <f>IFERROR(__xludf.DUMMYFUNCTION("""COMPUTED_VALUE"""),2.568819931467135)</f>
        <v>2.568819931</v>
      </c>
      <c r="AC673" s="31">
        <f>IFERROR(__xludf.DUMMYFUNCTION("""COMPUTED_VALUE"""),347.9915993326109)</f>
        <v>347.9915993</v>
      </c>
      <c r="AD673" s="57">
        <f>IFERROR(__xludf.DUMMYFUNCTION("""COMPUTED_VALUE"""),0.8042923794338047)</f>
        <v>0.8042923794</v>
      </c>
      <c r="AE673" s="57">
        <f>IFERROR(__xludf.DUMMYFUNCTION("""COMPUTED_VALUE"""),0.5594762754002697)</f>
        <v>0.5594762754</v>
      </c>
      <c r="AF673" s="57">
        <f>IFERROR(__xludf.DUMMYFUNCTION("""COMPUTED_VALUE"""),1.3518425655650204)</f>
        <v>1.351842566</v>
      </c>
      <c r="AG673" s="57">
        <f>IFERROR(__xludf.DUMMYFUNCTION("""COMPUTED_VALUE"""),2.535208235779641)</f>
        <v>2.535208236</v>
      </c>
      <c r="AH673" s="57">
        <f>IFERROR(__xludf.DUMMYFUNCTION("""COMPUTED_VALUE"""),0.9037574487520902)</f>
        <v>0.9037574488</v>
      </c>
      <c r="AI673" s="57">
        <f>IFERROR(__xludf.DUMMYFUNCTION("""COMPUTED_VALUE"""),0.7104736859882201)</f>
        <v>0.710473686</v>
      </c>
      <c r="AJ673" s="57">
        <f>IFERROR(__xludf.DUMMYFUNCTION("""COMPUTED_VALUE"""),1.0213633652646854)</f>
        <v>1.021363365</v>
      </c>
      <c r="AK673" s="57">
        <f>IFERROR(__xludf.DUMMYFUNCTION("""COMPUTED_VALUE"""),1.0567587269116197)</f>
        <v>1.056758727</v>
      </c>
      <c r="AL673" s="57">
        <f>IFERROR(__xludf.DUMMYFUNCTION("""COMPUTED_VALUE"""),0.7325405585753545)</f>
        <v>0.7325405586</v>
      </c>
      <c r="AM673" s="57">
        <f>IFERROR(__xludf.DUMMYFUNCTION("""COMPUTED_VALUE"""),0.988457519959042)</f>
        <v>0.98845752</v>
      </c>
      <c r="AN673" s="57">
        <f>IFERROR(__xludf.DUMMYFUNCTION("""COMPUTED_VALUE"""),0.9329806402350186)</f>
        <v>0.9329806402</v>
      </c>
      <c r="AO673" s="57">
        <f>IFERROR(__xludf.DUMMYFUNCTION("""COMPUTED_VALUE"""),0.9854109794804656)</f>
        <v>0.9854109795</v>
      </c>
      <c r="AP673" s="35">
        <f>IFERROR(__xludf.DUMMYFUNCTION("""COMPUTED_VALUE"""),0.9587556040985347)</f>
        <v>0.9587556041</v>
      </c>
      <c r="AQ673" s="57">
        <f>IFERROR(__xludf.DUMMYFUNCTION("""COMPUTED_VALUE"""),0.9685751841212972)</f>
        <v>0.9685751841</v>
      </c>
      <c r="AR673" s="36" t="b">
        <f>IFERROR(__xludf.DUMMYFUNCTION("""COMPUTED_VALUE"""),TRUE)</f>
        <v>1</v>
      </c>
      <c r="AS673" s="57"/>
      <c r="AT673" s="37"/>
      <c r="AU673" s="30"/>
      <c r="AV673" s="30"/>
      <c r="AW673" s="30"/>
      <c r="AX673" s="30"/>
      <c r="AY673" s="30"/>
      <c r="AZ673" s="30"/>
    </row>
    <row r="674">
      <c r="A674" s="30" t="str">
        <f>IFERROR(__xludf.DUMMYFUNCTION("""COMPUTED_VALUE"""),"Rival")</f>
        <v>Rival</v>
      </c>
      <c r="B674" s="30" t="str">
        <f>IFERROR(__xludf.DUMMYFUNCTION("""COMPUTED_VALUE"""),"RSC004888")</f>
        <v>RSC004888</v>
      </c>
      <c r="C674" s="30" t="str">
        <f>IFERROR(__xludf.DUMMYFUNCTION("""COMPUTED_VALUE"""),"AgentAnime07")</f>
        <v>AgentAnime07</v>
      </c>
      <c r="D674" s="31" t="str">
        <f>IFERROR(__xludf.DUMMYFUNCTION("""COMPUTED_VALUE"""),"Phantoms")</f>
        <v>Phantoms</v>
      </c>
      <c r="E674" s="31">
        <f>IFERROR(__xludf.DUMMYFUNCTION("""COMPUTED_VALUE"""),36.43095319631706)</f>
        <v>36.4309532</v>
      </c>
      <c r="F674" s="31">
        <f>IFERROR(__xludf.DUMMYFUNCTION("""COMPUTED_VALUE"""),-3.40545074532692)</f>
        <v>-3.405450745</v>
      </c>
      <c r="G674" s="31">
        <f>IFERROR(__xludf.DUMMYFUNCTION("""COMPUTED_VALUE"""),39.423024371817476)</f>
        <v>39.42302437</v>
      </c>
      <c r="H674" s="31">
        <f>IFERROR(__xludf.DUMMYFUNCTION("""COMPUTED_VALUE"""),-2.975138529556837)</f>
        <v>-2.97513853</v>
      </c>
      <c r="I674" s="54">
        <f>IFERROR(__xludf.DUMMYFUNCTION("""COMPUTED_VALUE"""),48.0)</f>
        <v>48</v>
      </c>
      <c r="J674" s="55">
        <f>IFERROR(__xludf.DUMMYFUNCTION("""COMPUTED_VALUE"""),16.0)</f>
        <v>16</v>
      </c>
      <c r="K674" s="54">
        <f>IFERROR(__xludf.DUMMYFUNCTION("""COMPUTED_VALUE"""),32.0)</f>
        <v>32</v>
      </c>
      <c r="L674" s="56">
        <f>IFERROR(__xludf.DUMMYFUNCTION("""COMPUTED_VALUE"""),0.3333333333333333)</f>
        <v>0.3333333333</v>
      </c>
      <c r="M674" s="56">
        <f>IFERROR(__xludf.DUMMYFUNCTION("""COMPUTED_VALUE"""),0.25663716814159293)</f>
        <v>0.2566371681</v>
      </c>
      <c r="N674" s="31">
        <f>IFERROR(__xludf.DUMMYFUNCTION("""COMPUTED_VALUE"""),321.4166666666667)</f>
        <v>321.4166667</v>
      </c>
      <c r="O674" s="57">
        <f>IFERROR(__xludf.DUMMYFUNCTION("""COMPUTED_VALUE"""),0.6041666666666666)</f>
        <v>0.6041666667</v>
      </c>
      <c r="P674" s="57">
        <f>IFERROR(__xludf.DUMMYFUNCTION("""COMPUTED_VALUE"""),0.5416666666666666)</f>
        <v>0.5416666667</v>
      </c>
      <c r="Q674" s="57">
        <f>IFERROR(__xludf.DUMMYFUNCTION("""COMPUTED_VALUE"""),1.3958333333333333)</f>
        <v>1.395833333</v>
      </c>
      <c r="R674" s="57">
        <f>IFERROR(__xludf.DUMMYFUNCTION("""COMPUTED_VALUE"""),2.3541666666666665)</f>
        <v>2.354166667</v>
      </c>
      <c r="S674" s="31">
        <f>IFERROR(__xludf.DUMMYFUNCTION("""COMPUTED_VALUE"""),372.9583333333333)</f>
        <v>372.9583333</v>
      </c>
      <c r="T674" s="57">
        <f>IFERROR(__xludf.DUMMYFUNCTION("""COMPUTED_VALUE"""),0.9930555555555555)</f>
        <v>0.9930555556</v>
      </c>
      <c r="U674" s="57">
        <f>IFERROR(__xludf.DUMMYFUNCTION("""COMPUTED_VALUE"""),0.7222222222222222)</f>
        <v>0.7222222222</v>
      </c>
      <c r="V674" s="57">
        <f>IFERROR(__xludf.DUMMYFUNCTION("""COMPUTED_VALUE"""),1.229166666666667)</f>
        <v>1.229166667</v>
      </c>
      <c r="W674" s="57">
        <f>IFERROR(__xludf.DUMMYFUNCTION("""COMPUTED_VALUE"""),2.868055555555554)</f>
        <v>2.868055556</v>
      </c>
      <c r="X674" s="31">
        <f>IFERROR(__xludf.DUMMYFUNCTION("""COMPUTED_VALUE"""),353.9034576845533)</f>
        <v>353.9034577</v>
      </c>
      <c r="Y674" s="57">
        <f>IFERROR(__xludf.DUMMYFUNCTION("""COMPUTED_VALUE"""),0.8156032451931784)</f>
        <v>0.8156032452</v>
      </c>
      <c r="Z674" s="57">
        <f>IFERROR(__xludf.DUMMYFUNCTION("""COMPUTED_VALUE"""),0.5633055878186174)</f>
        <v>0.5633055878</v>
      </c>
      <c r="AA674" s="57">
        <f>IFERROR(__xludf.DUMMYFUNCTION("""COMPUTED_VALUE"""),1.3418354967187291)</f>
        <v>1.341835497</v>
      </c>
      <c r="AB674" s="57">
        <f>IFERROR(__xludf.DUMMYFUNCTION("""COMPUTED_VALUE"""),2.6098181639163234)</f>
        <v>2.609818164</v>
      </c>
      <c r="AC674" s="31">
        <f>IFERROR(__xludf.DUMMYFUNCTION("""COMPUTED_VALUE"""),344.41724153613546)</f>
        <v>344.4172415</v>
      </c>
      <c r="AD674" s="57">
        <f>IFERROR(__xludf.DUMMYFUNCTION("""COMPUTED_VALUE"""),0.7654706934964738)</f>
        <v>0.7654706935</v>
      </c>
      <c r="AE674" s="57">
        <f>IFERROR(__xludf.DUMMYFUNCTION("""COMPUTED_VALUE"""),0.5512217444116801)</f>
        <v>0.5512217444</v>
      </c>
      <c r="AF674" s="57">
        <f>IFERROR(__xludf.DUMMYFUNCTION("""COMPUTED_VALUE"""),1.3062999103913693)</f>
        <v>1.30629991</v>
      </c>
      <c r="AG674" s="57">
        <f>IFERROR(__xludf.DUMMYFUNCTION("""COMPUTED_VALUE"""),2.5674006019905415)</f>
        <v>2.567400602</v>
      </c>
      <c r="AH674" s="57">
        <f>IFERROR(__xludf.DUMMYFUNCTION("""COMPUTED_VALUE"""),0.9332188633563061)</f>
        <v>0.9332188634</v>
      </c>
      <c r="AI674" s="57">
        <f>IFERROR(__xludf.DUMMYFUNCTION("""COMPUTED_VALUE"""),0.7892747192018394)</f>
        <v>0.7892747192</v>
      </c>
      <c r="AJ674" s="57">
        <f>IFERROR(__xludf.DUMMYFUNCTION("""COMPUTED_VALUE"""),0.9826656371199368)</f>
        <v>0.9826656371</v>
      </c>
      <c r="AK674" s="57">
        <f>IFERROR(__xludf.DUMMYFUNCTION("""COMPUTED_VALUE"""),1.0685397145247753)</f>
        <v>1.068539715</v>
      </c>
      <c r="AL674" s="57">
        <f>IFERROR(__xludf.DUMMYFUNCTION("""COMPUTED_VALUE"""),0.9169455926906959)</f>
        <v>0.9169455927</v>
      </c>
      <c r="AM674" s="57">
        <f>IFERROR(__xludf.DUMMYFUNCTION("""COMPUTED_VALUE"""),1.0538420160499373)</f>
        <v>1.053842016</v>
      </c>
      <c r="AN674" s="57">
        <f>IFERROR(__xludf.DUMMYFUNCTION("""COMPUTED_VALUE"""),1.2175718542173615)</f>
        <v>1.217571854</v>
      </c>
      <c r="AO674" s="57">
        <f>IFERROR(__xludf.DUMMYFUNCTION("""COMPUTED_VALUE"""),1.2821144292550057)</f>
        <v>1.282114429</v>
      </c>
      <c r="AP674" s="35">
        <f>IFERROR(__xludf.DUMMYFUNCTION("""COMPUTED_VALUE"""),0.9160337982356421)</f>
        <v>0.9160337982</v>
      </c>
      <c r="AQ674" s="57">
        <f>IFERROR(__xludf.DUMMYFUNCTION("""COMPUTED_VALUE"""),1.0989484230011322)</f>
        <v>1.098948423</v>
      </c>
      <c r="AR674" s="36" t="b">
        <f>IFERROR(__xludf.DUMMYFUNCTION("""COMPUTED_VALUE"""),TRUE)</f>
        <v>1</v>
      </c>
      <c r="AS674" s="57"/>
      <c r="AT674" s="37"/>
      <c r="AU674" s="30"/>
      <c r="AV674" s="30"/>
      <c r="AW674" s="30"/>
      <c r="AX674" s="30"/>
      <c r="AY674" s="30"/>
      <c r="AZ674" s="30"/>
    </row>
    <row r="675">
      <c r="A675" s="30" t="str">
        <f>IFERROR(__xludf.DUMMYFUNCTION("""COMPUTED_VALUE"""),"Rival")</f>
        <v>Rival</v>
      </c>
      <c r="B675" s="30" t="str">
        <f>IFERROR(__xludf.DUMMYFUNCTION("""COMPUTED_VALUE"""),"RSC005475")</f>
        <v>RSC005475</v>
      </c>
      <c r="C675" s="30" t="str">
        <f>IFERROR(__xludf.DUMMYFUNCTION("""COMPUTED_VALUE"""),"Envy")</f>
        <v>Envy</v>
      </c>
      <c r="D675" s="31" t="str">
        <f>IFERROR(__xludf.DUMMYFUNCTION("""COMPUTED_VALUE"""),"Funk Hunks")</f>
        <v>Funk Hunks</v>
      </c>
      <c r="E675" s="31">
        <f>IFERROR(__xludf.DUMMYFUNCTION("""COMPUTED_VALUE"""),34.90382314819966)</f>
        <v>34.90382315</v>
      </c>
      <c r="F675" s="31">
        <f>IFERROR(__xludf.DUMMYFUNCTION("""COMPUTED_VALUE"""),-3.663370542797779)</f>
        <v>-3.663370543</v>
      </c>
      <c r="G675" s="31">
        <f>IFERROR(__xludf.DUMMYFUNCTION("""COMPUTED_VALUE"""),29.029720850227985)</f>
        <v>29.02972085</v>
      </c>
      <c r="H675" s="31">
        <f>IFERROR(__xludf.DUMMYFUNCTION("""COMPUTED_VALUE"""),-4.980386195643079)</f>
        <v>-4.980386196</v>
      </c>
      <c r="I675" s="54">
        <f>IFERROR(__xludf.DUMMYFUNCTION("""COMPUTED_VALUE"""),36.0)</f>
        <v>36</v>
      </c>
      <c r="J675" s="55">
        <f>IFERROR(__xludf.DUMMYFUNCTION("""COMPUTED_VALUE"""),13.0)</f>
        <v>13</v>
      </c>
      <c r="K675" s="54">
        <f>IFERROR(__xludf.DUMMYFUNCTION("""COMPUTED_VALUE"""),23.0)</f>
        <v>23</v>
      </c>
      <c r="L675" s="56">
        <f>IFERROR(__xludf.DUMMYFUNCTION("""COMPUTED_VALUE"""),0.3611111111111111)</f>
        <v>0.3611111111</v>
      </c>
      <c r="M675" s="56">
        <f>IFERROR(__xludf.DUMMYFUNCTION("""COMPUTED_VALUE"""),0.35443037974683544)</f>
        <v>0.3544303797</v>
      </c>
      <c r="N675" s="31">
        <f>IFERROR(__xludf.DUMMYFUNCTION("""COMPUTED_VALUE"""),286.19444444444446)</f>
        <v>286.1944444</v>
      </c>
      <c r="O675" s="57">
        <f>IFERROR(__xludf.DUMMYFUNCTION("""COMPUTED_VALUE"""),0.7777777777777778)</f>
        <v>0.7777777778</v>
      </c>
      <c r="P675" s="57">
        <f>IFERROR(__xludf.DUMMYFUNCTION("""COMPUTED_VALUE"""),0.3333333333333333)</f>
        <v>0.3333333333</v>
      </c>
      <c r="Q675" s="57">
        <f>IFERROR(__xludf.DUMMYFUNCTION("""COMPUTED_VALUE"""),1.0833333333333333)</f>
        <v>1.083333333</v>
      </c>
      <c r="R675" s="57">
        <f>IFERROR(__xludf.DUMMYFUNCTION("""COMPUTED_VALUE"""),2.1944444444444446)</f>
        <v>2.194444444</v>
      </c>
      <c r="S675" s="31">
        <f>IFERROR(__xludf.DUMMYFUNCTION("""COMPUTED_VALUE"""),356.27777777777777)</f>
        <v>356.2777778</v>
      </c>
      <c r="T675" s="57">
        <f>IFERROR(__xludf.DUMMYFUNCTION("""COMPUTED_VALUE"""),0.9814814814814815)</f>
        <v>0.9814814815</v>
      </c>
      <c r="U675" s="57">
        <f>IFERROR(__xludf.DUMMYFUNCTION("""COMPUTED_VALUE"""),0.6851851851851852)</f>
        <v>0.6851851852</v>
      </c>
      <c r="V675" s="57">
        <f>IFERROR(__xludf.DUMMYFUNCTION("""COMPUTED_VALUE"""),1.0462962962962963)</f>
        <v>1.046296296</v>
      </c>
      <c r="W675" s="57">
        <f>IFERROR(__xludf.DUMMYFUNCTION("""COMPUTED_VALUE"""),2.8981481481481475)</f>
        <v>2.898148148</v>
      </c>
      <c r="X675" s="31">
        <f>IFERROR(__xludf.DUMMYFUNCTION("""COMPUTED_VALUE"""),353.36774576798405)</f>
        <v>353.3677458</v>
      </c>
      <c r="Y675" s="57">
        <f>IFERROR(__xludf.DUMMYFUNCTION("""COMPUTED_VALUE"""),0.8189182054727105)</f>
        <v>0.8189182055</v>
      </c>
      <c r="Z675" s="57">
        <f>IFERROR(__xludf.DUMMYFUNCTION("""COMPUTED_VALUE"""),0.5945678392442975)</f>
        <v>0.5945678392</v>
      </c>
      <c r="AA675" s="57">
        <f>IFERROR(__xludf.DUMMYFUNCTION("""COMPUTED_VALUE"""),1.2818524206582254)</f>
        <v>1.281852421</v>
      </c>
      <c r="AB675" s="57">
        <f>IFERROR(__xludf.DUMMYFUNCTION("""COMPUTED_VALUE"""),2.6974717121705893)</f>
        <v>2.697471712</v>
      </c>
      <c r="AC675" s="31">
        <f>IFERROR(__xludf.DUMMYFUNCTION("""COMPUTED_VALUE"""),339.6663798574275)</f>
        <v>339.6663799</v>
      </c>
      <c r="AD675" s="57">
        <f>IFERROR(__xludf.DUMMYFUNCTION("""COMPUTED_VALUE"""),0.7186382753615344)</f>
        <v>0.7186382754</v>
      </c>
      <c r="AE675" s="57">
        <f>IFERROR(__xludf.DUMMYFUNCTION("""COMPUTED_VALUE"""),0.5353415393874424)</f>
        <v>0.5353415394</v>
      </c>
      <c r="AF675" s="57">
        <f>IFERROR(__xludf.DUMMYFUNCTION("""COMPUTED_VALUE"""),1.360446097977681)</f>
        <v>1.360446098</v>
      </c>
      <c r="AG675" s="57">
        <f>IFERROR(__xludf.DUMMYFUNCTION("""COMPUTED_VALUE"""),2.4922631838233595)</f>
        <v>2.492263184</v>
      </c>
      <c r="AH675" s="57">
        <f>IFERROR(__xludf.DUMMYFUNCTION("""COMPUTED_VALUE"""),0.8425751308226987)</f>
        <v>0.8425751308</v>
      </c>
      <c r="AI675" s="57">
        <f>IFERROR(__xludf.DUMMYFUNCTION("""COMPUTED_VALUE"""),1.0822938388391452)</f>
        <v>1.082293839</v>
      </c>
      <c r="AJ675" s="57">
        <f>IFERROR(__xludf.DUMMYFUNCTION("""COMPUTED_VALUE"""),0.6226554616231456)</f>
        <v>0.6226554616</v>
      </c>
      <c r="AK675" s="57">
        <f>IFERROR(__xludf.DUMMYFUNCTION("""COMPUTED_VALUE"""),0.7963074280882726)</f>
        <v>0.7963074281</v>
      </c>
      <c r="AL675" s="57">
        <f>IFERROR(__xludf.DUMMYFUNCTION("""COMPUTED_VALUE"""),0.8805026927685728)</f>
        <v>0.8805026928</v>
      </c>
      <c r="AM675" s="57">
        <f>IFERROR(__xludf.DUMMYFUNCTION("""COMPUTED_VALUE"""),1.008235137599979)</f>
        <v>1.008235138</v>
      </c>
      <c r="AN675" s="57">
        <f>IFERROR(__xludf.DUMMYFUNCTION("""COMPUTED_VALUE"""),1.1985097839105108)</f>
        <v>1.198509784</v>
      </c>
      <c r="AO675" s="57">
        <f>IFERROR(__xludf.DUMMYFUNCTION("""COMPUTED_VALUE"""),1.152408758025095)</f>
        <v>1.152408758</v>
      </c>
      <c r="AP675" s="35">
        <f>IFERROR(__xludf.DUMMYFUNCTION("""COMPUTED_VALUE"""),0.8162377192836504)</f>
        <v>0.8162377193</v>
      </c>
      <c r="AQ675" s="57">
        <f>IFERROR(__xludf.DUMMYFUNCTION("""COMPUTED_VALUE"""),1.0743942689267643)</f>
        <v>1.074394269</v>
      </c>
      <c r="AR675" s="36" t="b">
        <f>IFERROR(__xludf.DUMMYFUNCTION("""COMPUTED_VALUE"""),TRUE)</f>
        <v>1</v>
      </c>
      <c r="AS675" s="57"/>
      <c r="AT675" s="37"/>
      <c r="AU675" s="30"/>
      <c r="AV675" s="30"/>
      <c r="AW675" s="30"/>
      <c r="AX675" s="30"/>
      <c r="AY675" s="30"/>
      <c r="AZ675" s="30"/>
    </row>
    <row r="676">
      <c r="A676" s="30" t="str">
        <f>IFERROR(__xludf.DUMMYFUNCTION("""COMPUTED_VALUE"""),"Rival")</f>
        <v>Rival</v>
      </c>
      <c r="B676" s="30" t="str">
        <f>IFERROR(__xludf.DUMMYFUNCTION("""COMPUTED_VALUE"""),"RSC003720")</f>
        <v>RSC003720</v>
      </c>
      <c r="C676" s="30" t="str">
        <f>IFERROR(__xludf.DUMMYFUNCTION("""COMPUTED_VALUE"""),"AriseDaft")</f>
        <v>AriseDaft</v>
      </c>
      <c r="D676" s="31" t="str">
        <f>IFERROR(__xludf.DUMMYFUNCTION("""COMPUTED_VALUE"""),"Tyrants")</f>
        <v>Tyrants</v>
      </c>
      <c r="E676" s="31">
        <f>IFERROR(__xludf.DUMMYFUNCTION("""COMPUTED_VALUE"""),34.33018152737959)</f>
        <v>34.33018153</v>
      </c>
      <c r="F676" s="31">
        <f>IFERROR(__xludf.DUMMYFUNCTION("""COMPUTED_VALUE"""),-3.7679322694116983)</f>
        <v>-3.767932269</v>
      </c>
      <c r="G676" s="31">
        <f>IFERROR(__xludf.DUMMYFUNCTION("""COMPUTED_VALUE"""),50.41337265125088)</f>
        <v>50.41337265</v>
      </c>
      <c r="H676" s="31">
        <f>IFERROR(__xludf.DUMMYFUNCTION("""COMPUTED_VALUE"""),2.02673741948697)</f>
        <v>2.026737419</v>
      </c>
      <c r="I676" s="54">
        <f>IFERROR(__xludf.DUMMYFUNCTION("""COMPUTED_VALUE"""),40.0)</f>
        <v>40</v>
      </c>
      <c r="J676" s="55">
        <f>IFERROR(__xludf.DUMMYFUNCTION("""COMPUTED_VALUE"""),17.0)</f>
        <v>17</v>
      </c>
      <c r="K676" s="54">
        <f>IFERROR(__xludf.DUMMYFUNCTION("""COMPUTED_VALUE"""),23.0)</f>
        <v>23</v>
      </c>
      <c r="L676" s="56">
        <f>IFERROR(__xludf.DUMMYFUNCTION("""COMPUTED_VALUE"""),0.425)</f>
        <v>0.425</v>
      </c>
      <c r="M676" s="56">
        <f>IFERROR(__xludf.DUMMYFUNCTION("""COMPUTED_VALUE"""),0.338235294117647)</f>
        <v>0.3382352941</v>
      </c>
      <c r="N676" s="31">
        <f>IFERROR(__xludf.DUMMYFUNCTION("""COMPUTED_VALUE"""),355.0)</f>
        <v>355</v>
      </c>
      <c r="O676" s="57">
        <f>IFERROR(__xludf.DUMMYFUNCTION("""COMPUTED_VALUE"""),0.575)</f>
        <v>0.575</v>
      </c>
      <c r="P676" s="57">
        <f>IFERROR(__xludf.DUMMYFUNCTION("""COMPUTED_VALUE"""),0.5)</f>
        <v>0.5</v>
      </c>
      <c r="Q676" s="57">
        <f>IFERROR(__xludf.DUMMYFUNCTION("""COMPUTED_VALUE"""),1.625)</f>
        <v>1.625</v>
      </c>
      <c r="R676" s="57">
        <f>IFERROR(__xludf.DUMMYFUNCTION("""COMPUTED_VALUE"""),1.7)</f>
        <v>1.7</v>
      </c>
      <c r="S676" s="31">
        <f>IFERROR(__xludf.DUMMYFUNCTION("""COMPUTED_VALUE"""),345.32500000000005)</f>
        <v>345.325</v>
      </c>
      <c r="T676" s="57">
        <f>IFERROR(__xludf.DUMMYFUNCTION("""COMPUTED_VALUE"""),0.8083333333333332)</f>
        <v>0.8083333333</v>
      </c>
      <c r="U676" s="57">
        <f>IFERROR(__xludf.DUMMYFUNCTION("""COMPUTED_VALUE"""),0.6083333333333333)</f>
        <v>0.6083333333</v>
      </c>
      <c r="V676" s="57">
        <f>IFERROR(__xludf.DUMMYFUNCTION("""COMPUTED_VALUE"""),1.0499999999999998)</f>
        <v>1.05</v>
      </c>
      <c r="W676" s="57">
        <f>IFERROR(__xludf.DUMMYFUNCTION("""COMPUTED_VALUE"""),2.6750000000000003)</f>
        <v>2.675</v>
      </c>
      <c r="X676" s="31">
        <f>IFERROR(__xludf.DUMMYFUNCTION("""COMPUTED_VALUE"""),350.4937033046479)</f>
        <v>350.4937033</v>
      </c>
      <c r="Y676" s="57">
        <f>IFERROR(__xludf.DUMMYFUNCTION("""COMPUTED_VALUE"""),0.7753429335294845)</f>
        <v>0.7753429335</v>
      </c>
      <c r="Z676" s="57">
        <f>IFERROR(__xludf.DUMMYFUNCTION("""COMPUTED_VALUE"""),0.5688918400418039)</f>
        <v>0.56889184</v>
      </c>
      <c r="AA676" s="57">
        <f>IFERROR(__xludf.DUMMYFUNCTION("""COMPUTED_VALUE"""),1.3539865097326562)</f>
        <v>1.35398651</v>
      </c>
      <c r="AB676" s="57">
        <f>IFERROR(__xludf.DUMMYFUNCTION("""COMPUTED_VALUE"""),2.5795201401856844)</f>
        <v>2.57952014</v>
      </c>
      <c r="AC676" s="31">
        <f>IFERROR(__xludf.DUMMYFUNCTION("""COMPUTED_VALUE"""),349.8743380986599)</f>
        <v>349.8743381</v>
      </c>
      <c r="AD676" s="57">
        <f>IFERROR(__xludf.DUMMYFUNCTION("""COMPUTED_VALUE"""),0.7835103369767077)</f>
        <v>0.783510337</v>
      </c>
      <c r="AE676" s="57">
        <f>IFERROR(__xludf.DUMMYFUNCTION("""COMPUTED_VALUE"""),0.5626814410055301)</f>
        <v>0.562681441</v>
      </c>
      <c r="AF676" s="57">
        <f>IFERROR(__xludf.DUMMYFUNCTION("""COMPUTED_VALUE"""),1.3185713096747373)</f>
        <v>1.31857131</v>
      </c>
      <c r="AG676" s="57">
        <f>IFERROR(__xludf.DUMMYFUNCTION("""COMPUTED_VALUE"""),2.538149549918365)</f>
        <v>2.53814955</v>
      </c>
      <c r="AH676" s="57">
        <f>IFERROR(__xludf.DUMMYFUNCTION("""COMPUTED_VALUE"""),1.014650008140622)</f>
        <v>1.014650008</v>
      </c>
      <c r="AI676" s="57">
        <f>IFERROR(__xludf.DUMMYFUNCTION("""COMPUTED_VALUE"""),0.7338767248671202)</f>
        <v>0.7338767249</v>
      </c>
      <c r="AJ676" s="57">
        <f>IFERROR(__xludf.DUMMYFUNCTION("""COMPUTED_VALUE"""),0.8886022597555088)</f>
        <v>0.8886022598</v>
      </c>
      <c r="AK676" s="57">
        <f>IFERROR(__xludf.DUMMYFUNCTION("""COMPUTED_VALUE"""),1.2323944773232263)</f>
        <v>1.232394477</v>
      </c>
      <c r="AL676" s="57">
        <f>IFERROR(__xludf.DUMMYFUNCTION("""COMPUTED_VALUE"""),0.6697792886375342)</f>
        <v>0.6697792886</v>
      </c>
      <c r="AM676" s="57">
        <f>IFERROR(__xludf.DUMMYFUNCTION("""COMPUTED_VALUE"""),0.9852530779985076)</f>
        <v>0.985253078</v>
      </c>
      <c r="AN676" s="57">
        <f>IFERROR(__xludf.DUMMYFUNCTION("""COMPUTED_VALUE"""),1.0425494299066753)</f>
        <v>1.04254943</v>
      </c>
      <c r="AO676" s="57">
        <f>IFERROR(__xludf.DUMMYFUNCTION("""COMPUTED_VALUE"""),1.0693303902700222)</f>
        <v>1.06933039</v>
      </c>
      <c r="AP676" s="35">
        <f>IFERROR(__xludf.DUMMYFUNCTION("""COMPUTED_VALUE"""),0.7754877854782479)</f>
        <v>0.7754877855</v>
      </c>
      <c r="AQ676" s="57">
        <f>IFERROR(__xludf.DUMMYFUNCTION("""COMPUTED_VALUE"""),1.037014582025106)</f>
        <v>1.037014582</v>
      </c>
      <c r="AR676" s="36" t="b">
        <f>IFERROR(__xludf.DUMMYFUNCTION("""COMPUTED_VALUE"""),TRUE)</f>
        <v>1</v>
      </c>
      <c r="AS676" s="57"/>
      <c r="AT676" s="37"/>
      <c r="AU676" s="30"/>
      <c r="AV676" s="30"/>
      <c r="AW676" s="30"/>
      <c r="AX676" s="30"/>
      <c r="AY676" s="30"/>
      <c r="AZ676" s="30"/>
    </row>
    <row r="677">
      <c r="A677" s="30" t="str">
        <f>IFERROR(__xludf.DUMMYFUNCTION("""COMPUTED_VALUE"""),"Rival")</f>
        <v>Rival</v>
      </c>
      <c r="B677" s="30" t="str">
        <f>IFERROR(__xludf.DUMMYFUNCTION("""COMPUTED_VALUE"""),"RSC003186")</f>
        <v>RSC003186</v>
      </c>
      <c r="C677" s="30" t="str">
        <f>IFERROR(__xludf.DUMMYFUNCTION("""COMPUTED_VALUE"""),"xBlaniac")</f>
        <v>xBlaniac</v>
      </c>
      <c r="D677" s="31" t="str">
        <f>IFERROR(__xludf.DUMMYFUNCTION("""COMPUTED_VALUE"""),"Dracos")</f>
        <v>Dracos</v>
      </c>
      <c r="E677" s="31">
        <f>IFERROR(__xludf.DUMMYFUNCTION("""COMPUTED_VALUE"""),33.849527032824994)</f>
        <v>33.84952703</v>
      </c>
      <c r="F677" s="31">
        <f>IFERROR(__xludf.DUMMYFUNCTION("""COMPUTED_VALUE"""),-3.859013985447421)</f>
        <v>-3.859013985</v>
      </c>
      <c r="G677" s="31">
        <f>IFERROR(__xludf.DUMMYFUNCTION("""COMPUTED_VALUE"""),25.52133742085391)</f>
        <v>25.52133742</v>
      </c>
      <c r="H677" s="31">
        <f>IFERROR(__xludf.DUMMYFUNCTION("""COMPUTED_VALUE"""),-6.1067285699612075)</f>
        <v>-6.10672857</v>
      </c>
      <c r="I677" s="54">
        <f>IFERROR(__xludf.DUMMYFUNCTION("""COMPUTED_VALUE"""),30.0)</f>
        <v>30</v>
      </c>
      <c r="J677" s="55">
        <f>IFERROR(__xludf.DUMMYFUNCTION("""COMPUTED_VALUE"""),11.0)</f>
        <v>11</v>
      </c>
      <c r="K677" s="54">
        <f>IFERROR(__xludf.DUMMYFUNCTION("""COMPUTED_VALUE"""),19.0)</f>
        <v>19</v>
      </c>
      <c r="L677" s="56">
        <f>IFERROR(__xludf.DUMMYFUNCTION("""COMPUTED_VALUE"""),0.36666666666666664)</f>
        <v>0.3666666667</v>
      </c>
      <c r="M677" s="56">
        <f>IFERROR(__xludf.DUMMYFUNCTION("""COMPUTED_VALUE"""),0.2833333333333333)</f>
        <v>0.2833333333</v>
      </c>
      <c r="N677" s="31">
        <f>IFERROR(__xludf.DUMMYFUNCTION("""COMPUTED_VALUE"""),279.46666666666664)</f>
        <v>279.4666667</v>
      </c>
      <c r="O677" s="57">
        <f>IFERROR(__xludf.DUMMYFUNCTION("""COMPUTED_VALUE"""),0.5666666666666667)</f>
        <v>0.5666666667</v>
      </c>
      <c r="P677" s="57">
        <f>IFERROR(__xludf.DUMMYFUNCTION("""COMPUTED_VALUE"""),0.6333333333333333)</f>
        <v>0.6333333333</v>
      </c>
      <c r="Q677" s="57">
        <f>IFERROR(__xludf.DUMMYFUNCTION("""COMPUTED_VALUE"""),0.9666666666666667)</f>
        <v>0.9666666667</v>
      </c>
      <c r="R677" s="57">
        <f>IFERROR(__xludf.DUMMYFUNCTION("""COMPUTED_VALUE"""),2.0)</f>
        <v>2</v>
      </c>
      <c r="S677" s="31">
        <f>IFERROR(__xludf.DUMMYFUNCTION("""COMPUTED_VALUE"""),377.1444444444444)</f>
        <v>377.1444444</v>
      </c>
      <c r="T677" s="57">
        <f>IFERROR(__xludf.DUMMYFUNCTION("""COMPUTED_VALUE"""),0.9888888888888887)</f>
        <v>0.9888888889</v>
      </c>
      <c r="U677" s="57">
        <f>IFERROR(__xludf.DUMMYFUNCTION("""COMPUTED_VALUE"""),0.6555555555555556)</f>
        <v>0.6555555556</v>
      </c>
      <c r="V677" s="57">
        <f>IFERROR(__xludf.DUMMYFUNCTION("""COMPUTED_VALUE"""),1.2444444444444445)</f>
        <v>1.244444444</v>
      </c>
      <c r="W677" s="57">
        <f>IFERROR(__xludf.DUMMYFUNCTION("""COMPUTED_VALUE"""),2.8666666666666663)</f>
        <v>2.866666667</v>
      </c>
      <c r="X677" s="31">
        <f>IFERROR(__xludf.DUMMYFUNCTION("""COMPUTED_VALUE"""),364.2590238653005)</f>
        <v>364.2590239</v>
      </c>
      <c r="Y677" s="57">
        <f>IFERROR(__xludf.DUMMYFUNCTION("""COMPUTED_VALUE"""),0.8498441983139444)</f>
        <v>0.8498441983</v>
      </c>
      <c r="Z677" s="57">
        <f>IFERROR(__xludf.DUMMYFUNCTION("""COMPUTED_VALUE"""),0.6181024178472206)</f>
        <v>0.6181024178</v>
      </c>
      <c r="AA677" s="57">
        <f>IFERROR(__xludf.DUMMYFUNCTION("""COMPUTED_VALUE"""),1.3202739863851347)</f>
        <v>1.320273986</v>
      </c>
      <c r="AB677" s="57">
        <f>IFERROR(__xludf.DUMMYFUNCTION("""COMPUTED_VALUE"""),2.7496659596988198)</f>
        <v>2.74966596</v>
      </c>
      <c r="AC677" s="31">
        <f>IFERROR(__xludf.DUMMYFUNCTION("""COMPUTED_VALUE"""),349.3770074989388)</f>
        <v>349.3770075</v>
      </c>
      <c r="AD677" s="57">
        <f>IFERROR(__xludf.DUMMYFUNCTION("""COMPUTED_VALUE"""),0.7913053820111348)</f>
        <v>0.791305382</v>
      </c>
      <c r="AE677" s="57">
        <f>IFERROR(__xludf.DUMMYFUNCTION("""COMPUTED_VALUE"""),0.5550802231037896)</f>
        <v>0.5550802231</v>
      </c>
      <c r="AF677" s="57">
        <f>IFERROR(__xludf.DUMMYFUNCTION("""COMPUTED_VALUE"""),1.3136335745074412)</f>
        <v>1.313633575</v>
      </c>
      <c r="AG677" s="57">
        <f>IFERROR(__xludf.DUMMYFUNCTION("""COMPUTED_VALUE"""),2.5458736596006144)</f>
        <v>2.54587366</v>
      </c>
      <c r="AH677" s="57">
        <f>IFERROR(__xludf.DUMMYFUNCTION("""COMPUTED_VALUE"""),0.7998999953295882)</f>
        <v>0.7998999953</v>
      </c>
      <c r="AI677" s="57">
        <f>IFERROR(__xludf.DUMMYFUNCTION("""COMPUTED_VALUE"""),0.716116280198247)</f>
        <v>0.7161162802</v>
      </c>
      <c r="AJ677" s="57">
        <f>IFERROR(__xludf.DUMMYFUNCTION("""COMPUTED_VALUE"""),1.1409762174411173)</f>
        <v>1.140976217</v>
      </c>
      <c r="AK677" s="57">
        <f>IFERROR(__xludf.DUMMYFUNCTION("""COMPUTED_VALUE"""),0.7358723813291138)</f>
        <v>0.7358723813</v>
      </c>
      <c r="AL677" s="57">
        <f>IFERROR(__xludf.DUMMYFUNCTION("""COMPUTED_VALUE"""),0.785584937594174)</f>
        <v>0.7855849376</v>
      </c>
      <c r="AM677" s="57">
        <f>IFERROR(__xludf.DUMMYFUNCTION("""COMPUTED_VALUE"""),1.0353743345666813)</f>
        <v>1.035374335</v>
      </c>
      <c r="AN677" s="57">
        <f>IFERROR(__xludf.DUMMYFUNCTION("""COMPUTED_VALUE"""),1.1636119783494472)</f>
        <v>1.163611978</v>
      </c>
      <c r="AO677" s="57">
        <f>IFERROR(__xludf.DUMMYFUNCTION("""COMPUTED_VALUE"""),1.0605937408217556)</f>
        <v>1.060593741</v>
      </c>
      <c r="AP677" s="35">
        <f>IFERROR(__xludf.DUMMYFUNCTION("""COMPUTED_VALUE"""),0.9425652987768781)</f>
        <v>0.9425652988</v>
      </c>
      <c r="AQ677" s="57">
        <f>IFERROR(__xludf.DUMMYFUNCTION("""COMPUTED_VALUE"""),1.0425508802460726)</f>
        <v>1.04255088</v>
      </c>
      <c r="AR677" s="36" t="b">
        <f>IFERROR(__xludf.DUMMYFUNCTION("""COMPUTED_VALUE"""),TRUE)</f>
        <v>1</v>
      </c>
      <c r="AS677" s="57"/>
      <c r="AT677" s="37"/>
      <c r="AU677" s="30"/>
      <c r="AV677" s="30"/>
      <c r="AW677" s="30"/>
      <c r="AX677" s="30"/>
      <c r="AY677" s="30"/>
      <c r="AZ677" s="30"/>
    </row>
    <row r="678">
      <c r="A678" s="30" t="str">
        <f>IFERROR(__xludf.DUMMYFUNCTION("""COMPUTED_VALUE"""),"Rival")</f>
        <v>Rival</v>
      </c>
      <c r="B678" s="30" t="str">
        <f>IFERROR(__xludf.DUMMYFUNCTION("""COMPUTED_VALUE"""),"RSC003255")</f>
        <v>RSC003255</v>
      </c>
      <c r="C678" s="30" t="str">
        <f>IFERROR(__xludf.DUMMYFUNCTION("""COMPUTED_VALUE"""),"cozyboy")</f>
        <v>cozyboy</v>
      </c>
      <c r="D678" s="31" t="str">
        <f>IFERROR(__xludf.DUMMYFUNCTION("""COMPUTED_VALUE"""),"Funk Hunks")</f>
        <v>Funk Hunks</v>
      </c>
      <c r="E678" s="31">
        <f>IFERROR(__xludf.DUMMYFUNCTION("""COMPUTED_VALUE"""),33.65753910699151)</f>
        <v>33.65753911</v>
      </c>
      <c r="F678" s="31">
        <f>IFERROR(__xludf.DUMMYFUNCTION("""COMPUTED_VALUE"""),-3.8963105174625188)</f>
        <v>-3.896310517</v>
      </c>
      <c r="G678" s="31">
        <f>IFERROR(__xludf.DUMMYFUNCTION("""COMPUTED_VALUE"""),38.43836464950469)</f>
        <v>38.43836465</v>
      </c>
      <c r="H678" s="31">
        <f>IFERROR(__xludf.DUMMYFUNCTION("""COMPUTED_VALUE"""),-3.1068077037001305)</f>
        <v>-3.106807704</v>
      </c>
      <c r="I678" s="54">
        <f>IFERROR(__xludf.DUMMYFUNCTION("""COMPUTED_VALUE"""),37.0)</f>
        <v>37</v>
      </c>
      <c r="J678" s="55">
        <f>IFERROR(__xludf.DUMMYFUNCTION("""COMPUTED_VALUE"""),14.0)</f>
        <v>14</v>
      </c>
      <c r="K678" s="54">
        <f>IFERROR(__xludf.DUMMYFUNCTION("""COMPUTED_VALUE"""),23.0)</f>
        <v>23</v>
      </c>
      <c r="L678" s="56">
        <f>IFERROR(__xludf.DUMMYFUNCTION("""COMPUTED_VALUE"""),0.3783783783783784)</f>
        <v>0.3783783784</v>
      </c>
      <c r="M678" s="56">
        <f>IFERROR(__xludf.DUMMYFUNCTION("""COMPUTED_VALUE"""),0.2463768115942029)</f>
        <v>0.2463768116</v>
      </c>
      <c r="N678" s="31">
        <f>IFERROR(__xludf.DUMMYFUNCTION("""COMPUTED_VALUE"""),314.1621621621622)</f>
        <v>314.1621622</v>
      </c>
      <c r="O678" s="57">
        <f>IFERROR(__xludf.DUMMYFUNCTION("""COMPUTED_VALUE"""),0.4594594594594595)</f>
        <v>0.4594594595</v>
      </c>
      <c r="P678" s="57">
        <f>IFERROR(__xludf.DUMMYFUNCTION("""COMPUTED_VALUE"""),0.6756756756756757)</f>
        <v>0.6756756757</v>
      </c>
      <c r="Q678" s="57">
        <f>IFERROR(__xludf.DUMMYFUNCTION("""COMPUTED_VALUE"""),1.3783783783783783)</f>
        <v>1.378378378</v>
      </c>
      <c r="R678" s="57">
        <f>IFERROR(__xludf.DUMMYFUNCTION("""COMPUTED_VALUE"""),1.864864864864865)</f>
        <v>1.864864865</v>
      </c>
      <c r="S678" s="31">
        <f>IFERROR(__xludf.DUMMYFUNCTION("""COMPUTED_VALUE"""),361.4864864864865)</f>
        <v>361.4864865</v>
      </c>
      <c r="T678" s="57">
        <f>IFERROR(__xludf.DUMMYFUNCTION("""COMPUTED_VALUE"""),0.936936936936937)</f>
        <v>0.9369369369</v>
      </c>
      <c r="U678" s="57">
        <f>IFERROR(__xludf.DUMMYFUNCTION("""COMPUTED_VALUE"""),0.6576576576576575)</f>
        <v>0.6576576577</v>
      </c>
      <c r="V678" s="57">
        <f>IFERROR(__xludf.DUMMYFUNCTION("""COMPUTED_VALUE"""),1.189189189189189)</f>
        <v>1.189189189</v>
      </c>
      <c r="W678" s="57">
        <f>IFERROR(__xludf.DUMMYFUNCTION("""COMPUTED_VALUE"""),2.765765765765765)</f>
        <v>2.765765766</v>
      </c>
      <c r="X678" s="31">
        <f>IFERROR(__xludf.DUMMYFUNCTION("""COMPUTED_VALUE"""),355.06454387210334)</f>
        <v>355.0645439</v>
      </c>
      <c r="Y678" s="57">
        <f>IFERROR(__xludf.DUMMYFUNCTION("""COMPUTED_VALUE"""),0.8198874317031345)</f>
        <v>0.8198874317</v>
      </c>
      <c r="Z678" s="57">
        <f>IFERROR(__xludf.DUMMYFUNCTION("""COMPUTED_VALUE"""),0.6096380797896002)</f>
        <v>0.6096380798</v>
      </c>
      <c r="AA678" s="57">
        <f>IFERROR(__xludf.DUMMYFUNCTION("""COMPUTED_VALUE"""),1.2903895104398142)</f>
        <v>1.29038951</v>
      </c>
      <c r="AB678" s="57">
        <f>IFERROR(__xludf.DUMMYFUNCTION("""COMPUTED_VALUE"""),2.686822812553533)</f>
        <v>2.686822813</v>
      </c>
      <c r="AC678" s="31">
        <f>IFERROR(__xludf.DUMMYFUNCTION("""COMPUTED_VALUE"""),345.7305704262936)</f>
        <v>345.7305704</v>
      </c>
      <c r="AD678" s="57">
        <f>IFERROR(__xludf.DUMMYFUNCTION("""COMPUTED_VALUE"""),0.7554242818105732)</f>
        <v>0.7554242818</v>
      </c>
      <c r="AE678" s="57">
        <f>IFERROR(__xludf.DUMMYFUNCTION("""COMPUTED_VALUE"""),0.5508679276211743)</f>
        <v>0.5508679276</v>
      </c>
      <c r="AF678" s="57">
        <f>IFERROR(__xludf.DUMMYFUNCTION("""COMPUTED_VALUE"""),1.3561663457782023)</f>
        <v>1.356166346</v>
      </c>
      <c r="AG678" s="57">
        <f>IFERROR(__xludf.DUMMYFUNCTION("""COMPUTED_VALUE"""),2.5123969323454514)</f>
        <v>2.512396932</v>
      </c>
      <c r="AH678" s="57">
        <f>IFERROR(__xludf.DUMMYFUNCTION("""COMPUTED_VALUE"""),0.9086907234578451)</f>
        <v>0.9086907235</v>
      </c>
      <c r="AI678" s="57">
        <f>IFERROR(__xludf.DUMMYFUNCTION("""COMPUTED_VALUE"""),0.6082137820063764)</f>
        <v>0.608213782</v>
      </c>
      <c r="AJ678" s="57">
        <f>IFERROR(__xludf.DUMMYFUNCTION("""COMPUTED_VALUE"""),1.2265656463128314)</f>
        <v>1.226565646</v>
      </c>
      <c r="AK678" s="57">
        <f>IFERROR(__xludf.DUMMYFUNCTION("""COMPUTED_VALUE"""),1.0163785457951549)</f>
        <v>1.016378546</v>
      </c>
      <c r="AL678" s="57">
        <f>IFERROR(__xludf.DUMMYFUNCTION("""COMPUTED_VALUE"""),0.7422652212538399)</f>
        <v>0.7422652213</v>
      </c>
      <c r="AM678" s="57">
        <f>IFERROR(__xludf.DUMMYFUNCTION("""COMPUTED_VALUE"""),1.0180866907868344)</f>
        <v>1.018086691</v>
      </c>
      <c r="AN678" s="57">
        <f>IFERROR(__xludf.DUMMYFUNCTION("""COMPUTED_VALUE"""),1.1427628973292812)</f>
        <v>1.142762897</v>
      </c>
      <c r="AO678" s="57">
        <f>IFERROR(__xludf.DUMMYFUNCTION("""COMPUTED_VALUE"""),1.0787673530574566)</f>
        <v>1.078767353</v>
      </c>
      <c r="AP678" s="35">
        <f>IFERROR(__xludf.DUMMYFUNCTION("""COMPUTED_VALUE"""),0.9215738190431103)</f>
        <v>0.921573819</v>
      </c>
      <c r="AQ678" s="57">
        <f>IFERROR(__xludf.DUMMYFUNCTION("""COMPUTED_VALUE"""),1.0293815255860528)</f>
        <v>1.029381526</v>
      </c>
      <c r="AR678" s="36" t="b">
        <f>IFERROR(__xludf.DUMMYFUNCTION("""COMPUTED_VALUE"""),TRUE)</f>
        <v>1</v>
      </c>
      <c r="AS678" s="57"/>
      <c r="AT678" s="37"/>
      <c r="AU678" s="30"/>
      <c r="AV678" s="30"/>
      <c r="AW678" s="30"/>
      <c r="AX678" s="30"/>
      <c r="AY678" s="30"/>
      <c r="AZ678" s="30"/>
    </row>
    <row r="679">
      <c r="A679" s="30" t="str">
        <f>IFERROR(__xludf.DUMMYFUNCTION("""COMPUTED_VALUE"""),"Rival")</f>
        <v>Rival</v>
      </c>
      <c r="B679" s="30" t="str">
        <f>IFERROR(__xludf.DUMMYFUNCTION("""COMPUTED_VALUE"""),"RSC007847")</f>
        <v>RSC007847</v>
      </c>
      <c r="C679" s="30" t="str">
        <f>IFERROR(__xludf.DUMMYFUNCTION("""COMPUTED_VALUE"""),"GoodGuyGlaz")</f>
        <v>GoodGuyGlaz</v>
      </c>
      <c r="D679" s="31"/>
      <c r="E679" s="31">
        <f>IFERROR(__xludf.DUMMYFUNCTION("""COMPUTED_VALUE"""),32.782967580049416)</f>
        <v>32.78296758</v>
      </c>
      <c r="F679" s="31">
        <f>IFERROR(__xludf.DUMMYFUNCTION("""COMPUTED_VALUE"""),-4.073121918234503)</f>
        <v>-4.073121918</v>
      </c>
      <c r="G679" s="31">
        <f>IFERROR(__xludf.DUMMYFUNCTION("""COMPUTED_VALUE"""),19.31742303754371)</f>
        <v>19.31742304</v>
      </c>
      <c r="H679" s="31">
        <f>IFERROR(__xludf.DUMMYFUNCTION("""COMPUTED_VALUE"""),-9.102962282484764)</f>
        <v>-9.102962282</v>
      </c>
      <c r="I679" s="54">
        <f>IFERROR(__xludf.DUMMYFUNCTION("""COMPUTED_VALUE"""),14.0)</f>
        <v>14</v>
      </c>
      <c r="J679" s="55">
        <f>IFERROR(__xludf.DUMMYFUNCTION("""COMPUTED_VALUE"""),5.0)</f>
        <v>5</v>
      </c>
      <c r="K679" s="54">
        <f>IFERROR(__xludf.DUMMYFUNCTION("""COMPUTED_VALUE"""),9.0)</f>
        <v>9</v>
      </c>
      <c r="L679" s="56">
        <f>IFERROR(__xludf.DUMMYFUNCTION("""COMPUTED_VALUE"""),0.35714285714285715)</f>
        <v>0.3571428571</v>
      </c>
      <c r="M679" s="56">
        <f>IFERROR(__xludf.DUMMYFUNCTION("""COMPUTED_VALUE"""),0.26666666666666666)</f>
        <v>0.2666666667</v>
      </c>
      <c r="N679" s="31">
        <f>IFERROR(__xludf.DUMMYFUNCTION("""COMPUTED_VALUE"""),287.5)</f>
        <v>287.5</v>
      </c>
      <c r="O679" s="57">
        <f>IFERROR(__xludf.DUMMYFUNCTION("""COMPUTED_VALUE"""),0.5714285714285714)</f>
        <v>0.5714285714</v>
      </c>
      <c r="P679" s="57">
        <f>IFERROR(__xludf.DUMMYFUNCTION("""COMPUTED_VALUE"""),0.2857142857142857)</f>
        <v>0.2857142857</v>
      </c>
      <c r="Q679" s="57">
        <f>IFERROR(__xludf.DUMMYFUNCTION("""COMPUTED_VALUE"""),1.2142857142857142)</f>
        <v>1.214285714</v>
      </c>
      <c r="R679" s="57">
        <f>IFERROR(__xludf.DUMMYFUNCTION("""COMPUTED_VALUE"""),2.142857142857143)</f>
        <v>2.142857143</v>
      </c>
      <c r="S679" s="31">
        <f>IFERROR(__xludf.DUMMYFUNCTION("""COMPUTED_VALUE"""),358.6904761904762)</f>
        <v>358.6904762</v>
      </c>
      <c r="T679" s="57">
        <f>IFERROR(__xludf.DUMMYFUNCTION("""COMPUTED_VALUE"""),0.7619047619047619)</f>
        <v>0.7619047619</v>
      </c>
      <c r="U679" s="57">
        <f>IFERROR(__xludf.DUMMYFUNCTION("""COMPUTED_VALUE"""),0.6190476190476192)</f>
        <v>0.619047619</v>
      </c>
      <c r="V679" s="57">
        <f>IFERROR(__xludf.DUMMYFUNCTION("""COMPUTED_VALUE"""),1.380952380952381)</f>
        <v>1.380952381</v>
      </c>
      <c r="W679" s="57">
        <f>IFERROR(__xludf.DUMMYFUNCTION("""COMPUTED_VALUE"""),2.9047619047619047)</f>
        <v>2.904761905</v>
      </c>
      <c r="X679" s="31">
        <f>IFERROR(__xludf.DUMMYFUNCTION("""COMPUTED_VALUE"""),357.7658330967792)</f>
        <v>357.7658331</v>
      </c>
      <c r="Y679" s="57">
        <f>IFERROR(__xludf.DUMMYFUNCTION("""COMPUTED_VALUE"""),0.8780112973511701)</f>
        <v>0.8780112974</v>
      </c>
      <c r="Z679" s="57">
        <f>IFERROR(__xludf.DUMMYFUNCTION("""COMPUTED_VALUE"""),0.6445541396609417)</f>
        <v>0.6445541397</v>
      </c>
      <c r="AA679" s="57">
        <f>IFERROR(__xludf.DUMMYFUNCTION("""COMPUTED_VALUE"""),1.177386026293389)</f>
        <v>1.177386026</v>
      </c>
      <c r="AB679" s="57">
        <f>IFERROR(__xludf.DUMMYFUNCTION("""COMPUTED_VALUE"""),2.7520808825573257)</f>
        <v>2.752080883</v>
      </c>
      <c r="AC679" s="31">
        <f>IFERROR(__xludf.DUMMYFUNCTION("""COMPUTED_VALUE"""),323.7434381062864)</f>
        <v>323.7434381</v>
      </c>
      <c r="AD679" s="57">
        <f>IFERROR(__xludf.DUMMYFUNCTION("""COMPUTED_VALUE"""),0.6302648853304057)</f>
        <v>0.6302648853</v>
      </c>
      <c r="AE679" s="57">
        <f>IFERROR(__xludf.DUMMYFUNCTION("""COMPUTED_VALUE"""),0.4583125356663456)</f>
        <v>0.4583125357</v>
      </c>
      <c r="AF679" s="57">
        <f>IFERROR(__xludf.DUMMYFUNCTION("""COMPUTED_VALUE"""),1.3575699238061)</f>
        <v>1.357569924</v>
      </c>
      <c r="AG679" s="57">
        <f>IFERROR(__xludf.DUMMYFUNCTION("""COMPUTED_VALUE"""),2.2573878417671027)</f>
        <v>2.257387842</v>
      </c>
      <c r="AH679" s="57">
        <f>IFERROR(__xludf.DUMMYFUNCTION("""COMPUTED_VALUE"""),0.8880488873587994)</f>
        <v>0.8880488874</v>
      </c>
      <c r="AI679" s="57">
        <f>IFERROR(__xludf.DUMMYFUNCTION("""COMPUTED_VALUE"""),0.9066482755564109)</f>
        <v>0.9066482756</v>
      </c>
      <c r="AJ679" s="57">
        <f>IFERROR(__xludf.DUMMYFUNCTION("""COMPUTED_VALUE"""),0.6234049114517074)</f>
        <v>0.6234049115</v>
      </c>
      <c r="AK679" s="57">
        <f>IFERROR(__xludf.DUMMYFUNCTION("""COMPUTED_VALUE"""),0.8944553742626586)</f>
        <v>0.8944553743</v>
      </c>
      <c r="AL679" s="57">
        <f>IFERROR(__xludf.DUMMYFUNCTION("""COMPUTED_VALUE"""),0.9492640578677414)</f>
        <v>0.9492640579</v>
      </c>
      <c r="AM679" s="57">
        <f>IFERROR(__xludf.DUMMYFUNCTION("""COMPUTED_VALUE"""),1.0025844924477372)</f>
        <v>1.002584492</v>
      </c>
      <c r="AN679" s="57">
        <f>IFERROR(__xludf.DUMMYFUNCTION("""COMPUTED_VALUE"""),0.8677619117240468)</f>
        <v>0.8677619117</v>
      </c>
      <c r="AO679" s="57">
        <f>IFERROR(__xludf.DUMMYFUNCTION("""COMPUTED_VALUE"""),0.9604276521647355)</f>
        <v>0.9604276522</v>
      </c>
      <c r="AP679" s="35">
        <f>IFERROR(__xludf.DUMMYFUNCTION("""COMPUTED_VALUE"""),1.1728968665441473)</f>
        <v>1.172896867</v>
      </c>
      <c r="AQ679" s="57">
        <f>IFERROR(__xludf.DUMMYFUNCTION("""COMPUTED_VALUE"""),1.055478392067715)</f>
        <v>1.055478392</v>
      </c>
      <c r="AR679" s="36" t="b">
        <f>IFERROR(__xludf.DUMMYFUNCTION("""COMPUTED_VALUE"""),TRUE)</f>
        <v>1</v>
      </c>
      <c r="AS679" s="57"/>
      <c r="AT679" s="37"/>
      <c r="AU679" s="30"/>
      <c r="AV679" s="30"/>
      <c r="AW679" s="30"/>
      <c r="AX679" s="30"/>
      <c r="AY679" s="30"/>
      <c r="AZ679" s="30"/>
    </row>
    <row r="680">
      <c r="A680" s="30" t="str">
        <f>IFERROR(__xludf.DUMMYFUNCTION("""COMPUTED_VALUE"""),"Rival")</f>
        <v>Rival</v>
      </c>
      <c r="B680" s="30" t="str">
        <f>IFERROR(__xludf.DUMMYFUNCTION("""COMPUTED_VALUE"""),"RSC003094")</f>
        <v>RSC003094</v>
      </c>
      <c r="C680" s="30" t="str">
        <f>IFERROR(__xludf.DUMMYFUNCTION("""COMPUTED_VALUE"""),"Galvarino")</f>
        <v>Galvarino</v>
      </c>
      <c r="D680" s="31" t="str">
        <f>IFERROR(__xludf.DUMMYFUNCTION("""COMPUTED_VALUE"""),"Polar Bears")</f>
        <v>Polar Bears</v>
      </c>
      <c r="E680" s="31">
        <f>IFERROR(__xludf.DUMMYFUNCTION("""COMPUTED_VALUE"""),32.764421069215636)</f>
        <v>32.76442107</v>
      </c>
      <c r="F680" s="31">
        <f>IFERROR(__xludf.DUMMYFUNCTION("""COMPUTED_VALUE"""),-4.076998064893168)</f>
        <v>-4.076998065</v>
      </c>
      <c r="G680" s="31">
        <f>IFERROR(__xludf.DUMMYFUNCTION("""COMPUTED_VALUE"""),31.03092992050343)</f>
        <v>31.03092992</v>
      </c>
      <c r="H680" s="31">
        <f>IFERROR(__xludf.DUMMYFUNCTION("""COMPUTED_VALUE"""),-4.464340916126817)</f>
        <v>-4.464340916</v>
      </c>
      <c r="I680" s="54">
        <f>IFERROR(__xludf.DUMMYFUNCTION("""COMPUTED_VALUE"""),22.0)</f>
        <v>22</v>
      </c>
      <c r="J680" s="55">
        <f>IFERROR(__xludf.DUMMYFUNCTION("""COMPUTED_VALUE"""),9.0)</f>
        <v>9</v>
      </c>
      <c r="K680" s="54">
        <f>IFERROR(__xludf.DUMMYFUNCTION("""COMPUTED_VALUE"""),13.0)</f>
        <v>13</v>
      </c>
      <c r="L680" s="56">
        <f>IFERROR(__xludf.DUMMYFUNCTION("""COMPUTED_VALUE"""),0.4090909090909091)</f>
        <v>0.4090909091</v>
      </c>
      <c r="M680" s="56">
        <f>IFERROR(__xludf.DUMMYFUNCTION("""COMPUTED_VALUE"""),0.30434782608695654)</f>
        <v>0.3043478261</v>
      </c>
      <c r="N680" s="31">
        <f>IFERROR(__xludf.DUMMYFUNCTION("""COMPUTED_VALUE"""),271.40909090909093)</f>
        <v>271.4090909</v>
      </c>
      <c r="O680" s="57">
        <f>IFERROR(__xludf.DUMMYFUNCTION("""COMPUTED_VALUE"""),0.6363636363636364)</f>
        <v>0.6363636364</v>
      </c>
      <c r="P680" s="57">
        <f>IFERROR(__xludf.DUMMYFUNCTION("""COMPUTED_VALUE"""),0.36363636363636365)</f>
        <v>0.3636363636</v>
      </c>
      <c r="Q680" s="57">
        <f>IFERROR(__xludf.DUMMYFUNCTION("""COMPUTED_VALUE"""),0.9545454545454546)</f>
        <v>0.9545454545</v>
      </c>
      <c r="R680" s="57">
        <f>IFERROR(__xludf.DUMMYFUNCTION("""COMPUTED_VALUE"""),2.090909090909091)</f>
        <v>2.090909091</v>
      </c>
      <c r="S680" s="31">
        <f>IFERROR(__xludf.DUMMYFUNCTION("""COMPUTED_VALUE"""),355.8333333333333)</f>
        <v>355.8333333</v>
      </c>
      <c r="T680" s="57">
        <f>IFERROR(__xludf.DUMMYFUNCTION("""COMPUTED_VALUE"""),0.8787878787878789)</f>
        <v>0.8787878788</v>
      </c>
      <c r="U680" s="57">
        <f>IFERROR(__xludf.DUMMYFUNCTION("""COMPUTED_VALUE"""),0.6666666666666666)</f>
        <v>0.6666666667</v>
      </c>
      <c r="V680" s="57">
        <f>IFERROR(__xludf.DUMMYFUNCTION("""COMPUTED_VALUE"""),1.212121212121212)</f>
        <v>1.212121212</v>
      </c>
      <c r="W680" s="57">
        <f>IFERROR(__xludf.DUMMYFUNCTION("""COMPUTED_VALUE"""),2.333333333333333)</f>
        <v>2.333333333</v>
      </c>
      <c r="X680" s="31">
        <f>IFERROR(__xludf.DUMMYFUNCTION("""COMPUTED_VALUE"""),361.8989411371076)</f>
        <v>361.8989411</v>
      </c>
      <c r="Y680" s="57">
        <f>IFERROR(__xludf.DUMMYFUNCTION("""COMPUTED_VALUE"""),0.8382035454358028)</f>
        <v>0.8382035454</v>
      </c>
      <c r="Z680" s="57">
        <f>IFERROR(__xludf.DUMMYFUNCTION("""COMPUTED_VALUE"""),0.6146577749441514)</f>
        <v>0.6146577749</v>
      </c>
      <c r="AA680" s="57">
        <f>IFERROR(__xludf.DUMMYFUNCTION("""COMPUTED_VALUE"""),1.33010690829406)</f>
        <v>1.330106908</v>
      </c>
      <c r="AB680" s="57">
        <f>IFERROR(__xludf.DUMMYFUNCTION("""COMPUTED_VALUE"""),2.5801095156571496)</f>
        <v>2.580109516</v>
      </c>
      <c r="AC680" s="31">
        <f>IFERROR(__xludf.DUMMYFUNCTION("""COMPUTED_VALUE"""),330.2941179353429)</f>
        <v>330.2941179</v>
      </c>
      <c r="AD680" s="57">
        <f>IFERROR(__xludf.DUMMYFUNCTION("""COMPUTED_VALUE"""),0.6824523442483044)</f>
        <v>0.6824523442</v>
      </c>
      <c r="AE680" s="57">
        <f>IFERROR(__xludf.DUMMYFUNCTION("""COMPUTED_VALUE"""),0.5027266460871668)</f>
        <v>0.5027266461</v>
      </c>
      <c r="AF680" s="57">
        <f>IFERROR(__xludf.DUMMYFUNCTION("""COMPUTED_VALUE"""),1.2574967992933033)</f>
        <v>1.257496799</v>
      </c>
      <c r="AG680" s="57">
        <f>IFERROR(__xludf.DUMMYFUNCTION("""COMPUTED_VALUE"""),2.4417871056702105)</f>
        <v>2.441787106</v>
      </c>
      <c r="AH680" s="57">
        <f>IFERROR(__xludf.DUMMYFUNCTION("""COMPUTED_VALUE"""),0.8217194196665074)</f>
        <v>0.8217194197</v>
      </c>
      <c r="AI680" s="57">
        <f>IFERROR(__xludf.DUMMYFUNCTION("""COMPUTED_VALUE"""),0.9324660421008107)</f>
        <v>0.9324660421</v>
      </c>
      <c r="AJ680" s="57">
        <f>IFERROR(__xludf.DUMMYFUNCTION("""COMPUTED_VALUE"""),0.7233282072208153)</f>
        <v>0.7233282072</v>
      </c>
      <c r="AK680" s="57">
        <f>IFERROR(__xludf.DUMMYFUNCTION("""COMPUTED_VALUE"""),0.7590838044930982)</f>
        <v>0.7590838045</v>
      </c>
      <c r="AL680" s="57">
        <f>IFERROR(__xludf.DUMMYFUNCTION("""COMPUTED_VALUE"""),0.8563027817018419)</f>
        <v>0.8563027817</v>
      </c>
      <c r="AM680" s="57">
        <f>IFERROR(__xludf.DUMMYFUNCTION("""COMPUTED_VALUE"""),0.9832394983397414)</f>
        <v>0.9832394983</v>
      </c>
      <c r="AN680" s="57">
        <f>IFERROR(__xludf.DUMMYFUNCTION("""COMPUTED_VALUE"""),1.0484182315537396)</f>
        <v>1.048418232</v>
      </c>
      <c r="AO680" s="57">
        <f>IFERROR(__xludf.DUMMYFUNCTION("""COMPUTED_VALUE"""),1.0846143884330444)</f>
        <v>1.084614388</v>
      </c>
      <c r="AP680" s="35">
        <f>IFERROR(__xludf.DUMMYFUNCTION("""COMPUTED_VALUE"""),0.91129608046005)</f>
        <v>0.9112960805</v>
      </c>
      <c r="AQ680" s="57">
        <f>IFERROR(__xludf.DUMMYFUNCTION("""COMPUTED_VALUE"""),0.9043543768873845)</f>
        <v>0.9043543769</v>
      </c>
      <c r="AR680" s="36" t="b">
        <f>IFERROR(__xludf.DUMMYFUNCTION("""COMPUTED_VALUE"""),TRUE)</f>
        <v>1</v>
      </c>
      <c r="AS680" s="57"/>
      <c r="AT680" s="37"/>
      <c r="AU680" s="30"/>
      <c r="AV680" s="30"/>
      <c r="AW680" s="30"/>
      <c r="AX680" s="30"/>
      <c r="AY680" s="30"/>
      <c r="AZ680" s="30"/>
    </row>
    <row r="681">
      <c r="A681" s="30" t="str">
        <f>IFERROR(__xludf.DUMMYFUNCTION("""COMPUTED_VALUE"""),"Rival")</f>
        <v>Rival</v>
      </c>
      <c r="B681" s="30" t="str">
        <f>IFERROR(__xludf.DUMMYFUNCTION("""COMPUTED_VALUE"""),"RSC007222")</f>
        <v>RSC007222</v>
      </c>
      <c r="C681" s="30" t="str">
        <f>IFERROR(__xludf.DUMMYFUNCTION("""COMPUTED_VALUE"""),"S3EZ")</f>
        <v>S3EZ</v>
      </c>
      <c r="D681" s="31" t="str">
        <f>IFERROR(__xludf.DUMMYFUNCTION("""COMPUTED_VALUE"""),"Ostriches")</f>
        <v>Ostriches</v>
      </c>
      <c r="E681" s="31">
        <f>IFERROR(__xludf.DUMMYFUNCTION("""COMPUTED_VALUE"""),32.67147004271659)</f>
        <v>32.67147004</v>
      </c>
      <c r="F681" s="31">
        <f>IFERROR(__xludf.DUMMYFUNCTION("""COMPUTED_VALUE"""),-4.096505933891192)</f>
        <v>-4.096505934</v>
      </c>
      <c r="G681" s="31">
        <f>IFERROR(__xludf.DUMMYFUNCTION("""COMPUTED_VALUE"""),43.68243190036603)</f>
        <v>43.6824319</v>
      </c>
      <c r="H681" s="31">
        <f>IFERROR(__xludf.DUMMYFUNCTION("""COMPUTED_VALUE"""),-2.4984448968265838)</f>
        <v>-2.498444897</v>
      </c>
      <c r="I681" s="54">
        <f>IFERROR(__xludf.DUMMYFUNCTION("""COMPUTED_VALUE"""),23.0)</f>
        <v>23</v>
      </c>
      <c r="J681" s="55">
        <f>IFERROR(__xludf.DUMMYFUNCTION("""COMPUTED_VALUE"""),10.0)</f>
        <v>10</v>
      </c>
      <c r="K681" s="54">
        <f>IFERROR(__xludf.DUMMYFUNCTION("""COMPUTED_VALUE"""),13.0)</f>
        <v>13</v>
      </c>
      <c r="L681" s="56">
        <f>IFERROR(__xludf.DUMMYFUNCTION("""COMPUTED_VALUE"""),0.43478260869565216)</f>
        <v>0.4347826087</v>
      </c>
      <c r="M681" s="56">
        <f>IFERROR(__xludf.DUMMYFUNCTION("""COMPUTED_VALUE"""),0.2)</f>
        <v>0.2</v>
      </c>
      <c r="N681" s="31">
        <f>IFERROR(__xludf.DUMMYFUNCTION("""COMPUTED_VALUE"""),300.2173913043478)</f>
        <v>300.2173913</v>
      </c>
      <c r="O681" s="57">
        <f>IFERROR(__xludf.DUMMYFUNCTION("""COMPUTED_VALUE"""),0.43478260869565216)</f>
        <v>0.4347826087</v>
      </c>
      <c r="P681" s="57">
        <f>IFERROR(__xludf.DUMMYFUNCTION("""COMPUTED_VALUE"""),0.4782608695652174)</f>
        <v>0.4782608696</v>
      </c>
      <c r="Q681" s="57">
        <f>IFERROR(__xludf.DUMMYFUNCTION("""COMPUTED_VALUE"""),1.391304347826087)</f>
        <v>1.391304348</v>
      </c>
      <c r="R681" s="57">
        <f>IFERROR(__xludf.DUMMYFUNCTION("""COMPUTED_VALUE"""),2.1739130434782608)</f>
        <v>2.173913043</v>
      </c>
      <c r="S681" s="31">
        <f>IFERROR(__xludf.DUMMYFUNCTION("""COMPUTED_VALUE"""),333.2753623188405)</f>
        <v>333.2753623</v>
      </c>
      <c r="T681" s="57">
        <f>IFERROR(__xludf.DUMMYFUNCTION("""COMPUTED_VALUE"""),0.7101449275362318)</f>
        <v>0.7101449275</v>
      </c>
      <c r="U681" s="57">
        <f>IFERROR(__xludf.DUMMYFUNCTION("""COMPUTED_VALUE"""),0.5217391304347827)</f>
        <v>0.5217391304</v>
      </c>
      <c r="V681" s="57">
        <f>IFERROR(__xludf.DUMMYFUNCTION("""COMPUTED_VALUE"""),1.0869565217391308)</f>
        <v>1.086956522</v>
      </c>
      <c r="W681" s="57">
        <f>IFERROR(__xludf.DUMMYFUNCTION("""COMPUTED_VALUE"""),2.3913043478260874)</f>
        <v>2.391304348</v>
      </c>
      <c r="X681" s="31">
        <f>IFERROR(__xludf.DUMMYFUNCTION("""COMPUTED_VALUE"""),347.04263138278907)</f>
        <v>347.0426314</v>
      </c>
      <c r="Y681" s="57">
        <f>IFERROR(__xludf.DUMMYFUNCTION("""COMPUTED_VALUE"""),0.7493637169278271)</f>
        <v>0.7493637169</v>
      </c>
      <c r="Z681" s="57">
        <f>IFERROR(__xludf.DUMMYFUNCTION("""COMPUTED_VALUE"""),0.611429668887132)</f>
        <v>0.6114296689</v>
      </c>
      <c r="AA681" s="57">
        <f>IFERROR(__xludf.DUMMYFUNCTION("""COMPUTED_VALUE"""),1.3327891386893864)</f>
        <v>1.332789139</v>
      </c>
      <c r="AB681" s="57">
        <f>IFERROR(__xludf.DUMMYFUNCTION("""COMPUTED_VALUE"""),2.414159985032252)</f>
        <v>2.414159985</v>
      </c>
      <c r="AC681" s="31">
        <f>IFERROR(__xludf.DUMMYFUNCTION("""COMPUTED_VALUE"""),335.983422736767)</f>
        <v>335.9834227</v>
      </c>
      <c r="AD681" s="57">
        <f>IFERROR(__xludf.DUMMYFUNCTION("""COMPUTED_VALUE"""),0.7119749168117425)</f>
        <v>0.7119749168</v>
      </c>
      <c r="AE681" s="57">
        <f>IFERROR(__xludf.DUMMYFUNCTION("""COMPUTED_VALUE"""),0.531936001519814)</f>
        <v>0.5319360015</v>
      </c>
      <c r="AF681" s="57">
        <f>IFERROR(__xludf.DUMMYFUNCTION("""COMPUTED_VALUE"""),1.2778813905669084)</f>
        <v>1.277881391</v>
      </c>
      <c r="AG681" s="57">
        <f>IFERROR(__xludf.DUMMYFUNCTION("""COMPUTED_VALUE"""),2.495686232887764)</f>
        <v>2.495686233</v>
      </c>
      <c r="AH681" s="57">
        <f>IFERROR(__xludf.DUMMYFUNCTION("""COMPUTED_VALUE"""),0.8935482258586287)</f>
        <v>0.8935482259</v>
      </c>
      <c r="AI681" s="57">
        <f>IFERROR(__xludf.DUMMYFUNCTION("""COMPUTED_VALUE"""),0.6106712447716969)</f>
        <v>0.6106712448</v>
      </c>
      <c r="AJ681" s="57">
        <f>IFERROR(__xludf.DUMMYFUNCTION("""COMPUTED_VALUE"""),0.8990947561337466)</f>
        <v>0.8990947561</v>
      </c>
      <c r="AK681" s="57">
        <f>IFERROR(__xludf.DUMMYFUNCTION("""COMPUTED_VALUE"""),1.0887585953566947)</f>
        <v>1.088758595</v>
      </c>
      <c r="AL681" s="57">
        <f>IFERROR(__xludf.DUMMYFUNCTION("""COMPUTED_VALUE"""),0.8710682516218481)</f>
        <v>0.8710682516</v>
      </c>
      <c r="AM681" s="57">
        <f>IFERROR(__xludf.DUMMYFUNCTION("""COMPUTED_VALUE"""),0.9603297467832901)</f>
        <v>0.9603297468</v>
      </c>
      <c r="AN681" s="57">
        <f>IFERROR(__xludf.DUMMYFUNCTION("""COMPUTED_VALUE"""),0.9476638800282713)</f>
        <v>0.94766388</v>
      </c>
      <c r="AO681" s="57">
        <f>IFERROR(__xludf.DUMMYFUNCTION("""COMPUTED_VALUE"""),0.8533101303121325)</f>
        <v>0.8533101303</v>
      </c>
      <c r="AP681" s="35">
        <f>IFERROR(__xludf.DUMMYFUNCTION("""COMPUTED_VALUE"""),0.8155502548647733)</f>
        <v>0.8155502549</v>
      </c>
      <c r="AQ681" s="57">
        <f>IFERROR(__xludf.DUMMYFUNCTION("""COMPUTED_VALUE"""),0.9905326749892844)</f>
        <v>0.990532675</v>
      </c>
      <c r="AR681" s="36" t="b">
        <f>IFERROR(__xludf.DUMMYFUNCTION("""COMPUTED_VALUE"""),TRUE)</f>
        <v>1</v>
      </c>
      <c r="AS681" s="57"/>
      <c r="AT681" s="37"/>
      <c r="AU681" s="30"/>
      <c r="AV681" s="30"/>
      <c r="AW681" s="30"/>
      <c r="AX681" s="30"/>
      <c r="AY681" s="30"/>
      <c r="AZ681" s="30"/>
    </row>
    <row r="682">
      <c r="A682" s="30" t="str">
        <f>IFERROR(__xludf.DUMMYFUNCTION("""COMPUTED_VALUE"""),"Rival")</f>
        <v>Rival</v>
      </c>
      <c r="B682" s="30" t="str">
        <f>IFERROR(__xludf.DUMMYFUNCTION("""COMPUTED_VALUE"""),"RSC005934")</f>
        <v>RSC005934</v>
      </c>
      <c r="C682" s="30" t="str">
        <f>IFERROR(__xludf.DUMMYFUNCTION("""COMPUTED_VALUE"""),"TheodoreThe2")</f>
        <v>TheodoreThe2</v>
      </c>
      <c r="D682" s="31" t="str">
        <f>IFERROR(__xludf.DUMMYFUNCTION("""COMPUTED_VALUE"""),"Ruthless Racket")</f>
        <v>Ruthless Racket</v>
      </c>
      <c r="E682" s="31">
        <f>IFERROR(__xludf.DUMMYFUNCTION("""COMPUTED_VALUE"""),31.27947647138491)</f>
        <v>31.27947647</v>
      </c>
      <c r="F682" s="31">
        <f>IFERROR(__xludf.DUMMYFUNCTION("""COMPUTED_VALUE"""),-4.405624662882057)</f>
        <v>-4.405624663</v>
      </c>
      <c r="G682" s="31">
        <f>IFERROR(__xludf.DUMMYFUNCTION("""COMPUTED_VALUE"""),40.604718993536366)</f>
        <v>40.60471899</v>
      </c>
      <c r="H682" s="31">
        <f>IFERROR(__xludf.DUMMYFUNCTION("""COMPUTED_VALUE"""),-2.828625340033822)</f>
        <v>-2.82862534</v>
      </c>
      <c r="I682" s="54">
        <f>IFERROR(__xludf.DUMMYFUNCTION("""COMPUTED_VALUE"""),19.0)</f>
        <v>19</v>
      </c>
      <c r="J682" s="55">
        <f>IFERROR(__xludf.DUMMYFUNCTION("""COMPUTED_VALUE"""),6.0)</f>
        <v>6</v>
      </c>
      <c r="K682" s="54">
        <f>IFERROR(__xludf.DUMMYFUNCTION("""COMPUTED_VALUE"""),13.0)</f>
        <v>13</v>
      </c>
      <c r="L682" s="56">
        <f>IFERROR(__xludf.DUMMYFUNCTION("""COMPUTED_VALUE"""),0.3157894736842105)</f>
        <v>0.3157894737</v>
      </c>
      <c r="M682" s="56">
        <f>IFERROR(__xludf.DUMMYFUNCTION("""COMPUTED_VALUE"""),0.2631578947368421)</f>
        <v>0.2631578947</v>
      </c>
      <c r="N682" s="31">
        <f>IFERROR(__xludf.DUMMYFUNCTION("""COMPUTED_VALUE"""),334.10526315789474)</f>
        <v>334.1052632</v>
      </c>
      <c r="O682" s="57">
        <f>IFERROR(__xludf.DUMMYFUNCTION("""COMPUTED_VALUE"""),0.5263157894736842)</f>
        <v>0.5263157895</v>
      </c>
      <c r="P682" s="57">
        <f>IFERROR(__xludf.DUMMYFUNCTION("""COMPUTED_VALUE"""),0.47368421052631576)</f>
        <v>0.4736842105</v>
      </c>
      <c r="Q682" s="57">
        <f>IFERROR(__xludf.DUMMYFUNCTION("""COMPUTED_VALUE"""),1.4210526315789473)</f>
        <v>1.421052632</v>
      </c>
      <c r="R682" s="57">
        <f>IFERROR(__xludf.DUMMYFUNCTION("""COMPUTED_VALUE"""),2.0)</f>
        <v>2</v>
      </c>
      <c r="S682" s="31">
        <f>IFERROR(__xludf.DUMMYFUNCTION("""COMPUTED_VALUE"""),361.50877192982455)</f>
        <v>361.5087719</v>
      </c>
      <c r="T682" s="57">
        <f>IFERROR(__xludf.DUMMYFUNCTION("""COMPUTED_VALUE"""),0.8771929824561404)</f>
        <v>0.8771929825</v>
      </c>
      <c r="U682" s="57">
        <f>IFERROR(__xludf.DUMMYFUNCTION("""COMPUTED_VALUE"""),0.6140350877192983)</f>
        <v>0.6140350877</v>
      </c>
      <c r="V682" s="57">
        <f>IFERROR(__xludf.DUMMYFUNCTION("""COMPUTED_VALUE"""),1.0350877192982455)</f>
        <v>1.035087719</v>
      </c>
      <c r="W682" s="57">
        <f>IFERROR(__xludf.DUMMYFUNCTION("""COMPUTED_VALUE"""),2.912280701754386)</f>
        <v>2.912280702</v>
      </c>
      <c r="X682" s="31">
        <f>IFERROR(__xludf.DUMMYFUNCTION("""COMPUTED_VALUE"""),349.31866430640383)</f>
        <v>349.3186643</v>
      </c>
      <c r="Y682" s="57">
        <f>IFERROR(__xludf.DUMMYFUNCTION("""COMPUTED_VALUE"""),0.8100870311073239)</f>
        <v>0.8100870311</v>
      </c>
      <c r="Z682" s="57">
        <f>IFERROR(__xludf.DUMMYFUNCTION("""COMPUTED_VALUE"""),0.5796421168273894)</f>
        <v>0.5796421168</v>
      </c>
      <c r="AA682" s="57">
        <f>IFERROR(__xludf.DUMMYFUNCTION("""COMPUTED_VALUE"""),1.2497385481407397)</f>
        <v>1.249738548</v>
      </c>
      <c r="AB682" s="57">
        <f>IFERROR(__xludf.DUMMYFUNCTION("""COMPUTED_VALUE"""),2.6064760205732957)</f>
        <v>2.606476021</v>
      </c>
      <c r="AC682" s="31">
        <f>IFERROR(__xludf.DUMMYFUNCTION("""COMPUTED_VALUE"""),344.91273634937323)</f>
        <v>344.9127363</v>
      </c>
      <c r="AD682" s="57">
        <f>IFERROR(__xludf.DUMMYFUNCTION("""COMPUTED_VALUE"""),0.7810268268418432)</f>
        <v>0.7810268268</v>
      </c>
      <c r="AE682" s="57">
        <f>IFERROR(__xludf.DUMMYFUNCTION("""COMPUTED_VALUE"""),0.5574032452082874)</f>
        <v>0.5574032452</v>
      </c>
      <c r="AF682" s="57">
        <f>IFERROR(__xludf.DUMMYFUNCTION("""COMPUTED_VALUE"""),1.279764435816443)</f>
        <v>1.279764436</v>
      </c>
      <c r="AG682" s="57">
        <f>IFERROR(__xludf.DUMMYFUNCTION("""COMPUTED_VALUE"""),2.5106453611142716)</f>
        <v>2.510645361</v>
      </c>
      <c r="AH682" s="57">
        <f>IFERROR(__xludf.DUMMYFUNCTION("""COMPUTED_VALUE"""),0.9686660652028481)</f>
        <v>0.9686660652</v>
      </c>
      <c r="AI682" s="57">
        <f>IFERROR(__xludf.DUMMYFUNCTION("""COMPUTED_VALUE"""),0.6738767112544553)</f>
        <v>0.6738767113</v>
      </c>
      <c r="AJ682" s="57">
        <f>IFERROR(__xludf.DUMMYFUNCTION("""COMPUTED_VALUE"""),0.8498052614482214)</f>
        <v>0.8498052614</v>
      </c>
      <c r="AK682" s="57">
        <f>IFERROR(__xludf.DUMMYFUNCTION("""COMPUTED_VALUE"""),1.1104017206669503)</f>
        <v>1.110401721</v>
      </c>
      <c r="AL682" s="57">
        <f>IFERROR(__xludf.DUMMYFUNCTION("""COMPUTED_VALUE"""),0.7966079283743851)</f>
        <v>0.7966079284</v>
      </c>
      <c r="AM682" s="57">
        <f>IFERROR(__xludf.DUMMYFUNCTION("""COMPUTED_VALUE"""),1.034896811619342)</f>
        <v>1.034896812</v>
      </c>
      <c r="AN682" s="57">
        <f>IFERROR(__xludf.DUMMYFUNCTION("""COMPUTED_VALUE"""),1.0828379529259813)</f>
        <v>1.082837953</v>
      </c>
      <c r="AO682" s="57">
        <f>IFERROR(__xludf.DUMMYFUNCTION("""COMPUTED_VALUE"""),1.059334837641121)</f>
        <v>1.059334838</v>
      </c>
      <c r="AP682" s="35">
        <f>IFERROR(__xludf.DUMMYFUNCTION("""COMPUTED_VALUE"""),0.8282434120625994)</f>
        <v>0.8282434121</v>
      </c>
      <c r="AQ682" s="57">
        <f>IFERROR(__xludf.DUMMYFUNCTION("""COMPUTED_VALUE"""),1.1173249547539779)</f>
        <v>1.117324955</v>
      </c>
      <c r="AR682" s="36" t="b">
        <f>IFERROR(__xludf.DUMMYFUNCTION("""COMPUTED_VALUE"""),TRUE)</f>
        <v>1</v>
      </c>
      <c r="AS682" s="57"/>
      <c r="AT682" s="37"/>
      <c r="AU682" s="30"/>
      <c r="AV682" s="30"/>
      <c r="AW682" s="30"/>
      <c r="AX682" s="30"/>
      <c r="AY682" s="30"/>
      <c r="AZ682" s="30"/>
    </row>
    <row r="683">
      <c r="A683" s="30" t="str">
        <f>IFERROR(__xludf.DUMMYFUNCTION("""COMPUTED_VALUE"""),"Rival")</f>
        <v>Rival</v>
      </c>
      <c r="B683" s="30" t="str">
        <f>IFERROR(__xludf.DUMMYFUNCTION("""COMPUTED_VALUE"""),"RSC004456")</f>
        <v>RSC004456</v>
      </c>
      <c r="C683" s="30" t="str">
        <f>IFERROR(__xludf.DUMMYFUNCTION("""COMPUTED_VALUE"""),"ShazamPoof")</f>
        <v>ShazamPoof</v>
      </c>
      <c r="D683" s="31" t="str">
        <f>IFERROR(__xludf.DUMMYFUNCTION("""COMPUTED_VALUE"""),"Centuriones")</f>
        <v>Centuriones</v>
      </c>
      <c r="E683" s="31">
        <f>IFERROR(__xludf.DUMMYFUNCTION("""COMPUTED_VALUE"""),30.954982357877935)</f>
        <v>30.95498236</v>
      </c>
      <c r="F683" s="31">
        <f>IFERROR(__xludf.DUMMYFUNCTION("""COMPUTED_VALUE"""),-4.482506310387311)</f>
        <v>-4.48250631</v>
      </c>
      <c r="G683" s="31">
        <f>IFERROR(__xludf.DUMMYFUNCTION("""COMPUTED_VALUE"""),28.69860065527727)</f>
        <v>28.69860066</v>
      </c>
      <c r="H683" s="31">
        <f>IFERROR(__xludf.DUMMYFUNCTION("""COMPUTED_VALUE"""),-5.073785191589598)</f>
        <v>-5.073785192</v>
      </c>
      <c r="I683" s="54">
        <f>IFERROR(__xludf.DUMMYFUNCTION("""COMPUTED_VALUE"""),26.0)</f>
        <v>26</v>
      </c>
      <c r="J683" s="55">
        <f>IFERROR(__xludf.DUMMYFUNCTION("""COMPUTED_VALUE"""),7.0)</f>
        <v>7</v>
      </c>
      <c r="K683" s="54">
        <f>IFERROR(__xludf.DUMMYFUNCTION("""COMPUTED_VALUE"""),19.0)</f>
        <v>19</v>
      </c>
      <c r="L683" s="56">
        <f>IFERROR(__xludf.DUMMYFUNCTION("""COMPUTED_VALUE"""),0.2692307692307692)</f>
        <v>0.2692307692</v>
      </c>
      <c r="M683" s="56">
        <f>IFERROR(__xludf.DUMMYFUNCTION("""COMPUTED_VALUE"""),0.3392857142857143)</f>
        <v>0.3392857143</v>
      </c>
      <c r="N683" s="31">
        <f>IFERROR(__xludf.DUMMYFUNCTION("""COMPUTED_VALUE"""),290.38461538461536)</f>
        <v>290.3846154</v>
      </c>
      <c r="O683" s="57">
        <f>IFERROR(__xludf.DUMMYFUNCTION("""COMPUTED_VALUE"""),0.7307692307692307)</f>
        <v>0.7307692308</v>
      </c>
      <c r="P683" s="57">
        <f>IFERROR(__xludf.DUMMYFUNCTION("""COMPUTED_VALUE"""),0.4230769230769231)</f>
        <v>0.4230769231</v>
      </c>
      <c r="Q683" s="57">
        <f>IFERROR(__xludf.DUMMYFUNCTION("""COMPUTED_VALUE"""),1.1538461538461537)</f>
        <v>1.153846154</v>
      </c>
      <c r="R683" s="57">
        <f>IFERROR(__xludf.DUMMYFUNCTION("""COMPUTED_VALUE"""),2.1538461538461537)</f>
        <v>2.153846154</v>
      </c>
      <c r="S683" s="31">
        <f>IFERROR(__xludf.DUMMYFUNCTION("""COMPUTED_VALUE"""),356.70512820512823)</f>
        <v>356.7051282</v>
      </c>
      <c r="T683" s="57">
        <f>IFERROR(__xludf.DUMMYFUNCTION("""COMPUTED_VALUE"""),0.9615384615384616)</f>
        <v>0.9615384615</v>
      </c>
      <c r="U683" s="57">
        <f>IFERROR(__xludf.DUMMYFUNCTION("""COMPUTED_VALUE"""),0.6794871794871795)</f>
        <v>0.6794871795</v>
      </c>
      <c r="V683" s="57">
        <f>IFERROR(__xludf.DUMMYFUNCTION("""COMPUTED_VALUE"""),1.0897435897435899)</f>
        <v>1.08974359</v>
      </c>
      <c r="W683" s="57">
        <f>IFERROR(__xludf.DUMMYFUNCTION("""COMPUTED_VALUE"""),2.846153846153846)</f>
        <v>2.846153846</v>
      </c>
      <c r="X683" s="31">
        <f>IFERROR(__xludf.DUMMYFUNCTION("""COMPUTED_VALUE"""),338.5964190334397)</f>
        <v>338.596419</v>
      </c>
      <c r="Y683" s="57">
        <f>IFERROR(__xludf.DUMMYFUNCTION("""COMPUTED_VALUE"""),0.7861731769809279)</f>
        <v>0.786173177</v>
      </c>
      <c r="Z683" s="57">
        <f>IFERROR(__xludf.DUMMYFUNCTION("""COMPUTED_VALUE"""),0.5213637113394838)</f>
        <v>0.5213637113</v>
      </c>
      <c r="AA683" s="57">
        <f>IFERROR(__xludf.DUMMYFUNCTION("""COMPUTED_VALUE"""),1.251297270221543)</f>
        <v>1.25129727</v>
      </c>
      <c r="AB683" s="57">
        <f>IFERROR(__xludf.DUMMYFUNCTION("""COMPUTED_VALUE"""),2.546465407197913)</f>
        <v>2.546465407</v>
      </c>
      <c r="AC683" s="31">
        <f>IFERROR(__xludf.DUMMYFUNCTION("""COMPUTED_VALUE"""),352.8950858171316)</f>
        <v>352.8950858</v>
      </c>
      <c r="AD683" s="57">
        <f>IFERROR(__xludf.DUMMYFUNCTION("""COMPUTED_VALUE"""),0.8071948300616424)</f>
        <v>0.8071948301</v>
      </c>
      <c r="AE683" s="57">
        <f>IFERROR(__xludf.DUMMYFUNCTION("""COMPUTED_VALUE"""),0.5735911439377017)</f>
        <v>0.5735911439</v>
      </c>
      <c r="AF683" s="57">
        <f>IFERROR(__xludf.DUMMYFUNCTION("""COMPUTED_VALUE"""),1.361488120551889)</f>
        <v>1.361488121</v>
      </c>
      <c r="AG683" s="57">
        <f>IFERROR(__xludf.DUMMYFUNCTION("""COMPUTED_VALUE"""),2.5668360281704277)</f>
        <v>2.566836028</v>
      </c>
      <c r="AH683" s="57">
        <f>IFERROR(__xludf.DUMMYFUNCTION("""COMPUTED_VALUE"""),0.8228638682010188)</f>
        <v>0.8228638682</v>
      </c>
      <c r="AI683" s="57">
        <f>IFERROR(__xludf.DUMMYFUNCTION("""COMPUTED_VALUE"""),0.9053195133985492)</f>
        <v>0.9053195134</v>
      </c>
      <c r="AJ683" s="57">
        <f>IFERROR(__xludf.DUMMYFUNCTION("""COMPUTED_VALUE"""),0.7375931925526275)</f>
        <v>0.7375931926</v>
      </c>
      <c r="AK683" s="57">
        <f>IFERROR(__xludf.DUMMYFUNCTION("""COMPUTED_VALUE"""),0.8474889618415723)</f>
        <v>0.8474889618</v>
      </c>
      <c r="AL683" s="57">
        <f>IFERROR(__xludf.DUMMYFUNCTION("""COMPUTED_VALUE"""),0.8391054707851198)</f>
        <v>0.8391054708</v>
      </c>
      <c r="AM683" s="57">
        <f>IFERROR(__xludf.DUMMYFUNCTION("""COMPUTED_VALUE"""),1.053481691340333)</f>
        <v>1.053481691</v>
      </c>
      <c r="AN683" s="57">
        <f>IFERROR(__xludf.DUMMYFUNCTION("""COMPUTED_VALUE"""),1.2230619025072487)</f>
        <v>1.223061903</v>
      </c>
      <c r="AO683" s="57">
        <f>IFERROR(__xludf.DUMMYFUNCTION("""COMPUTED_VALUE"""),1.3032882126403582)</f>
        <v>1.303288213</v>
      </c>
      <c r="AP683" s="35">
        <f>IFERROR(__xludf.DUMMYFUNCTION("""COMPUTED_VALUE"""),0.8708910469777098)</f>
        <v>0.870891047</v>
      </c>
      <c r="AQ683" s="57">
        <f>IFERROR(__xludf.DUMMYFUNCTION("""COMPUTED_VALUE"""),1.117688007113242)</f>
        <v>1.117688007</v>
      </c>
      <c r="AR683" s="36" t="b">
        <f>IFERROR(__xludf.DUMMYFUNCTION("""COMPUTED_VALUE"""),TRUE)</f>
        <v>1</v>
      </c>
      <c r="AS683" s="57"/>
      <c r="AT683" s="37"/>
      <c r="AU683" s="30"/>
      <c r="AV683" s="30"/>
      <c r="AW683" s="30"/>
      <c r="AX683" s="30"/>
      <c r="AY683" s="30"/>
      <c r="AZ683" s="30"/>
    </row>
    <row r="684">
      <c r="A684" s="30" t="str">
        <f>IFERROR(__xludf.DUMMYFUNCTION("""COMPUTED_VALUE"""),"Rival")</f>
        <v>Rival</v>
      </c>
      <c r="B684" s="30" t="str">
        <f>IFERROR(__xludf.DUMMYFUNCTION("""COMPUTED_VALUE"""),"RSC006881")</f>
        <v>RSC006881</v>
      </c>
      <c r="C684" s="30" t="str">
        <f>IFERROR(__xludf.DUMMYFUNCTION("""COMPUTED_VALUE"""),"Cyroic")</f>
        <v>Cyroic</v>
      </c>
      <c r="D684" s="31"/>
      <c r="E684" s="31">
        <f>IFERROR(__xludf.DUMMYFUNCTION("""COMPUTED_VALUE"""),30.77477166126814)</f>
        <v>30.77477166</v>
      </c>
      <c r="F684" s="31">
        <f>IFERROR(__xludf.DUMMYFUNCTION("""COMPUTED_VALUE"""),-4.526034888599571)</f>
        <v>-4.526034889</v>
      </c>
      <c r="G684" s="31">
        <f>IFERROR(__xludf.DUMMYFUNCTION("""COMPUTED_VALUE"""),27.254865515710627)</f>
        <v>27.25486552</v>
      </c>
      <c r="H684" s="31">
        <f>IFERROR(__xludf.DUMMYFUNCTION("""COMPUTED_VALUE"""),-5.510778078256803)</f>
        <v>-5.510778078</v>
      </c>
      <c r="I684" s="54">
        <f>IFERROR(__xludf.DUMMYFUNCTION("""COMPUTED_VALUE"""),20.0)</f>
        <v>20</v>
      </c>
      <c r="J684" s="55">
        <f>IFERROR(__xludf.DUMMYFUNCTION("""COMPUTED_VALUE"""),9.0)</f>
        <v>9</v>
      </c>
      <c r="K684" s="54">
        <f>IFERROR(__xludf.DUMMYFUNCTION("""COMPUTED_VALUE"""),11.0)</f>
        <v>11</v>
      </c>
      <c r="L684" s="56">
        <f>IFERROR(__xludf.DUMMYFUNCTION("""COMPUTED_VALUE"""),0.45)</f>
        <v>0.45</v>
      </c>
      <c r="M684" s="56">
        <f>IFERROR(__xludf.DUMMYFUNCTION("""COMPUTED_VALUE"""),0.19607843137254904)</f>
        <v>0.1960784314</v>
      </c>
      <c r="N684" s="31">
        <f>IFERROR(__xludf.DUMMYFUNCTION("""COMPUTED_VALUE"""),292.9)</f>
        <v>292.9</v>
      </c>
      <c r="O684" s="57">
        <f>IFERROR(__xludf.DUMMYFUNCTION("""COMPUTED_VALUE"""),0.5)</f>
        <v>0.5</v>
      </c>
      <c r="P684" s="57">
        <f>IFERROR(__xludf.DUMMYFUNCTION("""COMPUTED_VALUE"""),0.45)</f>
        <v>0.45</v>
      </c>
      <c r="Q684" s="57">
        <f>IFERROR(__xludf.DUMMYFUNCTION("""COMPUTED_VALUE"""),1.5)</f>
        <v>1.5</v>
      </c>
      <c r="R684" s="57">
        <f>IFERROR(__xludf.DUMMYFUNCTION("""COMPUTED_VALUE"""),2.55)</f>
        <v>2.55</v>
      </c>
      <c r="S684" s="31">
        <f>IFERROR(__xludf.DUMMYFUNCTION("""COMPUTED_VALUE"""),368.4)</f>
        <v>368.4</v>
      </c>
      <c r="T684" s="57">
        <f>IFERROR(__xludf.DUMMYFUNCTION("""COMPUTED_VALUE"""),0.8499999999999999)</f>
        <v>0.85</v>
      </c>
      <c r="U684" s="57">
        <f>IFERROR(__xludf.DUMMYFUNCTION("""COMPUTED_VALUE"""),0.6333333333333333)</f>
        <v>0.6333333333</v>
      </c>
      <c r="V684" s="57">
        <f>IFERROR(__xludf.DUMMYFUNCTION("""COMPUTED_VALUE"""),1.5500000000000003)</f>
        <v>1.55</v>
      </c>
      <c r="W684" s="57">
        <f>IFERROR(__xludf.DUMMYFUNCTION("""COMPUTED_VALUE"""),2.7333333333333334)</f>
        <v>2.733333333</v>
      </c>
      <c r="X684" s="31">
        <f>IFERROR(__xludf.DUMMYFUNCTION("""COMPUTED_VALUE"""),352.5511837142217)</f>
        <v>352.5511837</v>
      </c>
      <c r="Y684" s="57">
        <f>IFERROR(__xludf.DUMMYFUNCTION("""COMPUTED_VALUE"""),0.8176809392018372)</f>
        <v>0.8176809392</v>
      </c>
      <c r="Z684" s="57">
        <f>IFERROR(__xludf.DUMMYFUNCTION("""COMPUTED_VALUE"""),0.564129530147332)</f>
        <v>0.5641295301</v>
      </c>
      <c r="AA684" s="57">
        <f>IFERROR(__xludf.DUMMYFUNCTION("""COMPUTED_VALUE"""),1.3166106048652486)</f>
        <v>1.316610605</v>
      </c>
      <c r="AB684" s="57">
        <f>IFERROR(__xludf.DUMMYFUNCTION("""COMPUTED_VALUE"""),2.567430167290848)</f>
        <v>2.567430167</v>
      </c>
      <c r="AC684" s="31">
        <f>IFERROR(__xludf.DUMMYFUNCTION("""COMPUTED_VALUE"""),350.01497955177774)</f>
        <v>350.0149796</v>
      </c>
      <c r="AD684" s="57">
        <f>IFERROR(__xludf.DUMMYFUNCTION("""COMPUTED_VALUE"""),0.7958004902058049)</f>
        <v>0.7958004902</v>
      </c>
      <c r="AE684" s="57">
        <f>IFERROR(__xludf.DUMMYFUNCTION("""COMPUTED_VALUE"""),0.5462417989069175)</f>
        <v>0.5462417989</v>
      </c>
      <c r="AF684" s="57">
        <f>IFERROR(__xludf.DUMMYFUNCTION("""COMPUTED_VALUE"""),1.3284867292607228)</f>
        <v>1.328486729</v>
      </c>
      <c r="AG684" s="57">
        <f>IFERROR(__xludf.DUMMYFUNCTION("""COMPUTED_VALUE"""),2.5454757322223784)</f>
        <v>2.545475732</v>
      </c>
      <c r="AH684" s="57">
        <f>IFERROR(__xludf.DUMMYFUNCTION("""COMPUTED_VALUE"""),0.8368213279759681)</f>
        <v>0.836821328</v>
      </c>
      <c r="AI684" s="57">
        <f>IFERROR(__xludf.DUMMYFUNCTION("""COMPUTED_VALUE"""),0.6282981804531097)</f>
        <v>0.6282981805</v>
      </c>
      <c r="AJ684" s="57">
        <f>IFERROR(__xludf.DUMMYFUNCTION("""COMPUTED_VALUE"""),0.8238109952414726)</f>
        <v>0.8238109952</v>
      </c>
      <c r="AK684" s="57">
        <f>IFERROR(__xludf.DUMMYFUNCTION("""COMPUTED_VALUE"""),1.1291042409092946)</f>
        <v>1.129104241</v>
      </c>
      <c r="AL684" s="57">
        <f>IFERROR(__xludf.DUMMYFUNCTION("""COMPUTED_VALUE"""),1.0017773761188724)</f>
        <v>1.001777376</v>
      </c>
      <c r="AM684" s="57">
        <f>IFERROR(__xludf.DUMMYFUNCTION("""COMPUTED_VALUE"""),1.044954653445797)</f>
        <v>1.044954653</v>
      </c>
      <c r="AN684" s="57">
        <f>IFERROR(__xludf.DUMMYFUNCTION("""COMPUTED_VALUE"""),1.0395252711035559)</f>
        <v>1.039525271</v>
      </c>
      <c r="AO684" s="57">
        <f>IFERROR(__xludf.DUMMYFUNCTION("""COMPUTED_VALUE"""),1.122673605063588)</f>
        <v>1.122673605</v>
      </c>
      <c r="AP684" s="35">
        <f>IFERROR(__xludf.DUMMYFUNCTION("""COMPUTED_VALUE"""),1.1772653161628137)</f>
        <v>1.177265316</v>
      </c>
      <c r="AQ684" s="57">
        <f>IFERROR(__xludf.DUMMYFUNCTION("""COMPUTED_VALUE"""),1.0646183752750502)</f>
        <v>1.064618375</v>
      </c>
      <c r="AR684" s="36" t="b">
        <f>IFERROR(__xludf.DUMMYFUNCTION("""COMPUTED_VALUE"""),TRUE)</f>
        <v>1</v>
      </c>
      <c r="AS684" s="57"/>
      <c r="AT684" s="37"/>
      <c r="AU684" s="30"/>
      <c r="AV684" s="30"/>
      <c r="AW684" s="30"/>
      <c r="AX684" s="30"/>
      <c r="AY684" s="30"/>
      <c r="AZ684" s="30"/>
    </row>
    <row r="685">
      <c r="A685" s="30" t="str">
        <f>IFERROR(__xludf.DUMMYFUNCTION("""COMPUTED_VALUE"""),"Rival")</f>
        <v>Rival</v>
      </c>
      <c r="B685" s="30" t="str">
        <f>IFERROR(__xludf.DUMMYFUNCTION("""COMPUTED_VALUE"""),"RSC007213")</f>
        <v>RSC007213</v>
      </c>
      <c r="C685" s="30" t="str">
        <f>IFERROR(__xludf.DUMMYFUNCTION("""COMPUTED_VALUE"""),"Pythronex")</f>
        <v>Pythronex</v>
      </c>
      <c r="D685" s="31" t="str">
        <f>IFERROR(__xludf.DUMMYFUNCTION("""COMPUTED_VALUE"""),"Ruthless Racket")</f>
        <v>Ruthless Racket</v>
      </c>
      <c r="E685" s="31">
        <f>IFERROR(__xludf.DUMMYFUNCTION("""COMPUTED_VALUE"""),30.28680008329942)</f>
        <v>30.28680008</v>
      </c>
      <c r="F685" s="31">
        <f>IFERROR(__xludf.DUMMYFUNCTION("""COMPUTED_VALUE"""),-4.6469704762934025)</f>
        <v>-4.646970476</v>
      </c>
      <c r="G685" s="31">
        <f>IFERROR(__xludf.DUMMYFUNCTION("""COMPUTED_VALUE"""),42.23856652064855)</f>
        <v>42.23856652</v>
      </c>
      <c r="H685" s="31">
        <f>IFERROR(__xludf.DUMMYFUNCTION("""COMPUTED_VALUE"""),-2.644756809366691)</f>
        <v>-2.644756809</v>
      </c>
      <c r="I685" s="54">
        <f>IFERROR(__xludf.DUMMYFUNCTION("""COMPUTED_VALUE"""),12.0)</f>
        <v>12</v>
      </c>
      <c r="J685" s="55">
        <f>IFERROR(__xludf.DUMMYFUNCTION("""COMPUTED_VALUE"""),3.0)</f>
        <v>3</v>
      </c>
      <c r="K685" s="54">
        <f>IFERROR(__xludf.DUMMYFUNCTION("""COMPUTED_VALUE"""),9.0)</f>
        <v>9</v>
      </c>
      <c r="L685" s="56">
        <f>IFERROR(__xludf.DUMMYFUNCTION("""COMPUTED_VALUE"""),0.25)</f>
        <v>0.25</v>
      </c>
      <c r="M685" s="56">
        <f>IFERROR(__xludf.DUMMYFUNCTION("""COMPUTED_VALUE"""),0.42857142857142855)</f>
        <v>0.4285714286</v>
      </c>
      <c r="N685" s="31">
        <f>IFERROR(__xludf.DUMMYFUNCTION("""COMPUTED_VALUE"""),330.9166666666667)</f>
        <v>330.9166667</v>
      </c>
      <c r="O685" s="57">
        <f>IFERROR(__xludf.DUMMYFUNCTION("""COMPUTED_VALUE"""),0.75)</f>
        <v>0.75</v>
      </c>
      <c r="P685" s="57">
        <f>IFERROR(__xludf.DUMMYFUNCTION("""COMPUTED_VALUE"""),0.25)</f>
        <v>0.25</v>
      </c>
      <c r="Q685" s="57">
        <f>IFERROR(__xludf.DUMMYFUNCTION("""COMPUTED_VALUE"""),1.75)</f>
        <v>1.75</v>
      </c>
      <c r="R685" s="57">
        <f>IFERROR(__xludf.DUMMYFUNCTION("""COMPUTED_VALUE"""),1.75)</f>
        <v>1.75</v>
      </c>
      <c r="S685" s="31">
        <f>IFERROR(__xludf.DUMMYFUNCTION("""COMPUTED_VALUE"""),367.1666666666667)</f>
        <v>367.1666667</v>
      </c>
      <c r="T685" s="57">
        <f>IFERROR(__xludf.DUMMYFUNCTION("""COMPUTED_VALUE"""),1.1388888888888888)</f>
        <v>1.138888889</v>
      </c>
      <c r="U685" s="57">
        <f>IFERROR(__xludf.DUMMYFUNCTION("""COMPUTED_VALUE"""),0.7222222222222222)</f>
        <v>0.7222222222</v>
      </c>
      <c r="V685" s="57">
        <f>IFERROR(__xludf.DUMMYFUNCTION("""COMPUTED_VALUE"""),0.8611111111111112)</f>
        <v>0.8611111111</v>
      </c>
      <c r="W685" s="57">
        <f>IFERROR(__xludf.DUMMYFUNCTION("""COMPUTED_VALUE"""),3.0555555555555554)</f>
        <v>3.055555556</v>
      </c>
      <c r="X685" s="31">
        <f>IFERROR(__xludf.DUMMYFUNCTION("""COMPUTED_VALUE"""),352.6785204795312)</f>
        <v>352.6785205</v>
      </c>
      <c r="Y685" s="57">
        <f>IFERROR(__xludf.DUMMYFUNCTION("""COMPUTED_VALUE"""),0.9048967165685103)</f>
        <v>0.9048967166</v>
      </c>
      <c r="Z685" s="57">
        <f>IFERROR(__xludf.DUMMYFUNCTION("""COMPUTED_VALUE"""),0.6312897344022073)</f>
        <v>0.6312897344</v>
      </c>
      <c r="AA685" s="57">
        <f>IFERROR(__xludf.DUMMYFUNCTION("""COMPUTED_VALUE"""),1.143933005202043)</f>
        <v>1.143933005</v>
      </c>
      <c r="AB685" s="57">
        <f>IFERROR(__xludf.DUMMYFUNCTION("""COMPUTED_VALUE"""),2.8064167081502736)</f>
        <v>2.806416708</v>
      </c>
      <c r="AC685" s="31">
        <f>IFERROR(__xludf.DUMMYFUNCTION("""COMPUTED_VALUE"""),335.85184995936646)</f>
        <v>335.85185</v>
      </c>
      <c r="AD685" s="57">
        <f>IFERROR(__xludf.DUMMYFUNCTION("""COMPUTED_VALUE"""),0.7255636702510743)</f>
        <v>0.7255636703</v>
      </c>
      <c r="AE685" s="57">
        <f>IFERROR(__xludf.DUMMYFUNCTION("""COMPUTED_VALUE"""),0.4711010560920877)</f>
        <v>0.4711010561</v>
      </c>
      <c r="AF685" s="57">
        <f>IFERROR(__xludf.DUMMYFUNCTION("""COMPUTED_VALUE"""),1.4207029281057453)</f>
        <v>1.420702928</v>
      </c>
      <c r="AG685" s="57">
        <f>IFERROR(__xludf.DUMMYFUNCTION("""COMPUTED_VALUE"""),2.3160651200771665)</f>
        <v>2.31606512</v>
      </c>
      <c r="AH685" s="57">
        <f>IFERROR(__xludf.DUMMYFUNCTION("""COMPUTED_VALUE"""),0.9853054753359349)</f>
        <v>0.9853054753</v>
      </c>
      <c r="AI685" s="57">
        <f>IFERROR(__xludf.DUMMYFUNCTION("""COMPUTED_VALUE"""),1.0336790977151182)</f>
        <v>1.033679098</v>
      </c>
      <c r="AJ685" s="57">
        <f>IFERROR(__xludf.DUMMYFUNCTION("""COMPUTED_VALUE"""),0.5306717035911965)</f>
        <v>0.5306717036</v>
      </c>
      <c r="AK685" s="57">
        <f>IFERROR(__xludf.DUMMYFUNCTION("""COMPUTED_VALUE"""),1.2317846084355677)</f>
        <v>1.231784608</v>
      </c>
      <c r="AL685" s="57">
        <f>IFERROR(__xludf.DUMMYFUNCTION("""COMPUTED_VALUE"""),0.7555918807419775)</f>
        <v>0.7555918807</v>
      </c>
      <c r="AM685" s="57">
        <f>IFERROR(__xludf.DUMMYFUNCTION("""COMPUTED_VALUE"""),1.0410803191740632)</f>
        <v>1.041080319</v>
      </c>
      <c r="AN685" s="57">
        <f>IFERROR(__xludf.DUMMYFUNCTION("""COMPUTED_VALUE"""),1.2585843975738007)</f>
        <v>1.258584398</v>
      </c>
      <c r="AO685" s="57">
        <f>IFERROR(__xludf.DUMMYFUNCTION("""COMPUTED_VALUE"""),1.1440423990200355)</f>
        <v>1.144042399</v>
      </c>
      <c r="AP685" s="35">
        <f>IFERROR(__xludf.DUMMYFUNCTION("""COMPUTED_VALUE"""),0.752763585975055)</f>
        <v>0.752763586</v>
      </c>
      <c r="AQ685" s="57">
        <f>IFERROR(__xludf.DUMMYFUNCTION("""COMPUTED_VALUE"""),1.0887747164139037)</f>
        <v>1.088774716</v>
      </c>
      <c r="AR685" s="36" t="b">
        <f>IFERROR(__xludf.DUMMYFUNCTION("""COMPUTED_VALUE"""),TRUE)</f>
        <v>1</v>
      </c>
      <c r="AS685" s="57"/>
      <c r="AT685" s="37"/>
      <c r="AU685" s="30"/>
      <c r="AV685" s="30"/>
      <c r="AW685" s="30"/>
      <c r="AX685" s="30"/>
      <c r="AY685" s="30"/>
      <c r="AZ685" s="30"/>
    </row>
    <row r="686">
      <c r="A686" s="30" t="str">
        <f>IFERROR(__xludf.DUMMYFUNCTION("""COMPUTED_VALUE"""),"Rival")</f>
        <v>Rival</v>
      </c>
      <c r="B686" s="30" t="str">
        <f>IFERROR(__xludf.DUMMYFUNCTION("""COMPUTED_VALUE"""),"RSC006199")</f>
        <v>RSC006199</v>
      </c>
      <c r="C686" s="30" t="str">
        <f>IFERROR(__xludf.DUMMYFUNCTION("""COMPUTED_VALUE"""),"Irozuh-")</f>
        <v>Irozuh-</v>
      </c>
      <c r="D686" s="31" t="str">
        <f>IFERROR(__xludf.DUMMYFUNCTION("""COMPUTED_VALUE"""),"Ostriches")</f>
        <v>Ostriches</v>
      </c>
      <c r="E686" s="31">
        <f>IFERROR(__xludf.DUMMYFUNCTION("""COMPUTED_VALUE"""),29.57698388877857)</f>
        <v>29.57698389</v>
      </c>
      <c r="F686" s="31">
        <f>IFERROR(__xludf.DUMMYFUNCTION("""COMPUTED_VALUE"""),-4.831223861581473)</f>
        <v>-4.831223862</v>
      </c>
      <c r="G686" s="31">
        <f>IFERROR(__xludf.DUMMYFUNCTION("""COMPUTED_VALUE"""),24.608411228146593)</f>
        <v>24.60841123</v>
      </c>
      <c r="H686" s="31">
        <f>IFERROR(__xludf.DUMMYFUNCTION("""COMPUTED_VALUE"""),-6.455994009795584)</f>
        <v>-6.45599401</v>
      </c>
      <c r="I686" s="54">
        <f>IFERROR(__xludf.DUMMYFUNCTION("""COMPUTED_VALUE"""),32.0)</f>
        <v>32</v>
      </c>
      <c r="J686" s="55">
        <f>IFERROR(__xludf.DUMMYFUNCTION("""COMPUTED_VALUE"""),10.0)</f>
        <v>10</v>
      </c>
      <c r="K686" s="54">
        <f>IFERROR(__xludf.DUMMYFUNCTION("""COMPUTED_VALUE"""),22.0)</f>
        <v>22</v>
      </c>
      <c r="L686" s="56">
        <f>IFERROR(__xludf.DUMMYFUNCTION("""COMPUTED_VALUE"""),0.3125)</f>
        <v>0.3125</v>
      </c>
      <c r="M686" s="56">
        <f>IFERROR(__xludf.DUMMYFUNCTION("""COMPUTED_VALUE"""),0.34375)</f>
        <v>0.34375</v>
      </c>
      <c r="N686" s="31">
        <f>IFERROR(__xludf.DUMMYFUNCTION("""COMPUTED_VALUE"""),287.03125)</f>
        <v>287.03125</v>
      </c>
      <c r="O686" s="57">
        <f>IFERROR(__xludf.DUMMYFUNCTION("""COMPUTED_VALUE"""),0.6875)</f>
        <v>0.6875</v>
      </c>
      <c r="P686" s="57">
        <f>IFERROR(__xludf.DUMMYFUNCTION("""COMPUTED_VALUE"""),0.28125)</f>
        <v>0.28125</v>
      </c>
      <c r="Q686" s="57">
        <f>IFERROR(__xludf.DUMMYFUNCTION("""COMPUTED_VALUE"""),1.0)</f>
        <v>1</v>
      </c>
      <c r="R686" s="57">
        <f>IFERROR(__xludf.DUMMYFUNCTION("""COMPUTED_VALUE"""),2.0)</f>
        <v>2</v>
      </c>
      <c r="S686" s="31">
        <f>IFERROR(__xludf.DUMMYFUNCTION("""COMPUTED_VALUE"""),361.8645833333334)</f>
        <v>361.8645833</v>
      </c>
      <c r="T686" s="57">
        <f>IFERROR(__xludf.DUMMYFUNCTION("""COMPUTED_VALUE"""),0.8854166666666667)</f>
        <v>0.8854166667</v>
      </c>
      <c r="U686" s="57">
        <f>IFERROR(__xludf.DUMMYFUNCTION("""COMPUTED_VALUE"""),0.59375)</f>
        <v>0.59375</v>
      </c>
      <c r="V686" s="57">
        <f>IFERROR(__xludf.DUMMYFUNCTION("""COMPUTED_VALUE"""),1.2291666666666665)</f>
        <v>1.229166667</v>
      </c>
      <c r="W686" s="57">
        <f>IFERROR(__xludf.DUMMYFUNCTION("""COMPUTED_VALUE"""),2.6770833333333335)</f>
        <v>2.677083333</v>
      </c>
      <c r="X686" s="31">
        <f>IFERROR(__xludf.DUMMYFUNCTION("""COMPUTED_VALUE"""),349.09266759772925)</f>
        <v>349.0926676</v>
      </c>
      <c r="Y686" s="57">
        <f>IFERROR(__xludf.DUMMYFUNCTION("""COMPUTED_VALUE"""),0.7702533528532114)</f>
        <v>0.7702533529</v>
      </c>
      <c r="Z686" s="57">
        <f>IFERROR(__xludf.DUMMYFUNCTION("""COMPUTED_VALUE"""),0.6094408715645621)</f>
        <v>0.6094408716</v>
      </c>
      <c r="AA686" s="57">
        <f>IFERROR(__xludf.DUMMYFUNCTION("""COMPUTED_VALUE"""),1.3239923003422183)</f>
        <v>1.3239923</v>
      </c>
      <c r="AB686" s="57">
        <f>IFERROR(__xludf.DUMMYFUNCTION("""COMPUTED_VALUE"""),2.523365655482434)</f>
        <v>2.523365655</v>
      </c>
      <c r="AC686" s="31">
        <f>IFERROR(__xludf.DUMMYFUNCTION("""COMPUTED_VALUE"""),335.2475348008192)</f>
        <v>335.2475348</v>
      </c>
      <c r="AD686" s="57">
        <f>IFERROR(__xludf.DUMMYFUNCTION("""COMPUTED_VALUE"""),0.7052545048907153)</f>
        <v>0.7052545049</v>
      </c>
      <c r="AE686" s="57">
        <f>IFERROR(__xludf.DUMMYFUNCTION("""COMPUTED_VALUE"""),0.5199245873998963)</f>
        <v>0.5199245874</v>
      </c>
      <c r="AF686" s="57">
        <f>IFERROR(__xludf.DUMMYFUNCTION("""COMPUTED_VALUE"""),1.3151329416681923)</f>
        <v>1.315132942</v>
      </c>
      <c r="AG686" s="57">
        <f>IFERROR(__xludf.DUMMYFUNCTION("""COMPUTED_VALUE"""),2.4599317901830253)</f>
        <v>2.45993179</v>
      </c>
      <c r="AH686" s="57">
        <f>IFERROR(__xludf.DUMMYFUNCTION("""COMPUTED_VALUE"""),0.856177063824001)</f>
        <v>0.8561770638</v>
      </c>
      <c r="AI686" s="57">
        <f>IFERROR(__xludf.DUMMYFUNCTION("""COMPUTED_VALUE"""),0.9748253931487237)</f>
        <v>0.9748253931</v>
      </c>
      <c r="AJ686" s="57">
        <f>IFERROR(__xludf.DUMMYFUNCTION("""COMPUTED_VALUE"""),0.5409438345789916)</f>
        <v>0.5409438346</v>
      </c>
      <c r="AK686" s="57">
        <f>IFERROR(__xludf.DUMMYFUNCTION("""COMPUTED_VALUE"""),0.7603794022006178)</f>
        <v>0.7603794022</v>
      </c>
      <c r="AL686" s="57">
        <f>IFERROR(__xludf.DUMMYFUNCTION("""COMPUTED_VALUE"""),0.8130306734444839)</f>
        <v>0.8130306734</v>
      </c>
      <c r="AM686" s="57">
        <f>IFERROR(__xludf.DUMMYFUNCTION("""COMPUTED_VALUE"""),1.036586032652859)</f>
        <v>1.036586033</v>
      </c>
      <c r="AN686" s="57">
        <f>IFERROR(__xludf.DUMMYFUNCTION("""COMPUTED_VALUE"""),1.1495135508165744)</f>
        <v>1.149513551</v>
      </c>
      <c r="AO686" s="57">
        <f>IFERROR(__xludf.DUMMYFUNCTION("""COMPUTED_VALUE"""),0.9742536605326776)</f>
        <v>0.9742536605</v>
      </c>
      <c r="AP686" s="35">
        <f>IFERROR(__xludf.DUMMYFUNCTION("""COMPUTED_VALUE"""),0.9283790142502779)</f>
        <v>0.9283790143</v>
      </c>
      <c r="AQ686" s="57">
        <f>IFERROR(__xludf.DUMMYFUNCTION("""COMPUTED_VALUE"""),1.0609177181741067)</f>
        <v>1.060917718</v>
      </c>
      <c r="AR686" s="36" t="b">
        <f>IFERROR(__xludf.DUMMYFUNCTION("""COMPUTED_VALUE"""),TRUE)</f>
        <v>1</v>
      </c>
      <c r="AS686" s="57"/>
      <c r="AT686" s="37"/>
      <c r="AU686" s="30"/>
      <c r="AV686" s="30"/>
      <c r="AW686" s="30"/>
      <c r="AX686" s="30"/>
      <c r="AY686" s="30"/>
      <c r="AZ686" s="30"/>
    </row>
    <row r="687">
      <c r="A687" s="30" t="str">
        <f>IFERROR(__xludf.DUMMYFUNCTION("""COMPUTED_VALUE"""),"Rival")</f>
        <v>Rival</v>
      </c>
      <c r="B687" s="30" t="str">
        <f>IFERROR(__xludf.DUMMYFUNCTION("""COMPUTED_VALUE"""),"RSC007154")</f>
        <v>RSC007154</v>
      </c>
      <c r="C687" s="30" t="str">
        <f>IFERROR(__xludf.DUMMYFUNCTION("""COMPUTED_VALUE"""),"TheBannGG")</f>
        <v>TheBannGG</v>
      </c>
      <c r="D687" s="31"/>
      <c r="E687" s="31">
        <f>IFERROR(__xludf.DUMMYFUNCTION("""COMPUTED_VALUE"""),29.427633937297383)</f>
        <v>29.42763394</v>
      </c>
      <c r="F687" s="31">
        <f>IFERROR(__xludf.DUMMYFUNCTION("""COMPUTED_VALUE"""),-4.871301319851781)</f>
        <v>-4.87130132</v>
      </c>
      <c r="G687" s="31">
        <f>IFERROR(__xludf.DUMMYFUNCTION("""COMPUTED_VALUE"""),19.836845736953894)</f>
        <v>19.83684574</v>
      </c>
      <c r="H687" s="31">
        <f>IFERROR(__xludf.DUMMYFUNCTION("""COMPUTED_VALUE"""),-8.786779693137134)</f>
        <v>-8.786779693</v>
      </c>
      <c r="I687" s="54">
        <f>IFERROR(__xludf.DUMMYFUNCTION("""COMPUTED_VALUE"""),4.0)</f>
        <v>4</v>
      </c>
      <c r="J687" s="55">
        <f>IFERROR(__xludf.DUMMYFUNCTION("""COMPUTED_VALUE"""),2.0)</f>
        <v>2</v>
      </c>
      <c r="K687" s="54">
        <f>IFERROR(__xludf.DUMMYFUNCTION("""COMPUTED_VALUE"""),2.0)</f>
        <v>2</v>
      </c>
      <c r="L687" s="56">
        <f>IFERROR(__xludf.DUMMYFUNCTION("""COMPUTED_VALUE"""),0.5)</f>
        <v>0.5</v>
      </c>
      <c r="M687" s="56">
        <f>IFERROR(__xludf.DUMMYFUNCTION("""COMPUTED_VALUE"""),0.375)</f>
        <v>0.375</v>
      </c>
      <c r="N687" s="31">
        <f>IFERROR(__xludf.DUMMYFUNCTION("""COMPUTED_VALUE"""),324.75)</f>
        <v>324.75</v>
      </c>
      <c r="O687" s="57">
        <f>IFERROR(__xludf.DUMMYFUNCTION("""COMPUTED_VALUE"""),0.75)</f>
        <v>0.75</v>
      </c>
      <c r="P687" s="57">
        <f>IFERROR(__xludf.DUMMYFUNCTION("""COMPUTED_VALUE"""),0.25)</f>
        <v>0.25</v>
      </c>
      <c r="Q687" s="57">
        <f>IFERROR(__xludf.DUMMYFUNCTION("""COMPUTED_VALUE"""),1.75)</f>
        <v>1.75</v>
      </c>
      <c r="R687" s="57">
        <f>IFERROR(__xludf.DUMMYFUNCTION("""COMPUTED_VALUE"""),2.0)</f>
        <v>2</v>
      </c>
      <c r="S687" s="31">
        <f>IFERROR(__xludf.DUMMYFUNCTION("""COMPUTED_VALUE"""),398.99999999999994)</f>
        <v>399</v>
      </c>
      <c r="T687" s="57">
        <f>IFERROR(__xludf.DUMMYFUNCTION("""COMPUTED_VALUE"""),1.0833333333333333)</f>
        <v>1.083333333</v>
      </c>
      <c r="U687" s="57">
        <f>IFERROR(__xludf.DUMMYFUNCTION("""COMPUTED_VALUE"""),0.8333333333333334)</f>
        <v>0.8333333333</v>
      </c>
      <c r="V687" s="57">
        <f>IFERROR(__xludf.DUMMYFUNCTION("""COMPUTED_VALUE"""),1.25)</f>
        <v>1.25</v>
      </c>
      <c r="W687" s="57">
        <f>IFERROR(__xludf.DUMMYFUNCTION("""COMPUTED_VALUE"""),3.0000000000000004)</f>
        <v>3</v>
      </c>
      <c r="X687" s="31">
        <f>IFERROR(__xludf.DUMMYFUNCTION("""COMPUTED_VALUE"""),354.7309343434343)</f>
        <v>354.7309343</v>
      </c>
      <c r="Y687" s="57">
        <f>IFERROR(__xludf.DUMMYFUNCTION("""COMPUTED_VALUE"""),0.8150252525252526)</f>
        <v>0.8150252525</v>
      </c>
      <c r="Z687" s="57">
        <f>IFERROR(__xludf.DUMMYFUNCTION("""COMPUTED_VALUE"""),0.6191919191919192)</f>
        <v>0.6191919192</v>
      </c>
      <c r="AA687" s="57">
        <f>IFERROR(__xludf.DUMMYFUNCTION("""COMPUTED_VALUE"""),1.1534090909090908)</f>
        <v>1.153409091</v>
      </c>
      <c r="AB687" s="57">
        <f>IFERROR(__xludf.DUMMYFUNCTION("""COMPUTED_VALUE"""),2.74709595959596)</f>
        <v>2.74709596</v>
      </c>
      <c r="AC687" s="31">
        <f>IFERROR(__xludf.DUMMYFUNCTION("""COMPUTED_VALUE"""),336.83186026936033)</f>
        <v>336.8318603</v>
      </c>
      <c r="AD687" s="57">
        <f>IFERROR(__xludf.DUMMYFUNCTION("""COMPUTED_VALUE"""),0.6825757575757576)</f>
        <v>0.6825757576</v>
      </c>
      <c r="AE687" s="57">
        <f>IFERROR(__xludf.DUMMYFUNCTION("""COMPUTED_VALUE"""),0.48657407407407405)</f>
        <v>0.4865740741</v>
      </c>
      <c r="AF687" s="57">
        <f>IFERROR(__xludf.DUMMYFUNCTION("""COMPUTED_VALUE"""),1.4258838383838384)</f>
        <v>1.425883838</v>
      </c>
      <c r="AG687" s="57">
        <f>IFERROR(__xludf.DUMMYFUNCTION("""COMPUTED_VALUE"""),2.4114478114478115)</f>
        <v>2.411447811</v>
      </c>
      <c r="AH687" s="57">
        <f>IFERROR(__xludf.DUMMYFUNCTION("""COMPUTED_VALUE"""),0.9641308863725105)</f>
        <v>0.9641308864</v>
      </c>
      <c r="AI687" s="57">
        <f>IFERROR(__xludf.DUMMYFUNCTION("""COMPUTED_VALUE"""),1.0987791342952276)</f>
        <v>1.098779134</v>
      </c>
      <c r="AJ687" s="57">
        <f>IFERROR(__xludf.DUMMYFUNCTION("""COMPUTED_VALUE"""),0.5137963843958135)</f>
        <v>0.5137963844</v>
      </c>
      <c r="AK687" s="57">
        <f>IFERROR(__xludf.DUMMYFUNCTION("""COMPUTED_VALUE"""),1.2273089524484193)</f>
        <v>1.227308952</v>
      </c>
      <c r="AL687" s="57">
        <f>IFERROR(__xludf.DUMMYFUNCTION("""COMPUTED_VALUE"""),0.8293772689192963)</f>
        <v>0.8293772689</v>
      </c>
      <c r="AM687" s="57">
        <f>IFERROR(__xludf.DUMMYFUNCTION("""COMPUTED_VALUE"""),1.1247961803458233)</f>
        <v>1.12479618</v>
      </c>
      <c r="AN687" s="57">
        <f>IFERROR(__xludf.DUMMYFUNCTION("""COMPUTED_VALUE"""),1.3292021688613476)</f>
        <v>1.329202169</v>
      </c>
      <c r="AO687" s="57">
        <f>IFERROR(__xludf.DUMMYFUNCTION("""COMPUTED_VALUE"""),1.3458401305057097)</f>
        <v>1.345840131</v>
      </c>
      <c r="AP687" s="35">
        <f>IFERROR(__xludf.DUMMYFUNCTION("""COMPUTED_VALUE"""),1.083743842364532)</f>
        <v>1.083743842</v>
      </c>
      <c r="AQ687" s="57">
        <f>IFERROR(__xludf.DUMMYFUNCTION("""COMPUTED_VALUE"""),1.09206232476904)</f>
        <v>1.092062325</v>
      </c>
      <c r="AR687" s="36" t="b">
        <f>IFERROR(__xludf.DUMMYFUNCTION("""COMPUTED_VALUE"""),TRUE)</f>
        <v>1</v>
      </c>
      <c r="AS687" s="57"/>
      <c r="AT687" s="37"/>
      <c r="AU687" s="30"/>
      <c r="AV687" s="30"/>
      <c r="AW687" s="30"/>
      <c r="AX687" s="30"/>
      <c r="AY687" s="30"/>
      <c r="AZ687" s="30"/>
    </row>
    <row r="688">
      <c r="A688" s="30" t="str">
        <f>IFERROR(__xludf.DUMMYFUNCTION("""COMPUTED_VALUE"""),"Rival")</f>
        <v>Rival</v>
      </c>
      <c r="B688" s="30" t="str">
        <f>IFERROR(__xludf.DUMMYFUNCTION("""COMPUTED_VALUE"""),"RSC000813")</f>
        <v>RSC000813</v>
      </c>
      <c r="C688" s="30" t="str">
        <f>IFERROR(__xludf.DUMMYFUNCTION("""COMPUTED_VALUE"""),"Ziggy.")</f>
        <v>Ziggy.</v>
      </c>
      <c r="D688" s="31"/>
      <c r="E688" s="31">
        <f>IFERROR(__xludf.DUMMYFUNCTION("""COMPUTED_VALUE"""),28.964943506055235)</f>
        <v>28.96494351</v>
      </c>
      <c r="F688" s="31">
        <f>IFERROR(__xludf.DUMMYFUNCTION("""COMPUTED_VALUE"""),-4.9984677202542445)</f>
        <v>-4.99846772</v>
      </c>
      <c r="G688" s="31">
        <f>IFERROR(__xludf.DUMMYFUNCTION("""COMPUTED_VALUE"""),25.558024535228903)</f>
        <v>25.55802454</v>
      </c>
      <c r="H688" s="31">
        <f>IFERROR(__xludf.DUMMYFUNCTION("""COMPUTED_VALUE"""),-6.093230656793317)</f>
        <v>-6.093230657</v>
      </c>
      <c r="I688" s="54">
        <f>IFERROR(__xludf.DUMMYFUNCTION("""COMPUTED_VALUE"""),19.0)</f>
        <v>19</v>
      </c>
      <c r="J688" s="55">
        <f>IFERROR(__xludf.DUMMYFUNCTION("""COMPUTED_VALUE"""),6.0)</f>
        <v>6</v>
      </c>
      <c r="K688" s="54">
        <f>IFERROR(__xludf.DUMMYFUNCTION("""COMPUTED_VALUE"""),13.0)</f>
        <v>13</v>
      </c>
      <c r="L688" s="56">
        <f>IFERROR(__xludf.DUMMYFUNCTION("""COMPUTED_VALUE"""),0.3157894736842105)</f>
        <v>0.3157894737</v>
      </c>
      <c r="M688" s="56">
        <f>IFERROR(__xludf.DUMMYFUNCTION("""COMPUTED_VALUE"""),0.3414634146341463)</f>
        <v>0.3414634146</v>
      </c>
      <c r="N688" s="31">
        <f>IFERROR(__xludf.DUMMYFUNCTION("""COMPUTED_VALUE"""),283.7368421052632)</f>
        <v>283.7368421</v>
      </c>
      <c r="O688" s="57">
        <f>IFERROR(__xludf.DUMMYFUNCTION("""COMPUTED_VALUE"""),0.7368421052631579)</f>
        <v>0.7368421053</v>
      </c>
      <c r="P688" s="57">
        <f>IFERROR(__xludf.DUMMYFUNCTION("""COMPUTED_VALUE"""),0.3157894736842105)</f>
        <v>0.3157894737</v>
      </c>
      <c r="Q688" s="57">
        <f>IFERROR(__xludf.DUMMYFUNCTION("""COMPUTED_VALUE"""),0.8947368421052632)</f>
        <v>0.8947368421</v>
      </c>
      <c r="R688" s="57">
        <f>IFERROR(__xludf.DUMMYFUNCTION("""COMPUTED_VALUE"""),2.1578947368421053)</f>
        <v>2.157894737</v>
      </c>
      <c r="S688" s="31">
        <f>IFERROR(__xludf.DUMMYFUNCTION("""COMPUTED_VALUE"""),368.578947368421)</f>
        <v>368.5789474</v>
      </c>
      <c r="T688" s="57">
        <f>IFERROR(__xludf.DUMMYFUNCTION("""COMPUTED_VALUE"""),1.0175438596491226)</f>
        <v>1.01754386</v>
      </c>
      <c r="U688" s="57">
        <f>IFERROR(__xludf.DUMMYFUNCTION("""COMPUTED_VALUE"""),0.6842105263157896)</f>
        <v>0.6842105263</v>
      </c>
      <c r="V688" s="57">
        <f>IFERROR(__xludf.DUMMYFUNCTION("""COMPUTED_VALUE"""),1.3157894736842106)</f>
        <v>1.315789474</v>
      </c>
      <c r="W688" s="57">
        <f>IFERROR(__xludf.DUMMYFUNCTION("""COMPUTED_VALUE"""),2.701754385964912)</f>
        <v>2.701754386</v>
      </c>
      <c r="X688" s="31">
        <f>IFERROR(__xludf.DUMMYFUNCTION("""COMPUTED_VALUE"""),343.2481300543478)</f>
        <v>343.2481301</v>
      </c>
      <c r="Y688" s="57">
        <f>IFERROR(__xludf.DUMMYFUNCTION("""COMPUTED_VALUE"""),0.8209079638035152)</f>
        <v>0.8209079638</v>
      </c>
      <c r="Z688" s="57">
        <f>IFERROR(__xludf.DUMMYFUNCTION("""COMPUTED_VALUE"""),0.5625281654339105)</f>
        <v>0.5625281654</v>
      </c>
      <c r="AA688" s="57">
        <f>IFERROR(__xludf.DUMMYFUNCTION("""COMPUTED_VALUE"""),1.2688706751717616)</f>
        <v>1.268870675</v>
      </c>
      <c r="AB688" s="57">
        <f>IFERROR(__xludf.DUMMYFUNCTION("""COMPUTED_VALUE"""),2.6081459115474113)</f>
        <v>2.608145912</v>
      </c>
      <c r="AC688" s="31">
        <f>IFERROR(__xludf.DUMMYFUNCTION("""COMPUTED_VALUE"""),345.58945924170774)</f>
        <v>345.5894592</v>
      </c>
      <c r="AD688" s="57">
        <f>IFERROR(__xludf.DUMMYFUNCTION("""COMPUTED_VALUE"""),0.7756310340639665)</f>
        <v>0.7756310341</v>
      </c>
      <c r="AE688" s="57">
        <f>IFERROR(__xludf.DUMMYFUNCTION("""COMPUTED_VALUE"""),0.5269062551834293)</f>
        <v>0.5269062552</v>
      </c>
      <c r="AF688" s="57">
        <f>IFERROR(__xludf.DUMMYFUNCTION("""COMPUTED_VALUE"""),1.3851596728648867)</f>
        <v>1.385159673</v>
      </c>
      <c r="AG688" s="57">
        <f>IFERROR(__xludf.DUMMYFUNCTION("""COMPUTED_VALUE"""),2.5616002096838564)</f>
        <v>2.56160021</v>
      </c>
      <c r="AH688" s="57">
        <f>IFERROR(__xludf.DUMMYFUNCTION("""COMPUTED_VALUE"""),0.8210228481153287)</f>
        <v>0.8210228481</v>
      </c>
      <c r="AI688" s="57">
        <f>IFERROR(__xludf.DUMMYFUNCTION("""COMPUTED_VALUE"""),0.949990488908661)</f>
        <v>0.9499904889</v>
      </c>
      <c r="AJ688" s="57">
        <f>IFERROR(__xludf.DUMMYFUNCTION("""COMPUTED_VALUE"""),0.5993276234199882)</f>
        <v>0.5993276234</v>
      </c>
      <c r="AK688" s="57">
        <f>IFERROR(__xludf.DUMMYFUNCTION("""COMPUTED_VALUE"""),0.6459449113579117)</f>
        <v>0.6459449114</v>
      </c>
      <c r="AL688" s="57">
        <f>IFERROR(__xludf.DUMMYFUNCTION("""COMPUTED_VALUE"""),0.8424010619160689)</f>
        <v>0.8424010619</v>
      </c>
      <c r="AM688" s="57">
        <f>IFERROR(__xludf.DUMMYFUNCTION("""COMPUTED_VALUE"""),1.073797393477606)</f>
        <v>1.073797393</v>
      </c>
      <c r="AN688" s="57">
        <f>IFERROR(__xludf.DUMMYFUNCTION("""COMPUTED_VALUE"""),1.2395346427564593)</f>
        <v>1.239534643</v>
      </c>
      <c r="AO688" s="57">
        <f>IFERROR(__xludf.DUMMYFUNCTION("""COMPUTED_VALUE"""),1.2163133659058982)</f>
        <v>1.216313366</v>
      </c>
      <c r="AP688" s="35">
        <f>IFERROR(__xludf.DUMMYFUNCTION("""COMPUTED_VALUE"""),1.036976816810821)</f>
        <v>1.036976817</v>
      </c>
      <c r="AQ688" s="57">
        <f>IFERROR(__xludf.DUMMYFUNCTION("""COMPUTED_VALUE"""),1.0358908119377273)</f>
        <v>1.035890812</v>
      </c>
      <c r="AR688" s="36" t="b">
        <f>IFERROR(__xludf.DUMMYFUNCTION("""COMPUTED_VALUE"""),TRUE)</f>
        <v>1</v>
      </c>
      <c r="AS688" s="57"/>
      <c r="AT688" s="37"/>
      <c r="AU688" s="30"/>
      <c r="AV688" s="30"/>
      <c r="AW688" s="30"/>
      <c r="AX688" s="30"/>
      <c r="AY688" s="30"/>
      <c r="AZ688" s="30"/>
    </row>
    <row r="689">
      <c r="A689" s="30" t="str">
        <f>IFERROR(__xludf.DUMMYFUNCTION("""COMPUTED_VALUE"""),"Rival")</f>
        <v>Rival</v>
      </c>
      <c r="B689" s="30" t="str">
        <f>IFERROR(__xludf.DUMMYFUNCTION("""COMPUTED_VALUE"""),"RSC007318")</f>
        <v>RSC007318</v>
      </c>
      <c r="C689" s="30" t="str">
        <f>IFERROR(__xludf.DUMMYFUNCTION("""COMPUTED_VALUE"""),"xd Dylan591")</f>
        <v>xd Dylan591</v>
      </c>
      <c r="D689" s="31" t="str">
        <f>IFERROR(__xludf.DUMMYFUNCTION("""COMPUTED_VALUE"""),"Wind")</f>
        <v>Wind</v>
      </c>
      <c r="E689" s="31">
        <f>IFERROR(__xludf.DUMMYFUNCTION("""COMPUTED_VALUE"""),27.796981282573807)</f>
        <v>27.79698128</v>
      </c>
      <c r="F689" s="31">
        <f>IFERROR(__xludf.DUMMYFUNCTION("""COMPUTED_VALUE"""),-5.340799018107138)</f>
        <v>-5.340799018</v>
      </c>
      <c r="G689" s="31">
        <f>IFERROR(__xludf.DUMMYFUNCTION("""COMPUTED_VALUE"""),23.55386037926013)</f>
        <v>23.55386038</v>
      </c>
      <c r="H689" s="31">
        <f>IFERROR(__xludf.DUMMYFUNCTION("""COMPUTED_VALUE"""),-6.893560236951694)</f>
        <v>-6.893560237</v>
      </c>
      <c r="I689" s="54">
        <f>IFERROR(__xludf.DUMMYFUNCTION("""COMPUTED_VALUE"""),26.0)</f>
        <v>26</v>
      </c>
      <c r="J689" s="55">
        <f>IFERROR(__xludf.DUMMYFUNCTION("""COMPUTED_VALUE"""),17.0)</f>
        <v>17</v>
      </c>
      <c r="K689" s="54">
        <f>IFERROR(__xludf.DUMMYFUNCTION("""COMPUTED_VALUE"""),9.0)</f>
        <v>9</v>
      </c>
      <c r="L689" s="56">
        <f>IFERROR(__xludf.DUMMYFUNCTION("""COMPUTED_VALUE"""),0.6538461538461539)</f>
        <v>0.6538461538</v>
      </c>
      <c r="M689" s="56">
        <f>IFERROR(__xludf.DUMMYFUNCTION("""COMPUTED_VALUE"""),0.23636363636363636)</f>
        <v>0.2363636364</v>
      </c>
      <c r="N689" s="31">
        <f>IFERROR(__xludf.DUMMYFUNCTION("""COMPUTED_VALUE"""),294.6923076923077)</f>
        <v>294.6923077</v>
      </c>
      <c r="O689" s="57">
        <f>IFERROR(__xludf.DUMMYFUNCTION("""COMPUTED_VALUE"""),0.5)</f>
        <v>0.5</v>
      </c>
      <c r="P689" s="57">
        <f>IFERROR(__xludf.DUMMYFUNCTION("""COMPUTED_VALUE"""),0.5)</f>
        <v>0.5</v>
      </c>
      <c r="Q689" s="57">
        <f>IFERROR(__xludf.DUMMYFUNCTION("""COMPUTED_VALUE"""),1.3461538461538463)</f>
        <v>1.346153846</v>
      </c>
      <c r="R689" s="57">
        <f>IFERROR(__xludf.DUMMYFUNCTION("""COMPUTED_VALUE"""),2.1153846153846154)</f>
        <v>2.115384615</v>
      </c>
      <c r="S689" s="31">
        <f>IFERROR(__xludf.DUMMYFUNCTION("""COMPUTED_VALUE"""),343.3076923076923)</f>
        <v>343.3076923</v>
      </c>
      <c r="T689" s="57">
        <f>IFERROR(__xludf.DUMMYFUNCTION("""COMPUTED_VALUE"""),0.7435897435897434)</f>
        <v>0.7435897436</v>
      </c>
      <c r="U689" s="57">
        <f>IFERROR(__xludf.DUMMYFUNCTION("""COMPUTED_VALUE"""),0.5512820512820513)</f>
        <v>0.5512820513</v>
      </c>
      <c r="V689" s="57">
        <f>IFERROR(__xludf.DUMMYFUNCTION("""COMPUTED_VALUE"""),1.3461538461538458)</f>
        <v>1.346153846</v>
      </c>
      <c r="W689" s="57">
        <f>IFERROR(__xludf.DUMMYFUNCTION("""COMPUTED_VALUE"""),2.833333333333333)</f>
        <v>2.833333333</v>
      </c>
      <c r="X689" s="31">
        <f>IFERROR(__xludf.DUMMYFUNCTION("""COMPUTED_VALUE"""),339.9979571883327)</f>
        <v>339.9979572</v>
      </c>
      <c r="Y689" s="57">
        <f>IFERROR(__xludf.DUMMYFUNCTION("""COMPUTED_VALUE"""),0.7456134838371208)</f>
        <v>0.7456134838</v>
      </c>
      <c r="Z689" s="57">
        <f>IFERROR(__xludf.DUMMYFUNCTION("""COMPUTED_VALUE"""),0.5499047207346675)</f>
        <v>0.5499047207</v>
      </c>
      <c r="AA689" s="57">
        <f>IFERROR(__xludf.DUMMYFUNCTION("""COMPUTED_VALUE"""),1.2939416251313887)</f>
        <v>1.293941625</v>
      </c>
      <c r="AB689" s="57">
        <f>IFERROR(__xludf.DUMMYFUNCTION("""COMPUTED_VALUE"""),2.537672131592006)</f>
        <v>2.537672132</v>
      </c>
      <c r="AC689" s="31">
        <f>IFERROR(__xludf.DUMMYFUNCTION("""COMPUTED_VALUE"""),359.38701363636613)</f>
        <v>359.3870136</v>
      </c>
      <c r="AD689" s="57">
        <f>IFERROR(__xludf.DUMMYFUNCTION("""COMPUTED_VALUE"""),0.8603763798781413)</f>
        <v>0.8603763799</v>
      </c>
      <c r="AE689" s="57">
        <f>IFERROR(__xludf.DUMMYFUNCTION("""COMPUTED_VALUE"""),0.6035314643980064)</f>
        <v>0.6035314644</v>
      </c>
      <c r="AF689" s="57">
        <f>IFERROR(__xludf.DUMMYFUNCTION("""COMPUTED_VALUE"""),1.3143609331102535)</f>
        <v>1.314360933</v>
      </c>
      <c r="AG689" s="57">
        <f>IFERROR(__xludf.DUMMYFUNCTION("""COMPUTED_VALUE"""),2.6462952170161063)</f>
        <v>2.646295217</v>
      </c>
      <c r="AH689" s="57">
        <f>IFERROR(__xludf.DUMMYFUNCTION("""COMPUTED_VALUE"""),0.8199859664113582)</f>
        <v>0.8199859664</v>
      </c>
      <c r="AI689" s="57">
        <f>IFERROR(__xludf.DUMMYFUNCTION("""COMPUTED_VALUE"""),0.5811410118799601)</f>
        <v>0.5811410119</v>
      </c>
      <c r="AJ689" s="57">
        <f>IFERROR(__xludf.DUMMYFUNCTION("""COMPUTED_VALUE"""),0.8284572213624785)</f>
        <v>0.8284572214</v>
      </c>
      <c r="AK689" s="57">
        <f>IFERROR(__xludf.DUMMYFUNCTION("""COMPUTED_VALUE"""),1.0241888755536572)</f>
        <v>1.024188876</v>
      </c>
      <c r="AL689" s="57">
        <f>IFERROR(__xludf.DUMMYFUNCTION("""COMPUTED_VALUE"""),0.7993758979657107)</f>
        <v>0.799375898</v>
      </c>
      <c r="AM689" s="57">
        <f>IFERROR(__xludf.DUMMYFUNCTION("""COMPUTED_VALUE"""),1.0097345735448824)</f>
        <v>1.009734574</v>
      </c>
      <c r="AN689" s="57">
        <f>IFERROR(__xludf.DUMMYFUNCTION("""COMPUTED_VALUE"""),0.9972858051909648)</f>
        <v>0.9972858052</v>
      </c>
      <c r="AO689" s="57">
        <f>IFERROR(__xludf.DUMMYFUNCTION("""COMPUTED_VALUE"""),1.0025046712556747)</f>
        <v>1.002504671</v>
      </c>
      <c r="AP689" s="35">
        <f>IFERROR(__xludf.DUMMYFUNCTION("""COMPUTED_VALUE"""),1.0403512956136298)</f>
        <v>1.040351296</v>
      </c>
      <c r="AQ689" s="57">
        <f>IFERROR(__xludf.DUMMYFUNCTION("""COMPUTED_VALUE"""),1.116508826361207)</f>
        <v>1.116508826</v>
      </c>
      <c r="AR689" s="36" t="b">
        <f>IFERROR(__xludf.DUMMYFUNCTION("""COMPUTED_VALUE"""),TRUE)</f>
        <v>1</v>
      </c>
      <c r="AS689" s="57"/>
      <c r="AT689" s="37"/>
      <c r="AU689" s="30"/>
      <c r="AV689" s="30"/>
      <c r="AW689" s="30"/>
      <c r="AX689" s="30"/>
      <c r="AY689" s="30"/>
      <c r="AZ689" s="30"/>
    </row>
    <row r="690">
      <c r="A690" s="30" t="str">
        <f>IFERROR(__xludf.DUMMYFUNCTION("""COMPUTED_VALUE"""),"Rival")</f>
        <v>Rival</v>
      </c>
      <c r="B690" s="30" t="str">
        <f>IFERROR(__xludf.DUMMYFUNCTION("""COMPUTED_VALUE"""),"RSC000737")</f>
        <v>RSC000737</v>
      </c>
      <c r="C690" s="30" t="str">
        <f>IFERROR(__xludf.DUMMYFUNCTION("""COMPUTED_VALUE"""),"AlienHealer")</f>
        <v>AlienHealer</v>
      </c>
      <c r="D690" s="31"/>
      <c r="E690" s="31">
        <f>IFERROR(__xludf.DUMMYFUNCTION("""COMPUTED_VALUE"""),27.42152990667112)</f>
        <v>27.42152991</v>
      </c>
      <c r="F690" s="31">
        <f>IFERROR(__xludf.DUMMYFUNCTION("""COMPUTED_VALUE"""),-5.4577372612770825)</f>
        <v>-5.457737261</v>
      </c>
      <c r="G690" s="31">
        <f>IFERROR(__xludf.DUMMYFUNCTION("""COMPUTED_VALUE"""),28.204091554363377)</f>
        <v>28.20409155</v>
      </c>
      <c r="H690" s="31">
        <f>IFERROR(__xludf.DUMMYFUNCTION("""COMPUTED_VALUE"""),-5.217876778199746)</f>
        <v>-5.217876778</v>
      </c>
      <c r="I690" s="54">
        <f>IFERROR(__xludf.DUMMYFUNCTION("""COMPUTED_VALUE"""),2.0)</f>
        <v>2</v>
      </c>
      <c r="J690" s="55">
        <f>IFERROR(__xludf.DUMMYFUNCTION("""COMPUTED_VALUE"""),0.0)</f>
        <v>0</v>
      </c>
      <c r="K690" s="54">
        <f>IFERROR(__xludf.DUMMYFUNCTION("""COMPUTED_VALUE"""),2.0)</f>
        <v>2</v>
      </c>
      <c r="L690" s="56">
        <f>IFERROR(__xludf.DUMMYFUNCTION("""COMPUTED_VALUE"""),0.0)</f>
        <v>0</v>
      </c>
      <c r="M690" s="56">
        <f>IFERROR(__xludf.DUMMYFUNCTION("""COMPUTED_VALUE"""),0.0)</f>
        <v>0</v>
      </c>
      <c r="N690" s="31">
        <f>IFERROR(__xludf.DUMMYFUNCTION("""COMPUTED_VALUE"""),251.0)</f>
        <v>251</v>
      </c>
      <c r="O690" s="57">
        <f>IFERROR(__xludf.DUMMYFUNCTION("""COMPUTED_VALUE"""),0.0)</f>
        <v>0</v>
      </c>
      <c r="P690" s="57">
        <f>IFERROR(__xludf.DUMMYFUNCTION("""COMPUTED_VALUE"""),1.0)</f>
        <v>1</v>
      </c>
      <c r="Q690" s="57">
        <f>IFERROR(__xludf.DUMMYFUNCTION("""COMPUTED_VALUE"""),0.0)</f>
        <v>0</v>
      </c>
      <c r="R690" s="57">
        <f>IFERROR(__xludf.DUMMYFUNCTION("""COMPUTED_VALUE"""),1.0)</f>
        <v>1</v>
      </c>
      <c r="S690" s="31">
        <f>IFERROR(__xludf.DUMMYFUNCTION("""COMPUTED_VALUE"""),335.5)</f>
        <v>335.5</v>
      </c>
      <c r="T690" s="57">
        <f>IFERROR(__xludf.DUMMYFUNCTION("""COMPUTED_VALUE"""),0.6666666666666666)</f>
        <v>0.6666666667</v>
      </c>
      <c r="U690" s="57">
        <f>IFERROR(__xludf.DUMMYFUNCTION("""COMPUTED_VALUE"""),0.3333333333333333)</f>
        <v>0.3333333333</v>
      </c>
      <c r="V690" s="57">
        <f>IFERROR(__xludf.DUMMYFUNCTION("""COMPUTED_VALUE"""),1.1666666666666665)</f>
        <v>1.166666667</v>
      </c>
      <c r="W690" s="57">
        <f>IFERROR(__xludf.DUMMYFUNCTION("""COMPUTED_VALUE"""),2.5)</f>
        <v>2.5</v>
      </c>
      <c r="X690" s="31">
        <f>IFERROR(__xludf.DUMMYFUNCTION("""COMPUTED_VALUE"""),364.3194444444445)</f>
        <v>364.3194444</v>
      </c>
      <c r="Y690" s="57">
        <f>IFERROR(__xludf.DUMMYFUNCTION("""COMPUTED_VALUE"""),0.8888888888888888)</f>
        <v>0.8888888889</v>
      </c>
      <c r="Z690" s="57">
        <f>IFERROR(__xludf.DUMMYFUNCTION("""COMPUTED_VALUE"""),0.6041666666666666)</f>
        <v>0.6041666667</v>
      </c>
      <c r="AA690" s="57">
        <f>IFERROR(__xludf.DUMMYFUNCTION("""COMPUTED_VALUE"""),1.361111111111111)</f>
        <v>1.361111111</v>
      </c>
      <c r="AB690" s="57">
        <f>IFERROR(__xludf.DUMMYFUNCTION("""COMPUTED_VALUE"""),2.8263888888888893)</f>
        <v>2.826388889</v>
      </c>
      <c r="AC690" s="31">
        <f>IFERROR(__xludf.DUMMYFUNCTION("""COMPUTED_VALUE"""),329.09722222222223)</f>
        <v>329.0972222</v>
      </c>
      <c r="AD690" s="57">
        <f>IFERROR(__xludf.DUMMYFUNCTION("""COMPUTED_VALUE"""),0.611111111111111)</f>
        <v>0.6111111111</v>
      </c>
      <c r="AE690" s="57">
        <f>IFERROR(__xludf.DUMMYFUNCTION("""COMPUTED_VALUE"""),0.45138888888888884)</f>
        <v>0.4513888889</v>
      </c>
      <c r="AF690" s="57">
        <f>IFERROR(__xludf.DUMMYFUNCTION("""COMPUTED_VALUE"""),1.4166666666666663)</f>
        <v>1.416666667</v>
      </c>
      <c r="AG690" s="57">
        <f>IFERROR(__xludf.DUMMYFUNCTION("""COMPUTED_VALUE"""),2.3680555555555554)</f>
        <v>2.368055556</v>
      </c>
      <c r="AH690" s="57">
        <f>IFERROR(__xludf.DUMMYFUNCTION("""COMPUTED_VALUE"""),0.7626925511711331)</f>
        <v>0.7626925512</v>
      </c>
      <c r="AI690" s="57">
        <f>IFERROR(__xludf.DUMMYFUNCTION("""COMPUTED_VALUE"""),0.0)</f>
        <v>0</v>
      </c>
      <c r="AJ690" s="57">
        <f>IFERROR(__xludf.DUMMYFUNCTION("""COMPUTED_VALUE"""),2.2153846153846155)</f>
        <v>2.215384615</v>
      </c>
      <c r="AK690" s="57">
        <f>IFERROR(__xludf.DUMMYFUNCTION("""COMPUTED_VALUE"""),0.0)</f>
        <v>0</v>
      </c>
      <c r="AL690" s="57">
        <f>IFERROR(__xludf.DUMMYFUNCTION("""COMPUTED_VALUE"""),0.4222873900293255)</f>
        <v>0.42228739</v>
      </c>
      <c r="AM690" s="57">
        <f>IFERROR(__xludf.DUMMYFUNCTION("""COMPUTED_VALUE"""),0.9208951240898172)</f>
        <v>0.9208951241</v>
      </c>
      <c r="AN690" s="57">
        <f>IFERROR(__xludf.DUMMYFUNCTION("""COMPUTED_VALUE"""),0.75)</f>
        <v>0.75</v>
      </c>
      <c r="AO690" s="57">
        <f>IFERROR(__xludf.DUMMYFUNCTION("""COMPUTED_VALUE"""),0.5517241379310345)</f>
        <v>0.5517241379</v>
      </c>
      <c r="AP690" s="35">
        <f>IFERROR(__xludf.DUMMYFUNCTION("""COMPUTED_VALUE"""),0.8571428571428571)</f>
        <v>0.8571428571</v>
      </c>
      <c r="AQ690" s="57">
        <f>IFERROR(__xludf.DUMMYFUNCTION("""COMPUTED_VALUE"""),0.8845208845208844)</f>
        <v>0.8845208845</v>
      </c>
      <c r="AR690" s="36" t="b">
        <f>IFERROR(__xludf.DUMMYFUNCTION("""COMPUTED_VALUE"""),TRUE)</f>
        <v>1</v>
      </c>
      <c r="AS690" s="57"/>
      <c r="AT690" s="37"/>
      <c r="AU690" s="30"/>
      <c r="AV690" s="30"/>
      <c r="AW690" s="30"/>
      <c r="AX690" s="30"/>
      <c r="AY690" s="30"/>
      <c r="AZ690" s="30"/>
    </row>
    <row r="691">
      <c r="A691" s="30" t="str">
        <f>IFERROR(__xludf.DUMMYFUNCTION("""COMPUTED_VALUE"""),"Rival")</f>
        <v>Rival</v>
      </c>
      <c r="B691" s="30" t="str">
        <f>IFERROR(__xludf.DUMMYFUNCTION("""COMPUTED_VALUE"""),"RSC006212")</f>
        <v>RSC006212</v>
      </c>
      <c r="C691" s="30" t="str">
        <f>IFERROR(__xludf.DUMMYFUNCTION("""COMPUTED_VALUE"""),"Kingtutt97")</f>
        <v>Kingtutt97</v>
      </c>
      <c r="D691" s="31" t="str">
        <f>IFERROR(__xludf.DUMMYFUNCTION("""COMPUTED_VALUE"""),"Dice")</f>
        <v>Dice</v>
      </c>
      <c r="E691" s="31">
        <f>IFERROR(__xludf.DUMMYFUNCTION("""COMPUTED_VALUE"""),27.060555310195166)</f>
        <v>27.06055531</v>
      </c>
      <c r="F691" s="31">
        <f>IFERROR(__xludf.DUMMYFUNCTION("""COMPUTED_VALUE"""),-5.573515415756479)</f>
        <v>-5.573515416</v>
      </c>
      <c r="G691" s="31">
        <f>IFERROR(__xludf.DUMMYFUNCTION("""COMPUTED_VALUE"""),29.148526710814515)</f>
        <v>29.14852671</v>
      </c>
      <c r="H691" s="31">
        <f>IFERROR(__xludf.DUMMYFUNCTION("""COMPUTED_VALUE"""),-4.947460736230179)</f>
        <v>-4.947460736</v>
      </c>
      <c r="I691" s="54">
        <f>IFERROR(__xludf.DUMMYFUNCTION("""COMPUTED_VALUE"""),30.0)</f>
        <v>30</v>
      </c>
      <c r="J691" s="55">
        <f>IFERROR(__xludf.DUMMYFUNCTION("""COMPUTED_VALUE"""),10.0)</f>
        <v>10</v>
      </c>
      <c r="K691" s="54">
        <f>IFERROR(__xludf.DUMMYFUNCTION("""COMPUTED_VALUE"""),20.0)</f>
        <v>20</v>
      </c>
      <c r="L691" s="56">
        <f>IFERROR(__xludf.DUMMYFUNCTION("""COMPUTED_VALUE"""),0.3333333333333333)</f>
        <v>0.3333333333</v>
      </c>
      <c r="M691" s="56">
        <f>IFERROR(__xludf.DUMMYFUNCTION("""COMPUTED_VALUE"""),0.20547945205479454)</f>
        <v>0.2054794521</v>
      </c>
      <c r="N691" s="31">
        <f>IFERROR(__xludf.DUMMYFUNCTION("""COMPUTED_VALUE"""),307.8)</f>
        <v>307.8</v>
      </c>
      <c r="O691" s="57">
        <f>IFERROR(__xludf.DUMMYFUNCTION("""COMPUTED_VALUE"""),0.5)</f>
        <v>0.5</v>
      </c>
      <c r="P691" s="57">
        <f>IFERROR(__xludf.DUMMYFUNCTION("""COMPUTED_VALUE"""),0.3333333333333333)</f>
        <v>0.3333333333</v>
      </c>
      <c r="Q691" s="57">
        <f>IFERROR(__xludf.DUMMYFUNCTION("""COMPUTED_VALUE"""),1.6)</f>
        <v>1.6</v>
      </c>
      <c r="R691" s="57">
        <f>IFERROR(__xludf.DUMMYFUNCTION("""COMPUTED_VALUE"""),2.433333333333333)</f>
        <v>2.433333333</v>
      </c>
      <c r="S691" s="31">
        <f>IFERROR(__xludf.DUMMYFUNCTION("""COMPUTED_VALUE"""),368.9777777777779)</f>
        <v>368.9777778</v>
      </c>
      <c r="T691" s="57">
        <f>IFERROR(__xludf.DUMMYFUNCTION("""COMPUTED_VALUE"""),0.8555555555555554)</f>
        <v>0.8555555556</v>
      </c>
      <c r="U691" s="57">
        <f>IFERROR(__xludf.DUMMYFUNCTION("""COMPUTED_VALUE"""),0.5777777777777777)</f>
        <v>0.5777777778</v>
      </c>
      <c r="V691" s="57">
        <f>IFERROR(__xludf.DUMMYFUNCTION("""COMPUTED_VALUE"""),1.388888888888889)</f>
        <v>1.388888889</v>
      </c>
      <c r="W691" s="57">
        <f>IFERROR(__xludf.DUMMYFUNCTION("""COMPUTED_VALUE"""),2.900000000000001)</f>
        <v>2.9</v>
      </c>
      <c r="X691" s="31">
        <f>IFERROR(__xludf.DUMMYFUNCTION("""COMPUTED_VALUE"""),349.70927901270113)</f>
        <v>349.709279</v>
      </c>
      <c r="Y691" s="57">
        <f>IFERROR(__xludf.DUMMYFUNCTION("""COMPUTED_VALUE"""),0.8240572646058106)</f>
        <v>0.8240572646</v>
      </c>
      <c r="Z691" s="57">
        <f>IFERROR(__xludf.DUMMYFUNCTION("""COMPUTED_VALUE"""),0.560134578382759)</f>
        <v>0.5601345784</v>
      </c>
      <c r="AA691" s="57">
        <f>IFERROR(__xludf.DUMMYFUNCTION("""COMPUTED_VALUE"""),1.3131303098314437)</f>
        <v>1.31313031</v>
      </c>
      <c r="AB691" s="57">
        <f>IFERROR(__xludf.DUMMYFUNCTION("""COMPUTED_VALUE"""),2.636740699501756)</f>
        <v>2.6367407</v>
      </c>
      <c r="AC691" s="31">
        <f>IFERROR(__xludf.DUMMYFUNCTION("""COMPUTED_VALUE"""),345.0833889913787)</f>
        <v>345.083389</v>
      </c>
      <c r="AD691" s="57">
        <f>IFERROR(__xludf.DUMMYFUNCTION("""COMPUTED_VALUE"""),0.7724844088043076)</f>
        <v>0.7724844088</v>
      </c>
      <c r="AE691" s="57">
        <f>IFERROR(__xludf.DUMMYFUNCTION("""COMPUTED_VALUE"""),0.5468846993419745)</f>
        <v>0.5468846993</v>
      </c>
      <c r="AF691" s="57">
        <f>IFERROR(__xludf.DUMMYFUNCTION("""COMPUTED_VALUE"""),1.3335670867579614)</f>
        <v>1.333567087</v>
      </c>
      <c r="AG691" s="57">
        <f>IFERROR(__xludf.DUMMYFUNCTION("""COMPUTED_VALUE"""),2.5967241725114274)</f>
        <v>2.596724173</v>
      </c>
      <c r="AH691" s="57">
        <f>IFERROR(__xludf.DUMMYFUNCTION("""COMPUTED_VALUE"""),0.8919583202762909)</f>
        <v>0.8919583203</v>
      </c>
      <c r="AI691" s="57">
        <f>IFERROR(__xludf.DUMMYFUNCTION("""COMPUTED_VALUE"""),0.6472622544886395)</f>
        <v>0.6472622545</v>
      </c>
      <c r="AJ691" s="57">
        <f>IFERROR(__xludf.DUMMYFUNCTION("""COMPUTED_VALUE"""),0.6095129992380632)</f>
        <v>0.6095129992</v>
      </c>
      <c r="AK691" s="57">
        <f>IFERROR(__xludf.DUMMYFUNCTION("""COMPUTED_VALUE"""),1.1997896587938177)</f>
        <v>1.199789659</v>
      </c>
      <c r="AL691" s="57">
        <f>IFERROR(__xludf.DUMMYFUNCTION("""COMPUTED_VALUE"""),0.9370780921178584)</f>
        <v>0.9370780921</v>
      </c>
      <c r="AM691" s="57">
        <f>IFERROR(__xludf.DUMMYFUNCTION("""COMPUTED_VALUE"""),1.055098620258163)</f>
        <v>1.05509862</v>
      </c>
      <c r="AN691" s="57">
        <f>IFERROR(__xludf.DUMMYFUNCTION("""COMPUTED_VALUE"""),1.0382234248791096)</f>
        <v>1.038223425</v>
      </c>
      <c r="AO691" s="57">
        <f>IFERROR(__xludf.DUMMYFUNCTION("""COMPUTED_VALUE"""),1.0314981436174835)</f>
        <v>1.031498144</v>
      </c>
      <c r="AP691" s="35">
        <f>IFERROR(__xludf.DUMMYFUNCTION("""COMPUTED_VALUE"""),1.057693115824255)</f>
        <v>1.057693116</v>
      </c>
      <c r="AQ691" s="57">
        <f>IFERROR(__xludf.DUMMYFUNCTION("""COMPUTED_VALUE"""),1.0998426961543812)</f>
        <v>1.099842696</v>
      </c>
      <c r="AR691" s="36" t="b">
        <f>IFERROR(__xludf.DUMMYFUNCTION("""COMPUTED_VALUE"""),TRUE)</f>
        <v>1</v>
      </c>
      <c r="AS691" s="57"/>
      <c r="AT691" s="37"/>
      <c r="AU691" s="30"/>
      <c r="AV691" s="30"/>
      <c r="AW691" s="30"/>
      <c r="AX691" s="30"/>
      <c r="AY691" s="30"/>
      <c r="AZ691" s="30"/>
    </row>
    <row r="692">
      <c r="A692" s="30" t="str">
        <f>IFERROR(__xludf.DUMMYFUNCTION("""COMPUTED_VALUE"""),"Rival")</f>
        <v>Rival</v>
      </c>
      <c r="B692" s="30" t="str">
        <f>IFERROR(__xludf.DUMMYFUNCTION("""COMPUTED_VALUE"""),"RSC004845")</f>
        <v>RSC004845</v>
      </c>
      <c r="C692" s="30" t="str">
        <f>IFERROR(__xludf.DUMMYFUNCTION("""COMPUTED_VALUE"""),"BinBoiz_")</f>
        <v>BinBoiz_</v>
      </c>
      <c r="D692" s="31"/>
      <c r="E692" s="31">
        <f>IFERROR(__xludf.DUMMYFUNCTION("""COMPUTED_VALUE"""),26.201571765387563)</f>
        <v>26.20157177</v>
      </c>
      <c r="F692" s="31">
        <f>IFERROR(__xludf.DUMMYFUNCTION("""COMPUTED_VALUE"""),-5.862886986723898)</f>
        <v>-5.862886987</v>
      </c>
      <c r="G692" s="31">
        <f>IFERROR(__xludf.DUMMYFUNCTION("""COMPUTED_VALUE"""),15.145020548641583)</f>
        <v>15.14502055</v>
      </c>
      <c r="H692" s="31">
        <f>IFERROR(__xludf.DUMMYFUNCTION("""COMPUTED_VALUE"""),-12.250588274950854)</f>
        <v>-12.25058827</v>
      </c>
      <c r="I692" s="54">
        <f>IFERROR(__xludf.DUMMYFUNCTION("""COMPUTED_VALUE"""),41.0)</f>
        <v>41</v>
      </c>
      <c r="J692" s="55">
        <f>IFERROR(__xludf.DUMMYFUNCTION("""COMPUTED_VALUE"""),16.0)</f>
        <v>16</v>
      </c>
      <c r="K692" s="54">
        <f>IFERROR(__xludf.DUMMYFUNCTION("""COMPUTED_VALUE"""),25.0)</f>
        <v>25</v>
      </c>
      <c r="L692" s="56">
        <f>IFERROR(__xludf.DUMMYFUNCTION("""COMPUTED_VALUE"""),0.3902439024390244)</f>
        <v>0.3902439024</v>
      </c>
      <c r="M692" s="56">
        <f>IFERROR(__xludf.DUMMYFUNCTION("""COMPUTED_VALUE"""),0.29870129870129875)</f>
        <v>0.2987012987</v>
      </c>
      <c r="N692" s="31">
        <f>IFERROR(__xludf.DUMMYFUNCTION("""COMPUTED_VALUE"""),242.2439024390244)</f>
        <v>242.2439024</v>
      </c>
      <c r="O692" s="57">
        <f>IFERROR(__xludf.DUMMYFUNCTION("""COMPUTED_VALUE"""),0.5609756097560976)</f>
        <v>0.5609756098</v>
      </c>
      <c r="P692" s="57">
        <f>IFERROR(__xludf.DUMMYFUNCTION("""COMPUTED_VALUE"""),0.4146341463414634)</f>
        <v>0.4146341463</v>
      </c>
      <c r="Q692" s="57">
        <f>IFERROR(__xludf.DUMMYFUNCTION("""COMPUTED_VALUE"""),0.7317073170731707)</f>
        <v>0.7317073171</v>
      </c>
      <c r="R692" s="57">
        <f>IFERROR(__xludf.DUMMYFUNCTION("""COMPUTED_VALUE"""),1.8780487804878048)</f>
        <v>1.87804878</v>
      </c>
      <c r="S692" s="31">
        <f>IFERROR(__xludf.DUMMYFUNCTION("""COMPUTED_VALUE"""),327.2845528455285)</f>
        <v>327.2845528</v>
      </c>
      <c r="T692" s="57">
        <f>IFERROR(__xludf.DUMMYFUNCTION("""COMPUTED_VALUE"""),0.7235772357723576)</f>
        <v>0.7235772358</v>
      </c>
      <c r="U692" s="57">
        <f>IFERROR(__xludf.DUMMYFUNCTION("""COMPUTED_VALUE"""),0.5447154471544714)</f>
        <v>0.5447154472</v>
      </c>
      <c r="V692" s="57">
        <f>IFERROR(__xludf.DUMMYFUNCTION("""COMPUTED_VALUE"""),1.2195121951219512)</f>
        <v>1.219512195</v>
      </c>
      <c r="W692" s="57">
        <f>IFERROR(__xludf.DUMMYFUNCTION("""COMPUTED_VALUE"""),2.5203252032520322)</f>
        <v>2.520325203</v>
      </c>
      <c r="X692" s="31">
        <f>IFERROR(__xludf.DUMMYFUNCTION("""COMPUTED_VALUE"""),349.9351538118441)</f>
        <v>349.9351538</v>
      </c>
      <c r="Y692" s="57">
        <f>IFERROR(__xludf.DUMMYFUNCTION("""COMPUTED_VALUE"""),0.8023072874392847)</f>
        <v>0.8023072874</v>
      </c>
      <c r="Z692" s="57">
        <f>IFERROR(__xludf.DUMMYFUNCTION("""COMPUTED_VALUE"""),0.5691065416683349)</f>
        <v>0.5691065417</v>
      </c>
      <c r="AA692" s="57">
        <f>IFERROR(__xludf.DUMMYFUNCTION("""COMPUTED_VALUE"""),1.3162356626239282)</f>
        <v>1.316235663</v>
      </c>
      <c r="AB692" s="57">
        <f>IFERROR(__xludf.DUMMYFUNCTION("""COMPUTED_VALUE"""),2.60102337971088)</f>
        <v>2.60102338</v>
      </c>
      <c r="AC692" s="31">
        <f>IFERROR(__xludf.DUMMYFUNCTION("""COMPUTED_VALUE"""),346.95367409016285)</f>
        <v>346.9536741</v>
      </c>
      <c r="AD692" s="57">
        <f>IFERROR(__xludf.DUMMYFUNCTION("""COMPUTED_VALUE"""),0.7601635101977807)</f>
        <v>0.7601635102</v>
      </c>
      <c r="AE692" s="57">
        <f>IFERROR(__xludf.DUMMYFUNCTION("""COMPUTED_VALUE"""),0.5490791935663131)</f>
        <v>0.5490791936</v>
      </c>
      <c r="AF692" s="57">
        <f>IFERROR(__xludf.DUMMYFUNCTION("""COMPUTED_VALUE"""),1.3551294787037182)</f>
        <v>1.355129479</v>
      </c>
      <c r="AG692" s="57">
        <f>IFERROR(__xludf.DUMMYFUNCTION("""COMPUTED_VALUE"""),2.5582000140863426)</f>
        <v>2.558200014</v>
      </c>
      <c r="AH692" s="57">
        <f>IFERROR(__xludf.DUMMYFUNCTION("""COMPUTED_VALUE"""),0.698202441793634)</f>
        <v>0.6982024418</v>
      </c>
      <c r="AI692" s="57">
        <f>IFERROR(__xludf.DUMMYFUNCTION("""COMPUTED_VALUE"""),0.7379670323956249)</f>
        <v>0.7379670324</v>
      </c>
      <c r="AJ692" s="57">
        <f>IFERROR(__xludf.DUMMYFUNCTION("""COMPUTED_VALUE"""),0.7551445241411928)</f>
        <v>0.7551445241</v>
      </c>
      <c r="AK692" s="57">
        <f>IFERROR(__xludf.DUMMYFUNCTION("""COMPUTED_VALUE"""),0.5399538040992976)</f>
        <v>0.5399538041</v>
      </c>
      <c r="AL692" s="57">
        <f>IFERROR(__xludf.DUMMYFUNCTION("""COMPUTED_VALUE"""),0.7341289852812963)</f>
        <v>0.7341289853</v>
      </c>
      <c r="AM692" s="57">
        <f>IFERROR(__xludf.DUMMYFUNCTION("""COMPUTED_VALUE"""),0.9352720047712195)</f>
        <v>0.9352720048</v>
      </c>
      <c r="AN692" s="57">
        <f>IFERROR(__xludf.DUMMYFUNCTION("""COMPUTED_VALUE"""),0.9018704517589402)</f>
        <v>0.9018704518</v>
      </c>
      <c r="AO692" s="57">
        <f>IFERROR(__xludf.DUMMYFUNCTION("""COMPUTED_VALUE"""),0.9571414265554548)</f>
        <v>0.9571414266</v>
      </c>
      <c r="AP692" s="35">
        <f>IFERROR(__xludf.DUMMYFUNCTION("""COMPUTED_VALUE"""),0.9265150836977339)</f>
        <v>0.9265150837</v>
      </c>
      <c r="AQ692" s="57">
        <f>IFERROR(__xludf.DUMMYFUNCTION("""COMPUTED_VALUE"""),0.9689744517145332)</f>
        <v>0.9689744517</v>
      </c>
      <c r="AR692" s="36" t="b">
        <f>IFERROR(__xludf.DUMMYFUNCTION("""COMPUTED_VALUE"""),TRUE)</f>
        <v>1</v>
      </c>
      <c r="AS692" s="57"/>
      <c r="AT692" s="37"/>
      <c r="AU692" s="30"/>
      <c r="AV692" s="30"/>
      <c r="AW692" s="30"/>
      <c r="AX692" s="30"/>
      <c r="AY692" s="30"/>
      <c r="AZ692" s="30"/>
    </row>
    <row r="693">
      <c r="A693" s="30" t="str">
        <f>IFERROR(__xludf.DUMMYFUNCTION("""COMPUTED_VALUE"""),"Rival")</f>
        <v>Rival</v>
      </c>
      <c r="B693" s="30" t="str">
        <f>IFERROR(__xludf.DUMMYFUNCTION("""COMPUTED_VALUE"""),"RSC007861")</f>
        <v>RSC007861</v>
      </c>
      <c r="C693" s="30" t="str">
        <f>IFERROR(__xludf.DUMMYFUNCTION("""COMPUTED_VALUE"""),"xmanyaknow")</f>
        <v>xmanyaknow</v>
      </c>
      <c r="D693" s="31" t="str">
        <f>IFERROR(__xludf.DUMMYFUNCTION("""COMPUTED_VALUE"""),"Phantoms")</f>
        <v>Phantoms</v>
      </c>
      <c r="E693" s="31">
        <f>IFERROR(__xludf.DUMMYFUNCTION("""COMPUTED_VALUE"""),25.516805916491332)</f>
        <v>25.51680592</v>
      </c>
      <c r="F693" s="31">
        <f>IFERROR(__xludf.DUMMYFUNCTION("""COMPUTED_VALUE"""),-6.108398601956799)</f>
        <v>-6.108398602</v>
      </c>
      <c r="G693" s="31">
        <f>IFERROR(__xludf.DUMMYFUNCTION("""COMPUTED_VALUE"""),35.95272654565308)</f>
        <v>35.95272655</v>
      </c>
      <c r="H693" s="31">
        <f>IFERROR(__xludf.DUMMYFUNCTION("""COMPUTED_VALUE"""),-3.4831656021538855)</f>
        <v>-3.483165602</v>
      </c>
      <c r="I693" s="54">
        <f>IFERROR(__xludf.DUMMYFUNCTION("""COMPUTED_VALUE"""),31.0)</f>
        <v>31</v>
      </c>
      <c r="J693" s="55">
        <f>IFERROR(__xludf.DUMMYFUNCTION("""COMPUTED_VALUE"""),10.0)</f>
        <v>10</v>
      </c>
      <c r="K693" s="54">
        <f>IFERROR(__xludf.DUMMYFUNCTION("""COMPUTED_VALUE"""),21.0)</f>
        <v>21</v>
      </c>
      <c r="L693" s="56">
        <f>IFERROR(__xludf.DUMMYFUNCTION("""COMPUTED_VALUE"""),0.3225806451612903)</f>
        <v>0.3225806452</v>
      </c>
      <c r="M693" s="56">
        <f>IFERROR(__xludf.DUMMYFUNCTION("""COMPUTED_VALUE"""),0.19480519480519481)</f>
        <v>0.1948051948</v>
      </c>
      <c r="N693" s="31">
        <f>IFERROR(__xludf.DUMMYFUNCTION("""COMPUTED_VALUE"""),308.06451612903226)</f>
        <v>308.0645161</v>
      </c>
      <c r="O693" s="57">
        <f>IFERROR(__xludf.DUMMYFUNCTION("""COMPUTED_VALUE"""),0.4838709677419355)</f>
        <v>0.4838709677</v>
      </c>
      <c r="P693" s="57">
        <f>IFERROR(__xludf.DUMMYFUNCTION("""COMPUTED_VALUE"""),0.3870967741935484)</f>
        <v>0.3870967742</v>
      </c>
      <c r="Q693" s="57">
        <f>IFERROR(__xludf.DUMMYFUNCTION("""COMPUTED_VALUE"""),1.4516129032258065)</f>
        <v>1.451612903</v>
      </c>
      <c r="R693" s="57">
        <f>IFERROR(__xludf.DUMMYFUNCTION("""COMPUTED_VALUE"""),2.4838709677419355)</f>
        <v>2.483870968</v>
      </c>
      <c r="S693" s="31">
        <f>IFERROR(__xludf.DUMMYFUNCTION("""COMPUTED_VALUE"""),373.13978494623655)</f>
        <v>373.1397849</v>
      </c>
      <c r="T693" s="57">
        <f>IFERROR(__xludf.DUMMYFUNCTION("""COMPUTED_VALUE"""),1.0000000000000002)</f>
        <v>1</v>
      </c>
      <c r="U693" s="57">
        <f>IFERROR(__xludf.DUMMYFUNCTION("""COMPUTED_VALUE"""),0.7419354838709676)</f>
        <v>0.7419354839</v>
      </c>
      <c r="V693" s="57">
        <f>IFERROR(__xludf.DUMMYFUNCTION("""COMPUTED_VALUE"""),1.2365591397849458)</f>
        <v>1.23655914</v>
      </c>
      <c r="W693" s="57">
        <f>IFERROR(__xludf.DUMMYFUNCTION("""COMPUTED_VALUE"""),2.7311827956989245)</f>
        <v>2.731182796</v>
      </c>
      <c r="X693" s="31">
        <f>IFERROR(__xludf.DUMMYFUNCTION("""COMPUTED_VALUE"""),356.94046741349126)</f>
        <v>356.9404674</v>
      </c>
      <c r="Y693" s="57">
        <f>IFERROR(__xludf.DUMMYFUNCTION("""COMPUTED_VALUE"""),0.827160783238393)</f>
        <v>0.8271607832</v>
      </c>
      <c r="Z693" s="57">
        <f>IFERROR(__xludf.DUMMYFUNCTION("""COMPUTED_VALUE"""),0.5650524810279968)</f>
        <v>0.565052481</v>
      </c>
      <c r="AA693" s="57">
        <f>IFERROR(__xludf.DUMMYFUNCTION("""COMPUTED_VALUE"""),1.3706523251554181)</f>
        <v>1.370652325</v>
      </c>
      <c r="AB693" s="57">
        <f>IFERROR(__xludf.DUMMYFUNCTION("""COMPUTED_VALUE"""),2.544198655174465)</f>
        <v>2.544198655</v>
      </c>
      <c r="AC693" s="31">
        <f>IFERROR(__xludf.DUMMYFUNCTION("""COMPUTED_VALUE"""),341.27590995511025)</f>
        <v>341.27591</v>
      </c>
      <c r="AD693" s="57">
        <f>IFERROR(__xludf.DUMMYFUNCTION("""COMPUTED_VALUE"""),0.7622401934534766)</f>
        <v>0.7622401935</v>
      </c>
      <c r="AE693" s="57">
        <f>IFERROR(__xludf.DUMMYFUNCTION("""COMPUTED_VALUE"""),0.5407212806767273)</f>
        <v>0.5407212807</v>
      </c>
      <c r="AF693" s="57">
        <f>IFERROR(__xludf.DUMMYFUNCTION("""COMPUTED_VALUE"""),1.2671615927150564)</f>
        <v>1.267161593</v>
      </c>
      <c r="AG693" s="57">
        <f>IFERROR(__xludf.DUMMYFUNCTION("""COMPUTED_VALUE"""),2.5688553460660453)</f>
        <v>2.568855346</v>
      </c>
      <c r="AH693" s="57">
        <f>IFERROR(__xludf.DUMMYFUNCTION("""COMPUTED_VALUE"""),0.9026846230358115)</f>
        <v>0.902684623</v>
      </c>
      <c r="AI693" s="57">
        <f>IFERROR(__xludf.DUMMYFUNCTION("""COMPUTED_VALUE"""),0.634801171464948)</f>
        <v>0.6348011715</v>
      </c>
      <c r="AJ693" s="57">
        <f>IFERROR(__xludf.DUMMYFUNCTION("""COMPUTED_VALUE"""),0.7158896607677181)</f>
        <v>0.7158896608</v>
      </c>
      <c r="AK693" s="57">
        <f>IFERROR(__xludf.DUMMYFUNCTION("""COMPUTED_VALUE"""),1.1455625798407758)</f>
        <v>1.14556258</v>
      </c>
      <c r="AL693" s="57">
        <f>IFERROR(__xludf.DUMMYFUNCTION("""COMPUTED_VALUE"""),0.9669174138379356)</f>
        <v>0.9669174138</v>
      </c>
      <c r="AM693" s="57">
        <f>IFERROR(__xludf.DUMMYFUNCTION("""COMPUTED_VALUE"""),1.0453838076980482)</f>
        <v>1.045383808</v>
      </c>
      <c r="AN693" s="57">
        <f>IFERROR(__xludf.DUMMYFUNCTION("""COMPUTED_VALUE"""),1.2089548008851791)</f>
        <v>1.208954801</v>
      </c>
      <c r="AO693" s="57">
        <f>IFERROR(__xludf.DUMMYFUNCTION("""COMPUTED_VALUE"""),1.3130381845614918)</f>
        <v>1.313038185</v>
      </c>
      <c r="AP693" s="35">
        <f>IFERROR(__xludf.DUMMYFUNCTION("""COMPUTED_VALUE"""),0.9021683450212165)</f>
        <v>0.902168345</v>
      </c>
      <c r="AQ693" s="57">
        <f>IFERROR(__xludf.DUMMYFUNCTION("""COMPUTED_VALUE"""),1.0734943162335873)</f>
        <v>1.073494316</v>
      </c>
      <c r="AR693" s="36" t="b">
        <f>IFERROR(__xludf.DUMMYFUNCTION("""COMPUTED_VALUE"""),TRUE)</f>
        <v>1</v>
      </c>
      <c r="AS693" s="57"/>
      <c r="AT693" s="37"/>
      <c r="AU693" s="30"/>
      <c r="AV693" s="30"/>
      <c r="AW693" s="30"/>
      <c r="AX693" s="30"/>
      <c r="AY693" s="30"/>
      <c r="AZ693" s="30"/>
    </row>
    <row r="694">
      <c r="A694" s="30" t="str">
        <f>IFERROR(__xludf.DUMMYFUNCTION("""COMPUTED_VALUE"""),"Rival")</f>
        <v>Rival</v>
      </c>
      <c r="B694" s="30" t="str">
        <f>IFERROR(__xludf.DUMMYFUNCTION("""COMPUTED_VALUE"""),"RSC001015")</f>
        <v>RSC001015</v>
      </c>
      <c r="C694" s="30" t="str">
        <f>IFERROR(__xludf.DUMMYFUNCTION("""COMPUTED_VALUE"""),"LatFips")</f>
        <v>LatFips</v>
      </c>
      <c r="D694" s="31" t="str">
        <f>IFERROR(__xludf.DUMMYFUNCTION("""COMPUTED_VALUE"""),"Heavy Metal")</f>
        <v>Heavy Metal</v>
      </c>
      <c r="E694" s="31">
        <f>IFERROR(__xludf.DUMMYFUNCTION("""COMPUTED_VALUE"""),25.236326677650904)</f>
        <v>25.23632668</v>
      </c>
      <c r="F694" s="31">
        <f>IFERROR(__xludf.DUMMYFUNCTION("""COMPUTED_VALUE"""),-6.212977234584832)</f>
        <v>-6.212977235</v>
      </c>
      <c r="G694" s="31">
        <f>IFERROR(__xludf.DUMMYFUNCTION("""COMPUTED_VALUE"""),31.408967624634602)</f>
        <v>31.40896762</v>
      </c>
      <c r="H694" s="31">
        <f>IFERROR(__xludf.DUMMYFUNCTION("""COMPUTED_VALUE"""),-4.375472284901044)</f>
        <v>-4.375472285</v>
      </c>
      <c r="I694" s="54">
        <f>IFERROR(__xludf.DUMMYFUNCTION("""COMPUTED_VALUE"""),40.0)</f>
        <v>40</v>
      </c>
      <c r="J694" s="55">
        <f>IFERROR(__xludf.DUMMYFUNCTION("""COMPUTED_VALUE"""),19.0)</f>
        <v>19</v>
      </c>
      <c r="K694" s="54">
        <f>IFERROR(__xludf.DUMMYFUNCTION("""COMPUTED_VALUE"""),21.0)</f>
        <v>21</v>
      </c>
      <c r="L694" s="56">
        <f>IFERROR(__xludf.DUMMYFUNCTION("""COMPUTED_VALUE"""),0.475)</f>
        <v>0.475</v>
      </c>
      <c r="M694" s="56">
        <f>IFERROR(__xludf.DUMMYFUNCTION("""COMPUTED_VALUE"""),0.22784810126582278)</f>
        <v>0.2278481013</v>
      </c>
      <c r="N694" s="31">
        <f>IFERROR(__xludf.DUMMYFUNCTION("""COMPUTED_VALUE"""),289.6)</f>
        <v>289.6</v>
      </c>
      <c r="O694" s="57">
        <f>IFERROR(__xludf.DUMMYFUNCTION("""COMPUTED_VALUE"""),0.45)</f>
        <v>0.45</v>
      </c>
      <c r="P694" s="57">
        <f>IFERROR(__xludf.DUMMYFUNCTION("""COMPUTED_VALUE"""),0.525)</f>
        <v>0.525</v>
      </c>
      <c r="Q694" s="57">
        <f>IFERROR(__xludf.DUMMYFUNCTION("""COMPUTED_VALUE"""),1.075)</f>
        <v>1.075</v>
      </c>
      <c r="R694" s="57">
        <f>IFERROR(__xludf.DUMMYFUNCTION("""COMPUTED_VALUE"""),1.975)</f>
        <v>1.975</v>
      </c>
      <c r="S694" s="31">
        <f>IFERROR(__xludf.DUMMYFUNCTION("""COMPUTED_VALUE"""),357.1416666666667)</f>
        <v>357.1416667</v>
      </c>
      <c r="T694" s="57">
        <f>IFERROR(__xludf.DUMMYFUNCTION("""COMPUTED_VALUE"""),0.85)</f>
        <v>0.85</v>
      </c>
      <c r="U694" s="57">
        <f>IFERROR(__xludf.DUMMYFUNCTION("""COMPUTED_VALUE"""),0.6333333333333333)</f>
        <v>0.6333333333</v>
      </c>
      <c r="V694" s="57">
        <f>IFERROR(__xludf.DUMMYFUNCTION("""COMPUTED_VALUE"""),1.325)</f>
        <v>1.325</v>
      </c>
      <c r="W694" s="57">
        <f>IFERROR(__xludf.DUMMYFUNCTION("""COMPUTED_VALUE"""),2.425)</f>
        <v>2.425</v>
      </c>
      <c r="X694" s="31">
        <f>IFERROR(__xludf.DUMMYFUNCTION("""COMPUTED_VALUE"""),345.11697952894093)</f>
        <v>345.1169795</v>
      </c>
      <c r="Y694" s="57">
        <f>IFERROR(__xludf.DUMMYFUNCTION("""COMPUTED_VALUE"""),0.7909889232922823)</f>
        <v>0.7909889233</v>
      </c>
      <c r="Z694" s="57">
        <f>IFERROR(__xludf.DUMMYFUNCTION("""COMPUTED_VALUE"""),0.5592768179008362)</f>
        <v>0.5592768179</v>
      </c>
      <c r="AA694" s="57">
        <f>IFERROR(__xludf.DUMMYFUNCTION("""COMPUTED_VALUE"""),1.3007617700752163)</f>
        <v>1.30076177</v>
      </c>
      <c r="AB694" s="57">
        <f>IFERROR(__xludf.DUMMYFUNCTION("""COMPUTED_VALUE"""),2.425397552582711)</f>
        <v>2.425397553</v>
      </c>
      <c r="AC694" s="31">
        <f>IFERROR(__xludf.DUMMYFUNCTION("""COMPUTED_VALUE"""),346.727705333909)</f>
        <v>346.7277053</v>
      </c>
      <c r="AD694" s="57">
        <f>IFERROR(__xludf.DUMMYFUNCTION("""COMPUTED_VALUE"""),0.8033932989372904)</f>
        <v>0.8033932989</v>
      </c>
      <c r="AE694" s="57">
        <f>IFERROR(__xludf.DUMMYFUNCTION("""COMPUTED_VALUE"""),0.5786636700742196)</f>
        <v>0.5786636701</v>
      </c>
      <c r="AF694" s="57">
        <f>IFERROR(__xludf.DUMMYFUNCTION("""COMPUTED_VALUE"""),1.2323585534005495)</f>
        <v>1.232358553</v>
      </c>
      <c r="AG694" s="57">
        <f>IFERROR(__xludf.DUMMYFUNCTION("""COMPUTED_VALUE"""),2.587025671841382)</f>
        <v>2.587025672</v>
      </c>
      <c r="AH694" s="57">
        <f>IFERROR(__xludf.DUMMYFUNCTION("""COMPUTED_VALUE"""),0.8352375525373915)</f>
        <v>0.8352375525</v>
      </c>
      <c r="AI694" s="57">
        <f>IFERROR(__xludf.DUMMYFUNCTION("""COMPUTED_VALUE"""),0.560124164086568)</f>
        <v>0.5601241641</v>
      </c>
      <c r="AJ694" s="57">
        <f>IFERROR(__xludf.DUMMYFUNCTION("""COMPUTED_VALUE"""),0.9072627627247851)</f>
        <v>0.9072627627</v>
      </c>
      <c r="AK694" s="57">
        <f>IFERROR(__xludf.DUMMYFUNCTION("""COMPUTED_VALUE"""),0.8723110632320951)</f>
        <v>0.8723110632</v>
      </c>
      <c r="AL694" s="57">
        <f>IFERROR(__xludf.DUMMYFUNCTION("""COMPUTED_VALUE"""),0.7634249715791351)</f>
        <v>0.7634249716</v>
      </c>
      <c r="AM694" s="57">
        <f>IFERROR(__xludf.DUMMYFUNCTION("""COMPUTED_VALUE"""),1.0348423515821754)</f>
        <v>1.034842352</v>
      </c>
      <c r="AN694" s="57">
        <f>IFERROR(__xludf.DUMMYFUNCTION("""COMPUTED_VALUE"""),1.074604175823474)</f>
        <v>1.074604176</v>
      </c>
      <c r="AO694" s="57">
        <f>IFERROR(__xludf.DUMMYFUNCTION("""COMPUTED_VALUE"""),1.1324147775522995)</f>
        <v>1.132414778</v>
      </c>
      <c r="AP694" s="35">
        <f>IFERROR(__xludf.DUMMYFUNCTION("""COMPUTED_VALUE"""),1.0186338732290556)</f>
        <v>1.018633873</v>
      </c>
      <c r="AQ694" s="57">
        <f>IFERROR(__xludf.DUMMYFUNCTION("""COMPUTED_VALUE"""),0.9998360876622936)</f>
        <v>0.9998360877</v>
      </c>
      <c r="AR694" s="36" t="b">
        <f>IFERROR(__xludf.DUMMYFUNCTION("""COMPUTED_VALUE"""),TRUE)</f>
        <v>1</v>
      </c>
      <c r="AS694" s="57"/>
      <c r="AT694" s="37"/>
      <c r="AU694" s="30"/>
      <c r="AV694" s="30"/>
      <c r="AW694" s="30"/>
      <c r="AX694" s="30"/>
      <c r="AY694" s="30"/>
      <c r="AZ694" s="30"/>
    </row>
    <row r="695">
      <c r="A695" s="30" t="str">
        <f>IFERROR(__xludf.DUMMYFUNCTION("""COMPUTED_VALUE"""),"Rival")</f>
        <v>Rival</v>
      </c>
      <c r="B695" s="30" t="str">
        <f>IFERROR(__xludf.DUMMYFUNCTION("""COMPUTED_VALUE"""),"RSC005628")</f>
        <v>RSC005628</v>
      </c>
      <c r="C695" s="30" t="str">
        <f>IFERROR(__xludf.DUMMYFUNCTION("""COMPUTED_VALUE"""),"I love sand")</f>
        <v>I love sand</v>
      </c>
      <c r="D695" s="31" t="str">
        <f>IFERROR(__xludf.DUMMYFUNCTION("""COMPUTED_VALUE"""),"Tyrants")</f>
        <v>Tyrants</v>
      </c>
      <c r="E695" s="31">
        <f>IFERROR(__xludf.DUMMYFUNCTION("""COMPUTED_VALUE"""),24.451565891982813)</f>
        <v>24.45156589</v>
      </c>
      <c r="F695" s="31">
        <f>IFERROR(__xludf.DUMMYFUNCTION("""COMPUTED_VALUE"""),-6.5186807368433115)</f>
        <v>-6.518680737</v>
      </c>
      <c r="G695" s="31">
        <f>IFERROR(__xludf.DUMMYFUNCTION("""COMPUTED_VALUE"""),41.2715137533993)</f>
        <v>41.27151375</v>
      </c>
      <c r="H695" s="31">
        <f>IFERROR(__xludf.DUMMYFUNCTION("""COMPUTED_VALUE"""),-2.7510898331950777)</f>
        <v>-2.751089833</v>
      </c>
      <c r="I695" s="54">
        <f>IFERROR(__xludf.DUMMYFUNCTION("""COMPUTED_VALUE"""),26.0)</f>
        <v>26</v>
      </c>
      <c r="J695" s="55">
        <f>IFERROR(__xludf.DUMMYFUNCTION("""COMPUTED_VALUE"""),12.0)</f>
        <v>12</v>
      </c>
      <c r="K695" s="54">
        <f>IFERROR(__xludf.DUMMYFUNCTION("""COMPUTED_VALUE"""),14.0)</f>
        <v>14</v>
      </c>
      <c r="L695" s="56">
        <f>IFERROR(__xludf.DUMMYFUNCTION("""COMPUTED_VALUE"""),0.46153846153846156)</f>
        <v>0.4615384615</v>
      </c>
      <c r="M695" s="56">
        <f>IFERROR(__xludf.DUMMYFUNCTION("""COMPUTED_VALUE"""),0.18518518518518517)</f>
        <v>0.1851851852</v>
      </c>
      <c r="N695" s="31">
        <f>IFERROR(__xludf.DUMMYFUNCTION("""COMPUTED_VALUE"""),296.5)</f>
        <v>296.5</v>
      </c>
      <c r="O695" s="57">
        <f>IFERROR(__xludf.DUMMYFUNCTION("""COMPUTED_VALUE"""),0.38461538461538464)</f>
        <v>0.3846153846</v>
      </c>
      <c r="P695" s="57">
        <f>IFERROR(__xludf.DUMMYFUNCTION("""COMPUTED_VALUE"""),0.46153846153846156)</f>
        <v>0.4615384615</v>
      </c>
      <c r="Q695" s="57">
        <f>IFERROR(__xludf.DUMMYFUNCTION("""COMPUTED_VALUE"""),1.1153846153846154)</f>
        <v>1.115384615</v>
      </c>
      <c r="R695" s="57">
        <f>IFERROR(__xludf.DUMMYFUNCTION("""COMPUTED_VALUE"""),2.076923076923077)</f>
        <v>2.076923077</v>
      </c>
      <c r="S695" s="31">
        <f>IFERROR(__xludf.DUMMYFUNCTION("""COMPUTED_VALUE"""),338.2435897435898)</f>
        <v>338.2435897</v>
      </c>
      <c r="T695" s="57">
        <f>IFERROR(__xludf.DUMMYFUNCTION("""COMPUTED_VALUE"""),0.7564102564102565)</f>
        <v>0.7564102564</v>
      </c>
      <c r="U695" s="57">
        <f>IFERROR(__xludf.DUMMYFUNCTION("""COMPUTED_VALUE"""),0.5897435897435896)</f>
        <v>0.5897435897</v>
      </c>
      <c r="V695" s="57">
        <f>IFERROR(__xludf.DUMMYFUNCTION("""COMPUTED_VALUE"""),1.0384615384615383)</f>
        <v>1.038461538</v>
      </c>
      <c r="W695" s="57">
        <f>IFERROR(__xludf.DUMMYFUNCTION("""COMPUTED_VALUE"""),2.5512820512820515)</f>
        <v>2.551282051</v>
      </c>
      <c r="X695" s="31">
        <f>IFERROR(__xludf.DUMMYFUNCTION("""COMPUTED_VALUE"""),345.5599286623669)</f>
        <v>345.5599287</v>
      </c>
      <c r="Y695" s="57">
        <f>IFERROR(__xludf.DUMMYFUNCTION("""COMPUTED_VALUE"""),0.7691713028029951)</f>
        <v>0.7691713028</v>
      </c>
      <c r="Z695" s="57">
        <f>IFERROR(__xludf.DUMMYFUNCTION("""COMPUTED_VALUE"""),0.5627220731348699)</f>
        <v>0.5627220731</v>
      </c>
      <c r="AA695" s="57">
        <f>IFERROR(__xludf.DUMMYFUNCTION("""COMPUTED_VALUE"""),1.3196457819424325)</f>
        <v>1.319645782</v>
      </c>
      <c r="AB695" s="57">
        <f>IFERROR(__xludf.DUMMYFUNCTION("""COMPUTED_VALUE"""),2.510375969421553)</f>
        <v>2.510375969</v>
      </c>
      <c r="AC695" s="31">
        <f>IFERROR(__xludf.DUMMYFUNCTION("""COMPUTED_VALUE"""),347.38719442295076)</f>
        <v>347.3871944</v>
      </c>
      <c r="AD695" s="57">
        <f>IFERROR(__xludf.DUMMYFUNCTION("""COMPUTED_VALUE"""),0.7792044887750833)</f>
        <v>0.7792044888</v>
      </c>
      <c r="AE695" s="57">
        <f>IFERROR(__xludf.DUMMYFUNCTION("""COMPUTED_VALUE"""),0.5519386226173414)</f>
        <v>0.5519386226</v>
      </c>
      <c r="AF695" s="57">
        <f>IFERROR(__xludf.DUMMYFUNCTION("""COMPUTED_VALUE"""),1.2852052912483591)</f>
        <v>1.285205291</v>
      </c>
      <c r="AG695" s="57">
        <f>IFERROR(__xludf.DUMMYFUNCTION("""COMPUTED_VALUE"""),2.5136871476342484)</f>
        <v>2.513687148</v>
      </c>
      <c r="AH695" s="57">
        <f>IFERROR(__xludf.DUMMYFUNCTION("""COMPUTED_VALUE"""),0.8535144782539261)</f>
        <v>0.8535144783</v>
      </c>
      <c r="AI695" s="57">
        <f>IFERROR(__xludf.DUMMYFUNCTION("""COMPUTED_VALUE"""),0.4936000628281847)</f>
        <v>0.4936000628</v>
      </c>
      <c r="AJ695" s="57">
        <f>IFERROR(__xludf.DUMMYFUNCTION("""COMPUTED_VALUE"""),0.836213380665056)</f>
        <v>0.8362133807</v>
      </c>
      <c r="AK695" s="57">
        <f>IFERROR(__xludf.DUMMYFUNCTION("""COMPUTED_VALUE"""),0.8678649418733783)</f>
        <v>0.8678649419</v>
      </c>
      <c r="AL695" s="57">
        <f>IFERROR(__xludf.DUMMYFUNCTION("""COMPUTED_VALUE"""),0.8262456522792699)</f>
        <v>0.8262456523</v>
      </c>
      <c r="AM695" s="57">
        <f>IFERROR(__xludf.DUMMYFUNCTION("""COMPUTED_VALUE"""),0.9788275829691885)</f>
        <v>0.978827583</v>
      </c>
      <c r="AN695" s="57">
        <f>IFERROR(__xludf.DUMMYFUNCTION("""COMPUTED_VALUE"""),0.9834093571272939)</f>
        <v>0.9834093571</v>
      </c>
      <c r="AO695" s="57">
        <f>IFERROR(__xludf.DUMMYFUNCTION("""COMPUTED_VALUE"""),1.0480192938908288)</f>
        <v>1.048019294</v>
      </c>
      <c r="AP695" s="35">
        <f>IFERROR(__xludf.DUMMYFUNCTION("""COMPUTED_VALUE"""),0.7869244555406305)</f>
        <v>0.7869244555</v>
      </c>
      <c r="AQ695" s="57">
        <f>IFERROR(__xludf.DUMMYFUNCTION("""COMPUTED_VALUE"""),1.0162948029931644)</f>
        <v>1.016294803</v>
      </c>
      <c r="AR695" s="36" t="b">
        <f>IFERROR(__xludf.DUMMYFUNCTION("""COMPUTED_VALUE"""),TRUE)</f>
        <v>1</v>
      </c>
      <c r="AS695" s="57"/>
      <c r="AT695" s="37"/>
      <c r="AU695" s="30"/>
      <c r="AV695" s="30"/>
      <c r="AW695" s="30"/>
      <c r="AX695" s="30"/>
      <c r="AY695" s="30"/>
      <c r="AZ695" s="30"/>
    </row>
    <row r="696">
      <c r="A696" s="30" t="str">
        <f>IFERROR(__xludf.DUMMYFUNCTION("""COMPUTED_VALUE"""),"Rival")</f>
        <v>Rival</v>
      </c>
      <c r="B696" s="30" t="str">
        <f>IFERROR(__xludf.DUMMYFUNCTION("""COMPUTED_VALUE"""),"RSC007774")</f>
        <v>RSC007774</v>
      </c>
      <c r="C696" s="30" t="str">
        <f>IFERROR(__xludf.DUMMYFUNCTION("""COMPUTED_VALUE"""),"Il Rogue lI")</f>
        <v>Il Rogue lI</v>
      </c>
      <c r="D696" s="31"/>
      <c r="E696" s="31">
        <f>IFERROR(__xludf.DUMMYFUNCTION("""COMPUTED_VALUE"""),24.27040394321342)</f>
        <v>24.27040394</v>
      </c>
      <c r="F696" s="31">
        <f>IFERROR(__xludf.DUMMYFUNCTION("""COMPUTED_VALUE"""),-6.592103526063366)</f>
        <v>-6.592103526</v>
      </c>
      <c r="G696" s="31">
        <f>IFERROR(__xludf.DUMMYFUNCTION("""COMPUTED_VALUE"""),35.64341769411723)</f>
        <v>35.64341769</v>
      </c>
      <c r="H696" s="31">
        <f>IFERROR(__xludf.DUMMYFUNCTION("""COMPUTED_VALUE"""),-3.534882648975665)</f>
        <v>-3.534882649</v>
      </c>
      <c r="I696" s="54">
        <f>IFERROR(__xludf.DUMMYFUNCTION("""COMPUTED_VALUE"""),4.0)</f>
        <v>4</v>
      </c>
      <c r="J696" s="55">
        <f>IFERROR(__xludf.DUMMYFUNCTION("""COMPUTED_VALUE"""),1.0)</f>
        <v>1</v>
      </c>
      <c r="K696" s="54">
        <f>IFERROR(__xludf.DUMMYFUNCTION("""COMPUTED_VALUE"""),3.0)</f>
        <v>3</v>
      </c>
      <c r="L696" s="56">
        <f>IFERROR(__xludf.DUMMYFUNCTION("""COMPUTED_VALUE"""),0.25)</f>
        <v>0.25</v>
      </c>
      <c r="M696" s="56">
        <f>IFERROR(__xludf.DUMMYFUNCTION("""COMPUTED_VALUE"""),0.0)</f>
        <v>0</v>
      </c>
      <c r="N696" s="31">
        <f>IFERROR(__xludf.DUMMYFUNCTION("""COMPUTED_VALUE"""),305.75)</f>
        <v>305.75</v>
      </c>
      <c r="O696" s="57">
        <f>IFERROR(__xludf.DUMMYFUNCTION("""COMPUTED_VALUE"""),0.0)</f>
        <v>0</v>
      </c>
      <c r="P696" s="57">
        <f>IFERROR(__xludf.DUMMYFUNCTION("""COMPUTED_VALUE"""),1.25)</f>
        <v>1.25</v>
      </c>
      <c r="Q696" s="57">
        <f>IFERROR(__xludf.DUMMYFUNCTION("""COMPUTED_VALUE"""),1.75)</f>
        <v>1.75</v>
      </c>
      <c r="R696" s="57">
        <f>IFERROR(__xludf.DUMMYFUNCTION("""COMPUTED_VALUE"""),2.0)</f>
        <v>2</v>
      </c>
      <c r="S696" s="31">
        <f>IFERROR(__xludf.DUMMYFUNCTION("""COMPUTED_VALUE"""),356.75000000000006)</f>
        <v>356.75</v>
      </c>
      <c r="T696" s="57">
        <f>IFERROR(__xludf.DUMMYFUNCTION("""COMPUTED_VALUE"""),0.75)</f>
        <v>0.75</v>
      </c>
      <c r="U696" s="57">
        <f>IFERROR(__xludf.DUMMYFUNCTION("""COMPUTED_VALUE"""),0.6666666666666666)</f>
        <v>0.6666666667</v>
      </c>
      <c r="V696" s="57">
        <f>IFERROR(__xludf.DUMMYFUNCTION("""COMPUTED_VALUE"""),1.1666666666666665)</f>
        <v>1.166666667</v>
      </c>
      <c r="W696" s="57">
        <f>IFERROR(__xludf.DUMMYFUNCTION("""COMPUTED_VALUE"""),3.333333333333333)</f>
        <v>3.333333333</v>
      </c>
      <c r="X696" s="31">
        <f>IFERROR(__xludf.DUMMYFUNCTION("""COMPUTED_VALUE"""),309.1881435926773)</f>
        <v>309.1881436</v>
      </c>
      <c r="Y696" s="57">
        <f>IFERROR(__xludf.DUMMYFUNCTION("""COMPUTED_VALUE"""),0.6021643783371472)</f>
        <v>0.6021643783</v>
      </c>
      <c r="Z696" s="57">
        <f>IFERROR(__xludf.DUMMYFUNCTION("""COMPUTED_VALUE"""),0.41106502669717776)</f>
        <v>0.4110650267</v>
      </c>
      <c r="AA696" s="57">
        <f>IFERROR(__xludf.DUMMYFUNCTION("""COMPUTED_VALUE"""),1.2532418001525552)</f>
        <v>1.2532418</v>
      </c>
      <c r="AB696" s="57">
        <f>IFERROR(__xludf.DUMMYFUNCTION("""COMPUTED_VALUE"""),2.2509534706331045)</f>
        <v>2.250953471</v>
      </c>
      <c r="AC696" s="31">
        <f>IFERROR(__xludf.DUMMYFUNCTION("""COMPUTED_VALUE"""),352.6723795448767)</f>
        <v>352.6723795</v>
      </c>
      <c r="AD696" s="57">
        <f>IFERROR(__xludf.DUMMYFUNCTION("""COMPUTED_VALUE"""),0.8300994787693873)</f>
        <v>0.8300994788</v>
      </c>
      <c r="AE696" s="57">
        <f>IFERROR(__xludf.DUMMYFUNCTION("""COMPUTED_VALUE"""),0.5765080727180271)</f>
        <v>0.5765080727</v>
      </c>
      <c r="AF696" s="57">
        <f>IFERROR(__xludf.DUMMYFUNCTION("""COMPUTED_VALUE"""),1.1580059750826344)</f>
        <v>1.158005975</v>
      </c>
      <c r="AG696" s="57">
        <f>IFERROR(__xludf.DUMMYFUNCTION("""COMPUTED_VALUE"""),2.56080758962624)</f>
        <v>2.56080759</v>
      </c>
      <c r="AH696" s="57">
        <f>IFERROR(__xludf.DUMMYFUNCTION("""COMPUTED_VALUE"""),0.8669519297047589)</f>
        <v>0.8669519297</v>
      </c>
      <c r="AI696" s="57">
        <f>IFERROR(__xludf.DUMMYFUNCTION("""COMPUTED_VALUE"""),0.0)</f>
        <v>0</v>
      </c>
      <c r="AJ696" s="57">
        <f>IFERROR(__xludf.DUMMYFUNCTION("""COMPUTED_VALUE"""),2.1682263599652685)</f>
        <v>2.16822636</v>
      </c>
      <c r="AK696" s="57">
        <f>IFERROR(__xludf.DUMMYFUNCTION("""COMPUTED_VALUE"""),1.5112184545292362)</f>
        <v>1.511218455</v>
      </c>
      <c r="AL696" s="57">
        <f>IFERROR(__xludf.DUMMYFUNCTION("""COMPUTED_VALUE"""),0.7810036209287821)</f>
        <v>0.7810036209</v>
      </c>
      <c r="AM696" s="57">
        <f>IFERROR(__xludf.DUMMYFUNCTION("""COMPUTED_VALUE"""),1.153828202642791)</f>
        <v>1.153828203</v>
      </c>
      <c r="AN696" s="57">
        <f>IFERROR(__xludf.DUMMYFUNCTION("""COMPUTED_VALUE"""),1.2455070857414299)</f>
        <v>1.245507086</v>
      </c>
      <c r="AO696" s="57">
        <f>IFERROR(__xludf.DUMMYFUNCTION("""COMPUTED_VALUE"""),1.6218034212815307)</f>
        <v>1.621803421</v>
      </c>
      <c r="AP696" s="35">
        <f>IFERROR(__xludf.DUMMYFUNCTION("""COMPUTED_VALUE"""),0.9309190505173464)</f>
        <v>0.9309190505</v>
      </c>
      <c r="AQ696" s="57">
        <f>IFERROR(__xludf.DUMMYFUNCTION("""COMPUTED_VALUE"""),1.4808539478143001)</f>
        <v>1.480853948</v>
      </c>
      <c r="AR696" s="36" t="b">
        <f>IFERROR(__xludf.DUMMYFUNCTION("""COMPUTED_VALUE"""),TRUE)</f>
        <v>1</v>
      </c>
      <c r="AS696" s="57"/>
      <c r="AT696" s="37"/>
      <c r="AU696" s="30"/>
      <c r="AV696" s="30"/>
      <c r="AW696" s="30"/>
      <c r="AX696" s="30"/>
      <c r="AY696" s="30"/>
      <c r="AZ696" s="30"/>
    </row>
    <row r="697">
      <c r="A697" s="30" t="str">
        <f>IFERROR(__xludf.DUMMYFUNCTION("""COMPUTED_VALUE"""),"Rival")</f>
        <v>Rival</v>
      </c>
      <c r="B697" s="30" t="str">
        <f>IFERROR(__xludf.DUMMYFUNCTION("""COMPUTED_VALUE"""),"RSC007129")</f>
        <v>RSC007129</v>
      </c>
      <c r="C697" s="30" t="str">
        <f>IFERROR(__xludf.DUMMYFUNCTION("""COMPUTED_VALUE"""),"EKA Luminous")</f>
        <v>EKA Luminous</v>
      </c>
      <c r="D697" s="31"/>
      <c r="E697" s="31">
        <f>IFERROR(__xludf.DUMMYFUNCTION("""COMPUTED_VALUE"""),23.85943438096217)</f>
        <v>23.85943438</v>
      </c>
      <c r="F697" s="31">
        <f>IFERROR(__xludf.DUMMYFUNCTION("""COMPUTED_VALUE"""),-6.76280445661389)</f>
        <v>-6.762804457</v>
      </c>
      <c r="G697" s="31">
        <f>IFERROR(__xludf.DUMMYFUNCTION("""COMPUTED_VALUE"""),29.87269575280689)</f>
        <v>29.87269575</v>
      </c>
      <c r="H697" s="31">
        <f>IFERROR(__xludf.DUMMYFUNCTION("""COMPUTED_VALUE"""),-4.753230185517781)</f>
        <v>-4.753230186</v>
      </c>
      <c r="I697" s="54">
        <f>IFERROR(__xludf.DUMMYFUNCTION("""COMPUTED_VALUE"""),20.0)</f>
        <v>20</v>
      </c>
      <c r="J697" s="55">
        <f>IFERROR(__xludf.DUMMYFUNCTION("""COMPUTED_VALUE"""),12.0)</f>
        <v>12</v>
      </c>
      <c r="K697" s="54">
        <f>IFERROR(__xludf.DUMMYFUNCTION("""COMPUTED_VALUE"""),8.0)</f>
        <v>8</v>
      </c>
      <c r="L697" s="56">
        <f>IFERROR(__xludf.DUMMYFUNCTION("""COMPUTED_VALUE"""),0.6)</f>
        <v>0.6</v>
      </c>
      <c r="M697" s="56">
        <f>IFERROR(__xludf.DUMMYFUNCTION("""COMPUTED_VALUE"""),0.3478260869565218)</f>
        <v>0.347826087</v>
      </c>
      <c r="N697" s="31">
        <f>IFERROR(__xludf.DUMMYFUNCTION("""COMPUTED_VALUE"""),274.1)</f>
        <v>274.1</v>
      </c>
      <c r="O697" s="57">
        <f>IFERROR(__xludf.DUMMYFUNCTION("""COMPUTED_VALUE"""),0.4)</f>
        <v>0.4</v>
      </c>
      <c r="P697" s="57">
        <f>IFERROR(__xludf.DUMMYFUNCTION("""COMPUTED_VALUE"""),0.75)</f>
        <v>0.75</v>
      </c>
      <c r="Q697" s="57">
        <f>IFERROR(__xludf.DUMMYFUNCTION("""COMPUTED_VALUE"""),1.45)</f>
        <v>1.45</v>
      </c>
      <c r="R697" s="57">
        <f>IFERROR(__xludf.DUMMYFUNCTION("""COMPUTED_VALUE"""),1.15)</f>
        <v>1.15</v>
      </c>
      <c r="S697" s="31">
        <f>IFERROR(__xludf.DUMMYFUNCTION("""COMPUTED_VALUE"""),313.9)</f>
        <v>313.9</v>
      </c>
      <c r="T697" s="57">
        <f>IFERROR(__xludf.DUMMYFUNCTION("""COMPUTED_VALUE"""),0.6333333333333333)</f>
        <v>0.6333333333</v>
      </c>
      <c r="U697" s="57">
        <f>IFERROR(__xludf.DUMMYFUNCTION("""COMPUTED_VALUE"""),0.4833333333333333)</f>
        <v>0.4833333333</v>
      </c>
      <c r="V697" s="57">
        <f>IFERROR(__xludf.DUMMYFUNCTION("""COMPUTED_VALUE"""),1.15)</f>
        <v>1.15</v>
      </c>
      <c r="W697" s="57">
        <f>IFERROR(__xludf.DUMMYFUNCTION("""COMPUTED_VALUE"""),2.2833333333333337)</f>
        <v>2.283333333</v>
      </c>
      <c r="X697" s="31">
        <f>IFERROR(__xludf.DUMMYFUNCTION("""COMPUTED_VALUE"""),328.2561433696019)</f>
        <v>328.2561434</v>
      </c>
      <c r="Y697" s="57">
        <f>IFERROR(__xludf.DUMMYFUNCTION("""COMPUTED_VALUE"""),0.6668804674138381)</f>
        <v>0.6668804674</v>
      </c>
      <c r="Z697" s="57">
        <f>IFERROR(__xludf.DUMMYFUNCTION("""COMPUTED_VALUE"""),0.5076213508141048)</f>
        <v>0.5076213508</v>
      </c>
      <c r="AA697" s="57">
        <f>IFERROR(__xludf.DUMMYFUNCTION("""COMPUTED_VALUE"""),1.3384201987399595)</f>
        <v>1.338420199</v>
      </c>
      <c r="AB697" s="57">
        <f>IFERROR(__xludf.DUMMYFUNCTION("""COMPUTED_VALUE"""),2.410156458248981)</f>
        <v>2.410156458</v>
      </c>
      <c r="AC697" s="31">
        <f>IFERROR(__xludf.DUMMYFUNCTION("""COMPUTED_VALUE"""),363.086451820901)</f>
        <v>363.0864518</v>
      </c>
      <c r="AD697" s="57">
        <f>IFERROR(__xludf.DUMMYFUNCTION("""COMPUTED_VALUE"""),0.8712131616917294)</f>
        <v>0.8712131617</v>
      </c>
      <c r="AE697" s="57">
        <f>IFERROR(__xludf.DUMMYFUNCTION("""COMPUTED_VALUE"""),0.6374082062802601)</f>
        <v>0.6374082063</v>
      </c>
      <c r="AF697" s="57">
        <f>IFERROR(__xludf.DUMMYFUNCTION("""COMPUTED_VALUE"""),1.2959597260316005)</f>
        <v>1.295959726</v>
      </c>
      <c r="AG697" s="57">
        <f>IFERROR(__xludf.DUMMYFUNCTION("""COMPUTED_VALUE"""),2.714802101112089)</f>
        <v>2.714802101</v>
      </c>
      <c r="AH697" s="57">
        <f>IFERROR(__xludf.DUMMYFUNCTION("""COMPUTED_VALUE"""),0.7549166283274178)</f>
        <v>0.7549166283</v>
      </c>
      <c r="AI697" s="57">
        <f>IFERROR(__xludf.DUMMYFUNCTION("""COMPUTED_VALUE"""),0.45912988644854325)</f>
        <v>0.4591298864</v>
      </c>
      <c r="AJ697" s="57">
        <f>IFERROR(__xludf.DUMMYFUNCTION("""COMPUTED_VALUE"""),1.1766400128056005)</f>
        <v>1.176640013</v>
      </c>
      <c r="AK697" s="57">
        <f>IFERROR(__xludf.DUMMYFUNCTION("""COMPUTED_VALUE"""),1.1188619297916695)</f>
        <v>1.11886193</v>
      </c>
      <c r="AL697" s="57">
        <f>IFERROR(__xludf.DUMMYFUNCTION("""COMPUTED_VALUE"""),0.42360362087863235)</f>
        <v>0.4236036209</v>
      </c>
      <c r="AM697" s="57">
        <f>IFERROR(__xludf.DUMMYFUNCTION("""COMPUTED_VALUE"""),0.9562654236346233)</f>
        <v>0.9562654236</v>
      </c>
      <c r="AN697" s="57">
        <f>IFERROR(__xludf.DUMMYFUNCTION("""COMPUTED_VALUE"""),0.9496954316107045)</f>
        <v>0.9496954316</v>
      </c>
      <c r="AO697" s="57">
        <f>IFERROR(__xludf.DUMMYFUNCTION("""COMPUTED_VALUE"""),0.9521532783405993)</f>
        <v>0.9521532783</v>
      </c>
      <c r="AP697" s="35">
        <f>IFERROR(__xludf.DUMMYFUNCTION("""COMPUTED_VALUE"""),0.8592219402267347)</f>
        <v>0.8592219402</v>
      </c>
      <c r="AQ697" s="57">
        <f>IFERROR(__xludf.DUMMYFUNCTION("""COMPUTED_VALUE"""),0.9473797128474445)</f>
        <v>0.9473797128</v>
      </c>
      <c r="AR697" s="36" t="b">
        <f>IFERROR(__xludf.DUMMYFUNCTION("""COMPUTED_VALUE"""),TRUE)</f>
        <v>1</v>
      </c>
      <c r="AS697" s="57"/>
      <c r="AT697" s="37"/>
      <c r="AU697" s="30"/>
      <c r="AV697" s="30"/>
      <c r="AW697" s="30"/>
      <c r="AX697" s="30"/>
      <c r="AY697" s="30"/>
      <c r="AZ697" s="30"/>
    </row>
    <row r="698">
      <c r="A698" s="30" t="str">
        <f>IFERROR(__xludf.DUMMYFUNCTION("""COMPUTED_VALUE"""),"Rival")</f>
        <v>Rival</v>
      </c>
      <c r="B698" s="30" t="str">
        <f>IFERROR(__xludf.DUMMYFUNCTION("""COMPUTED_VALUE"""),"RSC004283")</f>
        <v>RSC004283</v>
      </c>
      <c r="C698" s="30" t="str">
        <f>IFERROR(__xludf.DUMMYFUNCTION("""COMPUTED_VALUE"""),"Tragic Event")</f>
        <v>Tragic Event</v>
      </c>
      <c r="D698" s="31" t="str">
        <f>IFERROR(__xludf.DUMMYFUNCTION("""COMPUTED_VALUE"""),"Quasars")</f>
        <v>Quasars</v>
      </c>
      <c r="E698" s="31">
        <f>IFERROR(__xludf.DUMMYFUNCTION("""COMPUTED_VALUE"""),23.4810245130187)</f>
        <v>23.48102451</v>
      </c>
      <c r="F698" s="31">
        <f>IFERROR(__xludf.DUMMYFUNCTION("""COMPUTED_VALUE"""),-6.925221413155836)</f>
        <v>-6.925221413</v>
      </c>
      <c r="G698" s="31">
        <f>IFERROR(__xludf.DUMMYFUNCTION("""COMPUTED_VALUE"""),17.055400261763232)</f>
        <v>17.05540026</v>
      </c>
      <c r="H698" s="31">
        <f>IFERROR(__xludf.DUMMYFUNCTION("""COMPUTED_VALUE"""),-10.662346624559353)</f>
        <v>-10.66234662</v>
      </c>
      <c r="I698" s="54">
        <f>IFERROR(__xludf.DUMMYFUNCTION("""COMPUTED_VALUE"""),8.0)</f>
        <v>8</v>
      </c>
      <c r="J698" s="55">
        <f>IFERROR(__xludf.DUMMYFUNCTION("""COMPUTED_VALUE"""),3.0)</f>
        <v>3</v>
      </c>
      <c r="K698" s="54">
        <f>IFERROR(__xludf.DUMMYFUNCTION("""COMPUTED_VALUE"""),5.0)</f>
        <v>5</v>
      </c>
      <c r="L698" s="56">
        <f>IFERROR(__xludf.DUMMYFUNCTION("""COMPUTED_VALUE"""),0.375)</f>
        <v>0.375</v>
      </c>
      <c r="M698" s="56">
        <f>IFERROR(__xludf.DUMMYFUNCTION("""COMPUTED_VALUE"""),0.35714285714285715)</f>
        <v>0.3571428571</v>
      </c>
      <c r="N698" s="31">
        <f>IFERROR(__xludf.DUMMYFUNCTION("""COMPUTED_VALUE"""),246.125)</f>
        <v>246.125</v>
      </c>
      <c r="O698" s="57">
        <f>IFERROR(__xludf.DUMMYFUNCTION("""COMPUTED_VALUE"""),0.625)</f>
        <v>0.625</v>
      </c>
      <c r="P698" s="57">
        <f>IFERROR(__xludf.DUMMYFUNCTION("""COMPUTED_VALUE"""),0.25)</f>
        <v>0.25</v>
      </c>
      <c r="Q698" s="57">
        <f>IFERROR(__xludf.DUMMYFUNCTION("""COMPUTED_VALUE"""),1.0)</f>
        <v>1</v>
      </c>
      <c r="R698" s="57">
        <f>IFERROR(__xludf.DUMMYFUNCTION("""COMPUTED_VALUE"""),1.75)</f>
        <v>1.75</v>
      </c>
      <c r="S698" s="31">
        <f>IFERROR(__xludf.DUMMYFUNCTION("""COMPUTED_VALUE"""),313.7083333333333)</f>
        <v>313.7083333</v>
      </c>
      <c r="T698" s="57">
        <f>IFERROR(__xludf.DUMMYFUNCTION("""COMPUTED_VALUE"""),0.7083333333333333)</f>
        <v>0.7083333333</v>
      </c>
      <c r="U698" s="57">
        <f>IFERROR(__xludf.DUMMYFUNCTION("""COMPUTED_VALUE"""),0.5416666666666666)</f>
        <v>0.5416666667</v>
      </c>
      <c r="V698" s="57">
        <f>IFERROR(__xludf.DUMMYFUNCTION("""COMPUTED_VALUE"""),1.0833333333333333)</f>
        <v>1.083333333</v>
      </c>
      <c r="W698" s="57">
        <f>IFERROR(__xludf.DUMMYFUNCTION("""COMPUTED_VALUE"""),2.416666666666667)</f>
        <v>2.416666667</v>
      </c>
      <c r="X698" s="31">
        <f>IFERROR(__xludf.DUMMYFUNCTION("""COMPUTED_VALUE"""),359.9397426647427)</f>
        <v>359.9397427</v>
      </c>
      <c r="Y698" s="57">
        <f>IFERROR(__xludf.DUMMYFUNCTION("""COMPUTED_VALUE"""),0.8135401635401638)</f>
        <v>0.8135401635</v>
      </c>
      <c r="Z698" s="57">
        <f>IFERROR(__xludf.DUMMYFUNCTION("""COMPUTED_VALUE"""),0.6133718133718133)</f>
        <v>0.6133718134</v>
      </c>
      <c r="AA698" s="57">
        <f>IFERROR(__xludf.DUMMYFUNCTION("""COMPUTED_VALUE"""),1.2806277056277058)</f>
        <v>1.280627706</v>
      </c>
      <c r="AB698" s="57">
        <f>IFERROR(__xludf.DUMMYFUNCTION("""COMPUTED_VALUE"""),2.6814514189514194)</f>
        <v>2.681451419</v>
      </c>
      <c r="AC698" s="31">
        <f>IFERROR(__xludf.DUMMYFUNCTION("""COMPUTED_VALUE"""),348.1828843995511)</f>
        <v>348.1828844</v>
      </c>
      <c r="AD698" s="57">
        <f>IFERROR(__xludf.DUMMYFUNCTION("""COMPUTED_VALUE"""),0.7855459355459355)</f>
        <v>0.7855459355</v>
      </c>
      <c r="AE698" s="57">
        <f>IFERROR(__xludf.DUMMYFUNCTION("""COMPUTED_VALUE"""),0.5454024370691036)</f>
        <v>0.5454024371</v>
      </c>
      <c r="AF698" s="57">
        <f>IFERROR(__xludf.DUMMYFUNCTION("""COMPUTED_VALUE"""),1.3387646304312972)</f>
        <v>1.33876463</v>
      </c>
      <c r="AG698" s="57">
        <f>IFERROR(__xludf.DUMMYFUNCTION("""COMPUTED_VALUE"""),2.507982603815937)</f>
        <v>2.507982604</v>
      </c>
      <c r="AH698" s="57">
        <f>IFERROR(__xludf.DUMMYFUNCTION("""COMPUTED_VALUE"""),0.7068842583243226)</f>
        <v>0.7068842583</v>
      </c>
      <c r="AI698" s="57">
        <f>IFERROR(__xludf.DUMMYFUNCTION("""COMPUTED_VALUE"""),0.7956250191348009)</f>
        <v>0.7956250191</v>
      </c>
      <c r="AJ698" s="57">
        <f>IFERROR(__xludf.DUMMYFUNCTION("""COMPUTED_VALUE"""),0.4583771230349755)</f>
        <v>0.458377123</v>
      </c>
      <c r="AK698" s="57">
        <f>IFERROR(__xludf.DUMMYFUNCTION("""COMPUTED_VALUE"""),0.746957289779787)</f>
        <v>0.7469572898</v>
      </c>
      <c r="AL698" s="57">
        <f>IFERROR(__xludf.DUMMYFUNCTION("""COMPUTED_VALUE"""),0.6977719850757123)</f>
        <v>0.6977719851</v>
      </c>
      <c r="AM698" s="57">
        <f>IFERROR(__xludf.DUMMYFUNCTION("""COMPUTED_VALUE"""),0.8715579196974907)</f>
        <v>0.8715579197</v>
      </c>
      <c r="AN698" s="57">
        <f>IFERROR(__xludf.DUMMYFUNCTION("""COMPUTED_VALUE"""),0.8706802258550859)</f>
        <v>0.8706802259</v>
      </c>
      <c r="AO698" s="57">
        <f>IFERROR(__xludf.DUMMYFUNCTION("""COMPUTED_VALUE"""),0.8830967691342534)</f>
        <v>0.8830967691</v>
      </c>
      <c r="AP698" s="35">
        <f>IFERROR(__xludf.DUMMYFUNCTION("""COMPUTED_VALUE"""),0.845939322234429)</f>
        <v>0.8459393222</v>
      </c>
      <c r="AQ698" s="57">
        <f>IFERROR(__xludf.DUMMYFUNCTION("""COMPUTED_VALUE"""),0.9012531980205346)</f>
        <v>0.901253198</v>
      </c>
      <c r="AR698" s="36" t="b">
        <f>IFERROR(__xludf.DUMMYFUNCTION("""COMPUTED_VALUE"""),TRUE)</f>
        <v>1</v>
      </c>
      <c r="AS698" s="57"/>
      <c r="AT698" s="37"/>
      <c r="AU698" s="30"/>
      <c r="AV698" s="30"/>
      <c r="AW698" s="30"/>
      <c r="AX698" s="30"/>
      <c r="AY698" s="30"/>
      <c r="AZ698" s="30"/>
    </row>
    <row r="699">
      <c r="A699" s="30" t="str">
        <f>IFERROR(__xludf.DUMMYFUNCTION("""COMPUTED_VALUE"""),"Rival")</f>
        <v>Rival</v>
      </c>
      <c r="B699" s="30" t="str">
        <f>IFERROR(__xludf.DUMMYFUNCTION("""COMPUTED_VALUE"""),"RSC005386")</f>
        <v>RSC005386</v>
      </c>
      <c r="C699" s="30" t="str">
        <f>IFERROR(__xludf.DUMMYFUNCTION("""COMPUTED_VALUE"""),"danub")</f>
        <v>danub</v>
      </c>
      <c r="D699" s="31" t="str">
        <f>IFERROR(__xludf.DUMMYFUNCTION("""COMPUTED_VALUE"""),"Phantoms")</f>
        <v>Phantoms</v>
      </c>
      <c r="E699" s="31">
        <f>IFERROR(__xludf.DUMMYFUNCTION("""COMPUTED_VALUE"""),22.68432805643228)</f>
        <v>22.68432806</v>
      </c>
      <c r="F699" s="31">
        <f>IFERROR(__xludf.DUMMYFUNCTION("""COMPUTED_VALUE"""),-7.284444453644162)</f>
        <v>-7.284444454</v>
      </c>
      <c r="G699" s="31">
        <f>IFERROR(__xludf.DUMMYFUNCTION("""COMPUTED_VALUE"""),23.921701298584807)</f>
        <v>23.9217013</v>
      </c>
      <c r="H699" s="31">
        <f>IFERROR(__xludf.DUMMYFUNCTION("""COMPUTED_VALUE"""),-6.736565587184367)</f>
        <v>-6.736565587</v>
      </c>
      <c r="I699" s="54">
        <f>IFERROR(__xludf.DUMMYFUNCTION("""COMPUTED_VALUE"""),34.0)</f>
        <v>34</v>
      </c>
      <c r="J699" s="55">
        <f>IFERROR(__xludf.DUMMYFUNCTION("""COMPUTED_VALUE"""),11.0)</f>
        <v>11</v>
      </c>
      <c r="K699" s="54">
        <f>IFERROR(__xludf.DUMMYFUNCTION("""COMPUTED_VALUE"""),23.0)</f>
        <v>23</v>
      </c>
      <c r="L699" s="56">
        <f>IFERROR(__xludf.DUMMYFUNCTION("""COMPUTED_VALUE"""),0.3235294117647059)</f>
        <v>0.3235294118</v>
      </c>
      <c r="M699" s="56">
        <f>IFERROR(__xludf.DUMMYFUNCTION("""COMPUTED_VALUE"""),0.3181818181818182)</f>
        <v>0.3181818182</v>
      </c>
      <c r="N699" s="31">
        <f>IFERROR(__xludf.DUMMYFUNCTION("""COMPUTED_VALUE"""),297.88235294117646)</f>
        <v>297.8823529</v>
      </c>
      <c r="O699" s="57">
        <f>IFERROR(__xludf.DUMMYFUNCTION("""COMPUTED_VALUE"""),0.6176470588235294)</f>
        <v>0.6176470588</v>
      </c>
      <c r="P699" s="57">
        <f>IFERROR(__xludf.DUMMYFUNCTION("""COMPUTED_VALUE"""),0.3235294117647059)</f>
        <v>0.3235294118</v>
      </c>
      <c r="Q699" s="57">
        <f>IFERROR(__xludf.DUMMYFUNCTION("""COMPUTED_VALUE"""),1.2647058823529411)</f>
        <v>1.264705882</v>
      </c>
      <c r="R699" s="57">
        <f>IFERROR(__xludf.DUMMYFUNCTION("""COMPUTED_VALUE"""),1.9411764705882353)</f>
        <v>1.941176471</v>
      </c>
      <c r="S699" s="31">
        <f>IFERROR(__xludf.DUMMYFUNCTION("""COMPUTED_VALUE"""),372.9019607843136)</f>
        <v>372.9019608</v>
      </c>
      <c r="T699" s="57">
        <f>IFERROR(__xludf.DUMMYFUNCTION("""COMPUTED_VALUE"""),1.0000000000000002)</f>
        <v>1</v>
      </c>
      <c r="U699" s="57">
        <f>IFERROR(__xludf.DUMMYFUNCTION("""COMPUTED_VALUE"""),0.7352941176470589)</f>
        <v>0.7352941176</v>
      </c>
      <c r="V699" s="57">
        <f>IFERROR(__xludf.DUMMYFUNCTION("""COMPUTED_VALUE"""),1.2254901960784315)</f>
        <v>1.225490196</v>
      </c>
      <c r="W699" s="57">
        <f>IFERROR(__xludf.DUMMYFUNCTION("""COMPUTED_VALUE"""),2.9313725490196076)</f>
        <v>2.931372549</v>
      </c>
      <c r="X699" s="31">
        <f>IFERROR(__xludf.DUMMYFUNCTION("""COMPUTED_VALUE"""),353.1209988819091)</f>
        <v>353.1209989</v>
      </c>
      <c r="Y699" s="57">
        <f>IFERROR(__xludf.DUMMYFUNCTION("""COMPUTED_VALUE"""),0.8122499101128603)</f>
        <v>0.8122499101</v>
      </c>
      <c r="Z699" s="57">
        <f>IFERROR(__xludf.DUMMYFUNCTION("""COMPUTED_VALUE"""),0.5737612450007585)</f>
        <v>0.573761245</v>
      </c>
      <c r="AA699" s="57">
        <f>IFERROR(__xludf.DUMMYFUNCTION("""COMPUTED_VALUE"""),1.3070167461562983)</f>
        <v>1.307016746</v>
      </c>
      <c r="AB699" s="57">
        <f>IFERROR(__xludf.DUMMYFUNCTION("""COMPUTED_VALUE"""),2.6690535363154053)</f>
        <v>2.669053536</v>
      </c>
      <c r="AC699" s="31">
        <f>IFERROR(__xludf.DUMMYFUNCTION("""COMPUTED_VALUE"""),344.38457718861514)</f>
        <v>344.3845772</v>
      </c>
      <c r="AD699" s="57">
        <f>IFERROR(__xludf.DUMMYFUNCTION("""COMPUTED_VALUE"""),0.7529101589945231)</f>
        <v>0.752910159</v>
      </c>
      <c r="AE699" s="57">
        <f>IFERROR(__xludf.DUMMYFUNCTION("""COMPUTED_VALUE"""),0.5444088166763329)</f>
        <v>0.5444088167</v>
      </c>
      <c r="AF699" s="57">
        <f>IFERROR(__xludf.DUMMYFUNCTION("""COMPUTED_VALUE"""),1.3460746239227894)</f>
        <v>1.346074624</v>
      </c>
      <c r="AG699" s="57">
        <f>IFERROR(__xludf.DUMMYFUNCTION("""COMPUTED_VALUE"""),2.534163526929716)</f>
        <v>2.534163527</v>
      </c>
      <c r="AH699" s="57">
        <f>IFERROR(__xludf.DUMMYFUNCTION("""COMPUTED_VALUE"""),0.8649700732040332)</f>
        <v>0.8649700732</v>
      </c>
      <c r="AI699" s="57">
        <f>IFERROR(__xludf.DUMMYFUNCTION("""COMPUTED_VALUE"""),0.8203462942356479)</f>
        <v>0.8203462942</v>
      </c>
      <c r="AJ699" s="57">
        <f>IFERROR(__xludf.DUMMYFUNCTION("""COMPUTED_VALUE"""),0.5942765837994385)</f>
        <v>0.5942765838</v>
      </c>
      <c r="AK699" s="57">
        <f>IFERROR(__xludf.DUMMYFUNCTION("""COMPUTED_VALUE"""),0.939551091652913)</f>
        <v>0.9395510917</v>
      </c>
      <c r="AL699" s="57">
        <f>IFERROR(__xludf.DUMMYFUNCTION("""COMPUTED_VALUE"""),0.7660028447098999)</f>
        <v>0.7660028447</v>
      </c>
      <c r="AM699" s="57">
        <f>IFERROR(__xludf.DUMMYFUNCTION("""COMPUTED_VALUE"""),1.0560175179755302)</f>
        <v>1.056017518</v>
      </c>
      <c r="AN699" s="57">
        <f>IFERROR(__xludf.DUMMYFUNCTION("""COMPUTED_VALUE"""),1.2311481817967238)</f>
        <v>1.231148182</v>
      </c>
      <c r="AO699" s="57">
        <f>IFERROR(__xludf.DUMMYFUNCTION("""COMPUTED_VALUE"""),1.2815332580472332)</f>
        <v>1.281533258</v>
      </c>
      <c r="AP699" s="35">
        <f>IFERROR(__xludf.DUMMYFUNCTION("""COMPUTED_VALUE"""),0.9376239437500539)</f>
        <v>0.9376239438</v>
      </c>
      <c r="AQ699" s="57">
        <f>IFERROR(__xludf.DUMMYFUNCTION("""COMPUTED_VALUE"""),1.0982816601971688)</f>
        <v>1.09828166</v>
      </c>
      <c r="AR699" s="36" t="b">
        <f>IFERROR(__xludf.DUMMYFUNCTION("""COMPUTED_VALUE"""),TRUE)</f>
        <v>1</v>
      </c>
      <c r="AS699" s="57"/>
      <c r="AT699" s="37"/>
      <c r="AU699" s="30"/>
      <c r="AV699" s="30"/>
      <c r="AW699" s="30"/>
      <c r="AX699" s="30"/>
      <c r="AY699" s="30"/>
      <c r="AZ699" s="30"/>
    </row>
    <row r="700">
      <c r="A700" s="30" t="str">
        <f>IFERROR(__xludf.DUMMYFUNCTION("""COMPUTED_VALUE"""),"Rival")</f>
        <v>Rival</v>
      </c>
      <c r="B700" s="30" t="str">
        <f>IFERROR(__xludf.DUMMYFUNCTION("""COMPUTED_VALUE"""),"RSC002177")</f>
        <v>RSC002177</v>
      </c>
      <c r="C700" s="30" t="str">
        <f>IFERROR(__xludf.DUMMYFUNCTION("""COMPUTED_VALUE"""),"Slygo21")</f>
        <v>Slygo21</v>
      </c>
      <c r="D700" s="31" t="str">
        <f>IFERROR(__xludf.DUMMYFUNCTION("""COMPUTED_VALUE"""),"Ruthless Racket")</f>
        <v>Ruthless Racket</v>
      </c>
      <c r="E700" s="31">
        <f>IFERROR(__xludf.DUMMYFUNCTION("""COMPUTED_VALUE"""),22.54070475284511)</f>
        <v>22.54070475</v>
      </c>
      <c r="F700" s="31">
        <f>IFERROR(__xludf.DUMMYFUNCTION("""COMPUTED_VALUE"""),-7.351801464539678)</f>
        <v>-7.351801465</v>
      </c>
      <c r="G700" s="31">
        <f>IFERROR(__xludf.DUMMYFUNCTION("""COMPUTED_VALUE"""),29.1168004861272)</f>
        <v>29.11680049</v>
      </c>
      <c r="H700" s="31">
        <f>IFERROR(__xludf.DUMMYFUNCTION("""COMPUTED_VALUE"""),-4.956223322880738)</f>
        <v>-4.956223323</v>
      </c>
      <c r="I700" s="54">
        <f>IFERROR(__xludf.DUMMYFUNCTION("""COMPUTED_VALUE"""),43.0)</f>
        <v>43</v>
      </c>
      <c r="J700" s="55">
        <f>IFERROR(__xludf.DUMMYFUNCTION("""COMPUTED_VALUE"""),15.0)</f>
        <v>15</v>
      </c>
      <c r="K700" s="54">
        <f>IFERROR(__xludf.DUMMYFUNCTION("""COMPUTED_VALUE"""),28.0)</f>
        <v>28</v>
      </c>
      <c r="L700" s="56">
        <f>IFERROR(__xludf.DUMMYFUNCTION("""COMPUTED_VALUE"""),0.3488372093023256)</f>
        <v>0.3488372093</v>
      </c>
      <c r="M700" s="56">
        <f>IFERROR(__xludf.DUMMYFUNCTION("""COMPUTED_VALUE"""),0.2876712328767123)</f>
        <v>0.2876712329</v>
      </c>
      <c r="N700" s="31">
        <f>IFERROR(__xludf.DUMMYFUNCTION("""COMPUTED_VALUE"""),311.3255813953488)</f>
        <v>311.3255814</v>
      </c>
      <c r="O700" s="57">
        <f>IFERROR(__xludf.DUMMYFUNCTION("""COMPUTED_VALUE"""),0.4883720930232558)</f>
        <v>0.488372093</v>
      </c>
      <c r="P700" s="57">
        <f>IFERROR(__xludf.DUMMYFUNCTION("""COMPUTED_VALUE"""),0.37209302325581395)</f>
        <v>0.3720930233</v>
      </c>
      <c r="Q700" s="57">
        <f>IFERROR(__xludf.DUMMYFUNCTION("""COMPUTED_VALUE"""),1.5348837209302326)</f>
        <v>1.534883721</v>
      </c>
      <c r="R700" s="57">
        <f>IFERROR(__xludf.DUMMYFUNCTION("""COMPUTED_VALUE"""),1.697674418604651)</f>
        <v>1.697674419</v>
      </c>
      <c r="S700" s="31">
        <f>IFERROR(__xludf.DUMMYFUNCTION("""COMPUTED_VALUE"""),347.51162790697674)</f>
        <v>347.5116279</v>
      </c>
      <c r="T700" s="57">
        <f>IFERROR(__xludf.DUMMYFUNCTION("""COMPUTED_VALUE"""),0.8372093023255812)</f>
        <v>0.8372093023</v>
      </c>
      <c r="U700" s="57">
        <f>IFERROR(__xludf.DUMMYFUNCTION("""COMPUTED_VALUE"""),0.5968992248062015)</f>
        <v>0.5968992248</v>
      </c>
      <c r="V700" s="57">
        <f>IFERROR(__xludf.DUMMYFUNCTION("""COMPUTED_VALUE"""),1.0930232558139534)</f>
        <v>1.093023256</v>
      </c>
      <c r="W700" s="57">
        <f>IFERROR(__xludf.DUMMYFUNCTION("""COMPUTED_VALUE"""),2.8294573643410854)</f>
        <v>2.829457364</v>
      </c>
      <c r="X700" s="31">
        <f>IFERROR(__xludf.DUMMYFUNCTION("""COMPUTED_VALUE"""),344.6528009233798)</f>
        <v>344.6528009</v>
      </c>
      <c r="Y700" s="57">
        <f>IFERROR(__xludf.DUMMYFUNCTION("""COMPUTED_VALUE"""),0.8076916538635617)</f>
        <v>0.8076916539</v>
      </c>
      <c r="Z700" s="57">
        <f>IFERROR(__xludf.DUMMYFUNCTION("""COMPUTED_VALUE"""),0.5652401454997349)</f>
        <v>0.5652401455</v>
      </c>
      <c r="AA700" s="57">
        <f>IFERROR(__xludf.DUMMYFUNCTION("""COMPUTED_VALUE"""),1.215838603390145)</f>
        <v>1.215838603</v>
      </c>
      <c r="AB700" s="57">
        <f>IFERROR(__xludf.DUMMYFUNCTION("""COMPUTED_VALUE"""),2.6331908791292453)</f>
        <v>2.633190879</v>
      </c>
      <c r="AC700" s="31">
        <f>IFERROR(__xludf.DUMMYFUNCTION("""COMPUTED_VALUE"""),342.78884370429785)</f>
        <v>342.7888437</v>
      </c>
      <c r="AD700" s="57">
        <f>IFERROR(__xludf.DUMMYFUNCTION("""COMPUTED_VALUE"""),0.7567029492049845)</f>
        <v>0.7567029492</v>
      </c>
      <c r="AE700" s="57">
        <f>IFERROR(__xludf.DUMMYFUNCTION("""COMPUTED_VALUE"""),0.5462352956181158)</f>
        <v>0.5462352956</v>
      </c>
      <c r="AF700" s="57">
        <f>IFERROR(__xludf.DUMMYFUNCTION("""COMPUTED_VALUE"""),1.3347612437811562)</f>
        <v>1.334761244</v>
      </c>
      <c r="AG700" s="57">
        <f>IFERROR(__xludf.DUMMYFUNCTION("""COMPUTED_VALUE"""),2.441176451977841)</f>
        <v>2.441176452</v>
      </c>
      <c r="AH700" s="57">
        <f>IFERROR(__xludf.DUMMYFUNCTION("""COMPUTED_VALUE"""),0.9082138672631646)</f>
        <v>0.9082138673</v>
      </c>
      <c r="AI700" s="57">
        <f>IFERROR(__xludf.DUMMYFUNCTION("""COMPUTED_VALUE"""),0.645394726604878)</f>
        <v>0.6453947266</v>
      </c>
      <c r="AJ700" s="57">
        <f>IFERROR(__xludf.DUMMYFUNCTION("""COMPUTED_VALUE"""),0.6811954962279694)</f>
        <v>0.6811954962</v>
      </c>
      <c r="AK700" s="57">
        <f>IFERROR(__xludf.DUMMYFUNCTION("""COMPUTED_VALUE"""),1.149931291518596)</f>
        <v>1.149931292</v>
      </c>
      <c r="AL700" s="57">
        <f>IFERROR(__xludf.DUMMYFUNCTION("""COMPUTED_VALUE"""),0.6954328996698274)</f>
        <v>0.6954328997</v>
      </c>
      <c r="AM700" s="57">
        <f>IFERROR(__xludf.DUMMYFUNCTION("""COMPUTED_VALUE"""),1.0082948026998118)</f>
        <v>1.008294803</v>
      </c>
      <c r="AN700" s="57">
        <f>IFERROR(__xludf.DUMMYFUNCTION("""COMPUTED_VALUE"""),1.0365456895844138)</f>
        <v>1.03654569</v>
      </c>
      <c r="AO700" s="57">
        <f>IFERROR(__xludf.DUMMYFUNCTION("""COMPUTED_VALUE"""),1.0560099624177905)</f>
        <v>1.056009962</v>
      </c>
      <c r="AP700" s="35">
        <f>IFERROR(__xludf.DUMMYFUNCTION("""COMPUTED_VALUE"""),0.8989871293494521)</f>
        <v>0.8989871293</v>
      </c>
      <c r="AQ700" s="57">
        <f>IFERROR(__xludf.DUMMYFUNCTION("""COMPUTED_VALUE"""),1.074535608780759)</f>
        <v>1.074535609</v>
      </c>
      <c r="AR700" s="36" t="b">
        <f>IFERROR(__xludf.DUMMYFUNCTION("""COMPUTED_VALUE"""),TRUE)</f>
        <v>1</v>
      </c>
      <c r="AS700" s="57"/>
      <c r="AT700" s="37"/>
      <c r="AU700" s="30"/>
      <c r="AV700" s="30"/>
      <c r="AW700" s="30"/>
      <c r="AX700" s="30"/>
      <c r="AY700" s="30"/>
      <c r="AZ700" s="30"/>
    </row>
    <row r="701">
      <c r="A701" s="30" t="str">
        <f>IFERROR(__xludf.DUMMYFUNCTION("""COMPUTED_VALUE"""),"Rival")</f>
        <v>Rival</v>
      </c>
      <c r="B701" s="30" t="str">
        <f>IFERROR(__xludf.DUMMYFUNCTION("""COMPUTED_VALUE"""),"RSC005513")</f>
        <v>RSC005513</v>
      </c>
      <c r="C701" s="30" t="str">
        <f>IFERROR(__xludf.DUMMYFUNCTION("""COMPUTED_VALUE"""),"TV_ImpactReapz")</f>
        <v>TV_ImpactReapz</v>
      </c>
      <c r="D701" s="31" t="str">
        <f>IFERROR(__xludf.DUMMYFUNCTION("""COMPUTED_VALUE"""),"Nightfall")</f>
        <v>Nightfall</v>
      </c>
      <c r="E701" s="31">
        <f>IFERROR(__xludf.DUMMYFUNCTION("""COMPUTED_VALUE"""),21.77307797154071)</f>
        <v>21.77307797</v>
      </c>
      <c r="F701" s="31">
        <f>IFERROR(__xludf.DUMMYFUNCTION("""COMPUTED_VALUE"""),-7.726022778433976)</f>
        <v>-7.726022778</v>
      </c>
      <c r="G701" s="31">
        <f>IFERROR(__xludf.DUMMYFUNCTION("""COMPUTED_VALUE"""),34.14523500771572)</f>
        <v>34.14523501</v>
      </c>
      <c r="H701" s="31">
        <f>IFERROR(__xludf.DUMMYFUNCTION("""COMPUTED_VALUE"""),-3.8025962643412674)</f>
        <v>-3.802596264</v>
      </c>
      <c r="I701" s="54">
        <f>IFERROR(__xludf.DUMMYFUNCTION("""COMPUTED_VALUE"""),12.0)</f>
        <v>12</v>
      </c>
      <c r="J701" s="55">
        <f>IFERROR(__xludf.DUMMYFUNCTION("""COMPUTED_VALUE"""),4.0)</f>
        <v>4</v>
      </c>
      <c r="K701" s="54">
        <f>IFERROR(__xludf.DUMMYFUNCTION("""COMPUTED_VALUE"""),8.0)</f>
        <v>8</v>
      </c>
      <c r="L701" s="56">
        <f>IFERROR(__xludf.DUMMYFUNCTION("""COMPUTED_VALUE"""),0.3333333333333333)</f>
        <v>0.3333333333</v>
      </c>
      <c r="M701" s="56">
        <f>IFERROR(__xludf.DUMMYFUNCTION("""COMPUTED_VALUE"""),0.2608695652173913)</f>
        <v>0.2608695652</v>
      </c>
      <c r="N701" s="31">
        <f>IFERROR(__xludf.DUMMYFUNCTION("""COMPUTED_VALUE"""),267.5833333333333)</f>
        <v>267.5833333</v>
      </c>
      <c r="O701" s="57">
        <f>IFERROR(__xludf.DUMMYFUNCTION("""COMPUTED_VALUE"""),0.5)</f>
        <v>0.5</v>
      </c>
      <c r="P701" s="57">
        <f>IFERROR(__xludf.DUMMYFUNCTION("""COMPUTED_VALUE"""),0.3333333333333333)</f>
        <v>0.3333333333</v>
      </c>
      <c r="Q701" s="57">
        <f>IFERROR(__xludf.DUMMYFUNCTION("""COMPUTED_VALUE"""),1.3333333333333333)</f>
        <v>1.333333333</v>
      </c>
      <c r="R701" s="57">
        <f>IFERROR(__xludf.DUMMYFUNCTION("""COMPUTED_VALUE"""),1.9166666666666667)</f>
        <v>1.916666667</v>
      </c>
      <c r="S701" s="31">
        <f>IFERROR(__xludf.DUMMYFUNCTION("""COMPUTED_VALUE"""),334.27777777777777)</f>
        <v>334.2777778</v>
      </c>
      <c r="T701" s="57">
        <f>IFERROR(__xludf.DUMMYFUNCTION("""COMPUTED_VALUE"""),0.7777777777777777)</f>
        <v>0.7777777778</v>
      </c>
      <c r="U701" s="57">
        <f>IFERROR(__xludf.DUMMYFUNCTION("""COMPUTED_VALUE"""),0.5833333333333334)</f>
        <v>0.5833333333</v>
      </c>
      <c r="V701" s="57">
        <f>IFERROR(__xludf.DUMMYFUNCTION("""COMPUTED_VALUE"""),1.0833333333333333)</f>
        <v>1.083333333</v>
      </c>
      <c r="W701" s="57">
        <f>IFERROR(__xludf.DUMMYFUNCTION("""COMPUTED_VALUE"""),2.0833333333333335)</f>
        <v>2.083333333</v>
      </c>
      <c r="X701" s="31">
        <f>IFERROR(__xludf.DUMMYFUNCTION("""COMPUTED_VALUE"""),347.13196801601043)</f>
        <v>347.131968</v>
      </c>
      <c r="Y701" s="57">
        <f>IFERROR(__xludf.DUMMYFUNCTION("""COMPUTED_VALUE"""),0.787843045881524)</f>
        <v>0.7878430459</v>
      </c>
      <c r="Z701" s="57">
        <f>IFERROR(__xludf.DUMMYFUNCTION("""COMPUTED_VALUE"""),0.5825833050745132)</f>
        <v>0.5825833051</v>
      </c>
      <c r="AA701" s="57">
        <f>IFERROR(__xludf.DUMMYFUNCTION("""COMPUTED_VALUE"""),1.2351020149391598)</f>
        <v>1.235102015</v>
      </c>
      <c r="AB701" s="57">
        <f>IFERROR(__xludf.DUMMYFUNCTION("""COMPUTED_VALUE"""),2.6017359515437053)</f>
        <v>2.601735952</v>
      </c>
      <c r="AC701" s="31">
        <f>IFERROR(__xludf.DUMMYFUNCTION("""COMPUTED_VALUE"""),354.0253953680165)</f>
        <v>354.0253954</v>
      </c>
      <c r="AD701" s="57">
        <f>IFERROR(__xludf.DUMMYFUNCTION("""COMPUTED_VALUE"""),0.8078612784698995)</f>
        <v>0.8078612785</v>
      </c>
      <c r="AE701" s="57">
        <f>IFERROR(__xludf.DUMMYFUNCTION("""COMPUTED_VALUE"""),0.5503720868189083)</f>
        <v>0.5503720868</v>
      </c>
      <c r="AF701" s="57">
        <f>IFERROR(__xludf.DUMMYFUNCTION("""COMPUTED_VALUE"""),1.3656016429778914)</f>
        <v>1.365601643</v>
      </c>
      <c r="AG701" s="57">
        <f>IFERROR(__xludf.DUMMYFUNCTION("""COMPUTED_VALUE"""),2.6036598987988797)</f>
        <v>2.603659899</v>
      </c>
      <c r="AH701" s="57">
        <f>IFERROR(__xludf.DUMMYFUNCTION("""COMPUTED_VALUE"""),0.755830900365707)</f>
        <v>0.7558309004</v>
      </c>
      <c r="AI701" s="57">
        <f>IFERROR(__xludf.DUMMYFUNCTION("""COMPUTED_VALUE"""),0.6189181401873932)</f>
        <v>0.6189181402</v>
      </c>
      <c r="AJ701" s="57">
        <f>IFERROR(__xludf.DUMMYFUNCTION("""COMPUTED_VALUE"""),0.6056508702321084)</f>
        <v>0.6056508702</v>
      </c>
      <c r="AK701" s="57">
        <f>IFERROR(__xludf.DUMMYFUNCTION("""COMPUTED_VALUE"""),0.9763706276933056)</f>
        <v>0.9763706277</v>
      </c>
      <c r="AL701" s="57">
        <f>IFERROR(__xludf.DUMMYFUNCTION("""COMPUTED_VALUE"""),0.7361432526386658)</f>
        <v>0.7361432526</v>
      </c>
      <c r="AM701" s="57">
        <f>IFERROR(__xludf.DUMMYFUNCTION("""COMPUTED_VALUE"""),0.9629703069074877)</f>
        <v>0.9629703069</v>
      </c>
      <c r="AN701" s="57">
        <f>IFERROR(__xludf.DUMMYFUNCTION("""COMPUTED_VALUE"""),0.9872242724532979)</f>
        <v>0.9872242725</v>
      </c>
      <c r="AO701" s="57">
        <f>IFERROR(__xludf.DUMMYFUNCTION("""COMPUTED_VALUE"""),1.0012874180435436)</f>
        <v>1.001287418</v>
      </c>
      <c r="AP701" s="35">
        <f>IFERROR(__xludf.DUMMYFUNCTION("""COMPUTED_VALUE"""),0.877120529502737)</f>
        <v>0.8771205295</v>
      </c>
      <c r="AQ701" s="57">
        <f>IFERROR(__xludf.DUMMYFUNCTION("""COMPUTED_VALUE"""),0.8007474133173336)</f>
        <v>0.8007474133</v>
      </c>
      <c r="AR701" s="36" t="b">
        <f>IFERROR(__xludf.DUMMYFUNCTION("""COMPUTED_VALUE"""),TRUE)</f>
        <v>1</v>
      </c>
      <c r="AS701" s="57"/>
      <c r="AT701" s="37"/>
      <c r="AU701" s="30"/>
      <c r="AV701" s="30"/>
      <c r="AW701" s="30"/>
      <c r="AX701" s="30"/>
      <c r="AY701" s="30"/>
      <c r="AZ701" s="30"/>
    </row>
    <row r="702">
      <c r="A702" s="30" t="str">
        <f>IFERROR(__xludf.DUMMYFUNCTION("""COMPUTED_VALUE"""),"Rival")</f>
        <v>Rival</v>
      </c>
      <c r="B702" s="30" t="str">
        <f>IFERROR(__xludf.DUMMYFUNCTION("""COMPUTED_VALUE"""),"RSC006910")</f>
        <v>RSC006910</v>
      </c>
      <c r="C702" s="30" t="str">
        <f>IFERROR(__xludf.DUMMYFUNCTION("""COMPUTED_VALUE"""),"Swanny2.0")</f>
        <v>Swanny2.0</v>
      </c>
      <c r="D702" s="31" t="str">
        <f>IFERROR(__xludf.DUMMYFUNCTION("""COMPUTED_VALUE"""),"Hue Heroes")</f>
        <v>Hue Heroes</v>
      </c>
      <c r="E702" s="31">
        <f>IFERROR(__xludf.DUMMYFUNCTION("""COMPUTED_VALUE"""),21.221320467774763)</f>
        <v>21.22132047</v>
      </c>
      <c r="F702" s="31">
        <f>IFERROR(__xludf.DUMMYFUNCTION("""COMPUTED_VALUE"""),-8.010519720747112)</f>
        <v>-8.010519721</v>
      </c>
      <c r="G702" s="31">
        <f>IFERROR(__xludf.DUMMYFUNCTION("""COMPUTED_VALUE"""),26.850280314204667)</f>
        <v>26.85028031</v>
      </c>
      <c r="H702" s="31">
        <f>IFERROR(__xludf.DUMMYFUNCTION("""COMPUTED_VALUE"""),-5.642516017132952)</f>
        <v>-5.642516017</v>
      </c>
      <c r="I702" s="54">
        <f>IFERROR(__xludf.DUMMYFUNCTION("""COMPUTED_VALUE"""),21.0)</f>
        <v>21</v>
      </c>
      <c r="J702" s="55">
        <f>IFERROR(__xludf.DUMMYFUNCTION("""COMPUTED_VALUE"""),5.0)</f>
        <v>5</v>
      </c>
      <c r="K702" s="54">
        <f>IFERROR(__xludf.DUMMYFUNCTION("""COMPUTED_VALUE"""),16.0)</f>
        <v>16</v>
      </c>
      <c r="L702" s="56">
        <f>IFERROR(__xludf.DUMMYFUNCTION("""COMPUTED_VALUE"""),0.23809523809523808)</f>
        <v>0.2380952381</v>
      </c>
      <c r="M702" s="56">
        <f>IFERROR(__xludf.DUMMYFUNCTION("""COMPUTED_VALUE"""),0.393939393939394)</f>
        <v>0.3939393939</v>
      </c>
      <c r="N702" s="31">
        <f>IFERROR(__xludf.DUMMYFUNCTION("""COMPUTED_VALUE"""),277.9047619047619)</f>
        <v>277.9047619</v>
      </c>
      <c r="O702" s="57">
        <f>IFERROR(__xludf.DUMMYFUNCTION("""COMPUTED_VALUE"""),0.6190476190476191)</f>
        <v>0.619047619</v>
      </c>
      <c r="P702" s="57">
        <f>IFERROR(__xludf.DUMMYFUNCTION("""COMPUTED_VALUE"""),0.2857142857142857)</f>
        <v>0.2857142857</v>
      </c>
      <c r="Q702" s="57">
        <f>IFERROR(__xludf.DUMMYFUNCTION("""COMPUTED_VALUE"""),1.2380952380952381)</f>
        <v>1.238095238</v>
      </c>
      <c r="R702" s="57">
        <f>IFERROR(__xludf.DUMMYFUNCTION("""COMPUTED_VALUE"""),1.5714285714285714)</f>
        <v>1.571428571</v>
      </c>
      <c r="S702" s="31">
        <f>IFERROR(__xludf.DUMMYFUNCTION("""COMPUTED_VALUE"""),375.25396825396825)</f>
        <v>375.2539683</v>
      </c>
      <c r="T702" s="57">
        <f>IFERROR(__xludf.DUMMYFUNCTION("""COMPUTED_VALUE"""),1.126984126984127)</f>
        <v>1.126984127</v>
      </c>
      <c r="U702" s="57">
        <f>IFERROR(__xludf.DUMMYFUNCTION("""COMPUTED_VALUE"""),0.7936507936507938)</f>
        <v>0.7936507937</v>
      </c>
      <c r="V702" s="57">
        <f>IFERROR(__xludf.DUMMYFUNCTION("""COMPUTED_VALUE"""),0.9523809523809522)</f>
        <v>0.9523809524</v>
      </c>
      <c r="W702" s="57">
        <f>IFERROR(__xludf.DUMMYFUNCTION("""COMPUTED_VALUE"""),2.6666666666666665)</f>
        <v>2.666666667</v>
      </c>
      <c r="X702" s="31">
        <f>IFERROR(__xludf.DUMMYFUNCTION("""COMPUTED_VALUE"""),366.9723372959296)</f>
        <v>366.9723373</v>
      </c>
      <c r="Y702" s="57">
        <f>IFERROR(__xludf.DUMMYFUNCTION("""COMPUTED_VALUE"""),0.9182678851534527)</f>
        <v>0.9182678852</v>
      </c>
      <c r="Z702" s="57">
        <f>IFERROR(__xludf.DUMMYFUNCTION("""COMPUTED_VALUE"""),0.7028288200896826)</f>
        <v>0.7028288201</v>
      </c>
      <c r="AA702" s="57">
        <f>IFERROR(__xludf.DUMMYFUNCTION("""COMPUTED_VALUE"""),1.2179542840220137)</f>
        <v>1.217954284</v>
      </c>
      <c r="AB702" s="57">
        <f>IFERROR(__xludf.DUMMYFUNCTION("""COMPUTED_VALUE"""),2.76758213389093)</f>
        <v>2.767582134</v>
      </c>
      <c r="AC702" s="31">
        <f>IFERROR(__xludf.DUMMYFUNCTION("""COMPUTED_VALUE"""),333.14184395622294)</f>
        <v>333.141844</v>
      </c>
      <c r="AD702" s="57">
        <f>IFERROR(__xludf.DUMMYFUNCTION("""COMPUTED_VALUE"""),0.6922740780652257)</f>
        <v>0.6922740781</v>
      </c>
      <c r="AE702" s="57">
        <f>IFERROR(__xludf.DUMMYFUNCTION("""COMPUTED_VALUE"""),0.49513665675998386)</f>
        <v>0.4951366568</v>
      </c>
      <c r="AF702" s="57">
        <f>IFERROR(__xludf.DUMMYFUNCTION("""COMPUTED_VALUE"""),1.3727022673742781)</f>
        <v>1.372702267</v>
      </c>
      <c r="AG702" s="57">
        <f>IFERROR(__xludf.DUMMYFUNCTION("""COMPUTED_VALUE"""),2.370729239039127)</f>
        <v>2.370729239</v>
      </c>
      <c r="AH702" s="57">
        <f>IFERROR(__xludf.DUMMYFUNCTION("""COMPUTED_VALUE"""),0.8341935032972936)</f>
        <v>0.8341935033</v>
      </c>
      <c r="AI702" s="57">
        <f>IFERROR(__xludf.DUMMYFUNCTION("""COMPUTED_VALUE"""),0.8942233122143464)</f>
        <v>0.8942233122</v>
      </c>
      <c r="AJ702" s="57">
        <f>IFERROR(__xludf.DUMMYFUNCTION("""COMPUTED_VALUE"""),0.5770412709572116)</f>
        <v>0.577041271</v>
      </c>
      <c r="AK702" s="57">
        <f>IFERROR(__xludf.DUMMYFUNCTION("""COMPUTED_VALUE"""),0.9019401129594417)</f>
        <v>0.901940113</v>
      </c>
      <c r="AL702" s="57">
        <f>IFERROR(__xludf.DUMMYFUNCTION("""COMPUTED_VALUE"""),0.6628460751871784)</f>
        <v>0.6628460752</v>
      </c>
      <c r="AM702" s="57">
        <f>IFERROR(__xludf.DUMMYFUNCTION("""COMPUTED_VALUE"""),1.0225674529558892)</f>
        <v>1.022567453</v>
      </c>
      <c r="AN702" s="57">
        <f>IFERROR(__xludf.DUMMYFUNCTION("""COMPUTED_VALUE"""),1.2272934131806161)</f>
        <v>1.227293413</v>
      </c>
      <c r="AO702" s="57">
        <f>IFERROR(__xludf.DUMMYFUNCTION("""COMPUTED_VALUE"""),1.1292234623354263)</f>
        <v>1.129223462</v>
      </c>
      <c r="AP702" s="35">
        <f>IFERROR(__xludf.DUMMYFUNCTION("""COMPUTED_VALUE"""),0.7819513136699461)</f>
        <v>0.7819513137</v>
      </c>
      <c r="AQ702" s="57">
        <f>IFERROR(__xludf.DUMMYFUNCTION("""COMPUTED_VALUE"""),0.9635365953593628)</f>
        <v>0.9635365954</v>
      </c>
      <c r="AR702" s="36" t="b">
        <f>IFERROR(__xludf.DUMMYFUNCTION("""COMPUTED_VALUE"""),TRUE)</f>
        <v>1</v>
      </c>
      <c r="AS702" s="57"/>
      <c r="AT702" s="37"/>
      <c r="AU702" s="30"/>
      <c r="AV702" s="30"/>
      <c r="AW702" s="30"/>
      <c r="AX702" s="30"/>
      <c r="AY702" s="30"/>
      <c r="AZ702" s="30"/>
    </row>
    <row r="703">
      <c r="A703" s="30" t="str">
        <f>IFERROR(__xludf.DUMMYFUNCTION("""COMPUTED_VALUE"""),"Rival")</f>
        <v>Rival</v>
      </c>
      <c r="B703" s="30" t="str">
        <f>IFERROR(__xludf.DUMMYFUNCTION("""COMPUTED_VALUE"""),"RSC002204")</f>
        <v>RSC002204</v>
      </c>
      <c r="C703" s="30" t="str">
        <f>IFERROR(__xludf.DUMMYFUNCTION("""COMPUTED_VALUE"""),"Mr.Numb3rz")</f>
        <v>Mr.Numb3rz</v>
      </c>
      <c r="D703" s="31"/>
      <c r="E703" s="31">
        <f>IFERROR(__xludf.DUMMYFUNCTION("""COMPUTED_VALUE"""),19.50090681722839)</f>
        <v>19.50090682</v>
      </c>
      <c r="F703" s="31">
        <f>IFERROR(__xludf.DUMMYFUNCTION("""COMPUTED_VALUE"""),-8.989627627763637)</f>
        <v>-8.989627628</v>
      </c>
      <c r="G703" s="31">
        <f>IFERROR(__xludf.DUMMYFUNCTION("""COMPUTED_VALUE"""),13.530343077141737)</f>
        <v>13.53034308</v>
      </c>
      <c r="H703" s="31">
        <f>IFERROR(__xludf.DUMMYFUNCTION("""COMPUTED_VALUE"""),-13.828969039067246)</f>
        <v>-13.82896904</v>
      </c>
      <c r="I703" s="54">
        <f>IFERROR(__xludf.DUMMYFUNCTION("""COMPUTED_VALUE"""),6.0)</f>
        <v>6</v>
      </c>
      <c r="J703" s="55">
        <f>IFERROR(__xludf.DUMMYFUNCTION("""COMPUTED_VALUE"""),2.0)</f>
        <v>2</v>
      </c>
      <c r="K703" s="54">
        <f>IFERROR(__xludf.DUMMYFUNCTION("""COMPUTED_VALUE"""),4.0)</f>
        <v>4</v>
      </c>
      <c r="L703" s="56">
        <f>IFERROR(__xludf.DUMMYFUNCTION("""COMPUTED_VALUE"""),0.3333333333333333)</f>
        <v>0.3333333333</v>
      </c>
      <c r="M703" s="56">
        <f>IFERROR(__xludf.DUMMYFUNCTION("""COMPUTED_VALUE"""),0.2)</f>
        <v>0.2</v>
      </c>
      <c r="N703" s="31">
        <f>IFERROR(__xludf.DUMMYFUNCTION("""COMPUTED_VALUE"""),286.3333333333333)</f>
        <v>286.3333333</v>
      </c>
      <c r="O703" s="57">
        <f>IFERROR(__xludf.DUMMYFUNCTION("""COMPUTED_VALUE"""),0.5)</f>
        <v>0.5</v>
      </c>
      <c r="P703" s="57">
        <f>IFERROR(__xludf.DUMMYFUNCTION("""COMPUTED_VALUE"""),0.3333333333333333)</f>
        <v>0.3333333333</v>
      </c>
      <c r="Q703" s="57">
        <f>IFERROR(__xludf.DUMMYFUNCTION("""COMPUTED_VALUE"""),1.3333333333333333)</f>
        <v>1.333333333</v>
      </c>
      <c r="R703" s="57">
        <f>IFERROR(__xludf.DUMMYFUNCTION("""COMPUTED_VALUE"""),2.5)</f>
        <v>2.5</v>
      </c>
      <c r="S703" s="31">
        <f>IFERROR(__xludf.DUMMYFUNCTION("""COMPUTED_VALUE"""),420.8888888888889)</f>
        <v>420.8888889</v>
      </c>
      <c r="T703" s="57">
        <f>IFERROR(__xludf.DUMMYFUNCTION("""COMPUTED_VALUE"""),1.0555555555555556)</f>
        <v>1.055555556</v>
      </c>
      <c r="U703" s="57">
        <f>IFERROR(__xludf.DUMMYFUNCTION("""COMPUTED_VALUE"""),0.7777777777777778)</f>
        <v>0.7777777778</v>
      </c>
      <c r="V703" s="57">
        <f>IFERROR(__xludf.DUMMYFUNCTION("""COMPUTED_VALUE"""),1.5555555555555556)</f>
        <v>1.555555556</v>
      </c>
      <c r="W703" s="57">
        <f>IFERROR(__xludf.DUMMYFUNCTION("""COMPUTED_VALUE"""),3.222222222222222)</f>
        <v>3.222222222</v>
      </c>
      <c r="X703" s="31">
        <f>IFERROR(__xludf.DUMMYFUNCTION("""COMPUTED_VALUE"""),376.67577233103543)</f>
        <v>376.6757723</v>
      </c>
      <c r="Y703" s="57">
        <f>IFERROR(__xludf.DUMMYFUNCTION("""COMPUTED_VALUE"""),0.8494866323813692)</f>
        <v>0.8494866324</v>
      </c>
      <c r="Z703" s="57">
        <f>IFERROR(__xludf.DUMMYFUNCTION("""COMPUTED_VALUE"""),0.6904575628259838)</f>
        <v>0.6904575628</v>
      </c>
      <c r="AA703" s="57">
        <f>IFERROR(__xludf.DUMMYFUNCTION("""COMPUTED_VALUE"""),1.38325977799662)</f>
        <v>1.383259778</v>
      </c>
      <c r="AB703" s="57">
        <f>IFERROR(__xludf.DUMMYFUNCTION("""COMPUTED_VALUE"""),2.728502389028705)</f>
        <v>2.728502389</v>
      </c>
      <c r="AC703" s="31">
        <f>IFERROR(__xludf.DUMMYFUNCTION("""COMPUTED_VALUE"""),352.5918688931847)</f>
        <v>352.5918689</v>
      </c>
      <c r="AD703" s="57">
        <f>IFERROR(__xludf.DUMMYFUNCTION("""COMPUTED_VALUE"""),0.8628763378763379)</f>
        <v>0.8628763379</v>
      </c>
      <c r="AE703" s="57">
        <f>IFERROR(__xludf.DUMMYFUNCTION("""COMPUTED_VALUE"""),0.5875356125356125)</f>
        <v>0.5875356125</v>
      </c>
      <c r="AF703" s="57">
        <f>IFERROR(__xludf.DUMMYFUNCTION("""COMPUTED_VALUE"""),1.233075484391274)</f>
        <v>1.233075484</v>
      </c>
      <c r="AG703" s="57">
        <f>IFERROR(__xludf.DUMMYFUNCTION("""COMPUTED_VALUE"""),2.7109900386216172)</f>
        <v>2.710990039</v>
      </c>
      <c r="AH703" s="57">
        <f>IFERROR(__xludf.DUMMYFUNCTION("""COMPUTED_VALUE"""),0.8120814987372157)</f>
        <v>0.8120814987</v>
      </c>
      <c r="AI703" s="57">
        <f>IFERROR(__xludf.DUMMYFUNCTION("""COMPUTED_VALUE"""),0.5794573081359161)</f>
        <v>0.5794573081</v>
      </c>
      <c r="AJ703" s="57">
        <f>IFERROR(__xludf.DUMMYFUNCTION("""COMPUTED_VALUE"""),0.5673414959389017)</f>
        <v>0.5673414959</v>
      </c>
      <c r="AK703" s="57">
        <f>IFERROR(__xludf.DUMMYFUNCTION("""COMPUTED_VALUE"""),1.08130714640844)</f>
        <v>1.081307146</v>
      </c>
      <c r="AL703" s="57">
        <f>IFERROR(__xludf.DUMMYFUNCTION("""COMPUTED_VALUE"""),0.9221723298072708)</f>
        <v>0.9221723298</v>
      </c>
      <c r="AM703" s="57">
        <f>IFERROR(__xludf.DUMMYFUNCTION("""COMPUTED_VALUE"""),1.1173771179501226)</f>
        <v>1.117377118</v>
      </c>
      <c r="AN703" s="57">
        <f>IFERROR(__xludf.DUMMYFUNCTION("""COMPUTED_VALUE"""),1.242580536666613)</f>
        <v>1.242580537</v>
      </c>
      <c r="AO703" s="57">
        <f>IFERROR(__xludf.DUMMYFUNCTION("""COMPUTED_VALUE"""),1.1264671714136925)</f>
        <v>1.126467171</v>
      </c>
      <c r="AP703" s="35">
        <f>IFERROR(__xludf.DUMMYFUNCTION("""COMPUTED_VALUE"""),1.12455778755345)</f>
        <v>1.124557788</v>
      </c>
      <c r="AQ703" s="57">
        <f>IFERROR(__xludf.DUMMYFUNCTION("""COMPUTED_VALUE"""),1.180949019938103)</f>
        <v>1.18094902</v>
      </c>
      <c r="AR703" s="36" t="b">
        <f>IFERROR(__xludf.DUMMYFUNCTION("""COMPUTED_VALUE"""),TRUE)</f>
        <v>1</v>
      </c>
      <c r="AS703" s="57"/>
      <c r="AT703" s="37"/>
      <c r="AU703" s="30"/>
      <c r="AV703" s="30"/>
      <c r="AW703" s="30"/>
      <c r="AX703" s="30"/>
      <c r="AY703" s="30"/>
      <c r="AZ703" s="30"/>
    </row>
    <row r="704">
      <c r="A704" s="30" t="str">
        <f>IFERROR(__xludf.DUMMYFUNCTION("""COMPUTED_VALUE"""),"Rival")</f>
        <v>Rival</v>
      </c>
      <c r="B704" s="30" t="str">
        <f>IFERROR(__xludf.DUMMYFUNCTION("""COMPUTED_VALUE"""),"RSC004790")</f>
        <v>RSC004790</v>
      </c>
      <c r="C704" s="30" t="str">
        <f>IFERROR(__xludf.DUMMYFUNCTION("""COMPUTED_VALUE"""),"TheFrostNL")</f>
        <v>TheFrostNL</v>
      </c>
      <c r="D704" s="31"/>
      <c r="E704" s="31">
        <f>IFERROR(__xludf.DUMMYFUNCTION("""COMPUTED_VALUE"""),15.340065035155142)</f>
        <v>15.34006504</v>
      </c>
      <c r="F704" s="31">
        <f>IFERROR(__xludf.DUMMYFUNCTION("""COMPUTED_VALUE"""),-12.075428655761709)</f>
        <v>-12.07542866</v>
      </c>
      <c r="G704" s="31">
        <f>IFERROR(__xludf.DUMMYFUNCTION("""COMPUTED_VALUE"""),24.63428917737172)</f>
        <v>24.63428918</v>
      </c>
      <c r="H704" s="31">
        <f>IFERROR(__xludf.DUMMYFUNCTION("""COMPUTED_VALUE"""),-6.4457289803739535)</f>
        <v>-6.44572898</v>
      </c>
      <c r="I704" s="54">
        <f>IFERROR(__xludf.DUMMYFUNCTION("""COMPUTED_VALUE"""),13.0)</f>
        <v>13</v>
      </c>
      <c r="J704" s="55">
        <f>IFERROR(__xludf.DUMMYFUNCTION("""COMPUTED_VALUE"""),7.0)</f>
        <v>7</v>
      </c>
      <c r="K704" s="54">
        <f>IFERROR(__xludf.DUMMYFUNCTION("""COMPUTED_VALUE"""),6.0)</f>
        <v>6</v>
      </c>
      <c r="L704" s="56">
        <f>IFERROR(__xludf.DUMMYFUNCTION("""COMPUTED_VALUE"""),0.5384615384615384)</f>
        <v>0.5384615385</v>
      </c>
      <c r="M704" s="56">
        <f>IFERROR(__xludf.DUMMYFUNCTION("""COMPUTED_VALUE"""),0.19230769230769232)</f>
        <v>0.1923076923</v>
      </c>
      <c r="N704" s="31">
        <f>IFERROR(__xludf.DUMMYFUNCTION("""COMPUTED_VALUE"""),283.0)</f>
        <v>283</v>
      </c>
      <c r="O704" s="57">
        <f>IFERROR(__xludf.DUMMYFUNCTION("""COMPUTED_VALUE"""),0.38461538461538464)</f>
        <v>0.3846153846</v>
      </c>
      <c r="P704" s="57">
        <f>IFERROR(__xludf.DUMMYFUNCTION("""COMPUTED_VALUE"""),0.07692307692307693)</f>
        <v>0.07692307692</v>
      </c>
      <c r="Q704" s="57">
        <f>IFERROR(__xludf.DUMMYFUNCTION("""COMPUTED_VALUE"""),1.5384615384615385)</f>
        <v>1.538461538</v>
      </c>
      <c r="R704" s="57">
        <f>IFERROR(__xludf.DUMMYFUNCTION("""COMPUTED_VALUE"""),2.0)</f>
        <v>2</v>
      </c>
      <c r="S704" s="31">
        <f>IFERROR(__xludf.DUMMYFUNCTION("""COMPUTED_VALUE"""),315.2307692307692)</f>
        <v>315.2307692</v>
      </c>
      <c r="T704" s="57">
        <f>IFERROR(__xludf.DUMMYFUNCTION("""COMPUTED_VALUE"""),0.5641025641025641)</f>
        <v>0.5641025641</v>
      </c>
      <c r="U704" s="57">
        <f>IFERROR(__xludf.DUMMYFUNCTION("""COMPUTED_VALUE"""),0.46153846153846156)</f>
        <v>0.4615384615</v>
      </c>
      <c r="V704" s="57">
        <f>IFERROR(__xludf.DUMMYFUNCTION("""COMPUTED_VALUE"""),1.1538461538461537)</f>
        <v>1.153846154</v>
      </c>
      <c r="W704" s="57">
        <f>IFERROR(__xludf.DUMMYFUNCTION("""COMPUTED_VALUE"""),2.5384615384615383)</f>
        <v>2.538461538</v>
      </c>
      <c r="X704" s="31">
        <f>IFERROR(__xludf.DUMMYFUNCTION("""COMPUTED_VALUE"""),354.6325175426569)</f>
        <v>354.6325175</v>
      </c>
      <c r="Y704" s="57">
        <f>IFERROR(__xludf.DUMMYFUNCTION("""COMPUTED_VALUE"""),0.8209787689663852)</f>
        <v>0.820978769</v>
      </c>
      <c r="Z704" s="57">
        <f>IFERROR(__xludf.DUMMYFUNCTION("""COMPUTED_VALUE"""),0.5516461264913278)</f>
        <v>0.5516461265</v>
      </c>
      <c r="AA704" s="57">
        <f>IFERROR(__xludf.DUMMYFUNCTION("""COMPUTED_VALUE"""),1.3058532254352682)</f>
        <v>1.305853225</v>
      </c>
      <c r="AB704" s="57">
        <f>IFERROR(__xludf.DUMMYFUNCTION("""COMPUTED_VALUE"""),2.699983894101541)</f>
        <v>2.699983894</v>
      </c>
      <c r="AC704" s="31">
        <f>IFERROR(__xludf.DUMMYFUNCTION("""COMPUTED_VALUE"""),336.62010911440734)</f>
        <v>336.6201091</v>
      </c>
      <c r="AD704" s="57">
        <f>IFERROR(__xludf.DUMMYFUNCTION("""COMPUTED_VALUE"""),0.7119134954790269)</f>
        <v>0.7119134955</v>
      </c>
      <c r="AE704" s="57">
        <f>IFERROR(__xludf.DUMMYFUNCTION("""COMPUTED_VALUE"""),0.46740687359882416)</f>
        <v>0.4674068736</v>
      </c>
      <c r="AF704" s="57">
        <f>IFERROR(__xludf.DUMMYFUNCTION("""COMPUTED_VALUE"""),1.3640883330253812)</f>
        <v>1.364088333</v>
      </c>
      <c r="AG704" s="57">
        <f>IFERROR(__xludf.DUMMYFUNCTION("""COMPUTED_VALUE"""),2.442237368372559)</f>
        <v>2.442237368</v>
      </c>
      <c r="AH704" s="57">
        <f>IFERROR(__xludf.DUMMYFUNCTION("""COMPUTED_VALUE"""),0.8407103210337816)</f>
        <v>0.840710321</v>
      </c>
      <c r="AI704" s="57">
        <f>IFERROR(__xludf.DUMMYFUNCTION("""COMPUTED_VALUE"""),0.5402557853698048)</f>
        <v>0.5402557854</v>
      </c>
      <c r="AJ704" s="57">
        <f>IFERROR(__xludf.DUMMYFUNCTION("""COMPUTED_VALUE"""),0.16457412431871957)</f>
        <v>0.1645741243</v>
      </c>
      <c r="AK704" s="57">
        <f>IFERROR(__xludf.DUMMYFUNCTION("""COMPUTED_VALUE"""),1.127831315036189)</f>
        <v>1.127831315</v>
      </c>
      <c r="AL704" s="57">
        <f>IFERROR(__xludf.DUMMYFUNCTION("""COMPUTED_VALUE"""),0.8189212178555543)</f>
        <v>0.8189212179</v>
      </c>
      <c r="AM704" s="57">
        <f>IFERROR(__xludf.DUMMYFUNCTION("""COMPUTED_VALUE"""),0.88889414714445)</f>
        <v>0.8888941471</v>
      </c>
      <c r="AN704" s="57">
        <f>IFERROR(__xludf.DUMMYFUNCTION("""COMPUTED_VALUE"""),0.6871098077393292)</f>
        <v>0.6871098077</v>
      </c>
      <c r="AO704" s="57">
        <f>IFERROR(__xludf.DUMMYFUNCTION("""COMPUTED_VALUE"""),0.8366567612357144)</f>
        <v>0.8366567612</v>
      </c>
      <c r="AP704" s="35">
        <f>IFERROR(__xludf.DUMMYFUNCTION("""COMPUTED_VALUE"""),0.8835955920402561)</f>
        <v>0.883595592</v>
      </c>
      <c r="AQ704" s="57">
        <f>IFERROR(__xludf.DUMMYFUNCTION("""COMPUTED_VALUE"""),0.9401765484628006)</f>
        <v>0.9401765485</v>
      </c>
      <c r="AR704" s="36" t="b">
        <f>IFERROR(__xludf.DUMMYFUNCTION("""COMPUTED_VALUE"""),TRUE)</f>
        <v>1</v>
      </c>
      <c r="AS704" s="57"/>
      <c r="AT704" s="37"/>
      <c r="AU704" s="30"/>
      <c r="AV704" s="30"/>
      <c r="AW704" s="30"/>
      <c r="AX704" s="30"/>
      <c r="AY704" s="30"/>
      <c r="AZ704" s="30"/>
    </row>
    <row r="705">
      <c r="A705" s="30" t="str">
        <f>IFERROR(__xludf.DUMMYFUNCTION("""COMPUTED_VALUE"""),"Rival")</f>
        <v>Rival</v>
      </c>
      <c r="B705" s="30" t="str">
        <f>IFERROR(__xludf.DUMMYFUNCTION("""COMPUTED_VALUE"""),"RSC003900")</f>
        <v>RSC003900</v>
      </c>
      <c r="C705" s="30" t="str">
        <f>IFERROR(__xludf.DUMMYFUNCTION("""COMPUTED_VALUE"""),"Tryhard goblin")</f>
        <v>Tryhard goblin</v>
      </c>
      <c r="D705" s="31" t="str">
        <f>IFERROR(__xludf.DUMMYFUNCTION("""COMPUTED_VALUE"""),"Phantoms")</f>
        <v>Phantoms</v>
      </c>
      <c r="E705" s="31">
        <f>IFERROR(__xludf.DUMMYFUNCTION("""COMPUTED_VALUE"""),14.369972168393254)</f>
        <v>14.36997217</v>
      </c>
      <c r="F705" s="31">
        <f>IFERROR(__xludf.DUMMYFUNCTION("""COMPUTED_VALUE"""),-12.978663270436158)</f>
        <v>-12.97866327</v>
      </c>
      <c r="G705" s="31">
        <f>IFERROR(__xludf.DUMMYFUNCTION("""COMPUTED_VALUE"""),16.898081042484456)</f>
        <v>16.89808104</v>
      </c>
      <c r="H705" s="31">
        <f>IFERROR(__xludf.DUMMYFUNCTION("""COMPUTED_VALUE"""),-10.782975953604808)</f>
        <v>-10.78297595</v>
      </c>
      <c r="I705" s="54">
        <f>IFERROR(__xludf.DUMMYFUNCTION("""COMPUTED_VALUE"""),23.0)</f>
        <v>23</v>
      </c>
      <c r="J705" s="55">
        <f>IFERROR(__xludf.DUMMYFUNCTION("""COMPUTED_VALUE"""),6.0)</f>
        <v>6</v>
      </c>
      <c r="K705" s="54">
        <f>IFERROR(__xludf.DUMMYFUNCTION("""COMPUTED_VALUE"""),17.0)</f>
        <v>17</v>
      </c>
      <c r="L705" s="56">
        <f>IFERROR(__xludf.DUMMYFUNCTION("""COMPUTED_VALUE"""),0.2608695652173913)</f>
        <v>0.2608695652</v>
      </c>
      <c r="M705" s="56">
        <f>IFERROR(__xludf.DUMMYFUNCTION("""COMPUTED_VALUE"""),0.27906976744186046)</f>
        <v>0.2790697674</v>
      </c>
      <c r="N705" s="31">
        <f>IFERROR(__xludf.DUMMYFUNCTION("""COMPUTED_VALUE"""),289.7826086956522)</f>
        <v>289.7826087</v>
      </c>
      <c r="O705" s="57">
        <f>IFERROR(__xludf.DUMMYFUNCTION("""COMPUTED_VALUE"""),0.5217391304347826)</f>
        <v>0.5217391304</v>
      </c>
      <c r="P705" s="57">
        <f>IFERROR(__xludf.DUMMYFUNCTION("""COMPUTED_VALUE"""),0.2608695652173913)</f>
        <v>0.2608695652</v>
      </c>
      <c r="Q705" s="57">
        <f>IFERROR(__xludf.DUMMYFUNCTION("""COMPUTED_VALUE"""),1.2608695652173914)</f>
        <v>1.260869565</v>
      </c>
      <c r="R705" s="57">
        <f>IFERROR(__xludf.DUMMYFUNCTION("""COMPUTED_VALUE"""),1.8695652173913044)</f>
        <v>1.869565217</v>
      </c>
      <c r="S705" s="31">
        <f>IFERROR(__xludf.DUMMYFUNCTION("""COMPUTED_VALUE"""),379.9420289855072)</f>
        <v>379.942029</v>
      </c>
      <c r="T705" s="57">
        <f>IFERROR(__xludf.DUMMYFUNCTION("""COMPUTED_VALUE"""),1.0144927536231882)</f>
        <v>1.014492754</v>
      </c>
      <c r="U705" s="57">
        <f>IFERROR(__xludf.DUMMYFUNCTION("""COMPUTED_VALUE"""),0.7246376811594203)</f>
        <v>0.7246376812</v>
      </c>
      <c r="V705" s="57">
        <f>IFERROR(__xludf.DUMMYFUNCTION("""COMPUTED_VALUE"""),1.1594202898550723)</f>
        <v>1.15942029</v>
      </c>
      <c r="W705" s="57">
        <f>IFERROR(__xludf.DUMMYFUNCTION("""COMPUTED_VALUE"""),3.0869565217391313)</f>
        <v>3.086956522</v>
      </c>
      <c r="X705" s="31">
        <f>IFERROR(__xludf.DUMMYFUNCTION("""COMPUTED_VALUE"""),359.60935493057207)</f>
        <v>359.6093549</v>
      </c>
      <c r="Y705" s="57">
        <f>IFERROR(__xludf.DUMMYFUNCTION("""COMPUTED_VALUE"""),0.8485395170128787)</f>
        <v>0.848539517</v>
      </c>
      <c r="Z705" s="57">
        <f>IFERROR(__xludf.DUMMYFUNCTION("""COMPUTED_VALUE"""),0.5847762510095728)</f>
        <v>0.584776251</v>
      </c>
      <c r="AA705" s="57">
        <f>IFERROR(__xludf.DUMMYFUNCTION("""COMPUTED_VALUE"""),1.3509774422143825)</f>
        <v>1.350977442</v>
      </c>
      <c r="AB705" s="57">
        <f>IFERROR(__xludf.DUMMYFUNCTION("""COMPUTED_VALUE"""),2.750093543192224)</f>
        <v>2.750093543</v>
      </c>
      <c r="AC705" s="31">
        <f>IFERROR(__xludf.DUMMYFUNCTION("""COMPUTED_VALUE"""),348.4877568191183)</f>
        <v>348.4877568</v>
      </c>
      <c r="AD705" s="57">
        <f>IFERROR(__xludf.DUMMYFUNCTION("""COMPUTED_VALUE"""),0.7739122642816024)</f>
        <v>0.7739122643</v>
      </c>
      <c r="AE705" s="57">
        <f>IFERROR(__xludf.DUMMYFUNCTION("""COMPUTED_VALUE"""),0.5558965336365095)</f>
        <v>0.5558965336</v>
      </c>
      <c r="AF705" s="57">
        <f>IFERROR(__xludf.DUMMYFUNCTION("""COMPUTED_VALUE"""),1.357459755993889)</f>
        <v>1.357459756</v>
      </c>
      <c r="AG705" s="57">
        <f>IFERROR(__xludf.DUMMYFUNCTION("""COMPUTED_VALUE"""),2.5868082823757637)</f>
        <v>2.586808282</v>
      </c>
      <c r="AH705" s="57">
        <f>IFERROR(__xludf.DUMMYFUNCTION("""COMPUTED_VALUE"""),0.8315431547457867)</f>
        <v>0.8315431547</v>
      </c>
      <c r="AI705" s="57">
        <f>IFERROR(__xludf.DUMMYFUNCTION("""COMPUTED_VALUE"""),0.6741579821313415)</f>
        <v>0.6741579821</v>
      </c>
      <c r="AJ705" s="57">
        <f>IFERROR(__xludf.DUMMYFUNCTION("""COMPUTED_VALUE"""),0.4692771935648894)</f>
        <v>0.4692771936</v>
      </c>
      <c r="AK705" s="57">
        <f>IFERROR(__xludf.DUMMYFUNCTION("""COMPUTED_VALUE"""),0.9288448955116335)</f>
        <v>0.9288448955</v>
      </c>
      <c r="AL705" s="57">
        <f>IFERROR(__xludf.DUMMYFUNCTION("""COMPUTED_VALUE"""),0.7227304899744127)</f>
        <v>0.72273049</v>
      </c>
      <c r="AM705" s="57">
        <f>IFERROR(__xludf.DUMMYFUNCTION("""COMPUTED_VALUE"""),1.0565410042207068)</f>
        <v>1.056541004</v>
      </c>
      <c r="AN705" s="57">
        <f>IFERROR(__xludf.DUMMYFUNCTION("""COMPUTED_VALUE"""),1.19557514209181)</f>
        <v>1.195575142</v>
      </c>
      <c r="AO705" s="57">
        <f>IFERROR(__xludf.DUMMYFUNCTION("""COMPUTED_VALUE"""),1.239170845102528)</f>
        <v>1.239170845</v>
      </c>
      <c r="AP705" s="35">
        <f>IFERROR(__xludf.DUMMYFUNCTION("""COMPUTED_VALUE"""),0.858208474565401)</f>
        <v>0.8582084746</v>
      </c>
      <c r="AQ705" s="57">
        <f>IFERROR(__xludf.DUMMYFUNCTION("""COMPUTED_VALUE"""),1.122491461928923)</f>
        <v>1.122491462</v>
      </c>
      <c r="AR705" s="36" t="b">
        <f>IFERROR(__xludf.DUMMYFUNCTION("""COMPUTED_VALUE"""),TRUE)</f>
        <v>1</v>
      </c>
      <c r="AS705" s="57"/>
      <c r="AT705" s="37"/>
      <c r="AU705" s="30"/>
      <c r="AV705" s="30"/>
      <c r="AW705" s="30"/>
      <c r="AX705" s="30"/>
      <c r="AY705" s="30"/>
      <c r="AZ705" s="30"/>
    </row>
    <row r="706">
      <c r="A706" s="30" t="str">
        <f>IFERROR(__xludf.DUMMYFUNCTION("""COMPUTED_VALUE"""),"Rival")</f>
        <v>Rival</v>
      </c>
      <c r="B706" s="30" t="str">
        <f>IFERROR(__xludf.DUMMYFUNCTION("""COMPUTED_VALUE"""),"RSC006044")</f>
        <v>RSC006044</v>
      </c>
      <c r="C706" s="30" t="str">
        <f>IFERROR(__xludf.DUMMYFUNCTION("""COMPUTED_VALUE"""),"HybridParagon")</f>
        <v>HybridParagon</v>
      </c>
      <c r="D706" s="31" t="str">
        <f>IFERROR(__xludf.DUMMYFUNCTION("""COMPUTED_VALUE"""),"Polar Bears")</f>
        <v>Polar Bears</v>
      </c>
      <c r="E706" s="31">
        <f>IFERROR(__xludf.DUMMYFUNCTION("""COMPUTED_VALUE"""),14.007300148543251)</f>
        <v>14.00730015</v>
      </c>
      <c r="F706" s="31">
        <f>IFERROR(__xludf.DUMMYFUNCTION("""COMPUTED_VALUE"""),-13.337776525502507)</f>
        <v>-13.33777653</v>
      </c>
      <c r="G706" s="31">
        <f>IFERROR(__xludf.DUMMYFUNCTION("""COMPUTED_VALUE"""),14.894370442003762)</f>
        <v>14.89437044</v>
      </c>
      <c r="H706" s="31">
        <f>IFERROR(__xludf.DUMMYFUNCTION("""COMPUTED_VALUE"""),-12.48035862143581)</f>
        <v>-12.48035862</v>
      </c>
      <c r="I706" s="54">
        <f>IFERROR(__xludf.DUMMYFUNCTION("""COMPUTED_VALUE"""),18.0)</f>
        <v>18</v>
      </c>
      <c r="J706" s="55">
        <f>IFERROR(__xludf.DUMMYFUNCTION("""COMPUTED_VALUE"""),7.0)</f>
        <v>7</v>
      </c>
      <c r="K706" s="54">
        <f>IFERROR(__xludf.DUMMYFUNCTION("""COMPUTED_VALUE"""),11.0)</f>
        <v>11</v>
      </c>
      <c r="L706" s="56">
        <f>IFERROR(__xludf.DUMMYFUNCTION("""COMPUTED_VALUE"""),0.3888888888888889)</f>
        <v>0.3888888889</v>
      </c>
      <c r="M706" s="56">
        <f>IFERROR(__xludf.DUMMYFUNCTION("""COMPUTED_VALUE"""),0.25)</f>
        <v>0.25</v>
      </c>
      <c r="N706" s="31">
        <f>IFERROR(__xludf.DUMMYFUNCTION("""COMPUTED_VALUE"""),261.27777777777777)</f>
        <v>261.2777778</v>
      </c>
      <c r="O706" s="57">
        <f>IFERROR(__xludf.DUMMYFUNCTION("""COMPUTED_VALUE"""),0.3888888888888889)</f>
        <v>0.3888888889</v>
      </c>
      <c r="P706" s="57">
        <f>IFERROR(__xludf.DUMMYFUNCTION("""COMPUTED_VALUE"""),0.3888888888888889)</f>
        <v>0.3888888889</v>
      </c>
      <c r="Q706" s="57">
        <f>IFERROR(__xludf.DUMMYFUNCTION("""COMPUTED_VALUE"""),1.1666666666666667)</f>
        <v>1.166666667</v>
      </c>
      <c r="R706" s="57">
        <f>IFERROR(__xludf.DUMMYFUNCTION("""COMPUTED_VALUE"""),1.5555555555555556)</f>
        <v>1.555555556</v>
      </c>
      <c r="S706" s="31">
        <f>IFERROR(__xludf.DUMMYFUNCTION("""COMPUTED_VALUE"""),342.8888888888889)</f>
        <v>342.8888889</v>
      </c>
      <c r="T706" s="57">
        <f>IFERROR(__xludf.DUMMYFUNCTION("""COMPUTED_VALUE"""),0.7962962962962963)</f>
        <v>0.7962962963</v>
      </c>
      <c r="U706" s="57">
        <f>IFERROR(__xludf.DUMMYFUNCTION("""COMPUTED_VALUE"""),0.44444444444444436)</f>
        <v>0.4444444444</v>
      </c>
      <c r="V706" s="57">
        <f>IFERROR(__xludf.DUMMYFUNCTION("""COMPUTED_VALUE"""),1.2222222222222223)</f>
        <v>1.222222222</v>
      </c>
      <c r="W706" s="57">
        <f>IFERROR(__xludf.DUMMYFUNCTION("""COMPUTED_VALUE"""),2.3703703703703707)</f>
        <v>2.37037037</v>
      </c>
      <c r="X706" s="31">
        <f>IFERROR(__xludf.DUMMYFUNCTION("""COMPUTED_VALUE"""),336.245959990843)</f>
        <v>336.24596</v>
      </c>
      <c r="Y706" s="57">
        <f>IFERROR(__xludf.DUMMYFUNCTION("""COMPUTED_VALUE"""),0.7455036955950701)</f>
        <v>0.7455036956</v>
      </c>
      <c r="Z706" s="57">
        <f>IFERROR(__xludf.DUMMYFUNCTION("""COMPUTED_VALUE"""),0.5122229405855135)</f>
        <v>0.5122229406</v>
      </c>
      <c r="AA706" s="57">
        <f>IFERROR(__xludf.DUMMYFUNCTION("""COMPUTED_VALUE"""),1.319761230214447)</f>
        <v>1.31976123</v>
      </c>
      <c r="AB706" s="57">
        <f>IFERROR(__xludf.DUMMYFUNCTION("""COMPUTED_VALUE"""),2.5016438699918226)</f>
        <v>2.50164387</v>
      </c>
      <c r="AC706" s="31">
        <f>IFERROR(__xludf.DUMMYFUNCTION("""COMPUTED_VALUE"""),348.3506125207819)</f>
        <v>348.3506125</v>
      </c>
      <c r="AD706" s="57">
        <f>IFERROR(__xludf.DUMMYFUNCTION("""COMPUTED_VALUE"""),0.7962442438075966)</f>
        <v>0.7962442438</v>
      </c>
      <c r="AE706" s="57">
        <f>IFERROR(__xludf.DUMMYFUNCTION("""COMPUTED_VALUE"""),0.567203086062735)</f>
        <v>0.5672030861</v>
      </c>
      <c r="AF706" s="57">
        <f>IFERROR(__xludf.DUMMYFUNCTION("""COMPUTED_VALUE"""),1.3238036181384132)</f>
        <v>1.323803618</v>
      </c>
      <c r="AG706" s="57">
        <f>IFERROR(__xludf.DUMMYFUNCTION("""COMPUTED_VALUE"""),2.5825607139142712)</f>
        <v>2.582560714</v>
      </c>
      <c r="AH706" s="57">
        <f>IFERROR(__xludf.DUMMYFUNCTION("""COMPUTED_VALUE"""),0.7500425387143261)</f>
        <v>0.7500425387</v>
      </c>
      <c r="AI706" s="57">
        <f>IFERROR(__xludf.DUMMYFUNCTION("""COMPUTED_VALUE"""),0.4884040191351882)</f>
        <v>0.4884040191</v>
      </c>
      <c r="AJ706" s="57">
        <f>IFERROR(__xludf.DUMMYFUNCTION("""COMPUTED_VALUE"""),0.6856254813216517)</f>
        <v>0.6856254813</v>
      </c>
      <c r="AK706" s="57">
        <f>IFERROR(__xludf.DUMMYFUNCTION("""COMPUTED_VALUE"""),0.8812988956075533)</f>
        <v>0.8812988956</v>
      </c>
      <c r="AL706" s="57">
        <f>IFERROR(__xludf.DUMMYFUNCTION("""COMPUTED_VALUE"""),0.6023306817820635)</f>
        <v>0.6023306818</v>
      </c>
      <c r="AM706" s="57">
        <f>IFERROR(__xludf.DUMMYFUNCTION("""COMPUTED_VALUE"""),1.0197561597415976)</f>
        <v>1.01975616</v>
      </c>
      <c r="AN706" s="57">
        <f>IFERROR(__xludf.DUMMYFUNCTION("""COMPUTED_VALUE"""),1.0681319234248503)</f>
        <v>1.068131923</v>
      </c>
      <c r="AO706" s="57">
        <f>IFERROR(__xludf.DUMMYFUNCTION("""COMPUTED_VALUE"""),0.8676777419152826)</f>
        <v>0.8676777419</v>
      </c>
      <c r="AP706" s="35">
        <f>IFERROR(__xludf.DUMMYFUNCTION("""COMPUTED_VALUE"""),0.9260934434508463)</f>
        <v>0.9260934435</v>
      </c>
      <c r="AQ706" s="57">
        <f>IFERROR(__xludf.DUMMYFUNCTION("""COMPUTED_VALUE"""),0.9475251049135619)</f>
        <v>0.9475251049</v>
      </c>
      <c r="AR706" s="36" t="b">
        <f>IFERROR(__xludf.DUMMYFUNCTION("""COMPUTED_VALUE"""),TRUE)</f>
        <v>1</v>
      </c>
      <c r="AS706" s="57"/>
      <c r="AT706" s="37"/>
      <c r="AU706" s="30"/>
      <c r="AV706" s="30"/>
      <c r="AW706" s="30"/>
      <c r="AX706" s="30"/>
      <c r="AY706" s="30"/>
      <c r="AZ706" s="30"/>
    </row>
    <row r="707">
      <c r="A707" s="30" t="str">
        <f>IFERROR(__xludf.DUMMYFUNCTION("""COMPUTED_VALUE"""),"Rival")</f>
        <v>Rival</v>
      </c>
      <c r="B707" s="30" t="str">
        <f>IFERROR(__xludf.DUMMYFUNCTION("""COMPUTED_VALUE"""),"RSC005253")</f>
        <v>RSC005253</v>
      </c>
      <c r="C707" s="30" t="str">
        <f>IFERROR(__xludf.DUMMYFUNCTION("""COMPUTED_VALUE"""),"dinnindu")</f>
        <v>dinnindu</v>
      </c>
      <c r="D707" s="31" t="str">
        <f>IFERROR(__xludf.DUMMYFUNCTION("""COMPUTED_VALUE"""),"Tyrants")</f>
        <v>Tyrants</v>
      </c>
      <c r="E707" s="31">
        <f>IFERROR(__xludf.DUMMYFUNCTION("""COMPUTED_VALUE"""),13.368713037657805)</f>
        <v>13.36871304</v>
      </c>
      <c r="F707" s="31">
        <f>IFERROR(__xludf.DUMMYFUNCTION("""COMPUTED_VALUE"""),-14.00047272055447)</f>
        <v>-14.00047272</v>
      </c>
      <c r="G707" s="31">
        <f>IFERROR(__xludf.DUMMYFUNCTION("""COMPUTED_VALUE"""),22.227079679589796)</f>
        <v>22.22707968</v>
      </c>
      <c r="H707" s="31">
        <f>IFERROR(__xludf.DUMMYFUNCTION("""COMPUTED_VALUE"""),-7.501758471596556)</f>
        <v>-7.501758472</v>
      </c>
      <c r="I707" s="54">
        <f>IFERROR(__xludf.DUMMYFUNCTION("""COMPUTED_VALUE"""),33.0)</f>
        <v>33</v>
      </c>
      <c r="J707" s="55">
        <f>IFERROR(__xludf.DUMMYFUNCTION("""COMPUTED_VALUE"""),15.0)</f>
        <v>15</v>
      </c>
      <c r="K707" s="54">
        <f>IFERROR(__xludf.DUMMYFUNCTION("""COMPUTED_VALUE"""),18.0)</f>
        <v>18</v>
      </c>
      <c r="L707" s="56">
        <f>IFERROR(__xludf.DUMMYFUNCTION("""COMPUTED_VALUE"""),0.45454545454545453)</f>
        <v>0.4545454545</v>
      </c>
      <c r="M707" s="56">
        <f>IFERROR(__xludf.DUMMYFUNCTION("""COMPUTED_VALUE"""),0.2641509433962264)</f>
        <v>0.2641509434</v>
      </c>
      <c r="N707" s="31">
        <f>IFERROR(__xludf.DUMMYFUNCTION("""COMPUTED_VALUE"""),270.6666666666667)</f>
        <v>270.6666667</v>
      </c>
      <c r="O707" s="57">
        <f>IFERROR(__xludf.DUMMYFUNCTION("""COMPUTED_VALUE"""),0.42424242424242425)</f>
        <v>0.4242424242</v>
      </c>
      <c r="P707" s="57">
        <f>IFERROR(__xludf.DUMMYFUNCTION("""COMPUTED_VALUE"""),0.2727272727272727)</f>
        <v>0.2727272727</v>
      </c>
      <c r="Q707" s="57">
        <f>IFERROR(__xludf.DUMMYFUNCTION("""COMPUTED_VALUE"""),1.4848484848484849)</f>
        <v>1.484848485</v>
      </c>
      <c r="R707" s="57">
        <f>IFERROR(__xludf.DUMMYFUNCTION("""COMPUTED_VALUE"""),1.606060606060606)</f>
        <v>1.606060606</v>
      </c>
      <c r="S707" s="31">
        <f>IFERROR(__xludf.DUMMYFUNCTION("""COMPUTED_VALUE"""),323.64646464646466)</f>
        <v>323.6464646</v>
      </c>
      <c r="T707" s="57">
        <f>IFERROR(__xludf.DUMMYFUNCTION("""COMPUTED_VALUE"""),0.7070707070707072)</f>
        <v>0.7070707071</v>
      </c>
      <c r="U707" s="57">
        <f>IFERROR(__xludf.DUMMYFUNCTION("""COMPUTED_VALUE"""),0.5454545454545454)</f>
        <v>0.5454545455</v>
      </c>
      <c r="V707" s="57">
        <f>IFERROR(__xludf.DUMMYFUNCTION("""COMPUTED_VALUE"""),0.9898989898989898)</f>
        <v>0.9898989899</v>
      </c>
      <c r="W707" s="57">
        <f>IFERROR(__xludf.DUMMYFUNCTION("""COMPUTED_VALUE"""),2.575757575757576)</f>
        <v>2.575757576</v>
      </c>
      <c r="X707" s="31">
        <f>IFERROR(__xludf.DUMMYFUNCTION("""COMPUTED_VALUE"""),350.24259174175336)</f>
        <v>350.2425917</v>
      </c>
      <c r="Y707" s="57">
        <f>IFERROR(__xludf.DUMMYFUNCTION("""COMPUTED_VALUE"""),0.7722144809801147)</f>
        <v>0.772214481</v>
      </c>
      <c r="Z707" s="57">
        <f>IFERROR(__xludf.DUMMYFUNCTION("""COMPUTED_VALUE"""),0.5615012801000554)</f>
        <v>0.5615012801</v>
      </c>
      <c r="AA707" s="57">
        <f>IFERROR(__xludf.DUMMYFUNCTION("""COMPUTED_VALUE"""),1.3569330455053805)</f>
        <v>1.356933046</v>
      </c>
      <c r="AB707" s="57">
        <f>IFERROR(__xludf.DUMMYFUNCTION("""COMPUTED_VALUE"""),2.5749710921614843)</f>
        <v>2.574971092</v>
      </c>
      <c r="AC707" s="31">
        <f>IFERROR(__xludf.DUMMYFUNCTION("""COMPUTED_VALUE"""),350.90945986703156)</f>
        <v>350.9094599</v>
      </c>
      <c r="AD707" s="57">
        <f>IFERROR(__xludf.DUMMYFUNCTION("""COMPUTED_VALUE"""),0.7911242934927972)</f>
        <v>0.7911242935</v>
      </c>
      <c r="AE707" s="57">
        <f>IFERROR(__xludf.DUMMYFUNCTION("""COMPUTED_VALUE"""),0.5714259072085444)</f>
        <v>0.5714259072</v>
      </c>
      <c r="AF707" s="57">
        <f>IFERROR(__xludf.DUMMYFUNCTION("""COMPUTED_VALUE"""),1.322261836588586)</f>
        <v>1.322261837</v>
      </c>
      <c r="AG707" s="57">
        <f>IFERROR(__xludf.DUMMYFUNCTION("""COMPUTED_VALUE"""),2.559144213798933)</f>
        <v>2.559144214</v>
      </c>
      <c r="AH707" s="57">
        <f>IFERROR(__xludf.DUMMYFUNCTION("""COMPUTED_VALUE"""),0.7713290680998715)</f>
        <v>0.7713290681</v>
      </c>
      <c r="AI707" s="57">
        <f>IFERROR(__xludf.DUMMYFUNCTION("""COMPUTED_VALUE"""),0.5362525556754209)</f>
        <v>0.5362525557</v>
      </c>
      <c r="AJ707" s="57">
        <f>IFERROR(__xludf.DUMMYFUNCTION("""COMPUTED_VALUE"""),0.4772749525123293)</f>
        <v>0.4772749525</v>
      </c>
      <c r="AK707" s="57">
        <f>IFERROR(__xludf.DUMMYFUNCTION("""COMPUTED_VALUE"""),1.1229610079947325)</f>
        <v>1.122961008</v>
      </c>
      <c r="AL707" s="57">
        <f>IFERROR(__xludf.DUMMYFUNCTION("""COMPUTED_VALUE"""),0.6275772179624384)</f>
        <v>0.627577218</v>
      </c>
      <c r="AM707" s="57">
        <f>IFERROR(__xludf.DUMMYFUNCTION("""COMPUTED_VALUE"""),0.9240636983553988)</f>
        <v>0.9240636984</v>
      </c>
      <c r="AN707" s="57">
        <f>IFERROR(__xludf.DUMMYFUNCTION("""COMPUTED_VALUE"""),0.9156403104138563)</f>
        <v>0.9156403104</v>
      </c>
      <c r="AO707" s="57">
        <f>IFERROR(__xludf.DUMMYFUNCTION("""COMPUTED_VALUE"""),0.9714217309662222)</f>
        <v>0.971421731</v>
      </c>
      <c r="AP707" s="35">
        <f>IFERROR(__xludf.DUMMYFUNCTION("""COMPUTED_VALUE"""),0.7295120368524216)</f>
        <v>0.7295120369</v>
      </c>
      <c r="AQ707" s="57">
        <f>IFERROR(__xludf.DUMMYFUNCTION("""COMPUTED_VALUE"""),1.000305433951661)</f>
        <v>1.000305434</v>
      </c>
      <c r="AR707" s="36" t="b">
        <f>IFERROR(__xludf.DUMMYFUNCTION("""COMPUTED_VALUE"""),TRUE)</f>
        <v>1</v>
      </c>
      <c r="AS707" s="57"/>
      <c r="AT707" s="37"/>
      <c r="AU707" s="30"/>
      <c r="AV707" s="30"/>
      <c r="AW707" s="30"/>
      <c r="AX707" s="30"/>
      <c r="AY707" s="30"/>
      <c r="AZ707" s="30"/>
    </row>
    <row r="708">
      <c r="A708" s="30" t="str">
        <f>IFERROR(__xludf.DUMMYFUNCTION("""COMPUTED_VALUE"""),"Rival")</f>
        <v>Rival</v>
      </c>
      <c r="B708" s="30" t="str">
        <f>IFERROR(__xludf.DUMMYFUNCTION("""COMPUTED_VALUE"""),"RSC000331")</f>
        <v>RSC000331</v>
      </c>
      <c r="C708" s="30" t="str">
        <f>IFERROR(__xludf.DUMMYFUNCTION("""COMPUTED_VALUE"""),"Turtle_Supreme")</f>
        <v>Turtle_Supreme</v>
      </c>
      <c r="D708" s="31"/>
      <c r="E708" s="31">
        <f>IFERROR(__xludf.DUMMYFUNCTION("""COMPUTED_VALUE"""),10.895698239729072)</f>
        <v>10.89569824</v>
      </c>
      <c r="F708" s="31">
        <f>IFERROR(__xludf.DUMMYFUNCTION("""COMPUTED_VALUE"""),-16.98122051574579)</f>
        <v>-16.98122052</v>
      </c>
      <c r="G708" s="31">
        <f>IFERROR(__xludf.DUMMYFUNCTION("""COMPUTED_VALUE"""),21.265031933986073)</f>
        <v>21.26503193</v>
      </c>
      <c r="H708" s="31">
        <f>IFERROR(__xludf.DUMMYFUNCTION("""COMPUTED_VALUE"""),-7.987488189806723)</f>
        <v>-7.98748819</v>
      </c>
      <c r="I708" s="54">
        <f>IFERROR(__xludf.DUMMYFUNCTION("""COMPUTED_VALUE"""),20.0)</f>
        <v>20</v>
      </c>
      <c r="J708" s="55">
        <f>IFERROR(__xludf.DUMMYFUNCTION("""COMPUTED_VALUE"""),5.0)</f>
        <v>5</v>
      </c>
      <c r="K708" s="54">
        <f>IFERROR(__xludf.DUMMYFUNCTION("""COMPUTED_VALUE"""),15.0)</f>
        <v>15</v>
      </c>
      <c r="L708" s="56">
        <f>IFERROR(__xludf.DUMMYFUNCTION("""COMPUTED_VALUE"""),0.25)</f>
        <v>0.25</v>
      </c>
      <c r="M708" s="56">
        <f>IFERROR(__xludf.DUMMYFUNCTION("""COMPUTED_VALUE"""),0.13513513513513511)</f>
        <v>0.1351351351</v>
      </c>
      <c r="N708" s="31">
        <f>IFERROR(__xludf.DUMMYFUNCTION("""COMPUTED_VALUE"""),293.95)</f>
        <v>293.95</v>
      </c>
      <c r="O708" s="57">
        <f>IFERROR(__xludf.DUMMYFUNCTION("""COMPUTED_VALUE"""),0.25)</f>
        <v>0.25</v>
      </c>
      <c r="P708" s="57">
        <f>IFERROR(__xludf.DUMMYFUNCTION("""COMPUTED_VALUE"""),0.4)</f>
        <v>0.4</v>
      </c>
      <c r="Q708" s="57">
        <f>IFERROR(__xludf.DUMMYFUNCTION("""COMPUTED_VALUE"""),1.5)</f>
        <v>1.5</v>
      </c>
      <c r="R708" s="57">
        <f>IFERROR(__xludf.DUMMYFUNCTION("""COMPUTED_VALUE"""),1.85)</f>
        <v>1.85</v>
      </c>
      <c r="S708" s="31">
        <f>IFERROR(__xludf.DUMMYFUNCTION("""COMPUTED_VALUE"""),375.6333333333333)</f>
        <v>375.6333333</v>
      </c>
      <c r="T708" s="57">
        <f>IFERROR(__xludf.DUMMYFUNCTION("""COMPUTED_VALUE"""),0.9)</f>
        <v>0.9</v>
      </c>
      <c r="U708" s="57">
        <f>IFERROR(__xludf.DUMMYFUNCTION("""COMPUTED_VALUE"""),0.6666666666666666)</f>
        <v>0.6666666667</v>
      </c>
      <c r="V708" s="57">
        <f>IFERROR(__xludf.DUMMYFUNCTION("""COMPUTED_VALUE"""),1.2500000000000002)</f>
        <v>1.25</v>
      </c>
      <c r="W708" s="57">
        <f>IFERROR(__xludf.DUMMYFUNCTION("""COMPUTED_VALUE"""),3.1333333333333337)</f>
        <v>3.133333333</v>
      </c>
      <c r="X708" s="31">
        <f>IFERROR(__xludf.DUMMYFUNCTION("""COMPUTED_VALUE"""),358.8940374807888)</f>
        <v>358.8940375</v>
      </c>
      <c r="Y708" s="57">
        <f>IFERROR(__xludf.DUMMYFUNCTION("""COMPUTED_VALUE"""),0.8635669025637001)</f>
        <v>0.8635669026</v>
      </c>
      <c r="Z708" s="57">
        <f>IFERROR(__xludf.DUMMYFUNCTION("""COMPUTED_VALUE"""),0.5905769665648599)</f>
        <v>0.5905769666</v>
      </c>
      <c r="AA708" s="57">
        <f>IFERROR(__xludf.DUMMYFUNCTION("""COMPUTED_VALUE"""),1.3310895715503397)</f>
        <v>1.331089572</v>
      </c>
      <c r="AB708" s="57">
        <f>IFERROR(__xludf.DUMMYFUNCTION("""COMPUTED_VALUE"""),2.7181282506838356)</f>
        <v>2.718128251</v>
      </c>
      <c r="AC708" s="31">
        <f>IFERROR(__xludf.DUMMYFUNCTION("""COMPUTED_VALUE"""),343.4602361379403)</f>
        <v>343.4602361</v>
      </c>
      <c r="AD708" s="57">
        <f>IFERROR(__xludf.DUMMYFUNCTION("""COMPUTED_VALUE"""),0.7526982438468854)</f>
        <v>0.7526982438</v>
      </c>
      <c r="AE708" s="57">
        <f>IFERROR(__xludf.DUMMYFUNCTION("""COMPUTED_VALUE"""),0.540865017266708)</f>
        <v>0.5408650173</v>
      </c>
      <c r="AF708" s="57">
        <f>IFERROR(__xludf.DUMMYFUNCTION("""COMPUTED_VALUE"""),1.3325627546679804)</f>
        <v>1.332562755</v>
      </c>
      <c r="AG708" s="57">
        <f>IFERROR(__xludf.DUMMYFUNCTION("""COMPUTED_VALUE"""),2.602234347471191)</f>
        <v>2.602234347</v>
      </c>
      <c r="AH708" s="57">
        <f>IFERROR(__xludf.DUMMYFUNCTION("""COMPUTED_VALUE"""),0.8558487098982369)</f>
        <v>0.8558487099</v>
      </c>
      <c r="AI708" s="57">
        <f>IFERROR(__xludf.DUMMYFUNCTION("""COMPUTED_VALUE"""),0.3321384127619344)</f>
        <v>0.3321384128</v>
      </c>
      <c r="AJ708" s="57">
        <f>IFERROR(__xludf.DUMMYFUNCTION("""COMPUTED_VALUE"""),0.7395560578523319)</f>
        <v>0.7395560579</v>
      </c>
      <c r="AK708" s="57">
        <f>IFERROR(__xludf.DUMMYFUNCTION("""COMPUTED_VALUE"""),1.1256505517248514)</f>
        <v>1.125650552</v>
      </c>
      <c r="AL708" s="57">
        <f>IFERROR(__xludf.DUMMYFUNCTION("""COMPUTED_VALUE"""),0.7109275157319325)</f>
        <v>0.7109275157</v>
      </c>
      <c r="AM708" s="57">
        <f>IFERROR(__xludf.DUMMYFUNCTION("""COMPUTED_VALUE"""),1.0466413317146306)</f>
        <v>1.046641332</v>
      </c>
      <c r="AN708" s="57">
        <f>IFERROR(__xludf.DUMMYFUNCTION("""COMPUTED_VALUE"""),1.0421890849778284)</f>
        <v>1.042189085</v>
      </c>
      <c r="AO708" s="57">
        <f>IFERROR(__xludf.DUMMYFUNCTION("""COMPUTED_VALUE"""),1.1288395999329077)</f>
        <v>1.1288396</v>
      </c>
      <c r="AP708" s="35">
        <f>IFERROR(__xludf.DUMMYFUNCTION("""COMPUTED_VALUE"""),0.9390803043735868)</f>
        <v>0.9390803044</v>
      </c>
      <c r="AQ708" s="57">
        <f>IFERROR(__xludf.DUMMYFUNCTION("""COMPUTED_VALUE"""),1.1527540440908333)</f>
        <v>1.152754044</v>
      </c>
      <c r="AR708" s="36" t="b">
        <f>IFERROR(__xludf.DUMMYFUNCTION("""COMPUTED_VALUE"""),TRUE)</f>
        <v>1</v>
      </c>
      <c r="AS708" s="57"/>
      <c r="AT708" s="37"/>
      <c r="AU708" s="30"/>
      <c r="AV708" s="30"/>
      <c r="AW708" s="30"/>
      <c r="AX708" s="30"/>
      <c r="AY708" s="30"/>
      <c r="AZ708" s="30"/>
    </row>
    <row r="709">
      <c r="A709" s="30" t="str">
        <f>IFERROR(__xludf.DUMMYFUNCTION("""COMPUTED_VALUE"""),"Rival")</f>
        <v>Rival</v>
      </c>
      <c r="B709" s="30" t="str">
        <f>IFERROR(__xludf.DUMMYFUNCTION("""COMPUTED_VALUE"""),"RSC005699")</f>
        <v>RSC005699</v>
      </c>
      <c r="C709" s="30" t="str">
        <f>IFERROR(__xludf.DUMMYFUNCTION("""COMPUTED_VALUE"""),"masdhapotatoes")</f>
        <v>masdhapotatoes</v>
      </c>
      <c r="D709" s="31" t="str">
        <f>IFERROR(__xludf.DUMMYFUNCTION("""COMPUTED_VALUE"""),"Bulldozers")</f>
        <v>Bulldozers</v>
      </c>
      <c r="E709" s="31">
        <f>IFERROR(__xludf.DUMMYFUNCTION("""COMPUTED_VALUE"""),8.667317176806165)</f>
        <v>8.667317177</v>
      </c>
      <c r="F709" s="31">
        <f>IFERROR(__xludf.DUMMYFUNCTION("""COMPUTED_VALUE"""),-20.352435922200648)</f>
        <v>-20.35243592</v>
      </c>
      <c r="G709" s="31">
        <f>IFERROR(__xludf.DUMMYFUNCTION("""COMPUTED_VALUE"""),17.48276185213185)</f>
        <v>17.48276185</v>
      </c>
      <c r="H709" s="31">
        <f>IFERROR(__xludf.DUMMYFUNCTION("""COMPUTED_VALUE"""),-10.34314688329239)</f>
        <v>-10.34314688</v>
      </c>
      <c r="I709" s="54">
        <f>IFERROR(__xludf.DUMMYFUNCTION("""COMPUTED_VALUE"""),4.0)</f>
        <v>4</v>
      </c>
      <c r="J709" s="55">
        <f>IFERROR(__xludf.DUMMYFUNCTION("""COMPUTED_VALUE"""),1.0)</f>
        <v>1</v>
      </c>
      <c r="K709" s="54">
        <f>IFERROR(__xludf.DUMMYFUNCTION("""COMPUTED_VALUE"""),3.0)</f>
        <v>3</v>
      </c>
      <c r="L709" s="56">
        <f>IFERROR(__xludf.DUMMYFUNCTION("""COMPUTED_VALUE"""),0.25)</f>
        <v>0.25</v>
      </c>
      <c r="M709" s="56">
        <f>IFERROR(__xludf.DUMMYFUNCTION("""COMPUTED_VALUE"""),0.16666666666666666)</f>
        <v>0.1666666667</v>
      </c>
      <c r="N709" s="31">
        <f>IFERROR(__xludf.DUMMYFUNCTION("""COMPUTED_VALUE"""),283.5)</f>
        <v>283.5</v>
      </c>
      <c r="O709" s="57">
        <f>IFERROR(__xludf.DUMMYFUNCTION("""COMPUTED_VALUE"""),0.25)</f>
        <v>0.25</v>
      </c>
      <c r="P709" s="57">
        <f>IFERROR(__xludf.DUMMYFUNCTION("""COMPUTED_VALUE"""),0.5)</f>
        <v>0.5</v>
      </c>
      <c r="Q709" s="57">
        <f>IFERROR(__xludf.DUMMYFUNCTION("""COMPUTED_VALUE"""),1.75)</f>
        <v>1.75</v>
      </c>
      <c r="R709" s="57">
        <f>IFERROR(__xludf.DUMMYFUNCTION("""COMPUTED_VALUE"""),1.5)</f>
        <v>1.5</v>
      </c>
      <c r="S709" s="31">
        <f>IFERROR(__xludf.DUMMYFUNCTION("""COMPUTED_VALUE"""),389.41666666666663)</f>
        <v>389.4166667</v>
      </c>
      <c r="T709" s="57">
        <f>IFERROR(__xludf.DUMMYFUNCTION("""COMPUTED_VALUE"""),1.0833333333333333)</f>
        <v>1.083333333</v>
      </c>
      <c r="U709" s="57">
        <f>IFERROR(__xludf.DUMMYFUNCTION("""COMPUTED_VALUE"""),0.6666666666666666)</f>
        <v>0.6666666667</v>
      </c>
      <c r="V709" s="57">
        <f>IFERROR(__xludf.DUMMYFUNCTION("""COMPUTED_VALUE"""),1.3333333333333333)</f>
        <v>1.333333333</v>
      </c>
      <c r="W709" s="57">
        <f>IFERROR(__xludf.DUMMYFUNCTION("""COMPUTED_VALUE"""),3.0000000000000004)</f>
        <v>3</v>
      </c>
      <c r="X709" s="31">
        <f>IFERROR(__xludf.DUMMYFUNCTION("""COMPUTED_VALUE"""),352.2751527042155)</f>
        <v>352.2751527</v>
      </c>
      <c r="Y709" s="57">
        <f>IFERROR(__xludf.DUMMYFUNCTION("""COMPUTED_VALUE"""),0.8123171169931533)</f>
        <v>0.812317117</v>
      </c>
      <c r="Z709" s="57">
        <f>IFERROR(__xludf.DUMMYFUNCTION("""COMPUTED_VALUE"""),0.5737781456726339)</f>
        <v>0.5737781457</v>
      </c>
      <c r="AA709" s="57">
        <f>IFERROR(__xludf.DUMMYFUNCTION("""COMPUTED_VALUE"""),1.303915666936118)</f>
        <v>1.303915667</v>
      </c>
      <c r="AB709" s="57">
        <f>IFERROR(__xludf.DUMMYFUNCTION("""COMPUTED_VALUE"""),2.6661398657455146)</f>
        <v>2.666139866</v>
      </c>
      <c r="AC709" s="31">
        <f>IFERROR(__xludf.DUMMYFUNCTION("""COMPUTED_VALUE"""),338.11506787064496)</f>
        <v>338.1150679</v>
      </c>
      <c r="AD709" s="57">
        <f>IFERROR(__xludf.DUMMYFUNCTION("""COMPUTED_VALUE"""),0.688955532445689)</f>
        <v>0.6889555324</v>
      </c>
      <c r="AE709" s="57">
        <f>IFERROR(__xludf.DUMMYFUNCTION("""COMPUTED_VALUE"""),0.5104140642532518)</f>
        <v>0.5104140643</v>
      </c>
      <c r="AF709" s="57">
        <f>IFERROR(__xludf.DUMMYFUNCTION("""COMPUTED_VALUE"""),1.3717274658729628)</f>
        <v>1.371727466</v>
      </c>
      <c r="AG709" s="57">
        <f>IFERROR(__xludf.DUMMYFUNCTION("""COMPUTED_VALUE"""),2.459302889445116)</f>
        <v>2.459302889</v>
      </c>
      <c r="AH709" s="57">
        <f>IFERROR(__xludf.DUMMYFUNCTION("""COMPUTED_VALUE"""),0.8384719491663133)</f>
        <v>0.8384719492</v>
      </c>
      <c r="AI709" s="57">
        <f>IFERROR(__xludf.DUMMYFUNCTION("""COMPUTED_VALUE"""),0.3628681217095934)</f>
        <v>0.3628681217</v>
      </c>
      <c r="AJ709" s="57">
        <f>IFERROR(__xludf.DUMMYFUNCTION("""COMPUTED_VALUE"""),0.9795968313128522)</f>
        <v>0.9795968313</v>
      </c>
      <c r="AK709" s="57">
        <f>IFERROR(__xludf.DUMMYFUNCTION("""COMPUTED_VALUE"""),1.2757636218112072)</f>
        <v>1.275763622</v>
      </c>
      <c r="AL709" s="57">
        <f>IFERROR(__xludf.DUMMYFUNCTION("""COMPUTED_VALUE"""),0.6099289381709464)</f>
        <v>0.6099289382</v>
      </c>
      <c r="AM709" s="57">
        <f>IFERROR(__xludf.DUMMYFUNCTION("""COMPUTED_VALUE"""),1.105433249201191)</f>
        <v>1.105433249</v>
      </c>
      <c r="AN709" s="57">
        <f>IFERROR(__xludf.DUMMYFUNCTION("""COMPUTED_VALUE"""),1.3336335166041615)</f>
        <v>1.333633517</v>
      </c>
      <c r="AO709" s="57">
        <f>IFERROR(__xludf.DUMMYFUNCTION("""COMPUTED_VALUE"""),1.1618892627657342)</f>
        <v>1.161889263</v>
      </c>
      <c r="AP709" s="35">
        <f>IFERROR(__xludf.DUMMYFUNCTION("""COMPUTED_VALUE"""),1.0225610192002215)</f>
        <v>1.022561019</v>
      </c>
      <c r="AQ709" s="57">
        <f>IFERROR(__xludf.DUMMYFUNCTION("""COMPUTED_VALUE"""),1.1252222880516927)</f>
        <v>1.125222288</v>
      </c>
      <c r="AR709" s="36" t="b">
        <f>IFERROR(__xludf.DUMMYFUNCTION("""COMPUTED_VALUE"""),TRUE)</f>
        <v>1</v>
      </c>
      <c r="AS709" s="57"/>
      <c r="AT709" s="37"/>
      <c r="AU709" s="30"/>
      <c r="AV709" s="30"/>
      <c r="AW709" s="30"/>
      <c r="AX709" s="30"/>
      <c r="AY709" s="30"/>
      <c r="AZ709" s="30"/>
    </row>
    <row r="710">
      <c r="A710" s="30" t="str">
        <f>IFERROR(__xludf.DUMMYFUNCTION("""COMPUTED_VALUE"""),"Rival")</f>
        <v>Rival</v>
      </c>
      <c r="B710" s="30" t="str">
        <f>IFERROR(__xludf.DUMMYFUNCTION("""COMPUTED_VALUE"""),"RSC002413")</f>
        <v>RSC002413</v>
      </c>
      <c r="C710" s="30" t="str">
        <f>IFERROR(__xludf.DUMMYFUNCTION("""COMPUTED_VALUE"""),"dafiya711")</f>
        <v>dafiya711</v>
      </c>
      <c r="D710" s="31" t="str">
        <f>IFERROR(__xludf.DUMMYFUNCTION("""COMPUTED_VALUE"""),"Hippos")</f>
        <v>Hippos</v>
      </c>
      <c r="E710" s="31">
        <f>IFERROR(__xludf.DUMMYFUNCTION("""COMPUTED_VALUE"""),8.449384094045335)</f>
        <v>8.449384094</v>
      </c>
      <c r="F710" s="31">
        <f>IFERROR(__xludf.DUMMYFUNCTION("""COMPUTED_VALUE"""),-20.723706033484802)</f>
        <v>-20.72370603</v>
      </c>
      <c r="G710" s="31">
        <f>IFERROR(__xludf.DUMMYFUNCTION("""COMPUTED_VALUE"""),10.287245332596449)</f>
        <v>10.28724533</v>
      </c>
      <c r="H710" s="31">
        <f>IFERROR(__xludf.DUMMYFUNCTION("""COMPUTED_VALUE"""),-17.829917302063613)</f>
        <v>-17.8299173</v>
      </c>
      <c r="I710" s="54">
        <f>IFERROR(__xludf.DUMMYFUNCTION("""COMPUTED_VALUE"""),4.0)</f>
        <v>4</v>
      </c>
      <c r="J710" s="55">
        <f>IFERROR(__xludf.DUMMYFUNCTION("""COMPUTED_VALUE"""),1.0)</f>
        <v>1</v>
      </c>
      <c r="K710" s="54">
        <f>IFERROR(__xludf.DUMMYFUNCTION("""COMPUTED_VALUE"""),3.0)</f>
        <v>3</v>
      </c>
      <c r="L710" s="56">
        <f>IFERROR(__xludf.DUMMYFUNCTION("""COMPUTED_VALUE"""),0.25)</f>
        <v>0.25</v>
      </c>
      <c r="M710" s="56">
        <f>IFERROR(__xludf.DUMMYFUNCTION("""COMPUTED_VALUE"""),0.125)</f>
        <v>0.125</v>
      </c>
      <c r="N710" s="31">
        <f>IFERROR(__xludf.DUMMYFUNCTION("""COMPUTED_VALUE"""),265.25)</f>
        <v>265.25</v>
      </c>
      <c r="O710" s="57">
        <f>IFERROR(__xludf.DUMMYFUNCTION("""COMPUTED_VALUE"""),0.25)</f>
        <v>0.25</v>
      </c>
      <c r="P710" s="57">
        <f>IFERROR(__xludf.DUMMYFUNCTION("""COMPUTED_VALUE"""),0.25)</f>
        <v>0.25</v>
      </c>
      <c r="Q710" s="57">
        <f>IFERROR(__xludf.DUMMYFUNCTION("""COMPUTED_VALUE"""),1.0)</f>
        <v>1</v>
      </c>
      <c r="R710" s="57">
        <f>IFERROR(__xludf.DUMMYFUNCTION("""COMPUTED_VALUE"""),2.0)</f>
        <v>2</v>
      </c>
      <c r="S710" s="31">
        <f>IFERROR(__xludf.DUMMYFUNCTION("""COMPUTED_VALUE"""),364.58333333333337)</f>
        <v>364.5833333</v>
      </c>
      <c r="T710" s="57">
        <f>IFERROR(__xludf.DUMMYFUNCTION("""COMPUTED_VALUE"""),1.0)</f>
        <v>1</v>
      </c>
      <c r="U710" s="57">
        <f>IFERROR(__xludf.DUMMYFUNCTION("""COMPUTED_VALUE"""),0.41666666666666663)</f>
        <v>0.4166666667</v>
      </c>
      <c r="V710" s="57">
        <f>IFERROR(__xludf.DUMMYFUNCTION("""COMPUTED_VALUE"""),1.25)</f>
        <v>1.25</v>
      </c>
      <c r="W710" s="57">
        <f>IFERROR(__xludf.DUMMYFUNCTION("""COMPUTED_VALUE"""),3.1666666666666665)</f>
        <v>3.166666667</v>
      </c>
      <c r="X710" s="31">
        <f>IFERROR(__xludf.DUMMYFUNCTION("""COMPUTED_VALUE"""),361.9639479905438)</f>
        <v>361.963948</v>
      </c>
      <c r="Y710" s="57">
        <f>IFERROR(__xludf.DUMMYFUNCTION("""COMPUTED_VALUE"""),0.8202772404900065)</f>
        <v>0.8202772405</v>
      </c>
      <c r="Z710" s="57">
        <f>IFERROR(__xludf.DUMMYFUNCTION("""COMPUTED_VALUE"""),0.516387277025575)</f>
        <v>0.516387277</v>
      </c>
      <c r="AA710" s="57">
        <f>IFERROR(__xludf.DUMMYFUNCTION("""COMPUTED_VALUE"""),1.3639587362991616)</f>
        <v>1.363958736</v>
      </c>
      <c r="AB710" s="57">
        <f>IFERROR(__xludf.DUMMYFUNCTION("""COMPUTED_VALUE"""),2.5953148506339994)</f>
        <v>2.595314851</v>
      </c>
      <c r="AC710" s="31">
        <f>IFERROR(__xludf.DUMMYFUNCTION("""COMPUTED_VALUE"""),334.9195501110395)</f>
        <v>334.9195501</v>
      </c>
      <c r="AD710" s="57">
        <f>IFERROR(__xludf.DUMMYFUNCTION("""COMPUTED_VALUE"""),0.6182033096926713)</f>
        <v>0.6182033097</v>
      </c>
      <c r="AE710" s="57">
        <f>IFERROR(__xludf.DUMMYFUNCTION("""COMPUTED_VALUE"""),0.4218962676409485)</f>
        <v>0.4218962676</v>
      </c>
      <c r="AF710" s="57">
        <f>IFERROR(__xludf.DUMMYFUNCTION("""COMPUTED_VALUE"""),1.5114621391217136)</f>
        <v>1.511462139</v>
      </c>
      <c r="AG710" s="57">
        <f>IFERROR(__xludf.DUMMYFUNCTION("""COMPUTED_VALUE"""),2.341124006017623)</f>
        <v>2.341124006</v>
      </c>
      <c r="AH710" s="57">
        <f>IFERROR(__xludf.DUMMYFUNCTION("""COMPUTED_VALUE"""),0.7919812382169354)</f>
        <v>0.7919812382</v>
      </c>
      <c r="AI710" s="57">
        <f>IFERROR(__xludf.DUMMYFUNCTION("""COMPUTED_VALUE"""),0.4043977055449331)</f>
        <v>0.4043977055</v>
      </c>
      <c r="AJ710" s="57">
        <f>IFERROR(__xludf.DUMMYFUNCTION("""COMPUTED_VALUE"""),0.5925627202105531)</f>
        <v>0.5925627202</v>
      </c>
      <c r="AK710" s="57">
        <f>IFERROR(__xludf.DUMMYFUNCTION("""COMPUTED_VALUE"""),0.6616110150010664)</f>
        <v>0.661611015</v>
      </c>
      <c r="AL710" s="57">
        <f>IFERROR(__xludf.DUMMYFUNCTION("""COMPUTED_VALUE"""),0.8542905009983246)</f>
        <v>0.854290501</v>
      </c>
      <c r="AM710" s="57">
        <f>IFERROR(__xludf.DUMMYFUNCTION("""COMPUTED_VALUE"""),1.0072365918134423)</f>
        <v>1.007236592</v>
      </c>
      <c r="AN710" s="57">
        <f>IFERROR(__xludf.DUMMYFUNCTION("""COMPUTED_VALUE"""),1.219100019650226)</f>
        <v>1.21910002</v>
      </c>
      <c r="AO710" s="57">
        <f>IFERROR(__xludf.DUMMYFUNCTION("""COMPUTED_VALUE"""),0.8068879409010506)</f>
        <v>0.8068879409</v>
      </c>
      <c r="AP710" s="35">
        <f>IFERROR(__xludf.DUMMYFUNCTION("""COMPUTED_VALUE"""),0.9164500118175374)</f>
        <v>0.9164500118</v>
      </c>
      <c r="AQ710" s="57">
        <f>IFERROR(__xludf.DUMMYFUNCTION("""COMPUTED_VALUE"""),1.2201473998012586)</f>
        <v>1.2201474</v>
      </c>
      <c r="AR710" s="36" t="b">
        <f>IFERROR(__xludf.DUMMYFUNCTION("""COMPUTED_VALUE"""),TRUE)</f>
        <v>1</v>
      </c>
      <c r="AS710" s="57"/>
      <c r="AT710" s="37"/>
      <c r="AU710" s="30"/>
      <c r="AV710" s="30"/>
      <c r="AW710" s="30"/>
      <c r="AX710" s="30"/>
      <c r="AY710" s="30"/>
      <c r="AZ710" s="30"/>
    </row>
    <row r="711">
      <c r="A711" s="30" t="str">
        <f>IFERROR(__xludf.DUMMYFUNCTION("""COMPUTED_VALUE"""),"Rival")</f>
        <v>Rival</v>
      </c>
      <c r="B711" s="30" t="str">
        <f>IFERROR(__xludf.DUMMYFUNCTION("""COMPUTED_VALUE"""),"RSC005294")</f>
        <v>RSC005294</v>
      </c>
      <c r="C711" s="30" t="str">
        <f>IFERROR(__xludf.DUMMYFUNCTION("""COMPUTED_VALUE"""),"mogulmaniac5480")</f>
        <v>mogulmaniac5480</v>
      </c>
      <c r="D711" s="31"/>
      <c r="E711" s="31">
        <f>IFERROR(__xludf.DUMMYFUNCTION("""COMPUTED_VALUE"""),4.149450973444203)</f>
        <v>4.149450973</v>
      </c>
      <c r="F711" s="31">
        <f>IFERROR(__xludf.DUMMYFUNCTION("""COMPUTED_VALUE"""),-30.007171278962808)</f>
        <v>-30.00717128</v>
      </c>
      <c r="G711" s="31">
        <f>IFERROR(__xludf.DUMMYFUNCTION("""COMPUTED_VALUE"""),26.643731933602048)</f>
        <v>26.64373193</v>
      </c>
      <c r="H711" s="31">
        <f>IFERROR(__xludf.DUMMYFUNCTION("""COMPUTED_VALUE"""),-5.711436902619487)</f>
        <v>-5.711436903</v>
      </c>
      <c r="I711" s="54">
        <f>IFERROR(__xludf.DUMMYFUNCTION("""COMPUTED_VALUE"""),4.0)</f>
        <v>4</v>
      </c>
      <c r="J711" s="55">
        <f>IFERROR(__xludf.DUMMYFUNCTION("""COMPUTED_VALUE"""),1.0)</f>
        <v>1</v>
      </c>
      <c r="K711" s="54">
        <f>IFERROR(__xludf.DUMMYFUNCTION("""COMPUTED_VALUE"""),3.0)</f>
        <v>3</v>
      </c>
      <c r="L711" s="56">
        <f>IFERROR(__xludf.DUMMYFUNCTION("""COMPUTED_VALUE"""),0.25)</f>
        <v>0.25</v>
      </c>
      <c r="M711" s="56">
        <f>IFERROR(__xludf.DUMMYFUNCTION("""COMPUTED_VALUE"""),0.0625)</f>
        <v>0.0625</v>
      </c>
      <c r="N711" s="31">
        <f>IFERROR(__xludf.DUMMYFUNCTION("""COMPUTED_VALUE"""),274.0)</f>
        <v>274</v>
      </c>
      <c r="O711" s="57">
        <f>IFERROR(__xludf.DUMMYFUNCTION("""COMPUTED_VALUE"""),0.25)</f>
        <v>0.25</v>
      </c>
      <c r="P711" s="57">
        <f>IFERROR(__xludf.DUMMYFUNCTION("""COMPUTED_VALUE"""),0.25)</f>
        <v>0.25</v>
      </c>
      <c r="Q711" s="57">
        <f>IFERROR(__xludf.DUMMYFUNCTION("""COMPUTED_VALUE"""),1.0)</f>
        <v>1</v>
      </c>
      <c r="R711" s="57">
        <f>IFERROR(__xludf.DUMMYFUNCTION("""COMPUTED_VALUE"""),4.0)</f>
        <v>4</v>
      </c>
      <c r="S711" s="31">
        <f>IFERROR(__xludf.DUMMYFUNCTION("""COMPUTED_VALUE"""),391.3333333333333)</f>
        <v>391.3333333</v>
      </c>
      <c r="T711" s="57">
        <f>IFERROR(__xludf.DUMMYFUNCTION("""COMPUTED_VALUE"""),0.8333333333333333)</f>
        <v>0.8333333333</v>
      </c>
      <c r="U711" s="57">
        <f>IFERROR(__xludf.DUMMYFUNCTION("""COMPUTED_VALUE"""),0.7499999999999999)</f>
        <v>0.75</v>
      </c>
      <c r="V711" s="57">
        <f>IFERROR(__xludf.DUMMYFUNCTION("""COMPUTED_VALUE"""),1.9166666666666665)</f>
        <v>1.916666667</v>
      </c>
      <c r="W711" s="57">
        <f>IFERROR(__xludf.DUMMYFUNCTION("""COMPUTED_VALUE"""),2.416666666666667)</f>
        <v>2.416666667</v>
      </c>
      <c r="X711" s="31">
        <f>IFERROR(__xludf.DUMMYFUNCTION("""COMPUTED_VALUE"""),303.02720943449845)</f>
        <v>303.0272094</v>
      </c>
      <c r="Y711" s="57">
        <f>IFERROR(__xludf.DUMMYFUNCTION("""COMPUTED_VALUE"""),0.5811842853083262)</f>
        <v>0.5811842853</v>
      </c>
      <c r="Z711" s="57">
        <f>IFERROR(__xludf.DUMMYFUNCTION("""COMPUTED_VALUE"""),0.375355214549588)</f>
        <v>0.3753552145</v>
      </c>
      <c r="AA711" s="57">
        <f>IFERROR(__xludf.DUMMYFUNCTION("""COMPUTED_VALUE"""),1.307136260301222)</f>
        <v>1.30713626</v>
      </c>
      <c r="AB711" s="57">
        <f>IFERROR(__xludf.DUMMYFUNCTION("""COMPUTED_VALUE"""),2.0549694515487356)</f>
        <v>2.054969452</v>
      </c>
      <c r="AC711" s="31">
        <f>IFERROR(__xludf.DUMMYFUNCTION("""COMPUTED_VALUE"""),375.2674410343847)</f>
        <v>375.267441</v>
      </c>
      <c r="AD711" s="57">
        <f>IFERROR(__xludf.DUMMYFUNCTION("""COMPUTED_VALUE"""),1.0025161030595813)</f>
        <v>1.002516103</v>
      </c>
      <c r="AE711" s="57">
        <f>IFERROR(__xludf.DUMMYFUNCTION("""COMPUTED_VALUE"""),0.7273846736762338)</f>
        <v>0.7273846737</v>
      </c>
      <c r="AF711" s="57">
        <f>IFERROR(__xludf.DUMMYFUNCTION("""COMPUTED_VALUE"""),1.204692384200057)</f>
        <v>1.204692384</v>
      </c>
      <c r="AG711" s="57">
        <f>IFERROR(__xludf.DUMMYFUNCTION("""COMPUTED_VALUE"""),2.9621282087714307)</f>
        <v>2.962128209</v>
      </c>
      <c r="AH711" s="57">
        <f>IFERROR(__xludf.DUMMYFUNCTION("""COMPUTED_VALUE"""),0.7301459440359339)</f>
        <v>0.730145944</v>
      </c>
      <c r="AI711" s="57">
        <f>IFERROR(__xludf.DUMMYFUNCTION("""COMPUTED_VALUE"""),0.2493725529565305)</f>
        <v>0.249372553</v>
      </c>
      <c r="AJ711" s="57">
        <f>IFERROR(__xludf.DUMMYFUNCTION("""COMPUTED_VALUE"""),0.34369709597603854)</f>
        <v>0.343697096</v>
      </c>
      <c r="AK711" s="57">
        <f>IFERROR(__xludf.DUMMYFUNCTION("""COMPUTED_VALUE"""),0.8300874257323563)</f>
        <v>0.8300874257</v>
      </c>
      <c r="AL711" s="57">
        <f>IFERROR(__xludf.DUMMYFUNCTION("""COMPUTED_VALUE"""),1.3503804420602834)</f>
        <v>1.350380442</v>
      </c>
      <c r="AM711" s="57">
        <f>IFERROR(__xludf.DUMMYFUNCTION("""COMPUTED_VALUE"""),1.291413183864345)</f>
        <v>1.291413184</v>
      </c>
      <c r="AN711" s="57">
        <f>IFERROR(__xludf.DUMMYFUNCTION("""COMPUTED_VALUE"""),1.4338538642544998)</f>
        <v>1.433853864</v>
      </c>
      <c r="AO711" s="57">
        <f>IFERROR(__xludf.DUMMYFUNCTION("""COMPUTED_VALUE"""),1.9981073152266486)</f>
        <v>1.998107315</v>
      </c>
      <c r="AP711" s="35">
        <f>IFERROR(__xludf.DUMMYFUNCTION("""COMPUTED_VALUE"""),1.466309768061198)</f>
        <v>1.466309768</v>
      </c>
      <c r="AQ711" s="57">
        <f>IFERROR(__xludf.DUMMYFUNCTION("""COMPUTED_VALUE"""),1.1760109936648142)</f>
        <v>1.176010994</v>
      </c>
      <c r="AR711" s="36" t="b">
        <f>IFERROR(__xludf.DUMMYFUNCTION("""COMPUTED_VALUE"""),TRUE)</f>
        <v>1</v>
      </c>
      <c r="AS711" s="57"/>
      <c r="AT711" s="37"/>
      <c r="AU711" s="30"/>
      <c r="AV711" s="30"/>
      <c r="AW711" s="30"/>
      <c r="AX711" s="30"/>
      <c r="AY711" s="30"/>
      <c r="AZ711" s="30"/>
    </row>
    <row r="712">
      <c r="A712" s="30" t="str">
        <f>IFERROR(__xludf.DUMMYFUNCTION("""COMPUTED_VALUE"""),"Rival")</f>
        <v>Rival</v>
      </c>
      <c r="B712" s="30" t="str">
        <f>IFERROR(__xludf.DUMMYFUNCTION("""COMPUTED_VALUE"""),"RSC000726")</f>
        <v>RSC000726</v>
      </c>
      <c r="C712" s="30" t="str">
        <f>IFERROR(__xludf.DUMMYFUNCTION("""COMPUTED_VALUE"""),"Way2Luckee")</f>
        <v>Way2Luckee</v>
      </c>
      <c r="D712" s="31"/>
      <c r="E712" s="31">
        <f>IFERROR(__xludf.DUMMYFUNCTION("""COMPUTED_VALUE"""),3.4788913368193803)</f>
        <v>3.478891337</v>
      </c>
      <c r="F712" s="31">
        <f>IFERROR(__xludf.DUMMYFUNCTION("""COMPUTED_VALUE"""),-31.864303482918917)</f>
        <v>-31.86430348</v>
      </c>
      <c r="G712" s="31">
        <f>IFERROR(__xludf.DUMMYFUNCTION("""COMPUTED_VALUE"""),6.6038541844094)</f>
        <v>6.603854184</v>
      </c>
      <c r="H712" s="31">
        <f>IFERROR(__xludf.DUMMYFUNCTION("""COMPUTED_VALUE"""),-24.215684948215724)</f>
        <v>-24.21568495</v>
      </c>
      <c r="I712" s="54">
        <f>IFERROR(__xludf.DUMMYFUNCTION("""COMPUTED_VALUE"""),4.0)</f>
        <v>4</v>
      </c>
      <c r="J712" s="55">
        <f>IFERROR(__xludf.DUMMYFUNCTION("""COMPUTED_VALUE"""),0.0)</f>
        <v>0</v>
      </c>
      <c r="K712" s="54">
        <f>IFERROR(__xludf.DUMMYFUNCTION("""COMPUTED_VALUE"""),4.0)</f>
        <v>4</v>
      </c>
      <c r="L712" s="56">
        <f>IFERROR(__xludf.DUMMYFUNCTION("""COMPUTED_VALUE"""),0.0)</f>
        <v>0</v>
      </c>
      <c r="M712" s="56">
        <f>IFERROR(__xludf.DUMMYFUNCTION("""COMPUTED_VALUE"""),0.08333333333333333)</f>
        <v>0.08333333333</v>
      </c>
      <c r="N712" s="31">
        <f>IFERROR(__xludf.DUMMYFUNCTION("""COMPUTED_VALUE"""),280.75)</f>
        <v>280.75</v>
      </c>
      <c r="O712" s="57">
        <f>IFERROR(__xludf.DUMMYFUNCTION("""COMPUTED_VALUE"""),0.25)</f>
        <v>0.25</v>
      </c>
      <c r="P712" s="57">
        <f>IFERROR(__xludf.DUMMYFUNCTION("""COMPUTED_VALUE"""),0.5)</f>
        <v>0.5</v>
      </c>
      <c r="Q712" s="57">
        <f>IFERROR(__xludf.DUMMYFUNCTION("""COMPUTED_VALUE"""),1.5)</f>
        <v>1.5</v>
      </c>
      <c r="R712" s="57">
        <f>IFERROR(__xludf.DUMMYFUNCTION("""COMPUTED_VALUE"""),3.0)</f>
        <v>3</v>
      </c>
      <c r="S712" s="31">
        <f>IFERROR(__xludf.DUMMYFUNCTION("""COMPUTED_VALUE"""),538.1666666666666)</f>
        <v>538.1666667</v>
      </c>
      <c r="T712" s="57">
        <f>IFERROR(__xludf.DUMMYFUNCTION("""COMPUTED_VALUE"""),1.8333333333333335)</f>
        <v>1.833333333</v>
      </c>
      <c r="U712" s="57">
        <f>IFERROR(__xludf.DUMMYFUNCTION("""COMPUTED_VALUE"""),1.1666666666666667)</f>
        <v>1.166666667</v>
      </c>
      <c r="V712" s="57">
        <f>IFERROR(__xludf.DUMMYFUNCTION("""COMPUTED_VALUE"""),1.5833333333333333)</f>
        <v>1.583333333</v>
      </c>
      <c r="W712" s="57">
        <f>IFERROR(__xludf.DUMMYFUNCTION("""COMPUTED_VALUE"""),3.9166666666666665)</f>
        <v>3.916666667</v>
      </c>
      <c r="X712" s="31">
        <f>IFERROR(__xludf.DUMMYFUNCTION("""COMPUTED_VALUE"""),384.1804232804233)</f>
        <v>384.1804233</v>
      </c>
      <c r="Y712" s="57">
        <f>IFERROR(__xludf.DUMMYFUNCTION("""COMPUTED_VALUE"""),0.8957671957671959)</f>
        <v>0.8957671958</v>
      </c>
      <c r="Z712" s="57">
        <f>IFERROR(__xludf.DUMMYFUNCTION("""COMPUTED_VALUE"""),0.7227513227513227)</f>
        <v>0.7227513228</v>
      </c>
      <c r="AA712" s="57">
        <f>IFERROR(__xludf.DUMMYFUNCTION("""COMPUTED_VALUE"""),1.5164021164021164)</f>
        <v>1.516402116</v>
      </c>
      <c r="AB712" s="57">
        <f>IFERROR(__xludf.DUMMYFUNCTION("""COMPUTED_VALUE"""),2.793915343915344)</f>
        <v>2.793915344</v>
      </c>
      <c r="AC712" s="31">
        <f>IFERROR(__xludf.DUMMYFUNCTION("""COMPUTED_VALUE"""),358.28253968253966)</f>
        <v>358.2825397</v>
      </c>
      <c r="AD712" s="57">
        <f>IFERROR(__xludf.DUMMYFUNCTION("""COMPUTED_VALUE"""),0.8416225749559082)</f>
        <v>0.841622575</v>
      </c>
      <c r="AE712" s="57">
        <f>IFERROR(__xludf.DUMMYFUNCTION("""COMPUTED_VALUE"""),0.5772486772486771)</f>
        <v>0.5772486772</v>
      </c>
      <c r="AF712" s="57">
        <f>IFERROR(__xludf.DUMMYFUNCTION("""COMPUTED_VALUE"""),1.3746031746031748)</f>
        <v>1.374603175</v>
      </c>
      <c r="AG712" s="57">
        <f>IFERROR(__xludf.DUMMYFUNCTION("""COMPUTED_VALUE"""),2.618430335097002)</f>
        <v>2.618430335</v>
      </c>
      <c r="AH712" s="57">
        <f>IFERROR(__xludf.DUMMYFUNCTION("""COMPUTED_VALUE"""),0.783599447097706)</f>
        <v>0.7835994471</v>
      </c>
      <c r="AI712" s="57">
        <f>IFERROR(__xludf.DUMMYFUNCTION("""COMPUTED_VALUE"""),0.29704526404023474)</f>
        <v>0.297045264</v>
      </c>
      <c r="AJ712" s="57">
        <f>IFERROR(__xludf.DUMMYFUNCTION("""COMPUTED_VALUE"""),0.8661778185151239)</f>
        <v>0.8661778185</v>
      </c>
      <c r="AK712" s="57">
        <f>IFERROR(__xludf.DUMMYFUNCTION("""COMPUTED_VALUE"""),1.0912240184757505)</f>
        <v>1.091224018</v>
      </c>
      <c r="AL712" s="57">
        <f>IFERROR(__xludf.DUMMYFUNCTION("""COMPUTED_VALUE"""),1.1457245815512072)</f>
        <v>1.145724582</v>
      </c>
      <c r="AM712" s="57">
        <f>IFERROR(__xludf.DUMMYFUNCTION("""COMPUTED_VALUE"""),1.4008175171222734)</f>
        <v>1.400817517</v>
      </c>
      <c r="AN712" s="57">
        <f>IFERROR(__xludf.DUMMYFUNCTION("""COMPUTED_VALUE"""),2.0466627288836383)</f>
        <v>2.046662729</v>
      </c>
      <c r="AO712" s="57">
        <f>IFERROR(__xludf.DUMMYFUNCTION("""COMPUTED_VALUE"""),1.6142020497803808)</f>
        <v>1.61420205</v>
      </c>
      <c r="AP712" s="35">
        <f>IFERROR(__xludf.DUMMYFUNCTION("""COMPUTED_VALUE"""),1.0441381716678297)</f>
        <v>1.044138172</v>
      </c>
      <c r="AQ712" s="57">
        <f>IFERROR(__xludf.DUMMYFUNCTION("""COMPUTED_VALUE"""),1.4018558848593883)</f>
        <v>1.401855885</v>
      </c>
      <c r="AR712" s="36" t="b">
        <f>IFERROR(__xludf.DUMMYFUNCTION("""COMPUTED_VALUE"""),TRUE)</f>
        <v>1</v>
      </c>
      <c r="AS712" s="57"/>
      <c r="AT712" s="37"/>
      <c r="AU712" s="30"/>
      <c r="AV712" s="30"/>
      <c r="AW712" s="30"/>
      <c r="AX712" s="30"/>
      <c r="AY712" s="30"/>
      <c r="AZ712" s="30"/>
    </row>
    <row r="713">
      <c r="A713" s="30" t="str">
        <f>IFERROR(__xludf.DUMMYFUNCTION("""COMPUTED_VALUE"""),"Rival")</f>
        <v>Rival</v>
      </c>
      <c r="B713" s="30" t="str">
        <f>IFERROR(__xludf.DUMMYFUNCTION("""COMPUTED_VALUE"""),"RSC001091")</f>
        <v>RSC001091</v>
      </c>
      <c r="C713" s="30" t="str">
        <f>IFERROR(__xludf.DUMMYFUNCTION("""COMPUTED_VALUE"""),"stealthman777")</f>
        <v>stealthman777</v>
      </c>
      <c r="D713" s="31" t="str">
        <f>IFERROR(__xludf.DUMMYFUNCTION("""COMPUTED_VALUE"""),"Necrotic Nerds")</f>
        <v>Necrotic Nerds</v>
      </c>
      <c r="E713" s="31">
        <f>IFERROR(__xludf.DUMMYFUNCTION("""COMPUTED_VALUE"""),0.5272309125939998)</f>
        <v>0.5272309126</v>
      </c>
      <c r="F713" s="31">
        <f>IFERROR(__xludf.DUMMYFUNCTION("""COMPUTED_VALUE"""),-41.81821046502044)</f>
        <v>-41.81821047</v>
      </c>
      <c r="G713" s="31">
        <f>IFERROR(__xludf.DUMMYFUNCTION("""COMPUTED_VALUE"""),25.322339257517612)</f>
        <v>25.32233926</v>
      </c>
      <c r="H713" s="31">
        <f>IFERROR(__xludf.DUMMYFUNCTION("""COMPUTED_VALUE"""),-6.180651810788734)</f>
        <v>-6.180651811</v>
      </c>
      <c r="I713" s="54">
        <f>IFERROR(__xludf.DUMMYFUNCTION("""COMPUTED_VALUE"""),4.0)</f>
        <v>4</v>
      </c>
      <c r="J713" s="55">
        <f>IFERROR(__xludf.DUMMYFUNCTION("""COMPUTED_VALUE"""),0.0)</f>
        <v>0</v>
      </c>
      <c r="K713" s="54">
        <f>IFERROR(__xludf.DUMMYFUNCTION("""COMPUTED_VALUE"""),4.0)</f>
        <v>4</v>
      </c>
      <c r="L713" s="56">
        <f>IFERROR(__xludf.DUMMYFUNCTION("""COMPUTED_VALUE"""),0.0)</f>
        <v>0</v>
      </c>
      <c r="M713" s="56">
        <f>IFERROR(__xludf.DUMMYFUNCTION("""COMPUTED_VALUE"""),0.16666666666666666)</f>
        <v>0.1666666667</v>
      </c>
      <c r="N713" s="31">
        <f>IFERROR(__xludf.DUMMYFUNCTION("""COMPUTED_VALUE"""),280.25)</f>
        <v>280.25</v>
      </c>
      <c r="O713" s="57">
        <f>IFERROR(__xludf.DUMMYFUNCTION("""COMPUTED_VALUE"""),0.25)</f>
        <v>0.25</v>
      </c>
      <c r="P713" s="57">
        <f>IFERROR(__xludf.DUMMYFUNCTION("""COMPUTED_VALUE"""),0.5)</f>
        <v>0.5</v>
      </c>
      <c r="Q713" s="57">
        <f>IFERROR(__xludf.DUMMYFUNCTION("""COMPUTED_VALUE"""),1.5)</f>
        <v>1.5</v>
      </c>
      <c r="R713" s="57">
        <f>IFERROR(__xludf.DUMMYFUNCTION("""COMPUTED_VALUE"""),1.5)</f>
        <v>1.5</v>
      </c>
      <c r="S713" s="31">
        <f>IFERROR(__xludf.DUMMYFUNCTION("""COMPUTED_VALUE"""),401.75)</f>
        <v>401.75</v>
      </c>
      <c r="T713" s="57">
        <f>IFERROR(__xludf.DUMMYFUNCTION("""COMPUTED_VALUE"""),1.25)</f>
        <v>1.25</v>
      </c>
      <c r="U713" s="57">
        <f>IFERROR(__xludf.DUMMYFUNCTION("""COMPUTED_VALUE"""),0.9166666666666667)</f>
        <v>0.9166666667</v>
      </c>
      <c r="V713" s="57">
        <f>IFERROR(__xludf.DUMMYFUNCTION("""COMPUTED_VALUE"""),1.0833333333333333)</f>
        <v>1.083333333</v>
      </c>
      <c r="W713" s="57">
        <f>IFERROR(__xludf.DUMMYFUNCTION("""COMPUTED_VALUE"""),3.0833333333333335)</f>
        <v>3.083333333</v>
      </c>
      <c r="X713" s="31">
        <f>IFERROR(__xludf.DUMMYFUNCTION("""COMPUTED_VALUE"""),349.6207419047623)</f>
        <v>349.6207419</v>
      </c>
      <c r="Y713" s="57">
        <f>IFERROR(__xludf.DUMMYFUNCTION("""COMPUTED_VALUE"""),0.8375969205767722)</f>
        <v>0.8375969206</v>
      </c>
      <c r="Z713" s="57">
        <f>IFERROR(__xludf.DUMMYFUNCTION("""COMPUTED_VALUE"""),0.6114630140876164)</f>
        <v>0.6114630141</v>
      </c>
      <c r="AA713" s="57">
        <f>IFERROR(__xludf.DUMMYFUNCTION("""COMPUTED_VALUE"""),1.2634733955319852)</f>
        <v>1.263473396</v>
      </c>
      <c r="AB713" s="57">
        <f>IFERROR(__xludf.DUMMYFUNCTION("""COMPUTED_VALUE"""),2.5594652908544746)</f>
        <v>2.559465291</v>
      </c>
      <c r="AC713" s="31">
        <f>IFERROR(__xludf.DUMMYFUNCTION("""COMPUTED_VALUE"""),346.1447713868445)</f>
        <v>346.1447714</v>
      </c>
      <c r="AD713" s="57">
        <f>IFERROR(__xludf.DUMMYFUNCTION("""COMPUTED_VALUE"""),0.8067559084990156)</f>
        <v>0.8067559085</v>
      </c>
      <c r="AE713" s="57">
        <f>IFERROR(__xludf.DUMMYFUNCTION("""COMPUTED_VALUE"""),0.5665442734570518)</f>
        <v>0.5665442735</v>
      </c>
      <c r="AF713" s="57">
        <f>IFERROR(__xludf.DUMMYFUNCTION("""COMPUTED_VALUE"""),1.2880615632537689)</f>
        <v>1.288061563</v>
      </c>
      <c r="AG713" s="57">
        <f>IFERROR(__xludf.DUMMYFUNCTION("""COMPUTED_VALUE"""),2.5191183175607885)</f>
        <v>2.519118318</v>
      </c>
      <c r="AH713" s="57">
        <f>IFERROR(__xludf.DUMMYFUNCTION("""COMPUTED_VALUE"""),0.8096323364272291)</f>
        <v>0.8096323364</v>
      </c>
      <c r="AI713" s="57">
        <f>IFERROR(__xludf.DUMMYFUNCTION("""COMPUTED_VALUE"""),0.30988307289267913)</f>
        <v>0.3098830729</v>
      </c>
      <c r="AJ713" s="57">
        <f>IFERROR(__xludf.DUMMYFUNCTION("""COMPUTED_VALUE"""),0.8825435600098844)</f>
        <v>0.88254356</v>
      </c>
      <c r="AK713" s="57">
        <f>IFERROR(__xludf.DUMMYFUNCTION("""COMPUTED_VALUE"""),1.1645406110953689)</f>
        <v>1.164540611</v>
      </c>
      <c r="AL713" s="57">
        <f>IFERROR(__xludf.DUMMYFUNCTION("""COMPUTED_VALUE"""),0.5954464264514656)</f>
        <v>0.5954464265</v>
      </c>
      <c r="AM713" s="57">
        <f>IFERROR(__xludf.DUMMYFUNCTION("""COMPUTED_VALUE"""),1.1491023038599861)</f>
        <v>1.149102304</v>
      </c>
      <c r="AN713" s="57">
        <f>IFERROR(__xludf.DUMMYFUNCTION("""COMPUTED_VALUE"""),1.4923646079539614)</f>
        <v>1.492364608</v>
      </c>
      <c r="AO713" s="57">
        <f>IFERROR(__xludf.DUMMYFUNCTION("""COMPUTED_VALUE"""),1.4991367352520162)</f>
        <v>1.499136735</v>
      </c>
      <c r="AP713" s="35">
        <f>IFERROR(__xludf.DUMMYFUNCTION("""COMPUTED_VALUE"""),0.857424728660152)</f>
        <v>0.8574247287</v>
      </c>
      <c r="AQ713" s="57">
        <f>IFERROR(__xludf.DUMMYFUNCTION("""COMPUTED_VALUE"""),1.2046787054900698)</f>
        <v>1.204678705</v>
      </c>
      <c r="AR713" s="36" t="b">
        <f>IFERROR(__xludf.DUMMYFUNCTION("""COMPUTED_VALUE"""),TRUE)</f>
        <v>1</v>
      </c>
      <c r="AS713" s="57"/>
      <c r="AT713" s="37"/>
      <c r="AU713" s="30"/>
      <c r="AV713" s="30"/>
      <c r="AW713" s="30"/>
      <c r="AX713" s="30"/>
      <c r="AY713" s="30"/>
      <c r="AZ713" s="30"/>
    </row>
    <row r="714">
      <c r="A714" s="30" t="str">
        <f>IFERROR(__xludf.DUMMYFUNCTION("""COMPUTED_VALUE"""),"Rival")</f>
        <v>Rival</v>
      </c>
      <c r="B714" s="30" t="str">
        <f>IFERROR(__xludf.DUMMYFUNCTION("""COMPUTED_VALUE"""),"RSC007173")</f>
        <v>RSC007173</v>
      </c>
      <c r="C714" s="30" t="str">
        <f>IFERROR(__xludf.DUMMYFUNCTION("""COMPUTED_VALUE"""),"mr_marino_")</f>
        <v>mr_marino_</v>
      </c>
      <c r="D714" s="31"/>
      <c r="E714" s="31">
        <f>IFERROR(__xludf.DUMMYFUNCTION("""COMPUTED_VALUE"""),-1.4054239849629084)</f>
        <v>-1.405423985</v>
      </c>
      <c r="F714" s="31">
        <f>IFERROR(__xludf.DUMMYFUNCTION("""COMPUTED_VALUE"""),-50.29977624692383)</f>
        <v>-50.29977625</v>
      </c>
      <c r="G714" s="31">
        <f>IFERROR(__xludf.DUMMYFUNCTION("""COMPUTED_VALUE"""),12.769234340637531)</f>
        <v>12.76923434</v>
      </c>
      <c r="H714" s="31">
        <f>IFERROR(__xludf.DUMMYFUNCTION("""COMPUTED_VALUE"""),-14.65989248129488)</f>
        <v>-14.65989248</v>
      </c>
      <c r="I714" s="54">
        <f>IFERROR(__xludf.DUMMYFUNCTION("""COMPUTED_VALUE"""),3.0)</f>
        <v>3</v>
      </c>
      <c r="J714" s="55">
        <f>IFERROR(__xludf.DUMMYFUNCTION("""COMPUTED_VALUE"""),1.0)</f>
        <v>1</v>
      </c>
      <c r="K714" s="54">
        <f>IFERROR(__xludf.DUMMYFUNCTION("""COMPUTED_VALUE"""),2.0)</f>
        <v>2</v>
      </c>
      <c r="L714" s="56">
        <f>IFERROR(__xludf.DUMMYFUNCTION("""COMPUTED_VALUE"""),0.3333333333333333)</f>
        <v>0.3333333333</v>
      </c>
      <c r="M714" s="56">
        <f>IFERROR(__xludf.DUMMYFUNCTION("""COMPUTED_VALUE"""),0.16666666666666666)</f>
        <v>0.1666666667</v>
      </c>
      <c r="N714" s="31">
        <f>IFERROR(__xludf.DUMMYFUNCTION("""COMPUTED_VALUE"""),236.66666666666666)</f>
        <v>236.6666667</v>
      </c>
      <c r="O714" s="57">
        <f>IFERROR(__xludf.DUMMYFUNCTION("""COMPUTED_VALUE"""),0.3333333333333333)</f>
        <v>0.3333333333</v>
      </c>
      <c r="P714" s="57">
        <f>IFERROR(__xludf.DUMMYFUNCTION("""COMPUTED_VALUE"""),0.0)</f>
        <v>0</v>
      </c>
      <c r="Q714" s="57">
        <f>IFERROR(__xludf.DUMMYFUNCTION("""COMPUTED_VALUE"""),1.3333333333333333)</f>
        <v>1.333333333</v>
      </c>
      <c r="R714" s="57">
        <f>IFERROR(__xludf.DUMMYFUNCTION("""COMPUTED_VALUE"""),2.0)</f>
        <v>2</v>
      </c>
      <c r="S714" s="31">
        <f>IFERROR(__xludf.DUMMYFUNCTION("""COMPUTED_VALUE"""),337.8888888888889)</f>
        <v>337.8888889</v>
      </c>
      <c r="T714" s="57">
        <f>IFERROR(__xludf.DUMMYFUNCTION("""COMPUTED_VALUE"""),0.888888888888889)</f>
        <v>0.8888888889</v>
      </c>
      <c r="U714" s="57">
        <f>IFERROR(__xludf.DUMMYFUNCTION("""COMPUTED_VALUE"""),0.7777777777777778)</f>
        <v>0.7777777778</v>
      </c>
      <c r="V714" s="57">
        <f>IFERROR(__xludf.DUMMYFUNCTION("""COMPUTED_VALUE"""),0.9999999999999999)</f>
        <v>1</v>
      </c>
      <c r="W714" s="57">
        <f>IFERROR(__xludf.DUMMYFUNCTION("""COMPUTED_VALUE"""),2.555555555555556)</f>
        <v>2.555555556</v>
      </c>
      <c r="X714" s="31">
        <f>IFERROR(__xludf.DUMMYFUNCTION("""COMPUTED_VALUE"""),387.27142857142854)</f>
        <v>387.2714286</v>
      </c>
      <c r="Y714" s="57">
        <f>IFERROR(__xludf.DUMMYFUNCTION("""COMPUTED_VALUE"""),0.8957671957671959)</f>
        <v>0.8957671958</v>
      </c>
      <c r="Z714" s="57">
        <f>IFERROR(__xludf.DUMMYFUNCTION("""COMPUTED_VALUE"""),0.7386243386243385)</f>
        <v>0.7386243386</v>
      </c>
      <c r="AA714" s="57">
        <f>IFERROR(__xludf.DUMMYFUNCTION("""COMPUTED_VALUE"""),1.488888888888889)</f>
        <v>1.488888889</v>
      </c>
      <c r="AB714" s="57">
        <f>IFERROR(__xludf.DUMMYFUNCTION("""COMPUTED_VALUE"""),2.8076719576719573)</f>
        <v>2.807671958</v>
      </c>
      <c r="AC714" s="31">
        <f>IFERROR(__xludf.DUMMYFUNCTION("""COMPUTED_VALUE"""),357.6440917107584)</f>
        <v>357.6440917</v>
      </c>
      <c r="AD714" s="57">
        <f>IFERROR(__xludf.DUMMYFUNCTION("""COMPUTED_VALUE"""),0.8476190476190476)</f>
        <v>0.8476190476</v>
      </c>
      <c r="AE714" s="57">
        <f>IFERROR(__xludf.DUMMYFUNCTION("""COMPUTED_VALUE"""),0.5888888888888887)</f>
        <v>0.5888888889</v>
      </c>
      <c r="AF714" s="57">
        <f>IFERROR(__xludf.DUMMYFUNCTION("""COMPUTED_VALUE"""),1.3509700176366843)</f>
        <v>1.350970018</v>
      </c>
      <c r="AG714" s="57">
        <f>IFERROR(__xludf.DUMMYFUNCTION("""COMPUTED_VALUE"""),2.6103174603174604)</f>
        <v>2.61031746</v>
      </c>
      <c r="AH714" s="57">
        <f>IFERROR(__xludf.DUMMYFUNCTION("""COMPUTED_VALUE"""),0.6617379460529962)</f>
        <v>0.6617379461</v>
      </c>
      <c r="AI714" s="57">
        <f>IFERROR(__xludf.DUMMYFUNCTION("""COMPUTED_VALUE"""),0.3932584269662921)</f>
        <v>0.393258427</v>
      </c>
      <c r="AJ714" s="57">
        <f>IFERROR(__xludf.DUMMYFUNCTION("""COMPUTED_VALUE"""),0.0)</f>
        <v>0</v>
      </c>
      <c r="AK714" s="57">
        <f>IFERROR(__xludf.DUMMYFUNCTION("""COMPUTED_VALUE"""),0.9869451697127937)</f>
        <v>0.9869451697</v>
      </c>
      <c r="AL714" s="57">
        <f>IFERROR(__xludf.DUMMYFUNCTION("""COMPUTED_VALUE"""),0.7661903314077227)</f>
        <v>0.7661903314</v>
      </c>
      <c r="AM714" s="57">
        <f>IFERROR(__xludf.DUMMYFUNCTION("""COMPUTED_VALUE"""),0.8724859722683325)</f>
        <v>0.8724859723</v>
      </c>
      <c r="AN714" s="57">
        <f>IFERROR(__xludf.DUMMYFUNCTION("""COMPUTED_VALUE"""),0.9923213230950974)</f>
        <v>0.9923213231</v>
      </c>
      <c r="AO714" s="57">
        <f>IFERROR(__xludf.DUMMYFUNCTION("""COMPUTED_VALUE"""),1.053008595988539)</f>
        <v>1.053008596</v>
      </c>
      <c r="AP714" s="35">
        <f>IFERROR(__xludf.DUMMYFUNCTION("""COMPUTED_VALUE"""),0.6716417910447761)</f>
        <v>0.671641791</v>
      </c>
      <c r="AQ714" s="57">
        <f>IFERROR(__xludf.DUMMYFUNCTION("""COMPUTED_VALUE"""),0.910204466220673)</f>
        <v>0.9102044662</v>
      </c>
      <c r="AR714" s="36" t="b">
        <f>IFERROR(__xludf.DUMMYFUNCTION("""COMPUTED_VALUE"""),TRUE)</f>
        <v>1</v>
      </c>
      <c r="AS714" s="57"/>
      <c r="AT714" s="37"/>
      <c r="AU714" s="30"/>
      <c r="AV714" s="30"/>
      <c r="AW714" s="30"/>
      <c r="AX714" s="30"/>
      <c r="AY714" s="30"/>
      <c r="AZ714" s="30"/>
    </row>
    <row r="715">
      <c r="A715" s="30" t="str">
        <f>IFERROR(__xludf.DUMMYFUNCTION("""COMPUTED_VALUE"""),"Rival")</f>
        <v>Rival</v>
      </c>
      <c r="B715" s="30" t="str">
        <f>IFERROR(__xludf.DUMMYFUNCTION("""COMPUTED_VALUE"""),"RSC007906")</f>
        <v>RSC007906</v>
      </c>
      <c r="C715" s="30" t="str">
        <f>IFERROR(__xludf.DUMMYFUNCTION("""COMPUTED_VALUE"""),"Vaz1fyy-")</f>
        <v>Vaz1fyy-</v>
      </c>
      <c r="D715" s="31"/>
      <c r="E715" s="31">
        <f>IFERROR(__xludf.DUMMYFUNCTION("""COMPUTED_VALUE"""),-21.240642579287922)</f>
        <v>-21.24064258</v>
      </c>
      <c r="F715" s="31">
        <f>IFERROR(__xludf.DUMMYFUNCTION("""COMPUTED_VALUE"""),-456.9266066377554)</f>
        <v>-456.9266066</v>
      </c>
      <c r="G715" s="31">
        <f>IFERROR(__xludf.DUMMYFUNCTION("""COMPUTED_VALUE"""),-12.413754104076133)</f>
        <v>-12.4137541</v>
      </c>
      <c r="H715" s="31">
        <f>IFERROR(__xludf.DUMMYFUNCTION("""COMPUTED_VALUE"""),-159.47954859873497)</f>
        <v>-159.4795486</v>
      </c>
      <c r="I715" s="54">
        <f>IFERROR(__xludf.DUMMYFUNCTION("""COMPUTED_VALUE"""),8.0)</f>
        <v>8</v>
      </c>
      <c r="J715" s="55">
        <f>IFERROR(__xludf.DUMMYFUNCTION("""COMPUTED_VALUE"""),1.0)</f>
        <v>1</v>
      </c>
      <c r="K715" s="54">
        <f>IFERROR(__xludf.DUMMYFUNCTION("""COMPUTED_VALUE"""),7.0)</f>
        <v>7</v>
      </c>
      <c r="L715" s="56">
        <f>IFERROR(__xludf.DUMMYFUNCTION("""COMPUTED_VALUE"""),0.125)</f>
        <v>0.125</v>
      </c>
      <c r="M715" s="56">
        <f>IFERROR(__xludf.DUMMYFUNCTION("""COMPUTED_VALUE"""),0.25)</f>
        <v>0.25</v>
      </c>
      <c r="N715" s="31">
        <f>IFERROR(__xludf.DUMMYFUNCTION("""COMPUTED_VALUE"""),209.625)</f>
        <v>209.625</v>
      </c>
      <c r="O715" s="57">
        <f>IFERROR(__xludf.DUMMYFUNCTION("""COMPUTED_VALUE"""),0.25)</f>
        <v>0.25</v>
      </c>
      <c r="P715" s="57">
        <f>IFERROR(__xludf.DUMMYFUNCTION("""COMPUTED_VALUE"""),0.0)</f>
        <v>0</v>
      </c>
      <c r="Q715" s="57">
        <f>IFERROR(__xludf.DUMMYFUNCTION("""COMPUTED_VALUE"""),1.25)</f>
        <v>1.25</v>
      </c>
      <c r="R715" s="57">
        <f>IFERROR(__xludf.DUMMYFUNCTION("""COMPUTED_VALUE"""),1.0)</f>
        <v>1</v>
      </c>
      <c r="S715" s="31">
        <f>IFERROR(__xludf.DUMMYFUNCTION("""COMPUTED_VALUE"""),342.58333333333337)</f>
        <v>342.5833333</v>
      </c>
      <c r="T715" s="57">
        <f>IFERROR(__xludf.DUMMYFUNCTION("""COMPUTED_VALUE"""),1.0416666666666665)</f>
        <v>1.041666667</v>
      </c>
      <c r="U715" s="57">
        <f>IFERROR(__xludf.DUMMYFUNCTION("""COMPUTED_VALUE"""),0.625)</f>
        <v>0.625</v>
      </c>
      <c r="V715" s="57">
        <f>IFERROR(__xludf.DUMMYFUNCTION("""COMPUTED_VALUE"""),0.75)</f>
        <v>0.75</v>
      </c>
      <c r="W715" s="57">
        <f>IFERROR(__xludf.DUMMYFUNCTION("""COMPUTED_VALUE"""),3.208333333333334)</f>
        <v>3.208333333</v>
      </c>
      <c r="X715" s="31">
        <f>IFERROR(__xludf.DUMMYFUNCTION("""COMPUTED_VALUE"""),345.15672827476914)</f>
        <v>345.1567283</v>
      </c>
      <c r="Y715" s="57">
        <f>IFERROR(__xludf.DUMMYFUNCTION("""COMPUTED_VALUE"""),0.8181652216249248)</f>
        <v>0.8181652216</v>
      </c>
      <c r="Z715" s="57">
        <f>IFERROR(__xludf.DUMMYFUNCTION("""COMPUTED_VALUE"""),0.6184077111569157)</f>
        <v>0.6184077112</v>
      </c>
      <c r="AA715" s="57">
        <f>IFERROR(__xludf.DUMMYFUNCTION("""COMPUTED_VALUE"""),1.185072611689791)</f>
        <v>1.185072612</v>
      </c>
      <c r="AB715" s="57">
        <f>IFERROR(__xludf.DUMMYFUNCTION("""COMPUTED_VALUE"""),2.6560685313468984)</f>
        <v>2.656068531</v>
      </c>
      <c r="AC715" s="31">
        <f>IFERROR(__xludf.DUMMYFUNCTION("""COMPUTED_VALUE"""),342.74201353449325)</f>
        <v>342.7420135</v>
      </c>
      <c r="AD715" s="57">
        <f>IFERROR(__xludf.DUMMYFUNCTION("""COMPUTED_VALUE"""),0.7449287859150001)</f>
        <v>0.7449287859</v>
      </c>
      <c r="AE715" s="57">
        <f>IFERROR(__xludf.DUMMYFUNCTION("""COMPUTED_VALUE"""),0.49660373959596305)</f>
        <v>0.4966037396</v>
      </c>
      <c r="AF715" s="57">
        <f>IFERROR(__xludf.DUMMYFUNCTION("""COMPUTED_VALUE"""),1.4031360160204274)</f>
        <v>1.403136016</v>
      </c>
      <c r="AG715" s="57">
        <f>IFERROR(__xludf.DUMMYFUNCTION("""COMPUTED_VALUE"""),2.374872946757889)</f>
        <v>2.374872947</v>
      </c>
      <c r="AH715" s="57">
        <f>IFERROR(__xludf.DUMMYFUNCTION("""COMPUTED_VALUE"""),0.6116116254271334)</f>
        <v>0.6116116254</v>
      </c>
      <c r="AI715" s="57">
        <f>IFERROR(__xludf.DUMMYFUNCTION("""COMPUTED_VALUE"""),0.33560254983692656)</f>
        <v>0.3356025498</v>
      </c>
      <c r="AJ715" s="57">
        <f>IFERROR(__xludf.DUMMYFUNCTION("""COMPUTED_VALUE"""),0.0)</f>
        <v>0</v>
      </c>
      <c r="AK715" s="57">
        <f>IFERROR(__xludf.DUMMYFUNCTION("""COMPUTED_VALUE"""),0.8908616026728816)</f>
        <v>0.8908616027</v>
      </c>
      <c r="AL715" s="57">
        <f>IFERROR(__xludf.DUMMYFUNCTION("""COMPUTED_VALUE"""),0.42107515745849583)</f>
        <v>0.4210751575</v>
      </c>
      <c r="AM715" s="57">
        <f>IFERROR(__xludf.DUMMYFUNCTION("""COMPUTED_VALUE"""),0.992544271252371)</f>
        <v>0.9925442713</v>
      </c>
      <c r="AN715" s="57">
        <f>IFERROR(__xludf.DUMMYFUNCTION("""COMPUTED_VALUE"""),1.2731739740756207)</f>
        <v>1.273173974</v>
      </c>
      <c r="AO715" s="57">
        <f>IFERROR(__xludf.DUMMYFUNCTION("""COMPUTED_VALUE"""),1.0106601012958771)</f>
        <v>1.010660101</v>
      </c>
      <c r="AP715" s="35">
        <f>IFERROR(__xludf.DUMMYFUNCTION("""COMPUTED_VALUE"""),0.6328726127005649)</f>
        <v>0.6328726127</v>
      </c>
      <c r="AQ715" s="57">
        <f>IFERROR(__xludf.DUMMYFUNCTION("""COMPUTED_VALUE"""),1.2079256598497408)</f>
        <v>1.20792566</v>
      </c>
      <c r="AR715" s="36" t="b">
        <f>IFERROR(__xludf.DUMMYFUNCTION("""COMPUTED_VALUE"""),TRUE)</f>
        <v>1</v>
      </c>
      <c r="AS715" s="57"/>
      <c r="AT715" s="37"/>
      <c r="AU715" s="30"/>
      <c r="AV715" s="30"/>
      <c r="AW715" s="30"/>
      <c r="AX715" s="30"/>
      <c r="AY715" s="30"/>
      <c r="AZ715" s="30"/>
    </row>
    <row r="716">
      <c r="A716" s="30" t="str">
        <f>IFERROR(__xludf.DUMMYFUNCTION("""COMPUTED_VALUE"""),"Rival")</f>
        <v>Rival</v>
      </c>
      <c r="B716" s="30" t="str">
        <f>IFERROR(__xludf.DUMMYFUNCTION("""COMPUTED_VALUE"""),"RSC007035")</f>
        <v>RSC007035</v>
      </c>
      <c r="C716" s="30" t="str">
        <f>IFERROR(__xludf.DUMMYFUNCTION("""COMPUTED_VALUE"""),"itzsmurfyy")</f>
        <v>itzsmurfyy</v>
      </c>
      <c r="D716" s="31" t="str">
        <f>IFERROR(__xludf.DUMMYFUNCTION("""COMPUTED_VALUE"""),"Hue Heroes")</f>
        <v>Hue Heroes</v>
      </c>
      <c r="E716" s="31">
        <f>IFERROR(__xludf.DUMMYFUNCTION("""COMPUTED_VALUE"""),-25.63160056153913)</f>
        <v>-25.63160056</v>
      </c>
      <c r="F716" s="31">
        <f>IFERROR(__xludf.DUMMYFUNCTION("""COMPUTED_VALUE"""),-805.1005700955218)</f>
        <v>-805.1005701</v>
      </c>
      <c r="G716" s="31">
        <f>IFERROR(__xludf.DUMMYFUNCTION("""COMPUTED_VALUE"""),-13.35925662208625)</f>
        <v>-13.35925662</v>
      </c>
      <c r="H716" s="31">
        <f>IFERROR(__xludf.DUMMYFUNCTION("""COMPUTED_VALUE"""),-177.5416371257816)</f>
        <v>-177.5416371</v>
      </c>
      <c r="I716" s="54">
        <f>IFERROR(__xludf.DUMMYFUNCTION("""COMPUTED_VALUE"""),3.0)</f>
        <v>3</v>
      </c>
      <c r="J716" s="55">
        <f>IFERROR(__xludf.DUMMYFUNCTION("""COMPUTED_VALUE"""),0.0)</f>
        <v>0</v>
      </c>
      <c r="K716" s="54">
        <f>IFERROR(__xludf.DUMMYFUNCTION("""COMPUTED_VALUE"""),3.0)</f>
        <v>3</v>
      </c>
      <c r="L716" s="56">
        <f>IFERROR(__xludf.DUMMYFUNCTION("""COMPUTED_VALUE"""),0.0)</f>
        <v>0</v>
      </c>
      <c r="M716" s="56">
        <f>IFERROR(__xludf.DUMMYFUNCTION("""COMPUTED_VALUE"""),0.0)</f>
        <v>0</v>
      </c>
      <c r="N716" s="31">
        <f>IFERROR(__xludf.DUMMYFUNCTION("""COMPUTED_VALUE"""),190.33333333333334)</f>
        <v>190.3333333</v>
      </c>
      <c r="O716" s="57">
        <f>IFERROR(__xludf.DUMMYFUNCTION("""COMPUTED_VALUE"""),0.0)</f>
        <v>0</v>
      </c>
      <c r="P716" s="57">
        <f>IFERROR(__xludf.DUMMYFUNCTION("""COMPUTED_VALUE"""),0.0)</f>
        <v>0</v>
      </c>
      <c r="Q716" s="57">
        <f>IFERROR(__xludf.DUMMYFUNCTION("""COMPUTED_VALUE"""),1.3333333333333333)</f>
        <v>1.333333333</v>
      </c>
      <c r="R716" s="57">
        <f>IFERROR(__xludf.DUMMYFUNCTION("""COMPUTED_VALUE"""),2.0)</f>
        <v>2</v>
      </c>
      <c r="S716" s="31">
        <f>IFERROR(__xludf.DUMMYFUNCTION("""COMPUTED_VALUE"""),430.5555555555556)</f>
        <v>430.5555556</v>
      </c>
      <c r="T716" s="57">
        <f>IFERROR(__xludf.DUMMYFUNCTION("""COMPUTED_VALUE"""),1.111111111111111)</f>
        <v>1.111111111</v>
      </c>
      <c r="U716" s="57">
        <f>IFERROR(__xludf.DUMMYFUNCTION("""COMPUTED_VALUE"""),0.8888888888888888)</f>
        <v>0.8888888889</v>
      </c>
      <c r="V716" s="57">
        <f>IFERROR(__xludf.DUMMYFUNCTION("""COMPUTED_VALUE"""),1.6666666666666667)</f>
        <v>1.666666667</v>
      </c>
      <c r="W716" s="57">
        <f>IFERROR(__xludf.DUMMYFUNCTION("""COMPUTED_VALUE"""),3.0)</f>
        <v>3</v>
      </c>
      <c r="X716" s="31">
        <f>IFERROR(__xludf.DUMMYFUNCTION("""COMPUTED_VALUE"""),373.99809218559216)</f>
        <v>373.9980922</v>
      </c>
      <c r="Y716" s="57">
        <f>IFERROR(__xludf.DUMMYFUNCTION("""COMPUTED_VALUE"""),0.9286375661375662)</f>
        <v>0.9286375661</v>
      </c>
      <c r="Z716" s="57">
        <f>IFERROR(__xludf.DUMMYFUNCTION("""COMPUTED_VALUE"""),0.7337962962962963)</f>
        <v>0.7337962963</v>
      </c>
      <c r="AA716" s="57">
        <f>IFERROR(__xludf.DUMMYFUNCTION("""COMPUTED_VALUE"""),1.3162087912087912)</f>
        <v>1.316208791</v>
      </c>
      <c r="AB716" s="57">
        <f>IFERROR(__xludf.DUMMYFUNCTION("""COMPUTED_VALUE"""),2.7800722425722424)</f>
        <v>2.780072243</v>
      </c>
      <c r="AC716" s="31">
        <f>IFERROR(__xludf.DUMMYFUNCTION("""COMPUTED_VALUE"""),333.1120709537376)</f>
        <v>333.112071</v>
      </c>
      <c r="AD716" s="57">
        <f>IFERROR(__xludf.DUMMYFUNCTION("""COMPUTED_VALUE"""),0.6651760276760276)</f>
        <v>0.6651760277</v>
      </c>
      <c r="AE716" s="57">
        <f>IFERROR(__xludf.DUMMYFUNCTION("""COMPUTED_VALUE"""),0.48218525301858634)</f>
        <v>0.482185253</v>
      </c>
      <c r="AF716" s="57">
        <f>IFERROR(__xludf.DUMMYFUNCTION("""COMPUTED_VALUE"""),1.3898419481752817)</f>
        <v>1.389841948</v>
      </c>
      <c r="AG716" s="57">
        <f>IFERROR(__xludf.DUMMYFUNCTION("""COMPUTED_VALUE"""),2.4779320987654327)</f>
        <v>2.477932099</v>
      </c>
      <c r="AH716" s="57">
        <f>IFERROR(__xludf.DUMMYFUNCTION("""COMPUTED_VALUE"""),0.5713792742135926)</f>
        <v>0.5713792742</v>
      </c>
      <c r="AI716" s="57">
        <f>IFERROR(__xludf.DUMMYFUNCTION("""COMPUTED_VALUE"""),0.0)</f>
        <v>0</v>
      </c>
      <c r="AJ716" s="57">
        <f>IFERROR(__xludf.DUMMYFUNCTION("""COMPUTED_VALUE"""),0.0)</f>
        <v>0</v>
      </c>
      <c r="AK716" s="57">
        <f>IFERROR(__xludf.DUMMYFUNCTION("""COMPUTED_VALUE"""),0.9593416971504289)</f>
        <v>0.9593416972</v>
      </c>
      <c r="AL716" s="57">
        <f>IFERROR(__xludf.DUMMYFUNCTION("""COMPUTED_VALUE"""),0.8071246185464281)</f>
        <v>0.8071246185</v>
      </c>
      <c r="AM716" s="57">
        <f>IFERROR(__xludf.DUMMYFUNCTION("""COMPUTED_VALUE"""),1.151223935500445)</f>
        <v>1.151223936</v>
      </c>
      <c r="AN716" s="57">
        <f>IFERROR(__xludf.DUMMYFUNCTION("""COMPUTED_VALUE"""),1.1964959760700802)</f>
        <v>1.196495976</v>
      </c>
      <c r="AO716" s="57">
        <f>IFERROR(__xludf.DUMMYFUNCTION("""COMPUTED_VALUE"""),1.2113564668769716)</f>
        <v>1.211356467</v>
      </c>
      <c r="AP716" s="35">
        <f>IFERROR(__xludf.DUMMYFUNCTION("""COMPUTED_VALUE"""),1.26626313226188)</f>
        <v>1.266263132</v>
      </c>
      <c r="AQ716" s="57">
        <f>IFERROR(__xludf.DUMMYFUNCTION("""COMPUTED_VALUE"""),1.0791086483509043)</f>
        <v>1.079108648</v>
      </c>
      <c r="AR716" s="36" t="b">
        <f>IFERROR(__xludf.DUMMYFUNCTION("""COMPUTED_VALUE"""),TRUE)</f>
        <v>1</v>
      </c>
      <c r="AS716" s="57"/>
      <c r="AT716" s="37"/>
      <c r="AU716" s="30"/>
      <c r="AV716" s="30"/>
      <c r="AW716" s="30"/>
      <c r="AX716" s="30"/>
      <c r="AY716" s="30"/>
      <c r="AZ716" s="30"/>
    </row>
    <row r="717">
      <c r="A717" s="30" t="str">
        <f>IFERROR(__xludf.DUMMYFUNCTION("""COMPUTED_VALUE"""),"Rival")</f>
        <v>Rival</v>
      </c>
      <c r="B717" s="30" t="str">
        <f>IFERROR(__xludf.DUMMYFUNCTION("""COMPUTED_VALUE"""),"RSC000111")</f>
        <v>RSC000111</v>
      </c>
      <c r="C717" s="30" t="str">
        <f>IFERROR(__xludf.DUMMYFUNCTION("""COMPUTED_VALUE"""),"Wheelchair {LFLegs}")</f>
        <v>Wheelchair {LFLegs}</v>
      </c>
      <c r="D717" s="31"/>
      <c r="E717" s="31">
        <f>IFERROR(__xludf.DUMMYFUNCTION("""COMPUTED_VALUE"""),-28.317540404706065)</f>
        <v>-28.3175404</v>
      </c>
      <c r="F717" s="31">
        <f>IFERROR(__xludf.DUMMYFUNCTION("""COMPUTED_VALUE"""),-1154.6982481685116)</f>
        <v>-1154.698248</v>
      </c>
      <c r="G717" s="31">
        <f>IFERROR(__xludf.DUMMYFUNCTION("""COMPUTED_VALUE"""),-27.440678086096426)</f>
        <v>-27.44067809</v>
      </c>
      <c r="H717" s="31">
        <f>IFERROR(__xludf.DUMMYFUNCTION("""COMPUTED_VALUE"""),-1025.2377182182365)</f>
        <v>-1025.237718</v>
      </c>
      <c r="I717" s="54">
        <f>IFERROR(__xludf.DUMMYFUNCTION("""COMPUTED_VALUE"""),2.0)</f>
        <v>2</v>
      </c>
      <c r="J717" s="55">
        <f>IFERROR(__xludf.DUMMYFUNCTION("""COMPUTED_VALUE"""),0.0)</f>
        <v>0</v>
      </c>
      <c r="K717" s="54">
        <f>IFERROR(__xludf.DUMMYFUNCTION("""COMPUTED_VALUE"""),2.0)</f>
        <v>2</v>
      </c>
      <c r="L717" s="56">
        <f>IFERROR(__xludf.DUMMYFUNCTION("""COMPUTED_VALUE"""),0.0)</f>
        <v>0</v>
      </c>
      <c r="M717" s="56">
        <f>IFERROR(__xludf.DUMMYFUNCTION("""COMPUTED_VALUE"""),0.0)</f>
        <v>0</v>
      </c>
      <c r="N717" s="31">
        <f>IFERROR(__xludf.DUMMYFUNCTION("""COMPUTED_VALUE"""),162.0)</f>
        <v>162</v>
      </c>
      <c r="O717" s="57">
        <f>IFERROR(__xludf.DUMMYFUNCTION("""COMPUTED_VALUE"""),0.0)</f>
        <v>0</v>
      </c>
      <c r="P717" s="57">
        <f>IFERROR(__xludf.DUMMYFUNCTION("""COMPUTED_VALUE"""),0.5)</f>
        <v>0.5</v>
      </c>
      <c r="Q717" s="57">
        <f>IFERROR(__xludf.DUMMYFUNCTION("""COMPUTED_VALUE"""),0.5)</f>
        <v>0.5</v>
      </c>
      <c r="R717" s="57">
        <f>IFERROR(__xludf.DUMMYFUNCTION("""COMPUTED_VALUE"""),0.5)</f>
        <v>0.5</v>
      </c>
      <c r="S717" s="31">
        <f>IFERROR(__xludf.DUMMYFUNCTION("""COMPUTED_VALUE"""),406.3333333333333)</f>
        <v>406.3333333</v>
      </c>
      <c r="T717" s="57">
        <f>IFERROR(__xludf.DUMMYFUNCTION("""COMPUTED_VALUE"""),1.0)</f>
        <v>1</v>
      </c>
      <c r="U717" s="57">
        <f>IFERROR(__xludf.DUMMYFUNCTION("""COMPUTED_VALUE"""),0.8333333333333333)</f>
        <v>0.8333333333</v>
      </c>
      <c r="V717" s="57">
        <f>IFERROR(__xludf.DUMMYFUNCTION("""COMPUTED_VALUE"""),2.0)</f>
        <v>2</v>
      </c>
      <c r="W717" s="57">
        <f>IFERROR(__xludf.DUMMYFUNCTION("""COMPUTED_VALUE"""),2.5)</f>
        <v>2.5</v>
      </c>
      <c r="X717" s="31">
        <f>IFERROR(__xludf.DUMMYFUNCTION("""COMPUTED_VALUE"""),340.70478831878614)</f>
        <v>340.7047883</v>
      </c>
      <c r="Y717" s="57">
        <f>IFERROR(__xludf.DUMMYFUNCTION("""COMPUTED_VALUE"""),0.8513473094597167)</f>
        <v>0.8513473095</v>
      </c>
      <c r="Z717" s="57">
        <f>IFERROR(__xludf.DUMMYFUNCTION("""COMPUTED_VALUE"""),0.48009625581205645)</f>
        <v>0.4800962558</v>
      </c>
      <c r="AA717" s="57">
        <f>IFERROR(__xludf.DUMMYFUNCTION("""COMPUTED_VALUE"""),1.3576691954210511)</f>
        <v>1.357669195</v>
      </c>
      <c r="AB717" s="57">
        <f>IFERROR(__xludf.DUMMYFUNCTION("""COMPUTED_VALUE"""),2.6478505587731465)</f>
        <v>2.647850559</v>
      </c>
      <c r="AC717" s="31">
        <f>IFERROR(__xludf.DUMMYFUNCTION("""COMPUTED_VALUE"""),356.05611296915646)</f>
        <v>356.056113</v>
      </c>
      <c r="AD717" s="57">
        <f>IFERROR(__xludf.DUMMYFUNCTION("""COMPUTED_VALUE"""),0.8390842102400957)</f>
        <v>0.8390842102</v>
      </c>
      <c r="AE717" s="57">
        <f>IFERROR(__xludf.DUMMYFUNCTION("""COMPUTED_VALUE"""),0.5997271845628155)</f>
        <v>0.5997271846</v>
      </c>
      <c r="AF717" s="57">
        <f>IFERROR(__xludf.DUMMYFUNCTION("""COMPUTED_VALUE"""),1.334461755988797)</f>
        <v>1.334461756</v>
      </c>
      <c r="AG717" s="57">
        <f>IFERROR(__xludf.DUMMYFUNCTION("""COMPUTED_VALUE"""),2.6811050384751343)</f>
        <v>2.681105038</v>
      </c>
      <c r="AH717" s="57">
        <f>IFERROR(__xludf.DUMMYFUNCTION("""COMPUTED_VALUE"""),0.45498446480550475)</f>
        <v>0.4549844648</v>
      </c>
      <c r="AI717" s="57">
        <f>IFERROR(__xludf.DUMMYFUNCTION("""COMPUTED_VALUE"""),0.0)</f>
        <v>0</v>
      </c>
      <c r="AJ717" s="57">
        <f>IFERROR(__xludf.DUMMYFUNCTION("""COMPUTED_VALUE"""),0.8337124160287751)</f>
        <v>0.833712416</v>
      </c>
      <c r="AK717" s="57">
        <f>IFERROR(__xludf.DUMMYFUNCTION("""COMPUTED_VALUE"""),0.37468289949569566)</f>
        <v>0.3746828995</v>
      </c>
      <c r="AL717" s="57">
        <f>IFERROR(__xludf.DUMMYFUNCTION("""COMPUTED_VALUE"""),0.1864902690587507)</f>
        <v>0.1864902691</v>
      </c>
      <c r="AM717" s="57">
        <f>IFERROR(__xludf.DUMMYFUNCTION("""COMPUTED_VALUE"""),1.1926258369845413)</f>
        <v>1.192625837</v>
      </c>
      <c r="AN717" s="57">
        <f>IFERROR(__xludf.DUMMYFUNCTION("""COMPUTED_VALUE"""),1.1746087511977004)</f>
        <v>1.174608751</v>
      </c>
      <c r="AO717" s="57">
        <f>IFERROR(__xludf.DUMMYFUNCTION("""COMPUTED_VALUE"""),1.7357630334437741)</f>
        <v>1.735763033</v>
      </c>
      <c r="AP717" s="35">
        <f>IFERROR(__xludf.DUMMYFUNCTION("""COMPUTED_VALUE"""),1.4731128957961988)</f>
        <v>1.473112896</v>
      </c>
      <c r="AQ717" s="57">
        <f>IFERROR(__xludf.DUMMYFUNCTION("""COMPUTED_VALUE"""),0.9441620455945778)</f>
        <v>0.9441620456</v>
      </c>
      <c r="AR717" s="36" t="b">
        <f>IFERROR(__xludf.DUMMYFUNCTION("""COMPUTED_VALUE"""),TRUE)</f>
        <v>1</v>
      </c>
      <c r="AS717" s="57"/>
      <c r="AT717" s="37"/>
      <c r="AU717" s="30"/>
      <c r="AV717" s="30"/>
      <c r="AW717" s="30"/>
      <c r="AX717" s="30"/>
      <c r="AY717" s="30"/>
      <c r="AZ717" s="30"/>
    </row>
    <row r="718">
      <c r="A718" s="30" t="str">
        <f>IFERROR(__xludf.DUMMYFUNCTION("""COMPUTED_VALUE"""),"Veteran")</f>
        <v>Veteran</v>
      </c>
      <c r="B718" s="30" t="str">
        <f>IFERROR(__xludf.DUMMYFUNCTION("""COMPUTED_VALUE"""),"RSC004313")</f>
        <v>RSC004313</v>
      </c>
      <c r="C718" s="30" t="str">
        <f>IFERROR(__xludf.DUMMYFUNCTION("""COMPUTED_VALUE"""),"Causing .")</f>
        <v>Causing .</v>
      </c>
      <c r="D718" s="31" t="str">
        <f>IFERROR(__xludf.DUMMYFUNCTION("""COMPUTED_VALUE"""),"Mellow Fellows")</f>
        <v>Mellow Fellows</v>
      </c>
      <c r="E718" s="31">
        <f>IFERROR(__xludf.DUMMYFUNCTION("""COMPUTED_VALUE"""),104.99559815688372)</f>
        <v>104.9955982</v>
      </c>
      <c r="F718" s="31">
        <f>IFERROR(__xludf.DUMMYFUNCTION("""COMPUTED_VALUE"""),71.89230314225127)</f>
        <v>71.89230314</v>
      </c>
      <c r="G718" s="31">
        <f>IFERROR(__xludf.DUMMYFUNCTION("""COMPUTED_VALUE"""),89.12159934544553)</f>
        <v>89.12159935</v>
      </c>
      <c r="H718" s="31">
        <f>IFERROR(__xludf.DUMMYFUNCTION("""COMPUTED_VALUE"""),17.004661590902796)</f>
        <v>17.00466159</v>
      </c>
      <c r="I718" s="54">
        <f>IFERROR(__xludf.DUMMYFUNCTION("""COMPUTED_VALUE"""),16.0)</f>
        <v>16</v>
      </c>
      <c r="J718" s="55">
        <f>IFERROR(__xludf.DUMMYFUNCTION("""COMPUTED_VALUE"""),10.0)</f>
        <v>10</v>
      </c>
      <c r="K718" s="54">
        <f>IFERROR(__xludf.DUMMYFUNCTION("""COMPUTED_VALUE"""),6.0)</f>
        <v>6</v>
      </c>
      <c r="L718" s="56">
        <f>IFERROR(__xludf.DUMMYFUNCTION("""COMPUTED_VALUE"""),0.625)</f>
        <v>0.625</v>
      </c>
      <c r="M718" s="56">
        <f>IFERROR(__xludf.DUMMYFUNCTION("""COMPUTED_VALUE"""),0.3770491803278688)</f>
        <v>0.3770491803</v>
      </c>
      <c r="N718" s="31">
        <f>IFERROR(__xludf.DUMMYFUNCTION("""COMPUTED_VALUE"""),435.8125)</f>
        <v>435.8125</v>
      </c>
      <c r="O718" s="57">
        <f>IFERROR(__xludf.DUMMYFUNCTION("""COMPUTED_VALUE"""),1.4375)</f>
        <v>1.4375</v>
      </c>
      <c r="P718" s="57">
        <f>IFERROR(__xludf.DUMMYFUNCTION("""COMPUTED_VALUE"""),0.5)</f>
        <v>0.5</v>
      </c>
      <c r="Q718" s="57">
        <f>IFERROR(__xludf.DUMMYFUNCTION("""COMPUTED_VALUE"""),1.25)</f>
        <v>1.25</v>
      </c>
      <c r="R718" s="57">
        <f>IFERROR(__xludf.DUMMYFUNCTION("""COMPUTED_VALUE"""),3.8125)</f>
        <v>3.8125</v>
      </c>
      <c r="S718" s="31">
        <f>IFERROR(__xludf.DUMMYFUNCTION("""COMPUTED_VALUE"""),321.3125)</f>
        <v>321.3125</v>
      </c>
      <c r="T718" s="57">
        <f>IFERROR(__xludf.DUMMYFUNCTION("""COMPUTED_VALUE"""),0.5625)</f>
        <v>0.5625</v>
      </c>
      <c r="U718" s="57">
        <f>IFERROR(__xludf.DUMMYFUNCTION("""COMPUTED_VALUE"""),0.5)</f>
        <v>0.5</v>
      </c>
      <c r="V718" s="57">
        <f>IFERROR(__xludf.DUMMYFUNCTION("""COMPUTED_VALUE"""),1.3333333333333333)</f>
        <v>1.333333333</v>
      </c>
      <c r="W718" s="57">
        <f>IFERROR(__xludf.DUMMYFUNCTION("""COMPUTED_VALUE"""),2.520833333333333)</f>
        <v>2.520833333</v>
      </c>
      <c r="X718" s="31">
        <f>IFERROR(__xludf.DUMMYFUNCTION("""COMPUTED_VALUE"""),351.4839017121567)</f>
        <v>351.4839017</v>
      </c>
      <c r="Y718" s="57">
        <f>IFERROR(__xludf.DUMMYFUNCTION("""COMPUTED_VALUE"""),0.7615439366470572)</f>
        <v>0.7615439366</v>
      </c>
      <c r="Z718" s="57">
        <f>IFERROR(__xludf.DUMMYFUNCTION("""COMPUTED_VALUE"""),0.5840664229742422)</f>
        <v>0.584066423</v>
      </c>
      <c r="AA718" s="57">
        <f>IFERROR(__xludf.DUMMYFUNCTION("""COMPUTED_VALUE"""),1.3090311000551316)</f>
        <v>1.3090311</v>
      </c>
      <c r="AB718" s="57">
        <f>IFERROR(__xludf.DUMMYFUNCTION("""COMPUTED_VALUE"""),2.6164219063923158)</f>
        <v>2.616421906</v>
      </c>
      <c r="AC718" s="31">
        <f>IFERROR(__xludf.DUMMYFUNCTION("""COMPUTED_VALUE"""),358.75395619002154)</f>
        <v>358.7539562</v>
      </c>
      <c r="AD718" s="57">
        <f>IFERROR(__xludf.DUMMYFUNCTION("""COMPUTED_VALUE"""),0.8214102932688536)</f>
        <v>0.8214102933</v>
      </c>
      <c r="AE718" s="57">
        <f>IFERROR(__xludf.DUMMYFUNCTION("""COMPUTED_VALUE"""),0.6270597204510403)</f>
        <v>0.6270597205</v>
      </c>
      <c r="AF718" s="57">
        <f>IFERROR(__xludf.DUMMYFUNCTION("""COMPUTED_VALUE"""),1.3379137794638751)</f>
        <v>1.337913779</v>
      </c>
      <c r="AG718" s="57">
        <f>IFERROR(__xludf.DUMMYFUNCTION("""COMPUTED_VALUE"""),2.625736485358078)</f>
        <v>2.625736485</v>
      </c>
      <c r="AH718" s="57">
        <f>IFERROR(__xludf.DUMMYFUNCTION("""COMPUTED_VALUE"""),1.21479496596593)</f>
        <v>1.214794966</v>
      </c>
      <c r="AI718" s="57">
        <f>IFERROR(__xludf.DUMMYFUNCTION("""COMPUTED_VALUE"""),1.7500389412937338)</f>
        <v>1.750038941</v>
      </c>
      <c r="AJ718" s="57">
        <f>IFERROR(__xludf.DUMMYFUNCTION("""COMPUTED_VALUE"""),0.7973722178173922)</f>
        <v>0.7973722178</v>
      </c>
      <c r="AK718" s="57">
        <f>IFERROR(__xludf.DUMMYFUNCTION("""COMPUTED_VALUE"""),0.9342903998648525)</f>
        <v>0.9342903999</v>
      </c>
      <c r="AL718" s="57">
        <f>IFERROR(__xludf.DUMMYFUNCTION("""COMPUTED_VALUE"""),1.451973578178802)</f>
        <v>1.451973578</v>
      </c>
      <c r="AM718" s="57">
        <f>IFERROR(__xludf.DUMMYFUNCTION("""COMPUTED_VALUE"""),0.9141599328868689)</f>
        <v>0.9141599329</v>
      </c>
      <c r="AN718" s="57">
        <f>IFERROR(__xludf.DUMMYFUNCTION("""COMPUTED_VALUE"""),0.7386310532214171)</f>
        <v>0.7386310532</v>
      </c>
      <c r="AO718" s="57">
        <f>IFERROR(__xludf.DUMMYFUNCTION("""COMPUTED_VALUE"""),0.8560670162373817)</f>
        <v>0.8560670162</v>
      </c>
      <c r="AP718" s="35">
        <f>IFERROR(__xludf.DUMMYFUNCTION("""COMPUTED_VALUE"""),1.0185650541665345)</f>
        <v>1.018565054</v>
      </c>
      <c r="AQ718" s="57">
        <f>IFERROR(__xludf.DUMMYFUNCTION("""COMPUTED_VALUE"""),0.963465917776699)</f>
        <v>0.9634659178</v>
      </c>
      <c r="AR718" s="36" t="b">
        <f>IFERROR(__xludf.DUMMYFUNCTION("""COMPUTED_VALUE"""),TRUE)</f>
        <v>1</v>
      </c>
      <c r="AS718" s="57"/>
      <c r="AT718" s="37"/>
      <c r="AU718" s="30"/>
      <c r="AV718" s="30"/>
      <c r="AW718" s="30"/>
      <c r="AX718" s="30"/>
      <c r="AY718" s="30"/>
      <c r="AZ718" s="30"/>
    </row>
    <row r="719">
      <c r="A719" s="30" t="str">
        <f>IFERROR(__xludf.DUMMYFUNCTION("""COMPUTED_VALUE"""),"Veteran")</f>
        <v>Veteran</v>
      </c>
      <c r="B719" s="30" t="str">
        <f>IFERROR(__xludf.DUMMYFUNCTION("""COMPUTED_VALUE"""),"RSC004872")</f>
        <v>RSC004872</v>
      </c>
      <c r="C719" s="30" t="str">
        <f>IFERROR(__xludf.DUMMYFUNCTION("""COMPUTED_VALUE"""),"JustLaben")</f>
        <v>JustLaben</v>
      </c>
      <c r="D719" s="31" t="str">
        <f>IFERROR(__xludf.DUMMYFUNCTION("""COMPUTED_VALUE"""),"Cannoli")</f>
        <v>Cannoli</v>
      </c>
      <c r="E719" s="31">
        <f>IFERROR(__xludf.DUMMYFUNCTION("""COMPUTED_VALUE"""),99.09775250073957)</f>
        <v>99.0977525</v>
      </c>
      <c r="F719" s="31">
        <f>IFERROR(__xludf.DUMMYFUNCTION("""COMPUTED_VALUE"""),40.37099461111471)</f>
        <v>40.37099461</v>
      </c>
      <c r="G719" s="31">
        <f>IFERROR(__xludf.DUMMYFUNCTION("""COMPUTED_VALUE"""),75.11464705660799)</f>
        <v>75.11464706</v>
      </c>
      <c r="H719" s="31">
        <f>IFERROR(__xludf.DUMMYFUNCTION("""COMPUTED_VALUE"""),6.34726593846888)</f>
        <v>6.347265938</v>
      </c>
      <c r="I719" s="54">
        <f>IFERROR(__xludf.DUMMYFUNCTION("""COMPUTED_VALUE"""),43.0)</f>
        <v>43</v>
      </c>
      <c r="J719" s="55">
        <f>IFERROR(__xludf.DUMMYFUNCTION("""COMPUTED_VALUE"""),25.0)</f>
        <v>25</v>
      </c>
      <c r="K719" s="54">
        <f>IFERROR(__xludf.DUMMYFUNCTION("""COMPUTED_VALUE"""),18.0)</f>
        <v>18</v>
      </c>
      <c r="L719" s="56">
        <f>IFERROR(__xludf.DUMMYFUNCTION("""COMPUTED_VALUE"""),0.5813953488372093)</f>
        <v>0.5813953488</v>
      </c>
      <c r="M719" s="56">
        <f>IFERROR(__xludf.DUMMYFUNCTION("""COMPUTED_VALUE"""),0.38028169014084506)</f>
        <v>0.3802816901</v>
      </c>
      <c r="N719" s="31">
        <f>IFERROR(__xludf.DUMMYFUNCTION("""COMPUTED_VALUE"""),424.2093023255814)</f>
        <v>424.2093023</v>
      </c>
      <c r="O719" s="57">
        <f>IFERROR(__xludf.DUMMYFUNCTION("""COMPUTED_VALUE"""),1.255813953488372)</f>
        <v>1.255813953</v>
      </c>
      <c r="P719" s="57">
        <f>IFERROR(__xludf.DUMMYFUNCTION("""COMPUTED_VALUE"""),0.6744186046511628)</f>
        <v>0.6744186047</v>
      </c>
      <c r="Q719" s="57">
        <f>IFERROR(__xludf.DUMMYFUNCTION("""COMPUTED_VALUE"""),1.4651162790697674)</f>
        <v>1.465116279</v>
      </c>
      <c r="R719" s="57">
        <f>IFERROR(__xludf.DUMMYFUNCTION("""COMPUTED_VALUE"""),3.302325581395349)</f>
        <v>3.302325581</v>
      </c>
      <c r="S719" s="31">
        <f>IFERROR(__xludf.DUMMYFUNCTION("""COMPUTED_VALUE"""),350.015503875969)</f>
        <v>350.0155039</v>
      </c>
      <c r="T719" s="57">
        <f>IFERROR(__xludf.DUMMYFUNCTION("""COMPUTED_VALUE"""),0.6744186046511628)</f>
        <v>0.6744186047</v>
      </c>
      <c r="U719" s="57">
        <f>IFERROR(__xludf.DUMMYFUNCTION("""COMPUTED_VALUE"""),0.4651162790697674)</f>
        <v>0.4651162791</v>
      </c>
      <c r="V719" s="57">
        <f>IFERROR(__xludf.DUMMYFUNCTION("""COMPUTED_VALUE"""),1.6511627906976747)</f>
        <v>1.651162791</v>
      </c>
      <c r="W719" s="57">
        <f>IFERROR(__xludf.DUMMYFUNCTION("""COMPUTED_VALUE"""),2.387596899224806)</f>
        <v>2.387596899</v>
      </c>
      <c r="X719" s="31">
        <f>IFERROR(__xludf.DUMMYFUNCTION("""COMPUTED_VALUE"""),360.37373688840955)</f>
        <v>360.3737369</v>
      </c>
      <c r="Y719" s="57">
        <f>IFERROR(__xludf.DUMMYFUNCTION("""COMPUTED_VALUE"""),0.8219972570408599)</f>
        <v>0.821997257</v>
      </c>
      <c r="Z719" s="57">
        <f>IFERROR(__xludf.DUMMYFUNCTION("""COMPUTED_VALUE"""),0.5666333193076235)</f>
        <v>0.5666333193</v>
      </c>
      <c r="AA719" s="57">
        <f>IFERROR(__xludf.DUMMYFUNCTION("""COMPUTED_VALUE"""),1.376445295958873)</f>
        <v>1.376445296</v>
      </c>
      <c r="AB719" s="57">
        <f>IFERROR(__xludf.DUMMYFUNCTION("""COMPUTED_VALUE"""),2.6740591662789894)</f>
        <v>2.674059166</v>
      </c>
      <c r="AC719" s="31">
        <f>IFERROR(__xludf.DUMMYFUNCTION("""COMPUTED_VALUE"""),354.6515185855158)</f>
        <v>354.6515186</v>
      </c>
      <c r="AD719" s="57">
        <f>IFERROR(__xludf.DUMMYFUNCTION("""COMPUTED_VALUE"""),0.7963695126681867)</f>
        <v>0.7963695127</v>
      </c>
      <c r="AE719" s="57">
        <f>IFERROR(__xludf.DUMMYFUNCTION("""COMPUTED_VALUE"""),0.5830372139006932)</f>
        <v>0.5830372139</v>
      </c>
      <c r="AF719" s="57">
        <f>IFERROR(__xludf.DUMMYFUNCTION("""COMPUTED_VALUE"""),1.3152929435530085)</f>
        <v>1.315292944</v>
      </c>
      <c r="AG719" s="57">
        <f>IFERROR(__xludf.DUMMYFUNCTION("""COMPUTED_VALUE"""),2.6752603324315585)</f>
        <v>2.675260332</v>
      </c>
      <c r="AH719" s="57">
        <f>IFERROR(__xludf.DUMMYFUNCTION("""COMPUTED_VALUE"""),1.1961299475538363)</f>
        <v>1.196129948</v>
      </c>
      <c r="AI719" s="57">
        <f>IFERROR(__xludf.DUMMYFUNCTION("""COMPUTED_VALUE"""),1.5769236937271058)</f>
        <v>1.576923694</v>
      </c>
      <c r="AJ719" s="57">
        <f>IFERROR(__xludf.DUMMYFUNCTION("""COMPUTED_VALUE"""),1.15673337579792)</f>
        <v>1.156733376</v>
      </c>
      <c r="AK719" s="57">
        <f>IFERROR(__xludf.DUMMYFUNCTION("""COMPUTED_VALUE"""),1.1139087199175874)</f>
        <v>1.11390872</v>
      </c>
      <c r="AL719" s="57">
        <f>IFERROR(__xludf.DUMMYFUNCTION("""COMPUTED_VALUE"""),1.2343941041408286)</f>
        <v>1.234394104</v>
      </c>
      <c r="AM719" s="57">
        <f>IFERROR(__xludf.DUMMYFUNCTION("""COMPUTED_VALUE"""),0.9712569703278682)</f>
        <v>0.9712569703</v>
      </c>
      <c r="AN719" s="57">
        <f>IFERROR(__xludf.DUMMYFUNCTION("""COMPUTED_VALUE"""),0.820463327431321)</f>
        <v>0.8204633274</v>
      </c>
      <c r="AO719" s="57">
        <f>IFERROR(__xludf.DUMMYFUNCTION("""COMPUTED_VALUE"""),0.8208417387775553)</f>
        <v>0.8208417388</v>
      </c>
      <c r="AP719" s="35">
        <f>IFERROR(__xludf.DUMMYFUNCTION("""COMPUTED_VALUE"""),1.1995847532374508)</f>
        <v>1.199584753</v>
      </c>
      <c r="AQ719" s="57">
        <f>IFERROR(__xludf.DUMMYFUNCTION("""COMPUTED_VALUE"""),0.8928736242389125)</f>
        <v>0.8928736242</v>
      </c>
      <c r="AR719" s="36" t="b">
        <f>IFERROR(__xludf.DUMMYFUNCTION("""COMPUTED_VALUE"""),TRUE)</f>
        <v>1</v>
      </c>
      <c r="AS719" s="57"/>
      <c r="AT719" s="37"/>
      <c r="AU719" s="30"/>
      <c r="AV719" s="30"/>
      <c r="AW719" s="30"/>
      <c r="AX719" s="30"/>
      <c r="AY719" s="30"/>
      <c r="AZ719" s="30"/>
    </row>
    <row r="720">
      <c r="A720" s="30" t="str">
        <f>IFERROR(__xludf.DUMMYFUNCTION("""COMPUTED_VALUE"""),"Veteran")</f>
        <v>Veteran</v>
      </c>
      <c r="B720" s="30" t="str">
        <f>IFERROR(__xludf.DUMMYFUNCTION("""COMPUTED_VALUE"""),"RSC002906")</f>
        <v>RSC002906</v>
      </c>
      <c r="C720" s="30" t="str">
        <f>IFERROR(__xludf.DUMMYFUNCTION("""COMPUTED_VALUE"""),"PackRL")</f>
        <v>PackRL</v>
      </c>
      <c r="D720" s="31" t="str">
        <f>IFERROR(__xludf.DUMMYFUNCTION("""COMPUTED_VALUE"""),"Legati")</f>
        <v>Legati</v>
      </c>
      <c r="E720" s="31">
        <f>IFERROR(__xludf.DUMMYFUNCTION("""COMPUTED_VALUE"""),98.79940698662578)</f>
        <v>98.79940699</v>
      </c>
      <c r="F720" s="31">
        <f>IFERROR(__xludf.DUMMYFUNCTION("""COMPUTED_VALUE"""),39.26108987436738)</f>
        <v>39.26108987</v>
      </c>
      <c r="G720" s="31">
        <f>IFERROR(__xludf.DUMMYFUNCTION("""COMPUTED_VALUE"""),79.03594010147549)</f>
        <v>79.0359401</v>
      </c>
      <c r="H720" s="31">
        <f>IFERROR(__xludf.DUMMYFUNCTION("""COMPUTED_VALUE"""),8.147834837991091)</f>
        <v>8.147834838</v>
      </c>
      <c r="I720" s="54">
        <f>IFERROR(__xludf.DUMMYFUNCTION("""COMPUTED_VALUE"""),30.0)</f>
        <v>30</v>
      </c>
      <c r="J720" s="55">
        <f>IFERROR(__xludf.DUMMYFUNCTION("""COMPUTED_VALUE"""),20.0)</f>
        <v>20</v>
      </c>
      <c r="K720" s="54">
        <f>IFERROR(__xludf.DUMMYFUNCTION("""COMPUTED_VALUE"""),10.0)</f>
        <v>10</v>
      </c>
      <c r="L720" s="56">
        <f>IFERROR(__xludf.DUMMYFUNCTION("""COMPUTED_VALUE"""),0.6666666666666666)</f>
        <v>0.6666666667</v>
      </c>
      <c r="M720" s="56">
        <f>IFERROR(__xludf.DUMMYFUNCTION("""COMPUTED_VALUE"""),0.37142857142857144)</f>
        <v>0.3714285714</v>
      </c>
      <c r="N720" s="31">
        <f>IFERROR(__xludf.DUMMYFUNCTION("""COMPUTED_VALUE"""),467.8666666666667)</f>
        <v>467.8666667</v>
      </c>
      <c r="O720" s="57">
        <f>IFERROR(__xludf.DUMMYFUNCTION("""COMPUTED_VALUE"""),1.3)</f>
        <v>1.3</v>
      </c>
      <c r="P720" s="57">
        <f>IFERROR(__xludf.DUMMYFUNCTION("""COMPUTED_VALUE"""),0.6)</f>
        <v>0.6</v>
      </c>
      <c r="Q720" s="57">
        <f>IFERROR(__xludf.DUMMYFUNCTION("""COMPUTED_VALUE"""),2.1333333333333333)</f>
        <v>2.133333333</v>
      </c>
      <c r="R720" s="57">
        <f>IFERROR(__xludf.DUMMYFUNCTION("""COMPUTED_VALUE"""),3.5)</f>
        <v>3.5</v>
      </c>
      <c r="S720" s="31">
        <f>IFERROR(__xludf.DUMMYFUNCTION("""COMPUTED_VALUE"""),366.11111111111114)</f>
        <v>366.1111111</v>
      </c>
      <c r="T720" s="57">
        <f>IFERROR(__xludf.DUMMYFUNCTION("""COMPUTED_VALUE"""),0.788888888888889)</f>
        <v>0.7888888889</v>
      </c>
      <c r="U720" s="57">
        <f>IFERROR(__xludf.DUMMYFUNCTION("""COMPUTED_VALUE"""),0.6000000000000001)</f>
        <v>0.6</v>
      </c>
      <c r="V720" s="57">
        <f>IFERROR(__xludf.DUMMYFUNCTION("""COMPUTED_VALUE"""),1.5111111111111108)</f>
        <v>1.511111111</v>
      </c>
      <c r="W720" s="57">
        <f>IFERROR(__xludf.DUMMYFUNCTION("""COMPUTED_VALUE"""),2.8888888888888884)</f>
        <v>2.888888889</v>
      </c>
      <c r="X720" s="31">
        <f>IFERROR(__xludf.DUMMYFUNCTION("""COMPUTED_VALUE"""),367.98811053578424)</f>
        <v>367.9881105</v>
      </c>
      <c r="Y720" s="57">
        <f>IFERROR(__xludf.DUMMYFUNCTION("""COMPUTED_VALUE"""),0.823634447717271)</f>
        <v>0.8236344477</v>
      </c>
      <c r="Z720" s="57">
        <f>IFERROR(__xludf.DUMMYFUNCTION("""COMPUTED_VALUE"""),0.5959998178635868)</f>
        <v>0.5959998179</v>
      </c>
      <c r="AA720" s="57">
        <f>IFERROR(__xludf.DUMMYFUNCTION("""COMPUTED_VALUE"""),1.4426999795263824)</f>
        <v>1.44269998</v>
      </c>
      <c r="AB720" s="57">
        <f>IFERROR(__xludf.DUMMYFUNCTION("""COMPUTED_VALUE"""),2.680085593266562)</f>
        <v>2.680085593</v>
      </c>
      <c r="AC720" s="31">
        <f>IFERROR(__xludf.DUMMYFUNCTION("""COMPUTED_VALUE"""),352.2590248195848)</f>
        <v>352.2590248</v>
      </c>
      <c r="AD720" s="57">
        <f>IFERROR(__xludf.DUMMYFUNCTION("""COMPUTED_VALUE"""),0.7773101940412456)</f>
        <v>0.777310194</v>
      </c>
      <c r="AE720" s="57">
        <f>IFERROR(__xludf.DUMMYFUNCTION("""COMPUTED_VALUE"""),0.5630070856721981)</f>
        <v>0.5630070857</v>
      </c>
      <c r="AF720" s="57">
        <f>IFERROR(__xludf.DUMMYFUNCTION("""COMPUTED_VALUE"""),1.3341694643069884)</f>
        <v>1.334169464</v>
      </c>
      <c r="AG720" s="57">
        <f>IFERROR(__xludf.DUMMYFUNCTION("""COMPUTED_VALUE"""),2.679186664711884)</f>
        <v>2.679186665</v>
      </c>
      <c r="AH720" s="57">
        <f>IFERROR(__xludf.DUMMYFUNCTION("""COMPUTED_VALUE"""),1.3281892973680156)</f>
        <v>1.328189297</v>
      </c>
      <c r="AI720" s="57">
        <f>IFERROR(__xludf.DUMMYFUNCTION("""COMPUTED_VALUE"""),1.6724340037807603)</f>
        <v>1.672434004</v>
      </c>
      <c r="AJ720" s="57">
        <f>IFERROR(__xludf.DUMMYFUNCTION("""COMPUTED_VALUE"""),1.065705948058601)</f>
        <v>1.065705948</v>
      </c>
      <c r="AK720" s="57">
        <f>IFERROR(__xludf.DUMMYFUNCTION("""COMPUTED_VALUE"""),1.5989972716407934)</f>
        <v>1.598997272</v>
      </c>
      <c r="AL720" s="57">
        <f>IFERROR(__xludf.DUMMYFUNCTION("""COMPUTED_VALUE"""),1.3063666097249649)</f>
        <v>1.30636661</v>
      </c>
      <c r="AM720" s="57">
        <f>IFERROR(__xludf.DUMMYFUNCTION("""COMPUTED_VALUE"""),0.9948992932898287)</f>
        <v>0.9948992933</v>
      </c>
      <c r="AN720" s="57">
        <f>IFERROR(__xludf.DUMMYFUNCTION("""COMPUTED_VALUE"""),0.9578143447925467)</f>
        <v>0.9578143448</v>
      </c>
      <c r="AO720" s="57">
        <f>IFERROR(__xludf.DUMMYFUNCTION("""COMPUTED_VALUE"""),1.0067117170450695)</f>
        <v>1.006711717</v>
      </c>
      <c r="AP720" s="35">
        <f>IFERROR(__xludf.DUMMYFUNCTION("""COMPUTED_VALUE"""),1.0474188206526396)</f>
        <v>1.047418821</v>
      </c>
      <c r="AQ720" s="57">
        <f>IFERROR(__xludf.DUMMYFUNCTION("""COMPUTED_VALUE"""),1.077909189224002)</f>
        <v>1.077909189</v>
      </c>
      <c r="AR720" s="36" t="b">
        <f>IFERROR(__xludf.DUMMYFUNCTION("""COMPUTED_VALUE"""),TRUE)</f>
        <v>1</v>
      </c>
      <c r="AS720" s="57"/>
      <c r="AT720" s="37"/>
      <c r="AU720" s="30"/>
      <c r="AV720" s="30"/>
      <c r="AW720" s="30"/>
      <c r="AX720" s="30"/>
      <c r="AY720" s="30"/>
      <c r="AZ720" s="30"/>
    </row>
    <row r="721">
      <c r="A721" s="30" t="str">
        <f>IFERROR(__xludf.DUMMYFUNCTION("""COMPUTED_VALUE"""),"Veteran")</f>
        <v>Veteran</v>
      </c>
      <c r="B721" s="30" t="str">
        <f>IFERROR(__xludf.DUMMYFUNCTION("""COMPUTED_VALUE"""),"RSC004662")</f>
        <v>RSC004662</v>
      </c>
      <c r="C721" s="30" t="str">
        <f>IFERROR(__xludf.DUMMYFUNCTION("""COMPUTED_VALUE"""),"D_MATT_")</f>
        <v>D_MATT_</v>
      </c>
      <c r="D721" s="31" t="str">
        <f>IFERROR(__xludf.DUMMYFUNCTION("""COMPUTED_VALUE"""),"Penguins")</f>
        <v>Penguins</v>
      </c>
      <c r="E721" s="31">
        <f>IFERROR(__xludf.DUMMYFUNCTION("""COMPUTED_VALUE"""),95.13412694803564)</f>
        <v>95.13412695</v>
      </c>
      <c r="F721" s="31">
        <f>IFERROR(__xludf.DUMMYFUNCTION("""COMPUTED_VALUE"""),28.1620441239616)</f>
        <v>28.16204412</v>
      </c>
      <c r="G721" s="31">
        <f>IFERROR(__xludf.DUMMYFUNCTION("""COMPUTED_VALUE"""),88.30541700429434)</f>
        <v>88.305417</v>
      </c>
      <c r="H721" s="31">
        <f>IFERROR(__xludf.DUMMYFUNCTION("""COMPUTED_VALUE"""),15.940195736805995)</f>
        <v>15.94019574</v>
      </c>
      <c r="I721" s="54">
        <f>IFERROR(__xludf.DUMMYFUNCTION("""COMPUTED_VALUE"""),44.0)</f>
        <v>44</v>
      </c>
      <c r="J721" s="55">
        <f>IFERROR(__xludf.DUMMYFUNCTION("""COMPUTED_VALUE"""),27.0)</f>
        <v>27</v>
      </c>
      <c r="K721" s="54">
        <f>IFERROR(__xludf.DUMMYFUNCTION("""COMPUTED_VALUE"""),17.0)</f>
        <v>17</v>
      </c>
      <c r="L721" s="56">
        <f>IFERROR(__xludf.DUMMYFUNCTION("""COMPUTED_VALUE"""),0.6136363636363636)</f>
        <v>0.6136363636</v>
      </c>
      <c r="M721" s="56">
        <f>IFERROR(__xludf.DUMMYFUNCTION("""COMPUTED_VALUE"""),0.38620689655172413)</f>
        <v>0.3862068966</v>
      </c>
      <c r="N721" s="31">
        <f>IFERROR(__xludf.DUMMYFUNCTION("""COMPUTED_VALUE"""),418.8636363636364)</f>
        <v>418.8636364</v>
      </c>
      <c r="O721" s="57">
        <f>IFERROR(__xludf.DUMMYFUNCTION("""COMPUTED_VALUE"""),1.2727272727272727)</f>
        <v>1.272727273</v>
      </c>
      <c r="P721" s="57">
        <f>IFERROR(__xludf.DUMMYFUNCTION("""COMPUTED_VALUE"""),0.5227272727272727)</f>
        <v>0.5227272727</v>
      </c>
      <c r="Q721" s="57">
        <f>IFERROR(__xludf.DUMMYFUNCTION("""COMPUTED_VALUE"""),1.1590909090909092)</f>
        <v>1.159090909</v>
      </c>
      <c r="R721" s="57">
        <f>IFERROR(__xludf.DUMMYFUNCTION("""COMPUTED_VALUE"""),3.2954545454545454)</f>
        <v>3.295454545</v>
      </c>
      <c r="S721" s="31">
        <f>IFERROR(__xludf.DUMMYFUNCTION("""COMPUTED_VALUE"""),321.93181818181813)</f>
        <v>321.9318182</v>
      </c>
      <c r="T721" s="57">
        <f>IFERROR(__xludf.DUMMYFUNCTION("""COMPUTED_VALUE"""),0.6666666666666666)</f>
        <v>0.6666666667</v>
      </c>
      <c r="U721" s="57">
        <f>IFERROR(__xludf.DUMMYFUNCTION("""COMPUTED_VALUE"""),0.4318181818181817)</f>
        <v>0.4318181818</v>
      </c>
      <c r="V721" s="57">
        <f>IFERROR(__xludf.DUMMYFUNCTION("""COMPUTED_VALUE"""),1.401515151515151)</f>
        <v>1.401515152</v>
      </c>
      <c r="W721" s="57">
        <f>IFERROR(__xludf.DUMMYFUNCTION("""COMPUTED_VALUE"""),2.295454545454545)</f>
        <v>2.295454545</v>
      </c>
      <c r="X721" s="31">
        <f>IFERROR(__xludf.DUMMYFUNCTION("""COMPUTED_VALUE"""),359.2474451872563)</f>
        <v>359.2474452</v>
      </c>
      <c r="Y721" s="57">
        <f>IFERROR(__xludf.DUMMYFUNCTION("""COMPUTED_VALUE"""),0.7922075069237343)</f>
        <v>0.7922075069</v>
      </c>
      <c r="Z721" s="57">
        <f>IFERROR(__xludf.DUMMYFUNCTION("""COMPUTED_VALUE"""),0.5900755819354676)</f>
        <v>0.5900755819</v>
      </c>
      <c r="AA721" s="57">
        <f>IFERROR(__xludf.DUMMYFUNCTION("""COMPUTED_VALUE"""),1.396612452621565)</f>
        <v>1.396612453</v>
      </c>
      <c r="AB721" s="57">
        <f>IFERROR(__xludf.DUMMYFUNCTION("""COMPUTED_VALUE"""),2.6283852737437154)</f>
        <v>2.628385274</v>
      </c>
      <c r="AC721" s="31">
        <f>IFERROR(__xludf.DUMMYFUNCTION("""COMPUTED_VALUE"""),352.63740709300026)</f>
        <v>352.6374071</v>
      </c>
      <c r="AD721" s="57">
        <f>IFERROR(__xludf.DUMMYFUNCTION("""COMPUTED_VALUE"""),0.7953624254002674)</f>
        <v>0.7953624254</v>
      </c>
      <c r="AE721" s="57">
        <f>IFERROR(__xludf.DUMMYFUNCTION("""COMPUTED_VALUE"""),0.5766563437873896)</f>
        <v>0.5766563438</v>
      </c>
      <c r="AF721" s="57">
        <f>IFERROR(__xludf.DUMMYFUNCTION("""COMPUTED_VALUE"""),1.3192993429661934)</f>
        <v>1.319299343</v>
      </c>
      <c r="AG721" s="57">
        <f>IFERROR(__xludf.DUMMYFUNCTION("""COMPUTED_VALUE"""),2.6651620169361054)</f>
        <v>2.665162017</v>
      </c>
      <c r="AH721" s="57">
        <f>IFERROR(__xludf.DUMMYFUNCTION("""COMPUTED_VALUE"""),1.187802620875018)</f>
        <v>1.187802621</v>
      </c>
      <c r="AI721" s="57">
        <f>IFERROR(__xludf.DUMMYFUNCTION("""COMPUTED_VALUE"""),1.6001853143700757)</f>
        <v>1.600185314</v>
      </c>
      <c r="AJ721" s="57">
        <f>IFERROR(__xludf.DUMMYFUNCTION("""COMPUTED_VALUE"""),0.9064797055627289)</f>
        <v>0.9064797056</v>
      </c>
      <c r="AK721" s="57">
        <f>IFERROR(__xludf.DUMMYFUNCTION("""COMPUTED_VALUE"""),0.878565516818127)</f>
        <v>0.8785655168</v>
      </c>
      <c r="AL721" s="57">
        <f>IFERROR(__xludf.DUMMYFUNCTION("""COMPUTED_VALUE"""),1.2364931379455235)</f>
        <v>1.236493138</v>
      </c>
      <c r="AM721" s="57">
        <f>IFERROR(__xludf.DUMMYFUNCTION("""COMPUTED_VALUE"""),0.8961283441111528)</f>
        <v>0.8961283441</v>
      </c>
      <c r="AN721" s="57">
        <f>IFERROR(__xludf.DUMMYFUNCTION("""COMPUTED_VALUE"""),0.841530357690547)</f>
        <v>0.8415303577</v>
      </c>
      <c r="AO721" s="57">
        <f>IFERROR(__xludf.DUMMYFUNCTION("""COMPUTED_VALUE"""),0.7318014760105878)</f>
        <v>0.731801476</v>
      </c>
      <c r="AP721" s="35">
        <f>IFERROR(__xludf.DUMMYFUNCTION("""COMPUTED_VALUE"""),1.0035104218671278)</f>
        <v>1.003510422</v>
      </c>
      <c r="AQ721" s="57">
        <f>IFERROR(__xludf.DUMMYFUNCTION("""COMPUTED_VALUE"""),0.8733326002032556)</f>
        <v>0.8733326002</v>
      </c>
      <c r="AR721" s="36" t="b">
        <f>IFERROR(__xludf.DUMMYFUNCTION("""COMPUTED_VALUE"""),TRUE)</f>
        <v>1</v>
      </c>
      <c r="AS721" s="57"/>
      <c r="AT721" s="37"/>
      <c r="AU721" s="30"/>
      <c r="AV721" s="30"/>
      <c r="AW721" s="30"/>
      <c r="AX721" s="30"/>
      <c r="AY721" s="30"/>
      <c r="AZ721" s="30"/>
    </row>
    <row r="722">
      <c r="A722" s="30" t="str">
        <f>IFERROR(__xludf.DUMMYFUNCTION("""COMPUTED_VALUE"""),"Veteran")</f>
        <v>Veteran</v>
      </c>
      <c r="B722" s="30" t="str">
        <f>IFERROR(__xludf.DUMMYFUNCTION("""COMPUTED_VALUE"""),"RSC007143")</f>
        <v>RSC007143</v>
      </c>
      <c r="C722" s="30" t="str">
        <f>IFERROR(__xludf.DUMMYFUNCTION("""COMPUTED_VALUE"""),"OmniMurders")</f>
        <v>OmniMurders</v>
      </c>
      <c r="D722" s="31"/>
      <c r="E722" s="31">
        <f>IFERROR(__xludf.DUMMYFUNCTION("""COMPUTED_VALUE"""),92.22603777911965)</f>
        <v>92.22603778</v>
      </c>
      <c r="F722" s="31">
        <f>IFERROR(__xludf.DUMMYFUNCTION("""COMPUTED_VALUE"""),21.927065608894335)</f>
        <v>21.92706561</v>
      </c>
      <c r="G722" s="31">
        <f>IFERROR(__xludf.DUMMYFUNCTION("""COMPUTED_VALUE"""),70.3262329108496)</f>
        <v>70.32623291</v>
      </c>
      <c r="H722" s="31">
        <f>IFERROR(__xludf.DUMMYFUNCTION("""COMPUTED_VALUE"""),4.8054999873755815)</f>
        <v>4.805499987</v>
      </c>
      <c r="I722" s="54">
        <f>IFERROR(__xludf.DUMMYFUNCTION("""COMPUTED_VALUE"""),4.0)</f>
        <v>4</v>
      </c>
      <c r="J722" s="55">
        <f>IFERROR(__xludf.DUMMYFUNCTION("""COMPUTED_VALUE"""),4.0)</f>
        <v>4</v>
      </c>
      <c r="K722" s="54">
        <f>IFERROR(__xludf.DUMMYFUNCTION("""COMPUTED_VALUE"""),0.0)</f>
        <v>0</v>
      </c>
      <c r="L722" s="56">
        <f>IFERROR(__xludf.DUMMYFUNCTION("""COMPUTED_VALUE"""),1.0)</f>
        <v>1</v>
      </c>
      <c r="M722" s="56">
        <f>IFERROR(__xludf.DUMMYFUNCTION("""COMPUTED_VALUE"""),0.15384615384615385)</f>
        <v>0.1538461538</v>
      </c>
      <c r="N722" s="31">
        <f>IFERROR(__xludf.DUMMYFUNCTION("""COMPUTED_VALUE"""),422.0)</f>
        <v>422</v>
      </c>
      <c r="O722" s="57">
        <f>IFERROR(__xludf.DUMMYFUNCTION("""COMPUTED_VALUE"""),0.5)</f>
        <v>0.5</v>
      </c>
      <c r="P722" s="57">
        <f>IFERROR(__xludf.DUMMYFUNCTION("""COMPUTED_VALUE"""),1.5)</f>
        <v>1.5</v>
      </c>
      <c r="Q722" s="57">
        <f>IFERROR(__xludf.DUMMYFUNCTION("""COMPUTED_VALUE"""),2.25)</f>
        <v>2.25</v>
      </c>
      <c r="R722" s="57">
        <f>IFERROR(__xludf.DUMMYFUNCTION("""COMPUTED_VALUE"""),3.25)</f>
        <v>3.25</v>
      </c>
      <c r="S722" s="31">
        <f>IFERROR(__xludf.DUMMYFUNCTION("""COMPUTED_VALUE"""),332.41666666666663)</f>
        <v>332.4166667</v>
      </c>
      <c r="T722" s="57">
        <f>IFERROR(__xludf.DUMMYFUNCTION("""COMPUTED_VALUE"""),0.75)</f>
        <v>0.75</v>
      </c>
      <c r="U722" s="57">
        <f>IFERROR(__xludf.DUMMYFUNCTION("""COMPUTED_VALUE"""),0.16666666666666666)</f>
        <v>0.1666666667</v>
      </c>
      <c r="V722" s="57">
        <f>IFERROR(__xludf.DUMMYFUNCTION("""COMPUTED_VALUE"""),1.4166666666666665)</f>
        <v>1.416666667</v>
      </c>
      <c r="W722" s="57">
        <f>IFERROR(__xludf.DUMMYFUNCTION("""COMPUTED_VALUE"""),2.8333333333333335)</f>
        <v>2.833333333</v>
      </c>
      <c r="X722" s="31">
        <f>IFERROR(__xludf.DUMMYFUNCTION("""COMPUTED_VALUE"""),332.54781560581023)</f>
        <v>332.5478156</v>
      </c>
      <c r="Y722" s="57">
        <f>IFERROR(__xludf.DUMMYFUNCTION("""COMPUTED_VALUE"""),0.6634282285649304)</f>
        <v>0.6634282286</v>
      </c>
      <c r="Z722" s="57">
        <f>IFERROR(__xludf.DUMMYFUNCTION("""COMPUTED_VALUE"""),0.48314827161885654)</f>
        <v>0.4831482716</v>
      </c>
      <c r="AA722" s="57">
        <f>IFERROR(__xludf.DUMMYFUNCTION("""COMPUTED_VALUE"""),1.359364983703824)</f>
        <v>1.359364984</v>
      </c>
      <c r="AB722" s="57">
        <f>IFERROR(__xludf.DUMMYFUNCTION("""COMPUTED_VALUE"""),2.2776267063912874)</f>
        <v>2.277626706</v>
      </c>
      <c r="AC722" s="31">
        <f>IFERROR(__xludf.DUMMYFUNCTION("""COMPUTED_VALUE"""),360.9032678977724)</f>
        <v>360.9032679</v>
      </c>
      <c r="AD722" s="57">
        <f>IFERROR(__xludf.DUMMYFUNCTION("""COMPUTED_VALUE"""),0.8413520891537457)</f>
        <v>0.8413520892</v>
      </c>
      <c r="AE722" s="57">
        <f>IFERROR(__xludf.DUMMYFUNCTION("""COMPUTED_VALUE"""),0.6319729328230616)</f>
        <v>0.6319729328</v>
      </c>
      <c r="AF722" s="57">
        <f>IFERROR(__xludf.DUMMYFUNCTION("""COMPUTED_VALUE"""),1.2598002750379353)</f>
        <v>1.259800275</v>
      </c>
      <c r="AG722" s="57">
        <f>IFERROR(__xludf.DUMMYFUNCTION("""COMPUTED_VALUE"""),2.7845518098098316)</f>
        <v>2.78455181</v>
      </c>
      <c r="AH722" s="57">
        <f>IFERROR(__xludf.DUMMYFUNCTION("""COMPUTED_VALUE"""),1.1692883870465078)</f>
        <v>1.169288387</v>
      </c>
      <c r="AI722" s="57">
        <f>IFERROR(__xludf.DUMMYFUNCTION("""COMPUTED_VALUE"""),0.5942815219047156)</f>
        <v>0.5942815219</v>
      </c>
      <c r="AJ722" s="57">
        <f>IFERROR(__xludf.DUMMYFUNCTION("""COMPUTED_VALUE"""),2.3735193741596)</f>
        <v>2.373519374</v>
      </c>
      <c r="AK722" s="57">
        <f>IFERROR(__xludf.DUMMYFUNCTION("""COMPUTED_VALUE"""),1.7859973875083077)</f>
        <v>1.785997388</v>
      </c>
      <c r="AL722" s="57">
        <f>IFERROR(__xludf.DUMMYFUNCTION("""COMPUTED_VALUE"""),1.167153718796116)</f>
        <v>1.167153719</v>
      </c>
      <c r="AM722" s="57">
        <f>IFERROR(__xludf.DUMMYFUNCTION("""COMPUTED_VALUE"""),0.9996056238141132)</f>
        <v>0.9996056238</v>
      </c>
      <c r="AN722" s="57">
        <f>IFERROR(__xludf.DUMMYFUNCTION("""COMPUTED_VALUE"""),1.1304915403167786)</f>
        <v>1.13049154</v>
      </c>
      <c r="AO722" s="57">
        <f>IFERROR(__xludf.DUMMYFUNCTION("""COMPUTED_VALUE"""),0.3449596665392726)</f>
        <v>0.3449596665</v>
      </c>
      <c r="AP722" s="35">
        <f>IFERROR(__xludf.DUMMYFUNCTION("""COMPUTED_VALUE"""),1.0421532727779366)</f>
        <v>1.042153273</v>
      </c>
      <c r="AQ722" s="57">
        <f>IFERROR(__xludf.DUMMYFUNCTION("""COMPUTED_VALUE"""),1.243984945110921)</f>
        <v>1.243984945</v>
      </c>
      <c r="AR722" s="36" t="b">
        <f>IFERROR(__xludf.DUMMYFUNCTION("""COMPUTED_VALUE"""),TRUE)</f>
        <v>1</v>
      </c>
      <c r="AS722" s="57"/>
      <c r="AT722" s="37"/>
      <c r="AU722" s="30"/>
      <c r="AV722" s="30"/>
      <c r="AW722" s="30"/>
      <c r="AX722" s="30"/>
      <c r="AY722" s="30"/>
      <c r="AZ722" s="30"/>
    </row>
    <row r="723">
      <c r="A723" s="30" t="str">
        <f>IFERROR(__xludf.DUMMYFUNCTION("""COMPUTED_VALUE"""),"Veteran")</f>
        <v>Veteran</v>
      </c>
      <c r="B723" s="30" t="str">
        <f>IFERROR(__xludf.DUMMYFUNCTION("""COMPUTED_VALUE"""),"RSC006860")</f>
        <v>RSC006860</v>
      </c>
      <c r="C723" s="30" t="str">
        <f>IFERROR(__xludf.DUMMYFUNCTION("""COMPUTED_VALUE"""),"RyAndGav")</f>
        <v>RyAndGav</v>
      </c>
      <c r="D723" s="31" t="str">
        <f>IFERROR(__xludf.DUMMYFUNCTION("""COMPUTED_VALUE"""),"Water")</f>
        <v>Water</v>
      </c>
      <c r="E723" s="31">
        <f>IFERROR(__xludf.DUMMYFUNCTION("""COMPUTED_VALUE"""),91.50312730119859)</f>
        <v>91.5031273</v>
      </c>
      <c r="F723" s="31">
        <f>IFERROR(__xludf.DUMMYFUNCTION("""COMPUTED_VALUE"""),20.642116370620343)</f>
        <v>20.64211637</v>
      </c>
      <c r="G723" s="31">
        <f>IFERROR(__xludf.DUMMYFUNCTION("""COMPUTED_VALUE"""),83.87617806674875)</f>
        <v>83.87617807</v>
      </c>
      <c r="H723" s="31">
        <f>IFERROR(__xludf.DUMMYFUNCTION("""COMPUTED_VALUE"""),11.402343172399888)</f>
        <v>11.40234317</v>
      </c>
      <c r="I723" s="54">
        <f>IFERROR(__xludf.DUMMYFUNCTION("""COMPUTED_VALUE"""),15.0)</f>
        <v>15</v>
      </c>
      <c r="J723" s="55">
        <f>IFERROR(__xludf.DUMMYFUNCTION("""COMPUTED_VALUE"""),9.0)</f>
        <v>9</v>
      </c>
      <c r="K723" s="54">
        <f>IFERROR(__xludf.DUMMYFUNCTION("""COMPUTED_VALUE"""),6.0)</f>
        <v>6</v>
      </c>
      <c r="L723" s="56">
        <f>IFERROR(__xludf.DUMMYFUNCTION("""COMPUTED_VALUE"""),0.6)</f>
        <v>0.6</v>
      </c>
      <c r="M723" s="56">
        <f>IFERROR(__xludf.DUMMYFUNCTION("""COMPUTED_VALUE"""),0.42857142857142855)</f>
        <v>0.4285714286</v>
      </c>
      <c r="N723" s="31">
        <f>IFERROR(__xludf.DUMMYFUNCTION("""COMPUTED_VALUE"""),402.06666666666666)</f>
        <v>402.0666667</v>
      </c>
      <c r="O723" s="57">
        <f>IFERROR(__xludf.DUMMYFUNCTION("""COMPUTED_VALUE"""),1.0)</f>
        <v>1</v>
      </c>
      <c r="P723" s="57">
        <f>IFERROR(__xludf.DUMMYFUNCTION("""COMPUTED_VALUE"""),0.9333333333333333)</f>
        <v>0.9333333333</v>
      </c>
      <c r="Q723" s="57">
        <f>IFERROR(__xludf.DUMMYFUNCTION("""COMPUTED_VALUE"""),1.4)</f>
        <v>1.4</v>
      </c>
      <c r="R723" s="57">
        <f>IFERROR(__xludf.DUMMYFUNCTION("""COMPUTED_VALUE"""),2.3333333333333335)</f>
        <v>2.333333333</v>
      </c>
      <c r="S723" s="31">
        <f>IFERROR(__xludf.DUMMYFUNCTION("""COMPUTED_VALUE"""),307.0444444444444)</f>
        <v>307.0444444</v>
      </c>
      <c r="T723" s="57">
        <f>IFERROR(__xludf.DUMMYFUNCTION("""COMPUTED_VALUE"""),0.6222222222222221)</f>
        <v>0.6222222222</v>
      </c>
      <c r="U723" s="57">
        <f>IFERROR(__xludf.DUMMYFUNCTION("""COMPUTED_VALUE"""),0.3777777777777779)</f>
        <v>0.3777777778</v>
      </c>
      <c r="V723" s="57">
        <f>IFERROR(__xludf.DUMMYFUNCTION("""COMPUTED_VALUE"""),1.1111111111111112)</f>
        <v>1.111111111</v>
      </c>
      <c r="W723" s="57">
        <f>IFERROR(__xludf.DUMMYFUNCTION("""COMPUTED_VALUE"""),2.111111111111111)</f>
        <v>2.111111111</v>
      </c>
      <c r="X723" s="31">
        <f>IFERROR(__xludf.DUMMYFUNCTION("""COMPUTED_VALUE"""),352.34299942627837)</f>
        <v>352.3429994</v>
      </c>
      <c r="Y723" s="57">
        <f>IFERROR(__xludf.DUMMYFUNCTION("""COMPUTED_VALUE"""),0.8122547994424539)</f>
        <v>0.8122547994</v>
      </c>
      <c r="Z723" s="57">
        <f>IFERROR(__xludf.DUMMYFUNCTION("""COMPUTED_VALUE"""),0.5469890755319623)</f>
        <v>0.5469890755</v>
      </c>
      <c r="AA723" s="57">
        <f>IFERROR(__xludf.DUMMYFUNCTION("""COMPUTED_VALUE"""),1.3169866396092387)</f>
        <v>1.31698664</v>
      </c>
      <c r="AB723" s="57">
        <f>IFERROR(__xludf.DUMMYFUNCTION("""COMPUTED_VALUE"""),2.646484192636923)</f>
        <v>2.646484193</v>
      </c>
      <c r="AC723" s="31">
        <f>IFERROR(__xludf.DUMMYFUNCTION("""COMPUTED_VALUE"""),357.4525442932469)</f>
        <v>357.4525443</v>
      </c>
      <c r="AD723" s="57">
        <f>IFERROR(__xludf.DUMMYFUNCTION("""COMPUTED_VALUE"""),0.7934492036662204)</f>
        <v>0.7934492037</v>
      </c>
      <c r="AE723" s="57">
        <f>IFERROR(__xludf.DUMMYFUNCTION("""COMPUTED_VALUE"""),0.5986150895615835)</f>
        <v>0.5986150896</v>
      </c>
      <c r="AF723" s="57">
        <f>IFERROR(__xludf.DUMMYFUNCTION("""COMPUTED_VALUE"""),1.3741462457737408)</f>
        <v>1.374146246</v>
      </c>
      <c r="AG723" s="57">
        <f>IFERROR(__xludf.DUMMYFUNCTION("""COMPUTED_VALUE"""),2.616669296839743)</f>
        <v>2.616669297</v>
      </c>
      <c r="AH723" s="57">
        <f>IFERROR(__xludf.DUMMYFUNCTION("""COMPUTED_VALUE"""),1.1248113157555797)</f>
        <v>1.124811316</v>
      </c>
      <c r="AI723" s="57">
        <f>IFERROR(__xludf.DUMMYFUNCTION("""COMPUTED_VALUE"""),1.260320125572486)</f>
        <v>1.260320126</v>
      </c>
      <c r="AJ723" s="57">
        <f>IFERROR(__xludf.DUMMYFUNCTION("""COMPUTED_VALUE"""),1.5591543708276587)</f>
        <v>1.559154371</v>
      </c>
      <c r="AK723" s="57">
        <f>IFERROR(__xludf.DUMMYFUNCTION("""COMPUTED_VALUE"""),1.0188144124439256)</f>
        <v>1.018814412</v>
      </c>
      <c r="AL723" s="57">
        <f>IFERROR(__xludf.DUMMYFUNCTION("""COMPUTED_VALUE"""),0.8917188489013091)</f>
        <v>0.8917188489</v>
      </c>
      <c r="AM723" s="57">
        <f>IFERROR(__xludf.DUMMYFUNCTION("""COMPUTED_VALUE"""),0.8714361997951037)</f>
        <v>0.8714361998</v>
      </c>
      <c r="AN723" s="57">
        <f>IFERROR(__xludf.DUMMYFUNCTION("""COMPUTED_VALUE"""),0.766043146373929)</f>
        <v>0.7660431464</v>
      </c>
      <c r="AO723" s="57">
        <f>IFERROR(__xludf.DUMMYFUNCTION("""COMPUTED_VALUE"""),0.6906495845650634)</f>
        <v>0.6906495846</v>
      </c>
      <c r="AP723" s="35">
        <f>IFERROR(__xludf.DUMMYFUNCTION("""COMPUTED_VALUE"""),0.8436768283699426)</f>
        <v>0.8436768284</v>
      </c>
      <c r="AQ723" s="57">
        <f>IFERROR(__xludf.DUMMYFUNCTION("""COMPUTED_VALUE"""),0.7977040320076981)</f>
        <v>0.797704032</v>
      </c>
      <c r="AR723" s="36" t="b">
        <f>IFERROR(__xludf.DUMMYFUNCTION("""COMPUTED_VALUE"""),TRUE)</f>
        <v>1</v>
      </c>
      <c r="AS723" s="57"/>
      <c r="AT723" s="37"/>
      <c r="AU723" s="30"/>
      <c r="AV723" s="30"/>
      <c r="AW723" s="30"/>
      <c r="AX723" s="30"/>
      <c r="AY723" s="30"/>
      <c r="AZ723" s="30"/>
    </row>
    <row r="724">
      <c r="A724" s="30" t="str">
        <f>IFERROR(__xludf.DUMMYFUNCTION("""COMPUTED_VALUE"""),"Veteran")</f>
        <v>Veteran</v>
      </c>
      <c r="B724" s="30" t="str">
        <f>IFERROR(__xludf.DUMMYFUNCTION("""COMPUTED_VALUE"""),"RSC006945")</f>
        <v>RSC006945</v>
      </c>
      <c r="C724" s="30" t="str">
        <f>IFERROR(__xludf.DUMMYFUNCTION("""COMPUTED_VALUE"""),"nuummite")</f>
        <v>nuummite</v>
      </c>
      <c r="D724" s="31" t="str">
        <f>IFERROR(__xludf.DUMMYFUNCTION("""COMPUTED_VALUE"""),"Paradox Paloma")</f>
        <v>Paradox Paloma</v>
      </c>
      <c r="E724" s="31">
        <f>IFERROR(__xludf.DUMMYFUNCTION("""COMPUTED_VALUE"""),90.36545637834112)</f>
        <v>90.36545638</v>
      </c>
      <c r="F724" s="31">
        <f>IFERROR(__xludf.DUMMYFUNCTION("""COMPUTED_VALUE"""),18.79816035471045)</f>
        <v>18.79816035</v>
      </c>
      <c r="G724" s="31">
        <f>IFERROR(__xludf.DUMMYFUNCTION("""COMPUTED_VALUE"""),70.91387656228841)</f>
        <v>70.91387656</v>
      </c>
      <c r="H724" s="31">
        <f>IFERROR(__xludf.DUMMYFUNCTION("""COMPUTED_VALUE"""),4.9647168262473915)</f>
        <v>4.964716826</v>
      </c>
      <c r="I724" s="54">
        <f>IFERROR(__xludf.DUMMYFUNCTION("""COMPUTED_VALUE"""),48.0)</f>
        <v>48</v>
      </c>
      <c r="J724" s="55">
        <f>IFERROR(__xludf.DUMMYFUNCTION("""COMPUTED_VALUE"""),30.0)</f>
        <v>30</v>
      </c>
      <c r="K724" s="54">
        <f>IFERROR(__xludf.DUMMYFUNCTION("""COMPUTED_VALUE"""),18.0)</f>
        <v>18</v>
      </c>
      <c r="L724" s="56">
        <f>IFERROR(__xludf.DUMMYFUNCTION("""COMPUTED_VALUE"""),0.625)</f>
        <v>0.625</v>
      </c>
      <c r="M724" s="56">
        <f>IFERROR(__xludf.DUMMYFUNCTION("""COMPUTED_VALUE"""),0.31818181818181823)</f>
        <v>0.3181818182</v>
      </c>
      <c r="N724" s="31">
        <f>IFERROR(__xludf.DUMMYFUNCTION("""COMPUTED_VALUE"""),409.9583333333333)</f>
        <v>409.9583333</v>
      </c>
      <c r="O724" s="57">
        <f>IFERROR(__xludf.DUMMYFUNCTION("""COMPUTED_VALUE"""),1.1666666666666667)</f>
        <v>1.166666667</v>
      </c>
      <c r="P724" s="57">
        <f>IFERROR(__xludf.DUMMYFUNCTION("""COMPUTED_VALUE"""),0.6458333333333334)</f>
        <v>0.6458333333</v>
      </c>
      <c r="Q724" s="57">
        <f>IFERROR(__xludf.DUMMYFUNCTION("""COMPUTED_VALUE"""),1.1875)</f>
        <v>1.1875</v>
      </c>
      <c r="R724" s="57">
        <f>IFERROR(__xludf.DUMMYFUNCTION("""COMPUTED_VALUE"""),3.6666666666666665)</f>
        <v>3.666666667</v>
      </c>
      <c r="S724" s="31">
        <f>IFERROR(__xludf.DUMMYFUNCTION("""COMPUTED_VALUE"""),370.04861111111103)</f>
        <v>370.0486111</v>
      </c>
      <c r="T724" s="57">
        <f>IFERROR(__xludf.DUMMYFUNCTION("""COMPUTED_VALUE"""),0.7430555555555557)</f>
        <v>0.7430555556</v>
      </c>
      <c r="U724" s="57">
        <f>IFERROR(__xludf.DUMMYFUNCTION("""COMPUTED_VALUE"""),0.5763888888888888)</f>
        <v>0.5763888889</v>
      </c>
      <c r="V724" s="57">
        <f>IFERROR(__xludf.DUMMYFUNCTION("""COMPUTED_VALUE"""),1.6458333333333333)</f>
        <v>1.645833333</v>
      </c>
      <c r="W724" s="57">
        <f>IFERROR(__xludf.DUMMYFUNCTION("""COMPUTED_VALUE"""),2.541666666666667)</f>
        <v>2.541666667</v>
      </c>
      <c r="X724" s="31">
        <f>IFERROR(__xludf.DUMMYFUNCTION("""COMPUTED_VALUE"""),358.4060457137385)</f>
        <v>358.4060457</v>
      </c>
      <c r="Y724" s="57">
        <f>IFERROR(__xludf.DUMMYFUNCTION("""COMPUTED_VALUE"""),0.7841275391017467)</f>
        <v>0.7841275391</v>
      </c>
      <c r="Z724" s="57">
        <f>IFERROR(__xludf.DUMMYFUNCTION("""COMPUTED_VALUE"""),0.576074458615064)</f>
        <v>0.5760744586</v>
      </c>
      <c r="AA724" s="57">
        <f>IFERROR(__xludf.DUMMYFUNCTION("""COMPUTED_VALUE"""),1.3945418795184015)</f>
        <v>1.39454188</v>
      </c>
      <c r="AB724" s="57">
        <f>IFERROR(__xludf.DUMMYFUNCTION("""COMPUTED_VALUE"""),2.5699879736593654)</f>
        <v>2.569987974</v>
      </c>
      <c r="AC724" s="31">
        <f>IFERROR(__xludf.DUMMYFUNCTION("""COMPUTED_VALUE"""),353.6552627796262)</f>
        <v>353.6552628</v>
      </c>
      <c r="AD724" s="57">
        <f>IFERROR(__xludf.DUMMYFUNCTION("""COMPUTED_VALUE"""),0.7972746076988436)</f>
        <v>0.7972746077</v>
      </c>
      <c r="AE724" s="57">
        <f>IFERROR(__xludf.DUMMYFUNCTION("""COMPUTED_VALUE"""),0.5845740712602071)</f>
        <v>0.5845740713</v>
      </c>
      <c r="AF724" s="57">
        <f>IFERROR(__xludf.DUMMYFUNCTION("""COMPUTED_VALUE"""),1.3147564387683095)</f>
        <v>1.314756439</v>
      </c>
      <c r="AG724" s="57">
        <f>IFERROR(__xludf.DUMMYFUNCTION("""COMPUTED_VALUE"""),2.635948485634124)</f>
        <v>2.635948486</v>
      </c>
      <c r="AH724" s="57">
        <f>IFERROR(__xludf.DUMMYFUNCTION("""COMPUTED_VALUE"""),1.1592032594430564)</f>
        <v>1.159203259</v>
      </c>
      <c r="AI724" s="57">
        <f>IFERROR(__xludf.DUMMYFUNCTION("""COMPUTED_VALUE"""),1.4633184794809801)</f>
        <v>1.463318479</v>
      </c>
      <c r="AJ724" s="57">
        <f>IFERROR(__xludf.DUMMYFUNCTION("""COMPUTED_VALUE"""),1.104792985328729)</f>
        <v>1.104792985</v>
      </c>
      <c r="AK724" s="57">
        <f>IFERROR(__xludf.DUMMYFUNCTION("""COMPUTED_VALUE"""),0.9032091153799361)</f>
        <v>0.9032091154</v>
      </c>
      <c r="AL724" s="57">
        <f>IFERROR(__xludf.DUMMYFUNCTION("""COMPUTED_VALUE"""),1.3910236435385364)</f>
        <v>1.391023644</v>
      </c>
      <c r="AM724" s="57">
        <f>IFERROR(__xludf.DUMMYFUNCTION("""COMPUTED_VALUE"""),1.0324842885230556)</f>
        <v>1.032484289</v>
      </c>
      <c r="AN724" s="57">
        <f>IFERROR(__xludf.DUMMYFUNCTION("""COMPUTED_VALUE"""),0.9476207868005238)</f>
        <v>0.9476207868</v>
      </c>
      <c r="AO724" s="57">
        <f>IFERROR(__xludf.DUMMYFUNCTION("""COMPUTED_VALUE"""),1.0005458153353661)</f>
        <v>1.000545815</v>
      </c>
      <c r="AP724" s="35">
        <f>IFERROR(__xludf.DUMMYFUNCTION("""COMPUTED_VALUE"""),1.1801964197028734)</f>
        <v>1.18019642</v>
      </c>
      <c r="AQ724" s="57">
        <f>IFERROR(__xludf.DUMMYFUNCTION("""COMPUTED_VALUE"""),0.9889799846213396)</f>
        <v>0.9889799846</v>
      </c>
      <c r="AR724" s="36" t="b">
        <f>IFERROR(__xludf.DUMMYFUNCTION("""COMPUTED_VALUE"""),TRUE)</f>
        <v>1</v>
      </c>
      <c r="AS724" s="57"/>
      <c r="AT724" s="37"/>
      <c r="AU724" s="30"/>
      <c r="AV724" s="30"/>
      <c r="AW724" s="30"/>
      <c r="AX724" s="30"/>
      <c r="AY724" s="30"/>
      <c r="AZ724" s="30"/>
    </row>
    <row r="725">
      <c r="A725" s="30" t="str">
        <f>IFERROR(__xludf.DUMMYFUNCTION("""COMPUTED_VALUE"""),"Veteran")</f>
        <v>Veteran</v>
      </c>
      <c r="B725" s="30" t="str">
        <f>IFERROR(__xludf.DUMMYFUNCTION("""COMPUTED_VALUE"""),"RSC007811")</f>
        <v>RSC007811</v>
      </c>
      <c r="C725" s="30" t="str">
        <f>IFERROR(__xludf.DUMMYFUNCTION("""COMPUTED_VALUE"""),"Gray")</f>
        <v>Gray</v>
      </c>
      <c r="D725" s="31" t="str">
        <f>IFERROR(__xludf.DUMMYFUNCTION("""COMPUTED_VALUE"""),"Gorillas")</f>
        <v>Gorillas</v>
      </c>
      <c r="E725" s="31">
        <f>IFERROR(__xludf.DUMMYFUNCTION("""COMPUTED_VALUE"""),87.90495812626652)</f>
        <v>87.90495813</v>
      </c>
      <c r="F725" s="31">
        <f>IFERROR(__xludf.DUMMYFUNCTION("""COMPUTED_VALUE"""),15.447688119949627)</f>
        <v>15.44768812</v>
      </c>
      <c r="G725" s="31">
        <f>IFERROR(__xludf.DUMMYFUNCTION("""COMPUTED_VALUE"""),78.22689677215718)</f>
        <v>78.22689677</v>
      </c>
      <c r="H725" s="31">
        <f>IFERROR(__xludf.DUMMYFUNCTION("""COMPUTED_VALUE"""),7.726010060140319)</f>
        <v>7.72601006</v>
      </c>
      <c r="I725" s="54">
        <f>IFERROR(__xludf.DUMMYFUNCTION("""COMPUTED_VALUE"""),48.0)</f>
        <v>48</v>
      </c>
      <c r="J725" s="55">
        <f>IFERROR(__xludf.DUMMYFUNCTION("""COMPUTED_VALUE"""),25.0)</f>
        <v>25</v>
      </c>
      <c r="K725" s="54">
        <f>IFERROR(__xludf.DUMMYFUNCTION("""COMPUTED_VALUE"""),23.0)</f>
        <v>23</v>
      </c>
      <c r="L725" s="56">
        <f>IFERROR(__xludf.DUMMYFUNCTION("""COMPUTED_VALUE"""),0.5208333333333334)</f>
        <v>0.5208333333</v>
      </c>
      <c r="M725" s="56">
        <f>IFERROR(__xludf.DUMMYFUNCTION("""COMPUTED_VALUE"""),0.3668639053254438)</f>
        <v>0.3668639053</v>
      </c>
      <c r="N725" s="31">
        <f>IFERROR(__xludf.DUMMYFUNCTION("""COMPUTED_VALUE"""),428.6458333333333)</f>
        <v>428.6458333</v>
      </c>
      <c r="O725" s="57">
        <f>IFERROR(__xludf.DUMMYFUNCTION("""COMPUTED_VALUE"""),1.2916666666666667)</f>
        <v>1.291666667</v>
      </c>
      <c r="P725" s="57">
        <f>IFERROR(__xludf.DUMMYFUNCTION("""COMPUTED_VALUE"""),0.4375)</f>
        <v>0.4375</v>
      </c>
      <c r="Q725" s="57">
        <f>IFERROR(__xludf.DUMMYFUNCTION("""COMPUTED_VALUE"""),1.4375)</f>
        <v>1.4375</v>
      </c>
      <c r="R725" s="57">
        <f>IFERROR(__xludf.DUMMYFUNCTION("""COMPUTED_VALUE"""),3.5208333333333335)</f>
        <v>3.520833333</v>
      </c>
      <c r="S725" s="31">
        <f>IFERROR(__xludf.DUMMYFUNCTION("""COMPUTED_VALUE"""),348.2222222222222)</f>
        <v>348.2222222</v>
      </c>
      <c r="T725" s="57">
        <f>IFERROR(__xludf.DUMMYFUNCTION("""COMPUTED_VALUE"""),0.7638888888888892)</f>
        <v>0.7638888889</v>
      </c>
      <c r="U725" s="57">
        <f>IFERROR(__xludf.DUMMYFUNCTION("""COMPUTED_VALUE"""),0.5347222222222223)</f>
        <v>0.5347222222</v>
      </c>
      <c r="V725" s="57">
        <f>IFERROR(__xludf.DUMMYFUNCTION("""COMPUTED_VALUE"""),1.4374999999999998)</f>
        <v>1.4375</v>
      </c>
      <c r="W725" s="57">
        <f>IFERROR(__xludf.DUMMYFUNCTION("""COMPUTED_VALUE"""),2.4444444444444446)</f>
        <v>2.444444444</v>
      </c>
      <c r="X725" s="31">
        <f>IFERROR(__xludf.DUMMYFUNCTION("""COMPUTED_VALUE"""),352.08397359989266)</f>
        <v>352.0839736</v>
      </c>
      <c r="Y725" s="57">
        <f>IFERROR(__xludf.DUMMYFUNCTION("""COMPUTED_VALUE"""),0.7753080445982747)</f>
        <v>0.7753080446</v>
      </c>
      <c r="Z725" s="57">
        <f>IFERROR(__xludf.DUMMYFUNCTION("""COMPUTED_VALUE"""),0.569631845881312)</f>
        <v>0.5696318459</v>
      </c>
      <c r="AA725" s="57">
        <f>IFERROR(__xludf.DUMMYFUNCTION("""COMPUTED_VALUE"""),1.3555657442868407)</f>
        <v>1.355565744</v>
      </c>
      <c r="AB725" s="57">
        <f>IFERROR(__xludf.DUMMYFUNCTION("""COMPUTED_VALUE"""),2.6651999717564814)</f>
        <v>2.665199972</v>
      </c>
      <c r="AC725" s="31">
        <f>IFERROR(__xludf.DUMMYFUNCTION("""COMPUTED_VALUE"""),363.03290202115244)</f>
        <v>363.032902</v>
      </c>
      <c r="AD725" s="57">
        <f>IFERROR(__xludf.DUMMYFUNCTION("""COMPUTED_VALUE"""),0.8156920149736814)</f>
        <v>0.815692015</v>
      </c>
      <c r="AE725" s="57">
        <f>IFERROR(__xludf.DUMMYFUNCTION("""COMPUTED_VALUE"""),0.613771778153689)</f>
        <v>0.6137717782</v>
      </c>
      <c r="AF725" s="57">
        <f>IFERROR(__xludf.DUMMYFUNCTION("""COMPUTED_VALUE"""),1.396098854679189)</f>
        <v>1.396098855</v>
      </c>
      <c r="AG725" s="57">
        <f>IFERROR(__xludf.DUMMYFUNCTION("""COMPUTED_VALUE"""),2.617702210573915)</f>
        <v>2.617702211</v>
      </c>
      <c r="AH725" s="57">
        <f>IFERROR(__xludf.DUMMYFUNCTION("""COMPUTED_VALUE"""),1.1807354951765718)</f>
        <v>1.180735495</v>
      </c>
      <c r="AI725" s="57">
        <f>IFERROR(__xludf.DUMMYFUNCTION("""COMPUTED_VALUE"""),1.5835225096672583)</f>
        <v>1.58352251</v>
      </c>
      <c r="AJ725" s="57">
        <f>IFERROR(__xludf.DUMMYFUNCTION("""COMPUTED_VALUE"""),0.7128056642096855)</f>
        <v>0.7128056642</v>
      </c>
      <c r="AK725" s="57">
        <f>IFERROR(__xludf.DUMMYFUNCTION("""COMPUTED_VALUE"""),1.0296548809434591)</f>
        <v>1.029654881</v>
      </c>
      <c r="AL725" s="57">
        <f>IFERROR(__xludf.DUMMYFUNCTION("""COMPUTED_VALUE"""),1.3450091149066998)</f>
        <v>1.345009115</v>
      </c>
      <c r="AM725" s="57">
        <f>IFERROR(__xludf.DUMMYFUNCTION("""COMPUTED_VALUE"""),0.9890317320093105)</f>
        <v>0.989031732</v>
      </c>
      <c r="AN725" s="57">
        <f>IFERROR(__xludf.DUMMYFUNCTION("""COMPUTED_VALUE"""),0.9852714597907953)</f>
        <v>0.9852714598</v>
      </c>
      <c r="AO725" s="57">
        <f>IFERROR(__xludf.DUMMYFUNCTION("""COMPUTED_VALUE"""),0.9387154634848779)</f>
        <v>0.9387154635</v>
      </c>
      <c r="AP725" s="35">
        <f>IFERROR(__xludf.DUMMYFUNCTION("""COMPUTED_VALUE"""),1.0604428490897462)</f>
        <v>1.060442849</v>
      </c>
      <c r="AQ725" s="57">
        <f>IFERROR(__xludf.DUMMYFUNCTION("""COMPUTED_VALUE"""),0.9171711204969925)</f>
        <v>0.9171711205</v>
      </c>
      <c r="AR725" s="36" t="b">
        <f>IFERROR(__xludf.DUMMYFUNCTION("""COMPUTED_VALUE"""),TRUE)</f>
        <v>1</v>
      </c>
      <c r="AS725" s="57"/>
      <c r="AT725" s="37"/>
      <c r="AU725" s="30"/>
      <c r="AV725" s="30"/>
      <c r="AW725" s="30"/>
      <c r="AX725" s="30"/>
      <c r="AY725" s="30"/>
      <c r="AZ725" s="30"/>
    </row>
    <row r="726">
      <c r="A726" s="30" t="str">
        <f>IFERROR(__xludf.DUMMYFUNCTION("""COMPUTED_VALUE"""),"Veteran")</f>
        <v>Veteran</v>
      </c>
      <c r="B726" s="30" t="str">
        <f>IFERROR(__xludf.DUMMYFUNCTION("""COMPUTED_VALUE"""),"RSC006417")</f>
        <v>RSC006417</v>
      </c>
      <c r="C726" s="30" t="str">
        <f>IFERROR(__xludf.DUMMYFUNCTION("""COMPUTED_VALUE"""),"TangentOgive")</f>
        <v>TangentOgive</v>
      </c>
      <c r="D726" s="31" t="str">
        <f>IFERROR(__xludf.DUMMYFUNCTION("""COMPUTED_VALUE"""),"Cannoli")</f>
        <v>Cannoli</v>
      </c>
      <c r="E726" s="31">
        <f>IFERROR(__xludf.DUMMYFUNCTION("""COMPUTED_VALUE"""),85.87118449389081)</f>
        <v>85.87118449</v>
      </c>
      <c r="F726" s="31">
        <f>IFERROR(__xludf.DUMMYFUNCTION("""COMPUTED_VALUE"""),13.21609833490972)</f>
        <v>13.21609833</v>
      </c>
      <c r="G726" s="31">
        <f>IFERROR(__xludf.DUMMYFUNCTION("""COMPUTED_VALUE"""),70.38045667475767)</f>
        <v>70.38045667</v>
      </c>
      <c r="H726" s="31">
        <f>IFERROR(__xludf.DUMMYFUNCTION("""COMPUTED_VALUE"""),4.81988820639417)</f>
        <v>4.819888206</v>
      </c>
      <c r="I726" s="54">
        <f>IFERROR(__xludf.DUMMYFUNCTION("""COMPUTED_VALUE"""),48.0)</f>
        <v>48</v>
      </c>
      <c r="J726" s="55">
        <f>IFERROR(__xludf.DUMMYFUNCTION("""COMPUTED_VALUE"""),28.0)</f>
        <v>28</v>
      </c>
      <c r="K726" s="54">
        <f>IFERROR(__xludf.DUMMYFUNCTION("""COMPUTED_VALUE"""),20.0)</f>
        <v>20</v>
      </c>
      <c r="L726" s="56">
        <f>IFERROR(__xludf.DUMMYFUNCTION("""COMPUTED_VALUE"""),0.5833333333333334)</f>
        <v>0.5833333333</v>
      </c>
      <c r="M726" s="56">
        <f>IFERROR(__xludf.DUMMYFUNCTION("""COMPUTED_VALUE"""),0.24550898203592814)</f>
        <v>0.245508982</v>
      </c>
      <c r="N726" s="31">
        <f>IFERROR(__xludf.DUMMYFUNCTION("""COMPUTED_VALUE"""),382.5208333333333)</f>
        <v>382.5208333</v>
      </c>
      <c r="O726" s="57">
        <f>IFERROR(__xludf.DUMMYFUNCTION("""COMPUTED_VALUE"""),0.8541666666666666)</f>
        <v>0.8541666667</v>
      </c>
      <c r="P726" s="57">
        <f>IFERROR(__xludf.DUMMYFUNCTION("""COMPUTED_VALUE"""),0.875)</f>
        <v>0.875</v>
      </c>
      <c r="Q726" s="57">
        <f>IFERROR(__xludf.DUMMYFUNCTION("""COMPUTED_VALUE"""),1.1458333333333333)</f>
        <v>1.145833333</v>
      </c>
      <c r="R726" s="57">
        <f>IFERROR(__xludf.DUMMYFUNCTION("""COMPUTED_VALUE"""),3.4791666666666665)</f>
        <v>3.479166667</v>
      </c>
      <c r="S726" s="31">
        <f>IFERROR(__xludf.DUMMYFUNCTION("""COMPUTED_VALUE"""),349.9583333333333)</f>
        <v>349.9583333</v>
      </c>
      <c r="T726" s="57">
        <f>IFERROR(__xludf.DUMMYFUNCTION("""COMPUTED_VALUE"""),0.6805555555555557)</f>
        <v>0.6805555556</v>
      </c>
      <c r="U726" s="57">
        <f>IFERROR(__xludf.DUMMYFUNCTION("""COMPUTED_VALUE"""),0.46527777777777773)</f>
        <v>0.4652777778</v>
      </c>
      <c r="V726" s="57">
        <f>IFERROR(__xludf.DUMMYFUNCTION("""COMPUTED_VALUE"""),1.6458333333333333)</f>
        <v>1.645833333</v>
      </c>
      <c r="W726" s="57">
        <f>IFERROR(__xludf.DUMMYFUNCTION("""COMPUTED_VALUE"""),2.3749999999999996)</f>
        <v>2.375</v>
      </c>
      <c r="X726" s="31">
        <f>IFERROR(__xludf.DUMMYFUNCTION("""COMPUTED_VALUE"""),358.6654856119631)</f>
        <v>358.6654856</v>
      </c>
      <c r="Y726" s="57">
        <f>IFERROR(__xludf.DUMMYFUNCTION("""COMPUTED_VALUE"""),0.8138401327333603)</f>
        <v>0.8138401327</v>
      </c>
      <c r="Z726" s="57">
        <f>IFERROR(__xludf.DUMMYFUNCTION("""COMPUTED_VALUE"""),0.5650521882812525)</f>
        <v>0.5650521883</v>
      </c>
      <c r="AA726" s="57">
        <f>IFERROR(__xludf.DUMMYFUNCTION("""COMPUTED_VALUE"""),1.3790622736265201)</f>
        <v>1.379062274</v>
      </c>
      <c r="AB726" s="57">
        <f>IFERROR(__xludf.DUMMYFUNCTION("""COMPUTED_VALUE"""),2.6400407309876557)</f>
        <v>2.640040731</v>
      </c>
      <c r="AC726" s="31">
        <f>IFERROR(__xludf.DUMMYFUNCTION("""COMPUTED_VALUE"""),355.11359166071423)</f>
        <v>355.1135917</v>
      </c>
      <c r="AD726" s="57">
        <f>IFERROR(__xludf.DUMMYFUNCTION("""COMPUTED_VALUE"""),0.8044951128460084)</f>
        <v>0.8044951128</v>
      </c>
      <c r="AE726" s="57">
        <f>IFERROR(__xludf.DUMMYFUNCTION("""COMPUTED_VALUE"""),0.5910675926744594)</f>
        <v>0.5910675927</v>
      </c>
      <c r="AF726" s="57">
        <f>IFERROR(__xludf.DUMMYFUNCTION("""COMPUTED_VALUE"""),1.303181440997749)</f>
        <v>1.303181441</v>
      </c>
      <c r="AG726" s="57">
        <f>IFERROR(__xludf.DUMMYFUNCTION("""COMPUTED_VALUE"""),2.68350293680216)</f>
        <v>2.683502937</v>
      </c>
      <c r="AH726" s="57">
        <f>IFERROR(__xludf.DUMMYFUNCTION("""COMPUTED_VALUE"""),1.0771788022656277)</f>
        <v>1.077178802</v>
      </c>
      <c r="AI726" s="57">
        <f>IFERROR(__xludf.DUMMYFUNCTION("""COMPUTED_VALUE"""),1.061742517794718)</f>
        <v>1.061742518</v>
      </c>
      <c r="AJ726" s="57">
        <f>IFERROR(__xludf.DUMMYFUNCTION("""COMPUTED_VALUE"""),1.4803721449873521)</f>
        <v>1.480372145</v>
      </c>
      <c r="AK726" s="57">
        <f>IFERROR(__xludf.DUMMYFUNCTION("""COMPUTED_VALUE"""),0.8792584802742848)</f>
        <v>0.8792584803</v>
      </c>
      <c r="AL726" s="57">
        <f>IFERROR(__xludf.DUMMYFUNCTION("""COMPUTED_VALUE"""),1.2965019038930778)</f>
        <v>1.296501904</v>
      </c>
      <c r="AM726" s="57">
        <f>IFERROR(__xludf.DUMMYFUNCTION("""COMPUTED_VALUE"""),0.975723473186238)</f>
        <v>0.9757234732</v>
      </c>
      <c r="AN726" s="57">
        <f>IFERROR(__xludf.DUMMYFUNCTION("""COMPUTED_VALUE"""),0.8362275687607644)</f>
        <v>0.8362275688</v>
      </c>
      <c r="AO726" s="57">
        <f>IFERROR(__xludf.DUMMYFUNCTION("""COMPUTED_VALUE"""),0.8234244330475676)</f>
        <v>0.823424433</v>
      </c>
      <c r="AP726" s="35">
        <f>IFERROR(__xludf.DUMMYFUNCTION("""COMPUTED_VALUE"""),1.1934438094701012)</f>
        <v>1.193443809</v>
      </c>
      <c r="AQ726" s="57">
        <f>IFERROR(__xludf.DUMMYFUNCTION("""COMPUTED_VALUE"""),0.8996073326154697)</f>
        <v>0.8996073326</v>
      </c>
      <c r="AR726" s="36" t="b">
        <f>IFERROR(__xludf.DUMMYFUNCTION("""COMPUTED_VALUE"""),TRUE)</f>
        <v>1</v>
      </c>
      <c r="AS726" s="57"/>
      <c r="AT726" s="37"/>
      <c r="AU726" s="30"/>
      <c r="AV726" s="30"/>
      <c r="AW726" s="30"/>
      <c r="AX726" s="30"/>
      <c r="AY726" s="30"/>
      <c r="AZ726" s="30"/>
    </row>
    <row r="727">
      <c r="A727" s="30" t="str">
        <f>IFERROR(__xludf.DUMMYFUNCTION("""COMPUTED_VALUE"""),"Veteran")</f>
        <v>Veteran</v>
      </c>
      <c r="B727" s="30" t="str">
        <f>IFERROR(__xludf.DUMMYFUNCTION("""COMPUTED_VALUE"""),"RSC006978")</f>
        <v>RSC006978</v>
      </c>
      <c r="C727" s="30" t="str">
        <f>IFERROR(__xludf.DUMMYFUNCTION("""COMPUTED_VALUE"""),"Tuhlur.")</f>
        <v>Tuhlur.</v>
      </c>
      <c r="D727" s="31" t="str">
        <f>IFERROR(__xludf.DUMMYFUNCTION("""COMPUTED_VALUE"""),"Dog Fighters")</f>
        <v>Dog Fighters</v>
      </c>
      <c r="E727" s="31">
        <f>IFERROR(__xludf.DUMMYFUNCTION("""COMPUTED_VALUE"""),84.13263297201809)</f>
        <v>84.13263297</v>
      </c>
      <c r="F727" s="31">
        <f>IFERROR(__xludf.DUMMYFUNCTION("""COMPUTED_VALUE"""),11.617295525831885)</f>
        <v>11.61729553</v>
      </c>
      <c r="G727" s="31">
        <f>IFERROR(__xludf.DUMMYFUNCTION("""COMPUTED_VALUE"""),80.89282331137701)</f>
        <v>80.89282331</v>
      </c>
      <c r="H727" s="31">
        <f>IFERROR(__xludf.DUMMYFUNCTION("""COMPUTED_VALUE"""),9.235090314648811)</f>
        <v>9.235090315</v>
      </c>
      <c r="I727" s="54">
        <f>IFERROR(__xludf.DUMMYFUNCTION("""COMPUTED_VALUE"""),24.0)</f>
        <v>24</v>
      </c>
      <c r="J727" s="55">
        <f>IFERROR(__xludf.DUMMYFUNCTION("""COMPUTED_VALUE"""),14.0)</f>
        <v>14</v>
      </c>
      <c r="K727" s="54">
        <f>IFERROR(__xludf.DUMMYFUNCTION("""COMPUTED_VALUE"""),10.0)</f>
        <v>10</v>
      </c>
      <c r="L727" s="56">
        <f>IFERROR(__xludf.DUMMYFUNCTION("""COMPUTED_VALUE"""),0.5833333333333334)</f>
        <v>0.5833333333</v>
      </c>
      <c r="M727" s="56">
        <f>IFERROR(__xludf.DUMMYFUNCTION("""COMPUTED_VALUE"""),0.2708333333333333)</f>
        <v>0.2708333333</v>
      </c>
      <c r="N727" s="31">
        <f>IFERROR(__xludf.DUMMYFUNCTION("""COMPUTED_VALUE"""),387.25)</f>
        <v>387.25</v>
      </c>
      <c r="O727" s="57">
        <f>IFERROR(__xludf.DUMMYFUNCTION("""COMPUTED_VALUE"""),1.0833333333333333)</f>
        <v>1.083333333</v>
      </c>
      <c r="P727" s="57">
        <f>IFERROR(__xludf.DUMMYFUNCTION("""COMPUTED_VALUE"""),0.4583333333333333)</f>
        <v>0.4583333333</v>
      </c>
      <c r="Q727" s="57">
        <f>IFERROR(__xludf.DUMMYFUNCTION("""COMPUTED_VALUE"""),1.125)</f>
        <v>1.125</v>
      </c>
      <c r="R727" s="57">
        <f>IFERROR(__xludf.DUMMYFUNCTION("""COMPUTED_VALUE"""),4.0)</f>
        <v>4</v>
      </c>
      <c r="S727" s="31">
        <f>IFERROR(__xludf.DUMMYFUNCTION("""COMPUTED_VALUE"""),344.5)</f>
        <v>344.5</v>
      </c>
      <c r="T727" s="57">
        <f>IFERROR(__xludf.DUMMYFUNCTION("""COMPUTED_VALUE"""),0.5972222222222222)</f>
        <v>0.5972222222</v>
      </c>
      <c r="U727" s="57">
        <f>IFERROR(__xludf.DUMMYFUNCTION("""COMPUTED_VALUE"""),0.4305555555555556)</f>
        <v>0.4305555556</v>
      </c>
      <c r="V727" s="57">
        <f>IFERROR(__xludf.DUMMYFUNCTION("""COMPUTED_VALUE"""),1.5833333333333337)</f>
        <v>1.583333333</v>
      </c>
      <c r="W727" s="57">
        <f>IFERROR(__xludf.DUMMYFUNCTION("""COMPUTED_VALUE"""),2.1250000000000004)</f>
        <v>2.125</v>
      </c>
      <c r="X727" s="31">
        <f>IFERROR(__xludf.DUMMYFUNCTION("""COMPUTED_VALUE"""),333.50030824672024)</f>
        <v>333.5003082</v>
      </c>
      <c r="Y727" s="57">
        <f>IFERROR(__xludf.DUMMYFUNCTION("""COMPUTED_VALUE"""),0.6621947225266922)</f>
        <v>0.6621947225</v>
      </c>
      <c r="Z727" s="57">
        <f>IFERROR(__xludf.DUMMYFUNCTION("""COMPUTED_VALUE"""),0.5118405839476764)</f>
        <v>0.5118405839</v>
      </c>
      <c r="AA727" s="57">
        <f>IFERROR(__xludf.DUMMYFUNCTION("""COMPUTED_VALUE"""),1.354495208050363)</f>
        <v>1.354495208</v>
      </c>
      <c r="AB727" s="57">
        <f>IFERROR(__xludf.DUMMYFUNCTION("""COMPUTED_VALUE"""),2.39193224699882)</f>
        <v>2.391932247</v>
      </c>
      <c r="AC727" s="31">
        <f>IFERROR(__xludf.DUMMYFUNCTION("""COMPUTED_VALUE"""),347.99528812759735)</f>
        <v>347.9952881</v>
      </c>
      <c r="AD727" s="57">
        <f>IFERROR(__xludf.DUMMYFUNCTION("""COMPUTED_VALUE"""),0.7820898275224653)</f>
        <v>0.7820898275</v>
      </c>
      <c r="AE727" s="57">
        <f>IFERROR(__xludf.DUMMYFUNCTION("""COMPUTED_VALUE"""),0.5753788281750049)</f>
        <v>0.5753788282</v>
      </c>
      <c r="AF727" s="57">
        <f>IFERROR(__xludf.DUMMYFUNCTION("""COMPUTED_VALUE"""),1.3107116464097515)</f>
        <v>1.310711646</v>
      </c>
      <c r="AG727" s="57">
        <f>IFERROR(__xludf.DUMMYFUNCTION("""COMPUTED_VALUE"""),2.6203092560213954)</f>
        <v>2.620309256</v>
      </c>
      <c r="AH727" s="57">
        <f>IFERROR(__xludf.DUMMYFUNCTION("""COMPUTED_VALUE"""),1.1128024235144511)</f>
        <v>1.112802424</v>
      </c>
      <c r="AI727" s="57">
        <f>IFERROR(__xludf.DUMMYFUNCTION("""COMPUTED_VALUE"""),1.3851776294868314)</f>
        <v>1.385177629</v>
      </c>
      <c r="AJ727" s="57">
        <f>IFERROR(__xludf.DUMMYFUNCTION("""COMPUTED_VALUE"""),0.796576639406566)</f>
        <v>0.7965766394</v>
      </c>
      <c r="AK727" s="57">
        <f>IFERROR(__xludf.DUMMYFUNCTION("""COMPUTED_VALUE"""),0.8583123550336603)</f>
        <v>0.858312355</v>
      </c>
      <c r="AL727" s="57">
        <f>IFERROR(__xludf.DUMMYFUNCTION("""COMPUTED_VALUE"""),1.526537369895601)</f>
        <v>1.52653737</v>
      </c>
      <c r="AM727" s="57">
        <f>IFERROR(__xludf.DUMMYFUNCTION("""COMPUTED_VALUE"""),1.032982553482806)</f>
        <v>1.032982553</v>
      </c>
      <c r="AN727" s="57">
        <f>IFERROR(__xludf.DUMMYFUNCTION("""COMPUTED_VALUE"""),0.9018830895290757)</f>
        <v>0.9018830895</v>
      </c>
      <c r="AO727" s="57">
        <f>IFERROR(__xludf.DUMMYFUNCTION("""COMPUTED_VALUE"""),0.8411907321510279)</f>
        <v>0.8411907322</v>
      </c>
      <c r="AP727" s="35">
        <f>IFERROR(__xludf.DUMMYFUNCTION("""COMPUTED_VALUE"""),1.1689471649090264)</f>
        <v>1.168947165</v>
      </c>
      <c r="AQ727" s="57">
        <f>IFERROR(__xludf.DUMMYFUNCTION("""COMPUTED_VALUE"""),0.8884030902908133)</f>
        <v>0.8884030903</v>
      </c>
      <c r="AR727" s="36" t="b">
        <f>IFERROR(__xludf.DUMMYFUNCTION("""COMPUTED_VALUE"""),TRUE)</f>
        <v>1</v>
      </c>
      <c r="AS727" s="57"/>
      <c r="AT727" s="37"/>
      <c r="AU727" s="30"/>
      <c r="AV727" s="30"/>
      <c r="AW727" s="30"/>
      <c r="AX727" s="30"/>
      <c r="AY727" s="30"/>
      <c r="AZ727" s="30"/>
    </row>
    <row r="728">
      <c r="A728" s="30" t="str">
        <f>IFERROR(__xludf.DUMMYFUNCTION("""COMPUTED_VALUE"""),"Veteran")</f>
        <v>Veteran</v>
      </c>
      <c r="B728" s="30" t="str">
        <f>IFERROR(__xludf.DUMMYFUNCTION("""COMPUTED_VALUE"""),"RSC005734")</f>
        <v>RSC005734</v>
      </c>
      <c r="C728" s="30" t="str">
        <f>IFERROR(__xludf.DUMMYFUNCTION("""COMPUTED_VALUE"""),"Bas Radala")</f>
        <v>Bas Radala</v>
      </c>
      <c r="D728" s="31" t="str">
        <f>IFERROR(__xludf.DUMMYFUNCTION("""COMPUTED_VALUE"""),"Possessed")</f>
        <v>Possessed</v>
      </c>
      <c r="E728" s="31">
        <f>IFERROR(__xludf.DUMMYFUNCTION("""COMPUTED_VALUE"""),81.85558679018068)</f>
        <v>81.85558679</v>
      </c>
      <c r="F728" s="31">
        <f>IFERROR(__xludf.DUMMYFUNCTION("""COMPUTED_VALUE"""),9.87243680606988)</f>
        <v>9.872436806</v>
      </c>
      <c r="G728" s="31">
        <f>IFERROR(__xludf.DUMMYFUNCTION("""COMPUTED_VALUE"""),80.14398021388206)</f>
        <v>80.14398021</v>
      </c>
      <c r="H728" s="31">
        <f>IFERROR(__xludf.DUMMYFUNCTION("""COMPUTED_VALUE"""),8.775380395750988)</f>
        <v>8.775380396</v>
      </c>
      <c r="I728" s="54">
        <f>IFERROR(__xludf.DUMMYFUNCTION("""COMPUTED_VALUE"""),36.0)</f>
        <v>36</v>
      </c>
      <c r="J728" s="55">
        <f>IFERROR(__xludf.DUMMYFUNCTION("""COMPUTED_VALUE"""),19.0)</f>
        <v>19</v>
      </c>
      <c r="K728" s="54">
        <f>IFERROR(__xludf.DUMMYFUNCTION("""COMPUTED_VALUE"""),17.0)</f>
        <v>17</v>
      </c>
      <c r="L728" s="56">
        <f>IFERROR(__xludf.DUMMYFUNCTION("""COMPUTED_VALUE"""),0.5277777777777778)</f>
        <v>0.5277777778</v>
      </c>
      <c r="M728" s="56">
        <f>IFERROR(__xludf.DUMMYFUNCTION("""COMPUTED_VALUE"""),0.35000000000000003)</f>
        <v>0.35</v>
      </c>
      <c r="N728" s="31">
        <f>IFERROR(__xludf.DUMMYFUNCTION("""COMPUTED_VALUE"""),428.1111111111111)</f>
        <v>428.1111111</v>
      </c>
      <c r="O728" s="57">
        <f>IFERROR(__xludf.DUMMYFUNCTION("""COMPUTED_VALUE"""),1.1666666666666667)</f>
        <v>1.166666667</v>
      </c>
      <c r="P728" s="57">
        <f>IFERROR(__xludf.DUMMYFUNCTION("""COMPUTED_VALUE"""),0.5555555555555556)</f>
        <v>0.5555555556</v>
      </c>
      <c r="Q728" s="57">
        <f>IFERROR(__xludf.DUMMYFUNCTION("""COMPUTED_VALUE"""),1.4444444444444444)</f>
        <v>1.444444444</v>
      </c>
      <c r="R728" s="57">
        <f>IFERROR(__xludf.DUMMYFUNCTION("""COMPUTED_VALUE"""),3.3333333333333335)</f>
        <v>3.333333333</v>
      </c>
      <c r="S728" s="31">
        <f>IFERROR(__xludf.DUMMYFUNCTION("""COMPUTED_VALUE"""),360.5925925925927)</f>
        <v>360.5925926</v>
      </c>
      <c r="T728" s="57">
        <f>IFERROR(__xludf.DUMMYFUNCTION("""COMPUTED_VALUE"""),0.7592592592592594)</f>
        <v>0.7592592593</v>
      </c>
      <c r="U728" s="57">
        <f>IFERROR(__xludf.DUMMYFUNCTION("""COMPUTED_VALUE"""),0.5648148148148148)</f>
        <v>0.5648148148</v>
      </c>
      <c r="V728" s="57">
        <f>IFERROR(__xludf.DUMMYFUNCTION("""COMPUTED_VALUE"""),1.5185185185185188)</f>
        <v>1.518518519</v>
      </c>
      <c r="W728" s="57">
        <f>IFERROR(__xludf.DUMMYFUNCTION("""COMPUTED_VALUE"""),2.5462962962962967)</f>
        <v>2.546296296</v>
      </c>
      <c r="X728" s="31">
        <f>IFERROR(__xludf.DUMMYFUNCTION("""COMPUTED_VALUE"""),344.76865516810153)</f>
        <v>344.7686552</v>
      </c>
      <c r="Y728" s="57">
        <f>IFERROR(__xludf.DUMMYFUNCTION("""COMPUTED_VALUE"""),0.7281462599494194)</f>
        <v>0.7281462599</v>
      </c>
      <c r="Z728" s="57">
        <f>IFERROR(__xludf.DUMMYFUNCTION("""COMPUTED_VALUE"""),0.5318202524773253)</f>
        <v>0.5318202525</v>
      </c>
      <c r="AA728" s="57">
        <f>IFERROR(__xludf.DUMMYFUNCTION("""COMPUTED_VALUE"""),1.3753126954286445)</f>
        <v>1.375312695</v>
      </c>
      <c r="AB728" s="57">
        <f>IFERROR(__xludf.DUMMYFUNCTION("""COMPUTED_VALUE"""),2.498159407351324)</f>
        <v>2.498159407</v>
      </c>
      <c r="AC728" s="31">
        <f>IFERROR(__xludf.DUMMYFUNCTION("""COMPUTED_VALUE"""),354.3595618781915)</f>
        <v>354.3595619</v>
      </c>
      <c r="AD728" s="57">
        <f>IFERROR(__xludf.DUMMYFUNCTION("""COMPUTED_VALUE"""),0.8073822614285909)</f>
        <v>0.8073822614</v>
      </c>
      <c r="AE728" s="57">
        <f>IFERROR(__xludf.DUMMYFUNCTION("""COMPUTED_VALUE"""),0.6019112166817991)</f>
        <v>0.6019112167</v>
      </c>
      <c r="AF728" s="57">
        <f>IFERROR(__xludf.DUMMYFUNCTION("""COMPUTED_VALUE"""),1.304013655060771)</f>
        <v>1.304013655</v>
      </c>
      <c r="AG728" s="57">
        <f>IFERROR(__xludf.DUMMYFUNCTION("""COMPUTED_VALUE"""),2.683617405969798)</f>
        <v>2.683617406</v>
      </c>
      <c r="AH728" s="57">
        <f>IFERROR(__xludf.DUMMYFUNCTION("""COMPUTED_VALUE"""),1.2081263134033084)</f>
        <v>1.208126313</v>
      </c>
      <c r="AI728" s="57">
        <f>IFERROR(__xludf.DUMMYFUNCTION("""COMPUTED_VALUE"""),1.4449991316410074)</f>
        <v>1.444999132</v>
      </c>
      <c r="AJ728" s="57">
        <f>IFERROR(__xludf.DUMMYFUNCTION("""COMPUTED_VALUE"""),0.9229858825662165)</f>
        <v>0.9229858826</v>
      </c>
      <c r="AK728" s="57">
        <f>IFERROR(__xludf.DUMMYFUNCTION("""COMPUTED_VALUE"""),1.107691195440073)</f>
        <v>1.107691195</v>
      </c>
      <c r="AL728" s="57">
        <f>IFERROR(__xludf.DUMMYFUNCTION("""COMPUTED_VALUE"""),1.242104528729848)</f>
        <v>1.242104529</v>
      </c>
      <c r="AM728" s="57">
        <f>IFERROR(__xludf.DUMMYFUNCTION("""COMPUTED_VALUE"""),1.0458972623737381)</f>
        <v>1.045897262</v>
      </c>
      <c r="AN728" s="57">
        <f>IFERROR(__xludf.DUMMYFUNCTION("""COMPUTED_VALUE"""),1.0427290518693335)</f>
        <v>1.042729052</v>
      </c>
      <c r="AO728" s="57">
        <f>IFERROR(__xludf.DUMMYFUNCTION("""COMPUTED_VALUE"""),1.0620408158278933)</f>
        <v>1.062040816</v>
      </c>
      <c r="AP728" s="35">
        <f>IFERROR(__xludf.DUMMYFUNCTION("""COMPUTED_VALUE"""),1.1041260097182781)</f>
        <v>1.10412601</v>
      </c>
      <c r="AQ728" s="57">
        <f>IFERROR(__xludf.DUMMYFUNCTION("""COMPUTED_VALUE"""),1.0192689420872505)</f>
        <v>1.019268942</v>
      </c>
      <c r="AR728" s="36" t="b">
        <f>IFERROR(__xludf.DUMMYFUNCTION("""COMPUTED_VALUE"""),TRUE)</f>
        <v>1</v>
      </c>
      <c r="AS728" s="57"/>
      <c r="AT728" s="37"/>
      <c r="AU728" s="30"/>
      <c r="AV728" s="30"/>
      <c r="AW728" s="30"/>
      <c r="AX728" s="30"/>
      <c r="AY728" s="30"/>
      <c r="AZ728" s="30"/>
    </row>
    <row r="729">
      <c r="A729" s="30" t="str">
        <f>IFERROR(__xludf.DUMMYFUNCTION("""COMPUTED_VALUE"""),"Veteran")</f>
        <v>Veteran</v>
      </c>
      <c r="B729" s="30" t="str">
        <f>IFERROR(__xludf.DUMMYFUNCTION("""COMPUTED_VALUE"""),"RSC006909")</f>
        <v>RSC006909</v>
      </c>
      <c r="C729" s="30" t="str">
        <f>IFERROR(__xludf.DUMMYFUNCTION("""COMPUTED_VALUE"""),"Dewby")</f>
        <v>Dewby</v>
      </c>
      <c r="D729" s="31" t="str">
        <f>IFERROR(__xludf.DUMMYFUNCTION("""COMPUTED_VALUE"""),"Singularity")</f>
        <v>Singularity</v>
      </c>
      <c r="E729" s="31">
        <f>IFERROR(__xludf.DUMMYFUNCTION("""COMPUTED_VALUE"""),80.83211120404238)</f>
        <v>80.8321112</v>
      </c>
      <c r="F729" s="31">
        <f>IFERROR(__xludf.DUMMYFUNCTION("""COMPUTED_VALUE"""),9.196685266324431)</f>
        <v>9.196685266</v>
      </c>
      <c r="G729" s="31">
        <f>IFERROR(__xludf.DUMMYFUNCTION("""COMPUTED_VALUE"""),59.492015799284644)</f>
        <v>59.4920158</v>
      </c>
      <c r="H729" s="31">
        <f>IFERROR(__xludf.DUMMYFUNCTION("""COMPUTED_VALUE"""),2.8401728289566033)</f>
        <v>2.840172829</v>
      </c>
      <c r="I729" s="54">
        <f>IFERROR(__xludf.DUMMYFUNCTION("""COMPUTED_VALUE"""),33.0)</f>
        <v>33</v>
      </c>
      <c r="J729" s="55">
        <f>IFERROR(__xludf.DUMMYFUNCTION("""COMPUTED_VALUE"""),17.0)</f>
        <v>17</v>
      </c>
      <c r="K729" s="54">
        <f>IFERROR(__xludf.DUMMYFUNCTION("""COMPUTED_VALUE"""),16.0)</f>
        <v>16</v>
      </c>
      <c r="L729" s="56">
        <f>IFERROR(__xludf.DUMMYFUNCTION("""COMPUTED_VALUE"""),0.5151515151515151)</f>
        <v>0.5151515152</v>
      </c>
      <c r="M729" s="56">
        <f>IFERROR(__xludf.DUMMYFUNCTION("""COMPUTED_VALUE"""),0.32038834951456313)</f>
        <v>0.3203883495</v>
      </c>
      <c r="N729" s="31">
        <f>IFERROR(__xludf.DUMMYFUNCTION("""COMPUTED_VALUE"""),394.57575757575756)</f>
        <v>394.5757576</v>
      </c>
      <c r="O729" s="57">
        <f>IFERROR(__xludf.DUMMYFUNCTION("""COMPUTED_VALUE"""),1.0)</f>
        <v>1</v>
      </c>
      <c r="P729" s="57">
        <f>IFERROR(__xludf.DUMMYFUNCTION("""COMPUTED_VALUE"""),0.6666666666666666)</f>
        <v>0.6666666667</v>
      </c>
      <c r="Q729" s="57">
        <f>IFERROR(__xludf.DUMMYFUNCTION("""COMPUTED_VALUE"""),1.3636363636363635)</f>
        <v>1.363636364</v>
      </c>
      <c r="R729" s="57">
        <f>IFERROR(__xludf.DUMMYFUNCTION("""COMPUTED_VALUE"""),3.121212121212121)</f>
        <v>3.121212121</v>
      </c>
      <c r="S729" s="31">
        <f>IFERROR(__xludf.DUMMYFUNCTION("""COMPUTED_VALUE"""),360.0707070707072)</f>
        <v>360.0707071</v>
      </c>
      <c r="T729" s="57">
        <f>IFERROR(__xludf.DUMMYFUNCTION("""COMPUTED_VALUE"""),0.7575757575757575)</f>
        <v>0.7575757576</v>
      </c>
      <c r="U729" s="57">
        <f>IFERROR(__xludf.DUMMYFUNCTION("""COMPUTED_VALUE"""),0.5757575757575757)</f>
        <v>0.5757575758</v>
      </c>
      <c r="V729" s="57">
        <f>IFERROR(__xludf.DUMMYFUNCTION("""COMPUTED_VALUE"""),1.4444444444444444)</f>
        <v>1.444444444</v>
      </c>
      <c r="W729" s="57">
        <f>IFERROR(__xludf.DUMMYFUNCTION("""COMPUTED_VALUE"""),2.7979797979797976)</f>
        <v>2.797979798</v>
      </c>
      <c r="X729" s="31">
        <f>IFERROR(__xludf.DUMMYFUNCTION("""COMPUTED_VALUE"""),355.34127169425796)</f>
        <v>355.3412717</v>
      </c>
      <c r="Y729" s="57">
        <f>IFERROR(__xludf.DUMMYFUNCTION("""COMPUTED_VALUE"""),0.7919823945894199)</f>
        <v>0.7919823946</v>
      </c>
      <c r="Z729" s="57">
        <f>IFERROR(__xludf.DUMMYFUNCTION("""COMPUTED_VALUE"""),0.5834112094341479)</f>
        <v>0.5834112094</v>
      </c>
      <c r="AA729" s="57">
        <f>IFERROR(__xludf.DUMMYFUNCTION("""COMPUTED_VALUE"""),1.3329306296789536)</f>
        <v>1.33293063</v>
      </c>
      <c r="AB729" s="57">
        <f>IFERROR(__xludf.DUMMYFUNCTION("""COMPUTED_VALUE"""),2.688327634941596)</f>
        <v>2.688327635</v>
      </c>
      <c r="AC729" s="31">
        <f>IFERROR(__xludf.DUMMYFUNCTION("""COMPUTED_VALUE"""),349.4550832092217)</f>
        <v>349.4550832</v>
      </c>
      <c r="AD729" s="57">
        <f>IFERROR(__xludf.DUMMYFUNCTION("""COMPUTED_VALUE"""),0.7306007335222333)</f>
        <v>0.7306007335</v>
      </c>
      <c r="AE729" s="57">
        <f>IFERROR(__xludf.DUMMYFUNCTION("""COMPUTED_VALUE"""),0.534894506680316)</f>
        <v>0.5348945067</v>
      </c>
      <c r="AF729" s="57">
        <f>IFERROR(__xludf.DUMMYFUNCTION("""COMPUTED_VALUE"""),1.4148788070331115)</f>
        <v>1.414878807</v>
      </c>
      <c r="AG729" s="57">
        <f>IFERROR(__xludf.DUMMYFUNCTION("""COMPUTED_VALUE"""),2.515429192000739)</f>
        <v>2.515429192</v>
      </c>
      <c r="AH729" s="57">
        <f>IFERROR(__xludf.DUMMYFUNCTION("""COMPUTED_VALUE"""),1.1291172357608024)</f>
        <v>1.129117236</v>
      </c>
      <c r="AI729" s="57">
        <f>IFERROR(__xludf.DUMMYFUNCTION("""COMPUTED_VALUE"""),1.3687366493310102)</f>
        <v>1.368736649</v>
      </c>
      <c r="AJ729" s="57">
        <f>IFERROR(__xludf.DUMMYFUNCTION("""COMPUTED_VALUE"""),1.246351679332361)</f>
        <v>1.246351679</v>
      </c>
      <c r="AK729" s="57">
        <f>IFERROR(__xludf.DUMMYFUNCTION("""COMPUTED_VALUE"""),0.9637831571566194)</f>
        <v>0.9637831572</v>
      </c>
      <c r="AL729" s="57">
        <f>IFERROR(__xludf.DUMMYFUNCTION("""COMPUTED_VALUE"""),1.2408268661021424)</f>
        <v>1.240826866</v>
      </c>
      <c r="AM729" s="57">
        <f>IFERROR(__xludf.DUMMYFUNCTION("""COMPUTED_VALUE"""),1.0133095583124905)</f>
        <v>1.013309558</v>
      </c>
      <c r="AN729" s="57">
        <f>IFERROR(__xludf.DUMMYFUNCTION("""COMPUTED_VALUE"""),0.9565563107857978)</f>
        <v>0.9565563108</v>
      </c>
      <c r="AO729" s="57">
        <f>IFERROR(__xludf.DUMMYFUNCTION("""COMPUTED_VALUE"""),0.9868812365055593)</f>
        <v>0.9868812365</v>
      </c>
      <c r="AP729" s="35">
        <f>IFERROR(__xludf.DUMMYFUNCTION("""COMPUTED_VALUE"""),1.083660628904859)</f>
        <v>1.083660629</v>
      </c>
      <c r="AQ729" s="57">
        <f>IFERROR(__xludf.DUMMYFUNCTION("""COMPUTED_VALUE"""),1.0407882438185716)</f>
        <v>1.040788244</v>
      </c>
      <c r="AR729" s="36" t="b">
        <f>IFERROR(__xludf.DUMMYFUNCTION("""COMPUTED_VALUE"""),TRUE)</f>
        <v>1</v>
      </c>
      <c r="AS729" s="57"/>
      <c r="AT729" s="37"/>
      <c r="AU729" s="30"/>
      <c r="AV729" s="30"/>
      <c r="AW729" s="30"/>
      <c r="AX729" s="30"/>
      <c r="AY729" s="30"/>
      <c r="AZ729" s="30"/>
    </row>
    <row r="730">
      <c r="A730" s="30" t="str">
        <f>IFERROR(__xludf.DUMMYFUNCTION("""COMPUTED_VALUE"""),"Veteran")</f>
        <v>Veteran</v>
      </c>
      <c r="B730" s="30" t="str">
        <f>IFERROR(__xludf.DUMMYFUNCTION("""COMPUTED_VALUE"""),"RSC004917")</f>
        <v>RSC004917</v>
      </c>
      <c r="C730" s="30" t="str">
        <f>IFERROR(__xludf.DUMMYFUNCTION("""COMPUTED_VALUE"""),"Nahzey")</f>
        <v>Nahzey</v>
      </c>
      <c r="D730" s="31" t="str">
        <f>IFERROR(__xludf.DUMMYFUNCTION("""COMPUTED_VALUE"""),"Dog Fighters")</f>
        <v>Dog Fighters</v>
      </c>
      <c r="E730" s="31">
        <f>IFERROR(__xludf.DUMMYFUNCTION("""COMPUTED_VALUE"""),80.64389942189443)</f>
        <v>80.64389942</v>
      </c>
      <c r="F730" s="31">
        <f>IFERROR(__xludf.DUMMYFUNCTION("""COMPUTED_VALUE"""),9.07892003563553)</f>
        <v>9.078920036</v>
      </c>
      <c r="G730" s="31">
        <f>IFERROR(__xludf.DUMMYFUNCTION("""COMPUTED_VALUE"""),65.04502561545843)</f>
        <v>65.04502562</v>
      </c>
      <c r="H730" s="31">
        <f>IFERROR(__xludf.DUMMYFUNCTION("""COMPUTED_VALUE"""),3.654258920915049)</f>
        <v>3.654258921</v>
      </c>
      <c r="I730" s="54">
        <f>IFERROR(__xludf.DUMMYFUNCTION("""COMPUTED_VALUE"""),37.0)</f>
        <v>37</v>
      </c>
      <c r="J730" s="55">
        <f>IFERROR(__xludf.DUMMYFUNCTION("""COMPUTED_VALUE"""),22.0)</f>
        <v>22</v>
      </c>
      <c r="K730" s="54">
        <f>IFERROR(__xludf.DUMMYFUNCTION("""COMPUTED_VALUE"""),15.0)</f>
        <v>15</v>
      </c>
      <c r="L730" s="56">
        <f>IFERROR(__xludf.DUMMYFUNCTION("""COMPUTED_VALUE"""),0.5945945945945946)</f>
        <v>0.5945945946</v>
      </c>
      <c r="M730" s="56">
        <f>IFERROR(__xludf.DUMMYFUNCTION("""COMPUTED_VALUE"""),0.35294117647058826)</f>
        <v>0.3529411765</v>
      </c>
      <c r="N730" s="31">
        <f>IFERROR(__xludf.DUMMYFUNCTION("""COMPUTED_VALUE"""),375.7837837837838)</f>
        <v>375.7837838</v>
      </c>
      <c r="O730" s="57">
        <f>IFERROR(__xludf.DUMMYFUNCTION("""COMPUTED_VALUE"""),0.972972972972973)</f>
        <v>0.972972973</v>
      </c>
      <c r="P730" s="57">
        <f>IFERROR(__xludf.DUMMYFUNCTION("""COMPUTED_VALUE"""),0.6756756756756757)</f>
        <v>0.6756756757</v>
      </c>
      <c r="Q730" s="57">
        <f>IFERROR(__xludf.DUMMYFUNCTION("""COMPUTED_VALUE"""),1.2972972972972974)</f>
        <v>1.297297297</v>
      </c>
      <c r="R730" s="57">
        <f>IFERROR(__xludf.DUMMYFUNCTION("""COMPUTED_VALUE"""),2.7567567567567566)</f>
        <v>2.756756757</v>
      </c>
      <c r="S730" s="31">
        <f>IFERROR(__xludf.DUMMYFUNCTION("""COMPUTED_VALUE"""),331.8468468468469)</f>
        <v>331.8468468</v>
      </c>
      <c r="T730" s="57">
        <f>IFERROR(__xludf.DUMMYFUNCTION("""COMPUTED_VALUE"""),0.5855855855855855)</f>
        <v>0.5855855856</v>
      </c>
      <c r="U730" s="57">
        <f>IFERROR(__xludf.DUMMYFUNCTION("""COMPUTED_VALUE"""),0.43243243243243246)</f>
        <v>0.4324324324</v>
      </c>
      <c r="V730" s="57">
        <f>IFERROR(__xludf.DUMMYFUNCTION("""COMPUTED_VALUE"""),1.4234234234234233)</f>
        <v>1.423423423</v>
      </c>
      <c r="W730" s="57">
        <f>IFERROR(__xludf.DUMMYFUNCTION("""COMPUTED_VALUE"""),2.3693693693693696)</f>
        <v>2.369369369</v>
      </c>
      <c r="X730" s="31">
        <f>IFERROR(__xludf.DUMMYFUNCTION("""COMPUTED_VALUE"""),354.96852343495726)</f>
        <v>354.9685234</v>
      </c>
      <c r="Y730" s="57">
        <f>IFERROR(__xludf.DUMMYFUNCTION("""COMPUTED_VALUE"""),0.7795501272350933)</f>
        <v>0.7795501272</v>
      </c>
      <c r="Z730" s="57">
        <f>IFERROR(__xludf.DUMMYFUNCTION("""COMPUTED_VALUE"""),0.5884555767524312)</f>
        <v>0.5884555768</v>
      </c>
      <c r="AA730" s="57">
        <f>IFERROR(__xludf.DUMMYFUNCTION("""COMPUTED_VALUE"""),1.3661860608123817)</f>
        <v>1.366186061</v>
      </c>
      <c r="AB730" s="57">
        <f>IFERROR(__xludf.DUMMYFUNCTION("""COMPUTED_VALUE"""),2.6010723344053996)</f>
        <v>2.601072334</v>
      </c>
      <c r="AC730" s="31">
        <f>IFERROR(__xludf.DUMMYFUNCTION("""COMPUTED_VALUE"""),350.9592729564762)</f>
        <v>350.959273</v>
      </c>
      <c r="AD730" s="57">
        <f>IFERROR(__xludf.DUMMYFUNCTION("""COMPUTED_VALUE"""),0.7674800179469473)</f>
        <v>0.7674800179</v>
      </c>
      <c r="AE730" s="57">
        <f>IFERROR(__xludf.DUMMYFUNCTION("""COMPUTED_VALUE"""),0.5601375986711556)</f>
        <v>0.5601375987</v>
      </c>
      <c r="AF730" s="57">
        <f>IFERROR(__xludf.DUMMYFUNCTION("""COMPUTED_VALUE"""),1.3563365504185279)</f>
        <v>1.35633655</v>
      </c>
      <c r="AG730" s="57">
        <f>IFERROR(__xludf.DUMMYFUNCTION("""COMPUTED_VALUE"""),2.6121600209253826)</f>
        <v>2.612160021</v>
      </c>
      <c r="AH730" s="57">
        <f>IFERROR(__xludf.DUMMYFUNCTION("""COMPUTED_VALUE"""),1.0707333093614717)</f>
        <v>1.070733309</v>
      </c>
      <c r="AI730" s="57">
        <f>IFERROR(__xludf.DUMMYFUNCTION("""COMPUTED_VALUE"""),1.2677502348213978)</f>
        <v>1.267750235</v>
      </c>
      <c r="AJ730" s="57">
        <f>IFERROR(__xludf.DUMMYFUNCTION("""COMPUTED_VALUE"""),1.206267312315076)</f>
        <v>1.206267312</v>
      </c>
      <c r="AK730" s="57">
        <f>IFERROR(__xludf.DUMMYFUNCTION("""COMPUTED_VALUE"""),0.9564715312707509)</f>
        <v>0.9564715313</v>
      </c>
      <c r="AL730" s="57">
        <f>IFERROR(__xludf.DUMMYFUNCTION("""COMPUTED_VALUE"""),1.0553552365372123)</f>
        <v>1.055355237</v>
      </c>
      <c r="AM730" s="57">
        <f>IFERROR(__xludf.DUMMYFUNCTION("""COMPUTED_VALUE"""),0.9348627411682404)</f>
        <v>0.9348627412</v>
      </c>
      <c r="AN730" s="57">
        <f>IFERROR(__xludf.DUMMYFUNCTION("""COMPUTED_VALUE"""),0.7511840036028717)</f>
        <v>0.7511840036</v>
      </c>
      <c r="AO730" s="57">
        <f>IFERROR(__xludf.DUMMYFUNCTION("""COMPUTED_VALUE"""),0.734859944431049)</f>
        <v>0.7348599444</v>
      </c>
      <c r="AP730" s="35">
        <f>IFERROR(__xludf.DUMMYFUNCTION("""COMPUTED_VALUE"""),1.0418957302031073)</f>
        <v>1.04189573</v>
      </c>
      <c r="AQ730" s="57">
        <f>IFERROR(__xludf.DUMMYFUNCTION("""COMPUTED_VALUE"""),0.9109202147240565)</f>
        <v>0.9109202147</v>
      </c>
      <c r="AR730" s="36" t="b">
        <f>IFERROR(__xludf.DUMMYFUNCTION("""COMPUTED_VALUE"""),TRUE)</f>
        <v>1</v>
      </c>
      <c r="AS730" s="57"/>
      <c r="AT730" s="37"/>
      <c r="AU730" s="30"/>
      <c r="AV730" s="30"/>
      <c r="AW730" s="30"/>
      <c r="AX730" s="30"/>
      <c r="AY730" s="30"/>
      <c r="AZ730" s="30"/>
    </row>
    <row r="731">
      <c r="A731" s="30" t="str">
        <f>IFERROR(__xludf.DUMMYFUNCTION("""COMPUTED_VALUE"""),"Veteran")</f>
        <v>Veteran</v>
      </c>
      <c r="B731" s="30" t="str">
        <f>IFERROR(__xludf.DUMMYFUNCTION("""COMPUTED_VALUE"""),"RSC002544")</f>
        <v>RSC002544</v>
      </c>
      <c r="C731" s="30" t="str">
        <f>IFERROR(__xludf.DUMMYFUNCTION("""COMPUTED_VALUE"""),"J.")</f>
        <v>J.</v>
      </c>
      <c r="D731" s="31" t="str">
        <f>IFERROR(__xludf.DUMMYFUNCTION("""COMPUTED_VALUE"""),"Makos")</f>
        <v>Makos</v>
      </c>
      <c r="E731" s="31">
        <f>IFERROR(__xludf.DUMMYFUNCTION("""COMPUTED_VALUE"""),79.32463402558193)</f>
        <v>79.32463403</v>
      </c>
      <c r="F731" s="31">
        <f>IFERROR(__xludf.DUMMYFUNCTION("""COMPUTED_VALUE"""),8.3055900257358)</f>
        <v>8.305590026</v>
      </c>
      <c r="G731" s="31">
        <f>IFERROR(__xludf.DUMMYFUNCTION("""COMPUTED_VALUE"""),60.54300411210165)</f>
        <v>60.54300411</v>
      </c>
      <c r="H731" s="31">
        <f>IFERROR(__xludf.DUMMYFUNCTION("""COMPUTED_VALUE"""),2.9707560951028187)</f>
        <v>2.970756095</v>
      </c>
      <c r="I731" s="54">
        <f>IFERROR(__xludf.DUMMYFUNCTION("""COMPUTED_VALUE"""),46.0)</f>
        <v>46</v>
      </c>
      <c r="J731" s="55">
        <f>IFERROR(__xludf.DUMMYFUNCTION("""COMPUTED_VALUE"""),26.0)</f>
        <v>26</v>
      </c>
      <c r="K731" s="54">
        <f>IFERROR(__xludf.DUMMYFUNCTION("""COMPUTED_VALUE"""),20.0)</f>
        <v>20</v>
      </c>
      <c r="L731" s="56">
        <f>IFERROR(__xludf.DUMMYFUNCTION("""COMPUTED_VALUE"""),0.5652173913043478)</f>
        <v>0.5652173913</v>
      </c>
      <c r="M731" s="56">
        <f>IFERROR(__xludf.DUMMYFUNCTION("""COMPUTED_VALUE"""),0.3197278911564626)</f>
        <v>0.3197278912</v>
      </c>
      <c r="N731" s="31">
        <f>IFERROR(__xludf.DUMMYFUNCTION("""COMPUTED_VALUE"""),387.3695652173913)</f>
        <v>387.3695652</v>
      </c>
      <c r="O731" s="57">
        <f>IFERROR(__xludf.DUMMYFUNCTION("""COMPUTED_VALUE"""),1.0217391304347827)</f>
        <v>1.02173913</v>
      </c>
      <c r="P731" s="57">
        <f>IFERROR(__xludf.DUMMYFUNCTION("""COMPUTED_VALUE"""),0.6739130434782609)</f>
        <v>0.6739130435</v>
      </c>
      <c r="Q731" s="57">
        <f>IFERROR(__xludf.DUMMYFUNCTION("""COMPUTED_VALUE"""),1.4782608695652173)</f>
        <v>1.47826087</v>
      </c>
      <c r="R731" s="57">
        <f>IFERROR(__xludf.DUMMYFUNCTION("""COMPUTED_VALUE"""),3.1956521739130435)</f>
        <v>3.195652174</v>
      </c>
      <c r="S731" s="31">
        <f>IFERROR(__xludf.DUMMYFUNCTION("""COMPUTED_VALUE"""),369.7101449275361)</f>
        <v>369.7101449</v>
      </c>
      <c r="T731" s="57">
        <f>IFERROR(__xludf.DUMMYFUNCTION("""COMPUTED_VALUE"""),0.8260869565217391)</f>
        <v>0.8260869565</v>
      </c>
      <c r="U731" s="57">
        <f>IFERROR(__xludf.DUMMYFUNCTION("""COMPUTED_VALUE"""),0.6086956521739131)</f>
        <v>0.6086956522</v>
      </c>
      <c r="V731" s="57">
        <f>IFERROR(__xludf.DUMMYFUNCTION("""COMPUTED_VALUE"""),1.5072463768115945)</f>
        <v>1.507246377</v>
      </c>
      <c r="W731" s="57">
        <f>IFERROR(__xludf.DUMMYFUNCTION("""COMPUTED_VALUE"""),2.6449275362318834)</f>
        <v>2.644927536</v>
      </c>
      <c r="X731" s="31">
        <f>IFERROR(__xludf.DUMMYFUNCTION("""COMPUTED_VALUE"""),362.65101793285777)</f>
        <v>362.6510179</v>
      </c>
      <c r="Y731" s="57">
        <f>IFERROR(__xludf.DUMMYFUNCTION("""COMPUTED_VALUE"""),0.8313523563378149)</f>
        <v>0.8313523563</v>
      </c>
      <c r="Z731" s="57">
        <f>IFERROR(__xludf.DUMMYFUNCTION("""COMPUTED_VALUE"""),0.6276417030646548)</f>
        <v>0.6276417031</v>
      </c>
      <c r="AA731" s="57">
        <f>IFERROR(__xludf.DUMMYFUNCTION("""COMPUTED_VALUE"""),1.356044265287815)</f>
        <v>1.356044265</v>
      </c>
      <c r="AB731" s="57">
        <f>IFERROR(__xludf.DUMMYFUNCTION("""COMPUTED_VALUE"""),2.797803405391997)</f>
        <v>2.797803405</v>
      </c>
      <c r="AC731" s="31">
        <f>IFERROR(__xludf.DUMMYFUNCTION("""COMPUTED_VALUE"""),356.2350894338876)</f>
        <v>356.2350894</v>
      </c>
      <c r="AD731" s="57">
        <f>IFERROR(__xludf.DUMMYFUNCTION("""COMPUTED_VALUE"""),0.7790676095583361)</f>
        <v>0.7790676096</v>
      </c>
      <c r="AE731" s="57">
        <f>IFERROR(__xludf.DUMMYFUNCTION("""COMPUTED_VALUE"""),0.5883593153183257)</f>
        <v>0.5883593153</v>
      </c>
      <c r="AF731" s="57">
        <f>IFERROR(__xludf.DUMMYFUNCTION("""COMPUTED_VALUE"""),1.3997882400948387)</f>
        <v>1.39978824</v>
      </c>
      <c r="AG731" s="57">
        <f>IFERROR(__xludf.DUMMYFUNCTION("""COMPUTED_VALUE"""),2.595342030666556)</f>
        <v>2.595342031</v>
      </c>
      <c r="AH731" s="57">
        <f>IFERROR(__xludf.DUMMYFUNCTION("""COMPUTED_VALUE"""),1.0873986777467126)</f>
        <v>1.087398678</v>
      </c>
      <c r="AI731" s="57">
        <f>IFERROR(__xludf.DUMMYFUNCTION("""COMPUTED_VALUE"""),1.3114896806119567)</f>
        <v>1.311489681</v>
      </c>
      <c r="AJ731" s="57">
        <f>IFERROR(__xludf.DUMMYFUNCTION("""COMPUTED_VALUE"""),1.1454106800597643)</f>
        <v>1.14541068</v>
      </c>
      <c r="AK731" s="57">
        <f>IFERROR(__xludf.DUMMYFUNCTION("""COMPUTED_VALUE"""),1.056060357718866)</f>
        <v>1.056060358</v>
      </c>
      <c r="AL731" s="57">
        <f>IFERROR(__xludf.DUMMYFUNCTION("""COMPUTED_VALUE"""),1.2313029019501953)</f>
        <v>1.231302902</v>
      </c>
      <c r="AM731" s="57">
        <f>IFERROR(__xludf.DUMMYFUNCTION("""COMPUTED_VALUE"""),1.0194653444926638)</f>
        <v>1.019465344</v>
      </c>
      <c r="AN731" s="57">
        <f>IFERROR(__xludf.DUMMYFUNCTION("""COMPUTED_VALUE"""),0.9936664643145172)</f>
        <v>0.9936664643</v>
      </c>
      <c r="AO731" s="57">
        <f>IFERROR(__xludf.DUMMYFUNCTION("""COMPUTED_VALUE"""),0.9698139068863146)</f>
        <v>0.9698139069</v>
      </c>
      <c r="AP731" s="35">
        <f>IFERROR(__xludf.DUMMYFUNCTION("""COMPUTED_VALUE"""),1.1115023420652772)</f>
        <v>1.111502342</v>
      </c>
      <c r="AQ731" s="57">
        <f>IFERROR(__xludf.DUMMYFUNCTION("""COMPUTED_VALUE"""),0.9453586092341273)</f>
        <v>0.9453586092</v>
      </c>
      <c r="AR731" s="36" t="b">
        <f>IFERROR(__xludf.DUMMYFUNCTION("""COMPUTED_VALUE"""),TRUE)</f>
        <v>1</v>
      </c>
      <c r="AS731" s="57"/>
      <c r="AT731" s="37"/>
      <c r="AU731" s="30"/>
      <c r="AV731" s="30"/>
      <c r="AW731" s="30"/>
      <c r="AX731" s="30"/>
      <c r="AY731" s="30"/>
      <c r="AZ731" s="30"/>
    </row>
    <row r="732">
      <c r="A732" s="30" t="str">
        <f>IFERROR(__xludf.DUMMYFUNCTION("""COMPUTED_VALUE"""),"Veteran")</f>
        <v>Veteran</v>
      </c>
      <c r="B732" s="30" t="str">
        <f>IFERROR(__xludf.DUMMYFUNCTION("""COMPUTED_VALUE"""),"RSC001921")</f>
        <v>RSC001921</v>
      </c>
      <c r="C732" s="30" t="str">
        <f>IFERROR(__xludf.DUMMYFUNCTION("""COMPUTED_VALUE"""),"Dom")</f>
        <v>Dom</v>
      </c>
      <c r="D732" s="31" t="str">
        <f>IFERROR(__xludf.DUMMYFUNCTION("""COMPUTED_VALUE"""),"Kirin")</f>
        <v>Kirin</v>
      </c>
      <c r="E732" s="31">
        <f>IFERROR(__xludf.DUMMYFUNCTION("""COMPUTED_VALUE"""),78.98493050249655)</f>
        <v>78.9849305</v>
      </c>
      <c r="F732" s="31">
        <f>IFERROR(__xludf.DUMMYFUNCTION("""COMPUTED_VALUE"""),8.120366259964474)</f>
        <v>8.12036626</v>
      </c>
      <c r="G732" s="31">
        <f>IFERROR(__xludf.DUMMYFUNCTION("""COMPUTED_VALUE"""),64.02676093238271)</f>
        <v>64.02676093</v>
      </c>
      <c r="H732" s="31">
        <f>IFERROR(__xludf.DUMMYFUNCTION("""COMPUTED_VALUE"""),3.4797767185897)</f>
        <v>3.479776719</v>
      </c>
      <c r="I732" s="54">
        <f>IFERROR(__xludf.DUMMYFUNCTION("""COMPUTED_VALUE"""),25.0)</f>
        <v>25</v>
      </c>
      <c r="J732" s="55">
        <f>IFERROR(__xludf.DUMMYFUNCTION("""COMPUTED_VALUE"""),12.0)</f>
        <v>12</v>
      </c>
      <c r="K732" s="54">
        <f>IFERROR(__xludf.DUMMYFUNCTION("""COMPUTED_VALUE"""),13.0)</f>
        <v>13</v>
      </c>
      <c r="L732" s="56">
        <f>IFERROR(__xludf.DUMMYFUNCTION("""COMPUTED_VALUE"""),0.48)</f>
        <v>0.48</v>
      </c>
      <c r="M732" s="56">
        <f>IFERROR(__xludf.DUMMYFUNCTION("""COMPUTED_VALUE"""),0.41379310344827586)</f>
        <v>0.4137931034</v>
      </c>
      <c r="N732" s="31">
        <f>IFERROR(__xludf.DUMMYFUNCTION("""COMPUTED_VALUE"""),430.48)</f>
        <v>430.48</v>
      </c>
      <c r="O732" s="57">
        <f>IFERROR(__xludf.DUMMYFUNCTION("""COMPUTED_VALUE"""),0.96)</f>
        <v>0.96</v>
      </c>
      <c r="P732" s="57">
        <f>IFERROR(__xludf.DUMMYFUNCTION("""COMPUTED_VALUE"""),0.76)</f>
        <v>0.76</v>
      </c>
      <c r="Q732" s="57">
        <f>IFERROR(__xludf.DUMMYFUNCTION("""COMPUTED_VALUE"""),1.76)</f>
        <v>1.76</v>
      </c>
      <c r="R732" s="57">
        <f>IFERROR(__xludf.DUMMYFUNCTION("""COMPUTED_VALUE"""),2.32)</f>
        <v>2.32</v>
      </c>
      <c r="S732" s="31">
        <f>IFERROR(__xludf.DUMMYFUNCTION("""COMPUTED_VALUE"""),377.3466666666667)</f>
        <v>377.3466667</v>
      </c>
      <c r="T732" s="57">
        <f>IFERROR(__xludf.DUMMYFUNCTION("""COMPUTED_VALUE"""),0.8)</f>
        <v>0.8</v>
      </c>
      <c r="U732" s="57">
        <f>IFERROR(__xludf.DUMMYFUNCTION("""COMPUTED_VALUE"""),0.6266666666666667)</f>
        <v>0.6266666667</v>
      </c>
      <c r="V732" s="57">
        <f>IFERROR(__xludf.DUMMYFUNCTION("""COMPUTED_VALUE"""),1.2666666666666666)</f>
        <v>1.266666667</v>
      </c>
      <c r="W732" s="57">
        <f>IFERROR(__xludf.DUMMYFUNCTION("""COMPUTED_VALUE"""),2.9066666666666663)</f>
        <v>2.906666667</v>
      </c>
      <c r="X732" s="31">
        <f>IFERROR(__xludf.DUMMYFUNCTION("""COMPUTED_VALUE"""),376.68277686002284)</f>
        <v>376.6827769</v>
      </c>
      <c r="Y732" s="57">
        <f>IFERROR(__xludf.DUMMYFUNCTION("""COMPUTED_VALUE"""),0.9003749003532426)</f>
        <v>0.9003749004</v>
      </c>
      <c r="Z732" s="57">
        <f>IFERROR(__xludf.DUMMYFUNCTION("""COMPUTED_VALUE"""),0.6646645122209557)</f>
        <v>0.6646645122</v>
      </c>
      <c r="AA732" s="57">
        <f>IFERROR(__xludf.DUMMYFUNCTION("""COMPUTED_VALUE"""),1.346471040100806)</f>
        <v>1.34647104</v>
      </c>
      <c r="AB732" s="57">
        <f>IFERROR(__xludf.DUMMYFUNCTION("""COMPUTED_VALUE"""),2.907836641263367)</f>
        <v>2.907836641</v>
      </c>
      <c r="AC732" s="31">
        <f>IFERROR(__xludf.DUMMYFUNCTION("""COMPUTED_VALUE"""),356.4092425146035)</f>
        <v>356.4092425</v>
      </c>
      <c r="AD732" s="57">
        <f>IFERROR(__xludf.DUMMYFUNCTION("""COMPUTED_VALUE"""),0.7556613425942009)</f>
        <v>0.7556613426</v>
      </c>
      <c r="AE732" s="57">
        <f>IFERROR(__xludf.DUMMYFUNCTION("""COMPUTED_VALUE"""),0.557970327721722)</f>
        <v>0.5579703277</v>
      </c>
      <c r="AF732" s="57">
        <f>IFERROR(__xludf.DUMMYFUNCTION("""COMPUTED_VALUE"""),1.4527378756810736)</f>
        <v>1.452737876</v>
      </c>
      <c r="AG732" s="57">
        <f>IFERROR(__xludf.DUMMYFUNCTION("""COMPUTED_VALUE"""),2.5625067789430616)</f>
        <v>2.562506779</v>
      </c>
      <c r="AH732" s="57">
        <f>IFERROR(__xludf.DUMMYFUNCTION("""COMPUTED_VALUE"""),1.2078250186858204)</f>
        <v>1.207825019</v>
      </c>
      <c r="AI732" s="57">
        <f>IFERROR(__xludf.DUMMYFUNCTION("""COMPUTED_VALUE"""),1.2704103622719407)</f>
        <v>1.270410362</v>
      </c>
      <c r="AJ732" s="57">
        <f>IFERROR(__xludf.DUMMYFUNCTION("""COMPUTED_VALUE"""),1.3620795985750642)</f>
        <v>1.362079599</v>
      </c>
      <c r="AK732" s="57">
        <f>IFERROR(__xludf.DUMMYFUNCTION("""COMPUTED_VALUE"""),1.2115055506313386)</f>
        <v>1.211505551</v>
      </c>
      <c r="AL732" s="57">
        <f>IFERROR(__xludf.DUMMYFUNCTION("""COMPUTED_VALUE"""),0.905363458572747)</f>
        <v>0.9053634586</v>
      </c>
      <c r="AM732" s="57">
        <f>IFERROR(__xludf.DUMMYFUNCTION("""COMPUTED_VALUE"""),1.001762463928343)</f>
        <v>1.001762464</v>
      </c>
      <c r="AN732" s="57">
        <f>IFERROR(__xludf.DUMMYFUNCTION("""COMPUTED_VALUE"""),0.8885187711098314)</f>
        <v>0.8885187711</v>
      </c>
      <c r="AO732" s="57">
        <f>IFERROR(__xludf.DUMMYFUNCTION("""COMPUTED_VALUE"""),0.9428315415436874)</f>
        <v>0.9428315415</v>
      </c>
      <c r="AP732" s="35">
        <f>IFERROR(__xludf.DUMMYFUNCTION("""COMPUTED_VALUE"""),0.940730716771922)</f>
        <v>0.9407307168</v>
      </c>
      <c r="AQ732" s="57">
        <f>IFERROR(__xludf.DUMMYFUNCTION("""COMPUTED_VALUE"""),0.9995976477563773)</f>
        <v>0.9995976478</v>
      </c>
      <c r="AR732" s="36" t="b">
        <f>IFERROR(__xludf.DUMMYFUNCTION("""COMPUTED_VALUE"""),TRUE)</f>
        <v>1</v>
      </c>
      <c r="AS732" s="57"/>
      <c r="AT732" s="37"/>
      <c r="AU732" s="30"/>
      <c r="AV732" s="30"/>
      <c r="AW732" s="30"/>
      <c r="AX732" s="30"/>
      <c r="AY732" s="30"/>
      <c r="AZ732" s="30"/>
    </row>
    <row r="733">
      <c r="A733" s="30" t="str">
        <f>IFERROR(__xludf.DUMMYFUNCTION("""COMPUTED_VALUE"""),"Veteran")</f>
        <v>Veteran</v>
      </c>
      <c r="B733" s="30" t="str">
        <f>IFERROR(__xludf.DUMMYFUNCTION("""COMPUTED_VALUE"""),"RSC000923")</f>
        <v>RSC000923</v>
      </c>
      <c r="C733" s="30" t="str">
        <f>IFERROR(__xludf.DUMMYFUNCTION("""COMPUTED_VALUE"""),"Stemantics")</f>
        <v>Stemantics</v>
      </c>
      <c r="D733" s="31" t="str">
        <f>IFERROR(__xludf.DUMMYFUNCTION("""COMPUTED_VALUE"""),"Legati")</f>
        <v>Legati</v>
      </c>
      <c r="E733" s="31">
        <f>IFERROR(__xludf.DUMMYFUNCTION("""COMPUTED_VALUE"""),78.96776069049258)</f>
        <v>78.96776069</v>
      </c>
      <c r="F733" s="31">
        <f>IFERROR(__xludf.DUMMYFUNCTION("""COMPUTED_VALUE"""),8.11114741191433)</f>
        <v>8.111147412</v>
      </c>
      <c r="G733" s="31">
        <f>IFERROR(__xludf.DUMMYFUNCTION("""COMPUTED_VALUE"""),61.12295747997359)</f>
        <v>61.12295748</v>
      </c>
      <c r="H733" s="31">
        <f>IFERROR(__xludf.DUMMYFUNCTION("""COMPUTED_VALUE"""),3.0470210289785653)</f>
        <v>3.047021029</v>
      </c>
      <c r="I733" s="54">
        <f>IFERROR(__xludf.DUMMYFUNCTION("""COMPUTED_VALUE"""),44.0)</f>
        <v>44</v>
      </c>
      <c r="J733" s="55">
        <f>IFERROR(__xludf.DUMMYFUNCTION("""COMPUTED_VALUE"""),27.0)</f>
        <v>27</v>
      </c>
      <c r="K733" s="54">
        <f>IFERROR(__xludf.DUMMYFUNCTION("""COMPUTED_VALUE"""),17.0)</f>
        <v>17</v>
      </c>
      <c r="L733" s="56">
        <f>IFERROR(__xludf.DUMMYFUNCTION("""COMPUTED_VALUE"""),0.6136363636363636)</f>
        <v>0.6136363636</v>
      </c>
      <c r="M733" s="56">
        <f>IFERROR(__xludf.DUMMYFUNCTION("""COMPUTED_VALUE"""),0.3356643356643356)</f>
        <v>0.3356643357</v>
      </c>
      <c r="N733" s="31">
        <f>IFERROR(__xludf.DUMMYFUNCTION("""COMPUTED_VALUE"""),405.22727272727275)</f>
        <v>405.2272727</v>
      </c>
      <c r="O733" s="57">
        <f>IFERROR(__xludf.DUMMYFUNCTION("""COMPUTED_VALUE"""),1.0909090909090908)</f>
        <v>1.090909091</v>
      </c>
      <c r="P733" s="57">
        <f>IFERROR(__xludf.DUMMYFUNCTION("""COMPUTED_VALUE"""),0.6590909090909091)</f>
        <v>0.6590909091</v>
      </c>
      <c r="Q733" s="57">
        <f>IFERROR(__xludf.DUMMYFUNCTION("""COMPUTED_VALUE"""),1.3181818181818181)</f>
        <v>1.318181818</v>
      </c>
      <c r="R733" s="57">
        <f>IFERROR(__xludf.DUMMYFUNCTION("""COMPUTED_VALUE"""),3.25)</f>
        <v>3.25</v>
      </c>
      <c r="S733" s="31">
        <f>IFERROR(__xludf.DUMMYFUNCTION("""COMPUTED_VALUE"""),379.22727272727275)</f>
        <v>379.2272727</v>
      </c>
      <c r="T733" s="57">
        <f>IFERROR(__xludf.DUMMYFUNCTION("""COMPUTED_VALUE"""),0.909090909090909)</f>
        <v>0.9090909091</v>
      </c>
      <c r="U733" s="57">
        <f>IFERROR(__xludf.DUMMYFUNCTION("""COMPUTED_VALUE"""),0.6590909090909092)</f>
        <v>0.6590909091</v>
      </c>
      <c r="V733" s="57">
        <f>IFERROR(__xludf.DUMMYFUNCTION("""COMPUTED_VALUE"""),1.424242424242424)</f>
        <v>1.424242424</v>
      </c>
      <c r="W733" s="57">
        <f>IFERROR(__xludf.DUMMYFUNCTION("""COMPUTED_VALUE"""),2.8787878787878793)</f>
        <v>2.878787879</v>
      </c>
      <c r="X733" s="31">
        <f>IFERROR(__xludf.DUMMYFUNCTION("""COMPUTED_VALUE"""),361.6212061631945)</f>
        <v>361.6212062</v>
      </c>
      <c r="Y733" s="57">
        <f>IFERROR(__xludf.DUMMYFUNCTION("""COMPUTED_VALUE"""),0.8201323410452321)</f>
        <v>0.820132341</v>
      </c>
      <c r="Z733" s="57">
        <f>IFERROR(__xludf.DUMMYFUNCTION("""COMPUTED_VALUE"""),0.593917359981926)</f>
        <v>0.59391736</v>
      </c>
      <c r="AA733" s="57">
        <f>IFERROR(__xludf.DUMMYFUNCTION("""COMPUTED_VALUE"""),1.376265266346258)</f>
        <v>1.376265266</v>
      </c>
      <c r="AB733" s="57">
        <f>IFERROR(__xludf.DUMMYFUNCTION("""COMPUTED_VALUE"""),2.6495759881346603)</f>
        <v>2.649575988</v>
      </c>
      <c r="AC733" s="31">
        <f>IFERROR(__xludf.DUMMYFUNCTION("""COMPUTED_VALUE"""),354.1539221801479)</f>
        <v>354.1539222</v>
      </c>
      <c r="AD733" s="57">
        <f>IFERROR(__xludf.DUMMYFUNCTION("""COMPUTED_VALUE"""),0.78386729558311)</f>
        <v>0.7838672956</v>
      </c>
      <c r="AE733" s="57">
        <f>IFERROR(__xludf.DUMMYFUNCTION("""COMPUTED_VALUE"""),0.5725835844319299)</f>
        <v>0.5725835844</v>
      </c>
      <c r="AF733" s="57">
        <f>IFERROR(__xludf.DUMMYFUNCTION("""COMPUTED_VALUE"""),1.3411390160711434)</f>
        <v>1.341139016</v>
      </c>
      <c r="AG733" s="57">
        <f>IFERROR(__xludf.DUMMYFUNCTION("""COMPUTED_VALUE"""),2.666245052392126)</f>
        <v>2.666245052</v>
      </c>
      <c r="AH733" s="57">
        <f>IFERROR(__xludf.DUMMYFUNCTION("""COMPUTED_VALUE"""),1.1442122968248403)</f>
        <v>1.144212297</v>
      </c>
      <c r="AI733" s="57">
        <f>IFERROR(__xludf.DUMMYFUNCTION("""COMPUTED_VALUE"""),1.3917012446572044)</f>
        <v>1.391701245</v>
      </c>
      <c r="AJ733" s="57">
        <f>IFERROR(__xludf.DUMMYFUNCTION("""COMPUTED_VALUE"""),1.1510824393346948)</f>
        <v>1.151082439</v>
      </c>
      <c r="AK733" s="57">
        <f>IFERROR(__xludf.DUMMYFUNCTION("""COMPUTED_VALUE"""),0.9828823130084022)</f>
        <v>0.982882313</v>
      </c>
      <c r="AL733" s="57">
        <f>IFERROR(__xludf.DUMMYFUNCTION("""COMPUTED_VALUE"""),1.2189427213691912)</f>
        <v>1.218942721</v>
      </c>
      <c r="AM733" s="57">
        <f>IFERROR(__xludf.DUMMYFUNCTION("""COMPUTED_VALUE"""),1.0486864881373492)</f>
        <v>1.048686488</v>
      </c>
      <c r="AN733" s="57">
        <f>IFERROR(__xludf.DUMMYFUNCTION("""COMPUTED_VALUE"""),1.1084685526878528)</f>
        <v>1.108468553</v>
      </c>
      <c r="AO733" s="57">
        <f>IFERROR(__xludf.DUMMYFUNCTION("""COMPUTED_VALUE"""),1.10973504649025)</f>
        <v>1.109735046</v>
      </c>
      <c r="AP733" s="35">
        <f>IFERROR(__xludf.DUMMYFUNCTION("""COMPUTED_VALUE"""),1.0348604001491202)</f>
        <v>1.0348604</v>
      </c>
      <c r="AQ733" s="57">
        <f>IFERROR(__xludf.DUMMYFUNCTION("""COMPUTED_VALUE"""),1.0865088948872108)</f>
        <v>1.086508895</v>
      </c>
      <c r="AR733" s="36" t="b">
        <f>IFERROR(__xludf.DUMMYFUNCTION("""COMPUTED_VALUE"""),TRUE)</f>
        <v>1</v>
      </c>
      <c r="AS733" s="57"/>
      <c r="AT733" s="37"/>
      <c r="AU733" s="30"/>
      <c r="AV733" s="30"/>
      <c r="AW733" s="30"/>
      <c r="AX733" s="30"/>
      <c r="AY733" s="30"/>
      <c r="AZ733" s="30"/>
    </row>
    <row r="734">
      <c r="A734" s="30" t="str">
        <f>IFERROR(__xludf.DUMMYFUNCTION("""COMPUTED_VALUE"""),"Veteran")</f>
        <v>Veteran</v>
      </c>
      <c r="B734" s="30" t="str">
        <f>IFERROR(__xludf.DUMMYFUNCTION("""COMPUTED_VALUE"""),"RSC006378")</f>
        <v>RSC006378</v>
      </c>
      <c r="C734" s="30" t="str">
        <f>IFERROR(__xludf.DUMMYFUNCTION("""COMPUTED_VALUE"""),"depressed vibez")</f>
        <v>depressed vibez</v>
      </c>
      <c r="D734" s="31" t="str">
        <f>IFERROR(__xludf.DUMMYFUNCTION("""COMPUTED_VALUE"""),"Penguins")</f>
        <v>Penguins</v>
      </c>
      <c r="E734" s="31">
        <f>IFERROR(__xludf.DUMMYFUNCTION("""COMPUTED_VALUE"""),77.0530261156791)</f>
        <v>77.05302612</v>
      </c>
      <c r="F734" s="31">
        <f>IFERROR(__xludf.DUMMYFUNCTION("""COMPUTED_VALUE"""),7.16335595937337)</f>
        <v>7.163355959</v>
      </c>
      <c r="G734" s="31">
        <f>IFERROR(__xludf.DUMMYFUNCTION("""COMPUTED_VALUE"""),67.9239131938219)</f>
        <v>67.92391319</v>
      </c>
      <c r="H734" s="31">
        <f>IFERROR(__xludf.DUMMYFUNCTION("""COMPUTED_VALUE"""),4.224748858948838)</f>
        <v>4.224748859</v>
      </c>
      <c r="I734" s="54">
        <f>IFERROR(__xludf.DUMMYFUNCTION("""COMPUTED_VALUE"""),31.0)</f>
        <v>31</v>
      </c>
      <c r="J734" s="55">
        <f>IFERROR(__xludf.DUMMYFUNCTION("""COMPUTED_VALUE"""),20.0)</f>
        <v>20</v>
      </c>
      <c r="K734" s="54">
        <f>IFERROR(__xludf.DUMMYFUNCTION("""COMPUTED_VALUE"""),11.0)</f>
        <v>11</v>
      </c>
      <c r="L734" s="56">
        <f>IFERROR(__xludf.DUMMYFUNCTION("""COMPUTED_VALUE"""),0.6451612903225806)</f>
        <v>0.6451612903</v>
      </c>
      <c r="M734" s="56">
        <f>IFERROR(__xludf.DUMMYFUNCTION("""COMPUTED_VALUE"""),0.33720930232558133)</f>
        <v>0.3372093023</v>
      </c>
      <c r="N734" s="31">
        <f>IFERROR(__xludf.DUMMYFUNCTION("""COMPUTED_VALUE"""),356.2903225806452)</f>
        <v>356.2903226</v>
      </c>
      <c r="O734" s="57">
        <f>IFERROR(__xludf.DUMMYFUNCTION("""COMPUTED_VALUE"""),0.9354838709677419)</f>
        <v>0.935483871</v>
      </c>
      <c r="P734" s="57">
        <f>IFERROR(__xludf.DUMMYFUNCTION("""COMPUTED_VALUE"""),0.7419354838709677)</f>
        <v>0.7419354839</v>
      </c>
      <c r="Q734" s="57">
        <f>IFERROR(__xludf.DUMMYFUNCTION("""COMPUTED_VALUE"""),1.1290322580645162)</f>
        <v>1.129032258</v>
      </c>
      <c r="R734" s="57">
        <f>IFERROR(__xludf.DUMMYFUNCTION("""COMPUTED_VALUE"""),2.774193548387097)</f>
        <v>2.774193548</v>
      </c>
      <c r="S734" s="31">
        <f>IFERROR(__xludf.DUMMYFUNCTION("""COMPUTED_VALUE"""),322.22580645161287)</f>
        <v>322.2258065</v>
      </c>
      <c r="T734" s="57">
        <f>IFERROR(__xludf.DUMMYFUNCTION("""COMPUTED_VALUE"""),0.6559139784946237)</f>
        <v>0.6559139785</v>
      </c>
      <c r="U734" s="57">
        <f>IFERROR(__xludf.DUMMYFUNCTION("""COMPUTED_VALUE"""),0.43010752688172055)</f>
        <v>0.4301075269</v>
      </c>
      <c r="V734" s="57">
        <f>IFERROR(__xludf.DUMMYFUNCTION("""COMPUTED_VALUE"""),1.408602150537634)</f>
        <v>1.408602151</v>
      </c>
      <c r="W734" s="57">
        <f>IFERROR(__xludf.DUMMYFUNCTION("""COMPUTED_VALUE"""),2.2795698924731185)</f>
        <v>2.279569892</v>
      </c>
      <c r="X734" s="31">
        <f>IFERROR(__xludf.DUMMYFUNCTION("""COMPUTED_VALUE"""),361.5640271422466)</f>
        <v>361.5640271</v>
      </c>
      <c r="Y734" s="57">
        <f>IFERROR(__xludf.DUMMYFUNCTION("""COMPUTED_VALUE"""),0.7992260371529162)</f>
        <v>0.7992260372</v>
      </c>
      <c r="Z734" s="57">
        <f>IFERROR(__xludf.DUMMYFUNCTION("""COMPUTED_VALUE"""),0.5804819491741793)</f>
        <v>0.5804819492</v>
      </c>
      <c r="AA734" s="57">
        <f>IFERROR(__xludf.DUMMYFUNCTION("""COMPUTED_VALUE"""),1.4131118081769294)</f>
        <v>1.413111808</v>
      </c>
      <c r="AB734" s="57">
        <f>IFERROR(__xludf.DUMMYFUNCTION("""COMPUTED_VALUE"""),2.700962973788668)</f>
        <v>2.700962974</v>
      </c>
      <c r="AC734" s="31">
        <f>IFERROR(__xludf.DUMMYFUNCTION("""COMPUTED_VALUE"""),359.89633493377414)</f>
        <v>359.8963349</v>
      </c>
      <c r="AD734" s="57">
        <f>IFERROR(__xludf.DUMMYFUNCTION("""COMPUTED_VALUE"""),0.8214629148171514)</f>
        <v>0.8214629148</v>
      </c>
      <c r="AE734" s="57">
        <f>IFERROR(__xludf.DUMMYFUNCTION("""COMPUTED_VALUE"""),0.6000366452109479)</f>
        <v>0.6000366452</v>
      </c>
      <c r="AF734" s="57">
        <f>IFERROR(__xludf.DUMMYFUNCTION("""COMPUTED_VALUE"""),1.355628421066894)</f>
        <v>1.355628421</v>
      </c>
      <c r="AG734" s="57">
        <f>IFERROR(__xludf.DUMMYFUNCTION("""COMPUTED_VALUE"""),2.716059265816449)</f>
        <v>2.716059266</v>
      </c>
      <c r="AH734" s="57">
        <f>IFERROR(__xludf.DUMMYFUNCTION("""COMPUTED_VALUE"""),0.9899804137938985)</f>
        <v>0.9899804138</v>
      </c>
      <c r="AI734" s="57">
        <f>IFERROR(__xludf.DUMMYFUNCTION("""COMPUTED_VALUE"""),1.1388023172975135)</f>
        <v>1.138802317</v>
      </c>
      <c r="AJ734" s="57">
        <f>IFERROR(__xludf.DUMMYFUNCTION("""COMPUTED_VALUE"""),1.236483621113064)</f>
        <v>1.236483621</v>
      </c>
      <c r="AK734" s="57">
        <f>IFERROR(__xludf.DUMMYFUNCTION("""COMPUTED_VALUE"""),0.8328478811147643)</f>
        <v>0.8328478811</v>
      </c>
      <c r="AL734" s="57">
        <f>IFERROR(__xludf.DUMMYFUNCTION("""COMPUTED_VALUE"""),1.02140390797149)</f>
        <v>1.021403908</v>
      </c>
      <c r="AM734" s="57">
        <f>IFERROR(__xludf.DUMMYFUNCTION("""COMPUTED_VALUE"""),0.8911998491621036)</f>
        <v>0.8911998492</v>
      </c>
      <c r="AN734" s="57">
        <f>IFERROR(__xludf.DUMMYFUNCTION("""COMPUTED_VALUE"""),0.8206864491442081)</f>
        <v>0.8206864491</v>
      </c>
      <c r="AO734" s="57">
        <f>IFERROR(__xludf.DUMMYFUNCTION("""COMPUTED_VALUE"""),0.7409490122709441)</f>
        <v>0.7409490123</v>
      </c>
      <c r="AP734" s="35">
        <f>IFERROR(__xludf.DUMMYFUNCTION("""COMPUTED_VALUE"""),0.9968087042984141)</f>
        <v>0.9968087043</v>
      </c>
      <c r="AQ734" s="57">
        <f>IFERROR(__xludf.DUMMYFUNCTION("""COMPUTED_VALUE"""),0.8439841325464535)</f>
        <v>0.8439841325</v>
      </c>
      <c r="AR734" s="36" t="b">
        <f>IFERROR(__xludf.DUMMYFUNCTION("""COMPUTED_VALUE"""),TRUE)</f>
        <v>1</v>
      </c>
      <c r="AS734" s="57"/>
      <c r="AT734" s="37"/>
      <c r="AU734" s="30"/>
      <c r="AV734" s="30"/>
      <c r="AW734" s="30"/>
      <c r="AX734" s="30"/>
      <c r="AY734" s="30"/>
      <c r="AZ734" s="30"/>
    </row>
    <row r="735">
      <c r="A735" s="30" t="str">
        <f>IFERROR(__xludf.DUMMYFUNCTION("""COMPUTED_VALUE"""),"Veteran")</f>
        <v>Veteran</v>
      </c>
      <c r="B735" s="30" t="str">
        <f>IFERROR(__xludf.DUMMYFUNCTION("""COMPUTED_VALUE"""),"RSC000645")</f>
        <v>RSC000645</v>
      </c>
      <c r="C735" s="30" t="str">
        <f>IFERROR(__xludf.DUMMYFUNCTION("""COMPUTED_VALUE"""),"DenZ")</f>
        <v>DenZ</v>
      </c>
      <c r="D735" s="31" t="str">
        <f>IFERROR(__xludf.DUMMYFUNCTION("""COMPUTED_VALUE"""),"Grizzly Bears")</f>
        <v>Grizzly Bears</v>
      </c>
      <c r="E735" s="31">
        <f>IFERROR(__xludf.DUMMYFUNCTION("""COMPUTED_VALUE"""),76.2002558238875)</f>
        <v>76.20025582</v>
      </c>
      <c r="F735" s="31">
        <f>IFERROR(__xludf.DUMMYFUNCTION("""COMPUTED_VALUE"""),6.788085323559329)</f>
        <v>6.788085324</v>
      </c>
      <c r="G735" s="31">
        <f>IFERROR(__xludf.DUMMYFUNCTION("""COMPUTED_VALUE"""),62.358988832373925)</f>
        <v>62.35898883</v>
      </c>
      <c r="H735" s="31">
        <f>IFERROR(__xludf.DUMMYFUNCTION("""COMPUTED_VALUE"""),3.2203408400184803)</f>
        <v>3.22034084</v>
      </c>
      <c r="I735" s="54">
        <f>IFERROR(__xludf.DUMMYFUNCTION("""COMPUTED_VALUE"""),38.0)</f>
        <v>38</v>
      </c>
      <c r="J735" s="55">
        <f>IFERROR(__xludf.DUMMYFUNCTION("""COMPUTED_VALUE"""),21.0)</f>
        <v>21</v>
      </c>
      <c r="K735" s="54">
        <f>IFERROR(__xludf.DUMMYFUNCTION("""COMPUTED_VALUE"""),17.0)</f>
        <v>17</v>
      </c>
      <c r="L735" s="56">
        <f>IFERROR(__xludf.DUMMYFUNCTION("""COMPUTED_VALUE"""),0.5526315789473685)</f>
        <v>0.5526315789</v>
      </c>
      <c r="M735" s="56">
        <f>IFERROR(__xludf.DUMMYFUNCTION("""COMPUTED_VALUE"""),0.3392857142857143)</f>
        <v>0.3392857143</v>
      </c>
      <c r="N735" s="31">
        <f>IFERROR(__xludf.DUMMYFUNCTION("""COMPUTED_VALUE"""),394.5263157894737)</f>
        <v>394.5263158</v>
      </c>
      <c r="O735" s="57">
        <f>IFERROR(__xludf.DUMMYFUNCTION("""COMPUTED_VALUE"""),1.0)</f>
        <v>1</v>
      </c>
      <c r="P735" s="57">
        <f>IFERROR(__xludf.DUMMYFUNCTION("""COMPUTED_VALUE"""),0.6578947368421053)</f>
        <v>0.6578947368</v>
      </c>
      <c r="Q735" s="57">
        <f>IFERROR(__xludf.DUMMYFUNCTION("""COMPUTED_VALUE"""),1.5263157894736843)</f>
        <v>1.526315789</v>
      </c>
      <c r="R735" s="57">
        <f>IFERROR(__xludf.DUMMYFUNCTION("""COMPUTED_VALUE"""),2.9473684210526314)</f>
        <v>2.947368421</v>
      </c>
      <c r="S735" s="31">
        <f>IFERROR(__xludf.DUMMYFUNCTION("""COMPUTED_VALUE"""),352.58771929824564)</f>
        <v>352.5877193</v>
      </c>
      <c r="T735" s="57">
        <f>IFERROR(__xludf.DUMMYFUNCTION("""COMPUTED_VALUE"""),0.8070175438596491)</f>
        <v>0.8070175439</v>
      </c>
      <c r="U735" s="57">
        <f>IFERROR(__xludf.DUMMYFUNCTION("""COMPUTED_VALUE"""),0.5614035087719299)</f>
        <v>0.5614035088</v>
      </c>
      <c r="V735" s="57">
        <f>IFERROR(__xludf.DUMMYFUNCTION("""COMPUTED_VALUE"""),1.3771929824561404)</f>
        <v>1.377192982</v>
      </c>
      <c r="W735" s="57">
        <f>IFERROR(__xludf.DUMMYFUNCTION("""COMPUTED_VALUE"""),2.7280701754385968)</f>
        <v>2.728070175</v>
      </c>
      <c r="X735" s="31">
        <f>IFERROR(__xludf.DUMMYFUNCTION("""COMPUTED_VALUE"""),357.93032720190064)</f>
        <v>357.9303272</v>
      </c>
      <c r="Y735" s="57">
        <f>IFERROR(__xludf.DUMMYFUNCTION("""COMPUTED_VALUE"""),0.8190357904193304)</f>
        <v>0.8190357904</v>
      </c>
      <c r="Z735" s="57">
        <f>IFERROR(__xludf.DUMMYFUNCTION("""COMPUTED_VALUE"""),0.600645683218373)</f>
        <v>0.6006456832</v>
      </c>
      <c r="AA735" s="57">
        <f>IFERROR(__xludf.DUMMYFUNCTION("""COMPUTED_VALUE"""),1.3680281502480043)</f>
        <v>1.36802815</v>
      </c>
      <c r="AB735" s="57">
        <f>IFERROR(__xludf.DUMMYFUNCTION("""COMPUTED_VALUE"""),2.678924420283313)</f>
        <v>2.67892442</v>
      </c>
      <c r="AC735" s="31">
        <f>IFERROR(__xludf.DUMMYFUNCTION("""COMPUTED_VALUE"""),352.69957996989064)</f>
        <v>352.69958</v>
      </c>
      <c r="AD735" s="57">
        <f>IFERROR(__xludf.DUMMYFUNCTION("""COMPUTED_VALUE"""),0.7866275304247016)</f>
        <v>0.7866275304</v>
      </c>
      <c r="AE735" s="57">
        <f>IFERROR(__xludf.DUMMYFUNCTION("""COMPUTED_VALUE"""),0.5757513918840607)</f>
        <v>0.5757513919</v>
      </c>
      <c r="AF735" s="57">
        <f>IFERROR(__xludf.DUMMYFUNCTION("""COMPUTED_VALUE"""),1.3800329899152874)</f>
        <v>1.38003299</v>
      </c>
      <c r="AG735" s="57">
        <f>IFERROR(__xludf.DUMMYFUNCTION("""COMPUTED_VALUE"""),2.6512830095931257)</f>
        <v>2.65128301</v>
      </c>
      <c r="AH735" s="57">
        <f>IFERROR(__xludf.DUMMYFUNCTION("""COMPUTED_VALUE"""),1.1185902626341482)</f>
        <v>1.118590263</v>
      </c>
      <c r="AI735" s="57">
        <f>IFERROR(__xludf.DUMMYFUNCTION("""COMPUTED_VALUE"""),1.2712496846634624)</f>
        <v>1.271249685</v>
      </c>
      <c r="AJ735" s="57">
        <f>IFERROR(__xludf.DUMMYFUNCTION("""COMPUTED_VALUE"""),1.142671552541528)</f>
        <v>1.142671553</v>
      </c>
      <c r="AK735" s="57">
        <f>IFERROR(__xludf.DUMMYFUNCTION("""COMPUTED_VALUE"""),1.1059994946695995)</f>
        <v>1.105999495</v>
      </c>
      <c r="AL735" s="57">
        <f>IFERROR(__xludf.DUMMYFUNCTION("""COMPUTED_VALUE"""),1.1116762753686351)</f>
        <v>1.111676275</v>
      </c>
      <c r="AM735" s="57">
        <f>IFERROR(__xludf.DUMMYFUNCTION("""COMPUTED_VALUE"""),0.9850736093098885)</f>
        <v>0.9850736093</v>
      </c>
      <c r="AN735" s="57">
        <f>IFERROR(__xludf.DUMMYFUNCTION("""COMPUTED_VALUE"""),0.9853263475170869)</f>
        <v>0.9853263475</v>
      </c>
      <c r="AO735" s="57">
        <f>IFERROR(__xludf.DUMMYFUNCTION("""COMPUTED_VALUE"""),0.9346666836325601)</f>
        <v>0.9346666836</v>
      </c>
      <c r="AP735" s="35">
        <f>IFERROR(__xludf.DUMMYFUNCTION("""COMPUTED_VALUE"""),1.0066993008926568)</f>
        <v>1.006699301</v>
      </c>
      <c r="AQ735" s="57">
        <f>IFERROR(__xludf.DUMMYFUNCTION("""COMPUTED_VALUE"""),1.0183453309780521)</f>
        <v>1.018345331</v>
      </c>
      <c r="AR735" s="36" t="b">
        <f>IFERROR(__xludf.DUMMYFUNCTION("""COMPUTED_VALUE"""),TRUE)</f>
        <v>1</v>
      </c>
      <c r="AS735" s="57"/>
      <c r="AT735" s="37"/>
      <c r="AU735" s="30"/>
      <c r="AV735" s="30"/>
      <c r="AW735" s="30"/>
      <c r="AX735" s="30"/>
      <c r="AY735" s="30"/>
      <c r="AZ735" s="30"/>
    </row>
    <row r="736">
      <c r="A736" s="30" t="str">
        <f>IFERROR(__xludf.DUMMYFUNCTION("""COMPUTED_VALUE"""),"Veteran")</f>
        <v>Veteran</v>
      </c>
      <c r="B736" s="30" t="str">
        <f>IFERROR(__xludf.DUMMYFUNCTION("""COMPUTED_VALUE"""),"RSC005257")</f>
        <v>RSC005257</v>
      </c>
      <c r="C736" s="30" t="str">
        <f>IFERROR(__xludf.DUMMYFUNCTION("""COMPUTED_VALUE"""),"P0pfgf")</f>
        <v>P0pfgf</v>
      </c>
      <c r="D736" s="31" t="str">
        <f>IFERROR(__xludf.DUMMYFUNCTION("""COMPUTED_VALUE"""),"Mosaic Maestros")</f>
        <v>Mosaic Maestros</v>
      </c>
      <c r="E736" s="31">
        <f>IFERROR(__xludf.DUMMYFUNCTION("""COMPUTED_VALUE"""),74.45013114677533)</f>
        <v>74.45013115</v>
      </c>
      <c r="F736" s="31">
        <f>IFERROR(__xludf.DUMMYFUNCTION("""COMPUTED_VALUE"""),6.096227805784986)</f>
        <v>6.096227806</v>
      </c>
      <c r="G736" s="31">
        <f>IFERROR(__xludf.DUMMYFUNCTION("""COMPUTED_VALUE"""),60.43609759480035)</f>
        <v>60.43609759</v>
      </c>
      <c r="H736" s="31">
        <f>IFERROR(__xludf.DUMMYFUNCTION("""COMPUTED_VALUE"""),2.9570324813836213)</f>
        <v>2.957032481</v>
      </c>
      <c r="I736" s="54">
        <f>IFERROR(__xludf.DUMMYFUNCTION("""COMPUTED_VALUE"""),41.0)</f>
        <v>41</v>
      </c>
      <c r="J736" s="55">
        <f>IFERROR(__xludf.DUMMYFUNCTION("""COMPUTED_VALUE"""),24.0)</f>
        <v>24</v>
      </c>
      <c r="K736" s="54">
        <f>IFERROR(__xludf.DUMMYFUNCTION("""COMPUTED_VALUE"""),17.0)</f>
        <v>17</v>
      </c>
      <c r="L736" s="56">
        <f>IFERROR(__xludf.DUMMYFUNCTION("""COMPUTED_VALUE"""),0.5853658536585366)</f>
        <v>0.5853658537</v>
      </c>
      <c r="M736" s="56">
        <f>IFERROR(__xludf.DUMMYFUNCTION("""COMPUTED_VALUE"""),0.25757575757575757)</f>
        <v>0.2575757576</v>
      </c>
      <c r="N736" s="31">
        <f>IFERROR(__xludf.DUMMYFUNCTION("""COMPUTED_VALUE"""),377.3170731707317)</f>
        <v>377.3170732</v>
      </c>
      <c r="O736" s="57">
        <f>IFERROR(__xludf.DUMMYFUNCTION("""COMPUTED_VALUE"""),0.8292682926829268)</f>
        <v>0.8292682927</v>
      </c>
      <c r="P736" s="57">
        <f>IFERROR(__xludf.DUMMYFUNCTION("""COMPUTED_VALUE"""),0.8780487804878049)</f>
        <v>0.8780487805</v>
      </c>
      <c r="Q736" s="57">
        <f>IFERROR(__xludf.DUMMYFUNCTION("""COMPUTED_VALUE"""),1.4146341463414633)</f>
        <v>1.414634146</v>
      </c>
      <c r="R736" s="57">
        <f>IFERROR(__xludf.DUMMYFUNCTION("""COMPUTED_VALUE"""),3.2195121951219514)</f>
        <v>3.219512195</v>
      </c>
      <c r="S736" s="31">
        <f>IFERROR(__xludf.DUMMYFUNCTION("""COMPUTED_VALUE"""),373.6260162601626)</f>
        <v>373.6260163</v>
      </c>
      <c r="T736" s="57">
        <f>IFERROR(__xludf.DUMMYFUNCTION("""COMPUTED_VALUE"""),0.8211382113821137)</f>
        <v>0.8211382114</v>
      </c>
      <c r="U736" s="57">
        <f>IFERROR(__xludf.DUMMYFUNCTION("""COMPUTED_VALUE"""),0.5934959349593496)</f>
        <v>0.593495935</v>
      </c>
      <c r="V736" s="57">
        <f>IFERROR(__xludf.DUMMYFUNCTION("""COMPUTED_VALUE"""),1.5284552845528456)</f>
        <v>1.528455285</v>
      </c>
      <c r="W736" s="57">
        <f>IFERROR(__xludf.DUMMYFUNCTION("""COMPUTED_VALUE"""),2.5447154471544726)</f>
        <v>2.544715447</v>
      </c>
      <c r="X736" s="31">
        <f>IFERROR(__xludf.DUMMYFUNCTION("""COMPUTED_VALUE"""),354.7328716994595)</f>
        <v>354.7328717</v>
      </c>
      <c r="Y736" s="57">
        <f>IFERROR(__xludf.DUMMYFUNCTION("""COMPUTED_VALUE"""),0.787627033659244)</f>
        <v>0.7876270337</v>
      </c>
      <c r="Z736" s="57">
        <f>IFERROR(__xludf.DUMMYFUNCTION("""COMPUTED_VALUE"""),0.5874720298050133)</f>
        <v>0.5874720298</v>
      </c>
      <c r="AA736" s="57">
        <f>IFERROR(__xludf.DUMMYFUNCTION("""COMPUTED_VALUE"""),1.398803885052322)</f>
        <v>1.398803885</v>
      </c>
      <c r="AB736" s="57">
        <f>IFERROR(__xludf.DUMMYFUNCTION("""COMPUTED_VALUE"""),2.609401925083313)</f>
        <v>2.609401925</v>
      </c>
      <c r="AC736" s="31">
        <f>IFERROR(__xludf.DUMMYFUNCTION("""COMPUTED_VALUE"""),360.12292286351567)</f>
        <v>360.1229229</v>
      </c>
      <c r="AD736" s="57">
        <f>IFERROR(__xludf.DUMMYFUNCTION("""COMPUTED_VALUE"""),0.825189172922246)</f>
        <v>0.8251891729</v>
      </c>
      <c r="AE736" s="57">
        <f>IFERROR(__xludf.DUMMYFUNCTION("""COMPUTED_VALUE"""),0.5914069582967146)</f>
        <v>0.5914069583</v>
      </c>
      <c r="AF736" s="57">
        <f>IFERROR(__xludf.DUMMYFUNCTION("""COMPUTED_VALUE"""),1.3606754530362493)</f>
        <v>1.360675453</v>
      </c>
      <c r="AG736" s="57">
        <f>IFERROR(__xludf.DUMMYFUNCTION("""COMPUTED_VALUE"""),2.7095831375911015)</f>
        <v>2.709583138</v>
      </c>
      <c r="AH736" s="57">
        <f>IFERROR(__xludf.DUMMYFUNCTION("""COMPUTED_VALUE"""),1.0477452259092446)</f>
        <v>1.047745226</v>
      </c>
      <c r="AI736" s="57">
        <f>IFERROR(__xludf.DUMMYFUNCTION("""COMPUTED_VALUE"""),1.0049432540980092)</f>
        <v>1.004943254</v>
      </c>
      <c r="AJ736" s="57">
        <f>IFERROR(__xludf.DUMMYFUNCTION("""COMPUTED_VALUE"""),1.4846777978680448)</f>
        <v>1.484677798</v>
      </c>
      <c r="AK736" s="57">
        <f>IFERROR(__xludf.DUMMYFUNCTION("""COMPUTED_VALUE"""),1.0396558144595092)</f>
        <v>1.039655814</v>
      </c>
      <c r="AL736" s="57">
        <f>IFERROR(__xludf.DUMMYFUNCTION("""COMPUTED_VALUE"""),1.1881946526963523)</f>
        <v>1.188194653</v>
      </c>
      <c r="AM736" s="57">
        <f>IFERROR(__xludf.DUMMYFUNCTION("""COMPUTED_VALUE"""),1.053260202445264)</f>
        <v>1.053260202</v>
      </c>
      <c r="AN736" s="57">
        <f>IFERROR(__xludf.DUMMYFUNCTION("""COMPUTED_VALUE"""),1.0425470131048953)</f>
        <v>1.042547013</v>
      </c>
      <c r="AO736" s="57">
        <f>IFERROR(__xludf.DUMMYFUNCTION("""COMPUTED_VALUE"""),1.0102539437602427)</f>
        <v>1.010253944</v>
      </c>
      <c r="AP736" s="35">
        <f>IFERROR(__xludf.DUMMYFUNCTION("""COMPUTED_VALUE"""),1.092687331573771)</f>
        <v>1.092687332</v>
      </c>
      <c r="AQ736" s="57">
        <f>IFERROR(__xludf.DUMMYFUNCTION("""COMPUTED_VALUE"""),0.9752102283258739)</f>
        <v>0.9752102283</v>
      </c>
      <c r="AR736" s="36" t="b">
        <f>IFERROR(__xludf.DUMMYFUNCTION("""COMPUTED_VALUE"""),TRUE)</f>
        <v>1</v>
      </c>
      <c r="AS736" s="57"/>
      <c r="AT736" s="37"/>
      <c r="AU736" s="30"/>
      <c r="AV736" s="30"/>
      <c r="AW736" s="30"/>
      <c r="AX736" s="30"/>
      <c r="AY736" s="30"/>
      <c r="AZ736" s="30"/>
    </row>
    <row r="737">
      <c r="A737" s="30" t="str">
        <f>IFERROR(__xludf.DUMMYFUNCTION("""COMPUTED_VALUE"""),"Veteran")</f>
        <v>Veteran</v>
      </c>
      <c r="B737" s="30" t="str">
        <f>IFERROR(__xludf.DUMMYFUNCTION("""COMPUTED_VALUE"""),"RSC007655")</f>
        <v>RSC007655</v>
      </c>
      <c r="C737" s="30" t="str">
        <f>IFERROR(__xludf.DUMMYFUNCTION("""COMPUTED_VALUE"""),"Dx Geo xD")</f>
        <v>Dx Geo xD</v>
      </c>
      <c r="D737" s="31" t="str">
        <f>IFERROR(__xludf.DUMMYFUNCTION("""COMPUTED_VALUE"""),"Water")</f>
        <v>Water</v>
      </c>
      <c r="E737" s="31">
        <f>IFERROR(__xludf.DUMMYFUNCTION("""COMPUTED_VALUE"""),74.3623343053931)</f>
        <v>74.36233431</v>
      </c>
      <c r="F737" s="31">
        <f>IFERROR(__xludf.DUMMYFUNCTION("""COMPUTED_VALUE"""),6.064067570366799)</f>
        <v>6.06406757</v>
      </c>
      <c r="G737" s="31">
        <f>IFERROR(__xludf.DUMMYFUNCTION("""COMPUTED_VALUE"""),65.0668004923517)</f>
        <v>65.06680049</v>
      </c>
      <c r="H737" s="31">
        <f>IFERROR(__xludf.DUMMYFUNCTION("""COMPUTED_VALUE"""),3.6581335287125962)</f>
        <v>3.658133529</v>
      </c>
      <c r="I737" s="54">
        <f>IFERROR(__xludf.DUMMYFUNCTION("""COMPUTED_VALUE"""),36.0)</f>
        <v>36</v>
      </c>
      <c r="J737" s="55">
        <f>IFERROR(__xludf.DUMMYFUNCTION("""COMPUTED_VALUE"""),20.0)</f>
        <v>20</v>
      </c>
      <c r="K737" s="54">
        <f>IFERROR(__xludf.DUMMYFUNCTION("""COMPUTED_VALUE"""),16.0)</f>
        <v>16</v>
      </c>
      <c r="L737" s="56">
        <f>IFERROR(__xludf.DUMMYFUNCTION("""COMPUTED_VALUE"""),0.5555555555555556)</f>
        <v>0.5555555556</v>
      </c>
      <c r="M737" s="56">
        <f>IFERROR(__xludf.DUMMYFUNCTION("""COMPUTED_VALUE"""),0.3529411764705882)</f>
        <v>0.3529411765</v>
      </c>
      <c r="N737" s="31">
        <f>IFERROR(__xludf.DUMMYFUNCTION("""COMPUTED_VALUE"""),382.44444444444446)</f>
        <v>382.4444444</v>
      </c>
      <c r="O737" s="57">
        <f>IFERROR(__xludf.DUMMYFUNCTION("""COMPUTED_VALUE"""),1.0)</f>
        <v>1</v>
      </c>
      <c r="P737" s="57">
        <f>IFERROR(__xludf.DUMMYFUNCTION("""COMPUTED_VALUE"""),0.5277777777777778)</f>
        <v>0.5277777778</v>
      </c>
      <c r="Q737" s="57">
        <f>IFERROR(__xludf.DUMMYFUNCTION("""COMPUTED_VALUE"""),1.3333333333333333)</f>
        <v>1.333333333</v>
      </c>
      <c r="R737" s="57">
        <f>IFERROR(__xludf.DUMMYFUNCTION("""COMPUTED_VALUE"""),2.8333333333333335)</f>
        <v>2.833333333</v>
      </c>
      <c r="S737" s="31">
        <f>IFERROR(__xludf.DUMMYFUNCTION("""COMPUTED_VALUE"""),313.6666666666666)</f>
        <v>313.6666667</v>
      </c>
      <c r="T737" s="57">
        <f>IFERROR(__xludf.DUMMYFUNCTION("""COMPUTED_VALUE"""),0.6203703703703705)</f>
        <v>0.6203703704</v>
      </c>
      <c r="U737" s="57">
        <f>IFERROR(__xludf.DUMMYFUNCTION("""COMPUTED_VALUE"""),0.425925925925926)</f>
        <v>0.4259259259</v>
      </c>
      <c r="V737" s="57">
        <f>IFERROR(__xludf.DUMMYFUNCTION("""COMPUTED_VALUE"""),1.1666666666666665)</f>
        <v>1.166666667</v>
      </c>
      <c r="W737" s="57">
        <f>IFERROR(__xludf.DUMMYFUNCTION("""COMPUTED_VALUE"""),2.342592592592592)</f>
        <v>2.342592593</v>
      </c>
      <c r="X737" s="31">
        <f>IFERROR(__xludf.DUMMYFUNCTION("""COMPUTED_VALUE"""),356.0249802877037)</f>
        <v>356.0249803</v>
      </c>
      <c r="Y737" s="57">
        <f>IFERROR(__xludf.DUMMYFUNCTION("""COMPUTED_VALUE"""),0.8051115125384221)</f>
        <v>0.8051115125</v>
      </c>
      <c r="Z737" s="57">
        <f>IFERROR(__xludf.DUMMYFUNCTION("""COMPUTED_VALUE"""),0.5728313527180817)</f>
        <v>0.5728313527</v>
      </c>
      <c r="AA737" s="57">
        <f>IFERROR(__xludf.DUMMYFUNCTION("""COMPUTED_VALUE"""),1.31976296412713)</f>
        <v>1.319762964</v>
      </c>
      <c r="AB737" s="57">
        <f>IFERROR(__xludf.DUMMYFUNCTION("""COMPUTED_VALUE"""),2.576607169317894)</f>
        <v>2.576607169</v>
      </c>
      <c r="AC737" s="31">
        <f>IFERROR(__xludf.DUMMYFUNCTION("""COMPUTED_VALUE"""),359.2494462269516)</f>
        <v>359.2494462</v>
      </c>
      <c r="AD737" s="57">
        <f>IFERROR(__xludf.DUMMYFUNCTION("""COMPUTED_VALUE"""),0.8207438579066877)</f>
        <v>0.8207438579</v>
      </c>
      <c r="AE737" s="57">
        <f>IFERROR(__xludf.DUMMYFUNCTION("""COMPUTED_VALUE"""),0.5990846343850785)</f>
        <v>0.5990846344</v>
      </c>
      <c r="AF737" s="57">
        <f>IFERROR(__xludf.DUMMYFUNCTION("""COMPUTED_VALUE"""),1.3287314357955624)</f>
        <v>1.328731436</v>
      </c>
      <c r="AG737" s="57">
        <f>IFERROR(__xludf.DUMMYFUNCTION("""COMPUTED_VALUE"""),2.692710557188479)</f>
        <v>2.692710557</v>
      </c>
      <c r="AH737" s="57">
        <f>IFERROR(__xludf.DUMMYFUNCTION("""COMPUTED_VALUE"""),1.064565160673455)</f>
        <v>1.064565161</v>
      </c>
      <c r="AI737" s="57">
        <f>IFERROR(__xludf.DUMMYFUNCTION("""COMPUTED_VALUE"""),1.2184069248480351)</f>
        <v>1.218406925</v>
      </c>
      <c r="AJ737" s="57">
        <f>IFERROR(__xludf.DUMMYFUNCTION("""COMPUTED_VALUE"""),0.8809736512763466)</f>
        <v>0.8809736513</v>
      </c>
      <c r="AK737" s="57">
        <f>IFERROR(__xludf.DUMMYFUNCTION("""COMPUTED_VALUE"""),1.0034633767319696)</f>
        <v>1.003463377</v>
      </c>
      <c r="AL737" s="57">
        <f>IFERROR(__xludf.DUMMYFUNCTION("""COMPUTED_VALUE"""),1.0522235023624975)</f>
        <v>1.052223502</v>
      </c>
      <c r="AM737" s="57">
        <f>IFERROR(__xludf.DUMMYFUNCTION("""COMPUTED_VALUE"""),0.8810243214203469)</f>
        <v>0.8810243214</v>
      </c>
      <c r="AN737" s="57">
        <f>IFERROR(__xludf.DUMMYFUNCTION("""COMPUTED_VALUE"""),0.7705396838934964)</f>
        <v>0.7705396839</v>
      </c>
      <c r="AO737" s="57">
        <f>IFERROR(__xludf.DUMMYFUNCTION("""COMPUTED_VALUE"""),0.7435450659341702)</f>
        <v>0.7435450659</v>
      </c>
      <c r="AP737" s="35">
        <f>IFERROR(__xludf.DUMMYFUNCTION("""COMPUTED_VALUE"""),0.8839971255279777)</f>
        <v>0.8839971255</v>
      </c>
      <c r="AQ737" s="57">
        <f>IFERROR(__xludf.DUMMYFUNCTION("""COMPUTED_VALUE"""),0.9091772391570063)</f>
        <v>0.9091772392</v>
      </c>
      <c r="AR737" s="36" t="b">
        <f>IFERROR(__xludf.DUMMYFUNCTION("""COMPUTED_VALUE"""),TRUE)</f>
        <v>1</v>
      </c>
      <c r="AS737" s="57"/>
      <c r="AT737" s="37"/>
      <c r="AU737" s="30"/>
      <c r="AV737" s="30"/>
      <c r="AW737" s="30"/>
      <c r="AX737" s="30"/>
      <c r="AY737" s="30"/>
      <c r="AZ737" s="30"/>
    </row>
    <row r="738">
      <c r="A738" s="30" t="str">
        <f>IFERROR(__xludf.DUMMYFUNCTION("""COMPUTED_VALUE"""),"Veteran")</f>
        <v>Veteran</v>
      </c>
      <c r="B738" s="30" t="str">
        <f>IFERROR(__xludf.DUMMYFUNCTION("""COMPUTED_VALUE"""),"RSC007855")</f>
        <v>RSC007855</v>
      </c>
      <c r="C738" s="30" t="str">
        <f>IFERROR(__xludf.DUMMYFUNCTION("""COMPUTED_VALUE"""),"Dub_Dill")</f>
        <v>Dub_Dill</v>
      </c>
      <c r="D738" s="31" t="str">
        <f>IFERROR(__xludf.DUMMYFUNCTION("""COMPUTED_VALUE"""),"Legati")</f>
        <v>Legati</v>
      </c>
      <c r="E738" s="31">
        <f>IFERROR(__xludf.DUMMYFUNCTION("""COMPUTED_VALUE"""),73.9927898463994)</f>
        <v>73.99278985</v>
      </c>
      <c r="F738" s="31">
        <f>IFERROR(__xludf.DUMMYFUNCTION("""COMPUTED_VALUE"""),5.931191302329197)</f>
        <v>5.931191302</v>
      </c>
      <c r="G738" s="31">
        <f>IFERROR(__xludf.DUMMYFUNCTION("""COMPUTED_VALUE"""),49.47652960974334)</f>
        <v>49.47652961</v>
      </c>
      <c r="H738" s="31">
        <f>IFERROR(__xludf.DUMMYFUNCTION("""COMPUTED_VALUE"""),-2.033978706488515)</f>
        <v>-2.033978706</v>
      </c>
      <c r="I738" s="54">
        <f>IFERROR(__xludf.DUMMYFUNCTION("""COMPUTED_VALUE"""),28.0)</f>
        <v>28</v>
      </c>
      <c r="J738" s="55">
        <f>IFERROR(__xludf.DUMMYFUNCTION("""COMPUTED_VALUE"""),20.0)</f>
        <v>20</v>
      </c>
      <c r="K738" s="54">
        <f>IFERROR(__xludf.DUMMYFUNCTION("""COMPUTED_VALUE"""),8.0)</f>
        <v>8</v>
      </c>
      <c r="L738" s="56">
        <f>IFERROR(__xludf.DUMMYFUNCTION("""COMPUTED_VALUE"""),0.7142857142857143)</f>
        <v>0.7142857143</v>
      </c>
      <c r="M738" s="56">
        <f>IFERROR(__xludf.DUMMYFUNCTION("""COMPUTED_VALUE"""),0.3116883116883117)</f>
        <v>0.3116883117</v>
      </c>
      <c r="N738" s="31">
        <f>IFERROR(__xludf.DUMMYFUNCTION("""COMPUTED_VALUE"""),346.57142857142856)</f>
        <v>346.5714286</v>
      </c>
      <c r="O738" s="57">
        <f>IFERROR(__xludf.DUMMYFUNCTION("""COMPUTED_VALUE"""),0.8571428571428571)</f>
        <v>0.8571428571</v>
      </c>
      <c r="P738" s="57">
        <f>IFERROR(__xludf.DUMMYFUNCTION("""COMPUTED_VALUE"""),0.9285714285714286)</f>
        <v>0.9285714286</v>
      </c>
      <c r="Q738" s="57">
        <f>IFERROR(__xludf.DUMMYFUNCTION("""COMPUTED_VALUE"""),0.9285714285714286)</f>
        <v>0.9285714286</v>
      </c>
      <c r="R738" s="57">
        <f>IFERROR(__xludf.DUMMYFUNCTION("""COMPUTED_VALUE"""),2.75)</f>
        <v>2.75</v>
      </c>
      <c r="S738" s="31">
        <f>IFERROR(__xludf.DUMMYFUNCTION("""COMPUTED_VALUE"""),352.5476190476191)</f>
        <v>352.547619</v>
      </c>
      <c r="T738" s="57">
        <f>IFERROR(__xludf.DUMMYFUNCTION("""COMPUTED_VALUE"""),0.7857142857142858)</f>
        <v>0.7857142857</v>
      </c>
      <c r="U738" s="57">
        <f>IFERROR(__xludf.DUMMYFUNCTION("""COMPUTED_VALUE"""),0.5476190476190477)</f>
        <v>0.5476190476</v>
      </c>
      <c r="V738" s="57">
        <f>IFERROR(__xludf.DUMMYFUNCTION("""COMPUTED_VALUE"""),1.4285714285714286)</f>
        <v>1.428571429</v>
      </c>
      <c r="W738" s="57">
        <f>IFERROR(__xludf.DUMMYFUNCTION("""COMPUTED_VALUE"""),2.5714285714285703)</f>
        <v>2.571428571</v>
      </c>
      <c r="X738" s="31">
        <f>IFERROR(__xludf.DUMMYFUNCTION("""COMPUTED_VALUE"""),352.4278719136743)</f>
        <v>352.4278719</v>
      </c>
      <c r="Y738" s="57">
        <f>IFERROR(__xludf.DUMMYFUNCTION("""COMPUTED_VALUE"""),0.7900730826423124)</f>
        <v>0.7900730826</v>
      </c>
      <c r="Z738" s="57">
        <f>IFERROR(__xludf.DUMMYFUNCTION("""COMPUTED_VALUE"""),0.5926217364133216)</f>
        <v>0.5926217364</v>
      </c>
      <c r="AA738" s="57">
        <f>IFERROR(__xludf.DUMMYFUNCTION("""COMPUTED_VALUE"""),1.3104743538302226)</f>
        <v>1.310474354</v>
      </c>
      <c r="AB738" s="57">
        <f>IFERROR(__xludf.DUMMYFUNCTION("""COMPUTED_VALUE"""),2.6733259122844486)</f>
        <v>2.673325912</v>
      </c>
      <c r="AC738" s="31">
        <f>IFERROR(__xludf.DUMMYFUNCTION("""COMPUTED_VALUE"""),360.23821182041064)</f>
        <v>360.2382118</v>
      </c>
      <c r="AD738" s="57">
        <f>IFERROR(__xludf.DUMMYFUNCTION("""COMPUTED_VALUE"""),0.8026973644812319)</f>
        <v>0.8026973645</v>
      </c>
      <c r="AE738" s="57">
        <f>IFERROR(__xludf.DUMMYFUNCTION("""COMPUTED_VALUE"""),0.5925606141838957)</f>
        <v>0.5925606142</v>
      </c>
      <c r="AF738" s="57">
        <f>IFERROR(__xludf.DUMMYFUNCTION("""COMPUTED_VALUE"""),1.4136821120367842)</f>
        <v>1.413682112</v>
      </c>
      <c r="AG738" s="57">
        <f>IFERROR(__xludf.DUMMYFUNCTION("""COMPUTED_VALUE"""),2.6299239981100686)</f>
        <v>2.629923998</v>
      </c>
      <c r="AH738" s="57">
        <f>IFERROR(__xludf.DUMMYFUNCTION("""COMPUTED_VALUE"""),0.9620618168741205)</f>
        <v>0.9620618169</v>
      </c>
      <c r="AI738" s="57">
        <f>IFERROR(__xludf.DUMMYFUNCTION("""COMPUTED_VALUE"""),1.0678281692089675)</f>
        <v>1.067828169</v>
      </c>
      <c r="AJ738" s="57">
        <f>IFERROR(__xludf.DUMMYFUNCTION("""COMPUTED_VALUE"""),1.5670488492562131)</f>
        <v>1.567048849</v>
      </c>
      <c r="AK738" s="57">
        <f>IFERROR(__xludf.DUMMYFUNCTION("""COMPUTED_VALUE"""),0.6568459915175521)</f>
        <v>0.6568459915</v>
      </c>
      <c r="AL738" s="57">
        <f>IFERROR(__xludf.DUMMYFUNCTION("""COMPUTED_VALUE"""),1.045657593898615)</f>
        <v>1.045657594</v>
      </c>
      <c r="AM738" s="57">
        <f>IFERROR(__xludf.DUMMYFUNCTION("""COMPUTED_VALUE"""),1.000339777706271)</f>
        <v>1.000339778</v>
      </c>
      <c r="AN738" s="57">
        <f>IFERROR(__xludf.DUMMYFUNCTION("""COMPUTED_VALUE"""),0.9944830459057673)</f>
        <v>0.9944830459</v>
      </c>
      <c r="AO738" s="57">
        <f>IFERROR(__xludf.DUMMYFUNCTION("""COMPUTED_VALUE"""),0.9240616973203848)</f>
        <v>0.9240616973</v>
      </c>
      <c r="AP738" s="35">
        <f>IFERROR(__xludf.DUMMYFUNCTION("""COMPUTED_VALUE"""),1.090117806881176)</f>
        <v>1.090117807</v>
      </c>
      <c r="AQ738" s="57">
        <f>IFERROR(__xludf.DUMMYFUNCTION("""COMPUTED_VALUE"""),0.9618836819006465)</f>
        <v>0.9618836819</v>
      </c>
      <c r="AR738" s="36" t="b">
        <f>IFERROR(__xludf.DUMMYFUNCTION("""COMPUTED_VALUE"""),TRUE)</f>
        <v>1</v>
      </c>
      <c r="AS738" s="57"/>
      <c r="AT738" s="37"/>
      <c r="AU738" s="30"/>
      <c r="AV738" s="30"/>
      <c r="AW738" s="30"/>
      <c r="AX738" s="30"/>
      <c r="AY738" s="30"/>
      <c r="AZ738" s="30"/>
    </row>
    <row r="739">
      <c r="A739" s="30" t="str">
        <f>IFERROR(__xludf.DUMMYFUNCTION("""COMPUTED_VALUE"""),"Veteran")</f>
        <v>Veteran</v>
      </c>
      <c r="B739" s="30" t="str">
        <f>IFERROR(__xludf.DUMMYFUNCTION("""COMPUTED_VALUE"""),"RSC008007")</f>
        <v>RSC008007</v>
      </c>
      <c r="C739" s="30" t="str">
        <f>IFERROR(__xludf.DUMMYFUNCTION("""COMPUTED_VALUE"""),"Frog_Boot")</f>
        <v>Frog_Boot</v>
      </c>
      <c r="D739" s="31" t="str">
        <f>IFERROR(__xludf.DUMMYFUNCTION("""COMPUTED_VALUE"""),"Folks")</f>
        <v>Folks</v>
      </c>
      <c r="E739" s="31">
        <f>IFERROR(__xludf.DUMMYFUNCTION("""COMPUTED_VALUE"""),73.51163674751241)</f>
        <v>73.51163675</v>
      </c>
      <c r="F739" s="31">
        <f>IFERROR(__xludf.DUMMYFUNCTION("""COMPUTED_VALUE"""),5.764040025458486)</f>
        <v>5.764040025</v>
      </c>
      <c r="G739" s="31">
        <f>IFERROR(__xludf.DUMMYFUNCTION("""COMPUTED_VALUE"""),76.5290426607637)</f>
        <v>76.52904266</v>
      </c>
      <c r="H739" s="31">
        <f>IFERROR(__xludf.DUMMYFUNCTION("""COMPUTED_VALUE"""),6.929612694906958)</f>
        <v>6.929612695</v>
      </c>
      <c r="I739" s="54">
        <f>IFERROR(__xludf.DUMMYFUNCTION("""COMPUTED_VALUE"""),46.0)</f>
        <v>46</v>
      </c>
      <c r="J739" s="55">
        <f>IFERROR(__xludf.DUMMYFUNCTION("""COMPUTED_VALUE"""),26.0)</f>
        <v>26</v>
      </c>
      <c r="K739" s="54">
        <f>IFERROR(__xludf.DUMMYFUNCTION("""COMPUTED_VALUE"""),20.0)</f>
        <v>20</v>
      </c>
      <c r="L739" s="56">
        <f>IFERROR(__xludf.DUMMYFUNCTION("""COMPUTED_VALUE"""),0.5652173913043478)</f>
        <v>0.5652173913</v>
      </c>
      <c r="M739" s="56">
        <f>IFERROR(__xludf.DUMMYFUNCTION("""COMPUTED_VALUE"""),0.3157894736842105)</f>
        <v>0.3157894737</v>
      </c>
      <c r="N739" s="31">
        <f>IFERROR(__xludf.DUMMYFUNCTION("""COMPUTED_VALUE"""),390.0217391304348)</f>
        <v>390.0217391</v>
      </c>
      <c r="O739" s="57">
        <f>IFERROR(__xludf.DUMMYFUNCTION("""COMPUTED_VALUE"""),0.9130434782608695)</f>
        <v>0.9130434783</v>
      </c>
      <c r="P739" s="57">
        <f>IFERROR(__xludf.DUMMYFUNCTION("""COMPUTED_VALUE"""),0.5652173913043478)</f>
        <v>0.5652173913</v>
      </c>
      <c r="Q739" s="57">
        <f>IFERROR(__xludf.DUMMYFUNCTION("""COMPUTED_VALUE"""),1.4130434782608696)</f>
        <v>1.413043478</v>
      </c>
      <c r="R739" s="57">
        <f>IFERROR(__xludf.DUMMYFUNCTION("""COMPUTED_VALUE"""),2.891304347826087)</f>
        <v>2.891304348</v>
      </c>
      <c r="S739" s="31">
        <f>IFERROR(__xludf.DUMMYFUNCTION("""COMPUTED_VALUE"""),323.49275362318843)</f>
        <v>323.4927536</v>
      </c>
      <c r="T739" s="57">
        <f>IFERROR(__xludf.DUMMYFUNCTION("""COMPUTED_VALUE"""),0.6304347826086957)</f>
        <v>0.6304347826</v>
      </c>
      <c r="U739" s="57">
        <f>IFERROR(__xludf.DUMMYFUNCTION("""COMPUTED_VALUE"""),0.5362318840579711)</f>
        <v>0.5362318841</v>
      </c>
      <c r="V739" s="57">
        <f>IFERROR(__xludf.DUMMYFUNCTION("""COMPUTED_VALUE"""),1.2753623188405796)</f>
        <v>1.275362319</v>
      </c>
      <c r="W739" s="57">
        <f>IFERROR(__xludf.DUMMYFUNCTION("""COMPUTED_VALUE"""),2.289855072463768)</f>
        <v>2.289855072</v>
      </c>
      <c r="X739" s="31">
        <f>IFERROR(__xludf.DUMMYFUNCTION("""COMPUTED_VALUE"""),361.45258575746374)</f>
        <v>361.4525858</v>
      </c>
      <c r="Y739" s="57">
        <f>IFERROR(__xludf.DUMMYFUNCTION("""COMPUTED_VALUE"""),0.8223507203253321)</f>
        <v>0.8223507203</v>
      </c>
      <c r="Z739" s="57">
        <f>IFERROR(__xludf.DUMMYFUNCTION("""COMPUTED_VALUE"""),0.5988864164047725)</f>
        <v>0.5988864164</v>
      </c>
      <c r="AA739" s="57">
        <f>IFERROR(__xludf.DUMMYFUNCTION("""COMPUTED_VALUE"""),1.383312028511411)</f>
        <v>1.383312029</v>
      </c>
      <c r="AB739" s="57">
        <f>IFERROR(__xludf.DUMMYFUNCTION("""COMPUTED_VALUE"""),2.6495290867490793)</f>
        <v>2.649529087</v>
      </c>
      <c r="AC739" s="31">
        <f>IFERROR(__xludf.DUMMYFUNCTION("""COMPUTED_VALUE"""),353.08610512860577)</f>
        <v>353.0861051</v>
      </c>
      <c r="AD739" s="57">
        <f>IFERROR(__xludf.DUMMYFUNCTION("""COMPUTED_VALUE"""),0.7897562738689785)</f>
        <v>0.7897562739</v>
      </c>
      <c r="AE739" s="57">
        <f>IFERROR(__xludf.DUMMYFUNCTION("""COMPUTED_VALUE"""),0.5664121504890749)</f>
        <v>0.5664121505</v>
      </c>
      <c r="AF739" s="57">
        <f>IFERROR(__xludf.DUMMYFUNCTION("""COMPUTED_VALUE"""),1.3437143275274626)</f>
        <v>1.343714328</v>
      </c>
      <c r="AG739" s="57">
        <f>IFERROR(__xludf.DUMMYFUNCTION("""COMPUTED_VALUE"""),2.6533408874946764)</f>
        <v>2.653340887</v>
      </c>
      <c r="AH739" s="57">
        <f>IFERROR(__xludf.DUMMYFUNCTION("""COMPUTED_VALUE"""),1.1046080076936924)</f>
        <v>1.104608008</v>
      </c>
      <c r="AI739" s="57">
        <f>IFERROR(__xludf.DUMMYFUNCTION("""COMPUTED_VALUE"""),1.1561079138857775)</f>
        <v>1.156107914</v>
      </c>
      <c r="AJ739" s="57">
        <f>IFERROR(__xludf.DUMMYFUNCTION("""COMPUTED_VALUE"""),0.9978906540340007)</f>
        <v>0.997890654</v>
      </c>
      <c r="AK739" s="57">
        <f>IFERROR(__xludf.DUMMYFUNCTION("""COMPUTED_VALUE"""),1.0515951562866626)</f>
        <v>1.051595156</v>
      </c>
      <c r="AL739" s="57">
        <f>IFERROR(__xludf.DUMMYFUNCTION("""COMPUTED_VALUE"""),1.0896844658946552)</f>
        <v>1.089684466</v>
      </c>
      <c r="AM739" s="57">
        <f>IFERROR(__xludf.DUMMYFUNCTION("""COMPUTED_VALUE"""),0.8949797743050412)</f>
        <v>0.8949797743</v>
      </c>
      <c r="AN739" s="57">
        <f>IFERROR(__xludf.DUMMYFUNCTION("""COMPUTED_VALUE"""),0.7666251965576049)</f>
        <v>0.7666251966</v>
      </c>
      <c r="AO739" s="57">
        <f>IFERROR(__xludf.DUMMYFUNCTION("""COMPUTED_VALUE"""),0.8953816105515828)</f>
        <v>0.8953816106</v>
      </c>
      <c r="AP739" s="35">
        <f>IFERROR(__xludf.DUMMYFUNCTION("""COMPUTED_VALUE"""),0.9219628634423163)</f>
        <v>0.9219628634</v>
      </c>
      <c r="AQ739" s="57">
        <f>IFERROR(__xludf.DUMMYFUNCTION("""COMPUTED_VALUE"""),0.8642498336462408)</f>
        <v>0.8642498336</v>
      </c>
      <c r="AR739" s="36" t="b">
        <f>IFERROR(__xludf.DUMMYFUNCTION("""COMPUTED_VALUE"""),TRUE)</f>
        <v>1</v>
      </c>
      <c r="AS739" s="57"/>
      <c r="AT739" s="37"/>
      <c r="AU739" s="30"/>
      <c r="AV739" s="30"/>
      <c r="AW739" s="30"/>
      <c r="AX739" s="30"/>
      <c r="AY739" s="30"/>
      <c r="AZ739" s="30"/>
    </row>
    <row r="740">
      <c r="A740" s="30" t="str">
        <f>IFERROR(__xludf.DUMMYFUNCTION("""COMPUTED_VALUE"""),"Veteran")</f>
        <v>Veteran</v>
      </c>
      <c r="B740" s="30" t="str">
        <f>IFERROR(__xludf.DUMMYFUNCTION("""COMPUTED_VALUE"""),"RSC007846")</f>
        <v>RSC007846</v>
      </c>
      <c r="C740" s="30" t="str">
        <f>IFERROR(__xludf.DUMMYFUNCTION("""COMPUTED_VALUE"""),"Lovegreyhounds")</f>
        <v>Lovegreyhounds</v>
      </c>
      <c r="D740" s="31" t="str">
        <f>IFERROR(__xludf.DUMMYFUNCTION("""COMPUTED_VALUE"""),"Water")</f>
        <v>Water</v>
      </c>
      <c r="E740" s="31">
        <f>IFERROR(__xludf.DUMMYFUNCTION("""COMPUTED_VALUE"""),73.27374088429994)</f>
        <v>73.27374088</v>
      </c>
      <c r="F740" s="31">
        <f>IFERROR(__xludf.DUMMYFUNCTION("""COMPUTED_VALUE"""),5.683762006302559)</f>
        <v>5.683762006</v>
      </c>
      <c r="G740" s="31">
        <f>IFERROR(__xludf.DUMMYFUNCTION("""COMPUTED_VALUE"""),65.66236300768136)</f>
        <v>65.66236301</v>
      </c>
      <c r="H740" s="31">
        <f>IFERROR(__xludf.DUMMYFUNCTION("""COMPUTED_VALUE"""),3.766544807245634)</f>
        <v>3.766544807</v>
      </c>
      <c r="I740" s="54">
        <f>IFERROR(__xludf.DUMMYFUNCTION("""COMPUTED_VALUE"""),37.0)</f>
        <v>37</v>
      </c>
      <c r="J740" s="55">
        <f>IFERROR(__xludf.DUMMYFUNCTION("""COMPUTED_VALUE"""),20.0)</f>
        <v>20</v>
      </c>
      <c r="K740" s="54">
        <f>IFERROR(__xludf.DUMMYFUNCTION("""COMPUTED_VALUE"""),17.0)</f>
        <v>17</v>
      </c>
      <c r="L740" s="56">
        <f>IFERROR(__xludf.DUMMYFUNCTION("""COMPUTED_VALUE"""),0.5405405405405406)</f>
        <v>0.5405405405</v>
      </c>
      <c r="M740" s="56">
        <f>IFERROR(__xludf.DUMMYFUNCTION("""COMPUTED_VALUE"""),0.2905982905982906)</f>
        <v>0.2905982906</v>
      </c>
      <c r="N740" s="31">
        <f>IFERROR(__xludf.DUMMYFUNCTION("""COMPUTED_VALUE"""),401.0)</f>
        <v>401</v>
      </c>
      <c r="O740" s="57">
        <f>IFERROR(__xludf.DUMMYFUNCTION("""COMPUTED_VALUE"""),0.918918918918919)</f>
        <v>0.9189189189</v>
      </c>
      <c r="P740" s="57">
        <f>IFERROR(__xludf.DUMMYFUNCTION("""COMPUTED_VALUE"""),0.5945945945945946)</f>
        <v>0.5945945946</v>
      </c>
      <c r="Q740" s="57">
        <f>IFERROR(__xludf.DUMMYFUNCTION("""COMPUTED_VALUE"""),1.5945945945945945)</f>
        <v>1.594594595</v>
      </c>
      <c r="R740" s="57">
        <f>IFERROR(__xludf.DUMMYFUNCTION("""COMPUTED_VALUE"""),3.1621621621621623)</f>
        <v>3.162162162</v>
      </c>
      <c r="S740" s="31">
        <f>IFERROR(__xludf.DUMMYFUNCTION("""COMPUTED_VALUE"""),333.1801801801801)</f>
        <v>333.1801802</v>
      </c>
      <c r="T740" s="57">
        <f>IFERROR(__xludf.DUMMYFUNCTION("""COMPUTED_VALUE"""),0.7207207207207207)</f>
        <v>0.7207207207</v>
      </c>
      <c r="U740" s="57">
        <f>IFERROR(__xludf.DUMMYFUNCTION("""COMPUTED_VALUE"""),0.5315315315315315)</f>
        <v>0.5315315315</v>
      </c>
      <c r="V740" s="57">
        <f>IFERROR(__xludf.DUMMYFUNCTION("""COMPUTED_VALUE"""),1.153153153153153)</f>
        <v>1.153153153</v>
      </c>
      <c r="W740" s="57">
        <f>IFERROR(__xludf.DUMMYFUNCTION("""COMPUTED_VALUE"""),2.6306306306306304)</f>
        <v>2.630630631</v>
      </c>
      <c r="X740" s="31">
        <f>IFERROR(__xludf.DUMMYFUNCTION("""COMPUTED_VALUE"""),355.7699365690965)</f>
        <v>355.7699366</v>
      </c>
      <c r="Y740" s="57">
        <f>IFERROR(__xludf.DUMMYFUNCTION("""COMPUTED_VALUE"""),0.8165711706527583)</f>
        <v>0.8165711707</v>
      </c>
      <c r="Z740" s="57">
        <f>IFERROR(__xludf.DUMMYFUNCTION("""COMPUTED_VALUE"""),0.6024319213773341)</f>
        <v>0.6024319214</v>
      </c>
      <c r="AA740" s="57">
        <f>IFERROR(__xludf.DUMMYFUNCTION("""COMPUTED_VALUE"""),1.2914817840489075)</f>
        <v>1.291481784</v>
      </c>
      <c r="AB740" s="57">
        <f>IFERROR(__xludf.DUMMYFUNCTION("""COMPUTED_VALUE"""),2.6242161530612536)</f>
        <v>2.624216153</v>
      </c>
      <c r="AC740" s="31">
        <f>IFERROR(__xludf.DUMMYFUNCTION("""COMPUTED_VALUE"""),361.760889231909)</f>
        <v>361.7608892</v>
      </c>
      <c r="AD740" s="57">
        <f>IFERROR(__xludf.DUMMYFUNCTION("""COMPUTED_VALUE"""),0.8239658053769209)</f>
        <v>0.8239658054</v>
      </c>
      <c r="AE740" s="57">
        <f>IFERROR(__xludf.DUMMYFUNCTION("""COMPUTED_VALUE"""),0.5913981936644614)</f>
        <v>0.5913981937</v>
      </c>
      <c r="AF740" s="57">
        <f>IFERROR(__xludf.DUMMYFUNCTION("""COMPUTED_VALUE"""),1.3661672535949643)</f>
        <v>1.366167254</v>
      </c>
      <c r="AG740" s="57">
        <f>IFERROR(__xludf.DUMMYFUNCTION("""COMPUTED_VALUE"""),2.6909230628131624)</f>
        <v>2.690923063</v>
      </c>
      <c r="AH740" s="57">
        <f>IFERROR(__xludf.DUMMYFUNCTION("""COMPUTED_VALUE"""),1.1084669789799653)</f>
        <v>1.108466979</v>
      </c>
      <c r="AI740" s="57">
        <f>IFERROR(__xludf.DUMMYFUNCTION("""COMPUTED_VALUE"""),1.115239143326539)</f>
        <v>1.115239143</v>
      </c>
      <c r="AJ740" s="57">
        <f>IFERROR(__xludf.DUMMYFUNCTION("""COMPUTED_VALUE"""),1.005404820245269)</f>
        <v>1.00540482</v>
      </c>
      <c r="AK740" s="57">
        <f>IFERROR(__xludf.DUMMYFUNCTION("""COMPUTED_VALUE"""),1.1672030568720932)</f>
        <v>1.167203057</v>
      </c>
      <c r="AL740" s="57">
        <f>IFERROR(__xludf.DUMMYFUNCTION("""COMPUTED_VALUE"""),1.1751217289937506)</f>
        <v>1.175121729</v>
      </c>
      <c r="AM740" s="57">
        <f>IFERROR(__xludf.DUMMYFUNCTION("""COMPUTED_VALUE"""),0.9365045944950745)</f>
        <v>0.9365045945</v>
      </c>
      <c r="AN740" s="57">
        <f>IFERROR(__xludf.DUMMYFUNCTION("""COMPUTED_VALUE"""),0.8826183762336163)</f>
        <v>0.8826183762</v>
      </c>
      <c r="AO740" s="57">
        <f>IFERROR(__xludf.DUMMYFUNCTION("""COMPUTED_VALUE"""),0.8823097061594881)</f>
        <v>0.8823097062</v>
      </c>
      <c r="AP740" s="35">
        <f>IFERROR(__xludf.DUMMYFUNCTION("""COMPUTED_VALUE"""),0.8928915354407228)</f>
        <v>0.8928915354</v>
      </c>
      <c r="AQ740" s="57">
        <f>IFERROR(__xludf.DUMMYFUNCTION("""COMPUTED_VALUE"""),1.002444340403093)</f>
        <v>1.00244434</v>
      </c>
      <c r="AR740" s="36" t="b">
        <f>IFERROR(__xludf.DUMMYFUNCTION("""COMPUTED_VALUE"""),TRUE)</f>
        <v>1</v>
      </c>
      <c r="AS740" s="57"/>
      <c r="AT740" s="37"/>
      <c r="AU740" s="30"/>
      <c r="AV740" s="30"/>
      <c r="AW740" s="30"/>
      <c r="AX740" s="30"/>
      <c r="AY740" s="30"/>
      <c r="AZ740" s="30"/>
    </row>
    <row r="741">
      <c r="A741" s="30" t="str">
        <f>IFERROR(__xludf.DUMMYFUNCTION("""COMPUTED_VALUE"""),"Veteran")</f>
        <v>Veteran</v>
      </c>
      <c r="B741" s="30" t="str">
        <f>IFERROR(__xludf.DUMMYFUNCTION("""COMPUTED_VALUE"""),"RSC003358")</f>
        <v>RSC003358</v>
      </c>
      <c r="C741" s="30" t="str">
        <f>IFERROR(__xludf.DUMMYFUNCTION("""COMPUTED_VALUE"""),"galacticcccc")</f>
        <v>galacticcccc</v>
      </c>
      <c r="D741" s="31" t="str">
        <f>IFERROR(__xludf.DUMMYFUNCTION("""COMPUTED_VALUE"""),"Rockin Revenants")</f>
        <v>Rockin Revenants</v>
      </c>
      <c r="E741" s="31">
        <f>IFERROR(__xludf.DUMMYFUNCTION("""COMPUTED_VALUE"""),71.77093926521638)</f>
        <v>71.77093927</v>
      </c>
      <c r="F741" s="31">
        <f>IFERROR(__xludf.DUMMYFUNCTION("""COMPUTED_VALUE"""),5.210465716697936)</f>
        <v>5.210465717</v>
      </c>
      <c r="G741" s="31">
        <f>IFERROR(__xludf.DUMMYFUNCTION("""COMPUTED_VALUE"""),54.544959039669386)</f>
        <v>54.54495904</v>
      </c>
      <c r="H741" s="31">
        <f>IFERROR(__xludf.DUMMYFUNCTION("""COMPUTED_VALUE"""),2.3371558325149677)</f>
        <v>2.337155833</v>
      </c>
      <c r="I741" s="54">
        <f>IFERROR(__xludf.DUMMYFUNCTION("""COMPUTED_VALUE"""),5.0)</f>
        <v>5</v>
      </c>
      <c r="J741" s="55">
        <f>IFERROR(__xludf.DUMMYFUNCTION("""COMPUTED_VALUE"""),3.0)</f>
        <v>3</v>
      </c>
      <c r="K741" s="54">
        <f>IFERROR(__xludf.DUMMYFUNCTION("""COMPUTED_VALUE"""),2.0)</f>
        <v>2</v>
      </c>
      <c r="L741" s="56">
        <f>IFERROR(__xludf.DUMMYFUNCTION("""COMPUTED_VALUE"""),0.6)</f>
        <v>0.6</v>
      </c>
      <c r="M741" s="56">
        <f>IFERROR(__xludf.DUMMYFUNCTION("""COMPUTED_VALUE"""),0.3333333333333333)</f>
        <v>0.3333333333</v>
      </c>
      <c r="N741" s="31">
        <f>IFERROR(__xludf.DUMMYFUNCTION("""COMPUTED_VALUE"""),392.0)</f>
        <v>392</v>
      </c>
      <c r="O741" s="57">
        <f>IFERROR(__xludf.DUMMYFUNCTION("""COMPUTED_VALUE"""),1.2)</f>
        <v>1.2</v>
      </c>
      <c r="P741" s="57">
        <f>IFERROR(__xludf.DUMMYFUNCTION("""COMPUTED_VALUE"""),0.6)</f>
        <v>0.6</v>
      </c>
      <c r="Q741" s="57">
        <f>IFERROR(__xludf.DUMMYFUNCTION("""COMPUTED_VALUE"""),0.8)</f>
        <v>0.8</v>
      </c>
      <c r="R741" s="57">
        <f>IFERROR(__xludf.DUMMYFUNCTION("""COMPUTED_VALUE"""),3.6)</f>
        <v>3.6</v>
      </c>
      <c r="S741" s="31">
        <f>IFERROR(__xludf.DUMMYFUNCTION("""COMPUTED_VALUE"""),359.1333333333333)</f>
        <v>359.1333333</v>
      </c>
      <c r="T741" s="57">
        <f>IFERROR(__xludf.DUMMYFUNCTION("""COMPUTED_VALUE"""),0.8)</f>
        <v>0.8</v>
      </c>
      <c r="U741" s="57">
        <f>IFERROR(__xludf.DUMMYFUNCTION("""COMPUTED_VALUE"""),0.5333333333333334)</f>
        <v>0.5333333333</v>
      </c>
      <c r="V741" s="57">
        <f>IFERROR(__xludf.DUMMYFUNCTION("""COMPUTED_VALUE"""),1.5333333333333332)</f>
        <v>1.533333333</v>
      </c>
      <c r="W741" s="57">
        <f>IFERROR(__xludf.DUMMYFUNCTION("""COMPUTED_VALUE"""),2.3333333333333335)</f>
        <v>2.333333333</v>
      </c>
      <c r="X741" s="31">
        <f>IFERROR(__xludf.DUMMYFUNCTION("""COMPUTED_VALUE"""),340.6991522366522)</f>
        <v>340.6991522</v>
      </c>
      <c r="Y741" s="57">
        <f>IFERROR(__xludf.DUMMYFUNCTION("""COMPUTED_VALUE"""),0.8621031746031745)</f>
        <v>0.8621031746</v>
      </c>
      <c r="Z741" s="57">
        <f>IFERROR(__xludf.DUMMYFUNCTION("""COMPUTED_VALUE"""),0.3562409812409812)</f>
        <v>0.3562409812</v>
      </c>
      <c r="AA741" s="57">
        <f>IFERROR(__xludf.DUMMYFUNCTION("""COMPUTED_VALUE"""),1.2669733044733045)</f>
        <v>1.266973304</v>
      </c>
      <c r="AB741" s="57">
        <f>IFERROR(__xludf.DUMMYFUNCTION("""COMPUTED_VALUE"""),2.5300324675324672)</f>
        <v>2.530032468</v>
      </c>
      <c r="AC741" s="31">
        <f>IFERROR(__xludf.DUMMYFUNCTION("""COMPUTED_VALUE"""),391.08404882154883)</f>
        <v>391.0840488</v>
      </c>
      <c r="AD741" s="57">
        <f>IFERROR(__xludf.DUMMYFUNCTION("""COMPUTED_VALUE"""),0.9677008177008176)</f>
        <v>0.9677008177</v>
      </c>
      <c r="AE741" s="57">
        <f>IFERROR(__xludf.DUMMYFUNCTION("""COMPUTED_VALUE"""),0.762818662818663)</f>
        <v>0.7628186628</v>
      </c>
      <c r="AF741" s="57">
        <f>IFERROR(__xludf.DUMMYFUNCTION("""COMPUTED_VALUE"""),1.3975288600288602)</f>
        <v>1.39752886</v>
      </c>
      <c r="AG741" s="57">
        <f>IFERROR(__xludf.DUMMYFUNCTION("""COMPUTED_VALUE"""),3.0062770562770558)</f>
        <v>3.006277056</v>
      </c>
      <c r="AH741" s="57">
        <f>IFERROR(__xludf.DUMMYFUNCTION("""COMPUTED_VALUE"""),1.0023420826832778)</f>
        <v>1.002342083</v>
      </c>
      <c r="AI741" s="57">
        <f>IFERROR(__xludf.DUMMYFUNCTION("""COMPUTED_VALUE"""),1.2400526878246392)</f>
        <v>1.240052688</v>
      </c>
      <c r="AJ741" s="57">
        <f>IFERROR(__xludf.DUMMYFUNCTION("""COMPUTED_VALUE"""),0.7865565294154737)</f>
        <v>0.7865565294</v>
      </c>
      <c r="AK741" s="57">
        <f>IFERROR(__xludf.DUMMYFUNCTION("""COMPUTED_VALUE"""),0.5724389834664877)</f>
        <v>0.5724389835</v>
      </c>
      <c r="AL741" s="57">
        <f>IFERROR(__xludf.DUMMYFUNCTION("""COMPUTED_VALUE"""),1.1974944200446398)</f>
        <v>1.19749442</v>
      </c>
      <c r="AM741" s="57">
        <f>IFERROR(__xludf.DUMMYFUNCTION("""COMPUTED_VALUE"""),1.0541069180115734)</f>
        <v>1.054106918</v>
      </c>
      <c r="AN741" s="57">
        <f>IFERROR(__xludf.DUMMYFUNCTION("""COMPUTED_VALUE"""),0.927963176064442)</f>
        <v>0.9279631761</v>
      </c>
      <c r="AO741" s="57">
        <f>IFERROR(__xludf.DUMMYFUNCTION("""COMPUTED_VALUE"""),1.4971139240506335)</f>
        <v>1.497113924</v>
      </c>
      <c r="AP741" s="35">
        <f>IFERROR(__xludf.DUMMYFUNCTION("""COMPUTED_VALUE"""),1.2102333395025697)</f>
        <v>1.21023334</v>
      </c>
      <c r="AQ741" s="57">
        <f>IFERROR(__xludf.DUMMYFUNCTION("""COMPUTED_VALUE"""),0.9222543043524758)</f>
        <v>0.9222543044</v>
      </c>
      <c r="AR741" s="36" t="b">
        <f>IFERROR(__xludf.DUMMYFUNCTION("""COMPUTED_VALUE"""),TRUE)</f>
        <v>1</v>
      </c>
      <c r="AS741" s="57"/>
      <c r="AT741" s="37"/>
      <c r="AU741" s="30"/>
      <c r="AV741" s="30"/>
      <c r="AW741" s="30"/>
      <c r="AX741" s="30"/>
      <c r="AY741" s="30"/>
      <c r="AZ741" s="30"/>
    </row>
    <row r="742">
      <c r="A742" s="30" t="str">
        <f>IFERROR(__xludf.DUMMYFUNCTION("""COMPUTED_VALUE"""),"Veteran")</f>
        <v>Veteran</v>
      </c>
      <c r="B742" s="30" t="str">
        <f>IFERROR(__xludf.DUMMYFUNCTION("""COMPUTED_VALUE"""),"RSC006424")</f>
        <v>RSC006424</v>
      </c>
      <c r="C742" s="30" t="str">
        <f>IFERROR(__xludf.DUMMYFUNCTION("""COMPUTED_VALUE"""),"TTV Ravenshunter")</f>
        <v>TTV Ravenshunter</v>
      </c>
      <c r="D742" s="31" t="str">
        <f>IFERROR(__xludf.DUMMYFUNCTION("""COMPUTED_VALUE"""),"Azalea")</f>
        <v>Azalea</v>
      </c>
      <c r="E742" s="31">
        <f>IFERROR(__xludf.DUMMYFUNCTION("""COMPUTED_VALUE"""),71.11779508984824)</f>
        <v>71.11779509</v>
      </c>
      <c r="F742" s="31">
        <f>IFERROR(__xludf.DUMMYFUNCTION("""COMPUTED_VALUE"""),5.021696647947568)</f>
        <v>5.021696648</v>
      </c>
      <c r="G742" s="31">
        <f>IFERROR(__xludf.DUMMYFUNCTION("""COMPUTED_VALUE"""),59.47174342014011)</f>
        <v>59.47174342</v>
      </c>
      <c r="H742" s="31">
        <f>IFERROR(__xludf.DUMMYFUNCTION("""COMPUTED_VALUE"""),2.8377464615237358)</f>
        <v>2.837746462</v>
      </c>
      <c r="I742" s="54">
        <f>IFERROR(__xludf.DUMMYFUNCTION("""COMPUTED_VALUE"""),19.0)</f>
        <v>19</v>
      </c>
      <c r="J742" s="55">
        <f>IFERROR(__xludf.DUMMYFUNCTION("""COMPUTED_VALUE"""),7.0)</f>
        <v>7</v>
      </c>
      <c r="K742" s="54">
        <f>IFERROR(__xludf.DUMMYFUNCTION("""COMPUTED_VALUE"""),12.0)</f>
        <v>12</v>
      </c>
      <c r="L742" s="56">
        <f>IFERROR(__xludf.DUMMYFUNCTION("""COMPUTED_VALUE"""),0.3684210526315789)</f>
        <v>0.3684210526</v>
      </c>
      <c r="M742" s="56">
        <f>IFERROR(__xludf.DUMMYFUNCTION("""COMPUTED_VALUE"""),0.3548387096774194)</f>
        <v>0.3548387097</v>
      </c>
      <c r="N742" s="31">
        <f>IFERROR(__xludf.DUMMYFUNCTION("""COMPUTED_VALUE"""),392.3157894736842)</f>
        <v>392.3157895</v>
      </c>
      <c r="O742" s="57">
        <f>IFERROR(__xludf.DUMMYFUNCTION("""COMPUTED_VALUE"""),1.1578947368421053)</f>
        <v>1.157894737</v>
      </c>
      <c r="P742" s="57">
        <f>IFERROR(__xludf.DUMMYFUNCTION("""COMPUTED_VALUE"""),0.3684210526315789)</f>
        <v>0.3684210526</v>
      </c>
      <c r="Q742" s="57">
        <f>IFERROR(__xludf.DUMMYFUNCTION("""COMPUTED_VALUE"""),1.2105263157894737)</f>
        <v>1.210526316</v>
      </c>
      <c r="R742" s="57">
        <f>IFERROR(__xludf.DUMMYFUNCTION("""COMPUTED_VALUE"""),3.263157894736842)</f>
        <v>3.263157895</v>
      </c>
      <c r="S742" s="31">
        <f>IFERROR(__xludf.DUMMYFUNCTION("""COMPUTED_VALUE"""),383.17543859649123)</f>
        <v>383.1754386</v>
      </c>
      <c r="T742" s="57">
        <f>IFERROR(__xludf.DUMMYFUNCTION("""COMPUTED_VALUE"""),1.0350877192982457)</f>
        <v>1.035087719</v>
      </c>
      <c r="U742" s="57">
        <f>IFERROR(__xludf.DUMMYFUNCTION("""COMPUTED_VALUE"""),0.6842105263157894)</f>
        <v>0.6842105263</v>
      </c>
      <c r="V742" s="57">
        <f>IFERROR(__xludf.DUMMYFUNCTION("""COMPUTED_VALUE"""),1.1578947368421053)</f>
        <v>1.157894737</v>
      </c>
      <c r="W742" s="57">
        <f>IFERROR(__xludf.DUMMYFUNCTION("""COMPUTED_VALUE"""),3.263157894736842)</f>
        <v>3.263157895</v>
      </c>
      <c r="X742" s="31">
        <f>IFERROR(__xludf.DUMMYFUNCTION("""COMPUTED_VALUE"""),379.15165661223637)</f>
        <v>379.1516566</v>
      </c>
      <c r="Y742" s="57">
        <f>IFERROR(__xludf.DUMMYFUNCTION("""COMPUTED_VALUE"""),0.9244739515097719)</f>
        <v>0.9244739515</v>
      </c>
      <c r="Z742" s="57">
        <f>IFERROR(__xludf.DUMMYFUNCTION("""COMPUTED_VALUE"""),0.6620481912350759)</f>
        <v>0.6620481912</v>
      </c>
      <c r="AA742" s="57">
        <f>IFERROR(__xludf.DUMMYFUNCTION("""COMPUTED_VALUE"""),1.3245071641032076)</f>
        <v>1.324507164</v>
      </c>
      <c r="AB742" s="57">
        <f>IFERROR(__xludf.DUMMYFUNCTION("""COMPUTED_VALUE"""),2.968197294648887)</f>
        <v>2.968197295</v>
      </c>
      <c r="AC742" s="31">
        <f>IFERROR(__xludf.DUMMYFUNCTION("""COMPUTED_VALUE"""),359.32283920450703)</f>
        <v>359.3228392</v>
      </c>
      <c r="AD742" s="57">
        <f>IFERROR(__xludf.DUMMYFUNCTION("""COMPUTED_VALUE"""),0.7615363499614363)</f>
        <v>0.76153635</v>
      </c>
      <c r="AE742" s="57">
        <f>IFERROR(__xludf.DUMMYFUNCTION("""COMPUTED_VALUE"""),0.5593718846983807)</f>
        <v>0.5593718847</v>
      </c>
      <c r="AF742" s="57">
        <f>IFERROR(__xludf.DUMMYFUNCTION("""COMPUTED_VALUE"""),1.5176234475081856)</f>
        <v>1.517623448</v>
      </c>
      <c r="AG742" s="57">
        <f>IFERROR(__xludf.DUMMYFUNCTION("""COMPUTED_VALUE"""),2.541376633415455)</f>
        <v>2.541376633</v>
      </c>
      <c r="AH742" s="57">
        <f>IFERROR(__xludf.DUMMYFUNCTION("""COMPUTED_VALUE"""),1.0918197973227062)</f>
        <v>1.091819797</v>
      </c>
      <c r="AI742" s="57">
        <f>IFERROR(__xludf.DUMMYFUNCTION("""COMPUTED_VALUE"""),1.5204720521886321)</f>
        <v>1.520472052</v>
      </c>
      <c r="AJ742" s="57">
        <f>IFERROR(__xludf.DUMMYFUNCTION("""COMPUTED_VALUE"""),0.6586334828577155)</f>
        <v>0.6586334829</v>
      </c>
      <c r="AK742" s="57">
        <f>IFERROR(__xludf.DUMMYFUNCTION("""COMPUTED_VALUE"""),0.7976460285830846)</f>
        <v>0.7976460286</v>
      </c>
      <c r="AL742" s="57">
        <f>IFERROR(__xludf.DUMMYFUNCTION("""COMPUTED_VALUE"""),1.284011921661276)</f>
        <v>1.284011922</v>
      </c>
      <c r="AM742" s="57">
        <f>IFERROR(__xludf.DUMMYFUNCTION("""COMPUTED_VALUE"""),1.0106125923864024)</f>
        <v>1.010612592</v>
      </c>
      <c r="AN742" s="57">
        <f>IFERROR(__xludf.DUMMYFUNCTION("""COMPUTED_VALUE"""),1.1196504970289634)</f>
        <v>1.119650497</v>
      </c>
      <c r="AO742" s="57">
        <f>IFERROR(__xludf.DUMMYFUNCTION("""COMPUTED_VALUE"""),1.033475410663639)</f>
        <v>1.033475411</v>
      </c>
      <c r="AP742" s="35">
        <f>IFERROR(__xludf.DUMMYFUNCTION("""COMPUTED_VALUE"""),0.8742079833340036)</f>
        <v>0.8742079833</v>
      </c>
      <c r="AQ742" s="57">
        <f>IFERROR(__xludf.DUMMYFUNCTION("""COMPUTED_VALUE"""),1.0993736503364229)</f>
        <v>1.09937365</v>
      </c>
      <c r="AR742" s="36" t="b">
        <f>IFERROR(__xludf.DUMMYFUNCTION("""COMPUTED_VALUE"""),TRUE)</f>
        <v>1</v>
      </c>
      <c r="AS742" s="57"/>
      <c r="AT742" s="37"/>
      <c r="AU742" s="30"/>
      <c r="AV742" s="30"/>
      <c r="AW742" s="30"/>
      <c r="AX742" s="30"/>
      <c r="AY742" s="30"/>
      <c r="AZ742" s="30"/>
    </row>
    <row r="743">
      <c r="A743" s="30" t="str">
        <f>IFERROR(__xludf.DUMMYFUNCTION("""COMPUTED_VALUE"""),"Veteran")</f>
        <v>Veteran</v>
      </c>
      <c r="B743" s="30" t="str">
        <f>IFERROR(__xludf.DUMMYFUNCTION("""COMPUTED_VALUE"""),"RSC007660")</f>
        <v>RSC007660</v>
      </c>
      <c r="C743" s="30" t="str">
        <f>IFERROR(__xludf.DUMMYFUNCTION("""COMPUTED_VALUE"""),"Shraxl")</f>
        <v>Shraxl</v>
      </c>
      <c r="D743" s="31" t="str">
        <f>IFERROR(__xludf.DUMMYFUNCTION("""COMPUTED_VALUE"""),"Rockin Revenants")</f>
        <v>Rockin Revenants</v>
      </c>
      <c r="E743" s="31">
        <f>IFERROR(__xludf.DUMMYFUNCTION("""COMPUTED_VALUE"""),71.00910340991248)</f>
        <v>71.00910341</v>
      </c>
      <c r="F743" s="31">
        <f>IFERROR(__xludf.DUMMYFUNCTION("""COMPUTED_VALUE"""),4.991212334594635)</f>
        <v>4.991212335</v>
      </c>
      <c r="G743" s="31">
        <f>IFERROR(__xludf.DUMMYFUNCTION("""COMPUTED_VALUE"""),59.642737394157706)</f>
        <v>59.64273739</v>
      </c>
      <c r="H743" s="31">
        <f>IFERROR(__xludf.DUMMYFUNCTION("""COMPUTED_VALUE"""),2.858319547953742)</f>
        <v>2.858319548</v>
      </c>
      <c r="I743" s="54">
        <f>IFERROR(__xludf.DUMMYFUNCTION("""COMPUTED_VALUE"""),8.0)</f>
        <v>8</v>
      </c>
      <c r="J743" s="55">
        <f>IFERROR(__xludf.DUMMYFUNCTION("""COMPUTED_VALUE"""),4.0)</f>
        <v>4</v>
      </c>
      <c r="K743" s="54">
        <f>IFERROR(__xludf.DUMMYFUNCTION("""COMPUTED_VALUE"""),4.0)</f>
        <v>4</v>
      </c>
      <c r="L743" s="56">
        <f>IFERROR(__xludf.DUMMYFUNCTION("""COMPUTED_VALUE"""),0.5)</f>
        <v>0.5</v>
      </c>
      <c r="M743" s="56">
        <f>IFERROR(__xludf.DUMMYFUNCTION("""COMPUTED_VALUE"""),0.2962962962962963)</f>
        <v>0.2962962963</v>
      </c>
      <c r="N743" s="31">
        <f>IFERROR(__xludf.DUMMYFUNCTION("""COMPUTED_VALUE"""),437.5)</f>
        <v>437.5</v>
      </c>
      <c r="O743" s="57">
        <f>IFERROR(__xludf.DUMMYFUNCTION("""COMPUTED_VALUE"""),1.0)</f>
        <v>1</v>
      </c>
      <c r="P743" s="57">
        <f>IFERROR(__xludf.DUMMYFUNCTION("""COMPUTED_VALUE"""),0.625)</f>
        <v>0.625</v>
      </c>
      <c r="Q743" s="57">
        <f>IFERROR(__xludf.DUMMYFUNCTION("""COMPUTED_VALUE"""),2.25)</f>
        <v>2.25</v>
      </c>
      <c r="R743" s="57">
        <f>IFERROR(__xludf.DUMMYFUNCTION("""COMPUTED_VALUE"""),3.375)</f>
        <v>3.375</v>
      </c>
      <c r="S743" s="31">
        <f>IFERROR(__xludf.DUMMYFUNCTION("""COMPUTED_VALUE"""),372.87499999999994)</f>
        <v>372.875</v>
      </c>
      <c r="T743" s="57">
        <f>IFERROR(__xludf.DUMMYFUNCTION("""COMPUTED_VALUE"""),0.8749999999999999)</f>
        <v>0.875</v>
      </c>
      <c r="U743" s="57">
        <f>IFERROR(__xludf.DUMMYFUNCTION("""COMPUTED_VALUE"""),0.5833333333333333)</f>
        <v>0.5833333333</v>
      </c>
      <c r="V743" s="57">
        <f>IFERROR(__xludf.DUMMYFUNCTION("""COMPUTED_VALUE"""),1.25)</f>
        <v>1.25</v>
      </c>
      <c r="W743" s="57">
        <f>IFERROR(__xludf.DUMMYFUNCTION("""COMPUTED_VALUE"""),3.3333333333333335)</f>
        <v>3.333333333</v>
      </c>
      <c r="X743" s="31">
        <f>IFERROR(__xludf.DUMMYFUNCTION("""COMPUTED_VALUE"""),345.9711373877745)</f>
        <v>345.9711374</v>
      </c>
      <c r="Y743" s="57">
        <f>IFERROR(__xludf.DUMMYFUNCTION("""COMPUTED_VALUE"""),0.7634425293777249)</f>
        <v>0.7634425294</v>
      </c>
      <c r="Z743" s="57">
        <f>IFERROR(__xludf.DUMMYFUNCTION("""COMPUTED_VALUE"""),0.5705133438755107)</f>
        <v>0.5705133439</v>
      </c>
      <c r="AA743" s="57">
        <f>IFERROR(__xludf.DUMMYFUNCTION("""COMPUTED_VALUE"""),1.4029312194549008)</f>
        <v>1.402931219</v>
      </c>
      <c r="AB743" s="57">
        <f>IFERROR(__xludf.DUMMYFUNCTION("""COMPUTED_VALUE"""),2.6839747804190517)</f>
        <v>2.68397478</v>
      </c>
      <c r="AC743" s="31">
        <f>IFERROR(__xludf.DUMMYFUNCTION("""COMPUTED_VALUE"""),381.0284370816312)</f>
        <v>381.0284371</v>
      </c>
      <c r="AD743" s="57">
        <f>IFERROR(__xludf.DUMMYFUNCTION("""COMPUTED_VALUE"""),0.8522402604223364)</f>
        <v>0.8522402604</v>
      </c>
      <c r="AE743" s="57">
        <f>IFERROR(__xludf.DUMMYFUNCTION("""COMPUTED_VALUE"""),0.6673136164060726)</f>
        <v>0.6673136164</v>
      </c>
      <c r="AF743" s="57">
        <f>IFERROR(__xludf.DUMMYFUNCTION("""COMPUTED_VALUE"""),1.5053375143952286)</f>
        <v>1.505337514</v>
      </c>
      <c r="AG743" s="57">
        <f>IFERROR(__xludf.DUMMYFUNCTION("""COMPUTED_VALUE"""),2.7225337607498705)</f>
        <v>2.722533761</v>
      </c>
      <c r="AH743" s="57">
        <f>IFERROR(__xludf.DUMMYFUNCTION("""COMPUTED_VALUE"""),1.1482082632752957)</f>
        <v>1.148208263</v>
      </c>
      <c r="AI743" s="57">
        <f>IFERROR(__xludf.DUMMYFUNCTION("""COMPUTED_VALUE"""),1.1733780325097993)</f>
        <v>1.173378033</v>
      </c>
      <c r="AJ743" s="57">
        <f>IFERROR(__xludf.DUMMYFUNCTION("""COMPUTED_VALUE"""),0.9365911089392128)</f>
        <v>0.9365911089</v>
      </c>
      <c r="AK743" s="57">
        <f>IFERROR(__xludf.DUMMYFUNCTION("""COMPUTED_VALUE"""),1.4946814109684503)</f>
        <v>1.494681411</v>
      </c>
      <c r="AL743" s="57">
        <f>IFERROR(__xludf.DUMMYFUNCTION("""COMPUTED_VALUE"""),1.2396540489806158)</f>
        <v>1.239654049</v>
      </c>
      <c r="AM743" s="57">
        <f>IFERROR(__xludf.DUMMYFUNCTION("""COMPUTED_VALUE"""),1.0777633152157164)</f>
        <v>1.077763315</v>
      </c>
      <c r="AN743" s="57">
        <f>IFERROR(__xludf.DUMMYFUNCTION("""COMPUTED_VALUE"""),1.146124254713979)</f>
        <v>1.146124255</v>
      </c>
      <c r="AO743" s="57">
        <f>IFERROR(__xludf.DUMMYFUNCTION("""COMPUTED_VALUE"""),1.0224709721436769)</f>
        <v>1.022470972</v>
      </c>
      <c r="AP743" s="35">
        <f>IFERROR(__xludf.DUMMYFUNCTION("""COMPUTED_VALUE"""),0.8909916485326193)</f>
        <v>0.8909916485</v>
      </c>
      <c r="AQ743" s="57">
        <f>IFERROR(__xludf.DUMMYFUNCTION("""COMPUTED_VALUE"""),1.2419391410275833)</f>
        <v>1.241939141</v>
      </c>
      <c r="AR743" s="36" t="b">
        <f>IFERROR(__xludf.DUMMYFUNCTION("""COMPUTED_VALUE"""),TRUE)</f>
        <v>1</v>
      </c>
      <c r="AS743" s="57"/>
      <c r="AT743" s="37"/>
      <c r="AU743" s="30"/>
      <c r="AV743" s="30"/>
      <c r="AW743" s="30"/>
      <c r="AX743" s="30"/>
      <c r="AY743" s="30"/>
      <c r="AZ743" s="30"/>
    </row>
    <row r="744">
      <c r="A744" s="30" t="str">
        <f>IFERROR(__xludf.DUMMYFUNCTION("""COMPUTED_VALUE"""),"Veteran")</f>
        <v>Veteran</v>
      </c>
      <c r="B744" s="30" t="str">
        <f>IFERROR(__xludf.DUMMYFUNCTION("""COMPUTED_VALUE"""),"RSC001074")</f>
        <v>RSC001074</v>
      </c>
      <c r="C744" s="30" t="str">
        <f>IFERROR(__xludf.DUMMYFUNCTION("""COMPUTED_VALUE"""),"Sabre")</f>
        <v>Sabre</v>
      </c>
      <c r="D744" s="31"/>
      <c r="E744" s="31">
        <f>IFERROR(__xludf.DUMMYFUNCTION("""COMPUTED_VALUE"""),70.8255329913939)</f>
        <v>70.82553299</v>
      </c>
      <c r="F744" s="31">
        <f>IFERROR(__xludf.DUMMYFUNCTION("""COMPUTED_VALUE"""),4.940312313540577)</f>
        <v>4.940312314</v>
      </c>
      <c r="G744" s="31">
        <f>IFERROR(__xludf.DUMMYFUNCTION("""COMPUTED_VALUE"""),43.60796654865641)</f>
        <v>43.60796655</v>
      </c>
      <c r="H744" s="31">
        <f>IFERROR(__xludf.DUMMYFUNCTION("""COMPUTED_VALUE"""),-2.505647396056421)</f>
        <v>-2.505647396</v>
      </c>
      <c r="I744" s="54">
        <f>IFERROR(__xludf.DUMMYFUNCTION("""COMPUTED_VALUE"""),4.0)</f>
        <v>4</v>
      </c>
      <c r="J744" s="55">
        <f>IFERROR(__xludf.DUMMYFUNCTION("""COMPUTED_VALUE"""),2.0)</f>
        <v>2</v>
      </c>
      <c r="K744" s="54">
        <f>IFERROR(__xludf.DUMMYFUNCTION("""COMPUTED_VALUE"""),2.0)</f>
        <v>2</v>
      </c>
      <c r="L744" s="56">
        <f>IFERROR(__xludf.DUMMYFUNCTION("""COMPUTED_VALUE"""),0.5)</f>
        <v>0.5</v>
      </c>
      <c r="M744" s="56">
        <f>IFERROR(__xludf.DUMMYFUNCTION("""COMPUTED_VALUE"""),0.5555555555555556)</f>
        <v>0.5555555556</v>
      </c>
      <c r="N744" s="31">
        <f>IFERROR(__xludf.DUMMYFUNCTION("""COMPUTED_VALUE"""),397.75)</f>
        <v>397.75</v>
      </c>
      <c r="O744" s="57">
        <f>IFERROR(__xludf.DUMMYFUNCTION("""COMPUTED_VALUE"""),1.25)</f>
        <v>1.25</v>
      </c>
      <c r="P744" s="57">
        <f>IFERROR(__xludf.DUMMYFUNCTION("""COMPUTED_VALUE"""),1.0)</f>
        <v>1</v>
      </c>
      <c r="Q744" s="57">
        <f>IFERROR(__xludf.DUMMYFUNCTION("""COMPUTED_VALUE"""),1.75)</f>
        <v>1.75</v>
      </c>
      <c r="R744" s="57">
        <f>IFERROR(__xludf.DUMMYFUNCTION("""COMPUTED_VALUE"""),2.25)</f>
        <v>2.25</v>
      </c>
      <c r="S744" s="31">
        <f>IFERROR(__xludf.DUMMYFUNCTION("""COMPUTED_VALUE"""),381.41666666666663)</f>
        <v>381.4166667</v>
      </c>
      <c r="T744" s="57">
        <f>IFERROR(__xludf.DUMMYFUNCTION("""COMPUTED_VALUE"""),1.1666666666666665)</f>
        <v>1.166666667</v>
      </c>
      <c r="U744" s="57">
        <f>IFERROR(__xludf.DUMMYFUNCTION("""COMPUTED_VALUE"""),0.5833333333333333)</f>
        <v>0.5833333333</v>
      </c>
      <c r="V744" s="57">
        <f>IFERROR(__xludf.DUMMYFUNCTION("""COMPUTED_VALUE"""),1.3333333333333333)</f>
        <v>1.333333333</v>
      </c>
      <c r="W744" s="57">
        <f>IFERROR(__xludf.DUMMYFUNCTION("""COMPUTED_VALUE"""),3.083333333333333)</f>
        <v>3.083333333</v>
      </c>
      <c r="X744" s="31">
        <f>IFERROR(__xludf.DUMMYFUNCTION("""COMPUTED_VALUE"""),347.82423797482124)</f>
        <v>347.824238</v>
      </c>
      <c r="Y744" s="57">
        <f>IFERROR(__xludf.DUMMYFUNCTION("""COMPUTED_VALUE"""),0.7585447426380618)</f>
        <v>0.7585447426</v>
      </c>
      <c r="Z744" s="57">
        <f>IFERROR(__xludf.DUMMYFUNCTION("""COMPUTED_VALUE"""),0.47294504717622426)</f>
        <v>0.4729450472</v>
      </c>
      <c r="AA744" s="57">
        <f>IFERROR(__xludf.DUMMYFUNCTION("""COMPUTED_VALUE"""),1.3958724202626642)</f>
        <v>1.39587242</v>
      </c>
      <c r="AB744" s="57">
        <f>IFERROR(__xludf.DUMMYFUNCTION("""COMPUTED_VALUE"""),2.7337058487641728)</f>
        <v>2.733705849</v>
      </c>
      <c r="AC744" s="31">
        <f>IFERROR(__xludf.DUMMYFUNCTION("""COMPUTED_VALUE"""),399.4286374636321)</f>
        <v>399.4286375</v>
      </c>
      <c r="AD744" s="57">
        <f>IFERROR(__xludf.DUMMYFUNCTION("""COMPUTED_VALUE"""),0.9993972682201737)</f>
        <v>0.9993972682</v>
      </c>
      <c r="AE744" s="57">
        <f>IFERROR(__xludf.DUMMYFUNCTION("""COMPUTED_VALUE"""),0.7033970506929149)</f>
        <v>0.7033970507</v>
      </c>
      <c r="AF744" s="57">
        <f>IFERROR(__xludf.DUMMYFUNCTION("""COMPUTED_VALUE"""),1.5419555700573728)</f>
        <v>1.54195557</v>
      </c>
      <c r="AG744" s="57">
        <f>IFERROR(__xludf.DUMMYFUNCTION("""COMPUTED_VALUE"""),2.7923113177620067)</f>
        <v>2.792311318</v>
      </c>
      <c r="AH744" s="57">
        <f>IFERROR(__xludf.DUMMYFUNCTION("""COMPUTED_VALUE"""),0.9957974033251811)</f>
        <v>0.9957974033</v>
      </c>
      <c r="AI744" s="57">
        <f>IFERROR(__xludf.DUMMYFUNCTION("""COMPUTED_VALUE"""),1.2507538691056506)</f>
        <v>1.250753869</v>
      </c>
      <c r="AJ744" s="57">
        <f>IFERROR(__xludf.DUMMYFUNCTION("""COMPUTED_VALUE"""),1.421672153750008)</f>
        <v>1.421672154</v>
      </c>
      <c r="AK744" s="57">
        <f>IFERROR(__xludf.DUMMYFUNCTION("""COMPUTED_VALUE"""),1.1349224543057919)</f>
        <v>1.134922454</v>
      </c>
      <c r="AL744" s="57">
        <f>IFERROR(__xludf.DUMMYFUNCTION("""COMPUTED_VALUE"""),0.8057840777594023)</f>
        <v>0.8057840778</v>
      </c>
      <c r="AM744" s="57">
        <f>IFERROR(__xludf.DUMMYFUNCTION("""COMPUTED_VALUE"""),1.096578745884515)</f>
        <v>1.096578746</v>
      </c>
      <c r="AN744" s="57">
        <f>IFERROR(__xludf.DUMMYFUNCTION("""COMPUTED_VALUE"""),1.5380327633795747)</f>
        <v>1.538032763</v>
      </c>
      <c r="AO744" s="57">
        <f>IFERROR(__xludf.DUMMYFUNCTION("""COMPUTED_VALUE"""),1.233406157472619)</f>
        <v>1.233406157</v>
      </c>
      <c r="AP744" s="35">
        <f>IFERROR(__xludf.DUMMYFUNCTION("""COMPUTED_VALUE"""),0.9551971326164873)</f>
        <v>0.9551971326</v>
      </c>
      <c r="AQ744" s="57">
        <f>IFERROR(__xludf.DUMMYFUNCTION("""COMPUTED_VALUE"""),1.1278950640308343)</f>
        <v>1.127895064</v>
      </c>
      <c r="AR744" s="36" t="b">
        <f>IFERROR(__xludf.DUMMYFUNCTION("""COMPUTED_VALUE"""),TRUE)</f>
        <v>1</v>
      </c>
      <c r="AS744" s="57"/>
      <c r="AT744" s="37"/>
      <c r="AU744" s="30"/>
      <c r="AV744" s="30"/>
      <c r="AW744" s="30"/>
      <c r="AX744" s="30"/>
      <c r="AY744" s="30"/>
      <c r="AZ744" s="30"/>
    </row>
    <row r="745">
      <c r="A745" s="30" t="str">
        <f>IFERROR(__xludf.DUMMYFUNCTION("""COMPUTED_VALUE"""),"Veteran")</f>
        <v>Veteran</v>
      </c>
      <c r="B745" s="30" t="str">
        <f>IFERROR(__xludf.DUMMYFUNCTION("""COMPUTED_VALUE"""),"RSC007908")</f>
        <v>RSC007908</v>
      </c>
      <c r="C745" s="30" t="str">
        <f>IFERROR(__xludf.DUMMYFUNCTION("""COMPUTED_VALUE"""),"C01E01")</f>
        <v>C01E01</v>
      </c>
      <c r="D745" s="31"/>
      <c r="E745" s="31">
        <f>IFERROR(__xludf.DUMMYFUNCTION("""COMPUTED_VALUE"""),69.97542844594767)</f>
        <v>69.97542845</v>
      </c>
      <c r="F745" s="31">
        <f>IFERROR(__xludf.DUMMYFUNCTION("""COMPUTED_VALUE"""),4.713862925721267)</f>
        <v>4.713862926</v>
      </c>
      <c r="G745" s="31">
        <f>IFERROR(__xludf.DUMMYFUNCTION("""COMPUTED_VALUE"""),71.18853334631164)</f>
        <v>71.18853335</v>
      </c>
      <c r="H745" s="31">
        <f>IFERROR(__xludf.DUMMYFUNCTION("""COMPUTED_VALUE"""),5.041676282355438)</f>
        <v>5.041676282</v>
      </c>
      <c r="I745" s="54">
        <f>IFERROR(__xludf.DUMMYFUNCTION("""COMPUTED_VALUE"""),39.0)</f>
        <v>39</v>
      </c>
      <c r="J745" s="55">
        <f>IFERROR(__xludf.DUMMYFUNCTION("""COMPUTED_VALUE"""),18.0)</f>
        <v>18</v>
      </c>
      <c r="K745" s="54">
        <f>IFERROR(__xludf.DUMMYFUNCTION("""COMPUTED_VALUE"""),21.0)</f>
        <v>21</v>
      </c>
      <c r="L745" s="56">
        <f>IFERROR(__xludf.DUMMYFUNCTION("""COMPUTED_VALUE"""),0.46153846153846156)</f>
        <v>0.4615384615</v>
      </c>
      <c r="M745" s="56">
        <f>IFERROR(__xludf.DUMMYFUNCTION("""COMPUTED_VALUE"""),0.34188034188034183)</f>
        <v>0.3418803419</v>
      </c>
      <c r="N745" s="31">
        <f>IFERROR(__xludf.DUMMYFUNCTION("""COMPUTED_VALUE"""),409.9230769230769)</f>
        <v>409.9230769</v>
      </c>
      <c r="O745" s="57">
        <f>IFERROR(__xludf.DUMMYFUNCTION("""COMPUTED_VALUE"""),1.0256410256410255)</f>
        <v>1.025641026</v>
      </c>
      <c r="P745" s="57">
        <f>IFERROR(__xludf.DUMMYFUNCTION("""COMPUTED_VALUE"""),0.38461538461538464)</f>
        <v>0.3846153846</v>
      </c>
      <c r="Q745" s="57">
        <f>IFERROR(__xludf.DUMMYFUNCTION("""COMPUTED_VALUE"""),1.564102564102564)</f>
        <v>1.564102564</v>
      </c>
      <c r="R745" s="57">
        <f>IFERROR(__xludf.DUMMYFUNCTION("""COMPUTED_VALUE"""),3.0)</f>
        <v>3</v>
      </c>
      <c r="S745" s="31">
        <f>IFERROR(__xludf.DUMMYFUNCTION("""COMPUTED_VALUE"""),348.6495726495727)</f>
        <v>348.6495726</v>
      </c>
      <c r="T745" s="57">
        <f>IFERROR(__xludf.DUMMYFUNCTION("""COMPUTED_VALUE"""),0.7179487179487178)</f>
        <v>0.7179487179</v>
      </c>
      <c r="U745" s="57">
        <f>IFERROR(__xludf.DUMMYFUNCTION("""COMPUTED_VALUE"""),0.5982905982905983)</f>
        <v>0.5982905983</v>
      </c>
      <c r="V745" s="57">
        <f>IFERROR(__xludf.DUMMYFUNCTION("""COMPUTED_VALUE"""),1.2905982905982905)</f>
        <v>1.290598291</v>
      </c>
      <c r="W745" s="57">
        <f>IFERROR(__xludf.DUMMYFUNCTION("""COMPUTED_VALUE"""),2.5042735042735034)</f>
        <v>2.504273504</v>
      </c>
      <c r="X745" s="31">
        <f>IFERROR(__xludf.DUMMYFUNCTION("""COMPUTED_VALUE"""),363.3208900119204)</f>
        <v>363.32089</v>
      </c>
      <c r="Y745" s="57">
        <f>IFERROR(__xludf.DUMMYFUNCTION("""COMPUTED_VALUE"""),0.8238223553236309)</f>
        <v>0.8238223553</v>
      </c>
      <c r="Z745" s="57">
        <f>IFERROR(__xludf.DUMMYFUNCTION("""COMPUTED_VALUE"""),0.6196362899999516)</f>
        <v>0.61963629</v>
      </c>
      <c r="AA745" s="57">
        <f>IFERROR(__xludf.DUMMYFUNCTION("""COMPUTED_VALUE"""),1.3658742418676064)</f>
        <v>1.365874242</v>
      </c>
      <c r="AB745" s="57">
        <f>IFERROR(__xludf.DUMMYFUNCTION("""COMPUTED_VALUE"""),2.725020330070247)</f>
        <v>2.72502033</v>
      </c>
      <c r="AC745" s="31">
        <f>IFERROR(__xludf.DUMMYFUNCTION("""COMPUTED_VALUE"""),357.4955578221524)</f>
        <v>357.4955578</v>
      </c>
      <c r="AD745" s="57">
        <f>IFERROR(__xludf.DUMMYFUNCTION("""COMPUTED_VALUE"""),0.7929312732045599)</f>
        <v>0.7929312732</v>
      </c>
      <c r="AE745" s="57">
        <f>IFERROR(__xludf.DUMMYFUNCTION("""COMPUTED_VALUE"""),0.5789680146404518)</f>
        <v>0.5789680146</v>
      </c>
      <c r="AF745" s="57">
        <f>IFERROR(__xludf.DUMMYFUNCTION("""COMPUTED_VALUE"""),1.3888387719601307)</f>
        <v>1.388838772</v>
      </c>
      <c r="AG745" s="57">
        <f>IFERROR(__xludf.DUMMYFUNCTION("""COMPUTED_VALUE"""),2.6234920115422407)</f>
        <v>2.623492012</v>
      </c>
      <c r="AH745" s="57">
        <f>IFERROR(__xludf.DUMMYFUNCTION("""COMPUTED_VALUE"""),1.1466522253320033)</f>
        <v>1.146652225</v>
      </c>
      <c r="AI745" s="57">
        <f>IFERROR(__xludf.DUMMYFUNCTION("""COMPUTED_VALUE"""),1.2934803561171073)</f>
        <v>1.293480356</v>
      </c>
      <c r="AJ745" s="57">
        <f>IFERROR(__xludf.DUMMYFUNCTION("""COMPUTED_VALUE"""),0.664311973873439)</f>
        <v>0.6643119739</v>
      </c>
      <c r="AK745" s="57">
        <f>IFERROR(__xludf.DUMMYFUNCTION("""COMPUTED_VALUE"""),1.1261944839681253)</f>
        <v>1.126194484</v>
      </c>
      <c r="AL745" s="57">
        <f>IFERROR(__xludf.DUMMYFUNCTION("""COMPUTED_VALUE"""),1.1435140594296782)</f>
        <v>1.143514059</v>
      </c>
      <c r="AM745" s="57">
        <f>IFERROR(__xludf.DUMMYFUNCTION("""COMPUTED_VALUE"""),0.9596188444824453)</f>
        <v>0.9596188445</v>
      </c>
      <c r="AN745" s="57">
        <f>IFERROR(__xludf.DUMMYFUNCTION("""COMPUTED_VALUE"""),0.8714848696557627)</f>
        <v>0.8714848697</v>
      </c>
      <c r="AO745" s="57">
        <f>IFERROR(__xludf.DUMMYFUNCTION("""COMPUTED_VALUE"""),0.9655512563517624)</f>
        <v>0.9655512564</v>
      </c>
      <c r="AP745" s="35">
        <f>IFERROR(__xludf.DUMMYFUNCTION("""COMPUTED_VALUE"""),0.9448880804967896)</f>
        <v>0.9448880805</v>
      </c>
      <c r="AQ745" s="57">
        <f>IFERROR(__xludf.DUMMYFUNCTION("""COMPUTED_VALUE"""),0.9189925948952267)</f>
        <v>0.9189925949</v>
      </c>
      <c r="AR745" s="36" t="b">
        <f>IFERROR(__xludf.DUMMYFUNCTION("""COMPUTED_VALUE"""),TRUE)</f>
        <v>1</v>
      </c>
      <c r="AS745" s="57"/>
      <c r="AT745" s="37"/>
      <c r="AU745" s="30"/>
      <c r="AV745" s="30"/>
      <c r="AW745" s="30"/>
      <c r="AX745" s="30"/>
      <c r="AY745" s="30"/>
      <c r="AZ745" s="30"/>
    </row>
    <row r="746">
      <c r="A746" s="30" t="str">
        <f>IFERROR(__xludf.DUMMYFUNCTION("""COMPUTED_VALUE"""),"Veteran")</f>
        <v>Veteran</v>
      </c>
      <c r="B746" s="30" t="str">
        <f>IFERROR(__xludf.DUMMYFUNCTION("""COMPUTED_VALUE"""),"RSC007341")</f>
        <v>RSC007341</v>
      </c>
      <c r="C746" s="30" t="str">
        <f>IFERROR(__xludf.DUMMYFUNCTION("""COMPUTED_VALUE"""),"Squashy")</f>
        <v>Squashy</v>
      </c>
      <c r="D746" s="31" t="str">
        <f>IFERROR(__xludf.DUMMYFUNCTION("""COMPUTED_VALUE"""),"Rockin Revenants")</f>
        <v>Rockin Revenants</v>
      </c>
      <c r="E746" s="31">
        <f>IFERROR(__xludf.DUMMYFUNCTION("""COMPUTED_VALUE"""),69.16275044126164)</f>
        <v>69.16275044</v>
      </c>
      <c r="F746" s="31">
        <f>IFERROR(__xludf.DUMMYFUNCTION("""COMPUTED_VALUE"""),4.510875674189243)</f>
        <v>4.510875674</v>
      </c>
      <c r="G746" s="31">
        <f>IFERROR(__xludf.DUMMYFUNCTION("""COMPUTED_VALUE"""),64.95323613705617)</f>
        <v>64.95323614</v>
      </c>
      <c r="H746" s="31">
        <f>IFERROR(__xludf.DUMMYFUNCTION("""COMPUTED_VALUE"""),3.6379936945134386)</f>
        <v>3.637993695</v>
      </c>
      <c r="I746" s="54">
        <f>IFERROR(__xludf.DUMMYFUNCTION("""COMPUTED_VALUE"""),44.0)</f>
        <v>44</v>
      </c>
      <c r="J746" s="55">
        <f>IFERROR(__xludf.DUMMYFUNCTION("""COMPUTED_VALUE"""),22.0)</f>
        <v>22</v>
      </c>
      <c r="K746" s="54">
        <f>IFERROR(__xludf.DUMMYFUNCTION("""COMPUTED_VALUE"""),22.0)</f>
        <v>22</v>
      </c>
      <c r="L746" s="56">
        <f>IFERROR(__xludf.DUMMYFUNCTION("""COMPUTED_VALUE"""),0.5)</f>
        <v>0.5</v>
      </c>
      <c r="M746" s="56">
        <f>IFERROR(__xludf.DUMMYFUNCTION("""COMPUTED_VALUE"""),0.25925925925925924)</f>
        <v>0.2592592593</v>
      </c>
      <c r="N746" s="31">
        <f>IFERROR(__xludf.DUMMYFUNCTION("""COMPUTED_VALUE"""),383.47727272727275)</f>
        <v>383.4772727</v>
      </c>
      <c r="O746" s="57">
        <f>IFERROR(__xludf.DUMMYFUNCTION("""COMPUTED_VALUE"""),0.7954545454545454)</f>
        <v>0.7954545455</v>
      </c>
      <c r="P746" s="57">
        <f>IFERROR(__xludf.DUMMYFUNCTION("""COMPUTED_VALUE"""),0.7954545454545454)</f>
        <v>0.7954545455</v>
      </c>
      <c r="Q746" s="57">
        <f>IFERROR(__xludf.DUMMYFUNCTION("""COMPUTED_VALUE"""),1.4545454545454546)</f>
        <v>1.454545455</v>
      </c>
      <c r="R746" s="57">
        <f>IFERROR(__xludf.DUMMYFUNCTION("""COMPUTED_VALUE"""),3.0681818181818183)</f>
        <v>3.068181818</v>
      </c>
      <c r="S746" s="31">
        <f>IFERROR(__xludf.DUMMYFUNCTION("""COMPUTED_VALUE"""),358.3636363636363)</f>
        <v>358.3636364</v>
      </c>
      <c r="T746" s="57">
        <f>IFERROR(__xludf.DUMMYFUNCTION("""COMPUTED_VALUE"""),0.7727272727272729)</f>
        <v>0.7727272727</v>
      </c>
      <c r="U746" s="57">
        <f>IFERROR(__xludf.DUMMYFUNCTION("""COMPUTED_VALUE"""),0.6136363636363635)</f>
        <v>0.6136363636</v>
      </c>
      <c r="V746" s="57">
        <f>IFERROR(__xludf.DUMMYFUNCTION("""COMPUTED_VALUE"""),1.3484848484848486)</f>
        <v>1.348484848</v>
      </c>
      <c r="W746" s="57">
        <f>IFERROR(__xludf.DUMMYFUNCTION("""COMPUTED_VALUE"""),2.583333333333333)</f>
        <v>2.583333333</v>
      </c>
      <c r="X746" s="31">
        <f>IFERROR(__xludf.DUMMYFUNCTION("""COMPUTED_VALUE"""),358.01219196758643)</f>
        <v>358.012192</v>
      </c>
      <c r="Y746" s="57">
        <f>IFERROR(__xludf.DUMMYFUNCTION("""COMPUTED_VALUE"""),0.8259135737593938)</f>
        <v>0.8259135738</v>
      </c>
      <c r="Z746" s="57">
        <f>IFERROR(__xludf.DUMMYFUNCTION("""COMPUTED_VALUE"""),0.5832389343467338)</f>
        <v>0.5832389343</v>
      </c>
      <c r="AA746" s="57">
        <f>IFERROR(__xludf.DUMMYFUNCTION("""COMPUTED_VALUE"""),1.3551661398130332)</f>
        <v>1.35516614</v>
      </c>
      <c r="AB746" s="57">
        <f>IFERROR(__xludf.DUMMYFUNCTION("""COMPUTED_VALUE"""),2.686911203080196)</f>
        <v>2.686911203</v>
      </c>
      <c r="AC746" s="31">
        <f>IFERROR(__xludf.DUMMYFUNCTION("""COMPUTED_VALUE"""),365.99757104469836)</f>
        <v>365.997571</v>
      </c>
      <c r="AD746" s="57">
        <f>IFERROR(__xludf.DUMMYFUNCTION("""COMPUTED_VALUE"""),0.8395633076259462)</f>
        <v>0.8395633076</v>
      </c>
      <c r="AE746" s="57">
        <f>IFERROR(__xludf.DUMMYFUNCTION("""COMPUTED_VALUE"""),0.6230782903151363)</f>
        <v>0.6230782903</v>
      </c>
      <c r="AF746" s="57">
        <f>IFERROR(__xludf.DUMMYFUNCTION("""COMPUTED_VALUE"""),1.385391026869761)</f>
        <v>1.385391027</v>
      </c>
      <c r="AG746" s="57">
        <f>IFERROR(__xludf.DUMMYFUNCTION("""COMPUTED_VALUE"""),2.702475786746112)</f>
        <v>2.702475787</v>
      </c>
      <c r="AH746" s="57">
        <f>IFERROR(__xludf.DUMMYFUNCTION("""COMPUTED_VALUE"""),1.047759064719147)</f>
        <v>1.047759065</v>
      </c>
      <c r="AI746" s="57">
        <f>IFERROR(__xludf.DUMMYFUNCTION("""COMPUTED_VALUE"""),0.9474622559481212)</f>
        <v>0.9474622559</v>
      </c>
      <c r="AJ746" s="57">
        <f>IFERROR(__xludf.DUMMYFUNCTION("""COMPUTED_VALUE"""),1.2766526419211714)</f>
        <v>1.276652642</v>
      </c>
      <c r="AK746" s="57">
        <f>IFERROR(__xludf.DUMMYFUNCTION("""COMPUTED_VALUE"""),1.049916901679337)</f>
        <v>1.049916902</v>
      </c>
      <c r="AL746" s="57">
        <f>IFERROR(__xludf.DUMMYFUNCTION("""COMPUTED_VALUE"""),1.135322593167812)</f>
        <v>1.135322593</v>
      </c>
      <c r="AM746" s="57">
        <f>IFERROR(__xludf.DUMMYFUNCTION("""COMPUTED_VALUE"""),1.0009816548261063)</f>
        <v>1.000981655</v>
      </c>
      <c r="AN746" s="57">
        <f>IFERROR(__xludf.DUMMYFUNCTION("""COMPUTED_VALUE"""),0.9356030670497066)</f>
        <v>0.935603067</v>
      </c>
      <c r="AO746" s="57">
        <f>IFERROR(__xludf.DUMMYFUNCTION("""COMPUTED_VALUE"""),1.0521183129238052)</f>
        <v>1.052118313</v>
      </c>
      <c r="AP746" s="35">
        <f>IFERROR(__xludf.DUMMYFUNCTION("""COMPUTED_VALUE"""),0.9950697621997061)</f>
        <v>0.9950697622</v>
      </c>
      <c r="AQ746" s="57">
        <f>IFERROR(__xludf.DUMMYFUNCTION("""COMPUTED_VALUE"""),0.9614509516994367)</f>
        <v>0.9614509517</v>
      </c>
      <c r="AR746" s="36" t="b">
        <f>IFERROR(__xludf.DUMMYFUNCTION("""COMPUTED_VALUE"""),TRUE)</f>
        <v>1</v>
      </c>
      <c r="AS746" s="57"/>
      <c r="AT746" s="37"/>
      <c r="AU746" s="30"/>
      <c r="AV746" s="30"/>
      <c r="AW746" s="30"/>
      <c r="AX746" s="30"/>
      <c r="AY746" s="30"/>
      <c r="AZ746" s="30"/>
    </row>
    <row r="747">
      <c r="A747" s="30" t="str">
        <f>IFERROR(__xludf.DUMMYFUNCTION("""COMPUTED_VALUE"""),"Veteran")</f>
        <v>Veteran</v>
      </c>
      <c r="B747" s="30" t="str">
        <f>IFERROR(__xludf.DUMMYFUNCTION("""COMPUTED_VALUE"""),"RSC005758")</f>
        <v>RSC005758</v>
      </c>
      <c r="C747" s="30" t="str">
        <f>IFERROR(__xludf.DUMMYFUNCTION("""COMPUTED_VALUE"""),"ghostsynn.")</f>
        <v>ghostsynn.</v>
      </c>
      <c r="D747" s="31" t="str">
        <f>IFERROR(__xludf.DUMMYFUNCTION("""COMPUTED_VALUE"""),"Typhoons")</f>
        <v>Typhoons</v>
      </c>
      <c r="E747" s="31">
        <f>IFERROR(__xludf.DUMMYFUNCTION("""COMPUTED_VALUE"""),67.43488899844473)</f>
        <v>67.434889</v>
      </c>
      <c r="F747" s="31">
        <f>IFERROR(__xludf.DUMMYFUNCTION("""COMPUTED_VALUE"""),4.118995477230054)</f>
        <v>4.118995477</v>
      </c>
      <c r="G747" s="31">
        <f>IFERROR(__xludf.DUMMYFUNCTION("""COMPUTED_VALUE"""),67.06190759500885)</f>
        <v>67.0619076</v>
      </c>
      <c r="H747" s="31">
        <f>IFERROR(__xludf.DUMMYFUNCTION("""COMPUTED_VALUE"""),4.040911632297035)</f>
        <v>4.040911632</v>
      </c>
      <c r="I747" s="54">
        <f>IFERROR(__xludf.DUMMYFUNCTION("""COMPUTED_VALUE"""),37.0)</f>
        <v>37</v>
      </c>
      <c r="J747" s="55">
        <f>IFERROR(__xludf.DUMMYFUNCTION("""COMPUTED_VALUE"""),25.0)</f>
        <v>25</v>
      </c>
      <c r="K747" s="54">
        <f>IFERROR(__xludf.DUMMYFUNCTION("""COMPUTED_VALUE"""),12.0)</f>
        <v>12</v>
      </c>
      <c r="L747" s="56">
        <f>IFERROR(__xludf.DUMMYFUNCTION("""COMPUTED_VALUE"""),0.6756756756756757)</f>
        <v>0.6756756757</v>
      </c>
      <c r="M747" s="56">
        <f>IFERROR(__xludf.DUMMYFUNCTION("""COMPUTED_VALUE"""),0.2777777777777778)</f>
        <v>0.2777777778</v>
      </c>
      <c r="N747" s="31">
        <f>IFERROR(__xludf.DUMMYFUNCTION("""COMPUTED_VALUE"""),377.6756756756757)</f>
        <v>377.6756757</v>
      </c>
      <c r="O747" s="57">
        <f>IFERROR(__xludf.DUMMYFUNCTION("""COMPUTED_VALUE"""),0.8108108108108109)</f>
        <v>0.8108108108</v>
      </c>
      <c r="P747" s="57">
        <f>IFERROR(__xludf.DUMMYFUNCTION("""COMPUTED_VALUE"""),0.5675675675675675)</f>
        <v>0.5675675676</v>
      </c>
      <c r="Q747" s="57">
        <f>IFERROR(__xludf.DUMMYFUNCTION("""COMPUTED_VALUE"""),1.4864864864864864)</f>
        <v>1.486486486</v>
      </c>
      <c r="R747" s="57">
        <f>IFERROR(__xludf.DUMMYFUNCTION("""COMPUTED_VALUE"""),2.918918918918919)</f>
        <v>2.918918919</v>
      </c>
      <c r="S747" s="31">
        <f>IFERROR(__xludf.DUMMYFUNCTION("""COMPUTED_VALUE"""),332.8378378378378)</f>
        <v>332.8378378</v>
      </c>
      <c r="T747" s="57">
        <f>IFERROR(__xludf.DUMMYFUNCTION("""COMPUTED_VALUE"""),0.5945945945945946)</f>
        <v>0.5945945946</v>
      </c>
      <c r="U747" s="57">
        <f>IFERROR(__xludf.DUMMYFUNCTION("""COMPUTED_VALUE"""),0.4864864864864865)</f>
        <v>0.4864864865</v>
      </c>
      <c r="V747" s="57">
        <f>IFERROR(__xludf.DUMMYFUNCTION("""COMPUTED_VALUE"""),1.4774774774774777)</f>
        <v>1.477477477</v>
      </c>
      <c r="W747" s="57">
        <f>IFERROR(__xludf.DUMMYFUNCTION("""COMPUTED_VALUE"""),2.18018018018018)</f>
        <v>2.18018018</v>
      </c>
      <c r="X747" s="31">
        <f>IFERROR(__xludf.DUMMYFUNCTION("""COMPUTED_VALUE"""),349.5655777387164)</f>
        <v>349.5655777</v>
      </c>
      <c r="Y747" s="57">
        <f>IFERROR(__xludf.DUMMYFUNCTION("""COMPUTED_VALUE"""),0.7535720252555863)</f>
        <v>0.7535720253</v>
      </c>
      <c r="Z747" s="57">
        <f>IFERROR(__xludf.DUMMYFUNCTION("""COMPUTED_VALUE"""),0.5789362356957336)</f>
        <v>0.5789362357</v>
      </c>
      <c r="AA747" s="57">
        <f>IFERROR(__xludf.DUMMYFUNCTION("""COMPUTED_VALUE"""),1.3369754853172275)</f>
        <v>1.336975485</v>
      </c>
      <c r="AB747" s="57">
        <f>IFERROR(__xludf.DUMMYFUNCTION("""COMPUTED_VALUE"""),2.6116447249875607)</f>
        <v>2.611644725</v>
      </c>
      <c r="AC747" s="31">
        <f>IFERROR(__xludf.DUMMYFUNCTION("""COMPUTED_VALUE"""),360.8119620913998)</f>
        <v>360.8119621</v>
      </c>
      <c r="AD747" s="57">
        <f>IFERROR(__xludf.DUMMYFUNCTION("""COMPUTED_VALUE"""),0.7902620549364591)</f>
        <v>0.7902620549</v>
      </c>
      <c r="AE747" s="57">
        <f>IFERROR(__xludf.DUMMYFUNCTION("""COMPUTED_VALUE"""),0.5859014119819415)</f>
        <v>0.585901412</v>
      </c>
      <c r="AF747" s="57">
        <f>IFERROR(__xludf.DUMMYFUNCTION("""COMPUTED_VALUE"""),1.4362396225773417)</f>
        <v>1.436239623</v>
      </c>
      <c r="AG747" s="57">
        <f>IFERROR(__xludf.DUMMYFUNCTION("""COMPUTED_VALUE"""),2.6102210125460568)</f>
        <v>2.610221013</v>
      </c>
      <c r="AH747" s="57">
        <f>IFERROR(__xludf.DUMMYFUNCTION("""COMPUTED_VALUE"""),1.0467382330855317)</f>
        <v>1.046738233</v>
      </c>
      <c r="AI747" s="57">
        <f>IFERROR(__xludf.DUMMYFUNCTION("""COMPUTED_VALUE"""),1.026002457977062)</f>
        <v>1.026002458</v>
      </c>
      <c r="AJ747" s="57">
        <f>IFERROR(__xludf.DUMMYFUNCTION("""COMPUTED_VALUE"""),0.9687083116042414)</f>
        <v>0.9687083116</v>
      </c>
      <c r="AK747" s="57">
        <f>IFERROR(__xludf.DUMMYFUNCTION("""COMPUTED_VALUE"""),1.0349850144218806)</f>
        <v>1.034985014</v>
      </c>
      <c r="AL747" s="57">
        <f>IFERROR(__xludf.DUMMYFUNCTION("""COMPUTED_VALUE"""),1.1182650453310667)</f>
        <v>1.118265045</v>
      </c>
      <c r="AM747" s="57">
        <f>IFERROR(__xludf.DUMMYFUNCTION("""COMPUTED_VALUE"""),0.9521470620503093)</f>
        <v>0.9521470621</v>
      </c>
      <c r="AN747" s="57">
        <f>IFERROR(__xludf.DUMMYFUNCTION("""COMPUTED_VALUE"""),0.7890348562142128)</f>
        <v>0.7890348562</v>
      </c>
      <c r="AO747" s="57">
        <f>IFERROR(__xludf.DUMMYFUNCTION("""COMPUTED_VALUE"""),0.8403109988474878)</f>
        <v>0.8403109988</v>
      </c>
      <c r="AP747" s="35">
        <f>IFERROR(__xludf.DUMMYFUNCTION("""COMPUTED_VALUE"""),1.1050894303622276)</f>
        <v>1.10508943</v>
      </c>
      <c r="AQ747" s="57">
        <f>IFERROR(__xludf.DUMMYFUNCTION("""COMPUTED_VALUE"""),0.8347920217940686)</f>
        <v>0.8347920218</v>
      </c>
      <c r="AR747" s="36" t="b">
        <f>IFERROR(__xludf.DUMMYFUNCTION("""COMPUTED_VALUE"""),TRUE)</f>
        <v>1</v>
      </c>
      <c r="AS747" s="57"/>
      <c r="AT747" s="37"/>
      <c r="AU747" s="30"/>
      <c r="AV747" s="30"/>
      <c r="AW747" s="30"/>
      <c r="AX747" s="30"/>
      <c r="AY747" s="30"/>
      <c r="AZ747" s="30"/>
    </row>
    <row r="748">
      <c r="A748" s="30" t="str">
        <f>IFERROR(__xludf.DUMMYFUNCTION("""COMPUTED_VALUE"""),"Veteran")</f>
        <v>Veteran</v>
      </c>
      <c r="B748" s="30" t="str">
        <f>IFERROR(__xludf.DUMMYFUNCTION("""COMPUTED_VALUE"""),"RSC005088")</f>
        <v>RSC005088</v>
      </c>
      <c r="C748" s="30" t="str">
        <f>IFERROR(__xludf.DUMMYFUNCTION("""COMPUTED_VALUE"""),"Thirteen")</f>
        <v>Thirteen</v>
      </c>
      <c r="D748" s="31" t="str">
        <f>IFERROR(__xludf.DUMMYFUNCTION("""COMPUTED_VALUE"""),"Repossessed")</f>
        <v>Repossessed</v>
      </c>
      <c r="E748" s="31">
        <f>IFERROR(__xludf.DUMMYFUNCTION("""COMPUTED_VALUE"""),67.34359677617151)</f>
        <v>67.34359678</v>
      </c>
      <c r="F748" s="31">
        <f>IFERROR(__xludf.DUMMYFUNCTION("""COMPUTED_VALUE"""),4.099680886793308)</f>
        <v>4.099680887</v>
      </c>
      <c r="G748" s="31">
        <f>IFERROR(__xludf.DUMMYFUNCTION("""COMPUTED_VALUE"""),53.182135661358764)</f>
        <v>53.18213566</v>
      </c>
      <c r="H748" s="31">
        <f>IFERROR(__xludf.DUMMYFUNCTION("""COMPUTED_VALUE"""),2.225400850065032)</f>
        <v>2.22540085</v>
      </c>
      <c r="I748" s="54">
        <f>IFERROR(__xludf.DUMMYFUNCTION("""COMPUTED_VALUE"""),30.0)</f>
        <v>30</v>
      </c>
      <c r="J748" s="55">
        <f>IFERROR(__xludf.DUMMYFUNCTION("""COMPUTED_VALUE"""),18.0)</f>
        <v>18</v>
      </c>
      <c r="K748" s="54">
        <f>IFERROR(__xludf.DUMMYFUNCTION("""COMPUTED_VALUE"""),12.0)</f>
        <v>12</v>
      </c>
      <c r="L748" s="56">
        <f>IFERROR(__xludf.DUMMYFUNCTION("""COMPUTED_VALUE"""),0.6)</f>
        <v>0.6</v>
      </c>
      <c r="M748" s="56">
        <f>IFERROR(__xludf.DUMMYFUNCTION("""COMPUTED_VALUE"""),0.3246753246753247)</f>
        <v>0.3246753247</v>
      </c>
      <c r="N748" s="31">
        <f>IFERROR(__xludf.DUMMYFUNCTION("""COMPUTED_VALUE"""),343.46666666666664)</f>
        <v>343.4666667</v>
      </c>
      <c r="O748" s="57">
        <f>IFERROR(__xludf.DUMMYFUNCTION("""COMPUTED_VALUE"""),0.8333333333333334)</f>
        <v>0.8333333333</v>
      </c>
      <c r="P748" s="57">
        <f>IFERROR(__xludf.DUMMYFUNCTION("""COMPUTED_VALUE"""),0.7666666666666667)</f>
        <v>0.7666666667</v>
      </c>
      <c r="Q748" s="57">
        <f>IFERROR(__xludf.DUMMYFUNCTION("""COMPUTED_VALUE"""),0.9)</f>
        <v>0.9</v>
      </c>
      <c r="R748" s="57">
        <f>IFERROR(__xludf.DUMMYFUNCTION("""COMPUTED_VALUE"""),2.566666666666667)</f>
        <v>2.566666667</v>
      </c>
      <c r="S748" s="31">
        <f>IFERROR(__xludf.DUMMYFUNCTION("""COMPUTED_VALUE"""),331.49999999999994)</f>
        <v>331.5</v>
      </c>
      <c r="T748" s="57">
        <f>IFERROR(__xludf.DUMMYFUNCTION("""COMPUTED_VALUE"""),0.6444444444444443)</f>
        <v>0.6444444444</v>
      </c>
      <c r="U748" s="57">
        <f>IFERROR(__xludf.DUMMYFUNCTION("""COMPUTED_VALUE"""),0.4666666666666666)</f>
        <v>0.4666666667</v>
      </c>
      <c r="V748" s="57">
        <f>IFERROR(__xludf.DUMMYFUNCTION("""COMPUTED_VALUE"""),1.3666666666666663)</f>
        <v>1.366666667</v>
      </c>
      <c r="W748" s="57">
        <f>IFERROR(__xludf.DUMMYFUNCTION("""COMPUTED_VALUE"""),2.466666666666667)</f>
        <v>2.466666667</v>
      </c>
      <c r="X748" s="31">
        <f>IFERROR(__xludf.DUMMYFUNCTION("""COMPUTED_VALUE"""),342.59453627984806)</f>
        <v>342.5945363</v>
      </c>
      <c r="Y748" s="57">
        <f>IFERROR(__xludf.DUMMYFUNCTION("""COMPUTED_VALUE"""),0.7391924172118952)</f>
        <v>0.7391924172</v>
      </c>
      <c r="Z748" s="57">
        <f>IFERROR(__xludf.DUMMYFUNCTION("""COMPUTED_VALUE"""),0.5374159010411285)</f>
        <v>0.537415901</v>
      </c>
      <c r="AA748" s="57">
        <f>IFERROR(__xludf.DUMMYFUNCTION("""COMPUTED_VALUE"""),1.3362145474199199)</f>
        <v>1.336214547</v>
      </c>
      <c r="AB748" s="57">
        <f>IFERROR(__xludf.DUMMYFUNCTION("""COMPUTED_VALUE"""),2.4308594178057983)</f>
        <v>2.430859418</v>
      </c>
      <c r="AC748" s="31">
        <f>IFERROR(__xludf.DUMMYFUNCTION("""COMPUTED_VALUE"""),353.45538326776443)</f>
        <v>353.4553833</v>
      </c>
      <c r="AD748" s="57">
        <f>IFERROR(__xludf.DUMMYFUNCTION("""COMPUTED_VALUE"""),0.7862891693520242)</f>
        <v>0.7862891694</v>
      </c>
      <c r="AE748" s="57">
        <f>IFERROR(__xludf.DUMMYFUNCTION("""COMPUTED_VALUE"""),0.5856986137566865)</f>
        <v>0.5856986138</v>
      </c>
      <c r="AF748" s="57">
        <f>IFERROR(__xludf.DUMMYFUNCTION("""COMPUTED_VALUE"""),1.3416991592284715)</f>
        <v>1.341699159</v>
      </c>
      <c r="AG748" s="57">
        <f>IFERROR(__xludf.DUMMYFUNCTION("""COMPUTED_VALUE"""),2.6030915838185735)</f>
        <v>2.603091584</v>
      </c>
      <c r="AH748" s="57">
        <f>IFERROR(__xludf.DUMMYFUNCTION("""COMPUTED_VALUE"""),0.9717398091132461)</f>
        <v>0.9717398091</v>
      </c>
      <c r="AI748" s="57">
        <f>IFERROR(__xludf.DUMMYFUNCTION("""COMPUTED_VALUE"""),1.0598306142510878)</f>
        <v>1.059830614</v>
      </c>
      <c r="AJ748" s="57">
        <f>IFERROR(__xludf.DUMMYFUNCTION("""COMPUTED_VALUE"""),1.3089781137593042)</f>
        <v>1.308978114</v>
      </c>
      <c r="AK748" s="57">
        <f>IFERROR(__xludf.DUMMYFUNCTION("""COMPUTED_VALUE"""),0.6707912081554367)</f>
        <v>0.6707912082</v>
      </c>
      <c r="AL748" s="57">
        <f>IFERROR(__xludf.DUMMYFUNCTION("""COMPUTED_VALUE"""),0.9860070550808383)</f>
        <v>0.9860070551</v>
      </c>
      <c r="AM748" s="57">
        <f>IFERROR(__xludf.DUMMYFUNCTION("""COMPUTED_VALUE"""),0.9676161318848776)</f>
        <v>0.9676161319</v>
      </c>
      <c r="AN748" s="57">
        <f>IFERROR(__xludf.DUMMYFUNCTION("""COMPUTED_VALUE"""),0.8718223150545513)</f>
        <v>0.8718223151</v>
      </c>
      <c r="AO748" s="57">
        <f>IFERROR(__xludf.DUMMYFUNCTION("""COMPUTED_VALUE"""),0.8683529195221051)</f>
        <v>0.8683529195</v>
      </c>
      <c r="AP748" s="35">
        <f>IFERROR(__xludf.DUMMYFUNCTION("""COMPUTED_VALUE"""),1.0227898426233617)</f>
        <v>1.022789843</v>
      </c>
      <c r="AQ748" s="57">
        <f>IFERROR(__xludf.DUMMYFUNCTION("""COMPUTED_VALUE"""),1.014730283700729)</f>
        <v>1.014730284</v>
      </c>
      <c r="AR748" s="36" t="b">
        <f>IFERROR(__xludf.DUMMYFUNCTION("""COMPUTED_VALUE"""),TRUE)</f>
        <v>1</v>
      </c>
      <c r="AS748" s="57"/>
      <c r="AT748" s="37"/>
      <c r="AU748" s="30"/>
      <c r="AV748" s="30"/>
      <c r="AW748" s="30"/>
      <c r="AX748" s="30"/>
      <c r="AY748" s="30"/>
      <c r="AZ748" s="30"/>
    </row>
    <row r="749">
      <c r="A749" s="30" t="str">
        <f>IFERROR(__xludf.DUMMYFUNCTION("""COMPUTED_VALUE"""),"Veteran")</f>
        <v>Veteran</v>
      </c>
      <c r="B749" s="30" t="str">
        <f>IFERROR(__xludf.DUMMYFUNCTION("""COMPUTED_VALUE"""),"RSC003238")</f>
        <v>RSC003238</v>
      </c>
      <c r="C749" s="30" t="str">
        <f>IFERROR(__xludf.DUMMYFUNCTION("""COMPUTED_VALUE"""),"BanThisOne2")</f>
        <v>BanThisOne2</v>
      </c>
      <c r="D749" s="31" t="str">
        <f>IFERROR(__xludf.DUMMYFUNCTION("""COMPUTED_VALUE"""),"Rulers")</f>
        <v>Rulers</v>
      </c>
      <c r="E749" s="31">
        <f>IFERROR(__xludf.DUMMYFUNCTION("""COMPUTED_VALUE"""),66.98369881389519)</f>
        <v>66.98369881</v>
      </c>
      <c r="F749" s="31">
        <f>IFERROR(__xludf.DUMMYFUNCTION("""COMPUTED_VALUE"""),4.024813623054543)</f>
        <v>4.024813623</v>
      </c>
      <c r="G749" s="31">
        <f>IFERROR(__xludf.DUMMYFUNCTION("""COMPUTED_VALUE"""),67.61149118036667)</f>
        <v>67.61149118</v>
      </c>
      <c r="H749" s="31">
        <f>IFERROR(__xludf.DUMMYFUNCTION("""COMPUTED_VALUE"""),4.156737506396758)</f>
        <v>4.156737506</v>
      </c>
      <c r="I749" s="54">
        <f>IFERROR(__xludf.DUMMYFUNCTION("""COMPUTED_VALUE"""),48.0)</f>
        <v>48</v>
      </c>
      <c r="J749" s="55">
        <f>IFERROR(__xludf.DUMMYFUNCTION("""COMPUTED_VALUE"""),25.0)</f>
        <v>25</v>
      </c>
      <c r="K749" s="54">
        <f>IFERROR(__xludf.DUMMYFUNCTION("""COMPUTED_VALUE"""),23.0)</f>
        <v>23</v>
      </c>
      <c r="L749" s="56">
        <f>IFERROR(__xludf.DUMMYFUNCTION("""COMPUTED_VALUE"""),0.5208333333333334)</f>
        <v>0.5208333333</v>
      </c>
      <c r="M749" s="56">
        <f>IFERROR(__xludf.DUMMYFUNCTION("""COMPUTED_VALUE"""),0.3305785123966942)</f>
        <v>0.3305785124</v>
      </c>
      <c r="N749" s="31">
        <f>IFERROR(__xludf.DUMMYFUNCTION("""COMPUTED_VALUE"""),416.1458333333333)</f>
        <v>416.1458333</v>
      </c>
      <c r="O749" s="57">
        <f>IFERROR(__xludf.DUMMYFUNCTION("""COMPUTED_VALUE"""),0.8333333333333334)</f>
        <v>0.8333333333</v>
      </c>
      <c r="P749" s="57">
        <f>IFERROR(__xludf.DUMMYFUNCTION("""COMPUTED_VALUE"""),0.625)</f>
        <v>0.625</v>
      </c>
      <c r="Q749" s="57">
        <f>IFERROR(__xludf.DUMMYFUNCTION("""COMPUTED_VALUE"""),2.0)</f>
        <v>2</v>
      </c>
      <c r="R749" s="57">
        <f>IFERROR(__xludf.DUMMYFUNCTION("""COMPUTED_VALUE"""),2.5208333333333335)</f>
        <v>2.520833333</v>
      </c>
      <c r="S749" s="31">
        <f>IFERROR(__xludf.DUMMYFUNCTION("""COMPUTED_VALUE"""),337.5763888888889)</f>
        <v>337.5763889</v>
      </c>
      <c r="T749" s="57">
        <f>IFERROR(__xludf.DUMMYFUNCTION("""COMPUTED_VALUE"""),0.7083333333333334)</f>
        <v>0.7083333333</v>
      </c>
      <c r="U749" s="57">
        <f>IFERROR(__xludf.DUMMYFUNCTION("""COMPUTED_VALUE"""),0.4930555555555556)</f>
        <v>0.4930555556</v>
      </c>
      <c r="V749" s="57">
        <f>IFERROR(__xludf.DUMMYFUNCTION("""COMPUTED_VALUE"""),1.2569444444444442)</f>
        <v>1.256944444</v>
      </c>
      <c r="W749" s="57">
        <f>IFERROR(__xludf.DUMMYFUNCTION("""COMPUTED_VALUE"""),2.9166666666666665)</f>
        <v>2.916666667</v>
      </c>
      <c r="X749" s="31">
        <f>IFERROR(__xludf.DUMMYFUNCTION("""COMPUTED_VALUE"""),357.96205552078703)</f>
        <v>357.9620555</v>
      </c>
      <c r="Y749" s="57">
        <f>IFERROR(__xludf.DUMMYFUNCTION("""COMPUTED_VALUE"""),0.8385833698520714)</f>
        <v>0.8385833699</v>
      </c>
      <c r="Z749" s="57">
        <f>IFERROR(__xludf.DUMMYFUNCTION("""COMPUTED_VALUE"""),0.5647598613616666)</f>
        <v>0.5647598614</v>
      </c>
      <c r="AA749" s="57">
        <f>IFERROR(__xludf.DUMMYFUNCTION("""COMPUTED_VALUE"""),1.3241425111719407)</f>
        <v>1.324142511</v>
      </c>
      <c r="AB749" s="57">
        <f>IFERROR(__xludf.DUMMYFUNCTION("""COMPUTED_VALUE"""),2.6827554152671333)</f>
        <v>2.682755415</v>
      </c>
      <c r="AC749" s="31">
        <f>IFERROR(__xludf.DUMMYFUNCTION("""COMPUTED_VALUE"""),356.40853870138454)</f>
        <v>356.4085387</v>
      </c>
      <c r="AD749" s="57">
        <f>IFERROR(__xludf.DUMMYFUNCTION("""COMPUTED_VALUE"""),0.8042211161306717)</f>
        <v>0.8042211161</v>
      </c>
      <c r="AE749" s="57">
        <f>IFERROR(__xludf.DUMMYFUNCTION("""COMPUTED_VALUE"""),0.5927417037679049)</f>
        <v>0.5927417038</v>
      </c>
      <c r="AF749" s="57">
        <f>IFERROR(__xludf.DUMMYFUNCTION("""COMPUTED_VALUE"""),1.3689246025525794)</f>
        <v>1.368924603</v>
      </c>
      <c r="AG749" s="57">
        <f>IFERROR(__xludf.DUMMYFUNCTION("""COMPUTED_VALUE"""),2.60538439272564)</f>
        <v>2.605384393</v>
      </c>
      <c r="AH749" s="57">
        <f>IFERROR(__xludf.DUMMYFUNCTION("""COMPUTED_VALUE"""),1.167609044524041)</f>
        <v>1.167609045</v>
      </c>
      <c r="AI749" s="57">
        <f>IFERROR(__xludf.DUMMYFUNCTION("""COMPUTED_VALUE"""),1.036199269850969)</f>
        <v>1.03619927</v>
      </c>
      <c r="AJ749" s="57">
        <f>IFERROR(__xludf.DUMMYFUNCTION("""COMPUTED_VALUE"""),1.0544221809044942)</f>
        <v>1.054422181</v>
      </c>
      <c r="AK749" s="57">
        <f>IFERROR(__xludf.DUMMYFUNCTION("""COMPUTED_VALUE"""),1.4610008442179205)</f>
        <v>1.461000844</v>
      </c>
      <c r="AL749" s="57">
        <f>IFERROR(__xludf.DUMMYFUNCTION("""COMPUTED_VALUE"""),0.9675475681713696)</f>
        <v>0.9675475682</v>
      </c>
      <c r="AM749" s="57">
        <f>IFERROR(__xludf.DUMMYFUNCTION("""COMPUTED_VALUE"""),0.9430507610583482)</f>
        <v>0.9430507611</v>
      </c>
      <c r="AN749" s="57">
        <f>IFERROR(__xludf.DUMMYFUNCTION("""COMPUTED_VALUE"""),0.8446784885064982)</f>
        <v>0.8446784885</v>
      </c>
      <c r="AO749" s="57">
        <f>IFERROR(__xludf.DUMMYFUNCTION("""COMPUTED_VALUE"""),0.8730357613708098)</f>
        <v>0.8730357614</v>
      </c>
      <c r="AP749" s="35">
        <f>IFERROR(__xludf.DUMMYFUNCTION("""COMPUTED_VALUE"""),0.9492516355599652)</f>
        <v>0.9492516356</v>
      </c>
      <c r="AQ749" s="57">
        <f>IFERROR(__xludf.DUMMYFUNCTION("""COMPUTED_VALUE"""),1.0871906734651924)</f>
        <v>1.087190673</v>
      </c>
      <c r="AR749" s="36" t="b">
        <f>IFERROR(__xludf.DUMMYFUNCTION("""COMPUTED_VALUE"""),TRUE)</f>
        <v>1</v>
      </c>
      <c r="AS749" s="57"/>
      <c r="AT749" s="37"/>
      <c r="AU749" s="30"/>
      <c r="AV749" s="30"/>
      <c r="AW749" s="30"/>
      <c r="AX749" s="30"/>
      <c r="AY749" s="30"/>
      <c r="AZ749" s="30"/>
    </row>
    <row r="750">
      <c r="A750" s="30" t="str">
        <f>IFERROR(__xludf.DUMMYFUNCTION("""COMPUTED_VALUE"""),"Veteran")</f>
        <v>Veteran</v>
      </c>
      <c r="B750" s="30" t="str">
        <f>IFERROR(__xludf.DUMMYFUNCTION("""COMPUTED_VALUE"""),"RSC002937")</f>
        <v>RSC002937</v>
      </c>
      <c r="C750" s="30" t="str">
        <f>IFERROR(__xludf.DUMMYFUNCTION("""COMPUTED_VALUE"""),"SirTommyNoble")</f>
        <v>SirTommyNoble</v>
      </c>
      <c r="D750" s="31" t="str">
        <f>IFERROR(__xludf.DUMMYFUNCTION("""COMPUTED_VALUE"""),"Kirin")</f>
        <v>Kirin</v>
      </c>
      <c r="E750" s="31">
        <f>IFERROR(__xludf.DUMMYFUNCTION("""COMPUTED_VALUE"""),66.62821414456835)</f>
        <v>66.62821414</v>
      </c>
      <c r="F750" s="31">
        <f>IFERROR(__xludf.DUMMYFUNCTION("""COMPUTED_VALUE"""),3.952817078606941)</f>
        <v>3.952817079</v>
      </c>
      <c r="G750" s="31">
        <f>IFERROR(__xludf.DUMMYFUNCTION("""COMPUTED_VALUE"""),63.72564374729893)</f>
        <v>63.72564375</v>
      </c>
      <c r="H750" s="31">
        <f>IFERROR(__xludf.DUMMYFUNCTION("""COMPUTED_VALUE"""),3.430603647351478)</f>
        <v>3.430603647</v>
      </c>
      <c r="I750" s="54">
        <f>IFERROR(__xludf.DUMMYFUNCTION("""COMPUTED_VALUE"""),44.0)</f>
        <v>44</v>
      </c>
      <c r="J750" s="55">
        <f>IFERROR(__xludf.DUMMYFUNCTION("""COMPUTED_VALUE"""),22.0)</f>
        <v>22</v>
      </c>
      <c r="K750" s="54">
        <f>IFERROR(__xludf.DUMMYFUNCTION("""COMPUTED_VALUE"""),22.0)</f>
        <v>22</v>
      </c>
      <c r="L750" s="56">
        <f>IFERROR(__xludf.DUMMYFUNCTION("""COMPUTED_VALUE"""),0.5)</f>
        <v>0.5</v>
      </c>
      <c r="M750" s="56">
        <f>IFERROR(__xludf.DUMMYFUNCTION("""COMPUTED_VALUE"""),0.2619047619047619)</f>
        <v>0.2619047619</v>
      </c>
      <c r="N750" s="31">
        <f>IFERROR(__xludf.DUMMYFUNCTION("""COMPUTED_VALUE"""),382.9318181818182)</f>
        <v>382.9318182</v>
      </c>
      <c r="O750" s="57">
        <f>IFERROR(__xludf.DUMMYFUNCTION("""COMPUTED_VALUE"""),0.75)</f>
        <v>0.75</v>
      </c>
      <c r="P750" s="57">
        <f>IFERROR(__xludf.DUMMYFUNCTION("""COMPUTED_VALUE"""),0.7272727272727273)</f>
        <v>0.7272727273</v>
      </c>
      <c r="Q750" s="57">
        <f>IFERROR(__xludf.DUMMYFUNCTION("""COMPUTED_VALUE"""),1.4545454545454546)</f>
        <v>1.454545455</v>
      </c>
      <c r="R750" s="57">
        <f>IFERROR(__xludf.DUMMYFUNCTION("""COMPUTED_VALUE"""),2.8636363636363638)</f>
        <v>2.863636364</v>
      </c>
      <c r="S750" s="31">
        <f>IFERROR(__xludf.DUMMYFUNCTION("""COMPUTED_VALUE"""),354.7575757575757)</f>
        <v>354.7575758</v>
      </c>
      <c r="T750" s="57">
        <f>IFERROR(__xludf.DUMMYFUNCTION("""COMPUTED_VALUE"""),0.8181818181818183)</f>
        <v>0.8181818182</v>
      </c>
      <c r="U750" s="57">
        <f>IFERROR(__xludf.DUMMYFUNCTION("""COMPUTED_VALUE"""),0.5833333333333335)</f>
        <v>0.5833333333</v>
      </c>
      <c r="V750" s="57">
        <f>IFERROR(__xludf.DUMMYFUNCTION("""COMPUTED_VALUE"""),1.166666666666667)</f>
        <v>1.166666667</v>
      </c>
      <c r="W750" s="57">
        <f>IFERROR(__xludf.DUMMYFUNCTION("""COMPUTED_VALUE"""),2.742424242424242)</f>
        <v>2.742424242</v>
      </c>
      <c r="X750" s="31">
        <f>IFERROR(__xludf.DUMMYFUNCTION("""COMPUTED_VALUE"""),366.7405100596619)</f>
        <v>366.7405101</v>
      </c>
      <c r="Y750" s="57">
        <f>IFERROR(__xludf.DUMMYFUNCTION("""COMPUTED_VALUE"""),0.8643522701821532)</f>
        <v>0.8643522702</v>
      </c>
      <c r="Z750" s="57">
        <f>IFERROR(__xludf.DUMMYFUNCTION("""COMPUTED_VALUE"""),0.6086691635327532)</f>
        <v>0.6086691635</v>
      </c>
      <c r="AA750" s="57">
        <f>IFERROR(__xludf.DUMMYFUNCTION("""COMPUTED_VALUE"""),1.3433510346836397)</f>
        <v>1.343351035</v>
      </c>
      <c r="AB750" s="57">
        <f>IFERROR(__xludf.DUMMYFUNCTION("""COMPUTED_VALUE"""),2.7932797381300314)</f>
        <v>2.793279738</v>
      </c>
      <c r="AC750" s="31">
        <f>IFERROR(__xludf.DUMMYFUNCTION("""COMPUTED_VALUE"""),357.17009588783804)</f>
        <v>357.1700959</v>
      </c>
      <c r="AD750" s="57">
        <f>IFERROR(__xludf.DUMMYFUNCTION("""COMPUTED_VALUE"""),0.7731379438528022)</f>
        <v>0.7731379439</v>
      </c>
      <c r="AE750" s="57">
        <f>IFERROR(__xludf.DUMMYFUNCTION("""COMPUTED_VALUE"""),0.5845554889184671)</f>
        <v>0.5845554889</v>
      </c>
      <c r="AF750" s="57">
        <f>IFERROR(__xludf.DUMMYFUNCTION("""COMPUTED_VALUE"""),1.4213143638156303)</f>
        <v>1.421314364</v>
      </c>
      <c r="AG750" s="57">
        <f>IFERROR(__xludf.DUMMYFUNCTION("""COMPUTED_VALUE"""),2.6004190369330162)</f>
        <v>2.600419037</v>
      </c>
      <c r="AH750" s="57">
        <f>IFERROR(__xludf.DUMMYFUNCTION("""COMPUTED_VALUE"""),1.0721273213815472)</f>
        <v>1.072127321</v>
      </c>
      <c r="AI750" s="57">
        <f>IFERROR(__xludf.DUMMYFUNCTION("""COMPUTED_VALUE"""),0.9700726836177537)</f>
        <v>0.9700726836</v>
      </c>
      <c r="AJ750" s="57">
        <f>IFERROR(__xludf.DUMMYFUNCTION("""COMPUTED_VALUE"""),1.2441466055144104)</f>
        <v>1.244146606</v>
      </c>
      <c r="AK750" s="57">
        <f>IFERROR(__xludf.DUMMYFUNCTION("""COMPUTED_VALUE"""),1.0233805353522305)</f>
        <v>1.023380535</v>
      </c>
      <c r="AL750" s="57">
        <f>IFERROR(__xludf.DUMMYFUNCTION("""COMPUTED_VALUE"""),1.1012211197368371)</f>
        <v>1.10122112</v>
      </c>
      <c r="AM750" s="57">
        <f>IFERROR(__xludf.DUMMYFUNCTION("""COMPUTED_VALUE"""),0.9673258503672343)</f>
        <v>0.9673258504</v>
      </c>
      <c r="AN750" s="57">
        <f>IFERROR(__xludf.DUMMYFUNCTION("""COMPUTED_VALUE"""),0.9465837557288941)</f>
        <v>0.9465837557</v>
      </c>
      <c r="AO750" s="57">
        <f>IFERROR(__xludf.DUMMYFUNCTION("""COMPUTED_VALUE"""),0.9583750389910193)</f>
        <v>0.958375039</v>
      </c>
      <c r="AP750" s="35">
        <f>IFERROR(__xludf.DUMMYFUNCTION("""COMPUTED_VALUE"""),0.8684749083037837)</f>
        <v>0.8684749083</v>
      </c>
      <c r="AQ750" s="57">
        <f>IFERROR(__xludf.DUMMYFUNCTION("""COMPUTED_VALUE"""),0.9817936259617754)</f>
        <v>0.981793626</v>
      </c>
      <c r="AR750" s="36" t="b">
        <f>IFERROR(__xludf.DUMMYFUNCTION("""COMPUTED_VALUE"""),TRUE)</f>
        <v>1</v>
      </c>
      <c r="AS750" s="57"/>
      <c r="AT750" s="37"/>
      <c r="AU750" s="30"/>
      <c r="AV750" s="30"/>
      <c r="AW750" s="30"/>
      <c r="AX750" s="30"/>
      <c r="AY750" s="30"/>
      <c r="AZ750" s="30"/>
    </row>
    <row r="751">
      <c r="A751" s="30" t="str">
        <f>IFERROR(__xludf.DUMMYFUNCTION("""COMPUTED_VALUE"""),"Veteran")</f>
        <v>Veteran</v>
      </c>
      <c r="B751" s="30" t="str">
        <f>IFERROR(__xludf.DUMMYFUNCTION("""COMPUTED_VALUE"""),"RSC006836")</f>
        <v>RSC006836</v>
      </c>
      <c r="C751" s="30" t="str">
        <f>IFERROR(__xludf.DUMMYFUNCTION("""COMPUTED_VALUE"""),"BawaRL")</f>
        <v>BawaRL</v>
      </c>
      <c r="D751" s="31" t="str">
        <f>IFERROR(__xludf.DUMMYFUNCTION("""COMPUTED_VALUE"""),"Slots")</f>
        <v>Slots</v>
      </c>
      <c r="E751" s="31">
        <f>IFERROR(__xludf.DUMMYFUNCTION("""COMPUTED_VALUE"""),66.5105112746808)</f>
        <v>66.51051127</v>
      </c>
      <c r="F751" s="31">
        <f>IFERROR(__xludf.DUMMYFUNCTION("""COMPUTED_VALUE"""),3.9293962021311097)</f>
        <v>3.929396202</v>
      </c>
      <c r="G751" s="31">
        <f>IFERROR(__xludf.DUMMYFUNCTION("""COMPUTED_VALUE"""),60.52347687517315)</f>
        <v>60.52347688</v>
      </c>
      <c r="H751" s="31">
        <f>IFERROR(__xludf.DUMMYFUNCTION("""COMPUTED_VALUE"""),2.968241723741588)</f>
        <v>2.968241724</v>
      </c>
      <c r="I751" s="54">
        <f>IFERROR(__xludf.DUMMYFUNCTION("""COMPUTED_VALUE"""),28.0)</f>
        <v>28</v>
      </c>
      <c r="J751" s="55">
        <f>IFERROR(__xludf.DUMMYFUNCTION("""COMPUTED_VALUE"""),14.0)</f>
        <v>14</v>
      </c>
      <c r="K751" s="54">
        <f>IFERROR(__xludf.DUMMYFUNCTION("""COMPUTED_VALUE"""),14.0)</f>
        <v>14</v>
      </c>
      <c r="L751" s="56">
        <f>IFERROR(__xludf.DUMMYFUNCTION("""COMPUTED_VALUE"""),0.5)</f>
        <v>0.5</v>
      </c>
      <c r="M751" s="56">
        <f>IFERROR(__xludf.DUMMYFUNCTION("""COMPUTED_VALUE"""),0.2857142857142857)</f>
        <v>0.2857142857</v>
      </c>
      <c r="N751" s="31">
        <f>IFERROR(__xludf.DUMMYFUNCTION("""COMPUTED_VALUE"""),390.14285714285717)</f>
        <v>390.1428571</v>
      </c>
      <c r="O751" s="57">
        <f>IFERROR(__xludf.DUMMYFUNCTION("""COMPUTED_VALUE"""),0.8571428571428571)</f>
        <v>0.8571428571</v>
      </c>
      <c r="P751" s="57">
        <f>IFERROR(__xludf.DUMMYFUNCTION("""COMPUTED_VALUE"""),0.75)</f>
        <v>0.75</v>
      </c>
      <c r="Q751" s="57">
        <f>IFERROR(__xludf.DUMMYFUNCTION("""COMPUTED_VALUE"""),1.5714285714285714)</f>
        <v>1.571428571</v>
      </c>
      <c r="R751" s="57">
        <f>IFERROR(__xludf.DUMMYFUNCTION("""COMPUTED_VALUE"""),3.0)</f>
        <v>3</v>
      </c>
      <c r="S751" s="31">
        <f>IFERROR(__xludf.DUMMYFUNCTION("""COMPUTED_VALUE"""),359.01190476190476)</f>
        <v>359.0119048</v>
      </c>
      <c r="T751" s="57">
        <f>IFERROR(__xludf.DUMMYFUNCTION("""COMPUTED_VALUE"""),0.8095238095238094)</f>
        <v>0.8095238095</v>
      </c>
      <c r="U751" s="57">
        <f>IFERROR(__xludf.DUMMYFUNCTION("""COMPUTED_VALUE"""),0.5952380952380951)</f>
        <v>0.5952380952</v>
      </c>
      <c r="V751" s="57">
        <f>IFERROR(__xludf.DUMMYFUNCTION("""COMPUTED_VALUE"""),1.3571428571428572)</f>
        <v>1.357142857</v>
      </c>
      <c r="W751" s="57">
        <f>IFERROR(__xludf.DUMMYFUNCTION("""COMPUTED_VALUE"""),2.904761904761905)</f>
        <v>2.904761905</v>
      </c>
      <c r="X751" s="31">
        <f>IFERROR(__xludf.DUMMYFUNCTION("""COMPUTED_VALUE"""),346.57949979444845)</f>
        <v>346.5794998</v>
      </c>
      <c r="Y751" s="57">
        <f>IFERROR(__xludf.DUMMYFUNCTION("""COMPUTED_VALUE"""),0.7562890541365626)</f>
        <v>0.7562890541</v>
      </c>
      <c r="Z751" s="57">
        <f>IFERROR(__xludf.DUMMYFUNCTION("""COMPUTED_VALUE"""),0.5204926970408267)</f>
        <v>0.520492697</v>
      </c>
      <c r="AA751" s="57">
        <f>IFERROR(__xludf.DUMMYFUNCTION("""COMPUTED_VALUE"""),1.3883703281186381)</f>
        <v>1.388370328</v>
      </c>
      <c r="AB751" s="57">
        <f>IFERROR(__xludf.DUMMYFUNCTION("""COMPUTED_VALUE"""),2.5118303567278586)</f>
        <v>2.511830357</v>
      </c>
      <c r="AC751" s="31">
        <f>IFERROR(__xludf.DUMMYFUNCTION("""COMPUTED_VALUE"""),353.19871764629687)</f>
        <v>353.1987176</v>
      </c>
      <c r="AD751" s="57">
        <f>IFERROR(__xludf.DUMMYFUNCTION("""COMPUTED_VALUE"""),0.8150059471595109)</f>
        <v>0.8150059472</v>
      </c>
      <c r="AE751" s="57">
        <f>IFERROR(__xludf.DUMMYFUNCTION("""COMPUTED_VALUE"""),0.5969421750448255)</f>
        <v>0.596942175</v>
      </c>
      <c r="AF751" s="57">
        <f>IFERROR(__xludf.DUMMYFUNCTION("""COMPUTED_VALUE"""),1.2799863823209694)</f>
        <v>1.279986382</v>
      </c>
      <c r="AG751" s="57">
        <f>IFERROR(__xludf.DUMMYFUNCTION("""COMPUTED_VALUE"""),2.6860868636803668)</f>
        <v>2.686086864</v>
      </c>
      <c r="AH751" s="57">
        <f>IFERROR(__xludf.DUMMYFUNCTION("""COMPUTED_VALUE"""),1.1045987362093348)</f>
        <v>1.104598736</v>
      </c>
      <c r="AI751" s="57">
        <f>IFERROR(__xludf.DUMMYFUNCTION("""COMPUTED_VALUE"""),1.0517013527695145)</f>
        <v>1.051701353</v>
      </c>
      <c r="AJ751" s="57">
        <f>IFERROR(__xludf.DUMMYFUNCTION("""COMPUTED_VALUE"""),1.256403101261326)</f>
        <v>1.256403101</v>
      </c>
      <c r="AK751" s="57">
        <f>IFERROR(__xludf.DUMMYFUNCTION("""COMPUTED_VALUE"""),1.2276916326087288)</f>
        <v>1.227691633</v>
      </c>
      <c r="AL751" s="57">
        <f>IFERROR(__xludf.DUMMYFUNCTION("""COMPUTED_VALUE"""),1.1168663383765343)</f>
        <v>1.116866338</v>
      </c>
      <c r="AM751" s="57">
        <f>IFERROR(__xludf.DUMMYFUNCTION("""COMPUTED_VALUE"""),1.0358717263278117)</f>
        <v>1.035871726</v>
      </c>
      <c r="AN751" s="57">
        <f>IFERROR(__xludf.DUMMYFUNCTION("""COMPUTED_VALUE"""),1.0703894299356531)</f>
        <v>1.07038943</v>
      </c>
      <c r="AO751" s="57">
        <f>IFERROR(__xludf.DUMMYFUNCTION("""COMPUTED_VALUE"""),1.1436050853781825)</f>
        <v>1.143605085</v>
      </c>
      <c r="AP751" s="35">
        <f>IFERROR(__xludf.DUMMYFUNCTION("""COMPUTED_VALUE"""),0.9775078231338343)</f>
        <v>0.9775078231</v>
      </c>
      <c r="AQ751" s="57">
        <f>IFERROR(__xludf.DUMMYFUNCTION("""COMPUTED_VALUE"""),1.156432358969463)</f>
        <v>1.156432359</v>
      </c>
      <c r="AR751" s="36" t="b">
        <f>IFERROR(__xludf.DUMMYFUNCTION("""COMPUTED_VALUE"""),TRUE)</f>
        <v>1</v>
      </c>
      <c r="AS751" s="57"/>
      <c r="AT751" s="37"/>
      <c r="AU751" s="30"/>
      <c r="AV751" s="30"/>
      <c r="AW751" s="30"/>
      <c r="AX751" s="30"/>
      <c r="AY751" s="30"/>
      <c r="AZ751" s="30"/>
    </row>
    <row r="752">
      <c r="A752" s="30" t="str">
        <f>IFERROR(__xludf.DUMMYFUNCTION("""COMPUTED_VALUE"""),"Veteran")</f>
        <v>Veteran</v>
      </c>
      <c r="B752" s="30" t="str">
        <f>IFERROR(__xludf.DUMMYFUNCTION("""COMPUTED_VALUE"""),"RSC005491")</f>
        <v>RSC005491</v>
      </c>
      <c r="C752" s="30" t="str">
        <f>IFERROR(__xludf.DUMMYFUNCTION("""COMPUTED_VALUE"""),"Jackowanou")</f>
        <v>Jackowanou</v>
      </c>
      <c r="D752" s="31" t="str">
        <f>IFERROR(__xludf.DUMMYFUNCTION("""COMPUTED_VALUE"""),"Gorillas")</f>
        <v>Gorillas</v>
      </c>
      <c r="E752" s="31">
        <f>IFERROR(__xludf.DUMMYFUNCTION("""COMPUTED_VALUE"""),65.71834560690975)</f>
        <v>65.71834561</v>
      </c>
      <c r="F752" s="31">
        <f>IFERROR(__xludf.DUMMYFUNCTION("""COMPUTED_VALUE"""),3.776981836358438)</f>
        <v>3.776981836</v>
      </c>
      <c r="G752" s="31">
        <f>IFERROR(__xludf.DUMMYFUNCTION("""COMPUTED_VALUE"""),60.53088930959849)</f>
        <v>60.53088931</v>
      </c>
      <c r="H752" s="31">
        <f>IFERROR(__xludf.DUMMYFUNCTION("""COMPUTED_VALUE"""),2.969195761703228)</f>
        <v>2.969195762</v>
      </c>
      <c r="I752" s="54">
        <f>IFERROR(__xludf.DUMMYFUNCTION("""COMPUTED_VALUE"""),48.0)</f>
        <v>48</v>
      </c>
      <c r="J752" s="55">
        <f>IFERROR(__xludf.DUMMYFUNCTION("""COMPUTED_VALUE"""),25.0)</f>
        <v>25</v>
      </c>
      <c r="K752" s="54">
        <f>IFERROR(__xludf.DUMMYFUNCTION("""COMPUTED_VALUE"""),23.0)</f>
        <v>23</v>
      </c>
      <c r="L752" s="56">
        <f>IFERROR(__xludf.DUMMYFUNCTION("""COMPUTED_VALUE"""),0.5208333333333334)</f>
        <v>0.5208333333</v>
      </c>
      <c r="M752" s="56">
        <f>IFERROR(__xludf.DUMMYFUNCTION("""COMPUTED_VALUE"""),0.29545454545454547)</f>
        <v>0.2954545455</v>
      </c>
      <c r="N752" s="31">
        <f>IFERROR(__xludf.DUMMYFUNCTION("""COMPUTED_VALUE"""),380.7916666666667)</f>
        <v>380.7916667</v>
      </c>
      <c r="O752" s="57">
        <f>IFERROR(__xludf.DUMMYFUNCTION("""COMPUTED_VALUE"""),0.8125)</f>
        <v>0.8125</v>
      </c>
      <c r="P752" s="57">
        <f>IFERROR(__xludf.DUMMYFUNCTION("""COMPUTED_VALUE"""),0.7083333333333334)</f>
        <v>0.7083333333</v>
      </c>
      <c r="Q752" s="57">
        <f>IFERROR(__xludf.DUMMYFUNCTION("""COMPUTED_VALUE"""),1.4583333333333333)</f>
        <v>1.458333333</v>
      </c>
      <c r="R752" s="57">
        <f>IFERROR(__xludf.DUMMYFUNCTION("""COMPUTED_VALUE"""),2.75)</f>
        <v>2.75</v>
      </c>
      <c r="S752" s="31">
        <f>IFERROR(__xludf.DUMMYFUNCTION("""COMPUTED_VALUE"""),348.2222222222222)</f>
        <v>348.2222222</v>
      </c>
      <c r="T752" s="57">
        <f>IFERROR(__xludf.DUMMYFUNCTION("""COMPUTED_VALUE"""),0.7638888888888892)</f>
        <v>0.7638888889</v>
      </c>
      <c r="U752" s="57">
        <f>IFERROR(__xludf.DUMMYFUNCTION("""COMPUTED_VALUE"""),0.5347222222222223)</f>
        <v>0.5347222222</v>
      </c>
      <c r="V752" s="57">
        <f>IFERROR(__xludf.DUMMYFUNCTION("""COMPUTED_VALUE"""),1.4374999999999998)</f>
        <v>1.4375</v>
      </c>
      <c r="W752" s="57">
        <f>IFERROR(__xludf.DUMMYFUNCTION("""COMPUTED_VALUE"""),2.4444444444444446)</f>
        <v>2.444444444</v>
      </c>
      <c r="X752" s="31">
        <f>IFERROR(__xludf.DUMMYFUNCTION("""COMPUTED_VALUE"""),352.08397359989266)</f>
        <v>352.0839736</v>
      </c>
      <c r="Y752" s="57">
        <f>IFERROR(__xludf.DUMMYFUNCTION("""COMPUTED_VALUE"""),0.7753080445982747)</f>
        <v>0.7753080446</v>
      </c>
      <c r="Z752" s="57">
        <f>IFERROR(__xludf.DUMMYFUNCTION("""COMPUTED_VALUE"""),0.569631845881312)</f>
        <v>0.5696318459</v>
      </c>
      <c r="AA752" s="57">
        <f>IFERROR(__xludf.DUMMYFUNCTION("""COMPUTED_VALUE"""),1.3555657442868407)</f>
        <v>1.355565744</v>
      </c>
      <c r="AB752" s="57">
        <f>IFERROR(__xludf.DUMMYFUNCTION("""COMPUTED_VALUE"""),2.6651999717564814)</f>
        <v>2.665199972</v>
      </c>
      <c r="AC752" s="31">
        <f>IFERROR(__xludf.DUMMYFUNCTION("""COMPUTED_VALUE"""),363.03290202115244)</f>
        <v>363.032902</v>
      </c>
      <c r="AD752" s="57">
        <f>IFERROR(__xludf.DUMMYFUNCTION("""COMPUTED_VALUE"""),0.8156920149736814)</f>
        <v>0.815692015</v>
      </c>
      <c r="AE752" s="57">
        <f>IFERROR(__xludf.DUMMYFUNCTION("""COMPUTED_VALUE"""),0.613771778153689)</f>
        <v>0.6137717782</v>
      </c>
      <c r="AF752" s="57">
        <f>IFERROR(__xludf.DUMMYFUNCTION("""COMPUTED_VALUE"""),1.396098854679189)</f>
        <v>1.396098855</v>
      </c>
      <c r="AG752" s="57">
        <f>IFERROR(__xludf.DUMMYFUNCTION("""COMPUTED_VALUE"""),2.617702210573915)</f>
        <v>2.617702211</v>
      </c>
      <c r="AH752" s="57">
        <f>IFERROR(__xludf.DUMMYFUNCTION("""COMPUTED_VALUE"""),1.04891778278675)</f>
        <v>1.048917783</v>
      </c>
      <c r="AI752" s="57">
        <f>IFERROR(__xludf.DUMMYFUNCTION("""COMPUTED_VALUE"""),0.9960867399519849)</f>
        <v>0.99608674</v>
      </c>
      <c r="AJ752" s="57">
        <f>IFERROR(__xludf.DUMMYFUNCTION("""COMPUTED_VALUE"""),1.154066313482348)</f>
        <v>1.154066313</v>
      </c>
      <c r="AK752" s="57">
        <f>IFERROR(__xludf.DUMMYFUNCTION("""COMPUTED_VALUE"""),1.044577415449886)</f>
        <v>1.044577415</v>
      </c>
      <c r="AL752" s="57">
        <f>IFERROR(__xludf.DUMMYFUNCTION("""COMPUTED_VALUE"""),1.0505396637141087)</f>
        <v>1.050539664</v>
      </c>
      <c r="AM752" s="57">
        <f>IFERROR(__xludf.DUMMYFUNCTION("""COMPUTED_VALUE"""),0.9890317320093105)</f>
        <v>0.989031732</v>
      </c>
      <c r="AN752" s="57">
        <f>IFERROR(__xludf.DUMMYFUNCTION("""COMPUTED_VALUE"""),0.9852714597907953)</f>
        <v>0.9852714598</v>
      </c>
      <c r="AO752" s="57">
        <f>IFERROR(__xludf.DUMMYFUNCTION("""COMPUTED_VALUE"""),0.9387154634848779)</f>
        <v>0.9387154635</v>
      </c>
      <c r="AP752" s="35">
        <f>IFERROR(__xludf.DUMMYFUNCTION("""COMPUTED_VALUE"""),1.0604428490897462)</f>
        <v>1.060442849</v>
      </c>
      <c r="AQ752" s="57">
        <f>IFERROR(__xludf.DUMMYFUNCTION("""COMPUTED_VALUE"""),0.9171711204969925)</f>
        <v>0.9171711205</v>
      </c>
      <c r="AR752" s="36" t="b">
        <f>IFERROR(__xludf.DUMMYFUNCTION("""COMPUTED_VALUE"""),TRUE)</f>
        <v>1</v>
      </c>
      <c r="AS752" s="57"/>
      <c r="AT752" s="37"/>
      <c r="AU752" s="30"/>
      <c r="AV752" s="30"/>
      <c r="AW752" s="30"/>
      <c r="AX752" s="30"/>
      <c r="AY752" s="30"/>
      <c r="AZ752" s="30"/>
    </row>
    <row r="753">
      <c r="A753" s="30" t="str">
        <f>IFERROR(__xludf.DUMMYFUNCTION("""COMPUTED_VALUE"""),"Veteran")</f>
        <v>Veteran</v>
      </c>
      <c r="B753" s="30" t="str">
        <f>IFERROR(__xludf.DUMMYFUNCTION("""COMPUTED_VALUE"""),"RSC005212")</f>
        <v>RSC005212</v>
      </c>
      <c r="C753" s="30" t="str">
        <f>IFERROR(__xludf.DUMMYFUNCTION("""COMPUTED_VALUE"""),"crackdragon")</f>
        <v>crackdragon</v>
      </c>
      <c r="D753" s="31" t="str">
        <f>IFERROR(__xludf.DUMMYFUNCTION("""COMPUTED_VALUE"""),"Grizzly Bears")</f>
        <v>Grizzly Bears</v>
      </c>
      <c r="E753" s="31">
        <f>IFERROR(__xludf.DUMMYFUNCTION("""COMPUTED_VALUE"""),65.4976000057751)</f>
        <v>65.49760001</v>
      </c>
      <c r="F753" s="31">
        <f>IFERROR(__xludf.DUMMYFUNCTION("""COMPUTED_VALUE"""),3.7360761672648586)</f>
        <v>3.736076167</v>
      </c>
      <c r="G753" s="31">
        <f>IFERROR(__xludf.DUMMYFUNCTION("""COMPUTED_VALUE"""),60.05943282766624)</f>
        <v>60.05943283</v>
      </c>
      <c r="H753" s="31">
        <f>IFERROR(__xludf.DUMMYFUNCTION("""COMPUTED_VALUE"""),2.909487175616513)</f>
        <v>2.909487176</v>
      </c>
      <c r="I753" s="54">
        <f>IFERROR(__xludf.DUMMYFUNCTION("""COMPUTED_VALUE"""),32.0)</f>
        <v>32</v>
      </c>
      <c r="J753" s="55">
        <f>IFERROR(__xludf.DUMMYFUNCTION("""COMPUTED_VALUE"""),19.0)</f>
        <v>19</v>
      </c>
      <c r="K753" s="54">
        <f>IFERROR(__xludf.DUMMYFUNCTION("""COMPUTED_VALUE"""),13.0)</f>
        <v>13</v>
      </c>
      <c r="L753" s="56">
        <f>IFERROR(__xludf.DUMMYFUNCTION("""COMPUTED_VALUE"""),0.59375)</f>
        <v>0.59375</v>
      </c>
      <c r="M753" s="56">
        <f>IFERROR(__xludf.DUMMYFUNCTION("""COMPUTED_VALUE"""),0.2815533980582524)</f>
        <v>0.2815533981</v>
      </c>
      <c r="N753" s="31">
        <f>IFERROR(__xludf.DUMMYFUNCTION("""COMPUTED_VALUE"""),381.6875)</f>
        <v>381.6875</v>
      </c>
      <c r="O753" s="57">
        <f>IFERROR(__xludf.DUMMYFUNCTION("""COMPUTED_VALUE"""),0.90625)</f>
        <v>0.90625</v>
      </c>
      <c r="P753" s="57">
        <f>IFERROR(__xludf.DUMMYFUNCTION("""COMPUTED_VALUE"""),0.5625)</f>
        <v>0.5625</v>
      </c>
      <c r="Q753" s="57">
        <f>IFERROR(__xludf.DUMMYFUNCTION("""COMPUTED_VALUE"""),1.34375)</f>
        <v>1.34375</v>
      </c>
      <c r="R753" s="57">
        <f>IFERROR(__xludf.DUMMYFUNCTION("""COMPUTED_VALUE"""),3.21875)</f>
        <v>3.21875</v>
      </c>
      <c r="S753" s="31">
        <f>IFERROR(__xludf.DUMMYFUNCTION("""COMPUTED_VALUE"""),360.52083333333337)</f>
        <v>360.5208333</v>
      </c>
      <c r="T753" s="57">
        <f>IFERROR(__xludf.DUMMYFUNCTION("""COMPUTED_VALUE"""),0.7916666666666667)</f>
        <v>0.7916666667</v>
      </c>
      <c r="U753" s="57">
        <f>IFERROR(__xludf.DUMMYFUNCTION("""COMPUTED_VALUE"""),0.5625000000000001)</f>
        <v>0.5625</v>
      </c>
      <c r="V753" s="57">
        <f>IFERROR(__xludf.DUMMYFUNCTION("""COMPUTED_VALUE"""),1.4895833333333335)</f>
        <v>1.489583333</v>
      </c>
      <c r="W753" s="57">
        <f>IFERROR(__xludf.DUMMYFUNCTION("""COMPUTED_VALUE"""),2.53125)</f>
        <v>2.53125</v>
      </c>
      <c r="X753" s="31">
        <f>IFERROR(__xludf.DUMMYFUNCTION("""COMPUTED_VALUE"""),355.3498826432525)</f>
        <v>355.3498826</v>
      </c>
      <c r="Y753" s="57">
        <f>IFERROR(__xludf.DUMMYFUNCTION("""COMPUTED_VALUE"""),0.7574031599626805)</f>
        <v>0.75740316</v>
      </c>
      <c r="Z753" s="57">
        <f>IFERROR(__xludf.DUMMYFUNCTION("""COMPUTED_VALUE"""),0.572352361274972)</f>
        <v>0.5723523613</v>
      </c>
      <c r="AA753" s="57">
        <f>IFERROR(__xludf.DUMMYFUNCTION("""COMPUTED_VALUE"""),1.4890570407254105)</f>
        <v>1.489057041</v>
      </c>
      <c r="AB753" s="57">
        <f>IFERROR(__xludf.DUMMYFUNCTION("""COMPUTED_VALUE"""),2.5189556330866254)</f>
        <v>2.518955633</v>
      </c>
      <c r="AC753" s="31">
        <f>IFERROR(__xludf.DUMMYFUNCTION("""COMPUTED_VALUE"""),356.1366532152917)</f>
        <v>356.1366532</v>
      </c>
      <c r="AD753" s="57">
        <f>IFERROR(__xludf.DUMMYFUNCTION("""COMPUTED_VALUE"""),0.8289484580989859)</f>
        <v>0.8289484581</v>
      </c>
      <c r="AE753" s="57">
        <f>IFERROR(__xludf.DUMMYFUNCTION("""COMPUTED_VALUE"""),0.5881189044390529)</f>
        <v>0.5881189044</v>
      </c>
      <c r="AF753" s="57">
        <f>IFERROR(__xludf.DUMMYFUNCTION("""COMPUTED_VALUE"""),1.3239262495113122)</f>
        <v>1.32392625</v>
      </c>
      <c r="AG753" s="57">
        <f>IFERROR(__xludf.DUMMYFUNCTION("""COMPUTED_VALUE"""),2.7769445840272313)</f>
        <v>2.776944584</v>
      </c>
      <c r="AH753" s="57">
        <f>IFERROR(__xludf.DUMMYFUNCTION("""COMPUTED_VALUE"""),1.071744501875976)</f>
        <v>1.071744502</v>
      </c>
      <c r="AI753" s="57">
        <f>IFERROR(__xludf.DUMMYFUNCTION("""COMPUTED_VALUE"""),1.0932525311384118)</f>
        <v>1.093252531</v>
      </c>
      <c r="AJ753" s="57">
        <f>IFERROR(__xludf.DUMMYFUNCTION("""COMPUTED_VALUE"""),0.9564392434154312)</f>
        <v>0.9564392434</v>
      </c>
      <c r="AK753" s="57">
        <f>IFERROR(__xludf.DUMMYFUNCTION("""COMPUTED_VALUE"""),1.0149734552781964)</f>
        <v>1.014973455</v>
      </c>
      <c r="AL753" s="57">
        <f>IFERROR(__xludf.DUMMYFUNCTION("""COMPUTED_VALUE"""),1.1590976710568872)</f>
        <v>1.159097671</v>
      </c>
      <c r="AM753" s="57">
        <f>IFERROR(__xludf.DUMMYFUNCTION("""COMPUTED_VALUE"""),1.0145517163298803)</f>
        <v>1.014551716</v>
      </c>
      <c r="AN753" s="57">
        <f>IFERROR(__xludf.DUMMYFUNCTION("""COMPUTED_VALUE"""),1.0452381354015932)</f>
        <v>1.045238135</v>
      </c>
      <c r="AO753" s="57">
        <f>IFERROR(__xludf.DUMMYFUNCTION("""COMPUTED_VALUE"""),0.9827861961589103)</f>
        <v>0.9827861962</v>
      </c>
      <c r="AP753" s="35">
        <f>IFERROR(__xludf.DUMMYFUNCTION("""COMPUTED_VALUE"""),1.000353440193041)</f>
        <v>1.00035344</v>
      </c>
      <c r="AQ753" s="57">
        <f>IFERROR(__xludf.DUMMYFUNCTION("""COMPUTED_VALUE"""),1.0048807397605133)</f>
        <v>1.00488074</v>
      </c>
      <c r="AR753" s="36" t="b">
        <f>IFERROR(__xludf.DUMMYFUNCTION("""COMPUTED_VALUE"""),TRUE)</f>
        <v>1</v>
      </c>
      <c r="AS753" s="57"/>
      <c r="AT753" s="37"/>
      <c r="AU753" s="30"/>
      <c r="AV753" s="30"/>
      <c r="AW753" s="30"/>
      <c r="AX753" s="30"/>
      <c r="AY753" s="30"/>
      <c r="AZ753" s="30"/>
    </row>
    <row r="754">
      <c r="A754" s="30" t="str">
        <f>IFERROR(__xludf.DUMMYFUNCTION("""COMPUTED_VALUE"""),"Veteran")</f>
        <v>Veteran</v>
      </c>
      <c r="B754" s="30" t="str">
        <f>IFERROR(__xludf.DUMMYFUNCTION("""COMPUTED_VALUE"""),"RSC007856")</f>
        <v>RSC007856</v>
      </c>
      <c r="C754" s="30" t="str">
        <f>IFERROR(__xludf.DUMMYFUNCTION("""COMPUTED_VALUE"""),"Captain Daddy")</f>
        <v>Captain Daddy</v>
      </c>
      <c r="D754" s="31" t="str">
        <f>IFERROR(__xludf.DUMMYFUNCTION("""COMPUTED_VALUE"""),"Repossessed")</f>
        <v>Repossessed</v>
      </c>
      <c r="E754" s="31">
        <f>IFERROR(__xludf.DUMMYFUNCTION("""COMPUTED_VALUE"""),64.65345399108776)</f>
        <v>64.65345399</v>
      </c>
      <c r="F754" s="31">
        <f>IFERROR(__xludf.DUMMYFUNCTION("""COMPUTED_VALUE"""),3.5856258916182133)</f>
        <v>3.585625892</v>
      </c>
      <c r="G754" s="31">
        <f>IFERROR(__xludf.DUMMYFUNCTION("""COMPUTED_VALUE"""),64.5551033773275)</f>
        <v>64.55510338</v>
      </c>
      <c r="H754" s="31">
        <f>IFERROR(__xludf.DUMMYFUNCTION("""COMPUTED_VALUE"""),3.568693496730625)</f>
        <v>3.568693497</v>
      </c>
      <c r="I754" s="54">
        <f>IFERROR(__xludf.DUMMYFUNCTION("""COMPUTED_VALUE"""),36.0)</f>
        <v>36</v>
      </c>
      <c r="J754" s="55">
        <f>IFERROR(__xludf.DUMMYFUNCTION("""COMPUTED_VALUE"""),19.0)</f>
        <v>19</v>
      </c>
      <c r="K754" s="54">
        <f>IFERROR(__xludf.DUMMYFUNCTION("""COMPUTED_VALUE"""),17.0)</f>
        <v>17</v>
      </c>
      <c r="L754" s="56">
        <f>IFERROR(__xludf.DUMMYFUNCTION("""COMPUTED_VALUE"""),0.5277777777777778)</f>
        <v>0.5277777778</v>
      </c>
      <c r="M754" s="56">
        <f>IFERROR(__xludf.DUMMYFUNCTION("""COMPUTED_VALUE"""),0.3033707865168539)</f>
        <v>0.3033707865</v>
      </c>
      <c r="N754" s="31">
        <f>IFERROR(__xludf.DUMMYFUNCTION("""COMPUTED_VALUE"""),377.69444444444446)</f>
        <v>377.6944444</v>
      </c>
      <c r="O754" s="57">
        <f>IFERROR(__xludf.DUMMYFUNCTION("""COMPUTED_VALUE"""),0.75)</f>
        <v>0.75</v>
      </c>
      <c r="P754" s="57">
        <f>IFERROR(__xludf.DUMMYFUNCTION("""COMPUTED_VALUE"""),0.6388888888888888)</f>
        <v>0.6388888889</v>
      </c>
      <c r="Q754" s="57">
        <f>IFERROR(__xludf.DUMMYFUNCTION("""COMPUTED_VALUE"""),1.6388888888888888)</f>
        <v>1.638888889</v>
      </c>
      <c r="R754" s="57">
        <f>IFERROR(__xludf.DUMMYFUNCTION("""COMPUTED_VALUE"""),2.4722222222222223)</f>
        <v>2.472222222</v>
      </c>
      <c r="S754" s="31">
        <f>IFERROR(__xludf.DUMMYFUNCTION("""COMPUTED_VALUE"""),329.47222222222223)</f>
        <v>329.4722222</v>
      </c>
      <c r="T754" s="57">
        <f>IFERROR(__xludf.DUMMYFUNCTION("""COMPUTED_VALUE"""),0.648148148148148)</f>
        <v>0.6481481481</v>
      </c>
      <c r="U754" s="57">
        <f>IFERROR(__xludf.DUMMYFUNCTION("""COMPUTED_VALUE"""),0.45370370370370366)</f>
        <v>0.4537037037</v>
      </c>
      <c r="V754" s="57">
        <f>IFERROR(__xludf.DUMMYFUNCTION("""COMPUTED_VALUE"""),1.3518518518518516)</f>
        <v>1.351851852</v>
      </c>
      <c r="W754" s="57">
        <f>IFERROR(__xludf.DUMMYFUNCTION("""COMPUTED_VALUE"""),2.444444444444444)</f>
        <v>2.444444444</v>
      </c>
      <c r="X754" s="31">
        <f>IFERROR(__xludf.DUMMYFUNCTION("""COMPUTED_VALUE"""),347.30620823706545)</f>
        <v>347.3062082</v>
      </c>
      <c r="Y754" s="57">
        <f>IFERROR(__xludf.DUMMYFUNCTION("""COMPUTED_VALUE"""),0.7569957123852785)</f>
        <v>0.7569957124</v>
      </c>
      <c r="Z754" s="57">
        <f>IFERROR(__xludf.DUMMYFUNCTION("""COMPUTED_VALUE"""),0.5370473755064755)</f>
        <v>0.5370473755</v>
      </c>
      <c r="AA754" s="57">
        <f>IFERROR(__xludf.DUMMYFUNCTION("""COMPUTED_VALUE"""),1.3564619627291263)</f>
        <v>1.356461963</v>
      </c>
      <c r="AB754" s="57">
        <f>IFERROR(__xludf.DUMMYFUNCTION("""COMPUTED_VALUE"""),2.55983659473466)</f>
        <v>2.559836595</v>
      </c>
      <c r="AC754" s="31">
        <f>IFERROR(__xludf.DUMMYFUNCTION("""COMPUTED_VALUE"""),347.11683545198986)</f>
        <v>347.1168355</v>
      </c>
      <c r="AD754" s="57">
        <f>IFERROR(__xludf.DUMMYFUNCTION("""COMPUTED_VALUE"""),0.7314855498687801)</f>
        <v>0.7314855499</v>
      </c>
      <c r="AE754" s="57">
        <f>IFERROR(__xludf.DUMMYFUNCTION("""COMPUTED_VALUE"""),0.5435603931737301)</f>
        <v>0.5435603932</v>
      </c>
      <c r="AF754" s="57">
        <f>IFERROR(__xludf.DUMMYFUNCTION("""COMPUTED_VALUE"""),1.381239893412613)</f>
        <v>1.381239893</v>
      </c>
      <c r="AG754" s="57">
        <f>IFERROR(__xludf.DUMMYFUNCTION("""COMPUTED_VALUE"""),2.5083366647486995)</f>
        <v>2.508336665</v>
      </c>
      <c r="AH754" s="57">
        <f>IFERROR(__xludf.DUMMYFUNCTION("""COMPUTED_VALUE"""),1.088090250513602)</f>
        <v>1.088090251</v>
      </c>
      <c r="AI754" s="57">
        <f>IFERROR(__xludf.DUMMYFUNCTION("""COMPUTED_VALUE"""),1.0253107530757664)</f>
        <v>1.025310753</v>
      </c>
      <c r="AJ754" s="57">
        <f>IFERROR(__xludf.DUMMYFUNCTION("""COMPUTED_VALUE"""),1.1753779284001113)</f>
        <v>1.175377928</v>
      </c>
      <c r="AK754" s="57">
        <f>IFERROR(__xludf.DUMMYFUNCTION("""COMPUTED_VALUE"""),1.1865345742655213)</f>
        <v>1.186534574</v>
      </c>
      <c r="AL754" s="57">
        <f>IFERROR(__xludf.DUMMYFUNCTION("""COMPUTED_VALUE"""),0.985602234726296)</f>
        <v>0.9856022347</v>
      </c>
      <c r="AM754" s="57">
        <f>IFERROR(__xludf.DUMMYFUNCTION("""COMPUTED_VALUE"""),0.9486505406702375)</f>
        <v>0.9486505407</v>
      </c>
      <c r="AN754" s="57">
        <f>IFERROR(__xludf.DUMMYFUNCTION("""COMPUTED_VALUE"""),0.8562111218646749)</f>
        <v>0.8562111219</v>
      </c>
      <c r="AO754" s="57">
        <f>IFERROR(__xludf.DUMMYFUNCTION("""COMPUTED_VALUE"""),0.8448113227921976)</f>
        <v>0.8448113228</v>
      </c>
      <c r="AP754" s="35">
        <f>IFERROR(__xludf.DUMMYFUNCTION("""COMPUTED_VALUE"""),0.9966013710638819)</f>
        <v>0.9966013711</v>
      </c>
      <c r="AQ754" s="57">
        <f>IFERROR(__xludf.DUMMYFUNCTION("""COMPUTED_VALUE"""),0.9549220639600331)</f>
        <v>0.954922064</v>
      </c>
      <c r="AR754" s="36" t="b">
        <f>IFERROR(__xludf.DUMMYFUNCTION("""COMPUTED_VALUE"""),TRUE)</f>
        <v>1</v>
      </c>
      <c r="AS754" s="57"/>
      <c r="AT754" s="37"/>
      <c r="AU754" s="30"/>
      <c r="AV754" s="30"/>
      <c r="AW754" s="30"/>
      <c r="AX754" s="30"/>
      <c r="AY754" s="30"/>
      <c r="AZ754" s="30"/>
    </row>
    <row r="755">
      <c r="A755" s="30" t="str">
        <f>IFERROR(__xludf.DUMMYFUNCTION("""COMPUTED_VALUE"""),"Veteran")</f>
        <v>Veteran</v>
      </c>
      <c r="B755" s="30" t="str">
        <f>IFERROR(__xludf.DUMMYFUNCTION("""COMPUTED_VALUE"""),"RSC001203")</f>
        <v>RSC001203</v>
      </c>
      <c r="C755" s="30" t="str">
        <f>IFERROR(__xludf.DUMMYFUNCTION("""COMPUTED_VALUE"""),"Clyde")</f>
        <v>Clyde</v>
      </c>
      <c r="D755" s="31" t="str">
        <f>IFERROR(__xludf.DUMMYFUNCTION("""COMPUTED_VALUE"""),"Banshees")</f>
        <v>Banshees</v>
      </c>
      <c r="E755" s="31">
        <f>IFERROR(__xludf.DUMMYFUNCTION("""COMPUTED_VALUE"""),64.57482265179732)</f>
        <v>64.57482265</v>
      </c>
      <c r="F755" s="31">
        <f>IFERROR(__xludf.DUMMYFUNCTION("""COMPUTED_VALUE"""),3.572078716826135)</f>
        <v>3.572078717</v>
      </c>
      <c r="G755" s="31">
        <f>IFERROR(__xludf.DUMMYFUNCTION("""COMPUTED_VALUE"""),62.10521493606403)</f>
        <v>62.10521494</v>
      </c>
      <c r="H755" s="31">
        <f>IFERROR(__xludf.DUMMYFUNCTION("""COMPUTED_VALUE"""),3.1835077188649747)</f>
        <v>3.183507719</v>
      </c>
      <c r="I755" s="54">
        <f>IFERROR(__xludf.DUMMYFUNCTION("""COMPUTED_VALUE"""),28.0)</f>
        <v>28</v>
      </c>
      <c r="J755" s="55">
        <f>IFERROR(__xludf.DUMMYFUNCTION("""COMPUTED_VALUE"""),15.0)</f>
        <v>15</v>
      </c>
      <c r="K755" s="54">
        <f>IFERROR(__xludf.DUMMYFUNCTION("""COMPUTED_VALUE"""),13.0)</f>
        <v>13</v>
      </c>
      <c r="L755" s="56">
        <f>IFERROR(__xludf.DUMMYFUNCTION("""COMPUTED_VALUE"""),0.5357142857142857)</f>
        <v>0.5357142857</v>
      </c>
      <c r="M755" s="56">
        <f>IFERROR(__xludf.DUMMYFUNCTION("""COMPUTED_VALUE"""),0.2625)</f>
        <v>0.2625</v>
      </c>
      <c r="N755" s="31">
        <f>IFERROR(__xludf.DUMMYFUNCTION("""COMPUTED_VALUE"""),358.35714285714283)</f>
        <v>358.3571429</v>
      </c>
      <c r="O755" s="57">
        <f>IFERROR(__xludf.DUMMYFUNCTION("""COMPUTED_VALUE"""),0.75)</f>
        <v>0.75</v>
      </c>
      <c r="P755" s="57">
        <f>IFERROR(__xludf.DUMMYFUNCTION("""COMPUTED_VALUE"""),0.7142857142857143)</f>
        <v>0.7142857143</v>
      </c>
      <c r="Q755" s="57">
        <f>IFERROR(__xludf.DUMMYFUNCTION("""COMPUTED_VALUE"""),1.5)</f>
        <v>1.5</v>
      </c>
      <c r="R755" s="57">
        <f>IFERROR(__xludf.DUMMYFUNCTION("""COMPUTED_VALUE"""),2.857142857142857)</f>
        <v>2.857142857</v>
      </c>
      <c r="S755" s="31">
        <f>IFERROR(__xludf.DUMMYFUNCTION("""COMPUTED_VALUE"""),340.3690476190476)</f>
        <v>340.3690476</v>
      </c>
      <c r="T755" s="57">
        <f>IFERROR(__xludf.DUMMYFUNCTION("""COMPUTED_VALUE"""),0.7023809523809526)</f>
        <v>0.7023809524</v>
      </c>
      <c r="U755" s="57">
        <f>IFERROR(__xludf.DUMMYFUNCTION("""COMPUTED_VALUE"""),0.5119047619047618)</f>
        <v>0.5119047619</v>
      </c>
      <c r="V755" s="57">
        <f>IFERROR(__xludf.DUMMYFUNCTION("""COMPUTED_VALUE"""),1.440476190476191)</f>
        <v>1.44047619</v>
      </c>
      <c r="W755" s="57">
        <f>IFERROR(__xludf.DUMMYFUNCTION("""COMPUTED_VALUE"""),2.3809523809523805)</f>
        <v>2.380952381</v>
      </c>
      <c r="X755" s="31">
        <f>IFERROR(__xludf.DUMMYFUNCTION("""COMPUTED_VALUE"""),355.89231314624755)</f>
        <v>355.8923131</v>
      </c>
      <c r="Y755" s="57">
        <f>IFERROR(__xludf.DUMMYFUNCTION("""COMPUTED_VALUE"""),0.8022192241561633)</f>
        <v>0.8022192242</v>
      </c>
      <c r="Z755" s="57">
        <f>IFERROR(__xludf.DUMMYFUNCTION("""COMPUTED_VALUE"""),0.5658138689746225)</f>
        <v>0.565813869</v>
      </c>
      <c r="AA755" s="57">
        <f>IFERROR(__xludf.DUMMYFUNCTION("""COMPUTED_VALUE"""),1.3882222791275596)</f>
        <v>1.388222279</v>
      </c>
      <c r="AB755" s="57">
        <f>IFERROR(__xludf.DUMMYFUNCTION("""COMPUTED_VALUE"""),2.6149210032561996)</f>
        <v>2.614921003</v>
      </c>
      <c r="AC755" s="31">
        <f>IFERROR(__xludf.DUMMYFUNCTION("""COMPUTED_VALUE"""),358.69227056313855)</f>
        <v>358.6922706</v>
      </c>
      <c r="AD755" s="57">
        <f>IFERROR(__xludf.DUMMYFUNCTION("""COMPUTED_VALUE"""),0.8169582460126931)</f>
        <v>0.816958246</v>
      </c>
      <c r="AE755" s="57">
        <f>IFERROR(__xludf.DUMMYFUNCTION("""COMPUTED_VALUE"""),0.5973379301181924)</f>
        <v>0.5973379301</v>
      </c>
      <c r="AF755" s="57">
        <f>IFERROR(__xludf.DUMMYFUNCTION("""COMPUTED_VALUE"""),1.3489529370764828)</f>
        <v>1.348952937</v>
      </c>
      <c r="AG755" s="57">
        <f>IFERROR(__xludf.DUMMYFUNCTION("""COMPUTED_VALUE"""),2.688447914276605)</f>
        <v>2.688447914</v>
      </c>
      <c r="AH755" s="57">
        <f>IFERROR(__xludf.DUMMYFUNCTION("""COMPUTED_VALUE"""),0.9990656957690514)</f>
        <v>0.9990656958</v>
      </c>
      <c r="AI755" s="57">
        <f>IFERROR(__xludf.DUMMYFUNCTION("""COMPUTED_VALUE"""),0.9180395738221697)</f>
        <v>0.9180395738</v>
      </c>
      <c r="AJ755" s="57">
        <f>IFERROR(__xludf.DUMMYFUNCTION("""COMPUTED_VALUE"""),1.1957816141767224)</f>
        <v>1.195781614</v>
      </c>
      <c r="AK755" s="57">
        <f>IFERROR(__xludf.DUMMYFUNCTION("""COMPUTED_VALUE"""),1.1119735602124665)</f>
        <v>1.11197356</v>
      </c>
      <c r="AL755" s="57">
        <f>IFERROR(__xludf.DUMMYFUNCTION("""COMPUTED_VALUE"""),1.0627480792803992)</f>
        <v>1.062748079</v>
      </c>
      <c r="AM755" s="57">
        <f>IFERROR(__xludf.DUMMYFUNCTION("""COMPUTED_VALUE"""),0.9563821275318725)</f>
        <v>0.9563821275</v>
      </c>
      <c r="AN755" s="57">
        <f>IFERROR(__xludf.DUMMYFUNCTION("""COMPUTED_VALUE"""),0.875547395563565)</f>
        <v>0.8755473956</v>
      </c>
      <c r="AO755" s="57">
        <f>IFERROR(__xludf.DUMMYFUNCTION("""COMPUTED_VALUE"""),0.9047228955918741)</f>
        <v>0.9047228956</v>
      </c>
      <c r="AP755" s="35">
        <f>IFERROR(__xludf.DUMMYFUNCTION("""COMPUTED_VALUE"""),1.0376408822522794)</f>
        <v>1.037640882</v>
      </c>
      <c r="AQ755" s="57">
        <f>IFERROR(__xludf.DUMMYFUNCTION("""COMPUTED_VALUE"""),0.9105255485682082)</f>
        <v>0.9105255486</v>
      </c>
      <c r="AR755" s="36" t="b">
        <f>IFERROR(__xludf.DUMMYFUNCTION("""COMPUTED_VALUE"""),TRUE)</f>
        <v>1</v>
      </c>
      <c r="AS755" s="57"/>
      <c r="AT755" s="37"/>
      <c r="AU755" s="30"/>
      <c r="AV755" s="30"/>
      <c r="AW755" s="30"/>
      <c r="AX755" s="30"/>
      <c r="AY755" s="30"/>
      <c r="AZ755" s="30"/>
    </row>
    <row r="756">
      <c r="A756" s="30" t="str">
        <f>IFERROR(__xludf.DUMMYFUNCTION("""COMPUTED_VALUE"""),"Veteran")</f>
        <v>Veteran</v>
      </c>
      <c r="B756" s="30" t="str">
        <f>IFERROR(__xludf.DUMMYFUNCTION("""COMPUTED_VALUE"""),"RSC006140")</f>
        <v>RSC006140</v>
      </c>
      <c r="C756" s="30" t="str">
        <f>IFERROR(__xludf.DUMMYFUNCTION("""COMPUTED_VALUE"""),"Jay_Kay99")</f>
        <v>Jay_Kay99</v>
      </c>
      <c r="D756" s="31" t="str">
        <f>IFERROR(__xludf.DUMMYFUNCTION("""COMPUTED_VALUE"""),"Blacksmiths")</f>
        <v>Blacksmiths</v>
      </c>
      <c r="E756" s="31">
        <f>IFERROR(__xludf.DUMMYFUNCTION("""COMPUTED_VALUE"""),64.06410784743068)</f>
        <v>64.06410785</v>
      </c>
      <c r="F756" s="31">
        <f>IFERROR(__xludf.DUMMYFUNCTION("""COMPUTED_VALUE"""),3.485950585758708)</f>
        <v>3.485950586</v>
      </c>
      <c r="G756" s="31">
        <f>IFERROR(__xludf.DUMMYFUNCTION("""COMPUTED_VALUE"""),57.98044713954257)</f>
        <v>57.98044714</v>
      </c>
      <c r="H756" s="31">
        <f>IFERROR(__xludf.DUMMYFUNCTION("""COMPUTED_VALUE"""),2.6682274190034967)</f>
        <v>2.668227419</v>
      </c>
      <c r="I756" s="54">
        <f>IFERROR(__xludf.DUMMYFUNCTION("""COMPUTED_VALUE"""),40.0)</f>
        <v>40</v>
      </c>
      <c r="J756" s="55">
        <f>IFERROR(__xludf.DUMMYFUNCTION("""COMPUTED_VALUE"""),21.0)</f>
        <v>21</v>
      </c>
      <c r="K756" s="54">
        <f>IFERROR(__xludf.DUMMYFUNCTION("""COMPUTED_VALUE"""),19.0)</f>
        <v>19</v>
      </c>
      <c r="L756" s="56">
        <f>IFERROR(__xludf.DUMMYFUNCTION("""COMPUTED_VALUE"""),0.525)</f>
        <v>0.525</v>
      </c>
      <c r="M756" s="56">
        <f>IFERROR(__xludf.DUMMYFUNCTION("""COMPUTED_VALUE"""),0.34545454545454546)</f>
        <v>0.3454545455</v>
      </c>
      <c r="N756" s="31">
        <f>IFERROR(__xludf.DUMMYFUNCTION("""COMPUTED_VALUE"""),362.975)</f>
        <v>362.975</v>
      </c>
      <c r="O756" s="57">
        <f>IFERROR(__xludf.DUMMYFUNCTION("""COMPUTED_VALUE"""),0.95)</f>
        <v>0.95</v>
      </c>
      <c r="P756" s="57">
        <f>IFERROR(__xludf.DUMMYFUNCTION("""COMPUTED_VALUE"""),0.575)</f>
        <v>0.575</v>
      </c>
      <c r="Q756" s="57">
        <f>IFERROR(__xludf.DUMMYFUNCTION("""COMPUTED_VALUE"""),1.275)</f>
        <v>1.275</v>
      </c>
      <c r="R756" s="57">
        <f>IFERROR(__xludf.DUMMYFUNCTION("""COMPUTED_VALUE"""),2.75)</f>
        <v>2.75</v>
      </c>
      <c r="S756" s="31">
        <f>IFERROR(__xludf.DUMMYFUNCTION("""COMPUTED_VALUE"""),365.67499999999995)</f>
        <v>365.675</v>
      </c>
      <c r="T756" s="57">
        <f>IFERROR(__xludf.DUMMYFUNCTION("""COMPUTED_VALUE"""),0.7833333333333334)</f>
        <v>0.7833333333</v>
      </c>
      <c r="U756" s="57">
        <f>IFERROR(__xludf.DUMMYFUNCTION("""COMPUTED_VALUE"""),0.6500000000000001)</f>
        <v>0.65</v>
      </c>
      <c r="V756" s="57">
        <f>IFERROR(__xludf.DUMMYFUNCTION("""COMPUTED_VALUE"""),1.5166666666666666)</f>
        <v>1.516666667</v>
      </c>
      <c r="W756" s="57">
        <f>IFERROR(__xludf.DUMMYFUNCTION("""COMPUTED_VALUE"""),2.4416666666666664)</f>
        <v>2.441666667</v>
      </c>
      <c r="X756" s="31">
        <f>IFERROR(__xludf.DUMMYFUNCTION("""COMPUTED_VALUE"""),353.1745491670571)</f>
        <v>353.1745492</v>
      </c>
      <c r="Y756" s="57">
        <f>IFERROR(__xludf.DUMMYFUNCTION("""COMPUTED_VALUE"""),0.7834044574806335)</f>
        <v>0.7834044575</v>
      </c>
      <c r="Z756" s="57">
        <f>IFERROR(__xludf.DUMMYFUNCTION("""COMPUTED_VALUE"""),0.5906890214343449)</f>
        <v>0.5906890214</v>
      </c>
      <c r="AA756" s="57">
        <f>IFERROR(__xludf.DUMMYFUNCTION("""COMPUTED_VALUE"""),1.3837620074693955)</f>
        <v>1.383762007</v>
      </c>
      <c r="AB756" s="57">
        <f>IFERROR(__xludf.DUMMYFUNCTION("""COMPUTED_VALUE"""),2.5855489571479344)</f>
        <v>2.585548957</v>
      </c>
      <c r="AC756" s="31">
        <f>IFERROR(__xludf.DUMMYFUNCTION("""COMPUTED_VALUE"""),349.3694448349329)</f>
        <v>349.3694448</v>
      </c>
      <c r="AD756" s="57">
        <f>IFERROR(__xludf.DUMMYFUNCTION("""COMPUTED_VALUE"""),0.793850201179862)</f>
        <v>0.7938502012</v>
      </c>
      <c r="AE756" s="57">
        <f>IFERROR(__xludf.DUMMYFUNCTION("""COMPUTED_VALUE"""),0.5599955766459194)</f>
        <v>0.5599955766</v>
      </c>
      <c r="AF756" s="57">
        <f>IFERROR(__xludf.DUMMYFUNCTION("""COMPUTED_VALUE"""),1.3247533733278447)</f>
        <v>1.324753373</v>
      </c>
      <c r="AG756" s="57">
        <f>IFERROR(__xludf.DUMMYFUNCTION("""COMPUTED_VALUE"""),2.60737560705299)</f>
        <v>2.607375607</v>
      </c>
      <c r="AH756" s="57">
        <f>IFERROR(__xludf.DUMMYFUNCTION("""COMPUTED_VALUE"""),1.0389431742420845)</f>
        <v>1.038943174</v>
      </c>
      <c r="AI756" s="57">
        <f>IFERROR(__xludf.DUMMYFUNCTION("""COMPUTED_VALUE"""),1.1966993251221199)</f>
        <v>1.196699325</v>
      </c>
      <c r="AJ756" s="57">
        <f>IFERROR(__xludf.DUMMYFUNCTION("""COMPUTED_VALUE"""),1.0267938247725978)</f>
        <v>1.026793825</v>
      </c>
      <c r="AK756" s="57">
        <f>IFERROR(__xludf.DUMMYFUNCTION("""COMPUTED_VALUE"""),0.9624432937257884)</f>
        <v>0.9624432937</v>
      </c>
      <c r="AL756" s="57">
        <f>IFERROR(__xludf.DUMMYFUNCTION("""COMPUTED_VALUE"""),1.0547003632929637)</f>
        <v>1.054700363</v>
      </c>
      <c r="AM756" s="57">
        <f>IFERROR(__xludf.DUMMYFUNCTION("""COMPUTED_VALUE"""),1.0353945403552565)</f>
        <v>1.03539454</v>
      </c>
      <c r="AN756" s="57">
        <f>IFERROR(__xludf.DUMMYFUNCTION("""COMPUTED_VALUE"""),0.9999092114595202)</f>
        <v>0.9999092115</v>
      </c>
      <c r="AO756" s="57">
        <f>IFERROR(__xludf.DUMMYFUNCTION("""COMPUTED_VALUE"""),1.1004098204189285)</f>
        <v>1.10040982</v>
      </c>
      <c r="AP756" s="35">
        <f>IFERROR(__xludf.DUMMYFUNCTION("""COMPUTED_VALUE"""),1.096045894077064)</f>
        <v>1.096045894</v>
      </c>
      <c r="AQ756" s="57">
        <f>IFERROR(__xludf.DUMMYFUNCTION("""COMPUTED_VALUE"""),0.9443513571524162)</f>
        <v>0.9443513572</v>
      </c>
      <c r="AR756" s="36" t="b">
        <f>IFERROR(__xludf.DUMMYFUNCTION("""COMPUTED_VALUE"""),TRUE)</f>
        <v>1</v>
      </c>
      <c r="AS756" s="57"/>
      <c r="AT756" s="37"/>
      <c r="AU756" s="30"/>
      <c r="AV756" s="30"/>
      <c r="AW756" s="30"/>
      <c r="AX756" s="30"/>
      <c r="AY756" s="30"/>
      <c r="AZ756" s="30"/>
    </row>
    <row r="757">
      <c r="A757" s="30" t="str">
        <f>IFERROR(__xludf.DUMMYFUNCTION("""COMPUTED_VALUE"""),"Veteran")</f>
        <v>Veteran</v>
      </c>
      <c r="B757" s="30" t="str">
        <f>IFERROR(__xludf.DUMMYFUNCTION("""COMPUTED_VALUE"""),"RSC003272")</f>
        <v>RSC003272</v>
      </c>
      <c r="C757" s="30" t="str">
        <f>IFERROR(__xludf.DUMMYFUNCTION("""COMPUTED_VALUE"""),"jknop2")</f>
        <v>jknop2</v>
      </c>
      <c r="D757" s="31" t="str">
        <f>IFERROR(__xludf.DUMMYFUNCTION("""COMPUTED_VALUE"""),"Singularity")</f>
        <v>Singularity</v>
      </c>
      <c r="E757" s="31">
        <f>IFERROR(__xludf.DUMMYFUNCTION("""COMPUTED_VALUE"""),63.706769208280804)</f>
        <v>63.70676921</v>
      </c>
      <c r="F757" s="31">
        <f>IFERROR(__xludf.DUMMYFUNCTION("""COMPUTED_VALUE"""),3.427556895643196)</f>
        <v>3.427556896</v>
      </c>
      <c r="G757" s="31">
        <f>IFERROR(__xludf.DUMMYFUNCTION("""COMPUTED_VALUE"""),54.79358770946047)</f>
        <v>54.79358771</v>
      </c>
      <c r="H757" s="31">
        <f>IFERROR(__xludf.DUMMYFUNCTION("""COMPUTED_VALUE"""),2.358648763769095)</f>
        <v>2.358648764</v>
      </c>
      <c r="I757" s="54">
        <f>IFERROR(__xludf.DUMMYFUNCTION("""COMPUTED_VALUE"""),44.0)</f>
        <v>44</v>
      </c>
      <c r="J757" s="55">
        <f>IFERROR(__xludf.DUMMYFUNCTION("""COMPUTED_VALUE"""),25.0)</f>
        <v>25</v>
      </c>
      <c r="K757" s="54">
        <f>IFERROR(__xludf.DUMMYFUNCTION("""COMPUTED_VALUE"""),19.0)</f>
        <v>19</v>
      </c>
      <c r="L757" s="56">
        <f>IFERROR(__xludf.DUMMYFUNCTION("""COMPUTED_VALUE"""),0.5681818181818182)</f>
        <v>0.5681818182</v>
      </c>
      <c r="M757" s="56">
        <f>IFERROR(__xludf.DUMMYFUNCTION("""COMPUTED_VALUE"""),0.27777777777777773)</f>
        <v>0.2777777778</v>
      </c>
      <c r="N757" s="31">
        <f>IFERROR(__xludf.DUMMYFUNCTION("""COMPUTED_VALUE"""),393.59090909090907)</f>
        <v>393.5909091</v>
      </c>
      <c r="O757" s="57">
        <f>IFERROR(__xludf.DUMMYFUNCTION("""COMPUTED_VALUE"""),0.6818181818181818)</f>
        <v>0.6818181818</v>
      </c>
      <c r="P757" s="57">
        <f>IFERROR(__xludf.DUMMYFUNCTION("""COMPUTED_VALUE"""),0.6818181818181818)</f>
        <v>0.6818181818</v>
      </c>
      <c r="Q757" s="57">
        <f>IFERROR(__xludf.DUMMYFUNCTION("""COMPUTED_VALUE"""),1.8181818181818181)</f>
        <v>1.818181818</v>
      </c>
      <c r="R757" s="57">
        <f>IFERROR(__xludf.DUMMYFUNCTION("""COMPUTED_VALUE"""),2.4545454545454546)</f>
        <v>2.454545455</v>
      </c>
      <c r="S757" s="31">
        <f>IFERROR(__xludf.DUMMYFUNCTION("""COMPUTED_VALUE"""),341.41666666666674)</f>
        <v>341.4166667</v>
      </c>
      <c r="T757" s="57">
        <f>IFERROR(__xludf.DUMMYFUNCTION("""COMPUTED_VALUE"""),0.6742424242424241)</f>
        <v>0.6742424242</v>
      </c>
      <c r="U757" s="57">
        <f>IFERROR(__xludf.DUMMYFUNCTION("""COMPUTED_VALUE"""),0.4924242424242424)</f>
        <v>0.4924242424</v>
      </c>
      <c r="V757" s="57">
        <f>IFERROR(__xludf.DUMMYFUNCTION("""COMPUTED_VALUE"""),1.416666666666667)</f>
        <v>1.416666667</v>
      </c>
      <c r="W757" s="57">
        <f>IFERROR(__xludf.DUMMYFUNCTION("""COMPUTED_VALUE"""),2.772727272727273)</f>
        <v>2.772727273</v>
      </c>
      <c r="X757" s="31">
        <f>IFERROR(__xludf.DUMMYFUNCTION("""COMPUTED_VALUE"""),356.2697338823936)</f>
        <v>356.2697339</v>
      </c>
      <c r="Y757" s="57">
        <f>IFERROR(__xludf.DUMMYFUNCTION("""COMPUTED_VALUE"""),0.793466678946374)</f>
        <v>0.7934666789</v>
      </c>
      <c r="Z757" s="57">
        <f>IFERROR(__xludf.DUMMYFUNCTION("""COMPUTED_VALUE"""),0.5866352791375596)</f>
        <v>0.5866352791</v>
      </c>
      <c r="AA757" s="57">
        <f>IFERROR(__xludf.DUMMYFUNCTION("""COMPUTED_VALUE"""),1.339703120717257)</f>
        <v>1.339703121</v>
      </c>
      <c r="AB757" s="57">
        <f>IFERROR(__xludf.DUMMYFUNCTION("""COMPUTED_VALUE"""),2.6445288044532096)</f>
        <v>2.644528804</v>
      </c>
      <c r="AC757" s="31">
        <f>IFERROR(__xludf.DUMMYFUNCTION("""COMPUTED_VALUE"""),346.7310896852843)</f>
        <v>346.7310897</v>
      </c>
      <c r="AD757" s="57">
        <f>IFERROR(__xludf.DUMMYFUNCTION("""COMPUTED_VALUE"""),0.7319350472531535)</f>
        <v>0.7319350473</v>
      </c>
      <c r="AE757" s="57">
        <f>IFERROR(__xludf.DUMMYFUNCTION("""COMPUTED_VALUE"""),0.5320239292340939)</f>
        <v>0.5320239292</v>
      </c>
      <c r="AF757" s="57">
        <f>IFERROR(__xludf.DUMMYFUNCTION("""COMPUTED_VALUE"""),1.3693051264264564)</f>
        <v>1.369305126</v>
      </c>
      <c r="AG757" s="57">
        <f>IFERROR(__xludf.DUMMYFUNCTION("""COMPUTED_VALUE"""),2.570150838329508)</f>
        <v>2.570150838</v>
      </c>
      <c r="AH757" s="57">
        <f>IFERROR(__xludf.DUMMYFUNCTION("""COMPUTED_VALUE"""),1.135147440767881)</f>
        <v>1.135147441</v>
      </c>
      <c r="AI757" s="57">
        <f>IFERROR(__xludf.DUMMYFUNCTION("""COMPUTED_VALUE"""),0.9315282611168121)</f>
        <v>0.9315282611</v>
      </c>
      <c r="AJ757" s="57">
        <f>IFERROR(__xludf.DUMMYFUNCTION("""COMPUTED_VALUE"""),1.2815554796562119)</f>
        <v>1.28155548</v>
      </c>
      <c r="AK757" s="57">
        <f>IFERROR(__xludf.DUMMYFUNCTION("""COMPUTED_VALUE"""),1.3278134895520457)</f>
        <v>1.32781349</v>
      </c>
      <c r="AL757" s="57">
        <f>IFERROR(__xludf.DUMMYFUNCTION("""COMPUTED_VALUE"""),0.9550200003595151)</f>
        <v>0.9550200004</v>
      </c>
      <c r="AM757" s="57">
        <f>IFERROR(__xludf.DUMMYFUNCTION("""COMPUTED_VALUE"""),0.9583094891225592)</f>
        <v>0.9583094891</v>
      </c>
      <c r="AN757" s="57">
        <f>IFERROR(__xludf.DUMMYFUNCTION("""COMPUTED_VALUE"""),0.8497425816768197)</f>
        <v>0.8497425817</v>
      </c>
      <c r="AO757" s="57">
        <f>IFERROR(__xludf.DUMMYFUNCTION("""COMPUTED_VALUE"""),0.839404413502336)</f>
        <v>0.8394044135</v>
      </c>
      <c r="AP757" s="35">
        <f>IFERROR(__xludf.DUMMYFUNCTION("""COMPUTED_VALUE"""),1.057448209800545)</f>
        <v>1.05744821</v>
      </c>
      <c r="AQ757" s="57">
        <f>IFERROR(__xludf.DUMMYFUNCTION("""COMPUTED_VALUE"""),1.0484768659196246)</f>
        <v>1.048476866</v>
      </c>
      <c r="AR757" s="36" t="b">
        <f>IFERROR(__xludf.DUMMYFUNCTION("""COMPUTED_VALUE"""),TRUE)</f>
        <v>1</v>
      </c>
      <c r="AS757" s="57"/>
      <c r="AT757" s="37"/>
      <c r="AU757" s="30"/>
      <c r="AV757" s="30"/>
      <c r="AW757" s="30"/>
      <c r="AX757" s="30"/>
      <c r="AY757" s="30"/>
      <c r="AZ757" s="30"/>
    </row>
    <row r="758">
      <c r="A758" s="30" t="str">
        <f>IFERROR(__xludf.DUMMYFUNCTION("""COMPUTED_VALUE"""),"Veteran")</f>
        <v>Veteran</v>
      </c>
      <c r="B758" s="30" t="str">
        <f>IFERROR(__xludf.DUMMYFUNCTION("""COMPUTED_VALUE"""),"RSC007688")</f>
        <v>RSC007688</v>
      </c>
      <c r="C758" s="30" t="str">
        <f>IFERROR(__xludf.DUMMYFUNCTION("""COMPUTED_VALUE"""),"Yami ^^")</f>
        <v>Yami ^^</v>
      </c>
      <c r="D758" s="31" t="str">
        <f>IFERROR(__xludf.DUMMYFUNCTION("""COMPUTED_VALUE"""),"Typhoons")</f>
        <v>Typhoons</v>
      </c>
      <c r="E758" s="31">
        <f>IFERROR(__xludf.DUMMYFUNCTION("""COMPUTED_VALUE"""),63.11827792309542)</f>
        <v>63.11827792</v>
      </c>
      <c r="F758" s="31">
        <f>IFERROR(__xludf.DUMMYFUNCTION("""COMPUTED_VALUE"""),3.334610919238606)</f>
        <v>3.334610919</v>
      </c>
      <c r="G758" s="31">
        <f>IFERROR(__xludf.DUMMYFUNCTION("""COMPUTED_VALUE"""),53.796606333777625)</f>
        <v>53.79660633</v>
      </c>
      <c r="H758" s="31">
        <f>IFERROR(__xludf.DUMMYFUNCTION("""COMPUTED_VALUE"""),2.2745520762997735)</f>
        <v>2.274552076</v>
      </c>
      <c r="I758" s="54">
        <f>IFERROR(__xludf.DUMMYFUNCTION("""COMPUTED_VALUE"""),47.0)</f>
        <v>47</v>
      </c>
      <c r="J758" s="55">
        <f>IFERROR(__xludf.DUMMYFUNCTION("""COMPUTED_VALUE"""),29.0)</f>
        <v>29</v>
      </c>
      <c r="K758" s="54">
        <f>IFERROR(__xludf.DUMMYFUNCTION("""COMPUTED_VALUE"""),18.0)</f>
        <v>18</v>
      </c>
      <c r="L758" s="56">
        <f>IFERROR(__xludf.DUMMYFUNCTION("""COMPUTED_VALUE"""),0.6170212765957447)</f>
        <v>0.6170212766</v>
      </c>
      <c r="M758" s="56">
        <f>IFERROR(__xludf.DUMMYFUNCTION("""COMPUTED_VALUE"""),0.2781954887218045)</f>
        <v>0.2781954887</v>
      </c>
      <c r="N758" s="31">
        <f>IFERROR(__xludf.DUMMYFUNCTION("""COMPUTED_VALUE"""),339.8936170212766)</f>
        <v>339.893617</v>
      </c>
      <c r="O758" s="57">
        <f>IFERROR(__xludf.DUMMYFUNCTION("""COMPUTED_VALUE"""),0.7872340425531915)</f>
        <v>0.7872340426</v>
      </c>
      <c r="P758" s="57">
        <f>IFERROR(__xludf.DUMMYFUNCTION("""COMPUTED_VALUE"""),0.574468085106383)</f>
        <v>0.5744680851</v>
      </c>
      <c r="Q758" s="57">
        <f>IFERROR(__xludf.DUMMYFUNCTION("""COMPUTED_VALUE"""),1.2765957446808511)</f>
        <v>1.276595745</v>
      </c>
      <c r="R758" s="57">
        <f>IFERROR(__xludf.DUMMYFUNCTION("""COMPUTED_VALUE"""),2.8297872340425534)</f>
        <v>2.829787234</v>
      </c>
      <c r="S758" s="31">
        <f>IFERROR(__xludf.DUMMYFUNCTION("""COMPUTED_VALUE"""),334.8936170212766)</f>
        <v>334.893617</v>
      </c>
      <c r="T758" s="57">
        <f>IFERROR(__xludf.DUMMYFUNCTION("""COMPUTED_VALUE"""),0.6099290780141845)</f>
        <v>0.609929078</v>
      </c>
      <c r="U758" s="57">
        <f>IFERROR(__xludf.DUMMYFUNCTION("""COMPUTED_VALUE"""),0.48226950354609915)</f>
        <v>0.4822695035</v>
      </c>
      <c r="V758" s="57">
        <f>IFERROR(__xludf.DUMMYFUNCTION("""COMPUTED_VALUE"""),1.4609929078014183)</f>
        <v>1.460992908</v>
      </c>
      <c r="W758" s="57">
        <f>IFERROR(__xludf.DUMMYFUNCTION("""COMPUTED_VALUE"""),2.2836879432624118)</f>
        <v>2.283687943</v>
      </c>
      <c r="X758" s="31">
        <f>IFERROR(__xludf.DUMMYFUNCTION("""COMPUTED_VALUE"""),352.82608116384995)</f>
        <v>352.8260812</v>
      </c>
      <c r="Y758" s="57">
        <f>IFERROR(__xludf.DUMMYFUNCTION("""COMPUTED_VALUE"""),0.7590037431564174)</f>
        <v>0.7590037432</v>
      </c>
      <c r="Z758" s="57">
        <f>IFERROR(__xludf.DUMMYFUNCTION("""COMPUTED_VALUE"""),0.5804844934288568)</f>
        <v>0.5804844934</v>
      </c>
      <c r="AA758" s="57">
        <f>IFERROR(__xludf.DUMMYFUNCTION("""COMPUTED_VALUE"""),1.3560731731223437)</f>
        <v>1.356073173</v>
      </c>
      <c r="AB758" s="57">
        <f>IFERROR(__xludf.DUMMYFUNCTION("""COMPUTED_VALUE"""),2.6052065019983344)</f>
        <v>2.605206502</v>
      </c>
      <c r="AC758" s="31">
        <f>IFERROR(__xludf.DUMMYFUNCTION("""COMPUTED_VALUE"""),355.2153614328236)</f>
        <v>355.2153614</v>
      </c>
      <c r="AD758" s="57">
        <f>IFERROR(__xludf.DUMMYFUNCTION("""COMPUTED_VALUE"""),0.7655338308714079)</f>
        <v>0.7655338309</v>
      </c>
      <c r="AE758" s="57">
        <f>IFERROR(__xludf.DUMMYFUNCTION("""COMPUTED_VALUE"""),0.5627939214560405)</f>
        <v>0.5627939215</v>
      </c>
      <c r="AF758" s="57">
        <f>IFERROR(__xludf.DUMMYFUNCTION("""COMPUTED_VALUE"""),1.4135655692703617)</f>
        <v>1.413565569</v>
      </c>
      <c r="AG758" s="57">
        <f>IFERROR(__xludf.DUMMYFUNCTION("""COMPUTED_VALUE"""),2.5955085079965565)</f>
        <v>2.595508508</v>
      </c>
      <c r="AH758" s="57">
        <f>IFERROR(__xludf.DUMMYFUNCTION("""COMPUTED_VALUE"""),0.9568663237148752)</f>
        <v>0.9568663237</v>
      </c>
      <c r="AI758" s="57">
        <f>IFERROR(__xludf.DUMMYFUNCTION("""COMPUTED_VALUE"""),1.028346509072084)</f>
        <v>1.028346509</v>
      </c>
      <c r="AJ758" s="57">
        <f>IFERROR(__xludf.DUMMYFUNCTION("""COMPUTED_VALUE"""),1.0207432298133916)</f>
        <v>1.02074323</v>
      </c>
      <c r="AK758" s="57">
        <f>IFERROR(__xludf.DUMMYFUNCTION("""COMPUTED_VALUE"""),0.9031033101207961)</f>
        <v>0.9031033101</v>
      </c>
      <c r="AL758" s="57">
        <f>IFERROR(__xludf.DUMMYFUNCTION("""COMPUTED_VALUE"""),1.0902631316076223)</f>
        <v>1.090263132</v>
      </c>
      <c r="AM758" s="57">
        <f>IFERROR(__xludf.DUMMYFUNCTION("""COMPUTED_VALUE"""),0.9491747773196914)</f>
        <v>0.9491747773</v>
      </c>
      <c r="AN758" s="57">
        <f>IFERROR(__xludf.DUMMYFUNCTION("""COMPUTED_VALUE"""),0.8035916601382146)</f>
        <v>0.8035916601</v>
      </c>
      <c r="AO758" s="57">
        <f>IFERROR(__xludf.DUMMYFUNCTION("""COMPUTED_VALUE"""),0.8308051446773148)</f>
        <v>0.8308051447</v>
      </c>
      <c r="AP758" s="35">
        <f>IFERROR(__xludf.DUMMYFUNCTION("""COMPUTED_VALUE"""),1.0773702605129325)</f>
        <v>1.077370261</v>
      </c>
      <c r="AQ758" s="57">
        <f>IFERROR(__xludf.DUMMYFUNCTION("""COMPUTED_VALUE"""),0.8765861521958814)</f>
        <v>0.8765861522</v>
      </c>
      <c r="AR758" s="36" t="b">
        <f>IFERROR(__xludf.DUMMYFUNCTION("""COMPUTED_VALUE"""),TRUE)</f>
        <v>1</v>
      </c>
      <c r="AS758" s="57"/>
      <c r="AT758" s="37"/>
      <c r="AU758" s="30"/>
      <c r="AV758" s="30"/>
      <c r="AW758" s="30"/>
      <c r="AX758" s="30"/>
      <c r="AY758" s="30"/>
      <c r="AZ758" s="30"/>
    </row>
    <row r="759">
      <c r="A759" s="30" t="str">
        <f>IFERROR(__xludf.DUMMYFUNCTION("""COMPUTED_VALUE"""),"Veteran")</f>
        <v>Veteran</v>
      </c>
      <c r="B759" s="30" t="str">
        <f>IFERROR(__xludf.DUMMYFUNCTION("""COMPUTED_VALUE"""),"RSC000767")</f>
        <v>RSC000767</v>
      </c>
      <c r="C759" s="30" t="str">
        <f>IFERROR(__xludf.DUMMYFUNCTION("""COMPUTED_VALUE"""),"Tragic")</f>
        <v>Tragic</v>
      </c>
      <c r="D759" s="31" t="str">
        <f>IFERROR(__xludf.DUMMYFUNCTION("""COMPUTED_VALUE"""),"Gouda Gangsters")</f>
        <v>Gouda Gangsters</v>
      </c>
      <c r="E759" s="31">
        <f>IFERROR(__xludf.DUMMYFUNCTION("""COMPUTED_VALUE"""),63.11039504690952)</f>
        <v>63.11039505</v>
      </c>
      <c r="F759" s="31">
        <f>IFERROR(__xludf.DUMMYFUNCTION("""COMPUTED_VALUE"""),3.33339240004218)</f>
        <v>3.3333924</v>
      </c>
      <c r="G759" s="31">
        <f>IFERROR(__xludf.DUMMYFUNCTION("""COMPUTED_VALUE"""),53.70722782728307)</f>
        <v>53.70722783</v>
      </c>
      <c r="H759" s="31">
        <f>IFERROR(__xludf.DUMMYFUNCTION("""COMPUTED_VALUE"""),2.2672790864513654)</f>
        <v>2.267279086</v>
      </c>
      <c r="I759" s="54">
        <f>IFERROR(__xludf.DUMMYFUNCTION("""COMPUTED_VALUE"""),37.0)</f>
        <v>37</v>
      </c>
      <c r="J759" s="55">
        <f>IFERROR(__xludf.DUMMYFUNCTION("""COMPUTED_VALUE"""),16.0)</f>
        <v>16</v>
      </c>
      <c r="K759" s="54">
        <f>IFERROR(__xludf.DUMMYFUNCTION("""COMPUTED_VALUE"""),21.0)</f>
        <v>21</v>
      </c>
      <c r="L759" s="56">
        <f>IFERROR(__xludf.DUMMYFUNCTION("""COMPUTED_VALUE"""),0.43243243243243246)</f>
        <v>0.4324324324</v>
      </c>
      <c r="M759" s="56">
        <f>IFERROR(__xludf.DUMMYFUNCTION("""COMPUTED_VALUE"""),0.3428571428571429)</f>
        <v>0.3428571429</v>
      </c>
      <c r="N759" s="31">
        <f>IFERROR(__xludf.DUMMYFUNCTION("""COMPUTED_VALUE"""),360.86486486486484)</f>
        <v>360.8648649</v>
      </c>
      <c r="O759" s="57">
        <f>IFERROR(__xludf.DUMMYFUNCTION("""COMPUTED_VALUE"""),0.972972972972973)</f>
        <v>0.972972973</v>
      </c>
      <c r="P759" s="57">
        <f>IFERROR(__xludf.DUMMYFUNCTION("""COMPUTED_VALUE"""),0.6216216216216216)</f>
        <v>0.6216216216</v>
      </c>
      <c r="Q759" s="57">
        <f>IFERROR(__xludf.DUMMYFUNCTION("""COMPUTED_VALUE"""),0.9459459459459459)</f>
        <v>0.9459459459</v>
      </c>
      <c r="R759" s="57">
        <f>IFERROR(__xludf.DUMMYFUNCTION("""COMPUTED_VALUE"""),2.8378378378378377)</f>
        <v>2.837837838</v>
      </c>
      <c r="S759" s="31">
        <f>IFERROR(__xludf.DUMMYFUNCTION("""COMPUTED_VALUE"""),369.73873873873873)</f>
        <v>369.7387387</v>
      </c>
      <c r="T759" s="57">
        <f>IFERROR(__xludf.DUMMYFUNCTION("""COMPUTED_VALUE"""),0.8918918918918919)</f>
        <v>0.8918918919</v>
      </c>
      <c r="U759" s="57">
        <f>IFERROR(__xludf.DUMMYFUNCTION("""COMPUTED_VALUE"""),0.7297297297297297)</f>
        <v>0.7297297297</v>
      </c>
      <c r="V759" s="57">
        <f>IFERROR(__xludf.DUMMYFUNCTION("""COMPUTED_VALUE"""),1.306306306306306)</f>
        <v>1.306306306</v>
      </c>
      <c r="W759" s="57">
        <f>IFERROR(__xludf.DUMMYFUNCTION("""COMPUTED_VALUE"""),2.4954954954954953)</f>
        <v>2.495495495</v>
      </c>
      <c r="X759" s="31">
        <f>IFERROR(__xludf.DUMMYFUNCTION("""COMPUTED_VALUE"""),359.7262105241235)</f>
        <v>359.7262105</v>
      </c>
      <c r="Y759" s="57">
        <f>IFERROR(__xludf.DUMMYFUNCTION("""COMPUTED_VALUE"""),0.8184599218253175)</f>
        <v>0.8184599218</v>
      </c>
      <c r="Z759" s="57">
        <f>IFERROR(__xludf.DUMMYFUNCTION("""COMPUTED_VALUE"""),0.5721759816967548)</f>
        <v>0.5721759817</v>
      </c>
      <c r="AA759" s="57">
        <f>IFERROR(__xludf.DUMMYFUNCTION("""COMPUTED_VALUE"""),1.370248972166216)</f>
        <v>1.370248972</v>
      </c>
      <c r="AB759" s="57">
        <f>IFERROR(__xludf.DUMMYFUNCTION("""COMPUTED_VALUE"""),2.6780955593728994)</f>
        <v>2.678095559</v>
      </c>
      <c r="AC759" s="31">
        <f>IFERROR(__xludf.DUMMYFUNCTION("""COMPUTED_VALUE"""),359.0358550372496)</f>
        <v>359.035855</v>
      </c>
      <c r="AD759" s="57">
        <f>IFERROR(__xludf.DUMMYFUNCTION("""COMPUTED_VALUE"""),0.8000864904324076)</f>
        <v>0.8000864904</v>
      </c>
      <c r="AE759" s="57">
        <f>IFERROR(__xludf.DUMMYFUNCTION("""COMPUTED_VALUE"""),0.5922049927397829)</f>
        <v>0.5922049927</v>
      </c>
      <c r="AF759" s="57">
        <f>IFERROR(__xludf.DUMMYFUNCTION("""COMPUTED_VALUE"""),1.3749529553083786)</f>
        <v>1.374952955</v>
      </c>
      <c r="AG759" s="57">
        <f>IFERROR(__xludf.DUMMYFUNCTION("""COMPUTED_VALUE"""),2.6593115289251616)</f>
        <v>2.659311529</v>
      </c>
      <c r="AH759" s="57">
        <f>IFERROR(__xludf.DUMMYFUNCTION("""COMPUTED_VALUE"""),1.0050942261112765)</f>
        <v>1.005094226</v>
      </c>
      <c r="AI759" s="57">
        <f>IFERROR(__xludf.DUMMYFUNCTION("""COMPUTED_VALUE"""),1.2160847415972849)</f>
        <v>1.216084742</v>
      </c>
      <c r="AJ759" s="57">
        <f>IFERROR(__xludf.DUMMYFUNCTION("""COMPUTED_VALUE"""),1.0496730511266805)</f>
        <v>1.049673051</v>
      </c>
      <c r="AK759" s="57">
        <f>IFERROR(__xludf.DUMMYFUNCTION("""COMPUTED_VALUE"""),0.6879842268739924)</f>
        <v>0.6879842269</v>
      </c>
      <c r="AL759" s="57">
        <f>IFERROR(__xludf.DUMMYFUNCTION("""COMPUTED_VALUE"""),1.067132529217001)</f>
        <v>1.067132529</v>
      </c>
      <c r="AM759" s="57">
        <f>IFERROR(__xludf.DUMMYFUNCTION("""COMPUTED_VALUE"""),1.027833746670911)</f>
        <v>1.027833747</v>
      </c>
      <c r="AN759" s="57">
        <f>IFERROR(__xludf.DUMMYFUNCTION("""COMPUTED_VALUE"""),1.0897196895149215)</f>
        <v>1.08971969</v>
      </c>
      <c r="AO759" s="57">
        <f>IFERROR(__xludf.DUMMYFUNCTION("""COMPUTED_VALUE"""),1.2753588984384812)</f>
        <v>1.275358898</v>
      </c>
      <c r="AP759" s="35">
        <f>IFERROR(__xludf.DUMMYFUNCTION("""COMPUTED_VALUE"""),0.9533350017706465)</f>
        <v>0.9533350018</v>
      </c>
      <c r="AQ759" s="57">
        <f>IFERROR(__xludf.DUMMYFUNCTION("""COMPUTED_VALUE"""),0.9318171962765356)</f>
        <v>0.9318171963</v>
      </c>
      <c r="AR759" s="36" t="b">
        <f>IFERROR(__xludf.DUMMYFUNCTION("""COMPUTED_VALUE"""),TRUE)</f>
        <v>1</v>
      </c>
      <c r="AS759" s="57"/>
      <c r="AT759" s="37"/>
      <c r="AU759" s="30"/>
      <c r="AV759" s="30"/>
      <c r="AW759" s="30"/>
      <c r="AX759" s="30"/>
      <c r="AY759" s="30"/>
      <c r="AZ759" s="30"/>
    </row>
    <row r="760">
      <c r="A760" s="30" t="str">
        <f>IFERROR(__xludf.DUMMYFUNCTION("""COMPUTED_VALUE"""),"Veteran")</f>
        <v>Veteran</v>
      </c>
      <c r="B760" s="30" t="str">
        <f>IFERROR(__xludf.DUMMYFUNCTION("""COMPUTED_VALUE"""),"RSC006427")</f>
        <v>RSC006427</v>
      </c>
      <c r="C760" s="30" t="str">
        <f>IFERROR(__xludf.DUMMYFUNCTION("""COMPUTED_VALUE"""),"NukeTech96")</f>
        <v>NukeTech96</v>
      </c>
      <c r="D760" s="31" t="str">
        <f>IFERROR(__xludf.DUMMYFUNCTION("""COMPUTED_VALUE"""),"Mosaic Maestros")</f>
        <v>Mosaic Maestros</v>
      </c>
      <c r="E760" s="31">
        <f>IFERROR(__xludf.DUMMYFUNCTION("""COMPUTED_VALUE"""),62.92948542105789)</f>
        <v>62.92948542</v>
      </c>
      <c r="F760" s="31">
        <f>IFERROR(__xludf.DUMMYFUNCTION("""COMPUTED_VALUE"""),3.3056161872407674)</f>
        <v>3.305616187</v>
      </c>
      <c r="G760" s="31">
        <f>IFERROR(__xludf.DUMMYFUNCTION("""COMPUTED_VALUE"""),46.39985071709819)</f>
        <v>46.39985072</v>
      </c>
      <c r="H760" s="31">
        <f>IFERROR(__xludf.DUMMYFUNCTION("""COMPUTED_VALUE"""),-2.2586217835067175)</f>
        <v>-2.258621784</v>
      </c>
      <c r="I760" s="54">
        <f>IFERROR(__xludf.DUMMYFUNCTION("""COMPUTED_VALUE"""),41.0)</f>
        <v>41</v>
      </c>
      <c r="J760" s="55">
        <f>IFERROR(__xludf.DUMMYFUNCTION("""COMPUTED_VALUE"""),24.0)</f>
        <v>24</v>
      </c>
      <c r="K760" s="54">
        <f>IFERROR(__xludf.DUMMYFUNCTION("""COMPUTED_VALUE"""),17.0)</f>
        <v>17</v>
      </c>
      <c r="L760" s="56">
        <f>IFERROR(__xludf.DUMMYFUNCTION("""COMPUTED_VALUE"""),0.5853658536585366)</f>
        <v>0.5853658537</v>
      </c>
      <c r="M760" s="56">
        <f>IFERROR(__xludf.DUMMYFUNCTION("""COMPUTED_VALUE"""),0.3277310924369748)</f>
        <v>0.3277310924</v>
      </c>
      <c r="N760" s="31">
        <f>IFERROR(__xludf.DUMMYFUNCTION("""COMPUTED_VALUE"""),366.5609756097561)</f>
        <v>366.5609756</v>
      </c>
      <c r="O760" s="57">
        <f>IFERROR(__xludf.DUMMYFUNCTION("""COMPUTED_VALUE"""),0.9512195121951219)</f>
        <v>0.9512195122</v>
      </c>
      <c r="P760" s="57">
        <f>IFERROR(__xludf.DUMMYFUNCTION("""COMPUTED_VALUE"""),0.5609756097560976)</f>
        <v>0.5609756098</v>
      </c>
      <c r="Q760" s="57">
        <f>IFERROR(__xludf.DUMMYFUNCTION("""COMPUTED_VALUE"""),1.1951219512195121)</f>
        <v>1.195121951</v>
      </c>
      <c r="R760" s="57">
        <f>IFERROR(__xludf.DUMMYFUNCTION("""COMPUTED_VALUE"""),2.902439024390244)</f>
        <v>2.902439024</v>
      </c>
      <c r="S760" s="31">
        <f>IFERROR(__xludf.DUMMYFUNCTION("""COMPUTED_VALUE"""),373.6260162601626)</f>
        <v>373.6260163</v>
      </c>
      <c r="T760" s="57">
        <f>IFERROR(__xludf.DUMMYFUNCTION("""COMPUTED_VALUE"""),0.8211382113821137)</f>
        <v>0.8211382114</v>
      </c>
      <c r="U760" s="57">
        <f>IFERROR(__xludf.DUMMYFUNCTION("""COMPUTED_VALUE"""),0.5934959349593496)</f>
        <v>0.593495935</v>
      </c>
      <c r="V760" s="57">
        <f>IFERROR(__xludf.DUMMYFUNCTION("""COMPUTED_VALUE"""),1.5284552845528456)</f>
        <v>1.528455285</v>
      </c>
      <c r="W760" s="57">
        <f>IFERROR(__xludf.DUMMYFUNCTION("""COMPUTED_VALUE"""),2.5447154471544726)</f>
        <v>2.544715447</v>
      </c>
      <c r="X760" s="31">
        <f>IFERROR(__xludf.DUMMYFUNCTION("""COMPUTED_VALUE"""),354.7328716994595)</f>
        <v>354.7328717</v>
      </c>
      <c r="Y760" s="57">
        <f>IFERROR(__xludf.DUMMYFUNCTION("""COMPUTED_VALUE"""),0.787627033659244)</f>
        <v>0.7876270337</v>
      </c>
      <c r="Z760" s="57">
        <f>IFERROR(__xludf.DUMMYFUNCTION("""COMPUTED_VALUE"""),0.5874720298050133)</f>
        <v>0.5874720298</v>
      </c>
      <c r="AA760" s="57">
        <f>IFERROR(__xludf.DUMMYFUNCTION("""COMPUTED_VALUE"""),1.398803885052322)</f>
        <v>1.398803885</v>
      </c>
      <c r="AB760" s="57">
        <f>IFERROR(__xludf.DUMMYFUNCTION("""COMPUTED_VALUE"""),2.609401925083313)</f>
        <v>2.609401925</v>
      </c>
      <c r="AC760" s="31">
        <f>IFERROR(__xludf.DUMMYFUNCTION("""COMPUTED_VALUE"""),360.12292286351567)</f>
        <v>360.1229229</v>
      </c>
      <c r="AD760" s="57">
        <f>IFERROR(__xludf.DUMMYFUNCTION("""COMPUTED_VALUE"""),0.825189172922246)</f>
        <v>0.8251891729</v>
      </c>
      <c r="AE760" s="57">
        <f>IFERROR(__xludf.DUMMYFUNCTION("""COMPUTED_VALUE"""),0.5914069582967146)</f>
        <v>0.5914069583</v>
      </c>
      <c r="AF760" s="57">
        <f>IFERROR(__xludf.DUMMYFUNCTION("""COMPUTED_VALUE"""),1.3606754530362493)</f>
        <v>1.360675453</v>
      </c>
      <c r="AG760" s="57">
        <f>IFERROR(__xludf.DUMMYFUNCTION("""COMPUTED_VALUE"""),2.7095831375911015)</f>
        <v>2.709583138</v>
      </c>
      <c r="AH760" s="57">
        <f>IFERROR(__xludf.DUMMYFUNCTION("""COMPUTED_VALUE"""),1.0178773755778951)</f>
        <v>1.017877376</v>
      </c>
      <c r="AI760" s="57">
        <f>IFERROR(__xludf.DUMMYFUNCTION("""COMPUTED_VALUE"""),1.1527290267594812)</f>
        <v>1.152729027</v>
      </c>
      <c r="AJ760" s="57">
        <f>IFERROR(__xludf.DUMMYFUNCTION("""COMPUTED_VALUE"""),0.9485441486379176)</f>
        <v>0.9485441486</v>
      </c>
      <c r="AK760" s="57">
        <f>IFERROR(__xludf.DUMMYFUNCTION("""COMPUTED_VALUE"""),0.8783299122157923)</f>
        <v>0.8783299122</v>
      </c>
      <c r="AL760" s="57">
        <f>IFERROR(__xludf.DUMMYFUNCTION("""COMPUTED_VALUE"""),1.0711754823550448)</f>
        <v>1.071175482</v>
      </c>
      <c r="AM760" s="57">
        <f>IFERROR(__xludf.DUMMYFUNCTION("""COMPUTED_VALUE"""),1.053260202445264)</f>
        <v>1.053260202</v>
      </c>
      <c r="AN760" s="57">
        <f>IFERROR(__xludf.DUMMYFUNCTION("""COMPUTED_VALUE"""),1.0425470131048953)</f>
        <v>1.042547013</v>
      </c>
      <c r="AO760" s="57">
        <f>IFERROR(__xludf.DUMMYFUNCTION("""COMPUTED_VALUE"""),1.0102539437602427)</f>
        <v>1.010253944</v>
      </c>
      <c r="AP760" s="35">
        <f>IFERROR(__xludf.DUMMYFUNCTION("""COMPUTED_VALUE"""),1.092687331573771)</f>
        <v>1.092687332</v>
      </c>
      <c r="AQ760" s="57">
        <f>IFERROR(__xludf.DUMMYFUNCTION("""COMPUTED_VALUE"""),0.9752102283258739)</f>
        <v>0.9752102283</v>
      </c>
      <c r="AR760" s="36" t="b">
        <f>IFERROR(__xludf.DUMMYFUNCTION("""COMPUTED_VALUE"""),TRUE)</f>
        <v>1</v>
      </c>
      <c r="AS760" s="57"/>
      <c r="AT760" s="37"/>
      <c r="AU760" s="30"/>
      <c r="AV760" s="30"/>
      <c r="AW760" s="30"/>
      <c r="AX760" s="30"/>
      <c r="AY760" s="30"/>
      <c r="AZ760" s="30"/>
    </row>
    <row r="761">
      <c r="A761" s="30" t="str">
        <f>IFERROR(__xludf.DUMMYFUNCTION("""COMPUTED_VALUE"""),"Veteran")</f>
        <v>Veteran</v>
      </c>
      <c r="B761" s="30" t="str">
        <f>IFERROR(__xludf.DUMMYFUNCTION("""COMPUTED_VALUE"""),"RSC007237")</f>
        <v>RSC007237</v>
      </c>
      <c r="C761" s="30" t="str">
        <f>IFERROR(__xludf.DUMMYFUNCTION("""COMPUTED_VALUE"""),"FuDaah")</f>
        <v>FuDaah</v>
      </c>
      <c r="D761" s="31" t="str">
        <f>IFERROR(__xludf.DUMMYFUNCTION("""COMPUTED_VALUE"""),"Typhoons")</f>
        <v>Typhoons</v>
      </c>
      <c r="E761" s="31">
        <f>IFERROR(__xludf.DUMMYFUNCTION("""COMPUTED_VALUE"""),62.66156021116735)</f>
        <v>62.66156021</v>
      </c>
      <c r="F761" s="31">
        <f>IFERROR(__xludf.DUMMYFUNCTION("""COMPUTED_VALUE"""),3.26513514741081)</f>
        <v>3.265135147</v>
      </c>
      <c r="G761" s="31">
        <f>IFERROR(__xludf.DUMMYFUNCTION("""COMPUTED_VALUE"""),49.88971412446792)</f>
        <v>49.88971412</v>
      </c>
      <c r="H761" s="31">
        <f>IFERROR(__xludf.DUMMYFUNCTION("""COMPUTED_VALUE"""),-2.0070644745253072)</f>
        <v>-2.007064475</v>
      </c>
      <c r="I761" s="54">
        <f>IFERROR(__xludf.DUMMYFUNCTION("""COMPUTED_VALUE"""),37.0)</f>
        <v>37</v>
      </c>
      <c r="J761" s="55">
        <f>IFERROR(__xludf.DUMMYFUNCTION("""COMPUTED_VALUE"""),22.0)</f>
        <v>22</v>
      </c>
      <c r="K761" s="54">
        <f>IFERROR(__xludf.DUMMYFUNCTION("""COMPUTED_VALUE"""),15.0)</f>
        <v>15</v>
      </c>
      <c r="L761" s="56">
        <f>IFERROR(__xludf.DUMMYFUNCTION("""COMPUTED_VALUE"""),0.5945945945945946)</f>
        <v>0.5945945946</v>
      </c>
      <c r="M761" s="56">
        <f>IFERROR(__xludf.DUMMYFUNCTION("""COMPUTED_VALUE"""),0.27272727272727276)</f>
        <v>0.2727272727</v>
      </c>
      <c r="N761" s="31">
        <f>IFERROR(__xludf.DUMMYFUNCTION("""COMPUTED_VALUE"""),347.6756756756757)</f>
        <v>347.6756757</v>
      </c>
      <c r="O761" s="57">
        <f>IFERROR(__xludf.DUMMYFUNCTION("""COMPUTED_VALUE"""),0.8108108108108109)</f>
        <v>0.8108108108</v>
      </c>
      <c r="P761" s="57">
        <f>IFERROR(__xludf.DUMMYFUNCTION("""COMPUTED_VALUE"""),0.4594594594594595)</f>
        <v>0.4594594595</v>
      </c>
      <c r="Q761" s="57">
        <f>IFERROR(__xludf.DUMMYFUNCTION("""COMPUTED_VALUE"""),1.4594594594594594)</f>
        <v>1.459459459</v>
      </c>
      <c r="R761" s="57">
        <f>IFERROR(__xludf.DUMMYFUNCTION("""COMPUTED_VALUE"""),2.972972972972973)</f>
        <v>2.972972973</v>
      </c>
      <c r="S761" s="31">
        <f>IFERROR(__xludf.DUMMYFUNCTION("""COMPUTED_VALUE"""),339.5945945945946)</f>
        <v>339.5945946</v>
      </c>
      <c r="T761" s="57">
        <f>IFERROR(__xludf.DUMMYFUNCTION("""COMPUTED_VALUE"""),0.6036036036036035)</f>
        <v>0.6036036036</v>
      </c>
      <c r="U761" s="57">
        <f>IFERROR(__xludf.DUMMYFUNCTION("""COMPUTED_VALUE"""),0.4864864864864865)</f>
        <v>0.4864864865</v>
      </c>
      <c r="V761" s="57">
        <f>IFERROR(__xludf.DUMMYFUNCTION("""COMPUTED_VALUE"""),1.5405405405405408)</f>
        <v>1.540540541</v>
      </c>
      <c r="W761" s="57">
        <f>IFERROR(__xludf.DUMMYFUNCTION("""COMPUTED_VALUE"""),2.4144144144144146)</f>
        <v>2.414414414</v>
      </c>
      <c r="X761" s="31">
        <f>IFERROR(__xludf.DUMMYFUNCTION("""COMPUTED_VALUE"""),356.3340545813192)</f>
        <v>356.3340546</v>
      </c>
      <c r="Y761" s="57">
        <f>IFERROR(__xludf.DUMMYFUNCTION("""COMPUTED_VALUE"""),0.7743926140998684)</f>
        <v>0.7743926141</v>
      </c>
      <c r="Z761" s="57">
        <f>IFERROR(__xludf.DUMMYFUNCTION("""COMPUTED_VALUE"""),0.5914607312312855)</f>
        <v>0.5914607312</v>
      </c>
      <c r="AA761" s="57">
        <f>IFERROR(__xludf.DUMMYFUNCTION("""COMPUTED_VALUE"""),1.3623482857946605)</f>
        <v>1.362348286</v>
      </c>
      <c r="AB761" s="57">
        <f>IFERROR(__xludf.DUMMYFUNCTION("""COMPUTED_VALUE"""),2.653639904488299)</f>
        <v>2.653639904</v>
      </c>
      <c r="AC761" s="31">
        <f>IFERROR(__xludf.DUMMYFUNCTION("""COMPUTED_VALUE"""),352.77679181564764)</f>
        <v>352.7767918</v>
      </c>
      <c r="AD761" s="57">
        <f>IFERROR(__xludf.DUMMYFUNCTION("""COMPUTED_VALUE"""),0.7405798473939819)</f>
        <v>0.7405798474</v>
      </c>
      <c r="AE761" s="57">
        <f>IFERROR(__xludf.DUMMYFUNCTION("""COMPUTED_VALUE"""),0.5370452993662251)</f>
        <v>0.5370452994</v>
      </c>
      <c r="AF761" s="57">
        <f>IFERROR(__xludf.DUMMYFUNCTION("""COMPUTED_VALUE"""),1.4411125133649911)</f>
        <v>1.441112513</v>
      </c>
      <c r="AG761" s="57">
        <f>IFERROR(__xludf.DUMMYFUNCTION("""COMPUTED_VALUE"""),2.573976703220116)</f>
        <v>2.573976703</v>
      </c>
      <c r="AH761" s="57">
        <f>IFERROR(__xludf.DUMMYFUNCTION("""COMPUTED_VALUE"""),0.9855401028119852)</f>
        <v>0.9855401028</v>
      </c>
      <c r="AI761" s="57">
        <f>IFERROR(__xludf.DUMMYFUNCTION("""COMPUTED_VALUE"""),1.0948323987804474)</f>
        <v>1.094832399</v>
      </c>
      <c r="AJ761" s="57">
        <f>IFERROR(__xludf.DUMMYFUNCTION("""COMPUTED_VALUE"""),0.8555320379894846)</f>
        <v>0.855532038</v>
      </c>
      <c r="AK761" s="57">
        <f>IFERROR(__xludf.DUMMYFUNCTION("""COMPUTED_VALUE"""),1.0127310990115743)</f>
        <v>1.012731099</v>
      </c>
      <c r="AL761" s="57">
        <f>IFERROR(__xludf.DUMMYFUNCTION("""COMPUTED_VALUE"""),1.1550116087895053)</f>
        <v>1.155011609</v>
      </c>
      <c r="AM761" s="57">
        <f>IFERROR(__xludf.DUMMYFUNCTION("""COMPUTED_VALUE"""),0.9530231259922857)</f>
        <v>0.953023126</v>
      </c>
      <c r="AN761" s="57">
        <f>IFERROR(__xludf.DUMMYFUNCTION("""COMPUTED_VALUE"""),0.7794542362793774)</f>
        <v>0.7794542363</v>
      </c>
      <c r="AO761" s="57">
        <f>IFERROR(__xludf.DUMMYFUNCTION("""COMPUTED_VALUE"""),0.8225169665511577)</f>
        <v>0.8225169666</v>
      </c>
      <c r="AP761" s="35">
        <f>IFERROR(__xludf.DUMMYFUNCTION("""COMPUTED_VALUE"""),1.1307978705621085)</f>
        <v>1.130797871</v>
      </c>
      <c r="AQ761" s="57">
        <f>IFERROR(__xludf.DUMMYFUNCTION("""COMPUTED_VALUE"""),0.9098500555145916)</f>
        <v>0.9098500555</v>
      </c>
      <c r="AR761" s="36" t="b">
        <f>IFERROR(__xludf.DUMMYFUNCTION("""COMPUTED_VALUE"""),TRUE)</f>
        <v>1</v>
      </c>
      <c r="AS761" s="57"/>
      <c r="AT761" s="37"/>
      <c r="AU761" s="30"/>
      <c r="AV761" s="30"/>
      <c r="AW761" s="30"/>
      <c r="AX761" s="30"/>
      <c r="AY761" s="30"/>
      <c r="AZ761" s="30"/>
    </row>
    <row r="762">
      <c r="A762" s="30" t="str">
        <f>IFERROR(__xludf.DUMMYFUNCTION("""COMPUTED_VALUE"""),"Veteran")</f>
        <v>Veteran</v>
      </c>
      <c r="B762" s="30" t="str">
        <f>IFERROR(__xludf.DUMMYFUNCTION("""COMPUTED_VALUE"""),"RSC003830")</f>
        <v>RSC003830</v>
      </c>
      <c r="C762" s="30" t="str">
        <f>IFERROR(__xludf.DUMMYFUNCTION("""COMPUTED_VALUE"""),"bradyK-")</f>
        <v>bradyK-</v>
      </c>
      <c r="D762" s="31" t="str">
        <f>IFERROR(__xludf.DUMMYFUNCTION("""COMPUTED_VALUE"""),"Makos")</f>
        <v>Makos</v>
      </c>
      <c r="E762" s="31">
        <f>IFERROR(__xludf.DUMMYFUNCTION("""COMPUTED_VALUE"""),62.061547257336)</f>
        <v>62.06154726</v>
      </c>
      <c r="F762" s="31">
        <f>IFERROR(__xludf.DUMMYFUNCTION("""COMPUTED_VALUE"""),3.177236424995734)</f>
        <v>3.177236425</v>
      </c>
      <c r="G762" s="31">
        <f>IFERROR(__xludf.DUMMYFUNCTION("""COMPUTED_VALUE"""),42.53996346456775)</f>
        <v>42.53996346</v>
      </c>
      <c r="H762" s="31">
        <f>IFERROR(__xludf.DUMMYFUNCTION("""COMPUTED_VALUE"""),-2.6130238178037444)</f>
        <v>-2.613023818</v>
      </c>
      <c r="I762" s="54">
        <f>IFERROR(__xludf.DUMMYFUNCTION("""COMPUTED_VALUE"""),48.0)</f>
        <v>48</v>
      </c>
      <c r="J762" s="55">
        <f>IFERROR(__xludf.DUMMYFUNCTION("""COMPUTED_VALUE"""),26.0)</f>
        <v>26</v>
      </c>
      <c r="K762" s="54">
        <f>IFERROR(__xludf.DUMMYFUNCTION("""COMPUTED_VALUE"""),22.0)</f>
        <v>22</v>
      </c>
      <c r="L762" s="56">
        <f>IFERROR(__xludf.DUMMYFUNCTION("""COMPUTED_VALUE"""),0.5416666666666666)</f>
        <v>0.5416666667</v>
      </c>
      <c r="M762" s="56">
        <f>IFERROR(__xludf.DUMMYFUNCTION("""COMPUTED_VALUE"""),0.325)</f>
        <v>0.325</v>
      </c>
      <c r="N762" s="31">
        <f>IFERROR(__xludf.DUMMYFUNCTION("""COMPUTED_VALUE"""),342.5)</f>
        <v>342.5</v>
      </c>
      <c r="O762" s="57">
        <f>IFERROR(__xludf.DUMMYFUNCTION("""COMPUTED_VALUE"""),0.8125)</f>
        <v>0.8125</v>
      </c>
      <c r="P762" s="57">
        <f>IFERROR(__xludf.DUMMYFUNCTION("""COMPUTED_VALUE"""),0.7291666666666666)</f>
        <v>0.7291666667</v>
      </c>
      <c r="Q762" s="57">
        <f>IFERROR(__xludf.DUMMYFUNCTION("""COMPUTED_VALUE"""),1.0208333333333333)</f>
        <v>1.020833333</v>
      </c>
      <c r="R762" s="57">
        <f>IFERROR(__xludf.DUMMYFUNCTION("""COMPUTED_VALUE"""),2.5)</f>
        <v>2.5</v>
      </c>
      <c r="S762" s="31">
        <f>IFERROR(__xludf.DUMMYFUNCTION("""COMPUTED_VALUE"""),367.77083333333326)</f>
        <v>367.7708333</v>
      </c>
      <c r="T762" s="57">
        <f>IFERROR(__xludf.DUMMYFUNCTION("""COMPUTED_VALUE"""),0.8125)</f>
        <v>0.8125</v>
      </c>
      <c r="U762" s="57">
        <f>IFERROR(__xludf.DUMMYFUNCTION("""COMPUTED_VALUE"""),0.5972222222222222)</f>
        <v>0.5972222222</v>
      </c>
      <c r="V762" s="57">
        <f>IFERROR(__xludf.DUMMYFUNCTION("""COMPUTED_VALUE"""),1.5)</f>
        <v>1.5</v>
      </c>
      <c r="W762" s="57">
        <f>IFERROR(__xludf.DUMMYFUNCTION("""COMPUTED_VALUE"""),2.631944444444444)</f>
        <v>2.631944444</v>
      </c>
      <c r="X762" s="31">
        <f>IFERROR(__xludf.DUMMYFUNCTION("""COMPUTED_VALUE"""),362.93268820864847)</f>
        <v>362.9326882</v>
      </c>
      <c r="Y762" s="57">
        <f>IFERROR(__xludf.DUMMYFUNCTION("""COMPUTED_VALUE"""),0.8339007244274196)</f>
        <v>0.8339007244</v>
      </c>
      <c r="Z762" s="57">
        <f>IFERROR(__xludf.DUMMYFUNCTION("""COMPUTED_VALUE"""),0.6303039338250017)</f>
        <v>0.6303039338</v>
      </c>
      <c r="AA762" s="57">
        <f>IFERROR(__xludf.DUMMYFUNCTION("""COMPUTED_VALUE"""),1.3543486080367797)</f>
        <v>1.354348608</v>
      </c>
      <c r="AB762" s="57">
        <f>IFERROR(__xludf.DUMMYFUNCTION("""COMPUTED_VALUE"""),2.8082540582809616)</f>
        <v>2.808254058</v>
      </c>
      <c r="AC762" s="31">
        <f>IFERROR(__xludf.DUMMYFUNCTION("""COMPUTED_VALUE"""),356.5928303557544)</f>
        <v>356.5928304</v>
      </c>
      <c r="AD762" s="57">
        <f>IFERROR(__xludf.DUMMYFUNCTION("""COMPUTED_VALUE"""),0.7787220980388376)</f>
        <v>0.778722098</v>
      </c>
      <c r="AE762" s="57">
        <f>IFERROR(__xludf.DUMMYFUNCTION("""COMPUTED_VALUE"""),0.5868761287695733)</f>
        <v>0.5868761288</v>
      </c>
      <c r="AF762" s="57">
        <f>IFERROR(__xludf.DUMMYFUNCTION("""COMPUTED_VALUE"""),1.4074477514521024)</f>
        <v>1.407447751</v>
      </c>
      <c r="AG762" s="57">
        <f>IFERROR(__xludf.DUMMYFUNCTION("""COMPUTED_VALUE"""),2.5914653305614377)</f>
        <v>2.591465331</v>
      </c>
      <c r="AH762" s="57">
        <f>IFERROR(__xludf.DUMMYFUNCTION("""COMPUTED_VALUE"""),0.9604792100231103)</f>
        <v>0.96047921</v>
      </c>
      <c r="AI762" s="57">
        <f>IFERROR(__xludf.DUMMYFUNCTION("""COMPUTED_VALUE"""),1.0433760670799377)</f>
        <v>1.043376067</v>
      </c>
      <c r="AJ762" s="57">
        <f>IFERROR(__xludf.DUMMYFUNCTION("""COMPUTED_VALUE"""),1.2424541243403704)</f>
        <v>1.242454124</v>
      </c>
      <c r="AK762" s="57">
        <f>IFERROR(__xludf.DUMMYFUNCTION("""COMPUTED_VALUE"""),0.7253081560435274)</f>
        <v>0.725308156</v>
      </c>
      <c r="AL762" s="57">
        <f>IFERROR(__xludf.DUMMYFUNCTION("""COMPUTED_VALUE"""),0.9647051691246736)</f>
        <v>0.9647051691</v>
      </c>
      <c r="AM762" s="57">
        <f>IFERROR(__xludf.DUMMYFUNCTION("""COMPUTED_VALUE"""),1.013330695420588)</f>
        <v>1.013330695</v>
      </c>
      <c r="AN762" s="57">
        <f>IFERROR(__xludf.DUMMYFUNCTION("""COMPUTED_VALUE"""),0.9743366041058258)</f>
        <v>0.9743366041</v>
      </c>
      <c r="AO762" s="57">
        <f>IFERROR(__xludf.DUMMYFUNCTION("""COMPUTED_VALUE"""),0.9475146674049406)</f>
        <v>0.9475146674</v>
      </c>
      <c r="AP762" s="35">
        <f>IFERROR(__xludf.DUMMYFUNCTION("""COMPUTED_VALUE"""),1.107543501797777)</f>
        <v>1.107543502</v>
      </c>
      <c r="AQ762" s="57">
        <f>IFERROR(__xludf.DUMMYFUNCTION("""COMPUTED_VALUE"""),0.9372173563440185)</f>
        <v>0.9372173563</v>
      </c>
      <c r="AR762" s="36" t="b">
        <f>IFERROR(__xludf.DUMMYFUNCTION("""COMPUTED_VALUE"""),TRUE)</f>
        <v>1</v>
      </c>
      <c r="AS762" s="57"/>
      <c r="AT762" s="37"/>
      <c r="AU762" s="30"/>
      <c r="AV762" s="30"/>
      <c r="AW762" s="30"/>
      <c r="AX762" s="30"/>
      <c r="AY762" s="30"/>
      <c r="AZ762" s="30"/>
    </row>
    <row r="763">
      <c r="A763" s="30" t="str">
        <f>IFERROR(__xludf.DUMMYFUNCTION("""COMPUTED_VALUE"""),"Veteran")</f>
        <v>Veteran</v>
      </c>
      <c r="B763" s="30" t="str">
        <f>IFERROR(__xludf.DUMMYFUNCTION("""COMPUTED_VALUE"""),"RSC002780")</f>
        <v>RSC002780</v>
      </c>
      <c r="C763" s="30" t="str">
        <f>IFERROR(__xludf.DUMMYFUNCTION("""COMPUTED_VALUE"""),"Lickadoss77")</f>
        <v>Lickadoss77</v>
      </c>
      <c r="D763" s="31" t="str">
        <f>IFERROR(__xludf.DUMMYFUNCTION("""COMPUTED_VALUE"""),"Water")</f>
        <v>Water</v>
      </c>
      <c r="E763" s="31">
        <f>IFERROR(__xludf.DUMMYFUNCTION("""COMPUTED_VALUE"""),61.993058494563996)</f>
        <v>61.99305849</v>
      </c>
      <c r="F763" s="31">
        <f>IFERROR(__xludf.DUMMYFUNCTION("""COMPUTED_VALUE"""),3.1674395291320248)</f>
        <v>3.167439529</v>
      </c>
      <c r="G763" s="31">
        <f>IFERROR(__xludf.DUMMYFUNCTION("""COMPUTED_VALUE"""),46.394812197528495)</f>
        <v>46.3948122</v>
      </c>
      <c r="H763" s="31">
        <f>IFERROR(__xludf.DUMMYFUNCTION("""COMPUTED_VALUE"""),-2.259027785951002)</f>
        <v>-2.259027786</v>
      </c>
      <c r="I763" s="54">
        <f>IFERROR(__xludf.DUMMYFUNCTION("""COMPUTED_VALUE"""),46.0)</f>
        <v>46</v>
      </c>
      <c r="J763" s="55">
        <f>IFERROR(__xludf.DUMMYFUNCTION("""COMPUTED_VALUE"""),26.0)</f>
        <v>26</v>
      </c>
      <c r="K763" s="54">
        <f>IFERROR(__xludf.DUMMYFUNCTION("""COMPUTED_VALUE"""),20.0)</f>
        <v>20</v>
      </c>
      <c r="L763" s="56">
        <f>IFERROR(__xludf.DUMMYFUNCTION("""COMPUTED_VALUE"""),0.5652173913043478)</f>
        <v>0.5652173913</v>
      </c>
      <c r="M763" s="56">
        <f>IFERROR(__xludf.DUMMYFUNCTION("""COMPUTED_VALUE"""),0.3050847457627119)</f>
        <v>0.3050847458</v>
      </c>
      <c r="N763" s="31">
        <f>IFERROR(__xludf.DUMMYFUNCTION("""COMPUTED_VALUE"""),337.7608695652174)</f>
        <v>337.7608696</v>
      </c>
      <c r="O763" s="57">
        <f>IFERROR(__xludf.DUMMYFUNCTION("""COMPUTED_VALUE"""),0.782608695652174)</f>
        <v>0.7826086957</v>
      </c>
      <c r="P763" s="57">
        <f>IFERROR(__xludf.DUMMYFUNCTION("""COMPUTED_VALUE"""),0.6739130434782609)</f>
        <v>0.6739130435</v>
      </c>
      <c r="Q763" s="57">
        <f>IFERROR(__xludf.DUMMYFUNCTION("""COMPUTED_VALUE"""),1.065217391304348)</f>
        <v>1.065217391</v>
      </c>
      <c r="R763" s="57">
        <f>IFERROR(__xludf.DUMMYFUNCTION("""COMPUTED_VALUE"""),2.5652173913043477)</f>
        <v>2.565217391</v>
      </c>
      <c r="S763" s="31">
        <f>IFERROR(__xludf.DUMMYFUNCTION("""COMPUTED_VALUE"""),323.6811594202898)</f>
        <v>323.6811594</v>
      </c>
      <c r="T763" s="57">
        <f>IFERROR(__xludf.DUMMYFUNCTION("""COMPUTED_VALUE"""),0.6666666666666665)</f>
        <v>0.6666666667</v>
      </c>
      <c r="U763" s="57">
        <f>IFERROR(__xludf.DUMMYFUNCTION("""COMPUTED_VALUE"""),0.4782608695652174)</f>
        <v>0.4782608696</v>
      </c>
      <c r="V763" s="57">
        <f>IFERROR(__xludf.DUMMYFUNCTION("""COMPUTED_VALUE"""),1.2028985507246375)</f>
        <v>1.202898551</v>
      </c>
      <c r="W763" s="57">
        <f>IFERROR(__xludf.DUMMYFUNCTION("""COMPUTED_VALUE"""),2.41304347826087)</f>
        <v>2.413043478</v>
      </c>
      <c r="X763" s="31">
        <f>IFERROR(__xludf.DUMMYFUNCTION("""COMPUTED_VALUE"""),353.97539983439196)</f>
        <v>353.9753998</v>
      </c>
      <c r="Y763" s="57">
        <f>IFERROR(__xludf.DUMMYFUNCTION("""COMPUTED_VALUE"""),0.8103283969211373)</f>
        <v>0.8103283969</v>
      </c>
      <c r="Z763" s="57">
        <f>IFERROR(__xludf.DUMMYFUNCTION("""COMPUTED_VALUE"""),0.5856755965649707)</f>
        <v>0.5856755966</v>
      </c>
      <c r="AA763" s="57">
        <f>IFERROR(__xludf.DUMMYFUNCTION("""COMPUTED_VALUE"""),1.2957487871138462)</f>
        <v>1.295748787</v>
      </c>
      <c r="AB763" s="57">
        <f>IFERROR(__xludf.DUMMYFUNCTION("""COMPUTED_VALUE"""),2.6147075418602084)</f>
        <v>2.614707542</v>
      </c>
      <c r="AC763" s="31">
        <f>IFERROR(__xludf.DUMMYFUNCTION("""COMPUTED_VALUE"""),360.47441101568336)</f>
        <v>360.474411</v>
      </c>
      <c r="AD763" s="57">
        <f>IFERROR(__xludf.DUMMYFUNCTION("""COMPUTED_VALUE"""),0.8169732757776245)</f>
        <v>0.8169732758</v>
      </c>
      <c r="AE763" s="57">
        <f>IFERROR(__xludf.DUMMYFUNCTION("""COMPUTED_VALUE"""),0.5952157861808987)</f>
        <v>0.5952157862</v>
      </c>
      <c r="AF763" s="57">
        <f>IFERROR(__xludf.DUMMYFUNCTION("""COMPUTED_VALUE"""),1.361538442347799)</f>
        <v>1.361538442</v>
      </c>
      <c r="AG763" s="57">
        <f>IFERROR(__xludf.DUMMYFUNCTION("""COMPUTED_VALUE"""),2.6797689396293625)</f>
        <v>2.67976894</v>
      </c>
      <c r="AH763" s="57">
        <f>IFERROR(__xludf.DUMMYFUNCTION("""COMPUTED_VALUE"""),0.9369898645885358)</f>
        <v>0.9369898646</v>
      </c>
      <c r="AI763" s="57">
        <f>IFERROR(__xludf.DUMMYFUNCTION("""COMPUTED_VALUE"""),0.9579367145238122)</f>
        <v>0.9579367145</v>
      </c>
      <c r="AJ763" s="57">
        <f>IFERROR(__xludf.DUMMYFUNCTION("""COMPUTED_VALUE"""),1.1322163476246319)</f>
        <v>1.132216348</v>
      </c>
      <c r="AK763" s="57">
        <f>IFERROR(__xludf.DUMMYFUNCTION("""COMPUTED_VALUE"""),0.7823630667875353)</f>
        <v>0.7823630668</v>
      </c>
      <c r="AL763" s="57">
        <f>IFERROR(__xludf.DUMMYFUNCTION("""COMPUTED_VALUE"""),0.9572531994714222)</f>
        <v>0.9572531995</v>
      </c>
      <c r="AM763" s="57">
        <f>IFERROR(__xludf.DUMMYFUNCTION("""COMPUTED_VALUE"""),0.9144171023515324)</f>
        <v>0.9144171024</v>
      </c>
      <c r="AN763" s="57">
        <f>IFERROR(__xludf.DUMMYFUNCTION("""COMPUTED_VALUE"""),0.8227117168788394)</f>
        <v>0.8227117169</v>
      </c>
      <c r="AO763" s="57">
        <f>IFERROR(__xludf.DUMMYFUNCTION("""COMPUTED_VALUE"""),0.8165968880558652)</f>
        <v>0.8165968881</v>
      </c>
      <c r="AP763" s="35">
        <f>IFERROR(__xludf.DUMMYFUNCTION("""COMPUTED_VALUE"""),0.9283424091825518)</f>
        <v>0.9283424092</v>
      </c>
      <c r="AQ763" s="57">
        <f>IFERROR(__xludf.DUMMYFUNCTION("""COMPUTED_VALUE"""),0.9228731854822025)</f>
        <v>0.9228731855</v>
      </c>
      <c r="AR763" s="36" t="b">
        <f>IFERROR(__xludf.DUMMYFUNCTION("""COMPUTED_VALUE"""),TRUE)</f>
        <v>1</v>
      </c>
      <c r="AS763" s="57"/>
      <c r="AT763" s="37"/>
      <c r="AU763" s="30"/>
      <c r="AV763" s="30"/>
      <c r="AW763" s="30"/>
      <c r="AX763" s="30"/>
      <c r="AY763" s="30"/>
      <c r="AZ763" s="30"/>
    </row>
    <row r="764">
      <c r="A764" s="30" t="str">
        <f>IFERROR(__xludf.DUMMYFUNCTION("""COMPUTED_VALUE"""),"Veteran")</f>
        <v>Veteran</v>
      </c>
      <c r="B764" s="30" t="str">
        <f>IFERROR(__xludf.DUMMYFUNCTION("""COMPUTED_VALUE"""),"RSC007954")</f>
        <v>RSC007954</v>
      </c>
      <c r="C764" s="30" t="str">
        <f>IFERROR(__xludf.DUMMYFUNCTION("""COMPUTED_VALUE"""),"Killer")</f>
        <v>Killer</v>
      </c>
      <c r="D764" s="31" t="str">
        <f>IFERROR(__xludf.DUMMYFUNCTION("""COMPUTED_VALUE"""),"Makos")</f>
        <v>Makos</v>
      </c>
      <c r="E764" s="31">
        <f>IFERROR(__xludf.DUMMYFUNCTION("""COMPUTED_VALUE"""),61.619575697648486)</f>
        <v>61.6195757</v>
      </c>
      <c r="F764" s="31">
        <f>IFERROR(__xludf.DUMMYFUNCTION("""COMPUTED_VALUE"""),3.1148434539988816)</f>
        <v>3.114843454</v>
      </c>
      <c r="G764" s="31">
        <f>IFERROR(__xludf.DUMMYFUNCTION("""COMPUTED_VALUE"""),61.25517529821803)</f>
        <v>61.2551753</v>
      </c>
      <c r="H764" s="31">
        <f>IFERROR(__xludf.DUMMYFUNCTION("""COMPUTED_VALUE"""),3.064846728476741)</f>
        <v>3.064846728</v>
      </c>
      <c r="I764" s="54">
        <f>IFERROR(__xludf.DUMMYFUNCTION("""COMPUTED_VALUE"""),44.0)</f>
        <v>44</v>
      </c>
      <c r="J764" s="55">
        <f>IFERROR(__xludf.DUMMYFUNCTION("""COMPUTED_VALUE"""),23.0)</f>
        <v>23</v>
      </c>
      <c r="K764" s="54">
        <f>IFERROR(__xludf.DUMMYFUNCTION("""COMPUTED_VALUE"""),21.0)</f>
        <v>21</v>
      </c>
      <c r="L764" s="56">
        <f>IFERROR(__xludf.DUMMYFUNCTION("""COMPUTED_VALUE"""),0.5227272727272727)</f>
        <v>0.5227272727</v>
      </c>
      <c r="M764" s="56">
        <f>IFERROR(__xludf.DUMMYFUNCTION("""COMPUTED_VALUE"""),0.2248062015503876)</f>
        <v>0.2248062016</v>
      </c>
      <c r="N764" s="31">
        <f>IFERROR(__xludf.DUMMYFUNCTION("""COMPUTED_VALUE"""),386.45454545454544)</f>
        <v>386.4545455</v>
      </c>
      <c r="O764" s="57">
        <f>IFERROR(__xludf.DUMMYFUNCTION("""COMPUTED_VALUE"""),0.6590909090909091)</f>
        <v>0.6590909091</v>
      </c>
      <c r="P764" s="57">
        <f>IFERROR(__xludf.DUMMYFUNCTION("""COMPUTED_VALUE"""),0.6818181818181818)</f>
        <v>0.6818181818</v>
      </c>
      <c r="Q764" s="57">
        <f>IFERROR(__xludf.DUMMYFUNCTION("""COMPUTED_VALUE"""),1.6363636363636365)</f>
        <v>1.636363636</v>
      </c>
      <c r="R764" s="57">
        <f>IFERROR(__xludf.DUMMYFUNCTION("""COMPUTED_VALUE"""),2.9318181818181817)</f>
        <v>2.931818182</v>
      </c>
      <c r="S764" s="31">
        <f>IFERROR(__xludf.DUMMYFUNCTION("""COMPUTED_VALUE"""),364.96969696969694)</f>
        <v>364.969697</v>
      </c>
      <c r="T764" s="57">
        <f>IFERROR(__xludf.DUMMYFUNCTION("""COMPUTED_VALUE"""),0.8030303030303031)</f>
        <v>0.803030303</v>
      </c>
      <c r="U764" s="57">
        <f>IFERROR(__xludf.DUMMYFUNCTION("""COMPUTED_VALUE"""),0.5909090909090909)</f>
        <v>0.5909090909</v>
      </c>
      <c r="V764" s="57">
        <f>IFERROR(__xludf.DUMMYFUNCTION("""COMPUTED_VALUE"""),1.4696969696969702)</f>
        <v>1.46969697</v>
      </c>
      <c r="W764" s="57">
        <f>IFERROR(__xludf.DUMMYFUNCTION("""COMPUTED_VALUE"""),2.5909090909090904)</f>
        <v>2.590909091</v>
      </c>
      <c r="X764" s="31">
        <f>IFERROR(__xludf.DUMMYFUNCTION("""COMPUTED_VALUE"""),362.9186638165492)</f>
        <v>362.9186638</v>
      </c>
      <c r="Y764" s="57">
        <f>IFERROR(__xludf.DUMMYFUNCTION("""COMPUTED_VALUE"""),0.8505726807520002)</f>
        <v>0.8505726808</v>
      </c>
      <c r="Z764" s="57">
        <f>IFERROR(__xludf.DUMMYFUNCTION("""COMPUTED_VALUE"""),0.6112858781705214)</f>
        <v>0.6112858782</v>
      </c>
      <c r="AA764" s="57">
        <f>IFERROR(__xludf.DUMMYFUNCTION("""COMPUTED_VALUE"""),1.3438405425280342)</f>
        <v>1.343840543</v>
      </c>
      <c r="AB764" s="57">
        <f>IFERROR(__xludf.DUMMYFUNCTION("""COMPUTED_VALUE"""),2.791508077110549)</f>
        <v>2.791508077</v>
      </c>
      <c r="AC764" s="31">
        <f>IFERROR(__xludf.DUMMYFUNCTION("""COMPUTED_VALUE"""),357.21153191535416)</f>
        <v>357.2115319</v>
      </c>
      <c r="AD764" s="57">
        <f>IFERROR(__xludf.DUMMYFUNCTION("""COMPUTED_VALUE"""),0.7721194386467907)</f>
        <v>0.7721194386</v>
      </c>
      <c r="AE764" s="57">
        <f>IFERROR(__xludf.DUMMYFUNCTION("""COMPUTED_VALUE"""),0.5843762091295319)</f>
        <v>0.5843762091</v>
      </c>
      <c r="AF764" s="57">
        <f>IFERROR(__xludf.DUMMYFUNCTION("""COMPUTED_VALUE"""),1.4235980004565023)</f>
        <v>1.423598</v>
      </c>
      <c r="AG764" s="57">
        <f>IFERROR(__xludf.DUMMYFUNCTION("""COMPUTED_VALUE"""),2.5732043775147555)</f>
        <v>2.573204378</v>
      </c>
      <c r="AH764" s="57">
        <f>IFERROR(__xludf.DUMMYFUNCTION("""COMPUTED_VALUE"""),1.0818646961994518)</f>
        <v>1.081864696</v>
      </c>
      <c r="AI764" s="57">
        <f>IFERROR(__xludf.DUMMYFUNCTION("""COMPUTED_VALUE"""),0.8536126356901798)</f>
        <v>0.8536126357</v>
      </c>
      <c r="AJ764" s="57">
        <f>IFERROR(__xludf.DUMMYFUNCTION("""COMPUTED_VALUE"""),1.1667452767007682)</f>
        <v>1.166745277</v>
      </c>
      <c r="AK764" s="57">
        <f>IFERROR(__xludf.DUMMYFUNCTION("""COMPUTED_VALUE"""),1.1494562621181732)</f>
        <v>1.149456262</v>
      </c>
      <c r="AL764" s="57">
        <f>IFERROR(__xludf.DUMMYFUNCTION("""COMPUTED_VALUE"""),1.1393646798665023)</f>
        <v>1.13936468</v>
      </c>
      <c r="AM764" s="57">
        <f>IFERROR(__xludf.DUMMYFUNCTION("""COMPUTED_VALUE"""),1.005651495383507)</f>
        <v>1.005651495</v>
      </c>
      <c r="AN764" s="57">
        <f>IFERROR(__xludf.DUMMYFUNCTION("""COMPUTED_VALUE"""),0.9441054494253631)</f>
        <v>0.9441054494</v>
      </c>
      <c r="AO764" s="57">
        <f>IFERROR(__xludf.DUMMYFUNCTION("""COMPUTED_VALUE"""),0.9666656993248154)</f>
        <v>0.9666656993</v>
      </c>
      <c r="AP764" s="35">
        <f>IFERROR(__xludf.DUMMYFUNCTION("""COMPUTED_VALUE"""),1.0936542864915912)</f>
        <v>1.093654286</v>
      </c>
      <c r="AQ764" s="57">
        <f>IFERROR(__xludf.DUMMYFUNCTION("""COMPUTED_VALUE"""),0.9281395644718694)</f>
        <v>0.9281395645</v>
      </c>
      <c r="AR764" s="36" t="b">
        <f>IFERROR(__xludf.DUMMYFUNCTION("""COMPUTED_VALUE"""),TRUE)</f>
        <v>1</v>
      </c>
      <c r="AS764" s="57"/>
      <c r="AT764" s="37"/>
      <c r="AU764" s="30"/>
      <c r="AV764" s="30"/>
      <c r="AW764" s="30"/>
      <c r="AX764" s="30"/>
      <c r="AY764" s="30"/>
      <c r="AZ764" s="30"/>
    </row>
    <row r="765">
      <c r="A765" s="30" t="str">
        <f>IFERROR(__xludf.DUMMYFUNCTION("""COMPUTED_VALUE"""),"Veteran")</f>
        <v>Veteran</v>
      </c>
      <c r="B765" s="30" t="str">
        <f>IFERROR(__xludf.DUMMYFUNCTION("""COMPUTED_VALUE"""),"RSC005355")</f>
        <v>RSC005355</v>
      </c>
      <c r="C765" s="30" t="str">
        <f>IFERROR(__xludf.DUMMYFUNCTION("""COMPUTED_VALUE"""),"Armando")</f>
        <v>Armando</v>
      </c>
      <c r="D765" s="31" t="str">
        <f>IFERROR(__xludf.DUMMYFUNCTION("""COMPUTED_VALUE"""),"Gorillas")</f>
        <v>Gorillas</v>
      </c>
      <c r="E765" s="31">
        <f>IFERROR(__xludf.DUMMYFUNCTION("""COMPUTED_VALUE"""),61.28836265172037)</f>
        <v>61.28836265</v>
      </c>
      <c r="F765" s="31">
        <f>IFERROR(__xludf.DUMMYFUNCTION("""COMPUTED_VALUE"""),3.069347166354553)</f>
        <v>3.069347166</v>
      </c>
      <c r="G765" s="31">
        <f>IFERROR(__xludf.DUMMYFUNCTION("""COMPUTED_VALUE"""),54.04323138061484)</f>
        <v>54.04323138</v>
      </c>
      <c r="H765" s="31">
        <f>IFERROR(__xludf.DUMMYFUNCTION("""COMPUTED_VALUE"""),2.294843657717523)</f>
        <v>2.294843658</v>
      </c>
      <c r="I765" s="54">
        <f>IFERROR(__xludf.DUMMYFUNCTION("""COMPUTED_VALUE"""),2.0)</f>
        <v>2</v>
      </c>
      <c r="J765" s="55">
        <f>IFERROR(__xludf.DUMMYFUNCTION("""COMPUTED_VALUE"""),0.0)</f>
        <v>0</v>
      </c>
      <c r="K765" s="54">
        <f>IFERROR(__xludf.DUMMYFUNCTION("""COMPUTED_VALUE"""),2.0)</f>
        <v>2</v>
      </c>
      <c r="L765" s="56">
        <f>IFERROR(__xludf.DUMMYFUNCTION("""COMPUTED_VALUE"""),0.0)</f>
        <v>0</v>
      </c>
      <c r="M765" s="56">
        <f>IFERROR(__xludf.DUMMYFUNCTION("""COMPUTED_VALUE"""),0.5)</f>
        <v>0.5</v>
      </c>
      <c r="N765" s="31">
        <f>IFERROR(__xludf.DUMMYFUNCTION("""COMPUTED_VALUE"""),354.0)</f>
        <v>354</v>
      </c>
      <c r="O765" s="57">
        <f>IFERROR(__xludf.DUMMYFUNCTION("""COMPUTED_VALUE"""),0.5)</f>
        <v>0.5</v>
      </c>
      <c r="P765" s="57">
        <f>IFERROR(__xludf.DUMMYFUNCTION("""COMPUTED_VALUE"""),1.5)</f>
        <v>1.5</v>
      </c>
      <c r="Q765" s="57">
        <f>IFERROR(__xludf.DUMMYFUNCTION("""COMPUTED_VALUE"""),1.5)</f>
        <v>1.5</v>
      </c>
      <c r="R765" s="57">
        <f>IFERROR(__xludf.DUMMYFUNCTION("""COMPUTED_VALUE"""),1.0)</f>
        <v>1</v>
      </c>
      <c r="S765" s="31">
        <f>IFERROR(__xludf.DUMMYFUNCTION("""COMPUTED_VALUE"""),408.33333333333337)</f>
        <v>408.3333333</v>
      </c>
      <c r="T765" s="57">
        <f>IFERROR(__xludf.DUMMYFUNCTION("""COMPUTED_VALUE"""),1.3333333333333333)</f>
        <v>1.333333333</v>
      </c>
      <c r="U765" s="57">
        <f>IFERROR(__xludf.DUMMYFUNCTION("""COMPUTED_VALUE"""),0.6666666666666666)</f>
        <v>0.6666666667</v>
      </c>
      <c r="V765" s="57">
        <f>IFERROR(__xludf.DUMMYFUNCTION("""COMPUTED_VALUE"""),1.1666666666666665)</f>
        <v>1.166666667</v>
      </c>
      <c r="W765" s="57">
        <f>IFERROR(__xludf.DUMMYFUNCTION("""COMPUTED_VALUE"""),3.1666666666666665)</f>
        <v>3.166666667</v>
      </c>
      <c r="X765" s="31">
        <f>IFERROR(__xludf.DUMMYFUNCTION("""COMPUTED_VALUE"""),355.0816561242093)</f>
        <v>355.0816561</v>
      </c>
      <c r="Y765" s="57">
        <f>IFERROR(__xludf.DUMMYFUNCTION("""COMPUTED_VALUE"""),0.8029518880582711)</f>
        <v>0.8029518881</v>
      </c>
      <c r="Z765" s="57">
        <f>IFERROR(__xludf.DUMMYFUNCTION("""COMPUTED_VALUE"""),0.53383170404447)</f>
        <v>0.533831704</v>
      </c>
      <c r="AA765" s="57">
        <f>IFERROR(__xludf.DUMMYFUNCTION("""COMPUTED_VALUE"""),1.4075138968755987)</f>
        <v>1.407513897</v>
      </c>
      <c r="AB765" s="57">
        <f>IFERROR(__xludf.DUMMYFUNCTION("""COMPUTED_VALUE"""),2.9072263753114815)</f>
        <v>2.907226375</v>
      </c>
      <c r="AC765" s="31">
        <f>IFERROR(__xludf.DUMMYFUNCTION("""COMPUTED_VALUE"""),335.77534981790296)</f>
        <v>335.7753498</v>
      </c>
      <c r="AD765" s="57">
        <f>IFERROR(__xludf.DUMMYFUNCTION("""COMPUTED_VALUE"""),0.6027090920707942)</f>
        <v>0.6027090921</v>
      </c>
      <c r="AE765" s="57">
        <f>IFERROR(__xludf.DUMMYFUNCTION("""COMPUTED_VALUE"""),0.4850808255063574)</f>
        <v>0.4850808255</v>
      </c>
      <c r="AF765" s="57">
        <f>IFERROR(__xludf.DUMMYFUNCTION("""COMPUTED_VALUE"""),1.4930036419398123)</f>
        <v>1.493003642</v>
      </c>
      <c r="AG765" s="57">
        <f>IFERROR(__xludf.DUMMYFUNCTION("""COMPUTED_VALUE"""),2.2927608459523356)</f>
        <v>2.292760846</v>
      </c>
      <c r="AH765" s="57">
        <f>IFERROR(__xludf.DUMMYFUNCTION("""COMPUTED_VALUE"""),1.0542763195451381)</f>
        <v>1.05427632</v>
      </c>
      <c r="AI765" s="57">
        <f>IFERROR(__xludf.DUMMYFUNCTION("""COMPUTED_VALUE"""),0.8295876179370296)</f>
        <v>0.8295876179</v>
      </c>
      <c r="AJ765" s="57">
        <f>IFERROR(__xludf.DUMMYFUNCTION("""COMPUTED_VALUE"""),3.0922681770284512)</f>
        <v>3.092268177</v>
      </c>
      <c r="AK765" s="57">
        <f>IFERROR(__xludf.DUMMYFUNCTION("""COMPUTED_VALUE"""),1.0046860957760944)</f>
        <v>1.004686096</v>
      </c>
      <c r="AL765" s="57">
        <f>IFERROR(__xludf.DUMMYFUNCTION("""COMPUTED_VALUE"""),0.43615538958867456)</f>
        <v>0.4361553896</v>
      </c>
      <c r="AM765" s="57">
        <f>IFERROR(__xludf.DUMMYFUNCTION("""COMPUTED_VALUE"""),1.149970228792941)</f>
        <v>1.149970229</v>
      </c>
      <c r="AN765" s="57">
        <f>IFERROR(__xludf.DUMMYFUNCTION("""COMPUTED_VALUE"""),1.6605395082358556)</f>
        <v>1.660539508</v>
      </c>
      <c r="AO765" s="57">
        <f>IFERROR(__xludf.DUMMYFUNCTION("""COMPUTED_VALUE"""),1.2488330341113105)</f>
        <v>1.248833034</v>
      </c>
      <c r="AP765" s="35">
        <f>IFERROR(__xludf.DUMMYFUNCTION("""COMPUTED_VALUE"""),0.8288846520495711)</f>
        <v>0.828884652</v>
      </c>
      <c r="AQ765" s="57">
        <f>IFERROR(__xludf.DUMMYFUNCTION("""COMPUTED_VALUE"""),1.08923979692754)</f>
        <v>1.089239797</v>
      </c>
      <c r="AR765" s="36" t="b">
        <f>IFERROR(__xludf.DUMMYFUNCTION("""COMPUTED_VALUE"""),TRUE)</f>
        <v>1</v>
      </c>
      <c r="AS765" s="57"/>
      <c r="AT765" s="37"/>
      <c r="AU765" s="30"/>
      <c r="AV765" s="30"/>
      <c r="AW765" s="30"/>
      <c r="AX765" s="30"/>
      <c r="AY765" s="30"/>
      <c r="AZ765" s="30"/>
    </row>
    <row r="766">
      <c r="A766" s="30" t="str">
        <f>IFERROR(__xludf.DUMMYFUNCTION("""COMPUTED_VALUE"""),"Veteran")</f>
        <v>Veteran</v>
      </c>
      <c r="B766" s="30" t="str">
        <f>IFERROR(__xludf.DUMMYFUNCTION("""COMPUTED_VALUE"""),"RSC006992")</f>
        <v>RSC006992</v>
      </c>
      <c r="C766" s="30" t="str">
        <f>IFERROR(__xludf.DUMMYFUNCTION("""COMPUTED_VALUE"""),"Dxso.")</f>
        <v>Dxso.</v>
      </c>
      <c r="D766" s="31" t="str">
        <f>IFERROR(__xludf.DUMMYFUNCTION("""COMPUTED_VALUE"""),"Kirin")</f>
        <v>Kirin</v>
      </c>
      <c r="E766" s="31">
        <f>IFERROR(__xludf.DUMMYFUNCTION("""COMPUTED_VALUE"""),61.17000152192227)</f>
        <v>61.17000152</v>
      </c>
      <c r="F766" s="31">
        <f>IFERROR(__xludf.DUMMYFUNCTION("""COMPUTED_VALUE"""),3.053344552114036)</f>
        <v>3.053344552</v>
      </c>
      <c r="G766" s="31">
        <f>IFERROR(__xludf.DUMMYFUNCTION("""COMPUTED_VALUE"""),62.92522397305825)</f>
        <v>62.92522397</v>
      </c>
      <c r="H766" s="31">
        <f>IFERROR(__xludf.DUMMYFUNCTION("""COMPUTED_VALUE"""),3.304966230452314)</f>
        <v>3.30496623</v>
      </c>
      <c r="I766" s="54">
        <f>IFERROR(__xludf.DUMMYFUNCTION("""COMPUTED_VALUE"""),28.0)</f>
        <v>28</v>
      </c>
      <c r="J766" s="55">
        <f>IFERROR(__xludf.DUMMYFUNCTION("""COMPUTED_VALUE"""),13.0)</f>
        <v>13</v>
      </c>
      <c r="K766" s="54">
        <f>IFERROR(__xludf.DUMMYFUNCTION("""COMPUTED_VALUE"""),15.0)</f>
        <v>15</v>
      </c>
      <c r="L766" s="56">
        <f>IFERROR(__xludf.DUMMYFUNCTION("""COMPUTED_VALUE"""),0.4642857142857143)</f>
        <v>0.4642857143</v>
      </c>
      <c r="M766" s="56">
        <f>IFERROR(__xludf.DUMMYFUNCTION("""COMPUTED_VALUE"""),0.32051282051282054)</f>
        <v>0.3205128205</v>
      </c>
      <c r="N766" s="31">
        <f>IFERROR(__xludf.DUMMYFUNCTION("""COMPUTED_VALUE"""),364.67857142857144)</f>
        <v>364.6785714</v>
      </c>
      <c r="O766" s="57">
        <f>IFERROR(__xludf.DUMMYFUNCTION("""COMPUTED_VALUE"""),0.8928571428571429)</f>
        <v>0.8928571429</v>
      </c>
      <c r="P766" s="57">
        <f>IFERROR(__xludf.DUMMYFUNCTION("""COMPUTED_VALUE"""),0.5357142857142857)</f>
        <v>0.5357142857</v>
      </c>
      <c r="Q766" s="57">
        <f>IFERROR(__xludf.DUMMYFUNCTION("""COMPUTED_VALUE"""),1.25)</f>
        <v>1.25</v>
      </c>
      <c r="R766" s="57">
        <f>IFERROR(__xludf.DUMMYFUNCTION("""COMPUTED_VALUE"""),2.7857142857142856)</f>
        <v>2.785714286</v>
      </c>
      <c r="S766" s="31">
        <f>IFERROR(__xludf.DUMMYFUNCTION("""COMPUTED_VALUE"""),351.11904761904765)</f>
        <v>351.1190476</v>
      </c>
      <c r="T766" s="57">
        <f>IFERROR(__xludf.DUMMYFUNCTION("""COMPUTED_VALUE"""),0.8928571428571427)</f>
        <v>0.8928571429</v>
      </c>
      <c r="U766" s="57">
        <f>IFERROR(__xludf.DUMMYFUNCTION("""COMPUTED_VALUE"""),0.6428571428571427)</f>
        <v>0.6428571429</v>
      </c>
      <c r="V766" s="57">
        <f>IFERROR(__xludf.DUMMYFUNCTION("""COMPUTED_VALUE"""),1.2023809523809526)</f>
        <v>1.202380952</v>
      </c>
      <c r="W766" s="57">
        <f>IFERROR(__xludf.DUMMYFUNCTION("""COMPUTED_VALUE"""),2.511904761904762)</f>
        <v>2.511904762</v>
      </c>
      <c r="X766" s="31">
        <f>IFERROR(__xludf.DUMMYFUNCTION("""COMPUTED_VALUE"""),355.2327825874665)</f>
        <v>355.2327826</v>
      </c>
      <c r="Y766" s="57">
        <f>IFERROR(__xludf.DUMMYFUNCTION("""COMPUTED_VALUE"""),0.8150895353711226)</f>
        <v>0.8150895354</v>
      </c>
      <c r="Z766" s="57">
        <f>IFERROR(__xludf.DUMMYFUNCTION("""COMPUTED_VALUE"""),0.57313900953011)</f>
        <v>0.5731390095</v>
      </c>
      <c r="AA766" s="57">
        <f>IFERROR(__xludf.DUMMYFUNCTION("""COMPUTED_VALUE"""),1.3248022784607376)</f>
        <v>1.324802278</v>
      </c>
      <c r="AB766" s="57">
        <f>IFERROR(__xludf.DUMMYFUNCTION("""COMPUTED_VALUE"""),2.7153586104933396)</f>
        <v>2.71535861</v>
      </c>
      <c r="AC766" s="31">
        <f>IFERROR(__xludf.DUMMYFUNCTION("""COMPUTED_VALUE"""),350.58410454630683)</f>
        <v>350.5841045</v>
      </c>
      <c r="AD766" s="57">
        <f>IFERROR(__xludf.DUMMYFUNCTION("""COMPUTED_VALUE"""),0.7380490211818136)</f>
        <v>0.7380490212</v>
      </c>
      <c r="AE766" s="57">
        <f>IFERROR(__xludf.DUMMYFUNCTION("""COMPUTED_VALUE"""),0.5566167793517629)</f>
        <v>0.5566167794</v>
      </c>
      <c r="AF766" s="57">
        <f>IFERROR(__xludf.DUMMYFUNCTION("""COMPUTED_VALUE"""),1.4048527150039123)</f>
        <v>1.404852715</v>
      </c>
      <c r="AG766" s="57">
        <f>IFERROR(__xludf.DUMMYFUNCTION("""COMPUTED_VALUE"""),2.547282274772351)</f>
        <v>2.547282275</v>
      </c>
      <c r="AH766" s="57">
        <f>IFERROR(__xludf.DUMMYFUNCTION("""COMPUTED_VALUE"""),1.0402028121055413)</f>
        <v>1.040202812</v>
      </c>
      <c r="AI766" s="57">
        <f>IFERROR(__xludf.DUMMYFUNCTION("""COMPUTED_VALUE"""),1.2097531698198585)</f>
        <v>1.20975317</v>
      </c>
      <c r="AJ766" s="57">
        <f>IFERROR(__xludf.DUMMYFUNCTION("""COMPUTED_VALUE"""),0.9624472448318567)</f>
        <v>0.9624472448</v>
      </c>
      <c r="AK766" s="57">
        <f>IFERROR(__xludf.DUMMYFUNCTION("""COMPUTED_VALUE"""),0.8897729894742161)</f>
        <v>0.8897729895</v>
      </c>
      <c r="AL766" s="57">
        <f>IFERROR(__xludf.DUMMYFUNCTION("""COMPUTED_VALUE"""),1.0936025085650325)</f>
        <v>1.093602509</v>
      </c>
      <c r="AM766" s="57">
        <f>IFERROR(__xludf.DUMMYFUNCTION("""COMPUTED_VALUE"""),0.9884196077331181)</f>
        <v>0.9884196077</v>
      </c>
      <c r="AN766" s="57">
        <f>IFERROR(__xludf.DUMMYFUNCTION("""COMPUTED_VALUE"""),1.0954098956142424)</f>
        <v>1.095409896</v>
      </c>
      <c r="AO766" s="57">
        <f>IFERROR(__xludf.DUMMYFUNCTION("""COMPUTED_VALUE"""),1.121642624507781)</f>
        <v>1.121642625</v>
      </c>
      <c r="AP766" s="35">
        <f>IFERROR(__xludf.DUMMYFUNCTION("""COMPUTED_VALUE"""),0.9075927569946332)</f>
        <v>0.907592757</v>
      </c>
      <c r="AQ766" s="57">
        <f>IFERROR(__xludf.DUMMYFUNCTION("""COMPUTED_VALUE"""),0.9250729359273789)</f>
        <v>0.9250729359</v>
      </c>
      <c r="AR766" s="36" t="b">
        <f>IFERROR(__xludf.DUMMYFUNCTION("""COMPUTED_VALUE"""),TRUE)</f>
        <v>1</v>
      </c>
      <c r="AS766" s="57"/>
      <c r="AT766" s="37"/>
      <c r="AU766" s="30"/>
      <c r="AV766" s="30"/>
      <c r="AW766" s="30"/>
      <c r="AX766" s="30"/>
      <c r="AY766" s="30"/>
      <c r="AZ766" s="30"/>
    </row>
    <row r="767">
      <c r="A767" s="30" t="str">
        <f>IFERROR(__xludf.DUMMYFUNCTION("""COMPUTED_VALUE"""),"Veteran")</f>
        <v>Veteran</v>
      </c>
      <c r="B767" s="30" t="str">
        <f>IFERROR(__xludf.DUMMYFUNCTION("""COMPUTED_VALUE"""),"RSC004109")</f>
        <v>RSC004109</v>
      </c>
      <c r="C767" s="30" t="str">
        <f>IFERROR(__xludf.DUMMYFUNCTION("""COMPUTED_VALUE"""),"Hawkish")</f>
        <v>Hawkish</v>
      </c>
      <c r="D767" s="31" t="str">
        <f>IFERROR(__xludf.DUMMYFUNCTION("""COMPUTED_VALUE"""),"Werewolves")</f>
        <v>Werewolves</v>
      </c>
      <c r="E767" s="31">
        <f>IFERROR(__xludf.DUMMYFUNCTION("""COMPUTED_VALUE"""),60.943670055148786)</f>
        <v>60.94367006</v>
      </c>
      <c r="F767" s="31">
        <f>IFERROR(__xludf.DUMMYFUNCTION("""COMPUTED_VALUE"""),3.0231124282547013)</f>
        <v>3.023112428</v>
      </c>
      <c r="G767" s="31">
        <f>IFERROR(__xludf.DUMMYFUNCTION("""COMPUTED_VALUE"""),56.78847541732084)</f>
        <v>56.78847542</v>
      </c>
      <c r="H767" s="31">
        <f>IFERROR(__xludf.DUMMYFUNCTION("""COMPUTED_VALUE"""),2.5446053557553716)</f>
        <v>2.544605356</v>
      </c>
      <c r="I767" s="54">
        <f>IFERROR(__xludf.DUMMYFUNCTION("""COMPUTED_VALUE"""),41.0)</f>
        <v>41</v>
      </c>
      <c r="J767" s="55">
        <f>IFERROR(__xludf.DUMMYFUNCTION("""COMPUTED_VALUE"""),17.0)</f>
        <v>17</v>
      </c>
      <c r="K767" s="54">
        <f>IFERROR(__xludf.DUMMYFUNCTION("""COMPUTED_VALUE"""),24.0)</f>
        <v>24</v>
      </c>
      <c r="L767" s="56">
        <f>IFERROR(__xludf.DUMMYFUNCTION("""COMPUTED_VALUE"""),0.4146341463414634)</f>
        <v>0.4146341463</v>
      </c>
      <c r="M767" s="56">
        <f>IFERROR(__xludf.DUMMYFUNCTION("""COMPUTED_VALUE"""),0.2954545454545454)</f>
        <v>0.2954545455</v>
      </c>
      <c r="N767" s="31">
        <f>IFERROR(__xludf.DUMMYFUNCTION("""COMPUTED_VALUE"""),382.1951219512195)</f>
        <v>382.195122</v>
      </c>
      <c r="O767" s="57">
        <f>IFERROR(__xludf.DUMMYFUNCTION("""COMPUTED_VALUE"""),0.9512195121951219)</f>
        <v>0.9512195122</v>
      </c>
      <c r="P767" s="57">
        <f>IFERROR(__xludf.DUMMYFUNCTION("""COMPUTED_VALUE"""),0.5609756097560976)</f>
        <v>0.5609756098</v>
      </c>
      <c r="Q767" s="57">
        <f>IFERROR(__xludf.DUMMYFUNCTION("""COMPUTED_VALUE"""),1.3414634146341464)</f>
        <v>1.341463415</v>
      </c>
      <c r="R767" s="57">
        <f>IFERROR(__xludf.DUMMYFUNCTION("""COMPUTED_VALUE"""),3.2195121951219514)</f>
        <v>3.219512195</v>
      </c>
      <c r="S767" s="31">
        <f>IFERROR(__xludf.DUMMYFUNCTION("""COMPUTED_VALUE"""),406.70731707317066)</f>
        <v>406.7073171</v>
      </c>
      <c r="T767" s="57">
        <f>IFERROR(__xludf.DUMMYFUNCTION("""COMPUTED_VALUE"""),1.0243902439024388)</f>
        <v>1.024390244</v>
      </c>
      <c r="U767" s="57">
        <f>IFERROR(__xludf.DUMMYFUNCTION("""COMPUTED_VALUE"""),0.7317073170731706)</f>
        <v>0.7317073171</v>
      </c>
      <c r="V767" s="57">
        <f>IFERROR(__xludf.DUMMYFUNCTION("""COMPUTED_VALUE"""),1.5528455284552845)</f>
        <v>1.552845528</v>
      </c>
      <c r="W767" s="57">
        <f>IFERROR(__xludf.DUMMYFUNCTION("""COMPUTED_VALUE"""),2.878048780487805)</f>
        <v>2.87804878</v>
      </c>
      <c r="X767" s="31">
        <f>IFERROR(__xludf.DUMMYFUNCTION("""COMPUTED_VALUE"""),355.86760016459255)</f>
        <v>355.8676002</v>
      </c>
      <c r="Y767" s="57">
        <f>IFERROR(__xludf.DUMMYFUNCTION("""COMPUTED_VALUE"""),0.8131741618920464)</f>
        <v>0.8131741619</v>
      </c>
      <c r="Z767" s="57">
        <f>IFERROR(__xludf.DUMMYFUNCTION("""COMPUTED_VALUE"""),0.6008270176217514)</f>
        <v>0.6008270176</v>
      </c>
      <c r="AA767" s="57">
        <f>IFERROR(__xludf.DUMMYFUNCTION("""COMPUTED_VALUE"""),1.3316136733416901)</f>
        <v>1.331613673</v>
      </c>
      <c r="AB767" s="57">
        <f>IFERROR(__xludf.DUMMYFUNCTION("""COMPUTED_VALUE"""),2.655191954091239)</f>
        <v>2.655191954</v>
      </c>
      <c r="AC767" s="31">
        <f>IFERROR(__xludf.DUMMYFUNCTION("""COMPUTED_VALUE"""),357.62463363720286)</f>
        <v>357.6246336</v>
      </c>
      <c r="AD767" s="57">
        <f>IFERROR(__xludf.DUMMYFUNCTION("""COMPUTED_VALUE"""),0.8054583627259686)</f>
        <v>0.8054583627</v>
      </c>
      <c r="AE767" s="57">
        <f>IFERROR(__xludf.DUMMYFUNCTION("""COMPUTED_VALUE"""),0.585211977214245)</f>
        <v>0.5852119772</v>
      </c>
      <c r="AF767" s="57">
        <f>IFERROR(__xludf.DUMMYFUNCTION("""COMPUTED_VALUE"""),1.3587297233971236)</f>
        <v>1.358729723</v>
      </c>
      <c r="AG767" s="57">
        <f>IFERROR(__xludf.DUMMYFUNCTION("""COMPUTED_VALUE"""),2.5819794720311187)</f>
        <v>2.581979472</v>
      </c>
      <c r="AH767" s="57">
        <f>IFERROR(__xludf.DUMMYFUNCTION("""COMPUTED_VALUE"""),1.06870468643092)</f>
        <v>1.068704686</v>
      </c>
      <c r="AI767" s="57">
        <f>IFERROR(__xludf.DUMMYFUNCTION("""COMPUTED_VALUE"""),1.1809667094098368)</f>
        <v>1.180966709</v>
      </c>
      <c r="AJ767" s="57">
        <f>IFERROR(__xludf.DUMMYFUNCTION("""COMPUTED_VALUE"""),0.9585853188215345)</f>
        <v>0.9585853188</v>
      </c>
      <c r="AK767" s="57">
        <f>IFERROR(__xludf.DUMMYFUNCTION("""COMPUTED_VALUE"""),0.9872923154136883)</f>
        <v>0.9872923154</v>
      </c>
      <c r="AL767" s="57">
        <f>IFERROR(__xludf.DUMMYFUNCTION("""COMPUTED_VALUE"""),1.246916263276608)</f>
        <v>1.246916263</v>
      </c>
      <c r="AM767" s="57">
        <f>IFERROR(__xludf.DUMMYFUNCTION("""COMPUTED_VALUE"""),1.1428613250688295)</f>
        <v>1.142861325</v>
      </c>
      <c r="AN767" s="57">
        <f>IFERROR(__xludf.DUMMYFUNCTION("""COMPUTED_VALUE"""),1.2597427364378464)</f>
        <v>1.259742736</v>
      </c>
      <c r="AO767" s="57">
        <f>IFERROR(__xludf.DUMMYFUNCTION("""COMPUTED_VALUE"""),1.2178335787386554)</f>
        <v>1.217833579</v>
      </c>
      <c r="AP767" s="35">
        <f>IFERROR(__xludf.DUMMYFUNCTION("""COMPUTED_VALUE"""),1.1661381672046158)</f>
        <v>1.166138167</v>
      </c>
      <c r="AQ767" s="57">
        <f>IFERROR(__xludf.DUMMYFUNCTION("""COMPUTED_VALUE"""),1.0839324727740223)</f>
        <v>1.083932473</v>
      </c>
      <c r="AR767" s="36" t="b">
        <f>IFERROR(__xludf.DUMMYFUNCTION("""COMPUTED_VALUE"""),TRUE)</f>
        <v>1</v>
      </c>
      <c r="AS767" s="57"/>
      <c r="AT767" s="37"/>
      <c r="AU767" s="30"/>
      <c r="AV767" s="30"/>
      <c r="AW767" s="30"/>
      <c r="AX767" s="30"/>
      <c r="AY767" s="30"/>
      <c r="AZ767" s="30"/>
    </row>
    <row r="768">
      <c r="A768" s="30" t="str">
        <f>IFERROR(__xludf.DUMMYFUNCTION("""COMPUTED_VALUE"""),"Veteran")</f>
        <v>Veteran</v>
      </c>
      <c r="B768" s="30" t="str">
        <f>IFERROR(__xludf.DUMMYFUNCTION("""COMPUTED_VALUE"""),"RSC006869")</f>
        <v>RSC006869</v>
      </c>
      <c r="C768" s="30" t="str">
        <f>IFERROR(__xludf.DUMMYFUNCTION("""COMPUTED_VALUE"""),"Flurry ^-^")</f>
        <v>Flurry ^-^</v>
      </c>
      <c r="D768" s="31" t="str">
        <f>IFERROR(__xludf.DUMMYFUNCTION("""COMPUTED_VALUE"""),"Dump Trucks")</f>
        <v>Dump Trucks</v>
      </c>
      <c r="E768" s="31">
        <f>IFERROR(__xludf.DUMMYFUNCTION("""COMPUTED_VALUE"""),60.72406609473448)</f>
        <v>60.72406609</v>
      </c>
      <c r="F768" s="31">
        <f>IFERROR(__xludf.DUMMYFUNCTION("""COMPUTED_VALUE"""),2.994234255336668)</f>
        <v>2.994234255</v>
      </c>
      <c r="G768" s="31">
        <f>IFERROR(__xludf.DUMMYFUNCTION("""COMPUTED_VALUE"""),65.01203352490384)</f>
        <v>65.01203352</v>
      </c>
      <c r="H768" s="31">
        <f>IFERROR(__xludf.DUMMYFUNCTION("""COMPUTED_VALUE"""),3.6484000896419446)</f>
        <v>3.64840009</v>
      </c>
      <c r="I768" s="54">
        <f>IFERROR(__xludf.DUMMYFUNCTION("""COMPUTED_VALUE"""),35.0)</f>
        <v>35</v>
      </c>
      <c r="J768" s="55">
        <f>IFERROR(__xludf.DUMMYFUNCTION("""COMPUTED_VALUE"""),13.0)</f>
        <v>13</v>
      </c>
      <c r="K768" s="54">
        <f>IFERROR(__xludf.DUMMYFUNCTION("""COMPUTED_VALUE"""),22.0)</f>
        <v>22</v>
      </c>
      <c r="L768" s="56">
        <f>IFERROR(__xludf.DUMMYFUNCTION("""COMPUTED_VALUE"""),0.37142857142857144)</f>
        <v>0.3714285714</v>
      </c>
      <c r="M768" s="56">
        <f>IFERROR(__xludf.DUMMYFUNCTION("""COMPUTED_VALUE"""),0.3333333333333333)</f>
        <v>0.3333333333</v>
      </c>
      <c r="N768" s="31">
        <f>IFERROR(__xludf.DUMMYFUNCTION("""COMPUTED_VALUE"""),347.8)</f>
        <v>347.8</v>
      </c>
      <c r="O768" s="57">
        <f>IFERROR(__xludf.DUMMYFUNCTION("""COMPUTED_VALUE"""),0.8857142857142857)</f>
        <v>0.8857142857</v>
      </c>
      <c r="P768" s="57">
        <f>IFERROR(__xludf.DUMMYFUNCTION("""COMPUTED_VALUE"""),0.5428571428571428)</f>
        <v>0.5428571429</v>
      </c>
      <c r="Q768" s="57">
        <f>IFERROR(__xludf.DUMMYFUNCTION("""COMPUTED_VALUE"""),1.1428571428571428)</f>
        <v>1.142857143</v>
      </c>
      <c r="R768" s="57">
        <f>IFERROR(__xludf.DUMMYFUNCTION("""COMPUTED_VALUE"""),2.657142857142857)</f>
        <v>2.657142857</v>
      </c>
      <c r="S768" s="31">
        <f>IFERROR(__xludf.DUMMYFUNCTION("""COMPUTED_VALUE"""),338.58095238095234)</f>
        <v>338.5809524</v>
      </c>
      <c r="T768" s="57">
        <f>IFERROR(__xludf.DUMMYFUNCTION("""COMPUTED_VALUE"""),0.7428571428571428)</f>
        <v>0.7428571429</v>
      </c>
      <c r="U768" s="57">
        <f>IFERROR(__xludf.DUMMYFUNCTION("""COMPUTED_VALUE"""),0.619047619047619)</f>
        <v>0.619047619</v>
      </c>
      <c r="V768" s="57">
        <f>IFERROR(__xludf.DUMMYFUNCTION("""COMPUTED_VALUE"""),1.114285714285714)</f>
        <v>1.114285714</v>
      </c>
      <c r="W768" s="57">
        <f>IFERROR(__xludf.DUMMYFUNCTION("""COMPUTED_VALUE"""),2.590476190476191)</f>
        <v>2.59047619</v>
      </c>
      <c r="X768" s="31">
        <f>IFERROR(__xludf.DUMMYFUNCTION("""COMPUTED_VALUE"""),349.410648787228)</f>
        <v>349.4106488</v>
      </c>
      <c r="Y768" s="57">
        <f>IFERROR(__xludf.DUMMYFUNCTION("""COMPUTED_VALUE"""),0.7420178720825836)</f>
        <v>0.7420178721</v>
      </c>
      <c r="Z768" s="57">
        <f>IFERROR(__xludf.DUMMYFUNCTION("""COMPUTED_VALUE"""),0.5737813012139633)</f>
        <v>0.5737813012</v>
      </c>
      <c r="AA768" s="57">
        <f>IFERROR(__xludf.DUMMYFUNCTION("""COMPUTED_VALUE"""),1.3521576454306479)</f>
        <v>1.352157645</v>
      </c>
      <c r="AB768" s="57">
        <f>IFERROR(__xludf.DUMMYFUNCTION("""COMPUTED_VALUE"""),2.5935387898427837)</f>
        <v>2.59353879</v>
      </c>
      <c r="AC768" s="31">
        <f>IFERROR(__xludf.DUMMYFUNCTION("""COMPUTED_VALUE"""),344.44345637557035)</f>
        <v>344.4434564</v>
      </c>
      <c r="AD768" s="57">
        <f>IFERROR(__xludf.DUMMYFUNCTION("""COMPUTED_VALUE"""),0.7287895542834535)</f>
        <v>0.7287895543</v>
      </c>
      <c r="AE768" s="57">
        <f>IFERROR(__xludf.DUMMYFUNCTION("""COMPUTED_VALUE"""),0.5338646672051081)</f>
        <v>0.5338646672</v>
      </c>
      <c r="AF768" s="57">
        <f>IFERROR(__xludf.DUMMYFUNCTION("""COMPUTED_VALUE"""),1.3474721573747674)</f>
        <v>1.347472157</v>
      </c>
      <c r="AG768" s="57">
        <f>IFERROR(__xludf.DUMMYFUNCTION("""COMPUTED_VALUE"""),2.5254059868649823)</f>
        <v>2.525405987</v>
      </c>
      <c r="AH768" s="57">
        <f>IFERROR(__xludf.DUMMYFUNCTION("""COMPUTED_VALUE"""),1.009744832024824)</f>
        <v>1.009744832</v>
      </c>
      <c r="AI768" s="57">
        <f>IFERROR(__xludf.DUMMYFUNCTION("""COMPUTED_VALUE"""),1.2153224212785552)</f>
        <v>1.215322421</v>
      </c>
      <c r="AJ768" s="57">
        <f>IFERROR(__xludf.DUMMYFUNCTION("""COMPUTED_VALUE"""),1.0168441108850905)</f>
        <v>1.016844111</v>
      </c>
      <c r="AK768" s="57">
        <f>IFERROR(__xludf.DUMMYFUNCTION("""COMPUTED_VALUE"""),0.8481489851959028)</f>
        <v>0.8481489852</v>
      </c>
      <c r="AL768" s="57">
        <f>IFERROR(__xludf.DUMMYFUNCTION("""COMPUTED_VALUE"""),1.052164630543785)</f>
        <v>1.052164631</v>
      </c>
      <c r="AM768" s="57">
        <f>IFERROR(__xludf.DUMMYFUNCTION("""COMPUTED_VALUE"""),0.9690058203896631)</f>
        <v>0.9690058204</v>
      </c>
      <c r="AN768" s="57">
        <f>IFERROR(__xludf.DUMMYFUNCTION("""COMPUTED_VALUE"""),1.0011310654448304)</f>
        <v>1.001131065</v>
      </c>
      <c r="AO768" s="57">
        <f>IFERROR(__xludf.DUMMYFUNCTION("""COMPUTED_VALUE"""),1.0788912391147718)</f>
        <v>1.078891239</v>
      </c>
      <c r="AP768" s="35">
        <f>IFERROR(__xludf.DUMMYFUNCTION("""COMPUTED_VALUE"""),0.8240797351190703)</f>
        <v>0.8240797351</v>
      </c>
      <c r="AQ768" s="57">
        <f>IFERROR(__xludf.DUMMYFUNCTION("""COMPUTED_VALUE"""),0.9988191426407089)</f>
        <v>0.9988191426</v>
      </c>
      <c r="AR768" s="36" t="b">
        <f>IFERROR(__xludf.DUMMYFUNCTION("""COMPUTED_VALUE"""),TRUE)</f>
        <v>1</v>
      </c>
      <c r="AS768" s="57"/>
      <c r="AT768" s="37"/>
      <c r="AU768" s="30"/>
      <c r="AV768" s="30"/>
      <c r="AW768" s="30"/>
      <c r="AX768" s="30"/>
      <c r="AY768" s="30"/>
      <c r="AZ768" s="30"/>
    </row>
    <row r="769">
      <c r="A769" s="30" t="str">
        <f>IFERROR(__xludf.DUMMYFUNCTION("""COMPUTED_VALUE"""),"Veteran")</f>
        <v>Veteran</v>
      </c>
      <c r="B769" s="30" t="str">
        <f>IFERROR(__xludf.DUMMYFUNCTION("""COMPUTED_VALUE"""),"RSC002760")</f>
        <v>RSC002760</v>
      </c>
      <c r="C769" s="30" t="str">
        <f>IFERROR(__xludf.DUMMYFUNCTION("""COMPUTED_VALUE"""),"gcol")</f>
        <v>gcol</v>
      </c>
      <c r="D769" s="31" t="str">
        <f>IFERROR(__xludf.DUMMYFUNCTION("""COMPUTED_VALUE"""),"Kirin")</f>
        <v>Kirin</v>
      </c>
      <c r="E769" s="31">
        <f>IFERROR(__xludf.DUMMYFUNCTION("""COMPUTED_VALUE"""),60.31808132677221)</f>
        <v>60.31808133</v>
      </c>
      <c r="F769" s="31">
        <f>IFERROR(__xludf.DUMMYFUNCTION("""COMPUTED_VALUE"""),2.9420011556631676)</f>
        <v>2.942001156</v>
      </c>
      <c r="G769" s="31">
        <f>IFERROR(__xludf.DUMMYFUNCTION("""COMPUTED_VALUE"""),46.06831829618997)</f>
        <v>46.0683183</v>
      </c>
      <c r="H769" s="31">
        <f>IFERROR(__xludf.DUMMYFUNCTION("""COMPUTED_VALUE"""),-2.285624910072667)</f>
        <v>-2.28562491</v>
      </c>
      <c r="I769" s="54">
        <f>IFERROR(__xludf.DUMMYFUNCTION("""COMPUTED_VALUE"""),43.0)</f>
        <v>43</v>
      </c>
      <c r="J769" s="55">
        <f>IFERROR(__xludf.DUMMYFUNCTION("""COMPUTED_VALUE"""),21.0)</f>
        <v>21</v>
      </c>
      <c r="K769" s="54">
        <f>IFERROR(__xludf.DUMMYFUNCTION("""COMPUTED_VALUE"""),22.0)</f>
        <v>22</v>
      </c>
      <c r="L769" s="56">
        <f>IFERROR(__xludf.DUMMYFUNCTION("""COMPUTED_VALUE"""),0.4883720930232558)</f>
        <v>0.488372093</v>
      </c>
      <c r="M769" s="56">
        <f>IFERROR(__xludf.DUMMYFUNCTION("""COMPUTED_VALUE"""),0.3663366336633663)</f>
        <v>0.3663366337</v>
      </c>
      <c r="N769" s="31">
        <f>IFERROR(__xludf.DUMMYFUNCTION("""COMPUTED_VALUE"""),351.3255813953488)</f>
        <v>351.3255814</v>
      </c>
      <c r="O769" s="57">
        <f>IFERROR(__xludf.DUMMYFUNCTION("""COMPUTED_VALUE"""),0.8604651162790697)</f>
        <v>0.8604651163</v>
      </c>
      <c r="P769" s="57">
        <f>IFERROR(__xludf.DUMMYFUNCTION("""COMPUTED_VALUE"""),0.6511627906976745)</f>
        <v>0.6511627907</v>
      </c>
      <c r="Q769" s="57">
        <f>IFERROR(__xludf.DUMMYFUNCTION("""COMPUTED_VALUE"""),1.3488372093023255)</f>
        <v>1.348837209</v>
      </c>
      <c r="R769" s="57">
        <f>IFERROR(__xludf.DUMMYFUNCTION("""COMPUTED_VALUE"""),2.3488372093023258)</f>
        <v>2.348837209</v>
      </c>
      <c r="S769" s="31">
        <f>IFERROR(__xludf.DUMMYFUNCTION("""COMPUTED_VALUE"""),356.937984496124)</f>
        <v>356.9379845</v>
      </c>
      <c r="T769" s="57">
        <f>IFERROR(__xludf.DUMMYFUNCTION("""COMPUTED_VALUE"""),0.8294573643410854)</f>
        <v>0.8294573643</v>
      </c>
      <c r="U769" s="57">
        <f>IFERROR(__xludf.DUMMYFUNCTION("""COMPUTED_VALUE"""),0.5891472868217057)</f>
        <v>0.5891472868</v>
      </c>
      <c r="V769" s="57">
        <f>IFERROR(__xludf.DUMMYFUNCTION("""COMPUTED_VALUE"""),1.1627906976744187)</f>
        <v>1.162790698</v>
      </c>
      <c r="W769" s="57">
        <f>IFERROR(__xludf.DUMMYFUNCTION("""COMPUTED_VALUE"""),2.751937984496124)</f>
        <v>2.751937984</v>
      </c>
      <c r="X769" s="31">
        <f>IFERROR(__xludf.DUMMYFUNCTION("""COMPUTED_VALUE"""),367.05886332504724)</f>
        <v>367.0588633</v>
      </c>
      <c r="Y769" s="57">
        <f>IFERROR(__xludf.DUMMYFUNCTION("""COMPUTED_VALUE"""),0.8634596009329396)</f>
        <v>0.8634596009</v>
      </c>
      <c r="Z769" s="57">
        <f>IFERROR(__xludf.DUMMYFUNCTION("""COMPUTED_VALUE"""),0.6075297170262934)</f>
        <v>0.607529717</v>
      </c>
      <c r="AA769" s="57">
        <f>IFERROR(__xludf.DUMMYFUNCTION("""COMPUTED_VALUE"""),1.348779432127274)</f>
        <v>1.348779432</v>
      </c>
      <c r="AB769" s="57">
        <f>IFERROR(__xludf.DUMMYFUNCTION("""COMPUTED_VALUE"""),2.79374633596374)</f>
        <v>2.793746336</v>
      </c>
      <c r="AC769" s="31">
        <f>IFERROR(__xludf.DUMMYFUNCTION("""COMPUTED_VALUE"""),357.9543757907414)</f>
        <v>357.9543758</v>
      </c>
      <c r="AD769" s="57">
        <f>IFERROR(__xludf.DUMMYFUNCTION("""COMPUTED_VALUE"""),0.7757512071409796)</f>
        <v>0.7757512071</v>
      </c>
      <c r="AE769" s="57">
        <f>IFERROR(__xludf.DUMMYFUNCTION("""COMPUTED_VALUE"""),0.5880229022022737)</f>
        <v>0.5880229022</v>
      </c>
      <c r="AF769" s="57">
        <f>IFERROR(__xludf.DUMMYFUNCTION("""COMPUTED_VALUE"""),1.4215485861279014)</f>
        <v>1.421548586</v>
      </c>
      <c r="AG769" s="57">
        <f>IFERROR(__xludf.DUMMYFUNCTION("""COMPUTED_VALUE"""),2.6073407372395128)</f>
        <v>2.607340737</v>
      </c>
      <c r="AH769" s="57">
        <f>IFERROR(__xludf.DUMMYFUNCTION("""COMPUTED_VALUE"""),0.9814814544989171)</f>
        <v>0.9814814545</v>
      </c>
      <c r="AI769" s="57">
        <f>IFERROR(__xludf.DUMMYFUNCTION("""COMPUTED_VALUE"""),1.109202420000482)</f>
        <v>1.10920242</v>
      </c>
      <c r="AJ769" s="57">
        <f>IFERROR(__xludf.DUMMYFUNCTION("""COMPUTED_VALUE"""),1.1073765805020996)</f>
        <v>1.107376581</v>
      </c>
      <c r="AK769" s="57">
        <f>IFERROR(__xludf.DUMMYFUNCTION("""COMPUTED_VALUE"""),0.9488505862303086)</f>
        <v>0.9488505862</v>
      </c>
      <c r="AL769" s="57">
        <f>IFERROR(__xludf.DUMMYFUNCTION("""COMPUTED_VALUE"""),0.9008554868778393)</f>
        <v>0.9008554869</v>
      </c>
      <c r="AM769" s="57">
        <f>IFERROR(__xludf.DUMMYFUNCTION("""COMPUTED_VALUE"""),0.9724270959234111)</f>
        <v>0.9724270959</v>
      </c>
      <c r="AN769" s="57">
        <f>IFERROR(__xludf.DUMMYFUNCTION("""COMPUTED_VALUE"""),0.9606209293925091)</f>
        <v>0.9606209294</v>
      </c>
      <c r="AO769" s="57">
        <f>IFERROR(__xludf.DUMMYFUNCTION("""COMPUTED_VALUE"""),0.9697423357419204)</f>
        <v>0.9697423357</v>
      </c>
      <c r="AP769" s="35">
        <f>IFERROR(__xludf.DUMMYFUNCTION("""COMPUTED_VALUE"""),0.8621058936526659)</f>
        <v>0.8621058937</v>
      </c>
      <c r="AQ769" s="57">
        <f>IFERROR(__xludf.DUMMYFUNCTION("""COMPUTED_VALUE"""),0.985035022353526)</f>
        <v>0.9850350224</v>
      </c>
      <c r="AR769" s="36" t="b">
        <f>IFERROR(__xludf.DUMMYFUNCTION("""COMPUTED_VALUE"""),TRUE)</f>
        <v>1</v>
      </c>
      <c r="AS769" s="57"/>
      <c r="AT769" s="37"/>
      <c r="AU769" s="30"/>
      <c r="AV769" s="30"/>
      <c r="AW769" s="30"/>
      <c r="AX769" s="30"/>
      <c r="AY769" s="30"/>
      <c r="AZ769" s="30"/>
    </row>
    <row r="770">
      <c r="A770" s="30" t="str">
        <f>IFERROR(__xludf.DUMMYFUNCTION("""COMPUTED_VALUE"""),"Veteran")</f>
        <v>Veteran</v>
      </c>
      <c r="B770" s="30" t="str">
        <f>IFERROR(__xludf.DUMMYFUNCTION("""COMPUTED_VALUE"""),"RSC007207")</f>
        <v>RSC007207</v>
      </c>
      <c r="C770" s="30" t="str">
        <f>IFERROR(__xludf.DUMMYFUNCTION("""COMPUTED_VALUE"""),".S")</f>
        <v>.S</v>
      </c>
      <c r="D770" s="31" t="str">
        <f>IFERROR(__xludf.DUMMYFUNCTION("""COMPUTED_VALUE"""),"Folks")</f>
        <v>Folks</v>
      </c>
      <c r="E770" s="31">
        <f>IFERROR(__xludf.DUMMYFUNCTION("""COMPUTED_VALUE"""),59.646163493717964)</f>
        <v>59.64616349</v>
      </c>
      <c r="F770" s="31">
        <f>IFERROR(__xludf.DUMMYFUNCTION("""COMPUTED_VALUE"""),2.8587342514837415)</f>
        <v>2.858734251</v>
      </c>
      <c r="G770" s="31">
        <f>IFERROR(__xludf.DUMMYFUNCTION("""COMPUTED_VALUE"""),53.08714540354423)</f>
        <v>53.0871454</v>
      </c>
      <c r="H770" s="31">
        <f>IFERROR(__xludf.DUMMYFUNCTION("""COMPUTED_VALUE"""),2.217977492862998)</f>
        <v>2.217977493</v>
      </c>
      <c r="I770" s="54">
        <f>IFERROR(__xludf.DUMMYFUNCTION("""COMPUTED_VALUE"""),44.0)</f>
        <v>44</v>
      </c>
      <c r="J770" s="55">
        <f>IFERROR(__xludf.DUMMYFUNCTION("""COMPUTED_VALUE"""),21.0)</f>
        <v>21</v>
      </c>
      <c r="K770" s="54">
        <f>IFERROR(__xludf.DUMMYFUNCTION("""COMPUTED_VALUE"""),23.0)</f>
        <v>23</v>
      </c>
      <c r="L770" s="56">
        <f>IFERROR(__xludf.DUMMYFUNCTION("""COMPUTED_VALUE"""),0.4772727272727273)</f>
        <v>0.4772727273</v>
      </c>
      <c r="M770" s="56">
        <f>IFERROR(__xludf.DUMMYFUNCTION("""COMPUTED_VALUE"""),0.3125)</f>
        <v>0.3125</v>
      </c>
      <c r="N770" s="31">
        <f>IFERROR(__xludf.DUMMYFUNCTION("""COMPUTED_VALUE"""),371.0681818181818)</f>
        <v>371.0681818</v>
      </c>
      <c r="O770" s="57">
        <f>IFERROR(__xludf.DUMMYFUNCTION("""COMPUTED_VALUE"""),0.9090909090909091)</f>
        <v>0.9090909091</v>
      </c>
      <c r="P770" s="57">
        <f>IFERROR(__xludf.DUMMYFUNCTION("""COMPUTED_VALUE"""),0.5454545454545454)</f>
        <v>0.5454545455</v>
      </c>
      <c r="Q770" s="57">
        <f>IFERROR(__xludf.DUMMYFUNCTION("""COMPUTED_VALUE"""),1.0454545454545454)</f>
        <v>1.045454545</v>
      </c>
      <c r="R770" s="57">
        <f>IFERROR(__xludf.DUMMYFUNCTION("""COMPUTED_VALUE"""),2.909090909090909)</f>
        <v>2.909090909</v>
      </c>
      <c r="S770" s="31">
        <f>IFERROR(__xludf.DUMMYFUNCTION("""COMPUTED_VALUE"""),372.53030303030295)</f>
        <v>372.530303</v>
      </c>
      <c r="T770" s="57">
        <f>IFERROR(__xludf.DUMMYFUNCTION("""COMPUTED_VALUE"""),0.8863636363636366)</f>
        <v>0.8863636364</v>
      </c>
      <c r="U770" s="57">
        <f>IFERROR(__xludf.DUMMYFUNCTION("""COMPUTED_VALUE"""),0.6818181818181818)</f>
        <v>0.6818181818</v>
      </c>
      <c r="V770" s="57">
        <f>IFERROR(__xludf.DUMMYFUNCTION("""COMPUTED_VALUE"""),1.416666666666667)</f>
        <v>1.416666667</v>
      </c>
      <c r="W770" s="57">
        <f>IFERROR(__xludf.DUMMYFUNCTION("""COMPUTED_VALUE"""),2.689393939393939)</f>
        <v>2.689393939</v>
      </c>
      <c r="X770" s="31">
        <f>IFERROR(__xludf.DUMMYFUNCTION("""COMPUTED_VALUE"""),356.3784857422715)</f>
        <v>356.3784857</v>
      </c>
      <c r="Y770" s="57">
        <f>IFERROR(__xludf.DUMMYFUNCTION("""COMPUTED_VALUE"""),0.7961631612897828)</f>
        <v>0.7961631613</v>
      </c>
      <c r="Z770" s="57">
        <f>IFERROR(__xludf.DUMMYFUNCTION("""COMPUTED_VALUE"""),0.6142963140300229)</f>
        <v>0.614296314</v>
      </c>
      <c r="AA770" s="57">
        <f>IFERROR(__xludf.DUMMYFUNCTION("""COMPUTED_VALUE"""),1.3407387719533554)</f>
        <v>1.340738772</v>
      </c>
      <c r="AB770" s="57">
        <f>IFERROR(__xludf.DUMMYFUNCTION("""COMPUTED_VALUE"""),2.584603171227725)</f>
        <v>2.584603171</v>
      </c>
      <c r="AC770" s="31">
        <f>IFERROR(__xludf.DUMMYFUNCTION("""COMPUTED_VALUE"""),351.6153744403925)</f>
        <v>351.6153744</v>
      </c>
      <c r="AD770" s="57">
        <f>IFERROR(__xludf.DUMMYFUNCTION("""COMPUTED_VALUE"""),0.7924487208300249)</f>
        <v>0.7924487208</v>
      </c>
      <c r="AE770" s="57">
        <f>IFERROR(__xludf.DUMMYFUNCTION("""COMPUTED_VALUE"""),0.5767148678441872)</f>
        <v>0.5767148678</v>
      </c>
      <c r="AF770" s="57">
        <f>IFERROR(__xludf.DUMMYFUNCTION("""COMPUTED_VALUE"""),1.2981016667194583)</f>
        <v>1.298101667</v>
      </c>
      <c r="AG770" s="57">
        <f>IFERROR(__xludf.DUMMYFUNCTION("""COMPUTED_VALUE"""),2.68465081688733)</f>
        <v>2.684650817</v>
      </c>
      <c r="AH770" s="57">
        <f>IFERROR(__xludf.DUMMYFUNCTION("""COMPUTED_VALUE"""),1.0553241092166379)</f>
        <v>1.055324109</v>
      </c>
      <c r="AI770" s="57">
        <f>IFERROR(__xludf.DUMMYFUNCTION("""COMPUTED_VALUE"""),1.147192096087569)</f>
        <v>1.147192096</v>
      </c>
      <c r="AJ770" s="57">
        <f>IFERROR(__xludf.DUMMYFUNCTION("""COMPUTED_VALUE"""),0.9457958791551607)</f>
        <v>0.9457958792</v>
      </c>
      <c r="AK770" s="57">
        <f>IFERROR(__xludf.DUMMYFUNCTION("""COMPUTED_VALUE"""),0.8053718535749218)</f>
        <v>0.8053718536</v>
      </c>
      <c r="AL770" s="57">
        <f>IFERROR(__xludf.DUMMYFUNCTION("""COMPUTED_VALUE"""),1.0836012232174768)</f>
        <v>1.083601223</v>
      </c>
      <c r="AM770" s="57">
        <f>IFERROR(__xludf.DUMMYFUNCTION("""COMPUTED_VALUE"""),1.0453220885497343)</f>
        <v>1.045322089</v>
      </c>
      <c r="AN770" s="57">
        <f>IFERROR(__xludf.DUMMYFUNCTION("""COMPUTED_VALUE"""),1.1132939571428162)</f>
        <v>1.113293957</v>
      </c>
      <c r="AO770" s="57">
        <f>IFERROR(__xludf.DUMMYFUNCTION("""COMPUTED_VALUE"""),1.1099174229862931)</f>
        <v>1.109917423</v>
      </c>
      <c r="AP770" s="35">
        <f>IFERROR(__xludf.DUMMYFUNCTION("""COMPUTED_VALUE"""),1.056631385846096)</f>
        <v>1.056631386</v>
      </c>
      <c r="AQ770" s="57">
        <f>IFERROR(__xludf.DUMMYFUNCTION("""COMPUTED_VALUE"""),1.0405442387956356)</f>
        <v>1.040544239</v>
      </c>
      <c r="AR770" s="36" t="b">
        <f>IFERROR(__xludf.DUMMYFUNCTION("""COMPUTED_VALUE"""),TRUE)</f>
        <v>1</v>
      </c>
      <c r="AS770" s="57"/>
      <c r="AT770" s="37"/>
      <c r="AU770" s="30"/>
      <c r="AV770" s="30"/>
      <c r="AW770" s="30"/>
      <c r="AX770" s="30"/>
      <c r="AY770" s="30"/>
      <c r="AZ770" s="30"/>
    </row>
    <row r="771">
      <c r="A771" s="30" t="str">
        <f>IFERROR(__xludf.DUMMYFUNCTION("""COMPUTED_VALUE"""),"Veteran")</f>
        <v>Veteran</v>
      </c>
      <c r="B771" s="30" t="str">
        <f>IFERROR(__xludf.DUMMYFUNCTION("""COMPUTED_VALUE"""),"RSC001118")</f>
        <v>RSC001118</v>
      </c>
      <c r="C771" s="30" t="str">
        <f>IFERROR(__xludf.DUMMYFUNCTION("""COMPUTED_VALUE"""),"azurified")</f>
        <v>azurified</v>
      </c>
      <c r="D771" s="31" t="str">
        <f>IFERROR(__xludf.DUMMYFUNCTION("""COMPUTED_VALUE"""),"Banshees")</f>
        <v>Banshees</v>
      </c>
      <c r="E771" s="31">
        <f>IFERROR(__xludf.DUMMYFUNCTION("""COMPUTED_VALUE"""),59.579063221675966)</f>
        <v>59.57906322</v>
      </c>
      <c r="F771" s="31">
        <f>IFERROR(__xludf.DUMMYFUNCTION("""COMPUTED_VALUE"""),2.8506301470992246)</f>
        <v>2.850630147</v>
      </c>
      <c r="G771" s="31">
        <f>IFERROR(__xludf.DUMMYFUNCTION("""COMPUTED_VALUE"""),55.609877333498844)</f>
        <v>55.60987733</v>
      </c>
      <c r="H771" s="31">
        <f>IFERROR(__xludf.DUMMYFUNCTION("""COMPUTED_VALUE"""),2.431759099796819)</f>
        <v>2.4317591</v>
      </c>
      <c r="I771" s="54">
        <f>IFERROR(__xludf.DUMMYFUNCTION("""COMPUTED_VALUE"""),48.0)</f>
        <v>48</v>
      </c>
      <c r="J771" s="55">
        <f>IFERROR(__xludf.DUMMYFUNCTION("""COMPUTED_VALUE"""),23.0)</f>
        <v>23</v>
      </c>
      <c r="K771" s="54">
        <f>IFERROR(__xludf.DUMMYFUNCTION("""COMPUTED_VALUE"""),25.0)</f>
        <v>25</v>
      </c>
      <c r="L771" s="56">
        <f>IFERROR(__xludf.DUMMYFUNCTION("""COMPUTED_VALUE"""),0.4791666666666667)</f>
        <v>0.4791666667</v>
      </c>
      <c r="M771" s="56">
        <f>IFERROR(__xludf.DUMMYFUNCTION("""COMPUTED_VALUE"""),0.3049645390070922)</f>
        <v>0.304964539</v>
      </c>
      <c r="N771" s="31">
        <f>IFERROR(__xludf.DUMMYFUNCTION("""COMPUTED_VALUE"""),354.7083333333333)</f>
        <v>354.7083333</v>
      </c>
      <c r="O771" s="57">
        <f>IFERROR(__xludf.DUMMYFUNCTION("""COMPUTED_VALUE"""),0.8958333333333334)</f>
        <v>0.8958333333</v>
      </c>
      <c r="P771" s="57">
        <f>IFERROR(__xludf.DUMMYFUNCTION("""COMPUTED_VALUE"""),0.4583333333333333)</f>
        <v>0.4583333333</v>
      </c>
      <c r="Q771" s="57">
        <f>IFERROR(__xludf.DUMMYFUNCTION("""COMPUTED_VALUE"""),1.2083333333333333)</f>
        <v>1.208333333</v>
      </c>
      <c r="R771" s="57">
        <f>IFERROR(__xludf.DUMMYFUNCTION("""COMPUTED_VALUE"""),2.9375)</f>
        <v>2.9375</v>
      </c>
      <c r="S771" s="31">
        <f>IFERROR(__xludf.DUMMYFUNCTION("""COMPUTED_VALUE"""),331.1805555555556)</f>
        <v>331.1805556</v>
      </c>
      <c r="T771" s="57">
        <f>IFERROR(__xludf.DUMMYFUNCTION("""COMPUTED_VALUE"""),0.7222222222222224)</f>
        <v>0.7222222222</v>
      </c>
      <c r="U771" s="57">
        <f>IFERROR(__xludf.DUMMYFUNCTION("""COMPUTED_VALUE"""),0.5277777777777778)</f>
        <v>0.5277777778</v>
      </c>
      <c r="V771" s="57">
        <f>IFERROR(__xludf.DUMMYFUNCTION("""COMPUTED_VALUE"""),1.2500000000000002)</f>
        <v>1.25</v>
      </c>
      <c r="W771" s="57">
        <f>IFERROR(__xludf.DUMMYFUNCTION("""COMPUTED_VALUE"""),2.5416666666666665)</f>
        <v>2.541666667</v>
      </c>
      <c r="X771" s="31">
        <f>IFERROR(__xludf.DUMMYFUNCTION("""COMPUTED_VALUE"""),352.1303604971031)</f>
        <v>352.1303605</v>
      </c>
      <c r="Y771" s="57">
        <f>IFERROR(__xludf.DUMMYFUNCTION("""COMPUTED_VALUE"""),0.785180396008363)</f>
        <v>0.785180396</v>
      </c>
      <c r="Z771" s="57">
        <f>IFERROR(__xludf.DUMMYFUNCTION("""COMPUTED_VALUE"""),0.5530527106909697)</f>
        <v>0.5530527107</v>
      </c>
      <c r="AA771" s="57">
        <f>IFERROR(__xludf.DUMMYFUNCTION("""COMPUTED_VALUE"""),1.3725167872010646)</f>
        <v>1.372516787</v>
      </c>
      <c r="AB771" s="57">
        <f>IFERROR(__xludf.DUMMYFUNCTION("""COMPUTED_VALUE"""),2.592863553003532)</f>
        <v>2.592863553</v>
      </c>
      <c r="AC771" s="31">
        <f>IFERROR(__xludf.DUMMYFUNCTION("""COMPUTED_VALUE"""),357.8880404658505)</f>
        <v>357.8880405</v>
      </c>
      <c r="AD771" s="57">
        <f>IFERROR(__xludf.DUMMYFUNCTION("""COMPUTED_VALUE"""),0.8091158706251734)</f>
        <v>0.8091158706</v>
      </c>
      <c r="AE771" s="57">
        <f>IFERROR(__xludf.DUMMYFUNCTION("""COMPUTED_VALUE"""),0.5964769912471812)</f>
        <v>0.5964769912</v>
      </c>
      <c r="AF771" s="57">
        <f>IFERROR(__xludf.DUMMYFUNCTION("""COMPUTED_VALUE"""),1.347654664291784)</f>
        <v>1.347654664</v>
      </c>
      <c r="AG771" s="57">
        <f>IFERROR(__xludf.DUMMYFUNCTION("""COMPUTED_VALUE"""),2.6689806208473406)</f>
        <v>2.668980621</v>
      </c>
      <c r="AH771" s="57">
        <f>IFERROR(__xludf.DUMMYFUNCTION("""COMPUTED_VALUE"""),0.991115357952788)</f>
        <v>0.991115358</v>
      </c>
      <c r="AI771" s="57">
        <f>IFERROR(__xludf.DUMMYFUNCTION("""COMPUTED_VALUE"""),1.1071755799835648)</f>
        <v>1.10717558</v>
      </c>
      <c r="AJ771" s="57">
        <f>IFERROR(__xludf.DUMMYFUNCTION("""COMPUTED_VALUE"""),0.7684006928330939)</f>
        <v>0.7684006928</v>
      </c>
      <c r="AK771" s="57">
        <f>IFERROR(__xludf.DUMMYFUNCTION("""COMPUTED_VALUE"""),0.8966194124874962)</f>
        <v>0.8966194125</v>
      </c>
      <c r="AL771" s="57">
        <f>IFERROR(__xludf.DUMMYFUNCTION("""COMPUTED_VALUE"""),1.10060746678161)</f>
        <v>1.100607467</v>
      </c>
      <c r="AM771" s="57">
        <f>IFERROR(__xludf.DUMMYFUNCTION("""COMPUTED_VALUE"""),0.940505542004465)</f>
        <v>0.940505542</v>
      </c>
      <c r="AN771" s="57">
        <f>IFERROR(__xludf.DUMMYFUNCTION("""COMPUTED_VALUE"""),0.9198169311075489)</f>
        <v>0.9198169311</v>
      </c>
      <c r="AO771" s="57">
        <f>IFERROR(__xludf.DUMMYFUNCTION("""COMPUTED_VALUE"""),0.9542992332835435)</f>
        <v>0.9542992333</v>
      </c>
      <c r="AP771" s="35">
        <f>IFERROR(__xludf.DUMMYFUNCTION("""COMPUTED_VALUE"""),0.9107356730762401)</f>
        <v>0.9107356731</v>
      </c>
      <c r="AQ771" s="57">
        <f>IFERROR(__xludf.DUMMYFUNCTION("""COMPUTED_VALUE"""),0.9802546932029802)</f>
        <v>0.9802546932</v>
      </c>
      <c r="AR771" s="36" t="b">
        <f>IFERROR(__xludf.DUMMYFUNCTION("""COMPUTED_VALUE"""),TRUE)</f>
        <v>1</v>
      </c>
      <c r="AS771" s="57"/>
      <c r="AT771" s="37"/>
      <c r="AU771" s="30"/>
      <c r="AV771" s="30"/>
      <c r="AW771" s="30"/>
      <c r="AX771" s="30"/>
      <c r="AY771" s="30"/>
      <c r="AZ771" s="30"/>
    </row>
    <row r="772">
      <c r="A772" s="30" t="str">
        <f>IFERROR(__xludf.DUMMYFUNCTION("""COMPUTED_VALUE"""),"Veteran")</f>
        <v>Veteran</v>
      </c>
      <c r="B772" s="30" t="str">
        <f>IFERROR(__xludf.DUMMYFUNCTION("""COMPUTED_VALUE"""),"RSC006315")</f>
        <v>RSC006315</v>
      </c>
      <c r="C772" s="30" t="str">
        <f>IFERROR(__xludf.DUMMYFUNCTION("""COMPUTED_VALUE"""),"BIGbadBULLMAN13")</f>
        <v>BIGbadBULLMAN13</v>
      </c>
      <c r="D772" s="31" t="str">
        <f>IFERROR(__xludf.DUMMYFUNCTION("""COMPUTED_VALUE"""),"Singularity")</f>
        <v>Singularity</v>
      </c>
      <c r="E772" s="31">
        <f>IFERROR(__xludf.DUMMYFUNCTION("""COMPUTED_VALUE"""),59.54635766913756)</f>
        <v>59.54635767</v>
      </c>
      <c r="F772" s="31">
        <f>IFERROR(__xludf.DUMMYFUNCTION("""COMPUTED_VALUE"""),2.8466937242671375)</f>
        <v>2.846693724</v>
      </c>
      <c r="G772" s="31">
        <f>IFERROR(__xludf.DUMMYFUNCTION("""COMPUTED_VALUE"""),47.73074123701018)</f>
        <v>47.73074124</v>
      </c>
      <c r="H772" s="31">
        <f>IFERROR(__xludf.DUMMYFUNCTION("""COMPUTED_VALUE"""),-2.1559272912283745)</f>
        <v>-2.155927291</v>
      </c>
      <c r="I772" s="54">
        <f>IFERROR(__xludf.DUMMYFUNCTION("""COMPUTED_VALUE"""),31.0)</f>
        <v>31</v>
      </c>
      <c r="J772" s="55">
        <f>IFERROR(__xludf.DUMMYFUNCTION("""COMPUTED_VALUE"""),19.0)</f>
        <v>19</v>
      </c>
      <c r="K772" s="54">
        <f>IFERROR(__xludf.DUMMYFUNCTION("""COMPUTED_VALUE"""),12.0)</f>
        <v>12</v>
      </c>
      <c r="L772" s="56">
        <f>IFERROR(__xludf.DUMMYFUNCTION("""COMPUTED_VALUE"""),0.6129032258064516)</f>
        <v>0.6129032258</v>
      </c>
      <c r="M772" s="56">
        <f>IFERROR(__xludf.DUMMYFUNCTION("""COMPUTED_VALUE"""),0.28205128205128205)</f>
        <v>0.2820512821</v>
      </c>
      <c r="N772" s="31">
        <f>IFERROR(__xludf.DUMMYFUNCTION("""COMPUTED_VALUE"""),364.4516129032258)</f>
        <v>364.4516129</v>
      </c>
      <c r="O772" s="57">
        <f>IFERROR(__xludf.DUMMYFUNCTION("""COMPUTED_VALUE"""),0.7096774193548387)</f>
        <v>0.7096774194</v>
      </c>
      <c r="P772" s="57">
        <f>IFERROR(__xludf.DUMMYFUNCTION("""COMPUTED_VALUE"""),0.6129032258064516)</f>
        <v>0.6129032258</v>
      </c>
      <c r="Q772" s="57">
        <f>IFERROR(__xludf.DUMMYFUNCTION("""COMPUTED_VALUE"""),1.7096774193548387)</f>
        <v>1.709677419</v>
      </c>
      <c r="R772" s="57">
        <f>IFERROR(__xludf.DUMMYFUNCTION("""COMPUTED_VALUE"""),2.5161290322580645)</f>
        <v>2.516129032</v>
      </c>
      <c r="S772" s="31">
        <f>IFERROR(__xludf.DUMMYFUNCTION("""COMPUTED_VALUE"""),328.4408602150538)</f>
        <v>328.4408602</v>
      </c>
      <c r="T772" s="57">
        <f>IFERROR(__xludf.DUMMYFUNCTION("""COMPUTED_VALUE"""),0.6236559139784947)</f>
        <v>0.623655914</v>
      </c>
      <c r="U772" s="57">
        <f>IFERROR(__xludf.DUMMYFUNCTION("""COMPUTED_VALUE"""),0.4731182795698924)</f>
        <v>0.4731182796</v>
      </c>
      <c r="V772" s="57">
        <f>IFERROR(__xludf.DUMMYFUNCTION("""COMPUTED_VALUE"""),1.3010752688172043)</f>
        <v>1.301075269</v>
      </c>
      <c r="W772" s="57">
        <f>IFERROR(__xludf.DUMMYFUNCTION("""COMPUTED_VALUE"""),2.8494623655913975)</f>
        <v>2.849462366</v>
      </c>
      <c r="X772" s="31">
        <f>IFERROR(__xludf.DUMMYFUNCTION("""COMPUTED_VALUE"""),349.6970530291893)</f>
        <v>349.697053</v>
      </c>
      <c r="Y772" s="57">
        <f>IFERROR(__xludf.DUMMYFUNCTION("""COMPUTED_VALUE"""),0.7691907205878318)</f>
        <v>0.7691907206</v>
      </c>
      <c r="Z772" s="57">
        <f>IFERROR(__xludf.DUMMYFUNCTION("""COMPUTED_VALUE"""),0.5803909879240617)</f>
        <v>0.5803909879</v>
      </c>
      <c r="AA772" s="57">
        <f>IFERROR(__xludf.DUMMYFUNCTION("""COMPUTED_VALUE"""),1.2961137206963758)</f>
        <v>1.296113721</v>
      </c>
      <c r="AB772" s="57">
        <f>IFERROR(__xludf.DUMMYFUNCTION("""COMPUTED_VALUE"""),2.6132883953419173)</f>
        <v>2.613288395</v>
      </c>
      <c r="AC772" s="31">
        <f>IFERROR(__xludf.DUMMYFUNCTION("""COMPUTED_VALUE"""),350.01979286054865)</f>
        <v>350.0197929</v>
      </c>
      <c r="AD772" s="57">
        <f>IFERROR(__xludf.DUMMYFUNCTION("""COMPUTED_VALUE"""),0.752993092178672)</f>
        <v>0.7529930922</v>
      </c>
      <c r="AE772" s="57">
        <f>IFERROR(__xludf.DUMMYFUNCTION("""COMPUTED_VALUE"""),0.5472222827566672)</f>
        <v>0.5472222828</v>
      </c>
      <c r="AF772" s="57">
        <f>IFERROR(__xludf.DUMMYFUNCTION("""COMPUTED_VALUE"""),1.3743530608414694)</f>
        <v>1.374353061</v>
      </c>
      <c r="AG772" s="57">
        <f>IFERROR(__xludf.DUMMYFUNCTION("""COMPUTED_VALUE"""),2.5609125853046315)</f>
        <v>2.560912585</v>
      </c>
      <c r="AH772" s="57">
        <f>IFERROR(__xludf.DUMMYFUNCTION("""COMPUTED_VALUE"""),1.0412314398701075)</f>
        <v>1.04123144</v>
      </c>
      <c r="AI772" s="57">
        <f>IFERROR(__xludf.DUMMYFUNCTION("""COMPUTED_VALUE"""),0.9424753383878915)</f>
        <v>0.9424753384</v>
      </c>
      <c r="AJ772" s="57">
        <f>IFERROR(__xludf.DUMMYFUNCTION("""COMPUTED_VALUE"""),1.1200260755444982)</f>
        <v>1.120026076</v>
      </c>
      <c r="AK772" s="57">
        <f>IFERROR(__xludf.DUMMYFUNCTION("""COMPUTED_VALUE"""),1.2439870569415852)</f>
        <v>1.243987057</v>
      </c>
      <c r="AL772" s="57">
        <f>IFERROR(__xludf.DUMMYFUNCTION("""COMPUTED_VALUE"""),0.9825126584548219)</f>
        <v>0.9825126585</v>
      </c>
      <c r="AM772" s="57">
        <f>IFERROR(__xludf.DUMMYFUNCTION("""COMPUTED_VALUE"""),0.9392154076506867)</f>
        <v>0.9392154077</v>
      </c>
      <c r="AN772" s="57">
        <f>IFERROR(__xludf.DUMMYFUNCTION("""COMPUTED_VALUE"""),0.810794900778163)</f>
        <v>0.8107949008</v>
      </c>
      <c r="AO772" s="57">
        <f>IFERROR(__xludf.DUMMYFUNCTION("""COMPUTED_VALUE"""),0.8151716505146616)</f>
        <v>0.8151716505</v>
      </c>
      <c r="AP772" s="35">
        <f>IFERROR(__xludf.DUMMYFUNCTION("""COMPUTED_VALUE"""),1.0038280191325826)</f>
        <v>1.003828019</v>
      </c>
      <c r="AQ772" s="57">
        <f>IFERROR(__xludf.DUMMYFUNCTION("""COMPUTED_VALUE"""),1.0903742467423232)</f>
        <v>1.090374247</v>
      </c>
      <c r="AR772" s="36" t="b">
        <f>IFERROR(__xludf.DUMMYFUNCTION("""COMPUTED_VALUE"""),TRUE)</f>
        <v>1</v>
      </c>
      <c r="AS772" s="57"/>
      <c r="AT772" s="37"/>
      <c r="AU772" s="30"/>
      <c r="AV772" s="30"/>
      <c r="AW772" s="30"/>
      <c r="AX772" s="30"/>
      <c r="AY772" s="30"/>
      <c r="AZ772" s="30"/>
    </row>
    <row r="773">
      <c r="A773" s="30" t="str">
        <f>IFERROR(__xludf.DUMMYFUNCTION("""COMPUTED_VALUE"""),"Veteran")</f>
        <v>Veteran</v>
      </c>
      <c r="B773" s="30" t="str">
        <f>IFERROR(__xludf.DUMMYFUNCTION("""COMPUTED_VALUE"""),"RSC001098")</f>
        <v>RSC001098</v>
      </c>
      <c r="C773" s="30" t="str">
        <f>IFERROR(__xludf.DUMMYFUNCTION("""COMPUTED_VALUE"""),"Wafe")</f>
        <v>Wafe</v>
      </c>
      <c r="D773" s="31" t="str">
        <f>IFERROR(__xludf.DUMMYFUNCTION("""COMPUTED_VALUE"""),"Silver Dollar")</f>
        <v>Silver Dollar</v>
      </c>
      <c r="E773" s="31">
        <f>IFERROR(__xludf.DUMMYFUNCTION("""COMPUTED_VALUE"""),58.82375098991638)</f>
        <v>58.82375099</v>
      </c>
      <c r="F773" s="31">
        <f>IFERROR(__xludf.DUMMYFUNCTION("""COMPUTED_VALUE"""),2.7619506662697315)</f>
        <v>2.761950666</v>
      </c>
      <c r="G773" s="31">
        <f>IFERROR(__xludf.DUMMYFUNCTION("""COMPUTED_VALUE"""),65.29792897058518)</f>
        <v>65.29792897</v>
      </c>
      <c r="H773" s="31">
        <f>IFERROR(__xludf.DUMMYFUNCTION("""COMPUTED_VALUE"""),3.699643903837735)</f>
        <v>3.699643904</v>
      </c>
      <c r="I773" s="54">
        <f>IFERROR(__xludf.DUMMYFUNCTION("""COMPUTED_VALUE"""),46.0)</f>
        <v>46</v>
      </c>
      <c r="J773" s="55">
        <f>IFERROR(__xludf.DUMMYFUNCTION("""COMPUTED_VALUE"""),25.0)</f>
        <v>25</v>
      </c>
      <c r="K773" s="54">
        <f>IFERROR(__xludf.DUMMYFUNCTION("""COMPUTED_VALUE"""),21.0)</f>
        <v>21</v>
      </c>
      <c r="L773" s="56">
        <f>IFERROR(__xludf.DUMMYFUNCTION("""COMPUTED_VALUE"""),0.5434782608695652)</f>
        <v>0.5434782609</v>
      </c>
      <c r="M773" s="56">
        <f>IFERROR(__xludf.DUMMYFUNCTION("""COMPUTED_VALUE"""),0.304)</f>
        <v>0.304</v>
      </c>
      <c r="N773" s="31">
        <f>IFERROR(__xludf.DUMMYFUNCTION("""COMPUTED_VALUE"""),393.2173913043478)</f>
        <v>393.2173913</v>
      </c>
      <c r="O773" s="57">
        <f>IFERROR(__xludf.DUMMYFUNCTION("""COMPUTED_VALUE"""),0.8260869565217391)</f>
        <v>0.8260869565</v>
      </c>
      <c r="P773" s="57">
        <f>IFERROR(__xludf.DUMMYFUNCTION("""COMPUTED_VALUE"""),0.4782608695652174)</f>
        <v>0.4782608696</v>
      </c>
      <c r="Q773" s="57">
        <f>IFERROR(__xludf.DUMMYFUNCTION("""COMPUTED_VALUE"""),1.5217391304347827)</f>
        <v>1.52173913</v>
      </c>
      <c r="R773" s="57">
        <f>IFERROR(__xludf.DUMMYFUNCTION("""COMPUTED_VALUE"""),2.717391304347826)</f>
        <v>2.717391304</v>
      </c>
      <c r="S773" s="31">
        <f>IFERROR(__xludf.DUMMYFUNCTION("""COMPUTED_VALUE"""),338.33333333333337)</f>
        <v>338.3333333</v>
      </c>
      <c r="T773" s="57">
        <f>IFERROR(__xludf.DUMMYFUNCTION("""COMPUTED_VALUE"""),0.7028985507246377)</f>
        <v>0.7028985507</v>
      </c>
      <c r="U773" s="57">
        <f>IFERROR(__xludf.DUMMYFUNCTION("""COMPUTED_VALUE"""),0.4855072463768116)</f>
        <v>0.4855072464</v>
      </c>
      <c r="V773" s="57">
        <f>IFERROR(__xludf.DUMMYFUNCTION("""COMPUTED_VALUE"""),1.2681159420289856)</f>
        <v>1.268115942</v>
      </c>
      <c r="W773" s="57">
        <f>IFERROR(__xludf.DUMMYFUNCTION("""COMPUTED_VALUE"""),2.5072463768115942)</f>
        <v>2.507246377</v>
      </c>
      <c r="X773" s="31">
        <f>IFERROR(__xludf.DUMMYFUNCTION("""COMPUTED_VALUE"""),343.1952647504615)</f>
        <v>343.1952648</v>
      </c>
      <c r="Y773" s="57">
        <f>IFERROR(__xludf.DUMMYFUNCTION("""COMPUTED_VALUE"""),0.7381595169445475)</f>
        <v>0.7381595169</v>
      </c>
      <c r="Z773" s="57">
        <f>IFERROR(__xludf.DUMMYFUNCTION("""COMPUTED_VALUE"""),0.5278717242551777)</f>
        <v>0.5278717243</v>
      </c>
      <c r="AA773" s="57">
        <f>IFERROR(__xludf.DUMMYFUNCTION("""COMPUTED_VALUE"""),1.3467815958991807)</f>
        <v>1.346781596</v>
      </c>
      <c r="AB773" s="57">
        <f>IFERROR(__xludf.DUMMYFUNCTION("""COMPUTED_VALUE"""),2.5379669149978383)</f>
        <v>2.537966915</v>
      </c>
      <c r="AC773" s="31">
        <f>IFERROR(__xludf.DUMMYFUNCTION("""COMPUTED_VALUE"""),355.3393969439962)</f>
        <v>355.3393969</v>
      </c>
      <c r="AD773" s="57">
        <f>IFERROR(__xludf.DUMMYFUNCTION("""COMPUTED_VALUE"""),0.7949067449845175)</f>
        <v>0.794906745</v>
      </c>
      <c r="AE773" s="57">
        <f>IFERROR(__xludf.DUMMYFUNCTION("""COMPUTED_VALUE"""),0.5797697817206451)</f>
        <v>0.5797697817</v>
      </c>
      <c r="AF773" s="57">
        <f>IFERROR(__xludf.DUMMYFUNCTION("""COMPUTED_VALUE"""),1.3505816784954559)</f>
        <v>1.350581678</v>
      </c>
      <c r="AG773" s="57">
        <f>IFERROR(__xludf.DUMMYFUNCTION("""COMPUTED_VALUE"""),2.677541129756747)</f>
        <v>2.67754113</v>
      </c>
      <c r="AH773" s="57">
        <f>IFERROR(__xludf.DUMMYFUNCTION("""COMPUTED_VALUE"""),1.1065966641642089)</f>
        <v>1.106596664</v>
      </c>
      <c r="AI773" s="57">
        <f>IFERROR(__xludf.DUMMYFUNCTION("""COMPUTED_VALUE"""),1.0392249930371755)</f>
        <v>1.039224993</v>
      </c>
      <c r="AJ773" s="57">
        <f>IFERROR(__xludf.DUMMYFUNCTION("""COMPUTED_VALUE"""),0.824915138118843)</f>
        <v>0.8249151381</v>
      </c>
      <c r="AK773" s="57">
        <f>IFERROR(__xludf.DUMMYFUNCTION("""COMPUTED_VALUE"""),1.1267286937654861)</f>
        <v>1.126728694</v>
      </c>
      <c r="AL773" s="57">
        <f>IFERROR(__xludf.DUMMYFUNCTION("""COMPUTED_VALUE"""),1.0148831232313131)</f>
        <v>1.014883123</v>
      </c>
      <c r="AM773" s="57">
        <f>IFERROR(__xludf.DUMMYFUNCTION("""COMPUTED_VALUE"""),0.9858333377045186)</f>
        <v>0.9858333377</v>
      </c>
      <c r="AN773" s="57">
        <f>IFERROR(__xludf.DUMMYFUNCTION("""COMPUTED_VALUE"""),0.9522312380854141)</f>
        <v>0.9522312381</v>
      </c>
      <c r="AO773" s="57">
        <f>IFERROR(__xludf.DUMMYFUNCTION("""COMPUTED_VALUE"""),0.9197447487111722)</f>
        <v>0.9197447487</v>
      </c>
      <c r="AP773" s="35">
        <f>IFERROR(__xludf.DUMMYFUNCTION("""COMPUTED_VALUE"""),0.9415898954145763)</f>
        <v>0.9415898954</v>
      </c>
      <c r="AQ773" s="57">
        <f>IFERROR(__xludf.DUMMYFUNCTION("""COMPUTED_VALUE"""),0.9878956112450858)</f>
        <v>0.9878956112</v>
      </c>
      <c r="AR773" s="36" t="b">
        <f>IFERROR(__xludf.DUMMYFUNCTION("""COMPUTED_VALUE"""),TRUE)</f>
        <v>1</v>
      </c>
      <c r="AS773" s="57"/>
      <c r="AT773" s="37"/>
      <c r="AU773" s="30"/>
      <c r="AV773" s="30"/>
      <c r="AW773" s="30"/>
      <c r="AX773" s="30"/>
      <c r="AY773" s="30"/>
      <c r="AZ773" s="30"/>
    </row>
    <row r="774">
      <c r="A774" s="30" t="str">
        <f>IFERROR(__xludf.DUMMYFUNCTION("""COMPUTED_VALUE"""),"Veteran")</f>
        <v>Veteran</v>
      </c>
      <c r="B774" s="30" t="str">
        <f>IFERROR(__xludf.DUMMYFUNCTION("""COMPUTED_VALUE"""),"RSC005048")</f>
        <v>RSC005048</v>
      </c>
      <c r="C774" s="30" t="str">
        <f>IFERROR(__xludf.DUMMYFUNCTION("""COMPUTED_VALUE"""),"heyzisthename11")</f>
        <v>heyzisthename11</v>
      </c>
      <c r="D774" s="31" t="str">
        <f>IFERROR(__xludf.DUMMYFUNCTION("""COMPUTED_VALUE"""),"Gorillas")</f>
        <v>Gorillas</v>
      </c>
      <c r="E774" s="31">
        <f>IFERROR(__xludf.DUMMYFUNCTION("""COMPUTED_VALUE"""),58.52095675710506)</f>
        <v>58.52095676</v>
      </c>
      <c r="F774" s="31">
        <f>IFERROR(__xludf.DUMMYFUNCTION("""COMPUTED_VALUE"""),2.727674421493134)</f>
        <v>2.727674421</v>
      </c>
      <c r="G774" s="31">
        <f>IFERROR(__xludf.DUMMYFUNCTION("""COMPUTED_VALUE"""),47.5324814782891)</f>
        <v>47.53248148</v>
      </c>
      <c r="H774" s="31">
        <f>IFERROR(__xludf.DUMMYFUNCTION("""COMPUTED_VALUE"""),-2.170666762703764)</f>
        <v>-2.170666763</v>
      </c>
      <c r="I774" s="54">
        <f>IFERROR(__xludf.DUMMYFUNCTION("""COMPUTED_VALUE"""),46.0)</f>
        <v>46</v>
      </c>
      <c r="J774" s="55">
        <f>IFERROR(__xludf.DUMMYFUNCTION("""COMPUTED_VALUE"""),25.0)</f>
        <v>25</v>
      </c>
      <c r="K774" s="54">
        <f>IFERROR(__xludf.DUMMYFUNCTION("""COMPUTED_VALUE"""),21.0)</f>
        <v>21</v>
      </c>
      <c r="L774" s="56">
        <f>IFERROR(__xludf.DUMMYFUNCTION("""COMPUTED_VALUE"""),0.5434782608695652)</f>
        <v>0.5434782609</v>
      </c>
      <c r="M774" s="56">
        <f>IFERROR(__xludf.DUMMYFUNCTION("""COMPUTED_VALUE"""),0.2522522522522523)</f>
        <v>0.2522522523</v>
      </c>
      <c r="N774" s="31">
        <f>IFERROR(__xludf.DUMMYFUNCTION("""COMPUTED_VALUE"""),332.60869565217394)</f>
        <v>332.6086957</v>
      </c>
      <c r="O774" s="57">
        <f>IFERROR(__xludf.DUMMYFUNCTION("""COMPUTED_VALUE"""),0.6086956521739131)</f>
        <v>0.6086956522</v>
      </c>
      <c r="P774" s="57">
        <f>IFERROR(__xludf.DUMMYFUNCTION("""COMPUTED_VALUE"""),0.9347826086956522)</f>
        <v>0.9347826087</v>
      </c>
      <c r="Q774" s="57">
        <f>IFERROR(__xludf.DUMMYFUNCTION("""COMPUTED_VALUE"""),1.173913043478261)</f>
        <v>1.173913043</v>
      </c>
      <c r="R774" s="57">
        <f>IFERROR(__xludf.DUMMYFUNCTION("""COMPUTED_VALUE"""),2.4130434782608696)</f>
        <v>2.413043478</v>
      </c>
      <c r="S774" s="31">
        <f>IFERROR(__xludf.DUMMYFUNCTION("""COMPUTED_VALUE"""),345.6086956521739)</f>
        <v>345.6086957</v>
      </c>
      <c r="T774" s="57">
        <f>IFERROR(__xludf.DUMMYFUNCTION("""COMPUTED_VALUE"""),0.7391304347826086)</f>
        <v>0.7391304348</v>
      </c>
      <c r="U774" s="57">
        <f>IFERROR(__xludf.DUMMYFUNCTION("""COMPUTED_VALUE"""),0.5289855072463768)</f>
        <v>0.5289855072</v>
      </c>
      <c r="V774" s="57">
        <f>IFERROR(__xludf.DUMMYFUNCTION("""COMPUTED_VALUE"""),1.4492753623188404)</f>
        <v>1.449275362</v>
      </c>
      <c r="W774" s="57">
        <f>IFERROR(__xludf.DUMMYFUNCTION("""COMPUTED_VALUE"""),2.4130434782608696)</f>
        <v>2.413043478</v>
      </c>
      <c r="X774" s="31">
        <f>IFERROR(__xludf.DUMMYFUNCTION("""COMPUTED_VALUE"""),351.95363957709634)</f>
        <v>351.9536396</v>
      </c>
      <c r="Y774" s="57">
        <f>IFERROR(__xludf.DUMMYFUNCTION("""COMPUTED_VALUE"""),0.7741061383608835)</f>
        <v>0.7741061384</v>
      </c>
      <c r="Z774" s="57">
        <f>IFERROR(__xludf.DUMMYFUNCTION("""COMPUTED_VALUE"""),0.5711883737872616)</f>
        <v>0.5711883738</v>
      </c>
      <c r="AA774" s="57">
        <f>IFERROR(__xludf.DUMMYFUNCTION("""COMPUTED_VALUE"""),1.3533071289568945)</f>
        <v>1.353307129</v>
      </c>
      <c r="AB774" s="57">
        <f>IFERROR(__xludf.DUMMYFUNCTION("""COMPUTED_VALUE"""),2.6546770846453946)</f>
        <v>2.654677085</v>
      </c>
      <c r="AC774" s="31">
        <f>IFERROR(__xludf.DUMMYFUNCTION("""COMPUTED_VALUE"""),364.2180129865111)</f>
        <v>364.218013</v>
      </c>
      <c r="AD774" s="57">
        <f>IFERROR(__xludf.DUMMYFUNCTION("""COMPUTED_VALUE"""),0.8249521420564155)</f>
        <v>0.8249521421</v>
      </c>
      <c r="AE774" s="57">
        <f>IFERROR(__xludf.DUMMYFUNCTION("""COMPUTED_VALUE"""),0.6193670369644425)</f>
        <v>0.619367037</v>
      </c>
      <c r="AF774" s="57">
        <f>IFERROR(__xludf.DUMMYFUNCTION("""COMPUTED_VALUE"""),1.3918856030591618)</f>
        <v>1.391885603</v>
      </c>
      <c r="AG774" s="57">
        <f>IFERROR(__xludf.DUMMYFUNCTION("""COMPUTED_VALUE"""),2.631830095992245)</f>
        <v>2.631830096</v>
      </c>
      <c r="AH774" s="57">
        <f>IFERROR(__xludf.DUMMYFUNCTION("""COMPUTED_VALUE"""),0.9132131959231027)</f>
        <v>0.9132131959</v>
      </c>
      <c r="AI774" s="57">
        <f>IFERROR(__xludf.DUMMYFUNCTION("""COMPUTED_VALUE"""),0.7378557144619021)</f>
        <v>0.7378557145</v>
      </c>
      <c r="AJ774" s="57">
        <f>IFERROR(__xludf.DUMMYFUNCTION("""COMPUTED_VALUE"""),1.509254695369456)</f>
        <v>1.509254695</v>
      </c>
      <c r="AK774" s="57">
        <f>IFERROR(__xludf.DUMMYFUNCTION("""COMPUTED_VALUE"""),0.8433976476932954)</f>
        <v>0.8433976477</v>
      </c>
      <c r="AL774" s="57">
        <f>IFERROR(__xludf.DUMMYFUNCTION("""COMPUTED_VALUE"""),0.9168690189900388)</f>
        <v>0.916869019</v>
      </c>
      <c r="AM774" s="57">
        <f>IFERROR(__xludf.DUMMYFUNCTION("""COMPUTED_VALUE"""),0.981972216759723)</f>
        <v>0.9819722168</v>
      </c>
      <c r="AN774" s="57">
        <f>IFERROR(__xludf.DUMMYFUNCTION("""COMPUTED_VALUE"""),0.9548179482824752)</f>
        <v>0.9548179483</v>
      </c>
      <c r="AO774" s="57">
        <f>IFERROR(__xludf.DUMMYFUNCTION("""COMPUTED_VALUE"""),0.9261139258471616)</f>
        <v>0.9261139258</v>
      </c>
      <c r="AP774" s="35">
        <f>IFERROR(__xludf.DUMMYFUNCTION("""COMPUTED_VALUE"""),1.0709138607995927)</f>
        <v>1.070913861</v>
      </c>
      <c r="AQ774" s="57">
        <f>IFERROR(__xludf.DUMMYFUNCTION("""COMPUTED_VALUE"""),0.9089781549017282)</f>
        <v>0.9089781549</v>
      </c>
      <c r="AR774" s="36" t="b">
        <f>IFERROR(__xludf.DUMMYFUNCTION("""COMPUTED_VALUE"""),TRUE)</f>
        <v>1</v>
      </c>
      <c r="AS774" s="57"/>
      <c r="AT774" s="37"/>
      <c r="AU774" s="30"/>
      <c r="AV774" s="30"/>
      <c r="AW774" s="30"/>
      <c r="AX774" s="30"/>
      <c r="AY774" s="30"/>
      <c r="AZ774" s="30"/>
    </row>
    <row r="775">
      <c r="A775" s="30" t="str">
        <f>IFERROR(__xludf.DUMMYFUNCTION("""COMPUTED_VALUE"""),"Veteran")</f>
        <v>Veteran</v>
      </c>
      <c r="B775" s="30" t="str">
        <f>IFERROR(__xludf.DUMMYFUNCTION("""COMPUTED_VALUE"""),"RSC000960")</f>
        <v>RSC000960</v>
      </c>
      <c r="C775" s="30" t="str">
        <f>IFERROR(__xludf.DUMMYFUNCTION("""COMPUTED_VALUE"""),"Catlas")</f>
        <v>Catlas</v>
      </c>
      <c r="D775" s="31" t="str">
        <f>IFERROR(__xludf.DUMMYFUNCTION("""COMPUTED_VALUE"""),"Paradox Paloma")</f>
        <v>Paradox Paloma</v>
      </c>
      <c r="E775" s="31">
        <f>IFERROR(__xludf.DUMMYFUNCTION("""COMPUTED_VALUE"""),58.49193847458811)</f>
        <v>58.49193847</v>
      </c>
      <c r="F775" s="31">
        <f>IFERROR(__xludf.DUMMYFUNCTION("""COMPUTED_VALUE"""),2.7244267724359363)</f>
        <v>2.724426772</v>
      </c>
      <c r="G775" s="31">
        <f>IFERROR(__xludf.DUMMYFUNCTION("""COMPUTED_VALUE"""),49.245745353066525)</f>
        <v>49.24574535</v>
      </c>
      <c r="H775" s="31">
        <f>IFERROR(__xludf.DUMMYFUNCTION("""COMPUTED_VALUE"""),-2.0493245240408324)</f>
        <v>-2.049324524</v>
      </c>
      <c r="I775" s="54">
        <f>IFERROR(__xludf.DUMMYFUNCTION("""COMPUTED_VALUE"""),48.0)</f>
        <v>48</v>
      </c>
      <c r="J775" s="55">
        <f>IFERROR(__xludf.DUMMYFUNCTION("""COMPUTED_VALUE"""),30.0)</f>
        <v>30</v>
      </c>
      <c r="K775" s="54">
        <f>IFERROR(__xludf.DUMMYFUNCTION("""COMPUTED_VALUE"""),18.0)</f>
        <v>18</v>
      </c>
      <c r="L775" s="56">
        <f>IFERROR(__xludf.DUMMYFUNCTION("""COMPUTED_VALUE"""),0.625)</f>
        <v>0.625</v>
      </c>
      <c r="M775" s="56">
        <f>IFERROR(__xludf.DUMMYFUNCTION("""COMPUTED_VALUE"""),0.23134328358208958)</f>
        <v>0.2313432836</v>
      </c>
      <c r="N775" s="31">
        <f>IFERROR(__xludf.DUMMYFUNCTION("""COMPUTED_VALUE"""),363.9791666666667)</f>
        <v>363.9791667</v>
      </c>
      <c r="O775" s="57">
        <f>IFERROR(__xludf.DUMMYFUNCTION("""COMPUTED_VALUE"""),0.6458333333333334)</f>
        <v>0.6458333333</v>
      </c>
      <c r="P775" s="57">
        <f>IFERROR(__xludf.DUMMYFUNCTION("""COMPUTED_VALUE"""),0.75)</f>
        <v>0.75</v>
      </c>
      <c r="Q775" s="57">
        <f>IFERROR(__xludf.DUMMYFUNCTION("""COMPUTED_VALUE"""),1.6041666666666667)</f>
        <v>1.604166667</v>
      </c>
      <c r="R775" s="57">
        <f>IFERROR(__xludf.DUMMYFUNCTION("""COMPUTED_VALUE"""),2.7916666666666665)</f>
        <v>2.791666667</v>
      </c>
      <c r="S775" s="31">
        <f>IFERROR(__xludf.DUMMYFUNCTION("""COMPUTED_VALUE"""),370.04861111111103)</f>
        <v>370.0486111</v>
      </c>
      <c r="T775" s="57">
        <f>IFERROR(__xludf.DUMMYFUNCTION("""COMPUTED_VALUE"""),0.7430555555555557)</f>
        <v>0.7430555556</v>
      </c>
      <c r="U775" s="57">
        <f>IFERROR(__xludf.DUMMYFUNCTION("""COMPUTED_VALUE"""),0.5763888888888888)</f>
        <v>0.5763888889</v>
      </c>
      <c r="V775" s="57">
        <f>IFERROR(__xludf.DUMMYFUNCTION("""COMPUTED_VALUE"""),1.6458333333333333)</f>
        <v>1.645833333</v>
      </c>
      <c r="W775" s="57">
        <f>IFERROR(__xludf.DUMMYFUNCTION("""COMPUTED_VALUE"""),2.541666666666667)</f>
        <v>2.541666667</v>
      </c>
      <c r="X775" s="31">
        <f>IFERROR(__xludf.DUMMYFUNCTION("""COMPUTED_VALUE"""),358.4060457137385)</f>
        <v>358.4060457</v>
      </c>
      <c r="Y775" s="57">
        <f>IFERROR(__xludf.DUMMYFUNCTION("""COMPUTED_VALUE"""),0.7841275391017467)</f>
        <v>0.7841275391</v>
      </c>
      <c r="Z775" s="57">
        <f>IFERROR(__xludf.DUMMYFUNCTION("""COMPUTED_VALUE"""),0.576074458615064)</f>
        <v>0.5760744586</v>
      </c>
      <c r="AA775" s="57">
        <f>IFERROR(__xludf.DUMMYFUNCTION("""COMPUTED_VALUE"""),1.3945418795184015)</f>
        <v>1.39454188</v>
      </c>
      <c r="AB775" s="57">
        <f>IFERROR(__xludf.DUMMYFUNCTION("""COMPUTED_VALUE"""),2.5699879736593654)</f>
        <v>2.569987974</v>
      </c>
      <c r="AC775" s="31">
        <f>IFERROR(__xludf.DUMMYFUNCTION("""COMPUTED_VALUE"""),353.6552627796262)</f>
        <v>353.6552628</v>
      </c>
      <c r="AD775" s="57">
        <f>IFERROR(__xludf.DUMMYFUNCTION("""COMPUTED_VALUE"""),0.7972746076988436)</f>
        <v>0.7972746077</v>
      </c>
      <c r="AE775" s="57">
        <f>IFERROR(__xludf.DUMMYFUNCTION("""COMPUTED_VALUE"""),0.5845740712602071)</f>
        <v>0.5845740713</v>
      </c>
      <c r="AF775" s="57">
        <f>IFERROR(__xludf.DUMMYFUNCTION("""COMPUTED_VALUE"""),1.3147564387683095)</f>
        <v>1.314756439</v>
      </c>
      <c r="AG775" s="57">
        <f>IFERROR(__xludf.DUMMYFUNCTION("""COMPUTED_VALUE"""),2.635948485634124)</f>
        <v>2.635948486</v>
      </c>
      <c r="AH775" s="57">
        <f>IFERROR(__xludf.DUMMYFUNCTION("""COMPUTED_VALUE"""),1.0291919984617157)</f>
        <v>1.029191998</v>
      </c>
      <c r="AI775" s="57">
        <f>IFERROR(__xludf.DUMMYFUNCTION("""COMPUTED_VALUE"""),0.8100513011412568)</f>
        <v>0.8100513011</v>
      </c>
      <c r="AJ775" s="57">
        <f>IFERROR(__xludf.DUMMYFUNCTION("""COMPUTED_VALUE"""),1.2829854023172336)</f>
        <v>1.282985402</v>
      </c>
      <c r="AK775" s="57">
        <f>IFERROR(__xludf.DUMMYFUNCTION("""COMPUTED_VALUE"""),1.2201245944606156)</f>
        <v>1.220124594</v>
      </c>
      <c r="AL775" s="57">
        <f>IFERROR(__xludf.DUMMYFUNCTION("""COMPUTED_VALUE"""),1.0590748195122948)</f>
        <v>1.05907482</v>
      </c>
      <c r="AM775" s="57">
        <f>IFERROR(__xludf.DUMMYFUNCTION("""COMPUTED_VALUE"""),1.0324842885230556)</f>
        <v>1.032484289</v>
      </c>
      <c r="AN775" s="57">
        <f>IFERROR(__xludf.DUMMYFUNCTION("""COMPUTED_VALUE"""),0.9476207868005238)</f>
        <v>0.9476207868</v>
      </c>
      <c r="AO775" s="57">
        <f>IFERROR(__xludf.DUMMYFUNCTION("""COMPUTED_VALUE"""),1.0005458153353661)</f>
        <v>1.000545815</v>
      </c>
      <c r="AP775" s="35">
        <f>IFERROR(__xludf.DUMMYFUNCTION("""COMPUTED_VALUE"""),1.1801964197028734)</f>
        <v>1.18019642</v>
      </c>
      <c r="AQ775" s="57">
        <f>IFERROR(__xludf.DUMMYFUNCTION("""COMPUTED_VALUE"""),0.9889799846213396)</f>
        <v>0.9889799846</v>
      </c>
      <c r="AR775" s="36" t="b">
        <f>IFERROR(__xludf.DUMMYFUNCTION("""COMPUTED_VALUE"""),TRUE)</f>
        <v>1</v>
      </c>
      <c r="AS775" s="57"/>
      <c r="AT775" s="37"/>
      <c r="AU775" s="30"/>
      <c r="AV775" s="30"/>
      <c r="AW775" s="30"/>
      <c r="AX775" s="30"/>
      <c r="AY775" s="30"/>
      <c r="AZ775" s="30"/>
    </row>
    <row r="776">
      <c r="A776" s="30" t="str">
        <f>IFERROR(__xludf.DUMMYFUNCTION("""COMPUTED_VALUE"""),"Veteran")</f>
        <v>Veteran</v>
      </c>
      <c r="B776" s="30" t="str">
        <f>IFERROR(__xludf.DUMMYFUNCTION("""COMPUTED_VALUE"""),"RSC007504")</f>
        <v>RSC007504</v>
      </c>
      <c r="C776" s="30" t="str">
        <f>IFERROR(__xludf.DUMMYFUNCTION("""COMPUTED_VALUE"""),"Percussive3260")</f>
        <v>Percussive3260</v>
      </c>
      <c r="D776" s="31" t="str">
        <f>IFERROR(__xludf.DUMMYFUNCTION("""COMPUTED_VALUE"""),"Dread")</f>
        <v>Dread</v>
      </c>
      <c r="E776" s="31">
        <f>IFERROR(__xludf.DUMMYFUNCTION("""COMPUTED_VALUE"""),58.47627165714896)</f>
        <v>58.47627166</v>
      </c>
      <c r="F776" s="31">
        <f>IFERROR(__xludf.DUMMYFUNCTION("""COMPUTED_VALUE"""),2.722676065228897)</f>
        <v>2.722676065</v>
      </c>
      <c r="G776" s="31">
        <f>IFERROR(__xludf.DUMMYFUNCTION("""COMPUTED_VALUE"""),69.88542486352598)</f>
        <v>69.88542486</v>
      </c>
      <c r="H776" s="31">
        <f>IFERROR(__xludf.DUMMYFUNCTION("""COMPUTED_VALUE"""),4.690750791441664)</f>
        <v>4.690750791</v>
      </c>
      <c r="I776" s="54">
        <f>IFERROR(__xludf.DUMMYFUNCTION("""COMPUTED_VALUE"""),44.0)</f>
        <v>44</v>
      </c>
      <c r="J776" s="55">
        <f>IFERROR(__xludf.DUMMYFUNCTION("""COMPUTED_VALUE"""),19.0)</f>
        <v>19</v>
      </c>
      <c r="K776" s="54">
        <f>IFERROR(__xludf.DUMMYFUNCTION("""COMPUTED_VALUE"""),25.0)</f>
        <v>25</v>
      </c>
      <c r="L776" s="56">
        <f>IFERROR(__xludf.DUMMYFUNCTION("""COMPUTED_VALUE"""),0.4318181818181818)</f>
        <v>0.4318181818</v>
      </c>
      <c r="M776" s="56">
        <f>IFERROR(__xludf.DUMMYFUNCTION("""COMPUTED_VALUE"""),0.288135593220339)</f>
        <v>0.2881355932</v>
      </c>
      <c r="N776" s="31">
        <f>IFERROR(__xludf.DUMMYFUNCTION("""COMPUTED_VALUE"""),368.4318181818182)</f>
        <v>368.4318182</v>
      </c>
      <c r="O776" s="57">
        <f>IFERROR(__xludf.DUMMYFUNCTION("""COMPUTED_VALUE"""),0.7727272727272727)</f>
        <v>0.7727272727</v>
      </c>
      <c r="P776" s="57">
        <f>IFERROR(__xludf.DUMMYFUNCTION("""COMPUTED_VALUE"""),0.6590909090909091)</f>
        <v>0.6590909091</v>
      </c>
      <c r="Q776" s="57">
        <f>IFERROR(__xludf.DUMMYFUNCTION("""COMPUTED_VALUE"""),1.2727272727272727)</f>
        <v>1.272727273</v>
      </c>
      <c r="R776" s="57">
        <f>IFERROR(__xludf.DUMMYFUNCTION("""COMPUTED_VALUE"""),2.6818181818181817)</f>
        <v>2.681818182</v>
      </c>
      <c r="S776" s="31">
        <f>IFERROR(__xludf.DUMMYFUNCTION("""COMPUTED_VALUE"""),340.13636363636357)</f>
        <v>340.1363636</v>
      </c>
      <c r="T776" s="57">
        <f>IFERROR(__xludf.DUMMYFUNCTION("""COMPUTED_VALUE"""),0.7500000000000001)</f>
        <v>0.75</v>
      </c>
      <c r="U776" s="57">
        <f>IFERROR(__xludf.DUMMYFUNCTION("""COMPUTED_VALUE"""),0.568181818181818)</f>
        <v>0.5681818182</v>
      </c>
      <c r="V776" s="57">
        <f>IFERROR(__xludf.DUMMYFUNCTION("""COMPUTED_VALUE"""),1.1515151515151514)</f>
        <v>1.151515152</v>
      </c>
      <c r="W776" s="57">
        <f>IFERROR(__xludf.DUMMYFUNCTION("""COMPUTED_VALUE"""),2.5909090909090917)</f>
        <v>2.590909091</v>
      </c>
      <c r="X776" s="31">
        <f>IFERROR(__xludf.DUMMYFUNCTION("""COMPUTED_VALUE"""),346.52167489125617)</f>
        <v>346.5216749</v>
      </c>
      <c r="Y776" s="57">
        <f>IFERROR(__xludf.DUMMYFUNCTION("""COMPUTED_VALUE"""),0.7615832293094189)</f>
        <v>0.7615832293</v>
      </c>
      <c r="Z776" s="57">
        <f>IFERROR(__xludf.DUMMYFUNCTION("""COMPUTED_VALUE"""),0.5750907631892059)</f>
        <v>0.5750907632</v>
      </c>
      <c r="AA776" s="57">
        <f>IFERROR(__xludf.DUMMYFUNCTION("""COMPUTED_VALUE"""),1.3185721784092581)</f>
        <v>1.318572178</v>
      </c>
      <c r="AB776" s="57">
        <f>IFERROR(__xludf.DUMMYFUNCTION("""COMPUTED_VALUE"""),2.591504410049338)</f>
        <v>2.59150441</v>
      </c>
      <c r="AC776" s="31">
        <f>IFERROR(__xludf.DUMMYFUNCTION("""COMPUTED_VALUE"""),359.92207435521107)</f>
        <v>359.9220744</v>
      </c>
      <c r="AD776" s="57">
        <f>IFERROR(__xludf.DUMMYFUNCTION("""COMPUTED_VALUE"""),0.8296930241545969)</f>
        <v>0.8296930242</v>
      </c>
      <c r="AE776" s="57">
        <f>IFERROR(__xludf.DUMMYFUNCTION("""COMPUTED_VALUE"""),0.6136873407026575)</f>
        <v>0.6136873407</v>
      </c>
      <c r="AF776" s="57">
        <f>IFERROR(__xludf.DUMMYFUNCTION("""COMPUTED_VALUE"""),1.3595096574555543)</f>
        <v>1.359509657</v>
      </c>
      <c r="AG776" s="57">
        <f>IFERROR(__xludf.DUMMYFUNCTION("""COMPUTED_VALUE"""),2.6587022634387103)</f>
        <v>2.658702263</v>
      </c>
      <c r="AH776" s="57">
        <f>IFERROR(__xludf.DUMMYFUNCTION("""COMPUTED_VALUE"""),1.0236432951267356)</f>
        <v>1.023643295</v>
      </c>
      <c r="AI776" s="57">
        <f>IFERROR(__xludf.DUMMYFUNCTION("""COMPUTED_VALUE"""),0.9313411710489328)</f>
        <v>0.931341171</v>
      </c>
      <c r="AJ776" s="57">
        <f>IFERROR(__xludf.DUMMYFUNCTION("""COMPUTED_VALUE"""),1.0739848541380461)</f>
        <v>1.073984854</v>
      </c>
      <c r="AK776" s="57">
        <f>IFERROR(__xludf.DUMMYFUNCTION("""COMPUTED_VALUE"""),0.9361664080483969)</f>
        <v>0.936166408</v>
      </c>
      <c r="AL776" s="57">
        <f>IFERROR(__xludf.DUMMYFUNCTION("""COMPUTED_VALUE"""),1.0086944366420232)</f>
        <v>1.008694437</v>
      </c>
      <c r="AM776" s="57">
        <f>IFERROR(__xludf.DUMMYFUNCTION("""COMPUTED_VALUE"""),0.9815731259613228)</f>
        <v>0.981573126</v>
      </c>
      <c r="AN776" s="57">
        <f>IFERROR(__xludf.DUMMYFUNCTION("""COMPUTED_VALUE"""),0.9847905929862425)</f>
        <v>0.984790593</v>
      </c>
      <c r="AO776" s="57">
        <f>IFERROR(__xludf.DUMMYFUNCTION("""COMPUTED_VALUE"""),0.9879863398099564)</f>
        <v>0.9879863398</v>
      </c>
      <c r="AP776" s="35">
        <f>IFERROR(__xludf.DUMMYFUNCTION("""COMPUTED_VALUE"""),0.8733046020312317)</f>
        <v>0.873304602</v>
      </c>
      <c r="AQ776" s="57">
        <f>IFERROR(__xludf.DUMMYFUNCTION("""COMPUTED_VALUE"""),0.9997702804834374)</f>
        <v>0.9997702805</v>
      </c>
      <c r="AR776" s="36" t="b">
        <f>IFERROR(__xludf.DUMMYFUNCTION("""COMPUTED_VALUE"""),TRUE)</f>
        <v>1</v>
      </c>
      <c r="AS776" s="57"/>
      <c r="AT776" s="37"/>
      <c r="AU776" s="30"/>
      <c r="AV776" s="30"/>
      <c r="AW776" s="30"/>
      <c r="AX776" s="30"/>
      <c r="AY776" s="30"/>
      <c r="AZ776" s="30"/>
    </row>
    <row r="777">
      <c r="A777" s="30" t="str">
        <f>IFERROR(__xludf.DUMMYFUNCTION("""COMPUTED_VALUE"""),"Veteran")</f>
        <v>Veteran</v>
      </c>
      <c r="B777" s="30" t="str">
        <f>IFERROR(__xludf.DUMMYFUNCTION("""COMPUTED_VALUE"""),"RSC005505")</f>
        <v>RSC005505</v>
      </c>
      <c r="C777" s="30" t="str">
        <f>IFERROR(__xludf.DUMMYFUNCTION("""COMPUTED_VALUE"""),"The_Wheelman_95")</f>
        <v>The_Wheelman_95</v>
      </c>
      <c r="D777" s="31" t="str">
        <f>IFERROR(__xludf.DUMMYFUNCTION("""COMPUTED_VALUE"""),"Penguins")</f>
        <v>Penguins</v>
      </c>
      <c r="E777" s="31">
        <f>IFERROR(__xludf.DUMMYFUNCTION("""COMPUTED_VALUE"""),58.34289017652256)</f>
        <v>58.34289018</v>
      </c>
      <c r="F777" s="31">
        <f>IFERROR(__xludf.DUMMYFUNCTION("""COMPUTED_VALUE"""),2.7078469849019045)</f>
        <v>2.707846985</v>
      </c>
      <c r="G777" s="31">
        <f>IFERROR(__xludf.DUMMYFUNCTION("""COMPUTED_VALUE"""),41.45741888041009)</f>
        <v>41.45741888</v>
      </c>
      <c r="H777" s="31">
        <f>IFERROR(__xludf.DUMMYFUNCTION("""COMPUTED_VALUE"""),-2.730098764331501)</f>
        <v>-2.730098764</v>
      </c>
      <c r="I777" s="54">
        <f>IFERROR(__xludf.DUMMYFUNCTION("""COMPUTED_VALUE"""),21.0)</f>
        <v>21</v>
      </c>
      <c r="J777" s="55">
        <f>IFERROR(__xludf.DUMMYFUNCTION("""COMPUTED_VALUE"""),13.0)</f>
        <v>13</v>
      </c>
      <c r="K777" s="54">
        <f>IFERROR(__xludf.DUMMYFUNCTION("""COMPUTED_VALUE"""),8.0)</f>
        <v>8</v>
      </c>
      <c r="L777" s="56">
        <f>IFERROR(__xludf.DUMMYFUNCTION("""COMPUTED_VALUE"""),0.6190476190476191)</f>
        <v>0.619047619</v>
      </c>
      <c r="M777" s="56">
        <f>IFERROR(__xludf.DUMMYFUNCTION("""COMPUTED_VALUE"""),0.3541666666666667)</f>
        <v>0.3541666667</v>
      </c>
      <c r="N777" s="31">
        <f>IFERROR(__xludf.DUMMYFUNCTION("""COMPUTED_VALUE"""),354.0)</f>
        <v>354</v>
      </c>
      <c r="O777" s="57">
        <f>IFERROR(__xludf.DUMMYFUNCTION("""COMPUTED_VALUE"""),0.8095238095238095)</f>
        <v>0.8095238095</v>
      </c>
      <c r="P777" s="57">
        <f>IFERROR(__xludf.DUMMYFUNCTION("""COMPUTED_VALUE"""),0.5238095238095238)</f>
        <v>0.5238095238</v>
      </c>
      <c r="Q777" s="57">
        <f>IFERROR(__xludf.DUMMYFUNCTION("""COMPUTED_VALUE"""),1.4761904761904763)</f>
        <v>1.476190476</v>
      </c>
      <c r="R777" s="57">
        <f>IFERROR(__xludf.DUMMYFUNCTION("""COMPUTED_VALUE"""),2.2857142857142856)</f>
        <v>2.285714286</v>
      </c>
      <c r="S777" s="31">
        <f>IFERROR(__xludf.DUMMYFUNCTION("""COMPUTED_VALUE"""),340.9206349206349)</f>
        <v>340.9206349</v>
      </c>
      <c r="T777" s="57">
        <f>IFERROR(__xludf.DUMMYFUNCTION("""COMPUTED_VALUE"""),0.6507936507936509)</f>
        <v>0.6507936508</v>
      </c>
      <c r="U777" s="57">
        <f>IFERROR(__xludf.DUMMYFUNCTION("""COMPUTED_VALUE"""),0.4920634920634921)</f>
        <v>0.4920634921</v>
      </c>
      <c r="V777" s="57">
        <f>IFERROR(__xludf.DUMMYFUNCTION("""COMPUTED_VALUE"""),1.492063492063492)</f>
        <v>1.492063492</v>
      </c>
      <c r="W777" s="57">
        <f>IFERROR(__xludf.DUMMYFUNCTION("""COMPUTED_VALUE"""),2.492063492063492)</f>
        <v>2.492063492</v>
      </c>
      <c r="X777" s="31">
        <f>IFERROR(__xludf.DUMMYFUNCTION("""COMPUTED_VALUE"""),357.209017692123)</f>
        <v>357.2090177</v>
      </c>
      <c r="Y777" s="57">
        <f>IFERROR(__xludf.DUMMYFUNCTION("""COMPUTED_VALUE"""),0.804457464838617)</f>
        <v>0.8044574648</v>
      </c>
      <c r="Z777" s="57">
        <f>IFERROR(__xludf.DUMMYFUNCTION("""COMPUTED_VALUE"""),0.6154315773636784)</f>
        <v>0.6154315774</v>
      </c>
      <c r="AA777" s="57">
        <f>IFERROR(__xludf.DUMMYFUNCTION("""COMPUTED_VALUE"""),1.3436540324364965)</f>
        <v>1.343654032</v>
      </c>
      <c r="AB777" s="57">
        <f>IFERROR(__xludf.DUMMYFUNCTION("""COMPUTED_VALUE"""),2.6578188372583598)</f>
        <v>2.657818837</v>
      </c>
      <c r="AC777" s="31">
        <f>IFERROR(__xludf.DUMMYFUNCTION("""COMPUTED_VALUE"""),350.54803222846556)</f>
        <v>350.5480322</v>
      </c>
      <c r="AD777" s="57">
        <f>IFERROR(__xludf.DUMMYFUNCTION("""COMPUTED_VALUE"""),0.7729800379752044)</f>
        <v>0.772980038</v>
      </c>
      <c r="AE777" s="57">
        <f>IFERROR(__xludf.DUMMYFUNCTION("""COMPUTED_VALUE"""),0.5510220657320396)</f>
        <v>0.5510220657</v>
      </c>
      <c r="AF777" s="57">
        <f>IFERROR(__xludf.DUMMYFUNCTION("""COMPUTED_VALUE"""),1.34514934013655)</f>
        <v>1.34514934</v>
      </c>
      <c r="AG777" s="57">
        <f>IFERROR(__xludf.DUMMYFUNCTION("""COMPUTED_VALUE"""),2.5596294444831935)</f>
        <v>2.559629444</v>
      </c>
      <c r="AH777" s="57">
        <f>IFERROR(__xludf.DUMMYFUNCTION("""COMPUTED_VALUE"""),1.0098473460244235)</f>
        <v>1.009847346</v>
      </c>
      <c r="AI777" s="57">
        <f>IFERROR(__xludf.DUMMYFUNCTION("""COMPUTED_VALUE"""),1.0472764751394232)</f>
        <v>1.047276475</v>
      </c>
      <c r="AJ777" s="57">
        <f>IFERROR(__xludf.DUMMYFUNCTION("""COMPUTED_VALUE"""),0.9506144243309683)</f>
        <v>0.9506144243</v>
      </c>
      <c r="AK777" s="57">
        <f>IFERROR(__xludf.DUMMYFUNCTION("""COMPUTED_VALUE"""),1.0974175373275832)</f>
        <v>1.097417537</v>
      </c>
      <c r="AL777" s="57">
        <f>IFERROR(__xludf.DUMMYFUNCTION("""COMPUTED_VALUE"""),0.8929864010748583)</f>
        <v>0.8929864011</v>
      </c>
      <c r="AM777" s="57">
        <f>IFERROR(__xludf.DUMMYFUNCTION("""COMPUTED_VALUE"""),0.9544009754380641)</f>
        <v>0.9544009754</v>
      </c>
      <c r="AN777" s="57">
        <f>IFERROR(__xludf.DUMMYFUNCTION("""COMPUTED_VALUE"""),0.8089845383238594)</f>
        <v>0.8089845383</v>
      </c>
      <c r="AO777" s="57">
        <f>IFERROR(__xludf.DUMMYFUNCTION("""COMPUTED_VALUE"""),0.7995421589697141)</f>
        <v>0.799542159</v>
      </c>
      <c r="AP777" s="35">
        <f>IFERROR(__xludf.DUMMYFUNCTION("""COMPUTED_VALUE"""),1.1104521372647387)</f>
        <v>1.110452137</v>
      </c>
      <c r="AQ777" s="57">
        <f>IFERROR(__xludf.DUMMYFUNCTION("""COMPUTED_VALUE"""),0.9376348218805423)</f>
        <v>0.9376348219</v>
      </c>
      <c r="AR777" s="36" t="b">
        <f>IFERROR(__xludf.DUMMYFUNCTION("""COMPUTED_VALUE"""),TRUE)</f>
        <v>1</v>
      </c>
      <c r="AS777" s="57"/>
      <c r="AT777" s="37"/>
      <c r="AU777" s="30"/>
      <c r="AV777" s="30"/>
      <c r="AW777" s="30"/>
      <c r="AX777" s="30"/>
      <c r="AY777" s="30"/>
      <c r="AZ777" s="30"/>
    </row>
    <row r="778">
      <c r="A778" s="30" t="str">
        <f>IFERROR(__xludf.DUMMYFUNCTION("""COMPUTED_VALUE"""),"Veteran")</f>
        <v>Veteran</v>
      </c>
      <c r="B778" s="30" t="str">
        <f>IFERROR(__xludf.DUMMYFUNCTION("""COMPUTED_VALUE"""),"RSC007817")</f>
        <v>RSC007817</v>
      </c>
      <c r="C778" s="30" t="str">
        <f>IFERROR(__xludf.DUMMYFUNCTION("""COMPUTED_VALUE"""),"HiChew.RL")</f>
        <v>HiChew.RL</v>
      </c>
      <c r="D778" s="31" t="str">
        <f>IFERROR(__xludf.DUMMYFUNCTION("""COMPUTED_VALUE"""),"Dog Fighters")</f>
        <v>Dog Fighters</v>
      </c>
      <c r="E778" s="31">
        <f>IFERROR(__xludf.DUMMYFUNCTION("""COMPUTED_VALUE"""),58.1399976608511)</f>
        <v>58.13999766</v>
      </c>
      <c r="F778" s="31">
        <f>IFERROR(__xludf.DUMMYFUNCTION("""COMPUTED_VALUE"""),2.6855475591893847)</f>
        <v>2.685547559</v>
      </c>
      <c r="G778" s="31">
        <f>IFERROR(__xludf.DUMMYFUNCTION("""COMPUTED_VALUE"""),59.500702124827804)</f>
        <v>59.50070212</v>
      </c>
      <c r="H778" s="31">
        <f>IFERROR(__xludf.DUMMYFUNCTION("""COMPUTED_VALUE"""),2.8412135222781196)</f>
        <v>2.841213522</v>
      </c>
      <c r="I778" s="54">
        <f>IFERROR(__xludf.DUMMYFUNCTION("""COMPUTED_VALUE"""),32.0)</f>
        <v>32</v>
      </c>
      <c r="J778" s="55">
        <f>IFERROR(__xludf.DUMMYFUNCTION("""COMPUTED_VALUE"""),19.0)</f>
        <v>19</v>
      </c>
      <c r="K778" s="54">
        <f>IFERROR(__xludf.DUMMYFUNCTION("""COMPUTED_VALUE"""),13.0)</f>
        <v>13</v>
      </c>
      <c r="L778" s="56">
        <f>IFERROR(__xludf.DUMMYFUNCTION("""COMPUTED_VALUE"""),0.59375)</f>
        <v>0.59375</v>
      </c>
      <c r="M778" s="56">
        <f>IFERROR(__xludf.DUMMYFUNCTION("""COMPUTED_VALUE"""),0.18518518518518517)</f>
        <v>0.1851851852</v>
      </c>
      <c r="N778" s="31">
        <f>IFERROR(__xludf.DUMMYFUNCTION("""COMPUTED_VALUE"""),364.375)</f>
        <v>364.375</v>
      </c>
      <c r="O778" s="57">
        <f>IFERROR(__xludf.DUMMYFUNCTION("""COMPUTED_VALUE"""),0.46875)</f>
        <v>0.46875</v>
      </c>
      <c r="P778" s="57">
        <f>IFERROR(__xludf.DUMMYFUNCTION("""COMPUTED_VALUE"""),0.84375)</f>
        <v>0.84375</v>
      </c>
      <c r="Q778" s="57">
        <f>IFERROR(__xludf.DUMMYFUNCTION("""COMPUTED_VALUE"""),1.59375)</f>
        <v>1.59375</v>
      </c>
      <c r="R778" s="57">
        <f>IFERROR(__xludf.DUMMYFUNCTION("""COMPUTED_VALUE"""),2.53125)</f>
        <v>2.53125</v>
      </c>
      <c r="S778" s="31">
        <f>IFERROR(__xludf.DUMMYFUNCTION("""COMPUTED_VALUE"""),342.88541666666674)</f>
        <v>342.8854167</v>
      </c>
      <c r="T778" s="57">
        <f>IFERROR(__xludf.DUMMYFUNCTION("""COMPUTED_VALUE"""),0.6145833333333335)</f>
        <v>0.6145833333</v>
      </c>
      <c r="U778" s="57">
        <f>IFERROR(__xludf.DUMMYFUNCTION("""COMPUTED_VALUE"""),0.4791666666666666)</f>
        <v>0.4791666667</v>
      </c>
      <c r="V778" s="57">
        <f>IFERROR(__xludf.DUMMYFUNCTION("""COMPUTED_VALUE"""),1.46875)</f>
        <v>1.46875</v>
      </c>
      <c r="W778" s="57">
        <f>IFERROR(__xludf.DUMMYFUNCTION("""COMPUTED_VALUE"""),2.458333333333333)</f>
        <v>2.458333333</v>
      </c>
      <c r="X778" s="31">
        <f>IFERROR(__xludf.DUMMYFUNCTION("""COMPUTED_VALUE"""),355.2864934005379)</f>
        <v>355.2864934</v>
      </c>
      <c r="Y778" s="57">
        <f>IFERROR(__xludf.DUMMYFUNCTION("""COMPUTED_VALUE"""),0.7448914777448928)</f>
        <v>0.7448914777</v>
      </c>
      <c r="Z778" s="57">
        <f>IFERROR(__xludf.DUMMYFUNCTION("""COMPUTED_VALUE"""),0.5852619296131247)</f>
        <v>0.5852619296</v>
      </c>
      <c r="AA778" s="57">
        <f>IFERROR(__xludf.DUMMYFUNCTION("""COMPUTED_VALUE"""),1.4213266064451184)</f>
        <v>1.421326606</v>
      </c>
      <c r="AB778" s="57">
        <f>IFERROR(__xludf.DUMMYFUNCTION("""COMPUTED_VALUE"""),2.528603631443239)</f>
        <v>2.528603631</v>
      </c>
      <c r="AC778" s="31">
        <f>IFERROR(__xludf.DUMMYFUNCTION("""COMPUTED_VALUE"""),351.53244793534225)</f>
        <v>351.5324479</v>
      </c>
      <c r="AD778" s="57">
        <f>IFERROR(__xludf.DUMMYFUNCTION("""COMPUTED_VALUE"""),0.7607627441097339)</f>
        <v>0.7607627441</v>
      </c>
      <c r="AE778" s="57">
        <f>IFERROR(__xludf.DUMMYFUNCTION("""COMPUTED_VALUE"""),0.5519566072050202)</f>
        <v>0.5519566072</v>
      </c>
      <c r="AF778" s="57">
        <f>IFERROR(__xludf.DUMMYFUNCTION("""COMPUTED_VALUE"""),1.3577676982475637)</f>
        <v>1.357767698</v>
      </c>
      <c r="AG778" s="57">
        <f>IFERROR(__xludf.DUMMYFUNCTION("""COMPUTED_VALUE"""),2.6672921708251756)</f>
        <v>2.667292171</v>
      </c>
      <c r="AH778" s="57">
        <f>IFERROR(__xludf.DUMMYFUNCTION("""COMPUTED_VALUE"""),1.0365330487699955)</f>
        <v>1.036533049</v>
      </c>
      <c r="AI778" s="57">
        <f>IFERROR(__xludf.DUMMYFUNCTION("""COMPUTED_VALUE"""),0.6161579331129635)</f>
        <v>0.6161579331</v>
      </c>
      <c r="AJ778" s="57">
        <f>IFERROR(__xludf.DUMMYFUNCTION("""COMPUTED_VALUE"""),1.5286527762980386)</f>
        <v>1.528652776</v>
      </c>
      <c r="AK778" s="57">
        <f>IFERROR(__xludf.DUMMYFUNCTION("""COMPUTED_VALUE"""),1.1738016761313534)</f>
        <v>1.173801676</v>
      </c>
      <c r="AL778" s="57">
        <f>IFERROR(__xludf.DUMMYFUNCTION("""COMPUTED_VALUE"""),0.9489961496107536)</f>
        <v>0.9489961496</v>
      </c>
      <c r="AM778" s="57">
        <f>IFERROR(__xludf.DUMMYFUNCTION("""COMPUTED_VALUE"""),0.9650955581925525)</f>
        <v>0.9650955582</v>
      </c>
      <c r="AN778" s="57">
        <f>IFERROR(__xludf.DUMMYFUNCTION("""COMPUTED_VALUE"""),0.8250642566000913)</f>
        <v>0.8250642566</v>
      </c>
      <c r="AO778" s="57">
        <f>IFERROR(__xludf.DUMMYFUNCTION("""COMPUTED_VALUE"""),0.8187217422178985)</f>
        <v>0.8187217422</v>
      </c>
      <c r="AP778" s="35">
        <f>IFERROR(__xludf.DUMMYFUNCTION("""COMPUTED_VALUE"""),1.0333655848978247)</f>
        <v>1.033365585</v>
      </c>
      <c r="AQ778" s="57">
        <f>IFERROR(__xludf.DUMMYFUNCTION("""COMPUTED_VALUE"""),0.9722098405475286)</f>
        <v>0.9722098405</v>
      </c>
      <c r="AR778" s="36" t="b">
        <f>IFERROR(__xludf.DUMMYFUNCTION("""COMPUTED_VALUE"""),TRUE)</f>
        <v>1</v>
      </c>
      <c r="AS778" s="57"/>
      <c r="AT778" s="37"/>
      <c r="AU778" s="30"/>
      <c r="AV778" s="30"/>
      <c r="AW778" s="30"/>
      <c r="AX778" s="30"/>
      <c r="AY778" s="30"/>
      <c r="AZ778" s="30"/>
    </row>
    <row r="779">
      <c r="A779" s="30" t="str">
        <f>IFERROR(__xludf.DUMMYFUNCTION("""COMPUTED_VALUE"""),"Veteran")</f>
        <v>Veteran</v>
      </c>
      <c r="B779" s="30" t="str">
        <f>IFERROR(__xludf.DUMMYFUNCTION("""COMPUTED_VALUE"""),"RSC006278")</f>
        <v>RSC006278</v>
      </c>
      <c r="C779" s="30" t="str">
        <f>IFERROR(__xludf.DUMMYFUNCTION("""COMPUTED_VALUE"""),"DribblingPenguin")</f>
        <v>DribblingPenguin</v>
      </c>
      <c r="D779" s="31" t="str">
        <f>IFERROR(__xludf.DUMMYFUNCTION("""COMPUTED_VALUE"""),"Azalea")</f>
        <v>Azalea</v>
      </c>
      <c r="E779" s="31">
        <f>IFERROR(__xludf.DUMMYFUNCTION("""COMPUTED_VALUE"""),58.08084393709099)</f>
        <v>58.08084394</v>
      </c>
      <c r="F779" s="31">
        <f>IFERROR(__xludf.DUMMYFUNCTION("""COMPUTED_VALUE"""),2.6791040782344915)</f>
        <v>2.679104078</v>
      </c>
      <c r="G779" s="31">
        <f>IFERROR(__xludf.DUMMYFUNCTION("""COMPUTED_VALUE"""),64.08199475583558)</f>
        <v>64.08199476</v>
      </c>
      <c r="H779" s="31">
        <f>IFERROR(__xludf.DUMMYFUNCTION("""COMPUTED_VALUE"""),3.488913416663341)</f>
        <v>3.488913417</v>
      </c>
      <c r="I779" s="54">
        <f>IFERROR(__xludf.DUMMYFUNCTION("""COMPUTED_VALUE"""),46.0)</f>
        <v>46</v>
      </c>
      <c r="J779" s="55">
        <f>IFERROR(__xludf.DUMMYFUNCTION("""COMPUTED_VALUE"""),19.0)</f>
        <v>19</v>
      </c>
      <c r="K779" s="54">
        <f>IFERROR(__xludf.DUMMYFUNCTION("""COMPUTED_VALUE"""),27.0)</f>
        <v>27</v>
      </c>
      <c r="L779" s="56">
        <f>IFERROR(__xludf.DUMMYFUNCTION("""COMPUTED_VALUE"""),0.41304347826086957)</f>
        <v>0.4130434783</v>
      </c>
      <c r="M779" s="56">
        <f>IFERROR(__xludf.DUMMYFUNCTION("""COMPUTED_VALUE"""),0.2773109243697479)</f>
        <v>0.2773109244</v>
      </c>
      <c r="N779" s="31">
        <f>IFERROR(__xludf.DUMMYFUNCTION("""COMPUTED_VALUE"""),363.5869565217391)</f>
        <v>363.5869565</v>
      </c>
      <c r="O779" s="57">
        <f>IFERROR(__xludf.DUMMYFUNCTION("""COMPUTED_VALUE"""),0.717391304347826)</f>
        <v>0.7173913043</v>
      </c>
      <c r="P779" s="57">
        <f>IFERROR(__xludf.DUMMYFUNCTION("""COMPUTED_VALUE"""),0.6739130434782609)</f>
        <v>0.6739130435</v>
      </c>
      <c r="Q779" s="57">
        <f>IFERROR(__xludf.DUMMYFUNCTION("""COMPUTED_VALUE"""),1.6304347826086956)</f>
        <v>1.630434783</v>
      </c>
      <c r="R779" s="57">
        <f>IFERROR(__xludf.DUMMYFUNCTION("""COMPUTED_VALUE"""),2.5869565217391304)</f>
        <v>2.586956522</v>
      </c>
      <c r="S779" s="31">
        <f>IFERROR(__xludf.DUMMYFUNCTION("""COMPUTED_VALUE"""),341.88405797101444)</f>
        <v>341.884058</v>
      </c>
      <c r="T779" s="57">
        <f>IFERROR(__xludf.DUMMYFUNCTION("""COMPUTED_VALUE"""),0.8115942028985508)</f>
        <v>0.8115942029</v>
      </c>
      <c r="U779" s="57">
        <f>IFERROR(__xludf.DUMMYFUNCTION("""COMPUTED_VALUE"""),0.49275362318840576)</f>
        <v>0.4927536232</v>
      </c>
      <c r="V779" s="57">
        <f>IFERROR(__xludf.DUMMYFUNCTION("""COMPUTED_VALUE"""),1.2826086956521743)</f>
        <v>1.282608696</v>
      </c>
      <c r="W779" s="57">
        <f>IFERROR(__xludf.DUMMYFUNCTION("""COMPUTED_VALUE"""),2.5724637681159415)</f>
        <v>2.572463768</v>
      </c>
      <c r="X779" s="31">
        <f>IFERROR(__xludf.DUMMYFUNCTION("""COMPUTED_VALUE"""),355.8609908914119)</f>
        <v>355.8609909</v>
      </c>
      <c r="Y779" s="57">
        <f>IFERROR(__xludf.DUMMYFUNCTION("""COMPUTED_VALUE"""),0.7903141553713369)</f>
        <v>0.7903141554</v>
      </c>
      <c r="Z779" s="57">
        <f>IFERROR(__xludf.DUMMYFUNCTION("""COMPUTED_VALUE"""),0.5663432517948164)</f>
        <v>0.5663432518</v>
      </c>
      <c r="AA779" s="57">
        <f>IFERROR(__xludf.DUMMYFUNCTION("""COMPUTED_VALUE"""),1.398133841913204)</f>
        <v>1.398133842</v>
      </c>
      <c r="AB779" s="57">
        <f>IFERROR(__xludf.DUMMYFUNCTION("""COMPUTED_VALUE"""),2.622966316214526)</f>
        <v>2.622966316</v>
      </c>
      <c r="AC779" s="31">
        <f>IFERROR(__xludf.DUMMYFUNCTION("""COMPUTED_VALUE"""),354.7339704495908)</f>
        <v>354.7339704</v>
      </c>
      <c r="AD779" s="57">
        <f>IFERROR(__xludf.DUMMYFUNCTION("""COMPUTED_VALUE"""),0.7964793881564155)</f>
        <v>0.7964793882</v>
      </c>
      <c r="AE779" s="57">
        <f>IFERROR(__xludf.DUMMYFUNCTION("""COMPUTED_VALUE"""),0.5832120600952074)</f>
        <v>0.5832120601</v>
      </c>
      <c r="AF779" s="57">
        <f>IFERROR(__xludf.DUMMYFUNCTION("""COMPUTED_VALUE"""),1.3817998703522087)</f>
        <v>1.38179987</v>
      </c>
      <c r="AG779" s="57">
        <f>IFERROR(__xludf.DUMMYFUNCTION("""COMPUTED_VALUE"""),2.644426149324205)</f>
        <v>2.644426149</v>
      </c>
      <c r="AH779" s="57">
        <f>IFERROR(__xludf.DUMMYFUNCTION("""COMPUTED_VALUE"""),1.0249566909561214)</f>
        <v>1.024956691</v>
      </c>
      <c r="AI779" s="57">
        <f>IFERROR(__xludf.DUMMYFUNCTION("""COMPUTED_VALUE"""),0.9007029121096881)</f>
        <v>0.9007029121</v>
      </c>
      <c r="AJ779" s="57">
        <f>IFERROR(__xludf.DUMMYFUNCTION("""COMPUTED_VALUE"""),1.1555197321678272)</f>
        <v>1.155519732</v>
      </c>
      <c r="AK779" s="57">
        <f>IFERROR(__xludf.DUMMYFUNCTION("""COMPUTED_VALUE"""),1.1799355446408546)</f>
        <v>1.179935545</v>
      </c>
      <c r="AL779" s="57">
        <f>IFERROR(__xludf.DUMMYFUNCTION("""COMPUTED_VALUE"""),0.9782676375364986)</f>
        <v>0.9782676375</v>
      </c>
      <c r="AM779" s="57">
        <f>IFERROR(__xludf.DUMMYFUNCTION("""COMPUTED_VALUE"""),0.9607236160238131)</f>
        <v>0.960723616</v>
      </c>
      <c r="AN779" s="57">
        <f>IFERROR(__xludf.DUMMYFUNCTION("""COMPUTED_VALUE"""),1.0269260614688285)</f>
        <v>1.026926061</v>
      </c>
      <c r="AO779" s="57">
        <f>IFERROR(__xludf.DUMMYFUNCTION("""COMPUTED_VALUE"""),0.8700617896069294)</f>
        <v>0.8700617896</v>
      </c>
      <c r="AP779" s="35">
        <f>IFERROR(__xludf.DUMMYFUNCTION("""COMPUTED_VALUE"""),0.9173718975981976)</f>
        <v>0.9173718976</v>
      </c>
      <c r="AQ779" s="57">
        <f>IFERROR(__xludf.DUMMYFUNCTION("""COMPUTED_VALUE"""),0.9807460172910378)</f>
        <v>0.9807460173</v>
      </c>
      <c r="AR779" s="36" t="b">
        <f>IFERROR(__xludf.DUMMYFUNCTION("""COMPUTED_VALUE"""),TRUE)</f>
        <v>1</v>
      </c>
      <c r="AS779" s="57"/>
      <c r="AT779" s="37"/>
      <c r="AU779" s="30"/>
      <c r="AV779" s="30"/>
      <c r="AW779" s="30"/>
      <c r="AX779" s="30"/>
      <c r="AY779" s="30"/>
      <c r="AZ779" s="30"/>
    </row>
    <row r="780">
      <c r="A780" s="30" t="str">
        <f>IFERROR(__xludf.DUMMYFUNCTION("""COMPUTED_VALUE"""),"Veteran")</f>
        <v>Veteran</v>
      </c>
      <c r="B780" s="30" t="str">
        <f>IFERROR(__xludf.DUMMYFUNCTION("""COMPUTED_VALUE"""),"RSC000926")</f>
        <v>RSC000926</v>
      </c>
      <c r="C780" s="30" t="str">
        <f>IFERROR(__xludf.DUMMYFUNCTION("""COMPUTED_VALUE"""),"SlmRnchr")</f>
        <v>SlmRnchr</v>
      </c>
      <c r="D780" s="31" t="str">
        <f>IFERROR(__xludf.DUMMYFUNCTION("""COMPUTED_VALUE"""),"Silver Dollar")</f>
        <v>Silver Dollar</v>
      </c>
      <c r="E780" s="31">
        <f>IFERROR(__xludf.DUMMYFUNCTION("""COMPUTED_VALUE"""),58.06453964997931)</f>
        <v>58.06453965</v>
      </c>
      <c r="F780" s="31">
        <f>IFERROR(__xludf.DUMMYFUNCTION("""COMPUTED_VALUE"""),2.677332656452212)</f>
        <v>2.677332656</v>
      </c>
      <c r="G780" s="31">
        <f>IFERROR(__xludf.DUMMYFUNCTION("""COMPUTED_VALUE"""),48.94220432927291)</f>
        <v>48.94220433</v>
      </c>
      <c r="H780" s="31">
        <f>IFERROR(__xludf.DUMMYFUNCTION("""COMPUTED_VALUE"""),-2.0698574460423904)</f>
        <v>-2.069857446</v>
      </c>
      <c r="I780" s="54">
        <f>IFERROR(__xludf.DUMMYFUNCTION("""COMPUTED_VALUE"""),32.0)</f>
        <v>32</v>
      </c>
      <c r="J780" s="55">
        <f>IFERROR(__xludf.DUMMYFUNCTION("""COMPUTED_VALUE"""),21.0)</f>
        <v>21</v>
      </c>
      <c r="K780" s="54">
        <f>IFERROR(__xludf.DUMMYFUNCTION("""COMPUTED_VALUE"""),11.0)</f>
        <v>11</v>
      </c>
      <c r="L780" s="56">
        <f>IFERROR(__xludf.DUMMYFUNCTION("""COMPUTED_VALUE"""),0.65625)</f>
        <v>0.65625</v>
      </c>
      <c r="M780" s="56">
        <f>IFERROR(__xludf.DUMMYFUNCTION("""COMPUTED_VALUE"""),0.37662337662337664)</f>
        <v>0.3766233766</v>
      </c>
      <c r="N780" s="31">
        <f>IFERROR(__xludf.DUMMYFUNCTION("""COMPUTED_VALUE"""),325.59375)</f>
        <v>325.59375</v>
      </c>
      <c r="O780" s="57">
        <f>IFERROR(__xludf.DUMMYFUNCTION("""COMPUTED_VALUE"""),0.90625)</f>
        <v>0.90625</v>
      </c>
      <c r="P780" s="57">
        <f>IFERROR(__xludf.DUMMYFUNCTION("""COMPUTED_VALUE"""),0.5625)</f>
        <v>0.5625</v>
      </c>
      <c r="Q780" s="57">
        <f>IFERROR(__xludf.DUMMYFUNCTION("""COMPUTED_VALUE"""),1.0625)</f>
        <v>1.0625</v>
      </c>
      <c r="R780" s="57">
        <f>IFERROR(__xludf.DUMMYFUNCTION("""COMPUTED_VALUE"""),2.40625)</f>
        <v>2.40625</v>
      </c>
      <c r="S780" s="31">
        <f>IFERROR(__xludf.DUMMYFUNCTION("""COMPUTED_VALUE"""),325.6041666666667)</f>
        <v>325.6041667</v>
      </c>
      <c r="T780" s="57">
        <f>IFERROR(__xludf.DUMMYFUNCTION("""COMPUTED_VALUE"""),0.6874999999999999)</f>
        <v>0.6875</v>
      </c>
      <c r="U780" s="57">
        <f>IFERROR(__xludf.DUMMYFUNCTION("""COMPUTED_VALUE"""),0.45833333333333326)</f>
        <v>0.4583333333</v>
      </c>
      <c r="V780" s="57">
        <f>IFERROR(__xludf.DUMMYFUNCTION("""COMPUTED_VALUE"""),1.2395833333333333)</f>
        <v>1.239583333</v>
      </c>
      <c r="W780" s="57">
        <f>IFERROR(__xludf.DUMMYFUNCTION("""COMPUTED_VALUE"""),2.4062500000000004)</f>
        <v>2.40625</v>
      </c>
      <c r="X780" s="31">
        <f>IFERROR(__xludf.DUMMYFUNCTION("""COMPUTED_VALUE"""),335.5705781426624)</f>
        <v>335.5705781</v>
      </c>
      <c r="Y780" s="57">
        <f>IFERROR(__xludf.DUMMYFUNCTION("""COMPUTED_VALUE"""),0.7216643241563485)</f>
        <v>0.7216643242</v>
      </c>
      <c r="Z780" s="57">
        <f>IFERROR(__xludf.DUMMYFUNCTION("""COMPUTED_VALUE"""),0.49673473312637323)</f>
        <v>0.4967347331</v>
      </c>
      <c r="AA780" s="57">
        <f>IFERROR(__xludf.DUMMYFUNCTION("""COMPUTED_VALUE"""),1.316591640729997)</f>
        <v>1.316591641</v>
      </c>
      <c r="AB780" s="57">
        <f>IFERROR(__xludf.DUMMYFUNCTION("""COMPUTED_VALUE"""),2.488838320919524)</f>
        <v>2.488838321</v>
      </c>
      <c r="AC780" s="31">
        <f>IFERROR(__xludf.DUMMYFUNCTION("""COMPUTED_VALUE"""),351.77154499532315)</f>
        <v>351.771545</v>
      </c>
      <c r="AD780" s="57">
        <f>IFERROR(__xludf.DUMMYFUNCTION("""COMPUTED_VALUE"""),0.7835469128470334)</f>
        <v>0.7835469128</v>
      </c>
      <c r="AE780" s="57">
        <f>IFERROR(__xludf.DUMMYFUNCTION("""COMPUTED_VALUE"""),0.5699175329168986)</f>
        <v>0.5699175329</v>
      </c>
      <c r="AF780" s="57">
        <f>IFERROR(__xludf.DUMMYFUNCTION("""COMPUTED_VALUE"""),1.3352225651177396)</f>
        <v>1.335222565</v>
      </c>
      <c r="AG780" s="57">
        <f>IFERROR(__xludf.DUMMYFUNCTION("""COMPUTED_VALUE"""),2.6283131794243553)</f>
        <v>2.628313179</v>
      </c>
      <c r="AH780" s="57">
        <f>IFERROR(__xludf.DUMMYFUNCTION("""COMPUTED_VALUE"""),0.9255829660819462)</f>
        <v>0.9255829661</v>
      </c>
      <c r="AI780" s="57">
        <f>IFERROR(__xludf.DUMMYFUNCTION("""COMPUTED_VALUE"""),1.1565995413179826)</f>
        <v>1.156599541</v>
      </c>
      <c r="AJ780" s="57">
        <f>IFERROR(__xludf.DUMMYFUNCTION("""COMPUTED_VALUE"""),0.9869849013436472)</f>
        <v>0.9869849013</v>
      </c>
      <c r="AK780" s="57">
        <f>IFERROR(__xludf.DUMMYFUNCTION("""COMPUTED_VALUE"""),0.7957474864172244)</f>
        <v>0.7957474864</v>
      </c>
      <c r="AL780" s="57">
        <f>IFERROR(__xludf.DUMMYFUNCTION("""COMPUTED_VALUE"""),0.9155111418369896)</f>
        <v>0.9155111418</v>
      </c>
      <c r="AM780" s="57">
        <f>IFERROR(__xludf.DUMMYFUNCTION("""COMPUTED_VALUE"""),0.9703001033905939)</f>
        <v>0.9703001034</v>
      </c>
      <c r="AN780" s="57">
        <f>IFERROR(__xludf.DUMMYFUNCTION("""COMPUTED_VALUE"""),0.9526589814505685)</f>
        <v>0.9526589815</v>
      </c>
      <c r="AO780" s="57">
        <f>IFERROR(__xludf.DUMMYFUNCTION("""COMPUTED_VALUE"""),0.9226923401322324)</f>
        <v>0.9226923401</v>
      </c>
      <c r="AP780" s="35">
        <f>IFERROR(__xludf.DUMMYFUNCTION("""COMPUTED_VALUE"""),0.9415093450282233)</f>
        <v>0.941509345</v>
      </c>
      <c r="AQ780" s="57">
        <f>IFERROR(__xludf.DUMMYFUNCTION("""COMPUTED_VALUE"""),0.96681651828271)</f>
        <v>0.9668165183</v>
      </c>
      <c r="AR780" s="36" t="b">
        <f>IFERROR(__xludf.DUMMYFUNCTION("""COMPUTED_VALUE"""),TRUE)</f>
        <v>1</v>
      </c>
      <c r="AS780" s="57"/>
      <c r="AT780" s="37"/>
      <c r="AU780" s="30"/>
      <c r="AV780" s="30"/>
      <c r="AW780" s="30"/>
      <c r="AX780" s="30"/>
      <c r="AY780" s="30"/>
      <c r="AZ780" s="30"/>
    </row>
    <row r="781">
      <c r="A781" s="30" t="str">
        <f>IFERROR(__xludf.DUMMYFUNCTION("""COMPUTED_VALUE"""),"Veteran")</f>
        <v>Veteran</v>
      </c>
      <c r="B781" s="30" t="str">
        <f>IFERROR(__xludf.DUMMYFUNCTION("""COMPUTED_VALUE"""),"RSC004165")</f>
        <v>RSC004165</v>
      </c>
      <c r="C781" s="30" t="str">
        <f>IFERROR(__xludf.DUMMYFUNCTION("""COMPUTED_VALUE"""),"Absolutely TOR")</f>
        <v>Absolutely TOR</v>
      </c>
      <c r="D781" s="31" t="str">
        <f>IFERROR(__xludf.DUMMYFUNCTION("""COMPUTED_VALUE"""),"Rulers")</f>
        <v>Rulers</v>
      </c>
      <c r="E781" s="31">
        <f>IFERROR(__xludf.DUMMYFUNCTION("""COMPUTED_VALUE"""),57.493154893089454)</f>
        <v>57.49315489</v>
      </c>
      <c r="F781" s="31">
        <f>IFERROR(__xludf.DUMMYFUNCTION("""COMPUTED_VALUE"""),2.6164790559159816)</f>
        <v>2.616479056</v>
      </c>
      <c r="G781" s="31">
        <f>IFERROR(__xludf.DUMMYFUNCTION("""COMPUTED_VALUE"""),45.64129527221522)</f>
        <v>45.64129527</v>
      </c>
      <c r="H781" s="31">
        <f>IFERROR(__xludf.DUMMYFUNCTION("""COMPUTED_VALUE"""),-2.321284779017686)</f>
        <v>-2.321284779</v>
      </c>
      <c r="I781" s="54">
        <f>IFERROR(__xludf.DUMMYFUNCTION("""COMPUTED_VALUE"""),30.0)</f>
        <v>30</v>
      </c>
      <c r="J781" s="55">
        <f>IFERROR(__xludf.DUMMYFUNCTION("""COMPUTED_VALUE"""),19.0)</f>
        <v>19</v>
      </c>
      <c r="K781" s="54">
        <f>IFERROR(__xludf.DUMMYFUNCTION("""COMPUTED_VALUE"""),11.0)</f>
        <v>11</v>
      </c>
      <c r="L781" s="56">
        <f>IFERROR(__xludf.DUMMYFUNCTION("""COMPUTED_VALUE"""),0.6333333333333333)</f>
        <v>0.6333333333</v>
      </c>
      <c r="M781" s="56">
        <f>IFERROR(__xludf.DUMMYFUNCTION("""COMPUTED_VALUE"""),0.3492063492063492)</f>
        <v>0.3492063492</v>
      </c>
      <c r="N781" s="31">
        <f>IFERROR(__xludf.DUMMYFUNCTION("""COMPUTED_VALUE"""),370.76666666666665)</f>
        <v>370.7666667</v>
      </c>
      <c r="O781" s="57">
        <f>IFERROR(__xludf.DUMMYFUNCTION("""COMPUTED_VALUE"""),0.7333333333333333)</f>
        <v>0.7333333333</v>
      </c>
      <c r="P781" s="57">
        <f>IFERROR(__xludf.DUMMYFUNCTION("""COMPUTED_VALUE"""),0.7333333333333333)</f>
        <v>0.7333333333</v>
      </c>
      <c r="Q781" s="57">
        <f>IFERROR(__xludf.DUMMYFUNCTION("""COMPUTED_VALUE"""),1.7)</f>
        <v>1.7</v>
      </c>
      <c r="R781" s="57">
        <f>IFERROR(__xludf.DUMMYFUNCTION("""COMPUTED_VALUE"""),2.1)</f>
        <v>2.1</v>
      </c>
      <c r="S781" s="31">
        <f>IFERROR(__xludf.DUMMYFUNCTION("""COMPUTED_VALUE"""),345.5222222222221)</f>
        <v>345.5222222</v>
      </c>
      <c r="T781" s="57">
        <f>IFERROR(__xludf.DUMMYFUNCTION("""COMPUTED_VALUE"""),0.7)</f>
        <v>0.7</v>
      </c>
      <c r="U781" s="57">
        <f>IFERROR(__xludf.DUMMYFUNCTION("""COMPUTED_VALUE"""),0.4444444444444444)</f>
        <v>0.4444444444</v>
      </c>
      <c r="V781" s="57">
        <f>IFERROR(__xludf.DUMMYFUNCTION("""COMPUTED_VALUE"""),1.3555555555555554)</f>
        <v>1.355555556</v>
      </c>
      <c r="W781" s="57">
        <f>IFERROR(__xludf.DUMMYFUNCTION("""COMPUTED_VALUE"""),2.9222222222222225)</f>
        <v>2.922222222</v>
      </c>
      <c r="X781" s="31">
        <f>IFERROR(__xludf.DUMMYFUNCTION("""COMPUTED_VALUE"""),360.0435766059781)</f>
        <v>360.0435766</v>
      </c>
      <c r="Y781" s="57">
        <f>IFERROR(__xludf.DUMMYFUNCTION("""COMPUTED_VALUE"""),0.8361272422938023)</f>
        <v>0.8361272423</v>
      </c>
      <c r="Z781" s="57">
        <f>IFERROR(__xludf.DUMMYFUNCTION("""COMPUTED_VALUE"""),0.549829303742616)</f>
        <v>0.5498293037</v>
      </c>
      <c r="AA781" s="57">
        <f>IFERROR(__xludf.DUMMYFUNCTION("""COMPUTED_VALUE"""),1.374593400061712)</f>
        <v>1.3745934</v>
      </c>
      <c r="AB781" s="57">
        <f>IFERROR(__xludf.DUMMYFUNCTION("""COMPUTED_VALUE"""),2.6515929558353464)</f>
        <v>2.651592956</v>
      </c>
      <c r="AC781" s="31">
        <f>IFERROR(__xludf.DUMMYFUNCTION("""COMPUTED_VALUE"""),362.23474629997895)</f>
        <v>362.2347463</v>
      </c>
      <c r="AD781" s="57">
        <f>IFERROR(__xludf.DUMMYFUNCTION("""COMPUTED_VALUE"""),0.8388173081921232)</f>
        <v>0.8388173082</v>
      </c>
      <c r="AE781" s="57">
        <f>IFERROR(__xludf.DUMMYFUNCTION("""COMPUTED_VALUE"""),0.6249153338890789)</f>
        <v>0.6249153339</v>
      </c>
      <c r="AF781" s="57">
        <f>IFERROR(__xludf.DUMMYFUNCTION("""COMPUTED_VALUE"""),1.3366802517203824)</f>
        <v>1.336680252</v>
      </c>
      <c r="AG781" s="57">
        <f>IFERROR(__xludf.DUMMYFUNCTION("""COMPUTED_VALUE"""),2.6868697453524693)</f>
        <v>2.686869745</v>
      </c>
      <c r="AH781" s="57">
        <f>IFERROR(__xludf.DUMMYFUNCTION("""COMPUTED_VALUE"""),1.0235535669999534)</f>
        <v>1.023553567</v>
      </c>
      <c r="AI781" s="57">
        <f>IFERROR(__xludf.DUMMYFUNCTION("""COMPUTED_VALUE"""),0.8742467831450257)</f>
        <v>0.8742467831</v>
      </c>
      <c r="AJ781" s="57">
        <f>IFERROR(__xludf.DUMMYFUNCTION("""COMPUTED_VALUE"""),1.1734923013802991)</f>
        <v>1.173492301</v>
      </c>
      <c r="AK781" s="57">
        <f>IFERROR(__xludf.DUMMYFUNCTION("""COMPUTED_VALUE"""),1.271807523012332)</f>
        <v>1.271807523</v>
      </c>
      <c r="AL781" s="57">
        <f>IFERROR(__xludf.DUMMYFUNCTION("""COMPUTED_VALUE"""),0.781578639467883)</f>
        <v>0.7815786395</v>
      </c>
      <c r="AM781" s="57">
        <f>IFERROR(__xludf.DUMMYFUNCTION("""COMPUTED_VALUE"""),0.9596677865478274)</f>
        <v>0.9596677865</v>
      </c>
      <c r="AN781" s="57">
        <f>IFERROR(__xludf.DUMMYFUNCTION("""COMPUTED_VALUE"""),0.8371931502669909)</f>
        <v>0.8371931503</v>
      </c>
      <c r="AO781" s="57">
        <f>IFERROR(__xludf.DUMMYFUNCTION("""COMPUTED_VALUE"""),0.8083316793396957)</f>
        <v>0.8083316793</v>
      </c>
      <c r="AP781" s="35">
        <f>IFERROR(__xludf.DUMMYFUNCTION("""COMPUTED_VALUE"""),0.9861501993932883)</f>
        <v>0.9861501994</v>
      </c>
      <c r="AQ781" s="57">
        <f>IFERROR(__xludf.DUMMYFUNCTION("""COMPUTED_VALUE"""),1.10206289988488)</f>
        <v>1.1020629</v>
      </c>
      <c r="AR781" s="36" t="b">
        <f>IFERROR(__xludf.DUMMYFUNCTION("""COMPUTED_VALUE"""),TRUE)</f>
        <v>1</v>
      </c>
      <c r="AS781" s="57"/>
      <c r="AT781" s="37"/>
      <c r="AU781" s="30"/>
      <c r="AV781" s="30"/>
      <c r="AW781" s="30"/>
      <c r="AX781" s="30"/>
      <c r="AY781" s="30"/>
      <c r="AZ781" s="30"/>
    </row>
    <row r="782">
      <c r="A782" s="30" t="str">
        <f>IFERROR(__xludf.DUMMYFUNCTION("""COMPUTED_VALUE"""),"Veteran")</f>
        <v>Veteran</v>
      </c>
      <c r="B782" s="30" t="str">
        <f>IFERROR(__xludf.DUMMYFUNCTION("""COMPUTED_VALUE"""),"RSC005655")</f>
        <v>RSC005655</v>
      </c>
      <c r="C782" s="30" t="str">
        <f>IFERROR(__xludf.DUMMYFUNCTION("""COMPUTED_VALUE"""),"oneplayamaker")</f>
        <v>oneplayamaker</v>
      </c>
      <c r="D782" s="31" t="str">
        <f>IFERROR(__xludf.DUMMYFUNCTION("""COMPUTED_VALUE"""),"Paradox Paloma")</f>
        <v>Paradox Paloma</v>
      </c>
      <c r="E782" s="31">
        <f>IFERROR(__xludf.DUMMYFUNCTION("""COMPUTED_VALUE"""),57.40290494965405)</f>
        <v>57.40290495</v>
      </c>
      <c r="F782" s="31">
        <f>IFERROR(__xludf.DUMMYFUNCTION("""COMPUTED_VALUE"""),2.6070814916670604)</f>
        <v>2.607081492</v>
      </c>
      <c r="G782" s="31">
        <f>IFERROR(__xludf.DUMMYFUNCTION("""COMPUTED_VALUE"""),42.01966354972069)</f>
        <v>42.01966355</v>
      </c>
      <c r="H782" s="31">
        <f>IFERROR(__xludf.DUMMYFUNCTION("""COMPUTED_VALUE"""),-2.668215468332659)</f>
        <v>-2.668215468</v>
      </c>
      <c r="I782" s="54">
        <f>IFERROR(__xludf.DUMMYFUNCTION("""COMPUTED_VALUE"""),30.0)</f>
        <v>30</v>
      </c>
      <c r="J782" s="55">
        <f>IFERROR(__xludf.DUMMYFUNCTION("""COMPUTED_VALUE"""),21.0)</f>
        <v>21</v>
      </c>
      <c r="K782" s="54">
        <f>IFERROR(__xludf.DUMMYFUNCTION("""COMPUTED_VALUE"""),9.0)</f>
        <v>9</v>
      </c>
      <c r="L782" s="56">
        <f>IFERROR(__xludf.DUMMYFUNCTION("""COMPUTED_VALUE"""),0.7)</f>
        <v>0.7</v>
      </c>
      <c r="M782" s="56">
        <f>IFERROR(__xludf.DUMMYFUNCTION("""COMPUTED_VALUE"""),0.27848101265822783)</f>
        <v>0.2784810127</v>
      </c>
      <c r="N782" s="31">
        <f>IFERROR(__xludf.DUMMYFUNCTION("""COMPUTED_VALUE"""),345.0)</f>
        <v>345</v>
      </c>
      <c r="O782" s="57">
        <f>IFERROR(__xludf.DUMMYFUNCTION("""COMPUTED_VALUE"""),0.7333333333333333)</f>
        <v>0.7333333333</v>
      </c>
      <c r="P782" s="57">
        <f>IFERROR(__xludf.DUMMYFUNCTION("""COMPUTED_VALUE"""),0.7)</f>
        <v>0.7</v>
      </c>
      <c r="Q782" s="57">
        <f>IFERROR(__xludf.DUMMYFUNCTION("""COMPUTED_VALUE"""),1.2666666666666666)</f>
        <v>1.266666667</v>
      </c>
      <c r="R782" s="57">
        <f>IFERROR(__xludf.DUMMYFUNCTION("""COMPUTED_VALUE"""),2.6333333333333333)</f>
        <v>2.633333333</v>
      </c>
      <c r="S782" s="31">
        <f>IFERROR(__xludf.DUMMYFUNCTION("""COMPUTED_VALUE"""),363.0222222222222)</f>
        <v>363.0222222</v>
      </c>
      <c r="T782" s="57">
        <f>IFERROR(__xludf.DUMMYFUNCTION("""COMPUTED_VALUE"""),0.6999999999999998)</f>
        <v>0.7</v>
      </c>
      <c r="U782" s="57">
        <f>IFERROR(__xludf.DUMMYFUNCTION("""COMPUTED_VALUE"""),0.5555555555555556)</f>
        <v>0.5555555556</v>
      </c>
      <c r="V782" s="57">
        <f>IFERROR(__xludf.DUMMYFUNCTION("""COMPUTED_VALUE"""),1.6777777777777778)</f>
        <v>1.677777778</v>
      </c>
      <c r="W782" s="57">
        <f>IFERROR(__xludf.DUMMYFUNCTION("""COMPUTED_VALUE"""),2.4666666666666672)</f>
        <v>2.466666667</v>
      </c>
      <c r="X782" s="31">
        <f>IFERROR(__xludf.DUMMYFUNCTION("""COMPUTED_VALUE"""),352.816625811297)</f>
        <v>352.8166258</v>
      </c>
      <c r="Y782" s="57">
        <f>IFERROR(__xludf.DUMMYFUNCTION("""COMPUTED_VALUE"""),0.756973438000184)</f>
        <v>0.756973438</v>
      </c>
      <c r="Z782" s="57">
        <f>IFERROR(__xludf.DUMMYFUNCTION("""COMPUTED_VALUE"""),0.5383038256195597)</f>
        <v>0.5383038256</v>
      </c>
      <c r="AA782" s="57">
        <f>IFERROR(__xludf.DUMMYFUNCTION("""COMPUTED_VALUE"""),1.3968777229599592)</f>
        <v>1.396877723</v>
      </c>
      <c r="AB782" s="57">
        <f>IFERROR(__xludf.DUMMYFUNCTION("""COMPUTED_VALUE"""),2.512563524152329)</f>
        <v>2.512563524</v>
      </c>
      <c r="AC782" s="31">
        <f>IFERROR(__xludf.DUMMYFUNCTION("""COMPUTED_VALUE"""),350.3237760671161)</f>
        <v>350.3237761</v>
      </c>
      <c r="AD782" s="57">
        <f>IFERROR(__xludf.DUMMYFUNCTION("""COMPUTED_VALUE"""),0.7923943395716261)</f>
        <v>0.7923943396</v>
      </c>
      <c r="AE782" s="57">
        <f>IFERROR(__xludf.DUMMYFUNCTION("""COMPUTED_VALUE"""),0.5896646415968962)</f>
        <v>0.5896646416</v>
      </c>
      <c r="AF782" s="57">
        <f>IFERROR(__xludf.DUMMYFUNCTION("""COMPUTED_VALUE"""),1.26826684508777)</f>
        <v>1.268266845</v>
      </c>
      <c r="AG782" s="57">
        <f>IFERROR(__xludf.DUMMYFUNCTION("""COMPUTED_VALUE"""),2.6321727703174624)</f>
        <v>2.63217277</v>
      </c>
      <c r="AH782" s="57">
        <f>IFERROR(__xludf.DUMMYFUNCTION("""COMPUTED_VALUE"""),0.9848032693444816)</f>
        <v>0.9848032693</v>
      </c>
      <c r="AI782" s="57">
        <f>IFERROR(__xludf.DUMMYFUNCTION("""COMPUTED_VALUE"""),0.9254651335972167)</f>
        <v>0.9254651336</v>
      </c>
      <c r="AJ782" s="57">
        <f>IFERROR(__xludf.DUMMYFUNCTION("""COMPUTED_VALUE"""),1.1871154392169416)</f>
        <v>1.187115439</v>
      </c>
      <c r="AK782" s="57">
        <f>IFERROR(__xludf.DUMMYFUNCTION("""COMPUTED_VALUE"""),0.9987382951566531)</f>
        <v>0.9987382952</v>
      </c>
      <c r="AL782" s="57">
        <f>IFERROR(__xludf.DUMMYFUNCTION("""COMPUTED_VALUE"""),1.000440914452485)</f>
        <v>1.000440914</v>
      </c>
      <c r="AM782" s="57">
        <f>IFERROR(__xludf.DUMMYFUNCTION("""COMPUTED_VALUE"""),1.0289260643187026)</f>
        <v>1.028926064</v>
      </c>
      <c r="AN782" s="57">
        <f>IFERROR(__xludf.DUMMYFUNCTION("""COMPUTED_VALUE"""),0.9247352216866421)</f>
        <v>0.9247352217</v>
      </c>
      <c r="AO782" s="57">
        <f>IFERROR(__xludf.DUMMYFUNCTION("""COMPUTED_VALUE"""),1.032048313823778)</f>
        <v>1.032048314</v>
      </c>
      <c r="AP782" s="35">
        <f>IFERROR(__xludf.DUMMYFUNCTION("""COMPUTED_VALUE"""),1.2010913698463144)</f>
        <v>1.20109137</v>
      </c>
      <c r="AQ782" s="57">
        <f>IFERROR(__xludf.DUMMYFUNCTION("""COMPUTED_VALUE"""),0.9817330558831756)</f>
        <v>0.9817330559</v>
      </c>
      <c r="AR782" s="36" t="b">
        <f>IFERROR(__xludf.DUMMYFUNCTION("""COMPUTED_VALUE"""),TRUE)</f>
        <v>1</v>
      </c>
      <c r="AS782" s="57"/>
      <c r="AT782" s="37"/>
      <c r="AU782" s="30"/>
      <c r="AV782" s="30"/>
      <c r="AW782" s="30"/>
      <c r="AX782" s="30"/>
      <c r="AY782" s="30"/>
      <c r="AZ782" s="30"/>
    </row>
    <row r="783">
      <c r="A783" s="30" t="str">
        <f>IFERROR(__xludf.DUMMYFUNCTION("""COMPUTED_VALUE"""),"Veteran")</f>
        <v>Veteran</v>
      </c>
      <c r="B783" s="30" t="str">
        <f>IFERROR(__xludf.DUMMYFUNCTION("""COMPUTED_VALUE"""),"RSC007301")</f>
        <v>RSC007301</v>
      </c>
      <c r="C783" s="30" t="str">
        <f>IFERROR(__xludf.DUMMYFUNCTION("""COMPUTED_VALUE"""),"DeathFletch")</f>
        <v>DeathFletch</v>
      </c>
      <c r="D783" s="31" t="str">
        <f>IFERROR(__xludf.DUMMYFUNCTION("""COMPUTED_VALUE"""),"Azalea")</f>
        <v>Azalea</v>
      </c>
      <c r="E783" s="31">
        <f>IFERROR(__xludf.DUMMYFUNCTION("""COMPUTED_VALUE"""),57.310745666377066)</f>
        <v>57.31074567</v>
      </c>
      <c r="F783" s="31">
        <f>IFERROR(__xludf.DUMMYFUNCTION("""COMPUTED_VALUE"""),2.5975442613618402)</f>
        <v>2.597544261</v>
      </c>
      <c r="G783" s="31">
        <f>IFERROR(__xludf.DUMMYFUNCTION("""COMPUTED_VALUE"""),54.144029163214604)</f>
        <v>54.14402916</v>
      </c>
      <c r="H783" s="31">
        <f>IFERROR(__xludf.DUMMYFUNCTION("""COMPUTED_VALUE"""),2.3032322546517046)</f>
        <v>2.303232255</v>
      </c>
      <c r="I783" s="54">
        <f>IFERROR(__xludf.DUMMYFUNCTION("""COMPUTED_VALUE"""),30.0)</f>
        <v>30</v>
      </c>
      <c r="J783" s="55">
        <f>IFERROR(__xludf.DUMMYFUNCTION("""COMPUTED_VALUE"""),14.0)</f>
        <v>14</v>
      </c>
      <c r="K783" s="54">
        <f>IFERROR(__xludf.DUMMYFUNCTION("""COMPUTED_VALUE"""),16.0)</f>
        <v>16</v>
      </c>
      <c r="L783" s="56">
        <f>IFERROR(__xludf.DUMMYFUNCTION("""COMPUTED_VALUE"""),0.4666666666666667)</f>
        <v>0.4666666667</v>
      </c>
      <c r="M783" s="56">
        <f>IFERROR(__xludf.DUMMYFUNCTION("""COMPUTED_VALUE"""),0.3026315789473685)</f>
        <v>0.3026315789</v>
      </c>
      <c r="N783" s="31">
        <f>IFERROR(__xludf.DUMMYFUNCTION("""COMPUTED_VALUE"""),333.93333333333334)</f>
        <v>333.9333333</v>
      </c>
      <c r="O783" s="57">
        <f>IFERROR(__xludf.DUMMYFUNCTION("""COMPUTED_VALUE"""),0.7666666666666667)</f>
        <v>0.7666666667</v>
      </c>
      <c r="P783" s="57">
        <f>IFERROR(__xludf.DUMMYFUNCTION("""COMPUTED_VALUE"""),0.6333333333333333)</f>
        <v>0.6333333333</v>
      </c>
      <c r="Q783" s="57">
        <f>IFERROR(__xludf.DUMMYFUNCTION("""COMPUTED_VALUE"""),0.9666666666666667)</f>
        <v>0.9666666667</v>
      </c>
      <c r="R783" s="57">
        <f>IFERROR(__xludf.DUMMYFUNCTION("""COMPUTED_VALUE"""),2.533333333333333)</f>
        <v>2.533333333</v>
      </c>
      <c r="S783" s="31">
        <f>IFERROR(__xludf.DUMMYFUNCTION("""COMPUTED_VALUE"""),333.2666666666666)</f>
        <v>333.2666667</v>
      </c>
      <c r="T783" s="57">
        <f>IFERROR(__xludf.DUMMYFUNCTION("""COMPUTED_VALUE"""),0.7333333333333333)</f>
        <v>0.7333333333</v>
      </c>
      <c r="U783" s="57">
        <f>IFERROR(__xludf.DUMMYFUNCTION("""COMPUTED_VALUE"""),0.43333333333333335)</f>
        <v>0.4333333333</v>
      </c>
      <c r="V783" s="57">
        <f>IFERROR(__xludf.DUMMYFUNCTION("""COMPUTED_VALUE"""),1.422222222222223)</f>
        <v>1.422222222</v>
      </c>
      <c r="W783" s="57">
        <f>IFERROR(__xludf.DUMMYFUNCTION("""COMPUTED_VALUE"""),2.2777777777777777)</f>
        <v>2.277777778</v>
      </c>
      <c r="X783" s="31">
        <f>IFERROR(__xludf.DUMMYFUNCTION("""COMPUTED_VALUE"""),345.4183948846383)</f>
        <v>345.4183949</v>
      </c>
      <c r="Y783" s="57">
        <f>IFERROR(__xludf.DUMMYFUNCTION("""COMPUTED_VALUE"""),0.7339354233796448)</f>
        <v>0.7339354234</v>
      </c>
      <c r="Z783" s="57">
        <f>IFERROR(__xludf.DUMMYFUNCTION("""COMPUTED_VALUE"""),0.5331960767161222)</f>
        <v>0.5331960767</v>
      </c>
      <c r="AA783" s="57">
        <f>IFERROR(__xludf.DUMMYFUNCTION("""COMPUTED_VALUE"""),1.420271879699569)</f>
        <v>1.42027188</v>
      </c>
      <c r="AB783" s="57">
        <f>IFERROR(__xludf.DUMMYFUNCTION("""COMPUTED_VALUE"""),2.515813138214582)</f>
        <v>2.515813138</v>
      </c>
      <c r="AC783" s="31">
        <f>IFERROR(__xludf.DUMMYFUNCTION("""COMPUTED_VALUE"""),351.8977365043519)</f>
        <v>351.8977365</v>
      </c>
      <c r="AD783" s="57">
        <f>IFERROR(__xludf.DUMMYFUNCTION("""COMPUTED_VALUE"""),0.7946895459959239)</f>
        <v>0.794689546</v>
      </c>
      <c r="AE783" s="57">
        <f>IFERROR(__xludf.DUMMYFUNCTION("""COMPUTED_VALUE"""),0.5807983362199126)</f>
        <v>0.5807983362</v>
      </c>
      <c r="AF783" s="57">
        <f>IFERROR(__xludf.DUMMYFUNCTION("""COMPUTED_VALUE"""),1.3524218471452611)</f>
        <v>1.352421847</v>
      </c>
      <c r="AG783" s="57">
        <f>IFERROR(__xludf.DUMMYFUNCTION("""COMPUTED_VALUE"""),2.6626260802023705)</f>
        <v>2.66262608</v>
      </c>
      <c r="AH783" s="57">
        <f>IFERROR(__xludf.DUMMYFUNCTION("""COMPUTED_VALUE"""),0.9489499325870305)</f>
        <v>0.9489499326</v>
      </c>
      <c r="AI783" s="57">
        <f>IFERROR(__xludf.DUMMYFUNCTION("""COMPUTED_VALUE"""),0.9647373248201746)</f>
        <v>0.9647373248</v>
      </c>
      <c r="AJ783" s="57">
        <f>IFERROR(__xludf.DUMMYFUNCTION("""COMPUTED_VALUE"""),1.0904530778365193)</f>
        <v>1.090453078</v>
      </c>
      <c r="AK783" s="57">
        <f>IFERROR(__xludf.DUMMYFUNCTION("""COMPUTED_VALUE"""),0.7147671184897968)</f>
        <v>0.7147671185</v>
      </c>
      <c r="AL783" s="57">
        <f>IFERROR(__xludf.DUMMYFUNCTION("""COMPUTED_VALUE"""),0.9514416433346096)</f>
        <v>0.9514416433</v>
      </c>
      <c r="AM783" s="57">
        <f>IFERROR(__xludf.DUMMYFUNCTION("""COMPUTED_VALUE"""),0.9648202631998504)</f>
        <v>0.9648202632</v>
      </c>
      <c r="AN783" s="57">
        <f>IFERROR(__xludf.DUMMYFUNCTION("""COMPUTED_VALUE"""),0.9991796416590182)</f>
        <v>0.9991796417</v>
      </c>
      <c r="AO783" s="57">
        <f>IFERROR(__xludf.DUMMYFUNCTION("""COMPUTED_VALUE"""),0.8127091557052911)</f>
        <v>0.8127091557</v>
      </c>
      <c r="AP783" s="35">
        <f>IFERROR(__xludf.DUMMYFUNCTION("""COMPUTED_VALUE"""),1.0013732177272048)</f>
        <v>1.001373218</v>
      </c>
      <c r="AQ783" s="57">
        <f>IFERROR(__xludf.DUMMYFUNCTION("""COMPUTED_VALUE"""),0.9053843241292027)</f>
        <v>0.9053843241</v>
      </c>
      <c r="AR783" s="36" t="b">
        <f>IFERROR(__xludf.DUMMYFUNCTION("""COMPUTED_VALUE"""),TRUE)</f>
        <v>1</v>
      </c>
      <c r="AS783" s="57"/>
      <c r="AT783" s="37"/>
      <c r="AU783" s="30"/>
      <c r="AV783" s="30"/>
      <c r="AW783" s="30"/>
      <c r="AX783" s="30"/>
      <c r="AY783" s="30"/>
      <c r="AZ783" s="30"/>
    </row>
    <row r="784">
      <c r="A784" s="30" t="str">
        <f>IFERROR(__xludf.DUMMYFUNCTION("""COMPUTED_VALUE"""),"Veteran")</f>
        <v>Veteran</v>
      </c>
      <c r="B784" s="30" t="str">
        <f>IFERROR(__xludf.DUMMYFUNCTION("""COMPUTED_VALUE"""),"RSC000550")</f>
        <v>RSC000550</v>
      </c>
      <c r="C784" s="30" t="str">
        <f>IFERROR(__xludf.DUMMYFUNCTION("""COMPUTED_VALUE"""),"ARJ")</f>
        <v>ARJ</v>
      </c>
      <c r="D784" s="31" t="str">
        <f>IFERROR(__xludf.DUMMYFUNCTION("""COMPUTED_VALUE"""),"Giraffes")</f>
        <v>Giraffes</v>
      </c>
      <c r="E784" s="31">
        <f>IFERROR(__xludf.DUMMYFUNCTION("""COMPUTED_VALUE"""),56.48771112900313)</f>
        <v>56.48771113</v>
      </c>
      <c r="F784" s="31">
        <f>IFERROR(__xludf.DUMMYFUNCTION("""COMPUTED_VALUE"""),2.5149546532716567)</f>
        <v>2.514954653</v>
      </c>
      <c r="G784" s="31">
        <f>IFERROR(__xludf.DUMMYFUNCTION("""COMPUTED_VALUE"""),54.072593956089854)</f>
        <v>54.07259396</v>
      </c>
      <c r="H784" s="31">
        <f>IFERROR(__xludf.DUMMYFUNCTION("""COMPUTED_VALUE"""),2.297281526918494)</f>
        <v>2.297281527</v>
      </c>
      <c r="I784" s="54">
        <f>IFERROR(__xludf.DUMMYFUNCTION("""COMPUTED_VALUE"""),44.0)</f>
        <v>44</v>
      </c>
      <c r="J784" s="55">
        <f>IFERROR(__xludf.DUMMYFUNCTION("""COMPUTED_VALUE"""),21.0)</f>
        <v>21</v>
      </c>
      <c r="K784" s="54">
        <f>IFERROR(__xludf.DUMMYFUNCTION("""COMPUTED_VALUE"""),23.0)</f>
        <v>23</v>
      </c>
      <c r="L784" s="56">
        <f>IFERROR(__xludf.DUMMYFUNCTION("""COMPUTED_VALUE"""),0.4772727272727273)</f>
        <v>0.4772727273</v>
      </c>
      <c r="M784" s="56">
        <f>IFERROR(__xludf.DUMMYFUNCTION("""COMPUTED_VALUE"""),0.32758620689655177)</f>
        <v>0.3275862069</v>
      </c>
      <c r="N784" s="31">
        <f>IFERROR(__xludf.DUMMYFUNCTION("""COMPUTED_VALUE"""),363.40909090909093)</f>
        <v>363.4090909</v>
      </c>
      <c r="O784" s="57">
        <f>IFERROR(__xludf.DUMMYFUNCTION("""COMPUTED_VALUE"""),0.8636363636363636)</f>
        <v>0.8636363636</v>
      </c>
      <c r="P784" s="57">
        <f>IFERROR(__xludf.DUMMYFUNCTION("""COMPUTED_VALUE"""),0.5681818181818182)</f>
        <v>0.5681818182</v>
      </c>
      <c r="Q784" s="57">
        <f>IFERROR(__xludf.DUMMYFUNCTION("""COMPUTED_VALUE"""),1.4090909090909092)</f>
        <v>1.409090909</v>
      </c>
      <c r="R784" s="57">
        <f>IFERROR(__xludf.DUMMYFUNCTION("""COMPUTED_VALUE"""),2.6363636363636362)</f>
        <v>2.636363636</v>
      </c>
      <c r="S784" s="31">
        <f>IFERROR(__xludf.DUMMYFUNCTION("""COMPUTED_VALUE"""),352.93181818181824)</f>
        <v>352.9318182</v>
      </c>
      <c r="T784" s="57">
        <f>IFERROR(__xludf.DUMMYFUNCTION("""COMPUTED_VALUE"""),0.8333333333333333)</f>
        <v>0.8333333333</v>
      </c>
      <c r="U784" s="57">
        <f>IFERROR(__xludf.DUMMYFUNCTION("""COMPUTED_VALUE"""),0.5984848484848487)</f>
        <v>0.5984848485</v>
      </c>
      <c r="V784" s="57">
        <f>IFERROR(__xludf.DUMMYFUNCTION("""COMPUTED_VALUE"""),1.3484848484848486)</f>
        <v>1.348484848</v>
      </c>
      <c r="W784" s="57">
        <f>IFERROR(__xludf.DUMMYFUNCTION("""COMPUTED_VALUE"""),2.621212121212121)</f>
        <v>2.621212121</v>
      </c>
      <c r="X784" s="31">
        <f>IFERROR(__xludf.DUMMYFUNCTION("""COMPUTED_VALUE"""),345.4507336893676)</f>
        <v>345.4507337</v>
      </c>
      <c r="Y784" s="57">
        <f>IFERROR(__xludf.DUMMYFUNCTION("""COMPUTED_VALUE"""),0.7416363148283366)</f>
        <v>0.7416363148</v>
      </c>
      <c r="Z784" s="57">
        <f>IFERROR(__xludf.DUMMYFUNCTION("""COMPUTED_VALUE"""),0.5529727887861954)</f>
        <v>0.5529727888</v>
      </c>
      <c r="AA784" s="57">
        <f>IFERROR(__xludf.DUMMYFUNCTION("""COMPUTED_VALUE"""),1.3527090626977925)</f>
        <v>1.352709063</v>
      </c>
      <c r="AB784" s="57">
        <f>IFERROR(__xludf.DUMMYFUNCTION("""COMPUTED_VALUE"""),2.5778900902327337)</f>
        <v>2.57789009</v>
      </c>
      <c r="AC784" s="31">
        <f>IFERROR(__xludf.DUMMYFUNCTION("""COMPUTED_VALUE"""),353.9369023193656)</f>
        <v>353.9369023</v>
      </c>
      <c r="AD784" s="57">
        <f>IFERROR(__xludf.DUMMYFUNCTION("""COMPUTED_VALUE"""),0.7787186284971225)</f>
        <v>0.7787186285</v>
      </c>
      <c r="AE784" s="57">
        <f>IFERROR(__xludf.DUMMYFUNCTION("""COMPUTED_VALUE"""),0.5791799709745723)</f>
        <v>0.579179971</v>
      </c>
      <c r="AF784" s="57">
        <f>IFERROR(__xludf.DUMMYFUNCTION("""COMPUTED_VALUE"""),1.379116789694221)</f>
        <v>1.37911679</v>
      </c>
      <c r="AG784" s="57">
        <f>IFERROR(__xludf.DUMMYFUNCTION("""COMPUTED_VALUE"""),2.618278128099799)</f>
        <v>2.618278128</v>
      </c>
      <c r="AH784" s="57">
        <f>IFERROR(__xludf.DUMMYFUNCTION("""COMPUTED_VALUE"""),1.026762365064659)</f>
        <v>1.026762365</v>
      </c>
      <c r="AI784" s="57">
        <f>IFERROR(__xludf.DUMMYFUNCTION("""COMPUTED_VALUE"""),1.109048033566536)</f>
        <v>1.109048034</v>
      </c>
      <c r="AJ784" s="57">
        <f>IFERROR(__xludf.DUMMYFUNCTION("""COMPUTED_VALUE"""),0.9810108198765096)</f>
        <v>0.9810108199</v>
      </c>
      <c r="AK784" s="57">
        <f>IFERROR(__xludf.DUMMYFUNCTION("""COMPUTED_VALUE"""),1.0217342864800698)</f>
        <v>1.021734286</v>
      </c>
      <c r="AL784" s="57">
        <f>IFERROR(__xludf.DUMMYFUNCTION("""COMPUTED_VALUE"""),1.006907405317159)</f>
        <v>1.006907405</v>
      </c>
      <c r="AM784" s="57">
        <f>IFERROR(__xludf.DUMMYFUNCTION("""COMPUTED_VALUE"""),1.0216560098528484)</f>
        <v>1.02165601</v>
      </c>
      <c r="AN784" s="57">
        <f>IFERROR(__xludf.DUMMYFUNCTION("""COMPUTED_VALUE"""),1.123641489327854)</f>
        <v>1.123641489</v>
      </c>
      <c r="AO784" s="57">
        <f>IFERROR(__xludf.DUMMYFUNCTION("""COMPUTED_VALUE"""),1.0823043386973068)</f>
        <v>1.082304339</v>
      </c>
      <c r="AP784" s="35">
        <f>IFERROR(__xludf.DUMMYFUNCTION("""COMPUTED_VALUE"""),0.9968772189605064)</f>
        <v>0.996877219</v>
      </c>
      <c r="AQ784" s="57">
        <f>IFERROR(__xludf.DUMMYFUNCTION("""COMPUTED_VALUE"""),1.0168052280985633)</f>
        <v>1.016805228</v>
      </c>
      <c r="AR784" s="36" t="b">
        <f>IFERROR(__xludf.DUMMYFUNCTION("""COMPUTED_VALUE"""),TRUE)</f>
        <v>1</v>
      </c>
      <c r="AS784" s="57"/>
      <c r="AT784" s="37"/>
      <c r="AU784" s="30"/>
      <c r="AV784" s="30"/>
      <c r="AW784" s="30"/>
      <c r="AX784" s="30"/>
      <c r="AY784" s="30"/>
      <c r="AZ784" s="30"/>
    </row>
    <row r="785">
      <c r="A785" s="30" t="str">
        <f>IFERROR(__xludf.DUMMYFUNCTION("""COMPUTED_VALUE"""),"Veteran")</f>
        <v>Veteran</v>
      </c>
      <c r="B785" s="30" t="str">
        <f>IFERROR(__xludf.DUMMYFUNCTION("""COMPUTED_VALUE"""),"RSC005210")</f>
        <v>RSC005210</v>
      </c>
      <c r="C785" s="30" t="str">
        <f>IFERROR(__xludf.DUMMYFUNCTION("""COMPUTED_VALUE"""),"baldmanstreamer")</f>
        <v>baldmanstreamer</v>
      </c>
      <c r="D785" s="31"/>
      <c r="E785" s="31">
        <f>IFERROR(__xludf.DUMMYFUNCTION("""COMPUTED_VALUE"""),56.48727176132292)</f>
        <v>56.48727176</v>
      </c>
      <c r="F785" s="31">
        <f>IFERROR(__xludf.DUMMYFUNCTION("""COMPUTED_VALUE"""),2.514911775879176)</f>
        <v>2.514911776</v>
      </c>
      <c r="G785" s="31">
        <f>IFERROR(__xludf.DUMMYFUNCTION("""COMPUTED_VALUE"""),58.95001247519535)</f>
        <v>58.95001248</v>
      </c>
      <c r="H785" s="31">
        <f>IFERROR(__xludf.DUMMYFUNCTION("""COMPUTED_VALUE"""),2.776455336245366)</f>
        <v>2.776455336</v>
      </c>
      <c r="I785" s="54">
        <f>IFERROR(__xludf.DUMMYFUNCTION("""COMPUTED_VALUE"""),27.0)</f>
        <v>27</v>
      </c>
      <c r="J785" s="55">
        <f>IFERROR(__xludf.DUMMYFUNCTION("""COMPUTED_VALUE"""),13.0)</f>
        <v>13</v>
      </c>
      <c r="K785" s="54">
        <f>IFERROR(__xludf.DUMMYFUNCTION("""COMPUTED_VALUE"""),14.0)</f>
        <v>14</v>
      </c>
      <c r="L785" s="56">
        <f>IFERROR(__xludf.DUMMYFUNCTION("""COMPUTED_VALUE"""),0.48148148148148145)</f>
        <v>0.4814814815</v>
      </c>
      <c r="M785" s="56">
        <f>IFERROR(__xludf.DUMMYFUNCTION("""COMPUTED_VALUE"""),0.373134328358209)</f>
        <v>0.3731343284</v>
      </c>
      <c r="N785" s="31">
        <f>IFERROR(__xludf.DUMMYFUNCTION("""COMPUTED_VALUE"""),356.1111111111111)</f>
        <v>356.1111111</v>
      </c>
      <c r="O785" s="57">
        <f>IFERROR(__xludf.DUMMYFUNCTION("""COMPUTED_VALUE"""),0.9259259259259259)</f>
        <v>0.9259259259</v>
      </c>
      <c r="P785" s="57">
        <f>IFERROR(__xludf.DUMMYFUNCTION("""COMPUTED_VALUE"""),0.5185185185185185)</f>
        <v>0.5185185185</v>
      </c>
      <c r="Q785" s="57">
        <f>IFERROR(__xludf.DUMMYFUNCTION("""COMPUTED_VALUE"""),1.2962962962962963)</f>
        <v>1.296296296</v>
      </c>
      <c r="R785" s="57">
        <f>IFERROR(__xludf.DUMMYFUNCTION("""COMPUTED_VALUE"""),2.4814814814814814)</f>
        <v>2.481481481</v>
      </c>
      <c r="S785" s="31">
        <f>IFERROR(__xludf.DUMMYFUNCTION("""COMPUTED_VALUE"""),343.98765432098764)</f>
        <v>343.9876543</v>
      </c>
      <c r="T785" s="57">
        <f>IFERROR(__xludf.DUMMYFUNCTION("""COMPUTED_VALUE"""),0.8395061728395062)</f>
        <v>0.8395061728</v>
      </c>
      <c r="U785" s="57">
        <f>IFERROR(__xludf.DUMMYFUNCTION("""COMPUTED_VALUE"""),0.6296296296296297)</f>
        <v>0.6296296296</v>
      </c>
      <c r="V785" s="57">
        <f>IFERROR(__xludf.DUMMYFUNCTION("""COMPUTED_VALUE"""),1.1111111111111112)</f>
        <v>1.111111111</v>
      </c>
      <c r="W785" s="57">
        <f>IFERROR(__xludf.DUMMYFUNCTION("""COMPUTED_VALUE"""),2.6419753086419755)</f>
        <v>2.641975309</v>
      </c>
      <c r="X785" s="31">
        <f>IFERROR(__xludf.DUMMYFUNCTION("""COMPUTED_VALUE"""),348.89920675836777)</f>
        <v>348.8992068</v>
      </c>
      <c r="Y785" s="57">
        <f>IFERROR(__xludf.DUMMYFUNCTION("""COMPUTED_VALUE"""),0.7595596127274891)</f>
        <v>0.7595596127</v>
      </c>
      <c r="Z785" s="57">
        <f>IFERROR(__xludf.DUMMYFUNCTION("""COMPUTED_VALUE"""),0.5546942642237881)</f>
        <v>0.5546942642</v>
      </c>
      <c r="AA785" s="57">
        <f>IFERROR(__xludf.DUMMYFUNCTION("""COMPUTED_VALUE"""),1.374792507764241)</f>
        <v>1.374792508</v>
      </c>
      <c r="AB785" s="57">
        <f>IFERROR(__xludf.DUMMYFUNCTION("""COMPUTED_VALUE"""),2.5056236001378296)</f>
        <v>2.5056236</v>
      </c>
      <c r="AC785" s="31">
        <f>IFERROR(__xludf.DUMMYFUNCTION("""COMPUTED_VALUE"""),347.28567448124494)</f>
        <v>347.2856745</v>
      </c>
      <c r="AD785" s="57">
        <f>IFERROR(__xludf.DUMMYFUNCTION("""COMPUTED_VALUE"""),0.7579118073942274)</f>
        <v>0.7579118074</v>
      </c>
      <c r="AE785" s="57">
        <f>IFERROR(__xludf.DUMMYFUNCTION("""COMPUTED_VALUE"""),0.5452467978532062)</f>
        <v>0.5452467979</v>
      </c>
      <c r="AF785" s="57">
        <f>IFERROR(__xludf.DUMMYFUNCTION("""COMPUTED_VALUE"""),1.3555539985594043)</f>
        <v>1.355553999</v>
      </c>
      <c r="AG785" s="57">
        <f>IFERROR(__xludf.DUMMYFUNCTION("""COMPUTED_VALUE"""),2.57526501840595)</f>
        <v>2.575265018</v>
      </c>
      <c r="AH785" s="57">
        <f>IFERROR(__xludf.DUMMYFUNCTION("""COMPUTED_VALUE"""),1.0254126135293344)</f>
        <v>1.025412614</v>
      </c>
      <c r="AI785" s="57">
        <f>IFERROR(__xludf.DUMMYFUNCTION("""COMPUTED_VALUE"""),1.2216803022364133)</f>
        <v>1.221680302</v>
      </c>
      <c r="AJ785" s="57">
        <f>IFERROR(__xludf.DUMMYFUNCTION("""COMPUTED_VALUE"""),0.9509794840796413)</f>
        <v>0.9509794841</v>
      </c>
      <c r="AK785" s="57">
        <f>IFERROR(__xludf.DUMMYFUNCTION("""COMPUTED_VALUE"""),0.9562852513982598)</f>
        <v>0.9562852514</v>
      </c>
      <c r="AL785" s="57">
        <f>IFERROR(__xludf.DUMMYFUNCTION("""COMPUTED_VALUE"""),0.9635829569950362)</f>
        <v>0.963582957</v>
      </c>
      <c r="AM785" s="57">
        <f>IFERROR(__xludf.DUMMYFUNCTION("""COMPUTED_VALUE"""),0.9859227182457263)</f>
        <v>0.9859227182</v>
      </c>
      <c r="AN785" s="57">
        <f>IFERROR(__xludf.DUMMYFUNCTION("""COMPUTED_VALUE"""),1.1052538323159897)</f>
        <v>1.105253832</v>
      </c>
      <c r="AO785" s="57">
        <f>IFERROR(__xludf.DUMMYFUNCTION("""COMPUTED_VALUE"""),1.1350930958529064)</f>
        <v>1.135093096</v>
      </c>
      <c r="AP785" s="35">
        <f>IFERROR(__xludf.DUMMYFUNCTION("""COMPUTED_VALUE"""),0.8082027686622019)</f>
        <v>0.8082027687</v>
      </c>
      <c r="AQ785" s="57">
        <f>IFERROR(__xludf.DUMMYFUNCTION("""COMPUTED_VALUE"""),1.0544182727591829)</f>
        <v>1.054418273</v>
      </c>
      <c r="AR785" s="36" t="b">
        <f>IFERROR(__xludf.DUMMYFUNCTION("""COMPUTED_VALUE"""),TRUE)</f>
        <v>1</v>
      </c>
      <c r="AS785" s="57"/>
      <c r="AT785" s="37"/>
      <c r="AU785" s="30"/>
      <c r="AV785" s="30"/>
      <c r="AW785" s="30"/>
      <c r="AX785" s="30"/>
      <c r="AY785" s="30"/>
      <c r="AZ785" s="30"/>
    </row>
    <row r="786">
      <c r="A786" s="30" t="str">
        <f>IFERROR(__xludf.DUMMYFUNCTION("""COMPUTED_VALUE"""),"Veteran")</f>
        <v>Veteran</v>
      </c>
      <c r="B786" s="30" t="str">
        <f>IFERROR(__xludf.DUMMYFUNCTION("""COMPUTED_VALUE"""),"RSC002917")</f>
        <v>RSC002917</v>
      </c>
      <c r="C786" s="30" t="str">
        <f>IFERROR(__xludf.DUMMYFUNCTION("""COMPUTED_VALUE"""),"Arbartenn")</f>
        <v>Arbartenn</v>
      </c>
      <c r="D786" s="31" t="str">
        <f>IFERROR(__xludf.DUMMYFUNCTION("""COMPUTED_VALUE"""),"Grizzly Bears")</f>
        <v>Grizzly Bears</v>
      </c>
      <c r="E786" s="31">
        <f>IFERROR(__xludf.DUMMYFUNCTION("""COMPUTED_VALUE"""),56.07784155103354)</f>
        <v>56.07784155</v>
      </c>
      <c r="F786" s="31">
        <f>IFERROR(__xludf.DUMMYFUNCTION("""COMPUTED_VALUE"""),2.475500749202402)</f>
        <v>2.475500749</v>
      </c>
      <c r="G786" s="31">
        <f>IFERROR(__xludf.DUMMYFUNCTION("""COMPUTED_VALUE"""),45.416709556587335)</f>
        <v>45.41670956</v>
      </c>
      <c r="H786" s="31">
        <f>IFERROR(__xludf.DUMMYFUNCTION("""COMPUTED_VALUE"""),-2.340446421212509)</f>
        <v>-2.340446421</v>
      </c>
      <c r="I786" s="54">
        <f>IFERROR(__xludf.DUMMYFUNCTION("""COMPUTED_VALUE"""),34.0)</f>
        <v>34</v>
      </c>
      <c r="J786" s="55">
        <f>IFERROR(__xludf.DUMMYFUNCTION("""COMPUTED_VALUE"""),20.0)</f>
        <v>20</v>
      </c>
      <c r="K786" s="54">
        <f>IFERROR(__xludf.DUMMYFUNCTION("""COMPUTED_VALUE"""),14.0)</f>
        <v>14</v>
      </c>
      <c r="L786" s="56">
        <f>IFERROR(__xludf.DUMMYFUNCTION("""COMPUTED_VALUE"""),0.5882352941176471)</f>
        <v>0.5882352941</v>
      </c>
      <c r="M786" s="56">
        <f>IFERROR(__xludf.DUMMYFUNCTION("""COMPUTED_VALUE"""),0.23958333333333334)</f>
        <v>0.2395833333</v>
      </c>
      <c r="N786" s="31">
        <f>IFERROR(__xludf.DUMMYFUNCTION("""COMPUTED_VALUE"""),340.97058823529414)</f>
        <v>340.9705882</v>
      </c>
      <c r="O786" s="57">
        <f>IFERROR(__xludf.DUMMYFUNCTION("""COMPUTED_VALUE"""),0.6764705882352942)</f>
        <v>0.6764705882</v>
      </c>
      <c r="P786" s="57">
        <f>IFERROR(__xludf.DUMMYFUNCTION("""COMPUTED_VALUE"""),0.7647058823529411)</f>
        <v>0.7647058824</v>
      </c>
      <c r="Q786" s="57">
        <f>IFERROR(__xludf.DUMMYFUNCTION("""COMPUTED_VALUE"""),1.2058823529411764)</f>
        <v>1.205882353</v>
      </c>
      <c r="R786" s="57">
        <f>IFERROR(__xludf.DUMMYFUNCTION("""COMPUTED_VALUE"""),2.823529411764706)</f>
        <v>2.823529412</v>
      </c>
      <c r="S786" s="31">
        <f>IFERROR(__xludf.DUMMYFUNCTION("""COMPUTED_VALUE"""),358.1764705882353)</f>
        <v>358.1764706</v>
      </c>
      <c r="T786" s="57">
        <f>IFERROR(__xludf.DUMMYFUNCTION("""COMPUTED_VALUE"""),0.7352941176470588)</f>
        <v>0.7352941176</v>
      </c>
      <c r="U786" s="57">
        <f>IFERROR(__xludf.DUMMYFUNCTION("""COMPUTED_VALUE"""),0.4901960784313725)</f>
        <v>0.4901960784</v>
      </c>
      <c r="V786" s="57">
        <f>IFERROR(__xludf.DUMMYFUNCTION("""COMPUTED_VALUE"""),1.607843137254902)</f>
        <v>1.607843137</v>
      </c>
      <c r="W786" s="57">
        <f>IFERROR(__xludf.DUMMYFUNCTION("""COMPUTED_VALUE"""),2.460784313725491)</f>
        <v>2.460784314</v>
      </c>
      <c r="X786" s="31">
        <f>IFERROR(__xludf.DUMMYFUNCTION("""COMPUTED_VALUE"""),356.78308244938074)</f>
        <v>356.7830824</v>
      </c>
      <c r="Y786" s="57">
        <f>IFERROR(__xludf.DUMMYFUNCTION("""COMPUTED_VALUE"""),0.7526063926194221)</f>
        <v>0.7526063926</v>
      </c>
      <c r="Z786" s="57">
        <f>IFERROR(__xludf.DUMMYFUNCTION("""COMPUTED_VALUE"""),0.5535940265243353)</f>
        <v>0.5535940265</v>
      </c>
      <c r="AA786" s="57">
        <f>IFERROR(__xludf.DUMMYFUNCTION("""COMPUTED_VALUE"""),1.5325222264490295)</f>
        <v>1.532522226</v>
      </c>
      <c r="AB786" s="57">
        <f>IFERROR(__xludf.DUMMYFUNCTION("""COMPUTED_VALUE"""),2.5007071326073493)</f>
        <v>2.500707133</v>
      </c>
      <c r="AC786" s="31">
        <f>IFERROR(__xludf.DUMMYFUNCTION("""COMPUTED_VALUE"""),365.63415667310454)</f>
        <v>365.6341567</v>
      </c>
      <c r="AD786" s="57">
        <f>IFERROR(__xludf.DUMMYFUNCTION("""COMPUTED_VALUE"""),0.8693037143972612)</f>
        <v>0.8693037144</v>
      </c>
      <c r="AE786" s="57">
        <f>IFERROR(__xludf.DUMMYFUNCTION("""COMPUTED_VALUE"""),0.6465053452326709)</f>
        <v>0.6465053452</v>
      </c>
      <c r="AF786" s="57">
        <f>IFERROR(__xludf.DUMMYFUNCTION("""COMPUTED_VALUE"""),1.2989389815796244)</f>
        <v>1.298938982</v>
      </c>
      <c r="AG786" s="57">
        <f>IFERROR(__xludf.DUMMYFUNCTION("""COMPUTED_VALUE"""),2.854788693633707)</f>
        <v>2.854788694</v>
      </c>
      <c r="AH786" s="57">
        <f>IFERROR(__xludf.DUMMYFUNCTION("""COMPUTED_VALUE"""),0.9325457756402642)</f>
        <v>0.9325457756</v>
      </c>
      <c r="AI786" s="57">
        <f>IFERROR(__xludf.DUMMYFUNCTION("""COMPUTED_VALUE"""),0.7781751958857447)</f>
        <v>0.7781751959</v>
      </c>
      <c r="AJ786" s="57">
        <f>IFERROR(__xludf.DUMMYFUNCTION("""COMPUTED_VALUE"""),1.1828299456329028)</f>
        <v>1.182829946</v>
      </c>
      <c r="AK786" s="57">
        <f>IFERROR(__xludf.DUMMYFUNCTION("""COMPUTED_VALUE"""),0.928359507291649)</f>
        <v>0.9283595073</v>
      </c>
      <c r="AL786" s="57">
        <f>IFERROR(__xludf.DUMMYFUNCTION("""COMPUTED_VALUE"""),0.9890502292030544)</f>
        <v>0.9890502292</v>
      </c>
      <c r="AM786" s="57">
        <f>IFERROR(__xludf.DUMMYFUNCTION("""COMPUTED_VALUE"""),1.003905420989383)</f>
        <v>1.003905421</v>
      </c>
      <c r="AN786" s="57">
        <f>IFERROR(__xludf.DUMMYFUNCTION("""COMPUTED_VALUE"""),0.9769969068265438)</f>
        <v>0.9769969068</v>
      </c>
      <c r="AO786" s="57">
        <f>IFERROR(__xludf.DUMMYFUNCTION("""COMPUTED_VALUE"""),0.8854793493871345)</f>
        <v>0.8854793494</v>
      </c>
      <c r="AP786" s="35">
        <f>IFERROR(__xludf.DUMMYFUNCTION("""COMPUTED_VALUE"""),1.049148331753985)</f>
        <v>1.049148332</v>
      </c>
      <c r="AQ786" s="57">
        <f>IFERROR(__xludf.DUMMYFUNCTION("""COMPUTED_VALUE"""),0.9840353880863157)</f>
        <v>0.9840353881</v>
      </c>
      <c r="AR786" s="36" t="b">
        <f>IFERROR(__xludf.DUMMYFUNCTION("""COMPUTED_VALUE"""),TRUE)</f>
        <v>1</v>
      </c>
      <c r="AS786" s="57"/>
      <c r="AT786" s="37"/>
      <c r="AU786" s="30"/>
      <c r="AV786" s="30"/>
      <c r="AW786" s="30"/>
      <c r="AX786" s="30"/>
      <c r="AY786" s="30"/>
      <c r="AZ786" s="30"/>
    </row>
    <row r="787">
      <c r="A787" s="30" t="str">
        <f>IFERROR(__xludf.DUMMYFUNCTION("""COMPUTED_VALUE"""),"Veteran")</f>
        <v>Veteran</v>
      </c>
      <c r="B787" s="30" t="str">
        <f>IFERROR(__xludf.DUMMYFUNCTION("""COMPUTED_VALUE"""),"RSC007383")</f>
        <v>RSC007383</v>
      </c>
      <c r="C787" s="30" t="str">
        <f>IFERROR(__xludf.DUMMYFUNCTION("""COMPUTED_VALUE"""),"ttv. blestbb")</f>
        <v>ttv. blestbb</v>
      </c>
      <c r="D787" s="31" t="str">
        <f>IFERROR(__xludf.DUMMYFUNCTION("""COMPUTED_VALUE"""),"Gouda Gangsters")</f>
        <v>Gouda Gangsters</v>
      </c>
      <c r="E787" s="31">
        <f>IFERROR(__xludf.DUMMYFUNCTION("""COMPUTED_VALUE"""),55.56612208289067)</f>
        <v>55.56612208</v>
      </c>
      <c r="F787" s="31">
        <f>IFERROR(__xludf.DUMMYFUNCTION("""COMPUTED_VALUE"""),2.4277386584544143)</f>
        <v>2.427738658</v>
      </c>
      <c r="G787" s="31">
        <f>IFERROR(__xludf.DUMMYFUNCTION("""COMPUTED_VALUE"""),56.02653190833201)</f>
        <v>56.02653191</v>
      </c>
      <c r="H787" s="31">
        <f>IFERROR(__xludf.DUMMYFUNCTION("""COMPUTED_VALUE"""),2.4706376303441546)</f>
        <v>2.47063763</v>
      </c>
      <c r="I787" s="54">
        <f>IFERROR(__xludf.DUMMYFUNCTION("""COMPUTED_VALUE"""),34.0)</f>
        <v>34</v>
      </c>
      <c r="J787" s="55">
        <f>IFERROR(__xludf.DUMMYFUNCTION("""COMPUTED_VALUE"""),14.0)</f>
        <v>14</v>
      </c>
      <c r="K787" s="54">
        <f>IFERROR(__xludf.DUMMYFUNCTION("""COMPUTED_VALUE"""),20.0)</f>
        <v>20</v>
      </c>
      <c r="L787" s="56">
        <f>IFERROR(__xludf.DUMMYFUNCTION("""COMPUTED_VALUE"""),0.4117647058823529)</f>
        <v>0.4117647059</v>
      </c>
      <c r="M787" s="56">
        <f>IFERROR(__xludf.DUMMYFUNCTION("""COMPUTED_VALUE"""),0.25)</f>
        <v>0.25</v>
      </c>
      <c r="N787" s="31">
        <f>IFERROR(__xludf.DUMMYFUNCTION("""COMPUTED_VALUE"""),354.47058823529414)</f>
        <v>354.4705882</v>
      </c>
      <c r="O787" s="57">
        <f>IFERROR(__xludf.DUMMYFUNCTION("""COMPUTED_VALUE"""),0.7352941176470589)</f>
        <v>0.7352941176</v>
      </c>
      <c r="P787" s="57">
        <f>IFERROR(__xludf.DUMMYFUNCTION("""COMPUTED_VALUE"""),0.6470588235294118)</f>
        <v>0.6470588235</v>
      </c>
      <c r="Q787" s="57">
        <f>IFERROR(__xludf.DUMMYFUNCTION("""COMPUTED_VALUE"""),1.3235294117647058)</f>
        <v>1.323529412</v>
      </c>
      <c r="R787" s="57">
        <f>IFERROR(__xludf.DUMMYFUNCTION("""COMPUTED_VALUE"""),2.9411764705882355)</f>
        <v>2.941176471</v>
      </c>
      <c r="S787" s="31">
        <f>IFERROR(__xludf.DUMMYFUNCTION("""COMPUTED_VALUE"""),371.9509803921569)</f>
        <v>371.9509804</v>
      </c>
      <c r="T787" s="57">
        <f>IFERROR(__xludf.DUMMYFUNCTION("""COMPUTED_VALUE"""),0.911764705882353)</f>
        <v>0.9117647059</v>
      </c>
      <c r="U787" s="57">
        <f>IFERROR(__xludf.DUMMYFUNCTION("""COMPUTED_VALUE"""),0.6960784313725491)</f>
        <v>0.6960784314</v>
      </c>
      <c r="V787" s="57">
        <f>IFERROR(__xludf.DUMMYFUNCTION("""COMPUTED_VALUE"""),1.3137254901960784)</f>
        <v>1.31372549</v>
      </c>
      <c r="W787" s="57">
        <f>IFERROR(__xludf.DUMMYFUNCTION("""COMPUTED_VALUE"""),2.4901960784313726)</f>
        <v>2.490196078</v>
      </c>
      <c r="X787" s="31">
        <f>IFERROR(__xludf.DUMMYFUNCTION("""COMPUTED_VALUE"""),361.3508834419908)</f>
        <v>361.3508834</v>
      </c>
      <c r="Y787" s="57">
        <f>IFERROR(__xludf.DUMMYFUNCTION("""COMPUTED_VALUE"""),0.8307367752654065)</f>
        <v>0.8307367753</v>
      </c>
      <c r="Z787" s="57">
        <f>IFERROR(__xludf.DUMMYFUNCTION("""COMPUTED_VALUE"""),0.5855743707723404)</f>
        <v>0.5855743708</v>
      </c>
      <c r="AA787" s="57">
        <f>IFERROR(__xludf.DUMMYFUNCTION("""COMPUTED_VALUE"""),1.3488045812542229)</f>
        <v>1.348804581</v>
      </c>
      <c r="AB787" s="57">
        <f>IFERROR(__xludf.DUMMYFUNCTION("""COMPUTED_VALUE"""),2.7772592355051717)</f>
        <v>2.777259236</v>
      </c>
      <c r="AC787" s="31">
        <f>IFERROR(__xludf.DUMMYFUNCTION("""COMPUTED_VALUE"""),357.6616483651741)</f>
        <v>357.6616484</v>
      </c>
      <c r="AD787" s="57">
        <f>IFERROR(__xludf.DUMMYFUNCTION("""COMPUTED_VALUE"""),0.7950583952626149)</f>
        <v>0.7950583953</v>
      </c>
      <c r="AE787" s="57">
        <f>IFERROR(__xludf.DUMMYFUNCTION("""COMPUTED_VALUE"""),0.5842872948537124)</f>
        <v>0.5842872949</v>
      </c>
      <c r="AF787" s="57">
        <f>IFERROR(__xludf.DUMMYFUNCTION("""COMPUTED_VALUE"""),1.4157655287587168)</f>
        <v>1.415765529</v>
      </c>
      <c r="AG787" s="57">
        <f>IFERROR(__xludf.DUMMYFUNCTION("""COMPUTED_VALUE"""),2.580305113057196)</f>
        <v>2.580305113</v>
      </c>
      <c r="AH787" s="57">
        <f>IFERROR(__xludf.DUMMYFUNCTION("""COMPUTED_VALUE"""),0.9910779918829267)</f>
        <v>0.9910779919</v>
      </c>
      <c r="AI787" s="57">
        <f>IFERROR(__xludf.DUMMYFUNCTION("""COMPUTED_VALUE"""),0.9248303294806222)</f>
        <v>0.9248303295</v>
      </c>
      <c r="AJ787" s="57">
        <f>IFERROR(__xludf.DUMMYFUNCTION("""COMPUTED_VALUE"""),1.1074326435446717)</f>
        <v>1.107432644</v>
      </c>
      <c r="AK787" s="57">
        <f>IFERROR(__xludf.DUMMYFUNCTION("""COMPUTED_VALUE"""),0.9348507114204994)</f>
        <v>0.9348507114</v>
      </c>
      <c r="AL787" s="57">
        <f>IFERROR(__xludf.DUMMYFUNCTION("""COMPUTED_VALUE"""),1.1398560796957349)</f>
        <v>1.13985608</v>
      </c>
      <c r="AM787" s="57">
        <f>IFERROR(__xludf.DUMMYFUNCTION("""COMPUTED_VALUE"""),1.0293346368748197)</f>
        <v>1.029334637</v>
      </c>
      <c r="AN787" s="57">
        <f>IFERROR(__xludf.DUMMYFUNCTION("""COMPUTED_VALUE"""),1.0975374306633525)</f>
        <v>1.097537431</v>
      </c>
      <c r="AO787" s="57">
        <f>IFERROR(__xludf.DUMMYFUNCTION("""COMPUTED_VALUE"""),1.1887105483364306)</f>
        <v>1.188710548</v>
      </c>
      <c r="AP787" s="35">
        <f>IFERROR(__xludf.DUMMYFUNCTION("""COMPUTED_VALUE"""),0.9739924585476087)</f>
        <v>0.9739924585</v>
      </c>
      <c r="AQ787" s="57">
        <f>IFERROR(__xludf.DUMMYFUNCTION("""COMPUTED_VALUE"""),0.8966379683236219)</f>
        <v>0.8966379683</v>
      </c>
      <c r="AR787" s="36" t="b">
        <f>IFERROR(__xludf.DUMMYFUNCTION("""COMPUTED_VALUE"""),TRUE)</f>
        <v>1</v>
      </c>
      <c r="AS787" s="57"/>
      <c r="AT787" s="37"/>
      <c r="AU787" s="30"/>
      <c r="AV787" s="30"/>
      <c r="AW787" s="30"/>
      <c r="AX787" s="30"/>
      <c r="AY787" s="30"/>
      <c r="AZ787" s="30"/>
    </row>
    <row r="788">
      <c r="A788" s="30" t="str">
        <f>IFERROR(__xludf.DUMMYFUNCTION("""COMPUTED_VALUE"""),"Veteran")</f>
        <v>Veteran</v>
      </c>
      <c r="B788" s="30" t="str">
        <f>IFERROR(__xludf.DUMMYFUNCTION("""COMPUTED_VALUE"""),"RSC007479")</f>
        <v>RSC007479</v>
      </c>
      <c r="C788" s="30" t="str">
        <f>IFERROR(__xludf.DUMMYFUNCTION("""COMPUTED_VALUE"""),"Metatonixz")</f>
        <v>Metatonixz</v>
      </c>
      <c r="D788" s="31" t="str">
        <f>IFERROR(__xludf.DUMMYFUNCTION("""COMPUTED_VALUE"""),"Folks")</f>
        <v>Folks</v>
      </c>
      <c r="E788" s="31">
        <f>IFERROR(__xludf.DUMMYFUNCTION("""COMPUTED_VALUE"""),54.82303558476075)</f>
        <v>54.82303558</v>
      </c>
      <c r="F788" s="31">
        <f>IFERROR(__xludf.DUMMYFUNCTION("""COMPUTED_VALUE"""),2.3612179209771127)</f>
        <v>2.361217921</v>
      </c>
      <c r="G788" s="31">
        <f>IFERROR(__xludf.DUMMYFUNCTION("""COMPUTED_VALUE"""),49.7143941411494)</f>
        <v>49.71439414</v>
      </c>
      <c r="H788" s="31">
        <f>IFERROR(__xludf.DUMMYFUNCTION("""COMPUTED_VALUE"""),-2.018397739676689)</f>
        <v>-2.01839774</v>
      </c>
      <c r="I788" s="54">
        <f>IFERROR(__xludf.DUMMYFUNCTION("""COMPUTED_VALUE"""),47.0)</f>
        <v>47</v>
      </c>
      <c r="J788" s="55">
        <f>IFERROR(__xludf.DUMMYFUNCTION("""COMPUTED_VALUE"""),26.0)</f>
        <v>26</v>
      </c>
      <c r="K788" s="54">
        <f>IFERROR(__xludf.DUMMYFUNCTION("""COMPUTED_VALUE"""),21.0)</f>
        <v>21</v>
      </c>
      <c r="L788" s="56">
        <f>IFERROR(__xludf.DUMMYFUNCTION("""COMPUTED_VALUE"""),0.5531914893617021)</f>
        <v>0.5531914894</v>
      </c>
      <c r="M788" s="56">
        <f>IFERROR(__xludf.DUMMYFUNCTION("""COMPUTED_VALUE"""),0.2931034482758621)</f>
        <v>0.2931034483</v>
      </c>
      <c r="N788" s="31">
        <f>IFERROR(__xludf.DUMMYFUNCTION("""COMPUTED_VALUE"""),330.0851063829787)</f>
        <v>330.0851064</v>
      </c>
      <c r="O788" s="57">
        <f>IFERROR(__xludf.DUMMYFUNCTION("""COMPUTED_VALUE"""),0.723404255319149)</f>
        <v>0.7234042553</v>
      </c>
      <c r="P788" s="57">
        <f>IFERROR(__xludf.DUMMYFUNCTION("""COMPUTED_VALUE"""),0.574468085106383)</f>
        <v>0.5744680851</v>
      </c>
      <c r="Q788" s="57">
        <f>IFERROR(__xludf.DUMMYFUNCTION("""COMPUTED_VALUE"""),1.0638297872340425)</f>
        <v>1.063829787</v>
      </c>
      <c r="R788" s="57">
        <f>IFERROR(__xludf.DUMMYFUNCTION("""COMPUTED_VALUE"""),2.4680851063829787)</f>
        <v>2.468085106</v>
      </c>
      <c r="S788" s="31">
        <f>IFERROR(__xludf.DUMMYFUNCTION("""COMPUTED_VALUE"""),326.30496453900713)</f>
        <v>326.3049645</v>
      </c>
      <c r="T788" s="57">
        <f>IFERROR(__xludf.DUMMYFUNCTION("""COMPUTED_VALUE"""),0.6453900709219859)</f>
        <v>0.6453900709</v>
      </c>
      <c r="U788" s="57">
        <f>IFERROR(__xludf.DUMMYFUNCTION("""COMPUTED_VALUE"""),0.5531914893617021)</f>
        <v>0.5531914894</v>
      </c>
      <c r="V788" s="57">
        <f>IFERROR(__xludf.DUMMYFUNCTION("""COMPUTED_VALUE"""),1.2907801418439715)</f>
        <v>1.290780142</v>
      </c>
      <c r="W788" s="57">
        <f>IFERROR(__xludf.DUMMYFUNCTION("""COMPUTED_VALUE"""),2.3404255319148937)</f>
        <v>2.340425532</v>
      </c>
      <c r="X788" s="31">
        <f>IFERROR(__xludf.DUMMYFUNCTION("""COMPUTED_VALUE"""),361.4904929770337)</f>
        <v>361.490493</v>
      </c>
      <c r="Y788" s="57">
        <f>IFERROR(__xludf.DUMMYFUNCTION("""COMPUTED_VALUE"""),0.8217279043324477)</f>
        <v>0.8217279043</v>
      </c>
      <c r="Z788" s="57">
        <f>IFERROR(__xludf.DUMMYFUNCTION("""COMPUTED_VALUE"""),0.5997913577336181)</f>
        <v>0.5997913577</v>
      </c>
      <c r="AA788" s="57">
        <f>IFERROR(__xludf.DUMMYFUNCTION("""COMPUTED_VALUE"""),1.381391298365261)</f>
        <v>1.381391298</v>
      </c>
      <c r="AB788" s="57">
        <f>IFERROR(__xludf.DUMMYFUNCTION("""COMPUTED_VALUE"""),2.6523564933120327)</f>
        <v>2.652356493</v>
      </c>
      <c r="AC788" s="31">
        <f>IFERROR(__xludf.DUMMYFUNCTION("""COMPUTED_VALUE"""),353.14016974336926)</f>
        <v>353.1401697</v>
      </c>
      <c r="AD788" s="57">
        <f>IFERROR(__xludf.DUMMYFUNCTION("""COMPUTED_VALUE"""),0.7890779256810576)</f>
        <v>0.7890779257</v>
      </c>
      <c r="AE788" s="57">
        <f>IFERROR(__xludf.DUMMYFUNCTION("""COMPUTED_VALUE"""),0.5673543175048155)</f>
        <v>0.5673543175</v>
      </c>
      <c r="AF788" s="57">
        <f>IFERROR(__xludf.DUMMYFUNCTION("""COMPUTED_VALUE"""),1.3434077840225198)</f>
        <v>1.343407784</v>
      </c>
      <c r="AG788" s="57">
        <f>IFERROR(__xludf.DUMMYFUNCTION("""COMPUTED_VALUE"""),2.6513318907708787)</f>
        <v>2.651331891</v>
      </c>
      <c r="AH788" s="57">
        <f>IFERROR(__xludf.DUMMYFUNCTION("""COMPUTED_VALUE"""),0.9347141295844511)</f>
        <v>0.9347141296</v>
      </c>
      <c r="AI788" s="57">
        <f>IFERROR(__xludf.DUMMYFUNCTION("""COMPUTED_VALUE"""),0.9167716289804644)</f>
        <v>0.916771629</v>
      </c>
      <c r="AJ788" s="57">
        <f>IFERROR(__xludf.DUMMYFUNCTION("""COMPUTED_VALUE"""),1.0125384920535256)</f>
        <v>1.012538492</v>
      </c>
      <c r="AK788" s="57">
        <f>IFERROR(__xludf.DUMMYFUNCTION("""COMPUTED_VALUE"""),0.7918889557485319)</f>
        <v>0.7918889557</v>
      </c>
      <c r="AL788" s="57">
        <f>IFERROR(__xludf.DUMMYFUNCTION("""COMPUTED_VALUE"""),0.9308850072577596)</f>
        <v>0.9308850073</v>
      </c>
      <c r="AM788" s="57">
        <f>IFERROR(__xludf.DUMMYFUNCTION("""COMPUTED_VALUE"""),0.9026654113410889)</f>
        <v>0.9026654113</v>
      </c>
      <c r="AN788" s="57">
        <f>IFERROR(__xludf.DUMMYFUNCTION("""COMPUTED_VALUE"""),0.7854060541442675)</f>
        <v>0.7854060541</v>
      </c>
      <c r="AO788" s="57">
        <f>IFERROR(__xludf.DUMMYFUNCTION("""COMPUTED_VALUE"""),0.9223065358127215)</f>
        <v>0.9223065358</v>
      </c>
      <c r="AP788" s="35">
        <f>IFERROR(__xludf.DUMMYFUNCTION("""COMPUTED_VALUE"""),0.9344058728120564)</f>
        <v>0.9344058728</v>
      </c>
      <c r="AQ788" s="57">
        <f>IFERROR(__xludf.DUMMYFUNCTION("""COMPUTED_VALUE"""),0.8823947828341783)</f>
        <v>0.8823947828</v>
      </c>
      <c r="AR788" s="36" t="b">
        <f>IFERROR(__xludf.DUMMYFUNCTION("""COMPUTED_VALUE"""),TRUE)</f>
        <v>1</v>
      </c>
      <c r="AS788" s="57"/>
      <c r="AT788" s="37"/>
      <c r="AU788" s="30"/>
      <c r="AV788" s="30"/>
      <c r="AW788" s="30"/>
      <c r="AX788" s="30"/>
      <c r="AY788" s="30"/>
      <c r="AZ788" s="30"/>
    </row>
    <row r="789">
      <c r="A789" s="30" t="str">
        <f>IFERROR(__xludf.DUMMYFUNCTION("""COMPUTED_VALUE"""),"Veteran")</f>
        <v>Veteran</v>
      </c>
      <c r="B789" s="30" t="str">
        <f>IFERROR(__xludf.DUMMYFUNCTION("""COMPUTED_VALUE"""),"RSC007115")</f>
        <v>RSC007115</v>
      </c>
      <c r="C789" s="30" t="str">
        <f>IFERROR(__xludf.DUMMYFUNCTION("""COMPUTED_VALUE"""),"Zoomin")</f>
        <v>Zoomin</v>
      </c>
      <c r="D789" s="31" t="str">
        <f>IFERROR(__xludf.DUMMYFUNCTION("""COMPUTED_VALUE"""),"Legati")</f>
        <v>Legati</v>
      </c>
      <c r="E789" s="31">
        <f>IFERROR(__xludf.DUMMYFUNCTION("""COMPUTED_VALUE"""),54.8181027074553)</f>
        <v>54.81810271</v>
      </c>
      <c r="F789" s="31">
        <f>IFERROR(__xludf.DUMMYFUNCTION("""COMPUTED_VALUE"""),2.360787206355856)</f>
        <v>2.360787206</v>
      </c>
      <c r="G789" s="31">
        <f>IFERROR(__xludf.DUMMYFUNCTION("""COMPUTED_VALUE"""),40.81084871277264)</f>
        <v>40.81084871</v>
      </c>
      <c r="H789" s="31">
        <f>IFERROR(__xludf.DUMMYFUNCTION("""COMPUTED_VALUE"""),-2.804274934233538)</f>
        <v>-2.804274934</v>
      </c>
      <c r="I789" s="54">
        <f>IFERROR(__xludf.DUMMYFUNCTION("""COMPUTED_VALUE"""),37.0)</f>
        <v>37</v>
      </c>
      <c r="J789" s="55">
        <f>IFERROR(__xludf.DUMMYFUNCTION("""COMPUTED_VALUE"""),22.0)</f>
        <v>22</v>
      </c>
      <c r="K789" s="54">
        <f>IFERROR(__xludf.DUMMYFUNCTION("""COMPUTED_VALUE"""),15.0)</f>
        <v>15</v>
      </c>
      <c r="L789" s="56">
        <f>IFERROR(__xludf.DUMMYFUNCTION("""COMPUTED_VALUE"""),0.5945945945945946)</f>
        <v>0.5945945946</v>
      </c>
      <c r="M789" s="56">
        <f>IFERROR(__xludf.DUMMYFUNCTION("""COMPUTED_VALUE"""),0.3703703703703704)</f>
        <v>0.3703703704</v>
      </c>
      <c r="N789" s="31">
        <f>IFERROR(__xludf.DUMMYFUNCTION("""COMPUTED_VALUE"""),384.02702702702703)</f>
        <v>384.027027</v>
      </c>
      <c r="O789" s="57">
        <f>IFERROR(__xludf.DUMMYFUNCTION("""COMPUTED_VALUE"""),0.8108108108108109)</f>
        <v>0.8108108108</v>
      </c>
      <c r="P789" s="57">
        <f>IFERROR(__xludf.DUMMYFUNCTION("""COMPUTED_VALUE"""),0.7027027027027027)</f>
        <v>0.7027027027</v>
      </c>
      <c r="Q789" s="57">
        <f>IFERROR(__xludf.DUMMYFUNCTION("""COMPUTED_VALUE"""),1.5405405405405406)</f>
        <v>1.540540541</v>
      </c>
      <c r="R789" s="57">
        <f>IFERROR(__xludf.DUMMYFUNCTION("""COMPUTED_VALUE"""),2.189189189189189)</f>
        <v>2.189189189</v>
      </c>
      <c r="S789" s="31">
        <f>IFERROR(__xludf.DUMMYFUNCTION("""COMPUTED_VALUE"""),389.2342342342342)</f>
        <v>389.2342342</v>
      </c>
      <c r="T789" s="57">
        <f>IFERROR(__xludf.DUMMYFUNCTION("""COMPUTED_VALUE"""),0.927927927927928)</f>
        <v>0.9279279279</v>
      </c>
      <c r="U789" s="57">
        <f>IFERROR(__xludf.DUMMYFUNCTION("""COMPUTED_VALUE"""),0.6756756756756757)</f>
        <v>0.6756756757</v>
      </c>
      <c r="V789" s="57">
        <f>IFERROR(__xludf.DUMMYFUNCTION("""COMPUTED_VALUE"""),1.4504504504504503)</f>
        <v>1.45045045</v>
      </c>
      <c r="W789" s="57">
        <f>IFERROR(__xludf.DUMMYFUNCTION("""COMPUTED_VALUE"""),2.9279279279279278)</f>
        <v>2.927927928</v>
      </c>
      <c r="X789" s="31">
        <f>IFERROR(__xludf.DUMMYFUNCTION("""COMPUTED_VALUE"""),361.4048962264532)</f>
        <v>361.4048962</v>
      </c>
      <c r="Y789" s="57">
        <f>IFERROR(__xludf.DUMMYFUNCTION("""COMPUTED_VALUE"""),0.8216735194167331)</f>
        <v>0.8216735194</v>
      </c>
      <c r="Z789" s="57">
        <f>IFERROR(__xludf.DUMMYFUNCTION("""COMPUTED_VALUE"""),0.5928275801564784)</f>
        <v>0.5928275802</v>
      </c>
      <c r="AA789" s="57">
        <f>IFERROR(__xludf.DUMMYFUNCTION("""COMPUTED_VALUE"""),1.389817611286738)</f>
        <v>1.389817611</v>
      </c>
      <c r="AB789" s="57">
        <f>IFERROR(__xludf.DUMMYFUNCTION("""COMPUTED_VALUE"""),2.6384661867930634)</f>
        <v>2.638466187</v>
      </c>
      <c r="AC789" s="31">
        <f>IFERROR(__xludf.DUMMYFUNCTION("""COMPUTED_VALUE"""),355.65085863663376)</f>
        <v>355.6508586</v>
      </c>
      <c r="AD789" s="57">
        <f>IFERROR(__xludf.DUMMYFUNCTION("""COMPUTED_VALUE"""),0.7919881521847794)</f>
        <v>0.7919881522</v>
      </c>
      <c r="AE789" s="57">
        <f>IFERROR(__xludf.DUMMYFUNCTION("""COMPUTED_VALUE"""),0.5670660946048895)</f>
        <v>0.5670660946</v>
      </c>
      <c r="AF789" s="57">
        <f>IFERROR(__xludf.DUMMYFUNCTION("""COMPUTED_VALUE"""),1.356087195782313)</f>
        <v>1.356087196</v>
      </c>
      <c r="AG789" s="57">
        <f>IFERROR(__xludf.DUMMYFUNCTION("""COMPUTED_VALUE"""),2.6864652316301383)</f>
        <v>2.686465232</v>
      </c>
      <c r="AH789" s="57">
        <f>IFERROR(__xludf.DUMMYFUNCTION("""COMPUTED_VALUE"""),1.0797865876077781)</f>
        <v>1.079786588</v>
      </c>
      <c r="AI789" s="57">
        <f>IFERROR(__xludf.DUMMYFUNCTION("""COMPUTED_VALUE"""),1.0237663386429547)</f>
        <v>1.023766339</v>
      </c>
      <c r="AJ789" s="57">
        <f>IFERROR(__xludf.DUMMYFUNCTION("""COMPUTED_VALUE"""),1.2391901215542074)</f>
        <v>1.239190122</v>
      </c>
      <c r="AK789" s="57">
        <f>IFERROR(__xludf.DUMMYFUNCTION("""COMPUTED_VALUE"""),1.1360187938739574)</f>
        <v>1.136018794</v>
      </c>
      <c r="AL789" s="57">
        <f>IFERROR(__xludf.DUMMYFUNCTION("""COMPUTED_VALUE"""),0.8148957832820327)</f>
        <v>0.8148957833</v>
      </c>
      <c r="AM789" s="57">
        <f>IFERROR(__xludf.DUMMYFUNCTION("""COMPUTED_VALUE"""),1.0770032124588134)</f>
        <v>1.077003212</v>
      </c>
      <c r="AN789" s="57">
        <f>IFERROR(__xludf.DUMMYFUNCTION("""COMPUTED_VALUE"""),1.1293146316637048)</f>
        <v>1.129314632</v>
      </c>
      <c r="AO789" s="57">
        <f>IFERROR(__xludf.DUMMYFUNCTION("""COMPUTED_VALUE"""),1.139750744216943)</f>
        <v>1.139750744</v>
      </c>
      <c r="AP789" s="35">
        <f>IFERROR(__xludf.DUMMYFUNCTION("""COMPUTED_VALUE"""),1.0436264720430306)</f>
        <v>1.043626472</v>
      </c>
      <c r="AQ789" s="57">
        <f>IFERROR(__xludf.DUMMYFUNCTION("""COMPUTED_VALUE"""),1.1097083383458828)</f>
        <v>1.109708338</v>
      </c>
      <c r="AR789" s="36" t="b">
        <f>IFERROR(__xludf.DUMMYFUNCTION("""COMPUTED_VALUE"""),TRUE)</f>
        <v>1</v>
      </c>
      <c r="AS789" s="57"/>
      <c r="AT789" s="37"/>
      <c r="AU789" s="30"/>
      <c r="AV789" s="30"/>
      <c r="AW789" s="30"/>
      <c r="AX789" s="30"/>
      <c r="AY789" s="30"/>
      <c r="AZ789" s="30"/>
    </row>
    <row r="790">
      <c r="A790" s="30" t="str">
        <f>IFERROR(__xludf.DUMMYFUNCTION("""COMPUTED_VALUE"""),"Veteran")</f>
        <v>Veteran</v>
      </c>
      <c r="B790" s="30" t="str">
        <f>IFERROR(__xludf.DUMMYFUNCTION("""COMPUTED_VALUE"""),"RSC007995")</f>
        <v>RSC007995</v>
      </c>
      <c r="C790" s="30" t="str">
        <f>IFERROR(__xludf.DUMMYFUNCTION("""COMPUTED_VALUE"""),"Tylanz")</f>
        <v>Tylanz</v>
      </c>
      <c r="D790" s="31" t="str">
        <f>IFERROR(__xludf.DUMMYFUNCTION("""COMPUTED_VALUE"""),"Cannoli")</f>
        <v>Cannoli</v>
      </c>
      <c r="E790" s="31">
        <f>IFERROR(__xludf.DUMMYFUNCTION("""COMPUTED_VALUE"""),54.38482157618646)</f>
        <v>54.38482158</v>
      </c>
      <c r="F790" s="31">
        <f>IFERROR(__xludf.DUMMYFUNCTION("""COMPUTED_VALUE"""),2.323498492077123)</f>
        <v>2.323498492</v>
      </c>
      <c r="G790" s="31">
        <f>IFERROR(__xludf.DUMMYFUNCTION("""COMPUTED_VALUE"""),34.252132720191156)</f>
        <v>34.25213272</v>
      </c>
      <c r="H790" s="31">
        <f>IFERROR(__xludf.DUMMYFUNCTION("""COMPUTED_VALUE"""),-3.7825030459819065)</f>
        <v>-3.782503046</v>
      </c>
      <c r="I790" s="54">
        <f>IFERROR(__xludf.DUMMYFUNCTION("""COMPUTED_VALUE"""),46.0)</f>
        <v>46</v>
      </c>
      <c r="J790" s="55">
        <f>IFERROR(__xludf.DUMMYFUNCTION("""COMPUTED_VALUE"""),28.0)</f>
        <v>28</v>
      </c>
      <c r="K790" s="54">
        <f>IFERROR(__xludf.DUMMYFUNCTION("""COMPUTED_VALUE"""),18.0)</f>
        <v>18</v>
      </c>
      <c r="L790" s="56">
        <f>IFERROR(__xludf.DUMMYFUNCTION("""COMPUTED_VALUE"""),0.6086956521739131)</f>
        <v>0.6086956522</v>
      </c>
      <c r="M790" s="56">
        <f>IFERROR(__xludf.DUMMYFUNCTION("""COMPUTED_VALUE"""),0.27678571428571425)</f>
        <v>0.2767857143</v>
      </c>
      <c r="N790" s="31">
        <f>IFERROR(__xludf.DUMMYFUNCTION("""COMPUTED_VALUE"""),316.69565217391306)</f>
        <v>316.6956522</v>
      </c>
      <c r="O790" s="57">
        <f>IFERROR(__xludf.DUMMYFUNCTION("""COMPUTED_VALUE"""),0.6739130434782609)</f>
        <v>0.6739130435</v>
      </c>
      <c r="P790" s="57">
        <f>IFERROR(__xludf.DUMMYFUNCTION("""COMPUTED_VALUE"""),0.6956521739130435)</f>
        <v>0.6956521739</v>
      </c>
      <c r="Q790" s="57">
        <f>IFERROR(__xludf.DUMMYFUNCTION("""COMPUTED_VALUE"""),1.0434782608695652)</f>
        <v>1.043478261</v>
      </c>
      <c r="R790" s="57">
        <f>IFERROR(__xludf.DUMMYFUNCTION("""COMPUTED_VALUE"""),2.4347826086956523)</f>
        <v>2.434782609</v>
      </c>
      <c r="S790" s="31">
        <f>IFERROR(__xludf.DUMMYFUNCTION("""COMPUTED_VALUE"""),350.08695652173907)</f>
        <v>350.0869565</v>
      </c>
      <c r="T790" s="57">
        <f>IFERROR(__xludf.DUMMYFUNCTION("""COMPUTED_VALUE"""),0.6739130434782609)</f>
        <v>0.6739130435</v>
      </c>
      <c r="U790" s="57">
        <f>IFERROR(__xludf.DUMMYFUNCTION("""COMPUTED_VALUE"""),0.4782608695652173)</f>
        <v>0.4782608696</v>
      </c>
      <c r="V790" s="57">
        <f>IFERROR(__xludf.DUMMYFUNCTION("""COMPUTED_VALUE"""),1.659420289855072)</f>
        <v>1.65942029</v>
      </c>
      <c r="W790" s="57">
        <f>IFERROR(__xludf.DUMMYFUNCTION("""COMPUTED_VALUE"""),2.3478260869565215)</f>
        <v>2.347826087</v>
      </c>
      <c r="X790" s="31">
        <f>IFERROR(__xludf.DUMMYFUNCTION("""COMPUTED_VALUE"""),359.1717118630135)</f>
        <v>359.1717119</v>
      </c>
      <c r="Y790" s="57">
        <f>IFERROR(__xludf.DUMMYFUNCTION("""COMPUTED_VALUE"""),0.813913649611912)</f>
        <v>0.8139136496</v>
      </c>
      <c r="Z790" s="57">
        <f>IFERROR(__xludf.DUMMYFUNCTION("""COMPUTED_VALUE"""),0.5667256823165138)</f>
        <v>0.5667256823</v>
      </c>
      <c r="AA790" s="57">
        <f>IFERROR(__xludf.DUMMYFUNCTION("""COMPUTED_VALUE"""),1.3816755135596306)</f>
        <v>1.381675514</v>
      </c>
      <c r="AB790" s="57">
        <f>IFERROR(__xludf.DUMMYFUNCTION("""COMPUTED_VALUE"""),2.641210770679741)</f>
        <v>2.641210771</v>
      </c>
      <c r="AC790" s="31">
        <f>IFERROR(__xludf.DUMMYFUNCTION("""COMPUTED_VALUE"""),356.1121866870903)</f>
        <v>356.1121867</v>
      </c>
      <c r="AD790" s="57">
        <f>IFERROR(__xludf.DUMMYFUNCTION("""COMPUTED_VALUE"""),0.8097752164934577)</f>
        <v>0.8097752165</v>
      </c>
      <c r="AE790" s="57">
        <f>IFERROR(__xludf.DUMMYFUNCTION("""COMPUTED_VALUE"""),0.591508840084175)</f>
        <v>0.5915088401</v>
      </c>
      <c r="AF790" s="57">
        <f>IFERROR(__xludf.DUMMYFUNCTION("""COMPUTED_VALUE"""),1.3039070718524641)</f>
        <v>1.303907072</v>
      </c>
      <c r="AG790" s="57">
        <f>IFERROR(__xludf.DUMMYFUNCTION("""COMPUTED_VALUE"""),2.6899796740875876)</f>
        <v>2.689979674</v>
      </c>
      <c r="AH790" s="57">
        <f>IFERROR(__xludf.DUMMYFUNCTION("""COMPUTED_VALUE"""),0.8893142779530545)</f>
        <v>0.889314278</v>
      </c>
      <c r="AI790" s="57">
        <f>IFERROR(__xludf.DUMMYFUNCTION("""COMPUTED_VALUE"""),0.8322223621469718)</f>
        <v>0.8322223621</v>
      </c>
      <c r="AJ790" s="57">
        <f>IFERROR(__xludf.DUMMYFUNCTION("""COMPUTED_VALUE"""),1.1760638671334958)</f>
        <v>1.176063867</v>
      </c>
      <c r="AK790" s="57">
        <f>IFERROR(__xludf.DUMMYFUNCTION("""COMPUTED_VALUE"""),0.8002704206420883)</f>
        <v>0.8002704206</v>
      </c>
      <c r="AL790" s="57">
        <f>IFERROR(__xludf.DUMMYFUNCTION("""COMPUTED_VALUE"""),0.9051304856128716)</f>
        <v>0.9051304856</v>
      </c>
      <c r="AM790" s="57">
        <f>IFERROR(__xludf.DUMMYFUNCTION("""COMPUTED_VALUE"""),0.9747063729096257)</f>
        <v>0.9747063729</v>
      </c>
      <c r="AN790" s="57">
        <f>IFERROR(__xludf.DUMMYFUNCTION("""COMPUTED_VALUE"""),0.8279908363738514)</f>
        <v>0.8279908364</v>
      </c>
      <c r="AO790" s="57">
        <f>IFERROR(__xludf.DUMMYFUNCTION("""COMPUTED_VALUE"""),0.8439018814363715)</f>
        <v>0.8439018814</v>
      </c>
      <c r="AP790" s="35">
        <f>IFERROR(__xludf.DUMMYFUNCTION("""COMPUTED_VALUE"""),1.2010202638533296)</f>
        <v>1.201020264</v>
      </c>
      <c r="AQ790" s="57">
        <f>IFERROR(__xludf.DUMMYFUNCTION("""COMPUTED_VALUE"""),0.8889203819020797)</f>
        <v>0.8889203819</v>
      </c>
      <c r="AR790" s="36" t="b">
        <f>IFERROR(__xludf.DUMMYFUNCTION("""COMPUTED_VALUE"""),TRUE)</f>
        <v>1</v>
      </c>
      <c r="AS790" s="57"/>
      <c r="AT790" s="37"/>
      <c r="AU790" s="30"/>
      <c r="AV790" s="30"/>
      <c r="AW790" s="30"/>
      <c r="AX790" s="30"/>
      <c r="AY790" s="30"/>
      <c r="AZ790" s="30"/>
    </row>
    <row r="791">
      <c r="A791" s="30" t="str">
        <f>IFERROR(__xludf.DUMMYFUNCTION("""COMPUTED_VALUE"""),"Veteran")</f>
        <v>Veteran</v>
      </c>
      <c r="B791" s="30" t="str">
        <f>IFERROR(__xludf.DUMMYFUNCTION("""COMPUTED_VALUE"""),"RSC000290")</f>
        <v>RSC000290</v>
      </c>
      <c r="C791" s="30" t="str">
        <f>IFERROR(__xludf.DUMMYFUNCTION("""COMPUTED_VALUE"""),"JimJam")</f>
        <v>JimJam</v>
      </c>
      <c r="D791" s="31" t="str">
        <f>IFERROR(__xludf.DUMMYFUNCTION("""COMPUTED_VALUE"""),"Cannoli")</f>
        <v>Cannoli</v>
      </c>
      <c r="E791" s="31">
        <f>IFERROR(__xludf.DUMMYFUNCTION("""COMPUTED_VALUE"""),54.3181556976596)</f>
        <v>54.3181557</v>
      </c>
      <c r="F791" s="31">
        <f>IFERROR(__xludf.DUMMYFUNCTION("""COMPUTED_VALUE"""),2.317855318520236)</f>
        <v>2.317855319</v>
      </c>
      <c r="G791" s="31">
        <f>IFERROR(__xludf.DUMMYFUNCTION("""COMPUTED_VALUE"""),42.806127410959895)</f>
        <v>42.80612741</v>
      </c>
      <c r="H791" s="31">
        <f>IFERROR(__xludf.DUMMYFUNCTION("""COMPUTED_VALUE"""),-2.5855347925288013)</f>
        <v>-2.585534793</v>
      </c>
      <c r="I791" s="54">
        <f>IFERROR(__xludf.DUMMYFUNCTION("""COMPUTED_VALUE"""),6.0)</f>
        <v>6</v>
      </c>
      <c r="J791" s="55">
        <f>IFERROR(__xludf.DUMMYFUNCTION("""COMPUTED_VALUE"""),2.0)</f>
        <v>2</v>
      </c>
      <c r="K791" s="54">
        <f>IFERROR(__xludf.DUMMYFUNCTION("""COMPUTED_VALUE"""),4.0)</f>
        <v>4</v>
      </c>
      <c r="L791" s="56">
        <f>IFERROR(__xludf.DUMMYFUNCTION("""COMPUTED_VALUE"""),0.3333333333333333)</f>
        <v>0.3333333333</v>
      </c>
      <c r="M791" s="56">
        <f>IFERROR(__xludf.DUMMYFUNCTION("""COMPUTED_VALUE"""),0.3529411764705882)</f>
        <v>0.3529411765</v>
      </c>
      <c r="N791" s="31">
        <f>IFERROR(__xludf.DUMMYFUNCTION("""COMPUTED_VALUE"""),321.3333333333333)</f>
        <v>321.3333333</v>
      </c>
      <c r="O791" s="57">
        <f>IFERROR(__xludf.DUMMYFUNCTION("""COMPUTED_VALUE"""),1.0)</f>
        <v>1</v>
      </c>
      <c r="P791" s="57">
        <f>IFERROR(__xludf.DUMMYFUNCTION("""COMPUTED_VALUE"""),0.3333333333333333)</f>
        <v>0.3333333333</v>
      </c>
      <c r="Q791" s="57">
        <f>IFERROR(__xludf.DUMMYFUNCTION("""COMPUTED_VALUE"""),1.0)</f>
        <v>1</v>
      </c>
      <c r="R791" s="57">
        <f>IFERROR(__xludf.DUMMYFUNCTION("""COMPUTED_VALUE"""),2.8333333333333335)</f>
        <v>2.833333333</v>
      </c>
      <c r="S791" s="31">
        <f>IFERROR(__xludf.DUMMYFUNCTION("""COMPUTED_VALUE"""),350.7777777777778)</f>
        <v>350.7777778</v>
      </c>
      <c r="T791" s="57">
        <f>IFERROR(__xludf.DUMMYFUNCTION("""COMPUTED_VALUE"""),0.8333333333333334)</f>
        <v>0.8333333333</v>
      </c>
      <c r="U791" s="57">
        <f>IFERROR(__xludf.DUMMYFUNCTION("""COMPUTED_VALUE"""),0.38888888888888884)</f>
        <v>0.3888888889</v>
      </c>
      <c r="V791" s="57">
        <f>IFERROR(__xludf.DUMMYFUNCTION("""COMPUTED_VALUE"""),1.388888888888889)</f>
        <v>1.388888889</v>
      </c>
      <c r="W791" s="57">
        <f>IFERROR(__xludf.DUMMYFUNCTION("""COMPUTED_VALUE"""),2.4444444444444446)</f>
        <v>2.444444444</v>
      </c>
      <c r="X791" s="31">
        <f>IFERROR(__xludf.DUMMYFUNCTION("""COMPUTED_VALUE"""),346.4212275930684)</f>
        <v>346.4212276</v>
      </c>
      <c r="Y791" s="57">
        <f>IFERROR(__xludf.DUMMYFUNCTION("""COMPUTED_VALUE"""),0.7730458421716516)</f>
        <v>0.7730458422</v>
      </c>
      <c r="Z791" s="57">
        <f>IFERROR(__xludf.DUMMYFUNCTION("""COMPUTED_VALUE"""),0.5446490026184753)</f>
        <v>0.5446490026</v>
      </c>
      <c r="AA791" s="57">
        <f>IFERROR(__xludf.DUMMYFUNCTION("""COMPUTED_VALUE"""),1.3789483493507546)</f>
        <v>1.378948349</v>
      </c>
      <c r="AB791" s="57">
        <f>IFERROR(__xludf.DUMMYFUNCTION("""COMPUTED_VALUE"""),2.4622758389224626)</f>
        <v>2.462275839</v>
      </c>
      <c r="AC791" s="31">
        <f>IFERROR(__xludf.DUMMYFUNCTION("""COMPUTED_VALUE"""),352.43627003898973)</f>
        <v>352.43627</v>
      </c>
      <c r="AD791" s="57">
        <f>IFERROR(__xludf.DUMMYFUNCTION("""COMPUTED_VALUE"""),0.8195242098248574)</f>
        <v>0.8195242098</v>
      </c>
      <c r="AE791" s="57">
        <f>IFERROR(__xludf.DUMMYFUNCTION("""COMPUTED_VALUE"""),0.6403670558110891)</f>
        <v>0.6403670558</v>
      </c>
      <c r="AF791" s="57">
        <f>IFERROR(__xludf.DUMMYFUNCTION("""COMPUTED_VALUE"""),1.243146008095129)</f>
        <v>1.243146008</v>
      </c>
      <c r="AG791" s="57">
        <f>IFERROR(__xludf.DUMMYFUNCTION("""COMPUTED_VALUE"""),2.6871336603667775)</f>
        <v>2.68713366</v>
      </c>
      <c r="AH791" s="57">
        <f>IFERROR(__xludf.DUMMYFUNCTION("""COMPUTED_VALUE"""),0.9117487632523874)</f>
        <v>0.9117487633</v>
      </c>
      <c r="AI791" s="57">
        <f>IFERROR(__xludf.DUMMYFUNCTION("""COMPUTED_VALUE"""),1.2202202058359113)</f>
        <v>1.220220206</v>
      </c>
      <c r="AJ791" s="57">
        <f>IFERROR(__xludf.DUMMYFUNCTION("""COMPUTED_VALUE"""),0.5205347937693847)</f>
        <v>0.5205347938</v>
      </c>
      <c r="AK791" s="57">
        <f>IFERROR(__xludf.DUMMYFUNCTION("""COMPUTED_VALUE"""),0.8044107397587984)</f>
        <v>0.8044107398</v>
      </c>
      <c r="AL791" s="57">
        <f>IFERROR(__xludf.DUMMYFUNCTION("""COMPUTED_VALUE"""),1.0544072947032344)</f>
        <v>1.054407295</v>
      </c>
      <c r="AM791" s="57">
        <f>IFERROR(__xludf.DUMMYFUNCTION("""COMPUTED_VALUE"""),1.0125758753728191)</f>
        <v>1.012575875</v>
      </c>
      <c r="AN791" s="57">
        <f>IFERROR(__xludf.DUMMYFUNCTION("""COMPUTED_VALUE"""),1.0779869548128236)</f>
        <v>1.077986955</v>
      </c>
      <c r="AO791" s="57">
        <f>IFERROR(__xludf.DUMMYFUNCTION("""COMPUTED_VALUE"""),0.7140174442976152)</f>
        <v>0.7140174443</v>
      </c>
      <c r="AP791" s="35">
        <f>IFERROR(__xludf.DUMMYFUNCTION("""COMPUTED_VALUE"""),1.0072087830866288)</f>
        <v>1.007208783</v>
      </c>
      <c r="AQ791" s="57">
        <f>IFERROR(__xludf.DUMMYFUNCTION("""COMPUTED_VALUE"""),0.9927581653541216)</f>
        <v>0.9927581654</v>
      </c>
      <c r="AR791" s="36" t="b">
        <f>IFERROR(__xludf.DUMMYFUNCTION("""COMPUTED_VALUE"""),TRUE)</f>
        <v>1</v>
      </c>
      <c r="AS791" s="57"/>
      <c r="AT791" s="37"/>
      <c r="AU791" s="30"/>
      <c r="AV791" s="30"/>
      <c r="AW791" s="30"/>
      <c r="AX791" s="30"/>
      <c r="AY791" s="30"/>
      <c r="AZ791" s="30"/>
    </row>
    <row r="792">
      <c r="A792" s="30" t="str">
        <f>IFERROR(__xludf.DUMMYFUNCTION("""COMPUTED_VALUE"""),"Veteran")</f>
        <v>Veteran</v>
      </c>
      <c r="B792" s="30" t="str">
        <f>IFERROR(__xludf.DUMMYFUNCTION("""COMPUTED_VALUE"""),"RSC006060")</f>
        <v>RSC006060</v>
      </c>
      <c r="C792" s="30" t="str">
        <f>IFERROR(__xludf.DUMMYFUNCTION("""COMPUTED_VALUE"""),"WP_Merciless")</f>
        <v>WP_Merciless</v>
      </c>
      <c r="D792" s="31" t="str">
        <f>IFERROR(__xludf.DUMMYFUNCTION("""COMPUTED_VALUE"""),"Rulers")</f>
        <v>Rulers</v>
      </c>
      <c r="E792" s="31">
        <f>IFERROR(__xludf.DUMMYFUNCTION("""COMPUTED_VALUE"""),54.18578914456199)</f>
        <v>54.18578914</v>
      </c>
      <c r="F792" s="31">
        <f>IFERROR(__xludf.DUMMYFUNCTION("""COMPUTED_VALUE"""),2.306723954331884)</f>
        <v>2.306723954</v>
      </c>
      <c r="G792" s="31">
        <f>IFERROR(__xludf.DUMMYFUNCTION("""COMPUTED_VALUE"""),55.28408015697411)</f>
        <v>55.28408016</v>
      </c>
      <c r="H792" s="31">
        <f>IFERROR(__xludf.DUMMYFUNCTION("""COMPUTED_VALUE"""),2.402102708606409)</f>
        <v>2.402102709</v>
      </c>
      <c r="I792" s="54">
        <f>IFERROR(__xludf.DUMMYFUNCTION("""COMPUTED_VALUE"""),37.0)</f>
        <v>37</v>
      </c>
      <c r="J792" s="55">
        <f>IFERROR(__xludf.DUMMYFUNCTION("""COMPUTED_VALUE"""),17.0)</f>
        <v>17</v>
      </c>
      <c r="K792" s="54">
        <f>IFERROR(__xludf.DUMMYFUNCTION("""COMPUTED_VALUE"""),20.0)</f>
        <v>20</v>
      </c>
      <c r="L792" s="56">
        <f>IFERROR(__xludf.DUMMYFUNCTION("""COMPUTED_VALUE"""),0.4594594594594595)</f>
        <v>0.4594594595</v>
      </c>
      <c r="M792" s="56">
        <f>IFERROR(__xludf.DUMMYFUNCTION("""COMPUTED_VALUE"""),0.29126213592233013)</f>
        <v>0.2912621359</v>
      </c>
      <c r="N792" s="31">
        <f>IFERROR(__xludf.DUMMYFUNCTION("""COMPUTED_VALUE"""),379.0810810810811)</f>
        <v>379.0810811</v>
      </c>
      <c r="O792" s="57">
        <f>IFERROR(__xludf.DUMMYFUNCTION("""COMPUTED_VALUE"""),0.8108108108108109)</f>
        <v>0.8108108108</v>
      </c>
      <c r="P792" s="57">
        <f>IFERROR(__xludf.DUMMYFUNCTION("""COMPUTED_VALUE"""),0.3783783783783784)</f>
        <v>0.3783783784</v>
      </c>
      <c r="Q792" s="57">
        <f>IFERROR(__xludf.DUMMYFUNCTION("""COMPUTED_VALUE"""),1.7027027027027026)</f>
        <v>1.702702703</v>
      </c>
      <c r="R792" s="57">
        <f>IFERROR(__xludf.DUMMYFUNCTION("""COMPUTED_VALUE"""),2.7837837837837838)</f>
        <v>2.783783784</v>
      </c>
      <c r="S792" s="31">
        <f>IFERROR(__xludf.DUMMYFUNCTION("""COMPUTED_VALUE"""),342.64864864864865)</f>
        <v>342.6486486</v>
      </c>
      <c r="T792" s="57">
        <f>IFERROR(__xludf.DUMMYFUNCTION("""COMPUTED_VALUE"""),0.7477477477477477)</f>
        <v>0.7477477477</v>
      </c>
      <c r="U792" s="57">
        <f>IFERROR(__xludf.DUMMYFUNCTION("""COMPUTED_VALUE"""),0.5315315315315315)</f>
        <v>0.5315315315</v>
      </c>
      <c r="V792" s="57">
        <f>IFERROR(__xludf.DUMMYFUNCTION("""COMPUTED_VALUE"""),1.2522522522522523)</f>
        <v>1.252252252</v>
      </c>
      <c r="W792" s="57">
        <f>IFERROR(__xludf.DUMMYFUNCTION("""COMPUTED_VALUE"""),2.9369369369369376)</f>
        <v>2.936936937</v>
      </c>
      <c r="X792" s="31">
        <f>IFERROR(__xludf.DUMMYFUNCTION("""COMPUTED_VALUE"""),360.2608687267358)</f>
        <v>360.2608687</v>
      </c>
      <c r="Y792" s="57">
        <f>IFERROR(__xludf.DUMMYFUNCTION("""COMPUTED_VALUE"""),0.8534523179403982)</f>
        <v>0.8534523179</v>
      </c>
      <c r="Z792" s="57">
        <f>IFERROR(__xludf.DUMMYFUNCTION("""COMPUTED_VALUE"""),0.5751723990969103)</f>
        <v>0.5751723991</v>
      </c>
      <c r="AA792" s="57">
        <f>IFERROR(__xludf.DUMMYFUNCTION("""COMPUTED_VALUE"""),1.3129559321970796)</f>
        <v>1.312955932</v>
      </c>
      <c r="AB792" s="57">
        <f>IFERROR(__xludf.DUMMYFUNCTION("""COMPUTED_VALUE"""),2.723097306655406)</f>
        <v>2.723097307</v>
      </c>
      <c r="AC792" s="31">
        <f>IFERROR(__xludf.DUMMYFUNCTION("""COMPUTED_VALUE"""),355.0338839764305)</f>
        <v>355.033884</v>
      </c>
      <c r="AD792" s="57">
        <f>IFERROR(__xludf.DUMMYFUNCTION("""COMPUTED_VALUE"""),0.7924778006641505)</f>
        <v>0.7924778007</v>
      </c>
      <c r="AE792" s="57">
        <f>IFERROR(__xludf.DUMMYFUNCTION("""COMPUTED_VALUE"""),0.5766859517514027)</f>
        <v>0.5766859518</v>
      </c>
      <c r="AF792" s="57">
        <f>IFERROR(__xludf.DUMMYFUNCTION("""COMPUTED_VALUE"""),1.3906804169577314)</f>
        <v>1.390680417</v>
      </c>
      <c r="AG792" s="57">
        <f>IFERROR(__xludf.DUMMYFUNCTION("""COMPUTED_VALUE"""),2.5874652543304237)</f>
        <v>2.587465254</v>
      </c>
      <c r="AH792" s="57">
        <f>IFERROR(__xludf.DUMMYFUNCTION("""COMPUTED_VALUE"""),1.067732118510263)</f>
        <v>1.067732119</v>
      </c>
      <c r="AI792" s="57">
        <f>IFERROR(__xludf.DUMMYFUNCTION("""COMPUTED_VALUE"""),1.0231337838502177)</f>
        <v>1.023133784</v>
      </c>
      <c r="AJ792" s="57">
        <f>IFERROR(__xludf.DUMMYFUNCTION("""COMPUTED_VALUE"""),0.6561255345812368)</f>
        <v>0.6561255346</v>
      </c>
      <c r="AK792" s="57">
        <f>IFERROR(__xludf.DUMMYFUNCTION("""COMPUTED_VALUE"""),1.224366635166658)</f>
        <v>1.224366635</v>
      </c>
      <c r="AL792" s="57">
        <f>IFERROR(__xludf.DUMMYFUNCTION("""COMPUTED_VALUE"""),1.075872914283505)</f>
        <v>1.075872914</v>
      </c>
      <c r="AM792" s="57">
        <f>IFERROR(__xludf.DUMMYFUNCTION("""COMPUTED_VALUE"""),0.951112591993869)</f>
        <v>0.951112592</v>
      </c>
      <c r="AN792" s="57">
        <f>IFERROR(__xludf.DUMMYFUNCTION("""COMPUTED_VALUE"""),0.8761447265762391)</f>
        <v>0.8761447266</v>
      </c>
      <c r="AO792" s="57">
        <f>IFERROR(__xludf.DUMMYFUNCTION("""COMPUTED_VALUE"""),0.9241255880256073)</f>
        <v>0.924125588</v>
      </c>
      <c r="AP792" s="35">
        <f>IFERROR(__xludf.DUMMYFUNCTION("""COMPUTED_VALUE"""),0.9537656379348188)</f>
        <v>0.9537656379</v>
      </c>
      <c r="AQ792" s="57">
        <f>IFERROR(__xludf.DUMMYFUNCTION("""COMPUTED_VALUE"""),1.0785280899653844)</f>
        <v>1.07852809</v>
      </c>
      <c r="AR792" s="36" t="b">
        <f>IFERROR(__xludf.DUMMYFUNCTION("""COMPUTED_VALUE"""),TRUE)</f>
        <v>1</v>
      </c>
      <c r="AS792" s="57"/>
      <c r="AT792" s="37"/>
      <c r="AU792" s="30"/>
      <c r="AV792" s="30"/>
      <c r="AW792" s="30"/>
      <c r="AX792" s="30"/>
      <c r="AY792" s="30"/>
      <c r="AZ792" s="30"/>
    </row>
    <row r="793">
      <c r="A793" s="30" t="str">
        <f>IFERROR(__xludf.DUMMYFUNCTION("""COMPUTED_VALUE"""),"Veteran")</f>
        <v>Veteran</v>
      </c>
      <c r="B793" s="30" t="str">
        <f>IFERROR(__xludf.DUMMYFUNCTION("""COMPUTED_VALUE"""),"RSC007512")</f>
        <v>RSC007512</v>
      </c>
      <c r="C793" s="30" t="str">
        <f>IFERROR(__xludf.DUMMYFUNCTION("""COMPUTED_VALUE"""),"BigGreenRL")</f>
        <v>BigGreenRL</v>
      </c>
      <c r="D793" s="31" t="str">
        <f>IFERROR(__xludf.DUMMYFUNCTION("""COMPUTED_VALUE"""),"Banshees")</f>
        <v>Banshees</v>
      </c>
      <c r="E793" s="31">
        <f>IFERROR(__xludf.DUMMYFUNCTION("""COMPUTED_VALUE"""),53.83784130101387)</f>
        <v>53.8378413</v>
      </c>
      <c r="F793" s="31">
        <f>IFERROR(__xludf.DUMMYFUNCTION("""COMPUTED_VALUE"""),2.2779219050073327)</f>
        <v>2.277921905</v>
      </c>
      <c r="G793" s="31">
        <f>IFERROR(__xludf.DUMMYFUNCTION("""COMPUTED_VALUE"""),52.470473801470185)</f>
        <v>52.4704738</v>
      </c>
      <c r="H793" s="31">
        <f>IFERROR(__xludf.DUMMYFUNCTION("""COMPUTED_VALUE"""),2.1708879098122726)</f>
        <v>2.17088791</v>
      </c>
      <c r="I793" s="54">
        <f>IFERROR(__xludf.DUMMYFUNCTION("""COMPUTED_VALUE"""),44.0)</f>
        <v>44</v>
      </c>
      <c r="J793" s="55">
        <f>IFERROR(__xludf.DUMMYFUNCTION("""COMPUTED_VALUE"""),22.0)</f>
        <v>22</v>
      </c>
      <c r="K793" s="54">
        <f>IFERROR(__xludf.DUMMYFUNCTION("""COMPUTED_VALUE"""),22.0)</f>
        <v>22</v>
      </c>
      <c r="L793" s="56">
        <f>IFERROR(__xludf.DUMMYFUNCTION("""COMPUTED_VALUE"""),0.5)</f>
        <v>0.5</v>
      </c>
      <c r="M793" s="56">
        <f>IFERROR(__xludf.DUMMYFUNCTION("""COMPUTED_VALUE"""),0.3490566037735849)</f>
        <v>0.3490566038</v>
      </c>
      <c r="N793" s="31">
        <f>IFERROR(__xludf.DUMMYFUNCTION("""COMPUTED_VALUE"""),370.59090909090907)</f>
        <v>370.5909091</v>
      </c>
      <c r="O793" s="57">
        <f>IFERROR(__xludf.DUMMYFUNCTION("""COMPUTED_VALUE"""),0.8409090909090909)</f>
        <v>0.8409090909</v>
      </c>
      <c r="P793" s="57">
        <f>IFERROR(__xludf.DUMMYFUNCTION("""COMPUTED_VALUE"""),0.4090909090909091)</f>
        <v>0.4090909091</v>
      </c>
      <c r="Q793" s="57">
        <f>IFERROR(__xludf.DUMMYFUNCTION("""COMPUTED_VALUE"""),1.5)</f>
        <v>1.5</v>
      </c>
      <c r="R793" s="57">
        <f>IFERROR(__xludf.DUMMYFUNCTION("""COMPUTED_VALUE"""),2.409090909090909)</f>
        <v>2.409090909</v>
      </c>
      <c r="S793" s="31">
        <f>IFERROR(__xludf.DUMMYFUNCTION("""COMPUTED_VALUE"""),323.3030303030303)</f>
        <v>323.3030303</v>
      </c>
      <c r="T793" s="57">
        <f>IFERROR(__xludf.DUMMYFUNCTION("""COMPUTED_VALUE"""),0.6893939393939396)</f>
        <v>0.6893939394</v>
      </c>
      <c r="U793" s="57">
        <f>IFERROR(__xludf.DUMMYFUNCTION("""COMPUTED_VALUE"""),0.5151515151515152)</f>
        <v>0.5151515152</v>
      </c>
      <c r="V793" s="57">
        <f>IFERROR(__xludf.DUMMYFUNCTION("""COMPUTED_VALUE"""),1.1969696969696972)</f>
        <v>1.196969697</v>
      </c>
      <c r="W793" s="57">
        <f>IFERROR(__xludf.DUMMYFUNCTION("""COMPUTED_VALUE"""),2.5681818181818183)</f>
        <v>2.568181818</v>
      </c>
      <c r="X793" s="31">
        <f>IFERROR(__xludf.DUMMYFUNCTION("""COMPUTED_VALUE"""),353.2913462869675)</f>
        <v>353.2913463</v>
      </c>
      <c r="Y793" s="57">
        <f>IFERROR(__xludf.DUMMYFUNCTION("""COMPUTED_VALUE"""),0.7939142659146815)</f>
        <v>0.7939142659</v>
      </c>
      <c r="Z793" s="57">
        <f>IFERROR(__xludf.DUMMYFUNCTION("""COMPUTED_VALUE"""),0.5601599545172417)</f>
        <v>0.5601599545</v>
      </c>
      <c r="AA793" s="57">
        <f>IFERROR(__xludf.DUMMYFUNCTION("""COMPUTED_VALUE"""),1.3541231953301305)</f>
        <v>1.354123195</v>
      </c>
      <c r="AB793" s="57">
        <f>IFERROR(__xludf.DUMMYFUNCTION("""COMPUTED_VALUE"""),2.637822193813639)</f>
        <v>2.637822194</v>
      </c>
      <c r="AC793" s="31">
        <f>IFERROR(__xludf.DUMMYFUNCTION("""COMPUTED_VALUE"""),356.69543585446115)</f>
        <v>356.6954359</v>
      </c>
      <c r="AD793" s="57">
        <f>IFERROR(__xludf.DUMMYFUNCTION("""COMPUTED_VALUE"""),0.7957710410087168)</f>
        <v>0.795771041</v>
      </c>
      <c r="AE793" s="57">
        <f>IFERROR(__xludf.DUMMYFUNCTION("""COMPUTED_VALUE"""),0.5888274584302232)</f>
        <v>0.5888274584</v>
      </c>
      <c r="AF793" s="57">
        <f>IFERROR(__xludf.DUMMYFUNCTION("""COMPUTED_VALUE"""),1.3681289277744666)</f>
        <v>1.368128928</v>
      </c>
      <c r="AG793" s="57">
        <f>IFERROR(__xludf.DUMMYFUNCTION("""COMPUTED_VALUE"""),2.623367487822806)</f>
        <v>2.623367488</v>
      </c>
      <c r="AH793" s="57">
        <f>IFERROR(__xludf.DUMMYFUNCTION("""COMPUTED_VALUE"""),1.0389561285054332)</f>
        <v>1.038956129</v>
      </c>
      <c r="AI793" s="57">
        <f>IFERROR(__xludf.DUMMYFUNCTION("""COMPUTED_VALUE"""),1.0567224082986952)</f>
        <v>1.056722408</v>
      </c>
      <c r="AJ793" s="57">
        <f>IFERROR(__xludf.DUMMYFUNCTION("""COMPUTED_VALUE"""),0.6947551498048675)</f>
        <v>0.6947551498</v>
      </c>
      <c r="AK793" s="57">
        <f>IFERROR(__xludf.DUMMYFUNCTION("""COMPUTED_VALUE"""),1.0963878985002151)</f>
        <v>1.096387899</v>
      </c>
      <c r="AL793" s="57">
        <f>IFERROR(__xludf.DUMMYFUNCTION("""COMPUTED_VALUE"""),0.9183200296083069)</f>
        <v>0.9183200296</v>
      </c>
      <c r="AM793" s="57">
        <f>IFERROR(__xludf.DUMMYFUNCTION("""COMPUTED_VALUE"""),0.9151173208766381)</f>
        <v>0.9151173209</v>
      </c>
      <c r="AN793" s="57">
        <f>IFERROR(__xludf.DUMMYFUNCTION("""COMPUTED_VALUE"""),0.8683480937323599)</f>
        <v>0.8683480937</v>
      </c>
      <c r="AO793" s="57">
        <f>IFERROR(__xludf.DUMMYFUNCTION("""COMPUTED_VALUE"""),0.9196507372532268)</f>
        <v>0.9196507373</v>
      </c>
      <c r="AP793" s="35">
        <f>IFERROR(__xludf.DUMMYFUNCTION("""COMPUTED_VALUE"""),0.883944460221642)</f>
        <v>0.8839444602</v>
      </c>
      <c r="AQ793" s="57">
        <f>IFERROR(__xludf.DUMMYFUNCTION("""COMPUTED_VALUE"""),0.9735992911898517)</f>
        <v>0.9735992912</v>
      </c>
      <c r="AR793" s="36" t="b">
        <f>IFERROR(__xludf.DUMMYFUNCTION("""COMPUTED_VALUE"""),TRUE)</f>
        <v>1</v>
      </c>
      <c r="AS793" s="57"/>
      <c r="AT793" s="37"/>
      <c r="AU793" s="30"/>
      <c r="AV793" s="30"/>
      <c r="AW793" s="30"/>
      <c r="AX793" s="30"/>
      <c r="AY793" s="30"/>
      <c r="AZ793" s="30"/>
    </row>
    <row r="794">
      <c r="A794" s="30" t="str">
        <f>IFERROR(__xludf.DUMMYFUNCTION("""COMPUTED_VALUE"""),"Veteran")</f>
        <v>Veteran</v>
      </c>
      <c r="B794" s="30" t="str">
        <f>IFERROR(__xludf.DUMMYFUNCTION("""COMPUTED_VALUE"""),"RSC004220")</f>
        <v>RSC004220</v>
      </c>
      <c r="C794" s="30" t="str">
        <f>IFERROR(__xludf.DUMMYFUNCTION("""COMPUTED_VALUE"""),"Logixaal")</f>
        <v>Logixaal</v>
      </c>
      <c r="D794" s="31" t="str">
        <f>IFERROR(__xludf.DUMMYFUNCTION("""COMPUTED_VALUE"""),"Typhoons")</f>
        <v>Typhoons</v>
      </c>
      <c r="E794" s="31">
        <f>IFERROR(__xludf.DUMMYFUNCTION("""COMPUTED_VALUE"""),53.75235131653748)</f>
        <v>53.75235132</v>
      </c>
      <c r="F794" s="31">
        <f>IFERROR(__xludf.DUMMYFUNCTION("""COMPUTED_VALUE"""),2.2709455814139163)</f>
        <v>2.270945581</v>
      </c>
      <c r="G794" s="31">
        <f>IFERROR(__xludf.DUMMYFUNCTION("""COMPUTED_VALUE"""),46.321733075321376)</f>
        <v>46.32173308</v>
      </c>
      <c r="H794" s="31">
        <f>IFERROR(__xludf.DUMMYFUNCTION("""COMPUTED_VALUE"""),-2.264931592762083)</f>
        <v>-2.264931593</v>
      </c>
      <c r="I794" s="54">
        <f>IFERROR(__xludf.DUMMYFUNCTION("""COMPUTED_VALUE"""),23.0)</f>
        <v>23</v>
      </c>
      <c r="J794" s="55">
        <f>IFERROR(__xludf.DUMMYFUNCTION("""COMPUTED_VALUE"""),14.0)</f>
        <v>14</v>
      </c>
      <c r="K794" s="54">
        <f>IFERROR(__xludf.DUMMYFUNCTION("""COMPUTED_VALUE"""),9.0)</f>
        <v>9</v>
      </c>
      <c r="L794" s="56">
        <f>IFERROR(__xludf.DUMMYFUNCTION("""COMPUTED_VALUE"""),0.6086956521739131)</f>
        <v>0.6086956522</v>
      </c>
      <c r="M794" s="56">
        <f>IFERROR(__xludf.DUMMYFUNCTION("""COMPUTED_VALUE"""),0.33999999999999997)</f>
        <v>0.34</v>
      </c>
      <c r="N794" s="31">
        <f>IFERROR(__xludf.DUMMYFUNCTION("""COMPUTED_VALUE"""),313.4782608695652)</f>
        <v>313.4782609</v>
      </c>
      <c r="O794" s="57">
        <f>IFERROR(__xludf.DUMMYFUNCTION("""COMPUTED_VALUE"""),0.7391304347826086)</f>
        <v>0.7391304348</v>
      </c>
      <c r="P794" s="57">
        <f>IFERROR(__xludf.DUMMYFUNCTION("""COMPUTED_VALUE"""),0.6086956521739131)</f>
        <v>0.6086956522</v>
      </c>
      <c r="Q794" s="57">
        <f>IFERROR(__xludf.DUMMYFUNCTION("""COMPUTED_VALUE"""),1.0)</f>
        <v>1</v>
      </c>
      <c r="R794" s="57">
        <f>IFERROR(__xludf.DUMMYFUNCTION("""COMPUTED_VALUE"""),2.1739130434782608)</f>
        <v>2.173913043</v>
      </c>
      <c r="S794" s="31">
        <f>IFERROR(__xludf.DUMMYFUNCTION("""COMPUTED_VALUE"""),327.9130434782609)</f>
        <v>327.9130435</v>
      </c>
      <c r="T794" s="57">
        <f>IFERROR(__xludf.DUMMYFUNCTION("""COMPUTED_VALUE"""),0.6521739130434783)</f>
        <v>0.652173913</v>
      </c>
      <c r="U794" s="57">
        <f>IFERROR(__xludf.DUMMYFUNCTION("""COMPUTED_VALUE"""),0.4927536231884058)</f>
        <v>0.4927536232</v>
      </c>
      <c r="V794" s="57">
        <f>IFERROR(__xludf.DUMMYFUNCTION("""COMPUTED_VALUE"""),1.333333333333333)</f>
        <v>1.333333333</v>
      </c>
      <c r="W794" s="57">
        <f>IFERROR(__xludf.DUMMYFUNCTION("""COMPUTED_VALUE"""),2.2028985507246377)</f>
        <v>2.202898551</v>
      </c>
      <c r="X794" s="31">
        <f>IFERROR(__xludf.DUMMYFUNCTION("""COMPUTED_VALUE"""),350.89778336279835)</f>
        <v>350.8977834</v>
      </c>
      <c r="Y794" s="57">
        <f>IFERROR(__xludf.DUMMYFUNCTION("""COMPUTED_VALUE"""),0.7392775292836695)</f>
        <v>0.7392775293</v>
      </c>
      <c r="Z794" s="57">
        <f>IFERROR(__xludf.DUMMYFUNCTION("""COMPUTED_VALUE"""),0.5665339252908053)</f>
        <v>0.5665339253</v>
      </c>
      <c r="AA794" s="57">
        <f>IFERROR(__xludf.DUMMYFUNCTION("""COMPUTED_VALUE"""),1.363562871289467)</f>
        <v>1.363562871</v>
      </c>
      <c r="AB794" s="57">
        <f>IFERROR(__xludf.DUMMYFUNCTION("""COMPUTED_VALUE"""),2.510299419738843)</f>
        <v>2.51029942</v>
      </c>
      <c r="AC794" s="31">
        <f>IFERROR(__xludf.DUMMYFUNCTION("""COMPUTED_VALUE"""),346.7022033465877)</f>
        <v>346.7022033</v>
      </c>
      <c r="AD794" s="57">
        <f>IFERROR(__xludf.DUMMYFUNCTION("""COMPUTED_VALUE"""),0.7363419696205041)</f>
        <v>0.7363419696</v>
      </c>
      <c r="AE794" s="57">
        <f>IFERROR(__xludf.DUMMYFUNCTION("""COMPUTED_VALUE"""),0.5495738867862945)</f>
        <v>0.5495738868</v>
      </c>
      <c r="AF794" s="57">
        <f>IFERROR(__xludf.DUMMYFUNCTION("""COMPUTED_VALUE"""),1.332114836448018)</f>
        <v>1.332114836</v>
      </c>
      <c r="AG794" s="57">
        <f>IFERROR(__xludf.DUMMYFUNCTION("""COMPUTED_VALUE"""),2.5883414625085788)</f>
        <v>2.588341463</v>
      </c>
      <c r="AH794" s="57">
        <f>IFERROR(__xludf.DUMMYFUNCTION("""COMPUTED_VALUE"""),0.9041715277367028)</f>
        <v>0.9041715277</v>
      </c>
      <c r="AI794" s="57">
        <f>IFERROR(__xludf.DUMMYFUNCTION("""COMPUTED_VALUE"""),1.0037869159672395)</f>
        <v>1.003786916</v>
      </c>
      <c r="AJ794" s="57">
        <f>IFERROR(__xludf.DUMMYFUNCTION("""COMPUTED_VALUE"""),1.1075774646669274)</f>
        <v>1.107577465</v>
      </c>
      <c r="AK794" s="57">
        <f>IFERROR(__xludf.DUMMYFUNCTION("""COMPUTED_VALUE"""),0.7506860314433726)</f>
        <v>0.7506860314</v>
      </c>
      <c r="AL794" s="57">
        <f>IFERROR(__xludf.DUMMYFUNCTION("""COMPUTED_VALUE"""),0.8398864968037638)</f>
        <v>0.8398864968</v>
      </c>
      <c r="AM794" s="57">
        <f>IFERROR(__xludf.DUMMYFUNCTION("""COMPUTED_VALUE"""),0.9344973351946962)</f>
        <v>0.9344973352</v>
      </c>
      <c r="AN794" s="57">
        <f>IFERROR(__xludf.DUMMYFUNCTION("""COMPUTED_VALUE"""),0.8821773788734101)</f>
        <v>0.8821773789</v>
      </c>
      <c r="AO794" s="57">
        <f>IFERROR(__xludf.DUMMYFUNCTION("""COMPUTED_VALUE"""),0.8697689603239073)</f>
        <v>0.8697689603</v>
      </c>
      <c r="AP794" s="35">
        <f>IFERROR(__xludf.DUMMYFUNCTION("""COMPUTED_VALUE"""),0.9778304773526526)</f>
        <v>0.9778304774</v>
      </c>
      <c r="AQ794" s="57">
        <f>IFERROR(__xludf.DUMMYFUNCTION("""COMPUTED_VALUE"""),0.8775441421062888)</f>
        <v>0.8775441421</v>
      </c>
      <c r="AR794" s="36" t="b">
        <f>IFERROR(__xludf.DUMMYFUNCTION("""COMPUTED_VALUE"""),TRUE)</f>
        <v>1</v>
      </c>
      <c r="AS794" s="57"/>
      <c r="AT794" s="37"/>
      <c r="AU794" s="30"/>
      <c r="AV794" s="30"/>
      <c r="AW794" s="30"/>
      <c r="AX794" s="30"/>
      <c r="AY794" s="30"/>
      <c r="AZ794" s="30"/>
    </row>
    <row r="795">
      <c r="A795" s="30" t="str">
        <f>IFERROR(__xludf.DUMMYFUNCTION("""COMPUTED_VALUE"""),"Veteran")</f>
        <v>Veteran</v>
      </c>
      <c r="B795" s="30" t="str">
        <f>IFERROR(__xludf.DUMMYFUNCTION("""COMPUTED_VALUE"""),"RSC005490")</f>
        <v>RSC005490</v>
      </c>
      <c r="C795" s="30" t="str">
        <f>IFERROR(__xludf.DUMMYFUNCTION("""COMPUTED_VALUE"""),"iProfessorEx")</f>
        <v>iProfessorEx</v>
      </c>
      <c r="D795" s="31" t="str">
        <f>IFERROR(__xludf.DUMMYFUNCTION("""COMPUTED_VALUE"""),"Repossessed")</f>
        <v>Repossessed</v>
      </c>
      <c r="E795" s="31">
        <f>IFERROR(__xludf.DUMMYFUNCTION("""COMPUTED_VALUE"""),53.660471942616496)</f>
        <v>53.66047194</v>
      </c>
      <c r="F795" s="31">
        <f>IFERROR(__xludf.DUMMYFUNCTION("""COMPUTED_VALUE"""),2.2634913902237446)</f>
        <v>2.26349139</v>
      </c>
      <c r="G795" s="31">
        <f>IFERROR(__xludf.DUMMYFUNCTION("""COMPUTED_VALUE"""),60.36490019352288)</f>
        <v>60.36490019</v>
      </c>
      <c r="H795" s="31">
        <f>IFERROR(__xludf.DUMMYFUNCTION("""COMPUTED_VALUE"""),2.9479495093820405)</f>
        <v>2.947949509</v>
      </c>
      <c r="I795" s="54">
        <f>IFERROR(__xludf.DUMMYFUNCTION("""COMPUTED_VALUE"""),32.0)</f>
        <v>32</v>
      </c>
      <c r="J795" s="55">
        <f>IFERROR(__xludf.DUMMYFUNCTION("""COMPUTED_VALUE"""),16.0)</f>
        <v>16</v>
      </c>
      <c r="K795" s="54">
        <f>IFERROR(__xludf.DUMMYFUNCTION("""COMPUTED_VALUE"""),16.0)</f>
        <v>16</v>
      </c>
      <c r="L795" s="56">
        <f>IFERROR(__xludf.DUMMYFUNCTION("""COMPUTED_VALUE"""),0.5)</f>
        <v>0.5</v>
      </c>
      <c r="M795" s="56">
        <f>IFERROR(__xludf.DUMMYFUNCTION("""COMPUTED_VALUE"""),0.2804878048780488)</f>
        <v>0.2804878049</v>
      </c>
      <c r="N795" s="31">
        <f>IFERROR(__xludf.DUMMYFUNCTION("""COMPUTED_VALUE"""),382.40625)</f>
        <v>382.40625</v>
      </c>
      <c r="O795" s="57">
        <f>IFERROR(__xludf.DUMMYFUNCTION("""COMPUTED_VALUE"""),0.71875)</f>
        <v>0.71875</v>
      </c>
      <c r="P795" s="57">
        <f>IFERROR(__xludf.DUMMYFUNCTION("""COMPUTED_VALUE"""),0.34375)</f>
        <v>0.34375</v>
      </c>
      <c r="Q795" s="57">
        <f>IFERROR(__xludf.DUMMYFUNCTION("""COMPUTED_VALUE"""),1.84375)</f>
        <v>1.84375</v>
      </c>
      <c r="R795" s="57">
        <f>IFERROR(__xludf.DUMMYFUNCTION("""COMPUTED_VALUE"""),2.5625)</f>
        <v>2.5625</v>
      </c>
      <c r="S795" s="31">
        <f>IFERROR(__xludf.DUMMYFUNCTION("""COMPUTED_VALUE"""),331.49999999999994)</f>
        <v>331.5</v>
      </c>
      <c r="T795" s="57">
        <f>IFERROR(__xludf.DUMMYFUNCTION("""COMPUTED_VALUE"""),0.6145833333333333)</f>
        <v>0.6145833333</v>
      </c>
      <c r="U795" s="57">
        <f>IFERROR(__xludf.DUMMYFUNCTION("""COMPUTED_VALUE"""),0.43749999999999994)</f>
        <v>0.4375</v>
      </c>
      <c r="V795" s="57">
        <f>IFERROR(__xludf.DUMMYFUNCTION("""COMPUTED_VALUE"""),1.4166666666666665)</f>
        <v>1.416666667</v>
      </c>
      <c r="W795" s="57">
        <f>IFERROR(__xludf.DUMMYFUNCTION("""COMPUTED_VALUE"""),2.4479166666666665)</f>
        <v>2.447916667</v>
      </c>
      <c r="X795" s="31">
        <f>IFERROR(__xludf.DUMMYFUNCTION("""COMPUTED_VALUE"""),354.97255938922046)</f>
        <v>354.9725594</v>
      </c>
      <c r="Y795" s="57">
        <f>IFERROR(__xludf.DUMMYFUNCTION("""COMPUTED_VALUE"""),0.7885883376596321)</f>
        <v>0.7885883377</v>
      </c>
      <c r="Z795" s="57">
        <f>IFERROR(__xludf.DUMMYFUNCTION("""COMPUTED_VALUE"""),0.5796743353448216)</f>
        <v>0.5796743353</v>
      </c>
      <c r="AA795" s="57">
        <f>IFERROR(__xludf.DUMMYFUNCTION("""COMPUTED_VALUE"""),1.3574650481128532)</f>
        <v>1.357465048</v>
      </c>
      <c r="AB795" s="57">
        <f>IFERROR(__xludf.DUMMYFUNCTION("""COMPUTED_VALUE"""),2.6010513857160453)</f>
        <v>2.601051386</v>
      </c>
      <c r="AC795" s="31">
        <f>IFERROR(__xludf.DUMMYFUNCTION("""COMPUTED_VALUE"""),347.49236573657265)</f>
        <v>347.4923657</v>
      </c>
      <c r="AD795" s="57">
        <f>IFERROR(__xludf.DUMMYFUNCTION("""COMPUTED_VALUE"""),0.7404347685431001)</f>
        <v>0.7404347685</v>
      </c>
      <c r="AE795" s="57">
        <f>IFERROR(__xludf.DUMMYFUNCTION("""COMPUTED_VALUE"""),0.5575125023709807)</f>
        <v>0.5575125024</v>
      </c>
      <c r="AF795" s="57">
        <f>IFERROR(__xludf.DUMMYFUNCTION("""COMPUTED_VALUE"""),1.3412584933624505)</f>
        <v>1.341258493</v>
      </c>
      <c r="AG795" s="57">
        <f>IFERROR(__xludf.DUMMYFUNCTION("""COMPUTED_VALUE"""),2.5302621552818847)</f>
        <v>2.530262155</v>
      </c>
      <c r="AH795" s="57">
        <f>IFERROR(__xludf.DUMMYFUNCTION("""COMPUTED_VALUE"""),1.100473816710825)</f>
        <v>1.100473817</v>
      </c>
      <c r="AI795" s="57">
        <f>IFERROR(__xludf.DUMMYFUNCTION("""COMPUTED_VALUE"""),0.9707134652985466)</f>
        <v>0.9707134653</v>
      </c>
      <c r="AJ795" s="57">
        <f>IFERROR(__xludf.DUMMYFUNCTION("""COMPUTED_VALUE"""),0.6165781010077894)</f>
        <v>0.616578101</v>
      </c>
      <c r="AK795" s="57">
        <f>IFERROR(__xludf.DUMMYFUNCTION("""COMPUTED_VALUE"""),1.3746418077680425)</f>
        <v>1.374641808</v>
      </c>
      <c r="AL795" s="57">
        <f>IFERROR(__xludf.DUMMYFUNCTION("""COMPUTED_VALUE"""),1.0127409109174002)</f>
        <v>1.012740911</v>
      </c>
      <c r="AM795" s="57">
        <f>IFERROR(__xludf.DUMMYFUNCTION("""COMPUTED_VALUE"""),0.9338750030999345)</f>
        <v>0.9338750031</v>
      </c>
      <c r="AN795" s="57">
        <f>IFERROR(__xludf.DUMMYFUNCTION("""COMPUTED_VALUE"""),0.7793462114305293)</f>
        <v>0.7793462114</v>
      </c>
      <c r="AO795" s="57">
        <f>IFERROR(__xludf.DUMMYFUNCTION("""COMPUTED_VALUE"""),0.7547341210815403)</f>
        <v>0.7547341211</v>
      </c>
      <c r="AP795" s="35">
        <f>IFERROR(__xludf.DUMMYFUNCTION("""COMPUTED_VALUE"""),1.0436118916182153)</f>
        <v>1.043611892</v>
      </c>
      <c r="AQ795" s="57">
        <f>IFERROR(__xludf.DUMMYFUNCTION("""COMPUTED_VALUE"""),0.9411258386165169)</f>
        <v>0.9411258386</v>
      </c>
      <c r="AR795" s="36" t="b">
        <f>IFERROR(__xludf.DUMMYFUNCTION("""COMPUTED_VALUE"""),TRUE)</f>
        <v>1</v>
      </c>
      <c r="AS795" s="57"/>
      <c r="AT795" s="37"/>
      <c r="AU795" s="30"/>
      <c r="AV795" s="30"/>
      <c r="AW795" s="30"/>
      <c r="AX795" s="30"/>
      <c r="AY795" s="30"/>
      <c r="AZ795" s="30"/>
    </row>
    <row r="796">
      <c r="A796" s="30" t="str">
        <f>IFERROR(__xludf.DUMMYFUNCTION("""COMPUTED_VALUE"""),"Veteran")</f>
        <v>Veteran</v>
      </c>
      <c r="B796" s="30" t="str">
        <f>IFERROR(__xludf.DUMMYFUNCTION("""COMPUTED_VALUE"""),"RSC007900")</f>
        <v>RSC007900</v>
      </c>
      <c r="C796" s="30" t="str">
        <f>IFERROR(__xludf.DUMMYFUNCTION("""COMPUTED_VALUE"""),"Car.")</f>
        <v>Car.</v>
      </c>
      <c r="D796" s="31" t="str">
        <f>IFERROR(__xludf.DUMMYFUNCTION("""COMPUTED_VALUE"""),"Supernova")</f>
        <v>Supernova</v>
      </c>
      <c r="E796" s="31">
        <f>IFERROR(__xludf.DUMMYFUNCTION("""COMPUTED_VALUE"""),53.465716840886024)</f>
        <v>53.46571684</v>
      </c>
      <c r="F796" s="31">
        <f>IFERROR(__xludf.DUMMYFUNCTION("""COMPUTED_VALUE"""),2.2478386317365566)</f>
        <v>2.247838632</v>
      </c>
      <c r="G796" s="31">
        <f>IFERROR(__xludf.DUMMYFUNCTION("""COMPUTED_VALUE"""),63.2643256517532)</f>
        <v>63.26432565</v>
      </c>
      <c r="H796" s="31">
        <f>IFERROR(__xludf.DUMMYFUNCTION("""COMPUTED_VALUE"""),3.3573118597799083)</f>
        <v>3.35731186</v>
      </c>
      <c r="I796" s="54">
        <f>IFERROR(__xludf.DUMMYFUNCTION("""COMPUTED_VALUE"""),20.0)</f>
        <v>20</v>
      </c>
      <c r="J796" s="55">
        <f>IFERROR(__xludf.DUMMYFUNCTION("""COMPUTED_VALUE"""),6.0)</f>
        <v>6</v>
      </c>
      <c r="K796" s="54">
        <f>IFERROR(__xludf.DUMMYFUNCTION("""COMPUTED_VALUE"""),14.0)</f>
        <v>14</v>
      </c>
      <c r="L796" s="56">
        <f>IFERROR(__xludf.DUMMYFUNCTION("""COMPUTED_VALUE"""),0.3)</f>
        <v>0.3</v>
      </c>
      <c r="M796" s="56">
        <f>IFERROR(__xludf.DUMMYFUNCTION("""COMPUTED_VALUE"""),0.23076923076923078)</f>
        <v>0.2307692308</v>
      </c>
      <c r="N796" s="31">
        <f>IFERROR(__xludf.DUMMYFUNCTION("""COMPUTED_VALUE"""),365.95)</f>
        <v>365.95</v>
      </c>
      <c r="O796" s="57">
        <f>IFERROR(__xludf.DUMMYFUNCTION("""COMPUTED_VALUE"""),0.75)</f>
        <v>0.75</v>
      </c>
      <c r="P796" s="57">
        <f>IFERROR(__xludf.DUMMYFUNCTION("""COMPUTED_VALUE"""),0.5)</f>
        <v>0.5</v>
      </c>
      <c r="Q796" s="57">
        <f>IFERROR(__xludf.DUMMYFUNCTION("""COMPUTED_VALUE"""),1.1)</f>
        <v>1.1</v>
      </c>
      <c r="R796" s="57">
        <f>IFERROR(__xludf.DUMMYFUNCTION("""COMPUTED_VALUE"""),3.25)</f>
        <v>3.25</v>
      </c>
      <c r="S796" s="31">
        <f>IFERROR(__xludf.DUMMYFUNCTION("""COMPUTED_VALUE"""),363.26666666666677)</f>
        <v>363.2666667</v>
      </c>
      <c r="T796" s="57">
        <f>IFERROR(__xludf.DUMMYFUNCTION("""COMPUTED_VALUE"""),0.95)</f>
        <v>0.95</v>
      </c>
      <c r="U796" s="57">
        <f>IFERROR(__xludf.DUMMYFUNCTION("""COMPUTED_VALUE"""),0.6666666666666666)</f>
        <v>0.6666666667</v>
      </c>
      <c r="V796" s="57">
        <f>IFERROR(__xludf.DUMMYFUNCTION("""COMPUTED_VALUE"""),1.1999999999999997)</f>
        <v>1.2</v>
      </c>
      <c r="W796" s="57">
        <f>IFERROR(__xludf.DUMMYFUNCTION("""COMPUTED_VALUE"""),2.6333333333333333)</f>
        <v>2.633333333</v>
      </c>
      <c r="X796" s="31">
        <f>IFERROR(__xludf.DUMMYFUNCTION("""COMPUTED_VALUE"""),360.76791995765035)</f>
        <v>360.76792</v>
      </c>
      <c r="Y796" s="57">
        <f>IFERROR(__xludf.DUMMYFUNCTION("""COMPUTED_VALUE"""),0.8114490722474473)</f>
        <v>0.8114490722</v>
      </c>
      <c r="Z796" s="57">
        <f>IFERROR(__xludf.DUMMYFUNCTION("""COMPUTED_VALUE"""),0.5824032776858961)</f>
        <v>0.5824032777</v>
      </c>
      <c r="AA796" s="57">
        <f>IFERROR(__xludf.DUMMYFUNCTION("""COMPUTED_VALUE"""),1.4132757223994141)</f>
        <v>1.413275722</v>
      </c>
      <c r="AB796" s="57">
        <f>IFERROR(__xludf.DUMMYFUNCTION("""COMPUTED_VALUE"""),2.531355003844568)</f>
        <v>2.531355004</v>
      </c>
      <c r="AC796" s="31">
        <f>IFERROR(__xludf.DUMMYFUNCTION("""COMPUTED_VALUE"""),342.72941267510726)</f>
        <v>342.7294127</v>
      </c>
      <c r="AD796" s="57">
        <f>IFERROR(__xludf.DUMMYFUNCTION("""COMPUTED_VALUE"""),0.7732068363921112)</f>
        <v>0.7732068364</v>
      </c>
      <c r="AE796" s="57">
        <f>IFERROR(__xludf.DUMMYFUNCTION("""COMPUTED_VALUE"""),0.5445308440182239)</f>
        <v>0.544530844</v>
      </c>
      <c r="AF796" s="57">
        <f>IFERROR(__xludf.DUMMYFUNCTION("""COMPUTED_VALUE"""),1.2327793868631973)</f>
        <v>1.232779387</v>
      </c>
      <c r="AG796" s="57">
        <f>IFERROR(__xludf.DUMMYFUNCTION("""COMPUTED_VALUE"""),2.716141009452766)</f>
        <v>2.716141009</v>
      </c>
      <c r="AH796" s="57">
        <f>IFERROR(__xludf.DUMMYFUNCTION("""COMPUTED_VALUE"""),1.0677519537749882)</f>
        <v>1.067751954</v>
      </c>
      <c r="AI796" s="57">
        <f>IFERROR(__xludf.DUMMYFUNCTION("""COMPUTED_VALUE"""),0.9699862503797853)</f>
        <v>0.9699862504</v>
      </c>
      <c r="AJ796" s="57">
        <f>IFERROR(__xludf.DUMMYFUNCTION("""COMPUTED_VALUE"""),0.918221631506454)</f>
        <v>0.9182216315</v>
      </c>
      <c r="AK796" s="57">
        <f>IFERROR(__xludf.DUMMYFUNCTION("""COMPUTED_VALUE"""),0.8922926613811625)</f>
        <v>0.8922926614</v>
      </c>
      <c r="AL796" s="57">
        <f>IFERROR(__xludf.DUMMYFUNCTION("""COMPUTED_VALUE"""),1.1965505431011452)</f>
        <v>1.196550543</v>
      </c>
      <c r="AM796" s="57">
        <f>IFERROR(__xludf.DUMMYFUNCTION("""COMPUTED_VALUE"""),1.006926188751233)</f>
        <v>1.006926189</v>
      </c>
      <c r="AN796" s="57">
        <f>IFERROR(__xludf.DUMMYFUNCTION("""COMPUTED_VALUE"""),1.1707450689034766)</f>
        <v>1.170745069</v>
      </c>
      <c r="AO796" s="57">
        <f>IFERROR(__xludf.DUMMYFUNCTION("""COMPUTED_VALUE"""),1.144682202537699)</f>
        <v>1.144682203</v>
      </c>
      <c r="AP796" s="35">
        <f>IFERROR(__xludf.DUMMYFUNCTION("""COMPUTED_VALUE"""),0.8490912148145291)</f>
        <v>0.8490912148</v>
      </c>
      <c r="AQ796" s="57">
        <f>IFERROR(__xludf.DUMMYFUNCTION("""COMPUTED_VALUE"""),1.04028606391987)</f>
        <v>1.040286064</v>
      </c>
      <c r="AR796" s="36" t="b">
        <f>IFERROR(__xludf.DUMMYFUNCTION("""COMPUTED_VALUE"""),TRUE)</f>
        <v>1</v>
      </c>
      <c r="AS796" s="57"/>
      <c r="AT796" s="37"/>
      <c r="AU796" s="30"/>
      <c r="AV796" s="30"/>
      <c r="AW796" s="30"/>
      <c r="AX796" s="30"/>
      <c r="AY796" s="30"/>
      <c r="AZ796" s="30"/>
    </row>
    <row r="797">
      <c r="A797" s="30" t="str">
        <f>IFERROR(__xludf.DUMMYFUNCTION("""COMPUTED_VALUE"""),"Veteran")</f>
        <v>Veteran</v>
      </c>
      <c r="B797" s="30" t="str">
        <f>IFERROR(__xludf.DUMMYFUNCTION("""COMPUTED_VALUE"""),"RSC007760")</f>
        <v>RSC007760</v>
      </c>
      <c r="C797" s="30" t="str">
        <f>IFERROR(__xludf.DUMMYFUNCTION("""COMPUTED_VALUE"""),"BossMan")</f>
        <v>BossMan</v>
      </c>
      <c r="D797" s="31" t="str">
        <f>IFERROR(__xludf.DUMMYFUNCTION("""COMPUTED_VALUE"""),"Blacksmiths")</f>
        <v>Blacksmiths</v>
      </c>
      <c r="E797" s="31">
        <f>IFERROR(__xludf.DUMMYFUNCTION("""COMPUTED_VALUE"""),53.22611870181053)</f>
        <v>53.2261187</v>
      </c>
      <c r="F797" s="31">
        <f>IFERROR(__xludf.DUMMYFUNCTION("""COMPUTED_VALUE"""),2.2288537034638667)</f>
        <v>2.228853703</v>
      </c>
      <c r="G797" s="31">
        <f>IFERROR(__xludf.DUMMYFUNCTION("""COMPUTED_VALUE"""),42.288801137639595)</f>
        <v>42.28880114</v>
      </c>
      <c r="H797" s="31">
        <f>IFERROR(__xludf.DUMMYFUNCTION("""COMPUTED_VALUE"""),-2.6394225573464256)</f>
        <v>-2.639422557</v>
      </c>
      <c r="I797" s="54">
        <f>IFERROR(__xludf.DUMMYFUNCTION("""COMPUTED_VALUE"""),44.0)</f>
        <v>44</v>
      </c>
      <c r="J797" s="55">
        <f>IFERROR(__xludf.DUMMYFUNCTION("""COMPUTED_VALUE"""),22.0)</f>
        <v>22</v>
      </c>
      <c r="K797" s="54">
        <f>IFERROR(__xludf.DUMMYFUNCTION("""COMPUTED_VALUE"""),22.0)</f>
        <v>22</v>
      </c>
      <c r="L797" s="56">
        <f>IFERROR(__xludf.DUMMYFUNCTION("""COMPUTED_VALUE"""),0.5)</f>
        <v>0.5</v>
      </c>
      <c r="M797" s="56">
        <f>IFERROR(__xludf.DUMMYFUNCTION("""COMPUTED_VALUE"""),0.304)</f>
        <v>0.304</v>
      </c>
      <c r="N797" s="31">
        <f>IFERROR(__xludf.DUMMYFUNCTION("""COMPUTED_VALUE"""),331.1818181818182)</f>
        <v>331.1818182</v>
      </c>
      <c r="O797" s="57">
        <f>IFERROR(__xludf.DUMMYFUNCTION("""COMPUTED_VALUE"""),0.8636363636363636)</f>
        <v>0.8636363636</v>
      </c>
      <c r="P797" s="57">
        <f>IFERROR(__xludf.DUMMYFUNCTION("""COMPUTED_VALUE"""),0.4772727272727273)</f>
        <v>0.4772727273</v>
      </c>
      <c r="Q797" s="57">
        <f>IFERROR(__xludf.DUMMYFUNCTION("""COMPUTED_VALUE"""),1.1590909090909092)</f>
        <v>1.159090909</v>
      </c>
      <c r="R797" s="57">
        <f>IFERROR(__xludf.DUMMYFUNCTION("""COMPUTED_VALUE"""),2.840909090909091)</f>
        <v>2.840909091</v>
      </c>
      <c r="S797" s="31">
        <f>IFERROR(__xludf.DUMMYFUNCTION("""COMPUTED_VALUE"""),372.92424242424244)</f>
        <v>372.9242424</v>
      </c>
      <c r="T797" s="57">
        <f>IFERROR(__xludf.DUMMYFUNCTION("""COMPUTED_VALUE"""),0.7954545454545453)</f>
        <v>0.7954545455</v>
      </c>
      <c r="U797" s="57">
        <f>IFERROR(__xludf.DUMMYFUNCTION("""COMPUTED_VALUE"""),0.6515151515151517)</f>
        <v>0.6515151515</v>
      </c>
      <c r="V797" s="57">
        <f>IFERROR(__xludf.DUMMYFUNCTION("""COMPUTED_VALUE"""),1.5075757575757576)</f>
        <v>1.507575758</v>
      </c>
      <c r="W797" s="57">
        <f>IFERROR(__xludf.DUMMYFUNCTION("""COMPUTED_VALUE"""),2.598484848484848)</f>
        <v>2.598484848</v>
      </c>
      <c r="X797" s="31">
        <f>IFERROR(__xludf.DUMMYFUNCTION("""COMPUTED_VALUE"""),356.17662519973436)</f>
        <v>356.1766252</v>
      </c>
      <c r="Y797" s="57">
        <f>IFERROR(__xludf.DUMMYFUNCTION("""COMPUTED_VALUE"""),0.7880666879219949)</f>
        <v>0.7880666879</v>
      </c>
      <c r="Z797" s="57">
        <f>IFERROR(__xludf.DUMMYFUNCTION("""COMPUTED_VALUE"""),0.6066670548983949)</f>
        <v>0.6066670549</v>
      </c>
      <c r="AA797" s="57">
        <f>IFERROR(__xludf.DUMMYFUNCTION("""COMPUTED_VALUE"""),1.3983281724621524)</f>
        <v>1.398328172</v>
      </c>
      <c r="AB797" s="57">
        <f>IFERROR(__xludf.DUMMYFUNCTION("""COMPUTED_VALUE"""),2.6438859198569555)</f>
        <v>2.64388592</v>
      </c>
      <c r="AC797" s="31">
        <f>IFERROR(__xludf.DUMMYFUNCTION("""COMPUTED_VALUE"""),351.86795590586274)</f>
        <v>351.8679559</v>
      </c>
      <c r="AD797" s="57">
        <f>IFERROR(__xludf.DUMMYFUNCTION("""COMPUTED_VALUE"""),0.7924716225642641)</f>
        <v>0.7924716226</v>
      </c>
      <c r="AE797" s="57">
        <f>IFERROR(__xludf.DUMMYFUNCTION("""COMPUTED_VALUE"""),0.5629326003346491)</f>
        <v>0.5629326003</v>
      </c>
      <c r="AF797" s="57">
        <f>IFERROR(__xludf.DUMMYFUNCTION("""COMPUTED_VALUE"""),1.3539743126792967)</f>
        <v>1.353974313</v>
      </c>
      <c r="AG797" s="57">
        <f>IFERROR(__xludf.DUMMYFUNCTION("""COMPUTED_VALUE"""),2.621958871498978)</f>
        <v>2.621958871</v>
      </c>
      <c r="AH797" s="57">
        <f>IFERROR(__xludf.DUMMYFUNCTION("""COMPUTED_VALUE"""),0.9412105098607535)</f>
        <v>0.9412105099</v>
      </c>
      <c r="AI797" s="57">
        <f>IFERROR(__xludf.DUMMYFUNCTION("""COMPUTED_VALUE"""),1.0898009960808768)</f>
        <v>1.089800996</v>
      </c>
      <c r="AJ797" s="57">
        <f>IFERROR(__xludf.DUMMYFUNCTION("""COMPUTED_VALUE"""),0.8478328080288845)</f>
        <v>0.847832808</v>
      </c>
      <c r="AK797" s="57">
        <f>IFERROR(__xludf.DUMMYFUNCTION("""COMPUTED_VALUE"""),0.8560656566646787)</f>
        <v>0.8560656567</v>
      </c>
      <c r="AL797" s="57">
        <f>IFERROR(__xludf.DUMMYFUNCTION("""COMPUTED_VALUE"""),1.0835063516022807)</f>
        <v>1.083506352</v>
      </c>
      <c r="AM797" s="57">
        <f>IFERROR(__xludf.DUMMYFUNCTION("""COMPUTED_VALUE"""),1.0470205399220582)</f>
        <v>1.04702054</v>
      </c>
      <c r="AN797" s="57">
        <f>IFERROR(__xludf.DUMMYFUNCTION("""COMPUTED_VALUE"""),1.0093746603501679)</f>
        <v>1.00937466</v>
      </c>
      <c r="AO797" s="57">
        <f>IFERROR(__xludf.DUMMYFUNCTION("""COMPUTED_VALUE"""),1.073925386675675)</f>
        <v>1.073925387</v>
      </c>
      <c r="AP797" s="35">
        <f>IFERROR(__xludf.DUMMYFUNCTION("""COMPUTED_VALUE"""),1.0781272860441937)</f>
        <v>1.078127286</v>
      </c>
      <c r="AQ797" s="57">
        <f>IFERROR(__xludf.DUMMYFUNCTION("""COMPUTED_VALUE"""),0.9828279007686671)</f>
        <v>0.9828279008</v>
      </c>
      <c r="AR797" s="36" t="b">
        <f>IFERROR(__xludf.DUMMYFUNCTION("""COMPUTED_VALUE"""),TRUE)</f>
        <v>1</v>
      </c>
      <c r="AS797" s="57"/>
      <c r="AT797" s="37"/>
      <c r="AU797" s="30"/>
      <c r="AV797" s="30"/>
      <c r="AW797" s="30"/>
      <c r="AX797" s="30"/>
      <c r="AY797" s="30"/>
      <c r="AZ797" s="30"/>
    </row>
    <row r="798">
      <c r="A798" s="30" t="str">
        <f>IFERROR(__xludf.DUMMYFUNCTION("""COMPUTED_VALUE"""),"Veteran")</f>
        <v>Veteran</v>
      </c>
      <c r="B798" s="30" t="str">
        <f>IFERROR(__xludf.DUMMYFUNCTION("""COMPUTED_VALUE"""),"RSC002209")</f>
        <v>RSC002209</v>
      </c>
      <c r="C798" s="30" t="str">
        <f>IFERROR(__xludf.DUMMYFUNCTION("""COMPUTED_VALUE"""),"Panick")</f>
        <v>Panick</v>
      </c>
      <c r="D798" s="31" t="str">
        <f>IFERROR(__xludf.DUMMYFUNCTION("""COMPUTED_VALUE"""),"Repossessed")</f>
        <v>Repossessed</v>
      </c>
      <c r="E798" s="31">
        <f>IFERROR(__xludf.DUMMYFUNCTION("""COMPUTED_VALUE"""),52.626101978529135)</f>
        <v>52.62610198</v>
      </c>
      <c r="F798" s="31">
        <f>IFERROR(__xludf.DUMMYFUNCTION("""COMPUTED_VALUE"""),2.1825939977670177)</f>
        <v>2.182593998</v>
      </c>
      <c r="G798" s="31">
        <f>IFERROR(__xludf.DUMMYFUNCTION("""COMPUTED_VALUE"""),43.73217477049523)</f>
        <v>43.73217477</v>
      </c>
      <c r="H798" s="31">
        <f>IFERROR(__xludf.DUMMYFUNCTION("""COMPUTED_VALUE"""),-2.493653645276672)</f>
        <v>-2.493653645</v>
      </c>
      <c r="I798" s="54">
        <f>IFERROR(__xludf.DUMMYFUNCTION("""COMPUTED_VALUE"""),46.0)</f>
        <v>46</v>
      </c>
      <c r="J798" s="55">
        <f>IFERROR(__xludf.DUMMYFUNCTION("""COMPUTED_VALUE"""),25.0)</f>
        <v>25</v>
      </c>
      <c r="K798" s="54">
        <f>IFERROR(__xludf.DUMMYFUNCTION("""COMPUTED_VALUE"""),21.0)</f>
        <v>21</v>
      </c>
      <c r="L798" s="56">
        <f>IFERROR(__xludf.DUMMYFUNCTION("""COMPUTED_VALUE"""),0.5434782608695652)</f>
        <v>0.5434782609</v>
      </c>
      <c r="M798" s="56">
        <f>IFERROR(__xludf.DUMMYFUNCTION("""COMPUTED_VALUE"""),0.25203252032520324)</f>
        <v>0.2520325203</v>
      </c>
      <c r="N798" s="31">
        <f>IFERROR(__xludf.DUMMYFUNCTION("""COMPUTED_VALUE"""),308.6304347826087)</f>
        <v>308.6304348</v>
      </c>
      <c r="O798" s="57">
        <f>IFERROR(__xludf.DUMMYFUNCTION("""COMPUTED_VALUE"""),0.6739130434782609)</f>
        <v>0.6739130435</v>
      </c>
      <c r="P798" s="57">
        <f>IFERROR(__xludf.DUMMYFUNCTION("""COMPUTED_VALUE"""),0.5652173913043478)</f>
        <v>0.5652173913</v>
      </c>
      <c r="Q798" s="57">
        <f>IFERROR(__xludf.DUMMYFUNCTION("""COMPUTED_VALUE"""),0.9130434782608695)</f>
        <v>0.9130434783</v>
      </c>
      <c r="R798" s="57">
        <f>IFERROR(__xludf.DUMMYFUNCTION("""COMPUTED_VALUE"""),2.6739130434782608)</f>
        <v>2.673913043</v>
      </c>
      <c r="S798" s="31">
        <f>IFERROR(__xludf.DUMMYFUNCTION("""COMPUTED_VALUE"""),327.8478260869565)</f>
        <v>327.8478261</v>
      </c>
      <c r="T798" s="57">
        <f>IFERROR(__xludf.DUMMYFUNCTION("""COMPUTED_VALUE"""),0.6231884057971013)</f>
        <v>0.6231884058</v>
      </c>
      <c r="U798" s="57">
        <f>IFERROR(__xludf.DUMMYFUNCTION("""COMPUTED_VALUE"""),0.4492753623188405)</f>
        <v>0.4492753623</v>
      </c>
      <c r="V798" s="57">
        <f>IFERROR(__xludf.DUMMYFUNCTION("""COMPUTED_VALUE"""),1.3478260869565215)</f>
        <v>1.347826087</v>
      </c>
      <c r="W798" s="57">
        <f>IFERROR(__xludf.DUMMYFUNCTION("""COMPUTED_VALUE"""),2.449275362318841)</f>
        <v>2.449275362</v>
      </c>
      <c r="X798" s="31">
        <f>IFERROR(__xludf.DUMMYFUNCTION("""COMPUTED_VALUE"""),349.32485193751984)</f>
        <v>349.3248519</v>
      </c>
      <c r="Y798" s="57">
        <f>IFERROR(__xludf.DUMMYFUNCTION("""COMPUTED_VALUE"""),0.7607401564243683)</f>
        <v>0.7607401564</v>
      </c>
      <c r="Z798" s="57">
        <f>IFERROR(__xludf.DUMMYFUNCTION("""COMPUTED_VALUE"""),0.5513099444241494)</f>
        <v>0.5513099444</v>
      </c>
      <c r="AA798" s="57">
        <f>IFERROR(__xludf.DUMMYFUNCTION("""COMPUTED_VALUE"""),1.357454763175835)</f>
        <v>1.357454763</v>
      </c>
      <c r="AB798" s="57">
        <f>IFERROR(__xludf.DUMMYFUNCTION("""COMPUTED_VALUE"""),2.525654323766821)</f>
        <v>2.525654324</v>
      </c>
      <c r="AC798" s="31">
        <f>IFERROR(__xludf.DUMMYFUNCTION("""COMPUTED_VALUE"""),350.1610953009416)</f>
        <v>350.1610953</v>
      </c>
      <c r="AD798" s="57">
        <f>IFERROR(__xludf.DUMMYFUNCTION("""COMPUTED_VALUE"""),0.7596158073901462)</f>
        <v>0.7596158074</v>
      </c>
      <c r="AE798" s="57">
        <f>IFERROR(__xludf.DUMMYFUNCTION("""COMPUTED_VALUE"""),0.5658316675693944)</f>
        <v>0.5658316676</v>
      </c>
      <c r="AF798" s="57">
        <f>IFERROR(__xludf.DUMMYFUNCTION("""COMPUTED_VALUE"""),1.3502842300430007)</f>
        <v>1.35028423</v>
      </c>
      <c r="AG798" s="57">
        <f>IFERROR(__xludf.DUMMYFUNCTION("""COMPUTED_VALUE"""),2.5604266804100844)</f>
        <v>2.56042668</v>
      </c>
      <c r="AH798" s="57">
        <f>IFERROR(__xludf.DUMMYFUNCTION("""COMPUTED_VALUE"""),0.881395560284503)</f>
        <v>0.8813955603</v>
      </c>
      <c r="AI798" s="57">
        <f>IFERROR(__xludf.DUMMYFUNCTION("""COMPUTED_VALUE"""),0.8871761710616067)</f>
        <v>0.8871761711</v>
      </c>
      <c r="AJ798" s="57">
        <f>IFERROR(__xludf.DUMMYFUNCTION("""COMPUTED_VALUE"""),0.9989143833753856)</f>
        <v>0.9989143834</v>
      </c>
      <c r="AK798" s="57">
        <f>IFERROR(__xludf.DUMMYFUNCTION("""COMPUTED_VALUE"""),0.6761861376636185)</f>
        <v>0.6761861377</v>
      </c>
      <c r="AL798" s="57">
        <f>IFERROR(__xludf.DUMMYFUNCTION("""COMPUTED_VALUE"""),1.044323223131701)</f>
        <v>1.044323223</v>
      </c>
      <c r="AM798" s="57">
        <f>IFERROR(__xludf.DUMMYFUNCTION("""COMPUTED_VALUE"""),0.9385184714702042)</f>
        <v>0.9385184715</v>
      </c>
      <c r="AN798" s="57">
        <f>IFERROR(__xludf.DUMMYFUNCTION("""COMPUTED_VALUE"""),0.8191869464683081)</f>
        <v>0.8191869465</v>
      </c>
      <c r="AO798" s="57">
        <f>IFERROR(__xludf.DUMMYFUNCTION("""COMPUTED_VALUE"""),0.8149233781518573)</f>
        <v>0.8149233782</v>
      </c>
      <c r="AP798" s="35">
        <f>IFERROR(__xludf.DUMMYFUNCTION("""COMPUTED_VALUE"""),0.9929068161381771)</f>
        <v>0.9929068161</v>
      </c>
      <c r="AQ798" s="57">
        <f>IFERROR(__xludf.DUMMYFUNCTION("""COMPUTED_VALUE"""),0.9697587430198813)</f>
        <v>0.969758743</v>
      </c>
      <c r="AR798" s="36" t="b">
        <f>IFERROR(__xludf.DUMMYFUNCTION("""COMPUTED_VALUE"""),TRUE)</f>
        <v>1</v>
      </c>
      <c r="AS798" s="57"/>
      <c r="AT798" s="37"/>
      <c r="AU798" s="30"/>
      <c r="AV798" s="30"/>
      <c r="AW798" s="30"/>
      <c r="AX798" s="30"/>
      <c r="AY798" s="30"/>
      <c r="AZ798" s="30"/>
    </row>
    <row r="799">
      <c r="A799" s="30" t="str">
        <f>IFERROR(__xludf.DUMMYFUNCTION("""COMPUTED_VALUE"""),"Veteran")</f>
        <v>Veteran</v>
      </c>
      <c r="B799" s="30" t="str">
        <f>IFERROR(__xludf.DUMMYFUNCTION("""COMPUTED_VALUE"""),"RSC003789")</f>
        <v>RSC003789</v>
      </c>
      <c r="C799" s="30" t="str">
        <f>IFERROR(__xludf.DUMMYFUNCTION("""COMPUTED_VALUE"""),"monterszn")</f>
        <v>monterszn</v>
      </c>
      <c r="D799" s="31" t="str">
        <f>IFERROR(__xludf.DUMMYFUNCTION("""COMPUTED_VALUE"""),"Merciless Mob")</f>
        <v>Merciless Mob</v>
      </c>
      <c r="E799" s="31">
        <f>IFERROR(__xludf.DUMMYFUNCTION("""COMPUTED_VALUE"""),52.01562839536994)</f>
        <v>52.0156284</v>
      </c>
      <c r="F799" s="31">
        <f>IFERROR(__xludf.DUMMYFUNCTION("""COMPUTED_VALUE"""),2.137345670825262)</f>
        <v>2.137345671</v>
      </c>
      <c r="G799" s="31">
        <f>IFERROR(__xludf.DUMMYFUNCTION("""COMPUTED_VALUE"""),70.05225802656945)</f>
        <v>70.05225803</v>
      </c>
      <c r="H799" s="31">
        <f>IFERROR(__xludf.DUMMYFUNCTION("""COMPUTED_VALUE"""),4.733719817589365)</f>
        <v>4.733719818</v>
      </c>
      <c r="I799" s="54">
        <f>IFERROR(__xludf.DUMMYFUNCTION("""COMPUTED_VALUE"""),44.0)</f>
        <v>44</v>
      </c>
      <c r="J799" s="55">
        <f>IFERROR(__xludf.DUMMYFUNCTION("""COMPUTED_VALUE"""),20.0)</f>
        <v>20</v>
      </c>
      <c r="K799" s="54">
        <f>IFERROR(__xludf.DUMMYFUNCTION("""COMPUTED_VALUE"""),24.0)</f>
        <v>24</v>
      </c>
      <c r="L799" s="56">
        <f>IFERROR(__xludf.DUMMYFUNCTION("""COMPUTED_VALUE"""),0.45454545454545453)</f>
        <v>0.4545454545</v>
      </c>
      <c r="M799" s="56">
        <f>IFERROR(__xludf.DUMMYFUNCTION("""COMPUTED_VALUE"""),0.25806451612903225)</f>
        <v>0.2580645161</v>
      </c>
      <c r="N799" s="31">
        <f>IFERROR(__xludf.DUMMYFUNCTION("""COMPUTED_VALUE"""),396.3181818181818)</f>
        <v>396.3181818</v>
      </c>
      <c r="O799" s="57">
        <f>IFERROR(__xludf.DUMMYFUNCTION("""COMPUTED_VALUE"""),0.5454545454545454)</f>
        <v>0.5454545455</v>
      </c>
      <c r="P799" s="57">
        <f>IFERROR(__xludf.DUMMYFUNCTION("""COMPUTED_VALUE"""),0.7954545454545454)</f>
        <v>0.7954545455</v>
      </c>
      <c r="Q799" s="57">
        <f>IFERROR(__xludf.DUMMYFUNCTION("""COMPUTED_VALUE"""),2.1136363636363638)</f>
        <v>2.113636364</v>
      </c>
      <c r="R799" s="57">
        <f>IFERROR(__xludf.DUMMYFUNCTION("""COMPUTED_VALUE"""),2.1136363636363638)</f>
        <v>2.113636364</v>
      </c>
      <c r="S799" s="31">
        <f>IFERROR(__xludf.DUMMYFUNCTION("""COMPUTED_VALUE"""),343.9090909090908)</f>
        <v>343.9090909</v>
      </c>
      <c r="T799" s="57">
        <f>IFERROR(__xludf.DUMMYFUNCTION("""COMPUTED_VALUE"""),0.8257575757575757)</f>
        <v>0.8257575758</v>
      </c>
      <c r="U799" s="57">
        <f>IFERROR(__xludf.DUMMYFUNCTION("""COMPUTED_VALUE"""),0.6287878787878786)</f>
        <v>0.6287878788</v>
      </c>
      <c r="V799" s="57">
        <f>IFERROR(__xludf.DUMMYFUNCTION("""COMPUTED_VALUE"""),1.090909090909091)</f>
        <v>1.090909091</v>
      </c>
      <c r="W799" s="57">
        <f>IFERROR(__xludf.DUMMYFUNCTION("""COMPUTED_VALUE"""),2.6969696969696964)</f>
        <v>2.696969697</v>
      </c>
      <c r="X799" s="31">
        <f>IFERROR(__xludf.DUMMYFUNCTION("""COMPUTED_VALUE"""),348.1801058222767)</f>
        <v>348.1801058</v>
      </c>
      <c r="Y799" s="57">
        <f>IFERROR(__xludf.DUMMYFUNCTION("""COMPUTED_VALUE"""),0.7689622764205333)</f>
        <v>0.7689622764</v>
      </c>
      <c r="Z799" s="57">
        <f>IFERROR(__xludf.DUMMYFUNCTION("""COMPUTED_VALUE"""),0.5671109281971767)</f>
        <v>0.5671109282</v>
      </c>
      <c r="AA799" s="57">
        <f>IFERROR(__xludf.DUMMYFUNCTION("""COMPUTED_VALUE"""),1.329670271107893)</f>
        <v>1.329670271</v>
      </c>
      <c r="AB799" s="57">
        <f>IFERROR(__xludf.DUMMYFUNCTION("""COMPUTED_VALUE"""),2.54466029099107)</f>
        <v>2.544660291</v>
      </c>
      <c r="AC799" s="31">
        <f>IFERROR(__xludf.DUMMYFUNCTION("""COMPUTED_VALUE"""),344.6872332702883)</f>
        <v>344.6872333</v>
      </c>
      <c r="AD799" s="57">
        <f>IFERROR(__xludf.DUMMYFUNCTION("""COMPUTED_VALUE"""),0.7506003239277015)</f>
        <v>0.7506003239</v>
      </c>
      <c r="AE799" s="57">
        <f>IFERROR(__xludf.DUMMYFUNCTION("""COMPUTED_VALUE"""),0.5388922415309548)</f>
        <v>0.5388922415</v>
      </c>
      <c r="AF799" s="57">
        <f>IFERROR(__xludf.DUMMYFUNCTION("""COMPUTED_VALUE"""),1.3422470084484948)</f>
        <v>1.342247008</v>
      </c>
      <c r="AG799" s="57">
        <f>IFERROR(__xludf.DUMMYFUNCTION("""COMPUTED_VALUE"""),2.581216495886745)</f>
        <v>2.581216496</v>
      </c>
      <c r="AH799" s="57">
        <f>IFERROR(__xludf.DUMMYFUNCTION("""COMPUTED_VALUE"""),1.149790719134082)</f>
        <v>1.149790719</v>
      </c>
      <c r="AI799" s="57">
        <f>IFERROR(__xludf.DUMMYFUNCTION("""COMPUTED_VALUE"""),0.7266910605637896)</f>
        <v>0.7266910606</v>
      </c>
      <c r="AJ799" s="57">
        <f>IFERROR(__xludf.DUMMYFUNCTION("""COMPUTED_VALUE"""),1.4760920350137445)</f>
        <v>1.476092035</v>
      </c>
      <c r="AK799" s="57">
        <f>IFERROR(__xludf.DUMMYFUNCTION("""COMPUTED_VALUE"""),1.5746999995772157)</f>
        <v>1.5747</v>
      </c>
      <c r="AL799" s="57">
        <f>IFERROR(__xludf.DUMMYFUNCTION("""COMPUTED_VALUE"""),0.8188528033214238)</f>
        <v>0.8188528033</v>
      </c>
      <c r="AM799" s="57">
        <f>IFERROR(__xludf.DUMMYFUNCTION("""COMPUTED_VALUE"""),0.9877333172063371)</f>
        <v>0.9877333172</v>
      </c>
      <c r="AN799" s="57">
        <f>IFERROR(__xludf.DUMMYFUNCTION("""COMPUTED_VALUE"""),1.0738596691653337)</f>
        <v>1.073859669</v>
      </c>
      <c r="AO799" s="57">
        <f>IFERROR(__xludf.DUMMYFUNCTION("""COMPUTED_VALUE"""),1.1087564134705894)</f>
        <v>1.108756413</v>
      </c>
      <c r="AP799" s="35">
        <f>IFERROR(__xludf.DUMMYFUNCTION("""COMPUTED_VALUE"""),0.8204357987188328)</f>
        <v>0.8204357987</v>
      </c>
      <c r="AQ799" s="57">
        <f>IFERROR(__xludf.DUMMYFUNCTION("""COMPUTED_VALUE"""),1.0598545143797196)</f>
        <v>1.059854514</v>
      </c>
      <c r="AR799" s="36" t="b">
        <f>IFERROR(__xludf.DUMMYFUNCTION("""COMPUTED_VALUE"""),TRUE)</f>
        <v>1</v>
      </c>
      <c r="AS799" s="57"/>
      <c r="AT799" s="37"/>
      <c r="AU799" s="30"/>
      <c r="AV799" s="30"/>
      <c r="AW799" s="30"/>
      <c r="AX799" s="30"/>
      <c r="AY799" s="30"/>
      <c r="AZ799" s="30"/>
    </row>
    <row r="800">
      <c r="A800" s="30" t="str">
        <f>IFERROR(__xludf.DUMMYFUNCTION("""COMPUTED_VALUE"""),"Veteran")</f>
        <v>Veteran</v>
      </c>
      <c r="B800" s="30" t="str">
        <f>IFERROR(__xludf.DUMMYFUNCTION("""COMPUTED_VALUE"""),"RSC006613")</f>
        <v>RSC006613</v>
      </c>
      <c r="C800" s="30" t="str">
        <f>IFERROR(__xludf.DUMMYFUNCTION("""COMPUTED_VALUE"""),"steel.reserve")</f>
        <v>steel.reserve</v>
      </c>
      <c r="D800" s="31" t="str">
        <f>IFERROR(__xludf.DUMMYFUNCTION("""COMPUTED_VALUE"""),"Dog Fighters")</f>
        <v>Dog Fighters</v>
      </c>
      <c r="E800" s="31">
        <f>IFERROR(__xludf.DUMMYFUNCTION("""COMPUTED_VALUE"""),51.93796101285915)</f>
        <v>51.93796101</v>
      </c>
      <c r="F800" s="31">
        <f>IFERROR(__xludf.DUMMYFUNCTION("""COMPUTED_VALUE"""),2.131716362228047)</f>
        <v>2.131716362</v>
      </c>
      <c r="G800" s="31">
        <f>IFERROR(__xludf.DUMMYFUNCTION("""COMPUTED_VALUE"""),42.08597846640711)</f>
        <v>42.08597847</v>
      </c>
      <c r="H800" s="31">
        <f>IFERROR(__xludf.DUMMYFUNCTION("""COMPUTED_VALUE"""),-2.6610718957720505)</f>
        <v>-2.661071896</v>
      </c>
      <c r="I800" s="54">
        <f>IFERROR(__xludf.DUMMYFUNCTION("""COMPUTED_VALUE"""),35.0)</f>
        <v>35</v>
      </c>
      <c r="J800" s="55">
        <f>IFERROR(__xludf.DUMMYFUNCTION("""COMPUTED_VALUE"""),20.0)</f>
        <v>20</v>
      </c>
      <c r="K800" s="54">
        <f>IFERROR(__xludf.DUMMYFUNCTION("""COMPUTED_VALUE"""),15.0)</f>
        <v>15</v>
      </c>
      <c r="L800" s="56">
        <f>IFERROR(__xludf.DUMMYFUNCTION("""COMPUTED_VALUE"""),0.5714285714285714)</f>
        <v>0.5714285714</v>
      </c>
      <c r="M800" s="56">
        <f>IFERROR(__xludf.DUMMYFUNCTION("""COMPUTED_VALUE"""),0.3780487804878048)</f>
        <v>0.3780487805</v>
      </c>
      <c r="N800" s="31">
        <f>IFERROR(__xludf.DUMMYFUNCTION("""COMPUTED_VALUE"""),346.34285714285716)</f>
        <v>346.3428571</v>
      </c>
      <c r="O800" s="57">
        <f>IFERROR(__xludf.DUMMYFUNCTION("""COMPUTED_VALUE"""),0.8857142857142857)</f>
        <v>0.8857142857</v>
      </c>
      <c r="P800" s="57">
        <f>IFERROR(__xludf.DUMMYFUNCTION("""COMPUTED_VALUE"""),0.42857142857142855)</f>
        <v>0.4285714286</v>
      </c>
      <c r="Q800" s="57">
        <f>IFERROR(__xludf.DUMMYFUNCTION("""COMPUTED_VALUE"""),1.3714285714285714)</f>
        <v>1.371428571</v>
      </c>
      <c r="R800" s="57">
        <f>IFERROR(__xludf.DUMMYFUNCTION("""COMPUTED_VALUE"""),2.342857142857143)</f>
        <v>2.342857143</v>
      </c>
      <c r="S800" s="31">
        <f>IFERROR(__xludf.DUMMYFUNCTION("""COMPUTED_VALUE"""),349.0761904761905)</f>
        <v>349.0761905</v>
      </c>
      <c r="T800" s="57">
        <f>IFERROR(__xludf.DUMMYFUNCTION("""COMPUTED_VALUE"""),0.7047619047619047)</f>
        <v>0.7047619048</v>
      </c>
      <c r="U800" s="57">
        <f>IFERROR(__xludf.DUMMYFUNCTION("""COMPUTED_VALUE"""),0.5238095238095237)</f>
        <v>0.5238095238</v>
      </c>
      <c r="V800" s="57">
        <f>IFERROR(__xludf.DUMMYFUNCTION("""COMPUTED_VALUE"""),1.4666666666666666)</f>
        <v>1.466666667</v>
      </c>
      <c r="W800" s="57">
        <f>IFERROR(__xludf.DUMMYFUNCTION("""COMPUTED_VALUE"""),2.314285714285714)</f>
        <v>2.314285714</v>
      </c>
      <c r="X800" s="31">
        <f>IFERROR(__xludf.DUMMYFUNCTION("""COMPUTED_VALUE"""),347.637673693479)</f>
        <v>347.6376737</v>
      </c>
      <c r="Y800" s="57">
        <f>IFERROR(__xludf.DUMMYFUNCTION("""COMPUTED_VALUE"""),0.7408182446191715)</f>
        <v>0.7408182446</v>
      </c>
      <c r="Z800" s="57">
        <f>IFERROR(__xludf.DUMMYFUNCTION("""COMPUTED_VALUE"""),0.5664161835730189)</f>
        <v>0.5664161836</v>
      </c>
      <c r="AA800" s="57">
        <f>IFERROR(__xludf.DUMMYFUNCTION("""COMPUTED_VALUE"""),1.3628996841544327)</f>
        <v>1.362899684</v>
      </c>
      <c r="AB800" s="57">
        <f>IFERROR(__xludf.DUMMYFUNCTION("""COMPUTED_VALUE"""),2.486360745330496)</f>
        <v>2.486360745</v>
      </c>
      <c r="AC800" s="31">
        <f>IFERROR(__xludf.DUMMYFUNCTION("""COMPUTED_VALUE"""),352.7272324344819)</f>
        <v>352.7272324</v>
      </c>
      <c r="AD800" s="57">
        <f>IFERROR(__xludf.DUMMYFUNCTION("""COMPUTED_VALUE"""),0.7972790479800175)</f>
        <v>0.797279048</v>
      </c>
      <c r="AE800" s="57">
        <f>IFERROR(__xludf.DUMMYFUNCTION("""COMPUTED_VALUE"""),0.5868266929033553)</f>
        <v>0.5868266929</v>
      </c>
      <c r="AF800" s="57">
        <f>IFERROR(__xludf.DUMMYFUNCTION("""COMPUTED_VALUE"""),1.318094334224833)</f>
        <v>1.318094334</v>
      </c>
      <c r="AG800" s="57">
        <f>IFERROR(__xludf.DUMMYFUNCTION("""COMPUTED_VALUE"""),2.693463224802574)</f>
        <v>2.693463225</v>
      </c>
      <c r="AH800" s="57">
        <f>IFERROR(__xludf.DUMMYFUNCTION("""COMPUTED_VALUE"""),0.9818999648891282)</f>
        <v>0.9818999649</v>
      </c>
      <c r="AI800" s="57">
        <f>IFERROR(__xludf.DUMMYFUNCTION("""COMPUTED_VALUE"""),1.1109213116264969)</f>
        <v>1.110921312</v>
      </c>
      <c r="AJ800" s="57">
        <f>IFERROR(__xludf.DUMMYFUNCTION("""COMPUTED_VALUE"""),0.7303202696030225)</f>
        <v>0.7303202696</v>
      </c>
      <c r="AK800" s="57">
        <f>IFERROR(__xludf.DUMMYFUNCTION("""COMPUTED_VALUE"""),1.0404631412326828)</f>
        <v>1.040463141</v>
      </c>
      <c r="AL800" s="57">
        <f>IFERROR(__xludf.DUMMYFUNCTION("""COMPUTED_VALUE"""),0.8698307522015157)</f>
        <v>0.8698307522</v>
      </c>
      <c r="AM800" s="57">
        <f>IFERROR(__xludf.DUMMYFUNCTION("""COMPUTED_VALUE"""),1.0041379772434558)</f>
        <v>1.004137977</v>
      </c>
      <c r="AN800" s="57">
        <f>IFERROR(__xludf.DUMMYFUNCTION("""COMPUTED_VALUE"""),0.95132903364738)</f>
        <v>0.9513290336</v>
      </c>
      <c r="AO800" s="57">
        <f>IFERROR(__xludf.DUMMYFUNCTION("""COMPUTED_VALUE"""),0.924778526816223)</f>
        <v>0.9247785268</v>
      </c>
      <c r="AP800" s="35">
        <f>IFERROR(__xludf.DUMMYFUNCTION("""COMPUTED_VALUE"""),1.0761369187466008)</f>
        <v>1.076136919</v>
      </c>
      <c r="AQ800" s="57">
        <f>IFERROR(__xludf.DUMMYFUNCTION("""COMPUTED_VALUE"""),0.9307924116128575)</f>
        <v>0.9307924116</v>
      </c>
      <c r="AR800" s="36" t="b">
        <f>IFERROR(__xludf.DUMMYFUNCTION("""COMPUTED_VALUE"""),TRUE)</f>
        <v>1</v>
      </c>
      <c r="AS800" s="57"/>
      <c r="AT800" s="37"/>
      <c r="AU800" s="30"/>
      <c r="AV800" s="30"/>
      <c r="AW800" s="30"/>
      <c r="AX800" s="30"/>
      <c r="AY800" s="30"/>
      <c r="AZ800" s="30"/>
    </row>
    <row r="801">
      <c r="A801" s="30" t="str">
        <f>IFERROR(__xludf.DUMMYFUNCTION("""COMPUTED_VALUE"""),"Veteran")</f>
        <v>Veteran</v>
      </c>
      <c r="B801" s="30" t="str">
        <f>IFERROR(__xludf.DUMMYFUNCTION("""COMPUTED_VALUE"""),"RSC003405")</f>
        <v>RSC003405</v>
      </c>
      <c r="C801" s="30" t="str">
        <f>IFERROR(__xludf.DUMMYFUNCTION("""COMPUTED_VALUE"""),"Shai")</f>
        <v>Shai</v>
      </c>
      <c r="D801" s="31" t="str">
        <f>IFERROR(__xludf.DUMMYFUNCTION("""COMPUTED_VALUE"""),"Werewolves")</f>
        <v>Werewolves</v>
      </c>
      <c r="E801" s="31">
        <f>IFERROR(__xludf.DUMMYFUNCTION("""COMPUTED_VALUE"""),51.6245488400435)</f>
        <v>51.62454884</v>
      </c>
      <c r="F801" s="31">
        <f>IFERROR(__xludf.DUMMYFUNCTION("""COMPUTED_VALUE"""),2.1092855235987003)</f>
        <v>2.109285524</v>
      </c>
      <c r="G801" s="31">
        <f>IFERROR(__xludf.DUMMYFUNCTION("""COMPUTED_VALUE"""),46.32570583584217)</f>
        <v>46.32570584</v>
      </c>
      <c r="H801" s="31">
        <f>IFERROR(__xludf.DUMMYFUNCTION("""COMPUTED_VALUE"""),-2.2646099192263884)</f>
        <v>-2.264609919</v>
      </c>
      <c r="I801" s="54">
        <f>IFERROR(__xludf.DUMMYFUNCTION("""COMPUTED_VALUE"""),26.0)</f>
        <v>26</v>
      </c>
      <c r="J801" s="55">
        <f>IFERROR(__xludf.DUMMYFUNCTION("""COMPUTED_VALUE"""),10.0)</f>
        <v>10</v>
      </c>
      <c r="K801" s="54">
        <f>IFERROR(__xludf.DUMMYFUNCTION("""COMPUTED_VALUE"""),16.0)</f>
        <v>16</v>
      </c>
      <c r="L801" s="56">
        <f>IFERROR(__xludf.DUMMYFUNCTION("""COMPUTED_VALUE"""),0.38461538461538464)</f>
        <v>0.3846153846</v>
      </c>
      <c r="M801" s="56">
        <f>IFERROR(__xludf.DUMMYFUNCTION("""COMPUTED_VALUE"""),0.30136986301369867)</f>
        <v>0.301369863</v>
      </c>
      <c r="N801" s="31">
        <f>IFERROR(__xludf.DUMMYFUNCTION("""COMPUTED_VALUE"""),344.53846153846155)</f>
        <v>344.5384615</v>
      </c>
      <c r="O801" s="57">
        <f>IFERROR(__xludf.DUMMYFUNCTION("""COMPUTED_VALUE"""),0.8461538461538461)</f>
        <v>0.8461538462</v>
      </c>
      <c r="P801" s="57">
        <f>IFERROR(__xludf.DUMMYFUNCTION("""COMPUTED_VALUE"""),0.4230769230769231)</f>
        <v>0.4230769231</v>
      </c>
      <c r="Q801" s="57">
        <f>IFERROR(__xludf.DUMMYFUNCTION("""COMPUTED_VALUE"""),1.3461538461538463)</f>
        <v>1.346153846</v>
      </c>
      <c r="R801" s="57">
        <f>IFERROR(__xludf.DUMMYFUNCTION("""COMPUTED_VALUE"""),2.8076923076923075)</f>
        <v>2.807692308</v>
      </c>
      <c r="S801" s="31">
        <f>IFERROR(__xludf.DUMMYFUNCTION("""COMPUTED_VALUE"""),386.3974358974359)</f>
        <v>386.3974359</v>
      </c>
      <c r="T801" s="57">
        <f>IFERROR(__xludf.DUMMYFUNCTION("""COMPUTED_VALUE"""),0.9230769230769234)</f>
        <v>0.9230769231</v>
      </c>
      <c r="U801" s="57">
        <f>IFERROR(__xludf.DUMMYFUNCTION("""COMPUTED_VALUE"""),0.6538461538461539)</f>
        <v>0.6538461538</v>
      </c>
      <c r="V801" s="57">
        <f>IFERROR(__xludf.DUMMYFUNCTION("""COMPUTED_VALUE"""),1.551282051282051)</f>
        <v>1.551282051</v>
      </c>
      <c r="W801" s="57">
        <f>IFERROR(__xludf.DUMMYFUNCTION("""COMPUTED_VALUE"""),2.5641025641025643)</f>
        <v>2.564102564</v>
      </c>
      <c r="X801" s="31">
        <f>IFERROR(__xludf.DUMMYFUNCTION("""COMPUTED_VALUE"""),356.9377052505697)</f>
        <v>356.9377053</v>
      </c>
      <c r="Y801" s="57">
        <f>IFERROR(__xludf.DUMMYFUNCTION("""COMPUTED_VALUE"""),0.8253066647920863)</f>
        <v>0.8253066648</v>
      </c>
      <c r="Z801" s="57">
        <f>IFERROR(__xludf.DUMMYFUNCTION("""COMPUTED_VALUE"""),0.5866860035801696)</f>
        <v>0.5866860036</v>
      </c>
      <c r="AA801" s="57">
        <f>IFERROR(__xludf.DUMMYFUNCTION("""COMPUTED_VALUE"""),1.3620843450765467)</f>
        <v>1.362084345</v>
      </c>
      <c r="AB801" s="57">
        <f>IFERROR(__xludf.DUMMYFUNCTION("""COMPUTED_VALUE"""),2.6751966297964835)</f>
        <v>2.67519663</v>
      </c>
      <c r="AC801" s="31">
        <f>IFERROR(__xludf.DUMMYFUNCTION("""COMPUTED_VALUE"""),345.56294308794963)</f>
        <v>345.5629431</v>
      </c>
      <c r="AD801" s="57">
        <f>IFERROR(__xludf.DUMMYFUNCTION("""COMPUTED_VALUE"""),0.7344357275841168)</f>
        <v>0.7344357276</v>
      </c>
      <c r="AE801" s="57">
        <f>IFERROR(__xludf.DUMMYFUNCTION("""COMPUTED_VALUE"""),0.527875778542296)</f>
        <v>0.5278757785</v>
      </c>
      <c r="AF801" s="57">
        <f>IFERROR(__xludf.DUMMYFUNCTION("""COMPUTED_VALUE"""),1.372017083832593)</f>
        <v>1.372017084</v>
      </c>
      <c r="AG801" s="57">
        <f>IFERROR(__xludf.DUMMYFUNCTION("""COMPUTED_VALUE"""),2.525302975563954)</f>
        <v>2.525302976</v>
      </c>
      <c r="AH801" s="57">
        <f>IFERROR(__xludf.DUMMYFUNCTION("""COMPUTED_VALUE"""),0.9970353257778936)</f>
        <v>0.9970353258</v>
      </c>
      <c r="AI801" s="57">
        <f>IFERROR(__xludf.DUMMYFUNCTION("""COMPUTED_VALUE"""),1.1521142209914264)</f>
        <v>1.152114221</v>
      </c>
      <c r="AJ801" s="57">
        <f>IFERROR(__xludf.DUMMYFUNCTION("""COMPUTED_VALUE"""),0.8014706115996267)</f>
        <v>0.8014706116</v>
      </c>
      <c r="AK801" s="57">
        <f>IFERROR(__xludf.DUMMYFUNCTION("""COMPUTED_VALUE"""),0.9811494783967993)</f>
        <v>0.9811494784</v>
      </c>
      <c r="AL801" s="57">
        <f>IFERROR(__xludf.DUMMYFUNCTION("""COMPUTED_VALUE"""),1.1118239414679698)</f>
        <v>1.111823941</v>
      </c>
      <c r="AM801" s="57">
        <f>IFERROR(__xludf.DUMMYFUNCTION("""COMPUTED_VALUE"""),1.0825346558055151)</f>
        <v>1.082534656</v>
      </c>
      <c r="AN801" s="57">
        <f>IFERROR(__xludf.DUMMYFUNCTION("""COMPUTED_VALUE"""),1.1184653686390231)</f>
        <v>1.118465369</v>
      </c>
      <c r="AO801" s="57">
        <f>IFERROR(__xludf.DUMMYFUNCTION("""COMPUTED_VALUE"""),1.1144737557333033)</f>
        <v>1.114473756</v>
      </c>
      <c r="AP801" s="35">
        <f>IFERROR(__xludf.DUMMYFUNCTION("""COMPUTED_VALUE"""),1.1389030766629007)</f>
        <v>1.138903077</v>
      </c>
      <c r="AQ801" s="57">
        <f>IFERROR(__xludf.DUMMYFUNCTION("""COMPUTED_VALUE"""),0.9584725606871108)</f>
        <v>0.9584725607</v>
      </c>
      <c r="AR801" s="36" t="b">
        <f>IFERROR(__xludf.DUMMYFUNCTION("""COMPUTED_VALUE"""),TRUE)</f>
        <v>1</v>
      </c>
      <c r="AS801" s="57"/>
      <c r="AT801" s="37"/>
      <c r="AU801" s="30"/>
      <c r="AV801" s="30"/>
      <c r="AW801" s="30"/>
      <c r="AX801" s="30"/>
      <c r="AY801" s="30"/>
      <c r="AZ801" s="30"/>
    </row>
    <row r="802">
      <c r="A802" s="30" t="str">
        <f>IFERROR(__xludf.DUMMYFUNCTION("""COMPUTED_VALUE"""),"Veteran")</f>
        <v>Veteran</v>
      </c>
      <c r="B802" s="30" t="str">
        <f>IFERROR(__xludf.DUMMYFUNCTION("""COMPUTED_VALUE"""),"RSC007936")</f>
        <v>RSC007936</v>
      </c>
      <c r="C802" s="30" t="str">
        <f>IFERROR(__xludf.DUMMYFUNCTION("""COMPUTED_VALUE"""),"Crazics")</f>
        <v>Crazics</v>
      </c>
      <c r="D802" s="31" t="str">
        <f>IFERROR(__xludf.DUMMYFUNCTION("""COMPUTED_VALUE"""),"Gouda Gangsters")</f>
        <v>Gouda Gangsters</v>
      </c>
      <c r="E802" s="31">
        <f>IFERROR(__xludf.DUMMYFUNCTION("""COMPUTED_VALUE"""),50.346188055499944)</f>
        <v>50.34618806</v>
      </c>
      <c r="F802" s="31">
        <f>IFERROR(__xludf.DUMMYFUNCTION("""COMPUTED_VALUE"""),2.02234360259074)</f>
        <v>2.022343603</v>
      </c>
      <c r="G802" s="31">
        <f>IFERROR(__xludf.DUMMYFUNCTION("""COMPUTED_VALUE"""),52.37254264118847)</f>
        <v>52.37254264</v>
      </c>
      <c r="H802" s="31">
        <f>IFERROR(__xludf.DUMMYFUNCTION("""COMPUTED_VALUE"""),2.1635821697323223)</f>
        <v>2.16358217</v>
      </c>
      <c r="I802" s="54">
        <f>IFERROR(__xludf.DUMMYFUNCTION("""COMPUTED_VALUE"""),41.0)</f>
        <v>41</v>
      </c>
      <c r="J802" s="55">
        <f>IFERROR(__xludf.DUMMYFUNCTION("""COMPUTED_VALUE"""),17.0)</f>
        <v>17</v>
      </c>
      <c r="K802" s="54">
        <f>IFERROR(__xludf.DUMMYFUNCTION("""COMPUTED_VALUE"""),24.0)</f>
        <v>24</v>
      </c>
      <c r="L802" s="56">
        <f>IFERROR(__xludf.DUMMYFUNCTION("""COMPUTED_VALUE"""),0.4146341463414634)</f>
        <v>0.4146341463</v>
      </c>
      <c r="M802" s="56">
        <f>IFERROR(__xludf.DUMMYFUNCTION("""COMPUTED_VALUE"""),0.25862068965517243)</f>
        <v>0.2586206897</v>
      </c>
      <c r="N802" s="31">
        <f>IFERROR(__xludf.DUMMYFUNCTION("""COMPUTED_VALUE"""),338.0)</f>
        <v>338</v>
      </c>
      <c r="O802" s="57">
        <f>IFERROR(__xludf.DUMMYFUNCTION("""COMPUTED_VALUE"""),0.7317073170731707)</f>
        <v>0.7317073171</v>
      </c>
      <c r="P802" s="57">
        <f>IFERROR(__xludf.DUMMYFUNCTION("""COMPUTED_VALUE"""),0.6341463414634146)</f>
        <v>0.6341463415</v>
      </c>
      <c r="Q802" s="57">
        <f>IFERROR(__xludf.DUMMYFUNCTION("""COMPUTED_VALUE"""),1.2926829268292683)</f>
        <v>1.292682927</v>
      </c>
      <c r="R802" s="57">
        <f>IFERROR(__xludf.DUMMYFUNCTION("""COMPUTED_VALUE"""),2.8292682926829267)</f>
        <v>2.829268293</v>
      </c>
      <c r="S802" s="31">
        <f>IFERROR(__xludf.DUMMYFUNCTION("""COMPUTED_VALUE"""),377.3170731707317)</f>
        <v>377.3170732</v>
      </c>
      <c r="T802" s="57">
        <f>IFERROR(__xludf.DUMMYFUNCTION("""COMPUTED_VALUE"""),0.926829268292683)</f>
        <v>0.9268292683</v>
      </c>
      <c r="U802" s="57">
        <f>IFERROR(__xludf.DUMMYFUNCTION("""COMPUTED_VALUE"""),0.7479674796747967)</f>
        <v>0.7479674797</v>
      </c>
      <c r="V802" s="57">
        <f>IFERROR(__xludf.DUMMYFUNCTION("""COMPUTED_VALUE"""),1.3333333333333333)</f>
        <v>1.333333333</v>
      </c>
      <c r="W802" s="57">
        <f>IFERROR(__xludf.DUMMYFUNCTION("""COMPUTED_VALUE"""),2.512195121951219)</f>
        <v>2.512195122</v>
      </c>
      <c r="X802" s="31">
        <f>IFERROR(__xludf.DUMMYFUNCTION("""COMPUTED_VALUE"""),356.6740446619445)</f>
        <v>356.6740447</v>
      </c>
      <c r="Y802" s="57">
        <f>IFERROR(__xludf.DUMMYFUNCTION("""COMPUTED_VALUE"""),0.8101966838276862)</f>
        <v>0.8101966838</v>
      </c>
      <c r="Z802" s="57">
        <f>IFERROR(__xludf.DUMMYFUNCTION("""COMPUTED_VALUE"""),0.5598768455044331)</f>
        <v>0.5598768455</v>
      </c>
      <c r="AA802" s="57">
        <f>IFERROR(__xludf.DUMMYFUNCTION("""COMPUTED_VALUE"""),1.3604878392859683)</f>
        <v>1.360487839</v>
      </c>
      <c r="AB802" s="57">
        <f>IFERROR(__xludf.DUMMYFUNCTION("""COMPUTED_VALUE"""),2.6415736457330814)</f>
        <v>2.641573646</v>
      </c>
      <c r="AC802" s="31">
        <f>IFERROR(__xludf.DUMMYFUNCTION("""COMPUTED_VALUE"""),349.25168589840797)</f>
        <v>349.2516859</v>
      </c>
      <c r="AD802" s="57">
        <f>IFERROR(__xludf.DUMMYFUNCTION("""COMPUTED_VALUE"""),0.7615802147116301)</f>
        <v>0.7615802147</v>
      </c>
      <c r="AE802" s="57">
        <f>IFERROR(__xludf.DUMMYFUNCTION("""COMPUTED_VALUE"""),0.5632771526394658)</f>
        <v>0.5632771526</v>
      </c>
      <c r="AF802" s="57">
        <f>IFERROR(__xludf.DUMMYFUNCTION("""COMPUTED_VALUE"""),1.3421961657850139)</f>
        <v>1.342196166</v>
      </c>
      <c r="AG802" s="57">
        <f>IFERROR(__xludf.DUMMYFUNCTION("""COMPUTED_VALUE"""),2.608735095791454)</f>
        <v>2.608735096</v>
      </c>
      <c r="AH802" s="57">
        <f>IFERROR(__xludf.DUMMYFUNCTION("""COMPUTED_VALUE"""),0.9677834457134706)</f>
        <v>0.9677834457</v>
      </c>
      <c r="AI802" s="57">
        <f>IFERROR(__xludf.DUMMYFUNCTION("""COMPUTED_VALUE"""),0.9607751132954909)</f>
        <v>0.9607751133</v>
      </c>
      <c r="AJ802" s="57">
        <f>IFERROR(__xludf.DUMMYFUNCTION("""COMPUTED_VALUE"""),1.1258158412636874)</f>
        <v>1.125815841</v>
      </c>
      <c r="AK802" s="57">
        <f>IFERROR(__xludf.DUMMYFUNCTION("""COMPUTED_VALUE"""),0.9631102813300121)</f>
        <v>0.9631102813</v>
      </c>
      <c r="AL802" s="57">
        <f>IFERROR(__xludf.DUMMYFUNCTION("""COMPUTED_VALUE"""),1.084536447279468)</f>
        <v>1.084536447</v>
      </c>
      <c r="AM802" s="57">
        <f>IFERROR(__xludf.DUMMYFUNCTION("""COMPUTED_VALUE"""),1.0578764527941826)</f>
        <v>1.057876453</v>
      </c>
      <c r="AN802" s="57">
        <f>IFERROR(__xludf.DUMMYFUNCTION("""COMPUTED_VALUE"""),1.1439558897155426)</f>
        <v>1.14395589</v>
      </c>
      <c r="AO802" s="57">
        <f>IFERROR(__xludf.DUMMYFUNCTION("""COMPUTED_VALUE"""),1.3359500141515932)</f>
        <v>1.335950014</v>
      </c>
      <c r="AP802" s="35">
        <f>IFERROR(__xludf.DUMMYFUNCTION("""COMPUTED_VALUE"""),0.9800406110451626)</f>
        <v>0.980040611</v>
      </c>
      <c r="AQ802" s="57">
        <f>IFERROR(__xludf.DUMMYFUNCTION("""COMPUTED_VALUE"""),0.9510221780146668)</f>
        <v>0.951022178</v>
      </c>
      <c r="AR802" s="36" t="b">
        <f>IFERROR(__xludf.DUMMYFUNCTION("""COMPUTED_VALUE"""),TRUE)</f>
        <v>1</v>
      </c>
      <c r="AS802" s="57"/>
      <c r="AT802" s="37"/>
      <c r="AU802" s="30"/>
      <c r="AV802" s="30"/>
      <c r="AW802" s="30"/>
      <c r="AX802" s="30"/>
      <c r="AY802" s="30"/>
      <c r="AZ802" s="30"/>
    </row>
    <row r="803">
      <c r="A803" s="30" t="str">
        <f>IFERROR(__xludf.DUMMYFUNCTION("""COMPUTED_VALUE"""),"Veteran")</f>
        <v>Veteran</v>
      </c>
      <c r="B803" s="30" t="str">
        <f>IFERROR(__xludf.DUMMYFUNCTION("""COMPUTED_VALUE"""),"RSC006290")</f>
        <v>RSC006290</v>
      </c>
      <c r="C803" s="30" t="str">
        <f>IFERROR(__xludf.DUMMYFUNCTION("""COMPUTED_VALUE"""),"Dirt D Dan")</f>
        <v>Dirt D Dan</v>
      </c>
      <c r="D803" s="31" t="str">
        <f>IFERROR(__xludf.DUMMYFUNCTION("""COMPUTED_VALUE"""),"Blacksmiths")</f>
        <v>Blacksmiths</v>
      </c>
      <c r="E803" s="31">
        <f>IFERROR(__xludf.DUMMYFUNCTION("""COMPUTED_VALUE"""),49.84724707058732)</f>
        <v>49.84724707</v>
      </c>
      <c r="F803" s="31">
        <f>IFERROR(__xludf.DUMMYFUNCTION("""COMPUTED_VALUE"""),-2.009798042458325)</f>
        <v>-2.009798042</v>
      </c>
      <c r="G803" s="31">
        <f>IFERROR(__xludf.DUMMYFUNCTION("""COMPUTED_VALUE"""),49.05225599891442)</f>
        <v>49.052256</v>
      </c>
      <c r="H803" s="31">
        <f>IFERROR(__xludf.DUMMYFUNCTION("""COMPUTED_VALUE"""),-2.0623667304153996)</f>
        <v>-2.06236673</v>
      </c>
      <c r="I803" s="54">
        <f>IFERROR(__xludf.DUMMYFUNCTION("""COMPUTED_VALUE"""),48.0)</f>
        <v>48</v>
      </c>
      <c r="J803" s="55">
        <f>IFERROR(__xludf.DUMMYFUNCTION("""COMPUTED_VALUE"""),23.0)</f>
        <v>23</v>
      </c>
      <c r="K803" s="54">
        <f>IFERROR(__xludf.DUMMYFUNCTION("""COMPUTED_VALUE"""),25.0)</f>
        <v>25</v>
      </c>
      <c r="L803" s="56">
        <f>IFERROR(__xludf.DUMMYFUNCTION("""COMPUTED_VALUE"""),0.4791666666666667)</f>
        <v>0.4791666667</v>
      </c>
      <c r="M803" s="56">
        <f>IFERROR(__xludf.DUMMYFUNCTION("""COMPUTED_VALUE"""),0.2713178294573643)</f>
        <v>0.2713178295</v>
      </c>
      <c r="N803" s="31">
        <f>IFERROR(__xludf.DUMMYFUNCTION("""COMPUTED_VALUE"""),352.9375)</f>
        <v>352.9375</v>
      </c>
      <c r="O803" s="57">
        <f>IFERROR(__xludf.DUMMYFUNCTION("""COMPUTED_VALUE"""),0.7291666666666666)</f>
        <v>0.7291666667</v>
      </c>
      <c r="P803" s="57">
        <f>IFERROR(__xludf.DUMMYFUNCTION("""COMPUTED_VALUE"""),0.5416666666666666)</f>
        <v>0.5416666667</v>
      </c>
      <c r="Q803" s="57">
        <f>IFERROR(__xludf.DUMMYFUNCTION("""COMPUTED_VALUE"""),1.2708333333333333)</f>
        <v>1.270833333</v>
      </c>
      <c r="R803" s="57">
        <f>IFERROR(__xludf.DUMMYFUNCTION("""COMPUTED_VALUE"""),2.6875)</f>
        <v>2.6875</v>
      </c>
      <c r="S803" s="31">
        <f>IFERROR(__xludf.DUMMYFUNCTION("""COMPUTED_VALUE"""),373.4097222222222)</f>
        <v>373.4097222</v>
      </c>
      <c r="T803" s="57">
        <f>IFERROR(__xludf.DUMMYFUNCTION("""COMPUTED_VALUE"""),0.8055555555555555)</f>
        <v>0.8055555556</v>
      </c>
      <c r="U803" s="57">
        <f>IFERROR(__xludf.DUMMYFUNCTION("""COMPUTED_VALUE"""),0.6666666666666669)</f>
        <v>0.6666666667</v>
      </c>
      <c r="V803" s="57">
        <f>IFERROR(__xludf.DUMMYFUNCTION("""COMPUTED_VALUE"""),1.5069444444444444)</f>
        <v>1.506944444</v>
      </c>
      <c r="W803" s="57">
        <f>IFERROR(__xludf.DUMMYFUNCTION("""COMPUTED_VALUE"""),2.611111111111111)</f>
        <v>2.611111111</v>
      </c>
      <c r="X803" s="31">
        <f>IFERROR(__xludf.DUMMYFUNCTION("""COMPUTED_VALUE"""),357.02123896102694)</f>
        <v>357.021239</v>
      </c>
      <c r="Y803" s="57">
        <f>IFERROR(__xludf.DUMMYFUNCTION("""COMPUTED_VALUE"""),0.7919311933489458)</f>
        <v>0.7919311933</v>
      </c>
      <c r="Z803" s="57">
        <f>IFERROR(__xludf.DUMMYFUNCTION("""COMPUTED_VALUE"""),0.6092822948703255)</f>
        <v>0.6092822949</v>
      </c>
      <c r="AA803" s="57">
        <f>IFERROR(__xludf.DUMMYFUNCTION("""COMPUTED_VALUE"""),1.3943947876416338)</f>
        <v>1.394394788</v>
      </c>
      <c r="AB803" s="57">
        <f>IFERROR(__xludf.DUMMYFUNCTION("""COMPUTED_VALUE"""),2.6457339781647913)</f>
        <v>2.645733978</v>
      </c>
      <c r="AC803" s="31">
        <f>IFERROR(__xludf.DUMMYFUNCTION("""COMPUTED_VALUE"""),352.06825424350615)</f>
        <v>352.0682542</v>
      </c>
      <c r="AD803" s="57">
        <f>IFERROR(__xludf.DUMMYFUNCTION("""COMPUTED_VALUE"""),0.7970016630555768)</f>
        <v>0.7970016631</v>
      </c>
      <c r="AE803" s="57">
        <f>IFERROR(__xludf.DUMMYFUNCTION("""COMPUTED_VALUE"""),0.5664475992793223)</f>
        <v>0.5664475993</v>
      </c>
      <c r="AF803" s="57">
        <f>IFERROR(__xludf.DUMMYFUNCTION("""COMPUTED_VALUE"""),1.3392497398649674)</f>
        <v>1.33924974</v>
      </c>
      <c r="AG803" s="57">
        <f>IFERROR(__xludf.DUMMYFUNCTION("""COMPUTED_VALUE"""),2.6258586041192054)</f>
        <v>2.625858604</v>
      </c>
      <c r="AH803" s="57">
        <f>IFERROR(__xludf.DUMMYFUNCTION("""COMPUTED_VALUE"""),1.0024689694285605)</f>
        <v>1.002468969</v>
      </c>
      <c r="AI803" s="57">
        <f>IFERROR(__xludf.DUMMYFUNCTION("""COMPUTED_VALUE"""),0.9148872586678908)</f>
        <v>0.9148872587</v>
      </c>
      <c r="AJ803" s="57">
        <f>IFERROR(__xludf.DUMMYFUNCTION("""COMPUTED_VALUE"""),0.9562520299420743)</f>
        <v>0.9562520299</v>
      </c>
      <c r="AK803" s="57">
        <f>IFERROR(__xludf.DUMMYFUNCTION("""COMPUTED_VALUE"""),0.9489143775838759)</f>
        <v>0.9489143776</v>
      </c>
      <c r="AL803" s="57">
        <f>IFERROR(__xludf.DUMMYFUNCTION("""COMPUTED_VALUE"""),1.023474758231116)</f>
        <v>1.023474758</v>
      </c>
      <c r="AM803" s="57">
        <f>IFERROR(__xludf.DUMMYFUNCTION("""COMPUTED_VALUE"""),1.0459033846526544)</f>
        <v>1.045903385</v>
      </c>
      <c r="AN803" s="57">
        <f>IFERROR(__xludf.DUMMYFUNCTION("""COMPUTED_VALUE"""),1.0172039721645443)</f>
        <v>1.017203972</v>
      </c>
      <c r="AO803" s="57">
        <f>IFERROR(__xludf.DUMMYFUNCTION("""COMPUTED_VALUE"""),1.0941835537967743)</f>
        <v>1.094183554</v>
      </c>
      <c r="AP803" s="35">
        <f>IFERROR(__xludf.DUMMYFUNCTION("""COMPUTED_VALUE"""),1.0807157756184445)</f>
        <v>1.080715776</v>
      </c>
      <c r="AQ803" s="57">
        <f>IFERROR(__xludf.DUMMYFUNCTION("""COMPUTED_VALUE"""),0.9869137005687563)</f>
        <v>0.9869137006</v>
      </c>
      <c r="AR803" s="36" t="b">
        <f>IFERROR(__xludf.DUMMYFUNCTION("""COMPUTED_VALUE"""),TRUE)</f>
        <v>1</v>
      </c>
      <c r="AS803" s="57"/>
      <c r="AT803" s="37"/>
      <c r="AU803" s="30"/>
      <c r="AV803" s="30"/>
      <c r="AW803" s="30"/>
      <c r="AX803" s="30"/>
      <c r="AY803" s="30"/>
      <c r="AZ803" s="30"/>
    </row>
    <row r="804">
      <c r="A804" s="30" t="str">
        <f>IFERROR(__xludf.DUMMYFUNCTION("""COMPUTED_VALUE"""),"Veteran")</f>
        <v>Veteran</v>
      </c>
      <c r="B804" s="30" t="str">
        <f>IFERROR(__xludf.DUMMYFUNCTION("""COMPUTED_VALUE"""),"RSC007231")</f>
        <v>RSC007231</v>
      </c>
      <c r="C804" s="30" t="str">
        <f>IFERROR(__xludf.DUMMYFUNCTION("""COMPUTED_VALUE"""),"BlitzzyG")</f>
        <v>BlitzzyG</v>
      </c>
      <c r="D804" s="31" t="str">
        <f>IFERROR(__xludf.DUMMYFUNCTION("""COMPUTED_VALUE"""),"Silver Dollar")</f>
        <v>Silver Dollar</v>
      </c>
      <c r="E804" s="31">
        <f>IFERROR(__xludf.DUMMYFUNCTION("""COMPUTED_VALUE"""),49.79460593402811)</f>
        <v>49.79460593</v>
      </c>
      <c r="F804" s="31">
        <f>IFERROR(__xludf.DUMMYFUNCTION("""COMPUTED_VALUE"""),-2.0131968200608457)</f>
        <v>-2.01319682</v>
      </c>
      <c r="G804" s="31">
        <f>IFERROR(__xludf.DUMMYFUNCTION("""COMPUTED_VALUE"""),50.114186657157695)</f>
        <v>50.11418666</v>
      </c>
      <c r="H804" s="31">
        <f>IFERROR(__xludf.DUMMYFUNCTION("""COMPUTED_VALUE"""),2.007315255292922)</f>
        <v>2.007315255</v>
      </c>
      <c r="I804" s="54">
        <f>IFERROR(__xludf.DUMMYFUNCTION("""COMPUTED_VALUE"""),28.0)</f>
        <v>28</v>
      </c>
      <c r="J804" s="55">
        <f>IFERROR(__xludf.DUMMYFUNCTION("""COMPUTED_VALUE"""),17.0)</f>
        <v>17</v>
      </c>
      <c r="K804" s="54">
        <f>IFERROR(__xludf.DUMMYFUNCTION("""COMPUTED_VALUE"""),11.0)</f>
        <v>11</v>
      </c>
      <c r="L804" s="56">
        <f>IFERROR(__xludf.DUMMYFUNCTION("""COMPUTED_VALUE"""),0.6071428571428571)</f>
        <v>0.6071428571</v>
      </c>
      <c r="M804" s="56">
        <f>IFERROR(__xludf.DUMMYFUNCTION("""COMPUTED_VALUE"""),0.26470588235294124)</f>
        <v>0.2647058824</v>
      </c>
      <c r="N804" s="31">
        <f>IFERROR(__xludf.DUMMYFUNCTION("""COMPUTED_VALUE"""),323.07142857142856)</f>
        <v>323.0714286</v>
      </c>
      <c r="O804" s="57">
        <f>IFERROR(__xludf.DUMMYFUNCTION("""COMPUTED_VALUE"""),0.6428571428571429)</f>
        <v>0.6428571429</v>
      </c>
      <c r="P804" s="57">
        <f>IFERROR(__xludf.DUMMYFUNCTION("""COMPUTED_VALUE"""),0.6785714285714286)</f>
        <v>0.6785714286</v>
      </c>
      <c r="Q804" s="57">
        <f>IFERROR(__xludf.DUMMYFUNCTION("""COMPUTED_VALUE"""),1.0)</f>
        <v>1</v>
      </c>
      <c r="R804" s="57">
        <f>IFERROR(__xludf.DUMMYFUNCTION("""COMPUTED_VALUE"""),2.4285714285714284)</f>
        <v>2.428571429</v>
      </c>
      <c r="S804" s="31">
        <f>IFERROR(__xludf.DUMMYFUNCTION("""COMPUTED_VALUE"""),328.4523809523809)</f>
        <v>328.452381</v>
      </c>
      <c r="T804" s="57">
        <f>IFERROR(__xludf.DUMMYFUNCTION("""COMPUTED_VALUE"""),0.6309523809523808)</f>
        <v>0.630952381</v>
      </c>
      <c r="U804" s="57">
        <f>IFERROR(__xludf.DUMMYFUNCTION("""COMPUTED_VALUE"""),0.4523809523809523)</f>
        <v>0.4523809524</v>
      </c>
      <c r="V804" s="57">
        <f>IFERROR(__xludf.DUMMYFUNCTION("""COMPUTED_VALUE"""),1.273809523809524)</f>
        <v>1.273809524</v>
      </c>
      <c r="W804" s="57">
        <f>IFERROR(__xludf.DUMMYFUNCTION("""COMPUTED_VALUE"""),2.3214285714285707)</f>
        <v>2.321428571</v>
      </c>
      <c r="X804" s="31">
        <f>IFERROR(__xludf.DUMMYFUNCTION("""COMPUTED_VALUE"""),339.6513937974868)</f>
        <v>339.6513938</v>
      </c>
      <c r="Y804" s="57">
        <f>IFERROR(__xludf.DUMMYFUNCTION("""COMPUTED_VALUE"""),0.7037586379341881)</f>
        <v>0.7037586379</v>
      </c>
      <c r="Z804" s="57">
        <f>IFERROR(__xludf.DUMMYFUNCTION("""COMPUTED_VALUE"""),0.5074833735145424)</f>
        <v>0.5074833735</v>
      </c>
      <c r="AA804" s="57">
        <f>IFERROR(__xludf.DUMMYFUNCTION("""COMPUTED_VALUE"""),1.3998919520185154)</f>
        <v>1.399891952</v>
      </c>
      <c r="AB804" s="57">
        <f>IFERROR(__xludf.DUMMYFUNCTION("""COMPUTED_VALUE"""),2.449093409907723)</f>
        <v>2.44909341</v>
      </c>
      <c r="AC804" s="31">
        <f>IFERROR(__xludf.DUMMYFUNCTION("""COMPUTED_VALUE"""),359.31450649381816)</f>
        <v>359.3145065</v>
      </c>
      <c r="AD804" s="57">
        <f>IFERROR(__xludf.DUMMYFUNCTION("""COMPUTED_VALUE"""),0.8326756164907133)</f>
        <v>0.8326756165</v>
      </c>
      <c r="AE804" s="57">
        <f>IFERROR(__xludf.DUMMYFUNCTION("""COMPUTED_VALUE"""),0.6006680183458679)</f>
        <v>0.6006680183</v>
      </c>
      <c r="AF804" s="57">
        <f>IFERROR(__xludf.DUMMYFUNCTION("""COMPUTED_VALUE"""),1.3304529032609673)</f>
        <v>1.330452903</v>
      </c>
      <c r="AG804" s="57">
        <f>IFERROR(__xludf.DUMMYFUNCTION("""COMPUTED_VALUE"""),2.771209533511087)</f>
        <v>2.771209534</v>
      </c>
      <c r="AH804" s="57">
        <f>IFERROR(__xludf.DUMMYFUNCTION("""COMPUTED_VALUE"""),0.8991327172508323)</f>
        <v>0.8991327173</v>
      </c>
      <c r="AI804" s="57">
        <f>IFERROR(__xludf.DUMMYFUNCTION("""COMPUTED_VALUE"""),0.7720379102326129)</f>
        <v>0.7720379102</v>
      </c>
      <c r="AJ804" s="57">
        <f>IFERROR(__xludf.DUMMYFUNCTION("""COMPUTED_VALUE"""),1.129694619733697)</f>
        <v>1.12969462</v>
      </c>
      <c r="AK804" s="57">
        <f>IFERROR(__xludf.DUMMYFUNCTION("""COMPUTED_VALUE"""),0.7516237497388893)</f>
        <v>0.7516237497</v>
      </c>
      <c r="AL804" s="57">
        <f>IFERROR(__xludf.DUMMYFUNCTION("""COMPUTED_VALUE"""),0.8763579221288472)</f>
        <v>0.8763579221</v>
      </c>
      <c r="AM804" s="57">
        <f>IFERROR(__xludf.DUMMYFUNCTION("""COMPUTED_VALUE"""),0.9670279202452408)</f>
        <v>0.9670279202</v>
      </c>
      <c r="AN804" s="57">
        <f>IFERROR(__xludf.DUMMYFUNCTION("""COMPUTED_VALUE"""),0.8965465529552537)</f>
        <v>0.896546553</v>
      </c>
      <c r="AO804" s="57">
        <f>IFERROR(__xludf.DUMMYFUNCTION("""COMPUTED_VALUE"""),0.8914202434811175)</f>
        <v>0.8914202435</v>
      </c>
      <c r="AP804" s="35">
        <f>IFERROR(__xludf.DUMMYFUNCTION("""COMPUTED_VALUE"""),0.9099341716857561)</f>
        <v>0.9099341717</v>
      </c>
      <c r="AQ804" s="57">
        <f>IFERROR(__xludf.DUMMYFUNCTION("""COMPUTED_VALUE"""),0.94787261361176)</f>
        <v>0.9478726136</v>
      </c>
      <c r="AR804" s="36" t="b">
        <f>IFERROR(__xludf.DUMMYFUNCTION("""COMPUTED_VALUE"""),TRUE)</f>
        <v>1</v>
      </c>
      <c r="AS804" s="57"/>
      <c r="AT804" s="37"/>
      <c r="AU804" s="30"/>
      <c r="AV804" s="30"/>
      <c r="AW804" s="30"/>
      <c r="AX804" s="30"/>
      <c r="AY804" s="30"/>
      <c r="AZ804" s="30"/>
    </row>
    <row r="805">
      <c r="A805" s="30" t="str">
        <f>IFERROR(__xludf.DUMMYFUNCTION("""COMPUTED_VALUE"""),"Veteran")</f>
        <v>Veteran</v>
      </c>
      <c r="B805" s="30" t="str">
        <f>IFERROR(__xludf.DUMMYFUNCTION("""COMPUTED_VALUE"""),"RSC000601")</f>
        <v>RSC000601</v>
      </c>
      <c r="C805" s="30" t="str">
        <f>IFERROR(__xludf.DUMMYFUNCTION("""COMPUTED_VALUE"""),"Bxffledd")</f>
        <v>Bxffledd</v>
      </c>
      <c r="D805" s="31"/>
      <c r="E805" s="31">
        <f>IFERROR(__xludf.DUMMYFUNCTION("""COMPUTED_VALUE"""),48.90850349831403)</f>
        <v>48.9085035</v>
      </c>
      <c r="F805" s="31">
        <f>IFERROR(__xludf.DUMMYFUNCTION("""COMPUTED_VALUE"""),-2.072161929097703)</f>
        <v>-2.072161929</v>
      </c>
      <c r="G805" s="31">
        <f>IFERROR(__xludf.DUMMYFUNCTION("""COMPUTED_VALUE"""),40.33056310202385)</f>
        <v>40.3305631</v>
      </c>
      <c r="H805" s="31">
        <f>IFERROR(__xludf.DUMMYFUNCTION("""COMPUTED_VALUE"""),-2.8615539279615234)</f>
        <v>-2.861553928</v>
      </c>
      <c r="I805" s="54">
        <f>IFERROR(__xludf.DUMMYFUNCTION("""COMPUTED_VALUE"""),6.0)</f>
        <v>6</v>
      </c>
      <c r="J805" s="55">
        <f>IFERROR(__xludf.DUMMYFUNCTION("""COMPUTED_VALUE"""),3.0)</f>
        <v>3</v>
      </c>
      <c r="K805" s="54">
        <f>IFERROR(__xludf.DUMMYFUNCTION("""COMPUTED_VALUE"""),3.0)</f>
        <v>3</v>
      </c>
      <c r="L805" s="56">
        <f>IFERROR(__xludf.DUMMYFUNCTION("""COMPUTED_VALUE"""),0.5)</f>
        <v>0.5</v>
      </c>
      <c r="M805" s="56">
        <f>IFERROR(__xludf.DUMMYFUNCTION("""COMPUTED_VALUE"""),0.375)</f>
        <v>0.375</v>
      </c>
      <c r="N805" s="31">
        <f>IFERROR(__xludf.DUMMYFUNCTION("""COMPUTED_VALUE"""),373.0)</f>
        <v>373</v>
      </c>
      <c r="O805" s="57">
        <f>IFERROR(__xludf.DUMMYFUNCTION("""COMPUTED_VALUE"""),1.0)</f>
        <v>1</v>
      </c>
      <c r="P805" s="57">
        <f>IFERROR(__xludf.DUMMYFUNCTION("""COMPUTED_VALUE"""),0.3333333333333333)</f>
        <v>0.3333333333</v>
      </c>
      <c r="Q805" s="57">
        <f>IFERROR(__xludf.DUMMYFUNCTION("""COMPUTED_VALUE"""),1.5)</f>
        <v>1.5</v>
      </c>
      <c r="R805" s="57">
        <f>IFERROR(__xludf.DUMMYFUNCTION("""COMPUTED_VALUE"""),2.6666666666666665)</f>
        <v>2.666666667</v>
      </c>
      <c r="S805" s="31">
        <f>IFERROR(__xludf.DUMMYFUNCTION("""COMPUTED_VALUE"""),378.5)</f>
        <v>378.5</v>
      </c>
      <c r="T805" s="57">
        <f>IFERROR(__xludf.DUMMYFUNCTION("""COMPUTED_VALUE"""),0.9444444444444443)</f>
        <v>0.9444444444</v>
      </c>
      <c r="U805" s="57">
        <f>IFERROR(__xludf.DUMMYFUNCTION("""COMPUTED_VALUE"""),0.7777777777777777)</f>
        <v>0.7777777778</v>
      </c>
      <c r="V805" s="57">
        <f>IFERROR(__xludf.DUMMYFUNCTION("""COMPUTED_VALUE"""),1.1666666666666665)</f>
        <v>1.166666667</v>
      </c>
      <c r="W805" s="57">
        <f>IFERROR(__xludf.DUMMYFUNCTION("""COMPUTED_VALUE"""),2.8888888888888893)</f>
        <v>2.888888889</v>
      </c>
      <c r="X805" s="31">
        <f>IFERROR(__xludf.DUMMYFUNCTION("""COMPUTED_VALUE"""),357.1323417513654)</f>
        <v>357.1323418</v>
      </c>
      <c r="Y805" s="57">
        <f>IFERROR(__xludf.DUMMYFUNCTION("""COMPUTED_VALUE"""),0.8191910782573691)</f>
        <v>0.8191910783</v>
      </c>
      <c r="Z805" s="57">
        <f>IFERROR(__xludf.DUMMYFUNCTION("""COMPUTED_VALUE"""),0.6158580133762191)</f>
        <v>0.6158580134</v>
      </c>
      <c r="AA805" s="57">
        <f>IFERROR(__xludf.DUMMYFUNCTION("""COMPUTED_VALUE"""),1.3363295785143625)</f>
        <v>1.336329579</v>
      </c>
      <c r="AB805" s="57">
        <f>IFERROR(__xludf.DUMMYFUNCTION("""COMPUTED_VALUE"""),2.7163557449783737)</f>
        <v>2.716355745</v>
      </c>
      <c r="AC805" s="31">
        <f>IFERROR(__xludf.DUMMYFUNCTION("""COMPUTED_VALUE"""),364.4092762150257)</f>
        <v>364.4092762</v>
      </c>
      <c r="AD805" s="57">
        <f>IFERROR(__xludf.DUMMYFUNCTION("""COMPUTED_VALUE"""),0.8277398171296951)</f>
        <v>0.8277398171</v>
      </c>
      <c r="AE805" s="57">
        <f>IFERROR(__xludf.DUMMYFUNCTION("""COMPUTED_VALUE"""),0.5879885452392911)</f>
        <v>0.5879885452</v>
      </c>
      <c r="AF805" s="57">
        <f>IFERROR(__xludf.DUMMYFUNCTION("""COMPUTED_VALUE"""),1.3628564237942953)</f>
        <v>1.362856424</v>
      </c>
      <c r="AG805" s="57">
        <f>IFERROR(__xludf.DUMMYFUNCTION("""COMPUTED_VALUE"""),2.585724779464145)</f>
        <v>2.585724779</v>
      </c>
      <c r="AH805" s="57">
        <f>IFERROR(__xludf.DUMMYFUNCTION("""COMPUTED_VALUE"""),1.0235743828318606)</f>
        <v>1.023574383</v>
      </c>
      <c r="AI805" s="57">
        <f>IFERROR(__xludf.DUMMYFUNCTION("""COMPUTED_VALUE"""),1.208109093347281)</f>
        <v>1.208109093</v>
      </c>
      <c r="AJ805" s="57">
        <f>IFERROR(__xludf.DUMMYFUNCTION("""COMPUTED_VALUE"""),0.5669044678373422)</f>
        <v>0.5669044678</v>
      </c>
      <c r="AK805" s="57">
        <f>IFERROR(__xludf.DUMMYFUNCTION("""COMPUTED_VALUE"""),1.100629511525423)</f>
        <v>1.100629512</v>
      </c>
      <c r="AL805" s="57">
        <f>IFERROR(__xludf.DUMMYFUNCTION("""COMPUTED_VALUE"""),1.0313033652480583)</f>
        <v>1.031303365</v>
      </c>
      <c r="AM805" s="57">
        <f>IFERROR(__xludf.DUMMYFUNCTION("""COMPUTED_VALUE"""),1.0598312047120917)</f>
        <v>1.059831205</v>
      </c>
      <c r="AN805" s="57">
        <f>IFERROR(__xludf.DUMMYFUNCTION("""COMPUTED_VALUE"""),1.1528988407118903)</f>
        <v>1.152898841</v>
      </c>
      <c r="AO805" s="57">
        <f>IFERROR(__xludf.DUMMYFUNCTION("""COMPUTED_VALUE"""),1.262917362256751)</f>
        <v>1.262917362</v>
      </c>
      <c r="AP805" s="35">
        <f>IFERROR(__xludf.DUMMYFUNCTION("""COMPUTED_VALUE"""),0.8730381227987819)</f>
        <v>0.8730381228</v>
      </c>
      <c r="AQ805" s="57">
        <f>IFERROR(__xludf.DUMMYFUNCTION("""COMPUTED_VALUE"""),1.0635164021610466)</f>
        <v>1.063516402</v>
      </c>
      <c r="AR805" s="36" t="b">
        <f>IFERROR(__xludf.DUMMYFUNCTION("""COMPUTED_VALUE"""),TRUE)</f>
        <v>1</v>
      </c>
      <c r="AS805" s="57"/>
      <c r="AT805" s="37"/>
      <c r="AU805" s="30"/>
      <c r="AV805" s="30"/>
      <c r="AW805" s="30"/>
      <c r="AX805" s="30"/>
      <c r="AY805" s="30"/>
      <c r="AZ805" s="30"/>
    </row>
    <row r="806">
      <c r="A806" s="30" t="str">
        <f>IFERROR(__xludf.DUMMYFUNCTION("""COMPUTED_VALUE"""),"Veteran")</f>
        <v>Veteran</v>
      </c>
      <c r="B806" s="30" t="str">
        <f>IFERROR(__xludf.DUMMYFUNCTION("""COMPUTED_VALUE"""),"RSC006320")</f>
        <v>RSC006320</v>
      </c>
      <c r="C806" s="30" t="str">
        <f>IFERROR(__xludf.DUMMYFUNCTION("""COMPUTED_VALUE"""),"Escape_Plan")</f>
        <v>Escape_Plan</v>
      </c>
      <c r="D806" s="31" t="str">
        <f>IFERROR(__xludf.DUMMYFUNCTION("""COMPUTED_VALUE"""),"Singularity")</f>
        <v>Singularity</v>
      </c>
      <c r="E806" s="31">
        <f>IFERROR(__xludf.DUMMYFUNCTION("""COMPUTED_VALUE"""),48.7913211390189)</f>
        <v>48.79132114</v>
      </c>
      <c r="F806" s="31">
        <f>IFERROR(__xludf.DUMMYFUNCTION("""COMPUTED_VALUE"""),-2.0802139340977)</f>
        <v>-2.080213934</v>
      </c>
      <c r="G806" s="31">
        <f>IFERROR(__xludf.DUMMYFUNCTION("""COMPUTED_VALUE"""),37.75548397225563)</f>
        <v>37.75548397</v>
      </c>
      <c r="H806" s="31">
        <f>IFERROR(__xludf.DUMMYFUNCTION("""COMPUTED_VALUE"""),-3.2036437939325597)</f>
        <v>-3.203643794</v>
      </c>
      <c r="I806" s="54">
        <f>IFERROR(__xludf.DUMMYFUNCTION("""COMPUTED_VALUE"""),36.0)</f>
        <v>36</v>
      </c>
      <c r="J806" s="55">
        <f>IFERROR(__xludf.DUMMYFUNCTION("""COMPUTED_VALUE"""),20.0)</f>
        <v>20</v>
      </c>
      <c r="K806" s="54">
        <f>IFERROR(__xludf.DUMMYFUNCTION("""COMPUTED_VALUE"""),16.0)</f>
        <v>16</v>
      </c>
      <c r="L806" s="56">
        <f>IFERROR(__xludf.DUMMYFUNCTION("""COMPUTED_VALUE"""),0.5555555555555556)</f>
        <v>0.5555555556</v>
      </c>
      <c r="M806" s="56">
        <f>IFERROR(__xludf.DUMMYFUNCTION("""COMPUTED_VALUE"""),0.31521739130434784)</f>
        <v>0.3152173913</v>
      </c>
      <c r="N806" s="31">
        <f>IFERROR(__xludf.DUMMYFUNCTION("""COMPUTED_VALUE"""),334.1111111111111)</f>
        <v>334.1111111</v>
      </c>
      <c r="O806" s="57">
        <f>IFERROR(__xludf.DUMMYFUNCTION("""COMPUTED_VALUE"""),0.8055555555555556)</f>
        <v>0.8055555556</v>
      </c>
      <c r="P806" s="57">
        <f>IFERROR(__xludf.DUMMYFUNCTION("""COMPUTED_VALUE"""),0.4166666666666667)</f>
        <v>0.4166666667</v>
      </c>
      <c r="Q806" s="57">
        <f>IFERROR(__xludf.DUMMYFUNCTION("""COMPUTED_VALUE"""),1.2222222222222223)</f>
        <v>1.222222222</v>
      </c>
      <c r="R806" s="57">
        <f>IFERROR(__xludf.DUMMYFUNCTION("""COMPUTED_VALUE"""),2.5555555555555554)</f>
        <v>2.555555556</v>
      </c>
      <c r="S806" s="31">
        <f>IFERROR(__xludf.DUMMYFUNCTION("""COMPUTED_VALUE"""),338.9351851851852)</f>
        <v>338.9351852</v>
      </c>
      <c r="T806" s="57">
        <f>IFERROR(__xludf.DUMMYFUNCTION("""COMPUTED_VALUE"""),0.7499999999999998)</f>
        <v>0.75</v>
      </c>
      <c r="U806" s="57">
        <f>IFERROR(__xludf.DUMMYFUNCTION("""COMPUTED_VALUE"""),0.5462962962962963)</f>
        <v>0.5462962963</v>
      </c>
      <c r="V806" s="57">
        <f>IFERROR(__xludf.DUMMYFUNCTION("""COMPUTED_VALUE"""),1.1851851851851853)</f>
        <v>1.185185185</v>
      </c>
      <c r="W806" s="57">
        <f>IFERROR(__xludf.DUMMYFUNCTION("""COMPUTED_VALUE"""),2.814814814814815)</f>
        <v>2.814814815</v>
      </c>
      <c r="X806" s="31">
        <f>IFERROR(__xludf.DUMMYFUNCTION("""COMPUTED_VALUE"""),355.7609066746878)</f>
        <v>355.7609067</v>
      </c>
      <c r="Y806" s="57">
        <f>IFERROR(__xludf.DUMMYFUNCTION("""COMPUTED_VALUE"""),0.787826554261314)</f>
        <v>0.7878265543</v>
      </c>
      <c r="Z806" s="57">
        <f>IFERROR(__xludf.DUMMYFUNCTION("""COMPUTED_VALUE"""),0.5818357272047344)</f>
        <v>0.5818357272</v>
      </c>
      <c r="AA806" s="57">
        <f>IFERROR(__xludf.DUMMYFUNCTION("""COMPUTED_VALUE"""),1.3418715510544539)</f>
        <v>1.341871551</v>
      </c>
      <c r="AB806" s="57">
        <f>IFERROR(__xludf.DUMMYFUNCTION("""COMPUTED_VALUE"""),2.598903636334897)</f>
        <v>2.598903636</v>
      </c>
      <c r="AC806" s="31">
        <f>IFERROR(__xludf.DUMMYFUNCTION("""COMPUTED_VALUE"""),349.6313847606422)</f>
        <v>349.6313848</v>
      </c>
      <c r="AD806" s="57">
        <f>IFERROR(__xludf.DUMMYFUNCTION("""COMPUTED_VALUE"""),0.7721846147388602)</f>
        <v>0.7721846147</v>
      </c>
      <c r="AE806" s="57">
        <f>IFERROR(__xludf.DUMMYFUNCTION("""COMPUTED_VALUE"""),0.5589226886272088)</f>
        <v>0.5589226886</v>
      </c>
      <c r="AF806" s="57">
        <f>IFERROR(__xludf.DUMMYFUNCTION("""COMPUTED_VALUE"""),1.3280848210267029)</f>
        <v>1.328084821</v>
      </c>
      <c r="AG806" s="57">
        <f>IFERROR(__xludf.DUMMYFUNCTION("""COMPUTED_VALUE"""),2.6137808266433233)</f>
        <v>2.613780827</v>
      </c>
      <c r="AH806" s="57">
        <f>IFERROR(__xludf.DUMMYFUNCTION("""COMPUTED_VALUE"""),0.9556096096460096)</f>
        <v>0.9556096096</v>
      </c>
      <c r="AI806" s="57">
        <f>IFERROR(__xludf.DUMMYFUNCTION("""COMPUTED_VALUE"""),1.0432162726111565)</f>
        <v>1.043216273</v>
      </c>
      <c r="AJ806" s="57">
        <f>IFERROR(__xludf.DUMMYFUNCTION("""COMPUTED_VALUE"""),0.7454817547129057)</f>
        <v>0.7454817547</v>
      </c>
      <c r="AK806" s="57">
        <f>IFERROR(__xludf.DUMMYFUNCTION("""COMPUTED_VALUE"""),0.9202892788710277)</f>
        <v>0.9202892789</v>
      </c>
      <c r="AL806" s="57">
        <f>IFERROR(__xludf.DUMMYFUNCTION("""COMPUTED_VALUE"""),0.9777237362466453)</f>
        <v>0.9777237362</v>
      </c>
      <c r="AM806" s="57">
        <f>IFERROR(__xludf.DUMMYFUNCTION("""COMPUTED_VALUE"""),0.9527049735543646)</f>
        <v>0.9527049736</v>
      </c>
      <c r="AN806" s="57">
        <f>IFERROR(__xludf.DUMMYFUNCTION("""COMPUTED_VALUE"""),0.9519861902893317)</f>
        <v>0.9519861903</v>
      </c>
      <c r="AO806" s="57">
        <f>IFERROR(__xludf.DUMMYFUNCTION("""COMPUTED_VALUE"""),0.9389184451096234)</f>
        <v>0.9389184451</v>
      </c>
      <c r="AP806" s="35">
        <f>IFERROR(__xludf.DUMMYFUNCTION("""COMPUTED_VALUE"""),0.8832329623903695)</f>
        <v>0.8832329624</v>
      </c>
      <c r="AQ806" s="57">
        <f>IFERROR(__xludf.DUMMYFUNCTION("""COMPUTED_VALUE"""),1.0830777930590787)</f>
        <v>1.083077793</v>
      </c>
      <c r="AR806" s="36" t="b">
        <f>IFERROR(__xludf.DUMMYFUNCTION("""COMPUTED_VALUE"""),TRUE)</f>
        <v>1</v>
      </c>
      <c r="AS806" s="57"/>
      <c r="AT806" s="37"/>
      <c r="AU806" s="30"/>
      <c r="AV806" s="30"/>
      <c r="AW806" s="30"/>
      <c r="AX806" s="30"/>
      <c r="AY806" s="30"/>
      <c r="AZ806" s="30"/>
    </row>
    <row r="807">
      <c r="A807" s="30" t="str">
        <f>IFERROR(__xludf.DUMMYFUNCTION("""COMPUTED_VALUE"""),"Veteran")</f>
        <v>Veteran</v>
      </c>
      <c r="B807" s="30" t="str">
        <f>IFERROR(__xludf.DUMMYFUNCTION("""COMPUTED_VALUE"""),"RSC006885")</f>
        <v>RSC006885</v>
      </c>
      <c r="C807" s="30" t="str">
        <f>IFERROR(__xludf.DUMMYFUNCTION("""COMPUTED_VALUE"""),"ski")</f>
        <v>ski</v>
      </c>
      <c r="D807" s="31" t="str">
        <f>IFERROR(__xludf.DUMMYFUNCTION("""COMPUTED_VALUE"""),"Dread")</f>
        <v>Dread</v>
      </c>
      <c r="E807" s="31">
        <f>IFERROR(__xludf.DUMMYFUNCTION("""COMPUTED_VALUE"""),48.72731863095814)</f>
        <v>48.72731863</v>
      </c>
      <c r="F807" s="31">
        <f>IFERROR(__xludf.DUMMYFUNCTION("""COMPUTED_VALUE"""),-2.08463748136098)</f>
        <v>-2.084637481</v>
      </c>
      <c r="G807" s="31">
        <f>IFERROR(__xludf.DUMMYFUNCTION("""COMPUTED_VALUE"""),60.58932963655383)</f>
        <v>60.58932964</v>
      </c>
      <c r="H807" s="31">
        <f>IFERROR(__xludf.DUMMYFUNCTION("""COMPUTED_VALUE"""),2.976734818167497)</f>
        <v>2.976734818</v>
      </c>
      <c r="I807" s="54">
        <f>IFERROR(__xludf.DUMMYFUNCTION("""COMPUTED_VALUE"""),31.0)</f>
        <v>31</v>
      </c>
      <c r="J807" s="55">
        <f>IFERROR(__xludf.DUMMYFUNCTION("""COMPUTED_VALUE"""),16.0)</f>
        <v>16</v>
      </c>
      <c r="K807" s="54">
        <f>IFERROR(__xludf.DUMMYFUNCTION("""COMPUTED_VALUE"""),15.0)</f>
        <v>15</v>
      </c>
      <c r="L807" s="56">
        <f>IFERROR(__xludf.DUMMYFUNCTION("""COMPUTED_VALUE"""),0.5161290322580645)</f>
        <v>0.5161290323</v>
      </c>
      <c r="M807" s="56">
        <f>IFERROR(__xludf.DUMMYFUNCTION("""COMPUTED_VALUE"""),0.29333333333333333)</f>
        <v>0.2933333333</v>
      </c>
      <c r="N807" s="31">
        <f>IFERROR(__xludf.DUMMYFUNCTION("""COMPUTED_VALUE"""),370.93548387096774)</f>
        <v>370.9354839</v>
      </c>
      <c r="O807" s="57">
        <f>IFERROR(__xludf.DUMMYFUNCTION("""COMPUTED_VALUE"""),0.7096774193548387)</f>
        <v>0.7096774194</v>
      </c>
      <c r="P807" s="57">
        <f>IFERROR(__xludf.DUMMYFUNCTION("""COMPUTED_VALUE"""),0.5161290322580645)</f>
        <v>0.5161290323</v>
      </c>
      <c r="Q807" s="57">
        <f>IFERROR(__xludf.DUMMYFUNCTION("""COMPUTED_VALUE"""),1.6451612903225807)</f>
        <v>1.64516129</v>
      </c>
      <c r="R807" s="57">
        <f>IFERROR(__xludf.DUMMYFUNCTION("""COMPUTED_VALUE"""),2.4193548387096775)</f>
        <v>2.419354839</v>
      </c>
      <c r="S807" s="31">
        <f>IFERROR(__xludf.DUMMYFUNCTION("""COMPUTED_VALUE"""),337.1612903225806)</f>
        <v>337.1612903</v>
      </c>
      <c r="T807" s="57">
        <f>IFERROR(__xludf.DUMMYFUNCTION("""COMPUTED_VALUE"""),0.6774193548387094)</f>
        <v>0.6774193548</v>
      </c>
      <c r="U807" s="57">
        <f>IFERROR(__xludf.DUMMYFUNCTION("""COMPUTED_VALUE"""),0.5483870967741935)</f>
        <v>0.5483870968</v>
      </c>
      <c r="V807" s="57">
        <f>IFERROR(__xludf.DUMMYFUNCTION("""COMPUTED_VALUE"""),1.1935483870967745)</f>
        <v>1.193548387</v>
      </c>
      <c r="W807" s="57">
        <f>IFERROR(__xludf.DUMMYFUNCTION("""COMPUTED_VALUE"""),2.580645161290322)</f>
        <v>2.580645161</v>
      </c>
      <c r="X807" s="31">
        <f>IFERROR(__xludf.DUMMYFUNCTION("""COMPUTED_VALUE"""),344.8872708927267)</f>
        <v>344.8872709</v>
      </c>
      <c r="Y807" s="57">
        <f>IFERROR(__xludf.DUMMYFUNCTION("""COMPUTED_VALUE"""),0.7302324147395044)</f>
        <v>0.7302324147</v>
      </c>
      <c r="Z807" s="57">
        <f>IFERROR(__xludf.DUMMYFUNCTION("""COMPUTED_VALUE"""),0.5663886711155645)</f>
        <v>0.5663886711</v>
      </c>
      <c r="AA807" s="57">
        <f>IFERROR(__xludf.DUMMYFUNCTION("""COMPUTED_VALUE"""),1.3520745160621013)</f>
        <v>1.352074516</v>
      </c>
      <c r="AB807" s="57">
        <f>IFERROR(__xludf.DUMMYFUNCTION("""COMPUTED_VALUE"""),2.531284769277565)</f>
        <v>2.531284769</v>
      </c>
      <c r="AC807" s="31">
        <f>IFERROR(__xludf.DUMMYFUNCTION("""COMPUTED_VALUE"""),358.8178863783271)</f>
        <v>358.8178864</v>
      </c>
      <c r="AD807" s="57">
        <f>IFERROR(__xludf.DUMMYFUNCTION("""COMPUTED_VALUE"""),0.8224790853378905)</f>
        <v>0.8224790853</v>
      </c>
      <c r="AE807" s="57">
        <f>IFERROR(__xludf.DUMMYFUNCTION("""COMPUTED_VALUE"""),0.6116188723185643)</f>
        <v>0.6116188723</v>
      </c>
      <c r="AF807" s="57">
        <f>IFERROR(__xludf.DUMMYFUNCTION("""COMPUTED_VALUE"""),1.3415219512010117)</f>
        <v>1.341521951</v>
      </c>
      <c r="AG807" s="57">
        <f>IFERROR(__xludf.DUMMYFUNCTION("""COMPUTED_VALUE"""),2.652465705189414)</f>
        <v>2.652465705</v>
      </c>
      <c r="AH807" s="57">
        <f>IFERROR(__xludf.DUMMYFUNCTION("""COMPUTED_VALUE"""),1.0337708847653826)</f>
        <v>1.033770885</v>
      </c>
      <c r="AI807" s="57">
        <f>IFERROR(__xludf.DUMMYFUNCTION("""COMPUTED_VALUE"""),0.8628516299150505)</f>
        <v>0.8628516299</v>
      </c>
      <c r="AJ807" s="57">
        <f>IFERROR(__xludf.DUMMYFUNCTION("""COMPUTED_VALUE"""),0.8438736206773497)</f>
        <v>0.8438736207</v>
      </c>
      <c r="AK807" s="57">
        <f>IFERROR(__xludf.DUMMYFUNCTION("""COMPUTED_VALUE"""),1.226339448899612)</f>
        <v>1.226339449</v>
      </c>
      <c r="AL807" s="57">
        <f>IFERROR(__xludf.DUMMYFUNCTION("""COMPUTED_VALUE"""),0.9121154079301885)</f>
        <v>0.9121154079</v>
      </c>
      <c r="AM807" s="57">
        <f>IFERROR(__xludf.DUMMYFUNCTION("""COMPUTED_VALUE"""),0.9775985337175602)</f>
        <v>0.9775985337</v>
      </c>
      <c r="AN807" s="57">
        <f>IFERROR(__xludf.DUMMYFUNCTION("""COMPUTED_VALUE"""),0.9276763687357881)</f>
        <v>0.9276763687</v>
      </c>
      <c r="AO807" s="57">
        <f>IFERROR(__xludf.DUMMYFUNCTION("""COMPUTED_VALUE"""),0.9682169237143905)</f>
        <v>0.9682169237</v>
      </c>
      <c r="AP807" s="35">
        <f>IFERROR(__xludf.DUMMYFUNCTION("""COMPUTED_VALUE"""),0.8827534081279543)</f>
        <v>0.8827534081</v>
      </c>
      <c r="AQ807" s="57">
        <f>IFERROR(__xludf.DUMMYFUNCTION("""COMPUTED_VALUE"""),1.0195001339287655)</f>
        <v>1.019500134</v>
      </c>
      <c r="AR807" s="36" t="b">
        <f>IFERROR(__xludf.DUMMYFUNCTION("""COMPUTED_VALUE"""),TRUE)</f>
        <v>1</v>
      </c>
      <c r="AS807" s="57"/>
      <c r="AT807" s="37"/>
      <c r="AU807" s="30"/>
      <c r="AV807" s="30"/>
      <c r="AW807" s="30"/>
      <c r="AX807" s="30"/>
      <c r="AY807" s="30"/>
      <c r="AZ807" s="30"/>
    </row>
    <row r="808">
      <c r="A808" s="30" t="str">
        <f>IFERROR(__xludf.DUMMYFUNCTION("""COMPUTED_VALUE"""),"Veteran")</f>
        <v>Veteran</v>
      </c>
      <c r="B808" s="30" t="str">
        <f>IFERROR(__xludf.DUMMYFUNCTION("""COMPUTED_VALUE"""),"RSC007437")</f>
        <v>RSC007437</v>
      </c>
      <c r="C808" s="30" t="str">
        <f>IFERROR(__xludf.DUMMYFUNCTION("""COMPUTED_VALUE"""),"luckyy.12")</f>
        <v>luckyy.12</v>
      </c>
      <c r="D808" s="31" t="str">
        <f>IFERROR(__xludf.DUMMYFUNCTION("""COMPUTED_VALUE"""),"Mellow Fellows")</f>
        <v>Mellow Fellows</v>
      </c>
      <c r="E808" s="31">
        <f>IFERROR(__xludf.DUMMYFUNCTION("""COMPUTED_VALUE"""),48.08267565682711)</f>
        <v>48.08267566</v>
      </c>
      <c r="F808" s="31">
        <f>IFERROR(__xludf.DUMMYFUNCTION("""COMPUTED_VALUE"""),-2.130225376017303)</f>
        <v>-2.130225376</v>
      </c>
      <c r="G808" s="31">
        <f>IFERROR(__xludf.DUMMYFUNCTION("""COMPUTED_VALUE"""),55.717637934902775)</f>
        <v>55.71763793</v>
      </c>
      <c r="H808" s="31">
        <f>IFERROR(__xludf.DUMMYFUNCTION("""COMPUTED_VALUE"""),2.441710849311219)</f>
        <v>2.441710849</v>
      </c>
      <c r="I808" s="54">
        <f>IFERROR(__xludf.DUMMYFUNCTION("""COMPUTED_VALUE"""),46.0)</f>
        <v>46</v>
      </c>
      <c r="J808" s="55">
        <f>IFERROR(__xludf.DUMMYFUNCTION("""COMPUTED_VALUE"""),19.0)</f>
        <v>19</v>
      </c>
      <c r="K808" s="54">
        <f>IFERROR(__xludf.DUMMYFUNCTION("""COMPUTED_VALUE"""),27.0)</f>
        <v>27</v>
      </c>
      <c r="L808" s="56">
        <f>IFERROR(__xludf.DUMMYFUNCTION("""COMPUTED_VALUE"""),0.41304347826086957)</f>
        <v>0.4130434783</v>
      </c>
      <c r="M808" s="56">
        <f>IFERROR(__xludf.DUMMYFUNCTION("""COMPUTED_VALUE"""),0.20353982300884957)</f>
        <v>0.203539823</v>
      </c>
      <c r="N808" s="31">
        <f>IFERROR(__xludf.DUMMYFUNCTION("""COMPUTED_VALUE"""),356.80434782608694)</f>
        <v>356.8043478</v>
      </c>
      <c r="O808" s="57">
        <f>IFERROR(__xludf.DUMMYFUNCTION("""COMPUTED_VALUE"""),0.5)</f>
        <v>0.5</v>
      </c>
      <c r="P808" s="57">
        <f>IFERROR(__xludf.DUMMYFUNCTION("""COMPUTED_VALUE"""),0.6956521739130435)</f>
        <v>0.6956521739</v>
      </c>
      <c r="Q808" s="57">
        <f>IFERROR(__xludf.DUMMYFUNCTION("""COMPUTED_VALUE"""),1.7391304347826086)</f>
        <v>1.739130435</v>
      </c>
      <c r="R808" s="57">
        <f>IFERROR(__xludf.DUMMYFUNCTION("""COMPUTED_VALUE"""),2.4565217391304346)</f>
        <v>2.456521739</v>
      </c>
      <c r="S808" s="31">
        <f>IFERROR(__xludf.DUMMYFUNCTION("""COMPUTED_VALUE"""),344.0144927536231)</f>
        <v>344.0144928</v>
      </c>
      <c r="T808" s="57">
        <f>IFERROR(__xludf.DUMMYFUNCTION("""COMPUTED_VALUE"""),0.7391304347826089)</f>
        <v>0.7391304348</v>
      </c>
      <c r="U808" s="57">
        <f>IFERROR(__xludf.DUMMYFUNCTION("""COMPUTED_VALUE"""),0.536231884057971)</f>
        <v>0.5362318841</v>
      </c>
      <c r="V808" s="57">
        <f>IFERROR(__xludf.DUMMYFUNCTION("""COMPUTED_VALUE"""),1.3768115942028982)</f>
        <v>1.376811594</v>
      </c>
      <c r="W808" s="57">
        <f>IFERROR(__xludf.DUMMYFUNCTION("""COMPUTED_VALUE"""),2.731884057971015)</f>
        <v>2.731884058</v>
      </c>
      <c r="X808" s="31">
        <f>IFERROR(__xludf.DUMMYFUNCTION("""COMPUTED_VALUE"""),343.77403837383724)</f>
        <v>343.7740384</v>
      </c>
      <c r="Y808" s="57">
        <f>IFERROR(__xludf.DUMMYFUNCTION("""COMPUTED_VALUE"""),0.7485092421454628)</f>
        <v>0.7485092421</v>
      </c>
      <c r="Z808" s="57">
        <f>IFERROR(__xludf.DUMMYFUNCTION("""COMPUTED_VALUE"""),0.5544862270258314)</f>
        <v>0.554486227</v>
      </c>
      <c r="AA808" s="57">
        <f>IFERROR(__xludf.DUMMYFUNCTION("""COMPUTED_VALUE"""),1.295361029465464)</f>
        <v>1.295361029</v>
      </c>
      <c r="AB808" s="57">
        <f>IFERROR(__xludf.DUMMYFUNCTION("""COMPUTED_VALUE"""),2.589873470519489)</f>
        <v>2.589873471</v>
      </c>
      <c r="AC808" s="31">
        <f>IFERROR(__xludf.DUMMYFUNCTION("""COMPUTED_VALUE"""),345.028550380406)</f>
        <v>345.0285504</v>
      </c>
      <c r="AD808" s="57">
        <f>IFERROR(__xludf.DUMMYFUNCTION("""COMPUTED_VALUE"""),0.7373633515319599)</f>
        <v>0.7373633515</v>
      </c>
      <c r="AE808" s="57">
        <f>IFERROR(__xludf.DUMMYFUNCTION("""COMPUTED_VALUE"""),0.5454050238977632)</f>
        <v>0.5454050239</v>
      </c>
      <c r="AF808" s="57">
        <f>IFERROR(__xludf.DUMMYFUNCTION("""COMPUTED_VALUE"""),1.35292241974921)</f>
        <v>1.35292242</v>
      </c>
      <c r="AG808" s="57">
        <f>IFERROR(__xludf.DUMMYFUNCTION("""COMPUTED_VALUE"""),2.5023151418084906)</f>
        <v>2.502315142</v>
      </c>
      <c r="AH808" s="57">
        <f>IFERROR(__xludf.DUMMYFUNCTION("""COMPUTED_VALUE"""),1.0341299218070439)</f>
        <v>1.034129922</v>
      </c>
      <c r="AI808" s="57">
        <f>IFERROR(__xludf.DUMMYFUNCTION("""COMPUTED_VALUE"""),0.6780917426411154)</f>
        <v>0.6780917426</v>
      </c>
      <c r="AJ808" s="57">
        <f>IFERROR(__xludf.DUMMYFUNCTION("""COMPUTED_VALUE"""),1.2754781188877429)</f>
        <v>1.275478119</v>
      </c>
      <c r="AK808" s="57">
        <f>IFERROR(__xludf.DUMMYFUNCTION("""COMPUTED_VALUE"""),1.2854620556180816)</f>
        <v>1.285462056</v>
      </c>
      <c r="AL808" s="57">
        <f>IFERROR(__xludf.DUMMYFUNCTION("""COMPUTED_VALUE"""),0.9816995861500643)</f>
        <v>0.9816995862</v>
      </c>
      <c r="AM808" s="57">
        <f>IFERROR(__xludf.DUMMYFUNCTION("""COMPUTED_VALUE"""),1.0006994547375458)</f>
        <v>1.000699455</v>
      </c>
      <c r="AN808" s="57">
        <f>IFERROR(__xludf.DUMMYFUNCTION("""COMPUTED_VALUE"""),0.9874700179573317)</f>
        <v>0.987470018</v>
      </c>
      <c r="AO808" s="57">
        <f>IFERROR(__xludf.DUMMYFUNCTION("""COMPUTED_VALUE"""),0.9670788162480183)</f>
        <v>0.9670788162</v>
      </c>
      <c r="AP808" s="35">
        <f>IFERROR(__xludf.DUMMYFUNCTION("""COMPUTED_VALUE"""),1.0628786592190789)</f>
        <v>1.062878659</v>
      </c>
      <c r="AQ808" s="57">
        <f>IFERROR(__xludf.DUMMYFUNCTION("""COMPUTED_VALUE"""),1.0548330214074284)</f>
        <v>1.054833021</v>
      </c>
      <c r="AR808" s="36" t="b">
        <f>IFERROR(__xludf.DUMMYFUNCTION("""COMPUTED_VALUE"""),TRUE)</f>
        <v>1</v>
      </c>
      <c r="AS808" s="57"/>
      <c r="AT808" s="37"/>
      <c r="AU808" s="30"/>
      <c r="AV808" s="30"/>
      <c r="AW808" s="30"/>
      <c r="AX808" s="30"/>
      <c r="AY808" s="30"/>
      <c r="AZ808" s="30"/>
    </row>
    <row r="809">
      <c r="A809" s="30" t="str">
        <f>IFERROR(__xludf.DUMMYFUNCTION("""COMPUTED_VALUE"""),"Veteran")</f>
        <v>Veteran</v>
      </c>
      <c r="B809" s="30" t="str">
        <f>IFERROR(__xludf.DUMMYFUNCTION("""COMPUTED_VALUE"""),"RSC000023")</f>
        <v>RSC000023</v>
      </c>
      <c r="C809" s="30" t="str">
        <f>IFERROR(__xludf.DUMMYFUNCTION("""COMPUTED_VALUE"""),"n0maa")</f>
        <v>n0maa</v>
      </c>
      <c r="D809" s="31"/>
      <c r="E809" s="31">
        <f>IFERROR(__xludf.DUMMYFUNCTION("""COMPUTED_VALUE"""),48.05410810304415)</f>
        <v>48.0541081</v>
      </c>
      <c r="F809" s="31">
        <f>IFERROR(__xludf.DUMMYFUNCTION("""COMPUTED_VALUE"""),-2.1322898935209267)</f>
        <v>-2.132289894</v>
      </c>
      <c r="G809" s="31">
        <f>IFERROR(__xludf.DUMMYFUNCTION("""COMPUTED_VALUE"""),41.115907178185715)</f>
        <v>41.11590718</v>
      </c>
      <c r="H809" s="31">
        <f>IFERROR(__xludf.DUMMYFUNCTION("""COMPUTED_VALUE"""),-2.768866910272327)</f>
        <v>-2.76886691</v>
      </c>
      <c r="I809" s="54">
        <f>IFERROR(__xludf.DUMMYFUNCTION("""COMPUTED_VALUE"""),4.0)</f>
        <v>4</v>
      </c>
      <c r="J809" s="55">
        <f>IFERROR(__xludf.DUMMYFUNCTION("""COMPUTED_VALUE"""),1.0)</f>
        <v>1</v>
      </c>
      <c r="K809" s="54">
        <f>IFERROR(__xludf.DUMMYFUNCTION("""COMPUTED_VALUE"""),3.0)</f>
        <v>3</v>
      </c>
      <c r="L809" s="56">
        <f>IFERROR(__xludf.DUMMYFUNCTION("""COMPUTED_VALUE"""),0.25)</f>
        <v>0.25</v>
      </c>
      <c r="M809" s="56">
        <f>IFERROR(__xludf.DUMMYFUNCTION("""COMPUTED_VALUE"""),0.07692307692307693)</f>
        <v>0.07692307692</v>
      </c>
      <c r="N809" s="31">
        <f>IFERROR(__xludf.DUMMYFUNCTION("""COMPUTED_VALUE"""),350.5)</f>
        <v>350.5</v>
      </c>
      <c r="O809" s="57">
        <f>IFERROR(__xludf.DUMMYFUNCTION("""COMPUTED_VALUE"""),0.25)</f>
        <v>0.25</v>
      </c>
      <c r="P809" s="57">
        <f>IFERROR(__xludf.DUMMYFUNCTION("""COMPUTED_VALUE"""),1.25)</f>
        <v>1.25</v>
      </c>
      <c r="Q809" s="57">
        <f>IFERROR(__xludf.DUMMYFUNCTION("""COMPUTED_VALUE"""),1.75)</f>
        <v>1.75</v>
      </c>
      <c r="R809" s="57">
        <f>IFERROR(__xludf.DUMMYFUNCTION("""COMPUTED_VALUE"""),3.25)</f>
        <v>3.25</v>
      </c>
      <c r="S809" s="31">
        <f>IFERROR(__xludf.DUMMYFUNCTION("""COMPUTED_VALUE"""),392.50000000000006)</f>
        <v>392.5</v>
      </c>
      <c r="T809" s="57">
        <f>IFERROR(__xludf.DUMMYFUNCTION("""COMPUTED_VALUE"""),1.1666666666666667)</f>
        <v>1.166666667</v>
      </c>
      <c r="U809" s="57">
        <f>IFERROR(__xludf.DUMMYFUNCTION("""COMPUTED_VALUE"""),0.8333333333333334)</f>
        <v>0.8333333333</v>
      </c>
      <c r="V809" s="57">
        <f>IFERROR(__xludf.DUMMYFUNCTION("""COMPUTED_VALUE"""),1.3333333333333333)</f>
        <v>1.333333333</v>
      </c>
      <c r="W809" s="57">
        <f>IFERROR(__xludf.DUMMYFUNCTION("""COMPUTED_VALUE"""),3.3333333333333335)</f>
        <v>3.333333333</v>
      </c>
      <c r="X809" s="31">
        <f>IFERROR(__xludf.DUMMYFUNCTION("""COMPUTED_VALUE"""),322.45652173913044)</f>
        <v>322.4565217</v>
      </c>
      <c r="Y809" s="57">
        <f>IFERROR(__xludf.DUMMYFUNCTION("""COMPUTED_VALUE"""),0.7780797101449276)</f>
        <v>0.7780797101</v>
      </c>
      <c r="Z809" s="57">
        <f>IFERROR(__xludf.DUMMYFUNCTION("""COMPUTED_VALUE"""),0.6899154589371981)</f>
        <v>0.6899154589</v>
      </c>
      <c r="AA809" s="57">
        <f>IFERROR(__xludf.DUMMYFUNCTION("""COMPUTED_VALUE"""),1.0552536231884055)</f>
        <v>1.055253623</v>
      </c>
      <c r="AB809" s="57">
        <f>IFERROR(__xludf.DUMMYFUNCTION("""COMPUTED_VALUE"""),2.676328502415459)</f>
        <v>2.676328502</v>
      </c>
      <c r="AC809" s="31">
        <f>IFERROR(__xludf.DUMMYFUNCTION("""COMPUTED_VALUE"""),370.3084742351046)</f>
        <v>370.3084742</v>
      </c>
      <c r="AD809" s="57">
        <f>IFERROR(__xludf.DUMMYFUNCTION("""COMPUTED_VALUE"""),0.8054549114331723)</f>
        <v>0.8054549114</v>
      </c>
      <c r="AE809" s="57">
        <f>IFERROR(__xludf.DUMMYFUNCTION("""COMPUTED_VALUE"""),0.5871578099838971)</f>
        <v>0.58715781</v>
      </c>
      <c r="AF809" s="57">
        <f>IFERROR(__xludf.DUMMYFUNCTION("""COMPUTED_VALUE"""),1.5579710144927539)</f>
        <v>1.557971014</v>
      </c>
      <c r="AG809" s="57">
        <f>IFERROR(__xludf.DUMMYFUNCTION("""COMPUTED_VALUE"""),2.7034017713365537)</f>
        <v>2.703401771</v>
      </c>
      <c r="AH809" s="57">
        <f>IFERROR(__xludf.DUMMYFUNCTION("""COMPUTED_VALUE"""),0.9465081800355224)</f>
        <v>0.94650818</v>
      </c>
      <c r="AI809" s="57">
        <f>IFERROR(__xludf.DUMMYFUNCTION("""COMPUTED_VALUE"""),0.3103836061476946)</f>
        <v>0.3103836061</v>
      </c>
      <c r="AJ809" s="57">
        <f>IFERROR(__xludf.DUMMYFUNCTION("""COMPUTED_VALUE"""),2.1288995543366465)</f>
        <v>2.128899554</v>
      </c>
      <c r="AK809" s="57">
        <f>IFERROR(__xludf.DUMMYFUNCTION("""COMPUTED_VALUE"""),1.1232558139534883)</f>
        <v>1.123255814</v>
      </c>
      <c r="AL809" s="57">
        <f>IFERROR(__xludf.DUMMYFUNCTION("""COMPUTED_VALUE"""),1.2021890473176726)</f>
        <v>1.202189047</v>
      </c>
      <c r="AM809" s="57">
        <f>IFERROR(__xludf.DUMMYFUNCTION("""COMPUTED_VALUE"""),1.2172183644576284)</f>
        <v>1.217218364</v>
      </c>
      <c r="AN809" s="57">
        <f>IFERROR(__xludf.DUMMYFUNCTION("""COMPUTED_VALUE"""),1.49941792782305)</f>
        <v>1.499417928</v>
      </c>
      <c r="AO809" s="57">
        <f>IFERROR(__xludf.DUMMYFUNCTION("""COMPUTED_VALUE"""),1.2078774617067833)</f>
        <v>1.207877462</v>
      </c>
      <c r="AP809" s="35">
        <f>IFERROR(__xludf.DUMMYFUNCTION("""COMPUTED_VALUE"""),1.2635193133047213)</f>
        <v>1.263519313</v>
      </c>
      <c r="AQ809" s="57">
        <f>IFERROR(__xludf.DUMMYFUNCTION("""COMPUTED_VALUE"""),1.2454873646209388)</f>
        <v>1.245487365</v>
      </c>
      <c r="AR809" s="36" t="b">
        <f>IFERROR(__xludf.DUMMYFUNCTION("""COMPUTED_VALUE"""),TRUE)</f>
        <v>1</v>
      </c>
      <c r="AS809" s="57"/>
      <c r="AT809" s="37"/>
      <c r="AU809" s="30"/>
      <c r="AV809" s="30"/>
      <c r="AW809" s="30"/>
      <c r="AX809" s="30"/>
      <c r="AY809" s="30"/>
      <c r="AZ809" s="30"/>
    </row>
    <row r="810">
      <c r="A810" s="30" t="str">
        <f>IFERROR(__xludf.DUMMYFUNCTION("""COMPUTED_VALUE"""),"Veteran")</f>
        <v>Veteran</v>
      </c>
      <c r="B810" s="30" t="str">
        <f>IFERROR(__xludf.DUMMYFUNCTION("""COMPUTED_VALUE"""),"RSC004859")</f>
        <v>RSC004859</v>
      </c>
      <c r="C810" s="30" t="str">
        <f>IFERROR(__xludf.DUMMYFUNCTION("""COMPUTED_VALUE"""),"LowFadeEnthusiast")</f>
        <v>LowFadeEnthusiast</v>
      </c>
      <c r="D810" s="31"/>
      <c r="E810" s="31">
        <f>IFERROR(__xludf.DUMMYFUNCTION("""COMPUTED_VALUE"""),47.63719587019997)</f>
        <v>47.63719587</v>
      </c>
      <c r="F810" s="31">
        <f>IFERROR(__xludf.DUMMYFUNCTION("""COMPUTED_VALUE"""),-2.162858206697121)</f>
        <v>-2.162858207</v>
      </c>
      <c r="G810" s="31">
        <f>IFERROR(__xludf.DUMMYFUNCTION("""COMPUTED_VALUE"""),22.802130816733968)</f>
        <v>22.80213082</v>
      </c>
      <c r="H810" s="31">
        <f>IFERROR(__xludf.DUMMYFUNCTION("""COMPUTED_VALUE"""),-7.229802325713526)</f>
        <v>-7.229802326</v>
      </c>
      <c r="I810" s="54">
        <f>IFERROR(__xludf.DUMMYFUNCTION("""COMPUTED_VALUE"""),8.0)</f>
        <v>8</v>
      </c>
      <c r="J810" s="55">
        <f>IFERROR(__xludf.DUMMYFUNCTION("""COMPUTED_VALUE"""),5.0)</f>
        <v>5</v>
      </c>
      <c r="K810" s="54">
        <f>IFERROR(__xludf.DUMMYFUNCTION("""COMPUTED_VALUE"""),3.0)</f>
        <v>3</v>
      </c>
      <c r="L810" s="56">
        <f>IFERROR(__xludf.DUMMYFUNCTION("""COMPUTED_VALUE"""),0.625)</f>
        <v>0.625</v>
      </c>
      <c r="M810" s="56">
        <f>IFERROR(__xludf.DUMMYFUNCTION("""COMPUTED_VALUE"""),0.3157894736842105)</f>
        <v>0.3157894737</v>
      </c>
      <c r="N810" s="31">
        <f>IFERROR(__xludf.DUMMYFUNCTION("""COMPUTED_VALUE"""),283.125)</f>
        <v>283.125</v>
      </c>
      <c r="O810" s="57">
        <f>IFERROR(__xludf.DUMMYFUNCTION("""COMPUTED_VALUE"""),0.75)</f>
        <v>0.75</v>
      </c>
      <c r="P810" s="57">
        <f>IFERROR(__xludf.DUMMYFUNCTION("""COMPUTED_VALUE"""),0.25)</f>
        <v>0.25</v>
      </c>
      <c r="Q810" s="57">
        <f>IFERROR(__xludf.DUMMYFUNCTION("""COMPUTED_VALUE"""),0.875)</f>
        <v>0.875</v>
      </c>
      <c r="R810" s="57">
        <f>IFERROR(__xludf.DUMMYFUNCTION("""COMPUTED_VALUE"""),2.375)</f>
        <v>2.375</v>
      </c>
      <c r="S810" s="31">
        <f>IFERROR(__xludf.DUMMYFUNCTION("""COMPUTED_VALUE"""),311.95833333333337)</f>
        <v>311.9583333</v>
      </c>
      <c r="T810" s="57">
        <f>IFERROR(__xludf.DUMMYFUNCTION("""COMPUTED_VALUE"""),0.41666666666666663)</f>
        <v>0.4166666667</v>
      </c>
      <c r="U810" s="57">
        <f>IFERROR(__xludf.DUMMYFUNCTION("""COMPUTED_VALUE"""),0.375)</f>
        <v>0.375</v>
      </c>
      <c r="V810" s="57">
        <f>IFERROR(__xludf.DUMMYFUNCTION("""COMPUTED_VALUE"""),1.3333333333333335)</f>
        <v>1.333333333</v>
      </c>
      <c r="W810" s="57">
        <f>IFERROR(__xludf.DUMMYFUNCTION("""COMPUTED_VALUE"""),2.541666666666667)</f>
        <v>2.541666667</v>
      </c>
      <c r="X810" s="31">
        <f>IFERROR(__xludf.DUMMYFUNCTION("""COMPUTED_VALUE"""),356.93443802835066)</f>
        <v>356.934438</v>
      </c>
      <c r="Y810" s="57">
        <f>IFERROR(__xludf.DUMMYFUNCTION("""COMPUTED_VALUE"""),0.7981566037467691)</f>
        <v>0.7981566037</v>
      </c>
      <c r="Z810" s="57">
        <f>IFERROR(__xludf.DUMMYFUNCTION("""COMPUTED_VALUE"""),0.5421871093457009)</f>
        <v>0.5421871093</v>
      </c>
      <c r="AA810" s="57">
        <f>IFERROR(__xludf.DUMMYFUNCTION("""COMPUTED_VALUE"""),1.4116905884756832)</f>
        <v>1.411690588</v>
      </c>
      <c r="AB810" s="57">
        <f>IFERROR(__xludf.DUMMYFUNCTION("""COMPUTED_VALUE"""),2.7417402594257068)</f>
        <v>2.741740259</v>
      </c>
      <c r="AC810" s="31">
        <f>IFERROR(__xludf.DUMMYFUNCTION("""COMPUTED_VALUE"""),346.2571599398973)</f>
        <v>346.2571599</v>
      </c>
      <c r="AD810" s="57">
        <f>IFERROR(__xludf.DUMMYFUNCTION("""COMPUTED_VALUE"""),0.6864383758593403)</f>
        <v>0.6864383759</v>
      </c>
      <c r="AE810" s="57">
        <f>IFERROR(__xludf.DUMMYFUNCTION("""COMPUTED_VALUE"""),0.48536208544013815)</f>
        <v>0.4853620854</v>
      </c>
      <c r="AF810" s="57">
        <f>IFERROR(__xludf.DUMMYFUNCTION("""COMPUTED_VALUE"""),1.4492879385968829)</f>
        <v>1.449287939</v>
      </c>
      <c r="AG810" s="57">
        <f>IFERROR(__xludf.DUMMYFUNCTION("""COMPUTED_VALUE"""),2.445296483483781)</f>
        <v>2.445296483</v>
      </c>
      <c r="AH810" s="57">
        <f>IFERROR(__xludf.DUMMYFUNCTION("""COMPUTED_VALUE"""),0.8176726224207013)</f>
        <v>0.8176726224</v>
      </c>
      <c r="AI810" s="57">
        <f>IFERROR(__xludf.DUMMYFUNCTION("""COMPUTED_VALUE"""),1.0925962568177923)</f>
        <v>1.092596257</v>
      </c>
      <c r="AJ810" s="57">
        <f>IFERROR(__xludf.DUMMYFUNCTION("""COMPUTED_VALUE"""),0.5150793757886835)</f>
        <v>0.5150793758</v>
      </c>
      <c r="AK810" s="57">
        <f>IFERROR(__xludf.DUMMYFUNCTION("""COMPUTED_VALUE"""),0.6037447609252338)</f>
        <v>0.6037447609</v>
      </c>
      <c r="AL810" s="57">
        <f>IFERROR(__xludf.DUMMYFUNCTION("""COMPUTED_VALUE"""),0.9712523679813131)</f>
        <v>0.971252368</v>
      </c>
      <c r="AM810" s="57">
        <f>IFERROR(__xludf.DUMMYFUNCTION("""COMPUTED_VALUE"""),0.8739933727228503)</f>
        <v>0.8739933727</v>
      </c>
      <c r="AN810" s="57">
        <f>IFERROR(__xludf.DUMMYFUNCTION("""COMPUTED_VALUE"""),0.5220362328780059)</f>
        <v>0.5220362329</v>
      </c>
      <c r="AO810" s="57">
        <f>IFERROR(__xludf.DUMMYFUNCTION("""COMPUTED_VALUE"""),0.6916431496361864)</f>
        <v>0.6916431496</v>
      </c>
      <c r="AP810" s="35">
        <f>IFERROR(__xludf.DUMMYFUNCTION("""COMPUTED_VALUE"""),0.9444940302202068)</f>
        <v>0.9444940302</v>
      </c>
      <c r="AQ810" s="57">
        <f>IFERROR(__xludf.DUMMYFUNCTION("""COMPUTED_VALUE"""),0.9270267881608348)</f>
        <v>0.9270267882</v>
      </c>
      <c r="AR810" s="36" t="b">
        <f>IFERROR(__xludf.DUMMYFUNCTION("""COMPUTED_VALUE"""),TRUE)</f>
        <v>1</v>
      </c>
      <c r="AS810" s="57"/>
      <c r="AT810" s="37"/>
      <c r="AU810" s="30"/>
      <c r="AV810" s="30"/>
      <c r="AW810" s="30"/>
      <c r="AX810" s="30"/>
      <c r="AY810" s="30"/>
      <c r="AZ810" s="30"/>
    </row>
    <row r="811">
      <c r="A811" s="30" t="str">
        <f>IFERROR(__xludf.DUMMYFUNCTION("""COMPUTED_VALUE"""),"Veteran")</f>
        <v>Veteran</v>
      </c>
      <c r="B811" s="30" t="str">
        <f>IFERROR(__xludf.DUMMYFUNCTION("""COMPUTED_VALUE"""),"RSC004239")</f>
        <v>RSC004239</v>
      </c>
      <c r="C811" s="30" t="str">
        <f>IFERROR(__xludf.DUMMYFUNCTION("""COMPUTED_VALUE"""),"Nitro")</f>
        <v>Nitro</v>
      </c>
      <c r="D811" s="31" t="str">
        <f>IFERROR(__xludf.DUMMYFUNCTION("""COMPUTED_VALUE"""),"Mosaic Maestros")</f>
        <v>Mosaic Maestros</v>
      </c>
      <c r="E811" s="31">
        <f>IFERROR(__xludf.DUMMYFUNCTION("""COMPUTED_VALUE"""),47.587779200567084)</f>
        <v>47.5877792</v>
      </c>
      <c r="F811" s="31">
        <f>IFERROR(__xludf.DUMMYFUNCTION("""COMPUTED_VALUE"""),-2.1665365908228447)</f>
        <v>-2.166536591</v>
      </c>
      <c r="G811" s="31">
        <f>IFERROR(__xludf.DUMMYFUNCTION("""COMPUTED_VALUE"""),38.52872639293613)</f>
        <v>38.52872639</v>
      </c>
      <c r="H811" s="31">
        <f>IFERROR(__xludf.DUMMYFUNCTION("""COMPUTED_VALUE"""),-3.094340844417901)</f>
        <v>-3.094340844</v>
      </c>
      <c r="I811" s="54">
        <f>IFERROR(__xludf.DUMMYFUNCTION("""COMPUTED_VALUE"""),43.0)</f>
        <v>43</v>
      </c>
      <c r="J811" s="55">
        <f>IFERROR(__xludf.DUMMYFUNCTION("""COMPUTED_VALUE"""),20.0)</f>
        <v>20</v>
      </c>
      <c r="K811" s="54">
        <f>IFERROR(__xludf.DUMMYFUNCTION("""COMPUTED_VALUE"""),23.0)</f>
        <v>23</v>
      </c>
      <c r="L811" s="56">
        <f>IFERROR(__xludf.DUMMYFUNCTION("""COMPUTED_VALUE"""),0.46511627906976744)</f>
        <v>0.4651162791</v>
      </c>
      <c r="M811" s="56">
        <f>IFERROR(__xludf.DUMMYFUNCTION("""COMPUTED_VALUE"""),0.26771653543307083)</f>
        <v>0.2677165354</v>
      </c>
      <c r="N811" s="31">
        <f>IFERROR(__xludf.DUMMYFUNCTION("""COMPUTED_VALUE"""),349.16279069767444)</f>
        <v>349.1627907</v>
      </c>
      <c r="O811" s="57">
        <f>IFERROR(__xludf.DUMMYFUNCTION("""COMPUTED_VALUE"""),0.7906976744186046)</f>
        <v>0.7906976744</v>
      </c>
      <c r="P811" s="57">
        <f>IFERROR(__xludf.DUMMYFUNCTION("""COMPUTED_VALUE"""),0.46511627906976744)</f>
        <v>0.4651162791</v>
      </c>
      <c r="Q811" s="57">
        <f>IFERROR(__xludf.DUMMYFUNCTION("""COMPUTED_VALUE"""),1.627906976744186)</f>
        <v>1.627906977</v>
      </c>
      <c r="R811" s="57">
        <f>IFERROR(__xludf.DUMMYFUNCTION("""COMPUTED_VALUE"""),2.953488372093023)</f>
        <v>2.953488372</v>
      </c>
      <c r="S811" s="31">
        <f>IFERROR(__xludf.DUMMYFUNCTION("""COMPUTED_VALUE"""),391.61240310077517)</f>
        <v>391.6124031</v>
      </c>
      <c r="T811" s="57">
        <f>IFERROR(__xludf.DUMMYFUNCTION("""COMPUTED_VALUE"""),0.9534883720930236)</f>
        <v>0.9534883721</v>
      </c>
      <c r="U811" s="57">
        <f>IFERROR(__xludf.DUMMYFUNCTION("""COMPUTED_VALUE"""),0.7209302325581395)</f>
        <v>0.7209302326</v>
      </c>
      <c r="V811" s="57">
        <f>IFERROR(__xludf.DUMMYFUNCTION("""COMPUTED_VALUE"""),1.4883720930232565)</f>
        <v>1.488372093</v>
      </c>
      <c r="W811" s="57">
        <f>IFERROR(__xludf.DUMMYFUNCTION("""COMPUTED_VALUE"""),2.813953488372093)</f>
        <v>2.813953488</v>
      </c>
      <c r="X811" s="31">
        <f>IFERROR(__xludf.DUMMYFUNCTION("""COMPUTED_VALUE"""),359.23467197066816)</f>
        <v>359.234672</v>
      </c>
      <c r="Y811" s="57">
        <f>IFERROR(__xludf.DUMMYFUNCTION("""COMPUTED_VALUE"""),0.8005937829986215)</f>
        <v>0.800593783</v>
      </c>
      <c r="Z811" s="57">
        <f>IFERROR(__xludf.DUMMYFUNCTION("""COMPUTED_VALUE"""),0.6505660156890234)</f>
        <v>0.6505660157</v>
      </c>
      <c r="AA811" s="57">
        <f>IFERROR(__xludf.DUMMYFUNCTION("""COMPUTED_VALUE"""),1.3456652997406469)</f>
        <v>1.3456653</v>
      </c>
      <c r="AB811" s="57">
        <f>IFERROR(__xludf.DUMMYFUNCTION("""COMPUTED_VALUE"""),2.6534532957778056)</f>
        <v>2.653453296</v>
      </c>
      <c r="AC811" s="31">
        <f>IFERROR(__xludf.DUMMYFUNCTION("""COMPUTED_VALUE"""),353.9000144045011)</f>
        <v>353.9000144</v>
      </c>
      <c r="AD811" s="57">
        <f>IFERROR(__xludf.DUMMYFUNCTION("""COMPUTED_VALUE"""),0.7851617399433933)</f>
        <v>0.7851617399</v>
      </c>
      <c r="AE811" s="57">
        <f>IFERROR(__xludf.DUMMYFUNCTION("""COMPUTED_VALUE"""),0.5771189732791006)</f>
        <v>0.5771189733</v>
      </c>
      <c r="AF811" s="57">
        <f>IFERROR(__xludf.DUMMYFUNCTION("""COMPUTED_VALUE"""),1.3450664426738288)</f>
        <v>1.345066443</v>
      </c>
      <c r="AG811" s="57">
        <f>IFERROR(__xludf.DUMMYFUNCTION("""COMPUTED_VALUE"""),2.6490437360562145)</f>
        <v>2.649043736</v>
      </c>
      <c r="AH811" s="57">
        <f>IFERROR(__xludf.DUMMYFUNCTION("""COMPUTED_VALUE"""),0.9866142313817141)</f>
        <v>0.9866142314</v>
      </c>
      <c r="AI811" s="57">
        <f>IFERROR(__xludf.DUMMYFUNCTION("""COMPUTED_VALUE"""),1.0070506931165677)</f>
        <v>1.007050693</v>
      </c>
      <c r="AJ811" s="57">
        <f>IFERROR(__xludf.DUMMYFUNCTION("""COMPUTED_VALUE"""),0.8059278946021283)</f>
        <v>0.8059278946</v>
      </c>
      <c r="AK811" s="57">
        <f>IFERROR(__xludf.DUMMYFUNCTION("""COMPUTED_VALUE"""),1.2102799721239828)</f>
        <v>1.210279972</v>
      </c>
      <c r="AL811" s="57">
        <f>IFERROR(__xludf.DUMMYFUNCTION("""COMPUTED_VALUE"""),1.1149262399457598)</f>
        <v>1.11492624</v>
      </c>
      <c r="AM811" s="57">
        <f>IFERROR(__xludf.DUMMYFUNCTION("""COMPUTED_VALUE"""),1.0901297498721134)</f>
        <v>1.09012975</v>
      </c>
      <c r="AN811" s="57">
        <f>IFERROR(__xludf.DUMMYFUNCTION("""COMPUTED_VALUE"""),1.190976488128269)</f>
        <v>1.190976488</v>
      </c>
      <c r="AO811" s="57">
        <f>IFERROR(__xludf.DUMMYFUNCTION("""COMPUTED_VALUE"""),1.1081584576694994)</f>
        <v>1.108158458</v>
      </c>
      <c r="AP811" s="35">
        <f>IFERROR(__xludf.DUMMYFUNCTION("""COMPUTED_VALUE"""),1.1060492481377902)</f>
        <v>1.106049248</v>
      </c>
      <c r="AQ811" s="57">
        <f>IFERROR(__xludf.DUMMYFUNCTION("""COMPUTED_VALUE"""),1.060487287584702)</f>
        <v>1.060487288</v>
      </c>
      <c r="AR811" s="36" t="b">
        <f>IFERROR(__xludf.DUMMYFUNCTION("""COMPUTED_VALUE"""),TRUE)</f>
        <v>1</v>
      </c>
      <c r="AS811" s="57"/>
      <c r="AT811" s="37"/>
      <c r="AU811" s="30"/>
      <c r="AV811" s="30"/>
      <c r="AW811" s="30"/>
      <c r="AX811" s="30"/>
      <c r="AY811" s="30"/>
      <c r="AZ811" s="30"/>
    </row>
    <row r="812">
      <c r="A812" s="30" t="str">
        <f>IFERROR(__xludf.DUMMYFUNCTION("""COMPUTED_VALUE"""),"Veteran")</f>
        <v>Veteran</v>
      </c>
      <c r="B812" s="30" t="str">
        <f>IFERROR(__xludf.DUMMYFUNCTION("""COMPUTED_VALUE"""),"RSC002730")</f>
        <v>RSC002730</v>
      </c>
      <c r="C812" s="30" t="str">
        <f>IFERROR(__xludf.DUMMYFUNCTION("""COMPUTED_VALUE"""),"AquaP")</f>
        <v>AquaP</v>
      </c>
      <c r="D812" s="31" t="str">
        <f>IFERROR(__xludf.DUMMYFUNCTION("""COMPUTED_VALUE"""),"Merciless Mob")</f>
        <v>Merciless Mob</v>
      </c>
      <c r="E812" s="31">
        <f>IFERROR(__xludf.DUMMYFUNCTION("""COMPUTED_VALUE"""),47.57075152106894)</f>
        <v>47.57075152</v>
      </c>
      <c r="F812" s="31">
        <f>IFERROR(__xludf.DUMMYFUNCTION("""COMPUTED_VALUE"""),-2.167806802677745)</f>
        <v>-2.167806803</v>
      </c>
      <c r="G812" s="31">
        <f>IFERROR(__xludf.DUMMYFUNCTION("""COMPUTED_VALUE"""),39.01721759621163)</f>
        <v>39.0172176</v>
      </c>
      <c r="H812" s="31">
        <f>IFERROR(__xludf.DUMMYFUNCTION("""COMPUTED_VALUE"""),-3.0283025600585365)</f>
        <v>-3.02830256</v>
      </c>
      <c r="I812" s="54">
        <f>IFERROR(__xludf.DUMMYFUNCTION("""COMPUTED_VALUE"""),20.0)</f>
        <v>20</v>
      </c>
      <c r="J812" s="55">
        <f>IFERROR(__xludf.DUMMYFUNCTION("""COMPUTED_VALUE"""),9.0)</f>
        <v>9</v>
      </c>
      <c r="K812" s="54">
        <f>IFERROR(__xludf.DUMMYFUNCTION("""COMPUTED_VALUE"""),11.0)</f>
        <v>11</v>
      </c>
      <c r="L812" s="56">
        <f>IFERROR(__xludf.DUMMYFUNCTION("""COMPUTED_VALUE"""),0.45)</f>
        <v>0.45</v>
      </c>
      <c r="M812" s="56">
        <f>IFERROR(__xludf.DUMMYFUNCTION("""COMPUTED_VALUE"""),0.3863636363636363)</f>
        <v>0.3863636364</v>
      </c>
      <c r="N812" s="31">
        <f>IFERROR(__xludf.DUMMYFUNCTION("""COMPUTED_VALUE"""),321.8)</f>
        <v>321.8</v>
      </c>
      <c r="O812" s="57">
        <f>IFERROR(__xludf.DUMMYFUNCTION("""COMPUTED_VALUE"""),0.85)</f>
        <v>0.85</v>
      </c>
      <c r="P812" s="57">
        <f>IFERROR(__xludf.DUMMYFUNCTION("""COMPUTED_VALUE"""),0.55)</f>
        <v>0.55</v>
      </c>
      <c r="Q812" s="57">
        <f>IFERROR(__xludf.DUMMYFUNCTION("""COMPUTED_VALUE"""),0.9)</f>
        <v>0.9</v>
      </c>
      <c r="R812" s="57">
        <f>IFERROR(__xludf.DUMMYFUNCTION("""COMPUTED_VALUE"""),2.2)</f>
        <v>2.2</v>
      </c>
      <c r="S812" s="31">
        <f>IFERROR(__xludf.DUMMYFUNCTION("""COMPUTED_VALUE"""),350.43333333333334)</f>
        <v>350.4333333</v>
      </c>
      <c r="T812" s="57">
        <f>IFERROR(__xludf.DUMMYFUNCTION("""COMPUTED_VALUE"""),0.8333333333333334)</f>
        <v>0.8333333333</v>
      </c>
      <c r="U812" s="57">
        <f>IFERROR(__xludf.DUMMYFUNCTION("""COMPUTED_VALUE"""),0.6166666666666667)</f>
        <v>0.6166666667</v>
      </c>
      <c r="V812" s="57">
        <f>IFERROR(__xludf.DUMMYFUNCTION("""COMPUTED_VALUE"""),1.0999999999999999)</f>
        <v>1.1</v>
      </c>
      <c r="W812" s="57">
        <f>IFERROR(__xludf.DUMMYFUNCTION("""COMPUTED_VALUE"""),2.8166666666666664)</f>
        <v>2.816666667</v>
      </c>
      <c r="X812" s="31">
        <f>IFERROR(__xludf.DUMMYFUNCTION("""COMPUTED_VALUE"""),346.91490744446025)</f>
        <v>346.9149074</v>
      </c>
      <c r="Y812" s="57">
        <f>IFERROR(__xludf.DUMMYFUNCTION("""COMPUTED_VALUE"""),0.7573828621904831)</f>
        <v>0.7573828622</v>
      </c>
      <c r="Z812" s="57">
        <f>IFERROR(__xludf.DUMMYFUNCTION("""COMPUTED_VALUE"""),0.5726358908890036)</f>
        <v>0.5726358909</v>
      </c>
      <c r="AA812" s="57">
        <f>IFERROR(__xludf.DUMMYFUNCTION("""COMPUTED_VALUE"""),1.3207073075752416)</f>
        <v>1.320707308</v>
      </c>
      <c r="AB812" s="57">
        <f>IFERROR(__xludf.DUMMYFUNCTION("""COMPUTED_VALUE"""),2.4949539466789483)</f>
        <v>2.494953947</v>
      </c>
      <c r="AC812" s="31">
        <f>IFERROR(__xludf.DUMMYFUNCTION("""COMPUTED_VALUE"""),343.9613895890864)</f>
        <v>343.9613896</v>
      </c>
      <c r="AD812" s="57">
        <f>IFERROR(__xludf.DUMMYFUNCTION("""COMPUTED_VALUE"""),0.7680522043361336)</f>
        <v>0.7680522043</v>
      </c>
      <c r="AE812" s="57">
        <f>IFERROR(__xludf.DUMMYFUNCTION("""COMPUTED_VALUE"""),0.5591251390750797)</f>
        <v>0.5591251391</v>
      </c>
      <c r="AF812" s="57">
        <f>IFERROR(__xludf.DUMMYFUNCTION("""COMPUTED_VALUE"""),1.283404135542036)</f>
        <v>1.283404136</v>
      </c>
      <c r="AG812" s="57">
        <f>IFERROR(__xludf.DUMMYFUNCTION("""COMPUTED_VALUE"""),2.6334628834125455)</f>
        <v>2.633462883</v>
      </c>
      <c r="AH812" s="57">
        <f>IFERROR(__xludf.DUMMYFUNCTION("""COMPUTED_VALUE"""),0.9355701242643498)</f>
        <v>0.9355701243</v>
      </c>
      <c r="AI812" s="57">
        <f>IFERROR(__xludf.DUMMYFUNCTION("""COMPUTED_VALUE"""),1.1066956063679265)</f>
        <v>1.106695606</v>
      </c>
      <c r="AJ812" s="57">
        <f>IFERROR(__xludf.DUMMYFUNCTION("""COMPUTED_VALUE"""),0.9836796122417699)</f>
        <v>0.9836796122</v>
      </c>
      <c r="AK812" s="57">
        <f>IFERROR(__xludf.DUMMYFUNCTION("""COMPUTED_VALUE"""),0.7012600123965564)</f>
        <v>0.7012600124</v>
      </c>
      <c r="AL812" s="57">
        <f>IFERROR(__xludf.DUMMYFUNCTION("""COMPUTED_VALUE"""),0.8354019393465508)</f>
        <v>0.8354019393</v>
      </c>
      <c r="AM812" s="57">
        <f>IFERROR(__xludf.DUMMYFUNCTION("""COMPUTED_VALUE"""),1.010142042943013)</f>
        <v>1.010142043</v>
      </c>
      <c r="AN812" s="57">
        <f>IFERROR(__xludf.DUMMYFUNCTION("""COMPUTED_VALUE"""),1.1002801554331296)</f>
        <v>1.100280155</v>
      </c>
      <c r="AO812" s="57">
        <f>IFERROR(__xludf.DUMMYFUNCTION("""COMPUTED_VALUE"""),1.0768914007630686)</f>
        <v>1.076891401</v>
      </c>
      <c r="AP812" s="35">
        <f>IFERROR(__xludf.DUMMYFUNCTION("""COMPUTED_VALUE"""),0.8328870399146574)</f>
        <v>0.8328870399</v>
      </c>
      <c r="AQ812" s="57">
        <f>IFERROR(__xludf.DUMMYFUNCTION("""COMPUTED_VALUE"""),1.1289453540478982)</f>
        <v>1.128945354</v>
      </c>
      <c r="AR812" s="36" t="b">
        <f>IFERROR(__xludf.DUMMYFUNCTION("""COMPUTED_VALUE"""),TRUE)</f>
        <v>1</v>
      </c>
      <c r="AS812" s="57"/>
      <c r="AT812" s="37"/>
      <c r="AU812" s="30"/>
      <c r="AV812" s="30"/>
      <c r="AW812" s="30"/>
      <c r="AX812" s="30"/>
      <c r="AY812" s="30"/>
      <c r="AZ812" s="30"/>
    </row>
    <row r="813">
      <c r="A813" s="30" t="str">
        <f>IFERROR(__xludf.DUMMYFUNCTION("""COMPUTED_VALUE"""),"Veteran")</f>
        <v>Veteran</v>
      </c>
      <c r="B813" s="30" t="str">
        <f>IFERROR(__xludf.DUMMYFUNCTION("""COMPUTED_VALUE"""),"RSC006000")</f>
        <v>RSC006000</v>
      </c>
      <c r="C813" s="30" t="str">
        <f>IFERROR(__xludf.DUMMYFUNCTION("""COMPUTED_VALUE"""),"janixity.")</f>
        <v>janixity.</v>
      </c>
      <c r="D813" s="31" t="str">
        <f>IFERROR(__xludf.DUMMYFUNCTION("""COMPUTED_VALUE"""),"Grizzly Bears")</f>
        <v>Grizzly Bears</v>
      </c>
      <c r="E813" s="31">
        <f>IFERROR(__xludf.DUMMYFUNCTION("""COMPUTED_VALUE"""),47.22167528949539)</f>
        <v>47.22167529</v>
      </c>
      <c r="F813" s="31">
        <f>IFERROR(__xludf.DUMMYFUNCTION("""COMPUTED_VALUE"""),-2.1941591948272183)</f>
        <v>-2.194159195</v>
      </c>
      <c r="G813" s="31">
        <f>IFERROR(__xludf.DUMMYFUNCTION("""COMPUTED_VALUE"""),40.34082365592371)</f>
        <v>40.34082366</v>
      </c>
      <c r="H813" s="31">
        <f>IFERROR(__xludf.DUMMYFUNCTION("""COMPUTED_VALUE"""),-2.860310255939839)</f>
        <v>-2.860310256</v>
      </c>
      <c r="I813" s="54">
        <f>IFERROR(__xludf.DUMMYFUNCTION("""COMPUTED_VALUE"""),40.0)</f>
        <v>40</v>
      </c>
      <c r="J813" s="55">
        <f>IFERROR(__xludf.DUMMYFUNCTION("""COMPUTED_VALUE"""),21.0)</f>
        <v>21</v>
      </c>
      <c r="K813" s="54">
        <f>IFERROR(__xludf.DUMMYFUNCTION("""COMPUTED_VALUE"""),19.0)</f>
        <v>19</v>
      </c>
      <c r="L813" s="56">
        <f>IFERROR(__xludf.DUMMYFUNCTION("""COMPUTED_VALUE"""),0.525)</f>
        <v>0.525</v>
      </c>
      <c r="M813" s="56">
        <f>IFERROR(__xludf.DUMMYFUNCTION("""COMPUTED_VALUE"""),0.30097087378640774)</f>
        <v>0.3009708738</v>
      </c>
      <c r="N813" s="31">
        <f>IFERROR(__xludf.DUMMYFUNCTION("""COMPUTED_VALUE"""),352.6)</f>
        <v>352.6</v>
      </c>
      <c r="O813" s="57">
        <f>IFERROR(__xludf.DUMMYFUNCTION("""COMPUTED_VALUE"""),0.775)</f>
        <v>0.775</v>
      </c>
      <c r="P813" s="57">
        <f>IFERROR(__xludf.DUMMYFUNCTION("""COMPUTED_VALUE"""),0.475)</f>
        <v>0.475</v>
      </c>
      <c r="Q813" s="57">
        <f>IFERROR(__xludf.DUMMYFUNCTION("""COMPUTED_VALUE"""),1.55)</f>
        <v>1.55</v>
      </c>
      <c r="R813" s="57">
        <f>IFERROR(__xludf.DUMMYFUNCTION("""COMPUTED_VALUE"""),2.575)</f>
        <v>2.575</v>
      </c>
      <c r="S813" s="31">
        <f>IFERROR(__xludf.DUMMYFUNCTION("""COMPUTED_VALUE"""),356.1)</f>
        <v>356.1</v>
      </c>
      <c r="T813" s="57">
        <f>IFERROR(__xludf.DUMMYFUNCTION("""COMPUTED_VALUE"""),0.8249999999999998)</f>
        <v>0.825</v>
      </c>
      <c r="U813" s="57">
        <f>IFERROR(__xludf.DUMMYFUNCTION("""COMPUTED_VALUE"""),0.55)</f>
        <v>0.55</v>
      </c>
      <c r="V813" s="57">
        <f>IFERROR(__xludf.DUMMYFUNCTION("""COMPUTED_VALUE"""),1.4833333333333336)</f>
        <v>1.483333333</v>
      </c>
      <c r="W813" s="57">
        <f>IFERROR(__xludf.DUMMYFUNCTION("""COMPUTED_VALUE"""),2.6166666666666676)</f>
        <v>2.616666667</v>
      </c>
      <c r="X813" s="31">
        <f>IFERROR(__xludf.DUMMYFUNCTION("""COMPUTED_VALUE"""),356.631708189439)</f>
        <v>356.6317082</v>
      </c>
      <c r="Y813" s="57">
        <f>IFERROR(__xludf.DUMMYFUNCTION("""COMPUTED_VALUE"""),0.7803849387631125)</f>
        <v>0.7803849388</v>
      </c>
      <c r="Z813" s="57">
        <f>IFERROR(__xludf.DUMMYFUNCTION("""COMPUTED_VALUE"""),0.5704792148780092)</f>
        <v>0.5704792149</v>
      </c>
      <c r="AA813" s="57">
        <f>IFERROR(__xludf.DUMMYFUNCTION("""COMPUTED_VALUE"""),1.4786443948815005)</f>
        <v>1.478644395</v>
      </c>
      <c r="AB813" s="57">
        <f>IFERROR(__xludf.DUMMYFUNCTION("""COMPUTED_VALUE"""),2.5563217259022486)</f>
        <v>2.556321726</v>
      </c>
      <c r="AC813" s="31">
        <f>IFERROR(__xludf.DUMMYFUNCTION("""COMPUTED_VALUE"""),358.99266943297573)</f>
        <v>358.9926694</v>
      </c>
      <c r="AD813" s="57">
        <f>IFERROR(__xludf.DUMMYFUNCTION("""COMPUTED_VALUE"""),0.8316031914527633)</f>
        <v>0.8316031915</v>
      </c>
      <c r="AE813" s="57">
        <f>IFERROR(__xludf.DUMMYFUNCTION("""COMPUTED_VALUE"""),0.5994860699370508)</f>
        <v>0.5994860699</v>
      </c>
      <c r="AF813" s="57">
        <f>IFERROR(__xludf.DUMMYFUNCTION("""COMPUTED_VALUE"""),1.353528218655941)</f>
        <v>1.353528219</v>
      </c>
      <c r="AG813" s="57">
        <f>IFERROR(__xludf.DUMMYFUNCTION("""COMPUTED_VALUE"""),2.7711305100376764)</f>
        <v>2.77113051</v>
      </c>
      <c r="AH813" s="57">
        <f>IFERROR(__xludf.DUMMYFUNCTION("""COMPUTED_VALUE"""),0.9821927577432908)</f>
        <v>0.9821927577</v>
      </c>
      <c r="AI813" s="57">
        <f>IFERROR(__xludf.DUMMYFUNCTION("""COMPUTED_VALUE"""),0.9319348554280068)</f>
        <v>0.9319348554</v>
      </c>
      <c r="AJ813" s="57">
        <f>IFERROR(__xludf.DUMMYFUNCTION("""COMPUTED_VALUE"""),0.7923453501594749)</f>
        <v>0.7923453502</v>
      </c>
      <c r="AK813" s="57">
        <f>IFERROR(__xludf.DUMMYFUNCTION("""COMPUTED_VALUE"""),1.1451552901786979)</f>
        <v>1.14515529</v>
      </c>
      <c r="AL813" s="57">
        <f>IFERROR(__xludf.DUMMYFUNCTION("""COMPUTED_VALUE"""),0.9292236474149282)</f>
        <v>0.9292236474</v>
      </c>
      <c r="AM813" s="57">
        <f>IFERROR(__xludf.DUMMYFUNCTION("""COMPUTED_VALUE"""),0.9985090832440605)</f>
        <v>0.9985090832</v>
      </c>
      <c r="AN813" s="57">
        <f>IFERROR(__xludf.DUMMYFUNCTION("""COMPUTED_VALUE"""),1.0571705821329676)</f>
        <v>1.057170582</v>
      </c>
      <c r="AO813" s="57">
        <f>IFERROR(__xludf.DUMMYFUNCTION("""COMPUTED_VALUE"""),0.9641017335182169)</f>
        <v>0.9641017335</v>
      </c>
      <c r="AP813" s="35">
        <f>IFERROR(__xludf.DUMMYFUNCTION("""COMPUTED_VALUE"""),1.0031711062295061)</f>
        <v>1.003171106</v>
      </c>
      <c r="AQ813" s="57">
        <f>IFERROR(__xludf.DUMMYFUNCTION("""COMPUTED_VALUE"""),1.0236061604269002)</f>
        <v>1.02360616</v>
      </c>
      <c r="AR813" s="36" t="b">
        <f>IFERROR(__xludf.DUMMYFUNCTION("""COMPUTED_VALUE"""),TRUE)</f>
        <v>1</v>
      </c>
      <c r="AS813" s="57"/>
      <c r="AT813" s="37"/>
      <c r="AU813" s="30"/>
      <c r="AV813" s="30"/>
      <c r="AW813" s="30"/>
      <c r="AX813" s="30"/>
      <c r="AY813" s="30"/>
      <c r="AZ813" s="30"/>
    </row>
    <row r="814">
      <c r="A814" s="30" t="str">
        <f>IFERROR(__xludf.DUMMYFUNCTION("""COMPUTED_VALUE"""),"Veteran")</f>
        <v>Veteran</v>
      </c>
      <c r="B814" s="30" t="str">
        <f>IFERROR(__xludf.DUMMYFUNCTION("""COMPUTED_VALUE"""),"RSC000278")</f>
        <v>RSC000278</v>
      </c>
      <c r="C814" s="30" t="str">
        <f>IFERROR(__xludf.DUMMYFUNCTION("""COMPUTED_VALUE"""),"Tinsel")</f>
        <v>Tinsel</v>
      </c>
      <c r="D814" s="31" t="str">
        <f>IFERROR(__xludf.DUMMYFUNCTION("""COMPUTED_VALUE"""),"Peppermint")</f>
        <v>Peppermint</v>
      </c>
      <c r="E814" s="31">
        <f>IFERROR(__xludf.DUMMYFUNCTION("""COMPUTED_VALUE"""),47.18274531188892)</f>
        <v>47.18274531</v>
      </c>
      <c r="F814" s="31">
        <f>IFERROR(__xludf.DUMMYFUNCTION("""COMPUTED_VALUE"""),-2.1971353770794124)</f>
        <v>-2.197135377</v>
      </c>
      <c r="G814" s="31">
        <f>IFERROR(__xludf.DUMMYFUNCTION("""COMPUTED_VALUE"""),45.12792225884921)</f>
        <v>45.12792226</v>
      </c>
      <c r="H814" s="31">
        <f>IFERROR(__xludf.DUMMYFUNCTION("""COMPUTED_VALUE"""),-2.365507707346286)</f>
        <v>-2.365507707</v>
      </c>
      <c r="I814" s="54">
        <f>IFERROR(__xludf.DUMMYFUNCTION("""COMPUTED_VALUE"""),25.0)</f>
        <v>25</v>
      </c>
      <c r="J814" s="55">
        <f>IFERROR(__xludf.DUMMYFUNCTION("""COMPUTED_VALUE"""),8.0)</f>
        <v>8</v>
      </c>
      <c r="K814" s="54">
        <f>IFERROR(__xludf.DUMMYFUNCTION("""COMPUTED_VALUE"""),17.0)</f>
        <v>17</v>
      </c>
      <c r="L814" s="56">
        <f>IFERROR(__xludf.DUMMYFUNCTION("""COMPUTED_VALUE"""),0.32)</f>
        <v>0.32</v>
      </c>
      <c r="M814" s="56">
        <f>IFERROR(__xludf.DUMMYFUNCTION("""COMPUTED_VALUE"""),0.26865671641791045)</f>
        <v>0.2686567164</v>
      </c>
      <c r="N814" s="31">
        <f>IFERROR(__xludf.DUMMYFUNCTION("""COMPUTED_VALUE"""),362.04)</f>
        <v>362.04</v>
      </c>
      <c r="O814" s="57">
        <f>IFERROR(__xludf.DUMMYFUNCTION("""COMPUTED_VALUE"""),0.72)</f>
        <v>0.72</v>
      </c>
      <c r="P814" s="57">
        <f>IFERROR(__xludf.DUMMYFUNCTION("""COMPUTED_VALUE"""),0.72)</f>
        <v>0.72</v>
      </c>
      <c r="Q814" s="57">
        <f>IFERROR(__xludf.DUMMYFUNCTION("""COMPUTED_VALUE"""),1.2)</f>
        <v>1.2</v>
      </c>
      <c r="R814" s="57">
        <f>IFERROR(__xludf.DUMMYFUNCTION("""COMPUTED_VALUE"""),2.68)</f>
        <v>2.68</v>
      </c>
      <c r="S814" s="31">
        <f>IFERROR(__xludf.DUMMYFUNCTION("""COMPUTED_VALUE"""),398.74666666666656)</f>
        <v>398.7466667</v>
      </c>
      <c r="T814" s="57">
        <f>IFERROR(__xludf.DUMMYFUNCTION("""COMPUTED_VALUE"""),1.0933333333333335)</f>
        <v>1.093333333</v>
      </c>
      <c r="U814" s="57">
        <f>IFERROR(__xludf.DUMMYFUNCTION("""COMPUTED_VALUE"""),0.7733333333333334)</f>
        <v>0.7733333333</v>
      </c>
      <c r="V814" s="57">
        <f>IFERROR(__xludf.DUMMYFUNCTION("""COMPUTED_VALUE"""),1.2799999999999998)</f>
        <v>1.28</v>
      </c>
      <c r="W814" s="57">
        <f>IFERROR(__xludf.DUMMYFUNCTION("""COMPUTED_VALUE"""),3.213333333333333)</f>
        <v>3.213333333</v>
      </c>
      <c r="X814" s="31">
        <f>IFERROR(__xludf.DUMMYFUNCTION("""COMPUTED_VALUE"""),354.4165335845695)</f>
        <v>354.4165336</v>
      </c>
      <c r="Y814" s="57">
        <f>IFERROR(__xludf.DUMMYFUNCTION("""COMPUTED_VALUE"""),0.7845030917886853)</f>
        <v>0.7845030918</v>
      </c>
      <c r="Z814" s="57">
        <f>IFERROR(__xludf.DUMMYFUNCTION("""COMPUTED_VALUE"""),0.5616383347291399)</f>
        <v>0.5616383347</v>
      </c>
      <c r="AA814" s="57">
        <f>IFERROR(__xludf.DUMMYFUNCTION("""COMPUTED_VALUE"""),1.3257437783201507)</f>
        <v>1.325743778</v>
      </c>
      <c r="AB814" s="57">
        <f>IFERROR(__xludf.DUMMYFUNCTION("""COMPUTED_VALUE"""),2.6079561017137265)</f>
        <v>2.607956102</v>
      </c>
      <c r="AC814" s="31">
        <f>IFERROR(__xludf.DUMMYFUNCTION("""COMPUTED_VALUE"""),346.2411739307223)</f>
        <v>346.2411739</v>
      </c>
      <c r="AD814" s="57">
        <f>IFERROR(__xludf.DUMMYFUNCTION("""COMPUTED_VALUE"""),0.7621163516149003)</f>
        <v>0.7621163516</v>
      </c>
      <c r="AE814" s="57">
        <f>IFERROR(__xludf.DUMMYFUNCTION("""COMPUTED_VALUE"""),0.5561395804934298)</f>
        <v>0.5561395805</v>
      </c>
      <c r="AF814" s="57">
        <f>IFERROR(__xludf.DUMMYFUNCTION("""COMPUTED_VALUE"""),1.2926036046084532)</f>
        <v>1.292603605</v>
      </c>
      <c r="AG814" s="57">
        <f>IFERROR(__xludf.DUMMYFUNCTION("""COMPUTED_VALUE"""),2.5854616026043455)</f>
        <v>2.585461603</v>
      </c>
      <c r="AH814" s="57">
        <f>IFERROR(__xludf.DUMMYFUNCTION("""COMPUTED_VALUE"""),1.0456295416571075)</f>
        <v>1.045629542</v>
      </c>
      <c r="AI814" s="57">
        <f>IFERROR(__xludf.DUMMYFUNCTION("""COMPUTED_VALUE"""),0.9447376354992815)</f>
        <v>0.9447376355</v>
      </c>
      <c r="AJ814" s="57">
        <f>IFERROR(__xludf.DUMMYFUNCTION("""COMPUTED_VALUE"""),1.2946390173509796)</f>
        <v>1.294639017</v>
      </c>
      <c r="AK814" s="57">
        <f>IFERROR(__xludf.DUMMYFUNCTION("""COMPUTED_VALUE"""),0.9283588531872429)</f>
        <v>0.9283588532</v>
      </c>
      <c r="AL814" s="57">
        <f>IFERROR(__xludf.DUMMYFUNCTION("""COMPUTED_VALUE"""),1.0365653844173999)</f>
        <v>1.036565384</v>
      </c>
      <c r="AM814" s="57">
        <f>IFERROR(__xludf.DUMMYFUNCTION("""COMPUTED_VALUE"""),1.125079190391436)</f>
        <v>1.12507919</v>
      </c>
      <c r="AN814" s="57">
        <f>IFERROR(__xludf.DUMMYFUNCTION("""COMPUTED_VALUE"""),1.3936635110519553)</f>
        <v>1.393663511</v>
      </c>
      <c r="AO814" s="57">
        <f>IFERROR(__xludf.DUMMYFUNCTION("""COMPUTED_VALUE"""),1.3769240550616744)</f>
        <v>1.376924055</v>
      </c>
      <c r="AP814" s="35">
        <f>IFERROR(__xludf.DUMMYFUNCTION("""COMPUTED_VALUE"""),0.965495762402813)</f>
        <v>0.9654957624</v>
      </c>
      <c r="AQ814" s="57">
        <f>IFERROR(__xludf.DUMMYFUNCTION("""COMPUTED_VALUE"""),1.2321270788345724)</f>
        <v>1.232127079</v>
      </c>
      <c r="AR814" s="36" t="b">
        <f>IFERROR(__xludf.DUMMYFUNCTION("""COMPUTED_VALUE"""),TRUE)</f>
        <v>1</v>
      </c>
      <c r="AS814" s="57"/>
      <c r="AT814" s="37"/>
      <c r="AU814" s="30"/>
      <c r="AV814" s="30"/>
      <c r="AW814" s="30"/>
      <c r="AX814" s="30"/>
      <c r="AY814" s="30"/>
      <c r="AZ814" s="30"/>
    </row>
    <row r="815">
      <c r="A815" s="30" t="str">
        <f>IFERROR(__xludf.DUMMYFUNCTION("""COMPUTED_VALUE"""),"Veteran")</f>
        <v>Veteran</v>
      </c>
      <c r="B815" s="30" t="str">
        <f>IFERROR(__xludf.DUMMYFUNCTION("""COMPUTED_VALUE"""),"RSC007024")</f>
        <v>RSC007024</v>
      </c>
      <c r="C815" s="30" t="str">
        <f>IFERROR(__xludf.DUMMYFUNCTION("""COMPUTED_VALUE"""),"zxch(?)")</f>
        <v>zxch(?)</v>
      </c>
      <c r="D815" s="31" t="str">
        <f>IFERROR(__xludf.DUMMYFUNCTION("""COMPUTED_VALUE"""),"Giraffes")</f>
        <v>Giraffes</v>
      </c>
      <c r="E815" s="31">
        <f>IFERROR(__xludf.DUMMYFUNCTION("""COMPUTED_VALUE"""),46.834924641328506)</f>
        <v>46.83492464</v>
      </c>
      <c r="F815" s="31">
        <f>IFERROR(__xludf.DUMMYFUNCTION("""COMPUTED_VALUE"""),-2.224064214351045)</f>
        <v>-2.224064214</v>
      </c>
      <c r="G815" s="31">
        <f>IFERROR(__xludf.DUMMYFUNCTION("""COMPUTED_VALUE"""),49.64557126698297)</f>
        <v>49.64557127</v>
      </c>
      <c r="H815" s="31">
        <f>IFERROR(__xludf.DUMMYFUNCTION("""COMPUTED_VALUE"""),-2.0228815201621146)</f>
        <v>-2.02288152</v>
      </c>
      <c r="I815" s="54">
        <f>IFERROR(__xludf.DUMMYFUNCTION("""COMPUTED_VALUE"""),39.0)</f>
        <v>39</v>
      </c>
      <c r="J815" s="55">
        <f>IFERROR(__xludf.DUMMYFUNCTION("""COMPUTED_VALUE"""),19.0)</f>
        <v>19</v>
      </c>
      <c r="K815" s="54">
        <f>IFERROR(__xludf.DUMMYFUNCTION("""COMPUTED_VALUE"""),20.0)</f>
        <v>20</v>
      </c>
      <c r="L815" s="56">
        <f>IFERROR(__xludf.DUMMYFUNCTION("""COMPUTED_VALUE"""),0.48717948717948717)</f>
        <v>0.4871794872</v>
      </c>
      <c r="M815" s="56">
        <f>IFERROR(__xludf.DUMMYFUNCTION("""COMPUTED_VALUE"""),0.27472527472527475)</f>
        <v>0.2747252747</v>
      </c>
      <c r="N815" s="31">
        <f>IFERROR(__xludf.DUMMYFUNCTION("""COMPUTED_VALUE"""),332.7692307692308)</f>
        <v>332.7692308</v>
      </c>
      <c r="O815" s="57">
        <f>IFERROR(__xludf.DUMMYFUNCTION("""COMPUTED_VALUE"""),0.6410256410256411)</f>
        <v>0.641025641</v>
      </c>
      <c r="P815" s="57">
        <f>IFERROR(__xludf.DUMMYFUNCTION("""COMPUTED_VALUE"""),0.6923076923076923)</f>
        <v>0.6923076923</v>
      </c>
      <c r="Q815" s="57">
        <f>IFERROR(__xludf.DUMMYFUNCTION("""COMPUTED_VALUE"""),1.3076923076923077)</f>
        <v>1.307692308</v>
      </c>
      <c r="R815" s="57">
        <f>IFERROR(__xludf.DUMMYFUNCTION("""COMPUTED_VALUE"""),2.3333333333333335)</f>
        <v>2.333333333</v>
      </c>
      <c r="S815" s="31">
        <f>IFERROR(__xludf.DUMMYFUNCTION("""COMPUTED_VALUE"""),350.6581196581198)</f>
        <v>350.6581197</v>
      </c>
      <c r="T815" s="57">
        <f>IFERROR(__xludf.DUMMYFUNCTION("""COMPUTED_VALUE"""),0.8290598290598289)</f>
        <v>0.8290598291</v>
      </c>
      <c r="U815" s="57">
        <f>IFERROR(__xludf.DUMMYFUNCTION("""COMPUTED_VALUE"""),0.5982905982905985)</f>
        <v>0.5982905983</v>
      </c>
      <c r="V815" s="57">
        <f>IFERROR(__xludf.DUMMYFUNCTION("""COMPUTED_VALUE"""),1.3333333333333333)</f>
        <v>1.333333333</v>
      </c>
      <c r="W815" s="57">
        <f>IFERROR(__xludf.DUMMYFUNCTION("""COMPUTED_VALUE"""),2.4957264957264953)</f>
        <v>2.495726496</v>
      </c>
      <c r="X815" s="31">
        <f>IFERROR(__xludf.DUMMYFUNCTION("""COMPUTED_VALUE"""),345.5978894733007)</f>
        <v>345.5978895</v>
      </c>
      <c r="Y815" s="57">
        <f>IFERROR(__xludf.DUMMYFUNCTION("""COMPUTED_VALUE"""),0.7433686290249734)</f>
        <v>0.743368629</v>
      </c>
      <c r="Z815" s="57">
        <f>IFERROR(__xludf.DUMMYFUNCTION("""COMPUTED_VALUE"""),0.5523122823166291)</f>
        <v>0.5523122823</v>
      </c>
      <c r="AA815" s="57">
        <f>IFERROR(__xludf.DUMMYFUNCTION("""COMPUTED_VALUE"""),1.3688759220695585)</f>
        <v>1.368875922</v>
      </c>
      <c r="AB815" s="57">
        <f>IFERROR(__xludf.DUMMYFUNCTION("""COMPUTED_VALUE"""),2.5596730653089512)</f>
        <v>2.559673065</v>
      </c>
      <c r="AC815" s="31">
        <f>IFERROR(__xludf.DUMMYFUNCTION("""COMPUTED_VALUE"""),350.9828574641097)</f>
        <v>350.9828575</v>
      </c>
      <c r="AD815" s="57">
        <f>IFERROR(__xludf.DUMMYFUNCTION("""COMPUTED_VALUE"""),0.7709649165176423)</f>
        <v>0.7709649165</v>
      </c>
      <c r="AE815" s="57">
        <f>IFERROR(__xludf.DUMMYFUNCTION("""COMPUTED_VALUE"""),0.5701482173183221)</f>
        <v>0.5701482173</v>
      </c>
      <c r="AF815" s="57">
        <f>IFERROR(__xludf.DUMMYFUNCTION("""COMPUTED_VALUE"""),1.3695423730009324)</f>
        <v>1.369542373</v>
      </c>
      <c r="AG815" s="57">
        <f>IFERROR(__xludf.DUMMYFUNCTION("""COMPUTED_VALUE"""),2.6062233170907283)</f>
        <v>2.606223317</v>
      </c>
      <c r="AH815" s="57">
        <f>IFERROR(__xludf.DUMMYFUNCTION("""COMPUTED_VALUE"""),0.9481067912362603)</f>
        <v>0.9481067912</v>
      </c>
      <c r="AI815" s="57">
        <f>IFERROR(__xludf.DUMMYFUNCTION("""COMPUTED_VALUE"""),0.8314588994802492)</f>
        <v>0.8314588995</v>
      </c>
      <c r="AJ815" s="57">
        <f>IFERROR(__xludf.DUMMYFUNCTION("""COMPUTED_VALUE"""),1.2142591545123902)</f>
        <v>1.214259155</v>
      </c>
      <c r="AK815" s="57">
        <f>IFERROR(__xludf.DUMMYFUNCTION("""COMPUTED_VALUE"""),0.9548388815651616)</f>
        <v>0.9548388816</v>
      </c>
      <c r="AL815" s="57">
        <f>IFERROR(__xludf.DUMMYFUNCTION("""COMPUTED_VALUE"""),0.8952929390325554)</f>
        <v>0.895292939</v>
      </c>
      <c r="AM815" s="57">
        <f>IFERROR(__xludf.DUMMYFUNCTION("""COMPUTED_VALUE"""),1.0146419591639608)</f>
        <v>1.014641959</v>
      </c>
      <c r="AN815" s="57">
        <f>IFERROR(__xludf.DUMMYFUNCTION("""COMPUTED_VALUE"""),1.115274167739969)</f>
        <v>1.115274168</v>
      </c>
      <c r="AO815" s="57">
        <f>IFERROR(__xludf.DUMMYFUNCTION("""COMPUTED_VALUE"""),1.0832469554743869)</f>
        <v>1.083246955</v>
      </c>
      <c r="AP815" s="35">
        <f>IFERROR(__xludf.DUMMYFUNCTION("""COMPUTED_VALUE"""),0.9740352005881661)</f>
        <v>0.9740352006</v>
      </c>
      <c r="AQ815" s="57">
        <f>IFERROR(__xludf.DUMMYFUNCTION("""COMPUTED_VALUE"""),0.9750176807932549)</f>
        <v>0.9750176808</v>
      </c>
      <c r="AR815" s="36" t="b">
        <f>IFERROR(__xludf.DUMMYFUNCTION("""COMPUTED_VALUE"""),TRUE)</f>
        <v>1</v>
      </c>
      <c r="AS815" s="57"/>
      <c r="AT815" s="37"/>
      <c r="AU815" s="30"/>
      <c r="AV815" s="30"/>
      <c r="AW815" s="30"/>
      <c r="AX815" s="30"/>
      <c r="AY815" s="30"/>
      <c r="AZ815" s="30"/>
    </row>
    <row r="816">
      <c r="A816" s="30" t="str">
        <f>IFERROR(__xludf.DUMMYFUNCTION("""COMPUTED_VALUE"""),"Veteran")</f>
        <v>Veteran</v>
      </c>
      <c r="B816" s="30" t="str">
        <f>IFERROR(__xludf.DUMMYFUNCTION("""COMPUTED_VALUE"""),"RSC004385")</f>
        <v>RSC004385</v>
      </c>
      <c r="C816" s="30" t="str">
        <f>IFERROR(__xludf.DUMMYFUNCTION("""COMPUTED_VALUE"""),"Braybaum02")</f>
        <v>Braybaum02</v>
      </c>
      <c r="D816" s="31" t="str">
        <f>IFERROR(__xludf.DUMMYFUNCTION("""COMPUTED_VALUE"""),"Peppermint")</f>
        <v>Peppermint</v>
      </c>
      <c r="E816" s="31">
        <f>IFERROR(__xludf.DUMMYFUNCTION("""COMPUTED_VALUE"""),46.66886424246805)</f>
        <v>46.66886424</v>
      </c>
      <c r="F816" s="31">
        <f>IFERROR(__xludf.DUMMYFUNCTION("""COMPUTED_VALUE"""),-2.237138259640621)</f>
        <v>-2.23713826</v>
      </c>
      <c r="G816" s="31">
        <f>IFERROR(__xludf.DUMMYFUNCTION("""COMPUTED_VALUE"""),40.85797545783519)</f>
        <v>40.85797546</v>
      </c>
      <c r="H816" s="31">
        <f>IFERROR(__xludf.DUMMYFUNCTION("""COMPUTED_VALUE"""),-2.798756247484745)</f>
        <v>-2.798756247</v>
      </c>
      <c r="I816" s="54">
        <f>IFERROR(__xludf.DUMMYFUNCTION("""COMPUTED_VALUE"""),43.0)</f>
        <v>43</v>
      </c>
      <c r="J816" s="55">
        <f>IFERROR(__xludf.DUMMYFUNCTION("""COMPUTED_VALUE"""),17.0)</f>
        <v>17</v>
      </c>
      <c r="K816" s="54">
        <f>IFERROR(__xludf.DUMMYFUNCTION("""COMPUTED_VALUE"""),26.0)</f>
        <v>26</v>
      </c>
      <c r="L816" s="56">
        <f>IFERROR(__xludf.DUMMYFUNCTION("""COMPUTED_VALUE"""),0.3953488372093023)</f>
        <v>0.3953488372</v>
      </c>
      <c r="M816" s="56">
        <f>IFERROR(__xludf.DUMMYFUNCTION("""COMPUTED_VALUE"""),0.4479166666666667)</f>
        <v>0.4479166667</v>
      </c>
      <c r="N816" s="31">
        <f>IFERROR(__xludf.DUMMYFUNCTION("""COMPUTED_VALUE"""),371.9767441860465)</f>
        <v>371.9767442</v>
      </c>
      <c r="O816" s="57">
        <f>IFERROR(__xludf.DUMMYFUNCTION("""COMPUTED_VALUE"""),1.0)</f>
        <v>1</v>
      </c>
      <c r="P816" s="57">
        <f>IFERROR(__xludf.DUMMYFUNCTION("""COMPUTED_VALUE"""),0.4418604651162791)</f>
        <v>0.4418604651</v>
      </c>
      <c r="Q816" s="57">
        <f>IFERROR(__xludf.DUMMYFUNCTION("""COMPUTED_VALUE"""),1.5348837209302326)</f>
        <v>1.534883721</v>
      </c>
      <c r="R816" s="57">
        <f>IFERROR(__xludf.DUMMYFUNCTION("""COMPUTED_VALUE"""),2.2325581395348837)</f>
        <v>2.23255814</v>
      </c>
      <c r="S816" s="31">
        <f>IFERROR(__xludf.DUMMYFUNCTION("""COMPUTED_VALUE"""),377.3178294573644)</f>
        <v>377.3178295</v>
      </c>
      <c r="T816" s="57">
        <f>IFERROR(__xludf.DUMMYFUNCTION("""COMPUTED_VALUE"""),0.9922480620155036)</f>
        <v>0.992248062</v>
      </c>
      <c r="U816" s="57">
        <f>IFERROR(__xludf.DUMMYFUNCTION("""COMPUTED_VALUE"""),0.6899224806201552)</f>
        <v>0.6899224806</v>
      </c>
      <c r="V816" s="57">
        <f>IFERROR(__xludf.DUMMYFUNCTION("""COMPUTED_VALUE"""),1.170542635658915)</f>
        <v>1.170542636</v>
      </c>
      <c r="W816" s="57">
        <f>IFERROR(__xludf.DUMMYFUNCTION("""COMPUTED_VALUE"""),3.178294573643411)</f>
        <v>3.178294574</v>
      </c>
      <c r="X816" s="31">
        <f>IFERROR(__xludf.DUMMYFUNCTION("""COMPUTED_VALUE"""),348.0699200271507)</f>
        <v>348.06992</v>
      </c>
      <c r="Y816" s="57">
        <f>IFERROR(__xludf.DUMMYFUNCTION("""COMPUTED_VALUE"""),0.7723776309496103)</f>
        <v>0.7723776309</v>
      </c>
      <c r="Z816" s="57">
        <f>IFERROR(__xludf.DUMMYFUNCTION("""COMPUTED_VALUE"""),0.5599817907981021)</f>
        <v>0.5599817908</v>
      </c>
      <c r="AA816" s="57">
        <f>IFERROR(__xludf.DUMMYFUNCTION("""COMPUTED_VALUE"""),1.2974682349008633)</f>
        <v>1.297468235</v>
      </c>
      <c r="AB816" s="57">
        <f>IFERROR(__xludf.DUMMYFUNCTION("""COMPUTED_VALUE"""),2.605137208533206)</f>
        <v>2.605137209</v>
      </c>
      <c r="AC816" s="31">
        <f>IFERROR(__xludf.DUMMYFUNCTION("""COMPUTED_VALUE"""),354.8815272836064)</f>
        <v>354.8815273</v>
      </c>
      <c r="AD816" s="57">
        <f>IFERROR(__xludf.DUMMYFUNCTION("""COMPUTED_VALUE"""),0.8138104560010752)</f>
        <v>0.813810456</v>
      </c>
      <c r="AE816" s="57">
        <f>IFERROR(__xludf.DUMMYFUNCTION("""COMPUTED_VALUE"""),0.5956456856405424)</f>
        <v>0.5956456856</v>
      </c>
      <c r="AF816" s="57">
        <f>IFERROR(__xludf.DUMMYFUNCTION("""COMPUTED_VALUE"""),1.3206139809665254)</f>
        <v>1.320613981</v>
      </c>
      <c r="AG816" s="57">
        <f>IFERROR(__xludf.DUMMYFUNCTION("""COMPUTED_VALUE"""),2.6006523721834065)</f>
        <v>2.600652372</v>
      </c>
      <c r="AH816" s="57">
        <f>IFERROR(__xludf.DUMMYFUNCTION("""COMPUTED_VALUE"""),1.0481716166893589)</f>
        <v>1.048171617</v>
      </c>
      <c r="AI816" s="57">
        <f>IFERROR(__xludf.DUMMYFUNCTION("""COMPUTED_VALUE"""),1.228787357825099)</f>
        <v>1.228787358</v>
      </c>
      <c r="AJ816" s="57">
        <f>IFERROR(__xludf.DUMMYFUNCTION("""COMPUTED_VALUE"""),0.7418176203880558)</f>
        <v>0.7418176204</v>
      </c>
      <c r="AK816" s="57">
        <f>IFERROR(__xludf.DUMMYFUNCTION("""COMPUTED_VALUE"""),1.1622500920419518)</f>
        <v>1.162250092</v>
      </c>
      <c r="AL816" s="57">
        <f>IFERROR(__xludf.DUMMYFUNCTION("""COMPUTED_VALUE"""),0.858460809070193)</f>
        <v>0.8584608091</v>
      </c>
      <c r="AM816" s="57">
        <f>IFERROR(__xludf.DUMMYFUNCTION("""COMPUTED_VALUE"""),1.084028833712296)</f>
        <v>1.084028834</v>
      </c>
      <c r="AN816" s="57">
        <f>IFERROR(__xludf.DUMMYFUNCTION("""COMPUTED_VALUE"""),1.2846670103529159)</f>
        <v>1.28466701</v>
      </c>
      <c r="AO816" s="57">
        <f>IFERROR(__xludf.DUMMYFUNCTION("""COMPUTED_VALUE"""),1.2320444913697246)</f>
        <v>1.232044491</v>
      </c>
      <c r="AP816" s="35">
        <f>IFERROR(__xludf.DUMMYFUNCTION("""COMPUTED_VALUE"""),0.9021744071818094)</f>
        <v>0.9021744072</v>
      </c>
      <c r="AQ816" s="57">
        <f>IFERROR(__xludf.DUMMYFUNCTION("""COMPUTED_VALUE"""),1.2200104329372023)</f>
        <v>1.220010433</v>
      </c>
      <c r="AR816" s="36" t="b">
        <f>IFERROR(__xludf.DUMMYFUNCTION("""COMPUTED_VALUE"""),TRUE)</f>
        <v>1</v>
      </c>
      <c r="AS816" s="57"/>
      <c r="AT816" s="37"/>
      <c r="AU816" s="30"/>
      <c r="AV816" s="30"/>
      <c r="AW816" s="30"/>
      <c r="AX816" s="30"/>
      <c r="AY816" s="30"/>
      <c r="AZ816" s="30"/>
    </row>
    <row r="817">
      <c r="A817" s="30" t="str">
        <f>IFERROR(__xludf.DUMMYFUNCTION("""COMPUTED_VALUE"""),"Veteran")</f>
        <v>Veteran</v>
      </c>
      <c r="B817" s="30" t="str">
        <f>IFERROR(__xludf.DUMMYFUNCTION("""COMPUTED_VALUE"""),"RSC006700")</f>
        <v>RSC006700</v>
      </c>
      <c r="C817" s="30" t="str">
        <f>IFERROR(__xludf.DUMMYFUNCTION("""COMPUTED_VALUE"""),"Terx")</f>
        <v>Terx</v>
      </c>
      <c r="D817" s="31" t="str">
        <f>IFERROR(__xludf.DUMMYFUNCTION("""COMPUTED_VALUE"""),"Penguins")</f>
        <v>Penguins</v>
      </c>
      <c r="E817" s="31">
        <f>IFERROR(__xludf.DUMMYFUNCTION("""COMPUTED_VALUE"""),44.89299857012487)</f>
        <v>44.89299857</v>
      </c>
      <c r="F817" s="31">
        <f>IFERROR(__xludf.DUMMYFUNCTION("""COMPUTED_VALUE"""),-2.386251411774035)</f>
        <v>-2.386251412</v>
      </c>
      <c r="G817" s="31">
        <f>IFERROR(__xludf.DUMMYFUNCTION("""COMPUTED_VALUE"""),33.530674674844896)</f>
        <v>33.53067467</v>
      </c>
      <c r="H817" s="31">
        <f>IFERROR(__xludf.DUMMYFUNCTION("""COMPUTED_VALUE"""),-3.921249241866619)</f>
        <v>-3.921249242</v>
      </c>
      <c r="I817" s="54">
        <f>IFERROR(__xludf.DUMMYFUNCTION("""COMPUTED_VALUE"""),48.0)</f>
        <v>48</v>
      </c>
      <c r="J817" s="55">
        <f>IFERROR(__xludf.DUMMYFUNCTION("""COMPUTED_VALUE"""),30.0)</f>
        <v>30</v>
      </c>
      <c r="K817" s="54">
        <f>IFERROR(__xludf.DUMMYFUNCTION("""COMPUTED_VALUE"""),18.0)</f>
        <v>18</v>
      </c>
      <c r="L817" s="56">
        <f>IFERROR(__xludf.DUMMYFUNCTION("""COMPUTED_VALUE"""),0.625)</f>
        <v>0.625</v>
      </c>
      <c r="M817" s="56">
        <f>IFERROR(__xludf.DUMMYFUNCTION("""COMPUTED_VALUE"""),0.2222222222222222)</f>
        <v>0.2222222222</v>
      </c>
      <c r="N817" s="31">
        <f>IFERROR(__xludf.DUMMYFUNCTION("""COMPUTED_VALUE"""),284.0)</f>
        <v>284</v>
      </c>
      <c r="O817" s="57">
        <f>IFERROR(__xludf.DUMMYFUNCTION("""COMPUTED_VALUE"""),0.5)</f>
        <v>0.5</v>
      </c>
      <c r="P817" s="57">
        <f>IFERROR(__xludf.DUMMYFUNCTION("""COMPUTED_VALUE"""),0.7083333333333334)</f>
        <v>0.7083333333</v>
      </c>
      <c r="Q817" s="57">
        <f>IFERROR(__xludf.DUMMYFUNCTION("""COMPUTED_VALUE"""),1.0416666666666667)</f>
        <v>1.041666667</v>
      </c>
      <c r="R817" s="57">
        <f>IFERROR(__xludf.DUMMYFUNCTION("""COMPUTED_VALUE"""),2.25)</f>
        <v>2.25</v>
      </c>
      <c r="S817" s="31">
        <f>IFERROR(__xludf.DUMMYFUNCTION("""COMPUTED_VALUE"""),326.1805555555555)</f>
        <v>326.1805556</v>
      </c>
      <c r="T817" s="57">
        <f>IFERROR(__xludf.DUMMYFUNCTION("""COMPUTED_VALUE"""),0.6597222222222222)</f>
        <v>0.6597222222</v>
      </c>
      <c r="U817" s="57">
        <f>IFERROR(__xludf.DUMMYFUNCTION("""COMPUTED_VALUE"""),0.4444444444444445)</f>
        <v>0.4444444444</v>
      </c>
      <c r="V817" s="57">
        <f>IFERROR(__xludf.DUMMYFUNCTION("""COMPUTED_VALUE"""),1.4236111111111105)</f>
        <v>1.423611111</v>
      </c>
      <c r="W817" s="57">
        <f>IFERROR(__xludf.DUMMYFUNCTION("""COMPUTED_VALUE"""),2.333333333333333)</f>
        <v>2.333333333</v>
      </c>
      <c r="X817" s="31">
        <f>IFERROR(__xludf.DUMMYFUNCTION("""COMPUTED_VALUE"""),359.54960209566156)</f>
        <v>359.5496021</v>
      </c>
      <c r="Y817" s="57">
        <f>IFERROR(__xludf.DUMMYFUNCTION("""COMPUTED_VALUE"""),0.7971535856041218)</f>
        <v>0.7971535856</v>
      </c>
      <c r="Z817" s="57">
        <f>IFERROR(__xludf.DUMMYFUNCTION("""COMPUTED_VALUE"""),0.5925242620228892)</f>
        <v>0.592524262</v>
      </c>
      <c r="AA817" s="57">
        <f>IFERROR(__xludf.DUMMYFUNCTION("""COMPUTED_VALUE"""),1.3903557151041677)</f>
        <v>1.390355715</v>
      </c>
      <c r="AB817" s="57">
        <f>IFERROR(__xludf.DUMMYFUNCTION("""COMPUTED_VALUE"""),2.658260414735394)</f>
        <v>2.658260415</v>
      </c>
      <c r="AC817" s="31">
        <f>IFERROR(__xludf.DUMMYFUNCTION("""COMPUTED_VALUE"""),354.5243851232999)</f>
        <v>354.5243851</v>
      </c>
      <c r="AD817" s="57">
        <f>IFERROR(__xludf.DUMMYFUNCTION("""COMPUTED_VALUE"""),0.7988945611919035)</f>
        <v>0.7988945612</v>
      </c>
      <c r="AE817" s="57">
        <f>IFERROR(__xludf.DUMMYFUNCTION("""COMPUTED_VALUE"""),0.578598734464139)</f>
        <v>0.5785987345</v>
      </c>
      <c r="AF817" s="57">
        <f>IFERROR(__xludf.DUMMYFUNCTION("""COMPUTED_VALUE"""),1.3366852946505607)</f>
        <v>1.336685295</v>
      </c>
      <c r="AG817" s="57">
        <f>IFERROR(__xludf.DUMMYFUNCTION("""COMPUTED_VALUE"""),2.6585123366629753)</f>
        <v>2.658512337</v>
      </c>
      <c r="AH817" s="57">
        <f>IFERROR(__xludf.DUMMYFUNCTION("""COMPUTED_VALUE"""),0.8010732460652255)</f>
        <v>0.8010732461</v>
      </c>
      <c r="AI817" s="57">
        <f>IFERROR(__xludf.DUMMYFUNCTION("""COMPUTED_VALUE"""),0.6258648190745341)</f>
        <v>0.6258648191</v>
      </c>
      <c r="AJ817" s="57">
        <f>IFERROR(__xludf.DUMMYFUNCTION("""COMPUTED_VALUE"""),1.2242220577778247)</f>
        <v>1.224222058</v>
      </c>
      <c r="AK817" s="57">
        <f>IFERROR(__xludf.DUMMYFUNCTION("""COMPUTED_VALUE"""),0.7792908853231467)</f>
        <v>0.7792908853</v>
      </c>
      <c r="AL817" s="57">
        <f>IFERROR(__xludf.DUMMYFUNCTION("""COMPUTED_VALUE"""),0.8463379947389114)</f>
        <v>0.8463379947</v>
      </c>
      <c r="AM817" s="57">
        <f>IFERROR(__xludf.DUMMYFUNCTION("""COMPUTED_VALUE"""),0.9071920915901114)</f>
        <v>0.9071920916</v>
      </c>
      <c r="AN817" s="57">
        <f>IFERROR(__xludf.DUMMYFUNCTION("""COMPUTED_VALUE"""),0.8275973841631191)</f>
        <v>0.8275973842</v>
      </c>
      <c r="AO817" s="57">
        <f>IFERROR(__xludf.DUMMYFUNCTION("""COMPUTED_VALUE"""),0.7500864908503537)</f>
        <v>0.7500864909</v>
      </c>
      <c r="AP817" s="35">
        <f>IFERROR(__xludf.DUMMYFUNCTION("""COMPUTED_VALUE"""),1.0239186243100755)</f>
        <v>1.023918624</v>
      </c>
      <c r="AQ817" s="57">
        <f>IFERROR(__xludf.DUMMYFUNCTION("""COMPUTED_VALUE"""),0.877767024027853)</f>
        <v>0.877767024</v>
      </c>
      <c r="AR817" s="36" t="b">
        <f>IFERROR(__xludf.DUMMYFUNCTION("""COMPUTED_VALUE"""),TRUE)</f>
        <v>1</v>
      </c>
      <c r="AS817" s="57"/>
      <c r="AT817" s="37"/>
      <c r="AU817" s="30"/>
      <c r="AV817" s="30"/>
      <c r="AW817" s="30"/>
      <c r="AX817" s="30"/>
      <c r="AY817" s="30"/>
      <c r="AZ817" s="30"/>
    </row>
    <row r="818">
      <c r="A818" s="30" t="str">
        <f>IFERROR(__xludf.DUMMYFUNCTION("""COMPUTED_VALUE"""),"Veteran")</f>
        <v>Veteran</v>
      </c>
      <c r="B818" s="30" t="str">
        <f>IFERROR(__xludf.DUMMYFUNCTION("""COMPUTED_VALUE"""),"RSC002747")</f>
        <v>RSC002747</v>
      </c>
      <c r="C818" s="30" t="str">
        <f>IFERROR(__xludf.DUMMYFUNCTION("""COMPUTED_VALUE"""),"derrrrrrrrp")</f>
        <v>derrrrrrrrp</v>
      </c>
      <c r="D818" s="31" t="str">
        <f>IFERROR(__xludf.DUMMYFUNCTION("""COMPUTED_VALUE"""),"Slots")</f>
        <v>Slots</v>
      </c>
      <c r="E818" s="31">
        <f>IFERROR(__xludf.DUMMYFUNCTION("""COMPUTED_VALUE"""),44.085566834361124)</f>
        <v>44.08556683</v>
      </c>
      <c r="F818" s="31">
        <f>IFERROR(__xludf.DUMMYFUNCTION("""COMPUTED_VALUE"""),-2.4600708615317917)</f>
        <v>-2.460070862</v>
      </c>
      <c r="G818" s="31">
        <f>IFERROR(__xludf.DUMMYFUNCTION("""COMPUTED_VALUE"""),27.617890908856413)</f>
        <v>27.61789091</v>
      </c>
      <c r="H818" s="31">
        <f>IFERROR(__xludf.DUMMYFUNCTION("""COMPUTED_VALUE"""),-5.396143046064348)</f>
        <v>-5.396143046</v>
      </c>
      <c r="I818" s="54">
        <f>IFERROR(__xludf.DUMMYFUNCTION("""COMPUTED_VALUE"""),25.0)</f>
        <v>25</v>
      </c>
      <c r="J818" s="55">
        <f>IFERROR(__xludf.DUMMYFUNCTION("""COMPUTED_VALUE"""),14.0)</f>
        <v>14</v>
      </c>
      <c r="K818" s="54">
        <f>IFERROR(__xludf.DUMMYFUNCTION("""COMPUTED_VALUE"""),11.0)</f>
        <v>11</v>
      </c>
      <c r="L818" s="56">
        <f>IFERROR(__xludf.DUMMYFUNCTION("""COMPUTED_VALUE"""),0.56)</f>
        <v>0.56</v>
      </c>
      <c r="M818" s="56">
        <f>IFERROR(__xludf.DUMMYFUNCTION("""COMPUTED_VALUE"""),0.32258064516129037)</f>
        <v>0.3225806452</v>
      </c>
      <c r="N818" s="31">
        <f>IFERROR(__xludf.DUMMYFUNCTION("""COMPUTED_VALUE"""),320.96)</f>
        <v>320.96</v>
      </c>
      <c r="O818" s="57">
        <f>IFERROR(__xludf.DUMMYFUNCTION("""COMPUTED_VALUE"""),0.8)</f>
        <v>0.8</v>
      </c>
      <c r="P818" s="57">
        <f>IFERROR(__xludf.DUMMYFUNCTION("""COMPUTED_VALUE"""),0.44)</f>
        <v>0.44</v>
      </c>
      <c r="Q818" s="57">
        <f>IFERROR(__xludf.DUMMYFUNCTION("""COMPUTED_VALUE"""),1.48)</f>
        <v>1.48</v>
      </c>
      <c r="R818" s="57">
        <f>IFERROR(__xludf.DUMMYFUNCTION("""COMPUTED_VALUE"""),2.48)</f>
        <v>2.48</v>
      </c>
      <c r="S818" s="31">
        <f>IFERROR(__xludf.DUMMYFUNCTION("""COMPUTED_VALUE"""),346.63999999999993)</f>
        <v>346.64</v>
      </c>
      <c r="T818" s="57">
        <f>IFERROR(__xludf.DUMMYFUNCTION("""COMPUTED_VALUE"""),0.7733333333333333)</f>
        <v>0.7733333333</v>
      </c>
      <c r="U818" s="57">
        <f>IFERROR(__xludf.DUMMYFUNCTION("""COMPUTED_VALUE"""),0.6533333333333333)</f>
        <v>0.6533333333</v>
      </c>
      <c r="V818" s="57">
        <f>IFERROR(__xludf.DUMMYFUNCTION("""COMPUTED_VALUE"""),1.2933333333333332)</f>
        <v>1.293333333</v>
      </c>
      <c r="W818" s="57">
        <f>IFERROR(__xludf.DUMMYFUNCTION("""COMPUTED_VALUE"""),2.973333333333333)</f>
        <v>2.973333333</v>
      </c>
      <c r="X818" s="31">
        <f>IFERROR(__xludf.DUMMYFUNCTION("""COMPUTED_VALUE"""),364.1227057224059)</f>
        <v>364.1227057</v>
      </c>
      <c r="Y818" s="57">
        <f>IFERROR(__xludf.DUMMYFUNCTION("""COMPUTED_VALUE"""),0.8509903201242345)</f>
        <v>0.8509903201</v>
      </c>
      <c r="Z818" s="57">
        <f>IFERROR(__xludf.DUMMYFUNCTION("""COMPUTED_VALUE"""),0.5979168710337794)</f>
        <v>0.597916871</v>
      </c>
      <c r="AA818" s="57">
        <f>IFERROR(__xludf.DUMMYFUNCTION("""COMPUTED_VALUE"""),1.38636584174363)</f>
        <v>1.386365842</v>
      </c>
      <c r="AB818" s="57">
        <f>IFERROR(__xludf.DUMMYFUNCTION("""COMPUTED_VALUE"""),2.7370907480693334)</f>
        <v>2.737090748</v>
      </c>
      <c r="AC818" s="31">
        <f>IFERROR(__xludf.DUMMYFUNCTION("""COMPUTED_VALUE"""),360.11287897241033)</f>
        <v>360.112879</v>
      </c>
      <c r="AD818" s="57">
        <f>IFERROR(__xludf.DUMMYFUNCTION("""COMPUTED_VALUE"""),0.8253843935554953)</f>
        <v>0.8253843936</v>
      </c>
      <c r="AE818" s="57">
        <f>IFERROR(__xludf.DUMMYFUNCTION("""COMPUTED_VALUE"""),0.5969964786128439)</f>
        <v>0.5969964786</v>
      </c>
      <c r="AF818" s="57">
        <f>IFERROR(__xludf.DUMMYFUNCTION("""COMPUTED_VALUE"""),1.391816191898228)</f>
        <v>1.391816192</v>
      </c>
      <c r="AG818" s="57">
        <f>IFERROR(__xludf.DUMMYFUNCTION("""COMPUTED_VALUE"""),2.6450754964640315)</f>
        <v>2.645075496</v>
      </c>
      <c r="AH818" s="57">
        <f>IFERROR(__xludf.DUMMYFUNCTION("""COMPUTED_VALUE"""),0.8912760935289682)</f>
        <v>0.8912760935</v>
      </c>
      <c r="AI818" s="57">
        <f>IFERROR(__xludf.DUMMYFUNCTION("""COMPUTED_VALUE"""),0.9692453676690599)</f>
        <v>0.9692453677</v>
      </c>
      <c r="AJ818" s="57">
        <f>IFERROR(__xludf.DUMMYFUNCTION("""COMPUTED_VALUE"""),0.73702277276805)</f>
        <v>0.7370227728</v>
      </c>
      <c r="AK818" s="57">
        <f>IFERROR(__xludf.DUMMYFUNCTION("""COMPUTED_VALUE"""),1.0633588031344157)</f>
        <v>1.063358803</v>
      </c>
      <c r="AL818" s="57">
        <f>IFERROR(__xludf.DUMMYFUNCTION("""COMPUTED_VALUE"""),0.9375913856959068)</f>
        <v>0.9375913857</v>
      </c>
      <c r="AM818" s="57">
        <f>IFERROR(__xludf.DUMMYFUNCTION("""COMPUTED_VALUE"""),0.9519867741075885)</f>
        <v>0.9519867741</v>
      </c>
      <c r="AN818" s="57">
        <f>IFERROR(__xludf.DUMMYFUNCTION("""COMPUTED_VALUE"""),0.9087451584883314)</f>
        <v>0.9087451585</v>
      </c>
      <c r="AO818" s="57">
        <f>IFERROR(__xludf.DUMMYFUNCTION("""COMPUTED_VALUE"""),1.0926825533518407)</f>
        <v>1.092682553</v>
      </c>
      <c r="AP818" s="35">
        <f>IFERROR(__xludf.DUMMYFUNCTION("""COMPUTED_VALUE"""),0.9328946908463281)</f>
        <v>0.9328946908</v>
      </c>
      <c r="AQ818" s="57">
        <f>IFERROR(__xludf.DUMMYFUNCTION("""COMPUTED_VALUE"""),1.0863115647263937)</f>
        <v>1.086311565</v>
      </c>
      <c r="AR818" s="36" t="b">
        <f>IFERROR(__xludf.DUMMYFUNCTION("""COMPUTED_VALUE"""),TRUE)</f>
        <v>1</v>
      </c>
      <c r="AS818" s="57"/>
      <c r="AT818" s="37"/>
      <c r="AU818" s="30"/>
      <c r="AV818" s="30"/>
      <c r="AW818" s="30"/>
      <c r="AX818" s="30"/>
      <c r="AY818" s="30"/>
      <c r="AZ818" s="30"/>
    </row>
    <row r="819">
      <c r="A819" s="30" t="str">
        <f>IFERROR(__xludf.DUMMYFUNCTION("""COMPUTED_VALUE"""),"Veteran")</f>
        <v>Veteran</v>
      </c>
      <c r="B819" s="30" t="str">
        <f>IFERROR(__xludf.DUMMYFUNCTION("""COMPUTED_VALUE"""),"RSC001612")</f>
        <v>RSC001612</v>
      </c>
      <c r="C819" s="30" t="str">
        <f>IFERROR(__xludf.DUMMYFUNCTION("""COMPUTED_VALUE"""),"Reverse Fridge")</f>
        <v>Reverse Fridge</v>
      </c>
      <c r="D819" s="31"/>
      <c r="E819" s="31">
        <f>IFERROR(__xludf.DUMMYFUNCTION("""COMPUTED_VALUE"""),43.88489224475995)</f>
        <v>43.88489224</v>
      </c>
      <c r="F819" s="31">
        <f>IFERROR(__xludf.DUMMYFUNCTION("""COMPUTED_VALUE"""),-2.479043325546192)</f>
        <v>-2.479043326</v>
      </c>
      <c r="G819" s="31">
        <f>IFERROR(__xludf.DUMMYFUNCTION("""COMPUTED_VALUE"""),39.04008166528398)</f>
        <v>39.04008167</v>
      </c>
      <c r="H819" s="31">
        <f>IFERROR(__xludf.DUMMYFUNCTION("""COMPUTED_VALUE"""),-3.0252668135082494)</f>
        <v>-3.025266814</v>
      </c>
      <c r="I819" s="54">
        <f>IFERROR(__xludf.DUMMYFUNCTION("""COMPUTED_VALUE"""),27.0)</f>
        <v>27</v>
      </c>
      <c r="J819" s="55">
        <f>IFERROR(__xludf.DUMMYFUNCTION("""COMPUTED_VALUE"""),11.0)</f>
        <v>11</v>
      </c>
      <c r="K819" s="54">
        <f>IFERROR(__xludf.DUMMYFUNCTION("""COMPUTED_VALUE"""),16.0)</f>
        <v>16</v>
      </c>
      <c r="L819" s="56">
        <f>IFERROR(__xludf.DUMMYFUNCTION("""COMPUTED_VALUE"""),0.4074074074074074)</f>
        <v>0.4074074074</v>
      </c>
      <c r="M819" s="56">
        <f>IFERROR(__xludf.DUMMYFUNCTION("""COMPUTED_VALUE"""),0.3)</f>
        <v>0.3</v>
      </c>
      <c r="N819" s="31">
        <f>IFERROR(__xludf.DUMMYFUNCTION("""COMPUTED_VALUE"""),315.3703703703704)</f>
        <v>315.3703704</v>
      </c>
      <c r="O819" s="57">
        <f>IFERROR(__xludf.DUMMYFUNCTION("""COMPUTED_VALUE"""),0.7777777777777778)</f>
        <v>0.7777777778</v>
      </c>
      <c r="P819" s="57">
        <f>IFERROR(__xludf.DUMMYFUNCTION("""COMPUTED_VALUE"""),0.25925925925925924)</f>
        <v>0.2592592593</v>
      </c>
      <c r="Q819" s="57">
        <f>IFERROR(__xludf.DUMMYFUNCTION("""COMPUTED_VALUE"""),1.037037037037037)</f>
        <v>1.037037037</v>
      </c>
      <c r="R819" s="57">
        <f>IFERROR(__xludf.DUMMYFUNCTION("""COMPUTED_VALUE"""),2.5925925925925926)</f>
        <v>2.592592593</v>
      </c>
      <c r="S819" s="31">
        <f>IFERROR(__xludf.DUMMYFUNCTION("""COMPUTED_VALUE"""),340.22222222222223)</f>
        <v>340.2222222</v>
      </c>
      <c r="T819" s="57">
        <f>IFERROR(__xludf.DUMMYFUNCTION("""COMPUTED_VALUE"""),0.728395061728395)</f>
        <v>0.7283950617</v>
      </c>
      <c r="U819" s="57">
        <f>IFERROR(__xludf.DUMMYFUNCTION("""COMPUTED_VALUE"""),0.4938271604938272)</f>
        <v>0.4938271605</v>
      </c>
      <c r="V819" s="57">
        <f>IFERROR(__xludf.DUMMYFUNCTION("""COMPUTED_VALUE"""),1.3456790123456788)</f>
        <v>1.345679012</v>
      </c>
      <c r="W819" s="57">
        <f>IFERROR(__xludf.DUMMYFUNCTION("""COMPUTED_VALUE"""),2.567901234567901)</f>
        <v>2.567901235</v>
      </c>
      <c r="X819" s="31">
        <f>IFERROR(__xludf.DUMMYFUNCTION("""COMPUTED_VALUE"""),345.77325208265097)</f>
        <v>345.7732521</v>
      </c>
      <c r="Y819" s="57">
        <f>IFERROR(__xludf.DUMMYFUNCTION("""COMPUTED_VALUE"""),0.769372912162052)</f>
        <v>0.7693729122</v>
      </c>
      <c r="Z819" s="57">
        <f>IFERROR(__xludf.DUMMYFUNCTION("""COMPUTED_VALUE"""),0.5587842361572862)</f>
        <v>0.5587842362</v>
      </c>
      <c r="AA819" s="57">
        <f>IFERROR(__xludf.DUMMYFUNCTION("""COMPUTED_VALUE"""),1.2706581000747488)</f>
        <v>1.2706581</v>
      </c>
      <c r="AB819" s="57">
        <f>IFERROR(__xludf.DUMMYFUNCTION("""COMPUTED_VALUE"""),2.646118798173651)</f>
        <v>2.646118798</v>
      </c>
      <c r="AC819" s="31">
        <f>IFERROR(__xludf.DUMMYFUNCTION("""COMPUTED_VALUE"""),342.49402373794146)</f>
        <v>342.4940237</v>
      </c>
      <c r="AD819" s="57">
        <f>IFERROR(__xludf.DUMMYFUNCTION("""COMPUTED_VALUE"""),0.7022615433498954)</f>
        <v>0.7022615433</v>
      </c>
      <c r="AE819" s="57">
        <f>IFERROR(__xludf.DUMMYFUNCTION("""COMPUTED_VALUE"""),0.5206699854487855)</f>
        <v>0.5206699854</v>
      </c>
      <c r="AF819" s="57">
        <f>IFERROR(__xludf.DUMMYFUNCTION("""COMPUTED_VALUE"""),1.3700752115150463)</f>
        <v>1.370075212</v>
      </c>
      <c r="AG819" s="57">
        <f>IFERROR(__xludf.DUMMYFUNCTION("""COMPUTED_VALUE"""),2.469459950924176)</f>
        <v>2.469459951</v>
      </c>
      <c r="AH819" s="57">
        <f>IFERROR(__xludf.DUMMYFUNCTION("""COMPUTED_VALUE"""),0.9208054696209103)</f>
        <v>0.9208054696</v>
      </c>
      <c r="AI819" s="57">
        <f>IFERROR(__xludf.DUMMYFUNCTION("""COMPUTED_VALUE"""),1.1075329200964905)</f>
        <v>1.10753292</v>
      </c>
      <c r="AJ819" s="57">
        <f>IFERROR(__xludf.DUMMYFUNCTION("""COMPUTED_VALUE"""),0.49793394377398903)</f>
        <v>0.4979339438</v>
      </c>
      <c r="AK819" s="57">
        <f>IFERROR(__xludf.DUMMYFUNCTION("""COMPUTED_VALUE"""),0.7569197868270812)</f>
        <v>0.7569197868</v>
      </c>
      <c r="AL819" s="57">
        <f>IFERROR(__xludf.DUMMYFUNCTION("""COMPUTED_VALUE"""),1.0498621739633134)</f>
        <v>1.049862174</v>
      </c>
      <c r="AM819" s="57">
        <f>IFERROR(__xludf.DUMMYFUNCTION("""COMPUTED_VALUE"""),0.9839460402821967)</f>
        <v>0.9839460403</v>
      </c>
      <c r="AN819" s="57">
        <f>IFERROR(__xludf.DUMMYFUNCTION("""COMPUTED_VALUE"""),0.9467386363804996)</f>
        <v>0.9467386364</v>
      </c>
      <c r="AO819" s="57">
        <f>IFERROR(__xludf.DUMMYFUNCTION("""COMPUTED_VALUE"""),0.8837528486663053)</f>
        <v>0.8837528487</v>
      </c>
      <c r="AP819" s="35">
        <f>IFERROR(__xludf.DUMMYFUNCTION("""COMPUTED_VALUE"""),1.0590409900716147)</f>
        <v>1.05904099</v>
      </c>
      <c r="AQ819" s="57">
        <f>IFERROR(__xludf.DUMMYFUNCTION("""COMPUTED_VALUE"""),0.970440645499463)</f>
        <v>0.9704406455</v>
      </c>
      <c r="AR819" s="36" t="b">
        <f>IFERROR(__xludf.DUMMYFUNCTION("""COMPUTED_VALUE"""),TRUE)</f>
        <v>1</v>
      </c>
      <c r="AS819" s="57"/>
      <c r="AT819" s="37"/>
      <c r="AU819" s="30"/>
      <c r="AV819" s="30"/>
      <c r="AW819" s="30"/>
      <c r="AX819" s="30"/>
      <c r="AY819" s="30"/>
      <c r="AZ819" s="30"/>
    </row>
    <row r="820">
      <c r="A820" s="30" t="str">
        <f>IFERROR(__xludf.DUMMYFUNCTION("""COMPUTED_VALUE"""),"Veteran")</f>
        <v>Veteran</v>
      </c>
      <c r="B820" s="30" t="str">
        <f>IFERROR(__xludf.DUMMYFUNCTION("""COMPUTED_VALUE"""),"RSC005246")</f>
        <v>RSC005246</v>
      </c>
      <c r="C820" s="30" t="str">
        <f>IFERROR(__xludf.DUMMYFUNCTION("""COMPUTED_VALUE"""),"Irishhhh")</f>
        <v>Irishhhh</v>
      </c>
      <c r="D820" s="31" t="str">
        <f>IFERROR(__xludf.DUMMYFUNCTION("""COMPUTED_VALUE"""),"Mosaic Maestros")</f>
        <v>Mosaic Maestros</v>
      </c>
      <c r="E820" s="31">
        <f>IFERROR(__xludf.DUMMYFUNCTION("""COMPUTED_VALUE"""),43.263278206765335)</f>
        <v>43.26327821</v>
      </c>
      <c r="F820" s="31">
        <f>IFERROR(__xludf.DUMMYFUNCTION("""COMPUTED_VALUE"""),-2.539460378618947)</f>
        <v>-2.539460379</v>
      </c>
      <c r="G820" s="31">
        <f>IFERROR(__xludf.DUMMYFUNCTION("""COMPUTED_VALUE"""),36.130132518878234)</f>
        <v>36.13013252</v>
      </c>
      <c r="H820" s="31">
        <f>IFERROR(__xludf.DUMMYFUNCTION("""COMPUTED_VALUE"""),-3.4540220848742655)</f>
        <v>-3.454022085</v>
      </c>
      <c r="I820" s="54">
        <f>IFERROR(__xludf.DUMMYFUNCTION("""COMPUTED_VALUE"""),31.0)</f>
        <v>31</v>
      </c>
      <c r="J820" s="55">
        <f>IFERROR(__xludf.DUMMYFUNCTION("""COMPUTED_VALUE"""),17.0)</f>
        <v>17</v>
      </c>
      <c r="K820" s="54">
        <f>IFERROR(__xludf.DUMMYFUNCTION("""COMPUTED_VALUE"""),14.0)</f>
        <v>14</v>
      </c>
      <c r="L820" s="56">
        <f>IFERROR(__xludf.DUMMYFUNCTION("""COMPUTED_VALUE"""),0.5483870967741935)</f>
        <v>0.5483870968</v>
      </c>
      <c r="M820" s="56">
        <f>IFERROR(__xludf.DUMMYFUNCTION("""COMPUTED_VALUE"""),0.2727272727272727)</f>
        <v>0.2727272727</v>
      </c>
      <c r="N820" s="31">
        <f>IFERROR(__xludf.DUMMYFUNCTION("""COMPUTED_VALUE"""),344.741935483871)</f>
        <v>344.7419355</v>
      </c>
      <c r="O820" s="57">
        <f>IFERROR(__xludf.DUMMYFUNCTION("""COMPUTED_VALUE"""),0.7741935483870968)</f>
        <v>0.7741935484</v>
      </c>
      <c r="P820" s="57">
        <f>IFERROR(__xludf.DUMMYFUNCTION("""COMPUTED_VALUE"""),0.41935483870967744)</f>
        <v>0.4193548387</v>
      </c>
      <c r="Q820" s="57">
        <f>IFERROR(__xludf.DUMMYFUNCTION("""COMPUTED_VALUE"""),1.3548387096774193)</f>
        <v>1.35483871</v>
      </c>
      <c r="R820" s="57">
        <f>IFERROR(__xludf.DUMMYFUNCTION("""COMPUTED_VALUE"""),2.838709677419355)</f>
        <v>2.838709677</v>
      </c>
      <c r="S820" s="31">
        <f>IFERROR(__xludf.DUMMYFUNCTION("""COMPUTED_VALUE"""),378.5913978494624)</f>
        <v>378.5913978</v>
      </c>
      <c r="T820" s="57">
        <f>IFERROR(__xludf.DUMMYFUNCTION("""COMPUTED_VALUE"""),0.8709677419354838)</f>
        <v>0.8709677419</v>
      </c>
      <c r="U820" s="57">
        <f>IFERROR(__xludf.DUMMYFUNCTION("""COMPUTED_VALUE"""),0.6129032258064516)</f>
        <v>0.6129032258</v>
      </c>
      <c r="V820" s="57">
        <f>IFERROR(__xludf.DUMMYFUNCTION("""COMPUTED_VALUE"""),1.5268817204301068)</f>
        <v>1.52688172</v>
      </c>
      <c r="W820" s="57">
        <f>IFERROR(__xludf.DUMMYFUNCTION("""COMPUTED_VALUE"""),2.666666666666667)</f>
        <v>2.666666667</v>
      </c>
      <c r="X820" s="31">
        <f>IFERROR(__xludf.DUMMYFUNCTION("""COMPUTED_VALUE"""),349.63022350716477)</f>
        <v>349.6302235</v>
      </c>
      <c r="Y820" s="57">
        <f>IFERROR(__xludf.DUMMYFUNCTION("""COMPUTED_VALUE"""),0.7877119659796883)</f>
        <v>0.787711966</v>
      </c>
      <c r="Z820" s="57">
        <f>IFERROR(__xludf.DUMMYFUNCTION("""COMPUTED_VALUE"""),0.5569325664912655)</f>
        <v>0.5569325665</v>
      </c>
      <c r="AA820" s="57">
        <f>IFERROR(__xludf.DUMMYFUNCTION("""COMPUTED_VALUE"""),1.3683569141782994)</f>
        <v>1.368356914</v>
      </c>
      <c r="AB820" s="57">
        <f>IFERROR(__xludf.DUMMYFUNCTION("""COMPUTED_VALUE"""),2.554953049743799)</f>
        <v>2.55495305</v>
      </c>
      <c r="AC820" s="31">
        <f>IFERROR(__xludf.DUMMYFUNCTION("""COMPUTED_VALUE"""),359.8458126729262)</f>
        <v>359.8458127</v>
      </c>
      <c r="AD820" s="57">
        <f>IFERROR(__xludf.DUMMYFUNCTION("""COMPUTED_VALUE"""),0.835970475388864)</f>
        <v>0.8359704754</v>
      </c>
      <c r="AE820" s="57">
        <f>IFERROR(__xludf.DUMMYFUNCTION("""COMPUTED_VALUE"""),0.5957239365582016)</f>
        <v>0.5957239366</v>
      </c>
      <c r="AF820" s="57">
        <f>IFERROR(__xludf.DUMMYFUNCTION("""COMPUTED_VALUE"""),1.3524418743216786)</f>
        <v>1.352441874</v>
      </c>
      <c r="AG820" s="57">
        <f>IFERROR(__xludf.DUMMYFUNCTION("""COMPUTED_VALUE"""),2.6886482620930883)</f>
        <v>2.688648262</v>
      </c>
      <c r="AH820" s="57">
        <f>IFERROR(__xludf.DUMMYFUNCTION("""COMPUTED_VALUE"""),0.9580268085465162)</f>
        <v>0.9580268085</v>
      </c>
      <c r="AI820" s="57">
        <f>IFERROR(__xludf.DUMMYFUNCTION("""COMPUTED_VALUE"""),0.9261015444677866)</f>
        <v>0.9261015445</v>
      </c>
      <c r="AJ820" s="57">
        <f>IFERROR(__xludf.DUMMYFUNCTION("""COMPUTED_VALUE"""),0.7039415624836269)</f>
        <v>0.7039415625</v>
      </c>
      <c r="AK820" s="57">
        <f>IFERROR(__xludf.DUMMYFUNCTION("""COMPUTED_VALUE"""),1.001772227998296)</f>
        <v>1.001772228</v>
      </c>
      <c r="AL820" s="57">
        <f>IFERROR(__xludf.DUMMYFUNCTION("""COMPUTED_VALUE"""),1.0558129590404084)</f>
        <v>1.055812959</v>
      </c>
      <c r="AM820" s="57">
        <f>IFERROR(__xludf.DUMMYFUNCTION("""COMPUTED_VALUE"""),1.0828337265920152)</f>
        <v>1.082833727</v>
      </c>
      <c r="AN820" s="57">
        <f>IFERROR(__xludf.DUMMYFUNCTION("""COMPUTED_VALUE"""),1.1056931715544642)</f>
        <v>1.105693172</v>
      </c>
      <c r="AO820" s="57">
        <f>IFERROR(__xludf.DUMMYFUNCTION("""COMPUTED_VALUE"""),1.1004980902226766)</f>
        <v>1.10049809</v>
      </c>
      <c r="AP820" s="35">
        <f>IFERROR(__xludf.DUMMYFUNCTION("""COMPUTED_VALUE"""),1.1158504806817904)</f>
        <v>1.115850481</v>
      </c>
      <c r="AQ820" s="57">
        <f>IFERROR(__xludf.DUMMYFUNCTION("""COMPUTED_VALUE"""),1.0437243325994072)</f>
        <v>1.043724333</v>
      </c>
      <c r="AR820" s="36" t="b">
        <f>IFERROR(__xludf.DUMMYFUNCTION("""COMPUTED_VALUE"""),TRUE)</f>
        <v>1</v>
      </c>
      <c r="AS820" s="57"/>
      <c r="AT820" s="37"/>
      <c r="AU820" s="30"/>
      <c r="AV820" s="30"/>
      <c r="AW820" s="30"/>
      <c r="AX820" s="30"/>
      <c r="AY820" s="30"/>
      <c r="AZ820" s="30"/>
    </row>
    <row r="821">
      <c r="A821" s="30" t="str">
        <f>IFERROR(__xludf.DUMMYFUNCTION("""COMPUTED_VALUE"""),"Veteran")</f>
        <v>Veteran</v>
      </c>
      <c r="B821" s="30" t="str">
        <f>IFERROR(__xludf.DUMMYFUNCTION("""COMPUTED_VALUE"""),"RSC003027")</f>
        <v>RSC003027</v>
      </c>
      <c r="C821" s="30" t="str">
        <f>IFERROR(__xludf.DUMMYFUNCTION("""COMPUTED_VALUE"""),"Defiance")</f>
        <v>Defiance</v>
      </c>
      <c r="D821" s="31" t="str">
        <f>IFERROR(__xludf.DUMMYFUNCTION("""COMPUTED_VALUE"""),"Paradox Paloma")</f>
        <v>Paradox Paloma</v>
      </c>
      <c r="E821" s="31">
        <f>IFERROR(__xludf.DUMMYFUNCTION("""COMPUTED_VALUE"""),42.966545108005064)</f>
        <v>42.96654511</v>
      </c>
      <c r="F821" s="31">
        <f>IFERROR(__xludf.DUMMYFUNCTION("""COMPUTED_VALUE"""),-2.5692046852657473)</f>
        <v>-2.569204685</v>
      </c>
      <c r="G821" s="31">
        <f>IFERROR(__xludf.DUMMYFUNCTION("""COMPUTED_VALUE"""),34.47618682166077)</f>
        <v>34.47618682</v>
      </c>
      <c r="H821" s="31">
        <f>IFERROR(__xludf.DUMMYFUNCTION("""COMPUTED_VALUE"""),-3.740898915285562)</f>
        <v>-3.740898915</v>
      </c>
      <c r="I821" s="54">
        <f>IFERROR(__xludf.DUMMYFUNCTION("""COMPUTED_VALUE"""),5.0)</f>
        <v>5</v>
      </c>
      <c r="J821" s="55">
        <f>IFERROR(__xludf.DUMMYFUNCTION("""COMPUTED_VALUE"""),1.0)</f>
        <v>1</v>
      </c>
      <c r="K821" s="54">
        <f>IFERROR(__xludf.DUMMYFUNCTION("""COMPUTED_VALUE"""),4.0)</f>
        <v>4</v>
      </c>
      <c r="L821" s="56">
        <f>IFERROR(__xludf.DUMMYFUNCTION("""COMPUTED_VALUE"""),0.2)</f>
        <v>0.2</v>
      </c>
      <c r="M821" s="56">
        <f>IFERROR(__xludf.DUMMYFUNCTION("""COMPUTED_VALUE"""),0.25)</f>
        <v>0.25</v>
      </c>
      <c r="N821" s="31">
        <f>IFERROR(__xludf.DUMMYFUNCTION("""COMPUTED_VALUE"""),335.0)</f>
        <v>335</v>
      </c>
      <c r="O821" s="57">
        <f>IFERROR(__xludf.DUMMYFUNCTION("""COMPUTED_VALUE"""),0.6)</f>
        <v>0.6</v>
      </c>
      <c r="P821" s="57">
        <f>IFERROR(__xludf.DUMMYFUNCTION("""COMPUTED_VALUE"""),0.4)</f>
        <v>0.4</v>
      </c>
      <c r="Q821" s="57">
        <f>IFERROR(__xludf.DUMMYFUNCTION("""COMPUTED_VALUE"""),1.6)</f>
        <v>1.6</v>
      </c>
      <c r="R821" s="57">
        <f>IFERROR(__xludf.DUMMYFUNCTION("""COMPUTED_VALUE"""),2.4)</f>
        <v>2.4</v>
      </c>
      <c r="S821" s="31">
        <f>IFERROR(__xludf.DUMMYFUNCTION("""COMPUTED_VALUE"""),406.33333333333337)</f>
        <v>406.3333333</v>
      </c>
      <c r="T821" s="57">
        <f>IFERROR(__xludf.DUMMYFUNCTION("""COMPUTED_VALUE"""),0.8666666666666666)</f>
        <v>0.8666666667</v>
      </c>
      <c r="U821" s="57">
        <f>IFERROR(__xludf.DUMMYFUNCTION("""COMPUTED_VALUE"""),0.39999999999999997)</f>
        <v>0.4</v>
      </c>
      <c r="V821" s="57">
        <f>IFERROR(__xludf.DUMMYFUNCTION("""COMPUTED_VALUE"""),1.8)</f>
        <v>1.8</v>
      </c>
      <c r="W821" s="57">
        <f>IFERROR(__xludf.DUMMYFUNCTION("""COMPUTED_VALUE"""),2.5999999999999996)</f>
        <v>2.6</v>
      </c>
      <c r="X821" s="31">
        <f>IFERROR(__xludf.DUMMYFUNCTION("""COMPUTED_VALUE"""),358.3391940327424)</f>
        <v>358.339194</v>
      </c>
      <c r="Y821" s="57">
        <f>IFERROR(__xludf.DUMMYFUNCTION("""COMPUTED_VALUE"""),0.7572106747509973)</f>
        <v>0.7572106748</v>
      </c>
      <c r="Z821" s="57">
        <f>IFERROR(__xludf.DUMMYFUNCTION("""COMPUTED_VALUE"""),0.6154035450406419)</f>
        <v>0.615403545</v>
      </c>
      <c r="AA821" s="57">
        <f>IFERROR(__xludf.DUMMYFUNCTION("""COMPUTED_VALUE"""),1.4054088729491956)</f>
        <v>1.405408873</v>
      </c>
      <c r="AB821" s="57">
        <f>IFERROR(__xludf.DUMMYFUNCTION("""COMPUTED_VALUE"""),2.611519565753437)</f>
        <v>2.611519566</v>
      </c>
      <c r="AC821" s="31">
        <f>IFERROR(__xludf.DUMMYFUNCTION("""COMPUTED_VALUE"""),334.66188389635977)</f>
        <v>334.6618839</v>
      </c>
      <c r="AD821" s="57">
        <f>IFERROR(__xludf.DUMMYFUNCTION("""COMPUTED_VALUE"""),0.5974303298900073)</f>
        <v>0.5974303299</v>
      </c>
      <c r="AE821" s="57">
        <f>IFERROR(__xludf.DUMMYFUNCTION("""COMPUTED_VALUE"""),0.4628264995200479)</f>
        <v>0.4628264995</v>
      </c>
      <c r="AF821" s="57">
        <f>IFERROR(__xludf.DUMMYFUNCTION("""COMPUTED_VALUE"""),1.4000595353417933)</f>
        <v>1.400059535</v>
      </c>
      <c r="AG821" s="57">
        <f>IFERROR(__xludf.DUMMYFUNCTION("""COMPUTED_VALUE"""),2.5965631320470033)</f>
        <v>2.596563132</v>
      </c>
      <c r="AH821" s="57">
        <f>IFERROR(__xludf.DUMMYFUNCTION("""COMPUTED_VALUE"""),1.0010103215212431)</f>
        <v>1.001010322</v>
      </c>
      <c r="AI821" s="57">
        <f>IFERROR(__xludf.DUMMYFUNCTION("""COMPUTED_VALUE"""),1.0043012046450097)</f>
        <v>1.004301205</v>
      </c>
      <c r="AJ821" s="57">
        <f>IFERROR(__xludf.DUMMYFUNCTION("""COMPUTED_VALUE"""),0.8642547486256749)</f>
        <v>0.8642547486</v>
      </c>
      <c r="AK821" s="57">
        <f>IFERROR(__xludf.DUMMYFUNCTION("""COMPUTED_VALUE"""),1.1428085446447789)</f>
        <v>1.142808545</v>
      </c>
      <c r="AL821" s="57">
        <f>IFERROR(__xludf.DUMMYFUNCTION("""COMPUTED_VALUE"""),0.9242987279527294)</f>
        <v>0.924298728</v>
      </c>
      <c r="AM821" s="57">
        <f>IFERROR(__xludf.DUMMYFUNCTION("""COMPUTED_VALUE"""),1.1339349423669396)</f>
        <v>1.133934942</v>
      </c>
      <c r="AN821" s="57">
        <f>IFERROR(__xludf.DUMMYFUNCTION("""COMPUTED_VALUE"""),1.1445515700787803)</f>
        <v>1.14455157</v>
      </c>
      <c r="AO821" s="57">
        <f>IFERROR(__xludf.DUMMYFUNCTION("""COMPUTED_VALUE"""),0.6499800061658462)</f>
        <v>0.6499800062</v>
      </c>
      <c r="AP821" s="35">
        <f>IFERROR(__xludf.DUMMYFUNCTION("""COMPUTED_VALUE"""),1.280766070746921)</f>
        <v>1.280766071</v>
      </c>
      <c r="AQ821" s="57">
        <f>IFERROR(__xludf.DUMMYFUNCTION("""COMPUTED_VALUE"""),0.9955889414329876)</f>
        <v>0.9955889414</v>
      </c>
      <c r="AR821" s="36" t="b">
        <f>IFERROR(__xludf.DUMMYFUNCTION("""COMPUTED_VALUE"""),TRUE)</f>
        <v>1</v>
      </c>
      <c r="AS821" s="57"/>
      <c r="AT821" s="37"/>
      <c r="AU821" s="30"/>
      <c r="AV821" s="30"/>
      <c r="AW821" s="30"/>
      <c r="AX821" s="30"/>
      <c r="AY821" s="30"/>
      <c r="AZ821" s="30"/>
    </row>
    <row r="822">
      <c r="A822" s="30" t="str">
        <f>IFERROR(__xludf.DUMMYFUNCTION("""COMPUTED_VALUE"""),"Veteran")</f>
        <v>Veteran</v>
      </c>
      <c r="B822" s="30" t="str">
        <f>IFERROR(__xludf.DUMMYFUNCTION("""COMPUTED_VALUE"""),"RSC004094")</f>
        <v>RSC004094</v>
      </c>
      <c r="C822" s="30" t="str">
        <f>IFERROR(__xludf.DUMMYFUNCTION("""COMPUTED_VALUE"""),"Moxen")</f>
        <v>Moxen</v>
      </c>
      <c r="D822" s="31"/>
      <c r="E822" s="31">
        <f>IFERROR(__xludf.DUMMYFUNCTION("""COMPUTED_VALUE"""),42.40310899080632)</f>
        <v>42.40310899</v>
      </c>
      <c r="F822" s="31">
        <f>IFERROR(__xludf.DUMMYFUNCTION("""COMPUTED_VALUE"""),-2.627352239655162)</f>
        <v>-2.62735224</v>
      </c>
      <c r="G822" s="31">
        <f>IFERROR(__xludf.DUMMYFUNCTION("""COMPUTED_VALUE"""),22.50746904068528)</f>
        <v>22.50746904</v>
      </c>
      <c r="H822" s="31">
        <f>IFERROR(__xludf.DUMMYFUNCTION("""COMPUTED_VALUE"""),-7.367505135354551)</f>
        <v>-7.367505135</v>
      </c>
      <c r="I822" s="54">
        <f>IFERROR(__xludf.DUMMYFUNCTION("""COMPUTED_VALUE"""),16.0)</f>
        <v>16</v>
      </c>
      <c r="J822" s="55">
        <f>IFERROR(__xludf.DUMMYFUNCTION("""COMPUTED_VALUE"""),8.0)</f>
        <v>8</v>
      </c>
      <c r="K822" s="54">
        <f>IFERROR(__xludf.DUMMYFUNCTION("""COMPUTED_VALUE"""),8.0)</f>
        <v>8</v>
      </c>
      <c r="L822" s="56">
        <f>IFERROR(__xludf.DUMMYFUNCTION("""COMPUTED_VALUE"""),0.5)</f>
        <v>0.5</v>
      </c>
      <c r="M822" s="56">
        <f>IFERROR(__xludf.DUMMYFUNCTION("""COMPUTED_VALUE"""),0.30952380952380953)</f>
        <v>0.3095238095</v>
      </c>
      <c r="N822" s="31">
        <f>IFERROR(__xludf.DUMMYFUNCTION("""COMPUTED_VALUE"""),311.125)</f>
        <v>311.125</v>
      </c>
      <c r="O822" s="57">
        <f>IFERROR(__xludf.DUMMYFUNCTION("""COMPUTED_VALUE"""),0.8125)</f>
        <v>0.8125</v>
      </c>
      <c r="P822" s="57">
        <f>IFERROR(__xludf.DUMMYFUNCTION("""COMPUTED_VALUE"""),0.375)</f>
        <v>0.375</v>
      </c>
      <c r="Q822" s="57">
        <f>IFERROR(__xludf.DUMMYFUNCTION("""COMPUTED_VALUE"""),1.0)</f>
        <v>1</v>
      </c>
      <c r="R822" s="57">
        <f>IFERROR(__xludf.DUMMYFUNCTION("""COMPUTED_VALUE"""),2.625)</f>
        <v>2.625</v>
      </c>
      <c r="S822" s="31">
        <f>IFERROR(__xludf.DUMMYFUNCTION("""COMPUTED_VALUE"""),383.68750000000006)</f>
        <v>383.6875</v>
      </c>
      <c r="T822" s="57">
        <f>IFERROR(__xludf.DUMMYFUNCTION("""COMPUTED_VALUE"""),0.8333333333333336)</f>
        <v>0.8333333333</v>
      </c>
      <c r="U822" s="57">
        <f>IFERROR(__xludf.DUMMYFUNCTION("""COMPUTED_VALUE"""),0.625)</f>
        <v>0.625</v>
      </c>
      <c r="V822" s="57">
        <f>IFERROR(__xludf.DUMMYFUNCTION("""COMPUTED_VALUE"""),1.5833333333333333)</f>
        <v>1.583333333</v>
      </c>
      <c r="W822" s="57">
        <f>IFERROR(__xludf.DUMMYFUNCTION("""COMPUTED_VALUE"""),2.6875)</f>
        <v>2.6875</v>
      </c>
      <c r="X822" s="31">
        <f>IFERROR(__xludf.DUMMYFUNCTION("""COMPUTED_VALUE"""),365.66120209628747)</f>
        <v>365.6612021</v>
      </c>
      <c r="Y822" s="57">
        <f>IFERROR(__xludf.DUMMYFUNCTION("""COMPUTED_VALUE"""),0.8334117710060205)</f>
        <v>0.833411771</v>
      </c>
      <c r="Z822" s="57">
        <f>IFERROR(__xludf.DUMMYFUNCTION("""COMPUTED_VALUE"""),0.6371791997130469)</f>
        <v>0.6371791997</v>
      </c>
      <c r="AA822" s="57">
        <f>IFERROR(__xludf.DUMMYFUNCTION("""COMPUTED_VALUE"""),1.3606675912897388)</f>
        <v>1.360667591</v>
      </c>
      <c r="AB822" s="57">
        <f>IFERROR(__xludf.DUMMYFUNCTION("""COMPUTED_VALUE"""),2.6617453711918277)</f>
        <v>2.661745371</v>
      </c>
      <c r="AC822" s="31">
        <f>IFERROR(__xludf.DUMMYFUNCTION("""COMPUTED_VALUE"""),361.1950317983516)</f>
        <v>361.1950318</v>
      </c>
      <c r="AD822" s="57">
        <f>IFERROR(__xludf.DUMMYFUNCTION("""COMPUTED_VALUE"""),0.8204396824082041)</f>
        <v>0.8204396824</v>
      </c>
      <c r="AE822" s="57">
        <f>IFERROR(__xludf.DUMMYFUNCTION("""COMPUTED_VALUE"""),0.5838801733801195)</f>
        <v>0.5838801734</v>
      </c>
      <c r="AF822" s="57">
        <f>IFERROR(__xludf.DUMMYFUNCTION("""COMPUTED_VALUE"""),1.392844549268345)</f>
        <v>1.392844549</v>
      </c>
      <c r="AG822" s="57">
        <f>IFERROR(__xludf.DUMMYFUNCTION("""COMPUTED_VALUE"""),2.621681119378027)</f>
        <v>2.621681119</v>
      </c>
      <c r="AH822" s="57">
        <f>IFERROR(__xludf.DUMMYFUNCTION("""COMPUTED_VALUE"""),0.8613767427833705)</f>
        <v>0.8613767428</v>
      </c>
      <c r="AI822" s="57">
        <f>IFERROR(__xludf.DUMMYFUNCTION("""COMPUTED_VALUE"""),0.9903226494543766)</f>
        <v>0.9903226495</v>
      </c>
      <c r="AJ822" s="57">
        <f>IFERROR(__xludf.DUMMYFUNCTION("""COMPUTED_VALUE"""),0.6422550672154204)</f>
        <v>0.6422550672</v>
      </c>
      <c r="AK822" s="57">
        <f>IFERROR(__xludf.DUMMYFUNCTION("""COMPUTED_VALUE"""),0.7179552093773103)</f>
        <v>0.7179552094</v>
      </c>
      <c r="AL822" s="57">
        <f>IFERROR(__xludf.DUMMYFUNCTION("""COMPUTED_VALUE"""),1.0012659360428855)</f>
        <v>1.001265936</v>
      </c>
      <c r="AM822" s="57">
        <f>IFERROR(__xludf.DUMMYFUNCTION("""COMPUTED_VALUE"""),1.049297813933691)</f>
        <v>1.049297814</v>
      </c>
      <c r="AN822" s="57">
        <f>IFERROR(__xludf.DUMMYFUNCTION("""COMPUTED_VALUE"""),0.9999058836514966)</f>
        <v>0.9999058837</v>
      </c>
      <c r="AO822" s="57">
        <f>IFERROR(__xludf.DUMMYFUNCTION("""COMPUTED_VALUE"""),0.9808857544023223)</f>
        <v>0.9808857544</v>
      </c>
      <c r="AP822" s="35">
        <f>IFERROR(__xludf.DUMMYFUNCTION("""COMPUTED_VALUE"""),1.1636444811862798)</f>
        <v>1.163644481</v>
      </c>
      <c r="AQ822" s="57">
        <f>IFERROR(__xludf.DUMMYFUNCTION("""COMPUTED_VALUE"""),1.0096758424329073)</f>
        <v>1.009675842</v>
      </c>
      <c r="AR822" s="36" t="b">
        <f>IFERROR(__xludf.DUMMYFUNCTION("""COMPUTED_VALUE"""),TRUE)</f>
        <v>1</v>
      </c>
      <c r="AS822" s="57"/>
      <c r="AT822" s="37"/>
      <c r="AU822" s="30"/>
      <c r="AV822" s="30"/>
      <c r="AW822" s="30"/>
      <c r="AX822" s="30"/>
      <c r="AY822" s="30"/>
      <c r="AZ822" s="30"/>
    </row>
    <row r="823">
      <c r="A823" s="30" t="str">
        <f>IFERROR(__xludf.DUMMYFUNCTION("""COMPUTED_VALUE"""),"Veteran")</f>
        <v>Veteran</v>
      </c>
      <c r="B823" s="30" t="str">
        <f>IFERROR(__xludf.DUMMYFUNCTION("""COMPUTED_VALUE"""),"RSC003904")</f>
        <v>RSC003904</v>
      </c>
      <c r="C823" s="30" t="str">
        <f>IFERROR(__xludf.DUMMYFUNCTION("""COMPUTED_VALUE"""),"Tyyphoon454")</f>
        <v>Tyyphoon454</v>
      </c>
      <c r="D823" s="31" t="str">
        <f>IFERROR(__xludf.DUMMYFUNCTION("""COMPUTED_VALUE"""),"Giraffes")</f>
        <v>Giraffes</v>
      </c>
      <c r="E823" s="31">
        <f>IFERROR(__xludf.DUMMYFUNCTION("""COMPUTED_VALUE"""),42.19388832147884)</f>
        <v>42.19388832</v>
      </c>
      <c r="F823" s="31">
        <f>IFERROR(__xludf.DUMMYFUNCTION("""COMPUTED_VALUE"""),-2.6495163813318516)</f>
        <v>-2.649516381</v>
      </c>
      <c r="G823" s="31">
        <f>IFERROR(__xludf.DUMMYFUNCTION("""COMPUTED_VALUE"""),41.21706536294837)</f>
        <v>41.21706536</v>
      </c>
      <c r="H823" s="31">
        <f>IFERROR(__xludf.DUMMYFUNCTION("""COMPUTED_VALUE"""),-2.7572886208558423)</f>
        <v>-2.757288621</v>
      </c>
      <c r="I823" s="54">
        <f>IFERROR(__xludf.DUMMYFUNCTION("""COMPUTED_VALUE"""),36.0)</f>
        <v>36</v>
      </c>
      <c r="J823" s="55">
        <f>IFERROR(__xludf.DUMMYFUNCTION("""COMPUTED_VALUE"""),19.0)</f>
        <v>19</v>
      </c>
      <c r="K823" s="54">
        <f>IFERROR(__xludf.DUMMYFUNCTION("""COMPUTED_VALUE"""),17.0)</f>
        <v>17</v>
      </c>
      <c r="L823" s="56">
        <f>IFERROR(__xludf.DUMMYFUNCTION("""COMPUTED_VALUE"""),0.5277777777777778)</f>
        <v>0.5277777778</v>
      </c>
      <c r="M823" s="56">
        <f>IFERROR(__xludf.DUMMYFUNCTION("""COMPUTED_VALUE"""),0.2452830188679245)</f>
        <v>0.2452830189</v>
      </c>
      <c r="N823" s="31">
        <f>IFERROR(__xludf.DUMMYFUNCTION("""COMPUTED_VALUE"""),328.1666666666667)</f>
        <v>328.1666667</v>
      </c>
      <c r="O823" s="57">
        <f>IFERROR(__xludf.DUMMYFUNCTION("""COMPUTED_VALUE"""),0.7222222222222222)</f>
        <v>0.7222222222</v>
      </c>
      <c r="P823" s="57">
        <f>IFERROR(__xludf.DUMMYFUNCTION("""COMPUTED_VALUE"""),0.3888888888888889)</f>
        <v>0.3888888889</v>
      </c>
      <c r="Q823" s="57">
        <f>IFERROR(__xludf.DUMMYFUNCTION("""COMPUTED_VALUE"""),1.4166666666666667)</f>
        <v>1.416666667</v>
      </c>
      <c r="R823" s="57">
        <f>IFERROR(__xludf.DUMMYFUNCTION("""COMPUTED_VALUE"""),2.9444444444444446)</f>
        <v>2.944444444</v>
      </c>
      <c r="S823" s="31">
        <f>IFERROR(__xludf.DUMMYFUNCTION("""COMPUTED_VALUE"""),353.50000000000006)</f>
        <v>353.5</v>
      </c>
      <c r="T823" s="57">
        <f>IFERROR(__xludf.DUMMYFUNCTION("""COMPUTED_VALUE"""),0.7870370370370371)</f>
        <v>0.787037037</v>
      </c>
      <c r="U823" s="57">
        <f>IFERROR(__xludf.DUMMYFUNCTION("""COMPUTED_VALUE"""),0.5648148148148149)</f>
        <v>0.5648148148</v>
      </c>
      <c r="V823" s="57">
        <f>IFERROR(__xludf.DUMMYFUNCTION("""COMPUTED_VALUE"""),1.4722222222222223)</f>
        <v>1.472222222</v>
      </c>
      <c r="W823" s="57">
        <f>IFERROR(__xludf.DUMMYFUNCTION("""COMPUTED_VALUE"""),2.518518518518518)</f>
        <v>2.518518519</v>
      </c>
      <c r="X823" s="31">
        <f>IFERROR(__xludf.DUMMYFUNCTION("""COMPUTED_VALUE"""),341.39843818967927)</f>
        <v>341.3984382</v>
      </c>
      <c r="Y823" s="57">
        <f>IFERROR(__xludf.DUMMYFUNCTION("""COMPUTED_VALUE"""),0.716296269279755)</f>
        <v>0.7162962693</v>
      </c>
      <c r="Z823" s="57">
        <f>IFERROR(__xludf.DUMMYFUNCTION("""COMPUTED_VALUE"""),0.5488378167643476)</f>
        <v>0.5488378168</v>
      </c>
      <c r="AA823" s="57">
        <f>IFERROR(__xludf.DUMMYFUNCTION("""COMPUTED_VALUE"""),1.363385938154772)</f>
        <v>1.363385938</v>
      </c>
      <c r="AB823" s="57">
        <f>IFERROR(__xludf.DUMMYFUNCTION("""COMPUTED_VALUE"""),2.5088085693046502)</f>
        <v>2.508808569</v>
      </c>
      <c r="AC823" s="31">
        <f>IFERROR(__xludf.DUMMYFUNCTION("""COMPUTED_VALUE"""),355.0240816731188)</f>
        <v>355.0240817</v>
      </c>
      <c r="AD823" s="57">
        <f>IFERROR(__xludf.DUMMYFUNCTION("""COMPUTED_VALUE"""),0.7990498429820116)</f>
        <v>0.799049843</v>
      </c>
      <c r="AE823" s="57">
        <f>IFERROR(__xludf.DUMMYFUNCTION("""COMPUTED_VALUE"""),0.5844591683313142)</f>
        <v>0.5844591683</v>
      </c>
      <c r="AF823" s="57">
        <f>IFERROR(__xludf.DUMMYFUNCTION("""COMPUTED_VALUE"""),1.362885477564656)</f>
        <v>1.362885478</v>
      </c>
      <c r="AG823" s="57">
        <f>IFERROR(__xludf.DUMMYFUNCTION("""COMPUTED_VALUE"""),2.648091734975227)</f>
        <v>2.648091735</v>
      </c>
      <c r="AH823" s="57">
        <f>IFERROR(__xludf.DUMMYFUNCTION("""COMPUTED_VALUE"""),0.9243504415816487)</f>
        <v>0.9243504416</v>
      </c>
      <c r="AI823" s="57">
        <f>IFERROR(__xludf.DUMMYFUNCTION("""COMPUTED_VALUE"""),0.9038512785722191)</f>
        <v>0.9038512786</v>
      </c>
      <c r="AJ823" s="57">
        <f>IFERROR(__xludf.DUMMYFUNCTION("""COMPUTED_VALUE"""),0.665382476588062)</f>
        <v>0.6653824766</v>
      </c>
      <c r="AK823" s="57">
        <f>IFERROR(__xludf.DUMMYFUNCTION("""COMPUTED_VALUE"""),1.0394612680135917)</f>
        <v>1.039461268</v>
      </c>
      <c r="AL823" s="57">
        <f>IFERROR(__xludf.DUMMYFUNCTION("""COMPUTED_VALUE"""),1.1119117988078273)</f>
        <v>1.111911799</v>
      </c>
      <c r="AM823" s="57">
        <f>IFERROR(__xludf.DUMMYFUNCTION("""COMPUTED_VALUE"""),1.0354470333094998)</f>
        <v>1.035447033</v>
      </c>
      <c r="AN823" s="57">
        <f>IFERROR(__xludf.DUMMYFUNCTION("""COMPUTED_VALUE"""),1.098759090045817)</f>
        <v>1.09875909</v>
      </c>
      <c r="AO823" s="57">
        <f>IFERROR(__xludf.DUMMYFUNCTION("""COMPUTED_VALUE"""),1.0291105998210164)</f>
        <v>1.0291106</v>
      </c>
      <c r="AP823" s="35">
        <f>IFERROR(__xludf.DUMMYFUNCTION("""COMPUTED_VALUE"""),1.079827935012115)</f>
        <v>1.079827935</v>
      </c>
      <c r="AQ823" s="57">
        <f>IFERROR(__xludf.DUMMYFUNCTION("""COMPUTED_VALUE"""),1.003870342812389)</f>
        <v>1.003870343</v>
      </c>
      <c r="AR823" s="36" t="b">
        <f>IFERROR(__xludf.DUMMYFUNCTION("""COMPUTED_VALUE"""),TRUE)</f>
        <v>1</v>
      </c>
      <c r="AS823" s="57"/>
      <c r="AT823" s="37"/>
      <c r="AU823" s="30"/>
      <c r="AV823" s="30"/>
      <c r="AW823" s="30"/>
      <c r="AX823" s="30"/>
      <c r="AY823" s="30"/>
      <c r="AZ823" s="30"/>
    </row>
    <row r="824">
      <c r="A824" s="30" t="str">
        <f>IFERROR(__xludf.DUMMYFUNCTION("""COMPUTED_VALUE"""),"Veteran")</f>
        <v>Veteran</v>
      </c>
      <c r="B824" s="30" t="str">
        <f>IFERROR(__xludf.DUMMYFUNCTION("""COMPUTED_VALUE"""),"RSC001954")</f>
        <v>RSC001954</v>
      </c>
      <c r="C824" s="30" t="str">
        <f>IFERROR(__xludf.DUMMYFUNCTION("""COMPUTED_VALUE"""),"Kiwi")</f>
        <v>Kiwi</v>
      </c>
      <c r="D824" s="31" t="str">
        <f>IFERROR(__xludf.DUMMYFUNCTION("""COMPUTED_VALUE"""),"Supernova")</f>
        <v>Supernova</v>
      </c>
      <c r="E824" s="31">
        <f>IFERROR(__xludf.DUMMYFUNCTION("""COMPUTED_VALUE"""),41.71716220169525)</f>
        <v>41.7171622</v>
      </c>
      <c r="F824" s="31">
        <f>IFERROR(__xludf.DUMMYFUNCTION("""COMPUTED_VALUE"""),-2.7012145303134725)</f>
        <v>-2.70121453</v>
      </c>
      <c r="G824" s="31">
        <f>IFERROR(__xludf.DUMMYFUNCTION("""COMPUTED_VALUE"""),44.871012093162705)</f>
        <v>44.87101209</v>
      </c>
      <c r="H824" s="31">
        <f>IFERROR(__xludf.DUMMYFUNCTION("""COMPUTED_VALUE"""),-2.388209415938148)</f>
        <v>-2.388209416</v>
      </c>
      <c r="I824" s="54">
        <f>IFERROR(__xludf.DUMMYFUNCTION("""COMPUTED_VALUE"""),20.0)</f>
        <v>20</v>
      </c>
      <c r="J824" s="55">
        <f>IFERROR(__xludf.DUMMYFUNCTION("""COMPUTED_VALUE"""),6.0)</f>
        <v>6</v>
      </c>
      <c r="K824" s="54">
        <f>IFERROR(__xludf.DUMMYFUNCTION("""COMPUTED_VALUE"""),14.0)</f>
        <v>14</v>
      </c>
      <c r="L824" s="56">
        <f>IFERROR(__xludf.DUMMYFUNCTION("""COMPUTED_VALUE"""),0.3)</f>
        <v>0.3</v>
      </c>
      <c r="M824" s="56">
        <f>IFERROR(__xludf.DUMMYFUNCTION("""COMPUTED_VALUE"""),0.4411764705882353)</f>
        <v>0.4411764706</v>
      </c>
      <c r="N824" s="31">
        <f>IFERROR(__xludf.DUMMYFUNCTION("""COMPUTED_VALUE"""),320.8)</f>
        <v>320.8</v>
      </c>
      <c r="O824" s="57">
        <f>IFERROR(__xludf.DUMMYFUNCTION("""COMPUTED_VALUE"""),0.75)</f>
        <v>0.75</v>
      </c>
      <c r="P824" s="57">
        <f>IFERROR(__xludf.DUMMYFUNCTION("""COMPUTED_VALUE"""),0.55)</f>
        <v>0.55</v>
      </c>
      <c r="Q824" s="57">
        <f>IFERROR(__xludf.DUMMYFUNCTION("""COMPUTED_VALUE"""),1.0)</f>
        <v>1</v>
      </c>
      <c r="R824" s="57">
        <f>IFERROR(__xludf.DUMMYFUNCTION("""COMPUTED_VALUE"""),1.7)</f>
        <v>1.7</v>
      </c>
      <c r="S824" s="31">
        <f>IFERROR(__xludf.DUMMYFUNCTION("""COMPUTED_VALUE"""),338.5166666666667)</f>
        <v>338.5166667</v>
      </c>
      <c r="T824" s="57">
        <f>IFERROR(__xludf.DUMMYFUNCTION("""COMPUTED_VALUE"""),0.8666666666666666)</f>
        <v>0.8666666667</v>
      </c>
      <c r="U824" s="57">
        <f>IFERROR(__xludf.DUMMYFUNCTION("""COMPUTED_VALUE"""),0.55)</f>
        <v>0.55</v>
      </c>
      <c r="V824" s="57">
        <f>IFERROR(__xludf.DUMMYFUNCTION("""COMPUTED_VALUE"""),1.0333333333333334)</f>
        <v>1.033333333</v>
      </c>
      <c r="W824" s="57">
        <f>IFERROR(__xludf.DUMMYFUNCTION("""COMPUTED_VALUE"""),2.5166666666666666)</f>
        <v>2.516666667</v>
      </c>
      <c r="X824" s="31">
        <f>IFERROR(__xludf.DUMMYFUNCTION("""COMPUTED_VALUE"""),345.56651170745334)</f>
        <v>345.5665117</v>
      </c>
      <c r="Y824" s="57">
        <f>IFERROR(__xludf.DUMMYFUNCTION("""COMPUTED_VALUE"""),0.7352956004662271)</f>
        <v>0.7352956005</v>
      </c>
      <c r="Z824" s="57">
        <f>IFERROR(__xludf.DUMMYFUNCTION("""COMPUTED_VALUE"""),0.5824322140184124)</f>
        <v>0.582432214</v>
      </c>
      <c r="AA824" s="57">
        <f>IFERROR(__xludf.DUMMYFUNCTION("""COMPUTED_VALUE"""),1.3124247294608768)</f>
        <v>1.312424729</v>
      </c>
      <c r="AB824" s="57">
        <f>IFERROR(__xludf.DUMMYFUNCTION("""COMPUTED_VALUE"""),2.469379793133585)</f>
        <v>2.469379793</v>
      </c>
      <c r="AC824" s="31">
        <f>IFERROR(__xludf.DUMMYFUNCTION("""COMPUTED_VALUE"""),339.9348704582881)</f>
        <v>339.9348705</v>
      </c>
      <c r="AD824" s="57">
        <f>IFERROR(__xludf.DUMMYFUNCTION("""COMPUTED_VALUE"""),0.7443176740611019)</f>
        <v>0.7443176741</v>
      </c>
      <c r="AE824" s="57">
        <f>IFERROR(__xludf.DUMMYFUNCTION("""COMPUTED_VALUE"""),0.5319500730092237)</f>
        <v>0.531950073</v>
      </c>
      <c r="AF824" s="57">
        <f>IFERROR(__xludf.DUMMYFUNCTION("""COMPUTED_VALUE"""),1.2415148888792298)</f>
        <v>1.241514889</v>
      </c>
      <c r="AG824" s="57">
        <f>IFERROR(__xludf.DUMMYFUNCTION("""COMPUTED_VALUE"""),2.5522898116456423)</f>
        <v>2.552289812</v>
      </c>
      <c r="AH824" s="57">
        <f>IFERROR(__xludf.DUMMYFUNCTION("""COMPUTED_VALUE"""),0.9437101865057529)</f>
        <v>0.9437101865</v>
      </c>
      <c r="AI824" s="57">
        <f>IFERROR(__xludf.DUMMYFUNCTION("""COMPUTED_VALUE"""),1.0076342751716407)</f>
        <v>1.007634275</v>
      </c>
      <c r="AJ824" s="57">
        <f>IFERROR(__xludf.DUMMYFUNCTION("""COMPUTED_VALUE"""),1.0339316185984684)</f>
        <v>1.033931619</v>
      </c>
      <c r="AK824" s="57">
        <f>IFERROR(__xludf.DUMMYFUNCTION("""COMPUTED_VALUE"""),0.8054675855742206)</f>
        <v>0.8054675856</v>
      </c>
      <c r="AL824" s="57">
        <f>IFERROR(__xludf.DUMMYFUNCTION("""COMPUTED_VALUE"""),0.6660685601780816)</f>
        <v>0.6660685602</v>
      </c>
      <c r="AM824" s="57">
        <f>IFERROR(__xludf.DUMMYFUNCTION("""COMPUTED_VALUE"""),0.9795991660014937)</f>
        <v>0.979599166</v>
      </c>
      <c r="AN824" s="57">
        <f>IFERROR(__xludf.DUMMYFUNCTION("""COMPUTED_VALUE"""),1.178664289732104)</f>
        <v>1.17866429</v>
      </c>
      <c r="AO824" s="57">
        <f>IFERROR(__xludf.DUMMYFUNCTION("""COMPUTED_VALUE"""),0.9443158993650941)</f>
        <v>0.9443158994</v>
      </c>
      <c r="AP824" s="35">
        <f>IFERROR(__xludf.DUMMYFUNCTION("""COMPUTED_VALUE"""),0.7873467408358042)</f>
        <v>0.7873467408</v>
      </c>
      <c r="AQ824" s="57">
        <f>IFERROR(__xludf.DUMMYFUNCTION("""COMPUTED_VALUE"""),1.0191492915203115)</f>
        <v>1.019149292</v>
      </c>
      <c r="AR824" s="36" t="b">
        <f>IFERROR(__xludf.DUMMYFUNCTION("""COMPUTED_VALUE"""),TRUE)</f>
        <v>1</v>
      </c>
      <c r="AS824" s="57"/>
      <c r="AT824" s="37"/>
      <c r="AU824" s="30"/>
      <c r="AV824" s="30"/>
      <c r="AW824" s="30"/>
      <c r="AX824" s="30"/>
      <c r="AY824" s="30"/>
      <c r="AZ824" s="30"/>
    </row>
    <row r="825">
      <c r="A825" s="30" t="str">
        <f>IFERROR(__xludf.DUMMYFUNCTION("""COMPUTED_VALUE"""),"Veteran")</f>
        <v>Veteran</v>
      </c>
      <c r="B825" s="30" t="str">
        <f>IFERROR(__xludf.DUMMYFUNCTION("""COMPUTED_VALUE"""),"RSC007607")</f>
        <v>RSC007607</v>
      </c>
      <c r="C825" s="30" t="str">
        <f>IFERROR(__xludf.DUMMYFUNCTION("""COMPUTED_VALUE"""),"GameGang")</f>
        <v>GameGang</v>
      </c>
      <c r="D825" s="31" t="str">
        <f>IFERROR(__xludf.DUMMYFUNCTION("""COMPUTED_VALUE"""),"Rockin Revenants")</f>
        <v>Rockin Revenants</v>
      </c>
      <c r="E825" s="31">
        <f>IFERROR(__xludf.DUMMYFUNCTION("""COMPUTED_VALUE"""),41.107044449704155)</f>
        <v>41.10704445</v>
      </c>
      <c r="F825" s="31">
        <f>IFERROR(__xludf.DUMMYFUNCTION("""COMPUTED_VALUE"""),-2.769885154356257)</f>
        <v>-2.769885154</v>
      </c>
      <c r="G825" s="31">
        <f>IFERROR(__xludf.DUMMYFUNCTION("""COMPUTED_VALUE"""),28.33862105819454)</f>
        <v>28.33862106</v>
      </c>
      <c r="H825" s="31">
        <f>IFERROR(__xludf.DUMMYFUNCTION("""COMPUTED_VALUE"""),-5.178119447794761)</f>
        <v>-5.178119448</v>
      </c>
      <c r="I825" s="54">
        <f>IFERROR(__xludf.DUMMYFUNCTION("""COMPUTED_VALUE"""),43.0)</f>
        <v>43</v>
      </c>
      <c r="J825" s="55">
        <f>IFERROR(__xludf.DUMMYFUNCTION("""COMPUTED_VALUE"""),21.0)</f>
        <v>21</v>
      </c>
      <c r="K825" s="54">
        <f>IFERROR(__xludf.DUMMYFUNCTION("""COMPUTED_VALUE"""),22.0)</f>
        <v>22</v>
      </c>
      <c r="L825" s="56">
        <f>IFERROR(__xludf.DUMMYFUNCTION("""COMPUTED_VALUE"""),0.4883720930232558)</f>
        <v>0.488372093</v>
      </c>
      <c r="M825" s="56">
        <f>IFERROR(__xludf.DUMMYFUNCTION("""COMPUTED_VALUE"""),0.24489795918367346)</f>
        <v>0.2448979592</v>
      </c>
      <c r="N825" s="31">
        <f>IFERROR(__xludf.DUMMYFUNCTION("""COMPUTED_VALUE"""),296.30232558139534)</f>
        <v>296.3023256</v>
      </c>
      <c r="O825" s="57">
        <f>IFERROR(__xludf.DUMMYFUNCTION("""COMPUTED_VALUE"""),0.5581395348837209)</f>
        <v>0.5581395349</v>
      </c>
      <c r="P825" s="57">
        <f>IFERROR(__xludf.DUMMYFUNCTION("""COMPUTED_VALUE"""),0.7441860465116279)</f>
        <v>0.7441860465</v>
      </c>
      <c r="Q825" s="57">
        <f>IFERROR(__xludf.DUMMYFUNCTION("""COMPUTED_VALUE"""),0.8604651162790697)</f>
        <v>0.8604651163</v>
      </c>
      <c r="R825" s="57">
        <f>IFERROR(__xludf.DUMMYFUNCTION("""COMPUTED_VALUE"""),2.2790697674418605)</f>
        <v>2.279069767</v>
      </c>
      <c r="S825" s="31">
        <f>IFERROR(__xludf.DUMMYFUNCTION("""COMPUTED_VALUE"""),359.86821705426354)</f>
        <v>359.8682171</v>
      </c>
      <c r="T825" s="57">
        <f>IFERROR(__xludf.DUMMYFUNCTION("""COMPUTED_VALUE"""),0.7829457364341086)</f>
        <v>0.7829457364</v>
      </c>
      <c r="U825" s="57">
        <f>IFERROR(__xludf.DUMMYFUNCTION("""COMPUTED_VALUE"""),0.6201550387596899)</f>
        <v>0.6201550388</v>
      </c>
      <c r="V825" s="57">
        <f>IFERROR(__xludf.DUMMYFUNCTION("""COMPUTED_VALUE"""),1.3488372093023255)</f>
        <v>1.348837209</v>
      </c>
      <c r="W825" s="57">
        <f>IFERROR(__xludf.DUMMYFUNCTION("""COMPUTED_VALUE"""),2.589147286821705)</f>
        <v>2.589147287</v>
      </c>
      <c r="X825" s="31">
        <f>IFERROR(__xludf.DUMMYFUNCTION("""COMPUTED_VALUE"""),358.71956089048774)</f>
        <v>358.7195609</v>
      </c>
      <c r="Y825" s="57">
        <f>IFERROR(__xludf.DUMMYFUNCTION("""COMPUTED_VALUE"""),0.8295435816997697)</f>
        <v>0.8295435817</v>
      </c>
      <c r="Z825" s="57">
        <f>IFERROR(__xludf.DUMMYFUNCTION("""COMPUTED_VALUE"""),0.585027906510306)</f>
        <v>0.5850279065</v>
      </c>
      <c r="AA825" s="57">
        <f>IFERROR(__xludf.DUMMYFUNCTION("""COMPUTED_VALUE"""),1.3542791179294276)</f>
        <v>1.354279118</v>
      </c>
      <c r="AB825" s="57">
        <f>IFERROR(__xludf.DUMMYFUNCTION("""COMPUTED_VALUE"""),2.694913718726177)</f>
        <v>2.694913719</v>
      </c>
      <c r="AC825" s="31">
        <f>IFERROR(__xludf.DUMMYFUNCTION("""COMPUTED_VALUE"""),365.6152960545077)</f>
        <v>365.6152961</v>
      </c>
      <c r="AD825" s="57">
        <f>IFERROR(__xludf.DUMMYFUNCTION("""COMPUTED_VALUE"""),0.8395711615422335)</f>
        <v>0.8395711615</v>
      </c>
      <c r="AE825" s="57">
        <f>IFERROR(__xludf.DUMMYFUNCTION("""COMPUTED_VALUE"""),0.6213207343072744)</f>
        <v>0.6213207343</v>
      </c>
      <c r="AF825" s="57">
        <f>IFERROR(__xludf.DUMMYFUNCTION("""COMPUTED_VALUE"""),1.3828284738183412)</f>
        <v>1.382828474</v>
      </c>
      <c r="AG825" s="57">
        <f>IFERROR(__xludf.DUMMYFUNCTION("""COMPUTED_VALUE"""),2.6999611292144854)</f>
        <v>2.699961129</v>
      </c>
      <c r="AH825" s="57">
        <f>IFERROR(__xludf.DUMMYFUNCTION("""COMPUTED_VALUE"""),0.8104210321037038)</f>
        <v>0.8104210321</v>
      </c>
      <c r="AI825" s="57">
        <f>IFERROR(__xludf.DUMMYFUNCTION("""COMPUTED_VALUE"""),0.6647912177670057)</f>
        <v>0.6647912178</v>
      </c>
      <c r="AJ825" s="57">
        <f>IFERROR(__xludf.DUMMYFUNCTION("""COMPUTED_VALUE"""),1.1977486110154347)</f>
        <v>1.197748611</v>
      </c>
      <c r="AK825" s="57">
        <f>IFERROR(__xludf.DUMMYFUNCTION("""COMPUTED_VALUE"""),0.6222500711914809)</f>
        <v>0.6222500712</v>
      </c>
      <c r="AL825" s="57">
        <f>IFERROR(__xludf.DUMMYFUNCTION("""COMPUTED_VALUE"""),0.8441120662003467)</f>
        <v>0.8441120662</v>
      </c>
      <c r="AM825" s="57">
        <f>IFERROR(__xludf.DUMMYFUNCTION("""COMPUTED_VALUE"""),1.0032021007188021)</f>
        <v>1.003202101</v>
      </c>
      <c r="AN825" s="57">
        <f>IFERROR(__xludf.DUMMYFUNCTION("""COMPUTED_VALUE"""),0.9438271282020166)</f>
        <v>0.9438271282</v>
      </c>
      <c r="AO825" s="57">
        <f>IFERROR(__xludf.DUMMYFUNCTION("""COMPUTED_VALUE"""),1.0600435156314463)</f>
        <v>1.060043516</v>
      </c>
      <c r="AP825" s="35">
        <f>IFERROR(__xludf.DUMMYFUNCTION("""COMPUTED_VALUE"""),0.9959816934669847)</f>
        <v>0.9959816935</v>
      </c>
      <c r="AQ825" s="57">
        <f>IFERROR(__xludf.DUMMYFUNCTION("""COMPUTED_VALUE"""),0.9607533142268966)</f>
        <v>0.9607533142</v>
      </c>
      <c r="AR825" s="36" t="b">
        <f>IFERROR(__xludf.DUMMYFUNCTION("""COMPUTED_VALUE"""),TRUE)</f>
        <v>1</v>
      </c>
      <c r="AS825" s="57"/>
      <c r="AT825" s="37"/>
      <c r="AU825" s="30"/>
      <c r="AV825" s="30"/>
      <c r="AW825" s="30"/>
      <c r="AX825" s="30"/>
      <c r="AY825" s="30"/>
      <c r="AZ825" s="30"/>
    </row>
    <row r="826">
      <c r="A826" s="30" t="str">
        <f>IFERROR(__xludf.DUMMYFUNCTION("""COMPUTED_VALUE"""),"Veteran")</f>
        <v>Veteran</v>
      </c>
      <c r="B826" s="30" t="str">
        <f>IFERROR(__xludf.DUMMYFUNCTION("""COMPUTED_VALUE"""),"RSC000156")</f>
        <v>RSC000156</v>
      </c>
      <c r="C826" s="30" t="str">
        <f>IFERROR(__xludf.DUMMYFUNCTION("""COMPUTED_VALUE"""),"Drupenson")</f>
        <v>Drupenson</v>
      </c>
      <c r="D826" s="31"/>
      <c r="E826" s="31">
        <f>IFERROR(__xludf.DUMMYFUNCTION("""COMPUTED_VALUE"""),41.09646624285709)</f>
        <v>41.09646624</v>
      </c>
      <c r="F826" s="31">
        <f>IFERROR(__xludf.DUMMYFUNCTION("""COMPUTED_VALUE"""),-2.7711013032704805)</f>
        <v>-2.771101303</v>
      </c>
      <c r="G826" s="31">
        <f>IFERROR(__xludf.DUMMYFUNCTION("""COMPUTED_VALUE"""),43.567465228865736)</f>
        <v>43.56746523</v>
      </c>
      <c r="H826" s="31">
        <f>IFERROR(__xludf.DUMMYFUNCTION("""COMPUTED_VALUE"""),-2.5095799486165116)</f>
        <v>-2.509579949</v>
      </c>
      <c r="I826" s="54">
        <f>IFERROR(__xludf.DUMMYFUNCTION("""COMPUTED_VALUE"""),6.0)</f>
        <v>6</v>
      </c>
      <c r="J826" s="55">
        <f>IFERROR(__xludf.DUMMYFUNCTION("""COMPUTED_VALUE"""),2.0)</f>
        <v>2</v>
      </c>
      <c r="K826" s="54">
        <f>IFERROR(__xludf.DUMMYFUNCTION("""COMPUTED_VALUE"""),4.0)</f>
        <v>4</v>
      </c>
      <c r="L826" s="56">
        <f>IFERROR(__xludf.DUMMYFUNCTION("""COMPUTED_VALUE"""),0.3333333333333333)</f>
        <v>0.3333333333</v>
      </c>
      <c r="M826" s="56">
        <f>IFERROR(__xludf.DUMMYFUNCTION("""COMPUTED_VALUE"""),0.4117647058823529)</f>
        <v>0.4117647059</v>
      </c>
      <c r="N826" s="31">
        <f>IFERROR(__xludf.DUMMYFUNCTION("""COMPUTED_VALUE"""),303.6666666666667)</f>
        <v>303.6666667</v>
      </c>
      <c r="O826" s="57">
        <f>IFERROR(__xludf.DUMMYFUNCTION("""COMPUTED_VALUE"""),1.1666666666666667)</f>
        <v>1.166666667</v>
      </c>
      <c r="P826" s="57">
        <f>IFERROR(__xludf.DUMMYFUNCTION("""COMPUTED_VALUE"""),0.0)</f>
        <v>0</v>
      </c>
      <c r="Q826" s="57">
        <f>IFERROR(__xludf.DUMMYFUNCTION("""COMPUTED_VALUE"""),0.5)</f>
        <v>0.5</v>
      </c>
      <c r="R826" s="57">
        <f>IFERROR(__xludf.DUMMYFUNCTION("""COMPUTED_VALUE"""),2.8333333333333335)</f>
        <v>2.833333333</v>
      </c>
      <c r="S826" s="31">
        <f>IFERROR(__xludf.DUMMYFUNCTION("""COMPUTED_VALUE"""),334.72222222222223)</f>
        <v>334.7222222</v>
      </c>
      <c r="T826" s="57">
        <f>IFERROR(__xludf.DUMMYFUNCTION("""COMPUTED_VALUE"""),0.888888888888889)</f>
        <v>0.8888888889</v>
      </c>
      <c r="U826" s="57">
        <f>IFERROR(__xludf.DUMMYFUNCTION("""COMPUTED_VALUE"""),0.6666666666666666)</f>
        <v>0.6666666667</v>
      </c>
      <c r="V826" s="57">
        <f>IFERROR(__xludf.DUMMYFUNCTION("""COMPUTED_VALUE"""),0.9999999999999999)</f>
        <v>1</v>
      </c>
      <c r="W826" s="57">
        <f>IFERROR(__xludf.DUMMYFUNCTION("""COMPUTED_VALUE"""),2.055555555555556)</f>
        <v>2.055555556</v>
      </c>
      <c r="X826" s="31">
        <f>IFERROR(__xludf.DUMMYFUNCTION("""COMPUTED_VALUE"""),360.138710708899)</f>
        <v>360.1387107</v>
      </c>
      <c r="Y826" s="57">
        <f>IFERROR(__xludf.DUMMYFUNCTION("""COMPUTED_VALUE"""),0.8024465991210743)</f>
        <v>0.8024465991</v>
      </c>
      <c r="Z826" s="57">
        <f>IFERROR(__xludf.DUMMYFUNCTION("""COMPUTED_VALUE"""),0.5735211803013222)</f>
        <v>0.5735211803</v>
      </c>
      <c r="AA826" s="57">
        <f>IFERROR(__xludf.DUMMYFUNCTION("""COMPUTED_VALUE"""),1.4194980340671304)</f>
        <v>1.419498034</v>
      </c>
      <c r="AB826" s="57">
        <f>IFERROR(__xludf.DUMMYFUNCTION("""COMPUTED_VALUE"""),2.4865112556078923)</f>
        <v>2.486511256</v>
      </c>
      <c r="AC826" s="31">
        <f>IFERROR(__xludf.DUMMYFUNCTION("""COMPUTED_VALUE"""),360.9366049612545)</f>
        <v>360.936605</v>
      </c>
      <c r="AD826" s="57">
        <f>IFERROR(__xludf.DUMMYFUNCTION("""COMPUTED_VALUE"""),0.8701680375974187)</f>
        <v>0.8701680376</v>
      </c>
      <c r="AE826" s="57">
        <f>IFERROR(__xludf.DUMMYFUNCTION("""COMPUTED_VALUE"""),0.614449776004086)</f>
        <v>0.614449776</v>
      </c>
      <c r="AF826" s="57">
        <f>IFERROR(__xludf.DUMMYFUNCTION("""COMPUTED_VALUE"""),1.2327167765708016)</f>
        <v>1.232716777</v>
      </c>
      <c r="AG826" s="57">
        <f>IFERROR(__xludf.DUMMYFUNCTION("""COMPUTED_VALUE"""),2.8983575442268408)</f>
        <v>2.898357544</v>
      </c>
      <c r="AH826" s="57">
        <f>IFERROR(__xludf.DUMMYFUNCTION("""COMPUTED_VALUE"""),0.8413296476240321)</f>
        <v>0.8413296476</v>
      </c>
      <c r="AI826" s="57">
        <f>IFERROR(__xludf.DUMMYFUNCTION("""COMPUTED_VALUE"""),1.3407372096634311)</f>
        <v>1.34073721</v>
      </c>
      <c r="AJ826" s="57">
        <f>IFERROR(__xludf.DUMMYFUNCTION("""COMPUTED_VALUE"""),0.0)</f>
        <v>0</v>
      </c>
      <c r="AK826" s="57">
        <f>IFERROR(__xludf.DUMMYFUNCTION("""COMPUTED_VALUE"""),0.40560817334774246)</f>
        <v>0.4056081733</v>
      </c>
      <c r="AL826" s="57">
        <f>IFERROR(__xludf.DUMMYFUNCTION("""COMPUTED_VALUE"""),0.9775651520210034)</f>
        <v>0.977565152</v>
      </c>
      <c r="AM826" s="57">
        <f>IFERROR(__xludf.DUMMYFUNCTION("""COMPUTED_VALUE"""),0.9294258358490627)</f>
        <v>0.9294258358</v>
      </c>
      <c r="AN826" s="57">
        <f>IFERROR(__xludf.DUMMYFUNCTION("""COMPUTED_VALUE"""),1.1077234171875057)</f>
        <v>1.107723417</v>
      </c>
      <c r="AO826" s="57">
        <f>IFERROR(__xludf.DUMMYFUNCTION("""COMPUTED_VALUE"""),1.1624098456423297)</f>
        <v>1.162409846</v>
      </c>
      <c r="AP826" s="35">
        <f>IFERROR(__xludf.DUMMYFUNCTION("""COMPUTED_VALUE"""),0.7044743817888995)</f>
        <v>0.7044743818</v>
      </c>
      <c r="AQ826" s="57">
        <f>IFERROR(__xludf.DUMMYFUNCTION("""COMPUTED_VALUE"""),0.8266825862620203)</f>
        <v>0.8266825863</v>
      </c>
      <c r="AR826" s="36" t="b">
        <f>IFERROR(__xludf.DUMMYFUNCTION("""COMPUTED_VALUE"""),TRUE)</f>
        <v>1</v>
      </c>
      <c r="AS826" s="57"/>
      <c r="AT826" s="37"/>
      <c r="AU826" s="30"/>
      <c r="AV826" s="30"/>
      <c r="AW826" s="30"/>
      <c r="AX826" s="30"/>
      <c r="AY826" s="30"/>
      <c r="AZ826" s="30"/>
    </row>
    <row r="827">
      <c r="A827" s="30" t="str">
        <f>IFERROR(__xludf.DUMMYFUNCTION("""COMPUTED_VALUE"""),"Veteran")</f>
        <v>Veteran</v>
      </c>
      <c r="B827" s="30" t="str">
        <f>IFERROR(__xludf.DUMMYFUNCTION("""COMPUTED_VALUE"""),"RSC007443")</f>
        <v>RSC007443</v>
      </c>
      <c r="C827" s="30" t="str">
        <f>IFERROR(__xludf.DUMMYFUNCTION("""COMPUTED_VALUE"""),"Allusion.-.")</f>
        <v>Allusion.-.</v>
      </c>
      <c r="D827" s="31" t="str">
        <f>IFERROR(__xludf.DUMMYFUNCTION("""COMPUTED_VALUE"""),"Possessed")</f>
        <v>Possessed</v>
      </c>
      <c r="E827" s="31">
        <f>IFERROR(__xludf.DUMMYFUNCTION("""COMPUTED_VALUE"""),40.20149875368796)</f>
        <v>40.20149875</v>
      </c>
      <c r="F827" s="31">
        <f>IFERROR(__xludf.DUMMYFUNCTION("""COMPUTED_VALUE"""),-2.8772734537113087)</f>
        <v>-2.877273454</v>
      </c>
      <c r="G827" s="31">
        <f>IFERROR(__xludf.DUMMYFUNCTION("""COMPUTED_VALUE"""),47.127997687161375)</f>
        <v>47.12799769</v>
      </c>
      <c r="H827" s="31">
        <f>IFERROR(__xludf.DUMMYFUNCTION("""COMPUTED_VALUE"""),-2.2013336098717415)</f>
        <v>-2.20133361</v>
      </c>
      <c r="I827" s="54">
        <f>IFERROR(__xludf.DUMMYFUNCTION("""COMPUTED_VALUE"""),24.0)</f>
        <v>24</v>
      </c>
      <c r="J827" s="55">
        <f>IFERROR(__xludf.DUMMYFUNCTION("""COMPUTED_VALUE"""),12.0)</f>
        <v>12</v>
      </c>
      <c r="K827" s="54">
        <f>IFERROR(__xludf.DUMMYFUNCTION("""COMPUTED_VALUE"""),12.0)</f>
        <v>12</v>
      </c>
      <c r="L827" s="56">
        <f>IFERROR(__xludf.DUMMYFUNCTION("""COMPUTED_VALUE"""),0.5)</f>
        <v>0.5</v>
      </c>
      <c r="M827" s="56">
        <f>IFERROR(__xludf.DUMMYFUNCTION("""COMPUTED_VALUE"""),0.35294117647058826)</f>
        <v>0.3529411765</v>
      </c>
      <c r="N827" s="31">
        <f>IFERROR(__xludf.DUMMYFUNCTION("""COMPUTED_VALUE"""),319.9166666666667)</f>
        <v>319.9166667</v>
      </c>
      <c r="O827" s="57">
        <f>IFERROR(__xludf.DUMMYFUNCTION("""COMPUTED_VALUE"""),0.75)</f>
        <v>0.75</v>
      </c>
      <c r="P827" s="57">
        <f>IFERROR(__xludf.DUMMYFUNCTION("""COMPUTED_VALUE"""),0.4583333333333333)</f>
        <v>0.4583333333</v>
      </c>
      <c r="Q827" s="57">
        <f>IFERROR(__xludf.DUMMYFUNCTION("""COMPUTED_VALUE"""),1.25)</f>
        <v>1.25</v>
      </c>
      <c r="R827" s="57">
        <f>IFERROR(__xludf.DUMMYFUNCTION("""COMPUTED_VALUE"""),2.125)</f>
        <v>2.125</v>
      </c>
      <c r="S827" s="31">
        <f>IFERROR(__xludf.DUMMYFUNCTION("""COMPUTED_VALUE"""),348.9166666666665)</f>
        <v>348.9166667</v>
      </c>
      <c r="T827" s="57">
        <f>IFERROR(__xludf.DUMMYFUNCTION("""COMPUTED_VALUE"""),0.8055555555555557)</f>
        <v>0.8055555556</v>
      </c>
      <c r="U827" s="57">
        <f>IFERROR(__xludf.DUMMYFUNCTION("""COMPUTED_VALUE"""),0.5555555555555556)</f>
        <v>0.5555555556</v>
      </c>
      <c r="V827" s="57">
        <f>IFERROR(__xludf.DUMMYFUNCTION("""COMPUTED_VALUE"""),1.2638888888888886)</f>
        <v>1.263888889</v>
      </c>
      <c r="W827" s="57">
        <f>IFERROR(__xludf.DUMMYFUNCTION("""COMPUTED_VALUE"""),2.263888888888889)</f>
        <v>2.263888889</v>
      </c>
      <c r="X827" s="31">
        <f>IFERROR(__xludf.DUMMYFUNCTION("""COMPUTED_VALUE"""),348.99513295415977)</f>
        <v>348.995133</v>
      </c>
      <c r="Y827" s="57">
        <f>IFERROR(__xludf.DUMMYFUNCTION("""COMPUTED_VALUE"""),0.758797201619744)</f>
        <v>0.7587972016</v>
      </c>
      <c r="Z827" s="57">
        <f>IFERROR(__xludf.DUMMYFUNCTION("""COMPUTED_VALUE"""),0.5409553156770929)</f>
        <v>0.5409553157</v>
      </c>
      <c r="AA827" s="57">
        <f>IFERROR(__xludf.DUMMYFUNCTION("""COMPUTED_VALUE"""),1.3626091507157845)</f>
        <v>1.362609151</v>
      </c>
      <c r="AB827" s="57">
        <f>IFERROR(__xludf.DUMMYFUNCTION("""COMPUTED_VALUE"""),2.526013954579996)</f>
        <v>2.526013955</v>
      </c>
      <c r="AC827" s="31">
        <f>IFERROR(__xludf.DUMMYFUNCTION("""COMPUTED_VALUE"""),353.7963726450339)</f>
        <v>353.7963726</v>
      </c>
      <c r="AD827" s="57">
        <f>IFERROR(__xludf.DUMMYFUNCTION("""COMPUTED_VALUE"""),0.8058756533289569)</f>
        <v>0.8058756533</v>
      </c>
      <c r="AE827" s="57">
        <f>IFERROR(__xludf.DUMMYFUNCTION("""COMPUTED_VALUE"""),0.583962586863125)</f>
        <v>0.5839625869</v>
      </c>
      <c r="AF827" s="57">
        <f>IFERROR(__xludf.DUMMYFUNCTION("""COMPUTED_VALUE"""),1.3257241592627198)</f>
        <v>1.325724159</v>
      </c>
      <c r="AG827" s="57">
        <f>IFERROR(__xludf.DUMMYFUNCTION("""COMPUTED_VALUE"""),2.6269986564110774)</f>
        <v>2.626998656</v>
      </c>
      <c r="AH827" s="57">
        <f>IFERROR(__xludf.DUMMYFUNCTION("""COMPUTED_VALUE"""),0.9042395326863373)</f>
        <v>0.9042395327</v>
      </c>
      <c r="AI827" s="57">
        <f>IFERROR(__xludf.DUMMYFUNCTION("""COMPUTED_VALUE"""),0.9306646712825452)</f>
        <v>0.9306646713</v>
      </c>
      <c r="AJ827" s="57">
        <f>IFERROR(__xludf.DUMMYFUNCTION("""COMPUTED_VALUE"""),0.784867633036844)</f>
        <v>0.784867633</v>
      </c>
      <c r="AK827" s="57">
        <f>IFERROR(__xludf.DUMMYFUNCTION("""COMPUTED_VALUE"""),0.9428809087217415)</f>
        <v>0.9428809087</v>
      </c>
      <c r="AL827" s="57">
        <f>IFERROR(__xludf.DUMMYFUNCTION("""COMPUTED_VALUE"""),0.8089079127673052)</f>
        <v>0.8089079128</v>
      </c>
      <c r="AM827" s="57">
        <f>IFERROR(__xludf.DUMMYFUNCTION("""COMPUTED_VALUE"""),0.9997751650952005)</f>
        <v>0.9997751651</v>
      </c>
      <c r="AN827" s="57">
        <f>IFERROR(__xludf.DUMMYFUNCTION("""COMPUTED_VALUE"""),1.0616216741917346)</f>
        <v>1.061621674</v>
      </c>
      <c r="AO827" s="57">
        <f>IFERROR(__xludf.DUMMYFUNCTION("""COMPUTED_VALUE"""),1.0269897336348164)</f>
        <v>1.026989734</v>
      </c>
      <c r="AP827" s="35">
        <f>IFERROR(__xludf.DUMMYFUNCTION("""COMPUTED_VALUE"""),0.9275505659307823)</f>
        <v>0.9275505659</v>
      </c>
      <c r="AQ827" s="57">
        <f>IFERROR(__xludf.DUMMYFUNCTION("""COMPUTED_VALUE"""),0.8962297634120985)</f>
        <v>0.8962297634</v>
      </c>
      <c r="AR827" s="36" t="b">
        <f>IFERROR(__xludf.DUMMYFUNCTION("""COMPUTED_VALUE"""),TRUE)</f>
        <v>1</v>
      </c>
      <c r="AS827" s="57"/>
      <c r="AT827" s="37"/>
      <c r="AU827" s="30"/>
      <c r="AV827" s="30"/>
      <c r="AW827" s="30"/>
      <c r="AX827" s="30"/>
      <c r="AY827" s="30"/>
      <c r="AZ827" s="30"/>
    </row>
    <row r="828">
      <c r="A828" s="30" t="str">
        <f>IFERROR(__xludf.DUMMYFUNCTION("""COMPUTED_VALUE"""),"Veteran")</f>
        <v>Veteran</v>
      </c>
      <c r="B828" s="30" t="str">
        <f>IFERROR(__xludf.DUMMYFUNCTION("""COMPUTED_VALUE"""),"RSC006128")</f>
        <v>RSC006128</v>
      </c>
      <c r="C828" s="30" t="str">
        <f>IFERROR(__xludf.DUMMYFUNCTION("""COMPUTED_VALUE"""),"anth0tex")</f>
        <v>anth0tex</v>
      </c>
      <c r="D828" s="31" t="str">
        <f>IFERROR(__xludf.DUMMYFUNCTION("""COMPUTED_VALUE"""),"Azalea")</f>
        <v>Azalea</v>
      </c>
      <c r="E828" s="31">
        <f>IFERROR(__xludf.DUMMYFUNCTION("""COMPUTED_VALUE"""),39.70629906103623)</f>
        <v>39.70629906</v>
      </c>
      <c r="F828" s="31">
        <f>IFERROR(__xludf.DUMMYFUNCTION("""COMPUTED_VALUE"""),-2.9389112988612656)</f>
        <v>-2.938911299</v>
      </c>
      <c r="G828" s="31">
        <f>IFERROR(__xludf.DUMMYFUNCTION("""COMPUTED_VALUE"""),32.1023668754664)</f>
        <v>32.10236688</v>
      </c>
      <c r="H828" s="31">
        <f>IFERROR(__xludf.DUMMYFUNCTION("""COMPUTED_VALUE"""),-4.218965933489468)</f>
        <v>-4.218965933</v>
      </c>
      <c r="I828" s="54">
        <f>IFERROR(__xludf.DUMMYFUNCTION("""COMPUTED_VALUE"""),39.0)</f>
        <v>39</v>
      </c>
      <c r="J828" s="55">
        <f>IFERROR(__xludf.DUMMYFUNCTION("""COMPUTED_VALUE"""),17.0)</f>
        <v>17</v>
      </c>
      <c r="K828" s="54">
        <f>IFERROR(__xludf.DUMMYFUNCTION("""COMPUTED_VALUE"""),22.0)</f>
        <v>22</v>
      </c>
      <c r="L828" s="56">
        <f>IFERROR(__xludf.DUMMYFUNCTION("""COMPUTED_VALUE"""),0.4358974358974359)</f>
        <v>0.4358974359</v>
      </c>
      <c r="M828" s="56">
        <f>IFERROR(__xludf.DUMMYFUNCTION("""COMPUTED_VALUE"""),0.35227272727272724)</f>
        <v>0.3522727273</v>
      </c>
      <c r="N828" s="31">
        <f>IFERROR(__xludf.DUMMYFUNCTION("""COMPUTED_VALUE"""),325.61538461538464)</f>
        <v>325.6153846</v>
      </c>
      <c r="O828" s="57">
        <f>IFERROR(__xludf.DUMMYFUNCTION("""COMPUTED_VALUE"""),0.7948717948717948)</f>
        <v>0.7948717949</v>
      </c>
      <c r="P828" s="57">
        <f>IFERROR(__xludf.DUMMYFUNCTION("""COMPUTED_VALUE"""),0.3333333333333333)</f>
        <v>0.3333333333</v>
      </c>
      <c r="Q828" s="57">
        <f>IFERROR(__xludf.DUMMYFUNCTION("""COMPUTED_VALUE"""),1.4102564102564104)</f>
        <v>1.41025641</v>
      </c>
      <c r="R828" s="57">
        <f>IFERROR(__xludf.DUMMYFUNCTION("""COMPUTED_VALUE"""),2.2564102564102564)</f>
        <v>2.256410256</v>
      </c>
      <c r="S828" s="31">
        <f>IFERROR(__xludf.DUMMYFUNCTION("""COMPUTED_VALUE"""),352.7179487179487)</f>
        <v>352.7179487</v>
      </c>
      <c r="T828" s="57">
        <f>IFERROR(__xludf.DUMMYFUNCTION("""COMPUTED_VALUE"""),0.7948717948717948)</f>
        <v>0.7948717949</v>
      </c>
      <c r="U828" s="57">
        <f>IFERROR(__xludf.DUMMYFUNCTION("""COMPUTED_VALUE"""),0.5384615384615385)</f>
        <v>0.5384615385</v>
      </c>
      <c r="V828" s="57">
        <f>IFERROR(__xludf.DUMMYFUNCTION("""COMPUTED_VALUE"""),1.3931623931623933)</f>
        <v>1.393162393</v>
      </c>
      <c r="W828" s="57">
        <f>IFERROR(__xludf.DUMMYFUNCTION("""COMPUTED_VALUE"""),2.649572649572649)</f>
        <v>2.64957265</v>
      </c>
      <c r="X828" s="31">
        <f>IFERROR(__xludf.DUMMYFUNCTION("""COMPUTED_VALUE"""),358.69144313006564)</f>
        <v>358.6914431</v>
      </c>
      <c r="Y828" s="57">
        <f>IFERROR(__xludf.DUMMYFUNCTION("""COMPUTED_VALUE"""),0.7931075450460304)</f>
        <v>0.793107545</v>
      </c>
      <c r="Z828" s="57">
        <f>IFERROR(__xludf.DUMMYFUNCTION("""COMPUTED_VALUE"""),0.5742375881690089)</f>
        <v>0.5742375882</v>
      </c>
      <c r="AA828" s="57">
        <f>IFERROR(__xludf.DUMMYFUNCTION("""COMPUTED_VALUE"""),1.4164782602725525)</f>
        <v>1.41647826</v>
      </c>
      <c r="AB828" s="57">
        <f>IFERROR(__xludf.DUMMYFUNCTION("""COMPUTED_VALUE"""),2.6771673680000356)</f>
        <v>2.677167368</v>
      </c>
      <c r="AC828" s="31">
        <f>IFERROR(__xludf.DUMMYFUNCTION("""COMPUTED_VALUE"""),357.2049365530681)</f>
        <v>357.2049366</v>
      </c>
      <c r="AD828" s="57">
        <f>IFERROR(__xludf.DUMMYFUNCTION("""COMPUTED_VALUE"""),0.8008279478371553)</f>
        <v>0.8008279478</v>
      </c>
      <c r="AE828" s="57">
        <f>IFERROR(__xludf.DUMMYFUNCTION("""COMPUTED_VALUE"""),0.5867231852554814)</f>
        <v>0.5867231853</v>
      </c>
      <c r="AF828" s="57">
        <f>IFERROR(__xludf.DUMMYFUNCTION("""COMPUTED_VALUE"""),1.3990029779015107)</f>
        <v>1.399002978</v>
      </c>
      <c r="AG828" s="57">
        <f>IFERROR(__xludf.DUMMYFUNCTION("""COMPUTED_VALUE"""),2.6615183331776278)</f>
        <v>2.661518333</v>
      </c>
      <c r="AH828" s="57">
        <f>IFERROR(__xludf.DUMMYFUNCTION("""COMPUTED_VALUE"""),0.911564626618786)</f>
        <v>0.9115646266</v>
      </c>
      <c r="AI828" s="57">
        <f>IFERROR(__xludf.DUMMYFUNCTION("""COMPUTED_VALUE"""),0.9925625061145199)</f>
        <v>0.9925625061</v>
      </c>
      <c r="AJ828" s="57">
        <f>IFERROR(__xludf.DUMMYFUNCTION("""COMPUTED_VALUE"""),0.5681270856684953)</f>
        <v>0.5681270857</v>
      </c>
      <c r="AK828" s="57">
        <f>IFERROR(__xludf.DUMMYFUNCTION("""COMPUTED_VALUE"""),1.008043894496765)</f>
        <v>1.008043894</v>
      </c>
      <c r="AL828" s="57">
        <f>IFERROR(__xludf.DUMMYFUNCTION("""COMPUTED_VALUE"""),0.8477906119535511)</f>
        <v>0.847790612</v>
      </c>
      <c r="AM828" s="57">
        <f>IFERROR(__xludf.DUMMYFUNCTION("""COMPUTED_VALUE"""),0.9833464262208482)</f>
        <v>0.9833464262</v>
      </c>
      <c r="AN828" s="57">
        <f>IFERROR(__xludf.DUMMYFUNCTION("""COMPUTED_VALUE"""),1.0022244774202242)</f>
        <v>1.002224477</v>
      </c>
      <c r="AO828" s="57">
        <f>IFERROR(__xludf.DUMMYFUNCTION("""COMPUTED_VALUE"""),0.9376981750331871)</f>
        <v>0.937698175</v>
      </c>
      <c r="AP828" s="35">
        <f>IFERROR(__xludf.DUMMYFUNCTION("""COMPUTED_VALUE"""),0.9835395517431571)</f>
        <v>0.9835395517</v>
      </c>
      <c r="AQ828" s="57">
        <f>IFERROR(__xludf.DUMMYFUNCTION("""COMPUTED_VALUE"""),0.9896925688108917)</f>
        <v>0.9896925688</v>
      </c>
      <c r="AR828" s="36" t="b">
        <f>IFERROR(__xludf.DUMMYFUNCTION("""COMPUTED_VALUE"""),TRUE)</f>
        <v>1</v>
      </c>
      <c r="AS828" s="57"/>
      <c r="AT828" s="37"/>
      <c r="AU828" s="30"/>
      <c r="AV828" s="30"/>
      <c r="AW828" s="30"/>
      <c r="AX828" s="30"/>
      <c r="AY828" s="30"/>
      <c r="AZ828" s="30"/>
    </row>
    <row r="829">
      <c r="A829" s="30" t="str">
        <f>IFERROR(__xludf.DUMMYFUNCTION("""COMPUTED_VALUE"""),"Veteran")</f>
        <v>Veteran</v>
      </c>
      <c r="B829" s="30" t="str">
        <f>IFERROR(__xludf.DUMMYFUNCTION("""COMPUTED_VALUE"""),"RSC004229")</f>
        <v>RSC004229</v>
      </c>
      <c r="C829" s="30" t="str">
        <f>IFERROR(__xludf.DUMMYFUNCTION("""COMPUTED_VALUE"""),"doty")</f>
        <v>doty</v>
      </c>
      <c r="D829" s="31" t="str">
        <f>IFERROR(__xludf.DUMMYFUNCTION("""COMPUTED_VALUE"""),"Gouda Gangsters")</f>
        <v>Gouda Gangsters</v>
      </c>
      <c r="E829" s="31">
        <f>IFERROR(__xludf.DUMMYFUNCTION("""COMPUTED_VALUE"""),39.228947194109736)</f>
        <v>39.22894719</v>
      </c>
      <c r="F829" s="31">
        <f>IFERROR(__xludf.DUMMYFUNCTION("""COMPUTED_VALUE"""),-3.000375751398901)</f>
        <v>-3.000375751</v>
      </c>
      <c r="G829" s="31">
        <f>IFERROR(__xludf.DUMMYFUNCTION("""COMPUTED_VALUE"""),38.03535585294169)</f>
        <v>38.03535585</v>
      </c>
      <c r="H829" s="31">
        <f>IFERROR(__xludf.DUMMYFUNCTION("""COMPUTED_VALUE"""),-3.1633889779546367)</f>
        <v>-3.163388978</v>
      </c>
      <c r="I829" s="54">
        <f>IFERROR(__xludf.DUMMYFUNCTION("""COMPUTED_VALUE"""),34.0)</f>
        <v>34</v>
      </c>
      <c r="J829" s="55">
        <f>IFERROR(__xludf.DUMMYFUNCTION("""COMPUTED_VALUE"""),13.0)</f>
        <v>13</v>
      </c>
      <c r="K829" s="54">
        <f>IFERROR(__xludf.DUMMYFUNCTION("""COMPUTED_VALUE"""),21.0)</f>
        <v>21</v>
      </c>
      <c r="L829" s="56">
        <f>IFERROR(__xludf.DUMMYFUNCTION("""COMPUTED_VALUE"""),0.38235294117647056)</f>
        <v>0.3823529412</v>
      </c>
      <c r="M829" s="56">
        <f>IFERROR(__xludf.DUMMYFUNCTION("""COMPUTED_VALUE"""),0.2823529411764706)</f>
        <v>0.2823529412</v>
      </c>
      <c r="N829" s="31">
        <f>IFERROR(__xludf.DUMMYFUNCTION("""COMPUTED_VALUE"""),325.3529411764706)</f>
        <v>325.3529412</v>
      </c>
      <c r="O829" s="57">
        <f>IFERROR(__xludf.DUMMYFUNCTION("""COMPUTED_VALUE"""),0.7058823529411765)</f>
        <v>0.7058823529</v>
      </c>
      <c r="P829" s="57">
        <f>IFERROR(__xludf.DUMMYFUNCTION("""COMPUTED_VALUE"""),0.6764705882352942)</f>
        <v>0.6764705882</v>
      </c>
      <c r="Q829" s="57">
        <f>IFERROR(__xludf.DUMMYFUNCTION("""COMPUTED_VALUE"""),1.1764705882352942)</f>
        <v>1.176470588</v>
      </c>
      <c r="R829" s="57">
        <f>IFERROR(__xludf.DUMMYFUNCTION("""COMPUTED_VALUE"""),2.5)</f>
        <v>2.5</v>
      </c>
      <c r="S829" s="31">
        <f>IFERROR(__xludf.DUMMYFUNCTION("""COMPUTED_VALUE"""),402.32352941176464)</f>
        <v>402.3235294</v>
      </c>
      <c r="T829" s="57">
        <f>IFERROR(__xludf.DUMMYFUNCTION("""COMPUTED_VALUE"""),1.0784313725490196)</f>
        <v>1.078431373</v>
      </c>
      <c r="U829" s="57">
        <f>IFERROR(__xludf.DUMMYFUNCTION("""COMPUTED_VALUE"""),0.784313725490196)</f>
        <v>0.7843137255</v>
      </c>
      <c r="V829" s="57">
        <f>IFERROR(__xludf.DUMMYFUNCTION("""COMPUTED_VALUE"""),1.4019607843137252)</f>
        <v>1.401960784</v>
      </c>
      <c r="W829" s="57">
        <f>IFERROR(__xludf.DUMMYFUNCTION("""COMPUTED_VALUE"""),2.823529411764706)</f>
        <v>2.823529412</v>
      </c>
      <c r="X829" s="31">
        <f>IFERROR(__xludf.DUMMYFUNCTION("""COMPUTED_VALUE"""),352.09568786008623)</f>
        <v>352.0956879</v>
      </c>
      <c r="Y829" s="57">
        <f>IFERROR(__xludf.DUMMYFUNCTION("""COMPUTED_VALUE"""),0.7872322838711534)</f>
        <v>0.7872322839</v>
      </c>
      <c r="Z829" s="57">
        <f>IFERROR(__xludf.DUMMYFUNCTION("""COMPUTED_VALUE"""),0.5713204844132346)</f>
        <v>0.5713204844</v>
      </c>
      <c r="AA829" s="57">
        <f>IFERROR(__xludf.DUMMYFUNCTION("""COMPUTED_VALUE"""),1.3142664834161817)</f>
        <v>1.314266483</v>
      </c>
      <c r="AB829" s="57">
        <f>IFERROR(__xludf.DUMMYFUNCTION("""COMPUTED_VALUE"""),2.6158596318067344)</f>
        <v>2.615859632</v>
      </c>
      <c r="AC829" s="31">
        <f>IFERROR(__xludf.DUMMYFUNCTION("""COMPUTED_VALUE"""),355.6327253437061)</f>
        <v>355.6327253</v>
      </c>
      <c r="AD829" s="57">
        <f>IFERROR(__xludf.DUMMYFUNCTION("""COMPUTED_VALUE"""),0.7948867744249716)</f>
        <v>0.7948867744</v>
      </c>
      <c r="AE829" s="57">
        <f>IFERROR(__xludf.DUMMYFUNCTION("""COMPUTED_VALUE"""),0.5959333406656714)</f>
        <v>0.5959333407</v>
      </c>
      <c r="AF829" s="57">
        <f>IFERROR(__xludf.DUMMYFUNCTION("""COMPUTED_VALUE"""),1.3294034317454322)</f>
        <v>1.329403432</v>
      </c>
      <c r="AG829" s="57">
        <f>IFERROR(__xludf.DUMMYFUNCTION("""COMPUTED_VALUE"""),2.613348399131197)</f>
        <v>2.613348399</v>
      </c>
      <c r="AH829" s="57">
        <f>IFERROR(__xludf.DUMMYFUNCTION("""COMPUTED_VALUE"""),0.9148565865585874)</f>
        <v>0.9148565866</v>
      </c>
      <c r="AI829" s="57">
        <f>IFERROR(__xludf.DUMMYFUNCTION("""COMPUTED_VALUE"""),0.8880288056771586)</f>
        <v>0.8880288057</v>
      </c>
      <c r="AJ829" s="57">
        <f>IFERROR(__xludf.DUMMYFUNCTION("""COMPUTED_VALUE"""),1.1351447252131603)</f>
        <v>1.135144725</v>
      </c>
      <c r="AK829" s="57">
        <f>IFERROR(__xludf.DUMMYFUNCTION("""COMPUTED_VALUE"""),0.8849612992879476)</f>
        <v>0.8849612993</v>
      </c>
      <c r="AL829" s="57">
        <f>IFERROR(__xludf.DUMMYFUNCTION("""COMPUTED_VALUE"""),0.9566271381309589)</f>
        <v>0.9566271381</v>
      </c>
      <c r="AM829" s="57">
        <f>IFERROR(__xludf.DUMMYFUNCTION("""COMPUTED_VALUE"""),1.1426539525574584)</f>
        <v>1.142653953</v>
      </c>
      <c r="AN829" s="57">
        <f>IFERROR(__xludf.DUMMYFUNCTION("""COMPUTED_VALUE"""),1.369902371439745)</f>
        <v>1.369902371</v>
      </c>
      <c r="AO829" s="57">
        <f>IFERROR(__xludf.DUMMYFUNCTION("""COMPUTED_VALUE"""),1.3728086894971263)</f>
        <v>1.372808689</v>
      </c>
      <c r="AP829" s="35">
        <f>IFERROR(__xludf.DUMMYFUNCTION("""COMPUTED_VALUE"""),1.0667249009269406)</f>
        <v>1.066724901</v>
      </c>
      <c r="AQ829" s="57">
        <f>IFERROR(__xludf.DUMMYFUNCTION("""COMPUTED_VALUE"""),1.079388732267158)</f>
        <v>1.079388732</v>
      </c>
      <c r="AR829" s="36" t="b">
        <f>IFERROR(__xludf.DUMMYFUNCTION("""COMPUTED_VALUE"""),TRUE)</f>
        <v>1</v>
      </c>
      <c r="AS829" s="57"/>
      <c r="AT829" s="37"/>
      <c r="AU829" s="30"/>
      <c r="AV829" s="30"/>
      <c r="AW829" s="30"/>
      <c r="AX829" s="30"/>
      <c r="AY829" s="30"/>
      <c r="AZ829" s="30"/>
    </row>
    <row r="830">
      <c r="A830" s="30" t="str">
        <f>IFERROR(__xludf.DUMMYFUNCTION("""COMPUTED_VALUE"""),"Veteran")</f>
        <v>Veteran</v>
      </c>
      <c r="B830" s="30" t="str">
        <f>IFERROR(__xludf.DUMMYFUNCTION("""COMPUTED_VALUE"""),"RSC007888")</f>
        <v>RSC007888</v>
      </c>
      <c r="C830" s="30" t="str">
        <f>IFERROR(__xludf.DUMMYFUNCTION("""COMPUTED_VALUE"""),"SejRL")</f>
        <v>SejRL</v>
      </c>
      <c r="D830" s="31" t="str">
        <f>IFERROR(__xludf.DUMMYFUNCTION("""COMPUTED_VALUE"""),"Supernova")</f>
        <v>Supernova</v>
      </c>
      <c r="E830" s="31">
        <f>IFERROR(__xludf.DUMMYFUNCTION("""COMPUTED_VALUE"""),38.76032398155283)</f>
        <v>38.76032398</v>
      </c>
      <c r="F830" s="31">
        <f>IFERROR(__xludf.DUMMYFUNCTION("""COMPUTED_VALUE"""),-3.0627485159590546)</f>
        <v>-3.062748516</v>
      </c>
      <c r="G830" s="31">
        <f>IFERROR(__xludf.DUMMYFUNCTION("""COMPUTED_VALUE"""),44.0971841795064)</f>
        <v>44.09718418</v>
      </c>
      <c r="H830" s="31">
        <f>IFERROR(__xludf.DUMMYFUNCTION("""COMPUTED_VALUE"""),-2.4589803004495048)</f>
        <v>-2.4589803</v>
      </c>
      <c r="I830" s="54">
        <f>IFERROR(__xludf.DUMMYFUNCTION("""COMPUTED_VALUE"""),43.0)</f>
        <v>43</v>
      </c>
      <c r="J830" s="55">
        <f>IFERROR(__xludf.DUMMYFUNCTION("""COMPUTED_VALUE"""),14.0)</f>
        <v>14</v>
      </c>
      <c r="K830" s="54">
        <f>IFERROR(__xludf.DUMMYFUNCTION("""COMPUTED_VALUE"""),29.0)</f>
        <v>29</v>
      </c>
      <c r="L830" s="56">
        <f>IFERROR(__xludf.DUMMYFUNCTION("""COMPUTED_VALUE"""),0.32558139534883723)</f>
        <v>0.3255813953</v>
      </c>
      <c r="M830" s="56">
        <f>IFERROR(__xludf.DUMMYFUNCTION("""COMPUTED_VALUE"""),0.33695652173913043)</f>
        <v>0.3369565217</v>
      </c>
      <c r="N830" s="31">
        <f>IFERROR(__xludf.DUMMYFUNCTION("""COMPUTED_VALUE"""),350.8837209302326)</f>
        <v>350.8837209</v>
      </c>
      <c r="O830" s="57">
        <f>IFERROR(__xludf.DUMMYFUNCTION("""COMPUTED_VALUE"""),0.7209302325581395)</f>
        <v>0.7209302326</v>
      </c>
      <c r="P830" s="57">
        <f>IFERROR(__xludf.DUMMYFUNCTION("""COMPUTED_VALUE"""),0.5581395348837209)</f>
        <v>0.5581395349</v>
      </c>
      <c r="Q830" s="57">
        <f>IFERROR(__xludf.DUMMYFUNCTION("""COMPUTED_VALUE"""),1.4651162790697674)</f>
        <v>1.465116279</v>
      </c>
      <c r="R830" s="57">
        <f>IFERROR(__xludf.DUMMYFUNCTION("""COMPUTED_VALUE"""),2.13953488372093)</f>
        <v>2.139534884</v>
      </c>
      <c r="S830" s="31">
        <f>IFERROR(__xludf.DUMMYFUNCTION("""COMPUTED_VALUE"""),368.64341085271315)</f>
        <v>368.6434109</v>
      </c>
      <c r="T830" s="57">
        <f>IFERROR(__xludf.DUMMYFUNCTION("""COMPUTED_VALUE"""),1.015503875968992)</f>
        <v>1.015503876</v>
      </c>
      <c r="U830" s="57">
        <f>IFERROR(__xludf.DUMMYFUNCTION("""COMPUTED_VALUE"""),0.7209302325581396)</f>
        <v>0.7209302326</v>
      </c>
      <c r="V830" s="57">
        <f>IFERROR(__xludf.DUMMYFUNCTION("""COMPUTED_VALUE"""),1.0930232558139534)</f>
        <v>1.093023256</v>
      </c>
      <c r="W830" s="57">
        <f>IFERROR(__xludf.DUMMYFUNCTION("""COMPUTED_VALUE"""),2.914728682170543)</f>
        <v>2.914728682</v>
      </c>
      <c r="X830" s="31">
        <f>IFERROR(__xludf.DUMMYFUNCTION("""COMPUTED_VALUE"""),355.14236641418717)</f>
        <v>355.1423664</v>
      </c>
      <c r="Y830" s="57">
        <f>IFERROR(__xludf.DUMMYFUNCTION("""COMPUTED_VALUE"""),0.7864386895872925)</f>
        <v>0.7864386896</v>
      </c>
      <c r="Z830" s="57">
        <f>IFERROR(__xludf.DUMMYFUNCTION("""COMPUTED_VALUE"""),0.5887250164527954)</f>
        <v>0.5887250165</v>
      </c>
      <c r="AA830" s="57">
        <f>IFERROR(__xludf.DUMMYFUNCTION("""COMPUTED_VALUE"""),1.3619479762715214)</f>
        <v>1.361947976</v>
      </c>
      <c r="AB830" s="57">
        <f>IFERROR(__xludf.DUMMYFUNCTION("""COMPUTED_VALUE"""),2.5974505322020236)</f>
        <v>2.597450532</v>
      </c>
      <c r="AC830" s="31">
        <f>IFERROR(__xludf.DUMMYFUNCTION("""COMPUTED_VALUE"""),351.2208071500543)</f>
        <v>351.2208072</v>
      </c>
      <c r="AD830" s="57">
        <f>IFERROR(__xludf.DUMMYFUNCTION("""COMPUTED_VALUE"""),0.7841089217168203)</f>
        <v>0.7841089217</v>
      </c>
      <c r="AE830" s="57">
        <f>IFERROR(__xludf.DUMMYFUNCTION("""COMPUTED_VALUE"""),0.5592244779260002)</f>
        <v>0.5592244779</v>
      </c>
      <c r="AF830" s="57">
        <f>IFERROR(__xludf.DUMMYFUNCTION("""COMPUTED_VALUE"""),1.3216797122086876)</f>
        <v>1.321679712</v>
      </c>
      <c r="AG830" s="57">
        <f>IFERROR(__xludf.DUMMYFUNCTION("""COMPUTED_VALUE"""),2.636136799356419)</f>
        <v>2.636136799</v>
      </c>
      <c r="AH830" s="57">
        <f>IFERROR(__xludf.DUMMYFUNCTION("""COMPUTED_VALUE"""),0.9990402441627619)</f>
        <v>0.9990402442</v>
      </c>
      <c r="AI830" s="57">
        <f>IFERROR(__xludf.DUMMYFUNCTION("""COMPUTED_VALUE"""),0.9194261314864904)</f>
        <v>0.9194261315</v>
      </c>
      <c r="AJ830" s="57">
        <f>IFERROR(__xludf.DUMMYFUNCTION("""COMPUTED_VALUE"""),0.9980599149624083)</f>
        <v>0.998059915</v>
      </c>
      <c r="AK830" s="57">
        <f>IFERROR(__xludf.DUMMYFUNCTION("""COMPUTED_VALUE"""),1.1085259655089807)</f>
        <v>1.108525966</v>
      </c>
      <c r="AL830" s="57">
        <f>IFERROR(__xludf.DUMMYFUNCTION("""COMPUTED_VALUE"""),0.8116175474062165)</f>
        <v>0.8116175474</v>
      </c>
      <c r="AM830" s="57">
        <f>IFERROR(__xludf.DUMMYFUNCTION("""COMPUTED_VALUE"""),1.0380158655100593)</f>
        <v>1.038015866</v>
      </c>
      <c r="AN830" s="57">
        <f>IFERROR(__xludf.DUMMYFUNCTION("""COMPUTED_VALUE"""),1.2912689691066808)</f>
        <v>1.291268969</v>
      </c>
      <c r="AO830" s="57">
        <f>IFERROR(__xludf.DUMMYFUNCTION("""COMPUTED_VALUE"""),1.2245619133053174)</f>
        <v>1.224561913</v>
      </c>
      <c r="AP830" s="35">
        <f>IFERROR(__xludf.DUMMYFUNCTION("""COMPUTED_VALUE"""),0.8025440581116922)</f>
        <v>0.8025440581</v>
      </c>
      <c r="AQ830" s="57">
        <f>IFERROR(__xludf.DUMMYFUNCTION("""COMPUTED_VALUE"""),1.1221498334751894)</f>
        <v>1.122149833</v>
      </c>
      <c r="AR830" s="36" t="b">
        <f>IFERROR(__xludf.DUMMYFUNCTION("""COMPUTED_VALUE"""),TRUE)</f>
        <v>1</v>
      </c>
      <c r="AS830" s="57"/>
      <c r="AT830" s="37"/>
      <c r="AU830" s="30"/>
      <c r="AV830" s="30"/>
      <c r="AW830" s="30"/>
      <c r="AX830" s="30"/>
      <c r="AY830" s="30"/>
      <c r="AZ830" s="30"/>
    </row>
    <row r="831">
      <c r="A831" s="30" t="str">
        <f>IFERROR(__xludf.DUMMYFUNCTION("""COMPUTED_VALUE"""),"Veteran")</f>
        <v>Veteran</v>
      </c>
      <c r="B831" s="30" t="str">
        <f>IFERROR(__xludf.DUMMYFUNCTION("""COMPUTED_VALUE"""),"RSC007825")</f>
        <v>RSC007825</v>
      </c>
      <c r="C831" s="30" t="str">
        <f>IFERROR(__xludf.DUMMYFUNCTION("""COMPUTED_VALUE"""),"Acryonix")</f>
        <v>Acryonix</v>
      </c>
      <c r="D831" s="31" t="str">
        <f>IFERROR(__xludf.DUMMYFUNCTION("""COMPUTED_VALUE"""),"Slots")</f>
        <v>Slots</v>
      </c>
      <c r="E831" s="31">
        <f>IFERROR(__xludf.DUMMYFUNCTION("""COMPUTED_VALUE"""),38.42997363245619)</f>
        <v>38.42997363</v>
      </c>
      <c r="F831" s="31">
        <f>IFERROR(__xludf.DUMMYFUNCTION("""COMPUTED_VALUE"""),-3.1079694193819063)</f>
        <v>-3.107969419</v>
      </c>
      <c r="G831" s="31">
        <f>IFERROR(__xludf.DUMMYFUNCTION("""COMPUTED_VALUE"""),9.29000635523505)</f>
        <v>9.290006355</v>
      </c>
      <c r="H831" s="31">
        <f>IFERROR(__xludf.DUMMYFUNCTION("""COMPUTED_VALUE"""),-19.33485180462052)</f>
        <v>-19.3348518</v>
      </c>
      <c r="I831" s="54">
        <f>IFERROR(__xludf.DUMMYFUNCTION("""COMPUTED_VALUE"""),8.0)</f>
        <v>8</v>
      </c>
      <c r="J831" s="55">
        <f>IFERROR(__xludf.DUMMYFUNCTION("""COMPUTED_VALUE"""),4.0)</f>
        <v>4</v>
      </c>
      <c r="K831" s="54">
        <f>IFERROR(__xludf.DUMMYFUNCTION("""COMPUTED_VALUE"""),4.0)</f>
        <v>4</v>
      </c>
      <c r="L831" s="56">
        <f>IFERROR(__xludf.DUMMYFUNCTION("""COMPUTED_VALUE"""),0.5)</f>
        <v>0.5</v>
      </c>
      <c r="M831" s="56">
        <f>IFERROR(__xludf.DUMMYFUNCTION("""COMPUTED_VALUE"""),0.4444444444444444)</f>
        <v>0.4444444444</v>
      </c>
      <c r="N831" s="31">
        <f>IFERROR(__xludf.DUMMYFUNCTION("""COMPUTED_VALUE"""),339.5)</f>
        <v>339.5</v>
      </c>
      <c r="O831" s="57">
        <f>IFERROR(__xludf.DUMMYFUNCTION("""COMPUTED_VALUE"""),1.0)</f>
        <v>1</v>
      </c>
      <c r="P831" s="57">
        <f>IFERROR(__xludf.DUMMYFUNCTION("""COMPUTED_VALUE"""),0.125)</f>
        <v>0.125</v>
      </c>
      <c r="Q831" s="57">
        <f>IFERROR(__xludf.DUMMYFUNCTION("""COMPUTED_VALUE"""),1.375)</f>
        <v>1.375</v>
      </c>
      <c r="R831" s="57">
        <f>IFERROR(__xludf.DUMMYFUNCTION("""COMPUTED_VALUE"""),2.25)</f>
        <v>2.25</v>
      </c>
      <c r="S831" s="31">
        <f>IFERROR(__xludf.DUMMYFUNCTION("""COMPUTED_VALUE"""),394.79166666666663)</f>
        <v>394.7916667</v>
      </c>
      <c r="T831" s="57">
        <f>IFERROR(__xludf.DUMMYFUNCTION("""COMPUTED_VALUE"""),0.9583333333333333)</f>
        <v>0.9583333333</v>
      </c>
      <c r="U831" s="57">
        <f>IFERROR(__xludf.DUMMYFUNCTION("""COMPUTED_VALUE"""),0.75)</f>
        <v>0.75</v>
      </c>
      <c r="V831" s="57">
        <f>IFERROR(__xludf.DUMMYFUNCTION("""COMPUTED_VALUE"""),1.4166666666666667)</f>
        <v>1.416666667</v>
      </c>
      <c r="W831" s="57">
        <f>IFERROR(__xludf.DUMMYFUNCTION("""COMPUTED_VALUE"""),3.4999999999999996)</f>
        <v>3.5</v>
      </c>
      <c r="X831" s="31">
        <f>IFERROR(__xludf.DUMMYFUNCTION("""COMPUTED_VALUE"""),365.43106610105946)</f>
        <v>365.4310661</v>
      </c>
      <c r="Y831" s="57">
        <f>IFERROR(__xludf.DUMMYFUNCTION("""COMPUTED_VALUE"""),0.8739890139473052)</f>
        <v>0.8739890139</v>
      </c>
      <c r="Z831" s="57">
        <f>IFERROR(__xludf.DUMMYFUNCTION("""COMPUTED_VALUE"""),0.7008266920346673)</f>
        <v>0.700826692</v>
      </c>
      <c r="AA831" s="57">
        <f>IFERROR(__xludf.DUMMYFUNCTION("""COMPUTED_VALUE"""),1.1684010016542876)</f>
        <v>1.168401002</v>
      </c>
      <c r="AB831" s="57">
        <f>IFERROR(__xludf.DUMMYFUNCTION("""COMPUTED_VALUE"""),2.9135561874897693)</f>
        <v>2.913556187</v>
      </c>
      <c r="AC831" s="31">
        <f>IFERROR(__xludf.DUMMYFUNCTION("""COMPUTED_VALUE"""),349.03718719854487)</f>
        <v>349.0371872</v>
      </c>
      <c r="AD831" s="57">
        <f>IFERROR(__xludf.DUMMYFUNCTION("""COMPUTED_VALUE"""),0.7420922298708151)</f>
        <v>0.7420922299</v>
      </c>
      <c r="AE831" s="57">
        <f>IFERROR(__xludf.DUMMYFUNCTION("""COMPUTED_VALUE"""),0.5413193222886304)</f>
        <v>0.5413193223</v>
      </c>
      <c r="AF831" s="57">
        <f>IFERROR(__xludf.DUMMYFUNCTION("""COMPUTED_VALUE"""),1.3899740009968145)</f>
        <v>1.389974001</v>
      </c>
      <c r="AG831" s="57">
        <f>IFERROR(__xludf.DUMMYFUNCTION("""COMPUTED_VALUE"""),2.4689364064653705)</f>
        <v>2.468936406</v>
      </c>
      <c r="AH831" s="57">
        <f>IFERROR(__xludf.DUMMYFUNCTION("""COMPUTED_VALUE"""),0.9726757275489968)</f>
        <v>0.9726757275</v>
      </c>
      <c r="AI831" s="57">
        <f>IFERROR(__xludf.DUMMYFUNCTION("""COMPUTED_VALUE"""),1.3475413968073509)</f>
        <v>1.347541397</v>
      </c>
      <c r="AJ831" s="57">
        <f>IFERROR(__xludf.DUMMYFUNCTION("""COMPUTED_VALUE"""),0.230917306759928)</f>
        <v>0.2309173068</v>
      </c>
      <c r="AK831" s="57">
        <f>IFERROR(__xludf.DUMMYFUNCTION("""COMPUTED_VALUE"""),0.989227135913279)</f>
        <v>0.9892271359</v>
      </c>
      <c r="AL831" s="57">
        <f>IFERROR(__xludf.DUMMYFUNCTION("""COMPUTED_VALUE"""),0.9113235942845491)</f>
        <v>0.9113235943</v>
      </c>
      <c r="AM831" s="57">
        <f>IFERROR(__xludf.DUMMYFUNCTION("""COMPUTED_VALUE"""),1.0803451137279267)</f>
        <v>1.080345114</v>
      </c>
      <c r="AN831" s="57">
        <f>IFERROR(__xludf.DUMMYFUNCTION("""COMPUTED_VALUE"""),1.0965050109784484)</f>
        <v>1.096505011</v>
      </c>
      <c r="AO831" s="57">
        <f>IFERROR(__xludf.DUMMYFUNCTION("""COMPUTED_VALUE"""),1.0701647190728008)</f>
        <v>1.070164719</v>
      </c>
      <c r="AP831" s="35">
        <f>IFERROR(__xludf.DUMMYFUNCTION("""COMPUTED_VALUE"""),1.2124832695802816)</f>
        <v>1.21248327</v>
      </c>
      <c r="AQ831" s="57">
        <f>IFERROR(__xludf.DUMMYFUNCTION("""COMPUTED_VALUE"""),1.201281106239963)</f>
        <v>1.201281106</v>
      </c>
      <c r="AR831" s="36" t="b">
        <f>IFERROR(__xludf.DUMMYFUNCTION("""COMPUTED_VALUE"""),TRUE)</f>
        <v>1</v>
      </c>
      <c r="AS831" s="57"/>
      <c r="AT831" s="37"/>
      <c r="AU831" s="30"/>
      <c r="AV831" s="30"/>
      <c r="AW831" s="30"/>
      <c r="AX831" s="30"/>
      <c r="AY831" s="30"/>
      <c r="AZ831" s="30"/>
    </row>
    <row r="832">
      <c r="A832" s="30" t="str">
        <f>IFERROR(__xludf.DUMMYFUNCTION("""COMPUTED_VALUE"""),"Veteran")</f>
        <v>Veteran</v>
      </c>
      <c r="B832" s="30" t="str">
        <f>IFERROR(__xludf.DUMMYFUNCTION("""COMPUTED_VALUE"""),"RSC007062")</f>
        <v>RSC007062</v>
      </c>
      <c r="C832" s="30" t="str">
        <f>IFERROR(__xludf.DUMMYFUNCTION("""COMPUTED_VALUE"""),"Ice Phoenix")</f>
        <v>Ice Phoenix</v>
      </c>
      <c r="D832" s="31" t="str">
        <f>IFERROR(__xludf.DUMMYFUNCTION("""COMPUTED_VALUE"""),"Giraffes")</f>
        <v>Giraffes</v>
      </c>
      <c r="E832" s="31">
        <f>IFERROR(__xludf.DUMMYFUNCTION("""COMPUTED_VALUE"""),37.793413794088565)</f>
        <v>37.79341379</v>
      </c>
      <c r="F832" s="31">
        <f>IFERROR(__xludf.DUMMYFUNCTION("""COMPUTED_VALUE"""),-3.1981412496810493)</f>
        <v>-3.19814125</v>
      </c>
      <c r="G832" s="31">
        <f>IFERROR(__xludf.DUMMYFUNCTION("""COMPUTED_VALUE"""),25.43805144520117)</f>
        <v>25.43805145</v>
      </c>
      <c r="H832" s="31">
        <f>IFERROR(__xludf.DUMMYFUNCTION("""COMPUTED_VALUE"""),-6.137521394034266)</f>
        <v>-6.137521394</v>
      </c>
      <c r="I832" s="54">
        <f>IFERROR(__xludf.DUMMYFUNCTION("""COMPUTED_VALUE"""),11.0)</f>
        <v>11</v>
      </c>
      <c r="J832" s="55">
        <f>IFERROR(__xludf.DUMMYFUNCTION("""COMPUTED_VALUE"""),4.0)</f>
        <v>4</v>
      </c>
      <c r="K832" s="54">
        <f>IFERROR(__xludf.DUMMYFUNCTION("""COMPUTED_VALUE"""),7.0)</f>
        <v>7</v>
      </c>
      <c r="L832" s="56">
        <f>IFERROR(__xludf.DUMMYFUNCTION("""COMPUTED_VALUE"""),0.36363636363636365)</f>
        <v>0.3636363636</v>
      </c>
      <c r="M832" s="56">
        <f>IFERROR(__xludf.DUMMYFUNCTION("""COMPUTED_VALUE"""),0.30434782608695654)</f>
        <v>0.3043478261</v>
      </c>
      <c r="N832" s="31">
        <f>IFERROR(__xludf.DUMMYFUNCTION("""COMPUTED_VALUE"""),253.0)</f>
        <v>253</v>
      </c>
      <c r="O832" s="57">
        <f>IFERROR(__xludf.DUMMYFUNCTION("""COMPUTED_VALUE"""),0.6363636363636364)</f>
        <v>0.6363636364</v>
      </c>
      <c r="P832" s="57">
        <f>IFERROR(__xludf.DUMMYFUNCTION("""COMPUTED_VALUE"""),0.5454545454545454)</f>
        <v>0.5454545455</v>
      </c>
      <c r="Q832" s="57">
        <f>IFERROR(__xludf.DUMMYFUNCTION("""COMPUTED_VALUE"""),0.6363636363636364)</f>
        <v>0.6363636364</v>
      </c>
      <c r="R832" s="57">
        <f>IFERROR(__xludf.DUMMYFUNCTION("""COMPUTED_VALUE"""),2.090909090909091)</f>
        <v>2.090909091</v>
      </c>
      <c r="S832" s="31">
        <f>IFERROR(__xludf.DUMMYFUNCTION("""COMPUTED_VALUE"""),348.18181818181824)</f>
        <v>348.1818182</v>
      </c>
      <c r="T832" s="57">
        <f>IFERROR(__xludf.DUMMYFUNCTION("""COMPUTED_VALUE"""),0.8181818181818182)</f>
        <v>0.8181818182</v>
      </c>
      <c r="U832" s="57">
        <f>IFERROR(__xludf.DUMMYFUNCTION("""COMPUTED_VALUE"""),0.606060606060606)</f>
        <v>0.6060606061</v>
      </c>
      <c r="V832" s="57">
        <f>IFERROR(__xludf.DUMMYFUNCTION("""COMPUTED_VALUE"""),1.1818181818181819)</f>
        <v>1.181818182</v>
      </c>
      <c r="W832" s="57">
        <f>IFERROR(__xludf.DUMMYFUNCTION("""COMPUTED_VALUE"""),2.606060606060606)</f>
        <v>2.606060606</v>
      </c>
      <c r="X832" s="31">
        <f>IFERROR(__xludf.DUMMYFUNCTION("""COMPUTED_VALUE"""),358.2008617757132)</f>
        <v>358.2008618</v>
      </c>
      <c r="Y832" s="57">
        <f>IFERROR(__xludf.DUMMYFUNCTION("""COMPUTED_VALUE"""),0.8362415516254372)</f>
        <v>0.8362415516</v>
      </c>
      <c r="Z832" s="57">
        <f>IFERROR(__xludf.DUMMYFUNCTION("""COMPUTED_VALUE"""),0.6151665529995786)</f>
        <v>0.615166553</v>
      </c>
      <c r="AA832" s="57">
        <f>IFERROR(__xludf.DUMMYFUNCTION("""COMPUTED_VALUE"""),1.288674281281079)</f>
        <v>1.288674281</v>
      </c>
      <c r="AB832" s="57">
        <f>IFERROR(__xludf.DUMMYFUNCTION("""COMPUTED_VALUE"""),2.720375735204541)</f>
        <v>2.720375735</v>
      </c>
      <c r="AC832" s="31">
        <f>IFERROR(__xludf.DUMMYFUNCTION("""COMPUTED_VALUE"""),343.4495746927914)</f>
        <v>343.4495747</v>
      </c>
      <c r="AD832" s="57">
        <f>IFERROR(__xludf.DUMMYFUNCTION("""COMPUTED_VALUE"""),0.6995484119383671)</f>
        <v>0.6995484119</v>
      </c>
      <c r="AE832" s="57">
        <f>IFERROR(__xludf.DUMMYFUNCTION("""COMPUTED_VALUE"""),0.5138652052161061)</f>
        <v>0.5138652052</v>
      </c>
      <c r="AF832" s="57">
        <f>IFERROR(__xludf.DUMMYFUNCTION("""COMPUTED_VALUE"""),1.390315996500003)</f>
        <v>1.390315997</v>
      </c>
      <c r="AG832" s="57">
        <f>IFERROR(__xludf.DUMMYFUNCTION("""COMPUTED_VALUE"""),2.4501647479106268)</f>
        <v>2.450164748</v>
      </c>
      <c r="AH832" s="57">
        <f>IFERROR(__xludf.DUMMYFUNCTION("""COMPUTED_VALUE"""),0.736643800552973)</f>
        <v>0.7366438006</v>
      </c>
      <c r="AI832" s="57">
        <f>IFERROR(__xludf.DUMMYFUNCTION("""COMPUTED_VALUE"""),0.9096777656893636)</f>
        <v>0.9096777657</v>
      </c>
      <c r="AJ832" s="57">
        <f>IFERROR(__xludf.DUMMYFUNCTION("""COMPUTED_VALUE"""),1.0614739817325332)</f>
        <v>1.061473982</v>
      </c>
      <c r="AK832" s="57">
        <f>IFERROR(__xludf.DUMMYFUNCTION("""COMPUTED_VALUE"""),0.45771151160284806)</f>
        <v>0.4577115116</v>
      </c>
      <c r="AL832" s="57">
        <f>IFERROR(__xludf.DUMMYFUNCTION("""COMPUTED_VALUE"""),0.8533748976235617)</f>
        <v>0.8533748976</v>
      </c>
      <c r="AM832" s="57">
        <f>IFERROR(__xludf.DUMMYFUNCTION("""COMPUTED_VALUE"""),0.9720295379965659)</f>
        <v>0.972029538</v>
      </c>
      <c r="AN832" s="57">
        <f>IFERROR(__xludf.DUMMYFUNCTION("""COMPUTED_VALUE"""),0.9784036880151249)</f>
        <v>0.978403688</v>
      </c>
      <c r="AO832" s="57">
        <f>IFERROR(__xludf.DUMMYFUNCTION("""COMPUTED_VALUE"""),0.9851975909701663)</f>
        <v>0.985197591</v>
      </c>
      <c r="AP832" s="35">
        <f>IFERROR(__xludf.DUMMYFUNCTION("""COMPUTED_VALUE"""),0.9170805990194273)</f>
        <v>0.917080599</v>
      </c>
      <c r="AQ832" s="57">
        <f>IFERROR(__xludf.DUMMYFUNCTION("""COMPUTED_VALUE"""),0.9579781837984451)</f>
        <v>0.9579781838</v>
      </c>
      <c r="AR832" s="36" t="b">
        <f>IFERROR(__xludf.DUMMYFUNCTION("""COMPUTED_VALUE"""),TRUE)</f>
        <v>1</v>
      </c>
      <c r="AS832" s="57"/>
      <c r="AT832" s="37"/>
      <c r="AU832" s="30"/>
      <c r="AV832" s="30"/>
      <c r="AW832" s="30"/>
      <c r="AX832" s="30"/>
      <c r="AY832" s="30"/>
      <c r="AZ832" s="30"/>
    </row>
    <row r="833">
      <c r="A833" s="30" t="str">
        <f>IFERROR(__xludf.DUMMYFUNCTION("""COMPUTED_VALUE"""),"Veteran")</f>
        <v>Veteran</v>
      </c>
      <c r="B833" s="30" t="str">
        <f>IFERROR(__xludf.DUMMYFUNCTION("""COMPUTED_VALUE"""),"RSC007795")</f>
        <v>RSC007795</v>
      </c>
      <c r="C833" s="30" t="str">
        <f>IFERROR(__xludf.DUMMYFUNCTION("""COMPUTED_VALUE"""),"Gizmeaux")</f>
        <v>Gizmeaux</v>
      </c>
      <c r="D833" s="31" t="str">
        <f>IFERROR(__xludf.DUMMYFUNCTION("""COMPUTED_VALUE"""),"Gouda Gangsters")</f>
        <v>Gouda Gangsters</v>
      </c>
      <c r="E833" s="31">
        <f>IFERROR(__xludf.DUMMYFUNCTION("""COMPUTED_VALUE"""),36.77513589320175)</f>
        <v>36.77513589</v>
      </c>
      <c r="F833" s="31">
        <f>IFERROR(__xludf.DUMMYFUNCTION("""COMPUTED_VALUE"""),-3.351154658372535)</f>
        <v>-3.351154658</v>
      </c>
      <c r="G833" s="31">
        <f>IFERROR(__xludf.DUMMYFUNCTION("""COMPUTED_VALUE"""),35.23143714174334)</f>
        <v>35.23143714</v>
      </c>
      <c r="H833" s="31">
        <f>IFERROR(__xludf.DUMMYFUNCTION("""COMPUTED_VALUE"""),-3.6055983286542825)</f>
        <v>-3.605598329</v>
      </c>
      <c r="I833" s="54">
        <f>IFERROR(__xludf.DUMMYFUNCTION("""COMPUTED_VALUE"""),22.0)</f>
        <v>22</v>
      </c>
      <c r="J833" s="55">
        <f>IFERROR(__xludf.DUMMYFUNCTION("""COMPUTED_VALUE"""),9.0)</f>
        <v>9</v>
      </c>
      <c r="K833" s="54">
        <f>IFERROR(__xludf.DUMMYFUNCTION("""COMPUTED_VALUE"""),13.0)</f>
        <v>13</v>
      </c>
      <c r="L833" s="56">
        <f>IFERROR(__xludf.DUMMYFUNCTION("""COMPUTED_VALUE"""),0.4090909090909091)</f>
        <v>0.4090909091</v>
      </c>
      <c r="M833" s="56">
        <f>IFERROR(__xludf.DUMMYFUNCTION("""COMPUTED_VALUE"""),0.3469387755102041)</f>
        <v>0.3469387755</v>
      </c>
      <c r="N833" s="31">
        <f>IFERROR(__xludf.DUMMYFUNCTION("""COMPUTED_VALUE"""),319.1363636363636)</f>
        <v>319.1363636</v>
      </c>
      <c r="O833" s="57">
        <f>IFERROR(__xludf.DUMMYFUNCTION("""COMPUTED_VALUE"""),0.7727272727272727)</f>
        <v>0.7727272727</v>
      </c>
      <c r="P833" s="57">
        <f>IFERROR(__xludf.DUMMYFUNCTION("""COMPUTED_VALUE"""),0.5454545454545454)</f>
        <v>0.5454545455</v>
      </c>
      <c r="Q833" s="57">
        <f>IFERROR(__xludf.DUMMYFUNCTION("""COMPUTED_VALUE"""),1.0)</f>
        <v>1</v>
      </c>
      <c r="R833" s="57">
        <f>IFERROR(__xludf.DUMMYFUNCTION("""COMPUTED_VALUE"""),2.227272727272727)</f>
        <v>2.227272727</v>
      </c>
      <c r="S833" s="31">
        <f>IFERROR(__xludf.DUMMYFUNCTION("""COMPUTED_VALUE"""),386.75757575757575)</f>
        <v>386.7575758</v>
      </c>
      <c r="T833" s="57">
        <f>IFERROR(__xludf.DUMMYFUNCTION("""COMPUTED_VALUE"""),1.0000000000000002)</f>
        <v>1</v>
      </c>
      <c r="U833" s="57">
        <f>IFERROR(__xludf.DUMMYFUNCTION("""COMPUTED_VALUE"""),0.7424242424242423)</f>
        <v>0.7424242424</v>
      </c>
      <c r="V833" s="57">
        <f>IFERROR(__xludf.DUMMYFUNCTION("""COMPUTED_VALUE"""),1.2878787878787878)</f>
        <v>1.287878788</v>
      </c>
      <c r="W833" s="57">
        <f>IFERROR(__xludf.DUMMYFUNCTION("""COMPUTED_VALUE"""),2.5000000000000004)</f>
        <v>2.5</v>
      </c>
      <c r="X833" s="31">
        <f>IFERROR(__xludf.DUMMYFUNCTION("""COMPUTED_VALUE"""),353.24343129355384)</f>
        <v>353.2434313</v>
      </c>
      <c r="Y833" s="57">
        <f>IFERROR(__xludf.DUMMYFUNCTION("""COMPUTED_VALUE"""),0.7961283145217366)</f>
        <v>0.7961283145</v>
      </c>
      <c r="Z833" s="57">
        <f>IFERROR(__xludf.DUMMYFUNCTION("""COMPUTED_VALUE"""),0.5435912858065547)</f>
        <v>0.5435912858</v>
      </c>
      <c r="AA833" s="57">
        <f>IFERROR(__xludf.DUMMYFUNCTION("""COMPUTED_VALUE"""),1.3544394913909985)</f>
        <v>1.354439491</v>
      </c>
      <c r="AB833" s="57">
        <f>IFERROR(__xludf.DUMMYFUNCTION("""COMPUTED_VALUE"""),2.601347106684781)</f>
        <v>2.601347107</v>
      </c>
      <c r="AC833" s="31">
        <f>IFERROR(__xludf.DUMMYFUNCTION("""COMPUTED_VALUE"""),357.09661424082697)</f>
        <v>357.0966142</v>
      </c>
      <c r="AD833" s="57">
        <f>IFERROR(__xludf.DUMMYFUNCTION("""COMPUTED_VALUE"""),0.8081926014298066)</f>
        <v>0.8081926014</v>
      </c>
      <c r="AE833" s="57">
        <f>IFERROR(__xludf.DUMMYFUNCTION("""COMPUTED_VALUE"""),0.5873140537825724)</f>
        <v>0.5873140538</v>
      </c>
      <c r="AF833" s="57">
        <f>IFERROR(__xludf.DUMMYFUNCTION("""COMPUTED_VALUE"""),1.35272008077201)</f>
        <v>1.352720081</v>
      </c>
      <c r="AG833" s="57">
        <f>IFERROR(__xludf.DUMMYFUNCTION("""COMPUTED_VALUE"""),2.6852794296140123)</f>
        <v>2.68527943</v>
      </c>
      <c r="AH833" s="57">
        <f>IFERROR(__xludf.DUMMYFUNCTION("""COMPUTED_VALUE"""),0.8936975342508768)</f>
        <v>0.8936975343</v>
      </c>
      <c r="AI833" s="57">
        <f>IFERROR(__xludf.DUMMYFUNCTION("""COMPUTED_VALUE"""),0.9561177265916679)</f>
        <v>0.9561177266</v>
      </c>
      <c r="AJ833" s="57">
        <f>IFERROR(__xludf.DUMMYFUNCTION("""COMPUTED_VALUE"""),0.9287272149228637)</f>
        <v>0.9287272149</v>
      </c>
      <c r="AK833" s="57">
        <f>IFERROR(__xludf.DUMMYFUNCTION("""COMPUTED_VALUE"""),0.7392512421559461)</f>
        <v>0.7392512422</v>
      </c>
      <c r="AL833" s="57">
        <f>IFERROR(__xludf.DUMMYFUNCTION("""COMPUTED_VALUE"""),0.8294379730875456)</f>
        <v>0.8294379731</v>
      </c>
      <c r="AM833" s="57">
        <f>IFERROR(__xludf.DUMMYFUNCTION("""COMPUTED_VALUE"""),1.0948754923518191)</f>
        <v>1.094875492</v>
      </c>
      <c r="AN833" s="57">
        <f>IFERROR(__xludf.DUMMYFUNCTION("""COMPUTED_VALUE"""),1.256078928182245)</f>
        <v>1.256078928</v>
      </c>
      <c r="AO833" s="57">
        <f>IFERROR(__xludf.DUMMYFUNCTION("""COMPUTED_VALUE"""),1.3657765711285619)</f>
        <v>1.365776571</v>
      </c>
      <c r="AP833" s="35">
        <f>IFERROR(__xludf.DUMMYFUNCTION("""COMPUTED_VALUE"""),0.9508573812744833)</f>
        <v>0.9508573813</v>
      </c>
      <c r="AQ833" s="57">
        <f>IFERROR(__xludf.DUMMYFUNCTION("""COMPUTED_VALUE"""),0.9610405291841504)</f>
        <v>0.9610405292</v>
      </c>
      <c r="AR833" s="36" t="b">
        <f>IFERROR(__xludf.DUMMYFUNCTION("""COMPUTED_VALUE"""),TRUE)</f>
        <v>1</v>
      </c>
      <c r="AS833" s="57"/>
      <c r="AT833" s="37"/>
      <c r="AU833" s="30"/>
      <c r="AV833" s="30"/>
      <c r="AW833" s="30"/>
      <c r="AX833" s="30"/>
      <c r="AY833" s="30"/>
      <c r="AZ833" s="30"/>
    </row>
    <row r="834">
      <c r="A834" s="30" t="str">
        <f>IFERROR(__xludf.DUMMYFUNCTION("""COMPUTED_VALUE"""),"Veteran")</f>
        <v>Veteran</v>
      </c>
      <c r="B834" s="30" t="str">
        <f>IFERROR(__xludf.DUMMYFUNCTION("""COMPUTED_VALUE"""),"RSC007036")</f>
        <v>RSC007036</v>
      </c>
      <c r="C834" s="30" t="str">
        <f>IFERROR(__xludf.DUMMYFUNCTION("""COMPUTED_VALUE"""),"PoiisonDeath")</f>
        <v>PoiisonDeath</v>
      </c>
      <c r="D834" s="31" t="str">
        <f>IFERROR(__xludf.DUMMYFUNCTION("""COMPUTED_VALUE"""),"Silver Dollar")</f>
        <v>Silver Dollar</v>
      </c>
      <c r="E834" s="31">
        <f>IFERROR(__xludf.DUMMYFUNCTION("""COMPUTED_VALUE"""),36.65573610575281)</f>
        <v>36.65573611</v>
      </c>
      <c r="F834" s="31">
        <f>IFERROR(__xludf.DUMMYFUNCTION("""COMPUTED_VALUE"""),-3.369838300525972)</f>
        <v>-3.369838301</v>
      </c>
      <c r="G834" s="31">
        <f>IFERROR(__xludf.DUMMYFUNCTION("""COMPUTED_VALUE"""),28.167943721002196)</f>
        <v>28.16794372</v>
      </c>
      <c r="H834" s="31">
        <f>IFERROR(__xludf.DUMMYFUNCTION("""COMPUTED_VALUE"""),-5.2286316942953395)</f>
        <v>-5.228631694</v>
      </c>
      <c r="I834" s="54">
        <f>IFERROR(__xludf.DUMMYFUNCTION("""COMPUTED_VALUE"""),15.0)</f>
        <v>15</v>
      </c>
      <c r="J834" s="55">
        <f>IFERROR(__xludf.DUMMYFUNCTION("""COMPUTED_VALUE"""),6.0)</f>
        <v>6</v>
      </c>
      <c r="K834" s="54">
        <f>IFERROR(__xludf.DUMMYFUNCTION("""COMPUTED_VALUE"""),9.0)</f>
        <v>9</v>
      </c>
      <c r="L834" s="56">
        <f>IFERROR(__xludf.DUMMYFUNCTION("""COMPUTED_VALUE"""),0.4)</f>
        <v>0.4</v>
      </c>
      <c r="M834" s="56">
        <f>IFERROR(__xludf.DUMMYFUNCTION("""COMPUTED_VALUE"""),0.32)</f>
        <v>0.32</v>
      </c>
      <c r="N834" s="31">
        <f>IFERROR(__xludf.DUMMYFUNCTION("""COMPUTED_VALUE"""),301.8666666666667)</f>
        <v>301.8666667</v>
      </c>
      <c r="O834" s="57">
        <f>IFERROR(__xludf.DUMMYFUNCTION("""COMPUTED_VALUE"""),0.5333333333333333)</f>
        <v>0.5333333333</v>
      </c>
      <c r="P834" s="57">
        <f>IFERROR(__xludf.DUMMYFUNCTION("""COMPUTED_VALUE"""),0.6666666666666666)</f>
        <v>0.6666666667</v>
      </c>
      <c r="Q834" s="57">
        <f>IFERROR(__xludf.DUMMYFUNCTION("""COMPUTED_VALUE"""),1.1333333333333333)</f>
        <v>1.133333333</v>
      </c>
      <c r="R834" s="57">
        <f>IFERROR(__xludf.DUMMYFUNCTION("""COMPUTED_VALUE"""),1.6666666666666667)</f>
        <v>1.666666667</v>
      </c>
      <c r="S834" s="31">
        <f>IFERROR(__xludf.DUMMYFUNCTION("""COMPUTED_VALUE"""),345.6888888888888)</f>
        <v>345.6888889</v>
      </c>
      <c r="T834" s="57">
        <f>IFERROR(__xludf.DUMMYFUNCTION("""COMPUTED_VALUE"""),0.8)</f>
        <v>0.8</v>
      </c>
      <c r="U834" s="57">
        <f>IFERROR(__xludf.DUMMYFUNCTION("""COMPUTED_VALUE"""),0.5111111111111111)</f>
        <v>0.5111111111</v>
      </c>
      <c r="V834" s="57">
        <f>IFERROR(__xludf.DUMMYFUNCTION("""COMPUTED_VALUE"""),1.2222222222222223)</f>
        <v>1.222222222</v>
      </c>
      <c r="W834" s="57">
        <f>IFERROR(__xludf.DUMMYFUNCTION("""COMPUTED_VALUE"""),2.533333333333333)</f>
        <v>2.533333333</v>
      </c>
      <c r="X834" s="31">
        <f>IFERROR(__xludf.DUMMYFUNCTION("""COMPUTED_VALUE"""),357.7067448530407)</f>
        <v>357.7067449</v>
      </c>
      <c r="Y834" s="57">
        <f>IFERROR(__xludf.DUMMYFUNCTION("""COMPUTED_VALUE"""),0.8146367804459004)</f>
        <v>0.8146367804</v>
      </c>
      <c r="Z834" s="57">
        <f>IFERROR(__xludf.DUMMYFUNCTION("""COMPUTED_VALUE"""),0.6091252610783877)</f>
        <v>0.6091252611</v>
      </c>
      <c r="AA834" s="57">
        <f>IFERROR(__xludf.DUMMYFUNCTION("""COMPUTED_VALUE"""),1.3104920537763107)</f>
        <v>1.310492054</v>
      </c>
      <c r="AB834" s="57">
        <f>IFERROR(__xludf.DUMMYFUNCTION("""COMPUTED_VALUE"""),2.686067952561561)</f>
        <v>2.686067953</v>
      </c>
      <c r="AC834" s="31">
        <f>IFERROR(__xludf.DUMMYFUNCTION("""COMPUTED_VALUE"""),358.5587336058754)</f>
        <v>358.5587336</v>
      </c>
      <c r="AD834" s="57">
        <f>IFERROR(__xludf.DUMMYFUNCTION("""COMPUTED_VALUE"""),0.7911784836397255)</f>
        <v>0.7911784836</v>
      </c>
      <c r="AE834" s="57">
        <f>IFERROR(__xludf.DUMMYFUNCTION("""COMPUTED_VALUE"""),0.5691626285129675)</f>
        <v>0.5691626285</v>
      </c>
      <c r="AF834" s="57">
        <f>IFERROR(__xludf.DUMMYFUNCTION("""COMPUTED_VALUE"""),1.429120841410428)</f>
        <v>1.429120841</v>
      </c>
      <c r="AG834" s="57">
        <f>IFERROR(__xludf.DUMMYFUNCTION("""COMPUTED_VALUE"""),2.663456900430997)</f>
        <v>2.6634569</v>
      </c>
      <c r="AH834" s="57">
        <f>IFERROR(__xludf.DUMMYFUNCTION("""COMPUTED_VALUE"""),0.8418890362282344)</f>
        <v>0.8418890362</v>
      </c>
      <c r="AI834" s="57">
        <f>IFERROR(__xludf.DUMMYFUNCTION("""COMPUTED_VALUE"""),0.6740998957400797)</f>
        <v>0.6740998957</v>
      </c>
      <c r="AJ834" s="57">
        <f>IFERROR(__xludf.DUMMYFUNCTION("""COMPUTED_VALUE"""),1.17131138495239)</f>
        <v>1.171311385</v>
      </c>
      <c r="AK834" s="57">
        <f>IFERROR(__xludf.DUMMYFUNCTION("""COMPUTED_VALUE"""),0.7930283433658584)</f>
        <v>0.7930283434</v>
      </c>
      <c r="AL834" s="57">
        <f>IFERROR(__xludf.DUMMYFUNCTION("""COMPUTED_VALUE"""),0.6257531955546076)</f>
        <v>0.6257531956</v>
      </c>
      <c r="AM834" s="57">
        <f>IFERROR(__xludf.DUMMYFUNCTION("""COMPUTED_VALUE"""),0.9664030490420603)</f>
        <v>0.966403049</v>
      </c>
      <c r="AN834" s="57">
        <f>IFERROR(__xludf.DUMMYFUNCTION("""COMPUTED_VALUE"""),0.9820327527589796)</f>
        <v>0.9820327528</v>
      </c>
      <c r="AO834" s="57">
        <f>IFERROR(__xludf.DUMMYFUNCTION("""COMPUTED_VALUE"""),0.8390903214328139)</f>
        <v>0.8390903214</v>
      </c>
      <c r="AP834" s="35">
        <f>IFERROR(__xludf.DUMMYFUNCTION("""COMPUTED_VALUE"""),0.9326437491171883)</f>
        <v>0.9326437491</v>
      </c>
      <c r="AQ834" s="57">
        <f>IFERROR(__xludf.DUMMYFUNCTION("""COMPUTED_VALUE"""),0.9431382146968497)</f>
        <v>0.9431382147</v>
      </c>
      <c r="AR834" s="36" t="b">
        <f>IFERROR(__xludf.DUMMYFUNCTION("""COMPUTED_VALUE"""),TRUE)</f>
        <v>1</v>
      </c>
      <c r="AS834" s="57"/>
      <c r="AT834" s="37"/>
      <c r="AU834" s="30"/>
      <c r="AV834" s="30"/>
      <c r="AW834" s="30"/>
      <c r="AX834" s="30"/>
      <c r="AY834" s="30"/>
      <c r="AZ834" s="30"/>
    </row>
    <row r="835">
      <c r="A835" s="30" t="str">
        <f>IFERROR(__xludf.DUMMYFUNCTION("""COMPUTED_VALUE"""),"Veteran")</f>
        <v>Veteran</v>
      </c>
      <c r="B835" s="30" t="str">
        <f>IFERROR(__xludf.DUMMYFUNCTION("""COMPUTED_VALUE"""),"RSC007610")</f>
        <v>RSC007610</v>
      </c>
      <c r="C835" s="30" t="str">
        <f>IFERROR(__xludf.DUMMYFUNCTION("""COMPUTED_VALUE"""),"Halibut907")</f>
        <v>Halibut907</v>
      </c>
      <c r="D835" s="31" t="str">
        <f>IFERROR(__xludf.DUMMYFUNCTION("""COMPUTED_VALUE"""),"Dump Trucks")</f>
        <v>Dump Trucks</v>
      </c>
      <c r="E835" s="31">
        <f>IFERROR(__xludf.DUMMYFUNCTION("""COMPUTED_VALUE"""),34.15114472397656)</f>
        <v>34.15114472</v>
      </c>
      <c r="F835" s="31">
        <f>IFERROR(__xludf.DUMMYFUNCTION("""COMPUTED_VALUE"""),-3.8014812866274466)</f>
        <v>-3.801481287</v>
      </c>
      <c r="G835" s="31">
        <f>IFERROR(__xludf.DUMMYFUNCTION("""COMPUTED_VALUE"""),44.28214735039161)</f>
        <v>44.28214735</v>
      </c>
      <c r="H835" s="31">
        <f>IFERROR(__xludf.DUMMYFUNCTION("""COMPUTED_VALUE"""),-2.4417307498702265)</f>
        <v>-2.44173075</v>
      </c>
      <c r="I835" s="54">
        <f>IFERROR(__xludf.DUMMYFUNCTION("""COMPUTED_VALUE"""),48.0)</f>
        <v>48</v>
      </c>
      <c r="J835" s="55">
        <f>IFERROR(__xludf.DUMMYFUNCTION("""COMPUTED_VALUE"""),16.0)</f>
        <v>16</v>
      </c>
      <c r="K835" s="54">
        <f>IFERROR(__xludf.DUMMYFUNCTION("""COMPUTED_VALUE"""),32.0)</f>
        <v>32</v>
      </c>
      <c r="L835" s="56">
        <f>IFERROR(__xludf.DUMMYFUNCTION("""COMPUTED_VALUE"""),0.3333333333333333)</f>
        <v>0.3333333333</v>
      </c>
      <c r="M835" s="56">
        <f>IFERROR(__xludf.DUMMYFUNCTION("""COMPUTED_VALUE"""),0.32954545454545453)</f>
        <v>0.3295454545</v>
      </c>
      <c r="N835" s="31">
        <f>IFERROR(__xludf.DUMMYFUNCTION("""COMPUTED_VALUE"""),353.5)</f>
        <v>353.5</v>
      </c>
      <c r="O835" s="57">
        <f>IFERROR(__xludf.DUMMYFUNCTION("""COMPUTED_VALUE"""),0.6041666666666666)</f>
        <v>0.6041666667</v>
      </c>
      <c r="P835" s="57">
        <f>IFERROR(__xludf.DUMMYFUNCTION("""COMPUTED_VALUE"""),0.4583333333333333)</f>
        <v>0.4583333333</v>
      </c>
      <c r="Q835" s="57">
        <f>IFERROR(__xludf.DUMMYFUNCTION("""COMPUTED_VALUE"""),1.6875)</f>
        <v>1.6875</v>
      </c>
      <c r="R835" s="57">
        <f>IFERROR(__xludf.DUMMYFUNCTION("""COMPUTED_VALUE"""),1.8333333333333333)</f>
        <v>1.833333333</v>
      </c>
      <c r="S835" s="31">
        <f>IFERROR(__xludf.DUMMYFUNCTION("""COMPUTED_VALUE"""),352.47222222222223)</f>
        <v>352.4722222</v>
      </c>
      <c r="T835" s="57">
        <f>IFERROR(__xludf.DUMMYFUNCTION("""COMPUTED_VALUE"""),0.8124999999999999)</f>
        <v>0.8125</v>
      </c>
      <c r="U835" s="57">
        <f>IFERROR(__xludf.DUMMYFUNCTION("""COMPUTED_VALUE"""),0.6180555555555556)</f>
        <v>0.6180555556</v>
      </c>
      <c r="V835" s="57">
        <f>IFERROR(__xludf.DUMMYFUNCTION("""COMPUTED_VALUE"""),1.1736111111111114)</f>
        <v>1.173611111</v>
      </c>
      <c r="W835" s="57">
        <f>IFERROR(__xludf.DUMMYFUNCTION("""COMPUTED_VALUE"""),2.861111111111111)</f>
        <v>2.861111111</v>
      </c>
      <c r="X835" s="31">
        <f>IFERROR(__xludf.DUMMYFUNCTION("""COMPUTED_VALUE"""),354.04277641595036)</f>
        <v>354.0427764</v>
      </c>
      <c r="Y835" s="57">
        <f>IFERROR(__xludf.DUMMYFUNCTION("""COMPUTED_VALUE"""),0.7720536483850823)</f>
        <v>0.7720536484</v>
      </c>
      <c r="Z835" s="57">
        <f>IFERROR(__xludf.DUMMYFUNCTION("""COMPUTED_VALUE"""),0.5727167137118465)</f>
        <v>0.5727167137</v>
      </c>
      <c r="AA835" s="57">
        <f>IFERROR(__xludf.DUMMYFUNCTION("""COMPUTED_VALUE"""),1.3501131825318071)</f>
        <v>1.350113183</v>
      </c>
      <c r="AB835" s="57">
        <f>IFERROR(__xludf.DUMMYFUNCTION("""COMPUTED_VALUE"""),2.6652788628889676)</f>
        <v>2.665278863</v>
      </c>
      <c r="AC835" s="31">
        <f>IFERROR(__xludf.DUMMYFUNCTION("""COMPUTED_VALUE"""),347.44328825407825)</f>
        <v>347.4432883</v>
      </c>
      <c r="AD835" s="57">
        <f>IFERROR(__xludf.DUMMYFUNCTION("""COMPUTED_VALUE"""),0.7408771211947891)</f>
        <v>0.7408771212</v>
      </c>
      <c r="AE835" s="57">
        <f>IFERROR(__xludf.DUMMYFUNCTION("""COMPUTED_VALUE"""),0.5391733294940056)</f>
        <v>0.5391733295</v>
      </c>
      <c r="AF835" s="57">
        <f>IFERROR(__xludf.DUMMYFUNCTION("""COMPUTED_VALUE"""),1.3702312271960049)</f>
        <v>1.370231227</v>
      </c>
      <c r="AG835" s="57">
        <f>IFERROR(__xludf.DUMMYFUNCTION("""COMPUTED_VALUE"""),2.533368006568663)</f>
        <v>2.533368007</v>
      </c>
      <c r="AH835" s="57">
        <f>IFERROR(__xludf.DUMMYFUNCTION("""COMPUTED_VALUE"""),1.0174322312465929)</f>
        <v>1.017432231</v>
      </c>
      <c r="AI835" s="57">
        <f>IFERROR(__xludf.DUMMYFUNCTION("""COMPUTED_VALUE"""),0.8154748599772472)</f>
        <v>0.81547486</v>
      </c>
      <c r="AJ835" s="57">
        <f>IFERROR(__xludf.DUMMYFUNCTION("""COMPUTED_VALUE"""),0.8500667749338832)</f>
        <v>0.8500667749</v>
      </c>
      <c r="AK835" s="57">
        <f>IFERROR(__xludf.DUMMYFUNCTION("""COMPUTED_VALUE"""),1.2315439660890253)</f>
        <v>1.231543966</v>
      </c>
      <c r="AL835" s="57">
        <f>IFERROR(__xludf.DUMMYFUNCTION("""COMPUTED_VALUE"""),0.7236743057383533)</f>
        <v>0.7236743057</v>
      </c>
      <c r="AM835" s="57">
        <f>IFERROR(__xludf.DUMMYFUNCTION("""COMPUTED_VALUE"""),0.995563942273792)</f>
        <v>0.9955639423</v>
      </c>
      <c r="AN835" s="57">
        <f>IFERROR(__xludf.DUMMYFUNCTION("""COMPUTED_VALUE"""),1.0523880065841538)</f>
        <v>1.052388007</v>
      </c>
      <c r="AO835" s="57">
        <f>IFERROR(__xludf.DUMMYFUNCTION("""COMPUTED_VALUE"""),1.0791645166942354)</f>
        <v>1.079164517</v>
      </c>
      <c r="AP835" s="35">
        <f>IFERROR(__xludf.DUMMYFUNCTION("""COMPUTED_VALUE"""),0.8692686852448109)</f>
        <v>0.8692686852</v>
      </c>
      <c r="AQ835" s="57">
        <f>IFERROR(__xludf.DUMMYFUNCTION("""COMPUTED_VALUE"""),1.0734753315868328)</f>
        <v>1.073475332</v>
      </c>
      <c r="AR835" s="36" t="b">
        <f>IFERROR(__xludf.DUMMYFUNCTION("""COMPUTED_VALUE"""),TRUE)</f>
        <v>1</v>
      </c>
      <c r="AS835" s="57"/>
      <c r="AT835" s="37"/>
      <c r="AU835" s="30"/>
      <c r="AV835" s="30"/>
      <c r="AW835" s="30"/>
      <c r="AX835" s="30"/>
      <c r="AY835" s="30"/>
      <c r="AZ835" s="30"/>
    </row>
    <row r="836">
      <c r="A836" s="30" t="str">
        <f>IFERROR(__xludf.DUMMYFUNCTION("""COMPUTED_VALUE"""),"Veteran")</f>
        <v>Veteran</v>
      </c>
      <c r="B836" s="30" t="str">
        <f>IFERROR(__xludf.DUMMYFUNCTION("""COMPUTED_VALUE"""),"RSC004332")</f>
        <v>RSC004332</v>
      </c>
      <c r="C836" s="30" t="str">
        <f>IFERROR(__xludf.DUMMYFUNCTION("""COMPUTED_VALUE"""),"FriendBrady")</f>
        <v>FriendBrady</v>
      </c>
      <c r="D836" s="31" t="str">
        <f>IFERROR(__xludf.DUMMYFUNCTION("""COMPUTED_VALUE"""),"Makos")</f>
        <v>Makos</v>
      </c>
      <c r="E836" s="31">
        <f>IFERROR(__xludf.DUMMYFUNCTION("""COMPUTED_VALUE"""),34.08224921821717)</f>
        <v>34.08224922</v>
      </c>
      <c r="F836" s="31">
        <f>IFERROR(__xludf.DUMMYFUNCTION("""COMPUTED_VALUE"""),-3.814510004248117)</f>
        <v>-3.814510004</v>
      </c>
      <c r="G836" s="31">
        <f>IFERROR(__xludf.DUMMYFUNCTION("""COMPUTED_VALUE"""),7.713864992689118)</f>
        <v>7.713864993</v>
      </c>
      <c r="H836" s="31">
        <f>IFERROR(__xludf.DUMMYFUNCTION("""COMPUTED_VALUE"""),-22.0381382705093)</f>
        <v>-22.03813827</v>
      </c>
      <c r="I836" s="54">
        <f>IFERROR(__xludf.DUMMYFUNCTION("""COMPUTED_VALUE"""),6.0)</f>
        <v>6</v>
      </c>
      <c r="J836" s="55">
        <f>IFERROR(__xludf.DUMMYFUNCTION("""COMPUTED_VALUE"""),3.0)</f>
        <v>3</v>
      </c>
      <c r="K836" s="54">
        <f>IFERROR(__xludf.DUMMYFUNCTION("""COMPUTED_VALUE"""),3.0)</f>
        <v>3</v>
      </c>
      <c r="L836" s="56">
        <f>IFERROR(__xludf.DUMMYFUNCTION("""COMPUTED_VALUE"""),0.5)</f>
        <v>0.5</v>
      </c>
      <c r="M836" s="56">
        <f>IFERROR(__xludf.DUMMYFUNCTION("""COMPUTED_VALUE"""),0.21428571428571427)</f>
        <v>0.2142857143</v>
      </c>
      <c r="N836" s="31">
        <f>IFERROR(__xludf.DUMMYFUNCTION("""COMPUTED_VALUE"""),237.5)</f>
        <v>237.5</v>
      </c>
      <c r="O836" s="57">
        <f>IFERROR(__xludf.DUMMYFUNCTION("""COMPUTED_VALUE"""),0.5)</f>
        <v>0.5</v>
      </c>
      <c r="P836" s="57">
        <f>IFERROR(__xludf.DUMMYFUNCTION("""COMPUTED_VALUE"""),0.6666666666666666)</f>
        <v>0.6666666667</v>
      </c>
      <c r="Q836" s="57">
        <f>IFERROR(__xludf.DUMMYFUNCTION("""COMPUTED_VALUE"""),0.6666666666666666)</f>
        <v>0.6666666667</v>
      </c>
      <c r="R836" s="57">
        <f>IFERROR(__xludf.DUMMYFUNCTION("""COMPUTED_VALUE"""),2.3333333333333335)</f>
        <v>2.333333333</v>
      </c>
      <c r="S836" s="31">
        <f>IFERROR(__xludf.DUMMYFUNCTION("""COMPUTED_VALUE"""),373.4444444444444)</f>
        <v>373.4444444</v>
      </c>
      <c r="T836" s="57">
        <f>IFERROR(__xludf.DUMMYFUNCTION("""COMPUTED_VALUE"""),0.7777777777777777)</f>
        <v>0.7777777778</v>
      </c>
      <c r="U836" s="57">
        <f>IFERROR(__xludf.DUMMYFUNCTION("""COMPUTED_VALUE"""),0.5555555555555557)</f>
        <v>0.5555555556</v>
      </c>
      <c r="V836" s="57">
        <f>IFERROR(__xludf.DUMMYFUNCTION("""COMPUTED_VALUE"""),1.666666666666667)</f>
        <v>1.666666667</v>
      </c>
      <c r="W836" s="57">
        <f>IFERROR(__xludf.DUMMYFUNCTION("""COMPUTED_VALUE"""),2.8333333333333335)</f>
        <v>2.833333333</v>
      </c>
      <c r="X836" s="31">
        <f>IFERROR(__xludf.DUMMYFUNCTION("""COMPUTED_VALUE"""),365.1950058651034)</f>
        <v>365.1950059</v>
      </c>
      <c r="Y836" s="57">
        <f>IFERROR(__xludf.DUMMYFUNCTION("""COMPUTED_VALUE"""),0.7311772000674625)</f>
        <v>0.7311772001</v>
      </c>
      <c r="Z836" s="57">
        <f>IFERROR(__xludf.DUMMYFUNCTION("""COMPUTED_VALUE"""),0.7901801111205166)</f>
        <v>0.7901801111</v>
      </c>
      <c r="AA836" s="57">
        <f>IFERROR(__xludf.DUMMYFUNCTION("""COMPUTED_VALUE"""),1.4184077161763111)</f>
        <v>1.418407716</v>
      </c>
      <c r="AB836" s="57">
        <f>IFERROR(__xludf.DUMMYFUNCTION("""COMPUTED_VALUE"""),3.011179592346051)</f>
        <v>3.011179592</v>
      </c>
      <c r="AC836" s="31">
        <f>IFERROR(__xludf.DUMMYFUNCTION("""COMPUTED_VALUE"""),354.79836598633455)</f>
        <v>354.798366</v>
      </c>
      <c r="AD836" s="57">
        <f>IFERROR(__xludf.DUMMYFUNCTION("""COMPUTED_VALUE"""),0.8244926785976915)</f>
        <v>0.8244926786</v>
      </c>
      <c r="AE836" s="57">
        <f>IFERROR(__xludf.DUMMYFUNCTION("""COMPUTED_VALUE"""),0.5938377759227739)</f>
        <v>0.5938377759</v>
      </c>
      <c r="AF836" s="57">
        <f>IFERROR(__xludf.DUMMYFUNCTION("""COMPUTED_VALUE"""),1.3477355124921957)</f>
        <v>1.347735512</v>
      </c>
      <c r="AG836" s="57">
        <f>IFERROR(__xludf.DUMMYFUNCTION("""COMPUTED_VALUE"""),2.695657618764539)</f>
        <v>2.695657619</v>
      </c>
      <c r="AH836" s="57">
        <f>IFERROR(__xludf.DUMMYFUNCTION("""COMPUTED_VALUE"""),0.6693942891753554)</f>
        <v>0.6693942892</v>
      </c>
      <c r="AI836" s="57">
        <f>IFERROR(__xludf.DUMMYFUNCTION("""COMPUTED_VALUE"""),0.6064335232793175)</f>
        <v>0.6064335233</v>
      </c>
      <c r="AJ836" s="57">
        <f>IFERROR(__xludf.DUMMYFUNCTION("""COMPUTED_VALUE"""),1.1226410539995082)</f>
        <v>1.122641054</v>
      </c>
      <c r="AK836" s="57">
        <f>IFERROR(__xludf.DUMMYFUNCTION("""COMPUTED_VALUE"""),0.4946568970597835)</f>
        <v>0.4946568971</v>
      </c>
      <c r="AL836" s="57">
        <f>IFERROR(__xludf.DUMMYFUNCTION("""COMPUTED_VALUE"""),0.8655896494758618)</f>
        <v>0.8655896495</v>
      </c>
      <c r="AM836" s="57">
        <f>IFERROR(__xludf.DUMMYFUNCTION("""COMPUTED_VALUE"""),1.02258913305728)</f>
        <v>1.022589133</v>
      </c>
      <c r="AN836" s="57">
        <f>IFERROR(__xludf.DUMMYFUNCTION("""COMPUTED_VALUE"""),1.063733630788837)</f>
        <v>1.063733631</v>
      </c>
      <c r="AO836" s="57">
        <f>IFERROR(__xludf.DUMMYFUNCTION("""COMPUTED_VALUE"""),0.7030745873466101)</f>
        <v>0.7030745873</v>
      </c>
      <c r="AP836" s="35">
        <f>IFERROR(__xludf.DUMMYFUNCTION("""COMPUTED_VALUE"""),1.1750265087104876)</f>
        <v>1.175026509</v>
      </c>
      <c r="AQ836" s="57">
        <f>IFERROR(__xludf.DUMMYFUNCTION("""COMPUTED_VALUE"""),0.9409380099862609)</f>
        <v>0.94093801</v>
      </c>
      <c r="AR836" s="36" t="b">
        <f>IFERROR(__xludf.DUMMYFUNCTION("""COMPUTED_VALUE"""),TRUE)</f>
        <v>1</v>
      </c>
      <c r="AS836" s="57"/>
      <c r="AT836" s="37"/>
      <c r="AU836" s="30"/>
      <c r="AV836" s="30"/>
      <c r="AW836" s="30"/>
      <c r="AX836" s="30"/>
      <c r="AY836" s="30"/>
      <c r="AZ836" s="30"/>
    </row>
    <row r="837">
      <c r="A837" s="30" t="str">
        <f>IFERROR(__xludf.DUMMYFUNCTION("""COMPUTED_VALUE"""),"Veteran")</f>
        <v>Veteran</v>
      </c>
      <c r="B837" s="30" t="str">
        <f>IFERROR(__xludf.DUMMYFUNCTION("""COMPUTED_VALUE"""),"RSC000625")</f>
        <v>RSC000625</v>
      </c>
      <c r="C837" s="30" t="str">
        <f>IFERROR(__xludf.DUMMYFUNCTION("""COMPUTED_VALUE"""),"Sly")</f>
        <v>Sly</v>
      </c>
      <c r="D837" s="31" t="str">
        <f>IFERROR(__xludf.DUMMYFUNCTION("""COMPUTED_VALUE"""),"Rulers")</f>
        <v>Rulers</v>
      </c>
      <c r="E837" s="31">
        <f>IFERROR(__xludf.DUMMYFUNCTION("""COMPUTED_VALUE"""),32.868245589317965)</f>
        <v>32.86824559</v>
      </c>
      <c r="F837" s="31">
        <f>IFERROR(__xludf.DUMMYFUNCTION("""COMPUTED_VALUE"""),-4.0553683688847535)</f>
        <v>-4.055368369</v>
      </c>
      <c r="G837" s="31">
        <f>IFERROR(__xludf.DUMMYFUNCTION("""COMPUTED_VALUE"""),18.72330188609947)</f>
        <v>18.72330189</v>
      </c>
      <c r="H837" s="31">
        <f>IFERROR(__xludf.DUMMYFUNCTION("""COMPUTED_VALUE"""),-9.482731379732318)</f>
        <v>-9.48273138</v>
      </c>
      <c r="I837" s="54">
        <f>IFERROR(__xludf.DUMMYFUNCTION("""COMPUTED_VALUE"""),29.0)</f>
        <v>29</v>
      </c>
      <c r="J837" s="55">
        <f>IFERROR(__xludf.DUMMYFUNCTION("""COMPUTED_VALUE"""),14.0)</f>
        <v>14</v>
      </c>
      <c r="K837" s="54">
        <f>IFERROR(__xludf.DUMMYFUNCTION("""COMPUTED_VALUE"""),15.0)</f>
        <v>15</v>
      </c>
      <c r="L837" s="56">
        <f>IFERROR(__xludf.DUMMYFUNCTION("""COMPUTED_VALUE"""),0.4827586206896552)</f>
        <v>0.4827586207</v>
      </c>
      <c r="M837" s="56">
        <f>IFERROR(__xludf.DUMMYFUNCTION("""COMPUTED_VALUE"""),0.28)</f>
        <v>0.28</v>
      </c>
      <c r="N837" s="31">
        <f>IFERROR(__xludf.DUMMYFUNCTION("""COMPUTED_VALUE"""),269.2068965517241)</f>
        <v>269.2068966</v>
      </c>
      <c r="O837" s="57">
        <f>IFERROR(__xludf.DUMMYFUNCTION("""COMPUTED_VALUE"""),0.4827586206896552)</f>
        <v>0.4827586207</v>
      </c>
      <c r="P837" s="57">
        <f>IFERROR(__xludf.DUMMYFUNCTION("""COMPUTED_VALUE"""),0.6551724137931034)</f>
        <v>0.6551724138</v>
      </c>
      <c r="Q837" s="57">
        <f>IFERROR(__xludf.DUMMYFUNCTION("""COMPUTED_VALUE"""),0.896551724137931)</f>
        <v>0.8965517241</v>
      </c>
      <c r="R837" s="57">
        <f>IFERROR(__xludf.DUMMYFUNCTION("""COMPUTED_VALUE"""),1.7241379310344827)</f>
        <v>1.724137931</v>
      </c>
      <c r="S837" s="31">
        <f>IFERROR(__xludf.DUMMYFUNCTION("""COMPUTED_VALUE"""),322.88505747126436)</f>
        <v>322.8850575</v>
      </c>
      <c r="T837" s="57">
        <f>IFERROR(__xludf.DUMMYFUNCTION("""COMPUTED_VALUE"""),0.6666666666666666)</f>
        <v>0.6666666667</v>
      </c>
      <c r="U837" s="57">
        <f>IFERROR(__xludf.DUMMYFUNCTION("""COMPUTED_VALUE"""),0.4942528735632184)</f>
        <v>0.4942528736</v>
      </c>
      <c r="V837" s="57">
        <f>IFERROR(__xludf.DUMMYFUNCTION("""COMPUTED_VALUE"""),1.160919540229885)</f>
        <v>1.16091954</v>
      </c>
      <c r="W837" s="57">
        <f>IFERROR(__xludf.DUMMYFUNCTION("""COMPUTED_VALUE"""),2.885057471264368)</f>
        <v>2.885057471</v>
      </c>
      <c r="X837" s="31">
        <f>IFERROR(__xludf.DUMMYFUNCTION("""COMPUTED_VALUE"""),352.8757892733448)</f>
        <v>352.8757893</v>
      </c>
      <c r="Y837" s="57">
        <f>IFERROR(__xludf.DUMMYFUNCTION("""COMPUTED_VALUE"""),0.8221534645927582)</f>
        <v>0.8221534646</v>
      </c>
      <c r="Z837" s="57">
        <f>IFERROR(__xludf.DUMMYFUNCTION("""COMPUTED_VALUE"""),0.5669203038570978)</f>
        <v>0.5669203039</v>
      </c>
      <c r="AA837" s="57">
        <f>IFERROR(__xludf.DUMMYFUNCTION("""COMPUTED_VALUE"""),1.2862244682538966)</f>
        <v>1.286224468</v>
      </c>
      <c r="AB837" s="57">
        <f>IFERROR(__xludf.DUMMYFUNCTION("""COMPUTED_VALUE"""),2.6635217532529047)</f>
        <v>2.663521753</v>
      </c>
      <c r="AC837" s="31">
        <f>IFERROR(__xludf.DUMMYFUNCTION("""COMPUTED_VALUE"""),352.13529721398675)</f>
        <v>352.1352972</v>
      </c>
      <c r="AD837" s="57">
        <f>IFERROR(__xludf.DUMMYFUNCTION("""COMPUTED_VALUE"""),0.7834148026967991)</f>
        <v>0.7834148027</v>
      </c>
      <c r="AE837" s="57">
        <f>IFERROR(__xludf.DUMMYFUNCTION("""COMPUTED_VALUE"""),0.5799435631118836)</f>
        <v>0.5799435631</v>
      </c>
      <c r="AF837" s="57">
        <f>IFERROR(__xludf.DUMMYFUNCTION("""COMPUTED_VALUE"""),1.3745234091724163)</f>
        <v>1.374523409</v>
      </c>
      <c r="AG837" s="57">
        <f>IFERROR(__xludf.DUMMYFUNCTION("""COMPUTED_VALUE"""),2.5439515493400595)</f>
        <v>2.543951549</v>
      </c>
      <c r="AH837" s="57">
        <f>IFERROR(__xludf.DUMMYFUNCTION("""COMPUTED_VALUE"""),0.7644984717000171)</f>
        <v>0.7644984717</v>
      </c>
      <c r="AI837" s="57">
        <f>IFERROR(__xludf.DUMMYFUNCTION("""COMPUTED_VALUE"""),0.6162235115137271)</f>
        <v>0.6162235115</v>
      </c>
      <c r="AJ837" s="57">
        <f>IFERROR(__xludf.DUMMYFUNCTION("""COMPUTED_VALUE"""),1.129717537129913)</f>
        <v>1.129717537</v>
      </c>
      <c r="AK837" s="57">
        <f>IFERROR(__xludf.DUMMYFUNCTION("""COMPUTED_VALUE"""),0.6522636996613494)</f>
        <v>0.6522636997</v>
      </c>
      <c r="AL837" s="57">
        <f>IFERROR(__xludf.DUMMYFUNCTION("""COMPUTED_VALUE"""),0.6777400817565691)</f>
        <v>0.6777400818</v>
      </c>
      <c r="AM837" s="57">
        <f>IFERROR(__xludf.DUMMYFUNCTION("""COMPUTED_VALUE"""),0.9150105144253775)</f>
        <v>0.9150105144</v>
      </c>
      <c r="AN837" s="57">
        <f>IFERROR(__xludf.DUMMYFUNCTION("""COMPUTED_VALUE"""),0.8108786198412364)</f>
        <v>0.8108786198</v>
      </c>
      <c r="AO837" s="57">
        <f>IFERROR(__xludf.DUMMYFUNCTION("""COMPUTED_VALUE"""),0.871820730710332)</f>
        <v>0.8718207307</v>
      </c>
      <c r="AP837" s="35">
        <f>IFERROR(__xludf.DUMMYFUNCTION("""COMPUTED_VALUE"""),0.9025792689248727)</f>
        <v>0.9025792689</v>
      </c>
      <c r="AQ837" s="57">
        <f>IFERROR(__xludf.DUMMYFUNCTION("""COMPUTED_VALUE"""),1.0831739848720614)</f>
        <v>1.083173985</v>
      </c>
      <c r="AR837" s="36" t="b">
        <f>IFERROR(__xludf.DUMMYFUNCTION("""COMPUTED_VALUE"""),TRUE)</f>
        <v>1</v>
      </c>
      <c r="AS837" s="57"/>
      <c r="AT837" s="37"/>
      <c r="AU837" s="30"/>
      <c r="AV837" s="30"/>
      <c r="AW837" s="30"/>
      <c r="AX837" s="30"/>
      <c r="AY837" s="30"/>
      <c r="AZ837" s="30"/>
    </row>
    <row r="838">
      <c r="A838" s="30" t="str">
        <f>IFERROR(__xludf.DUMMYFUNCTION("""COMPUTED_VALUE"""),"Veteran")</f>
        <v>Veteran</v>
      </c>
      <c r="B838" s="30" t="str">
        <f>IFERROR(__xludf.DUMMYFUNCTION("""COMPUTED_VALUE"""),"RSC000698")</f>
        <v>RSC000698</v>
      </c>
      <c r="C838" s="30" t="str">
        <f>IFERROR(__xludf.DUMMYFUNCTION("""COMPUTED_VALUE"""),"Inedibledeer")</f>
        <v>Inedibledeer</v>
      </c>
      <c r="D838" s="31" t="str">
        <f>IFERROR(__xludf.DUMMYFUNCTION("""COMPUTED_VALUE"""),"Werewolves")</f>
        <v>Werewolves</v>
      </c>
      <c r="E838" s="31">
        <f>IFERROR(__xludf.DUMMYFUNCTION("""COMPUTED_VALUE"""),32.77915468418696)</f>
        <v>32.77915468</v>
      </c>
      <c r="F838" s="31">
        <f>IFERROR(__xludf.DUMMYFUNCTION("""COMPUTED_VALUE"""),-4.073918357953763)</f>
        <v>-4.073918358</v>
      </c>
      <c r="G838" s="31">
        <f>IFERROR(__xludf.DUMMYFUNCTION("""COMPUTED_VALUE"""),20.316625027240313)</f>
        <v>20.31662503</v>
      </c>
      <c r="H838" s="31">
        <f>IFERROR(__xludf.DUMMYFUNCTION("""COMPUTED_VALUE"""),-8.507180828584419)</f>
        <v>-8.507180829</v>
      </c>
      <c r="I838" s="54">
        <f>IFERROR(__xludf.DUMMYFUNCTION("""COMPUTED_VALUE"""),15.0)</f>
        <v>15</v>
      </c>
      <c r="J838" s="55">
        <f>IFERROR(__xludf.DUMMYFUNCTION("""COMPUTED_VALUE"""),8.0)</f>
        <v>8</v>
      </c>
      <c r="K838" s="54">
        <f>IFERROR(__xludf.DUMMYFUNCTION("""COMPUTED_VALUE"""),7.0)</f>
        <v>7</v>
      </c>
      <c r="L838" s="56">
        <f>IFERROR(__xludf.DUMMYFUNCTION("""COMPUTED_VALUE"""),0.5333333333333333)</f>
        <v>0.5333333333</v>
      </c>
      <c r="M838" s="56">
        <f>IFERROR(__xludf.DUMMYFUNCTION("""COMPUTED_VALUE"""),0.27027027027027023)</f>
        <v>0.2702702703</v>
      </c>
      <c r="N838" s="31">
        <f>IFERROR(__xludf.DUMMYFUNCTION("""COMPUTED_VALUE"""),296.6)</f>
        <v>296.6</v>
      </c>
      <c r="O838" s="57">
        <f>IFERROR(__xludf.DUMMYFUNCTION("""COMPUTED_VALUE"""),0.6666666666666666)</f>
        <v>0.6666666667</v>
      </c>
      <c r="P838" s="57">
        <f>IFERROR(__xludf.DUMMYFUNCTION("""COMPUTED_VALUE"""),0.3333333333333333)</f>
        <v>0.3333333333</v>
      </c>
      <c r="Q838" s="57">
        <f>IFERROR(__xludf.DUMMYFUNCTION("""COMPUTED_VALUE"""),0.9333333333333333)</f>
        <v>0.9333333333</v>
      </c>
      <c r="R838" s="57">
        <f>IFERROR(__xludf.DUMMYFUNCTION("""COMPUTED_VALUE"""),2.466666666666667)</f>
        <v>2.466666667</v>
      </c>
      <c r="S838" s="31">
        <f>IFERROR(__xludf.DUMMYFUNCTION("""COMPUTED_VALUE"""),381.48888888888894)</f>
        <v>381.4888889</v>
      </c>
      <c r="T838" s="57">
        <f>IFERROR(__xludf.DUMMYFUNCTION("""COMPUTED_VALUE"""),0.8666666666666666)</f>
        <v>0.8666666667</v>
      </c>
      <c r="U838" s="57">
        <f>IFERROR(__xludf.DUMMYFUNCTION("""COMPUTED_VALUE"""),0.5555555555555555)</f>
        <v>0.5555555556</v>
      </c>
      <c r="V838" s="57">
        <f>IFERROR(__xludf.DUMMYFUNCTION("""COMPUTED_VALUE"""),1.6444444444444446)</f>
        <v>1.644444444</v>
      </c>
      <c r="W838" s="57">
        <f>IFERROR(__xludf.DUMMYFUNCTION("""COMPUTED_VALUE"""),2.688888888888888)</f>
        <v>2.688888889</v>
      </c>
      <c r="X838" s="31">
        <f>IFERROR(__xludf.DUMMYFUNCTION("""COMPUTED_VALUE"""),354.1364768875783)</f>
        <v>354.1364769</v>
      </c>
      <c r="Y838" s="57">
        <f>IFERROR(__xludf.DUMMYFUNCTION("""COMPUTED_VALUE"""),0.7869031305180355)</f>
        <v>0.7869031305</v>
      </c>
      <c r="Z838" s="57">
        <f>IFERROR(__xludf.DUMMYFUNCTION("""COMPUTED_VALUE"""),0.5694458242735002)</f>
        <v>0.5694458243</v>
      </c>
      <c r="AA838" s="57">
        <f>IFERROR(__xludf.DUMMYFUNCTION("""COMPUTED_VALUE"""),1.3480326173125785)</f>
        <v>1.348032617</v>
      </c>
      <c r="AB838" s="57">
        <f>IFERROR(__xludf.DUMMYFUNCTION("""COMPUTED_VALUE"""),2.6905988968903176)</f>
        <v>2.690598897</v>
      </c>
      <c r="AC838" s="31">
        <f>IFERROR(__xludf.DUMMYFUNCTION("""COMPUTED_VALUE"""),345.7525925710291)</f>
        <v>345.7525926</v>
      </c>
      <c r="AD838" s="57">
        <f>IFERROR(__xludf.DUMMYFUNCTION("""COMPUTED_VALUE"""),0.7344505760158323)</f>
        <v>0.734450576</v>
      </c>
      <c r="AE838" s="57">
        <f>IFERROR(__xludf.DUMMYFUNCTION("""COMPUTED_VALUE"""),0.5431628790294345)</f>
        <v>0.543162879</v>
      </c>
      <c r="AF838" s="57">
        <f>IFERROR(__xludf.DUMMYFUNCTION("""COMPUTED_VALUE"""),1.347041513920099)</f>
        <v>1.347041514</v>
      </c>
      <c r="AG838" s="57">
        <f>IFERROR(__xludf.DUMMYFUNCTION("""COMPUTED_VALUE"""),2.5203368755529407)</f>
        <v>2.520336876</v>
      </c>
      <c r="AH838" s="57">
        <f>IFERROR(__xludf.DUMMYFUNCTION("""COMPUTED_VALUE"""),0.8578388315022353)</f>
        <v>0.8578388315</v>
      </c>
      <c r="AI838" s="57">
        <f>IFERROR(__xludf.DUMMYFUNCTION("""COMPUTED_VALUE"""),0.907708004374001)</f>
        <v>0.9077080044</v>
      </c>
      <c r="AJ838" s="57">
        <f>IFERROR(__xludf.DUMMYFUNCTION("""COMPUTED_VALUE"""),0.6136894589132438)</f>
        <v>0.6136894589</v>
      </c>
      <c r="AK838" s="57">
        <f>IFERROR(__xludf.DUMMYFUNCTION("""COMPUTED_VALUE"""),0.6928764434417385)</f>
        <v>0.6928764434</v>
      </c>
      <c r="AL838" s="57">
        <f>IFERROR(__xludf.DUMMYFUNCTION("""COMPUTED_VALUE"""),0.978705144773752)</f>
        <v>0.9787051448</v>
      </c>
      <c r="AM838" s="57">
        <f>IFERROR(__xludf.DUMMYFUNCTION("""COMPUTED_VALUE"""),1.0772369235773296)</f>
        <v>1.077236924</v>
      </c>
      <c r="AN838" s="57">
        <f>IFERROR(__xludf.DUMMYFUNCTION("""COMPUTED_VALUE"""),1.1013638566873167)</f>
        <v>1.101363857</v>
      </c>
      <c r="AO838" s="57">
        <f>IFERROR(__xludf.DUMMYFUNCTION("""COMPUTED_VALUE"""),0.9756073920892019)</f>
        <v>0.9756073921</v>
      </c>
      <c r="AP838" s="35">
        <f>IFERROR(__xludf.DUMMYFUNCTION("""COMPUTED_VALUE"""),1.2198847589628723)</f>
        <v>1.219884759</v>
      </c>
      <c r="AQ838" s="57">
        <f>IFERROR(__xludf.DUMMYFUNCTION("""COMPUTED_VALUE"""),0.9993644507907121)</f>
        <v>0.9993644508</v>
      </c>
      <c r="AR838" s="36" t="b">
        <f>IFERROR(__xludf.DUMMYFUNCTION("""COMPUTED_VALUE"""),TRUE)</f>
        <v>1</v>
      </c>
      <c r="AS838" s="57"/>
      <c r="AT838" s="37"/>
      <c r="AU838" s="30"/>
      <c r="AV838" s="30"/>
      <c r="AW838" s="30"/>
      <c r="AX838" s="30"/>
      <c r="AY838" s="30"/>
      <c r="AZ838" s="30"/>
    </row>
    <row r="839">
      <c r="A839" s="30" t="str">
        <f>IFERROR(__xludf.DUMMYFUNCTION("""COMPUTED_VALUE"""),"Veteran")</f>
        <v>Veteran</v>
      </c>
      <c r="B839" s="30" t="str">
        <f>IFERROR(__xludf.DUMMYFUNCTION("""COMPUTED_VALUE"""),"RSC002668")</f>
        <v>RSC002668</v>
      </c>
      <c r="C839" s="30" t="str">
        <f>IFERROR(__xludf.DUMMYFUNCTION("""COMPUTED_VALUE"""),"Azorh &lt;3")</f>
        <v>Azorh &lt;3</v>
      </c>
      <c r="D839" s="31" t="str">
        <f>IFERROR(__xludf.DUMMYFUNCTION("""COMPUTED_VALUE"""),"Peppermint")</f>
        <v>Peppermint</v>
      </c>
      <c r="E839" s="31">
        <f>IFERROR(__xludf.DUMMYFUNCTION("""COMPUTED_VALUE"""),31.638820797498504)</f>
        <v>31.6388208</v>
      </c>
      <c r="F839" s="31">
        <f>IFERROR(__xludf.DUMMYFUNCTION("""COMPUTED_VALUE"""),-4.322677049700937)</f>
        <v>-4.32267705</v>
      </c>
      <c r="G839" s="31">
        <f>IFERROR(__xludf.DUMMYFUNCTION("""COMPUTED_VALUE"""),36.53077111051529)</f>
        <v>36.53077111</v>
      </c>
      <c r="H839" s="31">
        <f>IFERROR(__xludf.DUMMYFUNCTION("""COMPUTED_VALUE"""),-3.389565381281558)</f>
        <v>-3.389565381</v>
      </c>
      <c r="I839" s="54">
        <f>IFERROR(__xludf.DUMMYFUNCTION("""COMPUTED_VALUE"""),42.0)</f>
        <v>42</v>
      </c>
      <c r="J839" s="55">
        <f>IFERROR(__xludf.DUMMYFUNCTION("""COMPUTED_VALUE"""),18.0)</f>
        <v>18</v>
      </c>
      <c r="K839" s="54">
        <f>IFERROR(__xludf.DUMMYFUNCTION("""COMPUTED_VALUE"""),24.0)</f>
        <v>24</v>
      </c>
      <c r="L839" s="56">
        <f>IFERROR(__xludf.DUMMYFUNCTION("""COMPUTED_VALUE"""),0.42857142857142855)</f>
        <v>0.4285714286</v>
      </c>
      <c r="M839" s="56">
        <f>IFERROR(__xludf.DUMMYFUNCTION("""COMPUTED_VALUE"""),0.25)</f>
        <v>0.25</v>
      </c>
      <c r="N839" s="31">
        <f>IFERROR(__xludf.DUMMYFUNCTION("""COMPUTED_VALUE"""),338.6190476190476)</f>
        <v>338.6190476</v>
      </c>
      <c r="O839" s="57">
        <f>IFERROR(__xludf.DUMMYFUNCTION("""COMPUTED_VALUE"""),0.6190476190476191)</f>
        <v>0.619047619</v>
      </c>
      <c r="P839" s="57">
        <f>IFERROR(__xludf.DUMMYFUNCTION("""COMPUTED_VALUE"""),0.5)</f>
        <v>0.5</v>
      </c>
      <c r="Q839" s="57">
        <f>IFERROR(__xludf.DUMMYFUNCTION("""COMPUTED_VALUE"""),1.5)</f>
        <v>1.5</v>
      </c>
      <c r="R839" s="57">
        <f>IFERROR(__xludf.DUMMYFUNCTION("""COMPUTED_VALUE"""),2.4761904761904763)</f>
        <v>2.476190476</v>
      </c>
      <c r="S839" s="31">
        <f>IFERROR(__xludf.DUMMYFUNCTION("""COMPUTED_VALUE"""),371.5873015873016)</f>
        <v>371.5873016</v>
      </c>
      <c r="T839" s="57">
        <f>IFERROR(__xludf.DUMMYFUNCTION("""COMPUTED_VALUE"""),0.9444444444444444)</f>
        <v>0.9444444444</v>
      </c>
      <c r="U839" s="57">
        <f>IFERROR(__xludf.DUMMYFUNCTION("""COMPUTED_VALUE"""),0.6507936507936509)</f>
        <v>0.6507936508</v>
      </c>
      <c r="V839" s="57">
        <f>IFERROR(__xludf.DUMMYFUNCTION("""COMPUTED_VALUE"""),1.1507936507936516)</f>
        <v>1.150793651</v>
      </c>
      <c r="W839" s="57">
        <f>IFERROR(__xludf.DUMMYFUNCTION("""COMPUTED_VALUE"""),3.126984126984128)</f>
        <v>3.126984127</v>
      </c>
      <c r="X839" s="31">
        <f>IFERROR(__xludf.DUMMYFUNCTION("""COMPUTED_VALUE"""),345.99419922008195)</f>
        <v>345.9941992</v>
      </c>
      <c r="Y839" s="57">
        <f>IFERROR(__xludf.DUMMYFUNCTION("""COMPUTED_VALUE"""),0.749448041888523)</f>
        <v>0.7494480419</v>
      </c>
      <c r="Z839" s="57">
        <f>IFERROR(__xludf.DUMMYFUNCTION("""COMPUTED_VALUE"""),0.5627780798615546)</f>
        <v>0.5627780799</v>
      </c>
      <c r="AA839" s="57">
        <f>IFERROR(__xludf.DUMMYFUNCTION("""COMPUTED_VALUE"""),1.3044145747787403)</f>
        <v>1.304414575</v>
      </c>
      <c r="AB839" s="57">
        <f>IFERROR(__xludf.DUMMYFUNCTION("""COMPUTED_VALUE"""),2.5495278538596926)</f>
        <v>2.549527854</v>
      </c>
      <c r="AC839" s="31">
        <f>IFERROR(__xludf.DUMMYFUNCTION("""COMPUTED_VALUE"""),356.4664182442491)</f>
        <v>356.4664182</v>
      </c>
      <c r="AD839" s="57">
        <f>IFERROR(__xludf.DUMMYFUNCTION("""COMPUTED_VALUE"""),0.8290979980135853)</f>
        <v>0.829097998</v>
      </c>
      <c r="AE839" s="57">
        <f>IFERROR(__xludf.DUMMYFUNCTION("""COMPUTED_VALUE"""),0.6049585387415458)</f>
        <v>0.6049585387</v>
      </c>
      <c r="AF839" s="57">
        <f>IFERROR(__xludf.DUMMYFUNCTION("""COMPUTED_VALUE"""),1.310863545523538)</f>
        <v>1.310863546</v>
      </c>
      <c r="AG839" s="57">
        <f>IFERROR(__xludf.DUMMYFUNCTION("""COMPUTED_VALUE"""),2.6137498726692767)</f>
        <v>2.613749873</v>
      </c>
      <c r="AH839" s="57">
        <f>IFERROR(__xludf.DUMMYFUNCTION("""COMPUTED_VALUE"""),0.9499325330192182)</f>
        <v>0.949932533</v>
      </c>
      <c r="AI839" s="57">
        <f>IFERROR(__xludf.DUMMYFUNCTION("""COMPUTED_VALUE"""),0.7466519283978245)</f>
        <v>0.7466519284</v>
      </c>
      <c r="AJ839" s="57">
        <f>IFERROR(__xludf.DUMMYFUNCTION("""COMPUTED_VALUE"""),0.8265029220682066)</f>
        <v>0.8265029221</v>
      </c>
      <c r="AK839" s="57">
        <f>IFERROR(__xludf.DUMMYFUNCTION("""COMPUTED_VALUE"""),1.1442838616744995)</f>
        <v>1.144283862</v>
      </c>
      <c r="AL839" s="57">
        <f>IFERROR(__xludf.DUMMYFUNCTION("""COMPUTED_VALUE"""),0.947370864397855)</f>
        <v>0.9473708644</v>
      </c>
      <c r="AM839" s="57">
        <f>IFERROR(__xludf.DUMMYFUNCTION("""COMPUTED_VALUE"""),1.0739697440734846)</f>
        <v>1.073969744</v>
      </c>
      <c r="AN839" s="57">
        <f>IFERROR(__xludf.DUMMYFUNCTION("""COMPUTED_VALUE"""),1.260186686277214)</f>
        <v>1.260186686</v>
      </c>
      <c r="AO839" s="57">
        <f>IFERROR(__xludf.DUMMYFUNCTION("""COMPUTED_VALUE"""),1.1563948101065848)</f>
        <v>1.15639481</v>
      </c>
      <c r="AP839" s="35">
        <f>IFERROR(__xludf.DUMMYFUNCTION("""COMPUTED_VALUE"""),0.8822299850404949)</f>
        <v>0.882229985</v>
      </c>
      <c r="AQ839" s="57">
        <f>IFERROR(__xludf.DUMMYFUNCTION("""COMPUTED_VALUE"""),1.2264953772716123)</f>
        <v>1.226495377</v>
      </c>
      <c r="AR839" s="36" t="b">
        <f>IFERROR(__xludf.DUMMYFUNCTION("""COMPUTED_VALUE"""),TRUE)</f>
        <v>1</v>
      </c>
      <c r="AS839" s="57"/>
      <c r="AT839" s="37"/>
      <c r="AU839" s="30"/>
      <c r="AV839" s="30"/>
      <c r="AW839" s="30"/>
      <c r="AX839" s="30"/>
      <c r="AY839" s="30"/>
      <c r="AZ839" s="30"/>
    </row>
    <row r="840">
      <c r="A840" s="30" t="str">
        <f>IFERROR(__xludf.DUMMYFUNCTION("""COMPUTED_VALUE"""),"Veteran")</f>
        <v>Veteran</v>
      </c>
      <c r="B840" s="30" t="str">
        <f>IFERROR(__xludf.DUMMYFUNCTION("""COMPUTED_VALUE"""),"RSC003746")</f>
        <v>RSC003746</v>
      </c>
      <c r="C840" s="30" t="str">
        <f>IFERROR(__xludf.DUMMYFUNCTION("""COMPUTED_VALUE"""),"archhie.")</f>
        <v>archhie.</v>
      </c>
      <c r="D840" s="31"/>
      <c r="E840" s="31">
        <f>IFERROR(__xludf.DUMMYFUNCTION("""COMPUTED_VALUE"""),31.14281778585885)</f>
        <v>31.14281779</v>
      </c>
      <c r="F840" s="31">
        <f>IFERROR(__xludf.DUMMYFUNCTION("""COMPUTED_VALUE"""),-4.437770693817088)</f>
        <v>-4.437770694</v>
      </c>
      <c r="G840" s="31">
        <f>IFERROR(__xludf.DUMMYFUNCTION("""COMPUTED_VALUE"""),57.08500689883167)</f>
        <v>57.0850069</v>
      </c>
      <c r="H840" s="31">
        <f>IFERROR(__xludf.DUMMYFUNCTION("""COMPUTED_VALUE"""),2.5744332469488933)</f>
        <v>2.574433247</v>
      </c>
      <c r="I840" s="54">
        <f>IFERROR(__xludf.DUMMYFUNCTION("""COMPUTED_VALUE"""),8.0)</f>
        <v>8</v>
      </c>
      <c r="J840" s="55">
        <f>IFERROR(__xludf.DUMMYFUNCTION("""COMPUTED_VALUE"""),3.0)</f>
        <v>3</v>
      </c>
      <c r="K840" s="54">
        <f>IFERROR(__xludf.DUMMYFUNCTION("""COMPUTED_VALUE"""),5.0)</f>
        <v>5</v>
      </c>
      <c r="L840" s="56">
        <f>IFERROR(__xludf.DUMMYFUNCTION("""COMPUTED_VALUE"""),0.375)</f>
        <v>0.375</v>
      </c>
      <c r="M840" s="56">
        <f>IFERROR(__xludf.DUMMYFUNCTION("""COMPUTED_VALUE"""),0.3125)</f>
        <v>0.3125</v>
      </c>
      <c r="N840" s="31">
        <f>IFERROR(__xludf.DUMMYFUNCTION("""COMPUTED_VALUE"""),364.25)</f>
        <v>364.25</v>
      </c>
      <c r="O840" s="57">
        <f>IFERROR(__xludf.DUMMYFUNCTION("""COMPUTED_VALUE"""),0.625)</f>
        <v>0.625</v>
      </c>
      <c r="P840" s="57">
        <f>IFERROR(__xludf.DUMMYFUNCTION("""COMPUTED_VALUE"""),0.375)</f>
        <v>0.375</v>
      </c>
      <c r="Q840" s="57">
        <f>IFERROR(__xludf.DUMMYFUNCTION("""COMPUTED_VALUE"""),1.875)</f>
        <v>1.875</v>
      </c>
      <c r="R840" s="57">
        <f>IFERROR(__xludf.DUMMYFUNCTION("""COMPUTED_VALUE"""),2.0)</f>
        <v>2</v>
      </c>
      <c r="S840" s="31">
        <f>IFERROR(__xludf.DUMMYFUNCTION("""COMPUTED_VALUE"""),348.25)</f>
        <v>348.25</v>
      </c>
      <c r="T840" s="57">
        <f>IFERROR(__xludf.DUMMYFUNCTION("""COMPUTED_VALUE"""),0.9166666666666666)</f>
        <v>0.9166666667</v>
      </c>
      <c r="U840" s="57">
        <f>IFERROR(__xludf.DUMMYFUNCTION("""COMPUTED_VALUE"""),0.6249999999999999)</f>
        <v>0.625</v>
      </c>
      <c r="V840" s="57">
        <f>IFERROR(__xludf.DUMMYFUNCTION("""COMPUTED_VALUE"""),0.875)</f>
        <v>0.875</v>
      </c>
      <c r="W840" s="57">
        <f>IFERROR(__xludf.DUMMYFUNCTION("""COMPUTED_VALUE"""),2.9583333333333335)</f>
        <v>2.958333333</v>
      </c>
      <c r="X840" s="31">
        <f>IFERROR(__xludf.DUMMYFUNCTION("""COMPUTED_VALUE"""),358.9452630984644)</f>
        <v>358.9452631</v>
      </c>
      <c r="Y840" s="57">
        <f>IFERROR(__xludf.DUMMYFUNCTION("""COMPUTED_VALUE"""),0.7701001742160278)</f>
        <v>0.7701001742</v>
      </c>
      <c r="Z840" s="57">
        <f>IFERROR(__xludf.DUMMYFUNCTION("""COMPUTED_VALUE"""),0.6534375403277841)</f>
        <v>0.6534375403</v>
      </c>
      <c r="AA840" s="57">
        <f>IFERROR(__xludf.DUMMYFUNCTION("""COMPUTED_VALUE"""),1.321093044263776)</f>
        <v>1.321093044</v>
      </c>
      <c r="AB840" s="57">
        <f>IFERROR(__xludf.DUMMYFUNCTION("""COMPUTED_VALUE"""),2.7619991289198604)</f>
        <v>2.761999129</v>
      </c>
      <c r="AC840" s="31">
        <f>IFERROR(__xludf.DUMMYFUNCTION("""COMPUTED_VALUE"""),369.6497171678066)</f>
        <v>369.6497172</v>
      </c>
      <c r="AD840" s="57">
        <f>IFERROR(__xludf.DUMMYFUNCTION("""COMPUTED_VALUE"""),0.7963618961586443)</f>
        <v>0.7963618962</v>
      </c>
      <c r="AE840" s="57">
        <f>IFERROR(__xludf.DUMMYFUNCTION("""COMPUTED_VALUE"""),0.6104040306276077)</f>
        <v>0.6104040306</v>
      </c>
      <c r="AF840" s="57">
        <f>IFERROR(__xludf.DUMMYFUNCTION("""COMPUTED_VALUE"""),1.5387611842388267)</f>
        <v>1.538761184</v>
      </c>
      <c r="AG840" s="57">
        <f>IFERROR(__xludf.DUMMYFUNCTION("""COMPUTED_VALUE"""),2.5327652492794774)</f>
        <v>2.532765249</v>
      </c>
      <c r="AH840" s="57">
        <f>IFERROR(__xludf.DUMMYFUNCTION("""COMPUTED_VALUE"""),0.9853923405942839)</f>
        <v>0.9853923406</v>
      </c>
      <c r="AI840" s="57">
        <f>IFERROR(__xludf.DUMMYFUNCTION("""COMPUTED_VALUE"""),0.7848190665760997)</f>
        <v>0.7848190666</v>
      </c>
      <c r="AJ840" s="57">
        <f>IFERROR(__xludf.DUMMYFUNCTION("""COMPUTED_VALUE"""),0.614347188393286)</f>
        <v>0.6143471884</v>
      </c>
      <c r="AK840" s="57">
        <f>IFERROR(__xludf.DUMMYFUNCTION("""COMPUTED_VALUE"""),1.2185126705853966)</f>
        <v>1.218512671</v>
      </c>
      <c r="AL840" s="57">
        <f>IFERROR(__xludf.DUMMYFUNCTION("""COMPUTED_VALUE"""),0.7896507584226218)</f>
        <v>0.7896507584</v>
      </c>
      <c r="AM840" s="57">
        <f>IFERROR(__xludf.DUMMYFUNCTION("""COMPUTED_VALUE"""),0.9702036377186275)</f>
        <v>0.9702036377</v>
      </c>
      <c r="AN840" s="57">
        <f>IFERROR(__xludf.DUMMYFUNCTION("""COMPUTED_VALUE"""),1.1903213339743046)</f>
        <v>1.190321334</v>
      </c>
      <c r="AO840" s="57">
        <f>IFERROR(__xludf.DUMMYFUNCTION("""COMPUTED_VALUE"""),0.9564800940063544)</f>
        <v>0.956480094</v>
      </c>
      <c r="AP840" s="35">
        <f>IFERROR(__xludf.DUMMYFUNCTION("""COMPUTED_VALUE"""),0.6623303360798659)</f>
        <v>0.6623303361</v>
      </c>
      <c r="AQ840" s="57">
        <f>IFERROR(__xludf.DUMMYFUNCTION("""COMPUTED_VALUE"""),1.071084093531287)</f>
        <v>1.071084094</v>
      </c>
      <c r="AR840" s="36" t="b">
        <f>IFERROR(__xludf.DUMMYFUNCTION("""COMPUTED_VALUE"""),TRUE)</f>
        <v>1</v>
      </c>
      <c r="AS840" s="57"/>
      <c r="AT840" s="37"/>
      <c r="AU840" s="30"/>
      <c r="AV840" s="30"/>
      <c r="AW840" s="30"/>
      <c r="AX840" s="30"/>
      <c r="AY840" s="30"/>
      <c r="AZ840" s="30"/>
    </row>
    <row r="841">
      <c r="A841" s="30" t="str">
        <f>IFERROR(__xludf.DUMMYFUNCTION("""COMPUTED_VALUE"""),"Veteran")</f>
        <v>Veteran</v>
      </c>
      <c r="B841" s="30" t="str">
        <f>IFERROR(__xludf.DUMMYFUNCTION("""COMPUTED_VALUE"""),"RSC007327")</f>
        <v>RSC007327</v>
      </c>
      <c r="C841" s="30" t="str">
        <f>IFERROR(__xludf.DUMMYFUNCTION("""COMPUTED_VALUE"""),"JustAChillGuyONG")</f>
        <v>JustAChillGuyONG</v>
      </c>
      <c r="D841" s="31" t="str">
        <f>IFERROR(__xludf.DUMMYFUNCTION("""COMPUTED_VALUE"""),"Merciless Mob")</f>
        <v>Merciless Mob</v>
      </c>
      <c r="E841" s="31">
        <f>IFERROR(__xludf.DUMMYFUNCTION("""COMPUTED_VALUE"""),30.397173311216036)</f>
        <v>30.39717331</v>
      </c>
      <c r="F841" s="31">
        <f>IFERROR(__xludf.DUMMYFUNCTION("""COMPUTED_VALUE"""),-4.619217481433885)</f>
        <v>-4.619217481</v>
      </c>
      <c r="G841" s="31">
        <f>IFERROR(__xludf.DUMMYFUNCTION("""COMPUTED_VALUE"""),25.472743466096286)</f>
        <v>25.47274347</v>
      </c>
      <c r="H841" s="31">
        <f>IFERROR(__xludf.DUMMYFUNCTION("""COMPUTED_VALUE"""),-6.124669501007262)</f>
        <v>-6.124669501</v>
      </c>
      <c r="I841" s="54">
        <f>IFERROR(__xludf.DUMMYFUNCTION("""COMPUTED_VALUE"""),28.0)</f>
        <v>28</v>
      </c>
      <c r="J841" s="55">
        <f>IFERROR(__xludf.DUMMYFUNCTION("""COMPUTED_VALUE"""),9.0)</f>
        <v>9</v>
      </c>
      <c r="K841" s="54">
        <f>IFERROR(__xludf.DUMMYFUNCTION("""COMPUTED_VALUE"""),19.0)</f>
        <v>19</v>
      </c>
      <c r="L841" s="56">
        <f>IFERROR(__xludf.DUMMYFUNCTION("""COMPUTED_VALUE"""),0.32142857142857145)</f>
        <v>0.3214285714</v>
      </c>
      <c r="M841" s="56">
        <f>IFERROR(__xludf.DUMMYFUNCTION("""COMPUTED_VALUE"""),0.3194444444444444)</f>
        <v>0.3194444444</v>
      </c>
      <c r="N841" s="31">
        <f>IFERROR(__xludf.DUMMYFUNCTION("""COMPUTED_VALUE"""),321.35714285714283)</f>
        <v>321.3571429</v>
      </c>
      <c r="O841" s="57">
        <f>IFERROR(__xludf.DUMMYFUNCTION("""COMPUTED_VALUE"""),0.8214285714285714)</f>
        <v>0.8214285714</v>
      </c>
      <c r="P841" s="57">
        <f>IFERROR(__xludf.DUMMYFUNCTION("""COMPUTED_VALUE"""),0.2857142857142857)</f>
        <v>0.2857142857</v>
      </c>
      <c r="Q841" s="57">
        <f>IFERROR(__xludf.DUMMYFUNCTION("""COMPUTED_VALUE"""),1.2857142857142858)</f>
        <v>1.285714286</v>
      </c>
      <c r="R841" s="57">
        <f>IFERROR(__xludf.DUMMYFUNCTION("""COMPUTED_VALUE"""),2.5714285714285716)</f>
        <v>2.571428571</v>
      </c>
      <c r="S841" s="31">
        <f>IFERROR(__xludf.DUMMYFUNCTION("""COMPUTED_VALUE"""),412.4166666666668)</f>
        <v>412.4166667</v>
      </c>
      <c r="T841" s="57">
        <f>IFERROR(__xludf.DUMMYFUNCTION("""COMPUTED_VALUE"""),1.1547619047619044)</f>
        <v>1.154761905</v>
      </c>
      <c r="U841" s="57">
        <f>IFERROR(__xludf.DUMMYFUNCTION("""COMPUTED_VALUE"""),0.9047619047619048)</f>
        <v>0.9047619048</v>
      </c>
      <c r="V841" s="57">
        <f>IFERROR(__xludf.DUMMYFUNCTION("""COMPUTED_VALUE"""),1.285714285714286)</f>
        <v>1.285714286</v>
      </c>
      <c r="W841" s="57">
        <f>IFERROR(__xludf.DUMMYFUNCTION("""COMPUTED_VALUE"""),2.976190476190476)</f>
        <v>2.976190476</v>
      </c>
      <c r="X841" s="31">
        <f>IFERROR(__xludf.DUMMYFUNCTION("""COMPUTED_VALUE"""),362.37374387010516)</f>
        <v>362.3737439</v>
      </c>
      <c r="Y841" s="57">
        <f>IFERROR(__xludf.DUMMYFUNCTION("""COMPUTED_VALUE"""),0.8381765736041356)</f>
        <v>0.8381765736</v>
      </c>
      <c r="Z841" s="57">
        <f>IFERROR(__xludf.DUMMYFUNCTION("""COMPUTED_VALUE"""),0.6734282079497721)</f>
        <v>0.6734282079</v>
      </c>
      <c r="AA841" s="57">
        <f>IFERROR(__xludf.DUMMYFUNCTION("""COMPUTED_VALUE"""),1.307704857800265)</f>
        <v>1.307704858</v>
      </c>
      <c r="AB841" s="57">
        <f>IFERROR(__xludf.DUMMYFUNCTION("""COMPUTED_VALUE"""),2.734163235388352)</f>
        <v>2.734163235</v>
      </c>
      <c r="AC841" s="31">
        <f>IFERROR(__xludf.DUMMYFUNCTION("""COMPUTED_VALUE"""),350.0381208910171)</f>
        <v>350.0381209</v>
      </c>
      <c r="AD841" s="57">
        <f>IFERROR(__xludf.DUMMYFUNCTION("""COMPUTED_VALUE"""),0.7589359665178996)</f>
        <v>0.7589359665</v>
      </c>
      <c r="AE841" s="57">
        <f>IFERROR(__xludf.DUMMYFUNCTION("""COMPUTED_VALUE"""),0.5443569418274112)</f>
        <v>0.5443569418</v>
      </c>
      <c r="AF841" s="57">
        <f>IFERROR(__xludf.DUMMYFUNCTION("""COMPUTED_VALUE"""),1.3721376834269454)</f>
        <v>1.372137683</v>
      </c>
      <c r="AG841" s="57">
        <f>IFERROR(__xludf.DUMMYFUNCTION("""COMPUTED_VALUE"""),2.6106342987220477)</f>
        <v>2.610634299</v>
      </c>
      <c r="AH841" s="57">
        <f>IFERROR(__xludf.DUMMYFUNCTION("""COMPUTED_VALUE"""),0.9180632727633572)</f>
        <v>0.9180632728</v>
      </c>
      <c r="AI841" s="57">
        <f>IFERROR(__xludf.DUMMYFUNCTION("""COMPUTED_VALUE"""),1.0823423947047814)</f>
        <v>1.082342395</v>
      </c>
      <c r="AJ841" s="57">
        <f>IFERROR(__xludf.DUMMYFUNCTION("""COMPUTED_VALUE"""),0.5248656970463906)</f>
        <v>0.524865697</v>
      </c>
      <c r="AK841" s="57">
        <f>IFERROR(__xludf.DUMMYFUNCTION("""COMPUTED_VALUE"""),0.9370155059827413)</f>
        <v>0.937015506</v>
      </c>
      <c r="AL841" s="57">
        <f>IFERROR(__xludf.DUMMYFUNCTION("""COMPUTED_VALUE"""),0.9849822982435081)</f>
        <v>0.9849822982</v>
      </c>
      <c r="AM841" s="57">
        <f>IFERROR(__xludf.DUMMYFUNCTION("""COMPUTED_VALUE"""),1.138097540572641)</f>
        <v>1.138097541</v>
      </c>
      <c r="AN841" s="57">
        <f>IFERROR(__xludf.DUMMYFUNCTION("""COMPUTED_VALUE"""),1.3777072052926282)</f>
        <v>1.377707205</v>
      </c>
      <c r="AO841" s="57">
        <f>IFERROR(__xludf.DUMMYFUNCTION("""COMPUTED_VALUE"""),1.3435164937869468)</f>
        <v>1.343516494</v>
      </c>
      <c r="AP841" s="35">
        <f>IFERROR(__xludf.DUMMYFUNCTION("""COMPUTED_VALUE"""),0.9831838415565956)</f>
        <v>0.9831838416</v>
      </c>
      <c r="AQ841" s="57">
        <f>IFERROR(__xludf.DUMMYFUNCTION("""COMPUTED_VALUE"""),1.0885196749299964)</f>
        <v>1.088519675</v>
      </c>
      <c r="AR841" s="36" t="b">
        <f>IFERROR(__xludf.DUMMYFUNCTION("""COMPUTED_VALUE"""),TRUE)</f>
        <v>1</v>
      </c>
      <c r="AS841" s="57"/>
      <c r="AT841" s="37"/>
      <c r="AU841" s="30"/>
      <c r="AV841" s="30"/>
      <c r="AW841" s="30"/>
      <c r="AX841" s="30"/>
      <c r="AY841" s="30"/>
      <c r="AZ841" s="30"/>
    </row>
    <row r="842">
      <c r="A842" s="30" t="str">
        <f>IFERROR(__xludf.DUMMYFUNCTION("""COMPUTED_VALUE"""),"Veteran")</f>
        <v>Veteran</v>
      </c>
      <c r="B842" s="30" t="str">
        <f>IFERROR(__xludf.DUMMYFUNCTION("""COMPUTED_VALUE"""),"RSC003416")</f>
        <v>RSC003416</v>
      </c>
      <c r="C842" s="30" t="str">
        <f>IFERROR(__xludf.DUMMYFUNCTION("""COMPUTED_VALUE"""),"DrSkimMilk")</f>
        <v>DrSkimMilk</v>
      </c>
      <c r="D842" s="31" t="str">
        <f>IFERROR(__xludf.DUMMYFUNCTION("""COMPUTED_VALUE"""),"Merciless Mob")</f>
        <v>Merciless Mob</v>
      </c>
      <c r="E842" s="31">
        <f>IFERROR(__xludf.DUMMYFUNCTION("""COMPUTED_VALUE"""),29.75770672133299)</f>
        <v>29.75770672</v>
      </c>
      <c r="F842" s="31">
        <f>IFERROR(__xludf.DUMMYFUNCTION("""COMPUTED_VALUE"""),-4.7833458634763835)</f>
        <v>-4.783345863</v>
      </c>
      <c r="G842" s="31">
        <f>IFERROR(__xludf.DUMMYFUNCTION("""COMPUTED_VALUE"""),25.37053161145926)</f>
        <v>25.37053161</v>
      </c>
      <c r="H842" s="31">
        <f>IFERROR(__xludf.DUMMYFUNCTION("""COMPUTED_VALUE"""),-6.1626391251081865)</f>
        <v>-6.162639125</v>
      </c>
      <c r="I842" s="54">
        <f>IFERROR(__xludf.DUMMYFUNCTION("""COMPUTED_VALUE"""),39.0)</f>
        <v>39</v>
      </c>
      <c r="J842" s="55">
        <f>IFERROR(__xludf.DUMMYFUNCTION("""COMPUTED_VALUE"""),19.0)</f>
        <v>19</v>
      </c>
      <c r="K842" s="54">
        <f>IFERROR(__xludf.DUMMYFUNCTION("""COMPUTED_VALUE"""),20.0)</f>
        <v>20</v>
      </c>
      <c r="L842" s="56">
        <f>IFERROR(__xludf.DUMMYFUNCTION("""COMPUTED_VALUE"""),0.48717948717948717)</f>
        <v>0.4871794872</v>
      </c>
      <c r="M842" s="56">
        <f>IFERROR(__xludf.DUMMYFUNCTION("""COMPUTED_VALUE"""),0.3181818181818182)</f>
        <v>0.3181818182</v>
      </c>
      <c r="N842" s="31">
        <f>IFERROR(__xludf.DUMMYFUNCTION("""COMPUTED_VALUE"""),288.05128205128204)</f>
        <v>288.0512821</v>
      </c>
      <c r="O842" s="57">
        <f>IFERROR(__xludf.DUMMYFUNCTION("""COMPUTED_VALUE"""),0.717948717948718)</f>
        <v>0.7179487179</v>
      </c>
      <c r="P842" s="57">
        <f>IFERROR(__xludf.DUMMYFUNCTION("""COMPUTED_VALUE"""),0.28205128205128205)</f>
        <v>0.2820512821</v>
      </c>
      <c r="Q842" s="57">
        <f>IFERROR(__xludf.DUMMYFUNCTION("""COMPUTED_VALUE"""),1.1025641025641026)</f>
        <v>1.102564103</v>
      </c>
      <c r="R842" s="57">
        <f>IFERROR(__xludf.DUMMYFUNCTION("""COMPUTED_VALUE"""),2.2564102564102564)</f>
        <v>2.256410256</v>
      </c>
      <c r="S842" s="31">
        <f>IFERROR(__xludf.DUMMYFUNCTION("""COMPUTED_VALUE"""),340.991452991453)</f>
        <v>340.991453</v>
      </c>
      <c r="T842" s="57">
        <f>IFERROR(__xludf.DUMMYFUNCTION("""COMPUTED_VALUE"""),0.8034188034188033)</f>
        <v>0.8034188034</v>
      </c>
      <c r="U842" s="57">
        <f>IFERROR(__xludf.DUMMYFUNCTION("""COMPUTED_VALUE"""),0.6153846153846152)</f>
        <v>0.6153846154</v>
      </c>
      <c r="V842" s="57">
        <f>IFERROR(__xludf.DUMMYFUNCTION("""COMPUTED_VALUE"""),1.1367521367521367)</f>
        <v>1.136752137</v>
      </c>
      <c r="W842" s="57">
        <f>IFERROR(__xludf.DUMMYFUNCTION("""COMPUTED_VALUE"""),2.6410256410256405)</f>
        <v>2.641025641</v>
      </c>
      <c r="X842" s="31">
        <f>IFERROR(__xludf.DUMMYFUNCTION("""COMPUTED_VALUE"""),347.2159495307048)</f>
        <v>347.2159495</v>
      </c>
      <c r="Y842" s="57">
        <f>IFERROR(__xludf.DUMMYFUNCTION("""COMPUTED_VALUE"""),0.7628524441327362)</f>
        <v>0.7628524441</v>
      </c>
      <c r="Z842" s="57">
        <f>IFERROR(__xludf.DUMMYFUNCTION("""COMPUTED_VALUE"""),0.5621848631521252)</f>
        <v>0.5621848632</v>
      </c>
      <c r="AA842" s="57">
        <f>IFERROR(__xludf.DUMMYFUNCTION("""COMPUTED_VALUE"""),1.3185070780537718)</f>
        <v>1.318507078</v>
      </c>
      <c r="AB842" s="57">
        <f>IFERROR(__xludf.DUMMYFUNCTION("""COMPUTED_VALUE"""),2.542309038628242)</f>
        <v>2.542309039</v>
      </c>
      <c r="AC842" s="31">
        <f>IFERROR(__xludf.DUMMYFUNCTION("""COMPUTED_VALUE"""),344.7654256956017)</f>
        <v>344.7654257</v>
      </c>
      <c r="AD842" s="57">
        <f>IFERROR(__xludf.DUMMYFUNCTION("""COMPUTED_VALUE"""),0.7505557429561887)</f>
        <v>0.750555743</v>
      </c>
      <c r="AE842" s="57">
        <f>IFERROR(__xludf.DUMMYFUNCTION("""COMPUTED_VALUE"""),0.5382538050136007)</f>
        <v>0.538253805</v>
      </c>
      <c r="AF842" s="57">
        <f>IFERROR(__xludf.DUMMYFUNCTION("""COMPUTED_VALUE"""),1.3426876219150656)</f>
        <v>1.342687622</v>
      </c>
      <c r="AG842" s="57">
        <f>IFERROR(__xludf.DUMMYFUNCTION("""COMPUTED_VALUE"""),2.5643599784336795)</f>
        <v>2.564359978</v>
      </c>
      <c r="AH842" s="57">
        <f>IFERROR(__xludf.DUMMYFUNCTION("""COMPUTED_VALUE"""),0.8354993296387168)</f>
        <v>0.8354993296</v>
      </c>
      <c r="AI842" s="57">
        <f>IFERROR(__xludf.DUMMYFUNCTION("""COMPUTED_VALUE"""),0.9565561581355136)</f>
        <v>0.9565561581</v>
      </c>
      <c r="AJ842" s="57">
        <f>IFERROR(__xludf.DUMMYFUNCTION("""COMPUTED_VALUE"""),0.524011682637627)</f>
        <v>0.5240116826</v>
      </c>
      <c r="AK842" s="57">
        <f>IFERROR(__xludf.DUMMYFUNCTION("""COMPUTED_VALUE"""),0.821162036923766)</f>
        <v>0.8211620369</v>
      </c>
      <c r="AL842" s="57">
        <f>IFERROR(__xludf.DUMMYFUNCTION("""COMPUTED_VALUE"""),0.8799116642697256)</f>
        <v>0.8799116643</v>
      </c>
      <c r="AM842" s="57">
        <f>IFERROR(__xludf.DUMMYFUNCTION("""COMPUTED_VALUE"""),0.9820731261116755)</f>
        <v>0.9820731261</v>
      </c>
      <c r="AN842" s="57">
        <f>IFERROR(__xludf.DUMMYFUNCTION("""COMPUTED_VALUE"""),1.0531772030070452)</f>
        <v>1.053177203</v>
      </c>
      <c r="AO842" s="57">
        <f>IFERROR(__xludf.DUMMYFUNCTION("""COMPUTED_VALUE"""),1.0946303533222208)</f>
        <v>1.094630353</v>
      </c>
      <c r="AP842" s="35">
        <f>IFERROR(__xludf.DUMMYFUNCTION("""COMPUTED_VALUE"""),0.8621509551773353)</f>
        <v>0.8621509552</v>
      </c>
      <c r="AQ842" s="57">
        <f>IFERROR(__xludf.DUMMYFUNCTION("""COMPUTED_VALUE"""),1.0388295053423808)</f>
        <v>1.038829505</v>
      </c>
      <c r="AR842" s="36" t="b">
        <f>IFERROR(__xludf.DUMMYFUNCTION("""COMPUTED_VALUE"""),TRUE)</f>
        <v>1</v>
      </c>
      <c r="AS842" s="57"/>
      <c r="AT842" s="37"/>
      <c r="AU842" s="30"/>
      <c r="AV842" s="30"/>
      <c r="AW842" s="30"/>
      <c r="AX842" s="30"/>
      <c r="AY842" s="30"/>
      <c r="AZ842" s="30"/>
    </row>
    <row r="843">
      <c r="A843" s="30" t="str">
        <f>IFERROR(__xludf.DUMMYFUNCTION("""COMPUTED_VALUE"""),"Veteran")</f>
        <v>Veteran</v>
      </c>
      <c r="B843" s="30" t="str">
        <f>IFERROR(__xludf.DUMMYFUNCTION("""COMPUTED_VALUE"""),"RSC001007")</f>
        <v>RSC001007</v>
      </c>
      <c r="C843" s="30" t="str">
        <f>IFERROR(__xludf.DUMMYFUNCTION("""COMPUTED_VALUE"""),"Tdeez")</f>
        <v>Tdeez</v>
      </c>
      <c r="D843" s="31" t="str">
        <f>IFERROR(__xludf.DUMMYFUNCTION("""COMPUTED_VALUE"""),"Supernova")</f>
        <v>Supernova</v>
      </c>
      <c r="E843" s="31">
        <f>IFERROR(__xludf.DUMMYFUNCTION("""COMPUTED_VALUE"""),28.836473893414496)</f>
        <v>28.83647389</v>
      </c>
      <c r="F843" s="31">
        <f>IFERROR(__xludf.DUMMYFUNCTION("""COMPUTED_VALUE"""),-5.034600454796807)</f>
        <v>-5.034600455</v>
      </c>
      <c r="G843" s="31">
        <f>IFERROR(__xludf.DUMMYFUNCTION("""COMPUTED_VALUE"""),23.559673165925894)</f>
        <v>23.55967317</v>
      </c>
      <c r="H843" s="31">
        <f>IFERROR(__xludf.DUMMYFUNCTION("""COMPUTED_VALUE"""),-6.891041745703728)</f>
        <v>-6.891041746</v>
      </c>
      <c r="I843" s="54">
        <f>IFERROR(__xludf.DUMMYFUNCTION("""COMPUTED_VALUE"""),26.0)</f>
        <v>26</v>
      </c>
      <c r="J843" s="55">
        <f>IFERROR(__xludf.DUMMYFUNCTION("""COMPUTED_VALUE"""),8.0)</f>
        <v>8</v>
      </c>
      <c r="K843" s="54">
        <f>IFERROR(__xludf.DUMMYFUNCTION("""COMPUTED_VALUE"""),18.0)</f>
        <v>18</v>
      </c>
      <c r="L843" s="56">
        <f>IFERROR(__xludf.DUMMYFUNCTION("""COMPUTED_VALUE"""),0.3076923076923077)</f>
        <v>0.3076923077</v>
      </c>
      <c r="M843" s="56">
        <f>IFERROR(__xludf.DUMMYFUNCTION("""COMPUTED_VALUE"""),0.375)</f>
        <v>0.375</v>
      </c>
      <c r="N843" s="31">
        <f>IFERROR(__xludf.DUMMYFUNCTION("""COMPUTED_VALUE"""),328.0)</f>
        <v>328</v>
      </c>
      <c r="O843" s="57">
        <f>IFERROR(__xludf.DUMMYFUNCTION("""COMPUTED_VALUE"""),0.8076923076923077)</f>
        <v>0.8076923077</v>
      </c>
      <c r="P843" s="57">
        <f>IFERROR(__xludf.DUMMYFUNCTION("""COMPUTED_VALUE"""),0.4230769230769231)</f>
        <v>0.4230769231</v>
      </c>
      <c r="Q843" s="57">
        <f>IFERROR(__xludf.DUMMYFUNCTION("""COMPUTED_VALUE"""),1.5384615384615385)</f>
        <v>1.538461538</v>
      </c>
      <c r="R843" s="57">
        <f>IFERROR(__xludf.DUMMYFUNCTION("""COMPUTED_VALUE"""),2.1538461538461537)</f>
        <v>2.153846154</v>
      </c>
      <c r="S843" s="31">
        <f>IFERROR(__xludf.DUMMYFUNCTION("""COMPUTED_VALUE"""),389.9358974358974)</f>
        <v>389.9358974</v>
      </c>
      <c r="T843" s="57">
        <f>IFERROR(__xludf.DUMMYFUNCTION("""COMPUTED_VALUE"""),1.1153846153846152)</f>
        <v>1.115384615</v>
      </c>
      <c r="U843" s="57">
        <f>IFERROR(__xludf.DUMMYFUNCTION("""COMPUTED_VALUE"""),0.846153846153846)</f>
        <v>0.8461538462</v>
      </c>
      <c r="V843" s="57">
        <f>IFERROR(__xludf.DUMMYFUNCTION("""COMPUTED_VALUE"""),1.1153846153846154)</f>
        <v>1.115384615</v>
      </c>
      <c r="W843" s="57">
        <f>IFERROR(__xludf.DUMMYFUNCTION("""COMPUTED_VALUE"""),3.3205128205128207)</f>
        <v>3.320512821</v>
      </c>
      <c r="X843" s="31">
        <f>IFERROR(__xludf.DUMMYFUNCTION("""COMPUTED_VALUE"""),361.0030001517403)</f>
        <v>361.0030002</v>
      </c>
      <c r="Y843" s="57">
        <f>IFERROR(__xludf.DUMMYFUNCTION("""COMPUTED_VALUE"""),0.8144696063120317)</f>
        <v>0.8144696063</v>
      </c>
      <c r="Z843" s="57">
        <f>IFERROR(__xludf.DUMMYFUNCTION("""COMPUTED_VALUE"""),0.5862709541443378)</f>
        <v>0.5862709541</v>
      </c>
      <c r="AA843" s="57">
        <f>IFERROR(__xludf.DUMMYFUNCTION("""COMPUTED_VALUE"""),1.387733195520449)</f>
        <v>1.387733196</v>
      </c>
      <c r="AB843" s="57">
        <f>IFERROR(__xludf.DUMMYFUNCTION("""COMPUTED_VALUE"""),2.6897564334972306)</f>
        <v>2.689756433</v>
      </c>
      <c r="AC843" s="31">
        <f>IFERROR(__xludf.DUMMYFUNCTION("""COMPUTED_VALUE"""),357.7492951156224)</f>
        <v>357.7492951</v>
      </c>
      <c r="AD843" s="57">
        <f>IFERROR(__xludf.DUMMYFUNCTION("""COMPUTED_VALUE"""),0.7953532349323044)</f>
        <v>0.7953532349</v>
      </c>
      <c r="AE843" s="57">
        <f>IFERROR(__xludf.DUMMYFUNCTION("""COMPUTED_VALUE"""),0.5683378363422864)</f>
        <v>0.5683378363</v>
      </c>
      <c r="AF843" s="57">
        <f>IFERROR(__xludf.DUMMYFUNCTION("""COMPUTED_VALUE"""),1.3884192155149018)</f>
        <v>1.388419216</v>
      </c>
      <c r="AG843" s="57">
        <f>IFERROR(__xludf.DUMMYFUNCTION("""COMPUTED_VALUE"""),2.6855299414049663)</f>
        <v>2.685529941</v>
      </c>
      <c r="AH843" s="57">
        <f>IFERROR(__xludf.DUMMYFUNCTION("""COMPUTED_VALUE"""),0.9168431761521498)</f>
        <v>0.9168431762</v>
      </c>
      <c r="AI843" s="57">
        <f>IFERROR(__xludf.DUMMYFUNCTION("""COMPUTED_VALUE"""),1.0155139530689827)</f>
        <v>1.015513953</v>
      </c>
      <c r="AJ843" s="57">
        <f>IFERROR(__xludf.DUMMYFUNCTION("""COMPUTED_VALUE"""),0.7444109753448147)</f>
        <v>0.7444109753</v>
      </c>
      <c r="AK843" s="57">
        <f>IFERROR(__xludf.DUMMYFUNCTION("""COMPUTED_VALUE"""),1.1080670169859272)</f>
        <v>1.108067017</v>
      </c>
      <c r="AL843" s="57">
        <f>IFERROR(__xludf.DUMMYFUNCTION("""COMPUTED_VALUE"""),0.8020190431089903)</f>
        <v>0.8020190431</v>
      </c>
      <c r="AM843" s="57">
        <f>IFERROR(__xludf.DUMMYFUNCTION("""COMPUTED_VALUE"""),1.0801458638072141)</f>
        <v>1.080145864</v>
      </c>
      <c r="AN843" s="57">
        <f>IFERROR(__xludf.DUMMYFUNCTION("""COMPUTED_VALUE"""),1.3694613116812855)</f>
        <v>1.369461312</v>
      </c>
      <c r="AO843" s="57">
        <f>IFERROR(__xludf.DUMMYFUNCTION("""COMPUTED_VALUE"""),1.4432811998827524)</f>
        <v>1.4432812</v>
      </c>
      <c r="AP843" s="35">
        <f>IFERROR(__xludf.DUMMYFUNCTION("""COMPUTED_VALUE"""),0.8037457192672448)</f>
        <v>0.8037457193</v>
      </c>
      <c r="AQ843" s="57">
        <f>IFERROR(__xludf.DUMMYFUNCTION("""COMPUTED_VALUE"""),1.234503161386802)</f>
        <v>1.234503161</v>
      </c>
      <c r="AR843" s="36" t="b">
        <f>IFERROR(__xludf.DUMMYFUNCTION("""COMPUTED_VALUE"""),TRUE)</f>
        <v>1</v>
      </c>
      <c r="AS843" s="57"/>
      <c r="AT843" s="37"/>
      <c r="AU843" s="30"/>
      <c r="AV843" s="30"/>
      <c r="AW843" s="30"/>
      <c r="AX843" s="30"/>
      <c r="AY843" s="30"/>
      <c r="AZ843" s="30"/>
    </row>
    <row r="844">
      <c r="A844" s="30" t="str">
        <f>IFERROR(__xludf.DUMMYFUNCTION("""COMPUTED_VALUE"""),"Veteran")</f>
        <v>Veteran</v>
      </c>
      <c r="B844" s="30" t="str">
        <f>IFERROR(__xludf.DUMMYFUNCTION("""COMPUTED_VALUE"""),"RSC000796")</f>
        <v>RSC000796</v>
      </c>
      <c r="C844" s="30" t="str">
        <f>IFERROR(__xludf.DUMMYFUNCTION("""COMPUTED_VALUE"""),"hoyci")</f>
        <v>hoyci</v>
      </c>
      <c r="D844" s="31" t="str">
        <f>IFERROR(__xludf.DUMMYFUNCTION("""COMPUTED_VALUE"""),"Dread")</f>
        <v>Dread</v>
      </c>
      <c r="E844" s="31">
        <f>IFERROR(__xludf.DUMMYFUNCTION("""COMPUTED_VALUE"""),27.28533676579122)</f>
        <v>27.28533677</v>
      </c>
      <c r="F844" s="31">
        <f>IFERROR(__xludf.DUMMYFUNCTION("""COMPUTED_VALUE"""),-5.501027843241804)</f>
        <v>-5.501027843</v>
      </c>
      <c r="G844" s="31">
        <f>IFERROR(__xludf.DUMMYFUNCTION("""COMPUTED_VALUE"""),30.139006271768025)</f>
        <v>30.13900627</v>
      </c>
      <c r="H844" s="31">
        <f>IFERROR(__xludf.DUMMYFUNCTION("""COMPUTED_VALUE"""),-4.684504791266464)</f>
        <v>-4.684504791</v>
      </c>
      <c r="I844" s="54">
        <f>IFERROR(__xludf.DUMMYFUNCTION("""COMPUTED_VALUE"""),30.0)</f>
        <v>30</v>
      </c>
      <c r="J844" s="55">
        <f>IFERROR(__xludf.DUMMYFUNCTION("""COMPUTED_VALUE"""),13.0)</f>
        <v>13</v>
      </c>
      <c r="K844" s="54">
        <f>IFERROR(__xludf.DUMMYFUNCTION("""COMPUTED_VALUE"""),17.0)</f>
        <v>17</v>
      </c>
      <c r="L844" s="56">
        <f>IFERROR(__xludf.DUMMYFUNCTION("""COMPUTED_VALUE"""),0.43333333333333335)</f>
        <v>0.4333333333</v>
      </c>
      <c r="M844" s="56">
        <f>IFERROR(__xludf.DUMMYFUNCTION("""COMPUTED_VALUE"""),0.3275862068965517)</f>
        <v>0.3275862069</v>
      </c>
      <c r="N844" s="31">
        <f>IFERROR(__xludf.DUMMYFUNCTION("""COMPUTED_VALUE"""),286.1333333333333)</f>
        <v>286.1333333</v>
      </c>
      <c r="O844" s="57">
        <f>IFERROR(__xludf.DUMMYFUNCTION("""COMPUTED_VALUE"""),0.6333333333333333)</f>
        <v>0.6333333333</v>
      </c>
      <c r="P844" s="57">
        <f>IFERROR(__xludf.DUMMYFUNCTION("""COMPUTED_VALUE"""),0.4666666666666667)</f>
        <v>0.4666666667</v>
      </c>
      <c r="Q844" s="57">
        <f>IFERROR(__xludf.DUMMYFUNCTION("""COMPUTED_VALUE"""),1.1333333333333333)</f>
        <v>1.133333333</v>
      </c>
      <c r="R844" s="57">
        <f>IFERROR(__xludf.DUMMYFUNCTION("""COMPUTED_VALUE"""),1.9333333333333333)</f>
        <v>1.933333333</v>
      </c>
      <c r="S844" s="31">
        <f>IFERROR(__xludf.DUMMYFUNCTION("""COMPUTED_VALUE"""),334.55555555555554)</f>
        <v>334.5555556</v>
      </c>
      <c r="T844" s="57">
        <f>IFERROR(__xludf.DUMMYFUNCTION("""COMPUTED_VALUE"""),0.7555555555555553)</f>
        <v>0.7555555556</v>
      </c>
      <c r="U844" s="57">
        <f>IFERROR(__xludf.DUMMYFUNCTION("""COMPUTED_VALUE"""),0.5555555555555555)</f>
        <v>0.5555555556</v>
      </c>
      <c r="V844" s="57">
        <f>IFERROR(__xludf.DUMMYFUNCTION("""COMPUTED_VALUE"""),1.1000000000000003)</f>
        <v>1.1</v>
      </c>
      <c r="W844" s="57">
        <f>IFERROR(__xludf.DUMMYFUNCTION("""COMPUTED_VALUE"""),2.488888888888889)</f>
        <v>2.488888889</v>
      </c>
      <c r="X844" s="31">
        <f>IFERROR(__xludf.DUMMYFUNCTION("""COMPUTED_VALUE"""),337.15437123808573)</f>
        <v>337.1543712</v>
      </c>
      <c r="Y844" s="57">
        <f>IFERROR(__xludf.DUMMYFUNCTION("""COMPUTED_VALUE"""),0.7183160687916315)</f>
        <v>0.7183160688</v>
      </c>
      <c r="Z844" s="57">
        <f>IFERROR(__xludf.DUMMYFUNCTION("""COMPUTED_VALUE"""),0.5317389184439149)</f>
        <v>0.5317389184</v>
      </c>
      <c r="AA844" s="57">
        <f>IFERROR(__xludf.DUMMYFUNCTION("""COMPUTED_VALUE"""),1.3104618674649273)</f>
        <v>1.310461867</v>
      </c>
      <c r="AB844" s="57">
        <f>IFERROR(__xludf.DUMMYFUNCTION("""COMPUTED_VALUE"""),2.5085708814066408)</f>
        <v>2.508570881</v>
      </c>
      <c r="AC844" s="31">
        <f>IFERROR(__xludf.DUMMYFUNCTION("""COMPUTED_VALUE"""),362.752703226393)</f>
        <v>362.7527032</v>
      </c>
      <c r="AD844" s="57">
        <f>IFERROR(__xludf.DUMMYFUNCTION("""COMPUTED_VALUE"""),0.8550842757737459)</f>
        <v>0.8550842758</v>
      </c>
      <c r="AE844" s="57">
        <f>IFERROR(__xludf.DUMMYFUNCTION("""COMPUTED_VALUE"""),0.6368763313962513)</f>
        <v>0.6368763314</v>
      </c>
      <c r="AF844" s="57">
        <f>IFERROR(__xludf.DUMMYFUNCTION("""COMPUTED_VALUE"""),1.3286195552953333)</f>
        <v>1.328619555</v>
      </c>
      <c r="AG844" s="57">
        <f>IFERROR(__xludf.DUMMYFUNCTION("""COMPUTED_VALUE"""),2.7083670721939517)</f>
        <v>2.708367072</v>
      </c>
      <c r="AH844" s="57">
        <f>IFERROR(__xludf.DUMMYFUNCTION("""COMPUTED_VALUE"""),0.7887834626410992)</f>
        <v>0.7887834626</v>
      </c>
      <c r="AI844" s="57">
        <f>IFERROR(__xludf.DUMMYFUNCTION("""COMPUTED_VALUE"""),0.7406677344876266)</f>
        <v>0.7406677345</v>
      </c>
      <c r="AJ844" s="57">
        <f>IFERROR(__xludf.DUMMYFUNCTION("""COMPUTED_VALUE"""),0.7327429889623521)</f>
        <v>0.732742989</v>
      </c>
      <c r="AK844" s="57">
        <f>IFERROR(__xludf.DUMMYFUNCTION("""COMPUTED_VALUE"""),0.8530156949868236)</f>
        <v>0.853015695</v>
      </c>
      <c r="AL844" s="57">
        <f>IFERROR(__xludf.DUMMYFUNCTION("""COMPUTED_VALUE"""),0.7138372612716817)</f>
        <v>0.7138372613</v>
      </c>
      <c r="AM844" s="57">
        <f>IFERROR(__xludf.DUMMYFUNCTION("""COMPUTED_VALUE"""),0.9922919116457339)</f>
        <v>0.9922919116</v>
      </c>
      <c r="AN844" s="57">
        <f>IFERROR(__xludf.DUMMYFUNCTION("""COMPUTED_VALUE"""),1.0518427588938237)</f>
        <v>1.051842759</v>
      </c>
      <c r="AO844" s="57">
        <f>IFERROR(__xludf.DUMMYFUNCTION("""COMPUTED_VALUE"""),1.0447900958262333)</f>
        <v>1.044790096</v>
      </c>
      <c r="AP844" s="35">
        <f>IFERROR(__xludf.DUMMYFUNCTION("""COMPUTED_VALUE"""),0.8393987091955122)</f>
        <v>0.8393987092</v>
      </c>
      <c r="AQ844" s="57">
        <f>IFERROR(__xludf.DUMMYFUNCTION("""COMPUTED_VALUE"""),0.9921541014991311)</f>
        <v>0.9921541015</v>
      </c>
      <c r="AR844" s="36" t="b">
        <f>IFERROR(__xludf.DUMMYFUNCTION("""COMPUTED_VALUE"""),TRUE)</f>
        <v>1</v>
      </c>
      <c r="AS844" s="57"/>
      <c r="AT844" s="37"/>
      <c r="AU844" s="30"/>
      <c r="AV844" s="30"/>
      <c r="AW844" s="30"/>
      <c r="AX844" s="30"/>
      <c r="AY844" s="30"/>
      <c r="AZ844" s="30"/>
    </row>
    <row r="845">
      <c r="A845" s="30" t="str">
        <f>IFERROR(__xludf.DUMMYFUNCTION("""COMPUTED_VALUE"""),"Veteran")</f>
        <v>Veteran</v>
      </c>
      <c r="B845" s="30" t="str">
        <f>IFERROR(__xludf.DUMMYFUNCTION("""COMPUTED_VALUE"""),"RSC003887")</f>
        <v>RSC003887</v>
      </c>
      <c r="C845" s="30" t="str">
        <f>IFERROR(__xludf.DUMMYFUNCTION("""COMPUTED_VALUE"""),"Cundy")</f>
        <v>Cundy</v>
      </c>
      <c r="D845" s="31" t="str">
        <f>IFERROR(__xludf.DUMMYFUNCTION("""COMPUTED_VALUE"""),"Possessed")</f>
        <v>Possessed</v>
      </c>
      <c r="E845" s="31">
        <f>IFERROR(__xludf.DUMMYFUNCTION("""COMPUTED_VALUE"""),26.98420774025879)</f>
        <v>26.98420774</v>
      </c>
      <c r="F845" s="31">
        <f>IFERROR(__xludf.DUMMYFUNCTION("""COMPUTED_VALUE"""),-5.59843410133335)</f>
        <v>-5.598434101</v>
      </c>
      <c r="G845" s="31">
        <f>IFERROR(__xludf.DUMMYFUNCTION("""COMPUTED_VALUE"""),33.80895755230809)</f>
        <v>33.80895755</v>
      </c>
      <c r="H845" s="31">
        <f>IFERROR(__xludf.DUMMYFUNCTION("""COMPUTED_VALUE"""),-3.866851009024394)</f>
        <v>-3.866851009</v>
      </c>
      <c r="I845" s="54">
        <f>IFERROR(__xludf.DUMMYFUNCTION("""COMPUTED_VALUE"""),41.0)</f>
        <v>41</v>
      </c>
      <c r="J845" s="55">
        <f>IFERROR(__xludf.DUMMYFUNCTION("""COMPUTED_VALUE"""),17.0)</f>
        <v>17</v>
      </c>
      <c r="K845" s="54">
        <f>IFERROR(__xludf.DUMMYFUNCTION("""COMPUTED_VALUE"""),24.0)</f>
        <v>24</v>
      </c>
      <c r="L845" s="56">
        <f>IFERROR(__xludf.DUMMYFUNCTION("""COMPUTED_VALUE"""),0.4146341463414634)</f>
        <v>0.4146341463</v>
      </c>
      <c r="M845" s="56">
        <f>IFERROR(__xludf.DUMMYFUNCTION("""COMPUTED_VALUE"""),0.19047619047619047)</f>
        <v>0.1904761905</v>
      </c>
      <c r="N845" s="31">
        <f>IFERROR(__xludf.DUMMYFUNCTION("""COMPUTED_VALUE"""),296.4146341463415)</f>
        <v>296.4146341</v>
      </c>
      <c r="O845" s="57">
        <f>IFERROR(__xludf.DUMMYFUNCTION("""COMPUTED_VALUE"""),0.3902439024390244)</f>
        <v>0.3902439024</v>
      </c>
      <c r="P845" s="57">
        <f>IFERROR(__xludf.DUMMYFUNCTION("""COMPUTED_VALUE"""),0.6829268292682927)</f>
        <v>0.6829268293</v>
      </c>
      <c r="Q845" s="57">
        <f>IFERROR(__xludf.DUMMYFUNCTION("""COMPUTED_VALUE"""),1.048780487804878)</f>
        <v>1.048780488</v>
      </c>
      <c r="R845" s="57">
        <f>IFERROR(__xludf.DUMMYFUNCTION("""COMPUTED_VALUE"""),2.048780487804878)</f>
        <v>2.048780488</v>
      </c>
      <c r="S845" s="31">
        <f>IFERROR(__xludf.DUMMYFUNCTION("""COMPUTED_VALUE"""),376.7398373983741)</f>
        <v>376.7398374</v>
      </c>
      <c r="T845" s="57">
        <f>IFERROR(__xludf.DUMMYFUNCTION("""COMPUTED_VALUE"""),0.894308943089431)</f>
        <v>0.8943089431</v>
      </c>
      <c r="U845" s="57">
        <f>IFERROR(__xludf.DUMMYFUNCTION("""COMPUTED_VALUE"""),0.6829268292682927)</f>
        <v>0.6829268293</v>
      </c>
      <c r="V845" s="57">
        <f>IFERROR(__xludf.DUMMYFUNCTION("""COMPUTED_VALUE"""),1.3983739837398377)</f>
        <v>1.398373984</v>
      </c>
      <c r="W845" s="57">
        <f>IFERROR(__xludf.DUMMYFUNCTION("""COMPUTED_VALUE"""),2.504065040650407)</f>
        <v>2.504065041</v>
      </c>
      <c r="X845" s="31">
        <f>IFERROR(__xludf.DUMMYFUNCTION("""COMPUTED_VALUE"""),354.94270553490793)</f>
        <v>354.9427055</v>
      </c>
      <c r="Y845" s="57">
        <f>IFERROR(__xludf.DUMMYFUNCTION("""COMPUTED_VALUE"""),0.7705739010429904)</f>
        <v>0.770573901</v>
      </c>
      <c r="Z845" s="57">
        <f>IFERROR(__xludf.DUMMYFUNCTION("""COMPUTED_VALUE"""),0.563723391999955)</f>
        <v>0.563723392</v>
      </c>
      <c r="AA845" s="57">
        <f>IFERROR(__xludf.DUMMYFUNCTION("""COMPUTED_VALUE"""),1.3842721434249343)</f>
        <v>1.384272143</v>
      </c>
      <c r="AB845" s="57">
        <f>IFERROR(__xludf.DUMMYFUNCTION("""COMPUTED_VALUE"""),2.6283785999073777)</f>
        <v>2.6283786</v>
      </c>
      <c r="AC845" s="31">
        <f>IFERROR(__xludf.DUMMYFUNCTION("""COMPUTED_VALUE"""),348.8847853915236)</f>
        <v>348.8847854</v>
      </c>
      <c r="AD845" s="57">
        <f>IFERROR(__xludf.DUMMYFUNCTION("""COMPUTED_VALUE"""),0.7492760044615929)</f>
        <v>0.7492760045</v>
      </c>
      <c r="AE845" s="57">
        <f>IFERROR(__xludf.DUMMYFUNCTION("""COMPUTED_VALUE"""),0.5497021039053779)</f>
        <v>0.5497021039</v>
      </c>
      <c r="AF845" s="57">
        <f>IFERROR(__xludf.DUMMYFUNCTION("""COMPUTED_VALUE"""),1.3473850805643026)</f>
        <v>1.347385081</v>
      </c>
      <c r="AG845" s="57">
        <f>IFERROR(__xludf.DUMMYFUNCTION("""COMPUTED_VALUE"""),2.614764732400446)</f>
        <v>2.614764732</v>
      </c>
      <c r="AH845" s="57">
        <f>IFERROR(__xludf.DUMMYFUNCTION("""COMPUTED_VALUE"""),0.8496060778738191)</f>
        <v>0.8496060779</v>
      </c>
      <c r="AI845" s="57">
        <f>IFERROR(__xludf.DUMMYFUNCTION("""COMPUTED_VALUE"""),0.5208279727567705)</f>
        <v>0.5208279728</v>
      </c>
      <c r="AJ845" s="57">
        <f>IFERROR(__xludf.DUMMYFUNCTION("""COMPUTED_VALUE"""),1.2423580415945565)</f>
        <v>1.242358042</v>
      </c>
      <c r="AK845" s="57">
        <f>IFERROR(__xludf.DUMMYFUNCTION("""COMPUTED_VALUE"""),0.7783821440012049)</f>
        <v>0.778382144</v>
      </c>
      <c r="AL845" s="57">
        <f>IFERROR(__xludf.DUMMYFUNCTION("""COMPUTED_VALUE"""),0.7835429560517383)</f>
        <v>0.7835429561</v>
      </c>
      <c r="AM845" s="57">
        <f>IFERROR(__xludf.DUMMYFUNCTION("""COMPUTED_VALUE"""),1.0614102826274943)</f>
        <v>1.061410283</v>
      </c>
      <c r="AN845" s="57">
        <f>IFERROR(__xludf.DUMMYFUNCTION("""COMPUTED_VALUE"""),1.1605751789399592)</f>
        <v>1.160575179</v>
      </c>
      <c r="AO845" s="57">
        <f>IFERROR(__xludf.DUMMYFUNCTION("""COMPUTED_VALUE"""),1.2114573192455835)</f>
        <v>1.211457319</v>
      </c>
      <c r="AP845" s="35">
        <f>IFERROR(__xludf.DUMMYFUNCTION("""COMPUTED_VALUE"""),1.0101871878169946)</f>
        <v>1.010187188</v>
      </c>
      <c r="AQ845" s="57">
        <f>IFERROR(__xludf.DUMMYFUNCTION("""COMPUTED_VALUE"""),0.9527033284849635)</f>
        <v>0.9527033285</v>
      </c>
      <c r="AR845" s="36" t="b">
        <f>IFERROR(__xludf.DUMMYFUNCTION("""COMPUTED_VALUE"""),TRUE)</f>
        <v>1</v>
      </c>
      <c r="AS845" s="57"/>
      <c r="AT845" s="37"/>
      <c r="AU845" s="30"/>
      <c r="AV845" s="30"/>
      <c r="AW845" s="30"/>
      <c r="AX845" s="30"/>
      <c r="AY845" s="30"/>
      <c r="AZ845" s="30"/>
    </row>
    <row r="846">
      <c r="A846" s="30" t="str">
        <f>IFERROR(__xludf.DUMMYFUNCTION("""COMPUTED_VALUE"""),"Veteran")</f>
        <v>Veteran</v>
      </c>
      <c r="B846" s="30" t="str">
        <f>IFERROR(__xludf.DUMMYFUNCTION("""COMPUTED_VALUE"""),"RSC006531")</f>
        <v>RSC006531</v>
      </c>
      <c r="C846" s="30" t="str">
        <f>IFERROR(__xludf.DUMMYFUNCTION("""COMPUTED_VALUE"""),"Corners-")</f>
        <v>Corners-</v>
      </c>
      <c r="D846" s="31"/>
      <c r="E846" s="31">
        <f>IFERROR(__xludf.DUMMYFUNCTION("""COMPUTED_VALUE"""),26.489249159381604)</f>
        <v>26.48924916</v>
      </c>
      <c r="F846" s="31">
        <f>IFERROR(__xludf.DUMMYFUNCTION("""COMPUTED_VALUE"""),-5.763738214336973)</f>
        <v>-5.763738214</v>
      </c>
      <c r="G846" s="31">
        <f>IFERROR(__xludf.DUMMYFUNCTION("""COMPUTED_VALUE"""),29.69179005675169)</f>
        <v>29.69179006</v>
      </c>
      <c r="H846" s="31">
        <f>IFERROR(__xludf.DUMMYFUNCTION("""COMPUTED_VALUE"""),-4.8007310177885065)</f>
        <v>-4.800731018</v>
      </c>
      <c r="I846" s="54">
        <f>IFERROR(__xludf.DUMMYFUNCTION("""COMPUTED_VALUE"""),4.0)</f>
        <v>4</v>
      </c>
      <c r="J846" s="55">
        <f>IFERROR(__xludf.DUMMYFUNCTION("""COMPUTED_VALUE"""),1.0)</f>
        <v>1</v>
      </c>
      <c r="K846" s="54">
        <f>IFERROR(__xludf.DUMMYFUNCTION("""COMPUTED_VALUE"""),3.0)</f>
        <v>3</v>
      </c>
      <c r="L846" s="56">
        <f>IFERROR(__xludf.DUMMYFUNCTION("""COMPUTED_VALUE"""),0.25)</f>
        <v>0.25</v>
      </c>
      <c r="M846" s="56">
        <f>IFERROR(__xludf.DUMMYFUNCTION("""COMPUTED_VALUE"""),0.16666666666666666)</f>
        <v>0.1666666667</v>
      </c>
      <c r="N846" s="31">
        <f>IFERROR(__xludf.DUMMYFUNCTION("""COMPUTED_VALUE"""),261.0)</f>
        <v>261</v>
      </c>
      <c r="O846" s="57">
        <f>IFERROR(__xludf.DUMMYFUNCTION("""COMPUTED_VALUE"""),0.5)</f>
        <v>0.5</v>
      </c>
      <c r="P846" s="57">
        <f>IFERROR(__xludf.DUMMYFUNCTION("""COMPUTED_VALUE"""),0.75)</f>
        <v>0.75</v>
      </c>
      <c r="Q846" s="57">
        <f>IFERROR(__xludf.DUMMYFUNCTION("""COMPUTED_VALUE"""),0.5)</f>
        <v>0.5</v>
      </c>
      <c r="R846" s="57">
        <f>IFERROR(__xludf.DUMMYFUNCTION("""COMPUTED_VALUE"""),3.0)</f>
        <v>3</v>
      </c>
      <c r="S846" s="31">
        <f>IFERROR(__xludf.DUMMYFUNCTION("""COMPUTED_VALUE"""),414.33333333333337)</f>
        <v>414.3333333</v>
      </c>
      <c r="T846" s="57">
        <f>IFERROR(__xludf.DUMMYFUNCTION("""COMPUTED_VALUE"""),1.0)</f>
        <v>1</v>
      </c>
      <c r="U846" s="57">
        <f>IFERROR(__xludf.DUMMYFUNCTION("""COMPUTED_VALUE"""),0.6666666666666666)</f>
        <v>0.6666666667</v>
      </c>
      <c r="V846" s="57">
        <f>IFERROR(__xludf.DUMMYFUNCTION("""COMPUTED_VALUE"""),1.9166666666666667)</f>
        <v>1.916666667</v>
      </c>
      <c r="W846" s="57">
        <f>IFERROR(__xludf.DUMMYFUNCTION("""COMPUTED_VALUE"""),1.9166666666666665)</f>
        <v>1.916666667</v>
      </c>
      <c r="X846" s="31">
        <f>IFERROR(__xludf.DUMMYFUNCTION("""COMPUTED_VALUE"""),321.7665727321525)</f>
        <v>321.7665727</v>
      </c>
      <c r="Y846" s="57">
        <f>IFERROR(__xludf.DUMMYFUNCTION("""COMPUTED_VALUE"""),0.5856481481481481)</f>
        <v>0.5856481481</v>
      </c>
      <c r="Z846" s="57">
        <f>IFERROR(__xludf.DUMMYFUNCTION("""COMPUTED_VALUE"""),0.39469269994632317)</f>
        <v>0.3946926999</v>
      </c>
      <c r="AA846" s="57">
        <f>IFERROR(__xludf.DUMMYFUNCTION("""COMPUTED_VALUE"""),1.4253891572732151)</f>
        <v>1.425389157</v>
      </c>
      <c r="AB846" s="57">
        <f>IFERROR(__xludf.DUMMYFUNCTION("""COMPUTED_VALUE"""),2.3219269994632312)</f>
        <v>2.321926999</v>
      </c>
      <c r="AC846" s="31">
        <f>IFERROR(__xludf.DUMMYFUNCTION("""COMPUTED_VALUE"""),344.2131642512077)</f>
        <v>344.2131643</v>
      </c>
      <c r="AD846" s="57">
        <f>IFERROR(__xludf.DUMMYFUNCTION("""COMPUTED_VALUE"""),0.739175165503668)</f>
        <v>0.7391751655</v>
      </c>
      <c r="AE846" s="57">
        <f>IFERROR(__xludf.DUMMYFUNCTION("""COMPUTED_VALUE"""),0.5262233852209697)</f>
        <v>0.5262233852</v>
      </c>
      <c r="AF846" s="57">
        <f>IFERROR(__xludf.DUMMYFUNCTION("""COMPUTED_VALUE"""),1.3797190910717478)</f>
        <v>1.379719091</v>
      </c>
      <c r="AG846" s="57">
        <f>IFERROR(__xludf.DUMMYFUNCTION("""COMPUTED_VALUE"""),2.6716876901055646)</f>
        <v>2.67168769</v>
      </c>
      <c r="AH846" s="57">
        <f>IFERROR(__xludf.DUMMYFUNCTION("""COMPUTED_VALUE"""),0.7582510697049387)</f>
        <v>0.7582510697</v>
      </c>
      <c r="AI846" s="57">
        <f>IFERROR(__xludf.DUMMYFUNCTION("""COMPUTED_VALUE"""),0.6764296520423599)</f>
        <v>0.676429652</v>
      </c>
      <c r="AJ846" s="57">
        <f>IFERROR(__xludf.DUMMYFUNCTION("""COMPUTED_VALUE"""),1.4252502284463526)</f>
        <v>1.425250228</v>
      </c>
      <c r="AK846" s="57">
        <f>IFERROR(__xludf.DUMMYFUNCTION("""COMPUTED_VALUE"""),0.3623926082023019)</f>
        <v>0.3623926082</v>
      </c>
      <c r="AL846" s="57">
        <f>IFERROR(__xludf.DUMMYFUNCTION("""COMPUTED_VALUE"""),1.1228857366489056)</f>
        <v>1.122885737</v>
      </c>
      <c r="AM846" s="57">
        <f>IFERROR(__xludf.DUMMYFUNCTION("""COMPUTED_VALUE"""),1.2876829616426193)</f>
        <v>1.287682962</v>
      </c>
      <c r="AN846" s="57">
        <f>IFERROR(__xludf.DUMMYFUNCTION("""COMPUTED_VALUE"""),1.707509881422925)</f>
        <v>1.707509881</v>
      </c>
      <c r="AO846" s="57">
        <f>IFERROR(__xludf.DUMMYFUNCTION("""COMPUTED_VALUE"""),1.6890777730556734)</f>
        <v>1.689077773</v>
      </c>
      <c r="AP846" s="35">
        <f>IFERROR(__xludf.DUMMYFUNCTION("""COMPUTED_VALUE"""),1.344662022218038)</f>
        <v>1.344662022</v>
      </c>
      <c r="AQ846" s="57">
        <f>IFERROR(__xludf.DUMMYFUNCTION("""COMPUTED_VALUE"""),0.8254637924059411)</f>
        <v>0.8254637924</v>
      </c>
      <c r="AR846" s="36" t="b">
        <f>IFERROR(__xludf.DUMMYFUNCTION("""COMPUTED_VALUE"""),TRUE)</f>
        <v>1</v>
      </c>
      <c r="AS846" s="57"/>
      <c r="AT846" s="37"/>
      <c r="AU846" s="30"/>
      <c r="AV846" s="30"/>
      <c r="AW846" s="30"/>
      <c r="AX846" s="30"/>
      <c r="AY846" s="30"/>
      <c r="AZ846" s="30"/>
    </row>
    <row r="847">
      <c r="A847" s="30" t="str">
        <f>IFERROR(__xludf.DUMMYFUNCTION("""COMPUTED_VALUE"""),"Veteran")</f>
        <v>Veteran</v>
      </c>
      <c r="B847" s="30" t="str">
        <f>IFERROR(__xludf.DUMMYFUNCTION("""COMPUTED_VALUE"""),"RSC007625")</f>
        <v>RSC007625</v>
      </c>
      <c r="C847" s="30" t="str">
        <f>IFERROR(__xludf.DUMMYFUNCTION("""COMPUTED_VALUE"""),"assassin_funny.")</f>
        <v>assassin_funny.</v>
      </c>
      <c r="D847" s="31" t="str">
        <f>IFERROR(__xludf.DUMMYFUNCTION("""COMPUTED_VALUE"""),"Mellow Fellows")</f>
        <v>Mellow Fellows</v>
      </c>
      <c r="E847" s="31">
        <f>IFERROR(__xludf.DUMMYFUNCTION("""COMPUTED_VALUE"""),25.888659037798362)</f>
        <v>25.88865904</v>
      </c>
      <c r="F847" s="31">
        <f>IFERROR(__xludf.DUMMYFUNCTION("""COMPUTED_VALUE"""),-5.973384843044303)</f>
        <v>-5.973384843</v>
      </c>
      <c r="G847" s="31">
        <f>IFERROR(__xludf.DUMMYFUNCTION("""COMPUTED_VALUE"""),28.074257102923177)</f>
        <v>28.0742571</v>
      </c>
      <c r="H847" s="31">
        <f>IFERROR(__xludf.DUMMYFUNCTION("""COMPUTED_VALUE"""),-5.25664936219201)</f>
        <v>-5.256649362</v>
      </c>
      <c r="I847" s="54">
        <f>IFERROR(__xludf.DUMMYFUNCTION("""COMPUTED_VALUE"""),11.0)</f>
        <v>11</v>
      </c>
      <c r="J847" s="55">
        <f>IFERROR(__xludf.DUMMYFUNCTION("""COMPUTED_VALUE"""),3.0)</f>
        <v>3</v>
      </c>
      <c r="K847" s="54">
        <f>IFERROR(__xludf.DUMMYFUNCTION("""COMPUTED_VALUE"""),8.0)</f>
        <v>8</v>
      </c>
      <c r="L847" s="56">
        <f>IFERROR(__xludf.DUMMYFUNCTION("""COMPUTED_VALUE"""),0.2727272727272727)</f>
        <v>0.2727272727</v>
      </c>
      <c r="M847" s="56">
        <f>IFERROR(__xludf.DUMMYFUNCTION("""COMPUTED_VALUE"""),0.19999999999999998)</f>
        <v>0.2</v>
      </c>
      <c r="N847" s="31">
        <f>IFERROR(__xludf.DUMMYFUNCTION("""COMPUTED_VALUE"""),327.1818181818182)</f>
        <v>327.1818182</v>
      </c>
      <c r="O847" s="57">
        <f>IFERROR(__xludf.DUMMYFUNCTION("""COMPUTED_VALUE"""),0.45454545454545453)</f>
        <v>0.4545454545</v>
      </c>
      <c r="P847" s="57">
        <f>IFERROR(__xludf.DUMMYFUNCTION("""COMPUTED_VALUE"""),0.7272727272727273)</f>
        <v>0.7272727273</v>
      </c>
      <c r="Q847" s="57">
        <f>IFERROR(__xludf.DUMMYFUNCTION("""COMPUTED_VALUE"""),1.7272727272727273)</f>
        <v>1.727272727</v>
      </c>
      <c r="R847" s="57">
        <f>IFERROR(__xludf.DUMMYFUNCTION("""COMPUTED_VALUE"""),2.272727272727273)</f>
        <v>2.272727273</v>
      </c>
      <c r="S847" s="31">
        <f>IFERROR(__xludf.DUMMYFUNCTION("""COMPUTED_VALUE"""),397.27272727272725)</f>
        <v>397.2727273</v>
      </c>
      <c r="T847" s="57">
        <f>IFERROR(__xludf.DUMMYFUNCTION("""COMPUTED_VALUE"""),1.0)</f>
        <v>1</v>
      </c>
      <c r="U847" s="57">
        <f>IFERROR(__xludf.DUMMYFUNCTION("""COMPUTED_VALUE"""),0.7878787878787878)</f>
        <v>0.7878787879</v>
      </c>
      <c r="V847" s="57">
        <f>IFERROR(__xludf.DUMMYFUNCTION("""COMPUTED_VALUE"""),1.575757575757576)</f>
        <v>1.575757576</v>
      </c>
      <c r="W847" s="57">
        <f>IFERROR(__xludf.DUMMYFUNCTION("""COMPUTED_VALUE"""),3.424242424242424)</f>
        <v>3.424242424</v>
      </c>
      <c r="X847" s="31">
        <f>IFERROR(__xludf.DUMMYFUNCTION("""COMPUTED_VALUE"""),339.2042748189446)</f>
        <v>339.2042748</v>
      </c>
      <c r="Y847" s="57">
        <f>IFERROR(__xludf.DUMMYFUNCTION("""COMPUTED_VALUE"""),0.7334914988580951)</f>
        <v>0.7334914989</v>
      </c>
      <c r="Z847" s="57">
        <f>IFERROR(__xludf.DUMMYFUNCTION("""COMPUTED_VALUE"""),0.5360937136053042)</f>
        <v>0.5360937136</v>
      </c>
      <c r="AA847" s="57">
        <f>IFERROR(__xludf.DUMMYFUNCTION("""COMPUTED_VALUE"""),1.3400230026765143)</f>
        <v>1.340023003</v>
      </c>
      <c r="AB847" s="57">
        <f>IFERROR(__xludf.DUMMYFUNCTION("""COMPUTED_VALUE"""),2.515431521692424)</f>
        <v>2.515431522</v>
      </c>
      <c r="AC847" s="31">
        <f>IFERROR(__xludf.DUMMYFUNCTION("""COMPUTED_VALUE"""),343.00196146149415)</f>
        <v>343.0019615</v>
      </c>
      <c r="AD847" s="57">
        <f>IFERROR(__xludf.DUMMYFUNCTION("""COMPUTED_VALUE"""),0.7657863697860514)</f>
        <v>0.7657863698</v>
      </c>
      <c r="AE847" s="57">
        <f>IFERROR(__xludf.DUMMYFUNCTION("""COMPUTED_VALUE"""),0.55268074357618)</f>
        <v>0.5526807436</v>
      </c>
      <c r="AF847" s="57">
        <f>IFERROR(__xludf.DUMMYFUNCTION("""COMPUTED_VALUE"""),1.3167967478272644)</f>
        <v>1.316796748</v>
      </c>
      <c r="AG847" s="57">
        <f>IFERROR(__xludf.DUMMYFUNCTION("""COMPUTED_VALUE"""),2.5094280126140305)</f>
        <v>2.509428013</v>
      </c>
      <c r="AH847" s="57">
        <f>IFERROR(__xludf.DUMMYFUNCTION("""COMPUTED_VALUE"""),0.953877397049661)</f>
        <v>0.953877397</v>
      </c>
      <c r="AI847" s="57">
        <f>IFERROR(__xludf.DUMMYFUNCTION("""COMPUTED_VALUE"""),0.5935669169359169)</f>
        <v>0.5935669169</v>
      </c>
      <c r="AJ847" s="57">
        <f>IFERROR(__xludf.DUMMYFUNCTION("""COMPUTED_VALUE"""),1.315900247522342)</f>
        <v>1.315900248</v>
      </c>
      <c r="AK847" s="57">
        <f>IFERROR(__xludf.DUMMYFUNCTION("""COMPUTED_VALUE"""),1.3117231114997472)</f>
        <v>1.311723111</v>
      </c>
      <c r="AL847" s="57">
        <f>IFERROR(__xludf.DUMMYFUNCTION("""COMPUTED_VALUE"""),0.9056754213721436)</f>
        <v>0.9056754214</v>
      </c>
      <c r="AM847" s="57">
        <f>IFERROR(__xludf.DUMMYFUNCTION("""COMPUTED_VALUE"""),1.1711902141704362)</f>
        <v>1.171190214</v>
      </c>
      <c r="AN847" s="57">
        <f>IFERROR(__xludf.DUMMYFUNCTION("""COMPUTED_VALUE"""),1.3633423176094166)</f>
        <v>1.363342318</v>
      </c>
      <c r="AO847" s="57">
        <f>IFERROR(__xludf.DUMMYFUNCTION("""COMPUTED_VALUE"""),1.4696661570235439)</f>
        <v>1.469666157</v>
      </c>
      <c r="AP847" s="35">
        <f>IFERROR(__xludf.DUMMYFUNCTION("""COMPUTED_VALUE"""),1.1759183033501766)</f>
        <v>1.175918303</v>
      </c>
      <c r="AQ847" s="57">
        <f>IFERROR(__xludf.DUMMYFUNCTION("""COMPUTED_VALUE"""),1.3612942331018167)</f>
        <v>1.361294233</v>
      </c>
      <c r="AR847" s="36" t="b">
        <f>IFERROR(__xludf.DUMMYFUNCTION("""COMPUTED_VALUE"""),TRUE)</f>
        <v>1</v>
      </c>
      <c r="AS847" s="57"/>
      <c r="AT847" s="37"/>
      <c r="AU847" s="30"/>
      <c r="AV847" s="30"/>
      <c r="AW847" s="30"/>
      <c r="AX847" s="30"/>
      <c r="AY847" s="30"/>
      <c r="AZ847" s="30"/>
    </row>
    <row r="848">
      <c r="A848" s="30" t="str">
        <f>IFERROR(__xludf.DUMMYFUNCTION("""COMPUTED_VALUE"""),"Veteran")</f>
        <v>Veteran</v>
      </c>
      <c r="B848" s="30" t="str">
        <f>IFERROR(__xludf.DUMMYFUNCTION("""COMPUTED_VALUE"""),"RSC005555")</f>
        <v>RSC005555</v>
      </c>
      <c r="C848" s="30" t="str">
        <f>IFERROR(__xludf.DUMMYFUNCTION("""COMPUTED_VALUE"""),"iviGhost")</f>
        <v>iviGhost</v>
      </c>
      <c r="D848" s="31"/>
      <c r="E848" s="31">
        <f>IFERROR(__xludf.DUMMYFUNCTION("""COMPUTED_VALUE"""),25.816648353940753)</f>
        <v>25.81664835</v>
      </c>
      <c r="F848" s="31">
        <f>IFERROR(__xludf.DUMMYFUNCTION("""COMPUTED_VALUE"""),-5.999213037125488)</f>
        <v>-5.999213037</v>
      </c>
      <c r="G848" s="31">
        <f>IFERROR(__xludf.DUMMYFUNCTION("""COMPUTED_VALUE"""),10.532281216245877)</f>
        <v>10.53228122</v>
      </c>
      <c r="H848" s="31">
        <f>IFERROR(__xludf.DUMMYFUNCTION("""COMPUTED_VALUE"""),-17.482077896282494)</f>
        <v>-17.4820779</v>
      </c>
      <c r="I848" s="54">
        <f>IFERROR(__xludf.DUMMYFUNCTION("""COMPUTED_VALUE"""),4.0)</f>
        <v>4</v>
      </c>
      <c r="J848" s="55">
        <f>IFERROR(__xludf.DUMMYFUNCTION("""COMPUTED_VALUE"""),1.0)</f>
        <v>1</v>
      </c>
      <c r="K848" s="54">
        <f>IFERROR(__xludf.DUMMYFUNCTION("""COMPUTED_VALUE"""),3.0)</f>
        <v>3</v>
      </c>
      <c r="L848" s="56">
        <f>IFERROR(__xludf.DUMMYFUNCTION("""COMPUTED_VALUE"""),0.25)</f>
        <v>0.25</v>
      </c>
      <c r="M848" s="56">
        <f>IFERROR(__xludf.DUMMYFUNCTION("""COMPUTED_VALUE"""),0.5)</f>
        <v>0.5</v>
      </c>
      <c r="N848" s="31">
        <f>IFERROR(__xludf.DUMMYFUNCTION("""COMPUTED_VALUE"""),310.0)</f>
        <v>310</v>
      </c>
      <c r="O848" s="57">
        <f>IFERROR(__xludf.DUMMYFUNCTION("""COMPUTED_VALUE"""),0.75)</f>
        <v>0.75</v>
      </c>
      <c r="P848" s="57">
        <f>IFERROR(__xludf.DUMMYFUNCTION("""COMPUTED_VALUE"""),0.25)</f>
        <v>0.25</v>
      </c>
      <c r="Q848" s="57">
        <f>IFERROR(__xludf.DUMMYFUNCTION("""COMPUTED_VALUE"""),1.5)</f>
        <v>1.5</v>
      </c>
      <c r="R848" s="57">
        <f>IFERROR(__xludf.DUMMYFUNCTION("""COMPUTED_VALUE"""),1.5)</f>
        <v>1.5</v>
      </c>
      <c r="S848" s="31">
        <f>IFERROR(__xludf.DUMMYFUNCTION("""COMPUTED_VALUE"""),387.0833333333333)</f>
        <v>387.0833333</v>
      </c>
      <c r="T848" s="57">
        <f>IFERROR(__xludf.DUMMYFUNCTION("""COMPUTED_VALUE"""),0.8333333333333334)</f>
        <v>0.8333333333</v>
      </c>
      <c r="U848" s="57">
        <f>IFERROR(__xludf.DUMMYFUNCTION("""COMPUTED_VALUE"""),0.75)</f>
        <v>0.75</v>
      </c>
      <c r="V848" s="57">
        <f>IFERROR(__xludf.DUMMYFUNCTION("""COMPUTED_VALUE"""),1.5833333333333333)</f>
        <v>1.583333333</v>
      </c>
      <c r="W848" s="57">
        <f>IFERROR(__xludf.DUMMYFUNCTION("""COMPUTED_VALUE"""),2.9166666666666665)</f>
        <v>2.916666667</v>
      </c>
      <c r="X848" s="31">
        <f>IFERROR(__xludf.DUMMYFUNCTION("""COMPUTED_VALUE"""),343.2638486312399)</f>
        <v>343.2638486</v>
      </c>
      <c r="Y848" s="57">
        <f>IFERROR(__xludf.DUMMYFUNCTION("""COMPUTED_VALUE"""),0.7524154589371981)</f>
        <v>0.7524154589</v>
      </c>
      <c r="Z848" s="57">
        <f>IFERROR(__xludf.DUMMYFUNCTION("""COMPUTED_VALUE"""),0.6569243156199677)</f>
        <v>0.6569243156</v>
      </c>
      <c r="AA848" s="57">
        <f>IFERROR(__xludf.DUMMYFUNCTION("""COMPUTED_VALUE"""),1.1506441223832529)</f>
        <v>1.150644122</v>
      </c>
      <c r="AB848" s="57">
        <f>IFERROR(__xludf.DUMMYFUNCTION("""COMPUTED_VALUE"""),2.5709339774557165)</f>
        <v>2.570933977</v>
      </c>
      <c r="AC848" s="31">
        <f>IFERROR(__xludf.DUMMYFUNCTION("""COMPUTED_VALUE"""),329.6066827697262)</f>
        <v>329.6066828</v>
      </c>
      <c r="AD848" s="57">
        <f>IFERROR(__xludf.DUMMYFUNCTION("""COMPUTED_VALUE"""),0.638593666129898)</f>
        <v>0.6385936661</v>
      </c>
      <c r="AE848" s="57">
        <f>IFERROR(__xludf.DUMMYFUNCTION("""COMPUTED_VALUE"""),0.45654857756307027)</f>
        <v>0.4565485776</v>
      </c>
      <c r="AF848" s="57">
        <f>IFERROR(__xludf.DUMMYFUNCTION("""COMPUTED_VALUE"""),1.3554482018250134)</f>
        <v>1.355448202</v>
      </c>
      <c r="AG848" s="57">
        <f>IFERROR(__xludf.DUMMYFUNCTION("""COMPUTED_VALUE"""),2.453462157809984)</f>
        <v>2.453462158</v>
      </c>
      <c r="AH848" s="57">
        <f>IFERROR(__xludf.DUMMYFUNCTION("""COMPUTED_VALUE"""),0.940514911272524)</f>
        <v>0.9405149113</v>
      </c>
      <c r="AI848" s="57">
        <f>IFERROR(__xludf.DUMMYFUNCTION("""COMPUTED_VALUE"""),1.174455745145835)</f>
        <v>1.174455745</v>
      </c>
      <c r="AJ848" s="57">
        <f>IFERROR(__xludf.DUMMYFUNCTION("""COMPUTED_VALUE"""),0.5475868555640468)</f>
        <v>0.5475868556</v>
      </c>
      <c r="AK848" s="57">
        <f>IFERROR(__xludf.DUMMYFUNCTION("""COMPUTED_VALUE"""),1.106645018216379)</f>
        <v>1.106645018</v>
      </c>
      <c r="AL848" s="57">
        <f>IFERROR(__xludf.DUMMYFUNCTION("""COMPUTED_VALUE"""),0.6113809398792335)</f>
        <v>0.6113809399</v>
      </c>
      <c r="AM848" s="57">
        <f>IFERROR(__xludf.DUMMYFUNCTION("""COMPUTED_VALUE"""),1.1276554023292082)</f>
        <v>1.127655402</v>
      </c>
      <c r="AN848" s="57">
        <f>IFERROR(__xludf.DUMMYFUNCTION("""COMPUTED_VALUE"""),1.1075441412520064)</f>
        <v>1.107544141</v>
      </c>
      <c r="AO848" s="57">
        <f>IFERROR(__xludf.DUMMYFUNCTION("""COMPUTED_VALUE"""),1.141684029905626)</f>
        <v>1.14168403</v>
      </c>
      <c r="AP848" s="35">
        <f>IFERROR(__xludf.DUMMYFUNCTION("""COMPUTED_VALUE"""),1.3760408648799942)</f>
        <v>1.376040865</v>
      </c>
      <c r="AQ848" s="57">
        <f>IFERROR(__xludf.DUMMYFUNCTION("""COMPUTED_VALUE"""),1.1344774670383013)</f>
        <v>1.134477467</v>
      </c>
      <c r="AR848" s="36" t="b">
        <f>IFERROR(__xludf.DUMMYFUNCTION("""COMPUTED_VALUE"""),TRUE)</f>
        <v>1</v>
      </c>
      <c r="AS848" s="57"/>
      <c r="AT848" s="37"/>
      <c r="AU848" s="30"/>
      <c r="AV848" s="30"/>
      <c r="AW848" s="30"/>
      <c r="AX848" s="30"/>
      <c r="AY848" s="30"/>
      <c r="AZ848" s="30"/>
    </row>
    <row r="849">
      <c r="A849" s="30" t="str">
        <f>IFERROR(__xludf.DUMMYFUNCTION("""COMPUTED_VALUE"""),"Veteran")</f>
        <v>Veteran</v>
      </c>
      <c r="B849" s="30" t="str">
        <f>IFERROR(__xludf.DUMMYFUNCTION("""COMPUTED_VALUE"""),"RSC006319")</f>
        <v>RSC006319</v>
      </c>
      <c r="C849" s="30" t="str">
        <f>IFERROR(__xludf.DUMMYFUNCTION("""COMPUTED_VALUE"""),"red crayon chewer 14")</f>
        <v>red crayon chewer 14</v>
      </c>
      <c r="D849" s="31"/>
      <c r="E849" s="31">
        <f>IFERROR(__xludf.DUMMYFUNCTION("""COMPUTED_VALUE"""),25.139647217647514)</f>
        <v>25.13964722</v>
      </c>
      <c r="F849" s="31">
        <f>IFERROR(__xludf.DUMMYFUNCTION("""COMPUTED_VALUE"""),-6.249583994379297)</f>
        <v>-6.249583994</v>
      </c>
      <c r="G849" s="31">
        <f>IFERROR(__xludf.DUMMYFUNCTION("""COMPUTED_VALUE"""),-4.00485277999767)</f>
        <v>-4.00485278</v>
      </c>
      <c r="H849" s="31">
        <f>IFERROR(__xludf.DUMMYFUNCTION("""COMPUTED_VALUE"""),-65.02448236150862)</f>
        <v>-65.02448236</v>
      </c>
      <c r="I849" s="54">
        <f>IFERROR(__xludf.DUMMYFUNCTION("""COMPUTED_VALUE"""),2.0)</f>
        <v>2</v>
      </c>
      <c r="J849" s="55">
        <f>IFERROR(__xludf.DUMMYFUNCTION("""COMPUTED_VALUE"""),1.0)</f>
        <v>1</v>
      </c>
      <c r="K849" s="54">
        <f>IFERROR(__xludf.DUMMYFUNCTION("""COMPUTED_VALUE"""),1.0)</f>
        <v>1</v>
      </c>
      <c r="L849" s="56">
        <f>IFERROR(__xludf.DUMMYFUNCTION("""COMPUTED_VALUE"""),0.5)</f>
        <v>0.5</v>
      </c>
      <c r="M849" s="56">
        <f>IFERROR(__xludf.DUMMYFUNCTION("""COMPUTED_VALUE"""),0.5)</f>
        <v>0.5</v>
      </c>
      <c r="N849" s="31">
        <f>IFERROR(__xludf.DUMMYFUNCTION("""COMPUTED_VALUE"""),272.0)</f>
        <v>272</v>
      </c>
      <c r="O849" s="57">
        <f>IFERROR(__xludf.DUMMYFUNCTION("""COMPUTED_VALUE"""),1.0)</f>
        <v>1</v>
      </c>
      <c r="P849" s="57">
        <f>IFERROR(__xludf.DUMMYFUNCTION("""COMPUTED_VALUE"""),0.0)</f>
        <v>0</v>
      </c>
      <c r="Q849" s="57">
        <f>IFERROR(__xludf.DUMMYFUNCTION("""COMPUTED_VALUE"""),0.5)</f>
        <v>0.5</v>
      </c>
      <c r="R849" s="57">
        <f>IFERROR(__xludf.DUMMYFUNCTION("""COMPUTED_VALUE"""),2.0)</f>
        <v>2</v>
      </c>
      <c r="S849" s="31">
        <f>IFERROR(__xludf.DUMMYFUNCTION("""COMPUTED_VALUE"""),408.3333333333333)</f>
        <v>408.3333333</v>
      </c>
      <c r="T849" s="57">
        <f>IFERROR(__xludf.DUMMYFUNCTION("""COMPUTED_VALUE"""),0.8333333333333334)</f>
        <v>0.8333333333</v>
      </c>
      <c r="U849" s="57">
        <f>IFERROR(__xludf.DUMMYFUNCTION("""COMPUTED_VALUE"""),0.6666666666666666)</f>
        <v>0.6666666667</v>
      </c>
      <c r="V849" s="57">
        <f>IFERROR(__xludf.DUMMYFUNCTION("""COMPUTED_VALUE"""),1.5)</f>
        <v>1.5</v>
      </c>
      <c r="W849" s="57">
        <f>IFERROR(__xludf.DUMMYFUNCTION("""COMPUTED_VALUE"""),2.6666666666666665)</f>
        <v>2.666666667</v>
      </c>
      <c r="X849" s="31">
        <f>IFERROR(__xludf.DUMMYFUNCTION("""COMPUTED_VALUE"""),388.66452702702696)</f>
        <v>388.664527</v>
      </c>
      <c r="Y849" s="57">
        <f>IFERROR(__xludf.DUMMYFUNCTION("""COMPUTED_VALUE"""),0.7924924924924924)</f>
        <v>0.7924924925</v>
      </c>
      <c r="Z849" s="57">
        <f>IFERROR(__xludf.DUMMYFUNCTION("""COMPUTED_VALUE"""),0.578903903903904)</f>
        <v>0.5789039039</v>
      </c>
      <c r="AA849" s="57">
        <f>IFERROR(__xludf.DUMMYFUNCTION("""COMPUTED_VALUE"""),1.800900900900901)</f>
        <v>1.800900901</v>
      </c>
      <c r="AB849" s="57">
        <f>IFERROR(__xludf.DUMMYFUNCTION("""COMPUTED_VALUE"""),2.468205705705706)</f>
        <v>2.468205706</v>
      </c>
      <c r="AC849" s="31">
        <f>IFERROR(__xludf.DUMMYFUNCTION("""COMPUTED_VALUE"""),341.9157532532533)</f>
        <v>341.9157533</v>
      </c>
      <c r="AD849" s="57">
        <f>IFERROR(__xludf.DUMMYFUNCTION("""COMPUTED_VALUE"""),0.7186936936936936)</f>
        <v>0.7186936937</v>
      </c>
      <c r="AE849" s="57">
        <f>IFERROR(__xludf.DUMMYFUNCTION("""COMPUTED_VALUE"""),0.4896771771771771)</f>
        <v>0.4896771772</v>
      </c>
      <c r="AF849" s="57">
        <f>IFERROR(__xludf.DUMMYFUNCTION("""COMPUTED_VALUE"""),1.2882507507507508)</f>
        <v>1.288250751</v>
      </c>
      <c r="AG849" s="57">
        <f>IFERROR(__xludf.DUMMYFUNCTION("""COMPUTED_VALUE"""),2.9252752752752755)</f>
        <v>2.925275275</v>
      </c>
      <c r="AH849" s="57">
        <f>IFERROR(__xludf.DUMMYFUNCTION("""COMPUTED_VALUE"""),0.7955176016664331)</f>
        <v>0.7955176017</v>
      </c>
      <c r="AI849" s="57">
        <f>IFERROR(__xludf.DUMMYFUNCTION("""COMPUTED_VALUE"""),1.3914133500470074)</f>
        <v>1.39141335</v>
      </c>
      <c r="AJ849" s="57">
        <f>IFERROR(__xludf.DUMMYFUNCTION("""COMPUTED_VALUE"""),0.0)</f>
        <v>0</v>
      </c>
      <c r="AK849" s="57">
        <f>IFERROR(__xludf.DUMMYFUNCTION("""COMPUTED_VALUE"""),0.3881231970628515)</f>
        <v>0.3881231971</v>
      </c>
      <c r="AL849" s="57">
        <f>IFERROR(__xludf.DUMMYFUNCTION("""COMPUTED_VALUE"""),0.6836963402740944)</f>
        <v>0.6836963403</v>
      </c>
      <c r="AM849" s="57">
        <f>IFERROR(__xludf.DUMMYFUNCTION("""COMPUTED_VALUE"""),1.05060612672002)</f>
        <v>1.050606127</v>
      </c>
      <c r="AN849" s="57">
        <f>IFERROR(__xludf.DUMMYFUNCTION("""COMPUTED_VALUE"""),1.0515346722243275)</f>
        <v>1.051534672</v>
      </c>
      <c r="AO849" s="57">
        <f>IFERROR(__xludf.DUMMYFUNCTION("""COMPUTED_VALUE"""),1.1516016080923352)</f>
        <v>1.151601608</v>
      </c>
      <c r="AP849" s="35">
        <f>IFERROR(__xludf.DUMMYFUNCTION("""COMPUTED_VALUE"""),0.8329164582291145)</f>
        <v>0.8329164582</v>
      </c>
      <c r="AQ849" s="57">
        <f>IFERROR(__xludf.DUMMYFUNCTION("""COMPUTED_VALUE"""),1.0804069776283969)</f>
        <v>1.080406978</v>
      </c>
      <c r="AR849" s="36" t="b">
        <f>IFERROR(__xludf.DUMMYFUNCTION("""COMPUTED_VALUE"""),TRUE)</f>
        <v>1</v>
      </c>
      <c r="AS849" s="57"/>
      <c r="AT849" s="37"/>
      <c r="AU849" s="30"/>
      <c r="AV849" s="30"/>
      <c r="AW849" s="30"/>
      <c r="AX849" s="30"/>
      <c r="AY849" s="30"/>
      <c r="AZ849" s="30"/>
    </row>
    <row r="850">
      <c r="A850" s="30" t="str">
        <f>IFERROR(__xludf.DUMMYFUNCTION("""COMPUTED_VALUE"""),"Veteran")</f>
        <v>Veteran</v>
      </c>
      <c r="B850" s="30" t="str">
        <f>IFERROR(__xludf.DUMMYFUNCTION("""COMPUTED_VALUE"""),"RSC001487")</f>
        <v>RSC001487</v>
      </c>
      <c r="C850" s="30" t="str">
        <f>IFERROR(__xludf.DUMMYFUNCTION("""COMPUTED_VALUE"""),"M1ke1sMy1ke")</f>
        <v>M1ke1sMy1ke</v>
      </c>
      <c r="D850" s="31" t="str">
        <f>IFERROR(__xludf.DUMMYFUNCTION("""COMPUTED_VALUE"""),"Dump Trucks")</f>
        <v>Dump Trucks</v>
      </c>
      <c r="E850" s="31">
        <f>IFERROR(__xludf.DUMMYFUNCTION("""COMPUTED_VALUE"""),24.26840457156971)</f>
        <v>24.26840457</v>
      </c>
      <c r="F850" s="31">
        <f>IFERROR(__xludf.DUMMYFUNCTION("""COMPUTED_VALUE"""),-6.5929199974525865)</f>
        <v>-6.592919997</v>
      </c>
      <c r="G850" s="31">
        <f>IFERROR(__xludf.DUMMYFUNCTION("""COMPUTED_VALUE"""),30.15867414699099)</f>
        <v>30.15867415</v>
      </c>
      <c r="H850" s="31">
        <f>IFERROR(__xludf.DUMMYFUNCTION("""COMPUTED_VALUE"""),-4.679485113727472)</f>
        <v>-4.679485114</v>
      </c>
      <c r="I850" s="54">
        <f>IFERROR(__xludf.DUMMYFUNCTION("""COMPUTED_VALUE"""),43.0)</f>
        <v>43</v>
      </c>
      <c r="J850" s="55">
        <f>IFERROR(__xludf.DUMMYFUNCTION("""COMPUTED_VALUE"""),15.0)</f>
        <v>15</v>
      </c>
      <c r="K850" s="54">
        <f>IFERROR(__xludf.DUMMYFUNCTION("""COMPUTED_VALUE"""),28.0)</f>
        <v>28</v>
      </c>
      <c r="L850" s="56">
        <f>IFERROR(__xludf.DUMMYFUNCTION("""COMPUTED_VALUE"""),0.3488372093023256)</f>
        <v>0.3488372093</v>
      </c>
      <c r="M850" s="56">
        <f>IFERROR(__xludf.DUMMYFUNCTION("""COMPUTED_VALUE"""),0.23255813953488372)</f>
        <v>0.2325581395</v>
      </c>
      <c r="N850" s="31">
        <f>IFERROR(__xludf.DUMMYFUNCTION("""COMPUTED_VALUE"""),297.04651162790697)</f>
        <v>297.0465116</v>
      </c>
      <c r="O850" s="57">
        <f>IFERROR(__xludf.DUMMYFUNCTION("""COMPUTED_VALUE"""),0.46511627906976744)</f>
        <v>0.4651162791</v>
      </c>
      <c r="P850" s="57">
        <f>IFERROR(__xludf.DUMMYFUNCTION("""COMPUTED_VALUE"""),0.4883720930232558)</f>
        <v>0.488372093</v>
      </c>
      <c r="Q850" s="57">
        <f>IFERROR(__xludf.DUMMYFUNCTION("""COMPUTED_VALUE"""),1.3488372093023255)</f>
        <v>1.348837209</v>
      </c>
      <c r="R850" s="57">
        <f>IFERROR(__xludf.DUMMYFUNCTION("""COMPUTED_VALUE"""),2.0)</f>
        <v>2</v>
      </c>
      <c r="S850" s="31">
        <f>IFERROR(__xludf.DUMMYFUNCTION("""COMPUTED_VALUE"""),354.7674418604651)</f>
        <v>354.7674419</v>
      </c>
      <c r="T850" s="57">
        <f>IFERROR(__xludf.DUMMYFUNCTION("""COMPUTED_VALUE"""),0.8294573643410852)</f>
        <v>0.8294573643</v>
      </c>
      <c r="U850" s="57">
        <f>IFERROR(__xludf.DUMMYFUNCTION("""COMPUTED_VALUE"""),0.6201550387596899)</f>
        <v>0.6201550388</v>
      </c>
      <c r="V850" s="57">
        <f>IFERROR(__xludf.DUMMYFUNCTION("""COMPUTED_VALUE"""),1.178294573643411)</f>
        <v>1.178294574</v>
      </c>
      <c r="W850" s="57">
        <f>IFERROR(__xludf.DUMMYFUNCTION("""COMPUTED_VALUE"""),2.8527131782945743)</f>
        <v>2.852713178</v>
      </c>
      <c r="X850" s="31">
        <f>IFERROR(__xludf.DUMMYFUNCTION("""COMPUTED_VALUE"""),354.62153907718505)</f>
        <v>354.6215391</v>
      </c>
      <c r="Y850" s="57">
        <f>IFERROR(__xludf.DUMMYFUNCTION("""COMPUTED_VALUE"""),0.7739065290012231)</f>
        <v>0.773906529</v>
      </c>
      <c r="Z850" s="57">
        <f>IFERROR(__xludf.DUMMYFUNCTION("""COMPUTED_VALUE"""),0.5739381068272643)</f>
        <v>0.5739381068</v>
      </c>
      <c r="AA850" s="57">
        <f>IFERROR(__xludf.DUMMYFUNCTION("""COMPUTED_VALUE"""),1.3620073317837844)</f>
        <v>1.362007332</v>
      </c>
      <c r="AB850" s="57">
        <f>IFERROR(__xludf.DUMMYFUNCTION("""COMPUTED_VALUE"""),2.664447521492826)</f>
        <v>2.664447521</v>
      </c>
      <c r="AC850" s="31">
        <f>IFERROR(__xludf.DUMMYFUNCTION("""COMPUTED_VALUE"""),349.0851209077255)</f>
        <v>349.0851209</v>
      </c>
      <c r="AD850" s="57">
        <f>IFERROR(__xludf.DUMMYFUNCTION("""COMPUTED_VALUE"""),0.7538052190498651)</f>
        <v>0.753805219</v>
      </c>
      <c r="AE850" s="57">
        <f>IFERROR(__xludf.DUMMYFUNCTION("""COMPUTED_VALUE"""),0.5487880587997134)</f>
        <v>0.5487880588</v>
      </c>
      <c r="AF850" s="57">
        <f>IFERROR(__xludf.DUMMYFUNCTION("""COMPUTED_VALUE"""),1.3664334033725993)</f>
        <v>1.366433403</v>
      </c>
      <c r="AG850" s="57">
        <f>IFERROR(__xludf.DUMMYFUNCTION("""COMPUTED_VALUE"""),2.5461390629120912)</f>
        <v>2.546139063</v>
      </c>
      <c r="AH850" s="57">
        <f>IFERROR(__xludf.DUMMYFUNCTION("""COMPUTED_VALUE"""),0.8509285954540181)</f>
        <v>0.8509285955</v>
      </c>
      <c r="AI850" s="57">
        <f>IFERROR(__xludf.DUMMYFUNCTION("""COMPUTED_VALUE"""),0.6170244876468538)</f>
        <v>0.6170244876</v>
      </c>
      <c r="AJ850" s="57">
        <f>IFERROR(__xludf.DUMMYFUNCTION("""COMPUTED_VALUE"""),0.8899102033878126)</f>
        <v>0.8899102034</v>
      </c>
      <c r="AK850" s="57">
        <f>IFERROR(__xludf.DUMMYFUNCTION("""COMPUTED_VALUE"""),0.9871225381150349)</f>
        <v>0.9871225381</v>
      </c>
      <c r="AL850" s="57">
        <f>IFERROR(__xludf.DUMMYFUNCTION("""COMPUTED_VALUE"""),0.7855030501407663)</f>
        <v>0.7855030501</v>
      </c>
      <c r="AM850" s="57">
        <f>IFERROR(__xludf.DUMMYFUNCTION("""COMPUTED_VALUE"""),1.0004114323784723)</f>
        <v>1.000411432</v>
      </c>
      <c r="AN850" s="57">
        <f>IFERROR(__xludf.DUMMYFUNCTION("""COMPUTED_VALUE"""),1.0717797734715508)</f>
        <v>1.071779773</v>
      </c>
      <c r="AO850" s="57">
        <f>IFERROR(__xludf.DUMMYFUNCTION("""COMPUTED_VALUE"""),1.0805259859602514)</f>
        <v>1.080525986</v>
      </c>
      <c r="AP850" s="35">
        <f>IFERROR(__xludf.DUMMYFUNCTION("""COMPUTED_VALUE"""),0.8651161753294163)</f>
        <v>0.8651161753</v>
      </c>
      <c r="AQ850" s="57">
        <f>IFERROR(__xludf.DUMMYFUNCTION("""COMPUTED_VALUE"""),1.0706584217865427)</f>
        <v>1.070658422</v>
      </c>
      <c r="AR850" s="36" t="b">
        <f>IFERROR(__xludf.DUMMYFUNCTION("""COMPUTED_VALUE"""),TRUE)</f>
        <v>1</v>
      </c>
      <c r="AS850" s="57"/>
      <c r="AT850" s="37"/>
      <c r="AU850" s="30"/>
      <c r="AV850" s="30"/>
      <c r="AW850" s="30"/>
      <c r="AX850" s="30"/>
      <c r="AY850" s="30"/>
      <c r="AZ850" s="30"/>
    </row>
    <row r="851">
      <c r="A851" s="30" t="str">
        <f>IFERROR(__xludf.DUMMYFUNCTION("""COMPUTED_VALUE"""),"Veteran")</f>
        <v>Veteran</v>
      </c>
      <c r="B851" s="30" t="str">
        <f>IFERROR(__xludf.DUMMYFUNCTION("""COMPUTED_VALUE"""),"RSC007991")</f>
        <v>RSC007991</v>
      </c>
      <c r="C851" s="30" t="str">
        <f>IFERROR(__xludf.DUMMYFUNCTION("""COMPUTED_VALUE"""),"TTV 50D Drew")</f>
        <v>TTV 50D Drew</v>
      </c>
      <c r="D851" s="31"/>
      <c r="E851" s="31">
        <f>IFERROR(__xludf.DUMMYFUNCTION("""COMPUTED_VALUE"""),22.505427440221993)</f>
        <v>22.50542744</v>
      </c>
      <c r="F851" s="31">
        <f>IFERROR(__xludf.DUMMYFUNCTION("""COMPUTED_VALUE"""),-7.368471216696349)</f>
        <v>-7.368471217</v>
      </c>
      <c r="G851" s="31">
        <f>IFERROR(__xludf.DUMMYFUNCTION("""COMPUTED_VALUE"""),20.204981343951616)</f>
        <v>20.20498134</v>
      </c>
      <c r="H851" s="31">
        <f>IFERROR(__xludf.DUMMYFUNCTION("""COMPUTED_VALUE"""),-8.571206340130253)</f>
        <v>-8.57120634</v>
      </c>
      <c r="I851" s="54">
        <f>IFERROR(__xludf.DUMMYFUNCTION("""COMPUTED_VALUE"""),10.0)</f>
        <v>10</v>
      </c>
      <c r="J851" s="55">
        <f>IFERROR(__xludf.DUMMYFUNCTION("""COMPUTED_VALUE"""),2.0)</f>
        <v>2</v>
      </c>
      <c r="K851" s="54">
        <f>IFERROR(__xludf.DUMMYFUNCTION("""COMPUTED_VALUE"""),8.0)</f>
        <v>8</v>
      </c>
      <c r="L851" s="56">
        <f>IFERROR(__xludf.DUMMYFUNCTION("""COMPUTED_VALUE"""),0.2)</f>
        <v>0.2</v>
      </c>
      <c r="M851" s="56">
        <f>IFERROR(__xludf.DUMMYFUNCTION("""COMPUTED_VALUE"""),0.2727272727272727)</f>
        <v>0.2727272727</v>
      </c>
      <c r="N851" s="31">
        <f>IFERROR(__xludf.DUMMYFUNCTION("""COMPUTED_VALUE"""),297.3)</f>
        <v>297.3</v>
      </c>
      <c r="O851" s="57">
        <f>IFERROR(__xludf.DUMMYFUNCTION("""COMPUTED_VALUE"""),0.6)</f>
        <v>0.6</v>
      </c>
      <c r="P851" s="57">
        <f>IFERROR(__xludf.DUMMYFUNCTION("""COMPUTED_VALUE"""),0.3)</f>
        <v>0.3</v>
      </c>
      <c r="Q851" s="57">
        <f>IFERROR(__xludf.DUMMYFUNCTION("""COMPUTED_VALUE"""),1.4)</f>
        <v>1.4</v>
      </c>
      <c r="R851" s="57">
        <f>IFERROR(__xludf.DUMMYFUNCTION("""COMPUTED_VALUE"""),2.2)</f>
        <v>2.2</v>
      </c>
      <c r="S851" s="31">
        <f>IFERROR(__xludf.DUMMYFUNCTION("""COMPUTED_VALUE"""),373.6)</f>
        <v>373.6</v>
      </c>
      <c r="T851" s="57">
        <f>IFERROR(__xludf.DUMMYFUNCTION("""COMPUTED_VALUE"""),0.9666666666666668)</f>
        <v>0.9666666667</v>
      </c>
      <c r="U851" s="57">
        <f>IFERROR(__xludf.DUMMYFUNCTION("""COMPUTED_VALUE"""),0.6333333333333333)</f>
        <v>0.6333333333</v>
      </c>
      <c r="V851" s="57">
        <f>IFERROR(__xludf.DUMMYFUNCTION("""COMPUTED_VALUE"""),1.3666666666666667)</f>
        <v>1.366666667</v>
      </c>
      <c r="W851" s="57">
        <f>IFERROR(__xludf.DUMMYFUNCTION("""COMPUTED_VALUE"""),3.1999999999999997)</f>
        <v>3.2</v>
      </c>
      <c r="X851" s="31">
        <f>IFERROR(__xludf.DUMMYFUNCTION("""COMPUTED_VALUE"""),369.6992395146515)</f>
        <v>369.6992395</v>
      </c>
      <c r="Y851" s="57">
        <f>IFERROR(__xludf.DUMMYFUNCTION("""COMPUTED_VALUE"""),0.8756921354962305)</f>
        <v>0.8756921355</v>
      </c>
      <c r="Z851" s="57">
        <f>IFERROR(__xludf.DUMMYFUNCTION("""COMPUTED_VALUE"""),0.5582000459844241)</f>
        <v>0.558200046</v>
      </c>
      <c r="AA851" s="57">
        <f>IFERROR(__xludf.DUMMYFUNCTION("""COMPUTED_VALUE"""),1.3377131558008706)</f>
        <v>1.337713156</v>
      </c>
      <c r="AB851" s="57">
        <f>IFERROR(__xludf.DUMMYFUNCTION("""COMPUTED_VALUE"""),2.862785760610584)</f>
        <v>2.862785761</v>
      </c>
      <c r="AC851" s="31">
        <f>IFERROR(__xludf.DUMMYFUNCTION("""COMPUTED_VALUE"""),353.41809935363233)</f>
        <v>353.4180994</v>
      </c>
      <c r="AD851" s="57">
        <f>IFERROR(__xludf.DUMMYFUNCTION("""COMPUTED_VALUE"""),0.7557375525116511)</f>
        <v>0.7557375525</v>
      </c>
      <c r="AE851" s="57">
        <f>IFERROR(__xludf.DUMMYFUNCTION("""COMPUTED_VALUE"""),0.5535972274302237)</f>
        <v>0.5535972274</v>
      </c>
      <c r="AF851" s="57">
        <f>IFERROR(__xludf.DUMMYFUNCTION("""COMPUTED_VALUE"""),1.400814365872927)</f>
        <v>1.400814366</v>
      </c>
      <c r="AG851" s="57">
        <f>IFERROR(__xludf.DUMMYFUNCTION("""COMPUTED_VALUE"""),2.536672648370492)</f>
        <v>2.536672648</v>
      </c>
      <c r="AH851" s="57">
        <f>IFERROR(__xludf.DUMMYFUNCTION("""COMPUTED_VALUE"""),0.8412132840500616)</f>
        <v>0.8412132841</v>
      </c>
      <c r="AI851" s="57">
        <f>IFERROR(__xludf.DUMMYFUNCTION("""COMPUTED_VALUE"""),0.7939264073962368)</f>
        <v>0.7939264074</v>
      </c>
      <c r="AJ851" s="57">
        <f>IFERROR(__xludf.DUMMYFUNCTION("""COMPUTED_VALUE"""),0.5419102284752907)</f>
        <v>0.5419102285</v>
      </c>
      <c r="AK851" s="57">
        <f>IFERROR(__xludf.DUMMYFUNCTION("""COMPUTED_VALUE"""),0.9994186482572088)</f>
        <v>0.9994186483</v>
      </c>
      <c r="AL851" s="57">
        <f>IFERROR(__xludf.DUMMYFUNCTION("""COMPUTED_VALUE"""),0.8672778497506316)</f>
        <v>0.8672778498</v>
      </c>
      <c r="AM851" s="57">
        <f>IFERROR(__xludf.DUMMYFUNCTION("""COMPUTED_VALUE"""),1.0105511725976757)</f>
        <v>1.010551173</v>
      </c>
      <c r="AN851" s="57">
        <f>IFERROR(__xludf.DUMMYFUNCTION("""COMPUTED_VALUE"""),1.103888715545999)</f>
        <v>1.103888716</v>
      </c>
      <c r="AO851" s="57">
        <f>IFERROR(__xludf.DUMMYFUNCTION("""COMPUTED_VALUE"""),1.1345992138291685)</f>
        <v>1.134599214</v>
      </c>
      <c r="AP851" s="35">
        <f>IFERROR(__xludf.DUMMYFUNCTION("""COMPUTED_VALUE"""),1.0216440353750293)</f>
        <v>1.021644035</v>
      </c>
      <c r="AQ851" s="57">
        <f>IFERROR(__xludf.DUMMYFUNCTION("""COMPUTED_VALUE"""),1.1177923420009934)</f>
        <v>1.117792342</v>
      </c>
      <c r="AR851" s="36" t="b">
        <f>IFERROR(__xludf.DUMMYFUNCTION("""COMPUTED_VALUE"""),TRUE)</f>
        <v>1</v>
      </c>
      <c r="AS851" s="57"/>
      <c r="AT851" s="37"/>
      <c r="AU851" s="30"/>
      <c r="AV851" s="30"/>
      <c r="AW851" s="30"/>
      <c r="AX851" s="30"/>
      <c r="AY851" s="30"/>
      <c r="AZ851" s="30"/>
    </row>
    <row r="852">
      <c r="A852" s="30" t="str">
        <f>IFERROR(__xludf.DUMMYFUNCTION("""COMPUTED_VALUE"""),"Veteran")</f>
        <v>Veteran</v>
      </c>
      <c r="B852" s="30" t="str">
        <f>IFERROR(__xludf.DUMMYFUNCTION("""COMPUTED_VALUE"""),"RSC007510")</f>
        <v>RSC007510</v>
      </c>
      <c r="C852" s="30" t="str">
        <f>IFERROR(__xludf.DUMMYFUNCTION("""COMPUTED_VALUE"""),"Faolaen")</f>
        <v>Faolaen</v>
      </c>
      <c r="D852" s="31" t="str">
        <f>IFERROR(__xludf.DUMMYFUNCTION("""COMPUTED_VALUE"""),"Dread")</f>
        <v>Dread</v>
      </c>
      <c r="E852" s="31">
        <f>IFERROR(__xludf.DUMMYFUNCTION("""COMPUTED_VALUE"""),19.37595772787095)</f>
        <v>19.37595773</v>
      </c>
      <c r="F852" s="31">
        <f>IFERROR(__xludf.DUMMYFUNCTION("""COMPUTED_VALUE"""),-9.066608321874865)</f>
        <v>-9.066608322</v>
      </c>
      <c r="G852" s="31">
        <f>IFERROR(__xludf.DUMMYFUNCTION("""COMPUTED_VALUE"""),29.550028616372018)</f>
        <v>29.55002862</v>
      </c>
      <c r="H852" s="31">
        <f>IFERROR(__xludf.DUMMYFUNCTION("""COMPUTED_VALUE"""),-4.838422795450448)</f>
        <v>-4.838422795</v>
      </c>
      <c r="I852" s="54">
        <f>IFERROR(__xludf.DUMMYFUNCTION("""COMPUTED_VALUE"""),28.0)</f>
        <v>28</v>
      </c>
      <c r="J852" s="55">
        <f>IFERROR(__xludf.DUMMYFUNCTION("""COMPUTED_VALUE"""),9.0)</f>
        <v>9</v>
      </c>
      <c r="K852" s="54">
        <f>IFERROR(__xludf.DUMMYFUNCTION("""COMPUTED_VALUE"""),19.0)</f>
        <v>19</v>
      </c>
      <c r="L852" s="56">
        <f>IFERROR(__xludf.DUMMYFUNCTION("""COMPUTED_VALUE"""),0.32142857142857145)</f>
        <v>0.3214285714</v>
      </c>
      <c r="M852" s="56">
        <f>IFERROR(__xludf.DUMMYFUNCTION("""COMPUTED_VALUE"""),0.2456140350877193)</f>
        <v>0.2456140351</v>
      </c>
      <c r="N852" s="31">
        <f>IFERROR(__xludf.DUMMYFUNCTION("""COMPUTED_VALUE"""),309.4642857142857)</f>
        <v>309.4642857</v>
      </c>
      <c r="O852" s="57">
        <f>IFERROR(__xludf.DUMMYFUNCTION("""COMPUTED_VALUE"""),0.5)</f>
        <v>0.5</v>
      </c>
      <c r="P852" s="57">
        <f>IFERROR(__xludf.DUMMYFUNCTION("""COMPUTED_VALUE"""),0.25)</f>
        <v>0.25</v>
      </c>
      <c r="Q852" s="57">
        <f>IFERROR(__xludf.DUMMYFUNCTION("""COMPUTED_VALUE"""),1.4642857142857142)</f>
        <v>1.464285714</v>
      </c>
      <c r="R852" s="57">
        <f>IFERROR(__xludf.DUMMYFUNCTION("""COMPUTED_VALUE"""),2.0357142857142856)</f>
        <v>2.035714286</v>
      </c>
      <c r="S852" s="31">
        <f>IFERROR(__xludf.DUMMYFUNCTION("""COMPUTED_VALUE"""),343.0357142857142)</f>
        <v>343.0357143</v>
      </c>
      <c r="T852" s="57">
        <f>IFERROR(__xludf.DUMMYFUNCTION("""COMPUTED_VALUE"""),0.7857142857142856)</f>
        <v>0.7857142857</v>
      </c>
      <c r="U852" s="57">
        <f>IFERROR(__xludf.DUMMYFUNCTION("""COMPUTED_VALUE"""),0.5595238095238095)</f>
        <v>0.5595238095</v>
      </c>
      <c r="V852" s="57">
        <f>IFERROR(__xludf.DUMMYFUNCTION("""COMPUTED_VALUE"""),1.1785714285714286)</f>
        <v>1.178571429</v>
      </c>
      <c r="W852" s="57">
        <f>IFERROR(__xludf.DUMMYFUNCTION("""COMPUTED_VALUE"""),2.6547619047619047)</f>
        <v>2.654761905</v>
      </c>
      <c r="X852" s="31">
        <f>IFERROR(__xludf.DUMMYFUNCTION("""COMPUTED_VALUE"""),352.61910471361756)</f>
        <v>352.6191047</v>
      </c>
      <c r="Y852" s="57">
        <f>IFERROR(__xludf.DUMMYFUNCTION("""COMPUTED_VALUE"""),0.7832720861556507)</f>
        <v>0.7832720862</v>
      </c>
      <c r="Z852" s="57">
        <f>IFERROR(__xludf.DUMMYFUNCTION("""COMPUTED_VALUE"""),0.5704913339002003)</f>
        <v>0.5704913339</v>
      </c>
      <c r="AA852" s="57">
        <f>IFERROR(__xludf.DUMMYFUNCTION("""COMPUTED_VALUE"""),1.3462262064099537)</f>
        <v>1.346226206</v>
      </c>
      <c r="AB852" s="57">
        <f>IFERROR(__xludf.DUMMYFUNCTION("""COMPUTED_VALUE"""),2.6280168107322766)</f>
        <v>2.628016811</v>
      </c>
      <c r="AC852" s="31">
        <f>IFERROR(__xludf.DUMMYFUNCTION("""COMPUTED_VALUE"""),351.5779238772372)</f>
        <v>351.5779239</v>
      </c>
      <c r="AD852" s="57">
        <f>IFERROR(__xludf.DUMMYFUNCTION("""COMPUTED_VALUE"""),0.7783442373961702)</f>
        <v>0.7783442374</v>
      </c>
      <c r="AE852" s="57">
        <f>IFERROR(__xludf.DUMMYFUNCTION("""COMPUTED_VALUE"""),0.5696429175714409)</f>
        <v>0.5696429176</v>
      </c>
      <c r="AF852" s="57">
        <f>IFERROR(__xludf.DUMMYFUNCTION("""COMPUTED_VALUE"""),1.363066458029143)</f>
        <v>1.363066458</v>
      </c>
      <c r="AG852" s="57">
        <f>IFERROR(__xludf.DUMMYFUNCTION("""COMPUTED_VALUE"""),2.6177423489915865)</f>
        <v>2.617742349</v>
      </c>
      <c r="AH852" s="57">
        <f>IFERROR(__xludf.DUMMYFUNCTION("""COMPUTED_VALUE"""),0.8802153511275168)</f>
        <v>0.8802153511</v>
      </c>
      <c r="AI852" s="57">
        <f>IFERROR(__xludf.DUMMYFUNCTION("""COMPUTED_VALUE"""),0.6423892873835263)</f>
        <v>0.6423892874</v>
      </c>
      <c r="AJ852" s="57">
        <f>IFERROR(__xludf.DUMMYFUNCTION("""COMPUTED_VALUE"""),0.4388714267980811)</f>
        <v>0.4388714268</v>
      </c>
      <c r="AK852" s="57">
        <f>IFERROR(__xludf.DUMMYFUNCTION("""COMPUTED_VALUE"""),1.0742584894964873)</f>
        <v>1.074258489</v>
      </c>
      <c r="AL852" s="57">
        <f>IFERROR(__xludf.DUMMYFUNCTION("""COMPUTED_VALUE"""),0.7776602943748413)</f>
        <v>0.7776602944</v>
      </c>
      <c r="AM852" s="57">
        <f>IFERROR(__xludf.DUMMYFUNCTION("""COMPUTED_VALUE"""),0.9728222597703928)</f>
        <v>0.9728222598</v>
      </c>
      <c r="AN852" s="57">
        <f>IFERROR(__xludf.DUMMYFUNCTION("""COMPUTED_VALUE"""),1.0031179453497716)</f>
        <v>1.003117945</v>
      </c>
      <c r="AO852" s="57">
        <f>IFERROR(__xludf.DUMMYFUNCTION("""COMPUTED_VALUE"""),0.9807753006493357)</f>
        <v>0.9807753006</v>
      </c>
      <c r="AP852" s="35">
        <f>IFERROR(__xludf.DUMMYFUNCTION("""COMPUTED_VALUE"""),0.8754631450195742)</f>
        <v>0.875463145</v>
      </c>
      <c r="AQ852" s="57">
        <f>IFERROR(__xludf.DUMMYFUNCTION("""COMPUTED_VALUE"""),1.0101769113197476)</f>
        <v>1.010176911</v>
      </c>
      <c r="AR852" s="36" t="b">
        <f>IFERROR(__xludf.DUMMYFUNCTION("""COMPUTED_VALUE"""),TRUE)</f>
        <v>1</v>
      </c>
      <c r="AS852" s="57"/>
      <c r="AT852" s="37"/>
      <c r="AU852" s="30"/>
      <c r="AV852" s="30"/>
      <c r="AW852" s="30"/>
      <c r="AX852" s="30"/>
      <c r="AY852" s="30"/>
      <c r="AZ852" s="30"/>
    </row>
    <row r="853">
      <c r="A853" s="30" t="str">
        <f>IFERROR(__xludf.DUMMYFUNCTION("""COMPUTED_VALUE"""),"Veteran")</f>
        <v>Veteran</v>
      </c>
      <c r="B853" s="30" t="str">
        <f>IFERROR(__xludf.DUMMYFUNCTION("""COMPUTED_VALUE"""),"RSC003104")</f>
        <v>RSC003104</v>
      </c>
      <c r="C853" s="30" t="str">
        <f>IFERROR(__xludf.DUMMYFUNCTION("""COMPUTED_VALUE"""),"nizz")</f>
        <v>nizz</v>
      </c>
      <c r="D853" s="31" t="str">
        <f>IFERROR(__xludf.DUMMYFUNCTION("""COMPUTED_VALUE"""),"Folks")</f>
        <v>Folks</v>
      </c>
      <c r="E853" s="31">
        <f>IFERROR(__xludf.DUMMYFUNCTION("""COMPUTED_VALUE"""),18.313354667481313)</f>
        <v>18.31335467</v>
      </c>
      <c r="F853" s="31">
        <f>IFERROR(__xludf.DUMMYFUNCTION("""COMPUTED_VALUE"""),-9.756631551975735)</f>
        <v>-9.756631552</v>
      </c>
      <c r="G853" s="31">
        <f>IFERROR(__xludf.DUMMYFUNCTION("""COMPUTED_VALUE"""),20.81133842891073)</f>
        <v>20.81133843</v>
      </c>
      <c r="H853" s="31">
        <f>IFERROR(__xludf.DUMMYFUNCTION("""COMPUTED_VALUE"""),-8.230799648688283)</f>
        <v>-8.230799649</v>
      </c>
      <c r="I853" s="54">
        <f>IFERROR(__xludf.DUMMYFUNCTION("""COMPUTED_VALUE"""),23.0)</f>
        <v>23</v>
      </c>
      <c r="J853" s="55">
        <f>IFERROR(__xludf.DUMMYFUNCTION("""COMPUTED_VALUE"""),9.0)</f>
        <v>9</v>
      </c>
      <c r="K853" s="54">
        <f>IFERROR(__xludf.DUMMYFUNCTION("""COMPUTED_VALUE"""),14.0)</f>
        <v>14</v>
      </c>
      <c r="L853" s="56">
        <f>IFERROR(__xludf.DUMMYFUNCTION("""COMPUTED_VALUE"""),0.391304347826087)</f>
        <v>0.3913043478</v>
      </c>
      <c r="M853" s="56">
        <f>IFERROR(__xludf.DUMMYFUNCTION("""COMPUTED_VALUE"""),0.21568627450980393)</f>
        <v>0.2156862745</v>
      </c>
      <c r="N853" s="31">
        <f>IFERROR(__xludf.DUMMYFUNCTION("""COMPUTED_VALUE"""),267.8695652173913)</f>
        <v>267.8695652</v>
      </c>
      <c r="O853" s="57">
        <f>IFERROR(__xludf.DUMMYFUNCTION("""COMPUTED_VALUE"""),0.4782608695652174)</f>
        <v>0.4782608696</v>
      </c>
      <c r="P853" s="57">
        <f>IFERROR(__xludf.DUMMYFUNCTION("""COMPUTED_VALUE"""),0.30434782608695654)</f>
        <v>0.3043478261</v>
      </c>
      <c r="Q853" s="57">
        <f>IFERROR(__xludf.DUMMYFUNCTION("""COMPUTED_VALUE"""),1.3043478260869565)</f>
        <v>1.304347826</v>
      </c>
      <c r="R853" s="57">
        <f>IFERROR(__xludf.DUMMYFUNCTION("""COMPUTED_VALUE"""),2.217391304347826)</f>
        <v>2.217391304</v>
      </c>
      <c r="S853" s="31">
        <f>IFERROR(__xludf.DUMMYFUNCTION("""COMPUTED_VALUE"""),341.89855072463763)</f>
        <v>341.8985507</v>
      </c>
      <c r="T853" s="57">
        <f>IFERROR(__xludf.DUMMYFUNCTION("""COMPUTED_VALUE"""),0.7681159420289856)</f>
        <v>0.768115942</v>
      </c>
      <c r="U853" s="57">
        <f>IFERROR(__xludf.DUMMYFUNCTION("""COMPUTED_VALUE"""),0.6376811594202898)</f>
        <v>0.6376811594</v>
      </c>
      <c r="V853" s="57">
        <f>IFERROR(__xludf.DUMMYFUNCTION("""COMPUTED_VALUE"""),1.2608695652173916)</f>
        <v>1.260869565</v>
      </c>
      <c r="W853" s="57">
        <f>IFERROR(__xludf.DUMMYFUNCTION("""COMPUTED_VALUE"""),2.5942028985507246)</f>
        <v>2.594202899</v>
      </c>
      <c r="X853" s="31">
        <f>IFERROR(__xludf.DUMMYFUNCTION("""COMPUTED_VALUE"""),356.66527496602083)</f>
        <v>356.665275</v>
      </c>
      <c r="Y853" s="57">
        <f>IFERROR(__xludf.DUMMYFUNCTION("""COMPUTED_VALUE"""),0.7793617259876546)</f>
        <v>0.779361726</v>
      </c>
      <c r="Z853" s="57">
        <f>IFERROR(__xludf.DUMMYFUNCTION("""COMPUTED_VALUE"""),0.6053890071471144)</f>
        <v>0.6053890071</v>
      </c>
      <c r="AA853" s="57">
        <f>IFERROR(__xludf.DUMMYFUNCTION("""COMPUTED_VALUE"""),1.3699409182535163)</f>
        <v>1.369940918</v>
      </c>
      <c r="AB853" s="57">
        <f>IFERROR(__xludf.DUMMYFUNCTION("""COMPUTED_VALUE"""),2.6195288727750876)</f>
        <v>2.619528873</v>
      </c>
      <c r="AC853" s="31">
        <f>IFERROR(__xludf.DUMMYFUNCTION("""COMPUTED_VALUE"""),350.64473801374777)</f>
        <v>350.644738</v>
      </c>
      <c r="AD853" s="57">
        <f>IFERROR(__xludf.DUMMYFUNCTION("""COMPUTED_VALUE"""),0.7737188687487384)</f>
        <v>0.7737188687</v>
      </c>
      <c r="AE853" s="57">
        <f>IFERROR(__xludf.DUMMYFUNCTION("""COMPUTED_VALUE"""),0.571801442223427)</f>
        <v>0.5718014422</v>
      </c>
      <c r="AF853" s="57">
        <f>IFERROR(__xludf.DUMMYFUNCTION("""COMPUTED_VALUE"""),1.3362726142945025)</f>
        <v>1.336272614</v>
      </c>
      <c r="AG853" s="57">
        <f>IFERROR(__xludf.DUMMYFUNCTION("""COMPUTED_VALUE"""),2.59211363792322)</f>
        <v>2.592113638</v>
      </c>
      <c r="AH853" s="57">
        <f>IFERROR(__xludf.DUMMYFUNCTION("""COMPUTED_VALUE"""),0.7639343648353535)</f>
        <v>0.7639343648</v>
      </c>
      <c r="AI853" s="57">
        <f>IFERROR(__xludf.DUMMYFUNCTION("""COMPUTED_VALUE"""),0.6181326175212232)</f>
        <v>0.6181326175</v>
      </c>
      <c r="AJ853" s="57">
        <f>IFERROR(__xludf.DUMMYFUNCTION("""COMPUTED_VALUE"""),0.5322613823839132)</f>
        <v>0.5322613824</v>
      </c>
      <c r="AK853" s="57">
        <f>IFERROR(__xludf.DUMMYFUNCTION("""COMPUTED_VALUE"""),0.9761090754490984)</f>
        <v>0.9761090754</v>
      </c>
      <c r="AL853" s="57">
        <f>IFERROR(__xludf.DUMMYFUNCTION("""COMPUTED_VALUE"""),0.8554375363436542)</f>
        <v>0.8554375363</v>
      </c>
      <c r="AM853" s="57">
        <f>IFERROR(__xludf.DUMMYFUNCTION("""COMPUTED_VALUE"""),0.9585978078668017)</f>
        <v>0.9585978079</v>
      </c>
      <c r="AN853" s="57">
        <f>IFERROR(__xludf.DUMMYFUNCTION("""COMPUTED_VALUE"""),0.9855705206149075)</f>
        <v>0.9855705206</v>
      </c>
      <c r="AO853" s="57">
        <f>IFERROR(__xludf.DUMMYFUNCTION("""COMPUTED_VALUE"""),1.0533411606288519)</f>
        <v>1.053341161</v>
      </c>
      <c r="AP853" s="35">
        <f>IFERROR(__xludf.DUMMYFUNCTION("""COMPUTED_VALUE"""),0.9203824401601381)</f>
        <v>0.9203824402</v>
      </c>
      <c r="AQ853" s="57">
        <f>IFERROR(__xludf.DUMMYFUNCTION("""COMPUTED_VALUE"""),0.9903318591035292)</f>
        <v>0.9903318591</v>
      </c>
      <c r="AR853" s="36" t="b">
        <f>IFERROR(__xludf.DUMMYFUNCTION("""COMPUTED_VALUE"""),TRUE)</f>
        <v>1</v>
      </c>
      <c r="AS853" s="57"/>
      <c r="AT853" s="37"/>
      <c r="AU853" s="30"/>
      <c r="AV853" s="30"/>
      <c r="AW853" s="30"/>
      <c r="AX853" s="30"/>
      <c r="AY853" s="30"/>
      <c r="AZ853" s="30"/>
    </row>
    <row r="854">
      <c r="A854" s="30" t="str">
        <f>IFERROR(__xludf.DUMMYFUNCTION("""COMPUTED_VALUE"""),"Veteran")</f>
        <v>Veteran</v>
      </c>
      <c r="B854" s="30" t="str">
        <f>IFERROR(__xludf.DUMMYFUNCTION("""COMPUTED_VALUE"""),"RSC003250")</f>
        <v>RSC003250</v>
      </c>
      <c r="C854" s="30" t="str">
        <f>IFERROR(__xludf.DUMMYFUNCTION("""COMPUTED_VALUE"""),"Chefty")</f>
        <v>Chefty</v>
      </c>
      <c r="D854" s="31" t="str">
        <f>IFERROR(__xludf.DUMMYFUNCTION("""COMPUTED_VALUE"""),"Werewolves")</f>
        <v>Werewolves</v>
      </c>
      <c r="E854" s="31">
        <f>IFERROR(__xludf.DUMMYFUNCTION("""COMPUTED_VALUE"""),17.789927754408872)</f>
        <v>17.78992775</v>
      </c>
      <c r="F854" s="31">
        <f>IFERROR(__xludf.DUMMYFUNCTION("""COMPUTED_VALUE"""),-10.121162802103532)</f>
        <v>-10.1211628</v>
      </c>
      <c r="G854" s="31">
        <f>IFERROR(__xludf.DUMMYFUNCTION("""COMPUTED_VALUE"""),21.44919167575973)</f>
        <v>21.44919168</v>
      </c>
      <c r="H854" s="31">
        <f>IFERROR(__xludf.DUMMYFUNCTION("""COMPUTED_VALUE"""),-7.891396075159737)</f>
        <v>-7.891396075</v>
      </c>
      <c r="I854" s="54">
        <f>IFERROR(__xludf.DUMMYFUNCTION("""COMPUTED_VALUE"""),46.0)</f>
        <v>46</v>
      </c>
      <c r="J854" s="55">
        <f>IFERROR(__xludf.DUMMYFUNCTION("""COMPUTED_VALUE"""),18.0)</f>
        <v>18</v>
      </c>
      <c r="K854" s="54">
        <f>IFERROR(__xludf.DUMMYFUNCTION("""COMPUTED_VALUE"""),28.0)</f>
        <v>28</v>
      </c>
      <c r="L854" s="56">
        <f>IFERROR(__xludf.DUMMYFUNCTION("""COMPUTED_VALUE"""),0.391304347826087)</f>
        <v>0.3913043478</v>
      </c>
      <c r="M854" s="56">
        <f>IFERROR(__xludf.DUMMYFUNCTION("""COMPUTED_VALUE"""),0.22000000000000003)</f>
        <v>0.22</v>
      </c>
      <c r="N854" s="31">
        <f>IFERROR(__xludf.DUMMYFUNCTION("""COMPUTED_VALUE"""),316.7391304347826)</f>
        <v>316.7391304</v>
      </c>
      <c r="O854" s="57">
        <f>IFERROR(__xludf.DUMMYFUNCTION("""COMPUTED_VALUE"""),0.4782608695652174)</f>
        <v>0.4782608696</v>
      </c>
      <c r="P854" s="57">
        <f>IFERROR(__xludf.DUMMYFUNCTION("""COMPUTED_VALUE"""),0.43478260869565216)</f>
        <v>0.4347826087</v>
      </c>
      <c r="Q854" s="57">
        <f>IFERROR(__xludf.DUMMYFUNCTION("""COMPUTED_VALUE"""),1.5)</f>
        <v>1.5</v>
      </c>
      <c r="R854" s="57">
        <f>IFERROR(__xludf.DUMMYFUNCTION("""COMPUTED_VALUE"""),2.1739130434782608)</f>
        <v>2.173913043</v>
      </c>
      <c r="S854" s="31">
        <f>IFERROR(__xludf.DUMMYFUNCTION("""COMPUTED_VALUE"""),405.1811594202898)</f>
        <v>405.1811594</v>
      </c>
      <c r="T854" s="57">
        <f>IFERROR(__xludf.DUMMYFUNCTION("""COMPUTED_VALUE"""),1.050724637681159)</f>
        <v>1.050724638</v>
      </c>
      <c r="U854" s="57">
        <f>IFERROR(__xludf.DUMMYFUNCTION("""COMPUTED_VALUE"""),0.7246376811594203)</f>
        <v>0.7246376812</v>
      </c>
      <c r="V854" s="57">
        <f>IFERROR(__xludf.DUMMYFUNCTION("""COMPUTED_VALUE"""),1.5217391304347827)</f>
        <v>1.52173913</v>
      </c>
      <c r="W854" s="57">
        <f>IFERROR(__xludf.DUMMYFUNCTION("""COMPUTED_VALUE"""),2.9347826086956514)</f>
        <v>2.934782609</v>
      </c>
      <c r="X854" s="31">
        <f>IFERROR(__xludf.DUMMYFUNCTION("""COMPUTED_VALUE"""),354.8928762644199)</f>
        <v>354.8928763</v>
      </c>
      <c r="Y854" s="57">
        <f>IFERROR(__xludf.DUMMYFUNCTION("""COMPUTED_VALUE"""),0.81162372806908)</f>
        <v>0.8116237281</v>
      </c>
      <c r="Z854" s="57">
        <f>IFERROR(__xludf.DUMMYFUNCTION("""COMPUTED_VALUE"""),0.5883532810680587)</f>
        <v>0.5883532811</v>
      </c>
      <c r="AA854" s="57">
        <f>IFERROR(__xludf.DUMMYFUNCTION("""COMPUTED_VALUE"""),1.3314446545421965)</f>
        <v>1.331444655</v>
      </c>
      <c r="AB854" s="57">
        <f>IFERROR(__xludf.DUMMYFUNCTION("""COMPUTED_VALUE"""),2.653385545536024)</f>
        <v>2.653385546</v>
      </c>
      <c r="AC854" s="31">
        <f>IFERROR(__xludf.DUMMYFUNCTION("""COMPUTED_VALUE"""),355.316976889542)</f>
        <v>355.3169769</v>
      </c>
      <c r="AD854" s="57">
        <f>IFERROR(__xludf.DUMMYFUNCTION("""COMPUTED_VALUE"""),0.7958054241385242)</f>
        <v>0.7958054241</v>
      </c>
      <c r="AE854" s="57">
        <f>IFERROR(__xludf.DUMMYFUNCTION("""COMPUTED_VALUE"""),0.5785344253806641)</f>
        <v>0.5785344254</v>
      </c>
      <c r="AF854" s="57">
        <f>IFERROR(__xludf.DUMMYFUNCTION("""COMPUTED_VALUE"""),1.3557224075062997)</f>
        <v>1.355722408</v>
      </c>
      <c r="AG854" s="57">
        <f>IFERROR(__xludf.DUMMYFUNCTION("""COMPUTED_VALUE"""),2.573242602178332)</f>
        <v>2.573242602</v>
      </c>
      <c r="AH854" s="57">
        <f>IFERROR(__xludf.DUMMYFUNCTION("""COMPUTED_VALUE"""),0.891426954060931)</f>
        <v>0.8914269541</v>
      </c>
      <c r="AI854" s="57">
        <f>IFERROR(__xludf.DUMMYFUNCTION("""COMPUTED_VALUE"""),0.6009771422241117)</f>
        <v>0.6009771422</v>
      </c>
      <c r="AJ854" s="57">
        <f>IFERROR(__xludf.DUMMYFUNCTION("""COMPUTED_VALUE"""),0.751524178374647)</f>
        <v>0.7515241784</v>
      </c>
      <c r="AK854" s="57">
        <f>IFERROR(__xludf.DUMMYFUNCTION("""COMPUTED_VALUE"""),1.106421190425762)</f>
        <v>1.10642119</v>
      </c>
      <c r="AL854" s="57">
        <f>IFERROR(__xludf.DUMMYFUNCTION("""COMPUTED_VALUE"""),0.8448146481167278)</f>
        <v>0.8448146481</v>
      </c>
      <c r="AM854" s="57">
        <f>IFERROR(__xludf.DUMMYFUNCTION("""COMPUTED_VALUE"""),1.1416998945856598)</f>
        <v>1.141699895</v>
      </c>
      <c r="AN854" s="57">
        <f>IFERROR(__xludf.DUMMYFUNCTION("""COMPUTED_VALUE"""),1.2945957607485428)</f>
        <v>1.294595761</v>
      </c>
      <c r="AO854" s="57">
        <f>IFERROR(__xludf.DUMMYFUNCTION("""COMPUTED_VALUE"""),1.2316370189080268)</f>
        <v>1.231637019</v>
      </c>
      <c r="AP854" s="35">
        <f>IFERROR(__xludf.DUMMYFUNCTION("""COMPUTED_VALUE"""),1.1429233090864126)</f>
        <v>1.142923309</v>
      </c>
      <c r="AQ854" s="57">
        <f>IFERROR(__xludf.DUMMYFUNCTION("""COMPUTED_VALUE"""),1.1060520826432636)</f>
        <v>1.106052083</v>
      </c>
      <c r="AR854" s="36" t="b">
        <f>IFERROR(__xludf.DUMMYFUNCTION("""COMPUTED_VALUE"""),TRUE)</f>
        <v>1</v>
      </c>
      <c r="AS854" s="57"/>
      <c r="AT854" s="37"/>
      <c r="AU854" s="30"/>
      <c r="AV854" s="30"/>
      <c r="AW854" s="30"/>
      <c r="AX854" s="30"/>
      <c r="AY854" s="30"/>
      <c r="AZ854" s="30"/>
    </row>
    <row r="855">
      <c r="A855" s="30" t="str">
        <f>IFERROR(__xludf.DUMMYFUNCTION("""COMPUTED_VALUE"""),"Veteran")</f>
        <v>Veteran</v>
      </c>
      <c r="B855" s="30" t="str">
        <f>IFERROR(__xludf.DUMMYFUNCTION("""COMPUTED_VALUE"""),"RSC005960")</f>
        <v>RSC005960</v>
      </c>
      <c r="C855" s="30" t="str">
        <f>IFERROR(__xludf.DUMMYFUNCTION("""COMPUTED_VALUE"""),"Hyper")</f>
        <v>Hyper</v>
      </c>
      <c r="D855" s="31" t="str">
        <f>IFERROR(__xludf.DUMMYFUNCTION("""COMPUTED_VALUE"""),"Possessed")</f>
        <v>Possessed</v>
      </c>
      <c r="E855" s="31">
        <f>IFERROR(__xludf.DUMMYFUNCTION("""COMPUTED_VALUE"""),16.305114782811657)</f>
        <v>16.30511478</v>
      </c>
      <c r="F855" s="31">
        <f>IFERROR(__xludf.DUMMYFUNCTION("""COMPUTED_VALUE"""),-11.253391804357648)</f>
        <v>-11.2533918</v>
      </c>
      <c r="G855" s="31">
        <f>IFERROR(__xludf.DUMMYFUNCTION("""COMPUTED_VALUE"""),28.281656305950374)</f>
        <v>28.28165631</v>
      </c>
      <c r="H855" s="31">
        <f>IFERROR(__xludf.DUMMYFUNCTION("""COMPUTED_VALUE"""),-5.194902642140851)</f>
        <v>-5.194902642</v>
      </c>
      <c r="I855" s="54">
        <f>IFERROR(__xludf.DUMMYFUNCTION("""COMPUTED_VALUE"""),14.0)</f>
        <v>14</v>
      </c>
      <c r="J855" s="55">
        <f>IFERROR(__xludf.DUMMYFUNCTION("""COMPUTED_VALUE"""),4.0)</f>
        <v>4</v>
      </c>
      <c r="K855" s="54">
        <f>IFERROR(__xludf.DUMMYFUNCTION("""COMPUTED_VALUE"""),10.0)</f>
        <v>10</v>
      </c>
      <c r="L855" s="56">
        <f>IFERROR(__xludf.DUMMYFUNCTION("""COMPUTED_VALUE"""),0.2857142857142857)</f>
        <v>0.2857142857</v>
      </c>
      <c r="M855" s="56">
        <f>IFERROR(__xludf.DUMMYFUNCTION("""COMPUTED_VALUE"""),0.1379310344827586)</f>
        <v>0.1379310345</v>
      </c>
      <c r="N855" s="31">
        <f>IFERROR(__xludf.DUMMYFUNCTION("""COMPUTED_VALUE"""),300.5)</f>
        <v>300.5</v>
      </c>
      <c r="O855" s="57">
        <f>IFERROR(__xludf.DUMMYFUNCTION("""COMPUTED_VALUE"""),0.2857142857142857)</f>
        <v>0.2857142857</v>
      </c>
      <c r="P855" s="57">
        <f>IFERROR(__xludf.DUMMYFUNCTION("""COMPUTED_VALUE"""),0.7142857142857143)</f>
        <v>0.7142857143</v>
      </c>
      <c r="Q855" s="57">
        <f>IFERROR(__xludf.DUMMYFUNCTION("""COMPUTED_VALUE"""),1.5)</f>
        <v>1.5</v>
      </c>
      <c r="R855" s="57">
        <f>IFERROR(__xludf.DUMMYFUNCTION("""COMPUTED_VALUE"""),2.0714285714285716)</f>
        <v>2.071428571</v>
      </c>
      <c r="S855" s="31">
        <f>IFERROR(__xludf.DUMMYFUNCTION("""COMPUTED_VALUE"""),405.9761904761904)</f>
        <v>405.9761905</v>
      </c>
      <c r="T855" s="57">
        <f>IFERROR(__xludf.DUMMYFUNCTION("""COMPUTED_VALUE"""),1.0714285714285714)</f>
        <v>1.071428571</v>
      </c>
      <c r="U855" s="57">
        <f>IFERROR(__xludf.DUMMYFUNCTION("""COMPUTED_VALUE"""),0.8571428571428571)</f>
        <v>0.8571428571</v>
      </c>
      <c r="V855" s="57">
        <f>IFERROR(__xludf.DUMMYFUNCTION("""COMPUTED_VALUE"""),1.4285714285714286)</f>
        <v>1.428571429</v>
      </c>
      <c r="W855" s="57">
        <f>IFERROR(__xludf.DUMMYFUNCTION("""COMPUTED_VALUE"""),2.9285714285714284)</f>
        <v>2.928571429</v>
      </c>
      <c r="X855" s="31">
        <f>IFERROR(__xludf.DUMMYFUNCTION("""COMPUTED_VALUE"""),356.9922598870338)</f>
        <v>356.9922599</v>
      </c>
      <c r="Y855" s="57">
        <f>IFERROR(__xludf.DUMMYFUNCTION("""COMPUTED_VALUE"""),0.7710326398724436)</f>
        <v>0.7710326399</v>
      </c>
      <c r="Z855" s="57">
        <f>IFERROR(__xludf.DUMMYFUNCTION("""COMPUTED_VALUE"""),0.5567208707868319)</f>
        <v>0.5567208708</v>
      </c>
      <c r="AA855" s="57">
        <f>IFERROR(__xludf.DUMMYFUNCTION("""COMPUTED_VALUE"""),1.4030910855741667)</f>
        <v>1.403091086</v>
      </c>
      <c r="AB855" s="57">
        <f>IFERROR(__xludf.DUMMYFUNCTION("""COMPUTED_VALUE"""),2.7023966696668142)</f>
        <v>2.70239667</v>
      </c>
      <c r="AC855" s="31">
        <f>IFERROR(__xludf.DUMMYFUNCTION("""COMPUTED_VALUE"""),343.65093659514145)</f>
        <v>343.6509366</v>
      </c>
      <c r="AD855" s="57">
        <f>IFERROR(__xludf.DUMMYFUNCTION("""COMPUTED_VALUE"""),0.7004817589742489)</f>
        <v>0.700481759</v>
      </c>
      <c r="AE855" s="57">
        <f>IFERROR(__xludf.DUMMYFUNCTION("""COMPUTED_VALUE"""),0.520126835917517)</f>
        <v>0.5201268359</v>
      </c>
      <c r="AF855" s="57">
        <f>IFERROR(__xludf.DUMMYFUNCTION("""COMPUTED_VALUE"""),1.3720853912856907)</f>
        <v>1.372085391</v>
      </c>
      <c r="AG855" s="57">
        <f>IFERROR(__xludf.DUMMYFUNCTION("""COMPUTED_VALUE"""),2.5547783186442365)</f>
        <v>2.554778319</v>
      </c>
      <c r="AH855" s="57">
        <f>IFERROR(__xludf.DUMMYFUNCTION("""COMPUTED_VALUE"""),0.8744338164106971)</f>
        <v>0.8744338164</v>
      </c>
      <c r="AI855" s="57">
        <f>IFERROR(__xludf.DUMMYFUNCTION("""COMPUTED_VALUE"""),0.4078825494794778)</f>
        <v>0.4078825495</v>
      </c>
      <c r="AJ855" s="57">
        <f>IFERROR(__xludf.DUMMYFUNCTION("""COMPUTED_VALUE"""),1.3732914069424935)</f>
        <v>1.373291407</v>
      </c>
      <c r="AK855" s="57">
        <f>IFERROR(__xludf.DUMMYFUNCTION("""COMPUTED_VALUE"""),1.09322641981812)</f>
        <v>1.09322642</v>
      </c>
      <c r="AL855" s="57">
        <f>IFERROR(__xludf.DUMMYFUNCTION("""COMPUTED_VALUE"""),0.8108056015317338)</f>
        <v>0.8108056015</v>
      </c>
      <c r="AM855" s="57">
        <f>IFERROR(__xludf.DUMMYFUNCTION("""COMPUTED_VALUE"""),1.137212864516046)</f>
        <v>1.137212865</v>
      </c>
      <c r="AN855" s="57">
        <f>IFERROR(__xludf.DUMMYFUNCTION("""COMPUTED_VALUE"""),1.3896020946737404)</f>
        <v>1.389602095</v>
      </c>
      <c r="AO855" s="57">
        <f>IFERROR(__xludf.DUMMYFUNCTION("""COMPUTED_VALUE"""),1.539627670023272)</f>
        <v>1.53962767</v>
      </c>
      <c r="AP855" s="35">
        <f>IFERROR(__xludf.DUMMYFUNCTION("""COMPUTED_VALUE"""),1.01816014887361)</f>
        <v>1.018160149</v>
      </c>
      <c r="AQ855" s="57">
        <f>IFERROR(__xludf.DUMMYFUNCTION("""COMPUTED_VALUE"""),1.0836941376679907)</f>
        <v>1.083694138</v>
      </c>
      <c r="AR855" s="36" t="b">
        <f>IFERROR(__xludf.DUMMYFUNCTION("""COMPUTED_VALUE"""),TRUE)</f>
        <v>1</v>
      </c>
      <c r="AS855" s="57"/>
      <c r="AT855" s="37"/>
      <c r="AU855" s="30"/>
      <c r="AV855" s="30"/>
      <c r="AW855" s="30"/>
      <c r="AX855" s="30"/>
      <c r="AY855" s="30"/>
      <c r="AZ855" s="30"/>
    </row>
    <row r="856">
      <c r="A856" s="30" t="str">
        <f>IFERROR(__xludf.DUMMYFUNCTION("""COMPUTED_VALUE"""),"Veteran")</f>
        <v>Veteran</v>
      </c>
      <c r="B856" s="30" t="str">
        <f>IFERROR(__xludf.DUMMYFUNCTION("""COMPUTED_VALUE"""),"RSC007187")</f>
        <v>RSC007187</v>
      </c>
      <c r="C856" s="30" t="str">
        <f>IFERROR(__xludf.DUMMYFUNCTION("""COMPUTED_VALUE"""),"Evil Gooby")</f>
        <v>Evil Gooby</v>
      </c>
      <c r="D856" s="31" t="str">
        <f>IFERROR(__xludf.DUMMYFUNCTION("""COMPUTED_VALUE"""),"Mellow Fellows")</f>
        <v>Mellow Fellows</v>
      </c>
      <c r="E856" s="31">
        <f>IFERROR(__xludf.DUMMYFUNCTION("""COMPUTED_VALUE"""),15.265153672604988)</f>
        <v>15.26515367</v>
      </c>
      <c r="F856" s="31">
        <f>IFERROR(__xludf.DUMMYFUNCTION("""COMPUTED_VALUE"""),-12.142331060833135)</f>
        <v>-12.14233106</v>
      </c>
      <c r="G856" s="31">
        <f>IFERROR(__xludf.DUMMYFUNCTION("""COMPUTED_VALUE"""),16.68267592713027)</f>
        <v>16.68267593</v>
      </c>
      <c r="H856" s="31">
        <f>IFERROR(__xludf.DUMMYFUNCTION("""COMPUTED_VALUE"""),-10.95094840828576)</f>
        <v>-10.95094841</v>
      </c>
      <c r="I856" s="54">
        <f>IFERROR(__xludf.DUMMYFUNCTION("""COMPUTED_VALUE"""),48.0)</f>
        <v>48</v>
      </c>
      <c r="J856" s="55">
        <f>IFERROR(__xludf.DUMMYFUNCTION("""COMPUTED_VALUE"""),20.0)</f>
        <v>20</v>
      </c>
      <c r="K856" s="54">
        <f>IFERROR(__xludf.DUMMYFUNCTION("""COMPUTED_VALUE"""),28.0)</f>
        <v>28</v>
      </c>
      <c r="L856" s="56">
        <f>IFERROR(__xludf.DUMMYFUNCTION("""COMPUTED_VALUE"""),0.4166666666666667)</f>
        <v>0.4166666667</v>
      </c>
      <c r="M856" s="56">
        <f>IFERROR(__xludf.DUMMYFUNCTION("""COMPUTED_VALUE"""),0.25)</f>
        <v>0.25</v>
      </c>
      <c r="N856" s="31">
        <f>IFERROR(__xludf.DUMMYFUNCTION("""COMPUTED_VALUE"""),293.125)</f>
        <v>293.125</v>
      </c>
      <c r="O856" s="57">
        <f>IFERROR(__xludf.DUMMYFUNCTION("""COMPUTED_VALUE"""),0.4791666666666667)</f>
        <v>0.4791666667</v>
      </c>
      <c r="P856" s="57">
        <f>IFERROR(__xludf.DUMMYFUNCTION("""COMPUTED_VALUE"""),0.22916666666666666)</f>
        <v>0.2291666667</v>
      </c>
      <c r="Q856" s="57">
        <f>IFERROR(__xludf.DUMMYFUNCTION("""COMPUTED_VALUE"""),1.5)</f>
        <v>1.5</v>
      </c>
      <c r="R856" s="57">
        <f>IFERROR(__xludf.DUMMYFUNCTION("""COMPUTED_VALUE"""),1.9166666666666667)</f>
        <v>1.916666667</v>
      </c>
      <c r="S856" s="31">
        <f>IFERROR(__xludf.DUMMYFUNCTION("""COMPUTED_VALUE"""),348.40277777777766)</f>
        <v>348.4027778</v>
      </c>
      <c r="T856" s="57">
        <f>IFERROR(__xludf.DUMMYFUNCTION("""COMPUTED_VALUE"""),0.7500000000000001)</f>
        <v>0.75</v>
      </c>
      <c r="U856" s="57">
        <f>IFERROR(__xludf.DUMMYFUNCTION("""COMPUTED_VALUE"""),0.548611111111111)</f>
        <v>0.5486111111</v>
      </c>
      <c r="V856" s="57">
        <f>IFERROR(__xludf.DUMMYFUNCTION("""COMPUTED_VALUE"""),1.4166666666666663)</f>
        <v>1.416666667</v>
      </c>
      <c r="W856" s="57">
        <f>IFERROR(__xludf.DUMMYFUNCTION("""COMPUTED_VALUE"""),2.715277777777778)</f>
        <v>2.715277778</v>
      </c>
      <c r="X856" s="31">
        <f>IFERROR(__xludf.DUMMYFUNCTION("""COMPUTED_VALUE"""),343.69318448862344)</f>
        <v>343.6931845</v>
      </c>
      <c r="Y856" s="57">
        <f>IFERROR(__xludf.DUMMYFUNCTION("""COMPUTED_VALUE"""),0.7467066074090608)</f>
        <v>0.7467066074</v>
      </c>
      <c r="Z856" s="57">
        <f>IFERROR(__xludf.DUMMYFUNCTION("""COMPUTED_VALUE"""),0.5541866148999722)</f>
        <v>0.5541866149</v>
      </c>
      <c r="AA856" s="57">
        <f>IFERROR(__xludf.DUMMYFUNCTION("""COMPUTED_VALUE"""),1.2976546240208362)</f>
        <v>1.297654624</v>
      </c>
      <c r="AB856" s="57">
        <f>IFERROR(__xludf.DUMMYFUNCTION("""COMPUTED_VALUE"""),2.5796635530514713)</f>
        <v>2.579663553</v>
      </c>
      <c r="AC856" s="31">
        <f>IFERROR(__xludf.DUMMYFUNCTION("""COMPUTED_VALUE"""),344.7058775800349)</f>
        <v>344.7058776</v>
      </c>
      <c r="AD856" s="57">
        <f>IFERROR(__xludf.DUMMYFUNCTION("""COMPUTED_VALUE"""),0.7369589745291596)</f>
        <v>0.7369589745</v>
      </c>
      <c r="AE856" s="57">
        <f>IFERROR(__xludf.DUMMYFUNCTION("""COMPUTED_VALUE"""),0.5459037655480171)</f>
        <v>0.5459037655</v>
      </c>
      <c r="AF856" s="57">
        <f>IFERROR(__xludf.DUMMYFUNCTION("""COMPUTED_VALUE"""),1.344398756962603)</f>
        <v>1.344398757</v>
      </c>
      <c r="AG856" s="57">
        <f>IFERROR(__xludf.DUMMYFUNCTION("""COMPUTED_VALUE"""),2.5044470545260302)</f>
        <v>2.504447055</v>
      </c>
      <c r="AH856" s="57">
        <f>IFERROR(__xludf.DUMMYFUNCTION("""COMPUTED_VALUE"""),0.8503626397607372)</f>
        <v>0.8503626398</v>
      </c>
      <c r="AI856" s="57">
        <f>IFERROR(__xludf.DUMMYFUNCTION("""COMPUTED_VALUE"""),0.650194492811224)</f>
        <v>0.6501944928</v>
      </c>
      <c r="AJ856" s="57">
        <f>IFERROR(__xludf.DUMMYFUNCTION("""COMPUTED_VALUE"""),0.419793159764364)</f>
        <v>0.4197931598</v>
      </c>
      <c r="AK856" s="57">
        <f>IFERROR(__xludf.DUMMYFUNCTION("""COMPUTED_VALUE"""),1.1157403949025857)</f>
        <v>1.115740395</v>
      </c>
      <c r="AL856" s="57">
        <f>IFERROR(__xludf.DUMMYFUNCTION("""COMPUTED_VALUE"""),0.7653053248631756)</f>
        <v>0.7653053249</v>
      </c>
      <c r="AM856" s="57">
        <f>IFERROR(__xludf.DUMMYFUNCTION("""COMPUTED_VALUE"""),1.0137028998586677)</f>
        <v>1.0137029</v>
      </c>
      <c r="AN856" s="57">
        <f>IFERROR(__xludf.DUMMYFUNCTION("""COMPUTED_VALUE"""),1.004410557718736)</f>
        <v>1.004410558</v>
      </c>
      <c r="AO856" s="57">
        <f>IFERROR(__xludf.DUMMYFUNCTION("""COMPUTED_VALUE"""),0.989939302684408)</f>
        <v>0.9899393027</v>
      </c>
      <c r="AP856" s="35">
        <f>IFERROR(__xludf.DUMMYFUNCTION("""COMPUTED_VALUE"""),1.0917131881186277)</f>
        <v>1.091713188</v>
      </c>
      <c r="AQ856" s="57">
        <f>IFERROR(__xludf.DUMMYFUNCTION("""COMPUTED_VALUE"""),1.052570508493594)</f>
        <v>1.052570508</v>
      </c>
      <c r="AR856" s="36" t="b">
        <f>IFERROR(__xludf.DUMMYFUNCTION("""COMPUTED_VALUE"""),TRUE)</f>
        <v>1</v>
      </c>
      <c r="AS856" s="57"/>
      <c r="AT856" s="37"/>
      <c r="AU856" s="30"/>
      <c r="AV856" s="30"/>
      <c r="AW856" s="30"/>
      <c r="AX856" s="30"/>
      <c r="AY856" s="30"/>
      <c r="AZ856" s="30"/>
    </row>
    <row r="857">
      <c r="A857" s="30" t="str">
        <f>IFERROR(__xludf.DUMMYFUNCTION("""COMPUTED_VALUE"""),"Veteran")</f>
        <v>Veteran</v>
      </c>
      <c r="B857" s="30" t="str">
        <f>IFERROR(__xludf.DUMMYFUNCTION("""COMPUTED_VALUE"""),"RSC008028")</f>
        <v>RSC008028</v>
      </c>
      <c r="C857" s="30" t="str">
        <f>IFERROR(__xludf.DUMMYFUNCTION("""COMPUTED_VALUE"""),"krozex.")</f>
        <v>krozex.</v>
      </c>
      <c r="D857" s="31"/>
      <c r="E857" s="31">
        <f>IFERROR(__xludf.DUMMYFUNCTION("""COMPUTED_VALUE"""),14.319293638649185)</f>
        <v>14.31929364</v>
      </c>
      <c r="F857" s="31">
        <f>IFERROR(__xludf.DUMMYFUNCTION("""COMPUTED_VALUE"""),-13.028118147506891)</f>
        <v>-13.02811815</v>
      </c>
      <c r="G857" s="31">
        <f>IFERROR(__xludf.DUMMYFUNCTION("""COMPUTED_VALUE"""),16.463868244564857)</f>
        <v>16.46386824</v>
      </c>
      <c r="H857" s="31">
        <f>IFERROR(__xludf.DUMMYFUNCTION("""COMPUTED_VALUE"""),-11.124959966210527)</f>
        <v>-11.12495997</v>
      </c>
      <c r="I857" s="54">
        <f>IFERROR(__xludf.DUMMYFUNCTION("""COMPUTED_VALUE"""),4.0)</f>
        <v>4</v>
      </c>
      <c r="J857" s="55">
        <f>IFERROR(__xludf.DUMMYFUNCTION("""COMPUTED_VALUE"""),2.0)</f>
        <v>2</v>
      </c>
      <c r="K857" s="54">
        <f>IFERROR(__xludf.DUMMYFUNCTION("""COMPUTED_VALUE"""),2.0)</f>
        <v>2</v>
      </c>
      <c r="L857" s="56">
        <f>IFERROR(__xludf.DUMMYFUNCTION("""COMPUTED_VALUE"""),0.5)</f>
        <v>0.5</v>
      </c>
      <c r="M857" s="56">
        <f>IFERROR(__xludf.DUMMYFUNCTION("""COMPUTED_VALUE"""),0.14285714285714285)</f>
        <v>0.1428571429</v>
      </c>
      <c r="N857" s="31">
        <f>IFERROR(__xludf.DUMMYFUNCTION("""COMPUTED_VALUE"""),274.75)</f>
        <v>274.75</v>
      </c>
      <c r="O857" s="57">
        <f>IFERROR(__xludf.DUMMYFUNCTION("""COMPUTED_VALUE"""),0.25)</f>
        <v>0.25</v>
      </c>
      <c r="P857" s="57">
        <f>IFERROR(__xludf.DUMMYFUNCTION("""COMPUTED_VALUE"""),0.5)</f>
        <v>0.5</v>
      </c>
      <c r="Q857" s="57">
        <f>IFERROR(__xludf.DUMMYFUNCTION("""COMPUTED_VALUE"""),1.0)</f>
        <v>1</v>
      </c>
      <c r="R857" s="57">
        <f>IFERROR(__xludf.DUMMYFUNCTION("""COMPUTED_VALUE"""),1.75)</f>
        <v>1.75</v>
      </c>
      <c r="S857" s="31">
        <f>IFERROR(__xludf.DUMMYFUNCTION("""COMPUTED_VALUE"""),352.6666666666667)</f>
        <v>352.6666667</v>
      </c>
      <c r="T857" s="57">
        <f>IFERROR(__xludf.DUMMYFUNCTION("""COMPUTED_VALUE"""),0.6666666666666666)</f>
        <v>0.6666666667</v>
      </c>
      <c r="U857" s="57">
        <f>IFERROR(__xludf.DUMMYFUNCTION("""COMPUTED_VALUE"""),0.49999999999999994)</f>
        <v>0.5</v>
      </c>
      <c r="V857" s="57">
        <f>IFERROR(__xludf.DUMMYFUNCTION("""COMPUTED_VALUE"""),1.666666666666667)</f>
        <v>1.666666667</v>
      </c>
      <c r="W857" s="57">
        <f>IFERROR(__xludf.DUMMYFUNCTION("""COMPUTED_VALUE"""),2.5)</f>
        <v>2.5</v>
      </c>
      <c r="X857" s="31">
        <f>IFERROR(__xludf.DUMMYFUNCTION("""COMPUTED_VALUE"""),341.4483294483295)</f>
        <v>341.4483294</v>
      </c>
      <c r="Y857" s="57">
        <f>IFERROR(__xludf.DUMMYFUNCTION("""COMPUTED_VALUE"""),0.7422947422947423)</f>
        <v>0.7422947423</v>
      </c>
      <c r="Z857" s="57">
        <f>IFERROR(__xludf.DUMMYFUNCTION("""COMPUTED_VALUE"""),0.5497927997927998)</f>
        <v>0.5497927998</v>
      </c>
      <c r="AA857" s="57">
        <f>IFERROR(__xludf.DUMMYFUNCTION("""COMPUTED_VALUE"""),1.377816627816628)</f>
        <v>1.377816628</v>
      </c>
      <c r="AB857" s="57">
        <f>IFERROR(__xludf.DUMMYFUNCTION("""COMPUTED_VALUE"""),2.6380471380471384)</f>
        <v>2.638047138</v>
      </c>
      <c r="AC857" s="31">
        <f>IFERROR(__xludf.DUMMYFUNCTION("""COMPUTED_VALUE"""),352.3633126133127)</f>
        <v>352.3633126</v>
      </c>
      <c r="AD857" s="57">
        <f>IFERROR(__xludf.DUMMYFUNCTION("""COMPUTED_VALUE"""),0.8164767331433997)</f>
        <v>0.8164767331</v>
      </c>
      <c r="AE857" s="57">
        <f>IFERROR(__xludf.DUMMYFUNCTION("""COMPUTED_VALUE"""),0.5871967538634206)</f>
        <v>0.5871967539</v>
      </c>
      <c r="AF857" s="57">
        <f>IFERROR(__xludf.DUMMYFUNCTION("""COMPUTED_VALUE"""),1.3846801346801347)</f>
        <v>1.384680135</v>
      </c>
      <c r="AG857" s="57">
        <f>IFERROR(__xludf.DUMMYFUNCTION("""COMPUTED_VALUE"""),2.5451523784857115)</f>
        <v>2.545152378</v>
      </c>
      <c r="AH857" s="57">
        <f>IFERROR(__xludf.DUMMYFUNCTION("""COMPUTED_VALUE"""),0.7797349785433355)</f>
        <v>0.7797349785</v>
      </c>
      <c r="AI857" s="57">
        <f>IFERROR(__xludf.DUMMYFUNCTION("""COMPUTED_VALUE"""),0.30619366094795003)</f>
        <v>0.3061936609</v>
      </c>
      <c r="AJ857" s="57">
        <f>IFERROR(__xludf.DUMMYFUNCTION("""COMPUTED_VALUE"""),0.8515033448504005)</f>
        <v>0.8515033449</v>
      </c>
      <c r="AK857" s="57">
        <f>IFERROR(__xludf.DUMMYFUNCTION("""COMPUTED_VALUE"""),0.7221884498480243)</f>
        <v>0.7221884498</v>
      </c>
      <c r="AL857" s="57">
        <f>IFERROR(__xludf.DUMMYFUNCTION("""COMPUTED_VALUE"""),0.6875816217499704)</f>
        <v>0.6875816217</v>
      </c>
      <c r="AM857" s="57">
        <f>IFERROR(__xludf.DUMMYFUNCTION("""COMPUTED_VALUE"""),1.0328551533301171)</f>
        <v>1.032855153</v>
      </c>
      <c r="AN857" s="57">
        <f>IFERROR(__xludf.DUMMYFUNCTION("""COMPUTED_VALUE"""),0.8981158408932308)</f>
        <v>0.8981158409</v>
      </c>
      <c r="AO857" s="57">
        <f>IFERROR(__xludf.DUMMYFUNCTION("""COMPUTED_VALUE"""),0.9094335178424212)</f>
        <v>0.9094335178</v>
      </c>
      <c r="AP857" s="35">
        <f>IFERROR(__xludf.DUMMYFUNCTION("""COMPUTED_VALUE"""),1.2096433103059356)</f>
        <v>1.20964331</v>
      </c>
      <c r="AQ857" s="57">
        <f>IFERROR(__xludf.DUMMYFUNCTION("""COMPUTED_VALUE"""),0.9476707083599233)</f>
        <v>0.9476707084</v>
      </c>
      <c r="AR857" s="36" t="b">
        <f>IFERROR(__xludf.DUMMYFUNCTION("""COMPUTED_VALUE"""),TRUE)</f>
        <v>1</v>
      </c>
      <c r="AS857" s="57"/>
      <c r="AT857" s="37"/>
      <c r="AU857" s="30"/>
      <c r="AV857" s="30"/>
      <c r="AW857" s="30"/>
      <c r="AX857" s="30"/>
      <c r="AY857" s="30"/>
      <c r="AZ857" s="30"/>
    </row>
    <row r="858">
      <c r="A858" s="30" t="str">
        <f>IFERROR(__xludf.DUMMYFUNCTION("""COMPUTED_VALUE"""),"Veteran")</f>
        <v>Veteran</v>
      </c>
      <c r="B858" s="30" t="str">
        <f>IFERROR(__xludf.DUMMYFUNCTION("""COMPUTED_VALUE"""),"RSC005682")</f>
        <v>RSC005682</v>
      </c>
      <c r="C858" s="30" t="str">
        <f>IFERROR(__xludf.DUMMYFUNCTION("""COMPUTED_VALUE"""),"S_ckz")</f>
        <v>S_ckz</v>
      </c>
      <c r="D858" s="31" t="str">
        <f>IFERROR(__xludf.DUMMYFUNCTION("""COMPUTED_VALUE"""),"Slots")</f>
        <v>Slots</v>
      </c>
      <c r="E858" s="31">
        <f>IFERROR(__xludf.DUMMYFUNCTION("""COMPUTED_VALUE"""),14.057420523104376)</f>
        <v>14.05742052</v>
      </c>
      <c r="F858" s="31">
        <f>IFERROR(__xludf.DUMMYFUNCTION("""COMPUTED_VALUE"""),-13.287421685529035)</f>
        <v>-13.28742169</v>
      </c>
      <c r="G858" s="31">
        <f>IFERROR(__xludf.DUMMYFUNCTION("""COMPUTED_VALUE"""),8.135238576704452)</f>
        <v>8.135238577</v>
      </c>
      <c r="H858" s="31">
        <f>IFERROR(__xludf.DUMMYFUNCTION("""COMPUTED_VALUE"""),-21.27328866880998)</f>
        <v>-21.27328867</v>
      </c>
      <c r="I858" s="54">
        <f>IFERROR(__xludf.DUMMYFUNCTION("""COMPUTED_VALUE"""),4.0)</f>
        <v>4</v>
      </c>
      <c r="J858" s="55">
        <f>IFERROR(__xludf.DUMMYFUNCTION("""COMPUTED_VALUE"""),2.0)</f>
        <v>2</v>
      </c>
      <c r="K858" s="54">
        <f>IFERROR(__xludf.DUMMYFUNCTION("""COMPUTED_VALUE"""),2.0)</f>
        <v>2</v>
      </c>
      <c r="L858" s="56">
        <f>IFERROR(__xludf.DUMMYFUNCTION("""COMPUTED_VALUE"""),0.5)</f>
        <v>0.5</v>
      </c>
      <c r="M858" s="56">
        <f>IFERROR(__xludf.DUMMYFUNCTION("""COMPUTED_VALUE"""),0.25)</f>
        <v>0.25</v>
      </c>
      <c r="N858" s="31">
        <f>IFERROR(__xludf.DUMMYFUNCTION("""COMPUTED_VALUE"""),365.75)</f>
        <v>365.75</v>
      </c>
      <c r="O858" s="57">
        <f>IFERROR(__xludf.DUMMYFUNCTION("""COMPUTED_VALUE"""),0.5)</f>
        <v>0.5</v>
      </c>
      <c r="P858" s="57">
        <f>IFERROR(__xludf.DUMMYFUNCTION("""COMPUTED_VALUE"""),0.25)</f>
        <v>0.25</v>
      </c>
      <c r="Q858" s="57">
        <f>IFERROR(__xludf.DUMMYFUNCTION("""COMPUTED_VALUE"""),2.25)</f>
        <v>2.25</v>
      </c>
      <c r="R858" s="57">
        <f>IFERROR(__xludf.DUMMYFUNCTION("""COMPUTED_VALUE"""),2.0)</f>
        <v>2</v>
      </c>
      <c r="S858" s="31">
        <f>IFERROR(__xludf.DUMMYFUNCTION("""COMPUTED_VALUE"""),345.5833333333333)</f>
        <v>345.5833333</v>
      </c>
      <c r="T858" s="57">
        <f>IFERROR(__xludf.DUMMYFUNCTION("""COMPUTED_VALUE"""),1.0)</f>
        <v>1</v>
      </c>
      <c r="U858" s="57">
        <f>IFERROR(__xludf.DUMMYFUNCTION("""COMPUTED_VALUE"""),0.75)</f>
        <v>0.75</v>
      </c>
      <c r="V858" s="57">
        <f>IFERROR(__xludf.DUMMYFUNCTION("""COMPUTED_VALUE"""),1.0833333333333333)</f>
        <v>1.083333333</v>
      </c>
      <c r="W858" s="57">
        <f>IFERROR(__xludf.DUMMYFUNCTION("""COMPUTED_VALUE"""),4.25)</f>
        <v>4.25</v>
      </c>
      <c r="X858" s="31">
        <f>IFERROR(__xludf.DUMMYFUNCTION("""COMPUTED_VALUE"""),369.4851199690402)</f>
        <v>369.48512</v>
      </c>
      <c r="Y858" s="57">
        <f>IFERROR(__xludf.DUMMYFUNCTION("""COMPUTED_VALUE"""),0.855453431372549)</f>
        <v>0.8554534314</v>
      </c>
      <c r="Z858" s="57">
        <f>IFERROR(__xludf.DUMMYFUNCTION("""COMPUTED_VALUE"""),0.5988325593395253)</f>
        <v>0.5988325593</v>
      </c>
      <c r="AA858" s="57">
        <f>IFERROR(__xludf.DUMMYFUNCTION("""COMPUTED_VALUE"""),1.450377321981424)</f>
        <v>1.450377322</v>
      </c>
      <c r="AB858" s="57">
        <f>IFERROR(__xludf.DUMMYFUNCTION("""COMPUTED_VALUE"""),2.8478360423116618)</f>
        <v>2.847836042</v>
      </c>
      <c r="AC858" s="31">
        <f>IFERROR(__xludf.DUMMYFUNCTION("""COMPUTED_VALUE"""),356.01212375301)</f>
        <v>356.0121238</v>
      </c>
      <c r="AD858" s="57">
        <f>IFERROR(__xludf.DUMMYFUNCTION("""COMPUTED_VALUE"""),0.798499312005504)</f>
        <v>0.798499312</v>
      </c>
      <c r="AE858" s="57">
        <f>IFERROR(__xludf.DUMMYFUNCTION("""COMPUTED_VALUE"""),0.5459171826625387)</f>
        <v>0.5459171827</v>
      </c>
      <c r="AF858" s="57">
        <f>IFERROR(__xludf.DUMMYFUNCTION("""COMPUTED_VALUE"""),1.469746517027864)</f>
        <v>1.469746517</v>
      </c>
      <c r="AG858" s="57">
        <f>IFERROR(__xludf.DUMMYFUNCTION("""COMPUTED_VALUE"""),2.6135846663226703)</f>
        <v>2.613584666</v>
      </c>
      <c r="AH858" s="57">
        <f>IFERROR(__xludf.DUMMYFUNCTION("""COMPUTED_VALUE"""),1.0273526534555488)</f>
        <v>1.027352653</v>
      </c>
      <c r="AI858" s="57">
        <f>IFERROR(__xludf.DUMMYFUNCTION("""COMPUTED_VALUE"""),0.6261746159106942)</f>
        <v>0.6261746159</v>
      </c>
      <c r="AJ858" s="57">
        <f>IFERROR(__xludf.DUMMYFUNCTION("""COMPUTED_VALUE"""),0.45794491900896744)</f>
        <v>0.457944919</v>
      </c>
      <c r="AK858" s="57">
        <f>IFERROR(__xludf.DUMMYFUNCTION("""COMPUTED_VALUE"""),1.530876225207849)</f>
        <v>1.530876225</v>
      </c>
      <c r="AL858" s="57">
        <f>IFERROR(__xludf.DUMMYFUNCTION("""COMPUTED_VALUE"""),0.7652325274826518)</f>
        <v>0.7652325275</v>
      </c>
      <c r="AM858" s="57">
        <f>IFERROR(__xludf.DUMMYFUNCTION("""COMPUTED_VALUE"""),0.93531055692389)</f>
        <v>0.9353105569</v>
      </c>
      <c r="AN858" s="57">
        <f>IFERROR(__xludf.DUMMYFUNCTION("""COMPUTED_VALUE"""),1.1689707041042905)</f>
        <v>1.168970704</v>
      </c>
      <c r="AO858" s="57">
        <f>IFERROR(__xludf.DUMMYFUNCTION("""COMPUTED_VALUE"""),1.2524369096216192)</f>
        <v>1.25243691</v>
      </c>
      <c r="AP858" s="35">
        <f>IFERROR(__xludf.DUMMYFUNCTION("""COMPUTED_VALUE"""),0.7469320685829148)</f>
        <v>0.7469320686</v>
      </c>
      <c r="AQ858" s="57">
        <f>IFERROR(__xludf.DUMMYFUNCTION("""COMPUTED_VALUE"""),1.4923611952569311)</f>
        <v>1.492361195</v>
      </c>
      <c r="AR858" s="36" t="b">
        <f>IFERROR(__xludf.DUMMYFUNCTION("""COMPUTED_VALUE"""),TRUE)</f>
        <v>1</v>
      </c>
      <c r="AS858" s="57"/>
      <c r="AT858" s="37"/>
      <c r="AU858" s="30"/>
      <c r="AV858" s="30"/>
      <c r="AW858" s="30"/>
      <c r="AX858" s="30"/>
      <c r="AY858" s="30"/>
      <c r="AZ858" s="30"/>
    </row>
    <row r="859">
      <c r="A859" s="30" t="str">
        <f>IFERROR(__xludf.DUMMYFUNCTION("""COMPUTED_VALUE"""),"Veteran")</f>
        <v>Veteran</v>
      </c>
      <c r="B859" s="30" t="str">
        <f>IFERROR(__xludf.DUMMYFUNCTION("""COMPUTED_VALUE"""),"RSC001893")</f>
        <v>RSC001893</v>
      </c>
      <c r="C859" s="30" t="str">
        <f>IFERROR(__xludf.DUMMYFUNCTION("""COMPUTED_VALUE"""),"cjax")</f>
        <v>cjax</v>
      </c>
      <c r="D859" s="31" t="str">
        <f>IFERROR(__xludf.DUMMYFUNCTION("""COMPUTED_VALUE"""),"Peppermint")</f>
        <v>Peppermint</v>
      </c>
      <c r="E859" s="31">
        <f>IFERROR(__xludf.DUMMYFUNCTION("""COMPUTED_VALUE"""),13.032798481637855)</f>
        <v>13.03279848</v>
      </c>
      <c r="F859" s="31">
        <f>IFERROR(__xludf.DUMMYFUNCTION("""COMPUTED_VALUE"""),-14.365369776565158)</f>
        <v>-14.36536978</v>
      </c>
      <c r="G859" s="31">
        <f>IFERROR(__xludf.DUMMYFUNCTION("""COMPUTED_VALUE"""),21.71268631851807)</f>
        <v>21.71268632</v>
      </c>
      <c r="H859" s="31">
        <f>IFERROR(__xludf.DUMMYFUNCTION("""COMPUTED_VALUE"""),-7.756512568531361)</f>
        <v>-7.756512569</v>
      </c>
      <c r="I859" s="54">
        <f>IFERROR(__xludf.DUMMYFUNCTION("""COMPUTED_VALUE"""),29.0)</f>
        <v>29</v>
      </c>
      <c r="J859" s="55">
        <f>IFERROR(__xludf.DUMMYFUNCTION("""COMPUTED_VALUE"""),11.0)</f>
        <v>11</v>
      </c>
      <c r="K859" s="54">
        <f>IFERROR(__xludf.DUMMYFUNCTION("""COMPUTED_VALUE"""),18.0)</f>
        <v>18</v>
      </c>
      <c r="L859" s="56">
        <f>IFERROR(__xludf.DUMMYFUNCTION("""COMPUTED_VALUE"""),0.3793103448275862)</f>
        <v>0.3793103448</v>
      </c>
      <c r="M859" s="56">
        <f>IFERROR(__xludf.DUMMYFUNCTION("""COMPUTED_VALUE"""),0.2826086956521739)</f>
        <v>0.2826086957</v>
      </c>
      <c r="N859" s="31">
        <f>IFERROR(__xludf.DUMMYFUNCTION("""COMPUTED_VALUE"""),307.48275862068965)</f>
        <v>307.4827586</v>
      </c>
      <c r="O859" s="57">
        <f>IFERROR(__xludf.DUMMYFUNCTION("""COMPUTED_VALUE"""),0.4482758620689655)</f>
        <v>0.4482758621</v>
      </c>
      <c r="P859" s="57">
        <f>IFERROR(__xludf.DUMMYFUNCTION("""COMPUTED_VALUE"""),0.4827586206896552)</f>
        <v>0.4827586207</v>
      </c>
      <c r="Q859" s="57">
        <f>IFERROR(__xludf.DUMMYFUNCTION("""COMPUTED_VALUE"""),1.6896551724137931)</f>
        <v>1.689655172</v>
      </c>
      <c r="R859" s="57">
        <f>IFERROR(__xludf.DUMMYFUNCTION("""COMPUTED_VALUE"""),1.5862068965517242)</f>
        <v>1.586206897</v>
      </c>
      <c r="S859" s="31">
        <f>IFERROR(__xludf.DUMMYFUNCTION("""COMPUTED_VALUE"""),364.11494252873564)</f>
        <v>364.1149425</v>
      </c>
      <c r="T859" s="57">
        <f>IFERROR(__xludf.DUMMYFUNCTION("""COMPUTED_VALUE"""),0.9310344827586206)</f>
        <v>0.9310344828</v>
      </c>
      <c r="U859" s="57">
        <f>IFERROR(__xludf.DUMMYFUNCTION("""COMPUTED_VALUE"""),0.7011494252873562)</f>
        <v>0.7011494253</v>
      </c>
      <c r="V859" s="57">
        <f>IFERROR(__xludf.DUMMYFUNCTION("""COMPUTED_VALUE"""),1.045977011494253)</f>
        <v>1.045977011</v>
      </c>
      <c r="W859" s="57">
        <f>IFERROR(__xludf.DUMMYFUNCTION("""COMPUTED_VALUE"""),3.2068965517241392)</f>
        <v>3.206896552</v>
      </c>
      <c r="X859" s="31">
        <f>IFERROR(__xludf.DUMMYFUNCTION("""COMPUTED_VALUE"""),348.66674953711123)</f>
        <v>348.6667495</v>
      </c>
      <c r="Y859" s="57">
        <f>IFERROR(__xludf.DUMMYFUNCTION("""COMPUTED_VALUE"""),0.7890324738700187)</f>
        <v>0.7890324739</v>
      </c>
      <c r="Z859" s="57">
        <f>IFERROR(__xludf.DUMMYFUNCTION("""COMPUTED_VALUE"""),0.58567218852917)</f>
        <v>0.5856721885</v>
      </c>
      <c r="AA859" s="57">
        <f>IFERROR(__xludf.DUMMYFUNCTION("""COMPUTED_VALUE"""),1.2682761683764596)</f>
        <v>1.268276168</v>
      </c>
      <c r="AB859" s="57">
        <f>IFERROR(__xludf.DUMMYFUNCTION("""COMPUTED_VALUE"""),2.681866045644279)</f>
        <v>2.681866046</v>
      </c>
      <c r="AC859" s="31">
        <f>IFERROR(__xludf.DUMMYFUNCTION("""COMPUTED_VALUE"""),362.38609447123594)</f>
        <v>362.3860945</v>
      </c>
      <c r="AD859" s="57">
        <f>IFERROR(__xludf.DUMMYFUNCTION("""COMPUTED_VALUE"""),0.8383155028000585)</f>
        <v>0.8383155028</v>
      </c>
      <c r="AE859" s="57">
        <f>IFERROR(__xludf.DUMMYFUNCTION("""COMPUTED_VALUE"""),0.6224995239259857)</f>
        <v>0.6224995239</v>
      </c>
      <c r="AF859" s="57">
        <f>IFERROR(__xludf.DUMMYFUNCTION("""COMPUTED_VALUE"""),1.3903805549344124)</f>
        <v>1.390380555</v>
      </c>
      <c r="AG859" s="57">
        <f>IFERROR(__xludf.DUMMYFUNCTION("""COMPUTED_VALUE"""),2.555207088051218)</f>
        <v>2.555207088</v>
      </c>
      <c r="AH859" s="57">
        <f>IFERROR(__xludf.DUMMYFUNCTION("""COMPUTED_VALUE"""),0.8484949155384763)</f>
        <v>0.8484949155</v>
      </c>
      <c r="AI859" s="57">
        <f>IFERROR(__xludf.DUMMYFUNCTION("""COMPUTED_VALUE"""),0.5347340715657516)</f>
        <v>0.5347340716</v>
      </c>
      <c r="AJ859" s="57">
        <f>IFERROR(__xludf.DUMMYFUNCTION("""COMPUTED_VALUE"""),0.7755164496271237)</f>
        <v>0.7755164496</v>
      </c>
      <c r="AK859" s="57">
        <f>IFERROR(__xludf.DUMMYFUNCTION("""COMPUTED_VALUE"""),1.215246549886839)</f>
        <v>1.21524655</v>
      </c>
      <c r="AL859" s="57">
        <f>IFERROR(__xludf.DUMMYFUNCTION("""COMPUTED_VALUE"""),0.6207743020004997)</f>
        <v>0.620774302</v>
      </c>
      <c r="AM859" s="57">
        <f>IFERROR(__xludf.DUMMYFUNCTION("""COMPUTED_VALUE"""),1.04430647032484)</f>
        <v>1.04430647</v>
      </c>
      <c r="AN859" s="57">
        <f>IFERROR(__xludf.DUMMYFUNCTION("""COMPUTED_VALUE"""),1.1799697903333628)</f>
        <v>1.17996979</v>
      </c>
      <c r="AO859" s="57">
        <f>IFERROR(__xludf.DUMMYFUNCTION("""COMPUTED_VALUE"""),1.197170429157974)</f>
        <v>1.197170429</v>
      </c>
      <c r="AP859" s="35">
        <f>IFERROR(__xludf.DUMMYFUNCTION("""COMPUTED_VALUE"""),0.8247233824737279)</f>
        <v>0.8247233825</v>
      </c>
      <c r="AQ859" s="57">
        <f>IFERROR(__xludf.DUMMYFUNCTION("""COMPUTED_VALUE"""),1.1957705929916158)</f>
        <v>1.195770593</v>
      </c>
      <c r="AR859" s="36" t="b">
        <f>IFERROR(__xludf.DUMMYFUNCTION("""COMPUTED_VALUE"""),TRUE)</f>
        <v>1</v>
      </c>
      <c r="AS859" s="57"/>
      <c r="AT859" s="37"/>
      <c r="AU859" s="30"/>
      <c r="AV859" s="30"/>
      <c r="AW859" s="30"/>
      <c r="AX859" s="30"/>
      <c r="AY859" s="30"/>
      <c r="AZ859" s="30"/>
    </row>
    <row r="860">
      <c r="A860" s="30" t="str">
        <f>IFERROR(__xludf.DUMMYFUNCTION("""COMPUTED_VALUE"""),"Veteran")</f>
        <v>Veteran</v>
      </c>
      <c r="B860" s="30" t="str">
        <f>IFERROR(__xludf.DUMMYFUNCTION("""COMPUTED_VALUE"""),"RSC006018")</f>
        <v>RSC006018</v>
      </c>
      <c r="C860" s="30" t="str">
        <f>IFERROR(__xludf.DUMMYFUNCTION("""COMPUTED_VALUE"""),"Braamse")</f>
        <v>Braamse</v>
      </c>
      <c r="D860" s="31" t="str">
        <f>IFERROR(__xludf.DUMMYFUNCTION("""COMPUTED_VALUE"""),"Blacksmiths")</f>
        <v>Blacksmiths</v>
      </c>
      <c r="E860" s="31">
        <f>IFERROR(__xludf.DUMMYFUNCTION("""COMPUTED_VALUE"""),12.91695345744445)</f>
        <v>12.91695346</v>
      </c>
      <c r="F860" s="31">
        <f>IFERROR(__xludf.DUMMYFUNCTION("""COMPUTED_VALUE"""),-14.493917688040089)</f>
        <v>-14.49391769</v>
      </c>
      <c r="G860" s="31">
        <f>IFERROR(__xludf.DUMMYFUNCTION("""COMPUTED_VALUE"""),9.992512490465003)</f>
        <v>9.99251249</v>
      </c>
      <c r="H860" s="31">
        <f>IFERROR(__xludf.DUMMYFUNCTION("""COMPUTED_VALUE"""),-18.259477790499794)</f>
        <v>-18.25947779</v>
      </c>
      <c r="I860" s="54">
        <f>IFERROR(__xludf.DUMMYFUNCTION("""COMPUTED_VALUE"""),12.0)</f>
        <v>12</v>
      </c>
      <c r="J860" s="55">
        <f>IFERROR(__xludf.DUMMYFUNCTION("""COMPUTED_VALUE"""),3.0)</f>
        <v>3</v>
      </c>
      <c r="K860" s="54">
        <f>IFERROR(__xludf.DUMMYFUNCTION("""COMPUTED_VALUE"""),9.0)</f>
        <v>9</v>
      </c>
      <c r="L860" s="56">
        <f>IFERROR(__xludf.DUMMYFUNCTION("""COMPUTED_VALUE"""),0.25)</f>
        <v>0.25</v>
      </c>
      <c r="M860" s="56">
        <f>IFERROR(__xludf.DUMMYFUNCTION("""COMPUTED_VALUE"""),0.2777777777777778)</f>
        <v>0.2777777778</v>
      </c>
      <c r="N860" s="31">
        <f>IFERROR(__xludf.DUMMYFUNCTION("""COMPUTED_VALUE"""),298.6666666666667)</f>
        <v>298.6666667</v>
      </c>
      <c r="O860" s="57">
        <f>IFERROR(__xludf.DUMMYFUNCTION("""COMPUTED_VALUE"""),0.4166666666666667)</f>
        <v>0.4166666667</v>
      </c>
      <c r="P860" s="57">
        <f>IFERROR(__xludf.DUMMYFUNCTION("""COMPUTED_VALUE"""),0.5)</f>
        <v>0.5</v>
      </c>
      <c r="Q860" s="57">
        <f>IFERROR(__xludf.DUMMYFUNCTION("""COMPUTED_VALUE"""),1.75)</f>
        <v>1.75</v>
      </c>
      <c r="R860" s="57">
        <f>IFERROR(__xludf.DUMMYFUNCTION("""COMPUTED_VALUE"""),1.5)</f>
        <v>1.5</v>
      </c>
      <c r="S860" s="31">
        <f>IFERROR(__xludf.DUMMYFUNCTION("""COMPUTED_VALUE"""),400.97222222222223)</f>
        <v>400.9722222</v>
      </c>
      <c r="T860" s="57">
        <f>IFERROR(__xludf.DUMMYFUNCTION("""COMPUTED_VALUE"""),0.9166666666666665)</f>
        <v>0.9166666667</v>
      </c>
      <c r="U860" s="57">
        <f>IFERROR(__xludf.DUMMYFUNCTION("""COMPUTED_VALUE"""),0.7777777777777778)</f>
        <v>0.7777777778</v>
      </c>
      <c r="V860" s="57">
        <f>IFERROR(__xludf.DUMMYFUNCTION("""COMPUTED_VALUE"""),1.4722222222222223)</f>
        <v>1.472222222</v>
      </c>
      <c r="W860" s="57">
        <f>IFERROR(__xludf.DUMMYFUNCTION("""COMPUTED_VALUE"""),3.222222222222222)</f>
        <v>3.222222222</v>
      </c>
      <c r="X860" s="31">
        <f>IFERROR(__xludf.DUMMYFUNCTION("""COMPUTED_VALUE"""),372.9404553989994)</f>
        <v>372.9404554</v>
      </c>
      <c r="Y860" s="57">
        <f>IFERROR(__xludf.DUMMYFUNCTION("""COMPUTED_VALUE"""),0.8345234994754711)</f>
        <v>0.8345234995</v>
      </c>
      <c r="Z860" s="57">
        <f>IFERROR(__xludf.DUMMYFUNCTION("""COMPUTED_VALUE"""),0.6808490862206736)</f>
        <v>0.6808490862</v>
      </c>
      <c r="AA860" s="57">
        <f>IFERROR(__xludf.DUMMYFUNCTION("""COMPUTED_VALUE"""),1.4154149772071916)</f>
        <v>1.415414977</v>
      </c>
      <c r="AB860" s="57">
        <f>IFERROR(__xludf.DUMMYFUNCTION("""COMPUTED_VALUE"""),2.853126928683046)</f>
        <v>2.853126929</v>
      </c>
      <c r="AC860" s="31">
        <f>IFERROR(__xludf.DUMMYFUNCTION("""COMPUTED_VALUE"""),361.7987128434424)</f>
        <v>361.7987128</v>
      </c>
      <c r="AD860" s="57">
        <f>IFERROR(__xludf.DUMMYFUNCTION("""COMPUTED_VALUE"""),0.8241166844427714)</f>
        <v>0.8241166844</v>
      </c>
      <c r="AE860" s="57">
        <f>IFERROR(__xludf.DUMMYFUNCTION("""COMPUTED_VALUE"""),0.6008426708544673)</f>
        <v>0.6008426709</v>
      </c>
      <c r="AF860" s="57">
        <f>IFERROR(__xludf.DUMMYFUNCTION("""COMPUTED_VALUE"""),1.33358086133617)</f>
        <v>1.333580861</v>
      </c>
      <c r="AG860" s="57">
        <f>IFERROR(__xludf.DUMMYFUNCTION("""COMPUTED_VALUE"""),2.7017676139474247)</f>
        <v>2.701767614</v>
      </c>
      <c r="AH860" s="57">
        <f>IFERROR(__xludf.DUMMYFUNCTION("""COMPUTED_VALUE"""),0.8255050558897532)</f>
        <v>0.8255050559</v>
      </c>
      <c r="AI860" s="57">
        <f>IFERROR(__xludf.DUMMYFUNCTION("""COMPUTED_VALUE"""),0.5055918349091512)</f>
        <v>0.5055918349</v>
      </c>
      <c r="AJ860" s="57">
        <f>IFERROR(__xludf.DUMMYFUNCTION("""COMPUTED_VALUE"""),0.832164598577765)</f>
        <v>0.8321645986</v>
      </c>
      <c r="AK860" s="57">
        <f>IFERROR(__xludf.DUMMYFUNCTION("""COMPUTED_VALUE"""),1.3122563848483866)</f>
        <v>1.312256385</v>
      </c>
      <c r="AL860" s="57">
        <f>IFERROR(__xludf.DUMMYFUNCTION("""COMPUTED_VALUE"""),0.5551920869346795)</f>
        <v>0.5551920869</v>
      </c>
      <c r="AM860" s="57">
        <f>IFERROR(__xludf.DUMMYFUNCTION("""COMPUTED_VALUE"""),1.0751641888602093)</f>
        <v>1.075164189</v>
      </c>
      <c r="AN860" s="57">
        <f>IFERROR(__xludf.DUMMYFUNCTION("""COMPUTED_VALUE"""),1.0984312212212424)</f>
        <v>1.098431221</v>
      </c>
      <c r="AO860" s="57">
        <f>IFERROR(__xludf.DUMMYFUNCTION("""COMPUTED_VALUE"""),1.1423644292381234)</f>
        <v>1.142364429</v>
      </c>
      <c r="AP860" s="35">
        <f>IFERROR(__xludf.DUMMYFUNCTION("""COMPUTED_VALUE"""),1.0401346926023909)</f>
        <v>1.040134693</v>
      </c>
      <c r="AQ860" s="57">
        <f>IFERROR(__xludf.DUMMYFUNCTION("""COMPUTED_VALUE"""),1.1293651852038507)</f>
        <v>1.129365185</v>
      </c>
      <c r="AR860" s="36" t="b">
        <f>IFERROR(__xludf.DUMMYFUNCTION("""COMPUTED_VALUE"""),TRUE)</f>
        <v>1</v>
      </c>
      <c r="AS860" s="57"/>
      <c r="AT860" s="37"/>
      <c r="AU860" s="30"/>
      <c r="AV860" s="30"/>
      <c r="AW860" s="30"/>
      <c r="AX860" s="30"/>
      <c r="AY860" s="30"/>
      <c r="AZ860" s="30"/>
    </row>
    <row r="861">
      <c r="A861" s="30" t="str">
        <f>IFERROR(__xludf.DUMMYFUNCTION("""COMPUTED_VALUE"""),"Veteran")</f>
        <v>Veteran</v>
      </c>
      <c r="B861" s="30" t="str">
        <f>IFERROR(__xludf.DUMMYFUNCTION("""COMPUTED_VALUE"""),"RSC005267")</f>
        <v>RSC005267</v>
      </c>
      <c r="C861" s="30" t="str">
        <f>IFERROR(__xludf.DUMMYFUNCTION("""COMPUTED_VALUE"""),"jj.dunbar")</f>
        <v>jj.dunbar</v>
      </c>
      <c r="D861" s="31" t="str">
        <f>IFERROR(__xludf.DUMMYFUNCTION("""COMPUTED_VALUE"""),"Banshees")</f>
        <v>Banshees</v>
      </c>
      <c r="E861" s="31">
        <f>IFERROR(__xludf.DUMMYFUNCTION("""COMPUTED_VALUE"""),11.35688086522201)</f>
        <v>11.35688087</v>
      </c>
      <c r="F861" s="31">
        <f>IFERROR(__xludf.DUMMYFUNCTION("""COMPUTED_VALUE"""),-16.370489915203457)</f>
        <v>-16.37048992</v>
      </c>
      <c r="G861" s="31">
        <f>IFERROR(__xludf.DUMMYFUNCTION("""COMPUTED_VALUE"""),9.184019804579336)</f>
        <v>9.184019805</v>
      </c>
      <c r="H861" s="31">
        <f>IFERROR(__xludf.DUMMYFUNCTION("""COMPUTED_VALUE"""),-19.503651567201903)</f>
        <v>-19.50365157</v>
      </c>
      <c r="I861" s="54">
        <f>IFERROR(__xludf.DUMMYFUNCTION("""COMPUTED_VALUE"""),21.0)</f>
        <v>21</v>
      </c>
      <c r="J861" s="55">
        <f>IFERROR(__xludf.DUMMYFUNCTION("""COMPUTED_VALUE"""),6.0)</f>
        <v>6</v>
      </c>
      <c r="K861" s="54">
        <f>IFERROR(__xludf.DUMMYFUNCTION("""COMPUTED_VALUE"""),15.0)</f>
        <v>15</v>
      </c>
      <c r="L861" s="56">
        <f>IFERROR(__xludf.DUMMYFUNCTION("""COMPUTED_VALUE"""),0.2857142857142857)</f>
        <v>0.2857142857</v>
      </c>
      <c r="M861" s="56">
        <f>IFERROR(__xludf.DUMMYFUNCTION("""COMPUTED_VALUE"""),0.30303030303030304)</f>
        <v>0.303030303</v>
      </c>
      <c r="N861" s="31">
        <f>IFERROR(__xludf.DUMMYFUNCTION("""COMPUTED_VALUE"""),260.7142857142857)</f>
        <v>260.7142857</v>
      </c>
      <c r="O861" s="57">
        <f>IFERROR(__xludf.DUMMYFUNCTION("""COMPUTED_VALUE"""),0.47619047619047616)</f>
        <v>0.4761904762</v>
      </c>
      <c r="P861" s="57">
        <f>IFERROR(__xludf.DUMMYFUNCTION("""COMPUTED_VALUE"""),0.42857142857142855)</f>
        <v>0.4285714286</v>
      </c>
      <c r="Q861" s="57">
        <f>IFERROR(__xludf.DUMMYFUNCTION("""COMPUTED_VALUE"""),0.9047619047619048)</f>
        <v>0.9047619048</v>
      </c>
      <c r="R861" s="57">
        <f>IFERROR(__xludf.DUMMYFUNCTION("""COMPUTED_VALUE"""),1.5714285714285714)</f>
        <v>1.571428571</v>
      </c>
      <c r="S861" s="31">
        <f>IFERROR(__xludf.DUMMYFUNCTION("""COMPUTED_VALUE"""),340.4761904761904)</f>
        <v>340.4761905</v>
      </c>
      <c r="T861" s="57">
        <f>IFERROR(__xludf.DUMMYFUNCTION("""COMPUTED_VALUE"""),0.8253968253968255)</f>
        <v>0.8253968254</v>
      </c>
      <c r="U861" s="57">
        <f>IFERROR(__xludf.DUMMYFUNCTION("""COMPUTED_VALUE"""),0.619047619047619)</f>
        <v>0.619047619</v>
      </c>
      <c r="V861" s="57">
        <f>IFERROR(__xludf.DUMMYFUNCTION("""COMPUTED_VALUE"""),1.111111111111111)</f>
        <v>1.111111111</v>
      </c>
      <c r="W861" s="57">
        <f>IFERROR(__xludf.DUMMYFUNCTION("""COMPUTED_VALUE"""),2.682539682539683)</f>
        <v>2.682539683</v>
      </c>
      <c r="X861" s="31">
        <f>IFERROR(__xludf.DUMMYFUNCTION("""COMPUTED_VALUE"""),347.4459091129756)</f>
        <v>347.4459091</v>
      </c>
      <c r="Y861" s="57">
        <f>IFERROR(__xludf.DUMMYFUNCTION("""COMPUTED_VALUE"""),0.7632359432730282)</f>
        <v>0.7632359433</v>
      </c>
      <c r="Z861" s="57">
        <f>IFERROR(__xludf.DUMMYFUNCTION("""COMPUTED_VALUE"""),0.529222444146253)</f>
        <v>0.5292224441</v>
      </c>
      <c r="AA861" s="57">
        <f>IFERROR(__xludf.DUMMYFUNCTION("""COMPUTED_VALUE"""),1.3871796575735873)</f>
        <v>1.387179658</v>
      </c>
      <c r="AB861" s="57">
        <f>IFERROR(__xludf.DUMMYFUNCTION("""COMPUTED_VALUE"""),2.5305933466137747)</f>
        <v>2.530593347</v>
      </c>
      <c r="AC861" s="31">
        <f>IFERROR(__xludf.DUMMYFUNCTION("""COMPUTED_VALUE"""),360.6404054711352)</f>
        <v>360.6404055</v>
      </c>
      <c r="AD861" s="57">
        <f>IFERROR(__xludf.DUMMYFUNCTION("""COMPUTED_VALUE"""),0.8286453514323536)</f>
        <v>0.8286453514</v>
      </c>
      <c r="AE861" s="57">
        <f>IFERROR(__xludf.DUMMYFUNCTION("""COMPUTED_VALUE"""),0.6081267967679695)</f>
        <v>0.6081267968</v>
      </c>
      <c r="AF861" s="57">
        <f>IFERROR(__xludf.DUMMYFUNCTION("""COMPUTED_VALUE"""),1.3304905387025239)</f>
        <v>1.330490539</v>
      </c>
      <c r="AG861" s="57">
        <f>IFERROR(__xludf.DUMMYFUNCTION("""COMPUTED_VALUE"""),2.7244346694054475)</f>
        <v>2.724434669</v>
      </c>
      <c r="AH861" s="57">
        <f>IFERROR(__xludf.DUMMYFUNCTION("""COMPUTED_VALUE"""),0.7229203432535312)</f>
        <v>0.7229203433</v>
      </c>
      <c r="AI861" s="57">
        <f>IFERROR(__xludf.DUMMYFUNCTION("""COMPUTED_VALUE"""),0.5746613739730246)</f>
        <v>0.574661374</v>
      </c>
      <c r="AJ861" s="57">
        <f>IFERROR(__xludf.DUMMYFUNCTION("""COMPUTED_VALUE"""),0.7047402463584411)</f>
        <v>0.7047402464</v>
      </c>
      <c r="AK861" s="57">
        <f>IFERROR(__xludf.DUMMYFUNCTION("""COMPUTED_VALUE"""),0.6800212992451763)</f>
        <v>0.6800212992</v>
      </c>
      <c r="AL861" s="57">
        <f>IFERROR(__xludf.DUMMYFUNCTION("""COMPUTED_VALUE"""),0.5767906968279418)</f>
        <v>0.5767906968</v>
      </c>
      <c r="AM861" s="57">
        <f>IFERROR(__xludf.DUMMYFUNCTION("""COMPUTED_VALUE"""),0.9799401332582135)</f>
        <v>0.9799401333</v>
      </c>
      <c r="AN861" s="57">
        <f>IFERROR(__xludf.DUMMYFUNCTION("""COMPUTED_VALUE"""),1.0814438610650714)</f>
        <v>1.081443861</v>
      </c>
      <c r="AO861" s="57">
        <f>IFERROR(__xludf.DUMMYFUNCTION("""COMPUTED_VALUE"""),1.169730471364027)</f>
        <v>1.169730471</v>
      </c>
      <c r="AP861" s="35">
        <f>IFERROR(__xludf.DUMMYFUNCTION("""COMPUTED_VALUE"""),0.8009857303232322)</f>
        <v>0.8009857303</v>
      </c>
      <c r="AQ861" s="57">
        <f>IFERROR(__xludf.DUMMYFUNCTION("""COMPUTED_VALUE"""),1.0600437585632752)</f>
        <v>1.060043759</v>
      </c>
      <c r="AR861" s="36" t="b">
        <f>IFERROR(__xludf.DUMMYFUNCTION("""COMPUTED_VALUE"""),TRUE)</f>
        <v>1</v>
      </c>
      <c r="AS861" s="57"/>
      <c r="AT861" s="37"/>
      <c r="AU861" s="30"/>
      <c r="AV861" s="30"/>
      <c r="AW861" s="30"/>
      <c r="AX861" s="30"/>
      <c r="AY861" s="30"/>
      <c r="AZ861" s="30"/>
    </row>
    <row r="862">
      <c r="A862" s="30" t="str">
        <f>IFERROR(__xludf.DUMMYFUNCTION("""COMPUTED_VALUE"""),"Veteran")</f>
        <v>Veteran</v>
      </c>
      <c r="B862" s="30" t="str">
        <f>IFERROR(__xludf.DUMMYFUNCTION("""COMPUTED_VALUE"""),"RSC007720")</f>
        <v>RSC007720</v>
      </c>
      <c r="C862" s="30" t="str">
        <f>IFERROR(__xludf.DUMMYFUNCTION("""COMPUTED_VALUE"""),"trock")</f>
        <v>trock</v>
      </c>
      <c r="D862" s="31"/>
      <c r="E862" s="31">
        <f>IFERROR(__xludf.DUMMYFUNCTION("""COMPUTED_VALUE"""),9.266767753086448)</f>
        <v>9.266767753</v>
      </c>
      <c r="F862" s="31">
        <f>IFERROR(__xludf.DUMMYFUNCTION("""COMPUTED_VALUE"""),-19.37171168755453)</f>
        <v>-19.37171169</v>
      </c>
      <c r="G862" s="31">
        <f>IFERROR(__xludf.DUMMYFUNCTION("""COMPUTED_VALUE"""),14.997224194731324)</f>
        <v>14.99722419</v>
      </c>
      <c r="H862" s="31">
        <f>IFERROR(__xludf.DUMMYFUNCTION("""COMPUTED_VALUE"""),-12.38542921340447)</f>
        <v>-12.38542921</v>
      </c>
      <c r="I862" s="54">
        <f>IFERROR(__xludf.DUMMYFUNCTION("""COMPUTED_VALUE"""),4.0)</f>
        <v>4</v>
      </c>
      <c r="J862" s="55">
        <f>IFERROR(__xludf.DUMMYFUNCTION("""COMPUTED_VALUE"""),2.0)</f>
        <v>2</v>
      </c>
      <c r="K862" s="54">
        <f>IFERROR(__xludf.DUMMYFUNCTION("""COMPUTED_VALUE"""),2.0)</f>
        <v>2</v>
      </c>
      <c r="L862" s="56">
        <f>IFERROR(__xludf.DUMMYFUNCTION("""COMPUTED_VALUE"""),0.5)</f>
        <v>0.5</v>
      </c>
      <c r="M862" s="56">
        <f>IFERROR(__xludf.DUMMYFUNCTION("""COMPUTED_VALUE"""),0.16666666666666666)</f>
        <v>0.1666666667</v>
      </c>
      <c r="N862" s="31">
        <f>IFERROR(__xludf.DUMMYFUNCTION("""COMPUTED_VALUE"""),255.5)</f>
        <v>255.5</v>
      </c>
      <c r="O862" s="57">
        <f>IFERROR(__xludf.DUMMYFUNCTION("""COMPUTED_VALUE"""),0.25)</f>
        <v>0.25</v>
      </c>
      <c r="P862" s="57">
        <f>IFERROR(__xludf.DUMMYFUNCTION("""COMPUTED_VALUE"""),0.5)</f>
        <v>0.5</v>
      </c>
      <c r="Q862" s="57">
        <f>IFERROR(__xludf.DUMMYFUNCTION("""COMPUTED_VALUE"""),1.5)</f>
        <v>1.5</v>
      </c>
      <c r="R862" s="57">
        <f>IFERROR(__xludf.DUMMYFUNCTION("""COMPUTED_VALUE"""),1.5)</f>
        <v>1.5</v>
      </c>
      <c r="S862" s="31">
        <f>IFERROR(__xludf.DUMMYFUNCTION("""COMPUTED_VALUE"""),400.8333333333333)</f>
        <v>400.8333333</v>
      </c>
      <c r="T862" s="57">
        <f>IFERROR(__xludf.DUMMYFUNCTION("""COMPUTED_VALUE"""),0.9166666666666666)</f>
        <v>0.9166666667</v>
      </c>
      <c r="U862" s="57">
        <f>IFERROR(__xludf.DUMMYFUNCTION("""COMPUTED_VALUE"""),0.7499999999999999)</f>
        <v>0.75</v>
      </c>
      <c r="V862" s="57">
        <f>IFERROR(__xludf.DUMMYFUNCTION("""COMPUTED_VALUE"""),1.4166666666666667)</f>
        <v>1.416666667</v>
      </c>
      <c r="W862" s="57">
        <f>IFERROR(__xludf.DUMMYFUNCTION("""COMPUTED_VALUE"""),2.416666666666667)</f>
        <v>2.416666667</v>
      </c>
      <c r="X862" s="31">
        <f>IFERROR(__xludf.DUMMYFUNCTION("""COMPUTED_VALUE"""),380.6820652173913)</f>
        <v>380.6820652</v>
      </c>
      <c r="Y862" s="57">
        <f>IFERROR(__xludf.DUMMYFUNCTION("""COMPUTED_VALUE"""),0.9042874396135266)</f>
        <v>0.9042874396</v>
      </c>
      <c r="Z862" s="57">
        <f>IFERROR(__xludf.DUMMYFUNCTION("""COMPUTED_VALUE"""),0.6935386473429952)</f>
        <v>0.6935386473</v>
      </c>
      <c r="AA862" s="57">
        <f>IFERROR(__xludf.DUMMYFUNCTION("""COMPUTED_VALUE"""),1.3565821256038646)</f>
        <v>1.356582126</v>
      </c>
      <c r="AB862" s="57">
        <f>IFERROR(__xludf.DUMMYFUNCTION("""COMPUTED_VALUE"""),2.894625603864734)</f>
        <v>2.894625604</v>
      </c>
      <c r="AC862" s="31">
        <f>IFERROR(__xludf.DUMMYFUNCTION("""COMPUTED_VALUE"""),347.3510466988728)</f>
        <v>347.3510467</v>
      </c>
      <c r="AD862" s="57">
        <f>IFERROR(__xludf.DUMMYFUNCTION("""COMPUTED_VALUE"""),0.7556360708534623)</f>
        <v>0.7556360709</v>
      </c>
      <c r="AE862" s="57">
        <f>IFERROR(__xludf.DUMMYFUNCTION("""COMPUTED_VALUE"""),0.5328099838969406)</f>
        <v>0.5328099839</v>
      </c>
      <c r="AF862" s="57">
        <f>IFERROR(__xludf.DUMMYFUNCTION("""COMPUTED_VALUE"""),1.4414251207729467)</f>
        <v>1.441425121</v>
      </c>
      <c r="AG862" s="57">
        <f>IFERROR(__xludf.DUMMYFUNCTION("""COMPUTED_VALUE"""),2.4339774557165863)</f>
        <v>2.433977456</v>
      </c>
      <c r="AH862" s="57">
        <f>IFERROR(__xludf.DUMMYFUNCTION("""COMPUTED_VALUE"""),0.7355670939477528)</f>
        <v>0.7355670939</v>
      </c>
      <c r="AI862" s="57">
        <f>IFERROR(__xludf.DUMMYFUNCTION("""COMPUTED_VALUE"""),0.3308470964304741)</f>
        <v>0.3308470964</v>
      </c>
      <c r="AJ862" s="57">
        <f>IFERROR(__xludf.DUMMYFUNCTION("""COMPUTED_VALUE"""),0.9384208537967508)</f>
        <v>0.9384208538</v>
      </c>
      <c r="AK862" s="57">
        <f>IFERROR(__xludf.DUMMYFUNCTION("""COMPUTED_VALUE"""),1.0406367825722667)</f>
        <v>1.040636783</v>
      </c>
      <c r="AL862" s="57">
        <f>IFERROR(__xludf.DUMMYFUNCTION("""COMPUTED_VALUE"""),0.6162752232881243)</f>
        <v>0.6162752233</v>
      </c>
      <c r="AM862" s="57">
        <f>IFERROR(__xludf.DUMMYFUNCTION("""COMPUTED_VALUE"""),1.0529346401029807)</f>
        <v>1.05293464</v>
      </c>
      <c r="AN862" s="57">
        <f>IFERROR(__xludf.DUMMYFUNCTION("""COMPUTED_VALUE"""),1.0136894824707845)</f>
        <v>1.013689482</v>
      </c>
      <c r="AO862" s="57">
        <f>IFERROR(__xludf.DUMMYFUNCTION("""COMPUTED_VALUE"""),1.0814105354810621)</f>
        <v>1.081410535</v>
      </c>
      <c r="AP862" s="35">
        <f>IFERROR(__xludf.DUMMYFUNCTION("""COMPUTED_VALUE"""),1.0442911195192524)</f>
        <v>1.04429112</v>
      </c>
      <c r="AQ862" s="57">
        <f>IFERROR(__xludf.DUMMYFUNCTION("""COMPUTED_VALUE"""),0.8348805674350684)</f>
        <v>0.8348805674</v>
      </c>
      <c r="AR862" s="36" t="b">
        <f>IFERROR(__xludf.DUMMYFUNCTION("""COMPUTED_VALUE"""),TRUE)</f>
        <v>1</v>
      </c>
      <c r="AS862" s="57"/>
      <c r="AT862" s="37"/>
      <c r="AU862" s="30"/>
      <c r="AV862" s="30"/>
      <c r="AW862" s="30"/>
      <c r="AX862" s="30"/>
      <c r="AY862" s="30"/>
      <c r="AZ862" s="30"/>
    </row>
    <row r="863">
      <c r="A863" s="30" t="str">
        <f>IFERROR(__xludf.DUMMYFUNCTION("""COMPUTED_VALUE"""),"Veteran")</f>
        <v>Veteran</v>
      </c>
      <c r="B863" s="30" t="str">
        <f>IFERROR(__xludf.DUMMYFUNCTION("""COMPUTED_VALUE"""),"RSC000367")</f>
        <v>RSC000367</v>
      </c>
      <c r="C863" s="30" t="str">
        <f>IFERROR(__xludf.DUMMYFUNCTION("""COMPUTED_VALUE"""),"Pana")</f>
        <v>Pana</v>
      </c>
      <c r="D863" s="31" t="str">
        <f>IFERROR(__xludf.DUMMYFUNCTION("""COMPUTED_VALUE"""),"Supernova")</f>
        <v>Supernova</v>
      </c>
      <c r="E863" s="31">
        <f>IFERROR(__xludf.DUMMYFUNCTION("""COMPUTED_VALUE"""),5.27717037102358)</f>
        <v>5.277170371</v>
      </c>
      <c r="F863" s="31">
        <f>IFERROR(__xludf.DUMMYFUNCTION("""COMPUTED_VALUE"""),-27.163284666216978)</f>
        <v>-27.16328467</v>
      </c>
      <c r="G863" s="31">
        <f>IFERROR(__xludf.DUMMYFUNCTION("""COMPUTED_VALUE"""),21.553074920867164)</f>
        <v>21.55307492</v>
      </c>
      <c r="H863" s="31">
        <f>IFERROR(__xludf.DUMMYFUNCTION("""COMPUTED_VALUE"""),-7.837855302989885)</f>
        <v>-7.837855303</v>
      </c>
      <c r="I863" s="54">
        <f>IFERROR(__xludf.DUMMYFUNCTION("""COMPUTED_VALUE"""),24.0)</f>
        <v>24</v>
      </c>
      <c r="J863" s="55">
        <f>IFERROR(__xludf.DUMMYFUNCTION("""COMPUTED_VALUE"""),7.0)</f>
        <v>7</v>
      </c>
      <c r="K863" s="54">
        <f>IFERROR(__xludf.DUMMYFUNCTION("""COMPUTED_VALUE"""),17.0)</f>
        <v>17</v>
      </c>
      <c r="L863" s="56">
        <f>IFERROR(__xludf.DUMMYFUNCTION("""COMPUTED_VALUE"""),0.2916666666666667)</f>
        <v>0.2916666667</v>
      </c>
      <c r="M863" s="56">
        <f>IFERROR(__xludf.DUMMYFUNCTION("""COMPUTED_VALUE"""),0.19607843137254902)</f>
        <v>0.1960784314</v>
      </c>
      <c r="N863" s="31">
        <f>IFERROR(__xludf.DUMMYFUNCTION("""COMPUTED_VALUE"""),306.8333333333333)</f>
        <v>306.8333333</v>
      </c>
      <c r="O863" s="57">
        <f>IFERROR(__xludf.DUMMYFUNCTION("""COMPUTED_VALUE"""),0.4166666666666667)</f>
        <v>0.4166666667</v>
      </c>
      <c r="P863" s="57">
        <f>IFERROR(__xludf.DUMMYFUNCTION("""COMPUTED_VALUE"""),0.3333333333333333)</f>
        <v>0.3333333333</v>
      </c>
      <c r="Q863" s="57">
        <f>IFERROR(__xludf.DUMMYFUNCTION("""COMPUTED_VALUE"""),1.7916666666666667)</f>
        <v>1.791666667</v>
      </c>
      <c r="R863" s="57">
        <f>IFERROR(__xludf.DUMMYFUNCTION("""COMPUTED_VALUE"""),2.125)</f>
        <v>2.125</v>
      </c>
      <c r="S863" s="31">
        <f>IFERROR(__xludf.DUMMYFUNCTION("""COMPUTED_VALUE"""),394.3194444444444)</f>
        <v>394.3194444</v>
      </c>
      <c r="T863" s="57">
        <f>IFERROR(__xludf.DUMMYFUNCTION("""COMPUTED_VALUE"""),1.1666666666666667)</f>
        <v>1.166666667</v>
      </c>
      <c r="U863" s="57">
        <f>IFERROR(__xludf.DUMMYFUNCTION("""COMPUTED_VALUE"""),0.8055555555555557)</f>
        <v>0.8055555556</v>
      </c>
      <c r="V863" s="57">
        <f>IFERROR(__xludf.DUMMYFUNCTION("""COMPUTED_VALUE"""),1.1250000000000002)</f>
        <v>1.125</v>
      </c>
      <c r="W863" s="57">
        <f>IFERROR(__xludf.DUMMYFUNCTION("""COMPUTED_VALUE"""),3.2083333333333335)</f>
        <v>3.208333333</v>
      </c>
      <c r="X863" s="31">
        <f>IFERROR(__xludf.DUMMYFUNCTION("""COMPUTED_VALUE"""),349.1395271243769)</f>
        <v>349.1395271</v>
      </c>
      <c r="Y863" s="57">
        <f>IFERROR(__xludf.DUMMYFUNCTION("""COMPUTED_VALUE"""),0.7768395435680353)</f>
        <v>0.7768395436</v>
      </c>
      <c r="Z863" s="57">
        <f>IFERROR(__xludf.DUMMYFUNCTION("""COMPUTED_VALUE"""),0.6016413490850335)</f>
        <v>0.6016413491</v>
      </c>
      <c r="AA863" s="57">
        <f>IFERROR(__xludf.DUMMYFUNCTION("""COMPUTED_VALUE"""),1.2822238959532581)</f>
        <v>1.282223896</v>
      </c>
      <c r="AB863" s="57">
        <f>IFERROR(__xludf.DUMMYFUNCTION("""COMPUTED_VALUE"""),2.633144834832763)</f>
        <v>2.633144835</v>
      </c>
      <c r="AC863" s="31">
        <f>IFERROR(__xludf.DUMMYFUNCTION("""COMPUTED_VALUE"""),350.66030265968243)</f>
        <v>350.6603027</v>
      </c>
      <c r="AD863" s="57">
        <f>IFERROR(__xludf.DUMMYFUNCTION("""COMPUTED_VALUE"""),0.7659322179635843)</f>
        <v>0.765932218</v>
      </c>
      <c r="AE863" s="57">
        <f>IFERROR(__xludf.DUMMYFUNCTION("""COMPUTED_VALUE"""),0.5457486435661468)</f>
        <v>0.5457486436</v>
      </c>
      <c r="AF863" s="57">
        <f>IFERROR(__xludf.DUMMYFUNCTION("""COMPUTED_VALUE"""),1.3849091173219026)</f>
        <v>1.384909117</v>
      </c>
      <c r="AG863" s="57">
        <f>IFERROR(__xludf.DUMMYFUNCTION("""COMPUTED_VALUE"""),2.5202545132212424)</f>
        <v>2.520254513</v>
      </c>
      <c r="AH863" s="57">
        <f>IFERROR(__xludf.DUMMYFUNCTION("""COMPUTED_VALUE"""),0.8750158800584753)</f>
        <v>0.8750158801</v>
      </c>
      <c r="AI863" s="57">
        <f>IFERROR(__xludf.DUMMYFUNCTION("""COMPUTED_VALUE"""),0.5439993995480117)</f>
        <v>0.5439993995</v>
      </c>
      <c r="AJ863" s="57">
        <f>IFERROR(__xludf.DUMMYFUNCTION("""COMPUTED_VALUE"""),0.6107817898642784)</f>
        <v>0.6107817899</v>
      </c>
      <c r="AK863" s="57">
        <f>IFERROR(__xludf.DUMMYFUNCTION("""COMPUTED_VALUE"""),1.2937070340986274)</f>
        <v>1.293707034</v>
      </c>
      <c r="AL863" s="57">
        <f>IFERROR(__xludf.DUMMYFUNCTION("""COMPUTED_VALUE"""),0.8431688104722205)</f>
        <v>0.8431688105</v>
      </c>
      <c r="AM863" s="57">
        <f>IFERROR(__xludf.DUMMYFUNCTION("""COMPUTED_VALUE"""),1.1294036160619896)</f>
        <v>1.129403616</v>
      </c>
      <c r="AN863" s="57">
        <f>IFERROR(__xludf.DUMMYFUNCTION("""COMPUTED_VALUE"""),1.5018116370700567)</f>
        <v>1.501811637</v>
      </c>
      <c r="AO863" s="57">
        <f>IFERROR(__xludf.DUMMYFUNCTION("""COMPUTED_VALUE"""),1.338929840478271)</f>
        <v>1.33892984</v>
      </c>
      <c r="AP863" s="35">
        <f>IFERROR(__xludf.DUMMYFUNCTION("""COMPUTED_VALUE"""),0.8773818703196362)</f>
        <v>0.8773818703</v>
      </c>
      <c r="AQ863" s="57">
        <f>IFERROR(__xludf.DUMMYFUNCTION("""COMPUTED_VALUE"""),1.2184416485153586)</f>
        <v>1.218441649</v>
      </c>
      <c r="AR863" s="36" t="b">
        <f>IFERROR(__xludf.DUMMYFUNCTION("""COMPUTED_VALUE"""),TRUE)</f>
        <v>1</v>
      </c>
      <c r="AS863" s="57"/>
      <c r="AT863" s="37"/>
      <c r="AU863" s="30"/>
      <c r="AV863" s="30"/>
      <c r="AW863" s="30"/>
      <c r="AX863" s="30"/>
      <c r="AY863" s="30"/>
      <c r="AZ863" s="30"/>
    </row>
    <row r="864">
      <c r="A864" s="30" t="str">
        <f>IFERROR(__xludf.DUMMYFUNCTION("""COMPUTED_VALUE"""),"Veteran")</f>
        <v>Veteran</v>
      </c>
      <c r="B864" s="30" t="str">
        <f>IFERROR(__xludf.DUMMYFUNCTION("""COMPUTED_VALUE"""),"RSC006174")</f>
        <v>RSC006174</v>
      </c>
      <c r="C864" s="30" t="str">
        <f>IFERROR(__xludf.DUMMYFUNCTION("""COMPUTED_VALUE"""),"I like bananas")</f>
        <v>I like bananas</v>
      </c>
      <c r="D864" s="31"/>
      <c r="E864" s="31">
        <f>IFERROR(__xludf.DUMMYFUNCTION("""COMPUTED_VALUE"""),-7.729589846829157)</f>
        <v>-7.729589847</v>
      </c>
      <c r="F864" s="31">
        <f>IFERROR(__xludf.DUMMYFUNCTION("""COMPUTED_VALUE"""),-95.5411172312621)</f>
        <v>-95.54111723</v>
      </c>
      <c r="G864" s="31">
        <f>IFERROR(__xludf.DUMMYFUNCTION("""COMPUTED_VALUE"""),21.418886527959057)</f>
        <v>21.41888653</v>
      </c>
      <c r="H864" s="31">
        <f>IFERROR(__xludf.DUMMYFUNCTION("""COMPUTED_VALUE"""),-7.9071049642294176)</f>
        <v>-7.907104964</v>
      </c>
      <c r="I864" s="54">
        <f>IFERROR(__xludf.DUMMYFUNCTION("""COMPUTED_VALUE"""),5.0)</f>
        <v>5</v>
      </c>
      <c r="J864" s="55">
        <f>IFERROR(__xludf.DUMMYFUNCTION("""COMPUTED_VALUE"""),1.0)</f>
        <v>1</v>
      </c>
      <c r="K864" s="54">
        <f>IFERROR(__xludf.DUMMYFUNCTION("""COMPUTED_VALUE"""),4.0)</f>
        <v>4</v>
      </c>
      <c r="L864" s="56">
        <f>IFERROR(__xludf.DUMMYFUNCTION("""COMPUTED_VALUE"""),0.2)</f>
        <v>0.2</v>
      </c>
      <c r="M864" s="56">
        <f>IFERROR(__xludf.DUMMYFUNCTION("""COMPUTED_VALUE"""),0.125)</f>
        <v>0.125</v>
      </c>
      <c r="N864" s="31">
        <f>IFERROR(__xludf.DUMMYFUNCTION("""COMPUTED_VALUE"""),405.6)</f>
        <v>405.6</v>
      </c>
      <c r="O864" s="57">
        <f>IFERROR(__xludf.DUMMYFUNCTION("""COMPUTED_VALUE"""),0.2)</f>
        <v>0.2</v>
      </c>
      <c r="P864" s="57">
        <f>IFERROR(__xludf.DUMMYFUNCTION("""COMPUTED_VALUE"""),0.2)</f>
        <v>0.2</v>
      </c>
      <c r="Q864" s="57">
        <f>IFERROR(__xludf.DUMMYFUNCTION("""COMPUTED_VALUE"""),3.6)</f>
        <v>3.6</v>
      </c>
      <c r="R864" s="57">
        <f>IFERROR(__xludf.DUMMYFUNCTION("""COMPUTED_VALUE"""),1.6)</f>
        <v>1.6</v>
      </c>
      <c r="S864" s="31">
        <f>IFERROR(__xludf.DUMMYFUNCTION("""COMPUTED_VALUE"""),431.5333333333333)</f>
        <v>431.5333333</v>
      </c>
      <c r="T864" s="57">
        <f>IFERROR(__xludf.DUMMYFUNCTION("""COMPUTED_VALUE"""),1.2)</f>
        <v>1.2</v>
      </c>
      <c r="U864" s="57">
        <f>IFERROR(__xludf.DUMMYFUNCTION("""COMPUTED_VALUE"""),0.7333333333333332)</f>
        <v>0.7333333333</v>
      </c>
      <c r="V864" s="57">
        <f>IFERROR(__xludf.DUMMYFUNCTION("""COMPUTED_VALUE"""),1.0666666666666667)</f>
        <v>1.066666667</v>
      </c>
      <c r="W864" s="57">
        <f>IFERROR(__xludf.DUMMYFUNCTION("""COMPUTED_VALUE"""),4.466666666666667)</f>
        <v>4.466666667</v>
      </c>
      <c r="X864" s="31">
        <f>IFERROR(__xludf.DUMMYFUNCTION("""COMPUTED_VALUE"""),361.6305427182669)</f>
        <v>361.6305427</v>
      </c>
      <c r="Y864" s="57">
        <f>IFERROR(__xludf.DUMMYFUNCTION("""COMPUTED_VALUE"""),0.8143184011049651)</f>
        <v>0.8143184011</v>
      </c>
      <c r="Z864" s="57">
        <f>IFERROR(__xludf.DUMMYFUNCTION("""COMPUTED_VALUE"""),0.6302596205317313)</f>
        <v>0.6302596205</v>
      </c>
      <c r="AA864" s="57">
        <f>IFERROR(__xludf.DUMMYFUNCTION("""COMPUTED_VALUE"""),1.3368638190024913)</f>
        <v>1.336863819</v>
      </c>
      <c r="AB864" s="57">
        <f>IFERROR(__xludf.DUMMYFUNCTION("""COMPUTED_VALUE"""),2.912359500254433)</f>
        <v>2.9123595</v>
      </c>
      <c r="AC864" s="31">
        <f>IFERROR(__xludf.DUMMYFUNCTION("""COMPUTED_VALUE"""),356.6166672944877)</f>
        <v>356.6166673</v>
      </c>
      <c r="AD864" s="57">
        <f>IFERROR(__xludf.DUMMYFUNCTION("""COMPUTED_VALUE"""),0.762448689395992)</f>
        <v>0.7624486894</v>
      </c>
      <c r="AE864" s="57">
        <f>IFERROR(__xludf.DUMMYFUNCTION("""COMPUTED_VALUE"""),0.5212959493425502)</f>
        <v>0.5212959493</v>
      </c>
      <c r="AF864" s="57">
        <f>IFERROR(__xludf.DUMMYFUNCTION("""COMPUTED_VALUE"""),1.5519637086381572)</f>
        <v>1.551963709</v>
      </c>
      <c r="AG864" s="57">
        <f>IFERROR(__xludf.DUMMYFUNCTION("""COMPUTED_VALUE"""),2.5030151271833305)</f>
        <v>2.503015127</v>
      </c>
      <c r="AH864" s="57">
        <f>IFERROR(__xludf.DUMMYFUNCTION("""COMPUTED_VALUE"""),1.1373557020683578)</f>
        <v>1.137355702</v>
      </c>
      <c r="AI864" s="57">
        <f>IFERROR(__xludf.DUMMYFUNCTION("""COMPUTED_VALUE"""),0.26231273367187374)</f>
        <v>0.2623127337</v>
      </c>
      <c r="AJ864" s="57">
        <f>IFERROR(__xludf.DUMMYFUNCTION("""COMPUTED_VALUE"""),0.3836592251526924)</f>
        <v>0.3836592252</v>
      </c>
      <c r="AK864" s="57">
        <f>IFERROR(__xludf.DUMMYFUNCTION("""COMPUTED_VALUE"""),2.319641870465507)</f>
        <v>2.31964187</v>
      </c>
      <c r="AL864" s="57">
        <f>IFERROR(__xludf.DUMMYFUNCTION("""COMPUTED_VALUE"""),0.6392290572372598)</f>
        <v>0.6392290572</v>
      </c>
      <c r="AM864" s="57">
        <f>IFERROR(__xludf.DUMMYFUNCTION("""COMPUTED_VALUE"""),1.1932989124470195)</f>
        <v>1.193298912</v>
      </c>
      <c r="AN864" s="57">
        <f>IFERROR(__xludf.DUMMYFUNCTION("""COMPUTED_VALUE"""),1.4736250566998064)</f>
        <v>1.473625057</v>
      </c>
      <c r="AO864" s="57">
        <f>IFERROR(__xludf.DUMMYFUNCTION("""COMPUTED_VALUE"""),1.1635416730563217)</f>
        <v>1.163541673</v>
      </c>
      <c r="AP864" s="35">
        <f>IFERROR(__xludf.DUMMYFUNCTION("""COMPUTED_VALUE"""),0.7978873027340707)</f>
        <v>0.7978873027</v>
      </c>
      <c r="AQ864" s="57">
        <f>IFERROR(__xludf.DUMMYFUNCTION("""COMPUTED_VALUE"""),1.5336934421304942)</f>
        <v>1.533693442</v>
      </c>
      <c r="AR864" s="36" t="b">
        <f>IFERROR(__xludf.DUMMYFUNCTION("""COMPUTED_VALUE"""),TRUE)</f>
        <v>1</v>
      </c>
      <c r="AS864" s="57"/>
      <c r="AT864" s="37"/>
      <c r="AU864" s="30"/>
      <c r="AV864" s="30"/>
      <c r="AW864" s="30"/>
      <c r="AX864" s="30"/>
      <c r="AY864" s="30"/>
      <c r="AZ864" s="30"/>
    </row>
    <row r="865">
      <c r="A865" s="30" t="str">
        <f>IFERROR(__xludf.DUMMYFUNCTION("""COMPUTED_VALUE"""),"Veteran")</f>
        <v>Veteran</v>
      </c>
      <c r="B865" s="30" t="str">
        <f>IFERROR(__xludf.DUMMYFUNCTION("""COMPUTED_VALUE"""),"RSC007486")</f>
        <v>RSC007486</v>
      </c>
      <c r="C865" s="30" t="str">
        <f>IFERROR(__xludf.DUMMYFUNCTION("""COMPUTED_VALUE"""),"risfox")</f>
        <v>risfox</v>
      </c>
      <c r="D865" s="31"/>
      <c r="E865" s="31">
        <f>IFERROR(__xludf.DUMMYFUNCTION("""COMPUTED_VALUE"""),-9.931755777532445)</f>
        <v>-9.931755778</v>
      </c>
      <c r="F865" s="31">
        <f>IFERROR(__xludf.DUMMYFUNCTION("""COMPUTED_VALUE"""),-121.08196280222302)</f>
        <v>-121.0819628</v>
      </c>
      <c r="G865" s="31">
        <f>IFERROR(__xludf.DUMMYFUNCTION("""COMPUTED_VALUE"""),24.438295392579786)</f>
        <v>24.43829539</v>
      </c>
      <c r="H865" s="31">
        <f>IFERROR(__xludf.DUMMYFUNCTION("""COMPUTED_VALUE"""),-6.524021897195718)</f>
        <v>-6.524021897</v>
      </c>
      <c r="I865" s="54">
        <f>IFERROR(__xludf.DUMMYFUNCTION("""COMPUTED_VALUE"""),1.0)</f>
        <v>1</v>
      </c>
      <c r="J865" s="55">
        <f>IFERROR(__xludf.DUMMYFUNCTION("""COMPUTED_VALUE"""),0.0)</f>
        <v>0</v>
      </c>
      <c r="K865" s="54">
        <f>IFERROR(__xludf.DUMMYFUNCTION("""COMPUTED_VALUE"""),1.0)</f>
        <v>1</v>
      </c>
      <c r="L865" s="56">
        <f>IFERROR(__xludf.DUMMYFUNCTION("""COMPUTED_VALUE"""),0.0)</f>
        <v>0</v>
      </c>
      <c r="M865" s="56">
        <f>IFERROR(__xludf.DUMMYFUNCTION("""COMPUTED_VALUE"""),0.0)</f>
        <v>0</v>
      </c>
      <c r="N865" s="31">
        <f>IFERROR(__xludf.DUMMYFUNCTION("""COMPUTED_VALUE"""),288.0)</f>
        <v>288</v>
      </c>
      <c r="O865" s="57">
        <f>IFERROR(__xludf.DUMMYFUNCTION("""COMPUTED_VALUE"""),0.0)</f>
        <v>0</v>
      </c>
      <c r="P865" s="57">
        <f>IFERROR(__xludf.DUMMYFUNCTION("""COMPUTED_VALUE"""),0.0)</f>
        <v>0</v>
      </c>
      <c r="Q865" s="57">
        <f>IFERROR(__xludf.DUMMYFUNCTION("""COMPUTED_VALUE"""),2.0)</f>
        <v>2</v>
      </c>
      <c r="R865" s="57">
        <f>IFERROR(__xludf.DUMMYFUNCTION("""COMPUTED_VALUE"""),6.0)</f>
        <v>6</v>
      </c>
      <c r="S865" s="31">
        <f>IFERROR(__xludf.DUMMYFUNCTION("""COMPUTED_VALUE"""),498.3333333333333)</f>
        <v>498.3333333</v>
      </c>
      <c r="T865" s="57">
        <f>IFERROR(__xludf.DUMMYFUNCTION("""COMPUTED_VALUE"""),1.3333333333333333)</f>
        <v>1.333333333</v>
      </c>
      <c r="U865" s="57">
        <f>IFERROR(__xludf.DUMMYFUNCTION("""COMPUTED_VALUE"""),1.0)</f>
        <v>1</v>
      </c>
      <c r="V865" s="57">
        <f>IFERROR(__xludf.DUMMYFUNCTION("""COMPUTED_VALUE"""),2.3333333333333335)</f>
        <v>2.333333333</v>
      </c>
      <c r="W865" s="57">
        <f>IFERROR(__xludf.DUMMYFUNCTION("""COMPUTED_VALUE"""),3.6666666666666665)</f>
        <v>3.666666667</v>
      </c>
      <c r="X865" s="31">
        <f>IFERROR(__xludf.DUMMYFUNCTION("""COMPUTED_VALUE"""),341.0452248234857)</f>
        <v>341.0452248</v>
      </c>
      <c r="Y865" s="57">
        <f>IFERROR(__xludf.DUMMYFUNCTION("""COMPUTED_VALUE"""),0.7596432552954292)</f>
        <v>0.7596432553</v>
      </c>
      <c r="Z865" s="57">
        <f>IFERROR(__xludf.DUMMYFUNCTION("""COMPUTED_VALUE"""),0.5468599033816425)</f>
        <v>0.5468599034</v>
      </c>
      <c r="AA865" s="57">
        <f>IFERROR(__xludf.DUMMYFUNCTION("""COMPUTED_VALUE"""),1.3357859531772576)</f>
        <v>1.335785953</v>
      </c>
      <c r="AB865" s="57">
        <f>IFERROR(__xludf.DUMMYFUNCTION("""COMPUTED_VALUE"""),2.4589000371609067)</f>
        <v>2.458900037</v>
      </c>
      <c r="AC865" s="31">
        <f>IFERROR(__xludf.DUMMYFUNCTION("""COMPUTED_VALUE"""),342.62289111854324)</f>
        <v>342.6228911</v>
      </c>
      <c r="AD865" s="57">
        <f>IFERROR(__xludf.DUMMYFUNCTION("""COMPUTED_VALUE"""),0.7799331103678929)</f>
        <v>0.7799331104</v>
      </c>
      <c r="AE865" s="57">
        <f>IFERROR(__xludf.DUMMYFUNCTION("""COMPUTED_VALUE"""),0.48818283166109255)</f>
        <v>0.4881828317</v>
      </c>
      <c r="AF865" s="57">
        <f>IFERROR(__xludf.DUMMYFUNCTION("""COMPUTED_VALUE"""),1.3659977703455966)</f>
        <v>1.36599777</v>
      </c>
      <c r="AG865" s="57">
        <f>IFERROR(__xludf.DUMMYFUNCTION("""COMPUTED_VALUE"""),2.499938065155456)</f>
        <v>2.499938065</v>
      </c>
      <c r="AH865" s="57">
        <f>IFERROR(__xludf.DUMMYFUNCTION("""COMPUTED_VALUE"""),0.8405743091472414)</f>
        <v>0.8405743091</v>
      </c>
      <c r="AI865" s="57">
        <f>IFERROR(__xludf.DUMMYFUNCTION("""COMPUTED_VALUE"""),0.0)</f>
        <v>0</v>
      </c>
      <c r="AJ865" s="57">
        <f>IFERROR(__xludf.DUMMYFUNCTION("""COMPUTED_VALUE"""),0.0)</f>
        <v>0</v>
      </c>
      <c r="AK865" s="57">
        <f>IFERROR(__xludf.DUMMYFUNCTION("""COMPUTED_VALUE"""),1.4641312331673875)</f>
        <v>1.464131233</v>
      </c>
      <c r="AL865" s="57">
        <f>IFERROR(__xludf.DUMMYFUNCTION("""COMPUTED_VALUE"""),2.400059458923794)</f>
        <v>2.400059459</v>
      </c>
      <c r="AM865" s="57">
        <f>IFERROR(__xludf.DUMMYFUNCTION("""COMPUTED_VALUE"""),1.46119428469129)</f>
        <v>1.461194285</v>
      </c>
      <c r="AN865" s="57">
        <f>IFERROR(__xludf.DUMMYFUNCTION("""COMPUTED_VALUE"""),1.755209862048723)</f>
        <v>1.755209862</v>
      </c>
      <c r="AO865" s="57">
        <f>IFERROR(__xludf.DUMMYFUNCTION("""COMPUTED_VALUE"""),1.8286219081272086)</f>
        <v>1.828621908</v>
      </c>
      <c r="AP865" s="35">
        <f>IFERROR(__xludf.DUMMYFUNCTION("""COMPUTED_VALUE"""),1.7467868469370724)</f>
        <v>1.746786847</v>
      </c>
      <c r="AQ865" s="57">
        <f>IFERROR(__xludf.DUMMYFUNCTION("""COMPUTED_VALUE"""),1.4911816711753239)</f>
        <v>1.491181671</v>
      </c>
      <c r="AR865" s="36" t="b">
        <f>IFERROR(__xludf.DUMMYFUNCTION("""COMPUTED_VALUE"""),TRUE)</f>
        <v>1</v>
      </c>
      <c r="AS865" s="57"/>
      <c r="AT865" s="37"/>
      <c r="AU865" s="30"/>
      <c r="AV865" s="30"/>
      <c r="AW865" s="30"/>
      <c r="AX865" s="30"/>
      <c r="AY865" s="30"/>
      <c r="AZ865" s="30"/>
    </row>
    <row r="866">
      <c r="A866" s="30" t="str">
        <f>IFERROR(__xludf.DUMMYFUNCTION("""COMPUTED_VALUE"""),"Veteran")</f>
        <v>Veteran</v>
      </c>
      <c r="B866" s="30" t="str">
        <f>IFERROR(__xludf.DUMMYFUNCTION("""COMPUTED_VALUE"""),"RSC004188")</f>
        <v>RSC004188</v>
      </c>
      <c r="C866" s="30" t="str">
        <f>IFERROR(__xludf.DUMMYFUNCTION("""COMPUTED_VALUE"""),"wntr")</f>
        <v>wntr</v>
      </c>
      <c r="D866" s="31" t="str">
        <f>IFERROR(__xludf.DUMMYFUNCTION("""COMPUTED_VALUE"""),"Azalea")</f>
        <v>Azalea</v>
      </c>
      <c r="E866" s="31">
        <f>IFERROR(__xludf.DUMMYFUNCTION("""COMPUTED_VALUE"""),-11.950227484300768)</f>
        <v>-11.95022748</v>
      </c>
      <c r="F866" s="31">
        <f>IFERROR(__xludf.DUMMYFUNCTION("""COMPUTED_VALUE"""),-151.38008398410867)</f>
        <v>-151.380084</v>
      </c>
      <c r="G866" s="31">
        <f>IFERROR(__xludf.DUMMYFUNCTION("""COMPUTED_VALUE"""),5.761242125294729)</f>
        <v>5.761242125</v>
      </c>
      <c r="H866" s="31">
        <f>IFERROR(__xludf.DUMMYFUNCTION("""COMPUTED_VALUE"""),-26.040960733378878)</f>
        <v>-26.04096073</v>
      </c>
      <c r="I866" s="54">
        <f>IFERROR(__xludf.DUMMYFUNCTION("""COMPUTED_VALUE"""),9.0)</f>
        <v>9</v>
      </c>
      <c r="J866" s="55">
        <f>IFERROR(__xludf.DUMMYFUNCTION("""COMPUTED_VALUE"""),3.0)</f>
        <v>3</v>
      </c>
      <c r="K866" s="54">
        <f>IFERROR(__xludf.DUMMYFUNCTION("""COMPUTED_VALUE"""),6.0)</f>
        <v>6</v>
      </c>
      <c r="L866" s="56">
        <f>IFERROR(__xludf.DUMMYFUNCTION("""COMPUTED_VALUE"""),0.3333333333333333)</f>
        <v>0.3333333333</v>
      </c>
      <c r="M866" s="56">
        <f>IFERROR(__xludf.DUMMYFUNCTION("""COMPUTED_VALUE"""),0.14285714285714285)</f>
        <v>0.1428571429</v>
      </c>
      <c r="N866" s="31">
        <f>IFERROR(__xludf.DUMMYFUNCTION("""COMPUTED_VALUE"""),238.55555555555554)</f>
        <v>238.5555556</v>
      </c>
      <c r="O866" s="57">
        <f>IFERROR(__xludf.DUMMYFUNCTION("""COMPUTED_VALUE"""),0.1111111111111111)</f>
        <v>0.1111111111</v>
      </c>
      <c r="P866" s="57">
        <f>IFERROR(__xludf.DUMMYFUNCTION("""COMPUTED_VALUE"""),0.5555555555555556)</f>
        <v>0.5555555556</v>
      </c>
      <c r="Q866" s="57">
        <f>IFERROR(__xludf.DUMMYFUNCTION("""COMPUTED_VALUE"""),1.2222222222222223)</f>
        <v>1.222222222</v>
      </c>
      <c r="R866" s="57">
        <f>IFERROR(__xludf.DUMMYFUNCTION("""COMPUTED_VALUE"""),0.7777777777777778)</f>
        <v>0.7777777778</v>
      </c>
      <c r="S866" s="31">
        <f>IFERROR(__xludf.DUMMYFUNCTION("""COMPUTED_VALUE"""),350.55555555555554)</f>
        <v>350.5555556</v>
      </c>
      <c r="T866" s="57">
        <f>IFERROR(__xludf.DUMMYFUNCTION("""COMPUTED_VALUE"""),0.9629629629629631)</f>
        <v>0.962962963</v>
      </c>
      <c r="U866" s="57">
        <f>IFERROR(__xludf.DUMMYFUNCTION("""COMPUTED_VALUE"""),0.5185185185185185)</f>
        <v>0.5185185185</v>
      </c>
      <c r="V866" s="57">
        <f>IFERROR(__xludf.DUMMYFUNCTION("""COMPUTED_VALUE"""),0.9629629629629629)</f>
        <v>0.962962963</v>
      </c>
      <c r="W866" s="57">
        <f>IFERROR(__xludf.DUMMYFUNCTION("""COMPUTED_VALUE"""),2.6666666666666665)</f>
        <v>2.666666667</v>
      </c>
      <c r="X866" s="31">
        <f>IFERROR(__xludf.DUMMYFUNCTION("""COMPUTED_VALUE"""),341.70286655285895)</f>
        <v>341.7028666</v>
      </c>
      <c r="Y866" s="57">
        <f>IFERROR(__xludf.DUMMYFUNCTION("""COMPUTED_VALUE"""),0.7383216871616579)</f>
        <v>0.7383216872</v>
      </c>
      <c r="Z866" s="57">
        <f>IFERROR(__xludf.DUMMYFUNCTION("""COMPUTED_VALUE"""),0.5283908542473523)</f>
        <v>0.5283908542</v>
      </c>
      <c r="AA866" s="57">
        <f>IFERROR(__xludf.DUMMYFUNCTION("""COMPUTED_VALUE"""),1.3658765423988066)</f>
        <v>1.365876542</v>
      </c>
      <c r="AB866" s="57">
        <f>IFERROR(__xludf.DUMMYFUNCTION("""COMPUTED_VALUE"""),2.4143632448923373)</f>
        <v>2.414363245</v>
      </c>
      <c r="AC866" s="31">
        <f>IFERROR(__xludf.DUMMYFUNCTION("""COMPUTED_VALUE"""),367.05596578182724)</f>
        <v>367.0559658</v>
      </c>
      <c r="AD866" s="57">
        <f>IFERROR(__xludf.DUMMYFUNCTION("""COMPUTED_VALUE"""),0.9058965402707955)</f>
        <v>0.9058965403</v>
      </c>
      <c r="AE866" s="57">
        <f>IFERROR(__xludf.DUMMYFUNCTION("""COMPUTED_VALUE"""),0.656144411261883)</f>
        <v>0.6561444113</v>
      </c>
      <c r="AF866" s="57">
        <f>IFERROR(__xludf.DUMMYFUNCTION("""COMPUTED_VALUE"""),1.280524333770623)</f>
        <v>1.280524334</v>
      </c>
      <c r="AG866" s="57">
        <f>IFERROR(__xludf.DUMMYFUNCTION("""COMPUTED_VALUE"""),2.716800212955406)</f>
        <v>2.716800213</v>
      </c>
      <c r="AH866" s="57">
        <f>IFERROR(__xludf.DUMMYFUNCTION("""COMPUTED_VALUE"""),0.6499160286018877)</f>
        <v>0.6499160286</v>
      </c>
      <c r="AI866" s="57">
        <f>IFERROR(__xludf.DUMMYFUNCTION("""COMPUTED_VALUE"""),0.12265320174188675)</f>
        <v>0.1226532017</v>
      </c>
      <c r="AJ866" s="57">
        <f>IFERROR(__xludf.DUMMYFUNCTION("""COMPUTED_VALUE"""),0.8466970776861802)</f>
        <v>0.8466970777</v>
      </c>
      <c r="AK866" s="57">
        <f>IFERROR(__xludf.DUMMYFUNCTION("""COMPUTED_VALUE"""),0.9544701260172662)</f>
        <v>0.954470126</v>
      </c>
      <c r="AL866" s="57">
        <f>IFERROR(__xludf.DUMMYFUNCTION("""COMPUTED_VALUE"""),0.28628449529297223)</f>
        <v>0.2862844953</v>
      </c>
      <c r="AM866" s="57">
        <f>IFERROR(__xludf.DUMMYFUNCTION("""COMPUTED_VALUE"""),1.0259075643467777)</f>
        <v>1.025907564</v>
      </c>
      <c r="AN866" s="57">
        <f>IFERROR(__xludf.DUMMYFUNCTION("""COMPUTED_VALUE"""),1.3042593488820535)</f>
        <v>1.304259349</v>
      </c>
      <c r="AO866" s="57">
        <f>IFERROR(__xludf.DUMMYFUNCTION("""COMPUTED_VALUE"""),0.981316225196789)</f>
        <v>0.9813162252</v>
      </c>
      <c r="AP866" s="35">
        <f>IFERROR(__xludf.DUMMYFUNCTION("""COMPUTED_VALUE"""),0.7050146430304521)</f>
        <v>0.705014643</v>
      </c>
      <c r="AQ866" s="57">
        <f>IFERROR(__xludf.DUMMYFUNCTION("""COMPUTED_VALUE"""),1.1045010200134902)</f>
        <v>1.10450102</v>
      </c>
      <c r="AR866" s="36" t="b">
        <f>IFERROR(__xludf.DUMMYFUNCTION("""COMPUTED_VALUE"""),TRUE)</f>
        <v>1</v>
      </c>
      <c r="AS866" s="57"/>
      <c r="AT866" s="37"/>
      <c r="AU866" s="30"/>
      <c r="AV866" s="30"/>
      <c r="AW866" s="30"/>
      <c r="AX866" s="30"/>
      <c r="AY866" s="30"/>
      <c r="AZ866" s="30"/>
    </row>
    <row r="867">
      <c r="A867" s="30" t="str">
        <f>IFERROR(__xludf.DUMMYFUNCTION("""COMPUTED_VALUE"""),"Veteran")</f>
        <v>Veteran</v>
      </c>
      <c r="B867" s="30" t="str">
        <f>IFERROR(__xludf.DUMMYFUNCTION("""COMPUTED_VALUE"""),"RSC004198")</f>
        <v>RSC004198</v>
      </c>
      <c r="C867" s="30" t="str">
        <f>IFERROR(__xludf.DUMMYFUNCTION("""COMPUTED_VALUE"""),"Dr. Cereal")</f>
        <v>Dr. Cereal</v>
      </c>
      <c r="D867" s="31"/>
      <c r="E867" s="31">
        <f>IFERROR(__xludf.DUMMYFUNCTION("""COMPUTED_VALUE"""),-20.80204757903938)</f>
        <v>-20.80204758</v>
      </c>
      <c r="F867" s="31">
        <f>IFERROR(__xludf.DUMMYFUNCTION("""COMPUTED_VALUE"""),-432.4698228031333)</f>
        <v>-432.4698228</v>
      </c>
      <c r="G867" s="31">
        <f>IFERROR(__xludf.DUMMYFUNCTION("""COMPUTED_VALUE"""),-5.979414947372199)</f>
        <v>-5.979414947</v>
      </c>
      <c r="H867" s="31">
        <f>IFERROR(__xludf.DUMMYFUNCTION("""COMPUTED_VALUE"""),-79.54048540282548)</f>
        <v>-79.5404854</v>
      </c>
      <c r="I867" s="54">
        <f>IFERROR(__xludf.DUMMYFUNCTION("""COMPUTED_VALUE"""),6.0)</f>
        <v>6</v>
      </c>
      <c r="J867" s="55">
        <f>IFERROR(__xludf.DUMMYFUNCTION("""COMPUTED_VALUE"""),1.0)</f>
        <v>1</v>
      </c>
      <c r="K867" s="54">
        <f>IFERROR(__xludf.DUMMYFUNCTION("""COMPUTED_VALUE"""),5.0)</f>
        <v>5</v>
      </c>
      <c r="L867" s="56">
        <f>IFERROR(__xludf.DUMMYFUNCTION("""COMPUTED_VALUE"""),0.16666666666666666)</f>
        <v>0.1666666667</v>
      </c>
      <c r="M867" s="56">
        <f>IFERROR(__xludf.DUMMYFUNCTION("""COMPUTED_VALUE"""),0.27272727272727276)</f>
        <v>0.2727272727</v>
      </c>
      <c r="N867" s="31">
        <f>IFERROR(__xludf.DUMMYFUNCTION("""COMPUTED_VALUE"""),208.0)</f>
        <v>208</v>
      </c>
      <c r="O867" s="57">
        <f>IFERROR(__xludf.DUMMYFUNCTION("""COMPUTED_VALUE"""),0.5)</f>
        <v>0.5</v>
      </c>
      <c r="P867" s="57">
        <f>IFERROR(__xludf.DUMMYFUNCTION("""COMPUTED_VALUE"""),0.0)</f>
        <v>0</v>
      </c>
      <c r="Q867" s="57">
        <f>IFERROR(__xludf.DUMMYFUNCTION("""COMPUTED_VALUE"""),0.5)</f>
        <v>0.5</v>
      </c>
      <c r="R867" s="57">
        <f>IFERROR(__xludf.DUMMYFUNCTION("""COMPUTED_VALUE"""),1.8333333333333333)</f>
        <v>1.833333333</v>
      </c>
      <c r="S867" s="31">
        <f>IFERROR(__xludf.DUMMYFUNCTION("""COMPUTED_VALUE"""),370.8333333333333)</f>
        <v>370.8333333</v>
      </c>
      <c r="T867" s="57">
        <f>IFERROR(__xludf.DUMMYFUNCTION("""COMPUTED_VALUE"""),1.0555555555555556)</f>
        <v>1.055555556</v>
      </c>
      <c r="U867" s="57">
        <f>IFERROR(__xludf.DUMMYFUNCTION("""COMPUTED_VALUE"""),0.8888888888888888)</f>
        <v>0.8888888889</v>
      </c>
      <c r="V867" s="57">
        <f>IFERROR(__xludf.DUMMYFUNCTION("""COMPUTED_VALUE"""),0.9444444444444443)</f>
        <v>0.9444444444</v>
      </c>
      <c r="W867" s="57">
        <f>IFERROR(__xludf.DUMMYFUNCTION("""COMPUTED_VALUE"""),2.7222222222222228)</f>
        <v>2.722222222</v>
      </c>
      <c r="X867" s="31">
        <f>IFERROR(__xludf.DUMMYFUNCTION("""COMPUTED_VALUE"""),337.0777056277056)</f>
        <v>337.0777056</v>
      </c>
      <c r="Y867" s="57">
        <f>IFERROR(__xludf.DUMMYFUNCTION("""COMPUTED_VALUE"""),0.733970658970659)</f>
        <v>0.733970659</v>
      </c>
      <c r="Z867" s="57">
        <f>IFERROR(__xludf.DUMMYFUNCTION("""COMPUTED_VALUE"""),0.47260702260702264)</f>
        <v>0.4726070226</v>
      </c>
      <c r="AA867" s="57">
        <f>IFERROR(__xludf.DUMMYFUNCTION("""COMPUTED_VALUE"""),1.299086099086099)</f>
        <v>1.299086099</v>
      </c>
      <c r="AB867" s="57">
        <f>IFERROR(__xludf.DUMMYFUNCTION("""COMPUTED_VALUE"""),2.4191798941798943)</f>
        <v>2.419179894</v>
      </c>
      <c r="AC867" s="31">
        <f>IFERROR(__xludf.DUMMYFUNCTION("""COMPUTED_VALUE"""),334.1711159211159)</f>
        <v>334.1711159</v>
      </c>
      <c r="AD867" s="57">
        <f>IFERROR(__xludf.DUMMYFUNCTION("""COMPUTED_VALUE"""),0.7380311046977716)</f>
        <v>0.7380311047</v>
      </c>
      <c r="AE867" s="57">
        <f>IFERROR(__xludf.DUMMYFUNCTION("""COMPUTED_VALUE"""),0.5444524611191276)</f>
        <v>0.5444524611</v>
      </c>
      <c r="AF867" s="57">
        <f>IFERROR(__xludf.DUMMYFUNCTION("""COMPUTED_VALUE"""),1.2084014750681418)</f>
        <v>1.208401475</v>
      </c>
      <c r="AG867" s="57">
        <f>IFERROR(__xludf.DUMMYFUNCTION("""COMPUTED_VALUE"""),2.5575276575276575)</f>
        <v>2.557527658</v>
      </c>
      <c r="AH867" s="57">
        <f>IFERROR(__xludf.DUMMYFUNCTION("""COMPUTED_VALUE"""),0.6224356028696995)</f>
        <v>0.6224356029</v>
      </c>
      <c r="AI867" s="57">
        <f>IFERROR(__xludf.DUMMYFUNCTION("""COMPUTED_VALUE"""),0.6774782211987572)</f>
        <v>0.6774782212</v>
      </c>
      <c r="AJ867" s="57">
        <f>IFERROR(__xludf.DUMMYFUNCTION("""COMPUTED_VALUE"""),0.0)</f>
        <v>0</v>
      </c>
      <c r="AK867" s="57">
        <f>IFERROR(__xludf.DUMMYFUNCTION("""COMPUTED_VALUE"""),0.41376976966351764)</f>
        <v>0.4137697697</v>
      </c>
      <c r="AL867" s="57">
        <f>IFERROR(__xludf.DUMMYFUNCTION("""COMPUTED_VALUE"""),0.7168381260461529)</f>
        <v>0.716838126</v>
      </c>
      <c r="AM867" s="57">
        <f>IFERROR(__xludf.DUMMYFUNCTION("""COMPUTED_VALUE"""),1.100141976588953)</f>
        <v>1.100141977</v>
      </c>
      <c r="AN867" s="57">
        <f>IFERROR(__xludf.DUMMYFUNCTION("""COMPUTED_VALUE"""),1.4381440765437357)</f>
        <v>1.438144077</v>
      </c>
      <c r="AO867" s="57">
        <f>IFERROR(__xludf.DUMMYFUNCTION("""COMPUTED_VALUE"""),1.8808203144878122)</f>
        <v>1.880820314</v>
      </c>
      <c r="AP867" s="35">
        <f>IFERROR(__xludf.DUMMYFUNCTION("""COMPUTED_VALUE"""),0.7270068127962085)</f>
        <v>0.7270068128</v>
      </c>
      <c r="AQ867" s="57">
        <f>IFERROR(__xludf.DUMMYFUNCTION("""COMPUTED_VALUE"""),1.1252665536661384)</f>
        <v>1.125266554</v>
      </c>
      <c r="AR867" s="36" t="b">
        <f>IFERROR(__xludf.DUMMYFUNCTION("""COMPUTED_VALUE"""),TRUE)</f>
        <v>1</v>
      </c>
      <c r="AS867" s="57"/>
      <c r="AT867" s="37"/>
      <c r="AU867" s="30"/>
      <c r="AV867" s="30"/>
      <c r="AW867" s="30"/>
      <c r="AX867" s="30"/>
      <c r="AY867" s="30"/>
      <c r="AZ867" s="30"/>
    </row>
    <row r="868">
      <c r="A868" s="30" t="str">
        <f>IFERROR(__xludf.DUMMYFUNCTION("""COMPUTED_VALUE"""),"Veteran")</f>
        <v>Veteran</v>
      </c>
      <c r="B868" s="30" t="str">
        <f>IFERROR(__xludf.DUMMYFUNCTION("""COMPUTED_VALUE"""),"RSC003694")</f>
        <v>RSC003694</v>
      </c>
      <c r="C868" s="30" t="str">
        <f>IFERROR(__xludf.DUMMYFUNCTION("""COMPUTED_VALUE"""),"TheCroctopusTV")</f>
        <v>TheCroctopusTV</v>
      </c>
      <c r="D868" s="31"/>
      <c r="E868" s="31">
        <f>IFERROR(__xludf.DUMMYFUNCTION("""COMPUTED_VALUE"""),-25.925950507614445)</f>
        <v>-25.92595051</v>
      </c>
      <c r="F868" s="31">
        <f>IFERROR(__xludf.DUMMYFUNCTION("""COMPUTED_VALUE"""),-837.1166868440963)</f>
        <v>-837.1166868</v>
      </c>
      <c r="G868" s="31">
        <f>IFERROR(__xludf.DUMMYFUNCTION("""COMPUTED_VALUE"""),-30.018406375449388)</f>
        <v>-30.01840638</v>
      </c>
      <c r="H868" s="31">
        <f>IFERROR(__xludf.DUMMYFUNCTION("""COMPUTED_VALUE"""),-1459.034596692945)</f>
        <v>-1459.034597</v>
      </c>
      <c r="I868" s="54">
        <f>IFERROR(__xludf.DUMMYFUNCTION("""COMPUTED_VALUE"""),4.0)</f>
        <v>4</v>
      </c>
      <c r="J868" s="55">
        <f>IFERROR(__xludf.DUMMYFUNCTION("""COMPUTED_VALUE"""),1.0)</f>
        <v>1</v>
      </c>
      <c r="K868" s="54">
        <f>IFERROR(__xludf.DUMMYFUNCTION("""COMPUTED_VALUE"""),3.0)</f>
        <v>3</v>
      </c>
      <c r="L868" s="56">
        <f>IFERROR(__xludf.DUMMYFUNCTION("""COMPUTED_VALUE"""),0.25)</f>
        <v>0.25</v>
      </c>
      <c r="M868" s="56">
        <f>IFERROR(__xludf.DUMMYFUNCTION("""COMPUTED_VALUE"""),0.5)</f>
        <v>0.5</v>
      </c>
      <c r="N868" s="31">
        <f>IFERROR(__xludf.DUMMYFUNCTION("""COMPUTED_VALUE"""),227.5)</f>
        <v>227.5</v>
      </c>
      <c r="O868" s="57">
        <f>IFERROR(__xludf.DUMMYFUNCTION("""COMPUTED_VALUE"""),0.25)</f>
        <v>0.25</v>
      </c>
      <c r="P868" s="57">
        <f>IFERROR(__xludf.DUMMYFUNCTION("""COMPUTED_VALUE"""),0.0)</f>
        <v>0</v>
      </c>
      <c r="Q868" s="57">
        <f>IFERROR(__xludf.DUMMYFUNCTION("""COMPUTED_VALUE"""),1.25)</f>
        <v>1.25</v>
      </c>
      <c r="R868" s="57">
        <f>IFERROR(__xludf.DUMMYFUNCTION("""COMPUTED_VALUE"""),0.5)</f>
        <v>0.5</v>
      </c>
      <c r="S868" s="31">
        <f>IFERROR(__xludf.DUMMYFUNCTION("""COMPUTED_VALUE"""),380.1666666666667)</f>
        <v>380.1666667</v>
      </c>
      <c r="T868" s="57">
        <f>IFERROR(__xludf.DUMMYFUNCTION("""COMPUTED_VALUE"""),1.0)</f>
        <v>1</v>
      </c>
      <c r="U868" s="57">
        <f>IFERROR(__xludf.DUMMYFUNCTION("""COMPUTED_VALUE"""),0.5833333333333334)</f>
        <v>0.5833333333</v>
      </c>
      <c r="V868" s="57">
        <f>IFERROR(__xludf.DUMMYFUNCTION("""COMPUTED_VALUE"""),1.0)</f>
        <v>1</v>
      </c>
      <c r="W868" s="57">
        <f>IFERROR(__xludf.DUMMYFUNCTION("""COMPUTED_VALUE"""),3.4166666666666665)</f>
        <v>3.416666667</v>
      </c>
      <c r="X868" s="31">
        <f>IFERROR(__xludf.DUMMYFUNCTION("""COMPUTED_VALUE"""),373.8239935587762)</f>
        <v>373.8239936</v>
      </c>
      <c r="Y868" s="57">
        <f>IFERROR(__xludf.DUMMYFUNCTION("""COMPUTED_VALUE"""),0.9072659616137877)</f>
        <v>0.9072659616</v>
      </c>
      <c r="Z868" s="57">
        <f>IFERROR(__xludf.DUMMYFUNCTION("""COMPUTED_VALUE"""),0.6269900335117726)</f>
        <v>0.6269900335</v>
      </c>
      <c r="AA868" s="57">
        <f>IFERROR(__xludf.DUMMYFUNCTION("""COMPUTED_VALUE"""),1.3148322235278755)</f>
        <v>1.314832224</v>
      </c>
      <c r="AB868" s="57">
        <f>IFERROR(__xludf.DUMMYFUNCTION("""COMPUTED_VALUE"""),2.7845018931975454)</f>
        <v>2.784501893</v>
      </c>
      <c r="AC868" s="31">
        <f>IFERROR(__xludf.DUMMYFUNCTION("""COMPUTED_VALUE"""),321.33135744440085)</f>
        <v>321.3313574</v>
      </c>
      <c r="AD868" s="57">
        <f>IFERROR(__xludf.DUMMYFUNCTION("""COMPUTED_VALUE"""),0.6610443777110443)</f>
        <v>0.6610443777</v>
      </c>
      <c r="AE868" s="57">
        <f>IFERROR(__xludf.DUMMYFUNCTION("""COMPUTED_VALUE"""),0.4657599628614121)</f>
        <v>0.4657599629</v>
      </c>
      <c r="AF868" s="57">
        <f>IFERROR(__xludf.DUMMYFUNCTION("""COMPUTED_VALUE"""),1.1707359533446489)</f>
        <v>1.170735953</v>
      </c>
      <c r="AG868" s="57">
        <f>IFERROR(__xludf.DUMMYFUNCTION("""COMPUTED_VALUE"""),2.418795607201404)</f>
        <v>2.418795607</v>
      </c>
      <c r="AH868" s="57">
        <f>IFERROR(__xludf.DUMMYFUNCTION("""COMPUTED_VALUE"""),0.7079919053320645)</f>
        <v>0.7079919053</v>
      </c>
      <c r="AI868" s="57">
        <f>IFERROR(__xludf.DUMMYFUNCTION("""COMPUTED_VALUE"""),0.3781894354289176)</f>
        <v>0.3781894354</v>
      </c>
      <c r="AJ868" s="57">
        <f>IFERROR(__xludf.DUMMYFUNCTION("""COMPUTED_VALUE"""),0.0)</f>
        <v>0</v>
      </c>
      <c r="AK868" s="57">
        <f>IFERROR(__xludf.DUMMYFUNCTION("""COMPUTED_VALUE"""),1.067704460966543)</f>
        <v>1.067704461</v>
      </c>
      <c r="AL868" s="57">
        <f>IFERROR(__xludf.DUMMYFUNCTION("""COMPUTED_VALUE"""),0.20671444850956638)</f>
        <v>0.2067144485</v>
      </c>
      <c r="AM868" s="57">
        <f>IFERROR(__xludf.DUMMYFUNCTION("""COMPUTED_VALUE"""),1.0169670037696317)</f>
        <v>1.016967004</v>
      </c>
      <c r="AN868" s="57">
        <f>IFERROR(__xludf.DUMMYFUNCTION("""COMPUTED_VALUE"""),1.1022126281705342)</f>
        <v>1.102212628</v>
      </c>
      <c r="AO868" s="57">
        <f>IFERROR(__xludf.DUMMYFUNCTION("""COMPUTED_VALUE"""),0.9303709822404704)</f>
        <v>0.9303709822</v>
      </c>
      <c r="AP868" s="35">
        <f>IFERROR(__xludf.DUMMYFUNCTION("""COMPUTED_VALUE"""),0.7605533102290896)</f>
        <v>0.7605533102</v>
      </c>
      <c r="AQ868" s="57">
        <f>IFERROR(__xludf.DUMMYFUNCTION("""COMPUTED_VALUE"""),1.227029751717347)</f>
        <v>1.227029752</v>
      </c>
      <c r="AR868" s="36" t="b">
        <f>IFERROR(__xludf.DUMMYFUNCTION("""COMPUTED_VALUE"""),TRUE)</f>
        <v>1</v>
      </c>
      <c r="AS868" s="57"/>
      <c r="AT868" s="37"/>
      <c r="AU868" s="30"/>
      <c r="AV868" s="30"/>
      <c r="AW868" s="30"/>
      <c r="AX868" s="30"/>
      <c r="AY868" s="30"/>
      <c r="AZ868" s="30"/>
    </row>
    <row r="869">
      <c r="A869" s="30" t="str">
        <f>IFERROR(__xludf.DUMMYFUNCTION("""COMPUTED_VALUE"""),"Veteran")</f>
        <v>Veteran</v>
      </c>
      <c r="B869" s="30" t="str">
        <f>IFERROR(__xludf.DUMMYFUNCTION("""COMPUTED_VALUE"""),"RSC007505")</f>
        <v>RSC007505</v>
      </c>
      <c r="C869" s="30" t="str">
        <f>IFERROR(__xludf.DUMMYFUNCTION("""COMPUTED_VALUE"""),"Detroeux_RL")</f>
        <v>Detroeux_RL</v>
      </c>
      <c r="D869" s="31"/>
      <c r="E869" s="31">
        <f>IFERROR(__xludf.DUMMYFUNCTION("""COMPUTED_VALUE"""),-53.00070383724389)</f>
        <v>-53.00070384</v>
      </c>
      <c r="F869" s="31">
        <f>IFERROR(__xludf.DUMMYFUNCTION("""COMPUTED_VALUE"""),-52794.67178524988)</f>
        <v>-52794.67179</v>
      </c>
      <c r="G869" s="31">
        <f>IFERROR(__xludf.DUMMYFUNCTION("""COMPUTED_VALUE"""),-45.276133486667106)</f>
        <v>-45.27613349</v>
      </c>
      <c r="H869" s="31">
        <f>IFERROR(__xludf.DUMMYFUNCTION("""COMPUTED_VALUE"""),-14452.91580543699)</f>
        <v>-14452.91581</v>
      </c>
      <c r="I869" s="54">
        <f>IFERROR(__xludf.DUMMYFUNCTION("""COMPUTED_VALUE"""),4.0)</f>
        <v>4</v>
      </c>
      <c r="J869" s="55">
        <f>IFERROR(__xludf.DUMMYFUNCTION("""COMPUTED_VALUE"""),0.0)</f>
        <v>0</v>
      </c>
      <c r="K869" s="54">
        <f>IFERROR(__xludf.DUMMYFUNCTION("""COMPUTED_VALUE"""),4.0)</f>
        <v>4</v>
      </c>
      <c r="L869" s="56">
        <f>IFERROR(__xludf.DUMMYFUNCTION("""COMPUTED_VALUE"""),0.0)</f>
        <v>0</v>
      </c>
      <c r="M869" s="56">
        <f>IFERROR(__xludf.DUMMYFUNCTION("""COMPUTED_VALUE"""),0.3333333333333333)</f>
        <v>0.3333333333</v>
      </c>
      <c r="N869" s="31">
        <f>IFERROR(__xludf.DUMMYFUNCTION("""COMPUTED_VALUE"""),189.0)</f>
        <v>189</v>
      </c>
      <c r="O869" s="57">
        <f>IFERROR(__xludf.DUMMYFUNCTION("""COMPUTED_VALUE"""),0.25)</f>
        <v>0.25</v>
      </c>
      <c r="P869" s="57">
        <f>IFERROR(__xludf.DUMMYFUNCTION("""COMPUTED_VALUE"""),0.25)</f>
        <v>0.25</v>
      </c>
      <c r="Q869" s="57">
        <f>IFERROR(__xludf.DUMMYFUNCTION("""COMPUTED_VALUE"""),0.75)</f>
        <v>0.75</v>
      </c>
      <c r="R869" s="57">
        <f>IFERROR(__xludf.DUMMYFUNCTION("""COMPUTED_VALUE"""),0.75)</f>
        <v>0.75</v>
      </c>
      <c r="S869" s="31">
        <f>IFERROR(__xludf.DUMMYFUNCTION("""COMPUTED_VALUE"""),531.6666666666666)</f>
        <v>531.6666667</v>
      </c>
      <c r="T869" s="57">
        <f>IFERROR(__xludf.DUMMYFUNCTION("""COMPUTED_VALUE"""),1.9166666666666665)</f>
        <v>1.916666667</v>
      </c>
      <c r="U869" s="57">
        <f>IFERROR(__xludf.DUMMYFUNCTION("""COMPUTED_VALUE"""),1.3333333333333335)</f>
        <v>1.333333333</v>
      </c>
      <c r="V869" s="57">
        <f>IFERROR(__xludf.DUMMYFUNCTION("""COMPUTED_VALUE"""),1.1666666666666667)</f>
        <v>1.166666667</v>
      </c>
      <c r="W869" s="57">
        <f>IFERROR(__xludf.DUMMYFUNCTION("""COMPUTED_VALUE"""),4.583333333333333)</f>
        <v>4.583333333</v>
      </c>
      <c r="X869" s="31">
        <f>IFERROR(__xludf.DUMMYFUNCTION("""COMPUTED_VALUE"""),378.6085761085761)</f>
        <v>378.6085761</v>
      </c>
      <c r="Y869" s="57">
        <f>IFERROR(__xludf.DUMMYFUNCTION("""COMPUTED_VALUE"""),0.9196209196209196)</f>
        <v>0.9196209196</v>
      </c>
      <c r="Z869" s="57">
        <f>IFERROR(__xludf.DUMMYFUNCTION("""COMPUTED_VALUE"""),0.7634550134550135)</f>
        <v>0.7634550135</v>
      </c>
      <c r="AA869" s="57">
        <f>IFERROR(__xludf.DUMMYFUNCTION("""COMPUTED_VALUE"""),1.2624312624312626)</f>
        <v>1.262431262</v>
      </c>
      <c r="AB869" s="57">
        <f>IFERROR(__xludf.DUMMYFUNCTION("""COMPUTED_VALUE"""),2.72972972972973)</f>
        <v>2.72972973</v>
      </c>
      <c r="AC869" s="31">
        <f>IFERROR(__xludf.DUMMYFUNCTION("""COMPUTED_VALUE"""),373.66970866970865)</f>
        <v>373.6697087</v>
      </c>
      <c r="AD869" s="57">
        <f>IFERROR(__xludf.DUMMYFUNCTION("""COMPUTED_VALUE"""),0.8742443742443742)</f>
        <v>0.8742443742</v>
      </c>
      <c r="AE869" s="57">
        <f>IFERROR(__xludf.DUMMYFUNCTION("""COMPUTED_VALUE"""),0.6274618774618775)</f>
        <v>0.6274618775</v>
      </c>
      <c r="AF869" s="57">
        <f>IFERROR(__xludf.DUMMYFUNCTION("""COMPUTED_VALUE"""),1.4344214344214343)</f>
        <v>1.434421434</v>
      </c>
      <c r="AG869" s="57">
        <f>IFERROR(__xludf.DUMMYFUNCTION("""COMPUTED_VALUE"""),2.792714792714792)</f>
        <v>2.792714793</v>
      </c>
      <c r="AH869" s="57">
        <f>IFERROR(__xludf.DUMMYFUNCTION("""COMPUTED_VALUE"""),0.5057942766430111)</f>
        <v>0.5057942766</v>
      </c>
      <c r="AI869" s="57">
        <f>IFERROR(__xludf.DUMMYFUNCTION("""COMPUTED_VALUE"""),0.2859612339125198)</f>
        <v>0.2859612339</v>
      </c>
      <c r="AJ869" s="57">
        <f>IFERROR(__xludf.DUMMYFUNCTION("""COMPUTED_VALUE"""),0.39843058037448525)</f>
        <v>0.3984305804</v>
      </c>
      <c r="AK869" s="57">
        <f>IFERROR(__xludf.DUMMYFUNCTION("""COMPUTED_VALUE"""),0.5228588907014682)</f>
        <v>0.5228588907</v>
      </c>
      <c r="AL869" s="57">
        <f>IFERROR(__xludf.DUMMYFUNCTION("""COMPUTED_VALUE"""),0.2685558876103229)</f>
        <v>0.2685558876</v>
      </c>
      <c r="AM869" s="57">
        <f>IFERROR(__xludf.DUMMYFUNCTION("""COMPUTED_VALUE"""),1.4042647214472952)</f>
        <v>1.404264721</v>
      </c>
      <c r="AN869" s="57">
        <f>IFERROR(__xludf.DUMMYFUNCTION("""COMPUTED_VALUE"""),2.0841921119592874)</f>
        <v>2.084192112</v>
      </c>
      <c r="AO869" s="57">
        <f>IFERROR(__xludf.DUMMYFUNCTION("""COMPUTED_VALUE"""),1.7464464963028237)</f>
        <v>1.746446496</v>
      </c>
      <c r="AP869" s="35">
        <f>IFERROR(__xludf.DUMMYFUNCTION("""COMPUTED_VALUE"""),0.9241427247451344)</f>
        <v>0.9241427247</v>
      </c>
      <c r="AQ869" s="57">
        <f>IFERROR(__xludf.DUMMYFUNCTION("""COMPUTED_VALUE"""),1.679042904290429)</f>
        <v>1.679042904</v>
      </c>
      <c r="AR869" s="36" t="b">
        <f>IFERROR(__xludf.DUMMYFUNCTION("""COMPUTED_VALUE"""),TRUE)</f>
        <v>1</v>
      </c>
      <c r="AS869" s="57"/>
      <c r="AT869" s="37"/>
      <c r="AU869" s="30"/>
      <c r="AV869" s="30"/>
      <c r="AW869" s="30"/>
      <c r="AX869" s="30"/>
      <c r="AY869" s="30"/>
      <c r="AZ869" s="30"/>
    </row>
    <row r="870">
      <c r="A870" s="30"/>
      <c r="B870" s="30"/>
      <c r="C870" s="30"/>
      <c r="D870" s="31"/>
      <c r="E870" s="31"/>
      <c r="F870" s="31"/>
      <c r="G870" s="31"/>
      <c r="H870" s="31"/>
      <c r="I870" s="54"/>
      <c r="J870" s="55"/>
      <c r="K870" s="54"/>
      <c r="L870" s="56"/>
      <c r="M870" s="56"/>
      <c r="N870" s="31"/>
      <c r="O870" s="57"/>
      <c r="P870" s="57"/>
      <c r="Q870" s="57"/>
      <c r="R870" s="57"/>
      <c r="S870" s="31"/>
      <c r="T870" s="57"/>
      <c r="U870" s="57"/>
      <c r="V870" s="57"/>
      <c r="W870" s="57"/>
      <c r="X870" s="31"/>
      <c r="Y870" s="57"/>
      <c r="Z870" s="57"/>
      <c r="AA870" s="57"/>
      <c r="AB870" s="57"/>
      <c r="AC870" s="31"/>
      <c r="AD870" s="57"/>
      <c r="AE870" s="57"/>
      <c r="AF870" s="57"/>
      <c r="AG870" s="57"/>
      <c r="AH870" s="57"/>
      <c r="AI870" s="57"/>
      <c r="AJ870" s="57"/>
      <c r="AK870" s="57"/>
      <c r="AL870" s="57"/>
      <c r="AM870" s="57"/>
      <c r="AN870" s="57"/>
      <c r="AO870" s="57"/>
      <c r="AP870" s="35"/>
      <c r="AQ870" s="57"/>
      <c r="AR870" s="36"/>
      <c r="AS870" s="57"/>
      <c r="AT870" s="37"/>
      <c r="AU870" s="30"/>
      <c r="AV870" s="30"/>
      <c r="AW870" s="30"/>
      <c r="AX870" s="30"/>
      <c r="AY870" s="30"/>
      <c r="AZ870" s="30"/>
    </row>
    <row r="871">
      <c r="A871" s="30"/>
      <c r="B871" s="30"/>
      <c r="C871" s="30"/>
      <c r="D871" s="31"/>
      <c r="E871" s="31"/>
      <c r="F871" s="31"/>
      <c r="G871" s="31"/>
      <c r="H871" s="31"/>
      <c r="I871" s="54"/>
      <c r="J871" s="55"/>
      <c r="K871" s="54"/>
      <c r="L871" s="56"/>
      <c r="M871" s="56"/>
      <c r="N871" s="31"/>
      <c r="O871" s="57"/>
      <c r="P871" s="57"/>
      <c r="Q871" s="57"/>
      <c r="R871" s="57"/>
      <c r="S871" s="31"/>
      <c r="T871" s="57"/>
      <c r="U871" s="57"/>
      <c r="V871" s="57"/>
      <c r="W871" s="57"/>
      <c r="X871" s="31"/>
      <c r="Y871" s="57"/>
      <c r="Z871" s="57"/>
      <c r="AA871" s="57"/>
      <c r="AB871" s="57"/>
      <c r="AC871" s="31"/>
      <c r="AD871" s="57"/>
      <c r="AE871" s="57"/>
      <c r="AF871" s="57"/>
      <c r="AG871" s="57"/>
      <c r="AH871" s="57"/>
      <c r="AI871" s="57"/>
      <c r="AJ871" s="57"/>
      <c r="AK871" s="57"/>
      <c r="AL871" s="57"/>
      <c r="AM871" s="57"/>
      <c r="AN871" s="57"/>
      <c r="AO871" s="57"/>
      <c r="AP871" s="35"/>
      <c r="AQ871" s="57"/>
      <c r="AR871" s="36"/>
      <c r="AS871" s="57"/>
      <c r="AT871" s="37"/>
      <c r="AU871" s="30"/>
      <c r="AV871" s="30"/>
      <c r="AW871" s="30"/>
      <c r="AX871" s="30"/>
      <c r="AY871" s="30"/>
      <c r="AZ871" s="30"/>
    </row>
    <row r="872">
      <c r="A872" s="30"/>
      <c r="B872" s="30"/>
      <c r="C872" s="30"/>
      <c r="D872" s="31"/>
      <c r="E872" s="31"/>
      <c r="F872" s="31"/>
      <c r="G872" s="31"/>
      <c r="H872" s="31"/>
      <c r="I872" s="54"/>
      <c r="J872" s="55"/>
      <c r="K872" s="54"/>
      <c r="L872" s="56"/>
      <c r="M872" s="56"/>
      <c r="N872" s="31"/>
      <c r="O872" s="57"/>
      <c r="P872" s="57"/>
      <c r="Q872" s="57"/>
      <c r="R872" s="57"/>
      <c r="S872" s="31"/>
      <c r="T872" s="57"/>
      <c r="U872" s="57"/>
      <c r="V872" s="57"/>
      <c r="W872" s="57"/>
      <c r="X872" s="31"/>
      <c r="Y872" s="57"/>
      <c r="Z872" s="57"/>
      <c r="AA872" s="57"/>
      <c r="AB872" s="57"/>
      <c r="AC872" s="31"/>
      <c r="AD872" s="57"/>
      <c r="AE872" s="57"/>
      <c r="AF872" s="57"/>
      <c r="AG872" s="57"/>
      <c r="AH872" s="57"/>
      <c r="AI872" s="57"/>
      <c r="AJ872" s="57"/>
      <c r="AK872" s="57"/>
      <c r="AL872" s="57"/>
      <c r="AM872" s="57"/>
      <c r="AN872" s="57"/>
      <c r="AO872" s="57"/>
      <c r="AP872" s="35"/>
      <c r="AQ872" s="57"/>
      <c r="AR872" s="36"/>
      <c r="AS872" s="57"/>
      <c r="AT872" s="37"/>
      <c r="AU872" s="30"/>
      <c r="AV872" s="30"/>
      <c r="AW872" s="30"/>
      <c r="AX872" s="30"/>
      <c r="AY872" s="30"/>
      <c r="AZ872" s="30"/>
    </row>
    <row r="873">
      <c r="A873" s="30"/>
      <c r="B873" s="30"/>
      <c r="C873" s="30"/>
      <c r="D873" s="31"/>
      <c r="E873" s="31"/>
      <c r="F873" s="31"/>
      <c r="G873" s="31"/>
      <c r="H873" s="31"/>
      <c r="I873" s="54"/>
      <c r="J873" s="55"/>
      <c r="K873" s="54"/>
      <c r="L873" s="56"/>
      <c r="M873" s="56"/>
      <c r="N873" s="31"/>
      <c r="O873" s="57"/>
      <c r="P873" s="57"/>
      <c r="Q873" s="57"/>
      <c r="R873" s="57"/>
      <c r="S873" s="31"/>
      <c r="T873" s="57"/>
      <c r="U873" s="57"/>
      <c r="V873" s="57"/>
      <c r="W873" s="57"/>
      <c r="X873" s="31"/>
      <c r="Y873" s="57"/>
      <c r="Z873" s="57"/>
      <c r="AA873" s="57"/>
      <c r="AB873" s="57"/>
      <c r="AC873" s="31"/>
      <c r="AD873" s="57"/>
      <c r="AE873" s="57"/>
      <c r="AF873" s="57"/>
      <c r="AG873" s="57"/>
      <c r="AH873" s="57"/>
      <c r="AI873" s="57"/>
      <c r="AJ873" s="57"/>
      <c r="AK873" s="57"/>
      <c r="AL873" s="57"/>
      <c r="AM873" s="57"/>
      <c r="AN873" s="57"/>
      <c r="AO873" s="57"/>
      <c r="AP873" s="35"/>
      <c r="AQ873" s="57"/>
      <c r="AR873" s="36"/>
      <c r="AS873" s="57"/>
      <c r="AT873" s="37"/>
      <c r="AU873" s="30"/>
      <c r="AV873" s="30"/>
      <c r="AW873" s="30"/>
      <c r="AX873" s="30"/>
      <c r="AY873" s="30"/>
      <c r="AZ873" s="30"/>
    </row>
    <row r="874">
      <c r="A874" s="30"/>
      <c r="B874" s="30"/>
      <c r="C874" s="30"/>
      <c r="D874" s="31"/>
      <c r="E874" s="31"/>
      <c r="F874" s="31"/>
      <c r="G874" s="31"/>
      <c r="H874" s="31"/>
      <c r="I874" s="54"/>
      <c r="J874" s="55"/>
      <c r="K874" s="54"/>
      <c r="L874" s="56"/>
      <c r="M874" s="56"/>
      <c r="N874" s="31"/>
      <c r="O874" s="57"/>
      <c r="P874" s="57"/>
      <c r="Q874" s="57"/>
      <c r="R874" s="57"/>
      <c r="S874" s="31"/>
      <c r="T874" s="57"/>
      <c r="U874" s="57"/>
      <c r="V874" s="57"/>
      <c r="W874" s="57"/>
      <c r="X874" s="31"/>
      <c r="Y874" s="57"/>
      <c r="Z874" s="57"/>
      <c r="AA874" s="57"/>
      <c r="AB874" s="57"/>
      <c r="AC874" s="31"/>
      <c r="AD874" s="57"/>
      <c r="AE874" s="57"/>
      <c r="AF874" s="57"/>
      <c r="AG874" s="57"/>
      <c r="AH874" s="57"/>
      <c r="AI874" s="57"/>
      <c r="AJ874" s="57"/>
      <c r="AK874" s="57"/>
      <c r="AL874" s="57"/>
      <c r="AM874" s="57"/>
      <c r="AN874" s="57"/>
      <c r="AO874" s="57"/>
      <c r="AP874" s="35"/>
      <c r="AQ874" s="57"/>
      <c r="AR874" s="36"/>
      <c r="AS874" s="57"/>
      <c r="AT874" s="37"/>
      <c r="AU874" s="30"/>
      <c r="AV874" s="30"/>
      <c r="AW874" s="30"/>
      <c r="AX874" s="30"/>
      <c r="AY874" s="30"/>
      <c r="AZ874" s="30"/>
    </row>
    <row r="875">
      <c r="A875" s="30"/>
      <c r="B875" s="30"/>
      <c r="C875" s="30"/>
      <c r="D875" s="31"/>
      <c r="E875" s="31"/>
      <c r="F875" s="31"/>
      <c r="G875" s="31"/>
      <c r="H875" s="31"/>
      <c r="I875" s="54"/>
      <c r="J875" s="55"/>
      <c r="K875" s="54"/>
      <c r="L875" s="56"/>
      <c r="M875" s="56"/>
      <c r="N875" s="31"/>
      <c r="O875" s="57"/>
      <c r="P875" s="57"/>
      <c r="Q875" s="57"/>
      <c r="R875" s="57"/>
      <c r="S875" s="31"/>
      <c r="T875" s="57"/>
      <c r="U875" s="57"/>
      <c r="V875" s="57"/>
      <c r="W875" s="57"/>
      <c r="X875" s="31"/>
      <c r="Y875" s="57"/>
      <c r="Z875" s="57"/>
      <c r="AA875" s="57"/>
      <c r="AB875" s="57"/>
      <c r="AC875" s="31"/>
      <c r="AD875" s="57"/>
      <c r="AE875" s="57"/>
      <c r="AF875" s="57"/>
      <c r="AG875" s="57"/>
      <c r="AH875" s="57"/>
      <c r="AI875" s="57"/>
      <c r="AJ875" s="57"/>
      <c r="AK875" s="57"/>
      <c r="AL875" s="57"/>
      <c r="AM875" s="57"/>
      <c r="AN875" s="57"/>
      <c r="AO875" s="57"/>
      <c r="AP875" s="35"/>
      <c r="AQ875" s="57"/>
      <c r="AR875" s="36"/>
      <c r="AS875" s="57"/>
      <c r="AT875" s="37"/>
      <c r="AU875" s="30"/>
      <c r="AV875" s="30"/>
      <c r="AW875" s="30"/>
      <c r="AX875" s="30"/>
      <c r="AY875" s="30"/>
      <c r="AZ875" s="30"/>
    </row>
    <row r="876">
      <c r="A876" s="30"/>
      <c r="B876" s="30"/>
      <c r="C876" s="30"/>
      <c r="D876" s="31"/>
      <c r="E876" s="31"/>
      <c r="F876" s="31"/>
      <c r="G876" s="31"/>
      <c r="H876" s="31"/>
      <c r="I876" s="54"/>
      <c r="J876" s="55"/>
      <c r="K876" s="54"/>
      <c r="L876" s="56"/>
      <c r="M876" s="56"/>
      <c r="N876" s="31"/>
      <c r="O876" s="57"/>
      <c r="P876" s="57"/>
      <c r="Q876" s="57"/>
      <c r="R876" s="57"/>
      <c r="S876" s="31"/>
      <c r="T876" s="57"/>
      <c r="U876" s="57"/>
      <c r="V876" s="57"/>
      <c r="W876" s="57"/>
      <c r="X876" s="31"/>
      <c r="Y876" s="57"/>
      <c r="Z876" s="57"/>
      <c r="AA876" s="57"/>
      <c r="AB876" s="57"/>
      <c r="AC876" s="31"/>
      <c r="AD876" s="57"/>
      <c r="AE876" s="57"/>
      <c r="AF876" s="57"/>
      <c r="AG876" s="57"/>
      <c r="AH876" s="57"/>
      <c r="AI876" s="57"/>
      <c r="AJ876" s="57"/>
      <c r="AK876" s="57"/>
      <c r="AL876" s="57"/>
      <c r="AM876" s="57"/>
      <c r="AN876" s="57"/>
      <c r="AO876" s="57"/>
      <c r="AP876" s="35"/>
      <c r="AQ876" s="57"/>
      <c r="AR876" s="36"/>
      <c r="AS876" s="57"/>
      <c r="AT876" s="37"/>
      <c r="AU876" s="30"/>
      <c r="AV876" s="30"/>
      <c r="AW876" s="30"/>
      <c r="AX876" s="30"/>
      <c r="AY876" s="30"/>
      <c r="AZ876" s="30"/>
    </row>
    <row r="877">
      <c r="A877" s="30"/>
      <c r="B877" s="30"/>
      <c r="C877" s="30"/>
      <c r="D877" s="31"/>
      <c r="E877" s="31"/>
      <c r="F877" s="31"/>
      <c r="G877" s="31"/>
      <c r="H877" s="31"/>
      <c r="I877" s="54"/>
      <c r="J877" s="55"/>
      <c r="K877" s="54"/>
      <c r="L877" s="56"/>
      <c r="M877" s="56"/>
      <c r="N877" s="31"/>
      <c r="O877" s="57"/>
      <c r="P877" s="57"/>
      <c r="Q877" s="57"/>
      <c r="R877" s="57"/>
      <c r="S877" s="31"/>
      <c r="T877" s="57"/>
      <c r="U877" s="57"/>
      <c r="V877" s="57"/>
      <c r="W877" s="57"/>
      <c r="X877" s="31"/>
      <c r="Y877" s="57"/>
      <c r="Z877" s="57"/>
      <c r="AA877" s="57"/>
      <c r="AB877" s="57"/>
      <c r="AC877" s="31"/>
      <c r="AD877" s="57"/>
      <c r="AE877" s="57"/>
      <c r="AF877" s="57"/>
      <c r="AG877" s="57"/>
      <c r="AH877" s="57"/>
      <c r="AI877" s="57"/>
      <c r="AJ877" s="57"/>
      <c r="AK877" s="57"/>
      <c r="AL877" s="57"/>
      <c r="AM877" s="57"/>
      <c r="AN877" s="57"/>
      <c r="AO877" s="57"/>
      <c r="AP877" s="35"/>
      <c r="AQ877" s="57"/>
      <c r="AR877" s="36"/>
      <c r="AS877" s="57"/>
      <c r="AT877" s="37"/>
      <c r="AU877" s="30"/>
      <c r="AV877" s="30"/>
      <c r="AW877" s="30"/>
      <c r="AX877" s="30"/>
      <c r="AY877" s="30"/>
      <c r="AZ877" s="30"/>
    </row>
    <row r="878">
      <c r="A878" s="30"/>
      <c r="B878" s="30"/>
      <c r="C878" s="30"/>
      <c r="D878" s="31"/>
      <c r="E878" s="31"/>
      <c r="F878" s="31"/>
      <c r="G878" s="31"/>
      <c r="H878" s="31"/>
      <c r="I878" s="54"/>
      <c r="J878" s="55"/>
      <c r="K878" s="54"/>
      <c r="L878" s="56"/>
      <c r="M878" s="56"/>
      <c r="N878" s="31"/>
      <c r="O878" s="57"/>
      <c r="P878" s="57"/>
      <c r="Q878" s="57"/>
      <c r="R878" s="57"/>
      <c r="S878" s="31"/>
      <c r="T878" s="57"/>
      <c r="U878" s="57"/>
      <c r="V878" s="57"/>
      <c r="W878" s="57"/>
      <c r="X878" s="31"/>
      <c r="Y878" s="57"/>
      <c r="Z878" s="57"/>
      <c r="AA878" s="57"/>
      <c r="AB878" s="57"/>
      <c r="AC878" s="31"/>
      <c r="AD878" s="57"/>
      <c r="AE878" s="57"/>
      <c r="AF878" s="57"/>
      <c r="AG878" s="57"/>
      <c r="AH878" s="57"/>
      <c r="AI878" s="57"/>
      <c r="AJ878" s="57"/>
      <c r="AK878" s="57"/>
      <c r="AL878" s="57"/>
      <c r="AM878" s="57"/>
      <c r="AN878" s="57"/>
      <c r="AO878" s="57"/>
      <c r="AP878" s="35"/>
      <c r="AQ878" s="57"/>
      <c r="AR878" s="36"/>
      <c r="AS878" s="57"/>
      <c r="AT878" s="37"/>
      <c r="AU878" s="30"/>
      <c r="AV878" s="30"/>
      <c r="AW878" s="30"/>
      <c r="AX878" s="30"/>
      <c r="AY878" s="30"/>
      <c r="AZ878" s="30"/>
    </row>
    <row r="879">
      <c r="A879" s="30"/>
      <c r="B879" s="30"/>
      <c r="C879" s="30"/>
      <c r="D879" s="31"/>
      <c r="E879" s="31"/>
      <c r="F879" s="31"/>
      <c r="G879" s="31"/>
      <c r="H879" s="31"/>
      <c r="I879" s="54"/>
      <c r="J879" s="55"/>
      <c r="K879" s="54"/>
      <c r="L879" s="56"/>
      <c r="M879" s="56"/>
      <c r="N879" s="31"/>
      <c r="O879" s="57"/>
      <c r="P879" s="57"/>
      <c r="Q879" s="57"/>
      <c r="R879" s="57"/>
      <c r="S879" s="31"/>
      <c r="T879" s="57"/>
      <c r="U879" s="57"/>
      <c r="V879" s="57"/>
      <c r="W879" s="57"/>
      <c r="X879" s="31"/>
      <c r="Y879" s="57"/>
      <c r="Z879" s="57"/>
      <c r="AA879" s="57"/>
      <c r="AB879" s="57"/>
      <c r="AC879" s="31"/>
      <c r="AD879" s="57"/>
      <c r="AE879" s="57"/>
      <c r="AF879" s="57"/>
      <c r="AG879" s="57"/>
      <c r="AH879" s="57"/>
      <c r="AI879" s="57"/>
      <c r="AJ879" s="57"/>
      <c r="AK879" s="57"/>
      <c r="AL879" s="57"/>
      <c r="AM879" s="57"/>
      <c r="AN879" s="57"/>
      <c r="AO879" s="57"/>
      <c r="AP879" s="35"/>
      <c r="AQ879" s="57"/>
      <c r="AR879" s="36"/>
      <c r="AS879" s="57"/>
      <c r="AT879" s="37"/>
      <c r="AU879" s="30"/>
      <c r="AV879" s="30"/>
      <c r="AW879" s="30"/>
      <c r="AX879" s="30"/>
      <c r="AY879" s="30"/>
      <c r="AZ879" s="30"/>
    </row>
    <row r="880">
      <c r="A880" s="30"/>
      <c r="B880" s="30"/>
      <c r="C880" s="30"/>
      <c r="D880" s="31"/>
      <c r="E880" s="31"/>
      <c r="F880" s="31"/>
      <c r="G880" s="31"/>
      <c r="H880" s="31"/>
      <c r="I880" s="54"/>
      <c r="J880" s="55"/>
      <c r="K880" s="54"/>
      <c r="L880" s="56"/>
      <c r="M880" s="56"/>
      <c r="N880" s="31"/>
      <c r="O880" s="57"/>
      <c r="P880" s="57"/>
      <c r="Q880" s="57"/>
      <c r="R880" s="57"/>
      <c r="S880" s="31"/>
      <c r="T880" s="57"/>
      <c r="U880" s="57"/>
      <c r="V880" s="57"/>
      <c r="W880" s="57"/>
      <c r="X880" s="31"/>
      <c r="Y880" s="57"/>
      <c r="Z880" s="57"/>
      <c r="AA880" s="57"/>
      <c r="AB880" s="57"/>
      <c r="AC880" s="31"/>
      <c r="AD880" s="57"/>
      <c r="AE880" s="57"/>
      <c r="AF880" s="57"/>
      <c r="AG880" s="57"/>
      <c r="AH880" s="57"/>
      <c r="AI880" s="57"/>
      <c r="AJ880" s="57"/>
      <c r="AK880" s="57"/>
      <c r="AL880" s="57"/>
      <c r="AM880" s="57"/>
      <c r="AN880" s="57"/>
      <c r="AO880" s="57"/>
      <c r="AP880" s="35"/>
      <c r="AQ880" s="57"/>
      <c r="AR880" s="36"/>
      <c r="AS880" s="57"/>
      <c r="AT880" s="37"/>
      <c r="AU880" s="30"/>
      <c r="AV880" s="30"/>
      <c r="AW880" s="30"/>
      <c r="AX880" s="30"/>
      <c r="AY880" s="30"/>
      <c r="AZ880" s="30"/>
    </row>
    <row r="881">
      <c r="A881" s="30"/>
      <c r="B881" s="30"/>
      <c r="C881" s="30"/>
      <c r="D881" s="31"/>
      <c r="E881" s="31"/>
      <c r="F881" s="31"/>
      <c r="G881" s="31"/>
      <c r="H881" s="31"/>
      <c r="I881" s="54"/>
      <c r="J881" s="55"/>
      <c r="K881" s="54"/>
      <c r="L881" s="56"/>
      <c r="M881" s="56"/>
      <c r="N881" s="31"/>
      <c r="O881" s="57"/>
      <c r="P881" s="57"/>
      <c r="Q881" s="57"/>
      <c r="R881" s="57"/>
      <c r="S881" s="31"/>
      <c r="T881" s="57"/>
      <c r="U881" s="57"/>
      <c r="V881" s="57"/>
      <c r="W881" s="57"/>
      <c r="X881" s="31"/>
      <c r="Y881" s="57"/>
      <c r="Z881" s="57"/>
      <c r="AA881" s="57"/>
      <c r="AB881" s="57"/>
      <c r="AC881" s="31"/>
      <c r="AD881" s="57"/>
      <c r="AE881" s="57"/>
      <c r="AF881" s="57"/>
      <c r="AG881" s="57"/>
      <c r="AH881" s="57"/>
      <c r="AI881" s="57"/>
      <c r="AJ881" s="57"/>
      <c r="AK881" s="57"/>
      <c r="AL881" s="57"/>
      <c r="AM881" s="57"/>
      <c r="AN881" s="57"/>
      <c r="AO881" s="57"/>
      <c r="AP881" s="35"/>
      <c r="AQ881" s="57"/>
      <c r="AR881" s="36"/>
      <c r="AS881" s="57"/>
      <c r="AT881" s="37"/>
      <c r="AU881" s="30"/>
      <c r="AV881" s="30"/>
      <c r="AW881" s="30"/>
      <c r="AX881" s="30"/>
      <c r="AY881" s="30"/>
      <c r="AZ881" s="30"/>
    </row>
    <row r="882">
      <c r="A882" s="30"/>
      <c r="B882" s="30"/>
      <c r="C882" s="30"/>
      <c r="D882" s="31"/>
      <c r="E882" s="31"/>
      <c r="F882" s="31"/>
      <c r="G882" s="31"/>
      <c r="H882" s="31"/>
      <c r="I882" s="54"/>
      <c r="J882" s="55"/>
      <c r="K882" s="54"/>
      <c r="L882" s="56"/>
      <c r="M882" s="56"/>
      <c r="N882" s="31"/>
      <c r="O882" s="57"/>
      <c r="P882" s="57"/>
      <c r="Q882" s="57"/>
      <c r="R882" s="57"/>
      <c r="S882" s="31"/>
      <c r="T882" s="57"/>
      <c r="U882" s="57"/>
      <c r="V882" s="57"/>
      <c r="W882" s="57"/>
      <c r="X882" s="31"/>
      <c r="Y882" s="57"/>
      <c r="Z882" s="57"/>
      <c r="AA882" s="57"/>
      <c r="AB882" s="57"/>
      <c r="AC882" s="31"/>
      <c r="AD882" s="57"/>
      <c r="AE882" s="57"/>
      <c r="AF882" s="57"/>
      <c r="AG882" s="57"/>
      <c r="AH882" s="57"/>
      <c r="AI882" s="57"/>
      <c r="AJ882" s="57"/>
      <c r="AK882" s="57"/>
      <c r="AL882" s="57"/>
      <c r="AM882" s="57"/>
      <c r="AN882" s="57"/>
      <c r="AO882" s="57"/>
      <c r="AP882" s="35"/>
      <c r="AQ882" s="57"/>
      <c r="AR882" s="36"/>
      <c r="AS882" s="57"/>
      <c r="AT882" s="37"/>
      <c r="AU882" s="30"/>
      <c r="AV882" s="30"/>
      <c r="AW882" s="30"/>
      <c r="AX882" s="30"/>
      <c r="AY882" s="30"/>
      <c r="AZ882" s="30"/>
    </row>
    <row r="883">
      <c r="A883" s="30"/>
      <c r="B883" s="30"/>
      <c r="C883" s="30"/>
      <c r="D883" s="31"/>
      <c r="E883" s="31"/>
      <c r="F883" s="31"/>
      <c r="G883" s="31"/>
      <c r="H883" s="31"/>
      <c r="I883" s="54"/>
      <c r="J883" s="55"/>
      <c r="K883" s="54"/>
      <c r="L883" s="56"/>
      <c r="M883" s="56"/>
      <c r="N883" s="31"/>
      <c r="O883" s="57"/>
      <c r="P883" s="57"/>
      <c r="Q883" s="57"/>
      <c r="R883" s="57"/>
      <c r="S883" s="31"/>
      <c r="T883" s="57"/>
      <c r="U883" s="57"/>
      <c r="V883" s="57"/>
      <c r="W883" s="57"/>
      <c r="X883" s="31"/>
      <c r="Y883" s="57"/>
      <c r="Z883" s="57"/>
      <c r="AA883" s="57"/>
      <c r="AB883" s="57"/>
      <c r="AC883" s="31"/>
      <c r="AD883" s="57"/>
      <c r="AE883" s="57"/>
      <c r="AF883" s="57"/>
      <c r="AG883" s="57"/>
      <c r="AH883" s="57"/>
      <c r="AI883" s="57"/>
      <c r="AJ883" s="57"/>
      <c r="AK883" s="57"/>
      <c r="AL883" s="57"/>
      <c r="AM883" s="57"/>
      <c r="AN883" s="57"/>
      <c r="AO883" s="57"/>
      <c r="AP883" s="35"/>
      <c r="AQ883" s="57"/>
      <c r="AR883" s="36"/>
      <c r="AS883" s="57"/>
      <c r="AT883" s="37"/>
      <c r="AU883" s="30"/>
      <c r="AV883" s="30"/>
      <c r="AW883" s="30"/>
      <c r="AX883" s="30"/>
      <c r="AY883" s="30"/>
      <c r="AZ883" s="30"/>
    </row>
    <row r="884">
      <c r="A884" s="30"/>
      <c r="B884" s="30"/>
      <c r="C884" s="30"/>
      <c r="D884" s="31"/>
      <c r="E884" s="31"/>
      <c r="F884" s="31"/>
      <c r="G884" s="31"/>
      <c r="H884" s="31"/>
      <c r="I884" s="54"/>
      <c r="J884" s="55"/>
      <c r="K884" s="54"/>
      <c r="L884" s="56"/>
      <c r="M884" s="56"/>
      <c r="N884" s="31"/>
      <c r="O884" s="57"/>
      <c r="P884" s="57"/>
      <c r="Q884" s="57"/>
      <c r="R884" s="57"/>
      <c r="S884" s="31"/>
      <c r="T884" s="57"/>
      <c r="U884" s="57"/>
      <c r="V884" s="57"/>
      <c r="W884" s="57"/>
      <c r="X884" s="31"/>
      <c r="Y884" s="57"/>
      <c r="Z884" s="57"/>
      <c r="AA884" s="57"/>
      <c r="AB884" s="57"/>
      <c r="AC884" s="31"/>
      <c r="AD884" s="57"/>
      <c r="AE884" s="57"/>
      <c r="AF884" s="57"/>
      <c r="AG884" s="57"/>
      <c r="AH884" s="57"/>
      <c r="AI884" s="57"/>
      <c r="AJ884" s="57"/>
      <c r="AK884" s="57"/>
      <c r="AL884" s="57"/>
      <c r="AM884" s="57"/>
      <c r="AN884" s="57"/>
      <c r="AO884" s="57"/>
      <c r="AP884" s="35"/>
      <c r="AQ884" s="57"/>
      <c r="AR884" s="36"/>
      <c r="AS884" s="57"/>
      <c r="AT884" s="37"/>
      <c r="AU884" s="30"/>
      <c r="AV884" s="30"/>
      <c r="AW884" s="30"/>
      <c r="AX884" s="30"/>
      <c r="AY884" s="30"/>
      <c r="AZ884" s="30"/>
    </row>
    <row r="885">
      <c r="A885" s="30"/>
      <c r="B885" s="30"/>
      <c r="C885" s="30"/>
      <c r="D885" s="31"/>
      <c r="E885" s="31"/>
      <c r="F885" s="31"/>
      <c r="G885" s="31"/>
      <c r="H885" s="31"/>
      <c r="I885" s="54"/>
      <c r="J885" s="55"/>
      <c r="K885" s="54"/>
      <c r="L885" s="56"/>
      <c r="M885" s="56"/>
      <c r="N885" s="31"/>
      <c r="O885" s="57"/>
      <c r="P885" s="57"/>
      <c r="Q885" s="57"/>
      <c r="R885" s="57"/>
      <c r="S885" s="31"/>
      <c r="T885" s="57"/>
      <c r="U885" s="57"/>
      <c r="V885" s="57"/>
      <c r="W885" s="57"/>
      <c r="X885" s="31"/>
      <c r="Y885" s="57"/>
      <c r="Z885" s="57"/>
      <c r="AA885" s="57"/>
      <c r="AB885" s="57"/>
      <c r="AC885" s="31"/>
      <c r="AD885" s="57"/>
      <c r="AE885" s="57"/>
      <c r="AF885" s="57"/>
      <c r="AG885" s="57"/>
      <c r="AH885" s="57"/>
      <c r="AI885" s="57"/>
      <c r="AJ885" s="57"/>
      <c r="AK885" s="57"/>
      <c r="AL885" s="57"/>
      <c r="AM885" s="57"/>
      <c r="AN885" s="57"/>
      <c r="AO885" s="57"/>
      <c r="AP885" s="35"/>
      <c r="AQ885" s="57"/>
      <c r="AR885" s="36"/>
      <c r="AS885" s="57"/>
      <c r="AT885" s="37"/>
      <c r="AU885" s="30"/>
      <c r="AV885" s="30"/>
      <c r="AW885" s="30"/>
      <c r="AX885" s="30"/>
      <c r="AY885" s="30"/>
      <c r="AZ885" s="30"/>
    </row>
    <row r="886">
      <c r="A886" s="30"/>
      <c r="B886" s="30"/>
      <c r="C886" s="30"/>
      <c r="D886" s="31"/>
      <c r="E886" s="31"/>
      <c r="F886" s="31"/>
      <c r="G886" s="31"/>
      <c r="H886" s="31"/>
      <c r="I886" s="54"/>
      <c r="J886" s="55"/>
      <c r="K886" s="54"/>
      <c r="L886" s="56"/>
      <c r="M886" s="56"/>
      <c r="N886" s="31"/>
      <c r="O886" s="57"/>
      <c r="P886" s="57"/>
      <c r="Q886" s="57"/>
      <c r="R886" s="57"/>
      <c r="S886" s="31"/>
      <c r="T886" s="57"/>
      <c r="U886" s="57"/>
      <c r="V886" s="57"/>
      <c r="W886" s="57"/>
      <c r="X886" s="31"/>
      <c r="Y886" s="57"/>
      <c r="Z886" s="57"/>
      <c r="AA886" s="57"/>
      <c r="AB886" s="57"/>
      <c r="AC886" s="31"/>
      <c r="AD886" s="57"/>
      <c r="AE886" s="57"/>
      <c r="AF886" s="57"/>
      <c r="AG886" s="57"/>
      <c r="AH886" s="57"/>
      <c r="AI886" s="57"/>
      <c r="AJ886" s="57"/>
      <c r="AK886" s="57"/>
      <c r="AL886" s="57"/>
      <c r="AM886" s="57"/>
      <c r="AN886" s="57"/>
      <c r="AO886" s="57"/>
      <c r="AP886" s="35"/>
      <c r="AQ886" s="57"/>
      <c r="AR886" s="36"/>
      <c r="AS886" s="57"/>
      <c r="AT886" s="37"/>
      <c r="AU886" s="30"/>
      <c r="AV886" s="30"/>
      <c r="AW886" s="30"/>
      <c r="AX886" s="30"/>
      <c r="AY886" s="30"/>
      <c r="AZ886" s="30"/>
    </row>
    <row r="887">
      <c r="A887" s="30"/>
      <c r="B887" s="30"/>
      <c r="C887" s="30"/>
      <c r="D887" s="31"/>
      <c r="E887" s="31"/>
      <c r="F887" s="31"/>
      <c r="G887" s="31"/>
      <c r="H887" s="31"/>
      <c r="I887" s="54"/>
      <c r="J887" s="55"/>
      <c r="K887" s="54"/>
      <c r="L887" s="56"/>
      <c r="M887" s="56"/>
      <c r="N887" s="31"/>
      <c r="O887" s="57"/>
      <c r="P887" s="57"/>
      <c r="Q887" s="57"/>
      <c r="R887" s="57"/>
      <c r="S887" s="31"/>
      <c r="T887" s="57"/>
      <c r="U887" s="57"/>
      <c r="V887" s="57"/>
      <c r="W887" s="57"/>
      <c r="X887" s="31"/>
      <c r="Y887" s="57"/>
      <c r="Z887" s="57"/>
      <c r="AA887" s="57"/>
      <c r="AB887" s="57"/>
      <c r="AC887" s="31"/>
      <c r="AD887" s="57"/>
      <c r="AE887" s="57"/>
      <c r="AF887" s="57"/>
      <c r="AG887" s="57"/>
      <c r="AH887" s="57"/>
      <c r="AI887" s="57"/>
      <c r="AJ887" s="57"/>
      <c r="AK887" s="57"/>
      <c r="AL887" s="57"/>
      <c r="AM887" s="57"/>
      <c r="AN887" s="57"/>
      <c r="AO887" s="57"/>
      <c r="AP887" s="35"/>
      <c r="AQ887" s="57"/>
      <c r="AR887" s="36"/>
      <c r="AS887" s="57"/>
      <c r="AT887" s="37"/>
      <c r="AU887" s="30"/>
      <c r="AV887" s="30"/>
      <c r="AW887" s="30"/>
      <c r="AX887" s="30"/>
      <c r="AY887" s="30"/>
      <c r="AZ887" s="30"/>
    </row>
    <row r="888">
      <c r="A888" s="30"/>
      <c r="B888" s="30"/>
      <c r="C888" s="30"/>
      <c r="D888" s="31"/>
      <c r="E888" s="31"/>
      <c r="F888" s="31"/>
      <c r="G888" s="31"/>
      <c r="H888" s="31"/>
      <c r="I888" s="54"/>
      <c r="J888" s="55"/>
      <c r="K888" s="54"/>
      <c r="L888" s="56"/>
      <c r="M888" s="56"/>
      <c r="N888" s="31"/>
      <c r="O888" s="57"/>
      <c r="P888" s="57"/>
      <c r="Q888" s="57"/>
      <c r="R888" s="57"/>
      <c r="S888" s="31"/>
      <c r="T888" s="57"/>
      <c r="U888" s="57"/>
      <c r="V888" s="57"/>
      <c r="W888" s="57"/>
      <c r="X888" s="31"/>
      <c r="Y888" s="57"/>
      <c r="Z888" s="57"/>
      <c r="AA888" s="57"/>
      <c r="AB888" s="57"/>
      <c r="AC888" s="31"/>
      <c r="AD888" s="57"/>
      <c r="AE888" s="57"/>
      <c r="AF888" s="57"/>
      <c r="AG888" s="57"/>
      <c r="AH888" s="57"/>
      <c r="AI888" s="57"/>
      <c r="AJ888" s="57"/>
      <c r="AK888" s="57"/>
      <c r="AL888" s="57"/>
      <c r="AM888" s="57"/>
      <c r="AN888" s="57"/>
      <c r="AO888" s="57"/>
      <c r="AP888" s="35"/>
      <c r="AQ888" s="57"/>
      <c r="AR888" s="36"/>
      <c r="AS888" s="57"/>
      <c r="AT888" s="37"/>
      <c r="AU888" s="30"/>
      <c r="AV888" s="30"/>
      <c r="AW888" s="30"/>
      <c r="AX888" s="30"/>
      <c r="AY888" s="30"/>
      <c r="AZ888" s="30"/>
    </row>
    <row r="889">
      <c r="A889" s="30"/>
      <c r="B889" s="30"/>
      <c r="C889" s="30"/>
      <c r="D889" s="31"/>
      <c r="E889" s="31"/>
      <c r="F889" s="31"/>
      <c r="G889" s="31"/>
      <c r="H889" s="31"/>
      <c r="I889" s="54"/>
      <c r="J889" s="55"/>
      <c r="K889" s="54"/>
      <c r="L889" s="56"/>
      <c r="M889" s="56"/>
      <c r="N889" s="31"/>
      <c r="O889" s="57"/>
      <c r="P889" s="57"/>
      <c r="Q889" s="57"/>
      <c r="R889" s="57"/>
      <c r="S889" s="31"/>
      <c r="T889" s="57"/>
      <c r="U889" s="57"/>
      <c r="V889" s="57"/>
      <c r="W889" s="57"/>
      <c r="X889" s="31"/>
      <c r="Y889" s="57"/>
      <c r="Z889" s="57"/>
      <c r="AA889" s="57"/>
      <c r="AB889" s="57"/>
      <c r="AC889" s="31"/>
      <c r="AD889" s="57"/>
      <c r="AE889" s="57"/>
      <c r="AF889" s="57"/>
      <c r="AG889" s="57"/>
      <c r="AH889" s="57"/>
      <c r="AI889" s="57"/>
      <c r="AJ889" s="57"/>
      <c r="AK889" s="57"/>
      <c r="AL889" s="57"/>
      <c r="AM889" s="57"/>
      <c r="AN889" s="57"/>
      <c r="AO889" s="57"/>
      <c r="AP889" s="35"/>
      <c r="AQ889" s="57"/>
      <c r="AR889" s="36"/>
      <c r="AS889" s="57"/>
      <c r="AT889" s="37"/>
      <c r="AU889" s="30"/>
      <c r="AV889" s="30"/>
      <c r="AW889" s="30"/>
      <c r="AX889" s="30"/>
      <c r="AY889" s="30"/>
      <c r="AZ889" s="30"/>
    </row>
    <row r="890">
      <c r="A890" s="30"/>
      <c r="B890" s="30"/>
      <c r="C890" s="30"/>
      <c r="D890" s="31"/>
      <c r="E890" s="31"/>
      <c r="F890" s="31"/>
      <c r="G890" s="31"/>
      <c r="H890" s="31"/>
      <c r="I890" s="54"/>
      <c r="J890" s="55"/>
      <c r="K890" s="54"/>
      <c r="L890" s="56"/>
      <c r="M890" s="56"/>
      <c r="N890" s="31"/>
      <c r="O890" s="57"/>
      <c r="P890" s="57"/>
      <c r="Q890" s="57"/>
      <c r="R890" s="57"/>
      <c r="S890" s="31"/>
      <c r="T890" s="57"/>
      <c r="U890" s="57"/>
      <c r="V890" s="57"/>
      <c r="W890" s="57"/>
      <c r="X890" s="31"/>
      <c r="Y890" s="57"/>
      <c r="Z890" s="57"/>
      <c r="AA890" s="57"/>
      <c r="AB890" s="57"/>
      <c r="AC890" s="31"/>
      <c r="AD890" s="57"/>
      <c r="AE890" s="57"/>
      <c r="AF890" s="57"/>
      <c r="AG890" s="57"/>
      <c r="AH890" s="57"/>
      <c r="AI890" s="57"/>
      <c r="AJ890" s="57"/>
      <c r="AK890" s="57"/>
      <c r="AL890" s="57"/>
      <c r="AM890" s="57"/>
      <c r="AN890" s="57"/>
      <c r="AO890" s="57"/>
      <c r="AP890" s="35"/>
      <c r="AQ890" s="57"/>
      <c r="AR890" s="36"/>
      <c r="AS890" s="57"/>
      <c r="AT890" s="37"/>
      <c r="AU890" s="30"/>
      <c r="AV890" s="30"/>
      <c r="AW890" s="30"/>
      <c r="AX890" s="30"/>
      <c r="AY890" s="30"/>
      <c r="AZ890" s="30"/>
    </row>
    <row r="891">
      <c r="A891" s="30"/>
      <c r="B891" s="30"/>
      <c r="C891" s="30"/>
      <c r="D891" s="31"/>
      <c r="E891" s="31"/>
      <c r="F891" s="31"/>
      <c r="G891" s="31"/>
      <c r="H891" s="31"/>
      <c r="I891" s="54"/>
      <c r="J891" s="55"/>
      <c r="K891" s="54"/>
      <c r="L891" s="56"/>
      <c r="M891" s="56"/>
      <c r="N891" s="31"/>
      <c r="O891" s="57"/>
      <c r="P891" s="57"/>
      <c r="Q891" s="57"/>
      <c r="R891" s="57"/>
      <c r="S891" s="31"/>
      <c r="T891" s="57"/>
      <c r="U891" s="57"/>
      <c r="V891" s="57"/>
      <c r="W891" s="57"/>
      <c r="X891" s="31"/>
      <c r="Y891" s="57"/>
      <c r="Z891" s="57"/>
      <c r="AA891" s="57"/>
      <c r="AB891" s="57"/>
      <c r="AC891" s="31"/>
      <c r="AD891" s="57"/>
      <c r="AE891" s="57"/>
      <c r="AF891" s="57"/>
      <c r="AG891" s="57"/>
      <c r="AH891" s="57"/>
      <c r="AI891" s="57"/>
      <c r="AJ891" s="57"/>
      <c r="AK891" s="57"/>
      <c r="AL891" s="57"/>
      <c r="AM891" s="57"/>
      <c r="AN891" s="57"/>
      <c r="AO891" s="57"/>
      <c r="AP891" s="35"/>
      <c r="AQ891" s="57"/>
      <c r="AR891" s="36"/>
      <c r="AS891" s="57"/>
      <c r="AT891" s="37"/>
      <c r="AU891" s="30"/>
      <c r="AV891" s="30"/>
      <c r="AW891" s="30"/>
      <c r="AX891" s="30"/>
      <c r="AY891" s="30"/>
      <c r="AZ891" s="30"/>
    </row>
    <row r="892">
      <c r="A892" s="30"/>
      <c r="B892" s="30"/>
      <c r="C892" s="30"/>
      <c r="D892" s="31"/>
      <c r="E892" s="31"/>
      <c r="F892" s="31"/>
      <c r="G892" s="31"/>
      <c r="H892" s="31"/>
      <c r="I892" s="54"/>
      <c r="J892" s="55"/>
      <c r="K892" s="54"/>
      <c r="L892" s="56"/>
      <c r="M892" s="56"/>
      <c r="N892" s="31"/>
      <c r="O892" s="57"/>
      <c r="P892" s="57"/>
      <c r="Q892" s="57"/>
      <c r="R892" s="57"/>
      <c r="S892" s="31"/>
      <c r="T892" s="57"/>
      <c r="U892" s="57"/>
      <c r="V892" s="57"/>
      <c r="W892" s="57"/>
      <c r="X892" s="31"/>
      <c r="Y892" s="57"/>
      <c r="Z892" s="57"/>
      <c r="AA892" s="57"/>
      <c r="AB892" s="57"/>
      <c r="AC892" s="31"/>
      <c r="AD892" s="57"/>
      <c r="AE892" s="57"/>
      <c r="AF892" s="57"/>
      <c r="AG892" s="57"/>
      <c r="AH892" s="57"/>
      <c r="AI892" s="57"/>
      <c r="AJ892" s="57"/>
      <c r="AK892" s="57"/>
      <c r="AL892" s="57"/>
      <c r="AM892" s="57"/>
      <c r="AN892" s="57"/>
      <c r="AO892" s="57"/>
      <c r="AP892" s="35"/>
      <c r="AQ892" s="57"/>
      <c r="AR892" s="36"/>
      <c r="AS892" s="57"/>
      <c r="AT892" s="37"/>
      <c r="AU892" s="30"/>
      <c r="AV892" s="30"/>
      <c r="AW892" s="30"/>
      <c r="AX892" s="30"/>
      <c r="AY892" s="30"/>
      <c r="AZ892" s="30"/>
    </row>
    <row r="893">
      <c r="A893" s="30"/>
      <c r="B893" s="30"/>
      <c r="C893" s="30"/>
      <c r="D893" s="31"/>
      <c r="E893" s="31"/>
      <c r="F893" s="31"/>
      <c r="G893" s="31"/>
      <c r="H893" s="31"/>
      <c r="I893" s="54"/>
      <c r="J893" s="55"/>
      <c r="K893" s="54"/>
      <c r="L893" s="56"/>
      <c r="M893" s="56"/>
      <c r="N893" s="31"/>
      <c r="O893" s="57"/>
      <c r="P893" s="57"/>
      <c r="Q893" s="57"/>
      <c r="R893" s="57"/>
      <c r="S893" s="31"/>
      <c r="T893" s="57"/>
      <c r="U893" s="57"/>
      <c r="V893" s="57"/>
      <c r="W893" s="57"/>
      <c r="X893" s="31"/>
      <c r="Y893" s="57"/>
      <c r="Z893" s="57"/>
      <c r="AA893" s="57"/>
      <c r="AB893" s="57"/>
      <c r="AC893" s="31"/>
      <c r="AD893" s="57"/>
      <c r="AE893" s="57"/>
      <c r="AF893" s="57"/>
      <c r="AG893" s="57"/>
      <c r="AH893" s="57"/>
      <c r="AI893" s="57"/>
      <c r="AJ893" s="57"/>
      <c r="AK893" s="57"/>
      <c r="AL893" s="57"/>
      <c r="AM893" s="57"/>
      <c r="AN893" s="57"/>
      <c r="AO893" s="57"/>
      <c r="AP893" s="35"/>
      <c r="AQ893" s="57"/>
      <c r="AR893" s="36"/>
      <c r="AS893" s="57"/>
      <c r="AT893" s="37"/>
      <c r="AU893" s="30"/>
      <c r="AV893" s="30"/>
      <c r="AW893" s="30"/>
      <c r="AX893" s="30"/>
      <c r="AY893" s="30"/>
      <c r="AZ893" s="30"/>
    </row>
    <row r="894">
      <c r="A894" s="30"/>
      <c r="B894" s="30"/>
      <c r="C894" s="30"/>
      <c r="D894" s="31"/>
      <c r="E894" s="31"/>
      <c r="F894" s="31"/>
      <c r="G894" s="31"/>
      <c r="H894" s="31"/>
      <c r="I894" s="54"/>
      <c r="J894" s="55"/>
      <c r="K894" s="54"/>
      <c r="L894" s="56"/>
      <c r="M894" s="56"/>
      <c r="N894" s="31"/>
      <c r="O894" s="57"/>
      <c r="P894" s="57"/>
      <c r="Q894" s="57"/>
      <c r="R894" s="57"/>
      <c r="S894" s="31"/>
      <c r="T894" s="57"/>
      <c r="U894" s="57"/>
      <c r="V894" s="57"/>
      <c r="W894" s="57"/>
      <c r="X894" s="31"/>
      <c r="Y894" s="57"/>
      <c r="Z894" s="57"/>
      <c r="AA894" s="57"/>
      <c r="AB894" s="57"/>
      <c r="AC894" s="31"/>
      <c r="AD894" s="57"/>
      <c r="AE894" s="57"/>
      <c r="AF894" s="57"/>
      <c r="AG894" s="57"/>
      <c r="AH894" s="57"/>
      <c r="AI894" s="57"/>
      <c r="AJ894" s="57"/>
      <c r="AK894" s="57"/>
      <c r="AL894" s="57"/>
      <c r="AM894" s="57"/>
      <c r="AN894" s="57"/>
      <c r="AO894" s="57"/>
      <c r="AP894" s="35"/>
      <c r="AQ894" s="57"/>
      <c r="AR894" s="36"/>
      <c r="AS894" s="57"/>
      <c r="AT894" s="37"/>
      <c r="AU894" s="30"/>
      <c r="AV894" s="30"/>
      <c r="AW894" s="30"/>
      <c r="AX894" s="30"/>
      <c r="AY894" s="30"/>
      <c r="AZ894" s="30"/>
    </row>
    <row r="895">
      <c r="A895" s="30"/>
      <c r="B895" s="30"/>
      <c r="C895" s="30"/>
      <c r="D895" s="31"/>
      <c r="E895" s="31"/>
      <c r="F895" s="31"/>
      <c r="G895" s="31"/>
      <c r="H895" s="31"/>
      <c r="I895" s="54"/>
      <c r="J895" s="55"/>
      <c r="K895" s="54"/>
      <c r="L895" s="56"/>
      <c r="M895" s="56"/>
      <c r="N895" s="31"/>
      <c r="O895" s="57"/>
      <c r="P895" s="57"/>
      <c r="Q895" s="57"/>
      <c r="R895" s="57"/>
      <c r="S895" s="31"/>
      <c r="T895" s="57"/>
      <c r="U895" s="57"/>
      <c r="V895" s="57"/>
      <c r="W895" s="57"/>
      <c r="X895" s="31"/>
      <c r="Y895" s="57"/>
      <c r="Z895" s="57"/>
      <c r="AA895" s="57"/>
      <c r="AB895" s="57"/>
      <c r="AC895" s="31"/>
      <c r="AD895" s="57"/>
      <c r="AE895" s="57"/>
      <c r="AF895" s="57"/>
      <c r="AG895" s="57"/>
      <c r="AH895" s="57"/>
      <c r="AI895" s="57"/>
      <c r="AJ895" s="57"/>
      <c r="AK895" s="57"/>
      <c r="AL895" s="57"/>
      <c r="AM895" s="57"/>
      <c r="AN895" s="57"/>
      <c r="AO895" s="57"/>
      <c r="AP895" s="35"/>
      <c r="AQ895" s="57"/>
      <c r="AR895" s="36"/>
      <c r="AS895" s="57"/>
      <c r="AT895" s="37"/>
      <c r="AU895" s="30"/>
      <c r="AV895" s="30"/>
      <c r="AW895" s="30"/>
      <c r="AX895" s="30"/>
      <c r="AY895" s="30"/>
      <c r="AZ895" s="30"/>
    </row>
    <row r="896">
      <c r="A896" s="30"/>
      <c r="B896" s="30"/>
      <c r="C896" s="30"/>
      <c r="D896" s="31"/>
      <c r="E896" s="31"/>
      <c r="F896" s="31"/>
      <c r="G896" s="31"/>
      <c r="H896" s="31"/>
      <c r="I896" s="54"/>
      <c r="J896" s="55"/>
      <c r="K896" s="54"/>
      <c r="L896" s="56"/>
      <c r="M896" s="56"/>
      <c r="N896" s="31"/>
      <c r="O896" s="57"/>
      <c r="P896" s="57"/>
      <c r="Q896" s="57"/>
      <c r="R896" s="57"/>
      <c r="S896" s="31"/>
      <c r="T896" s="57"/>
      <c r="U896" s="57"/>
      <c r="V896" s="57"/>
      <c r="W896" s="57"/>
      <c r="X896" s="31"/>
      <c r="Y896" s="57"/>
      <c r="Z896" s="57"/>
      <c r="AA896" s="57"/>
      <c r="AB896" s="57"/>
      <c r="AC896" s="31"/>
      <c r="AD896" s="57"/>
      <c r="AE896" s="57"/>
      <c r="AF896" s="57"/>
      <c r="AG896" s="57"/>
      <c r="AH896" s="57"/>
      <c r="AI896" s="57"/>
      <c r="AJ896" s="57"/>
      <c r="AK896" s="57"/>
      <c r="AL896" s="57"/>
      <c r="AM896" s="57"/>
      <c r="AN896" s="57"/>
      <c r="AO896" s="57"/>
      <c r="AP896" s="35"/>
      <c r="AQ896" s="57"/>
      <c r="AR896" s="36"/>
      <c r="AS896" s="57"/>
      <c r="AT896" s="37"/>
      <c r="AU896" s="30"/>
      <c r="AV896" s="30"/>
      <c r="AW896" s="30"/>
      <c r="AX896" s="30"/>
      <c r="AY896" s="30"/>
      <c r="AZ896" s="30"/>
    </row>
    <row r="897">
      <c r="A897" s="30"/>
      <c r="B897" s="30"/>
      <c r="C897" s="30"/>
      <c r="D897" s="31"/>
      <c r="E897" s="31"/>
      <c r="F897" s="31"/>
      <c r="G897" s="31"/>
      <c r="H897" s="31"/>
      <c r="I897" s="54"/>
      <c r="J897" s="55"/>
      <c r="K897" s="54"/>
      <c r="L897" s="56"/>
      <c r="M897" s="56"/>
      <c r="N897" s="31"/>
      <c r="O897" s="57"/>
      <c r="P897" s="57"/>
      <c r="Q897" s="57"/>
      <c r="R897" s="57"/>
      <c r="S897" s="31"/>
      <c r="T897" s="57"/>
      <c r="U897" s="57"/>
      <c r="V897" s="57"/>
      <c r="W897" s="57"/>
      <c r="X897" s="31"/>
      <c r="Y897" s="57"/>
      <c r="Z897" s="57"/>
      <c r="AA897" s="57"/>
      <c r="AB897" s="57"/>
      <c r="AC897" s="31"/>
      <c r="AD897" s="57"/>
      <c r="AE897" s="57"/>
      <c r="AF897" s="57"/>
      <c r="AG897" s="57"/>
      <c r="AH897" s="57"/>
      <c r="AI897" s="57"/>
      <c r="AJ897" s="57"/>
      <c r="AK897" s="57"/>
      <c r="AL897" s="57"/>
      <c r="AM897" s="57"/>
      <c r="AN897" s="57"/>
      <c r="AO897" s="57"/>
      <c r="AP897" s="35"/>
      <c r="AQ897" s="57"/>
      <c r="AR897" s="36"/>
      <c r="AS897" s="57"/>
      <c r="AT897" s="37"/>
      <c r="AU897" s="30"/>
      <c r="AV897" s="30"/>
      <c r="AW897" s="30"/>
      <c r="AX897" s="30"/>
      <c r="AY897" s="30"/>
      <c r="AZ897" s="30"/>
    </row>
    <row r="898">
      <c r="A898" s="30"/>
      <c r="B898" s="30"/>
      <c r="C898" s="30"/>
      <c r="D898" s="31"/>
      <c r="E898" s="31"/>
      <c r="F898" s="31"/>
      <c r="G898" s="31"/>
      <c r="H898" s="31"/>
      <c r="I898" s="54"/>
      <c r="J898" s="55"/>
      <c r="K898" s="54"/>
      <c r="L898" s="56"/>
      <c r="M898" s="56"/>
      <c r="N898" s="31"/>
      <c r="O898" s="57"/>
      <c r="P898" s="57"/>
      <c r="Q898" s="57"/>
      <c r="R898" s="57"/>
      <c r="S898" s="31"/>
      <c r="T898" s="57"/>
      <c r="U898" s="57"/>
      <c r="V898" s="57"/>
      <c r="W898" s="57"/>
      <c r="X898" s="31"/>
      <c r="Y898" s="57"/>
      <c r="Z898" s="57"/>
      <c r="AA898" s="57"/>
      <c r="AB898" s="57"/>
      <c r="AC898" s="31"/>
      <c r="AD898" s="57"/>
      <c r="AE898" s="57"/>
      <c r="AF898" s="57"/>
      <c r="AG898" s="57"/>
      <c r="AH898" s="57"/>
      <c r="AI898" s="57"/>
      <c r="AJ898" s="57"/>
      <c r="AK898" s="57"/>
      <c r="AL898" s="57"/>
      <c r="AM898" s="57"/>
      <c r="AN898" s="57"/>
      <c r="AO898" s="57"/>
      <c r="AP898" s="35"/>
      <c r="AQ898" s="57"/>
      <c r="AR898" s="36"/>
      <c r="AS898" s="57"/>
      <c r="AT898" s="37"/>
      <c r="AU898" s="30"/>
      <c r="AV898" s="30"/>
      <c r="AW898" s="30"/>
      <c r="AX898" s="30"/>
      <c r="AY898" s="30"/>
      <c r="AZ898" s="30"/>
    </row>
    <row r="899">
      <c r="A899" s="30"/>
      <c r="B899" s="30"/>
      <c r="C899" s="30"/>
      <c r="D899" s="31"/>
      <c r="E899" s="31"/>
      <c r="F899" s="31"/>
      <c r="G899" s="31"/>
      <c r="H899" s="31"/>
      <c r="I899" s="54"/>
      <c r="J899" s="55"/>
      <c r="K899" s="54"/>
      <c r="L899" s="56"/>
      <c r="M899" s="56"/>
      <c r="N899" s="31"/>
      <c r="O899" s="57"/>
      <c r="P899" s="57"/>
      <c r="Q899" s="57"/>
      <c r="R899" s="57"/>
      <c r="S899" s="31"/>
      <c r="T899" s="57"/>
      <c r="U899" s="57"/>
      <c r="V899" s="57"/>
      <c r="W899" s="57"/>
      <c r="X899" s="31"/>
      <c r="Y899" s="57"/>
      <c r="Z899" s="57"/>
      <c r="AA899" s="57"/>
      <c r="AB899" s="57"/>
      <c r="AC899" s="31"/>
      <c r="AD899" s="57"/>
      <c r="AE899" s="57"/>
      <c r="AF899" s="57"/>
      <c r="AG899" s="57"/>
      <c r="AH899" s="57"/>
      <c r="AI899" s="57"/>
      <c r="AJ899" s="57"/>
      <c r="AK899" s="57"/>
      <c r="AL899" s="57"/>
      <c r="AM899" s="57"/>
      <c r="AN899" s="57"/>
      <c r="AO899" s="57"/>
      <c r="AP899" s="35"/>
      <c r="AQ899" s="57"/>
      <c r="AR899" s="36"/>
      <c r="AS899" s="57"/>
      <c r="AT899" s="37"/>
      <c r="AU899" s="30"/>
      <c r="AV899" s="30"/>
      <c r="AW899" s="30"/>
      <c r="AX899" s="30"/>
      <c r="AY899" s="30"/>
      <c r="AZ899" s="30"/>
    </row>
    <row r="900">
      <c r="A900" s="30"/>
      <c r="B900" s="30"/>
      <c r="C900" s="30"/>
      <c r="D900" s="31"/>
      <c r="E900" s="31"/>
      <c r="F900" s="31"/>
      <c r="G900" s="31"/>
      <c r="H900" s="31"/>
      <c r="I900" s="54"/>
      <c r="J900" s="55"/>
      <c r="K900" s="54"/>
      <c r="L900" s="56"/>
      <c r="M900" s="56"/>
      <c r="N900" s="31"/>
      <c r="O900" s="57"/>
      <c r="P900" s="57"/>
      <c r="Q900" s="57"/>
      <c r="R900" s="57"/>
      <c r="S900" s="31"/>
      <c r="T900" s="57"/>
      <c r="U900" s="57"/>
      <c r="V900" s="57"/>
      <c r="W900" s="57"/>
      <c r="X900" s="31"/>
      <c r="Y900" s="57"/>
      <c r="Z900" s="57"/>
      <c r="AA900" s="57"/>
      <c r="AB900" s="57"/>
      <c r="AC900" s="31"/>
      <c r="AD900" s="57"/>
      <c r="AE900" s="57"/>
      <c r="AF900" s="57"/>
      <c r="AG900" s="57"/>
      <c r="AH900" s="57"/>
      <c r="AI900" s="57"/>
      <c r="AJ900" s="57"/>
      <c r="AK900" s="57"/>
      <c r="AL900" s="57"/>
      <c r="AM900" s="57"/>
      <c r="AN900" s="57"/>
      <c r="AO900" s="57"/>
      <c r="AP900" s="35"/>
      <c r="AQ900" s="57"/>
      <c r="AR900" s="36"/>
      <c r="AS900" s="57"/>
      <c r="AT900" s="37"/>
      <c r="AU900" s="30"/>
      <c r="AV900" s="30"/>
      <c r="AW900" s="30"/>
      <c r="AX900" s="30"/>
      <c r="AY900" s="30"/>
      <c r="AZ900" s="30"/>
    </row>
    <row r="901">
      <c r="A901" s="30"/>
      <c r="B901" s="30"/>
      <c r="C901" s="30"/>
      <c r="D901" s="31"/>
      <c r="E901" s="31"/>
      <c r="F901" s="31"/>
      <c r="G901" s="31"/>
      <c r="H901" s="31"/>
      <c r="I901" s="54"/>
      <c r="J901" s="55"/>
      <c r="K901" s="54"/>
      <c r="L901" s="56"/>
      <c r="M901" s="56"/>
      <c r="N901" s="31"/>
      <c r="O901" s="57"/>
      <c r="P901" s="57"/>
      <c r="Q901" s="57"/>
      <c r="R901" s="57"/>
      <c r="S901" s="31"/>
      <c r="T901" s="57"/>
      <c r="U901" s="57"/>
      <c r="V901" s="57"/>
      <c r="W901" s="57"/>
      <c r="X901" s="31"/>
      <c r="Y901" s="57"/>
      <c r="Z901" s="57"/>
      <c r="AA901" s="57"/>
      <c r="AB901" s="57"/>
      <c r="AC901" s="31"/>
      <c r="AD901" s="57"/>
      <c r="AE901" s="57"/>
      <c r="AF901" s="57"/>
      <c r="AG901" s="57"/>
      <c r="AH901" s="57"/>
      <c r="AI901" s="57"/>
      <c r="AJ901" s="57"/>
      <c r="AK901" s="57"/>
      <c r="AL901" s="57"/>
      <c r="AM901" s="57"/>
      <c r="AN901" s="57"/>
      <c r="AO901" s="57"/>
      <c r="AP901" s="35"/>
      <c r="AQ901" s="57"/>
      <c r="AR901" s="36"/>
      <c r="AS901" s="57"/>
      <c r="AT901" s="37"/>
      <c r="AU901" s="30"/>
      <c r="AV901" s="30"/>
      <c r="AW901" s="30"/>
      <c r="AX901" s="30"/>
      <c r="AY901" s="30"/>
      <c r="AZ901" s="30"/>
    </row>
    <row r="902">
      <c r="A902" s="30"/>
      <c r="B902" s="30"/>
      <c r="C902" s="30"/>
      <c r="D902" s="31"/>
      <c r="E902" s="31"/>
      <c r="F902" s="31"/>
      <c r="G902" s="31"/>
      <c r="H902" s="31"/>
      <c r="I902" s="54"/>
      <c r="J902" s="55"/>
      <c r="K902" s="54"/>
      <c r="L902" s="56"/>
      <c r="M902" s="56"/>
      <c r="N902" s="31"/>
      <c r="O902" s="57"/>
      <c r="P902" s="57"/>
      <c r="Q902" s="57"/>
      <c r="R902" s="57"/>
      <c r="S902" s="31"/>
      <c r="T902" s="57"/>
      <c r="U902" s="57"/>
      <c r="V902" s="57"/>
      <c r="W902" s="57"/>
      <c r="X902" s="31"/>
      <c r="Y902" s="57"/>
      <c r="Z902" s="57"/>
      <c r="AA902" s="57"/>
      <c r="AB902" s="57"/>
      <c r="AC902" s="31"/>
      <c r="AD902" s="57"/>
      <c r="AE902" s="57"/>
      <c r="AF902" s="57"/>
      <c r="AG902" s="57"/>
      <c r="AH902" s="57"/>
      <c r="AI902" s="57"/>
      <c r="AJ902" s="57"/>
      <c r="AK902" s="57"/>
      <c r="AL902" s="57"/>
      <c r="AM902" s="57"/>
      <c r="AN902" s="57"/>
      <c r="AO902" s="57"/>
      <c r="AP902" s="35"/>
      <c r="AQ902" s="57"/>
      <c r="AR902" s="36"/>
      <c r="AS902" s="57"/>
      <c r="AT902" s="37"/>
      <c r="AU902" s="30"/>
      <c r="AV902" s="30"/>
      <c r="AW902" s="30"/>
      <c r="AX902" s="30"/>
      <c r="AY902" s="30"/>
      <c r="AZ902" s="30"/>
    </row>
    <row r="903">
      <c r="A903" s="30"/>
      <c r="B903" s="30"/>
      <c r="C903" s="30"/>
      <c r="D903" s="31"/>
      <c r="E903" s="31"/>
      <c r="F903" s="31"/>
      <c r="G903" s="31"/>
      <c r="H903" s="31"/>
      <c r="I903" s="54"/>
      <c r="J903" s="55"/>
      <c r="K903" s="54"/>
      <c r="L903" s="56"/>
      <c r="M903" s="56"/>
      <c r="N903" s="31"/>
      <c r="O903" s="57"/>
      <c r="P903" s="57"/>
      <c r="Q903" s="57"/>
      <c r="R903" s="57"/>
      <c r="S903" s="31"/>
      <c r="T903" s="57"/>
      <c r="U903" s="57"/>
      <c r="V903" s="57"/>
      <c r="W903" s="57"/>
      <c r="X903" s="31"/>
      <c r="Y903" s="57"/>
      <c r="Z903" s="57"/>
      <c r="AA903" s="57"/>
      <c r="AB903" s="57"/>
      <c r="AC903" s="31"/>
      <c r="AD903" s="57"/>
      <c r="AE903" s="57"/>
      <c r="AF903" s="57"/>
      <c r="AG903" s="57"/>
      <c r="AH903" s="57"/>
      <c r="AI903" s="57"/>
      <c r="AJ903" s="57"/>
      <c r="AK903" s="57"/>
      <c r="AL903" s="57"/>
      <c r="AM903" s="57"/>
      <c r="AN903" s="57"/>
      <c r="AO903" s="57"/>
      <c r="AP903" s="35"/>
      <c r="AQ903" s="57"/>
      <c r="AR903" s="36"/>
      <c r="AS903" s="57"/>
      <c r="AT903" s="37"/>
      <c r="AU903" s="30"/>
      <c r="AV903" s="30"/>
      <c r="AW903" s="30"/>
      <c r="AX903" s="30"/>
      <c r="AY903" s="30"/>
      <c r="AZ903" s="30"/>
    </row>
    <row r="904">
      <c r="A904" s="30"/>
      <c r="B904" s="30"/>
      <c r="C904" s="30"/>
      <c r="D904" s="31"/>
      <c r="E904" s="31"/>
      <c r="F904" s="31"/>
      <c r="G904" s="31"/>
      <c r="H904" s="31"/>
      <c r="I904" s="54"/>
      <c r="J904" s="55"/>
      <c r="K904" s="54"/>
      <c r="L904" s="56"/>
      <c r="M904" s="56"/>
      <c r="N904" s="31"/>
      <c r="O904" s="57"/>
      <c r="P904" s="57"/>
      <c r="Q904" s="57"/>
      <c r="R904" s="57"/>
      <c r="S904" s="31"/>
      <c r="T904" s="57"/>
      <c r="U904" s="57"/>
      <c r="V904" s="57"/>
      <c r="W904" s="57"/>
      <c r="X904" s="31"/>
      <c r="Y904" s="57"/>
      <c r="Z904" s="57"/>
      <c r="AA904" s="57"/>
      <c r="AB904" s="57"/>
      <c r="AC904" s="31"/>
      <c r="AD904" s="57"/>
      <c r="AE904" s="57"/>
      <c r="AF904" s="57"/>
      <c r="AG904" s="57"/>
      <c r="AH904" s="57"/>
      <c r="AI904" s="57"/>
      <c r="AJ904" s="57"/>
      <c r="AK904" s="57"/>
      <c r="AL904" s="57"/>
      <c r="AM904" s="57"/>
      <c r="AN904" s="57"/>
      <c r="AO904" s="57"/>
      <c r="AP904" s="35"/>
      <c r="AQ904" s="57"/>
      <c r="AR904" s="36"/>
      <c r="AS904" s="57"/>
      <c r="AT904" s="37"/>
      <c r="AU904" s="30"/>
      <c r="AV904" s="30"/>
      <c r="AW904" s="30"/>
      <c r="AX904" s="30"/>
      <c r="AY904" s="30"/>
      <c r="AZ904" s="30"/>
    </row>
    <row r="905">
      <c r="A905" s="30"/>
      <c r="B905" s="30"/>
      <c r="C905" s="30"/>
      <c r="D905" s="31"/>
      <c r="E905" s="31"/>
      <c r="F905" s="31"/>
      <c r="G905" s="31"/>
      <c r="H905" s="31"/>
      <c r="I905" s="54"/>
      <c r="J905" s="55"/>
      <c r="K905" s="54"/>
      <c r="L905" s="56"/>
      <c r="M905" s="56"/>
      <c r="N905" s="31"/>
      <c r="O905" s="57"/>
      <c r="P905" s="57"/>
      <c r="Q905" s="57"/>
      <c r="R905" s="57"/>
      <c r="S905" s="31"/>
      <c r="T905" s="57"/>
      <c r="U905" s="57"/>
      <c r="V905" s="57"/>
      <c r="W905" s="57"/>
      <c r="X905" s="31"/>
      <c r="Y905" s="57"/>
      <c r="Z905" s="57"/>
      <c r="AA905" s="57"/>
      <c r="AB905" s="57"/>
      <c r="AC905" s="31"/>
      <c r="AD905" s="57"/>
      <c r="AE905" s="57"/>
      <c r="AF905" s="57"/>
      <c r="AG905" s="57"/>
      <c r="AH905" s="57"/>
      <c r="AI905" s="57"/>
      <c r="AJ905" s="57"/>
      <c r="AK905" s="57"/>
      <c r="AL905" s="57"/>
      <c r="AM905" s="57"/>
      <c r="AN905" s="57"/>
      <c r="AO905" s="57"/>
      <c r="AP905" s="35"/>
      <c r="AQ905" s="57"/>
      <c r="AR905" s="36"/>
      <c r="AS905" s="57"/>
      <c r="AT905" s="37"/>
      <c r="AU905" s="30"/>
      <c r="AV905" s="30"/>
      <c r="AW905" s="30"/>
      <c r="AX905" s="30"/>
      <c r="AY905" s="30"/>
      <c r="AZ905" s="30"/>
    </row>
    <row r="906">
      <c r="A906" s="30"/>
      <c r="B906" s="30"/>
      <c r="C906" s="30"/>
      <c r="D906" s="31"/>
      <c r="E906" s="31"/>
      <c r="F906" s="31"/>
      <c r="G906" s="31"/>
      <c r="H906" s="31"/>
      <c r="I906" s="54"/>
      <c r="J906" s="55"/>
      <c r="K906" s="54"/>
      <c r="L906" s="56"/>
      <c r="M906" s="56"/>
      <c r="N906" s="31"/>
      <c r="O906" s="57"/>
      <c r="P906" s="57"/>
      <c r="Q906" s="57"/>
      <c r="R906" s="57"/>
      <c r="S906" s="31"/>
      <c r="T906" s="57"/>
      <c r="U906" s="57"/>
      <c r="V906" s="57"/>
      <c r="W906" s="57"/>
      <c r="X906" s="31"/>
      <c r="Y906" s="57"/>
      <c r="Z906" s="57"/>
      <c r="AA906" s="57"/>
      <c r="AB906" s="57"/>
      <c r="AC906" s="31"/>
      <c r="AD906" s="57"/>
      <c r="AE906" s="57"/>
      <c r="AF906" s="57"/>
      <c r="AG906" s="57"/>
      <c r="AH906" s="57"/>
      <c r="AI906" s="57"/>
      <c r="AJ906" s="57"/>
      <c r="AK906" s="57"/>
      <c r="AL906" s="57"/>
      <c r="AM906" s="57"/>
      <c r="AN906" s="57"/>
      <c r="AO906" s="57"/>
      <c r="AP906" s="35"/>
      <c r="AQ906" s="57"/>
      <c r="AR906" s="36"/>
      <c r="AS906" s="57"/>
      <c r="AT906" s="37"/>
      <c r="AU906" s="30"/>
      <c r="AV906" s="30"/>
      <c r="AW906" s="30"/>
      <c r="AX906" s="30"/>
      <c r="AY906" s="30"/>
      <c r="AZ906" s="30"/>
    </row>
    <row r="907">
      <c r="A907" s="30"/>
      <c r="B907" s="30"/>
      <c r="C907" s="30"/>
      <c r="D907" s="31"/>
      <c r="E907" s="31"/>
      <c r="F907" s="31"/>
      <c r="G907" s="31"/>
      <c r="H907" s="31"/>
      <c r="I907" s="54"/>
      <c r="J907" s="55"/>
      <c r="K907" s="54"/>
      <c r="L907" s="56"/>
      <c r="M907" s="56"/>
      <c r="N907" s="31"/>
      <c r="O907" s="57"/>
      <c r="P907" s="57"/>
      <c r="Q907" s="57"/>
      <c r="R907" s="57"/>
      <c r="S907" s="31"/>
      <c r="T907" s="57"/>
      <c r="U907" s="57"/>
      <c r="V907" s="57"/>
      <c r="W907" s="57"/>
      <c r="X907" s="31"/>
      <c r="Y907" s="57"/>
      <c r="Z907" s="57"/>
      <c r="AA907" s="57"/>
      <c r="AB907" s="57"/>
      <c r="AC907" s="31"/>
      <c r="AD907" s="57"/>
      <c r="AE907" s="57"/>
      <c r="AF907" s="57"/>
      <c r="AG907" s="57"/>
      <c r="AH907" s="57"/>
      <c r="AI907" s="57"/>
      <c r="AJ907" s="57"/>
      <c r="AK907" s="57"/>
      <c r="AL907" s="57"/>
      <c r="AM907" s="57"/>
      <c r="AN907" s="57"/>
      <c r="AO907" s="57"/>
      <c r="AP907" s="35"/>
      <c r="AQ907" s="57"/>
      <c r="AR907" s="36"/>
      <c r="AS907" s="57"/>
      <c r="AT907" s="37"/>
      <c r="AU907" s="30"/>
      <c r="AV907" s="30"/>
      <c r="AW907" s="30"/>
      <c r="AX907" s="30"/>
      <c r="AY907" s="30"/>
      <c r="AZ907" s="30"/>
    </row>
    <row r="908">
      <c r="A908" s="30"/>
      <c r="B908" s="30"/>
      <c r="C908" s="30"/>
      <c r="D908" s="31"/>
      <c r="E908" s="31"/>
      <c r="F908" s="31"/>
      <c r="G908" s="31"/>
      <c r="H908" s="31"/>
      <c r="I908" s="54"/>
      <c r="J908" s="55"/>
      <c r="K908" s="54"/>
      <c r="L908" s="56"/>
      <c r="M908" s="56"/>
      <c r="N908" s="31"/>
      <c r="O908" s="57"/>
      <c r="P908" s="57"/>
      <c r="Q908" s="57"/>
      <c r="R908" s="57"/>
      <c r="S908" s="31"/>
      <c r="T908" s="57"/>
      <c r="U908" s="57"/>
      <c r="V908" s="57"/>
      <c r="W908" s="57"/>
      <c r="X908" s="31"/>
      <c r="Y908" s="57"/>
      <c r="Z908" s="57"/>
      <c r="AA908" s="57"/>
      <c r="AB908" s="57"/>
      <c r="AC908" s="31"/>
      <c r="AD908" s="57"/>
      <c r="AE908" s="57"/>
      <c r="AF908" s="57"/>
      <c r="AG908" s="57"/>
      <c r="AH908" s="57"/>
      <c r="AI908" s="57"/>
      <c r="AJ908" s="57"/>
      <c r="AK908" s="57"/>
      <c r="AL908" s="57"/>
      <c r="AM908" s="57"/>
      <c r="AN908" s="57"/>
      <c r="AO908" s="57"/>
      <c r="AP908" s="35"/>
      <c r="AQ908" s="57"/>
      <c r="AR908" s="36"/>
      <c r="AS908" s="57"/>
      <c r="AT908" s="37"/>
      <c r="AU908" s="30"/>
      <c r="AV908" s="30"/>
      <c r="AW908" s="30"/>
      <c r="AX908" s="30"/>
      <c r="AY908" s="30"/>
      <c r="AZ908" s="30"/>
    </row>
    <row r="909">
      <c r="A909" s="30"/>
      <c r="B909" s="30"/>
      <c r="C909" s="30"/>
      <c r="D909" s="31"/>
      <c r="E909" s="31"/>
      <c r="F909" s="31"/>
      <c r="G909" s="31"/>
      <c r="H909" s="31"/>
      <c r="I909" s="54"/>
      <c r="J909" s="55"/>
      <c r="K909" s="54"/>
      <c r="L909" s="56"/>
      <c r="M909" s="56"/>
      <c r="N909" s="31"/>
      <c r="O909" s="57"/>
      <c r="P909" s="57"/>
      <c r="Q909" s="57"/>
      <c r="R909" s="57"/>
      <c r="S909" s="31"/>
      <c r="T909" s="57"/>
      <c r="U909" s="57"/>
      <c r="V909" s="57"/>
      <c r="W909" s="57"/>
      <c r="X909" s="31"/>
      <c r="Y909" s="57"/>
      <c r="Z909" s="57"/>
      <c r="AA909" s="57"/>
      <c r="AB909" s="57"/>
      <c r="AC909" s="31"/>
      <c r="AD909" s="57"/>
      <c r="AE909" s="57"/>
      <c r="AF909" s="57"/>
      <c r="AG909" s="57"/>
      <c r="AH909" s="57"/>
      <c r="AI909" s="57"/>
      <c r="AJ909" s="57"/>
      <c r="AK909" s="57"/>
      <c r="AL909" s="57"/>
      <c r="AM909" s="57"/>
      <c r="AN909" s="57"/>
      <c r="AO909" s="57"/>
      <c r="AP909" s="35"/>
      <c r="AQ909" s="57"/>
      <c r="AR909" s="36"/>
      <c r="AS909" s="57"/>
      <c r="AT909" s="37"/>
      <c r="AU909" s="30"/>
      <c r="AV909" s="30"/>
      <c r="AW909" s="30"/>
      <c r="AX909" s="30"/>
      <c r="AY909" s="30"/>
      <c r="AZ909" s="30"/>
    </row>
    <row r="910">
      <c r="A910" s="30"/>
      <c r="B910" s="30"/>
      <c r="C910" s="30"/>
      <c r="D910" s="31"/>
      <c r="E910" s="31"/>
      <c r="F910" s="31"/>
      <c r="G910" s="31"/>
      <c r="H910" s="31"/>
      <c r="I910" s="54"/>
      <c r="J910" s="55"/>
      <c r="K910" s="54"/>
      <c r="L910" s="56"/>
      <c r="M910" s="56"/>
      <c r="N910" s="31"/>
      <c r="O910" s="57"/>
      <c r="P910" s="57"/>
      <c r="Q910" s="57"/>
      <c r="R910" s="57"/>
      <c r="S910" s="31"/>
      <c r="T910" s="57"/>
      <c r="U910" s="57"/>
      <c r="V910" s="57"/>
      <c r="W910" s="57"/>
      <c r="X910" s="31"/>
      <c r="Y910" s="57"/>
      <c r="Z910" s="57"/>
      <c r="AA910" s="57"/>
      <c r="AB910" s="57"/>
      <c r="AC910" s="31"/>
      <c r="AD910" s="57"/>
      <c r="AE910" s="57"/>
      <c r="AF910" s="57"/>
      <c r="AG910" s="57"/>
      <c r="AH910" s="57"/>
      <c r="AI910" s="57"/>
      <c r="AJ910" s="57"/>
      <c r="AK910" s="57"/>
      <c r="AL910" s="57"/>
      <c r="AM910" s="57"/>
      <c r="AN910" s="57"/>
      <c r="AO910" s="57"/>
      <c r="AP910" s="35"/>
      <c r="AQ910" s="57"/>
      <c r="AR910" s="36"/>
      <c r="AS910" s="57"/>
      <c r="AT910" s="37"/>
      <c r="AU910" s="30"/>
      <c r="AV910" s="30"/>
      <c r="AW910" s="30"/>
      <c r="AX910" s="30"/>
      <c r="AY910" s="30"/>
      <c r="AZ910" s="30"/>
    </row>
    <row r="911">
      <c r="A911" s="30"/>
      <c r="B911" s="30"/>
      <c r="C911" s="30"/>
      <c r="D911" s="31"/>
      <c r="E911" s="31"/>
      <c r="F911" s="31"/>
      <c r="G911" s="31"/>
      <c r="H911" s="31"/>
      <c r="I911" s="54"/>
      <c r="J911" s="55"/>
      <c r="K911" s="54"/>
      <c r="L911" s="56"/>
      <c r="M911" s="56"/>
      <c r="N911" s="31"/>
      <c r="O911" s="57"/>
      <c r="P911" s="57"/>
      <c r="Q911" s="57"/>
      <c r="R911" s="57"/>
      <c r="S911" s="31"/>
      <c r="T911" s="57"/>
      <c r="U911" s="57"/>
      <c r="V911" s="57"/>
      <c r="W911" s="57"/>
      <c r="X911" s="31"/>
      <c r="Y911" s="57"/>
      <c r="Z911" s="57"/>
      <c r="AA911" s="57"/>
      <c r="AB911" s="57"/>
      <c r="AC911" s="31"/>
      <c r="AD911" s="57"/>
      <c r="AE911" s="57"/>
      <c r="AF911" s="57"/>
      <c r="AG911" s="57"/>
      <c r="AH911" s="57"/>
      <c r="AI911" s="57"/>
      <c r="AJ911" s="57"/>
      <c r="AK911" s="57"/>
      <c r="AL911" s="57"/>
      <c r="AM911" s="57"/>
      <c r="AN911" s="57"/>
      <c r="AO911" s="57"/>
      <c r="AP911" s="35"/>
      <c r="AQ911" s="57"/>
      <c r="AR911" s="36"/>
      <c r="AS911" s="57"/>
      <c r="AT911" s="37"/>
      <c r="AU911" s="30"/>
      <c r="AV911" s="30"/>
      <c r="AW911" s="30"/>
      <c r="AX911" s="30"/>
      <c r="AY911" s="30"/>
      <c r="AZ911" s="30"/>
    </row>
    <row r="912">
      <c r="A912" s="30"/>
      <c r="B912" s="30"/>
      <c r="C912" s="30"/>
      <c r="D912" s="31"/>
      <c r="E912" s="31"/>
      <c r="F912" s="31"/>
      <c r="G912" s="31"/>
      <c r="H912" s="31"/>
      <c r="I912" s="54"/>
      <c r="J912" s="55"/>
      <c r="K912" s="54"/>
      <c r="L912" s="56"/>
      <c r="M912" s="56"/>
      <c r="N912" s="31"/>
      <c r="O912" s="57"/>
      <c r="P912" s="57"/>
      <c r="Q912" s="57"/>
      <c r="R912" s="57"/>
      <c r="S912" s="31"/>
      <c r="T912" s="57"/>
      <c r="U912" s="57"/>
      <c r="V912" s="57"/>
      <c r="W912" s="57"/>
      <c r="X912" s="31"/>
      <c r="Y912" s="57"/>
      <c r="Z912" s="57"/>
      <c r="AA912" s="57"/>
      <c r="AB912" s="57"/>
      <c r="AC912" s="31"/>
      <c r="AD912" s="57"/>
      <c r="AE912" s="57"/>
      <c r="AF912" s="57"/>
      <c r="AG912" s="57"/>
      <c r="AH912" s="57"/>
      <c r="AI912" s="57"/>
      <c r="AJ912" s="57"/>
      <c r="AK912" s="57"/>
      <c r="AL912" s="57"/>
      <c r="AM912" s="57"/>
      <c r="AN912" s="57"/>
      <c r="AO912" s="57"/>
      <c r="AP912" s="35"/>
      <c r="AQ912" s="57"/>
      <c r="AR912" s="36"/>
      <c r="AS912" s="57"/>
      <c r="AT912" s="37"/>
      <c r="AU912" s="30"/>
      <c r="AV912" s="30"/>
      <c r="AW912" s="30"/>
      <c r="AX912" s="30"/>
      <c r="AY912" s="30"/>
      <c r="AZ912" s="30"/>
    </row>
    <row r="913">
      <c r="A913" s="30"/>
      <c r="B913" s="30"/>
      <c r="C913" s="30"/>
      <c r="D913" s="31"/>
      <c r="E913" s="31"/>
      <c r="F913" s="31"/>
      <c r="G913" s="31"/>
      <c r="H913" s="31"/>
      <c r="I913" s="54"/>
      <c r="J913" s="55"/>
      <c r="K913" s="54"/>
      <c r="L913" s="56"/>
      <c r="M913" s="56"/>
      <c r="N913" s="31"/>
      <c r="O913" s="57"/>
      <c r="P913" s="57"/>
      <c r="Q913" s="57"/>
      <c r="R913" s="57"/>
      <c r="S913" s="31"/>
      <c r="T913" s="57"/>
      <c r="U913" s="57"/>
      <c r="V913" s="57"/>
      <c r="W913" s="57"/>
      <c r="X913" s="31"/>
      <c r="Y913" s="57"/>
      <c r="Z913" s="57"/>
      <c r="AA913" s="57"/>
      <c r="AB913" s="57"/>
      <c r="AC913" s="31"/>
      <c r="AD913" s="57"/>
      <c r="AE913" s="57"/>
      <c r="AF913" s="57"/>
      <c r="AG913" s="57"/>
      <c r="AH913" s="57"/>
      <c r="AI913" s="57"/>
      <c r="AJ913" s="57"/>
      <c r="AK913" s="57"/>
      <c r="AL913" s="57"/>
      <c r="AM913" s="57"/>
      <c r="AN913" s="57"/>
      <c r="AO913" s="57"/>
      <c r="AP913" s="35"/>
      <c r="AQ913" s="57"/>
      <c r="AR913" s="36"/>
      <c r="AS913" s="57"/>
      <c r="AT913" s="37"/>
      <c r="AU913" s="30"/>
      <c r="AV913" s="30"/>
      <c r="AW913" s="30"/>
      <c r="AX913" s="30"/>
      <c r="AY913" s="30"/>
      <c r="AZ913" s="30"/>
    </row>
    <row r="914">
      <c r="A914" s="30"/>
      <c r="B914" s="30"/>
      <c r="C914" s="30"/>
      <c r="D914" s="31"/>
      <c r="E914" s="31"/>
      <c r="F914" s="31"/>
      <c r="G914" s="31"/>
      <c r="H914" s="31"/>
      <c r="I914" s="54"/>
      <c r="J914" s="55"/>
      <c r="K914" s="54"/>
      <c r="L914" s="56"/>
      <c r="M914" s="56"/>
      <c r="N914" s="31"/>
      <c r="O914" s="57"/>
      <c r="P914" s="57"/>
      <c r="Q914" s="57"/>
      <c r="R914" s="57"/>
      <c r="S914" s="31"/>
      <c r="T914" s="57"/>
      <c r="U914" s="57"/>
      <c r="V914" s="57"/>
      <c r="W914" s="57"/>
      <c r="X914" s="31"/>
      <c r="Y914" s="57"/>
      <c r="Z914" s="57"/>
      <c r="AA914" s="57"/>
      <c r="AB914" s="57"/>
      <c r="AC914" s="31"/>
      <c r="AD914" s="57"/>
      <c r="AE914" s="57"/>
      <c r="AF914" s="57"/>
      <c r="AG914" s="57"/>
      <c r="AH914" s="57"/>
      <c r="AI914" s="57"/>
      <c r="AJ914" s="57"/>
      <c r="AK914" s="57"/>
      <c r="AL914" s="57"/>
      <c r="AM914" s="57"/>
      <c r="AN914" s="57"/>
      <c r="AO914" s="57"/>
      <c r="AP914" s="35"/>
      <c r="AQ914" s="57"/>
      <c r="AR914" s="36"/>
      <c r="AS914" s="57"/>
      <c r="AT914" s="37"/>
      <c r="AU914" s="30"/>
      <c r="AV914" s="30"/>
      <c r="AW914" s="30"/>
      <c r="AX914" s="30"/>
      <c r="AY914" s="30"/>
      <c r="AZ914" s="30"/>
    </row>
    <row r="915">
      <c r="A915" s="30"/>
      <c r="B915" s="30"/>
      <c r="C915" s="30"/>
      <c r="D915" s="31"/>
      <c r="E915" s="31"/>
      <c r="F915" s="31"/>
      <c r="G915" s="31"/>
      <c r="H915" s="31"/>
      <c r="I915" s="54"/>
      <c r="J915" s="55"/>
      <c r="K915" s="54"/>
      <c r="L915" s="56"/>
      <c r="M915" s="56"/>
      <c r="N915" s="31"/>
      <c r="O915" s="57"/>
      <c r="P915" s="57"/>
      <c r="Q915" s="57"/>
      <c r="R915" s="57"/>
      <c r="S915" s="31"/>
      <c r="T915" s="57"/>
      <c r="U915" s="57"/>
      <c r="V915" s="57"/>
      <c r="W915" s="57"/>
      <c r="X915" s="31"/>
      <c r="Y915" s="57"/>
      <c r="Z915" s="57"/>
      <c r="AA915" s="57"/>
      <c r="AB915" s="57"/>
      <c r="AC915" s="31"/>
      <c r="AD915" s="57"/>
      <c r="AE915" s="57"/>
      <c r="AF915" s="57"/>
      <c r="AG915" s="57"/>
      <c r="AH915" s="57"/>
      <c r="AI915" s="57"/>
      <c r="AJ915" s="57"/>
      <c r="AK915" s="57"/>
      <c r="AL915" s="57"/>
      <c r="AM915" s="57"/>
      <c r="AN915" s="57"/>
      <c r="AO915" s="57"/>
      <c r="AP915" s="35"/>
      <c r="AQ915" s="57"/>
      <c r="AR915" s="36"/>
      <c r="AS915" s="57"/>
      <c r="AT915" s="37"/>
      <c r="AU915" s="30"/>
      <c r="AV915" s="30"/>
      <c r="AW915" s="30"/>
      <c r="AX915" s="30"/>
      <c r="AY915" s="30"/>
      <c r="AZ915" s="30"/>
    </row>
    <row r="916">
      <c r="A916" s="30"/>
      <c r="B916" s="30"/>
      <c r="C916" s="30"/>
      <c r="D916" s="31"/>
      <c r="E916" s="31"/>
      <c r="F916" s="31"/>
      <c r="G916" s="31"/>
      <c r="H916" s="31"/>
      <c r="I916" s="54"/>
      <c r="J916" s="55"/>
      <c r="K916" s="54"/>
      <c r="L916" s="56"/>
      <c r="M916" s="56"/>
      <c r="N916" s="31"/>
      <c r="O916" s="57"/>
      <c r="P916" s="57"/>
      <c r="Q916" s="57"/>
      <c r="R916" s="57"/>
      <c r="S916" s="31"/>
      <c r="T916" s="57"/>
      <c r="U916" s="57"/>
      <c r="V916" s="57"/>
      <c r="W916" s="57"/>
      <c r="X916" s="31"/>
      <c r="Y916" s="57"/>
      <c r="Z916" s="57"/>
      <c r="AA916" s="57"/>
      <c r="AB916" s="57"/>
      <c r="AC916" s="31"/>
      <c r="AD916" s="57"/>
      <c r="AE916" s="57"/>
      <c r="AF916" s="57"/>
      <c r="AG916" s="57"/>
      <c r="AH916" s="57"/>
      <c r="AI916" s="57"/>
      <c r="AJ916" s="57"/>
      <c r="AK916" s="57"/>
      <c r="AL916" s="57"/>
      <c r="AM916" s="57"/>
      <c r="AN916" s="57"/>
      <c r="AO916" s="57"/>
      <c r="AP916" s="35"/>
      <c r="AQ916" s="57"/>
      <c r="AR916" s="36"/>
      <c r="AS916" s="57"/>
      <c r="AT916" s="37"/>
      <c r="AU916" s="30"/>
      <c r="AV916" s="30"/>
      <c r="AW916" s="30"/>
      <c r="AX916" s="30"/>
      <c r="AY916" s="30"/>
      <c r="AZ916" s="30"/>
    </row>
    <row r="917">
      <c r="A917" s="30"/>
      <c r="B917" s="30"/>
      <c r="C917" s="30"/>
      <c r="D917" s="31"/>
      <c r="E917" s="31"/>
      <c r="F917" s="31"/>
      <c r="G917" s="31"/>
      <c r="H917" s="31"/>
      <c r="I917" s="54"/>
      <c r="J917" s="55"/>
      <c r="K917" s="54"/>
      <c r="L917" s="56"/>
      <c r="M917" s="56"/>
      <c r="N917" s="31"/>
      <c r="O917" s="57"/>
      <c r="P917" s="57"/>
      <c r="Q917" s="57"/>
      <c r="R917" s="57"/>
      <c r="S917" s="31"/>
      <c r="T917" s="57"/>
      <c r="U917" s="57"/>
      <c r="V917" s="57"/>
      <c r="W917" s="57"/>
      <c r="X917" s="31"/>
      <c r="Y917" s="57"/>
      <c r="Z917" s="57"/>
      <c r="AA917" s="57"/>
      <c r="AB917" s="57"/>
      <c r="AC917" s="31"/>
      <c r="AD917" s="57"/>
      <c r="AE917" s="57"/>
      <c r="AF917" s="57"/>
      <c r="AG917" s="57"/>
      <c r="AH917" s="57"/>
      <c r="AI917" s="57"/>
      <c r="AJ917" s="57"/>
      <c r="AK917" s="57"/>
      <c r="AL917" s="57"/>
      <c r="AM917" s="57"/>
      <c r="AN917" s="57"/>
      <c r="AO917" s="57"/>
      <c r="AP917" s="35"/>
      <c r="AQ917" s="57"/>
      <c r="AR917" s="36"/>
      <c r="AS917" s="57"/>
      <c r="AT917" s="37"/>
      <c r="AU917" s="30"/>
      <c r="AV917" s="30"/>
      <c r="AW917" s="30"/>
      <c r="AX917" s="30"/>
      <c r="AY917" s="30"/>
      <c r="AZ917" s="30"/>
    </row>
    <row r="918">
      <c r="A918" s="30"/>
      <c r="B918" s="30"/>
      <c r="C918" s="30"/>
      <c r="D918" s="31"/>
      <c r="E918" s="31"/>
      <c r="F918" s="31"/>
      <c r="G918" s="31"/>
      <c r="H918" s="31"/>
      <c r="I918" s="54"/>
      <c r="J918" s="55"/>
      <c r="K918" s="54"/>
      <c r="L918" s="56"/>
      <c r="M918" s="56"/>
      <c r="N918" s="31"/>
      <c r="O918" s="57"/>
      <c r="P918" s="57"/>
      <c r="Q918" s="57"/>
      <c r="R918" s="57"/>
      <c r="S918" s="31"/>
      <c r="T918" s="57"/>
      <c r="U918" s="57"/>
      <c r="V918" s="57"/>
      <c r="W918" s="57"/>
      <c r="X918" s="31"/>
      <c r="Y918" s="57"/>
      <c r="Z918" s="57"/>
      <c r="AA918" s="57"/>
      <c r="AB918" s="57"/>
      <c r="AC918" s="31"/>
      <c r="AD918" s="57"/>
      <c r="AE918" s="57"/>
      <c r="AF918" s="57"/>
      <c r="AG918" s="57"/>
      <c r="AH918" s="57"/>
      <c r="AI918" s="57"/>
      <c r="AJ918" s="57"/>
      <c r="AK918" s="57"/>
      <c r="AL918" s="57"/>
      <c r="AM918" s="57"/>
      <c r="AN918" s="57"/>
      <c r="AO918" s="57"/>
      <c r="AP918" s="35"/>
      <c r="AQ918" s="57"/>
      <c r="AR918" s="36"/>
      <c r="AS918" s="57"/>
      <c r="AT918" s="37"/>
      <c r="AU918" s="30"/>
      <c r="AV918" s="30"/>
      <c r="AW918" s="30"/>
      <c r="AX918" s="30"/>
      <c r="AY918" s="30"/>
      <c r="AZ918" s="30"/>
    </row>
    <row r="919">
      <c r="A919" s="30"/>
      <c r="B919" s="30"/>
      <c r="C919" s="30"/>
      <c r="D919" s="31"/>
      <c r="E919" s="31"/>
      <c r="F919" s="31"/>
      <c r="G919" s="31"/>
      <c r="H919" s="31"/>
      <c r="I919" s="54"/>
      <c r="J919" s="55"/>
      <c r="K919" s="54"/>
      <c r="L919" s="56"/>
      <c r="M919" s="56"/>
      <c r="N919" s="31"/>
      <c r="O919" s="57"/>
      <c r="P919" s="57"/>
      <c r="Q919" s="57"/>
      <c r="R919" s="57"/>
      <c r="S919" s="31"/>
      <c r="T919" s="57"/>
      <c r="U919" s="57"/>
      <c r="V919" s="57"/>
      <c r="W919" s="57"/>
      <c r="X919" s="31"/>
      <c r="Y919" s="57"/>
      <c r="Z919" s="57"/>
      <c r="AA919" s="57"/>
      <c r="AB919" s="57"/>
      <c r="AC919" s="31"/>
      <c r="AD919" s="57"/>
      <c r="AE919" s="57"/>
      <c r="AF919" s="57"/>
      <c r="AG919" s="57"/>
      <c r="AH919" s="57"/>
      <c r="AI919" s="57"/>
      <c r="AJ919" s="57"/>
      <c r="AK919" s="57"/>
      <c r="AL919" s="57"/>
      <c r="AM919" s="57"/>
      <c r="AN919" s="57"/>
      <c r="AO919" s="57"/>
      <c r="AP919" s="35"/>
      <c r="AQ919" s="57"/>
      <c r="AR919" s="36"/>
      <c r="AS919" s="57"/>
      <c r="AT919" s="37"/>
      <c r="AU919" s="30"/>
      <c r="AV919" s="30"/>
      <c r="AW919" s="30"/>
      <c r="AX919" s="30"/>
      <c r="AY919" s="30"/>
      <c r="AZ919" s="30"/>
    </row>
    <row r="920">
      <c r="A920" s="30"/>
      <c r="B920" s="30"/>
      <c r="C920" s="30"/>
      <c r="D920" s="31"/>
      <c r="E920" s="31"/>
      <c r="F920" s="31"/>
      <c r="G920" s="31"/>
      <c r="H920" s="31"/>
      <c r="I920" s="54"/>
      <c r="J920" s="55"/>
      <c r="K920" s="54"/>
      <c r="L920" s="56"/>
      <c r="M920" s="56"/>
      <c r="N920" s="31"/>
      <c r="O920" s="57"/>
      <c r="P920" s="57"/>
      <c r="Q920" s="57"/>
      <c r="R920" s="57"/>
      <c r="S920" s="31"/>
      <c r="T920" s="57"/>
      <c r="U920" s="57"/>
      <c r="V920" s="57"/>
      <c r="W920" s="57"/>
      <c r="X920" s="31"/>
      <c r="Y920" s="57"/>
      <c r="Z920" s="57"/>
      <c r="AA920" s="57"/>
      <c r="AB920" s="57"/>
      <c r="AC920" s="31"/>
      <c r="AD920" s="57"/>
      <c r="AE920" s="57"/>
      <c r="AF920" s="57"/>
      <c r="AG920" s="57"/>
      <c r="AH920" s="57"/>
      <c r="AI920" s="57"/>
      <c r="AJ920" s="57"/>
      <c r="AK920" s="57"/>
      <c r="AL920" s="57"/>
      <c r="AM920" s="57"/>
      <c r="AN920" s="57"/>
      <c r="AO920" s="57"/>
      <c r="AP920" s="35"/>
      <c r="AQ920" s="57"/>
      <c r="AR920" s="36"/>
      <c r="AS920" s="57"/>
      <c r="AT920" s="37"/>
      <c r="AU920" s="30"/>
      <c r="AV920" s="30"/>
      <c r="AW920" s="30"/>
      <c r="AX920" s="30"/>
      <c r="AY920" s="30"/>
      <c r="AZ920" s="30"/>
    </row>
    <row r="921">
      <c r="A921" s="30"/>
      <c r="B921" s="30"/>
      <c r="C921" s="30"/>
      <c r="D921" s="31"/>
      <c r="E921" s="31"/>
      <c r="F921" s="31"/>
      <c r="G921" s="31"/>
      <c r="H921" s="31"/>
      <c r="I921" s="54"/>
      <c r="J921" s="55"/>
      <c r="K921" s="54"/>
      <c r="L921" s="56"/>
      <c r="M921" s="56"/>
      <c r="N921" s="31"/>
      <c r="O921" s="57"/>
      <c r="P921" s="57"/>
      <c r="Q921" s="57"/>
      <c r="R921" s="57"/>
      <c r="S921" s="31"/>
      <c r="T921" s="57"/>
      <c r="U921" s="57"/>
      <c r="V921" s="57"/>
      <c r="W921" s="57"/>
      <c r="X921" s="31"/>
      <c r="Y921" s="57"/>
      <c r="Z921" s="57"/>
      <c r="AA921" s="57"/>
      <c r="AB921" s="57"/>
      <c r="AC921" s="31"/>
      <c r="AD921" s="57"/>
      <c r="AE921" s="57"/>
      <c r="AF921" s="57"/>
      <c r="AG921" s="57"/>
      <c r="AH921" s="57"/>
      <c r="AI921" s="57"/>
      <c r="AJ921" s="57"/>
      <c r="AK921" s="57"/>
      <c r="AL921" s="57"/>
      <c r="AM921" s="57"/>
      <c r="AN921" s="57"/>
      <c r="AO921" s="57"/>
      <c r="AP921" s="35"/>
      <c r="AQ921" s="57"/>
      <c r="AR921" s="36"/>
      <c r="AS921" s="57"/>
      <c r="AT921" s="37"/>
      <c r="AU921" s="30"/>
      <c r="AV921" s="30"/>
      <c r="AW921" s="30"/>
      <c r="AX921" s="30"/>
      <c r="AY921" s="30"/>
      <c r="AZ921" s="30"/>
    </row>
    <row r="922">
      <c r="A922" s="30"/>
      <c r="B922" s="30"/>
      <c r="C922" s="30"/>
      <c r="D922" s="31"/>
      <c r="E922" s="31"/>
      <c r="F922" s="31"/>
      <c r="G922" s="31"/>
      <c r="H922" s="31"/>
      <c r="I922" s="54"/>
      <c r="J922" s="55"/>
      <c r="K922" s="54"/>
      <c r="L922" s="56"/>
      <c r="M922" s="56"/>
      <c r="N922" s="31"/>
      <c r="O922" s="57"/>
      <c r="P922" s="57"/>
      <c r="Q922" s="57"/>
      <c r="R922" s="57"/>
      <c r="S922" s="31"/>
      <c r="T922" s="57"/>
      <c r="U922" s="57"/>
      <c r="V922" s="57"/>
      <c r="W922" s="57"/>
      <c r="X922" s="31"/>
      <c r="Y922" s="57"/>
      <c r="Z922" s="57"/>
      <c r="AA922" s="57"/>
      <c r="AB922" s="57"/>
      <c r="AC922" s="31"/>
      <c r="AD922" s="57"/>
      <c r="AE922" s="57"/>
      <c r="AF922" s="57"/>
      <c r="AG922" s="57"/>
      <c r="AH922" s="57"/>
      <c r="AI922" s="57"/>
      <c r="AJ922" s="57"/>
      <c r="AK922" s="57"/>
      <c r="AL922" s="57"/>
      <c r="AM922" s="57"/>
      <c r="AN922" s="57"/>
      <c r="AO922" s="57"/>
      <c r="AP922" s="35"/>
      <c r="AQ922" s="57"/>
      <c r="AR922" s="36"/>
      <c r="AS922" s="57"/>
      <c r="AT922" s="37"/>
      <c r="AU922" s="30"/>
      <c r="AV922" s="30"/>
      <c r="AW922" s="30"/>
      <c r="AX922" s="30"/>
      <c r="AY922" s="30"/>
      <c r="AZ922" s="30"/>
    </row>
    <row r="923">
      <c r="A923" s="30"/>
      <c r="B923" s="30"/>
      <c r="C923" s="30"/>
      <c r="D923" s="31"/>
      <c r="E923" s="31"/>
      <c r="F923" s="31"/>
      <c r="G923" s="31"/>
      <c r="H923" s="31"/>
      <c r="I923" s="54"/>
      <c r="J923" s="55"/>
      <c r="K923" s="54"/>
      <c r="L923" s="56"/>
      <c r="M923" s="56"/>
      <c r="N923" s="31"/>
      <c r="O923" s="57"/>
      <c r="P923" s="57"/>
      <c r="Q923" s="57"/>
      <c r="R923" s="57"/>
      <c r="S923" s="31"/>
      <c r="T923" s="57"/>
      <c r="U923" s="57"/>
      <c r="V923" s="57"/>
      <c r="W923" s="57"/>
      <c r="X923" s="31"/>
      <c r="Y923" s="57"/>
      <c r="Z923" s="57"/>
      <c r="AA923" s="57"/>
      <c r="AB923" s="57"/>
      <c r="AC923" s="31"/>
      <c r="AD923" s="57"/>
      <c r="AE923" s="57"/>
      <c r="AF923" s="57"/>
      <c r="AG923" s="57"/>
      <c r="AH923" s="57"/>
      <c r="AI923" s="57"/>
      <c r="AJ923" s="57"/>
      <c r="AK923" s="57"/>
      <c r="AL923" s="57"/>
      <c r="AM923" s="57"/>
      <c r="AN923" s="57"/>
      <c r="AO923" s="57"/>
      <c r="AP923" s="35"/>
      <c r="AQ923" s="57"/>
      <c r="AR923" s="36"/>
      <c r="AS923" s="57"/>
      <c r="AT923" s="37"/>
      <c r="AU923" s="30"/>
      <c r="AV923" s="30"/>
      <c r="AW923" s="30"/>
      <c r="AX923" s="30"/>
      <c r="AY923" s="30"/>
      <c r="AZ923" s="30"/>
    </row>
    <row r="924">
      <c r="A924" s="30"/>
      <c r="B924" s="30"/>
      <c r="C924" s="30"/>
      <c r="D924" s="31"/>
      <c r="E924" s="31"/>
      <c r="F924" s="31"/>
      <c r="G924" s="31"/>
      <c r="H924" s="31"/>
      <c r="I924" s="54"/>
      <c r="J924" s="55"/>
      <c r="K924" s="54"/>
      <c r="L924" s="56"/>
      <c r="M924" s="56"/>
      <c r="N924" s="31"/>
      <c r="O924" s="57"/>
      <c r="P924" s="57"/>
      <c r="Q924" s="57"/>
      <c r="R924" s="57"/>
      <c r="S924" s="31"/>
      <c r="T924" s="57"/>
      <c r="U924" s="57"/>
      <c r="V924" s="57"/>
      <c r="W924" s="57"/>
      <c r="X924" s="31"/>
      <c r="Y924" s="57"/>
      <c r="Z924" s="57"/>
      <c r="AA924" s="57"/>
      <c r="AB924" s="57"/>
      <c r="AC924" s="31"/>
      <c r="AD924" s="57"/>
      <c r="AE924" s="57"/>
      <c r="AF924" s="57"/>
      <c r="AG924" s="57"/>
      <c r="AH924" s="57"/>
      <c r="AI924" s="57"/>
      <c r="AJ924" s="57"/>
      <c r="AK924" s="57"/>
      <c r="AL924" s="57"/>
      <c r="AM924" s="57"/>
      <c r="AN924" s="57"/>
      <c r="AO924" s="57"/>
      <c r="AP924" s="35"/>
      <c r="AQ924" s="57"/>
      <c r="AR924" s="36"/>
      <c r="AS924" s="57"/>
      <c r="AT924" s="37"/>
      <c r="AU924" s="30"/>
      <c r="AV924" s="30"/>
      <c r="AW924" s="30"/>
      <c r="AX924" s="30"/>
      <c r="AY924" s="30"/>
      <c r="AZ924" s="30"/>
    </row>
    <row r="925">
      <c r="A925" s="30"/>
      <c r="B925" s="30"/>
      <c r="C925" s="30"/>
      <c r="D925" s="31"/>
      <c r="E925" s="31"/>
      <c r="F925" s="31"/>
      <c r="G925" s="31"/>
      <c r="H925" s="31"/>
      <c r="I925" s="54"/>
      <c r="J925" s="55"/>
      <c r="K925" s="54"/>
      <c r="L925" s="56"/>
      <c r="M925" s="56"/>
      <c r="N925" s="31"/>
      <c r="O925" s="57"/>
      <c r="P925" s="57"/>
      <c r="Q925" s="57"/>
      <c r="R925" s="57"/>
      <c r="S925" s="31"/>
      <c r="T925" s="57"/>
      <c r="U925" s="57"/>
      <c r="V925" s="57"/>
      <c r="W925" s="57"/>
      <c r="X925" s="31"/>
      <c r="Y925" s="57"/>
      <c r="Z925" s="57"/>
      <c r="AA925" s="57"/>
      <c r="AB925" s="57"/>
      <c r="AC925" s="31"/>
      <c r="AD925" s="57"/>
      <c r="AE925" s="57"/>
      <c r="AF925" s="57"/>
      <c r="AG925" s="57"/>
      <c r="AH925" s="57"/>
      <c r="AI925" s="57"/>
      <c r="AJ925" s="57"/>
      <c r="AK925" s="57"/>
      <c r="AL925" s="57"/>
      <c r="AM925" s="57"/>
      <c r="AN925" s="57"/>
      <c r="AO925" s="57"/>
      <c r="AP925" s="35"/>
      <c r="AQ925" s="57"/>
      <c r="AR925" s="36"/>
      <c r="AS925" s="57"/>
      <c r="AT925" s="37"/>
      <c r="AU925" s="30"/>
      <c r="AV925" s="30"/>
      <c r="AW925" s="30"/>
      <c r="AX925" s="30"/>
      <c r="AY925" s="30"/>
      <c r="AZ925" s="30"/>
    </row>
    <row r="926">
      <c r="A926" s="30"/>
      <c r="B926" s="30"/>
      <c r="C926" s="30"/>
      <c r="D926" s="31"/>
      <c r="E926" s="31"/>
      <c r="F926" s="31"/>
      <c r="G926" s="31"/>
      <c r="H926" s="31"/>
      <c r="I926" s="54"/>
      <c r="J926" s="55"/>
      <c r="K926" s="54"/>
      <c r="L926" s="56"/>
      <c r="M926" s="56"/>
      <c r="N926" s="31"/>
      <c r="O926" s="57"/>
      <c r="P926" s="57"/>
      <c r="Q926" s="57"/>
      <c r="R926" s="57"/>
      <c r="S926" s="31"/>
      <c r="T926" s="57"/>
      <c r="U926" s="57"/>
      <c r="V926" s="57"/>
      <c r="W926" s="57"/>
      <c r="X926" s="31"/>
      <c r="Y926" s="57"/>
      <c r="Z926" s="57"/>
      <c r="AA926" s="57"/>
      <c r="AB926" s="57"/>
      <c r="AC926" s="31"/>
      <c r="AD926" s="57"/>
      <c r="AE926" s="57"/>
      <c r="AF926" s="57"/>
      <c r="AG926" s="57"/>
      <c r="AH926" s="57"/>
      <c r="AI926" s="57"/>
      <c r="AJ926" s="57"/>
      <c r="AK926" s="57"/>
      <c r="AL926" s="57"/>
      <c r="AM926" s="57"/>
      <c r="AN926" s="57"/>
      <c r="AO926" s="57"/>
      <c r="AP926" s="35"/>
      <c r="AQ926" s="57"/>
      <c r="AR926" s="36"/>
      <c r="AS926" s="57"/>
      <c r="AT926" s="37"/>
      <c r="AU926" s="30"/>
      <c r="AV926" s="30"/>
      <c r="AW926" s="30"/>
      <c r="AX926" s="30"/>
      <c r="AY926" s="30"/>
      <c r="AZ926" s="30"/>
    </row>
    <row r="927">
      <c r="A927" s="30"/>
      <c r="B927" s="30"/>
      <c r="C927" s="30"/>
      <c r="D927" s="31"/>
      <c r="E927" s="31"/>
      <c r="F927" s="31"/>
      <c r="G927" s="31"/>
      <c r="H927" s="31"/>
      <c r="I927" s="54"/>
      <c r="J927" s="55"/>
      <c r="K927" s="54"/>
      <c r="L927" s="56"/>
      <c r="M927" s="56"/>
      <c r="N927" s="31"/>
      <c r="O927" s="57"/>
      <c r="P927" s="57"/>
      <c r="Q927" s="57"/>
      <c r="R927" s="57"/>
      <c r="S927" s="31"/>
      <c r="T927" s="57"/>
      <c r="U927" s="57"/>
      <c r="V927" s="57"/>
      <c r="W927" s="57"/>
      <c r="X927" s="31"/>
      <c r="Y927" s="57"/>
      <c r="Z927" s="57"/>
      <c r="AA927" s="57"/>
      <c r="AB927" s="57"/>
      <c r="AC927" s="31"/>
      <c r="AD927" s="57"/>
      <c r="AE927" s="57"/>
      <c r="AF927" s="57"/>
      <c r="AG927" s="57"/>
      <c r="AH927" s="57"/>
      <c r="AI927" s="57"/>
      <c r="AJ927" s="57"/>
      <c r="AK927" s="57"/>
      <c r="AL927" s="57"/>
      <c r="AM927" s="57"/>
      <c r="AN927" s="57"/>
      <c r="AO927" s="57"/>
      <c r="AP927" s="35"/>
      <c r="AQ927" s="57"/>
      <c r="AR927" s="36"/>
      <c r="AS927" s="57"/>
      <c r="AT927" s="37"/>
      <c r="AU927" s="30"/>
      <c r="AV927" s="30"/>
      <c r="AW927" s="30"/>
      <c r="AX927" s="30"/>
      <c r="AY927" s="30"/>
      <c r="AZ927" s="30"/>
    </row>
    <row r="928">
      <c r="A928" s="30"/>
      <c r="B928" s="30"/>
      <c r="C928" s="30"/>
      <c r="D928" s="31"/>
      <c r="E928" s="31"/>
      <c r="F928" s="31"/>
      <c r="G928" s="31"/>
      <c r="H928" s="31"/>
      <c r="I928" s="54"/>
      <c r="J928" s="55"/>
      <c r="K928" s="54"/>
      <c r="L928" s="56"/>
      <c r="M928" s="56"/>
      <c r="N928" s="31"/>
      <c r="O928" s="57"/>
      <c r="P928" s="57"/>
      <c r="Q928" s="57"/>
      <c r="R928" s="57"/>
      <c r="S928" s="31"/>
      <c r="T928" s="57"/>
      <c r="U928" s="57"/>
      <c r="V928" s="57"/>
      <c r="W928" s="57"/>
      <c r="X928" s="31"/>
      <c r="Y928" s="57"/>
      <c r="Z928" s="57"/>
      <c r="AA928" s="57"/>
      <c r="AB928" s="57"/>
      <c r="AC928" s="31"/>
      <c r="AD928" s="57"/>
      <c r="AE928" s="57"/>
      <c r="AF928" s="57"/>
      <c r="AG928" s="57"/>
      <c r="AH928" s="57"/>
      <c r="AI928" s="57"/>
      <c r="AJ928" s="57"/>
      <c r="AK928" s="57"/>
      <c r="AL928" s="57"/>
      <c r="AM928" s="57"/>
      <c r="AN928" s="57"/>
      <c r="AO928" s="57"/>
      <c r="AP928" s="35"/>
      <c r="AQ928" s="57"/>
      <c r="AR928" s="36"/>
      <c r="AS928" s="57"/>
      <c r="AT928" s="37"/>
      <c r="AU928" s="30"/>
      <c r="AV928" s="30"/>
      <c r="AW928" s="30"/>
      <c r="AX928" s="30"/>
      <c r="AY928" s="30"/>
      <c r="AZ928" s="30"/>
    </row>
    <row r="929">
      <c r="A929" s="30"/>
      <c r="B929" s="30"/>
      <c r="C929" s="30"/>
      <c r="D929" s="31"/>
      <c r="E929" s="31"/>
      <c r="F929" s="31"/>
      <c r="G929" s="31"/>
      <c r="H929" s="31"/>
      <c r="I929" s="54"/>
      <c r="J929" s="55"/>
      <c r="K929" s="54"/>
      <c r="L929" s="56"/>
      <c r="M929" s="56"/>
      <c r="N929" s="31"/>
      <c r="O929" s="57"/>
      <c r="P929" s="57"/>
      <c r="Q929" s="57"/>
      <c r="R929" s="57"/>
      <c r="S929" s="31"/>
      <c r="T929" s="57"/>
      <c r="U929" s="57"/>
      <c r="V929" s="57"/>
      <c r="W929" s="57"/>
      <c r="X929" s="31"/>
      <c r="Y929" s="57"/>
      <c r="Z929" s="57"/>
      <c r="AA929" s="57"/>
      <c r="AB929" s="57"/>
      <c r="AC929" s="31"/>
      <c r="AD929" s="57"/>
      <c r="AE929" s="57"/>
      <c r="AF929" s="57"/>
      <c r="AG929" s="57"/>
      <c r="AH929" s="57"/>
      <c r="AI929" s="57"/>
      <c r="AJ929" s="57"/>
      <c r="AK929" s="57"/>
      <c r="AL929" s="57"/>
      <c r="AM929" s="57"/>
      <c r="AN929" s="57"/>
      <c r="AO929" s="57"/>
      <c r="AP929" s="35"/>
      <c r="AQ929" s="57"/>
      <c r="AR929" s="36"/>
      <c r="AS929" s="57"/>
      <c r="AT929" s="37"/>
      <c r="AU929" s="30"/>
      <c r="AV929" s="30"/>
      <c r="AW929" s="30"/>
      <c r="AX929" s="30"/>
      <c r="AY929" s="30"/>
      <c r="AZ929" s="30"/>
    </row>
    <row r="930">
      <c r="A930" s="30"/>
      <c r="B930" s="30"/>
      <c r="C930" s="30"/>
      <c r="D930" s="31"/>
      <c r="E930" s="31"/>
      <c r="F930" s="31"/>
      <c r="G930" s="31"/>
      <c r="H930" s="31"/>
      <c r="I930" s="54"/>
      <c r="J930" s="55"/>
      <c r="K930" s="54"/>
      <c r="L930" s="56"/>
      <c r="M930" s="56"/>
      <c r="N930" s="31"/>
      <c r="O930" s="57"/>
      <c r="P930" s="57"/>
      <c r="Q930" s="57"/>
      <c r="R930" s="57"/>
      <c r="S930" s="31"/>
      <c r="T930" s="57"/>
      <c r="U930" s="57"/>
      <c r="V930" s="57"/>
      <c r="W930" s="57"/>
      <c r="X930" s="31"/>
      <c r="Y930" s="57"/>
      <c r="Z930" s="57"/>
      <c r="AA930" s="57"/>
      <c r="AB930" s="57"/>
      <c r="AC930" s="31"/>
      <c r="AD930" s="57"/>
      <c r="AE930" s="57"/>
      <c r="AF930" s="57"/>
      <c r="AG930" s="57"/>
      <c r="AH930" s="57"/>
      <c r="AI930" s="57"/>
      <c r="AJ930" s="57"/>
      <c r="AK930" s="57"/>
      <c r="AL930" s="57"/>
      <c r="AM930" s="57"/>
      <c r="AN930" s="57"/>
      <c r="AO930" s="57"/>
      <c r="AP930" s="35"/>
      <c r="AQ930" s="57"/>
      <c r="AR930" s="36"/>
      <c r="AS930" s="57"/>
      <c r="AT930" s="37"/>
      <c r="AU930" s="30"/>
      <c r="AV930" s="30"/>
      <c r="AW930" s="30"/>
      <c r="AX930" s="30"/>
      <c r="AY930" s="30"/>
      <c r="AZ930" s="30"/>
    </row>
    <row r="931">
      <c r="A931" s="30"/>
      <c r="B931" s="30"/>
      <c r="C931" s="30"/>
      <c r="D931" s="31"/>
      <c r="E931" s="31"/>
      <c r="F931" s="31"/>
      <c r="G931" s="31"/>
      <c r="H931" s="31"/>
      <c r="I931" s="54"/>
      <c r="J931" s="55"/>
      <c r="K931" s="54"/>
      <c r="L931" s="56"/>
      <c r="M931" s="56"/>
      <c r="N931" s="31"/>
      <c r="O931" s="57"/>
      <c r="P931" s="57"/>
      <c r="Q931" s="57"/>
      <c r="R931" s="57"/>
      <c r="S931" s="31"/>
      <c r="T931" s="57"/>
      <c r="U931" s="57"/>
      <c r="V931" s="57"/>
      <c r="W931" s="57"/>
      <c r="X931" s="31"/>
      <c r="Y931" s="57"/>
      <c r="Z931" s="57"/>
      <c r="AA931" s="57"/>
      <c r="AB931" s="57"/>
      <c r="AC931" s="31"/>
      <c r="AD931" s="57"/>
      <c r="AE931" s="57"/>
      <c r="AF931" s="57"/>
      <c r="AG931" s="57"/>
      <c r="AH931" s="57"/>
      <c r="AI931" s="57"/>
      <c r="AJ931" s="57"/>
      <c r="AK931" s="57"/>
      <c r="AL931" s="57"/>
      <c r="AM931" s="57"/>
      <c r="AN931" s="57"/>
      <c r="AO931" s="57"/>
      <c r="AP931" s="35"/>
      <c r="AQ931" s="57"/>
      <c r="AR931" s="36"/>
      <c r="AS931" s="57"/>
      <c r="AT931" s="37"/>
      <c r="AU931" s="30"/>
      <c r="AV931" s="30"/>
      <c r="AW931" s="30"/>
      <c r="AX931" s="30"/>
      <c r="AY931" s="30"/>
      <c r="AZ931" s="30"/>
    </row>
    <row r="932">
      <c r="A932" s="30"/>
      <c r="B932" s="30"/>
      <c r="C932" s="30"/>
      <c r="D932" s="31"/>
      <c r="E932" s="31"/>
      <c r="F932" s="31"/>
      <c r="G932" s="31"/>
      <c r="H932" s="31"/>
      <c r="I932" s="54"/>
      <c r="J932" s="55"/>
      <c r="K932" s="54"/>
      <c r="L932" s="56"/>
      <c r="M932" s="56"/>
      <c r="N932" s="31"/>
      <c r="O932" s="57"/>
      <c r="P932" s="57"/>
      <c r="Q932" s="57"/>
      <c r="R932" s="57"/>
      <c r="S932" s="31"/>
      <c r="T932" s="57"/>
      <c r="U932" s="57"/>
      <c r="V932" s="57"/>
      <c r="W932" s="57"/>
      <c r="X932" s="31"/>
      <c r="Y932" s="57"/>
      <c r="Z932" s="57"/>
      <c r="AA932" s="57"/>
      <c r="AB932" s="57"/>
      <c r="AC932" s="31"/>
      <c r="AD932" s="57"/>
      <c r="AE932" s="57"/>
      <c r="AF932" s="57"/>
      <c r="AG932" s="57"/>
      <c r="AH932" s="57"/>
      <c r="AI932" s="57"/>
      <c r="AJ932" s="57"/>
      <c r="AK932" s="57"/>
      <c r="AL932" s="57"/>
      <c r="AM932" s="57"/>
      <c r="AN932" s="57"/>
      <c r="AO932" s="57"/>
      <c r="AP932" s="35"/>
      <c r="AQ932" s="57"/>
      <c r="AR932" s="36"/>
      <c r="AS932" s="57"/>
      <c r="AT932" s="37"/>
      <c r="AU932" s="30"/>
      <c r="AV932" s="30"/>
      <c r="AW932" s="30"/>
      <c r="AX932" s="30"/>
      <c r="AY932" s="30"/>
      <c r="AZ932" s="30"/>
    </row>
    <row r="933">
      <c r="A933" s="30"/>
      <c r="B933" s="30"/>
      <c r="C933" s="30"/>
      <c r="D933" s="31"/>
      <c r="E933" s="31"/>
      <c r="F933" s="31"/>
      <c r="G933" s="31"/>
      <c r="H933" s="31"/>
      <c r="I933" s="54"/>
      <c r="J933" s="55"/>
      <c r="K933" s="54"/>
      <c r="L933" s="56"/>
      <c r="M933" s="56"/>
      <c r="N933" s="31"/>
      <c r="O933" s="57"/>
      <c r="P933" s="57"/>
      <c r="Q933" s="57"/>
      <c r="R933" s="57"/>
      <c r="S933" s="31"/>
      <c r="T933" s="57"/>
      <c r="U933" s="57"/>
      <c r="V933" s="57"/>
      <c r="W933" s="57"/>
      <c r="X933" s="31"/>
      <c r="Y933" s="57"/>
      <c r="Z933" s="57"/>
      <c r="AA933" s="57"/>
      <c r="AB933" s="57"/>
      <c r="AC933" s="31"/>
      <c r="AD933" s="57"/>
      <c r="AE933" s="57"/>
      <c r="AF933" s="57"/>
      <c r="AG933" s="57"/>
      <c r="AH933" s="57"/>
      <c r="AI933" s="57"/>
      <c r="AJ933" s="57"/>
      <c r="AK933" s="57"/>
      <c r="AL933" s="57"/>
      <c r="AM933" s="57"/>
      <c r="AN933" s="57"/>
      <c r="AO933" s="57"/>
      <c r="AP933" s="35"/>
      <c r="AQ933" s="57"/>
      <c r="AR933" s="36"/>
      <c r="AS933" s="57"/>
      <c r="AT933" s="37"/>
      <c r="AU933" s="30"/>
      <c r="AV933" s="30"/>
      <c r="AW933" s="30"/>
      <c r="AX933" s="30"/>
      <c r="AY933" s="30"/>
      <c r="AZ933" s="30"/>
    </row>
    <row r="934">
      <c r="A934" s="30"/>
      <c r="B934" s="30"/>
      <c r="C934" s="30"/>
      <c r="D934" s="31"/>
      <c r="E934" s="31"/>
      <c r="F934" s="31"/>
      <c r="G934" s="31"/>
      <c r="H934" s="31"/>
      <c r="I934" s="54"/>
      <c r="J934" s="55"/>
      <c r="K934" s="54"/>
      <c r="L934" s="56"/>
      <c r="M934" s="56"/>
      <c r="N934" s="31"/>
      <c r="O934" s="57"/>
      <c r="P934" s="57"/>
      <c r="Q934" s="57"/>
      <c r="R934" s="57"/>
      <c r="S934" s="31"/>
      <c r="T934" s="57"/>
      <c r="U934" s="57"/>
      <c r="V934" s="57"/>
      <c r="W934" s="57"/>
      <c r="X934" s="31"/>
      <c r="Y934" s="57"/>
      <c r="Z934" s="57"/>
      <c r="AA934" s="57"/>
      <c r="AB934" s="57"/>
      <c r="AC934" s="31"/>
      <c r="AD934" s="57"/>
      <c r="AE934" s="57"/>
      <c r="AF934" s="57"/>
      <c r="AG934" s="57"/>
      <c r="AH934" s="57"/>
      <c r="AI934" s="57"/>
      <c r="AJ934" s="57"/>
      <c r="AK934" s="57"/>
      <c r="AL934" s="57"/>
      <c r="AM934" s="57"/>
      <c r="AN934" s="57"/>
      <c r="AO934" s="57"/>
      <c r="AP934" s="35"/>
      <c r="AQ934" s="57"/>
      <c r="AR934" s="36"/>
      <c r="AS934" s="57"/>
      <c r="AT934" s="37"/>
      <c r="AU934" s="30"/>
      <c r="AV934" s="30"/>
      <c r="AW934" s="30"/>
      <c r="AX934" s="30"/>
      <c r="AY934" s="30"/>
      <c r="AZ934" s="30"/>
    </row>
    <row r="935">
      <c r="A935" s="30"/>
      <c r="B935" s="30"/>
      <c r="C935" s="30"/>
      <c r="D935" s="31"/>
      <c r="E935" s="31"/>
      <c r="F935" s="31"/>
      <c r="G935" s="31"/>
      <c r="H935" s="31"/>
      <c r="I935" s="54"/>
      <c r="J935" s="55"/>
      <c r="K935" s="54"/>
      <c r="L935" s="56"/>
      <c r="M935" s="56"/>
      <c r="N935" s="31"/>
      <c r="O935" s="57"/>
      <c r="P935" s="57"/>
      <c r="Q935" s="57"/>
      <c r="R935" s="57"/>
      <c r="S935" s="31"/>
      <c r="T935" s="57"/>
      <c r="U935" s="57"/>
      <c r="V935" s="57"/>
      <c r="W935" s="57"/>
      <c r="X935" s="31"/>
      <c r="Y935" s="57"/>
      <c r="Z935" s="57"/>
      <c r="AA935" s="57"/>
      <c r="AB935" s="57"/>
      <c r="AC935" s="31"/>
      <c r="AD935" s="57"/>
      <c r="AE935" s="57"/>
      <c r="AF935" s="57"/>
      <c r="AG935" s="57"/>
      <c r="AH935" s="57"/>
      <c r="AI935" s="57"/>
      <c r="AJ935" s="57"/>
      <c r="AK935" s="57"/>
      <c r="AL935" s="57"/>
      <c r="AM935" s="57"/>
      <c r="AN935" s="57"/>
      <c r="AO935" s="57"/>
      <c r="AP935" s="35"/>
      <c r="AQ935" s="57"/>
      <c r="AR935" s="36"/>
      <c r="AS935" s="57"/>
      <c r="AT935" s="37"/>
      <c r="AU935" s="30"/>
      <c r="AV935" s="30"/>
      <c r="AW935" s="30"/>
      <c r="AX935" s="30"/>
      <c r="AY935" s="30"/>
      <c r="AZ935" s="30"/>
    </row>
    <row r="936">
      <c r="A936" s="30"/>
      <c r="B936" s="30"/>
      <c r="C936" s="30"/>
      <c r="D936" s="31"/>
      <c r="E936" s="31"/>
      <c r="F936" s="31"/>
      <c r="G936" s="31"/>
      <c r="H936" s="31"/>
      <c r="I936" s="54"/>
      <c r="J936" s="55"/>
      <c r="K936" s="54"/>
      <c r="L936" s="56"/>
      <c r="M936" s="56"/>
      <c r="N936" s="31"/>
      <c r="O936" s="57"/>
      <c r="P936" s="57"/>
      <c r="Q936" s="57"/>
      <c r="R936" s="57"/>
      <c r="S936" s="31"/>
      <c r="T936" s="57"/>
      <c r="U936" s="57"/>
      <c r="V936" s="57"/>
      <c r="W936" s="57"/>
      <c r="X936" s="31"/>
      <c r="Y936" s="57"/>
      <c r="Z936" s="57"/>
      <c r="AA936" s="57"/>
      <c r="AB936" s="57"/>
      <c r="AC936" s="31"/>
      <c r="AD936" s="57"/>
      <c r="AE936" s="57"/>
      <c r="AF936" s="57"/>
      <c r="AG936" s="57"/>
      <c r="AH936" s="57"/>
      <c r="AI936" s="57"/>
      <c r="AJ936" s="57"/>
      <c r="AK936" s="57"/>
      <c r="AL936" s="57"/>
      <c r="AM936" s="57"/>
      <c r="AN936" s="57"/>
      <c r="AO936" s="57"/>
      <c r="AP936" s="35"/>
      <c r="AQ936" s="57"/>
      <c r="AR936" s="36"/>
      <c r="AS936" s="57"/>
      <c r="AT936" s="37"/>
      <c r="AU936" s="30"/>
      <c r="AV936" s="30"/>
      <c r="AW936" s="30"/>
      <c r="AX936" s="30"/>
      <c r="AY936" s="30"/>
      <c r="AZ936" s="30"/>
    </row>
    <row r="937">
      <c r="A937" s="30"/>
      <c r="B937" s="30"/>
      <c r="C937" s="30"/>
      <c r="D937" s="31"/>
      <c r="E937" s="31"/>
      <c r="F937" s="31"/>
      <c r="G937" s="31"/>
      <c r="H937" s="31"/>
      <c r="I937" s="54"/>
      <c r="J937" s="55"/>
      <c r="K937" s="54"/>
      <c r="L937" s="56"/>
      <c r="M937" s="56"/>
      <c r="N937" s="31"/>
      <c r="O937" s="57"/>
      <c r="P937" s="57"/>
      <c r="Q937" s="57"/>
      <c r="R937" s="57"/>
      <c r="S937" s="31"/>
      <c r="T937" s="57"/>
      <c r="U937" s="57"/>
      <c r="V937" s="57"/>
      <c r="W937" s="57"/>
      <c r="X937" s="31"/>
      <c r="Y937" s="57"/>
      <c r="Z937" s="57"/>
      <c r="AA937" s="57"/>
      <c r="AB937" s="57"/>
      <c r="AC937" s="31"/>
      <c r="AD937" s="57"/>
      <c r="AE937" s="57"/>
      <c r="AF937" s="57"/>
      <c r="AG937" s="57"/>
      <c r="AH937" s="57"/>
      <c r="AI937" s="57"/>
      <c r="AJ937" s="57"/>
      <c r="AK937" s="57"/>
      <c r="AL937" s="57"/>
      <c r="AM937" s="57"/>
      <c r="AN937" s="57"/>
      <c r="AO937" s="57"/>
      <c r="AP937" s="35"/>
      <c r="AQ937" s="57"/>
      <c r="AR937" s="36"/>
      <c r="AS937" s="57"/>
      <c r="AT937" s="37"/>
      <c r="AU937" s="30"/>
      <c r="AV937" s="30"/>
      <c r="AW937" s="30"/>
      <c r="AX937" s="30"/>
      <c r="AY937" s="30"/>
      <c r="AZ937" s="30"/>
    </row>
    <row r="938">
      <c r="A938" s="30"/>
      <c r="B938" s="30"/>
      <c r="C938" s="30"/>
      <c r="D938" s="31"/>
      <c r="E938" s="31"/>
      <c r="F938" s="31"/>
      <c r="G938" s="31"/>
      <c r="H938" s="31"/>
      <c r="I938" s="54"/>
      <c r="J938" s="55"/>
      <c r="K938" s="54"/>
      <c r="L938" s="56"/>
      <c r="M938" s="56"/>
      <c r="N938" s="31"/>
      <c r="O938" s="57"/>
      <c r="P938" s="57"/>
      <c r="Q938" s="57"/>
      <c r="R938" s="57"/>
      <c r="S938" s="31"/>
      <c r="T938" s="57"/>
      <c r="U938" s="57"/>
      <c r="V938" s="57"/>
      <c r="W938" s="57"/>
      <c r="X938" s="31"/>
      <c r="Y938" s="57"/>
      <c r="Z938" s="57"/>
      <c r="AA938" s="57"/>
      <c r="AB938" s="57"/>
      <c r="AC938" s="31"/>
      <c r="AD938" s="57"/>
      <c r="AE938" s="57"/>
      <c r="AF938" s="57"/>
      <c r="AG938" s="57"/>
      <c r="AH938" s="57"/>
      <c r="AI938" s="57"/>
      <c r="AJ938" s="57"/>
      <c r="AK938" s="57"/>
      <c r="AL938" s="57"/>
      <c r="AM938" s="57"/>
      <c r="AN938" s="57"/>
      <c r="AO938" s="57"/>
      <c r="AP938" s="35"/>
      <c r="AQ938" s="57"/>
      <c r="AR938" s="36"/>
      <c r="AS938" s="57"/>
      <c r="AT938" s="37"/>
      <c r="AU938" s="30"/>
      <c r="AV938" s="30"/>
      <c r="AW938" s="30"/>
      <c r="AX938" s="30"/>
      <c r="AY938" s="30"/>
      <c r="AZ938" s="30"/>
    </row>
    <row r="939">
      <c r="A939" s="30"/>
      <c r="B939" s="30"/>
      <c r="C939" s="30"/>
      <c r="D939" s="31"/>
      <c r="E939" s="31"/>
      <c r="F939" s="31"/>
      <c r="G939" s="31"/>
      <c r="H939" s="31"/>
      <c r="I939" s="54"/>
      <c r="J939" s="55"/>
      <c r="K939" s="54"/>
      <c r="L939" s="56"/>
      <c r="M939" s="56"/>
      <c r="N939" s="31"/>
      <c r="O939" s="57"/>
      <c r="P939" s="57"/>
      <c r="Q939" s="57"/>
      <c r="R939" s="57"/>
      <c r="S939" s="31"/>
      <c r="T939" s="57"/>
      <c r="U939" s="57"/>
      <c r="V939" s="57"/>
      <c r="W939" s="57"/>
      <c r="X939" s="31"/>
      <c r="Y939" s="57"/>
      <c r="Z939" s="57"/>
      <c r="AA939" s="57"/>
      <c r="AB939" s="57"/>
      <c r="AC939" s="31"/>
      <c r="AD939" s="57"/>
      <c r="AE939" s="57"/>
      <c r="AF939" s="57"/>
      <c r="AG939" s="57"/>
      <c r="AH939" s="57"/>
      <c r="AI939" s="57"/>
      <c r="AJ939" s="57"/>
      <c r="AK939" s="57"/>
      <c r="AL939" s="57"/>
      <c r="AM939" s="57"/>
      <c r="AN939" s="57"/>
      <c r="AO939" s="57"/>
      <c r="AP939" s="35"/>
      <c r="AQ939" s="57"/>
      <c r="AR939" s="36"/>
      <c r="AS939" s="57"/>
      <c r="AT939" s="37"/>
      <c r="AU939" s="30"/>
      <c r="AV939" s="30"/>
      <c r="AW939" s="30"/>
      <c r="AX939" s="30"/>
      <c r="AY939" s="30"/>
      <c r="AZ939" s="30"/>
    </row>
    <row r="940">
      <c r="A940" s="30"/>
      <c r="B940" s="30"/>
      <c r="C940" s="30"/>
      <c r="D940" s="31"/>
      <c r="E940" s="31"/>
      <c r="F940" s="31"/>
      <c r="G940" s="31"/>
      <c r="H940" s="31"/>
      <c r="I940" s="54"/>
      <c r="J940" s="55"/>
      <c r="K940" s="54"/>
      <c r="L940" s="56"/>
      <c r="M940" s="56"/>
      <c r="N940" s="31"/>
      <c r="O940" s="57"/>
      <c r="P940" s="57"/>
      <c r="Q940" s="57"/>
      <c r="R940" s="57"/>
      <c r="S940" s="31"/>
      <c r="T940" s="57"/>
      <c r="U940" s="57"/>
      <c r="V940" s="57"/>
      <c r="W940" s="57"/>
      <c r="X940" s="31"/>
      <c r="Y940" s="57"/>
      <c r="Z940" s="57"/>
      <c r="AA940" s="57"/>
      <c r="AB940" s="57"/>
      <c r="AC940" s="31"/>
      <c r="AD940" s="57"/>
      <c r="AE940" s="57"/>
      <c r="AF940" s="57"/>
      <c r="AG940" s="57"/>
      <c r="AH940" s="57"/>
      <c r="AI940" s="57"/>
      <c r="AJ940" s="57"/>
      <c r="AK940" s="57"/>
      <c r="AL940" s="57"/>
      <c r="AM940" s="57"/>
      <c r="AN940" s="57"/>
      <c r="AO940" s="57"/>
      <c r="AP940" s="35"/>
      <c r="AQ940" s="57"/>
      <c r="AR940" s="36"/>
      <c r="AS940" s="57"/>
      <c r="AT940" s="37"/>
      <c r="AU940" s="30"/>
      <c r="AV940" s="30"/>
      <c r="AW940" s="30"/>
      <c r="AX940" s="30"/>
      <c r="AY940" s="30"/>
      <c r="AZ940" s="30"/>
    </row>
    <row r="941">
      <c r="A941" s="30"/>
      <c r="B941" s="30"/>
      <c r="C941" s="30"/>
      <c r="D941" s="31"/>
      <c r="E941" s="31"/>
      <c r="F941" s="31"/>
      <c r="G941" s="31"/>
      <c r="H941" s="31"/>
      <c r="I941" s="54"/>
      <c r="J941" s="55"/>
      <c r="K941" s="54"/>
      <c r="L941" s="56"/>
      <c r="M941" s="56"/>
      <c r="N941" s="31"/>
      <c r="O941" s="57"/>
      <c r="P941" s="57"/>
      <c r="Q941" s="57"/>
      <c r="R941" s="57"/>
      <c r="S941" s="31"/>
      <c r="T941" s="57"/>
      <c r="U941" s="57"/>
      <c r="V941" s="57"/>
      <c r="W941" s="57"/>
      <c r="X941" s="31"/>
      <c r="Y941" s="57"/>
      <c r="Z941" s="57"/>
      <c r="AA941" s="57"/>
      <c r="AB941" s="57"/>
      <c r="AC941" s="31"/>
      <c r="AD941" s="57"/>
      <c r="AE941" s="57"/>
      <c r="AF941" s="57"/>
      <c r="AG941" s="57"/>
      <c r="AH941" s="57"/>
      <c r="AI941" s="57"/>
      <c r="AJ941" s="57"/>
      <c r="AK941" s="57"/>
      <c r="AL941" s="57"/>
      <c r="AM941" s="57"/>
      <c r="AN941" s="57"/>
      <c r="AO941" s="57"/>
      <c r="AP941" s="35"/>
      <c r="AQ941" s="57"/>
      <c r="AR941" s="36"/>
      <c r="AS941" s="57"/>
      <c r="AT941" s="37"/>
      <c r="AU941" s="30"/>
      <c r="AV941" s="30"/>
      <c r="AW941" s="30"/>
      <c r="AX941" s="30"/>
      <c r="AY941" s="30"/>
      <c r="AZ941" s="30"/>
    </row>
    <row r="942">
      <c r="A942" s="30"/>
      <c r="B942" s="30"/>
      <c r="C942" s="30"/>
      <c r="D942" s="31"/>
      <c r="E942" s="31"/>
      <c r="F942" s="31"/>
      <c r="G942" s="31"/>
      <c r="H942" s="31"/>
      <c r="I942" s="54"/>
      <c r="J942" s="55"/>
      <c r="K942" s="54"/>
      <c r="L942" s="56"/>
      <c r="M942" s="56"/>
      <c r="N942" s="31"/>
      <c r="O942" s="57"/>
      <c r="P942" s="57"/>
      <c r="Q942" s="57"/>
      <c r="R942" s="57"/>
      <c r="S942" s="31"/>
      <c r="T942" s="57"/>
      <c r="U942" s="57"/>
      <c r="V942" s="57"/>
      <c r="W942" s="57"/>
      <c r="X942" s="31"/>
      <c r="Y942" s="57"/>
      <c r="Z942" s="57"/>
      <c r="AA942" s="57"/>
      <c r="AB942" s="57"/>
      <c r="AC942" s="31"/>
      <c r="AD942" s="57"/>
      <c r="AE942" s="57"/>
      <c r="AF942" s="57"/>
      <c r="AG942" s="57"/>
      <c r="AH942" s="57"/>
      <c r="AI942" s="57"/>
      <c r="AJ942" s="57"/>
      <c r="AK942" s="57"/>
      <c r="AL942" s="57"/>
      <c r="AM942" s="57"/>
      <c r="AN942" s="57"/>
      <c r="AO942" s="57"/>
      <c r="AP942" s="35"/>
      <c r="AQ942" s="57"/>
      <c r="AR942" s="36"/>
      <c r="AS942" s="57"/>
      <c r="AT942" s="37"/>
      <c r="AU942" s="30"/>
      <c r="AV942" s="30"/>
      <c r="AW942" s="30"/>
      <c r="AX942" s="30"/>
      <c r="AY942" s="30"/>
      <c r="AZ942" s="30"/>
    </row>
    <row r="943">
      <c r="A943" s="30"/>
      <c r="B943" s="30"/>
      <c r="C943" s="30"/>
      <c r="D943" s="31"/>
      <c r="E943" s="31"/>
      <c r="F943" s="31"/>
      <c r="G943" s="31"/>
      <c r="H943" s="31"/>
      <c r="I943" s="54"/>
      <c r="J943" s="55"/>
      <c r="K943" s="54"/>
      <c r="L943" s="56"/>
      <c r="M943" s="56"/>
      <c r="N943" s="31"/>
      <c r="O943" s="57"/>
      <c r="P943" s="57"/>
      <c r="Q943" s="57"/>
      <c r="R943" s="57"/>
      <c r="S943" s="31"/>
      <c r="T943" s="57"/>
      <c r="U943" s="57"/>
      <c r="V943" s="57"/>
      <c r="W943" s="57"/>
      <c r="X943" s="31"/>
      <c r="Y943" s="57"/>
      <c r="Z943" s="57"/>
      <c r="AA943" s="57"/>
      <c r="AB943" s="57"/>
      <c r="AC943" s="31"/>
      <c r="AD943" s="57"/>
      <c r="AE943" s="57"/>
      <c r="AF943" s="57"/>
      <c r="AG943" s="57"/>
      <c r="AH943" s="57"/>
      <c r="AI943" s="57"/>
      <c r="AJ943" s="57"/>
      <c r="AK943" s="57"/>
      <c r="AL943" s="57"/>
      <c r="AM943" s="57"/>
      <c r="AN943" s="57"/>
      <c r="AO943" s="57"/>
      <c r="AP943" s="35"/>
      <c r="AQ943" s="57"/>
      <c r="AR943" s="36"/>
      <c r="AS943" s="57"/>
      <c r="AT943" s="37"/>
      <c r="AU943" s="30"/>
      <c r="AV943" s="30"/>
      <c r="AW943" s="30"/>
      <c r="AX943" s="30"/>
      <c r="AY943" s="30"/>
      <c r="AZ943" s="30"/>
    </row>
    <row r="944">
      <c r="A944" s="30"/>
      <c r="B944" s="30"/>
      <c r="C944" s="30"/>
      <c r="D944" s="31"/>
      <c r="E944" s="31"/>
      <c r="F944" s="31"/>
      <c r="G944" s="31"/>
      <c r="H944" s="31"/>
      <c r="I944" s="54"/>
      <c r="J944" s="55"/>
      <c r="K944" s="54"/>
      <c r="L944" s="56"/>
      <c r="M944" s="56"/>
      <c r="N944" s="31"/>
      <c r="O944" s="57"/>
      <c r="P944" s="57"/>
      <c r="Q944" s="57"/>
      <c r="R944" s="57"/>
      <c r="S944" s="31"/>
      <c r="T944" s="57"/>
      <c r="U944" s="57"/>
      <c r="V944" s="57"/>
      <c r="W944" s="57"/>
      <c r="X944" s="31"/>
      <c r="Y944" s="57"/>
      <c r="Z944" s="57"/>
      <c r="AA944" s="57"/>
      <c r="AB944" s="57"/>
      <c r="AC944" s="31"/>
      <c r="AD944" s="57"/>
      <c r="AE944" s="57"/>
      <c r="AF944" s="57"/>
      <c r="AG944" s="57"/>
      <c r="AH944" s="57"/>
      <c r="AI944" s="57"/>
      <c r="AJ944" s="57"/>
      <c r="AK944" s="57"/>
      <c r="AL944" s="57"/>
      <c r="AM944" s="57"/>
      <c r="AN944" s="57"/>
      <c r="AO944" s="57"/>
      <c r="AP944" s="35"/>
      <c r="AQ944" s="57"/>
      <c r="AR944" s="36"/>
      <c r="AS944" s="57"/>
      <c r="AT944" s="37"/>
      <c r="AU944" s="30"/>
      <c r="AV944" s="30"/>
      <c r="AW944" s="30"/>
      <c r="AX944" s="30"/>
      <c r="AY944" s="30"/>
      <c r="AZ944" s="30"/>
    </row>
    <row r="945">
      <c r="A945" s="30"/>
      <c r="B945" s="30"/>
      <c r="C945" s="30"/>
      <c r="D945" s="31"/>
      <c r="E945" s="31"/>
      <c r="F945" s="31"/>
      <c r="G945" s="31"/>
      <c r="H945" s="31"/>
      <c r="I945" s="54"/>
      <c r="J945" s="55"/>
      <c r="K945" s="54"/>
      <c r="L945" s="56"/>
      <c r="M945" s="56"/>
      <c r="N945" s="31"/>
      <c r="O945" s="57"/>
      <c r="P945" s="57"/>
      <c r="Q945" s="57"/>
      <c r="R945" s="57"/>
      <c r="S945" s="31"/>
      <c r="T945" s="57"/>
      <c r="U945" s="57"/>
      <c r="V945" s="57"/>
      <c r="W945" s="57"/>
      <c r="X945" s="31"/>
      <c r="Y945" s="57"/>
      <c r="Z945" s="57"/>
      <c r="AA945" s="57"/>
      <c r="AB945" s="57"/>
      <c r="AC945" s="31"/>
      <c r="AD945" s="57"/>
      <c r="AE945" s="57"/>
      <c r="AF945" s="57"/>
      <c r="AG945" s="57"/>
      <c r="AH945" s="57"/>
      <c r="AI945" s="57"/>
      <c r="AJ945" s="57"/>
      <c r="AK945" s="57"/>
      <c r="AL945" s="57"/>
      <c r="AM945" s="57"/>
      <c r="AN945" s="57"/>
      <c r="AO945" s="57"/>
      <c r="AP945" s="35"/>
      <c r="AQ945" s="57"/>
      <c r="AR945" s="36"/>
      <c r="AS945" s="57"/>
      <c r="AT945" s="37"/>
      <c r="AU945" s="30"/>
      <c r="AV945" s="30"/>
      <c r="AW945" s="30"/>
      <c r="AX945" s="30"/>
      <c r="AY945" s="30"/>
      <c r="AZ945" s="30"/>
    </row>
    <row r="946">
      <c r="A946" s="30"/>
      <c r="B946" s="30"/>
      <c r="C946" s="30"/>
      <c r="D946" s="31"/>
      <c r="E946" s="31"/>
      <c r="F946" s="31"/>
      <c r="G946" s="31"/>
      <c r="H946" s="31"/>
      <c r="I946" s="54"/>
      <c r="J946" s="55"/>
      <c r="K946" s="54"/>
      <c r="L946" s="56"/>
      <c r="M946" s="56"/>
      <c r="N946" s="31"/>
      <c r="O946" s="57"/>
      <c r="P946" s="57"/>
      <c r="Q946" s="57"/>
      <c r="R946" s="57"/>
      <c r="S946" s="31"/>
      <c r="T946" s="57"/>
      <c r="U946" s="57"/>
      <c r="V946" s="57"/>
      <c r="W946" s="57"/>
      <c r="X946" s="31"/>
      <c r="Y946" s="57"/>
      <c r="Z946" s="57"/>
      <c r="AA946" s="57"/>
      <c r="AB946" s="57"/>
      <c r="AC946" s="31"/>
      <c r="AD946" s="57"/>
      <c r="AE946" s="57"/>
      <c r="AF946" s="57"/>
      <c r="AG946" s="57"/>
      <c r="AH946" s="57"/>
      <c r="AI946" s="57"/>
      <c r="AJ946" s="57"/>
      <c r="AK946" s="57"/>
      <c r="AL946" s="57"/>
      <c r="AM946" s="57"/>
      <c r="AN946" s="57"/>
      <c r="AO946" s="57"/>
      <c r="AP946" s="35"/>
      <c r="AQ946" s="57"/>
      <c r="AR946" s="36"/>
      <c r="AS946" s="57"/>
      <c r="AT946" s="37"/>
      <c r="AU946" s="30"/>
      <c r="AV946" s="30"/>
      <c r="AW946" s="30"/>
      <c r="AX946" s="30"/>
      <c r="AY946" s="30"/>
      <c r="AZ946" s="30"/>
    </row>
    <row r="947">
      <c r="A947" s="30"/>
      <c r="B947" s="30"/>
      <c r="C947" s="30"/>
      <c r="D947" s="31"/>
      <c r="E947" s="31"/>
      <c r="F947" s="31"/>
      <c r="G947" s="31"/>
      <c r="H947" s="31"/>
      <c r="I947" s="54"/>
      <c r="J947" s="55"/>
      <c r="K947" s="54"/>
      <c r="L947" s="56"/>
      <c r="M947" s="56"/>
      <c r="N947" s="31"/>
      <c r="O947" s="57"/>
      <c r="P947" s="57"/>
      <c r="Q947" s="57"/>
      <c r="R947" s="57"/>
      <c r="S947" s="31"/>
      <c r="T947" s="57"/>
      <c r="U947" s="57"/>
      <c r="V947" s="57"/>
      <c r="W947" s="57"/>
      <c r="X947" s="31"/>
      <c r="Y947" s="57"/>
      <c r="Z947" s="57"/>
      <c r="AA947" s="57"/>
      <c r="AB947" s="57"/>
      <c r="AC947" s="31"/>
      <c r="AD947" s="57"/>
      <c r="AE947" s="57"/>
      <c r="AF947" s="57"/>
      <c r="AG947" s="57"/>
      <c r="AH947" s="57"/>
      <c r="AI947" s="57"/>
      <c r="AJ947" s="57"/>
      <c r="AK947" s="57"/>
      <c r="AL947" s="57"/>
      <c r="AM947" s="57"/>
      <c r="AN947" s="57"/>
      <c r="AO947" s="57"/>
      <c r="AP947" s="35"/>
      <c r="AQ947" s="57"/>
      <c r="AR947" s="36"/>
      <c r="AS947" s="57"/>
      <c r="AT947" s="37"/>
      <c r="AU947" s="30"/>
      <c r="AV947" s="30"/>
      <c r="AW947" s="30"/>
      <c r="AX947" s="30"/>
      <c r="AY947" s="30"/>
      <c r="AZ947" s="30"/>
    </row>
    <row r="948">
      <c r="A948" s="30"/>
      <c r="B948" s="30"/>
      <c r="C948" s="30"/>
      <c r="D948" s="31"/>
      <c r="E948" s="31"/>
      <c r="F948" s="31"/>
      <c r="G948" s="31"/>
      <c r="H948" s="31"/>
      <c r="I948" s="54"/>
      <c r="J948" s="55"/>
      <c r="K948" s="54"/>
      <c r="L948" s="56"/>
      <c r="M948" s="56"/>
      <c r="N948" s="31"/>
      <c r="O948" s="57"/>
      <c r="P948" s="57"/>
      <c r="Q948" s="57"/>
      <c r="R948" s="57"/>
      <c r="S948" s="31"/>
      <c r="T948" s="57"/>
      <c r="U948" s="57"/>
      <c r="V948" s="57"/>
      <c r="W948" s="57"/>
      <c r="X948" s="31"/>
      <c r="Y948" s="57"/>
      <c r="Z948" s="57"/>
      <c r="AA948" s="57"/>
      <c r="AB948" s="57"/>
      <c r="AC948" s="31"/>
      <c r="AD948" s="57"/>
      <c r="AE948" s="57"/>
      <c r="AF948" s="57"/>
      <c r="AG948" s="57"/>
      <c r="AH948" s="57"/>
      <c r="AI948" s="57"/>
      <c r="AJ948" s="57"/>
      <c r="AK948" s="57"/>
      <c r="AL948" s="57"/>
      <c r="AM948" s="57"/>
      <c r="AN948" s="57"/>
      <c r="AO948" s="57"/>
      <c r="AP948" s="35"/>
      <c r="AQ948" s="57"/>
      <c r="AR948" s="36"/>
      <c r="AS948" s="57"/>
      <c r="AT948" s="37"/>
      <c r="AU948" s="30"/>
      <c r="AV948" s="30"/>
      <c r="AW948" s="30"/>
      <c r="AX948" s="30"/>
      <c r="AY948" s="30"/>
      <c r="AZ948" s="30"/>
    </row>
    <row r="949">
      <c r="A949" s="30"/>
      <c r="B949" s="30"/>
      <c r="C949" s="30"/>
      <c r="D949" s="31"/>
      <c r="E949" s="31"/>
      <c r="F949" s="31"/>
      <c r="G949" s="31"/>
      <c r="H949" s="31"/>
      <c r="I949" s="54"/>
      <c r="J949" s="55"/>
      <c r="K949" s="54"/>
      <c r="L949" s="56"/>
      <c r="M949" s="56"/>
      <c r="N949" s="31"/>
      <c r="O949" s="57"/>
      <c r="P949" s="57"/>
      <c r="Q949" s="57"/>
      <c r="R949" s="57"/>
      <c r="S949" s="31"/>
      <c r="T949" s="57"/>
      <c r="U949" s="57"/>
      <c r="V949" s="57"/>
      <c r="W949" s="57"/>
      <c r="X949" s="31"/>
      <c r="Y949" s="57"/>
      <c r="Z949" s="57"/>
      <c r="AA949" s="57"/>
      <c r="AB949" s="57"/>
      <c r="AC949" s="31"/>
      <c r="AD949" s="57"/>
      <c r="AE949" s="57"/>
      <c r="AF949" s="57"/>
      <c r="AG949" s="57"/>
      <c r="AH949" s="57"/>
      <c r="AI949" s="57"/>
      <c r="AJ949" s="57"/>
      <c r="AK949" s="57"/>
      <c r="AL949" s="57"/>
      <c r="AM949" s="57"/>
      <c r="AN949" s="57"/>
      <c r="AO949" s="57"/>
      <c r="AP949" s="35"/>
      <c r="AQ949" s="57"/>
      <c r="AR949" s="36"/>
      <c r="AS949" s="57"/>
      <c r="AT949" s="37"/>
      <c r="AU949" s="30"/>
      <c r="AV949" s="30"/>
      <c r="AW949" s="30"/>
      <c r="AX949" s="30"/>
      <c r="AY949" s="30"/>
      <c r="AZ949" s="30"/>
    </row>
    <row r="950">
      <c r="A950" s="30"/>
      <c r="B950" s="30"/>
      <c r="C950" s="30"/>
      <c r="D950" s="31"/>
      <c r="E950" s="31"/>
      <c r="F950" s="31"/>
      <c r="G950" s="31"/>
      <c r="H950" s="31"/>
      <c r="I950" s="54"/>
      <c r="J950" s="55"/>
      <c r="K950" s="54"/>
      <c r="L950" s="56"/>
      <c r="M950" s="56"/>
      <c r="N950" s="31"/>
      <c r="O950" s="57"/>
      <c r="P950" s="57"/>
      <c r="Q950" s="57"/>
      <c r="R950" s="57"/>
      <c r="S950" s="31"/>
      <c r="T950" s="57"/>
      <c r="U950" s="57"/>
      <c r="V950" s="57"/>
      <c r="W950" s="57"/>
      <c r="X950" s="31"/>
      <c r="Y950" s="57"/>
      <c r="Z950" s="57"/>
      <c r="AA950" s="57"/>
      <c r="AB950" s="57"/>
      <c r="AC950" s="31"/>
      <c r="AD950" s="57"/>
      <c r="AE950" s="57"/>
      <c r="AF950" s="57"/>
      <c r="AG950" s="57"/>
      <c r="AH950" s="57"/>
      <c r="AI950" s="57"/>
      <c r="AJ950" s="57"/>
      <c r="AK950" s="57"/>
      <c r="AL950" s="57"/>
      <c r="AM950" s="57"/>
      <c r="AN950" s="57"/>
      <c r="AO950" s="57"/>
      <c r="AP950" s="35"/>
      <c r="AQ950" s="57"/>
      <c r="AR950" s="36"/>
      <c r="AS950" s="57"/>
      <c r="AT950" s="37"/>
      <c r="AU950" s="30"/>
      <c r="AV950" s="30"/>
      <c r="AW950" s="30"/>
      <c r="AX950" s="30"/>
      <c r="AY950" s="30"/>
      <c r="AZ950" s="30"/>
    </row>
    <row r="951">
      <c r="A951" s="30"/>
      <c r="B951" s="30"/>
      <c r="C951" s="30"/>
      <c r="D951" s="31"/>
      <c r="E951" s="31"/>
      <c r="F951" s="31"/>
      <c r="G951" s="31"/>
      <c r="H951" s="31"/>
      <c r="I951" s="54"/>
      <c r="J951" s="55"/>
      <c r="K951" s="54"/>
      <c r="L951" s="56"/>
      <c r="M951" s="56"/>
      <c r="N951" s="31"/>
      <c r="O951" s="57"/>
      <c r="P951" s="57"/>
      <c r="Q951" s="57"/>
      <c r="R951" s="57"/>
      <c r="S951" s="31"/>
      <c r="T951" s="57"/>
      <c r="U951" s="57"/>
      <c r="V951" s="57"/>
      <c r="W951" s="57"/>
      <c r="X951" s="31"/>
      <c r="Y951" s="57"/>
      <c r="Z951" s="57"/>
      <c r="AA951" s="57"/>
      <c r="AB951" s="57"/>
      <c r="AC951" s="31"/>
      <c r="AD951" s="57"/>
      <c r="AE951" s="57"/>
      <c r="AF951" s="57"/>
      <c r="AG951" s="57"/>
      <c r="AH951" s="57"/>
      <c r="AI951" s="57"/>
      <c r="AJ951" s="57"/>
      <c r="AK951" s="57"/>
      <c r="AL951" s="57"/>
      <c r="AM951" s="57"/>
      <c r="AN951" s="57"/>
      <c r="AO951" s="57"/>
      <c r="AP951" s="35"/>
      <c r="AQ951" s="57"/>
      <c r="AR951" s="36"/>
      <c r="AS951" s="57"/>
      <c r="AT951" s="37"/>
      <c r="AU951" s="30"/>
      <c r="AV951" s="30"/>
      <c r="AW951" s="30"/>
      <c r="AX951" s="30"/>
      <c r="AY951" s="30"/>
      <c r="AZ951" s="30"/>
    </row>
    <row r="952">
      <c r="A952" s="30"/>
      <c r="B952" s="30"/>
      <c r="C952" s="30"/>
      <c r="D952" s="31"/>
      <c r="E952" s="31"/>
      <c r="F952" s="31"/>
      <c r="G952" s="31"/>
      <c r="H952" s="31"/>
      <c r="I952" s="54"/>
      <c r="J952" s="55"/>
      <c r="K952" s="54"/>
      <c r="L952" s="56"/>
      <c r="M952" s="56"/>
      <c r="N952" s="31"/>
      <c r="O952" s="57"/>
      <c r="P952" s="57"/>
      <c r="Q952" s="57"/>
      <c r="R952" s="57"/>
      <c r="S952" s="31"/>
      <c r="T952" s="57"/>
      <c r="U952" s="57"/>
      <c r="V952" s="57"/>
      <c r="W952" s="57"/>
      <c r="X952" s="31"/>
      <c r="Y952" s="57"/>
      <c r="Z952" s="57"/>
      <c r="AA952" s="57"/>
      <c r="AB952" s="57"/>
      <c r="AC952" s="31"/>
      <c r="AD952" s="57"/>
      <c r="AE952" s="57"/>
      <c r="AF952" s="57"/>
      <c r="AG952" s="57"/>
      <c r="AH952" s="57"/>
      <c r="AI952" s="57"/>
      <c r="AJ952" s="57"/>
      <c r="AK952" s="57"/>
      <c r="AL952" s="57"/>
      <c r="AM952" s="57"/>
      <c r="AN952" s="57"/>
      <c r="AO952" s="57"/>
      <c r="AP952" s="35"/>
      <c r="AQ952" s="57"/>
      <c r="AR952" s="36"/>
      <c r="AS952" s="57"/>
      <c r="AT952" s="37"/>
      <c r="AU952" s="30"/>
      <c r="AV952" s="30"/>
      <c r="AW952" s="30"/>
      <c r="AX952" s="30"/>
      <c r="AY952" s="30"/>
      <c r="AZ952" s="30"/>
    </row>
    <row r="953">
      <c r="A953" s="30"/>
      <c r="B953" s="30"/>
      <c r="C953" s="30"/>
      <c r="D953" s="31"/>
      <c r="E953" s="31"/>
      <c r="F953" s="31"/>
      <c r="G953" s="31"/>
      <c r="H953" s="31"/>
      <c r="I953" s="54"/>
      <c r="J953" s="55"/>
      <c r="K953" s="54"/>
      <c r="L953" s="56"/>
      <c r="M953" s="56"/>
      <c r="N953" s="31"/>
      <c r="O953" s="57"/>
      <c r="P953" s="57"/>
      <c r="Q953" s="57"/>
      <c r="R953" s="57"/>
      <c r="S953" s="31"/>
      <c r="T953" s="57"/>
      <c r="U953" s="57"/>
      <c r="V953" s="57"/>
      <c r="W953" s="57"/>
      <c r="X953" s="31"/>
      <c r="Y953" s="57"/>
      <c r="Z953" s="57"/>
      <c r="AA953" s="57"/>
      <c r="AB953" s="57"/>
      <c r="AC953" s="31"/>
      <c r="AD953" s="57"/>
      <c r="AE953" s="57"/>
      <c r="AF953" s="57"/>
      <c r="AG953" s="57"/>
      <c r="AH953" s="57"/>
      <c r="AI953" s="57"/>
      <c r="AJ953" s="57"/>
      <c r="AK953" s="57"/>
      <c r="AL953" s="57"/>
      <c r="AM953" s="57"/>
      <c r="AN953" s="57"/>
      <c r="AO953" s="57"/>
      <c r="AP953" s="35"/>
      <c r="AQ953" s="57"/>
      <c r="AR953" s="36"/>
      <c r="AS953" s="57"/>
      <c r="AT953" s="37"/>
      <c r="AU953" s="30"/>
      <c r="AV953" s="30"/>
      <c r="AW953" s="30"/>
      <c r="AX953" s="30"/>
      <c r="AY953" s="30"/>
      <c r="AZ953" s="30"/>
    </row>
    <row r="954">
      <c r="A954" s="30"/>
      <c r="B954" s="30"/>
      <c r="C954" s="30"/>
      <c r="D954" s="31"/>
      <c r="E954" s="31"/>
      <c r="F954" s="31"/>
      <c r="G954" s="31"/>
      <c r="H954" s="31"/>
      <c r="I954" s="54"/>
      <c r="J954" s="55"/>
      <c r="K954" s="54"/>
      <c r="L954" s="56"/>
      <c r="M954" s="56"/>
      <c r="N954" s="31"/>
      <c r="O954" s="57"/>
      <c r="P954" s="57"/>
      <c r="Q954" s="57"/>
      <c r="R954" s="57"/>
      <c r="S954" s="31"/>
      <c r="T954" s="57"/>
      <c r="U954" s="57"/>
      <c r="V954" s="57"/>
      <c r="W954" s="57"/>
      <c r="X954" s="31"/>
      <c r="Y954" s="57"/>
      <c r="Z954" s="57"/>
      <c r="AA954" s="57"/>
      <c r="AB954" s="57"/>
      <c r="AC954" s="31"/>
      <c r="AD954" s="57"/>
      <c r="AE954" s="57"/>
      <c r="AF954" s="57"/>
      <c r="AG954" s="57"/>
      <c r="AH954" s="57"/>
      <c r="AI954" s="57"/>
      <c r="AJ954" s="57"/>
      <c r="AK954" s="57"/>
      <c r="AL954" s="57"/>
      <c r="AM954" s="57"/>
      <c r="AN954" s="57"/>
      <c r="AO954" s="57"/>
      <c r="AP954" s="35"/>
      <c r="AQ954" s="57"/>
      <c r="AR954" s="36"/>
      <c r="AS954" s="57"/>
      <c r="AT954" s="37"/>
      <c r="AU954" s="30"/>
      <c r="AV954" s="30"/>
      <c r="AW954" s="30"/>
      <c r="AX954" s="30"/>
      <c r="AY954" s="30"/>
      <c r="AZ954" s="30"/>
    </row>
    <row r="955">
      <c r="A955" s="30"/>
      <c r="B955" s="30"/>
      <c r="C955" s="30"/>
      <c r="D955" s="31"/>
      <c r="E955" s="31"/>
      <c r="F955" s="31"/>
      <c r="G955" s="31"/>
      <c r="H955" s="31"/>
      <c r="I955" s="54"/>
      <c r="J955" s="55"/>
      <c r="K955" s="54"/>
      <c r="L955" s="56"/>
      <c r="M955" s="56"/>
      <c r="N955" s="31"/>
      <c r="O955" s="57"/>
      <c r="P955" s="57"/>
      <c r="Q955" s="57"/>
      <c r="R955" s="57"/>
      <c r="S955" s="31"/>
      <c r="T955" s="57"/>
      <c r="U955" s="57"/>
      <c r="V955" s="57"/>
      <c r="W955" s="57"/>
      <c r="X955" s="31"/>
      <c r="Y955" s="57"/>
      <c r="Z955" s="57"/>
      <c r="AA955" s="57"/>
      <c r="AB955" s="57"/>
      <c r="AC955" s="31"/>
      <c r="AD955" s="57"/>
      <c r="AE955" s="57"/>
      <c r="AF955" s="57"/>
      <c r="AG955" s="57"/>
      <c r="AH955" s="57"/>
      <c r="AI955" s="57"/>
      <c r="AJ955" s="57"/>
      <c r="AK955" s="57"/>
      <c r="AL955" s="57"/>
      <c r="AM955" s="57"/>
      <c r="AN955" s="57"/>
      <c r="AO955" s="57"/>
      <c r="AP955" s="35"/>
      <c r="AQ955" s="57"/>
      <c r="AR955" s="36"/>
      <c r="AS955" s="57"/>
      <c r="AT955" s="37"/>
      <c r="AU955" s="30"/>
      <c r="AV955" s="30"/>
      <c r="AW955" s="30"/>
      <c r="AX955" s="30"/>
      <c r="AY955" s="30"/>
      <c r="AZ955" s="30"/>
    </row>
    <row r="956">
      <c r="A956" s="30"/>
      <c r="B956" s="30"/>
      <c r="C956" s="30"/>
      <c r="D956" s="31"/>
      <c r="E956" s="31"/>
      <c r="F956" s="31"/>
      <c r="G956" s="31"/>
      <c r="H956" s="31"/>
      <c r="I956" s="54"/>
      <c r="J956" s="55"/>
      <c r="K956" s="54"/>
      <c r="L956" s="56"/>
      <c r="M956" s="56"/>
      <c r="N956" s="31"/>
      <c r="O956" s="57"/>
      <c r="P956" s="57"/>
      <c r="Q956" s="57"/>
      <c r="R956" s="57"/>
      <c r="S956" s="31"/>
      <c r="T956" s="57"/>
      <c r="U956" s="57"/>
      <c r="V956" s="57"/>
      <c r="W956" s="57"/>
      <c r="X956" s="31"/>
      <c r="Y956" s="57"/>
      <c r="Z956" s="57"/>
      <c r="AA956" s="57"/>
      <c r="AB956" s="57"/>
      <c r="AC956" s="31"/>
      <c r="AD956" s="57"/>
      <c r="AE956" s="57"/>
      <c r="AF956" s="57"/>
      <c r="AG956" s="57"/>
      <c r="AH956" s="57"/>
      <c r="AI956" s="57"/>
      <c r="AJ956" s="57"/>
      <c r="AK956" s="57"/>
      <c r="AL956" s="57"/>
      <c r="AM956" s="57"/>
      <c r="AN956" s="57"/>
      <c r="AO956" s="57"/>
      <c r="AP956" s="35"/>
      <c r="AQ956" s="57"/>
      <c r="AR956" s="36"/>
      <c r="AS956" s="57"/>
      <c r="AT956" s="37"/>
      <c r="AU956" s="30"/>
      <c r="AV956" s="30"/>
      <c r="AW956" s="30"/>
      <c r="AX956" s="30"/>
      <c r="AY956" s="30"/>
      <c r="AZ956" s="30"/>
    </row>
    <row r="957">
      <c r="A957" s="30"/>
      <c r="B957" s="30"/>
      <c r="C957" s="30"/>
      <c r="D957" s="31"/>
      <c r="E957" s="31"/>
      <c r="F957" s="31"/>
      <c r="G957" s="31"/>
      <c r="H957" s="31"/>
      <c r="I957" s="54"/>
      <c r="J957" s="55"/>
      <c r="K957" s="54"/>
      <c r="L957" s="56"/>
      <c r="M957" s="56"/>
      <c r="N957" s="31"/>
      <c r="O957" s="57"/>
      <c r="P957" s="57"/>
      <c r="Q957" s="57"/>
      <c r="R957" s="57"/>
      <c r="S957" s="31"/>
      <c r="T957" s="57"/>
      <c r="U957" s="57"/>
      <c r="V957" s="57"/>
      <c r="W957" s="57"/>
      <c r="X957" s="31"/>
      <c r="Y957" s="57"/>
      <c r="Z957" s="57"/>
      <c r="AA957" s="57"/>
      <c r="AB957" s="57"/>
      <c r="AC957" s="31"/>
      <c r="AD957" s="57"/>
      <c r="AE957" s="57"/>
      <c r="AF957" s="57"/>
      <c r="AG957" s="57"/>
      <c r="AH957" s="57"/>
      <c r="AI957" s="57"/>
      <c r="AJ957" s="57"/>
      <c r="AK957" s="57"/>
      <c r="AL957" s="57"/>
      <c r="AM957" s="57"/>
      <c r="AN957" s="57"/>
      <c r="AO957" s="57"/>
      <c r="AP957" s="35"/>
      <c r="AQ957" s="57"/>
      <c r="AR957" s="36"/>
      <c r="AS957" s="57"/>
      <c r="AT957" s="37"/>
      <c r="AU957" s="30"/>
      <c r="AV957" s="30"/>
      <c r="AW957" s="30"/>
      <c r="AX957" s="30"/>
      <c r="AY957" s="30"/>
      <c r="AZ957" s="30"/>
    </row>
    <row r="958">
      <c r="A958" s="30"/>
      <c r="B958" s="30"/>
      <c r="C958" s="30"/>
      <c r="D958" s="31"/>
      <c r="E958" s="31"/>
      <c r="F958" s="31"/>
      <c r="G958" s="31"/>
      <c r="H958" s="31"/>
      <c r="I958" s="54"/>
      <c r="J958" s="55"/>
      <c r="K958" s="54"/>
      <c r="L958" s="56"/>
      <c r="M958" s="56"/>
      <c r="N958" s="31"/>
      <c r="O958" s="57"/>
      <c r="P958" s="57"/>
      <c r="Q958" s="57"/>
      <c r="R958" s="57"/>
      <c r="S958" s="31"/>
      <c r="T958" s="57"/>
      <c r="U958" s="57"/>
      <c r="V958" s="57"/>
      <c r="W958" s="57"/>
      <c r="X958" s="31"/>
      <c r="Y958" s="57"/>
      <c r="Z958" s="57"/>
      <c r="AA958" s="57"/>
      <c r="AB958" s="57"/>
      <c r="AC958" s="31"/>
      <c r="AD958" s="57"/>
      <c r="AE958" s="57"/>
      <c r="AF958" s="57"/>
      <c r="AG958" s="57"/>
      <c r="AH958" s="57"/>
      <c r="AI958" s="57"/>
      <c r="AJ958" s="57"/>
      <c r="AK958" s="57"/>
      <c r="AL958" s="57"/>
      <c r="AM958" s="57"/>
      <c r="AN958" s="57"/>
      <c r="AO958" s="57"/>
      <c r="AP958" s="35"/>
      <c r="AQ958" s="57"/>
      <c r="AR958" s="36"/>
      <c r="AS958" s="57"/>
      <c r="AT958" s="37"/>
      <c r="AU958" s="30"/>
      <c r="AV958" s="30"/>
      <c r="AW958" s="30"/>
      <c r="AX958" s="30"/>
      <c r="AY958" s="30"/>
      <c r="AZ958" s="30"/>
    </row>
    <row r="959">
      <c r="A959" s="30"/>
      <c r="B959" s="30"/>
      <c r="C959" s="30"/>
      <c r="D959" s="31"/>
      <c r="E959" s="31"/>
      <c r="F959" s="31"/>
      <c r="G959" s="31"/>
      <c r="H959" s="31"/>
      <c r="I959" s="54"/>
      <c r="J959" s="55"/>
      <c r="K959" s="54"/>
      <c r="L959" s="56"/>
      <c r="M959" s="56"/>
      <c r="N959" s="31"/>
      <c r="O959" s="57"/>
      <c r="P959" s="57"/>
      <c r="Q959" s="57"/>
      <c r="R959" s="57"/>
      <c r="S959" s="31"/>
      <c r="T959" s="57"/>
      <c r="U959" s="57"/>
      <c r="V959" s="57"/>
      <c r="W959" s="57"/>
      <c r="X959" s="31"/>
      <c r="Y959" s="57"/>
      <c r="Z959" s="57"/>
      <c r="AA959" s="57"/>
      <c r="AB959" s="57"/>
      <c r="AC959" s="31"/>
      <c r="AD959" s="57"/>
      <c r="AE959" s="57"/>
      <c r="AF959" s="57"/>
      <c r="AG959" s="57"/>
      <c r="AH959" s="57"/>
      <c r="AI959" s="57"/>
      <c r="AJ959" s="57"/>
      <c r="AK959" s="57"/>
      <c r="AL959" s="57"/>
      <c r="AM959" s="57"/>
      <c r="AN959" s="57"/>
      <c r="AO959" s="57"/>
      <c r="AP959" s="35"/>
      <c r="AQ959" s="57"/>
      <c r="AR959" s="36"/>
      <c r="AS959" s="57"/>
      <c r="AT959" s="37"/>
      <c r="AU959" s="30"/>
      <c r="AV959" s="30"/>
      <c r="AW959" s="30"/>
      <c r="AX959" s="30"/>
      <c r="AY959" s="30"/>
      <c r="AZ959" s="30"/>
    </row>
    <row r="960">
      <c r="A960" s="30"/>
      <c r="B960" s="30"/>
      <c r="C960" s="30"/>
      <c r="D960" s="31"/>
      <c r="E960" s="31"/>
      <c r="F960" s="31"/>
      <c r="G960" s="31"/>
      <c r="H960" s="31"/>
      <c r="I960" s="54"/>
      <c r="J960" s="55"/>
      <c r="K960" s="54"/>
      <c r="L960" s="56"/>
      <c r="M960" s="56"/>
      <c r="N960" s="31"/>
      <c r="O960" s="57"/>
      <c r="P960" s="57"/>
      <c r="Q960" s="57"/>
      <c r="R960" s="57"/>
      <c r="S960" s="31"/>
      <c r="T960" s="57"/>
      <c r="U960" s="57"/>
      <c r="V960" s="57"/>
      <c r="W960" s="57"/>
      <c r="X960" s="31"/>
      <c r="Y960" s="57"/>
      <c r="Z960" s="57"/>
      <c r="AA960" s="57"/>
      <c r="AB960" s="57"/>
      <c r="AC960" s="31"/>
      <c r="AD960" s="57"/>
      <c r="AE960" s="57"/>
      <c r="AF960" s="57"/>
      <c r="AG960" s="57"/>
      <c r="AH960" s="57"/>
      <c r="AI960" s="57"/>
      <c r="AJ960" s="57"/>
      <c r="AK960" s="57"/>
      <c r="AL960" s="57"/>
      <c r="AM960" s="57"/>
      <c r="AN960" s="57"/>
      <c r="AO960" s="57"/>
      <c r="AP960" s="35"/>
      <c r="AQ960" s="57"/>
      <c r="AR960" s="36"/>
      <c r="AS960" s="57"/>
      <c r="AT960" s="37"/>
      <c r="AU960" s="30"/>
      <c r="AV960" s="30"/>
      <c r="AW960" s="30"/>
      <c r="AX960" s="30"/>
      <c r="AY960" s="30"/>
      <c r="AZ960" s="30"/>
    </row>
    <row r="961">
      <c r="A961" s="30"/>
      <c r="B961" s="30"/>
      <c r="C961" s="30"/>
      <c r="D961" s="31"/>
      <c r="E961" s="31"/>
      <c r="F961" s="31"/>
      <c r="G961" s="31"/>
      <c r="H961" s="31"/>
      <c r="I961" s="54"/>
      <c r="J961" s="55"/>
      <c r="K961" s="54"/>
      <c r="L961" s="56"/>
      <c r="M961" s="56"/>
      <c r="N961" s="31"/>
      <c r="O961" s="57"/>
      <c r="P961" s="57"/>
      <c r="Q961" s="57"/>
      <c r="R961" s="57"/>
      <c r="S961" s="31"/>
      <c r="T961" s="57"/>
      <c r="U961" s="57"/>
      <c r="V961" s="57"/>
      <c r="W961" s="57"/>
      <c r="X961" s="31"/>
      <c r="Y961" s="57"/>
      <c r="Z961" s="57"/>
      <c r="AA961" s="57"/>
      <c r="AB961" s="57"/>
      <c r="AC961" s="31"/>
      <c r="AD961" s="57"/>
      <c r="AE961" s="57"/>
      <c r="AF961" s="57"/>
      <c r="AG961" s="57"/>
      <c r="AH961" s="57"/>
      <c r="AI961" s="57"/>
      <c r="AJ961" s="57"/>
      <c r="AK961" s="57"/>
      <c r="AL961" s="57"/>
      <c r="AM961" s="57"/>
      <c r="AN961" s="57"/>
      <c r="AO961" s="57"/>
      <c r="AP961" s="35"/>
      <c r="AQ961" s="57"/>
      <c r="AR961" s="36"/>
      <c r="AS961" s="57"/>
      <c r="AT961" s="37"/>
      <c r="AU961" s="30"/>
      <c r="AV961" s="30"/>
      <c r="AW961" s="30"/>
      <c r="AX961" s="30"/>
      <c r="AY961" s="30"/>
      <c r="AZ961" s="30"/>
    </row>
    <row r="962">
      <c r="A962" s="30"/>
      <c r="B962" s="30"/>
      <c r="C962" s="30"/>
      <c r="D962" s="31"/>
      <c r="E962" s="31"/>
      <c r="F962" s="31"/>
      <c r="G962" s="31"/>
      <c r="H962" s="31"/>
      <c r="I962" s="54"/>
      <c r="J962" s="55"/>
      <c r="K962" s="54"/>
      <c r="L962" s="56"/>
      <c r="M962" s="56"/>
      <c r="N962" s="31"/>
      <c r="O962" s="57"/>
      <c r="P962" s="57"/>
      <c r="Q962" s="57"/>
      <c r="R962" s="57"/>
      <c r="S962" s="31"/>
      <c r="T962" s="57"/>
      <c r="U962" s="57"/>
      <c r="V962" s="57"/>
      <c r="W962" s="57"/>
      <c r="X962" s="31"/>
      <c r="Y962" s="57"/>
      <c r="Z962" s="57"/>
      <c r="AA962" s="57"/>
      <c r="AB962" s="57"/>
      <c r="AC962" s="31"/>
      <c r="AD962" s="57"/>
      <c r="AE962" s="57"/>
      <c r="AF962" s="57"/>
      <c r="AG962" s="57"/>
      <c r="AH962" s="57"/>
      <c r="AI962" s="57"/>
      <c r="AJ962" s="57"/>
      <c r="AK962" s="57"/>
      <c r="AL962" s="57"/>
      <c r="AM962" s="57"/>
      <c r="AN962" s="57"/>
      <c r="AO962" s="57"/>
      <c r="AP962" s="35"/>
      <c r="AQ962" s="57"/>
      <c r="AR962" s="36"/>
      <c r="AS962" s="57"/>
      <c r="AT962" s="37"/>
      <c r="AU962" s="30"/>
      <c r="AV962" s="30"/>
      <c r="AW962" s="30"/>
      <c r="AX962" s="30"/>
      <c r="AY962" s="30"/>
      <c r="AZ962" s="30"/>
    </row>
    <row r="963">
      <c r="A963" s="30"/>
      <c r="B963" s="30"/>
      <c r="C963" s="30"/>
      <c r="D963" s="31"/>
      <c r="E963" s="31"/>
      <c r="F963" s="31"/>
      <c r="G963" s="31"/>
      <c r="H963" s="31"/>
      <c r="I963" s="54"/>
      <c r="J963" s="55"/>
      <c r="K963" s="54"/>
      <c r="L963" s="56"/>
      <c r="M963" s="56"/>
      <c r="N963" s="31"/>
      <c r="O963" s="57"/>
      <c r="P963" s="57"/>
      <c r="Q963" s="57"/>
      <c r="R963" s="57"/>
      <c r="S963" s="31"/>
      <c r="T963" s="57"/>
      <c r="U963" s="57"/>
      <c r="V963" s="57"/>
      <c r="W963" s="57"/>
      <c r="X963" s="31"/>
      <c r="Y963" s="57"/>
      <c r="Z963" s="57"/>
      <c r="AA963" s="57"/>
      <c r="AB963" s="57"/>
      <c r="AC963" s="31"/>
      <c r="AD963" s="57"/>
      <c r="AE963" s="57"/>
      <c r="AF963" s="57"/>
      <c r="AG963" s="57"/>
      <c r="AH963" s="57"/>
      <c r="AI963" s="57"/>
      <c r="AJ963" s="57"/>
      <c r="AK963" s="57"/>
      <c r="AL963" s="57"/>
      <c r="AM963" s="57"/>
      <c r="AN963" s="57"/>
      <c r="AO963" s="57"/>
      <c r="AP963" s="35"/>
      <c r="AQ963" s="57"/>
      <c r="AR963" s="36"/>
      <c r="AS963" s="57"/>
      <c r="AT963" s="37"/>
      <c r="AU963" s="30"/>
      <c r="AV963" s="30"/>
      <c r="AW963" s="30"/>
      <c r="AX963" s="30"/>
      <c r="AY963" s="30"/>
      <c r="AZ963" s="30"/>
    </row>
    <row r="964">
      <c r="A964" s="30"/>
      <c r="B964" s="30"/>
      <c r="C964" s="30"/>
      <c r="D964" s="31"/>
      <c r="E964" s="31"/>
      <c r="F964" s="31"/>
      <c r="G964" s="31"/>
      <c r="H964" s="31"/>
      <c r="I964" s="54"/>
      <c r="J964" s="55"/>
      <c r="K964" s="54"/>
      <c r="L964" s="56"/>
      <c r="M964" s="56"/>
      <c r="N964" s="31"/>
      <c r="O964" s="57"/>
      <c r="P964" s="57"/>
      <c r="Q964" s="57"/>
      <c r="R964" s="57"/>
      <c r="S964" s="31"/>
      <c r="T964" s="57"/>
      <c r="U964" s="57"/>
      <c r="V964" s="57"/>
      <c r="W964" s="57"/>
      <c r="X964" s="31"/>
      <c r="Y964" s="57"/>
      <c r="Z964" s="57"/>
      <c r="AA964" s="57"/>
      <c r="AB964" s="57"/>
      <c r="AC964" s="31"/>
      <c r="AD964" s="57"/>
      <c r="AE964" s="57"/>
      <c r="AF964" s="57"/>
      <c r="AG964" s="57"/>
      <c r="AH964" s="57"/>
      <c r="AI964" s="57"/>
      <c r="AJ964" s="57"/>
      <c r="AK964" s="57"/>
      <c r="AL964" s="57"/>
      <c r="AM964" s="57"/>
      <c r="AN964" s="57"/>
      <c r="AO964" s="57"/>
      <c r="AP964" s="35"/>
      <c r="AQ964" s="57"/>
      <c r="AR964" s="36"/>
      <c r="AS964" s="57"/>
      <c r="AT964" s="37"/>
      <c r="AU964" s="30"/>
      <c r="AV964" s="30"/>
      <c r="AW964" s="30"/>
      <c r="AX964" s="30"/>
      <c r="AY964" s="30"/>
      <c r="AZ964" s="30"/>
    </row>
    <row r="965">
      <c r="A965" s="30"/>
      <c r="B965" s="30"/>
      <c r="C965" s="30"/>
      <c r="D965" s="31"/>
      <c r="E965" s="31"/>
      <c r="F965" s="31"/>
      <c r="G965" s="31"/>
      <c r="H965" s="31"/>
      <c r="I965" s="54"/>
      <c r="J965" s="55"/>
      <c r="K965" s="54"/>
      <c r="L965" s="56"/>
      <c r="M965" s="56"/>
      <c r="N965" s="31"/>
      <c r="O965" s="57"/>
      <c r="P965" s="57"/>
      <c r="Q965" s="57"/>
      <c r="R965" s="57"/>
      <c r="S965" s="31"/>
      <c r="T965" s="57"/>
      <c r="U965" s="57"/>
      <c r="V965" s="57"/>
      <c r="W965" s="57"/>
      <c r="X965" s="31"/>
      <c r="Y965" s="57"/>
      <c r="Z965" s="57"/>
      <c r="AA965" s="57"/>
      <c r="AB965" s="57"/>
      <c r="AC965" s="31"/>
      <c r="AD965" s="57"/>
      <c r="AE965" s="57"/>
      <c r="AF965" s="57"/>
      <c r="AG965" s="57"/>
      <c r="AH965" s="57"/>
      <c r="AI965" s="57"/>
      <c r="AJ965" s="57"/>
      <c r="AK965" s="57"/>
      <c r="AL965" s="57"/>
      <c r="AM965" s="57"/>
      <c r="AN965" s="57"/>
      <c r="AO965" s="57"/>
      <c r="AP965" s="35"/>
      <c r="AQ965" s="57"/>
      <c r="AR965" s="36"/>
      <c r="AS965" s="57"/>
      <c r="AT965" s="37"/>
      <c r="AU965" s="30"/>
      <c r="AV965" s="30"/>
      <c r="AW965" s="30"/>
      <c r="AX965" s="30"/>
      <c r="AY965" s="30"/>
      <c r="AZ965" s="30"/>
    </row>
    <row r="966">
      <c r="A966" s="30"/>
      <c r="B966" s="30"/>
      <c r="C966" s="30"/>
      <c r="D966" s="31"/>
      <c r="E966" s="31"/>
      <c r="F966" s="31"/>
      <c r="G966" s="31"/>
      <c r="H966" s="31"/>
      <c r="I966" s="54"/>
      <c r="J966" s="55"/>
      <c r="K966" s="54"/>
      <c r="L966" s="56"/>
      <c r="M966" s="56"/>
      <c r="N966" s="31"/>
      <c r="O966" s="57"/>
      <c r="P966" s="57"/>
      <c r="Q966" s="57"/>
      <c r="R966" s="57"/>
      <c r="S966" s="31"/>
      <c r="T966" s="57"/>
      <c r="U966" s="57"/>
      <c r="V966" s="57"/>
      <c r="W966" s="57"/>
      <c r="X966" s="31"/>
      <c r="Y966" s="57"/>
      <c r="Z966" s="57"/>
      <c r="AA966" s="57"/>
      <c r="AB966" s="57"/>
      <c r="AC966" s="31"/>
      <c r="AD966" s="57"/>
      <c r="AE966" s="57"/>
      <c r="AF966" s="57"/>
      <c r="AG966" s="57"/>
      <c r="AH966" s="57"/>
      <c r="AI966" s="57"/>
      <c r="AJ966" s="57"/>
      <c r="AK966" s="57"/>
      <c r="AL966" s="57"/>
      <c r="AM966" s="57"/>
      <c r="AN966" s="57"/>
      <c r="AO966" s="57"/>
      <c r="AP966" s="35"/>
      <c r="AQ966" s="57"/>
      <c r="AR966" s="36"/>
      <c r="AS966" s="57"/>
      <c r="AT966" s="37"/>
      <c r="AU966" s="30"/>
      <c r="AV966" s="30"/>
      <c r="AW966" s="30"/>
      <c r="AX966" s="30"/>
      <c r="AY966" s="30"/>
      <c r="AZ966" s="30"/>
    </row>
    <row r="967">
      <c r="A967" s="30"/>
      <c r="B967" s="30"/>
      <c r="C967" s="30"/>
      <c r="D967" s="31"/>
      <c r="E967" s="31"/>
      <c r="F967" s="31"/>
      <c r="G967" s="31"/>
      <c r="H967" s="31"/>
      <c r="I967" s="54"/>
      <c r="J967" s="55"/>
      <c r="K967" s="54"/>
      <c r="L967" s="56"/>
      <c r="M967" s="56"/>
      <c r="N967" s="31"/>
      <c r="O967" s="57"/>
      <c r="P967" s="57"/>
      <c r="Q967" s="57"/>
      <c r="R967" s="57"/>
      <c r="S967" s="31"/>
      <c r="T967" s="57"/>
      <c r="U967" s="57"/>
      <c r="V967" s="57"/>
      <c r="W967" s="57"/>
      <c r="X967" s="31"/>
      <c r="Y967" s="57"/>
      <c r="Z967" s="57"/>
      <c r="AA967" s="57"/>
      <c r="AB967" s="57"/>
      <c r="AC967" s="31"/>
      <c r="AD967" s="57"/>
      <c r="AE967" s="57"/>
      <c r="AF967" s="57"/>
      <c r="AG967" s="57"/>
      <c r="AH967" s="57"/>
      <c r="AI967" s="57"/>
      <c r="AJ967" s="57"/>
      <c r="AK967" s="57"/>
      <c r="AL967" s="57"/>
      <c r="AM967" s="57"/>
      <c r="AN967" s="57"/>
      <c r="AO967" s="57"/>
      <c r="AP967" s="35"/>
      <c r="AQ967" s="57"/>
      <c r="AR967" s="36"/>
      <c r="AS967" s="57"/>
      <c r="AT967" s="37"/>
      <c r="AU967" s="30"/>
      <c r="AV967" s="30"/>
      <c r="AW967" s="30"/>
      <c r="AX967" s="30"/>
      <c r="AY967" s="30"/>
      <c r="AZ967" s="30"/>
    </row>
    <row r="968">
      <c r="A968" s="30"/>
      <c r="B968" s="30"/>
      <c r="C968" s="30"/>
      <c r="D968" s="31"/>
      <c r="E968" s="31"/>
      <c r="F968" s="31"/>
      <c r="G968" s="31"/>
      <c r="H968" s="31"/>
      <c r="I968" s="54"/>
      <c r="J968" s="55"/>
      <c r="K968" s="54"/>
      <c r="L968" s="56"/>
      <c r="M968" s="56"/>
      <c r="N968" s="31"/>
      <c r="O968" s="57"/>
      <c r="P968" s="57"/>
      <c r="Q968" s="57"/>
      <c r="R968" s="57"/>
      <c r="S968" s="31"/>
      <c r="T968" s="57"/>
      <c r="U968" s="57"/>
      <c r="V968" s="57"/>
      <c r="W968" s="57"/>
      <c r="X968" s="31"/>
      <c r="Y968" s="57"/>
      <c r="Z968" s="57"/>
      <c r="AA968" s="57"/>
      <c r="AB968" s="57"/>
      <c r="AC968" s="31"/>
      <c r="AD968" s="57"/>
      <c r="AE968" s="57"/>
      <c r="AF968" s="57"/>
      <c r="AG968" s="57"/>
      <c r="AH968" s="57"/>
      <c r="AI968" s="57"/>
      <c r="AJ968" s="57"/>
      <c r="AK968" s="57"/>
      <c r="AL968" s="57"/>
      <c r="AM968" s="57"/>
      <c r="AN968" s="57"/>
      <c r="AO968" s="57"/>
      <c r="AP968" s="35"/>
      <c r="AQ968" s="57"/>
      <c r="AR968" s="36"/>
      <c r="AS968" s="57"/>
      <c r="AT968" s="37"/>
      <c r="AU968" s="30"/>
      <c r="AV968" s="30"/>
      <c r="AW968" s="30"/>
      <c r="AX968" s="30"/>
      <c r="AY968" s="30"/>
      <c r="AZ968" s="30"/>
    </row>
    <row r="969">
      <c r="A969" s="30"/>
      <c r="B969" s="30"/>
      <c r="C969" s="30"/>
      <c r="D969" s="31"/>
      <c r="E969" s="31"/>
      <c r="F969" s="31"/>
      <c r="G969" s="31"/>
      <c r="H969" s="31"/>
      <c r="I969" s="54"/>
      <c r="J969" s="55"/>
      <c r="K969" s="54"/>
      <c r="L969" s="56"/>
      <c r="M969" s="56"/>
      <c r="N969" s="31"/>
      <c r="O969" s="57"/>
      <c r="P969" s="57"/>
      <c r="Q969" s="57"/>
      <c r="R969" s="57"/>
      <c r="S969" s="31"/>
      <c r="T969" s="57"/>
      <c r="U969" s="57"/>
      <c r="V969" s="57"/>
      <c r="W969" s="57"/>
      <c r="X969" s="31"/>
      <c r="Y969" s="57"/>
      <c r="Z969" s="57"/>
      <c r="AA969" s="57"/>
      <c r="AB969" s="57"/>
      <c r="AC969" s="31"/>
      <c r="AD969" s="57"/>
      <c r="AE969" s="57"/>
      <c r="AF969" s="57"/>
      <c r="AG969" s="57"/>
      <c r="AH969" s="57"/>
      <c r="AI969" s="57"/>
      <c r="AJ969" s="57"/>
      <c r="AK969" s="57"/>
      <c r="AL969" s="57"/>
      <c r="AM969" s="57"/>
      <c r="AN969" s="57"/>
      <c r="AO969" s="57"/>
      <c r="AP969" s="35"/>
      <c r="AQ969" s="57"/>
      <c r="AR969" s="36"/>
      <c r="AS969" s="57"/>
      <c r="AT969" s="37"/>
      <c r="AU969" s="30"/>
      <c r="AV969" s="30"/>
      <c r="AW969" s="30"/>
      <c r="AX969" s="30"/>
      <c r="AY969" s="30"/>
      <c r="AZ969" s="30"/>
    </row>
    <row r="970">
      <c r="A970" s="30"/>
      <c r="B970" s="30"/>
      <c r="C970" s="30"/>
      <c r="D970" s="31"/>
      <c r="E970" s="31"/>
      <c r="F970" s="31"/>
      <c r="G970" s="31"/>
      <c r="H970" s="31"/>
      <c r="I970" s="54"/>
      <c r="J970" s="55"/>
      <c r="K970" s="54"/>
      <c r="L970" s="56"/>
      <c r="M970" s="56"/>
      <c r="N970" s="31"/>
      <c r="O970" s="57"/>
      <c r="P970" s="57"/>
      <c r="Q970" s="57"/>
      <c r="R970" s="57"/>
      <c r="S970" s="31"/>
      <c r="T970" s="57"/>
      <c r="U970" s="57"/>
      <c r="V970" s="57"/>
      <c r="W970" s="57"/>
      <c r="X970" s="31"/>
      <c r="Y970" s="57"/>
      <c r="Z970" s="57"/>
      <c r="AA970" s="57"/>
      <c r="AB970" s="57"/>
      <c r="AC970" s="31"/>
      <c r="AD970" s="57"/>
      <c r="AE970" s="57"/>
      <c r="AF970" s="57"/>
      <c r="AG970" s="57"/>
      <c r="AH970" s="57"/>
      <c r="AI970" s="57"/>
      <c r="AJ970" s="57"/>
      <c r="AK970" s="57"/>
      <c r="AL970" s="57"/>
      <c r="AM970" s="57"/>
      <c r="AN970" s="57"/>
      <c r="AO970" s="57"/>
      <c r="AP970" s="35"/>
      <c r="AQ970" s="57"/>
      <c r="AR970" s="36"/>
      <c r="AS970" s="57"/>
      <c r="AT970" s="37"/>
      <c r="AU970" s="30"/>
      <c r="AV970" s="30"/>
      <c r="AW970" s="30"/>
      <c r="AX970" s="30"/>
      <c r="AY970" s="30"/>
      <c r="AZ970" s="30"/>
    </row>
    <row r="971">
      <c r="A971" s="30"/>
      <c r="B971" s="30"/>
      <c r="C971" s="30"/>
      <c r="D971" s="31"/>
      <c r="E971" s="31"/>
      <c r="F971" s="31"/>
      <c r="G971" s="31"/>
      <c r="H971" s="31"/>
      <c r="I971" s="54"/>
      <c r="J971" s="55"/>
      <c r="K971" s="54"/>
      <c r="L971" s="56"/>
      <c r="M971" s="56"/>
      <c r="N971" s="31"/>
      <c r="O971" s="57"/>
      <c r="P971" s="57"/>
      <c r="Q971" s="57"/>
      <c r="R971" s="57"/>
      <c r="S971" s="31"/>
      <c r="T971" s="57"/>
      <c r="U971" s="57"/>
      <c r="V971" s="57"/>
      <c r="W971" s="57"/>
      <c r="X971" s="31"/>
      <c r="Y971" s="57"/>
      <c r="Z971" s="57"/>
      <c r="AA971" s="57"/>
      <c r="AB971" s="57"/>
      <c r="AC971" s="31"/>
      <c r="AD971" s="57"/>
      <c r="AE971" s="57"/>
      <c r="AF971" s="57"/>
      <c r="AG971" s="57"/>
      <c r="AH971" s="57"/>
      <c r="AI971" s="57"/>
      <c r="AJ971" s="57"/>
      <c r="AK971" s="57"/>
      <c r="AL971" s="57"/>
      <c r="AM971" s="57"/>
      <c r="AN971" s="57"/>
      <c r="AO971" s="57"/>
      <c r="AP971" s="35"/>
      <c r="AQ971" s="57"/>
      <c r="AR971" s="36"/>
      <c r="AS971" s="57"/>
      <c r="AT971" s="37"/>
      <c r="AU971" s="30"/>
      <c r="AV971" s="30"/>
      <c r="AW971" s="30"/>
      <c r="AX971" s="30"/>
      <c r="AY971" s="30"/>
      <c r="AZ971" s="30"/>
    </row>
    <row r="972">
      <c r="A972" s="30"/>
      <c r="B972" s="30"/>
      <c r="C972" s="30"/>
      <c r="D972" s="31"/>
      <c r="E972" s="31"/>
      <c r="F972" s="31"/>
      <c r="G972" s="31"/>
      <c r="H972" s="31"/>
      <c r="I972" s="54"/>
      <c r="J972" s="55"/>
      <c r="K972" s="54"/>
      <c r="L972" s="56"/>
      <c r="M972" s="56"/>
      <c r="N972" s="31"/>
      <c r="O972" s="57"/>
      <c r="P972" s="57"/>
      <c r="Q972" s="57"/>
      <c r="R972" s="57"/>
      <c r="S972" s="31"/>
      <c r="T972" s="57"/>
      <c r="U972" s="57"/>
      <c r="V972" s="57"/>
      <c r="W972" s="57"/>
      <c r="X972" s="31"/>
      <c r="Y972" s="57"/>
      <c r="Z972" s="57"/>
      <c r="AA972" s="57"/>
      <c r="AB972" s="57"/>
      <c r="AC972" s="31"/>
      <c r="AD972" s="57"/>
      <c r="AE972" s="57"/>
      <c r="AF972" s="57"/>
      <c r="AG972" s="57"/>
      <c r="AH972" s="57"/>
      <c r="AI972" s="57"/>
      <c r="AJ972" s="57"/>
      <c r="AK972" s="57"/>
      <c r="AL972" s="57"/>
      <c r="AM972" s="57"/>
      <c r="AN972" s="57"/>
      <c r="AO972" s="57"/>
      <c r="AP972" s="35"/>
      <c r="AQ972" s="57"/>
      <c r="AR972" s="36"/>
      <c r="AS972" s="57"/>
      <c r="AT972" s="37"/>
      <c r="AU972" s="30"/>
      <c r="AV972" s="30"/>
      <c r="AW972" s="30"/>
      <c r="AX972" s="30"/>
      <c r="AY972" s="30"/>
      <c r="AZ972" s="30"/>
    </row>
    <row r="973">
      <c r="A973" s="30"/>
      <c r="B973" s="30"/>
      <c r="C973" s="30"/>
      <c r="D973" s="31"/>
      <c r="E973" s="31"/>
      <c r="F973" s="31"/>
      <c r="G973" s="31"/>
      <c r="H973" s="31"/>
      <c r="I973" s="54"/>
      <c r="J973" s="55"/>
      <c r="K973" s="54"/>
      <c r="L973" s="56"/>
      <c r="M973" s="56"/>
      <c r="N973" s="31"/>
      <c r="O973" s="57"/>
      <c r="P973" s="57"/>
      <c r="Q973" s="57"/>
      <c r="R973" s="57"/>
      <c r="S973" s="31"/>
      <c r="T973" s="57"/>
      <c r="U973" s="57"/>
      <c r="V973" s="57"/>
      <c r="W973" s="57"/>
      <c r="X973" s="31"/>
      <c r="Y973" s="57"/>
      <c r="Z973" s="57"/>
      <c r="AA973" s="57"/>
      <c r="AB973" s="57"/>
      <c r="AC973" s="31"/>
      <c r="AD973" s="57"/>
      <c r="AE973" s="57"/>
      <c r="AF973" s="57"/>
      <c r="AG973" s="57"/>
      <c r="AH973" s="57"/>
      <c r="AI973" s="57"/>
      <c r="AJ973" s="57"/>
      <c r="AK973" s="57"/>
      <c r="AL973" s="57"/>
      <c r="AM973" s="57"/>
      <c r="AN973" s="57"/>
      <c r="AO973" s="57"/>
      <c r="AP973" s="35"/>
      <c r="AQ973" s="57"/>
      <c r="AR973" s="36"/>
      <c r="AS973" s="57"/>
      <c r="AT973" s="37"/>
      <c r="AU973" s="30"/>
      <c r="AV973" s="30"/>
      <c r="AW973" s="30"/>
      <c r="AX973" s="30"/>
      <c r="AY973" s="30"/>
      <c r="AZ973" s="30"/>
    </row>
    <row r="974">
      <c r="A974" s="30"/>
      <c r="B974" s="30"/>
      <c r="C974" s="30"/>
      <c r="D974" s="31"/>
      <c r="E974" s="31"/>
      <c r="F974" s="31"/>
      <c r="G974" s="31"/>
      <c r="H974" s="31"/>
      <c r="I974" s="54"/>
      <c r="J974" s="55"/>
      <c r="K974" s="54"/>
      <c r="L974" s="56"/>
      <c r="M974" s="56"/>
      <c r="N974" s="31"/>
      <c r="O974" s="57"/>
      <c r="P974" s="57"/>
      <c r="Q974" s="57"/>
      <c r="R974" s="57"/>
      <c r="S974" s="31"/>
      <c r="T974" s="57"/>
      <c r="U974" s="57"/>
      <c r="V974" s="57"/>
      <c r="W974" s="57"/>
      <c r="X974" s="31"/>
      <c r="Y974" s="57"/>
      <c r="Z974" s="57"/>
      <c r="AA974" s="57"/>
      <c r="AB974" s="57"/>
      <c r="AC974" s="31"/>
      <c r="AD974" s="57"/>
      <c r="AE974" s="57"/>
      <c r="AF974" s="57"/>
      <c r="AG974" s="57"/>
      <c r="AH974" s="57"/>
      <c r="AI974" s="57"/>
      <c r="AJ974" s="57"/>
      <c r="AK974" s="57"/>
      <c r="AL974" s="57"/>
      <c r="AM974" s="57"/>
      <c r="AN974" s="57"/>
      <c r="AO974" s="57"/>
      <c r="AP974" s="35"/>
      <c r="AQ974" s="57"/>
      <c r="AR974" s="36"/>
      <c r="AS974" s="57"/>
      <c r="AT974" s="37"/>
      <c r="AU974" s="30"/>
      <c r="AV974" s="30"/>
      <c r="AW974" s="30"/>
      <c r="AX974" s="30"/>
      <c r="AY974" s="30"/>
      <c r="AZ974" s="30"/>
    </row>
    <row r="975">
      <c r="A975" s="30"/>
      <c r="B975" s="30"/>
      <c r="C975" s="30"/>
      <c r="D975" s="31"/>
      <c r="E975" s="31"/>
      <c r="F975" s="31"/>
      <c r="G975" s="31"/>
      <c r="H975" s="31"/>
      <c r="I975" s="54"/>
      <c r="J975" s="55"/>
      <c r="K975" s="54"/>
      <c r="L975" s="56"/>
      <c r="M975" s="56"/>
      <c r="N975" s="31"/>
      <c r="O975" s="57"/>
      <c r="P975" s="57"/>
      <c r="Q975" s="57"/>
      <c r="R975" s="57"/>
      <c r="S975" s="31"/>
      <c r="T975" s="57"/>
      <c r="U975" s="57"/>
      <c r="V975" s="57"/>
      <c r="W975" s="57"/>
      <c r="X975" s="31"/>
      <c r="Y975" s="57"/>
      <c r="Z975" s="57"/>
      <c r="AA975" s="57"/>
      <c r="AB975" s="57"/>
      <c r="AC975" s="31"/>
      <c r="AD975" s="57"/>
      <c r="AE975" s="57"/>
      <c r="AF975" s="57"/>
      <c r="AG975" s="57"/>
      <c r="AH975" s="57"/>
      <c r="AI975" s="57"/>
      <c r="AJ975" s="57"/>
      <c r="AK975" s="57"/>
      <c r="AL975" s="57"/>
      <c r="AM975" s="57"/>
      <c r="AN975" s="57"/>
      <c r="AO975" s="57"/>
      <c r="AP975" s="35"/>
      <c r="AQ975" s="57"/>
      <c r="AR975" s="36"/>
      <c r="AS975" s="57"/>
      <c r="AT975" s="37"/>
      <c r="AU975" s="30"/>
      <c r="AV975" s="30"/>
      <c r="AW975" s="30"/>
      <c r="AX975" s="30"/>
      <c r="AY975" s="30"/>
      <c r="AZ975" s="30"/>
    </row>
    <row r="976">
      <c r="A976" s="30"/>
      <c r="B976" s="30"/>
      <c r="C976" s="30"/>
      <c r="D976" s="31"/>
      <c r="E976" s="31"/>
      <c r="F976" s="31"/>
      <c r="G976" s="31"/>
      <c r="H976" s="31"/>
      <c r="I976" s="54"/>
      <c r="J976" s="55"/>
      <c r="K976" s="54"/>
      <c r="L976" s="56"/>
      <c r="M976" s="56"/>
      <c r="N976" s="31"/>
      <c r="O976" s="57"/>
      <c r="P976" s="57"/>
      <c r="Q976" s="57"/>
      <c r="R976" s="57"/>
      <c r="S976" s="31"/>
      <c r="T976" s="57"/>
      <c r="U976" s="57"/>
      <c r="V976" s="57"/>
      <c r="W976" s="57"/>
      <c r="X976" s="31"/>
      <c r="Y976" s="57"/>
      <c r="Z976" s="57"/>
      <c r="AA976" s="57"/>
      <c r="AB976" s="57"/>
      <c r="AC976" s="31"/>
      <c r="AD976" s="57"/>
      <c r="AE976" s="57"/>
      <c r="AF976" s="57"/>
      <c r="AG976" s="57"/>
      <c r="AH976" s="57"/>
      <c r="AI976" s="57"/>
      <c r="AJ976" s="57"/>
      <c r="AK976" s="57"/>
      <c r="AL976" s="57"/>
      <c r="AM976" s="57"/>
      <c r="AN976" s="57"/>
      <c r="AO976" s="57"/>
      <c r="AP976" s="35"/>
      <c r="AQ976" s="57"/>
      <c r="AR976" s="36"/>
      <c r="AS976" s="57"/>
      <c r="AT976" s="37"/>
      <c r="AU976" s="30"/>
      <c r="AV976" s="30"/>
      <c r="AW976" s="30"/>
      <c r="AX976" s="30"/>
      <c r="AY976" s="30"/>
      <c r="AZ976" s="30"/>
    </row>
    <row r="977">
      <c r="A977" s="30"/>
      <c r="B977" s="30"/>
      <c r="C977" s="30"/>
      <c r="D977" s="31"/>
      <c r="E977" s="31"/>
      <c r="F977" s="31"/>
      <c r="G977" s="31"/>
      <c r="H977" s="31"/>
      <c r="I977" s="54"/>
      <c r="J977" s="55"/>
      <c r="K977" s="54"/>
      <c r="L977" s="56"/>
      <c r="M977" s="56"/>
      <c r="N977" s="31"/>
      <c r="O977" s="57"/>
      <c r="P977" s="57"/>
      <c r="Q977" s="57"/>
      <c r="R977" s="57"/>
      <c r="S977" s="31"/>
      <c r="T977" s="57"/>
      <c r="U977" s="57"/>
      <c r="V977" s="57"/>
      <c r="W977" s="57"/>
      <c r="X977" s="31"/>
      <c r="Y977" s="57"/>
      <c r="Z977" s="57"/>
      <c r="AA977" s="57"/>
      <c r="AB977" s="57"/>
      <c r="AC977" s="31"/>
      <c r="AD977" s="57"/>
      <c r="AE977" s="57"/>
      <c r="AF977" s="57"/>
      <c r="AG977" s="57"/>
      <c r="AH977" s="57"/>
      <c r="AI977" s="57"/>
      <c r="AJ977" s="57"/>
      <c r="AK977" s="57"/>
      <c r="AL977" s="57"/>
      <c r="AM977" s="57"/>
      <c r="AN977" s="57"/>
      <c r="AO977" s="57"/>
      <c r="AP977" s="35"/>
      <c r="AQ977" s="57"/>
      <c r="AR977" s="36"/>
      <c r="AS977" s="57"/>
      <c r="AT977" s="37"/>
      <c r="AU977" s="30"/>
      <c r="AV977" s="30"/>
      <c r="AW977" s="30"/>
      <c r="AX977" s="30"/>
      <c r="AY977" s="30"/>
      <c r="AZ977" s="30"/>
    </row>
    <row r="978">
      <c r="A978" s="30"/>
      <c r="B978" s="30"/>
      <c r="C978" s="30"/>
      <c r="D978" s="31"/>
      <c r="E978" s="31"/>
      <c r="F978" s="31"/>
      <c r="G978" s="31"/>
      <c r="H978" s="31"/>
      <c r="I978" s="54"/>
      <c r="J978" s="55"/>
      <c r="K978" s="54"/>
      <c r="L978" s="56"/>
      <c r="M978" s="56"/>
      <c r="N978" s="31"/>
      <c r="O978" s="57"/>
      <c r="P978" s="57"/>
      <c r="Q978" s="57"/>
      <c r="R978" s="57"/>
      <c r="S978" s="31"/>
      <c r="T978" s="57"/>
      <c r="U978" s="57"/>
      <c r="V978" s="57"/>
      <c r="W978" s="57"/>
      <c r="X978" s="31"/>
      <c r="Y978" s="57"/>
      <c r="Z978" s="57"/>
      <c r="AA978" s="57"/>
      <c r="AB978" s="57"/>
      <c r="AC978" s="31"/>
      <c r="AD978" s="57"/>
      <c r="AE978" s="57"/>
      <c r="AF978" s="57"/>
      <c r="AG978" s="57"/>
      <c r="AH978" s="57"/>
      <c r="AI978" s="57"/>
      <c r="AJ978" s="57"/>
      <c r="AK978" s="57"/>
      <c r="AL978" s="57"/>
      <c r="AM978" s="57"/>
      <c r="AN978" s="57"/>
      <c r="AO978" s="57"/>
      <c r="AP978" s="35"/>
      <c r="AQ978" s="57"/>
      <c r="AR978" s="36"/>
      <c r="AS978" s="57"/>
      <c r="AT978" s="37"/>
      <c r="AU978" s="30"/>
      <c r="AV978" s="30"/>
      <c r="AW978" s="30"/>
      <c r="AX978" s="30"/>
      <c r="AY978" s="30"/>
      <c r="AZ978" s="30"/>
    </row>
    <row r="979">
      <c r="A979" s="30"/>
      <c r="B979" s="30"/>
      <c r="C979" s="30"/>
      <c r="D979" s="31"/>
      <c r="E979" s="31"/>
      <c r="F979" s="31"/>
      <c r="G979" s="31"/>
      <c r="H979" s="31"/>
      <c r="I979" s="54"/>
      <c r="J979" s="55"/>
      <c r="K979" s="54"/>
      <c r="L979" s="56"/>
      <c r="M979" s="56"/>
      <c r="N979" s="31"/>
      <c r="O979" s="57"/>
      <c r="P979" s="57"/>
      <c r="Q979" s="57"/>
      <c r="R979" s="57"/>
      <c r="S979" s="31"/>
      <c r="T979" s="57"/>
      <c r="U979" s="57"/>
      <c r="V979" s="57"/>
      <c r="W979" s="57"/>
      <c r="X979" s="31"/>
      <c r="Y979" s="57"/>
      <c r="Z979" s="57"/>
      <c r="AA979" s="57"/>
      <c r="AB979" s="57"/>
      <c r="AC979" s="31"/>
      <c r="AD979" s="57"/>
      <c r="AE979" s="57"/>
      <c r="AF979" s="57"/>
      <c r="AG979" s="57"/>
      <c r="AH979" s="57"/>
      <c r="AI979" s="57"/>
      <c r="AJ979" s="57"/>
      <c r="AK979" s="57"/>
      <c r="AL979" s="57"/>
      <c r="AM979" s="57"/>
      <c r="AN979" s="57"/>
      <c r="AO979" s="57"/>
      <c r="AP979" s="35"/>
      <c r="AQ979" s="57"/>
      <c r="AR979" s="36"/>
      <c r="AS979" s="57"/>
      <c r="AT979" s="37"/>
      <c r="AU979" s="30"/>
      <c r="AV979" s="30"/>
      <c r="AW979" s="30"/>
      <c r="AX979" s="30"/>
      <c r="AY979" s="30"/>
      <c r="AZ979" s="30"/>
    </row>
    <row r="980">
      <c r="A980" s="30"/>
      <c r="B980" s="30"/>
      <c r="C980" s="30"/>
      <c r="D980" s="31"/>
      <c r="E980" s="31"/>
      <c r="F980" s="31"/>
      <c r="G980" s="31"/>
      <c r="H980" s="31"/>
      <c r="I980" s="54"/>
      <c r="J980" s="55"/>
      <c r="K980" s="54"/>
      <c r="L980" s="56"/>
      <c r="M980" s="56"/>
      <c r="N980" s="31"/>
      <c r="O980" s="57"/>
      <c r="P980" s="57"/>
      <c r="Q980" s="57"/>
      <c r="R980" s="57"/>
      <c r="S980" s="31"/>
      <c r="T980" s="57"/>
      <c r="U980" s="57"/>
      <c r="V980" s="57"/>
      <c r="W980" s="57"/>
      <c r="X980" s="31"/>
      <c r="Y980" s="57"/>
      <c r="Z980" s="57"/>
      <c r="AA980" s="57"/>
      <c r="AB980" s="57"/>
      <c r="AC980" s="31"/>
      <c r="AD980" s="57"/>
      <c r="AE980" s="57"/>
      <c r="AF980" s="57"/>
      <c r="AG980" s="57"/>
      <c r="AH980" s="57"/>
      <c r="AI980" s="57"/>
      <c r="AJ980" s="57"/>
      <c r="AK980" s="57"/>
      <c r="AL980" s="57"/>
      <c r="AM980" s="57"/>
      <c r="AN980" s="57"/>
      <c r="AO980" s="57"/>
      <c r="AP980" s="35"/>
      <c r="AQ980" s="57"/>
      <c r="AR980" s="36"/>
      <c r="AS980" s="57"/>
      <c r="AT980" s="37"/>
      <c r="AU980" s="30"/>
      <c r="AV980" s="30"/>
      <c r="AW980" s="30"/>
      <c r="AX980" s="30"/>
      <c r="AY980" s="30"/>
      <c r="AZ980" s="30"/>
    </row>
    <row r="981">
      <c r="A981" s="30"/>
      <c r="B981" s="30"/>
      <c r="C981" s="30"/>
      <c r="D981" s="31"/>
      <c r="E981" s="31"/>
      <c r="F981" s="31"/>
      <c r="G981" s="31"/>
      <c r="H981" s="31"/>
      <c r="I981" s="54"/>
      <c r="J981" s="55"/>
      <c r="K981" s="54"/>
      <c r="L981" s="56"/>
      <c r="M981" s="56"/>
      <c r="N981" s="31"/>
      <c r="O981" s="57"/>
      <c r="P981" s="57"/>
      <c r="Q981" s="57"/>
      <c r="R981" s="57"/>
      <c r="S981" s="31"/>
      <c r="T981" s="57"/>
      <c r="U981" s="57"/>
      <c r="V981" s="57"/>
      <c r="W981" s="57"/>
      <c r="X981" s="31"/>
      <c r="Y981" s="57"/>
      <c r="Z981" s="57"/>
      <c r="AA981" s="57"/>
      <c r="AB981" s="57"/>
      <c r="AC981" s="31"/>
      <c r="AD981" s="57"/>
      <c r="AE981" s="57"/>
      <c r="AF981" s="57"/>
      <c r="AG981" s="57"/>
      <c r="AH981" s="57"/>
      <c r="AI981" s="57"/>
      <c r="AJ981" s="57"/>
      <c r="AK981" s="57"/>
      <c r="AL981" s="57"/>
      <c r="AM981" s="57"/>
      <c r="AN981" s="57"/>
      <c r="AO981" s="57"/>
      <c r="AP981" s="35"/>
      <c r="AQ981" s="57"/>
      <c r="AR981" s="36"/>
      <c r="AS981" s="57"/>
      <c r="AT981" s="37"/>
      <c r="AU981" s="30"/>
      <c r="AV981" s="30"/>
      <c r="AW981" s="30"/>
      <c r="AX981" s="30"/>
      <c r="AY981" s="30"/>
      <c r="AZ981" s="30"/>
    </row>
    <row r="982">
      <c r="A982" s="30"/>
      <c r="B982" s="30"/>
      <c r="C982" s="30"/>
      <c r="D982" s="31"/>
      <c r="E982" s="31"/>
      <c r="F982" s="31"/>
      <c r="G982" s="31"/>
      <c r="H982" s="31"/>
      <c r="I982" s="54"/>
      <c r="J982" s="55"/>
      <c r="K982" s="54"/>
      <c r="L982" s="56"/>
      <c r="M982" s="56"/>
      <c r="N982" s="31"/>
      <c r="O982" s="57"/>
      <c r="P982" s="57"/>
      <c r="Q982" s="57"/>
      <c r="R982" s="57"/>
      <c r="S982" s="31"/>
      <c r="T982" s="57"/>
      <c r="U982" s="57"/>
      <c r="V982" s="57"/>
      <c r="W982" s="57"/>
      <c r="X982" s="31"/>
      <c r="Y982" s="57"/>
      <c r="Z982" s="57"/>
      <c r="AA982" s="57"/>
      <c r="AB982" s="57"/>
      <c r="AC982" s="31"/>
      <c r="AD982" s="57"/>
      <c r="AE982" s="57"/>
      <c r="AF982" s="57"/>
      <c r="AG982" s="57"/>
      <c r="AH982" s="57"/>
      <c r="AI982" s="57"/>
      <c r="AJ982" s="57"/>
      <c r="AK982" s="57"/>
      <c r="AL982" s="57"/>
      <c r="AM982" s="57"/>
      <c r="AN982" s="57"/>
      <c r="AO982" s="57"/>
      <c r="AP982" s="35"/>
      <c r="AQ982" s="57"/>
      <c r="AR982" s="36"/>
      <c r="AS982" s="57"/>
      <c r="AT982" s="37"/>
      <c r="AU982" s="30"/>
      <c r="AV982" s="30"/>
      <c r="AW982" s="30"/>
      <c r="AX982" s="30"/>
      <c r="AY982" s="30"/>
      <c r="AZ982" s="30"/>
    </row>
    <row r="983">
      <c r="A983" s="30"/>
      <c r="B983" s="30"/>
      <c r="C983" s="30"/>
      <c r="D983" s="31"/>
      <c r="E983" s="31"/>
      <c r="F983" s="31"/>
      <c r="G983" s="31"/>
      <c r="H983" s="31"/>
      <c r="I983" s="54"/>
      <c r="J983" s="55"/>
      <c r="K983" s="54"/>
      <c r="L983" s="56"/>
      <c r="M983" s="56"/>
      <c r="N983" s="31"/>
      <c r="O983" s="57"/>
      <c r="P983" s="57"/>
      <c r="Q983" s="57"/>
      <c r="R983" s="57"/>
      <c r="S983" s="31"/>
      <c r="T983" s="57"/>
      <c r="U983" s="57"/>
      <c r="V983" s="57"/>
      <c r="W983" s="57"/>
      <c r="X983" s="31"/>
      <c r="Y983" s="57"/>
      <c r="Z983" s="57"/>
      <c r="AA983" s="57"/>
      <c r="AB983" s="57"/>
      <c r="AC983" s="31"/>
      <c r="AD983" s="57"/>
      <c r="AE983" s="57"/>
      <c r="AF983" s="57"/>
      <c r="AG983" s="57"/>
      <c r="AH983" s="57"/>
      <c r="AI983" s="57"/>
      <c r="AJ983" s="57"/>
      <c r="AK983" s="57"/>
      <c r="AL983" s="57"/>
      <c r="AM983" s="57"/>
      <c r="AN983" s="57"/>
      <c r="AO983" s="57"/>
      <c r="AP983" s="35"/>
      <c r="AQ983" s="57"/>
      <c r="AR983" s="36"/>
      <c r="AS983" s="57"/>
      <c r="AT983" s="37"/>
      <c r="AU983" s="30"/>
      <c r="AV983" s="30"/>
      <c r="AW983" s="30"/>
      <c r="AX983" s="30"/>
      <c r="AY983" s="30"/>
      <c r="AZ983" s="30"/>
    </row>
    <row r="984">
      <c r="A984" s="30"/>
      <c r="B984" s="30"/>
      <c r="C984" s="30"/>
      <c r="D984" s="31"/>
      <c r="E984" s="31"/>
      <c r="F984" s="31"/>
      <c r="G984" s="31"/>
      <c r="H984" s="31"/>
      <c r="I984" s="54"/>
      <c r="J984" s="55"/>
      <c r="K984" s="54"/>
      <c r="L984" s="56"/>
      <c r="M984" s="56"/>
      <c r="N984" s="31"/>
      <c r="O984" s="57"/>
      <c r="P984" s="57"/>
      <c r="Q984" s="57"/>
      <c r="R984" s="57"/>
      <c r="S984" s="31"/>
      <c r="T984" s="57"/>
      <c r="U984" s="57"/>
      <c r="V984" s="57"/>
      <c r="W984" s="57"/>
      <c r="X984" s="31"/>
      <c r="Y984" s="57"/>
      <c r="Z984" s="57"/>
      <c r="AA984" s="57"/>
      <c r="AB984" s="57"/>
      <c r="AC984" s="31"/>
      <c r="AD984" s="57"/>
      <c r="AE984" s="57"/>
      <c r="AF984" s="57"/>
      <c r="AG984" s="57"/>
      <c r="AH984" s="57"/>
      <c r="AI984" s="57"/>
      <c r="AJ984" s="57"/>
      <c r="AK984" s="57"/>
      <c r="AL984" s="57"/>
      <c r="AM984" s="57"/>
      <c r="AN984" s="57"/>
      <c r="AO984" s="57"/>
      <c r="AP984" s="35"/>
      <c r="AQ984" s="57"/>
      <c r="AR984" s="36"/>
      <c r="AS984" s="57"/>
      <c r="AT984" s="37"/>
      <c r="AU984" s="30"/>
      <c r="AV984" s="30"/>
      <c r="AW984" s="30"/>
      <c r="AX984" s="30"/>
      <c r="AY984" s="30"/>
      <c r="AZ984" s="30"/>
    </row>
    <row r="985">
      <c r="A985" s="30"/>
      <c r="B985" s="30"/>
      <c r="C985" s="30"/>
      <c r="D985" s="31"/>
      <c r="E985" s="31"/>
      <c r="F985" s="31"/>
      <c r="G985" s="31"/>
      <c r="H985" s="31"/>
      <c r="I985" s="54"/>
      <c r="J985" s="55"/>
      <c r="K985" s="54"/>
      <c r="L985" s="56"/>
      <c r="M985" s="56"/>
      <c r="N985" s="31"/>
      <c r="O985" s="57"/>
      <c r="P985" s="57"/>
      <c r="Q985" s="57"/>
      <c r="R985" s="57"/>
      <c r="S985" s="31"/>
      <c r="T985" s="57"/>
      <c r="U985" s="57"/>
      <c r="V985" s="57"/>
      <c r="W985" s="57"/>
      <c r="X985" s="31"/>
      <c r="Y985" s="57"/>
      <c r="Z985" s="57"/>
      <c r="AA985" s="57"/>
      <c r="AB985" s="57"/>
      <c r="AC985" s="31"/>
      <c r="AD985" s="57"/>
      <c r="AE985" s="57"/>
      <c r="AF985" s="57"/>
      <c r="AG985" s="57"/>
      <c r="AH985" s="57"/>
      <c r="AI985" s="57"/>
      <c r="AJ985" s="57"/>
      <c r="AK985" s="57"/>
      <c r="AL985" s="57"/>
      <c r="AM985" s="57"/>
      <c r="AN985" s="57"/>
      <c r="AO985" s="57"/>
      <c r="AP985" s="35"/>
      <c r="AQ985" s="57"/>
      <c r="AR985" s="36"/>
      <c r="AS985" s="57"/>
      <c r="AT985" s="37"/>
      <c r="AU985" s="30"/>
      <c r="AV985" s="30"/>
      <c r="AW985" s="30"/>
      <c r="AX985" s="30"/>
      <c r="AY985" s="30"/>
      <c r="AZ985" s="30"/>
    </row>
    <row r="986">
      <c r="A986" s="30"/>
      <c r="B986" s="30"/>
      <c r="C986" s="30"/>
      <c r="D986" s="31"/>
      <c r="E986" s="31"/>
      <c r="F986" s="31"/>
      <c r="G986" s="31"/>
      <c r="H986" s="31"/>
      <c r="I986" s="54"/>
      <c r="J986" s="55"/>
      <c r="K986" s="54"/>
      <c r="L986" s="56"/>
      <c r="M986" s="56"/>
      <c r="N986" s="31"/>
      <c r="O986" s="57"/>
      <c r="P986" s="57"/>
      <c r="Q986" s="57"/>
      <c r="R986" s="57"/>
      <c r="S986" s="31"/>
      <c r="T986" s="57"/>
      <c r="U986" s="57"/>
      <c r="V986" s="57"/>
      <c r="W986" s="57"/>
      <c r="X986" s="31"/>
      <c r="Y986" s="57"/>
      <c r="Z986" s="57"/>
      <c r="AA986" s="57"/>
      <c r="AB986" s="57"/>
      <c r="AC986" s="31"/>
      <c r="AD986" s="57"/>
      <c r="AE986" s="57"/>
      <c r="AF986" s="57"/>
      <c r="AG986" s="57"/>
      <c r="AH986" s="57"/>
      <c r="AI986" s="57"/>
      <c r="AJ986" s="57"/>
      <c r="AK986" s="57"/>
      <c r="AL986" s="57"/>
      <c r="AM986" s="57"/>
      <c r="AN986" s="57"/>
      <c r="AO986" s="57"/>
      <c r="AP986" s="35"/>
      <c r="AQ986" s="57"/>
      <c r="AR986" s="36"/>
      <c r="AS986" s="57"/>
      <c r="AT986" s="37"/>
      <c r="AU986" s="30"/>
      <c r="AV986" s="30"/>
      <c r="AW986" s="30"/>
      <c r="AX986" s="30"/>
      <c r="AY986" s="30"/>
      <c r="AZ986" s="30"/>
    </row>
    <row r="987">
      <c r="A987" s="30"/>
      <c r="B987" s="30"/>
      <c r="C987" s="30"/>
      <c r="D987" s="31"/>
      <c r="E987" s="31"/>
      <c r="F987" s="31"/>
      <c r="G987" s="31"/>
      <c r="H987" s="31"/>
      <c r="I987" s="54"/>
      <c r="J987" s="55"/>
      <c r="K987" s="54"/>
      <c r="L987" s="56"/>
      <c r="M987" s="56"/>
      <c r="N987" s="31"/>
      <c r="O987" s="57"/>
      <c r="P987" s="57"/>
      <c r="Q987" s="57"/>
      <c r="R987" s="57"/>
      <c r="S987" s="31"/>
      <c r="T987" s="57"/>
      <c r="U987" s="57"/>
      <c r="V987" s="57"/>
      <c r="W987" s="57"/>
      <c r="X987" s="31"/>
      <c r="Y987" s="57"/>
      <c r="Z987" s="57"/>
      <c r="AA987" s="57"/>
      <c r="AB987" s="57"/>
      <c r="AC987" s="31"/>
      <c r="AD987" s="57"/>
      <c r="AE987" s="57"/>
      <c r="AF987" s="57"/>
      <c r="AG987" s="57"/>
      <c r="AH987" s="57"/>
      <c r="AI987" s="57"/>
      <c r="AJ987" s="57"/>
      <c r="AK987" s="57"/>
      <c r="AL987" s="57"/>
      <c r="AM987" s="57"/>
      <c r="AN987" s="57"/>
      <c r="AO987" s="57"/>
      <c r="AP987" s="35"/>
      <c r="AQ987" s="57"/>
      <c r="AR987" s="36"/>
      <c r="AS987" s="57"/>
      <c r="AT987" s="37"/>
      <c r="AU987" s="30"/>
      <c r="AV987" s="30"/>
      <c r="AW987" s="30"/>
      <c r="AX987" s="30"/>
      <c r="AY987" s="30"/>
      <c r="AZ987" s="30"/>
    </row>
    <row r="988">
      <c r="A988" s="30"/>
      <c r="B988" s="30"/>
      <c r="C988" s="30"/>
      <c r="D988" s="31"/>
      <c r="E988" s="31"/>
      <c r="F988" s="31"/>
      <c r="G988" s="31"/>
      <c r="H988" s="31"/>
      <c r="I988" s="54"/>
      <c r="J988" s="55"/>
      <c r="K988" s="54"/>
      <c r="L988" s="56"/>
      <c r="M988" s="56"/>
      <c r="N988" s="31"/>
      <c r="O988" s="57"/>
      <c r="P988" s="57"/>
      <c r="Q988" s="57"/>
      <c r="R988" s="57"/>
      <c r="S988" s="31"/>
      <c r="T988" s="57"/>
      <c r="U988" s="57"/>
      <c r="V988" s="57"/>
      <c r="W988" s="57"/>
      <c r="X988" s="31"/>
      <c r="Y988" s="57"/>
      <c r="Z988" s="57"/>
      <c r="AA988" s="57"/>
      <c r="AB988" s="57"/>
      <c r="AC988" s="31"/>
      <c r="AD988" s="57"/>
      <c r="AE988" s="57"/>
      <c r="AF988" s="57"/>
      <c r="AG988" s="57"/>
      <c r="AH988" s="57"/>
      <c r="AI988" s="57"/>
      <c r="AJ988" s="57"/>
      <c r="AK988" s="57"/>
      <c r="AL988" s="57"/>
      <c r="AM988" s="57"/>
      <c r="AN988" s="57"/>
      <c r="AO988" s="57"/>
      <c r="AP988" s="35"/>
      <c r="AQ988" s="57"/>
      <c r="AR988" s="36"/>
      <c r="AS988" s="57"/>
      <c r="AT988" s="37"/>
      <c r="AU988" s="30"/>
      <c r="AV988" s="30"/>
      <c r="AW988" s="30"/>
      <c r="AX988" s="30"/>
      <c r="AY988" s="30"/>
      <c r="AZ988" s="30"/>
    </row>
    <row r="989">
      <c r="A989" s="30"/>
      <c r="B989" s="30"/>
      <c r="C989" s="30"/>
      <c r="D989" s="31"/>
      <c r="E989" s="31"/>
      <c r="F989" s="31"/>
      <c r="G989" s="31"/>
      <c r="H989" s="31"/>
      <c r="I989" s="54"/>
      <c r="J989" s="55"/>
      <c r="K989" s="54"/>
      <c r="L989" s="56"/>
      <c r="M989" s="56"/>
      <c r="N989" s="31"/>
      <c r="O989" s="57"/>
      <c r="P989" s="57"/>
      <c r="Q989" s="57"/>
      <c r="R989" s="57"/>
      <c r="S989" s="31"/>
      <c r="T989" s="57"/>
      <c r="U989" s="57"/>
      <c r="V989" s="57"/>
      <c r="W989" s="57"/>
      <c r="X989" s="31"/>
      <c r="Y989" s="57"/>
      <c r="Z989" s="57"/>
      <c r="AA989" s="57"/>
      <c r="AB989" s="57"/>
      <c r="AC989" s="31"/>
      <c r="AD989" s="57"/>
      <c r="AE989" s="57"/>
      <c r="AF989" s="57"/>
      <c r="AG989" s="57"/>
      <c r="AH989" s="57"/>
      <c r="AI989" s="57"/>
      <c r="AJ989" s="57"/>
      <c r="AK989" s="57"/>
      <c r="AL989" s="57"/>
      <c r="AM989" s="57"/>
      <c r="AN989" s="57"/>
      <c r="AO989" s="57"/>
      <c r="AP989" s="35"/>
      <c r="AQ989" s="57"/>
      <c r="AR989" s="36"/>
      <c r="AS989" s="57"/>
      <c r="AT989" s="37"/>
      <c r="AU989" s="30"/>
      <c r="AV989" s="30"/>
      <c r="AW989" s="30"/>
      <c r="AX989" s="30"/>
      <c r="AY989" s="30"/>
      <c r="AZ989" s="30"/>
    </row>
    <row r="990">
      <c r="A990" s="30"/>
      <c r="B990" s="30"/>
      <c r="C990" s="30"/>
      <c r="D990" s="31"/>
      <c r="E990" s="31"/>
      <c r="F990" s="31"/>
      <c r="G990" s="31"/>
      <c r="H990" s="31"/>
      <c r="I990" s="54"/>
      <c r="J990" s="55"/>
      <c r="K990" s="54"/>
      <c r="L990" s="56"/>
      <c r="M990" s="56"/>
      <c r="N990" s="31"/>
      <c r="O990" s="57"/>
      <c r="P990" s="57"/>
      <c r="Q990" s="57"/>
      <c r="R990" s="57"/>
      <c r="S990" s="31"/>
      <c r="T990" s="57"/>
      <c r="U990" s="57"/>
      <c r="V990" s="57"/>
      <c r="W990" s="57"/>
      <c r="X990" s="31"/>
      <c r="Y990" s="57"/>
      <c r="Z990" s="57"/>
      <c r="AA990" s="57"/>
      <c r="AB990" s="57"/>
      <c r="AC990" s="31"/>
      <c r="AD990" s="57"/>
      <c r="AE990" s="57"/>
      <c r="AF990" s="57"/>
      <c r="AG990" s="57"/>
      <c r="AH990" s="57"/>
      <c r="AI990" s="57"/>
      <c r="AJ990" s="57"/>
      <c r="AK990" s="57"/>
      <c r="AL990" s="57"/>
      <c r="AM990" s="57"/>
      <c r="AN990" s="57"/>
      <c r="AO990" s="57"/>
      <c r="AP990" s="35"/>
      <c r="AQ990" s="57"/>
      <c r="AR990" s="36"/>
      <c r="AS990" s="57"/>
      <c r="AT990" s="37"/>
      <c r="AU990" s="30"/>
      <c r="AV990" s="30"/>
      <c r="AW990" s="30"/>
      <c r="AX990" s="30"/>
      <c r="AY990" s="30"/>
      <c r="AZ990" s="30"/>
    </row>
    <row r="991">
      <c r="A991" s="30"/>
      <c r="B991" s="30"/>
      <c r="C991" s="30"/>
      <c r="D991" s="31"/>
      <c r="E991" s="31"/>
      <c r="F991" s="31"/>
      <c r="G991" s="31"/>
      <c r="H991" s="31"/>
      <c r="I991" s="54"/>
      <c r="J991" s="55"/>
      <c r="K991" s="54"/>
      <c r="L991" s="56"/>
      <c r="M991" s="56"/>
      <c r="N991" s="31"/>
      <c r="O991" s="57"/>
      <c r="P991" s="57"/>
      <c r="Q991" s="57"/>
      <c r="R991" s="57"/>
      <c r="S991" s="31"/>
      <c r="T991" s="57"/>
      <c r="U991" s="57"/>
      <c r="V991" s="57"/>
      <c r="W991" s="57"/>
      <c r="X991" s="31"/>
      <c r="Y991" s="57"/>
      <c r="Z991" s="57"/>
      <c r="AA991" s="57"/>
      <c r="AB991" s="57"/>
      <c r="AC991" s="31"/>
      <c r="AD991" s="57"/>
      <c r="AE991" s="57"/>
      <c r="AF991" s="57"/>
      <c r="AG991" s="57"/>
      <c r="AH991" s="57"/>
      <c r="AI991" s="57"/>
      <c r="AJ991" s="57"/>
      <c r="AK991" s="57"/>
      <c r="AL991" s="57"/>
      <c r="AM991" s="57"/>
      <c r="AN991" s="57"/>
      <c r="AO991" s="57"/>
      <c r="AP991" s="35"/>
      <c r="AQ991" s="57"/>
      <c r="AR991" s="36"/>
      <c r="AS991" s="57"/>
      <c r="AT991" s="37"/>
      <c r="AU991" s="30"/>
      <c r="AV991" s="30"/>
      <c r="AW991" s="30"/>
      <c r="AX991" s="30"/>
      <c r="AY991" s="30"/>
      <c r="AZ991" s="30"/>
    </row>
    <row r="992">
      <c r="A992" s="30"/>
      <c r="B992" s="30"/>
      <c r="C992" s="30"/>
      <c r="D992" s="31"/>
      <c r="E992" s="31"/>
      <c r="F992" s="31"/>
      <c r="G992" s="31"/>
      <c r="H992" s="31"/>
      <c r="I992" s="54"/>
      <c r="J992" s="55"/>
      <c r="K992" s="54"/>
      <c r="L992" s="56"/>
      <c r="M992" s="56"/>
      <c r="N992" s="31"/>
      <c r="O992" s="57"/>
      <c r="P992" s="57"/>
      <c r="Q992" s="57"/>
      <c r="R992" s="57"/>
      <c r="S992" s="31"/>
      <c r="T992" s="57"/>
      <c r="U992" s="57"/>
      <c r="V992" s="57"/>
      <c r="W992" s="57"/>
      <c r="X992" s="31"/>
      <c r="Y992" s="57"/>
      <c r="Z992" s="57"/>
      <c r="AA992" s="57"/>
      <c r="AB992" s="57"/>
      <c r="AC992" s="31"/>
      <c r="AD992" s="57"/>
      <c r="AE992" s="57"/>
      <c r="AF992" s="57"/>
      <c r="AG992" s="57"/>
      <c r="AH992" s="57"/>
      <c r="AI992" s="57"/>
      <c r="AJ992" s="57"/>
      <c r="AK992" s="57"/>
      <c r="AL992" s="57"/>
      <c r="AM992" s="57"/>
      <c r="AN992" s="57"/>
      <c r="AO992" s="57"/>
      <c r="AP992" s="35"/>
      <c r="AQ992" s="57"/>
      <c r="AR992" s="36"/>
      <c r="AS992" s="57"/>
      <c r="AT992" s="37"/>
      <c r="AU992" s="30"/>
      <c r="AV992" s="30"/>
      <c r="AW992" s="30"/>
      <c r="AX992" s="30"/>
      <c r="AY992" s="30"/>
      <c r="AZ992" s="30"/>
    </row>
    <row r="993">
      <c r="A993" s="30"/>
      <c r="B993" s="30"/>
      <c r="C993" s="30"/>
      <c r="D993" s="31"/>
      <c r="E993" s="31"/>
      <c r="F993" s="31"/>
      <c r="G993" s="31"/>
      <c r="H993" s="31"/>
      <c r="I993" s="54"/>
      <c r="J993" s="55"/>
      <c r="K993" s="54"/>
      <c r="L993" s="56"/>
      <c r="M993" s="56"/>
      <c r="N993" s="31"/>
      <c r="O993" s="57"/>
      <c r="P993" s="57"/>
      <c r="Q993" s="57"/>
      <c r="R993" s="57"/>
      <c r="S993" s="31"/>
      <c r="T993" s="57"/>
      <c r="U993" s="57"/>
      <c r="V993" s="57"/>
      <c r="W993" s="57"/>
      <c r="X993" s="31"/>
      <c r="Y993" s="57"/>
      <c r="Z993" s="57"/>
      <c r="AA993" s="57"/>
      <c r="AB993" s="57"/>
      <c r="AC993" s="31"/>
      <c r="AD993" s="57"/>
      <c r="AE993" s="57"/>
      <c r="AF993" s="57"/>
      <c r="AG993" s="57"/>
      <c r="AH993" s="57"/>
      <c r="AI993" s="57"/>
      <c r="AJ993" s="57"/>
      <c r="AK993" s="57"/>
      <c r="AL993" s="57"/>
      <c r="AM993" s="57"/>
      <c r="AN993" s="57"/>
      <c r="AO993" s="57"/>
      <c r="AP993" s="35"/>
      <c r="AQ993" s="57"/>
      <c r="AR993" s="36"/>
      <c r="AS993" s="57"/>
      <c r="AT993" s="37"/>
      <c r="AU993" s="30"/>
      <c r="AV993" s="30"/>
      <c r="AW993" s="30"/>
      <c r="AX993" s="30"/>
      <c r="AY993" s="30"/>
      <c r="AZ993" s="30"/>
    </row>
    <row r="994">
      <c r="A994" s="30"/>
      <c r="B994" s="30"/>
      <c r="C994" s="30"/>
      <c r="D994" s="31"/>
      <c r="E994" s="31"/>
      <c r="F994" s="31"/>
      <c r="G994" s="31"/>
      <c r="H994" s="31"/>
      <c r="I994" s="54"/>
      <c r="J994" s="55"/>
      <c r="K994" s="54"/>
      <c r="L994" s="56"/>
      <c r="M994" s="56"/>
      <c r="N994" s="31"/>
      <c r="O994" s="57"/>
      <c r="P994" s="57"/>
      <c r="Q994" s="57"/>
      <c r="R994" s="57"/>
      <c r="S994" s="31"/>
      <c r="T994" s="57"/>
      <c r="U994" s="57"/>
      <c r="V994" s="57"/>
      <c r="W994" s="57"/>
      <c r="X994" s="31"/>
      <c r="Y994" s="57"/>
      <c r="Z994" s="57"/>
      <c r="AA994" s="57"/>
      <c r="AB994" s="57"/>
      <c r="AC994" s="31"/>
      <c r="AD994" s="57"/>
      <c r="AE994" s="57"/>
      <c r="AF994" s="57"/>
      <c r="AG994" s="57"/>
      <c r="AH994" s="57"/>
      <c r="AI994" s="57"/>
      <c r="AJ994" s="57"/>
      <c r="AK994" s="57"/>
      <c r="AL994" s="57"/>
      <c r="AM994" s="57"/>
      <c r="AN994" s="57"/>
      <c r="AO994" s="57"/>
      <c r="AP994" s="35"/>
      <c r="AQ994" s="57"/>
      <c r="AR994" s="36"/>
      <c r="AS994" s="57"/>
      <c r="AT994" s="37"/>
      <c r="AU994" s="30"/>
      <c r="AV994" s="30"/>
      <c r="AW994" s="30"/>
      <c r="AX994" s="30"/>
      <c r="AY994" s="30"/>
      <c r="AZ994" s="30"/>
    </row>
    <row r="995">
      <c r="A995" s="30"/>
      <c r="B995" s="30"/>
      <c r="C995" s="30"/>
      <c r="D995" s="31"/>
      <c r="E995" s="31"/>
      <c r="F995" s="31"/>
      <c r="G995" s="31"/>
      <c r="H995" s="31"/>
      <c r="I995" s="54"/>
      <c r="J995" s="55"/>
      <c r="K995" s="54"/>
      <c r="L995" s="56"/>
      <c r="M995" s="56"/>
      <c r="N995" s="31"/>
      <c r="O995" s="57"/>
      <c r="P995" s="57"/>
      <c r="Q995" s="57"/>
      <c r="R995" s="57"/>
      <c r="S995" s="31"/>
      <c r="T995" s="57"/>
      <c r="U995" s="57"/>
      <c r="V995" s="57"/>
      <c r="W995" s="57"/>
      <c r="X995" s="31"/>
      <c r="Y995" s="57"/>
      <c r="Z995" s="57"/>
      <c r="AA995" s="57"/>
      <c r="AB995" s="57"/>
      <c r="AC995" s="31"/>
      <c r="AD995" s="57"/>
      <c r="AE995" s="57"/>
      <c r="AF995" s="57"/>
      <c r="AG995" s="57"/>
      <c r="AH995" s="57"/>
      <c r="AI995" s="57"/>
      <c r="AJ995" s="57"/>
      <c r="AK995" s="57"/>
      <c r="AL995" s="57"/>
      <c r="AM995" s="57"/>
      <c r="AN995" s="57"/>
      <c r="AO995" s="57"/>
      <c r="AP995" s="35"/>
      <c r="AQ995" s="57"/>
      <c r="AR995" s="36"/>
      <c r="AS995" s="57"/>
      <c r="AT995" s="37"/>
      <c r="AU995" s="30"/>
      <c r="AV995" s="30"/>
      <c r="AW995" s="30"/>
      <c r="AX995" s="30"/>
      <c r="AY995" s="30"/>
      <c r="AZ995" s="30"/>
    </row>
    <row r="996">
      <c r="A996" s="30"/>
      <c r="B996" s="30"/>
      <c r="C996" s="30"/>
      <c r="D996" s="31"/>
      <c r="E996" s="31"/>
      <c r="F996" s="31"/>
      <c r="G996" s="31"/>
      <c r="H996" s="31"/>
      <c r="I996" s="54"/>
      <c r="J996" s="55"/>
      <c r="K996" s="54"/>
      <c r="L996" s="56"/>
      <c r="M996" s="56"/>
      <c r="N996" s="31"/>
      <c r="O996" s="57"/>
      <c r="P996" s="57"/>
      <c r="Q996" s="57"/>
      <c r="R996" s="57"/>
      <c r="S996" s="31"/>
      <c r="T996" s="57"/>
      <c r="U996" s="57"/>
      <c r="V996" s="57"/>
      <c r="W996" s="57"/>
      <c r="X996" s="31"/>
      <c r="Y996" s="57"/>
      <c r="Z996" s="57"/>
      <c r="AA996" s="57"/>
      <c r="AB996" s="57"/>
      <c r="AC996" s="31"/>
      <c r="AD996" s="57"/>
      <c r="AE996" s="57"/>
      <c r="AF996" s="57"/>
      <c r="AG996" s="57"/>
      <c r="AH996" s="57"/>
      <c r="AI996" s="57"/>
      <c r="AJ996" s="57"/>
      <c r="AK996" s="57"/>
      <c r="AL996" s="57"/>
      <c r="AM996" s="57"/>
      <c r="AN996" s="57"/>
      <c r="AO996" s="57"/>
      <c r="AP996" s="35"/>
      <c r="AQ996" s="57"/>
      <c r="AR996" s="36"/>
      <c r="AS996" s="57"/>
      <c r="AT996" s="37"/>
      <c r="AU996" s="30"/>
      <c r="AV996" s="30"/>
      <c r="AW996" s="30"/>
      <c r="AX996" s="30"/>
      <c r="AY996" s="30"/>
      <c r="AZ996" s="30"/>
    </row>
    <row r="997">
      <c r="A997" s="30"/>
      <c r="B997" s="30"/>
      <c r="C997" s="30"/>
      <c r="D997" s="31"/>
      <c r="E997" s="31"/>
      <c r="F997" s="31"/>
      <c r="G997" s="31"/>
      <c r="H997" s="31"/>
      <c r="I997" s="54"/>
      <c r="J997" s="55"/>
      <c r="K997" s="54"/>
      <c r="L997" s="56"/>
      <c r="M997" s="56"/>
      <c r="N997" s="31"/>
      <c r="O997" s="57"/>
      <c r="P997" s="57"/>
      <c r="Q997" s="57"/>
      <c r="R997" s="57"/>
      <c r="S997" s="31"/>
      <c r="T997" s="57"/>
      <c r="U997" s="57"/>
      <c r="V997" s="57"/>
      <c r="W997" s="57"/>
      <c r="X997" s="31"/>
      <c r="Y997" s="57"/>
      <c r="Z997" s="57"/>
      <c r="AA997" s="57"/>
      <c r="AB997" s="57"/>
      <c r="AC997" s="31"/>
      <c r="AD997" s="57"/>
      <c r="AE997" s="57"/>
      <c r="AF997" s="57"/>
      <c r="AG997" s="57"/>
      <c r="AH997" s="57"/>
      <c r="AI997" s="57"/>
      <c r="AJ997" s="57"/>
      <c r="AK997" s="57"/>
      <c r="AL997" s="57"/>
      <c r="AM997" s="57"/>
      <c r="AN997" s="57"/>
      <c r="AO997" s="57"/>
      <c r="AP997" s="35"/>
      <c r="AQ997" s="57"/>
      <c r="AR997" s="36"/>
      <c r="AS997" s="57"/>
      <c r="AT997" s="37"/>
      <c r="AU997" s="30"/>
      <c r="AV997" s="30"/>
      <c r="AW997" s="30"/>
      <c r="AX997" s="30"/>
      <c r="AY997" s="30"/>
      <c r="AZ997" s="30"/>
    </row>
    <row r="998">
      <c r="A998" s="30"/>
      <c r="B998" s="30"/>
      <c r="C998" s="30"/>
      <c r="D998" s="31"/>
      <c r="E998" s="31"/>
      <c r="F998" s="31"/>
      <c r="G998" s="31"/>
      <c r="H998" s="31"/>
      <c r="I998" s="54"/>
      <c r="J998" s="55"/>
      <c r="K998" s="54"/>
      <c r="L998" s="56"/>
      <c r="M998" s="56"/>
      <c r="N998" s="31"/>
      <c r="O998" s="57"/>
      <c r="P998" s="57"/>
      <c r="Q998" s="57"/>
      <c r="R998" s="57"/>
      <c r="S998" s="31"/>
      <c r="T998" s="57"/>
      <c r="U998" s="57"/>
      <c r="V998" s="57"/>
      <c r="W998" s="57"/>
      <c r="X998" s="31"/>
      <c r="Y998" s="57"/>
      <c r="Z998" s="57"/>
      <c r="AA998" s="57"/>
      <c r="AB998" s="57"/>
      <c r="AC998" s="31"/>
      <c r="AD998" s="57"/>
      <c r="AE998" s="57"/>
      <c r="AF998" s="57"/>
      <c r="AG998" s="57"/>
      <c r="AH998" s="57"/>
      <c r="AI998" s="57"/>
      <c r="AJ998" s="57"/>
      <c r="AK998" s="57"/>
      <c r="AL998" s="57"/>
      <c r="AM998" s="57"/>
      <c r="AN998" s="57"/>
      <c r="AO998" s="57"/>
      <c r="AP998" s="35"/>
      <c r="AQ998" s="57"/>
      <c r="AR998" s="36"/>
      <c r="AS998" s="57"/>
      <c r="AT998" s="37"/>
      <c r="AU998" s="30"/>
      <c r="AV998" s="30"/>
      <c r="AW998" s="30"/>
      <c r="AX998" s="30"/>
      <c r="AY998" s="30"/>
      <c r="AZ998" s="30"/>
    </row>
    <row r="999">
      <c r="A999" s="30"/>
      <c r="B999" s="30"/>
      <c r="C999" s="30"/>
      <c r="D999" s="31"/>
      <c r="E999" s="31"/>
      <c r="F999" s="31"/>
      <c r="G999" s="31"/>
      <c r="H999" s="31"/>
      <c r="I999" s="54"/>
      <c r="J999" s="55"/>
      <c r="K999" s="54"/>
      <c r="L999" s="56"/>
      <c r="M999" s="56"/>
      <c r="N999" s="31"/>
      <c r="O999" s="57"/>
      <c r="P999" s="57"/>
      <c r="Q999" s="57"/>
      <c r="R999" s="57"/>
      <c r="S999" s="31"/>
      <c r="T999" s="57"/>
      <c r="U999" s="57"/>
      <c r="V999" s="57"/>
      <c r="W999" s="57"/>
      <c r="X999" s="31"/>
      <c r="Y999" s="57"/>
      <c r="Z999" s="57"/>
      <c r="AA999" s="57"/>
      <c r="AB999" s="57"/>
      <c r="AC999" s="31"/>
      <c r="AD999" s="57"/>
      <c r="AE999" s="57"/>
      <c r="AF999" s="57"/>
      <c r="AG999" s="57"/>
      <c r="AH999" s="57"/>
      <c r="AI999" s="57"/>
      <c r="AJ999" s="57"/>
      <c r="AK999" s="57"/>
      <c r="AL999" s="57"/>
      <c r="AM999" s="57"/>
      <c r="AN999" s="57"/>
      <c r="AO999" s="57"/>
      <c r="AP999" s="35"/>
      <c r="AQ999" s="57"/>
      <c r="AR999" s="36"/>
      <c r="AS999" s="57"/>
      <c r="AT999" s="37"/>
      <c r="AU999" s="30"/>
      <c r="AV999" s="30"/>
      <c r="AW999" s="30"/>
      <c r="AX999" s="30"/>
      <c r="AY999" s="30"/>
      <c r="AZ999" s="30"/>
    </row>
    <row r="1000">
      <c r="A1000" s="30"/>
      <c r="B1000" s="30"/>
      <c r="C1000" s="30"/>
      <c r="D1000" s="31"/>
      <c r="E1000" s="31"/>
      <c r="F1000" s="31"/>
      <c r="G1000" s="31"/>
      <c r="H1000" s="31"/>
      <c r="I1000" s="54"/>
      <c r="J1000" s="55"/>
      <c r="K1000" s="54"/>
      <c r="L1000" s="56"/>
      <c r="M1000" s="56"/>
      <c r="N1000" s="31"/>
      <c r="O1000" s="57"/>
      <c r="P1000" s="57"/>
      <c r="Q1000" s="57"/>
      <c r="R1000" s="57"/>
      <c r="S1000" s="31"/>
      <c r="T1000" s="57"/>
      <c r="U1000" s="57"/>
      <c r="V1000" s="57"/>
      <c r="W1000" s="57"/>
      <c r="X1000" s="31"/>
      <c r="Y1000" s="57"/>
      <c r="Z1000" s="57"/>
      <c r="AA1000" s="57"/>
      <c r="AB1000" s="57"/>
      <c r="AC1000" s="31"/>
      <c r="AD1000" s="57"/>
      <c r="AE1000" s="57"/>
      <c r="AF1000" s="57"/>
      <c r="AG1000" s="57"/>
      <c r="AH1000" s="57"/>
      <c r="AI1000" s="57"/>
      <c r="AJ1000" s="57"/>
      <c r="AK1000" s="57"/>
      <c r="AL1000" s="57"/>
      <c r="AM1000" s="57"/>
      <c r="AN1000" s="57"/>
      <c r="AO1000" s="57"/>
      <c r="AP1000" s="35"/>
      <c r="AQ1000" s="57"/>
      <c r="AR1000" s="36"/>
      <c r="AS1000" s="57"/>
      <c r="AT1000" s="37"/>
      <c r="AU1000" s="30"/>
      <c r="AV1000" s="30"/>
      <c r="AW1000" s="30"/>
      <c r="AX1000" s="30"/>
      <c r="AY1000" s="30"/>
      <c r="AZ1000" s="30"/>
    </row>
    <row r="1001">
      <c r="A1001" s="30"/>
      <c r="B1001" s="30"/>
      <c r="C1001" s="30"/>
      <c r="D1001" s="31"/>
      <c r="E1001" s="31"/>
      <c r="F1001" s="31"/>
      <c r="G1001" s="31"/>
      <c r="H1001" s="31"/>
      <c r="I1001" s="54"/>
      <c r="J1001" s="55"/>
      <c r="K1001" s="54"/>
      <c r="L1001" s="56"/>
      <c r="M1001" s="56"/>
      <c r="N1001" s="31"/>
      <c r="O1001" s="57"/>
      <c r="P1001" s="57"/>
      <c r="Q1001" s="57"/>
      <c r="R1001" s="57"/>
      <c r="S1001" s="31"/>
      <c r="T1001" s="57"/>
      <c r="U1001" s="57"/>
      <c r="V1001" s="57"/>
      <c r="W1001" s="57"/>
      <c r="X1001" s="31"/>
      <c r="Y1001" s="57"/>
      <c r="Z1001" s="57"/>
      <c r="AA1001" s="57"/>
      <c r="AB1001" s="57"/>
      <c r="AC1001" s="31"/>
      <c r="AD1001" s="57"/>
      <c r="AE1001" s="57"/>
      <c r="AF1001" s="57"/>
      <c r="AG1001" s="57"/>
      <c r="AH1001" s="57"/>
      <c r="AI1001" s="57"/>
      <c r="AJ1001" s="57"/>
      <c r="AK1001" s="57"/>
      <c r="AL1001" s="57"/>
      <c r="AM1001" s="57"/>
      <c r="AN1001" s="57"/>
      <c r="AO1001" s="57"/>
      <c r="AP1001" s="35"/>
      <c r="AQ1001" s="57"/>
      <c r="AR1001" s="36"/>
      <c r="AS1001" s="57"/>
      <c r="AT1001" s="37"/>
      <c r="AU1001" s="30"/>
      <c r="AV1001" s="30"/>
      <c r="AW1001" s="30"/>
      <c r="AX1001" s="30"/>
      <c r="AY1001" s="30"/>
      <c r="AZ1001" s="30"/>
    </row>
    <row r="1002">
      <c r="A1002" s="30"/>
      <c r="B1002" s="30"/>
      <c r="C1002" s="30"/>
      <c r="D1002" s="31"/>
      <c r="E1002" s="31"/>
      <c r="F1002" s="31"/>
      <c r="G1002" s="31"/>
      <c r="H1002" s="31"/>
      <c r="I1002" s="54"/>
      <c r="J1002" s="55"/>
      <c r="K1002" s="54"/>
      <c r="L1002" s="56"/>
      <c r="M1002" s="56"/>
      <c r="N1002" s="31"/>
      <c r="O1002" s="57"/>
      <c r="P1002" s="57"/>
      <c r="Q1002" s="57"/>
      <c r="R1002" s="57"/>
      <c r="S1002" s="31"/>
      <c r="T1002" s="57"/>
      <c r="U1002" s="57"/>
      <c r="V1002" s="57"/>
      <c r="W1002" s="57"/>
      <c r="X1002" s="31"/>
      <c r="Y1002" s="57"/>
      <c r="Z1002" s="57"/>
      <c r="AA1002" s="57"/>
      <c r="AB1002" s="57"/>
      <c r="AC1002" s="31"/>
      <c r="AD1002" s="57"/>
      <c r="AE1002" s="57"/>
      <c r="AF1002" s="57"/>
      <c r="AG1002" s="57"/>
      <c r="AH1002" s="57"/>
      <c r="AI1002" s="57"/>
      <c r="AJ1002" s="57"/>
      <c r="AK1002" s="57"/>
      <c r="AL1002" s="57"/>
      <c r="AM1002" s="57"/>
      <c r="AN1002" s="57"/>
      <c r="AO1002" s="57"/>
      <c r="AP1002" s="35"/>
      <c r="AQ1002" s="57"/>
      <c r="AR1002" s="36"/>
      <c r="AS1002" s="57"/>
      <c r="AT1002" s="37"/>
      <c r="AU1002" s="30"/>
      <c r="AV1002" s="30"/>
      <c r="AW1002" s="30"/>
      <c r="AX1002" s="30"/>
      <c r="AY1002" s="30"/>
      <c r="AZ1002" s="30"/>
    </row>
    <row r="1003">
      <c r="A1003" s="30"/>
      <c r="B1003" s="30"/>
      <c r="C1003" s="30"/>
      <c r="D1003" s="31"/>
      <c r="E1003" s="31"/>
      <c r="F1003" s="31"/>
      <c r="G1003" s="31"/>
      <c r="H1003" s="31"/>
      <c r="I1003" s="54"/>
      <c r="J1003" s="55"/>
      <c r="K1003" s="54"/>
      <c r="L1003" s="56"/>
      <c r="M1003" s="56"/>
      <c r="N1003" s="31"/>
      <c r="O1003" s="57"/>
      <c r="P1003" s="57"/>
      <c r="Q1003" s="57"/>
      <c r="R1003" s="57"/>
      <c r="S1003" s="31"/>
      <c r="T1003" s="57"/>
      <c r="U1003" s="57"/>
      <c r="V1003" s="57"/>
      <c r="W1003" s="57"/>
      <c r="X1003" s="31"/>
      <c r="Y1003" s="57"/>
      <c r="Z1003" s="57"/>
      <c r="AA1003" s="57"/>
      <c r="AB1003" s="57"/>
      <c r="AC1003" s="31"/>
      <c r="AD1003" s="57"/>
      <c r="AE1003" s="57"/>
      <c r="AF1003" s="57"/>
      <c r="AG1003" s="57"/>
      <c r="AH1003" s="57"/>
      <c r="AI1003" s="57"/>
      <c r="AJ1003" s="57"/>
      <c r="AK1003" s="57"/>
      <c r="AL1003" s="57"/>
      <c r="AM1003" s="57"/>
      <c r="AN1003" s="57"/>
      <c r="AO1003" s="57"/>
      <c r="AP1003" s="35"/>
      <c r="AQ1003" s="57"/>
      <c r="AR1003" s="36"/>
      <c r="AS1003" s="57"/>
      <c r="AT1003" s="37"/>
      <c r="AU1003" s="30"/>
      <c r="AV1003" s="30"/>
      <c r="AW1003" s="30"/>
      <c r="AX1003" s="30"/>
      <c r="AY1003" s="30"/>
      <c r="AZ1003" s="30"/>
    </row>
    <row r="1004">
      <c r="A1004" s="30"/>
      <c r="B1004" s="30"/>
      <c r="C1004" s="30"/>
      <c r="D1004" s="31"/>
      <c r="E1004" s="31"/>
      <c r="F1004" s="31"/>
      <c r="G1004" s="31"/>
      <c r="H1004" s="31"/>
      <c r="I1004" s="54"/>
      <c r="J1004" s="55"/>
      <c r="K1004" s="54"/>
      <c r="L1004" s="56"/>
      <c r="M1004" s="56"/>
      <c r="N1004" s="31"/>
      <c r="O1004" s="57"/>
      <c r="P1004" s="57"/>
      <c r="Q1004" s="57"/>
      <c r="R1004" s="57"/>
      <c r="S1004" s="31"/>
      <c r="T1004" s="57"/>
      <c r="U1004" s="57"/>
      <c r="V1004" s="57"/>
      <c r="W1004" s="57"/>
      <c r="X1004" s="31"/>
      <c r="Y1004" s="57"/>
      <c r="Z1004" s="57"/>
      <c r="AA1004" s="57"/>
      <c r="AB1004" s="57"/>
      <c r="AC1004" s="31"/>
      <c r="AD1004" s="57"/>
      <c r="AE1004" s="57"/>
      <c r="AF1004" s="57"/>
      <c r="AG1004" s="57"/>
      <c r="AH1004" s="57"/>
      <c r="AI1004" s="57"/>
      <c r="AJ1004" s="57"/>
      <c r="AK1004" s="57"/>
      <c r="AL1004" s="57"/>
      <c r="AM1004" s="57"/>
      <c r="AN1004" s="57"/>
      <c r="AO1004" s="57"/>
      <c r="AP1004" s="35"/>
      <c r="AQ1004" s="57"/>
      <c r="AR1004" s="36"/>
      <c r="AS1004" s="57"/>
      <c r="AT1004" s="37"/>
      <c r="AU1004" s="30"/>
      <c r="AV1004" s="30"/>
      <c r="AW1004" s="30"/>
      <c r="AX1004" s="30"/>
      <c r="AY1004" s="30"/>
      <c r="AZ1004" s="30"/>
    </row>
    <row r="1005">
      <c r="A1005" s="30"/>
      <c r="B1005" s="30"/>
      <c r="C1005" s="30"/>
      <c r="D1005" s="31"/>
      <c r="E1005" s="31"/>
      <c r="F1005" s="31"/>
      <c r="G1005" s="31"/>
      <c r="H1005" s="31"/>
      <c r="I1005" s="54"/>
      <c r="J1005" s="55"/>
      <c r="K1005" s="54"/>
      <c r="L1005" s="56"/>
      <c r="M1005" s="56"/>
      <c r="N1005" s="31"/>
      <c r="O1005" s="57"/>
      <c r="P1005" s="57"/>
      <c r="Q1005" s="57"/>
      <c r="R1005" s="57"/>
      <c r="S1005" s="31"/>
      <c r="T1005" s="57"/>
      <c r="U1005" s="57"/>
      <c r="V1005" s="57"/>
      <c r="W1005" s="57"/>
      <c r="X1005" s="31"/>
      <c r="Y1005" s="57"/>
      <c r="Z1005" s="57"/>
      <c r="AA1005" s="57"/>
      <c r="AB1005" s="57"/>
      <c r="AC1005" s="31"/>
      <c r="AD1005" s="57"/>
      <c r="AE1005" s="57"/>
      <c r="AF1005" s="57"/>
      <c r="AG1005" s="57"/>
      <c r="AH1005" s="57"/>
      <c r="AI1005" s="57"/>
      <c r="AJ1005" s="57"/>
      <c r="AK1005" s="57"/>
      <c r="AL1005" s="57"/>
      <c r="AM1005" s="57"/>
      <c r="AN1005" s="57"/>
      <c r="AO1005" s="57"/>
      <c r="AP1005" s="35"/>
      <c r="AQ1005" s="57"/>
      <c r="AR1005" s="36"/>
      <c r="AS1005" s="57"/>
      <c r="AT1005" s="37"/>
      <c r="AU1005" s="30"/>
      <c r="AV1005" s="30"/>
      <c r="AW1005" s="30"/>
      <c r="AX1005" s="30"/>
      <c r="AY1005" s="30"/>
      <c r="AZ1005" s="30"/>
    </row>
    <row r="1006">
      <c r="A1006" s="30"/>
      <c r="B1006" s="30"/>
      <c r="C1006" s="30"/>
      <c r="D1006" s="31"/>
      <c r="E1006" s="31"/>
      <c r="F1006" s="31"/>
      <c r="G1006" s="31"/>
      <c r="H1006" s="31"/>
      <c r="I1006" s="54"/>
      <c r="J1006" s="55"/>
      <c r="K1006" s="54"/>
      <c r="L1006" s="56"/>
      <c r="M1006" s="56"/>
      <c r="N1006" s="31"/>
      <c r="O1006" s="57"/>
      <c r="P1006" s="57"/>
      <c r="Q1006" s="57"/>
      <c r="R1006" s="57"/>
      <c r="S1006" s="31"/>
      <c r="T1006" s="57"/>
      <c r="U1006" s="57"/>
      <c r="V1006" s="57"/>
      <c r="W1006" s="57"/>
      <c r="X1006" s="31"/>
      <c r="Y1006" s="57"/>
      <c r="Z1006" s="57"/>
      <c r="AA1006" s="57"/>
      <c r="AB1006" s="57"/>
      <c r="AC1006" s="31"/>
      <c r="AD1006" s="57"/>
      <c r="AE1006" s="57"/>
      <c r="AF1006" s="57"/>
      <c r="AG1006" s="57"/>
      <c r="AH1006" s="57"/>
      <c r="AI1006" s="57"/>
      <c r="AJ1006" s="57"/>
      <c r="AK1006" s="57"/>
      <c r="AL1006" s="57"/>
      <c r="AM1006" s="57"/>
      <c r="AN1006" s="57"/>
      <c r="AO1006" s="57"/>
      <c r="AP1006" s="35"/>
      <c r="AQ1006" s="57"/>
      <c r="AR1006" s="36"/>
      <c r="AS1006" s="57"/>
      <c r="AT1006" s="37"/>
      <c r="AU1006" s="30"/>
      <c r="AV1006" s="30"/>
      <c r="AW1006" s="30"/>
      <c r="AX1006" s="30"/>
      <c r="AY1006" s="30"/>
      <c r="AZ1006" s="30"/>
    </row>
    <row r="1007">
      <c r="A1007" s="30"/>
      <c r="B1007" s="30"/>
      <c r="C1007" s="30"/>
      <c r="D1007" s="31"/>
      <c r="E1007" s="31"/>
      <c r="F1007" s="31"/>
      <c r="G1007" s="31"/>
      <c r="H1007" s="31"/>
      <c r="I1007" s="54"/>
      <c r="J1007" s="55"/>
      <c r="K1007" s="54"/>
      <c r="L1007" s="56"/>
      <c r="M1007" s="56"/>
      <c r="N1007" s="31"/>
      <c r="O1007" s="57"/>
      <c r="P1007" s="57"/>
      <c r="Q1007" s="57"/>
      <c r="R1007" s="57"/>
      <c r="S1007" s="31"/>
      <c r="T1007" s="57"/>
      <c r="U1007" s="57"/>
      <c r="V1007" s="57"/>
      <c r="W1007" s="57"/>
      <c r="X1007" s="31"/>
      <c r="Y1007" s="57"/>
      <c r="Z1007" s="57"/>
      <c r="AA1007" s="57"/>
      <c r="AB1007" s="57"/>
      <c r="AC1007" s="31"/>
      <c r="AD1007" s="57"/>
      <c r="AE1007" s="57"/>
      <c r="AF1007" s="57"/>
      <c r="AG1007" s="57"/>
      <c r="AH1007" s="57"/>
      <c r="AI1007" s="57"/>
      <c r="AJ1007" s="57"/>
      <c r="AK1007" s="57"/>
      <c r="AL1007" s="57"/>
      <c r="AM1007" s="57"/>
      <c r="AN1007" s="57"/>
      <c r="AO1007" s="57"/>
      <c r="AP1007" s="35"/>
      <c r="AQ1007" s="57"/>
      <c r="AR1007" s="36"/>
      <c r="AS1007" s="57"/>
      <c r="AT1007" s="37"/>
      <c r="AU1007" s="30"/>
      <c r="AV1007" s="30"/>
      <c r="AW1007" s="30"/>
      <c r="AX1007" s="30"/>
      <c r="AY1007" s="30"/>
      <c r="AZ1007" s="30"/>
    </row>
    <row r="1008">
      <c r="A1008" s="30"/>
      <c r="B1008" s="30"/>
      <c r="C1008" s="30"/>
      <c r="D1008" s="31"/>
      <c r="E1008" s="31"/>
      <c r="F1008" s="31"/>
      <c r="G1008" s="31"/>
      <c r="H1008" s="31"/>
      <c r="I1008" s="54"/>
      <c r="J1008" s="55"/>
      <c r="K1008" s="54"/>
      <c r="L1008" s="56"/>
      <c r="M1008" s="56"/>
      <c r="N1008" s="31"/>
      <c r="O1008" s="57"/>
      <c r="P1008" s="57"/>
      <c r="Q1008" s="57"/>
      <c r="R1008" s="57"/>
      <c r="S1008" s="31"/>
      <c r="T1008" s="57"/>
      <c r="U1008" s="57"/>
      <c r="V1008" s="57"/>
      <c r="W1008" s="57"/>
      <c r="X1008" s="31"/>
      <c r="Y1008" s="57"/>
      <c r="Z1008" s="57"/>
      <c r="AA1008" s="57"/>
      <c r="AB1008" s="57"/>
      <c r="AC1008" s="31"/>
      <c r="AD1008" s="57"/>
      <c r="AE1008" s="57"/>
      <c r="AF1008" s="57"/>
      <c r="AG1008" s="57"/>
      <c r="AH1008" s="57"/>
      <c r="AI1008" s="57"/>
      <c r="AJ1008" s="57"/>
      <c r="AK1008" s="57"/>
      <c r="AL1008" s="57"/>
      <c r="AM1008" s="57"/>
      <c r="AN1008" s="57"/>
      <c r="AO1008" s="57"/>
      <c r="AP1008" s="35"/>
      <c r="AQ1008" s="57"/>
      <c r="AR1008" s="36"/>
      <c r="AS1008" s="57"/>
      <c r="AT1008" s="37"/>
      <c r="AU1008" s="30"/>
      <c r="AV1008" s="30"/>
      <c r="AW1008" s="30"/>
      <c r="AX1008" s="30"/>
      <c r="AY1008" s="30"/>
      <c r="AZ1008" s="30"/>
    </row>
    <row r="1009">
      <c r="A1009" s="30"/>
      <c r="B1009" s="30"/>
      <c r="C1009" s="30"/>
      <c r="D1009" s="31"/>
      <c r="E1009" s="31"/>
      <c r="F1009" s="31"/>
      <c r="G1009" s="31"/>
      <c r="H1009" s="31"/>
      <c r="I1009" s="54"/>
      <c r="J1009" s="55"/>
      <c r="K1009" s="54"/>
      <c r="L1009" s="56"/>
      <c r="M1009" s="56"/>
      <c r="N1009" s="31"/>
      <c r="O1009" s="57"/>
      <c r="P1009" s="57"/>
      <c r="Q1009" s="57"/>
      <c r="R1009" s="57"/>
      <c r="S1009" s="31"/>
      <c r="T1009" s="57"/>
      <c r="U1009" s="57"/>
      <c r="V1009" s="57"/>
      <c r="W1009" s="57"/>
      <c r="X1009" s="31"/>
      <c r="Y1009" s="57"/>
      <c r="Z1009" s="57"/>
      <c r="AA1009" s="57"/>
      <c r="AB1009" s="57"/>
      <c r="AC1009" s="31"/>
      <c r="AD1009" s="57"/>
      <c r="AE1009" s="57"/>
      <c r="AF1009" s="57"/>
      <c r="AG1009" s="57"/>
      <c r="AH1009" s="57"/>
      <c r="AI1009" s="57"/>
      <c r="AJ1009" s="57"/>
      <c r="AK1009" s="57"/>
      <c r="AL1009" s="57"/>
      <c r="AM1009" s="57"/>
      <c r="AN1009" s="57"/>
      <c r="AO1009" s="57"/>
      <c r="AP1009" s="35"/>
      <c r="AQ1009" s="57"/>
      <c r="AR1009" s="36"/>
      <c r="AS1009" s="57"/>
      <c r="AT1009" s="37"/>
      <c r="AU1009" s="30"/>
      <c r="AV1009" s="30"/>
      <c r="AW1009" s="30"/>
      <c r="AX1009" s="30"/>
      <c r="AY1009" s="30"/>
      <c r="AZ1009" s="30"/>
    </row>
    <row r="1010">
      <c r="A1010" s="30"/>
      <c r="B1010" s="30"/>
      <c r="C1010" s="30"/>
      <c r="D1010" s="31"/>
      <c r="E1010" s="31"/>
      <c r="F1010" s="31"/>
      <c r="G1010" s="31"/>
      <c r="H1010" s="31"/>
      <c r="I1010" s="54"/>
      <c r="J1010" s="55"/>
      <c r="K1010" s="54"/>
      <c r="L1010" s="56"/>
      <c r="M1010" s="56"/>
      <c r="N1010" s="31"/>
      <c r="O1010" s="57"/>
      <c r="P1010" s="57"/>
      <c r="Q1010" s="57"/>
      <c r="R1010" s="57"/>
      <c r="S1010" s="31"/>
      <c r="T1010" s="57"/>
      <c r="U1010" s="57"/>
      <c r="V1010" s="57"/>
      <c r="W1010" s="57"/>
      <c r="X1010" s="31"/>
      <c r="Y1010" s="57"/>
      <c r="Z1010" s="57"/>
      <c r="AA1010" s="57"/>
      <c r="AB1010" s="57"/>
      <c r="AC1010" s="31"/>
      <c r="AD1010" s="57"/>
      <c r="AE1010" s="57"/>
      <c r="AF1010" s="57"/>
      <c r="AG1010" s="57"/>
      <c r="AH1010" s="57"/>
      <c r="AI1010" s="57"/>
      <c r="AJ1010" s="57"/>
      <c r="AK1010" s="57"/>
      <c r="AL1010" s="57"/>
      <c r="AM1010" s="57"/>
      <c r="AN1010" s="57"/>
      <c r="AO1010" s="57"/>
      <c r="AP1010" s="35"/>
      <c r="AQ1010" s="57"/>
      <c r="AR1010" s="36"/>
      <c r="AS1010" s="57"/>
      <c r="AT1010" s="37"/>
      <c r="AU1010" s="30"/>
      <c r="AV1010" s="30"/>
      <c r="AW1010" s="30"/>
      <c r="AX1010" s="30"/>
      <c r="AY1010" s="30"/>
      <c r="AZ1010" s="30"/>
    </row>
    <row r="1011">
      <c r="A1011" s="30"/>
      <c r="B1011" s="30"/>
      <c r="C1011" s="30"/>
      <c r="D1011" s="31"/>
      <c r="E1011" s="31"/>
      <c r="F1011" s="31"/>
      <c r="G1011" s="31"/>
      <c r="H1011" s="31"/>
      <c r="I1011" s="54"/>
      <c r="J1011" s="55"/>
      <c r="K1011" s="54"/>
      <c r="L1011" s="56"/>
      <c r="M1011" s="56"/>
      <c r="N1011" s="31"/>
      <c r="O1011" s="57"/>
      <c r="P1011" s="57"/>
      <c r="Q1011" s="57"/>
      <c r="R1011" s="57"/>
      <c r="S1011" s="31"/>
      <c r="T1011" s="57"/>
      <c r="U1011" s="57"/>
      <c r="V1011" s="57"/>
      <c r="W1011" s="57"/>
      <c r="X1011" s="31"/>
      <c r="Y1011" s="57"/>
      <c r="Z1011" s="57"/>
      <c r="AA1011" s="57"/>
      <c r="AB1011" s="57"/>
      <c r="AC1011" s="31"/>
      <c r="AD1011" s="57"/>
      <c r="AE1011" s="57"/>
      <c r="AF1011" s="57"/>
      <c r="AG1011" s="57"/>
      <c r="AH1011" s="57"/>
      <c r="AI1011" s="57"/>
      <c r="AJ1011" s="57"/>
      <c r="AK1011" s="57"/>
      <c r="AL1011" s="57"/>
      <c r="AM1011" s="57"/>
      <c r="AN1011" s="57"/>
      <c r="AO1011" s="57"/>
      <c r="AP1011" s="35"/>
      <c r="AQ1011" s="57"/>
      <c r="AR1011" s="36"/>
      <c r="AS1011" s="57"/>
      <c r="AT1011" s="37"/>
      <c r="AU1011" s="30"/>
      <c r="AV1011" s="30"/>
      <c r="AW1011" s="30"/>
      <c r="AX1011" s="30"/>
      <c r="AY1011" s="30"/>
      <c r="AZ1011" s="30"/>
    </row>
    <row r="1012">
      <c r="A1012" s="30"/>
      <c r="B1012" s="30"/>
      <c r="C1012" s="30"/>
      <c r="D1012" s="31"/>
      <c r="E1012" s="31"/>
      <c r="F1012" s="31"/>
      <c r="G1012" s="31"/>
      <c r="H1012" s="31"/>
      <c r="I1012" s="54"/>
      <c r="J1012" s="55"/>
      <c r="K1012" s="54"/>
      <c r="L1012" s="56"/>
      <c r="M1012" s="56"/>
      <c r="N1012" s="31"/>
      <c r="O1012" s="57"/>
      <c r="P1012" s="57"/>
      <c r="Q1012" s="57"/>
      <c r="R1012" s="57"/>
      <c r="S1012" s="31"/>
      <c r="T1012" s="57"/>
      <c r="U1012" s="57"/>
      <c r="V1012" s="57"/>
      <c r="W1012" s="57"/>
      <c r="X1012" s="31"/>
      <c r="Y1012" s="57"/>
      <c r="Z1012" s="57"/>
      <c r="AA1012" s="57"/>
      <c r="AB1012" s="57"/>
      <c r="AC1012" s="31"/>
      <c r="AD1012" s="57"/>
      <c r="AE1012" s="57"/>
      <c r="AF1012" s="57"/>
      <c r="AG1012" s="57"/>
      <c r="AH1012" s="57"/>
      <c r="AI1012" s="57"/>
      <c r="AJ1012" s="57"/>
      <c r="AK1012" s="57"/>
      <c r="AL1012" s="57"/>
      <c r="AM1012" s="57"/>
      <c r="AN1012" s="57"/>
      <c r="AO1012" s="57"/>
      <c r="AP1012" s="35"/>
      <c r="AQ1012" s="57"/>
      <c r="AR1012" s="36"/>
      <c r="AS1012" s="57"/>
      <c r="AT1012" s="37"/>
      <c r="AU1012" s="30"/>
      <c r="AV1012" s="30"/>
      <c r="AW1012" s="30"/>
      <c r="AX1012" s="30"/>
      <c r="AY1012" s="30"/>
      <c r="AZ1012" s="30"/>
    </row>
    <row r="1013">
      <c r="A1013" s="30"/>
      <c r="B1013" s="30"/>
      <c r="C1013" s="30"/>
      <c r="D1013" s="31"/>
      <c r="E1013" s="31"/>
      <c r="F1013" s="31"/>
      <c r="G1013" s="31"/>
      <c r="H1013" s="31"/>
      <c r="I1013" s="54"/>
      <c r="J1013" s="55"/>
      <c r="K1013" s="54"/>
      <c r="L1013" s="56"/>
      <c r="M1013" s="56"/>
      <c r="N1013" s="31"/>
      <c r="O1013" s="57"/>
      <c r="P1013" s="57"/>
      <c r="Q1013" s="57"/>
      <c r="R1013" s="57"/>
      <c r="S1013" s="31"/>
      <c r="T1013" s="57"/>
      <c r="U1013" s="57"/>
      <c r="V1013" s="57"/>
      <c r="W1013" s="57"/>
      <c r="X1013" s="31"/>
      <c r="Y1013" s="57"/>
      <c r="Z1013" s="57"/>
      <c r="AA1013" s="57"/>
      <c r="AB1013" s="57"/>
      <c r="AC1013" s="31"/>
      <c r="AD1013" s="57"/>
      <c r="AE1013" s="57"/>
      <c r="AF1013" s="57"/>
      <c r="AG1013" s="57"/>
      <c r="AH1013" s="57"/>
      <c r="AI1013" s="57"/>
      <c r="AJ1013" s="57"/>
      <c r="AK1013" s="57"/>
      <c r="AL1013" s="57"/>
      <c r="AM1013" s="57"/>
      <c r="AN1013" s="57"/>
      <c r="AO1013" s="57"/>
      <c r="AP1013" s="35"/>
      <c r="AQ1013" s="57"/>
      <c r="AR1013" s="36"/>
      <c r="AS1013" s="57"/>
      <c r="AT1013" s="37"/>
      <c r="AU1013" s="30"/>
      <c r="AV1013" s="30"/>
      <c r="AW1013" s="30"/>
      <c r="AX1013" s="30"/>
      <c r="AY1013" s="30"/>
      <c r="AZ1013" s="30"/>
    </row>
    <row r="1014">
      <c r="A1014" s="30"/>
      <c r="B1014" s="30"/>
      <c r="C1014" s="30"/>
      <c r="D1014" s="31"/>
      <c r="E1014" s="31"/>
      <c r="F1014" s="31"/>
      <c r="G1014" s="31"/>
      <c r="H1014" s="31"/>
      <c r="I1014" s="54"/>
      <c r="J1014" s="55"/>
      <c r="K1014" s="54"/>
      <c r="L1014" s="56"/>
      <c r="M1014" s="56"/>
      <c r="N1014" s="31"/>
      <c r="O1014" s="57"/>
      <c r="P1014" s="57"/>
      <c r="Q1014" s="57"/>
      <c r="R1014" s="57"/>
      <c r="S1014" s="31"/>
      <c r="T1014" s="57"/>
      <c r="U1014" s="57"/>
      <c r="V1014" s="57"/>
      <c r="W1014" s="57"/>
      <c r="X1014" s="31"/>
      <c r="Y1014" s="57"/>
      <c r="Z1014" s="57"/>
      <c r="AA1014" s="57"/>
      <c r="AB1014" s="57"/>
      <c r="AC1014" s="31"/>
      <c r="AD1014" s="57"/>
      <c r="AE1014" s="57"/>
      <c r="AF1014" s="57"/>
      <c r="AG1014" s="57"/>
      <c r="AH1014" s="57"/>
      <c r="AI1014" s="57"/>
      <c r="AJ1014" s="57"/>
      <c r="AK1014" s="57"/>
      <c r="AL1014" s="57"/>
      <c r="AM1014" s="57"/>
      <c r="AN1014" s="57"/>
      <c r="AO1014" s="57"/>
      <c r="AP1014" s="35"/>
      <c r="AQ1014" s="57"/>
      <c r="AR1014" s="36"/>
      <c r="AS1014" s="57"/>
      <c r="AT1014" s="37"/>
      <c r="AU1014" s="30"/>
      <c r="AV1014" s="30"/>
      <c r="AW1014" s="30"/>
      <c r="AX1014" s="30"/>
      <c r="AY1014" s="30"/>
      <c r="AZ1014" s="30"/>
    </row>
    <row r="1015">
      <c r="A1015" s="30"/>
      <c r="B1015" s="30"/>
      <c r="C1015" s="30"/>
      <c r="D1015" s="31"/>
      <c r="E1015" s="31"/>
      <c r="F1015" s="31"/>
      <c r="G1015" s="31"/>
      <c r="H1015" s="31"/>
      <c r="I1015" s="54"/>
      <c r="J1015" s="55"/>
      <c r="K1015" s="54"/>
      <c r="L1015" s="56"/>
      <c r="M1015" s="56"/>
      <c r="N1015" s="31"/>
      <c r="O1015" s="57"/>
      <c r="P1015" s="57"/>
      <c r="Q1015" s="57"/>
      <c r="R1015" s="57"/>
      <c r="S1015" s="31"/>
      <c r="T1015" s="57"/>
      <c r="U1015" s="57"/>
      <c r="V1015" s="57"/>
      <c r="W1015" s="57"/>
      <c r="X1015" s="31"/>
      <c r="Y1015" s="57"/>
      <c r="Z1015" s="57"/>
      <c r="AA1015" s="57"/>
      <c r="AB1015" s="57"/>
      <c r="AC1015" s="31"/>
      <c r="AD1015" s="57"/>
      <c r="AE1015" s="57"/>
      <c r="AF1015" s="57"/>
      <c r="AG1015" s="57"/>
      <c r="AH1015" s="57"/>
      <c r="AI1015" s="57"/>
      <c r="AJ1015" s="57"/>
      <c r="AK1015" s="57"/>
      <c r="AL1015" s="57"/>
      <c r="AM1015" s="57"/>
      <c r="AN1015" s="57"/>
      <c r="AO1015" s="57"/>
      <c r="AP1015" s="35"/>
      <c r="AQ1015" s="57"/>
      <c r="AR1015" s="36"/>
      <c r="AS1015" s="57"/>
      <c r="AT1015" s="37"/>
      <c r="AU1015" s="30"/>
      <c r="AV1015" s="30"/>
      <c r="AW1015" s="30"/>
      <c r="AX1015" s="30"/>
      <c r="AY1015" s="30"/>
      <c r="AZ1015" s="30"/>
    </row>
    <row r="1016">
      <c r="A1016" s="30"/>
      <c r="B1016" s="30"/>
      <c r="C1016" s="30"/>
      <c r="D1016" s="31"/>
      <c r="E1016" s="31"/>
      <c r="F1016" s="31"/>
      <c r="G1016" s="31"/>
      <c r="H1016" s="31"/>
      <c r="I1016" s="54"/>
      <c r="J1016" s="55"/>
      <c r="K1016" s="54"/>
      <c r="L1016" s="56"/>
      <c r="M1016" s="56"/>
      <c r="N1016" s="31"/>
      <c r="O1016" s="57"/>
      <c r="P1016" s="57"/>
      <c r="Q1016" s="57"/>
      <c r="R1016" s="57"/>
      <c r="S1016" s="31"/>
      <c r="T1016" s="57"/>
      <c r="U1016" s="57"/>
      <c r="V1016" s="57"/>
      <c r="W1016" s="57"/>
      <c r="X1016" s="31"/>
      <c r="Y1016" s="57"/>
      <c r="Z1016" s="57"/>
      <c r="AA1016" s="57"/>
      <c r="AB1016" s="57"/>
      <c r="AC1016" s="31"/>
      <c r="AD1016" s="57"/>
      <c r="AE1016" s="57"/>
      <c r="AF1016" s="57"/>
      <c r="AG1016" s="57"/>
      <c r="AH1016" s="57"/>
      <c r="AI1016" s="57"/>
      <c r="AJ1016" s="57"/>
      <c r="AK1016" s="57"/>
      <c r="AL1016" s="57"/>
      <c r="AM1016" s="57"/>
      <c r="AN1016" s="57"/>
      <c r="AO1016" s="57"/>
      <c r="AP1016" s="35"/>
      <c r="AQ1016" s="57"/>
      <c r="AR1016" s="36"/>
      <c r="AS1016" s="57"/>
      <c r="AT1016" s="37"/>
      <c r="AU1016" s="30"/>
      <c r="AV1016" s="30"/>
      <c r="AW1016" s="30"/>
      <c r="AX1016" s="30"/>
      <c r="AY1016" s="30"/>
      <c r="AZ1016" s="30"/>
    </row>
    <row r="1017">
      <c r="A1017" s="30"/>
      <c r="B1017" s="30"/>
      <c r="C1017" s="30"/>
      <c r="D1017" s="31"/>
      <c r="E1017" s="31"/>
      <c r="F1017" s="31"/>
      <c r="G1017" s="31"/>
      <c r="H1017" s="31"/>
      <c r="I1017" s="54"/>
      <c r="J1017" s="55"/>
      <c r="K1017" s="54"/>
      <c r="L1017" s="56"/>
      <c r="M1017" s="56"/>
      <c r="N1017" s="31"/>
      <c r="O1017" s="57"/>
      <c r="P1017" s="57"/>
      <c r="Q1017" s="57"/>
      <c r="R1017" s="57"/>
      <c r="S1017" s="31"/>
      <c r="T1017" s="57"/>
      <c r="U1017" s="57"/>
      <c r="V1017" s="57"/>
      <c r="W1017" s="57"/>
      <c r="X1017" s="31"/>
      <c r="Y1017" s="57"/>
      <c r="Z1017" s="57"/>
      <c r="AA1017" s="57"/>
      <c r="AB1017" s="57"/>
      <c r="AC1017" s="31"/>
      <c r="AD1017" s="57"/>
      <c r="AE1017" s="57"/>
      <c r="AF1017" s="57"/>
      <c r="AG1017" s="57"/>
      <c r="AH1017" s="57"/>
      <c r="AI1017" s="57"/>
      <c r="AJ1017" s="57"/>
      <c r="AK1017" s="57"/>
      <c r="AL1017" s="57"/>
      <c r="AM1017" s="57"/>
      <c r="AN1017" s="57"/>
      <c r="AO1017" s="57"/>
      <c r="AP1017" s="35"/>
      <c r="AQ1017" s="57"/>
      <c r="AR1017" s="36"/>
      <c r="AS1017" s="57"/>
      <c r="AT1017" s="37"/>
      <c r="AU1017" s="30"/>
      <c r="AV1017" s="30"/>
      <c r="AW1017" s="30"/>
      <c r="AX1017" s="30"/>
      <c r="AY1017" s="30"/>
      <c r="AZ1017" s="30"/>
    </row>
    <row r="1018">
      <c r="A1018" s="30"/>
      <c r="B1018" s="30"/>
      <c r="C1018" s="30"/>
      <c r="D1018" s="31"/>
      <c r="E1018" s="31"/>
      <c r="F1018" s="31"/>
      <c r="G1018" s="31"/>
      <c r="H1018" s="31"/>
      <c r="I1018" s="54"/>
      <c r="J1018" s="55"/>
      <c r="K1018" s="54"/>
      <c r="L1018" s="56"/>
      <c r="M1018" s="56"/>
      <c r="N1018" s="31"/>
      <c r="O1018" s="57"/>
      <c r="P1018" s="57"/>
      <c r="Q1018" s="57"/>
      <c r="R1018" s="57"/>
      <c r="S1018" s="31"/>
      <c r="T1018" s="57"/>
      <c r="U1018" s="57"/>
      <c r="V1018" s="57"/>
      <c r="W1018" s="57"/>
      <c r="X1018" s="31"/>
      <c r="Y1018" s="57"/>
      <c r="Z1018" s="57"/>
      <c r="AA1018" s="57"/>
      <c r="AB1018" s="57"/>
      <c r="AC1018" s="31"/>
      <c r="AD1018" s="57"/>
      <c r="AE1018" s="57"/>
      <c r="AF1018" s="57"/>
      <c r="AG1018" s="57"/>
      <c r="AH1018" s="57"/>
      <c r="AI1018" s="57"/>
      <c r="AJ1018" s="57"/>
      <c r="AK1018" s="57"/>
      <c r="AL1018" s="57"/>
      <c r="AM1018" s="57"/>
      <c r="AN1018" s="57"/>
      <c r="AO1018" s="57"/>
      <c r="AP1018" s="35"/>
      <c r="AQ1018" s="57"/>
      <c r="AR1018" s="36"/>
      <c r="AS1018" s="57"/>
      <c r="AT1018" s="37"/>
      <c r="AU1018" s="30"/>
      <c r="AV1018" s="30"/>
      <c r="AW1018" s="30"/>
      <c r="AX1018" s="30"/>
      <c r="AY1018" s="30"/>
      <c r="AZ1018" s="30"/>
    </row>
    <row r="1019">
      <c r="A1019" s="30"/>
      <c r="B1019" s="30"/>
      <c r="C1019" s="30"/>
      <c r="D1019" s="31"/>
      <c r="E1019" s="31"/>
      <c r="F1019" s="31"/>
      <c r="G1019" s="31"/>
      <c r="H1019" s="31"/>
      <c r="I1019" s="54"/>
      <c r="J1019" s="55"/>
      <c r="K1019" s="54"/>
      <c r="L1019" s="56"/>
      <c r="M1019" s="56"/>
      <c r="N1019" s="31"/>
      <c r="O1019" s="57"/>
      <c r="P1019" s="57"/>
      <c r="Q1019" s="57"/>
      <c r="R1019" s="57"/>
      <c r="S1019" s="31"/>
      <c r="T1019" s="57"/>
      <c r="U1019" s="57"/>
      <c r="V1019" s="57"/>
      <c r="W1019" s="57"/>
      <c r="X1019" s="31"/>
      <c r="Y1019" s="57"/>
      <c r="Z1019" s="57"/>
      <c r="AA1019" s="57"/>
      <c r="AB1019" s="57"/>
      <c r="AC1019" s="31"/>
      <c r="AD1019" s="57"/>
      <c r="AE1019" s="57"/>
      <c r="AF1019" s="57"/>
      <c r="AG1019" s="57"/>
      <c r="AH1019" s="57"/>
      <c r="AI1019" s="57"/>
      <c r="AJ1019" s="57"/>
      <c r="AK1019" s="57"/>
      <c r="AL1019" s="57"/>
      <c r="AM1019" s="57"/>
      <c r="AN1019" s="57"/>
      <c r="AO1019" s="57"/>
      <c r="AP1019" s="35"/>
      <c r="AQ1019" s="57"/>
      <c r="AR1019" s="36"/>
      <c r="AS1019" s="57"/>
      <c r="AT1019" s="37"/>
      <c r="AU1019" s="30"/>
      <c r="AV1019" s="30"/>
      <c r="AW1019" s="30"/>
      <c r="AX1019" s="30"/>
      <c r="AY1019" s="30"/>
      <c r="AZ1019" s="30"/>
    </row>
    <row r="1020">
      <c r="A1020" s="30"/>
      <c r="B1020" s="30"/>
      <c r="C1020" s="30"/>
      <c r="D1020" s="31"/>
      <c r="E1020" s="31"/>
      <c r="F1020" s="31"/>
      <c r="G1020" s="31"/>
      <c r="H1020" s="31"/>
      <c r="I1020" s="54"/>
      <c r="J1020" s="55"/>
      <c r="K1020" s="54"/>
      <c r="L1020" s="56"/>
      <c r="M1020" s="56"/>
      <c r="N1020" s="31"/>
      <c r="O1020" s="57"/>
      <c r="P1020" s="57"/>
      <c r="Q1020" s="57"/>
      <c r="R1020" s="57"/>
      <c r="S1020" s="31"/>
      <c r="T1020" s="57"/>
      <c r="U1020" s="57"/>
      <c r="V1020" s="57"/>
      <c r="W1020" s="57"/>
      <c r="X1020" s="31"/>
      <c r="Y1020" s="57"/>
      <c r="Z1020" s="57"/>
      <c r="AA1020" s="57"/>
      <c r="AB1020" s="57"/>
      <c r="AC1020" s="31"/>
      <c r="AD1020" s="57"/>
      <c r="AE1020" s="57"/>
      <c r="AF1020" s="57"/>
      <c r="AG1020" s="57"/>
      <c r="AH1020" s="57"/>
      <c r="AI1020" s="57"/>
      <c r="AJ1020" s="57"/>
      <c r="AK1020" s="57"/>
      <c r="AL1020" s="57"/>
      <c r="AM1020" s="57"/>
      <c r="AN1020" s="57"/>
      <c r="AO1020" s="57"/>
      <c r="AP1020" s="35"/>
      <c r="AQ1020" s="57"/>
      <c r="AR1020" s="36"/>
      <c r="AS1020" s="57"/>
      <c r="AT1020" s="37"/>
      <c r="AU1020" s="30"/>
      <c r="AV1020" s="30"/>
      <c r="AW1020" s="30"/>
      <c r="AX1020" s="30"/>
      <c r="AY1020" s="30"/>
      <c r="AZ1020" s="30"/>
    </row>
    <row r="1021">
      <c r="A1021" s="30"/>
      <c r="B1021" s="30"/>
      <c r="C1021" s="30"/>
      <c r="D1021" s="31"/>
      <c r="E1021" s="31"/>
      <c r="F1021" s="31"/>
      <c r="G1021" s="31"/>
      <c r="H1021" s="31"/>
      <c r="I1021" s="54"/>
      <c r="J1021" s="55"/>
      <c r="K1021" s="54"/>
      <c r="L1021" s="56"/>
      <c r="M1021" s="56"/>
      <c r="N1021" s="31"/>
      <c r="O1021" s="57"/>
      <c r="P1021" s="57"/>
      <c r="Q1021" s="57"/>
      <c r="R1021" s="57"/>
      <c r="S1021" s="31"/>
      <c r="T1021" s="57"/>
      <c r="U1021" s="57"/>
      <c r="V1021" s="57"/>
      <c r="W1021" s="57"/>
      <c r="X1021" s="31"/>
      <c r="Y1021" s="57"/>
      <c r="Z1021" s="57"/>
      <c r="AA1021" s="57"/>
      <c r="AB1021" s="57"/>
      <c r="AC1021" s="31"/>
      <c r="AD1021" s="57"/>
      <c r="AE1021" s="57"/>
      <c r="AF1021" s="57"/>
      <c r="AG1021" s="57"/>
      <c r="AH1021" s="57"/>
      <c r="AI1021" s="57"/>
      <c r="AJ1021" s="57"/>
      <c r="AK1021" s="57"/>
      <c r="AL1021" s="57"/>
      <c r="AM1021" s="57"/>
      <c r="AN1021" s="57"/>
      <c r="AO1021" s="57"/>
      <c r="AP1021" s="35"/>
      <c r="AQ1021" s="57"/>
      <c r="AR1021" s="36"/>
      <c r="AS1021" s="57"/>
      <c r="AT1021" s="37"/>
      <c r="AU1021" s="30"/>
      <c r="AV1021" s="30"/>
      <c r="AW1021" s="30"/>
      <c r="AX1021" s="30"/>
      <c r="AY1021" s="30"/>
      <c r="AZ1021" s="30"/>
    </row>
    <row r="1022">
      <c r="A1022" s="30"/>
      <c r="B1022" s="30"/>
      <c r="C1022" s="30"/>
      <c r="D1022" s="31"/>
      <c r="E1022" s="31"/>
      <c r="F1022" s="31"/>
      <c r="G1022" s="31"/>
      <c r="H1022" s="31"/>
      <c r="I1022" s="54"/>
      <c r="J1022" s="55"/>
      <c r="K1022" s="54"/>
      <c r="L1022" s="56"/>
      <c r="M1022" s="56"/>
      <c r="N1022" s="31"/>
      <c r="O1022" s="57"/>
      <c r="P1022" s="57"/>
      <c r="Q1022" s="57"/>
      <c r="R1022" s="57"/>
      <c r="S1022" s="31"/>
      <c r="T1022" s="57"/>
      <c r="U1022" s="57"/>
      <c r="V1022" s="57"/>
      <c r="W1022" s="57"/>
      <c r="X1022" s="31"/>
      <c r="Y1022" s="57"/>
      <c r="Z1022" s="57"/>
      <c r="AA1022" s="57"/>
      <c r="AB1022" s="57"/>
      <c r="AC1022" s="31"/>
      <c r="AD1022" s="57"/>
      <c r="AE1022" s="57"/>
      <c r="AF1022" s="57"/>
      <c r="AG1022" s="57"/>
      <c r="AH1022" s="57"/>
      <c r="AI1022" s="57"/>
      <c r="AJ1022" s="57"/>
      <c r="AK1022" s="57"/>
      <c r="AL1022" s="57"/>
      <c r="AM1022" s="57"/>
      <c r="AN1022" s="57"/>
      <c r="AO1022" s="57"/>
      <c r="AP1022" s="35"/>
      <c r="AQ1022" s="57"/>
      <c r="AR1022" s="36"/>
      <c r="AS1022" s="57"/>
      <c r="AT1022" s="37"/>
      <c r="AU1022" s="30"/>
      <c r="AV1022" s="30"/>
      <c r="AW1022" s="30"/>
      <c r="AX1022" s="30"/>
      <c r="AY1022" s="30"/>
      <c r="AZ1022" s="30"/>
    </row>
    <row r="1023">
      <c r="A1023" s="30"/>
      <c r="B1023" s="30"/>
      <c r="C1023" s="30"/>
      <c r="D1023" s="31"/>
      <c r="E1023" s="31"/>
      <c r="F1023" s="31"/>
      <c r="G1023" s="31"/>
      <c r="H1023" s="31"/>
      <c r="I1023" s="54"/>
      <c r="J1023" s="55"/>
      <c r="K1023" s="54"/>
      <c r="L1023" s="56"/>
      <c r="M1023" s="56"/>
      <c r="N1023" s="31"/>
      <c r="O1023" s="57"/>
      <c r="P1023" s="57"/>
      <c r="Q1023" s="57"/>
      <c r="R1023" s="57"/>
      <c r="S1023" s="31"/>
      <c r="T1023" s="57"/>
      <c r="U1023" s="57"/>
      <c r="V1023" s="57"/>
      <c r="W1023" s="57"/>
      <c r="X1023" s="31"/>
      <c r="Y1023" s="57"/>
      <c r="Z1023" s="57"/>
      <c r="AA1023" s="57"/>
      <c r="AB1023" s="57"/>
      <c r="AC1023" s="31"/>
      <c r="AD1023" s="57"/>
      <c r="AE1023" s="57"/>
      <c r="AF1023" s="57"/>
      <c r="AG1023" s="57"/>
      <c r="AH1023" s="57"/>
      <c r="AI1023" s="57"/>
      <c r="AJ1023" s="57"/>
      <c r="AK1023" s="57"/>
      <c r="AL1023" s="57"/>
      <c r="AM1023" s="57"/>
      <c r="AN1023" s="57"/>
      <c r="AO1023" s="57"/>
      <c r="AP1023" s="35"/>
      <c r="AQ1023" s="57"/>
      <c r="AR1023" s="36"/>
      <c r="AS1023" s="57"/>
      <c r="AT1023" s="37"/>
      <c r="AU1023" s="30"/>
      <c r="AV1023" s="30"/>
      <c r="AW1023" s="30"/>
      <c r="AX1023" s="30"/>
      <c r="AY1023" s="30"/>
      <c r="AZ1023" s="30"/>
    </row>
    <row r="1024">
      <c r="A1024" s="30"/>
      <c r="B1024" s="30"/>
      <c r="C1024" s="30"/>
      <c r="D1024" s="31"/>
      <c r="E1024" s="31"/>
      <c r="F1024" s="31"/>
      <c r="G1024" s="31"/>
      <c r="H1024" s="31"/>
      <c r="I1024" s="54"/>
      <c r="J1024" s="55"/>
      <c r="K1024" s="54"/>
      <c r="L1024" s="56"/>
      <c r="M1024" s="56"/>
      <c r="N1024" s="31"/>
      <c r="O1024" s="57"/>
      <c r="P1024" s="57"/>
      <c r="Q1024" s="57"/>
      <c r="R1024" s="57"/>
      <c r="S1024" s="31"/>
      <c r="T1024" s="57"/>
      <c r="U1024" s="57"/>
      <c r="V1024" s="57"/>
      <c r="W1024" s="57"/>
      <c r="X1024" s="31"/>
      <c r="Y1024" s="57"/>
      <c r="Z1024" s="57"/>
      <c r="AA1024" s="57"/>
      <c r="AB1024" s="57"/>
      <c r="AC1024" s="31"/>
      <c r="AD1024" s="57"/>
      <c r="AE1024" s="57"/>
      <c r="AF1024" s="57"/>
      <c r="AG1024" s="57"/>
      <c r="AH1024" s="57"/>
      <c r="AI1024" s="57"/>
      <c r="AJ1024" s="57"/>
      <c r="AK1024" s="57"/>
      <c r="AL1024" s="57"/>
      <c r="AM1024" s="57"/>
      <c r="AN1024" s="57"/>
      <c r="AO1024" s="57"/>
      <c r="AP1024" s="35"/>
      <c r="AQ1024" s="57"/>
      <c r="AR1024" s="36"/>
      <c r="AS1024" s="57"/>
      <c r="AT1024" s="37"/>
      <c r="AU1024" s="30"/>
      <c r="AV1024" s="30"/>
      <c r="AW1024" s="30"/>
      <c r="AX1024" s="30"/>
      <c r="AY1024" s="30"/>
      <c r="AZ1024" s="30"/>
    </row>
    <row r="1025">
      <c r="A1025" s="30"/>
      <c r="B1025" s="30"/>
      <c r="C1025" s="30"/>
      <c r="D1025" s="31"/>
      <c r="E1025" s="31"/>
      <c r="F1025" s="31"/>
      <c r="G1025" s="31"/>
      <c r="H1025" s="31"/>
      <c r="I1025" s="54"/>
      <c r="J1025" s="55"/>
      <c r="K1025" s="54"/>
      <c r="L1025" s="56"/>
      <c r="M1025" s="56"/>
      <c r="N1025" s="31"/>
      <c r="O1025" s="57"/>
      <c r="P1025" s="57"/>
      <c r="Q1025" s="57"/>
      <c r="R1025" s="57"/>
      <c r="S1025" s="31"/>
      <c r="T1025" s="57"/>
      <c r="U1025" s="57"/>
      <c r="V1025" s="57"/>
      <c r="W1025" s="57"/>
      <c r="X1025" s="31"/>
      <c r="Y1025" s="57"/>
      <c r="Z1025" s="57"/>
      <c r="AA1025" s="57"/>
      <c r="AB1025" s="57"/>
      <c r="AC1025" s="31"/>
      <c r="AD1025" s="57"/>
      <c r="AE1025" s="57"/>
      <c r="AF1025" s="57"/>
      <c r="AG1025" s="57"/>
      <c r="AH1025" s="57"/>
      <c r="AI1025" s="57"/>
      <c r="AJ1025" s="57"/>
      <c r="AK1025" s="57"/>
      <c r="AL1025" s="57"/>
      <c r="AM1025" s="57"/>
      <c r="AN1025" s="57"/>
      <c r="AO1025" s="57"/>
      <c r="AP1025" s="35"/>
      <c r="AQ1025" s="57"/>
      <c r="AR1025" s="36"/>
      <c r="AS1025" s="57"/>
      <c r="AT1025" s="37"/>
      <c r="AU1025" s="30"/>
      <c r="AV1025" s="30"/>
      <c r="AW1025" s="30"/>
      <c r="AX1025" s="30"/>
      <c r="AY1025" s="30"/>
      <c r="AZ1025" s="30"/>
    </row>
    <row r="1026">
      <c r="A1026" s="30"/>
      <c r="B1026" s="30"/>
      <c r="C1026" s="30"/>
      <c r="D1026" s="31"/>
      <c r="E1026" s="31"/>
      <c r="F1026" s="31"/>
      <c r="G1026" s="31"/>
      <c r="H1026" s="31"/>
      <c r="I1026" s="54"/>
      <c r="J1026" s="55"/>
      <c r="K1026" s="54"/>
      <c r="L1026" s="56"/>
      <c r="M1026" s="56"/>
      <c r="N1026" s="31"/>
      <c r="O1026" s="57"/>
      <c r="P1026" s="57"/>
      <c r="Q1026" s="57"/>
      <c r="R1026" s="57"/>
      <c r="S1026" s="31"/>
      <c r="T1026" s="57"/>
      <c r="U1026" s="57"/>
      <c r="V1026" s="57"/>
      <c r="W1026" s="57"/>
      <c r="X1026" s="31"/>
      <c r="Y1026" s="57"/>
      <c r="Z1026" s="57"/>
      <c r="AA1026" s="57"/>
      <c r="AB1026" s="57"/>
      <c r="AC1026" s="31"/>
      <c r="AD1026" s="57"/>
      <c r="AE1026" s="57"/>
      <c r="AF1026" s="57"/>
      <c r="AG1026" s="57"/>
      <c r="AH1026" s="57"/>
      <c r="AI1026" s="57"/>
      <c r="AJ1026" s="57"/>
      <c r="AK1026" s="57"/>
      <c r="AL1026" s="57"/>
      <c r="AM1026" s="57"/>
      <c r="AN1026" s="57"/>
      <c r="AO1026" s="57"/>
      <c r="AP1026" s="35"/>
      <c r="AQ1026" s="57"/>
      <c r="AR1026" s="36"/>
      <c r="AS1026" s="57"/>
      <c r="AT1026" s="37"/>
      <c r="AU1026" s="30"/>
      <c r="AV1026" s="30"/>
      <c r="AW1026" s="30"/>
      <c r="AX1026" s="30"/>
      <c r="AY1026" s="30"/>
      <c r="AZ1026" s="30"/>
    </row>
    <row r="1027">
      <c r="A1027" s="30"/>
      <c r="B1027" s="30"/>
      <c r="C1027" s="30"/>
      <c r="D1027" s="31"/>
      <c r="E1027" s="31"/>
      <c r="F1027" s="31"/>
      <c r="G1027" s="31"/>
      <c r="H1027" s="31"/>
      <c r="I1027" s="54"/>
      <c r="J1027" s="55"/>
      <c r="K1027" s="54"/>
      <c r="L1027" s="56"/>
      <c r="M1027" s="56"/>
      <c r="N1027" s="31"/>
      <c r="O1027" s="57"/>
      <c r="P1027" s="57"/>
      <c r="Q1027" s="57"/>
      <c r="R1027" s="57"/>
      <c r="S1027" s="31"/>
      <c r="T1027" s="57"/>
      <c r="U1027" s="57"/>
      <c r="V1027" s="57"/>
      <c r="W1027" s="57"/>
      <c r="X1027" s="31"/>
      <c r="Y1027" s="57"/>
      <c r="Z1027" s="57"/>
      <c r="AA1027" s="57"/>
      <c r="AB1027" s="57"/>
      <c r="AC1027" s="31"/>
      <c r="AD1027" s="57"/>
      <c r="AE1027" s="57"/>
      <c r="AF1027" s="57"/>
      <c r="AG1027" s="57"/>
      <c r="AH1027" s="57"/>
      <c r="AI1027" s="57"/>
      <c r="AJ1027" s="57"/>
      <c r="AK1027" s="57"/>
      <c r="AL1027" s="57"/>
      <c r="AM1027" s="57"/>
      <c r="AN1027" s="57"/>
      <c r="AO1027" s="57"/>
      <c r="AP1027" s="35"/>
      <c r="AQ1027" s="57"/>
      <c r="AR1027" s="36"/>
      <c r="AS1027" s="57"/>
      <c r="AT1027" s="37"/>
      <c r="AU1027" s="30"/>
      <c r="AV1027" s="30"/>
      <c r="AW1027" s="30"/>
      <c r="AX1027" s="30"/>
      <c r="AY1027" s="30"/>
      <c r="AZ1027" s="30"/>
    </row>
    <row r="1028">
      <c r="A1028" s="30"/>
      <c r="B1028" s="30"/>
      <c r="C1028" s="30"/>
      <c r="D1028" s="31"/>
      <c r="E1028" s="31"/>
      <c r="F1028" s="31"/>
      <c r="G1028" s="31"/>
      <c r="H1028" s="31"/>
      <c r="I1028" s="54"/>
      <c r="J1028" s="55"/>
      <c r="K1028" s="54"/>
      <c r="L1028" s="56"/>
      <c r="M1028" s="56"/>
      <c r="N1028" s="31"/>
      <c r="O1028" s="57"/>
      <c r="P1028" s="57"/>
      <c r="Q1028" s="57"/>
      <c r="R1028" s="57"/>
      <c r="S1028" s="31"/>
      <c r="T1028" s="57"/>
      <c r="U1028" s="57"/>
      <c r="V1028" s="57"/>
      <c r="W1028" s="57"/>
      <c r="X1028" s="31"/>
      <c r="Y1028" s="57"/>
      <c r="Z1028" s="57"/>
      <c r="AA1028" s="57"/>
      <c r="AB1028" s="57"/>
      <c r="AC1028" s="31"/>
      <c r="AD1028" s="57"/>
      <c r="AE1028" s="57"/>
      <c r="AF1028" s="57"/>
      <c r="AG1028" s="57"/>
      <c r="AH1028" s="57"/>
      <c r="AI1028" s="57"/>
      <c r="AJ1028" s="57"/>
      <c r="AK1028" s="57"/>
      <c r="AL1028" s="57"/>
      <c r="AM1028" s="57"/>
      <c r="AN1028" s="57"/>
      <c r="AO1028" s="57"/>
      <c r="AP1028" s="35"/>
      <c r="AQ1028" s="57"/>
      <c r="AR1028" s="36"/>
      <c r="AS1028" s="57"/>
      <c r="AT1028" s="37"/>
      <c r="AU1028" s="30"/>
      <c r="AV1028" s="30"/>
      <c r="AW1028" s="30"/>
      <c r="AX1028" s="30"/>
      <c r="AY1028" s="30"/>
      <c r="AZ1028" s="30"/>
    </row>
    <row r="1029">
      <c r="A1029" s="30"/>
      <c r="B1029" s="30"/>
      <c r="C1029" s="30"/>
      <c r="D1029" s="31"/>
      <c r="E1029" s="31"/>
      <c r="F1029" s="31"/>
      <c r="G1029" s="31"/>
      <c r="H1029" s="31"/>
      <c r="I1029" s="54"/>
      <c r="J1029" s="55"/>
      <c r="K1029" s="54"/>
      <c r="L1029" s="56"/>
      <c r="M1029" s="56"/>
      <c r="N1029" s="31"/>
      <c r="O1029" s="57"/>
      <c r="P1029" s="57"/>
      <c r="Q1029" s="57"/>
      <c r="R1029" s="57"/>
      <c r="S1029" s="31"/>
      <c r="T1029" s="57"/>
      <c r="U1029" s="57"/>
      <c r="V1029" s="57"/>
      <c r="W1029" s="57"/>
      <c r="X1029" s="31"/>
      <c r="Y1029" s="57"/>
      <c r="Z1029" s="57"/>
      <c r="AA1029" s="57"/>
      <c r="AB1029" s="57"/>
      <c r="AC1029" s="31"/>
      <c r="AD1029" s="57"/>
      <c r="AE1029" s="57"/>
      <c r="AF1029" s="57"/>
      <c r="AG1029" s="57"/>
      <c r="AH1029" s="57"/>
      <c r="AI1029" s="57"/>
      <c r="AJ1029" s="57"/>
      <c r="AK1029" s="57"/>
      <c r="AL1029" s="57"/>
      <c r="AM1029" s="57"/>
      <c r="AN1029" s="57"/>
      <c r="AO1029" s="57"/>
      <c r="AP1029" s="35"/>
      <c r="AQ1029" s="57"/>
      <c r="AR1029" s="36"/>
      <c r="AS1029" s="57"/>
      <c r="AT1029" s="37"/>
      <c r="AU1029" s="30"/>
      <c r="AV1029" s="30"/>
      <c r="AW1029" s="30"/>
      <c r="AX1029" s="30"/>
      <c r="AY1029" s="30"/>
      <c r="AZ1029" s="30"/>
    </row>
    <row r="1030">
      <c r="A1030" s="30"/>
      <c r="B1030" s="30"/>
      <c r="C1030" s="30"/>
      <c r="D1030" s="31"/>
      <c r="E1030" s="31"/>
      <c r="F1030" s="31"/>
      <c r="G1030" s="31"/>
      <c r="H1030" s="31"/>
      <c r="I1030" s="54"/>
      <c r="J1030" s="55"/>
      <c r="K1030" s="54"/>
      <c r="L1030" s="56"/>
      <c r="M1030" s="56"/>
      <c r="N1030" s="31"/>
      <c r="O1030" s="57"/>
      <c r="P1030" s="57"/>
      <c r="Q1030" s="57"/>
      <c r="R1030" s="57"/>
      <c r="S1030" s="31"/>
      <c r="T1030" s="57"/>
      <c r="U1030" s="57"/>
      <c r="V1030" s="57"/>
      <c r="W1030" s="57"/>
      <c r="X1030" s="31"/>
      <c r="Y1030" s="57"/>
      <c r="Z1030" s="57"/>
      <c r="AA1030" s="57"/>
      <c r="AB1030" s="57"/>
      <c r="AC1030" s="31"/>
      <c r="AD1030" s="57"/>
      <c r="AE1030" s="57"/>
      <c r="AF1030" s="57"/>
      <c r="AG1030" s="57"/>
      <c r="AH1030" s="57"/>
      <c r="AI1030" s="57"/>
      <c r="AJ1030" s="57"/>
      <c r="AK1030" s="57"/>
      <c r="AL1030" s="57"/>
      <c r="AM1030" s="57"/>
      <c r="AN1030" s="57"/>
      <c r="AO1030" s="57"/>
      <c r="AP1030" s="35"/>
      <c r="AQ1030" s="57"/>
      <c r="AR1030" s="36"/>
      <c r="AS1030" s="57"/>
      <c r="AT1030" s="37"/>
      <c r="AU1030" s="30"/>
      <c r="AV1030" s="30"/>
      <c r="AW1030" s="30"/>
      <c r="AX1030" s="30"/>
      <c r="AY1030" s="30"/>
      <c r="AZ1030" s="30"/>
    </row>
    <row r="1031">
      <c r="A1031" s="30"/>
      <c r="B1031" s="30"/>
      <c r="C1031" s="30"/>
      <c r="D1031" s="31"/>
      <c r="E1031" s="31"/>
      <c r="F1031" s="31"/>
      <c r="G1031" s="31"/>
      <c r="H1031" s="31"/>
      <c r="I1031" s="54"/>
      <c r="J1031" s="55"/>
      <c r="K1031" s="54"/>
      <c r="L1031" s="56"/>
      <c r="M1031" s="56"/>
      <c r="N1031" s="31"/>
      <c r="O1031" s="57"/>
      <c r="P1031" s="57"/>
      <c r="Q1031" s="57"/>
      <c r="R1031" s="57"/>
      <c r="S1031" s="31"/>
      <c r="T1031" s="57"/>
      <c r="U1031" s="57"/>
      <c r="V1031" s="57"/>
      <c r="W1031" s="57"/>
      <c r="X1031" s="31"/>
      <c r="Y1031" s="57"/>
      <c r="Z1031" s="57"/>
      <c r="AA1031" s="57"/>
      <c r="AB1031" s="57"/>
      <c r="AC1031" s="31"/>
      <c r="AD1031" s="57"/>
      <c r="AE1031" s="57"/>
      <c r="AF1031" s="57"/>
      <c r="AG1031" s="57"/>
      <c r="AH1031" s="57"/>
      <c r="AI1031" s="57"/>
      <c r="AJ1031" s="57"/>
      <c r="AK1031" s="57"/>
      <c r="AL1031" s="57"/>
      <c r="AM1031" s="57"/>
      <c r="AN1031" s="57"/>
      <c r="AO1031" s="57"/>
      <c r="AP1031" s="35"/>
      <c r="AQ1031" s="57"/>
      <c r="AR1031" s="36"/>
      <c r="AS1031" s="57"/>
      <c r="AT1031" s="37"/>
      <c r="AU1031" s="30"/>
      <c r="AV1031" s="30"/>
      <c r="AW1031" s="30"/>
      <c r="AX1031" s="30"/>
      <c r="AY1031" s="30"/>
      <c r="AZ1031" s="30"/>
    </row>
    <row r="1032">
      <c r="A1032" s="30"/>
      <c r="B1032" s="30"/>
      <c r="C1032" s="30"/>
      <c r="D1032" s="31"/>
      <c r="E1032" s="31"/>
      <c r="F1032" s="31"/>
      <c r="G1032" s="31"/>
      <c r="H1032" s="31"/>
      <c r="I1032" s="54"/>
      <c r="J1032" s="55"/>
      <c r="K1032" s="54"/>
      <c r="L1032" s="56"/>
      <c r="M1032" s="56"/>
      <c r="N1032" s="31"/>
      <c r="O1032" s="57"/>
      <c r="P1032" s="57"/>
      <c r="Q1032" s="57"/>
      <c r="R1032" s="57"/>
      <c r="S1032" s="31"/>
      <c r="T1032" s="57"/>
      <c r="U1032" s="57"/>
      <c r="V1032" s="57"/>
      <c r="W1032" s="57"/>
      <c r="X1032" s="31"/>
      <c r="Y1032" s="57"/>
      <c r="Z1032" s="57"/>
      <c r="AA1032" s="57"/>
      <c r="AB1032" s="57"/>
      <c r="AC1032" s="31"/>
      <c r="AD1032" s="57"/>
      <c r="AE1032" s="57"/>
      <c r="AF1032" s="57"/>
      <c r="AG1032" s="57"/>
      <c r="AH1032" s="57"/>
      <c r="AI1032" s="57"/>
      <c r="AJ1032" s="57"/>
      <c r="AK1032" s="57"/>
      <c r="AL1032" s="57"/>
      <c r="AM1032" s="57"/>
      <c r="AN1032" s="57"/>
      <c r="AO1032" s="57"/>
      <c r="AP1032" s="35"/>
      <c r="AQ1032" s="57"/>
      <c r="AR1032" s="36"/>
      <c r="AS1032" s="57"/>
      <c r="AT1032" s="37"/>
      <c r="AU1032" s="30"/>
      <c r="AV1032" s="30"/>
      <c r="AW1032" s="30"/>
      <c r="AX1032" s="30"/>
      <c r="AY1032" s="30"/>
      <c r="AZ1032" s="30"/>
    </row>
    <row r="1033">
      <c r="A1033" s="30"/>
      <c r="B1033" s="30"/>
      <c r="C1033" s="30"/>
      <c r="D1033" s="31"/>
      <c r="E1033" s="31"/>
      <c r="F1033" s="31"/>
      <c r="G1033" s="31"/>
      <c r="H1033" s="31"/>
      <c r="I1033" s="54"/>
      <c r="J1033" s="55"/>
      <c r="K1033" s="54"/>
      <c r="L1033" s="56"/>
      <c r="M1033" s="56"/>
      <c r="N1033" s="31"/>
      <c r="O1033" s="57"/>
      <c r="P1033" s="57"/>
      <c r="Q1033" s="57"/>
      <c r="R1033" s="57"/>
      <c r="S1033" s="31"/>
      <c r="T1033" s="57"/>
      <c r="U1033" s="57"/>
      <c r="V1033" s="57"/>
      <c r="W1033" s="57"/>
      <c r="X1033" s="31"/>
      <c r="Y1033" s="57"/>
      <c r="Z1033" s="57"/>
      <c r="AA1033" s="57"/>
      <c r="AB1033" s="57"/>
      <c r="AC1033" s="31"/>
      <c r="AD1033" s="57"/>
      <c r="AE1033" s="57"/>
      <c r="AF1033" s="57"/>
      <c r="AG1033" s="57"/>
      <c r="AH1033" s="57"/>
      <c r="AI1033" s="57"/>
      <c r="AJ1033" s="57"/>
      <c r="AK1033" s="57"/>
      <c r="AL1033" s="57"/>
      <c r="AM1033" s="57"/>
      <c r="AN1033" s="57"/>
      <c r="AO1033" s="57"/>
      <c r="AP1033" s="35"/>
      <c r="AQ1033" s="57"/>
      <c r="AR1033" s="36"/>
      <c r="AS1033" s="57"/>
      <c r="AT1033" s="37"/>
      <c r="AU1033" s="30"/>
      <c r="AV1033" s="30"/>
      <c r="AW1033" s="30"/>
      <c r="AX1033" s="30"/>
      <c r="AY1033" s="30"/>
      <c r="AZ1033" s="30"/>
    </row>
    <row r="1034">
      <c r="A1034" s="30"/>
      <c r="B1034" s="30"/>
      <c r="C1034" s="30"/>
      <c r="D1034" s="31"/>
      <c r="E1034" s="31"/>
      <c r="F1034" s="31"/>
      <c r="G1034" s="31"/>
      <c r="H1034" s="31"/>
      <c r="I1034" s="54"/>
      <c r="J1034" s="55"/>
      <c r="K1034" s="54"/>
      <c r="L1034" s="56"/>
      <c r="M1034" s="56"/>
      <c r="N1034" s="31"/>
      <c r="O1034" s="57"/>
      <c r="P1034" s="57"/>
      <c r="Q1034" s="57"/>
      <c r="R1034" s="57"/>
      <c r="S1034" s="31"/>
      <c r="T1034" s="57"/>
      <c r="U1034" s="57"/>
      <c r="V1034" s="57"/>
      <c r="W1034" s="57"/>
      <c r="X1034" s="31"/>
      <c r="Y1034" s="57"/>
      <c r="Z1034" s="57"/>
      <c r="AA1034" s="57"/>
      <c r="AB1034" s="57"/>
      <c r="AC1034" s="31"/>
      <c r="AD1034" s="57"/>
      <c r="AE1034" s="57"/>
      <c r="AF1034" s="57"/>
      <c r="AG1034" s="57"/>
      <c r="AH1034" s="57"/>
      <c r="AI1034" s="57"/>
      <c r="AJ1034" s="57"/>
      <c r="AK1034" s="57"/>
      <c r="AL1034" s="57"/>
      <c r="AM1034" s="57"/>
      <c r="AN1034" s="57"/>
      <c r="AO1034" s="57"/>
      <c r="AP1034" s="35"/>
      <c r="AQ1034" s="57"/>
      <c r="AR1034" s="36"/>
      <c r="AS1034" s="57"/>
      <c r="AT1034" s="37"/>
      <c r="AU1034" s="30"/>
      <c r="AV1034" s="30"/>
      <c r="AW1034" s="30"/>
      <c r="AX1034" s="30"/>
      <c r="AY1034" s="30"/>
      <c r="AZ1034" s="30"/>
    </row>
    <row r="1035">
      <c r="A1035" s="30"/>
      <c r="B1035" s="30"/>
      <c r="C1035" s="30"/>
      <c r="D1035" s="31"/>
      <c r="E1035" s="31"/>
      <c r="F1035" s="31"/>
      <c r="G1035" s="31"/>
      <c r="H1035" s="31"/>
      <c r="I1035" s="54"/>
      <c r="J1035" s="55"/>
      <c r="K1035" s="54"/>
      <c r="L1035" s="56"/>
      <c r="M1035" s="56"/>
      <c r="N1035" s="31"/>
      <c r="O1035" s="57"/>
      <c r="P1035" s="57"/>
      <c r="Q1035" s="57"/>
      <c r="R1035" s="57"/>
      <c r="S1035" s="31"/>
      <c r="T1035" s="57"/>
      <c r="U1035" s="57"/>
      <c r="V1035" s="57"/>
      <c r="W1035" s="57"/>
      <c r="X1035" s="31"/>
      <c r="Y1035" s="57"/>
      <c r="Z1035" s="57"/>
      <c r="AA1035" s="57"/>
      <c r="AB1035" s="57"/>
      <c r="AC1035" s="31"/>
      <c r="AD1035" s="57"/>
      <c r="AE1035" s="57"/>
      <c r="AF1035" s="57"/>
      <c r="AG1035" s="57"/>
      <c r="AH1035" s="57"/>
      <c r="AI1035" s="57"/>
      <c r="AJ1035" s="57"/>
      <c r="AK1035" s="57"/>
      <c r="AL1035" s="57"/>
      <c r="AM1035" s="57"/>
      <c r="AN1035" s="57"/>
      <c r="AO1035" s="57"/>
      <c r="AP1035" s="35"/>
      <c r="AQ1035" s="57"/>
      <c r="AR1035" s="36"/>
      <c r="AS1035" s="57"/>
      <c r="AT1035" s="37"/>
      <c r="AU1035" s="30"/>
      <c r="AV1035" s="30"/>
      <c r="AW1035" s="30"/>
      <c r="AX1035" s="30"/>
      <c r="AY1035" s="30"/>
      <c r="AZ1035" s="30"/>
    </row>
    <row r="1036">
      <c r="A1036" s="30"/>
      <c r="B1036" s="30"/>
      <c r="C1036" s="30"/>
      <c r="D1036" s="31"/>
      <c r="E1036" s="31"/>
      <c r="F1036" s="31"/>
      <c r="G1036" s="31"/>
      <c r="H1036" s="31"/>
      <c r="I1036" s="54"/>
      <c r="J1036" s="55"/>
      <c r="K1036" s="54"/>
      <c r="L1036" s="56"/>
      <c r="M1036" s="56"/>
      <c r="N1036" s="31"/>
      <c r="O1036" s="57"/>
      <c r="P1036" s="57"/>
      <c r="Q1036" s="57"/>
      <c r="R1036" s="57"/>
      <c r="S1036" s="31"/>
      <c r="T1036" s="57"/>
      <c r="U1036" s="57"/>
      <c r="V1036" s="57"/>
      <c r="W1036" s="57"/>
      <c r="X1036" s="31"/>
      <c r="Y1036" s="57"/>
      <c r="Z1036" s="57"/>
      <c r="AA1036" s="57"/>
      <c r="AB1036" s="57"/>
      <c r="AC1036" s="31"/>
      <c r="AD1036" s="57"/>
      <c r="AE1036" s="57"/>
      <c r="AF1036" s="57"/>
      <c r="AG1036" s="57"/>
      <c r="AH1036" s="57"/>
      <c r="AI1036" s="57"/>
      <c r="AJ1036" s="57"/>
      <c r="AK1036" s="57"/>
      <c r="AL1036" s="57"/>
      <c r="AM1036" s="57"/>
      <c r="AN1036" s="57"/>
      <c r="AO1036" s="57"/>
      <c r="AP1036" s="35"/>
      <c r="AQ1036" s="57"/>
      <c r="AR1036" s="36"/>
      <c r="AS1036" s="57"/>
      <c r="AT1036" s="37"/>
      <c r="AU1036" s="30"/>
      <c r="AV1036" s="30"/>
      <c r="AW1036" s="30"/>
      <c r="AX1036" s="30"/>
      <c r="AY1036" s="30"/>
      <c r="AZ1036" s="30"/>
    </row>
    <row r="1037">
      <c r="A1037" s="30"/>
      <c r="B1037" s="30"/>
      <c r="C1037" s="30"/>
      <c r="D1037" s="31"/>
      <c r="E1037" s="31"/>
      <c r="F1037" s="31"/>
      <c r="G1037" s="31"/>
      <c r="H1037" s="31"/>
      <c r="I1037" s="54"/>
      <c r="J1037" s="55"/>
      <c r="K1037" s="54"/>
      <c r="L1037" s="56"/>
      <c r="M1037" s="56"/>
      <c r="N1037" s="31"/>
      <c r="O1037" s="57"/>
      <c r="P1037" s="57"/>
      <c r="Q1037" s="57"/>
      <c r="R1037" s="57"/>
      <c r="S1037" s="31"/>
      <c r="T1037" s="57"/>
      <c r="U1037" s="57"/>
      <c r="V1037" s="57"/>
      <c r="W1037" s="57"/>
      <c r="X1037" s="31"/>
      <c r="Y1037" s="57"/>
      <c r="Z1037" s="57"/>
      <c r="AA1037" s="57"/>
      <c r="AB1037" s="57"/>
      <c r="AC1037" s="31"/>
      <c r="AD1037" s="57"/>
      <c r="AE1037" s="57"/>
      <c r="AF1037" s="57"/>
      <c r="AG1037" s="57"/>
      <c r="AH1037" s="57"/>
      <c r="AI1037" s="57"/>
      <c r="AJ1037" s="57"/>
      <c r="AK1037" s="57"/>
      <c r="AL1037" s="57"/>
      <c r="AM1037" s="57"/>
      <c r="AN1037" s="57"/>
      <c r="AO1037" s="57"/>
      <c r="AP1037" s="35"/>
      <c r="AQ1037" s="57"/>
      <c r="AR1037" s="36"/>
      <c r="AS1037" s="57"/>
      <c r="AT1037" s="37"/>
      <c r="AU1037" s="30"/>
      <c r="AV1037" s="30"/>
      <c r="AW1037" s="30"/>
      <c r="AX1037" s="30"/>
      <c r="AY1037" s="30"/>
      <c r="AZ1037" s="30"/>
    </row>
    <row r="1038">
      <c r="A1038" s="30"/>
      <c r="B1038" s="30"/>
      <c r="C1038" s="30"/>
      <c r="D1038" s="31"/>
      <c r="E1038" s="31"/>
      <c r="F1038" s="31"/>
      <c r="G1038" s="31"/>
      <c r="H1038" s="31"/>
      <c r="I1038" s="54"/>
      <c r="J1038" s="55"/>
      <c r="K1038" s="54"/>
      <c r="L1038" s="56"/>
      <c r="M1038" s="56"/>
      <c r="N1038" s="31"/>
      <c r="O1038" s="57"/>
      <c r="P1038" s="57"/>
      <c r="Q1038" s="57"/>
      <c r="R1038" s="57"/>
      <c r="S1038" s="31"/>
      <c r="T1038" s="57"/>
      <c r="U1038" s="57"/>
      <c r="V1038" s="57"/>
      <c r="W1038" s="57"/>
      <c r="X1038" s="31"/>
      <c r="Y1038" s="57"/>
      <c r="Z1038" s="57"/>
      <c r="AA1038" s="57"/>
      <c r="AB1038" s="57"/>
      <c r="AC1038" s="31"/>
      <c r="AD1038" s="57"/>
      <c r="AE1038" s="57"/>
      <c r="AF1038" s="57"/>
      <c r="AG1038" s="57"/>
      <c r="AH1038" s="57"/>
      <c r="AI1038" s="57"/>
      <c r="AJ1038" s="57"/>
      <c r="AK1038" s="57"/>
      <c r="AL1038" s="57"/>
      <c r="AM1038" s="57"/>
      <c r="AN1038" s="57"/>
      <c r="AO1038" s="57"/>
      <c r="AP1038" s="35"/>
      <c r="AQ1038" s="57"/>
      <c r="AR1038" s="36"/>
      <c r="AS1038" s="57"/>
      <c r="AT1038" s="37"/>
      <c r="AU1038" s="30"/>
      <c r="AV1038" s="30"/>
      <c r="AW1038" s="30"/>
      <c r="AX1038" s="30"/>
      <c r="AY1038" s="30"/>
      <c r="AZ1038" s="30"/>
    </row>
    <row r="1039">
      <c r="A1039" s="30"/>
      <c r="B1039" s="30"/>
      <c r="C1039" s="30"/>
      <c r="D1039" s="31"/>
      <c r="E1039" s="31"/>
      <c r="F1039" s="31"/>
      <c r="G1039" s="31"/>
      <c r="H1039" s="31"/>
      <c r="I1039" s="54"/>
      <c r="J1039" s="55"/>
      <c r="K1039" s="54"/>
      <c r="L1039" s="56"/>
      <c r="M1039" s="56"/>
      <c r="N1039" s="31"/>
      <c r="O1039" s="57"/>
      <c r="P1039" s="57"/>
      <c r="Q1039" s="57"/>
      <c r="R1039" s="57"/>
      <c r="S1039" s="31"/>
      <c r="T1039" s="57"/>
      <c r="U1039" s="57"/>
      <c r="V1039" s="57"/>
      <c r="W1039" s="57"/>
      <c r="X1039" s="31"/>
      <c r="Y1039" s="57"/>
      <c r="Z1039" s="57"/>
      <c r="AA1039" s="57"/>
      <c r="AB1039" s="57"/>
      <c r="AC1039" s="31"/>
      <c r="AD1039" s="57"/>
      <c r="AE1039" s="57"/>
      <c r="AF1039" s="57"/>
      <c r="AG1039" s="57"/>
      <c r="AH1039" s="57"/>
      <c r="AI1039" s="57"/>
      <c r="AJ1039" s="57"/>
      <c r="AK1039" s="57"/>
      <c r="AL1039" s="57"/>
      <c r="AM1039" s="57"/>
      <c r="AN1039" s="57"/>
      <c r="AO1039" s="57"/>
      <c r="AP1039" s="35"/>
      <c r="AQ1039" s="57"/>
      <c r="AR1039" s="36"/>
      <c r="AS1039" s="57"/>
      <c r="AT1039" s="37"/>
      <c r="AU1039" s="30"/>
      <c r="AV1039" s="30"/>
      <c r="AW1039" s="30"/>
      <c r="AX1039" s="30"/>
      <c r="AY1039" s="30"/>
      <c r="AZ1039" s="30"/>
    </row>
    <row r="1040">
      <c r="A1040" s="30"/>
      <c r="B1040" s="30"/>
      <c r="C1040" s="30"/>
      <c r="D1040" s="31"/>
      <c r="E1040" s="31"/>
      <c r="F1040" s="31"/>
      <c r="G1040" s="31"/>
      <c r="H1040" s="31"/>
      <c r="I1040" s="54"/>
      <c r="J1040" s="55"/>
      <c r="K1040" s="54"/>
      <c r="L1040" s="56"/>
      <c r="M1040" s="56"/>
      <c r="N1040" s="31"/>
      <c r="O1040" s="57"/>
      <c r="P1040" s="57"/>
      <c r="Q1040" s="57"/>
      <c r="R1040" s="57"/>
      <c r="S1040" s="31"/>
      <c r="T1040" s="57"/>
      <c r="U1040" s="57"/>
      <c r="V1040" s="57"/>
      <c r="W1040" s="57"/>
      <c r="X1040" s="31"/>
      <c r="Y1040" s="57"/>
      <c r="Z1040" s="57"/>
      <c r="AA1040" s="57"/>
      <c r="AB1040" s="57"/>
      <c r="AC1040" s="31"/>
      <c r="AD1040" s="57"/>
      <c r="AE1040" s="57"/>
      <c r="AF1040" s="57"/>
      <c r="AG1040" s="57"/>
      <c r="AH1040" s="57"/>
      <c r="AI1040" s="57"/>
      <c r="AJ1040" s="57"/>
      <c r="AK1040" s="57"/>
      <c r="AL1040" s="57"/>
      <c r="AM1040" s="57"/>
      <c r="AN1040" s="57"/>
      <c r="AO1040" s="57"/>
      <c r="AP1040" s="35"/>
      <c r="AQ1040" s="57"/>
      <c r="AR1040" s="36"/>
      <c r="AS1040" s="57"/>
      <c r="AT1040" s="37"/>
      <c r="AU1040" s="30"/>
      <c r="AV1040" s="30"/>
      <c r="AW1040" s="30"/>
      <c r="AX1040" s="30"/>
      <c r="AY1040" s="30"/>
      <c r="AZ1040" s="30"/>
    </row>
    <row r="1041">
      <c r="A1041" s="30"/>
      <c r="B1041" s="30"/>
      <c r="C1041" s="30"/>
      <c r="D1041" s="31"/>
      <c r="E1041" s="31"/>
      <c r="F1041" s="31"/>
      <c r="G1041" s="31"/>
      <c r="H1041" s="31"/>
      <c r="I1041" s="54"/>
      <c r="J1041" s="55"/>
      <c r="K1041" s="54"/>
      <c r="L1041" s="56"/>
      <c r="M1041" s="56"/>
      <c r="N1041" s="31"/>
      <c r="O1041" s="57"/>
      <c r="P1041" s="57"/>
      <c r="Q1041" s="57"/>
      <c r="R1041" s="57"/>
      <c r="S1041" s="31"/>
      <c r="T1041" s="57"/>
      <c r="U1041" s="57"/>
      <c r="V1041" s="57"/>
      <c r="W1041" s="57"/>
      <c r="X1041" s="31"/>
      <c r="Y1041" s="57"/>
      <c r="Z1041" s="57"/>
      <c r="AA1041" s="57"/>
      <c r="AB1041" s="57"/>
      <c r="AC1041" s="31"/>
      <c r="AD1041" s="57"/>
      <c r="AE1041" s="57"/>
      <c r="AF1041" s="57"/>
      <c r="AG1041" s="57"/>
      <c r="AH1041" s="57"/>
      <c r="AI1041" s="57"/>
      <c r="AJ1041" s="57"/>
      <c r="AK1041" s="57"/>
      <c r="AL1041" s="57"/>
      <c r="AM1041" s="57"/>
      <c r="AN1041" s="57"/>
      <c r="AO1041" s="57"/>
      <c r="AP1041" s="35"/>
      <c r="AQ1041" s="57"/>
      <c r="AR1041" s="36"/>
      <c r="AS1041" s="57"/>
      <c r="AT1041" s="37"/>
      <c r="AU1041" s="30"/>
      <c r="AV1041" s="30"/>
      <c r="AW1041" s="30"/>
      <c r="AX1041" s="30"/>
      <c r="AY1041" s="30"/>
      <c r="AZ1041" s="30"/>
    </row>
    <row r="1042">
      <c r="A1042" s="30"/>
      <c r="B1042" s="30"/>
      <c r="C1042" s="30"/>
      <c r="D1042" s="31"/>
      <c r="E1042" s="31"/>
      <c r="F1042" s="31"/>
      <c r="G1042" s="31"/>
      <c r="H1042" s="31"/>
      <c r="I1042" s="54"/>
      <c r="J1042" s="55"/>
      <c r="K1042" s="54"/>
      <c r="L1042" s="56"/>
      <c r="M1042" s="56"/>
      <c r="N1042" s="31"/>
      <c r="O1042" s="57"/>
      <c r="P1042" s="57"/>
      <c r="Q1042" s="57"/>
      <c r="R1042" s="57"/>
      <c r="S1042" s="31"/>
      <c r="T1042" s="57"/>
      <c r="U1042" s="57"/>
      <c r="V1042" s="57"/>
      <c r="W1042" s="57"/>
      <c r="X1042" s="31"/>
      <c r="Y1042" s="57"/>
      <c r="Z1042" s="57"/>
      <c r="AA1042" s="57"/>
      <c r="AB1042" s="57"/>
      <c r="AC1042" s="31"/>
      <c r="AD1042" s="57"/>
      <c r="AE1042" s="57"/>
      <c r="AF1042" s="57"/>
      <c r="AG1042" s="57"/>
      <c r="AH1042" s="57"/>
      <c r="AI1042" s="57"/>
      <c r="AJ1042" s="57"/>
      <c r="AK1042" s="57"/>
      <c r="AL1042" s="57"/>
      <c r="AM1042" s="57"/>
      <c r="AN1042" s="57"/>
      <c r="AO1042" s="57"/>
      <c r="AP1042" s="35"/>
      <c r="AQ1042" s="57"/>
      <c r="AR1042" s="36"/>
      <c r="AS1042" s="57"/>
      <c r="AT1042" s="37"/>
      <c r="AU1042" s="30"/>
      <c r="AV1042" s="30"/>
      <c r="AW1042" s="30"/>
      <c r="AX1042" s="30"/>
      <c r="AY1042" s="30"/>
      <c r="AZ1042" s="30"/>
    </row>
    <row r="1043">
      <c r="A1043" s="30"/>
      <c r="B1043" s="30"/>
      <c r="C1043" s="30"/>
      <c r="D1043" s="31"/>
      <c r="E1043" s="31"/>
      <c r="F1043" s="31"/>
      <c r="G1043" s="31"/>
      <c r="H1043" s="31"/>
      <c r="I1043" s="54"/>
      <c r="J1043" s="55"/>
      <c r="K1043" s="54"/>
      <c r="L1043" s="56"/>
      <c r="M1043" s="56"/>
      <c r="N1043" s="31"/>
      <c r="O1043" s="57"/>
      <c r="P1043" s="57"/>
      <c r="Q1043" s="57"/>
      <c r="R1043" s="57"/>
      <c r="S1043" s="31"/>
      <c r="T1043" s="57"/>
      <c r="U1043" s="57"/>
      <c r="V1043" s="57"/>
      <c r="W1043" s="57"/>
      <c r="X1043" s="31"/>
      <c r="Y1043" s="57"/>
      <c r="Z1043" s="57"/>
      <c r="AA1043" s="57"/>
      <c r="AB1043" s="57"/>
      <c r="AC1043" s="31"/>
      <c r="AD1043" s="57"/>
      <c r="AE1043" s="57"/>
      <c r="AF1043" s="57"/>
      <c r="AG1043" s="57"/>
      <c r="AH1043" s="57"/>
      <c r="AI1043" s="57"/>
      <c r="AJ1043" s="57"/>
      <c r="AK1043" s="57"/>
      <c r="AL1043" s="57"/>
      <c r="AM1043" s="57"/>
      <c r="AN1043" s="57"/>
      <c r="AO1043" s="57"/>
      <c r="AP1043" s="35"/>
      <c r="AQ1043" s="57"/>
      <c r="AR1043" s="36"/>
      <c r="AS1043" s="57"/>
      <c r="AT1043" s="37"/>
      <c r="AU1043" s="30"/>
      <c r="AV1043" s="30"/>
      <c r="AW1043" s="30"/>
      <c r="AX1043" s="30"/>
      <c r="AY1043" s="30"/>
      <c r="AZ1043" s="30"/>
    </row>
    <row r="1044">
      <c r="A1044" s="30"/>
      <c r="B1044" s="30"/>
      <c r="C1044" s="30"/>
      <c r="D1044" s="31"/>
      <c r="E1044" s="31"/>
      <c r="F1044" s="31"/>
      <c r="G1044" s="31"/>
      <c r="H1044" s="31"/>
      <c r="I1044" s="54"/>
      <c r="J1044" s="55"/>
      <c r="K1044" s="54"/>
      <c r="L1044" s="56"/>
      <c r="M1044" s="56"/>
      <c r="N1044" s="31"/>
      <c r="O1044" s="57"/>
      <c r="P1044" s="57"/>
      <c r="Q1044" s="57"/>
      <c r="R1044" s="57"/>
      <c r="S1044" s="31"/>
      <c r="T1044" s="57"/>
      <c r="U1044" s="57"/>
      <c r="V1044" s="57"/>
      <c r="W1044" s="57"/>
      <c r="X1044" s="31"/>
      <c r="Y1044" s="57"/>
      <c r="Z1044" s="57"/>
      <c r="AA1044" s="57"/>
      <c r="AB1044" s="57"/>
      <c r="AC1044" s="31"/>
      <c r="AD1044" s="57"/>
      <c r="AE1044" s="57"/>
      <c r="AF1044" s="57"/>
      <c r="AG1044" s="57"/>
      <c r="AH1044" s="57"/>
      <c r="AI1044" s="57"/>
      <c r="AJ1044" s="57"/>
      <c r="AK1044" s="57"/>
      <c r="AL1044" s="57"/>
      <c r="AM1044" s="57"/>
      <c r="AN1044" s="57"/>
      <c r="AO1044" s="57"/>
      <c r="AP1044" s="35"/>
      <c r="AQ1044" s="57"/>
      <c r="AR1044" s="36"/>
      <c r="AS1044" s="57"/>
      <c r="AT1044" s="37"/>
      <c r="AU1044" s="30"/>
      <c r="AV1044" s="30"/>
      <c r="AW1044" s="30"/>
      <c r="AX1044" s="30"/>
      <c r="AY1044" s="30"/>
      <c r="AZ1044" s="30"/>
    </row>
    <row r="1045">
      <c r="A1045" s="30"/>
      <c r="B1045" s="30"/>
      <c r="C1045" s="30"/>
      <c r="D1045" s="31"/>
      <c r="E1045" s="31"/>
      <c r="F1045" s="31"/>
      <c r="G1045" s="31"/>
      <c r="H1045" s="31"/>
      <c r="I1045" s="54"/>
      <c r="J1045" s="55"/>
      <c r="K1045" s="54"/>
      <c r="L1045" s="56"/>
      <c r="M1045" s="56"/>
      <c r="N1045" s="31"/>
      <c r="O1045" s="57"/>
      <c r="P1045" s="57"/>
      <c r="Q1045" s="57"/>
      <c r="R1045" s="57"/>
      <c r="S1045" s="31"/>
      <c r="T1045" s="57"/>
      <c r="U1045" s="57"/>
      <c r="V1045" s="57"/>
      <c r="W1045" s="57"/>
      <c r="X1045" s="31"/>
      <c r="Y1045" s="57"/>
      <c r="Z1045" s="57"/>
      <c r="AA1045" s="57"/>
      <c r="AB1045" s="57"/>
      <c r="AC1045" s="31"/>
      <c r="AD1045" s="57"/>
      <c r="AE1045" s="57"/>
      <c r="AF1045" s="57"/>
      <c r="AG1045" s="57"/>
      <c r="AH1045" s="57"/>
      <c r="AI1045" s="57"/>
      <c r="AJ1045" s="57"/>
      <c r="AK1045" s="57"/>
      <c r="AL1045" s="57"/>
      <c r="AM1045" s="57"/>
      <c r="AN1045" s="57"/>
      <c r="AO1045" s="57"/>
      <c r="AP1045" s="35"/>
      <c r="AQ1045" s="57"/>
      <c r="AR1045" s="36"/>
      <c r="AS1045" s="57"/>
      <c r="AT1045" s="37"/>
      <c r="AU1045" s="30"/>
      <c r="AV1045" s="30"/>
      <c r="AW1045" s="30"/>
      <c r="AX1045" s="30"/>
      <c r="AY1045" s="30"/>
      <c r="AZ1045" s="30"/>
    </row>
    <row r="1046">
      <c r="A1046" s="30"/>
      <c r="B1046" s="30"/>
      <c r="C1046" s="30"/>
      <c r="D1046" s="31"/>
      <c r="E1046" s="31"/>
      <c r="F1046" s="31"/>
      <c r="G1046" s="31"/>
      <c r="H1046" s="31"/>
      <c r="I1046" s="54"/>
      <c r="J1046" s="55"/>
      <c r="K1046" s="54"/>
      <c r="L1046" s="56"/>
      <c r="M1046" s="56"/>
      <c r="N1046" s="31"/>
      <c r="O1046" s="57"/>
      <c r="P1046" s="57"/>
      <c r="Q1046" s="57"/>
      <c r="R1046" s="57"/>
      <c r="S1046" s="31"/>
      <c r="T1046" s="57"/>
      <c r="U1046" s="57"/>
      <c r="V1046" s="57"/>
      <c r="W1046" s="57"/>
      <c r="X1046" s="31"/>
      <c r="Y1046" s="57"/>
      <c r="Z1046" s="57"/>
      <c r="AA1046" s="57"/>
      <c r="AB1046" s="57"/>
      <c r="AC1046" s="31"/>
      <c r="AD1046" s="57"/>
      <c r="AE1046" s="57"/>
      <c r="AF1046" s="57"/>
      <c r="AG1046" s="57"/>
      <c r="AH1046" s="57"/>
      <c r="AI1046" s="57"/>
      <c r="AJ1046" s="57"/>
      <c r="AK1046" s="57"/>
      <c r="AL1046" s="57"/>
      <c r="AM1046" s="57"/>
      <c r="AN1046" s="57"/>
      <c r="AO1046" s="57"/>
      <c r="AP1046" s="35"/>
      <c r="AQ1046" s="57"/>
      <c r="AR1046" s="36"/>
      <c r="AS1046" s="57"/>
      <c r="AT1046" s="37"/>
      <c r="AU1046" s="30"/>
      <c r="AV1046" s="30"/>
      <c r="AW1046" s="30"/>
      <c r="AX1046" s="30"/>
      <c r="AY1046" s="30"/>
      <c r="AZ1046" s="30"/>
    </row>
    <row r="1047">
      <c r="A1047" s="30"/>
      <c r="B1047" s="30"/>
      <c r="C1047" s="30"/>
      <c r="D1047" s="31"/>
      <c r="E1047" s="31"/>
      <c r="F1047" s="31"/>
      <c r="G1047" s="31"/>
      <c r="H1047" s="31"/>
      <c r="I1047" s="54"/>
      <c r="J1047" s="55"/>
      <c r="K1047" s="54"/>
      <c r="L1047" s="56"/>
      <c r="M1047" s="56"/>
      <c r="N1047" s="31"/>
      <c r="O1047" s="57"/>
      <c r="P1047" s="57"/>
      <c r="Q1047" s="57"/>
      <c r="R1047" s="57"/>
      <c r="S1047" s="31"/>
      <c r="T1047" s="57"/>
      <c r="U1047" s="57"/>
      <c r="V1047" s="57"/>
      <c r="W1047" s="57"/>
      <c r="X1047" s="31"/>
      <c r="Y1047" s="57"/>
      <c r="Z1047" s="57"/>
      <c r="AA1047" s="57"/>
      <c r="AB1047" s="57"/>
      <c r="AC1047" s="31"/>
      <c r="AD1047" s="57"/>
      <c r="AE1047" s="57"/>
      <c r="AF1047" s="57"/>
      <c r="AG1047" s="57"/>
      <c r="AH1047" s="57"/>
      <c r="AI1047" s="57"/>
      <c r="AJ1047" s="57"/>
      <c r="AK1047" s="57"/>
      <c r="AL1047" s="57"/>
      <c r="AM1047" s="57"/>
      <c r="AN1047" s="57"/>
      <c r="AO1047" s="57"/>
      <c r="AP1047" s="35"/>
      <c r="AQ1047" s="57"/>
      <c r="AR1047" s="36"/>
      <c r="AS1047" s="57"/>
      <c r="AT1047" s="37"/>
      <c r="AU1047" s="30"/>
      <c r="AV1047" s="30"/>
      <c r="AW1047" s="30"/>
      <c r="AX1047" s="30"/>
      <c r="AY1047" s="30"/>
      <c r="AZ1047" s="30"/>
    </row>
    <row r="1048">
      <c r="A1048" s="30"/>
      <c r="B1048" s="30"/>
      <c r="C1048" s="30"/>
      <c r="D1048" s="31"/>
      <c r="E1048" s="31"/>
      <c r="F1048" s="31"/>
      <c r="G1048" s="31"/>
      <c r="H1048" s="31"/>
      <c r="I1048" s="54"/>
      <c r="J1048" s="55"/>
      <c r="K1048" s="54"/>
      <c r="L1048" s="56"/>
      <c r="M1048" s="56"/>
      <c r="N1048" s="31"/>
      <c r="O1048" s="57"/>
      <c r="P1048" s="57"/>
      <c r="Q1048" s="57"/>
      <c r="R1048" s="57"/>
      <c r="S1048" s="31"/>
      <c r="T1048" s="57"/>
      <c r="U1048" s="57"/>
      <c r="V1048" s="57"/>
      <c r="W1048" s="57"/>
      <c r="X1048" s="31"/>
      <c r="Y1048" s="57"/>
      <c r="Z1048" s="57"/>
      <c r="AA1048" s="57"/>
      <c r="AB1048" s="57"/>
      <c r="AC1048" s="31"/>
      <c r="AD1048" s="57"/>
      <c r="AE1048" s="57"/>
      <c r="AF1048" s="57"/>
      <c r="AG1048" s="57"/>
      <c r="AH1048" s="57"/>
      <c r="AI1048" s="57"/>
      <c r="AJ1048" s="57"/>
      <c r="AK1048" s="57"/>
      <c r="AL1048" s="57"/>
      <c r="AM1048" s="57"/>
      <c r="AN1048" s="57"/>
      <c r="AO1048" s="57"/>
      <c r="AP1048" s="35"/>
      <c r="AQ1048" s="57"/>
      <c r="AR1048" s="36"/>
      <c r="AS1048" s="57"/>
      <c r="AT1048" s="37"/>
      <c r="AU1048" s="30"/>
      <c r="AV1048" s="30"/>
      <c r="AW1048" s="30"/>
      <c r="AX1048" s="30"/>
      <c r="AY1048" s="30"/>
      <c r="AZ1048" s="30"/>
    </row>
    <row r="1049">
      <c r="A1049" s="30"/>
      <c r="B1049" s="30"/>
      <c r="C1049" s="30"/>
      <c r="D1049" s="31"/>
      <c r="E1049" s="31"/>
      <c r="F1049" s="31"/>
      <c r="G1049" s="31"/>
      <c r="H1049" s="31"/>
      <c r="I1049" s="54"/>
      <c r="J1049" s="55"/>
      <c r="K1049" s="54"/>
      <c r="L1049" s="56"/>
      <c r="M1049" s="56"/>
      <c r="N1049" s="31"/>
      <c r="O1049" s="57"/>
      <c r="P1049" s="57"/>
      <c r="Q1049" s="57"/>
      <c r="R1049" s="57"/>
      <c r="S1049" s="31"/>
      <c r="T1049" s="57"/>
      <c r="U1049" s="57"/>
      <c r="V1049" s="57"/>
      <c r="W1049" s="57"/>
      <c r="X1049" s="31"/>
      <c r="Y1049" s="57"/>
      <c r="Z1049" s="57"/>
      <c r="AA1049" s="57"/>
      <c r="AB1049" s="57"/>
      <c r="AC1049" s="31"/>
      <c r="AD1049" s="57"/>
      <c r="AE1049" s="57"/>
      <c r="AF1049" s="57"/>
      <c r="AG1049" s="57"/>
      <c r="AH1049" s="57"/>
      <c r="AI1049" s="57"/>
      <c r="AJ1049" s="57"/>
      <c r="AK1049" s="57"/>
      <c r="AL1049" s="57"/>
      <c r="AM1049" s="57"/>
      <c r="AN1049" s="57"/>
      <c r="AO1049" s="57"/>
      <c r="AP1049" s="35"/>
      <c r="AQ1049" s="57"/>
      <c r="AR1049" s="36"/>
      <c r="AS1049" s="57"/>
      <c r="AT1049" s="37"/>
      <c r="AU1049" s="30"/>
      <c r="AV1049" s="30"/>
      <c r="AW1049" s="30"/>
      <c r="AX1049" s="30"/>
      <c r="AY1049" s="30"/>
      <c r="AZ1049" s="30"/>
    </row>
    <row r="1050">
      <c r="A1050" s="30"/>
      <c r="B1050" s="30"/>
      <c r="C1050" s="30"/>
      <c r="D1050" s="31"/>
      <c r="E1050" s="31"/>
      <c r="F1050" s="31"/>
      <c r="G1050" s="31"/>
      <c r="H1050" s="31"/>
      <c r="I1050" s="54"/>
      <c r="J1050" s="55"/>
      <c r="K1050" s="54"/>
      <c r="L1050" s="56"/>
      <c r="M1050" s="56"/>
      <c r="N1050" s="31"/>
      <c r="O1050" s="57"/>
      <c r="P1050" s="57"/>
      <c r="Q1050" s="57"/>
      <c r="R1050" s="57"/>
      <c r="S1050" s="31"/>
      <c r="T1050" s="57"/>
      <c r="U1050" s="57"/>
      <c r="V1050" s="57"/>
      <c r="W1050" s="57"/>
      <c r="X1050" s="31"/>
      <c r="Y1050" s="57"/>
      <c r="Z1050" s="57"/>
      <c r="AA1050" s="57"/>
      <c r="AB1050" s="57"/>
      <c r="AC1050" s="31"/>
      <c r="AD1050" s="57"/>
      <c r="AE1050" s="57"/>
      <c r="AF1050" s="57"/>
      <c r="AG1050" s="57"/>
      <c r="AH1050" s="57"/>
      <c r="AI1050" s="57"/>
      <c r="AJ1050" s="57"/>
      <c r="AK1050" s="57"/>
      <c r="AL1050" s="57"/>
      <c r="AM1050" s="57"/>
      <c r="AN1050" s="57"/>
      <c r="AO1050" s="57"/>
      <c r="AP1050" s="35"/>
      <c r="AQ1050" s="57"/>
      <c r="AR1050" s="36"/>
      <c r="AS1050" s="57"/>
      <c r="AT1050" s="37"/>
      <c r="AU1050" s="30"/>
      <c r="AV1050" s="30"/>
      <c r="AW1050" s="30"/>
      <c r="AX1050" s="30"/>
      <c r="AY1050" s="30"/>
      <c r="AZ1050" s="30"/>
    </row>
    <row r="1051">
      <c r="A1051" s="30"/>
      <c r="B1051" s="30"/>
      <c r="C1051" s="30"/>
      <c r="D1051" s="31"/>
      <c r="E1051" s="31"/>
      <c r="F1051" s="31"/>
      <c r="G1051" s="31"/>
      <c r="H1051" s="31"/>
      <c r="I1051" s="54"/>
      <c r="J1051" s="55"/>
      <c r="K1051" s="54"/>
      <c r="L1051" s="56"/>
      <c r="M1051" s="56"/>
      <c r="N1051" s="31"/>
      <c r="O1051" s="57"/>
      <c r="P1051" s="57"/>
      <c r="Q1051" s="57"/>
      <c r="R1051" s="57"/>
      <c r="S1051" s="31"/>
      <c r="T1051" s="57"/>
      <c r="U1051" s="57"/>
      <c r="V1051" s="57"/>
      <c r="W1051" s="57"/>
      <c r="X1051" s="31"/>
      <c r="Y1051" s="57"/>
      <c r="Z1051" s="57"/>
      <c r="AA1051" s="57"/>
      <c r="AB1051" s="57"/>
      <c r="AC1051" s="31"/>
      <c r="AD1051" s="57"/>
      <c r="AE1051" s="57"/>
      <c r="AF1051" s="57"/>
      <c r="AG1051" s="57"/>
      <c r="AH1051" s="57"/>
      <c r="AI1051" s="57"/>
      <c r="AJ1051" s="57"/>
      <c r="AK1051" s="57"/>
      <c r="AL1051" s="57"/>
      <c r="AM1051" s="57"/>
      <c r="AN1051" s="57"/>
      <c r="AO1051" s="57"/>
      <c r="AP1051" s="35"/>
      <c r="AQ1051" s="57"/>
      <c r="AR1051" s="36"/>
      <c r="AS1051" s="57"/>
      <c r="AT1051" s="37"/>
      <c r="AU1051" s="30"/>
      <c r="AV1051" s="30"/>
      <c r="AW1051" s="30"/>
      <c r="AX1051" s="30"/>
      <c r="AY1051" s="30"/>
      <c r="AZ1051" s="30"/>
    </row>
    <row r="1052">
      <c r="A1052" s="30"/>
      <c r="B1052" s="30"/>
      <c r="C1052" s="30"/>
      <c r="D1052" s="31"/>
      <c r="E1052" s="31"/>
      <c r="F1052" s="31"/>
      <c r="G1052" s="31"/>
      <c r="H1052" s="31"/>
      <c r="I1052" s="54"/>
      <c r="J1052" s="55"/>
      <c r="K1052" s="54"/>
      <c r="L1052" s="56"/>
      <c r="M1052" s="56"/>
      <c r="N1052" s="31"/>
      <c r="O1052" s="57"/>
      <c r="P1052" s="57"/>
      <c r="Q1052" s="57"/>
      <c r="R1052" s="57"/>
      <c r="S1052" s="31"/>
      <c r="T1052" s="57"/>
      <c r="U1052" s="57"/>
      <c r="V1052" s="57"/>
      <c r="W1052" s="57"/>
      <c r="X1052" s="31"/>
      <c r="Y1052" s="57"/>
      <c r="Z1052" s="57"/>
      <c r="AA1052" s="57"/>
      <c r="AB1052" s="57"/>
      <c r="AC1052" s="31"/>
      <c r="AD1052" s="57"/>
      <c r="AE1052" s="57"/>
      <c r="AF1052" s="57"/>
      <c r="AG1052" s="57"/>
      <c r="AH1052" s="57"/>
      <c r="AI1052" s="57"/>
      <c r="AJ1052" s="57"/>
      <c r="AK1052" s="57"/>
      <c r="AL1052" s="57"/>
      <c r="AM1052" s="57"/>
      <c r="AN1052" s="57"/>
      <c r="AO1052" s="57"/>
      <c r="AP1052" s="35"/>
      <c r="AQ1052" s="57"/>
      <c r="AR1052" s="36"/>
      <c r="AS1052" s="57"/>
      <c r="AT1052" s="37"/>
      <c r="AU1052" s="30"/>
      <c r="AV1052" s="30"/>
      <c r="AW1052" s="30"/>
      <c r="AX1052" s="30"/>
      <c r="AY1052" s="30"/>
      <c r="AZ1052" s="30"/>
    </row>
    <row r="1053">
      <c r="A1053" s="30"/>
      <c r="B1053" s="30"/>
      <c r="C1053" s="30"/>
      <c r="D1053" s="31"/>
      <c r="E1053" s="31"/>
      <c r="F1053" s="31"/>
      <c r="G1053" s="31"/>
      <c r="H1053" s="31"/>
      <c r="I1053" s="54"/>
      <c r="J1053" s="55"/>
      <c r="K1053" s="54"/>
      <c r="L1053" s="56"/>
      <c r="M1053" s="56"/>
      <c r="N1053" s="31"/>
      <c r="O1053" s="57"/>
      <c r="P1053" s="57"/>
      <c r="Q1053" s="57"/>
      <c r="R1053" s="57"/>
      <c r="S1053" s="31"/>
      <c r="T1053" s="57"/>
      <c r="U1053" s="57"/>
      <c r="V1053" s="57"/>
      <c r="W1053" s="57"/>
      <c r="X1053" s="31"/>
      <c r="Y1053" s="57"/>
      <c r="Z1053" s="57"/>
      <c r="AA1053" s="57"/>
      <c r="AB1053" s="57"/>
      <c r="AC1053" s="31"/>
      <c r="AD1053" s="57"/>
      <c r="AE1053" s="57"/>
      <c r="AF1053" s="57"/>
      <c r="AG1053" s="57"/>
      <c r="AH1053" s="57"/>
      <c r="AI1053" s="57"/>
      <c r="AJ1053" s="57"/>
      <c r="AK1053" s="57"/>
      <c r="AL1053" s="57"/>
      <c r="AM1053" s="57"/>
      <c r="AN1053" s="57"/>
      <c r="AO1053" s="57"/>
      <c r="AP1053" s="35"/>
      <c r="AQ1053" s="57"/>
      <c r="AR1053" s="36"/>
      <c r="AS1053" s="57"/>
      <c r="AT1053" s="37"/>
      <c r="AU1053" s="30"/>
      <c r="AV1053" s="30"/>
      <c r="AW1053" s="30"/>
      <c r="AX1053" s="30"/>
      <c r="AY1053" s="30"/>
      <c r="AZ1053" s="30"/>
    </row>
    <row r="1054">
      <c r="A1054" s="30"/>
      <c r="B1054" s="30"/>
      <c r="C1054" s="30"/>
      <c r="D1054" s="31"/>
      <c r="E1054" s="31"/>
      <c r="F1054" s="31"/>
      <c r="G1054" s="31"/>
      <c r="H1054" s="31"/>
      <c r="I1054" s="54"/>
      <c r="J1054" s="55"/>
      <c r="K1054" s="54"/>
      <c r="L1054" s="56"/>
      <c r="M1054" s="56"/>
      <c r="N1054" s="31"/>
      <c r="O1054" s="57"/>
      <c r="P1054" s="57"/>
      <c r="Q1054" s="57"/>
      <c r="R1054" s="57"/>
      <c r="S1054" s="31"/>
      <c r="T1054" s="57"/>
      <c r="U1054" s="57"/>
      <c r="V1054" s="57"/>
      <c r="W1054" s="57"/>
      <c r="X1054" s="31"/>
      <c r="Y1054" s="57"/>
      <c r="Z1054" s="57"/>
      <c r="AA1054" s="57"/>
      <c r="AB1054" s="57"/>
      <c r="AC1054" s="31"/>
      <c r="AD1054" s="57"/>
      <c r="AE1054" s="57"/>
      <c r="AF1054" s="57"/>
      <c r="AG1054" s="57"/>
      <c r="AH1054" s="57"/>
      <c r="AI1054" s="57"/>
      <c r="AJ1054" s="57"/>
      <c r="AK1054" s="57"/>
      <c r="AL1054" s="57"/>
      <c r="AM1054" s="57"/>
      <c r="AN1054" s="57"/>
      <c r="AO1054" s="57"/>
      <c r="AP1054" s="35"/>
      <c r="AQ1054" s="57"/>
      <c r="AR1054" s="36"/>
      <c r="AS1054" s="57"/>
      <c r="AT1054" s="37"/>
      <c r="AU1054" s="30"/>
      <c r="AV1054" s="30"/>
      <c r="AW1054" s="30"/>
      <c r="AX1054" s="30"/>
      <c r="AY1054" s="30"/>
      <c r="AZ1054" s="30"/>
    </row>
    <row r="1055">
      <c r="A1055" s="30"/>
      <c r="B1055" s="30"/>
      <c r="C1055" s="30"/>
      <c r="D1055" s="31"/>
      <c r="E1055" s="31"/>
      <c r="F1055" s="31"/>
      <c r="G1055" s="31"/>
      <c r="H1055" s="31"/>
      <c r="I1055" s="54"/>
      <c r="J1055" s="55"/>
      <c r="K1055" s="54"/>
      <c r="L1055" s="56"/>
      <c r="M1055" s="56"/>
      <c r="N1055" s="31"/>
      <c r="O1055" s="57"/>
      <c r="P1055" s="57"/>
      <c r="Q1055" s="57"/>
      <c r="R1055" s="57"/>
      <c r="S1055" s="31"/>
      <c r="T1055" s="57"/>
      <c r="U1055" s="57"/>
      <c r="V1055" s="57"/>
      <c r="W1055" s="57"/>
      <c r="X1055" s="31"/>
      <c r="Y1055" s="57"/>
      <c r="Z1055" s="57"/>
      <c r="AA1055" s="57"/>
      <c r="AB1055" s="57"/>
      <c r="AC1055" s="31"/>
      <c r="AD1055" s="57"/>
      <c r="AE1055" s="57"/>
      <c r="AF1055" s="57"/>
      <c r="AG1055" s="57"/>
      <c r="AH1055" s="57"/>
      <c r="AI1055" s="57"/>
      <c r="AJ1055" s="57"/>
      <c r="AK1055" s="57"/>
      <c r="AL1055" s="57"/>
      <c r="AM1055" s="57"/>
      <c r="AN1055" s="57"/>
      <c r="AO1055" s="57"/>
      <c r="AP1055" s="35"/>
      <c r="AQ1055" s="57"/>
      <c r="AR1055" s="36"/>
      <c r="AS1055" s="57"/>
      <c r="AT1055" s="37"/>
      <c r="AU1055" s="30"/>
      <c r="AV1055" s="30"/>
      <c r="AW1055" s="30"/>
      <c r="AX1055" s="30"/>
      <c r="AY1055" s="30"/>
      <c r="AZ1055" s="30"/>
    </row>
    <row r="1056">
      <c r="A1056" s="30"/>
      <c r="B1056" s="30"/>
      <c r="C1056" s="30"/>
      <c r="D1056" s="31"/>
      <c r="E1056" s="31"/>
      <c r="F1056" s="31"/>
      <c r="G1056" s="31"/>
      <c r="H1056" s="31"/>
      <c r="I1056" s="54"/>
      <c r="J1056" s="55"/>
      <c r="K1056" s="54"/>
      <c r="L1056" s="56"/>
      <c r="M1056" s="56"/>
      <c r="N1056" s="31"/>
      <c r="O1056" s="57"/>
      <c r="P1056" s="57"/>
      <c r="Q1056" s="57"/>
      <c r="R1056" s="57"/>
      <c r="S1056" s="31"/>
      <c r="T1056" s="57"/>
      <c r="U1056" s="57"/>
      <c r="V1056" s="57"/>
      <c r="W1056" s="57"/>
      <c r="X1056" s="31"/>
      <c r="Y1056" s="57"/>
      <c r="Z1056" s="57"/>
      <c r="AA1056" s="57"/>
      <c r="AB1056" s="57"/>
      <c r="AC1056" s="31"/>
      <c r="AD1056" s="57"/>
      <c r="AE1056" s="57"/>
      <c r="AF1056" s="57"/>
      <c r="AG1056" s="57"/>
      <c r="AH1056" s="57"/>
      <c r="AI1056" s="57"/>
      <c r="AJ1056" s="57"/>
      <c r="AK1056" s="57"/>
      <c r="AL1056" s="57"/>
      <c r="AM1056" s="57"/>
      <c r="AN1056" s="57"/>
      <c r="AO1056" s="57"/>
      <c r="AP1056" s="35"/>
      <c r="AQ1056" s="57"/>
      <c r="AR1056" s="36"/>
      <c r="AS1056" s="57"/>
      <c r="AT1056" s="37"/>
      <c r="AU1056" s="30"/>
      <c r="AV1056" s="30"/>
      <c r="AW1056" s="30"/>
      <c r="AX1056" s="30"/>
      <c r="AY1056" s="30"/>
      <c r="AZ1056" s="30"/>
    </row>
    <row r="1057">
      <c r="A1057" s="30"/>
      <c r="B1057" s="30"/>
      <c r="C1057" s="30"/>
      <c r="D1057" s="31"/>
      <c r="E1057" s="31"/>
      <c r="F1057" s="31"/>
      <c r="G1057" s="31"/>
      <c r="H1057" s="31"/>
      <c r="I1057" s="54"/>
      <c r="J1057" s="55"/>
      <c r="K1057" s="54"/>
      <c r="L1057" s="56"/>
      <c r="M1057" s="56"/>
      <c r="N1057" s="31"/>
      <c r="O1057" s="57"/>
      <c r="P1057" s="57"/>
      <c r="Q1057" s="57"/>
      <c r="R1057" s="57"/>
      <c r="S1057" s="31"/>
      <c r="T1057" s="57"/>
      <c r="U1057" s="57"/>
      <c r="V1057" s="57"/>
      <c r="W1057" s="57"/>
      <c r="X1057" s="31"/>
      <c r="Y1057" s="57"/>
      <c r="Z1057" s="57"/>
      <c r="AA1057" s="57"/>
      <c r="AB1057" s="57"/>
      <c r="AC1057" s="31"/>
      <c r="AD1057" s="57"/>
      <c r="AE1057" s="57"/>
      <c r="AF1057" s="57"/>
      <c r="AG1057" s="57"/>
      <c r="AH1057" s="57"/>
      <c r="AI1057" s="57"/>
      <c r="AJ1057" s="57"/>
      <c r="AK1057" s="57"/>
      <c r="AL1057" s="57"/>
      <c r="AM1057" s="57"/>
      <c r="AN1057" s="57"/>
      <c r="AO1057" s="57"/>
      <c r="AP1057" s="35"/>
      <c r="AQ1057" s="57"/>
      <c r="AR1057" s="36"/>
      <c r="AS1057" s="57"/>
      <c r="AT1057" s="37"/>
      <c r="AU1057" s="30"/>
      <c r="AV1057" s="30"/>
      <c r="AW1057" s="30"/>
      <c r="AX1057" s="30"/>
      <c r="AY1057" s="30"/>
      <c r="AZ1057" s="30"/>
    </row>
    <row r="1058">
      <c r="A1058" s="30"/>
      <c r="B1058" s="30"/>
      <c r="C1058" s="30"/>
      <c r="D1058" s="31"/>
      <c r="E1058" s="31"/>
      <c r="F1058" s="31"/>
      <c r="G1058" s="31"/>
      <c r="H1058" s="31"/>
      <c r="I1058" s="54"/>
      <c r="J1058" s="55"/>
      <c r="K1058" s="54"/>
      <c r="L1058" s="56"/>
      <c r="M1058" s="56"/>
      <c r="N1058" s="31"/>
      <c r="O1058" s="57"/>
      <c r="P1058" s="57"/>
      <c r="Q1058" s="57"/>
      <c r="R1058" s="57"/>
      <c r="S1058" s="31"/>
      <c r="T1058" s="57"/>
      <c r="U1058" s="57"/>
      <c r="V1058" s="57"/>
      <c r="W1058" s="57"/>
      <c r="X1058" s="31"/>
      <c r="Y1058" s="57"/>
      <c r="Z1058" s="57"/>
      <c r="AA1058" s="57"/>
      <c r="AB1058" s="57"/>
      <c r="AC1058" s="31"/>
      <c r="AD1058" s="57"/>
      <c r="AE1058" s="57"/>
      <c r="AF1058" s="57"/>
      <c r="AG1058" s="57"/>
      <c r="AH1058" s="57"/>
      <c r="AI1058" s="57"/>
      <c r="AJ1058" s="57"/>
      <c r="AK1058" s="57"/>
      <c r="AL1058" s="57"/>
      <c r="AM1058" s="57"/>
      <c r="AN1058" s="57"/>
      <c r="AO1058" s="57"/>
      <c r="AP1058" s="35"/>
      <c r="AQ1058" s="57"/>
      <c r="AR1058" s="36"/>
      <c r="AS1058" s="57"/>
      <c r="AT1058" s="37"/>
      <c r="AU1058" s="30"/>
      <c r="AV1058" s="30"/>
      <c r="AW1058" s="30"/>
      <c r="AX1058" s="30"/>
      <c r="AY1058" s="30"/>
      <c r="AZ1058" s="30"/>
    </row>
    <row r="1059">
      <c r="A1059" s="30"/>
      <c r="B1059" s="30"/>
      <c r="C1059" s="30"/>
      <c r="D1059" s="31"/>
      <c r="E1059" s="31"/>
      <c r="F1059" s="31"/>
      <c r="G1059" s="31"/>
      <c r="H1059" s="31"/>
      <c r="I1059" s="54"/>
      <c r="J1059" s="55"/>
      <c r="K1059" s="54"/>
      <c r="L1059" s="56"/>
      <c r="M1059" s="56"/>
      <c r="N1059" s="31"/>
      <c r="O1059" s="57"/>
      <c r="P1059" s="57"/>
      <c r="Q1059" s="57"/>
      <c r="R1059" s="57"/>
      <c r="S1059" s="31"/>
      <c r="T1059" s="57"/>
      <c r="U1059" s="57"/>
      <c r="V1059" s="57"/>
      <c r="W1059" s="57"/>
      <c r="X1059" s="31"/>
      <c r="Y1059" s="57"/>
      <c r="Z1059" s="57"/>
      <c r="AA1059" s="57"/>
      <c r="AB1059" s="57"/>
      <c r="AC1059" s="31"/>
      <c r="AD1059" s="57"/>
      <c r="AE1059" s="57"/>
      <c r="AF1059" s="57"/>
      <c r="AG1059" s="57"/>
      <c r="AH1059" s="57"/>
      <c r="AI1059" s="57"/>
      <c r="AJ1059" s="57"/>
      <c r="AK1059" s="57"/>
      <c r="AL1059" s="57"/>
      <c r="AM1059" s="57"/>
      <c r="AN1059" s="57"/>
      <c r="AO1059" s="57"/>
      <c r="AP1059" s="35"/>
      <c r="AQ1059" s="57"/>
      <c r="AR1059" s="36"/>
      <c r="AS1059" s="57"/>
      <c r="AT1059" s="37"/>
      <c r="AU1059" s="30"/>
      <c r="AV1059" s="30"/>
      <c r="AW1059" s="30"/>
      <c r="AX1059" s="30"/>
      <c r="AY1059" s="30"/>
      <c r="AZ1059" s="30"/>
    </row>
    <row r="1060">
      <c r="A1060" s="30"/>
      <c r="B1060" s="30"/>
      <c r="C1060" s="30"/>
      <c r="D1060" s="31"/>
      <c r="E1060" s="31"/>
      <c r="F1060" s="31"/>
      <c r="G1060" s="31"/>
      <c r="H1060" s="31"/>
      <c r="I1060" s="54"/>
      <c r="J1060" s="55"/>
      <c r="K1060" s="54"/>
      <c r="L1060" s="56"/>
      <c r="M1060" s="56"/>
      <c r="N1060" s="31"/>
      <c r="O1060" s="57"/>
      <c r="P1060" s="57"/>
      <c r="Q1060" s="57"/>
      <c r="R1060" s="57"/>
      <c r="S1060" s="31"/>
      <c r="T1060" s="57"/>
      <c r="U1060" s="57"/>
      <c r="V1060" s="57"/>
      <c r="W1060" s="57"/>
      <c r="X1060" s="31"/>
      <c r="Y1060" s="57"/>
      <c r="Z1060" s="57"/>
      <c r="AA1060" s="57"/>
      <c r="AB1060" s="57"/>
      <c r="AC1060" s="31"/>
      <c r="AD1060" s="57"/>
      <c r="AE1060" s="57"/>
      <c r="AF1060" s="57"/>
      <c r="AG1060" s="57"/>
      <c r="AH1060" s="57"/>
      <c r="AI1060" s="57"/>
      <c r="AJ1060" s="57"/>
      <c r="AK1060" s="57"/>
      <c r="AL1060" s="57"/>
      <c r="AM1060" s="57"/>
      <c r="AN1060" s="57"/>
      <c r="AO1060" s="57"/>
      <c r="AP1060" s="35"/>
      <c r="AQ1060" s="57"/>
      <c r="AR1060" s="36"/>
      <c r="AS1060" s="57"/>
      <c r="AT1060" s="37"/>
      <c r="AU1060" s="30"/>
      <c r="AV1060" s="30"/>
      <c r="AW1060" s="30"/>
      <c r="AX1060" s="30"/>
      <c r="AY1060" s="30"/>
      <c r="AZ1060" s="30"/>
    </row>
    <row r="1061">
      <c r="A1061" s="30"/>
      <c r="B1061" s="30"/>
      <c r="C1061" s="30"/>
      <c r="D1061" s="31"/>
      <c r="E1061" s="31"/>
      <c r="F1061" s="31"/>
      <c r="G1061" s="31"/>
      <c r="H1061" s="31"/>
      <c r="I1061" s="54"/>
      <c r="J1061" s="55"/>
      <c r="K1061" s="54"/>
      <c r="L1061" s="56"/>
      <c r="M1061" s="56"/>
      <c r="N1061" s="31"/>
      <c r="O1061" s="57"/>
      <c r="P1061" s="57"/>
      <c r="Q1061" s="57"/>
      <c r="R1061" s="57"/>
      <c r="S1061" s="31"/>
      <c r="T1061" s="57"/>
      <c r="U1061" s="57"/>
      <c r="V1061" s="57"/>
      <c r="W1061" s="57"/>
      <c r="X1061" s="31"/>
      <c r="Y1061" s="57"/>
      <c r="Z1061" s="57"/>
      <c r="AA1061" s="57"/>
      <c r="AB1061" s="57"/>
      <c r="AC1061" s="31"/>
      <c r="AD1061" s="57"/>
      <c r="AE1061" s="57"/>
      <c r="AF1061" s="57"/>
      <c r="AG1061" s="57"/>
      <c r="AH1061" s="57"/>
      <c r="AI1061" s="57"/>
      <c r="AJ1061" s="57"/>
      <c r="AK1061" s="57"/>
      <c r="AL1061" s="57"/>
      <c r="AM1061" s="57"/>
      <c r="AN1061" s="57"/>
      <c r="AO1061" s="57"/>
      <c r="AP1061" s="35"/>
      <c r="AQ1061" s="57"/>
      <c r="AR1061" s="36"/>
      <c r="AS1061" s="57"/>
      <c r="AT1061" s="37"/>
      <c r="AU1061" s="30"/>
      <c r="AV1061" s="30"/>
      <c r="AW1061" s="30"/>
      <c r="AX1061" s="30"/>
      <c r="AY1061" s="30"/>
      <c r="AZ1061" s="30"/>
    </row>
    <row r="1062">
      <c r="A1062" s="30"/>
      <c r="B1062" s="30"/>
      <c r="C1062" s="30"/>
      <c r="D1062" s="31"/>
      <c r="E1062" s="31"/>
      <c r="F1062" s="31"/>
      <c r="G1062" s="31"/>
      <c r="H1062" s="31"/>
      <c r="I1062" s="54"/>
      <c r="J1062" s="55"/>
      <c r="K1062" s="54"/>
      <c r="L1062" s="56"/>
      <c r="M1062" s="56"/>
      <c r="N1062" s="31"/>
      <c r="O1062" s="57"/>
      <c r="P1062" s="57"/>
      <c r="Q1062" s="57"/>
      <c r="R1062" s="57"/>
      <c r="S1062" s="31"/>
      <c r="T1062" s="57"/>
      <c r="U1062" s="57"/>
      <c r="V1062" s="57"/>
      <c r="W1062" s="57"/>
      <c r="X1062" s="31"/>
      <c r="Y1062" s="57"/>
      <c r="Z1062" s="57"/>
      <c r="AA1062" s="57"/>
      <c r="AB1062" s="57"/>
      <c r="AC1062" s="31"/>
      <c r="AD1062" s="57"/>
      <c r="AE1062" s="57"/>
      <c r="AF1062" s="57"/>
      <c r="AG1062" s="57"/>
      <c r="AH1062" s="57"/>
      <c r="AI1062" s="57"/>
      <c r="AJ1062" s="57"/>
      <c r="AK1062" s="57"/>
      <c r="AL1062" s="57"/>
      <c r="AM1062" s="57"/>
      <c r="AN1062" s="57"/>
      <c r="AO1062" s="57"/>
      <c r="AP1062" s="35"/>
      <c r="AQ1062" s="57"/>
      <c r="AR1062" s="36"/>
      <c r="AS1062" s="57"/>
      <c r="AT1062" s="37"/>
      <c r="AU1062" s="30"/>
      <c r="AV1062" s="30"/>
      <c r="AW1062" s="30"/>
      <c r="AX1062" s="30"/>
      <c r="AY1062" s="30"/>
      <c r="AZ1062" s="30"/>
    </row>
    <row r="1063">
      <c r="A1063" s="30"/>
      <c r="B1063" s="30"/>
      <c r="C1063" s="30"/>
      <c r="D1063" s="31"/>
      <c r="E1063" s="31"/>
      <c r="F1063" s="31"/>
      <c r="G1063" s="31"/>
      <c r="H1063" s="31"/>
      <c r="I1063" s="54"/>
      <c r="J1063" s="55"/>
      <c r="K1063" s="54"/>
      <c r="L1063" s="56"/>
      <c r="M1063" s="56"/>
      <c r="N1063" s="31"/>
      <c r="O1063" s="57"/>
      <c r="P1063" s="57"/>
      <c r="Q1063" s="57"/>
      <c r="R1063" s="57"/>
      <c r="S1063" s="31"/>
      <c r="T1063" s="57"/>
      <c r="U1063" s="57"/>
      <c r="V1063" s="57"/>
      <c r="W1063" s="57"/>
      <c r="X1063" s="31"/>
      <c r="Y1063" s="57"/>
      <c r="Z1063" s="57"/>
      <c r="AA1063" s="57"/>
      <c r="AB1063" s="57"/>
      <c r="AC1063" s="31"/>
      <c r="AD1063" s="57"/>
      <c r="AE1063" s="57"/>
      <c r="AF1063" s="57"/>
      <c r="AG1063" s="57"/>
      <c r="AH1063" s="57"/>
      <c r="AI1063" s="57"/>
      <c r="AJ1063" s="57"/>
      <c r="AK1063" s="57"/>
      <c r="AL1063" s="57"/>
      <c r="AM1063" s="57"/>
      <c r="AN1063" s="57"/>
      <c r="AO1063" s="57"/>
      <c r="AP1063" s="35"/>
      <c r="AQ1063" s="57"/>
      <c r="AR1063" s="36"/>
      <c r="AS1063" s="57"/>
      <c r="AT1063" s="37"/>
      <c r="AU1063" s="30"/>
      <c r="AV1063" s="30"/>
      <c r="AW1063" s="30"/>
      <c r="AX1063" s="30"/>
      <c r="AY1063" s="30"/>
      <c r="AZ1063" s="30"/>
    </row>
    <row r="1064">
      <c r="A1064" s="30"/>
      <c r="B1064" s="30"/>
      <c r="C1064" s="30"/>
      <c r="D1064" s="31"/>
      <c r="E1064" s="31"/>
      <c r="F1064" s="31"/>
      <c r="G1064" s="31"/>
      <c r="H1064" s="31"/>
      <c r="I1064" s="54"/>
      <c r="J1064" s="55"/>
      <c r="K1064" s="54"/>
      <c r="L1064" s="56"/>
      <c r="M1064" s="56"/>
      <c r="N1064" s="31"/>
      <c r="O1064" s="57"/>
      <c r="P1064" s="57"/>
      <c r="Q1064" s="57"/>
      <c r="R1064" s="57"/>
      <c r="S1064" s="31"/>
      <c r="T1064" s="57"/>
      <c r="U1064" s="57"/>
      <c r="V1064" s="57"/>
      <c r="W1064" s="57"/>
      <c r="X1064" s="31"/>
      <c r="Y1064" s="57"/>
      <c r="Z1064" s="57"/>
      <c r="AA1064" s="57"/>
      <c r="AB1064" s="57"/>
      <c r="AC1064" s="31"/>
      <c r="AD1064" s="57"/>
      <c r="AE1064" s="57"/>
      <c r="AF1064" s="57"/>
      <c r="AG1064" s="57"/>
      <c r="AH1064" s="57"/>
      <c r="AI1064" s="57"/>
      <c r="AJ1064" s="57"/>
      <c r="AK1064" s="57"/>
      <c r="AL1064" s="57"/>
      <c r="AM1064" s="57"/>
      <c r="AN1064" s="57"/>
      <c r="AO1064" s="57"/>
      <c r="AP1064" s="35"/>
      <c r="AQ1064" s="57"/>
      <c r="AR1064" s="36"/>
      <c r="AS1064" s="57"/>
      <c r="AT1064" s="37"/>
      <c r="AU1064" s="30"/>
      <c r="AV1064" s="30"/>
      <c r="AW1064" s="30"/>
      <c r="AX1064" s="30"/>
      <c r="AY1064" s="30"/>
      <c r="AZ1064" s="30"/>
    </row>
    <row r="1065">
      <c r="A1065" s="30"/>
      <c r="B1065" s="30"/>
      <c r="C1065" s="30"/>
      <c r="D1065" s="31"/>
      <c r="E1065" s="31"/>
      <c r="F1065" s="31"/>
      <c r="G1065" s="31"/>
      <c r="H1065" s="31"/>
      <c r="I1065" s="54"/>
      <c r="J1065" s="55"/>
      <c r="K1065" s="54"/>
      <c r="L1065" s="56"/>
      <c r="M1065" s="56"/>
      <c r="N1065" s="31"/>
      <c r="O1065" s="57"/>
      <c r="P1065" s="57"/>
      <c r="Q1065" s="57"/>
      <c r="R1065" s="57"/>
      <c r="S1065" s="31"/>
      <c r="T1065" s="57"/>
      <c r="U1065" s="57"/>
      <c r="V1065" s="57"/>
      <c r="W1065" s="57"/>
      <c r="X1065" s="31"/>
      <c r="Y1065" s="57"/>
      <c r="Z1065" s="57"/>
      <c r="AA1065" s="57"/>
      <c r="AB1065" s="57"/>
      <c r="AC1065" s="31"/>
      <c r="AD1065" s="57"/>
      <c r="AE1065" s="57"/>
      <c r="AF1065" s="57"/>
      <c r="AG1065" s="57"/>
      <c r="AH1065" s="57"/>
      <c r="AI1065" s="57"/>
      <c r="AJ1065" s="57"/>
      <c r="AK1065" s="57"/>
      <c r="AL1065" s="57"/>
      <c r="AM1065" s="57"/>
      <c r="AN1065" s="57"/>
      <c r="AO1065" s="57"/>
      <c r="AP1065" s="35"/>
      <c r="AQ1065" s="57"/>
      <c r="AR1065" s="36"/>
      <c r="AS1065" s="57"/>
      <c r="AT1065" s="37"/>
      <c r="AU1065" s="30"/>
      <c r="AV1065" s="30"/>
      <c r="AW1065" s="30"/>
      <c r="AX1065" s="30"/>
      <c r="AY1065" s="30"/>
      <c r="AZ1065" s="30"/>
    </row>
    <row r="1066">
      <c r="A1066" s="30"/>
      <c r="B1066" s="30"/>
      <c r="C1066" s="30"/>
      <c r="D1066" s="31"/>
      <c r="E1066" s="31"/>
      <c r="F1066" s="31"/>
      <c r="G1066" s="31"/>
      <c r="H1066" s="31"/>
      <c r="I1066" s="54"/>
      <c r="J1066" s="55"/>
      <c r="K1066" s="54"/>
      <c r="L1066" s="56"/>
      <c r="M1066" s="56"/>
      <c r="N1066" s="31"/>
      <c r="O1066" s="57"/>
      <c r="P1066" s="57"/>
      <c r="Q1066" s="57"/>
      <c r="R1066" s="57"/>
      <c r="S1066" s="31"/>
      <c r="T1066" s="57"/>
      <c r="U1066" s="57"/>
      <c r="V1066" s="57"/>
      <c r="W1066" s="57"/>
      <c r="X1066" s="31"/>
      <c r="Y1066" s="57"/>
      <c r="Z1066" s="57"/>
      <c r="AA1066" s="57"/>
      <c r="AB1066" s="57"/>
      <c r="AC1066" s="31"/>
      <c r="AD1066" s="57"/>
      <c r="AE1066" s="57"/>
      <c r="AF1066" s="57"/>
      <c r="AG1066" s="57"/>
      <c r="AH1066" s="57"/>
      <c r="AI1066" s="57"/>
      <c r="AJ1066" s="57"/>
      <c r="AK1066" s="57"/>
      <c r="AL1066" s="57"/>
      <c r="AM1066" s="57"/>
      <c r="AN1066" s="57"/>
      <c r="AO1066" s="57"/>
      <c r="AP1066" s="35"/>
      <c r="AQ1066" s="57"/>
      <c r="AR1066" s="36"/>
      <c r="AS1066" s="57"/>
      <c r="AT1066" s="37"/>
      <c r="AU1066" s="30"/>
      <c r="AV1066" s="30"/>
      <c r="AW1066" s="30"/>
      <c r="AX1066" s="30"/>
      <c r="AY1066" s="30"/>
      <c r="AZ1066" s="30"/>
    </row>
    <row r="1067">
      <c r="A1067" s="30"/>
      <c r="B1067" s="30"/>
      <c r="C1067" s="30"/>
      <c r="D1067" s="31"/>
      <c r="E1067" s="31"/>
      <c r="F1067" s="31"/>
      <c r="G1067" s="31"/>
      <c r="H1067" s="31"/>
      <c r="I1067" s="54"/>
      <c r="J1067" s="55"/>
      <c r="K1067" s="54"/>
      <c r="L1067" s="56"/>
      <c r="M1067" s="56"/>
      <c r="N1067" s="31"/>
      <c r="O1067" s="57"/>
      <c r="P1067" s="57"/>
      <c r="Q1067" s="57"/>
      <c r="R1067" s="57"/>
      <c r="S1067" s="31"/>
      <c r="T1067" s="57"/>
      <c r="U1067" s="57"/>
      <c r="V1067" s="57"/>
      <c r="W1067" s="57"/>
      <c r="X1067" s="31"/>
      <c r="Y1067" s="57"/>
      <c r="Z1067" s="57"/>
      <c r="AA1067" s="57"/>
      <c r="AB1067" s="57"/>
      <c r="AC1067" s="31"/>
      <c r="AD1067" s="57"/>
      <c r="AE1067" s="57"/>
      <c r="AF1067" s="57"/>
      <c r="AG1067" s="57"/>
      <c r="AH1067" s="57"/>
      <c r="AI1067" s="57"/>
      <c r="AJ1067" s="57"/>
      <c r="AK1067" s="57"/>
      <c r="AL1067" s="57"/>
      <c r="AM1067" s="57"/>
      <c r="AN1067" s="57"/>
      <c r="AO1067" s="57"/>
      <c r="AP1067" s="35"/>
      <c r="AQ1067" s="57"/>
      <c r="AR1067" s="36"/>
      <c r="AS1067" s="57"/>
      <c r="AT1067" s="37"/>
      <c r="AU1067" s="30"/>
      <c r="AV1067" s="30"/>
      <c r="AW1067" s="30"/>
      <c r="AX1067" s="30"/>
      <c r="AY1067" s="30"/>
      <c r="AZ1067" s="30"/>
    </row>
    <row r="1068">
      <c r="A1068" s="30"/>
      <c r="B1068" s="30"/>
      <c r="C1068" s="30"/>
      <c r="D1068" s="31"/>
      <c r="E1068" s="31"/>
      <c r="F1068" s="31"/>
      <c r="G1068" s="31"/>
      <c r="H1068" s="31"/>
      <c r="I1068" s="54"/>
      <c r="J1068" s="55"/>
      <c r="K1068" s="54"/>
      <c r="L1068" s="56"/>
      <c r="M1068" s="56"/>
      <c r="N1068" s="31"/>
      <c r="O1068" s="57"/>
      <c r="P1068" s="57"/>
      <c r="Q1068" s="57"/>
      <c r="R1068" s="57"/>
      <c r="S1068" s="31"/>
      <c r="T1068" s="57"/>
      <c r="U1068" s="57"/>
      <c r="V1068" s="57"/>
      <c r="W1068" s="57"/>
      <c r="X1068" s="31"/>
      <c r="Y1068" s="57"/>
      <c r="Z1068" s="57"/>
      <c r="AA1068" s="57"/>
      <c r="AB1068" s="57"/>
      <c r="AC1068" s="31"/>
      <c r="AD1068" s="57"/>
      <c r="AE1068" s="57"/>
      <c r="AF1068" s="57"/>
      <c r="AG1068" s="57"/>
      <c r="AH1068" s="57"/>
      <c r="AI1068" s="57"/>
      <c r="AJ1068" s="57"/>
      <c r="AK1068" s="57"/>
      <c r="AL1068" s="57"/>
      <c r="AM1068" s="57"/>
      <c r="AN1068" s="57"/>
      <c r="AO1068" s="57"/>
      <c r="AP1068" s="35"/>
      <c r="AQ1068" s="57"/>
      <c r="AR1068" s="36"/>
      <c r="AS1068" s="57"/>
      <c r="AT1068" s="37"/>
      <c r="AU1068" s="30"/>
      <c r="AV1068" s="30"/>
      <c r="AW1068" s="30"/>
      <c r="AX1068" s="30"/>
      <c r="AY1068" s="30"/>
      <c r="AZ1068" s="30"/>
    </row>
    <row r="1069">
      <c r="A1069" s="30"/>
      <c r="B1069" s="30"/>
      <c r="C1069" s="30"/>
      <c r="D1069" s="31"/>
      <c r="E1069" s="31"/>
      <c r="F1069" s="31"/>
      <c r="G1069" s="31"/>
      <c r="H1069" s="31"/>
      <c r="I1069" s="54"/>
      <c r="J1069" s="55"/>
      <c r="K1069" s="54"/>
      <c r="L1069" s="56"/>
      <c r="M1069" s="56"/>
      <c r="N1069" s="31"/>
      <c r="O1069" s="57"/>
      <c r="P1069" s="57"/>
      <c r="Q1069" s="57"/>
      <c r="R1069" s="57"/>
      <c r="S1069" s="31"/>
      <c r="T1069" s="57"/>
      <c r="U1069" s="57"/>
      <c r="V1069" s="57"/>
      <c r="W1069" s="57"/>
      <c r="X1069" s="31"/>
      <c r="Y1069" s="57"/>
      <c r="Z1069" s="57"/>
      <c r="AA1069" s="57"/>
      <c r="AB1069" s="57"/>
      <c r="AC1069" s="31"/>
      <c r="AD1069" s="57"/>
      <c r="AE1069" s="57"/>
      <c r="AF1069" s="57"/>
      <c r="AG1069" s="57"/>
      <c r="AH1069" s="57"/>
      <c r="AI1069" s="57"/>
      <c r="AJ1069" s="57"/>
      <c r="AK1069" s="57"/>
      <c r="AL1069" s="57"/>
      <c r="AM1069" s="57"/>
      <c r="AN1069" s="57"/>
      <c r="AO1069" s="57"/>
      <c r="AP1069" s="35"/>
      <c r="AQ1069" s="57"/>
      <c r="AR1069" s="36"/>
      <c r="AS1069" s="57"/>
      <c r="AT1069" s="37"/>
      <c r="AU1069" s="30"/>
      <c r="AV1069" s="30"/>
      <c r="AW1069" s="30"/>
      <c r="AX1069" s="30"/>
      <c r="AY1069" s="30"/>
      <c r="AZ1069" s="30"/>
    </row>
    <row r="1070">
      <c r="A1070" s="30"/>
      <c r="B1070" s="30"/>
      <c r="C1070" s="30"/>
      <c r="D1070" s="31"/>
      <c r="E1070" s="31"/>
      <c r="F1070" s="31"/>
      <c r="G1070" s="31"/>
      <c r="H1070" s="31"/>
      <c r="I1070" s="54"/>
      <c r="J1070" s="55"/>
      <c r="K1070" s="54"/>
      <c r="L1070" s="56"/>
      <c r="M1070" s="56"/>
      <c r="N1070" s="31"/>
      <c r="O1070" s="57"/>
      <c r="P1070" s="57"/>
      <c r="Q1070" s="57"/>
      <c r="R1070" s="57"/>
      <c r="S1070" s="31"/>
      <c r="T1070" s="57"/>
      <c r="U1070" s="57"/>
      <c r="V1070" s="57"/>
      <c r="W1070" s="57"/>
      <c r="X1070" s="31"/>
      <c r="Y1070" s="57"/>
      <c r="Z1070" s="57"/>
      <c r="AA1070" s="57"/>
      <c r="AB1070" s="57"/>
      <c r="AC1070" s="31"/>
      <c r="AD1070" s="57"/>
      <c r="AE1070" s="57"/>
      <c r="AF1070" s="57"/>
      <c r="AG1070" s="57"/>
      <c r="AH1070" s="57"/>
      <c r="AI1070" s="57"/>
      <c r="AJ1070" s="57"/>
      <c r="AK1070" s="57"/>
      <c r="AL1070" s="57"/>
      <c r="AM1070" s="57"/>
      <c r="AN1070" s="57"/>
      <c r="AO1070" s="57"/>
      <c r="AP1070" s="35"/>
      <c r="AQ1070" s="57"/>
      <c r="AR1070" s="36"/>
      <c r="AS1070" s="57"/>
      <c r="AT1070" s="37"/>
      <c r="AU1070" s="30"/>
      <c r="AV1070" s="30"/>
      <c r="AW1070" s="30"/>
      <c r="AX1070" s="30"/>
      <c r="AY1070" s="30"/>
      <c r="AZ1070" s="30"/>
    </row>
    <row r="1071">
      <c r="A1071" s="30"/>
      <c r="B1071" s="30"/>
      <c r="C1071" s="30"/>
      <c r="D1071" s="31"/>
      <c r="E1071" s="31"/>
      <c r="F1071" s="31"/>
      <c r="G1071" s="31"/>
      <c r="H1071" s="31"/>
      <c r="I1071" s="54"/>
      <c r="J1071" s="55"/>
      <c r="K1071" s="54"/>
      <c r="L1071" s="56"/>
      <c r="M1071" s="56"/>
      <c r="N1071" s="31"/>
      <c r="O1071" s="57"/>
      <c r="P1071" s="57"/>
      <c r="Q1071" s="57"/>
      <c r="R1071" s="57"/>
      <c r="S1071" s="31"/>
      <c r="T1071" s="57"/>
      <c r="U1071" s="57"/>
      <c r="V1071" s="57"/>
      <c r="W1071" s="57"/>
      <c r="X1071" s="31"/>
      <c r="Y1071" s="57"/>
      <c r="Z1071" s="57"/>
      <c r="AA1071" s="57"/>
      <c r="AB1071" s="57"/>
      <c r="AC1071" s="31"/>
      <c r="AD1071" s="57"/>
      <c r="AE1071" s="57"/>
      <c r="AF1071" s="57"/>
      <c r="AG1071" s="57"/>
      <c r="AH1071" s="57"/>
      <c r="AI1071" s="57"/>
      <c r="AJ1071" s="57"/>
      <c r="AK1071" s="57"/>
      <c r="AL1071" s="57"/>
      <c r="AM1071" s="57"/>
      <c r="AN1071" s="57"/>
      <c r="AO1071" s="57"/>
      <c r="AP1071" s="35"/>
      <c r="AQ1071" s="57"/>
      <c r="AR1071" s="36"/>
      <c r="AS1071" s="57"/>
      <c r="AT1071" s="37"/>
      <c r="AU1071" s="30"/>
      <c r="AV1071" s="30"/>
      <c r="AW1071" s="30"/>
      <c r="AX1071" s="30"/>
      <c r="AY1071" s="30"/>
      <c r="AZ1071" s="30"/>
    </row>
    <row r="1072">
      <c r="A1072" s="30"/>
      <c r="B1072" s="30"/>
      <c r="C1072" s="30"/>
      <c r="D1072" s="31"/>
      <c r="E1072" s="31"/>
      <c r="F1072" s="31"/>
      <c r="G1072" s="31"/>
      <c r="H1072" s="31"/>
      <c r="I1072" s="54"/>
      <c r="J1072" s="55"/>
      <c r="K1072" s="54"/>
      <c r="L1072" s="56"/>
      <c r="M1072" s="56"/>
      <c r="N1072" s="31"/>
      <c r="O1072" s="57"/>
      <c r="P1072" s="57"/>
      <c r="Q1072" s="57"/>
      <c r="R1072" s="57"/>
      <c r="S1072" s="31"/>
      <c r="T1072" s="57"/>
      <c r="U1072" s="57"/>
      <c r="V1072" s="57"/>
      <c r="W1072" s="57"/>
      <c r="X1072" s="31"/>
      <c r="Y1072" s="57"/>
      <c r="Z1072" s="57"/>
      <c r="AA1072" s="57"/>
      <c r="AB1072" s="57"/>
      <c r="AC1072" s="31"/>
      <c r="AD1072" s="57"/>
      <c r="AE1072" s="57"/>
      <c r="AF1072" s="57"/>
      <c r="AG1072" s="57"/>
      <c r="AH1072" s="57"/>
      <c r="AI1072" s="57"/>
      <c r="AJ1072" s="57"/>
      <c r="AK1072" s="57"/>
      <c r="AL1072" s="57"/>
      <c r="AM1072" s="57"/>
      <c r="AN1072" s="57"/>
      <c r="AO1072" s="57"/>
      <c r="AP1072" s="35"/>
      <c r="AQ1072" s="57"/>
      <c r="AR1072" s="36"/>
      <c r="AS1072" s="57"/>
      <c r="AT1072" s="37"/>
      <c r="AU1072" s="30"/>
      <c r="AV1072" s="30"/>
      <c r="AW1072" s="30"/>
      <c r="AX1072" s="30"/>
      <c r="AY1072" s="30"/>
      <c r="AZ1072" s="30"/>
    </row>
    <row r="1073">
      <c r="A1073" s="30"/>
      <c r="B1073" s="30"/>
      <c r="C1073" s="30"/>
      <c r="D1073" s="31"/>
      <c r="E1073" s="31"/>
      <c r="F1073" s="31"/>
      <c r="G1073" s="31"/>
      <c r="H1073" s="31"/>
      <c r="I1073" s="54"/>
      <c r="J1073" s="55"/>
      <c r="K1073" s="54"/>
      <c r="L1073" s="56"/>
      <c r="M1073" s="56"/>
      <c r="N1073" s="31"/>
      <c r="O1073" s="57"/>
      <c r="P1073" s="57"/>
      <c r="Q1073" s="57"/>
      <c r="R1073" s="57"/>
      <c r="S1073" s="31"/>
      <c r="T1073" s="57"/>
      <c r="U1073" s="57"/>
      <c r="V1073" s="57"/>
      <c r="W1073" s="57"/>
      <c r="X1073" s="31"/>
      <c r="Y1073" s="57"/>
      <c r="Z1073" s="57"/>
      <c r="AA1073" s="57"/>
      <c r="AB1073" s="57"/>
      <c r="AC1073" s="31"/>
      <c r="AD1073" s="57"/>
      <c r="AE1073" s="57"/>
      <c r="AF1073" s="57"/>
      <c r="AG1073" s="57"/>
      <c r="AH1073" s="57"/>
      <c r="AI1073" s="57"/>
      <c r="AJ1073" s="57"/>
      <c r="AK1073" s="57"/>
      <c r="AL1073" s="57"/>
      <c r="AM1073" s="57"/>
      <c r="AN1073" s="57"/>
      <c r="AO1073" s="57"/>
      <c r="AP1073" s="35"/>
      <c r="AQ1073" s="57"/>
      <c r="AR1073" s="36"/>
      <c r="AS1073" s="57"/>
      <c r="AT1073" s="37"/>
      <c r="AU1073" s="30"/>
      <c r="AV1073" s="30"/>
      <c r="AW1073" s="30"/>
      <c r="AX1073" s="30"/>
      <c r="AY1073" s="30"/>
      <c r="AZ1073" s="30"/>
    </row>
    <row r="1074">
      <c r="A1074" s="30"/>
      <c r="B1074" s="30"/>
      <c r="C1074" s="30"/>
      <c r="D1074" s="31"/>
      <c r="E1074" s="31"/>
      <c r="F1074" s="31"/>
      <c r="G1074" s="31"/>
      <c r="H1074" s="31"/>
      <c r="I1074" s="54"/>
      <c r="J1074" s="55"/>
      <c r="K1074" s="54"/>
      <c r="L1074" s="56"/>
      <c r="M1074" s="56"/>
      <c r="N1074" s="31"/>
      <c r="O1074" s="57"/>
      <c r="P1074" s="57"/>
      <c r="Q1074" s="57"/>
      <c r="R1074" s="57"/>
      <c r="S1074" s="31"/>
      <c r="T1074" s="57"/>
      <c r="U1074" s="57"/>
      <c r="V1074" s="57"/>
      <c r="W1074" s="57"/>
      <c r="X1074" s="31"/>
      <c r="Y1074" s="57"/>
      <c r="Z1074" s="57"/>
      <c r="AA1074" s="57"/>
      <c r="AB1074" s="57"/>
      <c r="AC1074" s="31"/>
      <c r="AD1074" s="57"/>
      <c r="AE1074" s="57"/>
      <c r="AF1074" s="57"/>
      <c r="AG1074" s="57"/>
      <c r="AH1074" s="57"/>
      <c r="AI1074" s="57"/>
      <c r="AJ1074" s="57"/>
      <c r="AK1074" s="57"/>
      <c r="AL1074" s="57"/>
      <c r="AM1074" s="57"/>
      <c r="AN1074" s="57"/>
      <c r="AO1074" s="57"/>
      <c r="AP1074" s="35"/>
      <c r="AQ1074" s="57"/>
      <c r="AR1074" s="36"/>
      <c r="AS1074" s="57"/>
      <c r="AT1074" s="37"/>
      <c r="AU1074" s="30"/>
      <c r="AV1074" s="30"/>
      <c r="AW1074" s="30"/>
      <c r="AX1074" s="30"/>
      <c r="AY1074" s="30"/>
      <c r="AZ1074" s="30"/>
    </row>
    <row r="1075">
      <c r="A1075" s="30"/>
      <c r="B1075" s="30"/>
      <c r="C1075" s="30"/>
      <c r="D1075" s="31"/>
      <c r="E1075" s="31"/>
      <c r="F1075" s="31"/>
      <c r="G1075" s="31"/>
      <c r="H1075" s="31"/>
      <c r="I1075" s="54"/>
      <c r="J1075" s="55"/>
      <c r="K1075" s="54"/>
      <c r="L1075" s="56"/>
      <c r="M1075" s="56"/>
      <c r="N1075" s="31"/>
      <c r="O1075" s="57"/>
      <c r="P1075" s="57"/>
      <c r="Q1075" s="57"/>
      <c r="R1075" s="57"/>
      <c r="S1075" s="31"/>
      <c r="T1075" s="57"/>
      <c r="U1075" s="57"/>
      <c r="V1075" s="57"/>
      <c r="W1075" s="57"/>
      <c r="X1075" s="31"/>
      <c r="Y1075" s="57"/>
      <c r="Z1075" s="57"/>
      <c r="AA1075" s="57"/>
      <c r="AB1075" s="57"/>
      <c r="AC1075" s="31"/>
      <c r="AD1075" s="57"/>
      <c r="AE1075" s="57"/>
      <c r="AF1075" s="57"/>
      <c r="AG1075" s="57"/>
      <c r="AH1075" s="57"/>
      <c r="AI1075" s="57"/>
      <c r="AJ1075" s="57"/>
      <c r="AK1075" s="57"/>
      <c r="AL1075" s="57"/>
      <c r="AM1075" s="57"/>
      <c r="AN1075" s="57"/>
      <c r="AO1075" s="57"/>
      <c r="AP1075" s="35"/>
      <c r="AQ1075" s="57"/>
      <c r="AR1075" s="36"/>
      <c r="AS1075" s="57"/>
      <c r="AT1075" s="37"/>
      <c r="AU1075" s="30"/>
      <c r="AV1075" s="30"/>
      <c r="AW1075" s="30"/>
      <c r="AX1075" s="30"/>
      <c r="AY1075" s="30"/>
      <c r="AZ1075" s="30"/>
    </row>
    <row r="1076">
      <c r="A1076" s="30"/>
      <c r="B1076" s="30"/>
      <c r="C1076" s="30"/>
      <c r="D1076" s="31"/>
      <c r="E1076" s="31"/>
      <c r="F1076" s="31"/>
      <c r="G1076" s="31"/>
      <c r="H1076" s="31"/>
      <c r="I1076" s="54"/>
      <c r="J1076" s="55"/>
      <c r="K1076" s="54"/>
      <c r="L1076" s="56"/>
      <c r="M1076" s="56"/>
      <c r="N1076" s="31"/>
      <c r="O1076" s="57"/>
      <c r="P1076" s="57"/>
      <c r="Q1076" s="57"/>
      <c r="R1076" s="57"/>
      <c r="S1076" s="31"/>
      <c r="T1076" s="57"/>
      <c r="U1076" s="57"/>
      <c r="V1076" s="57"/>
      <c r="W1076" s="57"/>
      <c r="X1076" s="31"/>
      <c r="Y1076" s="57"/>
      <c r="Z1076" s="57"/>
      <c r="AA1076" s="57"/>
      <c r="AB1076" s="57"/>
      <c r="AC1076" s="31"/>
      <c r="AD1076" s="57"/>
      <c r="AE1076" s="57"/>
      <c r="AF1076" s="57"/>
      <c r="AG1076" s="57"/>
      <c r="AH1076" s="57"/>
      <c r="AI1076" s="57"/>
      <c r="AJ1076" s="57"/>
      <c r="AK1076" s="57"/>
      <c r="AL1076" s="57"/>
      <c r="AM1076" s="57"/>
      <c r="AN1076" s="57"/>
      <c r="AO1076" s="57"/>
      <c r="AP1076" s="35"/>
      <c r="AQ1076" s="57"/>
      <c r="AR1076" s="36"/>
      <c r="AS1076" s="57"/>
      <c r="AT1076" s="37"/>
      <c r="AU1076" s="30"/>
      <c r="AV1076" s="30"/>
      <c r="AW1076" s="30"/>
      <c r="AX1076" s="30"/>
      <c r="AY1076" s="30"/>
      <c r="AZ1076" s="30"/>
    </row>
    <row r="1077">
      <c r="A1077" s="30"/>
      <c r="B1077" s="30"/>
      <c r="C1077" s="30"/>
      <c r="D1077" s="31"/>
      <c r="E1077" s="31"/>
      <c r="F1077" s="31"/>
      <c r="G1077" s="31"/>
      <c r="H1077" s="31"/>
      <c r="I1077" s="54"/>
      <c r="J1077" s="55"/>
      <c r="K1077" s="54"/>
      <c r="L1077" s="56"/>
      <c r="M1077" s="56"/>
      <c r="N1077" s="31"/>
      <c r="O1077" s="57"/>
      <c r="P1077" s="57"/>
      <c r="Q1077" s="57"/>
      <c r="R1077" s="57"/>
      <c r="S1077" s="31"/>
      <c r="T1077" s="57"/>
      <c r="U1077" s="57"/>
      <c r="V1077" s="57"/>
      <c r="W1077" s="57"/>
      <c r="X1077" s="31"/>
      <c r="Y1077" s="57"/>
      <c r="Z1077" s="57"/>
      <c r="AA1077" s="57"/>
      <c r="AB1077" s="57"/>
      <c r="AC1077" s="31"/>
      <c r="AD1077" s="57"/>
      <c r="AE1077" s="57"/>
      <c r="AF1077" s="57"/>
      <c r="AG1077" s="57"/>
      <c r="AH1077" s="57"/>
      <c r="AI1077" s="57"/>
      <c r="AJ1077" s="57"/>
      <c r="AK1077" s="57"/>
      <c r="AL1077" s="57"/>
      <c r="AM1077" s="57"/>
      <c r="AN1077" s="57"/>
      <c r="AO1077" s="57"/>
      <c r="AP1077" s="35"/>
      <c r="AQ1077" s="57"/>
      <c r="AR1077" s="36"/>
      <c r="AS1077" s="57"/>
      <c r="AT1077" s="37"/>
      <c r="AU1077" s="30"/>
      <c r="AV1077" s="30"/>
      <c r="AW1077" s="30"/>
      <c r="AX1077" s="30"/>
      <c r="AY1077" s="30"/>
      <c r="AZ1077" s="30"/>
    </row>
    <row r="1078">
      <c r="A1078" s="30"/>
      <c r="B1078" s="30"/>
      <c r="C1078" s="30"/>
      <c r="D1078" s="31"/>
      <c r="E1078" s="31"/>
      <c r="F1078" s="31"/>
      <c r="G1078" s="31"/>
      <c r="H1078" s="31"/>
      <c r="I1078" s="54"/>
      <c r="J1078" s="55"/>
      <c r="K1078" s="54"/>
      <c r="L1078" s="56"/>
      <c r="M1078" s="56"/>
      <c r="N1078" s="31"/>
      <c r="O1078" s="57"/>
      <c r="P1078" s="57"/>
      <c r="Q1078" s="57"/>
      <c r="R1078" s="57"/>
      <c r="S1078" s="31"/>
      <c r="T1078" s="57"/>
      <c r="U1078" s="57"/>
      <c r="V1078" s="57"/>
      <c r="W1078" s="57"/>
      <c r="X1078" s="31"/>
      <c r="Y1078" s="57"/>
      <c r="Z1078" s="57"/>
      <c r="AA1078" s="57"/>
      <c r="AB1078" s="57"/>
      <c r="AC1078" s="31"/>
      <c r="AD1078" s="57"/>
      <c r="AE1078" s="57"/>
      <c r="AF1078" s="57"/>
      <c r="AG1078" s="57"/>
      <c r="AH1078" s="57"/>
      <c r="AI1078" s="57"/>
      <c r="AJ1078" s="57"/>
      <c r="AK1078" s="57"/>
      <c r="AL1078" s="57"/>
      <c r="AM1078" s="57"/>
      <c r="AN1078" s="57"/>
      <c r="AO1078" s="57"/>
      <c r="AP1078" s="35"/>
      <c r="AQ1078" s="57"/>
      <c r="AR1078" s="36"/>
      <c r="AS1078" s="57"/>
      <c r="AT1078" s="37"/>
      <c r="AU1078" s="30"/>
      <c r="AV1078" s="30"/>
      <c r="AW1078" s="30"/>
      <c r="AX1078" s="30"/>
      <c r="AY1078" s="30"/>
      <c r="AZ1078" s="30"/>
    </row>
    <row r="1079">
      <c r="A1079" s="30"/>
      <c r="B1079" s="30"/>
      <c r="C1079" s="30"/>
      <c r="D1079" s="31"/>
      <c r="E1079" s="31"/>
      <c r="F1079" s="31"/>
      <c r="G1079" s="31"/>
      <c r="H1079" s="31"/>
      <c r="I1079" s="54"/>
      <c r="J1079" s="55"/>
      <c r="K1079" s="54"/>
      <c r="L1079" s="56"/>
      <c r="M1079" s="56"/>
      <c r="N1079" s="31"/>
      <c r="O1079" s="57"/>
      <c r="P1079" s="57"/>
      <c r="Q1079" s="57"/>
      <c r="R1079" s="57"/>
      <c r="S1079" s="31"/>
      <c r="T1079" s="57"/>
      <c r="U1079" s="57"/>
      <c r="V1079" s="57"/>
      <c r="W1079" s="57"/>
      <c r="X1079" s="31"/>
      <c r="Y1079" s="57"/>
      <c r="Z1079" s="57"/>
      <c r="AA1079" s="57"/>
      <c r="AB1079" s="57"/>
      <c r="AC1079" s="31"/>
      <c r="AD1079" s="57"/>
      <c r="AE1079" s="57"/>
      <c r="AF1079" s="57"/>
      <c r="AG1079" s="57"/>
      <c r="AH1079" s="57"/>
      <c r="AI1079" s="57"/>
      <c r="AJ1079" s="57"/>
      <c r="AK1079" s="57"/>
      <c r="AL1079" s="57"/>
      <c r="AM1079" s="57"/>
      <c r="AN1079" s="57"/>
      <c r="AO1079" s="57"/>
      <c r="AP1079" s="35"/>
      <c r="AQ1079" s="57"/>
      <c r="AR1079" s="36"/>
      <c r="AS1079" s="57"/>
      <c r="AT1079" s="37"/>
      <c r="AU1079" s="30"/>
      <c r="AV1079" s="30"/>
      <c r="AW1079" s="30"/>
      <c r="AX1079" s="30"/>
      <c r="AY1079" s="30"/>
      <c r="AZ1079" s="30"/>
    </row>
    <row r="1080">
      <c r="A1080" s="30"/>
      <c r="B1080" s="30"/>
      <c r="C1080" s="30"/>
      <c r="D1080" s="31"/>
      <c r="E1080" s="31"/>
      <c r="F1080" s="31"/>
      <c r="G1080" s="31"/>
      <c r="H1080" s="31"/>
      <c r="I1080" s="54"/>
      <c r="J1080" s="55"/>
      <c r="K1080" s="54"/>
      <c r="L1080" s="56"/>
      <c r="M1080" s="56"/>
      <c r="N1080" s="31"/>
      <c r="O1080" s="57"/>
      <c r="P1080" s="57"/>
      <c r="Q1080" s="57"/>
      <c r="R1080" s="57"/>
      <c r="S1080" s="31"/>
      <c r="T1080" s="57"/>
      <c r="U1080" s="57"/>
      <c r="V1080" s="57"/>
      <c r="W1080" s="57"/>
      <c r="X1080" s="31"/>
      <c r="Y1080" s="57"/>
      <c r="Z1080" s="57"/>
      <c r="AA1080" s="57"/>
      <c r="AB1080" s="57"/>
      <c r="AC1080" s="31"/>
      <c r="AD1080" s="57"/>
      <c r="AE1080" s="57"/>
      <c r="AF1080" s="57"/>
      <c r="AG1080" s="57"/>
      <c r="AH1080" s="57"/>
      <c r="AI1080" s="57"/>
      <c r="AJ1080" s="57"/>
      <c r="AK1080" s="57"/>
      <c r="AL1080" s="57"/>
      <c r="AM1080" s="57"/>
      <c r="AN1080" s="57"/>
      <c r="AO1080" s="57"/>
      <c r="AP1080" s="35"/>
      <c r="AQ1080" s="57"/>
      <c r="AR1080" s="36"/>
      <c r="AS1080" s="57"/>
      <c r="AT1080" s="37"/>
      <c r="AU1080" s="30"/>
      <c r="AV1080" s="30"/>
      <c r="AW1080" s="30"/>
      <c r="AX1080" s="30"/>
      <c r="AY1080" s="30"/>
      <c r="AZ1080" s="30"/>
    </row>
    <row r="1081">
      <c r="A1081" s="30"/>
      <c r="B1081" s="30"/>
      <c r="C1081" s="30"/>
      <c r="D1081" s="31"/>
      <c r="E1081" s="31"/>
      <c r="F1081" s="31"/>
      <c r="G1081" s="31"/>
      <c r="H1081" s="31"/>
      <c r="I1081" s="54"/>
      <c r="J1081" s="55"/>
      <c r="K1081" s="54"/>
      <c r="L1081" s="56"/>
      <c r="M1081" s="56"/>
      <c r="N1081" s="31"/>
      <c r="O1081" s="57"/>
      <c r="P1081" s="57"/>
      <c r="Q1081" s="57"/>
      <c r="R1081" s="57"/>
      <c r="S1081" s="31"/>
      <c r="T1081" s="57"/>
      <c r="U1081" s="57"/>
      <c r="V1081" s="57"/>
      <c r="W1081" s="57"/>
      <c r="X1081" s="31"/>
      <c r="Y1081" s="57"/>
      <c r="Z1081" s="57"/>
      <c r="AA1081" s="57"/>
      <c r="AB1081" s="57"/>
      <c r="AC1081" s="31"/>
      <c r="AD1081" s="57"/>
      <c r="AE1081" s="57"/>
      <c r="AF1081" s="57"/>
      <c r="AG1081" s="57"/>
      <c r="AH1081" s="57"/>
      <c r="AI1081" s="57"/>
      <c r="AJ1081" s="57"/>
      <c r="AK1081" s="57"/>
      <c r="AL1081" s="57"/>
      <c r="AM1081" s="57"/>
      <c r="AN1081" s="57"/>
      <c r="AO1081" s="57"/>
      <c r="AP1081" s="35"/>
      <c r="AQ1081" s="57"/>
      <c r="AR1081" s="36"/>
      <c r="AS1081" s="57"/>
      <c r="AT1081" s="37"/>
      <c r="AU1081" s="30"/>
      <c r="AV1081" s="30"/>
      <c r="AW1081" s="30"/>
      <c r="AX1081" s="30"/>
      <c r="AY1081" s="30"/>
      <c r="AZ1081" s="30"/>
    </row>
    <row r="1082">
      <c r="A1082" s="30"/>
      <c r="B1082" s="30"/>
      <c r="C1082" s="30"/>
      <c r="D1082" s="31"/>
      <c r="E1082" s="31"/>
      <c r="F1082" s="31"/>
      <c r="G1082" s="31"/>
      <c r="H1082" s="31"/>
      <c r="I1082" s="54"/>
      <c r="J1082" s="55"/>
      <c r="K1082" s="54"/>
      <c r="L1082" s="56"/>
      <c r="M1082" s="56"/>
      <c r="N1082" s="31"/>
      <c r="O1082" s="57"/>
      <c r="P1082" s="57"/>
      <c r="Q1082" s="57"/>
      <c r="R1082" s="57"/>
      <c r="S1082" s="31"/>
      <c r="T1082" s="57"/>
      <c r="U1082" s="57"/>
      <c r="V1082" s="57"/>
      <c r="W1082" s="57"/>
      <c r="X1082" s="31"/>
      <c r="Y1082" s="57"/>
      <c r="Z1082" s="57"/>
      <c r="AA1082" s="57"/>
      <c r="AB1082" s="57"/>
      <c r="AC1082" s="31"/>
      <c r="AD1082" s="57"/>
      <c r="AE1082" s="57"/>
      <c r="AF1082" s="57"/>
      <c r="AG1082" s="57"/>
      <c r="AH1082" s="57"/>
      <c r="AI1082" s="57"/>
      <c r="AJ1082" s="57"/>
      <c r="AK1082" s="57"/>
      <c r="AL1082" s="57"/>
      <c r="AM1082" s="57"/>
      <c r="AN1082" s="57"/>
      <c r="AO1082" s="57"/>
      <c r="AP1082" s="35"/>
      <c r="AQ1082" s="57"/>
      <c r="AR1082" s="36"/>
      <c r="AS1082" s="57"/>
      <c r="AT1082" s="37"/>
      <c r="AU1082" s="30"/>
      <c r="AV1082" s="30"/>
      <c r="AW1082" s="30"/>
      <c r="AX1082" s="30"/>
      <c r="AY1082" s="30"/>
      <c r="AZ1082" s="30"/>
    </row>
    <row r="1083">
      <c r="A1083" s="30"/>
      <c r="B1083" s="30"/>
      <c r="C1083" s="30"/>
      <c r="D1083" s="31"/>
      <c r="E1083" s="31"/>
      <c r="F1083" s="31"/>
      <c r="G1083" s="31"/>
      <c r="H1083" s="31"/>
      <c r="I1083" s="54"/>
      <c r="J1083" s="55"/>
      <c r="K1083" s="54"/>
      <c r="L1083" s="56"/>
      <c r="M1083" s="56"/>
      <c r="N1083" s="31"/>
      <c r="O1083" s="57"/>
      <c r="P1083" s="57"/>
      <c r="Q1083" s="57"/>
      <c r="R1083" s="57"/>
      <c r="S1083" s="31"/>
      <c r="T1083" s="57"/>
      <c r="U1083" s="57"/>
      <c r="V1083" s="57"/>
      <c r="W1083" s="57"/>
      <c r="X1083" s="31"/>
      <c r="Y1083" s="57"/>
      <c r="Z1083" s="57"/>
      <c r="AA1083" s="57"/>
      <c r="AB1083" s="57"/>
      <c r="AC1083" s="31"/>
      <c r="AD1083" s="57"/>
      <c r="AE1083" s="57"/>
      <c r="AF1083" s="57"/>
      <c r="AG1083" s="57"/>
      <c r="AH1083" s="57"/>
      <c r="AI1083" s="57"/>
      <c r="AJ1083" s="57"/>
      <c r="AK1083" s="57"/>
      <c r="AL1083" s="57"/>
      <c r="AM1083" s="57"/>
      <c r="AN1083" s="57"/>
      <c r="AO1083" s="57"/>
      <c r="AP1083" s="35"/>
      <c r="AQ1083" s="57"/>
      <c r="AR1083" s="36"/>
      <c r="AS1083" s="57"/>
      <c r="AT1083" s="37"/>
      <c r="AU1083" s="30"/>
      <c r="AV1083" s="30"/>
      <c r="AW1083" s="30"/>
      <c r="AX1083" s="30"/>
      <c r="AY1083" s="30"/>
      <c r="AZ1083" s="30"/>
    </row>
    <row r="1084">
      <c r="A1084" s="30"/>
      <c r="B1084" s="30"/>
      <c r="C1084" s="30"/>
      <c r="D1084" s="31"/>
      <c r="E1084" s="31"/>
      <c r="F1084" s="31"/>
      <c r="G1084" s="31"/>
      <c r="H1084" s="31"/>
      <c r="I1084" s="54"/>
      <c r="J1084" s="55"/>
      <c r="K1084" s="54"/>
      <c r="L1084" s="56"/>
      <c r="M1084" s="56"/>
      <c r="N1084" s="31"/>
      <c r="O1084" s="57"/>
      <c r="P1084" s="57"/>
      <c r="Q1084" s="57"/>
      <c r="R1084" s="57"/>
      <c r="S1084" s="31"/>
      <c r="T1084" s="57"/>
      <c r="U1084" s="57"/>
      <c r="V1084" s="57"/>
      <c r="W1084" s="57"/>
      <c r="X1084" s="31"/>
      <c r="Y1084" s="57"/>
      <c r="Z1084" s="57"/>
      <c r="AA1084" s="57"/>
      <c r="AB1084" s="57"/>
      <c r="AC1084" s="31"/>
      <c r="AD1084" s="57"/>
      <c r="AE1084" s="57"/>
      <c r="AF1084" s="57"/>
      <c r="AG1084" s="57"/>
      <c r="AH1084" s="57"/>
      <c r="AI1084" s="57"/>
      <c r="AJ1084" s="57"/>
      <c r="AK1084" s="57"/>
      <c r="AL1084" s="57"/>
      <c r="AM1084" s="57"/>
      <c r="AN1084" s="57"/>
      <c r="AO1084" s="57"/>
      <c r="AP1084" s="35"/>
      <c r="AQ1084" s="57"/>
      <c r="AR1084" s="36"/>
      <c r="AS1084" s="57"/>
      <c r="AT1084" s="37"/>
      <c r="AU1084" s="30"/>
      <c r="AV1084" s="30"/>
      <c r="AW1084" s="30"/>
      <c r="AX1084" s="30"/>
      <c r="AY1084" s="30"/>
      <c r="AZ1084" s="30"/>
    </row>
    <row r="1085">
      <c r="A1085" s="30"/>
      <c r="B1085" s="30"/>
      <c r="C1085" s="30"/>
      <c r="D1085" s="31"/>
      <c r="E1085" s="31"/>
      <c r="F1085" s="31"/>
      <c r="G1085" s="31"/>
      <c r="H1085" s="31"/>
      <c r="I1085" s="54"/>
      <c r="J1085" s="55"/>
      <c r="K1085" s="54"/>
      <c r="L1085" s="56"/>
      <c r="M1085" s="56"/>
      <c r="N1085" s="31"/>
      <c r="O1085" s="57"/>
      <c r="P1085" s="57"/>
      <c r="Q1085" s="57"/>
      <c r="R1085" s="57"/>
      <c r="S1085" s="31"/>
      <c r="T1085" s="57"/>
      <c r="U1085" s="57"/>
      <c r="V1085" s="57"/>
      <c r="W1085" s="57"/>
      <c r="X1085" s="31"/>
      <c r="Y1085" s="57"/>
      <c r="Z1085" s="57"/>
      <c r="AA1085" s="57"/>
      <c r="AB1085" s="57"/>
      <c r="AC1085" s="31"/>
      <c r="AD1085" s="57"/>
      <c r="AE1085" s="57"/>
      <c r="AF1085" s="57"/>
      <c r="AG1085" s="57"/>
      <c r="AH1085" s="57"/>
      <c r="AI1085" s="57"/>
      <c r="AJ1085" s="57"/>
      <c r="AK1085" s="57"/>
      <c r="AL1085" s="57"/>
      <c r="AM1085" s="57"/>
      <c r="AN1085" s="57"/>
      <c r="AO1085" s="57"/>
      <c r="AP1085" s="35"/>
      <c r="AQ1085" s="57"/>
      <c r="AR1085" s="36"/>
      <c r="AS1085" s="57"/>
      <c r="AT1085" s="37"/>
      <c r="AU1085" s="30"/>
      <c r="AV1085" s="30"/>
      <c r="AW1085" s="30"/>
      <c r="AX1085" s="30"/>
      <c r="AY1085" s="30"/>
      <c r="AZ1085" s="30"/>
    </row>
    <row r="1086">
      <c r="A1086" s="30"/>
      <c r="B1086" s="30"/>
      <c r="C1086" s="30"/>
      <c r="D1086" s="31"/>
      <c r="E1086" s="31"/>
      <c r="F1086" s="31"/>
      <c r="G1086" s="31"/>
      <c r="H1086" s="31"/>
      <c r="I1086" s="54"/>
      <c r="J1086" s="55"/>
      <c r="K1086" s="54"/>
      <c r="L1086" s="56"/>
      <c r="M1086" s="56"/>
      <c r="N1086" s="31"/>
      <c r="O1086" s="57"/>
      <c r="P1086" s="57"/>
      <c r="Q1086" s="57"/>
      <c r="R1086" s="57"/>
      <c r="S1086" s="31"/>
      <c r="T1086" s="57"/>
      <c r="U1086" s="57"/>
      <c r="V1086" s="57"/>
      <c r="W1086" s="57"/>
      <c r="X1086" s="31"/>
      <c r="Y1086" s="57"/>
      <c r="Z1086" s="57"/>
      <c r="AA1086" s="57"/>
      <c r="AB1086" s="57"/>
      <c r="AC1086" s="31"/>
      <c r="AD1086" s="57"/>
      <c r="AE1086" s="57"/>
      <c r="AF1086" s="57"/>
      <c r="AG1086" s="57"/>
      <c r="AH1086" s="57"/>
      <c r="AI1086" s="57"/>
      <c r="AJ1086" s="57"/>
      <c r="AK1086" s="57"/>
      <c r="AL1086" s="57"/>
      <c r="AM1086" s="57"/>
      <c r="AN1086" s="57"/>
      <c r="AO1086" s="57"/>
      <c r="AP1086" s="35"/>
      <c r="AQ1086" s="57"/>
      <c r="AR1086" s="36"/>
      <c r="AS1086" s="57"/>
      <c r="AT1086" s="37"/>
      <c r="AU1086" s="30"/>
      <c r="AV1086" s="30"/>
      <c r="AW1086" s="30"/>
      <c r="AX1086" s="30"/>
      <c r="AY1086" s="30"/>
      <c r="AZ1086" s="30"/>
    </row>
    <row r="1087">
      <c r="A1087" s="30"/>
      <c r="B1087" s="30"/>
      <c r="C1087" s="30"/>
      <c r="D1087" s="31"/>
      <c r="E1087" s="31"/>
      <c r="F1087" s="31"/>
      <c r="G1087" s="31"/>
      <c r="H1087" s="31"/>
      <c r="I1087" s="54"/>
      <c r="J1087" s="55"/>
      <c r="K1087" s="54"/>
      <c r="L1087" s="56"/>
      <c r="M1087" s="56"/>
      <c r="N1087" s="31"/>
      <c r="O1087" s="57"/>
      <c r="P1087" s="57"/>
      <c r="Q1087" s="57"/>
      <c r="R1087" s="57"/>
      <c r="S1087" s="31"/>
      <c r="T1087" s="57"/>
      <c r="U1087" s="57"/>
      <c r="V1087" s="57"/>
      <c r="W1087" s="57"/>
      <c r="X1087" s="31"/>
      <c r="Y1087" s="57"/>
      <c r="Z1087" s="57"/>
      <c r="AA1087" s="57"/>
      <c r="AB1087" s="57"/>
      <c r="AC1087" s="31"/>
      <c r="AD1087" s="57"/>
      <c r="AE1087" s="57"/>
      <c r="AF1087" s="57"/>
      <c r="AG1087" s="57"/>
      <c r="AH1087" s="57"/>
      <c r="AI1087" s="57"/>
      <c r="AJ1087" s="57"/>
      <c r="AK1087" s="57"/>
      <c r="AL1087" s="57"/>
      <c r="AM1087" s="57"/>
      <c r="AN1087" s="57"/>
      <c r="AO1087" s="57"/>
      <c r="AP1087" s="35"/>
      <c r="AQ1087" s="57"/>
      <c r="AR1087" s="36"/>
      <c r="AS1087" s="57"/>
      <c r="AT1087" s="37"/>
      <c r="AU1087" s="30"/>
      <c r="AV1087" s="30"/>
      <c r="AW1087" s="30"/>
      <c r="AX1087" s="30"/>
      <c r="AY1087" s="30"/>
      <c r="AZ1087" s="30"/>
    </row>
    <row r="1088">
      <c r="A1088" s="30"/>
      <c r="B1088" s="30"/>
      <c r="C1088" s="30"/>
      <c r="D1088" s="31"/>
      <c r="E1088" s="31"/>
      <c r="F1088" s="31"/>
      <c r="G1088" s="31"/>
      <c r="H1088" s="31"/>
      <c r="I1088" s="54"/>
      <c r="J1088" s="55"/>
      <c r="K1088" s="54"/>
      <c r="L1088" s="56"/>
      <c r="M1088" s="56"/>
      <c r="N1088" s="31"/>
      <c r="O1088" s="57"/>
      <c r="P1088" s="57"/>
      <c r="Q1088" s="57"/>
      <c r="R1088" s="57"/>
      <c r="S1088" s="31"/>
      <c r="T1088" s="57"/>
      <c r="U1088" s="57"/>
      <c r="V1088" s="57"/>
      <c r="W1088" s="57"/>
      <c r="X1088" s="31"/>
      <c r="Y1088" s="57"/>
      <c r="Z1088" s="57"/>
      <c r="AA1088" s="57"/>
      <c r="AB1088" s="57"/>
      <c r="AC1088" s="31"/>
      <c r="AD1088" s="57"/>
      <c r="AE1088" s="57"/>
      <c r="AF1088" s="57"/>
      <c r="AG1088" s="57"/>
      <c r="AH1088" s="57"/>
      <c r="AI1088" s="57"/>
      <c r="AJ1088" s="57"/>
      <c r="AK1088" s="57"/>
      <c r="AL1088" s="57"/>
      <c r="AM1088" s="57"/>
      <c r="AN1088" s="57"/>
      <c r="AO1088" s="57"/>
      <c r="AP1088" s="35"/>
      <c r="AQ1088" s="57"/>
      <c r="AR1088" s="36"/>
      <c r="AS1088" s="57"/>
      <c r="AT1088" s="37"/>
      <c r="AU1088" s="30"/>
      <c r="AV1088" s="30"/>
      <c r="AW1088" s="30"/>
      <c r="AX1088" s="30"/>
      <c r="AY1088" s="30"/>
      <c r="AZ1088" s="30"/>
    </row>
    <row r="1089">
      <c r="A1089" s="30"/>
      <c r="B1089" s="30"/>
      <c r="C1089" s="30"/>
      <c r="D1089" s="31"/>
      <c r="E1089" s="31"/>
      <c r="F1089" s="31"/>
      <c r="G1089" s="31"/>
      <c r="H1089" s="31"/>
      <c r="I1089" s="54"/>
      <c r="J1089" s="55"/>
      <c r="K1089" s="54"/>
      <c r="L1089" s="56"/>
      <c r="M1089" s="56"/>
      <c r="N1089" s="31"/>
      <c r="O1089" s="57"/>
      <c r="P1089" s="57"/>
      <c r="Q1089" s="57"/>
      <c r="R1089" s="57"/>
      <c r="S1089" s="31"/>
      <c r="T1089" s="57"/>
      <c r="U1089" s="57"/>
      <c r="V1089" s="57"/>
      <c r="W1089" s="57"/>
      <c r="X1089" s="31"/>
      <c r="Y1089" s="57"/>
      <c r="Z1089" s="57"/>
      <c r="AA1089" s="57"/>
      <c r="AB1089" s="57"/>
      <c r="AC1089" s="31"/>
      <c r="AD1089" s="57"/>
      <c r="AE1089" s="57"/>
      <c r="AF1089" s="57"/>
      <c r="AG1089" s="57"/>
      <c r="AH1089" s="57"/>
      <c r="AI1089" s="57"/>
      <c r="AJ1089" s="57"/>
      <c r="AK1089" s="57"/>
      <c r="AL1089" s="57"/>
      <c r="AM1089" s="57"/>
      <c r="AN1089" s="57"/>
      <c r="AO1089" s="57"/>
      <c r="AP1089" s="35"/>
      <c r="AQ1089" s="57"/>
      <c r="AR1089" s="36"/>
      <c r="AS1089" s="57"/>
      <c r="AT1089" s="37"/>
      <c r="AU1089" s="30"/>
      <c r="AV1089" s="30"/>
      <c r="AW1089" s="30"/>
      <c r="AX1089" s="30"/>
      <c r="AY1089" s="30"/>
      <c r="AZ1089" s="30"/>
    </row>
    <row r="1090">
      <c r="A1090" s="30"/>
      <c r="B1090" s="30"/>
      <c r="C1090" s="30"/>
      <c r="D1090" s="31"/>
      <c r="E1090" s="31"/>
      <c r="F1090" s="31"/>
      <c r="G1090" s="31"/>
      <c r="H1090" s="31"/>
      <c r="I1090" s="54"/>
      <c r="J1090" s="55"/>
      <c r="K1090" s="54"/>
      <c r="L1090" s="56"/>
      <c r="M1090" s="56"/>
      <c r="N1090" s="31"/>
      <c r="O1090" s="57"/>
      <c r="P1090" s="57"/>
      <c r="Q1090" s="57"/>
      <c r="R1090" s="57"/>
      <c r="S1090" s="31"/>
      <c r="T1090" s="57"/>
      <c r="U1090" s="57"/>
      <c r="V1090" s="57"/>
      <c r="W1090" s="57"/>
      <c r="X1090" s="31"/>
      <c r="Y1090" s="57"/>
      <c r="Z1090" s="57"/>
      <c r="AA1090" s="57"/>
      <c r="AB1090" s="57"/>
      <c r="AC1090" s="31"/>
      <c r="AD1090" s="57"/>
      <c r="AE1090" s="57"/>
      <c r="AF1090" s="57"/>
      <c r="AG1090" s="57"/>
      <c r="AH1090" s="57"/>
      <c r="AI1090" s="57"/>
      <c r="AJ1090" s="57"/>
      <c r="AK1090" s="57"/>
      <c r="AL1090" s="57"/>
      <c r="AM1090" s="57"/>
      <c r="AN1090" s="57"/>
      <c r="AO1090" s="57"/>
      <c r="AP1090" s="35"/>
      <c r="AQ1090" s="57"/>
      <c r="AR1090" s="36"/>
      <c r="AS1090" s="57"/>
      <c r="AT1090" s="37"/>
      <c r="AU1090" s="30"/>
      <c r="AV1090" s="30"/>
      <c r="AW1090" s="30"/>
      <c r="AX1090" s="30"/>
      <c r="AY1090" s="30"/>
      <c r="AZ1090" s="30"/>
    </row>
    <row r="1091">
      <c r="A1091" s="30"/>
      <c r="B1091" s="30"/>
      <c r="C1091" s="30"/>
      <c r="D1091" s="31"/>
      <c r="E1091" s="31"/>
      <c r="F1091" s="31"/>
      <c r="G1091" s="31"/>
      <c r="H1091" s="31"/>
      <c r="I1091" s="54"/>
      <c r="J1091" s="55"/>
      <c r="K1091" s="54"/>
      <c r="L1091" s="56"/>
      <c r="M1091" s="56"/>
      <c r="N1091" s="31"/>
      <c r="O1091" s="57"/>
      <c r="P1091" s="57"/>
      <c r="Q1091" s="57"/>
      <c r="R1091" s="57"/>
      <c r="S1091" s="31"/>
      <c r="T1091" s="57"/>
      <c r="U1091" s="57"/>
      <c r="V1091" s="57"/>
      <c r="W1091" s="57"/>
      <c r="X1091" s="31"/>
      <c r="Y1091" s="57"/>
      <c r="Z1091" s="57"/>
      <c r="AA1091" s="57"/>
      <c r="AB1091" s="57"/>
      <c r="AC1091" s="31"/>
      <c r="AD1091" s="57"/>
      <c r="AE1091" s="57"/>
      <c r="AF1091" s="57"/>
      <c r="AG1091" s="57"/>
      <c r="AH1091" s="57"/>
      <c r="AI1091" s="57"/>
      <c r="AJ1091" s="57"/>
      <c r="AK1091" s="57"/>
      <c r="AL1091" s="57"/>
      <c r="AM1091" s="57"/>
      <c r="AN1091" s="57"/>
      <c r="AO1091" s="57"/>
      <c r="AP1091" s="35"/>
      <c r="AQ1091" s="57"/>
      <c r="AR1091" s="36"/>
      <c r="AS1091" s="57"/>
      <c r="AT1091" s="37"/>
      <c r="AU1091" s="30"/>
      <c r="AV1091" s="30"/>
      <c r="AW1091" s="30"/>
      <c r="AX1091" s="30"/>
      <c r="AY1091" s="30"/>
      <c r="AZ1091" s="30"/>
    </row>
    <row r="1092">
      <c r="A1092" s="30"/>
      <c r="B1092" s="30"/>
      <c r="C1092" s="30"/>
      <c r="D1092" s="31"/>
      <c r="E1092" s="31"/>
      <c r="F1092" s="31"/>
      <c r="G1092" s="31"/>
      <c r="H1092" s="31"/>
      <c r="I1092" s="54"/>
      <c r="J1092" s="55"/>
      <c r="K1092" s="54"/>
      <c r="L1092" s="56"/>
      <c r="M1092" s="56"/>
      <c r="N1092" s="31"/>
      <c r="O1092" s="57"/>
      <c r="P1092" s="57"/>
      <c r="Q1092" s="57"/>
      <c r="R1092" s="57"/>
      <c r="S1092" s="31"/>
      <c r="T1092" s="57"/>
      <c r="U1092" s="57"/>
      <c r="V1092" s="57"/>
      <c r="W1092" s="57"/>
      <c r="X1092" s="31"/>
      <c r="Y1092" s="57"/>
      <c r="Z1092" s="57"/>
      <c r="AA1092" s="57"/>
      <c r="AB1092" s="57"/>
      <c r="AC1092" s="31"/>
      <c r="AD1092" s="57"/>
      <c r="AE1092" s="57"/>
      <c r="AF1092" s="57"/>
      <c r="AG1092" s="57"/>
      <c r="AH1092" s="57"/>
      <c r="AI1092" s="57"/>
      <c r="AJ1092" s="57"/>
      <c r="AK1092" s="57"/>
      <c r="AL1092" s="57"/>
      <c r="AM1092" s="57"/>
      <c r="AN1092" s="57"/>
      <c r="AO1092" s="57"/>
      <c r="AP1092" s="35"/>
      <c r="AQ1092" s="57"/>
      <c r="AR1092" s="36"/>
      <c r="AS1092" s="57"/>
      <c r="AT1092" s="37"/>
      <c r="AU1092" s="30"/>
      <c r="AV1092" s="30"/>
      <c r="AW1092" s="30"/>
      <c r="AX1092" s="30"/>
      <c r="AY1092" s="30"/>
      <c r="AZ1092" s="30"/>
    </row>
    <row r="1093">
      <c r="A1093" s="30"/>
      <c r="B1093" s="30"/>
      <c r="C1093" s="30"/>
      <c r="D1093" s="31"/>
      <c r="E1093" s="31"/>
      <c r="F1093" s="31"/>
      <c r="G1093" s="31"/>
      <c r="H1093" s="31"/>
      <c r="I1093" s="54"/>
      <c r="J1093" s="55"/>
      <c r="K1093" s="54"/>
      <c r="L1093" s="56"/>
      <c r="M1093" s="56"/>
      <c r="N1093" s="31"/>
      <c r="O1093" s="57"/>
      <c r="P1093" s="57"/>
      <c r="Q1093" s="57"/>
      <c r="R1093" s="57"/>
      <c r="S1093" s="31"/>
      <c r="T1093" s="57"/>
      <c r="U1093" s="57"/>
      <c r="V1093" s="57"/>
      <c r="W1093" s="57"/>
      <c r="X1093" s="31"/>
      <c r="Y1093" s="57"/>
      <c r="Z1093" s="57"/>
      <c r="AA1093" s="57"/>
      <c r="AB1093" s="57"/>
      <c r="AC1093" s="31"/>
      <c r="AD1093" s="57"/>
      <c r="AE1093" s="57"/>
      <c r="AF1093" s="57"/>
      <c r="AG1093" s="57"/>
      <c r="AH1093" s="57"/>
      <c r="AI1093" s="57"/>
      <c r="AJ1093" s="57"/>
      <c r="AK1093" s="57"/>
      <c r="AL1093" s="57"/>
      <c r="AM1093" s="57"/>
      <c r="AN1093" s="57"/>
      <c r="AO1093" s="57"/>
      <c r="AP1093" s="35"/>
      <c r="AQ1093" s="57"/>
      <c r="AR1093" s="36"/>
      <c r="AS1093" s="57"/>
      <c r="AT1093" s="37"/>
      <c r="AU1093" s="30"/>
      <c r="AV1093" s="30"/>
      <c r="AW1093" s="30"/>
      <c r="AX1093" s="30"/>
      <c r="AY1093" s="30"/>
      <c r="AZ1093" s="30"/>
    </row>
    <row r="1094">
      <c r="A1094" s="30"/>
      <c r="B1094" s="30"/>
      <c r="C1094" s="30"/>
      <c r="D1094" s="31"/>
      <c r="E1094" s="31"/>
      <c r="F1094" s="31"/>
      <c r="G1094" s="31"/>
      <c r="H1094" s="31"/>
      <c r="I1094" s="54"/>
      <c r="J1094" s="55"/>
      <c r="K1094" s="54"/>
      <c r="L1094" s="56"/>
      <c r="M1094" s="56"/>
      <c r="N1094" s="31"/>
      <c r="O1094" s="57"/>
      <c r="P1094" s="57"/>
      <c r="Q1094" s="57"/>
      <c r="R1094" s="57"/>
      <c r="S1094" s="31"/>
      <c r="T1094" s="57"/>
      <c r="U1094" s="57"/>
      <c r="V1094" s="57"/>
      <c r="W1094" s="57"/>
      <c r="X1094" s="31"/>
      <c r="Y1094" s="57"/>
      <c r="Z1094" s="57"/>
      <c r="AA1094" s="57"/>
      <c r="AB1094" s="57"/>
      <c r="AC1094" s="31"/>
      <c r="AD1094" s="57"/>
      <c r="AE1094" s="57"/>
      <c r="AF1094" s="57"/>
      <c r="AG1094" s="57"/>
      <c r="AH1094" s="57"/>
      <c r="AI1094" s="57"/>
      <c r="AJ1094" s="57"/>
      <c r="AK1094" s="57"/>
      <c r="AL1094" s="57"/>
      <c r="AM1094" s="57"/>
      <c r="AN1094" s="57"/>
      <c r="AO1094" s="57"/>
      <c r="AP1094" s="35"/>
      <c r="AQ1094" s="57"/>
      <c r="AR1094" s="36"/>
      <c r="AS1094" s="57"/>
      <c r="AT1094" s="37"/>
      <c r="AU1094" s="30"/>
      <c r="AV1094" s="30"/>
      <c r="AW1094" s="30"/>
      <c r="AX1094" s="30"/>
      <c r="AY1094" s="30"/>
      <c r="AZ1094" s="30"/>
    </row>
    <row r="1095">
      <c r="A1095" s="30"/>
      <c r="B1095" s="30"/>
      <c r="C1095" s="30"/>
      <c r="D1095" s="31"/>
      <c r="E1095" s="31"/>
      <c r="F1095" s="31"/>
      <c r="G1095" s="31"/>
      <c r="H1095" s="31"/>
      <c r="I1095" s="54"/>
      <c r="J1095" s="55"/>
      <c r="K1095" s="54"/>
      <c r="L1095" s="56"/>
      <c r="M1095" s="56"/>
      <c r="N1095" s="31"/>
      <c r="O1095" s="57"/>
      <c r="P1095" s="57"/>
      <c r="Q1095" s="57"/>
      <c r="R1095" s="57"/>
      <c r="S1095" s="31"/>
      <c r="T1095" s="57"/>
      <c r="U1095" s="57"/>
      <c r="V1095" s="57"/>
      <c r="W1095" s="57"/>
      <c r="X1095" s="31"/>
      <c r="Y1095" s="57"/>
      <c r="Z1095" s="57"/>
      <c r="AA1095" s="57"/>
      <c r="AB1095" s="57"/>
      <c r="AC1095" s="31"/>
      <c r="AD1095" s="57"/>
      <c r="AE1095" s="57"/>
      <c r="AF1095" s="57"/>
      <c r="AG1095" s="57"/>
      <c r="AH1095" s="57"/>
      <c r="AI1095" s="57"/>
      <c r="AJ1095" s="57"/>
      <c r="AK1095" s="57"/>
      <c r="AL1095" s="57"/>
      <c r="AM1095" s="57"/>
      <c r="AN1095" s="57"/>
      <c r="AO1095" s="57"/>
      <c r="AP1095" s="35"/>
      <c r="AQ1095" s="57"/>
      <c r="AR1095" s="36"/>
      <c r="AS1095" s="57"/>
      <c r="AT1095" s="37"/>
      <c r="AU1095" s="30"/>
      <c r="AV1095" s="30"/>
      <c r="AW1095" s="30"/>
      <c r="AX1095" s="30"/>
      <c r="AY1095" s="30"/>
      <c r="AZ1095" s="30"/>
    </row>
    <row r="1096">
      <c r="A1096" s="30"/>
      <c r="B1096" s="30"/>
      <c r="C1096" s="30"/>
      <c r="D1096" s="31"/>
      <c r="E1096" s="31"/>
      <c r="F1096" s="31"/>
      <c r="G1096" s="31"/>
      <c r="H1096" s="31"/>
      <c r="I1096" s="54"/>
      <c r="J1096" s="55"/>
      <c r="K1096" s="54"/>
      <c r="L1096" s="56"/>
      <c r="M1096" s="56"/>
      <c r="N1096" s="31"/>
      <c r="O1096" s="57"/>
      <c r="P1096" s="57"/>
      <c r="Q1096" s="57"/>
      <c r="R1096" s="57"/>
      <c r="S1096" s="31"/>
      <c r="T1096" s="57"/>
      <c r="U1096" s="57"/>
      <c r="V1096" s="57"/>
      <c r="W1096" s="57"/>
      <c r="X1096" s="31"/>
      <c r="Y1096" s="57"/>
      <c r="Z1096" s="57"/>
      <c r="AA1096" s="57"/>
      <c r="AB1096" s="57"/>
      <c r="AC1096" s="31"/>
      <c r="AD1096" s="57"/>
      <c r="AE1096" s="57"/>
      <c r="AF1096" s="57"/>
      <c r="AG1096" s="57"/>
      <c r="AH1096" s="57"/>
      <c r="AI1096" s="57"/>
      <c r="AJ1096" s="57"/>
      <c r="AK1096" s="57"/>
      <c r="AL1096" s="57"/>
      <c r="AM1096" s="57"/>
      <c r="AN1096" s="57"/>
      <c r="AO1096" s="57"/>
      <c r="AP1096" s="35"/>
      <c r="AQ1096" s="57"/>
      <c r="AR1096" s="36"/>
      <c r="AS1096" s="57"/>
      <c r="AT1096" s="37"/>
      <c r="AU1096" s="30"/>
      <c r="AV1096" s="30"/>
      <c r="AW1096" s="30"/>
      <c r="AX1096" s="30"/>
      <c r="AY1096" s="30"/>
      <c r="AZ1096" s="30"/>
    </row>
    <row r="1097">
      <c r="A1097" s="30"/>
      <c r="B1097" s="30"/>
      <c r="C1097" s="30"/>
      <c r="D1097" s="31"/>
      <c r="E1097" s="31"/>
      <c r="F1097" s="31"/>
      <c r="G1097" s="31"/>
      <c r="H1097" s="31"/>
      <c r="I1097" s="54"/>
      <c r="J1097" s="55"/>
      <c r="K1097" s="54"/>
      <c r="L1097" s="56"/>
      <c r="M1097" s="56"/>
      <c r="N1097" s="31"/>
      <c r="O1097" s="57"/>
      <c r="P1097" s="57"/>
      <c r="Q1097" s="57"/>
      <c r="R1097" s="57"/>
      <c r="S1097" s="31"/>
      <c r="T1097" s="57"/>
      <c r="U1097" s="57"/>
      <c r="V1097" s="57"/>
      <c r="W1097" s="57"/>
      <c r="X1097" s="31"/>
      <c r="Y1097" s="57"/>
      <c r="Z1097" s="57"/>
      <c r="AA1097" s="57"/>
      <c r="AB1097" s="57"/>
      <c r="AC1097" s="31"/>
      <c r="AD1097" s="57"/>
      <c r="AE1097" s="57"/>
      <c r="AF1097" s="57"/>
      <c r="AG1097" s="57"/>
      <c r="AH1097" s="57"/>
      <c r="AI1097" s="57"/>
      <c r="AJ1097" s="57"/>
      <c r="AK1097" s="57"/>
      <c r="AL1097" s="57"/>
      <c r="AM1097" s="57"/>
      <c r="AN1097" s="57"/>
      <c r="AO1097" s="57"/>
      <c r="AP1097" s="35"/>
      <c r="AQ1097" s="57"/>
      <c r="AR1097" s="36"/>
      <c r="AS1097" s="57"/>
      <c r="AT1097" s="37"/>
      <c r="AU1097" s="30"/>
      <c r="AV1097" s="30"/>
      <c r="AW1097" s="30"/>
      <c r="AX1097" s="30"/>
      <c r="AY1097" s="30"/>
      <c r="AZ1097" s="30"/>
    </row>
    <row r="1098">
      <c r="A1098" s="30"/>
      <c r="B1098" s="30"/>
      <c r="C1098" s="30"/>
      <c r="D1098" s="31"/>
      <c r="E1098" s="31"/>
      <c r="F1098" s="31"/>
      <c r="G1098" s="31"/>
      <c r="H1098" s="31"/>
      <c r="I1098" s="54"/>
      <c r="J1098" s="55"/>
      <c r="K1098" s="54"/>
      <c r="L1098" s="56"/>
      <c r="M1098" s="56"/>
      <c r="N1098" s="31"/>
      <c r="O1098" s="57"/>
      <c r="P1098" s="57"/>
      <c r="Q1098" s="57"/>
      <c r="R1098" s="57"/>
      <c r="S1098" s="31"/>
      <c r="T1098" s="57"/>
      <c r="U1098" s="57"/>
      <c r="V1098" s="57"/>
      <c r="W1098" s="57"/>
      <c r="X1098" s="31"/>
      <c r="Y1098" s="57"/>
      <c r="Z1098" s="57"/>
      <c r="AA1098" s="57"/>
      <c r="AB1098" s="57"/>
      <c r="AC1098" s="31"/>
      <c r="AD1098" s="57"/>
      <c r="AE1098" s="57"/>
      <c r="AF1098" s="57"/>
      <c r="AG1098" s="57"/>
      <c r="AH1098" s="57"/>
      <c r="AI1098" s="57"/>
      <c r="AJ1098" s="57"/>
      <c r="AK1098" s="57"/>
      <c r="AL1098" s="57"/>
      <c r="AM1098" s="57"/>
      <c r="AN1098" s="57"/>
      <c r="AO1098" s="57"/>
      <c r="AP1098" s="35"/>
      <c r="AQ1098" s="57"/>
      <c r="AR1098" s="36"/>
      <c r="AS1098" s="57"/>
      <c r="AT1098" s="37"/>
      <c r="AU1098" s="30"/>
      <c r="AV1098" s="30"/>
      <c r="AW1098" s="30"/>
      <c r="AX1098" s="30"/>
      <c r="AY1098" s="30"/>
      <c r="AZ1098" s="30"/>
    </row>
    <row r="1099">
      <c r="A1099" s="30"/>
      <c r="B1099" s="30"/>
      <c r="C1099" s="30"/>
      <c r="D1099" s="31"/>
      <c r="E1099" s="31"/>
      <c r="F1099" s="31"/>
      <c r="G1099" s="31"/>
      <c r="H1099" s="31"/>
      <c r="I1099" s="54"/>
      <c r="J1099" s="55"/>
      <c r="K1099" s="54"/>
      <c r="L1099" s="56"/>
      <c r="M1099" s="56"/>
      <c r="N1099" s="31"/>
      <c r="O1099" s="57"/>
      <c r="P1099" s="57"/>
      <c r="Q1099" s="57"/>
      <c r="R1099" s="57"/>
      <c r="S1099" s="31"/>
      <c r="T1099" s="57"/>
      <c r="U1099" s="57"/>
      <c r="V1099" s="57"/>
      <c r="W1099" s="57"/>
      <c r="X1099" s="31"/>
      <c r="Y1099" s="57"/>
      <c r="Z1099" s="57"/>
      <c r="AA1099" s="57"/>
      <c r="AB1099" s="57"/>
      <c r="AC1099" s="31"/>
      <c r="AD1099" s="57"/>
      <c r="AE1099" s="57"/>
      <c r="AF1099" s="57"/>
      <c r="AG1099" s="57"/>
      <c r="AH1099" s="57"/>
      <c r="AI1099" s="57"/>
      <c r="AJ1099" s="57"/>
      <c r="AK1099" s="57"/>
      <c r="AL1099" s="57"/>
      <c r="AM1099" s="57"/>
      <c r="AN1099" s="57"/>
      <c r="AO1099" s="57"/>
      <c r="AP1099" s="35"/>
      <c r="AQ1099" s="57"/>
      <c r="AR1099" s="36"/>
      <c r="AS1099" s="57"/>
      <c r="AT1099" s="37"/>
      <c r="AU1099" s="30"/>
      <c r="AV1099" s="30"/>
      <c r="AW1099" s="30"/>
      <c r="AX1099" s="30"/>
      <c r="AY1099" s="30"/>
      <c r="AZ1099" s="30"/>
    </row>
    <row r="1100">
      <c r="A1100" s="30"/>
      <c r="B1100" s="30"/>
      <c r="C1100" s="30"/>
      <c r="D1100" s="31"/>
      <c r="E1100" s="31"/>
      <c r="F1100" s="31"/>
      <c r="G1100" s="31"/>
      <c r="H1100" s="31"/>
      <c r="I1100" s="54"/>
      <c r="J1100" s="55"/>
      <c r="K1100" s="54"/>
      <c r="L1100" s="56"/>
      <c r="M1100" s="56"/>
      <c r="N1100" s="31"/>
      <c r="O1100" s="57"/>
      <c r="P1100" s="57"/>
      <c r="Q1100" s="57"/>
      <c r="R1100" s="57"/>
      <c r="S1100" s="31"/>
      <c r="T1100" s="57"/>
      <c r="U1100" s="57"/>
      <c r="V1100" s="57"/>
      <c r="W1100" s="57"/>
      <c r="X1100" s="31"/>
      <c r="Y1100" s="57"/>
      <c r="Z1100" s="57"/>
      <c r="AA1100" s="57"/>
      <c r="AB1100" s="57"/>
      <c r="AC1100" s="31"/>
      <c r="AD1100" s="57"/>
      <c r="AE1100" s="57"/>
      <c r="AF1100" s="57"/>
      <c r="AG1100" s="57"/>
      <c r="AH1100" s="57"/>
      <c r="AI1100" s="57"/>
      <c r="AJ1100" s="57"/>
      <c r="AK1100" s="57"/>
      <c r="AL1100" s="57"/>
      <c r="AM1100" s="57"/>
      <c r="AN1100" s="57"/>
      <c r="AO1100" s="57"/>
      <c r="AP1100" s="35"/>
      <c r="AQ1100" s="57"/>
      <c r="AR1100" s="36"/>
      <c r="AS1100" s="57"/>
      <c r="AT1100" s="37"/>
      <c r="AU1100" s="30"/>
      <c r="AV1100" s="30"/>
      <c r="AW1100" s="30"/>
      <c r="AX1100" s="30"/>
      <c r="AY1100" s="30"/>
      <c r="AZ1100" s="30"/>
    </row>
    <row r="1101">
      <c r="A1101" s="30"/>
      <c r="B1101" s="30"/>
      <c r="C1101" s="30"/>
      <c r="D1101" s="31"/>
      <c r="E1101" s="31"/>
      <c r="F1101" s="31"/>
      <c r="G1101" s="31"/>
      <c r="H1101" s="31"/>
      <c r="I1101" s="54"/>
      <c r="J1101" s="55"/>
      <c r="K1101" s="54"/>
      <c r="L1101" s="56"/>
      <c r="M1101" s="56"/>
      <c r="N1101" s="31"/>
      <c r="O1101" s="57"/>
      <c r="P1101" s="57"/>
      <c r="Q1101" s="57"/>
      <c r="R1101" s="57"/>
      <c r="S1101" s="31"/>
      <c r="T1101" s="57"/>
      <c r="U1101" s="57"/>
      <c r="V1101" s="57"/>
      <c r="W1101" s="57"/>
      <c r="X1101" s="31"/>
      <c r="Y1101" s="57"/>
      <c r="Z1101" s="57"/>
      <c r="AA1101" s="57"/>
      <c r="AB1101" s="57"/>
      <c r="AC1101" s="31"/>
      <c r="AD1101" s="57"/>
      <c r="AE1101" s="57"/>
      <c r="AF1101" s="57"/>
      <c r="AG1101" s="57"/>
      <c r="AH1101" s="57"/>
      <c r="AI1101" s="57"/>
      <c r="AJ1101" s="57"/>
      <c r="AK1101" s="57"/>
      <c r="AL1101" s="57"/>
      <c r="AM1101" s="57"/>
      <c r="AN1101" s="57"/>
      <c r="AO1101" s="57"/>
      <c r="AP1101" s="35"/>
      <c r="AQ1101" s="57"/>
      <c r="AR1101" s="36"/>
      <c r="AS1101" s="57"/>
      <c r="AT1101" s="37"/>
      <c r="AU1101" s="30"/>
      <c r="AV1101" s="30"/>
      <c r="AW1101" s="30"/>
      <c r="AX1101" s="30"/>
      <c r="AY1101" s="30"/>
      <c r="AZ1101" s="30"/>
    </row>
    <row r="1102">
      <c r="A1102" s="30"/>
      <c r="B1102" s="30"/>
      <c r="C1102" s="30"/>
      <c r="D1102" s="31"/>
      <c r="E1102" s="31"/>
      <c r="F1102" s="31"/>
      <c r="G1102" s="31"/>
      <c r="H1102" s="31"/>
      <c r="I1102" s="54"/>
      <c r="J1102" s="55"/>
      <c r="K1102" s="54"/>
      <c r="L1102" s="56"/>
      <c r="M1102" s="56"/>
      <c r="N1102" s="31"/>
      <c r="O1102" s="57"/>
      <c r="P1102" s="57"/>
      <c r="Q1102" s="57"/>
      <c r="R1102" s="57"/>
      <c r="S1102" s="31"/>
      <c r="T1102" s="57"/>
      <c r="U1102" s="57"/>
      <c r="V1102" s="57"/>
      <c r="W1102" s="57"/>
      <c r="X1102" s="31"/>
      <c r="Y1102" s="57"/>
      <c r="Z1102" s="57"/>
      <c r="AA1102" s="57"/>
      <c r="AB1102" s="57"/>
      <c r="AC1102" s="31"/>
      <c r="AD1102" s="57"/>
      <c r="AE1102" s="57"/>
      <c r="AF1102" s="57"/>
      <c r="AG1102" s="57"/>
      <c r="AH1102" s="57"/>
      <c r="AI1102" s="57"/>
      <c r="AJ1102" s="57"/>
      <c r="AK1102" s="57"/>
      <c r="AL1102" s="57"/>
      <c r="AM1102" s="57"/>
      <c r="AN1102" s="57"/>
      <c r="AO1102" s="57"/>
      <c r="AP1102" s="35"/>
      <c r="AQ1102" s="57"/>
      <c r="AR1102" s="36"/>
      <c r="AS1102" s="57"/>
      <c r="AT1102" s="37"/>
      <c r="AU1102" s="30"/>
      <c r="AV1102" s="30"/>
      <c r="AW1102" s="30"/>
      <c r="AX1102" s="30"/>
      <c r="AY1102" s="30"/>
      <c r="AZ1102" s="30"/>
    </row>
    <row r="1103">
      <c r="A1103" s="30"/>
      <c r="B1103" s="30"/>
      <c r="C1103" s="30"/>
      <c r="D1103" s="31"/>
      <c r="E1103" s="31"/>
      <c r="F1103" s="31"/>
      <c r="G1103" s="31"/>
      <c r="H1103" s="31"/>
      <c r="I1103" s="54"/>
      <c r="J1103" s="55"/>
      <c r="K1103" s="54"/>
      <c r="L1103" s="56"/>
      <c r="M1103" s="56"/>
      <c r="N1103" s="31"/>
      <c r="O1103" s="57"/>
      <c r="P1103" s="57"/>
      <c r="Q1103" s="57"/>
      <c r="R1103" s="57"/>
      <c r="S1103" s="31"/>
      <c r="T1103" s="57"/>
      <c r="U1103" s="57"/>
      <c r="V1103" s="57"/>
      <c r="W1103" s="57"/>
      <c r="X1103" s="31"/>
      <c r="Y1103" s="57"/>
      <c r="Z1103" s="57"/>
      <c r="AA1103" s="57"/>
      <c r="AB1103" s="57"/>
      <c r="AC1103" s="31"/>
      <c r="AD1103" s="57"/>
      <c r="AE1103" s="57"/>
      <c r="AF1103" s="57"/>
      <c r="AG1103" s="57"/>
      <c r="AH1103" s="57"/>
      <c r="AI1103" s="57"/>
      <c r="AJ1103" s="57"/>
      <c r="AK1103" s="57"/>
      <c r="AL1103" s="57"/>
      <c r="AM1103" s="57"/>
      <c r="AN1103" s="57"/>
      <c r="AO1103" s="57"/>
      <c r="AP1103" s="35"/>
      <c r="AQ1103" s="57"/>
      <c r="AR1103" s="36"/>
      <c r="AS1103" s="57"/>
      <c r="AT1103" s="37"/>
      <c r="AU1103" s="30"/>
      <c r="AV1103" s="30"/>
      <c r="AW1103" s="30"/>
      <c r="AX1103" s="30"/>
      <c r="AY1103" s="30"/>
      <c r="AZ1103" s="30"/>
    </row>
    <row r="1104">
      <c r="A1104" s="30"/>
      <c r="B1104" s="30"/>
      <c r="C1104" s="30"/>
      <c r="D1104" s="31"/>
      <c r="E1104" s="31"/>
      <c r="F1104" s="31"/>
      <c r="G1104" s="31"/>
      <c r="H1104" s="31"/>
      <c r="I1104" s="54"/>
      <c r="J1104" s="55"/>
      <c r="K1104" s="54"/>
      <c r="L1104" s="56"/>
      <c r="M1104" s="56"/>
      <c r="N1104" s="31"/>
      <c r="O1104" s="57"/>
      <c r="P1104" s="57"/>
      <c r="Q1104" s="57"/>
      <c r="R1104" s="57"/>
      <c r="S1104" s="31"/>
      <c r="T1104" s="57"/>
      <c r="U1104" s="57"/>
      <c r="V1104" s="57"/>
      <c r="W1104" s="57"/>
      <c r="X1104" s="31"/>
      <c r="Y1104" s="57"/>
      <c r="Z1104" s="57"/>
      <c r="AA1104" s="57"/>
      <c r="AB1104" s="57"/>
      <c r="AC1104" s="31"/>
      <c r="AD1104" s="57"/>
      <c r="AE1104" s="57"/>
      <c r="AF1104" s="57"/>
      <c r="AG1104" s="57"/>
      <c r="AH1104" s="57"/>
      <c r="AI1104" s="57"/>
      <c r="AJ1104" s="57"/>
      <c r="AK1104" s="57"/>
      <c r="AL1104" s="57"/>
      <c r="AM1104" s="57"/>
      <c r="AN1104" s="57"/>
      <c r="AO1104" s="57"/>
      <c r="AP1104" s="35"/>
      <c r="AQ1104" s="57"/>
      <c r="AR1104" s="36"/>
      <c r="AS1104" s="57"/>
      <c r="AT1104" s="37"/>
      <c r="AU1104" s="30"/>
      <c r="AV1104" s="30"/>
      <c r="AW1104" s="30"/>
      <c r="AX1104" s="30"/>
      <c r="AY1104" s="30"/>
      <c r="AZ1104" s="30"/>
    </row>
    <row r="1105">
      <c r="A1105" s="30"/>
      <c r="B1105" s="30"/>
      <c r="C1105" s="30"/>
      <c r="D1105" s="31"/>
      <c r="E1105" s="31"/>
      <c r="F1105" s="31"/>
      <c r="G1105" s="31"/>
      <c r="H1105" s="31"/>
      <c r="I1105" s="54"/>
      <c r="J1105" s="55"/>
      <c r="K1105" s="54"/>
      <c r="L1105" s="56"/>
      <c r="M1105" s="56"/>
      <c r="N1105" s="31"/>
      <c r="O1105" s="57"/>
      <c r="P1105" s="57"/>
      <c r="Q1105" s="57"/>
      <c r="R1105" s="57"/>
      <c r="S1105" s="31"/>
      <c r="T1105" s="57"/>
      <c r="U1105" s="57"/>
      <c r="V1105" s="57"/>
      <c r="W1105" s="57"/>
      <c r="X1105" s="31"/>
      <c r="Y1105" s="57"/>
      <c r="Z1105" s="57"/>
      <c r="AA1105" s="57"/>
      <c r="AB1105" s="57"/>
      <c r="AC1105" s="31"/>
      <c r="AD1105" s="57"/>
      <c r="AE1105" s="57"/>
      <c r="AF1105" s="57"/>
      <c r="AG1105" s="57"/>
      <c r="AH1105" s="57"/>
      <c r="AI1105" s="57"/>
      <c r="AJ1105" s="57"/>
      <c r="AK1105" s="57"/>
      <c r="AL1105" s="57"/>
      <c r="AM1105" s="57"/>
      <c r="AN1105" s="57"/>
      <c r="AO1105" s="57"/>
      <c r="AP1105" s="35"/>
      <c r="AQ1105" s="57"/>
      <c r="AR1105" s="36"/>
      <c r="AS1105" s="57"/>
      <c r="AT1105" s="37"/>
      <c r="AU1105" s="30"/>
      <c r="AV1105" s="30"/>
      <c r="AW1105" s="30"/>
      <c r="AX1105" s="30"/>
      <c r="AY1105" s="30"/>
      <c r="AZ1105" s="30"/>
    </row>
    <row r="1106">
      <c r="A1106" s="30"/>
      <c r="B1106" s="30"/>
      <c r="C1106" s="30"/>
      <c r="D1106" s="31"/>
      <c r="E1106" s="31"/>
      <c r="F1106" s="31"/>
      <c r="G1106" s="31"/>
      <c r="H1106" s="31"/>
      <c r="I1106" s="54"/>
      <c r="J1106" s="55"/>
      <c r="K1106" s="54"/>
      <c r="L1106" s="56"/>
      <c r="M1106" s="56"/>
      <c r="N1106" s="31"/>
      <c r="O1106" s="57"/>
      <c r="P1106" s="57"/>
      <c r="Q1106" s="57"/>
      <c r="R1106" s="57"/>
      <c r="S1106" s="31"/>
      <c r="T1106" s="57"/>
      <c r="U1106" s="57"/>
      <c r="V1106" s="57"/>
      <c r="W1106" s="57"/>
      <c r="X1106" s="31"/>
      <c r="Y1106" s="57"/>
      <c r="Z1106" s="57"/>
      <c r="AA1106" s="57"/>
      <c r="AB1106" s="57"/>
      <c r="AC1106" s="31"/>
      <c r="AD1106" s="57"/>
      <c r="AE1106" s="57"/>
      <c r="AF1106" s="57"/>
      <c r="AG1106" s="57"/>
      <c r="AH1106" s="57"/>
      <c r="AI1106" s="57"/>
      <c r="AJ1106" s="57"/>
      <c r="AK1106" s="57"/>
      <c r="AL1106" s="57"/>
      <c r="AM1106" s="57"/>
      <c r="AN1106" s="57"/>
      <c r="AO1106" s="57"/>
      <c r="AP1106" s="35"/>
      <c r="AQ1106" s="57"/>
      <c r="AR1106" s="36"/>
      <c r="AS1106" s="57"/>
      <c r="AT1106" s="37"/>
      <c r="AU1106" s="30"/>
      <c r="AV1106" s="30"/>
      <c r="AW1106" s="30"/>
      <c r="AX1106" s="30"/>
      <c r="AY1106" s="30"/>
      <c r="AZ1106" s="30"/>
    </row>
    <row r="1107">
      <c r="A1107" s="30"/>
      <c r="B1107" s="30"/>
      <c r="C1107" s="30"/>
      <c r="D1107" s="31"/>
      <c r="E1107" s="31"/>
      <c r="F1107" s="31"/>
      <c r="G1107" s="31"/>
      <c r="H1107" s="31"/>
      <c r="I1107" s="54"/>
      <c r="J1107" s="55"/>
      <c r="K1107" s="54"/>
      <c r="L1107" s="56"/>
      <c r="M1107" s="56"/>
      <c r="N1107" s="31"/>
      <c r="O1107" s="57"/>
      <c r="P1107" s="57"/>
      <c r="Q1107" s="57"/>
      <c r="R1107" s="57"/>
      <c r="S1107" s="31"/>
      <c r="T1107" s="57"/>
      <c r="U1107" s="57"/>
      <c r="V1107" s="57"/>
      <c r="W1107" s="57"/>
      <c r="X1107" s="31"/>
      <c r="Y1107" s="57"/>
      <c r="Z1107" s="57"/>
      <c r="AA1107" s="57"/>
      <c r="AB1107" s="57"/>
      <c r="AC1107" s="31"/>
      <c r="AD1107" s="57"/>
      <c r="AE1107" s="57"/>
      <c r="AF1107" s="57"/>
      <c r="AG1107" s="57"/>
      <c r="AH1107" s="57"/>
      <c r="AI1107" s="57"/>
      <c r="AJ1107" s="57"/>
      <c r="AK1107" s="57"/>
      <c r="AL1107" s="57"/>
      <c r="AM1107" s="57"/>
      <c r="AN1107" s="57"/>
      <c r="AO1107" s="57"/>
      <c r="AP1107" s="35"/>
      <c r="AQ1107" s="57"/>
      <c r="AR1107" s="36"/>
      <c r="AS1107" s="57"/>
      <c r="AT1107" s="37"/>
      <c r="AU1107" s="30"/>
      <c r="AV1107" s="30"/>
      <c r="AW1107" s="30"/>
      <c r="AX1107" s="30"/>
      <c r="AY1107" s="30"/>
      <c r="AZ1107" s="30"/>
    </row>
    <row r="1108">
      <c r="A1108" s="30"/>
      <c r="B1108" s="30"/>
      <c r="C1108" s="30"/>
      <c r="D1108" s="31"/>
      <c r="E1108" s="31"/>
      <c r="F1108" s="31"/>
      <c r="G1108" s="31"/>
      <c r="H1108" s="31"/>
      <c r="I1108" s="54"/>
      <c r="J1108" s="55"/>
      <c r="K1108" s="54"/>
      <c r="L1108" s="56"/>
      <c r="M1108" s="56"/>
      <c r="N1108" s="31"/>
      <c r="O1108" s="57"/>
      <c r="P1108" s="57"/>
      <c r="Q1108" s="57"/>
      <c r="R1108" s="57"/>
      <c r="S1108" s="31"/>
      <c r="T1108" s="57"/>
      <c r="U1108" s="57"/>
      <c r="V1108" s="57"/>
      <c r="W1108" s="57"/>
      <c r="X1108" s="31"/>
      <c r="Y1108" s="57"/>
      <c r="Z1108" s="57"/>
      <c r="AA1108" s="57"/>
      <c r="AB1108" s="57"/>
      <c r="AC1108" s="31"/>
      <c r="AD1108" s="57"/>
      <c r="AE1108" s="57"/>
      <c r="AF1108" s="57"/>
      <c r="AG1108" s="57"/>
      <c r="AH1108" s="57"/>
      <c r="AI1108" s="57"/>
      <c r="AJ1108" s="57"/>
      <c r="AK1108" s="57"/>
      <c r="AL1108" s="57"/>
      <c r="AM1108" s="57"/>
      <c r="AN1108" s="57"/>
      <c r="AO1108" s="57"/>
      <c r="AP1108" s="35"/>
      <c r="AQ1108" s="57"/>
      <c r="AR1108" s="36"/>
      <c r="AS1108" s="57"/>
      <c r="AT1108" s="37"/>
      <c r="AU1108" s="30"/>
      <c r="AV1108" s="30"/>
      <c r="AW1108" s="30"/>
      <c r="AX1108" s="30"/>
      <c r="AY1108" s="30"/>
      <c r="AZ1108" s="30"/>
    </row>
    <row r="1109">
      <c r="A1109" s="30"/>
      <c r="B1109" s="30"/>
      <c r="C1109" s="30"/>
      <c r="D1109" s="31"/>
      <c r="E1109" s="31"/>
      <c r="F1109" s="31"/>
      <c r="G1109" s="31"/>
      <c r="H1109" s="31"/>
      <c r="I1109" s="54"/>
      <c r="J1109" s="55"/>
      <c r="K1109" s="54"/>
      <c r="L1109" s="56"/>
      <c r="M1109" s="56"/>
      <c r="N1109" s="31"/>
      <c r="O1109" s="57"/>
      <c r="P1109" s="57"/>
      <c r="Q1109" s="57"/>
      <c r="R1109" s="57"/>
      <c r="S1109" s="31"/>
      <c r="T1109" s="57"/>
      <c r="U1109" s="57"/>
      <c r="V1109" s="57"/>
      <c r="W1109" s="57"/>
      <c r="X1109" s="31"/>
      <c r="Y1109" s="57"/>
      <c r="Z1109" s="57"/>
      <c r="AA1109" s="57"/>
      <c r="AB1109" s="57"/>
      <c r="AC1109" s="31"/>
      <c r="AD1109" s="57"/>
      <c r="AE1109" s="57"/>
      <c r="AF1109" s="57"/>
      <c r="AG1109" s="57"/>
      <c r="AH1109" s="57"/>
      <c r="AI1109" s="57"/>
      <c r="AJ1109" s="57"/>
      <c r="AK1109" s="57"/>
      <c r="AL1109" s="57"/>
      <c r="AM1109" s="57"/>
      <c r="AN1109" s="57"/>
      <c r="AO1109" s="57"/>
      <c r="AP1109" s="35"/>
      <c r="AQ1109" s="57"/>
      <c r="AR1109" s="36"/>
      <c r="AS1109" s="57"/>
      <c r="AT1109" s="37"/>
      <c r="AU1109" s="30"/>
      <c r="AV1109" s="30"/>
      <c r="AW1109" s="30"/>
      <c r="AX1109" s="30"/>
      <c r="AY1109" s="30"/>
      <c r="AZ1109" s="30"/>
    </row>
    <row r="1110">
      <c r="A1110" s="30"/>
      <c r="B1110" s="30"/>
      <c r="C1110" s="30"/>
      <c r="D1110" s="31"/>
      <c r="E1110" s="31"/>
      <c r="F1110" s="31"/>
      <c r="G1110" s="31"/>
      <c r="H1110" s="31"/>
      <c r="I1110" s="54"/>
      <c r="J1110" s="55"/>
      <c r="K1110" s="54"/>
      <c r="L1110" s="56"/>
      <c r="M1110" s="56"/>
      <c r="N1110" s="31"/>
      <c r="O1110" s="57"/>
      <c r="P1110" s="57"/>
      <c r="Q1110" s="57"/>
      <c r="R1110" s="57"/>
      <c r="S1110" s="31"/>
      <c r="T1110" s="57"/>
      <c r="U1110" s="57"/>
      <c r="V1110" s="57"/>
      <c r="W1110" s="57"/>
      <c r="X1110" s="31"/>
      <c r="Y1110" s="57"/>
      <c r="Z1110" s="57"/>
      <c r="AA1110" s="57"/>
      <c r="AB1110" s="57"/>
      <c r="AC1110" s="31"/>
      <c r="AD1110" s="57"/>
      <c r="AE1110" s="57"/>
      <c r="AF1110" s="57"/>
      <c r="AG1110" s="57"/>
      <c r="AH1110" s="57"/>
      <c r="AI1110" s="57"/>
      <c r="AJ1110" s="57"/>
      <c r="AK1110" s="57"/>
      <c r="AL1110" s="57"/>
      <c r="AM1110" s="57"/>
      <c r="AN1110" s="57"/>
      <c r="AO1110" s="57"/>
      <c r="AP1110" s="35"/>
      <c r="AQ1110" s="57"/>
      <c r="AR1110" s="36"/>
      <c r="AS1110" s="57"/>
      <c r="AT1110" s="37"/>
      <c r="AU1110" s="30"/>
      <c r="AV1110" s="30"/>
      <c r="AW1110" s="30"/>
      <c r="AX1110" s="30"/>
      <c r="AY1110" s="30"/>
      <c r="AZ1110" s="30"/>
    </row>
    <row r="1111">
      <c r="A1111" s="30"/>
      <c r="B1111" s="30"/>
      <c r="C1111" s="30"/>
      <c r="D1111" s="31"/>
      <c r="E1111" s="31"/>
      <c r="F1111" s="31"/>
      <c r="G1111" s="31"/>
      <c r="H1111" s="31"/>
      <c r="I1111" s="54"/>
      <c r="J1111" s="55"/>
      <c r="K1111" s="54"/>
      <c r="L1111" s="56"/>
      <c r="M1111" s="56"/>
      <c r="N1111" s="31"/>
      <c r="O1111" s="57"/>
      <c r="P1111" s="57"/>
      <c r="Q1111" s="57"/>
      <c r="R1111" s="57"/>
      <c r="S1111" s="31"/>
      <c r="T1111" s="57"/>
      <c r="U1111" s="57"/>
      <c r="V1111" s="57"/>
      <c r="W1111" s="57"/>
      <c r="X1111" s="31"/>
      <c r="Y1111" s="57"/>
      <c r="Z1111" s="57"/>
      <c r="AA1111" s="57"/>
      <c r="AB1111" s="57"/>
      <c r="AC1111" s="31"/>
      <c r="AD1111" s="57"/>
      <c r="AE1111" s="57"/>
      <c r="AF1111" s="57"/>
      <c r="AG1111" s="57"/>
      <c r="AH1111" s="57"/>
      <c r="AI1111" s="57"/>
      <c r="AJ1111" s="57"/>
      <c r="AK1111" s="57"/>
      <c r="AL1111" s="57"/>
      <c r="AM1111" s="57"/>
      <c r="AN1111" s="57"/>
      <c r="AO1111" s="57"/>
      <c r="AP1111" s="35"/>
      <c r="AQ1111" s="57"/>
      <c r="AR1111" s="36"/>
      <c r="AS1111" s="57"/>
      <c r="AT1111" s="37"/>
      <c r="AU1111" s="30"/>
      <c r="AV1111" s="30"/>
      <c r="AW1111" s="30"/>
      <c r="AX1111" s="30"/>
      <c r="AY1111" s="30"/>
      <c r="AZ1111" s="30"/>
    </row>
    <row r="1112">
      <c r="A1112" s="30"/>
      <c r="B1112" s="30"/>
      <c r="C1112" s="30"/>
      <c r="D1112" s="31"/>
      <c r="E1112" s="31"/>
      <c r="F1112" s="31"/>
      <c r="G1112" s="31"/>
      <c r="H1112" s="31"/>
      <c r="I1112" s="54"/>
      <c r="J1112" s="55"/>
      <c r="K1112" s="54"/>
      <c r="L1112" s="56"/>
      <c r="M1112" s="56"/>
      <c r="N1112" s="31"/>
      <c r="O1112" s="57"/>
      <c r="P1112" s="57"/>
      <c r="Q1112" s="57"/>
      <c r="R1112" s="57"/>
      <c r="S1112" s="31"/>
      <c r="T1112" s="57"/>
      <c r="U1112" s="57"/>
      <c r="V1112" s="57"/>
      <c r="W1112" s="57"/>
      <c r="X1112" s="31"/>
      <c r="Y1112" s="57"/>
      <c r="Z1112" s="57"/>
      <c r="AA1112" s="57"/>
      <c r="AB1112" s="57"/>
      <c r="AC1112" s="31"/>
      <c r="AD1112" s="57"/>
      <c r="AE1112" s="57"/>
      <c r="AF1112" s="57"/>
      <c r="AG1112" s="57"/>
      <c r="AH1112" s="57"/>
      <c r="AI1112" s="57"/>
      <c r="AJ1112" s="57"/>
      <c r="AK1112" s="57"/>
      <c r="AL1112" s="57"/>
      <c r="AM1112" s="57"/>
      <c r="AN1112" s="57"/>
      <c r="AO1112" s="57"/>
      <c r="AP1112" s="35"/>
      <c r="AQ1112" s="57"/>
      <c r="AR1112" s="36"/>
      <c r="AS1112" s="57"/>
      <c r="AT1112" s="37"/>
      <c r="AU1112" s="30"/>
      <c r="AV1112" s="30"/>
      <c r="AW1112" s="30"/>
      <c r="AX1112" s="30"/>
      <c r="AY1112" s="30"/>
      <c r="AZ1112" s="30"/>
    </row>
    <row r="1113">
      <c r="A1113" s="30"/>
      <c r="B1113" s="30"/>
      <c r="C1113" s="30"/>
      <c r="D1113" s="31"/>
      <c r="E1113" s="31"/>
      <c r="F1113" s="31"/>
      <c r="G1113" s="31"/>
      <c r="H1113" s="31"/>
      <c r="I1113" s="54"/>
      <c r="J1113" s="55"/>
      <c r="K1113" s="54"/>
      <c r="L1113" s="56"/>
      <c r="M1113" s="56"/>
      <c r="N1113" s="31"/>
      <c r="O1113" s="57"/>
      <c r="P1113" s="57"/>
      <c r="Q1113" s="57"/>
      <c r="R1113" s="57"/>
      <c r="S1113" s="31"/>
      <c r="T1113" s="57"/>
      <c r="U1113" s="57"/>
      <c r="V1113" s="57"/>
      <c r="W1113" s="57"/>
      <c r="X1113" s="31"/>
      <c r="Y1113" s="57"/>
      <c r="Z1113" s="57"/>
      <c r="AA1113" s="57"/>
      <c r="AB1113" s="57"/>
      <c r="AC1113" s="31"/>
      <c r="AD1113" s="57"/>
      <c r="AE1113" s="57"/>
      <c r="AF1113" s="57"/>
      <c r="AG1113" s="57"/>
      <c r="AH1113" s="57"/>
      <c r="AI1113" s="57"/>
      <c r="AJ1113" s="57"/>
      <c r="AK1113" s="57"/>
      <c r="AL1113" s="57"/>
      <c r="AM1113" s="57"/>
      <c r="AN1113" s="57"/>
      <c r="AO1113" s="57"/>
      <c r="AP1113" s="35"/>
      <c r="AQ1113" s="57"/>
      <c r="AR1113" s="36"/>
      <c r="AS1113" s="57"/>
      <c r="AT1113" s="37"/>
      <c r="AU1113" s="30"/>
      <c r="AV1113" s="30"/>
      <c r="AW1113" s="30"/>
      <c r="AX1113" s="30"/>
      <c r="AY1113" s="30"/>
      <c r="AZ1113" s="30"/>
    </row>
    <row r="1114">
      <c r="A1114" s="30"/>
      <c r="B1114" s="30"/>
      <c r="C1114" s="30"/>
      <c r="D1114" s="31"/>
      <c r="E1114" s="31"/>
      <c r="F1114" s="31"/>
      <c r="G1114" s="31"/>
      <c r="H1114" s="31"/>
      <c r="I1114" s="54"/>
      <c r="J1114" s="55"/>
      <c r="K1114" s="54"/>
      <c r="L1114" s="56"/>
      <c r="M1114" s="56"/>
      <c r="N1114" s="31"/>
      <c r="O1114" s="57"/>
      <c r="P1114" s="57"/>
      <c r="Q1114" s="57"/>
      <c r="R1114" s="57"/>
      <c r="S1114" s="31"/>
      <c r="T1114" s="57"/>
      <c r="U1114" s="57"/>
      <c r="V1114" s="57"/>
      <c r="W1114" s="57"/>
      <c r="X1114" s="31"/>
      <c r="Y1114" s="57"/>
      <c r="Z1114" s="57"/>
      <c r="AA1114" s="57"/>
      <c r="AB1114" s="57"/>
      <c r="AC1114" s="31"/>
      <c r="AD1114" s="57"/>
      <c r="AE1114" s="57"/>
      <c r="AF1114" s="57"/>
      <c r="AG1114" s="57"/>
      <c r="AH1114" s="57"/>
      <c r="AI1114" s="57"/>
      <c r="AJ1114" s="57"/>
      <c r="AK1114" s="57"/>
      <c r="AL1114" s="57"/>
      <c r="AM1114" s="57"/>
      <c r="AN1114" s="57"/>
      <c r="AO1114" s="57"/>
      <c r="AP1114" s="35"/>
      <c r="AQ1114" s="57"/>
      <c r="AR1114" s="36"/>
      <c r="AS1114" s="57"/>
      <c r="AT1114" s="37"/>
      <c r="AU1114" s="30"/>
      <c r="AV1114" s="30"/>
      <c r="AW1114" s="30"/>
      <c r="AX1114" s="30"/>
      <c r="AY1114" s="30"/>
      <c r="AZ1114" s="30"/>
    </row>
    <row r="1115">
      <c r="A1115" s="30"/>
      <c r="B1115" s="30"/>
      <c r="C1115" s="30"/>
      <c r="D1115" s="31"/>
      <c r="E1115" s="31"/>
      <c r="F1115" s="31"/>
      <c r="G1115" s="31"/>
      <c r="H1115" s="31"/>
      <c r="I1115" s="54"/>
      <c r="J1115" s="55"/>
      <c r="K1115" s="54"/>
      <c r="L1115" s="56"/>
      <c r="M1115" s="56"/>
      <c r="N1115" s="31"/>
      <c r="O1115" s="57"/>
      <c r="P1115" s="57"/>
      <c r="Q1115" s="57"/>
      <c r="R1115" s="57"/>
      <c r="S1115" s="31"/>
      <c r="T1115" s="57"/>
      <c r="U1115" s="57"/>
      <c r="V1115" s="57"/>
      <c r="W1115" s="57"/>
      <c r="X1115" s="31"/>
      <c r="Y1115" s="57"/>
      <c r="Z1115" s="57"/>
      <c r="AA1115" s="57"/>
      <c r="AB1115" s="57"/>
      <c r="AC1115" s="31"/>
      <c r="AD1115" s="57"/>
      <c r="AE1115" s="57"/>
      <c r="AF1115" s="57"/>
      <c r="AG1115" s="57"/>
      <c r="AH1115" s="57"/>
      <c r="AI1115" s="57"/>
      <c r="AJ1115" s="57"/>
      <c r="AK1115" s="57"/>
      <c r="AL1115" s="57"/>
      <c r="AM1115" s="57"/>
      <c r="AN1115" s="57"/>
      <c r="AO1115" s="57"/>
      <c r="AP1115" s="35"/>
      <c r="AQ1115" s="57"/>
      <c r="AR1115" s="36"/>
      <c r="AS1115" s="57"/>
      <c r="AT1115" s="37"/>
      <c r="AU1115" s="30"/>
      <c r="AV1115" s="30"/>
      <c r="AW1115" s="30"/>
      <c r="AX1115" s="30"/>
      <c r="AY1115" s="30"/>
      <c r="AZ1115" s="30"/>
    </row>
    <row r="1116">
      <c r="A1116" s="30"/>
      <c r="B1116" s="30"/>
      <c r="C1116" s="30"/>
      <c r="D1116" s="31"/>
      <c r="E1116" s="31"/>
      <c r="F1116" s="31"/>
      <c r="G1116" s="31"/>
      <c r="H1116" s="31"/>
      <c r="I1116" s="54"/>
      <c r="J1116" s="55"/>
      <c r="K1116" s="54"/>
      <c r="L1116" s="56"/>
      <c r="M1116" s="56"/>
      <c r="N1116" s="31"/>
      <c r="O1116" s="57"/>
      <c r="P1116" s="57"/>
      <c r="Q1116" s="57"/>
      <c r="R1116" s="57"/>
      <c r="S1116" s="31"/>
      <c r="T1116" s="57"/>
      <c r="U1116" s="57"/>
      <c r="V1116" s="57"/>
      <c r="W1116" s="57"/>
      <c r="X1116" s="31"/>
      <c r="Y1116" s="57"/>
      <c r="Z1116" s="57"/>
      <c r="AA1116" s="57"/>
      <c r="AB1116" s="57"/>
      <c r="AC1116" s="31"/>
      <c r="AD1116" s="57"/>
      <c r="AE1116" s="57"/>
      <c r="AF1116" s="57"/>
      <c r="AG1116" s="57"/>
      <c r="AH1116" s="57"/>
      <c r="AI1116" s="57"/>
      <c r="AJ1116" s="57"/>
      <c r="AK1116" s="57"/>
      <c r="AL1116" s="57"/>
      <c r="AM1116" s="57"/>
      <c r="AN1116" s="57"/>
      <c r="AO1116" s="57"/>
      <c r="AP1116" s="35"/>
      <c r="AQ1116" s="57"/>
      <c r="AR1116" s="36"/>
      <c r="AS1116" s="57"/>
      <c r="AT1116" s="37"/>
      <c r="AU1116" s="30"/>
      <c r="AV1116" s="30"/>
      <c r="AW1116" s="30"/>
      <c r="AX1116" s="30"/>
      <c r="AY1116" s="30"/>
      <c r="AZ1116" s="30"/>
    </row>
    <row r="1117">
      <c r="A1117" s="30"/>
      <c r="B1117" s="30"/>
      <c r="C1117" s="30"/>
      <c r="D1117" s="31"/>
      <c r="E1117" s="31"/>
      <c r="F1117" s="31"/>
      <c r="G1117" s="31"/>
      <c r="H1117" s="31"/>
      <c r="I1117" s="54"/>
      <c r="J1117" s="55"/>
      <c r="K1117" s="54"/>
      <c r="L1117" s="56"/>
      <c r="M1117" s="56"/>
      <c r="N1117" s="31"/>
      <c r="O1117" s="57"/>
      <c r="P1117" s="57"/>
      <c r="Q1117" s="57"/>
      <c r="R1117" s="57"/>
      <c r="S1117" s="31"/>
      <c r="T1117" s="57"/>
      <c r="U1117" s="57"/>
      <c r="V1117" s="57"/>
      <c r="W1117" s="57"/>
      <c r="X1117" s="31"/>
      <c r="Y1117" s="57"/>
      <c r="Z1117" s="57"/>
      <c r="AA1117" s="57"/>
      <c r="AB1117" s="57"/>
      <c r="AC1117" s="31"/>
      <c r="AD1117" s="57"/>
      <c r="AE1117" s="57"/>
      <c r="AF1117" s="57"/>
      <c r="AG1117" s="57"/>
      <c r="AH1117" s="57"/>
      <c r="AI1117" s="57"/>
      <c r="AJ1117" s="57"/>
      <c r="AK1117" s="57"/>
      <c r="AL1117" s="57"/>
      <c r="AM1117" s="57"/>
      <c r="AN1117" s="57"/>
      <c r="AO1117" s="57"/>
      <c r="AP1117" s="35"/>
      <c r="AQ1117" s="57"/>
      <c r="AR1117" s="36"/>
      <c r="AS1117" s="57"/>
      <c r="AT1117" s="37"/>
      <c r="AU1117" s="30"/>
      <c r="AV1117" s="30"/>
      <c r="AW1117" s="30"/>
      <c r="AX1117" s="30"/>
      <c r="AY1117" s="30"/>
      <c r="AZ1117" s="30"/>
    </row>
    <row r="1118">
      <c r="A1118" s="30"/>
      <c r="B1118" s="30"/>
      <c r="C1118" s="30"/>
      <c r="D1118" s="31"/>
      <c r="E1118" s="31"/>
      <c r="F1118" s="31"/>
      <c r="G1118" s="31"/>
      <c r="H1118" s="31"/>
      <c r="I1118" s="54"/>
      <c r="J1118" s="55"/>
      <c r="K1118" s="54"/>
      <c r="L1118" s="56"/>
      <c r="M1118" s="56"/>
      <c r="N1118" s="31"/>
      <c r="O1118" s="57"/>
      <c r="P1118" s="57"/>
      <c r="Q1118" s="57"/>
      <c r="R1118" s="57"/>
      <c r="S1118" s="31"/>
      <c r="T1118" s="57"/>
      <c r="U1118" s="57"/>
      <c r="V1118" s="57"/>
      <c r="W1118" s="57"/>
      <c r="X1118" s="31"/>
      <c r="Y1118" s="57"/>
      <c r="Z1118" s="57"/>
      <c r="AA1118" s="57"/>
      <c r="AB1118" s="57"/>
      <c r="AC1118" s="31"/>
      <c r="AD1118" s="57"/>
      <c r="AE1118" s="57"/>
      <c r="AF1118" s="57"/>
      <c r="AG1118" s="57"/>
      <c r="AH1118" s="57"/>
      <c r="AI1118" s="57"/>
      <c r="AJ1118" s="57"/>
      <c r="AK1118" s="57"/>
      <c r="AL1118" s="57"/>
      <c r="AM1118" s="57"/>
      <c r="AN1118" s="57"/>
      <c r="AO1118" s="57"/>
      <c r="AP1118" s="35"/>
      <c r="AQ1118" s="57"/>
      <c r="AR1118" s="36"/>
      <c r="AS1118" s="57"/>
      <c r="AT1118" s="37"/>
      <c r="AU1118" s="30"/>
      <c r="AV1118" s="30"/>
      <c r="AW1118" s="30"/>
      <c r="AX1118" s="30"/>
      <c r="AY1118" s="30"/>
      <c r="AZ1118" s="30"/>
    </row>
    <row r="1119">
      <c r="A1119" s="30"/>
      <c r="B1119" s="30"/>
      <c r="C1119" s="30"/>
      <c r="D1119" s="31"/>
      <c r="E1119" s="31"/>
      <c r="F1119" s="31"/>
      <c r="G1119" s="31"/>
      <c r="H1119" s="31"/>
      <c r="I1119" s="54"/>
      <c r="J1119" s="55"/>
      <c r="K1119" s="54"/>
      <c r="L1119" s="56"/>
      <c r="M1119" s="56"/>
      <c r="N1119" s="31"/>
      <c r="O1119" s="57"/>
      <c r="P1119" s="57"/>
      <c r="Q1119" s="57"/>
      <c r="R1119" s="57"/>
      <c r="S1119" s="31"/>
      <c r="T1119" s="57"/>
      <c r="U1119" s="57"/>
      <c r="V1119" s="57"/>
      <c r="W1119" s="57"/>
      <c r="X1119" s="31"/>
      <c r="Y1119" s="57"/>
      <c r="Z1119" s="57"/>
      <c r="AA1119" s="57"/>
      <c r="AB1119" s="57"/>
      <c r="AC1119" s="31"/>
      <c r="AD1119" s="57"/>
      <c r="AE1119" s="57"/>
      <c r="AF1119" s="57"/>
      <c r="AG1119" s="57"/>
      <c r="AH1119" s="57"/>
      <c r="AI1119" s="57"/>
      <c r="AJ1119" s="57"/>
      <c r="AK1119" s="57"/>
      <c r="AL1119" s="57"/>
      <c r="AM1119" s="57"/>
      <c r="AN1119" s="57"/>
      <c r="AO1119" s="57"/>
      <c r="AP1119" s="35"/>
      <c r="AQ1119" s="57"/>
      <c r="AR1119" s="36"/>
      <c r="AS1119" s="57"/>
      <c r="AT1119" s="37"/>
      <c r="AU1119" s="30"/>
      <c r="AV1119" s="30"/>
      <c r="AW1119" s="30"/>
      <c r="AX1119" s="30"/>
      <c r="AY1119" s="30"/>
      <c r="AZ1119" s="30"/>
    </row>
    <row r="1120">
      <c r="A1120" s="30"/>
      <c r="B1120" s="30"/>
      <c r="C1120" s="30"/>
      <c r="D1120" s="31"/>
      <c r="E1120" s="31"/>
      <c r="F1120" s="31"/>
      <c r="G1120" s="31"/>
      <c r="H1120" s="31"/>
      <c r="I1120" s="54"/>
      <c r="J1120" s="55"/>
      <c r="K1120" s="54"/>
      <c r="L1120" s="56"/>
      <c r="M1120" s="56"/>
      <c r="N1120" s="31"/>
      <c r="O1120" s="57"/>
      <c r="P1120" s="57"/>
      <c r="Q1120" s="57"/>
      <c r="R1120" s="57"/>
      <c r="S1120" s="31"/>
      <c r="T1120" s="57"/>
      <c r="U1120" s="57"/>
      <c r="V1120" s="57"/>
      <c r="W1120" s="57"/>
      <c r="X1120" s="31"/>
      <c r="Y1120" s="57"/>
      <c r="Z1120" s="57"/>
      <c r="AA1120" s="57"/>
      <c r="AB1120" s="57"/>
      <c r="AC1120" s="31"/>
      <c r="AD1120" s="57"/>
      <c r="AE1120" s="57"/>
      <c r="AF1120" s="57"/>
      <c r="AG1120" s="57"/>
      <c r="AH1120" s="57"/>
      <c r="AI1120" s="57"/>
      <c r="AJ1120" s="57"/>
      <c r="AK1120" s="57"/>
      <c r="AL1120" s="57"/>
      <c r="AM1120" s="57"/>
      <c r="AN1120" s="57"/>
      <c r="AO1120" s="57"/>
      <c r="AP1120" s="35"/>
      <c r="AQ1120" s="57"/>
      <c r="AR1120" s="36"/>
      <c r="AS1120" s="57"/>
      <c r="AT1120" s="37"/>
      <c r="AU1120" s="30"/>
      <c r="AV1120" s="30"/>
      <c r="AW1120" s="30"/>
      <c r="AX1120" s="30"/>
      <c r="AY1120" s="30"/>
      <c r="AZ1120" s="30"/>
    </row>
    <row r="1121">
      <c r="A1121" s="30"/>
      <c r="B1121" s="30"/>
      <c r="C1121" s="30"/>
      <c r="D1121" s="31"/>
      <c r="E1121" s="31"/>
      <c r="F1121" s="31"/>
      <c r="G1121" s="31"/>
      <c r="H1121" s="31"/>
      <c r="I1121" s="54"/>
      <c r="J1121" s="55"/>
      <c r="K1121" s="54"/>
      <c r="L1121" s="56"/>
      <c r="M1121" s="56"/>
      <c r="N1121" s="31"/>
      <c r="O1121" s="57"/>
      <c r="P1121" s="57"/>
      <c r="Q1121" s="57"/>
      <c r="R1121" s="57"/>
      <c r="S1121" s="31"/>
      <c r="T1121" s="57"/>
      <c r="U1121" s="57"/>
      <c r="V1121" s="57"/>
      <c r="W1121" s="57"/>
      <c r="X1121" s="31"/>
      <c r="Y1121" s="57"/>
      <c r="Z1121" s="57"/>
      <c r="AA1121" s="57"/>
      <c r="AB1121" s="57"/>
      <c r="AC1121" s="31"/>
      <c r="AD1121" s="57"/>
      <c r="AE1121" s="57"/>
      <c r="AF1121" s="57"/>
      <c r="AG1121" s="57"/>
      <c r="AH1121" s="57"/>
      <c r="AI1121" s="57"/>
      <c r="AJ1121" s="57"/>
      <c r="AK1121" s="57"/>
      <c r="AL1121" s="57"/>
      <c r="AM1121" s="57"/>
      <c r="AN1121" s="57"/>
      <c r="AO1121" s="57"/>
      <c r="AP1121" s="35"/>
      <c r="AQ1121" s="57"/>
      <c r="AR1121" s="36"/>
      <c r="AS1121" s="57"/>
      <c r="AT1121" s="37"/>
      <c r="AU1121" s="30"/>
      <c r="AV1121" s="30"/>
      <c r="AW1121" s="30"/>
      <c r="AX1121" s="30"/>
      <c r="AY1121" s="30"/>
      <c r="AZ1121" s="30"/>
    </row>
    <row r="1122">
      <c r="A1122" s="30"/>
      <c r="B1122" s="30"/>
      <c r="C1122" s="30"/>
      <c r="D1122" s="31"/>
      <c r="E1122" s="31"/>
      <c r="F1122" s="31"/>
      <c r="G1122" s="31"/>
      <c r="H1122" s="31"/>
      <c r="I1122" s="54"/>
      <c r="J1122" s="55"/>
      <c r="K1122" s="54"/>
      <c r="L1122" s="56"/>
      <c r="M1122" s="56"/>
      <c r="N1122" s="31"/>
      <c r="O1122" s="57"/>
      <c r="P1122" s="57"/>
      <c r="Q1122" s="57"/>
      <c r="R1122" s="57"/>
      <c r="S1122" s="31"/>
      <c r="T1122" s="57"/>
      <c r="U1122" s="57"/>
      <c r="V1122" s="57"/>
      <c r="W1122" s="57"/>
      <c r="X1122" s="31"/>
      <c r="Y1122" s="57"/>
      <c r="Z1122" s="57"/>
      <c r="AA1122" s="57"/>
      <c r="AB1122" s="57"/>
      <c r="AC1122" s="31"/>
      <c r="AD1122" s="57"/>
      <c r="AE1122" s="57"/>
      <c r="AF1122" s="57"/>
      <c r="AG1122" s="57"/>
      <c r="AH1122" s="57"/>
      <c r="AI1122" s="57"/>
      <c r="AJ1122" s="57"/>
      <c r="AK1122" s="57"/>
      <c r="AL1122" s="57"/>
      <c r="AM1122" s="57"/>
      <c r="AN1122" s="57"/>
      <c r="AO1122" s="57"/>
      <c r="AP1122" s="35"/>
      <c r="AQ1122" s="57"/>
      <c r="AR1122" s="36"/>
      <c r="AS1122" s="57"/>
      <c r="AT1122" s="37"/>
      <c r="AU1122" s="30"/>
      <c r="AV1122" s="30"/>
      <c r="AW1122" s="30"/>
      <c r="AX1122" s="30"/>
      <c r="AY1122" s="30"/>
      <c r="AZ1122" s="30"/>
    </row>
    <row r="1123">
      <c r="A1123" s="30"/>
      <c r="B1123" s="30"/>
      <c r="C1123" s="30"/>
      <c r="D1123" s="31"/>
      <c r="E1123" s="31"/>
      <c r="F1123" s="31"/>
      <c r="G1123" s="31"/>
      <c r="H1123" s="31"/>
      <c r="I1123" s="54"/>
      <c r="J1123" s="55"/>
      <c r="K1123" s="54"/>
      <c r="L1123" s="56"/>
      <c r="M1123" s="56"/>
      <c r="N1123" s="31"/>
      <c r="O1123" s="57"/>
      <c r="P1123" s="57"/>
      <c r="Q1123" s="57"/>
      <c r="R1123" s="57"/>
      <c r="S1123" s="31"/>
      <c r="T1123" s="57"/>
      <c r="U1123" s="57"/>
      <c r="V1123" s="57"/>
      <c r="W1123" s="57"/>
      <c r="X1123" s="31"/>
      <c r="Y1123" s="57"/>
      <c r="Z1123" s="57"/>
      <c r="AA1123" s="57"/>
      <c r="AB1123" s="57"/>
      <c r="AC1123" s="31"/>
      <c r="AD1123" s="57"/>
      <c r="AE1123" s="57"/>
      <c r="AF1123" s="57"/>
      <c r="AG1123" s="57"/>
      <c r="AH1123" s="57"/>
      <c r="AI1123" s="57"/>
      <c r="AJ1123" s="57"/>
      <c r="AK1123" s="57"/>
      <c r="AL1123" s="57"/>
      <c r="AM1123" s="57"/>
      <c r="AN1123" s="57"/>
      <c r="AO1123" s="57"/>
      <c r="AP1123" s="35"/>
      <c r="AQ1123" s="57"/>
      <c r="AR1123" s="36"/>
      <c r="AS1123" s="57"/>
      <c r="AT1123" s="37"/>
      <c r="AU1123" s="30"/>
      <c r="AV1123" s="30"/>
      <c r="AW1123" s="30"/>
      <c r="AX1123" s="30"/>
      <c r="AY1123" s="30"/>
      <c r="AZ1123" s="30"/>
    </row>
    <row r="1124">
      <c r="A1124" s="30"/>
      <c r="B1124" s="30"/>
      <c r="C1124" s="30"/>
      <c r="D1124" s="31"/>
      <c r="E1124" s="31"/>
      <c r="F1124" s="31"/>
      <c r="G1124" s="31"/>
      <c r="H1124" s="31"/>
      <c r="I1124" s="54"/>
      <c r="J1124" s="55"/>
      <c r="K1124" s="54"/>
      <c r="L1124" s="56"/>
      <c r="M1124" s="56"/>
      <c r="N1124" s="31"/>
      <c r="O1124" s="57"/>
      <c r="P1124" s="57"/>
      <c r="Q1124" s="57"/>
      <c r="R1124" s="57"/>
      <c r="S1124" s="31"/>
      <c r="T1124" s="57"/>
      <c r="U1124" s="57"/>
      <c r="V1124" s="57"/>
      <c r="W1124" s="57"/>
      <c r="X1124" s="31"/>
      <c r="Y1124" s="57"/>
      <c r="Z1124" s="57"/>
      <c r="AA1124" s="57"/>
      <c r="AB1124" s="57"/>
      <c r="AC1124" s="31"/>
      <c r="AD1124" s="57"/>
      <c r="AE1124" s="57"/>
      <c r="AF1124" s="57"/>
      <c r="AG1124" s="57"/>
      <c r="AH1124" s="57"/>
      <c r="AI1124" s="57"/>
      <c r="AJ1124" s="57"/>
      <c r="AK1124" s="57"/>
      <c r="AL1124" s="57"/>
      <c r="AM1124" s="57"/>
      <c r="AN1124" s="57"/>
      <c r="AO1124" s="57"/>
      <c r="AP1124" s="35"/>
      <c r="AQ1124" s="57"/>
      <c r="AR1124" s="36"/>
      <c r="AS1124" s="57"/>
      <c r="AT1124" s="37"/>
      <c r="AU1124" s="30"/>
      <c r="AV1124" s="30"/>
      <c r="AW1124" s="30"/>
      <c r="AX1124" s="30"/>
      <c r="AY1124" s="30"/>
      <c r="AZ1124" s="30"/>
    </row>
    <row r="1125">
      <c r="A1125" s="30"/>
      <c r="B1125" s="30"/>
      <c r="C1125" s="30"/>
      <c r="D1125" s="31"/>
      <c r="E1125" s="31"/>
      <c r="F1125" s="31"/>
      <c r="G1125" s="31"/>
      <c r="H1125" s="31"/>
      <c r="I1125" s="54"/>
      <c r="J1125" s="55"/>
      <c r="K1125" s="54"/>
      <c r="L1125" s="56"/>
      <c r="M1125" s="56"/>
      <c r="N1125" s="31"/>
      <c r="O1125" s="57"/>
      <c r="P1125" s="57"/>
      <c r="Q1125" s="57"/>
      <c r="R1125" s="57"/>
      <c r="S1125" s="31"/>
      <c r="T1125" s="57"/>
      <c r="U1125" s="57"/>
      <c r="V1125" s="57"/>
      <c r="W1125" s="57"/>
      <c r="X1125" s="31"/>
      <c r="Y1125" s="57"/>
      <c r="Z1125" s="57"/>
      <c r="AA1125" s="57"/>
      <c r="AB1125" s="57"/>
      <c r="AC1125" s="31"/>
      <c r="AD1125" s="57"/>
      <c r="AE1125" s="57"/>
      <c r="AF1125" s="57"/>
      <c r="AG1125" s="57"/>
      <c r="AH1125" s="57"/>
      <c r="AI1125" s="57"/>
      <c r="AJ1125" s="57"/>
      <c r="AK1125" s="57"/>
      <c r="AL1125" s="57"/>
      <c r="AM1125" s="57"/>
      <c r="AN1125" s="57"/>
      <c r="AO1125" s="57"/>
      <c r="AP1125" s="35"/>
      <c r="AQ1125" s="57"/>
      <c r="AR1125" s="36"/>
      <c r="AS1125" s="57"/>
      <c r="AT1125" s="37"/>
      <c r="AU1125" s="30"/>
      <c r="AV1125" s="30"/>
      <c r="AW1125" s="30"/>
      <c r="AX1125" s="30"/>
      <c r="AY1125" s="30"/>
      <c r="AZ1125" s="30"/>
    </row>
    <row r="1126">
      <c r="A1126" s="30"/>
      <c r="B1126" s="30"/>
      <c r="C1126" s="30"/>
      <c r="D1126" s="31"/>
      <c r="E1126" s="31"/>
      <c r="F1126" s="31"/>
      <c r="G1126" s="31"/>
      <c r="H1126" s="31"/>
      <c r="I1126" s="54"/>
      <c r="J1126" s="55"/>
      <c r="K1126" s="54"/>
      <c r="L1126" s="56"/>
      <c r="M1126" s="56"/>
      <c r="N1126" s="31"/>
      <c r="O1126" s="57"/>
      <c r="P1126" s="57"/>
      <c r="Q1126" s="57"/>
      <c r="R1126" s="57"/>
      <c r="S1126" s="31"/>
      <c r="T1126" s="57"/>
      <c r="U1126" s="57"/>
      <c r="V1126" s="57"/>
      <c r="W1126" s="57"/>
      <c r="X1126" s="31"/>
      <c r="Y1126" s="57"/>
      <c r="Z1126" s="57"/>
      <c r="AA1126" s="57"/>
      <c r="AB1126" s="57"/>
      <c r="AC1126" s="31"/>
      <c r="AD1126" s="57"/>
      <c r="AE1126" s="57"/>
      <c r="AF1126" s="57"/>
      <c r="AG1126" s="57"/>
      <c r="AH1126" s="57"/>
      <c r="AI1126" s="57"/>
      <c r="AJ1126" s="57"/>
      <c r="AK1126" s="57"/>
      <c r="AL1126" s="57"/>
      <c r="AM1126" s="57"/>
      <c r="AN1126" s="57"/>
      <c r="AO1126" s="57"/>
      <c r="AP1126" s="35"/>
      <c r="AQ1126" s="57"/>
      <c r="AR1126" s="36"/>
      <c r="AS1126" s="57"/>
      <c r="AT1126" s="37"/>
      <c r="AU1126" s="30"/>
      <c r="AV1126" s="30"/>
      <c r="AW1126" s="30"/>
      <c r="AX1126" s="30"/>
      <c r="AY1126" s="30"/>
      <c r="AZ1126" s="30"/>
    </row>
    <row r="1127">
      <c r="A1127" s="30"/>
      <c r="B1127" s="30"/>
      <c r="C1127" s="30"/>
      <c r="D1127" s="31"/>
      <c r="E1127" s="31"/>
      <c r="F1127" s="31"/>
      <c r="G1127" s="31"/>
      <c r="H1127" s="31"/>
      <c r="I1127" s="54"/>
      <c r="J1127" s="55"/>
      <c r="K1127" s="54"/>
      <c r="L1127" s="56"/>
      <c r="M1127" s="56"/>
      <c r="N1127" s="31"/>
      <c r="O1127" s="57"/>
      <c r="P1127" s="57"/>
      <c r="Q1127" s="57"/>
      <c r="R1127" s="57"/>
      <c r="S1127" s="31"/>
      <c r="T1127" s="57"/>
      <c r="U1127" s="57"/>
      <c r="V1127" s="57"/>
      <c r="W1127" s="57"/>
      <c r="X1127" s="31"/>
      <c r="Y1127" s="57"/>
      <c r="Z1127" s="57"/>
      <c r="AA1127" s="57"/>
      <c r="AB1127" s="57"/>
      <c r="AC1127" s="31"/>
      <c r="AD1127" s="57"/>
      <c r="AE1127" s="57"/>
      <c r="AF1127" s="57"/>
      <c r="AG1127" s="57"/>
      <c r="AH1127" s="57"/>
      <c r="AI1127" s="57"/>
      <c r="AJ1127" s="57"/>
      <c r="AK1127" s="57"/>
      <c r="AL1127" s="57"/>
      <c r="AM1127" s="57"/>
      <c r="AN1127" s="57"/>
      <c r="AO1127" s="57"/>
      <c r="AP1127" s="35"/>
      <c r="AQ1127" s="57"/>
      <c r="AR1127" s="36"/>
      <c r="AS1127" s="57"/>
      <c r="AT1127" s="37"/>
      <c r="AU1127" s="30"/>
      <c r="AV1127" s="30"/>
      <c r="AW1127" s="30"/>
      <c r="AX1127" s="30"/>
      <c r="AY1127" s="30"/>
      <c r="AZ1127" s="30"/>
    </row>
    <row r="1128">
      <c r="A1128" s="30"/>
      <c r="B1128" s="30"/>
      <c r="C1128" s="30"/>
      <c r="D1128" s="31"/>
      <c r="E1128" s="31"/>
      <c r="F1128" s="31"/>
      <c r="G1128" s="31"/>
      <c r="H1128" s="31"/>
      <c r="I1128" s="54"/>
      <c r="J1128" s="55"/>
      <c r="K1128" s="54"/>
      <c r="L1128" s="56"/>
      <c r="M1128" s="56"/>
      <c r="N1128" s="31"/>
      <c r="O1128" s="57"/>
      <c r="P1128" s="57"/>
      <c r="Q1128" s="57"/>
      <c r="R1128" s="57"/>
      <c r="S1128" s="31"/>
      <c r="T1128" s="57"/>
      <c r="U1128" s="57"/>
      <c r="V1128" s="57"/>
      <c r="W1128" s="57"/>
      <c r="X1128" s="31"/>
      <c r="Y1128" s="57"/>
      <c r="Z1128" s="57"/>
      <c r="AA1128" s="57"/>
      <c r="AB1128" s="57"/>
      <c r="AC1128" s="31"/>
      <c r="AD1128" s="57"/>
      <c r="AE1128" s="57"/>
      <c r="AF1128" s="57"/>
      <c r="AG1128" s="57"/>
      <c r="AH1128" s="57"/>
      <c r="AI1128" s="57"/>
      <c r="AJ1128" s="57"/>
      <c r="AK1128" s="57"/>
      <c r="AL1128" s="57"/>
      <c r="AM1128" s="57"/>
      <c r="AN1128" s="57"/>
      <c r="AO1128" s="57"/>
      <c r="AP1128" s="35"/>
      <c r="AQ1128" s="57"/>
      <c r="AR1128" s="36"/>
      <c r="AS1128" s="57"/>
      <c r="AT1128" s="37"/>
      <c r="AU1128" s="30"/>
      <c r="AV1128" s="30"/>
      <c r="AW1128" s="30"/>
      <c r="AX1128" s="30"/>
      <c r="AY1128" s="30"/>
      <c r="AZ1128" s="30"/>
    </row>
    <row r="1129">
      <c r="A1129" s="30"/>
      <c r="B1129" s="30"/>
      <c r="C1129" s="30"/>
      <c r="D1129" s="31"/>
      <c r="E1129" s="31"/>
      <c r="F1129" s="31"/>
      <c r="G1129" s="31"/>
      <c r="H1129" s="31"/>
      <c r="I1129" s="54"/>
      <c r="J1129" s="55"/>
      <c r="K1129" s="54"/>
      <c r="L1129" s="56"/>
      <c r="M1129" s="56"/>
      <c r="N1129" s="31"/>
      <c r="O1129" s="57"/>
      <c r="P1129" s="57"/>
      <c r="Q1129" s="57"/>
      <c r="R1129" s="57"/>
      <c r="S1129" s="31"/>
      <c r="T1129" s="57"/>
      <c r="U1129" s="57"/>
      <c r="V1129" s="57"/>
      <c r="W1129" s="57"/>
      <c r="X1129" s="31"/>
      <c r="Y1129" s="57"/>
      <c r="Z1129" s="57"/>
      <c r="AA1129" s="57"/>
      <c r="AB1129" s="57"/>
      <c r="AC1129" s="31"/>
      <c r="AD1129" s="57"/>
      <c r="AE1129" s="57"/>
      <c r="AF1129" s="57"/>
      <c r="AG1129" s="57"/>
      <c r="AH1129" s="57"/>
      <c r="AI1129" s="57"/>
      <c r="AJ1129" s="57"/>
      <c r="AK1129" s="57"/>
      <c r="AL1129" s="57"/>
      <c r="AM1129" s="57"/>
      <c r="AN1129" s="57"/>
      <c r="AO1129" s="57"/>
      <c r="AP1129" s="35"/>
      <c r="AQ1129" s="57"/>
      <c r="AR1129" s="36"/>
      <c r="AS1129" s="57"/>
      <c r="AT1129" s="37"/>
      <c r="AU1129" s="30"/>
      <c r="AV1129" s="30"/>
      <c r="AW1129" s="30"/>
      <c r="AX1129" s="30"/>
      <c r="AY1129" s="30"/>
      <c r="AZ1129" s="30"/>
    </row>
    <row r="1130">
      <c r="A1130" s="30"/>
      <c r="B1130" s="30"/>
      <c r="C1130" s="30"/>
      <c r="D1130" s="31"/>
      <c r="E1130" s="31"/>
      <c r="F1130" s="31"/>
      <c r="G1130" s="31"/>
      <c r="H1130" s="31"/>
      <c r="I1130" s="54"/>
      <c r="J1130" s="55"/>
      <c r="K1130" s="54"/>
      <c r="L1130" s="56"/>
      <c r="M1130" s="56"/>
      <c r="N1130" s="31"/>
      <c r="O1130" s="57"/>
      <c r="P1130" s="57"/>
      <c r="Q1130" s="57"/>
      <c r="R1130" s="57"/>
      <c r="S1130" s="31"/>
      <c r="T1130" s="57"/>
      <c r="U1130" s="57"/>
      <c r="V1130" s="57"/>
      <c r="W1130" s="57"/>
      <c r="X1130" s="31"/>
      <c r="Y1130" s="57"/>
      <c r="Z1130" s="57"/>
      <c r="AA1130" s="57"/>
      <c r="AB1130" s="57"/>
      <c r="AC1130" s="31"/>
      <c r="AD1130" s="57"/>
      <c r="AE1130" s="57"/>
      <c r="AF1130" s="57"/>
      <c r="AG1130" s="57"/>
      <c r="AH1130" s="57"/>
      <c r="AI1130" s="57"/>
      <c r="AJ1130" s="57"/>
      <c r="AK1130" s="57"/>
      <c r="AL1130" s="57"/>
      <c r="AM1130" s="57"/>
      <c r="AN1130" s="57"/>
      <c r="AO1130" s="57"/>
      <c r="AP1130" s="35"/>
      <c r="AQ1130" s="57"/>
      <c r="AR1130" s="36"/>
      <c r="AS1130" s="57"/>
      <c r="AT1130" s="37"/>
      <c r="AU1130" s="30"/>
      <c r="AV1130" s="30"/>
      <c r="AW1130" s="30"/>
      <c r="AX1130" s="30"/>
      <c r="AY1130" s="30"/>
      <c r="AZ1130" s="30"/>
    </row>
    <row r="1131">
      <c r="A1131" s="30"/>
      <c r="B1131" s="30"/>
      <c r="C1131" s="30"/>
      <c r="D1131" s="31"/>
      <c r="E1131" s="31"/>
      <c r="F1131" s="31"/>
      <c r="G1131" s="31"/>
      <c r="H1131" s="31"/>
      <c r="I1131" s="54"/>
      <c r="J1131" s="55"/>
      <c r="K1131" s="54"/>
      <c r="L1131" s="56"/>
      <c r="M1131" s="56"/>
      <c r="N1131" s="31"/>
      <c r="O1131" s="57"/>
      <c r="P1131" s="57"/>
      <c r="Q1131" s="57"/>
      <c r="R1131" s="57"/>
      <c r="S1131" s="31"/>
      <c r="T1131" s="57"/>
      <c r="U1131" s="57"/>
      <c r="V1131" s="57"/>
      <c r="W1131" s="57"/>
      <c r="X1131" s="31"/>
      <c r="Y1131" s="57"/>
      <c r="Z1131" s="57"/>
      <c r="AA1131" s="57"/>
      <c r="AB1131" s="57"/>
      <c r="AC1131" s="31"/>
      <c r="AD1131" s="57"/>
      <c r="AE1131" s="57"/>
      <c r="AF1131" s="57"/>
      <c r="AG1131" s="57"/>
      <c r="AH1131" s="57"/>
      <c r="AI1131" s="57"/>
      <c r="AJ1131" s="57"/>
      <c r="AK1131" s="57"/>
      <c r="AL1131" s="57"/>
      <c r="AM1131" s="57"/>
      <c r="AN1131" s="57"/>
      <c r="AO1131" s="57"/>
      <c r="AP1131" s="35"/>
      <c r="AQ1131" s="57"/>
      <c r="AR1131" s="36"/>
      <c r="AS1131" s="57"/>
      <c r="AT1131" s="37"/>
      <c r="AU1131" s="30"/>
      <c r="AV1131" s="30"/>
      <c r="AW1131" s="30"/>
      <c r="AX1131" s="30"/>
      <c r="AY1131" s="30"/>
      <c r="AZ1131" s="30"/>
    </row>
    <row r="1132">
      <c r="A1132" s="30"/>
      <c r="B1132" s="30"/>
      <c r="C1132" s="30"/>
      <c r="D1132" s="31"/>
      <c r="E1132" s="31"/>
      <c r="F1132" s="31"/>
      <c r="G1132" s="31"/>
      <c r="H1132" s="31"/>
      <c r="I1132" s="54"/>
      <c r="J1132" s="55"/>
      <c r="K1132" s="54"/>
      <c r="L1132" s="56"/>
      <c r="M1132" s="56"/>
      <c r="N1132" s="31"/>
      <c r="O1132" s="57"/>
      <c r="P1132" s="57"/>
      <c r="Q1132" s="57"/>
      <c r="R1132" s="57"/>
      <c r="S1132" s="31"/>
      <c r="T1132" s="57"/>
      <c r="U1132" s="57"/>
      <c r="V1132" s="57"/>
      <c r="W1132" s="57"/>
      <c r="X1132" s="31"/>
      <c r="Y1132" s="57"/>
      <c r="Z1132" s="57"/>
      <c r="AA1132" s="57"/>
      <c r="AB1132" s="57"/>
      <c r="AC1132" s="31"/>
      <c r="AD1132" s="57"/>
      <c r="AE1132" s="57"/>
      <c r="AF1132" s="57"/>
      <c r="AG1132" s="57"/>
      <c r="AH1132" s="57"/>
      <c r="AI1132" s="57"/>
      <c r="AJ1132" s="57"/>
      <c r="AK1132" s="57"/>
      <c r="AL1132" s="57"/>
      <c r="AM1132" s="57"/>
      <c r="AN1132" s="57"/>
      <c r="AO1132" s="57"/>
      <c r="AP1132" s="35"/>
      <c r="AQ1132" s="57"/>
      <c r="AR1132" s="36"/>
      <c r="AS1132" s="57"/>
      <c r="AT1132" s="37"/>
      <c r="AU1132" s="30"/>
      <c r="AV1132" s="30"/>
      <c r="AW1132" s="30"/>
      <c r="AX1132" s="30"/>
      <c r="AY1132" s="30"/>
      <c r="AZ1132" s="30"/>
    </row>
    <row r="1133">
      <c r="A1133" s="30"/>
      <c r="B1133" s="30"/>
      <c r="C1133" s="30"/>
      <c r="D1133" s="31"/>
      <c r="E1133" s="31"/>
      <c r="F1133" s="31"/>
      <c r="G1133" s="31"/>
      <c r="H1133" s="31"/>
      <c r="I1133" s="54"/>
      <c r="J1133" s="55"/>
      <c r="K1133" s="54"/>
      <c r="L1133" s="56"/>
      <c r="M1133" s="56"/>
      <c r="N1133" s="31"/>
      <c r="O1133" s="57"/>
      <c r="P1133" s="57"/>
      <c r="Q1133" s="57"/>
      <c r="R1133" s="57"/>
      <c r="S1133" s="31"/>
      <c r="T1133" s="57"/>
      <c r="U1133" s="57"/>
      <c r="V1133" s="57"/>
      <c r="W1133" s="57"/>
      <c r="X1133" s="31"/>
      <c r="Y1133" s="57"/>
      <c r="Z1133" s="57"/>
      <c r="AA1133" s="57"/>
      <c r="AB1133" s="57"/>
      <c r="AC1133" s="31"/>
      <c r="AD1133" s="57"/>
      <c r="AE1133" s="57"/>
      <c r="AF1133" s="57"/>
      <c r="AG1133" s="57"/>
      <c r="AH1133" s="57"/>
      <c r="AI1133" s="57"/>
      <c r="AJ1133" s="57"/>
      <c r="AK1133" s="57"/>
      <c r="AL1133" s="57"/>
      <c r="AM1133" s="57"/>
      <c r="AN1133" s="57"/>
      <c r="AO1133" s="57"/>
      <c r="AP1133" s="35"/>
      <c r="AQ1133" s="57"/>
      <c r="AR1133" s="36"/>
      <c r="AS1133" s="57"/>
      <c r="AT1133" s="37"/>
      <c r="AU1133" s="30"/>
      <c r="AV1133" s="30"/>
      <c r="AW1133" s="30"/>
      <c r="AX1133" s="30"/>
      <c r="AY1133" s="30"/>
      <c r="AZ1133" s="30"/>
    </row>
    <row r="1134">
      <c r="A1134" s="30"/>
      <c r="B1134" s="30"/>
      <c r="C1134" s="30"/>
      <c r="D1134" s="31"/>
      <c r="E1134" s="31"/>
      <c r="F1134" s="31"/>
      <c r="G1134" s="31"/>
      <c r="H1134" s="31"/>
      <c r="I1134" s="54"/>
      <c r="J1134" s="55"/>
      <c r="K1134" s="54"/>
      <c r="L1134" s="56"/>
      <c r="M1134" s="56"/>
      <c r="N1134" s="31"/>
      <c r="O1134" s="57"/>
      <c r="P1134" s="57"/>
      <c r="Q1134" s="57"/>
      <c r="R1134" s="57"/>
      <c r="S1134" s="31"/>
      <c r="T1134" s="57"/>
      <c r="U1134" s="57"/>
      <c r="V1134" s="57"/>
      <c r="W1134" s="57"/>
      <c r="X1134" s="31"/>
      <c r="Y1134" s="57"/>
      <c r="Z1134" s="57"/>
      <c r="AA1134" s="57"/>
      <c r="AB1134" s="57"/>
      <c r="AC1134" s="31"/>
      <c r="AD1134" s="57"/>
      <c r="AE1134" s="57"/>
      <c r="AF1134" s="57"/>
      <c r="AG1134" s="57"/>
      <c r="AH1134" s="57"/>
      <c r="AI1134" s="57"/>
      <c r="AJ1134" s="57"/>
      <c r="AK1134" s="57"/>
      <c r="AL1134" s="57"/>
      <c r="AM1134" s="57"/>
      <c r="AN1134" s="57"/>
      <c r="AO1134" s="57"/>
      <c r="AP1134" s="35"/>
      <c r="AQ1134" s="57"/>
      <c r="AR1134" s="36"/>
      <c r="AS1134" s="57"/>
      <c r="AT1134" s="37"/>
      <c r="AU1134" s="30"/>
      <c r="AV1134" s="30"/>
      <c r="AW1134" s="30"/>
      <c r="AX1134" s="30"/>
      <c r="AY1134" s="30"/>
      <c r="AZ1134" s="30"/>
    </row>
    <row r="1135">
      <c r="A1135" s="30"/>
      <c r="B1135" s="30"/>
      <c r="C1135" s="30"/>
      <c r="D1135" s="31"/>
      <c r="E1135" s="31"/>
      <c r="F1135" s="31"/>
      <c r="G1135" s="31"/>
      <c r="H1135" s="31"/>
      <c r="I1135" s="54"/>
      <c r="J1135" s="55"/>
      <c r="K1135" s="54"/>
      <c r="L1135" s="56"/>
      <c r="M1135" s="56"/>
      <c r="N1135" s="31"/>
      <c r="O1135" s="57"/>
      <c r="P1135" s="57"/>
      <c r="Q1135" s="57"/>
      <c r="R1135" s="57"/>
      <c r="S1135" s="31"/>
      <c r="T1135" s="57"/>
      <c r="U1135" s="57"/>
      <c r="V1135" s="57"/>
      <c r="W1135" s="57"/>
      <c r="X1135" s="31"/>
      <c r="Y1135" s="57"/>
      <c r="Z1135" s="57"/>
      <c r="AA1135" s="57"/>
      <c r="AB1135" s="57"/>
      <c r="AC1135" s="31"/>
      <c r="AD1135" s="57"/>
      <c r="AE1135" s="57"/>
      <c r="AF1135" s="57"/>
      <c r="AG1135" s="57"/>
      <c r="AH1135" s="57"/>
      <c r="AI1135" s="57"/>
      <c r="AJ1135" s="57"/>
      <c r="AK1135" s="57"/>
      <c r="AL1135" s="57"/>
      <c r="AM1135" s="57"/>
      <c r="AN1135" s="57"/>
      <c r="AO1135" s="57"/>
      <c r="AP1135" s="35"/>
      <c r="AQ1135" s="57"/>
      <c r="AR1135" s="36"/>
      <c r="AS1135" s="57"/>
      <c r="AT1135" s="37"/>
      <c r="AU1135" s="30"/>
      <c r="AV1135" s="30"/>
      <c r="AW1135" s="30"/>
      <c r="AX1135" s="30"/>
      <c r="AY1135" s="30"/>
      <c r="AZ1135" s="30"/>
    </row>
    <row r="1136">
      <c r="A1136" s="30"/>
      <c r="B1136" s="30"/>
      <c r="C1136" s="30"/>
      <c r="D1136" s="31"/>
      <c r="E1136" s="31"/>
      <c r="F1136" s="31"/>
      <c r="G1136" s="31"/>
      <c r="H1136" s="31"/>
      <c r="I1136" s="54"/>
      <c r="J1136" s="55"/>
      <c r="K1136" s="54"/>
      <c r="L1136" s="56"/>
      <c r="M1136" s="56"/>
      <c r="N1136" s="31"/>
      <c r="O1136" s="57"/>
      <c r="P1136" s="57"/>
      <c r="Q1136" s="57"/>
      <c r="R1136" s="57"/>
      <c r="S1136" s="31"/>
      <c r="T1136" s="57"/>
      <c r="U1136" s="57"/>
      <c r="V1136" s="57"/>
      <c r="W1136" s="57"/>
      <c r="X1136" s="31"/>
      <c r="Y1136" s="57"/>
      <c r="Z1136" s="57"/>
      <c r="AA1136" s="57"/>
      <c r="AB1136" s="57"/>
      <c r="AC1136" s="31"/>
      <c r="AD1136" s="57"/>
      <c r="AE1136" s="57"/>
      <c r="AF1136" s="57"/>
      <c r="AG1136" s="57"/>
      <c r="AH1136" s="57"/>
      <c r="AI1136" s="57"/>
      <c r="AJ1136" s="57"/>
      <c r="AK1136" s="57"/>
      <c r="AL1136" s="57"/>
      <c r="AM1136" s="57"/>
      <c r="AN1136" s="57"/>
      <c r="AO1136" s="57"/>
      <c r="AP1136" s="35"/>
      <c r="AQ1136" s="57"/>
      <c r="AR1136" s="36"/>
      <c r="AS1136" s="57"/>
      <c r="AT1136" s="37"/>
      <c r="AU1136" s="30"/>
      <c r="AV1136" s="30"/>
      <c r="AW1136" s="30"/>
      <c r="AX1136" s="30"/>
      <c r="AY1136" s="30"/>
      <c r="AZ1136" s="30"/>
    </row>
    <row r="1137">
      <c r="A1137" s="30"/>
      <c r="B1137" s="30"/>
      <c r="C1137" s="30"/>
      <c r="D1137" s="31"/>
      <c r="E1137" s="31"/>
      <c r="F1137" s="31"/>
      <c r="G1137" s="31"/>
      <c r="H1137" s="31"/>
      <c r="I1137" s="54"/>
      <c r="J1137" s="55"/>
      <c r="K1137" s="54"/>
      <c r="L1137" s="56"/>
      <c r="M1137" s="56"/>
      <c r="N1137" s="31"/>
      <c r="O1137" s="57"/>
      <c r="P1137" s="57"/>
      <c r="Q1137" s="57"/>
      <c r="R1137" s="57"/>
      <c r="S1137" s="31"/>
      <c r="T1137" s="57"/>
      <c r="U1137" s="57"/>
      <c r="V1137" s="57"/>
      <c r="W1137" s="57"/>
      <c r="X1137" s="31"/>
      <c r="Y1137" s="57"/>
      <c r="Z1137" s="57"/>
      <c r="AA1137" s="57"/>
      <c r="AB1137" s="57"/>
      <c r="AC1137" s="31"/>
      <c r="AD1137" s="57"/>
      <c r="AE1137" s="57"/>
      <c r="AF1137" s="57"/>
      <c r="AG1137" s="57"/>
      <c r="AH1137" s="57"/>
      <c r="AI1137" s="57"/>
      <c r="AJ1137" s="57"/>
      <c r="AK1137" s="57"/>
      <c r="AL1137" s="57"/>
      <c r="AM1137" s="57"/>
      <c r="AN1137" s="57"/>
      <c r="AO1137" s="57"/>
      <c r="AP1137" s="35"/>
      <c r="AQ1137" s="57"/>
      <c r="AR1137" s="36"/>
      <c r="AS1137" s="57"/>
      <c r="AT1137" s="37"/>
      <c r="AU1137" s="30"/>
      <c r="AV1137" s="30"/>
      <c r="AW1137" s="30"/>
      <c r="AX1137" s="30"/>
      <c r="AY1137" s="30"/>
      <c r="AZ1137" s="30"/>
    </row>
    <row r="1138">
      <c r="A1138" s="30"/>
      <c r="B1138" s="30"/>
      <c r="C1138" s="30"/>
      <c r="D1138" s="31"/>
      <c r="E1138" s="31"/>
      <c r="F1138" s="31"/>
      <c r="G1138" s="31"/>
      <c r="H1138" s="31"/>
      <c r="I1138" s="54"/>
      <c r="J1138" s="55"/>
      <c r="K1138" s="54"/>
      <c r="L1138" s="56"/>
      <c r="M1138" s="56"/>
      <c r="N1138" s="31"/>
      <c r="O1138" s="57"/>
      <c r="P1138" s="57"/>
      <c r="Q1138" s="57"/>
      <c r="R1138" s="57"/>
      <c r="S1138" s="31"/>
      <c r="T1138" s="57"/>
      <c r="U1138" s="57"/>
      <c r="V1138" s="57"/>
      <c r="W1138" s="57"/>
      <c r="X1138" s="31"/>
      <c r="Y1138" s="57"/>
      <c r="Z1138" s="57"/>
      <c r="AA1138" s="57"/>
      <c r="AB1138" s="57"/>
      <c r="AC1138" s="31"/>
      <c r="AD1138" s="57"/>
      <c r="AE1138" s="57"/>
      <c r="AF1138" s="57"/>
      <c r="AG1138" s="57"/>
      <c r="AH1138" s="57"/>
      <c r="AI1138" s="57"/>
      <c r="AJ1138" s="57"/>
      <c r="AK1138" s="57"/>
      <c r="AL1138" s="57"/>
      <c r="AM1138" s="57"/>
      <c r="AN1138" s="57"/>
      <c r="AO1138" s="57"/>
      <c r="AP1138" s="35"/>
      <c r="AQ1138" s="57"/>
      <c r="AR1138" s="36"/>
      <c r="AS1138" s="57"/>
      <c r="AT1138" s="37"/>
      <c r="AU1138" s="30"/>
      <c r="AV1138" s="30"/>
      <c r="AW1138" s="30"/>
      <c r="AX1138" s="30"/>
      <c r="AY1138" s="30"/>
      <c r="AZ1138" s="30"/>
    </row>
    <row r="1139">
      <c r="A1139" s="30"/>
      <c r="B1139" s="30"/>
      <c r="C1139" s="30"/>
      <c r="D1139" s="31"/>
      <c r="E1139" s="31"/>
      <c r="F1139" s="31"/>
      <c r="G1139" s="31"/>
      <c r="H1139" s="31"/>
      <c r="I1139" s="54"/>
      <c r="J1139" s="55"/>
      <c r="K1139" s="54"/>
      <c r="L1139" s="56"/>
      <c r="M1139" s="56"/>
      <c r="N1139" s="31"/>
      <c r="O1139" s="57"/>
      <c r="P1139" s="57"/>
      <c r="Q1139" s="57"/>
      <c r="R1139" s="57"/>
      <c r="S1139" s="31"/>
      <c r="T1139" s="57"/>
      <c r="U1139" s="57"/>
      <c r="V1139" s="57"/>
      <c r="W1139" s="57"/>
      <c r="X1139" s="31"/>
      <c r="Y1139" s="57"/>
      <c r="Z1139" s="57"/>
      <c r="AA1139" s="57"/>
      <c r="AB1139" s="57"/>
      <c r="AC1139" s="31"/>
      <c r="AD1139" s="57"/>
      <c r="AE1139" s="57"/>
      <c r="AF1139" s="57"/>
      <c r="AG1139" s="57"/>
      <c r="AH1139" s="57"/>
      <c r="AI1139" s="57"/>
      <c r="AJ1139" s="57"/>
      <c r="AK1139" s="57"/>
      <c r="AL1139" s="57"/>
      <c r="AM1139" s="57"/>
      <c r="AN1139" s="57"/>
      <c r="AO1139" s="57"/>
      <c r="AP1139" s="35"/>
      <c r="AQ1139" s="57"/>
      <c r="AR1139" s="36"/>
      <c r="AS1139" s="57"/>
      <c r="AT1139" s="37"/>
      <c r="AU1139" s="30"/>
      <c r="AV1139" s="30"/>
      <c r="AW1139" s="30"/>
      <c r="AX1139" s="30"/>
      <c r="AY1139" s="30"/>
      <c r="AZ1139" s="30"/>
    </row>
    <row r="1140">
      <c r="A1140" s="30"/>
      <c r="B1140" s="30"/>
      <c r="C1140" s="30"/>
      <c r="D1140" s="31"/>
      <c r="E1140" s="31"/>
      <c r="F1140" s="31"/>
      <c r="G1140" s="31"/>
      <c r="H1140" s="31"/>
      <c r="I1140" s="54"/>
      <c r="J1140" s="55"/>
      <c r="K1140" s="54"/>
      <c r="L1140" s="56"/>
      <c r="M1140" s="56"/>
      <c r="N1140" s="31"/>
      <c r="O1140" s="57"/>
      <c r="P1140" s="57"/>
      <c r="Q1140" s="57"/>
      <c r="R1140" s="57"/>
      <c r="S1140" s="31"/>
      <c r="T1140" s="57"/>
      <c r="U1140" s="57"/>
      <c r="V1140" s="57"/>
      <c r="W1140" s="57"/>
      <c r="X1140" s="31"/>
      <c r="Y1140" s="57"/>
      <c r="Z1140" s="57"/>
      <c r="AA1140" s="57"/>
      <c r="AB1140" s="57"/>
      <c r="AC1140" s="31"/>
      <c r="AD1140" s="57"/>
      <c r="AE1140" s="57"/>
      <c r="AF1140" s="57"/>
      <c r="AG1140" s="57"/>
      <c r="AH1140" s="57"/>
      <c r="AI1140" s="57"/>
      <c r="AJ1140" s="57"/>
      <c r="AK1140" s="57"/>
      <c r="AL1140" s="57"/>
      <c r="AM1140" s="57"/>
      <c r="AN1140" s="57"/>
      <c r="AO1140" s="57"/>
      <c r="AP1140" s="35"/>
      <c r="AQ1140" s="57"/>
      <c r="AR1140" s="36"/>
      <c r="AS1140" s="57"/>
      <c r="AT1140" s="37"/>
      <c r="AU1140" s="30"/>
      <c r="AV1140" s="30"/>
      <c r="AW1140" s="30"/>
      <c r="AX1140" s="30"/>
      <c r="AY1140" s="30"/>
      <c r="AZ1140" s="30"/>
    </row>
    <row r="1141">
      <c r="A1141" s="30"/>
      <c r="B1141" s="30"/>
      <c r="C1141" s="30"/>
      <c r="D1141" s="31"/>
      <c r="E1141" s="31"/>
      <c r="F1141" s="31"/>
      <c r="G1141" s="31"/>
      <c r="H1141" s="31"/>
      <c r="I1141" s="54"/>
      <c r="J1141" s="55"/>
      <c r="K1141" s="54"/>
      <c r="L1141" s="56"/>
      <c r="M1141" s="56"/>
      <c r="N1141" s="31"/>
      <c r="O1141" s="57"/>
      <c r="P1141" s="57"/>
      <c r="Q1141" s="57"/>
      <c r="R1141" s="57"/>
      <c r="S1141" s="31"/>
      <c r="T1141" s="57"/>
      <c r="U1141" s="57"/>
      <c r="V1141" s="57"/>
      <c r="W1141" s="57"/>
      <c r="X1141" s="31"/>
      <c r="Y1141" s="57"/>
      <c r="Z1141" s="57"/>
      <c r="AA1141" s="57"/>
      <c r="AB1141" s="57"/>
      <c r="AC1141" s="31"/>
      <c r="AD1141" s="57"/>
      <c r="AE1141" s="57"/>
      <c r="AF1141" s="57"/>
      <c r="AG1141" s="57"/>
      <c r="AH1141" s="57"/>
      <c r="AI1141" s="57"/>
      <c r="AJ1141" s="57"/>
      <c r="AK1141" s="57"/>
      <c r="AL1141" s="57"/>
      <c r="AM1141" s="57"/>
      <c r="AN1141" s="57"/>
      <c r="AO1141" s="57"/>
      <c r="AP1141" s="35"/>
      <c r="AQ1141" s="57"/>
      <c r="AR1141" s="36"/>
      <c r="AS1141" s="57"/>
      <c r="AT1141" s="37"/>
      <c r="AU1141" s="30"/>
      <c r="AV1141" s="30"/>
      <c r="AW1141" s="30"/>
      <c r="AX1141" s="30"/>
      <c r="AY1141" s="30"/>
      <c r="AZ1141" s="30"/>
    </row>
    <row r="1142">
      <c r="A1142" s="30"/>
      <c r="B1142" s="30"/>
      <c r="C1142" s="30"/>
      <c r="D1142" s="31"/>
      <c r="E1142" s="31"/>
      <c r="F1142" s="31"/>
      <c r="G1142" s="31"/>
      <c r="H1142" s="31"/>
      <c r="I1142" s="54"/>
      <c r="J1142" s="55"/>
      <c r="K1142" s="54"/>
      <c r="L1142" s="56"/>
      <c r="M1142" s="56"/>
      <c r="N1142" s="31"/>
      <c r="O1142" s="57"/>
      <c r="P1142" s="57"/>
      <c r="Q1142" s="57"/>
      <c r="R1142" s="57"/>
      <c r="S1142" s="31"/>
      <c r="T1142" s="57"/>
      <c r="U1142" s="57"/>
      <c r="V1142" s="57"/>
      <c r="W1142" s="57"/>
      <c r="X1142" s="31"/>
      <c r="Y1142" s="57"/>
      <c r="Z1142" s="57"/>
      <c r="AA1142" s="57"/>
      <c r="AB1142" s="57"/>
      <c r="AC1142" s="31"/>
      <c r="AD1142" s="57"/>
      <c r="AE1142" s="57"/>
      <c r="AF1142" s="57"/>
      <c r="AG1142" s="57"/>
      <c r="AH1142" s="57"/>
      <c r="AI1142" s="57"/>
      <c r="AJ1142" s="57"/>
      <c r="AK1142" s="57"/>
      <c r="AL1142" s="57"/>
      <c r="AM1142" s="57"/>
      <c r="AN1142" s="57"/>
      <c r="AO1142" s="57"/>
      <c r="AP1142" s="35"/>
      <c r="AQ1142" s="57"/>
      <c r="AR1142" s="36"/>
      <c r="AS1142" s="57"/>
      <c r="AT1142" s="37"/>
      <c r="AU1142" s="30"/>
      <c r="AV1142" s="30"/>
      <c r="AW1142" s="30"/>
      <c r="AX1142" s="30"/>
      <c r="AY1142" s="30"/>
      <c r="AZ1142" s="30"/>
    </row>
    <row r="1143">
      <c r="A1143" s="30"/>
      <c r="B1143" s="30"/>
      <c r="C1143" s="30"/>
      <c r="D1143" s="31"/>
      <c r="E1143" s="31"/>
      <c r="F1143" s="31"/>
      <c r="G1143" s="31"/>
      <c r="H1143" s="31"/>
      <c r="I1143" s="54"/>
      <c r="J1143" s="55"/>
      <c r="K1143" s="54"/>
      <c r="L1143" s="56"/>
      <c r="M1143" s="56"/>
      <c r="N1143" s="31"/>
      <c r="O1143" s="57"/>
      <c r="P1143" s="57"/>
      <c r="Q1143" s="57"/>
      <c r="R1143" s="57"/>
      <c r="S1143" s="31"/>
      <c r="T1143" s="57"/>
      <c r="U1143" s="57"/>
      <c r="V1143" s="57"/>
      <c r="W1143" s="57"/>
      <c r="X1143" s="31"/>
      <c r="Y1143" s="57"/>
      <c r="Z1143" s="57"/>
      <c r="AA1143" s="57"/>
      <c r="AB1143" s="57"/>
      <c r="AC1143" s="31"/>
      <c r="AD1143" s="57"/>
      <c r="AE1143" s="57"/>
      <c r="AF1143" s="57"/>
      <c r="AG1143" s="57"/>
      <c r="AH1143" s="57"/>
      <c r="AI1143" s="57"/>
      <c r="AJ1143" s="57"/>
      <c r="AK1143" s="57"/>
      <c r="AL1143" s="57"/>
      <c r="AM1143" s="57"/>
      <c r="AN1143" s="57"/>
      <c r="AO1143" s="57"/>
      <c r="AP1143" s="35"/>
      <c r="AQ1143" s="57"/>
      <c r="AR1143" s="36"/>
      <c r="AS1143" s="57"/>
      <c r="AT1143" s="37"/>
      <c r="AU1143" s="30"/>
      <c r="AV1143" s="30"/>
      <c r="AW1143" s="30"/>
      <c r="AX1143" s="30"/>
      <c r="AY1143" s="30"/>
      <c r="AZ1143" s="30"/>
    </row>
    <row r="1144">
      <c r="A1144" s="30"/>
      <c r="B1144" s="30"/>
      <c r="C1144" s="30"/>
      <c r="D1144" s="31"/>
      <c r="E1144" s="31"/>
      <c r="F1144" s="31"/>
      <c r="G1144" s="31"/>
      <c r="H1144" s="31"/>
      <c r="I1144" s="54"/>
      <c r="J1144" s="55"/>
      <c r="K1144" s="54"/>
      <c r="L1144" s="56"/>
      <c r="M1144" s="56"/>
      <c r="N1144" s="31"/>
      <c r="O1144" s="57"/>
      <c r="P1144" s="57"/>
      <c r="Q1144" s="57"/>
      <c r="R1144" s="57"/>
      <c r="S1144" s="31"/>
      <c r="T1144" s="57"/>
      <c r="U1144" s="57"/>
      <c r="V1144" s="57"/>
      <c r="W1144" s="57"/>
      <c r="X1144" s="31"/>
      <c r="Y1144" s="57"/>
      <c r="Z1144" s="57"/>
      <c r="AA1144" s="57"/>
      <c r="AB1144" s="57"/>
      <c r="AC1144" s="31"/>
      <c r="AD1144" s="57"/>
      <c r="AE1144" s="57"/>
      <c r="AF1144" s="57"/>
      <c r="AG1144" s="57"/>
      <c r="AH1144" s="57"/>
      <c r="AI1144" s="57"/>
      <c r="AJ1144" s="57"/>
      <c r="AK1144" s="57"/>
      <c r="AL1144" s="57"/>
      <c r="AM1144" s="57"/>
      <c r="AN1144" s="57"/>
      <c r="AO1144" s="57"/>
      <c r="AP1144" s="35"/>
      <c r="AQ1144" s="57"/>
      <c r="AR1144" s="36"/>
      <c r="AS1144" s="57"/>
      <c r="AT1144" s="37"/>
      <c r="AU1144" s="30"/>
      <c r="AV1144" s="30"/>
      <c r="AW1144" s="30"/>
      <c r="AX1144" s="30"/>
      <c r="AY1144" s="30"/>
      <c r="AZ1144" s="30"/>
    </row>
    <row r="1145">
      <c r="A1145" s="30"/>
      <c r="B1145" s="30"/>
      <c r="C1145" s="30"/>
      <c r="D1145" s="31"/>
      <c r="E1145" s="31"/>
      <c r="F1145" s="31"/>
      <c r="G1145" s="31"/>
      <c r="H1145" s="31"/>
      <c r="I1145" s="54"/>
      <c r="J1145" s="55"/>
      <c r="K1145" s="54"/>
      <c r="L1145" s="56"/>
      <c r="M1145" s="56"/>
      <c r="N1145" s="31"/>
      <c r="O1145" s="57"/>
      <c r="P1145" s="57"/>
      <c r="Q1145" s="57"/>
      <c r="R1145" s="57"/>
      <c r="S1145" s="31"/>
      <c r="T1145" s="57"/>
      <c r="U1145" s="57"/>
      <c r="V1145" s="57"/>
      <c r="W1145" s="57"/>
      <c r="X1145" s="31"/>
      <c r="Y1145" s="57"/>
      <c r="Z1145" s="57"/>
      <c r="AA1145" s="57"/>
      <c r="AB1145" s="57"/>
      <c r="AC1145" s="31"/>
      <c r="AD1145" s="57"/>
      <c r="AE1145" s="57"/>
      <c r="AF1145" s="57"/>
      <c r="AG1145" s="57"/>
      <c r="AH1145" s="57"/>
      <c r="AI1145" s="57"/>
      <c r="AJ1145" s="57"/>
      <c r="AK1145" s="57"/>
      <c r="AL1145" s="57"/>
      <c r="AM1145" s="57"/>
      <c r="AN1145" s="57"/>
      <c r="AO1145" s="57"/>
      <c r="AP1145" s="35"/>
      <c r="AQ1145" s="57"/>
      <c r="AR1145" s="36"/>
      <c r="AS1145" s="57"/>
      <c r="AT1145" s="37"/>
      <c r="AU1145" s="30"/>
      <c r="AV1145" s="30"/>
      <c r="AW1145" s="30"/>
      <c r="AX1145" s="30"/>
      <c r="AY1145" s="30"/>
      <c r="AZ1145" s="30"/>
    </row>
    <row r="1146">
      <c r="A1146" s="30"/>
      <c r="B1146" s="30"/>
      <c r="C1146" s="30"/>
      <c r="D1146" s="31"/>
      <c r="E1146" s="31"/>
      <c r="F1146" s="31"/>
      <c r="G1146" s="31"/>
      <c r="H1146" s="31"/>
      <c r="I1146" s="54"/>
      <c r="J1146" s="55"/>
      <c r="K1146" s="54"/>
      <c r="L1146" s="56"/>
      <c r="M1146" s="56"/>
      <c r="N1146" s="31"/>
      <c r="O1146" s="57"/>
      <c r="P1146" s="57"/>
      <c r="Q1146" s="57"/>
      <c r="R1146" s="57"/>
      <c r="S1146" s="31"/>
      <c r="T1146" s="57"/>
      <c r="U1146" s="57"/>
      <c r="V1146" s="57"/>
      <c r="W1146" s="57"/>
      <c r="X1146" s="31"/>
      <c r="Y1146" s="57"/>
      <c r="Z1146" s="57"/>
      <c r="AA1146" s="57"/>
      <c r="AB1146" s="57"/>
      <c r="AC1146" s="31"/>
      <c r="AD1146" s="57"/>
      <c r="AE1146" s="57"/>
      <c r="AF1146" s="57"/>
      <c r="AG1146" s="57"/>
      <c r="AH1146" s="57"/>
      <c r="AI1146" s="57"/>
      <c r="AJ1146" s="57"/>
      <c r="AK1146" s="57"/>
      <c r="AL1146" s="57"/>
      <c r="AM1146" s="57"/>
      <c r="AN1146" s="57"/>
      <c r="AO1146" s="57"/>
      <c r="AP1146" s="35"/>
      <c r="AQ1146" s="57"/>
      <c r="AR1146" s="36"/>
      <c r="AS1146" s="57"/>
      <c r="AT1146" s="37"/>
      <c r="AU1146" s="30"/>
      <c r="AV1146" s="30"/>
      <c r="AW1146" s="30"/>
      <c r="AX1146" s="30"/>
      <c r="AY1146" s="30"/>
      <c r="AZ1146" s="30"/>
    </row>
    <row r="1147">
      <c r="A1147" s="30"/>
      <c r="B1147" s="30"/>
      <c r="C1147" s="30"/>
      <c r="D1147" s="31"/>
      <c r="E1147" s="31"/>
      <c r="F1147" s="31"/>
      <c r="G1147" s="31"/>
      <c r="H1147" s="31"/>
      <c r="I1147" s="54"/>
      <c r="J1147" s="55"/>
      <c r="K1147" s="54"/>
      <c r="L1147" s="56"/>
      <c r="M1147" s="56"/>
      <c r="N1147" s="31"/>
      <c r="O1147" s="57"/>
      <c r="P1147" s="57"/>
      <c r="Q1147" s="57"/>
      <c r="R1147" s="57"/>
      <c r="S1147" s="31"/>
      <c r="T1147" s="57"/>
      <c r="U1147" s="57"/>
      <c r="V1147" s="57"/>
      <c r="W1147" s="57"/>
      <c r="X1147" s="31"/>
      <c r="Y1147" s="57"/>
      <c r="Z1147" s="57"/>
      <c r="AA1147" s="57"/>
      <c r="AB1147" s="57"/>
      <c r="AC1147" s="31"/>
      <c r="AD1147" s="57"/>
      <c r="AE1147" s="57"/>
      <c r="AF1147" s="57"/>
      <c r="AG1147" s="57"/>
      <c r="AH1147" s="57"/>
      <c r="AI1147" s="57"/>
      <c r="AJ1147" s="57"/>
      <c r="AK1147" s="57"/>
      <c r="AL1147" s="57"/>
      <c r="AM1147" s="57"/>
      <c r="AN1147" s="57"/>
      <c r="AO1147" s="57"/>
      <c r="AP1147" s="35"/>
      <c r="AQ1147" s="57"/>
      <c r="AR1147" s="36"/>
      <c r="AS1147" s="57"/>
      <c r="AT1147" s="37"/>
      <c r="AU1147" s="30"/>
      <c r="AV1147" s="30"/>
      <c r="AW1147" s="30"/>
      <c r="AX1147" s="30"/>
      <c r="AY1147" s="30"/>
      <c r="AZ1147" s="30"/>
    </row>
    <row r="1148">
      <c r="A1148" s="30"/>
      <c r="B1148" s="30"/>
      <c r="C1148" s="30"/>
      <c r="D1148" s="31"/>
      <c r="E1148" s="31"/>
      <c r="F1148" s="31"/>
      <c r="G1148" s="31"/>
      <c r="H1148" s="31"/>
      <c r="I1148" s="54"/>
      <c r="J1148" s="55"/>
      <c r="K1148" s="54"/>
      <c r="L1148" s="56"/>
      <c r="M1148" s="56"/>
      <c r="N1148" s="31"/>
      <c r="O1148" s="57"/>
      <c r="P1148" s="57"/>
      <c r="Q1148" s="57"/>
      <c r="R1148" s="57"/>
      <c r="S1148" s="31"/>
      <c r="T1148" s="57"/>
      <c r="U1148" s="57"/>
      <c r="V1148" s="57"/>
      <c r="W1148" s="57"/>
      <c r="X1148" s="31"/>
      <c r="Y1148" s="57"/>
      <c r="Z1148" s="57"/>
      <c r="AA1148" s="57"/>
      <c r="AB1148" s="57"/>
      <c r="AC1148" s="31"/>
      <c r="AD1148" s="57"/>
      <c r="AE1148" s="57"/>
      <c r="AF1148" s="57"/>
      <c r="AG1148" s="57"/>
      <c r="AH1148" s="57"/>
      <c r="AI1148" s="57"/>
      <c r="AJ1148" s="57"/>
      <c r="AK1148" s="57"/>
      <c r="AL1148" s="57"/>
      <c r="AM1148" s="57"/>
      <c r="AN1148" s="57"/>
      <c r="AO1148" s="57"/>
      <c r="AP1148" s="35"/>
      <c r="AQ1148" s="57"/>
      <c r="AR1148" s="36"/>
      <c r="AS1148" s="57"/>
      <c r="AT1148" s="37"/>
      <c r="AU1148" s="30"/>
      <c r="AV1148" s="30"/>
      <c r="AW1148" s="30"/>
      <c r="AX1148" s="30"/>
      <c r="AY1148" s="30"/>
      <c r="AZ1148" s="30"/>
    </row>
    <row r="1149">
      <c r="A1149" s="30"/>
      <c r="B1149" s="30"/>
      <c r="C1149" s="30"/>
      <c r="D1149" s="31"/>
      <c r="E1149" s="31"/>
      <c r="F1149" s="31"/>
      <c r="G1149" s="31"/>
      <c r="H1149" s="31"/>
      <c r="I1149" s="54"/>
      <c r="J1149" s="55"/>
      <c r="K1149" s="54"/>
      <c r="L1149" s="56"/>
      <c r="M1149" s="56"/>
      <c r="N1149" s="31"/>
      <c r="O1149" s="57"/>
      <c r="P1149" s="57"/>
      <c r="Q1149" s="57"/>
      <c r="R1149" s="57"/>
      <c r="S1149" s="31"/>
      <c r="T1149" s="57"/>
      <c r="U1149" s="57"/>
      <c r="V1149" s="57"/>
      <c r="W1149" s="57"/>
      <c r="X1149" s="31"/>
      <c r="Y1149" s="57"/>
      <c r="Z1149" s="57"/>
      <c r="AA1149" s="57"/>
      <c r="AB1149" s="57"/>
      <c r="AC1149" s="31"/>
      <c r="AD1149" s="57"/>
      <c r="AE1149" s="57"/>
      <c r="AF1149" s="57"/>
      <c r="AG1149" s="57"/>
      <c r="AH1149" s="57"/>
      <c r="AI1149" s="57"/>
      <c r="AJ1149" s="57"/>
      <c r="AK1149" s="57"/>
      <c r="AL1149" s="57"/>
      <c r="AM1149" s="57"/>
      <c r="AN1149" s="57"/>
      <c r="AO1149" s="57"/>
      <c r="AP1149" s="35"/>
      <c r="AQ1149" s="57"/>
      <c r="AR1149" s="36"/>
      <c r="AS1149" s="57"/>
      <c r="AT1149" s="37"/>
      <c r="AU1149" s="30"/>
      <c r="AV1149" s="30"/>
      <c r="AW1149" s="30"/>
      <c r="AX1149" s="30"/>
      <c r="AY1149" s="30"/>
      <c r="AZ1149" s="30"/>
    </row>
    <row r="1150">
      <c r="A1150" s="30"/>
      <c r="B1150" s="30"/>
      <c r="C1150" s="30"/>
      <c r="D1150" s="31"/>
      <c r="E1150" s="31"/>
      <c r="F1150" s="31"/>
      <c r="G1150" s="31"/>
      <c r="H1150" s="31"/>
      <c r="I1150" s="54"/>
      <c r="J1150" s="55"/>
      <c r="K1150" s="54"/>
      <c r="L1150" s="56"/>
      <c r="M1150" s="56"/>
      <c r="N1150" s="31"/>
      <c r="O1150" s="57"/>
      <c r="P1150" s="57"/>
      <c r="Q1150" s="57"/>
      <c r="R1150" s="57"/>
      <c r="S1150" s="31"/>
      <c r="T1150" s="57"/>
      <c r="U1150" s="57"/>
      <c r="V1150" s="57"/>
      <c r="W1150" s="57"/>
      <c r="X1150" s="31"/>
      <c r="Y1150" s="57"/>
      <c r="Z1150" s="57"/>
      <c r="AA1150" s="57"/>
      <c r="AB1150" s="57"/>
      <c r="AC1150" s="31"/>
      <c r="AD1150" s="57"/>
      <c r="AE1150" s="57"/>
      <c r="AF1150" s="57"/>
      <c r="AG1150" s="57"/>
      <c r="AH1150" s="57"/>
      <c r="AI1150" s="57"/>
      <c r="AJ1150" s="57"/>
      <c r="AK1150" s="57"/>
      <c r="AL1150" s="57"/>
      <c r="AM1150" s="57"/>
      <c r="AN1150" s="57"/>
      <c r="AO1150" s="57"/>
      <c r="AP1150" s="35"/>
      <c r="AQ1150" s="57"/>
      <c r="AR1150" s="36"/>
      <c r="AS1150" s="57"/>
      <c r="AT1150" s="37"/>
      <c r="AU1150" s="30"/>
      <c r="AV1150" s="30"/>
      <c r="AW1150" s="30"/>
      <c r="AX1150" s="30"/>
      <c r="AY1150" s="30"/>
      <c r="AZ1150" s="30"/>
    </row>
    <row r="1151">
      <c r="A1151" s="30"/>
      <c r="B1151" s="30"/>
      <c r="C1151" s="30"/>
      <c r="D1151" s="31"/>
      <c r="E1151" s="31"/>
      <c r="F1151" s="31"/>
      <c r="G1151" s="31"/>
      <c r="H1151" s="31"/>
      <c r="I1151" s="54"/>
      <c r="J1151" s="55"/>
      <c r="K1151" s="54"/>
      <c r="L1151" s="56"/>
      <c r="M1151" s="56"/>
      <c r="N1151" s="31"/>
      <c r="O1151" s="57"/>
      <c r="P1151" s="57"/>
      <c r="Q1151" s="57"/>
      <c r="R1151" s="57"/>
      <c r="S1151" s="31"/>
      <c r="T1151" s="57"/>
      <c r="U1151" s="57"/>
      <c r="V1151" s="57"/>
      <c r="W1151" s="57"/>
      <c r="X1151" s="31"/>
      <c r="Y1151" s="57"/>
      <c r="Z1151" s="57"/>
      <c r="AA1151" s="57"/>
      <c r="AB1151" s="57"/>
      <c r="AC1151" s="31"/>
      <c r="AD1151" s="57"/>
      <c r="AE1151" s="57"/>
      <c r="AF1151" s="57"/>
      <c r="AG1151" s="57"/>
      <c r="AH1151" s="57"/>
      <c r="AI1151" s="57"/>
      <c r="AJ1151" s="57"/>
      <c r="AK1151" s="57"/>
      <c r="AL1151" s="57"/>
      <c r="AM1151" s="57"/>
      <c r="AN1151" s="57"/>
      <c r="AO1151" s="57"/>
      <c r="AP1151" s="35"/>
      <c r="AQ1151" s="57"/>
      <c r="AR1151" s="36"/>
      <c r="AS1151" s="57"/>
      <c r="AT1151" s="37"/>
      <c r="AU1151" s="30"/>
      <c r="AV1151" s="30"/>
      <c r="AW1151" s="30"/>
      <c r="AX1151" s="30"/>
      <c r="AY1151" s="30"/>
      <c r="AZ1151" s="30"/>
    </row>
    <row r="1152">
      <c r="A1152" s="30"/>
      <c r="B1152" s="30"/>
      <c r="C1152" s="30"/>
      <c r="D1152" s="31"/>
      <c r="E1152" s="31"/>
      <c r="F1152" s="31"/>
      <c r="G1152" s="31"/>
      <c r="H1152" s="31"/>
      <c r="I1152" s="54"/>
      <c r="J1152" s="55"/>
      <c r="K1152" s="54"/>
      <c r="L1152" s="56"/>
      <c r="M1152" s="56"/>
      <c r="N1152" s="31"/>
      <c r="O1152" s="57"/>
      <c r="P1152" s="57"/>
      <c r="Q1152" s="57"/>
      <c r="R1152" s="57"/>
      <c r="S1152" s="31"/>
      <c r="T1152" s="57"/>
      <c r="U1152" s="57"/>
      <c r="V1152" s="57"/>
      <c r="W1152" s="57"/>
      <c r="X1152" s="31"/>
      <c r="Y1152" s="57"/>
      <c r="Z1152" s="57"/>
      <c r="AA1152" s="57"/>
      <c r="AB1152" s="57"/>
      <c r="AC1152" s="31"/>
      <c r="AD1152" s="57"/>
      <c r="AE1152" s="57"/>
      <c r="AF1152" s="57"/>
      <c r="AG1152" s="57"/>
      <c r="AH1152" s="57"/>
      <c r="AI1152" s="57"/>
      <c r="AJ1152" s="57"/>
      <c r="AK1152" s="57"/>
      <c r="AL1152" s="57"/>
      <c r="AM1152" s="57"/>
      <c r="AN1152" s="57"/>
      <c r="AO1152" s="57"/>
      <c r="AP1152" s="35"/>
      <c r="AQ1152" s="57"/>
      <c r="AR1152" s="36"/>
      <c r="AS1152" s="57"/>
      <c r="AT1152" s="37"/>
      <c r="AU1152" s="30"/>
      <c r="AV1152" s="30"/>
      <c r="AW1152" s="30"/>
      <c r="AX1152" s="30"/>
      <c r="AY1152" s="30"/>
      <c r="AZ1152" s="30"/>
    </row>
    <row r="1153">
      <c r="A1153" s="30"/>
      <c r="B1153" s="30"/>
      <c r="C1153" s="30"/>
      <c r="D1153" s="31"/>
      <c r="E1153" s="31"/>
      <c r="F1153" s="31"/>
      <c r="G1153" s="31"/>
      <c r="H1153" s="31"/>
      <c r="I1153" s="54"/>
      <c r="J1153" s="55"/>
      <c r="K1153" s="54"/>
      <c r="L1153" s="56"/>
      <c r="M1153" s="56"/>
      <c r="N1153" s="31"/>
      <c r="O1153" s="57"/>
      <c r="P1153" s="57"/>
      <c r="Q1153" s="57"/>
      <c r="R1153" s="57"/>
      <c r="S1153" s="31"/>
      <c r="T1153" s="57"/>
      <c r="U1153" s="57"/>
      <c r="V1153" s="57"/>
      <c r="W1153" s="57"/>
      <c r="X1153" s="31"/>
      <c r="Y1153" s="57"/>
      <c r="Z1153" s="57"/>
      <c r="AA1153" s="57"/>
      <c r="AB1153" s="57"/>
      <c r="AC1153" s="31"/>
      <c r="AD1153" s="57"/>
      <c r="AE1153" s="57"/>
      <c r="AF1153" s="57"/>
      <c r="AG1153" s="57"/>
      <c r="AH1153" s="57"/>
      <c r="AI1153" s="57"/>
      <c r="AJ1153" s="57"/>
      <c r="AK1153" s="57"/>
      <c r="AL1153" s="57"/>
      <c r="AM1153" s="57"/>
      <c r="AN1153" s="57"/>
      <c r="AO1153" s="57"/>
      <c r="AP1153" s="35"/>
      <c r="AQ1153" s="57"/>
      <c r="AR1153" s="36"/>
      <c r="AS1153" s="57"/>
      <c r="AT1153" s="37"/>
      <c r="AU1153" s="30"/>
      <c r="AV1153" s="30"/>
      <c r="AW1153" s="30"/>
      <c r="AX1153" s="30"/>
      <c r="AY1153" s="30"/>
      <c r="AZ1153" s="30"/>
    </row>
    <row r="1154">
      <c r="A1154" s="30"/>
      <c r="B1154" s="30"/>
      <c r="C1154" s="30"/>
      <c r="D1154" s="31"/>
      <c r="E1154" s="31"/>
      <c r="F1154" s="31"/>
      <c r="G1154" s="31"/>
      <c r="H1154" s="31"/>
      <c r="I1154" s="54"/>
      <c r="J1154" s="55"/>
      <c r="K1154" s="54"/>
      <c r="L1154" s="56"/>
      <c r="M1154" s="56"/>
      <c r="N1154" s="31"/>
      <c r="O1154" s="57"/>
      <c r="P1154" s="57"/>
      <c r="Q1154" s="57"/>
      <c r="R1154" s="57"/>
      <c r="S1154" s="31"/>
      <c r="T1154" s="57"/>
      <c r="U1154" s="57"/>
      <c r="V1154" s="57"/>
      <c r="W1154" s="57"/>
      <c r="X1154" s="31"/>
      <c r="Y1154" s="57"/>
      <c r="Z1154" s="57"/>
      <c r="AA1154" s="57"/>
      <c r="AB1154" s="57"/>
      <c r="AC1154" s="31"/>
      <c r="AD1154" s="57"/>
      <c r="AE1154" s="57"/>
      <c r="AF1154" s="57"/>
      <c r="AG1154" s="57"/>
      <c r="AH1154" s="57"/>
      <c r="AI1154" s="57"/>
      <c r="AJ1154" s="57"/>
      <c r="AK1154" s="57"/>
      <c r="AL1154" s="57"/>
      <c r="AM1154" s="57"/>
      <c r="AN1154" s="57"/>
      <c r="AO1154" s="57"/>
      <c r="AP1154" s="35"/>
      <c r="AQ1154" s="57"/>
      <c r="AR1154" s="36"/>
      <c r="AS1154" s="57"/>
      <c r="AT1154" s="37"/>
      <c r="AU1154" s="30"/>
      <c r="AV1154" s="30"/>
      <c r="AW1154" s="30"/>
      <c r="AX1154" s="30"/>
      <c r="AY1154" s="30"/>
      <c r="AZ1154" s="30"/>
    </row>
    <row r="1155">
      <c r="A1155" s="30"/>
      <c r="B1155" s="30"/>
      <c r="C1155" s="30"/>
      <c r="D1155" s="31"/>
      <c r="E1155" s="31"/>
      <c r="F1155" s="31"/>
      <c r="G1155" s="31"/>
      <c r="H1155" s="31"/>
      <c r="I1155" s="54"/>
      <c r="J1155" s="55"/>
      <c r="K1155" s="54"/>
      <c r="L1155" s="56"/>
      <c r="M1155" s="56"/>
      <c r="N1155" s="31"/>
      <c r="O1155" s="57"/>
      <c r="P1155" s="57"/>
      <c r="Q1155" s="57"/>
      <c r="R1155" s="57"/>
      <c r="S1155" s="31"/>
      <c r="T1155" s="57"/>
      <c r="U1155" s="57"/>
      <c r="V1155" s="57"/>
      <c r="W1155" s="57"/>
      <c r="X1155" s="31"/>
      <c r="Y1155" s="57"/>
      <c r="Z1155" s="57"/>
      <c r="AA1155" s="57"/>
      <c r="AB1155" s="57"/>
      <c r="AC1155" s="31"/>
      <c r="AD1155" s="57"/>
      <c r="AE1155" s="57"/>
      <c r="AF1155" s="57"/>
      <c r="AG1155" s="57"/>
      <c r="AH1155" s="57"/>
      <c r="AI1155" s="57"/>
      <c r="AJ1155" s="57"/>
      <c r="AK1155" s="57"/>
      <c r="AL1155" s="57"/>
      <c r="AM1155" s="57"/>
      <c r="AN1155" s="57"/>
      <c r="AO1155" s="57"/>
      <c r="AP1155" s="35"/>
      <c r="AQ1155" s="57"/>
      <c r="AR1155" s="36"/>
      <c r="AS1155" s="57"/>
      <c r="AT1155" s="37"/>
      <c r="AU1155" s="30"/>
      <c r="AV1155" s="30"/>
      <c r="AW1155" s="30"/>
      <c r="AX1155" s="30"/>
      <c r="AY1155" s="30"/>
      <c r="AZ1155" s="30"/>
    </row>
    <row r="1156">
      <c r="A1156" s="30"/>
      <c r="B1156" s="30"/>
      <c r="C1156" s="30"/>
      <c r="D1156" s="31"/>
      <c r="E1156" s="31"/>
      <c r="F1156" s="31"/>
      <c r="G1156" s="31"/>
      <c r="H1156" s="31"/>
      <c r="I1156" s="54"/>
      <c r="J1156" s="55"/>
      <c r="K1156" s="54"/>
      <c r="L1156" s="56"/>
      <c r="M1156" s="56"/>
      <c r="N1156" s="31"/>
      <c r="O1156" s="57"/>
      <c r="P1156" s="57"/>
      <c r="Q1156" s="57"/>
      <c r="R1156" s="57"/>
      <c r="S1156" s="31"/>
      <c r="T1156" s="57"/>
      <c r="U1156" s="57"/>
      <c r="V1156" s="57"/>
      <c r="W1156" s="57"/>
      <c r="X1156" s="31"/>
      <c r="Y1156" s="57"/>
      <c r="Z1156" s="57"/>
      <c r="AA1156" s="57"/>
      <c r="AB1156" s="57"/>
      <c r="AC1156" s="31"/>
      <c r="AD1156" s="57"/>
      <c r="AE1156" s="57"/>
      <c r="AF1156" s="57"/>
      <c r="AG1156" s="57"/>
      <c r="AH1156" s="57"/>
      <c r="AI1156" s="57"/>
      <c r="AJ1156" s="57"/>
      <c r="AK1156" s="57"/>
      <c r="AL1156" s="57"/>
      <c r="AM1156" s="57"/>
      <c r="AN1156" s="57"/>
      <c r="AO1156" s="57"/>
      <c r="AP1156" s="35"/>
      <c r="AQ1156" s="57"/>
      <c r="AR1156" s="36"/>
      <c r="AS1156" s="57"/>
      <c r="AT1156" s="37"/>
      <c r="AU1156" s="30"/>
      <c r="AV1156" s="30"/>
      <c r="AW1156" s="30"/>
      <c r="AX1156" s="30"/>
      <c r="AY1156" s="30"/>
      <c r="AZ1156" s="30"/>
    </row>
    <row r="1157">
      <c r="A1157" s="30"/>
      <c r="B1157" s="30"/>
      <c r="C1157" s="30"/>
      <c r="D1157" s="31"/>
      <c r="E1157" s="31"/>
      <c r="F1157" s="31"/>
      <c r="G1157" s="31"/>
      <c r="H1157" s="31"/>
      <c r="I1157" s="54"/>
      <c r="J1157" s="55"/>
      <c r="K1157" s="54"/>
      <c r="L1157" s="56"/>
      <c r="M1157" s="56"/>
      <c r="N1157" s="31"/>
      <c r="O1157" s="57"/>
      <c r="P1157" s="57"/>
      <c r="Q1157" s="57"/>
      <c r="R1157" s="57"/>
      <c r="S1157" s="31"/>
      <c r="T1157" s="57"/>
      <c r="U1157" s="57"/>
      <c r="V1157" s="57"/>
      <c r="W1157" s="57"/>
      <c r="X1157" s="31"/>
      <c r="Y1157" s="57"/>
      <c r="Z1157" s="57"/>
      <c r="AA1157" s="57"/>
      <c r="AB1157" s="57"/>
      <c r="AC1157" s="31"/>
      <c r="AD1157" s="57"/>
      <c r="AE1157" s="57"/>
      <c r="AF1157" s="57"/>
      <c r="AG1157" s="57"/>
      <c r="AH1157" s="57"/>
      <c r="AI1157" s="57"/>
      <c r="AJ1157" s="57"/>
      <c r="AK1157" s="57"/>
      <c r="AL1157" s="57"/>
      <c r="AM1157" s="57"/>
      <c r="AN1157" s="57"/>
      <c r="AO1157" s="57"/>
      <c r="AP1157" s="35"/>
      <c r="AQ1157" s="57"/>
      <c r="AR1157" s="36"/>
      <c r="AS1157" s="57"/>
      <c r="AT1157" s="37"/>
      <c r="AU1157" s="30"/>
      <c r="AV1157" s="30"/>
      <c r="AW1157" s="30"/>
      <c r="AX1157" s="30"/>
      <c r="AY1157" s="30"/>
      <c r="AZ1157" s="30"/>
    </row>
    <row r="1158">
      <c r="A1158" s="30"/>
      <c r="B1158" s="30"/>
      <c r="C1158" s="30"/>
      <c r="D1158" s="31"/>
      <c r="E1158" s="31"/>
      <c r="F1158" s="31"/>
      <c r="G1158" s="31"/>
      <c r="H1158" s="31"/>
      <c r="I1158" s="54"/>
      <c r="J1158" s="55"/>
      <c r="K1158" s="54"/>
      <c r="L1158" s="56"/>
      <c r="M1158" s="56"/>
      <c r="N1158" s="31"/>
      <c r="O1158" s="57"/>
      <c r="P1158" s="57"/>
      <c r="Q1158" s="57"/>
      <c r="R1158" s="57"/>
      <c r="S1158" s="31"/>
      <c r="T1158" s="57"/>
      <c r="U1158" s="57"/>
      <c r="V1158" s="57"/>
      <c r="W1158" s="57"/>
      <c r="X1158" s="31"/>
      <c r="Y1158" s="57"/>
      <c r="Z1158" s="57"/>
      <c r="AA1158" s="57"/>
      <c r="AB1158" s="57"/>
      <c r="AC1158" s="31"/>
      <c r="AD1158" s="57"/>
      <c r="AE1158" s="57"/>
      <c r="AF1158" s="57"/>
      <c r="AG1158" s="57"/>
      <c r="AH1158" s="57"/>
      <c r="AI1158" s="57"/>
      <c r="AJ1158" s="57"/>
      <c r="AK1158" s="57"/>
      <c r="AL1158" s="57"/>
      <c r="AM1158" s="57"/>
      <c r="AN1158" s="57"/>
      <c r="AO1158" s="57"/>
      <c r="AP1158" s="35"/>
      <c r="AQ1158" s="57"/>
      <c r="AR1158" s="36"/>
      <c r="AS1158" s="57"/>
      <c r="AT1158" s="37"/>
      <c r="AU1158" s="30"/>
      <c r="AV1158" s="30"/>
      <c r="AW1158" s="30"/>
      <c r="AX1158" s="30"/>
      <c r="AY1158" s="30"/>
      <c r="AZ1158" s="30"/>
    </row>
    <row r="1159">
      <c r="A1159" s="30"/>
      <c r="B1159" s="30"/>
      <c r="C1159" s="30"/>
      <c r="D1159" s="31"/>
      <c r="E1159" s="31"/>
      <c r="F1159" s="31"/>
      <c r="G1159" s="31"/>
      <c r="H1159" s="31"/>
      <c r="I1159" s="54"/>
      <c r="J1159" s="55"/>
      <c r="K1159" s="54"/>
      <c r="L1159" s="56"/>
      <c r="M1159" s="56"/>
      <c r="N1159" s="31"/>
      <c r="O1159" s="57"/>
      <c r="P1159" s="57"/>
      <c r="Q1159" s="57"/>
      <c r="R1159" s="57"/>
      <c r="S1159" s="31"/>
      <c r="T1159" s="57"/>
      <c r="U1159" s="57"/>
      <c r="V1159" s="57"/>
      <c r="W1159" s="57"/>
      <c r="X1159" s="31"/>
      <c r="Y1159" s="57"/>
      <c r="Z1159" s="57"/>
      <c r="AA1159" s="57"/>
      <c r="AB1159" s="57"/>
      <c r="AC1159" s="31"/>
      <c r="AD1159" s="57"/>
      <c r="AE1159" s="57"/>
      <c r="AF1159" s="57"/>
      <c r="AG1159" s="57"/>
      <c r="AH1159" s="57"/>
      <c r="AI1159" s="57"/>
      <c r="AJ1159" s="57"/>
      <c r="AK1159" s="57"/>
      <c r="AL1159" s="57"/>
      <c r="AM1159" s="57"/>
      <c r="AN1159" s="57"/>
      <c r="AO1159" s="57"/>
      <c r="AP1159" s="35"/>
      <c r="AQ1159" s="57"/>
      <c r="AR1159" s="36"/>
      <c r="AS1159" s="57"/>
      <c r="AT1159" s="37"/>
      <c r="AU1159" s="30"/>
      <c r="AV1159" s="30"/>
      <c r="AW1159" s="30"/>
      <c r="AX1159" s="30"/>
      <c r="AY1159" s="30"/>
      <c r="AZ1159" s="30"/>
    </row>
    <row r="1160">
      <c r="A1160" s="30"/>
      <c r="B1160" s="30"/>
      <c r="C1160" s="30"/>
      <c r="D1160" s="31"/>
      <c r="E1160" s="31"/>
      <c r="F1160" s="31"/>
      <c r="G1160" s="31"/>
      <c r="H1160" s="31"/>
      <c r="I1160" s="54"/>
      <c r="J1160" s="55"/>
      <c r="K1160" s="54"/>
      <c r="L1160" s="56"/>
      <c r="M1160" s="56"/>
      <c r="N1160" s="31"/>
      <c r="O1160" s="57"/>
      <c r="P1160" s="57"/>
      <c r="Q1160" s="57"/>
      <c r="R1160" s="57"/>
      <c r="S1160" s="31"/>
      <c r="T1160" s="57"/>
      <c r="U1160" s="57"/>
      <c r="V1160" s="57"/>
      <c r="W1160" s="57"/>
      <c r="X1160" s="31"/>
      <c r="Y1160" s="57"/>
      <c r="Z1160" s="57"/>
      <c r="AA1160" s="57"/>
      <c r="AB1160" s="57"/>
      <c r="AC1160" s="31"/>
      <c r="AD1160" s="57"/>
      <c r="AE1160" s="57"/>
      <c r="AF1160" s="57"/>
      <c r="AG1160" s="57"/>
      <c r="AH1160" s="57"/>
      <c r="AI1160" s="57"/>
      <c r="AJ1160" s="57"/>
      <c r="AK1160" s="57"/>
      <c r="AL1160" s="57"/>
      <c r="AM1160" s="57"/>
      <c r="AN1160" s="57"/>
      <c r="AO1160" s="57"/>
      <c r="AP1160" s="35"/>
      <c r="AQ1160" s="57"/>
      <c r="AR1160" s="36"/>
      <c r="AS1160" s="57"/>
      <c r="AT1160" s="37"/>
      <c r="AU1160" s="30"/>
      <c r="AV1160" s="30"/>
      <c r="AW1160" s="30"/>
      <c r="AX1160" s="30"/>
      <c r="AY1160" s="30"/>
      <c r="AZ1160" s="30"/>
    </row>
    <row r="1161">
      <c r="A1161" s="30"/>
      <c r="B1161" s="30"/>
      <c r="C1161" s="30"/>
      <c r="D1161" s="31"/>
      <c r="E1161" s="31"/>
      <c r="F1161" s="31"/>
      <c r="G1161" s="31"/>
      <c r="H1161" s="31"/>
      <c r="I1161" s="54"/>
      <c r="J1161" s="55"/>
      <c r="K1161" s="54"/>
      <c r="L1161" s="56"/>
      <c r="M1161" s="56"/>
      <c r="N1161" s="31"/>
      <c r="O1161" s="57"/>
      <c r="P1161" s="57"/>
      <c r="Q1161" s="57"/>
      <c r="R1161" s="57"/>
      <c r="S1161" s="31"/>
      <c r="T1161" s="57"/>
      <c r="U1161" s="57"/>
      <c r="V1161" s="57"/>
      <c r="W1161" s="57"/>
      <c r="X1161" s="31"/>
      <c r="Y1161" s="57"/>
      <c r="Z1161" s="57"/>
      <c r="AA1161" s="57"/>
      <c r="AB1161" s="57"/>
      <c r="AC1161" s="31"/>
      <c r="AD1161" s="57"/>
      <c r="AE1161" s="57"/>
      <c r="AF1161" s="57"/>
      <c r="AG1161" s="57"/>
      <c r="AH1161" s="57"/>
      <c r="AI1161" s="57"/>
      <c r="AJ1161" s="57"/>
      <c r="AK1161" s="57"/>
      <c r="AL1161" s="57"/>
      <c r="AM1161" s="57"/>
      <c r="AN1161" s="57"/>
      <c r="AO1161" s="57"/>
      <c r="AP1161" s="35"/>
      <c r="AQ1161" s="57"/>
      <c r="AR1161" s="36"/>
      <c r="AS1161" s="57"/>
      <c r="AT1161" s="37"/>
      <c r="AU1161" s="30"/>
      <c r="AV1161" s="30"/>
      <c r="AW1161" s="30"/>
      <c r="AX1161" s="30"/>
      <c r="AY1161" s="30"/>
      <c r="AZ1161" s="30"/>
    </row>
    <row r="1162">
      <c r="A1162" s="30"/>
      <c r="B1162" s="30"/>
      <c r="C1162" s="30"/>
      <c r="D1162" s="31"/>
      <c r="E1162" s="31"/>
      <c r="F1162" s="31"/>
      <c r="G1162" s="31"/>
      <c r="H1162" s="31"/>
      <c r="I1162" s="54"/>
      <c r="J1162" s="55"/>
      <c r="K1162" s="54"/>
      <c r="L1162" s="56"/>
      <c r="M1162" s="56"/>
      <c r="N1162" s="31"/>
      <c r="O1162" s="57"/>
      <c r="P1162" s="57"/>
      <c r="Q1162" s="57"/>
      <c r="R1162" s="57"/>
      <c r="S1162" s="31"/>
      <c r="T1162" s="57"/>
      <c r="U1162" s="57"/>
      <c r="V1162" s="57"/>
      <c r="W1162" s="57"/>
      <c r="X1162" s="31"/>
      <c r="Y1162" s="57"/>
      <c r="Z1162" s="57"/>
      <c r="AA1162" s="57"/>
      <c r="AB1162" s="57"/>
      <c r="AC1162" s="31"/>
      <c r="AD1162" s="57"/>
      <c r="AE1162" s="57"/>
      <c r="AF1162" s="57"/>
      <c r="AG1162" s="57"/>
      <c r="AH1162" s="57"/>
      <c r="AI1162" s="57"/>
      <c r="AJ1162" s="57"/>
      <c r="AK1162" s="57"/>
      <c r="AL1162" s="57"/>
      <c r="AM1162" s="57"/>
      <c r="AN1162" s="57"/>
      <c r="AO1162" s="57"/>
      <c r="AP1162" s="35"/>
      <c r="AQ1162" s="57"/>
      <c r="AR1162" s="36"/>
      <c r="AS1162" s="57"/>
      <c r="AT1162" s="37"/>
      <c r="AU1162" s="30"/>
      <c r="AV1162" s="30"/>
      <c r="AW1162" s="30"/>
      <c r="AX1162" s="30"/>
      <c r="AY1162" s="30"/>
      <c r="AZ1162" s="30"/>
    </row>
    <row r="1163">
      <c r="A1163" s="30"/>
      <c r="B1163" s="30"/>
      <c r="C1163" s="30"/>
      <c r="D1163" s="31"/>
      <c r="E1163" s="31"/>
      <c r="F1163" s="31"/>
      <c r="G1163" s="31"/>
      <c r="H1163" s="31"/>
      <c r="I1163" s="54"/>
      <c r="J1163" s="55"/>
      <c r="K1163" s="54"/>
      <c r="L1163" s="56"/>
      <c r="M1163" s="56"/>
      <c r="N1163" s="31"/>
      <c r="O1163" s="57"/>
      <c r="P1163" s="57"/>
      <c r="Q1163" s="57"/>
      <c r="R1163" s="57"/>
      <c r="S1163" s="31"/>
      <c r="T1163" s="57"/>
      <c r="U1163" s="57"/>
      <c r="V1163" s="57"/>
      <c r="W1163" s="57"/>
      <c r="X1163" s="31"/>
      <c r="Y1163" s="57"/>
      <c r="Z1163" s="57"/>
      <c r="AA1163" s="57"/>
      <c r="AB1163" s="57"/>
      <c r="AC1163" s="31"/>
      <c r="AD1163" s="57"/>
      <c r="AE1163" s="57"/>
      <c r="AF1163" s="57"/>
      <c r="AG1163" s="57"/>
      <c r="AH1163" s="57"/>
      <c r="AI1163" s="57"/>
      <c r="AJ1163" s="57"/>
      <c r="AK1163" s="57"/>
      <c r="AL1163" s="57"/>
      <c r="AM1163" s="57"/>
      <c r="AN1163" s="57"/>
      <c r="AO1163" s="57"/>
      <c r="AP1163" s="35"/>
      <c r="AQ1163" s="57"/>
      <c r="AR1163" s="36"/>
      <c r="AS1163" s="57"/>
      <c r="AT1163" s="37"/>
      <c r="AU1163" s="30"/>
      <c r="AV1163" s="30"/>
      <c r="AW1163" s="30"/>
      <c r="AX1163" s="30"/>
      <c r="AY1163" s="30"/>
      <c r="AZ1163" s="30"/>
    </row>
    <row r="1164">
      <c r="A1164" s="30"/>
      <c r="B1164" s="30"/>
      <c r="C1164" s="30"/>
      <c r="D1164" s="31"/>
      <c r="E1164" s="31"/>
      <c r="F1164" s="31"/>
      <c r="G1164" s="31"/>
      <c r="H1164" s="31"/>
      <c r="I1164" s="54"/>
      <c r="J1164" s="55"/>
      <c r="K1164" s="54"/>
      <c r="L1164" s="56"/>
      <c r="M1164" s="56"/>
      <c r="N1164" s="31"/>
      <c r="O1164" s="57"/>
      <c r="P1164" s="57"/>
      <c r="Q1164" s="57"/>
      <c r="R1164" s="57"/>
      <c r="S1164" s="31"/>
      <c r="T1164" s="57"/>
      <c r="U1164" s="57"/>
      <c r="V1164" s="57"/>
      <c r="W1164" s="57"/>
      <c r="X1164" s="31"/>
      <c r="Y1164" s="57"/>
      <c r="Z1164" s="57"/>
      <c r="AA1164" s="57"/>
      <c r="AB1164" s="57"/>
      <c r="AC1164" s="31"/>
      <c r="AD1164" s="57"/>
      <c r="AE1164" s="57"/>
      <c r="AF1164" s="57"/>
      <c r="AG1164" s="57"/>
      <c r="AH1164" s="57"/>
      <c r="AI1164" s="57"/>
      <c r="AJ1164" s="57"/>
      <c r="AK1164" s="57"/>
      <c r="AL1164" s="57"/>
      <c r="AM1164" s="57"/>
      <c r="AN1164" s="57"/>
      <c r="AO1164" s="57"/>
      <c r="AP1164" s="35"/>
      <c r="AQ1164" s="57"/>
      <c r="AR1164" s="36"/>
      <c r="AS1164" s="57"/>
      <c r="AT1164" s="37"/>
      <c r="AU1164" s="30"/>
      <c r="AV1164" s="30"/>
      <c r="AW1164" s="30"/>
      <c r="AX1164" s="30"/>
      <c r="AY1164" s="30"/>
      <c r="AZ1164" s="30"/>
    </row>
    <row r="1165">
      <c r="A1165" s="30"/>
      <c r="B1165" s="30"/>
      <c r="C1165" s="30"/>
      <c r="D1165" s="31"/>
      <c r="E1165" s="31"/>
      <c r="F1165" s="31"/>
      <c r="G1165" s="31"/>
      <c r="H1165" s="31"/>
      <c r="I1165" s="54"/>
      <c r="J1165" s="55"/>
      <c r="K1165" s="54"/>
      <c r="L1165" s="56"/>
      <c r="M1165" s="56"/>
      <c r="N1165" s="31"/>
      <c r="O1165" s="57"/>
      <c r="P1165" s="57"/>
      <c r="Q1165" s="57"/>
      <c r="R1165" s="57"/>
      <c r="S1165" s="31"/>
      <c r="T1165" s="57"/>
      <c r="U1165" s="57"/>
      <c r="V1165" s="57"/>
      <c r="W1165" s="57"/>
      <c r="X1165" s="31"/>
      <c r="Y1165" s="57"/>
      <c r="Z1165" s="57"/>
      <c r="AA1165" s="57"/>
      <c r="AB1165" s="57"/>
      <c r="AC1165" s="31"/>
      <c r="AD1165" s="57"/>
      <c r="AE1165" s="57"/>
      <c r="AF1165" s="57"/>
      <c r="AG1165" s="57"/>
      <c r="AH1165" s="57"/>
      <c r="AI1165" s="57"/>
      <c r="AJ1165" s="57"/>
      <c r="AK1165" s="57"/>
      <c r="AL1165" s="57"/>
      <c r="AM1165" s="57"/>
      <c r="AN1165" s="57"/>
      <c r="AO1165" s="57"/>
      <c r="AP1165" s="35"/>
      <c r="AQ1165" s="57"/>
      <c r="AR1165" s="36"/>
      <c r="AS1165" s="57"/>
      <c r="AT1165" s="37"/>
      <c r="AU1165" s="30"/>
      <c r="AV1165" s="30"/>
      <c r="AW1165" s="30"/>
      <c r="AX1165" s="30"/>
      <c r="AY1165" s="30"/>
      <c r="AZ1165" s="30"/>
    </row>
    <row r="1166">
      <c r="A1166" s="30"/>
      <c r="B1166" s="30"/>
      <c r="C1166" s="30"/>
      <c r="D1166" s="31"/>
      <c r="E1166" s="31"/>
      <c r="F1166" s="31"/>
      <c r="G1166" s="31"/>
      <c r="H1166" s="31"/>
      <c r="I1166" s="54"/>
      <c r="J1166" s="55"/>
      <c r="K1166" s="54"/>
      <c r="L1166" s="56"/>
      <c r="M1166" s="56"/>
      <c r="N1166" s="31"/>
      <c r="O1166" s="57"/>
      <c r="P1166" s="57"/>
      <c r="Q1166" s="57"/>
      <c r="R1166" s="57"/>
      <c r="S1166" s="31"/>
      <c r="T1166" s="57"/>
      <c r="U1166" s="57"/>
      <c r="V1166" s="57"/>
      <c r="W1166" s="57"/>
      <c r="X1166" s="31"/>
      <c r="Y1166" s="57"/>
      <c r="Z1166" s="57"/>
      <c r="AA1166" s="57"/>
      <c r="AB1166" s="57"/>
      <c r="AC1166" s="31"/>
      <c r="AD1166" s="57"/>
      <c r="AE1166" s="57"/>
      <c r="AF1166" s="57"/>
      <c r="AG1166" s="57"/>
      <c r="AH1166" s="57"/>
      <c r="AI1166" s="57"/>
      <c r="AJ1166" s="57"/>
      <c r="AK1166" s="57"/>
      <c r="AL1166" s="57"/>
      <c r="AM1166" s="57"/>
      <c r="AN1166" s="57"/>
      <c r="AO1166" s="57"/>
      <c r="AP1166" s="35"/>
      <c r="AQ1166" s="57"/>
      <c r="AR1166" s="36"/>
      <c r="AS1166" s="57"/>
      <c r="AT1166" s="37"/>
      <c r="AU1166" s="30"/>
      <c r="AV1166" s="30"/>
      <c r="AW1166" s="30"/>
      <c r="AX1166" s="30"/>
      <c r="AY1166" s="30"/>
      <c r="AZ1166" s="30"/>
    </row>
    <row r="1167">
      <c r="A1167" s="30"/>
      <c r="B1167" s="30"/>
      <c r="C1167" s="30"/>
      <c r="D1167" s="31"/>
      <c r="E1167" s="31"/>
      <c r="F1167" s="31"/>
      <c r="G1167" s="31"/>
      <c r="H1167" s="31"/>
      <c r="I1167" s="54"/>
      <c r="J1167" s="55"/>
      <c r="K1167" s="54"/>
      <c r="L1167" s="56"/>
      <c r="M1167" s="56"/>
      <c r="N1167" s="31"/>
      <c r="O1167" s="57"/>
      <c r="P1167" s="57"/>
      <c r="Q1167" s="57"/>
      <c r="R1167" s="57"/>
      <c r="S1167" s="31"/>
      <c r="T1167" s="57"/>
      <c r="U1167" s="57"/>
      <c r="V1167" s="57"/>
      <c r="W1167" s="57"/>
      <c r="X1167" s="31"/>
      <c r="Y1167" s="57"/>
      <c r="Z1167" s="57"/>
      <c r="AA1167" s="57"/>
      <c r="AB1167" s="57"/>
      <c r="AC1167" s="31"/>
      <c r="AD1167" s="57"/>
      <c r="AE1167" s="57"/>
      <c r="AF1167" s="57"/>
      <c r="AG1167" s="57"/>
      <c r="AH1167" s="57"/>
      <c r="AI1167" s="57"/>
      <c r="AJ1167" s="57"/>
      <c r="AK1167" s="57"/>
      <c r="AL1167" s="57"/>
      <c r="AM1167" s="57"/>
      <c r="AN1167" s="57"/>
      <c r="AO1167" s="57"/>
      <c r="AP1167" s="35"/>
      <c r="AQ1167" s="57"/>
      <c r="AR1167" s="36"/>
      <c r="AS1167" s="57"/>
      <c r="AT1167" s="37"/>
      <c r="AU1167" s="30"/>
      <c r="AV1167" s="30"/>
      <c r="AW1167" s="30"/>
      <c r="AX1167" s="30"/>
      <c r="AY1167" s="30"/>
      <c r="AZ1167" s="30"/>
    </row>
    <row r="1168">
      <c r="A1168" s="30"/>
      <c r="B1168" s="30"/>
      <c r="C1168" s="30"/>
      <c r="D1168" s="31"/>
      <c r="E1168" s="31"/>
      <c r="F1168" s="31"/>
      <c r="G1168" s="31"/>
      <c r="H1168" s="31"/>
      <c r="I1168" s="54"/>
      <c r="J1168" s="55"/>
      <c r="K1168" s="54"/>
      <c r="L1168" s="56"/>
      <c r="M1168" s="56"/>
      <c r="N1168" s="31"/>
      <c r="O1168" s="57"/>
      <c r="P1168" s="57"/>
      <c r="Q1168" s="57"/>
      <c r="R1168" s="57"/>
      <c r="S1168" s="31"/>
      <c r="T1168" s="57"/>
      <c r="U1168" s="57"/>
      <c r="V1168" s="57"/>
      <c r="W1168" s="57"/>
      <c r="X1168" s="31"/>
      <c r="Y1168" s="57"/>
      <c r="Z1168" s="57"/>
      <c r="AA1168" s="57"/>
      <c r="AB1168" s="57"/>
      <c r="AC1168" s="31"/>
      <c r="AD1168" s="57"/>
      <c r="AE1168" s="57"/>
      <c r="AF1168" s="57"/>
      <c r="AG1168" s="57"/>
      <c r="AH1168" s="57"/>
      <c r="AI1168" s="57"/>
      <c r="AJ1168" s="57"/>
      <c r="AK1168" s="57"/>
      <c r="AL1168" s="57"/>
      <c r="AM1168" s="57"/>
      <c r="AN1168" s="57"/>
      <c r="AO1168" s="57"/>
      <c r="AP1168" s="35"/>
      <c r="AQ1168" s="57"/>
      <c r="AR1168" s="36"/>
      <c r="AS1168" s="57"/>
      <c r="AT1168" s="37"/>
      <c r="AU1168" s="30"/>
      <c r="AV1168" s="30"/>
      <c r="AW1168" s="30"/>
      <c r="AX1168" s="30"/>
      <c r="AY1168" s="30"/>
      <c r="AZ1168" s="30"/>
    </row>
    <row r="1169">
      <c r="A1169" s="30"/>
      <c r="B1169" s="30"/>
      <c r="C1169" s="30"/>
      <c r="D1169" s="31"/>
      <c r="E1169" s="31"/>
      <c r="F1169" s="31"/>
      <c r="G1169" s="31"/>
      <c r="H1169" s="31"/>
      <c r="I1169" s="54"/>
      <c r="J1169" s="55"/>
      <c r="K1169" s="54"/>
      <c r="L1169" s="56"/>
      <c r="M1169" s="56"/>
      <c r="N1169" s="31"/>
      <c r="O1169" s="57"/>
      <c r="P1169" s="57"/>
      <c r="Q1169" s="57"/>
      <c r="R1169" s="57"/>
      <c r="S1169" s="31"/>
      <c r="T1169" s="57"/>
      <c r="U1169" s="57"/>
      <c r="V1169" s="57"/>
      <c r="W1169" s="57"/>
      <c r="X1169" s="31"/>
      <c r="Y1169" s="57"/>
      <c r="Z1169" s="57"/>
      <c r="AA1169" s="57"/>
      <c r="AB1169" s="57"/>
      <c r="AC1169" s="31"/>
      <c r="AD1169" s="57"/>
      <c r="AE1169" s="57"/>
      <c r="AF1169" s="57"/>
      <c r="AG1169" s="57"/>
      <c r="AH1169" s="57"/>
      <c r="AI1169" s="57"/>
      <c r="AJ1169" s="57"/>
      <c r="AK1169" s="57"/>
      <c r="AL1169" s="57"/>
      <c r="AM1169" s="57"/>
      <c r="AN1169" s="57"/>
      <c r="AO1169" s="57"/>
      <c r="AP1169" s="35"/>
      <c r="AQ1169" s="57"/>
      <c r="AR1169" s="36"/>
      <c r="AS1169" s="57"/>
      <c r="AT1169" s="37"/>
      <c r="AU1169" s="30"/>
      <c r="AV1169" s="30"/>
      <c r="AW1169" s="30"/>
      <c r="AX1169" s="30"/>
      <c r="AY1169" s="30"/>
      <c r="AZ1169" s="30"/>
    </row>
    <row r="1170">
      <c r="A1170" s="30"/>
      <c r="B1170" s="30"/>
      <c r="C1170" s="30"/>
      <c r="D1170" s="31"/>
      <c r="E1170" s="31"/>
      <c r="F1170" s="31"/>
      <c r="G1170" s="31"/>
      <c r="H1170" s="31"/>
      <c r="I1170" s="54"/>
      <c r="J1170" s="55"/>
      <c r="K1170" s="54"/>
      <c r="L1170" s="56"/>
      <c r="M1170" s="56"/>
      <c r="N1170" s="31"/>
      <c r="O1170" s="57"/>
      <c r="P1170" s="57"/>
      <c r="Q1170" s="57"/>
      <c r="R1170" s="57"/>
      <c r="S1170" s="31"/>
      <c r="T1170" s="57"/>
      <c r="U1170" s="57"/>
      <c r="V1170" s="57"/>
      <c r="W1170" s="57"/>
      <c r="X1170" s="31"/>
      <c r="Y1170" s="57"/>
      <c r="Z1170" s="57"/>
      <c r="AA1170" s="57"/>
      <c r="AB1170" s="57"/>
      <c r="AC1170" s="31"/>
      <c r="AD1170" s="57"/>
      <c r="AE1170" s="57"/>
      <c r="AF1170" s="57"/>
      <c r="AG1170" s="57"/>
      <c r="AH1170" s="57"/>
      <c r="AI1170" s="57"/>
      <c r="AJ1170" s="57"/>
      <c r="AK1170" s="57"/>
      <c r="AL1170" s="57"/>
      <c r="AM1170" s="57"/>
      <c r="AN1170" s="57"/>
      <c r="AO1170" s="57"/>
      <c r="AP1170" s="35"/>
      <c r="AQ1170" s="57"/>
      <c r="AR1170" s="36"/>
      <c r="AS1170" s="57"/>
      <c r="AT1170" s="37"/>
      <c r="AU1170" s="30"/>
      <c r="AV1170" s="30"/>
      <c r="AW1170" s="30"/>
      <c r="AX1170" s="30"/>
      <c r="AY1170" s="30"/>
      <c r="AZ1170" s="30"/>
    </row>
    <row r="1171">
      <c r="A1171" s="30"/>
      <c r="B1171" s="30"/>
      <c r="C1171" s="30"/>
      <c r="D1171" s="31"/>
      <c r="E1171" s="31"/>
      <c r="F1171" s="31"/>
      <c r="G1171" s="31"/>
      <c r="H1171" s="31"/>
      <c r="I1171" s="54"/>
      <c r="J1171" s="55"/>
      <c r="K1171" s="54"/>
      <c r="L1171" s="56"/>
      <c r="M1171" s="56"/>
      <c r="N1171" s="31"/>
      <c r="O1171" s="57"/>
      <c r="P1171" s="57"/>
      <c r="Q1171" s="57"/>
      <c r="R1171" s="57"/>
      <c r="S1171" s="31"/>
      <c r="T1171" s="57"/>
      <c r="U1171" s="57"/>
      <c r="V1171" s="57"/>
      <c r="W1171" s="57"/>
      <c r="X1171" s="31"/>
      <c r="Y1171" s="57"/>
      <c r="Z1171" s="57"/>
      <c r="AA1171" s="57"/>
      <c r="AB1171" s="57"/>
      <c r="AC1171" s="31"/>
      <c r="AD1171" s="57"/>
      <c r="AE1171" s="57"/>
      <c r="AF1171" s="57"/>
      <c r="AG1171" s="57"/>
      <c r="AH1171" s="57"/>
      <c r="AI1171" s="57"/>
      <c r="AJ1171" s="57"/>
      <c r="AK1171" s="57"/>
      <c r="AL1171" s="57"/>
      <c r="AM1171" s="57"/>
      <c r="AN1171" s="57"/>
      <c r="AO1171" s="57"/>
      <c r="AP1171" s="35"/>
      <c r="AQ1171" s="57"/>
      <c r="AR1171" s="36"/>
      <c r="AS1171" s="57"/>
      <c r="AT1171" s="37"/>
      <c r="AU1171" s="30"/>
      <c r="AV1171" s="30"/>
      <c r="AW1171" s="30"/>
      <c r="AX1171" s="30"/>
      <c r="AY1171" s="30"/>
      <c r="AZ1171" s="30"/>
    </row>
    <row r="1172">
      <c r="A1172" s="30"/>
      <c r="B1172" s="30"/>
      <c r="C1172" s="30"/>
      <c r="D1172" s="31"/>
      <c r="E1172" s="31"/>
      <c r="F1172" s="31"/>
      <c r="G1172" s="31"/>
      <c r="H1172" s="31"/>
      <c r="I1172" s="54"/>
      <c r="J1172" s="55"/>
      <c r="K1172" s="54"/>
      <c r="L1172" s="56"/>
      <c r="M1172" s="56"/>
      <c r="N1172" s="31"/>
      <c r="O1172" s="57"/>
      <c r="P1172" s="57"/>
      <c r="Q1172" s="57"/>
      <c r="R1172" s="57"/>
      <c r="S1172" s="31"/>
      <c r="T1172" s="57"/>
      <c r="U1172" s="57"/>
      <c r="V1172" s="57"/>
      <c r="W1172" s="57"/>
      <c r="X1172" s="31"/>
      <c r="Y1172" s="57"/>
      <c r="Z1172" s="57"/>
      <c r="AA1172" s="57"/>
      <c r="AB1172" s="57"/>
      <c r="AC1172" s="31"/>
      <c r="AD1172" s="57"/>
      <c r="AE1172" s="57"/>
      <c r="AF1172" s="57"/>
      <c r="AG1172" s="57"/>
      <c r="AH1172" s="57"/>
      <c r="AI1172" s="57"/>
      <c r="AJ1172" s="57"/>
      <c r="AK1172" s="57"/>
      <c r="AL1172" s="57"/>
      <c r="AM1172" s="57"/>
      <c r="AN1172" s="57"/>
      <c r="AO1172" s="57"/>
      <c r="AP1172" s="35"/>
      <c r="AQ1172" s="57"/>
      <c r="AR1172" s="36"/>
      <c r="AS1172" s="57"/>
      <c r="AT1172" s="37"/>
      <c r="AU1172" s="30"/>
      <c r="AV1172" s="30"/>
      <c r="AW1172" s="30"/>
      <c r="AX1172" s="30"/>
      <c r="AY1172" s="30"/>
      <c r="AZ1172" s="30"/>
    </row>
    <row r="1173">
      <c r="A1173" s="30"/>
      <c r="B1173" s="30"/>
      <c r="C1173" s="30"/>
      <c r="D1173" s="31"/>
      <c r="E1173" s="31"/>
      <c r="F1173" s="31"/>
      <c r="G1173" s="31"/>
      <c r="H1173" s="31"/>
      <c r="I1173" s="54"/>
      <c r="J1173" s="55"/>
      <c r="K1173" s="54"/>
      <c r="L1173" s="56"/>
      <c r="M1173" s="56"/>
      <c r="N1173" s="31"/>
      <c r="O1173" s="57"/>
      <c r="P1173" s="57"/>
      <c r="Q1173" s="57"/>
      <c r="R1173" s="57"/>
      <c r="S1173" s="31"/>
      <c r="T1173" s="57"/>
      <c r="U1173" s="57"/>
      <c r="V1173" s="57"/>
      <c r="W1173" s="57"/>
      <c r="X1173" s="31"/>
      <c r="Y1173" s="57"/>
      <c r="Z1173" s="57"/>
      <c r="AA1173" s="57"/>
      <c r="AB1173" s="57"/>
      <c r="AC1173" s="31"/>
      <c r="AD1173" s="57"/>
      <c r="AE1173" s="57"/>
      <c r="AF1173" s="57"/>
      <c r="AG1173" s="57"/>
      <c r="AH1173" s="57"/>
      <c r="AI1173" s="57"/>
      <c r="AJ1173" s="57"/>
      <c r="AK1173" s="57"/>
      <c r="AL1173" s="57"/>
      <c r="AM1173" s="57"/>
      <c r="AN1173" s="57"/>
      <c r="AO1173" s="57"/>
      <c r="AP1173" s="35"/>
      <c r="AQ1173" s="57"/>
      <c r="AR1173" s="36"/>
      <c r="AS1173" s="57"/>
      <c r="AT1173" s="37"/>
      <c r="AU1173" s="30"/>
      <c r="AV1173" s="30"/>
      <c r="AW1173" s="30"/>
      <c r="AX1173" s="30"/>
      <c r="AY1173" s="30"/>
      <c r="AZ1173" s="30"/>
    </row>
    <row r="1174">
      <c r="A1174" s="30"/>
      <c r="B1174" s="30"/>
      <c r="C1174" s="30"/>
      <c r="D1174" s="31"/>
      <c r="E1174" s="31"/>
      <c r="F1174" s="31"/>
      <c r="G1174" s="31"/>
      <c r="H1174" s="31"/>
      <c r="I1174" s="54"/>
      <c r="J1174" s="55"/>
      <c r="K1174" s="54"/>
      <c r="L1174" s="56"/>
      <c r="M1174" s="56"/>
      <c r="N1174" s="31"/>
      <c r="O1174" s="57"/>
      <c r="P1174" s="57"/>
      <c r="Q1174" s="57"/>
      <c r="R1174" s="57"/>
      <c r="S1174" s="31"/>
      <c r="T1174" s="57"/>
      <c r="U1174" s="57"/>
      <c r="V1174" s="57"/>
      <c r="W1174" s="57"/>
      <c r="X1174" s="31"/>
      <c r="Y1174" s="57"/>
      <c r="Z1174" s="57"/>
      <c r="AA1174" s="57"/>
      <c r="AB1174" s="57"/>
      <c r="AC1174" s="31"/>
      <c r="AD1174" s="57"/>
      <c r="AE1174" s="57"/>
      <c r="AF1174" s="57"/>
      <c r="AG1174" s="57"/>
      <c r="AH1174" s="57"/>
      <c r="AI1174" s="57"/>
      <c r="AJ1174" s="57"/>
      <c r="AK1174" s="57"/>
      <c r="AL1174" s="57"/>
      <c r="AM1174" s="57"/>
      <c r="AN1174" s="57"/>
      <c r="AO1174" s="57"/>
      <c r="AP1174" s="35"/>
      <c r="AQ1174" s="57"/>
      <c r="AR1174" s="36"/>
      <c r="AS1174" s="57"/>
      <c r="AT1174" s="37"/>
      <c r="AU1174" s="30"/>
      <c r="AV1174" s="30"/>
      <c r="AW1174" s="30"/>
      <c r="AX1174" s="30"/>
      <c r="AY1174" s="30"/>
      <c r="AZ1174" s="30"/>
    </row>
    <row r="1175">
      <c r="A1175" s="30"/>
      <c r="B1175" s="30"/>
      <c r="C1175" s="30"/>
      <c r="D1175" s="31"/>
      <c r="E1175" s="31"/>
      <c r="F1175" s="31"/>
      <c r="G1175" s="31"/>
      <c r="H1175" s="31"/>
      <c r="I1175" s="54"/>
      <c r="J1175" s="55"/>
      <c r="K1175" s="54"/>
      <c r="L1175" s="56"/>
      <c r="M1175" s="56"/>
      <c r="N1175" s="31"/>
      <c r="O1175" s="57"/>
      <c r="P1175" s="57"/>
      <c r="Q1175" s="57"/>
      <c r="R1175" s="57"/>
      <c r="S1175" s="31"/>
      <c r="T1175" s="57"/>
      <c r="U1175" s="57"/>
      <c r="V1175" s="57"/>
      <c r="W1175" s="57"/>
      <c r="X1175" s="31"/>
      <c r="Y1175" s="57"/>
      <c r="Z1175" s="57"/>
      <c r="AA1175" s="57"/>
      <c r="AB1175" s="57"/>
      <c r="AC1175" s="31"/>
      <c r="AD1175" s="57"/>
      <c r="AE1175" s="57"/>
      <c r="AF1175" s="57"/>
      <c r="AG1175" s="57"/>
      <c r="AH1175" s="57"/>
      <c r="AI1175" s="57"/>
      <c r="AJ1175" s="57"/>
      <c r="AK1175" s="57"/>
      <c r="AL1175" s="57"/>
      <c r="AM1175" s="57"/>
      <c r="AN1175" s="57"/>
      <c r="AO1175" s="57"/>
      <c r="AP1175" s="35"/>
      <c r="AQ1175" s="57"/>
      <c r="AR1175" s="36"/>
      <c r="AS1175" s="57"/>
      <c r="AT1175" s="37"/>
      <c r="AU1175" s="30"/>
      <c r="AV1175" s="30"/>
      <c r="AW1175" s="30"/>
      <c r="AX1175" s="30"/>
      <c r="AY1175" s="30"/>
      <c r="AZ1175" s="30"/>
    </row>
    <row r="1176">
      <c r="A1176" s="30"/>
      <c r="B1176" s="30"/>
      <c r="C1176" s="30"/>
      <c r="D1176" s="31"/>
      <c r="E1176" s="31"/>
      <c r="F1176" s="31"/>
      <c r="G1176" s="31"/>
      <c r="H1176" s="31"/>
      <c r="I1176" s="54"/>
      <c r="J1176" s="55"/>
      <c r="K1176" s="54"/>
      <c r="L1176" s="56"/>
      <c r="M1176" s="56"/>
      <c r="N1176" s="31"/>
      <c r="O1176" s="57"/>
      <c r="P1176" s="57"/>
      <c r="Q1176" s="57"/>
      <c r="R1176" s="57"/>
      <c r="S1176" s="31"/>
      <c r="T1176" s="57"/>
      <c r="U1176" s="57"/>
      <c r="V1176" s="57"/>
      <c r="W1176" s="57"/>
      <c r="X1176" s="31"/>
      <c r="Y1176" s="57"/>
      <c r="Z1176" s="57"/>
      <c r="AA1176" s="57"/>
      <c r="AB1176" s="57"/>
      <c r="AC1176" s="31"/>
      <c r="AD1176" s="57"/>
      <c r="AE1176" s="57"/>
      <c r="AF1176" s="57"/>
      <c r="AG1176" s="57"/>
      <c r="AH1176" s="57"/>
      <c r="AI1176" s="57"/>
      <c r="AJ1176" s="57"/>
      <c r="AK1176" s="57"/>
      <c r="AL1176" s="57"/>
      <c r="AM1176" s="57"/>
      <c r="AN1176" s="57"/>
      <c r="AO1176" s="57"/>
      <c r="AP1176" s="35"/>
      <c r="AQ1176" s="57"/>
      <c r="AR1176" s="36"/>
      <c r="AS1176" s="57"/>
      <c r="AT1176" s="37"/>
      <c r="AU1176" s="30"/>
      <c r="AV1176" s="30"/>
      <c r="AW1176" s="30"/>
      <c r="AX1176" s="30"/>
      <c r="AY1176" s="30"/>
      <c r="AZ1176" s="30"/>
    </row>
    <row r="1177">
      <c r="A1177" s="30"/>
      <c r="B1177" s="30"/>
      <c r="C1177" s="30"/>
      <c r="D1177" s="31"/>
      <c r="E1177" s="31"/>
      <c r="F1177" s="31"/>
      <c r="G1177" s="31"/>
      <c r="H1177" s="31"/>
      <c r="I1177" s="54"/>
      <c r="J1177" s="55"/>
      <c r="K1177" s="54"/>
      <c r="L1177" s="56"/>
      <c r="M1177" s="56"/>
      <c r="N1177" s="31"/>
      <c r="O1177" s="57"/>
      <c r="P1177" s="57"/>
      <c r="Q1177" s="57"/>
      <c r="R1177" s="57"/>
      <c r="S1177" s="31"/>
      <c r="T1177" s="57"/>
      <c r="U1177" s="57"/>
      <c r="V1177" s="57"/>
      <c r="W1177" s="57"/>
      <c r="X1177" s="31"/>
      <c r="Y1177" s="57"/>
      <c r="Z1177" s="57"/>
      <c r="AA1177" s="57"/>
      <c r="AB1177" s="57"/>
      <c r="AC1177" s="31"/>
      <c r="AD1177" s="57"/>
      <c r="AE1177" s="57"/>
      <c r="AF1177" s="57"/>
      <c r="AG1177" s="57"/>
      <c r="AH1177" s="57"/>
      <c r="AI1177" s="57"/>
      <c r="AJ1177" s="57"/>
      <c r="AK1177" s="57"/>
      <c r="AL1177" s="57"/>
      <c r="AM1177" s="57"/>
      <c r="AN1177" s="57"/>
      <c r="AO1177" s="57"/>
      <c r="AP1177" s="35"/>
      <c r="AQ1177" s="57"/>
      <c r="AR1177" s="36"/>
      <c r="AS1177" s="57"/>
      <c r="AT1177" s="37"/>
      <c r="AU1177" s="30"/>
      <c r="AV1177" s="30"/>
      <c r="AW1177" s="30"/>
      <c r="AX1177" s="30"/>
      <c r="AY1177" s="30"/>
      <c r="AZ1177" s="30"/>
    </row>
    <row r="1178">
      <c r="A1178" s="30"/>
      <c r="B1178" s="30"/>
      <c r="C1178" s="30"/>
      <c r="D1178" s="31"/>
      <c r="E1178" s="31"/>
      <c r="F1178" s="31"/>
      <c r="G1178" s="31"/>
      <c r="H1178" s="31"/>
      <c r="I1178" s="54"/>
      <c r="J1178" s="55"/>
      <c r="K1178" s="54"/>
      <c r="L1178" s="56"/>
      <c r="M1178" s="56"/>
      <c r="N1178" s="31"/>
      <c r="O1178" s="57"/>
      <c r="P1178" s="57"/>
      <c r="Q1178" s="57"/>
      <c r="R1178" s="57"/>
      <c r="S1178" s="31"/>
      <c r="T1178" s="57"/>
      <c r="U1178" s="57"/>
      <c r="V1178" s="57"/>
      <c r="W1178" s="57"/>
      <c r="X1178" s="31"/>
      <c r="Y1178" s="57"/>
      <c r="Z1178" s="57"/>
      <c r="AA1178" s="57"/>
      <c r="AB1178" s="57"/>
      <c r="AC1178" s="31"/>
      <c r="AD1178" s="57"/>
      <c r="AE1178" s="57"/>
      <c r="AF1178" s="57"/>
      <c r="AG1178" s="57"/>
      <c r="AH1178" s="57"/>
      <c r="AI1178" s="57"/>
      <c r="AJ1178" s="57"/>
      <c r="AK1178" s="57"/>
      <c r="AL1178" s="57"/>
      <c r="AM1178" s="57"/>
      <c r="AN1178" s="57"/>
      <c r="AO1178" s="57"/>
      <c r="AP1178" s="35"/>
      <c r="AQ1178" s="57"/>
      <c r="AR1178" s="36"/>
      <c r="AS1178" s="57"/>
      <c r="AT1178" s="37"/>
      <c r="AU1178" s="30"/>
      <c r="AV1178" s="30"/>
      <c r="AW1178" s="30"/>
      <c r="AX1178" s="30"/>
      <c r="AY1178" s="30"/>
      <c r="AZ1178" s="30"/>
    </row>
    <row r="1179">
      <c r="A1179" s="30"/>
      <c r="B1179" s="30"/>
      <c r="C1179" s="30"/>
      <c r="D1179" s="31"/>
      <c r="E1179" s="31"/>
      <c r="F1179" s="31"/>
      <c r="G1179" s="31"/>
      <c r="H1179" s="31"/>
      <c r="I1179" s="54"/>
      <c r="J1179" s="55"/>
      <c r="K1179" s="54"/>
      <c r="L1179" s="56"/>
      <c r="M1179" s="56"/>
      <c r="N1179" s="31"/>
      <c r="O1179" s="57"/>
      <c r="P1179" s="57"/>
      <c r="Q1179" s="57"/>
      <c r="R1179" s="57"/>
      <c r="S1179" s="31"/>
      <c r="T1179" s="57"/>
      <c r="U1179" s="57"/>
      <c r="V1179" s="57"/>
      <c r="W1179" s="57"/>
      <c r="X1179" s="31"/>
      <c r="Y1179" s="57"/>
      <c r="Z1179" s="57"/>
      <c r="AA1179" s="57"/>
      <c r="AB1179" s="57"/>
      <c r="AC1179" s="31"/>
      <c r="AD1179" s="57"/>
      <c r="AE1179" s="57"/>
      <c r="AF1179" s="57"/>
      <c r="AG1179" s="57"/>
      <c r="AH1179" s="57"/>
      <c r="AI1179" s="57"/>
      <c r="AJ1179" s="57"/>
      <c r="AK1179" s="57"/>
      <c r="AL1179" s="57"/>
      <c r="AM1179" s="57"/>
      <c r="AN1179" s="57"/>
      <c r="AO1179" s="57"/>
      <c r="AP1179" s="35"/>
      <c r="AQ1179" s="57"/>
      <c r="AR1179" s="36"/>
      <c r="AS1179" s="57"/>
      <c r="AT1179" s="37"/>
      <c r="AU1179" s="30"/>
      <c r="AV1179" s="30"/>
      <c r="AW1179" s="30"/>
      <c r="AX1179" s="30"/>
      <c r="AY1179" s="30"/>
      <c r="AZ1179" s="30"/>
    </row>
    <row r="1180">
      <c r="A1180" s="30"/>
      <c r="B1180" s="30"/>
      <c r="C1180" s="30"/>
      <c r="D1180" s="31"/>
      <c r="E1180" s="31"/>
      <c r="F1180" s="31"/>
      <c r="G1180" s="31"/>
      <c r="H1180" s="31"/>
      <c r="I1180" s="54"/>
      <c r="J1180" s="55"/>
      <c r="K1180" s="54"/>
      <c r="L1180" s="56"/>
      <c r="M1180" s="56"/>
      <c r="N1180" s="31"/>
      <c r="O1180" s="57"/>
      <c r="P1180" s="57"/>
      <c r="Q1180" s="57"/>
      <c r="R1180" s="57"/>
      <c r="S1180" s="31"/>
      <c r="T1180" s="57"/>
      <c r="U1180" s="57"/>
      <c r="V1180" s="57"/>
      <c r="W1180" s="57"/>
      <c r="X1180" s="31"/>
      <c r="Y1180" s="57"/>
      <c r="Z1180" s="57"/>
      <c r="AA1180" s="57"/>
      <c r="AB1180" s="57"/>
      <c r="AC1180" s="31"/>
      <c r="AD1180" s="57"/>
      <c r="AE1180" s="57"/>
      <c r="AF1180" s="57"/>
      <c r="AG1180" s="57"/>
      <c r="AH1180" s="57"/>
      <c r="AI1180" s="57"/>
      <c r="AJ1180" s="57"/>
      <c r="AK1180" s="57"/>
      <c r="AL1180" s="57"/>
      <c r="AM1180" s="57"/>
      <c r="AN1180" s="57"/>
      <c r="AO1180" s="57"/>
      <c r="AP1180" s="35"/>
      <c r="AQ1180" s="57"/>
      <c r="AR1180" s="36"/>
      <c r="AS1180" s="57"/>
      <c r="AT1180" s="37"/>
      <c r="AU1180" s="30"/>
      <c r="AV1180" s="30"/>
      <c r="AW1180" s="30"/>
      <c r="AX1180" s="30"/>
      <c r="AY1180" s="30"/>
      <c r="AZ1180" s="30"/>
    </row>
    <row r="1181">
      <c r="A1181" s="30"/>
      <c r="B1181" s="30"/>
      <c r="C1181" s="30"/>
      <c r="D1181" s="31"/>
      <c r="E1181" s="31"/>
      <c r="F1181" s="31"/>
      <c r="G1181" s="31"/>
      <c r="H1181" s="31"/>
      <c r="I1181" s="54"/>
      <c r="J1181" s="55"/>
      <c r="K1181" s="54"/>
      <c r="L1181" s="56"/>
      <c r="M1181" s="56"/>
      <c r="N1181" s="31"/>
      <c r="O1181" s="57"/>
      <c r="P1181" s="57"/>
      <c r="Q1181" s="57"/>
      <c r="R1181" s="57"/>
      <c r="S1181" s="31"/>
      <c r="T1181" s="57"/>
      <c r="U1181" s="57"/>
      <c r="V1181" s="57"/>
      <c r="W1181" s="57"/>
      <c r="X1181" s="31"/>
      <c r="Y1181" s="57"/>
      <c r="Z1181" s="57"/>
      <c r="AA1181" s="57"/>
      <c r="AB1181" s="57"/>
      <c r="AC1181" s="31"/>
      <c r="AD1181" s="57"/>
      <c r="AE1181" s="57"/>
      <c r="AF1181" s="57"/>
      <c r="AG1181" s="57"/>
      <c r="AH1181" s="57"/>
      <c r="AI1181" s="57"/>
      <c r="AJ1181" s="57"/>
      <c r="AK1181" s="57"/>
      <c r="AL1181" s="57"/>
      <c r="AM1181" s="57"/>
      <c r="AN1181" s="57"/>
      <c r="AO1181" s="57"/>
      <c r="AP1181" s="35"/>
      <c r="AQ1181" s="57"/>
      <c r="AR1181" s="36"/>
      <c r="AS1181" s="57"/>
      <c r="AT1181" s="37"/>
      <c r="AU1181" s="30"/>
      <c r="AV1181" s="30"/>
      <c r="AW1181" s="30"/>
      <c r="AX1181" s="30"/>
      <c r="AY1181" s="30"/>
      <c r="AZ1181" s="30"/>
    </row>
    <row r="1182">
      <c r="A1182" s="30"/>
      <c r="B1182" s="30"/>
      <c r="C1182" s="30"/>
      <c r="D1182" s="31"/>
      <c r="E1182" s="31"/>
      <c r="F1182" s="31"/>
      <c r="G1182" s="31"/>
      <c r="H1182" s="31"/>
      <c r="I1182" s="54"/>
      <c r="J1182" s="55"/>
      <c r="K1182" s="54"/>
      <c r="L1182" s="56"/>
      <c r="M1182" s="56"/>
      <c r="N1182" s="31"/>
      <c r="O1182" s="57"/>
      <c r="P1182" s="57"/>
      <c r="Q1182" s="57"/>
      <c r="R1182" s="57"/>
      <c r="S1182" s="31"/>
      <c r="T1182" s="57"/>
      <c r="U1182" s="57"/>
      <c r="V1182" s="57"/>
      <c r="W1182" s="57"/>
      <c r="X1182" s="31"/>
      <c r="Y1182" s="57"/>
      <c r="Z1182" s="57"/>
      <c r="AA1182" s="57"/>
      <c r="AB1182" s="57"/>
      <c r="AC1182" s="31"/>
      <c r="AD1182" s="57"/>
      <c r="AE1182" s="57"/>
      <c r="AF1182" s="57"/>
      <c r="AG1182" s="57"/>
      <c r="AH1182" s="57"/>
      <c r="AI1182" s="57"/>
      <c r="AJ1182" s="57"/>
      <c r="AK1182" s="57"/>
      <c r="AL1182" s="57"/>
      <c r="AM1182" s="57"/>
      <c r="AN1182" s="57"/>
      <c r="AO1182" s="57"/>
      <c r="AP1182" s="35"/>
      <c r="AQ1182" s="57"/>
      <c r="AR1182" s="36"/>
      <c r="AS1182" s="57"/>
      <c r="AT1182" s="37"/>
      <c r="AU1182" s="30"/>
      <c r="AV1182" s="30"/>
      <c r="AW1182" s="30"/>
      <c r="AX1182" s="30"/>
      <c r="AY1182" s="30"/>
      <c r="AZ1182" s="30"/>
    </row>
    <row r="1183">
      <c r="A1183" s="30"/>
      <c r="B1183" s="30"/>
      <c r="C1183" s="30"/>
      <c r="D1183" s="31"/>
      <c r="E1183" s="31"/>
      <c r="F1183" s="31"/>
      <c r="G1183" s="31"/>
      <c r="H1183" s="31"/>
      <c r="I1183" s="54"/>
      <c r="J1183" s="55"/>
      <c r="K1183" s="54"/>
      <c r="L1183" s="56"/>
      <c r="M1183" s="56"/>
      <c r="N1183" s="31"/>
      <c r="O1183" s="57"/>
      <c r="P1183" s="57"/>
      <c r="Q1183" s="57"/>
      <c r="R1183" s="57"/>
      <c r="S1183" s="31"/>
      <c r="T1183" s="57"/>
      <c r="U1183" s="57"/>
      <c r="V1183" s="57"/>
      <c r="W1183" s="57"/>
      <c r="X1183" s="31"/>
      <c r="Y1183" s="57"/>
      <c r="Z1183" s="57"/>
      <c r="AA1183" s="57"/>
      <c r="AB1183" s="57"/>
      <c r="AC1183" s="31"/>
      <c r="AD1183" s="57"/>
      <c r="AE1183" s="57"/>
      <c r="AF1183" s="57"/>
      <c r="AG1183" s="57"/>
      <c r="AH1183" s="57"/>
      <c r="AI1183" s="57"/>
      <c r="AJ1183" s="57"/>
      <c r="AK1183" s="57"/>
      <c r="AL1183" s="57"/>
      <c r="AM1183" s="57"/>
      <c r="AN1183" s="57"/>
      <c r="AO1183" s="57"/>
      <c r="AP1183" s="35"/>
      <c r="AQ1183" s="57"/>
      <c r="AR1183" s="36"/>
      <c r="AS1183" s="57"/>
      <c r="AT1183" s="37"/>
      <c r="AU1183" s="30"/>
      <c r="AV1183" s="30"/>
      <c r="AW1183" s="30"/>
      <c r="AX1183" s="30"/>
      <c r="AY1183" s="30"/>
      <c r="AZ1183" s="30"/>
    </row>
    <row r="1184">
      <c r="A1184" s="30"/>
      <c r="B1184" s="30"/>
      <c r="C1184" s="30"/>
      <c r="D1184" s="31"/>
      <c r="E1184" s="31"/>
      <c r="F1184" s="31"/>
      <c r="G1184" s="31"/>
      <c r="H1184" s="31"/>
      <c r="I1184" s="54"/>
      <c r="J1184" s="55"/>
      <c r="K1184" s="54"/>
      <c r="L1184" s="56"/>
      <c r="M1184" s="56"/>
      <c r="N1184" s="31"/>
      <c r="O1184" s="57"/>
      <c r="P1184" s="57"/>
      <c r="Q1184" s="57"/>
      <c r="R1184" s="57"/>
      <c r="S1184" s="31"/>
      <c r="T1184" s="57"/>
      <c r="U1184" s="57"/>
      <c r="V1184" s="57"/>
      <c r="W1184" s="57"/>
      <c r="X1184" s="31"/>
      <c r="Y1184" s="57"/>
      <c r="Z1184" s="57"/>
      <c r="AA1184" s="57"/>
      <c r="AB1184" s="57"/>
      <c r="AC1184" s="31"/>
      <c r="AD1184" s="57"/>
      <c r="AE1184" s="57"/>
      <c r="AF1184" s="57"/>
      <c r="AG1184" s="57"/>
      <c r="AH1184" s="57"/>
      <c r="AI1184" s="57"/>
      <c r="AJ1184" s="57"/>
      <c r="AK1184" s="57"/>
      <c r="AL1184" s="57"/>
      <c r="AM1184" s="57"/>
      <c r="AN1184" s="57"/>
      <c r="AO1184" s="57"/>
      <c r="AP1184" s="35"/>
      <c r="AQ1184" s="57"/>
      <c r="AR1184" s="36"/>
      <c r="AS1184" s="57"/>
      <c r="AT1184" s="37"/>
      <c r="AU1184" s="30"/>
      <c r="AV1184" s="30"/>
      <c r="AW1184" s="30"/>
      <c r="AX1184" s="30"/>
      <c r="AY1184" s="30"/>
      <c r="AZ1184" s="30"/>
    </row>
    <row r="1185">
      <c r="A1185" s="30"/>
      <c r="B1185" s="30"/>
      <c r="C1185" s="30"/>
      <c r="D1185" s="31"/>
      <c r="E1185" s="31"/>
      <c r="F1185" s="31"/>
      <c r="G1185" s="31"/>
      <c r="H1185" s="31"/>
      <c r="I1185" s="54"/>
      <c r="J1185" s="55"/>
      <c r="K1185" s="54"/>
      <c r="L1185" s="56"/>
      <c r="M1185" s="56"/>
      <c r="N1185" s="31"/>
      <c r="O1185" s="57"/>
      <c r="P1185" s="57"/>
      <c r="Q1185" s="57"/>
      <c r="R1185" s="57"/>
      <c r="S1185" s="31"/>
      <c r="T1185" s="57"/>
      <c r="U1185" s="57"/>
      <c r="V1185" s="57"/>
      <c r="W1185" s="57"/>
      <c r="X1185" s="31"/>
      <c r="Y1185" s="57"/>
      <c r="Z1185" s="57"/>
      <c r="AA1185" s="57"/>
      <c r="AB1185" s="57"/>
      <c r="AC1185" s="31"/>
      <c r="AD1185" s="57"/>
      <c r="AE1185" s="57"/>
      <c r="AF1185" s="57"/>
      <c r="AG1185" s="57"/>
      <c r="AH1185" s="57"/>
      <c r="AI1185" s="57"/>
      <c r="AJ1185" s="57"/>
      <c r="AK1185" s="57"/>
      <c r="AL1185" s="57"/>
      <c r="AM1185" s="57"/>
      <c r="AN1185" s="57"/>
      <c r="AO1185" s="57"/>
      <c r="AP1185" s="35"/>
      <c r="AQ1185" s="57"/>
      <c r="AR1185" s="36"/>
      <c r="AS1185" s="57"/>
      <c r="AT1185" s="37"/>
      <c r="AU1185" s="30"/>
      <c r="AV1185" s="30"/>
      <c r="AW1185" s="30"/>
      <c r="AX1185" s="30"/>
      <c r="AY1185" s="30"/>
      <c r="AZ1185" s="30"/>
    </row>
    <row r="1186">
      <c r="A1186" s="30"/>
      <c r="B1186" s="30"/>
      <c r="C1186" s="30"/>
      <c r="D1186" s="31"/>
      <c r="E1186" s="31"/>
      <c r="F1186" s="31"/>
      <c r="G1186" s="31"/>
      <c r="H1186" s="31"/>
      <c r="I1186" s="54"/>
      <c r="J1186" s="55"/>
      <c r="K1186" s="54"/>
      <c r="L1186" s="56"/>
      <c r="M1186" s="56"/>
      <c r="N1186" s="31"/>
      <c r="O1186" s="57"/>
      <c r="P1186" s="57"/>
      <c r="Q1186" s="57"/>
      <c r="R1186" s="57"/>
      <c r="S1186" s="31"/>
      <c r="T1186" s="57"/>
      <c r="U1186" s="57"/>
      <c r="V1186" s="57"/>
      <c r="W1186" s="57"/>
      <c r="X1186" s="31"/>
      <c r="Y1186" s="57"/>
      <c r="Z1186" s="57"/>
      <c r="AA1186" s="57"/>
      <c r="AB1186" s="57"/>
      <c r="AC1186" s="31"/>
      <c r="AD1186" s="57"/>
      <c r="AE1186" s="57"/>
      <c r="AF1186" s="57"/>
      <c r="AG1186" s="57"/>
      <c r="AH1186" s="57"/>
      <c r="AI1186" s="57"/>
      <c r="AJ1186" s="57"/>
      <c r="AK1186" s="57"/>
      <c r="AL1186" s="57"/>
      <c r="AM1186" s="57"/>
      <c r="AN1186" s="57"/>
      <c r="AO1186" s="57"/>
      <c r="AP1186" s="35"/>
      <c r="AQ1186" s="57"/>
      <c r="AR1186" s="36"/>
      <c r="AS1186" s="57"/>
      <c r="AT1186" s="37"/>
      <c r="AU1186" s="30"/>
      <c r="AV1186" s="30"/>
      <c r="AW1186" s="30"/>
      <c r="AX1186" s="30"/>
      <c r="AY1186" s="30"/>
      <c r="AZ1186" s="30"/>
    </row>
    <row r="1187">
      <c r="A1187" s="30"/>
      <c r="B1187" s="30"/>
      <c r="C1187" s="30"/>
      <c r="D1187" s="31"/>
      <c r="E1187" s="31"/>
      <c r="F1187" s="31"/>
      <c r="G1187" s="31"/>
      <c r="H1187" s="31"/>
      <c r="I1187" s="54"/>
      <c r="J1187" s="55"/>
      <c r="K1187" s="54"/>
      <c r="L1187" s="56"/>
      <c r="M1187" s="56"/>
      <c r="N1187" s="31"/>
      <c r="O1187" s="57"/>
      <c r="P1187" s="57"/>
      <c r="Q1187" s="57"/>
      <c r="R1187" s="57"/>
      <c r="S1187" s="31"/>
      <c r="T1187" s="57"/>
      <c r="U1187" s="57"/>
      <c r="V1187" s="57"/>
      <c r="W1187" s="57"/>
      <c r="X1187" s="31"/>
      <c r="Y1187" s="57"/>
      <c r="Z1187" s="57"/>
      <c r="AA1187" s="57"/>
      <c r="AB1187" s="57"/>
      <c r="AC1187" s="31"/>
      <c r="AD1187" s="57"/>
      <c r="AE1187" s="57"/>
      <c r="AF1187" s="57"/>
      <c r="AG1187" s="57"/>
      <c r="AH1187" s="57"/>
      <c r="AI1187" s="57"/>
      <c r="AJ1187" s="57"/>
      <c r="AK1187" s="57"/>
      <c r="AL1187" s="57"/>
      <c r="AM1187" s="57"/>
      <c r="AN1187" s="57"/>
      <c r="AO1187" s="57"/>
      <c r="AP1187" s="35"/>
      <c r="AQ1187" s="57"/>
      <c r="AR1187" s="36"/>
      <c r="AS1187" s="57"/>
      <c r="AT1187" s="37"/>
      <c r="AU1187" s="30"/>
      <c r="AV1187" s="30"/>
      <c r="AW1187" s="30"/>
      <c r="AX1187" s="30"/>
      <c r="AY1187" s="30"/>
      <c r="AZ1187" s="30"/>
    </row>
    <row r="1188">
      <c r="A1188" s="30"/>
      <c r="B1188" s="30"/>
      <c r="C1188" s="30"/>
      <c r="D1188" s="31"/>
      <c r="E1188" s="31"/>
      <c r="F1188" s="31"/>
      <c r="G1188" s="31"/>
      <c r="H1188" s="31"/>
      <c r="I1188" s="54"/>
      <c r="J1188" s="55"/>
      <c r="K1188" s="54"/>
      <c r="L1188" s="56"/>
      <c r="M1188" s="56"/>
      <c r="N1188" s="31"/>
      <c r="O1188" s="57"/>
      <c r="P1188" s="57"/>
      <c r="Q1188" s="57"/>
      <c r="R1188" s="57"/>
      <c r="S1188" s="31"/>
      <c r="T1188" s="57"/>
      <c r="U1188" s="57"/>
      <c r="V1188" s="57"/>
      <c r="W1188" s="57"/>
      <c r="X1188" s="31"/>
      <c r="Y1188" s="57"/>
      <c r="Z1188" s="57"/>
      <c r="AA1188" s="57"/>
      <c r="AB1188" s="57"/>
      <c r="AC1188" s="31"/>
      <c r="AD1188" s="57"/>
      <c r="AE1188" s="57"/>
      <c r="AF1188" s="57"/>
      <c r="AG1188" s="57"/>
      <c r="AH1188" s="57"/>
      <c r="AI1188" s="57"/>
      <c r="AJ1188" s="57"/>
      <c r="AK1188" s="57"/>
      <c r="AL1188" s="57"/>
      <c r="AM1188" s="57"/>
      <c r="AN1188" s="57"/>
      <c r="AO1188" s="57"/>
      <c r="AP1188" s="35"/>
      <c r="AQ1188" s="57"/>
      <c r="AR1188" s="36"/>
      <c r="AS1188" s="57"/>
      <c r="AT1188" s="37"/>
      <c r="AU1188" s="30"/>
      <c r="AV1188" s="30"/>
      <c r="AW1188" s="30"/>
      <c r="AX1188" s="30"/>
      <c r="AY1188" s="30"/>
      <c r="AZ1188" s="30"/>
    </row>
    <row r="1189">
      <c r="A1189" s="30"/>
      <c r="B1189" s="30"/>
      <c r="C1189" s="30"/>
      <c r="D1189" s="31"/>
      <c r="E1189" s="31"/>
      <c r="F1189" s="31"/>
      <c r="G1189" s="31"/>
      <c r="H1189" s="31"/>
      <c r="I1189" s="54"/>
      <c r="J1189" s="55"/>
      <c r="K1189" s="54"/>
      <c r="L1189" s="56"/>
      <c r="M1189" s="56"/>
      <c r="N1189" s="31"/>
      <c r="O1189" s="57"/>
      <c r="P1189" s="57"/>
      <c r="Q1189" s="57"/>
      <c r="R1189" s="57"/>
      <c r="S1189" s="31"/>
      <c r="T1189" s="57"/>
      <c r="U1189" s="57"/>
      <c r="V1189" s="57"/>
      <c r="W1189" s="57"/>
      <c r="X1189" s="31"/>
      <c r="Y1189" s="57"/>
      <c r="Z1189" s="57"/>
      <c r="AA1189" s="57"/>
      <c r="AB1189" s="57"/>
      <c r="AC1189" s="31"/>
      <c r="AD1189" s="57"/>
      <c r="AE1189" s="57"/>
      <c r="AF1189" s="57"/>
      <c r="AG1189" s="57"/>
      <c r="AH1189" s="57"/>
      <c r="AI1189" s="57"/>
      <c r="AJ1189" s="57"/>
      <c r="AK1189" s="57"/>
      <c r="AL1189" s="57"/>
      <c r="AM1189" s="57"/>
      <c r="AN1189" s="57"/>
      <c r="AO1189" s="57"/>
      <c r="AP1189" s="35"/>
      <c r="AQ1189" s="57"/>
      <c r="AR1189" s="36"/>
      <c r="AS1189" s="57"/>
      <c r="AT1189" s="37"/>
      <c r="AU1189" s="30"/>
      <c r="AV1189" s="30"/>
      <c r="AW1189" s="30"/>
      <c r="AX1189" s="30"/>
      <c r="AY1189" s="30"/>
      <c r="AZ1189" s="30"/>
    </row>
    <row r="1190">
      <c r="A1190" s="30"/>
      <c r="B1190" s="30"/>
      <c r="C1190" s="30"/>
      <c r="D1190" s="31"/>
      <c r="E1190" s="31"/>
      <c r="F1190" s="31"/>
      <c r="G1190" s="31"/>
      <c r="H1190" s="31"/>
      <c r="I1190" s="54"/>
      <c r="J1190" s="55"/>
      <c r="K1190" s="54"/>
      <c r="L1190" s="56"/>
      <c r="M1190" s="56"/>
      <c r="N1190" s="31"/>
      <c r="O1190" s="57"/>
      <c r="P1190" s="57"/>
      <c r="Q1190" s="57"/>
      <c r="R1190" s="57"/>
      <c r="S1190" s="31"/>
      <c r="T1190" s="57"/>
      <c r="U1190" s="57"/>
      <c r="V1190" s="57"/>
      <c r="W1190" s="57"/>
      <c r="X1190" s="31"/>
      <c r="Y1190" s="57"/>
      <c r="Z1190" s="57"/>
      <c r="AA1190" s="57"/>
      <c r="AB1190" s="57"/>
      <c r="AC1190" s="31"/>
      <c r="AD1190" s="57"/>
      <c r="AE1190" s="57"/>
      <c r="AF1190" s="57"/>
      <c r="AG1190" s="57"/>
      <c r="AH1190" s="57"/>
      <c r="AI1190" s="57"/>
      <c r="AJ1190" s="57"/>
      <c r="AK1190" s="57"/>
      <c r="AL1190" s="57"/>
      <c r="AM1190" s="57"/>
      <c r="AN1190" s="57"/>
      <c r="AO1190" s="57"/>
      <c r="AP1190" s="35"/>
      <c r="AQ1190" s="57"/>
      <c r="AR1190" s="36"/>
      <c r="AS1190" s="57"/>
      <c r="AT1190" s="37"/>
      <c r="AU1190" s="30"/>
      <c r="AV1190" s="30"/>
      <c r="AW1190" s="30"/>
      <c r="AX1190" s="30"/>
      <c r="AY1190" s="30"/>
      <c r="AZ1190" s="30"/>
    </row>
    <row r="1191">
      <c r="A1191" s="30"/>
      <c r="B1191" s="30"/>
      <c r="C1191" s="30"/>
      <c r="D1191" s="31"/>
      <c r="E1191" s="31"/>
      <c r="F1191" s="31"/>
      <c r="G1191" s="31"/>
      <c r="H1191" s="31"/>
      <c r="I1191" s="54"/>
      <c r="J1191" s="55"/>
      <c r="K1191" s="54"/>
      <c r="L1191" s="56"/>
      <c r="M1191" s="56"/>
      <c r="N1191" s="31"/>
      <c r="O1191" s="57"/>
      <c r="P1191" s="57"/>
      <c r="Q1191" s="57"/>
      <c r="R1191" s="57"/>
      <c r="S1191" s="31"/>
      <c r="T1191" s="57"/>
      <c r="U1191" s="57"/>
      <c r="V1191" s="57"/>
      <c r="W1191" s="57"/>
      <c r="X1191" s="31"/>
      <c r="Y1191" s="57"/>
      <c r="Z1191" s="57"/>
      <c r="AA1191" s="57"/>
      <c r="AB1191" s="57"/>
      <c r="AC1191" s="31"/>
      <c r="AD1191" s="57"/>
      <c r="AE1191" s="57"/>
      <c r="AF1191" s="57"/>
      <c r="AG1191" s="57"/>
      <c r="AH1191" s="57"/>
      <c r="AI1191" s="57"/>
      <c r="AJ1191" s="57"/>
      <c r="AK1191" s="57"/>
      <c r="AL1191" s="57"/>
      <c r="AM1191" s="57"/>
      <c r="AN1191" s="57"/>
      <c r="AO1191" s="57"/>
      <c r="AP1191" s="35"/>
      <c r="AQ1191" s="57"/>
      <c r="AR1191" s="36"/>
      <c r="AS1191" s="57"/>
      <c r="AT1191" s="37"/>
      <c r="AU1191" s="30"/>
      <c r="AV1191" s="30"/>
      <c r="AW1191" s="30"/>
      <c r="AX1191" s="30"/>
      <c r="AY1191" s="30"/>
      <c r="AZ1191" s="30"/>
    </row>
    <row r="1192">
      <c r="A1192" s="30"/>
      <c r="B1192" s="30"/>
      <c r="C1192" s="30"/>
      <c r="D1192" s="31"/>
      <c r="E1192" s="31"/>
      <c r="F1192" s="31"/>
      <c r="G1192" s="31"/>
      <c r="H1192" s="31"/>
      <c r="I1192" s="54"/>
      <c r="J1192" s="55"/>
      <c r="K1192" s="54"/>
      <c r="L1192" s="56"/>
      <c r="M1192" s="56"/>
      <c r="N1192" s="31"/>
      <c r="O1192" s="57"/>
      <c r="P1192" s="57"/>
      <c r="Q1192" s="57"/>
      <c r="R1192" s="57"/>
      <c r="S1192" s="31"/>
      <c r="T1192" s="57"/>
      <c r="U1192" s="57"/>
      <c r="V1192" s="57"/>
      <c r="W1192" s="57"/>
      <c r="X1192" s="31"/>
      <c r="Y1192" s="57"/>
      <c r="Z1192" s="57"/>
      <c r="AA1192" s="57"/>
      <c r="AB1192" s="57"/>
      <c r="AC1192" s="31"/>
      <c r="AD1192" s="57"/>
      <c r="AE1192" s="57"/>
      <c r="AF1192" s="57"/>
      <c r="AG1192" s="57"/>
      <c r="AH1192" s="57"/>
      <c r="AI1192" s="57"/>
      <c r="AJ1192" s="57"/>
      <c r="AK1192" s="57"/>
      <c r="AL1192" s="57"/>
      <c r="AM1192" s="57"/>
      <c r="AN1192" s="57"/>
      <c r="AO1192" s="57"/>
      <c r="AP1192" s="35"/>
      <c r="AQ1192" s="57"/>
      <c r="AR1192" s="36"/>
      <c r="AS1192" s="57"/>
      <c r="AT1192" s="37"/>
      <c r="AU1192" s="30"/>
      <c r="AV1192" s="30"/>
      <c r="AW1192" s="30"/>
      <c r="AX1192" s="30"/>
      <c r="AY1192" s="30"/>
      <c r="AZ1192" s="30"/>
    </row>
    <row r="1193">
      <c r="A1193" s="30"/>
      <c r="B1193" s="30"/>
      <c r="C1193" s="30"/>
      <c r="D1193" s="31"/>
      <c r="E1193" s="31"/>
      <c r="F1193" s="31"/>
      <c r="G1193" s="31"/>
      <c r="H1193" s="31"/>
      <c r="I1193" s="54"/>
      <c r="J1193" s="55"/>
      <c r="K1193" s="54"/>
      <c r="L1193" s="56"/>
      <c r="M1193" s="56"/>
      <c r="N1193" s="31"/>
      <c r="O1193" s="57"/>
      <c r="P1193" s="57"/>
      <c r="Q1193" s="57"/>
      <c r="R1193" s="57"/>
      <c r="S1193" s="31"/>
      <c r="T1193" s="57"/>
      <c r="U1193" s="57"/>
      <c r="V1193" s="57"/>
      <c r="W1193" s="57"/>
      <c r="X1193" s="31"/>
      <c r="Y1193" s="57"/>
      <c r="Z1193" s="57"/>
      <c r="AA1193" s="57"/>
      <c r="AB1193" s="57"/>
      <c r="AC1193" s="31"/>
      <c r="AD1193" s="57"/>
      <c r="AE1193" s="57"/>
      <c r="AF1193" s="57"/>
      <c r="AG1193" s="57"/>
      <c r="AH1193" s="57"/>
      <c r="AI1193" s="57"/>
      <c r="AJ1193" s="57"/>
      <c r="AK1193" s="57"/>
      <c r="AL1193" s="57"/>
      <c r="AM1193" s="57"/>
      <c r="AN1193" s="57"/>
      <c r="AO1193" s="57"/>
      <c r="AP1193" s="35"/>
      <c r="AQ1193" s="57"/>
      <c r="AR1193" s="36"/>
      <c r="AS1193" s="57"/>
      <c r="AT1193" s="37"/>
      <c r="AU1193" s="30"/>
      <c r="AV1193" s="30"/>
      <c r="AW1193" s="30"/>
      <c r="AX1193" s="30"/>
      <c r="AY1193" s="30"/>
      <c r="AZ1193" s="30"/>
    </row>
    <row r="1194">
      <c r="A1194" s="30"/>
      <c r="B1194" s="30"/>
      <c r="C1194" s="30"/>
      <c r="D1194" s="31"/>
      <c r="E1194" s="31"/>
      <c r="F1194" s="31"/>
      <c r="G1194" s="31"/>
      <c r="H1194" s="31"/>
      <c r="I1194" s="54"/>
      <c r="J1194" s="55"/>
      <c r="K1194" s="54"/>
      <c r="L1194" s="56"/>
      <c r="M1194" s="56"/>
      <c r="N1194" s="31"/>
      <c r="O1194" s="57"/>
      <c r="P1194" s="57"/>
      <c r="Q1194" s="57"/>
      <c r="R1194" s="57"/>
      <c r="S1194" s="31"/>
      <c r="T1194" s="57"/>
      <c r="U1194" s="57"/>
      <c r="V1194" s="57"/>
      <c r="W1194" s="57"/>
      <c r="X1194" s="31"/>
      <c r="Y1194" s="57"/>
      <c r="Z1194" s="57"/>
      <c r="AA1194" s="57"/>
      <c r="AB1194" s="57"/>
      <c r="AC1194" s="31"/>
      <c r="AD1194" s="57"/>
      <c r="AE1194" s="57"/>
      <c r="AF1194" s="57"/>
      <c r="AG1194" s="57"/>
      <c r="AH1194" s="57"/>
      <c r="AI1194" s="57"/>
      <c r="AJ1194" s="57"/>
      <c r="AK1194" s="57"/>
      <c r="AL1194" s="57"/>
      <c r="AM1194" s="57"/>
      <c r="AN1194" s="57"/>
      <c r="AO1194" s="57"/>
      <c r="AP1194" s="35"/>
      <c r="AQ1194" s="57"/>
      <c r="AR1194" s="36"/>
      <c r="AS1194" s="57"/>
      <c r="AT1194" s="37"/>
      <c r="AU1194" s="30"/>
      <c r="AV1194" s="30"/>
      <c r="AW1194" s="30"/>
      <c r="AX1194" s="30"/>
      <c r="AY1194" s="30"/>
      <c r="AZ1194" s="30"/>
    </row>
    <row r="1195">
      <c r="A1195" s="30"/>
      <c r="B1195" s="30"/>
      <c r="C1195" s="30"/>
      <c r="D1195" s="31"/>
      <c r="E1195" s="31"/>
      <c r="F1195" s="31"/>
      <c r="G1195" s="31"/>
      <c r="H1195" s="31"/>
      <c r="I1195" s="54"/>
      <c r="J1195" s="55"/>
      <c r="K1195" s="54"/>
      <c r="L1195" s="56"/>
      <c r="M1195" s="56"/>
      <c r="N1195" s="31"/>
      <c r="O1195" s="57"/>
      <c r="P1195" s="57"/>
      <c r="Q1195" s="57"/>
      <c r="R1195" s="57"/>
      <c r="S1195" s="31"/>
      <c r="T1195" s="57"/>
      <c r="U1195" s="57"/>
      <c r="V1195" s="57"/>
      <c r="W1195" s="57"/>
      <c r="X1195" s="31"/>
      <c r="Y1195" s="57"/>
      <c r="Z1195" s="57"/>
      <c r="AA1195" s="57"/>
      <c r="AB1195" s="57"/>
      <c r="AC1195" s="31"/>
      <c r="AD1195" s="57"/>
      <c r="AE1195" s="57"/>
      <c r="AF1195" s="57"/>
      <c r="AG1195" s="57"/>
      <c r="AH1195" s="57"/>
      <c r="AI1195" s="57"/>
      <c r="AJ1195" s="57"/>
      <c r="AK1195" s="57"/>
      <c r="AL1195" s="57"/>
      <c r="AM1195" s="57"/>
      <c r="AN1195" s="57"/>
      <c r="AO1195" s="57"/>
      <c r="AP1195" s="35"/>
      <c r="AQ1195" s="57"/>
      <c r="AR1195" s="36"/>
      <c r="AS1195" s="57"/>
      <c r="AT1195" s="37"/>
      <c r="AU1195" s="30"/>
      <c r="AV1195" s="30"/>
      <c r="AW1195" s="30"/>
      <c r="AX1195" s="30"/>
      <c r="AY1195" s="30"/>
      <c r="AZ1195" s="30"/>
    </row>
    <row r="1196">
      <c r="A1196" s="30"/>
      <c r="B1196" s="30"/>
      <c r="C1196" s="30"/>
      <c r="D1196" s="31"/>
      <c r="E1196" s="31"/>
      <c r="F1196" s="31"/>
      <c r="G1196" s="31"/>
      <c r="H1196" s="31"/>
      <c r="I1196" s="54"/>
      <c r="J1196" s="55"/>
      <c r="K1196" s="54"/>
      <c r="L1196" s="56"/>
      <c r="M1196" s="56"/>
      <c r="N1196" s="31"/>
      <c r="O1196" s="57"/>
      <c r="P1196" s="57"/>
      <c r="Q1196" s="57"/>
      <c r="R1196" s="57"/>
      <c r="S1196" s="31"/>
      <c r="T1196" s="57"/>
      <c r="U1196" s="57"/>
      <c r="V1196" s="57"/>
      <c r="W1196" s="57"/>
      <c r="X1196" s="31"/>
      <c r="Y1196" s="57"/>
      <c r="Z1196" s="57"/>
      <c r="AA1196" s="57"/>
      <c r="AB1196" s="57"/>
      <c r="AC1196" s="31"/>
      <c r="AD1196" s="57"/>
      <c r="AE1196" s="57"/>
      <c r="AF1196" s="57"/>
      <c r="AG1196" s="57"/>
      <c r="AH1196" s="57"/>
      <c r="AI1196" s="57"/>
      <c r="AJ1196" s="57"/>
      <c r="AK1196" s="57"/>
      <c r="AL1196" s="57"/>
      <c r="AM1196" s="57"/>
      <c r="AN1196" s="57"/>
      <c r="AO1196" s="57"/>
      <c r="AP1196" s="35"/>
      <c r="AQ1196" s="57"/>
      <c r="AR1196" s="36"/>
      <c r="AS1196" s="57"/>
      <c r="AT1196" s="37"/>
      <c r="AU1196" s="30"/>
      <c r="AV1196" s="30"/>
      <c r="AW1196" s="30"/>
      <c r="AX1196" s="30"/>
      <c r="AY1196" s="30"/>
      <c r="AZ1196" s="30"/>
    </row>
    <row r="1197">
      <c r="A1197" s="30"/>
      <c r="B1197" s="30"/>
      <c r="C1197" s="30"/>
      <c r="D1197" s="31"/>
      <c r="E1197" s="31"/>
      <c r="F1197" s="31"/>
      <c r="G1197" s="31"/>
      <c r="H1197" s="31"/>
      <c r="I1197" s="54"/>
      <c r="J1197" s="55"/>
      <c r="K1197" s="54"/>
      <c r="L1197" s="56"/>
      <c r="M1197" s="56"/>
      <c r="N1197" s="31"/>
      <c r="O1197" s="57"/>
      <c r="P1197" s="57"/>
      <c r="Q1197" s="57"/>
      <c r="R1197" s="57"/>
      <c r="S1197" s="31"/>
      <c r="T1197" s="57"/>
      <c r="U1197" s="57"/>
      <c r="V1197" s="57"/>
      <c r="W1197" s="57"/>
      <c r="X1197" s="31"/>
      <c r="Y1197" s="57"/>
      <c r="Z1197" s="57"/>
      <c r="AA1197" s="57"/>
      <c r="AB1197" s="57"/>
      <c r="AC1197" s="31"/>
      <c r="AD1197" s="57"/>
      <c r="AE1197" s="57"/>
      <c r="AF1197" s="57"/>
      <c r="AG1197" s="57"/>
      <c r="AH1197" s="57"/>
      <c r="AI1197" s="57"/>
      <c r="AJ1197" s="57"/>
      <c r="AK1197" s="57"/>
      <c r="AL1197" s="57"/>
      <c r="AM1197" s="57"/>
      <c r="AN1197" s="57"/>
      <c r="AO1197" s="57"/>
      <c r="AP1197" s="35"/>
      <c r="AQ1197" s="57"/>
      <c r="AR1197" s="36"/>
      <c r="AS1197" s="57"/>
      <c r="AT1197" s="37"/>
      <c r="AU1197" s="30"/>
      <c r="AV1197" s="30"/>
      <c r="AW1197" s="30"/>
      <c r="AX1197" s="30"/>
      <c r="AY1197" s="30"/>
      <c r="AZ1197" s="30"/>
    </row>
    <row r="1198">
      <c r="A1198" s="30"/>
      <c r="B1198" s="30"/>
      <c r="C1198" s="30"/>
      <c r="D1198" s="31"/>
      <c r="E1198" s="31"/>
      <c r="F1198" s="31"/>
      <c r="G1198" s="31"/>
      <c r="H1198" s="31"/>
      <c r="I1198" s="54"/>
      <c r="J1198" s="55"/>
      <c r="K1198" s="54"/>
      <c r="L1198" s="56"/>
      <c r="M1198" s="56"/>
      <c r="N1198" s="31"/>
      <c r="O1198" s="57"/>
      <c r="P1198" s="57"/>
      <c r="Q1198" s="57"/>
      <c r="R1198" s="57"/>
      <c r="S1198" s="31"/>
      <c r="T1198" s="57"/>
      <c r="U1198" s="57"/>
      <c r="V1198" s="57"/>
      <c r="W1198" s="57"/>
      <c r="X1198" s="31"/>
      <c r="Y1198" s="57"/>
      <c r="Z1198" s="57"/>
      <c r="AA1198" s="57"/>
      <c r="AB1198" s="57"/>
      <c r="AC1198" s="31"/>
      <c r="AD1198" s="57"/>
      <c r="AE1198" s="57"/>
      <c r="AF1198" s="57"/>
      <c r="AG1198" s="57"/>
      <c r="AH1198" s="57"/>
      <c r="AI1198" s="57"/>
      <c r="AJ1198" s="57"/>
      <c r="AK1198" s="57"/>
      <c r="AL1198" s="57"/>
      <c r="AM1198" s="57"/>
      <c r="AN1198" s="57"/>
      <c r="AO1198" s="57"/>
      <c r="AP1198" s="35"/>
      <c r="AQ1198" s="57"/>
      <c r="AR1198" s="36"/>
      <c r="AS1198" s="57"/>
      <c r="AT1198" s="37"/>
      <c r="AU1198" s="30"/>
      <c r="AV1198" s="30"/>
      <c r="AW1198" s="30"/>
      <c r="AX1198" s="30"/>
      <c r="AY1198" s="30"/>
      <c r="AZ1198" s="30"/>
    </row>
    <row r="1199">
      <c r="A1199" s="30"/>
      <c r="B1199" s="30"/>
      <c r="C1199" s="30"/>
      <c r="D1199" s="31"/>
      <c r="E1199" s="31"/>
      <c r="F1199" s="31"/>
      <c r="G1199" s="31"/>
      <c r="H1199" s="31"/>
      <c r="I1199" s="54"/>
      <c r="J1199" s="55"/>
      <c r="K1199" s="54"/>
      <c r="L1199" s="56"/>
      <c r="M1199" s="56"/>
      <c r="N1199" s="31"/>
      <c r="O1199" s="57"/>
      <c r="P1199" s="57"/>
      <c r="Q1199" s="57"/>
      <c r="R1199" s="57"/>
      <c r="S1199" s="31"/>
      <c r="T1199" s="57"/>
      <c r="U1199" s="57"/>
      <c r="V1199" s="57"/>
      <c r="W1199" s="57"/>
      <c r="X1199" s="31"/>
      <c r="Y1199" s="57"/>
      <c r="Z1199" s="57"/>
      <c r="AA1199" s="57"/>
      <c r="AB1199" s="57"/>
      <c r="AC1199" s="31"/>
      <c r="AD1199" s="57"/>
      <c r="AE1199" s="57"/>
      <c r="AF1199" s="57"/>
      <c r="AG1199" s="57"/>
      <c r="AH1199" s="57"/>
      <c r="AI1199" s="57"/>
      <c r="AJ1199" s="57"/>
      <c r="AK1199" s="57"/>
      <c r="AL1199" s="57"/>
      <c r="AM1199" s="57"/>
      <c r="AN1199" s="57"/>
      <c r="AO1199" s="57"/>
      <c r="AP1199" s="35"/>
      <c r="AQ1199" s="57"/>
      <c r="AR1199" s="36"/>
      <c r="AS1199" s="57"/>
      <c r="AT1199" s="37"/>
      <c r="AU1199" s="30"/>
      <c r="AV1199" s="30"/>
      <c r="AW1199" s="30"/>
      <c r="AX1199" s="30"/>
      <c r="AY1199" s="30"/>
      <c r="AZ1199" s="30"/>
    </row>
    <row r="1200">
      <c r="A1200" s="30"/>
      <c r="B1200" s="30"/>
      <c r="C1200" s="30"/>
      <c r="D1200" s="31"/>
      <c r="E1200" s="31"/>
      <c r="F1200" s="31"/>
      <c r="G1200" s="31"/>
      <c r="H1200" s="31"/>
      <c r="I1200" s="54"/>
      <c r="J1200" s="55"/>
      <c r="K1200" s="54"/>
      <c r="L1200" s="56"/>
      <c r="M1200" s="56"/>
      <c r="N1200" s="31"/>
      <c r="O1200" s="57"/>
      <c r="P1200" s="57"/>
      <c r="Q1200" s="57"/>
      <c r="R1200" s="57"/>
      <c r="S1200" s="31"/>
      <c r="T1200" s="57"/>
      <c r="U1200" s="57"/>
      <c r="V1200" s="57"/>
      <c r="W1200" s="57"/>
      <c r="X1200" s="31"/>
      <c r="Y1200" s="57"/>
      <c r="Z1200" s="57"/>
      <c r="AA1200" s="57"/>
      <c r="AB1200" s="57"/>
      <c r="AC1200" s="31"/>
      <c r="AD1200" s="57"/>
      <c r="AE1200" s="57"/>
      <c r="AF1200" s="57"/>
      <c r="AG1200" s="57"/>
      <c r="AH1200" s="57"/>
      <c r="AI1200" s="57"/>
      <c r="AJ1200" s="57"/>
      <c r="AK1200" s="57"/>
      <c r="AL1200" s="57"/>
      <c r="AM1200" s="57"/>
      <c r="AN1200" s="57"/>
      <c r="AO1200" s="57"/>
      <c r="AP1200" s="35"/>
      <c r="AQ1200" s="57"/>
      <c r="AR1200" s="36"/>
      <c r="AS1200" s="57"/>
      <c r="AT1200" s="37"/>
      <c r="AU1200" s="30"/>
      <c r="AV1200" s="30"/>
      <c r="AW1200" s="30"/>
      <c r="AX1200" s="30"/>
      <c r="AY1200" s="30"/>
      <c r="AZ1200" s="30"/>
    </row>
    <row r="1201">
      <c r="A1201" s="30"/>
      <c r="B1201" s="30"/>
      <c r="C1201" s="30"/>
      <c r="D1201" s="31"/>
      <c r="E1201" s="31"/>
      <c r="F1201" s="31"/>
      <c r="G1201" s="31"/>
      <c r="H1201" s="31"/>
      <c r="I1201" s="54"/>
      <c r="J1201" s="55"/>
      <c r="K1201" s="54"/>
      <c r="L1201" s="56"/>
      <c r="M1201" s="56"/>
      <c r="N1201" s="31"/>
      <c r="O1201" s="57"/>
      <c r="P1201" s="57"/>
      <c r="Q1201" s="57"/>
      <c r="R1201" s="57"/>
      <c r="S1201" s="31"/>
      <c r="T1201" s="57"/>
      <c r="U1201" s="57"/>
      <c r="V1201" s="57"/>
      <c r="W1201" s="57"/>
      <c r="X1201" s="31"/>
      <c r="Y1201" s="57"/>
      <c r="Z1201" s="57"/>
      <c r="AA1201" s="57"/>
      <c r="AB1201" s="57"/>
      <c r="AC1201" s="31"/>
      <c r="AD1201" s="57"/>
      <c r="AE1201" s="57"/>
      <c r="AF1201" s="57"/>
      <c r="AG1201" s="57"/>
      <c r="AH1201" s="57"/>
      <c r="AI1201" s="57"/>
      <c r="AJ1201" s="57"/>
      <c r="AK1201" s="57"/>
      <c r="AL1201" s="57"/>
      <c r="AM1201" s="57"/>
      <c r="AN1201" s="57"/>
      <c r="AO1201" s="57"/>
      <c r="AP1201" s="35"/>
      <c r="AQ1201" s="57"/>
      <c r="AR1201" s="36"/>
      <c r="AS1201" s="57"/>
      <c r="AT1201" s="37"/>
      <c r="AU1201" s="30"/>
      <c r="AV1201" s="30"/>
      <c r="AW1201" s="30"/>
      <c r="AX1201" s="30"/>
      <c r="AY1201" s="30"/>
      <c r="AZ1201" s="30"/>
    </row>
    <row r="1202">
      <c r="A1202" s="30"/>
      <c r="B1202" s="30"/>
      <c r="C1202" s="30"/>
      <c r="D1202" s="31"/>
      <c r="E1202" s="31"/>
      <c r="F1202" s="31"/>
      <c r="G1202" s="31"/>
      <c r="H1202" s="31"/>
      <c r="I1202" s="54"/>
      <c r="J1202" s="55"/>
      <c r="K1202" s="54"/>
      <c r="L1202" s="56"/>
      <c r="M1202" s="56"/>
      <c r="N1202" s="31"/>
      <c r="O1202" s="57"/>
      <c r="P1202" s="57"/>
      <c r="Q1202" s="57"/>
      <c r="R1202" s="57"/>
      <c r="S1202" s="31"/>
      <c r="T1202" s="57"/>
      <c r="U1202" s="57"/>
      <c r="V1202" s="57"/>
      <c r="W1202" s="57"/>
      <c r="X1202" s="31"/>
      <c r="Y1202" s="57"/>
      <c r="Z1202" s="57"/>
      <c r="AA1202" s="57"/>
      <c r="AB1202" s="57"/>
      <c r="AC1202" s="31"/>
      <c r="AD1202" s="57"/>
      <c r="AE1202" s="57"/>
      <c r="AF1202" s="57"/>
      <c r="AG1202" s="57"/>
      <c r="AH1202" s="57"/>
      <c r="AI1202" s="57"/>
      <c r="AJ1202" s="57"/>
      <c r="AK1202" s="57"/>
      <c r="AL1202" s="57"/>
      <c r="AM1202" s="57"/>
      <c r="AN1202" s="57"/>
      <c r="AO1202" s="57"/>
      <c r="AP1202" s="35"/>
      <c r="AQ1202" s="57"/>
      <c r="AR1202" s="36"/>
      <c r="AS1202" s="57"/>
      <c r="AT1202" s="37"/>
      <c r="AU1202" s="30"/>
      <c r="AV1202" s="30"/>
      <c r="AW1202" s="30"/>
      <c r="AX1202" s="30"/>
      <c r="AY1202" s="30"/>
      <c r="AZ1202" s="30"/>
    </row>
    <row r="1203">
      <c r="A1203" s="30"/>
      <c r="B1203" s="30"/>
      <c r="C1203" s="30"/>
      <c r="D1203" s="31"/>
      <c r="E1203" s="31"/>
      <c r="F1203" s="31"/>
      <c r="G1203" s="31"/>
      <c r="H1203" s="31"/>
      <c r="I1203" s="54"/>
      <c r="J1203" s="55"/>
      <c r="K1203" s="54"/>
      <c r="L1203" s="56"/>
      <c r="M1203" s="56"/>
      <c r="N1203" s="31"/>
      <c r="O1203" s="57"/>
      <c r="P1203" s="57"/>
      <c r="Q1203" s="57"/>
      <c r="R1203" s="57"/>
      <c r="S1203" s="31"/>
      <c r="T1203" s="57"/>
      <c r="U1203" s="57"/>
      <c r="V1203" s="57"/>
      <c r="W1203" s="57"/>
      <c r="X1203" s="31"/>
      <c r="Y1203" s="57"/>
      <c r="Z1203" s="57"/>
      <c r="AA1203" s="57"/>
      <c r="AB1203" s="57"/>
      <c r="AC1203" s="31"/>
      <c r="AD1203" s="57"/>
      <c r="AE1203" s="57"/>
      <c r="AF1203" s="57"/>
      <c r="AG1203" s="57"/>
      <c r="AH1203" s="57"/>
      <c r="AI1203" s="57"/>
      <c r="AJ1203" s="57"/>
      <c r="AK1203" s="57"/>
      <c r="AL1203" s="57"/>
      <c r="AM1203" s="57"/>
      <c r="AN1203" s="57"/>
      <c r="AO1203" s="57"/>
      <c r="AP1203" s="35"/>
      <c r="AQ1203" s="57"/>
      <c r="AR1203" s="36"/>
      <c r="AS1203" s="57"/>
      <c r="AT1203" s="37"/>
      <c r="AU1203" s="30"/>
      <c r="AV1203" s="30"/>
      <c r="AW1203" s="30"/>
      <c r="AX1203" s="30"/>
      <c r="AY1203" s="30"/>
      <c r="AZ1203" s="30"/>
    </row>
    <row r="1204">
      <c r="A1204" s="30"/>
      <c r="B1204" s="30"/>
      <c r="C1204" s="30"/>
      <c r="D1204" s="31"/>
      <c r="E1204" s="31"/>
      <c r="F1204" s="31"/>
      <c r="G1204" s="31"/>
      <c r="H1204" s="31"/>
      <c r="I1204" s="54"/>
      <c r="J1204" s="55"/>
      <c r="K1204" s="54"/>
      <c r="L1204" s="56"/>
      <c r="M1204" s="56"/>
      <c r="N1204" s="31"/>
      <c r="O1204" s="57"/>
      <c r="P1204" s="57"/>
      <c r="Q1204" s="57"/>
      <c r="R1204" s="57"/>
      <c r="S1204" s="31"/>
      <c r="T1204" s="57"/>
      <c r="U1204" s="57"/>
      <c r="V1204" s="57"/>
      <c r="W1204" s="57"/>
      <c r="X1204" s="31"/>
      <c r="Y1204" s="57"/>
      <c r="Z1204" s="57"/>
      <c r="AA1204" s="57"/>
      <c r="AB1204" s="57"/>
      <c r="AC1204" s="31"/>
      <c r="AD1204" s="57"/>
      <c r="AE1204" s="57"/>
      <c r="AF1204" s="57"/>
      <c r="AG1204" s="57"/>
      <c r="AH1204" s="57"/>
      <c r="AI1204" s="57"/>
      <c r="AJ1204" s="57"/>
      <c r="AK1204" s="57"/>
      <c r="AL1204" s="57"/>
      <c r="AM1204" s="57"/>
      <c r="AN1204" s="57"/>
      <c r="AO1204" s="57"/>
      <c r="AP1204" s="35"/>
      <c r="AQ1204" s="57"/>
      <c r="AR1204" s="36"/>
      <c r="AS1204" s="57"/>
      <c r="AT1204" s="37"/>
      <c r="AU1204" s="30"/>
      <c r="AV1204" s="30"/>
      <c r="AW1204" s="30"/>
      <c r="AX1204" s="30"/>
      <c r="AY1204" s="30"/>
      <c r="AZ1204" s="30"/>
    </row>
    <row r="1205">
      <c r="A1205" s="30"/>
      <c r="B1205" s="30"/>
      <c r="C1205" s="30"/>
      <c r="D1205" s="31"/>
      <c r="E1205" s="31"/>
      <c r="F1205" s="31"/>
      <c r="G1205" s="31"/>
      <c r="H1205" s="31"/>
      <c r="I1205" s="54"/>
      <c r="J1205" s="55"/>
      <c r="K1205" s="54"/>
      <c r="L1205" s="56"/>
      <c r="M1205" s="56"/>
      <c r="N1205" s="31"/>
      <c r="O1205" s="57"/>
      <c r="P1205" s="57"/>
      <c r="Q1205" s="57"/>
      <c r="R1205" s="57"/>
      <c r="S1205" s="31"/>
      <c r="T1205" s="57"/>
      <c r="U1205" s="57"/>
      <c r="V1205" s="57"/>
      <c r="W1205" s="57"/>
      <c r="X1205" s="31"/>
      <c r="Y1205" s="57"/>
      <c r="Z1205" s="57"/>
      <c r="AA1205" s="57"/>
      <c r="AB1205" s="57"/>
      <c r="AC1205" s="31"/>
      <c r="AD1205" s="57"/>
      <c r="AE1205" s="57"/>
      <c r="AF1205" s="57"/>
      <c r="AG1205" s="57"/>
      <c r="AH1205" s="57"/>
      <c r="AI1205" s="57"/>
      <c r="AJ1205" s="57"/>
      <c r="AK1205" s="57"/>
      <c r="AL1205" s="57"/>
      <c r="AM1205" s="57"/>
      <c r="AN1205" s="57"/>
      <c r="AO1205" s="57"/>
      <c r="AP1205" s="35"/>
      <c r="AQ1205" s="57"/>
      <c r="AR1205" s="36"/>
      <c r="AS1205" s="57"/>
      <c r="AT1205" s="37"/>
      <c r="AU1205" s="30"/>
      <c r="AV1205" s="30"/>
      <c r="AW1205" s="30"/>
      <c r="AX1205" s="30"/>
      <c r="AY1205" s="30"/>
      <c r="AZ1205" s="30"/>
    </row>
    <row r="1206">
      <c r="A1206" s="30"/>
      <c r="B1206" s="30"/>
      <c r="C1206" s="30"/>
      <c r="D1206" s="31"/>
      <c r="E1206" s="31"/>
      <c r="F1206" s="31"/>
      <c r="G1206" s="31"/>
      <c r="H1206" s="31"/>
      <c r="I1206" s="54"/>
      <c r="J1206" s="55"/>
      <c r="K1206" s="54"/>
      <c r="L1206" s="56"/>
      <c r="M1206" s="56"/>
      <c r="N1206" s="31"/>
      <c r="O1206" s="57"/>
      <c r="P1206" s="57"/>
      <c r="Q1206" s="57"/>
      <c r="R1206" s="57"/>
      <c r="S1206" s="31"/>
      <c r="T1206" s="57"/>
      <c r="U1206" s="57"/>
      <c r="V1206" s="57"/>
      <c r="W1206" s="57"/>
      <c r="X1206" s="31"/>
      <c r="Y1206" s="57"/>
      <c r="Z1206" s="57"/>
      <c r="AA1206" s="57"/>
      <c r="AB1206" s="57"/>
      <c r="AC1206" s="31"/>
      <c r="AD1206" s="57"/>
      <c r="AE1206" s="57"/>
      <c r="AF1206" s="57"/>
      <c r="AG1206" s="57"/>
      <c r="AH1206" s="57"/>
      <c r="AI1206" s="57"/>
      <c r="AJ1206" s="57"/>
      <c r="AK1206" s="57"/>
      <c r="AL1206" s="57"/>
      <c r="AM1206" s="57"/>
      <c r="AN1206" s="57"/>
      <c r="AO1206" s="57"/>
      <c r="AP1206" s="35"/>
      <c r="AQ1206" s="57"/>
      <c r="AR1206" s="36"/>
      <c r="AS1206" s="57"/>
      <c r="AT1206" s="37"/>
      <c r="AU1206" s="30"/>
      <c r="AV1206" s="30"/>
      <c r="AW1206" s="30"/>
      <c r="AX1206" s="30"/>
      <c r="AY1206" s="30"/>
      <c r="AZ1206" s="30"/>
    </row>
    <row r="1207">
      <c r="A1207" s="30"/>
      <c r="B1207" s="30"/>
      <c r="C1207" s="30"/>
      <c r="D1207" s="31"/>
      <c r="E1207" s="31"/>
      <c r="F1207" s="31"/>
      <c r="G1207" s="31"/>
      <c r="H1207" s="31"/>
      <c r="I1207" s="54"/>
      <c r="J1207" s="55"/>
      <c r="K1207" s="54"/>
      <c r="L1207" s="56"/>
      <c r="M1207" s="56"/>
      <c r="N1207" s="31"/>
      <c r="O1207" s="57"/>
      <c r="P1207" s="57"/>
      <c r="Q1207" s="57"/>
      <c r="R1207" s="57"/>
      <c r="S1207" s="31"/>
      <c r="T1207" s="57"/>
      <c r="U1207" s="57"/>
      <c r="V1207" s="57"/>
      <c r="W1207" s="57"/>
      <c r="X1207" s="31"/>
      <c r="Y1207" s="57"/>
      <c r="Z1207" s="57"/>
      <c r="AA1207" s="57"/>
      <c r="AB1207" s="57"/>
      <c r="AC1207" s="31"/>
      <c r="AD1207" s="57"/>
      <c r="AE1207" s="57"/>
      <c r="AF1207" s="57"/>
      <c r="AG1207" s="57"/>
      <c r="AH1207" s="57"/>
      <c r="AI1207" s="57"/>
      <c r="AJ1207" s="57"/>
      <c r="AK1207" s="57"/>
      <c r="AL1207" s="57"/>
      <c r="AM1207" s="57"/>
      <c r="AN1207" s="57"/>
      <c r="AO1207" s="57"/>
      <c r="AP1207" s="35"/>
      <c r="AQ1207" s="57"/>
      <c r="AR1207" s="36"/>
      <c r="AS1207" s="57"/>
      <c r="AT1207" s="37"/>
      <c r="AU1207" s="30"/>
      <c r="AV1207" s="30"/>
      <c r="AW1207" s="30"/>
      <c r="AX1207" s="30"/>
      <c r="AY1207" s="30"/>
      <c r="AZ1207" s="30"/>
    </row>
    <row r="1208">
      <c r="A1208" s="30"/>
      <c r="B1208" s="30"/>
      <c r="C1208" s="30"/>
      <c r="D1208" s="31"/>
      <c r="E1208" s="31"/>
      <c r="F1208" s="31"/>
      <c r="G1208" s="31"/>
      <c r="H1208" s="31"/>
      <c r="I1208" s="54"/>
      <c r="J1208" s="55"/>
      <c r="K1208" s="54"/>
      <c r="L1208" s="56"/>
      <c r="M1208" s="56"/>
      <c r="N1208" s="31"/>
      <c r="O1208" s="57"/>
      <c r="P1208" s="57"/>
      <c r="Q1208" s="57"/>
      <c r="R1208" s="57"/>
      <c r="S1208" s="31"/>
      <c r="T1208" s="57"/>
      <c r="U1208" s="57"/>
      <c r="V1208" s="57"/>
      <c r="W1208" s="57"/>
      <c r="X1208" s="31"/>
      <c r="Y1208" s="57"/>
      <c r="Z1208" s="57"/>
      <c r="AA1208" s="57"/>
      <c r="AB1208" s="57"/>
      <c r="AC1208" s="31"/>
      <c r="AD1208" s="57"/>
      <c r="AE1208" s="57"/>
      <c r="AF1208" s="57"/>
      <c r="AG1208" s="57"/>
      <c r="AH1208" s="57"/>
      <c r="AI1208" s="57"/>
      <c r="AJ1208" s="57"/>
      <c r="AK1208" s="57"/>
      <c r="AL1208" s="57"/>
      <c r="AM1208" s="57"/>
      <c r="AN1208" s="57"/>
      <c r="AO1208" s="57"/>
      <c r="AP1208" s="35"/>
      <c r="AQ1208" s="57"/>
      <c r="AR1208" s="36"/>
      <c r="AS1208" s="57"/>
      <c r="AT1208" s="37"/>
      <c r="AU1208" s="30"/>
      <c r="AV1208" s="30"/>
      <c r="AW1208" s="30"/>
      <c r="AX1208" s="30"/>
      <c r="AY1208" s="30"/>
      <c r="AZ1208" s="30"/>
    </row>
    <row r="1209">
      <c r="A1209" s="30"/>
      <c r="B1209" s="30"/>
      <c r="C1209" s="30"/>
      <c r="D1209" s="31"/>
      <c r="E1209" s="31"/>
      <c r="F1209" s="31"/>
      <c r="G1209" s="31"/>
      <c r="H1209" s="31"/>
      <c r="I1209" s="54"/>
      <c r="J1209" s="55"/>
      <c r="K1209" s="54"/>
      <c r="L1209" s="56"/>
      <c r="M1209" s="56"/>
      <c r="N1209" s="31"/>
      <c r="O1209" s="57"/>
      <c r="P1209" s="57"/>
      <c r="Q1209" s="57"/>
      <c r="R1209" s="57"/>
      <c r="S1209" s="31"/>
      <c r="T1209" s="57"/>
      <c r="U1209" s="57"/>
      <c r="V1209" s="57"/>
      <c r="W1209" s="57"/>
      <c r="X1209" s="31"/>
      <c r="Y1209" s="57"/>
      <c r="Z1209" s="57"/>
      <c r="AA1209" s="57"/>
      <c r="AB1209" s="57"/>
      <c r="AC1209" s="31"/>
      <c r="AD1209" s="57"/>
      <c r="AE1209" s="57"/>
      <c r="AF1209" s="57"/>
      <c r="AG1209" s="57"/>
      <c r="AH1209" s="57"/>
      <c r="AI1209" s="57"/>
      <c r="AJ1209" s="57"/>
      <c r="AK1209" s="57"/>
      <c r="AL1209" s="57"/>
      <c r="AM1209" s="57"/>
      <c r="AN1209" s="57"/>
      <c r="AO1209" s="57"/>
      <c r="AP1209" s="35"/>
      <c r="AQ1209" s="57"/>
      <c r="AR1209" s="36"/>
      <c r="AS1209" s="57"/>
      <c r="AT1209" s="37"/>
      <c r="AU1209" s="30"/>
      <c r="AV1209" s="30"/>
      <c r="AW1209" s="30"/>
      <c r="AX1209" s="30"/>
      <c r="AY1209" s="30"/>
      <c r="AZ1209" s="30"/>
    </row>
    <row r="1210">
      <c r="A1210" s="30"/>
      <c r="B1210" s="30"/>
      <c r="C1210" s="30"/>
      <c r="D1210" s="31"/>
      <c r="E1210" s="31"/>
      <c r="F1210" s="31"/>
      <c r="G1210" s="31"/>
      <c r="H1210" s="31"/>
      <c r="I1210" s="54"/>
      <c r="J1210" s="55"/>
      <c r="K1210" s="54"/>
      <c r="L1210" s="56"/>
      <c r="M1210" s="56"/>
      <c r="N1210" s="31"/>
      <c r="O1210" s="57"/>
      <c r="P1210" s="57"/>
      <c r="Q1210" s="57"/>
      <c r="R1210" s="57"/>
      <c r="S1210" s="31"/>
      <c r="T1210" s="57"/>
      <c r="U1210" s="57"/>
      <c r="V1210" s="57"/>
      <c r="W1210" s="57"/>
      <c r="X1210" s="31"/>
      <c r="Y1210" s="57"/>
      <c r="Z1210" s="57"/>
      <c r="AA1210" s="57"/>
      <c r="AB1210" s="57"/>
      <c r="AC1210" s="31"/>
      <c r="AD1210" s="57"/>
      <c r="AE1210" s="57"/>
      <c r="AF1210" s="57"/>
      <c r="AG1210" s="57"/>
      <c r="AH1210" s="57"/>
      <c r="AI1210" s="57"/>
      <c r="AJ1210" s="57"/>
      <c r="AK1210" s="57"/>
      <c r="AL1210" s="57"/>
      <c r="AM1210" s="57"/>
      <c r="AN1210" s="57"/>
      <c r="AO1210" s="57"/>
      <c r="AP1210" s="35"/>
      <c r="AQ1210" s="57"/>
      <c r="AR1210" s="36"/>
      <c r="AS1210" s="57"/>
      <c r="AT1210" s="37"/>
      <c r="AU1210" s="30"/>
      <c r="AV1210" s="30"/>
      <c r="AW1210" s="30"/>
      <c r="AX1210" s="30"/>
      <c r="AY1210" s="30"/>
      <c r="AZ1210" s="30"/>
    </row>
    <row r="1211">
      <c r="A1211" s="30"/>
      <c r="B1211" s="30"/>
      <c r="C1211" s="30"/>
      <c r="D1211" s="31"/>
      <c r="E1211" s="31"/>
      <c r="F1211" s="31"/>
      <c r="G1211" s="31"/>
      <c r="H1211" s="31"/>
      <c r="I1211" s="54"/>
      <c r="J1211" s="55"/>
      <c r="K1211" s="54"/>
      <c r="L1211" s="56"/>
      <c r="M1211" s="56"/>
      <c r="N1211" s="31"/>
      <c r="O1211" s="57"/>
      <c r="P1211" s="57"/>
      <c r="Q1211" s="57"/>
      <c r="R1211" s="57"/>
      <c r="S1211" s="31"/>
      <c r="T1211" s="57"/>
      <c r="U1211" s="57"/>
      <c r="V1211" s="57"/>
      <c r="W1211" s="57"/>
      <c r="X1211" s="31"/>
      <c r="Y1211" s="57"/>
      <c r="Z1211" s="57"/>
      <c r="AA1211" s="57"/>
      <c r="AB1211" s="57"/>
      <c r="AC1211" s="31"/>
      <c r="AD1211" s="57"/>
      <c r="AE1211" s="57"/>
      <c r="AF1211" s="57"/>
      <c r="AG1211" s="57"/>
      <c r="AH1211" s="57"/>
      <c r="AI1211" s="57"/>
      <c r="AJ1211" s="57"/>
      <c r="AK1211" s="57"/>
      <c r="AL1211" s="57"/>
      <c r="AM1211" s="57"/>
      <c r="AN1211" s="57"/>
      <c r="AO1211" s="57"/>
      <c r="AP1211" s="35"/>
      <c r="AQ1211" s="57"/>
      <c r="AR1211" s="36"/>
      <c r="AS1211" s="57"/>
      <c r="AT1211" s="37"/>
      <c r="AU1211" s="30"/>
      <c r="AV1211" s="30"/>
      <c r="AW1211" s="30"/>
      <c r="AX1211" s="30"/>
      <c r="AY1211" s="30"/>
      <c r="AZ1211" s="30"/>
    </row>
    <row r="1212">
      <c r="A1212" s="30"/>
      <c r="B1212" s="30"/>
      <c r="C1212" s="30"/>
      <c r="D1212" s="31"/>
      <c r="E1212" s="31"/>
      <c r="F1212" s="31"/>
      <c r="G1212" s="31"/>
      <c r="H1212" s="31"/>
      <c r="I1212" s="54"/>
      <c r="J1212" s="55"/>
      <c r="K1212" s="54"/>
      <c r="L1212" s="56"/>
      <c r="M1212" s="56"/>
      <c r="N1212" s="31"/>
      <c r="O1212" s="57"/>
      <c r="P1212" s="57"/>
      <c r="Q1212" s="57"/>
      <c r="R1212" s="57"/>
      <c r="S1212" s="31"/>
      <c r="T1212" s="57"/>
      <c r="U1212" s="57"/>
      <c r="V1212" s="57"/>
      <c r="W1212" s="57"/>
      <c r="X1212" s="31"/>
      <c r="Y1212" s="57"/>
      <c r="Z1212" s="57"/>
      <c r="AA1212" s="57"/>
      <c r="AB1212" s="57"/>
      <c r="AC1212" s="31"/>
      <c r="AD1212" s="57"/>
      <c r="AE1212" s="57"/>
      <c r="AF1212" s="57"/>
      <c r="AG1212" s="57"/>
      <c r="AH1212" s="57"/>
      <c r="AI1212" s="57"/>
      <c r="AJ1212" s="57"/>
      <c r="AK1212" s="57"/>
      <c r="AL1212" s="57"/>
      <c r="AM1212" s="57"/>
      <c r="AN1212" s="57"/>
      <c r="AO1212" s="57"/>
      <c r="AP1212" s="35"/>
      <c r="AQ1212" s="57"/>
      <c r="AR1212" s="36"/>
      <c r="AS1212" s="57"/>
      <c r="AT1212" s="37"/>
      <c r="AU1212" s="30"/>
      <c r="AV1212" s="30"/>
      <c r="AW1212" s="30"/>
      <c r="AX1212" s="30"/>
      <c r="AY1212" s="30"/>
      <c r="AZ1212" s="30"/>
    </row>
    <row r="1213">
      <c r="A1213" s="30"/>
      <c r="B1213" s="30"/>
      <c r="C1213" s="30"/>
      <c r="D1213" s="31"/>
      <c r="E1213" s="31"/>
      <c r="F1213" s="31"/>
      <c r="G1213" s="31"/>
      <c r="H1213" s="31"/>
      <c r="I1213" s="54"/>
      <c r="J1213" s="55"/>
      <c r="K1213" s="54"/>
      <c r="L1213" s="56"/>
      <c r="M1213" s="56"/>
      <c r="N1213" s="31"/>
      <c r="O1213" s="57"/>
      <c r="P1213" s="57"/>
      <c r="Q1213" s="57"/>
      <c r="R1213" s="57"/>
      <c r="S1213" s="31"/>
      <c r="T1213" s="57"/>
      <c r="U1213" s="57"/>
      <c r="V1213" s="57"/>
      <c r="W1213" s="57"/>
      <c r="X1213" s="31"/>
      <c r="Y1213" s="57"/>
      <c r="Z1213" s="57"/>
      <c r="AA1213" s="57"/>
      <c r="AB1213" s="57"/>
      <c r="AC1213" s="31"/>
      <c r="AD1213" s="57"/>
      <c r="AE1213" s="57"/>
      <c r="AF1213" s="57"/>
      <c r="AG1213" s="57"/>
      <c r="AH1213" s="57"/>
      <c r="AI1213" s="57"/>
      <c r="AJ1213" s="57"/>
      <c r="AK1213" s="57"/>
      <c r="AL1213" s="57"/>
      <c r="AM1213" s="57"/>
      <c r="AN1213" s="57"/>
      <c r="AO1213" s="57"/>
      <c r="AP1213" s="35"/>
      <c r="AQ1213" s="57"/>
      <c r="AR1213" s="36"/>
      <c r="AS1213" s="57"/>
      <c r="AT1213" s="37"/>
      <c r="AU1213" s="30"/>
      <c r="AV1213" s="30"/>
      <c r="AW1213" s="30"/>
      <c r="AX1213" s="30"/>
      <c r="AY1213" s="30"/>
      <c r="AZ1213" s="30"/>
    </row>
    <row r="1214">
      <c r="A1214" s="30"/>
      <c r="B1214" s="30"/>
      <c r="C1214" s="30"/>
      <c r="D1214" s="31"/>
      <c r="E1214" s="31"/>
      <c r="F1214" s="31"/>
      <c r="G1214" s="31"/>
      <c r="H1214" s="31"/>
      <c r="I1214" s="54"/>
      <c r="J1214" s="55"/>
      <c r="K1214" s="54"/>
      <c r="L1214" s="56"/>
      <c r="M1214" s="56"/>
      <c r="N1214" s="31"/>
      <c r="O1214" s="57"/>
      <c r="P1214" s="57"/>
      <c r="Q1214" s="57"/>
      <c r="R1214" s="57"/>
      <c r="S1214" s="31"/>
      <c r="T1214" s="57"/>
      <c r="U1214" s="57"/>
      <c r="V1214" s="57"/>
      <c r="W1214" s="57"/>
      <c r="X1214" s="31"/>
      <c r="Y1214" s="57"/>
      <c r="Z1214" s="57"/>
      <c r="AA1214" s="57"/>
      <c r="AB1214" s="57"/>
      <c r="AC1214" s="31"/>
      <c r="AD1214" s="57"/>
      <c r="AE1214" s="57"/>
      <c r="AF1214" s="57"/>
      <c r="AG1214" s="57"/>
      <c r="AH1214" s="57"/>
      <c r="AI1214" s="57"/>
      <c r="AJ1214" s="57"/>
      <c r="AK1214" s="57"/>
      <c r="AL1214" s="57"/>
      <c r="AM1214" s="57"/>
      <c r="AN1214" s="57"/>
      <c r="AO1214" s="57"/>
      <c r="AP1214" s="35"/>
      <c r="AQ1214" s="57"/>
      <c r="AR1214" s="36"/>
      <c r="AS1214" s="57"/>
      <c r="AT1214" s="37"/>
      <c r="AU1214" s="30"/>
      <c r="AV1214" s="30"/>
      <c r="AW1214" s="30"/>
      <c r="AX1214" s="30"/>
      <c r="AY1214" s="30"/>
      <c r="AZ1214" s="30"/>
    </row>
    <row r="1215">
      <c r="A1215" s="30"/>
      <c r="B1215" s="30"/>
      <c r="C1215" s="30"/>
      <c r="D1215" s="31"/>
      <c r="E1215" s="31"/>
      <c r="F1215" s="31"/>
      <c r="G1215" s="31"/>
      <c r="H1215" s="31"/>
      <c r="I1215" s="54"/>
      <c r="J1215" s="55"/>
      <c r="K1215" s="54"/>
      <c r="L1215" s="56"/>
      <c r="M1215" s="56"/>
      <c r="N1215" s="31"/>
      <c r="O1215" s="57"/>
      <c r="P1215" s="57"/>
      <c r="Q1215" s="57"/>
      <c r="R1215" s="57"/>
      <c r="S1215" s="31"/>
      <c r="T1215" s="57"/>
      <c r="U1215" s="57"/>
      <c r="V1215" s="57"/>
      <c r="W1215" s="57"/>
      <c r="X1215" s="31"/>
      <c r="Y1215" s="57"/>
      <c r="Z1215" s="57"/>
      <c r="AA1215" s="57"/>
      <c r="AB1215" s="57"/>
      <c r="AC1215" s="31"/>
      <c r="AD1215" s="57"/>
      <c r="AE1215" s="57"/>
      <c r="AF1215" s="57"/>
      <c r="AG1215" s="57"/>
      <c r="AH1215" s="57"/>
      <c r="AI1215" s="57"/>
      <c r="AJ1215" s="57"/>
      <c r="AK1215" s="57"/>
      <c r="AL1215" s="57"/>
      <c r="AM1215" s="57"/>
      <c r="AN1215" s="57"/>
      <c r="AO1215" s="57"/>
      <c r="AP1215" s="35"/>
      <c r="AQ1215" s="57"/>
      <c r="AR1215" s="36"/>
      <c r="AS1215" s="57"/>
      <c r="AT1215" s="37"/>
      <c r="AU1215" s="30"/>
      <c r="AV1215" s="30"/>
      <c r="AW1215" s="30"/>
      <c r="AX1215" s="30"/>
      <c r="AY1215" s="30"/>
      <c r="AZ1215" s="30"/>
    </row>
    <row r="1216">
      <c r="A1216" s="30"/>
      <c r="B1216" s="30"/>
      <c r="C1216" s="30"/>
      <c r="D1216" s="31"/>
      <c r="E1216" s="31"/>
      <c r="F1216" s="31"/>
      <c r="G1216" s="31"/>
      <c r="H1216" s="31"/>
      <c r="I1216" s="54"/>
      <c r="J1216" s="55"/>
      <c r="K1216" s="54"/>
      <c r="L1216" s="56"/>
      <c r="M1216" s="56"/>
      <c r="N1216" s="31"/>
      <c r="O1216" s="57"/>
      <c r="P1216" s="57"/>
      <c r="Q1216" s="57"/>
      <c r="R1216" s="57"/>
      <c r="S1216" s="31"/>
      <c r="T1216" s="57"/>
      <c r="U1216" s="57"/>
      <c r="V1216" s="57"/>
      <c r="W1216" s="57"/>
      <c r="X1216" s="31"/>
      <c r="Y1216" s="57"/>
      <c r="Z1216" s="57"/>
      <c r="AA1216" s="57"/>
      <c r="AB1216" s="57"/>
      <c r="AC1216" s="31"/>
      <c r="AD1216" s="57"/>
      <c r="AE1216" s="57"/>
      <c r="AF1216" s="57"/>
      <c r="AG1216" s="57"/>
      <c r="AH1216" s="57"/>
      <c r="AI1216" s="57"/>
      <c r="AJ1216" s="57"/>
      <c r="AK1216" s="57"/>
      <c r="AL1216" s="57"/>
      <c r="AM1216" s="57"/>
      <c r="AN1216" s="57"/>
      <c r="AO1216" s="57"/>
      <c r="AP1216" s="35"/>
      <c r="AQ1216" s="57"/>
      <c r="AR1216" s="36"/>
      <c r="AS1216" s="57"/>
      <c r="AT1216" s="37"/>
      <c r="AU1216" s="30"/>
      <c r="AV1216" s="30"/>
      <c r="AW1216" s="30"/>
      <c r="AX1216" s="30"/>
      <c r="AY1216" s="30"/>
      <c r="AZ1216" s="30"/>
    </row>
    <row r="1217">
      <c r="A1217" s="30"/>
      <c r="B1217" s="30"/>
      <c r="C1217" s="30"/>
      <c r="D1217" s="31"/>
      <c r="E1217" s="31"/>
      <c r="F1217" s="31"/>
      <c r="G1217" s="31"/>
      <c r="H1217" s="31"/>
      <c r="I1217" s="54"/>
      <c r="J1217" s="55"/>
      <c r="K1217" s="54"/>
      <c r="L1217" s="56"/>
      <c r="M1217" s="56"/>
      <c r="N1217" s="31"/>
      <c r="O1217" s="57"/>
      <c r="P1217" s="57"/>
      <c r="Q1217" s="57"/>
      <c r="R1217" s="57"/>
      <c r="S1217" s="31"/>
      <c r="T1217" s="57"/>
      <c r="U1217" s="57"/>
      <c r="V1217" s="57"/>
      <c r="W1217" s="57"/>
      <c r="X1217" s="31"/>
      <c r="Y1217" s="57"/>
      <c r="Z1217" s="57"/>
      <c r="AA1217" s="57"/>
      <c r="AB1217" s="57"/>
      <c r="AC1217" s="31"/>
      <c r="AD1217" s="57"/>
      <c r="AE1217" s="57"/>
      <c r="AF1217" s="57"/>
      <c r="AG1217" s="57"/>
      <c r="AH1217" s="57"/>
      <c r="AI1217" s="57"/>
      <c r="AJ1217" s="57"/>
      <c r="AK1217" s="57"/>
      <c r="AL1217" s="57"/>
      <c r="AM1217" s="57"/>
      <c r="AN1217" s="57"/>
      <c r="AO1217" s="57"/>
      <c r="AP1217" s="35"/>
      <c r="AQ1217" s="57"/>
      <c r="AR1217" s="36"/>
      <c r="AS1217" s="57"/>
      <c r="AT1217" s="37"/>
      <c r="AU1217" s="30"/>
      <c r="AV1217" s="30"/>
      <c r="AW1217" s="30"/>
      <c r="AX1217" s="30"/>
      <c r="AY1217" s="30"/>
      <c r="AZ1217" s="30"/>
    </row>
    <row r="1218">
      <c r="A1218" s="30"/>
      <c r="B1218" s="30"/>
      <c r="C1218" s="30"/>
      <c r="D1218" s="31"/>
      <c r="E1218" s="31"/>
      <c r="F1218" s="31"/>
      <c r="G1218" s="31"/>
      <c r="H1218" s="31"/>
      <c r="I1218" s="54"/>
      <c r="J1218" s="55"/>
      <c r="K1218" s="54"/>
      <c r="L1218" s="56"/>
      <c r="M1218" s="56"/>
      <c r="N1218" s="31"/>
      <c r="O1218" s="57"/>
      <c r="P1218" s="57"/>
      <c r="Q1218" s="57"/>
      <c r="R1218" s="57"/>
      <c r="S1218" s="31"/>
      <c r="T1218" s="57"/>
      <c r="U1218" s="57"/>
      <c r="V1218" s="57"/>
      <c r="W1218" s="57"/>
      <c r="X1218" s="31"/>
      <c r="Y1218" s="57"/>
      <c r="Z1218" s="57"/>
      <c r="AA1218" s="57"/>
      <c r="AB1218" s="57"/>
      <c r="AC1218" s="31"/>
      <c r="AD1218" s="57"/>
      <c r="AE1218" s="57"/>
      <c r="AF1218" s="57"/>
      <c r="AG1218" s="57"/>
      <c r="AH1218" s="57"/>
      <c r="AI1218" s="57"/>
      <c r="AJ1218" s="57"/>
      <c r="AK1218" s="57"/>
      <c r="AL1218" s="57"/>
      <c r="AM1218" s="57"/>
      <c r="AN1218" s="57"/>
      <c r="AO1218" s="57"/>
      <c r="AP1218" s="35"/>
      <c r="AQ1218" s="57"/>
      <c r="AR1218" s="36"/>
      <c r="AS1218" s="57"/>
      <c r="AT1218" s="37"/>
      <c r="AU1218" s="30"/>
      <c r="AV1218" s="30"/>
      <c r="AW1218" s="30"/>
      <c r="AX1218" s="30"/>
      <c r="AY1218" s="30"/>
      <c r="AZ1218" s="30"/>
    </row>
    <row r="1219">
      <c r="A1219" s="30"/>
      <c r="B1219" s="30"/>
      <c r="C1219" s="30"/>
      <c r="D1219" s="31"/>
      <c r="E1219" s="31"/>
      <c r="F1219" s="31"/>
      <c r="G1219" s="31"/>
      <c r="H1219" s="31"/>
      <c r="I1219" s="54"/>
      <c r="J1219" s="55"/>
      <c r="K1219" s="54"/>
      <c r="L1219" s="56"/>
      <c r="M1219" s="56"/>
      <c r="N1219" s="31"/>
      <c r="O1219" s="57"/>
      <c r="P1219" s="57"/>
      <c r="Q1219" s="57"/>
      <c r="R1219" s="57"/>
      <c r="S1219" s="31"/>
      <c r="T1219" s="57"/>
      <c r="U1219" s="57"/>
      <c r="V1219" s="57"/>
      <c r="W1219" s="57"/>
      <c r="X1219" s="31"/>
      <c r="Y1219" s="57"/>
      <c r="Z1219" s="57"/>
      <c r="AA1219" s="57"/>
      <c r="AB1219" s="57"/>
      <c r="AC1219" s="31"/>
      <c r="AD1219" s="57"/>
      <c r="AE1219" s="57"/>
      <c r="AF1219" s="57"/>
      <c r="AG1219" s="57"/>
      <c r="AH1219" s="57"/>
      <c r="AI1219" s="57"/>
      <c r="AJ1219" s="57"/>
      <c r="AK1219" s="57"/>
      <c r="AL1219" s="57"/>
      <c r="AM1219" s="57"/>
      <c r="AN1219" s="57"/>
      <c r="AO1219" s="57"/>
      <c r="AP1219" s="35"/>
      <c r="AQ1219" s="57"/>
      <c r="AR1219" s="36"/>
      <c r="AS1219" s="57"/>
      <c r="AT1219" s="37"/>
      <c r="AU1219" s="30"/>
      <c r="AV1219" s="30"/>
      <c r="AW1219" s="30"/>
      <c r="AX1219" s="30"/>
      <c r="AY1219" s="30"/>
      <c r="AZ1219" s="30"/>
    </row>
    <row r="1220">
      <c r="A1220" s="30"/>
      <c r="B1220" s="30"/>
      <c r="C1220" s="30"/>
      <c r="D1220" s="31"/>
      <c r="E1220" s="31"/>
      <c r="F1220" s="31"/>
      <c r="G1220" s="31"/>
      <c r="H1220" s="31"/>
      <c r="I1220" s="54"/>
      <c r="J1220" s="55"/>
      <c r="K1220" s="54"/>
      <c r="L1220" s="56"/>
      <c r="M1220" s="56"/>
      <c r="N1220" s="31"/>
      <c r="O1220" s="57"/>
      <c r="P1220" s="57"/>
      <c r="Q1220" s="57"/>
      <c r="R1220" s="57"/>
      <c r="S1220" s="31"/>
      <c r="T1220" s="57"/>
      <c r="U1220" s="57"/>
      <c r="V1220" s="57"/>
      <c r="W1220" s="57"/>
      <c r="X1220" s="31"/>
      <c r="Y1220" s="57"/>
      <c r="Z1220" s="57"/>
      <c r="AA1220" s="57"/>
      <c r="AB1220" s="57"/>
      <c r="AC1220" s="31"/>
      <c r="AD1220" s="57"/>
      <c r="AE1220" s="57"/>
      <c r="AF1220" s="57"/>
      <c r="AG1220" s="57"/>
      <c r="AH1220" s="57"/>
      <c r="AI1220" s="57"/>
      <c r="AJ1220" s="57"/>
      <c r="AK1220" s="57"/>
      <c r="AL1220" s="57"/>
      <c r="AM1220" s="57"/>
      <c r="AN1220" s="57"/>
      <c r="AO1220" s="57"/>
      <c r="AP1220" s="35"/>
      <c r="AQ1220" s="57"/>
      <c r="AR1220" s="36"/>
      <c r="AS1220" s="57"/>
      <c r="AT1220" s="37"/>
      <c r="AU1220" s="30"/>
      <c r="AV1220" s="30"/>
      <c r="AW1220" s="30"/>
      <c r="AX1220" s="30"/>
      <c r="AY1220" s="30"/>
      <c r="AZ1220" s="30"/>
    </row>
    <row r="1221">
      <c r="A1221" s="30"/>
      <c r="B1221" s="30"/>
      <c r="C1221" s="30"/>
      <c r="D1221" s="31"/>
      <c r="E1221" s="31"/>
      <c r="F1221" s="31"/>
      <c r="G1221" s="31"/>
      <c r="H1221" s="31"/>
      <c r="I1221" s="54"/>
      <c r="J1221" s="55"/>
      <c r="K1221" s="54"/>
      <c r="L1221" s="56"/>
      <c r="M1221" s="56"/>
      <c r="N1221" s="31"/>
      <c r="O1221" s="57"/>
      <c r="P1221" s="57"/>
      <c r="Q1221" s="57"/>
      <c r="R1221" s="57"/>
      <c r="S1221" s="31"/>
      <c r="T1221" s="57"/>
      <c r="U1221" s="57"/>
      <c r="V1221" s="57"/>
      <c r="W1221" s="57"/>
      <c r="X1221" s="31"/>
      <c r="Y1221" s="57"/>
      <c r="Z1221" s="57"/>
      <c r="AA1221" s="57"/>
      <c r="AB1221" s="57"/>
      <c r="AC1221" s="31"/>
      <c r="AD1221" s="57"/>
      <c r="AE1221" s="57"/>
      <c r="AF1221" s="57"/>
      <c r="AG1221" s="57"/>
      <c r="AH1221" s="57"/>
      <c r="AI1221" s="57"/>
      <c r="AJ1221" s="57"/>
      <c r="AK1221" s="57"/>
      <c r="AL1221" s="57"/>
      <c r="AM1221" s="57"/>
      <c r="AN1221" s="57"/>
      <c r="AO1221" s="57"/>
      <c r="AP1221" s="35"/>
      <c r="AQ1221" s="57"/>
      <c r="AR1221" s="36"/>
      <c r="AS1221" s="57"/>
      <c r="AT1221" s="37"/>
      <c r="AU1221" s="30"/>
      <c r="AV1221" s="30"/>
      <c r="AW1221" s="30"/>
      <c r="AX1221" s="30"/>
      <c r="AY1221" s="30"/>
      <c r="AZ1221" s="30"/>
    </row>
    <row r="1222">
      <c r="A1222" s="30"/>
      <c r="B1222" s="30"/>
      <c r="C1222" s="30"/>
      <c r="D1222" s="31"/>
      <c r="E1222" s="31"/>
      <c r="F1222" s="31"/>
      <c r="G1222" s="31"/>
      <c r="H1222" s="31"/>
      <c r="I1222" s="54"/>
      <c r="J1222" s="55"/>
      <c r="K1222" s="54"/>
      <c r="L1222" s="56"/>
      <c r="M1222" s="56"/>
      <c r="N1222" s="31"/>
      <c r="O1222" s="57"/>
      <c r="P1222" s="57"/>
      <c r="Q1222" s="57"/>
      <c r="R1222" s="57"/>
      <c r="S1222" s="31"/>
      <c r="T1222" s="57"/>
      <c r="U1222" s="57"/>
      <c r="V1222" s="57"/>
      <c r="W1222" s="57"/>
      <c r="X1222" s="31"/>
      <c r="Y1222" s="57"/>
      <c r="Z1222" s="57"/>
      <c r="AA1222" s="57"/>
      <c r="AB1222" s="57"/>
      <c r="AC1222" s="31"/>
      <c r="AD1222" s="57"/>
      <c r="AE1222" s="57"/>
      <c r="AF1222" s="57"/>
      <c r="AG1222" s="57"/>
      <c r="AH1222" s="57"/>
      <c r="AI1222" s="57"/>
      <c r="AJ1222" s="57"/>
      <c r="AK1222" s="57"/>
      <c r="AL1222" s="57"/>
      <c r="AM1222" s="57"/>
      <c r="AN1222" s="57"/>
      <c r="AO1222" s="57"/>
      <c r="AP1222" s="35"/>
      <c r="AQ1222" s="57"/>
      <c r="AR1222" s="36"/>
      <c r="AS1222" s="57"/>
      <c r="AT1222" s="37"/>
      <c r="AU1222" s="30"/>
      <c r="AV1222" s="30"/>
      <c r="AW1222" s="30"/>
      <c r="AX1222" s="30"/>
      <c r="AY1222" s="30"/>
      <c r="AZ1222" s="30"/>
    </row>
    <row r="1223">
      <c r="A1223" s="30"/>
      <c r="B1223" s="30"/>
      <c r="C1223" s="30"/>
      <c r="D1223" s="31"/>
      <c r="E1223" s="31"/>
      <c r="F1223" s="31"/>
      <c r="G1223" s="31"/>
      <c r="H1223" s="31"/>
      <c r="I1223" s="54"/>
      <c r="J1223" s="55"/>
      <c r="K1223" s="54"/>
      <c r="L1223" s="56"/>
      <c r="M1223" s="56"/>
      <c r="N1223" s="31"/>
      <c r="O1223" s="57"/>
      <c r="P1223" s="57"/>
      <c r="Q1223" s="57"/>
      <c r="R1223" s="57"/>
      <c r="S1223" s="31"/>
      <c r="T1223" s="57"/>
      <c r="U1223" s="57"/>
      <c r="V1223" s="57"/>
      <c r="W1223" s="57"/>
      <c r="X1223" s="31"/>
      <c r="Y1223" s="57"/>
      <c r="Z1223" s="57"/>
      <c r="AA1223" s="57"/>
      <c r="AB1223" s="57"/>
      <c r="AC1223" s="31"/>
      <c r="AD1223" s="57"/>
      <c r="AE1223" s="57"/>
      <c r="AF1223" s="57"/>
      <c r="AG1223" s="57"/>
      <c r="AH1223" s="57"/>
      <c r="AI1223" s="57"/>
      <c r="AJ1223" s="57"/>
      <c r="AK1223" s="57"/>
      <c r="AL1223" s="57"/>
      <c r="AM1223" s="57"/>
      <c r="AN1223" s="57"/>
      <c r="AO1223" s="57"/>
      <c r="AP1223" s="35"/>
      <c r="AQ1223" s="57"/>
      <c r="AR1223" s="36"/>
      <c r="AS1223" s="57"/>
      <c r="AT1223" s="37"/>
      <c r="AU1223" s="30"/>
      <c r="AV1223" s="30"/>
      <c r="AW1223" s="30"/>
      <c r="AX1223" s="30"/>
      <c r="AY1223" s="30"/>
      <c r="AZ1223" s="30"/>
    </row>
    <row r="1224">
      <c r="A1224" s="30"/>
      <c r="B1224" s="30"/>
      <c r="C1224" s="30"/>
      <c r="D1224" s="31"/>
      <c r="E1224" s="31"/>
      <c r="F1224" s="31"/>
      <c r="G1224" s="31"/>
      <c r="H1224" s="31"/>
      <c r="I1224" s="54"/>
      <c r="J1224" s="55"/>
      <c r="K1224" s="54"/>
      <c r="L1224" s="56"/>
      <c r="M1224" s="56"/>
      <c r="N1224" s="31"/>
      <c r="O1224" s="57"/>
      <c r="P1224" s="57"/>
      <c r="Q1224" s="57"/>
      <c r="R1224" s="57"/>
      <c r="S1224" s="31"/>
      <c r="T1224" s="57"/>
      <c r="U1224" s="57"/>
      <c r="V1224" s="57"/>
      <c r="W1224" s="57"/>
      <c r="X1224" s="31"/>
      <c r="Y1224" s="57"/>
      <c r="Z1224" s="57"/>
      <c r="AA1224" s="57"/>
      <c r="AB1224" s="57"/>
      <c r="AC1224" s="31"/>
      <c r="AD1224" s="57"/>
      <c r="AE1224" s="57"/>
      <c r="AF1224" s="57"/>
      <c r="AG1224" s="57"/>
      <c r="AH1224" s="57"/>
      <c r="AI1224" s="57"/>
      <c r="AJ1224" s="57"/>
      <c r="AK1224" s="57"/>
      <c r="AL1224" s="57"/>
      <c r="AM1224" s="57"/>
      <c r="AN1224" s="57"/>
      <c r="AO1224" s="57"/>
      <c r="AP1224" s="35"/>
      <c r="AQ1224" s="57"/>
      <c r="AR1224" s="36"/>
      <c r="AS1224" s="57"/>
      <c r="AT1224" s="37"/>
      <c r="AU1224" s="30"/>
      <c r="AV1224" s="30"/>
      <c r="AW1224" s="30"/>
      <c r="AX1224" s="30"/>
      <c r="AY1224" s="30"/>
      <c r="AZ1224" s="30"/>
    </row>
    <row r="1225">
      <c r="A1225" s="30"/>
      <c r="B1225" s="30"/>
      <c r="C1225" s="30"/>
      <c r="D1225" s="31"/>
      <c r="E1225" s="31"/>
      <c r="F1225" s="31"/>
      <c r="G1225" s="31"/>
      <c r="H1225" s="31"/>
      <c r="I1225" s="54"/>
      <c r="J1225" s="55"/>
      <c r="K1225" s="54"/>
      <c r="L1225" s="56"/>
      <c r="M1225" s="56"/>
      <c r="N1225" s="31"/>
      <c r="O1225" s="57"/>
      <c r="P1225" s="57"/>
      <c r="Q1225" s="57"/>
      <c r="R1225" s="57"/>
      <c r="S1225" s="31"/>
      <c r="T1225" s="57"/>
      <c r="U1225" s="57"/>
      <c r="V1225" s="57"/>
      <c r="W1225" s="57"/>
      <c r="X1225" s="31"/>
      <c r="Y1225" s="57"/>
      <c r="Z1225" s="57"/>
      <c r="AA1225" s="57"/>
      <c r="AB1225" s="57"/>
      <c r="AC1225" s="31"/>
      <c r="AD1225" s="57"/>
      <c r="AE1225" s="57"/>
      <c r="AF1225" s="57"/>
      <c r="AG1225" s="57"/>
      <c r="AH1225" s="57"/>
      <c r="AI1225" s="57"/>
      <c r="AJ1225" s="57"/>
      <c r="AK1225" s="57"/>
      <c r="AL1225" s="57"/>
      <c r="AM1225" s="57"/>
      <c r="AN1225" s="57"/>
      <c r="AO1225" s="57"/>
      <c r="AP1225" s="35"/>
      <c r="AQ1225" s="57"/>
      <c r="AR1225" s="36"/>
      <c r="AS1225" s="57"/>
      <c r="AT1225" s="37"/>
      <c r="AU1225" s="30"/>
      <c r="AV1225" s="30"/>
      <c r="AW1225" s="30"/>
      <c r="AX1225" s="30"/>
      <c r="AY1225" s="30"/>
      <c r="AZ1225" s="30"/>
    </row>
    <row r="1226">
      <c r="A1226" s="30"/>
      <c r="B1226" s="30"/>
      <c r="C1226" s="30"/>
      <c r="D1226" s="31"/>
      <c r="E1226" s="31"/>
      <c r="F1226" s="31"/>
      <c r="G1226" s="31"/>
      <c r="H1226" s="31"/>
      <c r="I1226" s="54"/>
      <c r="J1226" s="55"/>
      <c r="K1226" s="54"/>
      <c r="L1226" s="56"/>
      <c r="M1226" s="56"/>
      <c r="N1226" s="31"/>
      <c r="O1226" s="57"/>
      <c r="P1226" s="57"/>
      <c r="Q1226" s="57"/>
      <c r="R1226" s="57"/>
      <c r="S1226" s="31"/>
      <c r="T1226" s="57"/>
      <c r="U1226" s="57"/>
      <c r="V1226" s="57"/>
      <c r="W1226" s="57"/>
      <c r="X1226" s="31"/>
      <c r="Y1226" s="57"/>
      <c r="Z1226" s="57"/>
      <c r="AA1226" s="57"/>
      <c r="AB1226" s="57"/>
      <c r="AC1226" s="31"/>
      <c r="AD1226" s="57"/>
      <c r="AE1226" s="57"/>
      <c r="AF1226" s="57"/>
      <c r="AG1226" s="57"/>
      <c r="AH1226" s="57"/>
      <c r="AI1226" s="57"/>
      <c r="AJ1226" s="57"/>
      <c r="AK1226" s="57"/>
      <c r="AL1226" s="57"/>
      <c r="AM1226" s="57"/>
      <c r="AN1226" s="57"/>
      <c r="AO1226" s="57"/>
      <c r="AP1226" s="35"/>
      <c r="AQ1226" s="57"/>
      <c r="AR1226" s="36"/>
      <c r="AS1226" s="57"/>
      <c r="AT1226" s="37"/>
      <c r="AU1226" s="30"/>
      <c r="AV1226" s="30"/>
      <c r="AW1226" s="30"/>
      <c r="AX1226" s="30"/>
      <c r="AY1226" s="30"/>
      <c r="AZ1226" s="30"/>
    </row>
    <row r="1227">
      <c r="A1227" s="30"/>
      <c r="B1227" s="30"/>
      <c r="C1227" s="30"/>
      <c r="D1227" s="31"/>
      <c r="E1227" s="31"/>
      <c r="F1227" s="31"/>
      <c r="G1227" s="31"/>
      <c r="H1227" s="31"/>
      <c r="I1227" s="54"/>
      <c r="J1227" s="55"/>
      <c r="K1227" s="54"/>
      <c r="L1227" s="56"/>
      <c r="M1227" s="56"/>
      <c r="N1227" s="31"/>
      <c r="O1227" s="57"/>
      <c r="P1227" s="57"/>
      <c r="Q1227" s="57"/>
      <c r="R1227" s="57"/>
      <c r="S1227" s="31"/>
      <c r="T1227" s="57"/>
      <c r="U1227" s="57"/>
      <c r="V1227" s="57"/>
      <c r="W1227" s="57"/>
      <c r="X1227" s="31"/>
      <c r="Y1227" s="57"/>
      <c r="Z1227" s="57"/>
      <c r="AA1227" s="57"/>
      <c r="AB1227" s="57"/>
      <c r="AC1227" s="31"/>
      <c r="AD1227" s="57"/>
      <c r="AE1227" s="57"/>
      <c r="AF1227" s="57"/>
      <c r="AG1227" s="57"/>
      <c r="AH1227" s="57"/>
      <c r="AI1227" s="57"/>
      <c r="AJ1227" s="57"/>
      <c r="AK1227" s="57"/>
      <c r="AL1227" s="57"/>
      <c r="AM1227" s="57"/>
      <c r="AN1227" s="57"/>
      <c r="AO1227" s="57"/>
      <c r="AP1227" s="35"/>
      <c r="AQ1227" s="57"/>
      <c r="AR1227" s="36"/>
      <c r="AS1227" s="57"/>
      <c r="AT1227" s="37"/>
      <c r="AU1227" s="30"/>
      <c r="AV1227" s="30"/>
      <c r="AW1227" s="30"/>
      <c r="AX1227" s="30"/>
      <c r="AY1227" s="30"/>
      <c r="AZ1227" s="30"/>
    </row>
    <row r="1228">
      <c r="A1228" s="30"/>
      <c r="B1228" s="30"/>
      <c r="C1228" s="30"/>
      <c r="D1228" s="31"/>
      <c r="E1228" s="31"/>
      <c r="F1228" s="31"/>
      <c r="G1228" s="31"/>
      <c r="H1228" s="31"/>
      <c r="I1228" s="54"/>
      <c r="J1228" s="55"/>
      <c r="K1228" s="54"/>
      <c r="L1228" s="56"/>
      <c r="M1228" s="56"/>
      <c r="N1228" s="31"/>
      <c r="O1228" s="57"/>
      <c r="P1228" s="57"/>
      <c r="Q1228" s="57"/>
      <c r="R1228" s="57"/>
      <c r="S1228" s="31"/>
      <c r="T1228" s="57"/>
      <c r="U1228" s="57"/>
      <c r="V1228" s="57"/>
      <c r="W1228" s="57"/>
      <c r="X1228" s="31"/>
      <c r="Y1228" s="57"/>
      <c r="Z1228" s="57"/>
      <c r="AA1228" s="57"/>
      <c r="AB1228" s="57"/>
      <c r="AC1228" s="31"/>
      <c r="AD1228" s="57"/>
      <c r="AE1228" s="57"/>
      <c r="AF1228" s="57"/>
      <c r="AG1228" s="57"/>
      <c r="AH1228" s="57"/>
      <c r="AI1228" s="57"/>
      <c r="AJ1228" s="57"/>
      <c r="AK1228" s="57"/>
      <c r="AL1228" s="57"/>
      <c r="AM1228" s="57"/>
      <c r="AN1228" s="57"/>
      <c r="AO1228" s="57"/>
      <c r="AP1228" s="35"/>
      <c r="AQ1228" s="57"/>
      <c r="AR1228" s="36"/>
      <c r="AS1228" s="57"/>
      <c r="AT1228" s="37"/>
      <c r="AU1228" s="30"/>
      <c r="AV1228" s="30"/>
      <c r="AW1228" s="30"/>
      <c r="AX1228" s="30"/>
      <c r="AY1228" s="30"/>
      <c r="AZ1228" s="30"/>
    </row>
    <row r="1229">
      <c r="A1229" s="30"/>
      <c r="B1229" s="30"/>
      <c r="C1229" s="30"/>
      <c r="D1229" s="31"/>
      <c r="E1229" s="31"/>
      <c r="F1229" s="31"/>
      <c r="G1229" s="31"/>
      <c r="H1229" s="31"/>
      <c r="I1229" s="54"/>
      <c r="J1229" s="55"/>
      <c r="K1229" s="54"/>
      <c r="L1229" s="56"/>
      <c r="M1229" s="56"/>
      <c r="N1229" s="31"/>
      <c r="O1229" s="57"/>
      <c r="P1229" s="57"/>
      <c r="Q1229" s="57"/>
      <c r="R1229" s="57"/>
      <c r="S1229" s="31"/>
      <c r="T1229" s="57"/>
      <c r="U1229" s="57"/>
      <c r="V1229" s="57"/>
      <c r="W1229" s="57"/>
      <c r="X1229" s="31"/>
      <c r="Y1229" s="57"/>
      <c r="Z1229" s="57"/>
      <c r="AA1229" s="57"/>
      <c r="AB1229" s="57"/>
      <c r="AC1229" s="31"/>
      <c r="AD1229" s="57"/>
      <c r="AE1229" s="57"/>
      <c r="AF1229" s="57"/>
      <c r="AG1229" s="57"/>
      <c r="AH1229" s="57"/>
      <c r="AI1229" s="57"/>
      <c r="AJ1229" s="57"/>
      <c r="AK1229" s="57"/>
      <c r="AL1229" s="57"/>
      <c r="AM1229" s="57"/>
      <c r="AN1229" s="57"/>
      <c r="AO1229" s="57"/>
      <c r="AP1229" s="35"/>
      <c r="AQ1229" s="57"/>
      <c r="AR1229" s="36"/>
      <c r="AS1229" s="57"/>
      <c r="AT1229" s="37"/>
      <c r="AU1229" s="30"/>
      <c r="AV1229" s="30"/>
      <c r="AW1229" s="30"/>
      <c r="AX1229" s="30"/>
      <c r="AY1229" s="30"/>
      <c r="AZ1229" s="30"/>
    </row>
    <row r="1230">
      <c r="A1230" s="30"/>
      <c r="B1230" s="30"/>
      <c r="C1230" s="30"/>
      <c r="D1230" s="31"/>
      <c r="E1230" s="31"/>
      <c r="F1230" s="31"/>
      <c r="G1230" s="31"/>
      <c r="H1230" s="31"/>
      <c r="I1230" s="54"/>
      <c r="J1230" s="55"/>
      <c r="K1230" s="54"/>
      <c r="L1230" s="56"/>
      <c r="M1230" s="56"/>
      <c r="N1230" s="31"/>
      <c r="O1230" s="57"/>
      <c r="P1230" s="57"/>
      <c r="Q1230" s="57"/>
      <c r="R1230" s="57"/>
      <c r="S1230" s="31"/>
      <c r="T1230" s="57"/>
      <c r="U1230" s="57"/>
      <c r="V1230" s="57"/>
      <c r="W1230" s="57"/>
      <c r="X1230" s="31"/>
      <c r="Y1230" s="57"/>
      <c r="Z1230" s="57"/>
      <c r="AA1230" s="57"/>
      <c r="AB1230" s="57"/>
      <c r="AC1230" s="31"/>
      <c r="AD1230" s="57"/>
      <c r="AE1230" s="57"/>
      <c r="AF1230" s="57"/>
      <c r="AG1230" s="57"/>
      <c r="AH1230" s="57"/>
      <c r="AI1230" s="57"/>
      <c r="AJ1230" s="57"/>
      <c r="AK1230" s="57"/>
      <c r="AL1230" s="57"/>
      <c r="AM1230" s="57"/>
      <c r="AN1230" s="57"/>
      <c r="AO1230" s="57"/>
      <c r="AP1230" s="35"/>
      <c r="AQ1230" s="57"/>
      <c r="AR1230" s="36"/>
      <c r="AS1230" s="57"/>
      <c r="AT1230" s="37"/>
      <c r="AU1230" s="30"/>
      <c r="AV1230" s="30"/>
      <c r="AW1230" s="30"/>
      <c r="AX1230" s="30"/>
      <c r="AY1230" s="30"/>
      <c r="AZ1230" s="30"/>
    </row>
    <row r="1231">
      <c r="A1231" s="30"/>
      <c r="B1231" s="30"/>
      <c r="C1231" s="30"/>
      <c r="D1231" s="31"/>
      <c r="E1231" s="31"/>
      <c r="F1231" s="31"/>
      <c r="G1231" s="31"/>
      <c r="H1231" s="31"/>
      <c r="I1231" s="54"/>
      <c r="J1231" s="55"/>
      <c r="K1231" s="54"/>
      <c r="L1231" s="56"/>
      <c r="M1231" s="56"/>
      <c r="N1231" s="31"/>
      <c r="O1231" s="57"/>
      <c r="P1231" s="57"/>
      <c r="Q1231" s="57"/>
      <c r="R1231" s="57"/>
      <c r="S1231" s="31"/>
      <c r="T1231" s="57"/>
      <c r="U1231" s="57"/>
      <c r="V1231" s="57"/>
      <c r="W1231" s="57"/>
      <c r="X1231" s="31"/>
      <c r="Y1231" s="57"/>
      <c r="Z1231" s="57"/>
      <c r="AA1231" s="57"/>
      <c r="AB1231" s="57"/>
      <c r="AC1231" s="31"/>
      <c r="AD1231" s="57"/>
      <c r="AE1231" s="57"/>
      <c r="AF1231" s="57"/>
      <c r="AG1231" s="57"/>
      <c r="AH1231" s="57"/>
      <c r="AI1231" s="57"/>
      <c r="AJ1231" s="57"/>
      <c r="AK1231" s="57"/>
      <c r="AL1231" s="57"/>
      <c r="AM1231" s="57"/>
      <c r="AN1231" s="57"/>
      <c r="AO1231" s="57"/>
      <c r="AP1231" s="35"/>
      <c r="AQ1231" s="57"/>
      <c r="AR1231" s="36"/>
      <c r="AS1231" s="57"/>
      <c r="AT1231" s="37"/>
      <c r="AU1231" s="30"/>
      <c r="AV1231" s="30"/>
      <c r="AW1231" s="30"/>
      <c r="AX1231" s="30"/>
      <c r="AY1231" s="30"/>
      <c r="AZ1231" s="30"/>
    </row>
    <row r="1232">
      <c r="A1232" s="30"/>
      <c r="B1232" s="30"/>
      <c r="C1232" s="30"/>
      <c r="D1232" s="31"/>
      <c r="E1232" s="31"/>
      <c r="F1232" s="31"/>
      <c r="G1232" s="31"/>
      <c r="H1232" s="31"/>
      <c r="I1232" s="54"/>
      <c r="J1232" s="55"/>
      <c r="K1232" s="54"/>
      <c r="L1232" s="56"/>
      <c r="M1232" s="56"/>
      <c r="N1232" s="31"/>
      <c r="O1232" s="57"/>
      <c r="P1232" s="57"/>
      <c r="Q1232" s="57"/>
      <c r="R1232" s="57"/>
      <c r="S1232" s="31"/>
      <c r="T1232" s="57"/>
      <c r="U1232" s="57"/>
      <c r="V1232" s="57"/>
      <c r="W1232" s="57"/>
      <c r="X1232" s="31"/>
      <c r="Y1232" s="57"/>
      <c r="Z1232" s="57"/>
      <c r="AA1232" s="57"/>
      <c r="AB1232" s="57"/>
      <c r="AC1232" s="31"/>
      <c r="AD1232" s="57"/>
      <c r="AE1232" s="57"/>
      <c r="AF1232" s="57"/>
      <c r="AG1232" s="57"/>
      <c r="AH1232" s="57"/>
      <c r="AI1232" s="57"/>
      <c r="AJ1232" s="57"/>
      <c r="AK1232" s="57"/>
      <c r="AL1232" s="57"/>
      <c r="AM1232" s="57"/>
      <c r="AN1232" s="57"/>
      <c r="AO1232" s="57"/>
      <c r="AP1232" s="35"/>
      <c r="AQ1232" s="57"/>
      <c r="AR1232" s="36"/>
      <c r="AS1232" s="57"/>
      <c r="AT1232" s="37"/>
      <c r="AU1232" s="30"/>
      <c r="AV1232" s="30"/>
      <c r="AW1232" s="30"/>
      <c r="AX1232" s="30"/>
      <c r="AY1232" s="30"/>
      <c r="AZ1232" s="30"/>
    </row>
    <row r="1233">
      <c r="A1233" s="30"/>
      <c r="B1233" s="30"/>
      <c r="C1233" s="30"/>
      <c r="D1233" s="31"/>
      <c r="E1233" s="31"/>
      <c r="F1233" s="31"/>
      <c r="G1233" s="31"/>
      <c r="H1233" s="31"/>
      <c r="I1233" s="54"/>
      <c r="J1233" s="55"/>
      <c r="K1233" s="54"/>
      <c r="L1233" s="56"/>
      <c r="M1233" s="56"/>
      <c r="N1233" s="31"/>
      <c r="O1233" s="57"/>
      <c r="P1233" s="57"/>
      <c r="Q1233" s="57"/>
      <c r="R1233" s="57"/>
      <c r="S1233" s="31"/>
      <c r="T1233" s="57"/>
      <c r="U1233" s="57"/>
      <c r="V1233" s="57"/>
      <c r="W1233" s="57"/>
      <c r="X1233" s="31"/>
      <c r="Y1233" s="57"/>
      <c r="Z1233" s="57"/>
      <c r="AA1233" s="57"/>
      <c r="AB1233" s="57"/>
      <c r="AC1233" s="31"/>
      <c r="AD1233" s="57"/>
      <c r="AE1233" s="57"/>
      <c r="AF1233" s="57"/>
      <c r="AG1233" s="57"/>
      <c r="AH1233" s="57"/>
      <c r="AI1233" s="57"/>
      <c r="AJ1233" s="57"/>
      <c r="AK1233" s="57"/>
      <c r="AL1233" s="57"/>
      <c r="AM1233" s="57"/>
      <c r="AN1233" s="57"/>
      <c r="AO1233" s="57"/>
      <c r="AP1233" s="35"/>
      <c r="AQ1233" s="57"/>
      <c r="AR1233" s="36"/>
      <c r="AS1233" s="57"/>
      <c r="AT1233" s="37"/>
      <c r="AU1233" s="30"/>
      <c r="AV1233" s="30"/>
      <c r="AW1233" s="30"/>
      <c r="AX1233" s="30"/>
      <c r="AY1233" s="30"/>
      <c r="AZ1233" s="30"/>
    </row>
    <row r="1234">
      <c r="A1234" s="30"/>
      <c r="B1234" s="30"/>
      <c r="C1234" s="30"/>
      <c r="D1234" s="31"/>
      <c r="E1234" s="31"/>
      <c r="F1234" s="31"/>
      <c r="G1234" s="31"/>
      <c r="H1234" s="31"/>
      <c r="I1234" s="54"/>
      <c r="J1234" s="55"/>
      <c r="K1234" s="54"/>
      <c r="L1234" s="56"/>
      <c r="M1234" s="56"/>
      <c r="N1234" s="31"/>
      <c r="O1234" s="57"/>
      <c r="P1234" s="57"/>
      <c r="Q1234" s="57"/>
      <c r="R1234" s="57"/>
      <c r="S1234" s="31"/>
      <c r="T1234" s="57"/>
      <c r="U1234" s="57"/>
      <c r="V1234" s="57"/>
      <c r="W1234" s="57"/>
      <c r="X1234" s="31"/>
      <c r="Y1234" s="57"/>
      <c r="Z1234" s="57"/>
      <c r="AA1234" s="57"/>
      <c r="AB1234" s="57"/>
      <c r="AC1234" s="31"/>
      <c r="AD1234" s="57"/>
      <c r="AE1234" s="57"/>
      <c r="AF1234" s="57"/>
      <c r="AG1234" s="57"/>
      <c r="AH1234" s="57"/>
      <c r="AI1234" s="57"/>
      <c r="AJ1234" s="57"/>
      <c r="AK1234" s="57"/>
      <c r="AL1234" s="57"/>
      <c r="AM1234" s="57"/>
      <c r="AN1234" s="57"/>
      <c r="AO1234" s="57"/>
      <c r="AP1234" s="35"/>
      <c r="AQ1234" s="57"/>
      <c r="AR1234" s="36"/>
      <c r="AS1234" s="57"/>
      <c r="AT1234" s="37"/>
      <c r="AU1234" s="30"/>
      <c r="AV1234" s="30"/>
      <c r="AW1234" s="30"/>
      <c r="AX1234" s="30"/>
      <c r="AY1234" s="30"/>
      <c r="AZ1234" s="30"/>
    </row>
    <row r="1235">
      <c r="A1235" s="30"/>
      <c r="B1235" s="30"/>
      <c r="C1235" s="30"/>
      <c r="D1235" s="31"/>
      <c r="E1235" s="31"/>
      <c r="F1235" s="31"/>
      <c r="G1235" s="31"/>
      <c r="H1235" s="31"/>
      <c r="I1235" s="54"/>
      <c r="J1235" s="55"/>
      <c r="K1235" s="54"/>
      <c r="L1235" s="56"/>
      <c r="M1235" s="56"/>
      <c r="N1235" s="31"/>
      <c r="O1235" s="57"/>
      <c r="P1235" s="57"/>
      <c r="Q1235" s="57"/>
      <c r="R1235" s="57"/>
      <c r="S1235" s="31"/>
      <c r="T1235" s="57"/>
      <c r="U1235" s="57"/>
      <c r="V1235" s="57"/>
      <c r="W1235" s="57"/>
      <c r="X1235" s="31"/>
      <c r="Y1235" s="57"/>
      <c r="Z1235" s="57"/>
      <c r="AA1235" s="57"/>
      <c r="AB1235" s="57"/>
      <c r="AC1235" s="31"/>
      <c r="AD1235" s="57"/>
      <c r="AE1235" s="57"/>
      <c r="AF1235" s="57"/>
      <c r="AG1235" s="57"/>
      <c r="AH1235" s="57"/>
      <c r="AI1235" s="57"/>
      <c r="AJ1235" s="57"/>
      <c r="AK1235" s="57"/>
      <c r="AL1235" s="57"/>
      <c r="AM1235" s="57"/>
      <c r="AN1235" s="57"/>
      <c r="AO1235" s="57"/>
      <c r="AP1235" s="35"/>
      <c r="AQ1235" s="57"/>
      <c r="AR1235" s="36"/>
      <c r="AS1235" s="57"/>
      <c r="AT1235" s="37"/>
      <c r="AU1235" s="30"/>
      <c r="AV1235" s="30"/>
      <c r="AW1235" s="30"/>
      <c r="AX1235" s="30"/>
      <c r="AY1235" s="30"/>
      <c r="AZ1235" s="30"/>
    </row>
    <row r="1236">
      <c r="A1236" s="30"/>
      <c r="B1236" s="30"/>
      <c r="C1236" s="30"/>
      <c r="D1236" s="31"/>
      <c r="E1236" s="31"/>
      <c r="F1236" s="31"/>
      <c r="G1236" s="31"/>
      <c r="H1236" s="31"/>
      <c r="I1236" s="54"/>
      <c r="J1236" s="55"/>
      <c r="K1236" s="54"/>
      <c r="L1236" s="56"/>
      <c r="M1236" s="56"/>
      <c r="N1236" s="31"/>
      <c r="O1236" s="57"/>
      <c r="P1236" s="57"/>
      <c r="Q1236" s="57"/>
      <c r="R1236" s="57"/>
      <c r="S1236" s="31"/>
      <c r="T1236" s="57"/>
      <c r="U1236" s="57"/>
      <c r="V1236" s="57"/>
      <c r="W1236" s="57"/>
      <c r="X1236" s="31"/>
      <c r="Y1236" s="57"/>
      <c r="Z1236" s="57"/>
      <c r="AA1236" s="57"/>
      <c r="AB1236" s="57"/>
      <c r="AC1236" s="31"/>
      <c r="AD1236" s="57"/>
      <c r="AE1236" s="57"/>
      <c r="AF1236" s="57"/>
      <c r="AG1236" s="57"/>
      <c r="AH1236" s="57"/>
      <c r="AI1236" s="57"/>
      <c r="AJ1236" s="57"/>
      <c r="AK1236" s="57"/>
      <c r="AL1236" s="57"/>
      <c r="AM1236" s="57"/>
      <c r="AN1236" s="57"/>
      <c r="AO1236" s="57"/>
      <c r="AP1236" s="35"/>
      <c r="AQ1236" s="57"/>
      <c r="AR1236" s="36"/>
      <c r="AS1236" s="57"/>
      <c r="AT1236" s="37"/>
      <c r="AU1236" s="30"/>
      <c r="AV1236" s="30"/>
      <c r="AW1236" s="30"/>
      <c r="AX1236" s="30"/>
      <c r="AY1236" s="30"/>
      <c r="AZ1236" s="30"/>
    </row>
    <row r="1237">
      <c r="A1237" s="30"/>
      <c r="B1237" s="30"/>
      <c r="C1237" s="30"/>
      <c r="D1237" s="31"/>
      <c r="E1237" s="31"/>
      <c r="F1237" s="31"/>
      <c r="G1237" s="31"/>
      <c r="H1237" s="31"/>
      <c r="I1237" s="54"/>
      <c r="J1237" s="55"/>
      <c r="K1237" s="54"/>
      <c r="L1237" s="56"/>
      <c r="M1237" s="56"/>
      <c r="N1237" s="31"/>
      <c r="O1237" s="57"/>
      <c r="P1237" s="57"/>
      <c r="Q1237" s="57"/>
      <c r="R1237" s="57"/>
      <c r="S1237" s="31"/>
      <c r="T1237" s="57"/>
      <c r="U1237" s="57"/>
      <c r="V1237" s="57"/>
      <c r="W1237" s="57"/>
      <c r="X1237" s="31"/>
      <c r="Y1237" s="57"/>
      <c r="Z1237" s="57"/>
      <c r="AA1237" s="57"/>
      <c r="AB1237" s="57"/>
      <c r="AC1237" s="31"/>
      <c r="AD1237" s="57"/>
      <c r="AE1237" s="57"/>
      <c r="AF1237" s="57"/>
      <c r="AG1237" s="57"/>
      <c r="AH1237" s="57"/>
      <c r="AI1237" s="57"/>
      <c r="AJ1237" s="57"/>
      <c r="AK1237" s="57"/>
      <c r="AL1237" s="57"/>
      <c r="AM1237" s="57"/>
      <c r="AN1237" s="57"/>
      <c r="AO1237" s="57"/>
      <c r="AP1237" s="35"/>
      <c r="AQ1237" s="57"/>
      <c r="AR1237" s="36"/>
      <c r="AS1237" s="57"/>
      <c r="AT1237" s="37"/>
      <c r="AU1237" s="30"/>
      <c r="AV1237" s="30"/>
      <c r="AW1237" s="30"/>
      <c r="AX1237" s="30"/>
      <c r="AY1237" s="30"/>
      <c r="AZ1237" s="30"/>
    </row>
    <row r="1238">
      <c r="A1238" s="30"/>
      <c r="B1238" s="30"/>
      <c r="C1238" s="30"/>
      <c r="D1238" s="31"/>
      <c r="E1238" s="31"/>
      <c r="F1238" s="31"/>
      <c r="G1238" s="31"/>
      <c r="H1238" s="31"/>
      <c r="I1238" s="54"/>
      <c r="J1238" s="55"/>
      <c r="K1238" s="54"/>
      <c r="L1238" s="56"/>
      <c r="M1238" s="56"/>
      <c r="N1238" s="31"/>
      <c r="O1238" s="57"/>
      <c r="P1238" s="57"/>
      <c r="Q1238" s="57"/>
      <c r="R1238" s="57"/>
      <c r="S1238" s="31"/>
      <c r="T1238" s="57"/>
      <c r="U1238" s="57"/>
      <c r="V1238" s="57"/>
      <c r="W1238" s="57"/>
      <c r="X1238" s="31"/>
      <c r="Y1238" s="57"/>
      <c r="Z1238" s="57"/>
      <c r="AA1238" s="57"/>
      <c r="AB1238" s="57"/>
      <c r="AC1238" s="31"/>
      <c r="AD1238" s="57"/>
      <c r="AE1238" s="57"/>
      <c r="AF1238" s="57"/>
      <c r="AG1238" s="57"/>
      <c r="AH1238" s="57"/>
      <c r="AI1238" s="57"/>
      <c r="AJ1238" s="57"/>
      <c r="AK1238" s="57"/>
      <c r="AL1238" s="57"/>
      <c r="AM1238" s="57"/>
      <c r="AN1238" s="57"/>
      <c r="AO1238" s="57"/>
      <c r="AP1238" s="35"/>
      <c r="AQ1238" s="57"/>
      <c r="AR1238" s="36"/>
      <c r="AS1238" s="57"/>
      <c r="AT1238" s="37"/>
      <c r="AU1238" s="30"/>
      <c r="AV1238" s="30"/>
      <c r="AW1238" s="30"/>
      <c r="AX1238" s="30"/>
      <c r="AY1238" s="30"/>
      <c r="AZ1238" s="30"/>
    </row>
    <row r="1239">
      <c r="A1239" s="30"/>
      <c r="B1239" s="30"/>
      <c r="C1239" s="30"/>
      <c r="D1239" s="31"/>
      <c r="E1239" s="31"/>
      <c r="F1239" s="31"/>
      <c r="G1239" s="31"/>
      <c r="H1239" s="31"/>
      <c r="I1239" s="54"/>
      <c r="J1239" s="55"/>
      <c r="K1239" s="54"/>
      <c r="L1239" s="56"/>
      <c r="M1239" s="56"/>
      <c r="N1239" s="31"/>
      <c r="O1239" s="57"/>
      <c r="P1239" s="57"/>
      <c r="Q1239" s="57"/>
      <c r="R1239" s="57"/>
      <c r="S1239" s="31"/>
      <c r="T1239" s="57"/>
      <c r="U1239" s="57"/>
      <c r="V1239" s="57"/>
      <c r="W1239" s="57"/>
      <c r="X1239" s="31"/>
      <c r="Y1239" s="57"/>
      <c r="Z1239" s="57"/>
      <c r="AA1239" s="57"/>
      <c r="AB1239" s="57"/>
      <c r="AC1239" s="31"/>
      <c r="AD1239" s="57"/>
      <c r="AE1239" s="57"/>
      <c r="AF1239" s="57"/>
      <c r="AG1239" s="57"/>
      <c r="AH1239" s="57"/>
      <c r="AI1239" s="57"/>
      <c r="AJ1239" s="57"/>
      <c r="AK1239" s="57"/>
      <c r="AL1239" s="57"/>
      <c r="AM1239" s="57"/>
      <c r="AN1239" s="57"/>
      <c r="AO1239" s="57"/>
      <c r="AP1239" s="35"/>
      <c r="AQ1239" s="57"/>
      <c r="AR1239" s="36"/>
      <c r="AS1239" s="57"/>
      <c r="AT1239" s="37"/>
      <c r="AU1239" s="30"/>
      <c r="AV1239" s="30"/>
      <c r="AW1239" s="30"/>
      <c r="AX1239" s="30"/>
      <c r="AY1239" s="30"/>
      <c r="AZ1239" s="30"/>
    </row>
    <row r="1240">
      <c r="A1240" s="30"/>
      <c r="B1240" s="30"/>
      <c r="C1240" s="30"/>
      <c r="D1240" s="31"/>
      <c r="E1240" s="31"/>
      <c r="F1240" s="31"/>
      <c r="G1240" s="31"/>
      <c r="H1240" s="31"/>
      <c r="I1240" s="54"/>
      <c r="J1240" s="55"/>
      <c r="K1240" s="54"/>
      <c r="L1240" s="56"/>
      <c r="M1240" s="56"/>
      <c r="N1240" s="31"/>
      <c r="O1240" s="57"/>
      <c r="P1240" s="57"/>
      <c r="Q1240" s="57"/>
      <c r="R1240" s="57"/>
      <c r="S1240" s="31"/>
      <c r="T1240" s="57"/>
      <c r="U1240" s="57"/>
      <c r="V1240" s="57"/>
      <c r="W1240" s="57"/>
      <c r="X1240" s="31"/>
      <c r="Y1240" s="57"/>
      <c r="Z1240" s="57"/>
      <c r="AA1240" s="57"/>
      <c r="AB1240" s="57"/>
      <c r="AC1240" s="31"/>
      <c r="AD1240" s="57"/>
      <c r="AE1240" s="57"/>
      <c r="AF1240" s="57"/>
      <c r="AG1240" s="57"/>
      <c r="AH1240" s="57"/>
      <c r="AI1240" s="57"/>
      <c r="AJ1240" s="57"/>
      <c r="AK1240" s="57"/>
      <c r="AL1240" s="57"/>
      <c r="AM1240" s="57"/>
      <c r="AN1240" s="57"/>
      <c r="AO1240" s="57"/>
      <c r="AP1240" s="35"/>
      <c r="AQ1240" s="57"/>
      <c r="AR1240" s="36"/>
      <c r="AS1240" s="57"/>
      <c r="AT1240" s="37"/>
      <c r="AU1240" s="30"/>
      <c r="AV1240" s="30"/>
      <c r="AW1240" s="30"/>
      <c r="AX1240" s="30"/>
      <c r="AY1240" s="30"/>
      <c r="AZ1240" s="30"/>
    </row>
    <row r="1241">
      <c r="A1241" s="30"/>
      <c r="B1241" s="30"/>
      <c r="C1241" s="30"/>
      <c r="D1241" s="31"/>
      <c r="E1241" s="31"/>
      <c r="F1241" s="31"/>
      <c r="G1241" s="31"/>
      <c r="H1241" s="31"/>
      <c r="I1241" s="54"/>
      <c r="J1241" s="55"/>
      <c r="K1241" s="54"/>
      <c r="L1241" s="56"/>
      <c r="M1241" s="56"/>
      <c r="N1241" s="31"/>
      <c r="O1241" s="57"/>
      <c r="P1241" s="57"/>
      <c r="Q1241" s="57"/>
      <c r="R1241" s="57"/>
      <c r="S1241" s="31"/>
      <c r="T1241" s="57"/>
      <c r="U1241" s="57"/>
      <c r="V1241" s="57"/>
      <c r="W1241" s="57"/>
      <c r="X1241" s="31"/>
      <c r="Y1241" s="57"/>
      <c r="Z1241" s="57"/>
      <c r="AA1241" s="57"/>
      <c r="AB1241" s="57"/>
      <c r="AC1241" s="31"/>
      <c r="AD1241" s="57"/>
      <c r="AE1241" s="57"/>
      <c r="AF1241" s="57"/>
      <c r="AG1241" s="57"/>
      <c r="AH1241" s="57"/>
      <c r="AI1241" s="57"/>
      <c r="AJ1241" s="57"/>
      <c r="AK1241" s="57"/>
      <c r="AL1241" s="57"/>
      <c r="AM1241" s="57"/>
      <c r="AN1241" s="57"/>
      <c r="AO1241" s="57"/>
      <c r="AP1241" s="35"/>
      <c r="AQ1241" s="57"/>
      <c r="AR1241" s="36"/>
      <c r="AS1241" s="57"/>
      <c r="AT1241" s="37"/>
      <c r="AU1241" s="30"/>
      <c r="AV1241" s="30"/>
      <c r="AW1241" s="30"/>
      <c r="AX1241" s="30"/>
      <c r="AY1241" s="30"/>
      <c r="AZ1241" s="30"/>
    </row>
    <row r="1242">
      <c r="A1242" s="30"/>
      <c r="B1242" s="30"/>
      <c r="C1242" s="30"/>
      <c r="D1242" s="31"/>
      <c r="E1242" s="31"/>
      <c r="F1242" s="31"/>
      <c r="G1242" s="31"/>
      <c r="H1242" s="31"/>
      <c r="I1242" s="54"/>
      <c r="J1242" s="55"/>
      <c r="K1242" s="54"/>
      <c r="L1242" s="56"/>
      <c r="M1242" s="56"/>
      <c r="N1242" s="31"/>
      <c r="O1242" s="57"/>
      <c r="P1242" s="57"/>
      <c r="Q1242" s="57"/>
      <c r="R1242" s="57"/>
      <c r="S1242" s="31"/>
      <c r="T1242" s="57"/>
      <c r="U1242" s="57"/>
      <c r="V1242" s="57"/>
      <c r="W1242" s="57"/>
      <c r="X1242" s="31"/>
      <c r="Y1242" s="57"/>
      <c r="Z1242" s="57"/>
      <c r="AA1242" s="57"/>
      <c r="AB1242" s="57"/>
      <c r="AC1242" s="31"/>
      <c r="AD1242" s="57"/>
      <c r="AE1242" s="57"/>
      <c r="AF1242" s="57"/>
      <c r="AG1242" s="57"/>
      <c r="AH1242" s="57"/>
      <c r="AI1242" s="57"/>
      <c r="AJ1242" s="57"/>
      <c r="AK1242" s="57"/>
      <c r="AL1242" s="57"/>
      <c r="AM1242" s="57"/>
      <c r="AN1242" s="57"/>
      <c r="AO1242" s="57"/>
      <c r="AP1242" s="35"/>
      <c r="AQ1242" s="57"/>
      <c r="AR1242" s="36"/>
      <c r="AS1242" s="57"/>
      <c r="AT1242" s="37"/>
      <c r="AU1242" s="30"/>
      <c r="AV1242" s="30"/>
      <c r="AW1242" s="30"/>
      <c r="AX1242" s="30"/>
      <c r="AY1242" s="30"/>
      <c r="AZ1242" s="30"/>
    </row>
    <row r="1243">
      <c r="A1243" s="30"/>
      <c r="B1243" s="30"/>
      <c r="C1243" s="30"/>
      <c r="D1243" s="31"/>
      <c r="E1243" s="31"/>
      <c r="F1243" s="31"/>
      <c r="G1243" s="31"/>
      <c r="H1243" s="31"/>
      <c r="I1243" s="54"/>
      <c r="J1243" s="55"/>
      <c r="K1243" s="54"/>
      <c r="L1243" s="56"/>
      <c r="M1243" s="56"/>
      <c r="N1243" s="31"/>
      <c r="O1243" s="57"/>
      <c r="P1243" s="57"/>
      <c r="Q1243" s="57"/>
      <c r="R1243" s="57"/>
      <c r="S1243" s="31"/>
      <c r="T1243" s="57"/>
      <c r="U1243" s="57"/>
      <c r="V1243" s="57"/>
      <c r="W1243" s="57"/>
      <c r="X1243" s="31"/>
      <c r="Y1243" s="57"/>
      <c r="Z1243" s="57"/>
      <c r="AA1243" s="57"/>
      <c r="AB1243" s="57"/>
      <c r="AC1243" s="31"/>
      <c r="AD1243" s="57"/>
      <c r="AE1243" s="57"/>
      <c r="AF1243" s="57"/>
      <c r="AG1243" s="57"/>
      <c r="AH1243" s="57"/>
      <c r="AI1243" s="57"/>
      <c r="AJ1243" s="57"/>
      <c r="AK1243" s="57"/>
      <c r="AL1243" s="57"/>
      <c r="AM1243" s="57"/>
      <c r="AN1243" s="57"/>
      <c r="AO1243" s="57"/>
      <c r="AP1243" s="35"/>
      <c r="AQ1243" s="57"/>
      <c r="AR1243" s="36"/>
      <c r="AS1243" s="57"/>
      <c r="AT1243" s="37"/>
      <c r="AU1243" s="30"/>
      <c r="AV1243" s="30"/>
      <c r="AW1243" s="30"/>
      <c r="AX1243" s="30"/>
      <c r="AY1243" s="30"/>
      <c r="AZ1243" s="30"/>
    </row>
    <row r="1244">
      <c r="A1244" s="30"/>
      <c r="B1244" s="30"/>
      <c r="C1244" s="30"/>
      <c r="D1244" s="31"/>
      <c r="E1244" s="31"/>
      <c r="F1244" s="31"/>
      <c r="G1244" s="31"/>
      <c r="H1244" s="31"/>
      <c r="I1244" s="54"/>
      <c r="J1244" s="55"/>
      <c r="K1244" s="54"/>
      <c r="L1244" s="56"/>
      <c r="M1244" s="56"/>
      <c r="N1244" s="31"/>
      <c r="O1244" s="57"/>
      <c r="P1244" s="57"/>
      <c r="Q1244" s="57"/>
      <c r="R1244" s="57"/>
      <c r="S1244" s="31"/>
      <c r="T1244" s="57"/>
      <c r="U1244" s="57"/>
      <c r="V1244" s="57"/>
      <c r="W1244" s="57"/>
      <c r="X1244" s="31"/>
      <c r="Y1244" s="57"/>
      <c r="Z1244" s="57"/>
      <c r="AA1244" s="57"/>
      <c r="AB1244" s="57"/>
      <c r="AC1244" s="31"/>
      <c r="AD1244" s="57"/>
      <c r="AE1244" s="57"/>
      <c r="AF1244" s="57"/>
      <c r="AG1244" s="57"/>
      <c r="AH1244" s="57"/>
      <c r="AI1244" s="57"/>
      <c r="AJ1244" s="57"/>
      <c r="AK1244" s="57"/>
      <c r="AL1244" s="57"/>
      <c r="AM1244" s="57"/>
      <c r="AN1244" s="57"/>
      <c r="AO1244" s="57"/>
      <c r="AP1244" s="35"/>
      <c r="AQ1244" s="57"/>
      <c r="AR1244" s="36"/>
      <c r="AS1244" s="57"/>
      <c r="AT1244" s="37"/>
      <c r="AU1244" s="30"/>
      <c r="AV1244" s="30"/>
      <c r="AW1244" s="30"/>
      <c r="AX1244" s="30"/>
      <c r="AY1244" s="30"/>
      <c r="AZ1244" s="30"/>
    </row>
    <row r="1245">
      <c r="A1245" s="30"/>
      <c r="B1245" s="30"/>
      <c r="C1245" s="30"/>
      <c r="D1245" s="31"/>
      <c r="E1245" s="31"/>
      <c r="F1245" s="31"/>
      <c r="G1245" s="31"/>
      <c r="H1245" s="31"/>
      <c r="I1245" s="54"/>
      <c r="J1245" s="55"/>
      <c r="K1245" s="54"/>
      <c r="L1245" s="56"/>
      <c r="M1245" s="56"/>
      <c r="N1245" s="31"/>
      <c r="O1245" s="57"/>
      <c r="P1245" s="57"/>
      <c r="Q1245" s="57"/>
      <c r="R1245" s="57"/>
      <c r="S1245" s="31"/>
      <c r="T1245" s="57"/>
      <c r="U1245" s="57"/>
      <c r="V1245" s="57"/>
      <c r="W1245" s="57"/>
      <c r="X1245" s="31"/>
      <c r="Y1245" s="57"/>
      <c r="Z1245" s="57"/>
      <c r="AA1245" s="57"/>
      <c r="AB1245" s="57"/>
      <c r="AC1245" s="31"/>
      <c r="AD1245" s="57"/>
      <c r="AE1245" s="57"/>
      <c r="AF1245" s="57"/>
      <c r="AG1245" s="57"/>
      <c r="AH1245" s="57"/>
      <c r="AI1245" s="57"/>
      <c r="AJ1245" s="57"/>
      <c r="AK1245" s="57"/>
      <c r="AL1245" s="57"/>
      <c r="AM1245" s="57"/>
      <c r="AN1245" s="57"/>
      <c r="AO1245" s="57"/>
      <c r="AP1245" s="35"/>
      <c r="AQ1245" s="57"/>
      <c r="AR1245" s="36"/>
      <c r="AS1245" s="57"/>
      <c r="AT1245" s="37"/>
      <c r="AU1245" s="30"/>
      <c r="AV1245" s="30"/>
      <c r="AW1245" s="30"/>
      <c r="AX1245" s="30"/>
      <c r="AY1245" s="30"/>
      <c r="AZ1245" s="30"/>
    </row>
    <row r="1246">
      <c r="A1246" s="30"/>
      <c r="B1246" s="30"/>
      <c r="C1246" s="30"/>
      <c r="D1246" s="31"/>
      <c r="E1246" s="31"/>
      <c r="F1246" s="31"/>
      <c r="G1246" s="31"/>
      <c r="H1246" s="31"/>
      <c r="I1246" s="54"/>
      <c r="J1246" s="55"/>
      <c r="K1246" s="54"/>
      <c r="L1246" s="56"/>
      <c r="M1246" s="56"/>
      <c r="N1246" s="31"/>
      <c r="O1246" s="57"/>
      <c r="P1246" s="57"/>
      <c r="Q1246" s="57"/>
      <c r="R1246" s="57"/>
      <c r="S1246" s="31"/>
      <c r="T1246" s="57"/>
      <c r="U1246" s="57"/>
      <c r="V1246" s="57"/>
      <c r="W1246" s="57"/>
      <c r="X1246" s="31"/>
      <c r="Y1246" s="57"/>
      <c r="Z1246" s="57"/>
      <c r="AA1246" s="57"/>
      <c r="AB1246" s="57"/>
      <c r="AC1246" s="31"/>
      <c r="AD1246" s="57"/>
      <c r="AE1246" s="57"/>
      <c r="AF1246" s="57"/>
      <c r="AG1246" s="57"/>
      <c r="AH1246" s="57"/>
      <c r="AI1246" s="57"/>
      <c r="AJ1246" s="57"/>
      <c r="AK1246" s="57"/>
      <c r="AL1246" s="57"/>
      <c r="AM1246" s="57"/>
      <c r="AN1246" s="57"/>
      <c r="AO1246" s="57"/>
      <c r="AP1246" s="35"/>
      <c r="AQ1246" s="57"/>
      <c r="AR1246" s="36"/>
      <c r="AS1246" s="57"/>
      <c r="AT1246" s="37"/>
      <c r="AU1246" s="30"/>
      <c r="AV1246" s="30"/>
      <c r="AW1246" s="30"/>
      <c r="AX1246" s="30"/>
      <c r="AY1246" s="30"/>
      <c r="AZ1246" s="30"/>
    </row>
    <row r="1247">
      <c r="A1247" s="30"/>
      <c r="B1247" s="30"/>
      <c r="C1247" s="30"/>
      <c r="D1247" s="31"/>
      <c r="E1247" s="31"/>
      <c r="F1247" s="31"/>
      <c r="G1247" s="31"/>
      <c r="H1247" s="31"/>
      <c r="I1247" s="54"/>
      <c r="J1247" s="55"/>
      <c r="K1247" s="54"/>
      <c r="L1247" s="56"/>
      <c r="M1247" s="56"/>
      <c r="N1247" s="31"/>
      <c r="O1247" s="57"/>
      <c r="P1247" s="57"/>
      <c r="Q1247" s="57"/>
      <c r="R1247" s="57"/>
      <c r="S1247" s="31"/>
      <c r="T1247" s="57"/>
      <c r="U1247" s="57"/>
      <c r="V1247" s="57"/>
      <c r="W1247" s="57"/>
      <c r="X1247" s="31"/>
      <c r="Y1247" s="57"/>
      <c r="Z1247" s="57"/>
      <c r="AA1247" s="57"/>
      <c r="AB1247" s="57"/>
      <c r="AC1247" s="31"/>
      <c r="AD1247" s="57"/>
      <c r="AE1247" s="57"/>
      <c r="AF1247" s="57"/>
      <c r="AG1247" s="57"/>
      <c r="AH1247" s="57"/>
      <c r="AI1247" s="57"/>
      <c r="AJ1247" s="57"/>
      <c r="AK1247" s="57"/>
      <c r="AL1247" s="57"/>
      <c r="AM1247" s="57"/>
      <c r="AN1247" s="57"/>
      <c r="AO1247" s="57"/>
      <c r="AP1247" s="35"/>
      <c r="AQ1247" s="57"/>
      <c r="AR1247" s="36"/>
      <c r="AS1247" s="57"/>
      <c r="AT1247" s="37"/>
      <c r="AU1247" s="30"/>
      <c r="AV1247" s="30"/>
      <c r="AW1247" s="30"/>
      <c r="AX1247" s="30"/>
      <c r="AY1247" s="30"/>
      <c r="AZ1247" s="30"/>
    </row>
    <row r="1248">
      <c r="A1248" s="30"/>
      <c r="B1248" s="30"/>
      <c r="C1248" s="30"/>
      <c r="D1248" s="31"/>
      <c r="E1248" s="31"/>
      <c r="F1248" s="31"/>
      <c r="G1248" s="31"/>
      <c r="H1248" s="31"/>
      <c r="I1248" s="54"/>
      <c r="J1248" s="55"/>
      <c r="K1248" s="54"/>
      <c r="L1248" s="56"/>
      <c r="M1248" s="56"/>
      <c r="N1248" s="31"/>
      <c r="O1248" s="57"/>
      <c r="P1248" s="57"/>
      <c r="Q1248" s="57"/>
      <c r="R1248" s="57"/>
      <c r="S1248" s="31"/>
      <c r="T1248" s="57"/>
      <c r="U1248" s="57"/>
      <c r="V1248" s="57"/>
      <c r="W1248" s="57"/>
      <c r="X1248" s="31"/>
      <c r="Y1248" s="57"/>
      <c r="Z1248" s="57"/>
      <c r="AA1248" s="57"/>
      <c r="AB1248" s="57"/>
      <c r="AC1248" s="31"/>
      <c r="AD1248" s="57"/>
      <c r="AE1248" s="57"/>
      <c r="AF1248" s="57"/>
      <c r="AG1248" s="57"/>
      <c r="AH1248" s="57"/>
      <c r="AI1248" s="57"/>
      <c r="AJ1248" s="57"/>
      <c r="AK1248" s="57"/>
      <c r="AL1248" s="57"/>
      <c r="AM1248" s="57"/>
      <c r="AN1248" s="57"/>
      <c r="AO1248" s="57"/>
      <c r="AP1248" s="35"/>
      <c r="AQ1248" s="57"/>
      <c r="AR1248" s="36"/>
      <c r="AS1248" s="57"/>
      <c r="AT1248" s="37"/>
      <c r="AU1248" s="30"/>
      <c r="AV1248" s="30"/>
      <c r="AW1248" s="30"/>
      <c r="AX1248" s="30"/>
      <c r="AY1248" s="30"/>
      <c r="AZ1248" s="30"/>
    </row>
    <row r="1249">
      <c r="A1249" s="30"/>
      <c r="B1249" s="30"/>
      <c r="C1249" s="30"/>
      <c r="D1249" s="31"/>
      <c r="E1249" s="31"/>
      <c r="F1249" s="31"/>
      <c r="G1249" s="31"/>
      <c r="H1249" s="31"/>
      <c r="I1249" s="54"/>
      <c r="J1249" s="55"/>
      <c r="K1249" s="54"/>
      <c r="L1249" s="56"/>
      <c r="M1249" s="56"/>
      <c r="N1249" s="31"/>
      <c r="O1249" s="57"/>
      <c r="P1249" s="57"/>
      <c r="Q1249" s="57"/>
      <c r="R1249" s="57"/>
      <c r="S1249" s="31"/>
      <c r="T1249" s="57"/>
      <c r="U1249" s="57"/>
      <c r="V1249" s="57"/>
      <c r="W1249" s="57"/>
      <c r="X1249" s="31"/>
      <c r="Y1249" s="57"/>
      <c r="Z1249" s="57"/>
      <c r="AA1249" s="57"/>
      <c r="AB1249" s="57"/>
      <c r="AC1249" s="31"/>
      <c r="AD1249" s="57"/>
      <c r="AE1249" s="57"/>
      <c r="AF1249" s="57"/>
      <c r="AG1249" s="57"/>
      <c r="AH1249" s="57"/>
      <c r="AI1249" s="57"/>
      <c r="AJ1249" s="57"/>
      <c r="AK1249" s="57"/>
      <c r="AL1249" s="57"/>
      <c r="AM1249" s="57"/>
      <c r="AN1249" s="57"/>
      <c r="AO1249" s="57"/>
      <c r="AP1249" s="35"/>
      <c r="AQ1249" s="57"/>
      <c r="AR1249" s="36"/>
      <c r="AS1249" s="57"/>
      <c r="AT1249" s="37"/>
      <c r="AU1249" s="30"/>
      <c r="AV1249" s="30"/>
      <c r="AW1249" s="30"/>
      <c r="AX1249" s="30"/>
      <c r="AY1249" s="30"/>
      <c r="AZ1249" s="30"/>
    </row>
    <row r="1250">
      <c r="A1250" s="30"/>
      <c r="B1250" s="30"/>
      <c r="C1250" s="30"/>
      <c r="D1250" s="31"/>
      <c r="E1250" s="31"/>
      <c r="F1250" s="31"/>
      <c r="G1250" s="31"/>
      <c r="H1250" s="31"/>
      <c r="I1250" s="54"/>
      <c r="J1250" s="55"/>
      <c r="K1250" s="54"/>
      <c r="L1250" s="56"/>
      <c r="M1250" s="56"/>
      <c r="N1250" s="31"/>
      <c r="O1250" s="57"/>
      <c r="P1250" s="57"/>
      <c r="Q1250" s="57"/>
      <c r="R1250" s="57"/>
      <c r="S1250" s="31"/>
      <c r="T1250" s="57"/>
      <c r="U1250" s="57"/>
      <c r="V1250" s="57"/>
      <c r="W1250" s="57"/>
      <c r="X1250" s="31"/>
      <c r="Y1250" s="57"/>
      <c r="Z1250" s="57"/>
      <c r="AA1250" s="57"/>
      <c r="AB1250" s="57"/>
      <c r="AC1250" s="31"/>
      <c r="AD1250" s="57"/>
      <c r="AE1250" s="57"/>
      <c r="AF1250" s="57"/>
      <c r="AG1250" s="57"/>
      <c r="AH1250" s="57"/>
      <c r="AI1250" s="57"/>
      <c r="AJ1250" s="57"/>
      <c r="AK1250" s="57"/>
      <c r="AL1250" s="57"/>
      <c r="AM1250" s="57"/>
      <c r="AN1250" s="57"/>
      <c r="AO1250" s="57"/>
      <c r="AP1250" s="35"/>
      <c r="AQ1250" s="57"/>
      <c r="AR1250" s="36"/>
      <c r="AS1250" s="57"/>
      <c r="AT1250" s="37"/>
      <c r="AU1250" s="30"/>
      <c r="AV1250" s="30"/>
      <c r="AW1250" s="30"/>
      <c r="AX1250" s="30"/>
      <c r="AY1250" s="30"/>
      <c r="AZ1250" s="30"/>
    </row>
  </sheetData>
  <mergeCells count="1">
    <mergeCell ref="I1:N3"/>
  </mergeCells>
  <conditionalFormatting sqref="A1:D1250">
    <cfRule type="expression" dxfId="4" priority="1">
      <formula>$A1="Amateur"</formula>
    </cfRule>
  </conditionalFormatting>
  <conditionalFormatting sqref="A1:D1250">
    <cfRule type="expression" dxfId="5" priority="2">
      <formula>$A1="Contender"</formula>
    </cfRule>
  </conditionalFormatting>
  <conditionalFormatting sqref="A1:D1250">
    <cfRule type="expression" dxfId="6" priority="3">
      <formula>$A1="Prospect"</formula>
    </cfRule>
  </conditionalFormatting>
  <conditionalFormatting sqref="A1:D1250">
    <cfRule type="expression" dxfId="7" priority="4">
      <formula>$A1="Challenger"</formula>
    </cfRule>
  </conditionalFormatting>
  <conditionalFormatting sqref="A1:D1250">
    <cfRule type="expression" dxfId="8" priority="5">
      <formula>$A1="Rival"</formula>
    </cfRule>
  </conditionalFormatting>
  <conditionalFormatting sqref="A1:D1250">
    <cfRule type="expression" dxfId="9" priority="6">
      <formula>$A1="Veteran"</formula>
    </cfRule>
  </conditionalFormatting>
  <conditionalFormatting sqref="A1:D1250">
    <cfRule type="expression" dxfId="10" priority="7">
      <formula>$A1="Elite"</formula>
    </cfRule>
  </conditionalFormatting>
  <conditionalFormatting sqref="A1:D1250">
    <cfRule type="expression" dxfId="11" priority="8">
      <formula>$A1="Master"</formula>
    </cfRule>
  </conditionalFormatting>
  <conditionalFormatting sqref="A1:D1250">
    <cfRule type="expression" dxfId="12" priority="9">
      <formula>$A1="Premier"</formula>
    </cfRule>
  </conditionalFormatting>
  <conditionalFormatting sqref="E6:E1250">
    <cfRule type="colorScale" priority="10">
      <colorScale>
        <cfvo type="min"/>
        <cfvo type="formula" val="50"/>
        <cfvo type="max"/>
        <color rgb="FFEA4335"/>
        <color rgb="FF666666"/>
        <color rgb="FF34A853"/>
      </colorScale>
    </cfRule>
  </conditionalFormatting>
  <conditionalFormatting sqref="F6:F1250">
    <cfRule type="colorScale" priority="11">
      <colorScale>
        <cfvo type="min"/>
        <cfvo type="percentile" val="50"/>
        <cfvo type="max"/>
        <color rgb="FFEA4335"/>
        <color rgb="FF666666"/>
        <color rgb="FF34A853"/>
      </colorScale>
    </cfRule>
  </conditionalFormatting>
  <conditionalFormatting sqref="K6:K1250">
    <cfRule type="colorScale" priority="12">
      <colorScale>
        <cfvo type="min"/>
        <cfvo type="formula" val="0.5"/>
        <cfvo type="max"/>
        <color rgb="FF34A853"/>
        <color rgb="FF666666"/>
        <color rgb="FFEA4335"/>
      </colorScale>
    </cfRule>
  </conditionalFormatting>
  <conditionalFormatting sqref="J6:J1250">
    <cfRule type="colorScale" priority="13">
      <colorScale>
        <cfvo type="min"/>
        <cfvo type="percentile" val="50"/>
        <cfvo type="max"/>
        <color rgb="FFEA4335"/>
        <color rgb="FF666666"/>
        <color rgb="FF34A853"/>
      </colorScale>
    </cfRule>
  </conditionalFormatting>
  <conditionalFormatting sqref="I6:I1250">
    <cfRule type="expression" dxfId="13" priority="14">
      <formula>AR6</formula>
    </cfRule>
  </conditionalFormatting>
  <conditionalFormatting sqref="L6:M1250">
    <cfRule type="colorScale" priority="15">
      <colorScale>
        <cfvo type="formula" val="0"/>
        <cfvo type="formula" val="0.5"/>
        <cfvo type="formula" val="1"/>
        <color rgb="FFEA4335"/>
        <color rgb="FF666666"/>
        <color rgb="FF34A853"/>
      </colorScale>
    </cfRule>
  </conditionalFormatting>
  <conditionalFormatting sqref="N6:N1250">
    <cfRule type="colorScale" priority="16">
      <colorScale>
        <cfvo type="min"/>
        <cfvo type="percentile" val="50"/>
        <cfvo type="max"/>
        <color rgb="FFEA4335"/>
        <color rgb="FF666666"/>
        <color rgb="FF34A853"/>
      </colorScale>
    </cfRule>
  </conditionalFormatting>
  <conditionalFormatting sqref="O6:O1250">
    <cfRule type="colorScale" priority="17">
      <colorScale>
        <cfvo type="min"/>
        <cfvo type="percentile" val="50"/>
        <cfvo type="max"/>
        <color rgb="FFEA4335"/>
        <color rgb="FF666666"/>
        <color rgb="FF34A853"/>
      </colorScale>
    </cfRule>
  </conditionalFormatting>
  <conditionalFormatting sqref="P6:P1250">
    <cfRule type="colorScale" priority="18">
      <colorScale>
        <cfvo type="min"/>
        <cfvo type="percentile" val="50"/>
        <cfvo type="max"/>
        <color rgb="FFEA4335"/>
        <color rgb="FF666666"/>
        <color rgb="FF34A853"/>
      </colorScale>
    </cfRule>
  </conditionalFormatting>
  <conditionalFormatting sqref="Q6:Q1250">
    <cfRule type="colorScale" priority="19">
      <colorScale>
        <cfvo type="min"/>
        <cfvo type="percentile" val="50"/>
        <cfvo type="max"/>
        <color rgb="FFEA4335"/>
        <color rgb="FF666666"/>
        <color rgb="FF34A853"/>
      </colorScale>
    </cfRule>
  </conditionalFormatting>
  <conditionalFormatting sqref="R6:R1250">
    <cfRule type="colorScale" priority="20">
      <colorScale>
        <cfvo type="min"/>
        <cfvo type="percentile" val="50"/>
        <cfvo type="max"/>
        <color rgb="FFEA4335"/>
        <color rgb="FF666666"/>
        <color rgb="FF34A853"/>
      </colorScale>
    </cfRule>
  </conditionalFormatting>
  <conditionalFormatting sqref="S6:S1250">
    <cfRule type="colorScale" priority="21">
      <colorScale>
        <cfvo type="min"/>
        <cfvo type="percentile" val="50"/>
        <cfvo type="max"/>
        <color rgb="FF34A853"/>
        <color rgb="FF666666"/>
        <color rgb="FFEA4335"/>
      </colorScale>
    </cfRule>
  </conditionalFormatting>
  <conditionalFormatting sqref="T6:T1250">
    <cfRule type="colorScale" priority="22">
      <colorScale>
        <cfvo type="min"/>
        <cfvo type="percentile" val="50"/>
        <cfvo type="max"/>
        <color rgb="FF34A853"/>
        <color rgb="FF666666"/>
        <color rgb="FFEA4335"/>
      </colorScale>
    </cfRule>
  </conditionalFormatting>
  <conditionalFormatting sqref="AF6:AF1250">
    <cfRule type="colorScale" priority="23">
      <colorScale>
        <cfvo type="min"/>
        <cfvo type="percentile" val="50"/>
        <cfvo type="max"/>
        <color rgb="FFEA4335"/>
        <color rgb="FF666666"/>
        <color rgb="FF34A853"/>
      </colorScale>
    </cfRule>
  </conditionalFormatting>
  <conditionalFormatting sqref="AG6:AG1250">
    <cfRule type="colorScale" priority="24">
      <colorScale>
        <cfvo type="min"/>
        <cfvo type="percentile" val="50"/>
        <cfvo type="max"/>
        <color rgb="FF34A853"/>
        <color rgb="FF666666"/>
        <color rgb="FFEA4335"/>
      </colorScale>
    </cfRule>
  </conditionalFormatting>
  <conditionalFormatting sqref="AH6:AH1250">
    <cfRule type="colorScale" priority="25">
      <colorScale>
        <cfvo type="min"/>
        <cfvo type="percentile" val="50"/>
        <cfvo type="max"/>
        <color rgb="FFEA4335"/>
        <color rgb="FF666666"/>
        <color rgb="FF34A853"/>
      </colorScale>
    </cfRule>
  </conditionalFormatting>
  <conditionalFormatting sqref="AI6:AI1250">
    <cfRule type="colorScale" priority="26">
      <colorScale>
        <cfvo type="min"/>
        <cfvo type="percentile" val="50"/>
        <cfvo type="max"/>
        <color rgb="FFEA4335"/>
        <color rgb="FF666666"/>
        <color rgb="FF34A853"/>
      </colorScale>
    </cfRule>
  </conditionalFormatting>
  <conditionalFormatting sqref="AJ6:AJ1250">
    <cfRule type="colorScale" priority="27">
      <colorScale>
        <cfvo type="min"/>
        <cfvo type="percentile" val="50"/>
        <cfvo type="max"/>
        <color rgb="FFEA4335"/>
        <color rgb="FF666666"/>
        <color rgb="FF34A853"/>
      </colorScale>
    </cfRule>
  </conditionalFormatting>
  <conditionalFormatting sqref="AK6:AK1250">
    <cfRule type="colorScale" priority="28">
      <colorScale>
        <cfvo type="min"/>
        <cfvo type="percentile" val="50"/>
        <cfvo type="max"/>
        <color rgb="FF34A853"/>
        <color rgb="FF666666"/>
        <color rgb="FFEA4335"/>
      </colorScale>
    </cfRule>
  </conditionalFormatting>
  <conditionalFormatting sqref="AL6:AL1250">
    <cfRule type="colorScale" priority="29">
      <colorScale>
        <cfvo type="min"/>
        <cfvo type="percentile" val="50"/>
        <cfvo type="max"/>
        <color rgb="FFEA4335"/>
        <color rgb="FF666666"/>
        <color rgb="FF34A853"/>
      </colorScale>
    </cfRule>
  </conditionalFormatting>
  <conditionalFormatting sqref="AM6:AM1250">
    <cfRule type="colorScale" priority="30">
      <colorScale>
        <cfvo type="min"/>
        <cfvo type="percentile" val="50"/>
        <cfvo type="max"/>
        <color rgb="FF34A853"/>
        <color rgb="FF666666"/>
        <color rgb="FFEA4335"/>
      </colorScale>
    </cfRule>
  </conditionalFormatting>
  <conditionalFormatting sqref="AN6:AN1250">
    <cfRule type="colorScale" priority="31">
      <colorScale>
        <cfvo type="min"/>
        <cfvo type="percentile" val="50"/>
        <cfvo type="max"/>
        <color rgb="FF34A853"/>
        <color rgb="FF666666"/>
        <color rgb="FFEA4335"/>
      </colorScale>
    </cfRule>
  </conditionalFormatting>
  <conditionalFormatting sqref="U6:U1250">
    <cfRule type="colorScale" priority="32">
      <colorScale>
        <cfvo type="min"/>
        <cfvo type="percentile" val="50"/>
        <cfvo type="max"/>
        <color rgb="FF34A853"/>
        <color rgb="FF666666"/>
        <color rgb="FFEA4335"/>
      </colorScale>
    </cfRule>
  </conditionalFormatting>
  <conditionalFormatting sqref="A1:AZ1250">
    <cfRule type="containsBlanks" dxfId="0" priority="33">
      <formula>LEN(TRIM(A1))=0</formula>
    </cfRule>
  </conditionalFormatting>
  <conditionalFormatting sqref="AO6:AO1250">
    <cfRule type="colorScale" priority="34">
      <colorScale>
        <cfvo type="min"/>
        <cfvo type="percentile" val="50"/>
        <cfvo type="max"/>
        <color rgb="FF34A853"/>
        <color rgb="FF666666"/>
        <color rgb="FFEA4335"/>
      </colorScale>
    </cfRule>
  </conditionalFormatting>
  <conditionalFormatting sqref="V6:V1250">
    <cfRule type="colorScale" priority="35">
      <colorScale>
        <cfvo type="min"/>
        <cfvo type="percentile" val="50"/>
        <cfvo type="max"/>
        <color rgb="FFEA4335"/>
        <color rgb="FF666666"/>
        <color rgb="FF34A853"/>
      </colorScale>
    </cfRule>
  </conditionalFormatting>
  <conditionalFormatting sqref="W6:W1250">
    <cfRule type="colorScale" priority="36">
      <colorScale>
        <cfvo type="min"/>
        <cfvo type="percentile" val="50"/>
        <cfvo type="max"/>
        <color rgb="FF34A853"/>
        <color rgb="FF666666"/>
        <color rgb="FFEA4335"/>
      </colorScale>
    </cfRule>
  </conditionalFormatting>
  <conditionalFormatting sqref="X6:X1250">
    <cfRule type="colorScale" priority="37">
      <colorScale>
        <cfvo type="min"/>
        <cfvo type="percentile" val="50"/>
        <cfvo type="max"/>
        <color rgb="FFEA4335"/>
        <color rgb="FF666666"/>
        <color rgb="FF34A853"/>
      </colorScale>
    </cfRule>
  </conditionalFormatting>
  <conditionalFormatting sqref="Y6:Y1250">
    <cfRule type="colorScale" priority="38">
      <colorScale>
        <cfvo type="min"/>
        <cfvo type="percentile" val="50"/>
        <cfvo type="max"/>
        <color rgb="FFEA4335"/>
        <color rgb="FF666666"/>
        <color rgb="FF34A853"/>
      </colorScale>
    </cfRule>
  </conditionalFormatting>
  <conditionalFormatting sqref="Z6:Z1250">
    <cfRule type="colorScale" priority="39">
      <colorScale>
        <cfvo type="min"/>
        <cfvo type="percentile" val="50"/>
        <cfvo type="max"/>
        <color rgb="FFEA4335"/>
        <color rgb="FF666666"/>
        <color rgb="FF34A853"/>
      </colorScale>
    </cfRule>
  </conditionalFormatting>
  <conditionalFormatting sqref="AA6:AA1250">
    <cfRule type="colorScale" priority="40">
      <colorScale>
        <cfvo type="min"/>
        <cfvo type="percentile" val="50"/>
        <cfvo type="max"/>
        <color rgb="FF34A853"/>
        <color rgb="FF666666"/>
        <color rgb="FFEA4335"/>
      </colorScale>
    </cfRule>
  </conditionalFormatting>
  <conditionalFormatting sqref="AB6:AB1250">
    <cfRule type="colorScale" priority="41">
      <colorScale>
        <cfvo type="min"/>
        <cfvo type="percentile" val="50"/>
        <cfvo type="max"/>
        <color rgb="FFEA4335"/>
        <color rgb="FF666666"/>
        <color rgb="FF34A853"/>
      </colorScale>
    </cfRule>
  </conditionalFormatting>
  <conditionalFormatting sqref="AC6:AC1250">
    <cfRule type="colorScale" priority="42">
      <colorScale>
        <cfvo type="min"/>
        <cfvo type="percentile" val="50"/>
        <cfvo type="max"/>
        <color rgb="FF34A853"/>
        <color rgb="FF666666"/>
        <color rgb="FFEA4335"/>
      </colorScale>
    </cfRule>
  </conditionalFormatting>
  <conditionalFormatting sqref="AD6:AD1250">
    <cfRule type="colorScale" priority="43">
      <colorScale>
        <cfvo type="min"/>
        <cfvo type="percentile" val="50"/>
        <cfvo type="max"/>
        <color rgb="FF34A853"/>
        <color rgb="FF666666"/>
        <color rgb="FFEA4335"/>
      </colorScale>
    </cfRule>
  </conditionalFormatting>
  <conditionalFormatting sqref="AE6:AE1250">
    <cfRule type="colorScale" priority="44">
      <colorScale>
        <cfvo type="min"/>
        <cfvo type="percentile" val="50"/>
        <cfvo type="max"/>
        <color rgb="FF34A853"/>
        <color rgb="FF666666"/>
        <color rgb="FFEA4335"/>
      </colorScale>
    </cfRule>
  </conditionalFormatting>
  <conditionalFormatting sqref="AP6:AP1250">
    <cfRule type="colorScale" priority="45">
      <colorScale>
        <cfvo type="min"/>
        <cfvo type="percentile" val="50"/>
        <cfvo type="max"/>
        <color rgb="FFEA4335"/>
        <color rgb="FF666666"/>
        <color rgb="FF34A853"/>
      </colorScale>
    </cfRule>
  </conditionalFormatting>
  <conditionalFormatting sqref="AQ6:AQ1250">
    <cfRule type="colorScale" priority="46">
      <colorScale>
        <cfvo type="min"/>
        <cfvo type="percentile" val="50"/>
        <cfvo type="max"/>
        <color rgb="FF34A853"/>
        <color rgb="FF666666"/>
        <color rgb="FFEA4335"/>
      </colorScale>
    </cfRule>
  </conditionalFormatting>
  <conditionalFormatting sqref="H6:H1250">
    <cfRule type="colorScale" priority="47">
      <colorScale>
        <cfvo type="min"/>
        <cfvo type="percentile" val="50"/>
        <cfvo type="max"/>
        <color rgb="FFEA4335"/>
        <color rgb="FF666666"/>
        <color rgb="FF34A853"/>
      </colorScale>
    </cfRule>
  </conditionalFormatting>
  <conditionalFormatting sqref="AR6:AR1250">
    <cfRule type="colorScale" priority="48">
      <colorScale>
        <cfvo type="min"/>
        <cfvo type="formula" val="1"/>
        <cfvo type="max"/>
        <color rgb="FF34A853"/>
        <color rgb="FF666666"/>
        <color rgb="FFEA4335"/>
      </colorScale>
    </cfRule>
  </conditionalFormatting>
  <conditionalFormatting sqref="AS6:AS1250">
    <cfRule type="colorScale" priority="49">
      <colorScale>
        <cfvo type="min"/>
        <cfvo type="formula" val="1"/>
        <cfvo type="max"/>
        <color rgb="FF34A853"/>
        <color rgb="FF666666"/>
        <color rgb="FFEA4335"/>
      </colorScale>
    </cfRule>
  </conditionalFormatting>
  <conditionalFormatting sqref="I6:I1250">
    <cfRule type="expression" dxfId="14" priority="50">
      <formula>AR6=FALSE</formula>
    </cfRule>
  </conditionalFormatting>
  <conditionalFormatting sqref="G1:G1250">
    <cfRule type="colorScale" priority="51">
      <colorScale>
        <cfvo type="min"/>
        <cfvo type="percentile" val="50"/>
        <cfvo type="max"/>
        <color rgb="FFEA4335"/>
        <color rgb="FF666666"/>
        <color rgb="FF34A853"/>
      </colorScale>
    </cfRule>
  </conditionalFormatting>
  <dataValidations>
    <dataValidation type="list" allowBlank="1" showErrorMessage="1" sqref="B2">
      <formula1>'IDR View'!$C$5:$AQ$5</formula1>
    </dataValidation>
    <dataValidation type="list" allowBlank="1" showErrorMessage="1" sqref="B1">
      <formula1>"All,Premier,Master,Elite,Veteran,Rival,Challenger,Contender,Prospect,Amateur"</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6" max="47" width="12.63"/>
    <col customWidth="1" min="48" max="48" width="12.75"/>
    <col hidden="1" min="53" max="53" width="12.63"/>
  </cols>
  <sheetData>
    <row r="1">
      <c r="A1" s="61" t="s">
        <v>127</v>
      </c>
      <c r="B1" s="62" t="s">
        <v>132</v>
      </c>
      <c r="C1" s="63" t="s">
        <v>133</v>
      </c>
      <c r="D1" s="62" t="s">
        <v>134</v>
      </c>
      <c r="E1" s="63" t="s">
        <v>12</v>
      </c>
      <c r="F1" s="64"/>
      <c r="G1" s="65"/>
      <c r="H1" s="66"/>
      <c r="I1" s="66"/>
      <c r="AV1" s="62" t="s">
        <v>4</v>
      </c>
      <c r="AW1" s="67" t="s">
        <v>135</v>
      </c>
      <c r="AX1" s="68" t="s">
        <v>136</v>
      </c>
      <c r="AY1" s="68" t="s">
        <v>137</v>
      </c>
      <c r="AZ1" s="69" t="s">
        <v>142</v>
      </c>
    </row>
    <row r="2">
      <c r="A2" s="30" t="str">
        <f>IFERROR(__xludf.DUMMYFUNCTION("SORT(filter('Raw Stats Imports'!A2:BA1000,'Raw Stats Imports'!A2:A1000&lt;&gt;"""", 'Raw Stats Imports'!E2:E1000&gt;Constants!F2),53,1,52,0)"),"Premier")</f>
        <v>Premier</v>
      </c>
      <c r="B2" s="30" t="str">
        <f>IFERROR(__xludf.DUMMYFUNCTION("""COMPUTED_VALUE"""),"RSC004810")</f>
        <v>RSC004810</v>
      </c>
      <c r="C2" s="30" t="str">
        <f>IFERROR(__xludf.DUMMYFUNCTION("""COMPUTED_VALUE"""),"feed.")</f>
        <v>feed.</v>
      </c>
      <c r="D2" s="30"/>
      <c r="E2" s="30">
        <f>IFERROR(__xludf.DUMMYFUNCTION("""COMPUTED_VALUE"""),2.0)</f>
        <v>2</v>
      </c>
      <c r="F2" s="70">
        <f>IFERROR(__xludf.DUMMYFUNCTION("""COMPUTED_VALUE"""),0.0)</f>
        <v>0</v>
      </c>
      <c r="G2" s="30">
        <f>IFERROR(__xludf.DUMMYFUNCTION("""COMPUTED_VALUE"""),2.0)</f>
        <v>2</v>
      </c>
      <c r="H2" s="42">
        <f>IFERROR(__xludf.DUMMYFUNCTION("""COMPUTED_VALUE"""),0.0)</f>
        <v>0</v>
      </c>
      <c r="I2" s="42">
        <f>IFERROR(__xludf.DUMMYFUNCTION("""COMPUTED_VALUE"""),0.0)</f>
        <v>0</v>
      </c>
      <c r="J2" s="30">
        <f>IFERROR(__xludf.DUMMYFUNCTION("""COMPUTED_VALUE"""),292.5)</f>
        <v>292.5</v>
      </c>
      <c r="K2" s="30">
        <f>IFERROR(__xludf.DUMMYFUNCTION("""COMPUTED_VALUE"""),0.0)</f>
        <v>0</v>
      </c>
      <c r="L2" s="30">
        <f>IFERROR(__xludf.DUMMYFUNCTION("""COMPUTED_VALUE"""),0.5)</f>
        <v>0.5</v>
      </c>
      <c r="M2" s="30">
        <f>IFERROR(__xludf.DUMMYFUNCTION("""COMPUTED_VALUE"""),2.5)</f>
        <v>2.5</v>
      </c>
      <c r="N2" s="30">
        <f>IFERROR(__xludf.DUMMYFUNCTION("""COMPUTED_VALUE"""),1.5)</f>
        <v>1.5</v>
      </c>
      <c r="O2" s="30">
        <f>IFERROR(__xludf.DUMMYFUNCTION("""COMPUTED_VALUE"""),564.6666666666666)</f>
        <v>564.6666667</v>
      </c>
      <c r="P2" s="30">
        <f>IFERROR(__xludf.DUMMYFUNCTION("""COMPUTED_VALUE"""),2.1666666666666665)</f>
        <v>2.166666667</v>
      </c>
      <c r="Q2" s="30">
        <f>IFERROR(__xludf.DUMMYFUNCTION("""COMPUTED_VALUE"""),1.5)</f>
        <v>1.5</v>
      </c>
      <c r="R2" s="30">
        <f>IFERROR(__xludf.DUMMYFUNCTION("""COMPUTED_VALUE"""),0.8333333333333333)</f>
        <v>0.8333333333</v>
      </c>
      <c r="S2" s="30">
        <f>IFERROR(__xludf.DUMMYFUNCTION("""COMPUTED_VALUE"""),4.5)</f>
        <v>4.5</v>
      </c>
      <c r="T2" s="30">
        <f>IFERROR(__xludf.DUMMYFUNCTION("""COMPUTED_VALUE"""),388.9082125603864)</f>
        <v>388.9082126</v>
      </c>
      <c r="U2" s="30">
        <f>IFERROR(__xludf.DUMMYFUNCTION("""COMPUTED_VALUE"""),0.9133885438233263)</f>
        <v>0.9133885438</v>
      </c>
      <c r="V2" s="30">
        <f>IFERROR(__xludf.DUMMYFUNCTION("""COMPUTED_VALUE"""),0.753968253968254)</f>
        <v>0.753968254</v>
      </c>
      <c r="W2" s="30">
        <f>IFERROR(__xludf.DUMMYFUNCTION("""COMPUTED_VALUE"""),1.2915804002760525)</f>
        <v>1.2915804</v>
      </c>
      <c r="X2" s="30">
        <f>IFERROR(__xludf.DUMMYFUNCTION("""COMPUTED_VALUE"""),2.9199447895100072)</f>
        <v>2.91994479</v>
      </c>
      <c r="Y2" s="30">
        <f>IFERROR(__xludf.DUMMYFUNCTION("""COMPUTED_VALUE"""),346.6098458707154)</f>
        <v>346.6098459</v>
      </c>
      <c r="Z2" s="30">
        <f>IFERROR(__xludf.DUMMYFUNCTION("""COMPUTED_VALUE"""),0.6982976765585462)</f>
        <v>0.6982976766</v>
      </c>
      <c r="AA2" s="30">
        <f>IFERROR(__xludf.DUMMYFUNCTION("""COMPUTED_VALUE"""),0.5144927536231885)</f>
        <v>0.5144927536</v>
      </c>
      <c r="AB2" s="30">
        <f>IFERROR(__xludf.DUMMYFUNCTION("""COMPUTED_VALUE"""),1.4876926616057051)</f>
        <v>1.487692662</v>
      </c>
      <c r="AC2" s="30">
        <f>IFERROR(__xludf.DUMMYFUNCTION("""COMPUTED_VALUE"""),2.3719806763285023)</f>
        <v>2.371980676</v>
      </c>
      <c r="AD2" s="30">
        <f>IFERROR(__xludf.DUMMYFUNCTION("""COMPUTED_VALUE"""),0.8438883184787017)</f>
        <v>0.8438883185</v>
      </c>
      <c r="AE2" s="30">
        <f>IFERROR(__xludf.DUMMYFUNCTION("""COMPUTED_VALUE"""),0.0)</f>
        <v>0</v>
      </c>
      <c r="AF2" s="30">
        <f>IFERROR(__xludf.DUMMYFUNCTION("""COMPUTED_VALUE"""),0.9718309859154929)</f>
        <v>0.9718309859</v>
      </c>
      <c r="AG2" s="30">
        <f>IFERROR(__xludf.DUMMYFUNCTION("""COMPUTED_VALUE"""),1.6804546157414566)</f>
        <v>1.680454616</v>
      </c>
      <c r="AH2" s="30">
        <f>IFERROR(__xludf.DUMMYFUNCTION("""COMPUTED_VALUE"""),0.6323828920570265)</f>
        <v>0.6323828921</v>
      </c>
      <c r="AI2" s="30">
        <f>IFERROR(__xludf.DUMMYFUNCTION("""COMPUTED_VALUE"""),1.451927854516546)</f>
        <v>1.451927855</v>
      </c>
      <c r="AJ2" s="30">
        <f>IFERROR(__xludf.DUMMYFUNCTION("""COMPUTED_VALUE"""),2.3721193804306764)</f>
        <v>2.37211938</v>
      </c>
      <c r="AK2" s="30">
        <f>IFERROR(__xludf.DUMMYFUNCTION("""COMPUTED_VALUE"""),1.9894736842105263)</f>
        <v>1.989473684</v>
      </c>
      <c r="AL2" s="30">
        <f>IFERROR(__xludf.DUMMYFUNCTION("""COMPUTED_VALUE"""),0.645204381512156)</f>
        <v>0.6452043815</v>
      </c>
      <c r="AM2" s="30">
        <f>IFERROR(__xludf.DUMMYFUNCTION("""COMPUTED_VALUE"""),1.5411250295438428)</f>
        <v>1.54112503</v>
      </c>
      <c r="AN2" s="30">
        <f>IFERROR(__xludf.DUMMYFUNCTION("""COMPUTED_VALUE"""),0.8015460526793141)</f>
        <v>0.8015460527</v>
      </c>
      <c r="AO2" s="30">
        <f>IFERROR(__xludf.DUMMYFUNCTION("""COMPUTED_VALUE"""),0.0)</f>
        <v>0</v>
      </c>
      <c r="AP2" s="30">
        <f>IFERROR(__xludf.DUMMYFUNCTION("""COMPUTED_VALUE"""),0.8399384875409904)</f>
        <v>0.8399384875</v>
      </c>
      <c r="AQ2" s="30">
        <f>IFERROR(__xludf.DUMMYFUNCTION("""COMPUTED_VALUE"""),1.7380128509433543)</f>
        <v>1.738012851</v>
      </c>
      <c r="AR2" s="30">
        <f>IFERROR(__xludf.DUMMYFUNCTION("""COMPUTED_VALUE"""),0.5655984646552447)</f>
        <v>0.5655984647</v>
      </c>
      <c r="AS2" s="30">
        <f>IFERROR(__xludf.DUMMYFUNCTION("""COMPUTED_VALUE"""),2.0)</f>
        <v>2</v>
      </c>
      <c r="AT2" s="30">
        <f>IFERROR(__xludf.DUMMYFUNCTION("""COMPUTED_VALUE"""),0.034311658509621715)</f>
        <v>0.03431165851</v>
      </c>
      <c r="AU2" s="30">
        <f>IFERROR(__xludf.DUMMYFUNCTION("""COMPUTED_VALUE"""),-0.4990917708497479)</f>
        <v>-0.4990917708</v>
      </c>
      <c r="AV2" s="32">
        <f>IFERROR(__xludf.DUMMYFUNCTION("""COMPUTED_VALUE"""),-37.55254565844449)</f>
        <v>-37.55254566</v>
      </c>
      <c r="AW2" s="32">
        <f>IFERROR(__xludf.DUMMYFUNCTION("""COMPUTED_VALUE"""),-4332.72591472551)</f>
        <v>-4332.725915</v>
      </c>
      <c r="AX2" s="32">
        <f>IFERROR(__xludf.DUMMYFUNCTION("""COMPUTED_VALUE"""),-0.6958780665853439)</f>
        <v>-0.6958780666</v>
      </c>
      <c r="AY2" s="32">
        <f>IFERROR(__xludf.DUMMYFUNCTION("""COMPUTED_VALUE"""),-46.97363172536436)</f>
        <v>-46.97363173</v>
      </c>
      <c r="AZ2" s="30">
        <f>IFERROR(__xludf.DUMMYFUNCTION("""COMPUTED_VALUE"""),4285.752283000145)</f>
        <v>4285.752283</v>
      </c>
      <c r="BA2" s="30">
        <f>IFERROR(__xludf.DUMMYFUNCTION("""COMPUTED_VALUE"""),2.0)</f>
        <v>2</v>
      </c>
    </row>
    <row r="3">
      <c r="A3" s="30" t="str">
        <f>IFERROR(__xludf.DUMMYFUNCTION("""COMPUTED_VALUE"""),"Premier")</f>
        <v>Premier</v>
      </c>
      <c r="B3" s="30" t="str">
        <f>IFERROR(__xludf.DUMMYFUNCTION("""COMPUTED_VALUE"""),"RSC007830")</f>
        <v>RSC007830</v>
      </c>
      <c r="C3" s="30" t="str">
        <f>IFERROR(__xludf.DUMMYFUNCTION("""COMPUTED_VALUE"""),"ghosty rl")</f>
        <v>ghosty rl</v>
      </c>
      <c r="D3" s="30"/>
      <c r="E3" s="30">
        <f>IFERROR(__xludf.DUMMYFUNCTION("""COMPUTED_VALUE"""),8.0)</f>
        <v>8</v>
      </c>
      <c r="F3" s="30">
        <f>IFERROR(__xludf.DUMMYFUNCTION("""COMPUTED_VALUE"""),2.0)</f>
        <v>2</v>
      </c>
      <c r="G3" s="30">
        <f>IFERROR(__xludf.DUMMYFUNCTION("""COMPUTED_VALUE"""),6.0)</f>
        <v>6</v>
      </c>
      <c r="H3" s="42">
        <f>IFERROR(__xludf.DUMMYFUNCTION("""COMPUTED_VALUE"""),0.25)</f>
        <v>0.25</v>
      </c>
      <c r="I3" s="42">
        <f>IFERROR(__xludf.DUMMYFUNCTION("""COMPUTED_VALUE"""),0.125)</f>
        <v>0.125</v>
      </c>
      <c r="J3" s="30">
        <f>IFERROR(__xludf.DUMMYFUNCTION("""COMPUTED_VALUE"""),336.625)</f>
        <v>336.625</v>
      </c>
      <c r="K3" s="30">
        <f>IFERROR(__xludf.DUMMYFUNCTION("""COMPUTED_VALUE"""),0.25)</f>
        <v>0.25</v>
      </c>
      <c r="L3" s="30">
        <f>IFERROR(__xludf.DUMMYFUNCTION("""COMPUTED_VALUE"""),0.25)</f>
        <v>0.25</v>
      </c>
      <c r="M3" s="30">
        <f>IFERROR(__xludf.DUMMYFUNCTION("""COMPUTED_VALUE"""),2.25)</f>
        <v>2.25</v>
      </c>
      <c r="N3" s="30">
        <f>IFERROR(__xludf.DUMMYFUNCTION("""COMPUTED_VALUE"""),2.0)</f>
        <v>2</v>
      </c>
      <c r="O3" s="30">
        <f>IFERROR(__xludf.DUMMYFUNCTION("""COMPUTED_VALUE"""),410.08333333333337)</f>
        <v>410.0833333</v>
      </c>
      <c r="P3" s="30">
        <f>IFERROR(__xludf.DUMMYFUNCTION("""COMPUTED_VALUE"""),1.1666666666666667)</f>
        <v>1.166666667</v>
      </c>
      <c r="Q3" s="30">
        <f>IFERROR(__xludf.DUMMYFUNCTION("""COMPUTED_VALUE"""),1.0833333333333333)</f>
        <v>1.083333333</v>
      </c>
      <c r="R3" s="30">
        <f>IFERROR(__xludf.DUMMYFUNCTION("""COMPUTED_VALUE"""),1.0833333333333333)</f>
        <v>1.083333333</v>
      </c>
      <c r="S3" s="30">
        <f>IFERROR(__xludf.DUMMYFUNCTION("""COMPUTED_VALUE"""),3.041666666666667)</f>
        <v>3.041666667</v>
      </c>
      <c r="T3" s="30">
        <f>IFERROR(__xludf.DUMMYFUNCTION("""COMPUTED_VALUE"""),375.05125000000004)</f>
        <v>375.05125</v>
      </c>
      <c r="U3" s="30">
        <f>IFERROR(__xludf.DUMMYFUNCTION("""COMPUTED_VALUE"""),0.8495833333333334)</f>
        <v>0.8495833333</v>
      </c>
      <c r="V3" s="30">
        <f>IFERROR(__xludf.DUMMYFUNCTION("""COMPUTED_VALUE"""),0.7629166666666667)</f>
        <v>0.7629166667</v>
      </c>
      <c r="W3" s="30">
        <f>IFERROR(__xludf.DUMMYFUNCTION("""COMPUTED_VALUE"""),1.4084722222222223)</f>
        <v>1.408472222</v>
      </c>
      <c r="X3" s="30">
        <f>IFERROR(__xludf.DUMMYFUNCTION("""COMPUTED_VALUE"""),2.78625)</f>
        <v>2.78625</v>
      </c>
      <c r="Y3" s="30">
        <f>IFERROR(__xludf.DUMMYFUNCTION("""COMPUTED_VALUE"""),371.8889351851853)</f>
        <v>371.8889352</v>
      </c>
      <c r="Z3" s="30">
        <f>IFERROR(__xludf.DUMMYFUNCTION("""COMPUTED_VALUE"""),0.8117129629629629)</f>
        <v>0.811712963</v>
      </c>
      <c r="AA3" s="30">
        <f>IFERROR(__xludf.DUMMYFUNCTION("""COMPUTED_VALUE"""),0.5972222222222221)</f>
        <v>0.5972222222</v>
      </c>
      <c r="AB3" s="30">
        <f>IFERROR(__xludf.DUMMYFUNCTION("""COMPUTED_VALUE"""),1.4992129629629631)</f>
        <v>1.499212963</v>
      </c>
      <c r="AC3" s="30">
        <f>IFERROR(__xludf.DUMMYFUNCTION("""COMPUTED_VALUE"""),2.6489814814814814)</f>
        <v>2.648981481</v>
      </c>
      <c r="AD3" s="30">
        <f>IFERROR(__xludf.DUMMYFUNCTION("""COMPUTED_VALUE"""),0.9051761645782085)</f>
        <v>0.9051761646</v>
      </c>
      <c r="AE3" s="30">
        <f>IFERROR(__xludf.DUMMYFUNCTION("""COMPUTED_VALUE"""),0.307990646210004)</f>
        <v>0.3079906462</v>
      </c>
      <c r="AF3" s="30">
        <f>IFERROR(__xludf.DUMMYFUNCTION("""COMPUTED_VALUE"""),0.4186046511627908)</f>
        <v>0.4186046512</v>
      </c>
      <c r="AG3" s="30">
        <f>IFERROR(__xludf.DUMMYFUNCTION("""COMPUTED_VALUE"""),1.5007874502053544)</f>
        <v>1.50078745</v>
      </c>
      <c r="AH3" s="30">
        <f>IFERROR(__xludf.DUMMYFUNCTION("""COMPUTED_VALUE"""),0.7550071655772659)</f>
        <v>0.7550071656</v>
      </c>
      <c r="AI3" s="30">
        <f>IFERROR(__xludf.DUMMYFUNCTION("""COMPUTED_VALUE"""),1.0934061233853596)</f>
        <v>1.093406123</v>
      </c>
      <c r="AJ3" s="30">
        <f>IFERROR(__xludf.DUMMYFUNCTION("""COMPUTED_VALUE"""),1.373222167729279)</f>
        <v>1.373222168</v>
      </c>
      <c r="AK3" s="30">
        <f>IFERROR(__xludf.DUMMYFUNCTION("""COMPUTED_VALUE"""),1.4199890770070998)</f>
        <v>1.419989077</v>
      </c>
      <c r="AL3" s="30">
        <f>IFERROR(__xludf.DUMMYFUNCTION("""COMPUTED_VALUE"""),0.769154915688788)</f>
        <v>0.7691549157</v>
      </c>
      <c r="AM3" s="30">
        <f>IFERROR(__xludf.DUMMYFUNCTION("""COMPUTED_VALUE"""),1.0916704052639452)</f>
        <v>1.091670405</v>
      </c>
      <c r="AN3" s="30">
        <f>IFERROR(__xludf.DUMMYFUNCTION("""COMPUTED_VALUE"""),0.9224630426775183)</f>
        <v>0.9224630427</v>
      </c>
      <c r="AO3" s="30">
        <f>IFERROR(__xludf.DUMMYFUNCTION("""COMPUTED_VALUE"""),0.31573659768503304)</f>
        <v>0.3157365977</v>
      </c>
      <c r="AP3" s="30">
        <f>IFERROR(__xludf.DUMMYFUNCTION("""COMPUTED_VALUE"""),0.4199692437704952)</f>
        <v>0.4199692438</v>
      </c>
      <c r="AQ3" s="30">
        <f>IFERROR(__xludf.DUMMYFUNCTION("""COMPUTED_VALUE"""),1.564211565849019)</f>
        <v>1.564211566</v>
      </c>
      <c r="AR3" s="30">
        <f>IFERROR(__xludf.DUMMYFUNCTION("""COMPUTED_VALUE"""),0.7541312862069929)</f>
        <v>0.7541312862</v>
      </c>
      <c r="AS3" s="30">
        <f>IFERROR(__xludf.DUMMYFUNCTION("""COMPUTED_VALUE"""),16.0)</f>
        <v>16</v>
      </c>
      <c r="AT3" s="30">
        <f>IFERROR(__xludf.DUMMYFUNCTION("""COMPUTED_VALUE"""),0.28642789176939765)</f>
        <v>0.2864278918</v>
      </c>
      <c r="AU3" s="30">
        <f>IFERROR(__xludf.DUMMYFUNCTION("""COMPUTED_VALUE"""),0.5502864159076286)</f>
        <v>0.5502864159</v>
      </c>
      <c r="AV3" s="32">
        <f>IFERROR(__xludf.DUMMYFUNCTION("""COMPUTED_VALUE"""),-5.840420851328474)</f>
        <v>-5.840420851</v>
      </c>
      <c r="AW3" s="32">
        <f>IFERROR(__xludf.DUMMYFUNCTION("""COMPUTED_VALUE"""),-78.40586660356585)</f>
        <v>-78.4058666</v>
      </c>
      <c r="AX3" s="32">
        <f>IFERROR(__xludf.DUMMYFUNCTION("""COMPUTED_VALUE"""),17.905602943555273)</f>
        <v>17.90560294</v>
      </c>
      <c r="AY3" s="32">
        <f>IFERROR(__xludf.DUMMYFUNCTION("""COMPUTED_VALUE"""),-10.039133314561706)</f>
        <v>-10.03913331</v>
      </c>
      <c r="AZ3" s="30">
        <f>IFERROR(__xludf.DUMMYFUNCTION("""COMPUTED_VALUE"""),68.36673328900415)</f>
        <v>68.36673329</v>
      </c>
      <c r="BA3" s="30">
        <f>IFERROR(__xludf.DUMMYFUNCTION("""COMPUTED_VALUE"""),2.0)</f>
        <v>2</v>
      </c>
    </row>
    <row r="4">
      <c r="A4" s="30" t="str">
        <f>IFERROR(__xludf.DUMMYFUNCTION("""COMPUTED_VALUE"""),"Premier")</f>
        <v>Premier</v>
      </c>
      <c r="B4" s="71" t="str">
        <f>IFERROR(__xludf.DUMMYFUNCTION("""COMPUTED_VALUE"""),"RSC004216")</f>
        <v>RSC004216</v>
      </c>
      <c r="C4" s="30" t="str">
        <f>IFERROR(__xludf.DUMMYFUNCTION("""COMPUTED_VALUE"""),"GrEh")</f>
        <v>GrEh</v>
      </c>
      <c r="D4" s="30" t="str">
        <f>IFERROR(__xludf.DUMMYFUNCTION("""COMPUTED_VALUE"""),"Long Beards")</f>
        <v>Long Beards</v>
      </c>
      <c r="E4" s="30">
        <f>IFERROR(__xludf.DUMMYFUNCTION("""COMPUTED_VALUE"""),48.0)</f>
        <v>48</v>
      </c>
      <c r="F4" s="30">
        <f>IFERROR(__xludf.DUMMYFUNCTION("""COMPUTED_VALUE"""),32.0)</f>
        <v>32</v>
      </c>
      <c r="G4" s="30">
        <f>IFERROR(__xludf.DUMMYFUNCTION("""COMPUTED_VALUE"""),16.0)</f>
        <v>16</v>
      </c>
      <c r="H4" s="42">
        <f>IFERROR(__xludf.DUMMYFUNCTION("""COMPUTED_VALUE"""),0.6666666666666666)</f>
        <v>0.6666666667</v>
      </c>
      <c r="I4" s="42">
        <f>IFERROR(__xludf.DUMMYFUNCTION("""COMPUTED_VALUE"""),0.3202247191011236)</f>
        <v>0.3202247191</v>
      </c>
      <c r="J4" s="30">
        <f>IFERROR(__xludf.DUMMYFUNCTION("""COMPUTED_VALUE"""),401.875)</f>
        <v>401.875</v>
      </c>
      <c r="K4" s="30">
        <f>IFERROR(__xludf.DUMMYFUNCTION("""COMPUTED_VALUE"""),1.1875)</f>
        <v>1.1875</v>
      </c>
      <c r="L4" s="30">
        <f>IFERROR(__xludf.DUMMYFUNCTION("""COMPUTED_VALUE"""),0.9583333333333334)</f>
        <v>0.9583333333</v>
      </c>
      <c r="M4" s="30">
        <f>IFERROR(__xludf.DUMMYFUNCTION("""COMPUTED_VALUE"""),1.0)</f>
        <v>1</v>
      </c>
      <c r="N4" s="30">
        <f>IFERROR(__xludf.DUMMYFUNCTION("""COMPUTED_VALUE"""),3.7083333333333335)</f>
        <v>3.708333333</v>
      </c>
      <c r="O4" s="30">
        <f>IFERROR(__xludf.DUMMYFUNCTION("""COMPUTED_VALUE"""),379.3680555555556)</f>
        <v>379.3680556</v>
      </c>
      <c r="P4" s="30">
        <f>IFERROR(__xludf.DUMMYFUNCTION("""COMPUTED_VALUE"""),0.7013888888888888)</f>
        <v>0.7013888889</v>
      </c>
      <c r="Q4" s="30">
        <f>IFERROR(__xludf.DUMMYFUNCTION("""COMPUTED_VALUE"""),0.5069444444444443)</f>
        <v>0.5069444444</v>
      </c>
      <c r="R4" s="30">
        <f>IFERROR(__xludf.DUMMYFUNCTION("""COMPUTED_VALUE"""),1.840277777777778)</f>
        <v>1.840277778</v>
      </c>
      <c r="S4" s="30">
        <f>IFERROR(__xludf.DUMMYFUNCTION("""COMPUTED_VALUE"""),2.409722222222222)</f>
        <v>2.409722222</v>
      </c>
      <c r="T4" s="30">
        <f>IFERROR(__xludf.DUMMYFUNCTION("""COMPUTED_VALUE"""),373.7147375971709)</f>
        <v>373.7147376</v>
      </c>
      <c r="U4" s="30">
        <f>IFERROR(__xludf.DUMMYFUNCTION("""COMPUTED_VALUE"""),0.7973737417140633)</f>
        <v>0.7973737417</v>
      </c>
      <c r="V4" s="30">
        <f>IFERROR(__xludf.DUMMYFUNCTION("""COMPUTED_VALUE"""),0.6130584522273491)</f>
        <v>0.6130584522</v>
      </c>
      <c r="W4" s="30">
        <f>IFERROR(__xludf.DUMMYFUNCTION("""COMPUTED_VALUE"""),1.4915034341302043)</f>
        <v>1.491503434</v>
      </c>
      <c r="X4" s="30">
        <f>IFERROR(__xludf.DUMMYFUNCTION("""COMPUTED_VALUE"""),2.707798897366652)</f>
        <v>2.707798897</v>
      </c>
      <c r="Y4" s="30">
        <f>IFERROR(__xludf.DUMMYFUNCTION("""COMPUTED_VALUE"""),374.08847958946416)</f>
        <v>374.0884796</v>
      </c>
      <c r="Z4" s="30">
        <f>IFERROR(__xludf.DUMMYFUNCTION("""COMPUTED_VALUE"""),0.8400102516195219)</f>
        <v>0.8400102516</v>
      </c>
      <c r="AA4" s="30">
        <f>IFERROR(__xludf.DUMMYFUNCTION("""COMPUTED_VALUE"""),0.6611822953421695)</f>
        <v>0.6611822953</v>
      </c>
      <c r="AB4" s="30">
        <f>IFERROR(__xludf.DUMMYFUNCTION("""COMPUTED_VALUE"""),1.4178318283536624)</f>
        <v>1.417831828</v>
      </c>
      <c r="AC4" s="30">
        <f>IFERROR(__xludf.DUMMYFUNCTION("""COMPUTED_VALUE"""),2.7492465946009332)</f>
        <v>2.749246595</v>
      </c>
      <c r="AD4" s="30">
        <f>IFERROR(__xludf.DUMMYFUNCTION("""COMPUTED_VALUE"""),1.0742779367090631)</f>
        <v>1.074277937</v>
      </c>
      <c r="AE4" s="30">
        <f>IFERROR(__xludf.DUMMYFUNCTION("""COMPUTED_VALUE"""),1.4136732232856983)</f>
        <v>1.413673223</v>
      </c>
      <c r="AF4" s="30">
        <f>IFERROR(__xludf.DUMMYFUNCTION("""COMPUTED_VALUE"""),1.4494237672189705)</f>
        <v>1.449423767</v>
      </c>
      <c r="AG4" s="30">
        <f>IFERROR(__xludf.DUMMYFUNCTION("""COMPUTED_VALUE"""),0.7053022650515369)</f>
        <v>0.7053022651</v>
      </c>
      <c r="AH4" s="30">
        <f>IFERROR(__xludf.DUMMYFUNCTION("""COMPUTED_VALUE"""),1.3488543881861628)</f>
        <v>1.348854388</v>
      </c>
      <c r="AI4" s="30">
        <f>IFERROR(__xludf.DUMMYFUNCTION("""COMPUTED_VALUE"""),1.0151273615665606)</f>
        <v>1.015127362</v>
      </c>
      <c r="AJ4" s="30">
        <f>IFERROR(__xludf.DUMMYFUNCTION("""COMPUTED_VALUE"""),0.879623760096687)</f>
        <v>0.8796237601</v>
      </c>
      <c r="AK4" s="30">
        <f>IFERROR(__xludf.DUMMYFUNCTION("""COMPUTED_VALUE"""),0.8269104562584955)</f>
        <v>0.8269104563</v>
      </c>
      <c r="AL4" s="30">
        <f>IFERROR(__xludf.DUMMYFUNCTION("""COMPUTED_VALUE"""),1.2338407915573908)</f>
        <v>1.233840792</v>
      </c>
      <c r="AM4" s="30">
        <f>IFERROR(__xludf.DUMMYFUNCTION("""COMPUTED_VALUE"""),0.8899191976795946)</f>
        <v>0.8899191977</v>
      </c>
      <c r="AN4" s="30">
        <f>IFERROR(__xludf.DUMMYFUNCTION("""COMPUTED_VALUE"""),1.1012694698136731)</f>
        <v>1.10126947</v>
      </c>
      <c r="AO4" s="30">
        <f>IFERROR(__xludf.DUMMYFUNCTION("""COMPUTED_VALUE"""),1.4997488390039069)</f>
        <v>1.499748839</v>
      </c>
      <c r="AP4" s="30">
        <f>IFERROR(__xludf.DUMMYFUNCTION("""COMPUTED_VALUE"""),1.6098821011202316)</f>
        <v>1.609882101</v>
      </c>
      <c r="AQ4" s="30">
        <f>IFERROR(__xludf.DUMMYFUNCTION("""COMPUTED_VALUE"""),0.6952051403773417)</f>
        <v>0.6952051404</v>
      </c>
      <c r="AR4" s="30">
        <f>IFERROR(__xludf.DUMMYFUNCTION("""COMPUTED_VALUE"""),1.398285093175466)</f>
        <v>1.398285093</v>
      </c>
      <c r="AS4" s="30">
        <f>IFERROR(__xludf.DUMMYFUNCTION("""COMPUTED_VALUE"""),153.0)</f>
        <v>153</v>
      </c>
      <c r="AT4" s="30">
        <f>IFERROR(__xludf.DUMMYFUNCTION("""COMPUTED_VALUE"""),0.6614949965987108)</f>
        <v>0.6614949966</v>
      </c>
      <c r="AU4" s="30">
        <f>IFERROR(__xludf.DUMMYFUNCTION("""COMPUTED_VALUE"""),4.1132784828295295)</f>
        <v>4.113278483</v>
      </c>
      <c r="AV4" s="32">
        <f>IFERROR(__xludf.DUMMYFUNCTION("""COMPUTED_VALUE"""),101.83291421401691)</f>
        <v>101.8329142</v>
      </c>
      <c r="AW4" s="32">
        <f>IFERROR(__xludf.DUMMYFUNCTION("""COMPUTED_VALUE"""),52.434497347177846)</f>
        <v>52.43449735</v>
      </c>
      <c r="AX4" s="32">
        <f>IFERROR(__xludf.DUMMYFUNCTION("""COMPUTED_VALUE"""),73.3792630621812)</f>
        <v>73.37926306</v>
      </c>
      <c r="AY4" s="32">
        <f>IFERROR(__xludf.DUMMYFUNCTION("""COMPUTED_VALUE"""),5.719180888398824)</f>
        <v>5.719180888</v>
      </c>
      <c r="AZ4" s="30">
        <f>IFERROR(__xludf.DUMMYFUNCTION("""COMPUTED_VALUE"""),46.71531645877902)</f>
        <v>46.71531646</v>
      </c>
      <c r="BA4" s="30">
        <f>IFERROR(__xludf.DUMMYFUNCTION("""COMPUTED_VALUE"""),2.0)</f>
        <v>2</v>
      </c>
    </row>
    <row r="5">
      <c r="A5" s="30" t="str">
        <f>IFERROR(__xludf.DUMMYFUNCTION("""COMPUTED_VALUE"""),"Premier")</f>
        <v>Premier</v>
      </c>
      <c r="B5" s="30" t="str">
        <f>IFERROR(__xludf.DUMMYFUNCTION("""COMPUTED_VALUE"""),"RSC000330")</f>
        <v>RSC000330</v>
      </c>
      <c r="C5" s="30" t="str">
        <f>IFERROR(__xludf.DUMMYFUNCTION("""COMPUTED_VALUE"""),"Infinite")</f>
        <v>Infinite</v>
      </c>
      <c r="D5" s="30" t="str">
        <f>IFERROR(__xludf.DUMMYFUNCTION("""COMPUTED_VALUE"""),"Oblivion")</f>
        <v>Oblivion</v>
      </c>
      <c r="E5" s="30">
        <f>IFERROR(__xludf.DUMMYFUNCTION("""COMPUTED_VALUE"""),4.0)</f>
        <v>4</v>
      </c>
      <c r="F5" s="30">
        <f>IFERROR(__xludf.DUMMYFUNCTION("""COMPUTED_VALUE"""),0.0)</f>
        <v>0</v>
      </c>
      <c r="G5" s="30">
        <f>IFERROR(__xludf.DUMMYFUNCTION("""COMPUTED_VALUE"""),4.0)</f>
        <v>4</v>
      </c>
      <c r="H5" s="42">
        <f>IFERROR(__xludf.DUMMYFUNCTION("""COMPUTED_VALUE"""),0.0)</f>
        <v>0</v>
      </c>
      <c r="I5" s="42">
        <f>IFERROR(__xludf.DUMMYFUNCTION("""COMPUTED_VALUE"""),0.6666666666666666)</f>
        <v>0.6666666667</v>
      </c>
      <c r="J5" s="30">
        <f>IFERROR(__xludf.DUMMYFUNCTION("""COMPUTED_VALUE"""),349.0)</f>
        <v>349</v>
      </c>
      <c r="K5" s="30">
        <f>IFERROR(__xludf.DUMMYFUNCTION("""COMPUTED_VALUE"""),1.0)</f>
        <v>1</v>
      </c>
      <c r="L5" s="30">
        <f>IFERROR(__xludf.DUMMYFUNCTION("""COMPUTED_VALUE"""),0.0)</f>
        <v>0</v>
      </c>
      <c r="M5" s="30">
        <f>IFERROR(__xludf.DUMMYFUNCTION("""COMPUTED_VALUE"""),1.75)</f>
        <v>1.75</v>
      </c>
      <c r="N5" s="30">
        <f>IFERROR(__xludf.DUMMYFUNCTION("""COMPUTED_VALUE"""),1.5)</f>
        <v>1.5</v>
      </c>
      <c r="O5" s="30">
        <f>IFERROR(__xludf.DUMMYFUNCTION("""COMPUTED_VALUE"""),453.75000000000006)</f>
        <v>453.75</v>
      </c>
      <c r="P5" s="30">
        <f>IFERROR(__xludf.DUMMYFUNCTION("""COMPUTED_VALUE"""),1.0833333333333333)</f>
        <v>1.083333333</v>
      </c>
      <c r="Q5" s="30">
        <f>IFERROR(__xludf.DUMMYFUNCTION("""COMPUTED_VALUE"""),1.0)</f>
        <v>1</v>
      </c>
      <c r="R5" s="30">
        <f>IFERROR(__xludf.DUMMYFUNCTION("""COMPUTED_VALUE"""),1.3333333333333333)</f>
        <v>1.333333333</v>
      </c>
      <c r="S5" s="30">
        <f>IFERROR(__xludf.DUMMYFUNCTION("""COMPUTED_VALUE"""),3.5000000000000004)</f>
        <v>3.5</v>
      </c>
      <c r="T5" s="30">
        <f>IFERROR(__xludf.DUMMYFUNCTION("""COMPUTED_VALUE"""),393.5612772240679)</f>
        <v>393.5612772</v>
      </c>
      <c r="U5" s="30">
        <f>IFERROR(__xludf.DUMMYFUNCTION("""COMPUTED_VALUE"""),0.8506829088224438)</f>
        <v>0.8506829088</v>
      </c>
      <c r="V5" s="30">
        <f>IFERROR(__xludf.DUMMYFUNCTION("""COMPUTED_VALUE"""),0.615171650055371)</f>
        <v>0.6151716501</v>
      </c>
      <c r="W5" s="30">
        <f>IFERROR(__xludf.DUMMYFUNCTION("""COMPUTED_VALUE"""),1.569029162052418)</f>
        <v>1.569029162</v>
      </c>
      <c r="X5" s="30">
        <f>IFERROR(__xludf.DUMMYFUNCTION("""COMPUTED_VALUE"""),3.0754891103728315)</f>
        <v>3.07548911</v>
      </c>
      <c r="Y5" s="30">
        <f>IFERROR(__xludf.DUMMYFUNCTION("""COMPUTED_VALUE"""),379.6340593084779)</f>
        <v>379.6340593</v>
      </c>
      <c r="Z5" s="30">
        <f>IFERROR(__xludf.DUMMYFUNCTION("""COMPUTED_VALUE"""),0.7444321397809768)</f>
        <v>0.7444321398</v>
      </c>
      <c r="AA5" s="30">
        <f>IFERROR(__xludf.DUMMYFUNCTION("""COMPUTED_VALUE"""),0.5830564784053157)</f>
        <v>0.5830564784</v>
      </c>
      <c r="AB5" s="30">
        <f>IFERROR(__xludf.DUMMYFUNCTION("""COMPUTED_VALUE"""),1.6587301587301588)</f>
        <v>1.658730159</v>
      </c>
      <c r="AC5" s="30">
        <f>IFERROR(__xludf.DUMMYFUNCTION("""COMPUTED_VALUE"""),2.755321766949674)</f>
        <v>2.755321767</v>
      </c>
      <c r="AD5" s="30">
        <f>IFERROR(__xludf.DUMMYFUNCTION("""COMPUTED_VALUE"""),0.9193063463160304)</f>
        <v>0.9193063463</v>
      </c>
      <c r="AE5" s="30">
        <f>IFERROR(__xludf.DUMMYFUNCTION("""COMPUTED_VALUE"""),1.3433057851239674)</f>
        <v>1.343305785</v>
      </c>
      <c r="AF5" s="30">
        <f>IFERROR(__xludf.DUMMYFUNCTION("""COMPUTED_VALUE"""),0.0)</f>
        <v>0</v>
      </c>
      <c r="AG5" s="30">
        <f>IFERROR(__xludf.DUMMYFUNCTION("""COMPUTED_VALUE"""),1.055023923444976)</f>
        <v>1.055023923</v>
      </c>
      <c r="AH5" s="30">
        <f>IFERROR(__xludf.DUMMYFUNCTION("""COMPUTED_VALUE"""),0.5444010271296194)</f>
        <v>0.5444010271</v>
      </c>
      <c r="AI5" s="30">
        <f>IFERROR(__xludf.DUMMYFUNCTION("""COMPUTED_VALUE"""),1.1529335487486607)</f>
        <v>1.152933549</v>
      </c>
      <c r="AJ5" s="30">
        <f>IFERROR(__xludf.DUMMYFUNCTION("""COMPUTED_VALUE"""),1.273486656541549)</f>
        <v>1.273486657</v>
      </c>
      <c r="AK5" s="30">
        <f>IFERROR(__xludf.DUMMYFUNCTION("""COMPUTED_VALUE"""),1.6255625562556255)</f>
        <v>1.625562556</v>
      </c>
      <c r="AL5" s="30">
        <f>IFERROR(__xludf.DUMMYFUNCTION("""COMPUTED_VALUE"""),0.8497823785437006)</f>
        <v>0.8497823785</v>
      </c>
      <c r="AM5" s="30">
        <f>IFERROR(__xludf.DUMMYFUNCTION("""COMPUTED_VALUE"""),1.13803036668067)</f>
        <v>1.138030367</v>
      </c>
      <c r="AN5" s="30">
        <f>IFERROR(__xludf.DUMMYFUNCTION("""COMPUTED_VALUE"""),0.9563746064447202)</f>
        <v>0.9563746064</v>
      </c>
      <c r="AO5" s="30">
        <f>IFERROR(__xludf.DUMMYFUNCTION("""COMPUTED_VALUE"""),1.2629463907401322)</f>
        <v>1.262946391</v>
      </c>
      <c r="AP5" s="30">
        <f>IFERROR(__xludf.DUMMYFUNCTION("""COMPUTED_VALUE"""),0.0)</f>
        <v>0</v>
      </c>
      <c r="AQ5" s="30">
        <f>IFERROR(__xludf.DUMMYFUNCTION("""COMPUTED_VALUE"""),1.216608995660348)</f>
        <v>1.216608996</v>
      </c>
      <c r="AR5" s="30">
        <f>IFERROR(__xludf.DUMMYFUNCTION("""COMPUTED_VALUE"""),0.5655984646552447)</f>
        <v>0.5655984647</v>
      </c>
      <c r="AS5" s="30">
        <f>IFERROR(__xludf.DUMMYFUNCTION("""COMPUTED_VALUE"""),8.0)</f>
        <v>8</v>
      </c>
      <c r="AT5" s="30">
        <f>IFERROR(__xludf.DUMMYFUNCTION("""COMPUTED_VALUE"""),0.31401492300692596)</f>
        <v>0.314014923</v>
      </c>
      <c r="AU5" s="30">
        <f>IFERROR(__xludf.DUMMYFUNCTION("""COMPUTED_VALUE"""),0.9294388025682316)</f>
        <v>0.9294388026</v>
      </c>
      <c r="AV5" s="32">
        <f>IFERROR(__xludf.DUMMYFUNCTION("""COMPUTED_VALUE"""),5.617533924585807)</f>
        <v>5.617533925</v>
      </c>
      <c r="AW5" s="32">
        <f>IFERROR(__xludf.DUMMYFUNCTION("""COMPUTED_VALUE"""),-26.368321637965646)</f>
        <v>-26.36832164</v>
      </c>
      <c r="AX5" s="32">
        <f>IFERROR(__xludf.DUMMYFUNCTION("""COMPUTED_VALUE"""),0.38584664658405643)</f>
        <v>0.3858466466</v>
      </c>
      <c r="AY5" s="32">
        <f>IFERROR(__xludf.DUMMYFUNCTION("""COMPUTED_VALUE"""),-42.37937894288276)</f>
        <v>-42.37937894</v>
      </c>
      <c r="AZ5" s="30">
        <f>IFERROR(__xludf.DUMMYFUNCTION("""COMPUTED_VALUE"""),16.011057304917113)</f>
        <v>16.0110573</v>
      </c>
      <c r="BA5" s="30">
        <f>IFERROR(__xludf.DUMMYFUNCTION("""COMPUTED_VALUE"""),2.0)</f>
        <v>2</v>
      </c>
    </row>
    <row r="6">
      <c r="A6" s="30" t="str">
        <f>IFERROR(__xludf.DUMMYFUNCTION("""COMPUTED_VALUE"""),"Premier")</f>
        <v>Premier</v>
      </c>
      <c r="B6" s="71" t="str">
        <f>IFERROR(__xludf.DUMMYFUNCTION("""COMPUTED_VALUE"""),"RSC004459")</f>
        <v>RSC004459</v>
      </c>
      <c r="C6" s="30" t="str">
        <f>IFERROR(__xludf.DUMMYFUNCTION("""COMPUTED_VALUE"""),"phoenix")</f>
        <v>phoenix</v>
      </c>
      <c r="D6" s="30" t="str">
        <f>IFERROR(__xludf.DUMMYFUNCTION("""COMPUTED_VALUE"""),"Long Beards")</f>
        <v>Long Beards</v>
      </c>
      <c r="E6" s="30">
        <f>IFERROR(__xludf.DUMMYFUNCTION("""COMPUTED_VALUE"""),48.0)</f>
        <v>48</v>
      </c>
      <c r="F6" s="30">
        <f>IFERROR(__xludf.DUMMYFUNCTION("""COMPUTED_VALUE"""),32.0)</f>
        <v>32</v>
      </c>
      <c r="G6" s="30">
        <f>IFERROR(__xludf.DUMMYFUNCTION("""COMPUTED_VALUE"""),16.0)</f>
        <v>16</v>
      </c>
      <c r="H6" s="42">
        <f>IFERROR(__xludf.DUMMYFUNCTION("""COMPUTED_VALUE"""),0.6666666666666666)</f>
        <v>0.6666666667</v>
      </c>
      <c r="I6" s="42">
        <f>IFERROR(__xludf.DUMMYFUNCTION("""COMPUTED_VALUE"""),0.31901840490797545)</f>
        <v>0.3190184049</v>
      </c>
      <c r="J6" s="30">
        <f>IFERROR(__xludf.DUMMYFUNCTION("""COMPUTED_VALUE"""),420.0416666666667)</f>
        <v>420.0416667</v>
      </c>
      <c r="K6" s="30">
        <f>IFERROR(__xludf.DUMMYFUNCTION("""COMPUTED_VALUE"""),1.0833333333333333)</f>
        <v>1.083333333</v>
      </c>
      <c r="L6" s="30">
        <f>IFERROR(__xludf.DUMMYFUNCTION("""COMPUTED_VALUE"""),0.8333333333333334)</f>
        <v>0.8333333333</v>
      </c>
      <c r="M6" s="30">
        <f>IFERROR(__xludf.DUMMYFUNCTION("""COMPUTED_VALUE"""),1.6875)</f>
        <v>1.6875</v>
      </c>
      <c r="N6" s="30">
        <f>IFERROR(__xludf.DUMMYFUNCTION("""COMPUTED_VALUE"""),3.3958333333333335)</f>
        <v>3.395833333</v>
      </c>
      <c r="O6" s="30">
        <f>IFERROR(__xludf.DUMMYFUNCTION("""COMPUTED_VALUE"""),379.3680555555556)</f>
        <v>379.3680556</v>
      </c>
      <c r="P6" s="30">
        <f>IFERROR(__xludf.DUMMYFUNCTION("""COMPUTED_VALUE"""),0.7013888888888888)</f>
        <v>0.7013888889</v>
      </c>
      <c r="Q6" s="30">
        <f>IFERROR(__xludf.DUMMYFUNCTION("""COMPUTED_VALUE"""),0.5069444444444443)</f>
        <v>0.5069444444</v>
      </c>
      <c r="R6" s="30">
        <f>IFERROR(__xludf.DUMMYFUNCTION("""COMPUTED_VALUE"""),1.840277777777778)</f>
        <v>1.840277778</v>
      </c>
      <c r="S6" s="30">
        <f>IFERROR(__xludf.DUMMYFUNCTION("""COMPUTED_VALUE"""),2.409722222222222)</f>
        <v>2.409722222</v>
      </c>
      <c r="T6" s="30">
        <f>IFERROR(__xludf.DUMMYFUNCTION("""COMPUTED_VALUE"""),373.7147375971709)</f>
        <v>373.7147376</v>
      </c>
      <c r="U6" s="30">
        <f>IFERROR(__xludf.DUMMYFUNCTION("""COMPUTED_VALUE"""),0.7973737417140633)</f>
        <v>0.7973737417</v>
      </c>
      <c r="V6" s="30">
        <f>IFERROR(__xludf.DUMMYFUNCTION("""COMPUTED_VALUE"""),0.6130584522273491)</f>
        <v>0.6130584522</v>
      </c>
      <c r="W6" s="30">
        <f>IFERROR(__xludf.DUMMYFUNCTION("""COMPUTED_VALUE"""),1.4915034341302043)</f>
        <v>1.491503434</v>
      </c>
      <c r="X6" s="30">
        <f>IFERROR(__xludf.DUMMYFUNCTION("""COMPUTED_VALUE"""),2.707798897366652)</f>
        <v>2.707798897</v>
      </c>
      <c r="Y6" s="30">
        <f>IFERROR(__xludf.DUMMYFUNCTION("""COMPUTED_VALUE"""),374.08847958946416)</f>
        <v>374.0884796</v>
      </c>
      <c r="Z6" s="30">
        <f>IFERROR(__xludf.DUMMYFUNCTION("""COMPUTED_VALUE"""),0.8400102516195219)</f>
        <v>0.8400102516</v>
      </c>
      <c r="AA6" s="30">
        <f>IFERROR(__xludf.DUMMYFUNCTION("""COMPUTED_VALUE"""),0.6611822953421695)</f>
        <v>0.6611822953</v>
      </c>
      <c r="AB6" s="30">
        <f>IFERROR(__xludf.DUMMYFUNCTION("""COMPUTED_VALUE"""),1.4178318283536624)</f>
        <v>1.417831828</v>
      </c>
      <c r="AC6" s="30">
        <f>IFERROR(__xludf.DUMMYFUNCTION("""COMPUTED_VALUE"""),2.7492465946009332)</f>
        <v>2.749246595</v>
      </c>
      <c r="AD6" s="30">
        <f>IFERROR(__xludf.DUMMYFUNCTION("""COMPUTED_VALUE"""),1.1228404230133815)</f>
        <v>1.122840423</v>
      </c>
      <c r="AE6" s="30">
        <f>IFERROR(__xludf.DUMMYFUNCTION("""COMPUTED_VALUE"""),1.2896668001904614)</f>
        <v>1.2896668</v>
      </c>
      <c r="AF6" s="30">
        <f>IFERROR(__xludf.DUMMYFUNCTION("""COMPUTED_VALUE"""),1.2603684932338874)</f>
        <v>1.260368493</v>
      </c>
      <c r="AG6" s="30">
        <f>IFERROR(__xludf.DUMMYFUNCTION("""COMPUTED_VALUE"""),1.1901975722744687)</f>
        <v>1.190197572</v>
      </c>
      <c r="AH6" s="30">
        <f>IFERROR(__xludf.DUMMYFUNCTION("""COMPUTED_VALUE"""),1.2351868835637334)</f>
        <v>1.235186884</v>
      </c>
      <c r="AI6" s="30">
        <f>IFERROR(__xludf.DUMMYFUNCTION("""COMPUTED_VALUE"""),1.0151273615665606)</f>
        <v>1.015127362</v>
      </c>
      <c r="AJ6" s="30">
        <f>IFERROR(__xludf.DUMMYFUNCTION("""COMPUTED_VALUE"""),0.879623760096687)</f>
        <v>0.8796237601</v>
      </c>
      <c r="AK6" s="30">
        <f>IFERROR(__xludf.DUMMYFUNCTION("""COMPUTED_VALUE"""),0.8269104562584955)</f>
        <v>0.8269104563</v>
      </c>
      <c r="AL6" s="30">
        <f>IFERROR(__xludf.DUMMYFUNCTION("""COMPUTED_VALUE"""),1.2338407915573908)</f>
        <v>1.233840792</v>
      </c>
      <c r="AM6" s="30">
        <f>IFERROR(__xludf.DUMMYFUNCTION("""COMPUTED_VALUE"""),0.8899191976795946)</f>
        <v>0.8899191977</v>
      </c>
      <c r="AN6" s="30">
        <f>IFERROR(__xludf.DUMMYFUNCTION("""COMPUTED_VALUE"""),1.1510521021453228)</f>
        <v>1.151052102</v>
      </c>
      <c r="AO6" s="30">
        <f>IFERROR(__xludf.DUMMYFUNCTION("""COMPUTED_VALUE"""),1.3681919233018098)</f>
        <v>1.368191923</v>
      </c>
      <c r="AP6" s="30">
        <f>IFERROR(__xludf.DUMMYFUNCTION("""COMPUTED_VALUE"""),1.399897479234984)</f>
        <v>1.399897479</v>
      </c>
      <c r="AQ6" s="30">
        <f>IFERROR(__xludf.DUMMYFUNCTION("""COMPUTED_VALUE"""),1.1731586743867641)</f>
        <v>1.173158674</v>
      </c>
      <c r="AR6" s="30">
        <f>IFERROR(__xludf.DUMMYFUNCTION("""COMPUTED_VALUE"""),1.2804520797056234)</f>
        <v>1.28045208</v>
      </c>
      <c r="AS6" s="30">
        <f>IFERROR(__xludf.DUMMYFUNCTION("""COMPUTED_VALUE"""),153.0)</f>
        <v>153</v>
      </c>
      <c r="AT6" s="30">
        <f>IFERROR(__xludf.DUMMYFUNCTION("""COMPUTED_VALUE"""),0.6614949965987108)</f>
        <v>0.6614949966</v>
      </c>
      <c r="AU6" s="30">
        <f>IFERROR(__xludf.DUMMYFUNCTION("""COMPUTED_VALUE"""),3.7197053419652972)</f>
        <v>3.719705342</v>
      </c>
      <c r="AV6" s="32">
        <f>IFERROR(__xludf.DUMMYFUNCTION("""COMPUTED_VALUE"""),89.93916540036744)</f>
        <v>89.9391654</v>
      </c>
      <c r="AW6" s="32">
        <f>IFERROR(__xludf.DUMMYFUNCTION("""COMPUTED_VALUE"""),18.158795952102235)</f>
        <v>18.15879595</v>
      </c>
      <c r="AX6" s="32">
        <f>IFERROR(__xludf.DUMMYFUNCTION("""COMPUTED_VALUE"""),67.7078298633848)</f>
        <v>67.70782986</v>
      </c>
      <c r="AY6" s="32">
        <f>IFERROR(__xludf.DUMMYFUNCTION("""COMPUTED_VALUE"""),4.177538841402422)</f>
        <v>4.177538841</v>
      </c>
      <c r="AZ6" s="30">
        <f>IFERROR(__xludf.DUMMYFUNCTION("""COMPUTED_VALUE"""),13.981257110699813)</f>
        <v>13.98125711</v>
      </c>
      <c r="BA6" s="30">
        <f>IFERROR(__xludf.DUMMYFUNCTION("""COMPUTED_VALUE"""),2.0)</f>
        <v>2</v>
      </c>
    </row>
    <row r="7">
      <c r="A7" s="30" t="str">
        <f>IFERROR(__xludf.DUMMYFUNCTION("""COMPUTED_VALUE"""),"Premier")</f>
        <v>Premier</v>
      </c>
      <c r="B7" s="30" t="str">
        <f>IFERROR(__xludf.DUMMYFUNCTION("""COMPUTED_VALUE"""),"RSC005340")</f>
        <v>RSC005340</v>
      </c>
      <c r="C7" s="30" t="str">
        <f>IFERROR(__xludf.DUMMYFUNCTION("""COMPUTED_VALUE"""),"Mystikal")</f>
        <v>Mystikal</v>
      </c>
      <c r="D7" s="30"/>
      <c r="E7" s="30">
        <f>IFERROR(__xludf.DUMMYFUNCTION("""COMPUTED_VALUE"""),4.0)</f>
        <v>4</v>
      </c>
      <c r="F7" s="30">
        <f>IFERROR(__xludf.DUMMYFUNCTION("""COMPUTED_VALUE"""),0.0)</f>
        <v>0</v>
      </c>
      <c r="G7" s="30">
        <f>IFERROR(__xludf.DUMMYFUNCTION("""COMPUTED_VALUE"""),4.0)</f>
        <v>4</v>
      </c>
      <c r="H7" s="42">
        <f>IFERROR(__xludf.DUMMYFUNCTION("""COMPUTED_VALUE"""),0.0)</f>
        <v>0</v>
      </c>
      <c r="I7" s="42">
        <f>IFERROR(__xludf.DUMMYFUNCTION("""COMPUTED_VALUE"""),0.2857142857142857)</f>
        <v>0.2857142857</v>
      </c>
      <c r="J7" s="30">
        <f>IFERROR(__xludf.DUMMYFUNCTION("""COMPUTED_VALUE"""),272.0)</f>
        <v>272</v>
      </c>
      <c r="K7" s="30">
        <f>IFERROR(__xludf.DUMMYFUNCTION("""COMPUTED_VALUE"""),0.5)</f>
        <v>0.5</v>
      </c>
      <c r="L7" s="30">
        <f>IFERROR(__xludf.DUMMYFUNCTION("""COMPUTED_VALUE"""),0.5)</f>
        <v>0.5</v>
      </c>
      <c r="M7" s="30">
        <f>IFERROR(__xludf.DUMMYFUNCTION("""COMPUTED_VALUE"""),1.0)</f>
        <v>1</v>
      </c>
      <c r="N7" s="30">
        <f>IFERROR(__xludf.DUMMYFUNCTION("""COMPUTED_VALUE"""),1.75)</f>
        <v>1.75</v>
      </c>
      <c r="O7" s="30">
        <f>IFERROR(__xludf.DUMMYFUNCTION("""COMPUTED_VALUE"""),403.66666666666663)</f>
        <v>403.6666667</v>
      </c>
      <c r="P7" s="30">
        <f>IFERROR(__xludf.DUMMYFUNCTION("""COMPUTED_VALUE"""),1.0)</f>
        <v>1</v>
      </c>
      <c r="Q7" s="30">
        <f>IFERROR(__xludf.DUMMYFUNCTION("""COMPUTED_VALUE"""),0.9166666666666666)</f>
        <v>0.9166666667</v>
      </c>
      <c r="R7" s="30">
        <f>IFERROR(__xludf.DUMMYFUNCTION("""COMPUTED_VALUE"""),1.5833333333333333)</f>
        <v>1.583333333</v>
      </c>
      <c r="S7" s="30">
        <f>IFERROR(__xludf.DUMMYFUNCTION("""COMPUTED_VALUE"""),2.916666666666667)</f>
        <v>2.916666667</v>
      </c>
      <c r="T7" s="30">
        <f>IFERROR(__xludf.DUMMYFUNCTION("""COMPUTED_VALUE"""),391.5191597127081)</f>
        <v>391.5191597</v>
      </c>
      <c r="U7" s="30">
        <f>IFERROR(__xludf.DUMMYFUNCTION("""COMPUTED_VALUE"""),0.88480923319633)</f>
        <v>0.8848092332</v>
      </c>
      <c r="V7" s="30">
        <f>IFERROR(__xludf.DUMMYFUNCTION("""COMPUTED_VALUE"""),0.7155478058703865)</f>
        <v>0.7155478059</v>
      </c>
      <c r="W7" s="30">
        <f>IFERROR(__xludf.DUMMYFUNCTION("""COMPUTED_VALUE"""),1.5116951052434924)</f>
        <v>1.511695105</v>
      </c>
      <c r="X7" s="30">
        <f>IFERROR(__xludf.DUMMYFUNCTION("""COMPUTED_VALUE"""),2.737518163324615)</f>
        <v>2.737518163</v>
      </c>
      <c r="Y7" s="30">
        <f>IFERROR(__xludf.DUMMYFUNCTION("""COMPUTED_VALUE"""),339.212291554227)</f>
        <v>339.2122916</v>
      </c>
      <c r="Z7" s="30">
        <f>IFERROR(__xludf.DUMMYFUNCTION("""COMPUTED_VALUE"""),0.7679439808472066)</f>
        <v>0.7679439808</v>
      </c>
      <c r="AA7" s="30">
        <f>IFERROR(__xludf.DUMMYFUNCTION("""COMPUTED_VALUE"""),0.58229750487815)</f>
        <v>0.5822975049</v>
      </c>
      <c r="AB7" s="30">
        <f>IFERROR(__xludf.DUMMYFUNCTION("""COMPUTED_VALUE"""),1.2408353053514343)</f>
        <v>1.240835305</v>
      </c>
      <c r="AC7" s="30">
        <f>IFERROR(__xludf.DUMMYFUNCTION("""COMPUTED_VALUE"""),2.7223453868615164)</f>
        <v>2.722345387</v>
      </c>
      <c r="AD7" s="30">
        <f>IFERROR(__xludf.DUMMYFUNCTION("""COMPUTED_VALUE"""),0.8018577356195763)</f>
        <v>0.8018577356</v>
      </c>
      <c r="AE7" s="30">
        <f>IFERROR(__xludf.DUMMYFUNCTION("""COMPUTED_VALUE"""),0.6510891581549906)</f>
        <v>0.6510891582</v>
      </c>
      <c r="AF7" s="30">
        <f>IFERROR(__xludf.DUMMYFUNCTION("""COMPUTED_VALUE"""),0.858667598283164)</f>
        <v>0.8586675983</v>
      </c>
      <c r="AG7" s="30">
        <f>IFERROR(__xludf.DUMMYFUNCTION("""COMPUTED_VALUE"""),0.8059087259100643)</f>
        <v>0.8059087259</v>
      </c>
      <c r="AH7" s="30">
        <f>IFERROR(__xludf.DUMMYFUNCTION("""COMPUTED_VALUE"""),0.6428280586459697)</f>
        <v>0.6428280586</v>
      </c>
      <c r="AI7" s="30">
        <f>IFERROR(__xludf.DUMMYFUNCTION("""COMPUTED_VALUE"""),1.0310265964068586)</f>
        <v>1.031026596</v>
      </c>
      <c r="AJ7" s="30">
        <f>IFERROR(__xludf.DUMMYFUNCTION("""COMPUTED_VALUE"""),1.1301871211125918)</f>
        <v>1.130187121</v>
      </c>
      <c r="AK7" s="30">
        <f>IFERROR(__xludf.DUMMYFUNCTION("""COMPUTED_VALUE"""),1.2810697749979694)</f>
        <v>1.281069775</v>
      </c>
      <c r="AL7" s="30">
        <f>IFERROR(__xludf.DUMMYFUNCTION("""COMPUTED_VALUE"""),1.0473893365410494)</f>
        <v>1.047389337</v>
      </c>
      <c r="AM7" s="30">
        <f>IFERROR(__xludf.DUMMYFUNCTION("""COMPUTED_VALUE"""),1.0654419414424936)</f>
        <v>1.065441941</v>
      </c>
      <c r="AN7" s="30">
        <f>IFERROR(__xludf.DUMMYFUNCTION("""COMPUTED_VALUE"""),0.7453693207821315)</f>
        <v>0.7453693208</v>
      </c>
      <c r="AO7" s="30">
        <f>IFERROR(__xludf.DUMMYFUNCTION("""COMPUTED_VALUE"""),0.6314731953700661)</f>
        <v>0.6314731954</v>
      </c>
      <c r="AP7" s="30">
        <f>IFERROR(__xludf.DUMMYFUNCTION("""COMPUTED_VALUE"""),0.8399384875409904)</f>
        <v>0.8399384875</v>
      </c>
      <c r="AQ7" s="30">
        <f>IFERROR(__xludf.DUMMYFUNCTION("""COMPUTED_VALUE"""),0.6952051403773417)</f>
        <v>0.6952051404</v>
      </c>
      <c r="AR7" s="30">
        <f>IFERROR(__xludf.DUMMYFUNCTION("""COMPUTED_VALUE"""),0.6598648754311188)</f>
        <v>0.6598648754</v>
      </c>
      <c r="AS7" s="30">
        <f>IFERROR(__xludf.DUMMYFUNCTION("""COMPUTED_VALUE"""),6.0)</f>
        <v>6</v>
      </c>
      <c r="AT7" s="30">
        <f>IFERROR(__xludf.DUMMYFUNCTION("""COMPUTED_VALUE"""),0.25591176740996385)</f>
        <v>0.2559117674</v>
      </c>
      <c r="AU7" s="30">
        <f>IFERROR(__xludf.DUMMYFUNCTION("""COMPUTED_VALUE"""),1.1980743628947461)</f>
        <v>1.198074363</v>
      </c>
      <c r="AV7" s="32">
        <f>IFERROR(__xludf.DUMMYFUNCTION("""COMPUTED_VALUE"""),13.735679054920624)</f>
        <v>13.73567905</v>
      </c>
      <c r="AW7" s="32">
        <f>IFERROR(__xludf.DUMMYFUNCTION("""COMPUTED_VALUE"""),-13.614811079169746)</f>
        <v>-13.61481108</v>
      </c>
      <c r="AX7" s="32">
        <f>IFERROR(__xludf.DUMMYFUNCTION("""COMPUTED_VALUE"""),6.47027097432936)</f>
        <v>6.470270974</v>
      </c>
      <c r="AY7" s="32">
        <f>IFERROR(__xludf.DUMMYFUNCTION("""COMPUTED_VALUE"""),-24.494666892025073)</f>
        <v>-24.49466689</v>
      </c>
      <c r="AZ7" s="30">
        <f>IFERROR(__xludf.DUMMYFUNCTION("""COMPUTED_VALUE"""),10.879855812855327)</f>
        <v>10.87985581</v>
      </c>
      <c r="BA7" s="30">
        <f>IFERROR(__xludf.DUMMYFUNCTION("""COMPUTED_VALUE"""),2.0)</f>
        <v>2</v>
      </c>
    </row>
    <row r="8">
      <c r="A8" s="30" t="str">
        <f>IFERROR(__xludf.DUMMYFUNCTION("""COMPUTED_VALUE"""),"Premier")</f>
        <v>Premier</v>
      </c>
      <c r="B8" s="71" t="str">
        <f>IFERROR(__xludf.DUMMYFUNCTION("""COMPUTED_VALUE"""),"RSC007982")</f>
        <v>RSC007982</v>
      </c>
      <c r="C8" s="30" t="str">
        <f>IFERROR(__xludf.DUMMYFUNCTION("""COMPUTED_VALUE"""),"Cadomac")</f>
        <v>Cadomac</v>
      </c>
      <c r="D8" s="30" t="str">
        <f>IFERROR(__xludf.DUMMYFUNCTION("""COMPUTED_VALUE"""),"Hurricanes")</f>
        <v>Hurricanes</v>
      </c>
      <c r="E8" s="30">
        <f>IFERROR(__xludf.DUMMYFUNCTION("""COMPUTED_VALUE"""),43.0)</f>
        <v>43</v>
      </c>
      <c r="F8" s="30">
        <f>IFERROR(__xludf.DUMMYFUNCTION("""COMPUTED_VALUE"""),23.0)</f>
        <v>23</v>
      </c>
      <c r="G8" s="30">
        <f>IFERROR(__xludf.DUMMYFUNCTION("""COMPUTED_VALUE"""),20.0)</f>
        <v>20</v>
      </c>
      <c r="H8" s="42">
        <f>IFERROR(__xludf.DUMMYFUNCTION("""COMPUTED_VALUE"""),0.5348837209302325)</f>
        <v>0.5348837209</v>
      </c>
      <c r="I8" s="42">
        <f>IFERROR(__xludf.DUMMYFUNCTION("""COMPUTED_VALUE"""),0.26973684210526316)</f>
        <v>0.2697368421</v>
      </c>
      <c r="J8" s="30">
        <f>IFERROR(__xludf.DUMMYFUNCTION("""COMPUTED_VALUE"""),455.83720930232556)</f>
        <v>455.8372093</v>
      </c>
      <c r="K8" s="30">
        <f>IFERROR(__xludf.DUMMYFUNCTION("""COMPUTED_VALUE"""),0.9534883720930233)</f>
        <v>0.9534883721</v>
      </c>
      <c r="L8" s="30">
        <f>IFERROR(__xludf.DUMMYFUNCTION("""COMPUTED_VALUE"""),0.813953488372093)</f>
        <v>0.8139534884</v>
      </c>
      <c r="M8" s="30">
        <f>IFERROR(__xludf.DUMMYFUNCTION("""COMPUTED_VALUE"""),1.744186046511628)</f>
        <v>1.744186047</v>
      </c>
      <c r="N8" s="30">
        <f>IFERROR(__xludf.DUMMYFUNCTION("""COMPUTED_VALUE"""),3.5348837209302326)</f>
        <v>3.534883721</v>
      </c>
      <c r="O8" s="30">
        <f>IFERROR(__xludf.DUMMYFUNCTION("""COMPUTED_VALUE"""),387.5581395348837)</f>
        <v>387.5581395</v>
      </c>
      <c r="P8" s="30">
        <f>IFERROR(__xludf.DUMMYFUNCTION("""COMPUTED_VALUE"""),0.7751937984496121)</f>
        <v>0.7751937984</v>
      </c>
      <c r="Q8" s="30">
        <f>IFERROR(__xludf.DUMMYFUNCTION("""COMPUTED_VALUE"""),0.6046511627906976)</f>
        <v>0.6046511628</v>
      </c>
      <c r="R8" s="30">
        <f>IFERROR(__xludf.DUMMYFUNCTION("""COMPUTED_VALUE"""),1.7209302325581395)</f>
        <v>1.720930233</v>
      </c>
      <c r="S8" s="30">
        <f>IFERROR(__xludf.DUMMYFUNCTION("""COMPUTED_VALUE"""),2.7054263565891468)</f>
        <v>2.705426357</v>
      </c>
      <c r="T8" s="30">
        <f>IFERROR(__xludf.DUMMYFUNCTION("""COMPUTED_VALUE"""),374.3676368094415)</f>
        <v>374.3676368</v>
      </c>
      <c r="U8" s="30">
        <f>IFERROR(__xludf.DUMMYFUNCTION("""COMPUTED_VALUE"""),0.8564998353312397)</f>
        <v>0.8564998353</v>
      </c>
      <c r="V8" s="30">
        <f>IFERROR(__xludf.DUMMYFUNCTION("""COMPUTED_VALUE"""),0.6615410990907097)</f>
        <v>0.6615410991</v>
      </c>
      <c r="W8" s="30">
        <f>IFERROR(__xludf.DUMMYFUNCTION("""COMPUTED_VALUE"""),1.41682393592039)</f>
        <v>1.416823936</v>
      </c>
      <c r="X8" s="30">
        <f>IFERROR(__xludf.DUMMYFUNCTION("""COMPUTED_VALUE"""),2.732278425574378)</f>
        <v>2.732278426</v>
      </c>
      <c r="Y8" s="30">
        <f>IFERROR(__xludf.DUMMYFUNCTION("""COMPUTED_VALUE"""),374.7436167983826)</f>
        <v>374.7436168</v>
      </c>
      <c r="Z8" s="30">
        <f>IFERROR(__xludf.DUMMYFUNCTION("""COMPUTED_VALUE"""),0.8278496601347834)</f>
        <v>0.8278496601</v>
      </c>
      <c r="AA8" s="30">
        <f>IFERROR(__xludf.DUMMYFUNCTION("""COMPUTED_VALUE"""),0.6407912360277012)</f>
        <v>0.640791236</v>
      </c>
      <c r="AB8" s="30">
        <f>IFERROR(__xludf.DUMMYFUNCTION("""COMPUTED_VALUE"""),1.4453412928853941)</f>
        <v>1.445341293</v>
      </c>
      <c r="AC8" s="30">
        <f>IFERROR(__xludf.DUMMYFUNCTION("""COMPUTED_VALUE"""),2.7214786250180554)</f>
        <v>2.721478625</v>
      </c>
      <c r="AD8" s="30">
        <f>IFERROR(__xludf.DUMMYFUNCTION("""COMPUTED_VALUE"""),1.2163975285203388)</f>
        <v>1.216397529</v>
      </c>
      <c r="AE8" s="30">
        <f>IFERROR(__xludf.DUMMYFUNCTION("""COMPUTED_VALUE"""),1.1517651308062196)</f>
        <v>1.151765131</v>
      </c>
      <c r="AF8" s="30">
        <f>IFERROR(__xludf.DUMMYFUNCTION("""COMPUTED_VALUE"""),1.2702319298525895)</f>
        <v>1.27023193</v>
      </c>
      <c r="AG8" s="30">
        <f>IFERROR(__xludf.DUMMYFUNCTION("""COMPUTED_VALUE"""),1.206764142903326)</f>
        <v>1.206764143</v>
      </c>
      <c r="AH8" s="30">
        <f>IFERROR(__xludf.DUMMYFUNCTION("""COMPUTED_VALUE"""),1.2988835144375903)</f>
        <v>1.298883514</v>
      </c>
      <c r="AI8" s="30">
        <f>IFERROR(__xludf.DUMMYFUNCTION("""COMPUTED_VALUE"""),1.035234089244088)</f>
        <v>1.035234089</v>
      </c>
      <c r="AJ8" s="30">
        <f>IFERROR(__xludf.DUMMYFUNCTION("""COMPUTED_VALUE"""),0.9050717425413356)</f>
        <v>0.9050717425</v>
      </c>
      <c r="AK8" s="30">
        <f>IFERROR(__xludf.DUMMYFUNCTION("""COMPUTED_VALUE"""),0.9140039275289057)</f>
        <v>0.9140039275</v>
      </c>
      <c r="AL8" s="30">
        <f>IFERROR(__xludf.DUMMYFUNCTION("""COMPUTED_VALUE"""),1.214639440319871)</f>
        <v>1.21463944</v>
      </c>
      <c r="AM8" s="30">
        <f>IFERROR(__xludf.DUMMYFUNCTION("""COMPUTED_VALUE"""),0.9901722793936762)</f>
        <v>0.9901722794</v>
      </c>
      <c r="AN8" s="30">
        <f>IFERROR(__xludf.DUMMYFUNCTION("""COMPUTED_VALUE"""),1.2491436436944732)</f>
        <v>1.249143644</v>
      </c>
      <c r="AO8" s="30">
        <f>IFERROR(__xludf.DUMMYFUNCTION("""COMPUTED_VALUE"""),1.2042046981475678)</f>
        <v>1.204204698</v>
      </c>
      <c r="AP8" s="30">
        <f>IFERROR(__xludf.DUMMYFUNCTION("""COMPUTED_VALUE"""),1.3673417239039378)</f>
        <v>1.367341724</v>
      </c>
      <c r="AQ8" s="30">
        <f>IFERROR(__xludf.DUMMYFUNCTION("""COMPUTED_VALUE"""),1.212567105309317)</f>
        <v>1.212567105</v>
      </c>
      <c r="AR8" s="30">
        <f>IFERROR(__xludf.DUMMYFUNCTION("""COMPUTED_VALUE"""),1.3328832035286386)</f>
        <v>1.332883204</v>
      </c>
      <c r="AS8" s="30">
        <f>IFERROR(__xludf.DUMMYFUNCTION("""COMPUTED_VALUE"""),106.0)</f>
        <v>106</v>
      </c>
      <c r="AT8" s="30">
        <f>IFERROR(__xludf.DUMMYFUNCTION("""COMPUTED_VALUE"""),0.5228217775647955)</f>
        <v>0.5228217776</v>
      </c>
      <c r="AU8" s="30">
        <f>IFERROR(__xludf.DUMMYFUNCTION("""COMPUTED_VALUE"""),3.613427646458688)</f>
        <v>3.613427646</v>
      </c>
      <c r="AV8" s="32">
        <f>IFERROR(__xludf.DUMMYFUNCTION("""COMPUTED_VALUE"""),86.72746194907634)</f>
        <v>86.72746195</v>
      </c>
      <c r="AW8" s="32">
        <f>IFERROR(__xludf.DUMMYFUNCTION("""COMPUTED_VALUE"""),14.103767570033027)</f>
        <v>14.10376757</v>
      </c>
      <c r="AX8" s="32">
        <f>IFERROR(__xludf.DUMMYFUNCTION("""COMPUTED_VALUE"""),73.3421742056196)</f>
        <v>73.34217421</v>
      </c>
      <c r="AY8" s="32">
        <f>IFERROR(__xludf.DUMMYFUNCTION("""COMPUTED_VALUE"""),5.7066976133632386)</f>
        <v>5.706697613</v>
      </c>
      <c r="AZ8" s="30">
        <f>IFERROR(__xludf.DUMMYFUNCTION("""COMPUTED_VALUE"""),8.397069956669789)</f>
        <v>8.397069957</v>
      </c>
      <c r="BA8" s="30">
        <f>IFERROR(__xludf.DUMMYFUNCTION("""COMPUTED_VALUE"""),2.0)</f>
        <v>2</v>
      </c>
    </row>
    <row r="9">
      <c r="A9" s="30" t="str">
        <f>IFERROR(__xludf.DUMMYFUNCTION("""COMPUTED_VALUE"""),"Premier")</f>
        <v>Premier</v>
      </c>
      <c r="B9" s="71" t="str">
        <f>IFERROR(__xludf.DUMMYFUNCTION("""COMPUTED_VALUE"""),"RSC000672")</f>
        <v>RSC000672</v>
      </c>
      <c r="C9" s="30" t="str">
        <f>IFERROR(__xludf.DUMMYFUNCTION("""COMPUTED_VALUE"""),"Feathers McGraw")</f>
        <v>Feathers McGraw</v>
      </c>
      <c r="D9" s="30" t="str">
        <f>IFERROR(__xludf.DUMMYFUNCTION("""COMPUTED_VALUE"""),"Hurricanes")</f>
        <v>Hurricanes</v>
      </c>
      <c r="E9" s="30">
        <f>IFERROR(__xludf.DUMMYFUNCTION("""COMPUTED_VALUE"""),13.0)</f>
        <v>13</v>
      </c>
      <c r="F9" s="30">
        <f>IFERROR(__xludf.DUMMYFUNCTION("""COMPUTED_VALUE"""),8.0)</f>
        <v>8</v>
      </c>
      <c r="G9" s="30">
        <f>IFERROR(__xludf.DUMMYFUNCTION("""COMPUTED_VALUE"""),5.0)</f>
        <v>5</v>
      </c>
      <c r="H9" s="42">
        <f>IFERROR(__xludf.DUMMYFUNCTION("""COMPUTED_VALUE"""),0.6153846153846154)</f>
        <v>0.6153846154</v>
      </c>
      <c r="I9" s="42">
        <f>IFERROR(__xludf.DUMMYFUNCTION("""COMPUTED_VALUE"""),0.18181818181818182)</f>
        <v>0.1818181818</v>
      </c>
      <c r="J9" s="30">
        <f>IFERROR(__xludf.DUMMYFUNCTION("""COMPUTED_VALUE"""),367.84615384615387)</f>
        <v>367.8461538</v>
      </c>
      <c r="K9" s="30">
        <f>IFERROR(__xludf.DUMMYFUNCTION("""COMPUTED_VALUE"""),0.6153846153846154)</f>
        <v>0.6153846154</v>
      </c>
      <c r="L9" s="30">
        <f>IFERROR(__xludf.DUMMYFUNCTION("""COMPUTED_VALUE"""),1.0)</f>
        <v>1</v>
      </c>
      <c r="M9" s="30">
        <f>IFERROR(__xludf.DUMMYFUNCTION("""COMPUTED_VALUE"""),1.1538461538461537)</f>
        <v>1.153846154</v>
      </c>
      <c r="N9" s="30">
        <f>IFERROR(__xludf.DUMMYFUNCTION("""COMPUTED_VALUE"""),3.3846153846153846)</f>
        <v>3.384615385</v>
      </c>
      <c r="O9" s="30">
        <f>IFERROR(__xludf.DUMMYFUNCTION("""COMPUTED_VALUE"""),409.58974358974353)</f>
        <v>409.5897436</v>
      </c>
      <c r="P9" s="30">
        <f>IFERROR(__xludf.DUMMYFUNCTION("""COMPUTED_VALUE"""),0.8205128205128207)</f>
        <v>0.8205128205</v>
      </c>
      <c r="Q9" s="30">
        <f>IFERROR(__xludf.DUMMYFUNCTION("""COMPUTED_VALUE"""),0.641025641025641)</f>
        <v>0.641025641</v>
      </c>
      <c r="R9" s="30">
        <f>IFERROR(__xludf.DUMMYFUNCTION("""COMPUTED_VALUE"""),1.8974358974358974)</f>
        <v>1.897435897</v>
      </c>
      <c r="S9" s="30">
        <f>IFERROR(__xludf.DUMMYFUNCTION("""COMPUTED_VALUE"""),2.5641025641025643)</f>
        <v>2.564102564</v>
      </c>
      <c r="T9" s="30">
        <f>IFERROR(__xludf.DUMMYFUNCTION("""COMPUTED_VALUE"""),373.67666448163163)</f>
        <v>373.6766645</v>
      </c>
      <c r="U9" s="30">
        <f>IFERROR(__xludf.DUMMYFUNCTION("""COMPUTED_VALUE"""),0.91699821814837)</f>
        <v>0.9169982181</v>
      </c>
      <c r="V9" s="30">
        <f>IFERROR(__xludf.DUMMYFUNCTION("""COMPUTED_VALUE"""),0.6739254279320002)</f>
        <v>0.6739254279</v>
      </c>
      <c r="W9" s="30">
        <f>IFERROR(__xludf.DUMMYFUNCTION("""COMPUTED_VALUE"""),1.2950939898740708)</f>
        <v>1.29509399</v>
      </c>
      <c r="X9" s="30">
        <f>IFERROR(__xludf.DUMMYFUNCTION("""COMPUTED_VALUE"""),2.780581730240477)</f>
        <v>2.78058173</v>
      </c>
      <c r="Y9" s="30">
        <f>IFERROR(__xludf.DUMMYFUNCTION("""COMPUTED_VALUE"""),365.6645074779427)</f>
        <v>365.6645075</v>
      </c>
      <c r="Z9" s="30">
        <f>IFERROR(__xludf.DUMMYFUNCTION("""COMPUTED_VALUE"""),0.8146640049951477)</f>
        <v>0.814664005</v>
      </c>
      <c r="AA9" s="30">
        <f>IFERROR(__xludf.DUMMYFUNCTION("""COMPUTED_VALUE"""),0.6241995546469763)</f>
        <v>0.6241995546</v>
      </c>
      <c r="AB9" s="30">
        <f>IFERROR(__xludf.DUMMYFUNCTION("""COMPUTED_VALUE"""),1.390157319922234)</f>
        <v>1.39015732</v>
      </c>
      <c r="AC9" s="30">
        <f>IFERROR(__xludf.DUMMYFUNCTION("""COMPUTED_VALUE"""),2.590066896980446)</f>
        <v>2.590066897</v>
      </c>
      <c r="AD9" s="30">
        <f>IFERROR(__xludf.DUMMYFUNCTION("""COMPUTED_VALUE"""),1.0059662513686614)</f>
        <v>1.005966251</v>
      </c>
      <c r="AE9" s="30">
        <f>IFERROR(__xludf.DUMMYFUNCTION("""COMPUTED_VALUE"""),0.755384565429868)</f>
        <v>0.7553845654</v>
      </c>
      <c r="AF9" s="30">
        <f>IFERROR(__xludf.DUMMYFUNCTION("""COMPUTED_VALUE"""),1.6020517678285788)</f>
        <v>1.602051768</v>
      </c>
      <c r="AG9" s="30">
        <f>IFERROR(__xludf.DUMMYFUNCTION("""COMPUTED_VALUE"""),0.8300112061494598)</f>
        <v>0.8300112061</v>
      </c>
      <c r="AH9" s="30">
        <f>IFERROR(__xludf.DUMMYFUNCTION("""COMPUTED_VALUE"""),1.3067675543675106)</f>
        <v>1.306767554</v>
      </c>
      <c r="AI9" s="30">
        <f>IFERROR(__xludf.DUMMYFUNCTION("""COMPUTED_VALUE"""),1.096107363722942)</f>
        <v>1.096107364</v>
      </c>
      <c r="AJ9" s="30">
        <f>IFERROR(__xludf.DUMMYFUNCTION("""COMPUTED_VALUE"""),0.8947812594114136)</f>
        <v>0.8947812594</v>
      </c>
      <c r="AK9" s="30">
        <f>IFERROR(__xludf.DUMMYFUNCTION("""COMPUTED_VALUE"""),0.9511818584923927)</f>
        <v>0.9511818585</v>
      </c>
      <c r="AL9" s="30">
        <f>IFERROR(__xludf.DUMMYFUNCTION("""COMPUTED_VALUE"""),1.465095129983883)</f>
        <v>1.46509513</v>
      </c>
      <c r="AM9" s="30">
        <f>IFERROR(__xludf.DUMMYFUNCTION("""COMPUTED_VALUE"""),0.9221460877112249)</f>
        <v>0.9221460877</v>
      </c>
      <c r="AN9" s="30">
        <f>IFERROR(__xludf.DUMMYFUNCTION("""COMPUTED_VALUE"""),1.0080192567817174)</f>
        <v>1.008019257</v>
      </c>
      <c r="AO9" s="30">
        <f>IFERROR(__xludf.DUMMYFUNCTION("""COMPUTED_VALUE"""),0.7771977789170045)</f>
        <v>0.7771977789</v>
      </c>
      <c r="AP9" s="30">
        <f>IFERROR(__xludf.DUMMYFUNCTION("""COMPUTED_VALUE"""),1.6798769750819809)</f>
        <v>1.679876975</v>
      </c>
      <c r="AQ9" s="30">
        <f>IFERROR(__xludf.DUMMYFUNCTION("""COMPUTED_VALUE"""),0.8021597773584711)</f>
        <v>0.8021597774</v>
      </c>
      <c r="AR9" s="30">
        <f>IFERROR(__xludf.DUMMYFUNCTION("""COMPUTED_VALUE"""),1.276222176657988)</f>
        <v>1.276222177</v>
      </c>
      <c r="AS9" s="30">
        <f>IFERROR(__xludf.DUMMYFUNCTION("""COMPUTED_VALUE"""),36.0)</f>
        <v>36</v>
      </c>
      <c r="AT9" s="30">
        <f>IFERROR(__xludf.DUMMYFUNCTION("""COMPUTED_VALUE"""),0.5472015134538105)</f>
        <v>0.5472015135</v>
      </c>
      <c r="AU9" s="30">
        <f>IFERROR(__xludf.DUMMYFUNCTION("""COMPUTED_VALUE"""),3.2229964716510127)</f>
        <v>3.222996472</v>
      </c>
      <c r="AV9" s="32">
        <f>IFERROR(__xludf.DUMMYFUNCTION("""COMPUTED_VALUE"""),74.92866309815969)</f>
        <v>74.9286631</v>
      </c>
      <c r="AW9" s="32">
        <f>IFERROR(__xludf.DUMMYFUNCTION("""COMPUTED_VALUE"""),6.275624287647384)</f>
        <v>6.275624288</v>
      </c>
      <c r="AX9" s="32">
        <f>IFERROR(__xludf.DUMMYFUNCTION("""COMPUTED_VALUE"""),48.45709592398063)</f>
        <v>48.45709592</v>
      </c>
      <c r="AY9" s="32">
        <f>IFERROR(__xludf.DUMMYFUNCTION("""COMPUTED_VALUE"""),-2.103516423849779)</f>
        <v>-2.103516424</v>
      </c>
      <c r="AZ9" s="30">
        <f>IFERROR(__xludf.DUMMYFUNCTION("""COMPUTED_VALUE"""),8.379140711497163)</f>
        <v>8.379140711</v>
      </c>
      <c r="BA9" s="30">
        <f>IFERROR(__xludf.DUMMYFUNCTION("""COMPUTED_VALUE"""),2.0)</f>
        <v>2</v>
      </c>
    </row>
    <row r="10">
      <c r="A10" s="30" t="str">
        <f>IFERROR(__xludf.DUMMYFUNCTION("""COMPUTED_VALUE"""),"Premier")</f>
        <v>Premier</v>
      </c>
      <c r="B10" s="71" t="str">
        <f>IFERROR(__xludf.DUMMYFUNCTION("""COMPUTED_VALUE"""),"RSC004923")</f>
        <v>RSC004923</v>
      </c>
      <c r="C10" s="30" t="str">
        <f>IFERROR(__xludf.DUMMYFUNCTION("""COMPUTED_VALUE"""),"Monster.")</f>
        <v>Monster.</v>
      </c>
      <c r="D10" s="30" t="str">
        <f>IFERROR(__xludf.DUMMYFUNCTION("""COMPUTED_VALUE"""),"Long Beards")</f>
        <v>Long Beards</v>
      </c>
      <c r="E10" s="30">
        <f>IFERROR(__xludf.DUMMYFUNCTION("""COMPUTED_VALUE"""),48.0)</f>
        <v>48</v>
      </c>
      <c r="F10" s="30">
        <f>IFERROR(__xludf.DUMMYFUNCTION("""COMPUTED_VALUE"""),32.0)</f>
        <v>32</v>
      </c>
      <c r="G10" s="30">
        <f>IFERROR(__xludf.DUMMYFUNCTION("""COMPUTED_VALUE"""),16.0)</f>
        <v>16</v>
      </c>
      <c r="H10" s="42">
        <f>IFERROR(__xludf.DUMMYFUNCTION("""COMPUTED_VALUE"""),0.6666666666666666)</f>
        <v>0.6666666667</v>
      </c>
      <c r="I10" s="42">
        <f>IFERROR(__xludf.DUMMYFUNCTION("""COMPUTED_VALUE"""),0.2894736842105263)</f>
        <v>0.2894736842</v>
      </c>
      <c r="J10" s="30">
        <f>IFERROR(__xludf.DUMMYFUNCTION("""COMPUTED_VALUE"""),384.3125)</f>
        <v>384.3125</v>
      </c>
      <c r="K10" s="30">
        <f>IFERROR(__xludf.DUMMYFUNCTION("""COMPUTED_VALUE"""),0.9166666666666666)</f>
        <v>0.9166666667</v>
      </c>
      <c r="L10" s="30">
        <f>IFERROR(__xludf.DUMMYFUNCTION("""COMPUTED_VALUE"""),0.8958333333333334)</f>
        <v>0.8958333333</v>
      </c>
      <c r="M10" s="30">
        <f>IFERROR(__xludf.DUMMYFUNCTION("""COMPUTED_VALUE"""),1.25)</f>
        <v>1.25</v>
      </c>
      <c r="N10" s="30">
        <f>IFERROR(__xludf.DUMMYFUNCTION("""COMPUTED_VALUE"""),3.1666666666666665)</f>
        <v>3.166666667</v>
      </c>
      <c r="O10" s="30">
        <f>IFERROR(__xludf.DUMMYFUNCTION("""COMPUTED_VALUE"""),379.3680555555556)</f>
        <v>379.3680556</v>
      </c>
      <c r="P10" s="30">
        <f>IFERROR(__xludf.DUMMYFUNCTION("""COMPUTED_VALUE"""),0.7013888888888888)</f>
        <v>0.7013888889</v>
      </c>
      <c r="Q10" s="30">
        <f>IFERROR(__xludf.DUMMYFUNCTION("""COMPUTED_VALUE"""),0.5069444444444443)</f>
        <v>0.5069444444</v>
      </c>
      <c r="R10" s="30">
        <f>IFERROR(__xludf.DUMMYFUNCTION("""COMPUTED_VALUE"""),1.840277777777778)</f>
        <v>1.840277778</v>
      </c>
      <c r="S10" s="30">
        <f>IFERROR(__xludf.DUMMYFUNCTION("""COMPUTED_VALUE"""),2.409722222222222)</f>
        <v>2.409722222</v>
      </c>
      <c r="T10" s="30">
        <f>IFERROR(__xludf.DUMMYFUNCTION("""COMPUTED_VALUE"""),373.7147375971709)</f>
        <v>373.7147376</v>
      </c>
      <c r="U10" s="30">
        <f>IFERROR(__xludf.DUMMYFUNCTION("""COMPUTED_VALUE"""),0.7973737417140633)</f>
        <v>0.7973737417</v>
      </c>
      <c r="V10" s="30">
        <f>IFERROR(__xludf.DUMMYFUNCTION("""COMPUTED_VALUE"""),0.6130584522273491)</f>
        <v>0.6130584522</v>
      </c>
      <c r="W10" s="30">
        <f>IFERROR(__xludf.DUMMYFUNCTION("""COMPUTED_VALUE"""),1.4915034341302043)</f>
        <v>1.491503434</v>
      </c>
      <c r="X10" s="30">
        <f>IFERROR(__xludf.DUMMYFUNCTION("""COMPUTED_VALUE"""),2.707798897366652)</f>
        <v>2.707798897</v>
      </c>
      <c r="Y10" s="30">
        <f>IFERROR(__xludf.DUMMYFUNCTION("""COMPUTED_VALUE"""),374.08847958946416)</f>
        <v>374.0884796</v>
      </c>
      <c r="Z10" s="30">
        <f>IFERROR(__xludf.DUMMYFUNCTION("""COMPUTED_VALUE"""),0.8400102516195219)</f>
        <v>0.8400102516</v>
      </c>
      <c r="AA10" s="30">
        <f>IFERROR(__xludf.DUMMYFUNCTION("""COMPUTED_VALUE"""),0.6611822953421695)</f>
        <v>0.6611822953</v>
      </c>
      <c r="AB10" s="30">
        <f>IFERROR(__xludf.DUMMYFUNCTION("""COMPUTED_VALUE"""),1.4178318283536624)</f>
        <v>1.417831828</v>
      </c>
      <c r="AC10" s="30">
        <f>IFERROR(__xludf.DUMMYFUNCTION("""COMPUTED_VALUE"""),2.7492465946009332)</f>
        <v>2.749246595</v>
      </c>
      <c r="AD10" s="30">
        <f>IFERROR(__xludf.DUMMYFUNCTION("""COMPUTED_VALUE"""),1.0273304872199112)</f>
        <v>1.027330487</v>
      </c>
      <c r="AE10" s="30">
        <f>IFERROR(__xludf.DUMMYFUNCTION("""COMPUTED_VALUE"""),1.0912565232380829)</f>
        <v>1.091256523</v>
      </c>
      <c r="AF10" s="30">
        <f>IFERROR(__xludf.DUMMYFUNCTION("""COMPUTED_VALUE"""),1.354896130226429)</f>
        <v>1.35489613</v>
      </c>
      <c r="AG10" s="30">
        <f>IFERROR(__xludf.DUMMYFUNCTION("""COMPUTED_VALUE"""),0.8816278313144211)</f>
        <v>0.8816278313</v>
      </c>
      <c r="AH10" s="30">
        <f>IFERROR(__xludf.DUMMYFUNCTION("""COMPUTED_VALUE"""),1.151830713507285)</f>
        <v>1.151830714</v>
      </c>
      <c r="AI10" s="30">
        <f>IFERROR(__xludf.DUMMYFUNCTION("""COMPUTED_VALUE"""),1.0151273615665606)</f>
        <v>1.015127362</v>
      </c>
      <c r="AJ10" s="30">
        <f>IFERROR(__xludf.DUMMYFUNCTION("""COMPUTED_VALUE"""),0.879623760096687)</f>
        <v>0.8796237601</v>
      </c>
      <c r="AK10" s="30">
        <f>IFERROR(__xludf.DUMMYFUNCTION("""COMPUTED_VALUE"""),0.8269104562584955)</f>
        <v>0.8269104563</v>
      </c>
      <c r="AL10" s="30">
        <f>IFERROR(__xludf.DUMMYFUNCTION("""COMPUTED_VALUE"""),1.2338407915573908)</f>
        <v>1.233840792</v>
      </c>
      <c r="AM10" s="30">
        <f>IFERROR(__xludf.DUMMYFUNCTION("""COMPUTED_VALUE"""),0.8899191976795946)</f>
        <v>0.8899191977</v>
      </c>
      <c r="AN10" s="30">
        <f>IFERROR(__xludf.DUMMYFUNCTION("""COMPUTED_VALUE"""),1.0531424525480988)</f>
        <v>1.053142453</v>
      </c>
      <c r="AO10" s="30">
        <f>IFERROR(__xludf.DUMMYFUNCTION("""COMPUTED_VALUE"""),1.1577008581784545)</f>
        <v>1.157700858</v>
      </c>
      <c r="AP10" s="30">
        <f>IFERROR(__xludf.DUMMYFUNCTION("""COMPUTED_VALUE"""),1.504889790177608)</f>
        <v>1.50488979</v>
      </c>
      <c r="AQ10" s="30">
        <f>IFERROR(__xludf.DUMMYFUNCTION("""COMPUTED_VALUE"""),0.8690064254716772)</f>
        <v>0.8690064255</v>
      </c>
      <c r="AR10" s="30">
        <f>IFERROR(__xludf.DUMMYFUNCTION("""COMPUTED_VALUE"""),1.194041203161072)</f>
        <v>1.194041203</v>
      </c>
      <c r="AS10" s="30">
        <f>IFERROR(__xludf.DUMMYFUNCTION("""COMPUTED_VALUE"""),153.0)</f>
        <v>153</v>
      </c>
      <c r="AT10" s="30">
        <f>IFERROR(__xludf.DUMMYFUNCTION("""COMPUTED_VALUE"""),0.6614949965987108)</f>
        <v>0.6614949966</v>
      </c>
      <c r="AU10" s="30">
        <f>IFERROR(__xludf.DUMMYFUNCTION("""COMPUTED_VALUE"""),3.4091027797805027)</f>
        <v>3.40910278</v>
      </c>
      <c r="AV10" s="32">
        <f>IFERROR(__xludf.DUMMYFUNCTION("""COMPUTED_VALUE"""),80.55278083309267)</f>
        <v>80.55278083</v>
      </c>
      <c r="AW10" s="32">
        <f>IFERROR(__xludf.DUMMYFUNCTION("""COMPUTED_VALUE"""),9.022601205733505)</f>
        <v>9.022601206</v>
      </c>
      <c r="AX10" s="32">
        <f>IFERROR(__xludf.DUMMYFUNCTION("""COMPUTED_VALUE"""),56.78426496455639)</f>
        <v>56.78426496</v>
      </c>
      <c r="AY10" s="32">
        <f>IFERROR(__xludf.DUMMYFUNCTION("""COMPUTED_VALUE"""),2.5441861115321545)</f>
        <v>2.544186112</v>
      </c>
      <c r="AZ10" s="30">
        <f>IFERROR(__xludf.DUMMYFUNCTION("""COMPUTED_VALUE"""),6.478415094201351)</f>
        <v>6.478415094</v>
      </c>
      <c r="BA10" s="30">
        <f>IFERROR(__xludf.DUMMYFUNCTION("""COMPUTED_VALUE"""),2.0)</f>
        <v>2</v>
      </c>
    </row>
    <row r="11">
      <c r="A11" s="30" t="str">
        <f>IFERROR(__xludf.DUMMYFUNCTION("""COMPUTED_VALUE"""),"Premier")</f>
        <v>Premier</v>
      </c>
      <c r="B11" s="71" t="str">
        <f>IFERROR(__xludf.DUMMYFUNCTION("""COMPUTED_VALUE"""),"RSC007691")</f>
        <v>RSC007691</v>
      </c>
      <c r="C11" s="30" t="str">
        <f>IFERROR(__xludf.DUMMYFUNCTION("""COMPUTED_VALUE"""),"exy")</f>
        <v>exy</v>
      </c>
      <c r="D11" s="30"/>
      <c r="E11" s="30">
        <f>IFERROR(__xludf.DUMMYFUNCTION("""COMPUTED_VALUE"""),4.0)</f>
        <v>4</v>
      </c>
      <c r="F11" s="30">
        <f>IFERROR(__xludf.DUMMYFUNCTION("""COMPUTED_VALUE"""),1.0)</f>
        <v>1</v>
      </c>
      <c r="G11" s="30">
        <f>IFERROR(__xludf.DUMMYFUNCTION("""COMPUTED_VALUE"""),3.0)</f>
        <v>3</v>
      </c>
      <c r="H11" s="42">
        <f>IFERROR(__xludf.DUMMYFUNCTION("""COMPUTED_VALUE"""),0.25)</f>
        <v>0.25</v>
      </c>
      <c r="I11" s="42">
        <f>IFERROR(__xludf.DUMMYFUNCTION("""COMPUTED_VALUE"""),0.07692307692307693)</f>
        <v>0.07692307692</v>
      </c>
      <c r="J11" s="30">
        <f>IFERROR(__xludf.DUMMYFUNCTION("""COMPUTED_VALUE"""),239.25)</f>
        <v>239.25</v>
      </c>
      <c r="K11" s="30">
        <f>IFERROR(__xludf.DUMMYFUNCTION("""COMPUTED_VALUE"""),0.25)</f>
        <v>0.25</v>
      </c>
      <c r="L11" s="30">
        <f>IFERROR(__xludf.DUMMYFUNCTION("""COMPUTED_VALUE"""),0.75)</f>
        <v>0.75</v>
      </c>
      <c r="M11" s="30">
        <f>IFERROR(__xludf.DUMMYFUNCTION("""COMPUTED_VALUE"""),0.5)</f>
        <v>0.5</v>
      </c>
      <c r="N11" s="30">
        <f>IFERROR(__xludf.DUMMYFUNCTION("""COMPUTED_VALUE"""),3.25)</f>
        <v>3.25</v>
      </c>
      <c r="O11" s="30">
        <f>IFERROR(__xludf.DUMMYFUNCTION("""COMPUTED_VALUE"""),373.8333333333333)</f>
        <v>373.8333333</v>
      </c>
      <c r="P11" s="30">
        <f>IFERROR(__xludf.DUMMYFUNCTION("""COMPUTED_VALUE"""),0.6666666666666667)</f>
        <v>0.6666666667</v>
      </c>
      <c r="Q11" s="30">
        <f>IFERROR(__xludf.DUMMYFUNCTION("""COMPUTED_VALUE"""),0.6666666666666667)</f>
        <v>0.6666666667</v>
      </c>
      <c r="R11" s="30">
        <f>IFERROR(__xludf.DUMMYFUNCTION("""COMPUTED_VALUE"""),1.6666666666666667)</f>
        <v>1.666666667</v>
      </c>
      <c r="S11" s="30">
        <f>IFERROR(__xludf.DUMMYFUNCTION("""COMPUTED_VALUE"""),2.583333333333333)</f>
        <v>2.583333333</v>
      </c>
      <c r="T11" s="30">
        <f>IFERROR(__xludf.DUMMYFUNCTION("""COMPUTED_VALUE"""),375.01266620621453)</f>
        <v>375.0126662</v>
      </c>
      <c r="U11" s="30">
        <f>IFERROR(__xludf.DUMMYFUNCTION("""COMPUTED_VALUE"""),0.7964975448846415)</f>
        <v>0.7964975449</v>
      </c>
      <c r="V11" s="30">
        <f>IFERROR(__xludf.DUMMYFUNCTION("""COMPUTED_VALUE"""),0.6867599270825078)</f>
        <v>0.6867599271</v>
      </c>
      <c r="W11" s="30">
        <f>IFERROR(__xludf.DUMMYFUNCTION("""COMPUTED_VALUE"""),1.438318481866869)</f>
        <v>1.438318482</v>
      </c>
      <c r="X11" s="30">
        <f>IFERROR(__xludf.DUMMYFUNCTION("""COMPUTED_VALUE"""),2.5087302845367363)</f>
        <v>2.508730285</v>
      </c>
      <c r="Y11" s="30">
        <f>IFERROR(__xludf.DUMMYFUNCTION("""COMPUTED_VALUE"""),342.43105057298607)</f>
        <v>342.4310506</v>
      </c>
      <c r="Z11" s="30">
        <f>IFERROR(__xludf.DUMMYFUNCTION("""COMPUTED_VALUE"""),0.7745817874850132)</f>
        <v>0.7745817875</v>
      </c>
      <c r="AA11" s="30">
        <f>IFERROR(__xludf.DUMMYFUNCTION("""COMPUTED_VALUE"""),0.5936250662057113)</f>
        <v>0.5936250662</v>
      </c>
      <c r="AB11" s="30">
        <f>IFERROR(__xludf.DUMMYFUNCTION("""COMPUTED_VALUE"""),1.2476895622056912)</f>
        <v>1.247689562</v>
      </c>
      <c r="AC11" s="30">
        <f>IFERROR(__xludf.DUMMYFUNCTION("""COMPUTED_VALUE"""),2.742691707207837)</f>
        <v>2.742691707</v>
      </c>
      <c r="AD11" s="30">
        <f>IFERROR(__xludf.DUMMYFUNCTION("""COMPUTED_VALUE"""),0.6986807989511046)</f>
        <v>0.698680799</v>
      </c>
      <c r="AE11" s="30">
        <f>IFERROR(__xludf.DUMMYFUNCTION("""COMPUTED_VALUE"""),0.3227548130349464)</f>
        <v>0.322754813</v>
      </c>
      <c r="AF11" s="30">
        <f>IFERROR(__xludf.DUMMYFUNCTION("""COMPUTED_VALUE"""),1.2634237378043929)</f>
        <v>1.263423738</v>
      </c>
      <c r="AG11" s="30">
        <f>IFERROR(__xludf.DUMMYFUNCTION("""COMPUTED_VALUE"""),0.4007407091841738)</f>
        <v>0.4007407092</v>
      </c>
      <c r="AH11" s="30">
        <f>IFERROR(__xludf.DUMMYFUNCTION("""COMPUTED_VALUE"""),1.1849673047316798)</f>
        <v>1.184967305</v>
      </c>
      <c r="AI11" s="30">
        <f>IFERROR(__xludf.DUMMYFUNCTION("""COMPUTED_VALUE"""),0.9968552185588507)</f>
        <v>0.9968552186</v>
      </c>
      <c r="AJ11" s="30">
        <f>IFERROR(__xludf.DUMMYFUNCTION("""COMPUTED_VALUE"""),0.8369977672225236)</f>
        <v>0.8369977672</v>
      </c>
      <c r="AK11" s="30">
        <f>IFERROR(__xludf.DUMMYFUNCTION("""COMPUTED_VALUE"""),0.9707419439844122)</f>
        <v>0.970741944</v>
      </c>
      <c r="AL11" s="30">
        <f>IFERROR(__xludf.DUMMYFUNCTION("""COMPUTED_VALUE"""),1.1587605163102768)</f>
        <v>1.158760516</v>
      </c>
      <c r="AM11" s="30">
        <f>IFERROR(__xludf.DUMMYFUNCTION("""COMPUTED_VALUE"""),1.0297373732267807)</f>
        <v>1.029737373</v>
      </c>
      <c r="AN11" s="30">
        <f>IFERROR(__xludf.DUMMYFUNCTION("""COMPUTED_VALUE"""),0.6556235661659006)</f>
        <v>0.6556235662</v>
      </c>
      <c r="AO11" s="30">
        <f>IFERROR(__xludf.DUMMYFUNCTION("""COMPUTED_VALUE"""),0.31573659768503304)</f>
        <v>0.3157365977</v>
      </c>
      <c r="AP11" s="30">
        <f>IFERROR(__xludf.DUMMYFUNCTION("""COMPUTED_VALUE"""),1.2599077313114855)</f>
        <v>1.259907731</v>
      </c>
      <c r="AQ11" s="30">
        <f>IFERROR(__xludf.DUMMYFUNCTION("""COMPUTED_VALUE"""),0.34760257018867086)</f>
        <v>0.3476025702</v>
      </c>
      <c r="AR11" s="30">
        <f>IFERROR(__xludf.DUMMYFUNCTION("""COMPUTED_VALUE"""),1.2254633400863635)</f>
        <v>1.22546334</v>
      </c>
      <c r="AS11" s="30">
        <f>IFERROR(__xludf.DUMMYFUNCTION("""COMPUTED_VALUE"""),6.0)</f>
        <v>6</v>
      </c>
      <c r="AT11" s="30">
        <f>IFERROR(__xludf.DUMMYFUNCTION("""COMPUTED_VALUE"""),0.39839556112833874)</f>
        <v>0.3983955611</v>
      </c>
      <c r="AU11" s="30">
        <f>IFERROR(__xludf.DUMMYFUNCTION("""COMPUTED_VALUE"""),2.015689846728387)</f>
        <v>2.015689847</v>
      </c>
      <c r="AV11" s="32">
        <f>IFERROR(__xludf.DUMMYFUNCTION("""COMPUTED_VALUE"""),38.44395353095352)</f>
        <v>38.44395353</v>
      </c>
      <c r="AW11" s="32">
        <f>IFERROR(__xludf.DUMMYFUNCTION("""COMPUTED_VALUE"""),-3.1060343185669987)</f>
        <v>-3.106034319</v>
      </c>
      <c r="AX11" s="32">
        <f>IFERROR(__xludf.DUMMYFUNCTION("""COMPUTED_VALUE"""),18.6692262808183)</f>
        <v>18.66922628</v>
      </c>
      <c r="AY11" s="32">
        <f>IFERROR(__xludf.DUMMYFUNCTION("""COMPUTED_VALUE"""),-9.51829481188656)</f>
        <v>-9.518294812</v>
      </c>
      <c r="AZ11" s="30">
        <f>IFERROR(__xludf.DUMMYFUNCTION("""COMPUTED_VALUE"""),6.412260493319562)</f>
        <v>6.412260493</v>
      </c>
      <c r="BA11" s="30">
        <f>IFERROR(__xludf.DUMMYFUNCTION("""COMPUTED_VALUE"""),2.0)</f>
        <v>2</v>
      </c>
    </row>
    <row r="12">
      <c r="A12" s="30" t="str">
        <f>IFERROR(__xludf.DUMMYFUNCTION("""COMPUTED_VALUE"""),"Premier")</f>
        <v>Premier</v>
      </c>
      <c r="B12" s="30" t="str">
        <f>IFERROR(__xludf.DUMMYFUNCTION("""COMPUTED_VALUE"""),"RSC007150")</f>
        <v>RSC007150</v>
      </c>
      <c r="C12" s="30" t="str">
        <f>IFERROR(__xludf.DUMMYFUNCTION("""COMPUTED_VALUE"""),"peach")</f>
        <v>peach</v>
      </c>
      <c r="D12" s="30" t="str">
        <f>IFERROR(__xludf.DUMMYFUNCTION("""COMPUTED_VALUE"""),"Fairies")</f>
        <v>Fairies</v>
      </c>
      <c r="E12" s="30">
        <f>IFERROR(__xludf.DUMMYFUNCTION("""COMPUTED_VALUE"""),28.0)</f>
        <v>28</v>
      </c>
      <c r="F12" s="30">
        <f>IFERROR(__xludf.DUMMYFUNCTION("""COMPUTED_VALUE"""),7.0)</f>
        <v>7</v>
      </c>
      <c r="G12" s="30">
        <f>IFERROR(__xludf.DUMMYFUNCTION("""COMPUTED_VALUE"""),21.0)</f>
        <v>21</v>
      </c>
      <c r="H12" s="42">
        <f>IFERROR(__xludf.DUMMYFUNCTION("""COMPUTED_VALUE"""),0.25)</f>
        <v>0.25</v>
      </c>
      <c r="I12" s="42">
        <f>IFERROR(__xludf.DUMMYFUNCTION("""COMPUTED_VALUE"""),0.16176470588235295)</f>
        <v>0.1617647059</v>
      </c>
      <c r="J12" s="30">
        <f>IFERROR(__xludf.DUMMYFUNCTION("""COMPUTED_VALUE"""),303.42857142857144)</f>
        <v>303.4285714</v>
      </c>
      <c r="K12" s="30">
        <f>IFERROR(__xludf.DUMMYFUNCTION("""COMPUTED_VALUE"""),0.39285714285714285)</f>
        <v>0.3928571429</v>
      </c>
      <c r="L12" s="30">
        <f>IFERROR(__xludf.DUMMYFUNCTION("""COMPUTED_VALUE"""),0.39285714285714285)</f>
        <v>0.3928571429</v>
      </c>
      <c r="M12" s="30">
        <f>IFERROR(__xludf.DUMMYFUNCTION("""COMPUTED_VALUE"""),1.4285714285714286)</f>
        <v>1.428571429</v>
      </c>
      <c r="N12" s="30">
        <f>IFERROR(__xludf.DUMMYFUNCTION("""COMPUTED_VALUE"""),2.4285714285714284)</f>
        <v>2.428571429</v>
      </c>
      <c r="O12" s="30">
        <f>IFERROR(__xludf.DUMMYFUNCTION("""COMPUTED_VALUE"""),400.11904761904765)</f>
        <v>400.1190476</v>
      </c>
      <c r="P12" s="30">
        <f>IFERROR(__xludf.DUMMYFUNCTION("""COMPUTED_VALUE"""),0.9642857142857142)</f>
        <v>0.9642857143</v>
      </c>
      <c r="Q12" s="30">
        <f>IFERROR(__xludf.DUMMYFUNCTION("""COMPUTED_VALUE"""),0.8095238095238094)</f>
        <v>0.8095238095</v>
      </c>
      <c r="R12" s="30">
        <f>IFERROR(__xludf.DUMMYFUNCTION("""COMPUTED_VALUE"""),1.440476190476191)</f>
        <v>1.44047619</v>
      </c>
      <c r="S12" s="30">
        <f>IFERROR(__xludf.DUMMYFUNCTION("""COMPUTED_VALUE"""),3.2142857142857144)</f>
        <v>3.214285714</v>
      </c>
      <c r="T12" s="30">
        <f>IFERROR(__xludf.DUMMYFUNCTION("""COMPUTED_VALUE"""),379.17442402427866)</f>
        <v>379.174424</v>
      </c>
      <c r="U12" s="30">
        <f>IFERROR(__xludf.DUMMYFUNCTION("""COMPUTED_VALUE"""),0.8675302211817941)</f>
        <v>0.8675302212</v>
      </c>
      <c r="V12" s="30">
        <f>IFERROR(__xludf.DUMMYFUNCTION("""COMPUTED_VALUE"""),0.6701188143884996)</f>
        <v>0.6701188144</v>
      </c>
      <c r="W12" s="30">
        <f>IFERROR(__xludf.DUMMYFUNCTION("""COMPUTED_VALUE"""),1.4173348012733906)</f>
        <v>1.417334801</v>
      </c>
      <c r="X12" s="30">
        <f>IFERROR(__xludf.DUMMYFUNCTION("""COMPUTED_VALUE"""),2.7800062694848306)</f>
        <v>2.780006269</v>
      </c>
      <c r="Y12" s="30">
        <f>IFERROR(__xludf.DUMMYFUNCTION("""COMPUTED_VALUE"""),367.44280129824847)</f>
        <v>367.4428013</v>
      </c>
      <c r="Z12" s="30">
        <f>IFERROR(__xludf.DUMMYFUNCTION("""COMPUTED_VALUE"""),0.7933296730456617)</f>
        <v>0.793329673</v>
      </c>
      <c r="AA12" s="30">
        <f>IFERROR(__xludf.DUMMYFUNCTION("""COMPUTED_VALUE"""),0.6057640357755564)</f>
        <v>0.6057640358</v>
      </c>
      <c r="AB12" s="30">
        <f>IFERROR(__xludf.DUMMYFUNCTION("""COMPUTED_VALUE"""),1.4545709140980634)</f>
        <v>1.454570914</v>
      </c>
      <c r="AC12" s="30">
        <f>IFERROR(__xludf.DUMMYFUNCTION("""COMPUTED_VALUE"""),2.679194419389272)</f>
        <v>2.679194419</v>
      </c>
      <c r="AD12" s="30">
        <f>IFERROR(__xludf.DUMMYFUNCTION("""COMPUTED_VALUE"""),0.8257845040275601)</f>
        <v>0.825784504</v>
      </c>
      <c r="AE12" s="30">
        <f>IFERROR(__xludf.DUMMYFUNCTION("""COMPUTED_VALUE"""),0.4952003639910884)</f>
        <v>0.495200364</v>
      </c>
      <c r="AF12" s="30">
        <f>IFERROR(__xludf.DUMMYFUNCTION("""COMPUTED_VALUE"""),0.6485316388157147)</f>
        <v>0.6485316388</v>
      </c>
      <c r="AG12" s="30">
        <f>IFERROR(__xludf.DUMMYFUNCTION("""COMPUTED_VALUE"""),0.9821256665628046)</f>
        <v>0.9821256666</v>
      </c>
      <c r="AH12" s="30">
        <f>IFERROR(__xludf.DUMMYFUNCTION("""COMPUTED_VALUE"""),0.9064558402316418)</f>
        <v>0.9064558402</v>
      </c>
      <c r="AI12" s="30">
        <f>IFERROR(__xludf.DUMMYFUNCTION("""COMPUTED_VALUE"""),1.0552374376216576)</f>
        <v>1.055237438</v>
      </c>
      <c r="AJ12" s="30">
        <f>IFERROR(__xludf.DUMMYFUNCTION("""COMPUTED_VALUE"""),1.1115298242545542)</f>
        <v>1.111529824</v>
      </c>
      <c r="AK12" s="30">
        <f>IFERROR(__xludf.DUMMYFUNCTION("""COMPUTED_VALUE"""),1.2080302658902666)</f>
        <v>1.208030266</v>
      </c>
      <c r="AL12" s="30">
        <f>IFERROR(__xludf.DUMMYFUNCTION("""COMPUTED_VALUE"""),1.0163273978611187)</f>
        <v>1.016327398</v>
      </c>
      <c r="AM12" s="30">
        <f>IFERROR(__xludf.DUMMYFUNCTION("""COMPUTED_VALUE"""),1.1562152753279082)</f>
        <v>1.156215275</v>
      </c>
      <c r="AN12" s="30">
        <f>IFERROR(__xludf.DUMMYFUNCTION("""COMPUTED_VALUE"""),0.8314939271750248)</f>
        <v>0.8314939272</v>
      </c>
      <c r="AO12" s="30">
        <f>IFERROR(__xludf.DUMMYFUNCTION("""COMPUTED_VALUE"""),0.49615751064790903)</f>
        <v>0.4961575106</v>
      </c>
      <c r="AP12" s="30">
        <f>IFERROR(__xludf.DUMMYFUNCTION("""COMPUTED_VALUE"""),0.6599516687822067)</f>
        <v>0.6599516688</v>
      </c>
      <c r="AQ12" s="30">
        <f>IFERROR(__xludf.DUMMYFUNCTION("""COMPUTED_VALUE"""),0.9931502005390597)</f>
        <v>0.9931502005</v>
      </c>
      <c r="AR12" s="30">
        <f>IFERROR(__xludf.DUMMYFUNCTION("""COMPUTED_VALUE"""),0.9157308475370627)</f>
        <v>0.9157308475</v>
      </c>
      <c r="AS12" s="30">
        <f>IFERROR(__xludf.DUMMYFUNCTION("""COMPUTED_VALUE"""),44.0)</f>
        <v>44</v>
      </c>
      <c r="AT12" s="30">
        <f>IFERROR(__xludf.DUMMYFUNCTION("""COMPUTED_VALUE"""),0.2813959575969064)</f>
        <v>0.2813959576</v>
      </c>
      <c r="AU12" s="30">
        <f>IFERROR(__xludf.DUMMYFUNCTION("""COMPUTED_VALUE"""),1.213555293700495)</f>
        <v>1.213555294</v>
      </c>
      <c r="AV12" s="32">
        <f>IFERROR(__xludf.DUMMYFUNCTION("""COMPUTED_VALUE"""),14.203511544710828)</f>
        <v>14.20351154</v>
      </c>
      <c r="AW12" s="32">
        <f>IFERROR(__xludf.DUMMYFUNCTION("""COMPUTED_VALUE"""),-13.141983947959373)</f>
        <v>-13.14198395</v>
      </c>
      <c r="AX12" s="32">
        <f>IFERROR(__xludf.DUMMYFUNCTION("""COMPUTED_VALUE"""),9.407892392296176)</f>
        <v>9.407892392</v>
      </c>
      <c r="AY12" s="32">
        <f>IFERROR(__xludf.DUMMYFUNCTION("""COMPUTED_VALUE"""),-19.149163866184864)</f>
        <v>-19.14916387</v>
      </c>
      <c r="AZ12" s="30">
        <f>IFERROR(__xludf.DUMMYFUNCTION("""COMPUTED_VALUE"""),6.007179918225491)</f>
        <v>6.007179918</v>
      </c>
      <c r="BA12" s="30">
        <f>IFERROR(__xludf.DUMMYFUNCTION("""COMPUTED_VALUE"""),2.0)</f>
        <v>2</v>
      </c>
    </row>
    <row r="13">
      <c r="A13" s="30" t="str">
        <f>IFERROR(__xludf.DUMMYFUNCTION("""COMPUTED_VALUE"""),"Premier")</f>
        <v>Premier</v>
      </c>
      <c r="B13" s="71" t="str">
        <f>IFERROR(__xludf.DUMMYFUNCTION("""COMPUTED_VALUE"""),"RSC007409")</f>
        <v>RSC007409</v>
      </c>
      <c r="C13" s="30" t="str">
        <f>IFERROR(__xludf.DUMMYFUNCTION("""COMPUTED_VALUE"""),"Averded")</f>
        <v>Averded</v>
      </c>
      <c r="D13" s="30" t="str">
        <f>IFERROR(__xludf.DUMMYFUNCTION("""COMPUTED_VALUE"""),"Excavators")</f>
        <v>Excavators</v>
      </c>
      <c r="E13" s="30">
        <f>IFERROR(__xludf.DUMMYFUNCTION("""COMPUTED_VALUE"""),4.0)</f>
        <v>4</v>
      </c>
      <c r="F13" s="30">
        <f>IFERROR(__xludf.DUMMYFUNCTION("""COMPUTED_VALUE"""),1.0)</f>
        <v>1</v>
      </c>
      <c r="G13" s="30">
        <f>IFERROR(__xludf.DUMMYFUNCTION("""COMPUTED_VALUE"""),3.0)</f>
        <v>3</v>
      </c>
      <c r="H13" s="42">
        <f>IFERROR(__xludf.DUMMYFUNCTION("""COMPUTED_VALUE"""),0.25)</f>
        <v>0.25</v>
      </c>
      <c r="I13" s="42">
        <f>IFERROR(__xludf.DUMMYFUNCTION("""COMPUTED_VALUE"""),0.5454545454545454)</f>
        <v>0.5454545455</v>
      </c>
      <c r="J13" s="30">
        <f>IFERROR(__xludf.DUMMYFUNCTION("""COMPUTED_VALUE"""),367.0)</f>
        <v>367</v>
      </c>
      <c r="K13" s="30">
        <f>IFERROR(__xludf.DUMMYFUNCTION("""COMPUTED_VALUE"""),1.5)</f>
        <v>1.5</v>
      </c>
      <c r="L13" s="30">
        <f>IFERROR(__xludf.DUMMYFUNCTION("""COMPUTED_VALUE"""),0.0)</f>
        <v>0</v>
      </c>
      <c r="M13" s="30">
        <f>IFERROR(__xludf.DUMMYFUNCTION("""COMPUTED_VALUE"""),0.75)</f>
        <v>0.75</v>
      </c>
      <c r="N13" s="30">
        <f>IFERROR(__xludf.DUMMYFUNCTION("""COMPUTED_VALUE"""),2.75)</f>
        <v>2.75</v>
      </c>
      <c r="O13" s="30">
        <f>IFERROR(__xludf.DUMMYFUNCTION("""COMPUTED_VALUE"""),401.91666666666663)</f>
        <v>401.9166667</v>
      </c>
      <c r="P13" s="30">
        <f>IFERROR(__xludf.DUMMYFUNCTION("""COMPUTED_VALUE"""),1.0833333333333333)</f>
        <v>1.083333333</v>
      </c>
      <c r="Q13" s="30">
        <f>IFERROR(__xludf.DUMMYFUNCTION("""COMPUTED_VALUE"""),0.75)</f>
        <v>0.75</v>
      </c>
      <c r="R13" s="30">
        <f>IFERROR(__xludf.DUMMYFUNCTION("""COMPUTED_VALUE"""),1.4166666666666667)</f>
        <v>1.416666667</v>
      </c>
      <c r="S13" s="30">
        <f>IFERROR(__xludf.DUMMYFUNCTION("""COMPUTED_VALUE"""),3.0)</f>
        <v>3</v>
      </c>
      <c r="T13" s="30">
        <f>IFERROR(__xludf.DUMMYFUNCTION("""COMPUTED_VALUE"""),385.81668045469866)</f>
        <v>385.8166805</v>
      </c>
      <c r="U13" s="30">
        <f>IFERROR(__xludf.DUMMYFUNCTION("""COMPUTED_VALUE"""),0.9464871158501088)</f>
        <v>0.9464871159</v>
      </c>
      <c r="V13" s="30">
        <f>IFERROR(__xludf.DUMMYFUNCTION("""COMPUTED_VALUE"""),0.736663909060269)</f>
        <v>0.7366639091</v>
      </c>
      <c r="W13" s="30">
        <f>IFERROR(__xludf.DUMMYFUNCTION("""COMPUTED_VALUE"""),1.328530502190765)</f>
        <v>1.328530502</v>
      </c>
      <c r="X13" s="30">
        <f>IFERROR(__xludf.DUMMYFUNCTION("""COMPUTED_VALUE"""),2.7373226705885956)</f>
        <v>2.737322671</v>
      </c>
      <c r="Y13" s="30">
        <f>IFERROR(__xludf.DUMMYFUNCTION("""COMPUTED_VALUE"""),360.3877194595091)</f>
        <v>360.3877195</v>
      </c>
      <c r="Z13" s="30">
        <f>IFERROR(__xludf.DUMMYFUNCTION("""COMPUTED_VALUE"""),0.7948494040506174)</f>
        <v>0.7948494041</v>
      </c>
      <c r="AA13" s="30">
        <f>IFERROR(__xludf.DUMMYFUNCTION("""COMPUTED_VALUE"""),0.6294160002451207)</f>
        <v>0.6294160002</v>
      </c>
      <c r="AB13" s="30">
        <f>IFERROR(__xludf.DUMMYFUNCTION("""COMPUTED_VALUE"""),1.3111320484930193)</f>
        <v>1.311132048</v>
      </c>
      <c r="AC13" s="30">
        <f>IFERROR(__xludf.DUMMYFUNCTION("""COMPUTED_VALUE"""),2.4190106321046665)</f>
        <v>2.419010632</v>
      </c>
      <c r="AD13" s="30">
        <f>IFERROR(__xludf.DUMMYFUNCTION("""COMPUTED_VALUE"""),1.0183476855160538)</f>
        <v>1.018347686</v>
      </c>
      <c r="AE13" s="30">
        <f>IFERROR(__xludf.DUMMYFUNCTION("""COMPUTED_VALUE"""),1.8871499335042305)</f>
        <v>1.887149934</v>
      </c>
      <c r="AF13" s="30">
        <f>IFERROR(__xludf.DUMMYFUNCTION("""COMPUTED_VALUE"""),0.0)</f>
        <v>0</v>
      </c>
      <c r="AG13" s="30">
        <f>IFERROR(__xludf.DUMMYFUNCTION("""COMPUTED_VALUE"""),0.5720247635331851)</f>
        <v>0.5720247635</v>
      </c>
      <c r="AH13" s="30">
        <f>IFERROR(__xludf.DUMMYFUNCTION("""COMPUTED_VALUE"""),1.1368284055896667)</f>
        <v>1.136828406</v>
      </c>
      <c r="AI13" s="30">
        <f>IFERROR(__xludf.DUMMYFUNCTION("""COMPUTED_VALUE"""),1.0417296271197853)</f>
        <v>1.041729627</v>
      </c>
      <c r="AJ13" s="30">
        <f>IFERROR(__xludf.DUMMYFUNCTION("""COMPUTED_VALUE"""),1.1445832861235654)</f>
        <v>1.144583286</v>
      </c>
      <c r="AK13" s="30">
        <f>IFERROR(__xludf.DUMMYFUNCTION("""COMPUTED_VALUE"""),1.0181033586357493)</f>
        <v>1.018103359</v>
      </c>
      <c r="AL13" s="30">
        <f>IFERROR(__xludf.DUMMYFUNCTION("""COMPUTED_VALUE"""),1.0663410921545)</f>
        <v>1.066341092</v>
      </c>
      <c r="AM13" s="30">
        <f>IFERROR(__xludf.DUMMYFUNCTION("""COMPUTED_VALUE"""),1.0959614050012314)</f>
        <v>1.095961405</v>
      </c>
      <c r="AN13" s="30">
        <f>IFERROR(__xludf.DUMMYFUNCTION("""COMPUTED_VALUE"""),1.0057005173788318)</f>
        <v>1.005700517</v>
      </c>
      <c r="AO13" s="30">
        <f>IFERROR(__xludf.DUMMYFUNCTION("""COMPUTED_VALUE"""),1.8944195861101982)</f>
        <v>1.894419586</v>
      </c>
      <c r="AP13" s="30">
        <f>IFERROR(__xludf.DUMMYFUNCTION("""COMPUTED_VALUE"""),0.0)</f>
        <v>0</v>
      </c>
      <c r="AQ13" s="30">
        <f>IFERROR(__xludf.DUMMYFUNCTION("""COMPUTED_VALUE"""),0.5214038552830063)</f>
        <v>0.5214038553</v>
      </c>
      <c r="AR13" s="30">
        <f>IFERROR(__xludf.DUMMYFUNCTION("""COMPUTED_VALUE"""),1.0369305185346152)</f>
        <v>1.036930519</v>
      </c>
      <c r="AS13" s="30">
        <f>IFERROR(__xludf.DUMMYFUNCTION("""COMPUTED_VALUE"""),13.0)</f>
        <v>13</v>
      </c>
      <c r="AT13" s="30">
        <f>IFERROR(__xludf.DUMMYFUNCTION("""COMPUTED_VALUE"""),0.5)</f>
        <v>0.5</v>
      </c>
      <c r="AU13" s="30">
        <f>IFERROR(__xludf.DUMMYFUNCTION("""COMPUTED_VALUE"""),2.5500731825678855)</f>
        <v>2.550073183</v>
      </c>
      <c r="AV13" s="32">
        <f>IFERROR(__xludf.DUMMYFUNCTION("""COMPUTED_VALUE"""),54.59297516570883)</f>
        <v>54.59297517</v>
      </c>
      <c r="AW13" s="32">
        <f>IFERROR(__xludf.DUMMYFUNCTION("""COMPUTED_VALUE"""),2.3412791340714483)</f>
        <v>2.341279134</v>
      </c>
      <c r="AX13" s="32">
        <f>IFERROR(__xludf.DUMMYFUNCTION("""COMPUTED_VALUE"""),35.28105840408976)</f>
        <v>35.2810584</v>
      </c>
      <c r="AY13" s="32">
        <f>IFERROR(__xludf.DUMMYFUNCTION("""COMPUTED_VALUE"""),-3.596968010509107)</f>
        <v>-3.596968011</v>
      </c>
      <c r="AZ13" s="30">
        <f>IFERROR(__xludf.DUMMYFUNCTION("""COMPUTED_VALUE"""),5.938247144580555)</f>
        <v>5.938247145</v>
      </c>
      <c r="BA13" s="30">
        <f>IFERROR(__xludf.DUMMYFUNCTION("""COMPUTED_VALUE"""),2.0)</f>
        <v>2</v>
      </c>
    </row>
    <row r="14">
      <c r="A14" s="30" t="str">
        <f>IFERROR(__xludf.DUMMYFUNCTION("""COMPUTED_VALUE"""),"Premier")</f>
        <v>Premier</v>
      </c>
      <c r="B14" s="71" t="str">
        <f>IFERROR(__xludf.DUMMYFUNCTION("""COMPUTED_VALUE"""),"RSC003804")</f>
        <v>RSC003804</v>
      </c>
      <c r="C14" s="30" t="str">
        <f>IFERROR(__xludf.DUMMYFUNCTION("""COMPUTED_VALUE"""),"ayylo")</f>
        <v>ayylo</v>
      </c>
      <c r="D14" s="30" t="str">
        <f>IFERROR(__xludf.DUMMYFUNCTION("""COMPUTED_VALUE"""),"Hurricanes")</f>
        <v>Hurricanes</v>
      </c>
      <c r="E14" s="30">
        <f>IFERROR(__xludf.DUMMYFUNCTION("""COMPUTED_VALUE"""),42.0)</f>
        <v>42</v>
      </c>
      <c r="F14" s="30">
        <f>IFERROR(__xludf.DUMMYFUNCTION("""COMPUTED_VALUE"""),26.0)</f>
        <v>26</v>
      </c>
      <c r="G14" s="30">
        <f>IFERROR(__xludf.DUMMYFUNCTION("""COMPUTED_VALUE"""),16.0)</f>
        <v>16</v>
      </c>
      <c r="H14" s="42">
        <f>IFERROR(__xludf.DUMMYFUNCTION("""COMPUTED_VALUE"""),0.6190476190476191)</f>
        <v>0.619047619</v>
      </c>
      <c r="I14" s="42">
        <f>IFERROR(__xludf.DUMMYFUNCTION("""COMPUTED_VALUE"""),0.26956521739130435)</f>
        <v>0.2695652174</v>
      </c>
      <c r="J14" s="30">
        <f>IFERROR(__xludf.DUMMYFUNCTION("""COMPUTED_VALUE"""),329.4047619047619)</f>
        <v>329.4047619</v>
      </c>
      <c r="K14" s="30">
        <f>IFERROR(__xludf.DUMMYFUNCTION("""COMPUTED_VALUE"""),0.7380952380952381)</f>
        <v>0.7380952381</v>
      </c>
      <c r="L14" s="30">
        <f>IFERROR(__xludf.DUMMYFUNCTION("""COMPUTED_VALUE"""),0.35714285714285715)</f>
        <v>0.3571428571</v>
      </c>
      <c r="M14" s="30">
        <f>IFERROR(__xludf.DUMMYFUNCTION("""COMPUTED_VALUE"""),1.4047619047619047)</f>
        <v>1.404761905</v>
      </c>
      <c r="N14" s="30">
        <f>IFERROR(__xludf.DUMMYFUNCTION("""COMPUTED_VALUE"""),2.738095238095238)</f>
        <v>2.738095238</v>
      </c>
      <c r="O14" s="30">
        <f>IFERROR(__xludf.DUMMYFUNCTION("""COMPUTED_VALUE"""),371.46031746031747)</f>
        <v>371.4603175</v>
      </c>
      <c r="P14" s="30">
        <f>IFERROR(__xludf.DUMMYFUNCTION("""COMPUTED_VALUE"""),0.6984126984126984)</f>
        <v>0.6984126984</v>
      </c>
      <c r="Q14" s="30">
        <f>IFERROR(__xludf.DUMMYFUNCTION("""COMPUTED_VALUE"""),0.5476190476190478)</f>
        <v>0.5476190476</v>
      </c>
      <c r="R14" s="30">
        <f>IFERROR(__xludf.DUMMYFUNCTION("""COMPUTED_VALUE"""),1.6428571428571428)</f>
        <v>1.642857143</v>
      </c>
      <c r="S14" s="30">
        <f>IFERROR(__xludf.DUMMYFUNCTION("""COMPUTED_VALUE"""),2.7698412698412698)</f>
        <v>2.76984127</v>
      </c>
      <c r="T14" s="30">
        <f>IFERROR(__xludf.DUMMYFUNCTION("""COMPUTED_VALUE"""),375.457054057939)</f>
        <v>375.4570541</v>
      </c>
      <c r="U14" s="30">
        <f>IFERROR(__xludf.DUMMYFUNCTION("""COMPUTED_VALUE"""),0.8541409405624252)</f>
        <v>0.8541409406</v>
      </c>
      <c r="V14" s="30">
        <f>IFERROR(__xludf.DUMMYFUNCTION("""COMPUTED_VALUE"""),0.6667743332438262)</f>
        <v>0.6667743332</v>
      </c>
      <c r="W14" s="30">
        <f>IFERROR(__xludf.DUMMYFUNCTION("""COMPUTED_VALUE"""),1.4262491519226896)</f>
        <v>1.426249152</v>
      </c>
      <c r="X14" s="30">
        <f>IFERROR(__xludf.DUMMYFUNCTION("""COMPUTED_VALUE"""),2.728376310097493)</f>
        <v>2.72837631</v>
      </c>
      <c r="Y14" s="30">
        <f>IFERROR(__xludf.DUMMYFUNCTION("""COMPUTED_VALUE"""),376.24865683329006)</f>
        <v>376.2486568</v>
      </c>
      <c r="Z14" s="30">
        <f>IFERROR(__xludf.DUMMYFUNCTION("""COMPUTED_VALUE"""),0.8329323540648579)</f>
        <v>0.8329323541</v>
      </c>
      <c r="AA14" s="30">
        <f>IFERROR(__xludf.DUMMYFUNCTION("""COMPUTED_VALUE"""),0.6497562894225868)</f>
        <v>0.6497562894</v>
      </c>
      <c r="AB14" s="30">
        <f>IFERROR(__xludf.DUMMYFUNCTION("""COMPUTED_VALUE"""),1.4421636077907567)</f>
        <v>1.442163608</v>
      </c>
      <c r="AC14" s="30">
        <f>IFERROR(__xludf.DUMMYFUNCTION("""COMPUTED_VALUE"""),2.7025191993542395)</f>
        <v>2.702519199</v>
      </c>
      <c r="AD14" s="30">
        <f>IFERROR(__xludf.DUMMYFUNCTION("""COMPUTED_VALUE"""),0.8754975092195906)</f>
        <v>0.8754975092</v>
      </c>
      <c r="AE14" s="30">
        <f>IFERROR(__xludf.DUMMYFUNCTION("""COMPUTED_VALUE"""),0.8861406745616283)</f>
        <v>0.8861406746</v>
      </c>
      <c r="AF14" s="30">
        <f>IFERROR(__xludf.DUMMYFUNCTION("""COMPUTED_VALUE"""),0.5496566373528083)</f>
        <v>0.5496566374</v>
      </c>
      <c r="AG14" s="30">
        <f>IFERROR(__xludf.DUMMYFUNCTION("""COMPUTED_VALUE"""),0.9740655617526311)</f>
        <v>0.9740655618</v>
      </c>
      <c r="AH14" s="30">
        <f>IFERROR(__xludf.DUMMYFUNCTION("""COMPUTED_VALUE"""),1.013164028122168)</f>
        <v>1.013164028</v>
      </c>
      <c r="AI14" s="30">
        <f>IFERROR(__xludf.DUMMYFUNCTION("""COMPUTED_VALUE"""),0.9893550099687173)</f>
        <v>0.98935501</v>
      </c>
      <c r="AJ14" s="30">
        <f>IFERROR(__xludf.DUMMYFUNCTION("""COMPUTED_VALUE"""),0.8176785179654489)</f>
        <v>0.817678518</v>
      </c>
      <c r="AK14" s="30">
        <f>IFERROR(__xludf.DUMMYFUNCTION("""COMPUTED_VALUE"""),0.8212959322457818)</f>
        <v>0.8212959322</v>
      </c>
      <c r="AL14" s="30">
        <f>IFERROR(__xludf.DUMMYFUNCTION("""COMPUTED_VALUE"""),1.1518724765882942)</f>
        <v>1.151872477</v>
      </c>
      <c r="AM14" s="30">
        <f>IFERROR(__xludf.DUMMYFUNCTION("""COMPUTED_VALUE"""),1.0151976688810551)</f>
        <v>1.015197669</v>
      </c>
      <c r="AN14" s="30">
        <f>IFERROR(__xludf.DUMMYFUNCTION("""COMPUTED_VALUE"""),0.9026772192770298)</f>
        <v>0.9026772193</v>
      </c>
      <c r="AO14" s="30">
        <f>IFERROR(__xludf.DUMMYFUNCTION("""COMPUTED_VALUE"""),0.9321747169748595)</f>
        <v>0.932174717</v>
      </c>
      <c r="AP14" s="30">
        <f>IFERROR(__xludf.DUMMYFUNCTION("""COMPUTED_VALUE"""),0.5999560625292789)</f>
        <v>0.5999560625</v>
      </c>
      <c r="AQ14" s="30">
        <f>IFERROR(__xludf.DUMMYFUNCTION("""COMPUTED_VALUE"""),0.9765976971967418)</f>
        <v>0.9765976972</v>
      </c>
      <c r="AR14" s="30">
        <f>IFERROR(__xludf.DUMMYFUNCTION("""COMPUTED_VALUE"""),1.0324416418310023)</f>
        <v>1.032441642</v>
      </c>
      <c r="AS14" s="30">
        <f>IFERROR(__xludf.DUMMYFUNCTION("""COMPUTED_VALUE"""),107.0)</f>
        <v>107</v>
      </c>
      <c r="AT14" s="30">
        <f>IFERROR(__xludf.DUMMYFUNCTION("""COMPUTED_VALUE"""),0.5753555840352581)</f>
        <v>0.575355584</v>
      </c>
      <c r="AU14" s="30">
        <f>IFERROR(__xludf.DUMMYFUNCTION("""COMPUTED_VALUE"""),2.1014982534271516)</f>
        <v>2.101498253</v>
      </c>
      <c r="AV14" s="32">
        <f>IFERROR(__xludf.DUMMYFUNCTION("""COMPUTED_VALUE"""),41.03707671292047)</f>
        <v>41.03707671</v>
      </c>
      <c r="AW14" s="32">
        <f>IFERROR(__xludf.DUMMYFUNCTION("""COMPUTED_VALUE"""),-2.7779456144122534)</f>
        <v>-2.777945614</v>
      </c>
      <c r="AX14" s="32">
        <f>IFERROR(__xludf.DUMMYFUNCTION("""COMPUTED_VALUE"""),21.105981762417425)</f>
        <v>21.10598176</v>
      </c>
      <c r="AY14" s="32">
        <f>IFERROR(__xludf.DUMMYFUNCTION("""COMPUTED_VALUE"""),-8.07170775832043)</f>
        <v>-8.071707758</v>
      </c>
      <c r="AZ14" s="30">
        <f>IFERROR(__xludf.DUMMYFUNCTION("""COMPUTED_VALUE"""),5.293762143908177)</f>
        <v>5.293762144</v>
      </c>
      <c r="BA14" s="30">
        <f>IFERROR(__xludf.DUMMYFUNCTION("""COMPUTED_VALUE"""),2.0)</f>
        <v>2</v>
      </c>
    </row>
    <row r="15">
      <c r="A15" s="30" t="str">
        <f>IFERROR(__xludf.DUMMYFUNCTION("""COMPUTED_VALUE"""),"Premier")</f>
        <v>Premier</v>
      </c>
      <c r="B15" s="71" t="str">
        <f>IFERROR(__xludf.DUMMYFUNCTION("""COMPUTED_VALUE"""),"RSC005187")</f>
        <v>RSC005187</v>
      </c>
      <c r="C15" s="30" t="str">
        <f>IFERROR(__xludf.DUMMYFUNCTION("""COMPUTED_VALUE"""),"christophr")</f>
        <v>christophr</v>
      </c>
      <c r="D15" s="30" t="str">
        <f>IFERROR(__xludf.DUMMYFUNCTION("""COMPUTED_VALUE"""),"Old Heads")</f>
        <v>Old Heads</v>
      </c>
      <c r="E15" s="30">
        <f>IFERROR(__xludf.DUMMYFUNCTION("""COMPUTED_VALUE"""),3.0)</f>
        <v>3</v>
      </c>
      <c r="F15" s="30">
        <f>IFERROR(__xludf.DUMMYFUNCTION("""COMPUTED_VALUE"""),1.0)</f>
        <v>1</v>
      </c>
      <c r="G15" s="30">
        <f>IFERROR(__xludf.DUMMYFUNCTION("""COMPUTED_VALUE"""),2.0)</f>
        <v>2</v>
      </c>
      <c r="H15" s="42">
        <f>IFERROR(__xludf.DUMMYFUNCTION("""COMPUTED_VALUE"""),0.3333333333333333)</f>
        <v>0.3333333333</v>
      </c>
      <c r="I15" s="42">
        <f>IFERROR(__xludf.DUMMYFUNCTION("""COMPUTED_VALUE"""),0.42857142857142855)</f>
        <v>0.4285714286</v>
      </c>
      <c r="J15" s="30">
        <f>IFERROR(__xludf.DUMMYFUNCTION("""COMPUTED_VALUE"""),342.6666666666667)</f>
        <v>342.6666667</v>
      </c>
      <c r="K15" s="30">
        <f>IFERROR(__xludf.DUMMYFUNCTION("""COMPUTED_VALUE"""),1.0)</f>
        <v>1</v>
      </c>
      <c r="L15" s="30">
        <f>IFERROR(__xludf.DUMMYFUNCTION("""COMPUTED_VALUE"""),0.3333333333333333)</f>
        <v>0.3333333333</v>
      </c>
      <c r="M15" s="30">
        <f>IFERROR(__xludf.DUMMYFUNCTION("""COMPUTED_VALUE"""),1.6666666666666667)</f>
        <v>1.666666667</v>
      </c>
      <c r="N15" s="30">
        <f>IFERROR(__xludf.DUMMYFUNCTION("""COMPUTED_VALUE"""),2.3333333333333335)</f>
        <v>2.333333333</v>
      </c>
      <c r="O15" s="30">
        <f>IFERROR(__xludf.DUMMYFUNCTION("""COMPUTED_VALUE"""),339.77777777777777)</f>
        <v>339.7777778</v>
      </c>
      <c r="P15" s="30">
        <f>IFERROR(__xludf.DUMMYFUNCTION("""COMPUTED_VALUE"""),0.5555555555555555)</f>
        <v>0.5555555556</v>
      </c>
      <c r="Q15" s="30">
        <f>IFERROR(__xludf.DUMMYFUNCTION("""COMPUTED_VALUE"""),0.3333333333333333)</f>
        <v>0.3333333333</v>
      </c>
      <c r="R15" s="30">
        <f>IFERROR(__xludf.DUMMYFUNCTION("""COMPUTED_VALUE"""),1.222222222222222)</f>
        <v>1.222222222</v>
      </c>
      <c r="S15" s="30">
        <f>IFERROR(__xludf.DUMMYFUNCTION("""COMPUTED_VALUE"""),2.6666666666666665)</f>
        <v>2.666666667</v>
      </c>
      <c r="T15" s="30">
        <f>IFERROR(__xludf.DUMMYFUNCTION("""COMPUTED_VALUE"""),378.9781641721366)</f>
        <v>378.9781642</v>
      </c>
      <c r="U15" s="30">
        <f>IFERROR(__xludf.DUMMYFUNCTION("""COMPUTED_VALUE"""),0.8521171794925017)</f>
        <v>0.8521171795</v>
      </c>
      <c r="V15" s="30">
        <f>IFERROR(__xludf.DUMMYFUNCTION("""COMPUTED_VALUE"""),0.49084059552437515)</f>
        <v>0.4908405955</v>
      </c>
      <c r="W15" s="30">
        <f>IFERROR(__xludf.DUMMYFUNCTION("""COMPUTED_VALUE"""),1.4585050248069262)</f>
        <v>1.458505025</v>
      </c>
      <c r="X15" s="30">
        <f>IFERROR(__xludf.DUMMYFUNCTION("""COMPUTED_VALUE"""),2.812939565589684)</f>
        <v>2.812939566</v>
      </c>
      <c r="Y15" s="30">
        <f>IFERROR(__xludf.DUMMYFUNCTION("""COMPUTED_VALUE"""),381.6235518036294)</f>
        <v>381.6235518</v>
      </c>
      <c r="Z15" s="30">
        <f>IFERROR(__xludf.DUMMYFUNCTION("""COMPUTED_VALUE"""),0.864970579491601)</f>
        <v>0.8649705795</v>
      </c>
      <c r="AA15" s="30">
        <f>IFERROR(__xludf.DUMMYFUNCTION("""COMPUTED_VALUE"""),0.6517044555385662)</f>
        <v>0.6517044555</v>
      </c>
      <c r="AB15" s="30">
        <f>IFERROR(__xludf.DUMMYFUNCTION("""COMPUTED_VALUE"""),1.4454331907526727)</f>
        <v>1.445433191</v>
      </c>
      <c r="AC15" s="30">
        <f>IFERROR(__xludf.DUMMYFUNCTION("""COMPUTED_VALUE"""),2.6848886409129733)</f>
        <v>2.684888641</v>
      </c>
      <c r="AD15" s="30">
        <f>IFERROR(__xludf.DUMMYFUNCTION("""COMPUTED_VALUE"""),0.8979180269329692)</f>
        <v>0.8979180269</v>
      </c>
      <c r="AE15" s="30">
        <f>IFERROR(__xludf.DUMMYFUNCTION("""COMPUTED_VALUE"""),1.1561086859020853)</f>
        <v>1.156108686</v>
      </c>
      <c r="AF15" s="30">
        <f>IFERROR(__xludf.DUMMYFUNCTION("""COMPUTED_VALUE"""),0.5114792917256763)</f>
        <v>0.5114792917</v>
      </c>
      <c r="AG15" s="30">
        <f>IFERROR(__xludf.DUMMYFUNCTION("""COMPUTED_VALUE"""),1.1530568671934205)</f>
        <v>1.153056867</v>
      </c>
      <c r="AH15" s="30">
        <f>IFERROR(__xludf.DUMMYFUNCTION("""COMPUTED_VALUE"""),0.8690614939396158)</f>
        <v>0.8690614939</v>
      </c>
      <c r="AI15" s="30">
        <f>IFERROR(__xludf.DUMMYFUNCTION("""COMPUTED_VALUE"""),0.8965629418782199)</f>
        <v>0.8965629419</v>
      </c>
      <c r="AJ15" s="30">
        <f>IFERROR(__xludf.DUMMYFUNCTION("""COMPUTED_VALUE"""),0.6519708426562055)</f>
        <v>0.6519708427</v>
      </c>
      <c r="AK15" s="30">
        <f>IFERROR(__xludf.DUMMYFUNCTION("""COMPUTED_VALUE"""),0.6791070998869326)</f>
        <v>0.6791070999</v>
      </c>
      <c r="AL15" s="30">
        <f>IFERROR(__xludf.DUMMYFUNCTION("""COMPUTED_VALUE"""),0.8379965796717206)</f>
        <v>0.8379965797</v>
      </c>
      <c r="AM15" s="30">
        <f>IFERROR(__xludf.DUMMYFUNCTION("""COMPUTED_VALUE"""),0.9479999852423584)</f>
        <v>0.9479999852</v>
      </c>
      <c r="AN15" s="30">
        <f>IFERROR(__xludf.DUMMYFUNCTION("""COMPUTED_VALUE"""),0.9390191933382734)</f>
        <v>0.9390191933</v>
      </c>
      <c r="AO15" s="30">
        <f>IFERROR(__xludf.DUMMYFUNCTION("""COMPUTED_VALUE"""),1.2629463907401322)</f>
        <v>1.262946391</v>
      </c>
      <c r="AP15" s="30">
        <f>IFERROR(__xludf.DUMMYFUNCTION("""COMPUTED_VALUE"""),0.5599589916939935)</f>
        <v>0.5599589917</v>
      </c>
      <c r="AQ15" s="30">
        <f>IFERROR(__xludf.DUMMYFUNCTION("""COMPUTED_VALUE"""),1.1586752339622364)</f>
        <v>1.158675234</v>
      </c>
      <c r="AR15" s="30">
        <f>IFERROR(__xludf.DUMMYFUNCTION("""COMPUTED_VALUE"""),0.8798198339081584)</f>
        <v>0.8798198339</v>
      </c>
      <c r="AS15" s="30">
        <f>IFERROR(__xludf.DUMMYFUNCTION("""COMPUTED_VALUE"""),8.0)</f>
        <v>8</v>
      </c>
      <c r="AT15" s="30">
        <f>IFERROR(__xludf.DUMMYFUNCTION("""COMPUTED_VALUE"""),0.6717096347338456)</f>
        <v>0.6717096347</v>
      </c>
      <c r="AU15" s="30">
        <f>IFERROR(__xludf.DUMMYFUNCTION("""COMPUTED_VALUE"""),2.41691217596935)</f>
        <v>2.416912176</v>
      </c>
      <c r="AV15" s="32">
        <f>IFERROR(__xludf.DUMMYFUNCTION("""COMPUTED_VALUE"""),50.568860205074245)</f>
        <v>50.56886021</v>
      </c>
      <c r="AW15" s="32">
        <f>IFERROR(__xludf.DUMMYFUNCTION("""COMPUTED_VALUE"""),2.036978958354057)</f>
        <v>2.036978958</v>
      </c>
      <c r="AX15" s="32">
        <f>IFERROR(__xludf.DUMMYFUNCTION("""COMPUTED_VALUE"""),39.30069955875611)</f>
        <v>39.30069956</v>
      </c>
      <c r="AY15" s="32">
        <f>IFERROR(__xludf.DUMMYFUNCTION("""COMPUTED_VALUE"""),-2.9910053301529467)</f>
        <v>-2.99100533</v>
      </c>
      <c r="AZ15" s="30">
        <f>IFERROR(__xludf.DUMMYFUNCTION("""COMPUTED_VALUE"""),5.027984288507003)</f>
        <v>5.027984289</v>
      </c>
      <c r="BA15" s="30">
        <f>IFERROR(__xludf.DUMMYFUNCTION("""COMPUTED_VALUE"""),2.0)</f>
        <v>2</v>
      </c>
    </row>
    <row r="16">
      <c r="A16" s="30" t="str">
        <f>IFERROR(__xludf.DUMMYFUNCTION("""COMPUTED_VALUE"""),"Premier")</f>
        <v>Premier</v>
      </c>
      <c r="B16" s="71" t="str">
        <f>IFERROR(__xludf.DUMMYFUNCTION("""COMPUTED_VALUE"""),"RSC007541")</f>
        <v>RSC007541</v>
      </c>
      <c r="C16" s="30" t="str">
        <f>IFERROR(__xludf.DUMMYFUNCTION("""COMPUTED_VALUE"""),"Water RL")</f>
        <v>Water RL</v>
      </c>
      <c r="D16" s="30" t="str">
        <f>IFERROR(__xludf.DUMMYFUNCTION("""COMPUTED_VALUE"""),"Interstellar")</f>
        <v>Interstellar</v>
      </c>
      <c r="E16" s="30">
        <f>IFERROR(__xludf.DUMMYFUNCTION("""COMPUTED_VALUE"""),40.0)</f>
        <v>40</v>
      </c>
      <c r="F16" s="30">
        <f>IFERROR(__xludf.DUMMYFUNCTION("""COMPUTED_VALUE"""),14.0)</f>
        <v>14</v>
      </c>
      <c r="G16" s="30">
        <f>IFERROR(__xludf.DUMMYFUNCTION("""COMPUTED_VALUE"""),26.0)</f>
        <v>26</v>
      </c>
      <c r="H16" s="42">
        <f>IFERROR(__xludf.DUMMYFUNCTION("""COMPUTED_VALUE"""),0.35)</f>
        <v>0.35</v>
      </c>
      <c r="I16" s="42">
        <f>IFERROR(__xludf.DUMMYFUNCTION("""COMPUTED_VALUE"""),0.27884615384615385)</f>
        <v>0.2788461538</v>
      </c>
      <c r="J16" s="30">
        <f>IFERROR(__xludf.DUMMYFUNCTION("""COMPUTED_VALUE"""),390.825)</f>
        <v>390.825</v>
      </c>
      <c r="K16" s="30">
        <f>IFERROR(__xludf.DUMMYFUNCTION("""COMPUTED_VALUE"""),0.725)</f>
        <v>0.725</v>
      </c>
      <c r="L16" s="30">
        <f>IFERROR(__xludf.DUMMYFUNCTION("""COMPUTED_VALUE"""),0.625)</f>
        <v>0.625</v>
      </c>
      <c r="M16" s="30">
        <f>IFERROR(__xludf.DUMMYFUNCTION("""COMPUTED_VALUE"""),1.725)</f>
        <v>1.725</v>
      </c>
      <c r="N16" s="30">
        <f>IFERROR(__xludf.DUMMYFUNCTION("""COMPUTED_VALUE"""),2.6)</f>
        <v>2.6</v>
      </c>
      <c r="O16" s="30">
        <f>IFERROR(__xludf.DUMMYFUNCTION("""COMPUTED_VALUE"""),364.4166666666667)</f>
        <v>364.4166667</v>
      </c>
      <c r="P16" s="30">
        <f>IFERROR(__xludf.DUMMYFUNCTION("""COMPUTED_VALUE"""),0.9166666666666666)</f>
        <v>0.9166666667</v>
      </c>
      <c r="Q16" s="30">
        <f>IFERROR(__xludf.DUMMYFUNCTION("""COMPUTED_VALUE"""),0.7083333333333334)</f>
        <v>0.7083333333</v>
      </c>
      <c r="R16" s="30">
        <f>IFERROR(__xludf.DUMMYFUNCTION("""COMPUTED_VALUE"""),1.1083333333333334)</f>
        <v>1.108333333</v>
      </c>
      <c r="S16" s="30">
        <f>IFERROR(__xludf.DUMMYFUNCTION("""COMPUTED_VALUE"""),3.0083333333333333)</f>
        <v>3.008333333</v>
      </c>
      <c r="T16" s="30">
        <f>IFERROR(__xludf.DUMMYFUNCTION("""COMPUTED_VALUE"""),371.3181424613694)</f>
        <v>371.3181425</v>
      </c>
      <c r="U16" s="30">
        <f>IFERROR(__xludf.DUMMYFUNCTION("""COMPUTED_VALUE"""),0.813880427187307)</f>
        <v>0.8138804272</v>
      </c>
      <c r="V16" s="30">
        <f>IFERROR(__xludf.DUMMYFUNCTION("""COMPUTED_VALUE"""),0.6682782488335712)</f>
        <v>0.6682782488</v>
      </c>
      <c r="W16" s="30">
        <f>IFERROR(__xludf.DUMMYFUNCTION("""COMPUTED_VALUE"""),1.4112998982794351)</f>
        <v>1.411299898</v>
      </c>
      <c r="X16" s="30">
        <f>IFERROR(__xludf.DUMMYFUNCTION("""COMPUTED_VALUE"""),2.7239108761991933)</f>
        <v>2.723910876</v>
      </c>
      <c r="Y16" s="30">
        <f>IFERROR(__xludf.DUMMYFUNCTION("""COMPUTED_VALUE"""),371.89025512797207)</f>
        <v>371.8902551</v>
      </c>
      <c r="Z16" s="30">
        <f>IFERROR(__xludf.DUMMYFUNCTION("""COMPUTED_VALUE"""),0.815398257218094)</f>
        <v>0.8153982572</v>
      </c>
      <c r="AA16" s="30">
        <f>IFERROR(__xludf.DUMMYFUNCTION("""COMPUTED_VALUE"""),0.6414919918554047)</f>
        <v>0.6414919919</v>
      </c>
      <c r="AB16" s="30">
        <f>IFERROR(__xludf.DUMMYFUNCTION("""COMPUTED_VALUE"""),1.4242973867133575)</f>
        <v>1.424297387</v>
      </c>
      <c r="AC16" s="30">
        <f>IFERROR(__xludf.DUMMYFUNCTION("""COMPUTED_VALUE"""),2.660984766070039)</f>
        <v>2.660984766</v>
      </c>
      <c r="AD16" s="30">
        <f>IFERROR(__xludf.DUMMYFUNCTION("""COMPUTED_VALUE"""),1.0509148723606976)</f>
        <v>1.050914872</v>
      </c>
      <c r="AE16" s="30">
        <f>IFERROR(__xludf.DUMMYFUNCTION("""COMPUTED_VALUE"""),0.8891360676603516)</f>
        <v>0.8891360677</v>
      </c>
      <c r="AF16" s="30">
        <f>IFERROR(__xludf.DUMMYFUNCTION("""COMPUTED_VALUE"""),0.9742911960479749)</f>
        <v>0.974291196</v>
      </c>
      <c r="AG16" s="30">
        <f>IFERROR(__xludf.DUMMYFUNCTION("""COMPUTED_VALUE"""),1.2111234746983073)</f>
        <v>1.211123475</v>
      </c>
      <c r="AH16" s="30">
        <f>IFERROR(__xludf.DUMMYFUNCTION("""COMPUTED_VALUE"""),0.9770818807955424)</f>
        <v>0.9770818808</v>
      </c>
      <c r="AI16" s="30">
        <f>IFERROR(__xludf.DUMMYFUNCTION("""COMPUTED_VALUE"""),0.9814135777235266)</f>
        <v>0.9814135777</v>
      </c>
      <c r="AJ16" s="30">
        <f>IFERROR(__xludf.DUMMYFUNCTION("""COMPUTED_VALUE"""),1.1262915731179075)</f>
        <v>1.126291573</v>
      </c>
      <c r="AK16" s="30">
        <f>IFERROR(__xludf.DUMMYFUNCTION("""COMPUTED_VALUE"""),1.059937734872675)</f>
        <v>1.059937735</v>
      </c>
      <c r="AL16" s="30">
        <f>IFERROR(__xludf.DUMMYFUNCTION("""COMPUTED_VALUE"""),0.7853280048305404)</f>
        <v>0.7853280048</v>
      </c>
      <c r="AM16" s="30">
        <f>IFERROR(__xludf.DUMMYFUNCTION("""COMPUTED_VALUE"""),1.1044169468316116)</f>
        <v>1.104416947</v>
      </c>
      <c r="AN16" s="30">
        <f>IFERROR(__xludf.DUMMYFUNCTION("""COMPUTED_VALUE"""),1.0709888411568989)</f>
        <v>1.070988841</v>
      </c>
      <c r="AO16" s="30">
        <f>IFERROR(__xludf.DUMMYFUNCTION("""COMPUTED_VALUE"""),0.9156361332865958)</f>
        <v>0.9156361333</v>
      </c>
      <c r="AP16" s="30">
        <f>IFERROR(__xludf.DUMMYFUNCTION("""COMPUTED_VALUE"""),1.049923109426238)</f>
        <v>1.049923109</v>
      </c>
      <c r="AQ16" s="30">
        <f>IFERROR(__xludf.DUMMYFUNCTION("""COMPUTED_VALUE"""),1.1992288671509146)</f>
        <v>1.199228867</v>
      </c>
      <c r="AR16" s="30">
        <f>IFERROR(__xludf.DUMMYFUNCTION("""COMPUTED_VALUE"""),0.9803706720690908)</f>
        <v>0.9803706721</v>
      </c>
      <c r="AS16" s="30">
        <f>IFERROR(__xludf.DUMMYFUNCTION("""COMPUTED_VALUE"""),84.0)</f>
        <v>84</v>
      </c>
      <c r="AT16" s="30">
        <f>IFERROR(__xludf.DUMMYFUNCTION("""COMPUTED_VALUE"""),0.39549827193257986)</f>
        <v>0.3954982719</v>
      </c>
      <c r="AU16" s="30">
        <f>IFERROR(__xludf.DUMMYFUNCTION("""COMPUTED_VALUE"""),2.345830957882205)</f>
        <v>2.345830958</v>
      </c>
      <c r="AV16" s="32">
        <f>IFERROR(__xludf.DUMMYFUNCTION("""COMPUTED_VALUE"""),48.42079148412364)</f>
        <v>48.42079148</v>
      </c>
      <c r="AW16" s="32">
        <f>IFERROR(__xludf.DUMMYFUNCTION("""COMPUTED_VALUE"""),-2.1060779774567564)</f>
        <v>-2.106077977</v>
      </c>
      <c r="AX16" s="32">
        <f>IFERROR(__xludf.DUMMYFUNCTION("""COMPUTED_VALUE"""),59.91785772568028)</f>
        <v>59.91785773</v>
      </c>
      <c r="AY16" s="32">
        <f>IFERROR(__xludf.DUMMYFUNCTION("""COMPUTED_VALUE"""),2.8919363750556903)</f>
        <v>2.891936375</v>
      </c>
      <c r="AZ16" s="30">
        <f>IFERROR(__xludf.DUMMYFUNCTION("""COMPUTED_VALUE"""),4.998014352512447)</f>
        <v>4.998014353</v>
      </c>
      <c r="BA16" s="30">
        <f>IFERROR(__xludf.DUMMYFUNCTION("""COMPUTED_VALUE"""),2.0)</f>
        <v>2</v>
      </c>
    </row>
    <row r="17">
      <c r="A17" s="30" t="str">
        <f>IFERROR(__xludf.DUMMYFUNCTION("""COMPUTED_VALUE"""),"Premier")</f>
        <v>Premier</v>
      </c>
      <c r="B17" s="71" t="str">
        <f>IFERROR(__xludf.DUMMYFUNCTION("""COMPUTED_VALUE"""),"RSC001177")</f>
        <v>RSC001177</v>
      </c>
      <c r="C17" s="30" t="str">
        <f>IFERROR(__xludf.DUMMYFUNCTION("""COMPUTED_VALUE"""),"Calster")</f>
        <v>Calster</v>
      </c>
      <c r="D17" s="30" t="str">
        <f>IFERROR(__xludf.DUMMYFUNCTION("""COMPUTED_VALUE"""),"Crooked Capos")</f>
        <v>Crooked Capos</v>
      </c>
      <c r="E17" s="30">
        <f>IFERROR(__xludf.DUMMYFUNCTION("""COMPUTED_VALUE"""),24.0)</f>
        <v>24</v>
      </c>
      <c r="F17" s="30">
        <f>IFERROR(__xludf.DUMMYFUNCTION("""COMPUTED_VALUE"""),12.0)</f>
        <v>12</v>
      </c>
      <c r="G17" s="30">
        <f>IFERROR(__xludf.DUMMYFUNCTION("""COMPUTED_VALUE"""),12.0)</f>
        <v>12</v>
      </c>
      <c r="H17" s="42">
        <f>IFERROR(__xludf.DUMMYFUNCTION("""COMPUTED_VALUE"""),0.5)</f>
        <v>0.5</v>
      </c>
      <c r="I17" s="42">
        <f>IFERROR(__xludf.DUMMYFUNCTION("""COMPUTED_VALUE"""),0.27999999999999997)</f>
        <v>0.28</v>
      </c>
      <c r="J17" s="30">
        <f>IFERROR(__xludf.DUMMYFUNCTION("""COMPUTED_VALUE"""),349.4583333333333)</f>
        <v>349.4583333</v>
      </c>
      <c r="K17" s="30">
        <f>IFERROR(__xludf.DUMMYFUNCTION("""COMPUTED_VALUE"""),0.5833333333333334)</f>
        <v>0.5833333333</v>
      </c>
      <c r="L17" s="30">
        <f>IFERROR(__xludf.DUMMYFUNCTION("""COMPUTED_VALUE"""),1.0)</f>
        <v>1</v>
      </c>
      <c r="M17" s="30">
        <f>IFERROR(__xludf.DUMMYFUNCTION("""COMPUTED_VALUE"""),1.25)</f>
        <v>1.25</v>
      </c>
      <c r="N17" s="30">
        <f>IFERROR(__xludf.DUMMYFUNCTION("""COMPUTED_VALUE"""),2.0833333333333335)</f>
        <v>2.083333333</v>
      </c>
      <c r="O17" s="30">
        <f>IFERROR(__xludf.DUMMYFUNCTION("""COMPUTED_VALUE"""),369.05555555555566)</f>
        <v>369.0555556</v>
      </c>
      <c r="P17" s="30">
        <f>IFERROR(__xludf.DUMMYFUNCTION("""COMPUTED_VALUE"""),0.8194444444444445)</f>
        <v>0.8194444444</v>
      </c>
      <c r="Q17" s="30">
        <f>IFERROR(__xludf.DUMMYFUNCTION("""COMPUTED_VALUE"""),0.6666666666666666)</f>
        <v>0.6666666667</v>
      </c>
      <c r="R17" s="30">
        <f>IFERROR(__xludf.DUMMYFUNCTION("""COMPUTED_VALUE"""),1.3333333333333333)</f>
        <v>1.333333333</v>
      </c>
      <c r="S17" s="30">
        <f>IFERROR(__xludf.DUMMYFUNCTION("""COMPUTED_VALUE"""),2.722222222222222)</f>
        <v>2.722222222</v>
      </c>
      <c r="T17" s="30">
        <f>IFERROR(__xludf.DUMMYFUNCTION("""COMPUTED_VALUE"""),373.1648724057737)</f>
        <v>373.1648724</v>
      </c>
      <c r="U17" s="30">
        <f>IFERROR(__xludf.DUMMYFUNCTION("""COMPUTED_VALUE"""),0.8245627286100325)</f>
        <v>0.8245627286</v>
      </c>
      <c r="V17" s="30">
        <f>IFERROR(__xludf.DUMMYFUNCTION("""COMPUTED_VALUE"""),0.6385233520946839)</f>
        <v>0.6385233521</v>
      </c>
      <c r="W17" s="30">
        <f>IFERROR(__xludf.DUMMYFUNCTION("""COMPUTED_VALUE"""),1.422867656765443)</f>
        <v>1.422867657</v>
      </c>
      <c r="X17" s="30">
        <f>IFERROR(__xludf.DUMMYFUNCTION("""COMPUTED_VALUE"""),2.7218994765379576)</f>
        <v>2.721899477</v>
      </c>
      <c r="Y17" s="30">
        <f>IFERROR(__xludf.DUMMYFUNCTION("""COMPUTED_VALUE"""),362.33796105745677)</f>
        <v>362.3379611</v>
      </c>
      <c r="Z17" s="30">
        <f>IFERROR(__xludf.DUMMYFUNCTION("""COMPUTED_VALUE"""),0.7908695510393451)</f>
        <v>0.790869551</v>
      </c>
      <c r="AA17" s="30">
        <f>IFERROR(__xludf.DUMMYFUNCTION("""COMPUTED_VALUE"""),0.6062759197109231)</f>
        <v>0.6062759197</v>
      </c>
      <c r="AB17" s="30">
        <f>IFERROR(__xludf.DUMMYFUNCTION("""COMPUTED_VALUE"""),1.4059838517552772)</f>
        <v>1.405983852</v>
      </c>
      <c r="AC17" s="30">
        <f>IFERROR(__xludf.DUMMYFUNCTION("""COMPUTED_VALUE"""),2.671985380285872)</f>
        <v>2.67198538</v>
      </c>
      <c r="AD17" s="30">
        <f>IFERROR(__xludf.DUMMYFUNCTION("""COMPUTED_VALUE"""),0.9644541033279118)</f>
        <v>0.9644541033</v>
      </c>
      <c r="AE17" s="30">
        <f>IFERROR(__xludf.DUMMYFUNCTION("""COMPUTED_VALUE"""),0.7375847667503803)</f>
        <v>0.7375847668</v>
      </c>
      <c r="AF17" s="30">
        <f>IFERROR(__xludf.DUMMYFUNCTION("""COMPUTED_VALUE"""),1.6494140167678233)</f>
        <v>1.649414017</v>
      </c>
      <c r="AG17" s="30">
        <f>IFERROR(__xludf.DUMMYFUNCTION("""COMPUTED_VALUE"""),0.889057152711575)</f>
        <v>0.8890571527</v>
      </c>
      <c r="AH17" s="30">
        <f>IFERROR(__xludf.DUMMYFUNCTION("""COMPUTED_VALUE"""),0.7796948848239733)</f>
        <v>0.7796948848</v>
      </c>
      <c r="AI17" s="30">
        <f>IFERROR(__xludf.DUMMYFUNCTION("""COMPUTED_VALUE"""),0.9889879322677789)</f>
        <v>0.9889879323</v>
      </c>
      <c r="AJ17" s="30">
        <f>IFERROR(__xludf.DUMMYFUNCTION("""COMPUTED_VALUE"""),0.993792729178754)</f>
        <v>0.9937927292</v>
      </c>
      <c r="AK17" s="30">
        <f>IFERROR(__xludf.DUMMYFUNCTION("""COMPUTED_VALUE"""),1.0440756230444168)</f>
        <v>1.044075623</v>
      </c>
      <c r="AL17" s="30">
        <f>IFERROR(__xludf.DUMMYFUNCTION("""COMPUTED_VALUE"""),0.9370747356534583)</f>
        <v>0.9370747357</v>
      </c>
      <c r="AM17" s="30">
        <f>IFERROR(__xludf.DUMMYFUNCTION("""COMPUTED_VALUE"""),1.0001185736971723)</f>
        <v>1.000118574</v>
      </c>
      <c r="AN17" s="30">
        <f>IFERROR(__xludf.DUMMYFUNCTION("""COMPUTED_VALUE"""),0.9576305902879497)</f>
        <v>0.9576305903</v>
      </c>
      <c r="AO17" s="30">
        <f>IFERROR(__xludf.DUMMYFUNCTION("""COMPUTED_VALUE"""),0.7367187279317438)</f>
        <v>0.7367187279</v>
      </c>
      <c r="AP17" s="30">
        <f>IFERROR(__xludf.DUMMYFUNCTION("""COMPUTED_VALUE"""),1.6798769750819809)</f>
        <v>1.679876975</v>
      </c>
      <c r="AQ17" s="30">
        <f>IFERROR(__xludf.DUMMYFUNCTION("""COMPUTED_VALUE"""),0.8690064254716772)</f>
        <v>0.8690064255</v>
      </c>
      <c r="AR17" s="30">
        <f>IFERROR(__xludf.DUMMYFUNCTION("""COMPUTED_VALUE"""),0.7855534231322844)</f>
        <v>0.7855534231</v>
      </c>
      <c r="AS17" s="30">
        <f>IFERROR(__xludf.DUMMYFUNCTION("""COMPUTED_VALUE"""),68.0)</f>
        <v>68</v>
      </c>
      <c r="AT17" s="30">
        <f>IFERROR(__xludf.DUMMYFUNCTION("""COMPUTED_VALUE"""),0.5570054038857694)</f>
        <v>0.5570054039</v>
      </c>
      <c r="AU17" s="30">
        <f>IFERROR(__xludf.DUMMYFUNCTION("""COMPUTED_VALUE"""),2.525981128047756)</f>
        <v>2.525981128</v>
      </c>
      <c r="AV17" s="32">
        <f>IFERROR(__xludf.DUMMYFUNCTION("""COMPUTED_VALUE"""),53.864915206541006)</f>
        <v>53.86491521</v>
      </c>
      <c r="AW17" s="32">
        <f>IFERROR(__xludf.DUMMYFUNCTION("""COMPUTED_VALUE"""),2.2801394254318423)</f>
        <v>2.280139425</v>
      </c>
      <c r="AX17" s="32">
        <f>IFERROR(__xludf.DUMMYFUNCTION("""COMPUTED_VALUE"""),42.55142991317951)</f>
        <v>42.55142991</v>
      </c>
      <c r="AY17" s="32">
        <f>IFERROR(__xludf.DUMMYFUNCTION("""COMPUTED_VALUE"""),-2.6118293311037464)</f>
        <v>-2.611829331</v>
      </c>
      <c r="AZ17" s="30">
        <f>IFERROR(__xludf.DUMMYFUNCTION("""COMPUTED_VALUE"""),4.891968756535588)</f>
        <v>4.891968757</v>
      </c>
      <c r="BA17" s="30">
        <f>IFERROR(__xludf.DUMMYFUNCTION("""COMPUTED_VALUE"""),2.0)</f>
        <v>2</v>
      </c>
    </row>
    <row r="18">
      <c r="A18" s="30" t="str">
        <f>IFERROR(__xludf.DUMMYFUNCTION("""COMPUTED_VALUE"""),"Premier")</f>
        <v>Premier</v>
      </c>
      <c r="B18" s="71" t="str">
        <f>IFERROR(__xludf.DUMMYFUNCTION("""COMPUTED_VALUE"""),"RSC005917")</f>
        <v>RSC005917</v>
      </c>
      <c r="C18" s="30" t="str">
        <f>IFERROR(__xludf.DUMMYFUNCTION("""COMPUTED_VALUE"""),"GAVALANCHE")</f>
        <v>GAVALANCHE</v>
      </c>
      <c r="D18" s="30" t="str">
        <f>IFERROR(__xludf.DUMMYFUNCTION("""COMPUTED_VALUE"""),"Crooked Capos")</f>
        <v>Crooked Capos</v>
      </c>
      <c r="E18" s="30">
        <f>IFERROR(__xludf.DUMMYFUNCTION("""COMPUTED_VALUE"""),44.0)</f>
        <v>44</v>
      </c>
      <c r="F18" s="30">
        <f>IFERROR(__xludf.DUMMYFUNCTION("""COMPUTED_VALUE"""),20.0)</f>
        <v>20</v>
      </c>
      <c r="G18" s="30">
        <f>IFERROR(__xludf.DUMMYFUNCTION("""COMPUTED_VALUE"""),24.0)</f>
        <v>24</v>
      </c>
      <c r="H18" s="42">
        <f>IFERROR(__xludf.DUMMYFUNCTION("""COMPUTED_VALUE"""),0.45454545454545453)</f>
        <v>0.4545454545</v>
      </c>
      <c r="I18" s="42">
        <f>IFERROR(__xludf.DUMMYFUNCTION("""COMPUTED_VALUE"""),0.33333333333333337)</f>
        <v>0.3333333333</v>
      </c>
      <c r="J18" s="30">
        <f>IFERROR(__xludf.DUMMYFUNCTION("""COMPUTED_VALUE"""),367.25)</f>
        <v>367.25</v>
      </c>
      <c r="K18" s="30">
        <f>IFERROR(__xludf.DUMMYFUNCTION("""COMPUTED_VALUE"""),0.8636363636363636)</f>
        <v>0.8636363636</v>
      </c>
      <c r="L18" s="30">
        <f>IFERROR(__xludf.DUMMYFUNCTION("""COMPUTED_VALUE"""),0.6590909090909091)</f>
        <v>0.6590909091</v>
      </c>
      <c r="M18" s="30">
        <f>IFERROR(__xludf.DUMMYFUNCTION("""COMPUTED_VALUE"""),1.4545454545454546)</f>
        <v>1.454545455</v>
      </c>
      <c r="N18" s="30">
        <f>IFERROR(__xludf.DUMMYFUNCTION("""COMPUTED_VALUE"""),2.590909090909091)</f>
        <v>2.590909091</v>
      </c>
      <c r="O18" s="30">
        <f>IFERROR(__xludf.DUMMYFUNCTION("""COMPUTED_VALUE"""),392.0984848484848)</f>
        <v>392.0984848</v>
      </c>
      <c r="P18" s="30">
        <f>IFERROR(__xludf.DUMMYFUNCTION("""COMPUTED_VALUE"""),0.8636363636363638)</f>
        <v>0.8636363636</v>
      </c>
      <c r="Q18" s="30">
        <f>IFERROR(__xludf.DUMMYFUNCTION("""COMPUTED_VALUE"""),0.6969696969696968)</f>
        <v>0.696969697</v>
      </c>
      <c r="R18" s="30">
        <f>IFERROR(__xludf.DUMMYFUNCTION("""COMPUTED_VALUE"""),1.5303030303030305)</f>
        <v>1.53030303</v>
      </c>
      <c r="S18" s="30">
        <f>IFERROR(__xludf.DUMMYFUNCTION("""COMPUTED_VALUE"""),2.886363636363637)</f>
        <v>2.886363636</v>
      </c>
      <c r="T18" s="30">
        <f>IFERROR(__xludf.DUMMYFUNCTION("""COMPUTED_VALUE"""),373.55339269655235)</f>
        <v>373.5533927</v>
      </c>
      <c r="U18" s="30">
        <f>IFERROR(__xludf.DUMMYFUNCTION("""COMPUTED_VALUE"""),0.8256458728306633)</f>
        <v>0.8256458728</v>
      </c>
      <c r="V18" s="30">
        <f>IFERROR(__xludf.DUMMYFUNCTION("""COMPUTED_VALUE"""),0.6390091102999579)</f>
        <v>0.6390091103</v>
      </c>
      <c r="W18" s="30">
        <f>IFERROR(__xludf.DUMMYFUNCTION("""COMPUTED_VALUE"""),1.4484495036638494)</f>
        <v>1.448449504</v>
      </c>
      <c r="X18" s="30">
        <f>IFERROR(__xludf.DUMMYFUNCTION("""COMPUTED_VALUE"""),2.719308548417757)</f>
        <v>2.719308548</v>
      </c>
      <c r="Y18" s="30">
        <f>IFERROR(__xludf.DUMMYFUNCTION("""COMPUTED_VALUE"""),373.01850251986235)</f>
        <v>373.0185025</v>
      </c>
      <c r="Z18" s="30">
        <f>IFERROR(__xludf.DUMMYFUNCTION("""COMPUTED_VALUE"""),0.8376537488588702)</f>
        <v>0.8376537489</v>
      </c>
      <c r="AA18" s="30">
        <f>IFERROR(__xludf.DUMMYFUNCTION("""COMPUTED_VALUE"""),0.6440002981037163)</f>
        <v>0.6440002981</v>
      </c>
      <c r="AB18" s="30">
        <f>IFERROR(__xludf.DUMMYFUNCTION("""COMPUTED_VALUE"""),1.4252949679371485)</f>
        <v>1.425294968</v>
      </c>
      <c r="AC18" s="30">
        <f>IFERROR(__xludf.DUMMYFUNCTION("""COMPUTED_VALUE"""),2.7309966387785622)</f>
        <v>2.730996639</v>
      </c>
      <c r="AD18" s="30">
        <f>IFERROR(__xludf.DUMMYFUNCTION("""COMPUTED_VALUE"""),0.9845356128961587)</f>
        <v>0.9845356129</v>
      </c>
      <c r="AE18" s="30">
        <f>IFERROR(__xludf.DUMMYFUNCTION("""COMPUTED_VALUE"""),1.0310183232784302)</f>
        <v>1.031018323</v>
      </c>
      <c r="AF18" s="30">
        <f>IFERROR(__xludf.DUMMYFUNCTION("""COMPUTED_VALUE"""),1.0234326149096944)</f>
        <v>1.023432615</v>
      </c>
      <c r="AG18" s="30">
        <f>IFERROR(__xludf.DUMMYFUNCTION("""COMPUTED_VALUE"""),1.0205224092319927)</f>
        <v>1.020522409</v>
      </c>
      <c r="AH18" s="30">
        <f>IFERROR(__xludf.DUMMYFUNCTION("""COMPUTED_VALUE"""),0.9487046062670639)</f>
        <v>0.9487046063</v>
      </c>
      <c r="AI18" s="30">
        <f>IFERROR(__xludf.DUMMYFUNCTION("""COMPUTED_VALUE"""),1.0496450909415167)</f>
        <v>1.049645091</v>
      </c>
      <c r="AJ18" s="30">
        <f>IFERROR(__xludf.DUMMYFUNCTION("""COMPUTED_VALUE"""),1.046013057238999)</f>
        <v>1.046013057</v>
      </c>
      <c r="AK18" s="30">
        <f>IFERROR(__xludf.DUMMYFUNCTION("""COMPUTED_VALUE"""),1.090703850282403)</f>
        <v>1.09070385</v>
      </c>
      <c r="AL18" s="30">
        <f>IFERROR(__xludf.DUMMYFUNCTION("""COMPUTED_VALUE"""),1.0565111358263666)</f>
        <v>1.056511136</v>
      </c>
      <c r="AM18" s="30">
        <f>IFERROR(__xludf.DUMMYFUNCTION("""COMPUTED_VALUE"""),1.0614329286182262)</f>
        <v>1.061432929</v>
      </c>
      <c r="AN18" s="30">
        <f>IFERROR(__xludf.DUMMYFUNCTION("""COMPUTED_VALUE"""),1.006385599475139)</f>
        <v>1.006385599</v>
      </c>
      <c r="AO18" s="30">
        <f>IFERROR(__xludf.DUMMYFUNCTION("""COMPUTED_VALUE"""),1.0907264283664777)</f>
        <v>1.090726428</v>
      </c>
      <c r="AP18" s="30">
        <f>IFERROR(__xludf.DUMMYFUNCTION("""COMPUTED_VALUE"""),1.1071916426676691)</f>
        <v>1.107191643</v>
      </c>
      <c r="AQ18" s="30">
        <f>IFERROR(__xludf.DUMMYFUNCTION("""COMPUTED_VALUE"""),1.011207476912497)</f>
        <v>1.011207477</v>
      </c>
      <c r="AR18" s="30">
        <f>IFERROR(__xludf.DUMMYFUNCTION("""COMPUTED_VALUE"""),0.9769428025863317)</f>
        <v>0.9769428026</v>
      </c>
      <c r="AS18" s="30">
        <f>IFERROR(__xludf.DUMMYFUNCTION("""COMPUTED_VALUE"""),112.0)</f>
        <v>112</v>
      </c>
      <c r="AT18" s="30">
        <f>IFERROR(__xludf.DUMMYFUNCTION("""COMPUTED_VALUE"""),0.4929232785655045)</f>
        <v>0.4929232786</v>
      </c>
      <c r="AU18" s="30">
        <f>IFERROR(__xludf.DUMMYFUNCTION("""COMPUTED_VALUE"""),2.494851279720753)</f>
        <v>2.49485128</v>
      </c>
      <c r="AV18" s="32">
        <f>IFERROR(__xludf.DUMMYFUNCTION("""COMPUTED_VALUE"""),52.92417368186439)</f>
        <v>52.92417368</v>
      </c>
      <c r="AW18" s="32">
        <f>IFERROR(__xludf.DUMMYFUNCTION("""COMPUTED_VALUE"""),2.205348255125506)</f>
        <v>2.205348255</v>
      </c>
      <c r="AX18" s="32">
        <f>IFERROR(__xludf.DUMMYFUNCTION("""COMPUTED_VALUE"""),42.189664934410864)</f>
        <v>42.18966493</v>
      </c>
      <c r="AY18" s="32">
        <f>IFERROR(__xludf.DUMMYFUNCTION("""COMPUTED_VALUE"""),-2.649967048012002)</f>
        <v>-2.649967048</v>
      </c>
      <c r="AZ18" s="30">
        <f>IFERROR(__xludf.DUMMYFUNCTION("""COMPUTED_VALUE"""),4.855315303137508)</f>
        <v>4.855315303</v>
      </c>
      <c r="BA18" s="30">
        <f>IFERROR(__xludf.DUMMYFUNCTION("""COMPUTED_VALUE"""),2.0)</f>
        <v>2</v>
      </c>
    </row>
    <row r="19">
      <c r="A19" s="30" t="str">
        <f>IFERROR(__xludf.DUMMYFUNCTION("""COMPUTED_VALUE"""),"Premier")</f>
        <v>Premier</v>
      </c>
      <c r="B19" s="71" t="str">
        <f>IFERROR(__xludf.DUMMYFUNCTION("""COMPUTED_VALUE"""),"RSC004370")</f>
        <v>RSC004370</v>
      </c>
      <c r="C19" s="30" t="str">
        <f>IFERROR(__xludf.DUMMYFUNCTION("""COMPUTED_VALUE"""),"Nightfang")</f>
        <v>Nightfang</v>
      </c>
      <c r="D19" s="30" t="str">
        <f>IFERROR(__xludf.DUMMYFUNCTION("""COMPUTED_VALUE"""),"Old Heads")</f>
        <v>Old Heads</v>
      </c>
      <c r="E19" s="30">
        <f>IFERROR(__xludf.DUMMYFUNCTION("""COMPUTED_VALUE"""),42.0)</f>
        <v>42</v>
      </c>
      <c r="F19" s="30">
        <f>IFERROR(__xludf.DUMMYFUNCTION("""COMPUTED_VALUE"""),24.0)</f>
        <v>24</v>
      </c>
      <c r="G19" s="30">
        <f>IFERROR(__xludf.DUMMYFUNCTION("""COMPUTED_VALUE"""),18.0)</f>
        <v>18</v>
      </c>
      <c r="H19" s="42">
        <f>IFERROR(__xludf.DUMMYFUNCTION("""COMPUTED_VALUE"""),0.5714285714285714)</f>
        <v>0.5714285714</v>
      </c>
      <c r="I19" s="42">
        <f>IFERROR(__xludf.DUMMYFUNCTION("""COMPUTED_VALUE"""),0.33962264150943394)</f>
        <v>0.3396226415</v>
      </c>
      <c r="J19" s="30">
        <f>IFERROR(__xludf.DUMMYFUNCTION("""COMPUTED_VALUE"""),354.4761904761905)</f>
        <v>354.4761905</v>
      </c>
      <c r="K19" s="30">
        <f>IFERROR(__xludf.DUMMYFUNCTION("""COMPUTED_VALUE"""),0.8571428571428571)</f>
        <v>0.8571428571</v>
      </c>
      <c r="L19" s="30">
        <f>IFERROR(__xludf.DUMMYFUNCTION("""COMPUTED_VALUE"""),0.7380952380952381)</f>
        <v>0.7380952381</v>
      </c>
      <c r="M19" s="30">
        <f>IFERROR(__xludf.DUMMYFUNCTION("""COMPUTED_VALUE"""),1.2142857142857142)</f>
        <v>1.214285714</v>
      </c>
      <c r="N19" s="30">
        <f>IFERROR(__xludf.DUMMYFUNCTION("""COMPUTED_VALUE"""),2.5238095238095237)</f>
        <v>2.523809524</v>
      </c>
      <c r="O19" s="30">
        <f>IFERROR(__xludf.DUMMYFUNCTION("""COMPUTED_VALUE"""),369.51587301587296)</f>
        <v>369.515873</v>
      </c>
      <c r="P19" s="30">
        <f>IFERROR(__xludf.DUMMYFUNCTION("""COMPUTED_VALUE"""),0.8253968253968254)</f>
        <v>0.8253968254</v>
      </c>
      <c r="Q19" s="30">
        <f>IFERROR(__xludf.DUMMYFUNCTION("""COMPUTED_VALUE"""),0.6190476190476191)</f>
        <v>0.619047619</v>
      </c>
      <c r="R19" s="30">
        <f>IFERROR(__xludf.DUMMYFUNCTION("""COMPUTED_VALUE"""),1.4523809523809526)</f>
        <v>1.452380952</v>
      </c>
      <c r="S19" s="30">
        <f>IFERROR(__xludf.DUMMYFUNCTION("""COMPUTED_VALUE"""),2.658730158730159)</f>
        <v>2.658730159</v>
      </c>
      <c r="T19" s="30">
        <f>IFERROR(__xludf.DUMMYFUNCTION("""COMPUTED_VALUE"""),373.25788365000557)</f>
        <v>373.2578837</v>
      </c>
      <c r="U19" s="30">
        <f>IFERROR(__xludf.DUMMYFUNCTION("""COMPUTED_VALUE"""),0.8300854858345202)</f>
        <v>0.8300854858</v>
      </c>
      <c r="V19" s="30">
        <f>IFERROR(__xludf.DUMMYFUNCTION("""COMPUTED_VALUE"""),0.6294765061316716)</f>
        <v>0.6294765061</v>
      </c>
      <c r="W19" s="30">
        <f>IFERROR(__xludf.DUMMYFUNCTION("""COMPUTED_VALUE"""),1.423047853717956)</f>
        <v>1.423047854</v>
      </c>
      <c r="X19" s="30">
        <f>IFERROR(__xludf.DUMMYFUNCTION("""COMPUTED_VALUE"""),2.744244447688333)</f>
        <v>2.744244448</v>
      </c>
      <c r="Y19" s="30">
        <f>IFERROR(__xludf.DUMMYFUNCTION("""COMPUTED_VALUE"""),375.1140438880228)</f>
        <v>375.1140439</v>
      </c>
      <c r="Z19" s="30">
        <f>IFERROR(__xludf.DUMMYFUNCTION("""COMPUTED_VALUE"""),0.8290107186340676)</f>
        <v>0.8290107186</v>
      </c>
      <c r="AA19" s="30">
        <f>IFERROR(__xludf.DUMMYFUNCTION("""COMPUTED_VALUE"""),0.6320550382574427)</f>
        <v>0.6320550383</v>
      </c>
      <c r="AB19" s="30">
        <f>IFERROR(__xludf.DUMMYFUNCTION("""COMPUTED_VALUE"""),1.4416302435472526)</f>
        <v>1.441630244</v>
      </c>
      <c r="AC19" s="30">
        <f>IFERROR(__xludf.DUMMYFUNCTION("""COMPUTED_VALUE"""),2.7462247876331514)</f>
        <v>2.746224788</v>
      </c>
      <c r="AD19" s="30">
        <f>IFERROR(__xludf.DUMMYFUNCTION("""COMPUTED_VALUE"""),0.9449824560074508)</f>
        <v>0.944982456</v>
      </c>
      <c r="AE19" s="30">
        <f>IFERROR(__xludf.DUMMYFUNCTION("""COMPUTED_VALUE"""),1.0339345895975167)</f>
        <v>1.03393459</v>
      </c>
      <c r="AF19" s="30">
        <f>IFERROR(__xludf.DUMMYFUNCTION("""COMPUTED_VALUE"""),1.1677705158875802)</f>
        <v>1.167770516</v>
      </c>
      <c r="AG19" s="30">
        <f>IFERROR(__xludf.DUMMYFUNCTION("""COMPUTED_VALUE"""),0.8423003885502999)</f>
        <v>0.8423003886</v>
      </c>
      <c r="AH19" s="30">
        <f>IFERROR(__xludf.DUMMYFUNCTION("""COMPUTED_VALUE"""),0.9190105395504359)</f>
        <v>0.9190105396</v>
      </c>
      <c r="AI19" s="30">
        <f>IFERROR(__xludf.DUMMYFUNCTION("""COMPUTED_VALUE"""),0.9899747311495732)</f>
        <v>0.9899747311</v>
      </c>
      <c r="AJ19" s="30">
        <f>IFERROR(__xludf.DUMMYFUNCTION("""COMPUTED_VALUE"""),0.9943515932783945)</f>
        <v>0.9943515933</v>
      </c>
      <c r="AK19" s="30">
        <f>IFERROR(__xludf.DUMMYFUNCTION("""COMPUTED_VALUE"""),0.9834324442890787)</f>
        <v>0.9834324443</v>
      </c>
      <c r="AL19" s="30">
        <f>IFERROR(__xludf.DUMMYFUNCTION("""COMPUTED_VALUE"""),1.020612868770617)</f>
        <v>1.020612869</v>
      </c>
      <c r="AM19" s="30">
        <f>IFERROR(__xludf.DUMMYFUNCTION("""COMPUTED_VALUE"""),0.9688386765143284)</f>
        <v>0.9688386765</v>
      </c>
      <c r="AN19" s="30">
        <f>IFERROR(__xludf.DUMMYFUNCTION("""COMPUTED_VALUE"""),0.9713811666495424)</f>
        <v>0.9713811666</v>
      </c>
      <c r="AO19" s="30">
        <f>IFERROR(__xludf.DUMMYFUNCTION("""COMPUTED_VALUE"""),1.0825254777772562)</f>
        <v>1.082525478</v>
      </c>
      <c r="AP19" s="30">
        <f>IFERROR(__xludf.DUMMYFUNCTION("""COMPUTED_VALUE"""),1.239909195893843)</f>
        <v>1.239909196</v>
      </c>
      <c r="AQ19" s="30">
        <f>IFERROR(__xludf.DUMMYFUNCTION("""COMPUTED_VALUE"""),0.8441776704582006)</f>
        <v>0.8441776705</v>
      </c>
      <c r="AR19" s="30">
        <f>IFERROR(__xludf.DUMMYFUNCTION("""COMPUTED_VALUE"""),0.9516418611659672)</f>
        <v>0.9516418612</v>
      </c>
      <c r="AS19" s="30">
        <f>IFERROR(__xludf.DUMMYFUNCTION("""COMPUTED_VALUE"""),111.0)</f>
        <v>111</v>
      </c>
      <c r="AT19" s="30">
        <f>IFERROR(__xludf.DUMMYFUNCTION("""COMPUTED_VALUE"""),0.5259973199684337)</f>
        <v>0.52599732</v>
      </c>
      <c r="AU19" s="30">
        <f>IFERROR(__xludf.DUMMYFUNCTION("""COMPUTED_VALUE"""),2.664889440780354)</f>
        <v>2.664889441</v>
      </c>
      <c r="AV19" s="32">
        <f>IFERROR(__xludf.DUMMYFUNCTION("""COMPUTED_VALUE"""),58.06271329850814)</f>
        <v>58.0627133</v>
      </c>
      <c r="AW19" s="32">
        <f>IFERROR(__xludf.DUMMYFUNCTION("""COMPUTED_VALUE"""),2.6771343504149865)</f>
        <v>2.67713435</v>
      </c>
      <c r="AX19" s="32">
        <f>IFERROR(__xludf.DUMMYFUNCTION("""COMPUTED_VALUE"""),48.2702736807034)</f>
        <v>48.27027368</v>
      </c>
      <c r="AY19" s="32">
        <f>IFERROR(__xludf.DUMMYFUNCTION("""COMPUTED_VALUE"""),-2.1167624434684997)</f>
        <v>-2.116762443</v>
      </c>
      <c r="AZ19" s="30">
        <f>IFERROR(__xludf.DUMMYFUNCTION("""COMPUTED_VALUE"""),4.793896793883486)</f>
        <v>4.793896794</v>
      </c>
      <c r="BA19" s="30">
        <f>IFERROR(__xludf.DUMMYFUNCTION("""COMPUTED_VALUE"""),2.0)</f>
        <v>2</v>
      </c>
    </row>
    <row r="20">
      <c r="A20" s="30" t="str">
        <f>IFERROR(__xludf.DUMMYFUNCTION("""COMPUTED_VALUE"""),"Premier")</f>
        <v>Premier</v>
      </c>
      <c r="B20" s="71" t="str">
        <f>IFERROR(__xludf.DUMMYFUNCTION("""COMPUTED_VALUE"""),"RSC007569")</f>
        <v>RSC007569</v>
      </c>
      <c r="C20" s="30" t="str">
        <f>IFERROR(__xludf.DUMMYFUNCTION("""COMPUTED_VALUE"""),"newo")</f>
        <v>newo</v>
      </c>
      <c r="D20" s="30" t="str">
        <f>IFERROR(__xludf.DUMMYFUNCTION("""COMPUTED_VALUE"""),"Gummy Bears")</f>
        <v>Gummy Bears</v>
      </c>
      <c r="E20" s="30">
        <f>IFERROR(__xludf.DUMMYFUNCTION("""COMPUTED_VALUE"""),37.0)</f>
        <v>37</v>
      </c>
      <c r="F20" s="30">
        <f>IFERROR(__xludf.DUMMYFUNCTION("""COMPUTED_VALUE"""),23.0)</f>
        <v>23</v>
      </c>
      <c r="G20" s="30">
        <f>IFERROR(__xludf.DUMMYFUNCTION("""COMPUTED_VALUE"""),14.0)</f>
        <v>14</v>
      </c>
      <c r="H20" s="42">
        <f>IFERROR(__xludf.DUMMYFUNCTION("""COMPUTED_VALUE"""),0.6216216216216216)</f>
        <v>0.6216216216</v>
      </c>
      <c r="I20" s="42">
        <f>IFERROR(__xludf.DUMMYFUNCTION("""COMPUTED_VALUE"""),0.3924050632911392)</f>
        <v>0.3924050633</v>
      </c>
      <c r="J20" s="30">
        <f>IFERROR(__xludf.DUMMYFUNCTION("""COMPUTED_VALUE"""),351.4054054054054)</f>
        <v>351.4054054</v>
      </c>
      <c r="K20" s="30">
        <f>IFERROR(__xludf.DUMMYFUNCTION("""COMPUTED_VALUE"""),0.8378378378378378)</f>
        <v>0.8378378378</v>
      </c>
      <c r="L20" s="30">
        <f>IFERROR(__xludf.DUMMYFUNCTION("""COMPUTED_VALUE"""),0.6756756756756757)</f>
        <v>0.6756756757</v>
      </c>
      <c r="M20" s="30">
        <f>IFERROR(__xludf.DUMMYFUNCTION("""COMPUTED_VALUE"""),1.2972972972972974)</f>
        <v>1.297297297</v>
      </c>
      <c r="N20" s="30">
        <f>IFERROR(__xludf.DUMMYFUNCTION("""COMPUTED_VALUE"""),2.135135135135135)</f>
        <v>2.135135135</v>
      </c>
      <c r="O20" s="30">
        <f>IFERROR(__xludf.DUMMYFUNCTION("""COMPUTED_VALUE"""),329.3063063063063)</f>
        <v>329.3063063</v>
      </c>
      <c r="P20" s="30">
        <f>IFERROR(__xludf.DUMMYFUNCTION("""COMPUTED_VALUE"""),0.6936936936936936)</f>
        <v>0.6936936937</v>
      </c>
      <c r="Q20" s="30">
        <f>IFERROR(__xludf.DUMMYFUNCTION("""COMPUTED_VALUE"""),0.5315315315315315)</f>
        <v>0.5315315315</v>
      </c>
      <c r="R20" s="30">
        <f>IFERROR(__xludf.DUMMYFUNCTION("""COMPUTED_VALUE"""),1.243243243243243)</f>
        <v>1.243243243</v>
      </c>
      <c r="S20" s="30">
        <f>IFERROR(__xludf.DUMMYFUNCTION("""COMPUTED_VALUE"""),2.6306306306306317)</f>
        <v>2.630630631</v>
      </c>
      <c r="T20" s="30">
        <f>IFERROR(__xludf.DUMMYFUNCTION("""COMPUTED_VALUE"""),363.468593266388)</f>
        <v>363.4685933</v>
      </c>
      <c r="U20" s="30">
        <f>IFERROR(__xludf.DUMMYFUNCTION("""COMPUTED_VALUE"""),0.7827594188662751)</f>
        <v>0.7827594189</v>
      </c>
      <c r="V20" s="30">
        <f>IFERROR(__xludf.DUMMYFUNCTION("""COMPUTED_VALUE"""),0.6726412461319848)</f>
        <v>0.6726412461</v>
      </c>
      <c r="W20" s="30">
        <f>IFERROR(__xludf.DUMMYFUNCTION("""COMPUTED_VALUE"""),1.3797395697897494)</f>
        <v>1.37973957</v>
      </c>
      <c r="X20" s="30">
        <f>IFERROR(__xludf.DUMMYFUNCTION("""COMPUTED_VALUE"""),2.6975505130185877)</f>
        <v>2.697550513</v>
      </c>
      <c r="Y20" s="30">
        <f>IFERROR(__xludf.DUMMYFUNCTION("""COMPUTED_VALUE"""),376.9619967760393)</f>
        <v>376.9619968</v>
      </c>
      <c r="Z20" s="30">
        <f>IFERROR(__xludf.DUMMYFUNCTION("""COMPUTED_VALUE"""),0.8343348142269787)</f>
        <v>0.8343348142</v>
      </c>
      <c r="AA20" s="30">
        <f>IFERROR(__xludf.DUMMYFUNCTION("""COMPUTED_VALUE"""),0.6589354211226724)</f>
        <v>0.6589354211</v>
      </c>
      <c r="AB20" s="30">
        <f>IFERROR(__xludf.DUMMYFUNCTION("""COMPUTED_VALUE"""),1.4536913376153529)</f>
        <v>1.453691338</v>
      </c>
      <c r="AC20" s="30">
        <f>IFERROR(__xludf.DUMMYFUNCTION("""COMPUTED_VALUE"""),2.7275996754268923)</f>
        <v>2.727599675</v>
      </c>
      <c r="AD20" s="30">
        <f>IFERROR(__xludf.DUMMYFUNCTION("""COMPUTED_VALUE"""),0.9322037988200238)</f>
        <v>0.9322037988</v>
      </c>
      <c r="AE20" s="30">
        <f>IFERROR(__xludf.DUMMYFUNCTION("""COMPUTED_VALUE"""),1.0041985825727584)</f>
        <v>1.004198583</v>
      </c>
      <c r="AF20" s="30">
        <f>IFERROR(__xludf.DUMMYFUNCTION("""COMPUTED_VALUE"""),1.0254050002722297)</f>
        <v>1.025405</v>
      </c>
      <c r="AG20" s="30">
        <f>IFERROR(__xludf.DUMMYFUNCTION("""COMPUTED_VALUE"""),0.8924159233316987)</f>
        <v>0.8924159233</v>
      </c>
      <c r="AH20" s="30">
        <f>IFERROR(__xludf.DUMMYFUNCTION("""COMPUTED_VALUE"""),0.782789041357753)</f>
        <v>0.7827890414</v>
      </c>
      <c r="AI20" s="30">
        <f>IFERROR(__xludf.DUMMYFUNCTION("""COMPUTED_VALUE"""),0.9060103469929134)</f>
        <v>0.906010347</v>
      </c>
      <c r="AJ20" s="30">
        <f>IFERROR(__xludf.DUMMYFUNCTION("""COMPUTED_VALUE"""),0.8862157094173564)</f>
        <v>0.8862157094</v>
      </c>
      <c r="AK20" s="30">
        <f>IFERROR(__xludf.DUMMYFUNCTION("""COMPUTED_VALUE"""),0.7902154894426963)</f>
        <v>0.7902154894</v>
      </c>
      <c r="AL20" s="30">
        <f>IFERROR(__xludf.DUMMYFUNCTION("""COMPUTED_VALUE"""),0.9010709487970209)</f>
        <v>0.9010709488</v>
      </c>
      <c r="AM20" s="30">
        <f>IFERROR(__xludf.DUMMYFUNCTION("""COMPUTED_VALUE"""),0.9751923524453034)</f>
        <v>0.9751923524</v>
      </c>
      <c r="AN20" s="30">
        <f>IFERROR(__xludf.DUMMYFUNCTION("""COMPUTED_VALUE"""),0.9629662071551345)</f>
        <v>0.9629662072</v>
      </c>
      <c r="AO20" s="30">
        <f>IFERROR(__xludf.DUMMYFUNCTION("""COMPUTED_VALUE"""),1.0581442733228135)</f>
        <v>1.058144273</v>
      </c>
      <c r="AP20" s="30">
        <f>IFERROR(__xludf.DUMMYFUNCTION("""COMPUTED_VALUE"""),1.1350520101905275)</f>
        <v>1.13505201</v>
      </c>
      <c r="AQ20" s="30">
        <f>IFERROR(__xludf.DUMMYFUNCTION("""COMPUTED_VALUE"""),0.9018877496787137)</f>
        <v>0.9018877497</v>
      </c>
      <c r="AR20" s="30">
        <f>IFERROR(__xludf.DUMMYFUNCTION("""COMPUTED_VALUE"""),0.8050861028426005)</f>
        <v>0.8050861028</v>
      </c>
      <c r="AS20" s="30">
        <f>IFERROR(__xludf.DUMMYFUNCTION("""COMPUTED_VALUE"""),96.0)</f>
        <v>96</v>
      </c>
      <c r="AT20" s="30">
        <f>IFERROR(__xludf.DUMMYFUNCTION("""COMPUTED_VALUE"""),0.5850042606917397)</f>
        <v>0.5850042607</v>
      </c>
      <c r="AU20" s="30">
        <f>IFERROR(__xludf.DUMMYFUNCTION("""COMPUTED_VALUE"""),2.5027516117523496)</f>
        <v>2.502751612</v>
      </c>
      <c r="AV20" s="32">
        <f>IFERROR(__xludf.DUMMYFUNCTION("""COMPUTED_VALUE"""),53.16292108348307)</f>
        <v>53.16292108</v>
      </c>
      <c r="AW20" s="32">
        <f>IFERROR(__xludf.DUMMYFUNCTION("""COMPUTED_VALUE"""),2.223895537764146)</f>
        <v>2.223895538</v>
      </c>
      <c r="AX20" s="32">
        <f>IFERROR(__xludf.DUMMYFUNCTION("""COMPUTED_VALUE"""),43.54191868744903)</f>
        <v>43.54191869</v>
      </c>
      <c r="AY20" s="32">
        <f>IFERROR(__xludf.DUMMYFUNCTION("""COMPUTED_VALUE"""),-2.5120659482270478)</f>
        <v>-2.512065948</v>
      </c>
      <c r="AZ20" s="30">
        <f>IFERROR(__xludf.DUMMYFUNCTION("""COMPUTED_VALUE"""),4.735961485991194)</f>
        <v>4.735961486</v>
      </c>
      <c r="BA20" s="30">
        <f>IFERROR(__xludf.DUMMYFUNCTION("""COMPUTED_VALUE"""),2.0)</f>
        <v>2</v>
      </c>
    </row>
    <row r="21">
      <c r="A21" s="30" t="str">
        <f>IFERROR(__xludf.DUMMYFUNCTION("""COMPUTED_VALUE"""),"Premier")</f>
        <v>Premier</v>
      </c>
      <c r="B21" s="71" t="str">
        <f>IFERROR(__xludf.DUMMYFUNCTION("""COMPUTED_VALUE"""),"RSC005670")</f>
        <v>RSC005670</v>
      </c>
      <c r="C21" s="30" t="str">
        <f>IFERROR(__xludf.DUMMYFUNCTION("""COMPUTED_VALUE"""),"mesi")</f>
        <v>mesi</v>
      </c>
      <c r="D21" s="30" t="str">
        <f>IFERROR(__xludf.DUMMYFUNCTION("""COMPUTED_VALUE"""),"Old Heads")</f>
        <v>Old Heads</v>
      </c>
      <c r="E21" s="30">
        <f>IFERROR(__xludf.DUMMYFUNCTION("""COMPUTED_VALUE"""),47.0)</f>
        <v>47</v>
      </c>
      <c r="F21" s="30">
        <f>IFERROR(__xludf.DUMMYFUNCTION("""COMPUTED_VALUE"""),26.0)</f>
        <v>26</v>
      </c>
      <c r="G21" s="30">
        <f>IFERROR(__xludf.DUMMYFUNCTION("""COMPUTED_VALUE"""),21.0)</f>
        <v>21</v>
      </c>
      <c r="H21" s="42">
        <f>IFERROR(__xludf.DUMMYFUNCTION("""COMPUTED_VALUE"""),0.5531914893617021)</f>
        <v>0.5531914894</v>
      </c>
      <c r="I21" s="42">
        <f>IFERROR(__xludf.DUMMYFUNCTION("""COMPUTED_VALUE"""),0.30344827586206896)</f>
        <v>0.3034482759</v>
      </c>
      <c r="J21" s="30">
        <f>IFERROR(__xludf.DUMMYFUNCTION("""COMPUTED_VALUE"""),366.3191489361702)</f>
        <v>366.3191489</v>
      </c>
      <c r="K21" s="30">
        <f>IFERROR(__xludf.DUMMYFUNCTION("""COMPUTED_VALUE"""),0.9361702127659575)</f>
        <v>0.9361702128</v>
      </c>
      <c r="L21" s="30">
        <f>IFERROR(__xludf.DUMMYFUNCTION("""COMPUTED_VALUE"""),0.46808510638297873)</f>
        <v>0.4680851064</v>
      </c>
      <c r="M21" s="30">
        <f>IFERROR(__xludf.DUMMYFUNCTION("""COMPUTED_VALUE"""),1.425531914893617)</f>
        <v>1.425531915</v>
      </c>
      <c r="N21" s="30">
        <f>IFERROR(__xludf.DUMMYFUNCTION("""COMPUTED_VALUE"""),3.0851063829787235)</f>
        <v>3.085106383</v>
      </c>
      <c r="O21" s="30">
        <f>IFERROR(__xludf.DUMMYFUNCTION("""COMPUTED_VALUE"""),377.127659574468)</f>
        <v>377.1276596</v>
      </c>
      <c r="P21" s="30">
        <f>IFERROR(__xludf.DUMMYFUNCTION("""COMPUTED_VALUE"""),0.8368794326241136)</f>
        <v>0.8368794326</v>
      </c>
      <c r="Q21" s="30">
        <f>IFERROR(__xludf.DUMMYFUNCTION("""COMPUTED_VALUE"""),0.6382978723404256)</f>
        <v>0.6382978723</v>
      </c>
      <c r="R21" s="30">
        <f>IFERROR(__xludf.DUMMYFUNCTION("""COMPUTED_VALUE"""),1.5035460992907805)</f>
        <v>1.503546099</v>
      </c>
      <c r="S21" s="30">
        <f>IFERROR(__xludf.DUMMYFUNCTION("""COMPUTED_VALUE"""),2.723404255319149)</f>
        <v>2.723404255</v>
      </c>
      <c r="T21" s="30">
        <f>IFERROR(__xludf.DUMMYFUNCTION("""COMPUTED_VALUE"""),374.8570349786486)</f>
        <v>374.857035</v>
      </c>
      <c r="U21" s="30">
        <f>IFERROR(__xludf.DUMMYFUNCTION("""COMPUTED_VALUE"""),0.839651738216878)</f>
        <v>0.8396517382</v>
      </c>
      <c r="V21" s="30">
        <f>IFERROR(__xludf.DUMMYFUNCTION("""COMPUTED_VALUE"""),0.6423521315417765)</f>
        <v>0.6423521315</v>
      </c>
      <c r="W21" s="30">
        <f>IFERROR(__xludf.DUMMYFUNCTION("""COMPUTED_VALUE"""),1.40984812679679)</f>
        <v>1.409848127</v>
      </c>
      <c r="X21" s="30">
        <f>IFERROR(__xludf.DUMMYFUNCTION("""COMPUTED_VALUE"""),2.759050396415715)</f>
        <v>2.759050396</v>
      </c>
      <c r="Y21" s="30">
        <f>IFERROR(__xludf.DUMMYFUNCTION("""COMPUTED_VALUE"""),372.37482864338983)</f>
        <v>372.3748286</v>
      </c>
      <c r="Z21" s="30">
        <f>IFERROR(__xludf.DUMMYFUNCTION("""COMPUTED_VALUE"""),0.8171593679343752)</f>
        <v>0.8171593679</v>
      </c>
      <c r="AA21" s="30">
        <f>IFERROR(__xludf.DUMMYFUNCTION("""COMPUTED_VALUE"""),0.6219935876925631)</f>
        <v>0.6219935877</v>
      </c>
      <c r="AB21" s="30">
        <f>IFERROR(__xludf.DUMMYFUNCTION("""COMPUTED_VALUE"""),1.4427738919978819)</f>
        <v>1.442773892</v>
      </c>
      <c r="AC21" s="30">
        <f>IFERROR(__xludf.DUMMYFUNCTION("""COMPUTED_VALUE"""),2.7074122216598098)</f>
        <v>2.707412222</v>
      </c>
      <c r="AD21" s="30">
        <f>IFERROR(__xludf.DUMMYFUNCTION("""COMPUTED_VALUE"""),0.9837376770892886)</f>
        <v>0.9837376771</v>
      </c>
      <c r="AE21" s="30">
        <f>IFERROR(__xludf.DUMMYFUNCTION("""COMPUTED_VALUE"""),1.1456396995514098)</f>
        <v>1.1456397</v>
      </c>
      <c r="AF21" s="30">
        <f>IFERROR(__xludf.DUMMYFUNCTION("""COMPUTED_VALUE"""),0.7525561607788508)</f>
        <v>0.7525561608</v>
      </c>
      <c r="AG21" s="30">
        <f>IFERROR(__xludf.DUMMYFUNCTION("""COMPUTED_VALUE"""),0.9880494253466223)</f>
        <v>0.9880494253</v>
      </c>
      <c r="AH21" s="30">
        <f>IFERROR(__xludf.DUMMYFUNCTION("""COMPUTED_VALUE"""),1.1395037513302515)</f>
        <v>1.139503751</v>
      </c>
      <c r="AI21" s="30">
        <f>IFERROR(__xludf.DUMMYFUNCTION("""COMPUTED_VALUE"""),1.0060573082107123)</f>
        <v>1.006057308</v>
      </c>
      <c r="AJ21" s="30">
        <f>IFERROR(__xludf.DUMMYFUNCTION("""COMPUTED_VALUE"""),0.9966982673094302)</f>
        <v>0.9966982673</v>
      </c>
      <c r="AK21" s="30">
        <f>IFERROR(__xludf.DUMMYFUNCTION("""COMPUTED_VALUE"""),0.993688416364993)</f>
        <v>0.9936884164</v>
      </c>
      <c r="AL21" s="30">
        <f>IFERROR(__xludf.DUMMYFUNCTION("""COMPUTED_VALUE"""),1.0664596212266315)</f>
        <v>1.066459621</v>
      </c>
      <c r="AM21" s="30">
        <f>IFERROR(__xludf.DUMMYFUNCTION("""COMPUTED_VALUE"""),0.987080286339505)</f>
        <v>0.9870802863</v>
      </c>
      <c r="AN21" s="30">
        <f>IFERROR(__xludf.DUMMYFUNCTION("""COMPUTED_VALUE"""),1.003834761882506)</f>
        <v>1.003834762</v>
      </c>
      <c r="AO21" s="30">
        <f>IFERROR(__xludf.DUMMYFUNCTION("""COMPUTED_VALUE"""),1.1823327913311876)</f>
        <v>1.182332791</v>
      </c>
      <c r="AP21" s="30">
        <f>IFERROR(__xludf.DUMMYFUNCTION("""COMPUTED_VALUE"""),0.7863253925915655)</f>
        <v>0.7863253926</v>
      </c>
      <c r="AQ21" s="30">
        <f>IFERROR(__xludf.DUMMYFUNCTION("""COMPUTED_VALUE"""),0.9910371150059978)</f>
        <v>0.991037115</v>
      </c>
      <c r="AR21" s="30">
        <f>IFERROR(__xludf.DUMMYFUNCTION("""COMPUTED_VALUE"""),1.1632876223405741)</f>
        <v>1.163287622</v>
      </c>
      <c r="AS21" s="30">
        <f>IFERROR(__xludf.DUMMYFUNCTION("""COMPUTED_VALUE"""),121.0)</f>
        <v>121</v>
      </c>
      <c r="AT21" s="30">
        <f>IFERROR(__xludf.DUMMYFUNCTION("""COMPUTED_VALUE"""),0.510008437176686)</f>
        <v>0.5100084372</v>
      </c>
      <c r="AU21" s="30">
        <f>IFERROR(__xludf.DUMMYFUNCTION("""COMPUTED_VALUE"""),2.64846254734336)</f>
        <v>2.648462547</v>
      </c>
      <c r="AV21" s="32">
        <f>IFERROR(__xludf.DUMMYFUNCTION("""COMPUTED_VALUE"""),57.56629389372057)</f>
        <v>57.56629389</v>
      </c>
      <c r="AW21" s="32">
        <f>IFERROR(__xludf.DUMMYFUNCTION("""COMPUTED_VALUE"""),2.6241372130394307)</f>
        <v>2.624137213</v>
      </c>
      <c r="AX21" s="32">
        <f>IFERROR(__xludf.DUMMYFUNCTION("""COMPUTED_VALUE"""),48.65876580181732)</f>
        <v>48.6587658</v>
      </c>
      <c r="AY21" s="32">
        <f>IFERROR(__xludf.DUMMYFUNCTION("""COMPUTED_VALUE"""),-2.0893957953249247)</f>
        <v>-2.089395795</v>
      </c>
      <c r="AZ21" s="30">
        <f>IFERROR(__xludf.DUMMYFUNCTION("""COMPUTED_VALUE"""),4.713533008364355)</f>
        <v>4.713533008</v>
      </c>
      <c r="BA21" s="30">
        <f>IFERROR(__xludf.DUMMYFUNCTION("""COMPUTED_VALUE"""),2.0)</f>
        <v>2</v>
      </c>
    </row>
    <row r="22">
      <c r="A22" s="30" t="str">
        <f>IFERROR(__xludf.DUMMYFUNCTION("""COMPUTED_VALUE"""),"Premier")</f>
        <v>Premier</v>
      </c>
      <c r="B22" s="71" t="str">
        <f>IFERROR(__xludf.DUMMYFUNCTION("""COMPUTED_VALUE"""),"RSC002542")</f>
        <v>RSC002542</v>
      </c>
      <c r="C22" s="30" t="str">
        <f>IFERROR(__xludf.DUMMYFUNCTION("""COMPUTED_VALUE"""),"wicked.")</f>
        <v>wicked.</v>
      </c>
      <c r="D22" s="30" t="str">
        <f>IFERROR(__xludf.DUMMYFUNCTION("""COMPUTED_VALUE"""),"Fairies")</f>
        <v>Fairies</v>
      </c>
      <c r="E22" s="30">
        <f>IFERROR(__xludf.DUMMYFUNCTION("""COMPUTED_VALUE"""),23.0)</f>
        <v>23</v>
      </c>
      <c r="F22" s="30">
        <f>IFERROR(__xludf.DUMMYFUNCTION("""COMPUTED_VALUE"""),9.0)</f>
        <v>9</v>
      </c>
      <c r="G22" s="30">
        <f>IFERROR(__xludf.DUMMYFUNCTION("""COMPUTED_VALUE"""),14.0)</f>
        <v>14</v>
      </c>
      <c r="H22" s="42">
        <f>IFERROR(__xludf.DUMMYFUNCTION("""COMPUTED_VALUE"""),0.391304347826087)</f>
        <v>0.3913043478</v>
      </c>
      <c r="I22" s="42">
        <f>IFERROR(__xludf.DUMMYFUNCTION("""COMPUTED_VALUE"""),0.31666666666666665)</f>
        <v>0.3166666667</v>
      </c>
      <c r="J22" s="30">
        <f>IFERROR(__xludf.DUMMYFUNCTION("""COMPUTED_VALUE"""),374.4347826086956)</f>
        <v>374.4347826</v>
      </c>
      <c r="K22" s="30">
        <f>IFERROR(__xludf.DUMMYFUNCTION("""COMPUTED_VALUE"""),0.8260869565217391)</f>
        <v>0.8260869565</v>
      </c>
      <c r="L22" s="30">
        <f>IFERROR(__xludf.DUMMYFUNCTION("""COMPUTED_VALUE"""),0.6521739130434783)</f>
        <v>0.652173913</v>
      </c>
      <c r="M22" s="30">
        <f>IFERROR(__xludf.DUMMYFUNCTION("""COMPUTED_VALUE"""),1.3043478260869565)</f>
        <v>1.304347826</v>
      </c>
      <c r="N22" s="30">
        <f>IFERROR(__xludf.DUMMYFUNCTION("""COMPUTED_VALUE"""),2.608695652173913)</f>
        <v>2.608695652</v>
      </c>
      <c r="O22" s="30">
        <f>IFERROR(__xludf.DUMMYFUNCTION("""COMPUTED_VALUE"""),378.2028985507246)</f>
        <v>378.2028986</v>
      </c>
      <c r="P22" s="30">
        <f>IFERROR(__xludf.DUMMYFUNCTION("""COMPUTED_VALUE"""),0.9420289855072462)</f>
        <v>0.9420289855</v>
      </c>
      <c r="Q22" s="30">
        <f>IFERROR(__xludf.DUMMYFUNCTION("""COMPUTED_VALUE"""),0.7681159420289854)</f>
        <v>0.768115942</v>
      </c>
      <c r="R22" s="30">
        <f>IFERROR(__xludf.DUMMYFUNCTION("""COMPUTED_VALUE"""),1.2608695652173914)</f>
        <v>1.260869565</v>
      </c>
      <c r="S22" s="30">
        <f>IFERROR(__xludf.DUMMYFUNCTION("""COMPUTED_VALUE"""),2.840579710144928)</f>
        <v>2.84057971</v>
      </c>
      <c r="T22" s="30">
        <f>IFERROR(__xludf.DUMMYFUNCTION("""COMPUTED_VALUE"""),367.2790654439624)</f>
        <v>367.2790654</v>
      </c>
      <c r="U22" s="30">
        <f>IFERROR(__xludf.DUMMYFUNCTION("""COMPUTED_VALUE"""),0.798979176436535)</f>
        <v>0.7989791764</v>
      </c>
      <c r="V22" s="30">
        <f>IFERROR(__xludf.DUMMYFUNCTION("""COMPUTED_VALUE"""),0.6052346642564131)</f>
        <v>0.6052346643</v>
      </c>
      <c r="W22" s="30">
        <f>IFERROR(__xludf.DUMMYFUNCTION("""COMPUTED_VALUE"""),1.4304855297868067)</f>
        <v>1.43048553</v>
      </c>
      <c r="X22" s="30">
        <f>IFERROR(__xludf.DUMMYFUNCTION("""COMPUTED_VALUE"""),2.617886961567934)</f>
        <v>2.617886962</v>
      </c>
      <c r="Y22" s="30">
        <f>IFERROR(__xludf.DUMMYFUNCTION("""COMPUTED_VALUE"""),367.49175195171324)</f>
        <v>367.491752</v>
      </c>
      <c r="Z22" s="30">
        <f>IFERROR(__xludf.DUMMYFUNCTION("""COMPUTED_VALUE"""),0.8288319853883068)</f>
        <v>0.8288319854</v>
      </c>
      <c r="AA22" s="30">
        <f>IFERROR(__xludf.DUMMYFUNCTION("""COMPUTED_VALUE"""),0.6353563344385043)</f>
        <v>0.6353563344</v>
      </c>
      <c r="AB22" s="30">
        <f>IFERROR(__xludf.DUMMYFUNCTION("""COMPUTED_VALUE"""),1.3643139933075878)</f>
        <v>1.364313993</v>
      </c>
      <c r="AC22" s="30">
        <f>IFERROR(__xludf.DUMMYFUNCTION("""COMPUTED_VALUE"""),2.7613494896044095)</f>
        <v>2.76134949</v>
      </c>
      <c r="AD22" s="30">
        <f>IFERROR(__xludf.DUMMYFUNCTION("""COMPUTED_VALUE"""),1.0188930244559466)</f>
        <v>1.018893024</v>
      </c>
      <c r="AE22" s="30">
        <f>IFERROR(__xludf.DUMMYFUNCTION("""COMPUTED_VALUE"""),0.9966880756112693)</f>
        <v>0.9966880756</v>
      </c>
      <c r="AF22" s="30">
        <f>IFERROR(__xludf.DUMMYFUNCTION("""COMPUTED_VALUE"""),1.0264695222088822)</f>
        <v>1.026469522</v>
      </c>
      <c r="AG22" s="30">
        <f>IFERROR(__xludf.DUMMYFUNCTION("""COMPUTED_VALUE"""),0.9560466523727051)</f>
        <v>0.9560466524</v>
      </c>
      <c r="AH22" s="30">
        <f>IFERROR(__xludf.DUMMYFUNCTION("""COMPUTED_VALUE"""),0.9447176686597663)</f>
        <v>0.9447176687</v>
      </c>
      <c r="AI22" s="30">
        <f>IFERROR(__xludf.DUMMYFUNCTION("""COMPUTED_VALUE"""),1.0297425966643583)</f>
        <v>1.029742597</v>
      </c>
      <c r="AJ22" s="30">
        <f>IFERROR(__xludf.DUMMYFUNCTION("""COMPUTED_VALUE"""),1.1790407225739181)</f>
        <v>1.179040723</v>
      </c>
      <c r="AK22" s="30">
        <f>IFERROR(__xludf.DUMMYFUNCTION("""COMPUTED_VALUE"""),1.2691208673129901)</f>
        <v>1.269120867</v>
      </c>
      <c r="AL22" s="30">
        <f>IFERROR(__xludf.DUMMYFUNCTION("""COMPUTED_VALUE"""),0.8814276963747448)</f>
        <v>0.8814276964</v>
      </c>
      <c r="AM22" s="30">
        <f>IFERROR(__xludf.DUMMYFUNCTION("""COMPUTED_VALUE"""),1.0850658381535376)</f>
        <v>1.085065838</v>
      </c>
      <c r="AN22" s="30">
        <f>IFERROR(__xludf.DUMMYFUNCTION("""COMPUTED_VALUE"""),1.026074263199443)</f>
        <v>1.026074263</v>
      </c>
      <c r="AO22" s="30">
        <f>IFERROR(__xludf.DUMMYFUNCTION("""COMPUTED_VALUE"""),1.0433035401766309)</f>
        <v>1.04330354</v>
      </c>
      <c r="AP22" s="30">
        <f>IFERROR(__xludf.DUMMYFUNCTION("""COMPUTED_VALUE"""),1.095571940270857)</f>
        <v>1.09557194</v>
      </c>
      <c r="AQ22" s="30">
        <f>IFERROR(__xludf.DUMMYFUNCTION("""COMPUTED_VALUE"""),0.9067893135356632)</f>
        <v>0.9067893135</v>
      </c>
      <c r="AR22" s="30">
        <f>IFERROR(__xludf.DUMMYFUNCTION("""COMPUTED_VALUE"""),0.9836495037482517)</f>
        <v>0.9836495037</v>
      </c>
      <c r="AS22" s="30">
        <f>IFERROR(__xludf.DUMMYFUNCTION("""COMPUTED_VALUE"""),52.0)</f>
        <v>52</v>
      </c>
      <c r="AT22" s="30">
        <f>IFERROR(__xludf.DUMMYFUNCTION("""COMPUTED_VALUE"""),0.4119504747006356)</f>
        <v>0.4119504747</v>
      </c>
      <c r="AU22" s="30">
        <f>IFERROR(__xludf.DUMMYFUNCTION("""COMPUTED_VALUE"""),2.348598185091772)</f>
        <v>2.348598185</v>
      </c>
      <c r="AV22" s="32">
        <f>IFERROR(__xludf.DUMMYFUNCTION("""COMPUTED_VALUE"""),48.50441686889613)</f>
        <v>48.50441687</v>
      </c>
      <c r="AW22" s="32">
        <f>IFERROR(__xludf.DUMMYFUNCTION("""COMPUTED_VALUE"""),-2.100186569264326)</f>
        <v>-2.100186569</v>
      </c>
      <c r="AX22" s="32">
        <f>IFERROR(__xludf.DUMMYFUNCTION("""COMPUTED_VALUE"""),53.07771924866918)</f>
        <v>53.07771925</v>
      </c>
      <c r="AY22" s="32">
        <f>IFERROR(__xludf.DUMMYFUNCTION("""COMPUTED_VALUE"""),2.2172433611197024)</f>
        <v>2.217243361</v>
      </c>
      <c r="AZ22" s="30">
        <f>IFERROR(__xludf.DUMMYFUNCTION("""COMPUTED_VALUE"""),4.317429930384028)</f>
        <v>4.31742993</v>
      </c>
      <c r="BA22" s="30">
        <f>IFERROR(__xludf.DUMMYFUNCTION("""COMPUTED_VALUE"""),2.0)</f>
        <v>2</v>
      </c>
    </row>
    <row r="23">
      <c r="A23" s="30" t="str">
        <f>IFERROR(__xludf.DUMMYFUNCTION("""COMPUTED_VALUE"""),"Premier")</f>
        <v>Premier</v>
      </c>
      <c r="B23" s="71" t="str">
        <f>IFERROR(__xludf.DUMMYFUNCTION("""COMPUTED_VALUE"""),"RSC007845")</f>
        <v>RSC007845</v>
      </c>
      <c r="C23" s="30" t="str">
        <f>IFERROR(__xludf.DUMMYFUNCTION("""COMPUTED_VALUE"""),"Enchanted")</f>
        <v>Enchanted</v>
      </c>
      <c r="D23" s="30" t="str">
        <f>IFERROR(__xludf.DUMMYFUNCTION("""COMPUTED_VALUE"""),"Old Heads")</f>
        <v>Old Heads</v>
      </c>
      <c r="E23" s="30">
        <f>IFERROR(__xludf.DUMMYFUNCTION("""COMPUTED_VALUE"""),48.0)</f>
        <v>48</v>
      </c>
      <c r="F23" s="30">
        <f>IFERROR(__xludf.DUMMYFUNCTION("""COMPUTED_VALUE"""),27.0)</f>
        <v>27</v>
      </c>
      <c r="G23" s="30">
        <f>IFERROR(__xludf.DUMMYFUNCTION("""COMPUTED_VALUE"""),21.0)</f>
        <v>21</v>
      </c>
      <c r="H23" s="42">
        <f>IFERROR(__xludf.DUMMYFUNCTION("""COMPUTED_VALUE"""),0.5625)</f>
        <v>0.5625</v>
      </c>
      <c r="I23" s="42">
        <f>IFERROR(__xludf.DUMMYFUNCTION("""COMPUTED_VALUE"""),0.29838709677419356)</f>
        <v>0.2983870968</v>
      </c>
      <c r="J23" s="30">
        <f>IFERROR(__xludf.DUMMYFUNCTION("""COMPUTED_VALUE"""),390.0833333333333)</f>
        <v>390.0833333</v>
      </c>
      <c r="K23" s="30">
        <f>IFERROR(__xludf.DUMMYFUNCTION("""COMPUTED_VALUE"""),0.7708333333333334)</f>
        <v>0.7708333333</v>
      </c>
      <c r="L23" s="30">
        <f>IFERROR(__xludf.DUMMYFUNCTION("""COMPUTED_VALUE"""),0.625)</f>
        <v>0.625</v>
      </c>
      <c r="M23" s="30">
        <f>IFERROR(__xludf.DUMMYFUNCTION("""COMPUTED_VALUE"""),1.5833333333333333)</f>
        <v>1.583333333</v>
      </c>
      <c r="N23" s="30">
        <f>IFERROR(__xludf.DUMMYFUNCTION("""COMPUTED_VALUE"""),2.5833333333333335)</f>
        <v>2.583333333</v>
      </c>
      <c r="O23" s="30">
        <f>IFERROR(__xludf.DUMMYFUNCTION("""COMPUTED_VALUE"""),374.06249999999994)</f>
        <v>374.0625</v>
      </c>
      <c r="P23" s="30">
        <f>IFERROR(__xludf.DUMMYFUNCTION("""COMPUTED_VALUE"""),0.8194444444444445)</f>
        <v>0.8194444444</v>
      </c>
      <c r="Q23" s="30">
        <f>IFERROR(__xludf.DUMMYFUNCTION("""COMPUTED_VALUE"""),0.625)</f>
        <v>0.625</v>
      </c>
      <c r="R23" s="30">
        <f>IFERROR(__xludf.DUMMYFUNCTION("""COMPUTED_VALUE"""),1.4861111111111114)</f>
        <v>1.486111111</v>
      </c>
      <c r="S23" s="30">
        <f>IFERROR(__xludf.DUMMYFUNCTION("""COMPUTED_VALUE"""),2.715277777777778)</f>
        <v>2.715277778</v>
      </c>
      <c r="T23" s="30">
        <f>IFERROR(__xludf.DUMMYFUNCTION("""COMPUTED_VALUE"""),374.87165729223625)</f>
        <v>374.8716573</v>
      </c>
      <c r="U23" s="30">
        <f>IFERROR(__xludf.DUMMYFUNCTION("""COMPUTED_VALUE"""),0.8389284147397285)</f>
        <v>0.8389284147</v>
      </c>
      <c r="V23" s="30">
        <f>IFERROR(__xludf.DUMMYFUNCTION("""COMPUTED_VALUE"""),0.6366349816920817)</f>
        <v>0.6366349817</v>
      </c>
      <c r="W23" s="30">
        <f>IFERROR(__xludf.DUMMYFUNCTION("""COMPUTED_VALUE"""),1.4122157134492526)</f>
        <v>1.412215713</v>
      </c>
      <c r="X23" s="30">
        <f>IFERROR(__xludf.DUMMYFUNCTION("""COMPUTED_VALUE"""),2.7609607634297677)</f>
        <v>2.760960763</v>
      </c>
      <c r="Y23" s="30">
        <f>IFERROR(__xludf.DUMMYFUNCTION("""COMPUTED_VALUE"""),372.7887169628127)</f>
        <v>372.788717</v>
      </c>
      <c r="Z23" s="30">
        <f>IFERROR(__xludf.DUMMYFUNCTION("""COMPUTED_VALUE"""),0.8188858637526609)</f>
        <v>0.8188858638</v>
      </c>
      <c r="AA23" s="30">
        <f>IFERROR(__xludf.DUMMYFUNCTION("""COMPUTED_VALUE"""),0.6228447355153282)</f>
        <v>0.6228447355</v>
      </c>
      <c r="AB23" s="30">
        <f>IFERROR(__xludf.DUMMYFUNCTION("""COMPUTED_VALUE"""),1.4442282642871447)</f>
        <v>1.444228264</v>
      </c>
      <c r="AC23" s="30">
        <f>IFERROR(__xludf.DUMMYFUNCTION("""COMPUTED_VALUE"""),2.709712542986004)</f>
        <v>2.709712543</v>
      </c>
      <c r="AD23" s="30">
        <f>IFERROR(__xludf.DUMMYFUNCTION("""COMPUTED_VALUE"""),1.0463925424337504)</f>
        <v>1.046392542</v>
      </c>
      <c r="AE23" s="30">
        <f>IFERROR(__xludf.DUMMYFUNCTION("""COMPUTED_VALUE"""),0.9413196239594124)</f>
        <v>0.941319624</v>
      </c>
      <c r="AF23" s="30">
        <f>IFERROR(__xludf.DUMMYFUNCTION("""COMPUTED_VALUE"""),1.0034603559471185)</f>
        <v>1.003460356</v>
      </c>
      <c r="AG23" s="30">
        <f>IFERROR(__xludf.DUMMYFUNCTION("""COMPUTED_VALUE"""),1.0963179245871146)</f>
        <v>1.096317925</v>
      </c>
      <c r="AH23" s="30">
        <f>IFERROR(__xludf.DUMMYFUNCTION("""COMPUTED_VALUE"""),0.9533606581333512)</f>
        <v>0.9533606581</v>
      </c>
      <c r="AI23" s="30">
        <f>IFERROR(__xludf.DUMMYFUNCTION("""COMPUTED_VALUE"""),0.9978415084829806)</f>
        <v>0.9978415085</v>
      </c>
      <c r="AJ23" s="30">
        <f>IFERROR(__xludf.DUMMYFUNCTION("""COMPUTED_VALUE"""),0.9767751694269067)</f>
        <v>0.9767751694</v>
      </c>
      <c r="AK23" s="30">
        <f>IFERROR(__xludf.DUMMYFUNCTION("""COMPUTED_VALUE"""),0.9817242501171431)</f>
        <v>0.9817242501</v>
      </c>
      <c r="AL23" s="30">
        <f>IFERROR(__xludf.DUMMYFUNCTION("""COMPUTED_VALUE"""),1.0523258571322462)</f>
        <v>1.052325857</v>
      </c>
      <c r="AM23" s="30">
        <f>IFERROR(__xludf.DUMMYFUNCTION("""COMPUTED_VALUE"""),0.9834539533277392)</f>
        <v>0.9834539533</v>
      </c>
      <c r="AN23" s="30">
        <f>IFERROR(__xludf.DUMMYFUNCTION("""COMPUTED_VALUE"""),1.0689564309378545)</f>
        <v>1.068956431</v>
      </c>
      <c r="AO23" s="30">
        <f>IFERROR(__xludf.DUMMYFUNCTION("""COMPUTED_VALUE"""),0.9735211761955186)</f>
        <v>0.9735211762</v>
      </c>
      <c r="AP23" s="30">
        <f>IFERROR(__xludf.DUMMYFUNCTION("""COMPUTED_VALUE"""),1.049923109426238)</f>
        <v>1.049923109</v>
      </c>
      <c r="AQ23" s="30">
        <f>IFERROR(__xludf.DUMMYFUNCTION("""COMPUTED_VALUE"""),1.1007414722641244)</f>
        <v>1.100741472</v>
      </c>
      <c r="AR23" s="30">
        <f>IFERROR(__xludf.DUMMYFUNCTION("""COMPUTED_VALUE"""),0.9740862446840326)</f>
        <v>0.9740862447</v>
      </c>
      <c r="AS23" s="30">
        <f>IFERROR(__xludf.DUMMYFUNCTION("""COMPUTED_VALUE"""),126.0)</f>
        <v>126</v>
      </c>
      <c r="AT23" s="30">
        <f>IFERROR(__xludf.DUMMYFUNCTION("""COMPUTED_VALUE"""),0.5261273128952229)</f>
        <v>0.5261273129</v>
      </c>
      <c r="AU23" s="30">
        <f>IFERROR(__xludf.DUMMYFUNCTION("""COMPUTED_VALUE"""),2.525559132416937)</f>
        <v>2.525559132</v>
      </c>
      <c r="AV23" s="32">
        <f>IFERROR(__xludf.DUMMYFUNCTION("""COMPUTED_VALUE"""),53.85216253235597)</f>
        <v>53.85216253</v>
      </c>
      <c r="AW23" s="32">
        <f>IFERROR(__xludf.DUMMYFUNCTION("""COMPUTED_VALUE"""),2.2790944109623905)</f>
        <v>2.279094411</v>
      </c>
      <c r="AX23" s="32">
        <f>IFERROR(__xludf.DUMMYFUNCTION("""COMPUTED_VALUE"""),49.76396746835198)</f>
        <v>49.76396747</v>
      </c>
      <c r="AY23" s="32">
        <f>IFERROR(__xludf.DUMMYFUNCTION("""COMPUTED_VALUE"""),-2.015180265484037)</f>
        <v>-2.015180265</v>
      </c>
      <c r="AZ23" s="30">
        <f>IFERROR(__xludf.DUMMYFUNCTION("""COMPUTED_VALUE"""),4.2942746764464275)</f>
        <v>4.294274676</v>
      </c>
      <c r="BA23" s="30">
        <f>IFERROR(__xludf.DUMMYFUNCTION("""COMPUTED_VALUE"""),2.0)</f>
        <v>2</v>
      </c>
    </row>
    <row r="24">
      <c r="A24" s="30" t="str">
        <f>IFERROR(__xludf.DUMMYFUNCTION("""COMPUTED_VALUE"""),"Premier")</f>
        <v>Premier</v>
      </c>
      <c r="B24" s="71" t="str">
        <f>IFERROR(__xludf.DUMMYFUNCTION("""COMPUTED_VALUE"""),"RSC001605")</f>
        <v>RSC001605</v>
      </c>
      <c r="C24" s="30" t="str">
        <f>IFERROR(__xludf.DUMMYFUNCTION("""COMPUTED_VALUE"""),"Reeves")</f>
        <v>Reeves</v>
      </c>
      <c r="D24" s="30" t="str">
        <f>IFERROR(__xludf.DUMMYFUNCTION("""COMPUTED_VALUE"""),"Crooked Capos")</f>
        <v>Crooked Capos</v>
      </c>
      <c r="E24" s="30">
        <f>IFERROR(__xludf.DUMMYFUNCTION("""COMPUTED_VALUE"""),32.0)</f>
        <v>32</v>
      </c>
      <c r="F24" s="30">
        <f>IFERROR(__xludf.DUMMYFUNCTION("""COMPUTED_VALUE"""),17.0)</f>
        <v>17</v>
      </c>
      <c r="G24" s="30">
        <f>IFERROR(__xludf.DUMMYFUNCTION("""COMPUTED_VALUE"""),15.0)</f>
        <v>15</v>
      </c>
      <c r="H24" s="42">
        <f>IFERROR(__xludf.DUMMYFUNCTION("""COMPUTED_VALUE"""),0.53125)</f>
        <v>0.53125</v>
      </c>
      <c r="I24" s="42">
        <f>IFERROR(__xludf.DUMMYFUNCTION("""COMPUTED_VALUE"""),0.28440366972477066)</f>
        <v>0.2844036697</v>
      </c>
      <c r="J24" s="30">
        <f>IFERROR(__xludf.DUMMYFUNCTION("""COMPUTED_VALUE"""),420.53125)</f>
        <v>420.53125</v>
      </c>
      <c r="K24" s="30">
        <f>IFERROR(__xludf.DUMMYFUNCTION("""COMPUTED_VALUE"""),0.96875)</f>
        <v>0.96875</v>
      </c>
      <c r="L24" s="30">
        <f>IFERROR(__xludf.DUMMYFUNCTION("""COMPUTED_VALUE"""),0.75)</f>
        <v>0.75</v>
      </c>
      <c r="M24" s="30">
        <f>IFERROR(__xludf.DUMMYFUNCTION("""COMPUTED_VALUE"""),1.59375)</f>
        <v>1.59375</v>
      </c>
      <c r="N24" s="30">
        <f>IFERROR(__xludf.DUMMYFUNCTION("""COMPUTED_VALUE"""),3.40625)</f>
        <v>3.40625</v>
      </c>
      <c r="O24" s="30">
        <f>IFERROR(__xludf.DUMMYFUNCTION("""COMPUTED_VALUE"""),373.93750000000006)</f>
        <v>373.9375</v>
      </c>
      <c r="P24" s="30">
        <f>IFERROR(__xludf.DUMMYFUNCTION("""COMPUTED_VALUE"""),0.7812499999999998)</f>
        <v>0.78125</v>
      </c>
      <c r="Q24" s="30">
        <f>IFERROR(__xludf.DUMMYFUNCTION("""COMPUTED_VALUE"""),0.6458333333333333)</f>
        <v>0.6458333333</v>
      </c>
      <c r="R24" s="30">
        <f>IFERROR(__xludf.DUMMYFUNCTION("""COMPUTED_VALUE"""),1.5208333333333333)</f>
        <v>1.520833333</v>
      </c>
      <c r="S24" s="30">
        <f>IFERROR(__xludf.DUMMYFUNCTION("""COMPUTED_VALUE"""),2.666666666666667)</f>
        <v>2.666666667</v>
      </c>
      <c r="T24" s="30">
        <f>IFERROR(__xludf.DUMMYFUNCTION("""COMPUTED_VALUE"""),373.8699413725977)</f>
        <v>373.8699414</v>
      </c>
      <c r="U24" s="30">
        <f>IFERROR(__xludf.DUMMYFUNCTION("""COMPUTED_VALUE"""),0.8323221493514695)</f>
        <v>0.8323221494</v>
      </c>
      <c r="V24" s="30">
        <f>IFERROR(__xludf.DUMMYFUNCTION("""COMPUTED_VALUE"""),0.6531733118399004)</f>
        <v>0.6531733118</v>
      </c>
      <c r="W24" s="30">
        <f>IFERROR(__xludf.DUMMYFUNCTION("""COMPUTED_VALUE"""),1.435784777268189)</f>
        <v>1.435784777</v>
      </c>
      <c r="X24" s="30">
        <f>IFERROR(__xludf.DUMMYFUNCTION("""COMPUTED_VALUE"""),2.7408153322480544)</f>
        <v>2.740815332</v>
      </c>
      <c r="Y24" s="30">
        <f>IFERROR(__xludf.DUMMYFUNCTION("""COMPUTED_VALUE"""),368.1060930671497)</f>
        <v>368.1060931</v>
      </c>
      <c r="Z24" s="30">
        <f>IFERROR(__xludf.DUMMYFUNCTION("""COMPUTED_VALUE"""),0.8070908465362424)</f>
        <v>0.8070908465</v>
      </c>
      <c r="AA24" s="30">
        <f>IFERROR(__xludf.DUMMYFUNCTION("""COMPUTED_VALUE"""),0.6165093973129854)</f>
        <v>0.6165093973</v>
      </c>
      <c r="AB24" s="30">
        <f>IFERROR(__xludf.DUMMYFUNCTION("""COMPUTED_VALUE"""),1.4299025508046055)</f>
        <v>1.429902551</v>
      </c>
      <c r="AC24" s="30">
        <f>IFERROR(__xludf.DUMMYFUNCTION("""COMPUTED_VALUE"""),2.702941294512263)</f>
        <v>2.702941295</v>
      </c>
      <c r="AD24" s="30">
        <f>IFERROR(__xludf.DUMMYFUNCTION("""COMPUTED_VALUE"""),1.1424186068098767)</f>
        <v>1.142418607</v>
      </c>
      <c r="AE24" s="30">
        <f>IFERROR(__xludf.DUMMYFUNCTION("""COMPUTED_VALUE"""),1.200298583681804)</f>
        <v>1.200298584</v>
      </c>
      <c r="AF24" s="30">
        <f>IFERROR(__xludf.DUMMYFUNCTION("""COMPUTED_VALUE"""),1.216526468645611)</f>
        <v>1.216526469</v>
      </c>
      <c r="AG24" s="30">
        <f>IFERROR(__xludf.DUMMYFUNCTION("""COMPUTED_VALUE"""),1.1145864444421039)</f>
        <v>1.114586444</v>
      </c>
      <c r="AH24" s="30">
        <f>IFERROR(__xludf.DUMMYFUNCTION("""COMPUTED_VALUE"""),1.2602012507321758)</f>
        <v>1.260201251</v>
      </c>
      <c r="AI24" s="30">
        <f>IFERROR(__xludf.DUMMYFUNCTION("""COMPUTED_VALUE"""),1.0001807008799755)</f>
        <v>1.000180701</v>
      </c>
      <c r="AJ24" s="30">
        <f>IFERROR(__xludf.DUMMYFUNCTION("""COMPUTED_VALUE"""),0.9386389640222067)</f>
        <v>0.938638964</v>
      </c>
      <c r="AK24" s="30">
        <f>IFERROR(__xludf.DUMMYFUNCTION("""COMPUTED_VALUE"""),0.9887625866312704)</f>
        <v>0.9887625866</v>
      </c>
      <c r="AL24" s="30">
        <f>IFERROR(__xludf.DUMMYFUNCTION("""COMPUTED_VALUE"""),1.0592348918944263)</f>
        <v>1.059234892</v>
      </c>
      <c r="AM24" s="30">
        <f>IFERROR(__xludf.DUMMYFUNCTION("""COMPUTED_VALUE"""),0.9729464934361084)</f>
        <v>0.9729464934</v>
      </c>
      <c r="AN24" s="30">
        <f>IFERROR(__xludf.DUMMYFUNCTION("""COMPUTED_VALUE"""),1.1523937212505908)</f>
        <v>1.152393721</v>
      </c>
      <c r="AO24" s="30">
        <f>IFERROR(__xludf.DUMMYFUNCTION("""COMPUTED_VALUE"""),1.223479316029503)</f>
        <v>1.223479316</v>
      </c>
      <c r="AP24" s="30">
        <f>IFERROR(__xludf.DUMMYFUNCTION("""COMPUTED_VALUE"""),1.2599077313114855)</f>
        <v>1.259907731</v>
      </c>
      <c r="AQ24" s="30">
        <f>IFERROR(__xludf.DUMMYFUNCTION("""COMPUTED_VALUE"""),1.1079831924763883)</f>
        <v>1.107983192</v>
      </c>
      <c r="AR24" s="30">
        <f>IFERROR(__xludf.DUMMYFUNCTION("""COMPUTED_VALUE"""),1.2843798468212848)</f>
        <v>1.284379847</v>
      </c>
      <c r="AS24" s="30">
        <f>IFERROR(__xludf.DUMMYFUNCTION("""COMPUTED_VALUE"""),84.0)</f>
        <v>84</v>
      </c>
      <c r="AT24" s="30">
        <f>IFERROR(__xludf.DUMMYFUNCTION("""COMPUTED_VALUE"""),0.5447649765244494)</f>
        <v>0.5447649765</v>
      </c>
      <c r="AU24" s="30">
        <f>IFERROR(__xludf.DUMMYFUNCTION("""COMPUTED_VALUE"""),3.41976412813519)</f>
        <v>3.419764128</v>
      </c>
      <c r="AV24" s="32">
        <f>IFERROR(__xludf.DUMMYFUNCTION("""COMPUTED_VALUE"""),80.87496592699166)</f>
        <v>80.87496593</v>
      </c>
      <c r="AW24" s="32">
        <f>IFERROR(__xludf.DUMMYFUNCTION("""COMPUTED_VALUE"""),9.223772869413596)</f>
        <v>9.223772869</v>
      </c>
      <c r="AX24" s="32">
        <f>IFERROR(__xludf.DUMMYFUNCTION("""COMPUTED_VALUE"""),72.90390873894319)</f>
        <v>72.90390874</v>
      </c>
      <c r="AY24" s="32">
        <f>IFERROR(__xludf.DUMMYFUNCTION("""COMPUTED_VALUE"""),5.56196887315412)</f>
        <v>5.561968873</v>
      </c>
      <c r="AZ24" s="30">
        <f>IFERROR(__xludf.DUMMYFUNCTION("""COMPUTED_VALUE"""),3.6618039962594757)</f>
        <v>3.661803996</v>
      </c>
      <c r="BA24" s="30">
        <f>IFERROR(__xludf.DUMMYFUNCTION("""COMPUTED_VALUE"""),2.0)</f>
        <v>2</v>
      </c>
    </row>
    <row r="25">
      <c r="A25" s="30" t="str">
        <f>IFERROR(__xludf.DUMMYFUNCTION("""COMPUTED_VALUE"""),"Premier")</f>
        <v>Premier</v>
      </c>
      <c r="B25" s="71" t="str">
        <f>IFERROR(__xludf.DUMMYFUNCTION("""COMPUTED_VALUE"""),"RSC007460")</f>
        <v>RSC007460</v>
      </c>
      <c r="C25" s="30" t="str">
        <f>IFERROR(__xludf.DUMMYFUNCTION("""COMPUTED_VALUE"""),"mogii")</f>
        <v>mogii</v>
      </c>
      <c r="D25" s="30" t="str">
        <f>IFERROR(__xludf.DUMMYFUNCTION("""COMPUTED_VALUE"""),"Gummy Bears")</f>
        <v>Gummy Bears</v>
      </c>
      <c r="E25" s="30">
        <f>IFERROR(__xludf.DUMMYFUNCTION("""COMPUTED_VALUE"""),35.0)</f>
        <v>35</v>
      </c>
      <c r="F25" s="30">
        <f>IFERROR(__xludf.DUMMYFUNCTION("""COMPUTED_VALUE"""),19.0)</f>
        <v>19</v>
      </c>
      <c r="G25" s="30">
        <f>IFERROR(__xludf.DUMMYFUNCTION("""COMPUTED_VALUE"""),16.0)</f>
        <v>16</v>
      </c>
      <c r="H25" s="42">
        <f>IFERROR(__xludf.DUMMYFUNCTION("""COMPUTED_VALUE"""),0.5428571428571428)</f>
        <v>0.5428571429</v>
      </c>
      <c r="I25" s="42">
        <f>IFERROR(__xludf.DUMMYFUNCTION("""COMPUTED_VALUE"""),0.3445378151260505)</f>
        <v>0.3445378151</v>
      </c>
      <c r="J25" s="30">
        <f>IFERROR(__xludf.DUMMYFUNCTION("""COMPUTED_VALUE"""),429.57142857142856)</f>
        <v>429.5714286</v>
      </c>
      <c r="K25" s="30">
        <f>IFERROR(__xludf.DUMMYFUNCTION("""COMPUTED_VALUE"""),1.1714285714285715)</f>
        <v>1.171428571</v>
      </c>
      <c r="L25" s="30">
        <f>IFERROR(__xludf.DUMMYFUNCTION("""COMPUTED_VALUE"""),0.6)</f>
        <v>0.6</v>
      </c>
      <c r="M25" s="30">
        <f>IFERROR(__xludf.DUMMYFUNCTION("""COMPUTED_VALUE"""),1.6571428571428573)</f>
        <v>1.657142857</v>
      </c>
      <c r="N25" s="30">
        <f>IFERROR(__xludf.DUMMYFUNCTION("""COMPUTED_VALUE"""),3.4)</f>
        <v>3.4</v>
      </c>
      <c r="O25" s="30">
        <f>IFERROR(__xludf.DUMMYFUNCTION("""COMPUTED_VALUE"""),342.43809523809523)</f>
        <v>342.4380952</v>
      </c>
      <c r="P25" s="30">
        <f>IFERROR(__xludf.DUMMYFUNCTION("""COMPUTED_VALUE"""),0.7714285714285715)</f>
        <v>0.7714285714</v>
      </c>
      <c r="Q25" s="30">
        <f>IFERROR(__xludf.DUMMYFUNCTION("""COMPUTED_VALUE"""),0.580952380952381)</f>
        <v>0.580952381</v>
      </c>
      <c r="R25" s="30">
        <f>IFERROR(__xludf.DUMMYFUNCTION("""COMPUTED_VALUE"""),1.2857142857142856)</f>
        <v>1.285714286</v>
      </c>
      <c r="S25" s="30">
        <f>IFERROR(__xludf.DUMMYFUNCTION("""COMPUTED_VALUE"""),2.676190476190477)</f>
        <v>2.676190476</v>
      </c>
      <c r="T25" s="30">
        <f>IFERROR(__xludf.DUMMYFUNCTION("""COMPUTED_VALUE"""),370.038466892398)</f>
        <v>370.0384669</v>
      </c>
      <c r="U25" s="30">
        <f>IFERROR(__xludf.DUMMYFUNCTION("""COMPUTED_VALUE"""),0.8148704708894442)</f>
        <v>0.8148704709</v>
      </c>
      <c r="V25" s="30">
        <f>IFERROR(__xludf.DUMMYFUNCTION("""COMPUTED_VALUE"""),0.6917882837277501)</f>
        <v>0.6917882837</v>
      </c>
      <c r="W25" s="30">
        <f>IFERROR(__xludf.DUMMYFUNCTION("""COMPUTED_VALUE"""),1.3921078593793688)</f>
        <v>1.392107859</v>
      </c>
      <c r="X25" s="30">
        <f>IFERROR(__xludf.DUMMYFUNCTION("""COMPUTED_VALUE"""),2.7335188992423616)</f>
        <v>2.733518899</v>
      </c>
      <c r="Y25" s="30">
        <f>IFERROR(__xludf.DUMMYFUNCTION("""COMPUTED_VALUE"""),375.1915573791457)</f>
        <v>375.1915574</v>
      </c>
      <c r="Z25" s="30">
        <f>IFERROR(__xludf.DUMMYFUNCTION("""COMPUTED_VALUE"""),0.8201785987665032)</f>
        <v>0.8201785988</v>
      </c>
      <c r="AA25" s="30">
        <f>IFERROR(__xludf.DUMMYFUNCTION("""COMPUTED_VALUE"""),0.6387622357438895)</f>
        <v>0.6387622357</v>
      </c>
      <c r="AB25" s="30">
        <f>IFERROR(__xludf.DUMMYFUNCTION("""COMPUTED_VALUE"""),1.4824993356715968)</f>
        <v>1.482499336</v>
      </c>
      <c r="AC25" s="30">
        <f>IFERROR(__xludf.DUMMYFUNCTION("""COMPUTED_VALUE"""),2.701270146600571)</f>
        <v>2.701270147</v>
      </c>
      <c r="AD25" s="30">
        <f>IFERROR(__xludf.DUMMYFUNCTION("""COMPUTED_VALUE"""),1.144938952177247)</f>
        <v>1.144938952</v>
      </c>
      <c r="AE25" s="30">
        <f>IFERROR(__xludf.DUMMYFUNCTION("""COMPUTED_VALUE"""),1.4282603486488503)</f>
        <v>1.428260349</v>
      </c>
      <c r="AF25" s="30">
        <f>IFERROR(__xludf.DUMMYFUNCTION("""COMPUTED_VALUE"""),0.9393166446373465)</f>
        <v>0.9393166446</v>
      </c>
      <c r="AG25" s="30">
        <f>IFERROR(__xludf.DUMMYFUNCTION("""COMPUTED_VALUE"""),1.1178034399537482)</f>
        <v>1.11780344</v>
      </c>
      <c r="AH25" s="30">
        <f>IFERROR(__xludf.DUMMYFUNCTION("""COMPUTED_VALUE"""),1.2586671511839531)</f>
        <v>1.258667151</v>
      </c>
      <c r="AI25" s="30">
        <f>IFERROR(__xludf.DUMMYFUNCTION("""COMPUTED_VALUE"""),0.925412155427807)</f>
        <v>0.9254121554</v>
      </c>
      <c r="AJ25" s="30">
        <f>IFERROR(__xludf.DUMMYFUNCTION("""COMPUTED_VALUE"""),0.9466885830168135)</f>
        <v>0.946688583</v>
      </c>
      <c r="AK25" s="30">
        <f>IFERROR(__xludf.DUMMYFUNCTION("""COMPUTED_VALUE"""),0.8397834924608407)</f>
        <v>0.8397834925</v>
      </c>
      <c r="AL25" s="30">
        <f>IFERROR(__xludf.DUMMYFUNCTION("""COMPUTED_VALUE"""),0.9235737569124021)</f>
        <v>0.9235737569</v>
      </c>
      <c r="AM25" s="30">
        <f>IFERROR(__xludf.DUMMYFUNCTION("""COMPUTED_VALUE"""),0.9790276105031598)</f>
        <v>0.9790276105</v>
      </c>
      <c r="AN25" s="30">
        <f>IFERROR(__xludf.DUMMYFUNCTION("""COMPUTED_VALUE"""),1.1771667791974103)</f>
        <v>1.177166779</v>
      </c>
      <c r="AO25" s="30">
        <f>IFERROR(__xludf.DUMMYFUNCTION("""COMPUTED_VALUE"""),1.4794514862955834)</f>
        <v>1.479451486</v>
      </c>
      <c r="AP25" s="30">
        <f>IFERROR(__xludf.DUMMYFUNCTION("""COMPUTED_VALUE"""),1.0079261850491885)</f>
        <v>1.007926185</v>
      </c>
      <c r="AQ25" s="30">
        <f>IFERROR(__xludf.DUMMYFUNCTION("""COMPUTED_VALUE"""),1.1520542326253091)</f>
        <v>1.152054233</v>
      </c>
      <c r="AR25" s="30">
        <f>IFERROR(__xludf.DUMMYFUNCTION("""COMPUTED_VALUE"""),1.2820231865518879)</f>
        <v>1.282023187</v>
      </c>
      <c r="AS25" s="30">
        <f>IFERROR(__xludf.DUMMYFUNCTION("""COMPUTED_VALUE"""),87.0)</f>
        <v>87</v>
      </c>
      <c r="AT25" s="30">
        <f>IFERROR(__xludf.DUMMYFUNCTION("""COMPUTED_VALUE"""),0.5279935880389431)</f>
        <v>0.527993588</v>
      </c>
      <c r="AU25" s="30">
        <f>IFERROR(__xludf.DUMMYFUNCTION("""COMPUTED_VALUE"""),3.5299913993828738)</f>
        <v>3.529991399</v>
      </c>
      <c r="AV25" s="32">
        <f>IFERROR(__xludf.DUMMYFUNCTION("""COMPUTED_VALUE"""),84.20602524103721)</f>
        <v>84.20602524</v>
      </c>
      <c r="AW25" s="32">
        <f>IFERROR(__xludf.DUMMYFUNCTION("""COMPUTED_VALUE"""),11.679742703706268)</f>
        <v>11.6797427</v>
      </c>
      <c r="AX25" s="32">
        <f>IFERROR(__xludf.DUMMYFUNCTION("""COMPUTED_VALUE"""),79.76812204744519)</f>
        <v>79.76812205</v>
      </c>
      <c r="AY25" s="32">
        <f>IFERROR(__xludf.DUMMYFUNCTION("""COMPUTED_VALUE"""),8.555724906974985)</f>
        <v>8.555724907</v>
      </c>
      <c r="AZ25" s="30">
        <f>IFERROR(__xludf.DUMMYFUNCTION("""COMPUTED_VALUE"""),3.124017796731282)</f>
        <v>3.124017797</v>
      </c>
      <c r="BA25" s="30">
        <f>IFERROR(__xludf.DUMMYFUNCTION("""COMPUTED_VALUE"""),2.0)</f>
        <v>2</v>
      </c>
    </row>
    <row r="26">
      <c r="A26" s="30" t="str">
        <f>IFERROR(__xludf.DUMMYFUNCTION("""COMPUTED_VALUE"""),"Premier")</f>
        <v>Premier</v>
      </c>
      <c r="B26" s="71" t="str">
        <f>IFERROR(__xludf.DUMMYFUNCTION("""COMPUTED_VALUE"""),"RSC002062")</f>
        <v>RSC002062</v>
      </c>
      <c r="C26" s="30" t="str">
        <f>IFERROR(__xludf.DUMMYFUNCTION("""COMPUTED_VALUE"""),"Gromit")</f>
        <v>Gromit</v>
      </c>
      <c r="D26" s="30" t="str">
        <f>IFERROR(__xludf.DUMMYFUNCTION("""COMPUTED_VALUE"""),"Excavators")</f>
        <v>Excavators</v>
      </c>
      <c r="E26" s="30">
        <f>IFERROR(__xludf.DUMMYFUNCTION("""COMPUTED_VALUE"""),46.0)</f>
        <v>46</v>
      </c>
      <c r="F26" s="30">
        <f>IFERROR(__xludf.DUMMYFUNCTION("""COMPUTED_VALUE"""),30.0)</f>
        <v>30</v>
      </c>
      <c r="G26" s="30">
        <f>IFERROR(__xludf.DUMMYFUNCTION("""COMPUTED_VALUE"""),16.0)</f>
        <v>16</v>
      </c>
      <c r="H26" s="42">
        <f>IFERROR(__xludf.DUMMYFUNCTION("""COMPUTED_VALUE"""),0.6521739130434783)</f>
        <v>0.652173913</v>
      </c>
      <c r="I26" s="42">
        <f>IFERROR(__xludf.DUMMYFUNCTION("""COMPUTED_VALUE"""),0.3129251700680272)</f>
        <v>0.3129251701</v>
      </c>
      <c r="J26" s="30">
        <f>IFERROR(__xludf.DUMMYFUNCTION("""COMPUTED_VALUE"""),361.67391304347825)</f>
        <v>361.673913</v>
      </c>
      <c r="K26" s="30">
        <f>IFERROR(__xludf.DUMMYFUNCTION("""COMPUTED_VALUE"""),1.0)</f>
        <v>1</v>
      </c>
      <c r="L26" s="30">
        <f>IFERROR(__xludf.DUMMYFUNCTION("""COMPUTED_VALUE"""),0.6521739130434783)</f>
        <v>0.652173913</v>
      </c>
      <c r="M26" s="30">
        <f>IFERROR(__xludf.DUMMYFUNCTION("""COMPUTED_VALUE"""),0.9565217391304348)</f>
        <v>0.9565217391</v>
      </c>
      <c r="N26" s="30">
        <f>IFERROR(__xludf.DUMMYFUNCTION("""COMPUTED_VALUE"""),3.1956521739130435)</f>
        <v>3.195652174</v>
      </c>
      <c r="O26" s="30">
        <f>IFERROR(__xludf.DUMMYFUNCTION("""COMPUTED_VALUE"""),348.3115942028985)</f>
        <v>348.3115942</v>
      </c>
      <c r="P26" s="30">
        <f>IFERROR(__xludf.DUMMYFUNCTION("""COMPUTED_VALUE"""),0.710144927536232)</f>
        <v>0.7101449275</v>
      </c>
      <c r="Q26" s="30">
        <f>IFERROR(__xludf.DUMMYFUNCTION("""COMPUTED_VALUE"""),0.5217391304347826)</f>
        <v>0.5217391304</v>
      </c>
      <c r="R26" s="30">
        <f>IFERROR(__xludf.DUMMYFUNCTION("""COMPUTED_VALUE"""),1.4855072463768115)</f>
        <v>1.485507246</v>
      </c>
      <c r="S26" s="30">
        <f>IFERROR(__xludf.DUMMYFUNCTION("""COMPUTED_VALUE"""),2.391304347826087)</f>
        <v>2.391304348</v>
      </c>
      <c r="T26" s="30">
        <f>IFERROR(__xludf.DUMMYFUNCTION("""COMPUTED_VALUE"""),372.3024886593501)</f>
        <v>372.3024887</v>
      </c>
      <c r="U26" s="30">
        <f>IFERROR(__xludf.DUMMYFUNCTION("""COMPUTED_VALUE"""),0.8148649307372162)</f>
        <v>0.8148649307</v>
      </c>
      <c r="V26" s="30">
        <f>IFERROR(__xludf.DUMMYFUNCTION("""COMPUTED_VALUE"""),0.625390753125309)</f>
        <v>0.6253907531</v>
      </c>
      <c r="W26" s="30">
        <f>IFERROR(__xludf.DUMMYFUNCTION("""COMPUTED_VALUE"""),1.4677792996997285)</f>
        <v>1.4677793</v>
      </c>
      <c r="X26" s="30">
        <f>IFERROR(__xludf.DUMMYFUNCTION("""COMPUTED_VALUE"""),2.725405750494122)</f>
        <v>2.72540575</v>
      </c>
      <c r="Y26" s="30">
        <f>IFERROR(__xludf.DUMMYFUNCTION("""COMPUTED_VALUE"""),378.16042776849036)</f>
        <v>378.1604278</v>
      </c>
      <c r="Z26" s="30">
        <f>IFERROR(__xludf.DUMMYFUNCTION("""COMPUTED_VALUE"""),0.8597838080017105)</f>
        <v>0.859783808</v>
      </c>
      <c r="AA26" s="30">
        <f>IFERROR(__xludf.DUMMYFUNCTION("""COMPUTED_VALUE"""),0.6766565355321577)</f>
        <v>0.6766565355</v>
      </c>
      <c r="AB26" s="30">
        <f>IFERROR(__xludf.DUMMYFUNCTION("""COMPUTED_VALUE"""),1.4224770319156932)</f>
        <v>1.422477032</v>
      </c>
      <c r="AC26" s="30">
        <f>IFERROR(__xludf.DUMMYFUNCTION("""COMPUTED_VALUE"""),2.7672654452157506)</f>
        <v>2.767265445</v>
      </c>
      <c r="AD26" s="30">
        <f>IFERROR(__xludf.DUMMYFUNCTION("""COMPUTED_VALUE"""),0.9564033846103401)</f>
        <v>0.9564033846</v>
      </c>
      <c r="AE26" s="30">
        <f>IFERROR(__xludf.DUMMYFUNCTION("""COMPUTED_VALUE"""),1.163083080529484)</f>
        <v>1.163083081</v>
      </c>
      <c r="AF26" s="30">
        <f>IFERROR(__xludf.DUMMYFUNCTION("""COMPUTED_VALUE"""),0.963818242781879)</f>
        <v>0.9638182428</v>
      </c>
      <c r="AG26" s="30">
        <f>IFERROR(__xludf.DUMMYFUNCTION("""COMPUTED_VALUE"""),0.6724338725119926)</f>
        <v>0.6724338725</v>
      </c>
      <c r="AH26" s="30">
        <f>IFERROR(__xludf.DUMMYFUNCTION("""COMPUTED_VALUE"""),1.1548050727977393)</f>
        <v>1.154805073</v>
      </c>
      <c r="AI26" s="30">
        <f>IFERROR(__xludf.DUMMYFUNCTION("""COMPUTED_VALUE"""),0.9355607464703175)</f>
        <v>0.9355607465</v>
      </c>
      <c r="AJ26" s="30">
        <f>IFERROR(__xludf.DUMMYFUNCTION("""COMPUTED_VALUE"""),0.8714879003244832)</f>
        <v>0.8714879003</v>
      </c>
      <c r="AK26" s="30">
        <f>IFERROR(__xludf.DUMMYFUNCTION("""COMPUTED_VALUE"""),0.8342610245313975)</f>
        <v>0.8342610245</v>
      </c>
      <c r="AL26" s="30">
        <f>IFERROR(__xludf.DUMMYFUNCTION("""COMPUTED_VALUE"""),1.0120780737817394)</f>
        <v>1.012078074</v>
      </c>
      <c r="AM26" s="30">
        <f>IFERROR(__xludf.DUMMYFUNCTION("""COMPUTED_VALUE"""),0.8774122339004159)</f>
        <v>0.8774122339</v>
      </c>
      <c r="AN26" s="30">
        <f>IFERROR(__xludf.DUMMYFUNCTION("""COMPUTED_VALUE"""),0.9911052901096803)</f>
        <v>0.9911052901</v>
      </c>
      <c r="AO26" s="30">
        <f>IFERROR(__xludf.DUMMYFUNCTION("""COMPUTED_VALUE"""),1.2629463907401322)</f>
        <v>1.262946391</v>
      </c>
      <c r="AP26" s="30">
        <f>IFERROR(__xludf.DUMMYFUNCTION("""COMPUTED_VALUE"""),1.095571940270857)</f>
        <v>1.09557194</v>
      </c>
      <c r="AQ26" s="30">
        <f>IFERROR(__xludf.DUMMYFUNCTION("""COMPUTED_VALUE"""),0.664978829926153)</f>
        <v>0.6649788299</v>
      </c>
      <c r="AR26" s="30">
        <f>IFERROR(__xludf.DUMMYFUNCTION("""COMPUTED_VALUE"""),1.2049706420916082)</f>
        <v>1.204970642</v>
      </c>
      <c r="AS26" s="30">
        <f>IFERROR(__xludf.DUMMYFUNCTION("""COMPUTED_VALUE"""),129.0)</f>
        <v>129</v>
      </c>
      <c r="AT26" s="30">
        <f>IFERROR(__xludf.DUMMYFUNCTION("""COMPUTED_VALUE"""),0.6069634349595463)</f>
        <v>0.606963435</v>
      </c>
      <c r="AU26" s="30">
        <f>IFERROR(__xludf.DUMMYFUNCTION("""COMPUTED_VALUE"""),3.1242537699655104)</f>
        <v>3.12425377</v>
      </c>
      <c r="AV26" s="32">
        <f>IFERROR(__xludf.DUMMYFUNCTION("""COMPUTED_VALUE"""),71.9446665570095)</f>
        <v>71.94466656</v>
      </c>
      <c r="AW26" s="32">
        <f>IFERROR(__xludf.DUMMYFUNCTION("""COMPUTED_VALUE"""),5.2623338697886295)</f>
        <v>5.26233387</v>
      </c>
      <c r="AX26" s="32">
        <f>IFERROR(__xludf.DUMMYFUNCTION("""COMPUTED_VALUE"""),61.13614383604333)</f>
        <v>61.13614384</v>
      </c>
      <c r="AY26" s="32">
        <f>IFERROR(__xludf.DUMMYFUNCTION("""COMPUTED_VALUE"""),3.0487913916538187)</f>
        <v>3.048791392</v>
      </c>
      <c r="AZ26" s="30">
        <f>IFERROR(__xludf.DUMMYFUNCTION("""COMPUTED_VALUE"""),2.2135424781348108)</f>
        <v>2.213542478</v>
      </c>
      <c r="BA26" s="30">
        <f>IFERROR(__xludf.DUMMYFUNCTION("""COMPUTED_VALUE"""),2.0)</f>
        <v>2</v>
      </c>
    </row>
    <row r="27">
      <c r="A27" s="30" t="str">
        <f>IFERROR(__xludf.DUMMYFUNCTION("""COMPUTED_VALUE"""),"Premier")</f>
        <v>Premier</v>
      </c>
      <c r="B27" s="71" t="str">
        <f>IFERROR(__xludf.DUMMYFUNCTION("""COMPUTED_VALUE"""),"RSC004580")</f>
        <v>RSC004580</v>
      </c>
      <c r="C27" s="30" t="str">
        <f>IFERROR(__xludf.DUMMYFUNCTION("""COMPUTED_VALUE"""),"Stati_c")</f>
        <v>Stati_c</v>
      </c>
      <c r="D27" s="30" t="str">
        <f>IFERROR(__xludf.DUMMYFUNCTION("""COMPUTED_VALUE"""),"Feta Forgers")</f>
        <v>Feta Forgers</v>
      </c>
      <c r="E27" s="30">
        <f>IFERROR(__xludf.DUMMYFUNCTION("""COMPUTED_VALUE"""),40.0)</f>
        <v>40</v>
      </c>
      <c r="F27" s="30">
        <f>IFERROR(__xludf.DUMMYFUNCTION("""COMPUTED_VALUE"""),17.0)</f>
        <v>17</v>
      </c>
      <c r="G27" s="30">
        <f>IFERROR(__xludf.DUMMYFUNCTION("""COMPUTED_VALUE"""),23.0)</f>
        <v>23</v>
      </c>
      <c r="H27" s="42">
        <f>IFERROR(__xludf.DUMMYFUNCTION("""COMPUTED_VALUE"""),0.425)</f>
        <v>0.425</v>
      </c>
      <c r="I27" s="42">
        <f>IFERROR(__xludf.DUMMYFUNCTION("""COMPUTED_VALUE"""),0.28421052631578947)</f>
        <v>0.2842105263</v>
      </c>
      <c r="J27" s="30">
        <f>IFERROR(__xludf.DUMMYFUNCTION("""COMPUTED_VALUE"""),300.3)</f>
        <v>300.3</v>
      </c>
      <c r="K27" s="30">
        <f>IFERROR(__xludf.DUMMYFUNCTION("""COMPUTED_VALUE"""),0.675)</f>
        <v>0.675</v>
      </c>
      <c r="L27" s="30">
        <f>IFERROR(__xludf.DUMMYFUNCTION("""COMPUTED_VALUE"""),0.55)</f>
        <v>0.55</v>
      </c>
      <c r="M27" s="30">
        <f>IFERROR(__xludf.DUMMYFUNCTION("""COMPUTED_VALUE"""),0.9)</f>
        <v>0.9</v>
      </c>
      <c r="N27" s="30">
        <f>IFERROR(__xludf.DUMMYFUNCTION("""COMPUTED_VALUE"""),2.375)</f>
        <v>2.375</v>
      </c>
      <c r="O27" s="30">
        <f>IFERROR(__xludf.DUMMYFUNCTION("""COMPUTED_VALUE"""),396.35)</f>
        <v>396.35</v>
      </c>
      <c r="P27" s="30">
        <f>IFERROR(__xludf.DUMMYFUNCTION("""COMPUTED_VALUE"""),0.975)</f>
        <v>0.975</v>
      </c>
      <c r="Q27" s="30">
        <f>IFERROR(__xludf.DUMMYFUNCTION("""COMPUTED_VALUE"""),0.7833333333333334)</f>
        <v>0.7833333333</v>
      </c>
      <c r="R27" s="30">
        <f>IFERROR(__xludf.DUMMYFUNCTION("""COMPUTED_VALUE"""),1.4749999999999999)</f>
        <v>1.475</v>
      </c>
      <c r="S27" s="30">
        <f>IFERROR(__xludf.DUMMYFUNCTION("""COMPUTED_VALUE"""),2.6916666666666678)</f>
        <v>2.691666667</v>
      </c>
      <c r="T27" s="30">
        <f>IFERROR(__xludf.DUMMYFUNCTION("""COMPUTED_VALUE"""),377.49984255219505)</f>
        <v>377.4998426</v>
      </c>
      <c r="U27" s="30">
        <f>IFERROR(__xludf.DUMMYFUNCTION("""COMPUTED_VALUE"""),0.8497874761724689)</f>
        <v>0.8497874762</v>
      </c>
      <c r="V27" s="30">
        <f>IFERROR(__xludf.DUMMYFUNCTION("""COMPUTED_VALUE"""),0.668881812380391)</f>
        <v>0.6688818124</v>
      </c>
      <c r="W27" s="30">
        <f>IFERROR(__xludf.DUMMYFUNCTION("""COMPUTED_VALUE"""),1.4147370427776806)</f>
        <v>1.414737043</v>
      </c>
      <c r="X27" s="30">
        <f>IFERROR(__xludf.DUMMYFUNCTION("""COMPUTED_VALUE"""),2.7533004956526606)</f>
        <v>2.753300496</v>
      </c>
      <c r="Y27" s="30">
        <f>IFERROR(__xludf.DUMMYFUNCTION("""COMPUTED_VALUE"""),373.613979789896)</f>
        <v>373.6139798</v>
      </c>
      <c r="Z27" s="30">
        <f>IFERROR(__xludf.DUMMYFUNCTION("""COMPUTED_VALUE"""),0.8206698540886253)</f>
        <v>0.8206698541</v>
      </c>
      <c r="AA27" s="30">
        <f>IFERROR(__xludf.DUMMYFUNCTION("""COMPUTED_VALUE"""),0.6362267690247106)</f>
        <v>0.636226769</v>
      </c>
      <c r="AB27" s="30">
        <f>IFERROR(__xludf.DUMMYFUNCTION("""COMPUTED_VALUE"""),1.4453962659720851)</f>
        <v>1.445396266</v>
      </c>
      <c r="AC27" s="30">
        <f>IFERROR(__xludf.DUMMYFUNCTION("""COMPUTED_VALUE"""),2.683387926797013)</f>
        <v>2.683387927</v>
      </c>
      <c r="AD27" s="30">
        <f>IFERROR(__xludf.DUMMYFUNCTION("""COMPUTED_VALUE"""),0.8037707801214383)</f>
        <v>0.8037707801</v>
      </c>
      <c r="AE27" s="30">
        <f>IFERROR(__xludf.DUMMYFUNCTION("""COMPUTED_VALUE"""),0.8224988363312122)</f>
        <v>0.8224988363</v>
      </c>
      <c r="AF27" s="30">
        <f>IFERROR(__xludf.DUMMYFUNCTION("""COMPUTED_VALUE"""),0.8644716424665847)</f>
        <v>0.8644716425</v>
      </c>
      <c r="AG27" s="30">
        <f>IFERROR(__xludf.DUMMYFUNCTION("""COMPUTED_VALUE"""),0.6226666148156368)</f>
        <v>0.6226666148</v>
      </c>
      <c r="AH27" s="30">
        <f>IFERROR(__xludf.DUMMYFUNCTION("""COMPUTED_VALUE"""),0.8850751605023743)</f>
        <v>0.8850751605</v>
      </c>
      <c r="AI27" s="30">
        <f>IFERROR(__xludf.DUMMYFUNCTION("""COMPUTED_VALUE"""),1.0499342127412905)</f>
        <v>1.049934213</v>
      </c>
      <c r="AJ27" s="30">
        <f>IFERROR(__xludf.DUMMYFUNCTION("""COMPUTED_VALUE"""),1.147345692115282)</f>
        <v>1.147345692</v>
      </c>
      <c r="AK27" s="30">
        <f>IFERROR(__xludf.DUMMYFUNCTION("""COMPUTED_VALUE"""),1.171108735257185)</f>
        <v>1.171108735</v>
      </c>
      <c r="AL27" s="30">
        <f>IFERROR(__xludf.DUMMYFUNCTION("""COMPUTED_VALUE"""),1.0425965783040498)</f>
        <v>1.042596578</v>
      </c>
      <c r="AM27" s="30">
        <f>IFERROR(__xludf.DUMMYFUNCTION("""COMPUTED_VALUE"""),0.9776145651071105)</f>
        <v>0.9776145651</v>
      </c>
      <c r="AN27" s="30">
        <f>IFERROR(__xludf.DUMMYFUNCTION("""COMPUTED_VALUE"""),0.8229206140840959)</f>
        <v>0.8229206141</v>
      </c>
      <c r="AO27" s="30">
        <f>IFERROR(__xludf.DUMMYFUNCTION("""COMPUTED_VALUE"""),0.8524888137495893)</f>
        <v>0.8524888137</v>
      </c>
      <c r="AP27" s="30">
        <f>IFERROR(__xludf.DUMMYFUNCTION("""COMPUTED_VALUE"""),0.9239323362950895)</f>
        <v>0.9239323363</v>
      </c>
      <c r="AQ27" s="30">
        <f>IFERROR(__xludf.DUMMYFUNCTION("""COMPUTED_VALUE"""),0.6256846263396075)</f>
        <v>0.6256846263</v>
      </c>
      <c r="AR27" s="30">
        <f>IFERROR(__xludf.DUMMYFUNCTION("""COMPUTED_VALUE"""),0.8955309023708041)</f>
        <v>0.8955309024</v>
      </c>
      <c r="AS27" s="30">
        <f>IFERROR(__xludf.DUMMYFUNCTION("""COMPUTED_VALUE"""),99.0)</f>
        <v>99</v>
      </c>
      <c r="AT27" s="30">
        <f>IFERROR(__xludf.DUMMYFUNCTION("""COMPUTED_VALUE"""),0.43264862024166356)</f>
        <v>0.4326486202</v>
      </c>
      <c r="AU27" s="30">
        <f>IFERROR(__xludf.DUMMYFUNCTION("""COMPUTED_VALUE"""),1.8206712152219038)</f>
        <v>1.820671215</v>
      </c>
      <c r="AV27" s="32">
        <f>IFERROR(__xludf.DUMMYFUNCTION("""COMPUTED_VALUE"""),32.55050609694806)</f>
        <v>32.5505061</v>
      </c>
      <c r="AW27" s="32">
        <f>IFERROR(__xludf.DUMMYFUNCTION("""COMPUTED_VALUE"""),-4.122097736104468)</f>
        <v>-4.122097736</v>
      </c>
      <c r="AX27" s="32">
        <f>IFERROR(__xludf.DUMMYFUNCTION("""COMPUTED_VALUE"""),25.226061842050026)</f>
        <v>25.22606184</v>
      </c>
      <c r="AY27" s="32">
        <f>IFERROR(__xludf.DUMMYFUNCTION("""COMPUTED_VALUE"""),-6.216850191483199)</f>
        <v>-6.216850191</v>
      </c>
      <c r="AZ27" s="30">
        <f>IFERROR(__xludf.DUMMYFUNCTION("""COMPUTED_VALUE"""),2.094752455378731)</f>
        <v>2.094752455</v>
      </c>
      <c r="BA27" s="30">
        <f>IFERROR(__xludf.DUMMYFUNCTION("""COMPUTED_VALUE"""),2.0)</f>
        <v>2</v>
      </c>
    </row>
    <row r="28">
      <c r="A28" s="30" t="str">
        <f>IFERROR(__xludf.DUMMYFUNCTION("""COMPUTED_VALUE"""),"Premier")</f>
        <v>Premier</v>
      </c>
      <c r="B28" s="71" t="str">
        <f>IFERROR(__xludf.DUMMYFUNCTION("""COMPUTED_VALUE"""),"RSC007896")</f>
        <v>RSC007896</v>
      </c>
      <c r="C28" s="30" t="str">
        <f>IFERROR(__xludf.DUMMYFUNCTION("""COMPUTED_VALUE"""),"Notice")</f>
        <v>Notice</v>
      </c>
      <c r="D28" s="30" t="str">
        <f>IFERROR(__xludf.DUMMYFUNCTION("""COMPUTED_VALUE"""),"Hurricanes")</f>
        <v>Hurricanes</v>
      </c>
      <c r="E28" s="30">
        <f>IFERROR(__xludf.DUMMYFUNCTION("""COMPUTED_VALUE"""),43.0)</f>
        <v>43</v>
      </c>
      <c r="F28" s="30">
        <f>IFERROR(__xludf.DUMMYFUNCTION("""COMPUTED_VALUE"""),24.0)</f>
        <v>24</v>
      </c>
      <c r="G28" s="30">
        <f>IFERROR(__xludf.DUMMYFUNCTION("""COMPUTED_VALUE"""),19.0)</f>
        <v>19</v>
      </c>
      <c r="H28" s="42">
        <f>IFERROR(__xludf.DUMMYFUNCTION("""COMPUTED_VALUE"""),0.5581395348837209)</f>
        <v>0.5581395349</v>
      </c>
      <c r="I28" s="42">
        <f>IFERROR(__xludf.DUMMYFUNCTION("""COMPUTED_VALUE"""),0.29133858267716534)</f>
        <v>0.2913385827</v>
      </c>
      <c r="J28" s="30">
        <f>IFERROR(__xludf.DUMMYFUNCTION("""COMPUTED_VALUE"""),395.4418604651163)</f>
        <v>395.4418605</v>
      </c>
      <c r="K28" s="30">
        <f>IFERROR(__xludf.DUMMYFUNCTION("""COMPUTED_VALUE"""),0.8604651162790697)</f>
        <v>0.8604651163</v>
      </c>
      <c r="L28" s="30">
        <f>IFERROR(__xludf.DUMMYFUNCTION("""COMPUTED_VALUE"""),0.6744186046511628)</f>
        <v>0.6744186047</v>
      </c>
      <c r="M28" s="30">
        <f>IFERROR(__xludf.DUMMYFUNCTION("""COMPUTED_VALUE"""),1.558139534883721)</f>
        <v>1.558139535</v>
      </c>
      <c r="N28" s="30">
        <f>IFERROR(__xludf.DUMMYFUNCTION("""COMPUTED_VALUE"""),2.953488372093023)</f>
        <v>2.953488372</v>
      </c>
      <c r="O28" s="30">
        <f>IFERROR(__xludf.DUMMYFUNCTION("""COMPUTED_VALUE"""),379.8837209302326)</f>
        <v>379.8837209</v>
      </c>
      <c r="P28" s="30">
        <f>IFERROR(__xludf.DUMMYFUNCTION("""COMPUTED_VALUE"""),0.75968992248062)</f>
        <v>0.7596899225</v>
      </c>
      <c r="Q28" s="30">
        <f>IFERROR(__xludf.DUMMYFUNCTION("""COMPUTED_VALUE"""),0.5968992248062015)</f>
        <v>0.5968992248</v>
      </c>
      <c r="R28" s="30">
        <f>IFERROR(__xludf.DUMMYFUNCTION("""COMPUTED_VALUE"""),1.612403100775194)</f>
        <v>1.612403101</v>
      </c>
      <c r="S28" s="30">
        <f>IFERROR(__xludf.DUMMYFUNCTION("""COMPUTED_VALUE"""),2.7906976744186047)</f>
        <v>2.790697674</v>
      </c>
      <c r="T28" s="30">
        <f>IFERROR(__xludf.DUMMYFUNCTION("""COMPUTED_VALUE"""),376.70753540403933)</f>
        <v>376.7075354</v>
      </c>
      <c r="U28" s="30">
        <f>IFERROR(__xludf.DUMMYFUNCTION("""COMPUTED_VALUE"""),0.8656263927706336)</f>
        <v>0.8656263928</v>
      </c>
      <c r="V28" s="30">
        <f>IFERROR(__xludf.DUMMYFUNCTION("""COMPUTED_VALUE"""),0.673649973748083)</f>
        <v>0.6736499737</v>
      </c>
      <c r="W28" s="30">
        <f>IFERROR(__xludf.DUMMYFUNCTION("""COMPUTED_VALUE"""),1.4197799596820198)</f>
        <v>1.41977996</v>
      </c>
      <c r="X28" s="30">
        <f>IFERROR(__xludf.DUMMYFUNCTION("""COMPUTED_VALUE"""),2.7228941657962515)</f>
        <v>2.722894166</v>
      </c>
      <c r="Y28" s="30">
        <f>IFERROR(__xludf.DUMMYFUNCTION("""COMPUTED_VALUE"""),372.012127766595)</f>
        <v>372.0121278</v>
      </c>
      <c r="Z28" s="30">
        <f>IFERROR(__xludf.DUMMYFUNCTION("""COMPUTED_VALUE"""),0.8176621554543682)</f>
        <v>0.8176621555</v>
      </c>
      <c r="AA28" s="30">
        <f>IFERROR(__xludf.DUMMYFUNCTION("""COMPUTED_VALUE"""),0.6338762775619634)</f>
        <v>0.6338762776</v>
      </c>
      <c r="AB28" s="30">
        <f>IFERROR(__xludf.DUMMYFUNCTION("""COMPUTED_VALUE"""),1.4276748624153335)</f>
        <v>1.427674862</v>
      </c>
      <c r="AC28" s="30">
        <f>IFERROR(__xludf.DUMMYFUNCTION("""COMPUTED_VALUE"""),2.6953165884461625)</f>
        <v>2.695316588</v>
      </c>
      <c r="AD28" s="30">
        <f>IFERROR(__xludf.DUMMYFUNCTION("""COMPUTED_VALUE"""),1.0629810991356212)</f>
        <v>1.062981099</v>
      </c>
      <c r="AE28" s="30">
        <f>IFERROR(__xludf.DUMMYFUNCTION("""COMPUTED_VALUE"""),1.0523479783663416)</f>
        <v>1.052347978</v>
      </c>
      <c r="AF28" s="30">
        <f>IFERROR(__xludf.DUMMYFUNCTION("""COMPUTED_VALUE"""),1.0639593695557352)</f>
        <v>1.06395937</v>
      </c>
      <c r="AG28" s="30">
        <f>IFERROR(__xludf.DUMMYFUNCTION("""COMPUTED_VALUE"""),1.0913826221242475)</f>
        <v>1.091382622</v>
      </c>
      <c r="AH28" s="30">
        <f>IFERROR(__xludf.DUMMYFUNCTION("""COMPUTED_VALUE"""),1.0957853280588814)</f>
        <v>1.095785328</v>
      </c>
      <c r="AI28" s="30">
        <f>IFERROR(__xludf.DUMMYFUNCTION("""COMPUTED_VALUE"""),1.0084314361346305)</f>
        <v>1.008431436</v>
      </c>
      <c r="AJ28" s="30">
        <f>IFERROR(__xludf.DUMMYFUNCTION("""COMPUTED_VALUE"""),0.8776187149851797)</f>
        <v>0.877618715</v>
      </c>
      <c r="AK28" s="30">
        <f>IFERROR(__xludf.DUMMYFUNCTION("""COMPUTED_VALUE"""),0.8860673169556404)</f>
        <v>0.886067317</v>
      </c>
      <c r="AL28" s="30">
        <f>IFERROR(__xludf.DUMMYFUNCTION("""COMPUTED_VALUE"""),1.1356711226832044)</f>
        <v>1.135671123</v>
      </c>
      <c r="AM28" s="30">
        <f>IFERROR(__xludf.DUMMYFUNCTION("""COMPUTED_VALUE"""),1.0249012647917315)</f>
        <v>1.024901265</v>
      </c>
      <c r="AN28" s="30">
        <f>IFERROR(__xludf.DUMMYFUNCTION("""COMPUTED_VALUE"""),1.083640554940096)</f>
        <v>1.083640555</v>
      </c>
      <c r="AO28" s="30">
        <f>IFERROR(__xludf.DUMMYFUNCTION("""COMPUTED_VALUE"""),1.0867213129624393)</f>
        <v>1.086721313</v>
      </c>
      <c r="AP28" s="30">
        <f>IFERROR(__xludf.DUMMYFUNCTION("""COMPUTED_VALUE"""),1.1329402855204056)</f>
        <v>1.132940286</v>
      </c>
      <c r="AQ28" s="30">
        <f>IFERROR(__xludf.DUMMYFUNCTION("""COMPUTED_VALUE"""),1.0832266140763231)</f>
        <v>1.083226614</v>
      </c>
      <c r="AR28" s="30">
        <f>IFERROR(__xludf.DUMMYFUNCTION("""COMPUTED_VALUE"""),1.1136589924219547)</f>
        <v>1.113658992</v>
      </c>
      <c r="AS28" s="30">
        <f>IFERROR(__xludf.DUMMYFUNCTION("""COMPUTED_VALUE"""),102.0)</f>
        <v>102</v>
      </c>
      <c r="AT28" s="30">
        <f>IFERROR(__xludf.DUMMYFUNCTION("""COMPUTED_VALUE"""),0.5155420443755379)</f>
        <v>0.5155420444</v>
      </c>
      <c r="AU28" s="30">
        <f>IFERROR(__xludf.DUMMYFUNCTION("""COMPUTED_VALUE"""),2.9350028542063757)</f>
        <v>2.935002854</v>
      </c>
      <c r="AV28" s="32">
        <f>IFERROR(__xludf.DUMMYFUNCTION("""COMPUTED_VALUE"""),66.22551903121641)</f>
        <v>66.22551903</v>
      </c>
      <c r="AW28" s="32">
        <f>IFERROR(__xludf.DUMMYFUNCTION("""COMPUTED_VALUE"""),3.873529592251632)</f>
        <v>3.873529592</v>
      </c>
      <c r="AX28" s="32">
        <f>IFERROR(__xludf.DUMMYFUNCTION("""COMPUTED_VALUE"""),50.286997220177135)</f>
        <v>50.28699722</v>
      </c>
      <c r="AY28" s="32">
        <f>IFERROR(__xludf.DUMMYFUNCTION("""COMPUTED_VALUE"""),2.018488190905271)</f>
        <v>2.018488191</v>
      </c>
      <c r="AZ28" s="30">
        <f>IFERROR(__xludf.DUMMYFUNCTION("""COMPUTED_VALUE"""),1.855041401346361)</f>
        <v>1.855041401</v>
      </c>
      <c r="BA28" s="30">
        <f>IFERROR(__xludf.DUMMYFUNCTION("""COMPUTED_VALUE"""),2.0)</f>
        <v>2</v>
      </c>
    </row>
    <row r="29">
      <c r="A29" s="30" t="str">
        <f>IFERROR(__xludf.DUMMYFUNCTION("""COMPUTED_VALUE"""),"Premier")</f>
        <v>Premier</v>
      </c>
      <c r="B29" s="30" t="str">
        <f>IFERROR(__xludf.DUMMYFUNCTION("""COMPUTED_VALUE"""),"RSC005481")</f>
        <v>RSC005481</v>
      </c>
      <c r="C29" s="30" t="str">
        <f>IFERROR(__xludf.DUMMYFUNCTION("""COMPUTED_VALUE"""),"Leonis")</f>
        <v>Leonis</v>
      </c>
      <c r="D29" s="30" t="str">
        <f>IFERROR(__xludf.DUMMYFUNCTION("""COMPUTED_VALUE"""),"Super Clusters")</f>
        <v>Super Clusters</v>
      </c>
      <c r="E29" s="30">
        <f>IFERROR(__xludf.DUMMYFUNCTION("""COMPUTED_VALUE"""),46.0)</f>
        <v>46</v>
      </c>
      <c r="F29" s="30">
        <f>IFERROR(__xludf.DUMMYFUNCTION("""COMPUTED_VALUE"""),13.0)</f>
        <v>13</v>
      </c>
      <c r="G29" s="30">
        <f>IFERROR(__xludf.DUMMYFUNCTION("""COMPUTED_VALUE"""),33.0)</f>
        <v>33</v>
      </c>
      <c r="H29" s="42">
        <f>IFERROR(__xludf.DUMMYFUNCTION("""COMPUTED_VALUE"""),0.2826086956521739)</f>
        <v>0.2826086957</v>
      </c>
      <c r="I29" s="42">
        <f>IFERROR(__xludf.DUMMYFUNCTION("""COMPUTED_VALUE"""),0.21568627450980393)</f>
        <v>0.2156862745</v>
      </c>
      <c r="J29" s="30">
        <f>IFERROR(__xludf.DUMMYFUNCTION("""COMPUTED_VALUE"""),353.39130434782606)</f>
        <v>353.3913043</v>
      </c>
      <c r="K29" s="30">
        <f>IFERROR(__xludf.DUMMYFUNCTION("""COMPUTED_VALUE"""),0.4782608695652174)</f>
        <v>0.4782608696</v>
      </c>
      <c r="L29" s="30">
        <f>IFERROR(__xludf.DUMMYFUNCTION("""COMPUTED_VALUE"""),0.6739130434782609)</f>
        <v>0.6739130435</v>
      </c>
      <c r="M29" s="30">
        <f>IFERROR(__xludf.DUMMYFUNCTION("""COMPUTED_VALUE"""),1.6956521739130435)</f>
        <v>1.695652174</v>
      </c>
      <c r="N29" s="30">
        <f>IFERROR(__xludf.DUMMYFUNCTION("""COMPUTED_VALUE"""),2.217391304347826)</f>
        <v>2.217391304</v>
      </c>
      <c r="O29" s="30">
        <f>IFERROR(__xludf.DUMMYFUNCTION("""COMPUTED_VALUE"""),398.4202898550726)</f>
        <v>398.4202899</v>
      </c>
      <c r="P29" s="30">
        <f>IFERROR(__xludf.DUMMYFUNCTION("""COMPUTED_VALUE"""),1.0289855072463767)</f>
        <v>1.028985507</v>
      </c>
      <c r="Q29" s="30">
        <f>IFERROR(__xludf.DUMMYFUNCTION("""COMPUTED_VALUE"""),0.8260869565217392)</f>
        <v>0.8260869565</v>
      </c>
      <c r="R29" s="30">
        <f>IFERROR(__xludf.DUMMYFUNCTION("""COMPUTED_VALUE"""),1.2101449275362317)</f>
        <v>1.210144928</v>
      </c>
      <c r="S29" s="30">
        <f>IFERROR(__xludf.DUMMYFUNCTION("""COMPUTED_VALUE"""),3.0652173913043472)</f>
        <v>3.065217391</v>
      </c>
      <c r="T29" s="30">
        <f>IFERROR(__xludf.DUMMYFUNCTION("""COMPUTED_VALUE"""),374.3959361841269)</f>
        <v>374.3959362</v>
      </c>
      <c r="U29" s="30">
        <f>IFERROR(__xludf.DUMMYFUNCTION("""COMPUTED_VALUE"""),0.8361031964666097)</f>
        <v>0.8361031965</v>
      </c>
      <c r="V29" s="30">
        <f>IFERROR(__xludf.DUMMYFUNCTION("""COMPUTED_VALUE"""),0.6651590819513042)</f>
        <v>0.665159082</v>
      </c>
      <c r="W29" s="30">
        <f>IFERROR(__xludf.DUMMYFUNCTION("""COMPUTED_VALUE"""),1.4252621014167328)</f>
        <v>1.425262101</v>
      </c>
      <c r="X29" s="30">
        <f>IFERROR(__xludf.DUMMYFUNCTION("""COMPUTED_VALUE"""),2.716386274021142)</f>
        <v>2.716386274</v>
      </c>
      <c r="Y29" s="30">
        <f>IFERROR(__xludf.DUMMYFUNCTION("""COMPUTED_VALUE"""),366.9573090396105)</f>
        <v>366.957309</v>
      </c>
      <c r="Z29" s="30">
        <f>IFERROR(__xludf.DUMMYFUNCTION("""COMPUTED_VALUE"""),0.8085607691630318)</f>
        <v>0.8085607692</v>
      </c>
      <c r="AA29" s="30">
        <f>IFERROR(__xludf.DUMMYFUNCTION("""COMPUTED_VALUE"""),0.6211229195959768)</f>
        <v>0.6211229196</v>
      </c>
      <c r="AB29" s="30">
        <f>IFERROR(__xludf.DUMMYFUNCTION("""COMPUTED_VALUE"""),1.4191362505828256)</f>
        <v>1.419136251</v>
      </c>
      <c r="AC29" s="30">
        <f>IFERROR(__xludf.DUMMYFUNCTION("""COMPUTED_VALUE"""),2.6821463380539354)</f>
        <v>2.682146338</v>
      </c>
      <c r="AD29" s="30">
        <f>IFERROR(__xludf.DUMMYFUNCTION("""COMPUTED_VALUE"""),0.963031109184638)</f>
        <v>0.9630311092</v>
      </c>
      <c r="AE29" s="30">
        <f>IFERROR(__xludf.DUMMYFUNCTION("""COMPUTED_VALUE"""),0.591496505649515)</f>
        <v>0.5914965056</v>
      </c>
      <c r="AF29" s="30">
        <f>IFERROR(__xludf.DUMMYFUNCTION("""COMPUTED_VALUE"""),1.0849914279714916)</f>
        <v>1.084991428</v>
      </c>
      <c r="AG29" s="30">
        <f>IFERROR(__xludf.DUMMYFUNCTION("""COMPUTED_VALUE"""),1.1948480445176815)</f>
        <v>1.194848045</v>
      </c>
      <c r="AH29" s="30">
        <f>IFERROR(__xludf.DUMMYFUNCTION("""COMPUTED_VALUE"""),0.8267227156429809)</f>
        <v>0.8267227156</v>
      </c>
      <c r="AI29" s="30">
        <f>IFERROR(__xludf.DUMMYFUNCTION("""COMPUTED_VALUE"""),1.064168307796831)</f>
        <v>1.064168308</v>
      </c>
      <c r="AJ29" s="30">
        <f>IFERROR(__xludf.DUMMYFUNCTION("""COMPUTED_VALUE"""),1.2306919906476759)</f>
        <v>1.230691991</v>
      </c>
      <c r="AK29" s="30">
        <f>IFERROR(__xludf.DUMMYFUNCTION("""COMPUTED_VALUE"""),1.241938926998243)</f>
        <v>1.241938927</v>
      </c>
      <c r="AL29" s="30">
        <f>IFERROR(__xludf.DUMMYFUNCTION("""COMPUTED_VALUE"""),0.8490683407166505)</f>
        <v>0.8490683407</v>
      </c>
      <c r="AM29" s="30">
        <f>IFERROR(__xludf.DUMMYFUNCTION("""COMPUTED_VALUE"""),1.1284173464648017)</f>
        <v>1.128417346</v>
      </c>
      <c r="AN29" s="30">
        <f>IFERROR(__xludf.DUMMYFUNCTION("""COMPUTED_VALUE"""),0.9684082223972449)</f>
        <v>0.9684082224</v>
      </c>
      <c r="AO29" s="30">
        <f>IFERROR(__xludf.DUMMYFUNCTION("""COMPUTED_VALUE"""),0.6040178390496285)</f>
        <v>0.604017839</v>
      </c>
      <c r="AP29" s="30">
        <f>IFERROR(__xludf.DUMMYFUNCTION("""COMPUTED_VALUE"""),1.1320910049465522)</f>
        <v>1.132091005</v>
      </c>
      <c r="AQ29" s="30">
        <f>IFERROR(__xludf.DUMMYFUNCTION("""COMPUTED_VALUE"""),1.178826107596362)</f>
        <v>1.178826108</v>
      </c>
      <c r="AR29" s="30">
        <f>IFERROR(__xludf.DUMMYFUNCTION("""COMPUTED_VALUE"""),0.8361020781860139)</f>
        <v>0.8361020782</v>
      </c>
      <c r="AS29" s="30">
        <f>IFERROR(__xludf.DUMMYFUNCTION("""COMPUTED_VALUE"""),88.0)</f>
        <v>88</v>
      </c>
      <c r="AT29" s="30">
        <f>IFERROR(__xludf.DUMMYFUNCTION("""COMPUTED_VALUE"""),0.3187739325121794)</f>
        <v>0.3187739325</v>
      </c>
      <c r="AU29" s="30">
        <f>IFERROR(__xludf.DUMMYFUNCTION("""COMPUTED_VALUE"""),1.7107438567740965)</f>
        <v>1.710743857</v>
      </c>
      <c r="AV29" s="32">
        <f>IFERROR(__xludf.DUMMYFUNCTION("""COMPUTED_VALUE"""),29.228510123708492)</f>
        <v>29.22851012</v>
      </c>
      <c r="AW29" s="32">
        <f>IFERROR(__xludf.DUMMYFUNCTION("""COMPUTED_VALUE"""),-4.925465983311068)</f>
        <v>-4.925465983</v>
      </c>
      <c r="AX29" s="32">
        <f>IFERROR(__xludf.DUMMYFUNCTION("""COMPUTED_VALUE"""),36.74019603571266)</f>
        <v>36.74019604</v>
      </c>
      <c r="AY29" s="32">
        <f>IFERROR(__xludf.DUMMYFUNCTION("""COMPUTED_VALUE"""),-3.356605453117739)</f>
        <v>-3.356605453</v>
      </c>
      <c r="AZ29" s="30">
        <f>IFERROR(__xludf.DUMMYFUNCTION("""COMPUTED_VALUE"""),1.5688605301933292)</f>
        <v>1.56886053</v>
      </c>
      <c r="BA29" s="30">
        <f>IFERROR(__xludf.DUMMYFUNCTION("""COMPUTED_VALUE"""),2.0)</f>
        <v>2</v>
      </c>
    </row>
    <row r="30">
      <c r="A30" s="30" t="str">
        <f>IFERROR(__xludf.DUMMYFUNCTION("""COMPUTED_VALUE"""),"Premier")</f>
        <v>Premier</v>
      </c>
      <c r="B30" s="30" t="str">
        <f>IFERROR(__xludf.DUMMYFUNCTION("""COMPUTED_VALUE"""),"RSC001945")</f>
        <v>RSC001945</v>
      </c>
      <c r="C30" s="30" t="str">
        <f>IFERROR(__xludf.DUMMYFUNCTION("""COMPUTED_VALUE"""),"Brody")</f>
        <v>Brody</v>
      </c>
      <c r="D30" s="30"/>
      <c r="E30" s="30">
        <f>IFERROR(__xludf.DUMMYFUNCTION("""COMPUTED_VALUE"""),27.0)</f>
        <v>27</v>
      </c>
      <c r="F30" s="30">
        <f>IFERROR(__xludf.DUMMYFUNCTION("""COMPUTED_VALUE"""),7.0)</f>
        <v>7</v>
      </c>
      <c r="G30" s="30">
        <f>IFERROR(__xludf.DUMMYFUNCTION("""COMPUTED_VALUE"""),20.0)</f>
        <v>20</v>
      </c>
      <c r="H30" s="42">
        <f>IFERROR(__xludf.DUMMYFUNCTION("""COMPUTED_VALUE"""),0.25925925925925924)</f>
        <v>0.2592592593</v>
      </c>
      <c r="I30" s="42">
        <f>IFERROR(__xludf.DUMMYFUNCTION("""COMPUTED_VALUE"""),0.19047619047619047)</f>
        <v>0.1904761905</v>
      </c>
      <c r="J30" s="30">
        <f>IFERROR(__xludf.DUMMYFUNCTION("""COMPUTED_VALUE"""),413.3333333333333)</f>
        <v>413.3333333</v>
      </c>
      <c r="K30" s="30">
        <f>IFERROR(__xludf.DUMMYFUNCTION("""COMPUTED_VALUE"""),0.4444444444444444)</f>
        <v>0.4444444444</v>
      </c>
      <c r="L30" s="30">
        <f>IFERROR(__xludf.DUMMYFUNCTION("""COMPUTED_VALUE"""),0.5185185185185185)</f>
        <v>0.5185185185</v>
      </c>
      <c r="M30" s="30">
        <f>IFERROR(__xludf.DUMMYFUNCTION("""COMPUTED_VALUE"""),2.2962962962962963)</f>
        <v>2.296296296</v>
      </c>
      <c r="N30" s="30">
        <f>IFERROR(__xludf.DUMMYFUNCTION("""COMPUTED_VALUE"""),2.3333333333333335)</f>
        <v>2.333333333</v>
      </c>
      <c r="O30" s="30">
        <f>IFERROR(__xludf.DUMMYFUNCTION("""COMPUTED_VALUE"""),401.59259259259267)</f>
        <v>401.5925926</v>
      </c>
      <c r="P30" s="30">
        <f>IFERROR(__xludf.DUMMYFUNCTION("""COMPUTED_VALUE"""),1.0123456790123455)</f>
        <v>1.012345679</v>
      </c>
      <c r="Q30" s="30">
        <f>IFERROR(__xludf.DUMMYFUNCTION("""COMPUTED_VALUE"""),0.8148148148148148)</f>
        <v>0.8148148148</v>
      </c>
      <c r="R30" s="30">
        <f>IFERROR(__xludf.DUMMYFUNCTION("""COMPUTED_VALUE"""),1.308641975308642)</f>
        <v>1.308641975</v>
      </c>
      <c r="S30" s="30">
        <f>IFERROR(__xludf.DUMMYFUNCTION("""COMPUTED_VALUE"""),3.407407407407408)</f>
        <v>3.407407407</v>
      </c>
      <c r="T30" s="30">
        <f>IFERROR(__xludf.DUMMYFUNCTION("""COMPUTED_VALUE"""),381.6969522045693)</f>
        <v>381.6969522</v>
      </c>
      <c r="U30" s="30">
        <f>IFERROR(__xludf.DUMMYFUNCTION("""COMPUTED_VALUE"""),0.9013285307858951)</f>
        <v>0.9013285308</v>
      </c>
      <c r="V30" s="30">
        <f>IFERROR(__xludf.DUMMYFUNCTION("""COMPUTED_VALUE"""),0.6856789820838801)</f>
        <v>0.6856789821</v>
      </c>
      <c r="W30" s="30">
        <f>IFERROR(__xludf.DUMMYFUNCTION("""COMPUTED_VALUE"""),1.3698838119858232)</f>
        <v>1.369883812</v>
      </c>
      <c r="X30" s="30">
        <f>IFERROR(__xludf.DUMMYFUNCTION("""COMPUTED_VALUE"""),2.9298161206654636)</f>
        <v>2.929816121</v>
      </c>
      <c r="Y30" s="30">
        <f>IFERROR(__xludf.DUMMYFUNCTION("""COMPUTED_VALUE"""),372.3548204361239)</f>
        <v>372.3548204</v>
      </c>
      <c r="Z30" s="30">
        <f>IFERROR(__xludf.DUMMYFUNCTION("""COMPUTED_VALUE"""),0.7738659818781902)</f>
        <v>0.7738659819</v>
      </c>
      <c r="AA30" s="30">
        <f>IFERROR(__xludf.DUMMYFUNCTION("""COMPUTED_VALUE"""),0.5951330453671013)</f>
        <v>0.5951330454</v>
      </c>
      <c r="AB30" s="30">
        <f>IFERROR(__xludf.DUMMYFUNCTION("""COMPUTED_VALUE"""),1.5419819734428584)</f>
        <v>1.541981973</v>
      </c>
      <c r="AC30" s="30">
        <f>IFERROR(__xludf.DUMMYFUNCTION("""COMPUTED_VALUE"""),2.588233681320602)</f>
        <v>2.588233681</v>
      </c>
      <c r="AD30" s="30">
        <f>IFERROR(__xludf.DUMMYFUNCTION("""COMPUTED_VALUE"""),1.110052322806545)</f>
        <v>1.110052323</v>
      </c>
      <c r="AE30" s="30">
        <f>IFERROR(__xludf.DUMMYFUNCTION("""COMPUTED_VALUE"""),0.5743170714983074)</f>
        <v>0.5743170715</v>
      </c>
      <c r="AF30" s="30">
        <f>IFERROR(__xludf.DUMMYFUNCTION("""COMPUTED_VALUE"""),0.8712648752325222)</f>
        <v>0.8712648752</v>
      </c>
      <c r="AG30" s="30">
        <f>IFERROR(__xludf.DUMMYFUNCTION("""COMPUTED_VALUE"""),1.4891849164547906)</f>
        <v>1.489184916</v>
      </c>
      <c r="AH30" s="30">
        <f>IFERROR(__xludf.DUMMYFUNCTION("""COMPUTED_VALUE"""),0.90151571327315)</f>
        <v>0.9015157133</v>
      </c>
      <c r="AI30" s="30">
        <f>IFERROR(__xludf.DUMMYFUNCTION("""COMPUTED_VALUE"""),1.0521241793341864)</f>
        <v>1.052124179</v>
      </c>
      <c r="AJ30" s="30">
        <f>IFERROR(__xludf.DUMMYFUNCTION("""COMPUTED_VALUE"""),1.1231705692591925)</f>
        <v>1.123170569</v>
      </c>
      <c r="AK30" s="30">
        <f>IFERROR(__xludf.DUMMYFUNCTION("""COMPUTED_VALUE"""),1.1883327856112371)</f>
        <v>1.188332786</v>
      </c>
      <c r="AL30" s="30">
        <f>IFERROR(__xludf.DUMMYFUNCTION("""COMPUTED_VALUE"""),0.9552941379835687)</f>
        <v>0.955294138</v>
      </c>
      <c r="AM30" s="30">
        <f>IFERROR(__xludf.DUMMYFUNCTION("""COMPUTED_VALUE"""),1.1630106692953368)</f>
        <v>1.163010669</v>
      </c>
      <c r="AN30" s="30">
        <f>IFERROR(__xludf.DUMMYFUNCTION("""COMPUTED_VALUE"""),1.1326690658944154)</f>
        <v>1.132669066</v>
      </c>
      <c r="AO30" s="30">
        <f>IFERROR(__xludf.DUMMYFUNCTION("""COMPUTED_VALUE"""),0.5613095069956142)</f>
        <v>0.561309507</v>
      </c>
      <c r="AP30" s="30">
        <f>IFERROR(__xludf.DUMMYFUNCTION("""COMPUTED_VALUE"""),0.8710473204128789)</f>
        <v>0.8710473204</v>
      </c>
      <c r="AQ30" s="30">
        <f>IFERROR(__xludf.DUMMYFUNCTION("""COMPUTED_VALUE"""),1.5963969890146366)</f>
        <v>1.596396989</v>
      </c>
      <c r="AR30" s="30">
        <f>IFERROR(__xludf.DUMMYFUNCTION("""COMPUTED_VALUE"""),0.8798198339081584)</f>
        <v>0.8798198339</v>
      </c>
      <c r="AS30" s="30">
        <f>IFERROR(__xludf.DUMMYFUNCTION("""COMPUTED_VALUE"""),41.0)</f>
        <v>41</v>
      </c>
      <c r="AT30" s="30">
        <f>IFERROR(__xludf.DUMMYFUNCTION("""COMPUTED_VALUE"""),0.25519544699869356)</f>
        <v>0.255195447</v>
      </c>
      <c r="AU30" s="30">
        <f>IFERROR(__xludf.DUMMYFUNCTION("""COMPUTED_VALUE"""),1.7304678026656062)</f>
        <v>1.730467803</v>
      </c>
      <c r="AV30" s="32">
        <f>IFERROR(__xludf.DUMMYFUNCTION("""COMPUTED_VALUE"""),29.824566189761423)</f>
        <v>29.82456619</v>
      </c>
      <c r="AW30" s="32">
        <f>IFERROR(__xludf.DUMMYFUNCTION("""COMPUTED_VALUE"""),-4.765802667463714)</f>
        <v>-4.765802667</v>
      </c>
      <c r="AX30" s="32">
        <f>IFERROR(__xludf.DUMMYFUNCTION("""COMPUTED_VALUE"""),37.51602234273422)</f>
        <v>37.51602234</v>
      </c>
      <c r="AY30" s="32">
        <f>IFERROR(__xludf.DUMMYFUNCTION("""COMPUTED_VALUE"""),-3.238727812569866)</f>
        <v>-3.238727813</v>
      </c>
      <c r="AZ30" s="30">
        <f>IFERROR(__xludf.DUMMYFUNCTION("""COMPUTED_VALUE"""),1.5270748548938484)</f>
        <v>1.527074855</v>
      </c>
      <c r="BA30" s="30">
        <f>IFERROR(__xludf.DUMMYFUNCTION("""COMPUTED_VALUE"""),2.0)</f>
        <v>2</v>
      </c>
    </row>
    <row r="31">
      <c r="A31" s="30" t="str">
        <f>IFERROR(__xludf.DUMMYFUNCTION("""COMPUTED_VALUE"""),"Premier")</f>
        <v>Premier</v>
      </c>
      <c r="B31" s="71" t="str">
        <f>IFERROR(__xludf.DUMMYFUNCTION("""COMPUTED_VALUE"""),"RSC001977")</f>
        <v>RSC001977</v>
      </c>
      <c r="C31" s="30" t="str">
        <f>IFERROR(__xludf.DUMMYFUNCTION("""COMPUTED_VALUE"""),"LaMelo Ball")</f>
        <v>LaMelo Ball</v>
      </c>
      <c r="D31" s="30" t="str">
        <f>IFERROR(__xludf.DUMMYFUNCTION("""COMPUTED_VALUE"""),"Capybaras")</f>
        <v>Capybaras</v>
      </c>
      <c r="E31" s="30">
        <f>IFERROR(__xludf.DUMMYFUNCTION("""COMPUTED_VALUE"""),32.0)</f>
        <v>32</v>
      </c>
      <c r="F31" s="30">
        <f>IFERROR(__xludf.DUMMYFUNCTION("""COMPUTED_VALUE"""),16.0)</f>
        <v>16</v>
      </c>
      <c r="G31" s="30">
        <f>IFERROR(__xludf.DUMMYFUNCTION("""COMPUTED_VALUE"""),16.0)</f>
        <v>16</v>
      </c>
      <c r="H31" s="42">
        <f>IFERROR(__xludf.DUMMYFUNCTION("""COMPUTED_VALUE"""),0.5)</f>
        <v>0.5</v>
      </c>
      <c r="I31" s="42">
        <f>IFERROR(__xludf.DUMMYFUNCTION("""COMPUTED_VALUE"""),0.3287671232876712)</f>
        <v>0.3287671233</v>
      </c>
      <c r="J31" s="30">
        <f>IFERROR(__xludf.DUMMYFUNCTION("""COMPUTED_VALUE"""),321.375)</f>
        <v>321.375</v>
      </c>
      <c r="K31" s="30">
        <f>IFERROR(__xludf.DUMMYFUNCTION("""COMPUTED_VALUE"""),0.75)</f>
        <v>0.75</v>
      </c>
      <c r="L31" s="30">
        <f>IFERROR(__xludf.DUMMYFUNCTION("""COMPUTED_VALUE"""),0.59375)</f>
        <v>0.59375</v>
      </c>
      <c r="M31" s="30">
        <f>IFERROR(__xludf.DUMMYFUNCTION("""COMPUTED_VALUE"""),0.8125)</f>
        <v>0.8125</v>
      </c>
      <c r="N31" s="30">
        <f>IFERROR(__xludf.DUMMYFUNCTION("""COMPUTED_VALUE"""),2.28125)</f>
        <v>2.28125</v>
      </c>
      <c r="O31" s="30">
        <f>IFERROR(__xludf.DUMMYFUNCTION("""COMPUTED_VALUE"""),358.5416666666667)</f>
        <v>358.5416667</v>
      </c>
      <c r="P31" s="30">
        <f>IFERROR(__xludf.DUMMYFUNCTION("""COMPUTED_VALUE"""),0.8541666666666667)</f>
        <v>0.8541666667</v>
      </c>
      <c r="Q31" s="30">
        <f>IFERROR(__xludf.DUMMYFUNCTION("""COMPUTED_VALUE"""),0.59375)</f>
        <v>0.59375</v>
      </c>
      <c r="R31" s="30">
        <f>IFERROR(__xludf.DUMMYFUNCTION("""COMPUTED_VALUE"""),1.2083333333333333)</f>
        <v>1.208333333</v>
      </c>
      <c r="S31" s="30">
        <f>IFERROR(__xludf.DUMMYFUNCTION("""COMPUTED_VALUE"""),2.7812499999999996)</f>
        <v>2.78125</v>
      </c>
      <c r="T31" s="30">
        <f>IFERROR(__xludf.DUMMYFUNCTION("""COMPUTED_VALUE"""),370.40015184961425)</f>
        <v>370.4001518</v>
      </c>
      <c r="U31" s="30">
        <f>IFERROR(__xludf.DUMMYFUNCTION("""COMPUTED_VALUE"""),0.83345677804265)</f>
        <v>0.833456778</v>
      </c>
      <c r="V31" s="30">
        <f>IFERROR(__xludf.DUMMYFUNCTION("""COMPUTED_VALUE"""),0.6340997213753095)</f>
        <v>0.6340997214</v>
      </c>
      <c r="W31" s="30">
        <f>IFERROR(__xludf.DUMMYFUNCTION("""COMPUTED_VALUE"""),1.4155180201063695)</f>
        <v>1.41551802</v>
      </c>
      <c r="X31" s="30">
        <f>IFERROR(__xludf.DUMMYFUNCTION("""COMPUTED_VALUE"""),2.647761242246869)</f>
        <v>2.647761242</v>
      </c>
      <c r="Y31" s="30">
        <f>IFERROR(__xludf.DUMMYFUNCTION("""COMPUTED_VALUE"""),367.3923908456568)</f>
        <v>367.3923908</v>
      </c>
      <c r="Z31" s="30">
        <f>IFERROR(__xludf.DUMMYFUNCTION("""COMPUTED_VALUE"""),0.8066128084763821)</f>
        <v>0.8066128085</v>
      </c>
      <c r="AA31" s="30">
        <f>IFERROR(__xludf.DUMMYFUNCTION("""COMPUTED_VALUE"""),0.6326215356522646)</f>
        <v>0.6326215357</v>
      </c>
      <c r="AB31" s="30">
        <f>IFERROR(__xludf.DUMMYFUNCTION("""COMPUTED_VALUE"""),1.3858332738020698)</f>
        <v>1.385833274</v>
      </c>
      <c r="AC31" s="30">
        <f>IFERROR(__xludf.DUMMYFUNCTION("""COMPUTED_VALUE"""),2.6894826002311025)</f>
        <v>2.6894826</v>
      </c>
      <c r="AD31" s="30">
        <f>IFERROR(__xludf.DUMMYFUNCTION("""COMPUTED_VALUE"""),0.8747459337964653)</f>
        <v>0.8747459338</v>
      </c>
      <c r="AE31" s="30">
        <f>IFERROR(__xludf.DUMMYFUNCTION("""COMPUTED_VALUE"""),0.9298141464139176)</f>
        <v>0.9298141464</v>
      </c>
      <c r="AF31" s="30">
        <f>IFERROR(__xludf.DUMMYFUNCTION("""COMPUTED_VALUE"""),0.9385548334010063)</f>
        <v>0.9385548334</v>
      </c>
      <c r="AG31" s="30">
        <f>IFERROR(__xludf.DUMMYFUNCTION("""COMPUTED_VALUE"""),0.5862898628280767)</f>
        <v>0.5862898628</v>
      </c>
      <c r="AH31" s="30">
        <f>IFERROR(__xludf.DUMMYFUNCTION("""COMPUTED_VALUE"""),0.8482114737622679)</f>
        <v>0.8482114738</v>
      </c>
      <c r="AI31" s="30">
        <f>IFERROR(__xludf.DUMMYFUNCTION("""COMPUTED_VALUE"""),0.9679846643589871)</f>
        <v>0.9679846644</v>
      </c>
      <c r="AJ31" s="30">
        <f>IFERROR(__xludf.DUMMYFUNCTION("""COMPUTED_VALUE"""),1.0248481854963774)</f>
        <v>1.024848185</v>
      </c>
      <c r="AK31" s="30">
        <f>IFERROR(__xludf.DUMMYFUNCTION("""COMPUTED_VALUE"""),0.9363669151473616)</f>
        <v>0.9363669151</v>
      </c>
      <c r="AL31" s="30">
        <f>IFERROR(__xludf.DUMMYFUNCTION("""COMPUTED_VALUE"""),0.853633310328704)</f>
        <v>0.8536333103</v>
      </c>
      <c r="AM31" s="30">
        <f>IFERROR(__xludf.DUMMYFUNCTION("""COMPUTED_VALUE"""),1.050415708041656)</f>
        <v>1.050415708</v>
      </c>
      <c r="AN31" s="30">
        <f>IFERROR(__xludf.DUMMYFUNCTION("""COMPUTED_VALUE"""),0.8806730348027849)</f>
        <v>0.8806730348</v>
      </c>
      <c r="AO31" s="30">
        <f>IFERROR(__xludf.DUMMYFUNCTION("""COMPUTED_VALUE"""),0.9472097930550991)</f>
        <v>0.9472097931</v>
      </c>
      <c r="AP31" s="30">
        <f>IFERROR(__xludf.DUMMYFUNCTION("""COMPUTED_VALUE"""),0.9974269539549261)</f>
        <v>0.997426954</v>
      </c>
      <c r="AQ31" s="30">
        <f>IFERROR(__xludf.DUMMYFUNCTION("""COMPUTED_VALUE"""),0.5648541765565902)</f>
        <v>0.5648541766</v>
      </c>
      <c r="AR31" s="30">
        <f>IFERROR(__xludf.DUMMYFUNCTION("""COMPUTED_VALUE"""),0.8601809983298513)</f>
        <v>0.8601809983</v>
      </c>
      <c r="AS31" s="30">
        <f>IFERROR(__xludf.DUMMYFUNCTION("""COMPUTED_VALUE"""),79.0)</f>
        <v>79</v>
      </c>
      <c r="AT31" s="30">
        <f>IFERROR(__xludf.DUMMYFUNCTION("""COMPUTED_VALUE"""),0.4851895050825865)</f>
        <v>0.4851895051</v>
      </c>
      <c r="AU31" s="30">
        <f>IFERROR(__xludf.DUMMYFUNCTION("""COMPUTED_VALUE"""),2.146615569786057)</f>
        <v>2.14661557</v>
      </c>
      <c r="AV31" s="32">
        <f>IFERROR(__xludf.DUMMYFUNCTION("""COMPUTED_VALUE"""),42.40051840190476)</f>
        <v>42.4005184</v>
      </c>
      <c r="AW31" s="32">
        <f>IFERROR(__xludf.DUMMYFUNCTION("""COMPUTED_VALUE"""),-2.6276247555894527)</f>
        <v>-2.627624756</v>
      </c>
      <c r="AX31" s="32">
        <f>IFERROR(__xludf.DUMMYFUNCTION("""COMPUTED_VALUE"""),32.4022904354532)</f>
        <v>32.40229044</v>
      </c>
      <c r="AY31" s="32">
        <f>IFERROR(__xludf.DUMMYFUNCTION("""COMPUTED_VALUE"""),-4.153774123605068)</f>
        <v>-4.153774124</v>
      </c>
      <c r="AZ31" s="30">
        <f>IFERROR(__xludf.DUMMYFUNCTION("""COMPUTED_VALUE"""),1.526149368015615)</f>
        <v>1.526149368</v>
      </c>
      <c r="BA31" s="30">
        <f>IFERROR(__xludf.DUMMYFUNCTION("""COMPUTED_VALUE"""),2.0)</f>
        <v>2</v>
      </c>
    </row>
    <row r="32">
      <c r="A32" s="30" t="str">
        <f>IFERROR(__xludf.DUMMYFUNCTION("""COMPUTED_VALUE"""),"Premier")</f>
        <v>Premier</v>
      </c>
      <c r="B32" s="71" t="str">
        <f>IFERROR(__xludf.DUMMYFUNCTION("""COMPUTED_VALUE"""),"RSC005157")</f>
        <v>RSC005157</v>
      </c>
      <c r="C32" s="30" t="str">
        <f>IFERROR(__xludf.DUMMYFUNCTION("""COMPUTED_VALUE"""),"ScuLa")</f>
        <v>ScuLa</v>
      </c>
      <c r="D32" s="30" t="str">
        <f>IFERROR(__xludf.DUMMYFUNCTION("""COMPUTED_VALUE"""),"Excavators")</f>
        <v>Excavators</v>
      </c>
      <c r="E32" s="30">
        <f>IFERROR(__xludf.DUMMYFUNCTION("""COMPUTED_VALUE"""),46.0)</f>
        <v>46</v>
      </c>
      <c r="F32" s="30">
        <f>IFERROR(__xludf.DUMMYFUNCTION("""COMPUTED_VALUE"""),30.0)</f>
        <v>30</v>
      </c>
      <c r="G32" s="30">
        <f>IFERROR(__xludf.DUMMYFUNCTION("""COMPUTED_VALUE"""),16.0)</f>
        <v>16</v>
      </c>
      <c r="H32" s="42">
        <f>IFERROR(__xludf.DUMMYFUNCTION("""COMPUTED_VALUE"""),0.6521739130434783)</f>
        <v>0.652173913</v>
      </c>
      <c r="I32" s="42">
        <f>IFERROR(__xludf.DUMMYFUNCTION("""COMPUTED_VALUE"""),0.34615384615384615)</f>
        <v>0.3461538462</v>
      </c>
      <c r="J32" s="30">
        <f>IFERROR(__xludf.DUMMYFUNCTION("""COMPUTED_VALUE"""),428.2173913043478)</f>
        <v>428.2173913</v>
      </c>
      <c r="K32" s="30">
        <f>IFERROR(__xludf.DUMMYFUNCTION("""COMPUTED_VALUE"""),0.9782608695652174)</f>
        <v>0.9782608696</v>
      </c>
      <c r="L32" s="30">
        <f>IFERROR(__xludf.DUMMYFUNCTION("""COMPUTED_VALUE"""),0.8478260869565217)</f>
        <v>0.847826087</v>
      </c>
      <c r="M32" s="30">
        <f>IFERROR(__xludf.DUMMYFUNCTION("""COMPUTED_VALUE"""),1.608695652173913)</f>
        <v>1.608695652</v>
      </c>
      <c r="N32" s="30">
        <f>IFERROR(__xludf.DUMMYFUNCTION("""COMPUTED_VALUE"""),2.8260869565217392)</f>
        <v>2.826086957</v>
      </c>
      <c r="O32" s="30">
        <f>IFERROR(__xludf.DUMMYFUNCTION("""COMPUTED_VALUE"""),348.3115942028985)</f>
        <v>348.3115942</v>
      </c>
      <c r="P32" s="30">
        <f>IFERROR(__xludf.DUMMYFUNCTION("""COMPUTED_VALUE"""),0.710144927536232)</f>
        <v>0.7101449275</v>
      </c>
      <c r="Q32" s="30">
        <f>IFERROR(__xludf.DUMMYFUNCTION("""COMPUTED_VALUE"""),0.5217391304347826)</f>
        <v>0.5217391304</v>
      </c>
      <c r="R32" s="30">
        <f>IFERROR(__xludf.DUMMYFUNCTION("""COMPUTED_VALUE"""),1.4855072463768115)</f>
        <v>1.485507246</v>
      </c>
      <c r="S32" s="30">
        <f>IFERROR(__xludf.DUMMYFUNCTION("""COMPUTED_VALUE"""),2.391304347826087)</f>
        <v>2.391304348</v>
      </c>
      <c r="T32" s="30">
        <f>IFERROR(__xludf.DUMMYFUNCTION("""COMPUTED_VALUE"""),372.3024886593501)</f>
        <v>372.3024887</v>
      </c>
      <c r="U32" s="30">
        <f>IFERROR(__xludf.DUMMYFUNCTION("""COMPUTED_VALUE"""),0.8148649307372162)</f>
        <v>0.8148649307</v>
      </c>
      <c r="V32" s="30">
        <f>IFERROR(__xludf.DUMMYFUNCTION("""COMPUTED_VALUE"""),0.625390753125309)</f>
        <v>0.6253907531</v>
      </c>
      <c r="W32" s="30">
        <f>IFERROR(__xludf.DUMMYFUNCTION("""COMPUTED_VALUE"""),1.4677792996997285)</f>
        <v>1.4677793</v>
      </c>
      <c r="X32" s="30">
        <f>IFERROR(__xludf.DUMMYFUNCTION("""COMPUTED_VALUE"""),2.725405750494122)</f>
        <v>2.72540575</v>
      </c>
      <c r="Y32" s="30">
        <f>IFERROR(__xludf.DUMMYFUNCTION("""COMPUTED_VALUE"""),378.16042776849036)</f>
        <v>378.1604278</v>
      </c>
      <c r="Z32" s="30">
        <f>IFERROR(__xludf.DUMMYFUNCTION("""COMPUTED_VALUE"""),0.8597838080017105)</f>
        <v>0.859783808</v>
      </c>
      <c r="AA32" s="30">
        <f>IFERROR(__xludf.DUMMYFUNCTION("""COMPUTED_VALUE"""),0.6766565355321577)</f>
        <v>0.6766565355</v>
      </c>
      <c r="AB32" s="30">
        <f>IFERROR(__xludf.DUMMYFUNCTION("""COMPUTED_VALUE"""),1.4224770319156932)</f>
        <v>1.422477032</v>
      </c>
      <c r="AC32" s="30">
        <f>IFERROR(__xludf.DUMMYFUNCTION("""COMPUTED_VALUE"""),2.7672654452157506)</f>
        <v>2.767265445</v>
      </c>
      <c r="AD32" s="30">
        <f>IFERROR(__xludf.DUMMYFUNCTION("""COMPUTED_VALUE"""),1.1323696501805902)</f>
        <v>1.13236965</v>
      </c>
      <c r="AE32" s="30">
        <f>IFERROR(__xludf.DUMMYFUNCTION("""COMPUTED_VALUE"""),1.137798665735365)</f>
        <v>1.137798666</v>
      </c>
      <c r="AF32" s="30">
        <f>IFERROR(__xludf.DUMMYFUNCTION("""COMPUTED_VALUE"""),1.2529637156164426)</f>
        <v>1.252963716</v>
      </c>
      <c r="AG32" s="30">
        <f>IFERROR(__xludf.DUMMYFUNCTION("""COMPUTED_VALUE"""),1.1309115128610785)</f>
        <v>1.130911513</v>
      </c>
      <c r="AH32" s="30">
        <f>IFERROR(__xludf.DUMMYFUNCTION("""COMPUTED_VALUE"""),1.0212561868279328)</f>
        <v>1.021256187</v>
      </c>
      <c r="AI32" s="30">
        <f>IFERROR(__xludf.DUMMYFUNCTION("""COMPUTED_VALUE"""),0.9355607464703175)</f>
        <v>0.9355607465</v>
      </c>
      <c r="AJ32" s="30">
        <f>IFERROR(__xludf.DUMMYFUNCTION("""COMPUTED_VALUE"""),0.8714879003244832)</f>
        <v>0.8714879003</v>
      </c>
      <c r="AK32" s="30">
        <f>IFERROR(__xludf.DUMMYFUNCTION("""COMPUTED_VALUE"""),0.8342610245313975)</f>
        <v>0.8342610245</v>
      </c>
      <c r="AL32" s="30">
        <f>IFERROR(__xludf.DUMMYFUNCTION("""COMPUTED_VALUE"""),1.0120780737817394)</f>
        <v>1.012078074</v>
      </c>
      <c r="AM32" s="30">
        <f>IFERROR(__xludf.DUMMYFUNCTION("""COMPUTED_VALUE"""),0.8774122339004159)</f>
        <v>0.8774122339</v>
      </c>
      <c r="AN32" s="30">
        <f>IFERROR(__xludf.DUMMYFUNCTION("""COMPUTED_VALUE"""),1.173456272439772)</f>
        <v>1.173456272</v>
      </c>
      <c r="AO32" s="30">
        <f>IFERROR(__xludf.DUMMYFUNCTION("""COMPUTED_VALUE"""),1.2354910344196945)</f>
        <v>1.235491034</v>
      </c>
      <c r="AP32" s="30">
        <f>IFERROR(__xludf.DUMMYFUNCTION("""COMPUTED_VALUE"""),1.4242435223521142)</f>
        <v>1.424243522</v>
      </c>
      <c r="AQ32" s="30">
        <f>IFERROR(__xludf.DUMMYFUNCTION("""COMPUTED_VALUE"""),1.1183734866939845)</f>
        <v>1.118373487</v>
      </c>
      <c r="AR32" s="30">
        <f>IFERROR(__xludf.DUMMYFUNCTION("""COMPUTED_VALUE"""),1.0656202957272727)</f>
        <v>1.065620296</v>
      </c>
      <c r="AS32" s="30">
        <f>IFERROR(__xludf.DUMMYFUNCTION("""COMPUTED_VALUE"""),129.0)</f>
        <v>129</v>
      </c>
      <c r="AT32" s="30">
        <f>IFERROR(__xludf.DUMMYFUNCTION("""COMPUTED_VALUE"""),0.6069634349595463)</f>
        <v>0.606963435</v>
      </c>
      <c r="AU32" s="30">
        <f>IFERROR(__xludf.DUMMYFUNCTION("""COMPUTED_VALUE"""),3.384607193779203)</f>
        <v>3.384607194</v>
      </c>
      <c r="AV32" s="32">
        <f>IFERROR(__xludf.DUMMYFUNCTION("""COMPUTED_VALUE"""),79.81252618486425)</f>
        <v>79.81252618</v>
      </c>
      <c r="AW32" s="32">
        <f>IFERROR(__xludf.DUMMYFUNCTION("""COMPUTED_VALUE"""),8.581302943048922)</f>
        <v>8.581302943</v>
      </c>
      <c r="AX32" s="32">
        <f>IFERROR(__xludf.DUMMYFUNCTION("""COMPUTED_VALUE"""),77.22481439384859)</f>
        <v>77.22481439</v>
      </c>
      <c r="AY32" s="32">
        <f>IFERROR(__xludf.DUMMYFUNCTION("""COMPUTED_VALUE"""),7.242252934892475)</f>
        <v>7.242252935</v>
      </c>
      <c r="AZ32" s="30">
        <f>IFERROR(__xludf.DUMMYFUNCTION("""COMPUTED_VALUE"""),1.3390500081564465)</f>
        <v>1.339050008</v>
      </c>
      <c r="BA32" s="30">
        <f>IFERROR(__xludf.DUMMYFUNCTION("""COMPUTED_VALUE"""),2.0)</f>
        <v>2</v>
      </c>
    </row>
    <row r="33">
      <c r="A33" s="30" t="str">
        <f>IFERROR(__xludf.DUMMYFUNCTION("""COMPUTED_VALUE"""),"Premier")</f>
        <v>Premier</v>
      </c>
      <c r="B33" s="71" t="str">
        <f>IFERROR(__xludf.DUMMYFUNCTION("""COMPUTED_VALUE"""),"RSC005170")</f>
        <v>RSC005170</v>
      </c>
      <c r="C33" s="30" t="str">
        <f>IFERROR(__xludf.DUMMYFUNCTION("""COMPUTED_VALUE"""),"FrenchyNF")</f>
        <v>FrenchyNF</v>
      </c>
      <c r="D33" s="30" t="str">
        <f>IFERROR(__xludf.DUMMYFUNCTION("""COMPUTED_VALUE"""),"Super Clusters")</f>
        <v>Super Clusters</v>
      </c>
      <c r="E33" s="30">
        <f>IFERROR(__xludf.DUMMYFUNCTION("""COMPUTED_VALUE"""),11.0)</f>
        <v>11</v>
      </c>
      <c r="F33" s="30">
        <f>IFERROR(__xludf.DUMMYFUNCTION("""COMPUTED_VALUE"""),8.0)</f>
        <v>8</v>
      </c>
      <c r="G33" s="30">
        <f>IFERROR(__xludf.DUMMYFUNCTION("""COMPUTED_VALUE"""),3.0)</f>
        <v>3</v>
      </c>
      <c r="H33" s="42">
        <f>IFERROR(__xludf.DUMMYFUNCTION("""COMPUTED_VALUE"""),0.7272727272727273)</f>
        <v>0.7272727273</v>
      </c>
      <c r="I33" s="42">
        <f>IFERROR(__xludf.DUMMYFUNCTION("""COMPUTED_VALUE"""),0.35714285714285715)</f>
        <v>0.3571428571</v>
      </c>
      <c r="J33" s="30">
        <f>IFERROR(__xludf.DUMMYFUNCTION("""COMPUTED_VALUE"""),344.45454545454544)</f>
        <v>344.4545455</v>
      </c>
      <c r="K33" s="30">
        <f>IFERROR(__xludf.DUMMYFUNCTION("""COMPUTED_VALUE"""),0.9090909090909091)</f>
        <v>0.9090909091</v>
      </c>
      <c r="L33" s="30">
        <f>IFERROR(__xludf.DUMMYFUNCTION("""COMPUTED_VALUE"""),0.8181818181818182)</f>
        <v>0.8181818182</v>
      </c>
      <c r="M33" s="30">
        <f>IFERROR(__xludf.DUMMYFUNCTION("""COMPUTED_VALUE"""),1.0909090909090908)</f>
        <v>1.090909091</v>
      </c>
      <c r="N33" s="30">
        <f>IFERROR(__xludf.DUMMYFUNCTION("""COMPUTED_VALUE"""),2.5454545454545454)</f>
        <v>2.545454545</v>
      </c>
      <c r="O33" s="30">
        <f>IFERROR(__xludf.DUMMYFUNCTION("""COMPUTED_VALUE"""),328.48484848484844)</f>
        <v>328.4848485</v>
      </c>
      <c r="P33" s="30">
        <f>IFERROR(__xludf.DUMMYFUNCTION("""COMPUTED_VALUE"""),0.5151515151515151)</f>
        <v>0.5151515152</v>
      </c>
      <c r="Q33" s="30">
        <f>IFERROR(__xludf.DUMMYFUNCTION("""COMPUTED_VALUE"""),0.45454545454545453)</f>
        <v>0.4545454545</v>
      </c>
      <c r="R33" s="30">
        <f>IFERROR(__xludf.DUMMYFUNCTION("""COMPUTED_VALUE"""),1.484848484848485)</f>
        <v>1.484848485</v>
      </c>
      <c r="S33" s="30">
        <f>IFERROR(__xludf.DUMMYFUNCTION("""COMPUTED_VALUE"""),2.0606060606060606)</f>
        <v>2.060606061</v>
      </c>
      <c r="T33" s="30">
        <f>IFERROR(__xludf.DUMMYFUNCTION("""COMPUTED_VALUE"""),347.3482589004072)</f>
        <v>347.3482589</v>
      </c>
      <c r="U33" s="30">
        <f>IFERROR(__xludf.DUMMYFUNCTION("""COMPUTED_VALUE"""),0.7188016559687802)</f>
        <v>0.718801656</v>
      </c>
      <c r="V33" s="30">
        <f>IFERROR(__xludf.DUMMYFUNCTION("""COMPUTED_VALUE"""),0.541104339029299)</f>
        <v>0.541104339</v>
      </c>
      <c r="W33" s="30">
        <f>IFERROR(__xludf.DUMMYFUNCTION("""COMPUTED_VALUE"""),1.390949544028931)</f>
        <v>1.390949544</v>
      </c>
      <c r="X33" s="30">
        <f>IFERROR(__xludf.DUMMYFUNCTION("""COMPUTED_VALUE"""),2.363869071140863)</f>
        <v>2.363869071</v>
      </c>
      <c r="Y33" s="30">
        <f>IFERROR(__xludf.DUMMYFUNCTION("""COMPUTED_VALUE"""),377.6520809991716)</f>
        <v>377.652081</v>
      </c>
      <c r="Z33" s="30">
        <f>IFERROR(__xludf.DUMMYFUNCTION("""COMPUTED_VALUE"""),0.9299086526421996)</f>
        <v>0.9299086526</v>
      </c>
      <c r="AA33" s="30">
        <f>IFERROR(__xludf.DUMMYFUNCTION("""COMPUTED_VALUE"""),0.7185202627092355)</f>
        <v>0.7185202627</v>
      </c>
      <c r="AB33" s="30">
        <f>IFERROR(__xludf.DUMMYFUNCTION("""COMPUTED_VALUE"""),1.296288787839539)</f>
        <v>1.296288788</v>
      </c>
      <c r="AC33" s="30">
        <f>IFERROR(__xludf.DUMMYFUNCTION("""COMPUTED_VALUE"""),2.878947141832638)</f>
        <v>2.878947142</v>
      </c>
      <c r="AD33" s="30">
        <f>IFERROR(__xludf.DUMMYFUNCTION("""COMPUTED_VALUE"""),0.9120949222448507)</f>
        <v>0.9120949222</v>
      </c>
      <c r="AE33" s="30">
        <f>IFERROR(__xludf.DUMMYFUNCTION("""COMPUTED_VALUE"""),0.9776131306100444)</f>
        <v>0.9776131306</v>
      </c>
      <c r="AF33" s="30">
        <f>IFERROR(__xludf.DUMMYFUNCTION("""COMPUTED_VALUE"""),1.13870388998746)</f>
        <v>1.13870389</v>
      </c>
      <c r="AG33" s="30">
        <f>IFERROR(__xludf.DUMMYFUNCTION("""COMPUTED_VALUE"""),0.8415633160935192)</f>
        <v>0.8415633161</v>
      </c>
      <c r="AH33" s="30">
        <f>IFERROR(__xludf.DUMMYFUNCTION("""COMPUTED_VALUE"""),0.8841616118850301)</f>
        <v>0.8841616119</v>
      </c>
      <c r="AI33" s="30">
        <f>IFERROR(__xludf.DUMMYFUNCTION("""COMPUTED_VALUE"""),0.9456930906310738)</f>
        <v>0.9456930906</v>
      </c>
      <c r="AJ33" s="30">
        <f>IFERROR(__xludf.DUMMYFUNCTION("""COMPUTED_VALUE"""),0.7166810355454855)</f>
        <v>0.7166810355</v>
      </c>
      <c r="AK33" s="30">
        <f>IFERROR(__xludf.DUMMYFUNCTION("""COMPUTED_VALUE"""),0.8400329137276469)</f>
        <v>0.8400329137</v>
      </c>
      <c r="AL33" s="30">
        <f>IFERROR(__xludf.DUMMYFUNCTION("""COMPUTED_VALUE"""),1.0675070790472907)</f>
        <v>1.067507079</v>
      </c>
      <c r="AM33" s="30">
        <f>IFERROR(__xludf.DUMMYFUNCTION("""COMPUTED_VALUE"""),0.8717090492713117)</f>
        <v>0.8717090493</v>
      </c>
      <c r="AN33" s="30">
        <f>IFERROR(__xludf.DUMMYFUNCTION("""COMPUTED_VALUE"""),0.9439185683300454)</f>
        <v>0.9439185683</v>
      </c>
      <c r="AO33" s="30">
        <f>IFERROR(__xludf.DUMMYFUNCTION("""COMPUTED_VALUE"""),1.1481330824910292)</f>
        <v>1.148133082</v>
      </c>
      <c r="AP33" s="30">
        <f>IFERROR(__xludf.DUMMYFUNCTION("""COMPUTED_VALUE"""),1.374444797794348)</f>
        <v>1.374444798</v>
      </c>
      <c r="AQ33" s="30">
        <f>IFERROR(__xludf.DUMMYFUNCTION("""COMPUTED_VALUE"""),0.7584056076843727)</f>
        <v>0.7584056077</v>
      </c>
      <c r="AR33" s="30">
        <f>IFERROR(__xludf.DUMMYFUNCTION("""COMPUTED_VALUE"""),0.9598034551725364)</f>
        <v>0.9598034552</v>
      </c>
      <c r="AS33" s="30">
        <f>IFERROR(__xludf.DUMMYFUNCTION("""COMPUTED_VALUE"""),34.0)</f>
        <v>34</v>
      </c>
      <c r="AT33" s="30">
        <f>IFERROR(__xludf.DUMMYFUNCTION("""COMPUTED_VALUE"""),0.7458331214897431)</f>
        <v>0.7458331215</v>
      </c>
      <c r="AU33" s="30">
        <f>IFERROR(__xludf.DUMMYFUNCTION("""COMPUTED_VALUE"""),2.8973024408261274)</f>
        <v>2.897302441</v>
      </c>
      <c r="AV33" s="32">
        <f>IFERROR(__xludf.DUMMYFUNCTION("""COMPUTED_VALUE"""),65.08621555656669)</f>
        <v>65.08621556</v>
      </c>
      <c r="AW33" s="32">
        <f>IFERROR(__xludf.DUMMYFUNCTION("""COMPUTED_VALUE"""),3.661593448807823)</f>
        <v>3.661593449</v>
      </c>
      <c r="AX33" s="32">
        <f>IFERROR(__xludf.DUMMYFUNCTION("""COMPUTED_VALUE"""),55.050214726341004)</f>
        <v>55.05021473</v>
      </c>
      <c r="AY33" s="32">
        <f>IFERROR(__xludf.DUMMYFUNCTION("""COMPUTED_VALUE"""),2.3812074833580676)</f>
        <v>2.381207483</v>
      </c>
      <c r="AZ33" s="30">
        <f>IFERROR(__xludf.DUMMYFUNCTION("""COMPUTED_VALUE"""),1.2803859654497551)</f>
        <v>1.280385965</v>
      </c>
      <c r="BA33" s="30">
        <f>IFERROR(__xludf.DUMMYFUNCTION("""COMPUTED_VALUE"""),2.0)</f>
        <v>2</v>
      </c>
    </row>
    <row r="34">
      <c r="A34" s="30" t="str">
        <f>IFERROR(__xludf.DUMMYFUNCTION("""COMPUTED_VALUE"""),"Premier")</f>
        <v>Premier</v>
      </c>
      <c r="B34" s="30" t="str">
        <f>IFERROR(__xludf.DUMMYFUNCTION("""COMPUTED_VALUE"""),"RSC002714")</f>
        <v>RSC002714</v>
      </c>
      <c r="C34" s="30" t="str">
        <f>IFERROR(__xludf.DUMMYFUNCTION("""COMPUTED_VALUE"""),"Yujin")</f>
        <v>Yujin</v>
      </c>
      <c r="D34" s="30" t="str">
        <f>IFERROR(__xludf.DUMMYFUNCTION("""COMPUTED_VALUE"""),"Fairies")</f>
        <v>Fairies</v>
      </c>
      <c r="E34" s="30">
        <f>IFERROR(__xludf.DUMMYFUNCTION("""COMPUTED_VALUE"""),42.0)</f>
        <v>42</v>
      </c>
      <c r="F34" s="30">
        <f>IFERROR(__xludf.DUMMYFUNCTION("""COMPUTED_VALUE"""),11.0)</f>
        <v>11</v>
      </c>
      <c r="G34" s="30">
        <f>IFERROR(__xludf.DUMMYFUNCTION("""COMPUTED_VALUE"""),31.0)</f>
        <v>31</v>
      </c>
      <c r="H34" s="42">
        <f>IFERROR(__xludf.DUMMYFUNCTION("""COMPUTED_VALUE"""),0.2619047619047619)</f>
        <v>0.2619047619</v>
      </c>
      <c r="I34" s="42">
        <f>IFERROR(__xludf.DUMMYFUNCTION("""COMPUTED_VALUE"""),0.38461538461538464)</f>
        <v>0.3846153846</v>
      </c>
      <c r="J34" s="30">
        <f>IFERROR(__xludf.DUMMYFUNCTION("""COMPUTED_VALUE"""),341.92857142857144)</f>
        <v>341.9285714</v>
      </c>
      <c r="K34" s="30">
        <f>IFERROR(__xludf.DUMMYFUNCTION("""COMPUTED_VALUE"""),0.8333333333333334)</f>
        <v>0.8333333333</v>
      </c>
      <c r="L34" s="30">
        <f>IFERROR(__xludf.DUMMYFUNCTION("""COMPUTED_VALUE"""),0.35714285714285715)</f>
        <v>0.3571428571</v>
      </c>
      <c r="M34" s="30">
        <f>IFERROR(__xludf.DUMMYFUNCTION("""COMPUTED_VALUE"""),1.380952380952381)</f>
        <v>1.380952381</v>
      </c>
      <c r="N34" s="30">
        <f>IFERROR(__xludf.DUMMYFUNCTION("""COMPUTED_VALUE"""),2.1666666666666665)</f>
        <v>2.166666667</v>
      </c>
      <c r="O34" s="30">
        <f>IFERROR(__xludf.DUMMYFUNCTION("""COMPUTED_VALUE"""),399.8095238095239)</f>
        <v>399.8095238</v>
      </c>
      <c r="P34" s="30">
        <f>IFERROR(__xludf.DUMMYFUNCTION("""COMPUTED_VALUE"""),1.103174603174603)</f>
        <v>1.103174603</v>
      </c>
      <c r="Q34" s="30">
        <f>IFERROR(__xludf.DUMMYFUNCTION("""COMPUTED_VALUE"""),0.8730158730158729)</f>
        <v>0.873015873</v>
      </c>
      <c r="R34" s="30">
        <f>IFERROR(__xludf.DUMMYFUNCTION("""COMPUTED_VALUE"""),1.0873015873015872)</f>
        <v>1.087301587</v>
      </c>
      <c r="S34" s="30">
        <f>IFERROR(__xludf.DUMMYFUNCTION("""COMPUTED_VALUE"""),3.19047619047619)</f>
        <v>3.19047619</v>
      </c>
      <c r="T34" s="30">
        <f>IFERROR(__xludf.DUMMYFUNCTION("""COMPUTED_VALUE"""),371.63030044436016)</f>
        <v>371.6303004</v>
      </c>
      <c r="U34" s="30">
        <f>IFERROR(__xludf.DUMMYFUNCTION("""COMPUTED_VALUE"""),0.837933904260491)</f>
        <v>0.8379339043</v>
      </c>
      <c r="V34" s="30">
        <f>IFERROR(__xludf.DUMMYFUNCTION("""COMPUTED_VALUE"""),0.6458522414847763)</f>
        <v>0.6458522415</v>
      </c>
      <c r="W34" s="30">
        <f>IFERROR(__xludf.DUMMYFUNCTION("""COMPUTED_VALUE"""),1.391209025120417)</f>
        <v>1.391209025</v>
      </c>
      <c r="X34" s="30">
        <f>IFERROR(__xludf.DUMMYFUNCTION("""COMPUTED_VALUE"""),2.7911859359458036)</f>
        <v>2.791185936</v>
      </c>
      <c r="Y34" s="30">
        <f>IFERROR(__xludf.DUMMYFUNCTION("""COMPUTED_VALUE"""),372.62243616555435)</f>
        <v>372.6224362</v>
      </c>
      <c r="Z34" s="30">
        <f>IFERROR(__xludf.DUMMYFUNCTION("""COMPUTED_VALUE"""),0.8179985891720731)</f>
        <v>0.8179985892</v>
      </c>
      <c r="AA34" s="30">
        <f>IFERROR(__xludf.DUMMYFUNCTION("""COMPUTED_VALUE"""),0.6285472042881937)</f>
        <v>0.6285472043</v>
      </c>
      <c r="AB34" s="30">
        <f>IFERROR(__xludf.DUMMYFUNCTION("""COMPUTED_VALUE"""),1.466647835196265)</f>
        <v>1.466647835</v>
      </c>
      <c r="AC34" s="30">
        <f>IFERROR(__xludf.DUMMYFUNCTION("""COMPUTED_VALUE"""),2.6846455626529155)</f>
        <v>2.684645563</v>
      </c>
      <c r="AD34" s="30">
        <f>IFERROR(__xludf.DUMMYFUNCTION("""COMPUTED_VALUE"""),0.9176274379695544)</f>
        <v>0.917627438</v>
      </c>
      <c r="AE34" s="30">
        <f>IFERROR(__xludf.DUMMYFUNCTION("""COMPUTED_VALUE"""),1.0187466633368905)</f>
        <v>1.018746663</v>
      </c>
      <c r="AF34" s="30">
        <f>IFERROR(__xludf.DUMMYFUNCTION("""COMPUTED_VALUE"""),0.5682037159759674)</f>
        <v>0.568203716</v>
      </c>
      <c r="AG34" s="30">
        <f>IFERROR(__xludf.DUMMYFUNCTION("""COMPUTED_VALUE"""),0.9415705309840678)</f>
        <v>0.941570531</v>
      </c>
      <c r="AH34" s="30">
        <f>IFERROR(__xludf.DUMMYFUNCTION("""COMPUTED_VALUE"""),0.8070587405681992)</f>
        <v>0.8070587406</v>
      </c>
      <c r="AI34" s="30">
        <f>IFERROR(__xludf.DUMMYFUNCTION("""COMPUTED_VALUE"""),1.075825957494504)</f>
        <v>1.075825957</v>
      </c>
      <c r="AJ34" s="30">
        <f>IFERROR(__xludf.DUMMYFUNCTION("""COMPUTED_VALUE"""),1.3165413137784385)</f>
        <v>1.316541314</v>
      </c>
      <c r="AK34" s="30">
        <f>IFERROR(__xludf.DUMMYFUNCTION("""COMPUTED_VALUE"""),1.351726938361104)</f>
        <v>1.351726938</v>
      </c>
      <c r="AL34" s="30">
        <f>IFERROR(__xludf.DUMMYFUNCTION("""COMPUTED_VALUE"""),0.7815515624673834)</f>
        <v>0.7815515625</v>
      </c>
      <c r="AM34" s="30">
        <f>IFERROR(__xludf.DUMMYFUNCTION("""COMPUTED_VALUE"""),1.1430539790947625)</f>
        <v>1.143053979</v>
      </c>
      <c r="AN34" s="30">
        <f>IFERROR(__xludf.DUMMYFUNCTION("""COMPUTED_VALUE"""),0.9369965700063192)</f>
        <v>0.93699657</v>
      </c>
      <c r="AO34" s="30">
        <f>IFERROR(__xludf.DUMMYFUNCTION("""COMPUTED_VALUE"""),1.0524553256167768)</f>
        <v>1.052455326</v>
      </c>
      <c r="AP34" s="30">
        <f>IFERROR(__xludf.DUMMYFUNCTION("""COMPUTED_VALUE"""),0.5999560625292789)</f>
        <v>0.5999560625</v>
      </c>
      <c r="AQ34" s="30">
        <f>IFERROR(__xludf.DUMMYFUNCTION("""COMPUTED_VALUE"""),0.9600451938544243)</f>
        <v>0.9600451939</v>
      </c>
      <c r="AR34" s="30">
        <f>IFERROR(__xludf.DUMMYFUNCTION("""COMPUTED_VALUE"""),0.8169755600575755)</f>
        <v>0.8169755601</v>
      </c>
      <c r="AS34" s="30">
        <f>IFERROR(__xludf.DUMMYFUNCTION("""COMPUTED_VALUE"""),86.0)</f>
        <v>86</v>
      </c>
      <c r="AT34" s="30">
        <f>IFERROR(__xludf.DUMMYFUNCTION("""COMPUTED_VALUE"""),0.31491329867953244)</f>
        <v>0.3149132987</v>
      </c>
      <c r="AU34" s="30">
        <f>IFERROR(__xludf.DUMMYFUNCTION("""COMPUTED_VALUE"""),1.5629989912648754)</f>
        <v>1.562998991</v>
      </c>
      <c r="AV34" s="32">
        <f>IFERROR(__xludf.DUMMYFUNCTION("""COMPUTED_VALUE"""),24.763672114147063)</f>
        <v>24.76367211</v>
      </c>
      <c r="AW34" s="32">
        <f>IFERROR(__xludf.DUMMYFUNCTION("""COMPUTED_VALUE"""),-6.394733277189391)</f>
        <v>-6.394733277</v>
      </c>
      <c r="AX34" s="32">
        <f>IFERROR(__xludf.DUMMYFUNCTION("""COMPUTED_VALUE"""),28.487007330817566)</f>
        <v>28.48700733</v>
      </c>
      <c r="AY34" s="32">
        <f>IFERROR(__xludf.DUMMYFUNCTION("""COMPUTED_VALUE"""),-5.134753582254198)</f>
        <v>-5.134753582</v>
      </c>
      <c r="AZ34" s="30">
        <f>IFERROR(__xludf.DUMMYFUNCTION("""COMPUTED_VALUE"""),1.2599796949351934)</f>
        <v>1.259979695</v>
      </c>
      <c r="BA34" s="30">
        <f>IFERROR(__xludf.DUMMYFUNCTION("""COMPUTED_VALUE"""),2.0)</f>
        <v>2</v>
      </c>
    </row>
    <row r="35">
      <c r="A35" s="30" t="str">
        <f>IFERROR(__xludf.DUMMYFUNCTION("""COMPUTED_VALUE"""),"Premier")</f>
        <v>Premier</v>
      </c>
      <c r="B35" s="30" t="str">
        <f>IFERROR(__xludf.DUMMYFUNCTION("""COMPUTED_VALUE"""),"RSC003334")</f>
        <v>RSC003334</v>
      </c>
      <c r="C35" s="30" t="str">
        <f>IFERROR(__xludf.DUMMYFUNCTION("""COMPUTED_VALUE"""),"hawk rl")</f>
        <v>hawk rl</v>
      </c>
      <c r="D35" s="30" t="str">
        <f>IFERROR(__xludf.DUMMYFUNCTION("""COMPUTED_VALUE"""),"Interstellar")</f>
        <v>Interstellar</v>
      </c>
      <c r="E35" s="30">
        <f>IFERROR(__xludf.DUMMYFUNCTION("""COMPUTED_VALUE"""),25.0)</f>
        <v>25</v>
      </c>
      <c r="F35" s="30">
        <f>IFERROR(__xludf.DUMMYFUNCTION("""COMPUTED_VALUE"""),7.0)</f>
        <v>7</v>
      </c>
      <c r="G35" s="30">
        <f>IFERROR(__xludf.DUMMYFUNCTION("""COMPUTED_VALUE"""),18.0)</f>
        <v>18</v>
      </c>
      <c r="H35" s="42">
        <f>IFERROR(__xludf.DUMMYFUNCTION("""COMPUTED_VALUE"""),0.28)</f>
        <v>0.28</v>
      </c>
      <c r="I35" s="42">
        <f>IFERROR(__xludf.DUMMYFUNCTION("""COMPUTED_VALUE"""),0.33333333333333337)</f>
        <v>0.3333333333</v>
      </c>
      <c r="J35" s="30">
        <f>IFERROR(__xludf.DUMMYFUNCTION("""COMPUTED_VALUE"""),283.92)</f>
        <v>283.92</v>
      </c>
      <c r="K35" s="30">
        <f>IFERROR(__xludf.DUMMYFUNCTION("""COMPUTED_VALUE"""),0.56)</f>
        <v>0.56</v>
      </c>
      <c r="L35" s="30">
        <f>IFERROR(__xludf.DUMMYFUNCTION("""COMPUTED_VALUE"""),0.64)</f>
        <v>0.64</v>
      </c>
      <c r="M35" s="30">
        <f>IFERROR(__xludf.DUMMYFUNCTION("""COMPUTED_VALUE"""),1.08)</f>
        <v>1.08</v>
      </c>
      <c r="N35" s="30">
        <f>IFERROR(__xludf.DUMMYFUNCTION("""COMPUTED_VALUE"""),1.68)</f>
        <v>1.68</v>
      </c>
      <c r="O35" s="30">
        <f>IFERROR(__xludf.DUMMYFUNCTION("""COMPUTED_VALUE"""),365.16)</f>
        <v>365.16</v>
      </c>
      <c r="P35" s="30">
        <f>IFERROR(__xludf.DUMMYFUNCTION("""COMPUTED_VALUE"""),0.9466666666666669)</f>
        <v>0.9466666667</v>
      </c>
      <c r="Q35" s="30">
        <f>IFERROR(__xludf.DUMMYFUNCTION("""COMPUTED_VALUE"""),0.6666666666666665)</f>
        <v>0.6666666667</v>
      </c>
      <c r="R35" s="30">
        <f>IFERROR(__xludf.DUMMYFUNCTION("""COMPUTED_VALUE"""),1.2133333333333334)</f>
        <v>1.213333333</v>
      </c>
      <c r="S35" s="30">
        <f>IFERROR(__xludf.DUMMYFUNCTION("""COMPUTED_VALUE"""),2.746666666666667)</f>
        <v>2.746666667</v>
      </c>
      <c r="T35" s="30">
        <f>IFERROR(__xludf.DUMMYFUNCTION("""COMPUTED_VALUE"""),373.0630856173339)</f>
        <v>373.0630856</v>
      </c>
      <c r="U35" s="30">
        <f>IFERROR(__xludf.DUMMYFUNCTION("""COMPUTED_VALUE"""),0.8307082792933861)</f>
        <v>0.8307082793</v>
      </c>
      <c r="V35" s="30">
        <f>IFERROR(__xludf.DUMMYFUNCTION("""COMPUTED_VALUE"""),0.673704665638523)</f>
        <v>0.6737046656</v>
      </c>
      <c r="W35" s="30">
        <f>IFERROR(__xludf.DUMMYFUNCTION("""COMPUTED_VALUE"""),1.4584912263441407)</f>
        <v>1.458491226</v>
      </c>
      <c r="X35" s="30">
        <f>IFERROR(__xludf.DUMMYFUNCTION("""COMPUTED_VALUE"""),2.686055581260947)</f>
        <v>2.686055581</v>
      </c>
      <c r="Y35" s="30">
        <f>IFERROR(__xludf.DUMMYFUNCTION("""COMPUTED_VALUE"""),372.14620888277796)</f>
        <v>372.1462089</v>
      </c>
      <c r="Z35" s="30">
        <f>IFERROR(__xludf.DUMMYFUNCTION("""COMPUTED_VALUE"""),0.8250259700453967)</f>
        <v>0.82502597</v>
      </c>
      <c r="AA35" s="30">
        <f>IFERROR(__xludf.DUMMYFUNCTION("""COMPUTED_VALUE"""),0.6534066595338566)</f>
        <v>0.6534066595</v>
      </c>
      <c r="AB35" s="30">
        <f>IFERROR(__xludf.DUMMYFUNCTION("""COMPUTED_VALUE"""),1.4168857216660178)</f>
        <v>1.416885722</v>
      </c>
      <c r="AC35" s="30">
        <f>IFERROR(__xludf.DUMMYFUNCTION("""COMPUTED_VALUE"""),2.688862840151925)</f>
        <v>2.68886284</v>
      </c>
      <c r="AD35" s="30">
        <f>IFERROR(__xludf.DUMMYFUNCTION("""COMPUTED_VALUE"""),0.7629259501322282)</f>
        <v>0.7629259501</v>
      </c>
      <c r="AE35" s="30">
        <f>IFERROR(__xludf.DUMMYFUNCTION("""COMPUTED_VALUE"""),0.6787665120034783)</f>
        <v>0.678766512</v>
      </c>
      <c r="AF35" s="30">
        <f>IFERROR(__xludf.DUMMYFUNCTION("""COMPUTED_VALUE"""),0.9794819055817078)</f>
        <v>0.9794819056</v>
      </c>
      <c r="AG35" s="30">
        <f>IFERROR(__xludf.DUMMYFUNCTION("""COMPUTED_VALUE"""),0.7622350790084206)</f>
        <v>0.762235079</v>
      </c>
      <c r="AH35" s="30">
        <f>IFERROR(__xludf.DUMMYFUNCTION("""COMPUTED_VALUE"""),0.6247994412035823)</f>
        <v>0.6247994412</v>
      </c>
      <c r="AI35" s="30">
        <f>IFERROR(__xludf.DUMMYFUNCTION("""COMPUTED_VALUE"""),0.9788156858128805)</f>
        <v>0.9788156858</v>
      </c>
      <c r="AJ35" s="30">
        <f>IFERROR(__xludf.DUMMYFUNCTION("""COMPUTED_VALUE"""),1.1395897817124405)</f>
        <v>1.139589782</v>
      </c>
      <c r="AK35" s="30">
        <f>IFERROR(__xludf.DUMMYFUNCTION("""COMPUTED_VALUE"""),0.9895532874702804)</f>
        <v>0.9895532875</v>
      </c>
      <c r="AL35" s="30">
        <f>IFERROR(__xludf.DUMMYFUNCTION("""COMPUTED_VALUE"""),0.8319099295336037)</f>
        <v>0.8319099295</v>
      </c>
      <c r="AM35" s="30">
        <f>IFERROR(__xludf.DUMMYFUNCTION("""COMPUTED_VALUE"""),1.0225650898025225)</f>
        <v>1.02256509</v>
      </c>
      <c r="AN35" s="30">
        <f>IFERROR(__xludf.DUMMYFUNCTION("""COMPUTED_VALUE"""),0.7780340351340543)</f>
        <v>0.7780340351</v>
      </c>
      <c r="AO35" s="30">
        <f>IFERROR(__xludf.DUMMYFUNCTION("""COMPUTED_VALUE"""),0.707249978814474)</f>
        <v>0.7072499788</v>
      </c>
      <c r="AP35" s="30">
        <f>IFERROR(__xludf.DUMMYFUNCTION("""COMPUTED_VALUE"""),1.0751212640524677)</f>
        <v>1.075121264</v>
      </c>
      <c r="AQ35" s="30">
        <f>IFERROR(__xludf.DUMMYFUNCTION("""COMPUTED_VALUE"""),0.7508215516075292)</f>
        <v>0.7508215516</v>
      </c>
      <c r="AR35" s="30">
        <f>IFERROR(__xludf.DUMMYFUNCTION("""COMPUTED_VALUE"""),0.633470280413874)</f>
        <v>0.6334702804</v>
      </c>
      <c r="AS35" s="30">
        <f>IFERROR(__xludf.DUMMYFUNCTION("""COMPUTED_VALUE"""),47.0)</f>
        <v>47</v>
      </c>
      <c r="AT35" s="30">
        <f>IFERROR(__xludf.DUMMYFUNCTION("""COMPUTED_VALUE"""),0.34434509792445933)</f>
        <v>0.3443450979</v>
      </c>
      <c r="AU35" s="30">
        <f>IFERROR(__xludf.DUMMYFUNCTION("""COMPUTED_VALUE"""),1.5368382401164002)</f>
        <v>1.53683824</v>
      </c>
      <c r="AV35" s="32">
        <f>IFERROR(__xludf.DUMMYFUNCTION("""COMPUTED_VALUE"""),23.973096308457897)</f>
        <v>23.97309631</v>
      </c>
      <c r="AW35" s="32">
        <f>IFERROR(__xludf.DUMMYFUNCTION("""COMPUTED_VALUE"""),-6.715010068203842)</f>
        <v>-6.715010068</v>
      </c>
      <c r="AX35" s="32">
        <f>IFERROR(__xludf.DUMMYFUNCTION("""COMPUTED_VALUE"""),27.372130521201747)</f>
        <v>27.37213052</v>
      </c>
      <c r="AY35" s="32">
        <f>IFERROR(__xludf.DUMMYFUNCTION("""COMPUTED_VALUE"""),-5.473385095581138)</f>
        <v>-5.473385096</v>
      </c>
      <c r="AZ35" s="30">
        <f>IFERROR(__xludf.DUMMYFUNCTION("""COMPUTED_VALUE"""),1.241624972622704)</f>
        <v>1.241624973</v>
      </c>
      <c r="BA35" s="30">
        <f>IFERROR(__xludf.DUMMYFUNCTION("""COMPUTED_VALUE"""),2.0)</f>
        <v>2</v>
      </c>
    </row>
    <row r="36">
      <c r="A36" s="30" t="str">
        <f>IFERROR(__xludf.DUMMYFUNCTION("""COMPUTED_VALUE"""),"Premier")</f>
        <v>Premier</v>
      </c>
      <c r="B36" s="71" t="str">
        <f>IFERROR(__xludf.DUMMYFUNCTION("""COMPUTED_VALUE"""),"RSC006677")</f>
        <v>RSC006677</v>
      </c>
      <c r="C36" s="30" t="str">
        <f>IFERROR(__xludf.DUMMYFUNCTION("""COMPUTED_VALUE"""),"luigi")</f>
        <v>luigi</v>
      </c>
      <c r="D36" s="30" t="str">
        <f>IFERROR(__xludf.DUMMYFUNCTION("""COMPUTED_VALUE"""),"Punks")</f>
        <v>Punks</v>
      </c>
      <c r="E36" s="30">
        <f>IFERROR(__xludf.DUMMYFUNCTION("""COMPUTED_VALUE"""),48.0)</f>
        <v>48</v>
      </c>
      <c r="F36" s="30">
        <f>IFERROR(__xludf.DUMMYFUNCTION("""COMPUTED_VALUE"""),24.0)</f>
        <v>24</v>
      </c>
      <c r="G36" s="30">
        <f>IFERROR(__xludf.DUMMYFUNCTION("""COMPUTED_VALUE"""),24.0)</f>
        <v>24</v>
      </c>
      <c r="H36" s="42">
        <f>IFERROR(__xludf.DUMMYFUNCTION("""COMPUTED_VALUE"""),0.5)</f>
        <v>0.5</v>
      </c>
      <c r="I36" s="42">
        <f>IFERROR(__xludf.DUMMYFUNCTION("""COMPUTED_VALUE"""),0.3184713375796178)</f>
        <v>0.3184713376</v>
      </c>
      <c r="J36" s="30">
        <f>IFERROR(__xludf.DUMMYFUNCTION("""COMPUTED_VALUE"""),389.9791666666667)</f>
        <v>389.9791667</v>
      </c>
      <c r="K36" s="30">
        <f>IFERROR(__xludf.DUMMYFUNCTION("""COMPUTED_VALUE"""),1.0416666666666667)</f>
        <v>1.041666667</v>
      </c>
      <c r="L36" s="30">
        <f>IFERROR(__xludf.DUMMYFUNCTION("""COMPUTED_VALUE"""),0.625)</f>
        <v>0.625</v>
      </c>
      <c r="M36" s="30">
        <f>IFERROR(__xludf.DUMMYFUNCTION("""COMPUTED_VALUE"""),1.375)</f>
        <v>1.375</v>
      </c>
      <c r="N36" s="30">
        <f>IFERROR(__xludf.DUMMYFUNCTION("""COMPUTED_VALUE"""),3.2708333333333335)</f>
        <v>3.270833333</v>
      </c>
      <c r="O36" s="30">
        <f>IFERROR(__xludf.DUMMYFUNCTION("""COMPUTED_VALUE"""),356.59722222222223)</f>
        <v>356.5972222</v>
      </c>
      <c r="P36" s="30">
        <f>IFERROR(__xludf.DUMMYFUNCTION("""COMPUTED_VALUE"""),0.736111111111111)</f>
        <v>0.7361111111</v>
      </c>
      <c r="Q36" s="30">
        <f>IFERROR(__xludf.DUMMYFUNCTION("""COMPUTED_VALUE"""),0.5902777777777777)</f>
        <v>0.5902777778</v>
      </c>
      <c r="R36" s="30">
        <f>IFERROR(__xludf.DUMMYFUNCTION("""COMPUTED_VALUE"""),1.3680555555555554)</f>
        <v>1.368055556</v>
      </c>
      <c r="S36" s="30">
        <f>IFERROR(__xludf.DUMMYFUNCTION("""COMPUTED_VALUE"""),2.5902777777777777)</f>
        <v>2.590277778</v>
      </c>
      <c r="T36" s="30">
        <f>IFERROR(__xludf.DUMMYFUNCTION("""COMPUTED_VALUE"""),373.6265021754087)</f>
        <v>373.6265022</v>
      </c>
      <c r="U36" s="30">
        <f>IFERROR(__xludf.DUMMYFUNCTION("""COMPUTED_VALUE"""),0.8144605856641047)</f>
        <v>0.8144605857</v>
      </c>
      <c r="V36" s="30">
        <f>IFERROR(__xludf.DUMMYFUNCTION("""COMPUTED_VALUE"""),0.640295901127422)</f>
        <v>0.6402959011</v>
      </c>
      <c r="W36" s="30">
        <f>IFERROR(__xludf.DUMMYFUNCTION("""COMPUTED_VALUE"""),1.4381276180144305)</f>
        <v>1.438127618</v>
      </c>
      <c r="X36" s="30">
        <f>IFERROR(__xludf.DUMMYFUNCTION("""COMPUTED_VALUE"""),2.6965856949557985)</f>
        <v>2.696585695</v>
      </c>
      <c r="Y36" s="30">
        <f>IFERROR(__xludf.DUMMYFUNCTION("""COMPUTED_VALUE"""),370.5937347851289)</f>
        <v>370.5937348</v>
      </c>
      <c r="Z36" s="30">
        <f>IFERROR(__xludf.DUMMYFUNCTION("""COMPUTED_VALUE"""),0.8321299809778884)</f>
        <v>0.832129981</v>
      </c>
      <c r="AA36" s="30">
        <f>IFERROR(__xludf.DUMMYFUNCTION("""COMPUTED_VALUE"""),0.6418963863973987)</f>
        <v>0.6418963864</v>
      </c>
      <c r="AB36" s="30">
        <f>IFERROR(__xludf.DUMMYFUNCTION("""COMPUTED_VALUE"""),1.3992491523504613)</f>
        <v>1.399249152</v>
      </c>
      <c r="AC36" s="30">
        <f>IFERROR(__xludf.DUMMYFUNCTION("""COMPUTED_VALUE"""),2.7466102026420547)</f>
        <v>2.746610203</v>
      </c>
      <c r="AD36" s="30">
        <f>IFERROR(__xludf.DUMMYFUNCTION("""COMPUTED_VALUE"""),1.052309119291446)</f>
        <v>1.052309119</v>
      </c>
      <c r="AE36" s="30">
        <f>IFERROR(__xludf.DUMMYFUNCTION("""COMPUTED_VALUE"""),1.2518076388048638)</f>
        <v>1.251807639</v>
      </c>
      <c r="AF36" s="30">
        <f>IFERROR(__xludf.DUMMYFUNCTION("""COMPUTED_VALUE"""),0.9736773928698548)</f>
        <v>0.9736773929</v>
      </c>
      <c r="AG36" s="30">
        <f>IFERROR(__xludf.DUMMYFUNCTION("""COMPUTED_VALUE"""),0.9826698824081991)</f>
        <v>0.9826698824</v>
      </c>
      <c r="AH36" s="30">
        <f>IFERROR(__xludf.DUMMYFUNCTION("""COMPUTED_VALUE"""),1.1908618595339853)</f>
        <v>1.19086186</v>
      </c>
      <c r="AI36" s="30">
        <f>IFERROR(__xludf.DUMMYFUNCTION("""COMPUTED_VALUE"""),0.9544216487480548)</f>
        <v>0.9544216487</v>
      </c>
      <c r="AJ36" s="30">
        <f>IFERROR(__xludf.DUMMYFUNCTION("""COMPUTED_VALUE"""),0.9038020059753927)</f>
        <v>0.903802006</v>
      </c>
      <c r="AK36" s="30">
        <f>IFERROR(__xludf.DUMMYFUNCTION("""COMPUTED_VALUE"""),0.9218827994032552)</f>
        <v>0.9218827994</v>
      </c>
      <c r="AL36" s="30">
        <f>IFERROR(__xludf.DUMMYFUNCTION("""COMPUTED_VALUE"""),0.9512754907275747)</f>
        <v>0.9512754907</v>
      </c>
      <c r="AM36" s="30">
        <f>IFERROR(__xludf.DUMMYFUNCTION("""COMPUTED_VALUE"""),0.9605768444975143)</f>
        <v>0.9605768445</v>
      </c>
      <c r="AN36" s="30">
        <f>IFERROR(__xludf.DUMMYFUNCTION("""COMPUTED_VALUE"""),1.0686709800643934)</f>
        <v>1.06867098</v>
      </c>
      <c r="AO36" s="30">
        <f>IFERROR(__xludf.DUMMYFUNCTION("""COMPUTED_VALUE"""),1.315569157020971)</f>
        <v>1.315569157</v>
      </c>
      <c r="AP36" s="30">
        <f>IFERROR(__xludf.DUMMYFUNCTION("""COMPUTED_VALUE"""),1.049923109426238)</f>
        <v>1.049923109</v>
      </c>
      <c r="AQ36" s="30">
        <f>IFERROR(__xludf.DUMMYFUNCTION("""COMPUTED_VALUE"""),0.9559070680188448)</f>
        <v>0.955907068</v>
      </c>
      <c r="AR36" s="30">
        <f>IFERROR(__xludf.DUMMYFUNCTION("""COMPUTED_VALUE"""),1.2333188743176864)</f>
        <v>1.233318874</v>
      </c>
      <c r="AS36" s="30">
        <f>IFERROR(__xludf.DUMMYFUNCTION("""COMPUTED_VALUE"""),113.0)</f>
        <v>113</v>
      </c>
      <c r="AT36" s="30">
        <f>IFERROR(__xludf.DUMMYFUNCTION("""COMPUTED_VALUE"""),0.5246950330497077)</f>
        <v>0.524695033</v>
      </c>
      <c r="AU36" s="30">
        <f>IFERROR(__xludf.DUMMYFUNCTION("""COMPUTED_VALUE"""),3.2089182165255967)</f>
        <v>3.208918217</v>
      </c>
      <c r="AV36" s="32">
        <f>IFERROR(__xludf.DUMMYFUNCTION("""COMPUTED_VALUE"""),74.50321935515302)</f>
        <v>74.50321936</v>
      </c>
      <c r="AW36" s="32">
        <f>IFERROR(__xludf.DUMMYFUNCTION("""COMPUTED_VALUE"""),6.115786068925066)</f>
        <v>6.115786069</v>
      </c>
      <c r="AX36" s="32">
        <f>IFERROR(__xludf.DUMMYFUNCTION("""COMPUTED_VALUE"""),71.12399761922553)</f>
        <v>71.12399762</v>
      </c>
      <c r="AY36" s="32">
        <f>IFERROR(__xludf.DUMMYFUNCTION("""COMPUTED_VALUE"""),5.023444089293811)</f>
        <v>5.023444089</v>
      </c>
      <c r="AZ36" s="30">
        <f>IFERROR(__xludf.DUMMYFUNCTION("""COMPUTED_VALUE"""),1.0923419796312546)</f>
        <v>1.09234198</v>
      </c>
      <c r="BA36" s="30">
        <f>IFERROR(__xludf.DUMMYFUNCTION("""COMPUTED_VALUE"""),2.0)</f>
        <v>2</v>
      </c>
    </row>
    <row r="37">
      <c r="A37" s="30" t="str">
        <f>IFERROR(__xludf.DUMMYFUNCTION("""COMPUTED_VALUE"""),"Premier")</f>
        <v>Premier</v>
      </c>
      <c r="B37" s="71" t="str">
        <f>IFERROR(__xludf.DUMMYFUNCTION("""COMPUTED_VALUE"""),"RSC007962")</f>
        <v>RSC007962</v>
      </c>
      <c r="C37" s="30" t="str">
        <f>IFERROR(__xludf.DUMMYFUNCTION("""COMPUTED_VALUE"""),"Kamikazi")</f>
        <v>Kamikazi</v>
      </c>
      <c r="D37" s="30" t="str">
        <f>IFERROR(__xludf.DUMMYFUNCTION("""COMPUTED_VALUE"""),"Feta Forgers")</f>
        <v>Feta Forgers</v>
      </c>
      <c r="E37" s="30">
        <f>IFERROR(__xludf.DUMMYFUNCTION("""COMPUTED_VALUE"""),40.0)</f>
        <v>40</v>
      </c>
      <c r="F37" s="30">
        <f>IFERROR(__xludf.DUMMYFUNCTION("""COMPUTED_VALUE"""),16.0)</f>
        <v>16</v>
      </c>
      <c r="G37" s="30">
        <f>IFERROR(__xludf.DUMMYFUNCTION("""COMPUTED_VALUE"""),24.0)</f>
        <v>24</v>
      </c>
      <c r="H37" s="42">
        <f>IFERROR(__xludf.DUMMYFUNCTION("""COMPUTED_VALUE"""),0.4)</f>
        <v>0.4</v>
      </c>
      <c r="I37" s="42">
        <f>IFERROR(__xludf.DUMMYFUNCTION("""COMPUTED_VALUE"""),0.3211009174311926)</f>
        <v>0.3211009174</v>
      </c>
      <c r="J37" s="30">
        <f>IFERROR(__xludf.DUMMYFUNCTION("""COMPUTED_VALUE"""),360.075)</f>
        <v>360.075</v>
      </c>
      <c r="K37" s="30">
        <f>IFERROR(__xludf.DUMMYFUNCTION("""COMPUTED_VALUE"""),0.875)</f>
        <v>0.875</v>
      </c>
      <c r="L37" s="30">
        <f>IFERROR(__xludf.DUMMYFUNCTION("""COMPUTED_VALUE"""),0.325)</f>
        <v>0.325</v>
      </c>
      <c r="M37" s="30">
        <f>IFERROR(__xludf.DUMMYFUNCTION("""COMPUTED_VALUE"""),1.525)</f>
        <v>1.525</v>
      </c>
      <c r="N37" s="30">
        <f>IFERROR(__xludf.DUMMYFUNCTION("""COMPUTED_VALUE"""),2.725)</f>
        <v>2.725</v>
      </c>
      <c r="O37" s="30">
        <f>IFERROR(__xludf.DUMMYFUNCTION("""COMPUTED_VALUE"""),400.35)</f>
        <v>400.35</v>
      </c>
      <c r="P37" s="30">
        <f>IFERROR(__xludf.DUMMYFUNCTION("""COMPUTED_VALUE"""),0.9916666666666668)</f>
        <v>0.9916666667</v>
      </c>
      <c r="Q37" s="30">
        <f>IFERROR(__xludf.DUMMYFUNCTION("""COMPUTED_VALUE"""),0.8333333333333334)</f>
        <v>0.8333333333</v>
      </c>
      <c r="R37" s="30">
        <f>IFERROR(__xludf.DUMMYFUNCTION("""COMPUTED_VALUE"""),1.4499999999999997)</f>
        <v>1.45</v>
      </c>
      <c r="S37" s="30">
        <f>IFERROR(__xludf.DUMMYFUNCTION("""COMPUTED_VALUE"""),2.9416666666666673)</f>
        <v>2.941666667</v>
      </c>
      <c r="T37" s="30">
        <f>IFERROR(__xludf.DUMMYFUNCTION("""COMPUTED_VALUE"""),377.2933232952389)</f>
        <v>377.2933233</v>
      </c>
      <c r="U37" s="30">
        <f>IFERROR(__xludf.DUMMYFUNCTION("""COMPUTED_VALUE"""),0.9067338066047658)</f>
        <v>0.9067338066</v>
      </c>
      <c r="V37" s="30">
        <f>IFERROR(__xludf.DUMMYFUNCTION("""COMPUTED_VALUE"""),0.7079838132528613)</f>
        <v>0.7079838133</v>
      </c>
      <c r="W37" s="30">
        <f>IFERROR(__xludf.DUMMYFUNCTION("""COMPUTED_VALUE"""),1.3126010042765728)</f>
        <v>1.312601004</v>
      </c>
      <c r="X37" s="30">
        <f>IFERROR(__xludf.DUMMYFUNCTION("""COMPUTED_VALUE"""),2.786869114876593)</f>
        <v>2.786869115</v>
      </c>
      <c r="Y37" s="30">
        <f>IFERROR(__xludf.DUMMYFUNCTION("""COMPUTED_VALUE"""),357.82441512616765)</f>
        <v>357.8244151</v>
      </c>
      <c r="Z37" s="30">
        <f>IFERROR(__xludf.DUMMYFUNCTION("""COMPUTED_VALUE"""),0.749096649064236)</f>
        <v>0.7490966491</v>
      </c>
      <c r="AA37" s="30">
        <f>IFERROR(__xludf.DUMMYFUNCTION("""COMPUTED_VALUE"""),0.5804854500178468)</f>
        <v>0.58048545</v>
      </c>
      <c r="AB37" s="30">
        <f>IFERROR(__xludf.DUMMYFUNCTION("""COMPUTED_VALUE"""),1.4226229347937094)</f>
        <v>1.422622935</v>
      </c>
      <c r="AC37" s="30">
        <f>IFERROR(__xludf.DUMMYFUNCTION("""COMPUTED_VALUE"""),2.4767935487424477)</f>
        <v>2.476793549</v>
      </c>
      <c r="AD37" s="30">
        <f>IFERROR(__xludf.DUMMYFUNCTION("""COMPUTED_VALUE"""),1.0062896347445682)</f>
        <v>1.006289635</v>
      </c>
      <c r="AE37" s="30">
        <f>IFERROR(__xludf.DUMMYFUNCTION("""COMPUTED_VALUE"""),1.1680735738079209)</f>
        <v>1.168073574</v>
      </c>
      <c r="AF37" s="30">
        <f>IFERROR(__xludf.DUMMYFUNCTION("""COMPUTED_VALUE"""),0.559876220825187)</f>
        <v>0.5598762208</v>
      </c>
      <c r="AG37" s="30">
        <f>IFERROR(__xludf.DUMMYFUNCTION("""COMPUTED_VALUE"""),1.0719635981554985)</f>
        <v>1.071963598</v>
      </c>
      <c r="AH37" s="30">
        <f>IFERROR(__xludf.DUMMYFUNCTION("""COMPUTED_VALUE"""),1.100212814016564)</f>
        <v>1.100212814</v>
      </c>
      <c r="AI37" s="30">
        <f>IFERROR(__xludf.DUMMYFUNCTION("""COMPUTED_VALUE"""),1.061110746682148)</f>
        <v>1.061110747</v>
      </c>
      <c r="AJ37" s="30">
        <f>IFERROR(__xludf.DUMMYFUNCTION("""COMPUTED_VALUE"""),1.0936690122759725)</f>
        <v>1.093669012</v>
      </c>
      <c r="AK37" s="30">
        <f>IFERROR(__xludf.DUMMYFUNCTION("""COMPUTED_VALUE"""),1.1770513926081847)</f>
        <v>1.177051393</v>
      </c>
      <c r="AL37" s="30">
        <f>IFERROR(__xludf.DUMMYFUNCTION("""COMPUTED_VALUE"""),1.1046768936453413)</f>
        <v>1.104676894</v>
      </c>
      <c r="AM37" s="30">
        <f>IFERROR(__xludf.DUMMYFUNCTION("""COMPUTED_VALUE"""),1.0555453253845863)</f>
        <v>1.055545325</v>
      </c>
      <c r="AN37" s="30">
        <f>IFERROR(__xludf.DUMMYFUNCTION("""COMPUTED_VALUE"""),0.9867237433111249)</f>
        <v>0.9867237433</v>
      </c>
      <c r="AO37" s="30">
        <f>IFERROR(__xludf.DUMMYFUNCTION("""COMPUTED_VALUE"""),1.1050780918976155)</f>
        <v>1.105078092</v>
      </c>
      <c r="AP37" s="30">
        <f>IFERROR(__xludf.DUMMYFUNCTION("""COMPUTED_VALUE"""),0.5459600169016438)</f>
        <v>0.5459600169</v>
      </c>
      <c r="AQ37" s="30">
        <f>IFERROR(__xludf.DUMMYFUNCTION("""COMPUTED_VALUE"""),1.060187839075446)</f>
        <v>1.060187839</v>
      </c>
      <c r="AR37" s="30">
        <f>IFERROR(__xludf.DUMMYFUNCTION("""COMPUTED_VALUE"""),1.0275038774570278)</f>
        <v>1.027503877</v>
      </c>
      <c r="AS37" s="30">
        <f>IFERROR(__xludf.DUMMYFUNCTION("""COMPUTED_VALUE"""),86.0)</f>
        <v>86</v>
      </c>
      <c r="AT37" s="30">
        <f>IFERROR(__xludf.DUMMYFUNCTION("""COMPUTED_VALUE"""),0.3730584295332828)</f>
        <v>0.3730584295</v>
      </c>
      <c r="AU37" s="30">
        <f>IFERROR(__xludf.DUMMYFUNCTION("""COMPUTED_VALUE"""),2.1715486278901963)</f>
        <v>2.171548628</v>
      </c>
      <c r="AV37" s="32">
        <f>IFERROR(__xludf.DUMMYFUNCTION("""COMPUTED_VALUE"""),43.15399342206386)</f>
        <v>43.15399342</v>
      </c>
      <c r="AW37" s="32">
        <f>IFERROR(__xludf.DUMMYFUNCTION("""COMPUTED_VALUE"""),-2.5503458015534712)</f>
        <v>-2.550345802</v>
      </c>
      <c r="AX37" s="32">
        <f>IFERROR(__xludf.DUMMYFUNCTION("""COMPUTED_VALUE"""),35.22192805504374)</f>
        <v>35.22192806</v>
      </c>
      <c r="AY37" s="32">
        <f>IFERROR(__xludf.DUMMYFUNCTION("""COMPUTED_VALUE"""),-3.6072557579463425)</f>
        <v>-3.607255758</v>
      </c>
      <c r="AZ37" s="30">
        <f>IFERROR(__xludf.DUMMYFUNCTION("""COMPUTED_VALUE"""),1.0569099563928712)</f>
        <v>1.056909956</v>
      </c>
      <c r="BA37" s="30">
        <f>IFERROR(__xludf.DUMMYFUNCTION("""COMPUTED_VALUE"""),2.0)</f>
        <v>2</v>
      </c>
    </row>
    <row r="38">
      <c r="A38" s="30" t="str">
        <f>IFERROR(__xludf.DUMMYFUNCTION("""COMPUTED_VALUE"""),"Premier")</f>
        <v>Premier</v>
      </c>
      <c r="B38" s="71" t="str">
        <f>IFERROR(__xludf.DUMMYFUNCTION("""COMPUTED_VALUE"""),"RSC006029")</f>
        <v>RSC006029</v>
      </c>
      <c r="C38" s="30" t="str">
        <f>IFERROR(__xludf.DUMMYFUNCTION("""COMPUTED_VALUE"""),"bman.")</f>
        <v>bman.</v>
      </c>
      <c r="D38" s="30"/>
      <c r="E38" s="30">
        <f>IFERROR(__xludf.DUMMYFUNCTION("""COMPUTED_VALUE"""),12.0)</f>
        <v>12</v>
      </c>
      <c r="F38" s="30">
        <f>IFERROR(__xludf.DUMMYFUNCTION("""COMPUTED_VALUE"""),6.0)</f>
        <v>6</v>
      </c>
      <c r="G38" s="30">
        <f>IFERROR(__xludf.DUMMYFUNCTION("""COMPUTED_VALUE"""),6.0)</f>
        <v>6</v>
      </c>
      <c r="H38" s="42">
        <f>IFERROR(__xludf.DUMMYFUNCTION("""COMPUTED_VALUE"""),0.5)</f>
        <v>0.5</v>
      </c>
      <c r="I38" s="42">
        <f>IFERROR(__xludf.DUMMYFUNCTION("""COMPUTED_VALUE"""),0.29268292682926833)</f>
        <v>0.2926829268</v>
      </c>
      <c r="J38" s="30">
        <f>IFERROR(__xludf.DUMMYFUNCTION("""COMPUTED_VALUE"""),434.1666666666667)</f>
        <v>434.1666667</v>
      </c>
      <c r="K38" s="30">
        <f>IFERROR(__xludf.DUMMYFUNCTION("""COMPUTED_VALUE"""),1.0)</f>
        <v>1</v>
      </c>
      <c r="L38" s="30">
        <f>IFERROR(__xludf.DUMMYFUNCTION("""COMPUTED_VALUE"""),0.5833333333333334)</f>
        <v>0.5833333333</v>
      </c>
      <c r="M38" s="30">
        <f>IFERROR(__xludf.DUMMYFUNCTION("""COMPUTED_VALUE"""),1.5)</f>
        <v>1.5</v>
      </c>
      <c r="N38" s="30">
        <f>IFERROR(__xludf.DUMMYFUNCTION("""COMPUTED_VALUE"""),3.4166666666666665)</f>
        <v>3.416666667</v>
      </c>
      <c r="O38" s="30">
        <f>IFERROR(__xludf.DUMMYFUNCTION("""COMPUTED_VALUE"""),399.1111111111111)</f>
        <v>399.1111111</v>
      </c>
      <c r="P38" s="30">
        <f>IFERROR(__xludf.DUMMYFUNCTION("""COMPUTED_VALUE"""),0.861111111111111)</f>
        <v>0.8611111111</v>
      </c>
      <c r="Q38" s="30">
        <f>IFERROR(__xludf.DUMMYFUNCTION("""COMPUTED_VALUE"""),0.5833333333333334)</f>
        <v>0.5833333333</v>
      </c>
      <c r="R38" s="30">
        <f>IFERROR(__xludf.DUMMYFUNCTION("""COMPUTED_VALUE"""),1.611111111111111)</f>
        <v>1.611111111</v>
      </c>
      <c r="S38" s="30">
        <f>IFERROR(__xludf.DUMMYFUNCTION("""COMPUTED_VALUE"""),3.0833333333333335)</f>
        <v>3.083333333</v>
      </c>
      <c r="T38" s="30">
        <f>IFERROR(__xludf.DUMMYFUNCTION("""COMPUTED_VALUE"""),362.2634249644202)</f>
        <v>362.263425</v>
      </c>
      <c r="U38" s="30">
        <f>IFERROR(__xludf.DUMMYFUNCTION("""COMPUTED_VALUE"""),0.7539208375658845)</f>
        <v>0.7539208376</v>
      </c>
      <c r="V38" s="30">
        <f>IFERROR(__xludf.DUMMYFUNCTION("""COMPUTED_VALUE"""),0.5570721587289117)</f>
        <v>0.5570721587</v>
      </c>
      <c r="W38" s="30">
        <f>IFERROR(__xludf.DUMMYFUNCTION("""COMPUTED_VALUE"""),1.4838230510997994)</f>
        <v>1.483823051</v>
      </c>
      <c r="X38" s="30">
        <f>IFERROR(__xludf.DUMMYFUNCTION("""COMPUTED_VALUE"""),2.629145864303723)</f>
        <v>2.629145864</v>
      </c>
      <c r="Y38" s="30">
        <f>IFERROR(__xludf.DUMMYFUNCTION("""COMPUTED_VALUE"""),384.8547619813339)</f>
        <v>384.854762</v>
      </c>
      <c r="Z38" s="30">
        <f>IFERROR(__xludf.DUMMYFUNCTION("""COMPUTED_VALUE"""),0.8995753907393752)</f>
        <v>0.8995753907</v>
      </c>
      <c r="AA38" s="30">
        <f>IFERROR(__xludf.DUMMYFUNCTION("""COMPUTED_VALUE"""),0.7042632927232181)</f>
        <v>0.7042632927</v>
      </c>
      <c r="AB38" s="30">
        <f>IFERROR(__xludf.DUMMYFUNCTION("""COMPUTED_VALUE"""),1.4319825826447756)</f>
        <v>1.431982583</v>
      </c>
      <c r="AC38" s="30">
        <f>IFERROR(__xludf.DUMMYFUNCTION("""COMPUTED_VALUE"""),2.8628999387130634)</f>
        <v>2.862899939</v>
      </c>
      <c r="AD38" s="30">
        <f>IFERROR(__xludf.DUMMYFUNCTION("""COMPUTED_VALUE"""),1.1281312057345012)</f>
        <v>1.128131206</v>
      </c>
      <c r="AE38" s="30">
        <f>IFERROR(__xludf.DUMMYFUNCTION("""COMPUTED_VALUE"""),1.111635567507115)</f>
        <v>1.111635568</v>
      </c>
      <c r="AF38" s="30">
        <f>IFERROR(__xludf.DUMMYFUNCTION("""COMPUTED_VALUE"""),0.8282887087267072)</f>
        <v>0.8282887087</v>
      </c>
      <c r="AG38" s="30">
        <f>IFERROR(__xludf.DUMMYFUNCTION("""COMPUTED_VALUE"""),1.0474987742026867)</f>
        <v>1.047498774</v>
      </c>
      <c r="AH38" s="30">
        <f>IFERROR(__xludf.DUMMYFUNCTION("""COMPUTED_VALUE"""),1.1934286003032761)</f>
        <v>1.1934286</v>
      </c>
      <c r="AI38" s="30">
        <f>IFERROR(__xludf.DUMMYFUNCTION("""COMPUTED_VALUE"""),1.1017151708050843)</f>
        <v>1.101715171</v>
      </c>
      <c r="AJ38" s="30">
        <f>IFERROR(__xludf.DUMMYFUNCTION("""COMPUTED_VALUE"""),1.1421770936737894)</f>
        <v>1.142177094</v>
      </c>
      <c r="AK38" s="30">
        <f>IFERROR(__xludf.DUMMYFUNCTION("""COMPUTED_VALUE"""),1.0471414235892573)</f>
        <v>1.047141424</v>
      </c>
      <c r="AL38" s="30">
        <f>IFERROR(__xludf.DUMMYFUNCTION("""COMPUTED_VALUE"""),1.085783854022868)</f>
        <v>1.085783854</v>
      </c>
      <c r="AM38" s="30">
        <f>IFERROR(__xludf.DUMMYFUNCTION("""COMPUTED_VALUE"""),1.1727509588555647)</f>
        <v>1.172750959</v>
      </c>
      <c r="AN38" s="30">
        <f>IFERROR(__xludf.DUMMYFUNCTION("""COMPUTED_VALUE"""),1.1897592405866744)</f>
        <v>1.189759241</v>
      </c>
      <c r="AO38" s="30">
        <f>IFERROR(__xludf.DUMMYFUNCTION("""COMPUTED_VALUE"""),1.2629463907401322)</f>
        <v>1.262946391</v>
      </c>
      <c r="AP38" s="30">
        <f>IFERROR(__xludf.DUMMYFUNCTION("""COMPUTED_VALUE"""),0.9799282354644888)</f>
        <v>0.9799282355</v>
      </c>
      <c r="AQ38" s="30">
        <f>IFERROR(__xludf.DUMMYFUNCTION("""COMPUTED_VALUE"""),1.0428077105660125)</f>
        <v>1.042807711</v>
      </c>
      <c r="AR38" s="30">
        <f>IFERROR(__xludf.DUMMYFUNCTION("""COMPUTED_VALUE"""),1.2883076139369463)</f>
        <v>1.288307614</v>
      </c>
      <c r="AS38" s="30">
        <f>IFERROR(__xludf.DUMMYFUNCTION("""COMPUTED_VALUE"""),34.0)</f>
        <v>34</v>
      </c>
      <c r="AT38" s="30">
        <f>IFERROR(__xludf.DUMMYFUNCTION("""COMPUTED_VALUE"""),0.5374329717670739)</f>
        <v>0.5374329718</v>
      </c>
      <c r="AU38" s="30">
        <f>IFERROR(__xludf.DUMMYFUNCTION("""COMPUTED_VALUE"""),2.879693945260391)</f>
        <v>2.879693945</v>
      </c>
      <c r="AV38" s="32">
        <f>IFERROR(__xludf.DUMMYFUNCTION("""COMPUTED_VALUE"""),64.554088230029)</f>
        <v>64.55408823</v>
      </c>
      <c r="AW38" s="32">
        <f>IFERROR(__xludf.DUMMYFUNCTION("""COMPUTED_VALUE"""),3.568519357359387)</f>
        <v>3.568519357</v>
      </c>
      <c r="AX38" s="32">
        <f>IFERROR(__xludf.DUMMYFUNCTION("""COMPUTED_VALUE"""),56.68940427643662)</f>
        <v>56.68940428</v>
      </c>
      <c r="AY38" s="32">
        <f>IFERROR(__xludf.DUMMYFUNCTION("""COMPUTED_VALUE"""),2.5347720824515805)</f>
        <v>2.534772082</v>
      </c>
      <c r="AZ38" s="30">
        <f>IFERROR(__xludf.DUMMYFUNCTION("""COMPUTED_VALUE"""),1.0337472749078067)</f>
        <v>1.033747275</v>
      </c>
      <c r="BA38" s="30">
        <f>IFERROR(__xludf.DUMMYFUNCTION("""COMPUTED_VALUE"""),2.0)</f>
        <v>2</v>
      </c>
    </row>
    <row r="39">
      <c r="A39" s="30" t="str">
        <f>IFERROR(__xludf.DUMMYFUNCTION("""COMPUTED_VALUE"""),"Premier")</f>
        <v>Premier</v>
      </c>
      <c r="B39" s="71" t="str">
        <f>IFERROR(__xludf.DUMMYFUNCTION("""COMPUTED_VALUE"""),"RSC007819")</f>
        <v>RSC007819</v>
      </c>
      <c r="C39" s="30" t="str">
        <f>IFERROR(__xludf.DUMMYFUNCTION("""COMPUTED_VALUE"""),"DivineRL_ TTV")</f>
        <v>DivineRL_ TTV</v>
      </c>
      <c r="D39" s="30" t="str">
        <f>IFERROR(__xludf.DUMMYFUNCTION("""COMPUTED_VALUE"""),"Interstellar")</f>
        <v>Interstellar</v>
      </c>
      <c r="E39" s="30">
        <f>IFERROR(__xludf.DUMMYFUNCTION("""COMPUTED_VALUE"""),48.0)</f>
        <v>48</v>
      </c>
      <c r="F39" s="30">
        <f>IFERROR(__xludf.DUMMYFUNCTION("""COMPUTED_VALUE"""),17.0)</f>
        <v>17</v>
      </c>
      <c r="G39" s="30">
        <f>IFERROR(__xludf.DUMMYFUNCTION("""COMPUTED_VALUE"""),31.0)</f>
        <v>31</v>
      </c>
      <c r="H39" s="42">
        <f>IFERROR(__xludf.DUMMYFUNCTION("""COMPUTED_VALUE"""),0.3541666666666667)</f>
        <v>0.3541666667</v>
      </c>
      <c r="I39" s="42">
        <f>IFERROR(__xludf.DUMMYFUNCTION("""COMPUTED_VALUE"""),0.2884615384615385)</f>
        <v>0.2884615385</v>
      </c>
      <c r="J39" s="30">
        <f>IFERROR(__xludf.DUMMYFUNCTION("""COMPUTED_VALUE"""),369.3333333333333)</f>
        <v>369.3333333</v>
      </c>
      <c r="K39" s="30">
        <f>IFERROR(__xludf.DUMMYFUNCTION("""COMPUTED_VALUE"""),0.625)</f>
        <v>0.625</v>
      </c>
      <c r="L39" s="30">
        <f>IFERROR(__xludf.DUMMYFUNCTION("""COMPUTED_VALUE"""),0.625)</f>
        <v>0.625</v>
      </c>
      <c r="M39" s="30">
        <f>IFERROR(__xludf.DUMMYFUNCTION("""COMPUTED_VALUE"""),1.7083333333333333)</f>
        <v>1.708333333</v>
      </c>
      <c r="N39" s="30">
        <f>IFERROR(__xludf.DUMMYFUNCTION("""COMPUTED_VALUE"""),2.1666666666666665)</f>
        <v>2.166666667</v>
      </c>
      <c r="O39" s="30">
        <f>IFERROR(__xludf.DUMMYFUNCTION("""COMPUTED_VALUE"""),363.6527777777778)</f>
        <v>363.6527778</v>
      </c>
      <c r="P39" s="30">
        <f>IFERROR(__xludf.DUMMYFUNCTION("""COMPUTED_VALUE"""),0.9027777777777776)</f>
        <v>0.9027777778</v>
      </c>
      <c r="Q39" s="30">
        <f>IFERROR(__xludf.DUMMYFUNCTION("""COMPUTED_VALUE"""),0.6875000000000001)</f>
        <v>0.6875</v>
      </c>
      <c r="R39" s="30">
        <f>IFERROR(__xludf.DUMMYFUNCTION("""COMPUTED_VALUE"""),1.152777777777778)</f>
        <v>1.152777778</v>
      </c>
      <c r="S39" s="30">
        <f>IFERROR(__xludf.DUMMYFUNCTION("""COMPUTED_VALUE"""),2.909722222222222)</f>
        <v>2.909722222</v>
      </c>
      <c r="T39" s="30">
        <f>IFERROR(__xludf.DUMMYFUNCTION("""COMPUTED_VALUE"""),372.08181208636296)</f>
        <v>372.0818121</v>
      </c>
      <c r="U39" s="30">
        <f>IFERROR(__xludf.DUMMYFUNCTION("""COMPUTED_VALUE"""),0.8280002068419324)</f>
        <v>0.8280002068</v>
      </c>
      <c r="V39" s="30">
        <f>IFERROR(__xludf.DUMMYFUNCTION("""COMPUTED_VALUE"""),0.6566681102780418)</f>
        <v>0.6566681103</v>
      </c>
      <c r="W39" s="30">
        <f>IFERROR(__xludf.DUMMYFUNCTION("""COMPUTED_VALUE"""),1.4133395674714506)</f>
        <v>1.413339567</v>
      </c>
      <c r="X39" s="30">
        <f>IFERROR(__xludf.DUMMYFUNCTION("""COMPUTED_VALUE"""),2.720265531835583)</f>
        <v>2.720265532</v>
      </c>
      <c r="Y39" s="30">
        <f>IFERROR(__xludf.DUMMYFUNCTION("""COMPUTED_VALUE"""),369.56864498019536)</f>
        <v>369.568645</v>
      </c>
      <c r="Z39" s="30">
        <f>IFERROR(__xludf.DUMMYFUNCTION("""COMPUTED_VALUE"""),0.8112991800586188)</f>
        <v>0.8112991801</v>
      </c>
      <c r="AA39" s="30">
        <f>IFERROR(__xludf.DUMMYFUNCTION("""COMPUTED_VALUE"""),0.6351625496054646)</f>
        <v>0.6351625496</v>
      </c>
      <c r="AB39" s="30">
        <f>IFERROR(__xludf.DUMMYFUNCTION("""COMPUTED_VALUE"""),1.4170291279520122)</f>
        <v>1.417029128</v>
      </c>
      <c r="AC39" s="30">
        <f>IFERROR(__xludf.DUMMYFUNCTION("""COMPUTED_VALUE"""),2.6664264455090314)</f>
        <v>2.666426446</v>
      </c>
      <c r="AD39" s="30">
        <f>IFERROR(__xludf.DUMMYFUNCTION("""COMPUTED_VALUE"""),0.9993632802726685)</f>
        <v>0.9993632803</v>
      </c>
      <c r="AE39" s="30">
        <f>IFERROR(__xludf.DUMMYFUNCTION("""COMPUTED_VALUE"""),0.7703693228863387)</f>
        <v>0.7703693229</v>
      </c>
      <c r="AF39" s="30">
        <f>IFERROR(__xludf.DUMMYFUNCTION("""COMPUTED_VALUE"""),0.9840000805907446)</f>
        <v>0.9840000806</v>
      </c>
      <c r="AG39" s="30">
        <f>IFERROR(__xludf.DUMMYFUNCTION("""COMPUTED_VALUE"""),1.2055739008007083)</f>
        <v>1.205573901</v>
      </c>
      <c r="AH39" s="30">
        <f>IFERROR(__xludf.DUMMYFUNCTION("""COMPUTED_VALUE"""),0.8125731989779457)</f>
        <v>0.812573199</v>
      </c>
      <c r="AI39" s="30">
        <f>IFERROR(__xludf.DUMMYFUNCTION("""COMPUTED_VALUE"""),0.9773462877389215)</f>
        <v>0.9773462877</v>
      </c>
      <c r="AJ39" s="30">
        <f>IFERROR(__xludf.DUMMYFUNCTION("""COMPUTED_VALUE"""),1.0903110534489522)</f>
        <v>1.090311053</v>
      </c>
      <c r="AK39" s="30">
        <f>IFERROR(__xludf.DUMMYFUNCTION("""COMPUTED_VALUE"""),1.0469520131088803)</f>
        <v>1.046952013</v>
      </c>
      <c r="AL39" s="30">
        <f>IFERROR(__xludf.DUMMYFUNCTION("""COMPUTED_VALUE"""),0.8156410563387584)</f>
        <v>0.8156410563</v>
      </c>
      <c r="AM39" s="30">
        <f>IFERROR(__xludf.DUMMYFUNCTION("""COMPUTED_VALUE"""),1.069646395974733)</f>
        <v>1.069646396</v>
      </c>
      <c r="AN39" s="30">
        <f>IFERROR(__xludf.DUMMYFUNCTION("""COMPUTED_VALUE"""),1.0120946169443648)</f>
        <v>1.012094617</v>
      </c>
      <c r="AO39" s="30">
        <f>IFERROR(__xludf.DUMMYFUNCTION("""COMPUTED_VALUE"""),0.7893414942125826)</f>
        <v>0.7893414942</v>
      </c>
      <c r="AP39" s="30">
        <f>IFERROR(__xludf.DUMMYFUNCTION("""COMPUTED_VALUE"""),1.049923109426238)</f>
        <v>1.049923109</v>
      </c>
      <c r="AQ39" s="30">
        <f>IFERROR(__xludf.DUMMYFUNCTION("""COMPUTED_VALUE"""),1.1876421148112921)</f>
        <v>1.187642115</v>
      </c>
      <c r="AR39" s="30">
        <f>IFERROR(__xludf.DUMMYFUNCTION("""COMPUTED_VALUE"""),0.8169755600575755)</f>
        <v>0.8169755601</v>
      </c>
      <c r="AS39" s="30">
        <f>IFERROR(__xludf.DUMMYFUNCTION("""COMPUTED_VALUE"""),101.0)</f>
        <v>101</v>
      </c>
      <c r="AT39" s="30">
        <f>IFERROR(__xludf.DUMMYFUNCTION("""COMPUTED_VALUE"""),0.4022170608005669)</f>
        <v>0.4022170608</v>
      </c>
      <c r="AU39" s="30">
        <f>IFERROR(__xludf.DUMMYFUNCTION("""COMPUTED_VALUE"""),2.020156623246642)</f>
        <v>2.020156623</v>
      </c>
      <c r="AV39" s="32">
        <f>IFERROR(__xludf.DUMMYFUNCTION("""COMPUTED_VALUE"""),38.5789391597954)</f>
        <v>38.57893916</v>
      </c>
      <c r="AW39" s="32">
        <f>IFERROR(__xludf.DUMMYFUNCTION("""COMPUTED_VALUE"""),-3.0874474569027606)</f>
        <v>-3.087447457</v>
      </c>
      <c r="AX39" s="32">
        <f>IFERROR(__xludf.DUMMYFUNCTION("""COMPUTED_VALUE"""),48.59292122226342)</f>
        <v>48.59292122</v>
      </c>
      <c r="AY39" s="32">
        <f>IFERROR(__xludf.DUMMYFUNCTION("""COMPUTED_VALUE"""),-2.0939859611818616)</f>
        <v>-2.093985961</v>
      </c>
      <c r="AZ39" s="30">
        <f>IFERROR(__xludf.DUMMYFUNCTION("""COMPUTED_VALUE"""),0.9934614957208989)</f>
        <v>0.9934614957</v>
      </c>
      <c r="BA39" s="30">
        <f>IFERROR(__xludf.DUMMYFUNCTION("""COMPUTED_VALUE"""),2.0)</f>
        <v>2</v>
      </c>
    </row>
    <row r="40">
      <c r="A40" s="30" t="str">
        <f>IFERROR(__xludf.DUMMYFUNCTION("""COMPUTED_VALUE"""),"Premier")</f>
        <v>Premier</v>
      </c>
      <c r="B40" s="71" t="str">
        <f>IFERROR(__xludf.DUMMYFUNCTION("""COMPUTED_VALUE"""),"RSC006203")</f>
        <v>RSC006203</v>
      </c>
      <c r="C40" s="30" t="str">
        <f>IFERROR(__xludf.DUMMYFUNCTION("""COMPUTED_VALUE"""),"Lonzo Ball")</f>
        <v>Lonzo Ball</v>
      </c>
      <c r="D40" s="30" t="str">
        <f>IFERROR(__xludf.DUMMYFUNCTION("""COMPUTED_VALUE"""),"Capybaras")</f>
        <v>Capybaras</v>
      </c>
      <c r="E40" s="30">
        <f>IFERROR(__xludf.DUMMYFUNCTION("""COMPUTED_VALUE"""),44.0)</f>
        <v>44</v>
      </c>
      <c r="F40" s="30">
        <f>IFERROR(__xludf.DUMMYFUNCTION("""COMPUTED_VALUE"""),21.0)</f>
        <v>21</v>
      </c>
      <c r="G40" s="30">
        <f>IFERROR(__xludf.DUMMYFUNCTION("""COMPUTED_VALUE"""),23.0)</f>
        <v>23</v>
      </c>
      <c r="H40" s="42">
        <f>IFERROR(__xludf.DUMMYFUNCTION("""COMPUTED_VALUE"""),0.4772727272727273)</f>
        <v>0.4772727273</v>
      </c>
      <c r="I40" s="42">
        <f>IFERROR(__xludf.DUMMYFUNCTION("""COMPUTED_VALUE"""),0.31851851851851853)</f>
        <v>0.3185185185</v>
      </c>
      <c r="J40" s="30">
        <f>IFERROR(__xludf.DUMMYFUNCTION("""COMPUTED_VALUE"""),392.04545454545456)</f>
        <v>392.0454545</v>
      </c>
      <c r="K40" s="30">
        <f>IFERROR(__xludf.DUMMYFUNCTION("""COMPUTED_VALUE"""),0.9772727272727273)</f>
        <v>0.9772727273</v>
      </c>
      <c r="L40" s="30">
        <f>IFERROR(__xludf.DUMMYFUNCTION("""COMPUTED_VALUE"""),0.5909090909090909)</f>
        <v>0.5909090909</v>
      </c>
      <c r="M40" s="30">
        <f>IFERROR(__xludf.DUMMYFUNCTION("""COMPUTED_VALUE"""),1.4545454545454546)</f>
        <v>1.454545455</v>
      </c>
      <c r="N40" s="30">
        <f>IFERROR(__xludf.DUMMYFUNCTION("""COMPUTED_VALUE"""),3.0681818181818183)</f>
        <v>3.068181818</v>
      </c>
      <c r="O40" s="30">
        <f>IFERROR(__xludf.DUMMYFUNCTION("""COMPUTED_VALUE"""),378.52272727272725)</f>
        <v>378.5227273</v>
      </c>
      <c r="P40" s="30">
        <f>IFERROR(__xludf.DUMMYFUNCTION("""COMPUTED_VALUE"""),0.8333333333333333)</f>
        <v>0.8333333333</v>
      </c>
      <c r="Q40" s="30">
        <f>IFERROR(__xludf.DUMMYFUNCTION("""COMPUTED_VALUE"""),0.6136363636363636)</f>
        <v>0.6136363636</v>
      </c>
      <c r="R40" s="30">
        <f>IFERROR(__xludf.DUMMYFUNCTION("""COMPUTED_VALUE"""),1.4924242424242422)</f>
        <v>1.492424242</v>
      </c>
      <c r="S40" s="30">
        <f>IFERROR(__xludf.DUMMYFUNCTION("""COMPUTED_VALUE"""),2.6590909090909087)</f>
        <v>2.659090909</v>
      </c>
      <c r="T40" s="30">
        <f>IFERROR(__xludf.DUMMYFUNCTION("""COMPUTED_VALUE"""),373.9831528287857)</f>
        <v>373.9831528</v>
      </c>
      <c r="U40" s="30">
        <f>IFERROR(__xludf.DUMMYFUNCTION("""COMPUTED_VALUE"""),0.8113320172726812)</f>
        <v>0.8113320173</v>
      </c>
      <c r="V40" s="30">
        <f>IFERROR(__xludf.DUMMYFUNCTION("""COMPUTED_VALUE"""),0.634746334777864)</f>
        <v>0.6347463348</v>
      </c>
      <c r="W40" s="30">
        <f>IFERROR(__xludf.DUMMYFUNCTION("""COMPUTED_VALUE"""),1.4713800982484537)</f>
        <v>1.471380098</v>
      </c>
      <c r="X40" s="30">
        <f>IFERROR(__xludf.DUMMYFUNCTION("""COMPUTED_VALUE"""),2.6862924338075906)</f>
        <v>2.686292434</v>
      </c>
      <c r="Y40" s="30">
        <f>IFERROR(__xludf.DUMMYFUNCTION("""COMPUTED_VALUE"""),373.60286167158085)</f>
        <v>373.6028617</v>
      </c>
      <c r="Z40" s="30">
        <f>IFERROR(__xludf.DUMMYFUNCTION("""COMPUTED_VALUE"""),0.8389508672863543)</f>
        <v>0.8389508673</v>
      </c>
      <c r="AA40" s="30">
        <f>IFERROR(__xludf.DUMMYFUNCTION("""COMPUTED_VALUE"""),0.649114253688963)</f>
        <v>0.6491142537</v>
      </c>
      <c r="AB40" s="30">
        <f>IFERROR(__xludf.DUMMYFUNCTION("""COMPUTED_VALUE"""),1.410156355094091)</f>
        <v>1.410156355</v>
      </c>
      <c r="AC40" s="30">
        <f>IFERROR(__xludf.DUMMYFUNCTION("""COMPUTED_VALUE"""),2.7947419507609856)</f>
        <v>2.794741951</v>
      </c>
      <c r="AD40" s="30">
        <f>IFERROR(__xludf.DUMMYFUNCTION("""COMPUTED_VALUE"""),1.0493641638379254)</f>
        <v>1.049364164</v>
      </c>
      <c r="AE40" s="30">
        <f>IFERROR(__xludf.DUMMYFUNCTION("""COMPUTED_VALUE"""),1.164874804210865)</f>
        <v>1.164874804</v>
      </c>
      <c r="AF40" s="30">
        <f>IFERROR(__xludf.DUMMYFUNCTION("""COMPUTED_VALUE"""),0.9103314055282441)</f>
        <v>0.9103314055</v>
      </c>
      <c r="AG40" s="30">
        <f>IFERROR(__xludf.DUMMYFUNCTION("""COMPUTED_VALUE"""),1.03147814020127)</f>
        <v>1.03147814</v>
      </c>
      <c r="AH40" s="30">
        <f>IFERROR(__xludf.DUMMYFUNCTION("""COMPUTED_VALUE"""),1.0978408283263423)</f>
        <v>1.097840828</v>
      </c>
      <c r="AI40" s="30">
        <f>IFERROR(__xludf.DUMMYFUNCTION("""COMPUTED_VALUE"""),1.0121384463701224)</f>
        <v>1.012138446</v>
      </c>
      <c r="AJ40" s="30">
        <f>IFERROR(__xludf.DUMMYFUNCTION("""COMPUTED_VALUE"""),1.0271175247522095)</f>
        <v>1.027117525</v>
      </c>
      <c r="AK40" s="30">
        <f>IFERROR(__xludf.DUMMYFUNCTION("""COMPUTED_VALUE"""),0.9667426655580642)</f>
        <v>0.9667426656</v>
      </c>
      <c r="AL40" s="30">
        <f>IFERROR(__xludf.DUMMYFUNCTION("""COMPUTED_VALUE"""),1.0143023167166931)</f>
        <v>1.014302317</v>
      </c>
      <c r="AM40" s="30">
        <f>IFERROR(__xludf.DUMMYFUNCTION("""COMPUTED_VALUE"""),0.9898739525249207)</f>
        <v>0.9898739525</v>
      </c>
      <c r="AN40" s="30">
        <f>IFERROR(__xludf.DUMMYFUNCTION("""COMPUTED_VALUE"""),1.0743332873906892)</f>
        <v>1.074333287</v>
      </c>
      <c r="AO40" s="30">
        <f>IFERROR(__xludf.DUMMYFUNCTION("""COMPUTED_VALUE"""),1.2342430636778565)</f>
        <v>1.234243064</v>
      </c>
      <c r="AP40" s="30">
        <f>IFERROR(__xludf.DUMMYFUNCTION("""COMPUTED_VALUE"""),0.9926545761848069)</f>
        <v>0.9926545762</v>
      </c>
      <c r="AQ40" s="30">
        <f>IFERROR(__xludf.DUMMYFUNCTION("""COMPUTED_VALUE"""),1.011207476912497)</f>
        <v>1.011207477</v>
      </c>
      <c r="AR40" s="30">
        <f>IFERROR(__xludf.DUMMYFUNCTION("""COMPUTED_VALUE"""),1.1569059504311823)</f>
        <v>1.15690595</v>
      </c>
      <c r="AS40" s="30">
        <f>IFERROR(__xludf.DUMMYFUNCTION("""COMPUTED_VALUE"""),108.0)</f>
        <v>108</v>
      </c>
      <c r="AT40" s="30">
        <f>IFERROR(__xludf.DUMMYFUNCTION("""COMPUTED_VALUE"""),0.492739086623247)</f>
        <v>0.4927390866</v>
      </c>
      <c r="AU40" s="30">
        <f>IFERROR(__xludf.DUMMYFUNCTION("""COMPUTED_VALUE"""),2.883278276955022)</f>
        <v>2.883278277</v>
      </c>
      <c r="AV40" s="32">
        <f>IFERROR(__xludf.DUMMYFUNCTION("""COMPUTED_VALUE"""),64.66240644693559)</f>
        <v>64.66240645</v>
      </c>
      <c r="AW40" s="32">
        <f>IFERROR(__xludf.DUMMYFUNCTION("""COMPUTED_VALUE"""),3.587173215834622)</f>
        <v>3.587173216</v>
      </c>
      <c r="AX40" s="32">
        <f>IFERROR(__xludf.DUMMYFUNCTION("""COMPUTED_VALUE"""),58.69814754197688)</f>
        <v>58.69814754</v>
      </c>
      <c r="AY40" s="32">
        <f>IFERROR(__xludf.DUMMYFUNCTION("""COMPUTED_VALUE"""),2.7476459006582665)</f>
        <v>2.747645901</v>
      </c>
      <c r="AZ40" s="30">
        <f>IFERROR(__xludf.DUMMYFUNCTION("""COMPUTED_VALUE"""),0.8395273151763556)</f>
        <v>0.8395273152</v>
      </c>
      <c r="BA40" s="30">
        <f>IFERROR(__xludf.DUMMYFUNCTION("""COMPUTED_VALUE"""),2.0)</f>
        <v>2</v>
      </c>
    </row>
    <row r="41">
      <c r="A41" s="30" t="str">
        <f>IFERROR(__xludf.DUMMYFUNCTION("""COMPUTED_VALUE"""),"Premier")</f>
        <v>Premier</v>
      </c>
      <c r="B41" s="71" t="str">
        <f>IFERROR(__xludf.DUMMYFUNCTION("""COMPUTED_VALUE"""),"RSC001214")</f>
        <v>RSC001214</v>
      </c>
      <c r="C41" s="30" t="str">
        <f>IFERROR(__xludf.DUMMYFUNCTION("""COMPUTED_VALUE"""),"Corrupt")</f>
        <v>Corrupt</v>
      </c>
      <c r="D41" s="30" t="str">
        <f>IFERROR(__xludf.DUMMYFUNCTION("""COMPUTED_VALUE"""),"Interstellar")</f>
        <v>Interstellar</v>
      </c>
      <c r="E41" s="30">
        <f>IFERROR(__xludf.DUMMYFUNCTION("""COMPUTED_VALUE"""),23.0)</f>
        <v>23</v>
      </c>
      <c r="F41" s="30">
        <f>IFERROR(__xludf.DUMMYFUNCTION("""COMPUTED_VALUE"""),12.0)</f>
        <v>12</v>
      </c>
      <c r="G41" s="30">
        <f>IFERROR(__xludf.DUMMYFUNCTION("""COMPUTED_VALUE"""),11.0)</f>
        <v>11</v>
      </c>
      <c r="H41" s="42">
        <f>IFERROR(__xludf.DUMMYFUNCTION("""COMPUTED_VALUE"""),0.5217391304347826)</f>
        <v>0.5217391304</v>
      </c>
      <c r="I41" s="42">
        <f>IFERROR(__xludf.DUMMYFUNCTION("""COMPUTED_VALUE"""),0.5)</f>
        <v>0.5</v>
      </c>
      <c r="J41" s="30">
        <f>IFERROR(__xludf.DUMMYFUNCTION("""COMPUTED_VALUE"""),363.0869565217391)</f>
        <v>363.0869565</v>
      </c>
      <c r="K41" s="30">
        <f>IFERROR(__xludf.DUMMYFUNCTION("""COMPUTED_VALUE"""),0.9130434782608695)</f>
        <v>0.9130434783</v>
      </c>
      <c r="L41" s="30">
        <f>IFERROR(__xludf.DUMMYFUNCTION("""COMPUTED_VALUE"""),0.5217391304347826)</f>
        <v>0.5217391304</v>
      </c>
      <c r="M41" s="30">
        <f>IFERROR(__xludf.DUMMYFUNCTION("""COMPUTED_VALUE"""),1.608695652173913)</f>
        <v>1.608695652</v>
      </c>
      <c r="N41" s="30">
        <f>IFERROR(__xludf.DUMMYFUNCTION("""COMPUTED_VALUE"""),1.826086956521739)</f>
        <v>1.826086957</v>
      </c>
      <c r="O41" s="30">
        <f>IFERROR(__xludf.DUMMYFUNCTION("""COMPUTED_VALUE"""),343.27536231884056)</f>
        <v>343.2753623</v>
      </c>
      <c r="P41" s="30">
        <f>IFERROR(__xludf.DUMMYFUNCTION("""COMPUTED_VALUE"""),0.782608695652174)</f>
        <v>0.7826086957</v>
      </c>
      <c r="Q41" s="30">
        <f>IFERROR(__xludf.DUMMYFUNCTION("""COMPUTED_VALUE"""),0.6231884057971014)</f>
        <v>0.6231884058</v>
      </c>
      <c r="R41" s="30">
        <f>IFERROR(__xludf.DUMMYFUNCTION("""COMPUTED_VALUE"""),1.0869565217391304)</f>
        <v>1.086956522</v>
      </c>
      <c r="S41" s="30">
        <f>IFERROR(__xludf.DUMMYFUNCTION("""COMPUTED_VALUE"""),3.0)</f>
        <v>3</v>
      </c>
      <c r="T41" s="30">
        <f>IFERROR(__xludf.DUMMYFUNCTION("""COMPUTED_VALUE"""),368.91888908023975)</f>
        <v>368.9188891</v>
      </c>
      <c r="U41" s="30">
        <f>IFERROR(__xludf.DUMMYFUNCTION("""COMPUTED_VALUE"""),0.8410218382921449)</f>
        <v>0.8410218383</v>
      </c>
      <c r="V41" s="30">
        <f>IFERROR(__xludf.DUMMYFUNCTION("""COMPUTED_VALUE"""),0.6332231130229128)</f>
        <v>0.633223113</v>
      </c>
      <c r="W41" s="30">
        <f>IFERROR(__xludf.DUMMYFUNCTION("""COMPUTED_VALUE"""),1.341710316923993)</f>
        <v>1.341710317</v>
      </c>
      <c r="X41" s="30">
        <f>IFERROR(__xludf.DUMMYFUNCTION("""COMPUTED_VALUE"""),2.6875091760175858)</f>
        <v>2.687509176</v>
      </c>
      <c r="Y41" s="30">
        <f>IFERROR(__xludf.DUMMYFUNCTION("""COMPUTED_VALUE"""),360.2831975459161)</f>
        <v>360.2831975</v>
      </c>
      <c r="Z41" s="30">
        <f>IFERROR(__xludf.DUMMYFUNCTION("""COMPUTED_VALUE"""),0.7981066195662732)</f>
        <v>0.7981066196</v>
      </c>
      <c r="AA41" s="30">
        <f>IFERROR(__xludf.DUMMYFUNCTION("""COMPUTED_VALUE"""),0.6147277694531885)</f>
        <v>0.6147277695</v>
      </c>
      <c r="AB41" s="30">
        <f>IFERROR(__xludf.DUMMYFUNCTION("""COMPUTED_VALUE"""),1.3514399820830694)</f>
        <v>1.351439982</v>
      </c>
      <c r="AC41" s="30">
        <f>IFERROR(__xludf.DUMMYFUNCTION("""COMPUTED_VALUE"""),2.6303539332767754)</f>
        <v>2.630353933</v>
      </c>
      <c r="AD41" s="30">
        <f>IFERROR(__xludf.DUMMYFUNCTION("""COMPUTED_VALUE"""),1.0077820975136254)</f>
        <v>1.007782098</v>
      </c>
      <c r="AE41" s="30">
        <f>IFERROR(__xludf.DUMMYFUNCTION("""COMPUTED_VALUE"""),1.1440119100340982)</f>
        <v>1.14401191</v>
      </c>
      <c r="AF41" s="30">
        <f>IFERROR(__xludf.DUMMYFUNCTION("""COMPUTED_VALUE"""),0.8487320019703665)</f>
        <v>0.848732002</v>
      </c>
      <c r="AG41" s="30">
        <f>IFERROR(__xludf.DUMMYFUNCTION("""COMPUTED_VALUE"""),1.1903567109908333)</f>
        <v>1.190356711</v>
      </c>
      <c r="AH41" s="30">
        <f>IFERROR(__xludf.DUMMYFUNCTION("""COMPUTED_VALUE"""),0.6942362141534629)</f>
        <v>0.6942362142</v>
      </c>
      <c r="AI41" s="30">
        <f>IFERROR(__xludf.DUMMYFUNCTION("""COMPUTED_VALUE"""),0.9304900683580294)</f>
        <v>0.9304900684</v>
      </c>
      <c r="AJ41" s="30">
        <f>IFERROR(__xludf.DUMMYFUNCTION("""COMPUTED_VALUE"""),0.9305450346466746)</f>
        <v>0.9305450346</v>
      </c>
      <c r="AK41" s="30">
        <f>IFERROR(__xludf.DUMMYFUNCTION("""COMPUTED_VALUE"""),0.9841529675410817)</f>
        <v>0.9841529675</v>
      </c>
      <c r="AL41" s="30">
        <f>IFERROR(__xludf.DUMMYFUNCTION("""COMPUTED_VALUE"""),0.8101275722699133)</f>
        <v>0.8101275723</v>
      </c>
      <c r="AM41" s="30">
        <f>IFERROR(__xludf.DUMMYFUNCTION("""COMPUTED_VALUE"""),1.1162752584329667)</f>
        <v>1.116275258</v>
      </c>
      <c r="AN41" s="30">
        <f>IFERROR(__xludf.DUMMYFUNCTION("""COMPUTED_VALUE"""),0.9949774932627206)</f>
        <v>0.9949774933</v>
      </c>
      <c r="AO41" s="30">
        <f>IFERROR(__xludf.DUMMYFUNCTION("""COMPUTED_VALUE"""),1.1531249654583815)</f>
        <v>1.153124965</v>
      </c>
      <c r="AP41" s="30">
        <f>IFERROR(__xludf.DUMMYFUNCTION("""COMPUTED_VALUE"""),0.8764575522166856)</f>
        <v>0.8764575522</v>
      </c>
      <c r="AQ41" s="30">
        <f>IFERROR(__xludf.DUMMYFUNCTION("""COMPUTED_VALUE"""),1.1183734866939845)</f>
        <v>1.118373487</v>
      </c>
      <c r="AR41" s="30">
        <f>IFERROR(__xludf.DUMMYFUNCTION("""COMPUTED_VALUE"""),0.6885546526237761)</f>
        <v>0.6885546526</v>
      </c>
      <c r="AS41" s="30">
        <f>IFERROR(__xludf.DUMMYFUNCTION("""COMPUTED_VALUE"""),54.0)</f>
        <v>54</v>
      </c>
      <c r="AT41" s="30">
        <f>IFERROR(__xludf.DUMMYFUNCTION("""COMPUTED_VALUE"""),0.4999999999999999)</f>
        <v>0.5</v>
      </c>
      <c r="AU41" s="30">
        <f>IFERROR(__xludf.DUMMYFUNCTION("""COMPUTED_VALUE"""),2.2040982794017574)</f>
        <v>2.204098279</v>
      </c>
      <c r="AV41" s="32">
        <f>IFERROR(__xludf.DUMMYFUNCTION("""COMPUTED_VALUE"""),44.13764128533073)</f>
        <v>44.13764129</v>
      </c>
      <c r="AW41" s="32">
        <f>IFERROR(__xludf.DUMMYFUNCTION("""COMPUTED_VALUE"""),-2.455189055346155)</f>
        <v>-2.455189055</v>
      </c>
      <c r="AX41" s="32">
        <f>IFERROR(__xludf.DUMMYFUNCTION("""COMPUTED_VALUE"""),37.98537480133639)</f>
        <v>37.9853748</v>
      </c>
      <c r="AY41" s="32">
        <f>IFERROR(__xludf.DUMMYFUNCTION("""COMPUTED_VALUE"""),-3.17051938084388)</f>
        <v>-3.170519381</v>
      </c>
      <c r="AZ41" s="30">
        <f>IFERROR(__xludf.DUMMYFUNCTION("""COMPUTED_VALUE"""),0.715330325497725)</f>
        <v>0.7153303255</v>
      </c>
      <c r="BA41" s="30">
        <f>IFERROR(__xludf.DUMMYFUNCTION("""COMPUTED_VALUE"""),2.0)</f>
        <v>2</v>
      </c>
    </row>
    <row r="42">
      <c r="A42" s="30" t="str">
        <f>IFERROR(__xludf.DUMMYFUNCTION("""COMPUTED_VALUE"""),"Premier")</f>
        <v>Premier</v>
      </c>
      <c r="B42" s="71" t="str">
        <f>IFERROR(__xludf.DUMMYFUNCTION("""COMPUTED_VALUE"""),"RSC004924")</f>
        <v>RSC004924</v>
      </c>
      <c r="C42" s="30" t="str">
        <f>IFERROR(__xludf.DUMMYFUNCTION("""COMPUTED_VALUE"""),"comet")</f>
        <v>comet</v>
      </c>
      <c r="D42" s="30" t="str">
        <f>IFERROR(__xludf.DUMMYFUNCTION("""COMPUTED_VALUE"""),"Excavators")</f>
        <v>Excavators</v>
      </c>
      <c r="E42" s="30">
        <f>IFERROR(__xludf.DUMMYFUNCTION("""COMPUTED_VALUE"""),42.0)</f>
        <v>42</v>
      </c>
      <c r="F42" s="30">
        <f>IFERROR(__xludf.DUMMYFUNCTION("""COMPUTED_VALUE"""),29.0)</f>
        <v>29</v>
      </c>
      <c r="G42" s="30">
        <f>IFERROR(__xludf.DUMMYFUNCTION("""COMPUTED_VALUE"""),13.0)</f>
        <v>13</v>
      </c>
      <c r="H42" s="42">
        <f>IFERROR(__xludf.DUMMYFUNCTION("""COMPUTED_VALUE"""),0.6904761904761905)</f>
        <v>0.6904761905</v>
      </c>
      <c r="I42" s="42">
        <f>IFERROR(__xludf.DUMMYFUNCTION("""COMPUTED_VALUE"""),0.2782608695652174)</f>
        <v>0.2782608696</v>
      </c>
      <c r="J42" s="30">
        <f>IFERROR(__xludf.DUMMYFUNCTION("""COMPUTED_VALUE"""),376.8333333333333)</f>
        <v>376.8333333</v>
      </c>
      <c r="K42" s="30">
        <f>IFERROR(__xludf.DUMMYFUNCTION("""COMPUTED_VALUE"""),0.7619047619047619)</f>
        <v>0.7619047619</v>
      </c>
      <c r="L42" s="30">
        <f>IFERROR(__xludf.DUMMYFUNCTION("""COMPUTED_VALUE"""),0.7619047619047619)</f>
        <v>0.7619047619</v>
      </c>
      <c r="M42" s="30">
        <f>IFERROR(__xludf.DUMMYFUNCTION("""COMPUTED_VALUE"""),1.3095238095238095)</f>
        <v>1.30952381</v>
      </c>
      <c r="N42" s="30">
        <f>IFERROR(__xludf.DUMMYFUNCTION("""COMPUTED_VALUE"""),2.738095238095238)</f>
        <v>2.738095238</v>
      </c>
      <c r="O42" s="30">
        <f>IFERROR(__xludf.DUMMYFUNCTION("""COMPUTED_VALUE"""),343.2063492063492)</f>
        <v>343.2063492</v>
      </c>
      <c r="P42" s="30">
        <f>IFERROR(__xludf.DUMMYFUNCTION("""COMPUTED_VALUE"""),0.6746031746031745)</f>
        <v>0.6746031746</v>
      </c>
      <c r="Q42" s="30">
        <f>IFERROR(__xludf.DUMMYFUNCTION("""COMPUTED_VALUE"""),0.5)</f>
        <v>0.5</v>
      </c>
      <c r="R42" s="30">
        <f>IFERROR(__xludf.DUMMYFUNCTION("""COMPUTED_VALUE"""),1.4920634920634923)</f>
        <v>1.492063492</v>
      </c>
      <c r="S42" s="30">
        <f>IFERROR(__xludf.DUMMYFUNCTION("""COMPUTED_VALUE"""),2.3333333333333335)</f>
        <v>2.333333333</v>
      </c>
      <c r="T42" s="30">
        <f>IFERROR(__xludf.DUMMYFUNCTION("""COMPUTED_VALUE"""),371.01542277407873)</f>
        <v>371.0154228</v>
      </c>
      <c r="U42" s="30">
        <f>IFERROR(__xludf.DUMMYFUNCTION("""COMPUTED_VALUE"""),0.8023294845359887)</f>
        <v>0.8023294845</v>
      </c>
      <c r="V42" s="30">
        <f>IFERROR(__xludf.DUMMYFUNCTION("""COMPUTED_VALUE"""),0.6147933097029318)</f>
        <v>0.6147933097</v>
      </c>
      <c r="W42" s="30">
        <f>IFERROR(__xludf.DUMMYFUNCTION("""COMPUTED_VALUE"""),1.4810410899386781)</f>
        <v>1.48104109</v>
      </c>
      <c r="X42" s="30">
        <f>IFERROR(__xludf.DUMMYFUNCTION("""COMPUTED_VALUE"""),2.72427080572322)</f>
        <v>2.724270806</v>
      </c>
      <c r="Y42" s="30">
        <f>IFERROR(__xludf.DUMMYFUNCTION("""COMPUTED_VALUE"""),379.85306665505993)</f>
        <v>379.8530667</v>
      </c>
      <c r="Z42" s="30">
        <f>IFERROR(__xludf.DUMMYFUNCTION("""COMPUTED_VALUE"""),0.865968036949434)</f>
        <v>0.8659680369</v>
      </c>
      <c r="AA42" s="30">
        <f>IFERROR(__xludf.DUMMYFUNCTION("""COMPUTED_VALUE"""),0.6811556341309232)</f>
        <v>0.6811556341</v>
      </c>
      <c r="AB42" s="30">
        <f>IFERROR(__xludf.DUMMYFUNCTION("""COMPUTED_VALUE"""),1.4330813160511855)</f>
        <v>1.433081316</v>
      </c>
      <c r="AC42" s="30">
        <f>IFERROR(__xludf.DUMMYFUNCTION("""COMPUTED_VALUE"""),2.800432570273949)</f>
        <v>2.80043257</v>
      </c>
      <c r="AD42" s="30">
        <f>IFERROR(__xludf.DUMMYFUNCTION("""COMPUTED_VALUE"""),0.9920502594639605)</f>
        <v>0.9920502595</v>
      </c>
      <c r="AE42" s="30">
        <f>IFERROR(__xludf.DUMMYFUNCTION("""COMPUTED_VALUE"""),0.8798301200454716)</f>
        <v>0.87983012</v>
      </c>
      <c r="AF42" s="30">
        <f>IFERROR(__xludf.DUMMYFUNCTION("""COMPUTED_VALUE"""),1.118547250771647)</f>
        <v>1.118547251</v>
      </c>
      <c r="AG42" s="30">
        <f>IFERROR(__xludf.DUMMYFUNCTION("""COMPUTED_VALUE"""),0.9137819290898055)</f>
        <v>0.9137819291</v>
      </c>
      <c r="AH42" s="30">
        <f>IFERROR(__xludf.DUMMYFUNCTION("""COMPUTED_VALUE"""),0.9777401059963343)</f>
        <v>0.977740106</v>
      </c>
      <c r="AI42" s="30">
        <f>IFERROR(__xludf.DUMMYFUNCTION("""COMPUTED_VALUE"""),0.9250460442862419)</f>
        <v>0.9250460443</v>
      </c>
      <c r="AJ42" s="30">
        <f>IFERROR(__xludf.DUMMYFUNCTION("""COMPUTED_VALUE"""),0.8408056635153048)</f>
        <v>0.8408056635</v>
      </c>
      <c r="AK42" s="30">
        <f>IFERROR(__xludf.DUMMYFUNCTION("""COMPUTED_VALUE"""),0.8132814591648697)</f>
        <v>0.8132814592</v>
      </c>
      <c r="AL42" s="30">
        <f>IFERROR(__xludf.DUMMYFUNCTION("""COMPUTED_VALUE"""),1.0074423337743252)</f>
        <v>1.007442334</v>
      </c>
      <c r="AM42" s="30">
        <f>IFERROR(__xludf.DUMMYFUNCTION("""COMPUTED_VALUE"""),0.856498307154856)</f>
        <v>0.8564983072</v>
      </c>
      <c r="AN42" s="30">
        <f>IFERROR(__xludf.DUMMYFUNCTION("""COMPUTED_VALUE"""),1.0326470798335778)</f>
        <v>1.03264708</v>
      </c>
      <c r="AO42" s="30">
        <f>IFERROR(__xludf.DUMMYFUNCTION("""COMPUTED_VALUE"""),0.9622448691353387)</f>
        <v>0.9622448691</v>
      </c>
      <c r="AP42" s="30">
        <f>IFERROR(__xludf.DUMMYFUNCTION("""COMPUTED_VALUE"""),1.279906266729128)</f>
        <v>1.279906267</v>
      </c>
      <c r="AQ42" s="30">
        <f>IFERROR(__xludf.DUMMYFUNCTION("""COMPUTED_VALUE"""),0.9103876838274714)</f>
        <v>0.9103876838</v>
      </c>
      <c r="AR42" s="30">
        <f>IFERROR(__xludf.DUMMYFUNCTION("""COMPUTED_VALUE"""),1.0324416418310023)</f>
        <v>1.032441642</v>
      </c>
      <c r="AS42" s="30">
        <f>IFERROR(__xludf.DUMMYFUNCTION("""COMPUTED_VALUE"""),116.0)</f>
        <v>116</v>
      </c>
      <c r="AT42" s="30">
        <f>IFERROR(__xludf.DUMMYFUNCTION("""COMPUTED_VALUE"""),0.6194763692628749)</f>
        <v>0.6194763693</v>
      </c>
      <c r="AU42" s="30">
        <f>IFERROR(__xludf.DUMMYFUNCTION("""COMPUTED_VALUE"""),2.8416553522029893)</f>
        <v>2.841655352</v>
      </c>
      <c r="AV42" s="32">
        <f>IFERROR(__xludf.DUMMYFUNCTION("""COMPUTED_VALUE"""),63.40456499260504)</f>
        <v>63.40456499</v>
      </c>
      <c r="AW42" s="32">
        <f>IFERROR(__xludf.DUMMYFUNCTION("""COMPUTED_VALUE"""),3.3793353353201927)</f>
        <v>3.379335335</v>
      </c>
      <c r="AX42" s="32">
        <f>IFERROR(__xludf.DUMMYFUNCTION("""COMPUTED_VALUE"""),58.65508947647434)</f>
        <v>58.65508948</v>
      </c>
      <c r="AY42" s="32">
        <f>IFERROR(__xludf.DUMMYFUNCTION("""COMPUTED_VALUE"""),2.742770408046702)</f>
        <v>2.742770408</v>
      </c>
      <c r="AZ42" s="30">
        <f>IFERROR(__xludf.DUMMYFUNCTION("""COMPUTED_VALUE"""),0.6365649272734908)</f>
        <v>0.6365649273</v>
      </c>
      <c r="BA42" s="30">
        <f>IFERROR(__xludf.DUMMYFUNCTION("""COMPUTED_VALUE"""),2.0)</f>
        <v>2</v>
      </c>
    </row>
    <row r="43">
      <c r="A43" s="30" t="str">
        <f>IFERROR(__xludf.DUMMYFUNCTION("""COMPUTED_VALUE"""),"Premier")</f>
        <v>Premier</v>
      </c>
      <c r="B43" s="71" t="str">
        <f>IFERROR(__xludf.DUMMYFUNCTION("""COMPUTED_VALUE"""),"RSC007188")</f>
        <v>RSC007188</v>
      </c>
      <c r="C43" s="30" t="str">
        <f>IFERROR(__xludf.DUMMYFUNCTION("""COMPUTED_VALUE"""),"spoody")</f>
        <v>spoody</v>
      </c>
      <c r="D43" s="30"/>
      <c r="E43" s="30">
        <f>IFERROR(__xludf.DUMMYFUNCTION("""COMPUTED_VALUE"""),28.0)</f>
        <v>28</v>
      </c>
      <c r="F43" s="30">
        <f>IFERROR(__xludf.DUMMYFUNCTION("""COMPUTED_VALUE"""),12.0)</f>
        <v>12</v>
      </c>
      <c r="G43" s="30">
        <f>IFERROR(__xludf.DUMMYFUNCTION("""COMPUTED_VALUE"""),16.0)</f>
        <v>16</v>
      </c>
      <c r="H43" s="42">
        <f>IFERROR(__xludf.DUMMYFUNCTION("""COMPUTED_VALUE"""),0.42857142857142855)</f>
        <v>0.4285714286</v>
      </c>
      <c r="I43" s="42">
        <f>IFERROR(__xludf.DUMMYFUNCTION("""COMPUTED_VALUE"""),0.29069767441860467)</f>
        <v>0.2906976744</v>
      </c>
      <c r="J43" s="30">
        <f>IFERROR(__xludf.DUMMYFUNCTION("""COMPUTED_VALUE"""),389.64285714285717)</f>
        <v>389.6428571</v>
      </c>
      <c r="K43" s="30">
        <f>IFERROR(__xludf.DUMMYFUNCTION("""COMPUTED_VALUE"""),0.8928571428571429)</f>
        <v>0.8928571429</v>
      </c>
      <c r="L43" s="30">
        <f>IFERROR(__xludf.DUMMYFUNCTION("""COMPUTED_VALUE"""),0.6785714285714286)</f>
        <v>0.6785714286</v>
      </c>
      <c r="M43" s="30">
        <f>IFERROR(__xludf.DUMMYFUNCTION("""COMPUTED_VALUE"""),1.5357142857142858)</f>
        <v>1.535714286</v>
      </c>
      <c r="N43" s="30">
        <f>IFERROR(__xludf.DUMMYFUNCTION("""COMPUTED_VALUE"""),3.0714285714285716)</f>
        <v>3.071428571</v>
      </c>
      <c r="O43" s="30">
        <f>IFERROR(__xludf.DUMMYFUNCTION("""COMPUTED_VALUE"""),394.38095238095235)</f>
        <v>394.3809524</v>
      </c>
      <c r="P43" s="30">
        <f>IFERROR(__xludf.DUMMYFUNCTION("""COMPUTED_VALUE"""),0.9047619047619049)</f>
        <v>0.9047619048</v>
      </c>
      <c r="Q43" s="30">
        <f>IFERROR(__xludf.DUMMYFUNCTION("""COMPUTED_VALUE"""),0.7142857142857143)</f>
        <v>0.7142857143</v>
      </c>
      <c r="R43" s="30">
        <f>IFERROR(__xludf.DUMMYFUNCTION("""COMPUTED_VALUE"""),1.5357142857142854)</f>
        <v>1.535714286</v>
      </c>
      <c r="S43" s="30">
        <f>IFERROR(__xludf.DUMMYFUNCTION("""COMPUTED_VALUE"""),2.75)</f>
        <v>2.75</v>
      </c>
      <c r="T43" s="30">
        <f>IFERROR(__xludf.DUMMYFUNCTION("""COMPUTED_VALUE"""),379.8465376775252)</f>
        <v>379.8465377</v>
      </c>
      <c r="U43" s="30">
        <f>IFERROR(__xludf.DUMMYFUNCTION("""COMPUTED_VALUE"""),0.8140223835502081)</f>
        <v>0.8140223836</v>
      </c>
      <c r="V43" s="30">
        <f>IFERROR(__xludf.DUMMYFUNCTION("""COMPUTED_VALUE"""),0.6700133285402078)</f>
        <v>0.6700133285</v>
      </c>
      <c r="W43" s="30">
        <f>IFERROR(__xludf.DUMMYFUNCTION("""COMPUTED_VALUE"""),1.4804254311848406)</f>
        <v>1.480425431</v>
      </c>
      <c r="X43" s="30">
        <f>IFERROR(__xludf.DUMMYFUNCTION("""COMPUTED_VALUE"""),2.8084319085588816)</f>
        <v>2.808431909</v>
      </c>
      <c r="Y43" s="30">
        <f>IFERROR(__xludf.DUMMYFUNCTION("""COMPUTED_VALUE"""),377.00085720977535)</f>
        <v>377.0008572</v>
      </c>
      <c r="Z43" s="30">
        <f>IFERROR(__xludf.DUMMYFUNCTION("""COMPUTED_VALUE"""),0.8296826987179439)</f>
        <v>0.8296826987</v>
      </c>
      <c r="AA43" s="30">
        <f>IFERROR(__xludf.DUMMYFUNCTION("""COMPUTED_VALUE"""),0.6374765659672487)</f>
        <v>0.637476566</v>
      </c>
      <c r="AB43" s="30">
        <f>IFERROR(__xludf.DUMMYFUNCTION("""COMPUTED_VALUE"""),1.480912748389976)</f>
        <v>1.480912748</v>
      </c>
      <c r="AC43" s="30">
        <f>IFERROR(__xludf.DUMMYFUNCTION("""COMPUTED_VALUE"""),2.783947182601699)</f>
        <v>2.783947183</v>
      </c>
      <c r="AD43" s="30">
        <f>IFERROR(__xludf.DUMMYFUNCTION("""COMPUTED_VALUE"""),1.0335330800747953)</f>
        <v>1.03353308</v>
      </c>
      <c r="AE43" s="30">
        <f>IFERROR(__xludf.DUMMYFUNCTION("""COMPUTED_VALUE"""),1.0761428968409472)</f>
        <v>1.076142897</v>
      </c>
      <c r="AF43" s="30">
        <f>IFERROR(__xludf.DUMMYFUNCTION("""COMPUTED_VALUE"""),1.064464899257632)</f>
        <v>1.064464899</v>
      </c>
      <c r="AG43" s="30">
        <f>IFERROR(__xludf.DUMMYFUNCTION("""COMPUTED_VALUE"""),1.0370052438159434)</f>
        <v>1.037005244</v>
      </c>
      <c r="AH43" s="30">
        <f>IFERROR(__xludf.DUMMYFUNCTION("""COMPUTED_VALUE"""),1.1032639522127035)</f>
        <v>1.103263952</v>
      </c>
      <c r="AI43" s="30">
        <f>IFERROR(__xludf.DUMMYFUNCTION("""COMPUTED_VALUE"""),1.0382639125587247)</f>
        <v>1.038263913</v>
      </c>
      <c r="AJ43" s="30">
        <f>IFERROR(__xludf.DUMMYFUNCTION("""COMPUTED_VALUE"""),1.1114705480406486)</f>
        <v>1.111470548</v>
      </c>
      <c r="AK43" s="30">
        <f>IFERROR(__xludf.DUMMYFUNCTION("""COMPUTED_VALUE"""),1.0660768731899184)</f>
        <v>1.066076873</v>
      </c>
      <c r="AL43" s="30">
        <f>IFERROR(__xludf.DUMMYFUNCTION("""COMPUTED_VALUE"""),1.0373465987308763)</f>
        <v>1.037346599</v>
      </c>
      <c r="AM43" s="30">
        <f>IFERROR(__xludf.DUMMYFUNCTION("""COMPUTED_VALUE"""),0.9791941159830841)</f>
        <v>0.979194116</v>
      </c>
      <c r="AN43" s="30">
        <f>IFERROR(__xludf.DUMMYFUNCTION("""COMPUTED_VALUE"""),1.0677493815300754)</f>
        <v>1.067749382</v>
      </c>
      <c r="AO43" s="30">
        <f>IFERROR(__xludf.DUMMYFUNCTION("""COMPUTED_VALUE"""),1.127630706017975)</f>
        <v>1.127630706</v>
      </c>
      <c r="AP43" s="30">
        <f>IFERROR(__xludf.DUMMYFUNCTION("""COMPUTED_VALUE"""),1.13991651880563)</f>
        <v>1.139916519</v>
      </c>
      <c r="AQ43" s="30">
        <f>IFERROR(__xludf.DUMMYFUNCTION("""COMPUTED_VALUE"""),1.0676364655794892)</f>
        <v>1.067636466</v>
      </c>
      <c r="AR43" s="30">
        <f>IFERROR(__xludf.DUMMYFUNCTION("""COMPUTED_VALUE"""),1.1581301895321678)</f>
        <v>1.15813019</v>
      </c>
      <c r="AS43" s="30">
        <f>IFERROR(__xludf.DUMMYFUNCTION("""COMPUTED_VALUE"""),70.0)</f>
        <v>70</v>
      </c>
      <c r="AT43" s="30">
        <f>IFERROR(__xludf.DUMMYFUNCTION("""COMPUTED_VALUE"""),0.4670225509757698)</f>
        <v>0.467022551</v>
      </c>
      <c r="AU43" s="30">
        <f>IFERROR(__xludf.DUMMYFUNCTION("""COMPUTED_VALUE"""),2.831312759151295)</f>
        <v>2.831312759</v>
      </c>
      <c r="AV43" s="32">
        <f>IFERROR(__xludf.DUMMYFUNCTION("""COMPUTED_VALUE"""),63.09201265844796)</f>
        <v>63.09201266</v>
      </c>
      <c r="AW43" s="32">
        <f>IFERROR(__xludf.DUMMYFUNCTION("""COMPUTED_VALUE"""),3.330553562936246)</f>
        <v>3.330553563</v>
      </c>
      <c r="AX43" s="32">
        <f>IFERROR(__xludf.DUMMYFUNCTION("""COMPUTED_VALUE"""),58.31994235991849)</f>
        <v>58.31994236</v>
      </c>
      <c r="AY43" s="32">
        <f>IFERROR(__xludf.DUMMYFUNCTION("""COMPUTED_VALUE"""),2.7053093093889276)</f>
        <v>2.705309309</v>
      </c>
      <c r="AZ43" s="30">
        <f>IFERROR(__xludf.DUMMYFUNCTION("""COMPUTED_VALUE"""),0.6252442535473186)</f>
        <v>0.6252442535</v>
      </c>
      <c r="BA43" s="30">
        <f>IFERROR(__xludf.DUMMYFUNCTION("""COMPUTED_VALUE"""),2.0)</f>
        <v>2</v>
      </c>
    </row>
    <row r="44">
      <c r="A44" s="30" t="str">
        <f>IFERROR(__xludf.DUMMYFUNCTION("""COMPUTED_VALUE"""),"Premier")</f>
        <v>Premier</v>
      </c>
      <c r="B44" s="71" t="str">
        <f>IFERROR(__xludf.DUMMYFUNCTION("""COMPUTED_VALUE"""),"RSC007596")</f>
        <v>RSC007596</v>
      </c>
      <c r="C44" s="30" t="str">
        <f>IFERROR(__xludf.DUMMYFUNCTION("""COMPUTED_VALUE"""),"Sean")</f>
        <v>Sean</v>
      </c>
      <c r="D44" s="30" t="str">
        <f>IFERROR(__xludf.DUMMYFUNCTION("""COMPUTED_VALUE"""),"Punks")</f>
        <v>Punks</v>
      </c>
      <c r="E44" s="30">
        <f>IFERROR(__xludf.DUMMYFUNCTION("""COMPUTED_VALUE"""),48.0)</f>
        <v>48</v>
      </c>
      <c r="F44" s="30">
        <f>IFERROR(__xludf.DUMMYFUNCTION("""COMPUTED_VALUE"""),24.0)</f>
        <v>24</v>
      </c>
      <c r="G44" s="30">
        <f>IFERROR(__xludf.DUMMYFUNCTION("""COMPUTED_VALUE"""),24.0)</f>
        <v>24</v>
      </c>
      <c r="H44" s="42">
        <f>IFERROR(__xludf.DUMMYFUNCTION("""COMPUTED_VALUE"""),0.5)</f>
        <v>0.5</v>
      </c>
      <c r="I44" s="42">
        <f>IFERROR(__xludf.DUMMYFUNCTION("""COMPUTED_VALUE"""),0.25742574257425743)</f>
        <v>0.2574257426</v>
      </c>
      <c r="J44" s="30">
        <f>IFERROR(__xludf.DUMMYFUNCTION("""COMPUTED_VALUE"""),332.5625)</f>
        <v>332.5625</v>
      </c>
      <c r="K44" s="30">
        <f>IFERROR(__xludf.DUMMYFUNCTION("""COMPUTED_VALUE"""),0.5416666666666666)</f>
        <v>0.5416666667</v>
      </c>
      <c r="L44" s="30">
        <f>IFERROR(__xludf.DUMMYFUNCTION("""COMPUTED_VALUE"""),0.6666666666666666)</f>
        <v>0.6666666667</v>
      </c>
      <c r="M44" s="30">
        <f>IFERROR(__xludf.DUMMYFUNCTION("""COMPUTED_VALUE"""),1.2708333333333333)</f>
        <v>1.270833333</v>
      </c>
      <c r="N44" s="30">
        <f>IFERROR(__xludf.DUMMYFUNCTION("""COMPUTED_VALUE"""),2.1041666666666665)</f>
        <v>2.104166667</v>
      </c>
      <c r="O44" s="30">
        <f>IFERROR(__xludf.DUMMYFUNCTION("""COMPUTED_VALUE"""),356.59722222222223)</f>
        <v>356.5972222</v>
      </c>
      <c r="P44" s="30">
        <f>IFERROR(__xludf.DUMMYFUNCTION("""COMPUTED_VALUE"""),0.736111111111111)</f>
        <v>0.7361111111</v>
      </c>
      <c r="Q44" s="30">
        <f>IFERROR(__xludf.DUMMYFUNCTION("""COMPUTED_VALUE"""),0.5902777777777777)</f>
        <v>0.5902777778</v>
      </c>
      <c r="R44" s="30">
        <f>IFERROR(__xludf.DUMMYFUNCTION("""COMPUTED_VALUE"""),1.3680555555555554)</f>
        <v>1.368055556</v>
      </c>
      <c r="S44" s="30">
        <f>IFERROR(__xludf.DUMMYFUNCTION("""COMPUTED_VALUE"""),2.5902777777777777)</f>
        <v>2.590277778</v>
      </c>
      <c r="T44" s="30">
        <f>IFERROR(__xludf.DUMMYFUNCTION("""COMPUTED_VALUE"""),373.6265021754087)</f>
        <v>373.6265022</v>
      </c>
      <c r="U44" s="30">
        <f>IFERROR(__xludf.DUMMYFUNCTION("""COMPUTED_VALUE"""),0.8144605856641047)</f>
        <v>0.8144605857</v>
      </c>
      <c r="V44" s="30">
        <f>IFERROR(__xludf.DUMMYFUNCTION("""COMPUTED_VALUE"""),0.640295901127422)</f>
        <v>0.6402959011</v>
      </c>
      <c r="W44" s="30">
        <f>IFERROR(__xludf.DUMMYFUNCTION("""COMPUTED_VALUE"""),1.4381276180144305)</f>
        <v>1.438127618</v>
      </c>
      <c r="X44" s="30">
        <f>IFERROR(__xludf.DUMMYFUNCTION("""COMPUTED_VALUE"""),2.6965856949557985)</f>
        <v>2.696585695</v>
      </c>
      <c r="Y44" s="30">
        <f>IFERROR(__xludf.DUMMYFUNCTION("""COMPUTED_VALUE"""),370.5937347851289)</f>
        <v>370.5937348</v>
      </c>
      <c r="Z44" s="30">
        <f>IFERROR(__xludf.DUMMYFUNCTION("""COMPUTED_VALUE"""),0.8321299809778884)</f>
        <v>0.832129981</v>
      </c>
      <c r="AA44" s="30">
        <f>IFERROR(__xludf.DUMMYFUNCTION("""COMPUTED_VALUE"""),0.6418963863973987)</f>
        <v>0.6418963864</v>
      </c>
      <c r="AB44" s="30">
        <f>IFERROR(__xludf.DUMMYFUNCTION("""COMPUTED_VALUE"""),1.3992491523504613)</f>
        <v>1.399249152</v>
      </c>
      <c r="AC44" s="30">
        <f>IFERROR(__xludf.DUMMYFUNCTION("""COMPUTED_VALUE"""),2.7466102026420547)</f>
        <v>2.746610203</v>
      </c>
      <c r="AD44" s="30">
        <f>IFERROR(__xludf.DUMMYFUNCTION("""COMPUTED_VALUE"""),0.8973775560259283)</f>
        <v>0.897377556</v>
      </c>
      <c r="AE44" s="30">
        <f>IFERROR(__xludf.DUMMYFUNCTION("""COMPUTED_VALUE"""),0.6509399721785292)</f>
        <v>0.6509399722</v>
      </c>
      <c r="AF44" s="30">
        <f>IFERROR(__xludf.DUMMYFUNCTION("""COMPUTED_VALUE"""),1.0385892190611783)</f>
        <v>1.038589219</v>
      </c>
      <c r="AG44" s="30">
        <f>IFERROR(__xludf.DUMMYFUNCTION("""COMPUTED_VALUE"""),0.9082251943469718)</f>
        <v>0.9082251943</v>
      </c>
      <c r="AH44" s="30">
        <f>IFERROR(__xludf.DUMMYFUNCTION("""COMPUTED_VALUE"""),0.7660958459422452)</f>
        <v>0.7660958459</v>
      </c>
      <c r="AI44" s="30">
        <f>IFERROR(__xludf.DUMMYFUNCTION("""COMPUTED_VALUE"""),0.9544216487480548)</f>
        <v>0.9544216487</v>
      </c>
      <c r="AJ44" s="30">
        <f>IFERROR(__xludf.DUMMYFUNCTION("""COMPUTED_VALUE"""),0.9038020059753927)</f>
        <v>0.903802006</v>
      </c>
      <c r="AK44" s="30">
        <f>IFERROR(__xludf.DUMMYFUNCTION("""COMPUTED_VALUE"""),0.9218827994032552)</f>
        <v>0.9218827994</v>
      </c>
      <c r="AL44" s="30">
        <f>IFERROR(__xludf.DUMMYFUNCTION("""COMPUTED_VALUE"""),0.9512754907275747)</f>
        <v>0.9512754907</v>
      </c>
      <c r="AM44" s="30">
        <f>IFERROR(__xludf.DUMMYFUNCTION("""COMPUTED_VALUE"""),0.9605768444975143)</f>
        <v>0.9605768445</v>
      </c>
      <c r="AN44" s="30">
        <f>IFERROR(__xludf.DUMMYFUNCTION("""COMPUTED_VALUE"""),0.9113304586125279)</f>
        <v>0.9113304586</v>
      </c>
      <c r="AO44" s="30">
        <f>IFERROR(__xludf.DUMMYFUNCTION("""COMPUTED_VALUE"""),0.6840959616509049)</f>
        <v>0.6840959617</v>
      </c>
      <c r="AP44" s="30">
        <f>IFERROR(__xludf.DUMMYFUNCTION("""COMPUTED_VALUE"""),1.119917983387987)</f>
        <v>1.119917983</v>
      </c>
      <c r="AQ44" s="30">
        <f>IFERROR(__xludf.DUMMYFUNCTION("""COMPUTED_VALUE"""),0.883489865896205)</f>
        <v>0.8834898659</v>
      </c>
      <c r="AR44" s="30">
        <f>IFERROR(__xludf.DUMMYFUNCTION("""COMPUTED_VALUE"""),0.7934089573636071)</f>
        <v>0.7934089574</v>
      </c>
      <c r="AS44" s="30">
        <f>IFERROR(__xludf.DUMMYFUNCTION("""COMPUTED_VALUE"""),113.0)</f>
        <v>113</v>
      </c>
      <c r="AT44" s="30">
        <f>IFERROR(__xludf.DUMMYFUNCTION("""COMPUTED_VALUE"""),0.5246950330497077)</f>
        <v>0.524695033</v>
      </c>
      <c r="AU44" s="30">
        <f>IFERROR(__xludf.DUMMYFUNCTION("""COMPUTED_VALUE"""),1.9954712030301862)</f>
        <v>1.995471203</v>
      </c>
      <c r="AV44" s="32">
        <f>IFERROR(__xludf.DUMMYFUNCTION("""COMPUTED_VALUE"""),37.832947736780106)</f>
        <v>37.83294774</v>
      </c>
      <c r="AW44" s="32">
        <f>IFERROR(__xludf.DUMMYFUNCTION("""COMPUTED_VALUE"""),-3.192421758164211)</f>
        <v>-3.192421758</v>
      </c>
      <c r="AX44" s="32">
        <f>IFERROR(__xludf.DUMMYFUNCTION("""COMPUTED_VALUE"""),34.148807983653846)</f>
        <v>34.14880798</v>
      </c>
      <c r="AY44" s="32">
        <f>IFERROR(__xludf.DUMMYFUNCTION("""COMPUTED_VALUE"""),-3.8019220978918127)</f>
        <v>-3.801922098</v>
      </c>
      <c r="AZ44" s="30">
        <f>IFERROR(__xludf.DUMMYFUNCTION("""COMPUTED_VALUE"""),0.6095003397276018)</f>
        <v>0.6095003397</v>
      </c>
      <c r="BA44" s="30">
        <f>IFERROR(__xludf.DUMMYFUNCTION("""COMPUTED_VALUE"""),2.0)</f>
        <v>2</v>
      </c>
    </row>
    <row r="45">
      <c r="A45" s="30" t="str">
        <f>IFERROR(__xludf.DUMMYFUNCTION("""COMPUTED_VALUE"""),"Premier")</f>
        <v>Premier</v>
      </c>
      <c r="B45" s="71" t="str">
        <f>IFERROR(__xludf.DUMMYFUNCTION("""COMPUTED_VALUE"""),"RSC001114")</f>
        <v>RSC001114</v>
      </c>
      <c r="C45" s="30" t="str">
        <f>IFERROR(__xludf.DUMMYFUNCTION("""COMPUTED_VALUE"""),"ashes.")</f>
        <v>ashes.</v>
      </c>
      <c r="D45" s="30" t="str">
        <f>IFERROR(__xludf.DUMMYFUNCTION("""COMPUTED_VALUE"""),"Punks")</f>
        <v>Punks</v>
      </c>
      <c r="E45" s="30">
        <f>IFERROR(__xludf.DUMMYFUNCTION("""COMPUTED_VALUE"""),48.0)</f>
        <v>48</v>
      </c>
      <c r="F45" s="30">
        <f>IFERROR(__xludf.DUMMYFUNCTION("""COMPUTED_VALUE"""),24.0)</f>
        <v>24</v>
      </c>
      <c r="G45" s="30">
        <f>IFERROR(__xludf.DUMMYFUNCTION("""COMPUTED_VALUE"""),24.0)</f>
        <v>24</v>
      </c>
      <c r="H45" s="42">
        <f>IFERROR(__xludf.DUMMYFUNCTION("""COMPUTED_VALUE"""),0.5)</f>
        <v>0.5</v>
      </c>
      <c r="I45" s="42">
        <f>IFERROR(__xludf.DUMMYFUNCTION("""COMPUTED_VALUE"""),0.3032786885245902)</f>
        <v>0.3032786885</v>
      </c>
      <c r="J45" s="30">
        <f>IFERROR(__xludf.DUMMYFUNCTION("""COMPUTED_VALUE"""),340.8958333333333)</f>
        <v>340.8958333</v>
      </c>
      <c r="K45" s="30">
        <f>IFERROR(__xludf.DUMMYFUNCTION("""COMPUTED_VALUE"""),0.7708333333333334)</f>
        <v>0.7708333333</v>
      </c>
      <c r="L45" s="30">
        <f>IFERROR(__xludf.DUMMYFUNCTION("""COMPUTED_VALUE"""),0.5208333333333334)</f>
        <v>0.5208333333</v>
      </c>
      <c r="M45" s="30">
        <f>IFERROR(__xludf.DUMMYFUNCTION("""COMPUTED_VALUE"""),1.3541666666666667)</f>
        <v>1.354166667</v>
      </c>
      <c r="N45" s="30">
        <f>IFERROR(__xludf.DUMMYFUNCTION("""COMPUTED_VALUE"""),2.5416666666666665)</f>
        <v>2.541666667</v>
      </c>
      <c r="O45" s="30">
        <f>IFERROR(__xludf.DUMMYFUNCTION("""COMPUTED_VALUE"""),356.59722222222223)</f>
        <v>356.5972222</v>
      </c>
      <c r="P45" s="30">
        <f>IFERROR(__xludf.DUMMYFUNCTION("""COMPUTED_VALUE"""),0.736111111111111)</f>
        <v>0.7361111111</v>
      </c>
      <c r="Q45" s="30">
        <f>IFERROR(__xludf.DUMMYFUNCTION("""COMPUTED_VALUE"""),0.5902777777777777)</f>
        <v>0.5902777778</v>
      </c>
      <c r="R45" s="30">
        <f>IFERROR(__xludf.DUMMYFUNCTION("""COMPUTED_VALUE"""),1.3680555555555554)</f>
        <v>1.368055556</v>
      </c>
      <c r="S45" s="30">
        <f>IFERROR(__xludf.DUMMYFUNCTION("""COMPUTED_VALUE"""),2.5902777777777777)</f>
        <v>2.590277778</v>
      </c>
      <c r="T45" s="30">
        <f>IFERROR(__xludf.DUMMYFUNCTION("""COMPUTED_VALUE"""),373.6265021754087)</f>
        <v>373.6265022</v>
      </c>
      <c r="U45" s="30">
        <f>IFERROR(__xludf.DUMMYFUNCTION("""COMPUTED_VALUE"""),0.8144605856641047)</f>
        <v>0.8144605857</v>
      </c>
      <c r="V45" s="30">
        <f>IFERROR(__xludf.DUMMYFUNCTION("""COMPUTED_VALUE"""),0.640295901127422)</f>
        <v>0.6402959011</v>
      </c>
      <c r="W45" s="30">
        <f>IFERROR(__xludf.DUMMYFUNCTION("""COMPUTED_VALUE"""),1.4381276180144305)</f>
        <v>1.438127618</v>
      </c>
      <c r="X45" s="30">
        <f>IFERROR(__xludf.DUMMYFUNCTION("""COMPUTED_VALUE"""),2.6965856949557985)</f>
        <v>2.696585695</v>
      </c>
      <c r="Y45" s="30">
        <f>IFERROR(__xludf.DUMMYFUNCTION("""COMPUTED_VALUE"""),370.5937347851289)</f>
        <v>370.5937348</v>
      </c>
      <c r="Z45" s="30">
        <f>IFERROR(__xludf.DUMMYFUNCTION("""COMPUTED_VALUE"""),0.8321299809778884)</f>
        <v>0.832129981</v>
      </c>
      <c r="AA45" s="30">
        <f>IFERROR(__xludf.DUMMYFUNCTION("""COMPUTED_VALUE"""),0.6418963863973987)</f>
        <v>0.6418963864</v>
      </c>
      <c r="AB45" s="30">
        <f>IFERROR(__xludf.DUMMYFUNCTION("""COMPUTED_VALUE"""),1.3992491523504613)</f>
        <v>1.399249152</v>
      </c>
      <c r="AC45" s="30">
        <f>IFERROR(__xludf.DUMMYFUNCTION("""COMPUTED_VALUE"""),2.7466102026420547)</f>
        <v>2.746610203</v>
      </c>
      <c r="AD45" s="30">
        <f>IFERROR(__xludf.DUMMYFUNCTION("""COMPUTED_VALUE"""),0.9198639948162791)</f>
        <v>0.9198639948</v>
      </c>
      <c r="AE45" s="30">
        <f>IFERROR(__xludf.DUMMYFUNCTION("""COMPUTED_VALUE"""),0.9263376527155992)</f>
        <v>0.9263376527</v>
      </c>
      <c r="AF45" s="30">
        <f>IFERROR(__xludf.DUMMYFUNCTION("""COMPUTED_VALUE"""),0.8113978273915456)</f>
        <v>0.8113978274</v>
      </c>
      <c r="AG45" s="30">
        <f>IFERROR(__xludf.DUMMYFUNCTION("""COMPUTED_VALUE"""),0.9677809447959537)</f>
        <v>0.9677809448</v>
      </c>
      <c r="AH45" s="30">
        <f>IFERROR(__xludf.DUMMYFUNCTION("""COMPUTED_VALUE"""),0.9253831010391478)</f>
        <v>0.925383101</v>
      </c>
      <c r="AI45" s="30">
        <f>IFERROR(__xludf.DUMMYFUNCTION("""COMPUTED_VALUE"""),0.9544216487480548)</f>
        <v>0.9544216487</v>
      </c>
      <c r="AJ45" s="30">
        <f>IFERROR(__xludf.DUMMYFUNCTION("""COMPUTED_VALUE"""),0.9038020059753927)</f>
        <v>0.903802006</v>
      </c>
      <c r="AK45" s="30">
        <f>IFERROR(__xludf.DUMMYFUNCTION("""COMPUTED_VALUE"""),0.9218827994032552)</f>
        <v>0.9218827994</v>
      </c>
      <c r="AL45" s="30">
        <f>IFERROR(__xludf.DUMMYFUNCTION("""COMPUTED_VALUE"""),0.9512754907275747)</f>
        <v>0.9512754907</v>
      </c>
      <c r="AM45" s="30">
        <f>IFERROR(__xludf.DUMMYFUNCTION("""COMPUTED_VALUE"""),0.9605768444975143)</f>
        <v>0.9605768445</v>
      </c>
      <c r="AN45" s="30">
        <f>IFERROR(__xludf.DUMMYFUNCTION("""COMPUTED_VALUE"""),0.9341665284894314)</f>
        <v>0.9341665285</v>
      </c>
      <c r="AO45" s="30">
        <f>IFERROR(__xludf.DUMMYFUNCTION("""COMPUTED_VALUE"""),0.9735211761955186)</f>
        <v>0.9735211762</v>
      </c>
      <c r="AP45" s="30">
        <f>IFERROR(__xludf.DUMMYFUNCTION("""COMPUTED_VALUE"""),0.8749359245218651)</f>
        <v>0.8749359245</v>
      </c>
      <c r="AQ45" s="30">
        <f>IFERROR(__xludf.DUMMYFUNCTION("""COMPUTED_VALUE"""),0.941423627594317)</f>
        <v>0.9414236276</v>
      </c>
      <c r="AR45" s="30">
        <f>IFERROR(__xludf.DUMMYFUNCTION("""COMPUTED_VALUE"""),0.9583751762213868)</f>
        <v>0.9583751762</v>
      </c>
      <c r="AS45" s="30">
        <f>IFERROR(__xludf.DUMMYFUNCTION("""COMPUTED_VALUE"""),113.0)</f>
        <v>113</v>
      </c>
      <c r="AT45" s="30">
        <f>IFERROR(__xludf.DUMMYFUNCTION("""COMPUTED_VALUE"""),0.5246950330497077)</f>
        <v>0.524695033</v>
      </c>
      <c r="AU45" s="30">
        <f>IFERROR(__xludf.DUMMYFUNCTION("""COMPUTED_VALUE"""),2.2845334075437127)</f>
        <v>2.284533408</v>
      </c>
      <c r="AV45" s="32">
        <f>IFERROR(__xludf.DUMMYFUNCTION("""COMPUTED_VALUE"""),46.56838441941097)</f>
        <v>46.56838442</v>
      </c>
      <c r="AW45" s="32">
        <f>IFERROR(__xludf.DUMMYFUNCTION("""COMPUTED_VALUE"""),-2.245118357612328)</f>
        <v>-2.245118358</v>
      </c>
      <c r="AX45" s="32">
        <f>IFERROR(__xludf.DUMMYFUNCTION("""COMPUTED_VALUE"""),41.21889958198612)</f>
        <v>41.21889958</v>
      </c>
      <c r="AY45" s="32">
        <f>IFERROR(__xludf.DUMMYFUNCTION("""COMPUTED_VALUE"""),-2.7570794230160374)</f>
        <v>-2.757079423</v>
      </c>
      <c r="AZ45" s="30">
        <f>IFERROR(__xludf.DUMMYFUNCTION("""COMPUTED_VALUE"""),0.5119610654037094)</f>
        <v>0.5119610654</v>
      </c>
      <c r="BA45" s="30">
        <f>IFERROR(__xludf.DUMMYFUNCTION("""COMPUTED_VALUE"""),2.0)</f>
        <v>2</v>
      </c>
    </row>
    <row r="46">
      <c r="A46" s="30" t="str">
        <f>IFERROR(__xludf.DUMMYFUNCTION("""COMPUTED_VALUE"""),"Premier")</f>
        <v>Premier</v>
      </c>
      <c r="B46" s="71" t="str">
        <f>IFERROR(__xludf.DUMMYFUNCTION("""COMPUTED_VALUE"""),"RSC000750")</f>
        <v>RSC000750</v>
      </c>
      <c r="C46" s="30" t="str">
        <f>IFERROR(__xludf.DUMMYFUNCTION("""COMPUTED_VALUE"""),"Jatt")</f>
        <v>Jatt</v>
      </c>
      <c r="D46" s="30" t="str">
        <f>IFERROR(__xludf.DUMMYFUNCTION("""COMPUTED_VALUE"""),"Crooked Capos")</f>
        <v>Crooked Capos</v>
      </c>
      <c r="E46" s="30">
        <f>IFERROR(__xludf.DUMMYFUNCTION("""COMPUTED_VALUE"""),24.0)</f>
        <v>24</v>
      </c>
      <c r="F46" s="30">
        <f>IFERROR(__xludf.DUMMYFUNCTION("""COMPUTED_VALUE"""),11.0)</f>
        <v>11</v>
      </c>
      <c r="G46" s="30">
        <f>IFERROR(__xludf.DUMMYFUNCTION("""COMPUTED_VALUE"""),13.0)</f>
        <v>13</v>
      </c>
      <c r="H46" s="42">
        <f>IFERROR(__xludf.DUMMYFUNCTION("""COMPUTED_VALUE"""),0.4583333333333333)</f>
        <v>0.4583333333</v>
      </c>
      <c r="I46" s="42">
        <f>IFERROR(__xludf.DUMMYFUNCTION("""COMPUTED_VALUE"""),0.31343283582089554)</f>
        <v>0.3134328358</v>
      </c>
      <c r="J46" s="30">
        <f>IFERROR(__xludf.DUMMYFUNCTION("""COMPUTED_VALUE"""),394.5833333333333)</f>
        <v>394.5833333</v>
      </c>
      <c r="K46" s="30">
        <f>IFERROR(__xludf.DUMMYFUNCTION("""COMPUTED_VALUE"""),0.875)</f>
        <v>0.875</v>
      </c>
      <c r="L46" s="30">
        <f>IFERROR(__xludf.DUMMYFUNCTION("""COMPUTED_VALUE"""),0.4166666666666667)</f>
        <v>0.4166666667</v>
      </c>
      <c r="M46" s="30">
        <f>IFERROR(__xludf.DUMMYFUNCTION("""COMPUTED_VALUE"""),1.75)</f>
        <v>1.75</v>
      </c>
      <c r="N46" s="30">
        <f>IFERROR(__xludf.DUMMYFUNCTION("""COMPUTED_VALUE"""),2.7916666666666665)</f>
        <v>2.791666667</v>
      </c>
      <c r="O46" s="30">
        <f>IFERROR(__xludf.DUMMYFUNCTION("""COMPUTED_VALUE"""),409.47222222222223)</f>
        <v>409.4722222</v>
      </c>
      <c r="P46" s="30">
        <f>IFERROR(__xludf.DUMMYFUNCTION("""COMPUTED_VALUE"""),0.8888888888888887)</f>
        <v>0.8888888889</v>
      </c>
      <c r="Q46" s="30">
        <f>IFERROR(__xludf.DUMMYFUNCTION("""COMPUTED_VALUE"""),0.6944444444444446)</f>
        <v>0.6944444444</v>
      </c>
      <c r="R46" s="30">
        <f>IFERROR(__xludf.DUMMYFUNCTION("""COMPUTED_VALUE"""),1.722222222222222)</f>
        <v>1.722222222</v>
      </c>
      <c r="S46" s="30">
        <f>IFERROR(__xludf.DUMMYFUNCTION("""COMPUTED_VALUE"""),2.9305555555555567)</f>
        <v>2.930555556</v>
      </c>
      <c r="T46" s="30">
        <f>IFERROR(__xludf.DUMMYFUNCTION("""COMPUTED_VALUE"""),370.7628753156833)</f>
        <v>370.7628753</v>
      </c>
      <c r="U46" s="30">
        <f>IFERROR(__xludf.DUMMYFUNCTION("""COMPUTED_VALUE"""),0.8199084086165543)</f>
        <v>0.8199084086</v>
      </c>
      <c r="V46" s="30">
        <f>IFERROR(__xludf.DUMMYFUNCTION("""COMPUTED_VALUE"""),0.6336877945663505)</f>
        <v>0.6336877946</v>
      </c>
      <c r="W46" s="30">
        <f>IFERROR(__xludf.DUMMYFUNCTION("""COMPUTED_VALUE"""),1.454845322173836)</f>
        <v>1.454845322</v>
      </c>
      <c r="X46" s="30">
        <f>IFERROR(__xludf.DUMMYFUNCTION("""COMPUTED_VALUE"""),2.7033143437094114)</f>
        <v>2.703314344</v>
      </c>
      <c r="Y46" s="30">
        <f>IFERROR(__xludf.DUMMYFUNCTION("""COMPUTED_VALUE"""),380.9621639326612)</f>
        <v>380.9621639</v>
      </c>
      <c r="Z46" s="30">
        <f>IFERROR(__xludf.DUMMYFUNCTION("""COMPUTED_VALUE"""),0.8675141737204356)</f>
        <v>0.8675141737</v>
      </c>
      <c r="AA46" s="30">
        <f>IFERROR(__xludf.DUMMYFUNCTION("""COMPUTED_VALUE"""),0.6727709231088536)</f>
        <v>0.6727709231</v>
      </c>
      <c r="AB46" s="30">
        <f>IFERROR(__xludf.DUMMYFUNCTION("""COMPUTED_VALUE"""),1.4350661820554205)</f>
        <v>1.435066182</v>
      </c>
      <c r="AC46" s="30">
        <f>IFERROR(__xludf.DUMMYFUNCTION("""COMPUTED_VALUE"""),2.7665547537711213)</f>
        <v>2.766554754</v>
      </c>
      <c r="AD46" s="30">
        <f>IFERROR(__xludf.DUMMYFUNCTION("""COMPUTED_VALUE"""),1.035754651485757)</f>
        <v>1.035754651</v>
      </c>
      <c r="AE46" s="30">
        <f>IFERROR(__xludf.DUMMYFUNCTION("""COMPUTED_VALUE"""),1.0086290535720708)</f>
        <v>1.008629054</v>
      </c>
      <c r="AF46" s="30">
        <f>IFERROR(__xludf.DUMMYFUNCTION("""COMPUTED_VALUE"""),0.6193291837602953)</f>
        <v>0.6193291838</v>
      </c>
      <c r="AG46" s="30">
        <f>IFERROR(__xludf.DUMMYFUNCTION("""COMPUTED_VALUE"""),1.2194559539362186)</f>
        <v>1.219455954</v>
      </c>
      <c r="AH46" s="30">
        <f>IFERROR(__xludf.DUMMYFUNCTION("""COMPUTED_VALUE"""),1.0090769621896385)</f>
        <v>1.009076962</v>
      </c>
      <c r="AI46" s="30">
        <f>IFERROR(__xludf.DUMMYFUNCTION("""COMPUTED_VALUE"""),1.1044045924867212)</f>
        <v>1.104404592</v>
      </c>
      <c r="AJ46" s="30">
        <f>IFERROR(__xludf.DUMMYFUNCTION("""COMPUTED_VALUE"""),1.0841319341860713)</f>
        <v>1.084131934</v>
      </c>
      <c r="AK46" s="30">
        <f>IFERROR(__xludf.DUMMYFUNCTION("""COMPUTED_VALUE"""),1.0958778919194294)</f>
        <v>1.095877892</v>
      </c>
      <c r="AL46" s="30">
        <f>IFERROR(__xludf.DUMMYFUNCTION("""COMPUTED_VALUE"""),1.1837837301142573)</f>
        <v>1.18378373</v>
      </c>
      <c r="AM46" s="30">
        <f>IFERROR(__xludf.DUMMYFUNCTION("""COMPUTED_VALUE"""),1.0840602249512468)</f>
        <v>1.084060225</v>
      </c>
      <c r="AN46" s="30">
        <f>IFERROR(__xludf.DUMMYFUNCTION("""COMPUTED_VALUE"""),1.0812879086713825)</f>
        <v>1.081287909</v>
      </c>
      <c r="AO46" s="30">
        <f>IFERROR(__xludf.DUMMYFUNCTION("""COMPUTED_VALUE"""),1.1050780918976155)</f>
        <v>1.105078092</v>
      </c>
      <c r="AP46" s="30">
        <f>IFERROR(__xludf.DUMMYFUNCTION("""COMPUTED_VALUE"""),0.699948739617492)</f>
        <v>0.6999487396</v>
      </c>
      <c r="AQ46" s="30">
        <f>IFERROR(__xludf.DUMMYFUNCTION("""COMPUTED_VALUE"""),1.216608995660348)</f>
        <v>1.216608996</v>
      </c>
      <c r="AR46" s="30">
        <f>IFERROR(__xludf.DUMMYFUNCTION("""COMPUTED_VALUE"""),1.052641586997261)</f>
        <v>1.052641587</v>
      </c>
      <c r="AS46" s="30">
        <f>IFERROR(__xludf.DUMMYFUNCTION("""COMPUTED_VALUE"""),55.0)</f>
        <v>55</v>
      </c>
      <c r="AT46" s="30">
        <f>IFERROR(__xludf.DUMMYFUNCTION("""COMPUTED_VALUE"""),0.4402991836084778)</f>
        <v>0.4402991836</v>
      </c>
      <c r="AU46" s="30">
        <f>IFERROR(__xludf.DUMMYFUNCTION("""COMPUTED_VALUE"""),2.2293286289214924)</f>
        <v>2.229328629</v>
      </c>
      <c r="AV46" s="32">
        <f>IFERROR(__xludf.DUMMYFUNCTION("""COMPUTED_VALUE"""),44.90010042827267)</f>
        <v>44.90010043</v>
      </c>
      <c r="AW46" s="32">
        <f>IFERROR(__xludf.DUMMYFUNCTION("""COMPUTED_VALUE"""),-2.385619566990919)</f>
        <v>-2.385619567</v>
      </c>
      <c r="AX46" s="32">
        <f>IFERROR(__xludf.DUMMYFUNCTION("""COMPUTED_VALUE"""),40.557648095834516)</f>
        <v>40.5576481</v>
      </c>
      <c r="AY46" s="32">
        <f>IFERROR(__xludf.DUMMYFUNCTION("""COMPUTED_VALUE"""),-2.8342346737863022)</f>
        <v>-2.834234674</v>
      </c>
      <c r="AZ46" s="30">
        <f>IFERROR(__xludf.DUMMYFUNCTION("""COMPUTED_VALUE"""),0.4486151067953834)</f>
        <v>0.4486151068</v>
      </c>
      <c r="BA46" s="30">
        <f>IFERROR(__xludf.DUMMYFUNCTION("""COMPUTED_VALUE"""),2.0)</f>
        <v>2</v>
      </c>
    </row>
    <row r="47">
      <c r="A47" s="30" t="str">
        <f>IFERROR(__xludf.DUMMYFUNCTION("""COMPUTED_VALUE"""),"Premier")</f>
        <v>Premier</v>
      </c>
      <c r="B47" s="71" t="str">
        <f>IFERROR(__xludf.DUMMYFUNCTION("""COMPUTED_VALUE"""),"RSC003749")</f>
        <v>RSC003749</v>
      </c>
      <c r="C47" s="30" t="str">
        <f>IFERROR(__xludf.DUMMYFUNCTION("""COMPUTED_VALUE"""),"Rule")</f>
        <v>Rule</v>
      </c>
      <c r="D47" s="30" t="str">
        <f>IFERROR(__xludf.DUMMYFUNCTION("""COMPUTED_VALUE"""),"Fairies")</f>
        <v>Fairies</v>
      </c>
      <c r="E47" s="30">
        <f>IFERROR(__xludf.DUMMYFUNCTION("""COMPUTED_VALUE"""),31.0)</f>
        <v>31</v>
      </c>
      <c r="F47" s="30">
        <f>IFERROR(__xludf.DUMMYFUNCTION("""COMPUTED_VALUE"""),12.0)</f>
        <v>12</v>
      </c>
      <c r="G47" s="30">
        <f>IFERROR(__xludf.DUMMYFUNCTION("""COMPUTED_VALUE"""),19.0)</f>
        <v>19</v>
      </c>
      <c r="H47" s="42">
        <f>IFERROR(__xludf.DUMMYFUNCTION("""COMPUTED_VALUE"""),0.3870967741935484)</f>
        <v>0.3870967742</v>
      </c>
      <c r="I47" s="42">
        <f>IFERROR(__xludf.DUMMYFUNCTION("""COMPUTED_VALUE"""),0.3823529411764706)</f>
        <v>0.3823529412</v>
      </c>
      <c r="J47" s="30">
        <f>IFERROR(__xludf.DUMMYFUNCTION("""COMPUTED_VALUE"""),350.741935483871)</f>
        <v>350.7419355</v>
      </c>
      <c r="K47" s="30">
        <f>IFERROR(__xludf.DUMMYFUNCTION("""COMPUTED_VALUE"""),0.8387096774193549)</f>
        <v>0.8387096774</v>
      </c>
      <c r="L47" s="30">
        <f>IFERROR(__xludf.DUMMYFUNCTION("""COMPUTED_VALUE"""),0.45161290322580644)</f>
        <v>0.4516129032</v>
      </c>
      <c r="M47" s="30">
        <f>IFERROR(__xludf.DUMMYFUNCTION("""COMPUTED_VALUE"""),1.5161290322580645)</f>
        <v>1.516129032</v>
      </c>
      <c r="N47" s="30">
        <f>IFERROR(__xludf.DUMMYFUNCTION("""COMPUTED_VALUE"""),2.193548387096774)</f>
        <v>2.193548387</v>
      </c>
      <c r="O47" s="30">
        <f>IFERROR(__xludf.DUMMYFUNCTION("""COMPUTED_VALUE"""),372.02150537634407)</f>
        <v>372.0215054</v>
      </c>
      <c r="P47" s="30">
        <f>IFERROR(__xludf.DUMMYFUNCTION("""COMPUTED_VALUE"""),0.9247311827956989)</f>
        <v>0.9247311828</v>
      </c>
      <c r="Q47" s="30">
        <f>IFERROR(__xludf.DUMMYFUNCTION("""COMPUTED_VALUE"""),0.7204301075268816)</f>
        <v>0.7204301075</v>
      </c>
      <c r="R47" s="30">
        <f>IFERROR(__xludf.DUMMYFUNCTION("""COMPUTED_VALUE"""),1.1935483870967742)</f>
        <v>1.193548387</v>
      </c>
      <c r="S47" s="30">
        <f>IFERROR(__xludf.DUMMYFUNCTION("""COMPUTED_VALUE"""),2.946236559139785)</f>
        <v>2.946236559</v>
      </c>
      <c r="T47" s="30">
        <f>IFERROR(__xludf.DUMMYFUNCTION("""COMPUTED_VALUE"""),370.6660208314089)</f>
        <v>370.6660208</v>
      </c>
      <c r="U47" s="30">
        <f>IFERROR(__xludf.DUMMYFUNCTION("""COMPUTED_VALUE"""),0.8365132070668189)</f>
        <v>0.8365132071</v>
      </c>
      <c r="V47" s="30">
        <f>IFERROR(__xludf.DUMMYFUNCTION("""COMPUTED_VALUE"""),0.6072678103159072)</f>
        <v>0.6072678103</v>
      </c>
      <c r="W47" s="30">
        <f>IFERROR(__xludf.DUMMYFUNCTION("""COMPUTED_VALUE"""),1.408968185827468)</f>
        <v>1.408968186</v>
      </c>
      <c r="X47" s="30">
        <f>IFERROR(__xludf.DUMMYFUNCTION("""COMPUTED_VALUE"""),2.7137183144104684)</f>
        <v>2.713718314</v>
      </c>
      <c r="Y47" s="30">
        <f>IFERROR(__xludf.DUMMYFUNCTION("""COMPUTED_VALUE"""),376.3536636081741)</f>
        <v>376.3536636</v>
      </c>
      <c r="Z47" s="30">
        <f>IFERROR(__xludf.DUMMYFUNCTION("""COMPUTED_VALUE"""),0.8413775128750008)</f>
        <v>0.8413775129</v>
      </c>
      <c r="AA47" s="30">
        <f>IFERROR(__xludf.DUMMYFUNCTION("""COMPUTED_VALUE"""),0.6487502681799002)</f>
        <v>0.6487502682</v>
      </c>
      <c r="AB47" s="30">
        <f>IFERROR(__xludf.DUMMYFUNCTION("""COMPUTED_VALUE"""),1.4277962072342676)</f>
        <v>1.427796207</v>
      </c>
      <c r="AC47" s="30">
        <f>IFERROR(__xludf.DUMMYFUNCTION("""COMPUTED_VALUE"""),2.7312481555342982)</f>
        <v>2.731248156</v>
      </c>
      <c r="AD47" s="30">
        <f>IFERROR(__xludf.DUMMYFUNCTION("""COMPUTED_VALUE"""),0.9319477114192044)</f>
        <v>0.9319477114</v>
      </c>
      <c r="AE47" s="30">
        <f>IFERROR(__xludf.DUMMYFUNCTION("""COMPUTED_VALUE"""),0.996829205184567)</f>
        <v>0.9968292052</v>
      </c>
      <c r="AF47" s="30">
        <f>IFERROR(__xludf.DUMMYFUNCTION("""COMPUTED_VALUE"""),0.6961275014079423)</f>
        <v>0.6961275014</v>
      </c>
      <c r="AG47" s="30">
        <f>IFERROR(__xludf.DUMMYFUNCTION("""COMPUTED_VALUE"""),1.0618665497052295)</f>
        <v>1.06186655</v>
      </c>
      <c r="AH47" s="30">
        <f>IFERROR(__xludf.DUMMYFUNCTION("""COMPUTED_VALUE"""),0.8031303866153688)</f>
        <v>0.8031303866</v>
      </c>
      <c r="AI47" s="30">
        <f>IFERROR(__xludf.DUMMYFUNCTION("""COMPUTED_VALUE"""),1.003656889136735)</f>
        <v>1.003656889</v>
      </c>
      <c r="AJ47" s="30">
        <f>IFERROR(__xludf.DUMMYFUNCTION("""COMPUTED_VALUE"""),1.1054591547193986)</f>
        <v>1.105459155</v>
      </c>
      <c r="AK47" s="30">
        <f>IFERROR(__xludf.DUMMYFUNCTION("""COMPUTED_VALUE"""),1.1863466090061752)</f>
        <v>1.186346609</v>
      </c>
      <c r="AL47" s="30">
        <f>IFERROR(__xludf.DUMMYFUNCTION("""COMPUTED_VALUE"""),0.8471081172040938)</f>
        <v>0.8471081172</v>
      </c>
      <c r="AM47" s="30">
        <f>IFERROR(__xludf.DUMMYFUNCTION("""COMPUTED_VALUE"""),1.085682527731265)</f>
        <v>1.085682528</v>
      </c>
      <c r="AN47" s="30">
        <f>IFERROR(__xludf.DUMMYFUNCTION("""COMPUTED_VALUE"""),0.9611480816964084)</f>
        <v>0.9611480817</v>
      </c>
      <c r="AO47" s="30">
        <f>IFERROR(__xludf.DUMMYFUNCTION("""COMPUTED_VALUE"""),1.0592453599755947)</f>
        <v>1.05924536</v>
      </c>
      <c r="AP47" s="30">
        <f>IFERROR(__xludf.DUMMYFUNCTION("""COMPUTED_VALUE"""),0.7586541177789591)</f>
        <v>0.7586541178</v>
      </c>
      <c r="AQ47" s="30">
        <f>IFERROR(__xludf.DUMMYFUNCTION("""COMPUTED_VALUE"""),1.054020696701131)</f>
        <v>1.054020697</v>
      </c>
      <c r="AR47" s="30">
        <f>IFERROR(__xludf.DUMMYFUNCTION("""COMPUTED_VALUE"""),0.8271117332592824)</f>
        <v>0.8271117333</v>
      </c>
      <c r="AS47" s="30">
        <f>IFERROR(__xludf.DUMMYFUNCTION("""COMPUTED_VALUE"""),62.0)</f>
        <v>62</v>
      </c>
      <c r="AT47" s="30">
        <f>IFERROR(__xludf.DUMMYFUNCTION("""COMPUTED_VALUE"""),0.3746129394218568)</f>
        <v>0.3746129394</v>
      </c>
      <c r="AU47" s="30">
        <f>IFERROR(__xludf.DUMMYFUNCTION("""COMPUTED_VALUE"""),1.8948039466061986)</f>
        <v>1.894803947</v>
      </c>
      <c r="AV47" s="32">
        <f>IFERROR(__xludf.DUMMYFUNCTION("""COMPUTED_VALUE"""),34.79079130548242)</f>
        <v>34.79079131</v>
      </c>
      <c r="AW47" s="32">
        <f>IFERROR(__xludf.DUMMYFUNCTION("""COMPUTED_VALUE"""),-3.6836265780129853)</f>
        <v>-3.683626578</v>
      </c>
      <c r="AX47" s="32">
        <f>IFERROR(__xludf.DUMMYFUNCTION("""COMPUTED_VALUE"""),37.06120805106491)</f>
        <v>37.06120805</v>
      </c>
      <c r="AY47" s="32">
        <f>IFERROR(__xludf.DUMMYFUNCTION("""COMPUTED_VALUE"""),-3.3070363102153433)</f>
        <v>-3.30703631</v>
      </c>
      <c r="AZ47" s="30">
        <f>IFERROR(__xludf.DUMMYFUNCTION("""COMPUTED_VALUE"""),0.37659026779764204)</f>
        <v>0.3765902678</v>
      </c>
      <c r="BA47" s="30">
        <f>IFERROR(__xludf.DUMMYFUNCTION("""COMPUTED_VALUE"""),2.0)</f>
        <v>2</v>
      </c>
    </row>
    <row r="48">
      <c r="A48" s="30" t="str">
        <f>IFERROR(__xludf.DUMMYFUNCTION("""COMPUTED_VALUE"""),"Premier")</f>
        <v>Premier</v>
      </c>
      <c r="B48" s="71" t="str">
        <f>IFERROR(__xludf.DUMMYFUNCTION("""COMPUTED_VALUE"""),"RSC007450")</f>
        <v>RSC007450</v>
      </c>
      <c r="C48" s="30" t="str">
        <f>IFERROR(__xludf.DUMMYFUNCTION("""COMPUTED_VALUE"""),"kev")</f>
        <v>kev</v>
      </c>
      <c r="D48" s="30" t="str">
        <f>IFERROR(__xludf.DUMMYFUNCTION("""COMPUTED_VALUE"""),"Gummy Bears")</f>
        <v>Gummy Bears</v>
      </c>
      <c r="E48" s="30">
        <f>IFERROR(__xludf.DUMMYFUNCTION("""COMPUTED_VALUE"""),33.0)</f>
        <v>33</v>
      </c>
      <c r="F48" s="30">
        <f>IFERROR(__xludf.DUMMYFUNCTION("""COMPUTED_VALUE"""),17.0)</f>
        <v>17</v>
      </c>
      <c r="G48" s="30">
        <f>IFERROR(__xludf.DUMMYFUNCTION("""COMPUTED_VALUE"""),16.0)</f>
        <v>16</v>
      </c>
      <c r="H48" s="42">
        <f>IFERROR(__xludf.DUMMYFUNCTION("""COMPUTED_VALUE"""),0.5151515151515151)</f>
        <v>0.5151515152</v>
      </c>
      <c r="I48" s="42">
        <f>IFERROR(__xludf.DUMMYFUNCTION("""COMPUTED_VALUE"""),0.32926829268292684)</f>
        <v>0.3292682927</v>
      </c>
      <c r="J48" s="30">
        <f>IFERROR(__xludf.DUMMYFUNCTION("""COMPUTED_VALUE"""),363.54545454545456)</f>
        <v>363.5454545</v>
      </c>
      <c r="K48" s="30">
        <f>IFERROR(__xludf.DUMMYFUNCTION("""COMPUTED_VALUE"""),0.8181818181818182)</f>
        <v>0.8181818182</v>
      </c>
      <c r="L48" s="30">
        <f>IFERROR(__xludf.DUMMYFUNCTION("""COMPUTED_VALUE"""),0.48484848484848486)</f>
        <v>0.4848484848</v>
      </c>
      <c r="M48" s="30">
        <f>IFERROR(__xludf.DUMMYFUNCTION("""COMPUTED_VALUE"""),1.3636363636363635)</f>
        <v>1.363636364</v>
      </c>
      <c r="N48" s="30">
        <f>IFERROR(__xludf.DUMMYFUNCTION("""COMPUTED_VALUE"""),2.484848484848485)</f>
        <v>2.484848485</v>
      </c>
      <c r="O48" s="30">
        <f>IFERROR(__xludf.DUMMYFUNCTION("""COMPUTED_VALUE"""),355.3131313131313)</f>
        <v>355.3131313</v>
      </c>
      <c r="P48" s="30">
        <f>IFERROR(__xludf.DUMMYFUNCTION("""COMPUTED_VALUE"""),0.7979797979797979)</f>
        <v>0.797979798</v>
      </c>
      <c r="Q48" s="30">
        <f>IFERROR(__xludf.DUMMYFUNCTION("""COMPUTED_VALUE"""),0.6262626262626263)</f>
        <v>0.6262626263</v>
      </c>
      <c r="R48" s="30">
        <f>IFERROR(__xludf.DUMMYFUNCTION("""COMPUTED_VALUE"""),1.313131313131313)</f>
        <v>1.313131313</v>
      </c>
      <c r="S48" s="30">
        <f>IFERROR(__xludf.DUMMYFUNCTION("""COMPUTED_VALUE"""),2.7575757575757582)</f>
        <v>2.757575758</v>
      </c>
      <c r="T48" s="30">
        <f>IFERROR(__xludf.DUMMYFUNCTION("""COMPUTED_VALUE"""),359.95437640695576)</f>
        <v>359.9543764</v>
      </c>
      <c r="U48" s="30">
        <f>IFERROR(__xludf.DUMMYFUNCTION("""COMPUTED_VALUE"""),0.7733478388990424)</f>
        <v>0.7733478389</v>
      </c>
      <c r="V48" s="30">
        <f>IFERROR(__xludf.DUMMYFUNCTION("""COMPUTED_VALUE"""),0.6545146724661866)</f>
        <v>0.6545146725</v>
      </c>
      <c r="W48" s="30">
        <f>IFERROR(__xludf.DUMMYFUNCTION("""COMPUTED_VALUE"""),1.3769455620107232)</f>
        <v>1.376945562</v>
      </c>
      <c r="X48" s="30">
        <f>IFERROR(__xludf.DUMMYFUNCTION("""COMPUTED_VALUE"""),2.5777055936963804)</f>
        <v>2.577705594</v>
      </c>
      <c r="Y48" s="30">
        <f>IFERROR(__xludf.DUMMYFUNCTION("""COMPUTED_VALUE"""),367.77816554401306)</f>
        <v>367.7781655</v>
      </c>
      <c r="Z48" s="30">
        <f>IFERROR(__xludf.DUMMYFUNCTION("""COMPUTED_VALUE"""),0.8173400932387711)</f>
        <v>0.8173400932</v>
      </c>
      <c r="AA48" s="30">
        <f>IFERROR(__xludf.DUMMYFUNCTION("""COMPUTED_VALUE"""),0.6448154368893477)</f>
        <v>0.6448154369</v>
      </c>
      <c r="AB48" s="30">
        <f>IFERROR(__xludf.DUMMYFUNCTION("""COMPUTED_VALUE"""),1.3655865003662033)</f>
        <v>1.3655865</v>
      </c>
      <c r="AC48" s="30">
        <f>IFERROR(__xludf.DUMMYFUNCTION("""COMPUTED_VALUE"""),2.7048301091931037)</f>
        <v>2.704830109</v>
      </c>
      <c r="AD48" s="30">
        <f>IFERROR(__xludf.DUMMYFUNCTION("""COMPUTED_VALUE"""),0.9884911302651762)</f>
        <v>0.9884911303</v>
      </c>
      <c r="AE48" s="30">
        <f>IFERROR(__xludf.DUMMYFUNCTION("""COMPUTED_VALUE"""),1.0010298343982023)</f>
        <v>1.001029834</v>
      </c>
      <c r="AF48" s="30">
        <f>IFERROR(__xludf.DUMMYFUNCTION("""COMPUTED_VALUE"""),0.7519182344446359)</f>
        <v>0.7519182344</v>
      </c>
      <c r="AG48" s="30">
        <f>IFERROR(__xludf.DUMMYFUNCTION("""COMPUTED_VALUE"""),0.9985719419975836)</f>
        <v>0.998571942</v>
      </c>
      <c r="AH48" s="30">
        <f>IFERROR(__xludf.DUMMYFUNCTION("""COMPUTED_VALUE"""),0.9186708164786574)</f>
        <v>0.9186708165</v>
      </c>
      <c r="AI48" s="30">
        <f>IFERROR(__xludf.DUMMYFUNCTION("""COMPUTED_VALUE"""),0.9871060184344663)</f>
        <v>0.9871060184</v>
      </c>
      <c r="AJ48" s="30">
        <f>IFERROR(__xludf.DUMMYFUNCTION("""COMPUTED_VALUE"""),1.031851073788248)</f>
        <v>1.031851074</v>
      </c>
      <c r="AK48" s="30">
        <f>IFERROR(__xludf.DUMMYFUNCTION("""COMPUTED_VALUE"""),0.956835121667926)</f>
        <v>0.9568351217</v>
      </c>
      <c r="AL48" s="30">
        <f>IFERROR(__xludf.DUMMYFUNCTION("""COMPUTED_VALUE"""),0.9536552129292434)</f>
        <v>0.9536552129</v>
      </c>
      <c r="AM48" s="30">
        <f>IFERROR(__xludf.DUMMYFUNCTION("""COMPUTED_VALUE"""),1.0697791727337829)</f>
        <v>1.069779173</v>
      </c>
      <c r="AN48" s="30">
        <f>IFERROR(__xludf.DUMMYFUNCTION("""COMPUTED_VALUE"""),0.996233928411679)</f>
        <v>0.9962339284</v>
      </c>
      <c r="AO48" s="30">
        <f>IFERROR(__xludf.DUMMYFUNCTION("""COMPUTED_VALUE"""),1.0333197742419264)</f>
        <v>1.033319774</v>
      </c>
      <c r="AP48" s="30">
        <f>IFERROR(__xludf.DUMMYFUNCTION("""COMPUTED_VALUE"""),0.8144858061003544)</f>
        <v>0.8144858061</v>
      </c>
      <c r="AQ48" s="30">
        <f>IFERROR(__xludf.DUMMYFUNCTION("""COMPUTED_VALUE"""),0.9480070096054659)</f>
        <v>0.9480070096</v>
      </c>
      <c r="AR48" s="30">
        <f>IFERROR(__xludf.DUMMYFUNCTION("""COMPUTED_VALUE"""),0.9369509919541427)</f>
        <v>0.936950992</v>
      </c>
      <c r="AS48" s="30">
        <f>IFERROR(__xludf.DUMMYFUNCTION("""COMPUTED_VALUE"""),76.0)</f>
        <v>76</v>
      </c>
      <c r="AT48" s="30">
        <f>IFERROR(__xludf.DUMMYFUNCTION("""COMPUTED_VALUE"""),0.4849167924597428)</f>
        <v>0.4849167925</v>
      </c>
      <c r="AU48" s="30">
        <f>IFERROR(__xludf.DUMMYFUNCTION("""COMPUTED_VALUE"""),2.231881290262831)</f>
        <v>2.23188129</v>
      </c>
      <c r="AV48" s="32">
        <f>IFERROR(__xludf.DUMMYFUNCTION("""COMPUTED_VALUE"""),44.977241649682064)</f>
        <v>44.97724165</v>
      </c>
      <c r="AW48" s="32">
        <f>IFERROR(__xludf.DUMMYFUNCTION("""COMPUTED_VALUE"""),-2.3787755546671048)</f>
        <v>-2.378775555</v>
      </c>
      <c r="AX48" s="32">
        <f>IFERROR(__xludf.DUMMYFUNCTION("""COMPUTED_VALUE"""),42.012147440898005)</f>
        <v>42.01214744</v>
      </c>
      <c r="AY48" s="32">
        <f>IFERROR(__xludf.DUMMYFUNCTION("""COMPUTED_VALUE"""),-2.669027156954592)</f>
        <v>-2.669027157</v>
      </c>
      <c r="AZ48" s="30">
        <f>IFERROR(__xludf.DUMMYFUNCTION("""COMPUTED_VALUE"""),0.29025160228748703)</f>
        <v>0.2902516023</v>
      </c>
      <c r="BA48" s="30">
        <f>IFERROR(__xludf.DUMMYFUNCTION("""COMPUTED_VALUE"""),2.0)</f>
        <v>2</v>
      </c>
    </row>
    <row r="49">
      <c r="A49" s="30" t="str">
        <f>IFERROR(__xludf.DUMMYFUNCTION("""COMPUTED_VALUE"""),"Premier")</f>
        <v>Premier</v>
      </c>
      <c r="B49" s="71" t="str">
        <f>IFERROR(__xludf.DUMMYFUNCTION("""COMPUTED_VALUE"""),"RSC006889")</f>
        <v>RSC006889</v>
      </c>
      <c r="C49" s="30" t="str">
        <f>IFERROR(__xludf.DUMMYFUNCTION("""COMPUTED_VALUE"""),"Jay")</f>
        <v>Jay</v>
      </c>
      <c r="D49" s="30" t="str">
        <f>IFERROR(__xludf.DUMMYFUNCTION("""COMPUTED_VALUE"""),"Basilisks")</f>
        <v>Basilisks</v>
      </c>
      <c r="E49" s="30">
        <f>IFERROR(__xludf.DUMMYFUNCTION("""COMPUTED_VALUE"""),4.0)</f>
        <v>4</v>
      </c>
      <c r="F49" s="30">
        <f>IFERROR(__xludf.DUMMYFUNCTION("""COMPUTED_VALUE"""),3.0)</f>
        <v>3</v>
      </c>
      <c r="G49" s="30">
        <f>IFERROR(__xludf.DUMMYFUNCTION("""COMPUTED_VALUE"""),1.0)</f>
        <v>1</v>
      </c>
      <c r="H49" s="42">
        <f>IFERROR(__xludf.DUMMYFUNCTION("""COMPUTED_VALUE"""),0.75)</f>
        <v>0.75</v>
      </c>
      <c r="I49" s="42">
        <f>IFERROR(__xludf.DUMMYFUNCTION("""COMPUTED_VALUE"""),0.2)</f>
        <v>0.2</v>
      </c>
      <c r="J49" s="30">
        <f>IFERROR(__xludf.DUMMYFUNCTION("""COMPUTED_VALUE"""),401.5)</f>
        <v>401.5</v>
      </c>
      <c r="K49" s="30">
        <f>IFERROR(__xludf.DUMMYFUNCTION("""COMPUTED_VALUE"""),0.75)</f>
        <v>0.75</v>
      </c>
      <c r="L49" s="30">
        <f>IFERROR(__xludf.DUMMYFUNCTION("""COMPUTED_VALUE"""),0.0)</f>
        <v>0</v>
      </c>
      <c r="M49" s="30">
        <f>IFERROR(__xludf.DUMMYFUNCTION("""COMPUTED_VALUE"""),1.75)</f>
        <v>1.75</v>
      </c>
      <c r="N49" s="30">
        <f>IFERROR(__xludf.DUMMYFUNCTION("""COMPUTED_VALUE"""),3.75)</f>
        <v>3.75</v>
      </c>
      <c r="O49" s="30">
        <f>IFERROR(__xludf.DUMMYFUNCTION("""COMPUTED_VALUE"""),426.5)</f>
        <v>426.5</v>
      </c>
      <c r="P49" s="30">
        <f>IFERROR(__xludf.DUMMYFUNCTION("""COMPUTED_VALUE"""),0.8333333333333334)</f>
        <v>0.8333333333</v>
      </c>
      <c r="Q49" s="30">
        <f>IFERROR(__xludf.DUMMYFUNCTION("""COMPUTED_VALUE"""),0.49999999999999994)</f>
        <v>0.5</v>
      </c>
      <c r="R49" s="30">
        <f>IFERROR(__xludf.DUMMYFUNCTION("""COMPUTED_VALUE"""),2.0833333333333335)</f>
        <v>2.083333333</v>
      </c>
      <c r="S49" s="30">
        <f>IFERROR(__xludf.DUMMYFUNCTION("""COMPUTED_VALUE"""),2.666666666666667)</f>
        <v>2.666666667</v>
      </c>
      <c r="T49" s="30">
        <f>IFERROR(__xludf.DUMMYFUNCTION("""COMPUTED_VALUE"""),367.33772374197906)</f>
        <v>367.3377237</v>
      </c>
      <c r="U49" s="30">
        <f>IFERROR(__xludf.DUMMYFUNCTION("""COMPUTED_VALUE"""),0.8719393785883148)</f>
        <v>0.8719393786</v>
      </c>
      <c r="V49" s="30">
        <f>IFERROR(__xludf.DUMMYFUNCTION("""COMPUTED_VALUE"""),0.5654339750084431)</f>
        <v>0.565433975</v>
      </c>
      <c r="W49" s="30">
        <f>IFERROR(__xludf.DUMMYFUNCTION("""COMPUTED_VALUE"""),1.4655099628503883)</f>
        <v>1.465509963</v>
      </c>
      <c r="X49" s="30">
        <f>IFERROR(__xludf.DUMMYFUNCTION("""COMPUTED_VALUE"""),2.652228976697062)</f>
        <v>2.652228977</v>
      </c>
      <c r="Y49" s="30">
        <f>IFERROR(__xludf.DUMMYFUNCTION("""COMPUTED_VALUE"""),367.9780127772148)</f>
        <v>367.9780128</v>
      </c>
      <c r="Z49" s="30">
        <f>IFERROR(__xludf.DUMMYFUNCTION("""COMPUTED_VALUE"""),0.7813098052459755)</f>
        <v>0.7813098052</v>
      </c>
      <c r="AA49" s="30">
        <f>IFERROR(__xludf.DUMMYFUNCTION("""COMPUTED_VALUE"""),0.5782252617359)</f>
        <v>0.5782252617</v>
      </c>
      <c r="AB49" s="30">
        <f>IFERROR(__xludf.DUMMYFUNCTION("""COMPUTED_VALUE"""),1.4380558369920073)</f>
        <v>1.438055837</v>
      </c>
      <c r="AC49" s="30">
        <f>IFERROR(__xludf.DUMMYFUNCTION("""COMPUTED_VALUE"""),2.695070640549364)</f>
        <v>2.695070641</v>
      </c>
      <c r="AD49" s="30">
        <f>IFERROR(__xludf.DUMMYFUNCTION("""COMPUTED_VALUE"""),1.0910977994847764)</f>
        <v>1.091097799</v>
      </c>
      <c r="AE49" s="30">
        <f>IFERROR(__xludf.DUMMYFUNCTION("""COMPUTED_VALUE"""),0.9599265169389262)</f>
        <v>0.9599265169</v>
      </c>
      <c r="AF49" s="30">
        <f>IFERROR(__xludf.DUMMYFUNCTION("""COMPUTED_VALUE"""),0.0)</f>
        <v>0</v>
      </c>
      <c r="AG49" s="30">
        <f>IFERROR(__xludf.DUMMYFUNCTION("""COMPUTED_VALUE"""),1.2169207585572537)</f>
        <v>1.216920759</v>
      </c>
      <c r="AH49" s="30">
        <f>IFERROR(__xludf.DUMMYFUNCTION("""COMPUTED_VALUE"""),1.3914292054458353)</f>
        <v>1.391429205</v>
      </c>
      <c r="AI49" s="30">
        <f>IFERROR(__xludf.DUMMYFUNCTION("""COMPUTED_VALUE"""),1.1610569033186937)</f>
        <v>1.161056903</v>
      </c>
      <c r="AJ49" s="30">
        <f>IFERROR(__xludf.DUMMYFUNCTION("""COMPUTED_VALUE"""),0.9557239342516158)</f>
        <v>0.9557239343</v>
      </c>
      <c r="AK49" s="30">
        <f>IFERROR(__xludf.DUMMYFUNCTION("""COMPUTED_VALUE"""),0.8842765417351053)</f>
        <v>0.8842765417</v>
      </c>
      <c r="AL49" s="30">
        <f>IFERROR(__xludf.DUMMYFUNCTION("""COMPUTED_VALUE"""),1.4215756877430508)</f>
        <v>1.421575688</v>
      </c>
      <c r="AM49" s="30">
        <f>IFERROR(__xludf.DUMMYFUNCTION("""COMPUTED_VALUE"""),1.00544360615032)</f>
        <v>1.005443606</v>
      </c>
      <c r="AN49" s="30">
        <f>IFERROR(__xludf.DUMMYFUNCTION("""COMPUTED_VALUE"""),1.1002418466692123)</f>
        <v>1.100241847</v>
      </c>
      <c r="AO49" s="30">
        <f>IFERROR(__xludf.DUMMYFUNCTION("""COMPUTED_VALUE"""),0.9472097930550991)</f>
        <v>0.9472097931</v>
      </c>
      <c r="AP49" s="30">
        <f>IFERROR(__xludf.DUMMYFUNCTION("""COMPUTED_VALUE"""),0.0)</f>
        <v>0</v>
      </c>
      <c r="AQ49" s="30">
        <f>IFERROR(__xludf.DUMMYFUNCTION("""COMPUTED_VALUE"""),1.216608995660348)</f>
        <v>1.216608996</v>
      </c>
      <c r="AR49" s="30">
        <f>IFERROR(__xludf.DUMMYFUNCTION("""COMPUTED_VALUE"""),1.4139961616381116)</f>
        <v>1.413996162</v>
      </c>
      <c r="AS49" s="30">
        <f>IFERROR(__xludf.DUMMYFUNCTION("""COMPUTED_VALUE"""),8.0)</f>
        <v>8</v>
      </c>
      <c r="AT49" s="30">
        <f>IFERROR(__xludf.DUMMYFUNCTION("""COMPUTED_VALUE"""),0.41493464975825695)</f>
        <v>0.4149346498</v>
      </c>
      <c r="AU49" s="30">
        <f>IFERROR(__xludf.DUMMYFUNCTION("""COMPUTED_VALUE"""),2.1316666061312306)</f>
        <v>2.131666606</v>
      </c>
      <c r="AV49" s="32">
        <f>IFERROR(__xludf.DUMMYFUNCTION("""COMPUTED_VALUE"""),41.94876191683451)</f>
        <v>41.94876192</v>
      </c>
      <c r="AW49" s="32">
        <f>IFERROR(__xludf.DUMMYFUNCTION("""COMPUTED_VALUE"""),-2.675888931617981)</f>
        <v>-2.675888932</v>
      </c>
      <c r="AX49" s="32">
        <f>IFERROR(__xludf.DUMMYFUNCTION("""COMPUTED_VALUE"""),44.44757166865269)</f>
        <v>44.44757167</v>
      </c>
      <c r="AY49" s="32">
        <f>IFERROR(__xludf.DUMMYFUNCTION("""COMPUTED_VALUE"""),-2.4264828194548635)</f>
        <v>-2.426482819</v>
      </c>
      <c r="AZ49" s="30">
        <f>IFERROR(__xludf.DUMMYFUNCTION("""COMPUTED_VALUE"""),0.24940611216311748)</f>
        <v>0.2494061122</v>
      </c>
      <c r="BA49" s="30">
        <f>IFERROR(__xludf.DUMMYFUNCTION("""COMPUTED_VALUE"""),2.0)</f>
        <v>2</v>
      </c>
    </row>
    <row r="50">
      <c r="A50" s="30" t="str">
        <f>IFERROR(__xludf.DUMMYFUNCTION("""COMPUTED_VALUE"""),"Premier")</f>
        <v>Premier</v>
      </c>
      <c r="B50" s="30" t="str">
        <f>IFERROR(__xludf.DUMMYFUNCTION("""COMPUTED_VALUE"""),"RSC007471")</f>
        <v>RSC007471</v>
      </c>
      <c r="C50" s="30" t="str">
        <f>IFERROR(__xludf.DUMMYFUNCTION("""COMPUTED_VALUE"""),"ha ha boo.")</f>
        <v>ha ha boo.</v>
      </c>
      <c r="D50" s="30"/>
      <c r="E50" s="30">
        <f>IFERROR(__xludf.DUMMYFUNCTION("""COMPUTED_VALUE"""),24.0)</f>
        <v>24</v>
      </c>
      <c r="F50" s="30">
        <f>IFERROR(__xludf.DUMMYFUNCTION("""COMPUTED_VALUE"""),5.0)</f>
        <v>5</v>
      </c>
      <c r="G50" s="30">
        <f>IFERROR(__xludf.DUMMYFUNCTION("""COMPUTED_VALUE"""),19.0)</f>
        <v>19</v>
      </c>
      <c r="H50" s="42">
        <f>IFERROR(__xludf.DUMMYFUNCTION("""COMPUTED_VALUE"""),0.20833333333333334)</f>
        <v>0.2083333333</v>
      </c>
      <c r="I50" s="42">
        <f>IFERROR(__xludf.DUMMYFUNCTION("""COMPUTED_VALUE"""),0.27272727272727276)</f>
        <v>0.2727272727</v>
      </c>
      <c r="J50" s="30">
        <f>IFERROR(__xludf.DUMMYFUNCTION("""COMPUTED_VALUE"""),339.9166666666667)</f>
        <v>339.9166667</v>
      </c>
      <c r="K50" s="30">
        <f>IFERROR(__xludf.DUMMYFUNCTION("""COMPUTED_VALUE"""),0.625)</f>
        <v>0.625</v>
      </c>
      <c r="L50" s="30">
        <f>IFERROR(__xludf.DUMMYFUNCTION("""COMPUTED_VALUE"""),0.4583333333333333)</f>
        <v>0.4583333333</v>
      </c>
      <c r="M50" s="30">
        <f>IFERROR(__xludf.DUMMYFUNCTION("""COMPUTED_VALUE"""),1.6666666666666667)</f>
        <v>1.666666667</v>
      </c>
      <c r="N50" s="30">
        <f>IFERROR(__xludf.DUMMYFUNCTION("""COMPUTED_VALUE"""),2.2916666666666665)</f>
        <v>2.291666667</v>
      </c>
      <c r="O50" s="30">
        <f>IFERROR(__xludf.DUMMYFUNCTION("""COMPUTED_VALUE"""),400.40277777777777)</f>
        <v>400.4027778</v>
      </c>
      <c r="P50" s="30">
        <f>IFERROR(__xludf.DUMMYFUNCTION("""COMPUTED_VALUE"""),1.0138888888888893)</f>
        <v>1.013888889</v>
      </c>
      <c r="Q50" s="30">
        <f>IFERROR(__xludf.DUMMYFUNCTION("""COMPUTED_VALUE"""),0.7777777777777778)</f>
        <v>0.7777777778</v>
      </c>
      <c r="R50" s="30">
        <f>IFERROR(__xludf.DUMMYFUNCTION("""COMPUTED_VALUE"""),1.2222222222222223)</f>
        <v>1.222222222</v>
      </c>
      <c r="S50" s="30">
        <f>IFERROR(__xludf.DUMMYFUNCTION("""COMPUTED_VALUE"""),3.2916666666666674)</f>
        <v>3.291666667</v>
      </c>
      <c r="T50" s="30">
        <f>IFERROR(__xludf.DUMMYFUNCTION("""COMPUTED_VALUE"""),376.27389442790144)</f>
        <v>376.2738944</v>
      </c>
      <c r="U50" s="30">
        <f>IFERROR(__xludf.DUMMYFUNCTION("""COMPUTED_VALUE"""),0.8515186204705824)</f>
        <v>0.8515186205</v>
      </c>
      <c r="V50" s="30">
        <f>IFERROR(__xludf.DUMMYFUNCTION("""COMPUTED_VALUE"""),0.6171140175959531)</f>
        <v>0.6171140176</v>
      </c>
      <c r="W50" s="30">
        <f>IFERROR(__xludf.DUMMYFUNCTION("""COMPUTED_VALUE"""),1.4468241612777917)</f>
        <v>1.446824161</v>
      </c>
      <c r="X50" s="30">
        <f>IFERROR(__xludf.DUMMYFUNCTION("""COMPUTED_VALUE"""),2.814548423122758)</f>
        <v>2.814548423</v>
      </c>
      <c r="Y50" s="30">
        <f>IFERROR(__xludf.DUMMYFUNCTION("""COMPUTED_VALUE"""),372.43745935492717)</f>
        <v>372.4374594</v>
      </c>
      <c r="Z50" s="30">
        <f>IFERROR(__xludf.DUMMYFUNCTION("""COMPUTED_VALUE"""),0.8053655417307332)</f>
        <v>0.8053655417</v>
      </c>
      <c r="AA50" s="30">
        <f>IFERROR(__xludf.DUMMYFUNCTION("""COMPUTED_VALUE"""),0.6294843056451679)</f>
        <v>0.6294843056</v>
      </c>
      <c r="AB50" s="30">
        <f>IFERROR(__xludf.DUMMYFUNCTION("""COMPUTED_VALUE"""),1.4764233523070178)</f>
        <v>1.476423352</v>
      </c>
      <c r="AC50" s="30">
        <f>IFERROR(__xludf.DUMMYFUNCTION("""COMPUTED_VALUE"""),2.717334066609617)</f>
        <v>2.717334067</v>
      </c>
      <c r="AD50" s="30">
        <f>IFERROR(__xludf.DUMMYFUNCTION("""COMPUTED_VALUE"""),0.9126811982216089)</f>
        <v>0.9126811982</v>
      </c>
      <c r="AE50" s="30">
        <f>IFERROR(__xludf.DUMMYFUNCTION("""COMPUTED_VALUE"""),0.7760451218919461)</f>
        <v>0.7760451219</v>
      </c>
      <c r="AF50" s="30">
        <f>IFERROR(__xludf.DUMMYFUNCTION("""COMPUTED_VALUE"""),0.7281092304018296)</f>
        <v>0.7281092304</v>
      </c>
      <c r="AG50" s="30">
        <f>IFERROR(__xludf.DUMMYFUNCTION("""COMPUTED_VALUE"""),1.1288541759126067)</f>
        <v>1.128854176</v>
      </c>
      <c r="AH50" s="30">
        <f>IFERROR(__xludf.DUMMYFUNCTION("""COMPUTED_VALUE"""),0.843351097248764)</f>
        <v>0.8433510972</v>
      </c>
      <c r="AI50" s="30">
        <f>IFERROR(__xludf.DUMMYFUNCTION("""COMPUTED_VALUE"""),1.0641258500980055)</f>
        <v>1.06412585</v>
      </c>
      <c r="AJ50" s="30">
        <f>IFERROR(__xludf.DUMMYFUNCTION("""COMPUTED_VALUE"""),1.1906831683006236)</f>
        <v>1.190683168</v>
      </c>
      <c r="AK50" s="30">
        <f>IFERROR(__xludf.DUMMYFUNCTION("""COMPUTED_VALUE"""),1.260346962799048)</f>
        <v>1.260346963</v>
      </c>
      <c r="AL50" s="30">
        <f>IFERROR(__xludf.DUMMYFUNCTION("""COMPUTED_VALUE"""),0.8447621037395396)</f>
        <v>0.8447621037</v>
      </c>
      <c r="AM50" s="30">
        <f>IFERROR(__xludf.DUMMYFUNCTION("""COMPUTED_VALUE"""),1.1695185769852714)</f>
        <v>1.169518577</v>
      </c>
      <c r="AN50" s="30">
        <f>IFERROR(__xludf.DUMMYFUNCTION("""COMPUTED_VALUE"""),0.9314832902788953)</f>
        <v>0.9314832903</v>
      </c>
      <c r="AO50" s="30">
        <f>IFERROR(__xludf.DUMMYFUNCTION("""COMPUTED_VALUE"""),0.7893414942125826)</f>
        <v>0.7893414942</v>
      </c>
      <c r="AP50" s="30">
        <f>IFERROR(__xludf.DUMMYFUNCTION("""COMPUTED_VALUE"""),0.7699436135792411)</f>
        <v>0.7699436136</v>
      </c>
      <c r="AQ50" s="30">
        <f>IFERROR(__xludf.DUMMYFUNCTION("""COMPUTED_VALUE"""),1.1586752339622364)</f>
        <v>1.158675234</v>
      </c>
      <c r="AR50" s="30">
        <f>IFERROR(__xludf.DUMMYFUNCTION("""COMPUTED_VALUE"""),0.8641087654455126)</f>
        <v>0.8641087654</v>
      </c>
      <c r="AS50" s="30">
        <f>IFERROR(__xludf.DUMMYFUNCTION("""COMPUTED_VALUE"""),42.0)</f>
        <v>42</v>
      </c>
      <c r="AT50" s="30">
        <f>IFERROR(__xludf.DUMMYFUNCTION("""COMPUTED_VALUE"""),0.29594521249798944)</f>
        <v>0.2959452125</v>
      </c>
      <c r="AU50" s="30">
        <f>IFERROR(__xludf.DUMMYFUNCTION("""COMPUTED_VALUE"""),1.5630458878692641)</f>
        <v>1.563045888</v>
      </c>
      <c r="AV50" s="32">
        <f>IFERROR(__xludf.DUMMYFUNCTION("""COMPUTED_VALUE"""),24.765089325777883)</f>
        <v>24.76508933</v>
      </c>
      <c r="AW50" s="32">
        <f>IFERROR(__xludf.DUMMYFUNCTION("""COMPUTED_VALUE"""),-6.394177689971908)</f>
        <v>-6.39417769</v>
      </c>
      <c r="AX50" s="32">
        <f>IFERROR(__xludf.DUMMYFUNCTION("""COMPUTED_VALUE"""),25.38629834384702)</f>
        <v>25.38629834</v>
      </c>
      <c r="AY50" s="32">
        <f>IFERROR(__xludf.DUMMYFUNCTION("""COMPUTED_VALUE"""),-6.156761423110002)</f>
        <v>-6.156761423</v>
      </c>
      <c r="AZ50" s="30">
        <f>IFERROR(__xludf.DUMMYFUNCTION("""COMPUTED_VALUE"""),0.23741626686190642)</f>
        <v>0.2374162669</v>
      </c>
      <c r="BA50" s="30">
        <f>IFERROR(__xludf.DUMMYFUNCTION("""COMPUTED_VALUE"""),2.0)</f>
        <v>2</v>
      </c>
    </row>
    <row r="51">
      <c r="A51" s="30" t="str">
        <f>IFERROR(__xludf.DUMMYFUNCTION("""COMPUTED_VALUE"""),"Premier")</f>
        <v>Premier</v>
      </c>
      <c r="B51" s="71" t="str">
        <f>IFERROR(__xludf.DUMMYFUNCTION("""COMPUTED_VALUE"""),"RSC000462")</f>
        <v>RSC000462</v>
      </c>
      <c r="C51" s="30" t="str">
        <f>IFERROR(__xludf.DUMMYFUNCTION("""COMPUTED_VALUE"""),"Kruncho")</f>
        <v>Kruncho</v>
      </c>
      <c r="D51" s="30" t="str">
        <f>IFERROR(__xludf.DUMMYFUNCTION("""COMPUTED_VALUE"""),"Feta Forgers")</f>
        <v>Feta Forgers</v>
      </c>
      <c r="E51" s="30">
        <f>IFERROR(__xludf.DUMMYFUNCTION("""COMPUTED_VALUE"""),44.0)</f>
        <v>44</v>
      </c>
      <c r="F51" s="30">
        <f>IFERROR(__xludf.DUMMYFUNCTION("""COMPUTED_VALUE"""),23.0)</f>
        <v>23</v>
      </c>
      <c r="G51" s="30">
        <f>IFERROR(__xludf.DUMMYFUNCTION("""COMPUTED_VALUE"""),21.0)</f>
        <v>21</v>
      </c>
      <c r="H51" s="42">
        <f>IFERROR(__xludf.DUMMYFUNCTION("""COMPUTED_VALUE"""),0.5227272727272727)</f>
        <v>0.5227272727</v>
      </c>
      <c r="I51" s="42">
        <f>IFERROR(__xludf.DUMMYFUNCTION("""COMPUTED_VALUE"""),0.2698412698412698)</f>
        <v>0.2698412698</v>
      </c>
      <c r="J51" s="30">
        <f>IFERROR(__xludf.DUMMYFUNCTION("""COMPUTED_VALUE"""),370.40909090909093)</f>
        <v>370.4090909</v>
      </c>
      <c r="K51" s="30">
        <f>IFERROR(__xludf.DUMMYFUNCTION("""COMPUTED_VALUE"""),0.7727272727272727)</f>
        <v>0.7727272727</v>
      </c>
      <c r="L51" s="30">
        <f>IFERROR(__xludf.DUMMYFUNCTION("""COMPUTED_VALUE"""),0.8181818181818182)</f>
        <v>0.8181818182</v>
      </c>
      <c r="M51" s="30">
        <f>IFERROR(__xludf.DUMMYFUNCTION("""COMPUTED_VALUE"""),1.25)</f>
        <v>1.25</v>
      </c>
      <c r="N51" s="30">
        <f>IFERROR(__xludf.DUMMYFUNCTION("""COMPUTED_VALUE"""),2.8636363636363638)</f>
        <v>2.863636364</v>
      </c>
      <c r="O51" s="30">
        <f>IFERROR(__xludf.DUMMYFUNCTION("""COMPUTED_VALUE"""),371.6363636363636)</f>
        <v>371.6363636</v>
      </c>
      <c r="P51" s="30">
        <f>IFERROR(__xludf.DUMMYFUNCTION("""COMPUTED_VALUE"""),0.8484848484848485)</f>
        <v>0.8484848485</v>
      </c>
      <c r="Q51" s="30">
        <f>IFERROR(__xludf.DUMMYFUNCTION("""COMPUTED_VALUE"""),0.6893939393939396)</f>
        <v>0.6893939394</v>
      </c>
      <c r="R51" s="30">
        <f>IFERROR(__xludf.DUMMYFUNCTION("""COMPUTED_VALUE"""),1.3712121212121213)</f>
        <v>1.371212121</v>
      </c>
      <c r="S51" s="30">
        <f>IFERROR(__xludf.DUMMYFUNCTION("""COMPUTED_VALUE"""),2.462121212121212)</f>
        <v>2.462121212</v>
      </c>
      <c r="T51" s="30">
        <f>IFERROR(__xludf.DUMMYFUNCTION("""COMPUTED_VALUE"""),370.8955200781689)</f>
        <v>370.8955201</v>
      </c>
      <c r="U51" s="30">
        <f>IFERROR(__xludf.DUMMYFUNCTION("""COMPUTED_VALUE"""),0.842731019000542)</f>
        <v>0.842731019</v>
      </c>
      <c r="V51" s="30">
        <f>IFERROR(__xludf.DUMMYFUNCTION("""COMPUTED_VALUE"""),0.6007856647519273)</f>
        <v>0.6007856648</v>
      </c>
      <c r="W51" s="30">
        <f>IFERROR(__xludf.DUMMYFUNCTION("""COMPUTED_VALUE"""),1.4223191990318091)</f>
        <v>1.422319199</v>
      </c>
      <c r="X51" s="30">
        <f>IFERROR(__xludf.DUMMYFUNCTION("""COMPUTED_VALUE"""),2.7061641150833484)</f>
        <v>2.706164115</v>
      </c>
      <c r="Y51" s="30">
        <f>IFERROR(__xludf.DUMMYFUNCTION("""COMPUTED_VALUE"""),375.44205089415084)</f>
        <v>375.4420509</v>
      </c>
      <c r="Z51" s="30">
        <f>IFERROR(__xludf.DUMMYFUNCTION("""COMPUTED_VALUE"""),0.8394788154842368)</f>
        <v>0.8394788155</v>
      </c>
      <c r="AA51" s="30">
        <f>IFERROR(__xludf.DUMMYFUNCTION("""COMPUTED_VALUE"""),0.6487398092059369)</f>
        <v>0.6487398092</v>
      </c>
      <c r="AB51" s="30">
        <f>IFERROR(__xludf.DUMMYFUNCTION("""COMPUTED_VALUE"""),1.4437151963782335)</f>
        <v>1.443715196</v>
      </c>
      <c r="AC51" s="30">
        <f>IFERROR(__xludf.DUMMYFUNCTION("""COMPUTED_VALUE"""),2.742284357077734)</f>
        <v>2.742284357</v>
      </c>
      <c r="AD51" s="30">
        <f>IFERROR(__xludf.DUMMYFUNCTION("""COMPUTED_VALUE"""),0.9865945757192797)</f>
        <v>0.9865945757</v>
      </c>
      <c r="AE51" s="30">
        <f>IFERROR(__xludf.DUMMYFUNCTION("""COMPUTED_VALUE"""),0.9204845416873805)</f>
        <v>0.9204845417</v>
      </c>
      <c r="AF51" s="30">
        <f>IFERROR(__xludf.DUMMYFUNCTION("""COMPUTED_VALUE"""),1.2611863902467768)</f>
        <v>1.26118639</v>
      </c>
      <c r="AG51" s="30">
        <f>IFERROR(__xludf.DUMMYFUNCTION("""COMPUTED_VALUE"""),0.8658217376500602)</f>
        <v>0.8658217377</v>
      </c>
      <c r="AH51" s="30">
        <f>IFERROR(__xludf.DUMMYFUNCTION("""COMPUTED_VALUE"""),1.0442521601545167)</f>
        <v>1.04425216</v>
      </c>
      <c r="AI51" s="30">
        <f>IFERROR(__xludf.DUMMYFUNCTION("""COMPUTED_VALUE"""),1.0019974454208522)</f>
        <v>1.001997445</v>
      </c>
      <c r="AJ51" s="30">
        <f>IFERROR(__xludf.DUMMYFUNCTION("""COMPUTED_VALUE"""),1.0068275990257607)</f>
        <v>1.006827599</v>
      </c>
      <c r="AK51" s="30">
        <f>IFERROR(__xludf.DUMMYFUNCTION("""COMPUTED_VALUE"""),1.1474873317401804)</f>
        <v>1.147487332</v>
      </c>
      <c r="AL51" s="30">
        <f>IFERROR(__xludf.DUMMYFUNCTION("""COMPUTED_VALUE"""),0.9640677860114122)</f>
        <v>0.964067786</v>
      </c>
      <c r="AM51" s="30">
        <f>IFERROR(__xludf.DUMMYFUNCTION("""COMPUTED_VALUE"""),0.909819621950526)</f>
        <v>0.909819622</v>
      </c>
      <c r="AN51" s="30">
        <f>IFERROR(__xludf.DUMMYFUNCTION("""COMPUTED_VALUE"""),1.0150425459648378)</f>
        <v>1.015042546</v>
      </c>
      <c r="AO51" s="30">
        <f>IFERROR(__xludf.DUMMYFUNCTION("""COMPUTED_VALUE"""),0.9759131201173749)</f>
        <v>0.9759131201</v>
      </c>
      <c r="AP51" s="30">
        <f>IFERROR(__xludf.DUMMYFUNCTION("""COMPUTED_VALUE"""),1.374444797794348)</f>
        <v>1.374444798</v>
      </c>
      <c r="AQ51" s="30">
        <f>IFERROR(__xludf.DUMMYFUNCTION("""COMPUTED_VALUE"""),0.8690064254716772)</f>
        <v>0.8690064255</v>
      </c>
      <c r="AR51" s="30">
        <f>IFERROR(__xludf.DUMMYFUNCTION("""COMPUTED_VALUE"""),1.0797788870691034)</f>
        <v>1.079778887</v>
      </c>
      <c r="AS51" s="30">
        <f>IFERROR(__xludf.DUMMYFUNCTION("""COMPUTED_VALUE"""),122.0)</f>
        <v>122</v>
      </c>
      <c r="AT51" s="30">
        <f>IFERROR(__xludf.DUMMYFUNCTION("""COMPUTED_VALUE"""),0.5344844056396062)</f>
        <v>0.5344844056</v>
      </c>
      <c r="AU51" s="30">
        <f>IFERROR(__xludf.DUMMYFUNCTION("""COMPUTED_VALUE"""),2.781918329698913)</f>
        <v>2.78191833</v>
      </c>
      <c r="AV51" s="32">
        <f>IFERROR(__xludf.DUMMYFUNCTION("""COMPUTED_VALUE"""),61.59931695413714)</f>
        <v>61.59931695</v>
      </c>
      <c r="AW51" s="32">
        <f>IFERROR(__xludf.DUMMYFUNCTION("""COMPUTED_VALUE"""),3.1120300282884177)</f>
        <v>3.112030028</v>
      </c>
      <c r="AX51" s="32">
        <f>IFERROR(__xludf.DUMMYFUNCTION("""COMPUTED_VALUE"""),63.1386083471487)</f>
        <v>63.13860835</v>
      </c>
      <c r="AY51" s="32">
        <f>IFERROR(__xludf.DUMMYFUNCTION("""COMPUTED_VALUE"""),3.3377567381621356)</f>
        <v>3.337756738</v>
      </c>
      <c r="AZ51" s="30">
        <f>IFERROR(__xludf.DUMMYFUNCTION("""COMPUTED_VALUE"""),0.2257267098737179)</f>
        <v>0.2257267099</v>
      </c>
      <c r="BA51" s="30">
        <f>IFERROR(__xludf.DUMMYFUNCTION("""COMPUTED_VALUE"""),2.0)</f>
        <v>2</v>
      </c>
    </row>
    <row r="52">
      <c r="A52" s="30" t="str">
        <f>IFERROR(__xludf.DUMMYFUNCTION("""COMPUTED_VALUE"""),"Premier")</f>
        <v>Premier</v>
      </c>
      <c r="B52" s="71" t="str">
        <f>IFERROR(__xludf.DUMMYFUNCTION("""COMPUTED_VALUE"""),"RSC007721")</f>
        <v>RSC007721</v>
      </c>
      <c r="C52" s="30" t="str">
        <f>IFERROR(__xludf.DUMMYFUNCTION("""COMPUTED_VALUE"""),"Ace!")</f>
        <v>Ace!</v>
      </c>
      <c r="D52" s="30" t="str">
        <f>IFERROR(__xludf.DUMMYFUNCTION("""COMPUTED_VALUE"""),"Gummy Bears")</f>
        <v>Gummy Bears</v>
      </c>
      <c r="E52" s="30">
        <f>IFERROR(__xludf.DUMMYFUNCTION("""COMPUTED_VALUE"""),31.0)</f>
        <v>31</v>
      </c>
      <c r="F52" s="30">
        <f>IFERROR(__xludf.DUMMYFUNCTION("""COMPUTED_VALUE"""),20.0)</f>
        <v>20</v>
      </c>
      <c r="G52" s="30">
        <f>IFERROR(__xludf.DUMMYFUNCTION("""COMPUTED_VALUE"""),11.0)</f>
        <v>11</v>
      </c>
      <c r="H52" s="42">
        <f>IFERROR(__xludf.DUMMYFUNCTION("""COMPUTED_VALUE"""),0.6451612903225806)</f>
        <v>0.6451612903</v>
      </c>
      <c r="I52" s="42">
        <f>IFERROR(__xludf.DUMMYFUNCTION("""COMPUTED_VALUE"""),0.24096385542168675)</f>
        <v>0.2409638554</v>
      </c>
      <c r="J52" s="30">
        <f>IFERROR(__xludf.DUMMYFUNCTION("""COMPUTED_VALUE"""),393.5806451612903)</f>
        <v>393.5806452</v>
      </c>
      <c r="K52" s="30">
        <f>IFERROR(__xludf.DUMMYFUNCTION("""COMPUTED_VALUE"""),0.6451612903225806)</f>
        <v>0.6451612903</v>
      </c>
      <c r="L52" s="30">
        <f>IFERROR(__xludf.DUMMYFUNCTION("""COMPUTED_VALUE"""),0.8709677419354839)</f>
        <v>0.8709677419</v>
      </c>
      <c r="M52" s="30">
        <f>IFERROR(__xludf.DUMMYFUNCTION("""COMPUTED_VALUE"""),1.5806451612903225)</f>
        <v>1.580645161</v>
      </c>
      <c r="N52" s="30">
        <f>IFERROR(__xludf.DUMMYFUNCTION("""COMPUTED_VALUE"""),2.6774193548387095)</f>
        <v>2.677419355</v>
      </c>
      <c r="O52" s="30">
        <f>IFERROR(__xludf.DUMMYFUNCTION("""COMPUTED_VALUE"""),345.89247311827955)</f>
        <v>345.8924731</v>
      </c>
      <c r="P52" s="30">
        <f>IFERROR(__xludf.DUMMYFUNCTION("""COMPUTED_VALUE"""),0.8387096774193548)</f>
        <v>0.8387096774</v>
      </c>
      <c r="Q52" s="30">
        <f>IFERROR(__xludf.DUMMYFUNCTION("""COMPUTED_VALUE"""),0.6344086021505375)</f>
        <v>0.6344086022</v>
      </c>
      <c r="R52" s="30">
        <f>IFERROR(__xludf.DUMMYFUNCTION("""COMPUTED_VALUE"""),1.1935483870967742)</f>
        <v>1.193548387</v>
      </c>
      <c r="S52" s="30">
        <f>IFERROR(__xludf.DUMMYFUNCTION("""COMPUTED_VALUE"""),2.8602150537634414)</f>
        <v>2.860215054</v>
      </c>
      <c r="T52" s="30">
        <f>IFERROR(__xludf.DUMMYFUNCTION("""COMPUTED_VALUE"""),361.2237570687102)</f>
        <v>361.2237571</v>
      </c>
      <c r="U52" s="30">
        <f>IFERROR(__xludf.DUMMYFUNCTION("""COMPUTED_VALUE"""),0.7895028719966972)</f>
        <v>0.789502872</v>
      </c>
      <c r="V52" s="30">
        <f>IFERROR(__xludf.DUMMYFUNCTION("""COMPUTED_VALUE"""),0.6581886338777169)</f>
        <v>0.6581886339</v>
      </c>
      <c r="W52" s="30">
        <f>IFERROR(__xludf.DUMMYFUNCTION("""COMPUTED_VALUE"""),1.3500029222077796)</f>
        <v>1.350002922</v>
      </c>
      <c r="X52" s="30">
        <f>IFERROR(__xludf.DUMMYFUNCTION("""COMPUTED_VALUE"""),2.7140929528188003)</f>
        <v>2.714092953</v>
      </c>
      <c r="Y52" s="30">
        <f>IFERROR(__xludf.DUMMYFUNCTION("""COMPUTED_VALUE"""),374.81343269633055)</f>
        <v>374.8134327</v>
      </c>
      <c r="Z52" s="30">
        <f>IFERROR(__xludf.DUMMYFUNCTION("""COMPUTED_VALUE"""),0.8274765417102572)</f>
        <v>0.8274765417</v>
      </c>
      <c r="AA52" s="30">
        <f>IFERROR(__xludf.DUMMYFUNCTION("""COMPUTED_VALUE"""),0.6580544501291455)</f>
        <v>0.6580544501</v>
      </c>
      <c r="AB52" s="30">
        <f>IFERROR(__xludf.DUMMYFUNCTION("""COMPUTED_VALUE"""),1.4422997884278907)</f>
        <v>1.442299788</v>
      </c>
      <c r="AC52" s="30">
        <f>IFERROR(__xludf.DUMMYFUNCTION("""COMPUTED_VALUE"""),2.6953833630217847)</f>
        <v>2.695383363</v>
      </c>
      <c r="AD52" s="30">
        <f>IFERROR(__xludf.DUMMYFUNCTION("""COMPUTED_VALUE"""),1.0500708107763168)</f>
        <v>1.050070811</v>
      </c>
      <c r="AE52" s="30">
        <f>IFERROR(__xludf.DUMMYFUNCTION("""COMPUTED_VALUE"""),0.7796732086073871)</f>
        <v>0.7796732086</v>
      </c>
      <c r="AF52" s="30">
        <f>IFERROR(__xludf.DUMMYFUNCTION("""COMPUTED_VALUE"""),1.323549657273123)</f>
        <v>1.323549657</v>
      </c>
      <c r="AG52" s="30">
        <f>IFERROR(__xludf.DUMMYFUNCTION("""COMPUTED_VALUE"""),1.0959199841617036)</f>
        <v>1.095919984</v>
      </c>
      <c r="AH52" s="30">
        <f>IFERROR(__xludf.DUMMYFUNCTION("""COMPUTED_VALUE"""),0.9933352678399945)</f>
        <v>0.9933352678</v>
      </c>
      <c r="AI52" s="30">
        <f>IFERROR(__xludf.DUMMYFUNCTION("""COMPUTED_VALUE"""),0.957557376417204)</f>
        <v>0.9575573764</v>
      </c>
      <c r="AJ52" s="30">
        <f>IFERROR(__xludf.DUMMYFUNCTION("""COMPUTED_VALUE"""),1.0623263159236023)</f>
        <v>1.062326316</v>
      </c>
      <c r="AK52" s="30">
        <f>IFERROR(__xludf.DUMMYFUNCTION("""COMPUTED_VALUE"""),0.9638704916748876)</f>
        <v>0.9638704917</v>
      </c>
      <c r="AL52" s="30">
        <f>IFERROR(__xludf.DUMMYFUNCTION("""COMPUTED_VALUE"""),0.8841080026292526)</f>
        <v>0.8841080026</v>
      </c>
      <c r="AM52" s="30">
        <f>IFERROR(__xludf.DUMMYFUNCTION("""COMPUTED_VALUE"""),1.0538382816966094)</f>
        <v>1.053838282</v>
      </c>
      <c r="AN52" s="30">
        <f>IFERROR(__xludf.DUMMYFUNCTION("""COMPUTED_VALUE"""),1.0785402138120002)</f>
        <v>1.078540214</v>
      </c>
      <c r="AO52" s="30">
        <f>IFERROR(__xludf.DUMMYFUNCTION("""COMPUTED_VALUE"""),0.8148041230581498)</f>
        <v>0.8148041231</v>
      </c>
      <c r="AP52" s="30">
        <f>IFERROR(__xludf.DUMMYFUNCTION("""COMPUTED_VALUE"""),1.4631186557165639)</f>
        <v>1.463118656</v>
      </c>
      <c r="AQ52" s="30">
        <f>IFERROR(__xludf.DUMMYFUNCTION("""COMPUTED_VALUE"""),1.0988726412416046)</f>
        <v>1.098872641</v>
      </c>
      <c r="AR52" s="30">
        <f>IFERROR(__xludf.DUMMYFUNCTION("""COMPUTED_VALUE"""),1.0095628508900065)</f>
        <v>1.009562851</v>
      </c>
      <c r="AS52" s="30">
        <f>IFERROR(__xludf.DUMMYFUNCTION("""COMPUTED_VALUE"""),87.0)</f>
        <v>87</v>
      </c>
      <c r="AT52" s="30">
        <f>IFERROR(__xludf.DUMMYFUNCTION("""COMPUTED_VALUE"""),0.5439979239540398)</f>
        <v>0.543997924</v>
      </c>
      <c r="AU52" s="30">
        <f>IFERROR(__xludf.DUMMYFUNCTION("""COMPUTED_VALUE"""),2.6934721782793747)</f>
        <v>2.693472178</v>
      </c>
      <c r="AV52" s="32">
        <f>IFERROR(__xludf.DUMMYFUNCTION("""COMPUTED_VALUE"""),58.926481337844706)</f>
        <v>58.92648134</v>
      </c>
      <c r="AW52" s="32">
        <f>IFERROR(__xludf.DUMMYFUNCTION("""COMPUTED_VALUE"""),2.7737425698805938)</f>
        <v>2.77374257</v>
      </c>
      <c r="AX52" s="32">
        <f>IFERROR(__xludf.DUMMYFUNCTION("""COMPUTED_VALUE"""),56.960590758434066)</f>
        <v>56.96059076</v>
      </c>
      <c r="AY52" s="32">
        <f>IFERROR(__xludf.DUMMYFUNCTION("""COMPUTED_VALUE"""),2.5618455716630084)</f>
        <v>2.561845572</v>
      </c>
      <c r="AZ52" s="30">
        <f>IFERROR(__xludf.DUMMYFUNCTION("""COMPUTED_VALUE"""),0.21189699821758534)</f>
        <v>0.2118969982</v>
      </c>
      <c r="BA52" s="30">
        <f>IFERROR(__xludf.DUMMYFUNCTION("""COMPUTED_VALUE"""),2.0)</f>
        <v>2</v>
      </c>
    </row>
    <row r="53">
      <c r="A53" s="30" t="str">
        <f>IFERROR(__xludf.DUMMYFUNCTION("""COMPUTED_VALUE"""),"Premier")</f>
        <v>Premier</v>
      </c>
      <c r="B53" s="71" t="str">
        <f>IFERROR(__xludf.DUMMYFUNCTION("""COMPUTED_VALUE"""),"RSC004079")</f>
        <v>RSC004079</v>
      </c>
      <c r="C53" s="30" t="str">
        <f>IFERROR(__xludf.DUMMYFUNCTION("""COMPUTED_VALUE"""),"tox")</f>
        <v>tox</v>
      </c>
      <c r="D53" s="30" t="str">
        <f>IFERROR(__xludf.DUMMYFUNCTION("""COMPUTED_VALUE"""),"Super Clusters")</f>
        <v>Super Clusters</v>
      </c>
      <c r="E53" s="30">
        <f>IFERROR(__xludf.DUMMYFUNCTION("""COMPUTED_VALUE"""),43.0)</f>
        <v>43</v>
      </c>
      <c r="F53" s="30">
        <f>IFERROR(__xludf.DUMMYFUNCTION("""COMPUTED_VALUE"""),24.0)</f>
        <v>24</v>
      </c>
      <c r="G53" s="30">
        <f>IFERROR(__xludf.DUMMYFUNCTION("""COMPUTED_VALUE"""),19.0)</f>
        <v>19</v>
      </c>
      <c r="H53" s="42">
        <f>IFERROR(__xludf.DUMMYFUNCTION("""COMPUTED_VALUE"""),0.5581395348837209)</f>
        <v>0.5581395349</v>
      </c>
      <c r="I53" s="42">
        <f>IFERROR(__xludf.DUMMYFUNCTION("""COMPUTED_VALUE"""),0.3826086956521739)</f>
        <v>0.3826086957</v>
      </c>
      <c r="J53" s="30">
        <f>IFERROR(__xludf.DUMMYFUNCTION("""COMPUTED_VALUE"""),386.6279069767442)</f>
        <v>386.627907</v>
      </c>
      <c r="K53" s="30">
        <f>IFERROR(__xludf.DUMMYFUNCTION("""COMPUTED_VALUE"""),1.0232558139534884)</f>
        <v>1.023255814</v>
      </c>
      <c r="L53" s="30">
        <f>IFERROR(__xludf.DUMMYFUNCTION("""COMPUTED_VALUE"""),0.6744186046511628)</f>
        <v>0.6744186047</v>
      </c>
      <c r="M53" s="30">
        <f>IFERROR(__xludf.DUMMYFUNCTION("""COMPUTED_VALUE"""),1.2790697674418605)</f>
        <v>1.279069767</v>
      </c>
      <c r="N53" s="30">
        <f>IFERROR(__xludf.DUMMYFUNCTION("""COMPUTED_VALUE"""),2.6744186046511627)</f>
        <v>2.674418605</v>
      </c>
      <c r="O53" s="30">
        <f>IFERROR(__xludf.DUMMYFUNCTION("""COMPUTED_VALUE"""),355.41085271317826)</f>
        <v>355.4108527</v>
      </c>
      <c r="P53" s="30">
        <f>IFERROR(__xludf.DUMMYFUNCTION("""COMPUTED_VALUE"""),0.7751937984496124)</f>
        <v>0.7751937984</v>
      </c>
      <c r="Q53" s="30">
        <f>IFERROR(__xludf.DUMMYFUNCTION("""COMPUTED_VALUE"""),0.6046511627906977)</f>
        <v>0.6046511628</v>
      </c>
      <c r="R53" s="30">
        <f>IFERROR(__xludf.DUMMYFUNCTION("""COMPUTED_VALUE"""),1.2868217054263569)</f>
        <v>1.286821705</v>
      </c>
      <c r="S53" s="30">
        <f>IFERROR(__xludf.DUMMYFUNCTION("""COMPUTED_VALUE"""),2.4108527131782944)</f>
        <v>2.410852713</v>
      </c>
      <c r="T53" s="30">
        <f>IFERROR(__xludf.DUMMYFUNCTION("""COMPUTED_VALUE"""),366.4584208466046)</f>
        <v>366.4584208</v>
      </c>
      <c r="U53" s="30">
        <f>IFERROR(__xludf.DUMMYFUNCTION("""COMPUTED_VALUE"""),0.8226968177924084)</f>
        <v>0.8226968178</v>
      </c>
      <c r="V53" s="30">
        <f>IFERROR(__xludf.DUMMYFUNCTION("""COMPUTED_VALUE"""),0.593660133886412)</f>
        <v>0.5936601339</v>
      </c>
      <c r="W53" s="30">
        <f>IFERROR(__xludf.DUMMYFUNCTION("""COMPUTED_VALUE"""),1.4041443165742615)</f>
        <v>1.404144317</v>
      </c>
      <c r="X53" s="30">
        <f>IFERROR(__xludf.DUMMYFUNCTION("""COMPUTED_VALUE"""),2.673031360870543)</f>
        <v>2.673031361</v>
      </c>
      <c r="Y53" s="30">
        <f>IFERROR(__xludf.DUMMYFUNCTION("""COMPUTED_VALUE"""),375.3581793306989)</f>
        <v>375.3581793</v>
      </c>
      <c r="Z53" s="30">
        <f>IFERROR(__xludf.DUMMYFUNCTION("""COMPUTED_VALUE"""),0.8424421530739986)</f>
        <v>0.8424421531</v>
      </c>
      <c r="AA53" s="30">
        <f>IFERROR(__xludf.DUMMYFUNCTION("""COMPUTED_VALUE"""),0.6522606689649293)</f>
        <v>0.652260669</v>
      </c>
      <c r="AB53" s="30">
        <f>IFERROR(__xludf.DUMMYFUNCTION("""COMPUTED_VALUE"""),1.4390868431676833)</f>
        <v>1.439086843</v>
      </c>
      <c r="AC53" s="30">
        <f>IFERROR(__xludf.DUMMYFUNCTION("""COMPUTED_VALUE"""),2.7609550704547345)</f>
        <v>2.76095507</v>
      </c>
      <c r="AD53" s="30">
        <f>IFERROR(__xludf.DUMMYFUNCTION("""COMPUTED_VALUE"""),1.0300239298531881)</f>
        <v>1.03002393</v>
      </c>
      <c r="AE53" s="30">
        <f>IFERROR(__xludf.DUMMYFUNCTION("""COMPUTED_VALUE"""),1.2146303579654891)</f>
        <v>1.214630358</v>
      </c>
      <c r="AF53" s="30">
        <f>IFERROR(__xludf.DUMMYFUNCTION("""COMPUTED_VALUE"""),1.0339709823702783)</f>
        <v>1.033970982</v>
      </c>
      <c r="AG53" s="30">
        <f>IFERROR(__xludf.DUMMYFUNCTION("""COMPUTED_VALUE"""),0.8888065188799885)</f>
        <v>0.8888065189</v>
      </c>
      <c r="AH53" s="30">
        <f>IFERROR(__xludf.DUMMYFUNCTION("""COMPUTED_VALUE"""),0.9686570539558548)</f>
        <v>0.968657054</v>
      </c>
      <c r="AI53" s="30">
        <f>IFERROR(__xludf.DUMMYFUNCTION("""COMPUTED_VALUE"""),0.9698531470285118)</f>
        <v>0.969853147</v>
      </c>
      <c r="AJ53" s="30">
        <f>IFERROR(__xludf.DUMMYFUNCTION("""COMPUTED_VALUE"""),0.9422593860636733)</f>
        <v>0.9422593861</v>
      </c>
      <c r="AK53" s="30">
        <f>IFERROR(__xludf.DUMMYFUNCTION("""COMPUTED_VALUE"""),1.018514008734817)</f>
        <v>1.018514009</v>
      </c>
      <c r="AL53" s="30">
        <f>IFERROR(__xludf.DUMMYFUNCTION("""COMPUTED_VALUE"""),0.9164454751815393)</f>
        <v>0.9164454752</v>
      </c>
      <c r="AM53" s="30">
        <f>IFERROR(__xludf.DUMMYFUNCTION("""COMPUTED_VALUE"""),0.9019171074719964)</f>
        <v>0.9019171075</v>
      </c>
      <c r="AN53" s="30">
        <f>IFERROR(__xludf.DUMMYFUNCTION("""COMPUTED_VALUE"""),1.059487428009827)</f>
        <v>1.059487428</v>
      </c>
      <c r="AO53" s="30">
        <f>IFERROR(__xludf.DUMMYFUNCTION("""COMPUTED_VALUE"""),1.2923172370364144)</f>
        <v>1.292317237</v>
      </c>
      <c r="AP53" s="30">
        <f>IFERROR(__xludf.DUMMYFUNCTION("""COMPUTED_VALUE"""),1.1329402855204056)</f>
        <v>1.132940286</v>
      </c>
      <c r="AQ53" s="30">
        <f>IFERROR(__xludf.DUMMYFUNCTION("""COMPUTED_VALUE"""),0.8892158772268325)</f>
        <v>0.8892158772</v>
      </c>
      <c r="AR53" s="30">
        <f>IFERROR(__xludf.DUMMYFUNCTION("""COMPUTED_VALUE"""),1.0084313710907462)</f>
        <v>1.008431371</v>
      </c>
      <c r="AS53" s="30">
        <f>IFERROR(__xludf.DUMMYFUNCTION("""COMPUTED_VALUE"""),121.0)</f>
        <v>121</v>
      </c>
      <c r="AT53" s="30">
        <f>IFERROR(__xludf.DUMMYFUNCTION("""COMPUTED_VALUE"""),0.575647983484308)</f>
        <v>0.5756479835</v>
      </c>
      <c r="AU53" s="30">
        <f>IFERROR(__xludf.DUMMYFUNCTION("""COMPUTED_VALUE"""),2.942260595767946)</f>
        <v>2.942260596</v>
      </c>
      <c r="AV53" s="32">
        <f>IFERROR(__xludf.DUMMYFUNCTION("""COMPUTED_VALUE"""),66.44484740026658)</f>
        <v>66.4448474</v>
      </c>
      <c r="AW53" s="32">
        <f>IFERROR(__xludf.DUMMYFUNCTION("""COMPUTED_VALUE"""),3.9164190954562335)</f>
        <v>3.916419095</v>
      </c>
      <c r="AX53" s="32">
        <f>IFERROR(__xludf.DUMMYFUNCTION("""COMPUTED_VALUE"""),65.57337402807508)</f>
        <v>65.57337403</v>
      </c>
      <c r="AY53" s="32">
        <f>IFERROR(__xludf.DUMMYFUNCTION("""COMPUTED_VALUE"""),3.7500426863590626)</f>
        <v>3.750042686</v>
      </c>
      <c r="AZ53" s="30">
        <f>IFERROR(__xludf.DUMMYFUNCTION("""COMPUTED_VALUE"""),0.16637640909717089)</f>
        <v>0.1663764091</v>
      </c>
      <c r="BA53" s="30">
        <f>IFERROR(__xludf.DUMMYFUNCTION("""COMPUTED_VALUE"""),2.0)</f>
        <v>2</v>
      </c>
    </row>
    <row r="54">
      <c r="A54" s="30" t="str">
        <f>IFERROR(__xludf.DUMMYFUNCTION("""COMPUTED_VALUE"""),"Premier")</f>
        <v>Premier</v>
      </c>
      <c r="B54" s="71" t="str">
        <f>IFERROR(__xludf.DUMMYFUNCTION("""COMPUTED_VALUE"""),"RSC005920")</f>
        <v>RSC005920</v>
      </c>
      <c r="C54" s="30" t="str">
        <f>IFERROR(__xludf.DUMMYFUNCTION("""COMPUTED_VALUE"""),"Lavar Ball")</f>
        <v>Lavar Ball</v>
      </c>
      <c r="D54" s="30" t="str">
        <f>IFERROR(__xludf.DUMMYFUNCTION("""COMPUTED_VALUE"""),"Capybaras")</f>
        <v>Capybaras</v>
      </c>
      <c r="E54" s="30">
        <f>IFERROR(__xludf.DUMMYFUNCTION("""COMPUTED_VALUE"""),20.0)</f>
        <v>20</v>
      </c>
      <c r="F54" s="30">
        <f>IFERROR(__xludf.DUMMYFUNCTION("""COMPUTED_VALUE"""),9.0)</f>
        <v>9</v>
      </c>
      <c r="G54" s="30">
        <f>IFERROR(__xludf.DUMMYFUNCTION("""COMPUTED_VALUE"""),11.0)</f>
        <v>11</v>
      </c>
      <c r="H54" s="42">
        <f>IFERROR(__xludf.DUMMYFUNCTION("""COMPUTED_VALUE"""),0.45)</f>
        <v>0.45</v>
      </c>
      <c r="I54" s="42">
        <f>IFERROR(__xludf.DUMMYFUNCTION("""COMPUTED_VALUE"""),0.1929824561403509)</f>
        <v>0.1929824561</v>
      </c>
      <c r="J54" s="30">
        <f>IFERROR(__xludf.DUMMYFUNCTION("""COMPUTED_VALUE"""),355.55)</f>
        <v>355.55</v>
      </c>
      <c r="K54" s="30">
        <f>IFERROR(__xludf.DUMMYFUNCTION("""COMPUTED_VALUE"""),0.55)</f>
        <v>0.55</v>
      </c>
      <c r="L54" s="30">
        <f>IFERROR(__xludf.DUMMYFUNCTION("""COMPUTED_VALUE"""),0.65)</f>
        <v>0.65</v>
      </c>
      <c r="M54" s="30">
        <f>IFERROR(__xludf.DUMMYFUNCTION("""COMPUTED_VALUE"""),1.45)</f>
        <v>1.45</v>
      </c>
      <c r="N54" s="30">
        <f>IFERROR(__xludf.DUMMYFUNCTION("""COMPUTED_VALUE"""),2.85)</f>
        <v>2.85</v>
      </c>
      <c r="O54" s="30">
        <f>IFERROR(__xludf.DUMMYFUNCTION("""COMPUTED_VALUE"""),377.08333333333337)</f>
        <v>377.0833333</v>
      </c>
      <c r="P54" s="30">
        <f>IFERROR(__xludf.DUMMYFUNCTION("""COMPUTED_VALUE"""),0.85)</f>
        <v>0.85</v>
      </c>
      <c r="Q54" s="30">
        <f>IFERROR(__xludf.DUMMYFUNCTION("""COMPUTED_VALUE"""),0.6)</f>
        <v>0.6</v>
      </c>
      <c r="R54" s="30">
        <f>IFERROR(__xludf.DUMMYFUNCTION("""COMPUTED_VALUE"""),1.4000000000000001)</f>
        <v>1.4</v>
      </c>
      <c r="S54" s="30">
        <f>IFERROR(__xludf.DUMMYFUNCTION("""COMPUTED_VALUE"""),2.666666666666667)</f>
        <v>2.666666667</v>
      </c>
      <c r="T54" s="30">
        <f>IFERROR(__xludf.DUMMYFUNCTION("""COMPUTED_VALUE"""),368.1411195657334)</f>
        <v>368.1411196</v>
      </c>
      <c r="U54" s="30">
        <f>IFERROR(__xludf.DUMMYFUNCTION("""COMPUTED_VALUE"""),0.8345965241996293)</f>
        <v>0.8345965242</v>
      </c>
      <c r="V54" s="30">
        <f>IFERROR(__xludf.DUMMYFUNCTION("""COMPUTED_VALUE"""),0.605756058367063)</f>
        <v>0.6057560584</v>
      </c>
      <c r="W54" s="30">
        <f>IFERROR(__xludf.DUMMYFUNCTION("""COMPUTED_VALUE"""),1.4301467129259742)</f>
        <v>1.430146713</v>
      </c>
      <c r="X54" s="30">
        <f>IFERROR(__xludf.DUMMYFUNCTION("""COMPUTED_VALUE"""),2.5255032165119875)</f>
        <v>2.525503217</v>
      </c>
      <c r="Y54" s="30">
        <f>IFERROR(__xludf.DUMMYFUNCTION("""COMPUTED_VALUE"""),366.2026394756942)</f>
        <v>366.2026395</v>
      </c>
      <c r="Z54" s="30">
        <f>IFERROR(__xludf.DUMMYFUNCTION("""COMPUTED_VALUE"""),0.8431060106349821)</f>
        <v>0.8431060106</v>
      </c>
      <c r="AA54" s="30">
        <f>IFERROR(__xludf.DUMMYFUNCTION("""COMPUTED_VALUE"""),0.6614673658105944)</f>
        <v>0.6614673658</v>
      </c>
      <c r="AB54" s="30">
        <f>IFERROR(__xludf.DUMMYFUNCTION("""COMPUTED_VALUE"""),1.2912925431596376)</f>
        <v>1.291292543</v>
      </c>
      <c r="AC54" s="30">
        <f>IFERROR(__xludf.DUMMYFUNCTION("""COMPUTED_VALUE"""),2.734708362452725)</f>
        <v>2.734708362</v>
      </c>
      <c r="AD54" s="30">
        <f>IFERROR(__xludf.DUMMYFUNCTION("""COMPUTED_VALUE"""),0.970910533329454)</f>
        <v>0.9709105333</v>
      </c>
      <c r="AE54" s="30">
        <f>IFERROR(__xludf.DUMMYFUNCTION("""COMPUTED_VALUE"""),0.6523497556206124)</f>
        <v>0.6523497556</v>
      </c>
      <c r="AF54" s="30">
        <f>IFERROR(__xludf.DUMMYFUNCTION("""COMPUTED_VALUE"""),0.9826637466890876)</f>
        <v>0.9826637467</v>
      </c>
      <c r="AG54" s="30">
        <f>IFERROR(__xludf.DUMMYFUNCTION("""COMPUTED_VALUE"""),1.1229058881204597)</f>
        <v>1.122905888</v>
      </c>
      <c r="AH54" s="30">
        <f>IFERROR(__xludf.DUMMYFUNCTION("""COMPUTED_VALUE"""),1.0421586590841707)</f>
        <v>1.042158659</v>
      </c>
      <c r="AI54" s="30">
        <f>IFERROR(__xludf.DUMMYFUNCTION("""COMPUTED_VALUE"""),1.0242901792066814)</f>
        <v>1.024290179</v>
      </c>
      <c r="AJ54" s="30">
        <f>IFERROR(__xludf.DUMMYFUNCTION("""COMPUTED_VALUE"""),1.0184561945248245)</f>
        <v>1.018456195</v>
      </c>
      <c r="AK54" s="30">
        <f>IFERROR(__xludf.DUMMYFUNCTION("""COMPUTED_VALUE"""),0.9904977287679472)</f>
        <v>0.9904977288</v>
      </c>
      <c r="AL54" s="30">
        <f>IFERROR(__xludf.DUMMYFUNCTION("""COMPUTED_VALUE"""),0.9789205452465111)</f>
        <v>0.9789205452</v>
      </c>
      <c r="AM54" s="30">
        <f>IFERROR(__xludf.DUMMYFUNCTION("""COMPUTED_VALUE"""),1.0558951773380207)</f>
        <v>1.055895177</v>
      </c>
      <c r="AN54" s="30">
        <f>IFERROR(__xludf.DUMMYFUNCTION("""COMPUTED_VALUE"""),0.9743237573679663)</f>
        <v>0.9743237574</v>
      </c>
      <c r="AO54" s="30">
        <f>IFERROR(__xludf.DUMMYFUNCTION("""COMPUTED_VALUE"""),0.6946205149070728)</f>
        <v>0.6946205149</v>
      </c>
      <c r="AP54" s="30">
        <f>IFERROR(__xludf.DUMMYFUNCTION("""COMPUTED_VALUE"""),1.0919200338032875)</f>
        <v>1.091920034</v>
      </c>
      <c r="AQ54" s="30">
        <f>IFERROR(__xludf.DUMMYFUNCTION("""COMPUTED_VALUE"""),1.0080474535471455)</f>
        <v>1.008047454</v>
      </c>
      <c r="AR54" s="30">
        <f>IFERROR(__xludf.DUMMYFUNCTION("""COMPUTED_VALUE"""),1.074637082844965)</f>
        <v>1.074637083</v>
      </c>
      <c r="AS54" s="30">
        <f>IFERROR(__xludf.DUMMYFUNCTION("""COMPUTED_VALUE"""),43.0)</f>
        <v>43</v>
      </c>
      <c r="AT54" s="30">
        <f>IFERROR(__xludf.DUMMYFUNCTION("""COMPUTED_VALUE"""),0.4338811624413912)</f>
        <v>0.4338811624</v>
      </c>
      <c r="AU54" s="30">
        <f>IFERROR(__xludf.DUMMYFUNCTION("""COMPUTED_VALUE"""),2.2128180182879307)</f>
        <v>2.212818018</v>
      </c>
      <c r="AV54" s="32">
        <f>IFERROR(__xludf.DUMMYFUNCTION("""COMPUTED_VALUE"""),44.40115109650591)</f>
        <v>44.4011511</v>
      </c>
      <c r="AW54" s="32">
        <f>IFERROR(__xludf.DUMMYFUNCTION("""COMPUTED_VALUE"""),-2.4307446488114572)</f>
        <v>-2.430744649</v>
      </c>
      <c r="AX54" s="32">
        <f>IFERROR(__xludf.DUMMYFUNCTION("""COMPUTED_VALUE"""),46.26185614243944)</f>
        <v>46.26185614</v>
      </c>
      <c r="AY54" s="32">
        <f>IFERROR(__xludf.DUMMYFUNCTION("""COMPUTED_VALUE"""),-2.2697899870147964)</f>
        <v>-2.269789987</v>
      </c>
      <c r="AZ54" s="30">
        <f>IFERROR(__xludf.DUMMYFUNCTION("""COMPUTED_VALUE"""),0.16095466179666085)</f>
        <v>0.1609546618</v>
      </c>
      <c r="BA54" s="30">
        <f>IFERROR(__xludf.DUMMYFUNCTION("""COMPUTED_VALUE"""),2.0)</f>
        <v>2</v>
      </c>
    </row>
    <row r="55">
      <c r="A55" s="30" t="str">
        <f>IFERROR(__xludf.DUMMYFUNCTION("""COMPUTED_VALUE"""),"Premier")</f>
        <v>Premier</v>
      </c>
      <c r="B55" s="71" t="str">
        <f>IFERROR(__xludf.DUMMYFUNCTION("""COMPUTED_VALUE"""),"RSC004090")</f>
        <v>RSC004090</v>
      </c>
      <c r="C55" s="30" t="str">
        <f>IFERROR(__xludf.DUMMYFUNCTION("""COMPUTED_VALUE"""),"LikeWisse")</f>
        <v>LikeWisse</v>
      </c>
      <c r="D55" s="30" t="str">
        <f>IFERROR(__xludf.DUMMYFUNCTION("""COMPUTED_VALUE"""),"Super Clusters")</f>
        <v>Super Clusters</v>
      </c>
      <c r="E55" s="30">
        <f>IFERROR(__xludf.DUMMYFUNCTION("""COMPUTED_VALUE"""),46.0)</f>
        <v>46</v>
      </c>
      <c r="F55" s="30">
        <f>IFERROR(__xludf.DUMMYFUNCTION("""COMPUTED_VALUE"""),27.0)</f>
        <v>27</v>
      </c>
      <c r="G55" s="30">
        <f>IFERROR(__xludf.DUMMYFUNCTION("""COMPUTED_VALUE"""),19.0)</f>
        <v>19</v>
      </c>
      <c r="H55" s="42">
        <f>IFERROR(__xludf.DUMMYFUNCTION("""COMPUTED_VALUE"""),0.5869565217391305)</f>
        <v>0.5869565217</v>
      </c>
      <c r="I55" s="42">
        <f>IFERROR(__xludf.DUMMYFUNCTION("""COMPUTED_VALUE"""),0.3902439024390244)</f>
        <v>0.3902439024</v>
      </c>
      <c r="J55" s="30">
        <f>IFERROR(__xludf.DUMMYFUNCTION("""COMPUTED_VALUE"""),400.4130434782609)</f>
        <v>400.4130435</v>
      </c>
      <c r="K55" s="30">
        <f>IFERROR(__xludf.DUMMYFUNCTION("""COMPUTED_VALUE"""),1.0434782608695652)</f>
        <v>1.043478261</v>
      </c>
      <c r="L55" s="30">
        <f>IFERROR(__xludf.DUMMYFUNCTION("""COMPUTED_VALUE"""),0.717391304347826)</f>
        <v>0.7173913043</v>
      </c>
      <c r="M55" s="30">
        <f>IFERROR(__xludf.DUMMYFUNCTION("""COMPUTED_VALUE"""),1.4565217391304348)</f>
        <v>1.456521739</v>
      </c>
      <c r="N55" s="30">
        <f>IFERROR(__xludf.DUMMYFUNCTION("""COMPUTED_VALUE"""),2.6739130434782608)</f>
        <v>2.673913043</v>
      </c>
      <c r="O55" s="30">
        <f>IFERROR(__xludf.DUMMYFUNCTION("""COMPUTED_VALUE"""),354.1159420289855)</f>
        <v>354.115942</v>
      </c>
      <c r="P55" s="30">
        <f>IFERROR(__xludf.DUMMYFUNCTION("""COMPUTED_VALUE"""),0.7608695652173914)</f>
        <v>0.7608695652</v>
      </c>
      <c r="Q55" s="30">
        <f>IFERROR(__xludf.DUMMYFUNCTION("""COMPUTED_VALUE"""),0.5942028985507247)</f>
        <v>0.5942028986</v>
      </c>
      <c r="R55" s="30">
        <f>IFERROR(__xludf.DUMMYFUNCTION("""COMPUTED_VALUE"""),1.2753623188405798)</f>
        <v>1.275362319</v>
      </c>
      <c r="S55" s="30">
        <f>IFERROR(__xludf.DUMMYFUNCTION("""COMPUTED_VALUE"""),2.3840579710144927)</f>
        <v>2.384057971</v>
      </c>
      <c r="T55" s="30">
        <f>IFERROR(__xludf.DUMMYFUNCTION("""COMPUTED_VALUE"""),364.5799112873667)</f>
        <v>364.5799113</v>
      </c>
      <c r="U55" s="30">
        <f>IFERROR(__xludf.DUMMYFUNCTION("""COMPUTED_VALUE"""),0.8117081714111253)</f>
        <v>0.8117081714</v>
      </c>
      <c r="V55" s="30">
        <f>IFERROR(__xludf.DUMMYFUNCTION("""COMPUTED_VALUE"""),0.6042251795096863)</f>
        <v>0.6042251795</v>
      </c>
      <c r="W55" s="30">
        <f>IFERROR(__xludf.DUMMYFUNCTION("""COMPUTED_VALUE"""),1.3966394962088189)</f>
        <v>1.396639496</v>
      </c>
      <c r="X55" s="30">
        <f>IFERROR(__xludf.DUMMYFUNCTION("""COMPUTED_VALUE"""),2.639827521871218)</f>
        <v>2.639827522</v>
      </c>
      <c r="Y55" s="30">
        <f>IFERROR(__xludf.DUMMYFUNCTION("""COMPUTED_VALUE"""),373.6731938267421)</f>
        <v>373.6731938</v>
      </c>
      <c r="Z55" s="30">
        <f>IFERROR(__xludf.DUMMYFUNCTION("""COMPUTED_VALUE"""),0.8432153321485957)</f>
        <v>0.8432153321</v>
      </c>
      <c r="AA55" s="30">
        <f>IFERROR(__xludf.DUMMYFUNCTION("""COMPUTED_VALUE"""),0.6488175020037237)</f>
        <v>0.648817502</v>
      </c>
      <c r="AB55" s="30">
        <f>IFERROR(__xludf.DUMMYFUNCTION("""COMPUTED_VALUE"""),1.4208524491621806)</f>
        <v>1.420852449</v>
      </c>
      <c r="AC55" s="30">
        <f>IFERROR(__xludf.DUMMYFUNCTION("""COMPUTED_VALUE"""),2.756006405093833)</f>
        <v>2.756006405</v>
      </c>
      <c r="AD55" s="30">
        <f>IFERROR(__xludf.DUMMYFUNCTION("""COMPUTED_VALUE"""),1.0715594538042166)</f>
        <v>1.071559454</v>
      </c>
      <c r="AE55" s="30">
        <f>IFERROR(__xludf.DUMMYFUNCTION("""COMPUTED_VALUE"""),1.237499154825233)</f>
        <v>1.237499155</v>
      </c>
      <c r="AF55" s="30">
        <f>IFERROR(__xludf.DUMMYFUNCTION("""COMPUTED_VALUE"""),1.105690432413318)</f>
        <v>1.105690432</v>
      </c>
      <c r="AG55" s="30">
        <f>IFERROR(__xludf.DUMMYFUNCTION("""COMPUTED_VALUE"""),1.02510414785806)</f>
        <v>1.025104148</v>
      </c>
      <c r="AH55" s="30">
        <f>IFERROR(__xludf.DUMMYFUNCTION("""COMPUTED_VALUE"""),0.9702129278568288)</f>
        <v>0.9702129279</v>
      </c>
      <c r="AI55" s="30">
        <f>IFERROR(__xludf.DUMMYFUNCTION("""COMPUTED_VALUE"""),0.9712985577800161)</f>
        <v>0.9712985578</v>
      </c>
      <c r="AJ55" s="30">
        <f>IFERROR(__xludf.DUMMYFUNCTION("""COMPUTED_VALUE"""),0.9373683695886013)</f>
        <v>0.9373683696</v>
      </c>
      <c r="AK55" s="30">
        <f>IFERROR(__xludf.DUMMYFUNCTION("""COMPUTED_VALUE"""),0.9834130034648764)</f>
        <v>0.9834130035</v>
      </c>
      <c r="AL55" s="30">
        <f>IFERROR(__xludf.DUMMYFUNCTION("""COMPUTED_VALUE"""),0.9131650095121567)</f>
        <v>0.9131650095</v>
      </c>
      <c r="AM55" s="30">
        <f>IFERROR(__xludf.DUMMYFUNCTION("""COMPUTED_VALUE"""),0.903111264377066)</f>
        <v>0.9031112644</v>
      </c>
      <c r="AN55" s="30">
        <f>IFERROR(__xludf.DUMMYFUNCTION("""COMPUTED_VALUE"""),1.0972632288591815)</f>
        <v>1.097263229</v>
      </c>
      <c r="AO55" s="30">
        <f>IFERROR(__xludf.DUMMYFUNCTION("""COMPUTED_VALUE"""),1.3178571033810074)</f>
        <v>1.317857103</v>
      </c>
      <c r="AP55" s="30">
        <f>IFERROR(__xludf.DUMMYFUNCTION("""COMPUTED_VALUE"""),1.2051291342979427)</f>
        <v>1.205129134</v>
      </c>
      <c r="AQ55" s="30">
        <f>IFERROR(__xludf.DUMMYFUNCTION("""COMPUTED_VALUE"""),1.012581400114824)</f>
        <v>1.0125814</v>
      </c>
      <c r="AR55" s="30">
        <f>IFERROR(__xludf.DUMMYFUNCTION("""COMPUTED_VALUE"""),1.0082407413419578)</f>
        <v>1.008240741</v>
      </c>
      <c r="AS55" s="30">
        <f>IFERROR(__xludf.DUMMYFUNCTION("""COMPUTED_VALUE"""),132.0)</f>
        <v>132</v>
      </c>
      <c r="AT55" s="30">
        <f>IFERROR(__xludf.DUMMYFUNCTION("""COMPUTED_VALUE"""),0.5905726379666191)</f>
        <v>0.590572638</v>
      </c>
      <c r="AU55" s="30">
        <f>IFERROR(__xludf.DUMMYFUNCTION("""COMPUTED_VALUE"""),3.0837695269206042)</f>
        <v>3.083769527</v>
      </c>
      <c r="AV55" s="32">
        <f>IFERROR(__xludf.DUMMYFUNCTION("""COMPUTED_VALUE"""),70.72123597272338)</f>
        <v>70.72123597</v>
      </c>
      <c r="AW55" s="32">
        <f>IFERROR(__xludf.DUMMYFUNCTION("""COMPUTED_VALUE"""),4.911716696477276)</f>
        <v>4.911716696</v>
      </c>
      <c r="AX55" s="32">
        <f>IFERROR(__xludf.DUMMYFUNCTION("""COMPUTED_VALUE"""),70.7109878083181)</f>
        <v>70.71098781</v>
      </c>
      <c r="AY55" s="32">
        <f>IFERROR(__xludf.DUMMYFUNCTION("""COMPUTED_VALUE"""),4.908919449327045)</f>
        <v>4.908919449</v>
      </c>
      <c r="AZ55" s="30">
        <f>IFERROR(__xludf.DUMMYFUNCTION("""COMPUTED_VALUE"""),0.002797247150231108)</f>
        <v>0.00279724715</v>
      </c>
      <c r="BA55" s="30">
        <f>IFERROR(__xludf.DUMMYFUNCTION("""COMPUTED_VALUE"""),2.0)</f>
        <v>2</v>
      </c>
    </row>
    <row r="56">
      <c r="A56" s="30" t="str">
        <f>IFERROR(__xludf.DUMMYFUNCTION("""COMPUTED_VALUE"""),"Master")</f>
        <v>Master</v>
      </c>
      <c r="B56" s="30" t="str">
        <f>IFERROR(__xludf.DUMMYFUNCTION("""COMPUTED_VALUE"""),"RSC006704")</f>
        <v>RSC006704</v>
      </c>
      <c r="C56" s="30" t="str">
        <f>IFERROR(__xludf.DUMMYFUNCTION("""COMPUTED_VALUE"""),"noah")</f>
        <v>noah</v>
      </c>
      <c r="D56" s="30"/>
      <c r="E56" s="30">
        <f>IFERROR(__xludf.DUMMYFUNCTION("""COMPUTED_VALUE"""),4.0)</f>
        <v>4</v>
      </c>
      <c r="F56" s="30">
        <f>IFERROR(__xludf.DUMMYFUNCTION("""COMPUTED_VALUE"""),0.0)</f>
        <v>0</v>
      </c>
      <c r="G56" s="30">
        <f>IFERROR(__xludf.DUMMYFUNCTION("""COMPUTED_VALUE"""),4.0)</f>
        <v>4</v>
      </c>
      <c r="H56" s="42">
        <f>IFERROR(__xludf.DUMMYFUNCTION("""COMPUTED_VALUE"""),0.0)</f>
        <v>0</v>
      </c>
      <c r="I56" s="42">
        <f>IFERROR(__xludf.DUMMYFUNCTION("""COMPUTED_VALUE"""),0.0)</f>
        <v>0</v>
      </c>
      <c r="J56" s="30">
        <f>IFERROR(__xludf.DUMMYFUNCTION("""COMPUTED_VALUE"""),175.25)</f>
        <v>175.25</v>
      </c>
      <c r="K56" s="30">
        <f>IFERROR(__xludf.DUMMYFUNCTION("""COMPUTED_VALUE"""),0.0)</f>
        <v>0</v>
      </c>
      <c r="L56" s="30">
        <f>IFERROR(__xludf.DUMMYFUNCTION("""COMPUTED_VALUE"""),0.25)</f>
        <v>0.25</v>
      </c>
      <c r="M56" s="30">
        <f>IFERROR(__xludf.DUMMYFUNCTION("""COMPUTED_VALUE"""),0.75)</f>
        <v>0.75</v>
      </c>
      <c r="N56" s="30">
        <f>IFERROR(__xludf.DUMMYFUNCTION("""COMPUTED_VALUE"""),2.25)</f>
        <v>2.25</v>
      </c>
      <c r="O56" s="30">
        <f>IFERROR(__xludf.DUMMYFUNCTION("""COMPUTED_VALUE"""),447.8333333333333)</f>
        <v>447.8333333</v>
      </c>
      <c r="P56" s="30">
        <f>IFERROR(__xludf.DUMMYFUNCTION("""COMPUTED_VALUE"""),1.1666666666666667)</f>
        <v>1.166666667</v>
      </c>
      <c r="Q56" s="30">
        <f>IFERROR(__xludf.DUMMYFUNCTION("""COMPUTED_VALUE"""),0.8333333333333334)</f>
        <v>0.8333333333</v>
      </c>
      <c r="R56" s="30">
        <f>IFERROR(__xludf.DUMMYFUNCTION("""COMPUTED_VALUE"""),2.0)</f>
        <v>2</v>
      </c>
      <c r="S56" s="30">
        <f>IFERROR(__xludf.DUMMYFUNCTION("""COMPUTED_VALUE"""),3.0)</f>
        <v>3</v>
      </c>
      <c r="T56" s="30">
        <f>IFERROR(__xludf.DUMMYFUNCTION("""COMPUTED_VALUE"""),443.8611111111111)</f>
        <v>443.8611111</v>
      </c>
      <c r="U56" s="30">
        <f>IFERROR(__xludf.DUMMYFUNCTION("""COMPUTED_VALUE"""),1.2208333333333334)</f>
        <v>1.220833333</v>
      </c>
      <c r="V56" s="30">
        <f>IFERROR(__xludf.DUMMYFUNCTION("""COMPUTED_VALUE"""),0.9537037037037037)</f>
        <v>0.9537037037</v>
      </c>
      <c r="W56" s="30">
        <f>IFERROR(__xludf.DUMMYFUNCTION("""COMPUTED_VALUE"""),1.3643518518518516)</f>
        <v>1.364351852</v>
      </c>
      <c r="X56" s="30">
        <f>IFERROR(__xludf.DUMMYFUNCTION("""COMPUTED_VALUE"""),3.386574074074074)</f>
        <v>3.386574074</v>
      </c>
      <c r="Y56" s="30">
        <f>IFERROR(__xludf.DUMMYFUNCTION("""COMPUTED_VALUE"""),346.50493827160494)</f>
        <v>346.5049383</v>
      </c>
      <c r="Z56" s="30">
        <f>IFERROR(__xludf.DUMMYFUNCTION("""COMPUTED_VALUE"""),0.6223765432098765)</f>
        <v>0.6223765432</v>
      </c>
      <c r="AA56" s="30">
        <f>IFERROR(__xludf.DUMMYFUNCTION("""COMPUTED_VALUE"""),0.5023148148148148)</f>
        <v>0.5023148148</v>
      </c>
      <c r="AB56" s="30">
        <f>IFERROR(__xludf.DUMMYFUNCTION("""COMPUTED_VALUE"""),1.5697530864197529)</f>
        <v>1.569753086</v>
      </c>
      <c r="AC56" s="30">
        <f>IFERROR(__xludf.DUMMYFUNCTION("""COMPUTED_VALUE"""),2.33533950617284)</f>
        <v>2.335339506</v>
      </c>
      <c r="AD56" s="30">
        <f>IFERROR(__xludf.DUMMYFUNCTION("""COMPUTED_VALUE"""),0.5057647976798293)</f>
        <v>0.5057647977</v>
      </c>
      <c r="AE56" s="30">
        <f>IFERROR(__xludf.DUMMYFUNCTION("""COMPUTED_VALUE"""),0.0)</f>
        <v>0</v>
      </c>
      <c r="AF56" s="30">
        <f>IFERROR(__xludf.DUMMYFUNCTION("""COMPUTED_VALUE"""),0.4976958525345623)</f>
        <v>0.4976958525</v>
      </c>
      <c r="AG56" s="30">
        <f>IFERROR(__xludf.DUMMYFUNCTION("""COMPUTED_VALUE"""),0.47778214707038935)</f>
        <v>0.4777821471</v>
      </c>
      <c r="AH56" s="30">
        <f>IFERROR(__xludf.DUMMYFUNCTION("""COMPUTED_VALUE"""),0.9634573448754377)</f>
        <v>0.9634573449</v>
      </c>
      <c r="AI56" s="30">
        <f>IFERROR(__xludf.DUMMYFUNCTION("""COMPUTED_VALUE"""),1.0089492458852243)</f>
        <v>1.008949246</v>
      </c>
      <c r="AJ56" s="30">
        <f>IFERROR(__xludf.DUMMYFUNCTION("""COMPUTED_VALUE"""),0.9556313993174061)</f>
        <v>0.9556313993</v>
      </c>
      <c r="AK56" s="30">
        <f>IFERROR(__xludf.DUMMYFUNCTION("""COMPUTED_VALUE"""),0.8737864077669903)</f>
        <v>0.8737864078</v>
      </c>
      <c r="AL56" s="30">
        <f>IFERROR(__xludf.DUMMYFUNCTION("""COMPUTED_VALUE"""),1.4658975229046491)</f>
        <v>1.465897523</v>
      </c>
      <c r="AM56" s="30">
        <f>IFERROR(__xludf.DUMMYFUNCTION("""COMPUTED_VALUE"""),0.885850991114149)</f>
        <v>0.8858509911</v>
      </c>
      <c r="AN56" s="30">
        <f>IFERROR(__xludf.DUMMYFUNCTION("""COMPUTED_VALUE"""),0.4674047547422143)</f>
        <v>0.4674047547</v>
      </c>
      <c r="AO56" s="30">
        <f>IFERROR(__xludf.DUMMYFUNCTION("""COMPUTED_VALUE"""),0.0)</f>
        <v>0</v>
      </c>
      <c r="AP56" s="30">
        <f>IFERROR(__xludf.DUMMYFUNCTION("""COMPUTED_VALUE"""),0.3852959125378085)</f>
        <v>0.3852959125</v>
      </c>
      <c r="AQ56" s="30">
        <f>IFERROR(__xludf.DUMMYFUNCTION("""COMPUTED_VALUE"""),0.5161958503189782)</f>
        <v>0.5161958503</v>
      </c>
      <c r="AR56" s="30">
        <f>IFERROR(__xludf.DUMMYFUNCTION("""COMPUTED_VALUE"""),0.8277391176646025)</f>
        <v>0.8277391177</v>
      </c>
      <c r="AS56" s="30">
        <f>IFERROR(__xludf.DUMMYFUNCTION("""COMPUTED_VALUE"""),2.0)</f>
        <v>2</v>
      </c>
      <c r="AT56" s="30">
        <f>IFERROR(__xludf.DUMMYFUNCTION("""COMPUTED_VALUE"""),0.052313469115238466)</f>
        <v>0.05231346912</v>
      </c>
      <c r="AU56" s="30">
        <f>IFERROR(__xludf.DUMMYFUNCTION("""COMPUTED_VALUE"""),0.7052329350788068)</f>
        <v>0.7052329351</v>
      </c>
      <c r="AV56" s="32">
        <f>IFERROR(__xludf.DUMMYFUNCTION("""COMPUTED_VALUE"""),-13.00363684332845)</f>
        <v>-13.00363684</v>
      </c>
      <c r="AW56" s="32">
        <f>IFERROR(__xludf.DUMMYFUNCTION("""COMPUTED_VALUE"""),-170.493765860035)</f>
        <v>-170.4937659</v>
      </c>
      <c r="AX56" s="32">
        <f>IFERROR(__xludf.DUMMYFUNCTION("""COMPUTED_VALUE"""),-29.985877861715977)</f>
        <v>-29.98587786</v>
      </c>
      <c r="AY56" s="32">
        <f>IFERROR(__xludf.DUMMYFUNCTION("""COMPUTED_VALUE"""),-1452.4625857779547)</f>
        <v>-1452.462586</v>
      </c>
      <c r="AZ56" s="30">
        <f>IFERROR(__xludf.DUMMYFUNCTION("""COMPUTED_VALUE"""),1281.9688199179197)</f>
        <v>1281.96882</v>
      </c>
      <c r="BA56" s="30">
        <f>IFERROR(__xludf.DUMMYFUNCTION("""COMPUTED_VALUE"""),450.0)</f>
        <v>450</v>
      </c>
    </row>
    <row r="57">
      <c r="A57" s="30" t="str">
        <f>IFERROR(__xludf.DUMMYFUNCTION("""COMPUTED_VALUE"""),"Master")</f>
        <v>Master</v>
      </c>
      <c r="B57" s="30" t="str">
        <f>IFERROR(__xludf.DUMMYFUNCTION("""COMPUTED_VALUE"""),"RSC005301")</f>
        <v>RSC005301</v>
      </c>
      <c r="C57" s="30" t="str">
        <f>IFERROR(__xludf.DUMMYFUNCTION("""COMPUTED_VALUE"""),"Nehtaro")</f>
        <v>Nehtaro</v>
      </c>
      <c r="D57" s="30"/>
      <c r="E57" s="30">
        <f>IFERROR(__xludf.DUMMYFUNCTION("""COMPUTED_VALUE"""),2.0)</f>
        <v>2</v>
      </c>
      <c r="F57" s="30">
        <f>IFERROR(__xludf.DUMMYFUNCTION("""COMPUTED_VALUE"""),0.0)</f>
        <v>0</v>
      </c>
      <c r="G57" s="30">
        <f>IFERROR(__xludf.DUMMYFUNCTION("""COMPUTED_VALUE"""),2.0)</f>
        <v>2</v>
      </c>
      <c r="H57" s="42">
        <f>IFERROR(__xludf.DUMMYFUNCTION("""COMPUTED_VALUE"""),0.0)</f>
        <v>0</v>
      </c>
      <c r="I57" s="42">
        <f>IFERROR(__xludf.DUMMYFUNCTION("""COMPUTED_VALUE"""),0.0)</f>
        <v>0</v>
      </c>
      <c r="J57" s="30">
        <f>IFERROR(__xludf.DUMMYFUNCTION("""COMPUTED_VALUE"""),239.5)</f>
        <v>239.5</v>
      </c>
      <c r="K57" s="30">
        <f>IFERROR(__xludf.DUMMYFUNCTION("""COMPUTED_VALUE"""),0.0)</f>
        <v>0</v>
      </c>
      <c r="L57" s="30">
        <f>IFERROR(__xludf.DUMMYFUNCTION("""COMPUTED_VALUE"""),0.5)</f>
        <v>0.5</v>
      </c>
      <c r="M57" s="30">
        <f>IFERROR(__xludf.DUMMYFUNCTION("""COMPUTED_VALUE"""),1.5)</f>
        <v>1.5</v>
      </c>
      <c r="N57" s="30">
        <f>IFERROR(__xludf.DUMMYFUNCTION("""COMPUTED_VALUE"""),2.5)</f>
        <v>2.5</v>
      </c>
      <c r="O57" s="30">
        <f>IFERROR(__xludf.DUMMYFUNCTION("""COMPUTED_VALUE"""),530.0)</f>
        <v>530</v>
      </c>
      <c r="P57" s="30">
        <f>IFERROR(__xludf.DUMMYFUNCTION("""COMPUTED_VALUE"""),1.5)</f>
        <v>1.5</v>
      </c>
      <c r="Q57" s="30">
        <f>IFERROR(__xludf.DUMMYFUNCTION("""COMPUTED_VALUE"""),1.5)</f>
        <v>1.5</v>
      </c>
      <c r="R57" s="30">
        <f>IFERROR(__xludf.DUMMYFUNCTION("""COMPUTED_VALUE"""),2.0)</f>
        <v>2</v>
      </c>
      <c r="S57" s="30">
        <f>IFERROR(__xludf.DUMMYFUNCTION("""COMPUTED_VALUE"""),4.0)</f>
        <v>4</v>
      </c>
      <c r="T57" s="30">
        <f>IFERROR(__xludf.DUMMYFUNCTION("""COMPUTED_VALUE"""),382.66533776301213)</f>
        <v>382.6653378</v>
      </c>
      <c r="U57" s="30">
        <f>IFERROR(__xludf.DUMMYFUNCTION("""COMPUTED_VALUE"""),0.9502569781639548)</f>
        <v>0.9502569782</v>
      </c>
      <c r="V57" s="30">
        <f>IFERROR(__xludf.DUMMYFUNCTION("""COMPUTED_VALUE"""),0.7088735553851833)</f>
        <v>0.7088735554</v>
      </c>
      <c r="W57" s="30">
        <f>IFERROR(__xludf.DUMMYFUNCTION("""COMPUTED_VALUE"""),1.476076894681546)</f>
        <v>1.476076895</v>
      </c>
      <c r="X57" s="30">
        <f>IFERROR(__xludf.DUMMYFUNCTION("""COMPUTED_VALUE"""),3.026634863844166)</f>
        <v>3.026634864</v>
      </c>
      <c r="Y57" s="30">
        <f>IFERROR(__xludf.DUMMYFUNCTION("""COMPUTED_VALUE"""),420.75706808264954)</f>
        <v>420.7570681</v>
      </c>
      <c r="Z57" s="30">
        <f>IFERROR(__xludf.DUMMYFUNCTION("""COMPUTED_VALUE"""),1.0791189860957304)</f>
        <v>1.079118986</v>
      </c>
      <c r="AA57" s="30">
        <f>IFERROR(__xludf.DUMMYFUNCTION("""COMPUTED_VALUE"""),0.8508050089445437)</f>
        <v>0.8508050089</v>
      </c>
      <c r="AB57" s="30">
        <f>IFERROR(__xludf.DUMMYFUNCTION("""COMPUTED_VALUE"""),1.5624764554997117)</f>
        <v>1.562476455</v>
      </c>
      <c r="AC57" s="30">
        <f>IFERROR(__xludf.DUMMYFUNCTION("""COMPUTED_VALUE"""),3.067370872022035)</f>
        <v>3.067370872</v>
      </c>
      <c r="AD57" s="30">
        <f>IFERROR(__xludf.DUMMYFUNCTION("""COMPUTED_VALUE"""),0.5692120659823471)</f>
        <v>0.569212066</v>
      </c>
      <c r="AE57" s="30">
        <f>IFERROR(__xludf.DUMMYFUNCTION("""COMPUTED_VALUE"""),0.0)</f>
        <v>0</v>
      </c>
      <c r="AF57" s="30">
        <f>IFERROR(__xludf.DUMMYFUNCTION("""COMPUTED_VALUE"""),0.5876787216148025)</f>
        <v>0.5876787216</v>
      </c>
      <c r="AG57" s="30">
        <f>IFERROR(__xludf.DUMMYFUNCTION("""COMPUTED_VALUE"""),0.9600144659589571)</f>
        <v>0.960014466</v>
      </c>
      <c r="AH57" s="30">
        <f>IFERROR(__xludf.DUMMYFUNCTION("""COMPUTED_VALUE"""),0.8150302341340225)</f>
        <v>0.8150302341</v>
      </c>
      <c r="AI57" s="30">
        <f>IFERROR(__xludf.DUMMYFUNCTION("""COMPUTED_VALUE"""),1.3850222314314589)</f>
        <v>1.385022231</v>
      </c>
      <c r="AJ57" s="30">
        <f>IFERROR(__xludf.DUMMYFUNCTION("""COMPUTED_VALUE"""),1.5785203734028186)</f>
        <v>1.578520373</v>
      </c>
      <c r="AK57" s="30">
        <f>IFERROR(__xludf.DUMMYFUNCTION("""COMPUTED_VALUE"""),2.116033231321402)</f>
        <v>2.116033231</v>
      </c>
      <c r="AL57" s="30">
        <f>IFERROR(__xludf.DUMMYFUNCTION("""COMPUTED_VALUE"""),1.3549429621222322)</f>
        <v>1.354942962</v>
      </c>
      <c r="AM57" s="30">
        <f>IFERROR(__xludf.DUMMYFUNCTION("""COMPUTED_VALUE"""),1.3215997898469825)</f>
        <v>1.32159979</v>
      </c>
      <c r="AN57" s="30">
        <f>IFERROR(__xludf.DUMMYFUNCTION("""COMPUTED_VALUE"""),0.6387642725293029)</f>
        <v>0.6387642725</v>
      </c>
      <c r="AO57" s="30">
        <f>IFERROR(__xludf.DUMMYFUNCTION("""COMPUTED_VALUE"""),0.0)</f>
        <v>0</v>
      </c>
      <c r="AP57" s="30">
        <f>IFERROR(__xludf.DUMMYFUNCTION("""COMPUTED_VALUE"""),0.770591825075617)</f>
        <v>0.7705918251</v>
      </c>
      <c r="AQ57" s="30">
        <f>IFERROR(__xludf.DUMMYFUNCTION("""COMPUTED_VALUE"""),1.0323917006379564)</f>
        <v>1.032391701</v>
      </c>
      <c r="AR57" s="30">
        <f>IFERROR(__xludf.DUMMYFUNCTION("""COMPUTED_VALUE"""),0.9197101307384473)</f>
        <v>0.9197101307</v>
      </c>
      <c r="AS57" s="30">
        <f>IFERROR(__xludf.DUMMYFUNCTION("""COMPUTED_VALUE"""),5.0)</f>
        <v>5</v>
      </c>
      <c r="AT57" s="30">
        <f>IFERROR(__xludf.DUMMYFUNCTION("""COMPUTED_VALUE"""),0.26357777693216294)</f>
        <v>0.2635777769</v>
      </c>
      <c r="AU57" s="30">
        <f>IFERROR(__xludf.DUMMYFUNCTION("""COMPUTED_VALUE"""),0.3519053711496976)</f>
        <v>0.3519053711</v>
      </c>
      <c r="AV57" s="32">
        <f>IFERROR(__xludf.DUMMYFUNCTION("""COMPUTED_VALUE"""),-22.42418605567302)</f>
        <v>-22.42418606</v>
      </c>
      <c r="AW57" s="32">
        <f>IFERROR(__xludf.DUMMYFUNCTION("""COMPUTED_VALUE"""),-530.8012612884805)</f>
        <v>-530.8012613</v>
      </c>
      <c r="AX57" s="32">
        <f>IFERROR(__xludf.DUMMYFUNCTION("""COMPUTED_VALUE"""),-26.13522380520415)</f>
        <v>-26.13522381</v>
      </c>
      <c r="AY57" s="32">
        <f>IFERROR(__xludf.DUMMYFUNCTION("""COMPUTED_VALUE"""),-860.7180821656923)</f>
        <v>-860.7180822</v>
      </c>
      <c r="AZ57" s="30">
        <f>IFERROR(__xludf.DUMMYFUNCTION("""COMPUTED_VALUE"""),329.91682087721176)</f>
        <v>329.9168209</v>
      </c>
      <c r="BA57" s="30">
        <f>IFERROR(__xludf.DUMMYFUNCTION("""COMPUTED_VALUE"""),450.0)</f>
        <v>450</v>
      </c>
    </row>
    <row r="58">
      <c r="A58" s="30" t="str">
        <f>IFERROR(__xludf.DUMMYFUNCTION("""COMPUTED_VALUE"""),"Master")</f>
        <v>Master</v>
      </c>
      <c r="B58" s="30" t="str">
        <f>IFERROR(__xludf.DUMMYFUNCTION("""COMPUTED_VALUE"""),"RSC007924")</f>
        <v>RSC007924</v>
      </c>
      <c r="C58" s="30" t="str">
        <f>IFERROR(__xludf.DUMMYFUNCTION("""COMPUTED_VALUE"""),"Kaorix")</f>
        <v>Kaorix</v>
      </c>
      <c r="D58" s="30"/>
      <c r="E58" s="30">
        <f>IFERROR(__xludf.DUMMYFUNCTION("""COMPUTED_VALUE"""),4.0)</f>
        <v>4</v>
      </c>
      <c r="F58" s="30">
        <f>IFERROR(__xludf.DUMMYFUNCTION("""COMPUTED_VALUE"""),1.0)</f>
        <v>1</v>
      </c>
      <c r="G58" s="30">
        <f>IFERROR(__xludf.DUMMYFUNCTION("""COMPUTED_VALUE"""),3.0)</f>
        <v>3</v>
      </c>
      <c r="H58" s="42">
        <f>IFERROR(__xludf.DUMMYFUNCTION("""COMPUTED_VALUE"""),0.25)</f>
        <v>0.25</v>
      </c>
      <c r="I58" s="42">
        <f>IFERROR(__xludf.DUMMYFUNCTION("""COMPUTED_VALUE"""),0.14285714285714285)</f>
        <v>0.1428571429</v>
      </c>
      <c r="J58" s="30">
        <f>IFERROR(__xludf.DUMMYFUNCTION("""COMPUTED_VALUE"""),249.25)</f>
        <v>249.25</v>
      </c>
      <c r="K58" s="30">
        <f>IFERROR(__xludf.DUMMYFUNCTION("""COMPUTED_VALUE"""),0.25)</f>
        <v>0.25</v>
      </c>
      <c r="L58" s="30">
        <f>IFERROR(__xludf.DUMMYFUNCTION("""COMPUTED_VALUE"""),0.0)</f>
        <v>0</v>
      </c>
      <c r="M58" s="30">
        <f>IFERROR(__xludf.DUMMYFUNCTION("""COMPUTED_VALUE"""),1.25)</f>
        <v>1.25</v>
      </c>
      <c r="N58" s="30">
        <f>IFERROR(__xludf.DUMMYFUNCTION("""COMPUTED_VALUE"""),1.75)</f>
        <v>1.75</v>
      </c>
      <c r="O58" s="30">
        <f>IFERROR(__xludf.DUMMYFUNCTION("""COMPUTED_VALUE"""),385.8333333333333)</f>
        <v>385.8333333</v>
      </c>
      <c r="P58" s="30">
        <f>IFERROR(__xludf.DUMMYFUNCTION("""COMPUTED_VALUE"""),1.0833333333333335)</f>
        <v>1.083333333</v>
      </c>
      <c r="Q58" s="30">
        <f>IFERROR(__xludf.DUMMYFUNCTION("""COMPUTED_VALUE"""),0.7499999999999999)</f>
        <v>0.75</v>
      </c>
      <c r="R58" s="30">
        <f>IFERROR(__xludf.DUMMYFUNCTION("""COMPUTED_VALUE"""),1.0833333333333333)</f>
        <v>1.083333333</v>
      </c>
      <c r="S58" s="30">
        <f>IFERROR(__xludf.DUMMYFUNCTION("""COMPUTED_VALUE"""),2.75)</f>
        <v>2.75</v>
      </c>
      <c r="T58" s="30">
        <f>IFERROR(__xludf.DUMMYFUNCTION("""COMPUTED_VALUE"""),402.99964367990685)</f>
        <v>402.9996437</v>
      </c>
      <c r="U58" s="30">
        <f>IFERROR(__xludf.DUMMYFUNCTION("""COMPUTED_VALUE"""),0.9452880939723045)</f>
        <v>0.945288094</v>
      </c>
      <c r="V58" s="30">
        <f>IFERROR(__xludf.DUMMYFUNCTION("""COMPUTED_VALUE"""),0.7048929141034403)</f>
        <v>0.7048929141</v>
      </c>
      <c r="W58" s="30">
        <f>IFERROR(__xludf.DUMMYFUNCTION("""COMPUTED_VALUE"""),1.420889977468925)</f>
        <v>1.420889977</v>
      </c>
      <c r="X58" s="30">
        <f>IFERROR(__xludf.DUMMYFUNCTION("""COMPUTED_VALUE"""),3.016977101845523)</f>
        <v>3.016977102</v>
      </c>
      <c r="Y58" s="30">
        <f>IFERROR(__xludf.DUMMYFUNCTION("""COMPUTED_VALUE"""),379.73705918837493)</f>
        <v>379.7370592</v>
      </c>
      <c r="Z58" s="30">
        <f>IFERROR(__xludf.DUMMYFUNCTION("""COMPUTED_VALUE"""),0.7524321114233394)</f>
        <v>0.7524321114</v>
      </c>
      <c r="AA58" s="30">
        <f>IFERROR(__xludf.DUMMYFUNCTION("""COMPUTED_VALUE"""),0.5585799515624077)</f>
        <v>0.5585799516</v>
      </c>
      <c r="AB58" s="30">
        <f>IFERROR(__xludf.DUMMYFUNCTION("""COMPUTED_VALUE"""),1.6299683341350006)</f>
        <v>1.629968334</v>
      </c>
      <c r="AC58" s="30">
        <f>IFERROR(__xludf.DUMMYFUNCTION("""COMPUTED_VALUE"""),2.6048673873235275)</f>
        <v>2.604867387</v>
      </c>
      <c r="AD58" s="30">
        <f>IFERROR(__xludf.DUMMYFUNCTION("""COMPUTED_VALUE"""),0.6563752311473907)</f>
        <v>0.6563752311</v>
      </c>
      <c r="AE58" s="30">
        <f>IFERROR(__xludf.DUMMYFUNCTION("""COMPUTED_VALUE"""),0.33225588887625634)</f>
        <v>0.3322558889</v>
      </c>
      <c r="AF58" s="30">
        <f>IFERROR(__xludf.DUMMYFUNCTION("""COMPUTED_VALUE"""),0.0)</f>
        <v>0</v>
      </c>
      <c r="AG58" s="30">
        <f>IFERROR(__xludf.DUMMYFUNCTION("""COMPUTED_VALUE"""),0.7668860638715144)</f>
        <v>0.7668860639</v>
      </c>
      <c r="AH58" s="30">
        <f>IFERROR(__xludf.DUMMYFUNCTION("""COMPUTED_VALUE"""),0.6718192290771876)</f>
        <v>0.6718192291</v>
      </c>
      <c r="AI58" s="30">
        <f>IFERROR(__xludf.DUMMYFUNCTION("""COMPUTED_VALUE"""),0.9574036587481245)</f>
        <v>0.9574036587</v>
      </c>
      <c r="AJ58" s="30">
        <f>IFERROR(__xludf.DUMMYFUNCTION("""COMPUTED_VALUE"""),1.1460350979148939)</f>
        <v>1.146035098</v>
      </c>
      <c r="AK58" s="30">
        <f>IFERROR(__xludf.DUMMYFUNCTION("""COMPUTED_VALUE"""),1.0639914020896801)</f>
        <v>1.063991402</v>
      </c>
      <c r="AL58" s="30">
        <f>IFERROR(__xludf.DUMMYFUNCTION("""COMPUTED_VALUE"""),0.7624329473159549)</f>
        <v>0.7624329473</v>
      </c>
      <c r="AM58" s="30">
        <f>IFERROR(__xludf.DUMMYFUNCTION("""COMPUTED_VALUE"""),0.9115084096322078)</f>
        <v>0.9115084096</v>
      </c>
      <c r="AN58" s="30">
        <f>IFERROR(__xludf.DUMMYFUNCTION("""COMPUTED_VALUE"""),0.6647682460456316)</f>
        <v>0.664768246</v>
      </c>
      <c r="AO58" s="30">
        <f>IFERROR(__xludf.DUMMYFUNCTION("""COMPUTED_VALUE"""),0.3028542261086138)</f>
        <v>0.3028542261</v>
      </c>
      <c r="AP58" s="30">
        <f>IFERROR(__xludf.DUMMYFUNCTION("""COMPUTED_VALUE"""),0.0)</f>
        <v>0</v>
      </c>
      <c r="AQ58" s="30">
        <f>IFERROR(__xludf.DUMMYFUNCTION("""COMPUTED_VALUE"""),0.860326417198297)</f>
        <v>0.8603264172</v>
      </c>
      <c r="AR58" s="30">
        <f>IFERROR(__xludf.DUMMYFUNCTION("""COMPUTED_VALUE"""),0.6437970915169131)</f>
        <v>0.6437970915</v>
      </c>
      <c r="AS58" s="30">
        <f>IFERROR(__xludf.DUMMYFUNCTION("""COMPUTED_VALUE"""),8.0)</f>
        <v>8</v>
      </c>
      <c r="AT58" s="30">
        <f>IFERROR(__xludf.DUMMYFUNCTION("""COMPUTED_VALUE"""),0.3140149230069259)</f>
        <v>0.314014923</v>
      </c>
      <c r="AU58" s="30">
        <f>IFERROR(__xludf.DUMMYFUNCTION("""COMPUTED_VALUE"""),0.5536483508672984)</f>
        <v>0.5536483509</v>
      </c>
      <c r="AV58" s="32">
        <f>IFERROR(__xludf.DUMMYFUNCTION("""COMPUTED_VALUE"""),-17.045240672696877)</f>
        <v>-17.04524067</v>
      </c>
      <c r="AW58" s="32">
        <f>IFERROR(__xludf.DUMMYFUNCTION("""COMPUTED_VALUE"""),-273.1303252373991)</f>
        <v>-273.1303252</v>
      </c>
      <c r="AX58" s="32">
        <f>IFERROR(__xludf.DUMMYFUNCTION("""COMPUTED_VALUE"""),-11.421833384117782)</f>
        <v>-11.42183338</v>
      </c>
      <c r="AY58" s="32">
        <f>IFERROR(__xludf.DUMMYFUNCTION("""COMPUTED_VALUE"""),-142.7021148841868)</f>
        <v>-142.7021149</v>
      </c>
      <c r="AZ58" s="30">
        <f>IFERROR(__xludf.DUMMYFUNCTION("""COMPUTED_VALUE"""),130.4282103532123)</f>
        <v>130.4282104</v>
      </c>
      <c r="BA58" s="30">
        <f>IFERROR(__xludf.DUMMYFUNCTION("""COMPUTED_VALUE"""),450.0)</f>
        <v>450</v>
      </c>
    </row>
    <row r="59">
      <c r="A59" s="30" t="str">
        <f>IFERROR(__xludf.DUMMYFUNCTION("""COMPUTED_VALUE"""),"Master")</f>
        <v>Master</v>
      </c>
      <c r="B59" s="30" t="str">
        <f>IFERROR(__xludf.DUMMYFUNCTION("""COMPUTED_VALUE"""),"RSC007067")</f>
        <v>RSC007067</v>
      </c>
      <c r="C59" s="30" t="str">
        <f>IFERROR(__xludf.DUMMYFUNCTION("""COMPUTED_VALUE"""),"ThyChad_")</f>
        <v>ThyChad_</v>
      </c>
      <c r="D59" s="30"/>
      <c r="E59" s="30">
        <f>IFERROR(__xludf.DUMMYFUNCTION("""COMPUTED_VALUE"""),4.0)</f>
        <v>4</v>
      </c>
      <c r="F59" s="30">
        <f>IFERROR(__xludf.DUMMYFUNCTION("""COMPUTED_VALUE"""),0.0)</f>
        <v>0</v>
      </c>
      <c r="G59" s="30">
        <f>IFERROR(__xludf.DUMMYFUNCTION("""COMPUTED_VALUE"""),4.0)</f>
        <v>4</v>
      </c>
      <c r="H59" s="42">
        <f>IFERROR(__xludf.DUMMYFUNCTION("""COMPUTED_VALUE"""),0.0)</f>
        <v>0</v>
      </c>
      <c r="I59" s="42">
        <f>IFERROR(__xludf.DUMMYFUNCTION("""COMPUTED_VALUE"""),0.16666666666666666)</f>
        <v>0.1666666667</v>
      </c>
      <c r="J59" s="30">
        <f>IFERROR(__xludf.DUMMYFUNCTION("""COMPUTED_VALUE"""),338.0)</f>
        <v>338</v>
      </c>
      <c r="K59" s="30">
        <f>IFERROR(__xludf.DUMMYFUNCTION("""COMPUTED_VALUE"""),0.25)</f>
        <v>0.25</v>
      </c>
      <c r="L59" s="30">
        <f>IFERROR(__xludf.DUMMYFUNCTION("""COMPUTED_VALUE"""),0.0)</f>
        <v>0</v>
      </c>
      <c r="M59" s="30">
        <f>IFERROR(__xludf.DUMMYFUNCTION("""COMPUTED_VALUE"""),2.5)</f>
        <v>2.5</v>
      </c>
      <c r="N59" s="30">
        <f>IFERROR(__xludf.DUMMYFUNCTION("""COMPUTED_VALUE"""),1.5)</f>
        <v>1.5</v>
      </c>
      <c r="O59" s="30">
        <f>IFERROR(__xludf.DUMMYFUNCTION("""COMPUTED_VALUE"""),420.0)</f>
        <v>420</v>
      </c>
      <c r="P59" s="30">
        <f>IFERROR(__xludf.DUMMYFUNCTION("""COMPUTED_VALUE"""),1.1666666666666667)</f>
        <v>1.166666667</v>
      </c>
      <c r="Q59" s="30">
        <f>IFERROR(__xludf.DUMMYFUNCTION("""COMPUTED_VALUE"""),0.9999999999999999)</f>
        <v>1</v>
      </c>
      <c r="R59" s="30">
        <f>IFERROR(__xludf.DUMMYFUNCTION("""COMPUTED_VALUE"""),1.1666666666666665)</f>
        <v>1.166666667</v>
      </c>
      <c r="S59" s="30">
        <f>IFERROR(__xludf.DUMMYFUNCTION("""COMPUTED_VALUE"""),3.7499999999999996)</f>
        <v>3.75</v>
      </c>
      <c r="T59" s="30">
        <f>IFERROR(__xludf.DUMMYFUNCTION("""COMPUTED_VALUE"""),443.8611111111111)</f>
        <v>443.8611111</v>
      </c>
      <c r="U59" s="30">
        <f>IFERROR(__xludf.DUMMYFUNCTION("""COMPUTED_VALUE"""),1.2208333333333332)</f>
        <v>1.220833333</v>
      </c>
      <c r="V59" s="30">
        <f>IFERROR(__xludf.DUMMYFUNCTION("""COMPUTED_VALUE"""),0.9537037037037037)</f>
        <v>0.9537037037</v>
      </c>
      <c r="W59" s="30">
        <f>IFERROR(__xludf.DUMMYFUNCTION("""COMPUTED_VALUE"""),1.3643518518518518)</f>
        <v>1.364351852</v>
      </c>
      <c r="X59" s="30">
        <f>IFERROR(__xludf.DUMMYFUNCTION("""COMPUTED_VALUE"""),3.386574074074074)</f>
        <v>3.386574074</v>
      </c>
      <c r="Y59" s="30">
        <f>IFERROR(__xludf.DUMMYFUNCTION("""COMPUTED_VALUE"""),346.50493827160494)</f>
        <v>346.5049383</v>
      </c>
      <c r="Z59" s="30">
        <f>IFERROR(__xludf.DUMMYFUNCTION("""COMPUTED_VALUE"""),0.6223765432098765)</f>
        <v>0.6223765432</v>
      </c>
      <c r="AA59" s="30">
        <f>IFERROR(__xludf.DUMMYFUNCTION("""COMPUTED_VALUE"""),0.5023148148148149)</f>
        <v>0.5023148148</v>
      </c>
      <c r="AB59" s="30">
        <f>IFERROR(__xludf.DUMMYFUNCTION("""COMPUTED_VALUE"""),1.5697530864197529)</f>
        <v>1.569753086</v>
      </c>
      <c r="AC59" s="30">
        <f>IFERROR(__xludf.DUMMYFUNCTION("""COMPUTED_VALUE"""),2.3353395061728395)</f>
        <v>2.335339506</v>
      </c>
      <c r="AD59" s="30">
        <f>IFERROR(__xludf.DUMMYFUNCTION("""COMPUTED_VALUE"""),0.9754550734138789)</f>
        <v>0.9754550734</v>
      </c>
      <c r="AE59" s="30">
        <f>IFERROR(__xludf.DUMMYFUNCTION("""COMPUTED_VALUE"""),0.40168608975948433)</f>
        <v>0.4016860898</v>
      </c>
      <c r="AF59" s="30">
        <f>IFERROR(__xludf.DUMMYFUNCTION("""COMPUTED_VALUE"""),0.0)</f>
        <v>0</v>
      </c>
      <c r="AG59" s="30">
        <f>IFERROR(__xludf.DUMMYFUNCTION("""COMPUTED_VALUE"""),1.5926071569012978)</f>
        <v>1.592607157</v>
      </c>
      <c r="AH59" s="30">
        <f>IFERROR(__xludf.DUMMYFUNCTION("""COMPUTED_VALUE"""),0.6423048965836252)</f>
        <v>0.6423048966</v>
      </c>
      <c r="AI59" s="30">
        <f>IFERROR(__xludf.DUMMYFUNCTION("""COMPUTED_VALUE"""),0.9462419425495964)</f>
        <v>0.9462419425</v>
      </c>
      <c r="AJ59" s="30">
        <f>IFERROR(__xludf.DUMMYFUNCTION("""COMPUTED_VALUE"""),0.9556313993174063)</f>
        <v>0.9556313993</v>
      </c>
      <c r="AK59" s="30">
        <f>IFERROR(__xludf.DUMMYFUNCTION("""COMPUTED_VALUE"""),1.048543689320388)</f>
        <v>1.048543689</v>
      </c>
      <c r="AL59" s="30">
        <f>IFERROR(__xludf.DUMMYFUNCTION("""COMPUTED_VALUE"""),0.8551068883610451)</f>
        <v>0.8551068884</v>
      </c>
      <c r="AM59" s="30">
        <f>IFERROR(__xludf.DUMMYFUNCTION("""COMPUTED_VALUE"""),1.1073137388926861)</f>
        <v>1.107313739</v>
      </c>
      <c r="AN59" s="30">
        <f>IFERROR(__xludf.DUMMYFUNCTION("""COMPUTED_VALUE"""),0.901471081899392)</f>
        <v>0.9014710819</v>
      </c>
      <c r="AO59" s="30">
        <f>IFERROR(__xludf.DUMMYFUNCTION("""COMPUTED_VALUE"""),0.3028542261086138)</f>
        <v>0.3028542261</v>
      </c>
      <c r="AP59" s="30">
        <f>IFERROR(__xludf.DUMMYFUNCTION("""COMPUTED_VALUE"""),0.0)</f>
        <v>0</v>
      </c>
      <c r="AQ59" s="30">
        <f>IFERROR(__xludf.DUMMYFUNCTION("""COMPUTED_VALUE"""),1.720652834396594)</f>
        <v>1.720652834</v>
      </c>
      <c r="AR59" s="30">
        <f>IFERROR(__xludf.DUMMYFUNCTION("""COMPUTED_VALUE"""),0.5518260784430684)</f>
        <v>0.5518260784</v>
      </c>
      <c r="AS59" s="30">
        <f>IFERROR(__xludf.DUMMYFUNCTION("""COMPUTED_VALUE"""),3.0)</f>
        <v>3</v>
      </c>
      <c r="AT59" s="30">
        <f>IFERROR(__xludf.DUMMYFUNCTION("""COMPUTED_VALUE"""),0.08839229707775373)</f>
        <v>0.08839229708</v>
      </c>
      <c r="AU59" s="30">
        <f>IFERROR(__xludf.DUMMYFUNCTION("""COMPUTED_VALUE"""),0.8804015881452922)</f>
        <v>0.8804015881</v>
      </c>
      <c r="AV59" s="32">
        <f>IFERROR(__xludf.DUMMYFUNCTION("""COMPUTED_VALUE"""),-8.333225912682721)</f>
        <v>-8.333225913</v>
      </c>
      <c r="AW59" s="32">
        <f>IFERROR(__xludf.DUMMYFUNCTION("""COMPUTED_VALUE"""),-101.88028937519468)</f>
        <v>-101.8802894</v>
      </c>
      <c r="AX59" s="32">
        <f>IFERROR(__xludf.DUMMYFUNCTION("""COMPUTED_VALUE"""),9.935138565431586)</f>
        <v>9.935138565</v>
      </c>
      <c r="AY59" s="32">
        <f>IFERROR(__xludf.DUMMYFUNCTION("""COMPUTED_VALUE"""),-18.34454795639398)</f>
        <v>-18.34454796</v>
      </c>
      <c r="AZ59" s="30">
        <f>IFERROR(__xludf.DUMMYFUNCTION("""COMPUTED_VALUE"""),83.5357414188007)</f>
        <v>83.53574142</v>
      </c>
      <c r="BA59" s="30">
        <f>IFERROR(__xludf.DUMMYFUNCTION("""COMPUTED_VALUE"""),450.0)</f>
        <v>450</v>
      </c>
    </row>
    <row r="60">
      <c r="A60" s="30" t="str">
        <f>IFERROR(__xludf.DUMMYFUNCTION("""COMPUTED_VALUE"""),"Master")</f>
        <v>Master</v>
      </c>
      <c r="B60" s="30" t="str">
        <f>IFERROR(__xludf.DUMMYFUNCTION("""COMPUTED_VALUE"""),"RSC006408")</f>
        <v>RSC006408</v>
      </c>
      <c r="C60" s="30" t="str">
        <f>IFERROR(__xludf.DUMMYFUNCTION("""COMPUTED_VALUE"""),"Met.")</f>
        <v>Met.</v>
      </c>
      <c r="D60" s="30" t="str">
        <f>IFERROR(__xludf.DUMMYFUNCTION("""COMPUTED_VALUE"""),"Battle Masters")</f>
        <v>Battle Masters</v>
      </c>
      <c r="E60" s="30">
        <f>IFERROR(__xludf.DUMMYFUNCTION("""COMPUTED_VALUE"""),40.0)</f>
        <v>40</v>
      </c>
      <c r="F60" s="30">
        <f>IFERROR(__xludf.DUMMYFUNCTION("""COMPUTED_VALUE"""),31.0)</f>
        <v>31</v>
      </c>
      <c r="G60" s="30">
        <f>IFERROR(__xludf.DUMMYFUNCTION("""COMPUTED_VALUE"""),9.0)</f>
        <v>9</v>
      </c>
      <c r="H60" s="42">
        <f>IFERROR(__xludf.DUMMYFUNCTION("""COMPUTED_VALUE"""),0.775)</f>
        <v>0.775</v>
      </c>
      <c r="I60" s="42">
        <f>IFERROR(__xludf.DUMMYFUNCTION("""COMPUTED_VALUE"""),0.33548387096774196)</f>
        <v>0.335483871</v>
      </c>
      <c r="J60" s="30">
        <f>IFERROR(__xludf.DUMMYFUNCTION("""COMPUTED_VALUE"""),471.95)</f>
        <v>471.95</v>
      </c>
      <c r="K60" s="30">
        <f>IFERROR(__xludf.DUMMYFUNCTION("""COMPUTED_VALUE"""),1.3)</f>
        <v>1.3</v>
      </c>
      <c r="L60" s="30">
        <f>IFERROR(__xludf.DUMMYFUNCTION("""COMPUTED_VALUE"""),1.05)</f>
        <v>1.05</v>
      </c>
      <c r="M60" s="30">
        <f>IFERROR(__xludf.DUMMYFUNCTION("""COMPUTED_VALUE"""),1.275)</f>
        <v>1.275</v>
      </c>
      <c r="N60" s="30">
        <f>IFERROR(__xludf.DUMMYFUNCTION("""COMPUTED_VALUE"""),3.875)</f>
        <v>3.875</v>
      </c>
      <c r="O60" s="30">
        <f>IFERROR(__xludf.DUMMYFUNCTION("""COMPUTED_VALUE"""),336.225)</f>
        <v>336.225</v>
      </c>
      <c r="P60" s="30">
        <f>IFERROR(__xludf.DUMMYFUNCTION("""COMPUTED_VALUE"""),0.5916666666666667)</f>
        <v>0.5916666667</v>
      </c>
      <c r="Q60" s="30">
        <f>IFERROR(__xludf.DUMMYFUNCTION("""COMPUTED_VALUE"""),0.475)</f>
        <v>0.475</v>
      </c>
      <c r="R60" s="30">
        <f>IFERROR(__xludf.DUMMYFUNCTION("""COMPUTED_VALUE"""),1.575)</f>
        <v>1.575</v>
      </c>
      <c r="S60" s="30">
        <f>IFERROR(__xludf.DUMMYFUNCTION("""COMPUTED_VALUE"""),2.225)</f>
        <v>2.225</v>
      </c>
      <c r="T60" s="30">
        <f>IFERROR(__xludf.DUMMYFUNCTION("""COMPUTED_VALUE"""),370.0449347107684)</f>
        <v>370.0449347</v>
      </c>
      <c r="U60" s="30">
        <f>IFERROR(__xludf.DUMMYFUNCTION("""COMPUTED_VALUE"""),0.7920302714102635)</f>
        <v>0.7920302714</v>
      </c>
      <c r="V60" s="30">
        <f>IFERROR(__xludf.DUMMYFUNCTION("""COMPUTED_VALUE"""),0.6199408900226504)</f>
        <v>0.61994089</v>
      </c>
      <c r="W60" s="30">
        <f>IFERROR(__xludf.DUMMYFUNCTION("""COMPUTED_VALUE"""),1.502764888983987)</f>
        <v>1.502764889</v>
      </c>
      <c r="X60" s="30">
        <f>IFERROR(__xludf.DUMMYFUNCTION("""COMPUTED_VALUE"""),2.6741255580875682)</f>
        <v>2.674125558</v>
      </c>
      <c r="Y60" s="30">
        <f>IFERROR(__xludf.DUMMYFUNCTION("""COMPUTED_VALUE"""),393.9608924941723)</f>
        <v>393.9608925</v>
      </c>
      <c r="Z60" s="30">
        <f>IFERROR(__xludf.DUMMYFUNCTION("""COMPUTED_VALUE"""),0.9547564302633764)</f>
        <v>0.9547564303</v>
      </c>
      <c r="AA60" s="30">
        <f>IFERROR(__xludf.DUMMYFUNCTION("""COMPUTED_VALUE"""),0.7330571888754976)</f>
        <v>0.7330571889</v>
      </c>
      <c r="AB60" s="30">
        <f>IFERROR(__xludf.DUMMYFUNCTION("""COMPUTED_VALUE"""),1.4488875279631466)</f>
        <v>1.448887528</v>
      </c>
      <c r="AC60" s="30">
        <f>IFERROR(__xludf.DUMMYFUNCTION("""COMPUTED_VALUE"""),2.891949511277243)</f>
        <v>2.891949511</v>
      </c>
      <c r="AD60" s="30">
        <f>IFERROR(__xludf.DUMMYFUNCTION("""COMPUTED_VALUE"""),1.1979615464166442)</f>
        <v>1.197961546</v>
      </c>
      <c r="AE60" s="30">
        <f>IFERROR(__xludf.DUMMYFUNCTION("""COMPUTED_VALUE"""),1.3616038172598488)</f>
        <v>1.361603817</v>
      </c>
      <c r="AF60" s="30">
        <f>IFERROR(__xludf.DUMMYFUNCTION("""COMPUTED_VALUE"""),1.4323575512719402)</f>
        <v>1.432357551</v>
      </c>
      <c r="AG60" s="30">
        <f>IFERROR(__xludf.DUMMYFUNCTION("""COMPUTED_VALUE"""),0.8799854891375878)</f>
        <v>0.8799854891</v>
      </c>
      <c r="AH60" s="30">
        <f>IFERROR(__xludf.DUMMYFUNCTION("""COMPUTED_VALUE"""),1.3399265737141406)</f>
        <v>1.339926574</v>
      </c>
      <c r="AI60" s="30">
        <f>IFERROR(__xludf.DUMMYFUNCTION("""COMPUTED_VALUE"""),0.9086058704270538)</f>
        <v>0.9086058704</v>
      </c>
      <c r="AJ60" s="30">
        <f>IFERROR(__xludf.DUMMYFUNCTION("""COMPUTED_VALUE"""),0.7470253196423466)</f>
        <v>0.7470253196</v>
      </c>
      <c r="AK60" s="30">
        <f>IFERROR(__xludf.DUMMYFUNCTION("""COMPUTED_VALUE"""),0.7662020809478226)</f>
        <v>0.7662020809</v>
      </c>
      <c r="AL60" s="30">
        <f>IFERROR(__xludf.DUMMYFUNCTION("""COMPUTED_VALUE"""),1.0480681386326844)</f>
        <v>1.048068139</v>
      </c>
      <c r="AM60" s="30">
        <f>IFERROR(__xludf.DUMMYFUNCTION("""COMPUTED_VALUE"""),0.8320476924768014)</f>
        <v>0.8320476925</v>
      </c>
      <c r="AN60" s="30">
        <f>IFERROR(__xludf.DUMMYFUNCTION("""COMPUTED_VALUE"""),1.258725671900645)</f>
        <v>1.258725672</v>
      </c>
      <c r="AO60" s="30">
        <f>IFERROR(__xludf.DUMMYFUNCTION("""COMPUTED_VALUE"""),1.5748419757647918)</f>
        <v>1.574841976</v>
      </c>
      <c r="AP60" s="30">
        <f>IFERROR(__xludf.DUMMYFUNCTION("""COMPUTED_VALUE"""),1.6182428326587956)</f>
        <v>1.618242833</v>
      </c>
      <c r="AQ60" s="30">
        <f>IFERROR(__xludf.DUMMYFUNCTION("""COMPUTED_VALUE"""),0.8775329455422629)</f>
        <v>0.8775329455</v>
      </c>
      <c r="AR60" s="30">
        <f>IFERROR(__xludf.DUMMYFUNCTION("""COMPUTED_VALUE"""),1.4255507026445933)</f>
        <v>1.425550703</v>
      </c>
      <c r="AS60" s="30">
        <f>IFERROR(__xludf.DUMMYFUNCTION("""COMPUTED_VALUE"""),152.0)</f>
        <v>152</v>
      </c>
      <c r="AT60" s="30">
        <f>IFERROR(__xludf.DUMMYFUNCTION("""COMPUTED_VALUE"""),0.7766830234452046)</f>
        <v>0.7766830234</v>
      </c>
      <c r="AU60" s="30">
        <f>IFERROR(__xludf.DUMMYFUNCTION("""COMPUTED_VALUE"""),5.1359065753804085)</f>
        <v>5.135906575</v>
      </c>
      <c r="AV60" s="32">
        <f>IFERROR(__xludf.DUMMYFUNCTION("""COMPUTED_VALUE"""),105.12861020851362)</f>
        <v>105.1286102</v>
      </c>
      <c r="AW60" s="32">
        <f>IFERROR(__xludf.DUMMYFUNCTION("""COMPUTED_VALUE"""),72.87577313975858)</f>
        <v>72.87577314</v>
      </c>
      <c r="AX60" s="32">
        <f>IFERROR(__xludf.DUMMYFUNCTION("""COMPUTED_VALUE"""),97.74597014860706)</f>
        <v>97.74597015</v>
      </c>
      <c r="AY60" s="32">
        <f>IFERROR(__xludf.DUMMYFUNCTION("""COMPUTED_VALUE"""),35.616359102014684)</f>
        <v>35.6163591</v>
      </c>
      <c r="AZ60" s="30">
        <f>IFERROR(__xludf.DUMMYFUNCTION("""COMPUTED_VALUE"""),37.259414037743895)</f>
        <v>37.25941404</v>
      </c>
      <c r="BA60" s="30">
        <f>IFERROR(__xludf.DUMMYFUNCTION("""COMPUTED_VALUE"""),450.0)</f>
        <v>450</v>
      </c>
    </row>
    <row r="61">
      <c r="A61" s="30" t="str">
        <f>IFERROR(__xludf.DUMMYFUNCTION("""COMPUTED_VALUE"""),"Master")</f>
        <v>Master</v>
      </c>
      <c r="B61" s="30" t="str">
        <f>IFERROR(__xludf.DUMMYFUNCTION("""COMPUTED_VALUE"""),"RSC000777")</f>
        <v>RSC000777</v>
      </c>
      <c r="C61" s="30" t="str">
        <f>IFERROR(__xludf.DUMMYFUNCTION("""COMPUTED_VALUE"""),"Marcus.")</f>
        <v>Marcus.</v>
      </c>
      <c r="D61" s="30" t="str">
        <f>IFERROR(__xludf.DUMMYFUNCTION("""COMPUTED_VALUE"""),"Care Bears")</f>
        <v>Care Bears</v>
      </c>
      <c r="E61" s="30">
        <f>IFERROR(__xludf.DUMMYFUNCTION("""COMPUTED_VALUE"""),15.0)</f>
        <v>15</v>
      </c>
      <c r="F61" s="30">
        <f>IFERROR(__xludf.DUMMYFUNCTION("""COMPUTED_VALUE"""),6.0)</f>
        <v>6</v>
      </c>
      <c r="G61" s="30">
        <f>IFERROR(__xludf.DUMMYFUNCTION("""COMPUTED_VALUE"""),9.0)</f>
        <v>9</v>
      </c>
      <c r="H61" s="42">
        <f>IFERROR(__xludf.DUMMYFUNCTION("""COMPUTED_VALUE"""),0.4)</f>
        <v>0.4</v>
      </c>
      <c r="I61" s="42">
        <f>IFERROR(__xludf.DUMMYFUNCTION("""COMPUTED_VALUE"""),0.09090909090909091)</f>
        <v>0.09090909091</v>
      </c>
      <c r="J61" s="30">
        <f>IFERROR(__xludf.DUMMYFUNCTION("""COMPUTED_VALUE"""),248.86666666666667)</f>
        <v>248.8666667</v>
      </c>
      <c r="K61" s="30">
        <f>IFERROR(__xludf.DUMMYFUNCTION("""COMPUTED_VALUE"""),0.2)</f>
        <v>0.2</v>
      </c>
      <c r="L61" s="30">
        <f>IFERROR(__xludf.DUMMYFUNCTION("""COMPUTED_VALUE"""),0.3333333333333333)</f>
        <v>0.3333333333</v>
      </c>
      <c r="M61" s="30">
        <f>IFERROR(__xludf.DUMMYFUNCTION("""COMPUTED_VALUE"""),1.6)</f>
        <v>1.6</v>
      </c>
      <c r="N61" s="30">
        <f>IFERROR(__xludf.DUMMYFUNCTION("""COMPUTED_VALUE"""),2.2)</f>
        <v>2.2</v>
      </c>
      <c r="O61" s="30">
        <f>IFERROR(__xludf.DUMMYFUNCTION("""COMPUTED_VALUE"""),350.1555555555555)</f>
        <v>350.1555556</v>
      </c>
      <c r="P61" s="30">
        <f>IFERROR(__xludf.DUMMYFUNCTION("""COMPUTED_VALUE"""),0.7555555555555554)</f>
        <v>0.7555555556</v>
      </c>
      <c r="Q61" s="30">
        <f>IFERROR(__xludf.DUMMYFUNCTION("""COMPUTED_VALUE"""),0.4888888888888888)</f>
        <v>0.4888888889</v>
      </c>
      <c r="R61" s="30">
        <f>IFERROR(__xludf.DUMMYFUNCTION("""COMPUTED_VALUE"""),1.3777777777777775)</f>
        <v>1.377777778</v>
      </c>
      <c r="S61" s="30">
        <f>IFERROR(__xludf.DUMMYFUNCTION("""COMPUTED_VALUE"""),2.866666666666667)</f>
        <v>2.866666667</v>
      </c>
      <c r="T61" s="30">
        <f>IFERROR(__xludf.DUMMYFUNCTION("""COMPUTED_VALUE"""),395.56281138697506)</f>
        <v>395.5628114</v>
      </c>
      <c r="U61" s="30">
        <f>IFERROR(__xludf.DUMMYFUNCTION("""COMPUTED_VALUE"""),0.9556774120299212)</f>
        <v>0.955677412</v>
      </c>
      <c r="V61" s="30">
        <f>IFERROR(__xludf.DUMMYFUNCTION("""COMPUTED_VALUE"""),0.753249966030464)</f>
        <v>0.753249966</v>
      </c>
      <c r="W61" s="30">
        <f>IFERROR(__xludf.DUMMYFUNCTION("""COMPUTED_VALUE"""),1.399887600876993)</f>
        <v>1.399887601</v>
      </c>
      <c r="X61" s="30">
        <f>IFERROR(__xludf.DUMMYFUNCTION("""COMPUTED_VALUE"""),2.932205737430136)</f>
        <v>2.932205737</v>
      </c>
      <c r="Y61" s="30">
        <f>IFERROR(__xludf.DUMMYFUNCTION("""COMPUTED_VALUE"""),367.7813732299303)</f>
        <v>367.7813732</v>
      </c>
      <c r="Z61" s="30">
        <f>IFERROR(__xludf.DUMMYFUNCTION("""COMPUTED_VALUE"""),0.7928665797032449)</f>
        <v>0.7928665797</v>
      </c>
      <c r="AA61" s="30">
        <f>IFERROR(__xludf.DUMMYFUNCTION("""COMPUTED_VALUE"""),0.5978998657980027)</f>
        <v>0.5978998658</v>
      </c>
      <c r="AB61" s="30">
        <f>IFERROR(__xludf.DUMMYFUNCTION("""COMPUTED_VALUE"""),1.487228970187626)</f>
        <v>1.48722897</v>
      </c>
      <c r="AC61" s="30">
        <f>IFERROR(__xludf.DUMMYFUNCTION("""COMPUTED_VALUE"""),2.59835094239215)</f>
        <v>2.598350942</v>
      </c>
      <c r="AD61" s="30">
        <f>IFERROR(__xludf.DUMMYFUNCTION("""COMPUTED_VALUE"""),0.6766701219288768)</f>
        <v>0.6766701219</v>
      </c>
      <c r="AE61" s="30">
        <f>IFERROR(__xludf.DUMMYFUNCTION("""COMPUTED_VALUE"""),0.252249249898837)</f>
        <v>0.2522492499</v>
      </c>
      <c r="AF61" s="30">
        <f>IFERROR(__xludf.DUMMYFUNCTION("""COMPUTED_VALUE"""),0.5575069545942133)</f>
        <v>0.5575069546</v>
      </c>
      <c r="AG61" s="30">
        <f>IFERROR(__xludf.DUMMYFUNCTION("""COMPUTED_VALUE"""),1.075826272936404)</f>
        <v>1.075826273</v>
      </c>
      <c r="AH61" s="30">
        <f>IFERROR(__xludf.DUMMYFUNCTION("""COMPUTED_VALUE"""),0.8466908623107657)</f>
        <v>0.8466908623</v>
      </c>
      <c r="AI61" s="30">
        <f>IFERROR(__xludf.DUMMYFUNCTION("""COMPUTED_VALUE"""),0.8852084813731438)</f>
        <v>0.8852084814</v>
      </c>
      <c r="AJ61" s="30">
        <f>IFERROR(__xludf.DUMMYFUNCTION("""COMPUTED_VALUE"""),0.7905968541735292)</f>
        <v>0.7905968542</v>
      </c>
      <c r="AK61" s="30">
        <f>IFERROR(__xludf.DUMMYFUNCTION("""COMPUTED_VALUE"""),0.6490393772803921)</f>
        <v>0.6490393773</v>
      </c>
      <c r="AL61" s="30">
        <f>IFERROR(__xludf.DUMMYFUNCTION("""COMPUTED_VALUE"""),0.9842060011922642)</f>
        <v>0.9842060012</v>
      </c>
      <c r="AM61" s="30">
        <f>IFERROR(__xludf.DUMMYFUNCTION("""COMPUTED_VALUE"""),0.97764854289491)</f>
        <v>0.9776485429</v>
      </c>
      <c r="AN61" s="30">
        <f>IFERROR(__xludf.DUMMYFUNCTION("""COMPUTED_VALUE"""),0.6637458675996905)</f>
        <v>0.6637458676</v>
      </c>
      <c r="AO61" s="30">
        <f>IFERROR(__xludf.DUMMYFUNCTION("""COMPUTED_VALUE"""),0.24228338088689105)</f>
        <v>0.2422833809</v>
      </c>
      <c r="AP61" s="30">
        <f>IFERROR(__xludf.DUMMYFUNCTION("""COMPUTED_VALUE"""),0.5137278833837446)</f>
        <v>0.5137278834</v>
      </c>
      <c r="AQ61" s="30">
        <f>IFERROR(__xludf.DUMMYFUNCTION("""COMPUTED_VALUE"""),1.1012178140138202)</f>
        <v>1.101217814</v>
      </c>
      <c r="AR61" s="30">
        <f>IFERROR(__xludf.DUMMYFUNCTION("""COMPUTED_VALUE"""),0.8093449150498336)</f>
        <v>0.809344915</v>
      </c>
      <c r="AS61" s="30">
        <f>IFERROR(__xludf.DUMMYFUNCTION("""COMPUTED_VALUE"""),22.0)</f>
        <v>22</v>
      </c>
      <c r="AT61" s="30">
        <f>IFERROR(__xludf.DUMMYFUNCTION("""COMPUTED_VALUE"""),0.3463032569963418)</f>
        <v>0.346303257</v>
      </c>
      <c r="AU61" s="30">
        <f>IFERROR(__xludf.DUMMYFUNCTION("""COMPUTED_VALUE"""),1.413899496466368)</f>
        <v>1.413899496</v>
      </c>
      <c r="AV61" s="32">
        <f>IFERROR(__xludf.DUMMYFUNCTION("""COMPUTED_VALUE"""),5.891091160496295)</f>
        <v>5.89109116</v>
      </c>
      <c r="AW61" s="32">
        <f>IFERROR(__xludf.DUMMYFUNCTION("""COMPUTED_VALUE"""),-25.749304213065532)</f>
        <v>-25.74930421</v>
      </c>
      <c r="AX61" s="32">
        <f>IFERROR(__xludf.DUMMYFUNCTION("""COMPUTED_VALUE"""),-1.2398377880631841)</f>
        <v>-1.239837788</v>
      </c>
      <c r="AY61" s="32">
        <f>IFERROR(__xludf.DUMMYFUNCTION("""COMPUTED_VALUE"""),-49.49990967812896)</f>
        <v>-49.49990968</v>
      </c>
      <c r="AZ61" s="30">
        <f>IFERROR(__xludf.DUMMYFUNCTION("""COMPUTED_VALUE"""),23.750605465063426)</f>
        <v>23.75060547</v>
      </c>
      <c r="BA61" s="30">
        <f>IFERROR(__xludf.DUMMYFUNCTION("""COMPUTED_VALUE"""),450.0)</f>
        <v>450</v>
      </c>
    </row>
    <row r="62">
      <c r="A62" s="30" t="str">
        <f>IFERROR(__xludf.DUMMYFUNCTION("""COMPUTED_VALUE"""),"Master")</f>
        <v>Master</v>
      </c>
      <c r="B62" s="30" t="str">
        <f>IFERROR(__xludf.DUMMYFUNCTION("""COMPUTED_VALUE"""),"RSC003412")</f>
        <v>RSC003412</v>
      </c>
      <c r="C62" s="30" t="str">
        <f>IFERROR(__xludf.DUMMYFUNCTION("""COMPUTED_VALUE"""),"Python")</f>
        <v>Python</v>
      </c>
      <c r="D62" s="30"/>
      <c r="E62" s="30">
        <f>IFERROR(__xludf.DUMMYFUNCTION("""COMPUTED_VALUE"""),12.0)</f>
        <v>12</v>
      </c>
      <c r="F62" s="30">
        <f>IFERROR(__xludf.DUMMYFUNCTION("""COMPUTED_VALUE"""),5.0)</f>
        <v>5</v>
      </c>
      <c r="G62" s="30">
        <f>IFERROR(__xludf.DUMMYFUNCTION("""COMPUTED_VALUE"""),7.0)</f>
        <v>7</v>
      </c>
      <c r="H62" s="42">
        <f>IFERROR(__xludf.DUMMYFUNCTION("""COMPUTED_VALUE"""),0.4166666666666667)</f>
        <v>0.4166666667</v>
      </c>
      <c r="I62" s="42">
        <f>IFERROR(__xludf.DUMMYFUNCTION("""COMPUTED_VALUE"""),0.2608695652173913)</f>
        <v>0.2608695652</v>
      </c>
      <c r="J62" s="30">
        <f>IFERROR(__xludf.DUMMYFUNCTION("""COMPUTED_VALUE"""),269.4166666666667)</f>
        <v>269.4166667</v>
      </c>
      <c r="K62" s="30">
        <f>IFERROR(__xludf.DUMMYFUNCTION("""COMPUTED_VALUE"""),0.5)</f>
        <v>0.5</v>
      </c>
      <c r="L62" s="30">
        <f>IFERROR(__xludf.DUMMYFUNCTION("""COMPUTED_VALUE"""),0.3333333333333333)</f>
        <v>0.3333333333</v>
      </c>
      <c r="M62" s="30">
        <f>IFERROR(__xludf.DUMMYFUNCTION("""COMPUTED_VALUE"""),1.0833333333333333)</f>
        <v>1.083333333</v>
      </c>
      <c r="N62" s="30">
        <f>IFERROR(__xludf.DUMMYFUNCTION("""COMPUTED_VALUE"""),1.9166666666666667)</f>
        <v>1.916666667</v>
      </c>
      <c r="O62" s="30">
        <f>IFERROR(__xludf.DUMMYFUNCTION("""COMPUTED_VALUE"""),418.6111111111111)</f>
        <v>418.6111111</v>
      </c>
      <c r="P62" s="30">
        <f>IFERROR(__xludf.DUMMYFUNCTION("""COMPUTED_VALUE"""),1.138888888888889)</f>
        <v>1.138888889</v>
      </c>
      <c r="Q62" s="30">
        <f>IFERROR(__xludf.DUMMYFUNCTION("""COMPUTED_VALUE"""),0.9444444444444443)</f>
        <v>0.9444444444</v>
      </c>
      <c r="R62" s="30">
        <f>IFERROR(__xludf.DUMMYFUNCTION("""COMPUTED_VALUE"""),1.4722222222222223)</f>
        <v>1.472222222</v>
      </c>
      <c r="S62" s="30">
        <f>IFERROR(__xludf.DUMMYFUNCTION("""COMPUTED_VALUE"""),3.2500000000000004)</f>
        <v>3.25</v>
      </c>
      <c r="T62" s="30">
        <f>IFERROR(__xludf.DUMMYFUNCTION("""COMPUTED_VALUE"""),399.4469900107944)</f>
        <v>399.44699</v>
      </c>
      <c r="U62" s="30">
        <f>IFERROR(__xludf.DUMMYFUNCTION("""COMPUTED_VALUE"""),0.9640664649360303)</f>
        <v>0.9640664649</v>
      </c>
      <c r="V62" s="30">
        <f>IFERROR(__xludf.DUMMYFUNCTION("""COMPUTED_VALUE"""),0.661095804356674)</f>
        <v>0.6610958044</v>
      </c>
      <c r="W62" s="30">
        <f>IFERROR(__xludf.DUMMYFUNCTION("""COMPUTED_VALUE"""),1.5291106598715294)</f>
        <v>1.52911066</v>
      </c>
      <c r="X62" s="30">
        <f>IFERROR(__xludf.DUMMYFUNCTION("""COMPUTED_VALUE"""),2.915202792376705)</f>
        <v>2.915202792</v>
      </c>
      <c r="Y62" s="30">
        <f>IFERROR(__xludf.DUMMYFUNCTION("""COMPUTED_VALUE"""),376.2735076148028)</f>
        <v>376.2735076</v>
      </c>
      <c r="Z62" s="30">
        <f>IFERROR(__xludf.DUMMYFUNCTION("""COMPUTED_VALUE"""),0.7912502664190916)</f>
        <v>0.7912502664</v>
      </c>
      <c r="AA62" s="30">
        <f>IFERROR(__xludf.DUMMYFUNCTION("""COMPUTED_VALUE"""),0.6119172248304227)</f>
        <v>0.6119172248</v>
      </c>
      <c r="AB62" s="30">
        <f>IFERROR(__xludf.DUMMYFUNCTION("""COMPUTED_VALUE"""),1.4910886922319238)</f>
        <v>1.491088692</v>
      </c>
      <c r="AC62" s="30">
        <f>IFERROR(__xludf.DUMMYFUNCTION("""COMPUTED_VALUE"""),2.7230949436808207)</f>
        <v>2.723094944</v>
      </c>
      <c r="AD62" s="30">
        <f>IFERROR(__xludf.DUMMYFUNCTION("""COMPUTED_VALUE"""),0.7160128502654852)</f>
        <v>0.7160128503</v>
      </c>
      <c r="AE62" s="30">
        <f>IFERROR(__xludf.DUMMYFUNCTION("""COMPUTED_VALUE"""),0.6319113196167586)</f>
        <v>0.6319113196</v>
      </c>
      <c r="AF62" s="30">
        <f>IFERROR(__xludf.DUMMYFUNCTION("""COMPUTED_VALUE"""),0.5447359868415343)</f>
        <v>0.5447359868</v>
      </c>
      <c r="AG62" s="30">
        <f>IFERROR(__xludf.DUMMYFUNCTION("""COMPUTED_VALUE"""),0.7265384943076423)</f>
        <v>0.7265384943</v>
      </c>
      <c r="AH62" s="30">
        <f>IFERROR(__xludf.DUMMYFUNCTION("""COMPUTED_VALUE"""),0.7038559823683191)</f>
        <v>0.7038559824</v>
      </c>
      <c r="AI62" s="30">
        <f>IFERROR(__xludf.DUMMYFUNCTION("""COMPUTED_VALUE"""),1.047976631642158)</f>
        <v>1.047976632</v>
      </c>
      <c r="AJ62" s="30">
        <f>IFERROR(__xludf.DUMMYFUNCTION("""COMPUTED_VALUE"""),1.181338559436832)</f>
        <v>1.181338559</v>
      </c>
      <c r="AK62" s="30">
        <f>IFERROR(__xludf.DUMMYFUNCTION("""COMPUTED_VALUE"""),1.428604505157165)</f>
        <v>1.428604505</v>
      </c>
      <c r="AL62" s="30">
        <f>IFERROR(__xludf.DUMMYFUNCTION("""COMPUTED_VALUE"""),0.9627963893377823)</f>
        <v>0.9627963893</v>
      </c>
      <c r="AM62" s="30">
        <f>IFERROR(__xludf.DUMMYFUNCTION("""COMPUTED_VALUE"""),1.1148452548477226)</f>
        <v>1.114845255</v>
      </c>
      <c r="AN62" s="30">
        <f>IFERROR(__xludf.DUMMYFUNCTION("""COMPUTED_VALUE"""),0.7185542425494907)</f>
        <v>0.7185542425</v>
      </c>
      <c r="AO62" s="30">
        <f>IFERROR(__xludf.DUMMYFUNCTION("""COMPUTED_VALUE"""),0.6057084522172276)</f>
        <v>0.6057084522</v>
      </c>
      <c r="AP62" s="30">
        <f>IFERROR(__xludf.DUMMYFUNCTION("""COMPUTED_VALUE"""),0.5137278833837446)</f>
        <v>0.5137278834</v>
      </c>
      <c r="AQ62" s="30">
        <f>IFERROR(__xludf.DUMMYFUNCTION("""COMPUTED_VALUE"""),0.745616228238524)</f>
        <v>0.7456162282</v>
      </c>
      <c r="AR62" s="30">
        <f>IFERROR(__xludf.DUMMYFUNCTION("""COMPUTED_VALUE"""),0.7051111002328097)</f>
        <v>0.7051111002</v>
      </c>
      <c r="AS62" s="30">
        <f>IFERROR(__xludf.DUMMYFUNCTION("""COMPUTED_VALUE"""),21.0)</f>
        <v>21</v>
      </c>
      <c r="AT62" s="30">
        <f>IFERROR(__xludf.DUMMYFUNCTION("""COMPUTED_VALUE"""),0.2550440533677414)</f>
        <v>0.2550440534</v>
      </c>
      <c r="AU62" s="30">
        <f>IFERROR(__xludf.DUMMYFUNCTION("""COMPUTED_VALUE"""),1.4129657377351)</f>
        <v>1.412965738</v>
      </c>
      <c r="AV62" s="32">
        <f>IFERROR(__xludf.DUMMYFUNCTION("""COMPUTED_VALUE"""),5.866194942430127)</f>
        <v>5.866194942</v>
      </c>
      <c r="AW62" s="32">
        <f>IFERROR(__xludf.DUMMYFUNCTION("""COMPUTED_VALUE"""),-25.80492289855832)</f>
        <v>-25.8049229</v>
      </c>
      <c r="AX62" s="32">
        <f>IFERROR(__xludf.DUMMYFUNCTION("""COMPUTED_VALUE"""),-0.12638486831231432)</f>
        <v>-0.1263848683</v>
      </c>
      <c r="AY62" s="32">
        <f>IFERROR(__xludf.DUMMYFUNCTION("""COMPUTED_VALUE"""),-44.486830184250344)</f>
        <v>-44.48683018</v>
      </c>
      <c r="AZ62" s="30">
        <f>IFERROR(__xludf.DUMMYFUNCTION("""COMPUTED_VALUE"""),18.681907285692024)</f>
        <v>18.68190729</v>
      </c>
      <c r="BA62" s="30">
        <f>IFERROR(__xludf.DUMMYFUNCTION("""COMPUTED_VALUE"""),450.0)</f>
        <v>450</v>
      </c>
    </row>
    <row r="63">
      <c r="A63" s="30" t="str">
        <f>IFERROR(__xludf.DUMMYFUNCTION("""COMPUTED_VALUE"""),"Master")</f>
        <v>Master</v>
      </c>
      <c r="B63" s="30" t="str">
        <f>IFERROR(__xludf.DUMMYFUNCTION("""COMPUTED_VALUE"""),"RSC007455")</f>
        <v>RSC007455</v>
      </c>
      <c r="C63" s="30" t="str">
        <f>IFERROR(__xludf.DUMMYFUNCTION("""COMPUTED_VALUE"""),"Shlumpy")</f>
        <v>Shlumpy</v>
      </c>
      <c r="D63" s="30" t="str">
        <f>IFERROR(__xludf.DUMMYFUNCTION("""COMPUTED_VALUE"""),"Hard Hats")</f>
        <v>Hard Hats</v>
      </c>
      <c r="E63" s="30">
        <f>IFERROR(__xludf.DUMMYFUNCTION("""COMPUTED_VALUE"""),24.0)</f>
        <v>24</v>
      </c>
      <c r="F63" s="30">
        <f>IFERROR(__xludf.DUMMYFUNCTION("""COMPUTED_VALUE"""),14.0)</f>
        <v>14</v>
      </c>
      <c r="G63" s="30">
        <f>IFERROR(__xludf.DUMMYFUNCTION("""COMPUTED_VALUE"""),10.0)</f>
        <v>10</v>
      </c>
      <c r="H63" s="42">
        <f>IFERROR(__xludf.DUMMYFUNCTION("""COMPUTED_VALUE"""),0.5833333333333334)</f>
        <v>0.5833333333</v>
      </c>
      <c r="I63" s="42">
        <f>IFERROR(__xludf.DUMMYFUNCTION("""COMPUTED_VALUE"""),0.5230769230769231)</f>
        <v>0.5230769231</v>
      </c>
      <c r="J63" s="30">
        <f>IFERROR(__xludf.DUMMYFUNCTION("""COMPUTED_VALUE"""),442.4583333333333)</f>
        <v>442.4583333</v>
      </c>
      <c r="K63" s="30">
        <f>IFERROR(__xludf.DUMMYFUNCTION("""COMPUTED_VALUE"""),1.4166666666666667)</f>
        <v>1.416666667</v>
      </c>
      <c r="L63" s="30">
        <f>IFERROR(__xludf.DUMMYFUNCTION("""COMPUTED_VALUE"""),0.875)</f>
        <v>0.875</v>
      </c>
      <c r="M63" s="30">
        <f>IFERROR(__xludf.DUMMYFUNCTION("""COMPUTED_VALUE"""),1.2916666666666667)</f>
        <v>1.291666667</v>
      </c>
      <c r="N63" s="30">
        <f>IFERROR(__xludf.DUMMYFUNCTION("""COMPUTED_VALUE"""),2.7083333333333335)</f>
        <v>2.708333333</v>
      </c>
      <c r="O63" s="30">
        <f>IFERROR(__xludf.DUMMYFUNCTION("""COMPUTED_VALUE"""),381.0)</f>
        <v>381</v>
      </c>
      <c r="P63" s="30">
        <f>IFERROR(__xludf.DUMMYFUNCTION("""COMPUTED_VALUE"""),0.9166666666666666)</f>
        <v>0.9166666667</v>
      </c>
      <c r="Q63" s="30">
        <f>IFERROR(__xludf.DUMMYFUNCTION("""COMPUTED_VALUE"""),0.6805555555555555)</f>
        <v>0.6805555556</v>
      </c>
      <c r="R63" s="30">
        <f>IFERROR(__xludf.DUMMYFUNCTION("""COMPUTED_VALUE"""),1.3750000000000002)</f>
        <v>1.375</v>
      </c>
      <c r="S63" s="30">
        <f>IFERROR(__xludf.DUMMYFUNCTION("""COMPUTED_VALUE"""),2.569444444444444)</f>
        <v>2.569444444</v>
      </c>
      <c r="T63" s="30">
        <f>IFERROR(__xludf.DUMMYFUNCTION("""COMPUTED_VALUE"""),395.63800072748523)</f>
        <v>395.6380007</v>
      </c>
      <c r="U63" s="30">
        <f>IFERROR(__xludf.DUMMYFUNCTION("""COMPUTED_VALUE"""),0.9114111077629635)</f>
        <v>0.9114111078</v>
      </c>
      <c r="V63" s="30">
        <f>IFERROR(__xludf.DUMMYFUNCTION("""COMPUTED_VALUE"""),0.6762066889504584)</f>
        <v>0.676206689</v>
      </c>
      <c r="W63" s="30">
        <f>IFERROR(__xludf.DUMMYFUNCTION("""COMPUTED_VALUE"""),1.5226048231540925)</f>
        <v>1.522604823</v>
      </c>
      <c r="X63" s="30">
        <f>IFERROR(__xludf.DUMMYFUNCTION("""COMPUTED_VALUE"""),2.8025075850355523)</f>
        <v>2.802507585</v>
      </c>
      <c r="Y63" s="30">
        <f>IFERROR(__xludf.DUMMYFUNCTION("""COMPUTED_VALUE"""),383.3323411309934)</f>
        <v>383.3323411</v>
      </c>
      <c r="Z63" s="30">
        <f>IFERROR(__xludf.DUMMYFUNCTION("""COMPUTED_VALUE"""),0.8607883370479894)</f>
        <v>0.860788337</v>
      </c>
      <c r="AA63" s="30">
        <f>IFERROR(__xludf.DUMMYFUNCTION("""COMPUTED_VALUE"""),0.6655305850125569)</f>
        <v>0.665530585</v>
      </c>
      <c r="AB63" s="30">
        <f>IFERROR(__xludf.DUMMYFUNCTION("""COMPUTED_VALUE"""),1.4652901807565764)</f>
        <v>1.465290181</v>
      </c>
      <c r="AC63" s="30">
        <f>IFERROR(__xludf.DUMMYFUNCTION("""COMPUTED_VALUE"""),2.8416538839247245)</f>
        <v>2.841653884</v>
      </c>
      <c r="AD63" s="30">
        <f>IFERROR(__xludf.DUMMYFUNCTION("""COMPUTED_VALUE"""),1.1542421180219051)</f>
        <v>1.154242118</v>
      </c>
      <c r="AE63" s="30">
        <f>IFERROR(__xludf.DUMMYFUNCTION("""COMPUTED_VALUE"""),1.645778184594161)</f>
        <v>1.645778185</v>
      </c>
      <c r="AF63" s="30">
        <f>IFERROR(__xludf.DUMMYFUNCTION("""COMPUTED_VALUE"""),1.314740478806832)</f>
        <v>1.314740479</v>
      </c>
      <c r="AG63" s="30">
        <f>IFERROR(__xludf.DUMMYFUNCTION("""COMPUTED_VALUE"""),0.8815091260624826)</f>
        <v>0.8815091261</v>
      </c>
      <c r="AH63" s="30">
        <f>IFERROR(__xludf.DUMMYFUNCTION("""COMPUTED_VALUE"""),0.953083466165395)</f>
        <v>0.9530834662</v>
      </c>
      <c r="AI63" s="30">
        <f>IFERROR(__xludf.DUMMYFUNCTION("""COMPUTED_VALUE"""),0.9630015299324903)</f>
        <v>0.9630015299</v>
      </c>
      <c r="AJ63" s="30">
        <f>IFERROR(__xludf.DUMMYFUNCTION("""COMPUTED_VALUE"""),1.005766397686992)</f>
        <v>1.005766398</v>
      </c>
      <c r="AK63" s="30">
        <f>IFERROR(__xludf.DUMMYFUNCTION("""COMPUTED_VALUE"""),1.0064312682441028)</f>
        <v>1.006431268</v>
      </c>
      <c r="AL63" s="30">
        <f>IFERROR(__xludf.DUMMYFUNCTION("""COMPUTED_VALUE"""),0.9030576936907849)</f>
        <v>0.9030576937</v>
      </c>
      <c r="AM63" s="30">
        <f>IFERROR(__xludf.DUMMYFUNCTION("""COMPUTED_VALUE"""),0.9168376414623864)</f>
        <v>0.9168376415</v>
      </c>
      <c r="AN63" s="30">
        <f>IFERROR(__xludf.DUMMYFUNCTION("""COMPUTED_VALUE"""),1.1800692084183486)</f>
        <v>1.180069208</v>
      </c>
      <c r="AO63" s="30">
        <f>IFERROR(__xludf.DUMMYFUNCTION("""COMPUTED_VALUE"""),1.7161739479488116)</f>
        <v>1.716173948</v>
      </c>
      <c r="AP63" s="30">
        <f>IFERROR(__xludf.DUMMYFUNCTION("""COMPUTED_VALUE"""),1.3485356938823296)</f>
        <v>1.348535694</v>
      </c>
      <c r="AQ63" s="30">
        <f>IFERROR(__xludf.DUMMYFUNCTION("""COMPUTED_VALUE"""),0.8890039644382404)</f>
        <v>0.8890039644</v>
      </c>
      <c r="AR63" s="30">
        <f>IFERROR(__xludf.DUMMYFUNCTION("""COMPUTED_VALUE"""),0.9963526416333179)</f>
        <v>0.9963526416</v>
      </c>
      <c r="AS63" s="30">
        <f>IFERROR(__xludf.DUMMYFUNCTION("""COMPUTED_VALUE"""),81.0)</f>
        <v>81</v>
      </c>
      <c r="AT63" s="30">
        <f>IFERROR(__xludf.DUMMYFUNCTION("""COMPUTED_VALUE"""),0.5852886650299808)</f>
        <v>0.585288665</v>
      </c>
      <c r="AU63" s="30">
        <f>IFERROR(__xludf.DUMMYFUNCTION("""COMPUTED_VALUE"""),4.598316095667117)</f>
        <v>4.598316096</v>
      </c>
      <c r="AV63" s="32">
        <f>IFERROR(__xludf.DUMMYFUNCTION("""COMPUTED_VALUE"""),90.79517549453504)</f>
        <v>90.79517549</v>
      </c>
      <c r="AW63" s="32">
        <f>IFERROR(__xludf.DUMMYFUNCTION("""COMPUTED_VALUE"""),19.470377297585255)</f>
        <v>19.4703773</v>
      </c>
      <c r="AX63" s="32">
        <f>IFERROR(__xludf.DUMMYFUNCTION("""COMPUTED_VALUE"""),70.09315399627174)</f>
        <v>70.093154</v>
      </c>
      <c r="AY63" s="32">
        <f>IFERROR(__xludf.DUMMYFUNCTION("""COMPUTED_VALUE"""),4.7443378050061344)</f>
        <v>4.744337805</v>
      </c>
      <c r="AZ63" s="30">
        <f>IFERROR(__xludf.DUMMYFUNCTION("""COMPUTED_VALUE"""),14.72603949257912)</f>
        <v>14.72603949</v>
      </c>
      <c r="BA63" s="30">
        <f>IFERROR(__xludf.DUMMYFUNCTION("""COMPUTED_VALUE"""),450.0)</f>
        <v>450</v>
      </c>
    </row>
    <row r="64">
      <c r="A64" s="30" t="str">
        <f>IFERROR(__xludf.DUMMYFUNCTION("""COMPUTED_VALUE"""),"Master")</f>
        <v>Master</v>
      </c>
      <c r="B64" s="30" t="str">
        <f>IFERROR(__xludf.DUMMYFUNCTION("""COMPUTED_VALUE"""),"RSC007252")</f>
        <v>RSC007252</v>
      </c>
      <c r="C64" s="30" t="str">
        <f>IFERROR(__xludf.DUMMYFUNCTION("""COMPUTED_VALUE"""),"mario.")</f>
        <v>mario.</v>
      </c>
      <c r="D64" s="30"/>
      <c r="E64" s="30">
        <f>IFERROR(__xludf.DUMMYFUNCTION("""COMPUTED_VALUE"""),12.0)</f>
        <v>12</v>
      </c>
      <c r="F64" s="30">
        <f>IFERROR(__xludf.DUMMYFUNCTION("""COMPUTED_VALUE"""),3.0)</f>
        <v>3</v>
      </c>
      <c r="G64" s="30">
        <f>IFERROR(__xludf.DUMMYFUNCTION("""COMPUTED_VALUE"""),9.0)</f>
        <v>9</v>
      </c>
      <c r="H64" s="42">
        <f>IFERROR(__xludf.DUMMYFUNCTION("""COMPUTED_VALUE"""),0.25)</f>
        <v>0.25</v>
      </c>
      <c r="I64" s="42">
        <f>IFERROR(__xludf.DUMMYFUNCTION("""COMPUTED_VALUE"""),0.13793103448275862)</f>
        <v>0.1379310345</v>
      </c>
      <c r="J64" s="30">
        <f>IFERROR(__xludf.DUMMYFUNCTION("""COMPUTED_VALUE"""),301.9166666666667)</f>
        <v>301.9166667</v>
      </c>
      <c r="K64" s="30">
        <f>IFERROR(__xludf.DUMMYFUNCTION("""COMPUTED_VALUE"""),0.3333333333333333)</f>
        <v>0.3333333333</v>
      </c>
      <c r="L64" s="30">
        <f>IFERROR(__xludf.DUMMYFUNCTION("""COMPUTED_VALUE"""),0.5833333333333334)</f>
        <v>0.5833333333</v>
      </c>
      <c r="M64" s="30">
        <f>IFERROR(__xludf.DUMMYFUNCTION("""COMPUTED_VALUE"""),1.0)</f>
        <v>1</v>
      </c>
      <c r="N64" s="30">
        <f>IFERROR(__xludf.DUMMYFUNCTION("""COMPUTED_VALUE"""),2.4166666666666665)</f>
        <v>2.416666667</v>
      </c>
      <c r="O64" s="30">
        <f>IFERROR(__xludf.DUMMYFUNCTION("""COMPUTED_VALUE"""),435.4444444444445)</f>
        <v>435.4444444</v>
      </c>
      <c r="P64" s="30">
        <f>IFERROR(__xludf.DUMMYFUNCTION("""COMPUTED_VALUE"""),1.0277777777777777)</f>
        <v>1.027777778</v>
      </c>
      <c r="Q64" s="30">
        <f>IFERROR(__xludf.DUMMYFUNCTION("""COMPUTED_VALUE"""),0.8333333333333331)</f>
        <v>0.8333333333</v>
      </c>
      <c r="R64" s="30">
        <f>IFERROR(__xludf.DUMMYFUNCTION("""COMPUTED_VALUE"""),1.5)</f>
        <v>1.5</v>
      </c>
      <c r="S64" s="30">
        <f>IFERROR(__xludf.DUMMYFUNCTION("""COMPUTED_VALUE"""),3.361111111111111)</f>
        <v>3.361111111</v>
      </c>
      <c r="T64" s="30">
        <f>IFERROR(__xludf.DUMMYFUNCTION("""COMPUTED_VALUE"""),406.08654701475734)</f>
        <v>406.086547</v>
      </c>
      <c r="U64" s="30">
        <f>IFERROR(__xludf.DUMMYFUNCTION("""COMPUTED_VALUE"""),0.970740316727425)</f>
        <v>0.9707403167</v>
      </c>
      <c r="V64" s="30">
        <f>IFERROR(__xludf.DUMMYFUNCTION("""COMPUTED_VALUE"""),0.7124662379338823)</f>
        <v>0.7124662379</v>
      </c>
      <c r="W64" s="30">
        <f>IFERROR(__xludf.DUMMYFUNCTION("""COMPUTED_VALUE"""),1.5236329835483022)</f>
        <v>1.523632984</v>
      </c>
      <c r="X64" s="30">
        <f>IFERROR(__xludf.DUMMYFUNCTION("""COMPUTED_VALUE"""),3.171396064052788)</f>
        <v>3.171396064</v>
      </c>
      <c r="Y64" s="30">
        <f>IFERROR(__xludf.DUMMYFUNCTION("""COMPUTED_VALUE"""),391.0818400499686)</f>
        <v>391.08184</v>
      </c>
      <c r="Z64" s="30">
        <f>IFERROR(__xludf.DUMMYFUNCTION("""COMPUTED_VALUE"""),0.8783845271774999)</f>
        <v>0.8783845272</v>
      </c>
      <c r="AA64" s="30">
        <f>IFERROR(__xludf.DUMMYFUNCTION("""COMPUTED_VALUE"""),0.6829000799067364)</f>
        <v>0.6829000799</v>
      </c>
      <c r="AB64" s="30">
        <f>IFERROR(__xludf.DUMMYFUNCTION("""COMPUTED_VALUE"""),1.5556525776929384)</f>
        <v>1.555652578</v>
      </c>
      <c r="AC64" s="30">
        <f>IFERROR(__xludf.DUMMYFUNCTION("""COMPUTED_VALUE"""),2.839944026095863)</f>
        <v>2.839944026</v>
      </c>
      <c r="AD64" s="30">
        <f>IFERROR(__xludf.DUMMYFUNCTION("""COMPUTED_VALUE"""),0.7720038000948618)</f>
        <v>0.7720038001</v>
      </c>
      <c r="AE64" s="30">
        <f>IFERROR(__xludf.DUMMYFUNCTION("""COMPUTED_VALUE"""),0.37948452303050967)</f>
        <v>0.379484523</v>
      </c>
      <c r="AF64" s="30">
        <f>IFERROR(__xludf.DUMMYFUNCTION("""COMPUTED_VALUE"""),0.8542001245819142)</f>
        <v>0.8542001246</v>
      </c>
      <c r="AG64" s="30">
        <f>IFERROR(__xludf.DUMMYFUNCTION("""COMPUTED_VALUE"""),0.642817049474516)</f>
        <v>0.6428170495</v>
      </c>
      <c r="AH64" s="30">
        <f>IFERROR(__xludf.DUMMYFUNCTION("""COMPUTED_VALUE"""),0.8509557387259193)</f>
        <v>0.8509557387</v>
      </c>
      <c r="AI64" s="30">
        <f>IFERROR(__xludf.DUMMYFUNCTION("""COMPUTED_VALUE"""),1.0722946811351037)</f>
        <v>1.072294681</v>
      </c>
      <c r="AJ64" s="30">
        <f>IFERROR(__xludf.DUMMYFUNCTION("""COMPUTED_VALUE"""),1.0587566623817977)</f>
        <v>1.058756662</v>
      </c>
      <c r="AK64" s="30">
        <f>IFERROR(__xludf.DUMMYFUNCTION("""COMPUTED_VALUE"""),1.1696460673700968)</f>
        <v>1.169646067</v>
      </c>
      <c r="AL64" s="30">
        <f>IFERROR(__xludf.DUMMYFUNCTION("""COMPUTED_VALUE"""),0.9844890575332225)</f>
        <v>0.9844890575</v>
      </c>
      <c r="AM64" s="30">
        <f>IFERROR(__xludf.DUMMYFUNCTION("""COMPUTED_VALUE"""),1.0598206730495474)</f>
        <v>1.059820673</v>
      </c>
      <c r="AN64" s="30">
        <f>IFERROR(__xludf.DUMMYFUNCTION("""COMPUTED_VALUE"""),0.8052341542705861)</f>
        <v>0.8052341543</v>
      </c>
      <c r="AO64" s="30">
        <f>IFERROR(__xludf.DUMMYFUNCTION("""COMPUTED_VALUE"""),0.403805634811485)</f>
        <v>0.4038056348</v>
      </c>
      <c r="AP64" s="30">
        <f>IFERROR(__xludf.DUMMYFUNCTION("""COMPUTED_VALUE"""),0.8990237959215531)</f>
        <v>0.8990237959</v>
      </c>
      <c r="AQ64" s="30">
        <f>IFERROR(__xludf.DUMMYFUNCTION("""COMPUTED_VALUE"""),0.6882611337586376)</f>
        <v>0.6882611338</v>
      </c>
      <c r="AR64" s="30">
        <f>IFERROR(__xludf.DUMMYFUNCTION("""COMPUTED_VALUE"""),0.8890531263804989)</f>
        <v>0.8890531264</v>
      </c>
      <c r="AS64" s="30">
        <f>IFERROR(__xludf.DUMMYFUNCTION("""COMPUTED_VALUE"""),25.0)</f>
        <v>25</v>
      </c>
      <c r="AT64" s="30">
        <f>IFERROR(__xludf.DUMMYFUNCTION("""COMPUTED_VALUE"""),0.347943024864575)</f>
        <v>0.3479430249</v>
      </c>
      <c r="AU64" s="30">
        <f>IFERROR(__xludf.DUMMYFUNCTION("""COMPUTED_VALUE"""),1.8380889320062206)</f>
        <v>1.838088932</v>
      </c>
      <c r="AV64" s="32">
        <f>IFERROR(__xludf.DUMMYFUNCTION("""COMPUTED_VALUE"""),17.200985606381096)</f>
        <v>17.20098561</v>
      </c>
      <c r="AW64" s="32">
        <f>IFERROR(__xludf.DUMMYFUNCTION("""COMPUTED_VALUE"""),-10.552227787658854)</f>
        <v>-10.55222779</v>
      </c>
      <c r="AX64" s="32">
        <f>IFERROR(__xludf.DUMMYFUNCTION("""COMPUTED_VALUE"""),8.518468230552209)</f>
        <v>8.518468231</v>
      </c>
      <c r="AY64" s="32">
        <f>IFERROR(__xludf.DUMMYFUNCTION("""COMPUTED_VALUE"""),-20.605140872790955)</f>
        <v>-20.60514087</v>
      </c>
      <c r="AZ64" s="30">
        <f>IFERROR(__xludf.DUMMYFUNCTION("""COMPUTED_VALUE"""),10.0529130851321)</f>
        <v>10.05291309</v>
      </c>
      <c r="BA64" s="30">
        <f>IFERROR(__xludf.DUMMYFUNCTION("""COMPUTED_VALUE"""),450.0)</f>
        <v>450</v>
      </c>
    </row>
    <row r="65">
      <c r="A65" s="30" t="str">
        <f>IFERROR(__xludf.DUMMYFUNCTION("""COMPUTED_VALUE"""),"Master")</f>
        <v>Master</v>
      </c>
      <c r="B65" s="30" t="str">
        <f>IFERROR(__xludf.DUMMYFUNCTION("""COMPUTED_VALUE"""),"RSC007976")</f>
        <v>RSC007976</v>
      </c>
      <c r="C65" s="30" t="str">
        <f>IFERROR(__xludf.DUMMYFUNCTION("""COMPUTED_VALUE"""),"Just Kraze")</f>
        <v>Just Kraze</v>
      </c>
      <c r="D65" s="30" t="str">
        <f>IFERROR(__xludf.DUMMYFUNCTION("""COMPUTED_VALUE"""),"Battle Masters")</f>
        <v>Battle Masters</v>
      </c>
      <c r="E65" s="30">
        <f>IFERROR(__xludf.DUMMYFUNCTION("""COMPUTED_VALUE"""),45.0)</f>
        <v>45</v>
      </c>
      <c r="F65" s="30">
        <f>IFERROR(__xludf.DUMMYFUNCTION("""COMPUTED_VALUE"""),32.0)</f>
        <v>32</v>
      </c>
      <c r="G65" s="30">
        <f>IFERROR(__xludf.DUMMYFUNCTION("""COMPUTED_VALUE"""),13.0)</f>
        <v>13</v>
      </c>
      <c r="H65" s="42">
        <f>IFERROR(__xludf.DUMMYFUNCTION("""COMPUTED_VALUE"""),0.7111111111111111)</f>
        <v>0.7111111111</v>
      </c>
      <c r="I65" s="42">
        <f>IFERROR(__xludf.DUMMYFUNCTION("""COMPUTED_VALUE"""),0.35172413793103446)</f>
        <v>0.3517241379</v>
      </c>
      <c r="J65" s="30">
        <f>IFERROR(__xludf.DUMMYFUNCTION("""COMPUTED_VALUE"""),419.46666666666664)</f>
        <v>419.4666667</v>
      </c>
      <c r="K65" s="30">
        <f>IFERROR(__xludf.DUMMYFUNCTION("""COMPUTED_VALUE"""),1.1333333333333333)</f>
        <v>1.133333333</v>
      </c>
      <c r="L65" s="30">
        <f>IFERROR(__xludf.DUMMYFUNCTION("""COMPUTED_VALUE"""),0.9777777777777777)</f>
        <v>0.9777777778</v>
      </c>
      <c r="M65" s="30">
        <f>IFERROR(__xludf.DUMMYFUNCTION("""COMPUTED_VALUE"""),1.0888888888888888)</f>
        <v>1.088888889</v>
      </c>
      <c r="N65" s="30">
        <f>IFERROR(__xludf.DUMMYFUNCTION("""COMPUTED_VALUE"""),3.2222222222222223)</f>
        <v>3.222222222</v>
      </c>
      <c r="O65" s="30">
        <f>IFERROR(__xludf.DUMMYFUNCTION("""COMPUTED_VALUE"""),352.8592592592593)</f>
        <v>352.8592593</v>
      </c>
      <c r="P65" s="30">
        <f>IFERROR(__xludf.DUMMYFUNCTION("""COMPUTED_VALUE"""),0.6296296296296295)</f>
        <v>0.6296296296</v>
      </c>
      <c r="Q65" s="30">
        <f>IFERROR(__xludf.DUMMYFUNCTION("""COMPUTED_VALUE"""),0.5111111111111111)</f>
        <v>0.5111111111</v>
      </c>
      <c r="R65" s="30">
        <f>IFERROR(__xludf.DUMMYFUNCTION("""COMPUTED_VALUE"""),1.5925925925925923)</f>
        <v>1.592592593</v>
      </c>
      <c r="S65" s="30">
        <f>IFERROR(__xludf.DUMMYFUNCTION("""COMPUTED_VALUE"""),2.3851851851851853)</f>
        <v>2.385185185</v>
      </c>
      <c r="T65" s="30">
        <f>IFERROR(__xludf.DUMMYFUNCTION("""COMPUTED_VALUE"""),375.23466118907777)</f>
        <v>375.2346612</v>
      </c>
      <c r="U65" s="30">
        <f>IFERROR(__xludf.DUMMYFUNCTION("""COMPUTED_VALUE"""),0.8045496243198179)</f>
        <v>0.8045496243</v>
      </c>
      <c r="V65" s="30">
        <f>IFERROR(__xludf.DUMMYFUNCTION("""COMPUTED_VALUE"""),0.6276714440580891)</f>
        <v>0.6276714441</v>
      </c>
      <c r="W65" s="30">
        <f>IFERROR(__xludf.DUMMYFUNCTION("""COMPUTED_VALUE"""),1.5136711888008276)</f>
        <v>1.513671189</v>
      </c>
      <c r="X65" s="30">
        <f>IFERROR(__xludf.DUMMYFUNCTION("""COMPUTED_VALUE"""),2.718484058733848)</f>
        <v>2.718484059</v>
      </c>
      <c r="Y65" s="30">
        <f>IFERROR(__xludf.DUMMYFUNCTION("""COMPUTED_VALUE"""),395.36112554391576)</f>
        <v>395.3611255</v>
      </c>
      <c r="Z65" s="30">
        <f>IFERROR(__xludf.DUMMYFUNCTION("""COMPUTED_VALUE"""),0.9418788584408637)</f>
        <v>0.9418788584</v>
      </c>
      <c r="AA65" s="30">
        <f>IFERROR(__xludf.DUMMYFUNCTION("""COMPUTED_VALUE"""),0.7209860778655095)</f>
        <v>0.7209860779</v>
      </c>
      <c r="AB65" s="30">
        <f>IFERROR(__xludf.DUMMYFUNCTION("""COMPUTED_VALUE"""),1.4788313663818031)</f>
        <v>1.478831366</v>
      </c>
      <c r="AC65" s="30">
        <f>IFERROR(__xludf.DUMMYFUNCTION("""COMPUTED_VALUE"""),2.8810356202539658)</f>
        <v>2.88103562</v>
      </c>
      <c r="AD65" s="30">
        <f>IFERROR(__xludf.DUMMYFUNCTION("""COMPUTED_VALUE"""),1.060970944195861)</f>
        <v>1.060970944</v>
      </c>
      <c r="AE65" s="30">
        <f>IFERROR(__xludf.DUMMYFUNCTION("""COMPUTED_VALUE"""),1.203268682778795)</f>
        <v>1.203268683</v>
      </c>
      <c r="AF65" s="30">
        <f>IFERROR(__xludf.DUMMYFUNCTION("""COMPUTED_VALUE"""),1.356167348851595)</f>
        <v>1.356167349</v>
      </c>
      <c r="AG65" s="30">
        <f>IFERROR(__xludf.DUMMYFUNCTION("""COMPUTED_VALUE"""),0.7363171444983813)</f>
        <v>0.7363171445</v>
      </c>
      <c r="AH65" s="30">
        <f>IFERROR(__xludf.DUMMYFUNCTION("""COMPUTED_VALUE"""),1.1184249856439403)</f>
        <v>1.118424986</v>
      </c>
      <c r="AI65" s="30">
        <f>IFERROR(__xludf.DUMMYFUNCTION("""COMPUTED_VALUE"""),0.9403695760436596)</f>
        <v>0.940369576</v>
      </c>
      <c r="AJ65" s="30">
        <f>IFERROR(__xludf.DUMMYFUNCTION("""COMPUTED_VALUE"""),0.78258644413877)</f>
        <v>0.7825864441</v>
      </c>
      <c r="AK65" s="30">
        <f>IFERROR(__xludf.DUMMYFUNCTION("""COMPUTED_VALUE"""),0.8142972186318059)</f>
        <v>0.8142972186</v>
      </c>
      <c r="AL65" s="30">
        <f>IFERROR(__xludf.DUMMYFUNCTION("""COMPUTED_VALUE"""),1.0521390671736894)</f>
        <v>1.052139067</v>
      </c>
      <c r="AM65" s="30">
        <f>IFERROR(__xludf.DUMMYFUNCTION("""COMPUTED_VALUE"""),0.8773953179979658)</f>
        <v>0.877395318</v>
      </c>
      <c r="AN65" s="30">
        <f>IFERROR(__xludf.DUMMYFUNCTION("""COMPUTED_VALUE"""),1.118748727280271)</f>
        <v>1.118748727</v>
      </c>
      <c r="AO65" s="30">
        <f>IFERROR(__xludf.DUMMYFUNCTION("""COMPUTED_VALUE"""),1.3729391583590491)</f>
        <v>1.372939158</v>
      </c>
      <c r="AP65" s="30">
        <f>IFERROR(__xludf.DUMMYFUNCTION("""COMPUTED_VALUE"""),1.5069351245923175)</f>
        <v>1.506935125</v>
      </c>
      <c r="AQ65" s="30">
        <f>IFERROR(__xludf.DUMMYFUNCTION("""COMPUTED_VALUE"""),0.7494399012038498)</f>
        <v>0.7494399012</v>
      </c>
      <c r="AR65" s="30">
        <f>IFERROR(__xludf.DUMMYFUNCTION("""COMPUTED_VALUE"""),1.185404168507332)</f>
        <v>1.185404169</v>
      </c>
      <c r="AS65" s="30">
        <f>IFERROR(__xludf.DUMMYFUNCTION("""COMPUTED_VALUE"""),160.0)</f>
        <v>160</v>
      </c>
      <c r="AT65" s="30">
        <f>IFERROR(__xludf.DUMMYFUNCTION("""COMPUTED_VALUE"""),0.7366665219902284)</f>
        <v>0.736666522</v>
      </c>
      <c r="AU65" s="30">
        <f>IFERROR(__xludf.DUMMYFUNCTION("""COMPUTED_VALUE"""),4.414991101062978)</f>
        <v>4.414991101</v>
      </c>
      <c r="AV65" s="32">
        <f>IFERROR(__xludf.DUMMYFUNCTION("""COMPUTED_VALUE"""),85.90729719170442)</f>
        <v>85.90729719</v>
      </c>
      <c r="AW65" s="32">
        <f>IFERROR(__xludf.DUMMYFUNCTION("""COMPUTED_VALUE"""),13.252115406661979)</f>
        <v>13.25211541</v>
      </c>
      <c r="AX65" s="32">
        <f>IFERROR(__xludf.DUMMYFUNCTION("""COMPUTED_VALUE"""),72.47788554790749)</f>
        <v>72.47788555</v>
      </c>
      <c r="AY65" s="32">
        <f>IFERROR(__xludf.DUMMYFUNCTION("""COMPUTED_VALUE"""),5.426065745720848)</f>
        <v>5.426065746</v>
      </c>
      <c r="AZ65" s="30">
        <f>IFERROR(__xludf.DUMMYFUNCTION("""COMPUTED_VALUE"""),7.8260496609411305)</f>
        <v>7.826049661</v>
      </c>
      <c r="BA65" s="30">
        <f>IFERROR(__xludf.DUMMYFUNCTION("""COMPUTED_VALUE"""),450.0)</f>
        <v>450</v>
      </c>
    </row>
    <row r="66">
      <c r="A66" s="30" t="str">
        <f>IFERROR(__xludf.DUMMYFUNCTION("""COMPUTED_VALUE"""),"Master")</f>
        <v>Master</v>
      </c>
      <c r="B66" s="30" t="str">
        <f>IFERROR(__xludf.DUMMYFUNCTION("""COMPUTED_VALUE"""),"RSC000799")</f>
        <v>RSC000799</v>
      </c>
      <c r="C66" s="30" t="str">
        <f>IFERROR(__xludf.DUMMYFUNCTION("""COMPUTED_VALUE"""),"Foam")</f>
        <v>Foam</v>
      </c>
      <c r="D66" s="30" t="str">
        <f>IFERROR(__xludf.DUMMYFUNCTION("""COMPUTED_VALUE"""),"Tempests")</f>
        <v>Tempests</v>
      </c>
      <c r="E66" s="30">
        <f>IFERROR(__xludf.DUMMYFUNCTION("""COMPUTED_VALUE"""),8.0)</f>
        <v>8</v>
      </c>
      <c r="F66" s="30">
        <f>IFERROR(__xludf.DUMMYFUNCTION("""COMPUTED_VALUE"""),7.0)</f>
        <v>7</v>
      </c>
      <c r="G66" s="30">
        <f>IFERROR(__xludf.DUMMYFUNCTION("""COMPUTED_VALUE"""),1.0)</f>
        <v>1</v>
      </c>
      <c r="H66" s="42">
        <f>IFERROR(__xludf.DUMMYFUNCTION("""COMPUTED_VALUE"""),0.875)</f>
        <v>0.875</v>
      </c>
      <c r="I66" s="42">
        <f>IFERROR(__xludf.DUMMYFUNCTION("""COMPUTED_VALUE"""),0.5357142857142857)</f>
        <v>0.5357142857</v>
      </c>
      <c r="J66" s="30">
        <f>IFERROR(__xludf.DUMMYFUNCTION("""COMPUTED_VALUE"""),485.0)</f>
        <v>485</v>
      </c>
      <c r="K66" s="30">
        <f>IFERROR(__xludf.DUMMYFUNCTION("""COMPUTED_VALUE"""),1.875)</f>
        <v>1.875</v>
      </c>
      <c r="L66" s="30">
        <f>IFERROR(__xludf.DUMMYFUNCTION("""COMPUTED_VALUE"""),0.5)</f>
        <v>0.5</v>
      </c>
      <c r="M66" s="30">
        <f>IFERROR(__xludf.DUMMYFUNCTION("""COMPUTED_VALUE"""),1.25)</f>
        <v>1.25</v>
      </c>
      <c r="N66" s="30">
        <f>IFERROR(__xludf.DUMMYFUNCTION("""COMPUTED_VALUE"""),3.5)</f>
        <v>3.5</v>
      </c>
      <c r="O66" s="30">
        <f>IFERROR(__xludf.DUMMYFUNCTION("""COMPUTED_VALUE"""),335.25)</f>
        <v>335.25</v>
      </c>
      <c r="P66" s="30">
        <f>IFERROR(__xludf.DUMMYFUNCTION("""COMPUTED_VALUE"""),0.6666666666666666)</f>
        <v>0.6666666667</v>
      </c>
      <c r="Q66" s="30">
        <f>IFERROR(__xludf.DUMMYFUNCTION("""COMPUTED_VALUE"""),0.4583333333333333)</f>
        <v>0.4583333333</v>
      </c>
      <c r="R66" s="30">
        <f>IFERROR(__xludf.DUMMYFUNCTION("""COMPUTED_VALUE"""),1.25)</f>
        <v>1.25</v>
      </c>
      <c r="S66" s="30">
        <f>IFERROR(__xludf.DUMMYFUNCTION("""COMPUTED_VALUE"""),2.1666666666666665)</f>
        <v>2.166666667</v>
      </c>
      <c r="T66" s="30">
        <f>IFERROR(__xludf.DUMMYFUNCTION("""COMPUTED_VALUE"""),373.24884366277456)</f>
        <v>373.2488437</v>
      </c>
      <c r="U66" s="30">
        <f>IFERROR(__xludf.DUMMYFUNCTION("""COMPUTED_VALUE"""),0.806238999827491)</f>
        <v>0.8062389998</v>
      </c>
      <c r="V66" s="30">
        <f>IFERROR(__xludf.DUMMYFUNCTION("""COMPUTED_VALUE"""),0.621469323514867)</f>
        <v>0.6214693235</v>
      </c>
      <c r="W66" s="30">
        <f>IFERROR(__xludf.DUMMYFUNCTION("""COMPUTED_VALUE"""),1.5272800389658683)</f>
        <v>1.527280039</v>
      </c>
      <c r="X66" s="30">
        <f>IFERROR(__xludf.DUMMYFUNCTION("""COMPUTED_VALUE"""),2.6947000149754516)</f>
        <v>2.694700015</v>
      </c>
      <c r="Y66" s="30">
        <f>IFERROR(__xludf.DUMMYFUNCTION("""COMPUTED_VALUE"""),418.26250385968115)</f>
        <v>418.2625039</v>
      </c>
      <c r="Z66" s="30">
        <f>IFERROR(__xludf.DUMMYFUNCTION("""COMPUTED_VALUE"""),1.0527782692416838)</f>
        <v>1.052778269</v>
      </c>
      <c r="AA66" s="30">
        <f>IFERROR(__xludf.DUMMYFUNCTION("""COMPUTED_VALUE"""),0.8224765255085621)</f>
        <v>0.8224765255</v>
      </c>
      <c r="AB66" s="30">
        <f>IFERROR(__xludf.DUMMYFUNCTION("""COMPUTED_VALUE"""),1.514875306863363)</f>
        <v>1.514875307</v>
      </c>
      <c r="AC66" s="30">
        <f>IFERROR(__xludf.DUMMYFUNCTION("""COMPUTED_VALUE"""),3.10431786625904)</f>
        <v>3.104317866</v>
      </c>
      <c r="AD66" s="30">
        <f>IFERROR(__xludf.DUMMYFUNCTION("""COMPUTED_VALUE"""),1.1595588787531095)</f>
        <v>1.159558879</v>
      </c>
      <c r="AE66" s="30">
        <f>IFERROR(__xludf.DUMMYFUNCTION("""COMPUTED_VALUE"""),1.7810018071047025)</f>
        <v>1.781001807</v>
      </c>
      <c r="AF66" s="30">
        <f>IFERROR(__xludf.DUMMYFUNCTION("""COMPUTED_VALUE"""),0.6079200858539213)</f>
        <v>0.6079200859</v>
      </c>
      <c r="AG66" s="30">
        <f>IFERROR(__xludf.DUMMYFUNCTION("""COMPUTED_VALUE"""),0.825150422834601)</f>
        <v>0.8251504228</v>
      </c>
      <c r="AH66" s="30">
        <f>IFERROR(__xludf.DUMMYFUNCTION("""COMPUTED_VALUE"""),1.1274618614419758)</f>
        <v>1.127461861</v>
      </c>
      <c r="AI66" s="30">
        <f>IFERROR(__xludf.DUMMYFUNCTION("""COMPUTED_VALUE"""),0.8981943432432814)</f>
        <v>0.8981943432</v>
      </c>
      <c r="AJ66" s="30">
        <f>IFERROR(__xludf.DUMMYFUNCTION("""COMPUTED_VALUE"""),0.8268846667170797)</f>
        <v>0.8268846667</v>
      </c>
      <c r="AK66" s="30">
        <f>IFERROR(__xludf.DUMMYFUNCTION("""COMPUTED_VALUE"""),0.7374995289246469)</f>
        <v>0.7374995289</v>
      </c>
      <c r="AL66" s="30">
        <f>IFERROR(__xludf.DUMMYFUNCTION("""COMPUTED_VALUE"""),0.8184484626973738)</f>
        <v>0.8184484627</v>
      </c>
      <c r="AM66" s="30">
        <f>IFERROR(__xludf.DUMMYFUNCTION("""COMPUTED_VALUE"""),0.8040474467011886)</f>
        <v>0.8040474467</v>
      </c>
      <c r="AN66" s="30">
        <f>IFERROR(__xludf.DUMMYFUNCTION("""COMPUTED_VALUE"""),1.2935309902994234)</f>
        <v>1.29353099</v>
      </c>
      <c r="AO66" s="30">
        <f>IFERROR(__xludf.DUMMYFUNCTION("""COMPUTED_VALUE"""),2.2714066958146035)</f>
        <v>2.271406696</v>
      </c>
      <c r="AP66" s="30">
        <f>IFERROR(__xludf.DUMMYFUNCTION("""COMPUTED_VALUE"""),0.770591825075617)</f>
        <v>0.7705918251</v>
      </c>
      <c r="AQ66" s="30">
        <f>IFERROR(__xludf.DUMMYFUNCTION("""COMPUTED_VALUE"""),0.860326417198297)</f>
        <v>0.8603264172</v>
      </c>
      <c r="AR66" s="30">
        <f>IFERROR(__xludf.DUMMYFUNCTION("""COMPUTED_VALUE"""),1.2875941830338262)</f>
        <v>1.287594183</v>
      </c>
      <c r="AS66" s="30">
        <f>IFERROR(__xludf.DUMMYFUNCTION("""COMPUTED_VALUE"""),29.0)</f>
        <v>29</v>
      </c>
      <c r="AT66" s="30">
        <f>IFERROR(__xludf.DUMMYFUNCTION("""COMPUTED_VALUE"""),0.7263756751116563)</f>
        <v>0.7263756751</v>
      </c>
      <c r="AU66" s="30">
        <f>IFERROR(__xludf.DUMMYFUNCTION("""COMPUTED_VALUE"""),4.819671429239177)</f>
        <v>4.819671429</v>
      </c>
      <c r="AV66" s="32">
        <f>IFERROR(__xludf.DUMMYFUNCTION("""COMPUTED_VALUE"""),96.69703265546949)</f>
        <v>96.69703266</v>
      </c>
      <c r="AW66" s="32">
        <f>IFERROR(__xludf.DUMMYFUNCTION("""COMPUTED_VALUE"""),32.37366088873808)</f>
        <v>32.37366089</v>
      </c>
      <c r="AX66" s="32">
        <f>IFERROR(__xludf.DUMMYFUNCTION("""COMPUTED_VALUE"""),93.93279868048359)</f>
        <v>93.93279868</v>
      </c>
      <c r="AY66" s="32">
        <f>IFERROR(__xludf.DUMMYFUNCTION("""COMPUTED_VALUE"""),25.35990379094288)</f>
        <v>25.35990379</v>
      </c>
      <c r="AZ66" s="30">
        <f>IFERROR(__xludf.DUMMYFUNCTION("""COMPUTED_VALUE"""),7.0137570977951995)</f>
        <v>7.013757098</v>
      </c>
      <c r="BA66" s="30">
        <f>IFERROR(__xludf.DUMMYFUNCTION("""COMPUTED_VALUE"""),450.0)</f>
        <v>450</v>
      </c>
    </row>
    <row r="67">
      <c r="A67" s="30" t="str">
        <f>IFERROR(__xludf.DUMMYFUNCTION("""COMPUTED_VALUE"""),"Master")</f>
        <v>Master</v>
      </c>
      <c r="B67" s="30" t="str">
        <f>IFERROR(__xludf.DUMMYFUNCTION("""COMPUTED_VALUE"""),"RSC004717")</f>
        <v>RSC004717</v>
      </c>
      <c r="C67" s="30" t="str">
        <f>IFERROR(__xludf.DUMMYFUNCTION("""COMPUTED_VALUE"""),"slain.")</f>
        <v>slain.</v>
      </c>
      <c r="D67" s="30" t="str">
        <f>IFERROR(__xludf.DUMMYFUNCTION("""COMPUTED_VALUE"""),"Battle Masters")</f>
        <v>Battle Masters</v>
      </c>
      <c r="E67" s="30">
        <f>IFERROR(__xludf.DUMMYFUNCTION("""COMPUTED_VALUE"""),48.0)</f>
        <v>48</v>
      </c>
      <c r="F67" s="30">
        <f>IFERROR(__xludf.DUMMYFUNCTION("""COMPUTED_VALUE"""),35.0)</f>
        <v>35</v>
      </c>
      <c r="G67" s="30">
        <f>IFERROR(__xludf.DUMMYFUNCTION("""COMPUTED_VALUE"""),13.0)</f>
        <v>13</v>
      </c>
      <c r="H67" s="42">
        <f>IFERROR(__xludf.DUMMYFUNCTION("""COMPUTED_VALUE"""),0.7291666666666666)</f>
        <v>0.7291666667</v>
      </c>
      <c r="I67" s="42">
        <f>IFERROR(__xludf.DUMMYFUNCTION("""COMPUTED_VALUE"""),0.4013605442176871)</f>
        <v>0.4013605442</v>
      </c>
      <c r="J67" s="30">
        <f>IFERROR(__xludf.DUMMYFUNCTION("""COMPUTED_VALUE"""),440.1666666666667)</f>
        <v>440.1666667</v>
      </c>
      <c r="K67" s="30">
        <f>IFERROR(__xludf.DUMMYFUNCTION("""COMPUTED_VALUE"""),1.2291666666666667)</f>
        <v>1.229166667</v>
      </c>
      <c r="L67" s="30">
        <f>IFERROR(__xludf.DUMMYFUNCTION("""COMPUTED_VALUE"""),0.8333333333333334)</f>
        <v>0.8333333333</v>
      </c>
      <c r="M67" s="30">
        <f>IFERROR(__xludf.DUMMYFUNCTION("""COMPUTED_VALUE"""),1.7291666666666667)</f>
        <v>1.729166667</v>
      </c>
      <c r="N67" s="30">
        <f>IFERROR(__xludf.DUMMYFUNCTION("""COMPUTED_VALUE"""),3.0625)</f>
        <v>3.0625</v>
      </c>
      <c r="O67" s="30">
        <f>IFERROR(__xludf.DUMMYFUNCTION("""COMPUTED_VALUE"""),350.4305555555556)</f>
        <v>350.4305556</v>
      </c>
      <c r="P67" s="30">
        <f>IFERROR(__xludf.DUMMYFUNCTION("""COMPUTED_VALUE"""),0.6458333333333333)</f>
        <v>0.6458333333</v>
      </c>
      <c r="Q67" s="30">
        <f>IFERROR(__xludf.DUMMYFUNCTION("""COMPUTED_VALUE"""),0.5208333333333334)</f>
        <v>0.5208333333</v>
      </c>
      <c r="R67" s="30">
        <f>IFERROR(__xludf.DUMMYFUNCTION("""COMPUTED_VALUE"""),1.5416666666666663)</f>
        <v>1.541666667</v>
      </c>
      <c r="S67" s="30">
        <f>IFERROR(__xludf.DUMMYFUNCTION("""COMPUTED_VALUE"""),2.3958333333333335)</f>
        <v>2.395833333</v>
      </c>
      <c r="T67" s="30">
        <f>IFERROR(__xludf.DUMMYFUNCTION("""COMPUTED_VALUE"""),374.0672674019297)</f>
        <v>374.0672674</v>
      </c>
      <c r="U67" s="30">
        <f>IFERROR(__xludf.DUMMYFUNCTION("""COMPUTED_VALUE"""),0.8018739383590763)</f>
        <v>0.8018739384</v>
      </c>
      <c r="V67" s="30">
        <f>IFERROR(__xludf.DUMMYFUNCTION("""COMPUTED_VALUE"""),0.6297657675150606)</f>
        <v>0.6297657675</v>
      </c>
      <c r="W67" s="30">
        <f>IFERROR(__xludf.DUMMYFUNCTION("""COMPUTED_VALUE"""),1.5062830613750642)</f>
        <v>1.506283061</v>
      </c>
      <c r="X67" s="30">
        <f>IFERROR(__xludf.DUMMYFUNCTION("""COMPUTED_VALUE"""),2.6980760237508874)</f>
        <v>2.698076024</v>
      </c>
      <c r="Y67" s="30">
        <f>IFERROR(__xludf.DUMMYFUNCTION("""COMPUTED_VALUE"""),395.5867974467921)</f>
        <v>395.5867974</v>
      </c>
      <c r="Z67" s="30">
        <f>IFERROR(__xludf.DUMMYFUNCTION("""COMPUTED_VALUE"""),0.9462834737892627)</f>
        <v>0.9462834738</v>
      </c>
      <c r="AA67" s="30">
        <f>IFERROR(__xludf.DUMMYFUNCTION("""COMPUTED_VALUE"""),0.7239009853618948)</f>
        <v>0.7239009854</v>
      </c>
      <c r="AB67" s="30">
        <f>IFERROR(__xludf.DUMMYFUNCTION("""COMPUTED_VALUE"""),1.467927612054637)</f>
        <v>1.467927612</v>
      </c>
      <c r="AC67" s="30">
        <f>IFERROR(__xludf.DUMMYFUNCTION("""COMPUTED_VALUE"""),2.892971848254014)</f>
        <v>2.892971848</v>
      </c>
      <c r="AD67" s="30">
        <f>IFERROR(__xludf.DUMMYFUNCTION("""COMPUTED_VALUE"""),1.112693015812467)</f>
        <v>1.112693016</v>
      </c>
      <c r="AE67" s="30">
        <f>IFERROR(__xludf.DUMMYFUNCTION("""COMPUTED_VALUE"""),1.2989412799788598)</f>
        <v>1.29894128</v>
      </c>
      <c r="AF67" s="30">
        <f>IFERROR(__xludf.DUMMYFUNCTION("""COMPUTED_VALUE"""),1.151170326031164)</f>
        <v>1.151170326</v>
      </c>
      <c r="AG67" s="30">
        <f>IFERROR(__xludf.DUMMYFUNCTION("""COMPUTED_VALUE"""),1.1779645348086185)</f>
        <v>1.177964535</v>
      </c>
      <c r="AH67" s="30">
        <f>IFERROR(__xludf.DUMMYFUNCTION("""COMPUTED_VALUE"""),1.0586000004971707)</f>
        <v>1.0586</v>
      </c>
      <c r="AI67" s="30">
        <f>IFERROR(__xludf.DUMMYFUNCTION("""COMPUTED_VALUE"""),0.936811600730152)</f>
        <v>0.9368116007</v>
      </c>
      <c r="AJ67" s="30">
        <f>IFERROR(__xludf.DUMMYFUNCTION("""COMPUTED_VALUE"""),0.8054050673537807)</f>
        <v>0.8054050674</v>
      </c>
      <c r="AK67" s="30">
        <f>IFERROR(__xludf.DUMMYFUNCTION("""COMPUTED_VALUE"""),0.8270270633928635)</f>
        <v>0.8270270634</v>
      </c>
      <c r="AL67" s="30">
        <f>IFERROR(__xludf.DUMMYFUNCTION("""COMPUTED_VALUE"""),1.0234906746274508)</f>
        <v>1.023490675</v>
      </c>
      <c r="AM67" s="30">
        <f>IFERROR(__xludf.DUMMYFUNCTION("""COMPUTED_VALUE"""),0.8879784380584749)</f>
        <v>0.8879784381</v>
      </c>
      <c r="AN67" s="30">
        <f>IFERROR(__xludf.DUMMYFUNCTION("""COMPUTED_VALUE"""),1.173957163361092)</f>
        <v>1.173957163</v>
      </c>
      <c r="AO67" s="30">
        <f>IFERROR(__xludf.DUMMYFUNCTION("""COMPUTED_VALUE"""),1.4890332783673512)</f>
        <v>1.489033278</v>
      </c>
      <c r="AP67" s="30">
        <f>IFERROR(__xludf.DUMMYFUNCTION("""COMPUTED_VALUE"""),1.2843197084593616)</f>
        <v>1.284319708</v>
      </c>
      <c r="AQ67" s="30">
        <f>IFERROR(__xludf.DUMMYFUNCTION("""COMPUTED_VALUE"""),1.1901182104576444)</f>
        <v>1.19011821</v>
      </c>
      <c r="AR67" s="30">
        <f>IFERROR(__xludf.DUMMYFUNCTION("""COMPUTED_VALUE"""),1.126644910154598)</f>
        <v>1.12664491</v>
      </c>
      <c r="AS67" s="30">
        <f>IFERROR(__xludf.DUMMYFUNCTION("""COMPUTED_VALUE"""),175.0)</f>
        <v>175</v>
      </c>
      <c r="AT67" s="30">
        <f>IFERROR(__xludf.DUMMYFUNCTION("""COMPUTED_VALUE"""),0.7380054858644726)</f>
        <v>0.7380054859</v>
      </c>
      <c r="AU67" s="30">
        <f>IFERROR(__xludf.DUMMYFUNCTION("""COMPUTED_VALUE"""),4.323189111733667)</f>
        <v>4.323189112</v>
      </c>
      <c r="AV67" s="32">
        <f>IFERROR(__xludf.DUMMYFUNCTION("""COMPUTED_VALUE"""),83.45963885265272)</f>
        <v>83.45963885</v>
      </c>
      <c r="AW67" s="32">
        <f>IFERROR(__xludf.DUMMYFUNCTION("""COMPUTED_VALUE"""),11.063734629810146)</f>
        <v>11.06373463</v>
      </c>
      <c r="AX67" s="32">
        <f>IFERROR(__xludf.DUMMYFUNCTION("""COMPUTED_VALUE"""),70.75217289575286)</f>
        <v>70.7521729</v>
      </c>
      <c r="AY67" s="32">
        <f>IFERROR(__xludf.DUMMYFUNCTION("""COMPUTED_VALUE"""),4.920174544782537)</f>
        <v>4.920174545</v>
      </c>
      <c r="AZ67" s="30">
        <f>IFERROR(__xludf.DUMMYFUNCTION("""COMPUTED_VALUE"""),6.143560085027609)</f>
        <v>6.143560085</v>
      </c>
      <c r="BA67" s="30">
        <f>IFERROR(__xludf.DUMMYFUNCTION("""COMPUTED_VALUE"""),450.0)</f>
        <v>450</v>
      </c>
    </row>
    <row r="68">
      <c r="A68" s="30" t="str">
        <f>IFERROR(__xludf.DUMMYFUNCTION("""COMPUTED_VALUE"""),"Master")</f>
        <v>Master</v>
      </c>
      <c r="B68" s="30" t="str">
        <f>IFERROR(__xludf.DUMMYFUNCTION("""COMPUTED_VALUE"""),"RSC006481")</f>
        <v>RSC006481</v>
      </c>
      <c r="C68" s="30" t="str">
        <f>IFERROR(__xludf.DUMMYFUNCTION("""COMPUTED_VALUE"""),"Mixsta.")</f>
        <v>Mixsta.</v>
      </c>
      <c r="D68" s="30" t="str">
        <f>IFERROR(__xludf.DUMMYFUNCTION("""COMPUTED_VALUE"""),"Phantom Phreaks")</f>
        <v>Phantom Phreaks</v>
      </c>
      <c r="E68" s="30">
        <f>IFERROR(__xludf.DUMMYFUNCTION("""COMPUTED_VALUE"""),24.0)</f>
        <v>24</v>
      </c>
      <c r="F68" s="30">
        <f>IFERROR(__xludf.DUMMYFUNCTION("""COMPUTED_VALUE"""),16.0)</f>
        <v>16</v>
      </c>
      <c r="G68" s="30">
        <f>IFERROR(__xludf.DUMMYFUNCTION("""COMPUTED_VALUE"""),8.0)</f>
        <v>8</v>
      </c>
      <c r="H68" s="42">
        <f>IFERROR(__xludf.DUMMYFUNCTION("""COMPUTED_VALUE"""),0.6666666666666666)</f>
        <v>0.6666666667</v>
      </c>
      <c r="I68" s="42">
        <f>IFERROR(__xludf.DUMMYFUNCTION("""COMPUTED_VALUE"""),0.23255813953488372)</f>
        <v>0.2325581395</v>
      </c>
      <c r="J68" s="30">
        <f>IFERROR(__xludf.DUMMYFUNCTION("""COMPUTED_VALUE"""),387.7083333333333)</f>
        <v>387.7083333</v>
      </c>
      <c r="K68" s="30">
        <f>IFERROR(__xludf.DUMMYFUNCTION("""COMPUTED_VALUE"""),0.8333333333333334)</f>
        <v>0.8333333333</v>
      </c>
      <c r="L68" s="30">
        <f>IFERROR(__xludf.DUMMYFUNCTION("""COMPUTED_VALUE"""),0.7916666666666666)</f>
        <v>0.7916666667</v>
      </c>
      <c r="M68" s="30">
        <f>IFERROR(__xludf.DUMMYFUNCTION("""COMPUTED_VALUE"""),1.2083333333333333)</f>
        <v>1.208333333</v>
      </c>
      <c r="N68" s="30">
        <f>IFERROR(__xludf.DUMMYFUNCTION("""COMPUTED_VALUE"""),3.5833333333333335)</f>
        <v>3.583333333</v>
      </c>
      <c r="O68" s="30">
        <f>IFERROR(__xludf.DUMMYFUNCTION("""COMPUTED_VALUE"""),396.3333333333333)</f>
        <v>396.3333333</v>
      </c>
      <c r="P68" s="30">
        <f>IFERROR(__xludf.DUMMYFUNCTION("""COMPUTED_VALUE"""),0.6805555555555557)</f>
        <v>0.6805555556</v>
      </c>
      <c r="Q68" s="30">
        <f>IFERROR(__xludf.DUMMYFUNCTION("""COMPUTED_VALUE"""),0.4861111111111111)</f>
        <v>0.4861111111</v>
      </c>
      <c r="R68" s="30">
        <f>IFERROR(__xludf.DUMMYFUNCTION("""COMPUTED_VALUE"""),1.9444444444444446)</f>
        <v>1.944444444</v>
      </c>
      <c r="S68" s="30">
        <f>IFERROR(__xludf.DUMMYFUNCTION("""COMPUTED_VALUE"""),2.597222222222222)</f>
        <v>2.597222222</v>
      </c>
      <c r="T68" s="30">
        <f>IFERROR(__xludf.DUMMYFUNCTION("""COMPUTED_VALUE"""),376.0266652996797)</f>
        <v>376.0266653</v>
      </c>
      <c r="U68" s="30">
        <f>IFERROR(__xludf.DUMMYFUNCTION("""COMPUTED_VALUE"""),0.7929020204730914)</f>
        <v>0.7929020205</v>
      </c>
      <c r="V68" s="30">
        <f>IFERROR(__xludf.DUMMYFUNCTION("""COMPUTED_VALUE"""),0.6436071243040336)</f>
        <v>0.6436071243</v>
      </c>
      <c r="W68" s="30">
        <f>IFERROR(__xludf.DUMMYFUNCTION("""COMPUTED_VALUE"""),1.5083237743814903)</f>
        <v>1.508323774</v>
      </c>
      <c r="X68" s="30">
        <f>IFERROR(__xludf.DUMMYFUNCTION("""COMPUTED_VALUE"""),2.68509031718072)</f>
        <v>2.685090317</v>
      </c>
      <c r="Y68" s="30">
        <f>IFERROR(__xludf.DUMMYFUNCTION("""COMPUTED_VALUE"""),392.7653038792551)</f>
        <v>392.7653039</v>
      </c>
      <c r="Z68" s="30">
        <f>IFERROR(__xludf.DUMMYFUNCTION("""COMPUTED_VALUE"""),0.8968231535187946)</f>
        <v>0.8968231535</v>
      </c>
      <c r="AA68" s="30">
        <f>IFERROR(__xludf.DUMMYFUNCTION("""COMPUTED_VALUE"""),0.6853352029048702)</f>
        <v>0.6853352029</v>
      </c>
      <c r="AB68" s="30">
        <f>IFERROR(__xludf.DUMMYFUNCTION("""COMPUTED_VALUE"""),1.4796293259350708)</f>
        <v>1.479629326</v>
      </c>
      <c r="AC68" s="30">
        <f>IFERROR(__xludf.DUMMYFUNCTION("""COMPUTED_VALUE"""),2.9209233578815295)</f>
        <v>2.920923358</v>
      </c>
      <c r="AD68" s="30">
        <f>IFERROR(__xludf.DUMMYFUNCTION("""COMPUTED_VALUE"""),0.9871247014540867)</f>
        <v>0.9871247015</v>
      </c>
      <c r="AE68" s="30">
        <f>IFERROR(__xludf.DUMMYFUNCTION("""COMPUTED_VALUE"""),0.9292058641256626)</f>
        <v>0.9292058641</v>
      </c>
      <c r="AF68" s="30">
        <f>IFERROR(__xludf.DUMMYFUNCTION("""COMPUTED_VALUE"""),1.155152490797348)</f>
        <v>1.155152491</v>
      </c>
      <c r="AG68" s="30">
        <f>IFERROR(__xludf.DUMMYFUNCTION("""COMPUTED_VALUE"""),0.8166459748759788)</f>
        <v>0.8166459749</v>
      </c>
      <c r="AH68" s="30">
        <f>IFERROR(__xludf.DUMMYFUNCTION("""COMPUTED_VALUE"""),1.226781018976216)</f>
        <v>1.226781019</v>
      </c>
      <c r="AI68" s="30">
        <f>IFERROR(__xludf.DUMMYFUNCTION("""COMPUTED_VALUE"""),1.0540032660116536)</f>
        <v>1.054003266</v>
      </c>
      <c r="AJ68" s="30">
        <f>IFERROR(__xludf.DUMMYFUNCTION("""COMPUTED_VALUE"""),0.8583097759663882)</f>
        <v>0.858309776</v>
      </c>
      <c r="AK68" s="30">
        <f>IFERROR(__xludf.DUMMYFUNCTION("""COMPUTED_VALUE"""),0.7552916876685739)</f>
        <v>0.7552916877</v>
      </c>
      <c r="AL68" s="30">
        <f>IFERROR(__xludf.DUMMYFUNCTION("""COMPUTED_VALUE"""),1.289142608152412)</f>
        <v>1.289142608</v>
      </c>
      <c r="AM68" s="30">
        <f>IFERROR(__xludf.DUMMYFUNCTION("""COMPUTED_VALUE"""),0.9672755533040104)</f>
        <v>0.9672755533</v>
      </c>
      <c r="AN68" s="30">
        <f>IFERROR(__xludf.DUMMYFUNCTION("""COMPUTED_VALUE"""),1.034046895595888)</f>
        <v>1.034046896</v>
      </c>
      <c r="AO68" s="30">
        <f>IFERROR(__xludf.DUMMYFUNCTION("""COMPUTED_VALUE"""),1.0095140870287127)</f>
        <v>1.009514087</v>
      </c>
      <c r="AP68" s="30">
        <f>IFERROR(__xludf.DUMMYFUNCTION("""COMPUTED_VALUE"""),1.2201037230363934)</f>
        <v>1.220103723</v>
      </c>
      <c r="AQ68" s="30">
        <f>IFERROR(__xludf.DUMMYFUNCTION("""COMPUTED_VALUE"""),0.8316488699583537)</f>
        <v>0.83164887</v>
      </c>
      <c r="AR68" s="30">
        <f>IFERROR(__xludf.DUMMYFUNCTION("""COMPUTED_VALUE"""),1.3182511873917744)</f>
        <v>1.318251187</v>
      </c>
      <c r="AS68" s="30">
        <f>IFERROR(__xludf.DUMMYFUNCTION("""COMPUTED_VALUE"""),61.0)</f>
        <v>61</v>
      </c>
      <c r="AT68" s="30">
        <f>IFERROR(__xludf.DUMMYFUNCTION("""COMPUTED_VALUE"""),0.5839683975864846)</f>
        <v>0.5839683976</v>
      </c>
      <c r="AU68" s="30">
        <f>IFERROR(__xludf.DUMMYFUNCTION("""COMPUTED_VALUE"""),3.693947798833186)</f>
        <v>3.693947799</v>
      </c>
      <c r="AV68" s="32">
        <f>IFERROR(__xludf.DUMMYFUNCTION("""COMPUTED_VALUE"""),66.68257598017152)</f>
        <v>66.68257598</v>
      </c>
      <c r="AW68" s="32">
        <f>IFERROR(__xludf.DUMMYFUNCTION("""COMPUTED_VALUE"""),3.9637036877269054)</f>
        <v>3.963703688</v>
      </c>
      <c r="AX68" s="32">
        <f>IFERROR(__xludf.DUMMYFUNCTION("""COMPUTED_VALUE"""),48.55907033086866)</f>
        <v>48.55907033</v>
      </c>
      <c r="AY68" s="32">
        <f>IFERROR(__xludf.DUMMYFUNCTION("""COMPUTED_VALUE"""),-2.096353373293514)</f>
        <v>-2.096353373</v>
      </c>
      <c r="AZ68" s="30">
        <f>IFERROR(__xludf.DUMMYFUNCTION("""COMPUTED_VALUE"""),6.060057061020419)</f>
        <v>6.060057061</v>
      </c>
      <c r="BA68" s="30">
        <f>IFERROR(__xludf.DUMMYFUNCTION("""COMPUTED_VALUE"""),450.0)</f>
        <v>450</v>
      </c>
    </row>
    <row r="69">
      <c r="A69" s="30" t="str">
        <f>IFERROR(__xludf.DUMMYFUNCTION("""COMPUTED_VALUE"""),"Master")</f>
        <v>Master</v>
      </c>
      <c r="B69" s="30" t="str">
        <f>IFERROR(__xludf.DUMMYFUNCTION("""COMPUTED_VALUE"""),"RSC002620")</f>
        <v>RSC002620</v>
      </c>
      <c r="C69" s="30" t="str">
        <f>IFERROR(__xludf.DUMMYFUNCTION("""COMPUTED_VALUE"""),"Instnt")</f>
        <v>Instnt</v>
      </c>
      <c r="D69" s="30" t="str">
        <f>IFERROR(__xludf.DUMMYFUNCTION("""COMPUTED_VALUE"""),"Tempests")</f>
        <v>Tempests</v>
      </c>
      <c r="E69" s="30">
        <f>IFERROR(__xludf.DUMMYFUNCTION("""COMPUTED_VALUE"""),6.0)</f>
        <v>6</v>
      </c>
      <c r="F69" s="30">
        <f>IFERROR(__xludf.DUMMYFUNCTION("""COMPUTED_VALUE"""),1.0)</f>
        <v>1</v>
      </c>
      <c r="G69" s="30">
        <f>IFERROR(__xludf.DUMMYFUNCTION("""COMPUTED_VALUE"""),5.0)</f>
        <v>5</v>
      </c>
      <c r="H69" s="42">
        <f>IFERROR(__xludf.DUMMYFUNCTION("""COMPUTED_VALUE"""),0.16666666666666666)</f>
        <v>0.1666666667</v>
      </c>
      <c r="I69" s="42">
        <f>IFERROR(__xludf.DUMMYFUNCTION("""COMPUTED_VALUE"""),0.27272727272727276)</f>
        <v>0.2727272727</v>
      </c>
      <c r="J69" s="30">
        <f>IFERROR(__xludf.DUMMYFUNCTION("""COMPUTED_VALUE"""),415.0)</f>
        <v>415</v>
      </c>
      <c r="K69" s="30">
        <f>IFERROR(__xludf.DUMMYFUNCTION("""COMPUTED_VALUE"""),1.0)</f>
        <v>1</v>
      </c>
      <c r="L69" s="30">
        <f>IFERROR(__xludf.DUMMYFUNCTION("""COMPUTED_VALUE"""),0.5)</f>
        <v>0.5</v>
      </c>
      <c r="M69" s="30">
        <f>IFERROR(__xludf.DUMMYFUNCTION("""COMPUTED_VALUE"""),1.5)</f>
        <v>1.5</v>
      </c>
      <c r="N69" s="30">
        <f>IFERROR(__xludf.DUMMYFUNCTION("""COMPUTED_VALUE"""),3.6666666666666665)</f>
        <v>3.666666667</v>
      </c>
      <c r="O69" s="30">
        <f>IFERROR(__xludf.DUMMYFUNCTION("""COMPUTED_VALUE"""),393.2777777777778)</f>
        <v>393.2777778</v>
      </c>
      <c r="P69" s="30">
        <f>IFERROR(__xludf.DUMMYFUNCTION("""COMPUTED_VALUE"""),1.1666666666666667)</f>
        <v>1.166666667</v>
      </c>
      <c r="Q69" s="30">
        <f>IFERROR(__xludf.DUMMYFUNCTION("""COMPUTED_VALUE"""),0.8333333333333334)</f>
        <v>0.8333333333</v>
      </c>
      <c r="R69" s="30">
        <f>IFERROR(__xludf.DUMMYFUNCTION("""COMPUTED_VALUE"""),1.3333333333333333)</f>
        <v>1.333333333</v>
      </c>
      <c r="S69" s="30">
        <f>IFERROR(__xludf.DUMMYFUNCTION("""COMPUTED_VALUE"""),2.444444444444444)</f>
        <v>2.444444444</v>
      </c>
      <c r="T69" s="30">
        <f>IFERROR(__xludf.DUMMYFUNCTION("""COMPUTED_VALUE"""),384.471836959337)</f>
        <v>384.471837</v>
      </c>
      <c r="U69" s="30">
        <f>IFERROR(__xludf.DUMMYFUNCTION("""COMPUTED_VALUE"""),0.8888673055339723)</f>
        <v>0.8888673055</v>
      </c>
      <c r="V69" s="30">
        <f>IFERROR(__xludf.DUMMYFUNCTION("""COMPUTED_VALUE"""),0.8013079513079512)</f>
        <v>0.8013079513</v>
      </c>
      <c r="W69" s="30">
        <f>IFERROR(__xludf.DUMMYFUNCTION("""COMPUTED_VALUE"""),1.457039411206078)</f>
        <v>1.457039411</v>
      </c>
      <c r="X69" s="30">
        <f>IFERROR(__xludf.DUMMYFUNCTION("""COMPUTED_VALUE"""),2.8414249330916)</f>
        <v>2.841424933</v>
      </c>
      <c r="Y69" s="30">
        <f>IFERROR(__xludf.DUMMYFUNCTION("""COMPUTED_VALUE"""),369.54577894787116)</f>
        <v>369.5457789</v>
      </c>
      <c r="Z69" s="30">
        <f>IFERROR(__xludf.DUMMYFUNCTION("""COMPUTED_VALUE"""),0.8178885784559543)</f>
        <v>0.8178885785</v>
      </c>
      <c r="AA69" s="30">
        <f>IFERROR(__xludf.DUMMYFUNCTION("""COMPUTED_VALUE"""),0.599845977505552)</f>
        <v>0.5998459775</v>
      </c>
      <c r="AB69" s="30">
        <f>IFERROR(__xludf.DUMMYFUNCTION("""COMPUTED_VALUE"""),1.4037705661819135)</f>
        <v>1.403770566</v>
      </c>
      <c r="AC69" s="30">
        <f>IFERROR(__xludf.DUMMYFUNCTION("""COMPUTED_VALUE"""),2.650797573847219)</f>
        <v>2.650797574</v>
      </c>
      <c r="AD69" s="30">
        <f>IFERROR(__xludf.DUMMYFUNCTION("""COMPUTED_VALUE"""),1.1230002441958367)</f>
        <v>1.123000244</v>
      </c>
      <c r="AE69" s="30">
        <f>IFERROR(__xludf.DUMMYFUNCTION("""COMPUTED_VALUE"""),1.2226604287442717)</f>
        <v>1.222660429</v>
      </c>
      <c r="AF69" s="30">
        <f>IFERROR(__xludf.DUMMYFUNCTION("""COMPUTED_VALUE"""),0.8335473083927984)</f>
        <v>0.8335473084</v>
      </c>
      <c r="AG69" s="30">
        <f>IFERROR(__xludf.DUMMYFUNCTION("""COMPUTED_VALUE"""),1.0685506849454887)</f>
        <v>1.068550685</v>
      </c>
      <c r="AH69" s="30">
        <f>IFERROR(__xludf.DUMMYFUNCTION("""COMPUTED_VALUE"""),1.383231485814691)</f>
        <v>1.383231486</v>
      </c>
      <c r="AI69" s="30">
        <f>IFERROR(__xludf.DUMMYFUNCTION("""COMPUTED_VALUE"""),1.0229039944462102)</f>
        <v>1.022903994</v>
      </c>
      <c r="AJ69" s="30">
        <f>IFERROR(__xludf.DUMMYFUNCTION("""COMPUTED_VALUE"""),1.312531869946337)</f>
        <v>1.31253187</v>
      </c>
      <c r="AK69" s="30">
        <f>IFERROR(__xludf.DUMMYFUNCTION("""COMPUTED_VALUE"""),1.0399663849249319)</f>
        <v>1.039966385</v>
      </c>
      <c r="AL69" s="30">
        <f>IFERROR(__xludf.DUMMYFUNCTION("""COMPUTED_VALUE"""),0.9150976446338223)</f>
        <v>0.9150976446</v>
      </c>
      <c r="AM69" s="30">
        <f>IFERROR(__xludf.DUMMYFUNCTION("""COMPUTED_VALUE"""),0.8602882363620203)</f>
        <v>0.8602882364</v>
      </c>
      <c r="AN69" s="30">
        <f>IFERROR(__xludf.DUMMYFUNCTION("""COMPUTED_VALUE"""),1.106835795823218)</f>
        <v>1.106835796</v>
      </c>
      <c r="AO69" s="30">
        <f>IFERROR(__xludf.DUMMYFUNCTION("""COMPUTED_VALUE"""),1.2114169044344552)</f>
        <v>1.211416904</v>
      </c>
      <c r="AP69" s="30">
        <f>IFERROR(__xludf.DUMMYFUNCTION("""COMPUTED_VALUE"""),0.770591825075617)</f>
        <v>0.7705918251</v>
      </c>
      <c r="AQ69" s="30">
        <f>IFERROR(__xludf.DUMMYFUNCTION("""COMPUTED_VALUE"""),1.0323917006379564)</f>
        <v>1.032391701</v>
      </c>
      <c r="AR69" s="30">
        <f>IFERROR(__xludf.DUMMYFUNCTION("""COMPUTED_VALUE"""),1.3489081917497225)</f>
        <v>1.348908192</v>
      </c>
      <c r="AS69" s="30">
        <f>IFERROR(__xludf.DUMMYFUNCTION("""COMPUTED_VALUE"""),17.0)</f>
        <v>17</v>
      </c>
      <c r="AT69" s="30">
        <f>IFERROR(__xludf.DUMMYFUNCTION("""COMPUTED_VALUE"""),0.41122322733263367)</f>
        <v>0.4112232273</v>
      </c>
      <c r="AU69" s="30">
        <f>IFERROR(__xludf.DUMMYFUNCTION("""COMPUTED_VALUE"""),3.5789352897215796)</f>
        <v>3.57893529</v>
      </c>
      <c r="AV69" s="32">
        <f>IFERROR(__xludf.DUMMYFUNCTION("""COMPUTED_VALUE"""),63.61607024234434)</f>
        <v>63.61607024</v>
      </c>
      <c r="AW69" s="32">
        <f>IFERROR(__xludf.DUMMYFUNCTION("""COMPUTED_VALUE"""),3.41297391032384)</f>
        <v>3.41297391</v>
      </c>
      <c r="AX69" s="32">
        <f>IFERROR(__xludf.DUMMYFUNCTION("""COMPUTED_VALUE"""),80.47810780768737)</f>
        <v>80.47810781</v>
      </c>
      <c r="AY69" s="32">
        <f>IFERROR(__xludf.DUMMYFUNCTION("""COMPUTED_VALUE"""),8.976781012131578)</f>
        <v>8.976781012</v>
      </c>
      <c r="AZ69" s="30">
        <f>IFERROR(__xludf.DUMMYFUNCTION("""COMPUTED_VALUE"""),5.563807101807738)</f>
        <v>5.563807102</v>
      </c>
      <c r="BA69" s="30">
        <f>IFERROR(__xludf.DUMMYFUNCTION("""COMPUTED_VALUE"""),450.0)</f>
        <v>450</v>
      </c>
    </row>
    <row r="70">
      <c r="A70" s="30" t="str">
        <f>IFERROR(__xludf.DUMMYFUNCTION("""COMPUTED_VALUE"""),"Master")</f>
        <v>Master</v>
      </c>
      <c r="B70" s="30" t="str">
        <f>IFERROR(__xludf.DUMMYFUNCTION("""COMPUTED_VALUE"""),"RSC006534")</f>
        <v>RSC006534</v>
      </c>
      <c r="C70" s="30" t="str">
        <f>IFERROR(__xludf.DUMMYFUNCTION("""COMPUTED_VALUE"""),"FIN0oo")</f>
        <v>FIN0oo</v>
      </c>
      <c r="D70" s="30" t="str">
        <f>IFERROR(__xludf.DUMMYFUNCTION("""COMPUTED_VALUE"""),"Helicoprions")</f>
        <v>Helicoprions</v>
      </c>
      <c r="E70" s="30">
        <f>IFERROR(__xludf.DUMMYFUNCTION("""COMPUTED_VALUE"""),42.0)</f>
        <v>42</v>
      </c>
      <c r="F70" s="30">
        <f>IFERROR(__xludf.DUMMYFUNCTION("""COMPUTED_VALUE"""),26.0)</f>
        <v>26</v>
      </c>
      <c r="G70" s="30">
        <f>IFERROR(__xludf.DUMMYFUNCTION("""COMPUTED_VALUE"""),16.0)</f>
        <v>16</v>
      </c>
      <c r="H70" s="42">
        <f>IFERROR(__xludf.DUMMYFUNCTION("""COMPUTED_VALUE"""),0.6190476190476191)</f>
        <v>0.619047619</v>
      </c>
      <c r="I70" s="42">
        <f>IFERROR(__xludf.DUMMYFUNCTION("""COMPUTED_VALUE"""),0.24193548387096772)</f>
        <v>0.2419354839</v>
      </c>
      <c r="J70" s="30">
        <f>IFERROR(__xludf.DUMMYFUNCTION("""COMPUTED_VALUE"""),420.1190476190476)</f>
        <v>420.1190476</v>
      </c>
      <c r="K70" s="30">
        <f>IFERROR(__xludf.DUMMYFUNCTION("""COMPUTED_VALUE"""),0.7142857142857143)</f>
        <v>0.7142857143</v>
      </c>
      <c r="L70" s="30">
        <f>IFERROR(__xludf.DUMMYFUNCTION("""COMPUTED_VALUE"""),0.5476190476190477)</f>
        <v>0.5476190476</v>
      </c>
      <c r="M70" s="30">
        <f>IFERROR(__xludf.DUMMYFUNCTION("""COMPUTED_VALUE"""),1.9761904761904763)</f>
        <v>1.976190476</v>
      </c>
      <c r="N70" s="30">
        <f>IFERROR(__xludf.DUMMYFUNCTION("""COMPUTED_VALUE"""),2.9523809523809526)</f>
        <v>2.952380952</v>
      </c>
      <c r="O70" s="30">
        <f>IFERROR(__xludf.DUMMYFUNCTION("""COMPUTED_VALUE"""),377.38888888888886)</f>
        <v>377.3888889</v>
      </c>
      <c r="P70" s="30">
        <f>IFERROR(__xludf.DUMMYFUNCTION("""COMPUTED_VALUE"""),0.7380952380952379)</f>
        <v>0.7380952381</v>
      </c>
      <c r="Q70" s="30">
        <f>IFERROR(__xludf.DUMMYFUNCTION("""COMPUTED_VALUE"""),0.5555555555555556)</f>
        <v>0.5555555556</v>
      </c>
      <c r="R70" s="30">
        <f>IFERROR(__xludf.DUMMYFUNCTION("""COMPUTED_VALUE"""),1.5873015873015874)</f>
        <v>1.587301587</v>
      </c>
      <c r="S70" s="30">
        <f>IFERROR(__xludf.DUMMYFUNCTION("""COMPUTED_VALUE"""),2.6111111111111116)</f>
        <v>2.611111111</v>
      </c>
      <c r="T70" s="30">
        <f>IFERROR(__xludf.DUMMYFUNCTION("""COMPUTED_VALUE"""),381.50881723695744)</f>
        <v>381.5088172</v>
      </c>
      <c r="U70" s="30">
        <f>IFERROR(__xludf.DUMMYFUNCTION("""COMPUTED_VALUE"""),0.8498813707879281)</f>
        <v>0.8498813708</v>
      </c>
      <c r="V70" s="30">
        <f>IFERROR(__xludf.DUMMYFUNCTION("""COMPUTED_VALUE"""),0.6317561562095213)</f>
        <v>0.6317561562</v>
      </c>
      <c r="W70" s="30">
        <f>IFERROR(__xludf.DUMMYFUNCTION("""COMPUTED_VALUE"""),1.5254865970947278)</f>
        <v>1.525486597</v>
      </c>
      <c r="X70" s="30">
        <f>IFERROR(__xludf.DUMMYFUNCTION("""COMPUTED_VALUE"""),2.7471497898224624)</f>
        <v>2.74714979</v>
      </c>
      <c r="Y70" s="30">
        <f>IFERROR(__xludf.DUMMYFUNCTION("""COMPUTED_VALUE"""),394.1557942458866)</f>
        <v>394.1557942</v>
      </c>
      <c r="Z70" s="30">
        <f>IFERROR(__xludf.DUMMYFUNCTION("""COMPUTED_VALUE"""),0.9155972178674163)</f>
        <v>0.9155972179</v>
      </c>
      <c r="AA70" s="30">
        <f>IFERROR(__xludf.DUMMYFUNCTION("""COMPUTED_VALUE"""),0.7023829518475551)</f>
        <v>0.7023829518</v>
      </c>
      <c r="AB70" s="30">
        <f>IFERROR(__xludf.DUMMYFUNCTION("""COMPUTED_VALUE"""),1.4876875415942803)</f>
        <v>1.487687542</v>
      </c>
      <c r="AC70" s="30">
        <f>IFERROR(__xludf.DUMMYFUNCTION("""COMPUTED_VALUE"""),2.8889126435614854)</f>
        <v>2.888912644</v>
      </c>
      <c r="AD70" s="30">
        <f>IFERROR(__xludf.DUMMYFUNCTION("""COMPUTED_VALUE"""),1.0658705358444236)</f>
        <v>1.065870536</v>
      </c>
      <c r="AE70" s="30">
        <f>IFERROR(__xludf.DUMMYFUNCTION("""COMPUTED_VALUE"""),0.7801309356852446)</f>
        <v>0.7801309357</v>
      </c>
      <c r="AF70" s="30">
        <f>IFERROR(__xludf.DUMMYFUNCTION("""COMPUTED_VALUE"""),0.7796587974958463)</f>
        <v>0.7796587975</v>
      </c>
      <c r="AG70" s="30">
        <f>IFERROR(__xludf.DUMMYFUNCTION("""COMPUTED_VALUE"""),1.3283639345885037)</f>
        <v>1.328363935</v>
      </c>
      <c r="AH70" s="30">
        <f>IFERROR(__xludf.DUMMYFUNCTION("""COMPUTED_VALUE"""),1.02196961855559)</f>
        <v>1.021969619</v>
      </c>
      <c r="AI70" s="30">
        <f>IFERROR(__xludf.DUMMYFUNCTION("""COMPUTED_VALUE"""),0.9892009616503576)</f>
        <v>0.9892009617</v>
      </c>
      <c r="AJ70" s="30">
        <f>IFERROR(__xludf.DUMMYFUNCTION("""COMPUTED_VALUE"""),0.868468545687673)</f>
        <v>0.8684685457</v>
      </c>
      <c r="AK70" s="30">
        <f>IFERROR(__xludf.DUMMYFUNCTION("""COMPUTED_VALUE"""),0.8793828917929944)</f>
        <v>0.8793828918</v>
      </c>
      <c r="AL70" s="30">
        <f>IFERROR(__xludf.DUMMYFUNCTION("""COMPUTED_VALUE"""),1.040521490208164)</f>
        <v>1.04052149</v>
      </c>
      <c r="AM70" s="30">
        <f>IFERROR(__xludf.DUMMYFUNCTION("""COMPUTED_VALUE"""),0.9504800651149996)</f>
        <v>0.9504800651</v>
      </c>
      <c r="AN70" s="30">
        <f>IFERROR(__xludf.DUMMYFUNCTION("""COMPUTED_VALUE"""),1.1204886756913757)</f>
        <v>1.120488676</v>
      </c>
      <c r="AO70" s="30">
        <f>IFERROR(__xludf.DUMMYFUNCTION("""COMPUTED_VALUE"""),0.8652977888817537)</f>
        <v>0.8652977889</v>
      </c>
      <c r="AP70" s="30">
        <f>IFERROR(__xludf.DUMMYFUNCTION("""COMPUTED_VALUE"""),0.8439815227018662)</f>
        <v>0.8439815227</v>
      </c>
      <c r="AQ70" s="30">
        <f>IFERROR(__xludf.DUMMYFUNCTION("""COMPUTED_VALUE"""),1.3601350976658793)</f>
        <v>1.360135098</v>
      </c>
      <c r="AR70" s="30">
        <f>IFERROR(__xludf.DUMMYFUNCTION("""COMPUTED_VALUE"""),1.086133868681595)</f>
        <v>1.086133869</v>
      </c>
      <c r="AS70" s="30">
        <f>IFERROR(__xludf.DUMMYFUNCTION("""COMPUTED_VALUE"""),104.0)</f>
        <v>104</v>
      </c>
      <c r="AT70" s="30">
        <f>IFERROR(__xludf.DUMMYFUNCTION("""COMPUTED_VALUE"""),0.5434401568279522)</f>
        <v>0.5434401568</v>
      </c>
      <c r="AU70" s="30">
        <f>IFERROR(__xludf.DUMMYFUNCTION("""COMPUTED_VALUE"""),3.0092244397383734)</f>
        <v>3.00922444</v>
      </c>
      <c r="AV70" s="32">
        <f>IFERROR(__xludf.DUMMYFUNCTION("""COMPUTED_VALUE"""),48.426230425176094)</f>
        <v>48.42623043</v>
      </c>
      <c r="AW70" s="32">
        <f>IFERROR(__xludf.DUMMYFUNCTION("""COMPUTED_VALUE"""),-2.1056938365181193)</f>
        <v>-2.105693837</v>
      </c>
      <c r="AX70" s="32">
        <f>IFERROR(__xludf.DUMMYFUNCTION("""COMPUTED_VALUE"""),63.76761220714329)</f>
        <v>63.76761221</v>
      </c>
      <c r="AY70" s="32">
        <f>IFERROR(__xludf.DUMMYFUNCTION("""COMPUTED_VALUE"""),3.437393150267354)</f>
        <v>3.43739315</v>
      </c>
      <c r="AZ70" s="30">
        <f>IFERROR(__xludf.DUMMYFUNCTION("""COMPUTED_VALUE"""),5.5430869867854735)</f>
        <v>5.543086987</v>
      </c>
      <c r="BA70" s="30">
        <f>IFERROR(__xludf.DUMMYFUNCTION("""COMPUTED_VALUE"""),450.0)</f>
        <v>450</v>
      </c>
    </row>
    <row r="71">
      <c r="A71" s="30" t="str">
        <f>IFERROR(__xludf.DUMMYFUNCTION("""COMPUTED_VALUE"""),"Master")</f>
        <v>Master</v>
      </c>
      <c r="B71" s="30" t="str">
        <f>IFERROR(__xludf.DUMMYFUNCTION("""COMPUTED_VALUE"""),"RSC005109")</f>
        <v>RSC005109</v>
      </c>
      <c r="C71" s="30" t="str">
        <f>IFERROR(__xludf.DUMMYFUNCTION("""COMPUTED_VALUE"""),"delta ^_^")</f>
        <v>delta ^_^</v>
      </c>
      <c r="D71" s="30"/>
      <c r="E71" s="30">
        <f>IFERROR(__xludf.DUMMYFUNCTION("""COMPUTED_VALUE"""),8.0)</f>
        <v>8</v>
      </c>
      <c r="F71" s="30">
        <f>IFERROR(__xludf.DUMMYFUNCTION("""COMPUTED_VALUE"""),3.0)</f>
        <v>3</v>
      </c>
      <c r="G71" s="30">
        <f>IFERROR(__xludf.DUMMYFUNCTION("""COMPUTED_VALUE"""),5.0)</f>
        <v>5</v>
      </c>
      <c r="H71" s="42">
        <f>IFERROR(__xludf.DUMMYFUNCTION("""COMPUTED_VALUE"""),0.375)</f>
        <v>0.375</v>
      </c>
      <c r="I71" s="42">
        <f>IFERROR(__xludf.DUMMYFUNCTION("""COMPUTED_VALUE"""),0.3333333333333333)</f>
        <v>0.3333333333</v>
      </c>
      <c r="J71" s="30">
        <f>IFERROR(__xludf.DUMMYFUNCTION("""COMPUTED_VALUE"""),365.25)</f>
        <v>365.25</v>
      </c>
      <c r="K71" s="30">
        <f>IFERROR(__xludf.DUMMYFUNCTION("""COMPUTED_VALUE"""),0.625)</f>
        <v>0.625</v>
      </c>
      <c r="L71" s="30">
        <f>IFERROR(__xludf.DUMMYFUNCTION("""COMPUTED_VALUE"""),0.25)</f>
        <v>0.25</v>
      </c>
      <c r="M71" s="30">
        <f>IFERROR(__xludf.DUMMYFUNCTION("""COMPUTED_VALUE"""),1.875)</f>
        <v>1.875</v>
      </c>
      <c r="N71" s="30">
        <f>IFERROR(__xludf.DUMMYFUNCTION("""COMPUTED_VALUE"""),1.875)</f>
        <v>1.875</v>
      </c>
      <c r="O71" s="30">
        <f>IFERROR(__xludf.DUMMYFUNCTION("""COMPUTED_VALUE"""),435.4583333333333)</f>
        <v>435.4583333</v>
      </c>
      <c r="P71" s="30">
        <f>IFERROR(__xludf.DUMMYFUNCTION("""COMPUTED_VALUE"""),1.3333333333333333)</f>
        <v>1.333333333</v>
      </c>
      <c r="Q71" s="30">
        <f>IFERROR(__xludf.DUMMYFUNCTION("""COMPUTED_VALUE"""),1.125)</f>
        <v>1.125</v>
      </c>
      <c r="R71" s="30">
        <f>IFERROR(__xludf.DUMMYFUNCTION("""COMPUTED_VALUE"""),1.0833333333333335)</f>
        <v>1.083333333</v>
      </c>
      <c r="S71" s="30">
        <f>IFERROR(__xludf.DUMMYFUNCTION("""COMPUTED_VALUE"""),3.666666666666667)</f>
        <v>3.666666667</v>
      </c>
      <c r="T71" s="30">
        <f>IFERROR(__xludf.DUMMYFUNCTION("""COMPUTED_VALUE"""),408.64405820628656)</f>
        <v>408.6440582</v>
      </c>
      <c r="U71" s="30">
        <f>IFERROR(__xludf.DUMMYFUNCTION("""COMPUTED_VALUE"""),1.0370110264132004)</f>
        <v>1.037011026</v>
      </c>
      <c r="V71" s="30">
        <f>IFERROR(__xludf.DUMMYFUNCTION("""COMPUTED_VALUE"""),0.7824443973900496)</f>
        <v>0.7824443974</v>
      </c>
      <c r="W71" s="30">
        <f>IFERROR(__xludf.DUMMYFUNCTION("""COMPUTED_VALUE"""),1.4642355229311752)</f>
        <v>1.464235523</v>
      </c>
      <c r="X71" s="30">
        <f>IFERROR(__xludf.DUMMYFUNCTION("""COMPUTED_VALUE"""),3.003246361126796)</f>
        <v>3.003246361</v>
      </c>
      <c r="Y71" s="30">
        <f>IFERROR(__xludf.DUMMYFUNCTION("""COMPUTED_VALUE"""),357.6467933736955)</f>
        <v>357.6467934</v>
      </c>
      <c r="Z71" s="30">
        <f>IFERROR(__xludf.DUMMYFUNCTION("""COMPUTED_VALUE"""),0.7463990317251186)</f>
        <v>0.7463990317</v>
      </c>
      <c r="AA71" s="30">
        <f>IFERROR(__xludf.DUMMYFUNCTION("""COMPUTED_VALUE"""),0.5389202584854759)</f>
        <v>0.5389202585</v>
      </c>
      <c r="AB71" s="30">
        <f>IFERROR(__xludf.DUMMYFUNCTION("""COMPUTED_VALUE"""),1.4673816320555453)</f>
        <v>1.467381632</v>
      </c>
      <c r="AC71" s="30">
        <f>IFERROR(__xludf.DUMMYFUNCTION("""COMPUTED_VALUE"""),2.5927078758600492)</f>
        <v>2.592707876</v>
      </c>
      <c r="AD71" s="30">
        <f>IFERROR(__xludf.DUMMYFUNCTION("""COMPUTED_VALUE"""),1.0212589816745823)</f>
        <v>1.021258982</v>
      </c>
      <c r="AE71" s="30">
        <f>IFERROR(__xludf.DUMMYFUNCTION("""COMPUTED_VALUE"""),0.8373537122033312)</f>
        <v>0.8373537122</v>
      </c>
      <c r="AF71" s="30">
        <f>IFERROR(__xludf.DUMMYFUNCTION("""COMPUTED_VALUE"""),0.4638905219532355)</f>
        <v>0.463890522</v>
      </c>
      <c r="AG71" s="30">
        <f>IFERROR(__xludf.DUMMYFUNCTION("""COMPUTED_VALUE"""),1.2777862002902767)</f>
        <v>1.2777862</v>
      </c>
      <c r="AH71" s="30">
        <f>IFERROR(__xludf.DUMMYFUNCTION("""COMPUTED_VALUE"""),0.7231821284062045)</f>
        <v>0.7231821284</v>
      </c>
      <c r="AI71" s="30">
        <f>IFERROR(__xludf.DUMMYFUNCTION("""COMPUTED_VALUE"""),1.0656176802000892)</f>
        <v>1.06561768</v>
      </c>
      <c r="AJ71" s="30">
        <f>IFERROR(__xludf.DUMMYFUNCTION("""COMPUTED_VALUE"""),1.2857465343884031)</f>
        <v>1.285746534</v>
      </c>
      <c r="AK71" s="30">
        <f>IFERROR(__xludf.DUMMYFUNCTION("""COMPUTED_VALUE"""),1.4378018473294607)</f>
        <v>1.437801847</v>
      </c>
      <c r="AL71" s="30">
        <f>IFERROR(__xludf.DUMMYFUNCTION("""COMPUTED_VALUE"""),0.7398627586664924)</f>
        <v>0.7398627587</v>
      </c>
      <c r="AM71" s="30">
        <f>IFERROR(__xludf.DUMMYFUNCTION("""COMPUTED_VALUE"""),1.2209010603082728)</f>
        <v>1.22090106</v>
      </c>
      <c r="AN71" s="30">
        <f>IFERROR(__xludf.DUMMYFUNCTION("""COMPUTED_VALUE"""),0.9741488540347719)</f>
        <v>0.974148854</v>
      </c>
      <c r="AO71" s="30">
        <f>IFERROR(__xludf.DUMMYFUNCTION("""COMPUTED_VALUE"""),0.7571355652715345)</f>
        <v>0.7571355653</v>
      </c>
      <c r="AP71" s="30">
        <f>IFERROR(__xludf.DUMMYFUNCTION("""COMPUTED_VALUE"""),0.3852959125378085)</f>
        <v>0.3852959125</v>
      </c>
      <c r="AQ71" s="30">
        <f>IFERROR(__xludf.DUMMYFUNCTION("""COMPUTED_VALUE"""),1.2904896257974456)</f>
        <v>1.290489626</v>
      </c>
      <c r="AR71" s="30">
        <f>IFERROR(__xludf.DUMMYFUNCTION("""COMPUTED_VALUE"""),0.6897825980538355)</f>
        <v>0.6897825981</v>
      </c>
      <c r="AS71" s="30">
        <f>IFERROR(__xludf.DUMMYFUNCTION("""COMPUTED_VALUE"""),14.0)</f>
        <v>14</v>
      </c>
      <c r="AT71" s="30">
        <f>IFERROR(__xludf.DUMMYFUNCTION("""COMPUTED_VALUE"""),0.20331238634987853)</f>
        <v>0.2033123863</v>
      </c>
      <c r="AU71" s="30">
        <f>IFERROR(__xludf.DUMMYFUNCTION("""COMPUTED_VALUE"""),1.7770674515141864)</f>
        <v>1.777067452</v>
      </c>
      <c r="AV71" s="32">
        <f>IFERROR(__xludf.DUMMYFUNCTION("""COMPUTED_VALUE"""),15.57400849315291)</f>
        <v>15.57400849</v>
      </c>
      <c r="AW71" s="32">
        <f>IFERROR(__xludf.DUMMYFUNCTION("""COMPUTED_VALUE"""),-11.869437166270771)</f>
        <v>-11.86943717</v>
      </c>
      <c r="AX71" s="32">
        <f>IFERROR(__xludf.DUMMYFUNCTION("""COMPUTED_VALUE"""),24.68639093750729)</f>
        <v>24.68639094</v>
      </c>
      <c r="AY71" s="32">
        <f>IFERROR(__xludf.DUMMYFUNCTION("""COMPUTED_VALUE"""),-6.4251279730769)</f>
        <v>-6.425127973</v>
      </c>
      <c r="AZ71" s="30">
        <f>IFERROR(__xludf.DUMMYFUNCTION("""COMPUTED_VALUE"""),5.444309193193871)</f>
        <v>5.444309193</v>
      </c>
      <c r="BA71" s="30">
        <f>IFERROR(__xludf.DUMMYFUNCTION("""COMPUTED_VALUE"""),450.0)</f>
        <v>450</v>
      </c>
    </row>
    <row r="72">
      <c r="A72" s="30" t="str">
        <f>IFERROR(__xludf.DUMMYFUNCTION("""COMPUTED_VALUE"""),"Master")</f>
        <v>Master</v>
      </c>
      <c r="B72" s="30" t="str">
        <f>IFERROR(__xludf.DUMMYFUNCTION("""COMPUTED_VALUE"""),"RSC003031")</f>
        <v>RSC003031</v>
      </c>
      <c r="C72" s="30" t="str">
        <f>IFERROR(__xludf.DUMMYFUNCTION("""COMPUTED_VALUE"""),"Yesper")</f>
        <v>Yesper</v>
      </c>
      <c r="D72" s="30" t="str">
        <f>IFERROR(__xludf.DUMMYFUNCTION("""COMPUTED_VALUE"""),"Spectres")</f>
        <v>Spectres</v>
      </c>
      <c r="E72" s="30">
        <f>IFERROR(__xludf.DUMMYFUNCTION("""COMPUTED_VALUE"""),39.0)</f>
        <v>39</v>
      </c>
      <c r="F72" s="30">
        <f>IFERROR(__xludf.DUMMYFUNCTION("""COMPUTED_VALUE"""),13.0)</f>
        <v>13</v>
      </c>
      <c r="G72" s="30">
        <f>IFERROR(__xludf.DUMMYFUNCTION("""COMPUTED_VALUE"""),26.0)</f>
        <v>26</v>
      </c>
      <c r="H72" s="42">
        <f>IFERROR(__xludf.DUMMYFUNCTION("""COMPUTED_VALUE"""),0.3333333333333333)</f>
        <v>0.3333333333</v>
      </c>
      <c r="I72" s="42">
        <f>IFERROR(__xludf.DUMMYFUNCTION("""COMPUTED_VALUE"""),0.2900763358778626)</f>
        <v>0.2900763359</v>
      </c>
      <c r="J72" s="30">
        <f>IFERROR(__xludf.DUMMYFUNCTION("""COMPUTED_VALUE"""),377.0)</f>
        <v>377</v>
      </c>
      <c r="K72" s="30">
        <f>IFERROR(__xludf.DUMMYFUNCTION("""COMPUTED_VALUE"""),0.9743589743589743)</f>
        <v>0.9743589744</v>
      </c>
      <c r="L72" s="30">
        <f>IFERROR(__xludf.DUMMYFUNCTION("""COMPUTED_VALUE"""),0.5897435897435898)</f>
        <v>0.5897435897</v>
      </c>
      <c r="M72" s="30">
        <f>IFERROR(__xludf.DUMMYFUNCTION("""COMPUTED_VALUE"""),1.2820512820512822)</f>
        <v>1.282051282</v>
      </c>
      <c r="N72" s="30">
        <f>IFERROR(__xludf.DUMMYFUNCTION("""COMPUTED_VALUE"""),3.358974358974359)</f>
        <v>3.358974359</v>
      </c>
      <c r="O72" s="30">
        <f>IFERROR(__xludf.DUMMYFUNCTION("""COMPUTED_VALUE"""),424.09401709401715)</f>
        <v>424.0940171</v>
      </c>
      <c r="P72" s="30">
        <f>IFERROR(__xludf.DUMMYFUNCTION("""COMPUTED_VALUE"""),1.1111111111111112)</f>
        <v>1.111111111</v>
      </c>
      <c r="Q72" s="30">
        <f>IFERROR(__xludf.DUMMYFUNCTION("""COMPUTED_VALUE"""),0.8717948717948718)</f>
        <v>0.8717948718</v>
      </c>
      <c r="R72" s="30">
        <f>IFERROR(__xludf.DUMMYFUNCTION("""COMPUTED_VALUE"""),1.5470085470085475)</f>
        <v>1.547008547</v>
      </c>
      <c r="S72" s="30">
        <f>IFERROR(__xludf.DUMMYFUNCTION("""COMPUTED_VALUE"""),3.0512820512820515)</f>
        <v>3.051282051</v>
      </c>
      <c r="T72" s="30">
        <f>IFERROR(__xludf.DUMMYFUNCTION("""COMPUTED_VALUE"""),391.4236384374252)</f>
        <v>391.4236384</v>
      </c>
      <c r="U72" s="30">
        <f>IFERROR(__xludf.DUMMYFUNCTION("""COMPUTED_VALUE"""),0.9122016254180701)</f>
        <v>0.9122016254</v>
      </c>
      <c r="V72" s="30">
        <f>IFERROR(__xludf.DUMMYFUNCTION("""COMPUTED_VALUE"""),0.6921512436309063)</f>
        <v>0.6921512436</v>
      </c>
      <c r="W72" s="30">
        <f>IFERROR(__xludf.DUMMYFUNCTION("""COMPUTED_VALUE"""),1.4511649660708608)</f>
        <v>1.451164966</v>
      </c>
      <c r="X72" s="30">
        <f>IFERROR(__xludf.DUMMYFUNCTION("""COMPUTED_VALUE"""),2.8972924409171217)</f>
        <v>2.897292441</v>
      </c>
      <c r="Y72" s="30">
        <f>IFERROR(__xludf.DUMMYFUNCTION("""COMPUTED_VALUE"""),377.7752940388935)</f>
        <v>377.775294</v>
      </c>
      <c r="Z72" s="30">
        <f>IFERROR(__xludf.DUMMYFUNCTION("""COMPUTED_VALUE"""),0.8358017218806751)</f>
        <v>0.8358017219</v>
      </c>
      <c r="AA72" s="30">
        <f>IFERROR(__xludf.DUMMYFUNCTION("""COMPUTED_VALUE"""),0.6431559726204154)</f>
        <v>0.6431559726</v>
      </c>
      <c r="AB72" s="30">
        <f>IFERROR(__xludf.DUMMYFUNCTION("""COMPUTED_VALUE"""),1.4741643346416706)</f>
        <v>1.474164335</v>
      </c>
      <c r="AC72" s="30">
        <f>IFERROR(__xludf.DUMMYFUNCTION("""COMPUTED_VALUE"""),2.7352377206529086)</f>
        <v>2.735237721</v>
      </c>
      <c r="AD72" s="30">
        <f>IFERROR(__xludf.DUMMYFUNCTION("""COMPUTED_VALUE"""),0.9979477375807068)</f>
        <v>0.9979477376</v>
      </c>
      <c r="AE72" s="30">
        <f>IFERROR(__xludf.DUMMYFUNCTION("""COMPUTED_VALUE"""),1.1657776585653894)</f>
        <v>1.165777659</v>
      </c>
      <c r="AF72" s="30">
        <f>IFERROR(__xludf.DUMMYFUNCTION("""COMPUTED_VALUE"""),0.9169526753219641)</f>
        <v>0.9169526753</v>
      </c>
      <c r="AG72" s="30">
        <f>IFERROR(__xludf.DUMMYFUNCTION("""COMPUTED_VALUE"""),0.8696800295083208)</f>
        <v>0.8696800295</v>
      </c>
      <c r="AH72" s="30">
        <f>IFERROR(__xludf.DUMMYFUNCTION("""COMPUTED_VALUE"""),1.2280374512283938)</f>
        <v>1.228037451</v>
      </c>
      <c r="AI72" s="30">
        <f>IFERROR(__xludf.DUMMYFUNCTION("""COMPUTED_VALUE"""),1.083465522897424)</f>
        <v>1.083465523</v>
      </c>
      <c r="AJ72" s="30">
        <f>IFERROR(__xludf.DUMMYFUNCTION("""COMPUTED_VALUE"""),1.2180542986884935)</f>
        <v>1.218054299</v>
      </c>
      <c r="AK72" s="30">
        <f>IFERROR(__xludf.DUMMYFUNCTION("""COMPUTED_VALUE"""),1.2595438927792515)</f>
        <v>1.259543893</v>
      </c>
      <c r="AL72" s="30">
        <f>IFERROR(__xludf.DUMMYFUNCTION("""COMPUTED_VALUE"""),1.0660459583703916)</f>
        <v>1.066045958</v>
      </c>
      <c r="AM72" s="30">
        <f>IFERROR(__xludf.DUMMYFUNCTION("""COMPUTED_VALUE"""),1.0531494881877321)</f>
        <v>1.053149488</v>
      </c>
      <c r="AN72" s="30">
        <f>IFERROR(__xludf.DUMMYFUNCTION("""COMPUTED_VALUE"""),1.0054869759647065)</f>
        <v>1.005486976</v>
      </c>
      <c r="AO72" s="30">
        <f>IFERROR(__xludf.DUMMYFUNCTION("""COMPUTED_VALUE"""),1.1803549325258793)</f>
        <v>1.180354933</v>
      </c>
      <c r="AP72" s="30">
        <f>IFERROR(__xludf.DUMMYFUNCTION("""COMPUTED_VALUE"""),0.9089031782943174)</f>
        <v>0.9089031783</v>
      </c>
      <c r="AQ72" s="30">
        <f>IFERROR(__xludf.DUMMYFUNCTION("""COMPUTED_VALUE"""),0.8823860689213304)</f>
        <v>0.8823860689</v>
      </c>
      <c r="AR72" s="30">
        <f>IFERROR(__xludf.DUMMYFUNCTION("""COMPUTED_VALUE"""),1.2357130987357599)</f>
        <v>1.235713099</v>
      </c>
      <c r="AS72" s="30">
        <f>IFERROR(__xludf.DUMMYFUNCTION("""COMPUTED_VALUE"""),108.0)</f>
        <v>108</v>
      </c>
      <c r="AT72" s="30">
        <f>IFERROR(__xludf.DUMMYFUNCTION("""COMPUTED_VALUE"""),0.4227309199120169)</f>
        <v>0.4227309199</v>
      </c>
      <c r="AU72" s="30">
        <f>IFERROR(__xludf.DUMMYFUNCTION("""COMPUTED_VALUE"""),3.3176362367463965)</f>
        <v>3.317636237</v>
      </c>
      <c r="AV72" s="32">
        <f>IFERROR(__xludf.DUMMYFUNCTION("""COMPUTED_VALUE"""),56.64921897176069)</f>
        <v>56.64921897</v>
      </c>
      <c r="AW72" s="32">
        <f>IFERROR(__xludf.DUMMYFUNCTION("""COMPUTED_VALUE"""),2.530802173409428)</f>
        <v>2.530802173</v>
      </c>
      <c r="AX72" s="32">
        <f>IFERROR(__xludf.DUMMYFUNCTION("""COMPUTED_VALUE"""),40.45114879288678)</f>
        <v>40.45114879</v>
      </c>
      <c r="AY72" s="32">
        <f>IFERROR(__xludf.DUMMYFUNCTION("""COMPUTED_VALUE"""),-2.8469935315435517)</f>
        <v>-2.846993532</v>
      </c>
      <c r="AZ72" s="30">
        <f>IFERROR(__xludf.DUMMYFUNCTION("""COMPUTED_VALUE"""),5.37779570495298)</f>
        <v>5.377795705</v>
      </c>
      <c r="BA72" s="30">
        <f>IFERROR(__xludf.DUMMYFUNCTION("""COMPUTED_VALUE"""),450.0)</f>
        <v>450</v>
      </c>
    </row>
    <row r="73">
      <c r="A73" s="30" t="str">
        <f>IFERROR(__xludf.DUMMYFUNCTION("""COMPUTED_VALUE"""),"Master")</f>
        <v>Master</v>
      </c>
      <c r="B73" s="30" t="str">
        <f>IFERROR(__xludf.DUMMYFUNCTION("""COMPUTED_VALUE"""),"RSC003728")</f>
        <v>RSC003728</v>
      </c>
      <c r="C73" s="30" t="str">
        <f>IFERROR(__xludf.DUMMYFUNCTION("""COMPUTED_VALUE"""),"yy")</f>
        <v>yy</v>
      </c>
      <c r="D73" s="30" t="str">
        <f>IFERROR(__xludf.DUMMYFUNCTION("""COMPUTED_VALUE"""),"Kawaii")</f>
        <v>Kawaii</v>
      </c>
      <c r="E73" s="30">
        <f>IFERROR(__xludf.DUMMYFUNCTION("""COMPUTED_VALUE"""),45.0)</f>
        <v>45</v>
      </c>
      <c r="F73" s="30">
        <f>IFERROR(__xludf.DUMMYFUNCTION("""COMPUTED_VALUE"""),23.0)</f>
        <v>23</v>
      </c>
      <c r="G73" s="30">
        <f>IFERROR(__xludf.DUMMYFUNCTION("""COMPUTED_VALUE"""),22.0)</f>
        <v>22</v>
      </c>
      <c r="H73" s="42">
        <f>IFERROR(__xludf.DUMMYFUNCTION("""COMPUTED_VALUE"""),0.5111111111111111)</f>
        <v>0.5111111111</v>
      </c>
      <c r="I73" s="42">
        <f>IFERROR(__xludf.DUMMYFUNCTION("""COMPUTED_VALUE"""),0.27941176470588236)</f>
        <v>0.2794117647</v>
      </c>
      <c r="J73" s="30">
        <f>IFERROR(__xludf.DUMMYFUNCTION("""COMPUTED_VALUE"""),406.9555555555556)</f>
        <v>406.9555556</v>
      </c>
      <c r="K73" s="30">
        <f>IFERROR(__xludf.DUMMYFUNCTION("""COMPUTED_VALUE"""),0.8444444444444444)</f>
        <v>0.8444444444</v>
      </c>
      <c r="L73" s="30">
        <f>IFERROR(__xludf.DUMMYFUNCTION("""COMPUTED_VALUE"""),0.7111111111111111)</f>
        <v>0.7111111111</v>
      </c>
      <c r="M73" s="30">
        <f>IFERROR(__xludf.DUMMYFUNCTION("""COMPUTED_VALUE"""),1.4444444444444444)</f>
        <v>1.444444444</v>
      </c>
      <c r="N73" s="30">
        <f>IFERROR(__xludf.DUMMYFUNCTION("""COMPUTED_VALUE"""),3.022222222222222)</f>
        <v>3.022222222</v>
      </c>
      <c r="O73" s="30">
        <f>IFERROR(__xludf.DUMMYFUNCTION("""COMPUTED_VALUE"""),420.1407407407408)</f>
        <v>420.1407407</v>
      </c>
      <c r="P73" s="30">
        <f>IFERROR(__xludf.DUMMYFUNCTION("""COMPUTED_VALUE"""),0.9555555555555557)</f>
        <v>0.9555555556</v>
      </c>
      <c r="Q73" s="30">
        <f>IFERROR(__xludf.DUMMYFUNCTION("""COMPUTED_VALUE"""),0.6888888888888888)</f>
        <v>0.6888888889</v>
      </c>
      <c r="R73" s="30">
        <f>IFERROR(__xludf.DUMMYFUNCTION("""COMPUTED_VALUE"""),1.7185185185185188)</f>
        <v>1.718518519</v>
      </c>
      <c r="S73" s="30">
        <f>IFERROR(__xludf.DUMMYFUNCTION("""COMPUTED_VALUE"""),2.933333333333334)</f>
        <v>2.933333333</v>
      </c>
      <c r="T73" s="30">
        <f>IFERROR(__xludf.DUMMYFUNCTION("""COMPUTED_VALUE"""),393.91541740025133)</f>
        <v>393.9154174</v>
      </c>
      <c r="U73" s="30">
        <f>IFERROR(__xludf.DUMMYFUNCTION("""COMPUTED_VALUE"""),0.9166074672200903)</f>
        <v>0.9166074672</v>
      </c>
      <c r="V73" s="30">
        <f>IFERROR(__xludf.DUMMYFUNCTION("""COMPUTED_VALUE"""),0.7072926078933566)</f>
        <v>0.7072926079</v>
      </c>
      <c r="W73" s="30">
        <f>IFERROR(__xludf.DUMMYFUNCTION("""COMPUTED_VALUE"""),1.4858276800743384)</f>
        <v>1.48582768</v>
      </c>
      <c r="X73" s="30">
        <f>IFERROR(__xludf.DUMMYFUNCTION("""COMPUTED_VALUE"""),2.8826450249293782)</f>
        <v>2.882645025</v>
      </c>
      <c r="Y73" s="30">
        <f>IFERROR(__xludf.DUMMYFUNCTION("""COMPUTED_VALUE"""),380.7413895132292)</f>
        <v>380.7413895</v>
      </c>
      <c r="Z73" s="30">
        <f>IFERROR(__xludf.DUMMYFUNCTION("""COMPUTED_VALUE"""),0.8361595174087807)</f>
        <v>0.8361595174</v>
      </c>
      <c r="AA73" s="30">
        <f>IFERROR(__xludf.DUMMYFUNCTION("""COMPUTED_VALUE"""),0.6453517441956043)</f>
        <v>0.6453517442</v>
      </c>
      <c r="AB73" s="30">
        <f>IFERROR(__xludf.DUMMYFUNCTION("""COMPUTED_VALUE"""),1.4818871122393633)</f>
        <v>1.481887112</v>
      </c>
      <c r="AC73" s="30">
        <f>IFERROR(__xludf.DUMMYFUNCTION("""COMPUTED_VALUE"""),2.796853978467839)</f>
        <v>2.796853978</v>
      </c>
      <c r="AD73" s="30">
        <f>IFERROR(__xludf.DUMMYFUNCTION("""COMPUTED_VALUE"""),1.0688503187842033)</f>
        <v>1.068850319</v>
      </c>
      <c r="AE73" s="30">
        <f>IFERROR(__xludf.DUMMYFUNCTION("""COMPUTED_VALUE"""),1.0099083091959993)</f>
        <v>1.009908309</v>
      </c>
      <c r="AF73" s="30">
        <f>IFERROR(__xludf.DUMMYFUNCTION("""COMPUTED_VALUE"""),1.1018969383858601)</f>
        <v>1.101896938</v>
      </c>
      <c r="AG73" s="30">
        <f>IFERROR(__xludf.DUMMYFUNCTION("""COMPUTED_VALUE"""),0.9747331173301472)</f>
        <v>0.9747331173</v>
      </c>
      <c r="AH73" s="30">
        <f>IFERROR(__xludf.DUMMYFUNCTION("""COMPUTED_VALUE"""),1.080579195585264)</f>
        <v>1.080579196</v>
      </c>
      <c r="AI73" s="30">
        <f>IFERROR(__xludf.DUMMYFUNCTION("""COMPUTED_VALUE"""),1.0665760266850441)</f>
        <v>1.066576027</v>
      </c>
      <c r="AJ73" s="30">
        <f>IFERROR(__xludf.DUMMYFUNCTION("""COMPUTED_VALUE"""),1.0424915677957416)</f>
        <v>1.042491568</v>
      </c>
      <c r="AK73" s="30">
        <f>IFERROR(__xludf.DUMMYFUNCTION("""COMPUTED_VALUE"""),0.9739800489937502)</f>
        <v>0.973980049</v>
      </c>
      <c r="AL73" s="30">
        <f>IFERROR(__xludf.DUMMYFUNCTION("""COMPUTED_VALUE"""),1.1566068808413492)</f>
        <v>1.156606881</v>
      </c>
      <c r="AM73" s="30">
        <f>IFERROR(__xludf.DUMMYFUNCTION("""COMPUTED_VALUE"""),1.0175839577768329)</f>
        <v>1.017583958</v>
      </c>
      <c r="AN73" s="30">
        <f>IFERROR(__xludf.DUMMYFUNCTION("""COMPUTED_VALUE"""),1.085380665537381)</f>
        <v>1.085380666</v>
      </c>
      <c r="AO73" s="30">
        <f>IFERROR(__xludf.DUMMYFUNCTION("""COMPUTED_VALUE"""),1.0229742748557622)</f>
        <v>1.022974275</v>
      </c>
      <c r="AP73" s="30">
        <f>IFERROR(__xludf.DUMMYFUNCTION("""COMPUTED_VALUE"""),1.095952817885322)</f>
        <v>1.095952818</v>
      </c>
      <c r="AQ73" s="30">
        <f>IFERROR(__xludf.DUMMYFUNCTION("""COMPUTED_VALUE"""),0.9941549709846988)</f>
        <v>0.994154971</v>
      </c>
      <c r="AR73" s="30">
        <f>IFERROR(__xludf.DUMMYFUNCTION("""COMPUTED_VALUE"""),1.1118273580482563)</f>
        <v>1.111827358</v>
      </c>
      <c r="AS73" s="30">
        <f>IFERROR(__xludf.DUMMYFUNCTION("""COMPUTED_VALUE"""),120.0)</f>
        <v>120</v>
      </c>
      <c r="AT73" s="30">
        <f>IFERROR(__xludf.DUMMYFUNCTION("""COMPUTED_VALUE"""),0.4704923468568568)</f>
        <v>0.4704923469</v>
      </c>
      <c r="AU73" s="30">
        <f>IFERROR(__xludf.DUMMYFUNCTION("""COMPUTED_VALUE"""),3.4461260908613607)</f>
        <v>3.446126091</v>
      </c>
      <c r="AV73" s="32">
        <f>IFERROR(__xludf.DUMMYFUNCTION("""COMPUTED_VALUE"""),60.075062629460305)</f>
        <v>60.07506263</v>
      </c>
      <c r="AW73" s="32">
        <f>IFERROR(__xludf.DUMMYFUNCTION("""COMPUTED_VALUE"""),2.9114353808681663)</f>
        <v>2.911435381</v>
      </c>
      <c r="AX73" s="32">
        <f>IFERROR(__xludf.DUMMYFUNCTION("""COMPUTED_VALUE"""),48.183617341141144)</f>
        <v>48.18361734</v>
      </c>
      <c r="AY73" s="32">
        <f>IFERROR(__xludf.DUMMYFUNCTION("""COMPUTED_VALUE"""),-2.122961021630262)</f>
        <v>-2.122961022</v>
      </c>
      <c r="AZ73" s="30">
        <f>IFERROR(__xludf.DUMMYFUNCTION("""COMPUTED_VALUE"""),5.0343964024984285)</f>
        <v>5.034396402</v>
      </c>
      <c r="BA73" s="30">
        <f>IFERROR(__xludf.DUMMYFUNCTION("""COMPUTED_VALUE"""),450.0)</f>
        <v>450</v>
      </c>
    </row>
    <row r="74">
      <c r="A74" s="30" t="str">
        <f>IFERROR(__xludf.DUMMYFUNCTION("""COMPUTED_VALUE"""),"Master")</f>
        <v>Master</v>
      </c>
      <c r="B74" s="30" t="str">
        <f>IFERROR(__xludf.DUMMYFUNCTION("""COMPUTED_VALUE"""),"RSC006889")</f>
        <v>RSC006889</v>
      </c>
      <c r="C74" s="30" t="str">
        <f>IFERROR(__xludf.DUMMYFUNCTION("""COMPUTED_VALUE"""),"Jay")</f>
        <v>Jay</v>
      </c>
      <c r="D74" s="30" t="str">
        <f>IFERROR(__xludf.DUMMYFUNCTION("""COMPUTED_VALUE"""),"Basilisks")</f>
        <v>Basilisks</v>
      </c>
      <c r="E74" s="30">
        <f>IFERROR(__xludf.DUMMYFUNCTION("""COMPUTED_VALUE"""),47.0)</f>
        <v>47</v>
      </c>
      <c r="F74" s="30">
        <f>IFERROR(__xludf.DUMMYFUNCTION("""COMPUTED_VALUE"""),27.0)</f>
        <v>27</v>
      </c>
      <c r="G74" s="30">
        <f>IFERROR(__xludf.DUMMYFUNCTION("""COMPUTED_VALUE"""),20.0)</f>
        <v>20</v>
      </c>
      <c r="H74" s="42">
        <f>IFERROR(__xludf.DUMMYFUNCTION("""COMPUTED_VALUE"""),0.574468085106383)</f>
        <v>0.5744680851</v>
      </c>
      <c r="I74" s="42">
        <f>IFERROR(__xludf.DUMMYFUNCTION("""COMPUTED_VALUE"""),0.38461538461538464)</f>
        <v>0.3846153846</v>
      </c>
      <c r="J74" s="30">
        <f>IFERROR(__xludf.DUMMYFUNCTION("""COMPUTED_VALUE"""),502.4255319148936)</f>
        <v>502.4255319</v>
      </c>
      <c r="K74" s="30">
        <f>IFERROR(__xludf.DUMMYFUNCTION("""COMPUTED_VALUE"""),1.3829787234042554)</f>
        <v>1.382978723</v>
      </c>
      <c r="L74" s="30">
        <f>IFERROR(__xludf.DUMMYFUNCTION("""COMPUTED_VALUE"""),0.6382978723404256)</f>
        <v>0.6382978723</v>
      </c>
      <c r="M74" s="30">
        <f>IFERROR(__xludf.DUMMYFUNCTION("""COMPUTED_VALUE"""),2.234042553191489)</f>
        <v>2.234042553</v>
      </c>
      <c r="N74" s="30">
        <f>IFERROR(__xludf.DUMMYFUNCTION("""COMPUTED_VALUE"""),3.595744680851064)</f>
        <v>3.595744681</v>
      </c>
      <c r="O74" s="30">
        <f>IFERROR(__xludf.DUMMYFUNCTION("""COMPUTED_VALUE"""),366.03546099290764)</f>
        <v>366.035461</v>
      </c>
      <c r="P74" s="30">
        <f>IFERROR(__xludf.DUMMYFUNCTION("""COMPUTED_VALUE"""),0.7730496453900709)</f>
        <v>0.7730496454</v>
      </c>
      <c r="Q74" s="30">
        <f>IFERROR(__xludf.DUMMYFUNCTION("""COMPUTED_VALUE"""),0.6524822695035462)</f>
        <v>0.6524822695</v>
      </c>
      <c r="R74" s="30">
        <f>IFERROR(__xludf.DUMMYFUNCTION("""COMPUTED_VALUE"""),1.3758865248226948)</f>
        <v>1.375886525</v>
      </c>
      <c r="S74" s="30">
        <f>IFERROR(__xludf.DUMMYFUNCTION("""COMPUTED_VALUE"""),3.0567375886524815)</f>
        <v>3.056737589</v>
      </c>
      <c r="T74" s="30">
        <f>IFERROR(__xludf.DUMMYFUNCTION("""COMPUTED_VALUE"""),386.11101078658436)</f>
        <v>386.1110108</v>
      </c>
      <c r="U74" s="30">
        <f>IFERROR(__xludf.DUMMYFUNCTION("""COMPUTED_VALUE"""),0.8659744023707661)</f>
        <v>0.8659744024</v>
      </c>
      <c r="V74" s="30">
        <f>IFERROR(__xludf.DUMMYFUNCTION("""COMPUTED_VALUE"""),0.6729662755871695)</f>
        <v>0.6729662756</v>
      </c>
      <c r="W74" s="30">
        <f>IFERROR(__xludf.DUMMYFUNCTION("""COMPUTED_VALUE"""),1.4941381374905987)</f>
        <v>1.494138137</v>
      </c>
      <c r="X74" s="30">
        <f>IFERROR(__xludf.DUMMYFUNCTION("""COMPUTED_VALUE"""),2.856100867509512)</f>
        <v>2.856100868</v>
      </c>
      <c r="Y74" s="30">
        <f>IFERROR(__xludf.DUMMYFUNCTION("""COMPUTED_VALUE"""),390.76567506428626)</f>
        <v>390.7656751</v>
      </c>
      <c r="Z74" s="30">
        <f>IFERROR(__xludf.DUMMYFUNCTION("""COMPUTED_VALUE"""),0.8879418446633229)</f>
        <v>0.8879418447</v>
      </c>
      <c r="AA74" s="30">
        <f>IFERROR(__xludf.DUMMYFUNCTION("""COMPUTED_VALUE"""),0.6742195432986362)</f>
        <v>0.6742195433</v>
      </c>
      <c r="AB74" s="30">
        <f>IFERROR(__xludf.DUMMYFUNCTION("""COMPUTED_VALUE"""),1.517611660343957)</f>
        <v>1.51761166</v>
      </c>
      <c r="AC74" s="30">
        <f>IFERROR(__xludf.DUMMYFUNCTION("""COMPUTED_VALUE"""),2.847490850309917)</f>
        <v>2.84749085</v>
      </c>
      <c r="AD74" s="30">
        <f>IFERROR(__xludf.DUMMYFUNCTION("""COMPUTED_VALUE"""),1.2857463282368335)</f>
        <v>1.285746328</v>
      </c>
      <c r="AE74" s="30">
        <f>IFERROR(__xludf.DUMMYFUNCTION("""COMPUTED_VALUE"""),1.557510474043076)</f>
        <v>1.557510474</v>
      </c>
      <c r="AF74" s="30">
        <f>IFERROR(__xludf.DUMMYFUNCTION("""COMPUTED_VALUE"""),0.9467211069224382)</f>
        <v>0.9467211069</v>
      </c>
      <c r="AG74" s="30">
        <f>IFERROR(__xludf.DUMMYFUNCTION("""COMPUTED_VALUE"""),1.4720778783981916)</f>
        <v>1.472077878</v>
      </c>
      <c r="AH74" s="30">
        <f>IFERROR(__xludf.DUMMYFUNCTION("""COMPUTED_VALUE"""),1.2627765530694182)</f>
        <v>1.262776553</v>
      </c>
      <c r="AI74" s="30">
        <f>IFERROR(__xludf.DUMMYFUNCTION("""COMPUTED_VALUE"""),0.948005756808699)</f>
        <v>0.9480057568</v>
      </c>
      <c r="AJ74" s="30">
        <f>IFERROR(__xludf.DUMMYFUNCTION("""COMPUTED_VALUE"""),0.8926934136548421)</f>
        <v>0.8926934137</v>
      </c>
      <c r="AK74" s="30">
        <f>IFERROR(__xludf.DUMMYFUNCTION("""COMPUTED_VALUE"""),0.9695616157499857)</f>
        <v>0.9695616157</v>
      </c>
      <c r="AL74" s="30">
        <f>IFERROR(__xludf.DUMMYFUNCTION("""COMPUTED_VALUE"""),0.9208563052499904)</f>
        <v>0.9208563052</v>
      </c>
      <c r="AM74" s="30">
        <f>IFERROR(__xludf.DUMMYFUNCTION("""COMPUTED_VALUE"""),1.0702484717628067)</f>
        <v>1.070248472</v>
      </c>
      <c r="AN74" s="30">
        <f>IFERROR(__xludf.DUMMYFUNCTION("""COMPUTED_VALUE"""),1.3400061770094576)</f>
        <v>1.340006177</v>
      </c>
      <c r="AO74" s="30">
        <f>IFERROR(__xludf.DUMMYFUNCTION("""COMPUTED_VALUE"""),1.6753638040050978)</f>
        <v>1.675363804</v>
      </c>
      <c r="AP74" s="30">
        <f>IFERROR(__xludf.DUMMYFUNCTION("""COMPUTED_VALUE"""),0.9837342447773834)</f>
        <v>0.9837342448</v>
      </c>
      <c r="AQ74" s="30">
        <f>IFERROR(__xludf.DUMMYFUNCTION("""COMPUTED_VALUE"""),1.5376046605246159)</f>
        <v>1.537604661</v>
      </c>
      <c r="AR74" s="30">
        <f>IFERROR(__xludf.DUMMYFUNCTION("""COMPUTED_VALUE"""),1.3228171242110434)</f>
        <v>1.322817124</v>
      </c>
      <c r="AS74" s="30">
        <f>IFERROR(__xludf.DUMMYFUNCTION("""COMPUTED_VALUE"""),129.0)</f>
        <v>129</v>
      </c>
      <c r="AT74" s="30">
        <f>IFERROR(__xludf.DUMMYFUNCTION("""COMPUTED_VALUE"""),0.5666866278569404)</f>
        <v>0.5666866279</v>
      </c>
      <c r="AU74" s="30">
        <f>IFERROR(__xludf.DUMMYFUNCTION("""COMPUTED_VALUE"""),4.570533402741207)</f>
        <v>4.570533403</v>
      </c>
      <c r="AV74" s="32">
        <f>IFERROR(__xludf.DUMMYFUNCTION("""COMPUTED_VALUE"""),90.05442313700738)</f>
        <v>90.05442314</v>
      </c>
      <c r="AW74" s="32">
        <f>IFERROR(__xludf.DUMMYFUNCTION("""COMPUTED_VALUE"""),18.329035147849165)</f>
        <v>18.32903515</v>
      </c>
      <c r="AX74" s="32">
        <f>IFERROR(__xludf.DUMMYFUNCTION("""COMPUTED_VALUE"""),86.03642335948979)</f>
        <v>86.03642336</v>
      </c>
      <c r="AY74" s="32">
        <f>IFERROR(__xludf.DUMMYFUNCTION("""COMPUTED_VALUE"""),13.381897530462226)</f>
        <v>13.38189753</v>
      </c>
      <c r="AZ74" s="30">
        <f>IFERROR(__xludf.DUMMYFUNCTION("""COMPUTED_VALUE"""),4.9471376173869395)</f>
        <v>4.947137617</v>
      </c>
      <c r="BA74" s="30">
        <f>IFERROR(__xludf.DUMMYFUNCTION("""COMPUTED_VALUE"""),450.0)</f>
        <v>450</v>
      </c>
    </row>
    <row r="75">
      <c r="A75" s="30" t="str">
        <f>IFERROR(__xludf.DUMMYFUNCTION("""COMPUTED_VALUE"""),"Master")</f>
        <v>Master</v>
      </c>
      <c r="B75" s="30" t="str">
        <f>IFERROR(__xludf.DUMMYFUNCTION("""COMPUTED_VALUE"""),"RSC007282")</f>
        <v>RSC007282</v>
      </c>
      <c r="C75" s="30" t="str">
        <f>IFERROR(__xludf.DUMMYFUNCTION("""COMPUTED_VALUE"""),"kRs^^")</f>
        <v>kRs^^</v>
      </c>
      <c r="D75" s="30" t="str">
        <f>IFERROR(__xludf.DUMMYFUNCTION("""COMPUTED_VALUE"""),"Helicoprions")</f>
        <v>Helicoprions</v>
      </c>
      <c r="E75" s="30">
        <f>IFERROR(__xludf.DUMMYFUNCTION("""COMPUTED_VALUE"""),18.0)</f>
        <v>18</v>
      </c>
      <c r="F75" s="30">
        <f>IFERROR(__xludf.DUMMYFUNCTION("""COMPUTED_VALUE"""),9.0)</f>
        <v>9</v>
      </c>
      <c r="G75" s="30">
        <f>IFERROR(__xludf.DUMMYFUNCTION("""COMPUTED_VALUE"""),9.0)</f>
        <v>9</v>
      </c>
      <c r="H75" s="42">
        <f>IFERROR(__xludf.DUMMYFUNCTION("""COMPUTED_VALUE"""),0.5)</f>
        <v>0.5</v>
      </c>
      <c r="I75" s="42">
        <f>IFERROR(__xludf.DUMMYFUNCTION("""COMPUTED_VALUE"""),0.2857142857142857)</f>
        <v>0.2857142857</v>
      </c>
      <c r="J75" s="30">
        <f>IFERROR(__xludf.DUMMYFUNCTION("""COMPUTED_VALUE"""),399.3888888888889)</f>
        <v>399.3888889</v>
      </c>
      <c r="K75" s="30">
        <f>IFERROR(__xludf.DUMMYFUNCTION("""COMPUTED_VALUE"""),1.0)</f>
        <v>1</v>
      </c>
      <c r="L75" s="30">
        <f>IFERROR(__xludf.DUMMYFUNCTION("""COMPUTED_VALUE"""),0.6666666666666666)</f>
        <v>0.6666666667</v>
      </c>
      <c r="M75" s="30">
        <f>IFERROR(__xludf.DUMMYFUNCTION("""COMPUTED_VALUE"""),1.2777777777777777)</f>
        <v>1.277777778</v>
      </c>
      <c r="N75" s="30">
        <f>IFERROR(__xludf.DUMMYFUNCTION("""COMPUTED_VALUE"""),3.5)</f>
        <v>3.5</v>
      </c>
      <c r="O75" s="30">
        <f>IFERROR(__xludf.DUMMYFUNCTION("""COMPUTED_VALUE"""),423.14814814814815)</f>
        <v>423.1481481</v>
      </c>
      <c r="P75" s="30">
        <f>IFERROR(__xludf.DUMMYFUNCTION("""COMPUTED_VALUE"""),1.0000000000000002)</f>
        <v>1</v>
      </c>
      <c r="Q75" s="30">
        <f>IFERROR(__xludf.DUMMYFUNCTION("""COMPUTED_VALUE"""),0.7592592592592592)</f>
        <v>0.7592592593</v>
      </c>
      <c r="R75" s="30">
        <f>IFERROR(__xludf.DUMMYFUNCTION("""COMPUTED_VALUE"""),1.4814814814814814)</f>
        <v>1.481481481</v>
      </c>
      <c r="S75" s="30">
        <f>IFERROR(__xludf.DUMMYFUNCTION("""COMPUTED_VALUE"""),3.259259259259259)</f>
        <v>3.259259259</v>
      </c>
      <c r="T75" s="30">
        <f>IFERROR(__xludf.DUMMYFUNCTION("""COMPUTED_VALUE"""),389.59338190614386)</f>
        <v>389.5933819</v>
      </c>
      <c r="U75" s="30">
        <f>IFERROR(__xludf.DUMMYFUNCTION("""COMPUTED_VALUE"""),0.8876297828678927)</f>
        <v>0.8876297829</v>
      </c>
      <c r="V75" s="30">
        <f>IFERROR(__xludf.DUMMYFUNCTION("""COMPUTED_VALUE"""),0.6711761456609164)</f>
        <v>0.6711761457</v>
      </c>
      <c r="W75" s="30">
        <f>IFERROR(__xludf.DUMMYFUNCTION("""COMPUTED_VALUE"""),1.4934414640536344)</f>
        <v>1.493441464</v>
      </c>
      <c r="X75" s="30">
        <f>IFERROR(__xludf.DUMMYFUNCTION("""COMPUTED_VALUE"""),2.84895502114916)</f>
        <v>2.848955021</v>
      </c>
      <c r="Y75" s="30">
        <f>IFERROR(__xludf.DUMMYFUNCTION("""COMPUTED_VALUE"""),402.9380819310262)</f>
        <v>402.9380819</v>
      </c>
      <c r="Z75" s="30">
        <f>IFERROR(__xludf.DUMMYFUNCTION("""COMPUTED_VALUE"""),0.9527019660150938)</f>
        <v>0.952701966</v>
      </c>
      <c r="AA75" s="30">
        <f>IFERROR(__xludf.DUMMYFUNCTION("""COMPUTED_VALUE"""),0.7289551281046405)</f>
        <v>0.7289551281</v>
      </c>
      <c r="AB75" s="30">
        <f>IFERROR(__xludf.DUMMYFUNCTION("""COMPUTED_VALUE"""),1.5047910341875534)</f>
        <v>1.504791034</v>
      </c>
      <c r="AC75" s="30">
        <f>IFERROR(__xludf.DUMMYFUNCTION("""COMPUTED_VALUE"""),2.9314554516120777)</f>
        <v>2.931455452</v>
      </c>
      <c r="AD75" s="30">
        <f>IFERROR(__xludf.DUMMYFUNCTION("""COMPUTED_VALUE"""),0.9911917160444894)</f>
        <v>0.991191716</v>
      </c>
      <c r="AE75" s="30">
        <f>IFERROR(__xludf.DUMMYFUNCTION("""COMPUTED_VALUE"""),1.0496462017211339)</f>
        <v>1.049646202</v>
      </c>
      <c r="AF75" s="30">
        <f>IFERROR(__xludf.DUMMYFUNCTION("""COMPUTED_VALUE"""),0.9145510347119303)</f>
        <v>0.9145510347</v>
      </c>
      <c r="AG75" s="30">
        <f>IFERROR(__xludf.DUMMYFUNCTION("""COMPUTED_VALUE"""),0.8491396803594449)</f>
        <v>0.8491396804</v>
      </c>
      <c r="AH75" s="30">
        <f>IFERROR(__xludf.DUMMYFUNCTION("""COMPUTED_VALUE"""),1.1939461669374052)</f>
        <v>1.193946167</v>
      </c>
      <c r="AI75" s="30">
        <f>IFERROR(__xludf.DUMMYFUNCTION("""COMPUTED_VALUE"""),1.0861276597611402)</f>
        <v>1.08612766</v>
      </c>
      <c r="AJ75" s="30">
        <f>IFERROR(__xludf.DUMMYFUNCTION("""COMPUTED_VALUE"""),1.1265958165227898)</f>
        <v>1.126595817</v>
      </c>
      <c r="AK75" s="30">
        <f>IFERROR(__xludf.DUMMYFUNCTION("""COMPUTED_VALUE"""),1.1312369549600219)</f>
        <v>1.131236955</v>
      </c>
      <c r="AL75" s="30">
        <f>IFERROR(__xludf.DUMMYFUNCTION("""COMPUTED_VALUE"""),0.991991662974396)</f>
        <v>0.991991663</v>
      </c>
      <c r="AM75" s="30">
        <f>IFERROR(__xludf.DUMMYFUNCTION("""COMPUTED_VALUE"""),1.1440192053100924)</f>
        <v>1.144019205</v>
      </c>
      <c r="AN75" s="30">
        <f>IFERROR(__xludf.DUMMYFUNCTION("""COMPUTED_VALUE"""),1.065199804039239)</f>
        <v>1.065199804</v>
      </c>
      <c r="AO75" s="30">
        <f>IFERROR(__xludf.DUMMYFUNCTION("""COMPUTED_VALUE"""),1.2114169044344552)</f>
        <v>1.211416904</v>
      </c>
      <c r="AP75" s="30">
        <f>IFERROR(__xludf.DUMMYFUNCTION("""COMPUTED_VALUE"""),1.0274557667674893)</f>
        <v>1.027455767</v>
      </c>
      <c r="AQ75" s="30">
        <f>IFERROR(__xludf.DUMMYFUNCTION("""COMPUTED_VALUE"""),0.8794447820249258)</f>
        <v>0.879444782</v>
      </c>
      <c r="AR75" s="30">
        <f>IFERROR(__xludf.DUMMYFUNCTION("""COMPUTED_VALUE"""),1.2875941830338262)</f>
        <v>1.287594183</v>
      </c>
      <c r="AS75" s="30">
        <f>IFERROR(__xludf.DUMMYFUNCTION("""COMPUTED_VALUE"""),46.0)</f>
        <v>46</v>
      </c>
      <c r="AT75" s="30">
        <f>IFERROR(__xludf.DUMMYFUNCTION("""COMPUTED_VALUE"""),0.4348002482722753)</f>
        <v>0.4348002483</v>
      </c>
      <c r="AU75" s="30">
        <f>IFERROR(__xludf.DUMMYFUNCTION("""COMPUTED_VALUE"""),3.4273088487558043)</f>
        <v>3.427308849</v>
      </c>
      <c r="AV75" s="32">
        <f>IFERROR(__xludf.DUMMYFUNCTION("""COMPUTED_VALUE"""),59.57335041282848)</f>
        <v>59.57335041</v>
      </c>
      <c r="AW75" s="32">
        <f>IFERROR(__xludf.DUMMYFUNCTION("""COMPUTED_VALUE"""),2.84994191410393)</f>
        <v>2.849941914</v>
      </c>
      <c r="AX75" s="32">
        <f>IFERROR(__xludf.DUMMYFUNCTION("""COMPUTED_VALUE"""),49.37287476423103)</f>
        <v>49.37287476</v>
      </c>
      <c r="AY75" s="32">
        <f>IFERROR(__xludf.DUMMYFUNCTION("""COMPUTED_VALUE"""),-2.040843071649574)</f>
        <v>-2.040843072</v>
      </c>
      <c r="AZ75" s="30">
        <f>IFERROR(__xludf.DUMMYFUNCTION("""COMPUTED_VALUE"""),4.890784985753504)</f>
        <v>4.890784986</v>
      </c>
      <c r="BA75" s="30">
        <f>IFERROR(__xludf.DUMMYFUNCTION("""COMPUTED_VALUE"""),450.0)</f>
        <v>450</v>
      </c>
    </row>
    <row r="76">
      <c r="A76" s="30" t="str">
        <f>IFERROR(__xludf.DUMMYFUNCTION("""COMPUTED_VALUE"""),"Master")</f>
        <v>Master</v>
      </c>
      <c r="B76" s="30" t="str">
        <f>IFERROR(__xludf.DUMMYFUNCTION("""COMPUTED_VALUE"""),"RSC003801")</f>
        <v>RSC003801</v>
      </c>
      <c r="C76" s="30" t="str">
        <f>IFERROR(__xludf.DUMMYFUNCTION("""COMPUTED_VALUE"""),"veil._")</f>
        <v>veil._</v>
      </c>
      <c r="D76" s="30" t="str">
        <f>IFERROR(__xludf.DUMMYFUNCTION("""COMPUTED_VALUE"""),"Basilisks")</f>
        <v>Basilisks</v>
      </c>
      <c r="E76" s="30">
        <f>IFERROR(__xludf.DUMMYFUNCTION("""COMPUTED_VALUE"""),14.0)</f>
        <v>14</v>
      </c>
      <c r="F76" s="30">
        <f>IFERROR(__xludf.DUMMYFUNCTION("""COMPUTED_VALUE"""),6.0)</f>
        <v>6</v>
      </c>
      <c r="G76" s="30">
        <f>IFERROR(__xludf.DUMMYFUNCTION("""COMPUTED_VALUE"""),8.0)</f>
        <v>8</v>
      </c>
      <c r="H76" s="42">
        <f>IFERROR(__xludf.DUMMYFUNCTION("""COMPUTED_VALUE"""),0.42857142857142855)</f>
        <v>0.4285714286</v>
      </c>
      <c r="I76" s="42">
        <f>IFERROR(__xludf.DUMMYFUNCTION("""COMPUTED_VALUE"""),0.37500000000000006)</f>
        <v>0.375</v>
      </c>
      <c r="J76" s="30">
        <f>IFERROR(__xludf.DUMMYFUNCTION("""COMPUTED_VALUE"""),352.0)</f>
        <v>352</v>
      </c>
      <c r="K76" s="30">
        <f>IFERROR(__xludf.DUMMYFUNCTION("""COMPUTED_VALUE"""),0.6428571428571429)</f>
        <v>0.6428571429</v>
      </c>
      <c r="L76" s="30">
        <f>IFERROR(__xludf.DUMMYFUNCTION("""COMPUTED_VALUE"""),0.7142857142857143)</f>
        <v>0.7142857143</v>
      </c>
      <c r="M76" s="30">
        <f>IFERROR(__xludf.DUMMYFUNCTION("""COMPUTED_VALUE"""),1.7142857142857142)</f>
        <v>1.714285714</v>
      </c>
      <c r="N76" s="30">
        <f>IFERROR(__xludf.DUMMYFUNCTION("""COMPUTED_VALUE"""),1.7142857142857142)</f>
        <v>1.714285714</v>
      </c>
      <c r="O76" s="30">
        <f>IFERROR(__xludf.DUMMYFUNCTION("""COMPUTED_VALUE"""),396.59523809523813)</f>
        <v>396.5952381</v>
      </c>
      <c r="P76" s="30">
        <f>IFERROR(__xludf.DUMMYFUNCTION("""COMPUTED_VALUE"""),0.9285714285714287)</f>
        <v>0.9285714286</v>
      </c>
      <c r="Q76" s="30">
        <f>IFERROR(__xludf.DUMMYFUNCTION("""COMPUTED_VALUE"""),0.738095238095238)</f>
        <v>0.7380952381</v>
      </c>
      <c r="R76" s="30">
        <f>IFERROR(__xludf.DUMMYFUNCTION("""COMPUTED_VALUE"""),1.3095238095238095)</f>
        <v>1.30952381</v>
      </c>
      <c r="S76" s="30">
        <f>IFERROR(__xludf.DUMMYFUNCTION("""COMPUTED_VALUE"""),3.4761904761904754)</f>
        <v>3.476190476</v>
      </c>
      <c r="T76" s="30">
        <f>IFERROR(__xludf.DUMMYFUNCTION("""COMPUTED_VALUE"""),391.4608401684936)</f>
        <v>391.4608402</v>
      </c>
      <c r="U76" s="30">
        <f>IFERROR(__xludf.DUMMYFUNCTION("""COMPUTED_VALUE"""),0.8716831896190175)</f>
        <v>0.8716831896</v>
      </c>
      <c r="V76" s="30">
        <f>IFERROR(__xludf.DUMMYFUNCTION("""COMPUTED_VALUE"""),0.666427189516565)</f>
        <v>0.6664271895</v>
      </c>
      <c r="W76" s="30">
        <f>IFERROR(__xludf.DUMMYFUNCTION("""COMPUTED_VALUE"""),1.4766271304638423)</f>
        <v>1.47662713</v>
      </c>
      <c r="X76" s="30">
        <f>IFERROR(__xludf.DUMMYFUNCTION("""COMPUTED_VALUE"""),2.9349516947802843)</f>
        <v>2.934951695</v>
      </c>
      <c r="Y76" s="30">
        <f>IFERROR(__xludf.DUMMYFUNCTION("""COMPUTED_VALUE"""),386.8378160308308)</f>
        <v>386.837816</v>
      </c>
      <c r="Z76" s="30">
        <f>IFERROR(__xludf.DUMMYFUNCTION("""COMPUTED_VALUE"""),0.8301527665397275)</f>
        <v>0.8301527665</v>
      </c>
      <c r="AA76" s="30">
        <f>IFERROR(__xludf.DUMMYFUNCTION("""COMPUTED_VALUE"""),0.6250133274711047)</f>
        <v>0.6250133275</v>
      </c>
      <c r="AB76" s="30">
        <f>IFERROR(__xludf.DUMMYFUNCTION("""COMPUTED_VALUE"""),1.580973556806478)</f>
        <v>1.580973557</v>
      </c>
      <c r="AC76" s="30">
        <f>IFERROR(__xludf.DUMMYFUNCTION("""COMPUTED_VALUE"""),2.7477301851135842)</f>
        <v>2.747730185</v>
      </c>
      <c r="AD76" s="30">
        <f>IFERROR(__xludf.DUMMYFUNCTION("""COMPUTED_VALUE"""),0.9099420620551372)</f>
        <v>0.9099420621</v>
      </c>
      <c r="AE76" s="30">
        <f>IFERROR(__xludf.DUMMYFUNCTION("""COMPUTED_VALUE"""),0.7743841480366597)</f>
        <v>0.774384148</v>
      </c>
      <c r="AF76" s="30">
        <f>IFERROR(__xludf.DUMMYFUNCTION("""COMPUTED_VALUE"""),1.1428327731439243)</f>
        <v>1.142832773</v>
      </c>
      <c r="AG76" s="30">
        <f>IFERROR(__xludf.DUMMYFUNCTION("""COMPUTED_VALUE"""),1.0843228255812976)</f>
        <v>1.084322826</v>
      </c>
      <c r="AH76" s="30">
        <f>IFERROR(__xludf.DUMMYFUNCTION("""COMPUTED_VALUE"""),0.6238915755168479)</f>
        <v>0.6238915755</v>
      </c>
      <c r="AI76" s="30">
        <f>IFERROR(__xludf.DUMMYFUNCTION("""COMPUTED_VALUE"""),1.01311599373397)</f>
        <v>1.013115994</v>
      </c>
      <c r="AJ76" s="30">
        <f>IFERROR(__xludf.DUMMYFUNCTION("""COMPUTED_VALUE"""),1.065262516967059)</f>
        <v>1.065262517</v>
      </c>
      <c r="AK76" s="30">
        <f>IFERROR(__xludf.DUMMYFUNCTION("""COMPUTED_VALUE"""),1.1075407031796856)</f>
        <v>1.107540703</v>
      </c>
      <c r="AL76" s="30">
        <f>IFERROR(__xludf.DUMMYFUNCTION("""COMPUTED_VALUE"""),0.8868344502870256)</f>
        <v>0.8868344503</v>
      </c>
      <c r="AM76" s="30">
        <f>IFERROR(__xludf.DUMMYFUNCTION("""COMPUTED_VALUE"""),1.1844114785169264)</f>
        <v>1.184411479</v>
      </c>
      <c r="AN76" s="30">
        <f>IFERROR(__xludf.DUMMYFUNCTION("""COMPUTED_VALUE"""),0.9388101207946331)</f>
        <v>0.9388101208</v>
      </c>
      <c r="AO76" s="30">
        <f>IFERROR(__xludf.DUMMYFUNCTION("""COMPUTED_VALUE"""),0.7787680099935784)</f>
        <v>0.77876801</v>
      </c>
      <c r="AP76" s="30">
        <f>IFERROR(__xludf.DUMMYFUNCTION("""COMPUTED_VALUE"""),1.1008454643937384)</f>
        <v>1.100845464</v>
      </c>
      <c r="AQ76" s="30">
        <f>IFERROR(__xludf.DUMMYFUNCTION("""COMPUTED_VALUE"""),1.1798762293005216)</f>
        <v>1.179876229</v>
      </c>
      <c r="AR76" s="30">
        <f>IFERROR(__xludf.DUMMYFUNCTION("""COMPUTED_VALUE"""),0.6306583753635067)</f>
        <v>0.6306583754</v>
      </c>
      <c r="AS76" s="30">
        <f>IFERROR(__xludf.DUMMYFUNCTION("""COMPUTED_VALUE"""),35.0)</f>
        <v>35</v>
      </c>
      <c r="AT76" s="30">
        <f>IFERROR(__xludf.DUMMYFUNCTION("""COMPUTED_VALUE"""),0.45648365762265347)</f>
        <v>0.4564836576</v>
      </c>
      <c r="AU76" s="30">
        <f>IFERROR(__xludf.DUMMYFUNCTION("""COMPUTED_VALUE"""),2.541040979660716)</f>
        <v>2.54104098</v>
      </c>
      <c r="AV76" s="32">
        <f>IFERROR(__xludf.DUMMYFUNCTION("""COMPUTED_VALUE"""),35.94335114731639)</f>
        <v>35.94335115</v>
      </c>
      <c r="AW76" s="32">
        <f>IFERROR(__xludf.DUMMYFUNCTION("""COMPUTED_VALUE"""),-3.4847161940847067)</f>
        <v>-3.484716194</v>
      </c>
      <c r="AX76" s="32">
        <f>IFERROR(__xludf.DUMMYFUNCTION("""COMPUTED_VALUE"""),20.620685962160433)</f>
        <v>20.62068596</v>
      </c>
      <c r="AY76" s="32">
        <f>IFERROR(__xludf.DUMMYFUNCTION("""COMPUTED_VALUE"""),-8.335914504419152)</f>
        <v>-8.335914504</v>
      </c>
      <c r="AZ76" s="30">
        <f>IFERROR(__xludf.DUMMYFUNCTION("""COMPUTED_VALUE"""),4.851198310334446)</f>
        <v>4.85119831</v>
      </c>
      <c r="BA76" s="30">
        <f>IFERROR(__xludf.DUMMYFUNCTION("""COMPUTED_VALUE"""),450.0)</f>
        <v>450</v>
      </c>
    </row>
    <row r="77">
      <c r="A77" s="30" t="str">
        <f>IFERROR(__xludf.DUMMYFUNCTION("""COMPUTED_VALUE"""),"Master")</f>
        <v>Master</v>
      </c>
      <c r="B77" s="30" t="str">
        <f>IFERROR(__xludf.DUMMYFUNCTION("""COMPUTED_VALUE"""),"RSC000203")</f>
        <v>RSC000203</v>
      </c>
      <c r="C77" s="30" t="str">
        <f>IFERROR(__xludf.DUMMYFUNCTION("""COMPUTED_VALUE"""),"FrostyBrew")</f>
        <v>FrostyBrew</v>
      </c>
      <c r="D77" s="30"/>
      <c r="E77" s="30">
        <f>IFERROR(__xludf.DUMMYFUNCTION("""COMPUTED_VALUE"""),4.0)</f>
        <v>4</v>
      </c>
      <c r="F77" s="30">
        <f>IFERROR(__xludf.DUMMYFUNCTION("""COMPUTED_VALUE"""),2.0)</f>
        <v>2</v>
      </c>
      <c r="G77" s="30">
        <f>IFERROR(__xludf.DUMMYFUNCTION("""COMPUTED_VALUE"""),2.0)</f>
        <v>2</v>
      </c>
      <c r="H77" s="42">
        <f>IFERROR(__xludf.DUMMYFUNCTION("""COMPUTED_VALUE"""),0.5)</f>
        <v>0.5</v>
      </c>
      <c r="I77" s="42">
        <f>IFERROR(__xludf.DUMMYFUNCTION("""COMPUTED_VALUE"""),0.3)</f>
        <v>0.3</v>
      </c>
      <c r="J77" s="30">
        <f>IFERROR(__xludf.DUMMYFUNCTION("""COMPUTED_VALUE"""),382.5)</f>
        <v>382.5</v>
      </c>
      <c r="K77" s="30">
        <f>IFERROR(__xludf.DUMMYFUNCTION("""COMPUTED_VALUE"""),0.75)</f>
        <v>0.75</v>
      </c>
      <c r="L77" s="30">
        <f>IFERROR(__xludf.DUMMYFUNCTION("""COMPUTED_VALUE"""),0.75)</f>
        <v>0.75</v>
      </c>
      <c r="M77" s="30">
        <f>IFERROR(__xludf.DUMMYFUNCTION("""COMPUTED_VALUE"""),1.75)</f>
        <v>1.75</v>
      </c>
      <c r="N77" s="30">
        <f>IFERROR(__xludf.DUMMYFUNCTION("""COMPUTED_VALUE"""),2.5)</f>
        <v>2.5</v>
      </c>
      <c r="O77" s="30">
        <f>IFERROR(__xludf.DUMMYFUNCTION("""COMPUTED_VALUE"""),408.9166666666667)</f>
        <v>408.9166667</v>
      </c>
      <c r="P77" s="30">
        <f>IFERROR(__xludf.DUMMYFUNCTION("""COMPUTED_VALUE"""),1.0)</f>
        <v>1</v>
      </c>
      <c r="Q77" s="30">
        <f>IFERROR(__xludf.DUMMYFUNCTION("""COMPUTED_VALUE"""),0.75)</f>
        <v>0.75</v>
      </c>
      <c r="R77" s="30">
        <f>IFERROR(__xludf.DUMMYFUNCTION("""COMPUTED_VALUE"""),1.4166666666666667)</f>
        <v>1.416666667</v>
      </c>
      <c r="S77" s="30">
        <f>IFERROR(__xludf.DUMMYFUNCTION("""COMPUTED_VALUE"""),4.25)</f>
        <v>4.25</v>
      </c>
      <c r="T77" s="30">
        <f>IFERROR(__xludf.DUMMYFUNCTION("""COMPUTED_VALUE"""),390.1769444444444)</f>
        <v>390.1769444</v>
      </c>
      <c r="U77" s="30">
        <f>IFERROR(__xludf.DUMMYFUNCTION("""COMPUTED_VALUE"""),0.9531481481481482)</f>
        <v>0.9531481481</v>
      </c>
      <c r="V77" s="30">
        <f>IFERROR(__xludf.DUMMYFUNCTION("""COMPUTED_VALUE"""),0.5994444444444444)</f>
        <v>0.5994444444</v>
      </c>
      <c r="W77" s="30">
        <f>IFERROR(__xludf.DUMMYFUNCTION("""COMPUTED_VALUE"""),1.4323148148148146)</f>
        <v>1.432314815</v>
      </c>
      <c r="X77" s="30">
        <f>IFERROR(__xludf.DUMMYFUNCTION("""COMPUTED_VALUE"""),3.048148148148148)</f>
        <v>3.048148148</v>
      </c>
      <c r="Y77" s="30">
        <f>IFERROR(__xludf.DUMMYFUNCTION("""COMPUTED_VALUE"""),412.1648957661724)</f>
        <v>412.1648958</v>
      </c>
      <c r="Z77" s="30">
        <f>IFERROR(__xludf.DUMMYFUNCTION("""COMPUTED_VALUE"""),0.9473694390715665)</f>
        <v>0.9473694391</v>
      </c>
      <c r="AA77" s="30">
        <f>IFERROR(__xludf.DUMMYFUNCTION("""COMPUTED_VALUE"""),0.7322652052439288)</f>
        <v>0.7322652052</v>
      </c>
      <c r="AB77" s="30">
        <f>IFERROR(__xludf.DUMMYFUNCTION("""COMPUTED_VALUE"""),1.5820524392864819)</f>
        <v>1.582052439</v>
      </c>
      <c r="AC77" s="30">
        <f>IFERROR(__xludf.DUMMYFUNCTION("""COMPUTED_VALUE"""),2.7083859875349234)</f>
        <v>2.708385988</v>
      </c>
      <c r="AD77" s="30">
        <f>IFERROR(__xludf.DUMMYFUNCTION("""COMPUTED_VALUE"""),0.928026631887152)</f>
        <v>0.9280266319</v>
      </c>
      <c r="AE77" s="30">
        <f>IFERROR(__xludf.DUMMYFUNCTION("""COMPUTED_VALUE"""),0.7916658159619431)</f>
        <v>0.791665816</v>
      </c>
      <c r="AF77" s="30">
        <f>IFERROR(__xludf.DUMMYFUNCTION("""COMPUTED_VALUE"""),1.0242190870589891)</f>
        <v>1.024219087</v>
      </c>
      <c r="AG77" s="30">
        <f>IFERROR(__xludf.DUMMYFUNCTION("""COMPUTED_VALUE"""),1.106158023933305)</f>
        <v>1.106158024</v>
      </c>
      <c r="AH77" s="30">
        <f>IFERROR(__xludf.DUMMYFUNCTION("""COMPUTED_VALUE"""),0.9230589773784095)</f>
        <v>0.9230589774</v>
      </c>
      <c r="AI77" s="30">
        <f>IFERROR(__xludf.DUMMYFUNCTION("""COMPUTED_VALUE"""),1.0480287789656688)</f>
        <v>1.048028779</v>
      </c>
      <c r="AJ77" s="30">
        <f>IFERROR(__xludf.DUMMYFUNCTION("""COMPUTED_VALUE"""),1.0491548474839711)</f>
        <v>1.049154847</v>
      </c>
      <c r="AK77" s="30">
        <f>IFERROR(__xludf.DUMMYFUNCTION("""COMPUTED_VALUE"""),1.2511584800741427)</f>
        <v>1.25115848</v>
      </c>
      <c r="AL77" s="30">
        <f>IFERROR(__xludf.DUMMYFUNCTION("""COMPUTED_VALUE"""),0.9890749240416319)</f>
        <v>0.989074924</v>
      </c>
      <c r="AM77" s="30">
        <f>IFERROR(__xludf.DUMMYFUNCTION("""COMPUTED_VALUE"""),1.3942891859052249)</f>
        <v>1.394289186</v>
      </c>
      <c r="AN77" s="30">
        <f>IFERROR(__xludf.DUMMYFUNCTION("""COMPUTED_VALUE"""),1.0201558841021225)</f>
        <v>1.020155884</v>
      </c>
      <c r="AO77" s="30">
        <f>IFERROR(__xludf.DUMMYFUNCTION("""COMPUTED_VALUE"""),0.9085626783258414)</f>
        <v>0.9085626783</v>
      </c>
      <c r="AP77" s="30">
        <f>IFERROR(__xludf.DUMMYFUNCTION("""COMPUTED_VALUE"""),1.1558877376134253)</f>
        <v>1.155887738</v>
      </c>
      <c r="AQ77" s="30">
        <f>IFERROR(__xludf.DUMMYFUNCTION("""COMPUTED_VALUE"""),1.2044569840776158)</f>
        <v>1.204456984</v>
      </c>
      <c r="AR77" s="30">
        <f>IFERROR(__xludf.DUMMYFUNCTION("""COMPUTED_VALUE"""),0.9197101307384473)</f>
        <v>0.9197101307</v>
      </c>
      <c r="AS77" s="30">
        <f>IFERROR(__xludf.DUMMYFUNCTION("""COMPUTED_VALUE"""),11.0)</f>
        <v>11</v>
      </c>
      <c r="AT77" s="30">
        <f>IFERROR(__xludf.DUMMYFUNCTION("""COMPUTED_VALUE"""),0.46412484476098326)</f>
        <v>0.4641248448</v>
      </c>
      <c r="AU77" s="30">
        <f>IFERROR(__xludf.DUMMYFUNCTION("""COMPUTED_VALUE"""),2.8168398100683034)</f>
        <v>2.81683981</v>
      </c>
      <c r="AV77" s="32">
        <f>IFERROR(__xludf.DUMMYFUNCTION("""COMPUTED_VALUE"""),43.296800806520004)</f>
        <v>43.29680081</v>
      </c>
      <c r="AW77" s="32">
        <f>IFERROR(__xludf.DUMMYFUNCTION("""COMPUTED_VALUE"""),-2.5361373622435877)</f>
        <v>-2.536137362</v>
      </c>
      <c r="AX77" s="32">
        <f>IFERROR(__xludf.DUMMYFUNCTION("""COMPUTED_VALUE"""),22.615649999096867)</f>
        <v>22.61565</v>
      </c>
      <c r="AY77" s="32">
        <f>IFERROR(__xludf.DUMMYFUNCTION("""COMPUTED_VALUE"""),-7.3165515562121675)</f>
        <v>-7.316551556</v>
      </c>
      <c r="AZ77" s="30">
        <f>IFERROR(__xludf.DUMMYFUNCTION("""COMPUTED_VALUE"""),4.78041419396858)</f>
        <v>4.780414194</v>
      </c>
      <c r="BA77" s="30">
        <f>IFERROR(__xludf.DUMMYFUNCTION("""COMPUTED_VALUE"""),450.0)</f>
        <v>450</v>
      </c>
    </row>
    <row r="78">
      <c r="A78" s="30" t="str">
        <f>IFERROR(__xludf.DUMMYFUNCTION("""COMPUTED_VALUE"""),"Master")</f>
        <v>Master</v>
      </c>
      <c r="B78" s="30" t="str">
        <f>IFERROR(__xludf.DUMMYFUNCTION("""COMPUTED_VALUE"""),"RSC001903")</f>
        <v>RSC001903</v>
      </c>
      <c r="C78" s="30" t="str">
        <f>IFERROR(__xludf.DUMMYFUNCTION("""COMPUTED_VALUE"""),"Plasma")</f>
        <v>Plasma</v>
      </c>
      <c r="D78" s="30" t="str">
        <f>IFERROR(__xludf.DUMMYFUNCTION("""COMPUTED_VALUE"""),"Spectres")</f>
        <v>Spectres</v>
      </c>
      <c r="E78" s="30">
        <f>IFERROR(__xludf.DUMMYFUNCTION("""COMPUTED_VALUE"""),19.0)</f>
        <v>19</v>
      </c>
      <c r="F78" s="30">
        <f>IFERROR(__xludf.DUMMYFUNCTION("""COMPUTED_VALUE"""),4.0)</f>
        <v>4</v>
      </c>
      <c r="G78" s="30">
        <f>IFERROR(__xludf.DUMMYFUNCTION("""COMPUTED_VALUE"""),15.0)</f>
        <v>15</v>
      </c>
      <c r="H78" s="42">
        <f>IFERROR(__xludf.DUMMYFUNCTION("""COMPUTED_VALUE"""),0.21052631578947367)</f>
        <v>0.2105263158</v>
      </c>
      <c r="I78" s="42">
        <f>IFERROR(__xludf.DUMMYFUNCTION("""COMPUTED_VALUE"""),0.3055555555555556)</f>
        <v>0.3055555556</v>
      </c>
      <c r="J78" s="30">
        <f>IFERROR(__xludf.DUMMYFUNCTION("""COMPUTED_VALUE"""),356.7368421052632)</f>
        <v>356.7368421</v>
      </c>
      <c r="K78" s="30">
        <f>IFERROR(__xludf.DUMMYFUNCTION("""COMPUTED_VALUE"""),0.5789473684210527)</f>
        <v>0.5789473684</v>
      </c>
      <c r="L78" s="30">
        <f>IFERROR(__xludf.DUMMYFUNCTION("""COMPUTED_VALUE"""),0.5789473684210527)</f>
        <v>0.5789473684</v>
      </c>
      <c r="M78" s="30">
        <f>IFERROR(__xludf.DUMMYFUNCTION("""COMPUTED_VALUE"""),1.894736842105263)</f>
        <v>1.894736842</v>
      </c>
      <c r="N78" s="30">
        <f>IFERROR(__xludf.DUMMYFUNCTION("""COMPUTED_VALUE"""),1.894736842105263)</f>
        <v>1.894736842</v>
      </c>
      <c r="O78" s="30">
        <f>IFERROR(__xludf.DUMMYFUNCTION("""COMPUTED_VALUE"""),467.59649122807014)</f>
        <v>467.5964912</v>
      </c>
      <c r="P78" s="30">
        <f>IFERROR(__xludf.DUMMYFUNCTION("""COMPUTED_VALUE"""),1.3333333333333333)</f>
        <v>1.333333333</v>
      </c>
      <c r="Q78" s="30">
        <f>IFERROR(__xludf.DUMMYFUNCTION("""COMPUTED_VALUE"""),1.0175438596491226)</f>
        <v>1.01754386</v>
      </c>
      <c r="R78" s="30">
        <f>IFERROR(__xludf.DUMMYFUNCTION("""COMPUTED_VALUE"""),1.5614035087719298)</f>
        <v>1.561403509</v>
      </c>
      <c r="S78" s="30">
        <f>IFERROR(__xludf.DUMMYFUNCTION("""COMPUTED_VALUE"""),3.5438596491228074)</f>
        <v>3.543859649</v>
      </c>
      <c r="T78" s="30">
        <f>IFERROR(__xludf.DUMMYFUNCTION("""COMPUTED_VALUE"""),410.8632893303083)</f>
        <v>410.8632893</v>
      </c>
      <c r="U78" s="30">
        <f>IFERROR(__xludf.DUMMYFUNCTION("""COMPUTED_VALUE"""),1.0813148046941587)</f>
        <v>1.081314805</v>
      </c>
      <c r="V78" s="30">
        <f>IFERROR(__xludf.DUMMYFUNCTION("""COMPUTED_VALUE"""),0.7781136684619915)</f>
        <v>0.7781136685</v>
      </c>
      <c r="W78" s="30">
        <f>IFERROR(__xludf.DUMMYFUNCTION("""COMPUTED_VALUE"""),1.3975839528266296)</f>
        <v>1.397583953</v>
      </c>
      <c r="X78" s="30">
        <f>IFERROR(__xludf.DUMMYFUNCTION("""COMPUTED_VALUE"""),3.0369469904840045)</f>
        <v>3.03694699</v>
      </c>
      <c r="Y78" s="30">
        <f>IFERROR(__xludf.DUMMYFUNCTION("""COMPUTED_VALUE"""),364.7563562906196)</f>
        <v>364.7563563</v>
      </c>
      <c r="Z78" s="30">
        <f>IFERROR(__xludf.DUMMYFUNCTION("""COMPUTED_VALUE"""),0.7653863443045875)</f>
        <v>0.7653863443</v>
      </c>
      <c r="AA78" s="30">
        <f>IFERROR(__xludf.DUMMYFUNCTION("""COMPUTED_VALUE"""),0.5789864260503835)</f>
        <v>0.5789864261</v>
      </c>
      <c r="AB78" s="30">
        <f>IFERROR(__xludf.DUMMYFUNCTION("""COMPUTED_VALUE"""),1.4533078511088764)</f>
        <v>1.453307851</v>
      </c>
      <c r="AC78" s="30">
        <f>IFERROR(__xludf.DUMMYFUNCTION("""COMPUTED_VALUE"""),2.5658161606305554)</f>
        <v>2.565816161</v>
      </c>
      <c r="AD78" s="30">
        <f>IFERROR(__xludf.DUMMYFUNCTION("""COMPUTED_VALUE"""),0.9780140522651596)</f>
        <v>0.9780140523</v>
      </c>
      <c r="AE78" s="30">
        <f>IFERROR(__xludf.DUMMYFUNCTION("""COMPUTED_VALUE"""),0.7564119385316065)</f>
        <v>0.7564119385</v>
      </c>
      <c r="AF78" s="30">
        <f>IFERROR(__xludf.DUMMYFUNCTION("""COMPUTED_VALUE"""),0.9999325413730382)</f>
        <v>0.9999325414</v>
      </c>
      <c r="AG78" s="30">
        <f>IFERROR(__xludf.DUMMYFUNCTION("""COMPUTED_VALUE"""),1.3037408699468427)</f>
        <v>1.30374087</v>
      </c>
      <c r="AH78" s="30">
        <f>IFERROR(__xludf.DUMMYFUNCTION("""COMPUTED_VALUE"""),0.7384538577540283)</f>
        <v>0.7384538578</v>
      </c>
      <c r="AI78" s="30">
        <f>IFERROR(__xludf.DUMMYFUNCTION("""COMPUTED_VALUE"""),1.1380829180193608)</f>
        <v>1.138082918</v>
      </c>
      <c r="AJ78" s="30">
        <f>IFERROR(__xludf.DUMMYFUNCTION("""COMPUTED_VALUE"""),1.2330667512782791)</f>
        <v>1.233066751</v>
      </c>
      <c r="AK78" s="30">
        <f>IFERROR(__xludf.DUMMYFUNCTION("""COMPUTED_VALUE"""),1.3077059315258983)</f>
        <v>1.307705932</v>
      </c>
      <c r="AL78" s="30">
        <f>IFERROR(__xludf.DUMMYFUNCTION("""COMPUTED_VALUE"""),1.117216254246461)</f>
        <v>1.117216254</v>
      </c>
      <c r="AM78" s="30">
        <f>IFERROR(__xludf.DUMMYFUNCTION("""COMPUTED_VALUE"""),1.1669152145978074)</f>
        <v>1.166915215</v>
      </c>
      <c r="AN78" s="30">
        <f>IFERROR(__xludf.DUMMYFUNCTION("""COMPUTED_VALUE"""),0.9514436301952786)</f>
        <v>0.9514436302</v>
      </c>
      <c r="AO78" s="30">
        <f>IFERROR(__xludf.DUMMYFUNCTION("""COMPUTED_VALUE"""),0.7013466288831056)</f>
        <v>0.7013466289</v>
      </c>
      <c r="AP78" s="30">
        <f>IFERROR(__xludf.DUMMYFUNCTION("""COMPUTED_VALUE"""),0.8922642185086092)</f>
        <v>0.8922642185</v>
      </c>
      <c r="AQ78" s="30">
        <f>IFERROR(__xludf.DUMMYFUNCTION("""COMPUTED_VALUE"""),1.3040737271216292)</f>
        <v>1.304073727</v>
      </c>
      <c r="AR78" s="30">
        <f>IFERROR(__xludf.DUMMYFUNCTION("""COMPUTED_VALUE"""),0.6970434675070337)</f>
        <v>0.6970434675</v>
      </c>
      <c r="AS78" s="30">
        <f>IFERROR(__xludf.DUMMYFUNCTION("""COMPUTED_VALUE"""),39.0)</f>
        <v>39</v>
      </c>
      <c r="AT78" s="30">
        <f>IFERROR(__xludf.DUMMYFUNCTION("""COMPUTED_VALUE"""),0.24628024377239235)</f>
        <v>0.2462802438</v>
      </c>
      <c r="AU78" s="30">
        <f>IFERROR(__xludf.DUMMYFUNCTION("""COMPUTED_VALUE"""),2.2620415348383585)</f>
        <v>2.262041535</v>
      </c>
      <c r="AV78" s="32">
        <f>IFERROR(__xludf.DUMMYFUNCTION("""COMPUTED_VALUE"""),28.504565531673993)</f>
        <v>28.50456553</v>
      </c>
      <c r="AW78" s="32">
        <f>IFERROR(__xludf.DUMMYFUNCTION("""COMPUTED_VALUE"""),-5.129655664407664)</f>
        <v>-5.129655664</v>
      </c>
      <c r="AX78" s="32">
        <f>IFERROR(__xludf.DUMMYFUNCTION("""COMPUTED_VALUE"""),18.32271704494391)</f>
        <v>18.32271704</v>
      </c>
      <c r="AY78" s="32">
        <f>IFERROR(__xludf.DUMMYFUNCTION("""COMPUTED_VALUE"""),-9.75026454781034)</f>
        <v>-9.750264548</v>
      </c>
      <c r="AZ78" s="30">
        <f>IFERROR(__xludf.DUMMYFUNCTION("""COMPUTED_VALUE"""),4.620608883402677)</f>
        <v>4.620608883</v>
      </c>
      <c r="BA78" s="30">
        <f>IFERROR(__xludf.DUMMYFUNCTION("""COMPUTED_VALUE"""),450.0)</f>
        <v>450</v>
      </c>
    </row>
    <row r="79">
      <c r="A79" s="30" t="str">
        <f>IFERROR(__xludf.DUMMYFUNCTION("""COMPUTED_VALUE"""),"Master")</f>
        <v>Master</v>
      </c>
      <c r="B79" s="30" t="str">
        <f>IFERROR(__xludf.DUMMYFUNCTION("""COMPUTED_VALUE"""),"RSC005349")</f>
        <v>RSC005349</v>
      </c>
      <c r="C79" s="30" t="str">
        <f>IFERROR(__xludf.DUMMYFUNCTION("""COMPUTED_VALUE"""),"Rzemb1e")</f>
        <v>Rzemb1e</v>
      </c>
      <c r="D79" s="30" t="str">
        <f>IFERROR(__xludf.DUMMYFUNCTION("""COMPUTED_VALUE"""),"Heinous Henchmen")</f>
        <v>Heinous Henchmen</v>
      </c>
      <c r="E79" s="30">
        <f>IFERROR(__xludf.DUMMYFUNCTION("""COMPUTED_VALUE"""),47.0)</f>
        <v>47</v>
      </c>
      <c r="F79" s="30">
        <f>IFERROR(__xludf.DUMMYFUNCTION("""COMPUTED_VALUE"""),17.0)</f>
        <v>17</v>
      </c>
      <c r="G79" s="30">
        <f>IFERROR(__xludf.DUMMYFUNCTION("""COMPUTED_VALUE"""),30.0)</f>
        <v>30</v>
      </c>
      <c r="H79" s="42">
        <f>IFERROR(__xludf.DUMMYFUNCTION("""COMPUTED_VALUE"""),0.3617021276595745)</f>
        <v>0.3617021277</v>
      </c>
      <c r="I79" s="42">
        <f>IFERROR(__xludf.DUMMYFUNCTION("""COMPUTED_VALUE"""),0.34558823529411764)</f>
        <v>0.3455882353</v>
      </c>
      <c r="J79" s="30">
        <f>IFERROR(__xludf.DUMMYFUNCTION("""COMPUTED_VALUE"""),385.70212765957444)</f>
        <v>385.7021277</v>
      </c>
      <c r="K79" s="30">
        <f>IFERROR(__xludf.DUMMYFUNCTION("""COMPUTED_VALUE"""),1.0)</f>
        <v>1</v>
      </c>
      <c r="L79" s="30">
        <f>IFERROR(__xludf.DUMMYFUNCTION("""COMPUTED_VALUE"""),0.5957446808510638)</f>
        <v>0.5957446809</v>
      </c>
      <c r="M79" s="30">
        <f>IFERROR(__xludf.DUMMYFUNCTION("""COMPUTED_VALUE"""),1.5106382978723405)</f>
        <v>1.510638298</v>
      </c>
      <c r="N79" s="30">
        <f>IFERROR(__xludf.DUMMYFUNCTION("""COMPUTED_VALUE"""),2.893617021276596)</f>
        <v>2.893617021</v>
      </c>
      <c r="O79" s="30">
        <f>IFERROR(__xludf.DUMMYFUNCTION("""COMPUTED_VALUE"""),392.7801418439716)</f>
        <v>392.7801418</v>
      </c>
      <c r="P79" s="30">
        <f>IFERROR(__xludf.DUMMYFUNCTION("""COMPUTED_VALUE"""),0.9503546099290779)</f>
        <v>0.9503546099</v>
      </c>
      <c r="Q79" s="30">
        <f>IFERROR(__xludf.DUMMYFUNCTION("""COMPUTED_VALUE"""),0.7375886524822696)</f>
        <v>0.7375886525</v>
      </c>
      <c r="R79" s="30">
        <f>IFERROR(__xludf.DUMMYFUNCTION("""COMPUTED_VALUE"""),1.354609929078014)</f>
        <v>1.354609929</v>
      </c>
      <c r="S79" s="30">
        <f>IFERROR(__xludf.DUMMYFUNCTION("""COMPUTED_VALUE"""),3.0567375886524815)</f>
        <v>3.056737589</v>
      </c>
      <c r="T79" s="30">
        <f>IFERROR(__xludf.DUMMYFUNCTION("""COMPUTED_VALUE"""),384.8384909444471)</f>
        <v>384.8384909</v>
      </c>
      <c r="U79" s="30">
        <f>IFERROR(__xludf.DUMMYFUNCTION("""COMPUTED_VALUE"""),0.8879028551569754)</f>
        <v>0.8879028552</v>
      </c>
      <c r="V79" s="30">
        <f>IFERROR(__xludf.DUMMYFUNCTION("""COMPUTED_VALUE"""),0.6887012426265781)</f>
        <v>0.6887012426</v>
      </c>
      <c r="W79" s="30">
        <f>IFERROR(__xludf.DUMMYFUNCTION("""COMPUTED_VALUE"""),1.4384478089361665)</f>
        <v>1.438447809</v>
      </c>
      <c r="X79" s="30">
        <f>IFERROR(__xludf.DUMMYFUNCTION("""COMPUTED_VALUE"""),2.7881341594956384)</f>
        <v>2.788134159</v>
      </c>
      <c r="Y79" s="30">
        <f>IFERROR(__xludf.DUMMYFUNCTION("""COMPUTED_VALUE"""),381.97265217636317)</f>
        <v>381.9726522</v>
      </c>
      <c r="Z79" s="30">
        <f>IFERROR(__xludf.DUMMYFUNCTION("""COMPUTED_VALUE"""),0.8698414157738533)</f>
        <v>0.8698414158</v>
      </c>
      <c r="AA79" s="30">
        <f>IFERROR(__xludf.DUMMYFUNCTION("""COMPUTED_VALUE"""),0.6661569993410027)</f>
        <v>0.6661569993</v>
      </c>
      <c r="AB79" s="30">
        <f>IFERROR(__xludf.DUMMYFUNCTION("""COMPUTED_VALUE"""),1.4540562675535742)</f>
        <v>1.454056268</v>
      </c>
      <c r="AC79" s="30">
        <f>IFERROR(__xludf.DUMMYFUNCTION("""COMPUTED_VALUE"""),2.781713625913038)</f>
        <v>2.781713626</v>
      </c>
      <c r="AD79" s="30">
        <f>IFERROR(__xludf.DUMMYFUNCTION("""COMPUTED_VALUE"""),1.0097637238214878)</f>
        <v>1.009763724</v>
      </c>
      <c r="AE79" s="30">
        <f>IFERROR(__xludf.DUMMYFUNCTION("""COMPUTED_VALUE"""),1.1496348436230197)</f>
        <v>1.149634844</v>
      </c>
      <c r="AF79" s="30">
        <f>IFERROR(__xludf.DUMMYFUNCTION("""COMPUTED_VALUE"""),0.8943007150572696)</f>
        <v>0.8943007151</v>
      </c>
      <c r="AG79" s="30">
        <f>IFERROR(__xludf.DUMMYFUNCTION("""COMPUTED_VALUE"""),1.0389132329892328)</f>
        <v>1.038913233</v>
      </c>
      <c r="AH79" s="30">
        <f>IFERROR(__xludf.DUMMYFUNCTION("""COMPUTED_VALUE"""),1.0402282227477058)</f>
        <v>1.040228223</v>
      </c>
      <c r="AI79" s="30">
        <f>IFERROR(__xludf.DUMMYFUNCTION("""COMPUTED_VALUE"""),1.0206363216944194)</f>
        <v>1.020636322</v>
      </c>
      <c r="AJ79" s="30">
        <f>IFERROR(__xludf.DUMMYFUNCTION("""COMPUTED_VALUE"""),1.070336247270048)</f>
        <v>1.070336247</v>
      </c>
      <c r="AK79" s="30">
        <f>IFERROR(__xludf.DUMMYFUNCTION("""COMPUTED_VALUE"""),1.0709849305182666)</f>
        <v>1.070984931</v>
      </c>
      <c r="AL79" s="30">
        <f>IFERROR(__xludf.DUMMYFUNCTION("""COMPUTED_VALUE"""),0.9417164256239811)</f>
        <v>0.9417164256</v>
      </c>
      <c r="AM79" s="30">
        <f>IFERROR(__xludf.DUMMYFUNCTION("""COMPUTED_VALUE"""),1.096338057565147)</f>
        <v>1.096338058</v>
      </c>
      <c r="AN79" s="30">
        <f>IFERROR(__xludf.DUMMYFUNCTION("""COMPUTED_VALUE"""),1.0286961961898637)</f>
        <v>1.028696196</v>
      </c>
      <c r="AO79" s="30">
        <f>IFERROR(__xludf.DUMMYFUNCTION("""COMPUTED_VALUE"""),1.2114169044344552)</f>
        <v>1.211416904</v>
      </c>
      <c r="AP79" s="30">
        <f>IFERROR(__xludf.DUMMYFUNCTION("""COMPUTED_VALUE"""),0.9181519617922244)</f>
        <v>0.9181519618</v>
      </c>
      <c r="AQ79" s="30">
        <f>IFERROR(__xludf.DUMMYFUNCTION("""COMPUTED_VALUE"""),1.0397136275928356)</f>
        <v>1.039713628</v>
      </c>
      <c r="AR79" s="30">
        <f>IFERROR(__xludf.DUMMYFUNCTION("""COMPUTED_VALUE"""),1.0645155555781178)</f>
        <v>1.064515556</v>
      </c>
      <c r="AS79" s="30">
        <f>IFERROR(__xludf.DUMMYFUNCTION("""COMPUTED_VALUE"""),110.0)</f>
        <v>110</v>
      </c>
      <c r="AT79" s="30">
        <f>IFERROR(__xludf.DUMMYFUNCTION("""COMPUTED_VALUE"""),0.42149821697621004)</f>
        <v>0.421498217</v>
      </c>
      <c r="AU79" s="30">
        <f>IFERROR(__xludf.DUMMYFUNCTION("""COMPUTED_VALUE"""),3.3081837811623815)</f>
        <v>3.308183781</v>
      </c>
      <c r="AV79" s="32">
        <f>IFERROR(__xludf.DUMMYFUNCTION("""COMPUTED_VALUE"""),56.39719413108175)</f>
        <v>56.39719413</v>
      </c>
      <c r="AW79" s="32">
        <f>IFERROR(__xludf.DUMMYFUNCTION("""COMPUTED_VALUE"""),2.506147887430799)</f>
        <v>2.506147887</v>
      </c>
      <c r="AX79" s="32">
        <f>IFERROR(__xludf.DUMMYFUNCTION("""COMPUTED_VALUE"""),48.67567268671587)</f>
        <v>48.67567269</v>
      </c>
      <c r="AY79" s="32">
        <f>IFERROR(__xludf.DUMMYFUNCTION("""COMPUTED_VALUE"""),-2.088220319972051)</f>
        <v>-2.08822032</v>
      </c>
      <c r="AZ79" s="30">
        <f>IFERROR(__xludf.DUMMYFUNCTION("""COMPUTED_VALUE"""),4.59436820740285)</f>
        <v>4.594368207</v>
      </c>
      <c r="BA79" s="30">
        <f>IFERROR(__xludf.DUMMYFUNCTION("""COMPUTED_VALUE"""),450.0)</f>
        <v>450</v>
      </c>
    </row>
    <row r="80">
      <c r="A80" s="30" t="str">
        <f>IFERROR(__xludf.DUMMYFUNCTION("""COMPUTED_VALUE"""),"Master")</f>
        <v>Master</v>
      </c>
      <c r="B80" s="30" t="str">
        <f>IFERROR(__xludf.DUMMYFUNCTION("""COMPUTED_VALUE"""),"RSC007997")</f>
        <v>RSC007997</v>
      </c>
      <c r="C80" s="30" t="str">
        <f>IFERROR(__xludf.DUMMYFUNCTION("""COMPUTED_VALUE"""),"dreamyrll")</f>
        <v>dreamyrll</v>
      </c>
      <c r="D80" s="30" t="str">
        <f>IFERROR(__xludf.DUMMYFUNCTION("""COMPUTED_VALUE"""),"The OG")</f>
        <v>The OG</v>
      </c>
      <c r="E80" s="30">
        <f>IFERROR(__xludf.DUMMYFUNCTION("""COMPUTED_VALUE"""),24.0)</f>
        <v>24</v>
      </c>
      <c r="F80" s="30">
        <f>IFERROR(__xludf.DUMMYFUNCTION("""COMPUTED_VALUE"""),7.0)</f>
        <v>7</v>
      </c>
      <c r="G80" s="30">
        <f>IFERROR(__xludf.DUMMYFUNCTION("""COMPUTED_VALUE"""),17.0)</f>
        <v>17</v>
      </c>
      <c r="H80" s="42">
        <f>IFERROR(__xludf.DUMMYFUNCTION("""COMPUTED_VALUE"""),0.2916666666666667)</f>
        <v>0.2916666667</v>
      </c>
      <c r="I80" s="42">
        <f>IFERROR(__xludf.DUMMYFUNCTION("""COMPUTED_VALUE"""),0.29333333333333333)</f>
        <v>0.2933333333</v>
      </c>
      <c r="J80" s="30">
        <f>IFERROR(__xludf.DUMMYFUNCTION("""COMPUTED_VALUE"""),437.9166666666667)</f>
        <v>437.9166667</v>
      </c>
      <c r="K80" s="30">
        <f>IFERROR(__xludf.DUMMYFUNCTION("""COMPUTED_VALUE"""),0.9166666666666666)</f>
        <v>0.9166666667</v>
      </c>
      <c r="L80" s="30">
        <f>IFERROR(__xludf.DUMMYFUNCTION("""COMPUTED_VALUE"""),0.5833333333333334)</f>
        <v>0.5833333333</v>
      </c>
      <c r="M80" s="30">
        <f>IFERROR(__xludf.DUMMYFUNCTION("""COMPUTED_VALUE"""),1.6666666666666667)</f>
        <v>1.666666667</v>
      </c>
      <c r="N80" s="30">
        <f>IFERROR(__xludf.DUMMYFUNCTION("""COMPUTED_VALUE"""),3.125)</f>
        <v>3.125</v>
      </c>
      <c r="O80" s="30">
        <f>IFERROR(__xludf.DUMMYFUNCTION("""COMPUTED_VALUE"""),426.0555555555556)</f>
        <v>426.0555556</v>
      </c>
      <c r="P80" s="30">
        <f>IFERROR(__xludf.DUMMYFUNCTION("""COMPUTED_VALUE"""),1.125)</f>
        <v>1.125</v>
      </c>
      <c r="Q80" s="30">
        <f>IFERROR(__xludf.DUMMYFUNCTION("""COMPUTED_VALUE"""),0.7777777777777777)</f>
        <v>0.7777777778</v>
      </c>
      <c r="R80" s="30">
        <f>IFERROR(__xludf.DUMMYFUNCTION("""COMPUTED_VALUE"""),1.5833333333333333)</f>
        <v>1.583333333</v>
      </c>
      <c r="S80" s="30">
        <f>IFERROR(__xludf.DUMMYFUNCTION("""COMPUTED_VALUE"""),3.2083333333333326)</f>
        <v>3.208333333</v>
      </c>
      <c r="T80" s="30">
        <f>IFERROR(__xludf.DUMMYFUNCTION("""COMPUTED_VALUE"""),389.1800562202159)</f>
        <v>389.1800562</v>
      </c>
      <c r="U80" s="30">
        <f>IFERROR(__xludf.DUMMYFUNCTION("""COMPUTED_VALUE"""),0.9121737479191796)</f>
        <v>0.9121737479</v>
      </c>
      <c r="V80" s="30">
        <f>IFERROR(__xludf.DUMMYFUNCTION("""COMPUTED_VALUE"""),0.6731840353058322)</f>
        <v>0.6731840353</v>
      </c>
      <c r="W80" s="30">
        <f>IFERROR(__xludf.DUMMYFUNCTION("""COMPUTED_VALUE"""),1.457874597988751)</f>
        <v>1.457874598</v>
      </c>
      <c r="X80" s="30">
        <f>IFERROR(__xludf.DUMMYFUNCTION("""COMPUTED_VALUE"""),2.8870360105327495)</f>
        <v>2.887036011</v>
      </c>
      <c r="Y80" s="30">
        <f>IFERROR(__xludf.DUMMYFUNCTION("""COMPUTED_VALUE"""),384.7251943315396)</f>
        <v>384.7251943</v>
      </c>
      <c r="Z80" s="30">
        <f>IFERROR(__xludf.DUMMYFUNCTION("""COMPUTED_VALUE"""),0.8731643428972106)</f>
        <v>0.8731643429</v>
      </c>
      <c r="AA80" s="30">
        <f>IFERROR(__xludf.DUMMYFUNCTION("""COMPUTED_VALUE"""),0.6668671586139929)</f>
        <v>0.6668671586</v>
      </c>
      <c r="AB80" s="30">
        <f>IFERROR(__xludf.DUMMYFUNCTION("""COMPUTED_VALUE"""),1.4832325836039966)</f>
        <v>1.483232584</v>
      </c>
      <c r="AC80" s="30">
        <f>IFERROR(__xludf.DUMMYFUNCTION("""COMPUTED_VALUE"""),2.749445714325137)</f>
        <v>2.749445714</v>
      </c>
      <c r="AD80" s="30">
        <f>IFERROR(__xludf.DUMMYFUNCTION("""COMPUTED_VALUE"""),1.138258354583581)</f>
        <v>1.138258355</v>
      </c>
      <c r="AE80" s="30">
        <f>IFERROR(__xludf.DUMMYFUNCTION("""COMPUTED_VALUE"""),1.0498214615877612)</f>
        <v>1.049821462</v>
      </c>
      <c r="AF80" s="30">
        <f>IFERROR(__xludf.DUMMYFUNCTION("""COMPUTED_VALUE"""),0.8747369334332267)</f>
        <v>0.8747369334</v>
      </c>
      <c r="AG80" s="30">
        <f>IFERROR(__xludf.DUMMYFUNCTION("""COMPUTED_VALUE"""),1.1236718267184755)</f>
        <v>1.123671827</v>
      </c>
      <c r="AH80" s="30">
        <f>IFERROR(__xludf.DUMMYFUNCTION("""COMPUTED_VALUE"""),1.1365927262059234)</f>
        <v>1.136592726</v>
      </c>
      <c r="AI80" s="30">
        <f>IFERROR(__xludf.DUMMYFUNCTION("""COMPUTED_VALUE"""),1.094751770410542)</f>
        <v>1.09475177</v>
      </c>
      <c r="AJ80" s="30">
        <f>IFERROR(__xludf.DUMMYFUNCTION("""COMPUTED_VALUE"""),1.23331766844454)</f>
        <v>1.233317668</v>
      </c>
      <c r="AK80" s="30">
        <f>IFERROR(__xludf.DUMMYFUNCTION("""COMPUTED_VALUE"""),1.1553716918203918)</f>
        <v>1.155371692</v>
      </c>
      <c r="AL80" s="30">
        <f>IFERROR(__xludf.DUMMYFUNCTION("""COMPUTED_VALUE"""),1.0860559169613504)</f>
        <v>1.086055917</v>
      </c>
      <c r="AM80" s="30">
        <f>IFERROR(__xludf.DUMMYFUNCTION("""COMPUTED_VALUE"""),1.1112896831312102)</f>
        <v>1.111289683</v>
      </c>
      <c r="AN80" s="30">
        <f>IFERROR(__xludf.DUMMYFUNCTION("""COMPUTED_VALUE"""),1.1679562463957853)</f>
        <v>1.167956246</v>
      </c>
      <c r="AO80" s="30">
        <f>IFERROR(__xludf.DUMMYFUNCTION("""COMPUTED_VALUE"""),1.1104654957315838)</f>
        <v>1.110465496</v>
      </c>
      <c r="AP80" s="30">
        <f>IFERROR(__xludf.DUMMYFUNCTION("""COMPUTED_VALUE"""),0.8990237959215531)</f>
        <v>0.8990237959</v>
      </c>
      <c r="AQ80" s="30">
        <f>IFERROR(__xludf.DUMMYFUNCTION("""COMPUTED_VALUE"""),1.1471018895977294)</f>
        <v>1.14710189</v>
      </c>
      <c r="AR80" s="30">
        <f>IFERROR(__xludf.DUMMYFUNCTION("""COMPUTED_VALUE"""),1.1496376634230592)</f>
        <v>1.149637663</v>
      </c>
      <c r="AS80" s="30">
        <f>IFERROR(__xludf.DUMMYFUNCTION("""COMPUTED_VALUE"""),66.0)</f>
        <v>66</v>
      </c>
      <c r="AT80" s="30">
        <f>IFERROR(__xludf.DUMMYFUNCTION("""COMPUTED_VALUE"""),0.4147113349700193)</f>
        <v>0.414711335</v>
      </c>
      <c r="AU80" s="30">
        <f>IFERROR(__xludf.DUMMYFUNCTION("""COMPUTED_VALUE"""),3.2876756848564304)</f>
        <v>3.287675685</v>
      </c>
      <c r="AV80" s="32">
        <f>IFERROR(__xludf.DUMMYFUNCTION("""COMPUTED_VALUE"""),55.85039973906404)</f>
        <v>55.85039974</v>
      </c>
      <c r="AW80" s="32">
        <f>IFERROR(__xludf.DUMMYFUNCTION("""COMPUTED_VALUE"""),2.4540703391667744)</f>
        <v>2.454070339</v>
      </c>
      <c r="AX80" s="32">
        <f>IFERROR(__xludf.DUMMYFUNCTION("""COMPUTED_VALUE"""),48.10087021931261)</f>
        <v>48.10087022</v>
      </c>
      <c r="AY80" s="32">
        <f>IFERROR(__xludf.DUMMYFUNCTION("""COMPUTED_VALUE"""),-2.128912481306753)</f>
        <v>-2.128912481</v>
      </c>
      <c r="AZ80" s="30">
        <f>IFERROR(__xludf.DUMMYFUNCTION("""COMPUTED_VALUE"""),4.582982820473527)</f>
        <v>4.58298282</v>
      </c>
      <c r="BA80" s="30">
        <f>IFERROR(__xludf.DUMMYFUNCTION("""COMPUTED_VALUE"""),450.0)</f>
        <v>450</v>
      </c>
    </row>
    <row r="81">
      <c r="A81" s="30" t="str">
        <f>IFERROR(__xludf.DUMMYFUNCTION("""COMPUTED_VALUE"""),"Master")</f>
        <v>Master</v>
      </c>
      <c r="B81" s="30" t="str">
        <f>IFERROR(__xludf.DUMMYFUNCTION("""COMPUTED_VALUE"""),"RSC007565")</f>
        <v>RSC007565</v>
      </c>
      <c r="C81" s="30" t="str">
        <f>IFERROR(__xludf.DUMMYFUNCTION("""COMPUTED_VALUE"""),"AcX")</f>
        <v>AcX</v>
      </c>
      <c r="D81" s="30" t="str">
        <f>IFERROR(__xludf.DUMMYFUNCTION("""COMPUTED_VALUE"""),"Care Bears")</f>
        <v>Care Bears</v>
      </c>
      <c r="E81" s="30">
        <f>IFERROR(__xludf.DUMMYFUNCTION("""COMPUTED_VALUE"""),39.0)</f>
        <v>39</v>
      </c>
      <c r="F81" s="30">
        <f>IFERROR(__xludf.DUMMYFUNCTION("""COMPUTED_VALUE"""),18.0)</f>
        <v>18</v>
      </c>
      <c r="G81" s="30">
        <f>IFERROR(__xludf.DUMMYFUNCTION("""COMPUTED_VALUE"""),21.0)</f>
        <v>21</v>
      </c>
      <c r="H81" s="42">
        <f>IFERROR(__xludf.DUMMYFUNCTION("""COMPUTED_VALUE"""),0.46153846153846156)</f>
        <v>0.4615384615</v>
      </c>
      <c r="I81" s="42">
        <f>IFERROR(__xludf.DUMMYFUNCTION("""COMPUTED_VALUE"""),0.3097345132743363)</f>
        <v>0.3097345133</v>
      </c>
      <c r="J81" s="30">
        <f>IFERROR(__xludf.DUMMYFUNCTION("""COMPUTED_VALUE"""),391.4102564102564)</f>
        <v>391.4102564</v>
      </c>
      <c r="K81" s="30">
        <f>IFERROR(__xludf.DUMMYFUNCTION("""COMPUTED_VALUE"""),0.8974358974358975)</f>
        <v>0.8974358974</v>
      </c>
      <c r="L81" s="30">
        <f>IFERROR(__xludf.DUMMYFUNCTION("""COMPUTED_VALUE"""),0.5897435897435898)</f>
        <v>0.5897435897</v>
      </c>
      <c r="M81" s="30">
        <f>IFERROR(__xludf.DUMMYFUNCTION("""COMPUTED_VALUE"""),1.5384615384615385)</f>
        <v>1.538461538</v>
      </c>
      <c r="N81" s="30">
        <f>IFERROR(__xludf.DUMMYFUNCTION("""COMPUTED_VALUE"""),2.8974358974358974)</f>
        <v>2.897435897</v>
      </c>
      <c r="O81" s="30">
        <f>IFERROR(__xludf.DUMMYFUNCTION("""COMPUTED_VALUE"""),381.1709401709401)</f>
        <v>381.1709402</v>
      </c>
      <c r="P81" s="30">
        <f>IFERROR(__xludf.DUMMYFUNCTION("""COMPUTED_VALUE"""),0.8974358974358972)</f>
        <v>0.8974358974</v>
      </c>
      <c r="Q81" s="30">
        <f>IFERROR(__xludf.DUMMYFUNCTION("""COMPUTED_VALUE"""),0.6837606837606837)</f>
        <v>0.6837606838</v>
      </c>
      <c r="R81" s="30">
        <f>IFERROR(__xludf.DUMMYFUNCTION("""COMPUTED_VALUE"""),1.452991452991453)</f>
        <v>1.452991453</v>
      </c>
      <c r="S81" s="30">
        <f>IFERROR(__xludf.DUMMYFUNCTION("""COMPUTED_VALUE"""),2.8205128205128207)</f>
        <v>2.820512821</v>
      </c>
      <c r="T81" s="30">
        <f>IFERROR(__xludf.DUMMYFUNCTION("""COMPUTED_VALUE"""),398.4258088433803)</f>
        <v>398.4258088</v>
      </c>
      <c r="U81" s="30">
        <f>IFERROR(__xludf.DUMMYFUNCTION("""COMPUTED_VALUE"""),0.9430960311382811)</f>
        <v>0.9430960311</v>
      </c>
      <c r="V81" s="30">
        <f>IFERROR(__xludf.DUMMYFUNCTION("""COMPUTED_VALUE"""),0.7155899828562341)</f>
        <v>0.7155899829</v>
      </c>
      <c r="W81" s="30">
        <f>IFERROR(__xludf.DUMMYFUNCTION("""COMPUTED_VALUE"""),1.4734179119013624)</f>
        <v>1.473417912</v>
      </c>
      <c r="X81" s="30">
        <f>IFERROR(__xludf.DUMMYFUNCTION("""COMPUTED_VALUE"""),2.9095405914139687)</f>
        <v>2.909540591</v>
      </c>
      <c r="Y81" s="30">
        <f>IFERROR(__xludf.DUMMYFUNCTION("""COMPUTED_VALUE"""),381.5080429697136)</f>
        <v>381.508043</v>
      </c>
      <c r="Z81" s="30">
        <f>IFERROR(__xludf.DUMMYFUNCTION("""COMPUTED_VALUE"""),0.8513217920705765)</f>
        <v>0.8513217921</v>
      </c>
      <c r="AA81" s="30">
        <f>IFERROR(__xludf.DUMMYFUNCTION("""COMPUTED_VALUE"""),0.6402223466777576)</f>
        <v>0.6402223467</v>
      </c>
      <c r="AB81" s="30">
        <f>IFERROR(__xludf.DUMMYFUNCTION("""COMPUTED_VALUE"""),1.4886407568966509)</f>
        <v>1.488640757</v>
      </c>
      <c r="AC81" s="30">
        <f>IFERROR(__xludf.DUMMYFUNCTION("""COMPUTED_VALUE"""),2.752054562486589)</f>
        <v>2.752054562</v>
      </c>
      <c r="AD81" s="30">
        <f>IFERROR(__xludf.DUMMYFUNCTION("""COMPUTED_VALUE"""),1.025955451328005)</f>
        <v>1.025955451</v>
      </c>
      <c r="AE81" s="30">
        <f>IFERROR(__xludf.DUMMYFUNCTION("""COMPUTED_VALUE"""),1.054167655280106)</f>
        <v>1.054167655</v>
      </c>
      <c r="AF81" s="30">
        <f>IFERROR(__xludf.DUMMYFUNCTION("""COMPUTED_VALUE"""),0.921154334589987)</f>
        <v>0.9211543346</v>
      </c>
      <c r="AG81" s="30">
        <f>IFERROR(__xludf.DUMMYFUNCTION("""COMPUTED_VALUE"""),1.0334672964810854)</f>
        <v>1.033467296</v>
      </c>
      <c r="AH81" s="30">
        <f>IFERROR(__xludf.DUMMYFUNCTION("""COMPUTED_VALUE"""),1.052826472603781)</f>
        <v>1.052826473</v>
      </c>
      <c r="AI81" s="30">
        <f>IFERROR(__xludf.DUMMYFUNCTION("""COMPUTED_VALUE"""),0.9566923921858109)</f>
        <v>0.9566923922</v>
      </c>
      <c r="AJ81" s="30">
        <f>IFERROR(__xludf.DUMMYFUNCTION("""COMPUTED_VALUE"""),0.9515848522368673)</f>
        <v>0.9515848522</v>
      </c>
      <c r="AK81" s="30">
        <f>IFERROR(__xludf.DUMMYFUNCTION("""COMPUTED_VALUE"""),0.9555202003128863)</f>
        <v>0.9555202003</v>
      </c>
      <c r="AL81" s="30">
        <f>IFERROR(__xludf.DUMMYFUNCTION("""COMPUTED_VALUE"""),0.9861366834589718)</f>
        <v>0.9861366835</v>
      </c>
      <c r="AM81" s="30">
        <f>IFERROR(__xludf.DUMMYFUNCTION("""COMPUTED_VALUE"""),0.9694014336270584)</f>
        <v>0.9694014336</v>
      </c>
      <c r="AN81" s="30">
        <f>IFERROR(__xludf.DUMMYFUNCTION("""COMPUTED_VALUE"""),1.043920199149918)</f>
        <v>1.043920199</v>
      </c>
      <c r="AO81" s="30">
        <f>IFERROR(__xludf.DUMMYFUNCTION("""COMPUTED_VALUE"""),1.0871690168001522)</f>
        <v>1.087169017</v>
      </c>
      <c r="AP81" s="30">
        <f>IFERROR(__xludf.DUMMYFUNCTION("""COMPUTED_VALUE"""),0.9089031782943174)</f>
        <v>0.9089031783</v>
      </c>
      <c r="AQ81" s="30">
        <f>IFERROR(__xludf.DUMMYFUNCTION("""COMPUTED_VALUE"""),1.0588632827055964)</f>
        <v>1.058863283</v>
      </c>
      <c r="AR81" s="30">
        <f>IFERROR(__xludf.DUMMYFUNCTION("""COMPUTED_VALUE"""),1.0659204592148157)</f>
        <v>1.065920459</v>
      </c>
      <c r="AS81" s="30">
        <f>IFERROR(__xludf.DUMMYFUNCTION("""COMPUTED_VALUE"""),101.0)</f>
        <v>101</v>
      </c>
      <c r="AT81" s="30">
        <f>IFERROR(__xludf.DUMMYFUNCTION("""COMPUTED_VALUE"""),0.4843498023165188)</f>
        <v>0.4843498023</v>
      </c>
      <c r="AU81" s="30">
        <f>IFERROR(__xludf.DUMMYFUNCTION("""COMPUTED_VALUE"""),3.315371380321394)</f>
        <v>3.31537138</v>
      </c>
      <c r="AV81" s="32">
        <f>IFERROR(__xludf.DUMMYFUNCTION("""COMPUTED_VALUE"""),56.58883253835208)</f>
        <v>56.58883254</v>
      </c>
      <c r="AW81" s="32">
        <f>IFERROR(__xludf.DUMMYFUNCTION("""COMPUTED_VALUE"""),2.524856752500731)</f>
        <v>2.524856753</v>
      </c>
      <c r="AX81" s="32">
        <f>IFERROR(__xludf.DUMMYFUNCTION("""COMPUTED_VALUE"""),49.24137070571545)</f>
        <v>49.24137071</v>
      </c>
      <c r="AY81" s="32">
        <f>IFERROR(__xludf.DUMMYFUNCTION("""COMPUTED_VALUE"""),-2.049617611936879)</f>
        <v>-2.049617612</v>
      </c>
      <c r="AZ81" s="30">
        <f>IFERROR(__xludf.DUMMYFUNCTION("""COMPUTED_VALUE"""),4.574474364437609)</f>
        <v>4.574474364</v>
      </c>
      <c r="BA81" s="30">
        <f>IFERROR(__xludf.DUMMYFUNCTION("""COMPUTED_VALUE"""),450.0)</f>
        <v>450</v>
      </c>
    </row>
    <row r="82">
      <c r="A82" s="30" t="str">
        <f>IFERROR(__xludf.DUMMYFUNCTION("""COMPUTED_VALUE"""),"Master")</f>
        <v>Master</v>
      </c>
      <c r="B82" s="30" t="str">
        <f>IFERROR(__xludf.DUMMYFUNCTION("""COMPUTED_VALUE"""),"RSC002888")</f>
        <v>RSC002888</v>
      </c>
      <c r="C82" s="30" t="str">
        <f>IFERROR(__xludf.DUMMYFUNCTION("""COMPUTED_VALUE"""),"kri0s")</f>
        <v>kri0s</v>
      </c>
      <c r="D82" s="30" t="str">
        <f>IFERROR(__xludf.DUMMYFUNCTION("""COMPUTED_VALUE"""),"Basilisks")</f>
        <v>Basilisks</v>
      </c>
      <c r="E82" s="30">
        <f>IFERROR(__xludf.DUMMYFUNCTION("""COMPUTED_VALUE"""),45.0)</f>
        <v>45</v>
      </c>
      <c r="F82" s="30">
        <f>IFERROR(__xludf.DUMMYFUNCTION("""COMPUTED_VALUE"""),27.0)</f>
        <v>27</v>
      </c>
      <c r="G82" s="30">
        <f>IFERROR(__xludf.DUMMYFUNCTION("""COMPUTED_VALUE"""),18.0)</f>
        <v>18</v>
      </c>
      <c r="H82" s="42">
        <f>IFERROR(__xludf.DUMMYFUNCTION("""COMPUTED_VALUE"""),0.6)</f>
        <v>0.6</v>
      </c>
      <c r="I82" s="42">
        <f>IFERROR(__xludf.DUMMYFUNCTION("""COMPUTED_VALUE"""),0.2920353982300885)</f>
        <v>0.2920353982</v>
      </c>
      <c r="J82" s="30">
        <f>IFERROR(__xludf.DUMMYFUNCTION("""COMPUTED_VALUE"""),383.9555555555556)</f>
        <v>383.9555556</v>
      </c>
      <c r="K82" s="30">
        <f>IFERROR(__xludf.DUMMYFUNCTION("""COMPUTED_VALUE"""),0.7333333333333333)</f>
        <v>0.7333333333</v>
      </c>
      <c r="L82" s="30">
        <f>IFERROR(__xludf.DUMMYFUNCTION("""COMPUTED_VALUE"""),0.7555555555555555)</f>
        <v>0.7555555556</v>
      </c>
      <c r="M82" s="30">
        <f>IFERROR(__xludf.DUMMYFUNCTION("""COMPUTED_VALUE"""),1.6666666666666667)</f>
        <v>1.666666667</v>
      </c>
      <c r="N82" s="30">
        <f>IFERROR(__xludf.DUMMYFUNCTION("""COMPUTED_VALUE"""),2.511111111111111)</f>
        <v>2.511111111</v>
      </c>
      <c r="O82" s="30">
        <f>IFERROR(__xludf.DUMMYFUNCTION("""COMPUTED_VALUE"""),364.08148148148143)</f>
        <v>364.0814815</v>
      </c>
      <c r="P82" s="30">
        <f>IFERROR(__xludf.DUMMYFUNCTION("""COMPUTED_VALUE"""),0.7703703703703705)</f>
        <v>0.7703703704</v>
      </c>
      <c r="Q82" s="30">
        <f>IFERROR(__xludf.DUMMYFUNCTION("""COMPUTED_VALUE"""),0.651851851851852)</f>
        <v>0.6518518519</v>
      </c>
      <c r="R82" s="30">
        <f>IFERROR(__xludf.DUMMYFUNCTION("""COMPUTED_VALUE"""),1.3555555555555556)</f>
        <v>1.355555556</v>
      </c>
      <c r="S82" s="30">
        <f>IFERROR(__xludf.DUMMYFUNCTION("""COMPUTED_VALUE"""),3.0814814814814806)</f>
        <v>3.081481481</v>
      </c>
      <c r="T82" s="30">
        <f>IFERROR(__xludf.DUMMYFUNCTION("""COMPUTED_VALUE"""),386.4548090443846)</f>
        <v>386.454809</v>
      </c>
      <c r="U82" s="30">
        <f>IFERROR(__xludf.DUMMYFUNCTION("""COMPUTED_VALUE"""),0.8692580940556996)</f>
        <v>0.8692580941</v>
      </c>
      <c r="V82" s="30">
        <f>IFERROR(__xludf.DUMMYFUNCTION("""COMPUTED_VALUE"""),0.675347808377584)</f>
        <v>0.6753478084</v>
      </c>
      <c r="W82" s="30">
        <f>IFERROR(__xludf.DUMMYFUNCTION("""COMPUTED_VALUE"""),1.4958591072202156)</f>
        <v>1.495859107</v>
      </c>
      <c r="X82" s="30">
        <f>IFERROR(__xludf.DUMMYFUNCTION("""COMPUTED_VALUE"""),2.8602613701887614)</f>
        <v>2.86026137</v>
      </c>
      <c r="Y82" s="30">
        <f>IFERROR(__xludf.DUMMYFUNCTION("""COMPUTED_VALUE"""),391.63239295971437)</f>
        <v>391.632393</v>
      </c>
      <c r="Z82" s="30">
        <f>IFERROR(__xludf.DUMMYFUNCTION("""COMPUTED_VALUE"""),0.895970135524459)</f>
        <v>0.8959701355</v>
      </c>
      <c r="AA82" s="30">
        <f>IFERROR(__xludf.DUMMYFUNCTION("""COMPUTED_VALUE"""),0.6807959313467655)</f>
        <v>0.6807959313</v>
      </c>
      <c r="AB82" s="30">
        <f>IFERROR(__xludf.DUMMYFUNCTION("""COMPUTED_VALUE"""),1.5133699054088223)</f>
        <v>1.513369905</v>
      </c>
      <c r="AC82" s="30">
        <f>IFERROR(__xludf.DUMMYFUNCTION("""COMPUTED_VALUE"""),2.8578782134931373)</f>
        <v>2.857878213</v>
      </c>
      <c r="AD82" s="30">
        <f>IFERROR(__xludf.DUMMYFUNCTION("""COMPUTED_VALUE"""),0.9803978487424342)</f>
        <v>0.9803978487</v>
      </c>
      <c r="AE82" s="30">
        <f>IFERROR(__xludf.DUMMYFUNCTION("""COMPUTED_VALUE"""),0.8184796616062144)</f>
        <v>0.8184796616</v>
      </c>
      <c r="AF82" s="30">
        <f>IFERROR(__xludf.DUMMYFUNCTION("""COMPUTED_VALUE"""),1.1098120901822943)</f>
        <v>1.10981209</v>
      </c>
      <c r="AG82" s="30">
        <f>IFERROR(__xludf.DUMMYFUNCTION("""COMPUTED_VALUE"""),1.1012949713813907)</f>
        <v>1.101294971</v>
      </c>
      <c r="AH82" s="30">
        <f>IFERROR(__xludf.DUMMYFUNCTION("""COMPUTED_VALUE"""),0.8786627433090725)</f>
        <v>0.8786627433</v>
      </c>
      <c r="AI82" s="30">
        <f>IFERROR(__xludf.DUMMYFUNCTION("""COMPUTED_VALUE"""),0.9421062255164392)</f>
        <v>0.9421062255</v>
      </c>
      <c r="AJ82" s="30">
        <f>IFERROR(__xludf.DUMMYFUNCTION("""COMPUTED_VALUE"""),0.8862389382836248)</f>
        <v>0.8862389383</v>
      </c>
      <c r="AK82" s="30">
        <f>IFERROR(__xludf.DUMMYFUNCTION("""COMPUTED_VALUE"""),0.9652091022814195)</f>
        <v>0.9652091023</v>
      </c>
      <c r="AL82" s="30">
        <f>IFERROR(__xludf.DUMMYFUNCTION("""COMPUTED_VALUE"""),0.9062053698858117)</f>
        <v>0.9062053699</v>
      </c>
      <c r="AM82" s="30">
        <f>IFERROR(__xludf.DUMMYFUNCTION("""COMPUTED_VALUE"""),1.0773426210619765)</f>
        <v>1.077342621</v>
      </c>
      <c r="AN82" s="30">
        <f>IFERROR(__xludf.DUMMYFUNCTION("""COMPUTED_VALUE"""),1.0240379587809136)</f>
        <v>1.024037959</v>
      </c>
      <c r="AO82" s="30">
        <f>IFERROR(__xludf.DUMMYFUNCTION("""COMPUTED_VALUE"""),0.888372396585267)</f>
        <v>0.8883723966</v>
      </c>
      <c r="AP82" s="30">
        <f>IFERROR(__xludf.DUMMYFUNCTION("""COMPUTED_VALUE"""),1.1644498690031544)</f>
        <v>1.164449869</v>
      </c>
      <c r="AQ82" s="30">
        <f>IFERROR(__xludf.DUMMYFUNCTION("""COMPUTED_VALUE"""),1.1471018895977294)</f>
        <v>1.14710189</v>
      </c>
      <c r="AR82" s="30">
        <f>IFERROR(__xludf.DUMMYFUNCTION("""COMPUTED_VALUE"""),0.923797731319507)</f>
        <v>0.9237977313</v>
      </c>
      <c r="AS82" s="30">
        <f>IFERROR(__xludf.DUMMYFUNCTION("""COMPUTED_VALUE"""),126.0)</f>
        <v>126</v>
      </c>
      <c r="AT82" s="30">
        <f>IFERROR(__xludf.DUMMYFUNCTION("""COMPUTED_VALUE"""),0.5760252138628539)</f>
        <v>0.5760252139</v>
      </c>
      <c r="AU82" s="30">
        <f>IFERROR(__xludf.DUMMYFUNCTION("""COMPUTED_VALUE"""),3.116413218582775)</f>
        <v>3.116413219</v>
      </c>
      <c r="AV82" s="32">
        <f>IFERROR(__xludf.DUMMYFUNCTION("""COMPUTED_VALUE"""),51.28413699460922)</f>
        <v>51.28413699</v>
      </c>
      <c r="AW82" s="32">
        <f>IFERROR(__xludf.DUMMYFUNCTION("""COMPUTED_VALUE"""),2.085431165023039)</f>
        <v>2.085431165</v>
      </c>
      <c r="AX82" s="32">
        <f>IFERROR(__xludf.DUMMYFUNCTION("""COMPUTED_VALUE"""),43.911671039872516)</f>
        <v>43.91167104</v>
      </c>
      <c r="AY82" s="32">
        <f>IFERROR(__xludf.DUMMYFUNCTION("""COMPUTED_VALUE"""),-2.476496802589007)</f>
        <v>-2.476496803</v>
      </c>
      <c r="AZ82" s="30">
        <f>IFERROR(__xludf.DUMMYFUNCTION("""COMPUTED_VALUE"""),4.561927967612046)</f>
        <v>4.561927968</v>
      </c>
      <c r="BA82" s="30">
        <f>IFERROR(__xludf.DUMMYFUNCTION("""COMPUTED_VALUE"""),450.0)</f>
        <v>450</v>
      </c>
    </row>
    <row r="83">
      <c r="A83" s="30" t="str">
        <f>IFERROR(__xludf.DUMMYFUNCTION("""COMPUTED_VALUE"""),"Master")</f>
        <v>Master</v>
      </c>
      <c r="B83" s="30" t="str">
        <f>IFERROR(__xludf.DUMMYFUNCTION("""COMPUTED_VALUE"""),"RSC002944")</f>
        <v>RSC002944</v>
      </c>
      <c r="C83" s="30" t="str">
        <f>IFERROR(__xludf.DUMMYFUNCTION("""COMPUTED_VALUE"""),"PayloSoul")</f>
        <v>PayloSoul</v>
      </c>
      <c r="D83" s="30"/>
      <c r="E83" s="30">
        <f>IFERROR(__xludf.DUMMYFUNCTION("""COMPUTED_VALUE"""),26.0)</f>
        <v>26</v>
      </c>
      <c r="F83" s="30">
        <f>IFERROR(__xludf.DUMMYFUNCTION("""COMPUTED_VALUE"""),7.0)</f>
        <v>7</v>
      </c>
      <c r="G83" s="30">
        <f>IFERROR(__xludf.DUMMYFUNCTION("""COMPUTED_VALUE"""),19.0)</f>
        <v>19</v>
      </c>
      <c r="H83" s="42">
        <f>IFERROR(__xludf.DUMMYFUNCTION("""COMPUTED_VALUE"""),0.2692307692307692)</f>
        <v>0.2692307692</v>
      </c>
      <c r="I83" s="42">
        <f>IFERROR(__xludf.DUMMYFUNCTION("""COMPUTED_VALUE"""),0.30136986301369867)</f>
        <v>0.301369863</v>
      </c>
      <c r="J83" s="30">
        <f>IFERROR(__xludf.DUMMYFUNCTION("""COMPUTED_VALUE"""),394.38461538461536)</f>
        <v>394.3846154</v>
      </c>
      <c r="K83" s="30">
        <f>IFERROR(__xludf.DUMMYFUNCTION("""COMPUTED_VALUE"""),0.8461538461538461)</f>
        <v>0.8461538462</v>
      </c>
      <c r="L83" s="30">
        <f>IFERROR(__xludf.DUMMYFUNCTION("""COMPUTED_VALUE"""),0.6538461538461539)</f>
        <v>0.6538461538</v>
      </c>
      <c r="M83" s="30">
        <f>IFERROR(__xludf.DUMMYFUNCTION("""COMPUTED_VALUE"""),1.6538461538461537)</f>
        <v>1.653846154</v>
      </c>
      <c r="N83" s="30">
        <f>IFERROR(__xludf.DUMMYFUNCTION("""COMPUTED_VALUE"""),2.8076923076923075)</f>
        <v>2.807692308</v>
      </c>
      <c r="O83" s="30">
        <f>IFERROR(__xludf.DUMMYFUNCTION("""COMPUTED_VALUE"""),426.8461538461539)</f>
        <v>426.8461538</v>
      </c>
      <c r="P83" s="30">
        <f>IFERROR(__xludf.DUMMYFUNCTION("""COMPUTED_VALUE"""),1.128205128205128)</f>
        <v>1.128205128</v>
      </c>
      <c r="Q83" s="30">
        <f>IFERROR(__xludf.DUMMYFUNCTION("""COMPUTED_VALUE"""),0.8717948717948718)</f>
        <v>0.8717948718</v>
      </c>
      <c r="R83" s="30">
        <f>IFERROR(__xludf.DUMMYFUNCTION("""COMPUTED_VALUE"""),1.4871794871794868)</f>
        <v>1.487179487</v>
      </c>
      <c r="S83" s="30">
        <f>IFERROR(__xludf.DUMMYFUNCTION("""COMPUTED_VALUE"""),3.2179487179487176)</f>
        <v>3.217948718</v>
      </c>
      <c r="T83" s="30">
        <f>IFERROR(__xludf.DUMMYFUNCTION("""COMPUTED_VALUE"""),396.62371044516027)</f>
        <v>396.6237104</v>
      </c>
      <c r="U83" s="30">
        <f>IFERROR(__xludf.DUMMYFUNCTION("""COMPUTED_VALUE"""),0.927591532935119)</f>
        <v>0.9275915329</v>
      </c>
      <c r="V83" s="30">
        <f>IFERROR(__xludf.DUMMYFUNCTION("""COMPUTED_VALUE"""),0.6917781777899114)</f>
        <v>0.6917781778</v>
      </c>
      <c r="W83" s="30">
        <f>IFERROR(__xludf.DUMMYFUNCTION("""COMPUTED_VALUE"""),1.4608915794245616)</f>
        <v>1.460891579</v>
      </c>
      <c r="X83" s="30">
        <f>IFERROR(__xludf.DUMMYFUNCTION("""COMPUTED_VALUE"""),2.960825923027729)</f>
        <v>2.960825923</v>
      </c>
      <c r="Y83" s="30">
        <f>IFERROR(__xludf.DUMMYFUNCTION("""COMPUTED_VALUE"""),378.3868720563323)</f>
        <v>378.3868721</v>
      </c>
      <c r="Z83" s="30">
        <f>IFERROR(__xludf.DUMMYFUNCTION("""COMPUTED_VALUE"""),0.8269008051435319)</f>
        <v>0.8269008051</v>
      </c>
      <c r="AA83" s="30">
        <f>IFERROR(__xludf.DUMMYFUNCTION("""COMPUTED_VALUE"""),0.6257797853413324)</f>
        <v>0.6257797853</v>
      </c>
      <c r="AB83" s="30">
        <f>IFERROR(__xludf.DUMMYFUNCTION("""COMPUTED_VALUE"""),1.5165207901258198)</f>
        <v>1.51652079</v>
      </c>
      <c r="AC83" s="30">
        <f>IFERROR(__xludf.DUMMYFUNCTION("""COMPUTED_VALUE"""),2.703592159307246)</f>
        <v>2.703592159</v>
      </c>
      <c r="AD83" s="30">
        <f>IFERROR(__xludf.DUMMYFUNCTION("""COMPUTED_VALUE"""),1.0422788011680844)</f>
        <v>1.042278801</v>
      </c>
      <c r="AE83" s="30">
        <f>IFERROR(__xludf.DUMMYFUNCTION("""COMPUTED_VALUE"""),1.0232833743667384)</f>
        <v>1.023283374</v>
      </c>
      <c r="AF83" s="30">
        <f>IFERROR(__xludf.DUMMYFUNCTION("""COMPUTED_VALUE"""),1.044850231922261)</f>
        <v>1.044850232</v>
      </c>
      <c r="AG83" s="30">
        <f>IFERROR(__xludf.DUMMYFUNCTION("""COMPUTED_VALUE"""),1.090552905449414)</f>
        <v>1.090552905</v>
      </c>
      <c r="AH83" s="30">
        <f>IFERROR(__xludf.DUMMYFUNCTION("""COMPUTED_VALUE"""),1.0385043831506509)</f>
        <v>1.038504383</v>
      </c>
      <c r="AI83" s="30">
        <f>IFERROR(__xludf.DUMMYFUNCTION("""COMPUTED_VALUE"""),1.0761992856329057)</f>
        <v>1.076199286</v>
      </c>
      <c r="AJ83" s="30">
        <f>IFERROR(__xludf.DUMMYFUNCTION("""COMPUTED_VALUE"""),1.2162736378535282)</f>
        <v>1.216273638</v>
      </c>
      <c r="AK83" s="30">
        <f>IFERROR(__xludf.DUMMYFUNCTION("""COMPUTED_VALUE"""),1.2602231463560714)</f>
        <v>1.260223146</v>
      </c>
      <c r="AL83" s="30">
        <f>IFERROR(__xludf.DUMMYFUNCTION("""COMPUTED_VALUE"""),1.0179944275983026)</f>
        <v>1.017994428</v>
      </c>
      <c r="AM83" s="30">
        <f>IFERROR(__xludf.DUMMYFUNCTION("""COMPUTED_VALUE"""),1.0868415778588076)</f>
        <v>1.086841578</v>
      </c>
      <c r="AN83" s="30">
        <f>IFERROR(__xludf.DUMMYFUNCTION("""COMPUTED_VALUE"""),1.0518530352522035)</f>
        <v>1.051853035</v>
      </c>
      <c r="AO83" s="30">
        <f>IFERROR(__xludf.DUMMYFUNCTION("""COMPUTED_VALUE"""),1.0250450729830005)</f>
        <v>1.025045073</v>
      </c>
      <c r="AP83" s="30">
        <f>IFERROR(__xludf.DUMMYFUNCTION("""COMPUTED_VALUE"""),1.0076970020219607)</f>
        <v>1.007697002</v>
      </c>
      <c r="AQ83" s="30">
        <f>IFERROR(__xludf.DUMMYFUNCTION("""COMPUTED_VALUE"""),1.1382780289085161)</f>
        <v>1.138278029</v>
      </c>
      <c r="AR83" s="30">
        <f>IFERROR(__xludf.DUMMYFUNCTION("""COMPUTED_VALUE"""),1.03290522375241)</f>
        <v>1.032905224</v>
      </c>
      <c r="AS83" s="30">
        <f>IFERROR(__xludf.DUMMYFUNCTION("""COMPUTED_VALUE"""),62.0)</f>
        <v>62</v>
      </c>
      <c r="AT83" s="30">
        <f>IFERROR(__xludf.DUMMYFUNCTION("""COMPUTED_VALUE"""),0.3591377365275556)</f>
        <v>0.3591377365</v>
      </c>
      <c r="AU83" s="30">
        <f>IFERROR(__xludf.DUMMYFUNCTION("""COMPUTED_VALUE"""),3.1351090506776487)</f>
        <v>3.135109051</v>
      </c>
      <c r="AV83" s="32">
        <f>IFERROR(__xludf.DUMMYFUNCTION("""COMPUTED_VALUE"""),51.78261213296787)</f>
        <v>51.78261213</v>
      </c>
      <c r="AW83" s="32">
        <f>IFERROR(__xludf.DUMMYFUNCTION("""COMPUTED_VALUE"""),2.1205412658609966)</f>
        <v>2.120541266</v>
      </c>
      <c r="AX83" s="32">
        <f>IFERROR(__xludf.DUMMYFUNCTION("""COMPUTED_VALUE"""),45.69224418103669)</f>
        <v>45.69224418</v>
      </c>
      <c r="AY83" s="32">
        <f>IFERROR(__xludf.DUMMYFUNCTION("""COMPUTED_VALUE"""),-2.3169772193598646)</f>
        <v>-2.316977219</v>
      </c>
      <c r="AZ83" s="30">
        <f>IFERROR(__xludf.DUMMYFUNCTION("""COMPUTED_VALUE"""),4.437518485220862)</f>
        <v>4.437518485</v>
      </c>
      <c r="BA83" s="30">
        <f>IFERROR(__xludf.DUMMYFUNCTION("""COMPUTED_VALUE"""),450.0)</f>
        <v>450</v>
      </c>
    </row>
    <row r="84">
      <c r="A84" s="30" t="str">
        <f>IFERROR(__xludf.DUMMYFUNCTION("""COMPUTED_VALUE"""),"Master")</f>
        <v>Master</v>
      </c>
      <c r="B84" s="30" t="str">
        <f>IFERROR(__xludf.DUMMYFUNCTION("""COMPUTED_VALUE"""),"RSC006405")</f>
        <v>RSC006405</v>
      </c>
      <c r="C84" s="30" t="str">
        <f>IFERROR(__xludf.DUMMYFUNCTION("""COMPUTED_VALUE"""),"Lil Panda")</f>
        <v>Lil Panda</v>
      </c>
      <c r="D84" s="30" t="str">
        <f>IFERROR(__xludf.DUMMYFUNCTION("""COMPUTED_VALUE"""),"Helicoprions")</f>
        <v>Helicoprions</v>
      </c>
      <c r="E84" s="30">
        <f>IFERROR(__xludf.DUMMYFUNCTION("""COMPUTED_VALUE"""),45.0)</f>
        <v>45</v>
      </c>
      <c r="F84" s="30">
        <f>IFERROR(__xludf.DUMMYFUNCTION("""COMPUTED_VALUE"""),29.0)</f>
        <v>29</v>
      </c>
      <c r="G84" s="30">
        <f>IFERROR(__xludf.DUMMYFUNCTION("""COMPUTED_VALUE"""),16.0)</f>
        <v>16</v>
      </c>
      <c r="H84" s="42">
        <f>IFERROR(__xludf.DUMMYFUNCTION("""COMPUTED_VALUE"""),0.6444444444444445)</f>
        <v>0.6444444444</v>
      </c>
      <c r="I84" s="42">
        <f>IFERROR(__xludf.DUMMYFUNCTION("""COMPUTED_VALUE"""),0.39639639639639634)</f>
        <v>0.3963963964</v>
      </c>
      <c r="J84" s="30">
        <f>IFERROR(__xludf.DUMMYFUNCTION("""COMPUTED_VALUE"""),382.24444444444447)</f>
        <v>382.2444444</v>
      </c>
      <c r="K84" s="30">
        <f>IFERROR(__xludf.DUMMYFUNCTION("""COMPUTED_VALUE"""),0.9777777777777777)</f>
        <v>0.9777777778</v>
      </c>
      <c r="L84" s="30">
        <f>IFERROR(__xludf.DUMMYFUNCTION("""COMPUTED_VALUE"""),0.6)</f>
        <v>0.6</v>
      </c>
      <c r="M84" s="30">
        <f>IFERROR(__xludf.DUMMYFUNCTION("""COMPUTED_VALUE"""),1.3111111111111111)</f>
        <v>1.311111111</v>
      </c>
      <c r="N84" s="30">
        <f>IFERROR(__xludf.DUMMYFUNCTION("""COMPUTED_VALUE"""),2.466666666666667)</f>
        <v>2.466666667</v>
      </c>
      <c r="O84" s="30">
        <f>IFERROR(__xludf.DUMMYFUNCTION("""COMPUTED_VALUE"""),372.75555555555553)</f>
        <v>372.7555556</v>
      </c>
      <c r="P84" s="30">
        <f>IFERROR(__xludf.DUMMYFUNCTION("""COMPUTED_VALUE"""),0.7259259259259259)</f>
        <v>0.7259259259</v>
      </c>
      <c r="Q84" s="30">
        <f>IFERROR(__xludf.DUMMYFUNCTION("""COMPUTED_VALUE"""),0.5407407407407407)</f>
        <v>0.5407407407</v>
      </c>
      <c r="R84" s="30">
        <f>IFERROR(__xludf.DUMMYFUNCTION("""COMPUTED_VALUE"""),1.585185185185185)</f>
        <v>1.585185185</v>
      </c>
      <c r="S84" s="30">
        <f>IFERROR(__xludf.DUMMYFUNCTION("""COMPUTED_VALUE"""),2.607407407407408)</f>
        <v>2.607407407</v>
      </c>
      <c r="T84" s="30">
        <f>IFERROR(__xludf.DUMMYFUNCTION("""COMPUTED_VALUE"""),379.8463118215373)</f>
        <v>379.8463118</v>
      </c>
      <c r="U84" s="30">
        <f>IFERROR(__xludf.DUMMYFUNCTION("""COMPUTED_VALUE"""),0.8412553387510463)</f>
        <v>0.8412553388</v>
      </c>
      <c r="V84" s="30">
        <f>IFERROR(__xludf.DUMMYFUNCTION("""COMPUTED_VALUE"""),0.6285680110738066)</f>
        <v>0.6285680111</v>
      </c>
      <c r="W84" s="30">
        <f>IFERROR(__xludf.DUMMYFUNCTION("""COMPUTED_VALUE"""),1.5349662426209614)</f>
        <v>1.534966243</v>
      </c>
      <c r="X84" s="30">
        <f>IFERROR(__xludf.DUMMYFUNCTION("""COMPUTED_VALUE"""),2.728554256828988)</f>
        <v>2.728554257</v>
      </c>
      <c r="Y84" s="30">
        <f>IFERROR(__xludf.DUMMYFUNCTION("""COMPUTED_VALUE"""),393.93377013603214)</f>
        <v>393.9337701</v>
      </c>
      <c r="Z84" s="30">
        <f>IFERROR(__xludf.DUMMYFUNCTION("""COMPUTED_VALUE"""),0.9165097782486771)</f>
        <v>0.9165097782</v>
      </c>
      <c r="AA84" s="30">
        <f>IFERROR(__xludf.DUMMYFUNCTION("""COMPUTED_VALUE"""),0.7075792599928555)</f>
        <v>0.70757926</v>
      </c>
      <c r="AB84" s="30">
        <f>IFERROR(__xludf.DUMMYFUNCTION("""COMPUTED_VALUE"""),1.4773216553525124)</f>
        <v>1.477321655</v>
      </c>
      <c r="AC84" s="30">
        <f>IFERROR(__xludf.DUMMYFUNCTION("""COMPUTED_VALUE"""),2.909709536108029)</f>
        <v>2.909709536</v>
      </c>
      <c r="AD84" s="30">
        <f>IFERROR(__xludf.DUMMYFUNCTION("""COMPUTED_VALUE"""),0.9703266727106155)</f>
        <v>0.9703266727</v>
      </c>
      <c r="AE84" s="30">
        <f>IFERROR(__xludf.DUMMYFUNCTION("""COMPUTED_VALUE"""),1.066849258985731)</f>
        <v>1.066849259</v>
      </c>
      <c r="AF84" s="30">
        <f>IFERROR(__xludf.DUMMYFUNCTION("""COMPUTED_VALUE"""),0.8479615414477499)</f>
        <v>0.8479615414</v>
      </c>
      <c r="AG84" s="30">
        <f>IFERROR(__xludf.DUMMYFUNCTION("""COMPUTED_VALUE"""),0.8874919733023606)</f>
        <v>0.8874919733</v>
      </c>
      <c r="AH84" s="30">
        <f>IFERROR(__xludf.DUMMYFUNCTION("""COMPUTED_VALUE"""),0.8477363929480165)</f>
        <v>0.8477363929</v>
      </c>
      <c r="AI84" s="30">
        <f>IFERROR(__xludf.DUMMYFUNCTION("""COMPUTED_VALUE"""),0.9813325651841179)</f>
        <v>0.9813325652</v>
      </c>
      <c r="AJ84" s="30">
        <f>IFERROR(__xludf.DUMMYFUNCTION("""COMPUTED_VALUE"""),0.8629079572958882)</f>
        <v>0.8629079573</v>
      </c>
      <c r="AK84" s="30">
        <f>IFERROR(__xludf.DUMMYFUNCTION("""COMPUTED_VALUE"""),0.8602740375173926)</f>
        <v>0.8602740375</v>
      </c>
      <c r="AL84" s="30">
        <f>IFERROR(__xludf.DUMMYFUNCTION("""COMPUTED_VALUE"""),1.0327166429917538)</f>
        <v>1.032716643</v>
      </c>
      <c r="AM84" s="30">
        <f>IFERROR(__xludf.DUMMYFUNCTION("""COMPUTED_VALUE"""),0.9556003516813437)</f>
        <v>0.9556003517</v>
      </c>
      <c r="AN84" s="30">
        <f>IFERROR(__xludf.DUMMYFUNCTION("""COMPUTED_VALUE"""),1.0194742984714953)</f>
        <v>1.019474298</v>
      </c>
      <c r="AO84" s="30">
        <f>IFERROR(__xludf.DUMMYFUNCTION("""COMPUTED_VALUE"""),1.1844965287803562)</f>
        <v>1.184496529</v>
      </c>
      <c r="AP84" s="30">
        <f>IFERROR(__xludf.DUMMYFUNCTION("""COMPUTED_VALUE"""),0.9247101900907403)</f>
        <v>0.9247101901</v>
      </c>
      <c r="AQ84" s="30">
        <f>IFERROR(__xludf.DUMMYFUNCTION("""COMPUTED_VALUE"""),0.9023868198168805)</f>
        <v>0.9023868198</v>
      </c>
      <c r="AR84" s="30">
        <f>IFERROR(__xludf.DUMMYFUNCTION("""COMPUTED_VALUE"""),0.907447328995268)</f>
        <v>0.907447329</v>
      </c>
      <c r="AS84" s="30">
        <f>IFERROR(__xludf.DUMMYFUNCTION("""COMPUTED_VALUE"""),114.0)</f>
        <v>114</v>
      </c>
      <c r="AT84" s="30">
        <f>IFERROR(__xludf.DUMMYFUNCTION("""COMPUTED_VALUE"""),0.5587163089150052)</f>
        <v>0.5587163089</v>
      </c>
      <c r="AU84" s="30">
        <f>IFERROR(__xludf.DUMMYFUNCTION("""COMPUTED_VALUE"""),3.22651031330203)</f>
        <v>3.226510313</v>
      </c>
      <c r="AV84" s="32">
        <f>IFERROR(__xludf.DUMMYFUNCTION("""COMPUTED_VALUE"""),54.21958614951013)</f>
        <v>54.21958615</v>
      </c>
      <c r="AW84" s="32">
        <f>IFERROR(__xludf.DUMMYFUNCTION("""COMPUTED_VALUE"""),2.309556884826794)</f>
        <v>2.309556885</v>
      </c>
      <c r="AX84" s="32">
        <f>IFERROR(__xludf.DUMMYFUNCTION("""COMPUTED_VALUE"""),48.67870868997804)</f>
        <v>48.67870869</v>
      </c>
      <c r="AY84" s="32">
        <f>IFERROR(__xludf.DUMMYFUNCTION("""COMPUTED_VALUE"""),-2.0880093730947427)</f>
        <v>-2.088009373</v>
      </c>
      <c r="AZ84" s="30">
        <f>IFERROR(__xludf.DUMMYFUNCTION("""COMPUTED_VALUE"""),4.397566257921537)</f>
        <v>4.397566258</v>
      </c>
      <c r="BA84" s="30">
        <f>IFERROR(__xludf.DUMMYFUNCTION("""COMPUTED_VALUE"""),450.0)</f>
        <v>450</v>
      </c>
    </row>
    <row r="85">
      <c r="A85" s="30" t="str">
        <f>IFERROR(__xludf.DUMMYFUNCTION("""COMPUTED_VALUE"""),"Master")</f>
        <v>Master</v>
      </c>
      <c r="B85" s="30" t="str">
        <f>IFERROR(__xludf.DUMMYFUNCTION("""COMPUTED_VALUE"""),"RSC000839")</f>
        <v>RSC000839</v>
      </c>
      <c r="C85" s="30" t="str">
        <f>IFERROR(__xludf.DUMMYFUNCTION("""COMPUTED_VALUE"""),"p0larbear")</f>
        <v>p0larbear</v>
      </c>
      <c r="D85" s="30" t="str">
        <f>IFERROR(__xludf.DUMMYFUNCTION("""COMPUTED_VALUE"""),"Heinous Henchmen")</f>
        <v>Heinous Henchmen</v>
      </c>
      <c r="E85" s="30">
        <f>IFERROR(__xludf.DUMMYFUNCTION("""COMPUTED_VALUE"""),40.0)</f>
        <v>40</v>
      </c>
      <c r="F85" s="30">
        <f>IFERROR(__xludf.DUMMYFUNCTION("""COMPUTED_VALUE"""),15.0)</f>
        <v>15</v>
      </c>
      <c r="G85" s="30">
        <f>IFERROR(__xludf.DUMMYFUNCTION("""COMPUTED_VALUE"""),25.0)</f>
        <v>25</v>
      </c>
      <c r="H85" s="42">
        <f>IFERROR(__xludf.DUMMYFUNCTION("""COMPUTED_VALUE"""),0.375)</f>
        <v>0.375</v>
      </c>
      <c r="I85" s="42">
        <f>IFERROR(__xludf.DUMMYFUNCTION("""COMPUTED_VALUE"""),0.28971962616822433)</f>
        <v>0.2897196262</v>
      </c>
      <c r="J85" s="30">
        <f>IFERROR(__xludf.DUMMYFUNCTION("""COMPUTED_VALUE"""),376.75)</f>
        <v>376.75</v>
      </c>
      <c r="K85" s="30">
        <f>IFERROR(__xludf.DUMMYFUNCTION("""COMPUTED_VALUE"""),0.775)</f>
        <v>0.775</v>
      </c>
      <c r="L85" s="30">
        <f>IFERROR(__xludf.DUMMYFUNCTION("""COMPUTED_VALUE"""),0.75)</f>
        <v>0.75</v>
      </c>
      <c r="M85" s="30">
        <f>IFERROR(__xludf.DUMMYFUNCTION("""COMPUTED_VALUE"""),1.45)</f>
        <v>1.45</v>
      </c>
      <c r="N85" s="30">
        <f>IFERROR(__xludf.DUMMYFUNCTION("""COMPUTED_VALUE"""),2.675)</f>
        <v>2.675</v>
      </c>
      <c r="O85" s="30">
        <f>IFERROR(__xludf.DUMMYFUNCTION("""COMPUTED_VALUE"""),391.08333333333337)</f>
        <v>391.0833333</v>
      </c>
      <c r="P85" s="30">
        <f>IFERROR(__xludf.DUMMYFUNCTION("""COMPUTED_VALUE"""),0.925)</f>
        <v>0.925</v>
      </c>
      <c r="Q85" s="30">
        <f>IFERROR(__xludf.DUMMYFUNCTION("""COMPUTED_VALUE"""),0.7333333333333334)</f>
        <v>0.7333333333</v>
      </c>
      <c r="R85" s="30">
        <f>IFERROR(__xludf.DUMMYFUNCTION("""COMPUTED_VALUE"""),1.3666666666666667)</f>
        <v>1.366666667</v>
      </c>
      <c r="S85" s="30">
        <f>IFERROR(__xludf.DUMMYFUNCTION("""COMPUTED_VALUE"""),3.05)</f>
        <v>3.05</v>
      </c>
      <c r="T85" s="30">
        <f>IFERROR(__xludf.DUMMYFUNCTION("""COMPUTED_VALUE"""),383.31288798814876)</f>
        <v>383.312888</v>
      </c>
      <c r="U85" s="30">
        <f>IFERROR(__xludf.DUMMYFUNCTION("""COMPUTED_VALUE"""),0.8782848227352431)</f>
        <v>0.8782848227</v>
      </c>
      <c r="V85" s="30">
        <f>IFERROR(__xludf.DUMMYFUNCTION("""COMPUTED_VALUE"""),0.681921061289428)</f>
        <v>0.6819210613</v>
      </c>
      <c r="W85" s="30">
        <f>IFERROR(__xludf.DUMMYFUNCTION("""COMPUTED_VALUE"""),1.4345096303517424)</f>
        <v>1.43450963</v>
      </c>
      <c r="X85" s="30">
        <f>IFERROR(__xludf.DUMMYFUNCTION("""COMPUTED_VALUE"""),2.7653655151298855)</f>
        <v>2.765365515</v>
      </c>
      <c r="Y85" s="30">
        <f>IFERROR(__xludf.DUMMYFUNCTION("""COMPUTED_VALUE"""),383.0753583058774)</f>
        <v>383.0753583</v>
      </c>
      <c r="Z85" s="30">
        <f>IFERROR(__xludf.DUMMYFUNCTION("""COMPUTED_VALUE"""),0.8812243902254918)</f>
        <v>0.8812243902</v>
      </c>
      <c r="AA85" s="30">
        <f>IFERROR(__xludf.DUMMYFUNCTION("""COMPUTED_VALUE"""),0.6801460903872945)</f>
        <v>0.6801460904</v>
      </c>
      <c r="AB85" s="30">
        <f>IFERROR(__xludf.DUMMYFUNCTION("""COMPUTED_VALUE"""),1.4403686431791975)</f>
        <v>1.440368643</v>
      </c>
      <c r="AC85" s="30">
        <f>IFERROR(__xludf.DUMMYFUNCTION("""COMPUTED_VALUE"""),2.802875228041245)</f>
        <v>2.802875228</v>
      </c>
      <c r="AD85" s="30">
        <f>IFERROR(__xludf.DUMMYFUNCTION("""COMPUTED_VALUE"""),0.9834879530391858)</f>
        <v>0.983487953</v>
      </c>
      <c r="AE85" s="30">
        <f>IFERROR(__xludf.DUMMYFUNCTION("""COMPUTED_VALUE"""),0.8794581818164263)</f>
        <v>0.8794581818</v>
      </c>
      <c r="AF85" s="30">
        <f>IFERROR(__xludf.DUMMYFUNCTION("""COMPUTED_VALUE"""),1.102704272802522)</f>
        <v>1.102704273</v>
      </c>
      <c r="AG85" s="30">
        <f>IFERROR(__xludf.DUMMYFUNCTION("""COMPUTED_VALUE"""),1.0066867304189182)</f>
        <v>1.00668673</v>
      </c>
      <c r="AH85" s="30">
        <f>IFERROR(__xludf.DUMMYFUNCTION("""COMPUTED_VALUE"""),0.9543771243322133)</f>
        <v>0.9543771243</v>
      </c>
      <c r="AI85" s="30">
        <f>IFERROR(__xludf.DUMMYFUNCTION("""COMPUTED_VALUE"""),1.0202718081981759)</f>
        <v>1.020271808</v>
      </c>
      <c r="AJ85" s="30">
        <f>IFERROR(__xludf.DUMMYFUNCTION("""COMPUTED_VALUE"""),1.053189097722618)</f>
        <v>1.053189098</v>
      </c>
      <c r="AK85" s="30">
        <f>IFERROR(__xludf.DUMMYFUNCTION("""COMPUTED_VALUE"""),1.0753932895791358)</f>
        <v>1.07539329</v>
      </c>
      <c r="AL85" s="30">
        <f>IFERROR(__xludf.DUMMYFUNCTION("""COMPUTED_VALUE"""),0.9527065122118138)</f>
        <v>0.9527065122</v>
      </c>
      <c r="AM85" s="30">
        <f>IFERROR(__xludf.DUMMYFUNCTION("""COMPUTED_VALUE"""),1.1029283410503314)</f>
        <v>1.102928341</v>
      </c>
      <c r="AN85" s="30">
        <f>IFERROR(__xludf.DUMMYFUNCTION("""COMPUTED_VALUE"""),1.0048202074130057)</f>
        <v>1.004820207</v>
      </c>
      <c r="AO85" s="30">
        <f>IFERROR(__xludf.DUMMYFUNCTION("""COMPUTED_VALUE"""),0.9388481009367028)</f>
        <v>0.9388481009</v>
      </c>
      <c r="AP85" s="30">
        <f>IFERROR(__xludf.DUMMYFUNCTION("""COMPUTED_VALUE"""),1.1558877376134253)</f>
        <v>1.155887738</v>
      </c>
      <c r="AQ85" s="30">
        <f>IFERROR(__xludf.DUMMYFUNCTION("""COMPUTED_VALUE"""),0.9979786439500246)</f>
        <v>0.997978644</v>
      </c>
      <c r="AR85" s="30">
        <f>IFERROR(__xludf.DUMMYFUNCTION("""COMPUTED_VALUE"""),0.9840898398901385)</f>
        <v>0.9840898399</v>
      </c>
      <c r="AS85" s="30">
        <f>IFERROR(__xludf.DUMMYFUNCTION("""COMPUTED_VALUE"""),92.0)</f>
        <v>92</v>
      </c>
      <c r="AT85" s="30">
        <f>IFERROR(__xludf.DUMMYFUNCTION("""COMPUTED_VALUE"""),0.4257431017281794)</f>
        <v>0.4257431017</v>
      </c>
      <c r="AU85" s="30">
        <f>IFERROR(__xludf.DUMMYFUNCTION("""COMPUTED_VALUE"""),3.110360230871542)</f>
        <v>3.110360231</v>
      </c>
      <c r="AV85" s="32">
        <f>IFERROR(__xludf.DUMMYFUNCTION("""COMPUTED_VALUE"""),51.12275001426361)</f>
        <v>51.12275001</v>
      </c>
      <c r="AW85" s="32">
        <f>IFERROR(__xludf.DUMMYFUNCTION("""COMPUTED_VALUE"""),2.0743035322699073)</f>
        <v>2.074303532</v>
      </c>
      <c r="AX85" s="32">
        <f>IFERROR(__xludf.DUMMYFUNCTION("""COMPUTED_VALUE"""),49.114699636211355)</f>
        <v>49.11469964</v>
      </c>
      <c r="AY85" s="32">
        <f>IFERROR(__xludf.DUMMYFUNCTION("""COMPUTED_VALUE"""),-2.0581399752829714)</f>
        <v>-2.058139975</v>
      </c>
      <c r="AZ85" s="30">
        <f>IFERROR(__xludf.DUMMYFUNCTION("""COMPUTED_VALUE"""),4.132443507552878)</f>
        <v>4.132443508</v>
      </c>
      <c r="BA85" s="30">
        <f>IFERROR(__xludf.DUMMYFUNCTION("""COMPUTED_VALUE"""),450.0)</f>
        <v>450</v>
      </c>
    </row>
    <row r="86">
      <c r="A86" s="30" t="str">
        <f>IFERROR(__xludf.DUMMYFUNCTION("""COMPUTED_VALUE"""),"Master")</f>
        <v>Master</v>
      </c>
      <c r="B86" s="30" t="str">
        <f>IFERROR(__xludf.DUMMYFUNCTION("""COMPUTED_VALUE"""),"RSC003308")</f>
        <v>RSC003308</v>
      </c>
      <c r="C86" s="30" t="str">
        <f>IFERROR(__xludf.DUMMYFUNCTION("""COMPUTED_VALUE"""),"Tman")</f>
        <v>Tman</v>
      </c>
      <c r="D86" s="30" t="str">
        <f>IFERROR(__xludf.DUMMYFUNCTION("""COMPUTED_VALUE"""),"Plinko")</f>
        <v>Plinko</v>
      </c>
      <c r="E86" s="30">
        <f>IFERROR(__xludf.DUMMYFUNCTION("""COMPUTED_VALUE"""),41.0)</f>
        <v>41</v>
      </c>
      <c r="F86" s="30">
        <f>IFERROR(__xludf.DUMMYFUNCTION("""COMPUTED_VALUE"""),16.0)</f>
        <v>16</v>
      </c>
      <c r="G86" s="30">
        <f>IFERROR(__xludf.DUMMYFUNCTION("""COMPUTED_VALUE"""),25.0)</f>
        <v>25</v>
      </c>
      <c r="H86" s="42">
        <f>IFERROR(__xludf.DUMMYFUNCTION("""COMPUTED_VALUE"""),0.3902439024390244)</f>
        <v>0.3902439024</v>
      </c>
      <c r="I86" s="42">
        <f>IFERROR(__xludf.DUMMYFUNCTION("""COMPUTED_VALUE"""),0.3017241379310345)</f>
        <v>0.3017241379</v>
      </c>
      <c r="J86" s="30">
        <f>IFERROR(__xludf.DUMMYFUNCTION("""COMPUTED_VALUE"""),396.0243902439024)</f>
        <v>396.0243902</v>
      </c>
      <c r="K86" s="30">
        <f>IFERROR(__xludf.DUMMYFUNCTION("""COMPUTED_VALUE"""),0.8536585365853658)</f>
        <v>0.8536585366</v>
      </c>
      <c r="L86" s="30">
        <f>IFERROR(__xludf.DUMMYFUNCTION("""COMPUTED_VALUE"""),0.5121951219512195)</f>
        <v>0.512195122</v>
      </c>
      <c r="M86" s="30">
        <f>IFERROR(__xludf.DUMMYFUNCTION("""COMPUTED_VALUE"""),1.5365853658536586)</f>
        <v>1.536585366</v>
      </c>
      <c r="N86" s="30">
        <f>IFERROR(__xludf.DUMMYFUNCTION("""COMPUTED_VALUE"""),2.8292682926829267)</f>
        <v>2.829268293</v>
      </c>
      <c r="O86" s="30">
        <f>IFERROR(__xludf.DUMMYFUNCTION("""COMPUTED_VALUE"""),395.9837398373983)</f>
        <v>395.9837398</v>
      </c>
      <c r="P86" s="30">
        <f>IFERROR(__xludf.DUMMYFUNCTION("""COMPUTED_VALUE"""),0.8943089430894307)</f>
        <v>0.8943089431</v>
      </c>
      <c r="Q86" s="30">
        <f>IFERROR(__xludf.DUMMYFUNCTION("""COMPUTED_VALUE"""),0.6666666666666667)</f>
        <v>0.6666666667</v>
      </c>
      <c r="R86" s="30">
        <f>IFERROR(__xludf.DUMMYFUNCTION("""COMPUTED_VALUE"""),1.5691056910569106)</f>
        <v>1.569105691</v>
      </c>
      <c r="S86" s="30">
        <f>IFERROR(__xludf.DUMMYFUNCTION("""COMPUTED_VALUE"""),2.796747967479675)</f>
        <v>2.796747967</v>
      </c>
      <c r="T86" s="30">
        <f>IFERROR(__xludf.DUMMYFUNCTION("""COMPUTED_VALUE"""),388.12698114060566)</f>
        <v>388.1269811</v>
      </c>
      <c r="U86" s="30">
        <f>IFERROR(__xludf.DUMMYFUNCTION("""COMPUTED_VALUE"""),0.9270285854585228)</f>
        <v>0.9270285855</v>
      </c>
      <c r="V86" s="30">
        <f>IFERROR(__xludf.DUMMYFUNCTION("""COMPUTED_VALUE"""),0.7053655792810741)</f>
        <v>0.7053655793</v>
      </c>
      <c r="W86" s="30">
        <f>IFERROR(__xludf.DUMMYFUNCTION("""COMPUTED_VALUE"""),1.4078466498772317)</f>
        <v>1.40784665</v>
      </c>
      <c r="X86" s="30">
        <f>IFERROR(__xludf.DUMMYFUNCTION("""COMPUTED_VALUE"""),2.86558281847697)</f>
        <v>2.865582818</v>
      </c>
      <c r="Y86" s="30">
        <f>IFERROR(__xludf.DUMMYFUNCTION("""COMPUTED_VALUE"""),383.3079896905218)</f>
        <v>383.3079897</v>
      </c>
      <c r="Z86" s="30">
        <f>IFERROR(__xludf.DUMMYFUNCTION("""COMPUTED_VALUE"""),0.8718125794125233)</f>
        <v>0.8718125794</v>
      </c>
      <c r="AA86" s="30">
        <f>IFERROR(__xludf.DUMMYFUNCTION("""COMPUTED_VALUE"""),0.6522218889396103)</f>
        <v>0.6522218889</v>
      </c>
      <c r="AB86" s="30">
        <f>IFERROR(__xludf.DUMMYFUNCTION("""COMPUTED_VALUE"""),1.4656349697168314)</f>
        <v>1.46563497</v>
      </c>
      <c r="AC86" s="30">
        <f>IFERROR(__xludf.DUMMYFUNCTION("""COMPUTED_VALUE"""),2.7559351287497282)</f>
        <v>2.755935129</v>
      </c>
      <c r="AD86" s="30">
        <f>IFERROR(__xludf.DUMMYFUNCTION("""COMPUTED_VALUE"""),1.033175412189158)</f>
        <v>1.033175412</v>
      </c>
      <c r="AE86" s="30">
        <f>IFERROR(__xludf.DUMMYFUNCTION("""COMPUTED_VALUE"""),0.979176667949216)</f>
        <v>0.9791766679</v>
      </c>
      <c r="AF86" s="30">
        <f>IFERROR(__xludf.DUMMYFUNCTION("""COMPUTED_VALUE"""),0.7853080840079626)</f>
        <v>0.785308084</v>
      </c>
      <c r="AG86" s="30">
        <f>IFERROR(__xludf.DUMMYFUNCTION("""COMPUTED_VALUE"""),1.0484093226504654)</f>
        <v>1.048409323</v>
      </c>
      <c r="AH86" s="30">
        <f>IFERROR(__xludf.DUMMYFUNCTION("""COMPUTED_VALUE"""),1.0266091763801666)</f>
        <v>1.026609176</v>
      </c>
      <c r="AI86" s="30">
        <f>IFERROR(__xludf.DUMMYFUNCTION("""COMPUTED_VALUE"""),1.020242753218814)</f>
        <v>1.020242753</v>
      </c>
      <c r="AJ86" s="30">
        <f>IFERROR(__xludf.DUMMYFUNCTION("""COMPUTED_VALUE"""),0.9647048182954266)</f>
        <v>0.9647048183</v>
      </c>
      <c r="AK86" s="30">
        <f>IFERROR(__xludf.DUMMYFUNCTION("""COMPUTED_VALUE"""),0.9451363750215168)</f>
        <v>0.945136375</v>
      </c>
      <c r="AL86" s="30">
        <f>IFERROR(__xludf.DUMMYFUNCTION("""COMPUTED_VALUE"""),1.1145430442965796)</f>
        <v>1.114543044</v>
      </c>
      <c r="AM86" s="30">
        <f>IFERROR(__xludf.DUMMYFUNCTION("""COMPUTED_VALUE"""),0.9759787605671505)</f>
        <v>0.9759787606</v>
      </c>
      <c r="AN86" s="30">
        <f>IFERROR(__xludf.DUMMYFUNCTION("""COMPUTED_VALUE"""),1.0562264364843719)</f>
        <v>1.056226436</v>
      </c>
      <c r="AO86" s="30">
        <f>IFERROR(__xludf.DUMMYFUNCTION("""COMPUTED_VALUE"""),1.034136381834291)</f>
        <v>1.034136382</v>
      </c>
      <c r="AP86" s="30">
        <f>IFERROR(__xludf.DUMMYFUNCTION("""COMPUTED_VALUE"""),0.7893867476384369)</f>
        <v>0.7893867476</v>
      </c>
      <c r="AQ86" s="30">
        <f>IFERROR(__xludf.DUMMYFUNCTION("""COMPUTED_VALUE"""),1.05757198601937)</f>
        <v>1.057571986</v>
      </c>
      <c r="AR86" s="30">
        <f>IFERROR(__xludf.DUMMYFUNCTION("""COMPUTED_VALUE"""),1.0408426845430232)</f>
        <v>1.040842685</v>
      </c>
      <c r="AS86" s="30">
        <f>IFERROR(__xludf.DUMMYFUNCTION("""COMPUTED_VALUE"""),89.0)</f>
        <v>89</v>
      </c>
      <c r="AT86" s="30">
        <f>IFERROR(__xludf.DUMMYFUNCTION("""COMPUTED_VALUE"""),0.4174224614940932)</f>
        <v>0.4174224615</v>
      </c>
      <c r="AU86" s="30">
        <f>IFERROR(__xludf.DUMMYFUNCTION("""COMPUTED_VALUE"""),3.071675783720415)</f>
        <v>3.071675784</v>
      </c>
      <c r="AV86" s="32">
        <f>IFERROR(__xludf.DUMMYFUNCTION("""COMPUTED_VALUE"""),50.09133108366286)</f>
        <v>50.09133108</v>
      </c>
      <c r="AW86" s="32">
        <f>IFERROR(__xludf.DUMMYFUNCTION("""COMPUTED_VALUE"""),2.005846762452536)</f>
        <v>2.005846762</v>
      </c>
      <c r="AX86" s="32">
        <f>IFERROR(__xludf.DUMMYFUNCTION("""COMPUTED_VALUE"""),48.48010021801628)</f>
        <v>48.48010022</v>
      </c>
      <c r="AY86" s="32">
        <f>IFERROR(__xludf.DUMMYFUNCTION("""COMPUTED_VALUE"""),-2.1018964001707796)</f>
        <v>-2.1018964</v>
      </c>
      <c r="AZ86" s="30">
        <f>IFERROR(__xludf.DUMMYFUNCTION("""COMPUTED_VALUE"""),4.107743162623315)</f>
        <v>4.107743163</v>
      </c>
      <c r="BA86" s="30">
        <f>IFERROR(__xludf.DUMMYFUNCTION("""COMPUTED_VALUE"""),450.0)</f>
        <v>450</v>
      </c>
    </row>
    <row r="87">
      <c r="A87" s="30" t="str">
        <f>IFERROR(__xludf.DUMMYFUNCTION("""COMPUTED_VALUE"""),"Master")</f>
        <v>Master</v>
      </c>
      <c r="B87" s="30" t="str">
        <f>IFERROR(__xludf.DUMMYFUNCTION("""COMPUTED_VALUE"""),"RSC000618")</f>
        <v>RSC000618</v>
      </c>
      <c r="C87" s="30" t="str">
        <f>IFERROR(__xludf.DUMMYFUNCTION("""COMPUTED_VALUE"""),"Taelo")</f>
        <v>Taelo</v>
      </c>
      <c r="D87" s="30" t="str">
        <f>IFERROR(__xludf.DUMMYFUNCTION("""COMPUTED_VALUE"""),"Oblivion")</f>
        <v>Oblivion</v>
      </c>
      <c r="E87" s="30">
        <f>IFERROR(__xludf.DUMMYFUNCTION("""COMPUTED_VALUE"""),48.0)</f>
        <v>48</v>
      </c>
      <c r="F87" s="30">
        <f>IFERROR(__xludf.DUMMYFUNCTION("""COMPUTED_VALUE"""),33.0)</f>
        <v>33</v>
      </c>
      <c r="G87" s="30">
        <f>IFERROR(__xludf.DUMMYFUNCTION("""COMPUTED_VALUE"""),15.0)</f>
        <v>15</v>
      </c>
      <c r="H87" s="42">
        <f>IFERROR(__xludf.DUMMYFUNCTION("""COMPUTED_VALUE"""),0.6875)</f>
        <v>0.6875</v>
      </c>
      <c r="I87" s="42">
        <f>IFERROR(__xludf.DUMMYFUNCTION("""COMPUTED_VALUE"""),0.2928176795580111)</f>
        <v>0.2928176796</v>
      </c>
      <c r="J87" s="30">
        <f>IFERROR(__xludf.DUMMYFUNCTION("""COMPUTED_VALUE"""),412.4375)</f>
        <v>412.4375</v>
      </c>
      <c r="K87" s="30">
        <f>IFERROR(__xludf.DUMMYFUNCTION("""COMPUTED_VALUE"""),1.1041666666666667)</f>
        <v>1.104166667</v>
      </c>
      <c r="L87" s="30">
        <f>IFERROR(__xludf.DUMMYFUNCTION("""COMPUTED_VALUE"""),0.9791666666666666)</f>
        <v>0.9791666667</v>
      </c>
      <c r="M87" s="30">
        <f>IFERROR(__xludf.DUMMYFUNCTION("""COMPUTED_VALUE"""),1.1666666666666667)</f>
        <v>1.166666667</v>
      </c>
      <c r="N87" s="30">
        <f>IFERROR(__xludf.DUMMYFUNCTION("""COMPUTED_VALUE"""),3.7708333333333335)</f>
        <v>3.770833333</v>
      </c>
      <c r="O87" s="30">
        <f>IFERROR(__xludf.DUMMYFUNCTION("""COMPUTED_VALUE"""),356.8680555555555)</f>
        <v>356.8680556</v>
      </c>
      <c r="P87" s="30">
        <f>IFERROR(__xludf.DUMMYFUNCTION("""COMPUTED_VALUE"""),0.7361111111111113)</f>
        <v>0.7361111111</v>
      </c>
      <c r="Q87" s="30">
        <f>IFERROR(__xludf.DUMMYFUNCTION("""COMPUTED_VALUE"""),0.49999999999999994)</f>
        <v>0.5</v>
      </c>
      <c r="R87" s="30">
        <f>IFERROR(__xludf.DUMMYFUNCTION("""COMPUTED_VALUE"""),1.513888888888889)</f>
        <v>1.513888889</v>
      </c>
      <c r="S87" s="30">
        <f>IFERROR(__xludf.DUMMYFUNCTION("""COMPUTED_VALUE"""),2.430555555555555)</f>
        <v>2.430555556</v>
      </c>
      <c r="T87" s="30">
        <f>IFERROR(__xludf.DUMMYFUNCTION("""COMPUTED_VALUE"""),381.1647219636984)</f>
        <v>381.164722</v>
      </c>
      <c r="U87" s="30">
        <f>IFERROR(__xludf.DUMMYFUNCTION("""COMPUTED_VALUE"""),0.8248836483203114)</f>
        <v>0.8248836483</v>
      </c>
      <c r="V87" s="30">
        <f>IFERROR(__xludf.DUMMYFUNCTION("""COMPUTED_VALUE"""),0.6156256550404103)</f>
        <v>0.615625655</v>
      </c>
      <c r="W87" s="30">
        <f>IFERROR(__xludf.DUMMYFUNCTION("""COMPUTED_VALUE"""),1.5334070052880915)</f>
        <v>1.533407005</v>
      </c>
      <c r="X87" s="30">
        <f>IFERROR(__xludf.DUMMYFUNCTION("""COMPUTED_VALUE"""),2.783449870910914)</f>
        <v>2.783449871</v>
      </c>
      <c r="Y87" s="30">
        <f>IFERROR(__xludf.DUMMYFUNCTION("""COMPUTED_VALUE"""),400.1771113275062)</f>
        <v>400.1771113</v>
      </c>
      <c r="Z87" s="30">
        <f>IFERROR(__xludf.DUMMYFUNCTION("""COMPUTED_VALUE"""),0.9636971816305068)</f>
        <v>0.9636971816</v>
      </c>
      <c r="AA87" s="30">
        <f>IFERROR(__xludf.DUMMYFUNCTION("""COMPUTED_VALUE"""),0.7410818793398883)</f>
        <v>0.7410818793</v>
      </c>
      <c r="AB87" s="30">
        <f>IFERROR(__xludf.DUMMYFUNCTION("""COMPUTED_VALUE"""),1.4845925136352907)</f>
        <v>1.484592514</v>
      </c>
      <c r="AC87" s="30">
        <f>IFERROR(__xludf.DUMMYFUNCTION("""COMPUTED_VALUE"""),2.922856240412346)</f>
        <v>2.92285624</v>
      </c>
      <c r="AD87" s="30">
        <f>IFERROR(__xludf.DUMMYFUNCTION("""COMPUTED_VALUE"""),1.0306374061020693)</f>
        <v>1.030637406</v>
      </c>
      <c r="AE87" s="30">
        <f>IFERROR(__xludf.DUMMYFUNCTION("""COMPUTED_VALUE"""),1.1457610209033668)</f>
        <v>1.145761021</v>
      </c>
      <c r="AF87" s="30">
        <f>IFERROR(__xludf.DUMMYFUNCTION("""COMPUTED_VALUE"""),1.3212665077425048)</f>
        <v>1.321266508</v>
      </c>
      <c r="AG87" s="30">
        <f>IFERROR(__xludf.DUMMYFUNCTION("""COMPUTED_VALUE"""),0.7858497573922655)</f>
        <v>0.7858497574</v>
      </c>
      <c r="AH87" s="30">
        <f>IFERROR(__xludf.DUMMYFUNCTION("""COMPUTED_VALUE"""),1.2901193295778919)</f>
        <v>1.29011933</v>
      </c>
      <c r="AI87" s="30">
        <f>IFERROR(__xludf.DUMMYFUNCTION("""COMPUTED_VALUE"""),0.9362567808401301)</f>
        <v>0.9362567808</v>
      </c>
      <c r="AJ87" s="30">
        <f>IFERROR(__xludf.DUMMYFUNCTION("""COMPUTED_VALUE"""),0.8923817469409592)</f>
        <v>0.8923817469</v>
      </c>
      <c r="AK87" s="30">
        <f>IFERROR(__xludf.DUMMYFUNCTION("""COMPUTED_VALUE"""),0.8121818769349036)</f>
        <v>0.8121818769</v>
      </c>
      <c r="AL87" s="30">
        <f>IFERROR(__xludf.DUMMYFUNCTION("""COMPUTED_VALUE"""),0.9872714052225584)</f>
        <v>0.9872714052</v>
      </c>
      <c r="AM87" s="30">
        <f>IFERROR(__xludf.DUMMYFUNCTION("""COMPUTED_VALUE"""),0.8732169316058598)</f>
        <v>0.8732169316</v>
      </c>
      <c r="AN87" s="30">
        <f>IFERROR(__xludf.DUMMYFUNCTION("""COMPUTED_VALUE"""),1.1000014181682853)</f>
        <v>1.100001418</v>
      </c>
      <c r="AO87" s="30">
        <f>IFERROR(__xludf.DUMMYFUNCTION("""COMPUTED_VALUE"""),1.3376061653130442)</f>
        <v>1.337606165</v>
      </c>
      <c r="AP87" s="30">
        <f>IFERROR(__xludf.DUMMYFUNCTION("""COMPUTED_VALUE"""),1.5090756574397497)</f>
        <v>1.509075657</v>
      </c>
      <c r="AQ87" s="30">
        <f>IFERROR(__xludf.DUMMYFUNCTION("""COMPUTED_VALUE"""),0.8029713227184107)</f>
        <v>0.8029713227</v>
      </c>
      <c r="AR87" s="30">
        <f>IFERROR(__xludf.DUMMYFUNCTION("""COMPUTED_VALUE"""),1.387229447197158)</f>
        <v>1.387229447</v>
      </c>
      <c r="AS87" s="30">
        <f>IFERROR(__xludf.DUMMYFUNCTION("""COMPUTED_VALUE"""),156.0)</f>
        <v>156</v>
      </c>
      <c r="AT87" s="30">
        <f>IFERROR(__xludf.DUMMYFUNCTION("""COMPUTED_VALUE"""),0.6522435354928744)</f>
        <v>0.6522435355</v>
      </c>
      <c r="AU87" s="30">
        <f>IFERROR(__xludf.DUMMYFUNCTION("""COMPUTED_VALUE"""),4.434004119390845)</f>
        <v>4.434004119</v>
      </c>
      <c r="AV87" s="32">
        <f>IFERROR(__xludf.DUMMYFUNCTION("""COMPUTED_VALUE"""),86.41422926584288)</f>
        <v>86.41422927</v>
      </c>
      <c r="AW87" s="32">
        <f>IFERROR(__xludf.DUMMYFUNCTION("""COMPUTED_VALUE"""),13.77075276328881)</f>
        <v>13.77075276</v>
      </c>
      <c r="AX87" s="32">
        <f>IFERROR(__xludf.DUMMYFUNCTION("""COMPUTED_VALUE"""),81.8946564056389)</f>
        <v>81.89465641</v>
      </c>
      <c r="AY87" s="32">
        <f>IFERROR(__xludf.DUMMYFUNCTION("""COMPUTED_VALUE"""),9.899466597947374)</f>
        <v>9.899466598</v>
      </c>
      <c r="AZ87" s="30">
        <f>IFERROR(__xludf.DUMMYFUNCTION("""COMPUTED_VALUE"""),3.871286165341436)</f>
        <v>3.871286165</v>
      </c>
      <c r="BA87" s="30">
        <f>IFERROR(__xludf.DUMMYFUNCTION("""COMPUTED_VALUE"""),450.0)</f>
        <v>450</v>
      </c>
    </row>
    <row r="88">
      <c r="A88" s="30" t="str">
        <f>IFERROR(__xludf.DUMMYFUNCTION("""COMPUTED_VALUE"""),"Master")</f>
        <v>Master</v>
      </c>
      <c r="B88" s="30" t="str">
        <f>IFERROR(__xludf.DUMMYFUNCTION("""COMPUTED_VALUE"""),"RSC003178")</f>
        <v>RSC003178</v>
      </c>
      <c r="C88" s="30" t="str">
        <f>IFERROR(__xludf.DUMMYFUNCTION("""COMPUTED_VALUE"""),"Snack Time!")</f>
        <v>Snack Time!</v>
      </c>
      <c r="D88" s="30" t="str">
        <f>IFERROR(__xludf.DUMMYFUNCTION("""COMPUTED_VALUE"""),"The OG")</f>
        <v>The OG</v>
      </c>
      <c r="E88" s="30">
        <f>IFERROR(__xludf.DUMMYFUNCTION("""COMPUTED_VALUE"""),32.0)</f>
        <v>32</v>
      </c>
      <c r="F88" s="30">
        <f>IFERROR(__xludf.DUMMYFUNCTION("""COMPUTED_VALUE"""),8.0)</f>
        <v>8</v>
      </c>
      <c r="G88" s="30">
        <f>IFERROR(__xludf.DUMMYFUNCTION("""COMPUTED_VALUE"""),24.0)</f>
        <v>24</v>
      </c>
      <c r="H88" s="42">
        <f>IFERROR(__xludf.DUMMYFUNCTION("""COMPUTED_VALUE"""),0.25)</f>
        <v>0.25</v>
      </c>
      <c r="I88" s="42">
        <f>IFERROR(__xludf.DUMMYFUNCTION("""COMPUTED_VALUE"""),0.3132530120481928)</f>
        <v>0.313253012</v>
      </c>
      <c r="J88" s="30">
        <f>IFERROR(__xludf.DUMMYFUNCTION("""COMPUTED_VALUE"""),349.5625)</f>
        <v>349.5625</v>
      </c>
      <c r="K88" s="30">
        <f>IFERROR(__xludf.DUMMYFUNCTION("""COMPUTED_VALUE"""),0.8125)</f>
        <v>0.8125</v>
      </c>
      <c r="L88" s="30">
        <f>IFERROR(__xludf.DUMMYFUNCTION("""COMPUTED_VALUE"""),0.71875)</f>
        <v>0.71875</v>
      </c>
      <c r="M88" s="30">
        <f>IFERROR(__xludf.DUMMYFUNCTION("""COMPUTED_VALUE"""),1.28125)</f>
        <v>1.28125</v>
      </c>
      <c r="N88" s="30">
        <f>IFERROR(__xludf.DUMMYFUNCTION("""COMPUTED_VALUE"""),2.59375)</f>
        <v>2.59375</v>
      </c>
      <c r="O88" s="30">
        <f>IFERROR(__xludf.DUMMYFUNCTION("""COMPUTED_VALUE"""),437.02083333333314)</f>
        <v>437.0208333</v>
      </c>
      <c r="P88" s="30">
        <f>IFERROR(__xludf.DUMMYFUNCTION("""COMPUTED_VALUE"""),1.1354166666666667)</f>
        <v>1.135416667</v>
      </c>
      <c r="Q88" s="30">
        <f>IFERROR(__xludf.DUMMYFUNCTION("""COMPUTED_VALUE"""),0.8854166666666665)</f>
        <v>0.8854166667</v>
      </c>
      <c r="R88" s="30">
        <f>IFERROR(__xludf.DUMMYFUNCTION("""COMPUTED_VALUE"""),1.5833333333333337)</f>
        <v>1.583333333</v>
      </c>
      <c r="S88" s="30">
        <f>IFERROR(__xludf.DUMMYFUNCTION("""COMPUTED_VALUE"""),3.260416666666667)</f>
        <v>3.260416667</v>
      </c>
      <c r="T88" s="30">
        <f>IFERROR(__xludf.DUMMYFUNCTION("""COMPUTED_VALUE"""),394.739173227439)</f>
        <v>394.7391732</v>
      </c>
      <c r="U88" s="30">
        <f>IFERROR(__xludf.DUMMYFUNCTION("""COMPUTED_VALUE"""),0.9036087986305376)</f>
        <v>0.9036087986</v>
      </c>
      <c r="V88" s="30">
        <f>IFERROR(__xludf.DUMMYFUNCTION("""COMPUTED_VALUE"""),0.6798874839874779)</f>
        <v>0.679887484</v>
      </c>
      <c r="W88" s="30">
        <f>IFERROR(__xludf.DUMMYFUNCTION("""COMPUTED_VALUE"""),1.529162189500507)</f>
        <v>1.52916219</v>
      </c>
      <c r="X88" s="30">
        <f>IFERROR(__xludf.DUMMYFUNCTION("""COMPUTED_VALUE"""),2.875045925589847)</f>
        <v>2.875045926</v>
      </c>
      <c r="Y88" s="30">
        <f>IFERROR(__xludf.DUMMYFUNCTION("""COMPUTED_VALUE"""),382.75079635683704)</f>
        <v>382.7507964</v>
      </c>
      <c r="Z88" s="30">
        <f>IFERROR(__xludf.DUMMYFUNCTION("""COMPUTED_VALUE"""),0.851129558276005)</f>
        <v>0.8511295583</v>
      </c>
      <c r="AA88" s="30">
        <f>IFERROR(__xludf.DUMMYFUNCTION("""COMPUTED_VALUE"""),0.6534903649505002)</f>
        <v>0.653490365</v>
      </c>
      <c r="AB88" s="30">
        <f>IFERROR(__xludf.DUMMYFUNCTION("""COMPUTED_VALUE"""),1.4813442217274169)</f>
        <v>1.481344222</v>
      </c>
      <c r="AC88" s="30">
        <f>IFERROR(__xludf.DUMMYFUNCTION("""COMPUTED_VALUE"""),2.8078854053387885)</f>
        <v>2.807885405</v>
      </c>
      <c r="AD88" s="30">
        <f>IFERROR(__xludf.DUMMYFUNCTION("""COMPUTED_VALUE"""),0.9132900658268109)</f>
        <v>0.9132900658</v>
      </c>
      <c r="AE88" s="30">
        <f>IFERROR(__xludf.DUMMYFUNCTION("""COMPUTED_VALUE"""),0.954613774248129)</f>
        <v>0.9546137742</v>
      </c>
      <c r="AF88" s="30">
        <f>IFERROR(__xludf.DUMMYFUNCTION("""COMPUTED_VALUE"""),1.099863193934685)</f>
        <v>1.099863194</v>
      </c>
      <c r="AG88" s="30">
        <f>IFERROR(__xludf.DUMMYFUNCTION("""COMPUTED_VALUE"""),0.8649238854868694)</f>
        <v>0.8649238855</v>
      </c>
      <c r="AH88" s="30">
        <f>IFERROR(__xludf.DUMMYFUNCTION("""COMPUTED_VALUE"""),0.9237378402510156)</f>
        <v>0.9237378403</v>
      </c>
      <c r="AI88" s="30">
        <f>IFERROR(__xludf.DUMMYFUNCTION("""COMPUTED_VALUE"""),1.1071129063786445)</f>
        <v>1.107112906</v>
      </c>
      <c r="AJ88" s="30">
        <f>IFERROR(__xludf.DUMMYFUNCTION("""COMPUTED_VALUE"""),1.2565356472706386)</f>
        <v>1.256535647</v>
      </c>
      <c r="AK88" s="30">
        <f>IFERROR(__xludf.DUMMYFUNCTION("""COMPUTED_VALUE"""),1.302298817848181)</f>
        <v>1.302298818</v>
      </c>
      <c r="AL88" s="30">
        <f>IFERROR(__xludf.DUMMYFUNCTION("""COMPUTED_VALUE"""),1.0354253748914113)</f>
        <v>1.035425375</v>
      </c>
      <c r="AM88" s="30">
        <f>IFERROR(__xludf.DUMMYFUNCTION("""COMPUTED_VALUE"""),1.1340398557277853)</f>
        <v>1.134039856</v>
      </c>
      <c r="AN88" s="30">
        <f>IFERROR(__xludf.DUMMYFUNCTION("""COMPUTED_VALUE"""),0.9323091274155509)</f>
        <v>0.9323091274</v>
      </c>
      <c r="AO88" s="30">
        <f>IFERROR(__xludf.DUMMYFUNCTION("""COMPUTED_VALUE"""),0.9842762348529949)</f>
        <v>0.9842762349</v>
      </c>
      <c r="AP88" s="30">
        <f>IFERROR(__xludf.DUMMYFUNCTION("""COMPUTED_VALUE"""),1.1077257485461993)</f>
        <v>1.107725749</v>
      </c>
      <c r="AQ88" s="30">
        <f>IFERROR(__xludf.DUMMYFUNCTION("""COMPUTED_VALUE"""),0.8818345776282545)</f>
        <v>0.8818345776</v>
      </c>
      <c r="AR88" s="30">
        <f>IFERROR(__xludf.DUMMYFUNCTION("""COMPUTED_VALUE"""),0.954199260641139)</f>
        <v>0.9541992606</v>
      </c>
      <c r="AS88" s="30">
        <f>IFERROR(__xludf.DUMMYFUNCTION("""COMPUTED_VALUE"""),86.0)</f>
        <v>86</v>
      </c>
      <c r="AT88" s="30">
        <f>IFERROR(__xludf.DUMMYFUNCTION("""COMPUTED_VALUE"""),0.40176470556301314)</f>
        <v>0.4017647056</v>
      </c>
      <c r="AU88" s="30">
        <f>IFERROR(__xludf.DUMMYFUNCTION("""COMPUTED_VALUE"""),2.889890597622088)</f>
        <v>2.889890598</v>
      </c>
      <c r="AV88" s="32">
        <f>IFERROR(__xludf.DUMMYFUNCTION("""COMPUTED_VALUE"""),45.24450772046185)</f>
        <v>45.24450772</v>
      </c>
      <c r="AW88" s="32">
        <f>IFERROR(__xludf.DUMMYFUNCTION("""COMPUTED_VALUE"""),-2.3553325830747713)</f>
        <v>-2.355332583</v>
      </c>
      <c r="AX88" s="32">
        <f>IFERROR(__xludf.DUMMYFUNCTION("""COMPUTED_VALUE"""),25.253139454142367)</f>
        <v>25.25313945</v>
      </c>
      <c r="AY88" s="32">
        <f>IFERROR(__xludf.DUMMYFUNCTION("""COMPUTED_VALUE"""),-6.206640737129246)</f>
        <v>-6.206640737</v>
      </c>
      <c r="AZ88" s="30">
        <f>IFERROR(__xludf.DUMMYFUNCTION("""COMPUTED_VALUE"""),3.8513081540544745)</f>
        <v>3.851308154</v>
      </c>
      <c r="BA88" s="30">
        <f>IFERROR(__xludf.DUMMYFUNCTION("""COMPUTED_VALUE"""),450.0)</f>
        <v>450</v>
      </c>
    </row>
    <row r="89">
      <c r="A89" s="30" t="str">
        <f>IFERROR(__xludf.DUMMYFUNCTION("""COMPUTED_VALUE"""),"Master")</f>
        <v>Master</v>
      </c>
      <c r="B89" s="30" t="str">
        <f>IFERROR(__xludf.DUMMYFUNCTION("""COMPUTED_VALUE"""),"RSC005625")</f>
        <v>RSC005625</v>
      </c>
      <c r="C89" s="30" t="str">
        <f>IFERROR(__xludf.DUMMYFUNCTION("""COMPUTED_VALUE"""),"aspect of hope")</f>
        <v>aspect of hope</v>
      </c>
      <c r="D89" s="30" t="str">
        <f>IFERROR(__xludf.DUMMYFUNCTION("""COMPUTED_VALUE"""),"Spectres")</f>
        <v>Spectres</v>
      </c>
      <c r="E89" s="30">
        <f>IFERROR(__xludf.DUMMYFUNCTION("""COMPUTED_VALUE"""),35.0)</f>
        <v>35</v>
      </c>
      <c r="F89" s="30">
        <f>IFERROR(__xludf.DUMMYFUNCTION("""COMPUTED_VALUE"""),12.0)</f>
        <v>12</v>
      </c>
      <c r="G89" s="30">
        <f>IFERROR(__xludf.DUMMYFUNCTION("""COMPUTED_VALUE"""),23.0)</f>
        <v>23</v>
      </c>
      <c r="H89" s="42">
        <f>IFERROR(__xludf.DUMMYFUNCTION("""COMPUTED_VALUE"""),0.34285714285714286)</f>
        <v>0.3428571429</v>
      </c>
      <c r="I89" s="42">
        <f>IFERROR(__xludf.DUMMYFUNCTION("""COMPUTED_VALUE"""),0.3619047619047619)</f>
        <v>0.3619047619</v>
      </c>
      <c r="J89" s="30">
        <f>IFERROR(__xludf.DUMMYFUNCTION("""COMPUTED_VALUE"""),396.22857142857146)</f>
        <v>396.2285714</v>
      </c>
      <c r="K89" s="30">
        <f>IFERROR(__xludf.DUMMYFUNCTION("""COMPUTED_VALUE"""),1.0857142857142856)</f>
        <v>1.085714286</v>
      </c>
      <c r="L89" s="30">
        <f>IFERROR(__xludf.DUMMYFUNCTION("""COMPUTED_VALUE"""),0.8857142857142857)</f>
        <v>0.8857142857</v>
      </c>
      <c r="M89" s="30">
        <f>IFERROR(__xludf.DUMMYFUNCTION("""COMPUTED_VALUE"""),1.2857142857142858)</f>
        <v>1.285714286</v>
      </c>
      <c r="N89" s="30">
        <f>IFERROR(__xludf.DUMMYFUNCTION("""COMPUTED_VALUE"""),3.0)</f>
        <v>3</v>
      </c>
      <c r="O89" s="30">
        <f>IFERROR(__xludf.DUMMYFUNCTION("""COMPUTED_VALUE"""),418.61904761904765)</f>
        <v>418.6190476</v>
      </c>
      <c r="P89" s="30">
        <f>IFERROR(__xludf.DUMMYFUNCTION("""COMPUTED_VALUE"""),1.095238095238095)</f>
        <v>1.095238095</v>
      </c>
      <c r="Q89" s="30">
        <f>IFERROR(__xludf.DUMMYFUNCTION("""COMPUTED_VALUE"""),0.8666666666666665)</f>
        <v>0.8666666667</v>
      </c>
      <c r="R89" s="30">
        <f>IFERROR(__xludf.DUMMYFUNCTION("""COMPUTED_VALUE"""),1.5047619047619052)</f>
        <v>1.504761905</v>
      </c>
      <c r="S89" s="30">
        <f>IFERROR(__xludf.DUMMYFUNCTION("""COMPUTED_VALUE"""),3.019047619047619)</f>
        <v>3.019047619</v>
      </c>
      <c r="T89" s="30">
        <f>IFERROR(__xludf.DUMMYFUNCTION("""COMPUTED_VALUE"""),389.5817945185855)</f>
        <v>389.5817945</v>
      </c>
      <c r="U89" s="30">
        <f>IFERROR(__xludf.DUMMYFUNCTION("""COMPUTED_VALUE"""),0.8904070637053875)</f>
        <v>0.8904070637</v>
      </c>
      <c r="V89" s="30">
        <f>IFERROR(__xludf.DUMMYFUNCTION("""COMPUTED_VALUE"""),0.672480794129561)</f>
        <v>0.6724807941</v>
      </c>
      <c r="W89" s="30">
        <f>IFERROR(__xludf.DUMMYFUNCTION("""COMPUTED_VALUE"""),1.4660744398267227)</f>
        <v>1.46607444</v>
      </c>
      <c r="X89" s="30">
        <f>IFERROR(__xludf.DUMMYFUNCTION("""COMPUTED_VALUE"""),2.8769685755789336)</f>
        <v>2.876968576</v>
      </c>
      <c r="Y89" s="30">
        <f>IFERROR(__xludf.DUMMYFUNCTION("""COMPUTED_VALUE"""),380.15031080832165)</f>
        <v>380.1503108</v>
      </c>
      <c r="Z89" s="30">
        <f>IFERROR(__xludf.DUMMYFUNCTION("""COMPUTED_VALUE"""),0.8470025343476538)</f>
        <v>0.8470025343</v>
      </c>
      <c r="AA89" s="30">
        <f>IFERROR(__xludf.DUMMYFUNCTION("""COMPUTED_VALUE"""),0.6598052554942062)</f>
        <v>0.6598052555</v>
      </c>
      <c r="AB89" s="30">
        <f>IFERROR(__xludf.DUMMYFUNCTION("""COMPUTED_VALUE"""),1.4686623846228448)</f>
        <v>1.468662385</v>
      </c>
      <c r="AC89" s="30">
        <f>IFERROR(__xludf.DUMMYFUNCTION("""COMPUTED_VALUE"""),2.770828140290778)</f>
        <v>2.77082814</v>
      </c>
      <c r="AD89" s="30">
        <f>IFERROR(__xludf.DUMMYFUNCTION("""COMPUTED_VALUE"""),1.0422944823747804)</f>
        <v>1.042294482</v>
      </c>
      <c r="AE89" s="30">
        <f>IFERROR(__xludf.DUMMYFUNCTION("""COMPUTED_VALUE"""),1.281831212642691)</f>
        <v>1.281831213</v>
      </c>
      <c r="AF89" s="30">
        <f>IFERROR(__xludf.DUMMYFUNCTION("""COMPUTED_VALUE"""),1.34238743680644)</f>
        <v>1.342387437</v>
      </c>
      <c r="AG89" s="30">
        <f>IFERROR(__xludf.DUMMYFUNCTION("""COMPUTED_VALUE"""),0.8754321613843603)</f>
        <v>0.8754321614</v>
      </c>
      <c r="AH89" s="30">
        <f>IFERROR(__xludf.DUMMYFUNCTION("""COMPUTED_VALUE"""),1.0827087961093005)</f>
        <v>1.082708796</v>
      </c>
      <c r="AI89" s="30">
        <f>IFERROR(__xludf.DUMMYFUNCTION("""COMPUTED_VALUE"""),1.0745344200088818)</f>
        <v>1.07453442</v>
      </c>
      <c r="AJ89" s="30">
        <f>IFERROR(__xludf.DUMMYFUNCTION("""COMPUTED_VALUE"""),1.230042010988)</f>
        <v>1.230042011</v>
      </c>
      <c r="AK89" s="30">
        <f>IFERROR(__xludf.DUMMYFUNCTION("""COMPUTED_VALUE"""),1.2887604735068365)</f>
        <v>1.288760474</v>
      </c>
      <c r="AL89" s="30">
        <f>IFERROR(__xludf.DUMMYFUNCTION("""COMPUTED_VALUE"""),1.0263884724296504)</f>
        <v>1.026388472</v>
      </c>
      <c r="AM89" s="30">
        <f>IFERROR(__xludf.DUMMYFUNCTION("""COMPUTED_VALUE"""),1.0493849827470203)</f>
        <v>1.049384983</v>
      </c>
      <c r="AN89" s="30">
        <f>IFERROR(__xludf.DUMMYFUNCTION("""COMPUTED_VALUE"""),1.0567710028555173)</f>
        <v>1.056771003</v>
      </c>
      <c r="AO89" s="30">
        <f>IFERROR(__xludf.DUMMYFUNCTION("""COMPUTED_VALUE"""),1.3152526391002655)</f>
        <v>1.315252639</v>
      </c>
      <c r="AP89" s="30">
        <f>IFERROR(__xludf.DUMMYFUNCTION("""COMPUTED_VALUE"""),1.3650483758482357)</f>
        <v>1.365048376</v>
      </c>
      <c r="AQ89" s="30">
        <f>IFERROR(__xludf.DUMMYFUNCTION("""COMPUTED_VALUE"""),0.8849071719753914)</f>
        <v>0.884907172</v>
      </c>
      <c r="AR89" s="30">
        <f>IFERROR(__xludf.DUMMYFUNCTION("""COMPUTED_VALUE"""),1.1036521568861368)</f>
        <v>1.103652157</v>
      </c>
      <c r="AS89" s="30">
        <f>IFERROR(__xludf.DUMMYFUNCTION("""COMPUTED_VALUE"""),99.0)</f>
        <v>99</v>
      </c>
      <c r="AT89" s="30">
        <f>IFERROR(__xludf.DUMMYFUNCTION("""COMPUTED_VALUE"""),0.43735583333943184)</f>
        <v>0.4373558333</v>
      </c>
      <c r="AU89" s="30">
        <f>IFERROR(__xludf.DUMMYFUNCTION("""COMPUTED_VALUE"""),3.8819496374699365)</f>
        <v>3.881949637</v>
      </c>
      <c r="AV89" s="32">
        <f>IFERROR(__xludf.DUMMYFUNCTION("""COMPUTED_VALUE"""),71.69515001542034)</f>
        <v>71.69515002</v>
      </c>
      <c r="AW89" s="32">
        <f>IFERROR(__xludf.DUMMYFUNCTION("""COMPUTED_VALUE"""),5.188060116889355)</f>
        <v>5.188060117</v>
      </c>
      <c r="AX89" s="32">
        <f>IFERROR(__xludf.DUMMYFUNCTION("""COMPUTED_VALUE"""),52.60565979137735)</f>
        <v>52.60565979</v>
      </c>
      <c r="AY89" s="32">
        <f>IFERROR(__xludf.DUMMYFUNCTION("""COMPUTED_VALUE"""),2.1810496025045025)</f>
        <v>2.181049603</v>
      </c>
      <c r="AZ89" s="30">
        <f>IFERROR(__xludf.DUMMYFUNCTION("""COMPUTED_VALUE"""),3.0070105143848527)</f>
        <v>3.007010514</v>
      </c>
      <c r="BA89" s="30">
        <f>IFERROR(__xludf.DUMMYFUNCTION("""COMPUTED_VALUE"""),450.0)</f>
        <v>450</v>
      </c>
    </row>
    <row r="90">
      <c r="A90" s="30" t="str">
        <f>IFERROR(__xludf.DUMMYFUNCTION("""COMPUTED_VALUE"""),"Master")</f>
        <v>Master</v>
      </c>
      <c r="B90" s="30" t="str">
        <f>IFERROR(__xludf.DUMMYFUNCTION("""COMPUTED_VALUE"""),"RSC007605")</f>
        <v>RSC007605</v>
      </c>
      <c r="C90" s="30" t="str">
        <f>IFERROR(__xludf.DUMMYFUNCTION("""COMPUTED_VALUE"""),"Afterburner3375")</f>
        <v>Afterburner3375</v>
      </c>
      <c r="D90" s="30" t="str">
        <f>IFERROR(__xludf.DUMMYFUNCTION("""COMPUTED_VALUE"""),"Oblivion")</f>
        <v>Oblivion</v>
      </c>
      <c r="E90" s="30">
        <f>IFERROR(__xludf.DUMMYFUNCTION("""COMPUTED_VALUE"""),44.0)</f>
        <v>44</v>
      </c>
      <c r="F90" s="30">
        <f>IFERROR(__xludf.DUMMYFUNCTION("""COMPUTED_VALUE"""),30.0)</f>
        <v>30</v>
      </c>
      <c r="G90" s="30">
        <f>IFERROR(__xludf.DUMMYFUNCTION("""COMPUTED_VALUE"""),14.0)</f>
        <v>14</v>
      </c>
      <c r="H90" s="42">
        <f>IFERROR(__xludf.DUMMYFUNCTION("""COMPUTED_VALUE"""),0.6818181818181818)</f>
        <v>0.6818181818</v>
      </c>
      <c r="I90" s="42">
        <f>IFERROR(__xludf.DUMMYFUNCTION("""COMPUTED_VALUE"""),0.39534883720930236)</f>
        <v>0.3953488372</v>
      </c>
      <c r="J90" s="30">
        <f>IFERROR(__xludf.DUMMYFUNCTION("""COMPUTED_VALUE"""),412.22727272727275)</f>
        <v>412.2272727</v>
      </c>
      <c r="K90" s="30">
        <f>IFERROR(__xludf.DUMMYFUNCTION("""COMPUTED_VALUE"""),1.1590909090909092)</f>
        <v>1.159090909</v>
      </c>
      <c r="L90" s="30">
        <f>IFERROR(__xludf.DUMMYFUNCTION("""COMPUTED_VALUE"""),0.9090909090909091)</f>
        <v>0.9090909091</v>
      </c>
      <c r="M90" s="30">
        <f>IFERROR(__xludf.DUMMYFUNCTION("""COMPUTED_VALUE"""),1.25)</f>
        <v>1.25</v>
      </c>
      <c r="N90" s="30">
        <f>IFERROR(__xludf.DUMMYFUNCTION("""COMPUTED_VALUE"""),2.9318181818181817)</f>
        <v>2.931818182</v>
      </c>
      <c r="O90" s="30">
        <f>IFERROR(__xludf.DUMMYFUNCTION("""COMPUTED_VALUE"""),357.39393939393943)</f>
        <v>357.3939394</v>
      </c>
      <c r="P90" s="30">
        <f>IFERROR(__xludf.DUMMYFUNCTION("""COMPUTED_VALUE"""),0.7500000000000001)</f>
        <v>0.75</v>
      </c>
      <c r="Q90" s="30">
        <f>IFERROR(__xludf.DUMMYFUNCTION("""COMPUTED_VALUE"""),0.5075757575757576)</f>
        <v>0.5075757576</v>
      </c>
      <c r="R90" s="30">
        <f>IFERROR(__xludf.DUMMYFUNCTION("""COMPUTED_VALUE"""),1.5)</f>
        <v>1.5</v>
      </c>
      <c r="S90" s="30">
        <f>IFERROR(__xludf.DUMMYFUNCTION("""COMPUTED_VALUE"""),2.4621212121212115)</f>
        <v>2.462121212</v>
      </c>
      <c r="T90" s="30">
        <f>IFERROR(__xludf.DUMMYFUNCTION("""COMPUTED_VALUE"""),380.3357886372825)</f>
        <v>380.3357886</v>
      </c>
      <c r="U90" s="30">
        <f>IFERROR(__xludf.DUMMYFUNCTION("""COMPUTED_VALUE"""),0.8185282939671503)</f>
        <v>0.818528294</v>
      </c>
      <c r="V90" s="30">
        <f>IFERROR(__xludf.DUMMYFUNCTION("""COMPUTED_VALUE"""),0.6110351370579605)</f>
        <v>0.6110351371</v>
      </c>
      <c r="W90" s="30">
        <f>IFERROR(__xludf.DUMMYFUNCTION("""COMPUTED_VALUE"""),1.5416777924109304)</f>
        <v>1.541677792</v>
      </c>
      <c r="X90" s="30">
        <f>IFERROR(__xludf.DUMMYFUNCTION("""COMPUTED_VALUE"""),2.7803068136058577)</f>
        <v>2.780306814</v>
      </c>
      <c r="Y90" s="30">
        <f>IFERROR(__xludf.DUMMYFUNCTION("""COMPUTED_VALUE"""),400.80213350657147)</f>
        <v>400.8021335</v>
      </c>
      <c r="Z90" s="30">
        <f>IFERROR(__xludf.DUMMYFUNCTION("""COMPUTED_VALUE"""),0.9679491397907717)</f>
        <v>0.9679491398</v>
      </c>
      <c r="AA90" s="30">
        <f>IFERROR(__xludf.DUMMYFUNCTION("""COMPUTED_VALUE"""),0.7424402249850585)</f>
        <v>0.742440225</v>
      </c>
      <c r="AB90" s="30">
        <f>IFERROR(__xludf.DUMMYFUNCTION("""COMPUTED_VALUE"""),1.4871782743056465)</f>
        <v>1.487178274</v>
      </c>
      <c r="AC90" s="30">
        <f>IFERROR(__xludf.DUMMYFUNCTION("""COMPUTED_VALUE"""),2.9360592286387286)</f>
        <v>2.936059229</v>
      </c>
      <c r="AD90" s="30">
        <f>IFERROR(__xludf.DUMMYFUNCTION("""COMPUTED_VALUE"""),1.0285056846398097)</f>
        <v>1.028505685</v>
      </c>
      <c r="AE90" s="30">
        <f>IFERROR(__xludf.DUMMYFUNCTION("""COMPUTED_VALUE"""),1.197470880899232)</f>
        <v>1.197470881</v>
      </c>
      <c r="AF90" s="30">
        <f>IFERROR(__xludf.DUMMYFUNCTION("""COMPUTED_VALUE"""),1.2244634362439137)</f>
        <v>1.224463436</v>
      </c>
      <c r="AG90" s="30">
        <f>IFERROR(__xludf.DUMMYFUNCTION("""COMPUTED_VALUE"""),0.840517926866311)</f>
        <v>0.8405179269</v>
      </c>
      <c r="AH90" s="30">
        <f>IFERROR(__xludf.DUMMYFUNCTION("""COMPUTED_VALUE"""),0.9985555309037436)</f>
        <v>0.9985555309</v>
      </c>
      <c r="AI90" s="30">
        <f>IFERROR(__xludf.DUMMYFUNCTION("""COMPUTED_VALUE"""),0.9396800145325734)</f>
        <v>0.9396800145</v>
      </c>
      <c r="AJ90" s="30">
        <f>IFERROR(__xludf.DUMMYFUNCTION("""COMPUTED_VALUE"""),0.9162786497763993)</f>
        <v>0.9162786498</v>
      </c>
      <c r="AK90" s="30">
        <f>IFERROR(__xludf.DUMMYFUNCTION("""COMPUTED_VALUE"""),0.8306817837344939)</f>
        <v>0.8306817837</v>
      </c>
      <c r="AL90" s="30">
        <f>IFERROR(__xludf.DUMMYFUNCTION("""COMPUTED_VALUE"""),0.9729659513705823)</f>
        <v>0.9729659514</v>
      </c>
      <c r="AM90" s="30">
        <f>IFERROR(__xludf.DUMMYFUNCTION("""COMPUTED_VALUE"""),0.8855573780823195)</f>
        <v>0.8855573781</v>
      </c>
      <c r="AN90" s="30">
        <f>IFERROR(__xludf.DUMMYFUNCTION("""COMPUTED_VALUE"""),1.0994407264316282)</f>
        <v>1.099440726</v>
      </c>
      <c r="AO90" s="30">
        <f>IFERROR(__xludf.DUMMYFUNCTION("""COMPUTED_VALUE"""),1.4041423210490276)</f>
        <v>1.404142321</v>
      </c>
      <c r="AP90" s="30">
        <f>IFERROR(__xludf.DUMMYFUNCTION("""COMPUTED_VALUE"""),1.4010760455920308)</f>
        <v>1.401076046</v>
      </c>
      <c r="AQ90" s="30">
        <f>IFERROR(__xludf.DUMMYFUNCTION("""COMPUTED_VALUE"""),0.860326417198297)</f>
        <v>0.8603264172</v>
      </c>
      <c r="AR90" s="30">
        <f>IFERROR(__xludf.DUMMYFUNCTION("""COMPUTED_VALUE"""),1.0785691533205426)</f>
        <v>1.078569153</v>
      </c>
      <c r="AS90" s="30">
        <f>IFERROR(__xludf.DUMMYFUNCTION("""COMPUTED_VALUE"""),142.0)</f>
        <v>142</v>
      </c>
      <c r="AT90" s="30">
        <f>IFERROR(__xludf.DUMMYFUNCTION("""COMPUTED_VALUE"""),0.6428270242222194)</f>
        <v>0.6428270242</v>
      </c>
      <c r="AU90" s="30">
        <f>IFERROR(__xludf.DUMMYFUNCTION("""COMPUTED_VALUE"""),4.139098712156185)</f>
        <v>4.139098712</v>
      </c>
      <c r="AV90" s="32">
        <f>IFERROR(__xludf.DUMMYFUNCTION("""COMPUTED_VALUE"""),78.55135304145065)</f>
        <v>78.55135304</v>
      </c>
      <c r="AW90" s="32">
        <f>IFERROR(__xludf.DUMMYFUNCTION("""COMPUTED_VALUE"""),7.891678073987147)</f>
        <v>7.891678074</v>
      </c>
      <c r="AX90" s="32">
        <f>IFERROR(__xludf.DUMMYFUNCTION("""COMPUTED_VALUE"""),70.69131821958)</f>
        <v>70.69131822</v>
      </c>
      <c r="AY90" s="32">
        <f>IFERROR(__xludf.DUMMYFUNCTION("""COMPUTED_VALUE"""),4.90355687657934)</f>
        <v>4.903556877</v>
      </c>
      <c r="AZ90" s="30">
        <f>IFERROR(__xludf.DUMMYFUNCTION("""COMPUTED_VALUE"""),2.988121197407807)</f>
        <v>2.988121197</v>
      </c>
      <c r="BA90" s="30">
        <f>IFERROR(__xludf.DUMMYFUNCTION("""COMPUTED_VALUE"""),450.0)</f>
        <v>450</v>
      </c>
    </row>
    <row r="91">
      <c r="A91" s="30" t="str">
        <f>IFERROR(__xludf.DUMMYFUNCTION("""COMPUTED_VALUE"""),"Master")</f>
        <v>Master</v>
      </c>
      <c r="B91" s="30" t="str">
        <f>IFERROR(__xludf.DUMMYFUNCTION("""COMPUTED_VALUE"""),"RSC004132")</f>
        <v>RSC004132</v>
      </c>
      <c r="C91" s="30" t="str">
        <f>IFERROR(__xludf.DUMMYFUNCTION("""COMPUTED_VALUE"""),"Rob Belichick")</f>
        <v>Rob Belichick</v>
      </c>
      <c r="D91" s="30" t="str">
        <f>IFERROR(__xludf.DUMMYFUNCTION("""COMPUTED_VALUE"""),"Battle Masters")</f>
        <v>Battle Masters</v>
      </c>
      <c r="E91" s="30">
        <f>IFERROR(__xludf.DUMMYFUNCTION("""COMPUTED_VALUE"""),11.0)</f>
        <v>11</v>
      </c>
      <c r="F91" s="30">
        <f>IFERROR(__xludf.DUMMYFUNCTION("""COMPUTED_VALUE"""),7.0)</f>
        <v>7</v>
      </c>
      <c r="G91" s="30">
        <f>IFERROR(__xludf.DUMMYFUNCTION("""COMPUTED_VALUE"""),4.0)</f>
        <v>4</v>
      </c>
      <c r="H91" s="42">
        <f>IFERROR(__xludf.DUMMYFUNCTION("""COMPUTED_VALUE"""),0.6363636363636364)</f>
        <v>0.6363636364</v>
      </c>
      <c r="I91" s="42">
        <f>IFERROR(__xludf.DUMMYFUNCTION("""COMPUTED_VALUE"""),0.4482758620689656)</f>
        <v>0.4482758621</v>
      </c>
      <c r="J91" s="30">
        <f>IFERROR(__xludf.DUMMYFUNCTION("""COMPUTED_VALUE"""),424.27272727272725)</f>
        <v>424.2727273</v>
      </c>
      <c r="K91" s="30">
        <f>IFERROR(__xludf.DUMMYFUNCTION("""COMPUTED_VALUE"""),1.1818181818181819)</f>
        <v>1.181818182</v>
      </c>
      <c r="L91" s="30">
        <f>IFERROR(__xludf.DUMMYFUNCTION("""COMPUTED_VALUE"""),0.8181818181818182)</f>
        <v>0.8181818182</v>
      </c>
      <c r="M91" s="30">
        <f>IFERROR(__xludf.DUMMYFUNCTION("""COMPUTED_VALUE"""),1.2727272727272727)</f>
        <v>1.272727273</v>
      </c>
      <c r="N91" s="30">
        <f>IFERROR(__xludf.DUMMYFUNCTION("""COMPUTED_VALUE"""),2.6363636363636362)</f>
        <v>2.636363636</v>
      </c>
      <c r="O91" s="30">
        <f>IFERROR(__xludf.DUMMYFUNCTION("""COMPUTED_VALUE"""),392.1515151515152)</f>
        <v>392.1515152</v>
      </c>
      <c r="P91" s="30">
        <f>IFERROR(__xludf.DUMMYFUNCTION("""COMPUTED_VALUE"""),0.9090909090909091)</f>
        <v>0.9090909091</v>
      </c>
      <c r="Q91" s="30">
        <f>IFERROR(__xludf.DUMMYFUNCTION("""COMPUTED_VALUE"""),0.7272727272727273)</f>
        <v>0.7272727273</v>
      </c>
      <c r="R91" s="30">
        <f>IFERROR(__xludf.DUMMYFUNCTION("""COMPUTED_VALUE"""),1.212121212121212)</f>
        <v>1.212121212</v>
      </c>
      <c r="S91" s="30">
        <f>IFERROR(__xludf.DUMMYFUNCTION("""COMPUTED_VALUE"""),3.060606060606061)</f>
        <v>3.060606061</v>
      </c>
      <c r="T91" s="30">
        <f>IFERROR(__xludf.DUMMYFUNCTION("""COMPUTED_VALUE"""),383.9182298769096)</f>
        <v>383.9182299</v>
      </c>
      <c r="U91" s="30">
        <f>IFERROR(__xludf.DUMMYFUNCTION("""COMPUTED_VALUE"""),0.8267231028789996)</f>
        <v>0.8267231029</v>
      </c>
      <c r="V91" s="30">
        <f>IFERROR(__xludf.DUMMYFUNCTION("""COMPUTED_VALUE"""),0.6740602816296178)</f>
        <v>0.6740602816</v>
      </c>
      <c r="W91" s="30">
        <f>IFERROR(__xludf.DUMMYFUNCTION("""COMPUTED_VALUE"""),1.4888522578735817)</f>
        <v>1.488852258</v>
      </c>
      <c r="X91" s="30">
        <f>IFERROR(__xludf.DUMMYFUNCTION("""COMPUTED_VALUE"""),2.701681210323568)</f>
        <v>2.70168121</v>
      </c>
      <c r="Y91" s="30">
        <f>IFERROR(__xludf.DUMMYFUNCTION("""COMPUTED_VALUE"""),402.42238233172156)</f>
        <v>402.4223823</v>
      </c>
      <c r="Z91" s="30">
        <f>IFERROR(__xludf.DUMMYFUNCTION("""COMPUTED_VALUE"""),0.933491603945025)</f>
        <v>0.9334916039</v>
      </c>
      <c r="AA91" s="30">
        <f>IFERROR(__xludf.DUMMYFUNCTION("""COMPUTED_VALUE"""),0.7025303214340066)</f>
        <v>0.7025303214</v>
      </c>
      <c r="AB91" s="30">
        <f>IFERROR(__xludf.DUMMYFUNCTION("""COMPUTED_VALUE"""),1.4925580137761978)</f>
        <v>1.492558014</v>
      </c>
      <c r="AC91" s="30">
        <f>IFERROR(__xludf.DUMMYFUNCTION("""COMPUTED_VALUE"""),2.9455194608970277)</f>
        <v>2.945519461</v>
      </c>
      <c r="AD91" s="30">
        <f>IFERROR(__xludf.DUMMYFUNCTION("""COMPUTED_VALUE"""),1.054297041865316)</f>
        <v>1.054297042</v>
      </c>
      <c r="AE91" s="30">
        <f>IFERROR(__xludf.DUMMYFUNCTION("""COMPUTED_VALUE"""),1.2660190802185098)</f>
        <v>1.26601908</v>
      </c>
      <c r="AF91" s="30">
        <f>IFERROR(__xludf.DUMMYFUNCTION("""COMPUTED_VALUE"""),1.1646213597040815)</f>
        <v>1.16462136</v>
      </c>
      <c r="AG91" s="30">
        <f>IFERROR(__xludf.DUMMYFUNCTION("""COMPUTED_VALUE"""),0.8527154462205797)</f>
        <v>0.8527154462</v>
      </c>
      <c r="AH91" s="30">
        <f>IFERROR(__xludf.DUMMYFUNCTION("""COMPUTED_VALUE"""),0.8950420023912382)</f>
        <v>0.8950420024</v>
      </c>
      <c r="AI91" s="30">
        <f>IFERROR(__xludf.DUMMYFUNCTION("""COMPUTED_VALUE"""),1.0214454137206386)</f>
        <v>1.021445414</v>
      </c>
      <c r="AJ91" s="30">
        <f>IFERROR(__xludf.DUMMYFUNCTION("""COMPUTED_VALUE"""),1.099631673440684)</f>
        <v>1.099631673</v>
      </c>
      <c r="AK91" s="30">
        <f>IFERROR(__xludf.DUMMYFUNCTION("""COMPUTED_VALUE"""),1.078943155520842)</f>
        <v>1.078943156</v>
      </c>
      <c r="AL91" s="30">
        <f>IFERROR(__xludf.DUMMYFUNCTION("""COMPUTED_VALUE"""),0.8141312918800927)</f>
        <v>0.8141312919</v>
      </c>
      <c r="AM91" s="30">
        <f>IFERROR(__xludf.DUMMYFUNCTION("""COMPUTED_VALUE"""),1.1328524064611998)</f>
        <v>1.132852406</v>
      </c>
      <c r="AN91" s="30">
        <f>IFERROR(__xludf.DUMMYFUNCTION("""COMPUTED_VALUE"""),1.131566847559027)</f>
        <v>1.131566848</v>
      </c>
      <c r="AO91" s="30">
        <f>IFERROR(__xludf.DUMMYFUNCTION("""COMPUTED_VALUE"""),1.431674523422538)</f>
        <v>1.431674523</v>
      </c>
      <c r="AP91" s="30">
        <f>IFERROR(__xludf.DUMMYFUNCTION("""COMPUTED_VALUE"""),1.260968441032828)</f>
        <v>1.260968441</v>
      </c>
      <c r="AQ91" s="30">
        <f>IFERROR(__xludf.DUMMYFUNCTION("""COMPUTED_VALUE"""),0.8759687156928115)</f>
        <v>0.8759687157</v>
      </c>
      <c r="AR91" s="30">
        <f>IFERROR(__xludf.DUMMYFUNCTION("""COMPUTED_VALUE"""),0.9698761378696352)</f>
        <v>0.9698761379</v>
      </c>
      <c r="AS91" s="30">
        <f>IFERROR(__xludf.DUMMYFUNCTION("""COMPUTED_VALUE"""),38.0)</f>
        <v>38</v>
      </c>
      <c r="AT91" s="30">
        <f>IFERROR(__xludf.DUMMYFUNCTION("""COMPUTED_VALUE"""),0.5983821157340817)</f>
        <v>0.5983821157</v>
      </c>
      <c r="AU91" s="30">
        <f>IFERROR(__xludf.DUMMYFUNCTION("""COMPUTED_VALUE"""),3.827712799705802)</f>
        <v>3.8277128</v>
      </c>
      <c r="AV91" s="32">
        <f>IFERROR(__xludf.DUMMYFUNCTION("""COMPUTED_VALUE"""),70.24906753717505)</f>
        <v>70.24906754</v>
      </c>
      <c r="AW91" s="32">
        <f>IFERROR(__xludf.DUMMYFUNCTION("""COMPUTED_VALUE"""),4.78512843791923)</f>
        <v>4.785128438</v>
      </c>
      <c r="AX91" s="32">
        <f>IFERROR(__xludf.DUMMYFUNCTION("""COMPUTED_VALUE"""),51.47346547605003)</f>
        <v>51.47346548</v>
      </c>
      <c r="AY91" s="32">
        <f>IFERROR(__xludf.DUMMYFUNCTION("""COMPUTED_VALUE"""),2.0986336890454624)</f>
        <v>2.098633689</v>
      </c>
      <c r="AZ91" s="30">
        <f>IFERROR(__xludf.DUMMYFUNCTION("""COMPUTED_VALUE"""),2.6864947488737676)</f>
        <v>2.686494749</v>
      </c>
      <c r="BA91" s="30">
        <f>IFERROR(__xludf.DUMMYFUNCTION("""COMPUTED_VALUE"""),450.0)</f>
        <v>450</v>
      </c>
    </row>
    <row r="92">
      <c r="A92" s="30" t="str">
        <f>IFERROR(__xludf.DUMMYFUNCTION("""COMPUTED_VALUE"""),"Master")</f>
        <v>Master</v>
      </c>
      <c r="B92" s="30" t="str">
        <f>IFERROR(__xludf.DUMMYFUNCTION("""COMPUTED_VALUE"""),"RSC007099")</f>
        <v>RSC007099</v>
      </c>
      <c r="C92" s="30" t="str">
        <f>IFERROR(__xludf.DUMMYFUNCTION("""COMPUTED_VALUE"""),"gumwee wigglebean")</f>
        <v>gumwee wigglebean</v>
      </c>
      <c r="D92" s="30" t="str">
        <f>IFERROR(__xludf.DUMMYFUNCTION("""COMPUTED_VALUE"""),"Andromeda")</f>
        <v>Andromeda</v>
      </c>
      <c r="E92" s="30">
        <f>IFERROR(__xludf.DUMMYFUNCTION("""COMPUTED_VALUE"""),24.0)</f>
        <v>24</v>
      </c>
      <c r="F92" s="30">
        <f>IFERROR(__xludf.DUMMYFUNCTION("""COMPUTED_VALUE"""),12.0)</f>
        <v>12</v>
      </c>
      <c r="G92" s="30">
        <f>IFERROR(__xludf.DUMMYFUNCTION("""COMPUTED_VALUE"""),12.0)</f>
        <v>12</v>
      </c>
      <c r="H92" s="42">
        <f>IFERROR(__xludf.DUMMYFUNCTION("""COMPUTED_VALUE"""),0.5)</f>
        <v>0.5</v>
      </c>
      <c r="I92" s="42">
        <f>IFERROR(__xludf.DUMMYFUNCTION("""COMPUTED_VALUE"""),0.37142857142857144)</f>
        <v>0.3714285714</v>
      </c>
      <c r="J92" s="30">
        <f>IFERROR(__xludf.DUMMYFUNCTION("""COMPUTED_VALUE"""),447.375)</f>
        <v>447.375</v>
      </c>
      <c r="K92" s="30">
        <f>IFERROR(__xludf.DUMMYFUNCTION("""COMPUTED_VALUE"""),1.0833333333333333)</f>
        <v>1.083333333</v>
      </c>
      <c r="L92" s="30">
        <f>IFERROR(__xludf.DUMMYFUNCTION("""COMPUTED_VALUE"""),0.8333333333333334)</f>
        <v>0.8333333333</v>
      </c>
      <c r="M92" s="30">
        <f>IFERROR(__xludf.DUMMYFUNCTION("""COMPUTED_VALUE"""),1.625)</f>
        <v>1.625</v>
      </c>
      <c r="N92" s="30">
        <f>IFERROR(__xludf.DUMMYFUNCTION("""COMPUTED_VALUE"""),2.9166666666666665)</f>
        <v>2.916666667</v>
      </c>
      <c r="O92" s="30">
        <f>IFERROR(__xludf.DUMMYFUNCTION("""COMPUTED_VALUE"""),387.5416666666667)</f>
        <v>387.5416667</v>
      </c>
      <c r="P92" s="30">
        <f>IFERROR(__xludf.DUMMYFUNCTION("""COMPUTED_VALUE"""),0.75)</f>
        <v>0.75</v>
      </c>
      <c r="Q92" s="30">
        <f>IFERROR(__xludf.DUMMYFUNCTION("""COMPUTED_VALUE"""),0.5694444444444445)</f>
        <v>0.5694444444</v>
      </c>
      <c r="R92" s="30">
        <f>IFERROR(__xludf.DUMMYFUNCTION("""COMPUTED_VALUE"""),1.6388888888888886)</f>
        <v>1.638888889</v>
      </c>
      <c r="S92" s="30">
        <f>IFERROR(__xludf.DUMMYFUNCTION("""COMPUTED_VALUE"""),2.638888888888889)</f>
        <v>2.638888889</v>
      </c>
      <c r="T92" s="30">
        <f>IFERROR(__xludf.DUMMYFUNCTION("""COMPUTED_VALUE"""),379.32481396473355)</f>
        <v>379.324814</v>
      </c>
      <c r="U92" s="30">
        <f>IFERROR(__xludf.DUMMYFUNCTION("""COMPUTED_VALUE"""),0.8526585553010994)</f>
        <v>0.8526585553</v>
      </c>
      <c r="V92" s="30">
        <f>IFERROR(__xludf.DUMMYFUNCTION("""COMPUTED_VALUE"""),0.6613066208753343)</f>
        <v>0.6613066209</v>
      </c>
      <c r="W92" s="30">
        <f>IFERROR(__xludf.DUMMYFUNCTION("""COMPUTED_VALUE"""),1.4242825291180548)</f>
        <v>1.424282529</v>
      </c>
      <c r="X92" s="30">
        <f>IFERROR(__xludf.DUMMYFUNCTION("""COMPUTED_VALUE"""),2.7318876055718158)</f>
        <v>2.731887606</v>
      </c>
      <c r="Y92" s="30">
        <f>IFERROR(__xludf.DUMMYFUNCTION("""COMPUTED_VALUE"""),390.24312413278614)</f>
        <v>390.2431241</v>
      </c>
      <c r="Z92" s="30">
        <f>IFERROR(__xludf.DUMMYFUNCTION("""COMPUTED_VALUE"""),0.8766478266208421)</f>
        <v>0.8766478266</v>
      </c>
      <c r="AA92" s="30">
        <f>IFERROR(__xludf.DUMMYFUNCTION("""COMPUTED_VALUE"""),0.6751778539601266)</f>
        <v>0.675177854</v>
      </c>
      <c r="AB92" s="30">
        <f>IFERROR(__xludf.DUMMYFUNCTION("""COMPUTED_VALUE"""),1.5132837163936301)</f>
        <v>1.513283716</v>
      </c>
      <c r="AC92" s="30">
        <f>IFERROR(__xludf.DUMMYFUNCTION("""COMPUTED_VALUE"""),2.772743018480804)</f>
        <v>2.772743018</v>
      </c>
      <c r="AD92" s="30">
        <f>IFERROR(__xludf.DUMMYFUNCTION("""COMPUTED_VALUE"""),1.1464007238927645)</f>
        <v>1.146400724</v>
      </c>
      <c r="AE92" s="30">
        <f>IFERROR(__xludf.DUMMYFUNCTION("""COMPUTED_VALUE"""),1.2357680021967186)</f>
        <v>1.235768002</v>
      </c>
      <c r="AF92" s="30">
        <f>IFERROR(__xludf.DUMMYFUNCTION("""COMPUTED_VALUE"""),1.2342426938999496)</f>
        <v>1.234242694</v>
      </c>
      <c r="AG92" s="30">
        <f>IFERROR(__xludf.DUMMYFUNCTION("""COMPUTED_VALUE"""),1.0738237532037982)</f>
        <v>1.073823753</v>
      </c>
      <c r="AH92" s="30">
        <f>IFERROR(__xludf.DUMMYFUNCTION("""COMPUTED_VALUE"""),1.0519065947426742)</f>
        <v>1.051906595</v>
      </c>
      <c r="AI92" s="30">
        <f>IFERROR(__xludf.DUMMYFUNCTION("""COMPUTED_VALUE"""),1.0216617853602825)</f>
        <v>1.021661785</v>
      </c>
      <c r="AJ92" s="30">
        <f>IFERROR(__xludf.DUMMYFUNCTION("""COMPUTED_VALUE"""),0.8796017999668724)</f>
        <v>0.8796018</v>
      </c>
      <c r="AK92" s="30">
        <f>IFERROR(__xludf.DUMMYFUNCTION("""COMPUTED_VALUE"""),0.8610898885160154)</f>
        <v>0.8610898885</v>
      </c>
      <c r="AL92" s="30">
        <f>IFERROR(__xludf.DUMMYFUNCTION("""COMPUTED_VALUE"""),1.1506768182459717)</f>
        <v>1.150676818</v>
      </c>
      <c r="AM92" s="30">
        <f>IFERROR(__xludf.DUMMYFUNCTION("""COMPUTED_VALUE"""),0.9659580736435673)</f>
        <v>0.9659580736</v>
      </c>
      <c r="AN92" s="30">
        <f>IFERROR(__xludf.DUMMYFUNCTION("""COMPUTED_VALUE"""),1.193182323268463)</f>
        <v>1.193182323</v>
      </c>
      <c r="AO92" s="30">
        <f>IFERROR(__xludf.DUMMYFUNCTION("""COMPUTED_VALUE"""),1.3123683131373263)</f>
        <v>1.312368313</v>
      </c>
      <c r="AP92" s="30">
        <f>IFERROR(__xludf.DUMMYFUNCTION("""COMPUTED_VALUE"""),1.2843197084593616)</f>
        <v>1.284319708</v>
      </c>
      <c r="AQ92" s="30">
        <f>IFERROR(__xludf.DUMMYFUNCTION("""COMPUTED_VALUE"""),1.1184243423577862)</f>
        <v>1.118424342</v>
      </c>
      <c r="AR92" s="30">
        <f>IFERROR(__xludf.DUMMYFUNCTION("""COMPUTED_VALUE"""),1.0729951525281884)</f>
        <v>1.072995153</v>
      </c>
      <c r="AS92" s="30">
        <f>IFERROR(__xludf.DUMMYFUNCTION("""COMPUTED_VALUE"""),66.0)</f>
        <v>66</v>
      </c>
      <c r="AT92" s="30">
        <f>IFERROR(__xludf.DUMMYFUNCTION("""COMPUTED_VALUE"""),0.5789548770917169)</f>
        <v>0.5789548771</v>
      </c>
      <c r="AU92" s="30">
        <f>IFERROR(__xludf.DUMMYFUNCTION("""COMPUTED_VALUE"""),4.1356749023180415)</f>
        <v>4.135674902</v>
      </c>
      <c r="AV92" s="32">
        <f>IFERROR(__xludf.DUMMYFUNCTION("""COMPUTED_VALUE"""),78.46006616670114)</f>
        <v>78.46006617</v>
      </c>
      <c r="AW92" s="32">
        <f>IFERROR(__xludf.DUMMYFUNCTION("""COMPUTED_VALUE"""),7.8446019063399675)</f>
        <v>7.844601906</v>
      </c>
      <c r="AX92" s="32">
        <f>IFERROR(__xludf.DUMMYFUNCTION("""COMPUTED_VALUE"""),72.09903158136478)</f>
        <v>72.09903158</v>
      </c>
      <c r="AY92" s="32">
        <f>IFERROR(__xludf.DUMMYFUNCTION("""COMPUTED_VALUE"""),5.309023328710539)</f>
        <v>5.309023329</v>
      </c>
      <c r="AZ92" s="30">
        <f>IFERROR(__xludf.DUMMYFUNCTION("""COMPUTED_VALUE"""),2.535578577629429)</f>
        <v>2.535578578</v>
      </c>
      <c r="BA92" s="30">
        <f>IFERROR(__xludf.DUMMYFUNCTION("""COMPUTED_VALUE"""),450.0)</f>
        <v>450</v>
      </c>
    </row>
    <row r="93">
      <c r="A93" s="30" t="str">
        <f>IFERROR(__xludf.DUMMYFUNCTION("""COMPUTED_VALUE"""),"Master")</f>
        <v>Master</v>
      </c>
      <c r="B93" s="30" t="str">
        <f>IFERROR(__xludf.DUMMYFUNCTION("""COMPUTED_VALUE"""),"RSC004131")</f>
        <v>RSC004131</v>
      </c>
      <c r="C93" s="30" t="str">
        <f>IFERROR(__xludf.DUMMYFUNCTION("""COMPUTED_VALUE"""),"Poptart Pounder")</f>
        <v>Poptart Pounder</v>
      </c>
      <c r="D93" s="30"/>
      <c r="E93" s="30">
        <f>IFERROR(__xludf.DUMMYFUNCTION("""COMPUTED_VALUE"""),4.0)</f>
        <v>4</v>
      </c>
      <c r="F93" s="30">
        <f>IFERROR(__xludf.DUMMYFUNCTION("""COMPUTED_VALUE"""),1.0)</f>
        <v>1</v>
      </c>
      <c r="G93" s="30">
        <f>IFERROR(__xludf.DUMMYFUNCTION("""COMPUTED_VALUE"""),3.0)</f>
        <v>3</v>
      </c>
      <c r="H93" s="42">
        <f>IFERROR(__xludf.DUMMYFUNCTION("""COMPUTED_VALUE"""),0.25)</f>
        <v>0.25</v>
      </c>
      <c r="I93" s="42">
        <f>IFERROR(__xludf.DUMMYFUNCTION("""COMPUTED_VALUE"""),0.5555555555555556)</f>
        <v>0.5555555556</v>
      </c>
      <c r="J93" s="30">
        <f>IFERROR(__xludf.DUMMYFUNCTION("""COMPUTED_VALUE"""),394.0)</f>
        <v>394</v>
      </c>
      <c r="K93" s="30">
        <f>IFERROR(__xludf.DUMMYFUNCTION("""COMPUTED_VALUE"""),1.25)</f>
        <v>1.25</v>
      </c>
      <c r="L93" s="30">
        <f>IFERROR(__xludf.DUMMYFUNCTION("""COMPUTED_VALUE"""),0.75)</f>
        <v>0.75</v>
      </c>
      <c r="M93" s="30">
        <f>IFERROR(__xludf.DUMMYFUNCTION("""COMPUTED_VALUE"""),0.75)</f>
        <v>0.75</v>
      </c>
      <c r="N93" s="30">
        <f>IFERROR(__xludf.DUMMYFUNCTION("""COMPUTED_VALUE"""),2.25)</f>
        <v>2.25</v>
      </c>
      <c r="O93" s="30">
        <f>IFERROR(__xludf.DUMMYFUNCTION("""COMPUTED_VALUE"""),366.5)</f>
        <v>366.5</v>
      </c>
      <c r="P93" s="30">
        <f>IFERROR(__xludf.DUMMYFUNCTION("""COMPUTED_VALUE"""),0.9166666666666665)</f>
        <v>0.9166666667</v>
      </c>
      <c r="Q93" s="30">
        <f>IFERROR(__xludf.DUMMYFUNCTION("""COMPUTED_VALUE"""),0.75)</f>
        <v>0.75</v>
      </c>
      <c r="R93" s="30">
        <f>IFERROR(__xludf.DUMMYFUNCTION("""COMPUTED_VALUE"""),1.25)</f>
        <v>1.25</v>
      </c>
      <c r="S93" s="30">
        <f>IFERROR(__xludf.DUMMYFUNCTION("""COMPUTED_VALUE"""),2.0)</f>
        <v>2</v>
      </c>
      <c r="T93" s="30">
        <f>IFERROR(__xludf.DUMMYFUNCTION("""COMPUTED_VALUE"""),366.86499493414385)</f>
        <v>366.8649949</v>
      </c>
      <c r="U93" s="30">
        <f>IFERROR(__xludf.DUMMYFUNCTION("""COMPUTED_VALUE"""),0.8297619047619048)</f>
        <v>0.8297619048</v>
      </c>
      <c r="V93" s="30">
        <f>IFERROR(__xludf.DUMMYFUNCTION("""COMPUTED_VALUE"""),0.686676798378926)</f>
        <v>0.6866767984</v>
      </c>
      <c r="W93" s="30">
        <f>IFERROR(__xludf.DUMMYFUNCTION("""COMPUTED_VALUE"""),1.3678318135764946)</f>
        <v>1.367831814</v>
      </c>
      <c r="X93" s="30">
        <f>IFERROR(__xludf.DUMMYFUNCTION("""COMPUTED_VALUE"""),2.499062816616008)</f>
        <v>2.499062817</v>
      </c>
      <c r="Y93" s="30">
        <f>IFERROR(__xludf.DUMMYFUNCTION("""COMPUTED_VALUE"""),399.0497298210064)</f>
        <v>399.0497298</v>
      </c>
      <c r="Z93" s="30">
        <f>IFERROR(__xludf.DUMMYFUNCTION("""COMPUTED_VALUE"""),1.0140070921985815)</f>
        <v>1.014007092</v>
      </c>
      <c r="AA93" s="30">
        <f>IFERROR(__xludf.DUMMYFUNCTION("""COMPUTED_VALUE"""),0.7760216143194868)</f>
        <v>0.7760216143</v>
      </c>
      <c r="AB93" s="30">
        <f>IFERROR(__xludf.DUMMYFUNCTION("""COMPUTED_VALUE"""),1.2880445795339412)</f>
        <v>1.28804458</v>
      </c>
      <c r="AC93" s="30">
        <f>IFERROR(__xludf.DUMMYFUNCTION("""COMPUTED_VALUE"""),3.0752617359000336)</f>
        <v>3.075261736</v>
      </c>
      <c r="AD93" s="30">
        <f>IFERROR(__xludf.DUMMYFUNCTION("""COMPUTED_VALUE"""),0.9873456127303445)</f>
        <v>0.9873456127</v>
      </c>
      <c r="AE93" s="30">
        <f>IFERROR(__xludf.DUMMYFUNCTION("""COMPUTED_VALUE"""),1.232732995278895)</f>
        <v>1.232732995</v>
      </c>
      <c r="AF93" s="30">
        <f>IFERROR(__xludf.DUMMYFUNCTION("""COMPUTED_VALUE"""),0.9664679258421097)</f>
        <v>0.9664679258</v>
      </c>
      <c r="AG93" s="30">
        <f>IFERROR(__xludf.DUMMYFUNCTION("""COMPUTED_VALUE"""),0.5822779831668371)</f>
        <v>0.5822779832</v>
      </c>
      <c r="AH93" s="30">
        <f>IFERROR(__xludf.DUMMYFUNCTION("""COMPUTED_VALUE"""),0.731645041374501)</f>
        <v>0.7316450414</v>
      </c>
      <c r="AI93" s="30">
        <f>IFERROR(__xludf.DUMMYFUNCTION("""COMPUTED_VALUE"""),0.9990050974086274)</f>
        <v>0.9990050974</v>
      </c>
      <c r="AJ93" s="30">
        <f>IFERROR(__xludf.DUMMYFUNCTION("""COMPUTED_VALUE"""),1.104734576757532)</f>
        <v>1.104734577</v>
      </c>
      <c r="AK93" s="30">
        <f>IFERROR(__xludf.DUMMYFUNCTION("""COMPUTED_VALUE"""),1.0922168941350054)</f>
        <v>1.092216894</v>
      </c>
      <c r="AL93" s="30">
        <f>IFERROR(__xludf.DUMMYFUNCTION("""COMPUTED_VALUE"""),0.9138550424058367)</f>
        <v>0.9138550424</v>
      </c>
      <c r="AM93" s="30">
        <f>IFERROR(__xludf.DUMMYFUNCTION("""COMPUTED_VALUE"""),0.800300011149063)</f>
        <v>0.8003000111</v>
      </c>
      <c r="AN93" s="30">
        <f>IFERROR(__xludf.DUMMYFUNCTION("""COMPUTED_VALUE"""),1.0508272374803564)</f>
        <v>1.050827237</v>
      </c>
      <c r="AO93" s="30">
        <f>IFERROR(__xludf.DUMMYFUNCTION("""COMPUTED_VALUE"""),1.514271130543069)</f>
        <v>1.514271131</v>
      </c>
      <c r="AP93" s="30">
        <f>IFERROR(__xludf.DUMMYFUNCTION("""COMPUTED_VALUE"""),1.1558877376134253)</f>
        <v>1.155887738</v>
      </c>
      <c r="AQ93" s="30">
        <f>IFERROR(__xludf.DUMMYFUNCTION("""COMPUTED_VALUE"""),0.5161958503189782)</f>
        <v>0.5161958503</v>
      </c>
      <c r="AR93" s="30">
        <f>IFERROR(__xludf.DUMMYFUNCTION("""COMPUTED_VALUE"""),0.8277391176646025)</f>
        <v>0.8277391177</v>
      </c>
      <c r="AS93" s="30">
        <f>IFERROR(__xludf.DUMMYFUNCTION("""COMPUTED_VALUE"""),12.0)</f>
        <v>12</v>
      </c>
      <c r="AT93" s="30">
        <f>IFERROR(__xludf.DUMMYFUNCTION("""COMPUTED_VALUE"""),0.5358751552390169)</f>
        <v>0.5358751552</v>
      </c>
      <c r="AU93" s="30">
        <f>IFERROR(__xludf.DUMMYFUNCTION("""COMPUTED_VALUE"""),3.576756749227343)</f>
        <v>3.576756749</v>
      </c>
      <c r="AV93" s="32">
        <f>IFERROR(__xludf.DUMMYFUNCTION("""COMPUTED_VALUE"""),63.55798519596749)</f>
        <v>63.5579852</v>
      </c>
      <c r="AW93" s="32">
        <f>IFERROR(__xludf.DUMMYFUNCTION("""COMPUTED_VALUE"""),3.403684728362091)</f>
        <v>3.403684728</v>
      </c>
      <c r="AX93" s="32">
        <f>IFERROR(__xludf.DUMMYFUNCTION("""COMPUTED_VALUE"""),73.2604246442427)</f>
        <v>73.26042464</v>
      </c>
      <c r="AY93" s="32">
        <f>IFERROR(__xludf.DUMMYFUNCTION("""COMPUTED_VALUE"""),5.679313679579149)</f>
        <v>5.67931368</v>
      </c>
      <c r="AZ93" s="30">
        <f>IFERROR(__xludf.DUMMYFUNCTION("""COMPUTED_VALUE"""),2.275628951217058)</f>
        <v>2.275628951</v>
      </c>
      <c r="BA93" s="30">
        <f>IFERROR(__xludf.DUMMYFUNCTION("""COMPUTED_VALUE"""),450.0)</f>
        <v>450</v>
      </c>
    </row>
    <row r="94">
      <c r="A94" s="30" t="str">
        <f>IFERROR(__xludf.DUMMYFUNCTION("""COMPUTED_VALUE"""),"Master")</f>
        <v>Master</v>
      </c>
      <c r="B94" s="30" t="str">
        <f>IFERROR(__xludf.DUMMYFUNCTION("""COMPUTED_VALUE"""),"RSC006952")</f>
        <v>RSC006952</v>
      </c>
      <c r="C94" s="30" t="str">
        <f>IFERROR(__xludf.DUMMYFUNCTION("""COMPUTED_VALUE"""),"nave")</f>
        <v>nave</v>
      </c>
      <c r="D94" s="30" t="str">
        <f>IFERROR(__xludf.DUMMYFUNCTION("""COMPUTED_VALUE"""),"Kawaii")</f>
        <v>Kawaii</v>
      </c>
      <c r="E94" s="30">
        <f>IFERROR(__xludf.DUMMYFUNCTION("""COMPUTED_VALUE"""),48.0)</f>
        <v>48</v>
      </c>
      <c r="F94" s="30">
        <f>IFERROR(__xludf.DUMMYFUNCTION("""COMPUTED_VALUE"""),22.0)</f>
        <v>22</v>
      </c>
      <c r="G94" s="30">
        <f>IFERROR(__xludf.DUMMYFUNCTION("""COMPUTED_VALUE"""),26.0)</f>
        <v>26</v>
      </c>
      <c r="H94" s="42">
        <f>IFERROR(__xludf.DUMMYFUNCTION("""COMPUTED_VALUE"""),0.4583333333333333)</f>
        <v>0.4583333333</v>
      </c>
      <c r="I94" s="42">
        <f>IFERROR(__xludf.DUMMYFUNCTION("""COMPUTED_VALUE"""),0.3181818181818181)</f>
        <v>0.3181818182</v>
      </c>
      <c r="J94" s="30">
        <f>IFERROR(__xludf.DUMMYFUNCTION("""COMPUTED_VALUE"""),426.5)</f>
        <v>426.5</v>
      </c>
      <c r="K94" s="30">
        <f>IFERROR(__xludf.DUMMYFUNCTION("""COMPUTED_VALUE"""),1.0208333333333333)</f>
        <v>1.020833333</v>
      </c>
      <c r="L94" s="30">
        <f>IFERROR(__xludf.DUMMYFUNCTION("""COMPUTED_VALUE"""),0.75)</f>
        <v>0.75</v>
      </c>
      <c r="M94" s="30">
        <f>IFERROR(__xludf.DUMMYFUNCTION("""COMPUTED_VALUE"""),1.5833333333333333)</f>
        <v>1.583333333</v>
      </c>
      <c r="N94" s="30">
        <f>IFERROR(__xludf.DUMMYFUNCTION("""COMPUTED_VALUE"""),3.2083333333333335)</f>
        <v>3.208333333</v>
      </c>
      <c r="O94" s="30">
        <f>IFERROR(__xludf.DUMMYFUNCTION("""COMPUTED_VALUE"""),412.5208333333333)</f>
        <v>412.5208333</v>
      </c>
      <c r="P94" s="30">
        <f>IFERROR(__xludf.DUMMYFUNCTION("""COMPUTED_VALUE"""),0.9583333333333338)</f>
        <v>0.9583333333</v>
      </c>
      <c r="Q94" s="30">
        <f>IFERROR(__xludf.DUMMYFUNCTION("""COMPUTED_VALUE"""),0.6944444444444442)</f>
        <v>0.6944444444</v>
      </c>
      <c r="R94" s="30">
        <f>IFERROR(__xludf.DUMMYFUNCTION("""COMPUTED_VALUE"""),1.5416666666666667)</f>
        <v>1.541666667</v>
      </c>
      <c r="S94" s="30">
        <f>IFERROR(__xludf.DUMMYFUNCTION("""COMPUTED_VALUE"""),2.9375)</f>
        <v>2.9375</v>
      </c>
      <c r="T94" s="30">
        <f>IFERROR(__xludf.DUMMYFUNCTION("""COMPUTED_VALUE"""),395.3000769403993)</f>
        <v>395.3000769</v>
      </c>
      <c r="U94" s="30">
        <f>IFERROR(__xludf.DUMMYFUNCTION("""COMPUTED_VALUE"""),0.9354878514525686)</f>
        <v>0.9354878515</v>
      </c>
      <c r="V94" s="30">
        <f>IFERROR(__xludf.DUMMYFUNCTION("""COMPUTED_VALUE"""),0.7010439980457415)</f>
        <v>0.701043998</v>
      </c>
      <c r="W94" s="30">
        <f>IFERROR(__xludf.DUMMYFUNCTION("""COMPUTED_VALUE"""),1.4702826997461418)</f>
        <v>1.4702827</v>
      </c>
      <c r="X94" s="30">
        <f>IFERROR(__xludf.DUMMYFUNCTION("""COMPUTED_VALUE"""),2.9228220147468242)</f>
        <v>2.922822015</v>
      </c>
      <c r="Y94" s="30">
        <f>IFERROR(__xludf.DUMMYFUNCTION("""COMPUTED_VALUE"""),380.4698395719509)</f>
        <v>380.4698396</v>
      </c>
      <c r="Z94" s="30">
        <f>IFERROR(__xludf.DUMMYFUNCTION("""COMPUTED_VALUE"""),0.8384628252880736)</f>
        <v>0.8384628253</v>
      </c>
      <c r="AA94" s="30">
        <f>IFERROR(__xludf.DUMMYFUNCTION("""COMPUTED_VALUE"""),0.6442196030476287)</f>
        <v>0.644219603</v>
      </c>
      <c r="AB94" s="30">
        <f>IFERROR(__xludf.DUMMYFUNCTION("""COMPUTED_VALUE"""),1.486150899981973)</f>
        <v>1.4861509</v>
      </c>
      <c r="AC94" s="30">
        <f>IFERROR(__xludf.DUMMYFUNCTION("""COMPUTED_VALUE"""),2.7569819294332127)</f>
        <v>2.756981929</v>
      </c>
      <c r="AD94" s="30">
        <f>IFERROR(__xludf.DUMMYFUNCTION("""COMPUTED_VALUE"""),1.1209824160565145)</f>
        <v>1.120982416</v>
      </c>
      <c r="AE94" s="30">
        <f>IFERROR(__xludf.DUMMYFUNCTION("""COMPUTED_VALUE"""),1.2175057766963038)</f>
        <v>1.217505777</v>
      </c>
      <c r="AF94" s="30">
        <f>IFERROR(__xludf.DUMMYFUNCTION("""COMPUTED_VALUE"""),1.164199283058064)</f>
        <v>1.164199283</v>
      </c>
      <c r="AG94" s="30">
        <f>IFERROR(__xludf.DUMMYFUNCTION("""COMPUTED_VALUE"""),1.0653920361334364)</f>
        <v>1.065392036</v>
      </c>
      <c r="AH94" s="30">
        <f>IFERROR(__xludf.DUMMYFUNCTION("""COMPUTED_VALUE"""),1.163712137203928)</f>
        <v>1.163712137</v>
      </c>
      <c r="AI94" s="30">
        <f>IFERROR(__xludf.DUMMYFUNCTION("""COMPUTED_VALUE"""),1.0435637567445513)</f>
        <v>1.043563757</v>
      </c>
      <c r="AJ94" s="30">
        <f>IFERROR(__xludf.DUMMYFUNCTION("""COMPUTED_VALUE"""),1.0244209284442252)</f>
        <v>1.024420928</v>
      </c>
      <c r="AK94" s="30">
        <f>IFERROR(__xludf.DUMMYFUNCTION("""COMPUTED_VALUE"""),0.9905861064074517)</f>
        <v>0.9905861064</v>
      </c>
      <c r="AL94" s="30">
        <f>IFERROR(__xludf.DUMMYFUNCTION("""COMPUTED_VALUE"""),1.0485511847026767)</f>
        <v>1.048551185</v>
      </c>
      <c r="AM94" s="30">
        <f>IFERROR(__xludf.DUMMYFUNCTION("""COMPUTED_VALUE"""),1.0050218539408555)</f>
        <v>1.005021854</v>
      </c>
      <c r="AN94" s="30">
        <f>IFERROR(__xludf.DUMMYFUNCTION("""COMPUTED_VALUE"""),1.1375071492014517)</f>
        <v>1.137507149</v>
      </c>
      <c r="AO94" s="30">
        <f>IFERROR(__xludf.DUMMYFUNCTION("""COMPUTED_VALUE"""),1.2366547566101729)</f>
        <v>1.236654757</v>
      </c>
      <c r="AP94" s="30">
        <f>IFERROR(__xludf.DUMMYFUNCTION("""COMPUTED_VALUE"""),1.1558877376134253)</f>
        <v>1.155887738</v>
      </c>
      <c r="AQ94" s="30">
        <f>IFERROR(__xludf.DUMMYFUNCTION("""COMPUTED_VALUE"""),1.089746795117843)</f>
        <v>1.089746795</v>
      </c>
      <c r="AR94" s="30">
        <f>IFERROR(__xludf.DUMMYFUNCTION("""COMPUTED_VALUE"""),1.1802946677810073)</f>
        <v>1.180294668</v>
      </c>
      <c r="AS94" s="30">
        <f>IFERROR(__xludf.DUMMYFUNCTION("""COMPUTED_VALUE"""),124.0)</f>
        <v>124</v>
      </c>
      <c r="AT94" s="30">
        <f>IFERROR(__xludf.DUMMYFUNCTION("""COMPUTED_VALUE"""),0.45658380538951937)</f>
        <v>0.4565838054</v>
      </c>
      <c r="AU94" s="30">
        <f>IFERROR(__xludf.DUMMYFUNCTION("""COMPUTED_VALUE"""),3.907725263953018)</f>
        <v>3.907725264</v>
      </c>
      <c r="AV94" s="32">
        <f>IFERROR(__xludf.DUMMYFUNCTION("""COMPUTED_VALUE"""),72.38238923067613)</f>
        <v>72.38238923</v>
      </c>
      <c r="AW94" s="32">
        <f>IFERROR(__xludf.DUMMYFUNCTION("""COMPUTED_VALUE"""),5.396230235785079)</f>
        <v>5.396230236</v>
      </c>
      <c r="AX94" s="32">
        <f>IFERROR(__xludf.DUMMYFUNCTION("""COMPUTED_VALUE"""),64.26532960126849)</f>
        <v>64.2653296</v>
      </c>
      <c r="AY94" s="32">
        <f>IFERROR(__xludf.DUMMYFUNCTION("""COMPUTED_VALUE"""),3.519504073690704)</f>
        <v>3.519504074</v>
      </c>
      <c r="AZ94" s="30">
        <f>IFERROR(__xludf.DUMMYFUNCTION("""COMPUTED_VALUE"""),1.8767261620943745)</f>
        <v>1.876726162</v>
      </c>
      <c r="BA94" s="30">
        <f>IFERROR(__xludf.DUMMYFUNCTION("""COMPUTED_VALUE"""),450.0)</f>
        <v>450</v>
      </c>
    </row>
    <row r="95">
      <c r="A95" s="30" t="str">
        <f>IFERROR(__xludf.DUMMYFUNCTION("""COMPUTED_VALUE"""),"Master")</f>
        <v>Master</v>
      </c>
      <c r="B95" s="30" t="str">
        <f>IFERROR(__xludf.DUMMYFUNCTION("""COMPUTED_VALUE"""),"RSC003323")</f>
        <v>RSC003323</v>
      </c>
      <c r="C95" s="30" t="str">
        <f>IFERROR(__xludf.DUMMYFUNCTION("""COMPUTED_VALUE"""),"Boog McCroog")</f>
        <v>Boog McCroog</v>
      </c>
      <c r="D95" s="30" t="str">
        <f>IFERROR(__xludf.DUMMYFUNCTION("""COMPUTED_VALUE"""),"Hard Hats")</f>
        <v>Hard Hats</v>
      </c>
      <c r="E95" s="30">
        <f>IFERROR(__xludf.DUMMYFUNCTION("""COMPUTED_VALUE"""),42.0)</f>
        <v>42</v>
      </c>
      <c r="F95" s="30">
        <f>IFERROR(__xludf.DUMMYFUNCTION("""COMPUTED_VALUE"""),16.0)</f>
        <v>16</v>
      </c>
      <c r="G95" s="30">
        <f>IFERROR(__xludf.DUMMYFUNCTION("""COMPUTED_VALUE"""),26.0)</f>
        <v>26</v>
      </c>
      <c r="H95" s="42">
        <f>IFERROR(__xludf.DUMMYFUNCTION("""COMPUTED_VALUE"""),0.38095238095238093)</f>
        <v>0.380952381</v>
      </c>
      <c r="I95" s="42">
        <f>IFERROR(__xludf.DUMMYFUNCTION("""COMPUTED_VALUE"""),0.18269230769230768)</f>
        <v>0.1826923077</v>
      </c>
      <c r="J95" s="30">
        <f>IFERROR(__xludf.DUMMYFUNCTION("""COMPUTED_VALUE"""),318.3809523809524)</f>
        <v>318.3809524</v>
      </c>
      <c r="K95" s="30">
        <f>IFERROR(__xludf.DUMMYFUNCTION("""COMPUTED_VALUE"""),0.4523809523809524)</f>
        <v>0.4523809524</v>
      </c>
      <c r="L95" s="30">
        <f>IFERROR(__xludf.DUMMYFUNCTION("""COMPUTED_VALUE"""),0.5)</f>
        <v>0.5</v>
      </c>
      <c r="M95" s="30">
        <f>IFERROR(__xludf.DUMMYFUNCTION("""COMPUTED_VALUE"""),1.5714285714285714)</f>
        <v>1.571428571</v>
      </c>
      <c r="N95" s="30">
        <f>IFERROR(__xludf.DUMMYFUNCTION("""COMPUTED_VALUE"""),2.4761904761904763)</f>
        <v>2.476190476</v>
      </c>
      <c r="O95" s="30">
        <f>IFERROR(__xludf.DUMMYFUNCTION("""COMPUTED_VALUE"""),403.8730158730159)</f>
        <v>403.8730159</v>
      </c>
      <c r="P95" s="30">
        <f>IFERROR(__xludf.DUMMYFUNCTION("""COMPUTED_VALUE"""),0.9603174603174603)</f>
        <v>0.9603174603</v>
      </c>
      <c r="Q95" s="30">
        <f>IFERROR(__xludf.DUMMYFUNCTION("""COMPUTED_VALUE"""),0.7380952380952381)</f>
        <v>0.7380952381</v>
      </c>
      <c r="R95" s="30">
        <f>IFERROR(__xludf.DUMMYFUNCTION("""COMPUTED_VALUE"""),1.6428571428571428)</f>
        <v>1.642857143</v>
      </c>
      <c r="S95" s="30">
        <f>IFERROR(__xludf.DUMMYFUNCTION("""COMPUTED_VALUE"""),2.9682539682539684)</f>
        <v>2.968253968</v>
      </c>
      <c r="T95" s="30">
        <f>IFERROR(__xludf.DUMMYFUNCTION("""COMPUTED_VALUE"""),392.11303685333377)</f>
        <v>392.1130369</v>
      </c>
      <c r="U95" s="30">
        <f>IFERROR(__xludf.DUMMYFUNCTION("""COMPUTED_VALUE"""),0.9244143006409326)</f>
        <v>0.9244143006</v>
      </c>
      <c r="V95" s="30">
        <f>IFERROR(__xludf.DUMMYFUNCTION("""COMPUTED_VALUE"""),0.7151411167314469)</f>
        <v>0.7151411167</v>
      </c>
      <c r="W95" s="30">
        <f>IFERROR(__xludf.DUMMYFUNCTION("""COMPUTED_VALUE"""),1.4668932942152824)</f>
        <v>1.466893294</v>
      </c>
      <c r="X95" s="30">
        <f>IFERROR(__xludf.DUMMYFUNCTION("""COMPUTED_VALUE"""),2.9017854252262745)</f>
        <v>2.901785425</v>
      </c>
      <c r="Y95" s="30">
        <f>IFERROR(__xludf.DUMMYFUNCTION("""COMPUTED_VALUE"""),382.7350191634915)</f>
        <v>382.7350192</v>
      </c>
      <c r="Z95" s="30">
        <f>IFERROR(__xludf.DUMMYFUNCTION("""COMPUTED_VALUE"""),0.8441823232715603)</f>
        <v>0.8441823233</v>
      </c>
      <c r="AA95" s="30">
        <f>IFERROR(__xludf.DUMMYFUNCTION("""COMPUTED_VALUE"""),0.6505346443335492)</f>
        <v>0.6505346443</v>
      </c>
      <c r="AB95" s="30">
        <f>IFERROR(__xludf.DUMMYFUNCTION("""COMPUTED_VALUE"""),1.5066966911371555)</f>
        <v>1.506696691</v>
      </c>
      <c r="AC95" s="30">
        <f>IFERROR(__xludf.DUMMYFUNCTION("""COMPUTED_VALUE"""),2.7699878958796305)</f>
        <v>2.769987896</v>
      </c>
      <c r="AD95" s="30">
        <f>IFERROR(__xludf.DUMMYFUNCTION("""COMPUTED_VALUE"""),0.8318573855008309)</f>
        <v>0.8318573855</v>
      </c>
      <c r="AE95" s="30">
        <f>IFERROR(__xludf.DUMMYFUNCTION("""COMPUTED_VALUE"""),0.5358806266255216)</f>
        <v>0.5358806266</v>
      </c>
      <c r="AF95" s="30">
        <f>IFERROR(__xludf.DUMMYFUNCTION("""COMPUTED_VALUE"""),0.7685985740424833)</f>
        <v>0.768598574</v>
      </c>
      <c r="AG95" s="30">
        <f>IFERROR(__xludf.DUMMYFUNCTION("""COMPUTED_VALUE"""),1.042962781210172)</f>
        <v>1.042962781</v>
      </c>
      <c r="AH95" s="30">
        <f>IFERROR(__xludf.DUMMYFUNCTION("""COMPUTED_VALUE"""),0.893935486098629)</f>
        <v>0.8939354861</v>
      </c>
      <c r="AI95" s="30">
        <f>IFERROR(__xludf.DUMMYFUNCTION("""COMPUTED_VALUE"""),1.0299912982084318)</f>
        <v>1.029991298</v>
      </c>
      <c r="AJ95" s="30">
        <f>IFERROR(__xludf.DUMMYFUNCTION("""COMPUTED_VALUE"""),1.038838818970709)</f>
        <v>1.038838819</v>
      </c>
      <c r="AK95" s="30">
        <f>IFERROR(__xludf.DUMMYFUNCTION("""COMPUTED_VALUE"""),1.032097331319311)</f>
        <v>1.032097331</v>
      </c>
      <c r="AL95" s="30">
        <f>IFERROR(__xludf.DUMMYFUNCTION("""COMPUTED_VALUE"""),1.1199568157655206)</f>
        <v>1.119956816</v>
      </c>
      <c r="AM95" s="30">
        <f>IFERROR(__xludf.DUMMYFUNCTION("""COMPUTED_VALUE"""),1.0229060848020872)</f>
        <v>1.022906085</v>
      </c>
      <c r="AN95" s="30">
        <f>IFERROR(__xludf.DUMMYFUNCTION("""COMPUTED_VALUE"""),0.8491456260325916)</f>
        <v>0.849145626</v>
      </c>
      <c r="AO95" s="30">
        <f>IFERROR(__xludf.DUMMYFUNCTION("""COMPUTED_VALUE"""),0.548021932958444)</f>
        <v>0.548021933</v>
      </c>
      <c r="AP95" s="30">
        <f>IFERROR(__xludf.DUMMYFUNCTION("""COMPUTED_VALUE"""),0.770591825075617)</f>
        <v>0.7705918251</v>
      </c>
      <c r="AQ95" s="30">
        <f>IFERROR(__xludf.DUMMYFUNCTION("""COMPUTED_VALUE"""),1.0815532101921448)</f>
        <v>1.08155321</v>
      </c>
      <c r="AR95" s="30">
        <f>IFERROR(__xludf.DUMMYFUNCTION("""COMPUTED_VALUE"""),0.9109509866361764)</f>
        <v>0.9109509866</v>
      </c>
      <c r="AS95" s="30">
        <f>IFERROR(__xludf.DUMMYFUNCTION("""COMPUTED_VALUE"""),85.0)</f>
        <v>85</v>
      </c>
      <c r="AT95" s="30">
        <f>IFERROR(__xludf.DUMMYFUNCTION("""COMPUTED_VALUE"""),0.36415329836339305)</f>
        <v>0.3641532984</v>
      </c>
      <c r="AU95" s="30">
        <f>IFERROR(__xludf.DUMMYFUNCTION("""COMPUTED_VALUE"""),2.061016650658606)</f>
        <v>2.061016651</v>
      </c>
      <c r="AV95" s="32">
        <f>IFERROR(__xludf.DUMMYFUNCTION("""COMPUTED_VALUE"""),23.144766275533357)</f>
        <v>23.14476628</v>
      </c>
      <c r="AW95" s="32">
        <f>IFERROR(__xludf.DUMMYFUNCTION("""COMPUTED_VALUE"""),-7.07391519070808)</f>
        <v>-7.073915191</v>
      </c>
      <c r="AX95" s="32">
        <f>IFERROR(__xludf.DUMMYFUNCTION("""COMPUTED_VALUE"""),19.573077837846153)</f>
        <v>19.57307784</v>
      </c>
      <c r="AY95" s="32">
        <f>IFERROR(__xludf.DUMMYFUNCTION("""COMPUTED_VALUE"""),-8.94554544641474)</f>
        <v>-8.945545446</v>
      </c>
      <c r="AZ95" s="30">
        <f>IFERROR(__xludf.DUMMYFUNCTION("""COMPUTED_VALUE"""),1.8716302557066609)</f>
        <v>1.871630256</v>
      </c>
      <c r="BA95" s="30">
        <f>IFERROR(__xludf.DUMMYFUNCTION("""COMPUTED_VALUE"""),450.0)</f>
        <v>450</v>
      </c>
    </row>
    <row r="96">
      <c r="A96" s="30" t="str">
        <f>IFERROR(__xludf.DUMMYFUNCTION("""COMPUTED_VALUE"""),"Master")</f>
        <v>Master</v>
      </c>
      <c r="B96" s="30" t="str">
        <f>IFERROR(__xludf.DUMMYFUNCTION("""COMPUTED_VALUE"""),"RSC002862")</f>
        <v>RSC002862</v>
      </c>
      <c r="C96" s="30" t="str">
        <f>IFERROR(__xludf.DUMMYFUNCTION("""COMPUTED_VALUE"""),"Doodle!")</f>
        <v>Doodle!</v>
      </c>
      <c r="D96" s="30" t="str">
        <f>IFERROR(__xludf.DUMMYFUNCTION("""COMPUTED_VALUE"""),"The OG")</f>
        <v>The OG</v>
      </c>
      <c r="E96" s="30">
        <f>IFERROR(__xludf.DUMMYFUNCTION("""COMPUTED_VALUE"""),38.0)</f>
        <v>38</v>
      </c>
      <c r="F96" s="30">
        <f>IFERROR(__xludf.DUMMYFUNCTION("""COMPUTED_VALUE"""),11.0)</f>
        <v>11</v>
      </c>
      <c r="G96" s="30">
        <f>IFERROR(__xludf.DUMMYFUNCTION("""COMPUTED_VALUE"""),27.0)</f>
        <v>27</v>
      </c>
      <c r="H96" s="42">
        <f>IFERROR(__xludf.DUMMYFUNCTION("""COMPUTED_VALUE"""),0.2894736842105263)</f>
        <v>0.2894736842</v>
      </c>
      <c r="I96" s="42">
        <f>IFERROR(__xludf.DUMMYFUNCTION("""COMPUTED_VALUE"""),0.32142857142857145)</f>
        <v>0.3214285714</v>
      </c>
      <c r="J96" s="30">
        <f>IFERROR(__xludf.DUMMYFUNCTION("""COMPUTED_VALUE"""),390.4736842105263)</f>
        <v>390.4736842</v>
      </c>
      <c r="K96" s="30">
        <f>IFERROR(__xludf.DUMMYFUNCTION("""COMPUTED_VALUE"""),0.9473684210526315)</f>
        <v>0.9473684211</v>
      </c>
      <c r="L96" s="30">
        <f>IFERROR(__xludf.DUMMYFUNCTION("""COMPUTED_VALUE"""),0.5526315789473685)</f>
        <v>0.5526315789</v>
      </c>
      <c r="M96" s="30">
        <f>IFERROR(__xludf.DUMMYFUNCTION("""COMPUTED_VALUE"""),1.605263157894737)</f>
        <v>1.605263158</v>
      </c>
      <c r="N96" s="30">
        <f>IFERROR(__xludf.DUMMYFUNCTION("""COMPUTED_VALUE"""),2.9473684210526314)</f>
        <v>2.947368421</v>
      </c>
      <c r="O96" s="30">
        <f>IFERROR(__xludf.DUMMYFUNCTION("""COMPUTED_VALUE"""),426.719298245614)</f>
        <v>426.7192982</v>
      </c>
      <c r="P96" s="30">
        <f>IFERROR(__xludf.DUMMYFUNCTION("""COMPUTED_VALUE"""),1.0964912280701755)</f>
        <v>1.096491228</v>
      </c>
      <c r="Q96" s="30">
        <f>IFERROR(__xludf.DUMMYFUNCTION("""COMPUTED_VALUE"""),0.8684210526315788)</f>
        <v>0.8684210526</v>
      </c>
      <c r="R96" s="30">
        <f>IFERROR(__xludf.DUMMYFUNCTION("""COMPUTED_VALUE"""),1.535087719298246)</f>
        <v>1.535087719</v>
      </c>
      <c r="S96" s="30">
        <f>IFERROR(__xludf.DUMMYFUNCTION("""COMPUTED_VALUE"""),3.280701754385966)</f>
        <v>3.280701754</v>
      </c>
      <c r="T96" s="30">
        <f>IFERROR(__xludf.DUMMYFUNCTION("""COMPUTED_VALUE"""),390.28107873218886)</f>
        <v>390.2810787</v>
      </c>
      <c r="U96" s="30">
        <f>IFERROR(__xludf.DUMMYFUNCTION("""COMPUTED_VALUE"""),0.8964620506619998)</f>
        <v>0.8964620507</v>
      </c>
      <c r="V96" s="30">
        <f>IFERROR(__xludf.DUMMYFUNCTION("""COMPUTED_VALUE"""),0.6641591813313201)</f>
        <v>0.6641591813</v>
      </c>
      <c r="W96" s="30">
        <f>IFERROR(__xludf.DUMMYFUNCTION("""COMPUTED_VALUE"""),1.4865415706165854)</f>
        <v>1.486541571</v>
      </c>
      <c r="X96" s="30">
        <f>IFERROR(__xludf.DUMMYFUNCTION("""COMPUTED_VALUE"""),2.8590881161571953)</f>
        <v>2.859088116</v>
      </c>
      <c r="Y96" s="30">
        <f>IFERROR(__xludf.DUMMYFUNCTION("""COMPUTED_VALUE"""),382.59385283086635)</f>
        <v>382.5938528</v>
      </c>
      <c r="Z96" s="30">
        <f>IFERROR(__xludf.DUMMYFUNCTION("""COMPUTED_VALUE"""),0.860612882596925)</f>
        <v>0.8606128826</v>
      </c>
      <c r="AA96" s="30">
        <f>IFERROR(__xludf.DUMMYFUNCTION("""COMPUTED_VALUE"""),0.6558851879042493)</f>
        <v>0.6558851879</v>
      </c>
      <c r="AB96" s="30">
        <f>IFERROR(__xludf.DUMMYFUNCTION("""COMPUTED_VALUE"""),1.471943811545492)</f>
        <v>1.471943812</v>
      </c>
      <c r="AC96" s="30">
        <f>IFERROR(__xludf.DUMMYFUNCTION("""COMPUTED_VALUE"""),2.7797153508859784)</f>
        <v>2.779715351</v>
      </c>
      <c r="AD96" s="30">
        <f>IFERROR(__xludf.DUMMYFUNCTION("""COMPUTED_VALUE"""),1.0205958128217585)</f>
        <v>1.020595813</v>
      </c>
      <c r="AE96" s="30">
        <f>IFERROR(__xludf.DUMMYFUNCTION("""COMPUTED_VALUE"""),1.1008066927768023)</f>
        <v>1.100806693</v>
      </c>
      <c r="AF96" s="30">
        <f>IFERROR(__xludf.DUMMYFUNCTION("""COMPUTED_VALUE"""),0.8425736533450203)</f>
        <v>0.8425736533</v>
      </c>
      <c r="AG96" s="30">
        <f>IFERROR(__xludf.DUMMYFUNCTION("""COMPUTED_VALUE"""),1.0905736654507647)</f>
        <v>1.090573665</v>
      </c>
      <c r="AH96" s="30">
        <f>IFERROR(__xludf.DUMMYFUNCTION("""COMPUTED_VALUE"""),1.0603130353304762)</f>
        <v>1.060313035</v>
      </c>
      <c r="AI96" s="30">
        <f>IFERROR(__xludf.DUMMYFUNCTION("""COMPUTED_VALUE"""),1.0933640432474798)</f>
        <v>1.093364043</v>
      </c>
      <c r="AJ96" s="30">
        <f>IFERROR(__xludf.DUMMYFUNCTION("""COMPUTED_VALUE"""),1.2231317848429417)</f>
        <v>1.223131785</v>
      </c>
      <c r="AK96" s="30">
        <f>IFERROR(__xludf.DUMMYFUNCTION("""COMPUTED_VALUE"""),1.3075495710091845)</f>
        <v>1.307549571</v>
      </c>
      <c r="AL96" s="30">
        <f>IFERROR(__xludf.DUMMYFUNCTION("""COMPUTED_VALUE"""),1.032657108042747)</f>
        <v>1.032657108</v>
      </c>
      <c r="AM96" s="30">
        <f>IFERROR(__xludf.DUMMYFUNCTION("""COMPUTED_VALUE"""),1.1474643736393293)</f>
        <v>1.147464374</v>
      </c>
      <c r="AN96" s="30">
        <f>IFERROR(__xludf.DUMMYFUNCTION("""COMPUTED_VALUE"""),1.0414222915932092)</f>
        <v>1.041422292</v>
      </c>
      <c r="AO96" s="30">
        <f>IFERROR(__xludf.DUMMYFUNCTION("""COMPUTED_VALUE"""),1.1476581199905365)</f>
        <v>1.14765812</v>
      </c>
      <c r="AP96" s="30">
        <f>IFERROR(__xludf.DUMMYFUNCTION("""COMPUTED_VALUE"""),0.8517067540309451)</f>
        <v>0.851706754</v>
      </c>
      <c r="AQ96" s="30">
        <f>IFERROR(__xludf.DUMMYFUNCTION("""COMPUTED_VALUE"""),1.1048402410336027)</f>
        <v>1.104840241</v>
      </c>
      <c r="AR96" s="30">
        <f>IFERROR(__xludf.DUMMYFUNCTION("""COMPUTED_VALUE"""),1.0842898383442747)</f>
        <v>1.084289838</v>
      </c>
      <c r="AS96" s="30">
        <f>IFERROR(__xludf.DUMMYFUNCTION("""COMPUTED_VALUE"""),103.0)</f>
        <v>103</v>
      </c>
      <c r="AT96" s="30">
        <f>IFERROR(__xludf.DUMMYFUNCTION("""COMPUTED_VALUE"""),0.41976379249805024)</f>
        <v>0.4197637925</v>
      </c>
      <c r="AU96" s="30">
        <f>IFERROR(__xludf.DUMMYFUNCTION("""COMPUTED_VALUE"""),3.055028571634901)</f>
        <v>3.055028572</v>
      </c>
      <c r="AV96" s="32">
        <f>IFERROR(__xludf.DUMMYFUNCTION("""COMPUTED_VALUE"""),49.6474770040208)</f>
        <v>49.647477</v>
      </c>
      <c r="AW96" s="32">
        <f>IFERROR(__xludf.DUMMYFUNCTION("""COMPUTED_VALUE"""),-2.022757096264513)</f>
        <v>-2.022757096</v>
      </c>
      <c r="AX96" s="32">
        <f>IFERROR(__xludf.DUMMYFUNCTION("""COMPUTED_VALUE"""),33.760130150228576)</f>
        <v>33.76013015</v>
      </c>
      <c r="AY96" s="32">
        <f>IFERROR(__xludf.DUMMYFUNCTION("""COMPUTED_VALUE"""),-3.876314579525993)</f>
        <v>-3.87631458</v>
      </c>
      <c r="AZ96" s="30">
        <f>IFERROR(__xludf.DUMMYFUNCTION("""COMPUTED_VALUE"""),1.8535574832614796)</f>
        <v>1.853557483</v>
      </c>
      <c r="BA96" s="30">
        <f>IFERROR(__xludf.DUMMYFUNCTION("""COMPUTED_VALUE"""),450.0)</f>
        <v>450</v>
      </c>
    </row>
    <row r="97">
      <c r="A97" s="30" t="str">
        <f>IFERROR(__xludf.DUMMYFUNCTION("""COMPUTED_VALUE"""),"Master")</f>
        <v>Master</v>
      </c>
      <c r="B97" s="30" t="str">
        <f>IFERROR(__xludf.DUMMYFUNCTION("""COMPUTED_VALUE"""),"RSC002500")</f>
        <v>RSC002500</v>
      </c>
      <c r="C97" s="30" t="str">
        <f>IFERROR(__xludf.DUMMYFUNCTION("""COMPUTED_VALUE"""),"kalten")</f>
        <v>kalten</v>
      </c>
      <c r="D97" s="30" t="str">
        <f>IFERROR(__xludf.DUMMYFUNCTION("""COMPUTED_VALUE"""),"Heinous Henchmen")</f>
        <v>Heinous Henchmen</v>
      </c>
      <c r="E97" s="30">
        <f>IFERROR(__xludf.DUMMYFUNCTION("""COMPUTED_VALUE"""),43.0)</f>
        <v>43</v>
      </c>
      <c r="F97" s="30">
        <f>IFERROR(__xludf.DUMMYFUNCTION("""COMPUTED_VALUE"""),14.0)</f>
        <v>14</v>
      </c>
      <c r="G97" s="30">
        <f>IFERROR(__xludf.DUMMYFUNCTION("""COMPUTED_VALUE"""),29.0)</f>
        <v>29</v>
      </c>
      <c r="H97" s="42">
        <f>IFERROR(__xludf.DUMMYFUNCTION("""COMPUTED_VALUE"""),0.32558139534883723)</f>
        <v>0.3255813953</v>
      </c>
      <c r="I97" s="42">
        <f>IFERROR(__xludf.DUMMYFUNCTION("""COMPUTED_VALUE"""),0.25252525252525254)</f>
        <v>0.2525252525</v>
      </c>
      <c r="J97" s="30">
        <f>IFERROR(__xludf.DUMMYFUNCTION("""COMPUTED_VALUE"""),334.83720930232556)</f>
        <v>334.8372093</v>
      </c>
      <c r="K97" s="30">
        <f>IFERROR(__xludf.DUMMYFUNCTION("""COMPUTED_VALUE"""),0.5813953488372093)</f>
        <v>0.5813953488</v>
      </c>
      <c r="L97" s="30">
        <f>IFERROR(__xludf.DUMMYFUNCTION("""COMPUTED_VALUE"""),0.5581395348837209)</f>
        <v>0.5581395349</v>
      </c>
      <c r="M97" s="30">
        <f>IFERROR(__xludf.DUMMYFUNCTION("""COMPUTED_VALUE"""),1.6046511627906976)</f>
        <v>1.604651163</v>
      </c>
      <c r="N97" s="30">
        <f>IFERROR(__xludf.DUMMYFUNCTION("""COMPUTED_VALUE"""),2.302325581395349)</f>
        <v>2.302325581</v>
      </c>
      <c r="O97" s="30">
        <f>IFERROR(__xludf.DUMMYFUNCTION("""COMPUTED_VALUE"""),391.5813953488372)</f>
        <v>391.5813953</v>
      </c>
      <c r="P97" s="30">
        <f>IFERROR(__xludf.DUMMYFUNCTION("""COMPUTED_VALUE"""),0.9302325581395349)</f>
        <v>0.9302325581</v>
      </c>
      <c r="Q97" s="30">
        <f>IFERROR(__xludf.DUMMYFUNCTION("""COMPUTED_VALUE"""),0.6976744186046513)</f>
        <v>0.6976744186</v>
      </c>
      <c r="R97" s="30">
        <f>IFERROR(__xludf.DUMMYFUNCTION("""COMPUTED_VALUE"""),1.4341085271317828)</f>
        <v>1.434108527</v>
      </c>
      <c r="S97" s="30">
        <f>IFERROR(__xludf.DUMMYFUNCTION("""COMPUTED_VALUE"""),3.0387596899224802)</f>
        <v>3.03875969</v>
      </c>
      <c r="T97" s="30">
        <f>IFERROR(__xludf.DUMMYFUNCTION("""COMPUTED_VALUE"""),383.37923773342226)</f>
        <v>383.3792377</v>
      </c>
      <c r="U97" s="30">
        <f>IFERROR(__xludf.DUMMYFUNCTION("""COMPUTED_VALUE"""),0.8781212086082703)</f>
        <v>0.8781212086</v>
      </c>
      <c r="V97" s="30">
        <f>IFERROR(__xludf.DUMMYFUNCTION("""COMPUTED_VALUE"""),0.6879516596840031)</f>
        <v>0.6879516597</v>
      </c>
      <c r="W97" s="30">
        <f>IFERROR(__xludf.DUMMYFUNCTION("""COMPUTED_VALUE"""),1.451025210628764)</f>
        <v>1.451025211</v>
      </c>
      <c r="X97" s="30">
        <f>IFERROR(__xludf.DUMMYFUNCTION("""COMPUTED_VALUE"""),2.7770389736433803)</f>
        <v>2.777038974</v>
      </c>
      <c r="Y97" s="30">
        <f>IFERROR(__xludf.DUMMYFUNCTION("""COMPUTED_VALUE"""),381.8751469524591)</f>
        <v>381.875147</v>
      </c>
      <c r="Z97" s="30">
        <f>IFERROR(__xludf.DUMMYFUNCTION("""COMPUTED_VALUE"""),0.86613157331354)</f>
        <v>0.8661315733</v>
      </c>
      <c r="AA97" s="30">
        <f>IFERROR(__xludf.DUMMYFUNCTION("""COMPUTED_VALUE"""),0.6602238577350554)</f>
        <v>0.6602238577</v>
      </c>
      <c r="AB97" s="30">
        <f>IFERROR(__xludf.DUMMYFUNCTION("""COMPUTED_VALUE"""),1.455955271483335)</f>
        <v>1.455955271</v>
      </c>
      <c r="AC97" s="30">
        <f>IFERROR(__xludf.DUMMYFUNCTION("""COMPUTED_VALUE"""),2.809570420284507)</f>
        <v>2.80957042</v>
      </c>
      <c r="AD97" s="30">
        <f>IFERROR(__xludf.DUMMYFUNCTION("""COMPUTED_VALUE"""),0.8768237785948677)</f>
        <v>0.8768237786</v>
      </c>
      <c r="AE97" s="30">
        <f>IFERROR(__xludf.DUMMYFUNCTION("""COMPUTED_VALUE"""),0.6712552304414655)</f>
        <v>0.6712552304</v>
      </c>
      <c r="AF97" s="30">
        <f>IFERROR(__xludf.DUMMYFUNCTION("""COMPUTED_VALUE"""),0.8453792275826839)</f>
        <v>0.8453792276</v>
      </c>
      <c r="AG97" s="30">
        <f>IFERROR(__xludf.DUMMYFUNCTION("""COMPUTED_VALUE"""),1.1021294364049181)</f>
        <v>1.102129436</v>
      </c>
      <c r="AH97" s="30">
        <f>IFERROR(__xludf.DUMMYFUNCTION("""COMPUTED_VALUE"""),0.8194582220730411)</f>
        <v>0.8194582221</v>
      </c>
      <c r="AI97" s="30">
        <f>IFERROR(__xludf.DUMMYFUNCTION("""COMPUTED_VALUE"""),1.0213943709208326)</f>
        <v>1.021394371</v>
      </c>
      <c r="AJ97" s="30">
        <f>IFERROR(__xludf.DUMMYFUNCTION("""COMPUTED_VALUE"""),1.0593441418114198)</f>
        <v>1.059344142</v>
      </c>
      <c r="AK97" s="30">
        <f>IFERROR(__xludf.DUMMYFUNCTION("""COMPUTED_VALUE"""),1.0141329100435839)</f>
        <v>1.01413291</v>
      </c>
      <c r="AL97" s="30">
        <f>IFERROR(__xludf.DUMMYFUNCTION("""COMPUTED_VALUE"""),0.9883415647274311)</f>
        <v>0.9883415647</v>
      </c>
      <c r="AM97" s="30">
        <f>IFERROR(__xludf.DUMMYFUNCTION("""COMPUTED_VALUE"""),1.0942445240283147)</f>
        <v>1.094244524</v>
      </c>
      <c r="AN97" s="30">
        <f>IFERROR(__xludf.DUMMYFUNCTION("""COMPUTED_VALUE"""),0.8930356844081082)</f>
        <v>0.8930356844</v>
      </c>
      <c r="AO97" s="30">
        <f>IFERROR(__xludf.DUMMYFUNCTION("""COMPUTED_VALUE"""),0.7043121537409623)</f>
        <v>0.7043121537</v>
      </c>
      <c r="AP97" s="30">
        <f>IFERROR(__xludf.DUMMYFUNCTION("""COMPUTED_VALUE"""),0.8601955256658049)</f>
        <v>0.8601955257</v>
      </c>
      <c r="AQ97" s="30">
        <f>IFERROR(__xludf.DUMMYFUNCTION("""COMPUTED_VALUE"""),1.1044190285894417)</f>
        <v>1.104419029</v>
      </c>
      <c r="AR97" s="30">
        <f>IFERROR(__xludf.DUMMYFUNCTION("""COMPUTED_VALUE"""),0.8469888645870352)</f>
        <v>0.8469888646</v>
      </c>
      <c r="AS97" s="30">
        <f>IFERROR(__xludf.DUMMYFUNCTION("""COMPUTED_VALUE"""),100.0)</f>
        <v>100</v>
      </c>
      <c r="AT97" s="30">
        <f>IFERROR(__xludf.DUMMYFUNCTION("""COMPUTED_VALUE"""),0.4276909876329341)</f>
        <v>0.4276909876</v>
      </c>
      <c r="AU97" s="30">
        <f>IFERROR(__xludf.DUMMYFUNCTION("""COMPUTED_VALUE"""),2.3156633600727194)</f>
        <v>2.31566336</v>
      </c>
      <c r="AV97" s="32">
        <f>IFERROR(__xludf.DUMMYFUNCTION("""COMPUTED_VALUE"""),29.93425032008577)</f>
        <v>29.93425032</v>
      </c>
      <c r="AW97" s="32">
        <f>IFERROR(__xludf.DUMMYFUNCTION("""COMPUTED_VALUE"""),-4.737218993652158)</f>
        <v>-4.737218994</v>
      </c>
      <c r="AX97" s="32">
        <f>IFERROR(__xludf.DUMMYFUNCTION("""COMPUTED_VALUE"""),24.836322475464108)</f>
        <v>24.83632248</v>
      </c>
      <c r="AY97" s="32">
        <f>IFERROR(__xludf.DUMMYFUNCTION("""COMPUTED_VALUE"""),-6.366335506128141)</f>
        <v>-6.366335506</v>
      </c>
      <c r="AZ97" s="30">
        <f>IFERROR(__xludf.DUMMYFUNCTION("""COMPUTED_VALUE"""),1.6291165124759823)</f>
        <v>1.629116512</v>
      </c>
      <c r="BA97" s="30">
        <f>IFERROR(__xludf.DUMMYFUNCTION("""COMPUTED_VALUE"""),450.0)</f>
        <v>450</v>
      </c>
    </row>
    <row r="98">
      <c r="A98" s="30" t="str">
        <f>IFERROR(__xludf.DUMMYFUNCTION("""COMPUTED_VALUE"""),"Master")</f>
        <v>Master</v>
      </c>
      <c r="B98" s="30" t="str">
        <f>IFERROR(__xludf.DUMMYFUNCTION("""COMPUTED_VALUE"""),"RSC007174")</f>
        <v>RSC007174</v>
      </c>
      <c r="C98" s="30" t="str">
        <f>IFERROR(__xludf.DUMMYFUNCTION("""COMPUTED_VALUE"""),"LMNS")</f>
        <v>LMNS</v>
      </c>
      <c r="D98" s="30" t="str">
        <f>IFERROR(__xludf.DUMMYFUNCTION("""COMPUTED_VALUE"""),"Care Bears")</f>
        <v>Care Bears</v>
      </c>
      <c r="E98" s="30">
        <f>IFERROR(__xludf.DUMMYFUNCTION("""COMPUTED_VALUE"""),16.0)</f>
        <v>16</v>
      </c>
      <c r="F98" s="30">
        <f>IFERROR(__xludf.DUMMYFUNCTION("""COMPUTED_VALUE"""),10.0)</f>
        <v>10</v>
      </c>
      <c r="G98" s="30">
        <f>IFERROR(__xludf.DUMMYFUNCTION("""COMPUTED_VALUE"""),6.0)</f>
        <v>6</v>
      </c>
      <c r="H98" s="42">
        <f>IFERROR(__xludf.DUMMYFUNCTION("""COMPUTED_VALUE"""),0.625)</f>
        <v>0.625</v>
      </c>
      <c r="I98" s="42">
        <f>IFERROR(__xludf.DUMMYFUNCTION("""COMPUTED_VALUE"""),0.22033898305084745)</f>
        <v>0.2203389831</v>
      </c>
      <c r="J98" s="30">
        <f>IFERROR(__xludf.DUMMYFUNCTION("""COMPUTED_VALUE"""),374.4375)</f>
        <v>374.4375</v>
      </c>
      <c r="K98" s="30">
        <f>IFERROR(__xludf.DUMMYFUNCTION("""COMPUTED_VALUE"""),0.8125)</f>
        <v>0.8125</v>
      </c>
      <c r="L98" s="30">
        <f>IFERROR(__xludf.DUMMYFUNCTION("""COMPUTED_VALUE"""),0.6875)</f>
        <v>0.6875</v>
      </c>
      <c r="M98" s="30">
        <f>IFERROR(__xludf.DUMMYFUNCTION("""COMPUTED_VALUE"""),1.375)</f>
        <v>1.375</v>
      </c>
      <c r="N98" s="30">
        <f>IFERROR(__xludf.DUMMYFUNCTION("""COMPUTED_VALUE"""),3.6875)</f>
        <v>3.6875</v>
      </c>
      <c r="O98" s="30">
        <f>IFERROR(__xludf.DUMMYFUNCTION("""COMPUTED_VALUE"""),364.75000000000006)</f>
        <v>364.75</v>
      </c>
      <c r="P98" s="30">
        <f>IFERROR(__xludf.DUMMYFUNCTION("""COMPUTED_VALUE"""),0.7083333333333334)</f>
        <v>0.7083333333</v>
      </c>
      <c r="Q98" s="30">
        <f>IFERROR(__xludf.DUMMYFUNCTION("""COMPUTED_VALUE"""),0.5416666666666666)</f>
        <v>0.5416666667</v>
      </c>
      <c r="R98" s="30">
        <f>IFERROR(__xludf.DUMMYFUNCTION("""COMPUTED_VALUE"""),1.6250000000000002)</f>
        <v>1.625</v>
      </c>
      <c r="S98" s="30">
        <f>IFERROR(__xludf.DUMMYFUNCTION("""COMPUTED_VALUE"""),2.5625000000000004)</f>
        <v>2.5625</v>
      </c>
      <c r="T98" s="30">
        <f>IFERROR(__xludf.DUMMYFUNCTION("""COMPUTED_VALUE"""),395.7884780218213)</f>
        <v>395.788478</v>
      </c>
      <c r="U98" s="30">
        <f>IFERROR(__xludf.DUMMYFUNCTION("""COMPUTED_VALUE"""),0.8643821157111422)</f>
        <v>0.8643821157</v>
      </c>
      <c r="V98" s="30">
        <f>IFERROR(__xludf.DUMMYFUNCTION("""COMPUTED_VALUE"""),0.7267769863599748)</f>
        <v>0.7267769864</v>
      </c>
      <c r="W98" s="30">
        <f>IFERROR(__xludf.DUMMYFUNCTION("""COMPUTED_VALUE"""),1.6144745473428104)</f>
        <v>1.614474547</v>
      </c>
      <c r="X98" s="30">
        <f>IFERROR(__xludf.DUMMYFUNCTION("""COMPUTED_VALUE"""),2.7394682852793037)</f>
        <v>2.739468285</v>
      </c>
      <c r="Y98" s="30">
        <f>IFERROR(__xludf.DUMMYFUNCTION("""COMPUTED_VALUE"""),373.2922800471038)</f>
        <v>373.29228</v>
      </c>
      <c r="Z98" s="30">
        <f>IFERROR(__xludf.DUMMYFUNCTION("""COMPUTED_VALUE"""),0.8157435191475108)</f>
        <v>0.8157435191</v>
      </c>
      <c r="AA98" s="30">
        <f>IFERROR(__xludf.DUMMYFUNCTION("""COMPUTED_VALUE"""),0.640639401614153)</f>
        <v>0.6406394016</v>
      </c>
      <c r="AB98" s="30">
        <f>IFERROR(__xludf.DUMMYFUNCTION("""COMPUTED_VALUE"""),1.4016764624545348)</f>
        <v>1.401676462</v>
      </c>
      <c r="AC98" s="30">
        <f>IFERROR(__xludf.DUMMYFUNCTION("""COMPUTED_VALUE"""),2.951930685942149)</f>
        <v>2.951930686</v>
      </c>
      <c r="AD98" s="30">
        <f>IFERROR(__xludf.DUMMYFUNCTION("""COMPUTED_VALUE"""),1.0030678908032913)</f>
        <v>1.003067891</v>
      </c>
      <c r="AE98" s="30">
        <f>IFERROR(__xludf.DUMMYFUNCTION("""COMPUTED_VALUE"""),0.9960238493210459)</f>
        <v>0.9960238493</v>
      </c>
      <c r="AF98" s="30">
        <f>IFERROR(__xludf.DUMMYFUNCTION("""COMPUTED_VALUE"""),1.073146606761584)</f>
        <v>1.073146607</v>
      </c>
      <c r="AG98" s="30">
        <f>IFERROR(__xludf.DUMMYFUNCTION("""COMPUTED_VALUE"""),0.9809681740622079)</f>
        <v>0.9809681741</v>
      </c>
      <c r="AH98" s="30">
        <f>IFERROR(__xludf.DUMMYFUNCTION("""COMPUTED_VALUE"""),1.2491824477996116)</f>
        <v>1.249182448</v>
      </c>
      <c r="AI98" s="30">
        <f>IFERROR(__xludf.DUMMYFUNCTION("""COMPUTED_VALUE"""),0.9215781162277544)</f>
        <v>0.9215781162</v>
      </c>
      <c r="AJ98" s="30">
        <f>IFERROR(__xludf.DUMMYFUNCTION("""COMPUTED_VALUE"""),0.819467826159933)</f>
        <v>0.8194678262</v>
      </c>
      <c r="AK98" s="30">
        <f>IFERROR(__xludf.DUMMYFUNCTION("""COMPUTED_VALUE"""),0.7452996955497674)</f>
        <v>0.7452996955</v>
      </c>
      <c r="AL98" s="30">
        <f>IFERROR(__xludf.DUMMYFUNCTION("""COMPUTED_VALUE"""),1.0065194292932726)</f>
        <v>1.006519429</v>
      </c>
      <c r="AM98" s="30">
        <f>IFERROR(__xludf.DUMMYFUNCTION("""COMPUTED_VALUE"""),0.935400498618563)</f>
        <v>0.9354004986</v>
      </c>
      <c r="AN98" s="30">
        <f>IFERROR(__xludf.DUMMYFUNCTION("""COMPUTED_VALUE"""),0.9986525983097739)</f>
        <v>0.9986525983</v>
      </c>
      <c r="AO98" s="30">
        <f>IFERROR(__xludf.DUMMYFUNCTION("""COMPUTED_VALUE"""),0.9842762348529949)</f>
        <v>0.9842762349</v>
      </c>
      <c r="AP98" s="30">
        <f>IFERROR(__xludf.DUMMYFUNCTION("""COMPUTED_VALUE"""),1.0595637594789733)</f>
        <v>1.059563759</v>
      </c>
      <c r="AQ98" s="30">
        <f>IFERROR(__xludf.DUMMYFUNCTION("""COMPUTED_VALUE"""),0.9463590589181268)</f>
        <v>0.9463590589</v>
      </c>
      <c r="AR98" s="30">
        <f>IFERROR(__xludf.DUMMYFUNCTION("""COMPUTED_VALUE"""),1.3565724428392096)</f>
        <v>1.356572443</v>
      </c>
      <c r="AS98" s="30">
        <f>IFERROR(__xludf.DUMMYFUNCTION("""COMPUTED_VALUE"""),48.0)</f>
        <v>48</v>
      </c>
      <c r="AT98" s="30">
        <f>IFERROR(__xludf.DUMMYFUNCTION("""COMPUTED_VALUE"""),0.6344113592284181)</f>
        <v>0.6344113592</v>
      </c>
      <c r="AU98" s="30">
        <f>IFERROR(__xludf.DUMMYFUNCTION("""COMPUTED_VALUE"""),3.653731479523511)</f>
        <v>3.65373148</v>
      </c>
      <c r="AV98" s="32">
        <f>IFERROR(__xludf.DUMMYFUNCTION("""COMPUTED_VALUE"""),65.61031371174526)</f>
        <v>65.61031371</v>
      </c>
      <c r="AW98" s="32">
        <f>IFERROR(__xludf.DUMMYFUNCTION("""COMPUTED_VALUE"""),3.7568796483292886)</f>
        <v>3.756879648</v>
      </c>
      <c r="AX98" s="32">
        <f>IFERROR(__xludf.DUMMYFUNCTION("""COMPUTED_VALUE"""),52.01226373242911)</f>
        <v>52.01226373</v>
      </c>
      <c r="AY98" s="32">
        <f>IFERROR(__xludf.DUMMYFUNCTION("""COMPUTED_VALUE"""),2.137101213932574)</f>
        <v>2.137101214</v>
      </c>
      <c r="AZ98" s="30">
        <f>IFERROR(__xludf.DUMMYFUNCTION("""COMPUTED_VALUE"""),1.6197784343967148)</f>
        <v>1.619778434</v>
      </c>
      <c r="BA98" s="30">
        <f>IFERROR(__xludf.DUMMYFUNCTION("""COMPUTED_VALUE"""),450.0)</f>
        <v>450</v>
      </c>
    </row>
    <row r="99">
      <c r="A99" s="30" t="str">
        <f>IFERROR(__xludf.DUMMYFUNCTION("""COMPUTED_VALUE"""),"Master")</f>
        <v>Master</v>
      </c>
      <c r="B99" s="30" t="str">
        <f>IFERROR(__xludf.DUMMYFUNCTION("""COMPUTED_VALUE"""),"RSC003721")</f>
        <v>RSC003721</v>
      </c>
      <c r="C99" s="30" t="str">
        <f>IFERROR(__xludf.DUMMYFUNCTION("""COMPUTED_VALUE"""),"Kyurmex.")</f>
        <v>Kyurmex.</v>
      </c>
      <c r="D99" s="30" t="str">
        <f>IFERROR(__xludf.DUMMYFUNCTION("""COMPUTED_VALUE"""),"Spectres")</f>
        <v>Spectres</v>
      </c>
      <c r="E99" s="30">
        <f>IFERROR(__xludf.DUMMYFUNCTION("""COMPUTED_VALUE"""),43.0)</f>
        <v>43</v>
      </c>
      <c r="F99" s="30">
        <f>IFERROR(__xludf.DUMMYFUNCTION("""COMPUTED_VALUE"""),16.0)</f>
        <v>16</v>
      </c>
      <c r="G99" s="30">
        <f>IFERROR(__xludf.DUMMYFUNCTION("""COMPUTED_VALUE"""),27.0)</f>
        <v>27</v>
      </c>
      <c r="H99" s="42">
        <f>IFERROR(__xludf.DUMMYFUNCTION("""COMPUTED_VALUE"""),0.37209302325581395)</f>
        <v>0.3720930233</v>
      </c>
      <c r="I99" s="42">
        <f>IFERROR(__xludf.DUMMYFUNCTION("""COMPUTED_VALUE"""),0.29059829059829057)</f>
        <v>0.2905982906</v>
      </c>
      <c r="J99" s="30">
        <f>IFERROR(__xludf.DUMMYFUNCTION("""COMPUTED_VALUE"""),374.7674418604651)</f>
        <v>374.7674419</v>
      </c>
      <c r="K99" s="30">
        <f>IFERROR(__xludf.DUMMYFUNCTION("""COMPUTED_VALUE"""),0.7906976744186046)</f>
        <v>0.7906976744</v>
      </c>
      <c r="L99" s="30">
        <f>IFERROR(__xludf.DUMMYFUNCTION("""COMPUTED_VALUE"""),0.6511627906976745)</f>
        <v>0.6511627907</v>
      </c>
      <c r="M99" s="30">
        <f>IFERROR(__xludf.DUMMYFUNCTION("""COMPUTED_VALUE"""),1.8604651162790697)</f>
        <v>1.860465116</v>
      </c>
      <c r="N99" s="30">
        <f>IFERROR(__xludf.DUMMYFUNCTION("""COMPUTED_VALUE"""),2.7209302325581395)</f>
        <v>2.720930233</v>
      </c>
      <c r="O99" s="30">
        <f>IFERROR(__xludf.DUMMYFUNCTION("""COMPUTED_VALUE"""),419.5581395348838)</f>
        <v>419.5581395</v>
      </c>
      <c r="P99" s="30">
        <f>IFERROR(__xludf.DUMMYFUNCTION("""COMPUTED_VALUE"""),1.031007751937985)</f>
        <v>1.031007752</v>
      </c>
      <c r="Q99" s="30">
        <f>IFERROR(__xludf.DUMMYFUNCTION("""COMPUTED_VALUE"""),0.813953488372093)</f>
        <v>0.8139534884</v>
      </c>
      <c r="R99" s="30">
        <f>IFERROR(__xludf.DUMMYFUNCTION("""COMPUTED_VALUE"""),1.6356589147286824)</f>
        <v>1.635658915</v>
      </c>
      <c r="S99" s="30">
        <f>IFERROR(__xludf.DUMMYFUNCTION("""COMPUTED_VALUE"""),3.131782945736434)</f>
        <v>3.131782946</v>
      </c>
      <c r="T99" s="30">
        <f>IFERROR(__xludf.DUMMYFUNCTION("""COMPUTED_VALUE"""),391.7061346575542)</f>
        <v>391.7061347</v>
      </c>
      <c r="U99" s="30">
        <f>IFERROR(__xludf.DUMMYFUNCTION("""COMPUTED_VALUE"""),0.8883312481486686)</f>
        <v>0.8883312481</v>
      </c>
      <c r="V99" s="30">
        <f>IFERROR(__xludf.DUMMYFUNCTION("""COMPUTED_VALUE"""),0.6745425797594397)</f>
        <v>0.6745425798</v>
      </c>
      <c r="W99" s="30">
        <f>IFERROR(__xludf.DUMMYFUNCTION("""COMPUTED_VALUE"""),1.5148204954819082)</f>
        <v>1.514820495</v>
      </c>
      <c r="X99" s="30">
        <f>IFERROR(__xludf.DUMMYFUNCTION("""COMPUTED_VALUE"""),2.892736881250039)</f>
        <v>2.892736881</v>
      </c>
      <c r="Y99" s="30">
        <f>IFERROR(__xludf.DUMMYFUNCTION("""COMPUTED_VALUE"""),382.89865315170863)</f>
        <v>382.8986532</v>
      </c>
      <c r="Z99" s="30">
        <f>IFERROR(__xludf.DUMMYFUNCTION("""COMPUTED_VALUE"""),0.8479468315288264)</f>
        <v>0.8479468315</v>
      </c>
      <c r="AA99" s="30">
        <f>IFERROR(__xludf.DUMMYFUNCTION("""COMPUTED_VALUE"""),0.6629342677209763)</f>
        <v>0.6629342677</v>
      </c>
      <c r="AB99" s="30">
        <f>IFERROR(__xludf.DUMMYFUNCTION("""COMPUTED_VALUE"""),1.4978554296423041)</f>
        <v>1.49785543</v>
      </c>
      <c r="AC99" s="30">
        <f>IFERROR(__xludf.DUMMYFUNCTION("""COMPUTED_VALUE"""),2.799535793028022)</f>
        <v>2.799535793</v>
      </c>
      <c r="AD99" s="30">
        <f>IFERROR(__xludf.DUMMYFUNCTION("""COMPUTED_VALUE"""),0.9787640640041064)</f>
        <v>0.978764064</v>
      </c>
      <c r="AE99" s="30">
        <f>IFERROR(__xludf.DUMMYFUNCTION("""COMPUTED_VALUE"""),0.9324849684183582)</f>
        <v>0.9324849684</v>
      </c>
      <c r="AF99" s="30">
        <f>IFERROR(__xludf.DUMMYFUNCTION("""COMPUTED_VALUE"""),0.9822433722369345)</f>
        <v>0.9822433722</v>
      </c>
      <c r="AG99" s="30">
        <f>IFERROR(__xludf.DUMMYFUNCTION("""COMPUTED_VALUE"""),1.2420859045945167)</f>
        <v>1.242085905</v>
      </c>
      <c r="AH99" s="30">
        <f>IFERROR(__xludf.DUMMYFUNCTION("""COMPUTED_VALUE"""),0.9719219305337541)</f>
        <v>0.9719219305</v>
      </c>
      <c r="AI99" s="30">
        <f>IFERROR(__xludf.DUMMYFUNCTION("""COMPUTED_VALUE"""),1.0711043366774917)</f>
        <v>1.071104337</v>
      </c>
      <c r="AJ99" s="30">
        <f>IFERROR(__xludf.DUMMYFUNCTION("""COMPUTED_VALUE"""),1.1606118259226637)</f>
        <v>1.160611826</v>
      </c>
      <c r="AK99" s="30">
        <f>IFERROR(__xludf.DUMMYFUNCTION("""COMPUTED_VALUE"""),1.20667473454733)</f>
        <v>1.206674735</v>
      </c>
      <c r="AL99" s="30">
        <f>IFERROR(__xludf.DUMMYFUNCTION("""COMPUTED_VALUE"""),1.0797707844640245)</f>
        <v>1.079770784</v>
      </c>
      <c r="AM99" s="30">
        <f>IFERROR(__xludf.DUMMYFUNCTION("""COMPUTED_VALUE"""),1.0826366428401522)</f>
        <v>1.082636643</v>
      </c>
      <c r="AN99" s="30">
        <f>IFERROR(__xludf.DUMMYFUNCTION("""COMPUTED_VALUE"""),0.999532577735565)</f>
        <v>0.9995325777</v>
      </c>
      <c r="AO99" s="30">
        <f>IFERROR(__xludf.DUMMYFUNCTION("""COMPUTED_VALUE"""),0.9578645290877087)</f>
        <v>0.9578645291</v>
      </c>
      <c r="AP99" s="30">
        <f>IFERROR(__xludf.DUMMYFUNCTION("""COMPUTED_VALUE"""),1.003561446610106)</f>
        <v>1.003561447</v>
      </c>
      <c r="AQ99" s="30">
        <f>IFERROR(__xludf.DUMMYFUNCTION("""COMPUTED_VALUE"""),1.2804858302486282)</f>
        <v>1.28048583</v>
      </c>
      <c r="AR99" s="30">
        <f>IFERROR(__xludf.DUMMYFUNCTION("""COMPUTED_VALUE"""),1.000986839966496)</f>
        <v>1.00098684</v>
      </c>
      <c r="AS99" s="30">
        <f>IFERROR(__xludf.DUMMYFUNCTION("""COMPUTED_VALUE"""),112.0)</f>
        <v>112</v>
      </c>
      <c r="AT99" s="30">
        <f>IFERROR(__xludf.DUMMYFUNCTION("""COMPUTED_VALUE"""),0.42967867135491)</f>
        <v>0.4296786714</v>
      </c>
      <c r="AU99" s="30">
        <f>IFERROR(__xludf.DUMMYFUNCTION("""COMPUTED_VALUE"""),2.9357210366864015)</f>
        <v>2.935721037</v>
      </c>
      <c r="AV99" s="32">
        <f>IFERROR(__xludf.DUMMYFUNCTION("""COMPUTED_VALUE"""),46.46645571067115)</f>
        <v>46.46645571</v>
      </c>
      <c r="AW99" s="32">
        <f>IFERROR(__xludf.DUMMYFUNCTION("""COMPUTED_VALUE"""),-2.253267359649823)</f>
        <v>-2.25326736</v>
      </c>
      <c r="AX99" s="32">
        <f>IFERROR(__xludf.DUMMYFUNCTION("""COMPUTED_VALUE"""),33.816635004819275)</f>
        <v>33.816635</v>
      </c>
      <c r="AY99" s="32">
        <f>IFERROR(__xludf.DUMMYFUNCTION("""COMPUTED_VALUE"""),-3.865366105416077)</f>
        <v>-3.865366105</v>
      </c>
      <c r="AZ99" s="30">
        <f>IFERROR(__xludf.DUMMYFUNCTION("""COMPUTED_VALUE"""),1.6120987457662541)</f>
        <v>1.612098746</v>
      </c>
      <c r="BA99" s="30">
        <f>IFERROR(__xludf.DUMMYFUNCTION("""COMPUTED_VALUE"""),450.0)</f>
        <v>450</v>
      </c>
    </row>
    <row r="100">
      <c r="A100" s="30" t="str">
        <f>IFERROR(__xludf.DUMMYFUNCTION("""COMPUTED_VALUE"""),"Master")</f>
        <v>Master</v>
      </c>
      <c r="B100" s="30" t="str">
        <f>IFERROR(__xludf.DUMMYFUNCTION("""COMPUTED_VALUE"""),"RSC007893")</f>
        <v>RSC007893</v>
      </c>
      <c r="C100" s="30" t="str">
        <f>IFERROR(__xludf.DUMMYFUNCTION("""COMPUTED_VALUE"""),"solar722")</f>
        <v>solar722</v>
      </c>
      <c r="D100" s="30" t="str">
        <f>IFERROR(__xludf.DUMMYFUNCTION("""COMPUTED_VALUE"""),"Fromunda Frauds")</f>
        <v>Fromunda Frauds</v>
      </c>
      <c r="E100" s="30">
        <f>IFERROR(__xludf.DUMMYFUNCTION("""COMPUTED_VALUE"""),32.0)</f>
        <v>32</v>
      </c>
      <c r="F100" s="30">
        <f>IFERROR(__xludf.DUMMYFUNCTION("""COMPUTED_VALUE"""),16.0)</f>
        <v>16</v>
      </c>
      <c r="G100" s="30">
        <f>IFERROR(__xludf.DUMMYFUNCTION("""COMPUTED_VALUE"""),16.0)</f>
        <v>16</v>
      </c>
      <c r="H100" s="42">
        <f>IFERROR(__xludf.DUMMYFUNCTION("""COMPUTED_VALUE"""),0.5)</f>
        <v>0.5</v>
      </c>
      <c r="I100" s="42">
        <f>IFERROR(__xludf.DUMMYFUNCTION("""COMPUTED_VALUE"""),0.30701754385964913)</f>
        <v>0.3070175439</v>
      </c>
      <c r="J100" s="30">
        <f>IFERROR(__xludf.DUMMYFUNCTION("""COMPUTED_VALUE"""),437.125)</f>
        <v>437.125</v>
      </c>
      <c r="K100" s="30">
        <f>IFERROR(__xludf.DUMMYFUNCTION("""COMPUTED_VALUE"""),1.09375)</f>
        <v>1.09375</v>
      </c>
      <c r="L100" s="30">
        <f>IFERROR(__xludf.DUMMYFUNCTION("""COMPUTED_VALUE"""),0.6875)</f>
        <v>0.6875</v>
      </c>
      <c r="M100" s="30">
        <f>IFERROR(__xludf.DUMMYFUNCTION("""COMPUTED_VALUE"""),1.59375)</f>
        <v>1.59375</v>
      </c>
      <c r="N100" s="30">
        <f>IFERROR(__xludf.DUMMYFUNCTION("""COMPUTED_VALUE"""),3.5625)</f>
        <v>3.5625</v>
      </c>
      <c r="O100" s="30">
        <f>IFERROR(__xludf.DUMMYFUNCTION("""COMPUTED_VALUE"""),398.9374999999999)</f>
        <v>398.9375</v>
      </c>
      <c r="P100" s="30">
        <f>IFERROR(__xludf.DUMMYFUNCTION("""COMPUTED_VALUE"""),0.9270833333333331)</f>
        <v>0.9270833333</v>
      </c>
      <c r="Q100" s="30">
        <f>IFERROR(__xludf.DUMMYFUNCTION("""COMPUTED_VALUE"""),0.7604166666666667)</f>
        <v>0.7604166667</v>
      </c>
      <c r="R100" s="30">
        <f>IFERROR(__xludf.DUMMYFUNCTION("""COMPUTED_VALUE"""),1.510416666666667)</f>
        <v>1.510416667</v>
      </c>
      <c r="S100" s="30">
        <f>IFERROR(__xludf.DUMMYFUNCTION("""COMPUTED_VALUE"""),2.8541666666666665)</f>
        <v>2.854166667</v>
      </c>
      <c r="T100" s="30">
        <f>IFERROR(__xludf.DUMMYFUNCTION("""COMPUTED_VALUE"""),394.9100890913252)</f>
        <v>394.9100891</v>
      </c>
      <c r="U100" s="30">
        <f>IFERROR(__xludf.DUMMYFUNCTION("""COMPUTED_VALUE"""),0.9200032064012448)</f>
        <v>0.9200032064</v>
      </c>
      <c r="V100" s="30">
        <f>IFERROR(__xludf.DUMMYFUNCTION("""COMPUTED_VALUE"""),0.7048943043670856)</f>
        <v>0.7048943044</v>
      </c>
      <c r="W100" s="30">
        <f>IFERROR(__xludf.DUMMYFUNCTION("""COMPUTED_VALUE"""),1.5086346358995186)</f>
        <v>1.508634636</v>
      </c>
      <c r="X100" s="30">
        <f>IFERROR(__xludf.DUMMYFUNCTION("""COMPUTED_VALUE"""),2.8729657923882357)</f>
        <v>2.872965792</v>
      </c>
      <c r="Y100" s="30">
        <f>IFERROR(__xludf.DUMMYFUNCTION("""COMPUTED_VALUE"""),387.4749805408496)</f>
        <v>387.4749805</v>
      </c>
      <c r="Z100" s="30">
        <f>IFERROR(__xludf.DUMMYFUNCTION("""COMPUTED_VALUE"""),0.881999522160441)</f>
        <v>0.8819995222</v>
      </c>
      <c r="AA100" s="30">
        <f>IFERROR(__xludf.DUMMYFUNCTION("""COMPUTED_VALUE"""),0.6796761974680943)</f>
        <v>0.6796761975</v>
      </c>
      <c r="AB100" s="30">
        <f>IFERROR(__xludf.DUMMYFUNCTION("""COMPUTED_VALUE"""),1.498953330817232)</f>
        <v>1.498953331</v>
      </c>
      <c r="AC100" s="30">
        <f>IFERROR(__xludf.DUMMYFUNCTION("""COMPUTED_VALUE"""),2.849001133029625)</f>
        <v>2.849001133</v>
      </c>
      <c r="AD100" s="30">
        <f>IFERROR(__xludf.DUMMYFUNCTION("""COMPUTED_VALUE"""),1.1281373558361043)</f>
        <v>1.128137356</v>
      </c>
      <c r="AE100" s="30">
        <f>IFERROR(__xludf.DUMMYFUNCTION("""COMPUTED_VALUE"""),1.2400800369153038)</f>
        <v>1.240080037</v>
      </c>
      <c r="AF100" s="30">
        <f>IFERROR(__xludf.DUMMYFUNCTION("""COMPUTED_VALUE"""),1.0115110733038035)</f>
        <v>1.011511073</v>
      </c>
      <c r="AG100" s="30">
        <f>IFERROR(__xludf.DUMMYFUNCTION("""COMPUTED_VALUE"""),1.0632419083595381)</f>
        <v>1.063241908</v>
      </c>
      <c r="AH100" s="30">
        <f>IFERROR(__xludf.DUMMYFUNCTION("""COMPUTED_VALUE"""),1.250438253147215)</f>
        <v>1.250438253</v>
      </c>
      <c r="AI100" s="30">
        <f>IFERROR(__xludf.DUMMYFUNCTION("""COMPUTED_VALUE"""),1.0101982983466988)</f>
        <v>1.010198298</v>
      </c>
      <c r="AJ100" s="30">
        <f>IFERROR(__xludf.DUMMYFUNCTION("""COMPUTED_VALUE"""),1.0076957633221557)</f>
        <v>1.007695763</v>
      </c>
      <c r="AK100" s="30">
        <f>IFERROR(__xludf.DUMMYFUNCTION("""COMPUTED_VALUE"""),1.0787669327948874)</f>
        <v>1.078766933</v>
      </c>
      <c r="AL100" s="30">
        <f>IFERROR(__xludf.DUMMYFUNCTION("""COMPUTED_VALUE"""),1.0011812209031552)</f>
        <v>1.001181221</v>
      </c>
      <c r="AM100" s="30">
        <f>IFERROR(__xludf.DUMMYFUNCTION("""COMPUTED_VALUE"""),0.9934565438365551)</f>
        <v>0.9934565438</v>
      </c>
      <c r="AN100" s="30">
        <f>IFERROR(__xludf.DUMMYFUNCTION("""COMPUTED_VALUE"""),1.1658448126487329)</f>
        <v>1.165844813</v>
      </c>
      <c r="AO100" s="30">
        <f>IFERROR(__xludf.DUMMYFUNCTION("""COMPUTED_VALUE"""),1.3249872392251854)</f>
        <v>1.324987239</v>
      </c>
      <c r="AP100" s="30">
        <f>IFERROR(__xludf.DUMMYFUNCTION("""COMPUTED_VALUE"""),1.0595637594789733)</f>
        <v>1.059563759</v>
      </c>
      <c r="AQ100" s="30">
        <f>IFERROR(__xludf.DUMMYFUNCTION("""COMPUTED_VALUE"""),1.0969161819278288)</f>
        <v>1.096916182</v>
      </c>
      <c r="AR100" s="30">
        <f>IFERROR(__xludf.DUMMYFUNCTION("""COMPUTED_VALUE"""),1.3105869363022873)</f>
        <v>1.310586936</v>
      </c>
      <c r="AS100" s="30">
        <f>IFERROR(__xludf.DUMMYFUNCTION("""COMPUTED_VALUE"""),88.0)</f>
        <v>88</v>
      </c>
      <c r="AT100" s="30">
        <f>IFERROR(__xludf.DUMMYFUNCTION("""COMPUTED_VALUE"""),0.49538491920319994)</f>
        <v>0.4953849192</v>
      </c>
      <c r="AU100" s="30">
        <f>IFERROR(__xludf.DUMMYFUNCTION("""COMPUTED_VALUE"""),3.954185852860153)</f>
        <v>3.954185853</v>
      </c>
      <c r="AV100" s="32">
        <f>IFERROR(__xludf.DUMMYFUNCTION("""COMPUTED_VALUE"""),73.62113850731618)</f>
        <v>73.62113851</v>
      </c>
      <c r="AW100" s="32">
        <f>IFERROR(__xludf.DUMMYFUNCTION("""COMPUTED_VALUE"""),5.801511636423598)</f>
        <v>5.801511636</v>
      </c>
      <c r="AX100" s="32">
        <f>IFERROR(__xludf.DUMMYFUNCTION("""COMPUTED_VALUE"""),67.91343904971414)</f>
        <v>67.91343905</v>
      </c>
      <c r="AY100" s="32">
        <f>IFERROR(__xludf.DUMMYFUNCTION("""COMPUTED_VALUE"""),4.222442648142488)</f>
        <v>4.222442648</v>
      </c>
      <c r="AZ100" s="30">
        <f>IFERROR(__xludf.DUMMYFUNCTION("""COMPUTED_VALUE"""),1.5790689882811098)</f>
        <v>1.579068988</v>
      </c>
      <c r="BA100" s="30">
        <f>IFERROR(__xludf.DUMMYFUNCTION("""COMPUTED_VALUE"""),450.0)</f>
        <v>450</v>
      </c>
    </row>
    <row r="101">
      <c r="A101" s="30" t="str">
        <f>IFERROR(__xludf.DUMMYFUNCTION("""COMPUTED_VALUE"""),"Master")</f>
        <v>Master</v>
      </c>
      <c r="B101" s="30" t="str">
        <f>IFERROR(__xludf.DUMMYFUNCTION("""COMPUTED_VALUE"""),"RSC005524")</f>
        <v>RSC005524</v>
      </c>
      <c r="C101" s="30" t="str">
        <f>IFERROR(__xludf.DUMMYFUNCTION("""COMPUTED_VALUE"""),"RaunchyRomanian")</f>
        <v>RaunchyRomanian</v>
      </c>
      <c r="D101" s="30" t="str">
        <f>IFERROR(__xludf.DUMMYFUNCTION("""COMPUTED_VALUE"""),"Heinous Henchmen")</f>
        <v>Heinous Henchmen</v>
      </c>
      <c r="E101" s="30">
        <f>IFERROR(__xludf.DUMMYFUNCTION("""COMPUTED_VALUE"""),14.0)</f>
        <v>14</v>
      </c>
      <c r="F101" s="30">
        <f>IFERROR(__xludf.DUMMYFUNCTION("""COMPUTED_VALUE"""),5.0)</f>
        <v>5</v>
      </c>
      <c r="G101" s="30">
        <f>IFERROR(__xludf.DUMMYFUNCTION("""COMPUTED_VALUE"""),9.0)</f>
        <v>9</v>
      </c>
      <c r="H101" s="42">
        <f>IFERROR(__xludf.DUMMYFUNCTION("""COMPUTED_VALUE"""),0.35714285714285715)</f>
        <v>0.3571428571</v>
      </c>
      <c r="I101" s="42">
        <f>IFERROR(__xludf.DUMMYFUNCTION("""COMPUTED_VALUE"""),0.37037037037037035)</f>
        <v>0.3703703704</v>
      </c>
      <c r="J101" s="30">
        <f>IFERROR(__xludf.DUMMYFUNCTION("""COMPUTED_VALUE"""),338.14285714285717)</f>
        <v>338.1428571</v>
      </c>
      <c r="K101" s="30">
        <f>IFERROR(__xludf.DUMMYFUNCTION("""COMPUTED_VALUE"""),0.7142857142857143)</f>
        <v>0.7142857143</v>
      </c>
      <c r="L101" s="30">
        <f>IFERROR(__xludf.DUMMYFUNCTION("""COMPUTED_VALUE"""),0.7142857142857143)</f>
        <v>0.7142857143</v>
      </c>
      <c r="M101" s="30">
        <f>IFERROR(__xludf.DUMMYFUNCTION("""COMPUTED_VALUE"""),1.1428571428571428)</f>
        <v>1.142857143</v>
      </c>
      <c r="N101" s="30">
        <f>IFERROR(__xludf.DUMMYFUNCTION("""COMPUTED_VALUE"""),1.9285714285714286)</f>
        <v>1.928571429</v>
      </c>
      <c r="O101" s="30">
        <f>IFERROR(__xludf.DUMMYFUNCTION("""COMPUTED_VALUE"""),413.2857142857142)</f>
        <v>413.2857143</v>
      </c>
      <c r="P101" s="30">
        <f>IFERROR(__xludf.DUMMYFUNCTION("""COMPUTED_VALUE"""),1.1666666666666665)</f>
        <v>1.166666667</v>
      </c>
      <c r="Q101" s="30">
        <f>IFERROR(__xludf.DUMMYFUNCTION("""COMPUTED_VALUE"""),0.8571428571428573)</f>
        <v>0.8571428571</v>
      </c>
      <c r="R101" s="30">
        <f>IFERROR(__xludf.DUMMYFUNCTION("""COMPUTED_VALUE"""),1.1428571428571428)</f>
        <v>1.142857143</v>
      </c>
      <c r="S101" s="30">
        <f>IFERROR(__xludf.DUMMYFUNCTION("""COMPUTED_VALUE"""),3.119047619047619)</f>
        <v>3.119047619</v>
      </c>
      <c r="T101" s="30">
        <f>IFERROR(__xludf.DUMMYFUNCTION("""COMPUTED_VALUE"""),406.6703429038794)</f>
        <v>406.6703429</v>
      </c>
      <c r="U101" s="30">
        <f>IFERROR(__xludf.DUMMYFUNCTION("""COMPUTED_VALUE"""),1.020232025262513)</f>
        <v>1.020232025</v>
      </c>
      <c r="V101" s="30">
        <f>IFERROR(__xludf.DUMMYFUNCTION("""COMPUTED_VALUE"""),0.7557620100303027)</f>
        <v>0.75576201</v>
      </c>
      <c r="W101" s="30">
        <f>IFERROR(__xludf.DUMMYFUNCTION("""COMPUTED_VALUE"""),1.4083227648776433)</f>
        <v>1.408322765</v>
      </c>
      <c r="X101" s="30">
        <f>IFERROR(__xludf.DUMMYFUNCTION("""COMPUTED_VALUE"""),2.9736555826494846)</f>
        <v>2.973655583</v>
      </c>
      <c r="Y101" s="30">
        <f>IFERROR(__xludf.DUMMYFUNCTION("""COMPUTED_VALUE"""),374.3279088638844)</f>
        <v>374.3279089</v>
      </c>
      <c r="Z101" s="30">
        <f>IFERROR(__xludf.DUMMYFUNCTION("""COMPUTED_VALUE"""),0.815646480737944)</f>
        <v>0.8156464807</v>
      </c>
      <c r="AA101" s="30">
        <f>IFERROR(__xludf.DUMMYFUNCTION("""COMPUTED_VALUE"""),0.6247424643257977)</f>
        <v>0.6247424643</v>
      </c>
      <c r="AB101" s="30">
        <f>IFERROR(__xludf.DUMMYFUNCTION("""COMPUTED_VALUE"""),1.4849467591337508)</f>
        <v>1.484946759</v>
      </c>
      <c r="AC101" s="30">
        <f>IFERROR(__xludf.DUMMYFUNCTION("""COMPUTED_VALUE"""),2.5882845025629577)</f>
        <v>2.588284503</v>
      </c>
      <c r="AD101" s="30">
        <f>IFERROR(__xludf.DUMMYFUNCTION("""COMPUTED_VALUE"""),0.9033332784860958)</f>
        <v>0.9033332785</v>
      </c>
      <c r="AE101" s="30">
        <f>IFERROR(__xludf.DUMMYFUNCTION("""COMPUTED_VALUE"""),0.8757295362072487)</f>
        <v>0.8757295362</v>
      </c>
      <c r="AF101" s="30">
        <f>IFERROR(__xludf.DUMMYFUNCTION("""COMPUTED_VALUE"""),1.143328259359717)</f>
        <v>1.143328259</v>
      </c>
      <c r="AG101" s="30">
        <f>IFERROR(__xludf.DUMMYFUNCTION("""COMPUTED_VALUE"""),0.7696283626517578)</f>
        <v>0.7696283627</v>
      </c>
      <c r="AH101" s="30">
        <f>IFERROR(__xludf.DUMMYFUNCTION("""COMPUTED_VALUE"""),0.7451157037264368)</f>
        <v>0.7451157037</v>
      </c>
      <c r="AI101" s="30">
        <f>IFERROR(__xludf.DUMMYFUNCTION("""COMPUTED_VALUE"""),1.0162671596226982)</f>
        <v>1.01626716</v>
      </c>
      <c r="AJ101" s="30">
        <f>IFERROR(__xludf.DUMMYFUNCTION("""COMPUTED_VALUE"""),1.1435307241668629)</f>
        <v>1.143530724</v>
      </c>
      <c r="AK101" s="30">
        <f>IFERROR(__xludf.DUMMYFUNCTION("""COMPUTED_VALUE"""),1.1341438783202262)</f>
        <v>1.134143878</v>
      </c>
      <c r="AL101" s="30">
        <f>IFERROR(__xludf.DUMMYFUNCTION("""COMPUTED_VALUE"""),0.81150228581048)</f>
        <v>0.8115022858</v>
      </c>
      <c r="AM101" s="30">
        <f>IFERROR(__xludf.DUMMYFUNCTION("""COMPUTED_VALUE"""),1.0488933678958854)</f>
        <v>1.048893368</v>
      </c>
      <c r="AN101" s="30">
        <f>IFERROR(__xludf.DUMMYFUNCTION("""COMPUTED_VALUE"""),0.9018520925003639)</f>
        <v>0.9018520925</v>
      </c>
      <c r="AO101" s="30">
        <f>IFERROR(__xludf.DUMMYFUNCTION("""COMPUTED_VALUE"""),0.8652977888817537)</f>
        <v>0.8652977889</v>
      </c>
      <c r="AP101" s="30">
        <f>IFERROR(__xludf.DUMMYFUNCTION("""COMPUTED_VALUE"""),1.1008454643937384)</f>
        <v>1.100845464</v>
      </c>
      <c r="AQ101" s="30">
        <f>IFERROR(__xludf.DUMMYFUNCTION("""COMPUTED_VALUE"""),0.7865841528670144)</f>
        <v>0.7865841529</v>
      </c>
      <c r="AR101" s="30">
        <f>IFERROR(__xludf.DUMMYFUNCTION("""COMPUTED_VALUE"""),0.709490672283945)</f>
        <v>0.7094906723</v>
      </c>
      <c r="AS101" s="30">
        <f>IFERROR(__xludf.DUMMYFUNCTION("""COMPUTED_VALUE"""),37.0)</f>
        <v>37</v>
      </c>
      <c r="AT101" s="30">
        <f>IFERROR(__xludf.DUMMYFUNCTION("""COMPUTED_VALUE"""),0.38391761056947543)</f>
        <v>0.3839176106</v>
      </c>
      <c r="AU101" s="30">
        <f>IFERROR(__xludf.DUMMYFUNCTION("""COMPUTED_VALUE"""),2.7089837418823275)</f>
        <v>2.708983742</v>
      </c>
      <c r="AV101" s="32">
        <f>IFERROR(__xludf.DUMMYFUNCTION("""COMPUTED_VALUE"""),40.421102723706866)</f>
        <v>40.42110272</v>
      </c>
      <c r="AW101" s="32">
        <f>IFERROR(__xludf.DUMMYFUNCTION("""COMPUTED_VALUE"""),-2.8506101515041977)</f>
        <v>-2.850610152</v>
      </c>
      <c r="AX101" s="32">
        <f>IFERROR(__xludf.DUMMYFUNCTION("""COMPUTED_VALUE"""),31.52470574952013)</f>
        <v>31.52470575</v>
      </c>
      <c r="AY101" s="32">
        <f>IFERROR(__xludf.DUMMYFUNCTION("""COMPUTED_VALUE"""),-4.348772887497703)</f>
        <v>-4.348772887</v>
      </c>
      <c r="AZ101" s="30">
        <f>IFERROR(__xludf.DUMMYFUNCTION("""COMPUTED_VALUE"""),1.4981627359935055)</f>
        <v>1.498162736</v>
      </c>
      <c r="BA101" s="30">
        <f>IFERROR(__xludf.DUMMYFUNCTION("""COMPUTED_VALUE"""),450.0)</f>
        <v>450</v>
      </c>
    </row>
    <row r="102">
      <c r="A102" s="30" t="str">
        <f>IFERROR(__xludf.DUMMYFUNCTION("""COMPUTED_VALUE"""),"Master")</f>
        <v>Master</v>
      </c>
      <c r="B102" s="30" t="str">
        <f>IFERROR(__xludf.DUMMYFUNCTION("""COMPUTED_VALUE"""),"RSC007878")</f>
        <v>RSC007878</v>
      </c>
      <c r="C102" s="30" t="str">
        <f>IFERROR(__xludf.DUMMYFUNCTION("""COMPUTED_VALUE"""),"oneam")</f>
        <v>oneam</v>
      </c>
      <c r="D102" s="30" t="str">
        <f>IFERROR(__xludf.DUMMYFUNCTION("""COMPUTED_VALUE"""),"Hard Hats")</f>
        <v>Hard Hats</v>
      </c>
      <c r="E102" s="30">
        <f>IFERROR(__xludf.DUMMYFUNCTION("""COMPUTED_VALUE"""),22.0)</f>
        <v>22</v>
      </c>
      <c r="F102" s="30">
        <f>IFERROR(__xludf.DUMMYFUNCTION("""COMPUTED_VALUE"""),5.0)</f>
        <v>5</v>
      </c>
      <c r="G102" s="30">
        <f>IFERROR(__xludf.DUMMYFUNCTION("""COMPUTED_VALUE"""),17.0)</f>
        <v>17</v>
      </c>
      <c r="H102" s="42">
        <f>IFERROR(__xludf.DUMMYFUNCTION("""COMPUTED_VALUE"""),0.22727272727272727)</f>
        <v>0.2272727273</v>
      </c>
      <c r="I102" s="42">
        <f>IFERROR(__xludf.DUMMYFUNCTION("""COMPUTED_VALUE"""),0.3111111111111111)</f>
        <v>0.3111111111</v>
      </c>
      <c r="J102" s="30">
        <f>IFERROR(__xludf.DUMMYFUNCTION("""COMPUTED_VALUE"""),333.72727272727275)</f>
        <v>333.7272727</v>
      </c>
      <c r="K102" s="30">
        <f>IFERROR(__xludf.DUMMYFUNCTION("""COMPUTED_VALUE"""),0.6363636363636364)</f>
        <v>0.6363636364</v>
      </c>
      <c r="L102" s="30">
        <f>IFERROR(__xludf.DUMMYFUNCTION("""COMPUTED_VALUE"""),0.3181818181818182)</f>
        <v>0.3181818182</v>
      </c>
      <c r="M102" s="30">
        <f>IFERROR(__xludf.DUMMYFUNCTION("""COMPUTED_VALUE"""),1.5909090909090908)</f>
        <v>1.590909091</v>
      </c>
      <c r="N102" s="30">
        <f>IFERROR(__xludf.DUMMYFUNCTION("""COMPUTED_VALUE"""),2.0454545454545454)</f>
        <v>2.045454545</v>
      </c>
      <c r="O102" s="30">
        <f>IFERROR(__xludf.DUMMYFUNCTION("""COMPUTED_VALUE"""),395.54545454545456)</f>
        <v>395.5454545</v>
      </c>
      <c r="P102" s="30">
        <f>IFERROR(__xludf.DUMMYFUNCTION("""COMPUTED_VALUE"""),0.9848484848484849)</f>
        <v>0.9848484848</v>
      </c>
      <c r="Q102" s="30">
        <f>IFERROR(__xludf.DUMMYFUNCTION("""COMPUTED_VALUE"""),0.7272727272727274)</f>
        <v>0.7272727273</v>
      </c>
      <c r="R102" s="30">
        <f>IFERROR(__xludf.DUMMYFUNCTION("""COMPUTED_VALUE"""),1.3939393939393943)</f>
        <v>1.393939394</v>
      </c>
      <c r="S102" s="30">
        <f>IFERROR(__xludf.DUMMYFUNCTION("""COMPUTED_VALUE"""),2.939393939393939)</f>
        <v>2.939393939</v>
      </c>
      <c r="T102" s="30">
        <f>IFERROR(__xludf.DUMMYFUNCTION("""COMPUTED_VALUE"""),394.01286753375274)</f>
        <v>394.0128675</v>
      </c>
      <c r="U102" s="30">
        <f>IFERROR(__xludf.DUMMYFUNCTION("""COMPUTED_VALUE"""),0.9204497626873391)</f>
        <v>0.9204497627</v>
      </c>
      <c r="V102" s="30">
        <f>IFERROR(__xludf.DUMMYFUNCTION("""COMPUTED_VALUE"""),0.7019178982213128)</f>
        <v>0.7019178982</v>
      </c>
      <c r="W102" s="30">
        <f>IFERROR(__xludf.DUMMYFUNCTION("""COMPUTED_VALUE"""),1.4459737076795987)</f>
        <v>1.445973708</v>
      </c>
      <c r="X102" s="30">
        <f>IFERROR(__xludf.DUMMYFUNCTION("""COMPUTED_VALUE"""),2.9094349236659323)</f>
        <v>2.909434924</v>
      </c>
      <c r="Y102" s="30">
        <f>IFERROR(__xludf.DUMMYFUNCTION("""COMPUTED_VALUE"""),370.87499357661216)</f>
        <v>370.8749936</v>
      </c>
      <c r="Z102" s="30">
        <f>IFERROR(__xludf.DUMMYFUNCTION("""COMPUTED_VALUE"""),0.7995257501454295)</f>
        <v>0.7995257501</v>
      </c>
      <c r="AA102" s="30">
        <f>IFERROR(__xludf.DUMMYFUNCTION("""COMPUTED_VALUE"""),0.5946294970198275)</f>
        <v>0.594629497</v>
      </c>
      <c r="AB102" s="30">
        <f>IFERROR(__xludf.DUMMYFUNCTION("""COMPUTED_VALUE"""),1.4808728236671604)</f>
        <v>1.480872824</v>
      </c>
      <c r="AC102" s="30">
        <f>IFERROR(__xludf.DUMMYFUNCTION("""COMPUTED_VALUE"""),2.6495335161120255)</f>
        <v>2.649533516</v>
      </c>
      <c r="AD102" s="30">
        <f>IFERROR(__xludf.DUMMYFUNCTION("""COMPUTED_VALUE"""),0.8998376232080318)</f>
        <v>0.8998376232</v>
      </c>
      <c r="AE102" s="30">
        <f>IFERROR(__xludf.DUMMYFUNCTION("""COMPUTED_VALUE"""),0.7959263804172476)</f>
        <v>0.7959263804</v>
      </c>
      <c r="AF102" s="30">
        <f>IFERROR(__xludf.DUMMYFUNCTION("""COMPUTED_VALUE"""),0.5350925572587406)</f>
        <v>0.5350925573</v>
      </c>
      <c r="AG102" s="30">
        <f>IFERROR(__xludf.DUMMYFUNCTION("""COMPUTED_VALUE"""),1.074305008156907)</f>
        <v>1.074305008</v>
      </c>
      <c r="AH102" s="30">
        <f>IFERROR(__xludf.DUMMYFUNCTION("""COMPUTED_VALUE"""),0.7720055372071999)</f>
        <v>0.7720055372</v>
      </c>
      <c r="AI102" s="30">
        <f>IFERROR(__xludf.DUMMYFUNCTION("""COMPUTED_VALUE"""),1.0038896877183092)</f>
        <v>1.003889688</v>
      </c>
      <c r="AJ102" s="30">
        <f>IFERROR(__xludf.DUMMYFUNCTION("""COMPUTED_VALUE"""),1.069964407370944)</f>
        <v>1.069964407</v>
      </c>
      <c r="AK102" s="30">
        <f>IFERROR(__xludf.DUMMYFUNCTION("""COMPUTED_VALUE"""),1.0361222147428706)</f>
        <v>1.036122215</v>
      </c>
      <c r="AL102" s="30">
        <f>IFERROR(__xludf.DUMMYFUNCTION("""COMPUTED_VALUE"""),0.9640143430936199)</f>
        <v>0.9640143431</v>
      </c>
      <c r="AM102" s="30">
        <f>IFERROR(__xludf.DUMMYFUNCTION("""COMPUTED_VALUE"""),1.0102971939617258)</f>
        <v>1.010297194</v>
      </c>
      <c r="AN102" s="30">
        <f>IFERROR(__xludf.DUMMYFUNCTION("""COMPUTED_VALUE"""),0.8900754011975976)</f>
        <v>0.8900754012</v>
      </c>
      <c r="AO102" s="30">
        <f>IFERROR(__xludf.DUMMYFUNCTION("""COMPUTED_VALUE"""),0.7709016664582896)</f>
        <v>0.7709016665</v>
      </c>
      <c r="AP102" s="30">
        <f>IFERROR(__xludf.DUMMYFUNCTION("""COMPUTED_VALUE"""),0.49037661595721077)</f>
        <v>0.490376616</v>
      </c>
      <c r="AQ102" s="30">
        <f>IFERROR(__xludf.DUMMYFUNCTION("""COMPUTED_VALUE"""),1.0949608946160143)</f>
        <v>1.094960895</v>
      </c>
      <c r="AR102" s="30">
        <f>IFERROR(__xludf.DUMMYFUNCTION("""COMPUTED_VALUE"""),0.7524901069678205)</f>
        <v>0.752490107</v>
      </c>
      <c r="AS102" s="30">
        <f>IFERROR(__xludf.DUMMYFUNCTION("""COMPUTED_VALUE"""),41.0)</f>
        <v>41</v>
      </c>
      <c r="AT102" s="30">
        <f>IFERROR(__xludf.DUMMYFUNCTION("""COMPUTED_VALUE"""),0.3265949729788528)</f>
        <v>0.326594973</v>
      </c>
      <c r="AU102" s="30">
        <f>IFERROR(__xludf.DUMMYFUNCTION("""COMPUTED_VALUE"""),2.0350522258856842)</f>
        <v>2.035052226</v>
      </c>
      <c r="AV102" s="32">
        <f>IFERROR(__xludf.DUMMYFUNCTION("""COMPUTED_VALUE"""),22.452493250967965)</f>
        <v>22.45249325</v>
      </c>
      <c r="AW102" s="32">
        <f>IFERROR(__xludf.DUMMYFUNCTION("""COMPUTED_VALUE"""),-7.393577823366861)</f>
        <v>-7.393577823</v>
      </c>
      <c r="AX102" s="32">
        <f>IFERROR(__xludf.DUMMYFUNCTION("""COMPUTED_VALUE"""),25.90582069607437)</f>
        <v>25.9058207</v>
      </c>
      <c r="AY102" s="32">
        <f>IFERROR(__xludf.DUMMYFUNCTION("""COMPUTED_VALUE"""),-5.967251689027242)</f>
        <v>-5.967251689</v>
      </c>
      <c r="AZ102" s="30">
        <f>IFERROR(__xludf.DUMMYFUNCTION("""COMPUTED_VALUE"""),1.4263261343396199)</f>
        <v>1.426326134</v>
      </c>
      <c r="BA102" s="30">
        <f>IFERROR(__xludf.DUMMYFUNCTION("""COMPUTED_VALUE"""),450.0)</f>
        <v>450</v>
      </c>
    </row>
    <row r="103">
      <c r="A103" s="30" t="str">
        <f>IFERROR(__xludf.DUMMYFUNCTION("""COMPUTED_VALUE"""),"Master")</f>
        <v>Master</v>
      </c>
      <c r="B103" s="30" t="str">
        <f>IFERROR(__xludf.DUMMYFUNCTION("""COMPUTED_VALUE"""),"RSC007858")</f>
        <v>RSC007858</v>
      </c>
      <c r="C103" s="30" t="str">
        <f>IFERROR(__xludf.DUMMYFUNCTION("""COMPUTED_VALUE"""),"Patty")</f>
        <v>Patty</v>
      </c>
      <c r="D103" s="30" t="str">
        <f>IFERROR(__xludf.DUMMYFUNCTION("""COMPUTED_VALUE"""),"Phantom Phreaks")</f>
        <v>Phantom Phreaks</v>
      </c>
      <c r="E103" s="30">
        <f>IFERROR(__xludf.DUMMYFUNCTION("""COMPUTED_VALUE"""),44.0)</f>
        <v>44</v>
      </c>
      <c r="F103" s="30">
        <f>IFERROR(__xludf.DUMMYFUNCTION("""COMPUTED_VALUE"""),29.0)</f>
        <v>29</v>
      </c>
      <c r="G103" s="30">
        <f>IFERROR(__xludf.DUMMYFUNCTION("""COMPUTED_VALUE"""),15.0)</f>
        <v>15</v>
      </c>
      <c r="H103" s="42">
        <f>IFERROR(__xludf.DUMMYFUNCTION("""COMPUTED_VALUE"""),0.6590909090909091)</f>
        <v>0.6590909091</v>
      </c>
      <c r="I103" s="42">
        <f>IFERROR(__xludf.DUMMYFUNCTION("""COMPUTED_VALUE"""),0.2967741935483871)</f>
        <v>0.2967741935</v>
      </c>
      <c r="J103" s="30">
        <f>IFERROR(__xludf.DUMMYFUNCTION("""COMPUTED_VALUE"""),452.70454545454544)</f>
        <v>452.7045455</v>
      </c>
      <c r="K103" s="30">
        <f>IFERROR(__xludf.DUMMYFUNCTION("""COMPUTED_VALUE"""),1.0454545454545454)</f>
        <v>1.045454545</v>
      </c>
      <c r="L103" s="30">
        <f>IFERROR(__xludf.DUMMYFUNCTION("""COMPUTED_VALUE"""),0.7045454545454546)</f>
        <v>0.7045454545</v>
      </c>
      <c r="M103" s="30">
        <f>IFERROR(__xludf.DUMMYFUNCTION("""COMPUTED_VALUE"""),1.6590909090909092)</f>
        <v>1.659090909</v>
      </c>
      <c r="N103" s="30">
        <f>IFERROR(__xludf.DUMMYFUNCTION("""COMPUTED_VALUE"""),3.522727272727273)</f>
        <v>3.522727273</v>
      </c>
      <c r="O103" s="30">
        <f>IFERROR(__xludf.DUMMYFUNCTION("""COMPUTED_VALUE"""),387.29545454545445)</f>
        <v>387.2954545</v>
      </c>
      <c r="P103" s="30">
        <f>IFERROR(__xludf.DUMMYFUNCTION("""COMPUTED_VALUE"""),0.7954545454545454)</f>
        <v>0.7954545455</v>
      </c>
      <c r="Q103" s="30">
        <f>IFERROR(__xludf.DUMMYFUNCTION("""COMPUTED_VALUE"""),0.6060606060606061)</f>
        <v>0.6060606061</v>
      </c>
      <c r="R103" s="30">
        <f>IFERROR(__xludf.DUMMYFUNCTION("""COMPUTED_VALUE"""),1.621212121212121)</f>
        <v>1.621212121</v>
      </c>
      <c r="S103" s="30">
        <f>IFERROR(__xludf.DUMMYFUNCTION("""COMPUTED_VALUE"""),2.621212121212121)</f>
        <v>2.621212121</v>
      </c>
      <c r="T103" s="30">
        <f>IFERROR(__xludf.DUMMYFUNCTION("""COMPUTED_VALUE"""),386.39213560486456)</f>
        <v>386.3921356</v>
      </c>
      <c r="U103" s="30">
        <f>IFERROR(__xludf.DUMMYFUNCTION("""COMPUTED_VALUE"""),0.8672545417640932)</f>
        <v>0.8672545418</v>
      </c>
      <c r="V103" s="30">
        <f>IFERROR(__xludf.DUMMYFUNCTION("""COMPUTED_VALUE"""),0.6719634066606698)</f>
        <v>0.6719634067</v>
      </c>
      <c r="W103" s="30">
        <f>IFERROR(__xludf.DUMMYFUNCTION("""COMPUTED_VALUE"""),1.4919727174320294)</f>
        <v>1.491972717</v>
      </c>
      <c r="X103" s="30">
        <f>IFERROR(__xludf.DUMMYFUNCTION("""COMPUTED_VALUE"""),2.8159651381278796)</f>
        <v>2.815965138</v>
      </c>
      <c r="Y103" s="30">
        <f>IFERROR(__xludf.DUMMYFUNCTION("""COMPUTED_VALUE"""),392.1051920850599)</f>
        <v>392.1051921</v>
      </c>
      <c r="Z103" s="30">
        <f>IFERROR(__xludf.DUMMYFUNCTION("""COMPUTED_VALUE"""),0.8970545926941067)</f>
        <v>0.8970545927</v>
      </c>
      <c r="AA103" s="30">
        <f>IFERROR(__xludf.DUMMYFUNCTION("""COMPUTED_VALUE"""),0.6878555439848775)</f>
        <v>0.687855544</v>
      </c>
      <c r="AB103" s="30">
        <f>IFERROR(__xludf.DUMMYFUNCTION("""COMPUTED_VALUE"""),1.5013572982567611)</f>
        <v>1.501357298</v>
      </c>
      <c r="AC103" s="30">
        <f>IFERROR(__xludf.DUMMYFUNCTION("""COMPUTED_VALUE"""),2.8819735400381763)</f>
        <v>2.88197354</v>
      </c>
      <c r="AD103" s="30">
        <f>IFERROR(__xludf.DUMMYFUNCTION("""COMPUTED_VALUE"""),1.1545487144591027)</f>
        <v>1.154548714</v>
      </c>
      <c r="AE103" s="30">
        <f>IFERROR(__xludf.DUMMYFUNCTION("""COMPUTED_VALUE"""),1.1654302357616297)</f>
        <v>1.165430236</v>
      </c>
      <c r="AF103" s="30">
        <f>IFERROR(__xludf.DUMMYFUNCTION("""COMPUTED_VALUE"""),1.0242636854591436)</f>
        <v>1.024263685</v>
      </c>
      <c r="AG103" s="30">
        <f>IFERROR(__xludf.DUMMYFUNCTION("""COMPUTED_VALUE"""),1.105060674775614)</f>
        <v>1.105060675</v>
      </c>
      <c r="AH103" s="30">
        <f>IFERROR(__xludf.DUMMYFUNCTION("""COMPUTED_VALUE"""),1.2223315806989015)</f>
        <v>1.222331581</v>
      </c>
      <c r="AI103" s="30">
        <f>IFERROR(__xludf.DUMMYFUNCTION("""COMPUTED_VALUE"""),1.002337829519164)</f>
        <v>1.00233783</v>
      </c>
      <c r="AJ103" s="30">
        <f>IFERROR(__xludf.DUMMYFUNCTION("""COMPUTED_VALUE"""),0.917210008305637)</f>
        <v>0.9172100083</v>
      </c>
      <c r="AK103" s="30">
        <f>IFERROR(__xludf.DUMMYFUNCTION("""COMPUTED_VALUE"""),0.9019250156380264)</f>
        <v>0.9019250156</v>
      </c>
      <c r="AL103" s="30">
        <f>IFERROR(__xludf.DUMMYFUNCTION("""COMPUTED_VALUE"""),1.0866231682859038)</f>
        <v>1.086623168</v>
      </c>
      <c r="AM103" s="30">
        <f>IFERROR(__xludf.DUMMYFUNCTION("""COMPUTED_VALUE"""),0.9308396917707458)</f>
        <v>0.9308396918</v>
      </c>
      <c r="AN103" s="30">
        <f>IFERROR(__xludf.DUMMYFUNCTION("""COMPUTED_VALUE"""),1.2073966164842649)</f>
        <v>1.207396616</v>
      </c>
      <c r="AO103" s="30">
        <f>IFERROR(__xludf.DUMMYFUNCTION("""COMPUTED_VALUE"""),1.2664813091814757)</f>
        <v>1.266481309</v>
      </c>
      <c r="AP103" s="30">
        <f>IFERROR(__xludf.DUMMYFUNCTION("""COMPUTED_VALUE"""),1.085833935333824)</f>
        <v>1.085833935</v>
      </c>
      <c r="AQ103" s="30">
        <f>IFERROR(__xludf.DUMMYFUNCTION("""COMPUTED_VALUE"""),1.1418877900995579)</f>
        <v>1.14188779</v>
      </c>
      <c r="AR103" s="30">
        <f>IFERROR(__xludf.DUMMYFUNCTION("""COMPUTED_VALUE"""),1.2959551842223576)</f>
        <v>1.295955184</v>
      </c>
      <c r="AS103" s="30">
        <f>IFERROR(__xludf.DUMMYFUNCTION("""COMPUTED_VALUE"""),131.0)</f>
        <v>131</v>
      </c>
      <c r="AT103" s="30">
        <f>IFERROR(__xludf.DUMMYFUNCTION("""COMPUTED_VALUE"""),0.5886220030852047)</f>
        <v>0.5886220031</v>
      </c>
      <c r="AU103" s="30">
        <f>IFERROR(__xludf.DUMMYFUNCTION("""COMPUTED_VALUE"""),4.0110778389085455)</f>
        <v>4.011077839</v>
      </c>
      <c r="AV103" s="32">
        <f>IFERROR(__xludf.DUMMYFUNCTION("""COMPUTED_VALUE"""),75.13801352379363)</f>
        <v>75.13801352</v>
      </c>
      <c r="AW103" s="32">
        <f>IFERROR(__xludf.DUMMYFUNCTION("""COMPUTED_VALUE"""),6.356344349813028)</f>
        <v>6.35634435</v>
      </c>
      <c r="AX103" s="32">
        <f>IFERROR(__xludf.DUMMYFUNCTION("""COMPUTED_VALUE"""),70.9341330184806)</f>
        <v>70.93413302</v>
      </c>
      <c r="AY103" s="32">
        <f>IFERROR(__xludf.DUMMYFUNCTION("""COMPUTED_VALUE"""),4.970336377435117)</f>
        <v>4.970336377</v>
      </c>
      <c r="AZ103" s="30">
        <f>IFERROR(__xludf.DUMMYFUNCTION("""COMPUTED_VALUE"""),1.3860079723779117)</f>
        <v>1.386007972</v>
      </c>
      <c r="BA103" s="30">
        <f>IFERROR(__xludf.DUMMYFUNCTION("""COMPUTED_VALUE"""),450.0)</f>
        <v>450</v>
      </c>
    </row>
    <row r="104">
      <c r="A104" s="30" t="str">
        <f>IFERROR(__xludf.DUMMYFUNCTION("""COMPUTED_VALUE"""),"Master")</f>
        <v>Master</v>
      </c>
      <c r="B104" s="30" t="str">
        <f>IFERROR(__xludf.DUMMYFUNCTION("""COMPUTED_VALUE"""),"RSC007809")</f>
        <v>RSC007809</v>
      </c>
      <c r="C104" s="30" t="str">
        <f>IFERROR(__xludf.DUMMYFUNCTION("""COMPUTED_VALUE"""),"wndr")</f>
        <v>wndr</v>
      </c>
      <c r="D104" s="30" t="str">
        <f>IFERROR(__xludf.DUMMYFUNCTION("""COMPUTED_VALUE"""),"Basilisks")</f>
        <v>Basilisks</v>
      </c>
      <c r="E104" s="30">
        <f>IFERROR(__xludf.DUMMYFUNCTION("""COMPUTED_VALUE"""),38.0)</f>
        <v>38</v>
      </c>
      <c r="F104" s="30">
        <f>IFERROR(__xludf.DUMMYFUNCTION("""COMPUTED_VALUE"""),24.0)</f>
        <v>24</v>
      </c>
      <c r="G104" s="30">
        <f>IFERROR(__xludf.DUMMYFUNCTION("""COMPUTED_VALUE"""),14.0)</f>
        <v>14</v>
      </c>
      <c r="H104" s="42">
        <f>IFERROR(__xludf.DUMMYFUNCTION("""COMPUTED_VALUE"""),0.631578947368421)</f>
        <v>0.6315789474</v>
      </c>
      <c r="I104" s="42">
        <f>IFERROR(__xludf.DUMMYFUNCTION("""COMPUTED_VALUE"""),0.3058823529411765)</f>
        <v>0.3058823529</v>
      </c>
      <c r="J104" s="30">
        <f>IFERROR(__xludf.DUMMYFUNCTION("""COMPUTED_VALUE"""),351.5263157894737)</f>
        <v>351.5263158</v>
      </c>
      <c r="K104" s="30">
        <f>IFERROR(__xludf.DUMMYFUNCTION("""COMPUTED_VALUE"""),0.6842105263157895)</f>
        <v>0.6842105263</v>
      </c>
      <c r="L104" s="30">
        <f>IFERROR(__xludf.DUMMYFUNCTION("""COMPUTED_VALUE"""),0.7368421052631579)</f>
        <v>0.7368421053</v>
      </c>
      <c r="M104" s="30">
        <f>IFERROR(__xludf.DUMMYFUNCTION("""COMPUTED_VALUE"""),1.4473684210526316)</f>
        <v>1.447368421</v>
      </c>
      <c r="N104" s="30">
        <f>IFERROR(__xludf.DUMMYFUNCTION("""COMPUTED_VALUE"""),2.236842105263158)</f>
        <v>2.236842105</v>
      </c>
      <c r="O104" s="30">
        <f>IFERROR(__xludf.DUMMYFUNCTION("""COMPUTED_VALUE"""),356.2456140350877)</f>
        <v>356.245614</v>
      </c>
      <c r="P104" s="30">
        <f>IFERROR(__xludf.DUMMYFUNCTION("""COMPUTED_VALUE"""),0.7105263157894738)</f>
        <v>0.7105263158</v>
      </c>
      <c r="Q104" s="30">
        <f>IFERROR(__xludf.DUMMYFUNCTION("""COMPUTED_VALUE"""),0.5964912280701755)</f>
        <v>0.5964912281</v>
      </c>
      <c r="R104" s="30">
        <f>IFERROR(__xludf.DUMMYFUNCTION("""COMPUTED_VALUE"""),1.4210526315789471)</f>
        <v>1.421052632</v>
      </c>
      <c r="S104" s="30">
        <f>IFERROR(__xludf.DUMMYFUNCTION("""COMPUTED_VALUE"""),2.8947368421052633)</f>
        <v>2.894736842</v>
      </c>
      <c r="T104" s="30">
        <f>IFERROR(__xludf.DUMMYFUNCTION("""COMPUTED_VALUE"""),383.1830926101547)</f>
        <v>383.1830926</v>
      </c>
      <c r="U104" s="30">
        <f>IFERROR(__xludf.DUMMYFUNCTION("""COMPUTED_VALUE"""),0.8493177280483692)</f>
        <v>0.849317728</v>
      </c>
      <c r="V104" s="30">
        <f>IFERROR(__xludf.DUMMYFUNCTION("""COMPUTED_VALUE"""),0.6661002364758384)</f>
        <v>0.6661002365</v>
      </c>
      <c r="W104" s="30">
        <f>IFERROR(__xludf.DUMMYFUNCTION("""COMPUTED_VALUE"""),1.5065592532083978)</f>
        <v>1.506559253</v>
      </c>
      <c r="X104" s="30">
        <f>IFERROR(__xludf.DUMMYFUNCTION("""COMPUTED_VALUE"""),2.8246704085672434)</f>
        <v>2.824670409</v>
      </c>
      <c r="Y104" s="30">
        <f>IFERROR(__xludf.DUMMYFUNCTION("""COMPUTED_VALUE"""),392.4386358050907)</f>
        <v>392.4386358</v>
      </c>
      <c r="Z104" s="30">
        <f>IFERROR(__xludf.DUMMYFUNCTION("""COMPUTED_VALUE"""),0.9058099539667146)</f>
        <v>0.905809954</v>
      </c>
      <c r="AA104" s="30">
        <f>IFERROR(__xludf.DUMMYFUNCTION("""COMPUTED_VALUE"""),0.6889870155459182)</f>
        <v>0.6889870155</v>
      </c>
      <c r="AB104" s="30">
        <f>IFERROR(__xludf.DUMMYFUNCTION("""COMPUTED_VALUE"""),1.5070449291087096)</f>
        <v>1.507044929</v>
      </c>
      <c r="AC104" s="30">
        <f>IFERROR(__xludf.DUMMYFUNCTION("""COMPUTED_VALUE"""),2.878287617799542)</f>
        <v>2.878287618</v>
      </c>
      <c r="AD104" s="30">
        <f>IFERROR(__xludf.DUMMYFUNCTION("""COMPUTED_VALUE"""),0.8957484908903398)</f>
        <v>0.8957484909</v>
      </c>
      <c r="AE104" s="30">
        <f>IFERROR(__xludf.DUMMYFUNCTION("""COMPUTED_VALUE"""),0.7553577031467815)</f>
        <v>0.7553577031</v>
      </c>
      <c r="AF104" s="30">
        <f>IFERROR(__xludf.DUMMYFUNCTION("""COMPUTED_VALUE"""),1.0694571721055173)</f>
        <v>1.069457172</v>
      </c>
      <c r="AG104" s="30">
        <f>IFERROR(__xludf.DUMMYFUNCTION("""COMPUTED_VALUE"""),0.9604016397232619)</f>
        <v>0.9604016397</v>
      </c>
      <c r="AH104" s="30">
        <f>IFERROR(__xludf.DUMMYFUNCTION("""COMPUTED_VALUE"""),0.7771433582350707)</f>
        <v>0.7771433582</v>
      </c>
      <c r="AI104" s="30">
        <f>IFERROR(__xludf.DUMMYFUNCTION("""COMPUTED_VALUE"""),0.9297007642180267)</f>
        <v>0.9297007642</v>
      </c>
      <c r="AJ104" s="30">
        <f>IFERROR(__xludf.DUMMYFUNCTION("""COMPUTED_VALUE"""),0.8365848166412096)</f>
        <v>0.8365848166</v>
      </c>
      <c r="AK104" s="30">
        <f>IFERROR(__xludf.DUMMYFUNCTION("""COMPUTED_VALUE"""),0.8954976975027875)</f>
        <v>0.8954976975</v>
      </c>
      <c r="AL104" s="30">
        <f>IFERROR(__xludf.DUMMYFUNCTION("""COMPUTED_VALUE"""),0.9432437712308002)</f>
        <v>0.9432437712</v>
      </c>
      <c r="AM104" s="30">
        <f>IFERROR(__xludf.DUMMYFUNCTION("""COMPUTED_VALUE"""),1.0248051713663682)</f>
        <v>1.024805171</v>
      </c>
      <c r="AN104" s="30">
        <f>IFERROR(__xludf.DUMMYFUNCTION("""COMPUTED_VALUE"""),0.9375467698545685)</f>
        <v>0.9375467699</v>
      </c>
      <c r="AO104" s="30">
        <f>IFERROR(__xludf.DUMMYFUNCTION("""COMPUTED_VALUE"""),0.828864197770943)</f>
        <v>0.8288641978</v>
      </c>
      <c r="AP104" s="30">
        <f>IFERROR(__xludf.DUMMYFUNCTION("""COMPUTED_VALUE"""),1.1356090053745933)</f>
        <v>1.135609005</v>
      </c>
      <c r="AQ104" s="30">
        <f>IFERROR(__xludf.DUMMYFUNCTION("""COMPUTED_VALUE"""),0.9961674304401335)</f>
        <v>0.9961674304</v>
      </c>
      <c r="AR104" s="30">
        <f>IFERROR(__xludf.DUMMYFUNCTION("""COMPUTED_VALUE"""),0.822898538029137)</f>
        <v>0.822898538</v>
      </c>
      <c r="AS104" s="30">
        <f>IFERROR(__xludf.DUMMYFUNCTION("""COMPUTED_VALUE"""),109.0)</f>
        <v>109</v>
      </c>
      <c r="AT104" s="30">
        <f>IFERROR(__xludf.DUMMYFUNCTION("""COMPUTED_VALUE"""),0.61566965250047)</f>
        <v>0.6156696525</v>
      </c>
      <c r="AU104" s="30">
        <f>IFERROR(__xludf.DUMMYFUNCTION("""COMPUTED_VALUE"""),2.87426919344217)</f>
        <v>2.874269193</v>
      </c>
      <c r="AV104" s="32">
        <f>IFERROR(__xludf.DUMMYFUNCTION("""COMPUTED_VALUE"""),44.82800410776218)</f>
        <v>44.82800411</v>
      </c>
      <c r="AW104" s="32">
        <f>IFERROR(__xludf.DUMMYFUNCTION("""COMPUTED_VALUE"""),-2.392047767402198)</f>
        <v>-2.392047767</v>
      </c>
      <c r="AX104" s="32">
        <f>IFERROR(__xludf.DUMMYFUNCTION("""COMPUTED_VALUE"""),34.50623167605059)</f>
        <v>34.50623168</v>
      </c>
      <c r="AY104" s="32">
        <f>IFERROR(__xludf.DUMMYFUNCTION("""COMPUTED_VALUE"""),-3.7353719865081767)</f>
        <v>-3.735371987</v>
      </c>
      <c r="AZ104" s="30">
        <f>IFERROR(__xludf.DUMMYFUNCTION("""COMPUTED_VALUE"""),1.3433242191059787)</f>
        <v>1.343324219</v>
      </c>
      <c r="BA104" s="30">
        <f>IFERROR(__xludf.DUMMYFUNCTION("""COMPUTED_VALUE"""),450.0)</f>
        <v>450</v>
      </c>
    </row>
    <row r="105">
      <c r="A105" s="30" t="str">
        <f>IFERROR(__xludf.DUMMYFUNCTION("""COMPUTED_VALUE"""),"Master")</f>
        <v>Master</v>
      </c>
      <c r="B105" s="30" t="str">
        <f>IFERROR(__xludf.DUMMYFUNCTION("""COMPUTED_VALUE"""),"RSC002050")</f>
        <v>RSC002050</v>
      </c>
      <c r="C105" s="30" t="str">
        <f>IFERROR(__xludf.DUMMYFUNCTION("""COMPUTED_VALUE"""),"Goobz")</f>
        <v>Goobz</v>
      </c>
      <c r="D105" s="30" t="str">
        <f>IFERROR(__xludf.DUMMYFUNCTION("""COMPUTED_VALUE"""),"Plinko")</f>
        <v>Plinko</v>
      </c>
      <c r="E105" s="30">
        <f>IFERROR(__xludf.DUMMYFUNCTION("""COMPUTED_VALUE"""),37.0)</f>
        <v>37</v>
      </c>
      <c r="F105" s="30">
        <f>IFERROR(__xludf.DUMMYFUNCTION("""COMPUTED_VALUE"""),18.0)</f>
        <v>18</v>
      </c>
      <c r="G105" s="30">
        <f>IFERROR(__xludf.DUMMYFUNCTION("""COMPUTED_VALUE"""),19.0)</f>
        <v>19</v>
      </c>
      <c r="H105" s="42">
        <f>IFERROR(__xludf.DUMMYFUNCTION("""COMPUTED_VALUE"""),0.4864864864864865)</f>
        <v>0.4864864865</v>
      </c>
      <c r="I105" s="42">
        <f>IFERROR(__xludf.DUMMYFUNCTION("""COMPUTED_VALUE"""),0.24752475247524752)</f>
        <v>0.2475247525</v>
      </c>
      <c r="J105" s="30">
        <f>IFERROR(__xludf.DUMMYFUNCTION("""COMPUTED_VALUE"""),365.8918918918919)</f>
        <v>365.8918919</v>
      </c>
      <c r="K105" s="30">
        <f>IFERROR(__xludf.DUMMYFUNCTION("""COMPUTED_VALUE"""),0.6756756756756757)</f>
        <v>0.6756756757</v>
      </c>
      <c r="L105" s="30">
        <f>IFERROR(__xludf.DUMMYFUNCTION("""COMPUTED_VALUE"""),0.4864864864864865)</f>
        <v>0.4864864865</v>
      </c>
      <c r="M105" s="30">
        <f>IFERROR(__xludf.DUMMYFUNCTION("""COMPUTED_VALUE"""),1.7027027027027026)</f>
        <v>1.702702703</v>
      </c>
      <c r="N105" s="30">
        <f>IFERROR(__xludf.DUMMYFUNCTION("""COMPUTED_VALUE"""),2.72972972972973)</f>
        <v>2.72972973</v>
      </c>
      <c r="O105" s="30">
        <f>IFERROR(__xludf.DUMMYFUNCTION("""COMPUTED_VALUE"""),393.6576576576575)</f>
        <v>393.6576577</v>
      </c>
      <c r="P105" s="30">
        <f>IFERROR(__xludf.DUMMYFUNCTION("""COMPUTED_VALUE"""),0.8108108108108109)</f>
        <v>0.8108108108</v>
      </c>
      <c r="Q105" s="30">
        <f>IFERROR(__xludf.DUMMYFUNCTION("""COMPUTED_VALUE"""),0.6666666666666666)</f>
        <v>0.6666666667</v>
      </c>
      <c r="R105" s="30">
        <f>IFERROR(__xludf.DUMMYFUNCTION("""COMPUTED_VALUE"""),1.5675675675675673)</f>
        <v>1.567567568</v>
      </c>
      <c r="S105" s="30">
        <f>IFERROR(__xludf.DUMMYFUNCTION("""COMPUTED_VALUE"""),2.981981981981982)</f>
        <v>2.981981982</v>
      </c>
      <c r="T105" s="30">
        <f>IFERROR(__xludf.DUMMYFUNCTION("""COMPUTED_VALUE"""),390.9147295265913)</f>
        <v>390.9147295</v>
      </c>
      <c r="U105" s="30">
        <f>IFERROR(__xludf.DUMMYFUNCTION("""COMPUTED_VALUE"""),0.9116012392211641)</f>
        <v>0.9116012392</v>
      </c>
      <c r="V105" s="30">
        <f>IFERROR(__xludf.DUMMYFUNCTION("""COMPUTED_VALUE"""),0.7091444446247092)</f>
        <v>0.7091444446</v>
      </c>
      <c r="W105" s="30">
        <f>IFERROR(__xludf.DUMMYFUNCTION("""COMPUTED_VALUE"""),1.4414365331772685)</f>
        <v>1.441436533</v>
      </c>
      <c r="X105" s="30">
        <f>IFERROR(__xludf.DUMMYFUNCTION("""COMPUTED_VALUE"""),2.871672040278972)</f>
        <v>2.87167204</v>
      </c>
      <c r="Y105" s="30">
        <f>IFERROR(__xludf.DUMMYFUNCTION("""COMPUTED_VALUE"""),382.5081897036972)</f>
        <v>382.5081897</v>
      </c>
      <c r="Z105" s="30">
        <f>IFERROR(__xludf.DUMMYFUNCTION("""COMPUTED_VALUE"""),0.841836483584728)</f>
        <v>0.8418364836</v>
      </c>
      <c r="AA105" s="30">
        <f>IFERROR(__xludf.DUMMYFUNCTION("""COMPUTED_VALUE"""),0.6367978212349377)</f>
        <v>0.6367978212</v>
      </c>
      <c r="AB105" s="30">
        <f>IFERROR(__xludf.DUMMYFUNCTION("""COMPUTED_VALUE"""),1.4941474719819205)</f>
        <v>1.494147472</v>
      </c>
      <c r="AC105" s="30">
        <f>IFERROR(__xludf.DUMMYFUNCTION("""COMPUTED_VALUE"""),2.7516735321601264)</f>
        <v>2.751673532</v>
      </c>
      <c r="AD105" s="30">
        <f>IFERROR(__xludf.DUMMYFUNCTION("""COMPUTED_VALUE"""),0.9565596286325874)</f>
        <v>0.9565596286</v>
      </c>
      <c r="AE105" s="30">
        <f>IFERROR(__xludf.DUMMYFUNCTION("""COMPUTED_VALUE"""),0.8026210420324118)</f>
        <v>0.802621042</v>
      </c>
      <c r="AF105" s="30">
        <f>IFERROR(__xludf.DUMMYFUNCTION("""COMPUTED_VALUE"""),0.7639575235088691)</f>
        <v>0.7639575235</v>
      </c>
      <c r="AG105" s="30">
        <f>IFERROR(__xludf.DUMMYFUNCTION("""COMPUTED_VALUE"""),1.1395814232741985)</f>
        <v>1.139581423</v>
      </c>
      <c r="AH105" s="30">
        <f>IFERROR(__xludf.DUMMYFUNCTION("""COMPUTED_VALUE"""),0.9920252885475225)</f>
        <v>0.9920252885</v>
      </c>
      <c r="AI105" s="30">
        <f>IFERROR(__xludf.DUMMYFUNCTION("""COMPUTED_VALUE"""),1.0070166916820658)</f>
        <v>1.007016692</v>
      </c>
      <c r="AJ105" s="30">
        <f>IFERROR(__xludf.DUMMYFUNCTION("""COMPUTED_VALUE"""),0.8894358365545174)</f>
        <v>0.8894358366</v>
      </c>
      <c r="AK105" s="30">
        <f>IFERROR(__xludf.DUMMYFUNCTION("""COMPUTED_VALUE"""),0.940099963723861)</f>
        <v>0.9400999637</v>
      </c>
      <c r="AL105" s="30">
        <f>IFERROR(__xludf.DUMMYFUNCTION("""COMPUTED_VALUE"""),1.0875037030678527)</f>
        <v>1.087503703</v>
      </c>
      <c r="AM105" s="30">
        <f>IFERROR(__xludf.DUMMYFUNCTION("""COMPUTED_VALUE"""),1.038413140552183)</f>
        <v>1.038413141</v>
      </c>
      <c r="AN105" s="30">
        <f>IFERROR(__xludf.DUMMYFUNCTION("""COMPUTED_VALUE"""),0.9758608273431927)</f>
        <v>0.9758608273</v>
      </c>
      <c r="AO105" s="30">
        <f>IFERROR(__xludf.DUMMYFUNCTION("""COMPUTED_VALUE"""),0.8185249354286859)</f>
        <v>0.8185249354</v>
      </c>
      <c r="AP105" s="30">
        <f>IFERROR(__xludf.DUMMYFUNCTION("""COMPUTED_VALUE"""),0.7497650189924923)</f>
        <v>0.749765019</v>
      </c>
      <c r="AQ105" s="30">
        <f>IFERROR(__xludf.DUMMYFUNCTION("""COMPUTED_VALUE"""),1.1719040926160587)</f>
        <v>1.171904093</v>
      </c>
      <c r="AR105" s="30">
        <f>IFERROR(__xludf.DUMMYFUNCTION("""COMPUTED_VALUE"""),1.0042240346441424)</f>
        <v>1.004224035</v>
      </c>
      <c r="AS105" s="30">
        <f>IFERROR(__xludf.DUMMYFUNCTION("""COMPUTED_VALUE"""),88.0)</f>
        <v>88</v>
      </c>
      <c r="AT105" s="30">
        <f>IFERROR(__xludf.DUMMYFUNCTION("""COMPUTED_VALUE"""),0.49118241017034436)</f>
        <v>0.4911824102</v>
      </c>
      <c r="AU105" s="30">
        <f>IFERROR(__xludf.DUMMYFUNCTION("""COMPUTED_VALUE"""),2.684391944945835)</f>
        <v>2.684391945</v>
      </c>
      <c r="AV105" s="32">
        <f>IFERROR(__xludf.DUMMYFUNCTION("""COMPUTED_VALUE"""),39.765427206393724)</f>
        <v>39.76542721</v>
      </c>
      <c r="AW105" s="32">
        <f>IFERROR(__xludf.DUMMYFUNCTION("""COMPUTED_VALUE"""),-2.931439444018165)</f>
        <v>-2.931439444</v>
      </c>
      <c r="AX105" s="32">
        <f>IFERROR(__xludf.DUMMYFUNCTION("""COMPUTED_VALUE"""),32.819449801439006)</f>
        <v>32.8194498</v>
      </c>
      <c r="AY105" s="32">
        <f>IFERROR(__xludf.DUMMYFUNCTION("""COMPUTED_VALUE"""),-4.06551299545496)</f>
        <v>-4.065512995</v>
      </c>
      <c r="AZ105" s="30">
        <f>IFERROR(__xludf.DUMMYFUNCTION("""COMPUTED_VALUE"""),1.1340735514367952)</f>
        <v>1.134073551</v>
      </c>
      <c r="BA105" s="30">
        <f>IFERROR(__xludf.DUMMYFUNCTION("""COMPUTED_VALUE"""),450.0)</f>
        <v>450</v>
      </c>
    </row>
    <row r="106">
      <c r="A106" s="30" t="str">
        <f>IFERROR(__xludf.DUMMYFUNCTION("""COMPUTED_VALUE"""),"Master")</f>
        <v>Master</v>
      </c>
      <c r="B106" s="30" t="str">
        <f>IFERROR(__xludf.DUMMYFUNCTION("""COMPUTED_VALUE"""),"RSC002476")</f>
        <v>RSC002476</v>
      </c>
      <c r="C106" s="30" t="str">
        <f>IFERROR(__xludf.DUMMYFUNCTION("""COMPUTED_VALUE"""),"Argnor")</f>
        <v>Argnor</v>
      </c>
      <c r="D106" s="30" t="str">
        <f>IFERROR(__xludf.DUMMYFUNCTION("""COMPUTED_VALUE"""),"Helicoprions")</f>
        <v>Helicoprions</v>
      </c>
      <c r="E106" s="30">
        <f>IFERROR(__xludf.DUMMYFUNCTION("""COMPUTED_VALUE"""),38.0)</f>
        <v>38</v>
      </c>
      <c r="F106" s="30">
        <f>IFERROR(__xludf.DUMMYFUNCTION("""COMPUTED_VALUE"""),25.0)</f>
        <v>25</v>
      </c>
      <c r="G106" s="30">
        <f>IFERROR(__xludf.DUMMYFUNCTION("""COMPUTED_VALUE"""),13.0)</f>
        <v>13</v>
      </c>
      <c r="H106" s="42">
        <f>IFERROR(__xludf.DUMMYFUNCTION("""COMPUTED_VALUE"""),0.6578947368421053)</f>
        <v>0.6578947368</v>
      </c>
      <c r="I106" s="42">
        <f>IFERROR(__xludf.DUMMYFUNCTION("""COMPUTED_VALUE"""),0.23853211009174313)</f>
        <v>0.2385321101</v>
      </c>
      <c r="J106" s="30">
        <f>IFERROR(__xludf.DUMMYFUNCTION("""COMPUTED_VALUE"""),332.7631578947368)</f>
        <v>332.7631579</v>
      </c>
      <c r="K106" s="30">
        <f>IFERROR(__xludf.DUMMYFUNCTION("""COMPUTED_VALUE"""),0.6842105263157895)</f>
        <v>0.6842105263</v>
      </c>
      <c r="L106" s="30">
        <f>IFERROR(__xludf.DUMMYFUNCTION("""COMPUTED_VALUE"""),0.7105263157894737)</f>
        <v>0.7105263158</v>
      </c>
      <c r="M106" s="30">
        <f>IFERROR(__xludf.DUMMYFUNCTION("""COMPUTED_VALUE"""),1.0789473684210527)</f>
        <v>1.078947368</v>
      </c>
      <c r="N106" s="30">
        <f>IFERROR(__xludf.DUMMYFUNCTION("""COMPUTED_VALUE"""),2.8684210526315788)</f>
        <v>2.868421053</v>
      </c>
      <c r="O106" s="30">
        <f>IFERROR(__xludf.DUMMYFUNCTION("""COMPUTED_VALUE"""),363.64912280701753)</f>
        <v>363.6491228</v>
      </c>
      <c r="P106" s="30">
        <f>IFERROR(__xludf.DUMMYFUNCTION("""COMPUTED_VALUE"""),0.6578947368421053)</f>
        <v>0.6578947368</v>
      </c>
      <c r="Q106" s="30">
        <f>IFERROR(__xludf.DUMMYFUNCTION("""COMPUTED_VALUE"""),0.48245614035087725)</f>
        <v>0.4824561404</v>
      </c>
      <c r="R106" s="30">
        <f>IFERROR(__xludf.DUMMYFUNCTION("""COMPUTED_VALUE"""),1.6666666666666667)</f>
        <v>1.666666667</v>
      </c>
      <c r="S106" s="30">
        <f>IFERROR(__xludf.DUMMYFUNCTION("""COMPUTED_VALUE"""),2.6228070175438596)</f>
        <v>2.622807018</v>
      </c>
      <c r="T106" s="30">
        <f>IFERROR(__xludf.DUMMYFUNCTION("""COMPUTED_VALUE"""),374.58337490192815)</f>
        <v>374.5833749</v>
      </c>
      <c r="U106" s="30">
        <f>IFERROR(__xludf.DUMMYFUNCTION("""COMPUTED_VALUE"""),0.808112516775767)</f>
        <v>0.8081125168</v>
      </c>
      <c r="V106" s="30">
        <f>IFERROR(__xludf.DUMMYFUNCTION("""COMPUTED_VALUE"""),0.6081049826030116)</f>
        <v>0.6081049826</v>
      </c>
      <c r="W106" s="30">
        <f>IFERROR(__xludf.DUMMYFUNCTION("""COMPUTED_VALUE"""),1.5467348106789247)</f>
        <v>1.546734811</v>
      </c>
      <c r="X106" s="30">
        <f>IFERROR(__xludf.DUMMYFUNCTION("""COMPUTED_VALUE"""),2.6786933097088053)</f>
        <v>2.67869331</v>
      </c>
      <c r="Y106" s="30">
        <f>IFERROR(__xludf.DUMMYFUNCTION("""COMPUTED_VALUE"""),391.01685397406817)</f>
        <v>391.016854</v>
      </c>
      <c r="Z106" s="30">
        <f>IFERROR(__xludf.DUMMYFUNCTION("""COMPUTED_VALUE"""),0.901490115631428)</f>
        <v>0.9014901156</v>
      </c>
      <c r="AA106" s="30">
        <f>IFERROR(__xludf.DUMMYFUNCTION("""COMPUTED_VALUE"""),0.6928016284600242)</f>
        <v>0.6928016285</v>
      </c>
      <c r="AB106" s="30">
        <f>IFERROR(__xludf.DUMMYFUNCTION("""COMPUTED_VALUE"""),1.4691658532235083)</f>
        <v>1.469165853</v>
      </c>
      <c r="AC106" s="30">
        <f>IFERROR(__xludf.DUMMYFUNCTION("""COMPUTED_VALUE"""),2.9100010079821015)</f>
        <v>2.910001008</v>
      </c>
      <c r="AD106" s="30">
        <f>IFERROR(__xludf.DUMMYFUNCTION("""COMPUTED_VALUE"""),0.8510199867671313)</f>
        <v>0.8510199868</v>
      </c>
      <c r="AE106" s="30">
        <f>IFERROR(__xludf.DUMMYFUNCTION("""COMPUTED_VALUE"""),0.7589772915441785)</f>
        <v>0.7589772915</v>
      </c>
      <c r="AF106" s="30">
        <f>IFERROR(__xludf.DUMMYFUNCTION("""COMPUTED_VALUE"""),1.025584072844702)</f>
        <v>1.025584073</v>
      </c>
      <c r="AG106" s="30">
        <f>IFERROR(__xludf.DUMMYFUNCTION("""COMPUTED_VALUE"""),0.7343945314640452)</f>
        <v>0.7343945315</v>
      </c>
      <c r="AH106" s="30">
        <f>IFERROR(__xludf.DUMMYFUNCTION("""COMPUTED_VALUE"""),0.9857113604990275)</f>
        <v>0.9857113605</v>
      </c>
      <c r="AI106" s="30">
        <f>IFERROR(__xludf.DUMMYFUNCTION("""COMPUTED_VALUE"""),0.9708095638313543)</f>
        <v>0.9708095638</v>
      </c>
      <c r="AJ106" s="30">
        <f>IFERROR(__xludf.DUMMYFUNCTION("""COMPUTED_VALUE"""),0.8141127914550744)</f>
        <v>0.8141127915</v>
      </c>
      <c r="AK106" s="30">
        <f>IFERROR(__xludf.DUMMYFUNCTION("""COMPUTED_VALUE"""),0.7933763974202436)</f>
        <v>0.7933763974</v>
      </c>
      <c r="AL106" s="30">
        <f>IFERROR(__xludf.DUMMYFUNCTION("""COMPUTED_VALUE"""),1.0775387320177394)</f>
        <v>1.077538732</v>
      </c>
      <c r="AM106" s="30">
        <f>IFERROR(__xludf.DUMMYFUNCTION("""COMPUTED_VALUE"""),0.9791367335848459)</f>
        <v>0.9791367336</v>
      </c>
      <c r="AN106" s="30">
        <f>IFERROR(__xludf.DUMMYFUNCTION("""COMPUTED_VALUE"""),0.887504035395345)</f>
        <v>0.8875040354</v>
      </c>
      <c r="AO106" s="30">
        <f>IFERROR(__xludf.DUMMYFUNCTION("""COMPUTED_VALUE"""),0.828864197770943)</f>
        <v>0.8288641978</v>
      </c>
      <c r="AP106" s="30">
        <f>IFERROR(__xludf.DUMMYFUNCTION("""COMPUTED_VALUE"""),1.0950515408969292)</f>
        <v>1.095051541</v>
      </c>
      <c r="AQ106" s="30">
        <f>IFERROR(__xludf.DUMMYFUNCTION("""COMPUTED_VALUE"""),0.7425975390553722)</f>
        <v>0.7425975391</v>
      </c>
      <c r="AR106" s="30">
        <f>IFERROR(__xludf.DUMMYFUNCTION("""COMPUTED_VALUE"""),1.0552463605314815)</f>
        <v>1.055246361</v>
      </c>
      <c r="AS106" s="30">
        <f>IFERROR(__xludf.DUMMYFUNCTION("""COMPUTED_VALUE"""),91.0)</f>
        <v>91</v>
      </c>
      <c r="AT106" s="30">
        <f>IFERROR(__xludf.DUMMYFUNCTION("""COMPUTED_VALUE"""),0.5732768482569318)</f>
        <v>0.5732768483</v>
      </c>
      <c r="AU106" s="30">
        <f>IFERROR(__xludf.DUMMYFUNCTION("""COMPUTED_VALUE"""),2.992264960814066)</f>
        <v>2.992264961</v>
      </c>
      <c r="AV106" s="32">
        <f>IFERROR(__xludf.DUMMYFUNCTION("""COMPUTED_VALUE"""),47.97405057244824)</f>
        <v>47.97405057</v>
      </c>
      <c r="AW106" s="32">
        <f>IFERROR(__xludf.DUMMYFUNCTION("""COMPUTED_VALUE"""),-2.1380958695870076)</f>
        <v>-2.13809587</v>
      </c>
      <c r="AX106" s="32">
        <f>IFERROR(__xludf.DUMMYFUNCTION("""COMPUTED_VALUE"""),38.290875442597766)</f>
        <v>38.29087544</v>
      </c>
      <c r="AY106" s="32">
        <f>IFERROR(__xludf.DUMMYFUNCTION("""COMPUTED_VALUE"""),-3.1273278780353575)</f>
        <v>-3.127327878</v>
      </c>
      <c r="AZ106" s="30">
        <f>IFERROR(__xludf.DUMMYFUNCTION("""COMPUTED_VALUE"""),0.9892320084483499)</f>
        <v>0.9892320084</v>
      </c>
      <c r="BA106" s="30">
        <f>IFERROR(__xludf.DUMMYFUNCTION("""COMPUTED_VALUE"""),450.0)</f>
        <v>450</v>
      </c>
    </row>
    <row r="107">
      <c r="A107" s="30" t="str">
        <f>IFERROR(__xludf.DUMMYFUNCTION("""COMPUTED_VALUE"""),"Master")</f>
        <v>Master</v>
      </c>
      <c r="B107" s="30" t="str">
        <f>IFERROR(__xludf.DUMMYFUNCTION("""COMPUTED_VALUE"""),"RSC000824")</f>
        <v>RSC000824</v>
      </c>
      <c r="C107" s="30" t="str">
        <f>IFERROR(__xludf.DUMMYFUNCTION("""COMPUTED_VALUE"""),"Cart")</f>
        <v>Cart</v>
      </c>
      <c r="D107" s="30" t="str">
        <f>IFERROR(__xludf.DUMMYFUNCTION("""COMPUTED_VALUE"""),"Hard Hats")</f>
        <v>Hard Hats</v>
      </c>
      <c r="E107" s="30">
        <f>IFERROR(__xludf.DUMMYFUNCTION("""COMPUTED_VALUE"""),27.0)</f>
        <v>27</v>
      </c>
      <c r="F107" s="30">
        <f>IFERROR(__xludf.DUMMYFUNCTION("""COMPUTED_VALUE"""),11.0)</f>
        <v>11</v>
      </c>
      <c r="G107" s="30">
        <f>IFERROR(__xludf.DUMMYFUNCTION("""COMPUTED_VALUE"""),16.0)</f>
        <v>16</v>
      </c>
      <c r="H107" s="42">
        <f>IFERROR(__xludf.DUMMYFUNCTION("""COMPUTED_VALUE"""),0.4074074074074074)</f>
        <v>0.4074074074</v>
      </c>
      <c r="I107" s="42">
        <f>IFERROR(__xludf.DUMMYFUNCTION("""COMPUTED_VALUE"""),0.29411764705882354)</f>
        <v>0.2941176471</v>
      </c>
      <c r="J107" s="30">
        <f>IFERROR(__xludf.DUMMYFUNCTION("""COMPUTED_VALUE"""),334.4074074074074)</f>
        <v>334.4074074</v>
      </c>
      <c r="K107" s="30">
        <f>IFERROR(__xludf.DUMMYFUNCTION("""COMPUTED_VALUE"""),0.5555555555555556)</f>
        <v>0.5555555556</v>
      </c>
      <c r="L107" s="30">
        <f>IFERROR(__xludf.DUMMYFUNCTION("""COMPUTED_VALUE"""),0.6296296296296297)</f>
        <v>0.6296296296</v>
      </c>
      <c r="M107" s="30">
        <f>IFERROR(__xludf.DUMMYFUNCTION("""COMPUTED_VALUE"""),1.5555555555555556)</f>
        <v>1.555555556</v>
      </c>
      <c r="N107" s="30">
        <f>IFERROR(__xludf.DUMMYFUNCTION("""COMPUTED_VALUE"""),1.8888888888888888)</f>
        <v>1.888888889</v>
      </c>
      <c r="O107" s="30">
        <f>IFERROR(__xludf.DUMMYFUNCTION("""COMPUTED_VALUE"""),399.4567901234568)</f>
        <v>399.4567901</v>
      </c>
      <c r="P107" s="30">
        <f>IFERROR(__xludf.DUMMYFUNCTION("""COMPUTED_VALUE"""),1.0740740740740742)</f>
        <v>1.074074074</v>
      </c>
      <c r="Q107" s="30">
        <f>IFERROR(__xludf.DUMMYFUNCTION("""COMPUTED_VALUE"""),0.8888888888888888)</f>
        <v>0.8888888889</v>
      </c>
      <c r="R107" s="30">
        <f>IFERROR(__xludf.DUMMYFUNCTION("""COMPUTED_VALUE"""),1.3333333333333333)</f>
        <v>1.333333333</v>
      </c>
      <c r="S107" s="30">
        <f>IFERROR(__xludf.DUMMYFUNCTION("""COMPUTED_VALUE"""),3.0617283950617287)</f>
        <v>3.061728395</v>
      </c>
      <c r="T107" s="30">
        <f>IFERROR(__xludf.DUMMYFUNCTION("""COMPUTED_VALUE"""),394.8327682204873)</f>
        <v>394.8327682</v>
      </c>
      <c r="U107" s="30">
        <f>IFERROR(__xludf.DUMMYFUNCTION("""COMPUTED_VALUE"""),0.954849939572492)</f>
        <v>0.9548499396</v>
      </c>
      <c r="V107" s="30">
        <f>IFERROR(__xludf.DUMMYFUNCTION("""COMPUTED_VALUE"""),0.7051089446069804)</f>
        <v>0.7051089446</v>
      </c>
      <c r="W107" s="30">
        <f>IFERROR(__xludf.DUMMYFUNCTION("""COMPUTED_VALUE"""),1.461683391800853)</f>
        <v>1.461683392</v>
      </c>
      <c r="X107" s="30">
        <f>IFERROR(__xludf.DUMMYFUNCTION("""COMPUTED_VALUE"""),2.9455652943335675)</f>
        <v>2.945565294</v>
      </c>
      <c r="Y107" s="30">
        <f>IFERROR(__xludf.DUMMYFUNCTION("""COMPUTED_VALUE"""),384.8790456062747)</f>
        <v>384.8790456</v>
      </c>
      <c r="Z107" s="30">
        <f>IFERROR(__xludf.DUMMYFUNCTION("""COMPUTED_VALUE"""),0.8439791783342646)</f>
        <v>0.8439791783</v>
      </c>
      <c r="AA107" s="30">
        <f>IFERROR(__xludf.DUMMYFUNCTION("""COMPUTED_VALUE"""),0.6592441041153967)</f>
        <v>0.6592441041</v>
      </c>
      <c r="AB107" s="30">
        <f>IFERROR(__xludf.DUMMYFUNCTION("""COMPUTED_VALUE"""),1.5184985713780332)</f>
        <v>1.518498571</v>
      </c>
      <c r="AC107" s="30">
        <f>IFERROR(__xludf.DUMMYFUNCTION("""COMPUTED_VALUE"""),2.744066867921932)</f>
        <v>2.744066868</v>
      </c>
      <c r="AD107" s="30">
        <f>IFERROR(__xludf.DUMMYFUNCTION("""COMPUTED_VALUE"""),0.8688636370957461)</f>
        <v>0.8688636371</v>
      </c>
      <c r="AE107" s="30">
        <f>IFERROR(__xludf.DUMMYFUNCTION("""COMPUTED_VALUE"""),0.6582574189235785)</f>
        <v>0.6582574189</v>
      </c>
      <c r="AF107" s="30">
        <f>IFERROR(__xludf.DUMMYFUNCTION("""COMPUTED_VALUE"""),0.9550781352447512)</f>
        <v>0.9550781352</v>
      </c>
      <c r="AG107" s="30">
        <f>IFERROR(__xludf.DUMMYFUNCTION("""COMPUTED_VALUE"""),1.0244037003893216)</f>
        <v>1.0244037</v>
      </c>
      <c r="AH107" s="30">
        <f>IFERROR(__xludf.DUMMYFUNCTION("""COMPUTED_VALUE"""),0.6883538119897693)</f>
        <v>0.688353812</v>
      </c>
      <c r="AI107" s="30">
        <f>IFERROR(__xludf.DUMMYFUNCTION("""COMPUTED_VALUE"""),1.0117113428143514)</f>
        <v>1.011711343</v>
      </c>
      <c r="AJ107" s="30">
        <f>IFERROR(__xludf.DUMMYFUNCTION("""COMPUTED_VALUE"""),1.1248616453334663)</f>
        <v>1.124861645</v>
      </c>
      <c r="AK107" s="30">
        <f>IFERROR(__xludf.DUMMYFUNCTION("""COMPUTED_VALUE"""),1.2606404949016004)</f>
        <v>1.260640495</v>
      </c>
      <c r="AL107" s="30">
        <f>IFERROR(__xludf.DUMMYFUNCTION("""COMPUTED_VALUE"""),0.9121902464052853)</f>
        <v>0.9121902464</v>
      </c>
      <c r="AM107" s="30">
        <f>IFERROR(__xludf.DUMMYFUNCTION("""COMPUTED_VALUE"""),1.039436606939804)</f>
        <v>1.039436607</v>
      </c>
      <c r="AN107" s="30">
        <f>IFERROR(__xludf.DUMMYFUNCTION("""COMPUTED_VALUE"""),0.891889370860137)</f>
        <v>0.8918893709</v>
      </c>
      <c r="AO107" s="30">
        <f>IFERROR(__xludf.DUMMYFUNCTION("""COMPUTED_VALUE"""),0.6730093913524751)</f>
        <v>0.6730093914</v>
      </c>
      <c r="AP107" s="30">
        <f>IFERROR(__xludf.DUMMYFUNCTION("""COMPUTED_VALUE"""),0.9703748908359621)</f>
        <v>0.9703748908</v>
      </c>
      <c r="AQ107" s="30">
        <f>IFERROR(__xludf.DUMMYFUNCTION("""COMPUTED_VALUE"""),1.0706284302912141)</f>
        <v>1.07062843</v>
      </c>
      <c r="AR107" s="30">
        <f>IFERROR(__xludf.DUMMYFUNCTION("""COMPUTED_VALUE"""),0.6948920987801601)</f>
        <v>0.6948920988</v>
      </c>
      <c r="AS107" s="30">
        <f>IFERROR(__xludf.DUMMYFUNCTION("""COMPUTED_VALUE"""),54.0)</f>
        <v>54</v>
      </c>
      <c r="AT107" s="30">
        <f>IFERROR(__xludf.DUMMYFUNCTION("""COMPUTED_VALUE"""),0.317251403244247)</f>
        <v>0.3172514032</v>
      </c>
      <c r="AU107" s="30">
        <f>IFERROR(__xludf.DUMMYFUNCTION("""COMPUTED_VALUE"""),2.2071714259486757)</f>
        <v>2.207171426</v>
      </c>
      <c r="AV107" s="32">
        <f>IFERROR(__xludf.DUMMYFUNCTION("""COMPUTED_VALUE"""),27.041598546212107)</f>
        <v>27.04159855</v>
      </c>
      <c r="AW107" s="32">
        <f>IFERROR(__xludf.DUMMYFUNCTION("""COMPUTED_VALUE"""),-5.579688403205198)</f>
        <v>-5.579688403</v>
      </c>
      <c r="AX107" s="32">
        <f>IFERROR(__xludf.DUMMYFUNCTION("""COMPUTED_VALUE"""),30.420289985720267)</f>
        <v>30.42028999</v>
      </c>
      <c r="AY107" s="32">
        <f>IFERROR(__xludf.DUMMYFUNCTION("""COMPUTED_VALUE"""),-4.613434707200908)</f>
        <v>-4.613434707</v>
      </c>
      <c r="AZ107" s="30">
        <f>IFERROR(__xludf.DUMMYFUNCTION("""COMPUTED_VALUE"""),0.9662536960042898)</f>
        <v>0.966253696</v>
      </c>
      <c r="BA107" s="30">
        <f>IFERROR(__xludf.DUMMYFUNCTION("""COMPUTED_VALUE"""),450.0)</f>
        <v>450</v>
      </c>
    </row>
    <row r="108">
      <c r="A108" s="30" t="str">
        <f>IFERROR(__xludf.DUMMYFUNCTION("""COMPUTED_VALUE"""),"Master")</f>
        <v>Master</v>
      </c>
      <c r="B108" s="30" t="str">
        <f>IFERROR(__xludf.DUMMYFUNCTION("""COMPUTED_VALUE"""),"RSC006087")</f>
        <v>RSC006087</v>
      </c>
      <c r="C108" s="30" t="str">
        <f>IFERROR(__xludf.DUMMYFUNCTION("""COMPUTED_VALUE"""),"DoorTK")</f>
        <v>DoorTK</v>
      </c>
      <c r="D108" s="30" t="str">
        <f>IFERROR(__xludf.DUMMYFUNCTION("""COMPUTED_VALUE"""),"Lemurs")</f>
        <v>Lemurs</v>
      </c>
      <c r="E108" s="30">
        <f>IFERROR(__xludf.DUMMYFUNCTION("""COMPUTED_VALUE"""),26.0)</f>
        <v>26</v>
      </c>
      <c r="F108" s="30">
        <f>IFERROR(__xludf.DUMMYFUNCTION("""COMPUTED_VALUE"""),14.0)</f>
        <v>14</v>
      </c>
      <c r="G108" s="30">
        <f>IFERROR(__xludf.DUMMYFUNCTION("""COMPUTED_VALUE"""),12.0)</f>
        <v>12</v>
      </c>
      <c r="H108" s="42">
        <f>IFERROR(__xludf.DUMMYFUNCTION("""COMPUTED_VALUE"""),0.5384615384615384)</f>
        <v>0.5384615385</v>
      </c>
      <c r="I108" s="42">
        <f>IFERROR(__xludf.DUMMYFUNCTION("""COMPUTED_VALUE"""),0.2698412698412699)</f>
        <v>0.2698412698</v>
      </c>
      <c r="J108" s="30">
        <f>IFERROR(__xludf.DUMMYFUNCTION("""COMPUTED_VALUE"""),323.84615384615387)</f>
        <v>323.8461538</v>
      </c>
      <c r="K108" s="30">
        <f>IFERROR(__xludf.DUMMYFUNCTION("""COMPUTED_VALUE"""),0.6538461538461539)</f>
        <v>0.6538461538</v>
      </c>
      <c r="L108" s="30">
        <f>IFERROR(__xludf.DUMMYFUNCTION("""COMPUTED_VALUE"""),0.5769230769230769)</f>
        <v>0.5769230769</v>
      </c>
      <c r="M108" s="30">
        <f>IFERROR(__xludf.DUMMYFUNCTION("""COMPUTED_VALUE"""),1.4230769230769231)</f>
        <v>1.423076923</v>
      </c>
      <c r="N108" s="30">
        <f>IFERROR(__xludf.DUMMYFUNCTION("""COMPUTED_VALUE"""),2.423076923076923)</f>
        <v>2.423076923</v>
      </c>
      <c r="O108" s="30">
        <f>IFERROR(__xludf.DUMMYFUNCTION("""COMPUTED_VALUE"""),381.6533333333333)</f>
        <v>381.6533333</v>
      </c>
      <c r="P108" s="30">
        <f>IFERROR(__xludf.DUMMYFUNCTION("""COMPUTED_VALUE"""),0.9066666666666666)</f>
        <v>0.9066666667</v>
      </c>
      <c r="Q108" s="30">
        <f>IFERROR(__xludf.DUMMYFUNCTION("""COMPUTED_VALUE"""),0.6666666666666667)</f>
        <v>0.6666666667</v>
      </c>
      <c r="R108" s="30">
        <f>IFERROR(__xludf.DUMMYFUNCTION("""COMPUTED_VALUE"""),1.4)</f>
        <v>1.4</v>
      </c>
      <c r="S108" s="30">
        <f>IFERROR(__xludf.DUMMYFUNCTION("""COMPUTED_VALUE"""),2.733333333333333)</f>
        <v>2.733333333</v>
      </c>
      <c r="T108" s="30">
        <f>IFERROR(__xludf.DUMMYFUNCTION("""COMPUTED_VALUE"""),382.15151618321653)</f>
        <v>382.1515162</v>
      </c>
      <c r="U108" s="30">
        <f>IFERROR(__xludf.DUMMYFUNCTION("""COMPUTED_VALUE"""),0.8613225928234286)</f>
        <v>0.8613225928</v>
      </c>
      <c r="V108" s="30">
        <f>IFERROR(__xludf.DUMMYFUNCTION("""COMPUTED_VALUE"""),0.6690941983694678)</f>
        <v>0.6690941984</v>
      </c>
      <c r="W108" s="30">
        <f>IFERROR(__xludf.DUMMYFUNCTION("""COMPUTED_VALUE"""),1.4702570241680686)</f>
        <v>1.470257024</v>
      </c>
      <c r="X108" s="30">
        <f>IFERROR(__xludf.DUMMYFUNCTION("""COMPUTED_VALUE"""),2.772799059569276)</f>
        <v>2.77279906</v>
      </c>
      <c r="Y108" s="30">
        <f>IFERROR(__xludf.DUMMYFUNCTION("""COMPUTED_VALUE"""),384.84384124764836)</f>
        <v>384.8438412</v>
      </c>
      <c r="Z108" s="30">
        <f>IFERROR(__xludf.DUMMYFUNCTION("""COMPUTED_VALUE"""),0.8818432938304298)</f>
        <v>0.8818432938</v>
      </c>
      <c r="AA108" s="30">
        <f>IFERROR(__xludf.DUMMYFUNCTION("""COMPUTED_VALUE"""),0.6587910669692161)</f>
        <v>0.658791067</v>
      </c>
      <c r="AB108" s="30">
        <f>IFERROR(__xludf.DUMMYFUNCTION("""COMPUTED_VALUE"""),1.4796379355652447)</f>
        <v>1.479637936</v>
      </c>
      <c r="AC108" s="30">
        <f>IFERROR(__xludf.DUMMYFUNCTION("""COMPUTED_VALUE"""),2.8104707796092994)</f>
        <v>2.81047078</v>
      </c>
      <c r="AD108" s="30">
        <f>IFERROR(__xludf.DUMMYFUNCTION("""COMPUTED_VALUE"""),0.8415001596394465)</f>
        <v>0.8415001596</v>
      </c>
      <c r="AE108" s="30">
        <f>IFERROR(__xludf.DUMMYFUNCTION("""COMPUTED_VALUE"""),0.7414539050425464)</f>
        <v>0.741453905</v>
      </c>
      <c r="AF108" s="30">
        <f>IFERROR(__xludf.DUMMYFUNCTION("""COMPUTED_VALUE"""),0.8757299633360621)</f>
        <v>0.8757299633</v>
      </c>
      <c r="AG108" s="30">
        <f>IFERROR(__xludf.DUMMYFUNCTION("""COMPUTED_VALUE"""),0.9617737480712034)</f>
        <v>0.9617737481</v>
      </c>
      <c r="AH108" s="30">
        <f>IFERROR(__xludf.DUMMYFUNCTION("""COMPUTED_VALUE"""),0.8621605108499899)</f>
        <v>0.8621605108</v>
      </c>
      <c r="AI108" s="30">
        <f>IFERROR(__xludf.DUMMYFUNCTION("""COMPUTED_VALUE"""),0.9986963734833271)</f>
        <v>0.9986963735</v>
      </c>
      <c r="AJ108" s="30">
        <f>IFERROR(__xludf.DUMMYFUNCTION("""COMPUTED_VALUE"""),1.052644705039722)</f>
        <v>1.052644705</v>
      </c>
      <c r="AK108" s="30">
        <f>IFERROR(__xludf.DUMMYFUNCTION("""COMPUTED_VALUE"""),0.9963719133887026)</f>
        <v>0.9963719134</v>
      </c>
      <c r="AL108" s="30">
        <f>IFERROR(__xludf.DUMMYFUNCTION("""COMPUTED_VALUE"""),0.9522144611362608)</f>
        <v>0.9522144611</v>
      </c>
      <c r="AM108" s="30">
        <f>IFERROR(__xludf.DUMMYFUNCTION("""COMPUTED_VALUE"""),0.9857668278919304)</f>
        <v>0.9857668279</v>
      </c>
      <c r="AN108" s="30">
        <f>IFERROR(__xludf.DUMMYFUNCTION("""COMPUTED_VALUE"""),0.863721723895412)</f>
        <v>0.8637217239</v>
      </c>
      <c r="AO108" s="30">
        <f>IFERROR(__xludf.DUMMYFUNCTION("""COMPUTED_VALUE"""),0.7920802836686822)</f>
        <v>0.7920802837</v>
      </c>
      <c r="AP108" s="30">
        <f>IFERROR(__xludf.DUMMYFUNCTION("""COMPUTED_VALUE"""),0.8891444135487887)</f>
        <v>0.8891444135</v>
      </c>
      <c r="AQ108" s="30">
        <f>IFERROR(__xludf.DUMMYFUNCTION("""COMPUTED_VALUE"""),0.9794485365026767)</f>
        <v>0.9794485365</v>
      </c>
      <c r="AR108" s="30">
        <f>IFERROR(__xludf.DUMMYFUNCTION("""COMPUTED_VALUE"""),0.8914113574849565)</f>
        <v>0.8914113575</v>
      </c>
      <c r="AS108" s="30">
        <f>IFERROR(__xludf.DUMMYFUNCTION("""COMPUTED_VALUE"""),61.0)</f>
        <v>61</v>
      </c>
      <c r="AT108" s="30">
        <f>IFERROR(__xludf.DUMMYFUNCTION("""COMPUTED_VALUE"""),0.4413840364336167)</f>
        <v>0.4413840364</v>
      </c>
      <c r="AU108" s="30">
        <f>IFERROR(__xludf.DUMMYFUNCTION("""COMPUTED_VALUE"""),2.4842095918367835)</f>
        <v>2.484209592</v>
      </c>
      <c r="AV108" s="32">
        <f>IFERROR(__xludf.DUMMYFUNCTION("""COMPUTED_VALUE"""),34.42809182294448)</f>
        <v>34.42809182</v>
      </c>
      <c r="AW108" s="32">
        <f>IFERROR(__xludf.DUMMYFUNCTION("""COMPUTED_VALUE"""),-3.749771763704481)</f>
        <v>-3.749771764</v>
      </c>
      <c r="AX108" s="32">
        <f>IFERROR(__xludf.DUMMYFUNCTION("""COMPUTED_VALUE"""),30.113331172232407)</f>
        <v>30.11333117</v>
      </c>
      <c r="AY108" s="32">
        <f>IFERROR(__xludf.DUMMYFUNCTION("""COMPUTED_VALUE"""),-4.691069135726255)</f>
        <v>-4.691069136</v>
      </c>
      <c r="AZ108" s="30">
        <f>IFERROR(__xludf.DUMMYFUNCTION("""COMPUTED_VALUE"""),0.9412973720217739)</f>
        <v>0.941297372</v>
      </c>
      <c r="BA108" s="30">
        <f>IFERROR(__xludf.DUMMYFUNCTION("""COMPUTED_VALUE"""),450.0)</f>
        <v>450</v>
      </c>
    </row>
    <row r="109">
      <c r="A109" s="30" t="str">
        <f>IFERROR(__xludf.DUMMYFUNCTION("""COMPUTED_VALUE"""),"Master")</f>
        <v>Master</v>
      </c>
      <c r="B109" s="30" t="str">
        <f>IFERROR(__xludf.DUMMYFUNCTION("""COMPUTED_VALUE"""),"RSC006259")</f>
        <v>RSC006259</v>
      </c>
      <c r="C109" s="30" t="str">
        <f>IFERROR(__xludf.DUMMYFUNCTION("""COMPUTED_VALUE"""),"mojomo")</f>
        <v>mojomo</v>
      </c>
      <c r="D109" s="30" t="str">
        <f>IFERROR(__xludf.DUMMYFUNCTION("""COMPUTED_VALUE"""),"Plinko")</f>
        <v>Plinko</v>
      </c>
      <c r="E109" s="30">
        <f>IFERROR(__xludf.DUMMYFUNCTION("""COMPUTED_VALUE"""),44.0)</f>
        <v>44</v>
      </c>
      <c r="F109" s="30">
        <f>IFERROR(__xludf.DUMMYFUNCTION("""COMPUTED_VALUE"""),18.0)</f>
        <v>18</v>
      </c>
      <c r="G109" s="30">
        <f>IFERROR(__xludf.DUMMYFUNCTION("""COMPUTED_VALUE"""),26.0)</f>
        <v>26</v>
      </c>
      <c r="H109" s="42">
        <f>IFERROR(__xludf.DUMMYFUNCTION("""COMPUTED_VALUE"""),0.4090909090909091)</f>
        <v>0.4090909091</v>
      </c>
      <c r="I109" s="42">
        <f>IFERROR(__xludf.DUMMYFUNCTION("""COMPUTED_VALUE"""),0.2566371681415929)</f>
        <v>0.2566371681</v>
      </c>
      <c r="J109" s="30">
        <f>IFERROR(__xludf.DUMMYFUNCTION("""COMPUTED_VALUE"""),362.8181818181818)</f>
        <v>362.8181818</v>
      </c>
      <c r="K109" s="30">
        <f>IFERROR(__xludf.DUMMYFUNCTION("""COMPUTED_VALUE"""),0.6590909090909091)</f>
        <v>0.6590909091</v>
      </c>
      <c r="L109" s="30">
        <f>IFERROR(__xludf.DUMMYFUNCTION("""COMPUTED_VALUE"""),0.6363636363636364)</f>
        <v>0.6363636364</v>
      </c>
      <c r="M109" s="30">
        <f>IFERROR(__xludf.DUMMYFUNCTION("""COMPUTED_VALUE"""),1.7045454545454546)</f>
        <v>1.704545455</v>
      </c>
      <c r="N109" s="30">
        <f>IFERROR(__xludf.DUMMYFUNCTION("""COMPUTED_VALUE"""),2.5681818181818183)</f>
        <v>2.568181818</v>
      </c>
      <c r="O109" s="30">
        <f>IFERROR(__xludf.DUMMYFUNCTION("""COMPUTED_VALUE"""),412.08333333333337)</f>
        <v>412.0833333</v>
      </c>
      <c r="P109" s="30">
        <f>IFERROR(__xludf.DUMMYFUNCTION("""COMPUTED_VALUE"""),0.9772727272727273)</f>
        <v>0.9772727273</v>
      </c>
      <c r="Q109" s="30">
        <f>IFERROR(__xludf.DUMMYFUNCTION("""COMPUTED_VALUE"""),0.7803030303030304)</f>
        <v>0.7803030303</v>
      </c>
      <c r="R109" s="30">
        <f>IFERROR(__xludf.DUMMYFUNCTION("""COMPUTED_VALUE"""),1.4999999999999998)</f>
        <v>1.5</v>
      </c>
      <c r="S109" s="30">
        <f>IFERROR(__xludf.DUMMYFUNCTION("""COMPUTED_VALUE"""),3.1515151515151514)</f>
        <v>3.151515152</v>
      </c>
      <c r="T109" s="30">
        <f>IFERROR(__xludf.DUMMYFUNCTION("""COMPUTED_VALUE"""),392.78902405328336)</f>
        <v>392.7890241</v>
      </c>
      <c r="U109" s="30">
        <f>IFERROR(__xludf.DUMMYFUNCTION("""COMPUTED_VALUE"""),0.9427354611737006)</f>
        <v>0.9427354612</v>
      </c>
      <c r="V109" s="30">
        <f>IFERROR(__xludf.DUMMYFUNCTION("""COMPUTED_VALUE"""),0.7174944883667957)</f>
        <v>0.7174944884</v>
      </c>
      <c r="W109" s="30">
        <f>IFERROR(__xludf.DUMMYFUNCTION("""COMPUTED_VALUE"""),1.4442750624771317)</f>
        <v>1.444275062</v>
      </c>
      <c r="X109" s="30">
        <f>IFERROR(__xludf.DUMMYFUNCTION("""COMPUTED_VALUE"""),2.892909942065332)</f>
        <v>2.892909942</v>
      </c>
      <c r="Y109" s="30">
        <f>IFERROR(__xludf.DUMMYFUNCTION("""COMPUTED_VALUE"""),379.01634779043076)</f>
        <v>379.0163478</v>
      </c>
      <c r="Z109" s="30">
        <f>IFERROR(__xludf.DUMMYFUNCTION("""COMPUTED_VALUE"""),0.8384794464574931)</f>
        <v>0.8384794465</v>
      </c>
      <c r="AA109" s="30">
        <f>IFERROR(__xludf.DUMMYFUNCTION("""COMPUTED_VALUE"""),0.6409063852416852)</f>
        <v>0.6409063852</v>
      </c>
      <c r="AB109" s="30">
        <f>IFERROR(__xludf.DUMMYFUNCTION("""COMPUTED_VALUE"""),1.472043594263873)</f>
        <v>1.472043594</v>
      </c>
      <c r="AC109" s="30">
        <f>IFERROR(__xludf.DUMMYFUNCTION("""COMPUTED_VALUE"""),2.7475835466212586)</f>
        <v>2.747583547</v>
      </c>
      <c r="AD109" s="30">
        <f>IFERROR(__xludf.DUMMYFUNCTION("""COMPUTED_VALUE"""),0.9572626192334971)</f>
        <v>0.9572626192</v>
      </c>
      <c r="AE109" s="30">
        <f>IFERROR(__xludf.DUMMYFUNCTION("""COMPUTED_VALUE"""),0.7860549377513237)</f>
        <v>0.7860549378</v>
      </c>
      <c r="AF109" s="30">
        <f>IFERROR(__xludf.DUMMYFUNCTION("""COMPUTED_VALUE"""),0.9929119931043662)</f>
        <v>0.9929119931</v>
      </c>
      <c r="AG109" s="30">
        <f>IFERROR(__xludf.DUMMYFUNCTION("""COMPUTED_VALUE"""),1.1579449556980337)</f>
        <v>1.157944956</v>
      </c>
      <c r="AH109" s="30">
        <f>IFERROR(__xludf.DUMMYFUNCTION("""COMPUTED_VALUE"""),0.9347056330061181)</f>
        <v>0.934705633</v>
      </c>
      <c r="AI109" s="30">
        <f>IFERROR(__xludf.DUMMYFUNCTION("""COMPUTED_VALUE"""),1.049121304564337)</f>
        <v>1.049121305</v>
      </c>
      <c r="AJ109" s="30">
        <f>IFERROR(__xludf.DUMMYFUNCTION("""COMPUTED_VALUE"""),1.036635161740949)</f>
        <v>1.036635162</v>
      </c>
      <c r="AK109" s="30">
        <f>IFERROR(__xludf.DUMMYFUNCTION("""COMPUTED_VALUE"""),1.0875387099895404)</f>
        <v>1.08753871</v>
      </c>
      <c r="AL109" s="30">
        <f>IFERROR(__xludf.DUMMYFUNCTION("""COMPUTED_VALUE"""),1.0385833273526803)</f>
        <v>1.038583327</v>
      </c>
      <c r="AM109" s="30">
        <f>IFERROR(__xludf.DUMMYFUNCTION("""COMPUTED_VALUE"""),1.0893927618310835)</f>
        <v>1.089392762</v>
      </c>
      <c r="AN109" s="30">
        <f>IFERROR(__xludf.DUMMYFUNCTION("""COMPUTED_VALUE"""),0.9676630144864102)</f>
        <v>0.9676630145</v>
      </c>
      <c r="AO109" s="30">
        <f>IFERROR(__xludf.DUMMYFUNCTION("""COMPUTED_VALUE"""),0.7984338688317999)</f>
        <v>0.7984338688</v>
      </c>
      <c r="AP109" s="30">
        <f>IFERROR(__xludf.DUMMYFUNCTION("""COMPUTED_VALUE"""),0.9807532319144215)</f>
        <v>0.9807532319</v>
      </c>
      <c r="AQ109" s="30">
        <f>IFERROR(__xludf.DUMMYFUNCTION("""COMPUTED_VALUE"""),1.1731723870885868)</f>
        <v>1.173172387</v>
      </c>
      <c r="AR109" s="30">
        <f>IFERROR(__xludf.DUMMYFUNCTION("""COMPUTED_VALUE"""),0.9447931343040413)</f>
        <v>0.9447931343</v>
      </c>
      <c r="AS109" s="30">
        <f>IFERROR(__xludf.DUMMYFUNCTION("""COMPUTED_VALUE"""),97.0)</f>
        <v>97</v>
      </c>
      <c r="AT109" s="30">
        <f>IFERROR(__xludf.DUMMYFUNCTION("""COMPUTED_VALUE"""),0.38793697027209856)</f>
        <v>0.3879369703</v>
      </c>
      <c r="AU109" s="30">
        <f>IFERROR(__xludf.DUMMYFUNCTION("""COMPUTED_VALUE"""),2.741343134624027)</f>
        <v>2.741343135</v>
      </c>
      <c r="AV109" s="32">
        <f>IFERROR(__xludf.DUMMYFUNCTION("""COMPUTED_VALUE"""),41.28388073178191)</f>
        <v>41.28388073</v>
      </c>
      <c r="AW109" s="32">
        <f>IFERROR(__xludf.DUMMYFUNCTION("""COMPUTED_VALUE"""),-2.749685115708606)</f>
        <v>-2.749685116</v>
      </c>
      <c r="AX109" s="32">
        <f>IFERROR(__xludf.DUMMYFUNCTION("""COMPUTED_VALUE"""),35.5260415184037)</f>
        <v>35.52604152</v>
      </c>
      <c r="AY109" s="32">
        <f>IFERROR(__xludf.DUMMYFUNCTION("""COMPUTED_VALUE"""),-3.554814358572052)</f>
        <v>-3.554814359</v>
      </c>
      <c r="AZ109" s="30">
        <f>IFERROR(__xludf.DUMMYFUNCTION("""COMPUTED_VALUE"""),0.8051292428634458)</f>
        <v>0.8051292429</v>
      </c>
      <c r="BA109" s="30">
        <f>IFERROR(__xludf.DUMMYFUNCTION("""COMPUTED_VALUE"""),450.0)</f>
        <v>450</v>
      </c>
    </row>
    <row r="110">
      <c r="A110" s="30" t="str">
        <f>IFERROR(__xludf.DUMMYFUNCTION("""COMPUTED_VALUE"""),"Master")</f>
        <v>Master</v>
      </c>
      <c r="B110" s="30" t="str">
        <f>IFERROR(__xludf.DUMMYFUNCTION("""COMPUTED_VALUE"""),"RSC004730")</f>
        <v>RSC004730</v>
      </c>
      <c r="C110" s="30" t="str">
        <f>IFERROR(__xludf.DUMMYFUNCTION("""COMPUTED_VALUE"""),"SgtPickle")</f>
        <v>SgtPickle</v>
      </c>
      <c r="D110" s="30" t="str">
        <f>IFERROR(__xludf.DUMMYFUNCTION("""COMPUTED_VALUE"""),"Lemurs")</f>
        <v>Lemurs</v>
      </c>
      <c r="E110" s="30">
        <f>IFERROR(__xludf.DUMMYFUNCTION("""COMPUTED_VALUE"""),25.0)</f>
        <v>25</v>
      </c>
      <c r="F110" s="30">
        <f>IFERROR(__xludf.DUMMYFUNCTION("""COMPUTED_VALUE"""),14.0)</f>
        <v>14</v>
      </c>
      <c r="G110" s="30">
        <f>IFERROR(__xludf.DUMMYFUNCTION("""COMPUTED_VALUE"""),11.0)</f>
        <v>11</v>
      </c>
      <c r="H110" s="42">
        <f>IFERROR(__xludf.DUMMYFUNCTION("""COMPUTED_VALUE"""),0.56)</f>
        <v>0.56</v>
      </c>
      <c r="I110" s="42">
        <f>IFERROR(__xludf.DUMMYFUNCTION("""COMPUTED_VALUE"""),0.3058823529411765)</f>
        <v>0.3058823529</v>
      </c>
      <c r="J110" s="30">
        <f>IFERROR(__xludf.DUMMYFUNCTION("""COMPUTED_VALUE"""),384.96)</f>
        <v>384.96</v>
      </c>
      <c r="K110" s="30">
        <f>IFERROR(__xludf.DUMMYFUNCTION("""COMPUTED_VALUE"""),1.04)</f>
        <v>1.04</v>
      </c>
      <c r="L110" s="30">
        <f>IFERROR(__xludf.DUMMYFUNCTION("""COMPUTED_VALUE"""),0.44)</f>
        <v>0.44</v>
      </c>
      <c r="M110" s="30">
        <f>IFERROR(__xludf.DUMMYFUNCTION("""COMPUTED_VALUE"""),1.44)</f>
        <v>1.44</v>
      </c>
      <c r="N110" s="30">
        <f>IFERROR(__xludf.DUMMYFUNCTION("""COMPUTED_VALUE"""),3.4)</f>
        <v>3.4</v>
      </c>
      <c r="O110" s="30">
        <f>IFERROR(__xludf.DUMMYFUNCTION("""COMPUTED_VALUE"""),437.76000000000005)</f>
        <v>437.76</v>
      </c>
      <c r="P110" s="30">
        <f>IFERROR(__xludf.DUMMYFUNCTION("""COMPUTED_VALUE"""),1.0266666666666666)</f>
        <v>1.026666667</v>
      </c>
      <c r="Q110" s="30">
        <f>IFERROR(__xludf.DUMMYFUNCTION("""COMPUTED_VALUE"""),0.8133333333333332)</f>
        <v>0.8133333333</v>
      </c>
      <c r="R110" s="30">
        <f>IFERROR(__xludf.DUMMYFUNCTION("""COMPUTED_VALUE"""),1.7066666666666666)</f>
        <v>1.706666667</v>
      </c>
      <c r="S110" s="30">
        <f>IFERROR(__xludf.DUMMYFUNCTION("""COMPUTED_VALUE"""),2.786666666666667)</f>
        <v>2.786666667</v>
      </c>
      <c r="T110" s="30">
        <f>IFERROR(__xludf.DUMMYFUNCTION("""COMPUTED_VALUE"""),380.5523611518878)</f>
        <v>380.5523612</v>
      </c>
      <c r="U110" s="30">
        <f>IFERROR(__xludf.DUMMYFUNCTION("""COMPUTED_VALUE"""),0.8328481000033544)</f>
        <v>0.8328481</v>
      </c>
      <c r="V110" s="30">
        <f>IFERROR(__xludf.DUMMYFUNCTION("""COMPUTED_VALUE"""),0.6706822931395265)</f>
        <v>0.6706822931</v>
      </c>
      <c r="W110" s="30">
        <f>IFERROR(__xludf.DUMMYFUNCTION("""COMPUTED_VALUE"""),1.4959878027227398)</f>
        <v>1.495987803</v>
      </c>
      <c r="X110" s="30">
        <f>IFERROR(__xludf.DUMMYFUNCTION("""COMPUTED_VALUE"""),2.6733996791196284)</f>
        <v>2.673399679</v>
      </c>
      <c r="Y110" s="30">
        <f>IFERROR(__xludf.DUMMYFUNCTION("""COMPUTED_VALUE"""),397.17074911830736)</f>
        <v>397.1707491</v>
      </c>
      <c r="Z110" s="30">
        <f>IFERROR(__xludf.DUMMYFUNCTION("""COMPUTED_VALUE"""),0.932171861058503)</f>
        <v>0.9321718611</v>
      </c>
      <c r="AA110" s="30">
        <f>IFERROR(__xludf.DUMMYFUNCTION("""COMPUTED_VALUE"""),0.7192177309914186)</f>
        <v>0.719217731</v>
      </c>
      <c r="AB110" s="30">
        <f>IFERROR(__xludf.DUMMYFUNCTION("""COMPUTED_VALUE"""),1.516783995697469)</f>
        <v>1.516783996</v>
      </c>
      <c r="AC110" s="30">
        <f>IFERROR(__xludf.DUMMYFUNCTION("""COMPUTED_VALUE"""),2.9353760206093478)</f>
        <v>2.935376021</v>
      </c>
      <c r="AD110" s="30">
        <f>IFERROR(__xludf.DUMMYFUNCTION("""COMPUTED_VALUE"""),0.969255668637697)</f>
        <v>0.9692556686</v>
      </c>
      <c r="AE110" s="30">
        <f>IFERROR(__xludf.DUMMYFUNCTION("""COMPUTED_VALUE"""),1.1156740977131145)</f>
        <v>1.115674098</v>
      </c>
      <c r="AF110" s="30">
        <f>IFERROR(__xludf.DUMMYFUNCTION("""COMPUTED_VALUE"""),0.6117757961743714)</f>
        <v>0.6117757962</v>
      </c>
      <c r="AG110" s="30">
        <f>IFERROR(__xludf.DUMMYFUNCTION("""COMPUTED_VALUE"""),0.9493771058270158)</f>
        <v>0.9493771058</v>
      </c>
      <c r="AH110" s="30">
        <f>IFERROR(__xludf.DUMMYFUNCTION("""COMPUTED_VALUE"""),1.1582843138761494)</f>
        <v>1.158284314</v>
      </c>
      <c r="AI110" s="30">
        <f>IFERROR(__xludf.DUMMYFUNCTION("""COMPUTED_VALUE"""),1.1503279040890757)</f>
        <v>1.150327904</v>
      </c>
      <c r="AJ110" s="30">
        <f>IFERROR(__xludf.DUMMYFUNCTION("""COMPUTED_VALUE"""),1.2327177869079986)</f>
        <v>1.232717787</v>
      </c>
      <c r="AK110" s="30">
        <f>IFERROR(__xludf.DUMMYFUNCTION("""COMPUTED_VALUE"""),1.2126954023581624)</f>
        <v>1.212695402</v>
      </c>
      <c r="AL110" s="30">
        <f>IFERROR(__xludf.DUMMYFUNCTION("""COMPUTED_VALUE"""),1.1408292658272248)</f>
        <v>1.140829266</v>
      </c>
      <c r="AM110" s="30">
        <f>IFERROR(__xludf.DUMMYFUNCTION("""COMPUTED_VALUE"""),1.0423681458600078)</f>
        <v>1.042368146</v>
      </c>
      <c r="AN110" s="30">
        <f>IFERROR(__xludf.DUMMYFUNCTION("""COMPUTED_VALUE"""),1.0267168866508578)</f>
        <v>1.026716887</v>
      </c>
      <c r="AO110" s="30">
        <f>IFERROR(__xludf.DUMMYFUNCTION("""COMPUTED_VALUE"""),1.2598735806118333)</f>
        <v>1.259873581</v>
      </c>
      <c r="AP110" s="30">
        <f>IFERROR(__xludf.DUMMYFUNCTION("""COMPUTED_VALUE"""),0.6781208060665429)</f>
        <v>0.6781208061</v>
      </c>
      <c r="AQ110" s="30">
        <f>IFERROR(__xludf.DUMMYFUNCTION("""COMPUTED_VALUE"""),0.9910960326124382)</f>
        <v>0.9910960326</v>
      </c>
      <c r="AR110" s="30">
        <f>IFERROR(__xludf.DUMMYFUNCTION("""COMPUTED_VALUE"""),1.2508057778042883)</f>
        <v>1.250805778</v>
      </c>
      <c r="AS110" s="30">
        <f>IFERROR(__xludf.DUMMYFUNCTION("""COMPUTED_VALUE"""),71.0)</f>
        <v>71</v>
      </c>
      <c r="AT110" s="30">
        <f>IFERROR(__xludf.DUMMYFUNCTION("""COMPUTED_VALUE"""),0.46626399725099316)</f>
        <v>0.4662639973</v>
      </c>
      <c r="AU110" s="30">
        <f>IFERROR(__xludf.DUMMYFUNCTION("""COMPUTED_VALUE"""),3.034998143762585)</f>
        <v>3.034998144</v>
      </c>
      <c r="AV110" s="32">
        <f>IFERROR(__xludf.DUMMYFUNCTION("""COMPUTED_VALUE"""),49.11341838312778)</f>
        <v>49.11341838</v>
      </c>
      <c r="AW110" s="32">
        <f>IFERROR(__xludf.DUMMYFUNCTION("""COMPUTED_VALUE"""),-2.058226531917464)</f>
        <v>-2.058226532</v>
      </c>
      <c r="AX110" s="32">
        <f>IFERROR(__xludf.DUMMYFUNCTION("""COMPUTED_VALUE"""),40.449554048045144)</f>
        <v>40.44955405</v>
      </c>
      <c r="AY110" s="32">
        <f>IFERROR(__xludf.DUMMYFUNCTION("""COMPUTED_VALUE"""),-2.847185300724961)</f>
        <v>-2.847185301</v>
      </c>
      <c r="AZ110" s="30">
        <f>IFERROR(__xludf.DUMMYFUNCTION("""COMPUTED_VALUE"""),0.7889587688074968)</f>
        <v>0.7889587688</v>
      </c>
      <c r="BA110" s="30">
        <f>IFERROR(__xludf.DUMMYFUNCTION("""COMPUTED_VALUE"""),450.0)</f>
        <v>450</v>
      </c>
    </row>
    <row r="111">
      <c r="A111" s="30" t="str">
        <f>IFERROR(__xludf.DUMMYFUNCTION("""COMPUTED_VALUE"""),"Master")</f>
        <v>Master</v>
      </c>
      <c r="B111" s="30" t="str">
        <f>IFERROR(__xludf.DUMMYFUNCTION("""COMPUTED_VALUE"""),"RSC000330")</f>
        <v>RSC000330</v>
      </c>
      <c r="C111" s="30" t="str">
        <f>IFERROR(__xludf.DUMMYFUNCTION("""COMPUTED_VALUE"""),"Infinite")</f>
        <v>Infinite</v>
      </c>
      <c r="D111" s="30" t="str">
        <f>IFERROR(__xludf.DUMMYFUNCTION("""COMPUTED_VALUE"""),"Oblivion")</f>
        <v>Oblivion</v>
      </c>
      <c r="E111" s="30">
        <f>IFERROR(__xludf.DUMMYFUNCTION("""COMPUTED_VALUE"""),44.0)</f>
        <v>44</v>
      </c>
      <c r="F111" s="30">
        <f>IFERROR(__xludf.DUMMYFUNCTION("""COMPUTED_VALUE"""),30.0)</f>
        <v>30</v>
      </c>
      <c r="G111" s="30">
        <f>IFERROR(__xludf.DUMMYFUNCTION("""COMPUTED_VALUE"""),14.0)</f>
        <v>14</v>
      </c>
      <c r="H111" s="42">
        <f>IFERROR(__xludf.DUMMYFUNCTION("""COMPUTED_VALUE"""),0.6818181818181818)</f>
        <v>0.6818181818</v>
      </c>
      <c r="I111" s="42">
        <f>IFERROR(__xludf.DUMMYFUNCTION("""COMPUTED_VALUE"""),0.41441441441441434)</f>
        <v>0.4144144144</v>
      </c>
      <c r="J111" s="30">
        <f>IFERROR(__xludf.DUMMYFUNCTION("""COMPUTED_VALUE"""),397.95454545454544)</f>
        <v>397.9545455</v>
      </c>
      <c r="K111" s="30">
        <f>IFERROR(__xludf.DUMMYFUNCTION("""COMPUTED_VALUE"""),1.0454545454545454)</f>
        <v>1.045454545</v>
      </c>
      <c r="L111" s="30">
        <f>IFERROR(__xludf.DUMMYFUNCTION("""COMPUTED_VALUE"""),0.7045454545454546)</f>
        <v>0.7045454545</v>
      </c>
      <c r="M111" s="30">
        <f>IFERROR(__xludf.DUMMYFUNCTION("""COMPUTED_VALUE"""),1.5454545454545454)</f>
        <v>1.545454545</v>
      </c>
      <c r="N111" s="30">
        <f>IFERROR(__xludf.DUMMYFUNCTION("""COMPUTED_VALUE"""),2.522727272727273)</f>
        <v>2.522727273</v>
      </c>
      <c r="O111" s="30">
        <f>IFERROR(__xludf.DUMMYFUNCTION("""COMPUTED_VALUE"""),356.71969696969705)</f>
        <v>356.719697</v>
      </c>
      <c r="P111" s="30">
        <f>IFERROR(__xludf.DUMMYFUNCTION("""COMPUTED_VALUE"""),0.7272727272727273)</f>
        <v>0.7272727273</v>
      </c>
      <c r="Q111" s="30">
        <f>IFERROR(__xludf.DUMMYFUNCTION("""COMPUTED_VALUE"""),0.4848484848484848)</f>
        <v>0.4848484848</v>
      </c>
      <c r="R111" s="30">
        <f>IFERROR(__xludf.DUMMYFUNCTION("""COMPUTED_VALUE"""),1.5530303030303032)</f>
        <v>1.553030303</v>
      </c>
      <c r="S111" s="30">
        <f>IFERROR(__xludf.DUMMYFUNCTION("""COMPUTED_VALUE"""),2.378787878787879)</f>
        <v>2.378787879</v>
      </c>
      <c r="T111" s="30">
        <f>IFERROR(__xludf.DUMMYFUNCTION("""COMPUTED_VALUE"""),380.8497084940465)</f>
        <v>380.8497085</v>
      </c>
      <c r="U111" s="30">
        <f>IFERROR(__xludf.DUMMYFUNCTION("""COMPUTED_VALUE"""),0.8182778983906215)</f>
        <v>0.8182778984</v>
      </c>
      <c r="V111" s="30">
        <f>IFERROR(__xludf.DUMMYFUNCTION("""COMPUTED_VALUE"""),0.617807024441303)</f>
        <v>0.6178070244</v>
      </c>
      <c r="W111" s="30">
        <f>IFERROR(__xludf.DUMMYFUNCTION("""COMPUTED_VALUE"""),1.5405762371737857)</f>
        <v>1.540576237</v>
      </c>
      <c r="X111" s="30">
        <f>IFERROR(__xludf.DUMMYFUNCTION("""COMPUTED_VALUE"""),2.7711752756782313)</f>
        <v>2.771175276</v>
      </c>
      <c r="Y111" s="30">
        <f>IFERROR(__xludf.DUMMYFUNCTION("""COMPUTED_VALUE"""),402.98583555899364)</f>
        <v>402.9858356</v>
      </c>
      <c r="Z111" s="30">
        <f>IFERROR(__xludf.DUMMYFUNCTION("""COMPUTED_VALUE"""),0.9624302456302366)</f>
        <v>0.9624302456</v>
      </c>
      <c r="AA111" s="30">
        <f>IFERROR(__xludf.DUMMYFUNCTION("""COMPUTED_VALUE"""),0.7458135784586795)</f>
        <v>0.7458135785</v>
      </c>
      <c r="AB111" s="30">
        <f>IFERROR(__xludf.DUMMYFUNCTION("""COMPUTED_VALUE"""),1.5012730784106525)</f>
        <v>1.501273078</v>
      </c>
      <c r="AC111" s="30">
        <f>IFERROR(__xludf.DUMMYFUNCTION("""COMPUTED_VALUE"""),2.9546074373959157)</f>
        <v>2.954607437</v>
      </c>
      <c r="AD111" s="30">
        <f>IFERROR(__xludf.DUMMYFUNCTION("""COMPUTED_VALUE"""),0.9875149703525704)</f>
        <v>0.9875149704</v>
      </c>
      <c r="AE111" s="30">
        <f>IFERROR(__xludf.DUMMYFUNCTION("""COMPUTED_VALUE"""),1.0862652646269875)</f>
        <v>1.086265265</v>
      </c>
      <c r="AF111" s="30">
        <f>IFERROR(__xludf.DUMMYFUNCTION("""COMPUTED_VALUE"""),0.9446669716063486)</f>
        <v>0.9446669716</v>
      </c>
      <c r="AG111" s="30">
        <f>IFERROR(__xludf.DUMMYFUNCTION("""COMPUTED_VALUE"""),1.0294293341293153)</f>
        <v>1.029429334</v>
      </c>
      <c r="AH111" s="30">
        <f>IFERROR(__xludf.DUMMYFUNCTION("""COMPUTED_VALUE"""),0.8538282415449119)</f>
        <v>0.8538282415</v>
      </c>
      <c r="AI111" s="30">
        <f>IFERROR(__xludf.DUMMYFUNCTION("""COMPUTED_VALUE"""),0.9366416437083168)</f>
        <v>0.9366416437</v>
      </c>
      <c r="AJ111" s="30">
        <f>IFERROR(__xludf.DUMMYFUNCTION("""COMPUTED_VALUE"""),0.8887845177086147)</f>
        <v>0.8887845177</v>
      </c>
      <c r="AK111" s="30">
        <f>IFERROR(__xludf.DUMMYFUNCTION("""COMPUTED_VALUE"""),0.784789530819829)</f>
        <v>0.7847895308</v>
      </c>
      <c r="AL111" s="30">
        <f>IFERROR(__xludf.DUMMYFUNCTION("""COMPUTED_VALUE"""),1.0080840308684527)</f>
        <v>1.008084031</v>
      </c>
      <c r="AM111" s="30">
        <f>IFERROR(__xludf.DUMMYFUNCTION("""COMPUTED_VALUE"""),0.8584039774263944)</f>
        <v>0.8584039774</v>
      </c>
      <c r="AN111" s="30">
        <f>IFERROR(__xludf.DUMMYFUNCTION("""COMPUTED_VALUE"""),1.0613743036618042)</f>
        <v>1.061374304</v>
      </c>
      <c r="AO111" s="30">
        <f>IFERROR(__xludf.DUMMYFUNCTION("""COMPUTED_VALUE"""),1.2664813091814757)</f>
        <v>1.266481309</v>
      </c>
      <c r="AP111" s="30">
        <f>IFERROR(__xludf.DUMMYFUNCTION("""COMPUTED_VALUE"""),1.085833935333824)</f>
        <v>1.085833935</v>
      </c>
      <c r="AQ111" s="30">
        <f>IFERROR(__xludf.DUMMYFUNCTION("""COMPUTED_VALUE"""),1.0636762976269853)</f>
        <v>1.063676298</v>
      </c>
      <c r="AR111" s="30">
        <f>IFERROR(__xludf.DUMMYFUNCTION("""COMPUTED_VALUE"""),0.9280711319269787)</f>
        <v>0.9280711319</v>
      </c>
      <c r="AS111" s="30">
        <f>IFERROR(__xludf.DUMMYFUNCTION("""COMPUTED_VALUE"""),144.0)</f>
        <v>144</v>
      </c>
      <c r="AT111" s="30">
        <f>IFERROR(__xludf.DUMMYFUNCTION("""COMPUTED_VALUE"""),0.6592123486704434)</f>
        <v>0.6592123487</v>
      </c>
      <c r="AU111" s="30">
        <f>IFERROR(__xludf.DUMMYFUNCTION("""COMPUTED_VALUE"""),3.5274120610408684)</f>
        <v>3.527412061</v>
      </c>
      <c r="AV111" s="32">
        <f>IFERROR(__xludf.DUMMYFUNCTION("""COMPUTED_VALUE"""),62.2423390056189)</f>
        <v>62.24233901</v>
      </c>
      <c r="AW111" s="32">
        <f>IFERROR(__xludf.DUMMYFUNCTION("""COMPUTED_VALUE"""),3.203327568094915)</f>
        <v>3.203327568</v>
      </c>
      <c r="AX111" s="32">
        <f>IFERROR(__xludf.DUMMYFUNCTION("""COMPUTED_VALUE"""),55.4663772719487)</f>
        <v>55.46637727</v>
      </c>
      <c r="AY111" s="32">
        <f>IFERROR(__xludf.DUMMYFUNCTION("""COMPUTED_VALUE"""),2.418617351486395)</f>
        <v>2.418617351</v>
      </c>
      <c r="AZ111" s="30">
        <f>IFERROR(__xludf.DUMMYFUNCTION("""COMPUTED_VALUE"""),0.78471021660852)</f>
        <v>0.7847102166</v>
      </c>
      <c r="BA111" s="30">
        <f>IFERROR(__xludf.DUMMYFUNCTION("""COMPUTED_VALUE"""),450.0)</f>
        <v>450</v>
      </c>
    </row>
    <row r="112">
      <c r="A112" s="30" t="str">
        <f>IFERROR(__xludf.DUMMYFUNCTION("""COMPUTED_VALUE"""),"Master")</f>
        <v>Master</v>
      </c>
      <c r="B112" s="30" t="str">
        <f>IFERROR(__xludf.DUMMYFUNCTION("""COMPUTED_VALUE"""),"RSC007412")</f>
        <v>RSC007412</v>
      </c>
      <c r="C112" s="30" t="str">
        <f>IFERROR(__xludf.DUMMYFUNCTION("""COMPUTED_VALUE"""),"spuf.")</f>
        <v>spuf.</v>
      </c>
      <c r="D112" s="30" t="str">
        <f>IFERROR(__xludf.DUMMYFUNCTION("""COMPUTED_VALUE"""),"Care Bears")</f>
        <v>Care Bears</v>
      </c>
      <c r="E112" s="30">
        <f>IFERROR(__xludf.DUMMYFUNCTION("""COMPUTED_VALUE"""),39.0)</f>
        <v>39</v>
      </c>
      <c r="F112" s="30">
        <f>IFERROR(__xludf.DUMMYFUNCTION("""COMPUTED_VALUE"""),17.0)</f>
        <v>17</v>
      </c>
      <c r="G112" s="30">
        <f>IFERROR(__xludf.DUMMYFUNCTION("""COMPUTED_VALUE"""),22.0)</f>
        <v>22</v>
      </c>
      <c r="H112" s="42">
        <f>IFERROR(__xludf.DUMMYFUNCTION("""COMPUTED_VALUE"""),0.4358974358974359)</f>
        <v>0.4358974359</v>
      </c>
      <c r="I112" s="42">
        <f>IFERROR(__xludf.DUMMYFUNCTION("""COMPUTED_VALUE"""),0.3636363636363637)</f>
        <v>0.3636363636</v>
      </c>
      <c r="J112" s="30">
        <f>IFERROR(__xludf.DUMMYFUNCTION("""COMPUTED_VALUE"""),396.61538461538464)</f>
        <v>396.6153846</v>
      </c>
      <c r="K112" s="30">
        <f>IFERROR(__xludf.DUMMYFUNCTION("""COMPUTED_VALUE"""),0.9230769230769231)</f>
        <v>0.9230769231</v>
      </c>
      <c r="L112" s="30">
        <f>IFERROR(__xludf.DUMMYFUNCTION("""COMPUTED_VALUE"""),0.6666666666666666)</f>
        <v>0.6666666667</v>
      </c>
      <c r="M112" s="30">
        <f>IFERROR(__xludf.DUMMYFUNCTION("""COMPUTED_VALUE"""),1.5128205128205128)</f>
        <v>1.512820513</v>
      </c>
      <c r="N112" s="30">
        <f>IFERROR(__xludf.DUMMYFUNCTION("""COMPUTED_VALUE"""),2.5384615384615383)</f>
        <v>2.538461538</v>
      </c>
      <c r="O112" s="30">
        <f>IFERROR(__xludf.DUMMYFUNCTION("""COMPUTED_VALUE"""),377.04273504273505)</f>
        <v>377.042735</v>
      </c>
      <c r="P112" s="30">
        <f>IFERROR(__xludf.DUMMYFUNCTION("""COMPUTED_VALUE"""),0.9059829059829059)</f>
        <v>0.905982906</v>
      </c>
      <c r="Q112" s="30">
        <f>IFERROR(__xludf.DUMMYFUNCTION("""COMPUTED_VALUE"""),0.7094017094017093)</f>
        <v>0.7094017094</v>
      </c>
      <c r="R112" s="30">
        <f>IFERROR(__xludf.DUMMYFUNCTION("""COMPUTED_VALUE"""),1.35042735042735)</f>
        <v>1.35042735</v>
      </c>
      <c r="S112" s="30">
        <f>IFERROR(__xludf.DUMMYFUNCTION("""COMPUTED_VALUE"""),2.863247863247863)</f>
        <v>2.863247863</v>
      </c>
      <c r="T112" s="30">
        <f>IFERROR(__xludf.DUMMYFUNCTION("""COMPUTED_VALUE"""),399.5623040736095)</f>
        <v>399.5623041</v>
      </c>
      <c r="U112" s="30">
        <f>IFERROR(__xludf.DUMMYFUNCTION("""COMPUTED_VALUE"""),0.9588275726593783)</f>
        <v>0.9588275727</v>
      </c>
      <c r="V112" s="30">
        <f>IFERROR(__xludf.DUMMYFUNCTION("""COMPUTED_VALUE"""),0.7550770079459889)</f>
        <v>0.7550770079</v>
      </c>
      <c r="W112" s="30">
        <f>IFERROR(__xludf.DUMMYFUNCTION("""COMPUTED_VALUE"""),1.463950867293552)</f>
        <v>1.463950867</v>
      </c>
      <c r="X112" s="30">
        <f>IFERROR(__xludf.DUMMYFUNCTION("""COMPUTED_VALUE"""),2.9394782156170893)</f>
        <v>2.939478216</v>
      </c>
      <c r="Y112" s="30">
        <f>IFERROR(__xludf.DUMMYFUNCTION("""COMPUTED_VALUE"""),379.09828865753)</f>
        <v>379.0982887</v>
      </c>
      <c r="Z112" s="30">
        <f>IFERROR(__xludf.DUMMYFUNCTION("""COMPUTED_VALUE"""),0.8424664869711836)</f>
        <v>0.842466487</v>
      </c>
      <c r="AA112" s="30">
        <f>IFERROR(__xludf.DUMMYFUNCTION("""COMPUTED_VALUE"""),0.6505972914443142)</f>
        <v>0.6505972914</v>
      </c>
      <c r="AB112" s="30">
        <f>IFERROR(__xludf.DUMMYFUNCTION("""COMPUTED_VALUE"""),1.4699505476646542)</f>
        <v>1.469950548</v>
      </c>
      <c r="AC112" s="30">
        <f>IFERROR(__xludf.DUMMYFUNCTION("""COMPUTED_VALUE"""),2.751572555618103)</f>
        <v>2.751572556</v>
      </c>
      <c r="AD112" s="30">
        <f>IFERROR(__xludf.DUMMYFUNCTION("""COMPUTED_VALUE"""),1.0462072673023308)</f>
        <v>1.046207267</v>
      </c>
      <c r="AE112" s="30">
        <f>IFERROR(__xludf.DUMMYFUNCTION("""COMPUTED_VALUE"""),1.0956838489748693)</f>
        <v>1.095683849</v>
      </c>
      <c r="AF112" s="30">
        <f>IFERROR(__xludf.DUMMYFUNCTION("""COMPUTED_VALUE"""),1.0246994191855283)</f>
        <v>1.024699419</v>
      </c>
      <c r="AG112" s="30">
        <f>IFERROR(__xludf.DUMMYFUNCTION("""COMPUTED_VALUE"""),1.0291642227175377)</f>
        <v>1.029164223</v>
      </c>
      <c r="AH112" s="30">
        <f>IFERROR(__xludf.DUMMYFUNCTION("""COMPUTED_VALUE"""),0.9225493739129506)</f>
        <v>0.9225493739</v>
      </c>
      <c r="AI112" s="30">
        <f>IFERROR(__xludf.DUMMYFUNCTION("""COMPUTED_VALUE"""),0.9436394054161682)</f>
        <v>0.9436394054</v>
      </c>
      <c r="AJ112" s="30">
        <f>IFERROR(__xludf.DUMMYFUNCTION("""COMPUTED_VALUE"""),0.9448861628687795)</f>
        <v>0.9448861629</v>
      </c>
      <c r="AK112" s="30">
        <f>IFERROR(__xludf.DUMMYFUNCTION("""COMPUTED_VALUE"""),0.9395090857440772)</f>
        <v>0.9395090857</v>
      </c>
      <c r="AL112" s="30">
        <f>IFERROR(__xludf.DUMMYFUNCTION("""COMPUTED_VALUE"""),0.9224540116731677)</f>
        <v>0.9224540117</v>
      </c>
      <c r="AM112" s="30">
        <f>IFERROR(__xludf.DUMMYFUNCTION("""COMPUTED_VALUE"""),0.9740667061370879)</f>
        <v>0.9740667061</v>
      </c>
      <c r="AN112" s="30">
        <f>IFERROR(__xludf.DUMMYFUNCTION("""COMPUTED_VALUE"""),1.0578026623289178)</f>
        <v>1.057802662</v>
      </c>
      <c r="AO112" s="30">
        <f>IFERROR(__xludf.DUMMYFUNCTION("""COMPUTED_VALUE"""),1.1182309887087278)</f>
        <v>1.118230989</v>
      </c>
      <c r="AP112" s="30">
        <f>IFERROR(__xludf.DUMMYFUNCTION("""COMPUTED_VALUE"""),1.0274557667674893)</f>
        <v>1.027455767</v>
      </c>
      <c r="AQ112" s="30">
        <f>IFERROR(__xludf.DUMMYFUNCTION("""COMPUTED_VALUE"""),1.0412155613271699)</f>
        <v>1.041215561</v>
      </c>
      <c r="AR112" s="30">
        <f>IFERROR(__xludf.DUMMYFUNCTION("""COMPUTED_VALUE"""),0.9338595173651926)</f>
        <v>0.9338595174</v>
      </c>
      <c r="AS112" s="30">
        <f>IFERROR(__xludf.DUMMYFUNCTION("""COMPUTED_VALUE"""),91.0)</f>
        <v>91</v>
      </c>
      <c r="AT112" s="30">
        <f>IFERROR(__xludf.DUMMYFUNCTION("""COMPUTED_VALUE"""),0.4395793674034509)</f>
        <v>0.4395793674</v>
      </c>
      <c r="AU112" s="30">
        <f>IFERROR(__xludf.DUMMYFUNCTION("""COMPUTED_VALUE"""),3.4022858911759783)</f>
        <v>3.402285891</v>
      </c>
      <c r="AV112" s="32">
        <f>IFERROR(__xludf.DUMMYFUNCTION("""COMPUTED_VALUE"""),58.9061791321682)</f>
        <v>58.90617913</v>
      </c>
      <c r="AW112" s="32">
        <f>IFERROR(__xludf.DUMMYFUNCTION("""COMPUTED_VALUE"""),2.7714055734423404)</f>
        <v>2.771405573</v>
      </c>
      <c r="AX112" s="32">
        <f>IFERROR(__xludf.DUMMYFUNCTION("""COMPUTED_VALUE"""),52.42028915887533)</f>
        <v>52.42028916</v>
      </c>
      <c r="AY112" s="32">
        <f>IFERROR(__xludf.DUMMYFUNCTION("""COMPUTED_VALUE"""),2.167138290138676)</f>
        <v>2.16713829</v>
      </c>
      <c r="AZ112" s="30">
        <f>IFERROR(__xludf.DUMMYFUNCTION("""COMPUTED_VALUE"""),0.6042672833036642)</f>
        <v>0.6042672833</v>
      </c>
      <c r="BA112" s="30">
        <f>IFERROR(__xludf.DUMMYFUNCTION("""COMPUTED_VALUE"""),450.0)</f>
        <v>450</v>
      </c>
    </row>
    <row r="113">
      <c r="A113" s="30" t="str">
        <f>IFERROR(__xludf.DUMMYFUNCTION("""COMPUTED_VALUE"""),"Master")</f>
        <v>Master</v>
      </c>
      <c r="B113" s="30" t="str">
        <f>IFERROR(__xludf.DUMMYFUNCTION("""COMPUTED_VALUE"""),"RSC005653")</f>
        <v>RSC005653</v>
      </c>
      <c r="C113" s="30" t="str">
        <f>IFERROR(__xludf.DUMMYFUNCTION("""COMPUTED_VALUE"""),"xim")</f>
        <v>xim</v>
      </c>
      <c r="D113" s="30" t="str">
        <f>IFERROR(__xludf.DUMMYFUNCTION("""COMPUTED_VALUE"""),"Tempests")</f>
        <v>Tempests</v>
      </c>
      <c r="E113" s="30">
        <f>IFERROR(__xludf.DUMMYFUNCTION("""COMPUTED_VALUE"""),8.0)</f>
        <v>8</v>
      </c>
      <c r="F113" s="30">
        <f>IFERROR(__xludf.DUMMYFUNCTION("""COMPUTED_VALUE"""),7.0)</f>
        <v>7</v>
      </c>
      <c r="G113" s="30">
        <f>IFERROR(__xludf.DUMMYFUNCTION("""COMPUTED_VALUE"""),1.0)</f>
        <v>1</v>
      </c>
      <c r="H113" s="42">
        <f>IFERROR(__xludf.DUMMYFUNCTION("""COMPUTED_VALUE"""),0.875)</f>
        <v>0.875</v>
      </c>
      <c r="I113" s="42">
        <f>IFERROR(__xludf.DUMMYFUNCTION("""COMPUTED_VALUE"""),0.34782608695652173)</f>
        <v>0.347826087</v>
      </c>
      <c r="J113" s="30">
        <f>IFERROR(__xludf.DUMMYFUNCTION("""COMPUTED_VALUE"""),383.875)</f>
        <v>383.875</v>
      </c>
      <c r="K113" s="30">
        <f>IFERROR(__xludf.DUMMYFUNCTION("""COMPUTED_VALUE"""),1.0)</f>
        <v>1</v>
      </c>
      <c r="L113" s="30">
        <f>IFERROR(__xludf.DUMMYFUNCTION("""COMPUTED_VALUE"""),1.125)</f>
        <v>1.125</v>
      </c>
      <c r="M113" s="30">
        <f>IFERROR(__xludf.DUMMYFUNCTION("""COMPUTED_VALUE"""),0.875)</f>
        <v>0.875</v>
      </c>
      <c r="N113" s="30">
        <f>IFERROR(__xludf.DUMMYFUNCTION("""COMPUTED_VALUE"""),2.875)</f>
        <v>2.875</v>
      </c>
      <c r="O113" s="30">
        <f>IFERROR(__xludf.DUMMYFUNCTION("""COMPUTED_VALUE"""),335.25)</f>
        <v>335.25</v>
      </c>
      <c r="P113" s="30">
        <f>IFERROR(__xludf.DUMMYFUNCTION("""COMPUTED_VALUE"""),0.6666666666666666)</f>
        <v>0.6666666667</v>
      </c>
      <c r="Q113" s="30">
        <f>IFERROR(__xludf.DUMMYFUNCTION("""COMPUTED_VALUE"""),0.4583333333333333)</f>
        <v>0.4583333333</v>
      </c>
      <c r="R113" s="30">
        <f>IFERROR(__xludf.DUMMYFUNCTION("""COMPUTED_VALUE"""),1.25)</f>
        <v>1.25</v>
      </c>
      <c r="S113" s="30">
        <f>IFERROR(__xludf.DUMMYFUNCTION("""COMPUTED_VALUE"""),2.1666666666666665)</f>
        <v>2.166666667</v>
      </c>
      <c r="T113" s="30">
        <f>IFERROR(__xludf.DUMMYFUNCTION("""COMPUTED_VALUE"""),373.24884366277456)</f>
        <v>373.2488437</v>
      </c>
      <c r="U113" s="30">
        <f>IFERROR(__xludf.DUMMYFUNCTION("""COMPUTED_VALUE"""),0.806238999827491)</f>
        <v>0.8062389998</v>
      </c>
      <c r="V113" s="30">
        <f>IFERROR(__xludf.DUMMYFUNCTION("""COMPUTED_VALUE"""),0.621469323514867)</f>
        <v>0.6214693235</v>
      </c>
      <c r="W113" s="30">
        <f>IFERROR(__xludf.DUMMYFUNCTION("""COMPUTED_VALUE"""),1.5272800389658683)</f>
        <v>1.527280039</v>
      </c>
      <c r="X113" s="30">
        <f>IFERROR(__xludf.DUMMYFUNCTION("""COMPUTED_VALUE"""),2.6947000149754516)</f>
        <v>2.694700015</v>
      </c>
      <c r="Y113" s="30">
        <f>IFERROR(__xludf.DUMMYFUNCTION("""COMPUTED_VALUE"""),418.26250385968115)</f>
        <v>418.2625039</v>
      </c>
      <c r="Z113" s="30">
        <f>IFERROR(__xludf.DUMMYFUNCTION("""COMPUTED_VALUE"""),1.0527782692416838)</f>
        <v>1.052778269</v>
      </c>
      <c r="AA113" s="30">
        <f>IFERROR(__xludf.DUMMYFUNCTION("""COMPUTED_VALUE"""),0.8224765255085621)</f>
        <v>0.8224765255</v>
      </c>
      <c r="AB113" s="30">
        <f>IFERROR(__xludf.DUMMYFUNCTION("""COMPUTED_VALUE"""),1.514875306863363)</f>
        <v>1.514875307</v>
      </c>
      <c r="AC113" s="30">
        <f>IFERROR(__xludf.DUMMYFUNCTION("""COMPUTED_VALUE"""),3.10431786625904)</f>
        <v>3.104317866</v>
      </c>
      <c r="AD113" s="30">
        <f>IFERROR(__xludf.DUMMYFUNCTION("""COMPUTED_VALUE"""),0.9177848754254637)</f>
        <v>0.9177848754</v>
      </c>
      <c r="AE113" s="30">
        <f>IFERROR(__xludf.DUMMYFUNCTION("""COMPUTED_VALUE"""),0.9498676304558413)</f>
        <v>0.9498676305</v>
      </c>
      <c r="AF113" s="30">
        <f>IFERROR(__xludf.DUMMYFUNCTION("""COMPUTED_VALUE"""),1.367820193171323)</f>
        <v>1.367820193</v>
      </c>
      <c r="AG113" s="30">
        <f>IFERROR(__xludf.DUMMYFUNCTION("""COMPUTED_VALUE"""),0.5776052959842207)</f>
        <v>0.577605296</v>
      </c>
      <c r="AH113" s="30">
        <f>IFERROR(__xludf.DUMMYFUNCTION("""COMPUTED_VALUE"""),0.9261293861844802)</f>
        <v>0.9261293862</v>
      </c>
      <c r="AI113" s="30">
        <f>IFERROR(__xludf.DUMMYFUNCTION("""COMPUTED_VALUE"""),0.8981943432432814)</f>
        <v>0.8981943432</v>
      </c>
      <c r="AJ113" s="30">
        <f>IFERROR(__xludf.DUMMYFUNCTION("""COMPUTED_VALUE"""),0.8268846667170797)</f>
        <v>0.8268846667</v>
      </c>
      <c r="AK113" s="30">
        <f>IFERROR(__xludf.DUMMYFUNCTION("""COMPUTED_VALUE"""),0.7374995289246469)</f>
        <v>0.7374995289</v>
      </c>
      <c r="AL113" s="30">
        <f>IFERROR(__xludf.DUMMYFUNCTION("""COMPUTED_VALUE"""),0.8184484626973738)</f>
        <v>0.8184484627</v>
      </c>
      <c r="AM113" s="30">
        <f>IFERROR(__xludf.DUMMYFUNCTION("""COMPUTED_VALUE"""),0.8040474467011886)</f>
        <v>0.8040474467</v>
      </c>
      <c r="AN113" s="30">
        <f>IFERROR(__xludf.DUMMYFUNCTION("""COMPUTED_VALUE"""),1.0238231111364766)</f>
        <v>1.023823111</v>
      </c>
      <c r="AO113" s="30">
        <f>IFERROR(__xludf.DUMMYFUNCTION("""COMPUTED_VALUE"""),1.2114169044344552)</f>
        <v>1.211416904</v>
      </c>
      <c r="AP113" s="30">
        <f>IFERROR(__xludf.DUMMYFUNCTION("""COMPUTED_VALUE"""),1.7338316064201382)</f>
        <v>1.733831606</v>
      </c>
      <c r="AQ113" s="30">
        <f>IFERROR(__xludf.DUMMYFUNCTION("""COMPUTED_VALUE"""),0.6022284920388079)</f>
        <v>0.602228492</v>
      </c>
      <c r="AR113" s="30">
        <f>IFERROR(__xludf.DUMMYFUNCTION("""COMPUTED_VALUE"""),1.0576666503492145)</f>
        <v>1.05766665</v>
      </c>
      <c r="AS113" s="30">
        <f>IFERROR(__xludf.DUMMYFUNCTION("""COMPUTED_VALUE"""),29.0)</f>
        <v>29</v>
      </c>
      <c r="AT113" s="30">
        <f>IFERROR(__xludf.DUMMYFUNCTION("""COMPUTED_VALUE"""),0.7263756751116563)</f>
        <v>0.7263756751</v>
      </c>
      <c r="AU113" s="30">
        <f>IFERROR(__xludf.DUMMYFUNCTION("""COMPUTED_VALUE"""),4.07075542838566)</f>
        <v>4.070755428</v>
      </c>
      <c r="AV113" s="32">
        <f>IFERROR(__xludf.DUMMYFUNCTION("""COMPUTED_VALUE"""),76.72915932145365)</f>
        <v>76.72915932</v>
      </c>
      <c r="AW113" s="32">
        <f>IFERROR(__xludf.DUMMYFUNCTION("""COMPUTED_VALUE"""),7.0176741616233125)</f>
        <v>7.017674162</v>
      </c>
      <c r="AX113" s="32">
        <f>IFERROR(__xludf.DUMMYFUNCTION("""COMPUTED_VALUE"""),75.34160096301508)</f>
        <v>75.34160096</v>
      </c>
      <c r="AY113" s="32">
        <f>IFERROR(__xludf.DUMMYFUNCTION("""COMPUTED_VALUE"""),6.436184968537254)</f>
        <v>6.436184969</v>
      </c>
      <c r="AZ113" s="30">
        <f>IFERROR(__xludf.DUMMYFUNCTION("""COMPUTED_VALUE"""),0.5814891930860586)</f>
        <v>0.5814891931</v>
      </c>
      <c r="BA113" s="30">
        <f>IFERROR(__xludf.DUMMYFUNCTION("""COMPUTED_VALUE"""),450.0)</f>
        <v>450</v>
      </c>
    </row>
    <row r="114">
      <c r="A114" s="30" t="str">
        <f>IFERROR(__xludf.DUMMYFUNCTION("""COMPUTED_VALUE"""),"Master")</f>
        <v>Master</v>
      </c>
      <c r="B114" s="30" t="str">
        <f>IFERROR(__xludf.DUMMYFUNCTION("""COMPUTED_VALUE"""),"RSC005183")</f>
        <v>RSC005183</v>
      </c>
      <c r="C114" s="30" t="str">
        <f>IFERROR(__xludf.DUMMYFUNCTION("""COMPUTED_VALUE"""),"Kagura.")</f>
        <v>Kagura.</v>
      </c>
      <c r="D114" s="30" t="str">
        <f>IFERROR(__xludf.DUMMYFUNCTION("""COMPUTED_VALUE"""),"Phantom Phreaks")</f>
        <v>Phantom Phreaks</v>
      </c>
      <c r="E114" s="30">
        <f>IFERROR(__xludf.DUMMYFUNCTION("""COMPUTED_VALUE"""),48.0)</f>
        <v>48</v>
      </c>
      <c r="F114" s="30">
        <f>IFERROR(__xludf.DUMMYFUNCTION("""COMPUTED_VALUE"""),18.0)</f>
        <v>18</v>
      </c>
      <c r="G114" s="30">
        <f>IFERROR(__xludf.DUMMYFUNCTION("""COMPUTED_VALUE"""),30.0)</f>
        <v>30</v>
      </c>
      <c r="H114" s="42">
        <f>IFERROR(__xludf.DUMMYFUNCTION("""COMPUTED_VALUE"""),0.375)</f>
        <v>0.375</v>
      </c>
      <c r="I114" s="42">
        <f>IFERROR(__xludf.DUMMYFUNCTION("""COMPUTED_VALUE"""),0.2828947368421053)</f>
        <v>0.2828947368</v>
      </c>
      <c r="J114" s="30">
        <f>IFERROR(__xludf.DUMMYFUNCTION("""COMPUTED_VALUE"""),412.1041666666667)</f>
        <v>412.1041667</v>
      </c>
      <c r="K114" s="30">
        <f>IFERROR(__xludf.DUMMYFUNCTION("""COMPUTED_VALUE"""),0.8958333333333334)</f>
        <v>0.8958333333</v>
      </c>
      <c r="L114" s="30">
        <f>IFERROR(__xludf.DUMMYFUNCTION("""COMPUTED_VALUE"""),0.5625)</f>
        <v>0.5625</v>
      </c>
      <c r="M114" s="30">
        <f>IFERROR(__xludf.DUMMYFUNCTION("""COMPUTED_VALUE"""),1.7708333333333333)</f>
        <v>1.770833333</v>
      </c>
      <c r="N114" s="30">
        <f>IFERROR(__xludf.DUMMYFUNCTION("""COMPUTED_VALUE"""),3.1666666666666665)</f>
        <v>3.166666667</v>
      </c>
      <c r="O114" s="30">
        <f>IFERROR(__xludf.DUMMYFUNCTION("""COMPUTED_VALUE"""),395.8680555555555)</f>
        <v>395.8680556</v>
      </c>
      <c r="P114" s="30">
        <f>IFERROR(__xludf.DUMMYFUNCTION("""COMPUTED_VALUE"""),0.9791666666666665)</f>
        <v>0.9791666667</v>
      </c>
      <c r="Q114" s="30">
        <f>IFERROR(__xludf.DUMMYFUNCTION("""COMPUTED_VALUE"""),0.7638888888888887)</f>
        <v>0.7638888889</v>
      </c>
      <c r="R114" s="30">
        <f>IFERROR(__xludf.DUMMYFUNCTION("""COMPUTED_VALUE"""),1.4861111111111114)</f>
        <v>1.486111111</v>
      </c>
      <c r="S114" s="30">
        <f>IFERROR(__xludf.DUMMYFUNCTION("""COMPUTED_VALUE"""),2.8819444444444446)</f>
        <v>2.881944444</v>
      </c>
      <c r="T114" s="30">
        <f>IFERROR(__xludf.DUMMYFUNCTION("""COMPUTED_VALUE"""),388.4139544886396)</f>
        <v>388.4139545</v>
      </c>
      <c r="U114" s="30">
        <f>IFERROR(__xludf.DUMMYFUNCTION("""COMPUTED_VALUE"""),0.908610523596877)</f>
        <v>0.9086105236</v>
      </c>
      <c r="V114" s="30">
        <f>IFERROR(__xludf.DUMMYFUNCTION("""COMPUTED_VALUE"""),0.719323372274915)</f>
        <v>0.7193233723</v>
      </c>
      <c r="W114" s="30">
        <f>IFERROR(__xludf.DUMMYFUNCTION("""COMPUTED_VALUE"""),1.4547163994399723)</f>
        <v>1.454716399</v>
      </c>
      <c r="X114" s="30">
        <f>IFERROR(__xludf.DUMMYFUNCTION("""COMPUTED_VALUE"""),2.8702300395274833)</f>
        <v>2.87023004</v>
      </c>
      <c r="Y114" s="30">
        <f>IFERROR(__xludf.DUMMYFUNCTION("""COMPUTED_VALUE"""),386.8847066275466)</f>
        <v>386.8847066</v>
      </c>
      <c r="Z114" s="30">
        <f>IFERROR(__xludf.DUMMYFUNCTION("""COMPUTED_VALUE"""),0.8840047684099072)</f>
        <v>0.8840047684</v>
      </c>
      <c r="AA114" s="30">
        <f>IFERROR(__xludf.DUMMYFUNCTION("""COMPUTED_VALUE"""),0.6816494115759367)</f>
        <v>0.6816494116</v>
      </c>
      <c r="AB114" s="30">
        <f>IFERROR(__xludf.DUMMYFUNCTION("""COMPUTED_VALUE"""),1.4870153085792934)</f>
        <v>1.487015309</v>
      </c>
      <c r="AC114" s="30">
        <f>IFERROR(__xludf.DUMMYFUNCTION("""COMPUTED_VALUE"""),2.8264859828382285)</f>
        <v>2.826485983</v>
      </c>
      <c r="AD114" s="30">
        <f>IFERROR(__xludf.DUMMYFUNCTION("""COMPUTED_VALUE"""),1.0651859833358541)</f>
        <v>1.065185983</v>
      </c>
      <c r="AE114" s="30">
        <f>IFERROR(__xludf.DUMMYFUNCTION("""COMPUTED_VALUE"""),1.013380657374397)</f>
        <v>1.013380657</v>
      </c>
      <c r="AF114" s="30">
        <f>IFERROR(__xludf.DUMMYFUNCTION("""COMPUTED_VALUE"""),0.825204262554163)</f>
        <v>0.8252042626</v>
      </c>
      <c r="AG114" s="30">
        <f>IFERROR(__xludf.DUMMYFUNCTION("""COMPUTED_VALUE"""),1.1908642252144679)</f>
        <v>1.190864225</v>
      </c>
      <c r="AH114" s="30">
        <f>IFERROR(__xludf.DUMMYFUNCTION("""COMPUTED_VALUE"""),1.1203546332421024)</f>
        <v>1.120354633</v>
      </c>
      <c r="AI114" s="30">
        <f>IFERROR(__xludf.DUMMYFUNCTION("""COMPUTED_VALUE"""),1.0191911258099093)</f>
        <v>1.019191126</v>
      </c>
      <c r="AJ114" s="30">
        <f>IFERROR(__xludf.DUMMYFUNCTION("""COMPUTED_VALUE"""),1.0776527909785614)</f>
        <v>1.077652791</v>
      </c>
      <c r="AK114" s="30">
        <f>IFERROR(__xludf.DUMMYFUNCTION("""COMPUTED_VALUE"""),1.0619547735158832)</f>
        <v>1.061954774</v>
      </c>
      <c r="AL114" s="30">
        <f>IFERROR(__xludf.DUMMYFUNCTION("""COMPUTED_VALUE"""),1.0215813279366515)</f>
        <v>1.021581328</v>
      </c>
      <c r="AM114" s="30">
        <f>IFERROR(__xludf.DUMMYFUNCTION("""COMPUTED_VALUE"""),1.0040813470542904)</f>
        <v>1.004081347</v>
      </c>
      <c r="AN114" s="30">
        <f>IFERROR(__xludf.DUMMYFUNCTION("""COMPUTED_VALUE"""),1.0991123934326845)</f>
        <v>1.099112393</v>
      </c>
      <c r="AO114" s="30">
        <f>IFERROR(__xludf.DUMMYFUNCTION("""COMPUTED_VALUE"""),1.085227643555866)</f>
        <v>1.085227644</v>
      </c>
      <c r="AP114" s="30">
        <f>IFERROR(__xludf.DUMMYFUNCTION("""COMPUTED_VALUE"""),0.8669158032100691)</f>
        <v>0.8669158032</v>
      </c>
      <c r="AQ114" s="30">
        <f>IFERROR(__xludf.DUMMYFUNCTION("""COMPUTED_VALUE"""),1.2187957576975874)</f>
        <v>1.218795758</v>
      </c>
      <c r="AR114" s="30">
        <f>IFERROR(__xludf.DUMMYFUNCTION("""COMPUTED_VALUE"""),1.1649661656020331)</f>
        <v>1.164966166</v>
      </c>
      <c r="AS114" s="30">
        <f>IFERROR(__xludf.DUMMYFUNCTION("""COMPUTED_VALUE"""),106.0)</f>
        <v>106</v>
      </c>
      <c r="AT114" s="30">
        <f>IFERROR(__xludf.DUMMYFUNCTION("""COMPUTED_VALUE"""),0.38779637407723816)</f>
        <v>0.3877963741</v>
      </c>
      <c r="AU114" s="30">
        <f>IFERROR(__xludf.DUMMYFUNCTION("""COMPUTED_VALUE"""),3.248121729410613)</f>
        <v>3.248121729</v>
      </c>
      <c r="AV114" s="32">
        <f>IFERROR(__xludf.DUMMYFUNCTION("""COMPUTED_VALUE"""),54.79579765912281)</f>
        <v>54.79579766</v>
      </c>
      <c r="AW114" s="32">
        <f>IFERROR(__xludf.DUMMYFUNCTION("""COMPUTED_VALUE"""),2.3588413952345197)</f>
        <v>2.358841395</v>
      </c>
      <c r="AX114" s="32">
        <f>IFERROR(__xludf.DUMMYFUNCTION("""COMPUTED_VALUE"""),60.16741313982004)</f>
        <v>60.16741314</v>
      </c>
      <c r="AY114" s="32">
        <f>IFERROR(__xludf.DUMMYFUNCTION("""COMPUTED_VALUE"""),2.9229899168853657)</f>
        <v>2.922989917</v>
      </c>
      <c r="AZ114" s="30">
        <f>IFERROR(__xludf.DUMMYFUNCTION("""COMPUTED_VALUE"""),0.564148521650846)</f>
        <v>0.5641485217</v>
      </c>
      <c r="BA114" s="30">
        <f>IFERROR(__xludf.DUMMYFUNCTION("""COMPUTED_VALUE"""),450.0)</f>
        <v>450</v>
      </c>
    </row>
    <row r="115">
      <c r="A115" s="30" t="str">
        <f>IFERROR(__xludf.DUMMYFUNCTION("""COMPUTED_VALUE"""),"Master")</f>
        <v>Master</v>
      </c>
      <c r="B115" s="30" t="str">
        <f>IFERROR(__xludf.DUMMYFUNCTION("""COMPUTED_VALUE"""),"RSC005220")</f>
        <v>RSC005220</v>
      </c>
      <c r="C115" s="30" t="str">
        <f>IFERROR(__xludf.DUMMYFUNCTION("""COMPUTED_VALUE"""),"Swax")</f>
        <v>Swax</v>
      </c>
      <c r="D115" s="30" t="str">
        <f>IFERROR(__xludf.DUMMYFUNCTION("""COMPUTED_VALUE"""),"Andromeda")</f>
        <v>Andromeda</v>
      </c>
      <c r="E115" s="30">
        <f>IFERROR(__xludf.DUMMYFUNCTION("""COMPUTED_VALUE"""),46.0)</f>
        <v>46</v>
      </c>
      <c r="F115" s="30">
        <f>IFERROR(__xludf.DUMMYFUNCTION("""COMPUTED_VALUE"""),24.0)</f>
        <v>24</v>
      </c>
      <c r="G115" s="30">
        <f>IFERROR(__xludf.DUMMYFUNCTION("""COMPUTED_VALUE"""),22.0)</f>
        <v>22</v>
      </c>
      <c r="H115" s="42">
        <f>IFERROR(__xludf.DUMMYFUNCTION("""COMPUTED_VALUE"""),0.5217391304347826)</f>
        <v>0.5217391304</v>
      </c>
      <c r="I115" s="42">
        <f>IFERROR(__xludf.DUMMYFUNCTION("""COMPUTED_VALUE"""),0.30281690140845074)</f>
        <v>0.3028169014</v>
      </c>
      <c r="J115" s="30">
        <f>IFERROR(__xludf.DUMMYFUNCTION("""COMPUTED_VALUE"""),383.1521739130435)</f>
        <v>383.1521739</v>
      </c>
      <c r="K115" s="30">
        <f>IFERROR(__xludf.DUMMYFUNCTION("""COMPUTED_VALUE"""),0.9347826086956522)</f>
        <v>0.9347826087</v>
      </c>
      <c r="L115" s="30">
        <f>IFERROR(__xludf.DUMMYFUNCTION("""COMPUTED_VALUE"""),0.6304347826086957)</f>
        <v>0.6304347826</v>
      </c>
      <c r="M115" s="30">
        <f>IFERROR(__xludf.DUMMYFUNCTION("""COMPUTED_VALUE"""),1.6304347826086956)</f>
        <v>1.630434783</v>
      </c>
      <c r="N115" s="30">
        <f>IFERROR(__xludf.DUMMYFUNCTION("""COMPUTED_VALUE"""),3.0869565217391304)</f>
        <v>3.086956522</v>
      </c>
      <c r="O115" s="30">
        <f>IFERROR(__xludf.DUMMYFUNCTION("""COMPUTED_VALUE"""),354.9347826086956)</f>
        <v>354.9347826</v>
      </c>
      <c r="P115" s="30">
        <f>IFERROR(__xludf.DUMMYFUNCTION("""COMPUTED_VALUE"""),0.7173913043478259)</f>
        <v>0.7173913043</v>
      </c>
      <c r="Q115" s="30">
        <f>IFERROR(__xludf.DUMMYFUNCTION("""COMPUTED_VALUE"""),0.5434782608695652)</f>
        <v>0.5434782609</v>
      </c>
      <c r="R115" s="30">
        <f>IFERROR(__xludf.DUMMYFUNCTION("""COMPUTED_VALUE"""),1.4492753623188406)</f>
        <v>1.449275362</v>
      </c>
      <c r="S115" s="30">
        <f>IFERROR(__xludf.DUMMYFUNCTION("""COMPUTED_VALUE"""),2.768115942028985)</f>
        <v>2.768115942</v>
      </c>
      <c r="T115" s="30">
        <f>IFERROR(__xludf.DUMMYFUNCTION("""COMPUTED_VALUE"""),374.4983216213617)</f>
        <v>374.4983216</v>
      </c>
      <c r="U115" s="30">
        <f>IFERROR(__xludf.DUMMYFUNCTION("""COMPUTED_VALUE"""),0.8194264025528573)</f>
        <v>0.8194264026</v>
      </c>
      <c r="V115" s="30">
        <f>IFERROR(__xludf.DUMMYFUNCTION("""COMPUTED_VALUE"""),0.6304876356410236)</f>
        <v>0.6304876356</v>
      </c>
      <c r="W115" s="30">
        <f>IFERROR(__xludf.DUMMYFUNCTION("""COMPUTED_VALUE"""),1.4749203543515639)</f>
        <v>1.474920354</v>
      </c>
      <c r="X115" s="30">
        <f>IFERROR(__xludf.DUMMYFUNCTION("""COMPUTED_VALUE"""),2.7097024169500252)</f>
        <v>2.709702417</v>
      </c>
      <c r="Y115" s="30">
        <f>IFERROR(__xludf.DUMMYFUNCTION("""COMPUTED_VALUE"""),392.62306497584075)</f>
        <v>392.623065</v>
      </c>
      <c r="Z115" s="30">
        <f>IFERROR(__xludf.DUMMYFUNCTION("""COMPUTED_VALUE"""),0.9289681295335412)</f>
        <v>0.9289681295</v>
      </c>
      <c r="AA115" s="30">
        <f>IFERROR(__xludf.DUMMYFUNCTION("""COMPUTED_VALUE"""),0.7237036361506762)</f>
        <v>0.7237036362</v>
      </c>
      <c r="AB115" s="30">
        <f>IFERROR(__xludf.DUMMYFUNCTION("""COMPUTED_VALUE"""),1.468392446699578)</f>
        <v>1.468392447</v>
      </c>
      <c r="AC115" s="30">
        <f>IFERROR(__xludf.DUMMYFUNCTION("""COMPUTED_VALUE"""),2.9234705818000863)</f>
        <v>2.923470582</v>
      </c>
      <c r="AD115" s="30">
        <f>IFERROR(__xludf.DUMMYFUNCTION("""COMPUTED_VALUE"""),0.975877904515416)</f>
        <v>0.9758779045</v>
      </c>
      <c r="AE115" s="30">
        <f>IFERROR(__xludf.DUMMYFUNCTION("""COMPUTED_VALUE"""),1.0062590728112821)</f>
        <v>1.006259073</v>
      </c>
      <c r="AF115" s="30">
        <f>IFERROR(__xludf.DUMMYFUNCTION("""COMPUTED_VALUE"""),0.871122861786255)</f>
        <v>0.8711228618</v>
      </c>
      <c r="AG115" s="30">
        <f>IFERROR(__xludf.DUMMYFUNCTION("""COMPUTED_VALUE"""),1.1103535613202935)</f>
        <v>1.110353561</v>
      </c>
      <c r="AH115" s="30">
        <f>IFERROR(__xludf.DUMMYFUNCTION("""COMPUTED_VALUE"""),1.0559218693551484)</f>
        <v>1.055921869</v>
      </c>
      <c r="AI115" s="30">
        <f>IFERROR(__xludf.DUMMYFUNCTION("""COMPUTED_VALUE"""),0.9477606763951111)</f>
        <v>0.9477606764</v>
      </c>
      <c r="AJ115" s="30">
        <f>IFERROR(__xludf.DUMMYFUNCTION("""COMPUTED_VALUE"""),0.875479850432999)</f>
        <v>0.8754798504</v>
      </c>
      <c r="AK115" s="30">
        <f>IFERROR(__xludf.DUMMYFUNCTION("""COMPUTED_VALUE"""),0.8619966992961011)</f>
        <v>0.8619966993</v>
      </c>
      <c r="AL115" s="30">
        <f>IFERROR(__xludf.DUMMYFUNCTION("""COMPUTED_VALUE"""),0.9826126258566701)</f>
        <v>0.9826126259</v>
      </c>
      <c r="AM115" s="30">
        <f>IFERROR(__xludf.DUMMYFUNCTION("""COMPUTED_VALUE"""),1.0215571734791116)</f>
        <v>1.021557173</v>
      </c>
      <c r="AN115" s="30">
        <f>IFERROR(__xludf.DUMMYFUNCTION("""COMPUTED_VALUE"""),1.0218952803239507)</f>
        <v>1.02189528</v>
      </c>
      <c r="AO115" s="30">
        <f>IFERROR(__xludf.DUMMYFUNCTION("""COMPUTED_VALUE"""),1.1324114541452517)</f>
        <v>1.132411454</v>
      </c>
      <c r="AP115" s="30">
        <f>IFERROR(__xludf.DUMMYFUNCTION("""COMPUTED_VALUE"""),0.9716157794431692)</f>
        <v>0.9716157794</v>
      </c>
      <c r="AQ115" s="30">
        <f>IFERROR(__xludf.DUMMYFUNCTION("""COMPUTED_VALUE"""),1.1221648919977787)</f>
        <v>1.122164892</v>
      </c>
      <c r="AR115" s="30">
        <f>IFERROR(__xludf.DUMMYFUNCTION("""COMPUTED_VALUE"""),1.1356420744770392)</f>
        <v>1.135642074</v>
      </c>
      <c r="AS115" s="30">
        <f>IFERROR(__xludf.DUMMYFUNCTION("""COMPUTED_VALUE"""),124.0)</f>
        <v>124</v>
      </c>
      <c r="AT115" s="30">
        <f>IFERROR(__xludf.DUMMYFUNCTION("""COMPUTED_VALUE"""),0.5876352988526992)</f>
        <v>0.5876352989</v>
      </c>
      <c r="AU115" s="30">
        <f>IFERROR(__xludf.DUMMYFUNCTION("""COMPUTED_VALUE"""),3.36467333652682)</f>
        <v>3.364673337</v>
      </c>
      <c r="AV115" s="32">
        <f>IFERROR(__xludf.DUMMYFUNCTION("""COMPUTED_VALUE"""),57.90333939293549)</f>
        <v>57.90333939</v>
      </c>
      <c r="AW115" s="32">
        <f>IFERROR(__xludf.DUMMYFUNCTION("""COMPUTED_VALUE"""),2.6599242097700575)</f>
        <v>2.65992421</v>
      </c>
      <c r="AX115" s="32">
        <f>IFERROR(__xludf.DUMMYFUNCTION("""COMPUTED_VALUE"""),51.69990971822622)</f>
        <v>51.69990972</v>
      </c>
      <c r="AY115" s="32">
        <f>IFERROR(__xludf.DUMMYFUNCTION("""COMPUTED_VALUE"""),2.1146376604790302)</f>
        <v>2.11463766</v>
      </c>
      <c r="AZ115" s="30">
        <f>IFERROR(__xludf.DUMMYFUNCTION("""COMPUTED_VALUE"""),0.5452865492910273)</f>
        <v>0.5452865493</v>
      </c>
      <c r="BA115" s="30">
        <f>IFERROR(__xludf.DUMMYFUNCTION("""COMPUTED_VALUE"""),450.0)</f>
        <v>450</v>
      </c>
    </row>
    <row r="116">
      <c r="A116" s="30" t="str">
        <f>IFERROR(__xludf.DUMMYFUNCTION("""COMPUTED_VALUE"""),"Master")</f>
        <v>Master</v>
      </c>
      <c r="B116" s="30" t="str">
        <f>IFERROR(__xludf.DUMMYFUNCTION("""COMPUTED_VALUE"""),"RSC007466")</f>
        <v>RSC007466</v>
      </c>
      <c r="C116" s="30" t="str">
        <f>IFERROR(__xludf.DUMMYFUNCTION("""COMPUTED_VALUE"""),"Viiper :)")</f>
        <v>Viiper :)</v>
      </c>
      <c r="D116" s="30" t="str">
        <f>IFERROR(__xludf.DUMMYFUNCTION("""COMPUTED_VALUE"""),"Phantom Phreaks")</f>
        <v>Phantom Phreaks</v>
      </c>
      <c r="E116" s="30">
        <f>IFERROR(__xludf.DUMMYFUNCTION("""COMPUTED_VALUE"""),36.0)</f>
        <v>36</v>
      </c>
      <c r="F116" s="30">
        <f>IFERROR(__xludf.DUMMYFUNCTION("""COMPUTED_VALUE"""),22.0)</f>
        <v>22</v>
      </c>
      <c r="G116" s="30">
        <f>IFERROR(__xludf.DUMMYFUNCTION("""COMPUTED_VALUE"""),14.0)</f>
        <v>14</v>
      </c>
      <c r="H116" s="42">
        <f>IFERROR(__xludf.DUMMYFUNCTION("""COMPUTED_VALUE"""),0.6111111111111112)</f>
        <v>0.6111111111</v>
      </c>
      <c r="I116" s="42">
        <f>IFERROR(__xludf.DUMMYFUNCTION("""COMPUTED_VALUE"""),0.2521008403361345)</f>
        <v>0.2521008403</v>
      </c>
      <c r="J116" s="30">
        <f>IFERROR(__xludf.DUMMYFUNCTION("""COMPUTED_VALUE"""),395.47222222222223)</f>
        <v>395.4722222</v>
      </c>
      <c r="K116" s="30">
        <f>IFERROR(__xludf.DUMMYFUNCTION("""COMPUTED_VALUE"""),0.8333333333333334)</f>
        <v>0.8333333333</v>
      </c>
      <c r="L116" s="30">
        <f>IFERROR(__xludf.DUMMYFUNCTION("""COMPUTED_VALUE"""),0.7777777777777778)</f>
        <v>0.7777777778</v>
      </c>
      <c r="M116" s="30">
        <f>IFERROR(__xludf.DUMMYFUNCTION("""COMPUTED_VALUE"""),1.3888888888888888)</f>
        <v>1.388888889</v>
      </c>
      <c r="N116" s="30">
        <f>IFERROR(__xludf.DUMMYFUNCTION("""COMPUTED_VALUE"""),3.3055555555555554)</f>
        <v>3.305555556</v>
      </c>
      <c r="O116" s="30">
        <f>IFERROR(__xludf.DUMMYFUNCTION("""COMPUTED_VALUE"""),386.6944444444445)</f>
        <v>386.6944444</v>
      </c>
      <c r="P116" s="30">
        <f>IFERROR(__xludf.DUMMYFUNCTION("""COMPUTED_VALUE"""),0.8333333333333334)</f>
        <v>0.8333333333</v>
      </c>
      <c r="Q116" s="30">
        <f>IFERROR(__xludf.DUMMYFUNCTION("""COMPUTED_VALUE"""),0.675925925925926)</f>
        <v>0.6759259259</v>
      </c>
      <c r="R116" s="30">
        <f>IFERROR(__xludf.DUMMYFUNCTION("""COMPUTED_VALUE"""),1.5648148148148147)</f>
        <v>1.564814815</v>
      </c>
      <c r="S116" s="30">
        <f>IFERROR(__xludf.DUMMYFUNCTION("""COMPUTED_VALUE"""),2.5648148148148153)</f>
        <v>2.564814815</v>
      </c>
      <c r="T116" s="30">
        <f>IFERROR(__xludf.DUMMYFUNCTION("""COMPUTED_VALUE"""),389.1594004345686)</f>
        <v>389.1594004</v>
      </c>
      <c r="U116" s="30">
        <f>IFERROR(__xludf.DUMMYFUNCTION("""COMPUTED_VALUE"""),0.9025273642235422)</f>
        <v>0.9025273642</v>
      </c>
      <c r="V116" s="30">
        <f>IFERROR(__xludf.DUMMYFUNCTION("""COMPUTED_VALUE"""),0.6927546752975884)</f>
        <v>0.6927546753</v>
      </c>
      <c r="W116" s="30">
        <f>IFERROR(__xludf.DUMMYFUNCTION("""COMPUTED_VALUE"""),1.465267933334933)</f>
        <v>1.465267933</v>
      </c>
      <c r="X116" s="30">
        <f>IFERROR(__xludf.DUMMYFUNCTION("""COMPUTED_VALUE"""),2.8735233268804334)</f>
        <v>2.873523327</v>
      </c>
      <c r="Y116" s="30">
        <f>IFERROR(__xludf.DUMMYFUNCTION("""COMPUTED_VALUE"""),390.8218031095437)</f>
        <v>390.8218031</v>
      </c>
      <c r="Z116" s="30">
        <f>IFERROR(__xludf.DUMMYFUNCTION("""COMPUTED_VALUE"""),0.9036486344877791)</f>
        <v>0.9036486345</v>
      </c>
      <c r="AA116" s="30">
        <f>IFERROR(__xludf.DUMMYFUNCTION("""COMPUTED_VALUE"""),0.6895789832116321)</f>
        <v>0.6895789832</v>
      </c>
      <c r="AB116" s="30">
        <f>IFERROR(__xludf.DUMMYFUNCTION("""COMPUTED_VALUE"""),1.5001461873263482)</f>
        <v>1.500146187</v>
      </c>
      <c r="AC116" s="30">
        <f>IFERROR(__xludf.DUMMYFUNCTION("""COMPUTED_VALUE"""),2.85510046849325)</f>
        <v>2.855100468</v>
      </c>
      <c r="AD116" s="30">
        <f>IFERROR(__xludf.DUMMYFUNCTION("""COMPUTED_VALUE"""),1.0118990779830548)</f>
        <v>1.011899078</v>
      </c>
      <c r="AE116" s="30">
        <f>IFERROR(__xludf.DUMMYFUNCTION("""COMPUTED_VALUE"""),0.92218734309901)</f>
        <v>0.9221873431</v>
      </c>
      <c r="AF116" s="30">
        <f>IFERROR(__xludf.DUMMYFUNCTION("""COMPUTED_VALUE"""),1.1279023820525536)</f>
        <v>1.127902382</v>
      </c>
      <c r="AG116" s="30">
        <f>IFERROR(__xludf.DUMMYFUNCTION("""COMPUTED_VALUE"""),0.9258356956292714)</f>
        <v>0.9258356956</v>
      </c>
      <c r="AH116" s="30">
        <f>IFERROR(__xludf.DUMMYFUNCTION("""COMPUTED_VALUE"""),1.157772061625568)</f>
        <v>1.157772062</v>
      </c>
      <c r="AI116" s="30">
        <f>IFERROR(__xludf.DUMMYFUNCTION("""COMPUTED_VALUE"""),0.9936659477135293)</f>
        <v>0.9936659477</v>
      </c>
      <c r="AJ116" s="30">
        <f>IFERROR(__xludf.DUMMYFUNCTION("""COMPUTED_VALUE"""),0.9233330382733188)</f>
        <v>0.9233330383</v>
      </c>
      <c r="AK116" s="30">
        <f>IFERROR(__xludf.DUMMYFUNCTION("""COMPUTED_VALUE"""),0.9757074907297693)</f>
        <v>0.9757074907</v>
      </c>
      <c r="AL116" s="30">
        <f>IFERROR(__xludf.DUMMYFUNCTION("""COMPUTED_VALUE"""),1.0679376646517569)</f>
        <v>1.067937665</v>
      </c>
      <c r="AM116" s="30">
        <f>IFERROR(__xludf.DUMMYFUNCTION("""COMPUTED_VALUE"""),0.8925679464030105)</f>
        <v>0.8925679464</v>
      </c>
      <c r="AN116" s="30">
        <f>IFERROR(__xludf.DUMMYFUNCTION("""COMPUTED_VALUE"""),1.0547537633959274)</f>
        <v>1.054753763</v>
      </c>
      <c r="AO116" s="30">
        <f>IFERROR(__xludf.DUMMYFUNCTION("""COMPUTED_VALUE"""),1.0095140870287127)</f>
        <v>1.009514087</v>
      </c>
      <c r="AP116" s="30">
        <f>IFERROR(__xludf.DUMMYFUNCTION("""COMPUTED_VALUE"""),1.1986983945620708)</f>
        <v>1.198698395</v>
      </c>
      <c r="AQ116" s="30">
        <f>IFERROR(__xludf.DUMMYFUNCTION("""COMPUTED_VALUE"""),0.9559182413314411)</f>
        <v>0.9559182413</v>
      </c>
      <c r="AR116" s="30">
        <f>IFERROR(__xludf.DUMMYFUNCTION("""COMPUTED_VALUE"""),1.2160611728652801)</f>
        <v>1.216061173</v>
      </c>
      <c r="AS116" s="30">
        <f>IFERROR(__xludf.DUMMYFUNCTION("""COMPUTED_VALUE"""),108.0)</f>
        <v>108</v>
      </c>
      <c r="AT116" s="30">
        <f>IFERROR(__xludf.DUMMYFUNCTION("""COMPUTED_VALUE"""),0.5738036455319312)</f>
        <v>0.5738036455</v>
      </c>
      <c r="AU116" s="30">
        <f>IFERROR(__xludf.DUMMYFUNCTION("""COMPUTED_VALUE"""),3.5684663900649833)</f>
        <v>3.56846639</v>
      </c>
      <c r="AV116" s="32">
        <f>IFERROR(__xludf.DUMMYFUNCTION("""COMPUTED_VALUE"""),63.336944596676204)</f>
        <v>63.3369446</v>
      </c>
      <c r="AW116" s="32">
        <f>IFERROR(__xludf.DUMMYFUNCTION("""COMPUTED_VALUE"""),3.3686883592875247)</f>
        <v>3.368688359</v>
      </c>
      <c r="AX116" s="32">
        <f>IFERROR(__xludf.DUMMYFUNCTION("""COMPUTED_VALUE"""),59.90747832899674)</f>
        <v>59.90747833</v>
      </c>
      <c r="AY116" s="32">
        <f>IFERROR(__xludf.DUMMYFUNCTION("""COMPUTED_VALUE"""),2.8906564397671044)</f>
        <v>2.89065644</v>
      </c>
      <c r="AZ116" s="30">
        <f>IFERROR(__xludf.DUMMYFUNCTION("""COMPUTED_VALUE"""),0.47803191952042035)</f>
        <v>0.4780319195</v>
      </c>
      <c r="BA116" s="30">
        <f>IFERROR(__xludf.DUMMYFUNCTION("""COMPUTED_VALUE"""),450.0)</f>
        <v>450</v>
      </c>
    </row>
    <row r="117">
      <c r="A117" s="30" t="str">
        <f>IFERROR(__xludf.DUMMYFUNCTION("""COMPUTED_VALUE"""),"Master")</f>
        <v>Master</v>
      </c>
      <c r="B117" s="30" t="str">
        <f>IFERROR(__xludf.DUMMYFUNCTION("""COMPUTED_VALUE"""),"RSC005690")</f>
        <v>RSC005690</v>
      </c>
      <c r="C117" s="30" t="str">
        <f>IFERROR(__xludf.DUMMYFUNCTION("""COMPUTED_VALUE"""),"DQ.")</f>
        <v>DQ.</v>
      </c>
      <c r="D117" s="30" t="str">
        <f>IFERROR(__xludf.DUMMYFUNCTION("""COMPUTED_VALUE"""),"Kawaii")</f>
        <v>Kawaii</v>
      </c>
      <c r="E117" s="30">
        <f>IFERROR(__xludf.DUMMYFUNCTION("""COMPUTED_VALUE"""),44.0)</f>
        <v>44</v>
      </c>
      <c r="F117" s="30">
        <f>IFERROR(__xludf.DUMMYFUNCTION("""COMPUTED_VALUE"""),22.0)</f>
        <v>22</v>
      </c>
      <c r="G117" s="30">
        <f>IFERROR(__xludf.DUMMYFUNCTION("""COMPUTED_VALUE"""),22.0)</f>
        <v>22</v>
      </c>
      <c r="H117" s="42">
        <f>IFERROR(__xludf.DUMMYFUNCTION("""COMPUTED_VALUE"""),0.5)</f>
        <v>0.5</v>
      </c>
      <c r="I117" s="42">
        <f>IFERROR(__xludf.DUMMYFUNCTION("""COMPUTED_VALUE"""),0.3185840707964602)</f>
        <v>0.3185840708</v>
      </c>
      <c r="J117" s="30">
        <f>IFERROR(__xludf.DUMMYFUNCTION("""COMPUTED_VALUE"""),363.1363636363636)</f>
        <v>363.1363636</v>
      </c>
      <c r="K117" s="30">
        <f>IFERROR(__xludf.DUMMYFUNCTION("""COMPUTED_VALUE"""),0.8181818181818182)</f>
        <v>0.8181818182</v>
      </c>
      <c r="L117" s="30">
        <f>IFERROR(__xludf.DUMMYFUNCTION("""COMPUTED_VALUE"""),0.6363636363636364)</f>
        <v>0.6363636364</v>
      </c>
      <c r="M117" s="30">
        <f>IFERROR(__xludf.DUMMYFUNCTION("""COMPUTED_VALUE"""),1.2045454545454546)</f>
        <v>1.204545455</v>
      </c>
      <c r="N117" s="30">
        <f>IFERROR(__xludf.DUMMYFUNCTION("""COMPUTED_VALUE"""),2.5681818181818183)</f>
        <v>2.568181818</v>
      </c>
      <c r="O117" s="30">
        <f>IFERROR(__xludf.DUMMYFUNCTION("""COMPUTED_VALUE"""),397.58333333333337)</f>
        <v>397.5833333</v>
      </c>
      <c r="P117" s="30">
        <f>IFERROR(__xludf.DUMMYFUNCTION("""COMPUTED_VALUE"""),0.9242424242424243)</f>
        <v>0.9242424242</v>
      </c>
      <c r="Q117" s="30">
        <f>IFERROR(__xludf.DUMMYFUNCTION("""COMPUTED_VALUE"""),0.6363636363636362)</f>
        <v>0.6363636364</v>
      </c>
      <c r="R117" s="30">
        <f>IFERROR(__xludf.DUMMYFUNCTION("""COMPUTED_VALUE"""),1.4924242424242422)</f>
        <v>1.492424242</v>
      </c>
      <c r="S117" s="30">
        <f>IFERROR(__xludf.DUMMYFUNCTION("""COMPUTED_VALUE"""),2.7045454545454546)</f>
        <v>2.704545455</v>
      </c>
      <c r="T117" s="30">
        <f>IFERROR(__xludf.DUMMYFUNCTION("""COMPUTED_VALUE"""),388.3123439505944)</f>
        <v>388.312344</v>
      </c>
      <c r="U117" s="30">
        <f>IFERROR(__xludf.DUMMYFUNCTION("""COMPUTED_VALUE"""),0.9073833143683231)</f>
        <v>0.9073833144</v>
      </c>
      <c r="V117" s="30">
        <f>IFERROR(__xludf.DUMMYFUNCTION("""COMPUTED_VALUE"""),0.6924059949673825)</f>
        <v>0.692405995</v>
      </c>
      <c r="W117" s="30">
        <f>IFERROR(__xludf.DUMMYFUNCTION("""COMPUTED_VALUE"""),1.4532090149856418)</f>
        <v>1.453209015</v>
      </c>
      <c r="X117" s="30">
        <f>IFERROR(__xludf.DUMMYFUNCTION("""COMPUTED_VALUE"""),2.795362120317426)</f>
        <v>2.79536212</v>
      </c>
      <c r="Y117" s="30">
        <f>IFERROR(__xludf.DUMMYFUNCTION("""COMPUTED_VALUE"""),381.14972652699004)</f>
        <v>381.1497265</v>
      </c>
      <c r="Z117" s="30">
        <f>IFERROR(__xludf.DUMMYFUNCTION("""COMPUTED_VALUE"""),0.8542700468549811)</f>
        <v>0.8542700469</v>
      </c>
      <c r="AA117" s="30">
        <f>IFERROR(__xludf.DUMMYFUNCTION("""COMPUTED_VALUE"""),0.6553895621494769)</f>
        <v>0.6553895621</v>
      </c>
      <c r="AB117" s="30">
        <f>IFERROR(__xludf.DUMMYFUNCTION("""COMPUTED_VALUE"""),1.4580230932333742)</f>
        <v>1.458023093</v>
      </c>
      <c r="AC117" s="30">
        <f>IFERROR(__xludf.DUMMYFUNCTION("""COMPUTED_VALUE"""),2.7626936243710927)</f>
        <v>2.762693624</v>
      </c>
      <c r="AD117" s="30">
        <f>IFERROR(__xludf.DUMMYFUNCTION("""COMPUTED_VALUE"""),0.9527394049189988)</f>
        <v>0.9527394049</v>
      </c>
      <c r="AE117" s="30">
        <f>IFERROR(__xludf.DUMMYFUNCTION("""COMPUTED_VALUE"""),0.9577554793053757)</f>
        <v>0.9577554793</v>
      </c>
      <c r="AF117" s="30">
        <f>IFERROR(__xludf.DUMMYFUNCTION("""COMPUTED_VALUE"""),0.9709700506620196)</f>
        <v>0.9709700507</v>
      </c>
      <c r="AG117" s="30">
        <f>IFERROR(__xludf.DUMMYFUNCTION("""COMPUTED_VALUE"""),0.8261497778297895)</f>
        <v>0.8261497778</v>
      </c>
      <c r="AH117" s="30">
        <f>IFERROR(__xludf.DUMMYFUNCTION("""COMPUTED_VALUE"""),0.9295934212634405)</f>
        <v>0.9295934213</v>
      </c>
      <c r="AI117" s="30">
        <f>IFERROR(__xludf.DUMMYFUNCTION("""COMPUTED_VALUE"""),1.023875082848045)</f>
        <v>1.023875083</v>
      </c>
      <c r="AJ117" s="30">
        <f>IFERROR(__xludf.DUMMYFUNCTION("""COMPUTED_VALUE"""),1.0185799205331847)</f>
        <v>1.018579921</v>
      </c>
      <c r="AK117" s="30">
        <f>IFERROR(__xludf.DUMMYFUNCTION("""COMPUTED_VALUE"""),0.9190614191513661)</f>
        <v>0.9190614192</v>
      </c>
      <c r="AL117" s="30">
        <f>IFERROR(__xludf.DUMMYFUNCTION("""COMPUTED_VALUE"""),1.0269852629829632)</f>
        <v>1.026985263</v>
      </c>
      <c r="AM117" s="30">
        <f>IFERROR(__xludf.DUMMYFUNCTION("""COMPUTED_VALUE"""),0.9675116632968973)</f>
        <v>0.9675116633</v>
      </c>
      <c r="AN117" s="30">
        <f>IFERROR(__xludf.DUMMYFUNCTION("""COMPUTED_VALUE"""),0.9685116290067567)</f>
        <v>0.968511629</v>
      </c>
      <c r="AO117" s="30">
        <f>IFERROR(__xludf.DUMMYFUNCTION("""COMPUTED_VALUE"""),0.9911592854463724)</f>
        <v>0.9911592854</v>
      </c>
      <c r="AP117" s="30">
        <f>IFERROR(__xludf.DUMMYFUNCTION("""COMPUTED_VALUE"""),0.9807532319144215)</f>
        <v>0.9807532319</v>
      </c>
      <c r="AQ117" s="30">
        <f>IFERROR(__xludf.DUMMYFUNCTION("""COMPUTED_VALUE"""),0.8290418202092681)</f>
        <v>0.8290418202</v>
      </c>
      <c r="AR117" s="30">
        <f>IFERROR(__xludf.DUMMYFUNCTION("""COMPUTED_VALUE"""),0.9447931343040413)</f>
        <v>0.9447931343</v>
      </c>
      <c r="AS117" s="30">
        <f>IFERROR(__xludf.DUMMYFUNCTION("""COMPUTED_VALUE"""),116.0)</f>
        <v>116</v>
      </c>
      <c r="AT117" s="30">
        <f>IFERROR(__xludf.DUMMYFUNCTION("""COMPUTED_VALUE"""),0.4795449503951887)</f>
        <v>0.4795449504</v>
      </c>
      <c r="AU117" s="30">
        <f>IFERROR(__xludf.DUMMYFUNCTION("""COMPUTED_VALUE"""),3.047412736356887)</f>
        <v>3.047412736</v>
      </c>
      <c r="AV117" s="32">
        <f>IFERROR(__xludf.DUMMYFUNCTION("""COMPUTED_VALUE"""),49.44442080814463)</f>
        <v>49.44442081</v>
      </c>
      <c r="AW117" s="32">
        <f>IFERROR(__xludf.DUMMYFUNCTION("""COMPUTED_VALUE"""),-2.0361001845022972)</f>
        <v>-2.036100185</v>
      </c>
      <c r="AX117" s="32">
        <f>IFERROR(__xludf.DUMMYFUNCTION("""COMPUTED_VALUE"""),43.573272553805424)</f>
        <v>43.57327255</v>
      </c>
      <c r="AY117" s="32">
        <f>IFERROR(__xludf.DUMMYFUNCTION("""COMPUTED_VALUE"""),-2.509015417990388)</f>
        <v>-2.509015418</v>
      </c>
      <c r="AZ117" s="30">
        <f>IFERROR(__xludf.DUMMYFUNCTION("""COMPUTED_VALUE"""),0.4729152334880906)</f>
        <v>0.4729152335</v>
      </c>
      <c r="BA117" s="30">
        <f>IFERROR(__xludf.DUMMYFUNCTION("""COMPUTED_VALUE"""),450.0)</f>
        <v>450</v>
      </c>
    </row>
    <row r="118">
      <c r="A118" s="30" t="str">
        <f>IFERROR(__xludf.DUMMYFUNCTION("""COMPUTED_VALUE"""),"Master")</f>
        <v>Master</v>
      </c>
      <c r="B118" s="30" t="str">
        <f>IFERROR(__xludf.DUMMYFUNCTION("""COMPUTED_VALUE"""),"RSC005385")</f>
        <v>RSC005385</v>
      </c>
      <c r="C118" s="30" t="str">
        <f>IFERROR(__xludf.DUMMYFUNCTION("""COMPUTED_VALUE"""),"Girth")</f>
        <v>Girth</v>
      </c>
      <c r="D118" s="30" t="str">
        <f>IFERROR(__xludf.DUMMYFUNCTION("""COMPUTED_VALUE"""),"Plinko")</f>
        <v>Plinko</v>
      </c>
      <c r="E118" s="30">
        <f>IFERROR(__xludf.DUMMYFUNCTION("""COMPUTED_VALUE"""),23.0)</f>
        <v>23</v>
      </c>
      <c r="F118" s="30">
        <f>IFERROR(__xludf.DUMMYFUNCTION("""COMPUTED_VALUE"""),8.0)</f>
        <v>8</v>
      </c>
      <c r="G118" s="30">
        <f>IFERROR(__xludf.DUMMYFUNCTION("""COMPUTED_VALUE"""),15.0)</f>
        <v>15</v>
      </c>
      <c r="H118" s="42">
        <f>IFERROR(__xludf.DUMMYFUNCTION("""COMPUTED_VALUE"""),0.34782608695652173)</f>
        <v>0.347826087</v>
      </c>
      <c r="I118" s="42">
        <f>IFERROR(__xludf.DUMMYFUNCTION("""COMPUTED_VALUE"""),0.3018867924528302)</f>
        <v>0.3018867925</v>
      </c>
      <c r="J118" s="30">
        <f>IFERROR(__xludf.DUMMYFUNCTION("""COMPUTED_VALUE"""),335.4782608695652)</f>
        <v>335.4782609</v>
      </c>
      <c r="K118" s="30">
        <f>IFERROR(__xludf.DUMMYFUNCTION("""COMPUTED_VALUE"""),0.6956521739130435)</f>
        <v>0.6956521739</v>
      </c>
      <c r="L118" s="30">
        <f>IFERROR(__xludf.DUMMYFUNCTION("""COMPUTED_VALUE"""),0.5652173913043478)</f>
        <v>0.5652173913</v>
      </c>
      <c r="M118" s="30">
        <f>IFERROR(__xludf.DUMMYFUNCTION("""COMPUTED_VALUE"""),1.2173913043478262)</f>
        <v>1.217391304</v>
      </c>
      <c r="N118" s="30">
        <f>IFERROR(__xludf.DUMMYFUNCTION("""COMPUTED_VALUE"""),2.3043478260869565)</f>
        <v>2.304347826</v>
      </c>
      <c r="O118" s="30">
        <f>IFERROR(__xludf.DUMMYFUNCTION("""COMPUTED_VALUE"""),388.7391304347827)</f>
        <v>388.7391304</v>
      </c>
      <c r="P118" s="30">
        <f>IFERROR(__xludf.DUMMYFUNCTION("""COMPUTED_VALUE"""),0.9999999999999999)</f>
        <v>1</v>
      </c>
      <c r="Q118" s="30">
        <f>IFERROR(__xludf.DUMMYFUNCTION("""COMPUTED_VALUE"""),0.7971014492753624)</f>
        <v>0.7971014493</v>
      </c>
      <c r="R118" s="30">
        <f>IFERROR(__xludf.DUMMYFUNCTION("""COMPUTED_VALUE"""),1.2463768115942029)</f>
        <v>1.246376812</v>
      </c>
      <c r="S118" s="30">
        <f>IFERROR(__xludf.DUMMYFUNCTION("""COMPUTED_VALUE"""),3.144927536231884)</f>
        <v>3.144927536</v>
      </c>
      <c r="T118" s="30">
        <f>IFERROR(__xludf.DUMMYFUNCTION("""COMPUTED_VALUE"""),396.45921960823654)</f>
        <v>396.4592196</v>
      </c>
      <c r="U118" s="30">
        <f>IFERROR(__xludf.DUMMYFUNCTION("""COMPUTED_VALUE"""),0.9148597388091144)</f>
        <v>0.9148597388</v>
      </c>
      <c r="V118" s="30">
        <f>IFERROR(__xludf.DUMMYFUNCTION("""COMPUTED_VALUE"""),0.7096370294630288)</f>
        <v>0.7096370295</v>
      </c>
      <c r="W118" s="30">
        <f>IFERROR(__xludf.DUMMYFUNCTION("""COMPUTED_VALUE"""),1.4940886960030209)</f>
        <v>1.494088696</v>
      </c>
      <c r="X118" s="30">
        <f>IFERROR(__xludf.DUMMYFUNCTION("""COMPUTED_VALUE"""),2.9567578183247947)</f>
        <v>2.956757818</v>
      </c>
      <c r="Y118" s="30">
        <f>IFERROR(__xludf.DUMMYFUNCTION("""COMPUTED_VALUE"""),390.6364371536302)</f>
        <v>390.6364372</v>
      </c>
      <c r="Z118" s="30">
        <f>IFERROR(__xludf.DUMMYFUNCTION("""COMPUTED_VALUE"""),0.8867112509378493)</f>
        <v>0.8867112509</v>
      </c>
      <c r="AA118" s="30">
        <f>IFERROR(__xludf.DUMMYFUNCTION("""COMPUTED_VALUE"""),0.6854818681568727)</f>
        <v>0.6854818682</v>
      </c>
      <c r="AB118" s="30">
        <f>IFERROR(__xludf.DUMMYFUNCTION("""COMPUTED_VALUE"""),1.5157610169078146)</f>
        <v>1.515761017</v>
      </c>
      <c r="AC118" s="30">
        <f>IFERROR(__xludf.DUMMYFUNCTION("""COMPUTED_VALUE"""),2.8345909105877296)</f>
        <v>2.834590911</v>
      </c>
      <c r="AD118" s="30">
        <f>IFERROR(__xludf.DUMMYFUNCTION("""COMPUTED_VALUE"""),0.8587992029469276)</f>
        <v>0.8587992029</v>
      </c>
      <c r="AE118" s="30">
        <f>IFERROR(__xludf.DUMMYFUNCTION("""COMPUTED_VALUE"""),0.7845306723888661)</f>
        <v>0.7845306724</v>
      </c>
      <c r="AF118" s="30">
        <f>IFERROR(__xludf.DUMMYFUNCTION("""COMPUTED_VALUE"""),0.8245548388086578)</f>
        <v>0.8245548388</v>
      </c>
      <c r="AG118" s="30">
        <f>IFERROR(__xludf.DUMMYFUNCTION("""COMPUTED_VALUE"""),0.8031551747064526)</f>
        <v>0.8031551747</v>
      </c>
      <c r="AH118" s="30">
        <f>IFERROR(__xludf.DUMMYFUNCTION("""COMPUTED_VALUE"""),0.8129384093767409)</f>
        <v>0.8129384094</v>
      </c>
      <c r="AI118" s="30">
        <f>IFERROR(__xludf.DUMMYFUNCTION("""COMPUTED_VALUE"""),0.9805274066243622)</f>
        <v>0.9805274066</v>
      </c>
      <c r="AJ118" s="30">
        <f>IFERROR(__xludf.DUMMYFUNCTION("""COMPUTED_VALUE"""),1.0930637316073322)</f>
        <v>1.093063732</v>
      </c>
      <c r="AK118" s="30">
        <f>IFERROR(__xludf.DUMMYFUNCTION("""COMPUTED_VALUE"""),1.1232523334901459)</f>
        <v>1.123252333</v>
      </c>
      <c r="AL118" s="30">
        <f>IFERROR(__xludf.DUMMYFUNCTION("""COMPUTED_VALUE"""),0.8342053687498636)</f>
        <v>0.8342053687</v>
      </c>
      <c r="AM118" s="30">
        <f>IFERROR(__xludf.DUMMYFUNCTION("""COMPUTED_VALUE"""),1.063640558161676)</f>
        <v>1.063640558</v>
      </c>
      <c r="AN118" s="30">
        <f>IFERROR(__xludf.DUMMYFUNCTION("""COMPUTED_VALUE"""),0.8947454165083236)</f>
        <v>0.8947454165</v>
      </c>
      <c r="AO118" s="30">
        <f>IFERROR(__xludf.DUMMYFUNCTION("""COMPUTED_VALUE"""),0.8427248030848383)</f>
        <v>0.8427248031</v>
      </c>
      <c r="AP118" s="30">
        <f>IFERROR(__xludf.DUMMYFUNCTION("""COMPUTED_VALUE"""),0.871103802259393)</f>
        <v>0.8711038023</v>
      </c>
      <c r="AQ118" s="30">
        <f>IFERROR(__xludf.DUMMYFUNCTION("""COMPUTED_VALUE"""),0.8378831193583416)</f>
        <v>0.8378831194</v>
      </c>
      <c r="AR118" s="30">
        <f>IFERROR(__xludf.DUMMYFUNCTION("""COMPUTED_VALUE"""),0.8477328161589166)</f>
        <v>0.8477328162</v>
      </c>
      <c r="AS118" s="30">
        <f>IFERROR(__xludf.DUMMYFUNCTION("""COMPUTED_VALUE"""),49.0)</f>
        <v>49</v>
      </c>
      <c r="AT118" s="30">
        <f>IFERROR(__xludf.DUMMYFUNCTION("""COMPUTED_VALUE"""),0.36649743529950546)</f>
        <v>0.3664974353</v>
      </c>
      <c r="AU118" s="30">
        <f>IFERROR(__xludf.DUMMYFUNCTION("""COMPUTED_VALUE"""),2.4379812875254903)</f>
        <v>2.437981288</v>
      </c>
      <c r="AV118" s="32">
        <f>IFERROR(__xludf.DUMMYFUNCTION("""COMPUTED_VALUE"""),33.19553580346802)</f>
        <v>33.1955358</v>
      </c>
      <c r="AW118" s="32">
        <f>IFERROR(__xludf.DUMMYFUNCTION("""COMPUTED_VALUE"""),-3.9882742870778722)</f>
        <v>-3.988274287</v>
      </c>
      <c r="AX118" s="32">
        <f>IFERROR(__xludf.DUMMYFUNCTION("""COMPUTED_VALUE"""),31.057386881445197)</f>
        <v>31.05738688</v>
      </c>
      <c r="AY118" s="32">
        <f>IFERROR(__xludf.DUMMYFUNCTION("""COMPUTED_VALUE"""),-4.4580375989173096)</f>
        <v>-4.458037599</v>
      </c>
      <c r="AZ118" s="30">
        <f>IFERROR(__xludf.DUMMYFUNCTION("""COMPUTED_VALUE"""),0.4697633118394373)</f>
        <v>0.4697633118</v>
      </c>
      <c r="BA118" s="30">
        <f>IFERROR(__xludf.DUMMYFUNCTION("""COMPUTED_VALUE"""),450.0)</f>
        <v>450</v>
      </c>
    </row>
    <row r="119">
      <c r="A119" s="30" t="str">
        <f>IFERROR(__xludf.DUMMYFUNCTION("""COMPUTED_VALUE"""),"Master")</f>
        <v>Master</v>
      </c>
      <c r="B119" s="30" t="str">
        <f>IFERROR(__xludf.DUMMYFUNCTION("""COMPUTED_VALUE"""),"RSC001357")</f>
        <v>RSC001357</v>
      </c>
      <c r="C119" s="30" t="str">
        <f>IFERROR(__xludf.DUMMYFUNCTION("""COMPUTED_VALUE"""),"Isaac13003")</f>
        <v>Isaac13003</v>
      </c>
      <c r="D119" s="30" t="str">
        <f>IFERROR(__xludf.DUMMYFUNCTION("""COMPUTED_VALUE"""),"Andromeda")</f>
        <v>Andromeda</v>
      </c>
      <c r="E119" s="30">
        <f>IFERROR(__xludf.DUMMYFUNCTION("""COMPUTED_VALUE"""),8.0)</f>
        <v>8</v>
      </c>
      <c r="F119" s="30">
        <f>IFERROR(__xludf.DUMMYFUNCTION("""COMPUTED_VALUE"""),4.0)</f>
        <v>4</v>
      </c>
      <c r="G119" s="30">
        <f>IFERROR(__xludf.DUMMYFUNCTION("""COMPUTED_VALUE"""),4.0)</f>
        <v>4</v>
      </c>
      <c r="H119" s="42">
        <f>IFERROR(__xludf.DUMMYFUNCTION("""COMPUTED_VALUE"""),0.5)</f>
        <v>0.5</v>
      </c>
      <c r="I119" s="42">
        <f>IFERROR(__xludf.DUMMYFUNCTION("""COMPUTED_VALUE"""),0.4)</f>
        <v>0.4</v>
      </c>
      <c r="J119" s="30">
        <f>IFERROR(__xludf.DUMMYFUNCTION("""COMPUTED_VALUE"""),390.125)</f>
        <v>390.125</v>
      </c>
      <c r="K119" s="30">
        <f>IFERROR(__xludf.DUMMYFUNCTION("""COMPUTED_VALUE"""),1.0)</f>
        <v>1</v>
      </c>
      <c r="L119" s="30">
        <f>IFERROR(__xludf.DUMMYFUNCTION("""COMPUTED_VALUE"""),0.625)</f>
        <v>0.625</v>
      </c>
      <c r="M119" s="30">
        <f>IFERROR(__xludf.DUMMYFUNCTION("""COMPUTED_VALUE"""),1.375)</f>
        <v>1.375</v>
      </c>
      <c r="N119" s="30">
        <f>IFERROR(__xludf.DUMMYFUNCTION("""COMPUTED_VALUE"""),2.5)</f>
        <v>2.5</v>
      </c>
      <c r="O119" s="30">
        <f>IFERROR(__xludf.DUMMYFUNCTION("""COMPUTED_VALUE"""),336.08333333333337)</f>
        <v>336.0833333</v>
      </c>
      <c r="P119" s="30">
        <f>IFERROR(__xludf.DUMMYFUNCTION("""COMPUTED_VALUE"""),0.5416666666666667)</f>
        <v>0.5416666667</v>
      </c>
      <c r="Q119" s="30">
        <f>IFERROR(__xludf.DUMMYFUNCTION("""COMPUTED_VALUE"""),0.4583333333333333)</f>
        <v>0.4583333333</v>
      </c>
      <c r="R119" s="30">
        <f>IFERROR(__xludf.DUMMYFUNCTION("""COMPUTED_VALUE"""),1.375)</f>
        <v>1.375</v>
      </c>
      <c r="S119" s="30">
        <f>IFERROR(__xludf.DUMMYFUNCTION("""COMPUTED_VALUE"""),2.666666666666667)</f>
        <v>2.666666667</v>
      </c>
      <c r="T119" s="30">
        <f>IFERROR(__xludf.DUMMYFUNCTION("""COMPUTED_VALUE"""),342.88861273554255)</f>
        <v>342.8886127</v>
      </c>
      <c r="U119" s="30">
        <f>IFERROR(__xludf.DUMMYFUNCTION("""COMPUTED_VALUE"""),0.6473684210526315)</f>
        <v>0.6473684211</v>
      </c>
      <c r="V119" s="30">
        <f>IFERROR(__xludf.DUMMYFUNCTION("""COMPUTED_VALUE"""),0.5535180543952474)</f>
        <v>0.5535180544</v>
      </c>
      <c r="W119" s="30">
        <f>IFERROR(__xludf.DUMMYFUNCTION("""COMPUTED_VALUE"""),1.4294277360066836)</f>
        <v>1.429427736</v>
      </c>
      <c r="X119" s="30">
        <f>IFERROR(__xludf.DUMMYFUNCTION("""COMPUTED_VALUE"""),2.428202450570872)</f>
        <v>2.428202451</v>
      </c>
      <c r="Y119" s="30">
        <f>IFERROR(__xludf.DUMMYFUNCTION("""COMPUTED_VALUE"""),389.2890807265076)</f>
        <v>389.2890807</v>
      </c>
      <c r="Z119" s="30">
        <f>IFERROR(__xludf.DUMMYFUNCTION("""COMPUTED_VALUE"""),0.8825327206906155)</f>
        <v>0.8825327207</v>
      </c>
      <c r="AA119" s="30">
        <f>IFERROR(__xludf.DUMMYFUNCTION("""COMPUTED_VALUE"""),0.6916968346792908)</f>
        <v>0.6916968347</v>
      </c>
      <c r="AB119" s="30">
        <f>IFERROR(__xludf.DUMMYFUNCTION("""COMPUTED_VALUE"""),1.5479276895943561)</f>
        <v>1.54792769</v>
      </c>
      <c r="AC119" s="30">
        <f>IFERROR(__xludf.DUMMYFUNCTION("""COMPUTED_VALUE"""),2.8535513165630126)</f>
        <v>2.853551317</v>
      </c>
      <c r="AD119" s="30">
        <f>IFERROR(__xludf.DUMMYFUNCTION("""COMPUTED_VALUE"""),1.002147296995673)</f>
        <v>1.002147297</v>
      </c>
      <c r="AE119" s="30">
        <f>IFERROR(__xludf.DUMMYFUNCTION("""COMPUTED_VALUE"""),1.133102463574905)</f>
        <v>1.133102464</v>
      </c>
      <c r="AF119" s="30">
        <f>IFERROR(__xludf.DUMMYFUNCTION("""COMPUTED_VALUE"""),0.9035750471372113)</f>
        <v>0.9035750471</v>
      </c>
      <c r="AG119" s="30">
        <f>IFERROR(__xludf.DUMMYFUNCTION("""COMPUTED_VALUE"""),0.888284387728943)</f>
        <v>0.8882843877</v>
      </c>
      <c r="AH119" s="30">
        <f>IFERROR(__xludf.DUMMYFUNCTION("""COMPUTED_VALUE"""),0.8761012936718969)</f>
        <v>0.8761012937</v>
      </c>
      <c r="AI119" s="30">
        <f>IFERROR(__xludf.DUMMYFUNCTION("""COMPUTED_VALUE"""),0.9801530901014265)</f>
        <v>0.9801530901</v>
      </c>
      <c r="AJ119" s="30">
        <f>IFERROR(__xludf.DUMMYFUNCTION("""COMPUTED_VALUE"""),0.8367208672086723)</f>
        <v>0.8367208672</v>
      </c>
      <c r="AK119" s="30">
        <f>IFERROR(__xludf.DUMMYFUNCTION("""COMPUTED_VALUE"""),0.8280368267916586)</f>
        <v>0.8280368268</v>
      </c>
      <c r="AL119" s="30">
        <f>IFERROR(__xludf.DUMMYFUNCTION("""COMPUTED_VALUE"""),0.961923408483219)</f>
        <v>0.9619234085</v>
      </c>
      <c r="AM119" s="30">
        <f>IFERROR(__xludf.DUMMYFUNCTION("""COMPUTED_VALUE"""),1.0982060684601203)</f>
        <v>1.098206068</v>
      </c>
      <c r="AN119" s="30">
        <f>IFERROR(__xludf.DUMMYFUNCTION("""COMPUTED_VALUE"""),1.040492324928995)</f>
        <v>1.040492325</v>
      </c>
      <c r="AO119" s="30">
        <f>IFERROR(__xludf.DUMMYFUNCTION("""COMPUTED_VALUE"""),1.2114169044344552)</f>
        <v>1.211416904</v>
      </c>
      <c r="AP119" s="30">
        <f>IFERROR(__xludf.DUMMYFUNCTION("""COMPUTED_VALUE"""),0.9632397813445212)</f>
        <v>0.9632397813</v>
      </c>
      <c r="AQ119" s="30">
        <f>IFERROR(__xludf.DUMMYFUNCTION("""COMPUTED_VALUE"""),0.9463590589181268)</f>
        <v>0.9463590589</v>
      </c>
      <c r="AR119" s="30">
        <f>IFERROR(__xludf.DUMMYFUNCTION("""COMPUTED_VALUE"""),0.9197101307384473)</f>
        <v>0.9197101307</v>
      </c>
      <c r="AS119" s="30">
        <f>IFERROR(__xludf.DUMMYFUNCTION("""COMPUTED_VALUE"""),21.0)</f>
        <v>21</v>
      </c>
      <c r="AT119" s="30">
        <f>IFERROR(__xludf.DUMMYFUNCTION("""COMPUTED_VALUE"""),0.6740245507828125)</f>
        <v>0.6740245508</v>
      </c>
      <c r="AU119" s="30">
        <f>IFERROR(__xludf.DUMMYFUNCTION("""COMPUTED_VALUE"""),3.363552799288357)</f>
        <v>3.363552799</v>
      </c>
      <c r="AV119" s="32">
        <f>IFERROR(__xludf.DUMMYFUNCTION("""COMPUTED_VALUE"""),57.87346321774606)</f>
        <v>57.87346322</v>
      </c>
      <c r="AW119" s="32">
        <f>IFERROR(__xludf.DUMMYFUNCTION("""COMPUTED_VALUE"""),2.6567187521161424)</f>
        <v>2.656718752</v>
      </c>
      <c r="AX119" s="32">
        <f>IFERROR(__xludf.DUMMYFUNCTION("""COMPUTED_VALUE"""),53.02082477527099)</f>
        <v>53.02082478</v>
      </c>
      <c r="AY119" s="32">
        <f>IFERROR(__xludf.DUMMYFUNCTION("""COMPUTED_VALUE"""),2.212821863586845)</f>
        <v>2.212821864</v>
      </c>
      <c r="AZ119" s="30">
        <f>IFERROR(__xludf.DUMMYFUNCTION("""COMPUTED_VALUE"""),0.4438968885292973)</f>
        <v>0.4438968885</v>
      </c>
      <c r="BA119" s="30">
        <f>IFERROR(__xludf.DUMMYFUNCTION("""COMPUTED_VALUE"""),450.0)</f>
        <v>450</v>
      </c>
    </row>
    <row r="120">
      <c r="A120" s="30" t="str">
        <f>IFERROR(__xludf.DUMMYFUNCTION("""COMPUTED_VALUE"""),"Master")</f>
        <v>Master</v>
      </c>
      <c r="B120" s="30" t="str">
        <f>IFERROR(__xludf.DUMMYFUNCTION("""COMPUTED_VALUE"""),"RSC000021")</f>
        <v>RSC000021</v>
      </c>
      <c r="C120" s="30" t="str">
        <f>IFERROR(__xludf.DUMMYFUNCTION("""COMPUTED_VALUE"""),"TyTy")</f>
        <v>TyTy</v>
      </c>
      <c r="D120" s="30" t="str">
        <f>IFERROR(__xludf.DUMMYFUNCTION("""COMPUTED_VALUE"""),"Andromeda")</f>
        <v>Andromeda</v>
      </c>
      <c r="E120" s="30">
        <f>IFERROR(__xludf.DUMMYFUNCTION("""COMPUTED_VALUE"""),11.0)</f>
        <v>11</v>
      </c>
      <c r="F120" s="30">
        <f>IFERROR(__xludf.DUMMYFUNCTION("""COMPUTED_VALUE"""),4.0)</f>
        <v>4</v>
      </c>
      <c r="G120" s="30">
        <f>IFERROR(__xludf.DUMMYFUNCTION("""COMPUTED_VALUE"""),7.0)</f>
        <v>7</v>
      </c>
      <c r="H120" s="42">
        <f>IFERROR(__xludf.DUMMYFUNCTION("""COMPUTED_VALUE"""),0.36363636363636365)</f>
        <v>0.3636363636</v>
      </c>
      <c r="I120" s="42">
        <f>IFERROR(__xludf.DUMMYFUNCTION("""COMPUTED_VALUE"""),0.23529411764705885)</f>
        <v>0.2352941176</v>
      </c>
      <c r="J120" s="30">
        <f>IFERROR(__xludf.DUMMYFUNCTION("""COMPUTED_VALUE"""),290.72727272727275)</f>
        <v>290.7272727</v>
      </c>
      <c r="K120" s="30">
        <f>IFERROR(__xludf.DUMMYFUNCTION("""COMPUTED_VALUE"""),0.36363636363636365)</f>
        <v>0.3636363636</v>
      </c>
      <c r="L120" s="30">
        <f>IFERROR(__xludf.DUMMYFUNCTION("""COMPUTED_VALUE"""),0.9090909090909091)</f>
        <v>0.9090909091</v>
      </c>
      <c r="M120" s="30">
        <f>IFERROR(__xludf.DUMMYFUNCTION("""COMPUTED_VALUE"""),1.0909090909090908)</f>
        <v>1.090909091</v>
      </c>
      <c r="N120" s="30">
        <f>IFERROR(__xludf.DUMMYFUNCTION("""COMPUTED_VALUE"""),1.5454545454545454)</f>
        <v>1.545454545</v>
      </c>
      <c r="O120" s="30">
        <f>IFERROR(__xludf.DUMMYFUNCTION("""COMPUTED_VALUE"""),355.8484848484849)</f>
        <v>355.8484848</v>
      </c>
      <c r="P120" s="30">
        <f>IFERROR(__xludf.DUMMYFUNCTION("""COMPUTED_VALUE"""),0.9090909090909091)</f>
        <v>0.9090909091</v>
      </c>
      <c r="Q120" s="30">
        <f>IFERROR(__xludf.DUMMYFUNCTION("""COMPUTED_VALUE"""),0.6969696969696969)</f>
        <v>0.696969697</v>
      </c>
      <c r="R120" s="30">
        <f>IFERROR(__xludf.DUMMYFUNCTION("""COMPUTED_VALUE"""),0.9696969696969696)</f>
        <v>0.9696969697</v>
      </c>
      <c r="S120" s="30">
        <f>IFERROR(__xludf.DUMMYFUNCTION("""COMPUTED_VALUE"""),3.03030303030303)</f>
        <v>3.03030303</v>
      </c>
      <c r="T120" s="30">
        <f>IFERROR(__xludf.DUMMYFUNCTION("""COMPUTED_VALUE"""),385.51601855907376)</f>
        <v>385.5160186</v>
      </c>
      <c r="U120" s="30">
        <f>IFERROR(__xludf.DUMMYFUNCTION("""COMPUTED_VALUE"""),0.8714051008446632)</f>
        <v>0.8714051008</v>
      </c>
      <c r="V120" s="30">
        <f>IFERROR(__xludf.DUMMYFUNCTION("""COMPUTED_VALUE"""),0.6710041509705228)</f>
        <v>0.671004151</v>
      </c>
      <c r="W120" s="30">
        <f>IFERROR(__xludf.DUMMYFUNCTION("""COMPUTED_VALUE"""),1.4962784024572093)</f>
        <v>1.496278402</v>
      </c>
      <c r="X120" s="30">
        <f>IFERROR(__xludf.DUMMYFUNCTION("""COMPUTED_VALUE"""),2.8443950382315033)</f>
        <v>2.844395038</v>
      </c>
      <c r="Y120" s="30">
        <f>IFERROR(__xludf.DUMMYFUNCTION("""COMPUTED_VALUE"""),377.18580120660846)</f>
        <v>377.1858012</v>
      </c>
      <c r="Z120" s="30">
        <f>IFERROR(__xludf.DUMMYFUNCTION("""COMPUTED_VALUE"""),0.8487210755438426)</f>
        <v>0.8487210755</v>
      </c>
      <c r="AA120" s="30">
        <f>IFERROR(__xludf.DUMMYFUNCTION("""COMPUTED_VALUE"""),0.6545605509058727)</f>
        <v>0.6545605509</v>
      </c>
      <c r="AB120" s="30">
        <f>IFERROR(__xludf.DUMMYFUNCTION("""COMPUTED_VALUE"""),1.4376828306292766)</f>
        <v>1.437682831</v>
      </c>
      <c r="AC120" s="30">
        <f>IFERROR(__xludf.DUMMYFUNCTION("""COMPUTED_VALUE"""),2.828264733022941)</f>
        <v>2.828264733</v>
      </c>
      <c r="AD120" s="30">
        <f>IFERROR(__xludf.DUMMYFUNCTION("""COMPUTED_VALUE"""),0.7707800023151536)</f>
        <v>0.7707800023</v>
      </c>
      <c r="AE120" s="30">
        <f>IFERROR(__xludf.DUMMYFUNCTION("""COMPUTED_VALUE"""),0.4284521430121823)</f>
        <v>0.428452143</v>
      </c>
      <c r="AF120" s="30">
        <f>IFERROR(__xludf.DUMMYFUNCTION("""COMPUTED_VALUE"""),1.3888568564554975)</f>
        <v>1.388856856</v>
      </c>
      <c r="AG120" s="30">
        <f>IFERROR(__xludf.DUMMYFUNCTION("""COMPUTED_VALUE"""),0.7587967719080277)</f>
        <v>0.7587967719</v>
      </c>
      <c r="AH120" s="30">
        <f>IFERROR(__xludf.DUMMYFUNCTION("""COMPUTED_VALUE"""),0.5464320674828461)</f>
        <v>0.5464320675</v>
      </c>
      <c r="AI120" s="30">
        <f>IFERROR(__xludf.DUMMYFUNCTION("""COMPUTED_VALUE"""),0.9230446147958367)</f>
        <v>0.9230446148</v>
      </c>
      <c r="AJ120" s="30">
        <f>IFERROR(__xludf.DUMMYFUNCTION("""COMPUTED_VALUE"""),1.043247174258811)</f>
        <v>1.043247174</v>
      </c>
      <c r="AK120" s="30">
        <f>IFERROR(__xludf.DUMMYFUNCTION("""COMPUTED_VALUE"""),1.0386965504782917)</f>
        <v>1.03869655</v>
      </c>
      <c r="AL120" s="30">
        <f>IFERROR(__xludf.DUMMYFUNCTION("""COMPUTED_VALUE"""),0.6480725566208265)</f>
        <v>0.6480725566</v>
      </c>
      <c r="AM120" s="30">
        <f>IFERROR(__xludf.DUMMYFUNCTION("""COMPUTED_VALUE"""),1.0653594137145994)</f>
        <v>1.065359414</v>
      </c>
      <c r="AN120" s="30">
        <f>IFERROR(__xludf.DUMMYFUNCTION("""COMPUTED_VALUE"""),0.7753912103050715)</f>
        <v>0.7753912103</v>
      </c>
      <c r="AO120" s="30">
        <f>IFERROR(__xludf.DUMMYFUNCTION("""COMPUTED_VALUE"""),0.44051523797616554)</f>
        <v>0.440515238</v>
      </c>
      <c r="AP120" s="30">
        <f>IFERROR(__xludf.DUMMYFUNCTION("""COMPUTED_VALUE"""),1.4010760455920308)</f>
        <v>1.401076046</v>
      </c>
      <c r="AQ120" s="30">
        <f>IFERROR(__xludf.DUMMYFUNCTION("""COMPUTED_VALUE"""),0.7508303277366956)</f>
        <v>0.7508303277</v>
      </c>
      <c r="AR120" s="30">
        <f>IFERROR(__xludf.DUMMYFUNCTION("""COMPUTED_VALUE"""),0.568548080820131)</f>
        <v>0.5685480808</v>
      </c>
      <c r="AS120" s="30">
        <f>IFERROR(__xludf.DUMMYFUNCTION("""COMPUTED_VALUE"""),23.0)</f>
        <v>23</v>
      </c>
      <c r="AT120" s="30">
        <f>IFERROR(__xludf.DUMMYFUNCTION("""COMPUTED_VALUE"""),0.39717778100809875)</f>
        <v>0.397177781</v>
      </c>
      <c r="AU120" s="30">
        <f>IFERROR(__xludf.DUMMYFUNCTION("""COMPUTED_VALUE"""),2.249083646476023)</f>
        <v>2.249083646</v>
      </c>
      <c r="AV120" s="32">
        <f>IFERROR(__xludf.DUMMYFUNCTION("""COMPUTED_VALUE"""),28.159077555451628)</f>
        <v>28.15907756</v>
      </c>
      <c r="AW120" s="32">
        <f>IFERROR(__xludf.DUMMYFUNCTION("""COMPUTED_VALUE"""),-5.231274303472642)</f>
        <v>-5.231274303</v>
      </c>
      <c r="AX120" s="32">
        <f>IFERROR(__xludf.DUMMYFUNCTION("""COMPUTED_VALUE"""),29.659559817573385)</f>
        <v>29.65955982</v>
      </c>
      <c r="AY120" s="32">
        <f>IFERROR(__xludf.DUMMYFUNCTION("""COMPUTED_VALUE"""),-4.809264013065752)</f>
        <v>-4.809264013</v>
      </c>
      <c r="AZ120" s="30">
        <f>IFERROR(__xludf.DUMMYFUNCTION("""COMPUTED_VALUE"""),0.42201029040688987)</f>
        <v>0.4220102904</v>
      </c>
      <c r="BA120" s="30">
        <f>IFERROR(__xludf.DUMMYFUNCTION("""COMPUTED_VALUE"""),450.0)</f>
        <v>450</v>
      </c>
    </row>
    <row r="121">
      <c r="A121" s="30" t="str">
        <f>IFERROR(__xludf.DUMMYFUNCTION("""COMPUTED_VALUE"""),"Master")</f>
        <v>Master</v>
      </c>
      <c r="B121" s="30" t="str">
        <f>IFERROR(__xludf.DUMMYFUNCTION("""COMPUTED_VALUE"""),"RSC004575")</f>
        <v>RSC004575</v>
      </c>
      <c r="C121" s="30" t="str">
        <f>IFERROR(__xludf.DUMMYFUNCTION("""COMPUTED_VALUE"""),"Diamond ^.^")</f>
        <v>Diamond ^.^</v>
      </c>
      <c r="D121" s="30" t="str">
        <f>IFERROR(__xludf.DUMMYFUNCTION("""COMPUTED_VALUE"""),"Lemurs")</f>
        <v>Lemurs</v>
      </c>
      <c r="E121" s="30">
        <f>IFERROR(__xludf.DUMMYFUNCTION("""COMPUTED_VALUE"""),45.0)</f>
        <v>45</v>
      </c>
      <c r="F121" s="30">
        <f>IFERROR(__xludf.DUMMYFUNCTION("""COMPUTED_VALUE"""),28.0)</f>
        <v>28</v>
      </c>
      <c r="G121" s="30">
        <f>IFERROR(__xludf.DUMMYFUNCTION("""COMPUTED_VALUE"""),17.0)</f>
        <v>17</v>
      </c>
      <c r="H121" s="42">
        <f>IFERROR(__xludf.DUMMYFUNCTION("""COMPUTED_VALUE"""),0.6222222222222222)</f>
        <v>0.6222222222</v>
      </c>
      <c r="I121" s="42">
        <f>IFERROR(__xludf.DUMMYFUNCTION("""COMPUTED_VALUE"""),0.34246575342465757)</f>
        <v>0.3424657534</v>
      </c>
      <c r="J121" s="30">
        <f>IFERROR(__xludf.DUMMYFUNCTION("""COMPUTED_VALUE"""),425.46666666666664)</f>
        <v>425.4666667</v>
      </c>
      <c r="K121" s="30">
        <f>IFERROR(__xludf.DUMMYFUNCTION("""COMPUTED_VALUE"""),1.1111111111111112)</f>
        <v>1.111111111</v>
      </c>
      <c r="L121" s="30">
        <f>IFERROR(__xludf.DUMMYFUNCTION("""COMPUTED_VALUE"""),0.7333333333333333)</f>
        <v>0.7333333333</v>
      </c>
      <c r="M121" s="30">
        <f>IFERROR(__xludf.DUMMYFUNCTION("""COMPUTED_VALUE"""),1.3777777777777778)</f>
        <v>1.377777778</v>
      </c>
      <c r="N121" s="30">
        <f>IFERROR(__xludf.DUMMYFUNCTION("""COMPUTED_VALUE"""),3.2444444444444445)</f>
        <v>3.244444444</v>
      </c>
      <c r="O121" s="30">
        <f>IFERROR(__xludf.DUMMYFUNCTION("""COMPUTED_VALUE"""),395.6212121212122)</f>
        <v>395.6212121</v>
      </c>
      <c r="P121" s="30">
        <f>IFERROR(__xludf.DUMMYFUNCTION("""COMPUTED_VALUE"""),0.8863636363636362)</f>
        <v>0.8863636364</v>
      </c>
      <c r="Q121" s="30">
        <f>IFERROR(__xludf.DUMMYFUNCTION("""COMPUTED_VALUE"""),0.6742424242424243)</f>
        <v>0.6742424242</v>
      </c>
      <c r="R121" s="30">
        <f>IFERROR(__xludf.DUMMYFUNCTION("""COMPUTED_VALUE"""),1.5075757575757576)</f>
        <v>1.507575758</v>
      </c>
      <c r="S121" s="30">
        <f>IFERROR(__xludf.DUMMYFUNCTION("""COMPUTED_VALUE"""),2.6363636363636362)</f>
        <v>2.636363636</v>
      </c>
      <c r="T121" s="30">
        <f>IFERROR(__xludf.DUMMYFUNCTION("""COMPUTED_VALUE"""),383.7144310458201)</f>
        <v>383.714431</v>
      </c>
      <c r="U121" s="30">
        <f>IFERROR(__xludf.DUMMYFUNCTION("""COMPUTED_VALUE"""),0.8625580222310402)</f>
        <v>0.8625580222</v>
      </c>
      <c r="V121" s="30">
        <f>IFERROR(__xludf.DUMMYFUNCTION("""COMPUTED_VALUE"""),0.68132965303273)</f>
        <v>0.681329653</v>
      </c>
      <c r="W121" s="30">
        <f>IFERROR(__xludf.DUMMYFUNCTION("""COMPUTED_VALUE"""),1.4763399328223985)</f>
        <v>1.476339933</v>
      </c>
      <c r="X121" s="30">
        <f>IFERROR(__xludf.DUMMYFUNCTION("""COMPUTED_VALUE"""),2.7434850005069267)</f>
        <v>2.743485001</v>
      </c>
      <c r="Y121" s="30">
        <f>IFERROR(__xludf.DUMMYFUNCTION("""COMPUTED_VALUE"""),388.1898163155092)</f>
        <v>388.1898163</v>
      </c>
      <c r="Z121" s="30">
        <f>IFERROR(__xludf.DUMMYFUNCTION("""COMPUTED_VALUE"""),0.8932923704883968)</f>
        <v>0.8932923705</v>
      </c>
      <c r="AA121" s="30">
        <f>IFERROR(__xludf.DUMMYFUNCTION("""COMPUTED_VALUE"""),0.6750889653576526)</f>
        <v>0.6750889654</v>
      </c>
      <c r="AB121" s="30">
        <f>IFERROR(__xludf.DUMMYFUNCTION("""COMPUTED_VALUE"""),1.4925636194169336)</f>
        <v>1.492563619</v>
      </c>
      <c r="AC121" s="30">
        <f>IFERROR(__xludf.DUMMYFUNCTION("""COMPUTED_VALUE"""),2.843445982850176)</f>
        <v>2.843445983</v>
      </c>
      <c r="AD121" s="30">
        <f>IFERROR(__xludf.DUMMYFUNCTION("""COMPUTED_VALUE"""),1.096027378319631)</f>
        <v>1.096027378</v>
      </c>
      <c r="AE121" s="30">
        <f>IFERROR(__xludf.DUMMYFUNCTION("""COMPUTED_VALUE"""),1.243838129394998)</f>
        <v>1.243838129</v>
      </c>
      <c r="AF121" s="30">
        <f>IFERROR(__xludf.DUMMYFUNCTION("""COMPUTED_VALUE"""),1.08627658125744)</f>
        <v>1.086276581</v>
      </c>
      <c r="AG121" s="30">
        <f>IFERROR(__xludf.DUMMYFUNCTION("""COMPUTED_VALUE"""),0.9230948415559019)</f>
        <v>0.9230948416</v>
      </c>
      <c r="AH121" s="30">
        <f>IFERROR(__xludf.DUMMYFUNCTION("""COMPUTED_VALUE"""),1.141025524667193)</f>
        <v>1.141025525</v>
      </c>
      <c r="AI121" s="30">
        <f>IFERROR(__xludf.DUMMYFUNCTION("""COMPUTED_VALUE"""),1.0310303186745933)</f>
        <v>1.031030319</v>
      </c>
      <c r="AJ121" s="30">
        <f>IFERROR(__xludf.DUMMYFUNCTION("""COMPUTED_VALUE"""),1.0275988554033988)</f>
        <v>1.027598855</v>
      </c>
      <c r="AK121" s="30">
        <f>IFERROR(__xludf.DUMMYFUNCTION("""COMPUTED_VALUE"""),0.9895979446091051)</f>
        <v>0.9895979446</v>
      </c>
      <c r="AL121" s="30">
        <f>IFERROR(__xludf.DUMMYFUNCTION("""COMPUTED_VALUE"""),1.021157610153946)</f>
        <v>1.02115761</v>
      </c>
      <c r="AM121" s="30">
        <f>IFERROR(__xludf.DUMMYFUNCTION("""COMPUTED_VALUE"""),0.960954273807403)</f>
        <v>0.9609542738</v>
      </c>
      <c r="AN121" s="30">
        <f>IFERROR(__xludf.DUMMYFUNCTION("""COMPUTED_VALUE"""),1.1347511725210886)</f>
        <v>1.134751173</v>
      </c>
      <c r="AO121" s="30">
        <f>IFERROR(__xludf.DUMMYFUNCTION("""COMPUTED_VALUE"""),1.3460187827049501)</f>
        <v>1.346018783</v>
      </c>
      <c r="AP121" s="30">
        <f>IFERROR(__xludf.DUMMYFUNCTION("""COMPUTED_VALUE"""),1.1302013434442382)</f>
        <v>1.130201343</v>
      </c>
      <c r="AQ121" s="30">
        <f>IFERROR(__xludf.DUMMYFUNCTION("""COMPUTED_VALUE"""),0.9482708954007897)</f>
        <v>0.9482708954</v>
      </c>
      <c r="AR121" s="30">
        <f>IFERROR(__xludf.DUMMYFUNCTION("""COMPUTED_VALUE"""),1.1935793696694517)</f>
        <v>1.19357937</v>
      </c>
      <c r="AS121" s="30">
        <f>IFERROR(__xludf.DUMMYFUNCTION("""COMPUTED_VALUE"""),122.0)</f>
        <v>122</v>
      </c>
      <c r="AT121" s="30">
        <f>IFERROR(__xludf.DUMMYFUNCTION("""COMPUTED_VALUE"""),0.5078457896454275)</f>
        <v>0.5078457896</v>
      </c>
      <c r="AU121" s="30">
        <f>IFERROR(__xludf.DUMMYFUNCTION("""COMPUTED_VALUE"""),3.9406052736657022)</f>
        <v>3.940605274</v>
      </c>
      <c r="AV121" s="32">
        <f>IFERROR(__xludf.DUMMYFUNCTION("""COMPUTED_VALUE"""),73.25904811954464)</f>
        <v>73.25904812</v>
      </c>
      <c r="AW121" s="32">
        <f>IFERROR(__xludf.DUMMYFUNCTION("""COMPUTED_VALUE"""),5.678854119121005)</f>
        <v>5.678854119</v>
      </c>
      <c r="AX121" s="32">
        <f>IFERROR(__xludf.DUMMYFUNCTION("""COMPUTED_VALUE"""),71.92845909291384)</f>
        <v>71.92845909</v>
      </c>
      <c r="AY121" s="32">
        <f>IFERROR(__xludf.DUMMYFUNCTION("""COMPUTED_VALUE"""),5.2574647613622885)</f>
        <v>5.257464761</v>
      </c>
      <c r="AZ121" s="30">
        <f>IFERROR(__xludf.DUMMYFUNCTION("""COMPUTED_VALUE"""),0.42138935775871644)</f>
        <v>0.4213893578</v>
      </c>
      <c r="BA121" s="30">
        <f>IFERROR(__xludf.DUMMYFUNCTION("""COMPUTED_VALUE"""),450.0)</f>
        <v>450</v>
      </c>
    </row>
    <row r="122">
      <c r="A122" s="30" t="str">
        <f>IFERROR(__xludf.DUMMYFUNCTION("""COMPUTED_VALUE"""),"Master")</f>
        <v>Master</v>
      </c>
      <c r="B122" s="30" t="str">
        <f>IFERROR(__xludf.DUMMYFUNCTION("""COMPUTED_VALUE"""),"RSC007106")</f>
        <v>RSC007106</v>
      </c>
      <c r="C122" s="30" t="str">
        <f>IFERROR(__xludf.DUMMYFUNCTION("""COMPUTED_VALUE"""),"Sim")</f>
        <v>Sim</v>
      </c>
      <c r="D122" s="30"/>
      <c r="E122" s="30">
        <f>IFERROR(__xludf.DUMMYFUNCTION("""COMPUTED_VALUE"""),42.0)</f>
        <v>42</v>
      </c>
      <c r="F122" s="30">
        <f>IFERROR(__xludf.DUMMYFUNCTION("""COMPUTED_VALUE"""),22.0)</f>
        <v>22</v>
      </c>
      <c r="G122" s="30">
        <f>IFERROR(__xludf.DUMMYFUNCTION("""COMPUTED_VALUE"""),20.0)</f>
        <v>20</v>
      </c>
      <c r="H122" s="42">
        <f>IFERROR(__xludf.DUMMYFUNCTION("""COMPUTED_VALUE"""),0.5238095238095238)</f>
        <v>0.5238095238</v>
      </c>
      <c r="I122" s="42">
        <f>IFERROR(__xludf.DUMMYFUNCTION("""COMPUTED_VALUE"""),0.3247863247863248)</f>
        <v>0.3247863248</v>
      </c>
      <c r="J122" s="30">
        <f>IFERROR(__xludf.DUMMYFUNCTION("""COMPUTED_VALUE"""),390.07142857142856)</f>
        <v>390.0714286</v>
      </c>
      <c r="K122" s="30">
        <f>IFERROR(__xludf.DUMMYFUNCTION("""COMPUTED_VALUE"""),0.9047619047619048)</f>
        <v>0.9047619048</v>
      </c>
      <c r="L122" s="30">
        <f>IFERROR(__xludf.DUMMYFUNCTION("""COMPUTED_VALUE"""),0.5476190476190477)</f>
        <v>0.5476190476</v>
      </c>
      <c r="M122" s="30">
        <f>IFERROR(__xludf.DUMMYFUNCTION("""COMPUTED_VALUE"""),1.5)</f>
        <v>1.5</v>
      </c>
      <c r="N122" s="30">
        <f>IFERROR(__xludf.DUMMYFUNCTION("""COMPUTED_VALUE"""),2.7857142857142856)</f>
        <v>2.785714286</v>
      </c>
      <c r="O122" s="30">
        <f>IFERROR(__xludf.DUMMYFUNCTION("""COMPUTED_VALUE"""),357.88888888888897)</f>
        <v>357.8888889</v>
      </c>
      <c r="P122" s="30">
        <f>IFERROR(__xludf.DUMMYFUNCTION("""COMPUTED_VALUE"""),0.857142857142857)</f>
        <v>0.8571428571</v>
      </c>
      <c r="Q122" s="30">
        <f>IFERROR(__xludf.DUMMYFUNCTION("""COMPUTED_VALUE"""),0.5873015873015871)</f>
        <v>0.5873015873</v>
      </c>
      <c r="R122" s="30">
        <f>IFERROR(__xludf.DUMMYFUNCTION("""COMPUTED_VALUE"""),1.3174603174603174)</f>
        <v>1.317460317</v>
      </c>
      <c r="S122" s="30">
        <f>IFERROR(__xludf.DUMMYFUNCTION("""COMPUTED_VALUE"""),2.579365079365079)</f>
        <v>2.579365079</v>
      </c>
      <c r="T122" s="30">
        <f>IFERROR(__xludf.DUMMYFUNCTION("""COMPUTED_VALUE"""),383.07428061945427)</f>
        <v>383.0742806</v>
      </c>
      <c r="U122" s="30">
        <f>IFERROR(__xludf.DUMMYFUNCTION("""COMPUTED_VALUE"""),0.8629010890434278)</f>
        <v>0.862901089</v>
      </c>
      <c r="V122" s="30">
        <f>IFERROR(__xludf.DUMMYFUNCTION("""COMPUTED_VALUE"""),0.683953355725208)</f>
        <v>0.6839533557</v>
      </c>
      <c r="W122" s="30">
        <f>IFERROR(__xludf.DUMMYFUNCTION("""COMPUTED_VALUE"""),1.4852436679205812)</f>
        <v>1.485243668</v>
      </c>
      <c r="X122" s="30">
        <f>IFERROR(__xludf.DUMMYFUNCTION("""COMPUTED_VALUE"""),2.7775794340948994)</f>
        <v>2.777579434</v>
      </c>
      <c r="Y122" s="30">
        <f>IFERROR(__xludf.DUMMYFUNCTION("""COMPUTED_VALUE"""),383.2433346713545)</f>
        <v>383.2433347</v>
      </c>
      <c r="Z122" s="30">
        <f>IFERROR(__xludf.DUMMYFUNCTION("""COMPUTED_VALUE"""),0.8773342726594406)</f>
        <v>0.8773342727</v>
      </c>
      <c r="AA122" s="30">
        <f>IFERROR(__xludf.DUMMYFUNCTION("""COMPUTED_VALUE"""),0.6674082720692321)</f>
        <v>0.6674082721</v>
      </c>
      <c r="AB122" s="30">
        <f>IFERROR(__xludf.DUMMYFUNCTION("""COMPUTED_VALUE"""),1.4543677202278555)</f>
        <v>1.45436772</v>
      </c>
      <c r="AC122" s="30">
        <f>IFERROR(__xludf.DUMMYFUNCTION("""COMPUTED_VALUE"""),2.797511728313956)</f>
        <v>2.797511728</v>
      </c>
      <c r="AD122" s="30">
        <f>IFERROR(__xludf.DUMMYFUNCTION("""COMPUTED_VALUE"""),1.0178166018358268)</f>
        <v>1.017816602</v>
      </c>
      <c r="AE122" s="30">
        <f>IFERROR(__xludf.DUMMYFUNCTION("""COMPUTED_VALUE"""),1.0312624651255484)</f>
        <v>1.031262465</v>
      </c>
      <c r="AF122" s="30">
        <f>IFERROR(__xludf.DUMMYFUNCTION("""COMPUTED_VALUE"""),0.8205158229777554)</f>
        <v>0.820515823</v>
      </c>
      <c r="AG122" s="30">
        <f>IFERROR(__xludf.DUMMYFUNCTION("""COMPUTED_VALUE"""),1.0313760262535223)</f>
        <v>1.031376026</v>
      </c>
      <c r="AH122" s="30">
        <f>IFERROR(__xludf.DUMMYFUNCTION("""COMPUTED_VALUE"""),0.9957828800214609)</f>
        <v>0.99578288</v>
      </c>
      <c r="AI122" s="30">
        <f>IFERROR(__xludf.DUMMYFUNCTION("""COMPUTED_VALUE"""),0.9342545479956551)</f>
        <v>0.934254548</v>
      </c>
      <c r="AJ122" s="30">
        <f>IFERROR(__xludf.DUMMYFUNCTION("""COMPUTED_VALUE"""),0.9933268923012323)</f>
        <v>0.9933268923</v>
      </c>
      <c r="AK122" s="30">
        <f>IFERROR(__xludf.DUMMYFUNCTION("""COMPUTED_VALUE"""),0.8586866083562975)</f>
        <v>0.8586866084</v>
      </c>
      <c r="AL122" s="30">
        <f>IFERROR(__xludf.DUMMYFUNCTION("""COMPUTED_VALUE"""),0.8870331151149298)</f>
        <v>0.8870331151</v>
      </c>
      <c r="AM122" s="30">
        <f>IFERROR(__xludf.DUMMYFUNCTION("""COMPUTED_VALUE"""),0.9286377367657856)</f>
        <v>0.9286377368</v>
      </c>
      <c r="AN122" s="30">
        <f>IFERROR(__xludf.DUMMYFUNCTION("""COMPUTED_VALUE"""),1.0403494459536304)</f>
        <v>1.040349446</v>
      </c>
      <c r="AO122" s="30">
        <f>IFERROR(__xludf.DUMMYFUNCTION("""COMPUTED_VALUE"""),1.096043865916888)</f>
        <v>1.096043866</v>
      </c>
      <c r="AP122" s="30">
        <f>IFERROR(__xludf.DUMMYFUNCTION("""COMPUTED_VALUE"""),0.8439815227018662)</f>
        <v>0.8439815227</v>
      </c>
      <c r="AQ122" s="30">
        <f>IFERROR(__xludf.DUMMYFUNCTION("""COMPUTED_VALUE"""),1.0323917006379564)</f>
        <v>1.032391701</v>
      </c>
      <c r="AR122" s="30">
        <f>IFERROR(__xludf.DUMMYFUNCTION("""COMPUTED_VALUE"""),1.0248198599656984)</f>
        <v>1.02481986</v>
      </c>
      <c r="AS122" s="30">
        <f>IFERROR(__xludf.DUMMYFUNCTION("""COMPUTED_VALUE"""),111.0)</f>
        <v>111</v>
      </c>
      <c r="AT122" s="30">
        <f>IFERROR(__xludf.DUMMYFUNCTION("""COMPUTED_VALUE"""),0.5110011764544851)</f>
        <v>0.5110011765</v>
      </c>
      <c r="AU122" s="30">
        <f>IFERROR(__xludf.DUMMYFUNCTION("""COMPUTED_VALUE"""),3.2063461751951654)</f>
        <v>3.206346175</v>
      </c>
      <c r="AV122" s="32">
        <f>IFERROR(__xludf.DUMMYFUNCTION("""COMPUTED_VALUE"""),53.68196249725994)</f>
        <v>53.6819625</v>
      </c>
      <c r="AW122" s="32">
        <f>IFERROR(__xludf.DUMMYFUNCTION("""COMPUTED_VALUE"""),2.265230897750018)</f>
        <v>2.265230898</v>
      </c>
      <c r="AX122" s="32">
        <f>IFERROR(__xludf.DUMMYFUNCTION("""COMPUTED_VALUE"""),58.091355783587936)</f>
        <v>58.09135578</v>
      </c>
      <c r="AY122" s="32">
        <f>IFERROR(__xludf.DUMMYFUNCTION("""COMPUTED_VALUE"""),2.6802472103422277)</f>
        <v>2.68024721</v>
      </c>
      <c r="AZ122" s="30">
        <f>IFERROR(__xludf.DUMMYFUNCTION("""COMPUTED_VALUE"""),0.4150163125922095)</f>
        <v>0.4150163126</v>
      </c>
      <c r="BA122" s="30">
        <f>IFERROR(__xludf.DUMMYFUNCTION("""COMPUTED_VALUE"""),450.0)</f>
        <v>450</v>
      </c>
    </row>
    <row r="123">
      <c r="A123" s="30" t="str">
        <f>IFERROR(__xludf.DUMMYFUNCTION("""COMPUTED_VALUE"""),"Master")</f>
        <v>Master</v>
      </c>
      <c r="B123" s="30" t="str">
        <f>IFERROR(__xludf.DUMMYFUNCTION("""COMPUTED_VALUE"""),"RSC006985")</f>
        <v>RSC006985</v>
      </c>
      <c r="C123" s="30" t="str">
        <f>IFERROR(__xludf.DUMMYFUNCTION("""COMPUTED_VALUE"""),"not so jucy skep")</f>
        <v>not so jucy skep</v>
      </c>
      <c r="D123" s="30"/>
      <c r="E123" s="30">
        <f>IFERROR(__xludf.DUMMYFUNCTION("""COMPUTED_VALUE"""),7.0)</f>
        <v>7</v>
      </c>
      <c r="F123" s="30">
        <f>IFERROR(__xludf.DUMMYFUNCTION("""COMPUTED_VALUE"""),3.0)</f>
        <v>3</v>
      </c>
      <c r="G123" s="30">
        <f>IFERROR(__xludf.DUMMYFUNCTION("""COMPUTED_VALUE"""),4.0)</f>
        <v>4</v>
      </c>
      <c r="H123" s="42">
        <f>IFERROR(__xludf.DUMMYFUNCTION("""COMPUTED_VALUE"""),0.42857142857142855)</f>
        <v>0.4285714286</v>
      </c>
      <c r="I123" s="42">
        <f>IFERROR(__xludf.DUMMYFUNCTION("""COMPUTED_VALUE"""),0.5)</f>
        <v>0.5</v>
      </c>
      <c r="J123" s="30">
        <f>IFERROR(__xludf.DUMMYFUNCTION("""COMPUTED_VALUE"""),412.57142857142856)</f>
        <v>412.5714286</v>
      </c>
      <c r="K123" s="30">
        <f>IFERROR(__xludf.DUMMYFUNCTION("""COMPUTED_VALUE"""),1.2857142857142858)</f>
        <v>1.285714286</v>
      </c>
      <c r="L123" s="30">
        <f>IFERROR(__xludf.DUMMYFUNCTION("""COMPUTED_VALUE"""),0.5714285714285714)</f>
        <v>0.5714285714</v>
      </c>
      <c r="M123" s="30">
        <f>IFERROR(__xludf.DUMMYFUNCTION("""COMPUTED_VALUE"""),1.5714285714285714)</f>
        <v>1.571428571</v>
      </c>
      <c r="N123" s="30">
        <f>IFERROR(__xludf.DUMMYFUNCTION("""COMPUTED_VALUE"""),2.5714285714285716)</f>
        <v>2.571428571</v>
      </c>
      <c r="O123" s="30">
        <f>IFERROR(__xludf.DUMMYFUNCTION("""COMPUTED_VALUE"""),356.42857142857144)</f>
        <v>356.4285714</v>
      </c>
      <c r="P123" s="30">
        <f>IFERROR(__xludf.DUMMYFUNCTION("""COMPUTED_VALUE"""),0.8095238095238094)</f>
        <v>0.8095238095</v>
      </c>
      <c r="Q123" s="30">
        <f>IFERROR(__xludf.DUMMYFUNCTION("""COMPUTED_VALUE"""),0.6666666666666666)</f>
        <v>0.6666666667</v>
      </c>
      <c r="R123" s="30">
        <f>IFERROR(__xludf.DUMMYFUNCTION("""COMPUTED_VALUE"""),1.1904761904761905)</f>
        <v>1.19047619</v>
      </c>
      <c r="S123" s="30">
        <f>IFERROR(__xludf.DUMMYFUNCTION("""COMPUTED_VALUE"""),2.952380952380952)</f>
        <v>2.952380952</v>
      </c>
      <c r="T123" s="30">
        <f>IFERROR(__xludf.DUMMYFUNCTION("""COMPUTED_VALUE"""),375.0123650149945)</f>
        <v>375.012365</v>
      </c>
      <c r="U123" s="30">
        <f>IFERROR(__xludf.DUMMYFUNCTION("""COMPUTED_VALUE"""),0.8805859102435016)</f>
        <v>0.8805859102</v>
      </c>
      <c r="V123" s="30">
        <f>IFERROR(__xludf.DUMMYFUNCTION("""COMPUTED_VALUE"""),0.6757070873360229)</f>
        <v>0.6757070873</v>
      </c>
      <c r="W123" s="30">
        <f>IFERROR(__xludf.DUMMYFUNCTION("""COMPUTED_VALUE"""),1.4394175878418292)</f>
        <v>1.439417588</v>
      </c>
      <c r="X123" s="30">
        <f>IFERROR(__xludf.DUMMYFUNCTION("""COMPUTED_VALUE"""),2.7796946115939565)</f>
        <v>2.779694612</v>
      </c>
      <c r="Y123" s="30">
        <f>IFERROR(__xludf.DUMMYFUNCTION("""COMPUTED_VALUE"""),407.97003343615506)</f>
        <v>407.9700334</v>
      </c>
      <c r="Z123" s="30">
        <f>IFERROR(__xludf.DUMMYFUNCTION("""COMPUTED_VALUE"""),1.0078246028329858)</f>
        <v>1.007824603</v>
      </c>
      <c r="AA123" s="30">
        <f>IFERROR(__xludf.DUMMYFUNCTION("""COMPUTED_VALUE"""),0.7895865648259628)</f>
        <v>0.7895865648</v>
      </c>
      <c r="AB123" s="30">
        <f>IFERROR(__xludf.DUMMYFUNCTION("""COMPUTED_VALUE"""),1.504878454916512)</f>
        <v>1.504878455</v>
      </c>
      <c r="AC123" s="30">
        <f>IFERROR(__xludf.DUMMYFUNCTION("""COMPUTED_VALUE"""),2.932845811045414)</f>
        <v>2.932845811</v>
      </c>
      <c r="AD123" s="30">
        <f>IFERROR(__xludf.DUMMYFUNCTION("""COMPUTED_VALUE"""),1.0112787576492273)</f>
        <v>1.011278758</v>
      </c>
      <c r="AE123" s="30">
        <f>IFERROR(__xludf.DUMMYFUNCTION("""COMPUTED_VALUE"""),1.2757321880217596)</f>
        <v>1.275732188</v>
      </c>
      <c r="AF123" s="30">
        <f>IFERROR(__xludf.DUMMYFUNCTION("""COMPUTED_VALUE"""),0.7237060467898453)</f>
        <v>0.7237060468</v>
      </c>
      <c r="AG123" s="30">
        <f>IFERROR(__xludf.DUMMYFUNCTION("""COMPUTED_VALUE"""),1.0442229180002125)</f>
        <v>1.044222918</v>
      </c>
      <c r="AH123" s="30">
        <f>IFERROR(__xludf.DUMMYFUNCTION("""COMPUTED_VALUE"""),0.8767690963310427)</f>
        <v>0.8767690963</v>
      </c>
      <c r="AI123" s="30">
        <f>IFERROR(__xludf.DUMMYFUNCTION("""COMPUTED_VALUE"""),0.9504448511032964)</f>
        <v>0.9504448511</v>
      </c>
      <c r="AJ123" s="30">
        <f>IFERROR(__xludf.DUMMYFUNCTION("""COMPUTED_VALUE"""),0.919301342557205)</f>
        <v>0.9193013426</v>
      </c>
      <c r="AK123" s="30">
        <f>IFERROR(__xludf.DUMMYFUNCTION("""COMPUTED_VALUE"""),0.9866207993984522)</f>
        <v>0.9866207994</v>
      </c>
      <c r="AL123" s="30">
        <f>IFERROR(__xludf.DUMMYFUNCTION("""COMPUTED_VALUE"""),0.8270540811309068)</f>
        <v>0.8270540811</v>
      </c>
      <c r="AM123" s="30">
        <f>IFERROR(__xludf.DUMMYFUNCTION("""COMPUTED_VALUE"""),1.0621242132379327)</f>
        <v>1.062124213</v>
      </c>
      <c r="AN123" s="30">
        <f>IFERROR(__xludf.DUMMYFUNCTION("""COMPUTED_VALUE"""),1.1003586156066965)</f>
        <v>1.100358616</v>
      </c>
      <c r="AO123" s="30">
        <f>IFERROR(__xludf.DUMMYFUNCTION("""COMPUTED_VALUE"""),1.5575360199871569)</f>
        <v>1.55753602</v>
      </c>
      <c r="AP123" s="30">
        <f>IFERROR(__xludf.DUMMYFUNCTION("""COMPUTED_VALUE"""),0.8806763715149908)</f>
        <v>0.8806763715</v>
      </c>
      <c r="AQ123" s="30">
        <f>IFERROR(__xludf.DUMMYFUNCTION("""COMPUTED_VALUE"""),1.0815532101921448)</f>
        <v>1.08155321</v>
      </c>
      <c r="AR123" s="30">
        <f>IFERROR(__xludf.DUMMYFUNCTION("""COMPUTED_VALUE"""),0.9459875630452601)</f>
        <v>0.945987563</v>
      </c>
      <c r="AS123" s="30">
        <f>IFERROR(__xludf.DUMMYFUNCTION("""COMPUTED_VALUE"""),16.0)</f>
        <v>16</v>
      </c>
      <c r="AT123" s="30">
        <f>IFERROR(__xludf.DUMMYFUNCTION("""COMPUTED_VALUE"""),0.4763660854857283)</f>
        <v>0.4763660855</v>
      </c>
      <c r="AU123" s="30">
        <f>IFERROR(__xludf.DUMMYFUNCTION("""COMPUTED_VALUE"""),3.544673436394544)</f>
        <v>3.544673436</v>
      </c>
      <c r="AV123" s="32">
        <f>IFERROR(__xludf.DUMMYFUNCTION("""COMPUTED_VALUE"""),62.70256813176961)</f>
        <v>62.70256813</v>
      </c>
      <c r="AW123" s="32">
        <f>IFERROR(__xludf.DUMMYFUNCTION("""COMPUTED_VALUE"""),3.271280928070639)</f>
        <v>3.271280928</v>
      </c>
      <c r="AX123" s="32">
        <f>IFERROR(__xludf.DUMMYFUNCTION("""COMPUTED_VALUE"""),59.71975237057364)</f>
        <v>59.71975237</v>
      </c>
      <c r="AY123" s="32">
        <f>IFERROR(__xludf.DUMMYFUNCTION("""COMPUTED_VALUE"""),2.867665433033051)</f>
        <v>2.867665433</v>
      </c>
      <c r="AZ123" s="30">
        <f>IFERROR(__xludf.DUMMYFUNCTION("""COMPUTED_VALUE"""),0.4036154950375881)</f>
        <v>0.403615495</v>
      </c>
      <c r="BA123" s="30">
        <f>IFERROR(__xludf.DUMMYFUNCTION("""COMPUTED_VALUE"""),450.0)</f>
        <v>450</v>
      </c>
    </row>
    <row r="124">
      <c r="A124" s="30" t="str">
        <f>IFERROR(__xludf.DUMMYFUNCTION("""COMPUTED_VALUE"""),"Master")</f>
        <v>Master</v>
      </c>
      <c r="B124" s="30" t="str">
        <f>IFERROR(__xludf.DUMMYFUNCTION("""COMPUTED_VALUE"""),"RSC000381")</f>
        <v>RSC000381</v>
      </c>
      <c r="C124" s="30" t="str">
        <f>IFERROR(__xludf.DUMMYFUNCTION("""COMPUTED_VALUE"""),"Noriko")</f>
        <v>Noriko</v>
      </c>
      <c r="D124" s="30" t="str">
        <f>IFERROR(__xludf.DUMMYFUNCTION("""COMPUTED_VALUE"""),"Andromeda")</f>
        <v>Andromeda</v>
      </c>
      <c r="E124" s="30">
        <f>IFERROR(__xludf.DUMMYFUNCTION("""COMPUTED_VALUE"""),28.0)</f>
        <v>28</v>
      </c>
      <c r="F124" s="30">
        <f>IFERROR(__xludf.DUMMYFUNCTION("""COMPUTED_VALUE"""),16.0)</f>
        <v>16</v>
      </c>
      <c r="G124" s="30">
        <f>IFERROR(__xludf.DUMMYFUNCTION("""COMPUTED_VALUE"""),12.0)</f>
        <v>12</v>
      </c>
      <c r="H124" s="42">
        <f>IFERROR(__xludf.DUMMYFUNCTION("""COMPUTED_VALUE"""),0.5714285714285714)</f>
        <v>0.5714285714</v>
      </c>
      <c r="I124" s="42">
        <f>IFERROR(__xludf.DUMMYFUNCTION("""COMPUTED_VALUE"""),0.4177215189873418)</f>
        <v>0.417721519</v>
      </c>
      <c r="J124" s="30">
        <f>IFERROR(__xludf.DUMMYFUNCTION("""COMPUTED_VALUE"""),443.0357142857143)</f>
        <v>443.0357143</v>
      </c>
      <c r="K124" s="30">
        <f>IFERROR(__xludf.DUMMYFUNCTION("""COMPUTED_VALUE"""),1.1785714285714286)</f>
        <v>1.178571429</v>
      </c>
      <c r="L124" s="30">
        <f>IFERROR(__xludf.DUMMYFUNCTION("""COMPUTED_VALUE"""),0.6428571428571429)</f>
        <v>0.6428571429</v>
      </c>
      <c r="M124" s="30">
        <f>IFERROR(__xludf.DUMMYFUNCTION("""COMPUTED_VALUE"""),1.5357142857142858)</f>
        <v>1.535714286</v>
      </c>
      <c r="N124" s="30">
        <f>IFERROR(__xludf.DUMMYFUNCTION("""COMPUTED_VALUE"""),2.8214285714285716)</f>
        <v>2.821428571</v>
      </c>
      <c r="O124" s="30">
        <f>IFERROR(__xludf.DUMMYFUNCTION("""COMPUTED_VALUE"""),364.2976190476191)</f>
        <v>364.297619</v>
      </c>
      <c r="P124" s="30">
        <f>IFERROR(__xludf.DUMMYFUNCTION("""COMPUTED_VALUE"""),0.7857142857142856)</f>
        <v>0.7857142857</v>
      </c>
      <c r="Q124" s="30">
        <f>IFERROR(__xludf.DUMMYFUNCTION("""COMPUTED_VALUE"""),0.6071428571428571)</f>
        <v>0.6071428571</v>
      </c>
      <c r="R124" s="30">
        <f>IFERROR(__xludf.DUMMYFUNCTION("""COMPUTED_VALUE"""),1.4166666666666665)</f>
        <v>1.416666667</v>
      </c>
      <c r="S124" s="30">
        <f>IFERROR(__xludf.DUMMYFUNCTION("""COMPUTED_VALUE"""),2.678571428571428)</f>
        <v>2.678571429</v>
      </c>
      <c r="T124" s="30">
        <f>IFERROR(__xludf.DUMMYFUNCTION("""COMPUTED_VALUE"""),376.63253135797686)</f>
        <v>376.6325314</v>
      </c>
      <c r="U124" s="30">
        <f>IFERROR(__xludf.DUMMYFUNCTION("""COMPUTED_VALUE"""),0.8282678666200791)</f>
        <v>0.8282678666</v>
      </c>
      <c r="V124" s="30">
        <f>IFERROR(__xludf.DUMMYFUNCTION("""COMPUTED_VALUE"""),0.621300459468934)</f>
        <v>0.6213004595</v>
      </c>
      <c r="W124" s="30">
        <f>IFERROR(__xludf.DUMMYFUNCTION("""COMPUTED_VALUE"""),1.5040818196815564)</f>
        <v>1.50408182</v>
      </c>
      <c r="X124" s="30">
        <f>IFERROR(__xludf.DUMMYFUNCTION("""COMPUTED_VALUE"""),2.68835614548447)</f>
        <v>2.688356145</v>
      </c>
      <c r="Y124" s="30">
        <f>IFERROR(__xludf.DUMMYFUNCTION("""COMPUTED_VALUE"""),399.4521161865451)</f>
        <v>399.4521162</v>
      </c>
      <c r="Z124" s="30">
        <f>IFERROR(__xludf.DUMMYFUNCTION("""COMPUTED_VALUE"""),0.9811014835692591)</f>
        <v>0.9811014836</v>
      </c>
      <c r="AA124" s="30">
        <f>IFERROR(__xludf.DUMMYFUNCTION("""COMPUTED_VALUE"""),0.7655362379043025)</f>
        <v>0.7655362379</v>
      </c>
      <c r="AB124" s="30">
        <f>IFERROR(__xludf.DUMMYFUNCTION("""COMPUTED_VALUE"""),1.4370587782263544)</f>
        <v>1.437058778</v>
      </c>
      <c r="AC124" s="30">
        <f>IFERROR(__xludf.DUMMYFUNCTION("""COMPUTED_VALUE"""),3.0178171025044445)</f>
        <v>3.017817103</v>
      </c>
      <c r="AD124" s="30">
        <f>IFERROR(__xludf.DUMMYFUNCTION("""COMPUTED_VALUE"""),1.109108442121297)</f>
        <v>1.109108442</v>
      </c>
      <c r="AE124" s="30">
        <f>IFERROR(__xludf.DUMMYFUNCTION("""COMPUTED_VALUE"""),1.2012737197010155)</f>
        <v>1.20127372</v>
      </c>
      <c r="AF124" s="30">
        <f>IFERROR(__xludf.DUMMYFUNCTION("""COMPUTED_VALUE"""),0.8397475011986365)</f>
        <v>0.8397475012</v>
      </c>
      <c r="AG124" s="30">
        <f>IFERROR(__xludf.DUMMYFUNCTION("""COMPUTED_VALUE"""),1.0686509897734968)</f>
        <v>1.06865099</v>
      </c>
      <c r="AH124" s="30">
        <f>IFERROR(__xludf.DUMMYFUNCTION("""COMPUTED_VALUE"""),0.9349236469920948)</f>
        <v>0.934923647</v>
      </c>
      <c r="AI124" s="30">
        <f>IFERROR(__xludf.DUMMYFUNCTION("""COMPUTED_VALUE"""),0.9672494771869989)</f>
        <v>0.9672494772</v>
      </c>
      <c r="AJ124" s="30">
        <f>IFERROR(__xludf.DUMMYFUNCTION("""COMPUTED_VALUE"""),0.9486234072082956)</f>
        <v>0.9486234072</v>
      </c>
      <c r="AK124" s="30">
        <f>IFERROR(__xludf.DUMMYFUNCTION("""COMPUTED_VALUE"""),0.9772129537161806)</f>
        <v>0.9772129537</v>
      </c>
      <c r="AL124" s="30">
        <f>IFERROR(__xludf.DUMMYFUNCTION("""COMPUTED_VALUE"""),0.9418813844625837)</f>
        <v>0.9418813845</v>
      </c>
      <c r="AM124" s="30">
        <f>IFERROR(__xludf.DUMMYFUNCTION("""COMPUTED_VALUE"""),0.9963603345749122)</f>
        <v>0.9963603346</v>
      </c>
      <c r="AN124" s="30">
        <f>IFERROR(__xludf.DUMMYFUNCTION("""COMPUTED_VALUE"""),1.181609126263943)</f>
        <v>1.181609126</v>
      </c>
      <c r="AO124" s="30">
        <f>IFERROR(__xludf.DUMMYFUNCTION("""COMPUTED_VALUE"""),1.4277413516548936)</f>
        <v>1.427741352</v>
      </c>
      <c r="AP124" s="30">
        <f>IFERROR(__xludf.DUMMYFUNCTION("""COMPUTED_VALUE"""),0.9907609179543647)</f>
        <v>0.990760918</v>
      </c>
      <c r="AQ124" s="30">
        <f>IFERROR(__xludf.DUMMYFUNCTION("""COMPUTED_VALUE"""),1.0569724554150508)</f>
        <v>1.056972455</v>
      </c>
      <c r="AR124" s="30">
        <f>IFERROR(__xludf.DUMMYFUNCTION("""COMPUTED_VALUE"""),1.0379585761191048)</f>
        <v>1.037958576</v>
      </c>
      <c r="AS124" s="30">
        <f>IFERROR(__xludf.DUMMYFUNCTION("""COMPUTED_VALUE"""),85.0)</f>
        <v>85</v>
      </c>
      <c r="AT124" s="30">
        <f>IFERROR(__xludf.DUMMYFUNCTION("""COMPUTED_VALUE"""),0.6011700162038152)</f>
        <v>0.6011700162</v>
      </c>
      <c r="AU124" s="30">
        <f>IFERROR(__xludf.DUMMYFUNCTION("""COMPUTED_VALUE"""),3.7015750863012253)</f>
        <v>3.701575086</v>
      </c>
      <c r="AV124" s="32">
        <f>IFERROR(__xludf.DUMMYFUNCTION("""COMPUTED_VALUE"""),66.88593751854214)</f>
        <v>66.88593752</v>
      </c>
      <c r="AW124" s="32">
        <f>IFERROR(__xludf.DUMMYFUNCTION("""COMPUTED_VALUE"""),4.004823034547806)</f>
        <v>4.004823035</v>
      </c>
      <c r="AX124" s="32">
        <f>IFERROR(__xludf.DUMMYFUNCTION("""COMPUTED_VALUE"""),68.62712909420806)</f>
        <v>68.62712909</v>
      </c>
      <c r="AY124" s="32">
        <f>IFERROR(__xludf.DUMMYFUNCTION("""COMPUTED_VALUE"""),4.383847615232878)</f>
        <v>4.383847615</v>
      </c>
      <c r="AZ124" s="30">
        <f>IFERROR(__xludf.DUMMYFUNCTION("""COMPUTED_VALUE"""),0.37902458068507183)</f>
        <v>0.3790245807</v>
      </c>
      <c r="BA124" s="30">
        <f>IFERROR(__xludf.DUMMYFUNCTION("""COMPUTED_VALUE"""),450.0)</f>
        <v>450</v>
      </c>
    </row>
    <row r="125">
      <c r="A125" s="30" t="str">
        <f>IFERROR(__xludf.DUMMYFUNCTION("""COMPUTED_VALUE"""),"Master")</f>
        <v>Master</v>
      </c>
      <c r="B125" s="30" t="str">
        <f>IFERROR(__xludf.DUMMYFUNCTION("""COMPUTED_VALUE"""),"RSC005499")</f>
        <v>RSC005499</v>
      </c>
      <c r="C125" s="30" t="str">
        <f>IFERROR(__xludf.DUMMYFUNCTION("""COMPUTED_VALUE"""),"R0cket")</f>
        <v>R0cket</v>
      </c>
      <c r="D125" s="30"/>
      <c r="E125" s="30">
        <f>IFERROR(__xludf.DUMMYFUNCTION("""COMPUTED_VALUE"""),33.0)</f>
        <v>33</v>
      </c>
      <c r="F125" s="30">
        <f>IFERROR(__xludf.DUMMYFUNCTION("""COMPUTED_VALUE"""),17.0)</f>
        <v>17</v>
      </c>
      <c r="G125" s="30">
        <f>IFERROR(__xludf.DUMMYFUNCTION("""COMPUTED_VALUE"""),16.0)</f>
        <v>16</v>
      </c>
      <c r="H125" s="42">
        <f>IFERROR(__xludf.DUMMYFUNCTION("""COMPUTED_VALUE"""),0.5151515151515151)</f>
        <v>0.5151515152</v>
      </c>
      <c r="I125" s="42">
        <f>IFERROR(__xludf.DUMMYFUNCTION("""COMPUTED_VALUE"""),0.3421052631578947)</f>
        <v>0.3421052632</v>
      </c>
      <c r="J125" s="30">
        <f>IFERROR(__xludf.DUMMYFUNCTION("""COMPUTED_VALUE"""),348.8181818181818)</f>
        <v>348.8181818</v>
      </c>
      <c r="K125" s="30">
        <f>IFERROR(__xludf.DUMMYFUNCTION("""COMPUTED_VALUE"""),0.7878787878787878)</f>
        <v>0.7878787879</v>
      </c>
      <c r="L125" s="30">
        <f>IFERROR(__xludf.DUMMYFUNCTION("""COMPUTED_VALUE"""),0.7272727272727273)</f>
        <v>0.7272727273</v>
      </c>
      <c r="M125" s="30">
        <f>IFERROR(__xludf.DUMMYFUNCTION("""COMPUTED_VALUE"""),1.3636363636363635)</f>
        <v>1.363636364</v>
      </c>
      <c r="N125" s="30">
        <f>IFERROR(__xludf.DUMMYFUNCTION("""COMPUTED_VALUE"""),2.303030303030303)</f>
        <v>2.303030303</v>
      </c>
      <c r="O125" s="30">
        <f>IFERROR(__xludf.DUMMYFUNCTION("""COMPUTED_VALUE"""),356.67676767676767)</f>
        <v>356.6767677</v>
      </c>
      <c r="P125" s="30">
        <f>IFERROR(__xludf.DUMMYFUNCTION("""COMPUTED_VALUE"""),0.9090909090909091)</f>
        <v>0.9090909091</v>
      </c>
      <c r="Q125" s="30">
        <f>IFERROR(__xludf.DUMMYFUNCTION("""COMPUTED_VALUE"""),0.6464646464646464)</f>
        <v>0.6464646465</v>
      </c>
      <c r="R125" s="30">
        <f>IFERROR(__xludf.DUMMYFUNCTION("""COMPUTED_VALUE"""),1.2525252525252526)</f>
        <v>1.252525253</v>
      </c>
      <c r="S125" s="30">
        <f>IFERROR(__xludf.DUMMYFUNCTION("""COMPUTED_VALUE"""),2.696969696969697)</f>
        <v>2.696969697</v>
      </c>
      <c r="T125" s="30">
        <f>IFERROR(__xludf.DUMMYFUNCTION("""COMPUTED_VALUE"""),382.6865128130055)</f>
        <v>382.6865128</v>
      </c>
      <c r="U125" s="30">
        <f>IFERROR(__xludf.DUMMYFUNCTION("""COMPUTED_VALUE"""),0.8573202424846194)</f>
        <v>0.8573202425</v>
      </c>
      <c r="V125" s="30">
        <f>IFERROR(__xludf.DUMMYFUNCTION("""COMPUTED_VALUE"""),0.6807516289901147)</f>
        <v>0.680751629</v>
      </c>
      <c r="W125" s="30">
        <f>IFERROR(__xludf.DUMMYFUNCTION("""COMPUTED_VALUE"""),1.4960907374920158)</f>
        <v>1.496090737</v>
      </c>
      <c r="X125" s="30">
        <f>IFERROR(__xludf.DUMMYFUNCTION("""COMPUTED_VALUE"""),2.809583692340027)</f>
        <v>2.809583692</v>
      </c>
      <c r="Y125" s="30">
        <f>IFERROR(__xludf.DUMMYFUNCTION("""COMPUTED_VALUE"""),378.32394739519367)</f>
        <v>378.3239474</v>
      </c>
      <c r="Z125" s="30">
        <f>IFERROR(__xludf.DUMMYFUNCTION("""COMPUTED_VALUE"""),0.8473301551658962)</f>
        <v>0.8473301552</v>
      </c>
      <c r="AA125" s="30">
        <f>IFERROR(__xludf.DUMMYFUNCTION("""COMPUTED_VALUE"""),0.6362740732296822)</f>
        <v>0.6362740732</v>
      </c>
      <c r="AB125" s="30">
        <f>IFERROR(__xludf.DUMMYFUNCTION("""COMPUTED_VALUE"""),1.4605917950650298)</f>
        <v>1.460591795</v>
      </c>
      <c r="AC125" s="30">
        <f>IFERROR(__xludf.DUMMYFUNCTION("""COMPUTED_VALUE"""),2.7664083689256773)</f>
        <v>2.766408369</v>
      </c>
      <c r="AD125" s="30">
        <f>IFERROR(__xludf.DUMMYFUNCTION("""COMPUTED_VALUE"""),0.9220092574626517)</f>
        <v>0.9220092575</v>
      </c>
      <c r="AE125" s="30">
        <f>IFERROR(__xludf.DUMMYFUNCTION("""COMPUTED_VALUE"""),0.9298368328748213)</f>
        <v>0.9298368329</v>
      </c>
      <c r="AF125" s="30">
        <f>IFERROR(__xludf.DUMMYFUNCTION("""COMPUTED_VALUE"""),1.143018013575726)</f>
        <v>1.143018014</v>
      </c>
      <c r="AG125" s="30">
        <f>IFERROR(__xludf.DUMMYFUNCTION("""COMPUTED_VALUE"""),0.9336190770369558)</f>
        <v>0.933619077</v>
      </c>
      <c r="AH125" s="30">
        <f>IFERROR(__xludf.DUMMYFUNCTION("""COMPUTED_VALUE"""),0.8324983140232022)</f>
        <v>0.832498314</v>
      </c>
      <c r="AI125" s="30">
        <f>IFERROR(__xludf.DUMMYFUNCTION("""COMPUTED_VALUE"""),0.9320338076587843)</f>
        <v>0.9320338077</v>
      </c>
      <c r="AJ125" s="30">
        <f>IFERROR(__xludf.DUMMYFUNCTION("""COMPUTED_VALUE"""),1.060386614057137)</f>
        <v>1.060386614</v>
      </c>
      <c r="AK125" s="30">
        <f>IFERROR(__xludf.DUMMYFUNCTION("""COMPUTED_VALUE"""),0.9496336386644678)</f>
        <v>0.9496336387</v>
      </c>
      <c r="AL125" s="30">
        <f>IFERROR(__xludf.DUMMYFUNCTION("""COMPUTED_VALUE"""),0.8371987213990334)</f>
        <v>0.8371987214</v>
      </c>
      <c r="AM125" s="30">
        <f>IFERROR(__xludf.DUMMYFUNCTION("""COMPUTED_VALUE"""),0.9599179068139675)</f>
        <v>0.9599179068</v>
      </c>
      <c r="AN125" s="30">
        <f>IFERROR(__xludf.DUMMYFUNCTION("""COMPUTED_VALUE"""),0.9303239755911692)</f>
        <v>0.9303239756</v>
      </c>
      <c r="AO125" s="30">
        <f>IFERROR(__xludf.DUMMYFUNCTION("""COMPUTED_VALUE"""),0.9544496822816919)</f>
        <v>0.9544496823</v>
      </c>
      <c r="AP125" s="30">
        <f>IFERROR(__xludf.DUMMYFUNCTION("""COMPUTED_VALUE"""),1.1208608364736248)</f>
        <v>1.120860836</v>
      </c>
      <c r="AQ125" s="30">
        <f>IFERROR(__xludf.DUMMYFUNCTION("""COMPUTED_VALUE"""),0.9385379096708695)</f>
        <v>0.9385379097</v>
      </c>
      <c r="AR125" s="30">
        <f>IFERROR(__xludf.DUMMYFUNCTION("""COMPUTED_VALUE"""),0.8472481204378424)</f>
        <v>0.8472481204</v>
      </c>
      <c r="AS125" s="30">
        <f>IFERROR(__xludf.DUMMYFUNCTION("""COMPUTED_VALUE"""),89.0)</f>
        <v>89</v>
      </c>
      <c r="AT125" s="30">
        <f>IFERROR(__xludf.DUMMYFUNCTION("""COMPUTED_VALUE"""),0.49546199588456763)</f>
        <v>0.4954619959</v>
      </c>
      <c r="AU125" s="30">
        <f>IFERROR(__xludf.DUMMYFUNCTION("""COMPUTED_VALUE"""),3.055809981209685)</f>
        <v>3.055809981</v>
      </c>
      <c r="AV125" s="32">
        <f>IFERROR(__xludf.DUMMYFUNCTION("""COMPUTED_VALUE"""),49.668311232951005)</f>
        <v>49.66831123</v>
      </c>
      <c r="AW125" s="32">
        <f>IFERROR(__xludf.DUMMYFUNCTION("""COMPUTED_VALUE"""),-2.0213978368678878)</f>
        <v>-2.021397837</v>
      </c>
      <c r="AX125" s="32">
        <f>IFERROR(__xludf.DUMMYFUNCTION("""COMPUTED_VALUE"""),45.045579137039184)</f>
        <v>45.04557914</v>
      </c>
      <c r="AY125" s="32">
        <f>IFERROR(__xludf.DUMMYFUNCTION("""COMPUTED_VALUE"""),-2.3727418146471684)</f>
        <v>-2.372741815</v>
      </c>
      <c r="AZ125" s="30">
        <f>IFERROR(__xludf.DUMMYFUNCTION("""COMPUTED_VALUE"""),0.3513439777792806)</f>
        <v>0.3513439778</v>
      </c>
      <c r="BA125" s="30">
        <f>IFERROR(__xludf.DUMMYFUNCTION("""COMPUTED_VALUE"""),450.0)</f>
        <v>450</v>
      </c>
    </row>
    <row r="126">
      <c r="A126" s="30" t="str">
        <f>IFERROR(__xludf.DUMMYFUNCTION("""COMPUTED_VALUE"""),"Master")</f>
        <v>Master</v>
      </c>
      <c r="B126" s="30" t="str">
        <f>IFERROR(__xludf.DUMMYFUNCTION("""COMPUTED_VALUE"""),"RSC005234")</f>
        <v>RSC005234</v>
      </c>
      <c r="C126" s="30" t="str">
        <f>IFERROR(__xludf.DUMMYFUNCTION("""COMPUTED_VALUE"""),"Hirsch")</f>
        <v>Hirsch</v>
      </c>
      <c r="D126" s="30" t="str">
        <f>IFERROR(__xludf.DUMMYFUNCTION("""COMPUTED_VALUE"""),"The OG")</f>
        <v>The OG</v>
      </c>
      <c r="E126" s="30">
        <f>IFERROR(__xludf.DUMMYFUNCTION("""COMPUTED_VALUE"""),13.0)</f>
        <v>13</v>
      </c>
      <c r="F126" s="30">
        <f>IFERROR(__xludf.DUMMYFUNCTION("""COMPUTED_VALUE"""),6.0)</f>
        <v>6</v>
      </c>
      <c r="G126" s="30">
        <f>IFERROR(__xludf.DUMMYFUNCTION("""COMPUTED_VALUE"""),7.0)</f>
        <v>7</v>
      </c>
      <c r="H126" s="42">
        <f>IFERROR(__xludf.DUMMYFUNCTION("""COMPUTED_VALUE"""),0.46153846153846156)</f>
        <v>0.4615384615</v>
      </c>
      <c r="I126" s="42">
        <f>IFERROR(__xludf.DUMMYFUNCTION("""COMPUTED_VALUE"""),0.34375)</f>
        <v>0.34375</v>
      </c>
      <c r="J126" s="30">
        <f>IFERROR(__xludf.DUMMYFUNCTION("""COMPUTED_VALUE"""),359.0)</f>
        <v>359</v>
      </c>
      <c r="K126" s="30">
        <f>IFERROR(__xludf.DUMMYFUNCTION("""COMPUTED_VALUE"""),0.8461538461538461)</f>
        <v>0.8461538462</v>
      </c>
      <c r="L126" s="30">
        <f>IFERROR(__xludf.DUMMYFUNCTION("""COMPUTED_VALUE"""),0.9230769230769231)</f>
        <v>0.9230769231</v>
      </c>
      <c r="M126" s="30">
        <f>IFERROR(__xludf.DUMMYFUNCTION("""COMPUTED_VALUE"""),1.3076923076923077)</f>
        <v>1.307692308</v>
      </c>
      <c r="N126" s="30">
        <f>IFERROR(__xludf.DUMMYFUNCTION("""COMPUTED_VALUE"""),2.4615384615384617)</f>
        <v>2.461538462</v>
      </c>
      <c r="O126" s="30">
        <f>IFERROR(__xludf.DUMMYFUNCTION("""COMPUTED_VALUE"""),374.43589743589746)</f>
        <v>374.4358974</v>
      </c>
      <c r="P126" s="30">
        <f>IFERROR(__xludf.DUMMYFUNCTION("""COMPUTED_VALUE"""),0.9487179487179488)</f>
        <v>0.9487179487</v>
      </c>
      <c r="Q126" s="30">
        <f>IFERROR(__xludf.DUMMYFUNCTION("""COMPUTED_VALUE"""),0.7179487179487178)</f>
        <v>0.7179487179</v>
      </c>
      <c r="R126" s="30">
        <f>IFERROR(__xludf.DUMMYFUNCTION("""COMPUTED_VALUE"""),1.307692307692308)</f>
        <v>1.307692308</v>
      </c>
      <c r="S126" s="30">
        <f>IFERROR(__xludf.DUMMYFUNCTION("""COMPUTED_VALUE"""),2.717948717948718)</f>
        <v>2.717948718</v>
      </c>
      <c r="T126" s="30">
        <f>IFERROR(__xludf.DUMMYFUNCTION("""COMPUTED_VALUE"""),391.6709299258588)</f>
        <v>391.6709299</v>
      </c>
      <c r="U126" s="30">
        <f>IFERROR(__xludf.DUMMYFUNCTION("""COMPUTED_VALUE"""),0.8974849503458456)</f>
        <v>0.8974849503</v>
      </c>
      <c r="V126" s="30">
        <f>IFERROR(__xludf.DUMMYFUNCTION("""COMPUTED_VALUE"""),0.6840169342120797)</f>
        <v>0.6840169342</v>
      </c>
      <c r="W126" s="30">
        <f>IFERROR(__xludf.DUMMYFUNCTION("""COMPUTED_VALUE"""),1.4320861250678951)</f>
        <v>1.432086125</v>
      </c>
      <c r="X126" s="30">
        <f>IFERROR(__xludf.DUMMYFUNCTION("""COMPUTED_VALUE"""),2.837457787152307)</f>
        <v>2.837457787</v>
      </c>
      <c r="Y126" s="30">
        <f>IFERROR(__xludf.DUMMYFUNCTION("""COMPUTED_VALUE"""),384.3982593638854)</f>
        <v>384.3982594</v>
      </c>
      <c r="Z126" s="30">
        <f>IFERROR(__xludf.DUMMYFUNCTION("""COMPUTED_VALUE"""),0.8884961943981715)</f>
        <v>0.8884961944</v>
      </c>
      <c r="AA126" s="30">
        <f>IFERROR(__xludf.DUMMYFUNCTION("""COMPUTED_VALUE"""),0.6710849165901258)</f>
        <v>0.6710849166</v>
      </c>
      <c r="AB126" s="30">
        <f>IFERROR(__xludf.DUMMYFUNCTION("""COMPUTED_VALUE"""),1.4548562652704615)</f>
        <v>1.454856265</v>
      </c>
      <c r="AC126" s="30">
        <f>IFERROR(__xludf.DUMMYFUNCTION("""COMPUTED_VALUE"""),2.72810580726918)</f>
        <v>2.728105807</v>
      </c>
      <c r="AD126" s="30">
        <f>IFERROR(__xludf.DUMMYFUNCTION("""COMPUTED_VALUE"""),0.9339272258778818)</f>
        <v>0.9339272259</v>
      </c>
      <c r="AE126" s="30">
        <f>IFERROR(__xludf.DUMMYFUNCTION("""COMPUTED_VALUE"""),0.9523438046090831)</f>
        <v>0.9523438046</v>
      </c>
      <c r="AF126" s="30">
        <f>IFERROR(__xludf.DUMMYFUNCTION("""COMPUTED_VALUE"""),1.3754994342105067)</f>
        <v>1.375499434</v>
      </c>
      <c r="AG126" s="30">
        <f>IFERROR(__xludf.DUMMYFUNCTION("""COMPUTED_VALUE"""),0.8988463939076513)</f>
        <v>0.8988463939</v>
      </c>
      <c r="AH126" s="30">
        <f>IFERROR(__xludf.DUMMYFUNCTION("""COMPUTED_VALUE"""),0.9022884871178984)</f>
        <v>0.9022884871</v>
      </c>
      <c r="AI126" s="30">
        <f>IFERROR(__xludf.DUMMYFUNCTION("""COMPUTED_VALUE"""),0.9559961407061182)</f>
        <v>0.9559961407</v>
      </c>
      <c r="AJ126" s="30">
        <f>IFERROR(__xludf.DUMMYFUNCTION("""COMPUTED_VALUE"""),1.0570850779752468)</f>
        <v>1.057085078</v>
      </c>
      <c r="AK126" s="30">
        <f>IFERROR(__xludf.DUMMYFUNCTION("""COMPUTED_VALUE"""),1.049606642817585)</f>
        <v>1.049606643</v>
      </c>
      <c r="AL126" s="30">
        <f>IFERROR(__xludf.DUMMYFUNCTION("""COMPUTED_VALUE"""),0.9131380332522322)</f>
        <v>0.9131380333</v>
      </c>
      <c r="AM126" s="30">
        <f>IFERROR(__xludf.DUMMYFUNCTION("""COMPUTED_VALUE"""),0.9578816397746205)</f>
        <v>0.9578816398</v>
      </c>
      <c r="AN126" s="30">
        <f>IFERROR(__xludf.DUMMYFUNCTION("""COMPUTED_VALUE"""),0.9574796402422536)</f>
        <v>0.9574796402</v>
      </c>
      <c r="AO126" s="30">
        <f>IFERROR(__xludf.DUMMYFUNCTION("""COMPUTED_VALUE"""),1.0250450729830005)</f>
        <v>1.025045073</v>
      </c>
      <c r="AP126" s="30">
        <f>IFERROR(__xludf.DUMMYFUNCTION("""COMPUTED_VALUE"""),1.4226310616780622)</f>
        <v>1.422631062</v>
      </c>
      <c r="AQ126" s="30">
        <f>IFERROR(__xludf.DUMMYFUNCTION("""COMPUTED_VALUE"""),0.9000337902997569)</f>
        <v>0.9000337903</v>
      </c>
      <c r="AR126" s="30">
        <f>IFERROR(__xludf.DUMMYFUNCTION("""COMPUTED_VALUE"""),0.905560744111702)</f>
        <v>0.9055607441</v>
      </c>
      <c r="AS126" s="30">
        <f>IFERROR(__xludf.DUMMYFUNCTION("""COMPUTED_VALUE"""),34.0)</f>
        <v>34</v>
      </c>
      <c r="AT126" s="30">
        <f>IFERROR(__xludf.DUMMYFUNCTION("""COMPUTED_VALUE"""),0.465642936063648)</f>
        <v>0.4656429361</v>
      </c>
      <c r="AU126" s="30">
        <f>IFERROR(__xludf.DUMMYFUNCTION("""COMPUTED_VALUE"""),3.4442820371632425)</f>
        <v>3.444282037</v>
      </c>
      <c r="AV126" s="32">
        <f>IFERROR(__xludf.DUMMYFUNCTION("""COMPUTED_VALUE"""),60.02589579282818)</f>
        <v>60.02589579</v>
      </c>
      <c r="AW126" s="32">
        <f>IFERROR(__xludf.DUMMYFUNCTION("""COMPUTED_VALUE"""),2.9053140297276947)</f>
        <v>2.90531403</v>
      </c>
      <c r="AX126" s="32">
        <f>IFERROR(__xludf.DUMMYFUNCTION("""COMPUTED_VALUE"""),57.067322981133906)</f>
        <v>57.06732298</v>
      </c>
      <c r="AY126" s="32">
        <f>IFERROR(__xludf.DUMMYFUNCTION("""COMPUTED_VALUE"""),2.5726376371974715)</f>
        <v>2.572637637</v>
      </c>
      <c r="AZ126" s="30">
        <f>IFERROR(__xludf.DUMMYFUNCTION("""COMPUTED_VALUE"""),0.3326763925302232)</f>
        <v>0.3326763925</v>
      </c>
      <c r="BA126" s="30">
        <f>IFERROR(__xludf.DUMMYFUNCTION("""COMPUTED_VALUE"""),450.0)</f>
        <v>450</v>
      </c>
    </row>
    <row r="127">
      <c r="A127" s="30" t="str">
        <f>IFERROR(__xludf.DUMMYFUNCTION("""COMPUTED_VALUE"""),"Master")</f>
        <v>Master</v>
      </c>
      <c r="B127" s="30" t="str">
        <f>IFERROR(__xludf.DUMMYFUNCTION("""COMPUTED_VALUE"""),"RSC007354")</f>
        <v>RSC007354</v>
      </c>
      <c r="C127" s="30" t="str">
        <f>IFERROR(__xludf.DUMMYFUNCTION("""COMPUTED_VALUE"""),"Fanatic")</f>
        <v>Fanatic</v>
      </c>
      <c r="D127" s="30" t="str">
        <f>IFERROR(__xludf.DUMMYFUNCTION("""COMPUTED_VALUE"""),"Desolation")</f>
        <v>Desolation</v>
      </c>
      <c r="E127" s="30">
        <f>IFERROR(__xludf.DUMMYFUNCTION("""COMPUTED_VALUE"""),4.0)</f>
        <v>4</v>
      </c>
      <c r="F127" s="30">
        <f>IFERROR(__xludf.DUMMYFUNCTION("""COMPUTED_VALUE"""),3.0)</f>
        <v>3</v>
      </c>
      <c r="G127" s="30">
        <f>IFERROR(__xludf.DUMMYFUNCTION("""COMPUTED_VALUE"""),1.0)</f>
        <v>1</v>
      </c>
      <c r="H127" s="42">
        <f>IFERROR(__xludf.DUMMYFUNCTION("""COMPUTED_VALUE"""),0.75)</f>
        <v>0.75</v>
      </c>
      <c r="I127" s="42">
        <f>IFERROR(__xludf.DUMMYFUNCTION("""COMPUTED_VALUE"""),0.25)</f>
        <v>0.25</v>
      </c>
      <c r="J127" s="30">
        <f>IFERROR(__xludf.DUMMYFUNCTION("""COMPUTED_VALUE"""),350.75)</f>
        <v>350.75</v>
      </c>
      <c r="K127" s="30">
        <f>IFERROR(__xludf.DUMMYFUNCTION("""COMPUTED_VALUE"""),0.5)</f>
        <v>0.5</v>
      </c>
      <c r="L127" s="30">
        <f>IFERROR(__xludf.DUMMYFUNCTION("""COMPUTED_VALUE"""),0.75)</f>
        <v>0.75</v>
      </c>
      <c r="M127" s="30">
        <f>IFERROR(__xludf.DUMMYFUNCTION("""COMPUTED_VALUE"""),2.0)</f>
        <v>2</v>
      </c>
      <c r="N127" s="30">
        <f>IFERROR(__xludf.DUMMYFUNCTION("""COMPUTED_VALUE"""),2.0)</f>
        <v>2</v>
      </c>
      <c r="O127" s="30">
        <f>IFERROR(__xludf.DUMMYFUNCTION("""COMPUTED_VALUE"""),358.5)</f>
        <v>358.5</v>
      </c>
      <c r="P127" s="30">
        <f>IFERROR(__xludf.DUMMYFUNCTION("""COMPUTED_VALUE"""),0.8333333333333333)</f>
        <v>0.8333333333</v>
      </c>
      <c r="Q127" s="30">
        <f>IFERROR(__xludf.DUMMYFUNCTION("""COMPUTED_VALUE"""),0.6666666666666666)</f>
        <v>0.6666666667</v>
      </c>
      <c r="R127" s="30">
        <f>IFERROR(__xludf.DUMMYFUNCTION("""COMPUTED_VALUE"""),1.0833333333333333)</f>
        <v>1.083333333</v>
      </c>
      <c r="S127" s="30">
        <f>IFERROR(__xludf.DUMMYFUNCTION("""COMPUTED_VALUE"""),3.0)</f>
        <v>3</v>
      </c>
      <c r="T127" s="30">
        <f>IFERROR(__xludf.DUMMYFUNCTION("""COMPUTED_VALUE"""),384.62987012987014)</f>
        <v>384.6298701</v>
      </c>
      <c r="U127" s="30">
        <f>IFERROR(__xludf.DUMMYFUNCTION("""COMPUTED_VALUE"""),0.8975468975468975)</f>
        <v>0.8975468975</v>
      </c>
      <c r="V127" s="30">
        <f>IFERROR(__xludf.DUMMYFUNCTION("""COMPUTED_VALUE"""),0.5916305916305916)</f>
        <v>0.5916305916</v>
      </c>
      <c r="W127" s="30">
        <f>IFERROR(__xludf.DUMMYFUNCTION("""COMPUTED_VALUE"""),1.4545454545454544)</f>
        <v>1.454545455</v>
      </c>
      <c r="X127" s="30">
        <f>IFERROR(__xludf.DUMMYFUNCTION("""COMPUTED_VALUE"""),2.9184704184704184)</f>
        <v>2.918470418</v>
      </c>
      <c r="Y127" s="30">
        <f>IFERROR(__xludf.DUMMYFUNCTION("""COMPUTED_VALUE"""),369.2811447811448)</f>
        <v>369.2811448</v>
      </c>
      <c r="Z127" s="30">
        <f>IFERROR(__xludf.DUMMYFUNCTION("""COMPUTED_VALUE"""),0.9776334776334776)</f>
        <v>0.9776334776</v>
      </c>
      <c r="AA127" s="30">
        <f>IFERROR(__xludf.DUMMYFUNCTION("""COMPUTED_VALUE"""),0.689033189033189)</f>
        <v>0.689033189</v>
      </c>
      <c r="AB127" s="30">
        <f>IFERROR(__xludf.DUMMYFUNCTION("""COMPUTED_VALUE"""),1.3011063011063009)</f>
        <v>1.301106301</v>
      </c>
      <c r="AC127" s="30">
        <f>IFERROR(__xludf.DUMMYFUNCTION("""COMPUTED_VALUE"""),2.5735930735930737)</f>
        <v>2.573593074</v>
      </c>
      <c r="AD127" s="30">
        <f>IFERROR(__xludf.DUMMYFUNCTION("""COMPUTED_VALUE"""),0.9498183293595255)</f>
        <v>0.9498183294</v>
      </c>
      <c r="AE127" s="30">
        <f>IFERROR(__xludf.DUMMYFUNCTION("""COMPUTED_VALUE"""),0.5114391143911439)</f>
        <v>0.5114391144</v>
      </c>
      <c r="AF127" s="30">
        <f>IFERROR(__xludf.DUMMYFUNCTION("""COMPUTED_VALUE"""),1.0884816753926703)</f>
        <v>1.088481675</v>
      </c>
      <c r="AG127" s="30">
        <f>IFERROR(__xludf.DUMMYFUNCTION("""COMPUTED_VALUE"""),1.5371534195933458)</f>
        <v>1.53715342</v>
      </c>
      <c r="AH127" s="30">
        <f>IFERROR(__xludf.DUMMYFUNCTION("""COMPUTED_VALUE"""),0.7771236333052985)</f>
        <v>0.7771236333</v>
      </c>
      <c r="AI127" s="30">
        <f>IFERROR(__xludf.DUMMYFUNCTION("""COMPUTED_VALUE"""),0.9320648962571539)</f>
        <v>0.9320648963</v>
      </c>
      <c r="AJ127" s="30">
        <f>IFERROR(__xludf.DUMMYFUNCTION("""COMPUTED_VALUE"""),0.9284565916398713)</f>
        <v>0.9284565916</v>
      </c>
      <c r="AK127" s="30">
        <f>IFERROR(__xludf.DUMMYFUNCTION("""COMPUTED_VALUE"""),1.1268292682926828)</f>
        <v>1.126829268</v>
      </c>
      <c r="AL127" s="30">
        <f>IFERROR(__xludf.DUMMYFUNCTION("""COMPUTED_VALUE"""),0.7447916666666667)</f>
        <v>0.7447916667</v>
      </c>
      <c r="AM127" s="30">
        <f>IFERROR(__xludf.DUMMYFUNCTION("""COMPUTED_VALUE"""),1.0279357231149568)</f>
        <v>1.027935723</v>
      </c>
      <c r="AN127" s="30">
        <f>IFERROR(__xludf.DUMMYFUNCTION("""COMPUTED_VALUE"""),0.9354762780361294)</f>
        <v>0.935476278</v>
      </c>
      <c r="AO127" s="30">
        <f>IFERROR(__xludf.DUMMYFUNCTION("""COMPUTED_VALUE"""),0.6057084522172276)</f>
        <v>0.6057084522</v>
      </c>
      <c r="AP127" s="30">
        <f>IFERROR(__xludf.DUMMYFUNCTION("""COMPUTED_VALUE"""),1.1558877376134253)</f>
        <v>1.155887738</v>
      </c>
      <c r="AQ127" s="30">
        <f>IFERROR(__xludf.DUMMYFUNCTION("""COMPUTED_VALUE"""),1.3765222675172752)</f>
        <v>1.376522268</v>
      </c>
      <c r="AR127" s="30">
        <f>IFERROR(__xludf.DUMMYFUNCTION("""COMPUTED_VALUE"""),0.7357681045907578)</f>
        <v>0.7357681046</v>
      </c>
      <c r="AS127" s="30">
        <f>IFERROR(__xludf.DUMMYFUNCTION("""COMPUTED_VALUE"""),12.0)</f>
        <v>12</v>
      </c>
      <c r="AT127" s="30">
        <f>IFERROR(__xludf.DUMMYFUNCTION("""COMPUTED_VALUE"""),0.5738036455319312)</f>
        <v>0.5738036455</v>
      </c>
      <c r="AU127" s="30">
        <f>IFERROR(__xludf.DUMMYFUNCTION("""COMPUTED_VALUE"""),2.489919848898543)</f>
        <v>2.489919849</v>
      </c>
      <c r="AV127" s="32">
        <f>IFERROR(__xludf.DUMMYFUNCTION("""COMPUTED_VALUE"""),34.580340792900984)</f>
        <v>34.58034079</v>
      </c>
      <c r="AW127" s="32">
        <f>IFERROR(__xludf.DUMMYFUNCTION("""COMPUTED_VALUE"""),-3.7217913027892715)</f>
        <v>-3.721791303</v>
      </c>
      <c r="AX127" s="32">
        <f>IFERROR(__xludf.DUMMYFUNCTION("""COMPUTED_VALUE"""),36.33853832562848)</f>
        <v>36.33853833</v>
      </c>
      <c r="AY127" s="32">
        <f>IFERROR(__xludf.DUMMYFUNCTION("""COMPUTED_VALUE"""),-3.420260217242275)</f>
        <v>-3.420260217</v>
      </c>
      <c r="AZ127" s="30">
        <f>IFERROR(__xludf.DUMMYFUNCTION("""COMPUTED_VALUE"""),0.30153108554699637)</f>
        <v>0.3015310855</v>
      </c>
      <c r="BA127" s="30">
        <f>IFERROR(__xludf.DUMMYFUNCTION("""COMPUTED_VALUE"""),450.0)</f>
        <v>450</v>
      </c>
    </row>
    <row r="128">
      <c r="A128" s="30" t="str">
        <f>IFERROR(__xludf.DUMMYFUNCTION("""COMPUTED_VALUE"""),"Master")</f>
        <v>Master</v>
      </c>
      <c r="B128" s="30" t="str">
        <f>IFERROR(__xludf.DUMMYFUNCTION("""COMPUTED_VALUE"""),"RSC007558")</f>
        <v>RSC007558</v>
      </c>
      <c r="C128" s="30" t="str">
        <f>IFERROR(__xludf.DUMMYFUNCTION("""COMPUTED_VALUE"""),"Frijole")</f>
        <v>Frijole</v>
      </c>
      <c r="D128" s="30" t="str">
        <f>IFERROR(__xludf.DUMMYFUNCTION("""COMPUTED_VALUE"""),"Fromunda Frauds")</f>
        <v>Fromunda Frauds</v>
      </c>
      <c r="E128" s="30">
        <f>IFERROR(__xludf.DUMMYFUNCTION("""COMPUTED_VALUE"""),34.0)</f>
        <v>34</v>
      </c>
      <c r="F128" s="30">
        <f>IFERROR(__xludf.DUMMYFUNCTION("""COMPUTED_VALUE"""),14.0)</f>
        <v>14</v>
      </c>
      <c r="G128" s="30">
        <f>IFERROR(__xludf.DUMMYFUNCTION("""COMPUTED_VALUE"""),20.0)</f>
        <v>20</v>
      </c>
      <c r="H128" s="42">
        <f>IFERROR(__xludf.DUMMYFUNCTION("""COMPUTED_VALUE"""),0.4117647058823529)</f>
        <v>0.4117647059</v>
      </c>
      <c r="I128" s="42">
        <f>IFERROR(__xludf.DUMMYFUNCTION("""COMPUTED_VALUE"""),0.3026315789473684)</f>
        <v>0.3026315789</v>
      </c>
      <c r="J128" s="30">
        <f>IFERROR(__xludf.DUMMYFUNCTION("""COMPUTED_VALUE"""),340.8235294117647)</f>
        <v>340.8235294</v>
      </c>
      <c r="K128" s="30">
        <f>IFERROR(__xludf.DUMMYFUNCTION("""COMPUTED_VALUE"""),0.6764705882352942)</f>
        <v>0.6764705882</v>
      </c>
      <c r="L128" s="30">
        <f>IFERROR(__xludf.DUMMYFUNCTION("""COMPUTED_VALUE"""),0.5882352941176471)</f>
        <v>0.5882352941</v>
      </c>
      <c r="M128" s="30">
        <f>IFERROR(__xludf.DUMMYFUNCTION("""COMPUTED_VALUE"""),1.3235294117647058)</f>
        <v>1.323529412</v>
      </c>
      <c r="N128" s="30">
        <f>IFERROR(__xludf.DUMMYFUNCTION("""COMPUTED_VALUE"""),2.235294117647059)</f>
        <v>2.235294118</v>
      </c>
      <c r="O128" s="30">
        <f>IFERROR(__xludf.DUMMYFUNCTION("""COMPUTED_VALUE"""),399.66666666666663)</f>
        <v>399.6666667</v>
      </c>
      <c r="P128" s="30">
        <f>IFERROR(__xludf.DUMMYFUNCTION("""COMPUTED_VALUE"""),0.9607843137254903)</f>
        <v>0.9607843137</v>
      </c>
      <c r="Q128" s="30">
        <f>IFERROR(__xludf.DUMMYFUNCTION("""COMPUTED_VALUE"""),0.7450980392156862)</f>
        <v>0.7450980392</v>
      </c>
      <c r="R128" s="30">
        <f>IFERROR(__xludf.DUMMYFUNCTION("""COMPUTED_VALUE"""),1.4313725490196079)</f>
        <v>1.431372549</v>
      </c>
      <c r="S128" s="30">
        <f>IFERROR(__xludf.DUMMYFUNCTION("""COMPUTED_VALUE"""),2.8529411764705874)</f>
        <v>2.852941176</v>
      </c>
      <c r="T128" s="30">
        <f>IFERROR(__xludf.DUMMYFUNCTION("""COMPUTED_VALUE"""),391.87898960972177)</f>
        <v>391.8789896</v>
      </c>
      <c r="U128" s="30">
        <f>IFERROR(__xludf.DUMMYFUNCTION("""COMPUTED_VALUE"""),0.923307421266875)</f>
        <v>0.9233074213</v>
      </c>
      <c r="V128" s="30">
        <f>IFERROR(__xludf.DUMMYFUNCTION("""COMPUTED_VALUE"""),0.6815744028097624)</f>
        <v>0.6815744028</v>
      </c>
      <c r="W128" s="30">
        <f>IFERROR(__xludf.DUMMYFUNCTION("""COMPUTED_VALUE"""),1.4661454018303655)</f>
        <v>1.466145402</v>
      </c>
      <c r="X128" s="30">
        <f>IFERROR(__xludf.DUMMYFUNCTION("""COMPUTED_VALUE"""),2.849314507575997)</f>
        <v>2.849314508</v>
      </c>
      <c r="Y128" s="30">
        <f>IFERROR(__xludf.DUMMYFUNCTION("""COMPUTED_VALUE"""),383.6732040575288)</f>
        <v>383.6732041</v>
      </c>
      <c r="Z128" s="30">
        <f>IFERROR(__xludf.DUMMYFUNCTION("""COMPUTED_VALUE"""),0.8597606285355498)</f>
        <v>0.8597606285</v>
      </c>
      <c r="AA128" s="30">
        <f>IFERROR(__xludf.DUMMYFUNCTION("""COMPUTED_VALUE"""),0.6493326161600818)</f>
        <v>0.6493326162</v>
      </c>
      <c r="AB128" s="30">
        <f>IFERROR(__xludf.DUMMYFUNCTION("""COMPUTED_VALUE"""),1.4790141941833652)</f>
        <v>1.479014194</v>
      </c>
      <c r="AC128" s="30">
        <f>IFERROR(__xludf.DUMMYFUNCTION("""COMPUTED_VALUE"""),2.7846013602678426)</f>
        <v>2.78460136</v>
      </c>
      <c r="AD128" s="30">
        <f>IFERROR(__xludf.DUMMYFUNCTION("""COMPUTED_VALUE"""),0.8883172601250018)</f>
        <v>0.8883172601</v>
      </c>
      <c r="AE128" s="30">
        <f>IFERROR(__xludf.DUMMYFUNCTION("""COMPUTED_VALUE"""),0.7868127078435101)</f>
        <v>0.7868127078</v>
      </c>
      <c r="AF128" s="30">
        <f>IFERROR(__xludf.DUMMYFUNCTION("""COMPUTED_VALUE"""),0.9059075110014616)</f>
        <v>0.905907511</v>
      </c>
      <c r="AG128" s="30">
        <f>IFERROR(__xludf.DUMMYFUNCTION("""COMPUTED_VALUE"""),0.8948726908570949)</f>
        <v>0.8948726909</v>
      </c>
      <c r="AH128" s="30">
        <f>IFERROR(__xludf.DUMMYFUNCTION("""COMPUTED_VALUE"""),0.8027339746153297)</f>
        <v>0.8027339746</v>
      </c>
      <c r="AI128" s="30">
        <f>IFERROR(__xludf.DUMMYFUNCTION("""COMPUTED_VALUE"""),1.0198726577934192)</f>
        <v>1.019872658</v>
      </c>
      <c r="AJ128" s="30">
        <f>IFERROR(__xludf.DUMMYFUNCTION("""COMPUTED_VALUE"""),1.0405898312906368)</f>
        <v>1.040589831</v>
      </c>
      <c r="AK128" s="30">
        <f>IFERROR(__xludf.DUMMYFUNCTION("""COMPUTED_VALUE"""),1.0932013235004867)</f>
        <v>1.093201324</v>
      </c>
      <c r="AL128" s="30">
        <f>IFERROR(__xludf.DUMMYFUNCTION("""COMPUTED_VALUE"""),0.9762828074436911)</f>
        <v>0.9762828074</v>
      </c>
      <c r="AM128" s="30">
        <f>IFERROR(__xludf.DUMMYFUNCTION("""COMPUTED_VALUE"""),1.0012728215453042)</f>
        <v>1.001272822</v>
      </c>
      <c r="AN128" s="30">
        <f>IFERROR(__xludf.DUMMYFUNCTION("""COMPUTED_VALUE"""),0.9090016443656591)</f>
        <v>0.9090016444</v>
      </c>
      <c r="AO128" s="30">
        <f>IFERROR(__xludf.DUMMYFUNCTION("""COMPUTED_VALUE"""),0.819487905940955)</f>
        <v>0.8194879059</v>
      </c>
      <c r="AP128" s="30">
        <f>IFERROR(__xludf.DUMMYFUNCTION("""COMPUTED_VALUE"""),0.90657861773602)</f>
        <v>0.9065786177</v>
      </c>
      <c r="AQ128" s="30">
        <f>IFERROR(__xludf.DUMMYFUNCTION("""COMPUTED_VALUE"""),0.9109338535040792)</f>
        <v>0.9109338535</v>
      </c>
      <c r="AR128" s="30">
        <f>IFERROR(__xludf.DUMMYFUNCTION("""COMPUTED_VALUE"""),0.8223290580720235)</f>
        <v>0.8223290581</v>
      </c>
      <c r="AS128" s="30">
        <f>IFERROR(__xludf.DUMMYFUNCTION("""COMPUTED_VALUE"""),76.0)</f>
        <v>76</v>
      </c>
      <c r="AT128" s="30">
        <f>IFERROR(__xludf.DUMMYFUNCTION("""COMPUTED_VALUE"""),0.3998242824099608)</f>
        <v>0.3998242824</v>
      </c>
      <c r="AU128" s="30">
        <f>IFERROR(__xludf.DUMMYFUNCTION("""COMPUTED_VALUE"""),2.5215570505388056)</f>
        <v>2.521557051</v>
      </c>
      <c r="AV128" s="32">
        <f>IFERROR(__xludf.DUMMYFUNCTION("""COMPUTED_VALUE"""),35.42386347672069)</f>
        <v>35.42386348</v>
      </c>
      <c r="AW128" s="32">
        <f>IFERROR(__xludf.DUMMYFUNCTION("""COMPUTED_VALUE"""),-3.572304442839811)</f>
        <v>-3.572304443</v>
      </c>
      <c r="AX128" s="32">
        <f>IFERROR(__xludf.DUMMYFUNCTION("""COMPUTED_VALUE"""),33.995064773314944)</f>
        <v>33.99506477</v>
      </c>
      <c r="AY128" s="32">
        <f>IFERROR(__xludf.DUMMYFUNCTION("""COMPUTED_VALUE"""),-3.831092737458692)</f>
        <v>-3.831092737</v>
      </c>
      <c r="AZ128" s="30">
        <f>IFERROR(__xludf.DUMMYFUNCTION("""COMPUTED_VALUE"""),0.25878829461888087)</f>
        <v>0.2587882946</v>
      </c>
      <c r="BA128" s="30">
        <f>IFERROR(__xludf.DUMMYFUNCTION("""COMPUTED_VALUE"""),450.0)</f>
        <v>450</v>
      </c>
    </row>
    <row r="129">
      <c r="A129" s="30" t="str">
        <f>IFERROR(__xludf.DUMMYFUNCTION("""COMPUTED_VALUE"""),"Master")</f>
        <v>Master</v>
      </c>
      <c r="B129" s="30" t="str">
        <f>IFERROR(__xludf.DUMMYFUNCTION("""COMPUTED_VALUE"""),"RSC002959")</f>
        <v>RSC002959</v>
      </c>
      <c r="C129" s="30" t="str">
        <f>IFERROR(__xludf.DUMMYFUNCTION("""COMPUTED_VALUE"""),"JACKS0NTHEBOSS")</f>
        <v>JACKS0NTHEBOSS</v>
      </c>
      <c r="D129" s="30"/>
      <c r="E129" s="30">
        <f>IFERROR(__xludf.DUMMYFUNCTION("""COMPUTED_VALUE"""),35.0)</f>
        <v>35</v>
      </c>
      <c r="F129" s="30">
        <f>IFERROR(__xludf.DUMMYFUNCTION("""COMPUTED_VALUE"""),18.0)</f>
        <v>18</v>
      </c>
      <c r="G129" s="30">
        <f>IFERROR(__xludf.DUMMYFUNCTION("""COMPUTED_VALUE"""),17.0)</f>
        <v>17</v>
      </c>
      <c r="H129" s="42">
        <f>IFERROR(__xludf.DUMMYFUNCTION("""COMPUTED_VALUE"""),0.5142857142857142)</f>
        <v>0.5142857143</v>
      </c>
      <c r="I129" s="42">
        <f>IFERROR(__xludf.DUMMYFUNCTION("""COMPUTED_VALUE"""),0.27722772277227725)</f>
        <v>0.2772277228</v>
      </c>
      <c r="J129" s="30">
        <f>IFERROR(__xludf.DUMMYFUNCTION("""COMPUTED_VALUE"""),403.0571428571429)</f>
        <v>403.0571429</v>
      </c>
      <c r="K129" s="30">
        <f>IFERROR(__xludf.DUMMYFUNCTION("""COMPUTED_VALUE"""),0.8)</f>
        <v>0.8</v>
      </c>
      <c r="L129" s="30">
        <f>IFERROR(__xludf.DUMMYFUNCTION("""COMPUTED_VALUE"""),0.8285714285714286)</f>
        <v>0.8285714286</v>
      </c>
      <c r="M129" s="30">
        <f>IFERROR(__xludf.DUMMYFUNCTION("""COMPUTED_VALUE"""),1.6571428571428573)</f>
        <v>1.657142857</v>
      </c>
      <c r="N129" s="30">
        <f>IFERROR(__xludf.DUMMYFUNCTION("""COMPUTED_VALUE"""),2.8857142857142857)</f>
        <v>2.885714286</v>
      </c>
      <c r="O129" s="30">
        <f>IFERROR(__xludf.DUMMYFUNCTION("""COMPUTED_VALUE"""),355.66666666666674)</f>
        <v>355.6666667</v>
      </c>
      <c r="P129" s="30">
        <f>IFERROR(__xludf.DUMMYFUNCTION("""COMPUTED_VALUE"""),0.761904761904762)</f>
        <v>0.7619047619</v>
      </c>
      <c r="Q129" s="30">
        <f>IFERROR(__xludf.DUMMYFUNCTION("""COMPUTED_VALUE"""),0.5904761904761905)</f>
        <v>0.5904761905</v>
      </c>
      <c r="R129" s="30">
        <f>IFERROR(__xludf.DUMMYFUNCTION("""COMPUTED_VALUE"""),1.3714285714285717)</f>
        <v>1.371428571</v>
      </c>
      <c r="S129" s="30">
        <f>IFERROR(__xludf.DUMMYFUNCTION("""COMPUTED_VALUE"""),2.8380952380952373)</f>
        <v>2.838095238</v>
      </c>
      <c r="T129" s="30">
        <f>IFERROR(__xludf.DUMMYFUNCTION("""COMPUTED_VALUE"""),382.5043265481155)</f>
        <v>382.5043265</v>
      </c>
      <c r="U129" s="30">
        <f>IFERROR(__xludf.DUMMYFUNCTION("""COMPUTED_VALUE"""),0.8607122860572238)</f>
        <v>0.8607122861</v>
      </c>
      <c r="V129" s="30">
        <f>IFERROR(__xludf.DUMMYFUNCTION("""COMPUTED_VALUE"""),0.6539946700392776)</f>
        <v>0.65399467</v>
      </c>
      <c r="W129" s="30">
        <f>IFERROR(__xludf.DUMMYFUNCTION("""COMPUTED_VALUE"""),1.4945643734089653)</f>
        <v>1.494564373</v>
      </c>
      <c r="X129" s="30">
        <f>IFERROR(__xludf.DUMMYFUNCTION("""COMPUTED_VALUE"""),2.778994796241789)</f>
        <v>2.778994796</v>
      </c>
      <c r="Y129" s="30">
        <f>IFERROR(__xludf.DUMMYFUNCTION("""COMPUTED_VALUE"""),392.46116698535417)</f>
        <v>392.461167</v>
      </c>
      <c r="Z129" s="30">
        <f>IFERROR(__xludf.DUMMYFUNCTION("""COMPUTED_VALUE"""),0.9303775355251428)</f>
        <v>0.9303775355</v>
      </c>
      <c r="AA129" s="30">
        <f>IFERROR(__xludf.DUMMYFUNCTION("""COMPUTED_VALUE"""),0.726418350201329)</f>
        <v>0.7264183502</v>
      </c>
      <c r="AB129" s="30">
        <f>IFERROR(__xludf.DUMMYFUNCTION("""COMPUTED_VALUE"""),1.4582322891726835)</f>
        <v>1.458232289</v>
      </c>
      <c r="AC129" s="30">
        <f>IFERROR(__xludf.DUMMYFUNCTION("""COMPUTED_VALUE"""),2.953564219830139)</f>
        <v>2.95356422</v>
      </c>
      <c r="AD129" s="30">
        <f>IFERROR(__xludf.DUMMYFUNCTION("""COMPUTED_VALUE"""),1.0269987880665505)</f>
        <v>1.026998788</v>
      </c>
      <c r="AE129" s="30">
        <f>IFERROR(__xludf.DUMMYFUNCTION("""COMPUTED_VALUE"""),0.8598659892926667)</f>
        <v>0.8598659893</v>
      </c>
      <c r="AF129" s="30">
        <f>IFERROR(__xludf.DUMMYFUNCTION("""COMPUTED_VALUE"""),1.1406256853805903)</f>
        <v>1.140625685</v>
      </c>
      <c r="AG129" s="30">
        <f>IFERROR(__xludf.DUMMYFUNCTION("""COMPUTED_VALUE"""),1.1364052692064746)</f>
        <v>1.136405269</v>
      </c>
      <c r="AH129" s="30">
        <f>IFERROR(__xludf.DUMMYFUNCTION("""COMPUTED_VALUE"""),0.9770277776049997)</f>
        <v>0.9770277776</v>
      </c>
      <c r="AI129" s="30">
        <f>IFERROR(__xludf.DUMMYFUNCTION("""COMPUTED_VALUE"""),0.9298369769470495)</f>
        <v>0.9298369769</v>
      </c>
      <c r="AJ129" s="30">
        <f>IFERROR(__xludf.DUMMYFUNCTION("""COMPUTED_VALUE"""),0.8852026097999806)</f>
        <v>0.8852026098</v>
      </c>
      <c r="AK129" s="30">
        <f>IFERROR(__xludf.DUMMYFUNCTION("""COMPUTED_VALUE"""),0.9028761510254016)</f>
        <v>0.902876151</v>
      </c>
      <c r="AL129" s="30">
        <f>IFERROR(__xludf.DUMMYFUNCTION("""COMPUTED_VALUE"""),0.9176109077861049)</f>
        <v>0.9176109078</v>
      </c>
      <c r="AM129" s="30">
        <f>IFERROR(__xludf.DUMMYFUNCTION("""COMPUTED_VALUE"""),1.021266841497283)</f>
        <v>1.021266841</v>
      </c>
      <c r="AN129" s="30">
        <f>IFERROR(__xludf.DUMMYFUNCTION("""COMPUTED_VALUE"""),1.0749833095819716)</f>
        <v>1.07498331</v>
      </c>
      <c r="AO129" s="30">
        <f>IFERROR(__xludf.DUMMYFUNCTION("""COMPUTED_VALUE"""),0.9691335235475642)</f>
        <v>0.9691335235</v>
      </c>
      <c r="AP129" s="30">
        <f>IFERROR(__xludf.DUMMYFUNCTION("""COMPUTED_VALUE"""),1.2769807386967367)</f>
        <v>1.276980739</v>
      </c>
      <c r="AQ129" s="30">
        <f>IFERROR(__xludf.DUMMYFUNCTION("""COMPUTED_VALUE"""),1.1405470216571711)</f>
        <v>1.140547022</v>
      </c>
      <c r="AR129" s="30">
        <f>IFERROR(__xludf.DUMMYFUNCTION("""COMPUTED_VALUE"""),1.0616082651952363)</f>
        <v>1.061608265</v>
      </c>
      <c r="AS129" s="30">
        <f>IFERROR(__xludf.DUMMYFUNCTION("""COMPUTED_VALUE"""),93.0)</f>
        <v>93</v>
      </c>
      <c r="AT129" s="30">
        <f>IFERROR(__xludf.DUMMYFUNCTION("""COMPUTED_VALUE"""),0.5592668621090963)</f>
        <v>0.5592668621</v>
      </c>
      <c r="AU129" s="30">
        <f>IFERROR(__xludf.DUMMYFUNCTION("""COMPUTED_VALUE"""),3.4636738341157085)</f>
        <v>3.463673834</v>
      </c>
      <c r="AV129" s="32">
        <f>IFERROR(__xludf.DUMMYFUNCTION("""COMPUTED_VALUE"""),60.54292700170141)</f>
        <v>60.542927</v>
      </c>
      <c r="AW129" s="32">
        <f>IFERROR(__xludf.DUMMYFUNCTION("""COMPUTED_VALUE"""),2.970746159444271)</f>
        <v>2.970746159</v>
      </c>
      <c r="AX129" s="32">
        <f>IFERROR(__xludf.DUMMYFUNCTION("""COMPUTED_VALUE"""),62.01374743323319)</f>
        <v>62.01374743</v>
      </c>
      <c r="AY129" s="32">
        <f>IFERROR(__xludf.DUMMYFUNCTION("""COMPUTED_VALUE"""),3.170393938810542)</f>
        <v>3.170393939</v>
      </c>
      <c r="AZ129" s="30">
        <f>IFERROR(__xludf.DUMMYFUNCTION("""COMPUTED_VALUE"""),0.1996477793662712)</f>
        <v>0.1996477794</v>
      </c>
      <c r="BA129" s="30">
        <f>IFERROR(__xludf.DUMMYFUNCTION("""COMPUTED_VALUE"""),450.0)</f>
        <v>450</v>
      </c>
    </row>
    <row r="130">
      <c r="A130" s="30" t="str">
        <f>IFERROR(__xludf.DUMMYFUNCTION("""COMPUTED_VALUE"""),"Master")</f>
        <v>Master</v>
      </c>
      <c r="B130" s="30" t="str">
        <f>IFERROR(__xludf.DUMMYFUNCTION("""COMPUTED_VALUE"""),"RSC000232")</f>
        <v>RSC000232</v>
      </c>
      <c r="C130" s="30" t="str">
        <f>IFERROR(__xludf.DUMMYFUNCTION("""COMPUTED_VALUE"""),"Unexpected")</f>
        <v>Unexpected</v>
      </c>
      <c r="D130" s="30" t="str">
        <f>IFERROR(__xludf.DUMMYFUNCTION("""COMPUTED_VALUE"""),"Lemurs")</f>
        <v>Lemurs</v>
      </c>
      <c r="E130" s="30">
        <f>IFERROR(__xludf.DUMMYFUNCTION("""COMPUTED_VALUE"""),48.0)</f>
        <v>48</v>
      </c>
      <c r="F130" s="30">
        <f>IFERROR(__xludf.DUMMYFUNCTION("""COMPUTED_VALUE"""),28.0)</f>
        <v>28</v>
      </c>
      <c r="G130" s="30">
        <f>IFERROR(__xludf.DUMMYFUNCTION("""COMPUTED_VALUE"""),20.0)</f>
        <v>20</v>
      </c>
      <c r="H130" s="42">
        <f>IFERROR(__xludf.DUMMYFUNCTION("""COMPUTED_VALUE"""),0.5833333333333334)</f>
        <v>0.5833333333</v>
      </c>
      <c r="I130" s="42">
        <f>IFERROR(__xludf.DUMMYFUNCTION("""COMPUTED_VALUE"""),0.2833333333333333)</f>
        <v>0.2833333333</v>
      </c>
      <c r="J130" s="30">
        <f>IFERROR(__xludf.DUMMYFUNCTION("""COMPUTED_VALUE"""),360.1041666666667)</f>
        <v>360.1041667</v>
      </c>
      <c r="K130" s="30">
        <f>IFERROR(__xludf.DUMMYFUNCTION("""COMPUTED_VALUE"""),0.7083333333333334)</f>
        <v>0.7083333333</v>
      </c>
      <c r="L130" s="30">
        <f>IFERROR(__xludf.DUMMYFUNCTION("""COMPUTED_VALUE"""),0.625)</f>
        <v>0.625</v>
      </c>
      <c r="M130" s="30">
        <f>IFERROR(__xludf.DUMMYFUNCTION("""COMPUTED_VALUE"""),1.4791666666666667)</f>
        <v>1.479166667</v>
      </c>
      <c r="N130" s="30">
        <f>IFERROR(__xludf.DUMMYFUNCTION("""COMPUTED_VALUE"""),2.5)</f>
        <v>2.5</v>
      </c>
      <c r="O130" s="30">
        <f>IFERROR(__xludf.DUMMYFUNCTION("""COMPUTED_VALUE"""),403.11347517730496)</f>
        <v>403.1134752</v>
      </c>
      <c r="P130" s="30">
        <f>IFERROR(__xludf.DUMMYFUNCTION("""COMPUTED_VALUE"""),0.929078014184397)</f>
        <v>0.9290780142</v>
      </c>
      <c r="Q130" s="30">
        <f>IFERROR(__xludf.DUMMYFUNCTION("""COMPUTED_VALUE"""),0.7092198581560284)</f>
        <v>0.7092198582</v>
      </c>
      <c r="R130" s="30">
        <f>IFERROR(__xludf.DUMMYFUNCTION("""COMPUTED_VALUE"""),1.5319148936170215)</f>
        <v>1.531914894</v>
      </c>
      <c r="S130" s="30">
        <f>IFERROR(__xludf.DUMMYFUNCTION("""COMPUTED_VALUE"""),2.702127659574468)</f>
        <v>2.70212766</v>
      </c>
      <c r="T130" s="30">
        <f>IFERROR(__xludf.DUMMYFUNCTION("""COMPUTED_VALUE"""),382.4577861637627)</f>
        <v>382.4577862</v>
      </c>
      <c r="U130" s="30">
        <f>IFERROR(__xludf.DUMMYFUNCTION("""COMPUTED_VALUE"""),0.8543278755195249)</f>
        <v>0.8543278755</v>
      </c>
      <c r="V130" s="30">
        <f>IFERROR(__xludf.DUMMYFUNCTION("""COMPUTED_VALUE"""),0.6752437980974998)</f>
        <v>0.6752437981</v>
      </c>
      <c r="W130" s="30">
        <f>IFERROR(__xludf.DUMMYFUNCTION("""COMPUTED_VALUE"""),1.479947635281444)</f>
        <v>1.479947635</v>
      </c>
      <c r="X130" s="30">
        <f>IFERROR(__xludf.DUMMYFUNCTION("""COMPUTED_VALUE"""),2.732641579675824)</f>
        <v>2.73264158</v>
      </c>
      <c r="Y130" s="30">
        <f>IFERROR(__xludf.DUMMYFUNCTION("""COMPUTED_VALUE"""),389.6884752875669)</f>
        <v>389.6884753</v>
      </c>
      <c r="Z130" s="30">
        <f>IFERROR(__xludf.DUMMYFUNCTION("""COMPUTED_VALUE"""),0.9005876933373701)</f>
        <v>0.9005876933</v>
      </c>
      <c r="AA130" s="30">
        <f>IFERROR(__xludf.DUMMYFUNCTION("""COMPUTED_VALUE"""),0.6824907917526871)</f>
        <v>0.6824907918</v>
      </c>
      <c r="AB130" s="30">
        <f>IFERROR(__xludf.DUMMYFUNCTION("""COMPUTED_VALUE"""),1.495567526977796)</f>
        <v>1.495567527</v>
      </c>
      <c r="AC130" s="30">
        <f>IFERROR(__xludf.DUMMYFUNCTION("""COMPUTED_VALUE"""),2.859125460115681)</f>
        <v>2.85912546</v>
      </c>
      <c r="AD130" s="30">
        <f>IFERROR(__xludf.DUMMYFUNCTION("""COMPUTED_VALUE"""),0.9240821566532889)</f>
        <v>0.9240821567</v>
      </c>
      <c r="AE130" s="30">
        <f>IFERROR(__xludf.DUMMYFUNCTION("""COMPUTED_VALUE"""),0.7865234430512964)</f>
        <v>0.7865234431</v>
      </c>
      <c r="AF130" s="30">
        <f>IFERROR(__xludf.DUMMYFUNCTION("""COMPUTED_VALUE"""),0.9157632711716938)</f>
        <v>0.9157632712</v>
      </c>
      <c r="AG130" s="30">
        <f>IFERROR(__xludf.DUMMYFUNCTION("""COMPUTED_VALUE"""),0.9890336878708034)</f>
        <v>0.9890336879</v>
      </c>
      <c r="AH130" s="30">
        <f>IFERROR(__xludf.DUMMYFUNCTION("""COMPUTED_VALUE"""),0.8743932488708801)</f>
        <v>0.8743932489</v>
      </c>
      <c r="AI130" s="30">
        <f>IFERROR(__xludf.DUMMYFUNCTION("""COMPUTED_VALUE"""),1.0540077617996193)</f>
        <v>1.054007762</v>
      </c>
      <c r="AJ130" s="30">
        <f>IFERROR(__xludf.DUMMYFUNCTION("""COMPUTED_VALUE"""),1.0874958441680436)</f>
        <v>1.087495844</v>
      </c>
      <c r="AK130" s="30">
        <f>IFERROR(__xludf.DUMMYFUNCTION("""COMPUTED_VALUE"""),1.0503167302746892)</f>
        <v>1.05031673</v>
      </c>
      <c r="AL130" s="30">
        <f>IFERROR(__xludf.DUMMYFUNCTION("""COMPUTED_VALUE"""),1.0351142547862477)</f>
        <v>1.035114255</v>
      </c>
      <c r="AM130" s="30">
        <f>IFERROR(__xludf.DUMMYFUNCTION("""COMPUTED_VALUE"""),0.9888335446813424)</f>
        <v>0.9888335447</v>
      </c>
      <c r="AN130" s="30">
        <f>IFERROR(__xludf.DUMMYFUNCTION("""COMPUTED_VALUE"""),0.960424534678932)</f>
        <v>0.9604245347</v>
      </c>
      <c r="AO130" s="30">
        <f>IFERROR(__xludf.DUMMYFUNCTION("""COMPUTED_VALUE"""),0.8580869739744058)</f>
        <v>0.858086974</v>
      </c>
      <c r="AP130" s="30">
        <f>IFERROR(__xludf.DUMMYFUNCTION("""COMPUTED_VALUE"""),0.9632397813445212)</f>
        <v>0.9632397813</v>
      </c>
      <c r="AQ130" s="30">
        <f>IFERROR(__xludf.DUMMYFUNCTION("""COMPUTED_VALUE"""),1.018052927017985)</f>
        <v>1.018052927</v>
      </c>
      <c r="AR130" s="30">
        <f>IFERROR(__xludf.DUMMYFUNCTION("""COMPUTED_VALUE"""),0.9197101307384473)</f>
        <v>0.9197101307</v>
      </c>
      <c r="AS130" s="30">
        <f>IFERROR(__xludf.DUMMYFUNCTION("""COMPUTED_VALUE"""),127.0)</f>
        <v>127</v>
      </c>
      <c r="AT130" s="30">
        <f>IFERROR(__xludf.DUMMYFUNCTION("""COMPUTED_VALUE"""),0.47885666632159696)</f>
        <v>0.4788566663</v>
      </c>
      <c r="AU130" s="30">
        <f>IFERROR(__xludf.DUMMYFUNCTION("""COMPUTED_VALUE"""),2.696504336275192)</f>
        <v>2.696504336</v>
      </c>
      <c r="AV130" s="32">
        <f>IFERROR(__xludf.DUMMYFUNCTION("""COMPUTED_VALUE"""),40.08837223034967)</f>
        <v>40.08837223</v>
      </c>
      <c r="AW130" s="32">
        <f>IFERROR(__xludf.DUMMYFUNCTION("""COMPUTED_VALUE"""),-2.8911680173578107)</f>
        <v>-2.891168017</v>
      </c>
      <c r="AX130" s="32">
        <f>IFERROR(__xludf.DUMMYFUNCTION("""COMPUTED_VALUE"""),38.60625201220878)</f>
        <v>38.60625201</v>
      </c>
      <c r="AY130" s="32">
        <f>IFERROR(__xludf.DUMMYFUNCTION("""COMPUTED_VALUE"""),-3.0837080861151254)</f>
        <v>-3.083708086</v>
      </c>
      <c r="AZ130" s="30">
        <f>IFERROR(__xludf.DUMMYFUNCTION("""COMPUTED_VALUE"""),0.19254006875731466)</f>
        <v>0.1925400688</v>
      </c>
      <c r="BA130" s="30">
        <f>IFERROR(__xludf.DUMMYFUNCTION("""COMPUTED_VALUE"""),450.0)</f>
        <v>450</v>
      </c>
    </row>
    <row r="131">
      <c r="A131" s="30" t="str">
        <f>IFERROR(__xludf.DUMMYFUNCTION("""COMPUTED_VALUE"""),"Master")</f>
        <v>Master</v>
      </c>
      <c r="B131" s="30" t="str">
        <f>IFERROR(__xludf.DUMMYFUNCTION("""COMPUTED_VALUE"""),"RSC002490")</f>
        <v>RSC002490</v>
      </c>
      <c r="C131" s="30" t="str">
        <f>IFERROR(__xludf.DUMMYFUNCTION("""COMPUTED_VALUE"""),"alexis bexas")</f>
        <v>alexis bexas</v>
      </c>
      <c r="D131" s="30" t="str">
        <f>IFERROR(__xludf.DUMMYFUNCTION("""COMPUTED_VALUE"""),"Tempests")</f>
        <v>Tempests</v>
      </c>
      <c r="E131" s="30">
        <f>IFERROR(__xludf.DUMMYFUNCTION("""COMPUTED_VALUE"""),44.0)</f>
        <v>44</v>
      </c>
      <c r="F131" s="30">
        <f>IFERROR(__xludf.DUMMYFUNCTION("""COMPUTED_VALUE"""),25.0)</f>
        <v>25</v>
      </c>
      <c r="G131" s="30">
        <f>IFERROR(__xludf.DUMMYFUNCTION("""COMPUTED_VALUE"""),19.0)</f>
        <v>19</v>
      </c>
      <c r="H131" s="42">
        <f>IFERROR(__xludf.DUMMYFUNCTION("""COMPUTED_VALUE"""),0.5681818181818182)</f>
        <v>0.5681818182</v>
      </c>
      <c r="I131" s="42">
        <f>IFERROR(__xludf.DUMMYFUNCTION("""COMPUTED_VALUE"""),0.3185840707964602)</f>
        <v>0.3185840708</v>
      </c>
      <c r="J131" s="30">
        <f>IFERROR(__xludf.DUMMYFUNCTION("""COMPUTED_VALUE"""),356.1818181818182)</f>
        <v>356.1818182</v>
      </c>
      <c r="K131" s="30">
        <f>IFERROR(__xludf.DUMMYFUNCTION("""COMPUTED_VALUE"""),0.8181818181818182)</f>
        <v>0.8181818182</v>
      </c>
      <c r="L131" s="30">
        <f>IFERROR(__xludf.DUMMYFUNCTION("""COMPUTED_VALUE"""),0.7954545454545454)</f>
        <v>0.7954545455</v>
      </c>
      <c r="M131" s="30">
        <f>IFERROR(__xludf.DUMMYFUNCTION("""COMPUTED_VALUE"""),1.1136363636363635)</f>
        <v>1.113636364</v>
      </c>
      <c r="N131" s="30">
        <f>IFERROR(__xludf.DUMMYFUNCTION("""COMPUTED_VALUE"""),2.5681818181818183)</f>
        <v>2.568181818</v>
      </c>
      <c r="O131" s="30">
        <f>IFERROR(__xludf.DUMMYFUNCTION("""COMPUTED_VALUE"""),353.8030303030303)</f>
        <v>353.8030303</v>
      </c>
      <c r="P131" s="30">
        <f>IFERROR(__xludf.DUMMYFUNCTION("""COMPUTED_VALUE"""),0.8636363636363636)</f>
        <v>0.8636363636</v>
      </c>
      <c r="Q131" s="30">
        <f>IFERROR(__xludf.DUMMYFUNCTION("""COMPUTED_VALUE"""),0.6136363636363636)</f>
        <v>0.6136363636</v>
      </c>
      <c r="R131" s="30">
        <f>IFERROR(__xludf.DUMMYFUNCTION("""COMPUTED_VALUE"""),1.2121212121212124)</f>
        <v>1.212121212</v>
      </c>
      <c r="S131" s="30">
        <f>IFERROR(__xludf.DUMMYFUNCTION("""COMPUTED_VALUE"""),2.545454545454545)</f>
        <v>2.545454545</v>
      </c>
      <c r="T131" s="30">
        <f>IFERROR(__xludf.DUMMYFUNCTION("""COMPUTED_VALUE"""),379.23568656633654)</f>
        <v>379.2356866</v>
      </c>
      <c r="U131" s="30">
        <f>IFERROR(__xludf.DUMMYFUNCTION("""COMPUTED_VALUE"""),0.842661466321376)</f>
        <v>0.8426614663</v>
      </c>
      <c r="V131" s="30">
        <f>IFERROR(__xludf.DUMMYFUNCTION("""COMPUTED_VALUE"""),0.6546773702200546)</f>
        <v>0.6546773702</v>
      </c>
      <c r="W131" s="30">
        <f>IFERROR(__xludf.DUMMYFUNCTION("""COMPUTED_VALUE"""),1.4953004469568774)</f>
        <v>1.495300447</v>
      </c>
      <c r="X131" s="30">
        <f>IFERROR(__xludf.DUMMYFUNCTION("""COMPUTED_VALUE"""),2.745120937231867)</f>
        <v>2.745120937</v>
      </c>
      <c r="Y131" s="30">
        <f>IFERROR(__xludf.DUMMYFUNCTION("""COMPUTED_VALUE"""),391.4929235939035)</f>
        <v>391.4929236</v>
      </c>
      <c r="Z131" s="30">
        <f>IFERROR(__xludf.DUMMYFUNCTION("""COMPUTED_VALUE"""),0.9164706664479575)</f>
        <v>0.9164706664</v>
      </c>
      <c r="AA131" s="30">
        <f>IFERROR(__xludf.DUMMYFUNCTION("""COMPUTED_VALUE"""),0.7009279255088867)</f>
        <v>0.7009279255</v>
      </c>
      <c r="AB131" s="30">
        <f>IFERROR(__xludf.DUMMYFUNCTION("""COMPUTED_VALUE"""),1.47442153614993)</f>
        <v>1.474421536</v>
      </c>
      <c r="AC131" s="30">
        <f>IFERROR(__xludf.DUMMYFUNCTION("""COMPUTED_VALUE"""),2.865390668988981)</f>
        <v>2.865390669</v>
      </c>
      <c r="AD131" s="30">
        <f>IFERROR(__xludf.DUMMYFUNCTION("""COMPUTED_VALUE"""),0.9098039752853525)</f>
        <v>0.9098039753</v>
      </c>
      <c r="AE131" s="30">
        <f>IFERROR(__xludf.DUMMYFUNCTION("""COMPUTED_VALUE"""),0.8927528704796569)</f>
        <v>0.8927528705</v>
      </c>
      <c r="AF131" s="30">
        <f>IFERROR(__xludf.DUMMYFUNCTION("""COMPUTED_VALUE"""),1.1348592580000727)</f>
        <v>1.134859258</v>
      </c>
      <c r="AG131" s="30">
        <f>IFERROR(__xludf.DUMMYFUNCTION("""COMPUTED_VALUE"""),0.7553039184060866)</f>
        <v>0.7553039184</v>
      </c>
      <c r="AH131" s="30">
        <f>IFERROR(__xludf.DUMMYFUNCTION("""COMPUTED_VALUE"""),0.8962763248921902)</f>
        <v>0.8962763249</v>
      </c>
      <c r="AI131" s="30">
        <f>IFERROR(__xludf.DUMMYFUNCTION("""COMPUTED_VALUE"""),0.9329370701012403)</f>
        <v>0.9329370701</v>
      </c>
      <c r="AJ131" s="30">
        <f>IFERROR(__xludf.DUMMYFUNCTION("""COMPUTED_VALUE"""),1.0248912501084846)</f>
        <v>1.02489125</v>
      </c>
      <c r="AK131" s="30">
        <f>IFERROR(__xludf.DUMMYFUNCTION("""COMPUTED_VALUE"""),0.9373110963498006)</f>
        <v>0.9373110963</v>
      </c>
      <c r="AL131" s="30">
        <f>IFERROR(__xludf.DUMMYFUNCTION("""COMPUTED_VALUE"""),0.8106205108063934)</f>
        <v>0.8106205108</v>
      </c>
      <c r="AM131" s="30">
        <f>IFERROR(__xludf.DUMMYFUNCTION("""COMPUTED_VALUE"""),0.9272649925658059)</f>
        <v>0.9272649926</v>
      </c>
      <c r="AN131" s="30">
        <f>IFERROR(__xludf.DUMMYFUNCTION("""COMPUTED_VALUE"""),0.9499633402048999)</f>
        <v>0.9499633402</v>
      </c>
      <c r="AO131" s="30">
        <f>IFERROR(__xludf.DUMMYFUNCTION("""COMPUTED_VALUE"""),0.9911592854463724)</f>
        <v>0.9911592854</v>
      </c>
      <c r="AP131" s="30">
        <f>IFERROR(__xludf.DUMMYFUNCTION("""COMPUTED_VALUE"""),1.225941539893027)</f>
        <v>1.22594154</v>
      </c>
      <c r="AQ131" s="30">
        <f>IFERROR(__xludf.DUMMYFUNCTION("""COMPUTED_VALUE"""),0.76647262623121)</f>
        <v>0.7664726262</v>
      </c>
      <c r="AR131" s="30">
        <f>IFERROR(__xludf.DUMMYFUNCTION("""COMPUTED_VALUE"""),0.9447931343040413)</f>
        <v>0.9447931343</v>
      </c>
      <c r="AS131" s="30">
        <f>IFERROR(__xludf.DUMMYFUNCTION("""COMPUTED_VALUE"""),123.0)</f>
        <v>123</v>
      </c>
      <c r="AT131" s="30">
        <f>IFERROR(__xludf.DUMMYFUNCTION("""COMPUTED_VALUE"""),0.5307613983613308)</f>
        <v>0.5307613984</v>
      </c>
      <c r="AU131" s="30">
        <f>IFERROR(__xludf.DUMMYFUNCTION("""COMPUTED_VALUE"""),3.2107240802257118)</f>
        <v>3.21072408</v>
      </c>
      <c r="AV131" s="32">
        <f>IFERROR(__xludf.DUMMYFUNCTION("""COMPUTED_VALUE"""),53.79868780826768)</f>
        <v>53.79868781</v>
      </c>
      <c r="AW131" s="32">
        <f>IFERROR(__xludf.DUMMYFUNCTION("""COMPUTED_VALUE"""),2.274721961128189)</f>
        <v>2.274721961</v>
      </c>
      <c r="AX131" s="32">
        <f>IFERROR(__xludf.DUMMYFUNCTION("""COMPUTED_VALUE"""),55.61504995154294)</f>
        <v>55.61504995</v>
      </c>
      <c r="AY131" s="32">
        <f>IFERROR(__xludf.DUMMYFUNCTION("""COMPUTED_VALUE"""),2.4322351606225245)</f>
        <v>2.432235161</v>
      </c>
      <c r="AZ131" s="30">
        <f>IFERROR(__xludf.DUMMYFUNCTION("""COMPUTED_VALUE"""),0.1575131994943355)</f>
        <v>0.1575131995</v>
      </c>
      <c r="BA131" s="30">
        <f>IFERROR(__xludf.DUMMYFUNCTION("""COMPUTED_VALUE"""),450.0)</f>
        <v>450</v>
      </c>
    </row>
    <row r="132">
      <c r="A132" s="30" t="str">
        <f>IFERROR(__xludf.DUMMYFUNCTION("""COMPUTED_VALUE"""),"Master")</f>
        <v>Master</v>
      </c>
      <c r="B132" s="30" t="str">
        <f>IFERROR(__xludf.DUMMYFUNCTION("""COMPUTED_VALUE"""),"RSC002059")</f>
        <v>RSC002059</v>
      </c>
      <c r="C132" s="30" t="str">
        <f>IFERROR(__xludf.DUMMYFUNCTION("""COMPUTED_VALUE"""),"Thermal")</f>
        <v>Thermal</v>
      </c>
      <c r="D132" s="30"/>
      <c r="E132" s="30">
        <f>IFERROR(__xludf.DUMMYFUNCTION("""COMPUTED_VALUE"""),12.0)</f>
        <v>12</v>
      </c>
      <c r="F132" s="30">
        <f>IFERROR(__xludf.DUMMYFUNCTION("""COMPUTED_VALUE"""),5.0)</f>
        <v>5</v>
      </c>
      <c r="G132" s="30">
        <f>IFERROR(__xludf.DUMMYFUNCTION("""COMPUTED_VALUE"""),7.0)</f>
        <v>7</v>
      </c>
      <c r="H132" s="42">
        <f>IFERROR(__xludf.DUMMYFUNCTION("""COMPUTED_VALUE"""),0.4166666666666667)</f>
        <v>0.4166666667</v>
      </c>
      <c r="I132" s="42">
        <f>IFERROR(__xludf.DUMMYFUNCTION("""COMPUTED_VALUE"""),0.21052631578947367)</f>
        <v>0.2105263158</v>
      </c>
      <c r="J132" s="30">
        <f>IFERROR(__xludf.DUMMYFUNCTION("""COMPUTED_VALUE"""),321.1666666666667)</f>
        <v>321.1666667</v>
      </c>
      <c r="K132" s="30">
        <f>IFERROR(__xludf.DUMMYFUNCTION("""COMPUTED_VALUE"""),0.6666666666666666)</f>
        <v>0.6666666667</v>
      </c>
      <c r="L132" s="30">
        <f>IFERROR(__xludf.DUMMYFUNCTION("""COMPUTED_VALUE"""),0.4166666666666667)</f>
        <v>0.4166666667</v>
      </c>
      <c r="M132" s="30">
        <f>IFERROR(__xludf.DUMMYFUNCTION("""COMPUTED_VALUE"""),1.1666666666666667)</f>
        <v>1.166666667</v>
      </c>
      <c r="N132" s="30">
        <f>IFERROR(__xludf.DUMMYFUNCTION("""COMPUTED_VALUE"""),3.1666666666666665)</f>
        <v>3.166666667</v>
      </c>
      <c r="O132" s="30">
        <f>IFERROR(__xludf.DUMMYFUNCTION("""COMPUTED_VALUE"""),441.4166666666667)</f>
        <v>441.4166667</v>
      </c>
      <c r="P132" s="30">
        <f>IFERROR(__xludf.DUMMYFUNCTION("""COMPUTED_VALUE"""),1.1111111111111112)</f>
        <v>1.111111111</v>
      </c>
      <c r="Q132" s="30">
        <f>IFERROR(__xludf.DUMMYFUNCTION("""COMPUTED_VALUE"""),0.9166666666666666)</f>
        <v>0.9166666667</v>
      </c>
      <c r="R132" s="30">
        <f>IFERROR(__xludf.DUMMYFUNCTION("""COMPUTED_VALUE"""),1.777777777777778)</f>
        <v>1.777777778</v>
      </c>
      <c r="S132" s="30">
        <f>IFERROR(__xludf.DUMMYFUNCTION("""COMPUTED_VALUE"""),2.777777777777778)</f>
        <v>2.777777778</v>
      </c>
      <c r="T132" s="30">
        <f>IFERROR(__xludf.DUMMYFUNCTION("""COMPUTED_VALUE"""),393.63151348950305)</f>
        <v>393.6315135</v>
      </c>
      <c r="U132" s="30">
        <f>IFERROR(__xludf.DUMMYFUNCTION("""COMPUTED_VALUE"""),0.9305884893247196)</f>
        <v>0.9305884893</v>
      </c>
      <c r="V132" s="30">
        <f>IFERROR(__xludf.DUMMYFUNCTION("""COMPUTED_VALUE"""),0.6984998124627412)</f>
        <v>0.6984998125</v>
      </c>
      <c r="W132" s="30">
        <f>IFERROR(__xludf.DUMMYFUNCTION("""COMPUTED_VALUE"""),1.49479851679909)</f>
        <v>1.494798517</v>
      </c>
      <c r="X132" s="30">
        <f>IFERROR(__xludf.DUMMYFUNCTION("""COMPUTED_VALUE"""),2.8862646799217413)</f>
        <v>2.88626468</v>
      </c>
      <c r="Y132" s="30">
        <f>IFERROR(__xludf.DUMMYFUNCTION("""COMPUTED_VALUE"""),391.78306334362856)</f>
        <v>391.7830633</v>
      </c>
      <c r="Z132" s="30">
        <f>IFERROR(__xludf.DUMMYFUNCTION("""COMPUTED_VALUE"""),0.9298519291919726)</f>
        <v>0.9298519292</v>
      </c>
      <c r="AA132" s="30">
        <f>IFERROR(__xludf.DUMMYFUNCTION("""COMPUTED_VALUE"""),0.6865571498943027)</f>
        <v>0.6865571499</v>
      </c>
      <c r="AB132" s="30">
        <f>IFERROR(__xludf.DUMMYFUNCTION("""COMPUTED_VALUE"""),1.4808783171785243)</f>
        <v>1.480878317</v>
      </c>
      <c r="AC132" s="30">
        <f>IFERROR(__xludf.DUMMYFUNCTION("""COMPUTED_VALUE"""),2.9026606367452916)</f>
        <v>2.902660637</v>
      </c>
      <c r="AD132" s="30">
        <f>IFERROR(__xludf.DUMMYFUNCTION("""COMPUTED_VALUE"""),0.8197563823349224)</f>
        <v>0.8197563823</v>
      </c>
      <c r="AE132" s="30">
        <f>IFERROR(__xludf.DUMMYFUNCTION("""COMPUTED_VALUE"""),0.7169600295887862)</f>
        <v>0.7169600296</v>
      </c>
      <c r="AF132" s="30">
        <f>IFERROR(__xludf.DUMMYFUNCTION("""COMPUTED_VALUE"""),0.606892910125273)</f>
        <v>0.6068929101</v>
      </c>
      <c r="AG132" s="30">
        <f>IFERROR(__xludf.DUMMYFUNCTION("""COMPUTED_VALUE"""),0.7878207501136784)</f>
        <v>0.7878207501</v>
      </c>
      <c r="AH132" s="30">
        <f>IFERROR(__xludf.DUMMYFUNCTION("""COMPUTED_VALUE"""),1.0909531161098462)</f>
        <v>1.090953116</v>
      </c>
      <c r="AI132" s="30">
        <f>IFERROR(__xludf.DUMMYFUNCTION("""COMPUTED_VALUE"""),1.1213956493309012)</f>
        <v>1.121395649</v>
      </c>
      <c r="AJ132" s="30">
        <f>IFERROR(__xludf.DUMMYFUNCTION("""COMPUTED_VALUE"""),1.1939875937186668)</f>
        <v>1.193987594</v>
      </c>
      <c r="AK132" s="30">
        <f>IFERROR(__xludf.DUMMYFUNCTION("""COMPUTED_VALUE"""),1.3123363103487773)</f>
        <v>1.31233631</v>
      </c>
      <c r="AL132" s="30">
        <f>IFERROR(__xludf.DUMMYFUNCTION("""COMPUTED_VALUE"""),1.1893093000818933)</f>
        <v>1.1893093</v>
      </c>
      <c r="AM132" s="30">
        <f>IFERROR(__xludf.DUMMYFUNCTION("""COMPUTED_VALUE"""),0.9624126980111524)</f>
        <v>0.962412698</v>
      </c>
      <c r="AN132" s="30">
        <f>IFERROR(__xludf.DUMMYFUNCTION("""COMPUTED_VALUE"""),0.8565753327515426)</f>
        <v>0.8565753328</v>
      </c>
      <c r="AO132" s="30">
        <f>IFERROR(__xludf.DUMMYFUNCTION("""COMPUTED_VALUE"""),0.80761126962297)</f>
        <v>0.8076112696</v>
      </c>
      <c r="AP132" s="30">
        <f>IFERROR(__xludf.DUMMYFUNCTION("""COMPUTED_VALUE"""),0.6421598542296808)</f>
        <v>0.6421598542</v>
      </c>
      <c r="AQ132" s="30">
        <f>IFERROR(__xludf.DUMMYFUNCTION("""COMPUTED_VALUE"""),0.8029713227184107)</f>
        <v>0.8029713227</v>
      </c>
      <c r="AR132" s="30">
        <f>IFERROR(__xludf.DUMMYFUNCTION("""COMPUTED_VALUE"""),1.1649661656020331)</f>
        <v>1.164966166</v>
      </c>
      <c r="AS132" s="30">
        <f>IFERROR(__xludf.DUMMYFUNCTION("""COMPUTED_VALUE"""),23.0)</f>
        <v>23</v>
      </c>
      <c r="AT132" s="30">
        <f>IFERROR(__xludf.DUMMYFUNCTION("""COMPUTED_VALUE"""),0.29097307772493375)</f>
        <v>0.2909730777</v>
      </c>
      <c r="AU132" s="30">
        <f>IFERROR(__xludf.DUMMYFUNCTION("""COMPUTED_VALUE"""),2.2338439938137413)</f>
        <v>2.233843994</v>
      </c>
      <c r="AV132" s="32">
        <f>IFERROR(__xludf.DUMMYFUNCTION("""COMPUTED_VALUE"""),27.752752341852194)</f>
        <v>27.75275234</v>
      </c>
      <c r="AW132" s="32">
        <f>IFERROR(__xludf.DUMMYFUNCTION("""COMPUTED_VALUE"""),-5.354393887929361)</f>
        <v>-5.354393888</v>
      </c>
      <c r="AX132" s="32">
        <f>IFERROR(__xludf.DUMMYFUNCTION("""COMPUTED_VALUE"""),28.181598731503477)</f>
        <v>28.18159873</v>
      </c>
      <c r="AY132" s="32">
        <f>IFERROR(__xludf.DUMMYFUNCTION("""COMPUTED_VALUE"""),-5.224565364175885)</f>
        <v>-5.224565364</v>
      </c>
      <c r="AZ132" s="30">
        <f>IFERROR(__xludf.DUMMYFUNCTION("""COMPUTED_VALUE"""),0.12982852375347598)</f>
        <v>0.1298285238</v>
      </c>
      <c r="BA132" s="30">
        <f>IFERROR(__xludf.DUMMYFUNCTION("""COMPUTED_VALUE"""),450.0)</f>
        <v>450</v>
      </c>
    </row>
    <row r="133">
      <c r="A133" s="30" t="str">
        <f>IFERROR(__xludf.DUMMYFUNCTION("""COMPUTED_VALUE"""),"Master")</f>
        <v>Master</v>
      </c>
      <c r="B133" s="30" t="str">
        <f>IFERROR(__xludf.DUMMYFUNCTION("""COMPUTED_VALUE"""),"RSC007244")</f>
        <v>RSC007244</v>
      </c>
      <c r="C133" s="30" t="str">
        <f>IFERROR(__xludf.DUMMYFUNCTION("""COMPUTED_VALUE"""),"Joxtrot")</f>
        <v>Joxtrot</v>
      </c>
      <c r="D133" s="30" t="str">
        <f>IFERROR(__xludf.DUMMYFUNCTION("""COMPUTED_VALUE"""),"Fromunda Frauds")</f>
        <v>Fromunda Frauds</v>
      </c>
      <c r="E133" s="30">
        <f>IFERROR(__xludf.DUMMYFUNCTION("""COMPUTED_VALUE"""),44.0)</f>
        <v>44</v>
      </c>
      <c r="F133" s="30">
        <f>IFERROR(__xludf.DUMMYFUNCTION("""COMPUTED_VALUE"""),21.0)</f>
        <v>21</v>
      </c>
      <c r="G133" s="30">
        <f>IFERROR(__xludf.DUMMYFUNCTION("""COMPUTED_VALUE"""),23.0)</f>
        <v>23</v>
      </c>
      <c r="H133" s="42">
        <f>IFERROR(__xludf.DUMMYFUNCTION("""COMPUTED_VALUE"""),0.4772727272727273)</f>
        <v>0.4772727273</v>
      </c>
      <c r="I133" s="42">
        <f>IFERROR(__xludf.DUMMYFUNCTION("""COMPUTED_VALUE"""),0.33644859813084116)</f>
        <v>0.3364485981</v>
      </c>
      <c r="J133" s="30">
        <f>IFERROR(__xludf.DUMMYFUNCTION("""COMPUTED_VALUE"""),373.02272727272725)</f>
        <v>373.0227273</v>
      </c>
      <c r="K133" s="30">
        <f>IFERROR(__xludf.DUMMYFUNCTION("""COMPUTED_VALUE"""),0.8181818181818182)</f>
        <v>0.8181818182</v>
      </c>
      <c r="L133" s="30">
        <f>IFERROR(__xludf.DUMMYFUNCTION("""COMPUTED_VALUE"""),0.7272727272727273)</f>
        <v>0.7272727273</v>
      </c>
      <c r="M133" s="30">
        <f>IFERROR(__xludf.DUMMYFUNCTION("""COMPUTED_VALUE"""),1.2954545454545454)</f>
        <v>1.295454545</v>
      </c>
      <c r="N133" s="30">
        <f>IFERROR(__xludf.DUMMYFUNCTION("""COMPUTED_VALUE"""),2.4318181818181817)</f>
        <v>2.431818182</v>
      </c>
      <c r="O133" s="30">
        <f>IFERROR(__xludf.DUMMYFUNCTION("""COMPUTED_VALUE"""),389.17424242424244)</f>
        <v>389.1742424</v>
      </c>
      <c r="P133" s="30">
        <f>IFERROR(__xludf.DUMMYFUNCTION("""COMPUTED_VALUE"""),0.9090909090909093)</f>
        <v>0.9090909091</v>
      </c>
      <c r="Q133" s="30">
        <f>IFERROR(__xludf.DUMMYFUNCTION("""COMPUTED_VALUE"""),0.712121212121212)</f>
        <v>0.7121212121</v>
      </c>
      <c r="R133" s="30">
        <f>IFERROR(__xludf.DUMMYFUNCTION("""COMPUTED_VALUE"""),1.4318181818181819)</f>
        <v>1.431818182</v>
      </c>
      <c r="S133" s="30">
        <f>IFERROR(__xludf.DUMMYFUNCTION("""COMPUTED_VALUE"""),2.696969696969696)</f>
        <v>2.696969697</v>
      </c>
      <c r="T133" s="30">
        <f>IFERROR(__xludf.DUMMYFUNCTION("""COMPUTED_VALUE"""),394.3160908012658)</f>
        <v>394.3160908</v>
      </c>
      <c r="U133" s="30">
        <f>IFERROR(__xludf.DUMMYFUNCTION("""COMPUTED_VALUE"""),0.9390433247053953)</f>
        <v>0.9390433247</v>
      </c>
      <c r="V133" s="30">
        <f>IFERROR(__xludf.DUMMYFUNCTION("""COMPUTED_VALUE"""),0.6861718239737021)</f>
        <v>0.686171824</v>
      </c>
      <c r="W133" s="30">
        <f>IFERROR(__xludf.DUMMYFUNCTION("""COMPUTED_VALUE"""),1.4537679049211578)</f>
        <v>1.453767905</v>
      </c>
      <c r="X133" s="30">
        <f>IFERROR(__xludf.DUMMYFUNCTION("""COMPUTED_VALUE"""),2.874977679278381)</f>
        <v>2.874977679</v>
      </c>
      <c r="Y133" s="30">
        <f>IFERROR(__xludf.DUMMYFUNCTION("""COMPUTED_VALUE"""),382.87395539062766)</f>
        <v>382.8739554</v>
      </c>
      <c r="Z133" s="30">
        <f>IFERROR(__xludf.DUMMYFUNCTION("""COMPUTED_VALUE"""),0.855914494001265)</f>
        <v>0.855914494</v>
      </c>
      <c r="AA133" s="30">
        <f>IFERROR(__xludf.DUMMYFUNCTION("""COMPUTED_VALUE"""),0.6419966349251637)</f>
        <v>0.6419966349</v>
      </c>
      <c r="AB133" s="30">
        <f>IFERROR(__xludf.DUMMYFUNCTION("""COMPUTED_VALUE"""),1.4957563363743618)</f>
        <v>1.495756336</v>
      </c>
      <c r="AC133" s="30">
        <f>IFERROR(__xludf.DUMMYFUNCTION("""COMPUTED_VALUE"""),2.7285315069772147)</f>
        <v>2.728531507</v>
      </c>
      <c r="AD133" s="30">
        <f>IFERROR(__xludf.DUMMYFUNCTION("""COMPUTED_VALUE"""),0.9742703101655226)</f>
        <v>0.9742703102</v>
      </c>
      <c r="AE133" s="30">
        <f>IFERROR(__xludf.DUMMYFUNCTION("""COMPUTED_VALUE"""),0.9559153676168604)</f>
        <v>0.9559153676</v>
      </c>
      <c r="AF133" s="30">
        <f>IFERROR(__xludf.DUMMYFUNCTION("""COMPUTED_VALUE"""),1.132829500512108)</f>
        <v>1.132829501</v>
      </c>
      <c r="AG133" s="30">
        <f>IFERROR(__xludf.DUMMYFUNCTION("""COMPUTED_VALUE"""),0.8660866171522711)</f>
        <v>0.8660866172</v>
      </c>
      <c r="AH133" s="30">
        <f>IFERROR(__xludf.DUMMYFUNCTION("""COMPUTED_VALUE"""),0.8912553055003037)</f>
        <v>0.8912553055</v>
      </c>
      <c r="AI133" s="30">
        <f>IFERROR(__xludf.DUMMYFUNCTION("""COMPUTED_VALUE"""),0.9869600848228768)</f>
        <v>0.9869600848</v>
      </c>
      <c r="AJ133" s="30">
        <f>IFERROR(__xludf.DUMMYFUNCTION("""COMPUTED_VALUE"""),0.968103265497486)</f>
        <v>0.9681032655</v>
      </c>
      <c r="AK133" s="30">
        <f>IFERROR(__xludf.DUMMYFUNCTION("""COMPUTED_VALUE"""),1.0378176241589665)</f>
        <v>1.037817624</v>
      </c>
      <c r="AL133" s="30">
        <f>IFERROR(__xludf.DUMMYFUNCTION("""COMPUTED_VALUE"""),0.9849014942284295)</f>
        <v>0.9849014942</v>
      </c>
      <c r="AM133" s="30">
        <f>IFERROR(__xludf.DUMMYFUNCTION("""COMPUTED_VALUE"""),0.9380836993651495)</f>
        <v>0.9380836994</v>
      </c>
      <c r="AN133" s="30">
        <f>IFERROR(__xludf.DUMMYFUNCTION("""COMPUTED_VALUE"""),0.9948792944603765)</f>
        <v>0.9948792945</v>
      </c>
      <c r="AO133" s="30">
        <f>IFERROR(__xludf.DUMMYFUNCTION("""COMPUTED_VALUE"""),0.9911592854463724)</f>
        <v>0.9911592854</v>
      </c>
      <c r="AP133" s="30">
        <f>IFERROR(__xludf.DUMMYFUNCTION("""COMPUTED_VALUE"""),1.1208608364736248)</f>
        <v>1.120860836</v>
      </c>
      <c r="AQ133" s="30">
        <f>IFERROR(__xludf.DUMMYFUNCTION("""COMPUTED_VALUE"""),0.891611014187326)</f>
        <v>0.8916110142</v>
      </c>
      <c r="AR133" s="30">
        <f>IFERROR(__xludf.DUMMYFUNCTION("""COMPUTED_VALUE"""),0.8946271271728532)</f>
        <v>0.8946271272</v>
      </c>
      <c r="AS133" s="30">
        <f>IFERROR(__xludf.DUMMYFUNCTION("""COMPUTED_VALUE"""),110.0)</f>
        <v>110</v>
      </c>
      <c r="AT133" s="30">
        <f>IFERROR(__xludf.DUMMYFUNCTION("""COMPUTED_VALUE"""),0.4650896816950864)</f>
        <v>0.4650896817</v>
      </c>
      <c r="AU133" s="30">
        <f>IFERROR(__xludf.DUMMYFUNCTION("""COMPUTED_VALUE"""),3.1952862742852224)</f>
        <v>3.195286274</v>
      </c>
      <c r="AV133" s="32">
        <f>IFERROR(__xludf.DUMMYFUNCTION("""COMPUTED_VALUE"""),53.38707935922467)</f>
        <v>53.38707936</v>
      </c>
      <c r="AW133" s="32">
        <f>IFERROR(__xludf.DUMMYFUNCTION("""COMPUTED_VALUE"""),2.241574817298737)</f>
        <v>2.241574817</v>
      </c>
      <c r="AX133" s="32">
        <f>IFERROR(__xludf.DUMMYFUNCTION("""COMPUTED_VALUE"""),52.427374800657724)</f>
        <v>52.4273748</v>
      </c>
      <c r="AY133" s="32">
        <f>IFERROR(__xludf.DUMMYFUNCTION("""COMPUTED_VALUE"""),2.1676669632980308)</f>
        <v>2.167666963</v>
      </c>
      <c r="AZ133" s="30">
        <f>IFERROR(__xludf.DUMMYFUNCTION("""COMPUTED_VALUE"""),0.07390785400070632)</f>
        <v>0.073907854</v>
      </c>
      <c r="BA133" s="30">
        <f>IFERROR(__xludf.DUMMYFUNCTION("""COMPUTED_VALUE"""),450.0)</f>
        <v>450</v>
      </c>
    </row>
    <row r="134">
      <c r="A134" s="30" t="str">
        <f>IFERROR(__xludf.DUMMYFUNCTION("""COMPUTED_VALUE"""),"Master")</f>
        <v>Master</v>
      </c>
      <c r="B134" s="30" t="str">
        <f>IFERROR(__xludf.DUMMYFUNCTION("""COMPUTED_VALUE"""),"RSC000241")</f>
        <v>RSC000241</v>
      </c>
      <c r="C134" s="30" t="str">
        <f>IFERROR(__xludf.DUMMYFUNCTION("""COMPUTED_VALUE"""),"Geherpaderp")</f>
        <v>Geherpaderp</v>
      </c>
      <c r="D134" s="30" t="str">
        <f>IFERROR(__xludf.DUMMYFUNCTION("""COMPUTED_VALUE"""),"Fromunda Frauds")</f>
        <v>Fromunda Frauds</v>
      </c>
      <c r="E134" s="30">
        <f>IFERROR(__xludf.DUMMYFUNCTION("""COMPUTED_VALUE"""),38.0)</f>
        <v>38</v>
      </c>
      <c r="F134" s="30">
        <f>IFERROR(__xludf.DUMMYFUNCTION("""COMPUTED_VALUE"""),19.0)</f>
        <v>19</v>
      </c>
      <c r="G134" s="30">
        <f>IFERROR(__xludf.DUMMYFUNCTION("""COMPUTED_VALUE"""),19.0)</f>
        <v>19</v>
      </c>
      <c r="H134" s="42">
        <f>IFERROR(__xludf.DUMMYFUNCTION("""COMPUTED_VALUE"""),0.5)</f>
        <v>0.5</v>
      </c>
      <c r="I134" s="42">
        <f>IFERROR(__xludf.DUMMYFUNCTION("""COMPUTED_VALUE"""),0.3235294117647059)</f>
        <v>0.3235294118</v>
      </c>
      <c r="J134" s="30">
        <f>IFERROR(__xludf.DUMMYFUNCTION("""COMPUTED_VALUE"""),380.57894736842104)</f>
        <v>380.5789474</v>
      </c>
      <c r="K134" s="30">
        <f>IFERROR(__xludf.DUMMYFUNCTION("""COMPUTED_VALUE"""),0.868421052631579)</f>
        <v>0.8684210526</v>
      </c>
      <c r="L134" s="30">
        <f>IFERROR(__xludf.DUMMYFUNCTION("""COMPUTED_VALUE"""),0.5789473684210527)</f>
        <v>0.5789473684</v>
      </c>
      <c r="M134" s="30">
        <f>IFERROR(__xludf.DUMMYFUNCTION("""COMPUTED_VALUE"""),1.5526315789473684)</f>
        <v>1.552631579</v>
      </c>
      <c r="N134" s="30">
        <f>IFERROR(__xludf.DUMMYFUNCTION("""COMPUTED_VALUE"""),2.6842105263157894)</f>
        <v>2.684210526</v>
      </c>
      <c r="O134" s="30">
        <f>IFERROR(__xludf.DUMMYFUNCTION("""COMPUTED_VALUE"""),383.9210526315789)</f>
        <v>383.9210526</v>
      </c>
      <c r="P134" s="30">
        <f>IFERROR(__xludf.DUMMYFUNCTION("""COMPUTED_VALUE"""),0.8684210526315791)</f>
        <v>0.8684210526</v>
      </c>
      <c r="Q134" s="30">
        <f>IFERROR(__xludf.DUMMYFUNCTION("""COMPUTED_VALUE"""),0.6666666666666666)</f>
        <v>0.6666666667</v>
      </c>
      <c r="R134" s="30">
        <f>IFERROR(__xludf.DUMMYFUNCTION("""COMPUTED_VALUE"""),1.4210526315789476)</f>
        <v>1.421052632</v>
      </c>
      <c r="S134" s="30">
        <f>IFERROR(__xludf.DUMMYFUNCTION("""COMPUTED_VALUE"""),2.7105263157894726)</f>
        <v>2.710526316</v>
      </c>
      <c r="T134" s="30">
        <f>IFERROR(__xludf.DUMMYFUNCTION("""COMPUTED_VALUE"""),395.22936957491316)</f>
        <v>395.2293696</v>
      </c>
      <c r="U134" s="30">
        <f>IFERROR(__xludf.DUMMYFUNCTION("""COMPUTED_VALUE"""),0.9333458607121178)</f>
        <v>0.9333458607</v>
      </c>
      <c r="V134" s="30">
        <f>IFERROR(__xludf.DUMMYFUNCTION("""COMPUTED_VALUE"""),0.6742360710911471)</f>
        <v>0.6742360711</v>
      </c>
      <c r="W134" s="30">
        <f>IFERROR(__xludf.DUMMYFUNCTION("""COMPUTED_VALUE"""),1.4944228611375092)</f>
        <v>1.494422861</v>
      </c>
      <c r="X134" s="30">
        <f>IFERROR(__xludf.DUMMYFUNCTION("""COMPUTED_VALUE"""),2.8459293248642252)</f>
        <v>2.845929325</v>
      </c>
      <c r="Y134" s="30">
        <f>IFERROR(__xludf.DUMMYFUNCTION("""COMPUTED_VALUE"""),381.0749783941117)</f>
        <v>381.0749784</v>
      </c>
      <c r="Z134" s="30">
        <f>IFERROR(__xludf.DUMMYFUNCTION("""COMPUTED_VALUE"""),0.8461445311575707)</f>
        <v>0.8461445312</v>
      </c>
      <c r="AA134" s="30">
        <f>IFERROR(__xludf.DUMMYFUNCTION("""COMPUTED_VALUE"""),0.6428286899672482)</f>
        <v>0.64282869</v>
      </c>
      <c r="AB134" s="30">
        <f>IFERROR(__xludf.DUMMYFUNCTION("""COMPUTED_VALUE"""),1.4750516732691974)</f>
        <v>1.475051673</v>
      </c>
      <c r="AC134" s="30">
        <f>IFERROR(__xludf.DUMMYFUNCTION("""COMPUTED_VALUE"""),2.7581024211961958)</f>
        <v>2.758102421</v>
      </c>
      <c r="AD134" s="30">
        <f>IFERROR(__xludf.DUMMYFUNCTION("""COMPUTED_VALUE"""),0.9986983374563688)</f>
        <v>0.9986983375</v>
      </c>
      <c r="AE134" s="30">
        <f>IFERROR(__xludf.DUMMYFUNCTION("""COMPUTED_VALUE"""),1.0263270879308677)</f>
        <v>1.026327088</v>
      </c>
      <c r="AF134" s="30">
        <f>IFERROR(__xludf.DUMMYFUNCTION("""COMPUTED_VALUE"""),0.9006246570148413)</f>
        <v>0.900624657</v>
      </c>
      <c r="AG134" s="30">
        <f>IFERROR(__xludf.DUMMYFUNCTION("""COMPUTED_VALUE"""),1.0525947036867045)</f>
        <v>1.052594704</v>
      </c>
      <c r="AH134" s="30">
        <f>IFERROR(__xludf.DUMMYFUNCTION("""COMPUTED_VALUE"""),0.9732091548477162)</f>
        <v>0.9732091548</v>
      </c>
      <c r="AI134" s="30">
        <f>IFERROR(__xludf.DUMMYFUNCTION("""COMPUTED_VALUE"""),0.9713879640182185)</f>
        <v>0.971387964</v>
      </c>
      <c r="AJ134" s="30">
        <f>IFERROR(__xludf.DUMMYFUNCTION("""COMPUTED_VALUE"""),0.9304386392939025)</f>
        <v>0.9304386393</v>
      </c>
      <c r="AK134" s="30">
        <f>IFERROR(__xludf.DUMMYFUNCTION("""COMPUTED_VALUE"""),0.9887733618104552)</f>
        <v>0.9887733618</v>
      </c>
      <c r="AL134" s="30">
        <f>IFERROR(__xludf.DUMMYFUNCTION("""COMPUTED_VALUE"""),0.9509039700431814)</f>
        <v>0.95090397</v>
      </c>
      <c r="AM134" s="30">
        <f>IFERROR(__xludf.DUMMYFUNCTION("""COMPUTED_VALUE"""),0.9524222165702543)</f>
        <v>0.9524222166</v>
      </c>
      <c r="AN134" s="30">
        <f>IFERROR(__xludf.DUMMYFUNCTION("""COMPUTED_VALUE"""),1.0150322941785275)</f>
        <v>1.015032294</v>
      </c>
      <c r="AO134" s="30">
        <f>IFERROR(__xludf.DUMMYFUNCTION("""COMPUTED_VALUE"""),1.0520199433246584)</f>
        <v>1.052019943</v>
      </c>
      <c r="AP134" s="30">
        <f>IFERROR(__xludf.DUMMYFUNCTION("""COMPUTED_VALUE"""),0.8922642185086092)</f>
        <v>0.8922642185</v>
      </c>
      <c r="AQ134" s="30">
        <f>IFERROR(__xludf.DUMMYFUNCTION("""COMPUTED_VALUE"""),1.0686159708357794)</f>
        <v>1.068615971</v>
      </c>
      <c r="AR134" s="30">
        <f>IFERROR(__xludf.DUMMYFUNCTION("""COMPUTED_VALUE"""),0.9874782456349644)</f>
        <v>0.9874782456</v>
      </c>
      <c r="AS134" s="30">
        <f>IFERROR(__xludf.DUMMYFUNCTION("""COMPUTED_VALUE"""),96.0)</f>
        <v>96</v>
      </c>
      <c r="AT134" s="30">
        <f>IFERROR(__xludf.DUMMYFUNCTION("""COMPUTED_VALUE"""),0.48770169239075567)</f>
        <v>0.4877016924</v>
      </c>
      <c r="AU134" s="30">
        <f>IFERROR(__xludf.DUMMYFUNCTION("""COMPUTED_VALUE"""),3.157112591979554)</f>
        <v>3.157112592</v>
      </c>
      <c r="AV134" s="32">
        <f>IFERROR(__xludf.DUMMYFUNCTION("""COMPUTED_VALUE"""),52.36927862842998)</f>
        <v>52.36927863</v>
      </c>
      <c r="AW134" s="32">
        <f>IFERROR(__xludf.DUMMYFUNCTION("""COMPUTED_VALUE"""),2.1633394713052785)</f>
        <v>2.163339471</v>
      </c>
      <c r="AX134" s="32">
        <f>IFERROR(__xludf.DUMMYFUNCTION("""COMPUTED_VALUE"""),52.76142222038048)</f>
        <v>52.76142222</v>
      </c>
      <c r="AY134" s="32">
        <f>IFERROR(__xludf.DUMMYFUNCTION("""COMPUTED_VALUE"""),2.1928693542442166)</f>
        <v>2.192869354</v>
      </c>
      <c r="AZ134" s="30">
        <f>IFERROR(__xludf.DUMMYFUNCTION("""COMPUTED_VALUE"""),0.0295298829389381)</f>
        <v>0.02952988294</v>
      </c>
      <c r="BA134" s="30">
        <f>IFERROR(__xludf.DUMMYFUNCTION("""COMPUTED_VALUE"""),450.0)</f>
        <v>450</v>
      </c>
    </row>
    <row r="135">
      <c r="A135" s="30" t="str">
        <f>IFERROR(__xludf.DUMMYFUNCTION("""COMPUTED_VALUE"""),"Elite")</f>
        <v>Elite</v>
      </c>
      <c r="B135" s="30" t="str">
        <f>IFERROR(__xludf.DUMMYFUNCTION("""COMPUTED_VALUE"""),"RSC007869")</f>
        <v>RSC007869</v>
      </c>
      <c r="C135" s="30" t="str">
        <f>IFERROR(__xludf.DUMMYFUNCTION("""COMPUTED_VALUE"""),"Swishira")</f>
        <v>Swishira</v>
      </c>
      <c r="D135" s="30" t="str">
        <f>IFERROR(__xludf.DUMMYFUNCTION("""COMPUTED_VALUE"""),"Black-Holes")</f>
        <v>Black-Holes</v>
      </c>
      <c r="E135" s="30">
        <f>IFERROR(__xludf.DUMMYFUNCTION("""COMPUTED_VALUE"""),44.0)</f>
        <v>44</v>
      </c>
      <c r="F135" s="30">
        <f>IFERROR(__xludf.DUMMYFUNCTION("""COMPUTED_VALUE"""),33.0)</f>
        <v>33</v>
      </c>
      <c r="G135" s="30">
        <f>IFERROR(__xludf.DUMMYFUNCTION("""COMPUTED_VALUE"""),11.0)</f>
        <v>11</v>
      </c>
      <c r="H135" s="42">
        <f>IFERROR(__xludf.DUMMYFUNCTION("""COMPUTED_VALUE"""),0.75)</f>
        <v>0.75</v>
      </c>
      <c r="I135" s="42">
        <f>IFERROR(__xludf.DUMMYFUNCTION("""COMPUTED_VALUE"""),0.43195266272189353)</f>
        <v>0.4319526627</v>
      </c>
      <c r="J135" s="30">
        <f>IFERROR(__xludf.DUMMYFUNCTION("""COMPUTED_VALUE"""),506.75)</f>
        <v>506.75</v>
      </c>
      <c r="K135" s="30">
        <f>IFERROR(__xludf.DUMMYFUNCTION("""COMPUTED_VALUE"""),1.6590909090909092)</f>
        <v>1.659090909</v>
      </c>
      <c r="L135" s="30">
        <f>IFERROR(__xludf.DUMMYFUNCTION("""COMPUTED_VALUE"""),1.0909090909090908)</f>
        <v>1.090909091</v>
      </c>
      <c r="M135" s="30">
        <f>IFERROR(__xludf.DUMMYFUNCTION("""COMPUTED_VALUE"""),1.0454545454545454)</f>
        <v>1.045454545</v>
      </c>
      <c r="N135" s="30">
        <f>IFERROR(__xludf.DUMMYFUNCTION("""COMPUTED_VALUE"""),3.840909090909091)</f>
        <v>3.840909091</v>
      </c>
      <c r="O135" s="30">
        <f>IFERROR(__xludf.DUMMYFUNCTION("""COMPUTED_VALUE"""),358.74999999999994)</f>
        <v>358.75</v>
      </c>
      <c r="P135" s="30">
        <f>IFERROR(__xludf.DUMMYFUNCTION("""COMPUTED_VALUE"""),0.712121212121212)</f>
        <v>0.7121212121</v>
      </c>
      <c r="Q135" s="30">
        <f>IFERROR(__xludf.DUMMYFUNCTION("""COMPUTED_VALUE"""),0.5227272727272726)</f>
        <v>0.5227272727</v>
      </c>
      <c r="R135" s="30">
        <f>IFERROR(__xludf.DUMMYFUNCTION("""COMPUTED_VALUE"""),1.636363636363637)</f>
        <v>1.636363636</v>
      </c>
      <c r="S135" s="30">
        <f>IFERROR(__xludf.DUMMYFUNCTION("""COMPUTED_VALUE"""),2.3030303030303028)</f>
        <v>2.303030303</v>
      </c>
      <c r="T135" s="30">
        <f>IFERROR(__xludf.DUMMYFUNCTION("""COMPUTED_VALUE"""),343.57738286951707)</f>
        <v>343.5773829</v>
      </c>
      <c r="U135" s="30">
        <f>IFERROR(__xludf.DUMMYFUNCTION("""COMPUTED_VALUE"""),0.6772052985052306)</f>
        <v>0.6772052985</v>
      </c>
      <c r="V135" s="30">
        <f>IFERROR(__xludf.DUMMYFUNCTION("""COMPUTED_VALUE"""),0.508514680472076)</f>
        <v>0.5085146805</v>
      </c>
      <c r="W135" s="30">
        <f>IFERROR(__xludf.DUMMYFUNCTION("""COMPUTED_VALUE"""),1.4502443680414225)</f>
        <v>1.450244368</v>
      </c>
      <c r="X135" s="30">
        <f>IFERROR(__xludf.DUMMYFUNCTION("""COMPUTED_VALUE"""),2.4852384269988814)</f>
        <v>2.485238427</v>
      </c>
      <c r="Y135" s="30">
        <f>IFERROR(__xludf.DUMMYFUNCTION("""COMPUTED_VALUE"""),373.7245928659395)</f>
        <v>373.7245929</v>
      </c>
      <c r="Z135" s="30">
        <f>IFERROR(__xludf.DUMMYFUNCTION("""COMPUTED_VALUE"""),0.87562202592854)</f>
        <v>0.8756220259</v>
      </c>
      <c r="AA135" s="30">
        <f>IFERROR(__xludf.DUMMYFUNCTION("""COMPUTED_VALUE"""),0.6671629231432222)</f>
        <v>0.6671629231</v>
      </c>
      <c r="AB135" s="30">
        <f>IFERROR(__xludf.DUMMYFUNCTION("""COMPUTED_VALUE"""),1.3477849693761261)</f>
        <v>1.347784969</v>
      </c>
      <c r="AC135" s="30">
        <f>IFERROR(__xludf.DUMMYFUNCTION("""COMPUTED_VALUE"""),2.8493321190650813)</f>
        <v>2.849332119</v>
      </c>
      <c r="AD135" s="30">
        <f>IFERROR(__xludf.DUMMYFUNCTION("""COMPUTED_VALUE"""),1.355945018533417)</f>
        <v>1.355945019</v>
      </c>
      <c r="AE135" s="30">
        <f>IFERROR(__xludf.DUMMYFUNCTION("""COMPUTED_VALUE"""),1.8947569384536114)</f>
        <v>1.894756938</v>
      </c>
      <c r="AF135" s="30">
        <f>IFERROR(__xludf.DUMMYFUNCTION("""COMPUTED_VALUE"""),1.6351464583335389)</f>
        <v>1.635146458</v>
      </c>
      <c r="AG135" s="30">
        <f>IFERROR(__xludf.DUMMYFUNCTION("""COMPUTED_VALUE"""),0.7756834875065227)</f>
        <v>0.7756834875</v>
      </c>
      <c r="AH135" s="30">
        <f>IFERROR(__xludf.DUMMYFUNCTION("""COMPUTED_VALUE"""),1.3480032970566325)</f>
        <v>1.348003297</v>
      </c>
      <c r="AI135" s="30">
        <f>IFERROR(__xludf.DUMMYFUNCTION("""COMPUTED_VALUE"""),1.0441606982501672)</f>
        <v>1.044160698</v>
      </c>
      <c r="AJ135" s="30">
        <f>IFERROR(__xludf.DUMMYFUNCTION("""COMPUTED_VALUE"""),1.0515588311152468)</f>
        <v>1.051558831</v>
      </c>
      <c r="AK135" s="30">
        <f>IFERROR(__xludf.DUMMYFUNCTION("""COMPUTED_VALUE"""),1.0279492270351023)</f>
        <v>1.027949227</v>
      </c>
      <c r="AL135" s="30">
        <f>IFERROR(__xludf.DUMMYFUNCTION("""COMPUTED_VALUE"""),1.1283364875766222)</f>
        <v>1.128336488</v>
      </c>
      <c r="AM135" s="30">
        <f>IFERROR(__xludf.DUMMYFUNCTION("""COMPUTED_VALUE"""),0.926683845707066)</f>
        <v>0.9266838457</v>
      </c>
      <c r="AN135" s="30">
        <f>IFERROR(__xludf.DUMMYFUNCTION("""COMPUTED_VALUE"""),1.4454203195426825)</f>
        <v>1.44542032</v>
      </c>
      <c r="AO135" s="30">
        <f>IFERROR(__xludf.DUMMYFUNCTION("""COMPUTED_VALUE"""),2.340402186361107)</f>
        <v>2.340402186</v>
      </c>
      <c r="AP135" s="30">
        <f>IFERROR(__xludf.DUMMYFUNCTION("""COMPUTED_VALUE"""),1.910930686213385)</f>
        <v>1.910930686</v>
      </c>
      <c r="AQ135" s="30">
        <f>IFERROR(__xludf.DUMMYFUNCTION("""COMPUTED_VALUE"""),0.7334265997833905)</f>
        <v>0.7334265998</v>
      </c>
      <c r="AR135" s="30">
        <f>IFERROR(__xludf.DUMMYFUNCTION("""COMPUTED_VALUE"""),1.5322502810229675)</f>
        <v>1.532250281</v>
      </c>
      <c r="AS135" s="30">
        <f>IFERROR(__xludf.DUMMYFUNCTION("""COMPUTED_VALUE"""),164.0)</f>
        <v>164</v>
      </c>
      <c r="AT135" s="30">
        <f>IFERROR(__xludf.DUMMYFUNCTION("""COMPUTED_VALUE"""),0.7159919352282091)</f>
        <v>0.7159919352</v>
      </c>
      <c r="AU135" s="30">
        <f>IFERROR(__xludf.DUMMYFUNCTION("""COMPUTED_VALUE"""),5.181976468100388)</f>
        <v>5.181976468</v>
      </c>
      <c r="AV135" s="32">
        <f>IFERROR(__xludf.DUMMYFUNCTION("""COMPUTED_VALUE"""),130.20270500664375)</f>
        <v>130.202705</v>
      </c>
      <c r="AW135" s="32">
        <f>IFERROR(__xludf.DUMMYFUNCTION("""COMPUTED_VALUE"""),1496.8802653951439)</f>
        <v>1496.880265</v>
      </c>
      <c r="AX135" s="32">
        <f>IFERROR(__xludf.DUMMYFUNCTION("""COMPUTED_VALUE"""),106.51451719991367)</f>
        <v>106.5145172</v>
      </c>
      <c r="AY135" s="32">
        <f>IFERROR(__xludf.DUMMYFUNCTION("""COMPUTED_VALUE"""),84.08577935792069)</f>
        <v>84.08577936</v>
      </c>
      <c r="AZ135" s="30">
        <f>IFERROR(__xludf.DUMMYFUNCTION("""COMPUTED_VALUE"""),1412.7944860372231)</f>
        <v>1412.794486</v>
      </c>
      <c r="BA135" s="30">
        <f>IFERROR(__xludf.DUMMYFUNCTION("""COMPUTED_VALUE"""),800.0)</f>
        <v>800</v>
      </c>
    </row>
    <row r="136">
      <c r="A136" s="30" t="str">
        <f>IFERROR(__xludf.DUMMYFUNCTION("""COMPUTED_VALUE"""),"Elite")</f>
        <v>Elite</v>
      </c>
      <c r="B136" s="30" t="str">
        <f>IFERROR(__xludf.DUMMYFUNCTION("""COMPUTED_VALUE"""),"RSC005490")</f>
        <v>RSC005490</v>
      </c>
      <c r="C136" s="30" t="str">
        <f>IFERROR(__xludf.DUMMYFUNCTION("""COMPUTED_VALUE"""),"iProfessorEx")</f>
        <v>iProfessorEx</v>
      </c>
      <c r="D136" s="30" t="str">
        <f>IFERROR(__xludf.DUMMYFUNCTION("""COMPUTED_VALUE"""),"Repossessed")</f>
        <v>Repossessed</v>
      </c>
      <c r="E136" s="30">
        <f>IFERROR(__xludf.DUMMYFUNCTION("""COMPUTED_VALUE"""),4.0)</f>
        <v>4</v>
      </c>
      <c r="F136" s="30">
        <f>IFERROR(__xludf.DUMMYFUNCTION("""COMPUTED_VALUE"""),0.0)</f>
        <v>0</v>
      </c>
      <c r="G136" s="30">
        <f>IFERROR(__xludf.DUMMYFUNCTION("""COMPUTED_VALUE"""),4.0)</f>
        <v>4</v>
      </c>
      <c r="H136" s="42">
        <f>IFERROR(__xludf.DUMMYFUNCTION("""COMPUTED_VALUE"""),0.0)</f>
        <v>0</v>
      </c>
      <c r="I136" s="42">
        <f>IFERROR(__xludf.DUMMYFUNCTION("""COMPUTED_VALUE"""),0.0)</f>
        <v>0</v>
      </c>
      <c r="J136" s="30">
        <f>IFERROR(__xludf.DUMMYFUNCTION("""COMPUTED_VALUE"""),233.0)</f>
        <v>233</v>
      </c>
      <c r="K136" s="30">
        <f>IFERROR(__xludf.DUMMYFUNCTION("""COMPUTED_VALUE"""),0.0)</f>
        <v>0</v>
      </c>
      <c r="L136" s="30">
        <f>IFERROR(__xludf.DUMMYFUNCTION("""COMPUTED_VALUE"""),0.25)</f>
        <v>0.25</v>
      </c>
      <c r="M136" s="30">
        <f>IFERROR(__xludf.DUMMYFUNCTION("""COMPUTED_VALUE"""),1.5)</f>
        <v>1.5</v>
      </c>
      <c r="N136" s="30">
        <f>IFERROR(__xludf.DUMMYFUNCTION("""COMPUTED_VALUE"""),1.25)</f>
        <v>1.25</v>
      </c>
      <c r="O136" s="30">
        <f>IFERROR(__xludf.DUMMYFUNCTION("""COMPUTED_VALUE"""),443.0833333333333)</f>
        <v>443.0833333</v>
      </c>
      <c r="P136" s="30">
        <f>IFERROR(__xludf.DUMMYFUNCTION("""COMPUTED_VALUE"""),1.0833333333333335)</f>
        <v>1.083333333</v>
      </c>
      <c r="Q136" s="30">
        <f>IFERROR(__xludf.DUMMYFUNCTION("""COMPUTED_VALUE"""),0.9999999999999999)</f>
        <v>1</v>
      </c>
      <c r="R136" s="30">
        <f>IFERROR(__xludf.DUMMYFUNCTION("""COMPUTED_VALUE"""),1.6666666666666667)</f>
        <v>1.666666667</v>
      </c>
      <c r="S136" s="30">
        <f>IFERROR(__xludf.DUMMYFUNCTION("""COMPUTED_VALUE"""),3.0833333333333335)</f>
        <v>3.083333333</v>
      </c>
      <c r="T136" s="30">
        <f>IFERROR(__xludf.DUMMYFUNCTION("""COMPUTED_VALUE"""),382.28055555555557)</f>
        <v>382.2805556</v>
      </c>
      <c r="U136" s="30">
        <f>IFERROR(__xludf.DUMMYFUNCTION("""COMPUTED_VALUE"""),0.7972222222222222)</f>
        <v>0.7972222222</v>
      </c>
      <c r="V136" s="30">
        <f>IFERROR(__xludf.DUMMYFUNCTION("""COMPUTED_VALUE"""),0.6319444444444444)</f>
        <v>0.6319444444</v>
      </c>
      <c r="W136" s="30">
        <f>IFERROR(__xludf.DUMMYFUNCTION("""COMPUTED_VALUE"""),1.5583333333333333)</f>
        <v>1.558333333</v>
      </c>
      <c r="X136" s="30">
        <f>IFERROR(__xludf.DUMMYFUNCTION("""COMPUTED_VALUE"""),2.836111111111111)</f>
        <v>2.836111111</v>
      </c>
      <c r="Y136" s="30">
        <f>IFERROR(__xludf.DUMMYFUNCTION("""COMPUTED_VALUE"""),365.4805555555556)</f>
        <v>365.4805556</v>
      </c>
      <c r="Z136" s="30">
        <f>IFERROR(__xludf.DUMMYFUNCTION("""COMPUTED_VALUE"""),0.7250000000000001)</f>
        <v>0.725</v>
      </c>
      <c r="AA136" s="30">
        <f>IFERROR(__xludf.DUMMYFUNCTION("""COMPUTED_VALUE"""),0.524074074074074)</f>
        <v>0.5240740741</v>
      </c>
      <c r="AB136" s="30">
        <f>IFERROR(__xludf.DUMMYFUNCTION("""COMPUTED_VALUE"""),1.6199074074074074)</f>
        <v>1.619907407</v>
      </c>
      <c r="AC136" s="30">
        <f>IFERROR(__xludf.DUMMYFUNCTION("""COMPUTED_VALUE"""),2.655092592592593)</f>
        <v>2.655092593</v>
      </c>
      <c r="AD136" s="30">
        <f>IFERROR(__xludf.DUMMYFUNCTION("""COMPUTED_VALUE"""),0.6375168157600722)</f>
        <v>0.6375168158</v>
      </c>
      <c r="AE136" s="30">
        <f>IFERROR(__xludf.DUMMYFUNCTION("""COMPUTED_VALUE"""),0.0)</f>
        <v>0</v>
      </c>
      <c r="AF136" s="30">
        <f>IFERROR(__xludf.DUMMYFUNCTION("""COMPUTED_VALUE"""),0.4770318021201414)</f>
        <v>0.4770318021</v>
      </c>
      <c r="AG136" s="30">
        <f>IFERROR(__xludf.DUMMYFUNCTION("""COMPUTED_VALUE"""),0.9259788511003144)</f>
        <v>0.9259788511</v>
      </c>
      <c r="AH136" s="30">
        <f>IFERROR(__xludf.DUMMYFUNCTION("""COMPUTED_VALUE"""),0.4707933740191804)</f>
        <v>0.470793374</v>
      </c>
      <c r="AI136" s="30">
        <f>IFERROR(__xludf.DUMMYFUNCTION("""COMPUTED_VALUE"""),1.159052760843185)</f>
        <v>1.159052761</v>
      </c>
      <c r="AJ136" s="30">
        <f>IFERROR(__xludf.DUMMYFUNCTION("""COMPUTED_VALUE"""),1.3588850174216032)</f>
        <v>1.358885017</v>
      </c>
      <c r="AK136" s="30">
        <f>IFERROR(__xludf.DUMMYFUNCTION("""COMPUTED_VALUE"""),1.5824175824175823)</f>
        <v>1.582417582</v>
      </c>
      <c r="AL136" s="30">
        <f>IFERROR(__xludf.DUMMYFUNCTION("""COMPUTED_VALUE"""),1.0695187165775402)</f>
        <v>1.069518717</v>
      </c>
      <c r="AM136" s="30">
        <f>IFERROR(__xludf.DUMMYFUNCTION("""COMPUTED_VALUE"""),1.0871694417238003)</f>
        <v>1.087169442</v>
      </c>
      <c r="AN136" s="30">
        <f>IFERROR(__xludf.DUMMYFUNCTION("""COMPUTED_VALUE"""),0.6645938519061569)</f>
        <v>0.6645938519</v>
      </c>
      <c r="AO136" s="30">
        <f>IFERROR(__xludf.DUMMYFUNCTION("""COMPUTED_VALUE"""),0.0)</f>
        <v>0</v>
      </c>
      <c r="AP136" s="30">
        <f>IFERROR(__xludf.DUMMYFUNCTION("""COMPUTED_VALUE"""),0.43792161559056747)</f>
        <v>0.4379216156</v>
      </c>
      <c r="AQ136" s="30">
        <f>IFERROR(__xludf.DUMMYFUNCTION("""COMPUTED_VALUE"""),1.0523077301239951)</f>
        <v>1.05230773</v>
      </c>
      <c r="AR136" s="30">
        <f>IFERROR(__xludf.DUMMYFUNCTION("""COMPUTED_VALUE"""),0.4986613340607291)</f>
        <v>0.4986613341</v>
      </c>
      <c r="AS136" s="30">
        <f>IFERROR(__xludf.DUMMYFUNCTION("""COMPUTED_VALUE"""),3.0)</f>
        <v>3</v>
      </c>
      <c r="AT136" s="30">
        <f>IFERROR(__xludf.DUMMYFUNCTION("""COMPUTED_VALUE"""),0.10130065033179315)</f>
        <v>0.1013006503</v>
      </c>
      <c r="AU136" s="30">
        <f>IFERROR(__xludf.DUMMYFUNCTION("""COMPUTED_VALUE"""),-0.2481537381369066)</f>
        <v>-0.2481537381</v>
      </c>
      <c r="AV136" s="32">
        <f>IFERROR(__xludf.DUMMYFUNCTION("""COMPUTED_VALUE"""),-25.99071675941174)</f>
        <v>-25.99071676</v>
      </c>
      <c r="AW136" s="32">
        <f>IFERROR(__xludf.DUMMYFUNCTION("""COMPUTED_VALUE"""),-844.3450110925935)</f>
        <v>-844.3450111</v>
      </c>
      <c r="AX136" s="32">
        <f>IFERROR(__xludf.DUMMYFUNCTION("""COMPUTED_VALUE"""),-7.650046391131205)</f>
        <v>-7.650046391</v>
      </c>
      <c r="AY136" s="32">
        <f>IFERROR(__xludf.DUMMYFUNCTION("""COMPUTED_VALUE"""),-94.73945599767383)</f>
        <v>-94.739456</v>
      </c>
      <c r="AZ136" s="30">
        <f>IFERROR(__xludf.DUMMYFUNCTION("""COMPUTED_VALUE"""),749.6055550949196)</f>
        <v>749.6055551</v>
      </c>
      <c r="BA136" s="30">
        <f>IFERROR(__xludf.DUMMYFUNCTION("""COMPUTED_VALUE"""),800.0)</f>
        <v>800</v>
      </c>
    </row>
    <row r="137">
      <c r="A137" s="30" t="str">
        <f>IFERROR(__xludf.DUMMYFUNCTION("""COMPUTED_VALUE"""),"Elite")</f>
        <v>Elite</v>
      </c>
      <c r="B137" s="30" t="str">
        <f>IFERROR(__xludf.DUMMYFUNCTION("""COMPUTED_VALUE"""),"RSC000579")</f>
        <v>RSC000579</v>
      </c>
      <c r="C137" s="30" t="str">
        <f>IFERROR(__xludf.DUMMYFUNCTION("""COMPUTED_VALUE"""),"Cryptt.")</f>
        <v>Cryptt.</v>
      </c>
      <c r="D137" s="30" t="str">
        <f>IFERROR(__xludf.DUMMYFUNCTION("""COMPUTED_VALUE"""),"Cotija Cartel")</f>
        <v>Cotija Cartel</v>
      </c>
      <c r="E137" s="30">
        <f>IFERROR(__xludf.DUMMYFUNCTION("""COMPUTED_VALUE"""),46.0)</f>
        <v>46</v>
      </c>
      <c r="F137" s="30">
        <f>IFERROR(__xludf.DUMMYFUNCTION("""COMPUTED_VALUE"""),38.0)</f>
        <v>38</v>
      </c>
      <c r="G137" s="30">
        <f>IFERROR(__xludf.DUMMYFUNCTION("""COMPUTED_VALUE"""),8.0)</f>
        <v>8</v>
      </c>
      <c r="H137" s="42">
        <f>IFERROR(__xludf.DUMMYFUNCTION("""COMPUTED_VALUE"""),0.8260869565217391)</f>
        <v>0.8260869565</v>
      </c>
      <c r="I137" s="42">
        <f>IFERROR(__xludf.DUMMYFUNCTION("""COMPUTED_VALUE"""),0.3641304347826087)</f>
        <v>0.3641304348</v>
      </c>
      <c r="J137" s="30">
        <f>IFERROR(__xludf.DUMMYFUNCTION("""COMPUTED_VALUE"""),470.69565217391306)</f>
        <v>470.6956522</v>
      </c>
      <c r="K137" s="30">
        <f>IFERROR(__xludf.DUMMYFUNCTION("""COMPUTED_VALUE"""),1.4565217391304348)</f>
        <v>1.456521739</v>
      </c>
      <c r="L137" s="30">
        <f>IFERROR(__xludf.DUMMYFUNCTION("""COMPUTED_VALUE"""),0.6086956521739131)</f>
        <v>0.6086956522</v>
      </c>
      <c r="M137" s="30">
        <f>IFERROR(__xludf.DUMMYFUNCTION("""COMPUTED_VALUE"""),1.4565217391304348)</f>
        <v>1.456521739</v>
      </c>
      <c r="N137" s="30">
        <f>IFERROR(__xludf.DUMMYFUNCTION("""COMPUTED_VALUE"""),4.0)</f>
        <v>4</v>
      </c>
      <c r="O137" s="30">
        <f>IFERROR(__xludf.DUMMYFUNCTION("""COMPUTED_VALUE"""),323.60144927536237)</f>
        <v>323.6014493</v>
      </c>
      <c r="P137" s="30">
        <f>IFERROR(__xludf.DUMMYFUNCTION("""COMPUTED_VALUE"""),0.5724637681159421)</f>
        <v>0.5724637681</v>
      </c>
      <c r="Q137" s="30">
        <f>IFERROR(__xludf.DUMMYFUNCTION("""COMPUTED_VALUE"""),0.3768115942028985)</f>
        <v>0.3768115942</v>
      </c>
      <c r="R137" s="30">
        <f>IFERROR(__xludf.DUMMYFUNCTION("""COMPUTED_VALUE"""),1.3913043478260867)</f>
        <v>1.391304348</v>
      </c>
      <c r="S137" s="30">
        <f>IFERROR(__xludf.DUMMYFUNCTION("""COMPUTED_VALUE"""),2.260869565217391)</f>
        <v>2.260869565</v>
      </c>
      <c r="T137" s="30">
        <f>IFERROR(__xludf.DUMMYFUNCTION("""COMPUTED_VALUE"""),355.27758881441156)</f>
        <v>355.2775888</v>
      </c>
      <c r="U137" s="30">
        <f>IFERROR(__xludf.DUMMYFUNCTION("""COMPUTED_VALUE"""),0.7467770126823589)</f>
        <v>0.7467770127</v>
      </c>
      <c r="V137" s="30">
        <f>IFERROR(__xludf.DUMMYFUNCTION("""COMPUTED_VALUE"""),0.5312728009514456)</f>
        <v>0.531272801</v>
      </c>
      <c r="W137" s="30">
        <f>IFERROR(__xludf.DUMMYFUNCTION("""COMPUTED_VALUE"""),1.4315405421016136)</f>
        <v>1.431540542</v>
      </c>
      <c r="X137" s="30">
        <f>IFERROR(__xludf.DUMMYFUNCTION("""COMPUTED_VALUE"""),2.5416225697069548)</f>
        <v>2.54162257</v>
      </c>
      <c r="Y137" s="30">
        <f>IFERROR(__xludf.DUMMYFUNCTION("""COMPUTED_VALUE"""),363.9682177217932)</f>
        <v>363.9682177</v>
      </c>
      <c r="Z137" s="30">
        <f>IFERROR(__xludf.DUMMYFUNCTION("""COMPUTED_VALUE"""),0.8080636222417311)</f>
        <v>0.8080636222</v>
      </c>
      <c r="AA137" s="30">
        <f>IFERROR(__xludf.DUMMYFUNCTION("""COMPUTED_VALUE"""),0.6036658914544989)</f>
        <v>0.6036658915</v>
      </c>
      <c r="AB137" s="30">
        <f>IFERROR(__xludf.DUMMYFUNCTION("""COMPUTED_VALUE"""),1.370635112760502)</f>
        <v>1.370635113</v>
      </c>
      <c r="AC137" s="30">
        <f>IFERROR(__xludf.DUMMYFUNCTION("""COMPUTED_VALUE"""),2.736952176852704)</f>
        <v>2.736952177</v>
      </c>
      <c r="AD137" s="30">
        <f>IFERROR(__xludf.DUMMYFUNCTION("""COMPUTED_VALUE"""),1.2932328408237534)</f>
        <v>1.293232841</v>
      </c>
      <c r="AE137" s="30">
        <f>IFERROR(__xludf.DUMMYFUNCTION("""COMPUTED_VALUE"""),1.802483986458579)</f>
        <v>1.802483986</v>
      </c>
      <c r="AF137" s="30">
        <f>IFERROR(__xludf.DUMMYFUNCTION("""COMPUTED_VALUE"""),1.0083320273525729)</f>
        <v>1.008332027</v>
      </c>
      <c r="AG137" s="30">
        <f>IFERROR(__xludf.DUMMYFUNCTION("""COMPUTED_VALUE"""),1.0626619189675903)</f>
        <v>1.062661919</v>
      </c>
      <c r="AH137" s="30">
        <f>IFERROR(__xludf.DUMMYFUNCTION("""COMPUTED_VALUE"""),1.461479683068379)</f>
        <v>1.461479683</v>
      </c>
      <c r="AI137" s="30">
        <f>IFERROR(__xludf.DUMMYFUNCTION("""COMPUTED_VALUE"""),0.9108411548143105)</f>
        <v>0.9108411548</v>
      </c>
      <c r="AJ137" s="30">
        <f>IFERROR(__xludf.DUMMYFUNCTION("""COMPUTED_VALUE"""),0.7665792577890171)</f>
        <v>0.7665792578</v>
      </c>
      <c r="AK137" s="30">
        <f>IFERROR(__xludf.DUMMYFUNCTION("""COMPUTED_VALUE"""),0.7092619714919988)</f>
        <v>0.7092619715</v>
      </c>
      <c r="AL137" s="30">
        <f>IFERROR(__xludf.DUMMYFUNCTION("""COMPUTED_VALUE"""),0.9718930808508873)</f>
        <v>0.9718930809</v>
      </c>
      <c r="AM137" s="30">
        <f>IFERROR(__xludf.DUMMYFUNCTION("""COMPUTED_VALUE"""),0.8895378850361979)</f>
        <v>0.889537885</v>
      </c>
      <c r="AN137" s="30">
        <f>IFERROR(__xludf.DUMMYFUNCTION("""COMPUTED_VALUE"""),1.3425812727628392)</f>
        <v>1.342581273</v>
      </c>
      <c r="AO137" s="30">
        <f>IFERROR(__xludf.DUMMYFUNCTION("""COMPUTED_VALUE"""),2.0546473035713353)</f>
        <v>2.054647304</v>
      </c>
      <c r="AP137" s="30">
        <f>IFERROR(__xludf.DUMMYFUNCTION("""COMPUTED_VALUE"""),1.0662439336118166)</f>
        <v>1.066243934</v>
      </c>
      <c r="AQ137" s="30">
        <f>IFERROR(__xludf.DUMMYFUNCTION("""COMPUTED_VALUE"""),1.0218060567870677)</f>
        <v>1.021806057</v>
      </c>
      <c r="AR137" s="30">
        <f>IFERROR(__xludf.DUMMYFUNCTION("""COMPUTED_VALUE"""),1.595716268994333)</f>
        <v>1.595716269</v>
      </c>
      <c r="AS137" s="30">
        <f>IFERROR(__xludf.DUMMYFUNCTION("""COMPUTED_VALUE"""),155.0)</f>
        <v>155</v>
      </c>
      <c r="AT137" s="30">
        <f>IFERROR(__xludf.DUMMYFUNCTION("""COMPUTED_VALUE"""),0.7455420290483087)</f>
        <v>0.745542029</v>
      </c>
      <c r="AU137" s="30">
        <f>IFERROR(__xludf.DUMMYFUNCTION("""COMPUTED_VALUE"""),4.695921608434254)</f>
        <v>4.695921608</v>
      </c>
      <c r="AV137" s="32">
        <f>IFERROR(__xludf.DUMMYFUNCTION("""COMPUTED_VALUE"""),116.22171950282106)</f>
        <v>116.2217195</v>
      </c>
      <c r="AW137" s="32">
        <f>IFERROR(__xludf.DUMMYFUNCTION("""COMPUTED_VALUE"""),247.6421909782702)</f>
        <v>247.642191</v>
      </c>
      <c r="AX137" s="32">
        <f>IFERROR(__xludf.DUMMYFUNCTION("""COMPUTED_VALUE"""),93.09486835479696)</f>
        <v>93.09486835</v>
      </c>
      <c r="AY137" s="32">
        <f>IFERROR(__xludf.DUMMYFUNCTION("""COMPUTED_VALUE"""),23.60023869744289)</f>
        <v>23.6002387</v>
      </c>
      <c r="AZ137" s="30">
        <f>IFERROR(__xludf.DUMMYFUNCTION("""COMPUTED_VALUE"""),224.04195228082733)</f>
        <v>224.0419523</v>
      </c>
      <c r="BA137" s="30">
        <f>IFERROR(__xludf.DUMMYFUNCTION("""COMPUTED_VALUE"""),800.0)</f>
        <v>800</v>
      </c>
    </row>
    <row r="138">
      <c r="A138" s="30" t="str">
        <f>IFERROR(__xludf.DUMMYFUNCTION("""COMPUTED_VALUE"""),"Elite")</f>
        <v>Elite</v>
      </c>
      <c r="B138" s="30" t="str">
        <f>IFERROR(__xludf.DUMMYFUNCTION("""COMPUTED_VALUE"""),"RSC004650")</f>
        <v>RSC004650</v>
      </c>
      <c r="C138" s="30" t="str">
        <f>IFERROR(__xludf.DUMMYFUNCTION("""COMPUTED_VALUE"""),"xolzkii")</f>
        <v>xolzkii</v>
      </c>
      <c r="D138" s="30" t="str">
        <f>IFERROR(__xludf.DUMMYFUNCTION("""COMPUTED_VALUE"""),"Summoned")</f>
        <v>Summoned</v>
      </c>
      <c r="E138" s="30">
        <f>IFERROR(__xludf.DUMMYFUNCTION("""COMPUTED_VALUE"""),4.0)</f>
        <v>4</v>
      </c>
      <c r="F138" s="30">
        <f>IFERROR(__xludf.DUMMYFUNCTION("""COMPUTED_VALUE"""),0.0)</f>
        <v>0</v>
      </c>
      <c r="G138" s="30">
        <f>IFERROR(__xludf.DUMMYFUNCTION("""COMPUTED_VALUE"""),4.0)</f>
        <v>4</v>
      </c>
      <c r="H138" s="42">
        <f>IFERROR(__xludf.DUMMYFUNCTION("""COMPUTED_VALUE"""),0.0)</f>
        <v>0</v>
      </c>
      <c r="I138" s="42">
        <f>IFERROR(__xludf.DUMMYFUNCTION("""COMPUTED_VALUE"""),0.16666666666666666)</f>
        <v>0.1666666667</v>
      </c>
      <c r="J138" s="30">
        <f>IFERROR(__xludf.DUMMYFUNCTION("""COMPUTED_VALUE"""),345.5)</f>
        <v>345.5</v>
      </c>
      <c r="K138" s="30">
        <f>IFERROR(__xludf.DUMMYFUNCTION("""COMPUTED_VALUE"""),0.25)</f>
        <v>0.25</v>
      </c>
      <c r="L138" s="30">
        <f>IFERROR(__xludf.DUMMYFUNCTION("""COMPUTED_VALUE"""),0.25)</f>
        <v>0.25</v>
      </c>
      <c r="M138" s="30">
        <f>IFERROR(__xludf.DUMMYFUNCTION("""COMPUTED_VALUE"""),1.75)</f>
        <v>1.75</v>
      </c>
      <c r="N138" s="30">
        <f>IFERROR(__xludf.DUMMYFUNCTION("""COMPUTED_VALUE"""),1.5)</f>
        <v>1.5</v>
      </c>
      <c r="O138" s="30">
        <f>IFERROR(__xludf.DUMMYFUNCTION("""COMPUTED_VALUE"""),492.0)</f>
        <v>492</v>
      </c>
      <c r="P138" s="30">
        <f>IFERROR(__xludf.DUMMYFUNCTION("""COMPUTED_VALUE"""),1.3333333333333333)</f>
        <v>1.333333333</v>
      </c>
      <c r="Q138" s="30">
        <f>IFERROR(__xludf.DUMMYFUNCTION("""COMPUTED_VALUE"""),0.9166666666666666)</f>
        <v>0.9166666667</v>
      </c>
      <c r="R138" s="30">
        <f>IFERROR(__xludf.DUMMYFUNCTION("""COMPUTED_VALUE"""),1.4166666666666667)</f>
        <v>1.416666667</v>
      </c>
      <c r="S138" s="30">
        <f>IFERROR(__xludf.DUMMYFUNCTION("""COMPUTED_VALUE"""),4.666666666666666)</f>
        <v>4.666666667</v>
      </c>
      <c r="T138" s="30">
        <f>IFERROR(__xludf.DUMMYFUNCTION("""COMPUTED_VALUE"""),407.5343434343434)</f>
        <v>407.5343434</v>
      </c>
      <c r="U138" s="30">
        <f>IFERROR(__xludf.DUMMYFUNCTION("""COMPUTED_VALUE"""),1.035479797979798)</f>
        <v>1.035479798</v>
      </c>
      <c r="V138" s="30">
        <f>IFERROR(__xludf.DUMMYFUNCTION("""COMPUTED_VALUE"""),0.6847222222222222)</f>
        <v>0.6847222222</v>
      </c>
      <c r="W138" s="30">
        <f>IFERROR(__xludf.DUMMYFUNCTION("""COMPUTED_VALUE"""),1.5238636363636366)</f>
        <v>1.523863636</v>
      </c>
      <c r="X138" s="30">
        <f>IFERROR(__xludf.DUMMYFUNCTION("""COMPUTED_VALUE"""),2.862121212121212)</f>
        <v>2.862121212</v>
      </c>
      <c r="Y138" s="30">
        <f>IFERROR(__xludf.DUMMYFUNCTION("""COMPUTED_VALUE"""),347.5255892255893)</f>
        <v>347.5255892</v>
      </c>
      <c r="Z138" s="30">
        <f>IFERROR(__xludf.DUMMYFUNCTION("""COMPUTED_VALUE"""),0.7414983164983164)</f>
        <v>0.7414983165</v>
      </c>
      <c r="AA138" s="30">
        <f>IFERROR(__xludf.DUMMYFUNCTION("""COMPUTED_VALUE"""),0.5118265993265995)</f>
        <v>0.5118265993</v>
      </c>
      <c r="AB138" s="30">
        <f>IFERROR(__xludf.DUMMYFUNCTION("""COMPUTED_VALUE"""),1.3414562289562288)</f>
        <v>1.341456229</v>
      </c>
      <c r="AC138" s="30">
        <f>IFERROR(__xludf.DUMMYFUNCTION("""COMPUTED_VALUE"""),2.597516835016835)</f>
        <v>2.597516835</v>
      </c>
      <c r="AD138" s="30">
        <f>IFERROR(__xludf.DUMMYFUNCTION("""COMPUTED_VALUE"""),0.9941713954644232)</f>
        <v>0.9941713955</v>
      </c>
      <c r="AE138" s="30">
        <f>IFERROR(__xludf.DUMMYFUNCTION("""COMPUTED_VALUE"""),0.3371551822000227)</f>
        <v>0.3371551822</v>
      </c>
      <c r="AF138" s="30">
        <f>IFERROR(__xludf.DUMMYFUNCTION("""COMPUTED_VALUE"""),0.48844667379327344)</f>
        <v>0.4884466738</v>
      </c>
      <c r="AG138" s="30">
        <f>IFERROR(__xludf.DUMMYFUNCTION("""COMPUTED_VALUE"""),1.3045524425061965)</f>
        <v>1.304552443</v>
      </c>
      <c r="AH138" s="30">
        <f>IFERROR(__xludf.DUMMYFUNCTION("""COMPUTED_VALUE"""),0.5774746018114945)</f>
        <v>0.5774746018</v>
      </c>
      <c r="AI138" s="30">
        <f>IFERROR(__xludf.DUMMYFUNCTION("""COMPUTED_VALUE"""),1.207260217271148)</f>
        <v>1.207260217</v>
      </c>
      <c r="AJ138" s="30">
        <f>IFERROR(__xludf.DUMMYFUNCTION("""COMPUTED_VALUE"""),1.287647847823436)</f>
        <v>1.287647848</v>
      </c>
      <c r="AK138" s="30">
        <f>IFERROR(__xludf.DUMMYFUNCTION("""COMPUTED_VALUE"""),1.3387423935091278)</f>
        <v>1.338742394</v>
      </c>
      <c r="AL138" s="30">
        <f>IFERROR(__xludf.DUMMYFUNCTION("""COMPUTED_VALUE"""),0.9296544867014664)</f>
        <v>0.9296544867</v>
      </c>
      <c r="AM138" s="30">
        <f>IFERROR(__xludf.DUMMYFUNCTION("""COMPUTED_VALUE"""),1.6304923239809423)</f>
        <v>1.630492324</v>
      </c>
      <c r="AN138" s="30">
        <f>IFERROR(__xludf.DUMMYFUNCTION("""COMPUTED_VALUE"""),0.9854814413458249)</f>
        <v>0.9854814413</v>
      </c>
      <c r="AO138" s="30">
        <f>IFERROR(__xludf.DUMMYFUNCTION("""COMPUTED_VALUE"""),0.3526633431503038)</f>
        <v>0.3526633432</v>
      </c>
      <c r="AP138" s="30">
        <f>IFERROR(__xludf.DUMMYFUNCTION("""COMPUTED_VALUE"""),0.43792161559056747)</f>
        <v>0.4379216156</v>
      </c>
      <c r="AQ138" s="30">
        <f>IFERROR(__xludf.DUMMYFUNCTION("""COMPUTED_VALUE"""),1.2276923518113276)</f>
        <v>1.227692352</v>
      </c>
      <c r="AR138" s="30">
        <f>IFERROR(__xludf.DUMMYFUNCTION("""COMPUTED_VALUE"""),0.5983936008728749)</f>
        <v>0.5983936009</v>
      </c>
      <c r="AS138" s="30">
        <f>IFERROR(__xludf.DUMMYFUNCTION("""COMPUTED_VALUE"""),3.0)</f>
        <v>3</v>
      </c>
      <c r="AT138" s="30">
        <f>IFERROR(__xludf.DUMMYFUNCTION("""COMPUTED_VALUE"""),0.06799244525268718)</f>
        <v>0.06799244525</v>
      </c>
      <c r="AU138" s="30">
        <f>IFERROR(__xludf.DUMMYFUNCTION("""COMPUTED_VALUE"""),0.451772884846715)</f>
        <v>0.4517728848</v>
      </c>
      <c r="AV138" s="32">
        <f>IFERROR(__xludf.DUMMYFUNCTION("""COMPUTED_VALUE"""),-5.857878304930978)</f>
        <v>-5.857878305</v>
      </c>
      <c r="AW138" s="32">
        <f>IFERROR(__xludf.DUMMYFUNCTION("""COMPUTED_VALUE"""),-78.54735969879671)</f>
        <v>-78.5473597</v>
      </c>
      <c r="AX138" s="32">
        <f>IFERROR(__xludf.DUMMYFUNCTION("""COMPUTED_VALUE"""),3.945625037006792)</f>
        <v>3.945625037</v>
      </c>
      <c r="AY138" s="32">
        <f>IFERROR(__xludf.DUMMYFUNCTION("""COMPUTED_VALUE"""),-30.55788479469607)</f>
        <v>-30.55788479</v>
      </c>
      <c r="AZ138" s="30">
        <f>IFERROR(__xludf.DUMMYFUNCTION("""COMPUTED_VALUE"""),47.989474904100646)</f>
        <v>47.9894749</v>
      </c>
      <c r="BA138" s="30">
        <f>IFERROR(__xludf.DUMMYFUNCTION("""COMPUTED_VALUE"""),800.0)</f>
        <v>800</v>
      </c>
    </row>
    <row r="139">
      <c r="A139" s="30" t="str">
        <f>IFERROR(__xludf.DUMMYFUNCTION("""COMPUTED_VALUE"""),"Elite")</f>
        <v>Elite</v>
      </c>
      <c r="B139" s="30" t="str">
        <f>IFERROR(__xludf.DUMMYFUNCTION("""COMPUTED_VALUE"""),"RSC005522")</f>
        <v>RSC005522</v>
      </c>
      <c r="C139" s="30" t="str">
        <f>IFERROR(__xludf.DUMMYFUNCTION("""COMPUTED_VALUE"""),"Diviniation")</f>
        <v>Diviniation</v>
      </c>
      <c r="D139" s="30"/>
      <c r="E139" s="30">
        <f>IFERROR(__xludf.DUMMYFUNCTION("""COMPUTED_VALUE"""),2.0)</f>
        <v>2</v>
      </c>
      <c r="F139" s="30">
        <f>IFERROR(__xludf.DUMMYFUNCTION("""COMPUTED_VALUE"""),1.0)</f>
        <v>1</v>
      </c>
      <c r="G139" s="30">
        <f>IFERROR(__xludf.DUMMYFUNCTION("""COMPUTED_VALUE"""),1.0)</f>
        <v>1</v>
      </c>
      <c r="H139" s="42">
        <f>IFERROR(__xludf.DUMMYFUNCTION("""COMPUTED_VALUE"""),0.5)</f>
        <v>0.5</v>
      </c>
      <c r="I139" s="42">
        <f>IFERROR(__xludf.DUMMYFUNCTION("""COMPUTED_VALUE"""),0.0)</f>
        <v>0</v>
      </c>
      <c r="J139" s="30">
        <f>IFERROR(__xludf.DUMMYFUNCTION("""COMPUTED_VALUE"""),280.0)</f>
        <v>280</v>
      </c>
      <c r="K139" s="30">
        <f>IFERROR(__xludf.DUMMYFUNCTION("""COMPUTED_VALUE"""),0.0)</f>
        <v>0</v>
      </c>
      <c r="L139" s="30">
        <f>IFERROR(__xludf.DUMMYFUNCTION("""COMPUTED_VALUE"""),0.5)</f>
        <v>0.5</v>
      </c>
      <c r="M139" s="30">
        <f>IFERROR(__xludf.DUMMYFUNCTION("""COMPUTED_VALUE"""),2.0)</f>
        <v>2</v>
      </c>
      <c r="N139" s="30">
        <f>IFERROR(__xludf.DUMMYFUNCTION("""COMPUTED_VALUE"""),1.5)</f>
        <v>1.5</v>
      </c>
      <c r="O139" s="30">
        <f>IFERROR(__xludf.DUMMYFUNCTION("""COMPUTED_VALUE"""),323.5)</f>
        <v>323.5</v>
      </c>
      <c r="P139" s="30">
        <f>IFERROR(__xludf.DUMMYFUNCTION("""COMPUTED_VALUE"""),1.0)</f>
        <v>1</v>
      </c>
      <c r="Q139" s="30">
        <f>IFERROR(__xludf.DUMMYFUNCTION("""COMPUTED_VALUE"""),0.6666666666666666)</f>
        <v>0.6666666667</v>
      </c>
      <c r="R139" s="30">
        <f>IFERROR(__xludf.DUMMYFUNCTION("""COMPUTED_VALUE"""),0.5)</f>
        <v>0.5</v>
      </c>
      <c r="S139" s="30">
        <f>IFERROR(__xludf.DUMMYFUNCTION("""COMPUTED_VALUE"""),3.5)</f>
        <v>3.5</v>
      </c>
      <c r="T139" s="30">
        <f>IFERROR(__xludf.DUMMYFUNCTION("""COMPUTED_VALUE"""),340.7015873015873)</f>
        <v>340.7015873</v>
      </c>
      <c r="U139" s="30">
        <f>IFERROR(__xludf.DUMMYFUNCTION("""COMPUTED_VALUE"""),0.7447895100069012)</f>
        <v>0.74478951</v>
      </c>
      <c r="V139" s="30">
        <f>IFERROR(__xludf.DUMMYFUNCTION("""COMPUTED_VALUE"""),0.6051069703243616)</f>
        <v>0.6051069703</v>
      </c>
      <c r="W139" s="30">
        <f>IFERROR(__xludf.DUMMYFUNCTION("""COMPUTED_VALUE"""),1.1603864734299518)</f>
        <v>1.160386473</v>
      </c>
      <c r="X139" s="30">
        <f>IFERROR(__xludf.DUMMYFUNCTION("""COMPUTED_VALUE"""),2.7706004140786753)</f>
        <v>2.770600414</v>
      </c>
      <c r="Y139" s="30">
        <f>IFERROR(__xludf.DUMMYFUNCTION("""COMPUTED_VALUE"""),355.5930526800092)</f>
        <v>355.5930527</v>
      </c>
      <c r="Z139" s="30">
        <f>IFERROR(__xludf.DUMMYFUNCTION("""COMPUTED_VALUE"""),0.730503795721187)</f>
        <v>0.7305037957</v>
      </c>
      <c r="AA139" s="30">
        <f>IFERROR(__xludf.DUMMYFUNCTION("""COMPUTED_VALUE"""),0.5709454796411317)</f>
        <v>0.5709454796</v>
      </c>
      <c r="AB139" s="30">
        <f>IFERROR(__xludf.DUMMYFUNCTION("""COMPUTED_VALUE"""),1.4979296066252588)</f>
        <v>1.497929607</v>
      </c>
      <c r="AC139" s="30">
        <f>IFERROR(__xludf.DUMMYFUNCTION("""COMPUTED_VALUE"""),2.384334023464458)</f>
        <v>2.384334023</v>
      </c>
      <c r="AD139" s="30">
        <f>IFERROR(__xludf.DUMMYFUNCTION("""COMPUTED_VALUE"""),0.787416958485874)</f>
        <v>0.7874169585</v>
      </c>
      <c r="AE139" s="30">
        <f>IFERROR(__xludf.DUMMYFUNCTION("""COMPUTED_VALUE"""),0.0)</f>
        <v>0</v>
      </c>
      <c r="AF139" s="30">
        <f>IFERROR(__xludf.DUMMYFUNCTION("""COMPUTED_VALUE"""),0.8757403602079054)</f>
        <v>0.8757403602</v>
      </c>
      <c r="AG139" s="30">
        <f>IFERROR(__xludf.DUMMYFUNCTION("""COMPUTED_VALUE"""),1.335176226675881)</f>
        <v>1.335176227</v>
      </c>
      <c r="AH139" s="30">
        <f>IFERROR(__xludf.DUMMYFUNCTION("""COMPUTED_VALUE"""),0.6291064864395497)</f>
        <v>0.6291064864</v>
      </c>
      <c r="AI139" s="30">
        <f>IFERROR(__xludf.DUMMYFUNCTION("""COMPUTED_VALUE"""),0.949511279246373)</f>
        <v>0.9495112792</v>
      </c>
      <c r="AJ139" s="30">
        <f>IFERROR(__xludf.DUMMYFUNCTION("""COMPUTED_VALUE"""),1.3426612305411418)</f>
        <v>1.342661231</v>
      </c>
      <c r="AK139" s="30">
        <f>IFERROR(__xludf.DUMMYFUNCTION("""COMPUTED_VALUE"""),1.1017335766423357)</f>
        <v>1.101733577</v>
      </c>
      <c r="AL139" s="30">
        <f>IFERROR(__xludf.DUMMYFUNCTION("""COMPUTED_VALUE"""),0.43089092422980846)</f>
        <v>0.4308909242</v>
      </c>
      <c r="AM139" s="30">
        <f>IFERROR(__xludf.DUMMYFUNCTION("""COMPUTED_VALUE"""),1.2632640860857867)</f>
        <v>1.263264086</v>
      </c>
      <c r="AN139" s="30">
        <f>IFERROR(__xludf.DUMMYFUNCTION("""COMPUTED_VALUE"""),0.7986535559387293)</f>
        <v>0.7986535559</v>
      </c>
      <c r="AO139" s="30">
        <f>IFERROR(__xludf.DUMMYFUNCTION("""COMPUTED_VALUE"""),0.0)</f>
        <v>0</v>
      </c>
      <c r="AP139" s="30">
        <f>IFERROR(__xludf.DUMMYFUNCTION("""COMPUTED_VALUE"""),0.8758432311811349)</f>
        <v>0.8758432312</v>
      </c>
      <c r="AQ139" s="30">
        <f>IFERROR(__xludf.DUMMYFUNCTION("""COMPUTED_VALUE"""),1.4030769734986601)</f>
        <v>1.403076973</v>
      </c>
      <c r="AR139" s="30">
        <f>IFERROR(__xludf.DUMMYFUNCTION("""COMPUTED_VALUE"""),0.5983936008728749)</f>
        <v>0.5983936009</v>
      </c>
      <c r="AS139" s="30">
        <f>IFERROR(__xludf.DUMMYFUNCTION("""COMPUTED_VALUE"""),3.0)</f>
        <v>3</v>
      </c>
      <c r="AT139" s="30">
        <f>IFERROR(__xludf.DUMMYFUNCTION("""COMPUTED_VALUE"""),0.25591176740996385)</f>
        <v>0.2559117674</v>
      </c>
      <c r="AU139" s="30">
        <f>IFERROR(__xludf.DUMMYFUNCTION("""COMPUTED_VALUE"""),0.48333410378297287)</f>
        <v>0.4833341038</v>
      </c>
      <c r="AV139" s="32">
        <f>IFERROR(__xludf.DUMMYFUNCTION("""COMPUTED_VALUE"""),-4.950044681512658)</f>
        <v>-4.950044682</v>
      </c>
      <c r="AW139" s="32">
        <f>IFERROR(__xludf.DUMMYFUNCTION("""COMPUTED_VALUE"""),-71.55896572891433)</f>
        <v>-71.55896573</v>
      </c>
      <c r="AX139" s="32">
        <f>IFERROR(__xludf.DUMMYFUNCTION("""COMPUTED_VALUE"""),5.7262288977836775)</f>
        <v>5.726228898</v>
      </c>
      <c r="AY139" s="32">
        <f>IFERROR(__xludf.DUMMYFUNCTION("""COMPUTED_VALUE"""),-26.120273623900903)</f>
        <v>-26.12027362</v>
      </c>
      <c r="AZ139" s="30">
        <f>IFERROR(__xludf.DUMMYFUNCTION("""COMPUTED_VALUE"""),45.43869210501343)</f>
        <v>45.43869211</v>
      </c>
      <c r="BA139" s="30">
        <f>IFERROR(__xludf.DUMMYFUNCTION("""COMPUTED_VALUE"""),800.0)</f>
        <v>800</v>
      </c>
    </row>
    <row r="140">
      <c r="A140" s="30" t="str">
        <f>IFERROR(__xludf.DUMMYFUNCTION("""COMPUTED_VALUE"""),"Elite")</f>
        <v>Elite</v>
      </c>
      <c r="B140" s="30" t="str">
        <f>IFERROR(__xludf.DUMMYFUNCTION("""COMPUTED_VALUE"""),"RSC003110")</f>
        <v>RSC003110</v>
      </c>
      <c r="C140" s="30" t="str">
        <f>IFERROR(__xludf.DUMMYFUNCTION("""COMPUTED_VALUE"""),"Rev")</f>
        <v>Rev</v>
      </c>
      <c r="D140" s="30"/>
      <c r="E140" s="30">
        <f>IFERROR(__xludf.DUMMYFUNCTION("""COMPUTED_VALUE"""),8.0)</f>
        <v>8</v>
      </c>
      <c r="F140" s="30">
        <f>IFERROR(__xludf.DUMMYFUNCTION("""COMPUTED_VALUE"""),0.0)</f>
        <v>0</v>
      </c>
      <c r="G140" s="30">
        <f>IFERROR(__xludf.DUMMYFUNCTION("""COMPUTED_VALUE"""),8.0)</f>
        <v>8</v>
      </c>
      <c r="H140" s="42">
        <f>IFERROR(__xludf.DUMMYFUNCTION("""COMPUTED_VALUE"""),0.0)</f>
        <v>0</v>
      </c>
      <c r="I140" s="42">
        <f>IFERROR(__xludf.DUMMYFUNCTION("""COMPUTED_VALUE"""),0.058823529411764705)</f>
        <v>0.05882352941</v>
      </c>
      <c r="J140" s="30">
        <f>IFERROR(__xludf.DUMMYFUNCTION("""COMPUTED_VALUE"""),241.125)</f>
        <v>241.125</v>
      </c>
      <c r="K140" s="30">
        <f>IFERROR(__xludf.DUMMYFUNCTION("""COMPUTED_VALUE"""),0.125)</f>
        <v>0.125</v>
      </c>
      <c r="L140" s="30">
        <f>IFERROR(__xludf.DUMMYFUNCTION("""COMPUTED_VALUE"""),0.25)</f>
        <v>0.25</v>
      </c>
      <c r="M140" s="30">
        <f>IFERROR(__xludf.DUMMYFUNCTION("""COMPUTED_VALUE"""),1.125)</f>
        <v>1.125</v>
      </c>
      <c r="N140" s="30">
        <f>IFERROR(__xludf.DUMMYFUNCTION("""COMPUTED_VALUE"""),2.125)</f>
        <v>2.125</v>
      </c>
      <c r="O140" s="30">
        <f>IFERROR(__xludf.DUMMYFUNCTION("""COMPUTED_VALUE"""),413.04166666666663)</f>
        <v>413.0416667</v>
      </c>
      <c r="P140" s="30">
        <f>IFERROR(__xludf.DUMMYFUNCTION("""COMPUTED_VALUE"""),1.0833333333333333)</f>
        <v>1.083333333</v>
      </c>
      <c r="Q140" s="30">
        <f>IFERROR(__xludf.DUMMYFUNCTION("""COMPUTED_VALUE"""),0.9166666666666666)</f>
        <v>0.9166666667</v>
      </c>
      <c r="R140" s="30">
        <f>IFERROR(__xludf.DUMMYFUNCTION("""COMPUTED_VALUE"""),1.2916666666666667)</f>
        <v>1.291666667</v>
      </c>
      <c r="S140" s="30">
        <f>IFERROR(__xludf.DUMMYFUNCTION("""COMPUTED_VALUE"""),3.291666666666667)</f>
        <v>3.291666667</v>
      </c>
      <c r="T140" s="30">
        <f>IFERROR(__xludf.DUMMYFUNCTION("""COMPUTED_VALUE"""),391.5428508053508)</f>
        <v>391.5428508</v>
      </c>
      <c r="U140" s="30">
        <f>IFERROR(__xludf.DUMMYFUNCTION("""COMPUTED_VALUE"""),0.9671674515424517)</f>
        <v>0.9671674515</v>
      </c>
      <c r="V140" s="30">
        <f>IFERROR(__xludf.DUMMYFUNCTION("""COMPUTED_VALUE"""),0.6440511534261535)</f>
        <v>0.6440511534</v>
      </c>
      <c r="W140" s="30">
        <f>IFERROR(__xludf.DUMMYFUNCTION("""COMPUTED_VALUE"""),1.3997048184548184)</f>
        <v>1.399704818</v>
      </c>
      <c r="X140" s="30">
        <f>IFERROR(__xludf.DUMMYFUNCTION("""COMPUTED_VALUE"""),3.015967103467104)</f>
        <v>3.015967103</v>
      </c>
      <c r="Y140" s="30">
        <f>IFERROR(__xludf.DUMMYFUNCTION("""COMPUTED_VALUE"""),362.96247213122206)</f>
        <v>362.9624721</v>
      </c>
      <c r="Z140" s="30">
        <f>IFERROR(__xludf.DUMMYFUNCTION("""COMPUTED_VALUE"""),0.7628725316225317)</f>
        <v>0.7628725316</v>
      </c>
      <c r="AA140" s="30">
        <f>IFERROR(__xludf.DUMMYFUNCTION("""COMPUTED_VALUE"""),0.5620828214578214)</f>
        <v>0.5620828215</v>
      </c>
      <c r="AB140" s="30">
        <f>IFERROR(__xludf.DUMMYFUNCTION("""COMPUTED_VALUE"""),1.531074824824825)</f>
        <v>1.531074825</v>
      </c>
      <c r="AC140" s="30">
        <f>IFERROR(__xludf.DUMMYFUNCTION("""COMPUTED_VALUE"""),2.5454679110929113)</f>
        <v>2.545467911</v>
      </c>
      <c r="AD140" s="30">
        <f>IFERROR(__xludf.DUMMYFUNCTION("""COMPUTED_VALUE"""),0.6643248779527431)</f>
        <v>0.664324878</v>
      </c>
      <c r="AE140" s="30">
        <f>IFERROR(__xludf.DUMMYFUNCTION("""COMPUTED_VALUE"""),0.16385437254391777)</f>
        <v>0.1638543725</v>
      </c>
      <c r="AF140" s="30">
        <f>IFERROR(__xludf.DUMMYFUNCTION("""COMPUTED_VALUE"""),0.4447743116425414)</f>
        <v>0.4447743116</v>
      </c>
      <c r="AG140" s="30">
        <f>IFERROR(__xludf.DUMMYFUNCTION("""COMPUTED_VALUE"""),0.7347779362309839)</f>
        <v>0.7347779362</v>
      </c>
      <c r="AH140" s="30">
        <f>IFERROR(__xludf.DUMMYFUNCTION("""COMPUTED_VALUE"""),0.8348170451253574)</f>
        <v>0.8348170451</v>
      </c>
      <c r="AI140" s="30">
        <f>IFERROR(__xludf.DUMMYFUNCTION("""COMPUTED_VALUE"""),1.0549079514977624)</f>
        <v>1.054907951</v>
      </c>
      <c r="AJ140" s="30">
        <f>IFERROR(__xludf.DUMMYFUNCTION("""COMPUTED_VALUE"""),1.1201093787902174)</f>
        <v>1.120109379</v>
      </c>
      <c r="AK140" s="30">
        <f>IFERROR(__xludf.DUMMYFUNCTION("""COMPUTED_VALUE"""),1.4232823926954912)</f>
        <v>1.423282393</v>
      </c>
      <c r="AL140" s="30">
        <f>IFERROR(__xludf.DUMMYFUNCTION("""COMPUTED_VALUE"""),0.9228136172972394)</f>
        <v>0.9228136173</v>
      </c>
      <c r="AM140" s="30">
        <f>IFERROR(__xludf.DUMMYFUNCTION("""COMPUTED_VALUE"""),1.0914133190917843)</f>
        <v>1.091413319</v>
      </c>
      <c r="AN140" s="30">
        <f>IFERROR(__xludf.DUMMYFUNCTION("""COMPUTED_VALUE"""),0.6877690666990218)</f>
        <v>0.6877690667</v>
      </c>
      <c r="AO140" s="30">
        <f>IFERROR(__xludf.DUMMYFUNCTION("""COMPUTED_VALUE"""),0.1763316715751519)</f>
        <v>0.1763316716</v>
      </c>
      <c r="AP140" s="30">
        <f>IFERROR(__xludf.DUMMYFUNCTION("""COMPUTED_VALUE"""),0.43792161559056747)</f>
        <v>0.4379216156</v>
      </c>
      <c r="AQ140" s="30">
        <f>IFERROR(__xludf.DUMMYFUNCTION("""COMPUTED_VALUE"""),0.7892307975929963)</f>
        <v>0.7892307976</v>
      </c>
      <c r="AR140" s="30">
        <f>IFERROR(__xludf.DUMMYFUNCTION("""COMPUTED_VALUE"""),0.8477242679032394)</f>
        <v>0.8477242679</v>
      </c>
      <c r="AS140" s="30">
        <f>IFERROR(__xludf.DUMMYFUNCTION("""COMPUTED_VALUE"""),5.0)</f>
        <v>5</v>
      </c>
      <c r="AT140" s="30">
        <f>IFERROR(__xludf.DUMMYFUNCTION("""COMPUTED_VALUE"""),0.08076438143893805)</f>
        <v>0.08076438144</v>
      </c>
      <c r="AU140" s="30">
        <f>IFERROR(__xludf.DUMMYFUNCTION("""COMPUTED_VALUE"""),0.5126731608447863)</f>
        <v>0.5126731608</v>
      </c>
      <c r="AV140" s="32">
        <f>IFERROR(__xludf.DUMMYFUNCTION("""COMPUTED_VALUE"""),-4.106129795528801)</f>
        <v>-4.106129796</v>
      </c>
      <c r="AW140" s="32">
        <f>IFERROR(__xludf.DUMMYFUNCTION("""COMPUTED_VALUE"""),-65.6910740131363)</f>
        <v>-65.69107401</v>
      </c>
      <c r="AX140" s="32">
        <f>IFERROR(__xludf.DUMMYFUNCTION("""COMPUTED_VALUE"""),6.553169245519257)</f>
        <v>6.553169246</v>
      </c>
      <c r="AY140" s="32">
        <f>IFERROR(__xludf.DUMMYFUNCTION("""COMPUTED_VALUE"""),-24.321090862444148)</f>
        <v>-24.32109086</v>
      </c>
      <c r="AZ140" s="30">
        <f>IFERROR(__xludf.DUMMYFUNCTION("""COMPUTED_VALUE"""),41.36998315069215)</f>
        <v>41.36998315</v>
      </c>
      <c r="BA140" s="30">
        <f>IFERROR(__xludf.DUMMYFUNCTION("""COMPUTED_VALUE"""),800.0)</f>
        <v>800</v>
      </c>
    </row>
    <row r="141">
      <c r="A141" s="30" t="str">
        <f>IFERROR(__xludf.DUMMYFUNCTION("""COMPUTED_VALUE"""),"Elite")</f>
        <v>Elite</v>
      </c>
      <c r="B141" s="30" t="str">
        <f>IFERROR(__xludf.DUMMYFUNCTION("""COMPUTED_VALUE"""),"RSC001056")</f>
        <v>RSC001056</v>
      </c>
      <c r="C141" s="30" t="str">
        <f>IFERROR(__xludf.DUMMYFUNCTION("""COMPUTED_VALUE"""),"mysandislost")</f>
        <v>mysandislost</v>
      </c>
      <c r="D141" s="30" t="str">
        <f>IFERROR(__xludf.DUMMYFUNCTION("""COMPUTED_VALUE"""),"Orochi")</f>
        <v>Orochi</v>
      </c>
      <c r="E141" s="30">
        <f>IFERROR(__xludf.DUMMYFUNCTION("""COMPUTED_VALUE"""),20.0)</f>
        <v>20</v>
      </c>
      <c r="F141" s="30">
        <f>IFERROR(__xludf.DUMMYFUNCTION("""COMPUTED_VALUE"""),13.0)</f>
        <v>13</v>
      </c>
      <c r="G141" s="30">
        <f>IFERROR(__xludf.DUMMYFUNCTION("""COMPUTED_VALUE"""),7.0)</f>
        <v>7</v>
      </c>
      <c r="H141" s="42">
        <f>IFERROR(__xludf.DUMMYFUNCTION("""COMPUTED_VALUE"""),0.65)</f>
        <v>0.65</v>
      </c>
      <c r="I141" s="42">
        <f>IFERROR(__xludf.DUMMYFUNCTION("""COMPUTED_VALUE"""),0.24000000000000002)</f>
        <v>0.24</v>
      </c>
      <c r="J141" s="30">
        <f>IFERROR(__xludf.DUMMYFUNCTION("""COMPUTED_VALUE"""),418.45)</f>
        <v>418.45</v>
      </c>
      <c r="K141" s="30">
        <f>IFERROR(__xludf.DUMMYFUNCTION("""COMPUTED_VALUE"""),0.9)</f>
        <v>0.9</v>
      </c>
      <c r="L141" s="30">
        <f>IFERROR(__xludf.DUMMYFUNCTION("""COMPUTED_VALUE"""),0.85)</f>
        <v>0.85</v>
      </c>
      <c r="M141" s="30">
        <f>IFERROR(__xludf.DUMMYFUNCTION("""COMPUTED_VALUE"""),1.6)</f>
        <v>1.6</v>
      </c>
      <c r="N141" s="30">
        <f>IFERROR(__xludf.DUMMYFUNCTION("""COMPUTED_VALUE"""),3.75)</f>
        <v>3.75</v>
      </c>
      <c r="O141" s="30">
        <f>IFERROR(__xludf.DUMMYFUNCTION("""COMPUTED_VALUE"""),344.85)</f>
        <v>344.85</v>
      </c>
      <c r="P141" s="30">
        <f>IFERROR(__xludf.DUMMYFUNCTION("""COMPUTED_VALUE"""),0.6000000000000001)</f>
        <v>0.6</v>
      </c>
      <c r="Q141" s="30">
        <f>IFERROR(__xludf.DUMMYFUNCTION("""COMPUTED_VALUE"""),0.45)</f>
        <v>0.45</v>
      </c>
      <c r="R141" s="30">
        <f>IFERROR(__xludf.DUMMYFUNCTION("""COMPUTED_VALUE"""),1.516666666666667)</f>
        <v>1.516666667</v>
      </c>
      <c r="S141" s="30">
        <f>IFERROR(__xludf.DUMMYFUNCTION("""COMPUTED_VALUE"""),2.533333333333333)</f>
        <v>2.533333333</v>
      </c>
      <c r="T141" s="30">
        <f>IFERROR(__xludf.DUMMYFUNCTION("""COMPUTED_VALUE"""),360.90467137964225)</f>
        <v>360.9046714</v>
      </c>
      <c r="U141" s="30">
        <f>IFERROR(__xludf.DUMMYFUNCTION("""COMPUTED_VALUE"""),0.7354813337849206)</f>
        <v>0.7354813338</v>
      </c>
      <c r="V141" s="30">
        <f>IFERROR(__xludf.DUMMYFUNCTION("""COMPUTED_VALUE"""),0.5878064290640327)</f>
        <v>0.5878064291</v>
      </c>
      <c r="W141" s="30">
        <f>IFERROR(__xludf.DUMMYFUNCTION("""COMPUTED_VALUE"""),1.404486707795869)</f>
        <v>1.404486708</v>
      </c>
      <c r="X141" s="30">
        <f>IFERROR(__xludf.DUMMYFUNCTION("""COMPUTED_VALUE"""),2.749800322867097)</f>
        <v>2.749800323</v>
      </c>
      <c r="Y141" s="30">
        <f>IFERROR(__xludf.DUMMYFUNCTION("""COMPUTED_VALUE"""),351.77683061317555)</f>
        <v>351.7768306</v>
      </c>
      <c r="Z141" s="30">
        <f>IFERROR(__xludf.DUMMYFUNCTION("""COMPUTED_VALUE"""),0.671380067879341)</f>
        <v>0.6713800679</v>
      </c>
      <c r="AA141" s="30">
        <f>IFERROR(__xludf.DUMMYFUNCTION("""COMPUTED_VALUE"""),0.5134845109787083)</f>
        <v>0.513484511</v>
      </c>
      <c r="AB141" s="30">
        <f>IFERROR(__xludf.DUMMYFUNCTION("""COMPUTED_VALUE"""),1.5232281331245592)</f>
        <v>1.523228133</v>
      </c>
      <c r="AC141" s="30">
        <f>IFERROR(__xludf.DUMMYFUNCTION("""COMPUTED_VALUE"""),2.542811302882515)</f>
        <v>2.542811303</v>
      </c>
      <c r="AD141" s="30">
        <f>IFERROR(__xludf.DUMMYFUNCTION("""COMPUTED_VALUE"""),1.1895325774315713)</f>
        <v>1.189532577</v>
      </c>
      <c r="AE141" s="30">
        <f>IFERROR(__xludf.DUMMYFUNCTION("""COMPUTED_VALUE"""),1.3405223703509561)</f>
        <v>1.34052237</v>
      </c>
      <c r="AF141" s="30">
        <f>IFERROR(__xludf.DUMMYFUNCTION("""COMPUTED_VALUE"""),1.6553566501546244)</f>
        <v>1.65535665</v>
      </c>
      <c r="AG141" s="30">
        <f>IFERROR(__xludf.DUMMYFUNCTION("""COMPUTED_VALUE"""),1.0504007674267155)</f>
        <v>1.050400767</v>
      </c>
      <c r="AH141" s="30">
        <f>IFERROR(__xludf.DUMMYFUNCTION("""COMPUTED_VALUE"""),1.474745686299657)</f>
        <v>1.474745686</v>
      </c>
      <c r="AI141" s="30">
        <f>IFERROR(__xludf.DUMMYFUNCTION("""COMPUTED_VALUE"""),0.9555154791478051)</f>
        <v>0.9555154791</v>
      </c>
      <c r="AJ141" s="30">
        <f>IFERROR(__xludf.DUMMYFUNCTION("""COMPUTED_VALUE"""),0.8157922879052429)</f>
        <v>0.8157922879</v>
      </c>
      <c r="AK141" s="30">
        <f>IFERROR(__xludf.DUMMYFUNCTION("""COMPUTED_VALUE"""),0.7655581459300086)</f>
        <v>0.7655581459</v>
      </c>
      <c r="AL141" s="30">
        <f>IFERROR(__xludf.DUMMYFUNCTION("""COMPUTED_VALUE"""),1.0798725671436562)</f>
        <v>1.079872567</v>
      </c>
      <c r="AM141" s="30">
        <f>IFERROR(__xludf.DUMMYFUNCTION("""COMPUTED_VALUE"""),0.9212790151584305)</f>
        <v>0.9212790152</v>
      </c>
      <c r="AN141" s="30">
        <f>IFERROR(__xludf.DUMMYFUNCTION("""COMPUTED_VALUE"""),1.1935592160091475)</f>
        <v>1.193559216</v>
      </c>
      <c r="AO141" s="30">
        <f>IFERROR(__xludf.DUMMYFUNCTION("""COMPUTED_VALUE"""),1.2695880353410938)</f>
        <v>1.269588035</v>
      </c>
      <c r="AP141" s="30">
        <f>IFERROR(__xludf.DUMMYFUNCTION("""COMPUTED_VALUE"""),1.4889334930079292)</f>
        <v>1.488933493</v>
      </c>
      <c r="AQ141" s="30">
        <f>IFERROR(__xludf.DUMMYFUNCTION("""COMPUTED_VALUE"""),1.1224615787989283)</f>
        <v>1.122461579</v>
      </c>
      <c r="AR141" s="30">
        <f>IFERROR(__xludf.DUMMYFUNCTION("""COMPUTED_VALUE"""),1.4959840021821873)</f>
        <v>1.495984002</v>
      </c>
      <c r="AS141" s="30">
        <f>IFERROR(__xludf.DUMMYFUNCTION("""COMPUTED_VALUE"""),52.0)</f>
        <v>52</v>
      </c>
      <c r="AT141" s="30">
        <f>IFERROR(__xludf.DUMMYFUNCTION("""COMPUTED_VALUE"""),0.6370521454201967)</f>
        <v>0.6370521454</v>
      </c>
      <c r="AU141" s="30">
        <f>IFERROR(__xludf.DUMMYFUNCTION("""COMPUTED_VALUE"""),4.134917643403439)</f>
        <v>4.134917643</v>
      </c>
      <c r="AV141" s="32">
        <f>IFERROR(__xludf.DUMMYFUNCTION("""COMPUTED_VALUE"""),100.08488196956313)</f>
        <v>100.084882</v>
      </c>
      <c r="AW141" s="32">
        <f>IFERROR(__xludf.DUMMYFUNCTION("""COMPUTED_VALUE"""),44.31162986084523)</f>
        <v>44.31162986</v>
      </c>
      <c r="AX141" s="32">
        <f>IFERROR(__xludf.DUMMYFUNCTION("""COMPUTED_VALUE"""),82.50188781834441)</f>
        <v>82.50188782</v>
      </c>
      <c r="AY141" s="32">
        <f>IFERROR(__xludf.DUMMYFUNCTION("""COMPUTED_VALUE"""),10.331907922629213)</f>
        <v>10.33190792</v>
      </c>
      <c r="AZ141" s="30">
        <f>IFERROR(__xludf.DUMMYFUNCTION("""COMPUTED_VALUE"""),33.97972193821602)</f>
        <v>33.97972194</v>
      </c>
      <c r="BA141" s="30">
        <f>IFERROR(__xludf.DUMMYFUNCTION("""COMPUTED_VALUE"""),800.0)</f>
        <v>800</v>
      </c>
    </row>
    <row r="142">
      <c r="A142" s="30" t="str">
        <f>IFERROR(__xludf.DUMMYFUNCTION("""COMPUTED_VALUE"""),"Elite")</f>
        <v>Elite</v>
      </c>
      <c r="B142" s="30" t="str">
        <f>IFERROR(__xludf.DUMMYFUNCTION("""COMPUTED_VALUE"""),"RSC004794")</f>
        <v>RSC004794</v>
      </c>
      <c r="C142" s="30" t="str">
        <f>IFERROR(__xludf.DUMMYFUNCTION("""COMPUTED_VALUE"""),"Buddha")</f>
        <v>Buddha</v>
      </c>
      <c r="D142" s="30"/>
      <c r="E142" s="30">
        <f>IFERROR(__xludf.DUMMYFUNCTION("""COMPUTED_VALUE"""),4.0)</f>
        <v>4</v>
      </c>
      <c r="F142" s="30">
        <f>IFERROR(__xludf.DUMMYFUNCTION("""COMPUTED_VALUE"""),0.0)</f>
        <v>0</v>
      </c>
      <c r="G142" s="30">
        <f>IFERROR(__xludf.DUMMYFUNCTION("""COMPUTED_VALUE"""),4.0)</f>
        <v>4</v>
      </c>
      <c r="H142" s="42">
        <f>IFERROR(__xludf.DUMMYFUNCTION("""COMPUTED_VALUE"""),0.0)</f>
        <v>0</v>
      </c>
      <c r="I142" s="42">
        <f>IFERROR(__xludf.DUMMYFUNCTION("""COMPUTED_VALUE"""),0.6666666666666666)</f>
        <v>0.6666666667</v>
      </c>
      <c r="J142" s="30">
        <f>IFERROR(__xludf.DUMMYFUNCTION("""COMPUTED_VALUE"""),216.75)</f>
        <v>216.75</v>
      </c>
      <c r="K142" s="30">
        <f>IFERROR(__xludf.DUMMYFUNCTION("""COMPUTED_VALUE"""),0.5)</f>
        <v>0.5</v>
      </c>
      <c r="L142" s="30">
        <f>IFERROR(__xludf.DUMMYFUNCTION("""COMPUTED_VALUE"""),0.25)</f>
        <v>0.25</v>
      </c>
      <c r="M142" s="30">
        <f>IFERROR(__xludf.DUMMYFUNCTION("""COMPUTED_VALUE"""),0.75)</f>
        <v>0.75</v>
      </c>
      <c r="N142" s="30">
        <f>IFERROR(__xludf.DUMMYFUNCTION("""COMPUTED_VALUE"""),0.75)</f>
        <v>0.75</v>
      </c>
      <c r="O142" s="30">
        <f>IFERROR(__xludf.DUMMYFUNCTION("""COMPUTED_VALUE"""),381.3333333333333)</f>
        <v>381.3333333</v>
      </c>
      <c r="P142" s="30">
        <f>IFERROR(__xludf.DUMMYFUNCTION("""COMPUTED_VALUE"""),1.25)</f>
        <v>1.25</v>
      </c>
      <c r="Q142" s="30">
        <f>IFERROR(__xludf.DUMMYFUNCTION("""COMPUTED_VALUE"""),0.9166666666666666)</f>
        <v>0.9166666667</v>
      </c>
      <c r="R142" s="30">
        <f>IFERROR(__xludf.DUMMYFUNCTION("""COMPUTED_VALUE"""),0.7499999999999999)</f>
        <v>0.75</v>
      </c>
      <c r="S142" s="30">
        <f>IFERROR(__xludf.DUMMYFUNCTION("""COMPUTED_VALUE"""),3.5)</f>
        <v>3.5</v>
      </c>
      <c r="T142" s="30">
        <f>IFERROR(__xludf.DUMMYFUNCTION("""COMPUTED_VALUE"""),361.72716750841755)</f>
        <v>361.7271675</v>
      </c>
      <c r="U142" s="30">
        <f>IFERROR(__xludf.DUMMYFUNCTION("""COMPUTED_VALUE"""),0.6696127946127947)</f>
        <v>0.6696127946</v>
      </c>
      <c r="V142" s="30">
        <f>IFERROR(__xludf.DUMMYFUNCTION("""COMPUTED_VALUE"""),0.5808080808080809)</f>
        <v>0.5808080808</v>
      </c>
      <c r="W142" s="30">
        <f>IFERROR(__xludf.DUMMYFUNCTION("""COMPUTED_VALUE"""),1.4974747474747474)</f>
        <v>1.497474747</v>
      </c>
      <c r="X142" s="30">
        <f>IFERROR(__xludf.DUMMYFUNCTION("""COMPUTED_VALUE"""),2.7387415824915826)</f>
        <v>2.738741582</v>
      </c>
      <c r="Y142" s="30">
        <f>IFERROR(__xludf.DUMMYFUNCTION("""COMPUTED_VALUE"""),347.708648989899)</f>
        <v>347.708649</v>
      </c>
      <c r="Z142" s="30">
        <f>IFERROR(__xludf.DUMMYFUNCTION("""COMPUTED_VALUE"""),0.6434132996632996)</f>
        <v>0.6434132997</v>
      </c>
      <c r="AA142" s="30">
        <f>IFERROR(__xludf.DUMMYFUNCTION("""COMPUTED_VALUE"""),0.5343364197530863)</f>
        <v>0.5343364198</v>
      </c>
      <c r="AB142" s="30">
        <f>IFERROR(__xludf.DUMMYFUNCTION("""COMPUTED_VALUE"""),1.4895131874298537)</f>
        <v>1.489513187</v>
      </c>
      <c r="AC142" s="30">
        <f>IFERROR(__xludf.DUMMYFUNCTION("""COMPUTED_VALUE"""),2.5128367003367007)</f>
        <v>2.5128367</v>
      </c>
      <c r="AD142" s="30">
        <f>IFERROR(__xludf.DUMMYFUNCTION("""COMPUTED_VALUE"""),0.6233667198951287)</f>
        <v>0.6233667199</v>
      </c>
      <c r="AE142" s="30">
        <f>IFERROR(__xludf.DUMMYFUNCTION("""COMPUTED_VALUE"""),0.7771054783319706)</f>
        <v>0.7771054783</v>
      </c>
      <c r="AF142" s="30">
        <f>IFERROR(__xludf.DUMMYFUNCTION("""COMPUTED_VALUE"""),0.46787003610108313)</f>
        <v>0.4678700361</v>
      </c>
      <c r="AG142" s="30">
        <f>IFERROR(__xludf.DUMMYFUNCTION("""COMPUTED_VALUE"""),0.5035202147448729)</f>
        <v>0.5035202147</v>
      </c>
      <c r="AH142" s="30">
        <f>IFERROR(__xludf.DUMMYFUNCTION("""COMPUTED_VALUE"""),0.29846746503642907)</f>
        <v>0.298467465</v>
      </c>
      <c r="AI142" s="30">
        <f>IFERROR(__xludf.DUMMYFUNCTION("""COMPUTED_VALUE"""),1.0542015297329292)</f>
        <v>1.05420153</v>
      </c>
      <c r="AJ142" s="30">
        <f>IFERROR(__xludf.DUMMYFUNCTION("""COMPUTED_VALUE"""),1.866750471401634)</f>
        <v>1.866750471</v>
      </c>
      <c r="AK142" s="30">
        <f>IFERROR(__xludf.DUMMYFUNCTION("""COMPUTED_VALUE"""),1.5782608695652172)</f>
        <v>1.57826087</v>
      </c>
      <c r="AL142" s="30">
        <f>IFERROR(__xludf.DUMMYFUNCTION("""COMPUTED_VALUE"""),0.5008431703204047)</f>
        <v>0.5008431703</v>
      </c>
      <c r="AM142" s="30">
        <f>IFERROR(__xludf.DUMMYFUNCTION("""COMPUTED_VALUE"""),1.277959199354566)</f>
        <v>1.277959199</v>
      </c>
      <c r="AN142" s="30">
        <f>IFERROR(__xludf.DUMMYFUNCTION("""COMPUTED_VALUE"""),0.6182434223204271)</f>
        <v>0.6182434223</v>
      </c>
      <c r="AO142" s="30">
        <f>IFERROR(__xludf.DUMMYFUNCTION("""COMPUTED_VALUE"""),0.7053266863006076)</f>
        <v>0.7053266863</v>
      </c>
      <c r="AP142" s="30">
        <f>IFERROR(__xludf.DUMMYFUNCTION("""COMPUTED_VALUE"""),0.43792161559056747)</f>
        <v>0.4379216156</v>
      </c>
      <c r="AQ142" s="30">
        <f>IFERROR(__xludf.DUMMYFUNCTION("""COMPUTED_VALUE"""),0.5261538650619976)</f>
        <v>0.5261538651</v>
      </c>
      <c r="AR142" s="30">
        <f>IFERROR(__xludf.DUMMYFUNCTION("""COMPUTED_VALUE"""),0.2991968004364374)</f>
        <v>0.2991968004</v>
      </c>
      <c r="AS142" s="30">
        <f>IFERROR(__xludf.DUMMYFUNCTION("""COMPUTED_VALUE"""),7.0)</f>
        <v>7</v>
      </c>
      <c r="AT142" s="30">
        <f>IFERROR(__xludf.DUMMYFUNCTION("""COMPUTED_VALUE"""),0.2238904750056121)</f>
        <v>0.223890475</v>
      </c>
      <c r="AU142" s="30">
        <f>IFERROR(__xludf.DUMMYFUNCTION("""COMPUTED_VALUE"""),0.1391238940694088)</f>
        <v>0.1391238941</v>
      </c>
      <c r="AV142" s="32">
        <f>IFERROR(__xludf.DUMMYFUNCTION("""COMPUTED_VALUE"""),-14.850980463902914)</f>
        <v>-14.85098046</v>
      </c>
      <c r="AW142" s="32">
        <f>IFERROR(__xludf.DUMMYFUNCTION("""COMPUTED_VALUE"""),-210.84665607747715)</f>
        <v>-210.8466561</v>
      </c>
      <c r="AX142" s="32">
        <f>IFERROR(__xludf.DUMMYFUNCTION("""COMPUTED_VALUE"""),-13.652670385539757)</f>
        <v>-13.65267039</v>
      </c>
      <c r="AY142" s="32">
        <f>IFERROR(__xludf.DUMMYFUNCTION("""COMPUTED_VALUE"""),-183.60103093148768)</f>
        <v>-183.6010309</v>
      </c>
      <c r="AZ142" s="30">
        <f>IFERROR(__xludf.DUMMYFUNCTION("""COMPUTED_VALUE"""),27.245625145989464)</f>
        <v>27.24562515</v>
      </c>
      <c r="BA142" s="30">
        <f>IFERROR(__xludf.DUMMYFUNCTION("""COMPUTED_VALUE"""),800.0)</f>
        <v>800</v>
      </c>
    </row>
    <row r="143">
      <c r="A143" s="30" t="str">
        <f>IFERROR(__xludf.DUMMYFUNCTION("""COMPUTED_VALUE"""),"Elite")</f>
        <v>Elite</v>
      </c>
      <c r="B143" s="30" t="str">
        <f>IFERROR(__xludf.DUMMYFUNCTION("""COMPUTED_VALUE"""),"RSC005009")</f>
        <v>RSC005009</v>
      </c>
      <c r="C143" s="30" t="str">
        <f>IFERROR(__xludf.DUMMYFUNCTION("""COMPUTED_VALUE"""),"Qeetz")</f>
        <v>Qeetz</v>
      </c>
      <c r="D143" s="30"/>
      <c r="E143" s="30">
        <f>IFERROR(__xludf.DUMMYFUNCTION("""COMPUTED_VALUE"""),2.0)</f>
        <v>2</v>
      </c>
      <c r="F143" s="30">
        <f>IFERROR(__xludf.DUMMYFUNCTION("""COMPUTED_VALUE"""),1.0)</f>
        <v>1</v>
      </c>
      <c r="G143" s="30">
        <f>IFERROR(__xludf.DUMMYFUNCTION("""COMPUTED_VALUE"""),1.0)</f>
        <v>1</v>
      </c>
      <c r="H143" s="42">
        <f>IFERROR(__xludf.DUMMYFUNCTION("""COMPUTED_VALUE"""),0.5)</f>
        <v>0.5</v>
      </c>
      <c r="I143" s="42">
        <f>IFERROR(__xludf.DUMMYFUNCTION("""COMPUTED_VALUE"""),0.4)</f>
        <v>0.4</v>
      </c>
      <c r="J143" s="30">
        <f>IFERROR(__xludf.DUMMYFUNCTION("""COMPUTED_VALUE"""),241.0)</f>
        <v>241</v>
      </c>
      <c r="K143" s="30">
        <f>IFERROR(__xludf.DUMMYFUNCTION("""COMPUTED_VALUE"""),1.0)</f>
        <v>1</v>
      </c>
      <c r="L143" s="30">
        <f>IFERROR(__xludf.DUMMYFUNCTION("""COMPUTED_VALUE"""),0.0)</f>
        <v>0</v>
      </c>
      <c r="M143" s="30">
        <f>IFERROR(__xludf.DUMMYFUNCTION("""COMPUTED_VALUE"""),0.0)</f>
        <v>0</v>
      </c>
      <c r="N143" s="30">
        <f>IFERROR(__xludf.DUMMYFUNCTION("""COMPUTED_VALUE"""),2.5)</f>
        <v>2.5</v>
      </c>
      <c r="O143" s="30">
        <f>IFERROR(__xludf.DUMMYFUNCTION("""COMPUTED_VALUE"""),385.0)</f>
        <v>385</v>
      </c>
      <c r="P143" s="30">
        <f>IFERROR(__xludf.DUMMYFUNCTION("""COMPUTED_VALUE"""),1.0)</f>
        <v>1</v>
      </c>
      <c r="Q143" s="30">
        <f>IFERROR(__xludf.DUMMYFUNCTION("""COMPUTED_VALUE"""),0.5)</f>
        <v>0.5</v>
      </c>
      <c r="R143" s="30">
        <f>IFERROR(__xludf.DUMMYFUNCTION("""COMPUTED_VALUE"""),1.5)</f>
        <v>1.5</v>
      </c>
      <c r="S143" s="30">
        <f>IFERROR(__xludf.DUMMYFUNCTION("""COMPUTED_VALUE"""),2.5)</f>
        <v>2.5</v>
      </c>
      <c r="T143" s="30">
        <f>IFERROR(__xludf.DUMMYFUNCTION("""COMPUTED_VALUE"""),368.5603174603175)</f>
        <v>368.5603175</v>
      </c>
      <c r="U143" s="30">
        <f>IFERROR(__xludf.DUMMYFUNCTION("""COMPUTED_VALUE"""),0.797883597883598)</f>
        <v>0.7978835979</v>
      </c>
      <c r="V143" s="30">
        <f>IFERROR(__xludf.DUMMYFUNCTION("""COMPUTED_VALUE"""),0.5291005291005291)</f>
        <v>0.5291005291</v>
      </c>
      <c r="W143" s="30">
        <f>IFERROR(__xludf.DUMMYFUNCTION("""COMPUTED_VALUE"""),1.5031746031746032)</f>
        <v>1.503174603</v>
      </c>
      <c r="X143" s="30">
        <f>IFERROR(__xludf.DUMMYFUNCTION("""COMPUTED_VALUE"""),2.7539682539682544)</f>
        <v>2.753968254</v>
      </c>
      <c r="Y143" s="30">
        <f>IFERROR(__xludf.DUMMYFUNCTION("""COMPUTED_VALUE"""),347.43421516754853)</f>
        <v>347.4342152</v>
      </c>
      <c r="Z143" s="30">
        <f>IFERROR(__xludf.DUMMYFUNCTION("""COMPUTED_VALUE"""),0.6483245149911815)</f>
        <v>0.648324515</v>
      </c>
      <c r="AA143" s="30">
        <f>IFERROR(__xludf.DUMMYFUNCTION("""COMPUTED_VALUE"""),0.5164021164021163)</f>
        <v>0.5164021164</v>
      </c>
      <c r="AB143" s="30">
        <f>IFERROR(__xludf.DUMMYFUNCTION("""COMPUTED_VALUE"""),1.4763668430335097)</f>
        <v>1.476366843</v>
      </c>
      <c r="AC143" s="30">
        <f>IFERROR(__xludf.DUMMYFUNCTION("""COMPUTED_VALUE"""),2.5398589065255734)</f>
        <v>2.539858907</v>
      </c>
      <c r="AD143" s="30">
        <f>IFERROR(__xludf.DUMMYFUNCTION("""COMPUTED_VALUE"""),0.6936564951836389)</f>
        <v>0.6936564952</v>
      </c>
      <c r="AE143" s="30">
        <f>IFERROR(__xludf.DUMMYFUNCTION("""COMPUTED_VALUE"""),1.5424374319912952)</f>
        <v>1.542437432</v>
      </c>
      <c r="AF143" s="30">
        <f>IFERROR(__xludf.DUMMYFUNCTION("""COMPUTED_VALUE"""),0.0)</f>
        <v>0</v>
      </c>
      <c r="AG143" s="30">
        <f>IFERROR(__xludf.DUMMYFUNCTION("""COMPUTED_VALUE"""),0.0)</f>
        <v>0</v>
      </c>
      <c r="AH143" s="30">
        <f>IFERROR(__xludf.DUMMYFUNCTION("""COMPUTED_VALUE"""),0.9843066453718491)</f>
        <v>0.9843066454</v>
      </c>
      <c r="AI143" s="30">
        <f>IFERROR(__xludf.DUMMYFUNCTION("""COMPUTED_VALUE"""),1.0446051345217124)</f>
        <v>1.044605135</v>
      </c>
      <c r="AJ143" s="30">
        <f>IFERROR(__xludf.DUMMYFUNCTION("""COMPUTED_VALUE"""),1.2533156498673739)</f>
        <v>1.25331565</v>
      </c>
      <c r="AK143" s="30">
        <f>IFERROR(__xludf.DUMMYFUNCTION("""COMPUTED_VALUE"""),0.9450000000000001)</f>
        <v>0.945</v>
      </c>
      <c r="AL143" s="30">
        <f>IFERROR(__xludf.DUMMYFUNCTION("""COMPUTED_VALUE"""),0.9978880675818373)</f>
        <v>0.9978880676</v>
      </c>
      <c r="AM143" s="30">
        <f>IFERROR(__xludf.DUMMYFUNCTION("""COMPUTED_VALUE"""),0.9077809798270892)</f>
        <v>0.9077809798</v>
      </c>
      <c r="AN143" s="30">
        <f>IFERROR(__xludf.DUMMYFUNCTION("""COMPUTED_VALUE"""),0.6874125249329778)</f>
        <v>0.6874125249</v>
      </c>
      <c r="AO143" s="30">
        <f>IFERROR(__xludf.DUMMYFUNCTION("""COMPUTED_VALUE"""),1.4106533726012151)</f>
        <v>1.410653373</v>
      </c>
      <c r="AP143" s="30">
        <f>IFERROR(__xludf.DUMMYFUNCTION("""COMPUTED_VALUE"""),0.0)</f>
        <v>0</v>
      </c>
      <c r="AQ143" s="30">
        <f>IFERROR(__xludf.DUMMYFUNCTION("""COMPUTED_VALUE"""),0.0)</f>
        <v>0</v>
      </c>
      <c r="AR143" s="30">
        <f>IFERROR(__xludf.DUMMYFUNCTION("""COMPUTED_VALUE"""),0.9973226681214582)</f>
        <v>0.9973226681</v>
      </c>
      <c r="AS143" s="30">
        <f>IFERROR(__xludf.DUMMYFUNCTION("""COMPUTED_VALUE"""),5.0)</f>
        <v>5</v>
      </c>
      <c r="AT143" s="30">
        <f>IFERROR(__xludf.DUMMYFUNCTION("""COMPUTED_VALUE"""),0.42619635446806875)</f>
        <v>0.4261963545</v>
      </c>
      <c r="AU143" s="30">
        <f>IFERROR(__xludf.DUMMYFUNCTION("""COMPUTED_VALUE"""),2.013765100269366)</f>
        <v>2.0137651</v>
      </c>
      <c r="AV143" s="32">
        <f>IFERROR(__xludf.DUMMYFUNCTION("""COMPUTED_VALUE"""),39.07159845394436)</f>
        <v>39.07159845</v>
      </c>
      <c r="AW143" s="32">
        <f>IFERROR(__xludf.DUMMYFUNCTION("""COMPUTED_VALUE"""),-3.0210901893497417)</f>
        <v>-3.021090189</v>
      </c>
      <c r="AX143" s="32">
        <f>IFERROR(__xludf.DUMMYFUNCTION("""COMPUTED_VALUE"""),5.727712458893947)</f>
        <v>5.727712459</v>
      </c>
      <c r="AY143" s="32">
        <f>IFERROR(__xludf.DUMMYFUNCTION("""COMPUTED_VALUE"""),-26.11690722106651)</f>
        <v>-26.11690722</v>
      </c>
      <c r="AZ143" s="30">
        <f>IFERROR(__xludf.DUMMYFUNCTION("""COMPUTED_VALUE"""),23.095817031716766)</f>
        <v>23.09581703</v>
      </c>
      <c r="BA143" s="30">
        <f>IFERROR(__xludf.DUMMYFUNCTION("""COMPUTED_VALUE"""),800.0)</f>
        <v>800</v>
      </c>
    </row>
    <row r="144">
      <c r="A144" s="30" t="str">
        <f>IFERROR(__xludf.DUMMYFUNCTION("""COMPUTED_VALUE"""),"Elite")</f>
        <v>Elite</v>
      </c>
      <c r="B144" s="30" t="str">
        <f>IFERROR(__xludf.DUMMYFUNCTION("""COMPUTED_VALUE"""),"RSC002890")</f>
        <v>RSC002890</v>
      </c>
      <c r="C144" s="30" t="str">
        <f>IFERROR(__xludf.DUMMYFUNCTION("""COMPUTED_VALUE"""),"Myth1ck")</f>
        <v>Myth1ck</v>
      </c>
      <c r="D144" s="30" t="str">
        <f>IFERROR(__xludf.DUMMYFUNCTION("""COMPUTED_VALUE"""),"Black-Holes")</f>
        <v>Black-Holes</v>
      </c>
      <c r="E144" s="30">
        <f>IFERROR(__xludf.DUMMYFUNCTION("""COMPUTED_VALUE"""),48.0)</f>
        <v>48</v>
      </c>
      <c r="F144" s="30">
        <f>IFERROR(__xludf.DUMMYFUNCTION("""COMPUTED_VALUE"""),34.0)</f>
        <v>34</v>
      </c>
      <c r="G144" s="30">
        <f>IFERROR(__xludf.DUMMYFUNCTION("""COMPUTED_VALUE"""),14.0)</f>
        <v>14</v>
      </c>
      <c r="H144" s="42">
        <f>IFERROR(__xludf.DUMMYFUNCTION("""COMPUTED_VALUE"""),0.7083333333333334)</f>
        <v>0.7083333333</v>
      </c>
      <c r="I144" s="42">
        <f>IFERROR(__xludf.DUMMYFUNCTION("""COMPUTED_VALUE"""),0.34939759036144574)</f>
        <v>0.3493975904</v>
      </c>
      <c r="J144" s="30">
        <f>IFERROR(__xludf.DUMMYFUNCTION("""COMPUTED_VALUE"""),398.8333333333333)</f>
        <v>398.8333333</v>
      </c>
      <c r="K144" s="30">
        <f>IFERROR(__xludf.DUMMYFUNCTION("""COMPUTED_VALUE"""),1.2083333333333333)</f>
        <v>1.208333333</v>
      </c>
      <c r="L144" s="30">
        <f>IFERROR(__xludf.DUMMYFUNCTION("""COMPUTED_VALUE"""),0.8958333333333334)</f>
        <v>0.8958333333</v>
      </c>
      <c r="M144" s="30">
        <f>IFERROR(__xludf.DUMMYFUNCTION("""COMPUTED_VALUE"""),1.0833333333333333)</f>
        <v>1.083333333</v>
      </c>
      <c r="N144" s="30">
        <f>IFERROR(__xludf.DUMMYFUNCTION("""COMPUTED_VALUE"""),3.4583333333333335)</f>
        <v>3.458333333</v>
      </c>
      <c r="O144" s="30">
        <f>IFERROR(__xludf.DUMMYFUNCTION("""COMPUTED_VALUE"""),361.7847222222221)</f>
        <v>361.7847222</v>
      </c>
      <c r="P144" s="30">
        <f>IFERROR(__xludf.DUMMYFUNCTION("""COMPUTED_VALUE"""),0.736111111111111)</f>
        <v>0.7361111111</v>
      </c>
      <c r="Q144" s="30">
        <f>IFERROR(__xludf.DUMMYFUNCTION("""COMPUTED_VALUE"""),0.5208333333333333)</f>
        <v>0.5208333333</v>
      </c>
      <c r="R144" s="30">
        <f>IFERROR(__xludf.DUMMYFUNCTION("""COMPUTED_VALUE"""),1.6111111111111114)</f>
        <v>1.611111111</v>
      </c>
      <c r="S144" s="30">
        <f>IFERROR(__xludf.DUMMYFUNCTION("""COMPUTED_VALUE"""),2.361111111111111)</f>
        <v>2.361111111</v>
      </c>
      <c r="T144" s="30">
        <f>IFERROR(__xludf.DUMMYFUNCTION("""COMPUTED_VALUE"""),345.659294085417)</f>
        <v>345.6592941</v>
      </c>
      <c r="U144" s="30">
        <f>IFERROR(__xludf.DUMMYFUNCTION("""COMPUTED_VALUE"""),0.6872618234534277)</f>
        <v>0.6872618235</v>
      </c>
      <c r="V144" s="30">
        <f>IFERROR(__xludf.DUMMYFUNCTION("""COMPUTED_VALUE"""),0.5102301678577804)</f>
        <v>0.5102301679</v>
      </c>
      <c r="W144" s="30">
        <f>IFERROR(__xludf.DUMMYFUNCTION("""COMPUTED_VALUE"""),1.4546552209691868)</f>
        <v>1.454655221</v>
      </c>
      <c r="X144" s="30">
        <f>IFERROR(__xludf.DUMMYFUNCTION("""COMPUTED_VALUE"""),2.5076325792463288)</f>
        <v>2.507632579</v>
      </c>
      <c r="Y144" s="30">
        <f>IFERROR(__xludf.DUMMYFUNCTION("""COMPUTED_VALUE"""),371.5337280577401)</f>
        <v>371.5337281</v>
      </c>
      <c r="Z144" s="30">
        <f>IFERROR(__xludf.DUMMYFUNCTION("""COMPUTED_VALUE"""),0.8566805666837602)</f>
        <v>0.8566805667</v>
      </c>
      <c r="AA144" s="30">
        <f>IFERROR(__xludf.DUMMYFUNCTION("""COMPUTED_VALUE"""),0.6545995225814634)</f>
        <v>0.6545995226</v>
      </c>
      <c r="AB144" s="30">
        <f>IFERROR(__xludf.DUMMYFUNCTION("""COMPUTED_VALUE"""),1.3585001255142413)</f>
        <v>1.358500126</v>
      </c>
      <c r="AC144" s="30">
        <f>IFERROR(__xludf.DUMMYFUNCTION("""COMPUTED_VALUE"""),2.823542684686789)</f>
        <v>2.823542685</v>
      </c>
      <c r="AD144" s="30">
        <f>IFERROR(__xludf.DUMMYFUNCTION("""COMPUTED_VALUE"""),1.0734781345917284)</f>
        <v>1.073478135</v>
      </c>
      <c r="AE144" s="30">
        <f>IFERROR(__xludf.DUMMYFUNCTION("""COMPUTED_VALUE"""),1.4104829505014138)</f>
        <v>1.410482951</v>
      </c>
      <c r="AF144" s="30">
        <f>IFERROR(__xludf.DUMMYFUNCTION("""COMPUTED_VALUE"""),1.368521214009668)</f>
        <v>1.368521214</v>
      </c>
      <c r="AG144" s="30">
        <f>IFERROR(__xludf.DUMMYFUNCTION("""COMPUTED_VALUE"""),0.797448092191565)</f>
        <v>0.7974480922</v>
      </c>
      <c r="AH144" s="30">
        <f>IFERROR(__xludf.DUMMYFUNCTION("""COMPUTED_VALUE"""),1.224820631219521)</f>
        <v>1.224820631</v>
      </c>
      <c r="AI144" s="30">
        <f>IFERROR(__xludf.DUMMYFUNCTION("""COMPUTED_VALUE"""),1.046651221051271)</f>
        <v>1.046651221</v>
      </c>
      <c r="AJ144" s="30">
        <f>IFERROR(__xludf.DUMMYFUNCTION("""COMPUTED_VALUE"""),1.0710781335302755)</f>
        <v>1.071078134</v>
      </c>
      <c r="AK144" s="30">
        <f>IFERROR(__xludf.DUMMYFUNCTION("""COMPUTED_VALUE"""),1.020781141813058)</f>
        <v>1.020781142</v>
      </c>
      <c r="AL144" s="30">
        <f>IFERROR(__xludf.DUMMYFUNCTION("""COMPUTED_VALUE"""),1.1075553078740428)</f>
        <v>1.107555308</v>
      </c>
      <c r="AM144" s="30">
        <f>IFERROR(__xludf.DUMMYFUNCTION("""COMPUTED_VALUE"""),0.9415698019925811)</f>
        <v>0.941569802</v>
      </c>
      <c r="AN144" s="30">
        <f>IFERROR(__xludf.DUMMYFUNCTION("""COMPUTED_VALUE"""),1.1376059281912971)</f>
        <v>1.137605928</v>
      </c>
      <c r="AO144" s="30">
        <f>IFERROR(__xludf.DUMMYFUNCTION("""COMPUTED_VALUE"""),1.704539491893135)</f>
        <v>1.704539492</v>
      </c>
      <c r="AP144" s="30">
        <f>IFERROR(__xludf.DUMMYFUNCTION("""COMPUTED_VALUE"""),1.5692191225328669)</f>
        <v>1.569219123</v>
      </c>
      <c r="AQ144" s="30">
        <f>IFERROR(__xludf.DUMMYFUNCTION("""COMPUTED_VALUE"""),0.7600000273117742)</f>
        <v>0.7600000273</v>
      </c>
      <c r="AR144" s="30">
        <f>IFERROR(__xludf.DUMMYFUNCTION("""COMPUTED_VALUE"""),1.3796296909013506)</f>
        <v>1.379629691</v>
      </c>
      <c r="AS144" s="30">
        <f>IFERROR(__xludf.DUMMYFUNCTION("""COMPUTED_VALUE"""),172.0)</f>
        <v>172</v>
      </c>
      <c r="AT144" s="30">
        <f>IFERROR(__xludf.DUMMYFUNCTION("""COMPUTED_VALUE"""),0.690262172804142)</f>
        <v>0.6902621728</v>
      </c>
      <c r="AU144" s="30">
        <f>IFERROR(__xludf.DUMMYFUNCTION("""COMPUTED_VALUE"""),3.915603549592665)</f>
        <v>3.91560355</v>
      </c>
      <c r="AV144" s="32">
        <f>IFERROR(__xludf.DUMMYFUNCTION("""COMPUTED_VALUE"""),93.7764846654839)</f>
        <v>93.77648467</v>
      </c>
      <c r="AW144" s="32">
        <f>IFERROR(__xludf.DUMMYFUNCTION("""COMPUTED_VALUE"""),25.020115849856325)</f>
        <v>25.02011585</v>
      </c>
      <c r="AX144" s="32">
        <f>IFERROR(__xludf.DUMMYFUNCTION("""COMPUTED_VALUE"""),68.04210202249479)</f>
        <v>68.04210202</v>
      </c>
      <c r="AY144" s="32">
        <f>IFERROR(__xludf.DUMMYFUNCTION("""COMPUTED_VALUE"""),4.250898833018893)</f>
        <v>4.250898833</v>
      </c>
      <c r="AZ144" s="30">
        <f>IFERROR(__xludf.DUMMYFUNCTION("""COMPUTED_VALUE"""),20.76921701683743)</f>
        <v>20.76921702</v>
      </c>
      <c r="BA144" s="30">
        <f>IFERROR(__xludf.DUMMYFUNCTION("""COMPUTED_VALUE"""),800.0)</f>
        <v>800</v>
      </c>
    </row>
    <row r="145">
      <c r="A145" s="30" t="str">
        <f>IFERROR(__xludf.DUMMYFUNCTION("""COMPUTED_VALUE"""),"Elite")</f>
        <v>Elite</v>
      </c>
      <c r="B145" s="30" t="str">
        <f>IFERROR(__xludf.DUMMYFUNCTION("""COMPUTED_VALUE"""),"RSC006838")</f>
        <v>RSC006838</v>
      </c>
      <c r="C145" s="30" t="str">
        <f>IFERROR(__xludf.DUMMYFUNCTION("""COMPUTED_VALUE"""),"ZachOff")</f>
        <v>ZachOff</v>
      </c>
      <c r="D145" s="30" t="str">
        <f>IFERROR(__xludf.DUMMYFUNCTION("""COMPUTED_VALUE"""),"Great Whites")</f>
        <v>Great Whites</v>
      </c>
      <c r="E145" s="30">
        <f>IFERROR(__xludf.DUMMYFUNCTION("""COMPUTED_VALUE"""),44.0)</f>
        <v>44</v>
      </c>
      <c r="F145" s="30">
        <f>IFERROR(__xludf.DUMMYFUNCTION("""COMPUTED_VALUE"""),34.0)</f>
        <v>34</v>
      </c>
      <c r="G145" s="30">
        <f>IFERROR(__xludf.DUMMYFUNCTION("""COMPUTED_VALUE"""),10.0)</f>
        <v>10</v>
      </c>
      <c r="H145" s="42">
        <f>IFERROR(__xludf.DUMMYFUNCTION("""COMPUTED_VALUE"""),0.7727272727272727)</f>
        <v>0.7727272727</v>
      </c>
      <c r="I145" s="42">
        <f>IFERROR(__xludf.DUMMYFUNCTION("""COMPUTED_VALUE"""),0.3776223776223776)</f>
        <v>0.3776223776</v>
      </c>
      <c r="J145" s="30">
        <f>IFERROR(__xludf.DUMMYFUNCTION("""COMPUTED_VALUE"""),416.5)</f>
        <v>416.5</v>
      </c>
      <c r="K145" s="30">
        <f>IFERROR(__xludf.DUMMYFUNCTION("""COMPUTED_VALUE"""),1.2272727272727273)</f>
        <v>1.227272727</v>
      </c>
      <c r="L145" s="30">
        <f>IFERROR(__xludf.DUMMYFUNCTION("""COMPUTED_VALUE"""),0.6590909090909091)</f>
        <v>0.6590909091</v>
      </c>
      <c r="M145" s="30">
        <f>IFERROR(__xludf.DUMMYFUNCTION("""COMPUTED_VALUE"""),1.3636363636363635)</f>
        <v>1.363636364</v>
      </c>
      <c r="N145" s="30">
        <f>IFERROR(__xludf.DUMMYFUNCTION("""COMPUTED_VALUE"""),3.25)</f>
        <v>3.25</v>
      </c>
      <c r="O145" s="30">
        <f>IFERROR(__xludf.DUMMYFUNCTION("""COMPUTED_VALUE"""),314.2878787878788)</f>
        <v>314.2878788</v>
      </c>
      <c r="P145" s="30">
        <f>IFERROR(__xludf.DUMMYFUNCTION("""COMPUTED_VALUE"""),0.5151515151515151)</f>
        <v>0.5151515152</v>
      </c>
      <c r="Q145" s="30">
        <f>IFERROR(__xludf.DUMMYFUNCTION("""COMPUTED_VALUE"""),0.393939393939394)</f>
        <v>0.3939393939</v>
      </c>
      <c r="R145" s="30">
        <f>IFERROR(__xludf.DUMMYFUNCTION("""COMPUTED_VALUE"""),1.4848484848484844)</f>
        <v>1.484848485</v>
      </c>
      <c r="S145" s="30">
        <f>IFERROR(__xludf.DUMMYFUNCTION("""COMPUTED_VALUE"""),2.1363636363636362)</f>
        <v>2.136363636</v>
      </c>
      <c r="T145" s="30">
        <f>IFERROR(__xludf.DUMMYFUNCTION("""COMPUTED_VALUE"""),354.2233579819974)</f>
        <v>354.223358</v>
      </c>
      <c r="U145" s="30">
        <f>IFERROR(__xludf.DUMMYFUNCTION("""COMPUTED_VALUE"""),0.7180659361564579)</f>
        <v>0.7180659362</v>
      </c>
      <c r="V145" s="30">
        <f>IFERROR(__xludf.DUMMYFUNCTION("""COMPUTED_VALUE"""),0.5131907688291107)</f>
        <v>0.5131907688</v>
      </c>
      <c r="W145" s="30">
        <f>IFERROR(__xludf.DUMMYFUNCTION("""COMPUTED_VALUE"""),1.4754353748831444)</f>
        <v>1.475435375</v>
      </c>
      <c r="X145" s="30">
        <f>IFERROR(__xludf.DUMMYFUNCTION("""COMPUTED_VALUE"""),2.5794747098762474)</f>
        <v>2.57947471</v>
      </c>
      <c r="Y145" s="30">
        <f>IFERROR(__xludf.DUMMYFUNCTION("""COMPUTED_VALUE"""),370.5688483636428)</f>
        <v>370.5688484</v>
      </c>
      <c r="Z145" s="30">
        <f>IFERROR(__xludf.DUMMYFUNCTION("""COMPUTED_VALUE"""),0.8237177138403382)</f>
        <v>0.8237177138</v>
      </c>
      <c r="AA145" s="30">
        <f>IFERROR(__xludf.DUMMYFUNCTION("""COMPUTED_VALUE"""),0.6373716095630328)</f>
        <v>0.6373716096</v>
      </c>
      <c r="AB145" s="30">
        <f>IFERROR(__xludf.DUMMYFUNCTION("""COMPUTED_VALUE"""),1.4228870399125937)</f>
        <v>1.42288704</v>
      </c>
      <c r="AC145" s="30">
        <f>IFERROR(__xludf.DUMMYFUNCTION("""COMPUTED_VALUE"""),2.7742597685327857)</f>
        <v>2.774259769</v>
      </c>
      <c r="AD145" s="30">
        <f>IFERROR(__xludf.DUMMYFUNCTION("""COMPUTED_VALUE"""),1.12394768702005)</f>
        <v>1.123947687</v>
      </c>
      <c r="AE145" s="30">
        <f>IFERROR(__xludf.DUMMYFUNCTION("""COMPUTED_VALUE"""),1.4899190665099749)</f>
        <v>1.489919067</v>
      </c>
      <c r="AF145" s="30">
        <f>IFERROR(__xludf.DUMMYFUNCTION("""COMPUTED_VALUE"""),1.0340763523225744)</f>
        <v>1.034076352</v>
      </c>
      <c r="AG145" s="30">
        <f>IFERROR(__xludf.DUMMYFUNCTION("""COMPUTED_VALUE"""),0.9583588334040418)</f>
        <v>0.9583588334</v>
      </c>
      <c r="AH145" s="30">
        <f>IFERROR(__xludf.DUMMYFUNCTION("""COMPUTED_VALUE"""),1.171483664530383)</f>
        <v>1.171483665</v>
      </c>
      <c r="AI145" s="30">
        <f>IFERROR(__xludf.DUMMYFUNCTION("""COMPUTED_VALUE"""),0.8872590463214223)</f>
        <v>0.8872590463</v>
      </c>
      <c r="AJ145" s="30">
        <f>IFERROR(__xludf.DUMMYFUNCTION("""COMPUTED_VALUE"""),0.717415336408981)</f>
        <v>0.7174153364</v>
      </c>
      <c r="AK145" s="30">
        <f>IFERROR(__xludf.DUMMYFUNCTION("""COMPUTED_VALUE"""),0.7676275916618704)</f>
        <v>0.7676275917</v>
      </c>
      <c r="AL145" s="30">
        <f>IFERROR(__xludf.DUMMYFUNCTION("""COMPUTED_VALUE"""),1.0063798863207314)</f>
        <v>1.006379886</v>
      </c>
      <c r="AM145" s="30">
        <f>IFERROR(__xludf.DUMMYFUNCTION("""COMPUTED_VALUE"""),0.8282165466418278)</f>
        <v>0.8282165466</v>
      </c>
      <c r="AN145" s="30">
        <f>IFERROR(__xludf.DUMMYFUNCTION("""COMPUTED_VALUE"""),1.1879971644588598)</f>
        <v>1.187997164</v>
      </c>
      <c r="AO145" s="30">
        <f>IFERROR(__xludf.DUMMYFUNCTION("""COMPUTED_VALUE"""),1.731256411828764)</f>
        <v>1.731256412</v>
      </c>
      <c r="AP145" s="30">
        <f>IFERROR(__xludf.DUMMYFUNCTION("""COMPUTED_VALUE"""),1.1545206229205869)</f>
        <v>1.154520623</v>
      </c>
      <c r="AQ145" s="30">
        <f>IFERROR(__xludf.DUMMYFUNCTION("""COMPUTED_VALUE"""),0.9566433910218137)</f>
        <v>0.956643391</v>
      </c>
      <c r="AR145" s="30">
        <f>IFERROR(__xludf.DUMMYFUNCTION("""COMPUTED_VALUE"""),1.2965194685578956)</f>
        <v>1.296519469</v>
      </c>
      <c r="AS145" s="30">
        <f>IFERROR(__xludf.DUMMYFUNCTION("""COMPUTED_VALUE"""),128.0)</f>
        <v>128</v>
      </c>
      <c r="AT145" s="30">
        <f>IFERROR(__xludf.DUMMYFUNCTION("""COMPUTED_VALUE"""),0.7253470001700466)</f>
        <v>0.7253470002</v>
      </c>
      <c r="AU145" s="30">
        <f>IFERROR(__xludf.DUMMYFUNCTION("""COMPUTED_VALUE"""),3.94387977357912)</f>
        <v>3.943879774</v>
      </c>
      <c r="AV145" s="32">
        <f>IFERROR(__xludf.DUMMYFUNCTION("""COMPUTED_VALUE"""),94.58982799452502)</f>
        <v>94.58982799</v>
      </c>
      <c r="AW145" s="32">
        <f>IFERROR(__xludf.DUMMYFUNCTION("""COMPUTED_VALUE"""),26.849312006748402)</f>
        <v>26.84931201</v>
      </c>
      <c r="AX145" s="32">
        <f>IFERROR(__xludf.DUMMYFUNCTION("""COMPUTED_VALUE"""),80.29424759135507)</f>
        <v>80.29424759</v>
      </c>
      <c r="AY145" s="32">
        <f>IFERROR(__xludf.DUMMYFUNCTION("""COMPUTED_VALUE"""),8.86522968025793)</f>
        <v>8.86522968</v>
      </c>
      <c r="AZ145" s="30">
        <f>IFERROR(__xludf.DUMMYFUNCTION("""COMPUTED_VALUE"""),17.984082326490473)</f>
        <v>17.98408233</v>
      </c>
      <c r="BA145" s="30">
        <f>IFERROR(__xludf.DUMMYFUNCTION("""COMPUTED_VALUE"""),800.0)</f>
        <v>800</v>
      </c>
    </row>
    <row r="146">
      <c r="A146" s="30" t="str">
        <f>IFERROR(__xludf.DUMMYFUNCTION("""COMPUTED_VALUE"""),"Elite")</f>
        <v>Elite</v>
      </c>
      <c r="B146" s="30" t="str">
        <f>IFERROR(__xludf.DUMMYFUNCTION("""COMPUTED_VALUE"""),"RSC007260")</f>
        <v>RSC007260</v>
      </c>
      <c r="C146" s="30" t="str">
        <f>IFERROR(__xludf.DUMMYFUNCTION("""COMPUTED_VALUE"""),"Veoloux")</f>
        <v>Veoloux</v>
      </c>
      <c r="D146" s="30" t="str">
        <f>IFERROR(__xludf.DUMMYFUNCTION("""COMPUTED_VALUE"""),"Ghastly Goombahs")</f>
        <v>Ghastly Goombahs</v>
      </c>
      <c r="E146" s="30">
        <f>IFERROR(__xludf.DUMMYFUNCTION("""COMPUTED_VALUE"""),6.0)</f>
        <v>6</v>
      </c>
      <c r="F146" s="30">
        <f>IFERROR(__xludf.DUMMYFUNCTION("""COMPUTED_VALUE"""),2.0)</f>
        <v>2</v>
      </c>
      <c r="G146" s="30">
        <f>IFERROR(__xludf.DUMMYFUNCTION("""COMPUTED_VALUE"""),4.0)</f>
        <v>4</v>
      </c>
      <c r="H146" s="42">
        <f>IFERROR(__xludf.DUMMYFUNCTION("""COMPUTED_VALUE"""),0.3333333333333333)</f>
        <v>0.3333333333</v>
      </c>
      <c r="I146" s="42">
        <f>IFERROR(__xludf.DUMMYFUNCTION("""COMPUTED_VALUE"""),0.1111111111111111)</f>
        <v>0.1111111111</v>
      </c>
      <c r="J146" s="30">
        <f>IFERROR(__xludf.DUMMYFUNCTION("""COMPUTED_VALUE"""),230.0)</f>
        <v>230</v>
      </c>
      <c r="K146" s="30">
        <f>IFERROR(__xludf.DUMMYFUNCTION("""COMPUTED_VALUE"""),0.16666666666666666)</f>
        <v>0.1666666667</v>
      </c>
      <c r="L146" s="30">
        <f>IFERROR(__xludf.DUMMYFUNCTION("""COMPUTED_VALUE"""),0.3333333333333333)</f>
        <v>0.3333333333</v>
      </c>
      <c r="M146" s="30">
        <f>IFERROR(__xludf.DUMMYFUNCTION("""COMPUTED_VALUE"""),1.1666666666666667)</f>
        <v>1.166666667</v>
      </c>
      <c r="N146" s="30">
        <f>IFERROR(__xludf.DUMMYFUNCTION("""COMPUTED_VALUE"""),1.5)</f>
        <v>1.5</v>
      </c>
      <c r="O146" s="30">
        <f>IFERROR(__xludf.DUMMYFUNCTION("""COMPUTED_VALUE"""),362.8888888888889)</f>
        <v>362.8888889</v>
      </c>
      <c r="P146" s="30">
        <f>IFERROR(__xludf.DUMMYFUNCTION("""COMPUTED_VALUE"""),0.6666666666666666)</f>
        <v>0.6666666667</v>
      </c>
      <c r="Q146" s="30">
        <f>IFERROR(__xludf.DUMMYFUNCTION("""COMPUTED_VALUE"""),0.6666666666666666)</f>
        <v>0.6666666667</v>
      </c>
      <c r="R146" s="30">
        <f>IFERROR(__xludf.DUMMYFUNCTION("""COMPUTED_VALUE"""),1.3333333333333333)</f>
        <v>1.333333333</v>
      </c>
      <c r="S146" s="30">
        <f>IFERROR(__xludf.DUMMYFUNCTION("""COMPUTED_VALUE"""),2.7222222222222228)</f>
        <v>2.722222222</v>
      </c>
      <c r="T146" s="30">
        <f>IFERROR(__xludf.DUMMYFUNCTION("""COMPUTED_VALUE"""),366.351673964605)</f>
        <v>366.351674</v>
      </c>
      <c r="U146" s="30">
        <f>IFERROR(__xludf.DUMMYFUNCTION("""COMPUTED_VALUE"""),0.7954281457155021)</f>
        <v>0.7954281457</v>
      </c>
      <c r="V146" s="30">
        <f>IFERROR(__xludf.DUMMYFUNCTION("""COMPUTED_VALUE"""),0.5471621662713617)</f>
        <v>0.5471621663</v>
      </c>
      <c r="W146" s="30">
        <f>IFERROR(__xludf.DUMMYFUNCTION("""COMPUTED_VALUE"""),1.430660463419084)</f>
        <v>1.430660463</v>
      </c>
      <c r="X146" s="30">
        <f>IFERROR(__xludf.DUMMYFUNCTION("""COMPUTED_VALUE"""),2.8152253238460134)</f>
        <v>2.815225324</v>
      </c>
      <c r="Y146" s="30">
        <f>IFERROR(__xludf.DUMMYFUNCTION("""COMPUTED_VALUE"""),342.7176057694257)</f>
        <v>342.7176058</v>
      </c>
      <c r="Z146" s="30">
        <f>IFERROR(__xludf.DUMMYFUNCTION("""COMPUTED_VALUE"""),0.6234147256177905)</f>
        <v>0.6234147256</v>
      </c>
      <c r="AA146" s="30">
        <f>IFERROR(__xludf.DUMMYFUNCTION("""COMPUTED_VALUE"""),0.4934858298364045)</f>
        <v>0.4934858298</v>
      </c>
      <c r="AB146" s="30">
        <f>IFERROR(__xludf.DUMMYFUNCTION("""COMPUTED_VALUE"""),1.4918595045510754)</f>
        <v>1.491859505</v>
      </c>
      <c r="AC146" s="30">
        <f>IFERROR(__xludf.DUMMYFUNCTION("""COMPUTED_VALUE"""),2.4664512761256057)</f>
        <v>2.466451276</v>
      </c>
      <c r="AD146" s="30">
        <f>IFERROR(__xludf.DUMMYFUNCTION("""COMPUTED_VALUE"""),0.6711064623704798)</f>
        <v>0.6711064624</v>
      </c>
      <c r="AE146" s="30">
        <f>IFERROR(__xludf.DUMMYFUNCTION("""COMPUTED_VALUE"""),0.2673447703717675)</f>
        <v>0.2673447704</v>
      </c>
      <c r="AF146" s="30">
        <f>IFERROR(__xludf.DUMMYFUNCTION("""COMPUTED_VALUE"""),0.6754668790466317)</f>
        <v>0.675466879</v>
      </c>
      <c r="AG146" s="30">
        <f>IFERROR(__xludf.DUMMYFUNCTION("""COMPUTED_VALUE"""),0.7820218077557749)</f>
        <v>0.7820218078</v>
      </c>
      <c r="AH146" s="30">
        <f>IFERROR(__xludf.DUMMYFUNCTION("""COMPUTED_VALUE"""),0.6081612130429985)</f>
        <v>0.608161213</v>
      </c>
      <c r="AI146" s="30">
        <f>IFERROR(__xludf.DUMMYFUNCTION("""COMPUTED_VALUE"""),0.9905479206953189)</f>
        <v>0.9905479207</v>
      </c>
      <c r="AJ146" s="30">
        <f>IFERROR(__xludf.DUMMYFUNCTION("""COMPUTED_VALUE"""),0.8381230539271247)</f>
        <v>0.8381230539</v>
      </c>
      <c r="AK146" s="30">
        <f>IFERROR(__xludf.DUMMYFUNCTION("""COMPUTED_VALUE"""),1.2184078281758197)</f>
        <v>1.218407828</v>
      </c>
      <c r="AL146" s="30">
        <f>IFERROR(__xludf.DUMMYFUNCTION("""COMPUTED_VALUE"""),0.9319704901516939)</f>
        <v>0.9319704902</v>
      </c>
      <c r="AM146" s="30">
        <f>IFERROR(__xludf.DUMMYFUNCTION("""COMPUTED_VALUE"""),0.9669642423162297)</f>
        <v>0.9669642423</v>
      </c>
      <c r="AN146" s="30">
        <f>IFERROR(__xludf.DUMMYFUNCTION("""COMPUTED_VALUE"""),0.6560368495210991)</f>
        <v>0.6560368495</v>
      </c>
      <c r="AO146" s="30">
        <f>IFERROR(__xludf.DUMMYFUNCTION("""COMPUTED_VALUE"""),0.23510889543353586)</f>
        <v>0.2351088954</v>
      </c>
      <c r="AP146" s="30">
        <f>IFERROR(__xludf.DUMMYFUNCTION("""COMPUTED_VALUE"""),0.5838954874540899)</f>
        <v>0.5838954875</v>
      </c>
      <c r="AQ146" s="30">
        <f>IFERROR(__xludf.DUMMYFUNCTION("""COMPUTED_VALUE"""),0.8184615678742185)</f>
        <v>0.8184615679</v>
      </c>
      <c r="AR146" s="30">
        <f>IFERROR(__xludf.DUMMYFUNCTION("""COMPUTED_VALUE"""),0.5983936008728749)</f>
        <v>0.5983936009</v>
      </c>
      <c r="AS146" s="30">
        <f>IFERROR(__xludf.DUMMYFUNCTION("""COMPUTED_VALUE"""),7.0)</f>
        <v>7</v>
      </c>
      <c r="AT146" s="30">
        <f>IFERROR(__xludf.DUMMYFUNCTION("""COMPUTED_VALUE"""),0.3207469495151578)</f>
        <v>0.3207469495</v>
      </c>
      <c r="AU146" s="30">
        <f>IFERROR(__xludf.DUMMYFUNCTION("""COMPUTED_VALUE"""),0.6721679875371052)</f>
        <v>0.6721679875</v>
      </c>
      <c r="AV146" s="32">
        <f>IFERROR(__xludf.DUMMYFUNCTION("""COMPUTED_VALUE"""),0.4816133687957276)</f>
        <v>0.4816133688</v>
      </c>
      <c r="AW146" s="32">
        <f>IFERROR(__xludf.DUMMYFUNCTION("""COMPUTED_VALUE"""),-41.99832451595662)</f>
        <v>-41.99832452</v>
      </c>
      <c r="AX146" s="32">
        <f>IFERROR(__xludf.DUMMYFUNCTION("""COMPUTED_VALUE"""),5.929223343880828)</f>
        <v>5.929223344</v>
      </c>
      <c r="AY146" s="32">
        <f>IFERROR(__xludf.DUMMYFUNCTION("""COMPUTED_VALUE"""),-25.664391384727406)</f>
        <v>-25.66439138</v>
      </c>
      <c r="AZ146" s="30">
        <f>IFERROR(__xludf.DUMMYFUNCTION("""COMPUTED_VALUE"""),16.333933131229212)</f>
        <v>16.33393313</v>
      </c>
      <c r="BA146" s="30">
        <f>IFERROR(__xludf.DUMMYFUNCTION("""COMPUTED_VALUE"""),800.0)</f>
        <v>800</v>
      </c>
    </row>
    <row r="147">
      <c r="A147" s="30" t="str">
        <f>IFERROR(__xludf.DUMMYFUNCTION("""COMPUTED_VALUE"""),"Elite")</f>
        <v>Elite</v>
      </c>
      <c r="B147" s="30" t="str">
        <f>IFERROR(__xludf.DUMMYFUNCTION("""COMPUTED_VALUE"""),"RSC005274")</f>
        <v>RSC005274</v>
      </c>
      <c r="C147" s="30" t="str">
        <f>IFERROR(__xludf.DUMMYFUNCTION("""COMPUTED_VALUE"""),"KING.")</f>
        <v>KING.</v>
      </c>
      <c r="D147" s="30" t="str">
        <f>IFERROR(__xludf.DUMMYFUNCTION("""COMPUTED_VALUE"""),"Cotija Cartel")</f>
        <v>Cotija Cartel</v>
      </c>
      <c r="E147" s="30">
        <f>IFERROR(__xludf.DUMMYFUNCTION("""COMPUTED_VALUE"""),18.0)</f>
        <v>18</v>
      </c>
      <c r="F147" s="30">
        <f>IFERROR(__xludf.DUMMYFUNCTION("""COMPUTED_VALUE"""),11.0)</f>
        <v>11</v>
      </c>
      <c r="G147" s="30">
        <f>IFERROR(__xludf.DUMMYFUNCTION("""COMPUTED_VALUE"""),7.0)</f>
        <v>7</v>
      </c>
      <c r="H147" s="42">
        <f>IFERROR(__xludf.DUMMYFUNCTION("""COMPUTED_VALUE"""),0.6111111111111112)</f>
        <v>0.6111111111</v>
      </c>
      <c r="I147" s="42">
        <f>IFERROR(__xludf.DUMMYFUNCTION("""COMPUTED_VALUE"""),0.3448275862068966)</f>
        <v>0.3448275862</v>
      </c>
      <c r="J147" s="30">
        <f>IFERROR(__xludf.DUMMYFUNCTION("""COMPUTED_VALUE"""),366.3333333333333)</f>
        <v>366.3333333</v>
      </c>
      <c r="K147" s="30">
        <f>IFERROR(__xludf.DUMMYFUNCTION("""COMPUTED_VALUE"""),1.1111111111111112)</f>
        <v>1.111111111</v>
      </c>
      <c r="L147" s="30">
        <f>IFERROR(__xludf.DUMMYFUNCTION("""COMPUTED_VALUE"""),0.8333333333333334)</f>
        <v>0.8333333333</v>
      </c>
      <c r="M147" s="30">
        <f>IFERROR(__xludf.DUMMYFUNCTION("""COMPUTED_VALUE"""),1.0)</f>
        <v>1</v>
      </c>
      <c r="N147" s="30">
        <f>IFERROR(__xludf.DUMMYFUNCTION("""COMPUTED_VALUE"""),3.2222222222222223)</f>
        <v>3.222222222</v>
      </c>
      <c r="O147" s="30">
        <f>IFERROR(__xludf.DUMMYFUNCTION("""COMPUTED_VALUE"""),351.5555555555555)</f>
        <v>351.5555556</v>
      </c>
      <c r="P147" s="30">
        <f>IFERROR(__xludf.DUMMYFUNCTION("""COMPUTED_VALUE"""),0.7222222222222222)</f>
        <v>0.7222222222</v>
      </c>
      <c r="Q147" s="30">
        <f>IFERROR(__xludf.DUMMYFUNCTION("""COMPUTED_VALUE"""),0.48148148148148134)</f>
        <v>0.4814814815</v>
      </c>
      <c r="R147" s="30">
        <f>IFERROR(__xludf.DUMMYFUNCTION("""COMPUTED_VALUE"""),1.5740740740740744)</f>
        <v>1.574074074</v>
      </c>
      <c r="S147" s="30">
        <f>IFERROR(__xludf.DUMMYFUNCTION("""COMPUTED_VALUE"""),2.259259259259259)</f>
        <v>2.259259259</v>
      </c>
      <c r="T147" s="30">
        <f>IFERROR(__xludf.DUMMYFUNCTION("""COMPUTED_VALUE"""),357.0273021076951)</f>
        <v>357.0273021</v>
      </c>
      <c r="U147" s="30">
        <f>IFERROR(__xludf.DUMMYFUNCTION("""COMPUTED_VALUE"""),0.7625693121232003)</f>
        <v>0.7625693121</v>
      </c>
      <c r="V147" s="30">
        <f>IFERROR(__xludf.DUMMYFUNCTION("""COMPUTED_VALUE"""),0.5567641447762604)</f>
        <v>0.5567641448</v>
      </c>
      <c r="W147" s="30">
        <f>IFERROR(__xludf.DUMMYFUNCTION("""COMPUTED_VALUE"""),1.4520323592047335)</f>
        <v>1.452032359</v>
      </c>
      <c r="X147" s="30">
        <f>IFERROR(__xludf.DUMMYFUNCTION("""COMPUTED_VALUE"""),2.5712594050776616)</f>
        <v>2.571259405</v>
      </c>
      <c r="Y147" s="30">
        <f>IFERROR(__xludf.DUMMYFUNCTION("""COMPUTED_VALUE"""),362.33740986813746)</f>
        <v>362.3374099</v>
      </c>
      <c r="Z147" s="30">
        <f>IFERROR(__xludf.DUMMYFUNCTION("""COMPUTED_VALUE"""),0.807752662734219)</f>
        <v>0.8077526627</v>
      </c>
      <c r="AA147" s="30">
        <f>IFERROR(__xludf.DUMMYFUNCTION("""COMPUTED_VALUE"""),0.6033348758810639)</f>
        <v>0.6033348759</v>
      </c>
      <c r="AB147" s="30">
        <f>IFERROR(__xludf.DUMMYFUNCTION("""COMPUTED_VALUE"""),1.3545021809649853)</f>
        <v>1.354502181</v>
      </c>
      <c r="AC147" s="30">
        <f>IFERROR(__xludf.DUMMYFUNCTION("""COMPUTED_VALUE"""),2.767625181293838)</f>
        <v>2.767625181</v>
      </c>
      <c r="AD147" s="30">
        <f>IFERROR(__xludf.DUMMYFUNCTION("""COMPUTED_VALUE"""),1.0110281835559018)</f>
        <v>1.011028184</v>
      </c>
      <c r="AE147" s="30">
        <f>IFERROR(__xludf.DUMMYFUNCTION("""COMPUTED_VALUE"""),1.3755585866470965)</f>
        <v>1.375558587</v>
      </c>
      <c r="AF147" s="30">
        <f>IFERROR(__xludf.DUMMYFUNCTION("""COMPUTED_VALUE"""),1.3812119382563413)</f>
        <v>1.381211938</v>
      </c>
      <c r="AG147" s="30">
        <f>IFERROR(__xludf.DUMMYFUNCTION("""COMPUTED_VALUE"""),0.7382786192987685)</f>
        <v>0.7382786193</v>
      </c>
      <c r="AH147" s="30">
        <f>IFERROR(__xludf.DUMMYFUNCTION("""COMPUTED_VALUE"""),1.1642552770515928)</f>
        <v>1.164255277</v>
      </c>
      <c r="AI147" s="30">
        <f>IFERROR(__xludf.DUMMYFUNCTION("""COMPUTED_VALUE"""),0.9846741509127246)</f>
        <v>0.9846741509</v>
      </c>
      <c r="AJ147" s="30">
        <f>IFERROR(__xludf.DUMMYFUNCTION("""COMPUTED_VALUE"""),0.9470905932620854)</f>
        <v>0.9470905933</v>
      </c>
      <c r="AK147" s="30">
        <f>IFERROR(__xludf.DUMMYFUNCTION("""COMPUTED_VALUE"""),0.8647853601904772)</f>
        <v>0.8647853602</v>
      </c>
      <c r="AL147" s="30">
        <f>IFERROR(__xludf.DUMMYFUNCTION("""COMPUTED_VALUE"""),1.0840488947065767)</f>
        <v>1.084048895</v>
      </c>
      <c r="AM147" s="30">
        <f>IFERROR(__xludf.DUMMYFUNCTION("""COMPUTED_VALUE"""),0.8786586272850292)</f>
        <v>0.8786586273</v>
      </c>
      <c r="AN147" s="30">
        <f>IFERROR(__xludf.DUMMYFUNCTION("""COMPUTED_VALUE"""),1.0449050690198376)</f>
        <v>1.044905069</v>
      </c>
      <c r="AO147" s="30">
        <f>IFERROR(__xludf.DUMMYFUNCTION("""COMPUTED_VALUE"""),1.5673926362235726)</f>
        <v>1.567392636</v>
      </c>
      <c r="AP147" s="30">
        <f>IFERROR(__xludf.DUMMYFUNCTION("""COMPUTED_VALUE"""),1.4597387186352249)</f>
        <v>1.459738719</v>
      </c>
      <c r="AQ147" s="30">
        <f>IFERROR(__xludf.DUMMYFUNCTION("""COMPUTED_VALUE"""),0.7015384867493301)</f>
        <v>0.7015384867</v>
      </c>
      <c r="AR147" s="30">
        <f>IFERROR(__xludf.DUMMYFUNCTION("""COMPUTED_VALUE"""),1.2854381055787683)</f>
        <v>1.285438106</v>
      </c>
      <c r="AS147" s="30">
        <f>IFERROR(__xludf.DUMMYFUNCTION("""COMPUTED_VALUE"""),60.0)</f>
        <v>60</v>
      </c>
      <c r="AT147" s="30">
        <f>IFERROR(__xludf.DUMMYFUNCTION("""COMPUTED_VALUE"""),0.6687763082557854)</f>
        <v>0.6687763083</v>
      </c>
      <c r="AU147" s="30">
        <f>IFERROR(__xludf.DUMMYFUNCTION("""COMPUTED_VALUE"""),3.749628615436704)</f>
        <v>3.749628615</v>
      </c>
      <c r="AV147" s="32">
        <f>IFERROR(__xludf.DUMMYFUNCTION("""COMPUTED_VALUE"""),89.00234630993626)</f>
        <v>89.00234631</v>
      </c>
      <c r="AW147" s="32">
        <f>IFERROR(__xludf.DUMMYFUNCTION("""COMPUTED_VALUE"""),16.843849346624747)</f>
        <v>16.84384935</v>
      </c>
      <c r="AX147" s="32">
        <f>IFERROR(__xludf.DUMMYFUNCTION("""COMPUTED_VALUE"""),56.4812253707384)</f>
        <v>56.48122537</v>
      </c>
      <c r="AY147" s="32">
        <f>IFERROR(__xludf.DUMMYFUNCTION("""COMPUTED_VALUE"""),2.5143218441140176)</f>
        <v>2.514321844</v>
      </c>
      <c r="AZ147" s="30">
        <f>IFERROR(__xludf.DUMMYFUNCTION("""COMPUTED_VALUE"""),14.329527502510729)</f>
        <v>14.3295275</v>
      </c>
      <c r="BA147" s="30">
        <f>IFERROR(__xludf.DUMMYFUNCTION("""COMPUTED_VALUE"""),800.0)</f>
        <v>800</v>
      </c>
    </row>
    <row r="148">
      <c r="A148" s="30" t="str">
        <f>IFERROR(__xludf.DUMMYFUNCTION("""COMPUTED_VALUE"""),"Elite")</f>
        <v>Elite</v>
      </c>
      <c r="B148" s="30" t="str">
        <f>IFERROR(__xludf.DUMMYFUNCTION("""COMPUTED_VALUE"""),"RSC000714")</f>
        <v>RSC000714</v>
      </c>
      <c r="C148" s="30" t="str">
        <f>IFERROR(__xludf.DUMMYFUNCTION("""COMPUTED_VALUE"""),"duffy")</f>
        <v>duffy</v>
      </c>
      <c r="D148" s="30" t="str">
        <f>IFERROR(__xludf.DUMMYFUNCTION("""COMPUTED_VALUE"""),"Thrashers")</f>
        <v>Thrashers</v>
      </c>
      <c r="E148" s="30">
        <f>IFERROR(__xludf.DUMMYFUNCTION("""COMPUTED_VALUE"""),48.0)</f>
        <v>48</v>
      </c>
      <c r="F148" s="30">
        <f>IFERROR(__xludf.DUMMYFUNCTION("""COMPUTED_VALUE"""),29.0)</f>
        <v>29</v>
      </c>
      <c r="G148" s="30">
        <f>IFERROR(__xludf.DUMMYFUNCTION("""COMPUTED_VALUE"""),19.0)</f>
        <v>19</v>
      </c>
      <c r="H148" s="42">
        <f>IFERROR(__xludf.DUMMYFUNCTION("""COMPUTED_VALUE"""),0.6041666666666666)</f>
        <v>0.6041666667</v>
      </c>
      <c r="I148" s="42">
        <f>IFERROR(__xludf.DUMMYFUNCTION("""COMPUTED_VALUE"""),0.3170731707317073)</f>
        <v>0.3170731707</v>
      </c>
      <c r="J148" s="30">
        <f>IFERROR(__xludf.DUMMYFUNCTION("""COMPUTED_VALUE"""),431.875)</f>
        <v>431.875</v>
      </c>
      <c r="K148" s="30">
        <f>IFERROR(__xludf.DUMMYFUNCTION("""COMPUTED_VALUE"""),1.0833333333333333)</f>
        <v>1.083333333</v>
      </c>
      <c r="L148" s="30">
        <f>IFERROR(__xludf.DUMMYFUNCTION("""COMPUTED_VALUE"""),0.7083333333333334)</f>
        <v>0.7083333333</v>
      </c>
      <c r="M148" s="30">
        <f>IFERROR(__xludf.DUMMYFUNCTION("""COMPUTED_VALUE"""),1.4791666666666667)</f>
        <v>1.479166667</v>
      </c>
      <c r="N148" s="30">
        <f>IFERROR(__xludf.DUMMYFUNCTION("""COMPUTED_VALUE"""),3.4166666666666665)</f>
        <v>3.416666667</v>
      </c>
      <c r="O148" s="30">
        <f>IFERROR(__xludf.DUMMYFUNCTION("""COMPUTED_VALUE"""),367.125)</f>
        <v>367.125</v>
      </c>
      <c r="P148" s="30">
        <f>IFERROR(__xludf.DUMMYFUNCTION("""COMPUTED_VALUE"""),0.8263888888888887)</f>
        <v>0.8263888889</v>
      </c>
      <c r="Q148" s="30">
        <f>IFERROR(__xludf.DUMMYFUNCTION("""COMPUTED_VALUE"""),0.5902777777777778)</f>
        <v>0.5902777778</v>
      </c>
      <c r="R148" s="30">
        <f>IFERROR(__xludf.DUMMYFUNCTION("""COMPUTED_VALUE"""),1.5416666666666667)</f>
        <v>1.541666667</v>
      </c>
      <c r="S148" s="30">
        <f>IFERROR(__xludf.DUMMYFUNCTION("""COMPUTED_VALUE"""),2.4375)</f>
        <v>2.4375</v>
      </c>
      <c r="T148" s="30">
        <f>IFERROR(__xludf.DUMMYFUNCTION("""COMPUTED_VALUE"""),362.3278976752108)</f>
        <v>362.3278977</v>
      </c>
      <c r="U148" s="30">
        <f>IFERROR(__xludf.DUMMYFUNCTION("""COMPUTED_VALUE"""),0.7869802994226914)</f>
        <v>0.7869802994</v>
      </c>
      <c r="V148" s="30">
        <f>IFERROR(__xludf.DUMMYFUNCTION("""COMPUTED_VALUE"""),0.6088331276841656)</f>
        <v>0.6088331277</v>
      </c>
      <c r="W148" s="30">
        <f>IFERROR(__xludf.DUMMYFUNCTION("""COMPUTED_VALUE"""),1.417037600169829)</f>
        <v>1.4170376</v>
      </c>
      <c r="X148" s="30">
        <f>IFERROR(__xludf.DUMMYFUNCTION("""COMPUTED_VALUE"""),2.6432379253337057)</f>
        <v>2.643237925</v>
      </c>
      <c r="Y148" s="30">
        <f>IFERROR(__xludf.DUMMYFUNCTION("""COMPUTED_VALUE"""),353.04330751900625)</f>
        <v>353.0433075</v>
      </c>
      <c r="Z148" s="30">
        <f>IFERROR(__xludf.DUMMYFUNCTION("""COMPUTED_VALUE"""),0.7337792155586792)</f>
        <v>0.7337792156</v>
      </c>
      <c r="AA148" s="30">
        <f>IFERROR(__xludf.DUMMYFUNCTION("""COMPUTED_VALUE"""),0.5472720194130678)</f>
        <v>0.5472720194</v>
      </c>
      <c r="AB148" s="30">
        <f>IFERROR(__xludf.DUMMYFUNCTION("""COMPUTED_VALUE"""),1.4115004691492892)</f>
        <v>1.411500469</v>
      </c>
      <c r="AC148" s="30">
        <f>IFERROR(__xludf.DUMMYFUNCTION("""COMPUTED_VALUE"""),2.60754731959178)</f>
        <v>2.60754732</v>
      </c>
      <c r="AD148" s="30">
        <f>IFERROR(__xludf.DUMMYFUNCTION("""COMPUTED_VALUE"""),1.223291847776352)</f>
        <v>1.223291848</v>
      </c>
      <c r="AE148" s="30">
        <f>IFERROR(__xludf.DUMMYFUNCTION("""COMPUTED_VALUE"""),1.4763750599129648)</f>
        <v>1.47637506</v>
      </c>
      <c r="AF148" s="30">
        <f>IFERROR(__xludf.DUMMYFUNCTION("""COMPUTED_VALUE"""),1.294298462568941)</f>
        <v>1.294298463</v>
      </c>
      <c r="AG148" s="30">
        <f>IFERROR(__xludf.DUMMYFUNCTION("""COMPUTED_VALUE"""),1.0479391959098392)</f>
        <v>1.047939196</v>
      </c>
      <c r="AH148" s="30">
        <f>IFERROR(__xludf.DUMMYFUNCTION("""COMPUTED_VALUE"""),1.3102990081888741)</f>
        <v>1.310299008</v>
      </c>
      <c r="AI148" s="30">
        <f>IFERROR(__xludf.DUMMYFUNCTION("""COMPUTED_VALUE"""),1.0132396714566243)</f>
        <v>1.013239671</v>
      </c>
      <c r="AJ148" s="30">
        <f>IFERROR(__xludf.DUMMYFUNCTION("""COMPUTED_VALUE"""),1.0500757001097822)</f>
        <v>1.0500757</v>
      </c>
      <c r="AK148" s="30">
        <f>IFERROR(__xludf.DUMMYFUNCTION("""COMPUTED_VALUE"""),0.9695230941572327)</f>
        <v>0.9695230942</v>
      </c>
      <c r="AL148" s="30">
        <f>IFERROR(__xludf.DUMMYFUNCTION("""COMPUTED_VALUE"""),1.0879504301663563)</f>
        <v>1.08795043</v>
      </c>
      <c r="AM148" s="30">
        <f>IFERROR(__xludf.DUMMYFUNCTION("""COMPUTED_VALUE"""),0.9221644319787324)</f>
        <v>0.922164432</v>
      </c>
      <c r="AN148" s="30">
        <f>IFERROR(__xludf.DUMMYFUNCTION("""COMPUTED_VALUE"""),1.2318518016822813)</f>
        <v>1.231851802</v>
      </c>
      <c r="AO148" s="30">
        <f>IFERROR(__xludf.DUMMYFUNCTION("""COMPUTED_VALUE"""),1.528207820317983)</f>
        <v>1.52820782</v>
      </c>
      <c r="AP148" s="30">
        <f>IFERROR(__xludf.DUMMYFUNCTION("""COMPUTED_VALUE"""),1.2407779108399413)</f>
        <v>1.240777911</v>
      </c>
      <c r="AQ148" s="30">
        <f>IFERROR(__xludf.DUMMYFUNCTION("""COMPUTED_VALUE"""),1.0376923449833841)</f>
        <v>1.037692345</v>
      </c>
      <c r="AR148" s="30">
        <f>IFERROR(__xludf.DUMMYFUNCTION("""COMPUTED_VALUE"""),1.3630076464326595)</f>
        <v>1.363007646</v>
      </c>
      <c r="AS148" s="30">
        <f>IFERROR(__xludf.DUMMYFUNCTION("""COMPUTED_VALUE"""),134.0)</f>
        <v>134</v>
      </c>
      <c r="AT148" s="30">
        <f>IFERROR(__xludf.DUMMYFUNCTION("""COMPUTED_VALUE"""),0.5476769288218983)</f>
        <v>0.5476769288</v>
      </c>
      <c r="AU148" s="30">
        <f>IFERROR(__xludf.DUMMYFUNCTION("""COMPUTED_VALUE"""),3.851640059085702)</f>
        <v>3.851640059</v>
      </c>
      <c r="AV148" s="32">
        <f>IFERROR(__xludf.DUMMYFUNCTION("""COMPUTED_VALUE"""),91.93662520154189)</f>
        <v>91.9366252</v>
      </c>
      <c r="AW148" s="32">
        <f>IFERROR(__xludf.DUMMYFUNCTION("""COMPUTED_VALUE"""),21.40145582561324)</f>
        <v>21.40145583</v>
      </c>
      <c r="AX148" s="32">
        <f>IFERROR(__xludf.DUMMYFUNCTION("""COMPUTED_VALUE"""),77.67994580195474)</f>
        <v>77.6799458</v>
      </c>
      <c r="AY148" s="32">
        <f>IFERROR(__xludf.DUMMYFUNCTION("""COMPUTED_VALUE"""),7.4568878725506185)</f>
        <v>7.456887873</v>
      </c>
      <c r="AZ148" s="30">
        <f>IFERROR(__xludf.DUMMYFUNCTION("""COMPUTED_VALUE"""),13.944567953062622)</f>
        <v>13.94456795</v>
      </c>
      <c r="BA148" s="30">
        <f>IFERROR(__xludf.DUMMYFUNCTION("""COMPUTED_VALUE"""),800.0)</f>
        <v>800</v>
      </c>
    </row>
    <row r="149">
      <c r="A149" s="30" t="str">
        <f>IFERROR(__xludf.DUMMYFUNCTION("""COMPUTED_VALUE"""),"Elite")</f>
        <v>Elite</v>
      </c>
      <c r="B149" s="30" t="str">
        <f>IFERROR(__xludf.DUMMYFUNCTION("""COMPUTED_VALUE"""),"RSC006438")</f>
        <v>RSC006438</v>
      </c>
      <c r="C149" s="30" t="str">
        <f>IFERROR(__xludf.DUMMYFUNCTION("""COMPUTED_VALUE"""),"WestyzWorld")</f>
        <v>WestyzWorld</v>
      </c>
      <c r="D149" s="30"/>
      <c r="E149" s="30">
        <f>IFERROR(__xludf.DUMMYFUNCTION("""COMPUTED_VALUE"""),7.0)</f>
        <v>7</v>
      </c>
      <c r="F149" s="30">
        <f>IFERROR(__xludf.DUMMYFUNCTION("""COMPUTED_VALUE"""),0.0)</f>
        <v>0</v>
      </c>
      <c r="G149" s="30">
        <f>IFERROR(__xludf.DUMMYFUNCTION("""COMPUTED_VALUE"""),7.0)</f>
        <v>7</v>
      </c>
      <c r="H149" s="42">
        <f>IFERROR(__xludf.DUMMYFUNCTION("""COMPUTED_VALUE"""),0.0)</f>
        <v>0</v>
      </c>
      <c r="I149" s="42">
        <f>IFERROR(__xludf.DUMMYFUNCTION("""COMPUTED_VALUE"""),0.15384615384615383)</f>
        <v>0.1538461538</v>
      </c>
      <c r="J149" s="30">
        <f>IFERROR(__xludf.DUMMYFUNCTION("""COMPUTED_VALUE"""),261.2857142857143)</f>
        <v>261.2857143</v>
      </c>
      <c r="K149" s="30">
        <f>IFERROR(__xludf.DUMMYFUNCTION("""COMPUTED_VALUE"""),0.2857142857142857)</f>
        <v>0.2857142857</v>
      </c>
      <c r="L149" s="30">
        <f>IFERROR(__xludf.DUMMYFUNCTION("""COMPUTED_VALUE"""),0.42857142857142855)</f>
        <v>0.4285714286</v>
      </c>
      <c r="M149" s="30">
        <f>IFERROR(__xludf.DUMMYFUNCTION("""COMPUTED_VALUE"""),0.8571428571428571)</f>
        <v>0.8571428571</v>
      </c>
      <c r="N149" s="30">
        <f>IFERROR(__xludf.DUMMYFUNCTION("""COMPUTED_VALUE"""),1.8571428571428572)</f>
        <v>1.857142857</v>
      </c>
      <c r="O149" s="30">
        <f>IFERROR(__xludf.DUMMYFUNCTION("""COMPUTED_VALUE"""),408.61904761904765)</f>
        <v>408.6190476</v>
      </c>
      <c r="P149" s="30">
        <f>IFERROR(__xludf.DUMMYFUNCTION("""COMPUTED_VALUE"""),1.2857142857142858)</f>
        <v>1.285714286</v>
      </c>
      <c r="Q149" s="30">
        <f>IFERROR(__xludf.DUMMYFUNCTION("""COMPUTED_VALUE"""),1.0476190476190477)</f>
        <v>1.047619048</v>
      </c>
      <c r="R149" s="30">
        <f>IFERROR(__xludf.DUMMYFUNCTION("""COMPUTED_VALUE"""),0.9047619047619048)</f>
        <v>0.9047619048</v>
      </c>
      <c r="S149" s="30">
        <f>IFERROR(__xludf.DUMMYFUNCTION("""COMPUTED_VALUE"""),2.7619047619047623)</f>
        <v>2.761904762</v>
      </c>
      <c r="T149" s="30">
        <f>IFERROR(__xludf.DUMMYFUNCTION("""COMPUTED_VALUE"""),396.38869047619045)</f>
        <v>396.3886905</v>
      </c>
      <c r="U149" s="30">
        <f>IFERROR(__xludf.DUMMYFUNCTION("""COMPUTED_VALUE"""),1.0896284271284273)</f>
        <v>1.089628427</v>
      </c>
      <c r="V149" s="30">
        <f>IFERROR(__xludf.DUMMYFUNCTION("""COMPUTED_VALUE"""),0.8250541125541125)</f>
        <v>0.8250541126</v>
      </c>
      <c r="W149" s="30">
        <f>IFERROR(__xludf.DUMMYFUNCTION("""COMPUTED_VALUE"""),1.145364357864358)</f>
        <v>1.145364358</v>
      </c>
      <c r="X149" s="30">
        <f>IFERROR(__xludf.DUMMYFUNCTION("""COMPUTED_VALUE"""),3.0113636363636362)</f>
        <v>3.011363636</v>
      </c>
      <c r="Y149" s="30">
        <f>IFERROR(__xludf.DUMMYFUNCTION("""COMPUTED_VALUE"""),353.0556216931217)</f>
        <v>353.0556217</v>
      </c>
      <c r="Z149" s="30">
        <f>IFERROR(__xludf.DUMMYFUNCTION("""COMPUTED_VALUE"""),0.7242003367003367)</f>
        <v>0.7242003367</v>
      </c>
      <c r="AA149" s="30">
        <f>IFERROR(__xludf.DUMMYFUNCTION("""COMPUTED_VALUE"""),0.5478475228475228)</f>
        <v>0.5478475228</v>
      </c>
      <c r="AB149" s="30">
        <f>IFERROR(__xludf.DUMMYFUNCTION("""COMPUTED_VALUE"""),1.4762385762385761)</f>
        <v>1.476238576</v>
      </c>
      <c r="AC149" s="30">
        <f>IFERROR(__xludf.DUMMYFUNCTION("""COMPUTED_VALUE"""),2.4728655603655603)</f>
        <v>2.47286556</v>
      </c>
      <c r="AD149" s="30">
        <f>IFERROR(__xludf.DUMMYFUNCTION("""COMPUTED_VALUE"""),0.7400695477746154)</f>
        <v>0.7400695478</v>
      </c>
      <c r="AE149" s="30">
        <f>IFERROR(__xludf.DUMMYFUNCTION("""COMPUTED_VALUE"""),0.3945238233609245)</f>
        <v>0.3945238234</v>
      </c>
      <c r="AF149" s="30">
        <f>IFERROR(__xludf.DUMMYFUNCTION("""COMPUTED_VALUE"""),0.7822823152395795)</f>
        <v>0.7822823152</v>
      </c>
      <c r="AG149" s="30">
        <f>IFERROR(__xludf.DUMMYFUNCTION("""COMPUTED_VALUE"""),0.5806262422208465)</f>
        <v>0.5806262422</v>
      </c>
      <c r="AH149" s="30">
        <f>IFERROR(__xludf.DUMMYFUNCTION("""COMPUTED_VALUE"""),0.751008419911157)</f>
        <v>0.7510084199</v>
      </c>
      <c r="AI149" s="30">
        <f>IFERROR(__xludf.DUMMYFUNCTION("""COMPUTED_VALUE"""),1.0308544553280887)</f>
        <v>1.030854455</v>
      </c>
      <c r="AJ149" s="30">
        <f>IFERROR(__xludf.DUMMYFUNCTION("""COMPUTED_VALUE"""),1.1799566289791255)</f>
        <v>1.179956629</v>
      </c>
      <c r="AK149" s="30">
        <f>IFERROR(__xludf.DUMMYFUNCTION("""COMPUTED_VALUE"""),1.2697579851774121)</f>
        <v>1.269757985</v>
      </c>
      <c r="AL149" s="30">
        <f>IFERROR(__xludf.DUMMYFUNCTION("""COMPUTED_VALUE"""),0.789933699743303)</f>
        <v>0.7899336997</v>
      </c>
      <c r="AM149" s="30">
        <f>IFERROR(__xludf.DUMMYFUNCTION("""COMPUTED_VALUE"""),0.917160826594789)</f>
        <v>0.9171608266</v>
      </c>
      <c r="AN149" s="30">
        <f>IFERROR(__xludf.DUMMYFUNCTION("""COMPUTED_VALUE"""),0.7452741601081305)</f>
        <v>0.7452741601</v>
      </c>
      <c r="AO149" s="30">
        <f>IFERROR(__xludf.DUMMYFUNCTION("""COMPUTED_VALUE"""),0.40304382074320433)</f>
        <v>0.4030438207</v>
      </c>
      <c r="AP149" s="30">
        <f>IFERROR(__xludf.DUMMYFUNCTION("""COMPUTED_VALUE"""),0.7507227695838299)</f>
        <v>0.7507227696</v>
      </c>
      <c r="AQ149" s="30">
        <f>IFERROR(__xludf.DUMMYFUNCTION("""COMPUTED_VALUE"""),0.6013187029279972)</f>
        <v>0.6013187029</v>
      </c>
      <c r="AR149" s="30">
        <f>IFERROR(__xludf.DUMMYFUNCTION("""COMPUTED_VALUE"""),0.7408682677473689)</f>
        <v>0.7408682677</v>
      </c>
      <c r="AS149" s="30">
        <f>IFERROR(__xludf.DUMMYFUNCTION("""COMPUTED_VALUE"""),12.0)</f>
        <v>12</v>
      </c>
      <c r="AT149" s="30">
        <f>IFERROR(__xludf.DUMMYFUNCTION("""COMPUTED_VALUE"""),0.20955225349780962)</f>
        <v>0.2095522535</v>
      </c>
      <c r="AU149" s="30">
        <f>IFERROR(__xludf.DUMMYFUNCTION("""COMPUTED_VALUE"""),1.0432868664552881)</f>
        <v>1.043286866</v>
      </c>
      <c r="AV149" s="32">
        <f>IFERROR(__xludf.DUMMYFUNCTION("""COMPUTED_VALUE"""),11.156555843219387)</f>
        <v>11.15655584</v>
      </c>
      <c r="AW149" s="32">
        <f>IFERROR(__xludf.DUMMYFUNCTION("""COMPUTED_VALUE"""),-16.632434252847265)</f>
        <v>-16.63243425</v>
      </c>
      <c r="AX149" s="32">
        <f>IFERROR(__xludf.DUMMYFUNCTION("""COMPUTED_VALUE"""),25.808122521566855)</f>
        <v>25.80812252</v>
      </c>
      <c r="AY149" s="32">
        <f>IFERROR(__xludf.DUMMYFUNCTION("""COMPUTED_VALUE"""),-6.002281024009537)</f>
        <v>-6.002281024</v>
      </c>
      <c r="AZ149" s="30">
        <f>IFERROR(__xludf.DUMMYFUNCTION("""COMPUTED_VALUE"""),10.630153228837727)</f>
        <v>10.63015323</v>
      </c>
      <c r="BA149" s="30">
        <f>IFERROR(__xludf.DUMMYFUNCTION("""COMPUTED_VALUE"""),800.0)</f>
        <v>800</v>
      </c>
    </row>
    <row r="150">
      <c r="A150" s="30" t="str">
        <f>IFERROR(__xludf.DUMMYFUNCTION("""COMPUTED_VALUE"""),"Elite")</f>
        <v>Elite</v>
      </c>
      <c r="B150" s="30" t="str">
        <f>IFERROR(__xludf.DUMMYFUNCTION("""COMPUTED_VALUE"""),"RSC004889")</f>
        <v>RSC004889</v>
      </c>
      <c r="C150" s="30" t="str">
        <f>IFERROR(__xludf.DUMMYFUNCTION("""COMPUTED_VALUE"""),"Steeltoehammer")</f>
        <v>Steeltoehammer</v>
      </c>
      <c r="D150" s="30" t="str">
        <f>IFERROR(__xludf.DUMMYFUNCTION("""COMPUTED_VALUE"""),"Despair")</f>
        <v>Despair</v>
      </c>
      <c r="E150" s="30">
        <f>IFERROR(__xludf.DUMMYFUNCTION("""COMPUTED_VALUE"""),11.0)</f>
        <v>11</v>
      </c>
      <c r="F150" s="30">
        <f>IFERROR(__xludf.DUMMYFUNCTION("""COMPUTED_VALUE"""),4.0)</f>
        <v>4</v>
      </c>
      <c r="G150" s="30">
        <f>IFERROR(__xludf.DUMMYFUNCTION("""COMPUTED_VALUE"""),7.0)</f>
        <v>7</v>
      </c>
      <c r="H150" s="42">
        <f>IFERROR(__xludf.DUMMYFUNCTION("""COMPUTED_VALUE"""),0.36363636363636365)</f>
        <v>0.3636363636</v>
      </c>
      <c r="I150" s="42">
        <f>IFERROR(__xludf.DUMMYFUNCTION("""COMPUTED_VALUE"""),0.23529411764705885)</f>
        <v>0.2352941176</v>
      </c>
      <c r="J150" s="30">
        <f>IFERROR(__xludf.DUMMYFUNCTION("""COMPUTED_VALUE"""),288.90909090909093)</f>
        <v>288.9090909</v>
      </c>
      <c r="K150" s="30">
        <f>IFERROR(__xludf.DUMMYFUNCTION("""COMPUTED_VALUE"""),0.36363636363636365)</f>
        <v>0.3636363636</v>
      </c>
      <c r="L150" s="30">
        <f>IFERROR(__xludf.DUMMYFUNCTION("""COMPUTED_VALUE"""),0.2727272727272727)</f>
        <v>0.2727272727</v>
      </c>
      <c r="M150" s="30">
        <f>IFERROR(__xludf.DUMMYFUNCTION("""COMPUTED_VALUE"""),1.2727272727272727)</f>
        <v>1.272727273</v>
      </c>
      <c r="N150" s="30">
        <f>IFERROR(__xludf.DUMMYFUNCTION("""COMPUTED_VALUE"""),1.5454545454545454)</f>
        <v>1.545454545</v>
      </c>
      <c r="O150" s="30">
        <f>IFERROR(__xludf.DUMMYFUNCTION("""COMPUTED_VALUE"""),377.8484848484848)</f>
        <v>377.8484848</v>
      </c>
      <c r="P150" s="30">
        <f>IFERROR(__xludf.DUMMYFUNCTION("""COMPUTED_VALUE"""),0.7575757575757575)</f>
        <v>0.7575757576</v>
      </c>
      <c r="Q150" s="30">
        <f>IFERROR(__xludf.DUMMYFUNCTION("""COMPUTED_VALUE"""),0.4848484848484848)</f>
        <v>0.4848484848</v>
      </c>
      <c r="R150" s="30">
        <f>IFERROR(__xludf.DUMMYFUNCTION("""COMPUTED_VALUE"""),1.272727272727273)</f>
        <v>1.272727273</v>
      </c>
      <c r="S150" s="30">
        <f>IFERROR(__xludf.DUMMYFUNCTION("""COMPUTED_VALUE"""),3.1212121212121215)</f>
        <v>3.121212121</v>
      </c>
      <c r="T150" s="30">
        <f>IFERROR(__xludf.DUMMYFUNCTION("""COMPUTED_VALUE"""),374.00451006941444)</f>
        <v>374.0045101</v>
      </c>
      <c r="U150" s="30">
        <f>IFERROR(__xludf.DUMMYFUNCTION("""COMPUTED_VALUE"""),0.8588229090550077)</f>
        <v>0.8588229091</v>
      </c>
      <c r="V150" s="30">
        <f>IFERROR(__xludf.DUMMYFUNCTION("""COMPUTED_VALUE"""),0.6421210826349166)</f>
        <v>0.6421210826</v>
      </c>
      <c r="W150" s="30">
        <f>IFERROR(__xludf.DUMMYFUNCTION("""COMPUTED_VALUE"""),1.3655824554551463)</f>
        <v>1.365582455</v>
      </c>
      <c r="X150" s="30">
        <f>IFERROR(__xludf.DUMMYFUNCTION("""COMPUTED_VALUE"""),2.9306566777232734)</f>
        <v>2.930656678</v>
      </c>
      <c r="Y150" s="30">
        <f>IFERROR(__xludf.DUMMYFUNCTION("""COMPUTED_VALUE"""),352.76880552911666)</f>
        <v>352.7688055</v>
      </c>
      <c r="Z150" s="30">
        <f>IFERROR(__xludf.DUMMYFUNCTION("""COMPUTED_VALUE"""),0.7116344657754713)</f>
        <v>0.7116344658</v>
      </c>
      <c r="AA150" s="30">
        <f>IFERROR(__xludf.DUMMYFUNCTION("""COMPUTED_VALUE"""),0.5178400366442314)</f>
        <v>0.5178400366</v>
      </c>
      <c r="AB150" s="30">
        <f>IFERROR(__xludf.DUMMYFUNCTION("""COMPUTED_VALUE"""),1.5018402456771867)</f>
        <v>1.501840246</v>
      </c>
      <c r="AC150" s="30">
        <f>IFERROR(__xludf.DUMMYFUNCTION("""COMPUTED_VALUE"""),2.4751568806353257)</f>
        <v>2.475156881</v>
      </c>
      <c r="AD150" s="30">
        <f>IFERROR(__xludf.DUMMYFUNCTION("""COMPUTED_VALUE"""),0.8189757324935725)</f>
        <v>0.8189757325</v>
      </c>
      <c r="AE150" s="30">
        <f>IFERROR(__xludf.DUMMYFUNCTION("""COMPUTED_VALUE"""),0.5109875661237226)</f>
        <v>0.5109875661</v>
      </c>
      <c r="AF150" s="30">
        <f>IFERROR(__xludf.DUMMYFUNCTION("""COMPUTED_VALUE"""),0.5266631651245671)</f>
        <v>0.5266631651</v>
      </c>
      <c r="AG150" s="30">
        <f>IFERROR(__xludf.DUMMYFUNCTION("""COMPUTED_VALUE"""),0.8474451769358425)</f>
        <v>0.8474451769</v>
      </c>
      <c r="AH150" s="30">
        <f>IFERROR(__xludf.DUMMYFUNCTION("""COMPUTED_VALUE"""),0.6243865015367659)</f>
        <v>0.6243865015</v>
      </c>
      <c r="AI150" s="30">
        <f>IFERROR(__xludf.DUMMYFUNCTION("""COMPUTED_VALUE"""),1.0102778834895787)</f>
        <v>1.010277883</v>
      </c>
      <c r="AJ150" s="30">
        <f>IFERROR(__xludf.DUMMYFUNCTION("""COMPUTED_VALUE"""),0.8821093959979992)</f>
        <v>0.882109396</v>
      </c>
      <c r="AK150" s="30">
        <f>IFERROR(__xludf.DUMMYFUNCTION("""COMPUTED_VALUE"""),0.7550732999747175)</f>
        <v>0.7550733</v>
      </c>
      <c r="AL150" s="30">
        <f>IFERROR(__xludf.DUMMYFUNCTION("""COMPUTED_VALUE"""),0.9320032398212638)</f>
        <v>0.9320032398</v>
      </c>
      <c r="AM150" s="30">
        <f>IFERROR(__xludf.DUMMYFUNCTION("""COMPUTED_VALUE"""),1.065021414803485)</f>
        <v>1.065021415</v>
      </c>
      <c r="AN150" s="30">
        <f>IFERROR(__xludf.DUMMYFUNCTION("""COMPUTED_VALUE"""),0.8240652599913253)</f>
        <v>0.82406526</v>
      </c>
      <c r="AO150" s="30">
        <f>IFERROR(__xludf.DUMMYFUNCTION("""COMPUTED_VALUE"""),0.5129648627640783)</f>
        <v>0.5129648628</v>
      </c>
      <c r="AP150" s="30">
        <f>IFERROR(__xludf.DUMMYFUNCTION("""COMPUTED_VALUE"""),0.47773267155334626)</f>
        <v>0.4777326716</v>
      </c>
      <c r="AQ150" s="30">
        <f>IFERROR(__xludf.DUMMYFUNCTION("""COMPUTED_VALUE"""),0.8928671649536928)</f>
        <v>0.892867165</v>
      </c>
      <c r="AR150" s="30">
        <f>IFERROR(__xludf.DUMMYFUNCTION("""COMPUTED_VALUE"""),0.616526740293265)</f>
        <v>0.6165267403</v>
      </c>
      <c r="AS150" s="30">
        <f>IFERROR(__xludf.DUMMYFUNCTION("""COMPUTED_VALUE"""),19.0)</f>
        <v>19</v>
      </c>
      <c r="AT150" s="30">
        <f>IFERROR(__xludf.DUMMYFUNCTION("""COMPUTED_VALUE"""),0.3992624672770685)</f>
        <v>0.3992624673</v>
      </c>
      <c r="AU150" s="30">
        <f>IFERROR(__xludf.DUMMYFUNCTION("""COMPUTED_VALUE"""),1.1359238978895119)</f>
        <v>1.135923898</v>
      </c>
      <c r="AV150" s="32">
        <f>IFERROR(__xludf.DUMMYFUNCTION("""COMPUTED_VALUE"""),13.821187145308791)</f>
        <v>13.82118715</v>
      </c>
      <c r="AW150" s="32">
        <f>IFERROR(__xludf.DUMMYFUNCTION("""COMPUTED_VALUE"""),-13.52683810841659)</f>
        <v>-13.52683811</v>
      </c>
      <c r="AX150" s="32">
        <f>IFERROR(__xludf.DUMMYFUNCTION("""COMPUTED_VALUE"""),6.638650196533085)</f>
        <v>6.638650197</v>
      </c>
      <c r="AY150" s="32">
        <f>IFERROR(__xludf.DUMMYFUNCTION("""COMPUTED_VALUE"""),-24.14363660024818)</f>
        <v>-24.1436366</v>
      </c>
      <c r="AZ150" s="30">
        <f>IFERROR(__xludf.DUMMYFUNCTION("""COMPUTED_VALUE"""),10.61679849183159)</f>
        <v>10.61679849</v>
      </c>
      <c r="BA150" s="30">
        <f>IFERROR(__xludf.DUMMYFUNCTION("""COMPUTED_VALUE"""),800.0)</f>
        <v>800</v>
      </c>
    </row>
    <row r="151">
      <c r="A151" s="30" t="str">
        <f>IFERROR(__xludf.DUMMYFUNCTION("""COMPUTED_VALUE"""),"Elite")</f>
        <v>Elite</v>
      </c>
      <c r="B151" s="30" t="str">
        <f>IFERROR(__xludf.DUMMYFUNCTION("""COMPUTED_VALUE"""),"RSC007470")</f>
        <v>RSC007470</v>
      </c>
      <c r="C151" s="30" t="str">
        <f>IFERROR(__xludf.DUMMYFUNCTION("""COMPUTED_VALUE"""),"Fused Gavin")</f>
        <v>Fused Gavin</v>
      </c>
      <c r="D151" s="30" t="str">
        <f>IFERROR(__xludf.DUMMYFUNCTION("""COMPUTED_VALUE"""),"Loonie")</f>
        <v>Loonie</v>
      </c>
      <c r="E151" s="30">
        <f>IFERROR(__xludf.DUMMYFUNCTION("""COMPUTED_VALUE"""),34.0)</f>
        <v>34</v>
      </c>
      <c r="F151" s="30">
        <f>IFERROR(__xludf.DUMMYFUNCTION("""COMPUTED_VALUE"""),9.0)</f>
        <v>9</v>
      </c>
      <c r="G151" s="30">
        <f>IFERROR(__xludf.DUMMYFUNCTION("""COMPUTED_VALUE"""),25.0)</f>
        <v>25</v>
      </c>
      <c r="H151" s="42">
        <f>IFERROR(__xludf.DUMMYFUNCTION("""COMPUTED_VALUE"""),0.2647058823529412)</f>
        <v>0.2647058824</v>
      </c>
      <c r="I151" s="42">
        <f>IFERROR(__xludf.DUMMYFUNCTION("""COMPUTED_VALUE"""),0.2181818181818182)</f>
        <v>0.2181818182</v>
      </c>
      <c r="J151" s="30">
        <f>IFERROR(__xludf.DUMMYFUNCTION("""COMPUTED_VALUE"""),285.5)</f>
        <v>285.5</v>
      </c>
      <c r="K151" s="30">
        <f>IFERROR(__xludf.DUMMYFUNCTION("""COMPUTED_VALUE"""),0.35294117647058826)</f>
        <v>0.3529411765</v>
      </c>
      <c r="L151" s="30">
        <f>IFERROR(__xludf.DUMMYFUNCTION("""COMPUTED_VALUE"""),0.2647058823529412)</f>
        <v>0.2647058824</v>
      </c>
      <c r="M151" s="30">
        <f>IFERROR(__xludf.DUMMYFUNCTION("""COMPUTED_VALUE"""),1.5588235294117647)</f>
        <v>1.558823529</v>
      </c>
      <c r="N151" s="30">
        <f>IFERROR(__xludf.DUMMYFUNCTION("""COMPUTED_VALUE"""),1.6176470588235294)</f>
        <v>1.617647059</v>
      </c>
      <c r="O151" s="30">
        <f>IFERROR(__xludf.DUMMYFUNCTION("""COMPUTED_VALUE"""),397.76470588235304)</f>
        <v>397.7647059</v>
      </c>
      <c r="P151" s="30">
        <f>IFERROR(__xludf.DUMMYFUNCTION("""COMPUTED_VALUE"""),1.049019607843137)</f>
        <v>1.049019608</v>
      </c>
      <c r="Q151" s="30">
        <f>IFERROR(__xludf.DUMMYFUNCTION("""COMPUTED_VALUE"""),0.8823529411764702)</f>
        <v>0.8823529412</v>
      </c>
      <c r="R151" s="30">
        <f>IFERROR(__xludf.DUMMYFUNCTION("""COMPUTED_VALUE"""),1.2450980392156863)</f>
        <v>1.245098039</v>
      </c>
      <c r="S151" s="30">
        <f>IFERROR(__xludf.DUMMYFUNCTION("""COMPUTED_VALUE"""),3.0980392156862746)</f>
        <v>3.098039216</v>
      </c>
      <c r="T151" s="30">
        <f>IFERROR(__xludf.DUMMYFUNCTION("""COMPUTED_VALUE"""),381.17758141887776)</f>
        <v>381.1775814</v>
      </c>
      <c r="U151" s="30">
        <f>IFERROR(__xludf.DUMMYFUNCTION("""COMPUTED_VALUE"""),0.906517670106173)</f>
        <v>0.9065176701</v>
      </c>
      <c r="V151" s="30">
        <f>IFERROR(__xludf.DUMMYFUNCTION("""COMPUTED_VALUE"""),0.6281968255251703)</f>
        <v>0.6281968255</v>
      </c>
      <c r="W151" s="30">
        <f>IFERROR(__xludf.DUMMYFUNCTION("""COMPUTED_VALUE"""),1.3615134094043067)</f>
        <v>1.361513409</v>
      </c>
      <c r="X151" s="30">
        <f>IFERROR(__xludf.DUMMYFUNCTION("""COMPUTED_VALUE"""),2.8456208702236685)</f>
        <v>2.84562087</v>
      </c>
      <c r="Y151" s="30">
        <f>IFERROR(__xludf.DUMMYFUNCTION("""COMPUTED_VALUE"""),344.3668157629657)</f>
        <v>344.3668158</v>
      </c>
      <c r="Z151" s="30">
        <f>IFERROR(__xludf.DUMMYFUNCTION("""COMPUTED_VALUE"""),0.6781055076774125)</f>
        <v>0.6781055077</v>
      </c>
      <c r="AA151" s="30">
        <f>IFERROR(__xludf.DUMMYFUNCTION("""COMPUTED_VALUE"""),0.49898473689134226)</f>
        <v>0.4989847369</v>
      </c>
      <c r="AB151" s="30">
        <f>IFERROR(__xludf.DUMMYFUNCTION("""COMPUTED_VALUE"""),1.4467524419226379)</f>
        <v>1.446752442</v>
      </c>
      <c r="AC151" s="30">
        <f>IFERROR(__xludf.DUMMYFUNCTION("""COMPUTED_VALUE"""),2.4667994596806606)</f>
        <v>2.46679946</v>
      </c>
      <c r="AD151" s="30">
        <f>IFERROR(__xludf.DUMMYFUNCTION("""COMPUTED_VALUE"""),0.8290578154792799)</f>
        <v>0.8290578155</v>
      </c>
      <c r="AE151" s="30">
        <f>IFERROR(__xludf.DUMMYFUNCTION("""COMPUTED_VALUE"""),0.5204812119568994)</f>
        <v>0.520481212</v>
      </c>
      <c r="AF151" s="30">
        <f>IFERROR(__xludf.DUMMYFUNCTION("""COMPUTED_VALUE"""),0.5304889363992368)</f>
        <v>0.5304889364</v>
      </c>
      <c r="AG151" s="30">
        <f>IFERROR(__xludf.DUMMYFUNCTION("""COMPUTED_VALUE"""),1.0774639006934674)</f>
        <v>1.077463901</v>
      </c>
      <c r="AH151" s="30">
        <f>IFERROR(__xludf.DUMMYFUNCTION("""COMPUTED_VALUE"""),0.655767558434986)</f>
        <v>0.6557675584</v>
      </c>
      <c r="AI151" s="30">
        <f>IFERROR(__xludf.DUMMYFUNCTION("""COMPUTED_VALUE"""),1.043515477488818)</f>
        <v>1.043515477</v>
      </c>
      <c r="AJ151" s="30">
        <f>IFERROR(__xludf.DUMMYFUNCTION("""COMPUTED_VALUE"""),1.1571970877526017)</f>
        <v>1.157197088</v>
      </c>
      <c r="AK151" s="30">
        <f>IFERROR(__xludf.DUMMYFUNCTION("""COMPUTED_VALUE"""),1.4045803883819794)</f>
        <v>1.404580388</v>
      </c>
      <c r="AL151" s="30">
        <f>IFERROR(__xludf.DUMMYFUNCTION("""COMPUTED_VALUE"""),0.914495612467339)</f>
        <v>0.9144956125</v>
      </c>
      <c r="AM151" s="30">
        <f>IFERROR(__xludf.DUMMYFUNCTION("""COMPUTED_VALUE"""),1.088704137681829)</f>
        <v>1.088704138</v>
      </c>
      <c r="AN151" s="30">
        <f>IFERROR(__xludf.DUMMYFUNCTION("""COMPUTED_VALUE"""),0.8143413936446686)</f>
        <v>0.8143413936</v>
      </c>
      <c r="AO151" s="30">
        <f>IFERROR(__xludf.DUMMYFUNCTION("""COMPUTED_VALUE"""),0.497877660918076)</f>
        <v>0.4978776609</v>
      </c>
      <c r="AP151" s="30">
        <f>IFERROR(__xludf.DUMMYFUNCTION("""COMPUTED_VALUE"""),0.4636817106253067)</f>
        <v>0.4636817106</v>
      </c>
      <c r="AQ151" s="30">
        <f>IFERROR(__xludf.DUMMYFUNCTION("""COMPUTED_VALUE"""),1.0935746999327793)</f>
        <v>1.0935747</v>
      </c>
      <c r="AR151" s="30">
        <f>IFERROR(__xludf.DUMMYFUNCTION("""COMPUTED_VALUE"""),0.6453264323138846)</f>
        <v>0.6453264323</v>
      </c>
      <c r="AS151" s="30">
        <f>IFERROR(__xludf.DUMMYFUNCTION("""COMPUTED_VALUE"""),49.0)</f>
        <v>49</v>
      </c>
      <c r="AT151" s="30">
        <f>IFERROR(__xludf.DUMMYFUNCTION("""COMPUTED_VALUE"""),0.22981801213129777)</f>
        <v>0.2298180121</v>
      </c>
      <c r="AU151" s="30">
        <f>IFERROR(__xludf.DUMMYFUNCTION("""COMPUTED_VALUE"""),0.827450616266051)</f>
        <v>0.8274506163</v>
      </c>
      <c r="AV151" s="32">
        <f>IFERROR(__xludf.DUMMYFUNCTION("""COMPUTED_VALUE"""),4.948195973784209)</f>
        <v>4.948195974</v>
      </c>
      <c r="AW151" s="32">
        <f>IFERROR(__xludf.DUMMYFUNCTION("""COMPUTED_VALUE"""),-27.958712189096776)</f>
        <v>-27.95871219</v>
      </c>
      <c r="AX151" s="32">
        <f>IFERROR(__xludf.DUMMYFUNCTION("""COMPUTED_VALUE"""),10.041994534314476)</f>
        <v>10.04199453</v>
      </c>
      <c r="AY151" s="32">
        <f>IFERROR(__xludf.DUMMYFUNCTION("""COMPUTED_VALUE"""),-18.186492119108166)</f>
        <v>-18.18649212</v>
      </c>
      <c r="AZ151" s="30">
        <f>IFERROR(__xludf.DUMMYFUNCTION("""COMPUTED_VALUE"""),9.77222006998861)</f>
        <v>9.77222007</v>
      </c>
      <c r="BA151" s="30">
        <f>IFERROR(__xludf.DUMMYFUNCTION("""COMPUTED_VALUE"""),800.0)</f>
        <v>800</v>
      </c>
    </row>
    <row r="152">
      <c r="A152" s="30" t="str">
        <f>IFERROR(__xludf.DUMMYFUNCTION("""COMPUTED_VALUE"""),"Elite")</f>
        <v>Elite</v>
      </c>
      <c r="B152" s="30" t="str">
        <f>IFERROR(__xludf.DUMMYFUNCTION("""COMPUTED_VALUE"""),"RSC002892")</f>
        <v>RSC002892</v>
      </c>
      <c r="C152" s="30" t="str">
        <f>IFERROR(__xludf.DUMMYFUNCTION("""COMPUTED_VALUE"""),"nickm")</f>
        <v>nickm</v>
      </c>
      <c r="D152" s="30" t="str">
        <f>IFERROR(__xludf.DUMMYFUNCTION("""COMPUTED_VALUE"""),"Cyclones")</f>
        <v>Cyclones</v>
      </c>
      <c r="E152" s="30">
        <f>IFERROR(__xludf.DUMMYFUNCTION("""COMPUTED_VALUE"""),16.0)</f>
        <v>16</v>
      </c>
      <c r="F152" s="30">
        <f>IFERROR(__xludf.DUMMYFUNCTION("""COMPUTED_VALUE"""),10.0)</f>
        <v>10</v>
      </c>
      <c r="G152" s="30">
        <f>IFERROR(__xludf.DUMMYFUNCTION("""COMPUTED_VALUE"""),6.0)</f>
        <v>6</v>
      </c>
      <c r="H152" s="42">
        <f>IFERROR(__xludf.DUMMYFUNCTION("""COMPUTED_VALUE"""),0.625)</f>
        <v>0.625</v>
      </c>
      <c r="I152" s="42">
        <f>IFERROR(__xludf.DUMMYFUNCTION("""COMPUTED_VALUE"""),0.2682926829268293)</f>
        <v>0.2682926829</v>
      </c>
      <c r="J152" s="30">
        <f>IFERROR(__xludf.DUMMYFUNCTION("""COMPUTED_VALUE"""),303.0)</f>
        <v>303</v>
      </c>
      <c r="K152" s="30">
        <f>IFERROR(__xludf.DUMMYFUNCTION("""COMPUTED_VALUE"""),0.6875)</f>
        <v>0.6875</v>
      </c>
      <c r="L152" s="30">
        <f>IFERROR(__xludf.DUMMYFUNCTION("""COMPUTED_VALUE"""),0.625)</f>
        <v>0.625</v>
      </c>
      <c r="M152" s="30">
        <f>IFERROR(__xludf.DUMMYFUNCTION("""COMPUTED_VALUE"""),1.0)</f>
        <v>1</v>
      </c>
      <c r="N152" s="30">
        <f>IFERROR(__xludf.DUMMYFUNCTION("""COMPUTED_VALUE"""),2.5625)</f>
        <v>2.5625</v>
      </c>
      <c r="O152" s="30">
        <f>IFERROR(__xludf.DUMMYFUNCTION("""COMPUTED_VALUE"""),374.8958333333333)</f>
        <v>374.8958333</v>
      </c>
      <c r="P152" s="30">
        <f>IFERROR(__xludf.DUMMYFUNCTION("""COMPUTED_VALUE"""),0.6875)</f>
        <v>0.6875</v>
      </c>
      <c r="Q152" s="30">
        <f>IFERROR(__xludf.DUMMYFUNCTION("""COMPUTED_VALUE"""),0.5208333333333334)</f>
        <v>0.5208333333</v>
      </c>
      <c r="R152" s="30">
        <f>IFERROR(__xludf.DUMMYFUNCTION("""COMPUTED_VALUE"""),1.791666666666667)</f>
        <v>1.791666667</v>
      </c>
      <c r="S152" s="30">
        <f>IFERROR(__xludf.DUMMYFUNCTION("""COMPUTED_VALUE"""),2.6041666666666674)</f>
        <v>2.604166667</v>
      </c>
      <c r="T152" s="30">
        <f>IFERROR(__xludf.DUMMYFUNCTION("""COMPUTED_VALUE"""),370.0551732834402)</f>
        <v>370.0551733</v>
      </c>
      <c r="U152" s="30">
        <f>IFERROR(__xludf.DUMMYFUNCTION("""COMPUTED_VALUE"""),0.8329601792180246)</f>
        <v>0.8329601792</v>
      </c>
      <c r="V152" s="30">
        <f>IFERROR(__xludf.DUMMYFUNCTION("""COMPUTED_VALUE"""),0.6466211738087663)</f>
        <v>0.6466211738</v>
      </c>
      <c r="W152" s="30">
        <f>IFERROR(__xludf.DUMMYFUNCTION("""COMPUTED_VALUE"""),1.299784374948875)</f>
        <v>1.299784375</v>
      </c>
      <c r="X152" s="30">
        <f>IFERROR(__xludf.DUMMYFUNCTION("""COMPUTED_VALUE"""),2.918858608894854)</f>
        <v>2.918858609</v>
      </c>
      <c r="Y152" s="30">
        <f>IFERROR(__xludf.DUMMYFUNCTION("""COMPUTED_VALUE"""),364.3611561645891)</f>
        <v>364.3611562</v>
      </c>
      <c r="Z152" s="30">
        <f>IFERROR(__xludf.DUMMYFUNCTION("""COMPUTED_VALUE"""),0.7546000407349741)</f>
        <v>0.7546000407</v>
      </c>
      <c r="AA152" s="30">
        <f>IFERROR(__xludf.DUMMYFUNCTION("""COMPUTED_VALUE"""),0.5794323521138609)</f>
        <v>0.5794323521</v>
      </c>
      <c r="AB152" s="30">
        <f>IFERROR(__xludf.DUMMYFUNCTION("""COMPUTED_VALUE"""),1.5308104238462672)</f>
        <v>1.530810424</v>
      </c>
      <c r="AC152" s="30">
        <f>IFERROR(__xludf.DUMMYFUNCTION("""COMPUTED_VALUE"""),2.5285529177141663)</f>
        <v>2.528552918</v>
      </c>
      <c r="AD152" s="30">
        <f>IFERROR(__xludf.DUMMYFUNCTION("""COMPUTED_VALUE"""),0.8315924869420739)</f>
        <v>0.8315924869</v>
      </c>
      <c r="AE152" s="30">
        <f>IFERROR(__xludf.DUMMYFUNCTION("""COMPUTED_VALUE"""),0.9110786680191281)</f>
        <v>0.911078668</v>
      </c>
      <c r="AF152" s="30">
        <f>IFERROR(__xludf.DUMMYFUNCTION("""COMPUTED_VALUE"""),1.0786418772094812)</f>
        <v>1.078641877</v>
      </c>
      <c r="AG152" s="30">
        <f>IFERROR(__xludf.DUMMYFUNCTION("""COMPUTED_VALUE"""),0.6532487527014813)</f>
        <v>0.6532487527</v>
      </c>
      <c r="AH152" s="30">
        <f>IFERROR(__xludf.DUMMYFUNCTION("""COMPUTED_VALUE"""),1.013425498057807)</f>
        <v>1.013425498</v>
      </c>
      <c r="AI152" s="30">
        <f>IFERROR(__xludf.DUMMYFUNCTION("""COMPUTED_VALUE"""),1.0130809144132285)</f>
        <v>1.013080914</v>
      </c>
      <c r="AJ152" s="30">
        <f>IFERROR(__xludf.DUMMYFUNCTION("""COMPUTED_VALUE"""),0.8253695880701268)</f>
        <v>0.8253695881</v>
      </c>
      <c r="AK152" s="30">
        <f>IFERROR(__xludf.DUMMYFUNCTION("""COMPUTED_VALUE"""),0.8054690357036873)</f>
        <v>0.8054690357</v>
      </c>
      <c r="AL152" s="30">
        <f>IFERROR(__xludf.DUMMYFUNCTION("""COMPUTED_VALUE"""),1.3784337627055558)</f>
        <v>1.378433763</v>
      </c>
      <c r="AM152" s="30">
        <f>IFERROR(__xludf.DUMMYFUNCTION("""COMPUTED_VALUE"""),0.8921866440295524)</f>
        <v>0.892186644</v>
      </c>
      <c r="AN152" s="30">
        <f>IFERROR(__xludf.DUMMYFUNCTION("""COMPUTED_VALUE"""),0.8642572408908392)</f>
        <v>0.8642572409</v>
      </c>
      <c r="AO152" s="30">
        <f>IFERROR(__xludf.DUMMYFUNCTION("""COMPUTED_VALUE"""),0.9698241936633355)</f>
        <v>0.9698241937</v>
      </c>
      <c r="AP152" s="30">
        <f>IFERROR(__xludf.DUMMYFUNCTION("""COMPUTED_VALUE"""),1.0948040389764186)</f>
        <v>1.094804039</v>
      </c>
      <c r="AQ152" s="30">
        <f>IFERROR(__xludf.DUMMYFUNCTION("""COMPUTED_VALUE"""),0.7015384867493301)</f>
        <v>0.7015384867</v>
      </c>
      <c r="AR152" s="30">
        <f>IFERROR(__xludf.DUMMYFUNCTION("""COMPUTED_VALUE"""),1.0222557348244945)</f>
        <v>1.022255735</v>
      </c>
      <c r="AS152" s="30">
        <f>IFERROR(__xludf.DUMMYFUNCTION("""COMPUTED_VALUE"""),41.0)</f>
        <v>41</v>
      </c>
      <c r="AT152" s="30">
        <f>IFERROR(__xludf.DUMMYFUNCTION("""COMPUTED_VALUE"""),0.5834325621886477)</f>
        <v>0.5834325622</v>
      </c>
      <c r="AU152" s="30">
        <f>IFERROR(__xludf.DUMMYFUNCTION("""COMPUTED_VALUE"""),2.5687417228510037)</f>
        <v>2.568741723</v>
      </c>
      <c r="AV152" s="32">
        <f>IFERROR(__xludf.DUMMYFUNCTION("""COMPUTED_VALUE"""),55.03506422528552)</f>
        <v>55.03506423</v>
      </c>
      <c r="AW152" s="32">
        <f>IFERROR(__xludf.DUMMYFUNCTION("""COMPUTED_VALUE"""),2.37986499063662)</f>
        <v>2.379864991</v>
      </c>
      <c r="AX152" s="32">
        <f>IFERROR(__xludf.DUMMYFUNCTION("""COMPUTED_VALUE"""),27.5760855830525)</f>
        <v>27.57608558</v>
      </c>
      <c r="AY152" s="32">
        <f>IFERROR(__xludf.DUMMYFUNCTION("""COMPUTED_VALUE"""),-5.409175915913795)</f>
        <v>-5.409175916</v>
      </c>
      <c r="AZ152" s="30">
        <f>IFERROR(__xludf.DUMMYFUNCTION("""COMPUTED_VALUE"""),7.789040906550415)</f>
        <v>7.789040907</v>
      </c>
      <c r="BA152" s="30">
        <f>IFERROR(__xludf.DUMMYFUNCTION("""COMPUTED_VALUE"""),800.0)</f>
        <v>800</v>
      </c>
    </row>
    <row r="153">
      <c r="A153" s="30" t="str">
        <f>IFERROR(__xludf.DUMMYFUNCTION("""COMPUTED_VALUE"""),"Elite")</f>
        <v>Elite</v>
      </c>
      <c r="B153" s="30" t="str">
        <f>IFERROR(__xludf.DUMMYFUNCTION("""COMPUTED_VALUE"""),"RSC002178")</f>
        <v>RSC002178</v>
      </c>
      <c r="C153" s="30" t="str">
        <f>IFERROR(__xludf.DUMMYFUNCTION("""COMPUTED_VALUE"""),"bird")</f>
        <v>bird</v>
      </c>
      <c r="D153" s="30" t="str">
        <f>IFERROR(__xludf.DUMMYFUNCTION("""COMPUTED_VALUE"""),"Afterburners")</f>
        <v>Afterburners</v>
      </c>
      <c r="E153" s="30">
        <f>IFERROR(__xludf.DUMMYFUNCTION("""COMPUTED_VALUE"""),11.0)</f>
        <v>11</v>
      </c>
      <c r="F153" s="30">
        <f>IFERROR(__xludf.DUMMYFUNCTION("""COMPUTED_VALUE"""),5.0)</f>
        <v>5</v>
      </c>
      <c r="G153" s="30">
        <f>IFERROR(__xludf.DUMMYFUNCTION("""COMPUTED_VALUE"""),6.0)</f>
        <v>6</v>
      </c>
      <c r="H153" s="42">
        <f>IFERROR(__xludf.DUMMYFUNCTION("""COMPUTED_VALUE"""),0.45454545454545453)</f>
        <v>0.4545454545</v>
      </c>
      <c r="I153" s="42">
        <f>IFERROR(__xludf.DUMMYFUNCTION("""COMPUTED_VALUE"""),0.34285714285714286)</f>
        <v>0.3428571429</v>
      </c>
      <c r="J153" s="30">
        <f>IFERROR(__xludf.DUMMYFUNCTION("""COMPUTED_VALUE"""),358.6363636363636)</f>
        <v>358.6363636</v>
      </c>
      <c r="K153" s="30">
        <f>IFERROR(__xludf.DUMMYFUNCTION("""COMPUTED_VALUE"""),1.0909090909090908)</f>
        <v>1.090909091</v>
      </c>
      <c r="L153" s="30">
        <f>IFERROR(__xludf.DUMMYFUNCTION("""COMPUTED_VALUE"""),0.45454545454545453)</f>
        <v>0.4545454545</v>
      </c>
      <c r="M153" s="30">
        <f>IFERROR(__xludf.DUMMYFUNCTION("""COMPUTED_VALUE"""),1.3636363636363635)</f>
        <v>1.363636364</v>
      </c>
      <c r="N153" s="30">
        <f>IFERROR(__xludf.DUMMYFUNCTION("""COMPUTED_VALUE"""),3.1818181818181817)</f>
        <v>3.181818182</v>
      </c>
      <c r="O153" s="30">
        <f>IFERROR(__xludf.DUMMYFUNCTION("""COMPUTED_VALUE"""),377.72727272727275)</f>
        <v>377.7272727</v>
      </c>
      <c r="P153" s="30">
        <f>IFERROR(__xludf.DUMMYFUNCTION("""COMPUTED_VALUE"""),0.8484848484848484)</f>
        <v>0.8484848485</v>
      </c>
      <c r="Q153" s="30">
        <f>IFERROR(__xludf.DUMMYFUNCTION("""COMPUTED_VALUE"""),0.5757575757575757)</f>
        <v>0.5757575758</v>
      </c>
      <c r="R153" s="30">
        <f>IFERROR(__xludf.DUMMYFUNCTION("""COMPUTED_VALUE"""),1.6060606060606062)</f>
        <v>1.606060606</v>
      </c>
      <c r="S153" s="30">
        <f>IFERROR(__xludf.DUMMYFUNCTION("""COMPUTED_VALUE"""),2.878787878787879)</f>
        <v>2.878787879</v>
      </c>
      <c r="T153" s="30">
        <f>IFERROR(__xludf.DUMMYFUNCTION("""COMPUTED_VALUE"""),364.1048084575357)</f>
        <v>364.1048085</v>
      </c>
      <c r="U153" s="30">
        <f>IFERROR(__xludf.DUMMYFUNCTION("""COMPUTED_VALUE"""),0.821976171976172)</f>
        <v>0.821976172</v>
      </c>
      <c r="V153" s="30">
        <f>IFERROR(__xludf.DUMMYFUNCTION("""COMPUTED_VALUE"""),0.6397541852087306)</f>
        <v>0.6397541852</v>
      </c>
      <c r="W153" s="30">
        <f>IFERROR(__xludf.DUMMYFUNCTION("""COMPUTED_VALUE"""),1.4508012526194347)</f>
        <v>1.450801253</v>
      </c>
      <c r="X153" s="30">
        <f>IFERROR(__xludf.DUMMYFUNCTION("""COMPUTED_VALUE"""),2.6698099879918065)</f>
        <v>2.669809988</v>
      </c>
      <c r="Y153" s="30">
        <f>IFERROR(__xludf.DUMMYFUNCTION("""COMPUTED_VALUE"""),376.5498591980411)</f>
        <v>376.5498592</v>
      </c>
      <c r="Z153" s="30">
        <f>IFERROR(__xludf.DUMMYFUNCTION("""COMPUTED_VALUE"""),0.8922435701223581)</f>
        <v>0.8922435701</v>
      </c>
      <c r="AA153" s="30">
        <f>IFERROR(__xludf.DUMMYFUNCTION("""COMPUTED_VALUE"""),0.6661970128636796)</f>
        <v>0.6661970129</v>
      </c>
      <c r="AB153" s="30">
        <f>IFERROR(__xludf.DUMMYFUNCTION("""COMPUTED_VALUE"""),1.4382320485350788)</f>
        <v>1.438232049</v>
      </c>
      <c r="AC153" s="30">
        <f>IFERROR(__xludf.DUMMYFUNCTION("""COMPUTED_VALUE"""),2.707951700375944)</f>
        <v>2.7079517</v>
      </c>
      <c r="AD153" s="30">
        <f>IFERROR(__xludf.DUMMYFUNCTION("""COMPUTED_VALUE"""),0.9524272944894235)</f>
        <v>0.9524272945</v>
      </c>
      <c r="AE153" s="30">
        <f>IFERROR(__xludf.DUMMYFUNCTION("""COMPUTED_VALUE"""),1.2226583944555507)</f>
        <v>1.222658394</v>
      </c>
      <c r="AF153" s="30">
        <f>IFERROR(__xludf.DUMMYFUNCTION("""COMPUTED_VALUE"""),0.682298848191422)</f>
        <v>0.6822988482</v>
      </c>
      <c r="AG153" s="30">
        <f>IFERROR(__xludf.DUMMYFUNCTION("""COMPUTED_VALUE"""),0.9481337625769811)</f>
        <v>0.9481337626</v>
      </c>
      <c r="AH153" s="30">
        <f>IFERROR(__xludf.DUMMYFUNCTION("""COMPUTED_VALUE"""),1.1749907435115814)</f>
        <v>1.174990744</v>
      </c>
      <c r="AI153" s="30">
        <f>IFERROR(__xludf.DUMMYFUNCTION("""COMPUTED_VALUE"""),1.0374135796982362)</f>
        <v>1.03741358</v>
      </c>
      <c r="AJ153" s="30">
        <f>IFERROR(__xludf.DUMMYFUNCTION("""COMPUTED_VALUE"""),1.0322499330423958)</f>
        <v>1.032249933</v>
      </c>
      <c r="AK153" s="30">
        <f>IFERROR(__xludf.DUMMYFUNCTION("""COMPUTED_VALUE"""),0.8999668764491553)</f>
        <v>0.8999668764</v>
      </c>
      <c r="AL153" s="30">
        <f>IFERROR(__xludf.DUMMYFUNCTION("""COMPUTED_VALUE"""),1.1070162802526187)</f>
        <v>1.10701628</v>
      </c>
      <c r="AM153" s="30">
        <f>IFERROR(__xludf.DUMMYFUNCTION("""COMPUTED_VALUE"""),1.078274443400844)</f>
        <v>1.078274443</v>
      </c>
      <c r="AN153" s="30">
        <f>IFERROR(__xludf.DUMMYFUNCTION("""COMPUTED_VALUE"""),1.022950739668275)</f>
        <v>1.02295074</v>
      </c>
      <c r="AO153" s="30">
        <f>IFERROR(__xludf.DUMMYFUNCTION("""COMPUTED_VALUE"""),1.5388945882922347)</f>
        <v>1.538894588</v>
      </c>
      <c r="AP153" s="30">
        <f>IFERROR(__xludf.DUMMYFUNCTION("""COMPUTED_VALUE"""),0.7962211192555771)</f>
        <v>0.7962211193</v>
      </c>
      <c r="AQ153" s="30">
        <f>IFERROR(__xludf.DUMMYFUNCTION("""COMPUTED_VALUE"""),0.9566433910218137)</f>
        <v>0.956643391</v>
      </c>
      <c r="AR153" s="30">
        <f>IFERROR(__xludf.DUMMYFUNCTION("""COMPUTED_VALUE"""),1.2693197594273102)</f>
        <v>1.269319759</v>
      </c>
      <c r="AS153" s="30">
        <f>IFERROR(__xludf.DUMMYFUNCTION("""COMPUTED_VALUE"""),28.0)</f>
        <v>28</v>
      </c>
      <c r="AT153" s="30">
        <f>IFERROR(__xludf.DUMMYFUNCTION("""COMPUTED_VALUE"""),0.5000000000000001)</f>
        <v>0.5</v>
      </c>
      <c r="AU153" s="30">
        <f>IFERROR(__xludf.DUMMYFUNCTION("""COMPUTED_VALUE"""),3.012153609412609)</f>
        <v>3.012153609</v>
      </c>
      <c r="AV153" s="32">
        <f>IFERROR(__xludf.DUMMYFUNCTION("""COMPUTED_VALUE"""),67.78945816859212)</f>
        <v>67.78945817</v>
      </c>
      <c r="AW153" s="32">
        <f>IFERROR(__xludf.DUMMYFUNCTION("""COMPUTED_VALUE"""),4.195282585146592)</f>
        <v>4.195282585</v>
      </c>
      <c r="AX153" s="32">
        <f>IFERROR(__xludf.DUMMYFUNCTION("""COMPUTED_VALUE"""),38.53025542903664)</f>
        <v>38.53025543</v>
      </c>
      <c r="AY153" s="32">
        <f>IFERROR(__xludf.DUMMYFUNCTION("""COMPUTED_VALUE"""),-3.0941305723492607)</f>
        <v>-3.094130572</v>
      </c>
      <c r="AZ153" s="30">
        <f>IFERROR(__xludf.DUMMYFUNCTION("""COMPUTED_VALUE"""),7.2894131574958525)</f>
        <v>7.289413157</v>
      </c>
      <c r="BA153" s="30">
        <f>IFERROR(__xludf.DUMMYFUNCTION("""COMPUTED_VALUE"""),800.0)</f>
        <v>800</v>
      </c>
    </row>
    <row r="154">
      <c r="A154" s="30" t="str">
        <f>IFERROR(__xludf.DUMMYFUNCTION("""COMPUTED_VALUE"""),"Elite")</f>
        <v>Elite</v>
      </c>
      <c r="B154" s="30" t="str">
        <f>IFERROR(__xludf.DUMMYFUNCTION("""COMPUTED_VALUE"""),"RSC007907")</f>
        <v>RSC007907</v>
      </c>
      <c r="C154" s="30" t="str">
        <f>IFERROR(__xludf.DUMMYFUNCTION("""COMPUTED_VALUE"""),"Chazie.")</f>
        <v>Chazie.</v>
      </c>
      <c r="D154" s="30"/>
      <c r="E154" s="30">
        <f>IFERROR(__xludf.DUMMYFUNCTION("""COMPUTED_VALUE"""),4.0)</f>
        <v>4</v>
      </c>
      <c r="F154" s="30">
        <f>IFERROR(__xludf.DUMMYFUNCTION("""COMPUTED_VALUE"""),0.0)</f>
        <v>0</v>
      </c>
      <c r="G154" s="30">
        <f>IFERROR(__xludf.DUMMYFUNCTION("""COMPUTED_VALUE"""),4.0)</f>
        <v>4</v>
      </c>
      <c r="H154" s="42">
        <f>IFERROR(__xludf.DUMMYFUNCTION("""COMPUTED_VALUE"""),0.0)</f>
        <v>0</v>
      </c>
      <c r="I154" s="42">
        <f>IFERROR(__xludf.DUMMYFUNCTION("""COMPUTED_VALUE"""),0.0)</f>
        <v>0</v>
      </c>
      <c r="J154" s="30">
        <f>IFERROR(__xludf.DUMMYFUNCTION("""COMPUTED_VALUE"""),318.75)</f>
        <v>318.75</v>
      </c>
      <c r="K154" s="30">
        <f>IFERROR(__xludf.DUMMYFUNCTION("""COMPUTED_VALUE"""),0.0)</f>
        <v>0</v>
      </c>
      <c r="L154" s="30">
        <f>IFERROR(__xludf.DUMMYFUNCTION("""COMPUTED_VALUE"""),1.0)</f>
        <v>1</v>
      </c>
      <c r="M154" s="30">
        <f>IFERROR(__xludf.DUMMYFUNCTION("""COMPUTED_VALUE"""),1.75)</f>
        <v>1.75</v>
      </c>
      <c r="N154" s="30">
        <f>IFERROR(__xludf.DUMMYFUNCTION("""COMPUTED_VALUE"""),1.0)</f>
        <v>1</v>
      </c>
      <c r="O154" s="30">
        <f>IFERROR(__xludf.DUMMYFUNCTION("""COMPUTED_VALUE"""),460.75)</f>
        <v>460.75</v>
      </c>
      <c r="P154" s="30">
        <f>IFERROR(__xludf.DUMMYFUNCTION("""COMPUTED_VALUE"""),1.1666666666666665)</f>
        <v>1.166666667</v>
      </c>
      <c r="Q154" s="30">
        <f>IFERROR(__xludf.DUMMYFUNCTION("""COMPUTED_VALUE"""),0.8333333333333333)</f>
        <v>0.8333333333</v>
      </c>
      <c r="R154" s="30">
        <f>IFERROR(__xludf.DUMMYFUNCTION("""COMPUTED_VALUE"""),1.9166666666666667)</f>
        <v>1.916666667</v>
      </c>
      <c r="S154" s="30">
        <f>IFERROR(__xludf.DUMMYFUNCTION("""COMPUTED_VALUE"""),3.583333333333333)</f>
        <v>3.583333333</v>
      </c>
      <c r="T154" s="30">
        <f>IFERROR(__xludf.DUMMYFUNCTION("""COMPUTED_VALUE"""),375.901672979798)</f>
        <v>375.901673</v>
      </c>
      <c r="U154" s="30">
        <f>IFERROR(__xludf.DUMMYFUNCTION("""COMPUTED_VALUE"""),0.8650838744588744)</f>
        <v>0.8650838745</v>
      </c>
      <c r="V154" s="30">
        <f>IFERROR(__xludf.DUMMYFUNCTION("""COMPUTED_VALUE"""),0.6381042568542569)</f>
        <v>0.6381042569</v>
      </c>
      <c r="W154" s="30">
        <f>IFERROR(__xludf.DUMMYFUNCTION("""COMPUTED_VALUE"""),1.32558170995671)</f>
        <v>1.32558171</v>
      </c>
      <c r="X154" s="30">
        <f>IFERROR(__xludf.DUMMYFUNCTION("""COMPUTED_VALUE"""),2.9777191558441554)</f>
        <v>2.977719156</v>
      </c>
      <c r="Y154" s="30">
        <f>IFERROR(__xludf.DUMMYFUNCTION("""COMPUTED_VALUE"""),367.0007876382877)</f>
        <v>367.0007876</v>
      </c>
      <c r="Z154" s="30">
        <f>IFERROR(__xludf.DUMMYFUNCTION("""COMPUTED_VALUE"""),0.7089105339105339)</f>
        <v>0.7089105339</v>
      </c>
      <c r="AA154" s="30">
        <f>IFERROR(__xludf.DUMMYFUNCTION("""COMPUTED_VALUE"""),0.5241311928811929)</f>
        <v>0.5241311929</v>
      </c>
      <c r="AB154" s="30">
        <f>IFERROR(__xludf.DUMMYFUNCTION("""COMPUTED_VALUE"""),1.7256523569023572)</f>
        <v>1.725652357</v>
      </c>
      <c r="AC154" s="30">
        <f>IFERROR(__xludf.DUMMYFUNCTION("""COMPUTED_VALUE"""),2.3810365560365563)</f>
        <v>2.381036556</v>
      </c>
      <c r="AD154" s="30">
        <f>IFERROR(__xludf.DUMMYFUNCTION("""COMPUTED_VALUE"""),0.8685267463626176)</f>
        <v>0.8685267464</v>
      </c>
      <c r="AE154" s="30">
        <f>IFERROR(__xludf.DUMMYFUNCTION("""COMPUTED_VALUE"""),0.0)</f>
        <v>0</v>
      </c>
      <c r="AF154" s="30">
        <f>IFERROR(__xludf.DUMMYFUNCTION("""COMPUTED_VALUE"""),1.9079192644553675)</f>
        <v>1.907919264</v>
      </c>
      <c r="AG154" s="30">
        <f>IFERROR(__xludf.DUMMYFUNCTION("""COMPUTED_VALUE"""),1.0141092399058569)</f>
        <v>1.01410924</v>
      </c>
      <c r="AH154" s="30">
        <f>IFERROR(__xludf.DUMMYFUNCTION("""COMPUTED_VALUE"""),0.41998515204007936)</f>
        <v>0.419985152</v>
      </c>
      <c r="AI154" s="30">
        <f>IFERROR(__xludf.DUMMYFUNCTION("""COMPUTED_VALUE"""),1.2257194716575843)</f>
        <v>1.225719472</v>
      </c>
      <c r="AJ154" s="30">
        <f>IFERROR(__xludf.DUMMYFUNCTION("""COMPUTED_VALUE"""),1.348616823306801)</f>
        <v>1.348616823</v>
      </c>
      <c r="AK154" s="30">
        <f>IFERROR(__xludf.DUMMYFUNCTION("""COMPUTED_VALUE"""),1.3059516910943705)</f>
        <v>1.305951691</v>
      </c>
      <c r="AL154" s="30">
        <f>IFERROR(__xludf.DUMMYFUNCTION("""COMPUTED_VALUE"""),1.445906089583312)</f>
        <v>1.44590609</v>
      </c>
      <c r="AM154" s="30">
        <f>IFERROR(__xludf.DUMMYFUNCTION("""COMPUTED_VALUE"""),1.2033818992971792)</f>
        <v>1.203381899</v>
      </c>
      <c r="AN154" s="30">
        <f>IFERROR(__xludf.DUMMYFUNCTION("""COMPUTED_VALUE"""),0.9091815034123928)</f>
        <v>0.9091815034</v>
      </c>
      <c r="AO154" s="30">
        <f>IFERROR(__xludf.DUMMYFUNCTION("""COMPUTED_VALUE"""),0.0)</f>
        <v>0</v>
      </c>
      <c r="AP154" s="30">
        <f>IFERROR(__xludf.DUMMYFUNCTION("""COMPUTED_VALUE"""),1.7516864623622699)</f>
        <v>1.751686462</v>
      </c>
      <c r="AQ154" s="30">
        <f>IFERROR(__xludf.DUMMYFUNCTION("""COMPUTED_VALUE"""),1.2276923518113276)</f>
        <v>1.227692352</v>
      </c>
      <c r="AR154" s="30">
        <f>IFERROR(__xludf.DUMMYFUNCTION("""COMPUTED_VALUE"""),0.39892906724858324)</f>
        <v>0.3989290672</v>
      </c>
      <c r="AS154" s="30">
        <f>IFERROR(__xludf.DUMMYFUNCTION("""COMPUTED_VALUE"""),6.0)</f>
        <v>6</v>
      </c>
      <c r="AT154" s="30">
        <f>IFERROR(__xludf.DUMMYFUNCTION("""COMPUTED_VALUE"""),0.2067305421964463)</f>
        <v>0.2067305422</v>
      </c>
      <c r="AU154" s="30">
        <f>IFERROR(__xludf.DUMMYFUNCTION("""COMPUTED_VALUE"""),0.8832064127643467)</f>
        <v>0.8832064128</v>
      </c>
      <c r="AV154" s="32">
        <f>IFERROR(__xludf.DUMMYFUNCTION("""COMPUTED_VALUE"""),6.551967579179134)</f>
        <v>6.551967579</v>
      </c>
      <c r="AW154" s="32">
        <f>IFERROR(__xludf.DUMMYFUNCTION("""COMPUTED_VALUE"""),-24.32359649756158)</f>
        <v>-24.3235965</v>
      </c>
      <c r="AX154" s="32">
        <f>IFERROR(__xludf.DUMMYFUNCTION("""COMPUTED_VALUE"""),10.752341373836543)</f>
        <v>10.75234137</v>
      </c>
      <c r="AY154" s="32">
        <f>IFERROR(__xludf.DUMMYFUNCTION("""COMPUTED_VALUE"""),-17.176685214787376)</f>
        <v>-17.17668521</v>
      </c>
      <c r="AZ154" s="30">
        <f>IFERROR(__xludf.DUMMYFUNCTION("""COMPUTED_VALUE"""),7.146911282774205)</f>
        <v>7.146911283</v>
      </c>
      <c r="BA154" s="30">
        <f>IFERROR(__xludf.DUMMYFUNCTION("""COMPUTED_VALUE"""),800.0)</f>
        <v>800</v>
      </c>
    </row>
    <row r="155">
      <c r="A155" s="30" t="str">
        <f>IFERROR(__xludf.DUMMYFUNCTION("""COMPUTED_VALUE"""),"Elite")</f>
        <v>Elite</v>
      </c>
      <c r="B155" s="30" t="str">
        <f>IFERROR(__xludf.DUMMYFUNCTION("""COMPUTED_VALUE"""),"RSC006972")</f>
        <v>RSC006972</v>
      </c>
      <c r="C155" s="30" t="str">
        <f>IFERROR(__xludf.DUMMYFUNCTION("""COMPUTED_VALUE"""),"galaxiezz.")</f>
        <v>galaxiezz.</v>
      </c>
      <c r="D155" s="30" t="str">
        <f>IFERROR(__xludf.DUMMYFUNCTION("""COMPUTED_VALUE"""),"Cotija Cartel")</f>
        <v>Cotija Cartel</v>
      </c>
      <c r="E155" s="30">
        <f>IFERROR(__xludf.DUMMYFUNCTION("""COMPUTED_VALUE"""),37.0)</f>
        <v>37</v>
      </c>
      <c r="F155" s="30">
        <f>IFERROR(__xludf.DUMMYFUNCTION("""COMPUTED_VALUE"""),30.0)</f>
        <v>30</v>
      </c>
      <c r="G155" s="30">
        <f>IFERROR(__xludf.DUMMYFUNCTION("""COMPUTED_VALUE"""),7.0)</f>
        <v>7</v>
      </c>
      <c r="H155" s="42">
        <f>IFERROR(__xludf.DUMMYFUNCTION("""COMPUTED_VALUE"""),0.8108108108108109)</f>
        <v>0.8108108108</v>
      </c>
      <c r="I155" s="42">
        <f>IFERROR(__xludf.DUMMYFUNCTION("""COMPUTED_VALUE"""),0.3557692307692307)</f>
        <v>0.3557692308</v>
      </c>
      <c r="J155" s="30">
        <f>IFERROR(__xludf.DUMMYFUNCTION("""COMPUTED_VALUE"""),399.6756756756757)</f>
        <v>399.6756757</v>
      </c>
      <c r="K155" s="30">
        <f>IFERROR(__xludf.DUMMYFUNCTION("""COMPUTED_VALUE"""),1.0)</f>
        <v>1</v>
      </c>
      <c r="L155" s="30">
        <f>IFERROR(__xludf.DUMMYFUNCTION("""COMPUTED_VALUE"""),0.7567567567567568)</f>
        <v>0.7567567568</v>
      </c>
      <c r="M155" s="30">
        <f>IFERROR(__xludf.DUMMYFUNCTION("""COMPUTED_VALUE"""),1.4594594594594594)</f>
        <v>1.459459459</v>
      </c>
      <c r="N155" s="30">
        <f>IFERROR(__xludf.DUMMYFUNCTION("""COMPUTED_VALUE"""),2.810810810810811)</f>
        <v>2.810810811</v>
      </c>
      <c r="O155" s="30">
        <f>IFERROR(__xludf.DUMMYFUNCTION("""COMPUTED_VALUE"""),319.018018018018)</f>
        <v>319.018018</v>
      </c>
      <c r="P155" s="30">
        <f>IFERROR(__xludf.DUMMYFUNCTION("""COMPUTED_VALUE"""),0.5495495495495498)</f>
        <v>0.5495495495</v>
      </c>
      <c r="Q155" s="30">
        <f>IFERROR(__xludf.DUMMYFUNCTION("""COMPUTED_VALUE"""),0.3603603603603604)</f>
        <v>0.3603603604</v>
      </c>
      <c r="R155" s="30">
        <f>IFERROR(__xludf.DUMMYFUNCTION("""COMPUTED_VALUE"""),1.3963963963963966)</f>
        <v>1.396396396</v>
      </c>
      <c r="S155" s="30">
        <f>IFERROR(__xludf.DUMMYFUNCTION("""COMPUTED_VALUE"""),2.234234234234234)</f>
        <v>2.234234234</v>
      </c>
      <c r="T155" s="30">
        <f>IFERROR(__xludf.DUMMYFUNCTION("""COMPUTED_VALUE"""),357.37823513598573)</f>
        <v>357.3782351</v>
      </c>
      <c r="U155" s="30">
        <f>IFERROR(__xludf.DUMMYFUNCTION("""COMPUTED_VALUE"""),0.769982609568446)</f>
        <v>0.7699826096</v>
      </c>
      <c r="V155" s="30">
        <f>IFERROR(__xludf.DUMMYFUNCTION("""COMPUTED_VALUE"""),0.5528183327777808)</f>
        <v>0.5528183328</v>
      </c>
      <c r="W155" s="30">
        <f>IFERROR(__xludf.DUMMYFUNCTION("""COMPUTED_VALUE"""),1.4131487386002668)</f>
        <v>1.413148739</v>
      </c>
      <c r="X155" s="30">
        <f>IFERROR(__xludf.DUMMYFUNCTION("""COMPUTED_VALUE"""),2.6128235579763444)</f>
        <v>2.612823558</v>
      </c>
      <c r="Y155" s="30">
        <f>IFERROR(__xludf.DUMMYFUNCTION("""COMPUTED_VALUE"""),366.2976596391383)</f>
        <v>366.2976596</v>
      </c>
      <c r="Z155" s="30">
        <f>IFERROR(__xludf.DUMMYFUNCTION("""COMPUTED_VALUE"""),0.8132472328199802)</f>
        <v>0.8132472328</v>
      </c>
      <c r="AA155" s="30">
        <f>IFERROR(__xludf.DUMMYFUNCTION("""COMPUTED_VALUE"""),0.609309447078219)</f>
        <v>0.6093094471</v>
      </c>
      <c r="AB155" s="30">
        <f>IFERROR(__xludf.DUMMYFUNCTION("""COMPUTED_VALUE"""),1.3976668526606575)</f>
        <v>1.397666853</v>
      </c>
      <c r="AC155" s="30">
        <f>IFERROR(__xludf.DUMMYFUNCTION("""COMPUTED_VALUE"""),2.712679057212078)</f>
        <v>2.712679057</v>
      </c>
      <c r="AD155" s="30">
        <f>IFERROR(__xludf.DUMMYFUNCTION("""COMPUTED_VALUE"""),1.091122657101932)</f>
        <v>1.091122657</v>
      </c>
      <c r="AE155" s="30">
        <f>IFERROR(__xludf.DUMMYFUNCTION("""COMPUTED_VALUE"""),1.2296383678213625)</f>
        <v>1.229638368</v>
      </c>
      <c r="AF155" s="30">
        <f>IFERROR(__xludf.DUMMYFUNCTION("""COMPUTED_VALUE"""),1.241990847812359)</f>
        <v>1.241990848</v>
      </c>
      <c r="AG155" s="30">
        <f>IFERROR(__xludf.DUMMYFUNCTION("""COMPUTED_VALUE"""),1.0442112558376633)</f>
        <v>1.044211256</v>
      </c>
      <c r="AH155" s="30">
        <f>IFERROR(__xludf.DUMMYFUNCTION("""COMPUTED_VALUE"""),1.0361752170194387)</f>
        <v>1.036175217</v>
      </c>
      <c r="AI155" s="30">
        <f>IFERROR(__xludf.DUMMYFUNCTION("""COMPUTED_VALUE"""),0.8926621339898572)</f>
        <v>0.892662134</v>
      </c>
      <c r="AJ155" s="30">
        <f>IFERROR(__xludf.DUMMYFUNCTION("""COMPUTED_VALUE"""),0.7137168329782891)</f>
        <v>0.713716833</v>
      </c>
      <c r="AK155" s="30">
        <f>IFERROR(__xludf.DUMMYFUNCTION("""COMPUTED_VALUE"""),0.6518603653204393)</f>
        <v>0.6518603653</v>
      </c>
      <c r="AL155" s="30">
        <f>IFERROR(__xludf.DUMMYFUNCTION("""COMPUTED_VALUE"""),0.9881453793600923)</f>
        <v>0.9881453794</v>
      </c>
      <c r="AM155" s="30">
        <f>IFERROR(__xludf.DUMMYFUNCTION("""COMPUTED_VALUE"""),0.8551033717579724)</f>
        <v>0.8551033718</v>
      </c>
      <c r="AN155" s="30">
        <f>IFERROR(__xludf.DUMMYFUNCTION("""COMPUTED_VALUE"""),1.1400085700021168)</f>
        <v>1.14000857</v>
      </c>
      <c r="AO155" s="30">
        <f>IFERROR(__xludf.DUMMYFUNCTION("""COMPUTED_VALUE"""),1.4106533726012151)</f>
        <v>1.410653373</v>
      </c>
      <c r="AP155" s="30">
        <f>IFERROR(__xludf.DUMMYFUNCTION("""COMPUTED_VALUE"""),1.325600566111988)</f>
        <v>1.325600566</v>
      </c>
      <c r="AQ155" s="30">
        <f>IFERROR(__xludf.DUMMYFUNCTION("""COMPUTED_VALUE"""),1.0238669806611844)</f>
        <v>1.023866981</v>
      </c>
      <c r="AR155" s="30">
        <f>IFERROR(__xludf.DUMMYFUNCTION("""COMPUTED_VALUE"""),1.1213141349689908)</f>
        <v>1.121314135</v>
      </c>
      <c r="AS155" s="30">
        <f>IFERROR(__xludf.DUMMYFUNCTION("""COMPUTED_VALUE"""),115.0)</f>
        <v>115</v>
      </c>
      <c r="AT155" s="30">
        <f>IFERROR(__xludf.DUMMYFUNCTION("""COMPUTED_VALUE"""),0.7294853643315657)</f>
        <v>0.7294853643</v>
      </c>
      <c r="AU155" s="30">
        <f>IFERROR(__xludf.DUMMYFUNCTION("""COMPUTED_VALUE"""),3.5713164519138574)</f>
        <v>3.571316452</v>
      </c>
      <c r="AV155" s="32">
        <f>IFERROR(__xludf.DUMMYFUNCTION("""COMPUTED_VALUE"""),83.87333726128571)</f>
        <v>83.87333726</v>
      </c>
      <c r="AW155" s="32">
        <f>IFERROR(__xludf.DUMMYFUNCTION("""COMPUTED_VALUE"""),11.399990139083444)</f>
        <v>11.39999014</v>
      </c>
      <c r="AX155" s="32">
        <f>IFERROR(__xludf.DUMMYFUNCTION("""COMPUTED_VALUE"""),68.31809396268618)</f>
        <v>68.31809396</v>
      </c>
      <c r="AY155" s="32">
        <f>IFERROR(__xludf.DUMMYFUNCTION("""COMPUTED_VALUE"""),4.312883012669905)</f>
        <v>4.312883013</v>
      </c>
      <c r="AZ155" s="30">
        <f>IFERROR(__xludf.DUMMYFUNCTION("""COMPUTED_VALUE"""),7.087107126413539)</f>
        <v>7.087107126</v>
      </c>
      <c r="BA155" s="30">
        <f>IFERROR(__xludf.DUMMYFUNCTION("""COMPUTED_VALUE"""),800.0)</f>
        <v>800</v>
      </c>
    </row>
    <row r="156">
      <c r="A156" s="30" t="str">
        <f>IFERROR(__xludf.DUMMYFUNCTION("""COMPUTED_VALUE"""),"Elite")</f>
        <v>Elite</v>
      </c>
      <c r="B156" s="30" t="str">
        <f>IFERROR(__xludf.DUMMYFUNCTION("""COMPUTED_VALUE"""),"RSC007964")</f>
        <v>RSC007964</v>
      </c>
      <c r="C156" s="30" t="str">
        <f>IFERROR(__xludf.DUMMYFUNCTION("""COMPUTED_VALUE"""),"Buxter")</f>
        <v>Buxter</v>
      </c>
      <c r="D156" s="30" t="str">
        <f>IFERROR(__xludf.DUMMYFUNCTION("""COMPUTED_VALUE"""),"Afterburners")</f>
        <v>Afterburners</v>
      </c>
      <c r="E156" s="30">
        <f>IFERROR(__xludf.DUMMYFUNCTION("""COMPUTED_VALUE"""),37.0)</f>
        <v>37</v>
      </c>
      <c r="F156" s="30">
        <f>IFERROR(__xludf.DUMMYFUNCTION("""COMPUTED_VALUE"""),23.0)</f>
        <v>23</v>
      </c>
      <c r="G156" s="30">
        <f>IFERROR(__xludf.DUMMYFUNCTION("""COMPUTED_VALUE"""),14.0)</f>
        <v>14</v>
      </c>
      <c r="H156" s="42">
        <f>IFERROR(__xludf.DUMMYFUNCTION("""COMPUTED_VALUE"""),0.6216216216216216)</f>
        <v>0.6216216216</v>
      </c>
      <c r="I156" s="42">
        <f>IFERROR(__xludf.DUMMYFUNCTION("""COMPUTED_VALUE"""),0.2956521739130435)</f>
        <v>0.2956521739</v>
      </c>
      <c r="J156" s="30">
        <f>IFERROR(__xludf.DUMMYFUNCTION("""COMPUTED_VALUE"""),327.94594594594594)</f>
        <v>327.9459459</v>
      </c>
      <c r="K156" s="30">
        <f>IFERROR(__xludf.DUMMYFUNCTION("""COMPUTED_VALUE"""),0.918918918918919)</f>
        <v>0.9189189189</v>
      </c>
      <c r="L156" s="30">
        <f>IFERROR(__xludf.DUMMYFUNCTION("""COMPUTED_VALUE"""),0.7027027027027027)</f>
        <v>0.7027027027</v>
      </c>
      <c r="M156" s="30">
        <f>IFERROR(__xludf.DUMMYFUNCTION("""COMPUTED_VALUE"""),0.9459459459459459)</f>
        <v>0.9459459459</v>
      </c>
      <c r="N156" s="30">
        <f>IFERROR(__xludf.DUMMYFUNCTION("""COMPUTED_VALUE"""),3.108108108108108)</f>
        <v>3.108108108</v>
      </c>
      <c r="O156" s="30">
        <f>IFERROR(__xludf.DUMMYFUNCTION("""COMPUTED_VALUE"""),353.14414414414404)</f>
        <v>353.1441441</v>
      </c>
      <c r="P156" s="30">
        <f>IFERROR(__xludf.DUMMYFUNCTION("""COMPUTED_VALUE"""),0.6936936936936936)</f>
        <v>0.6936936937</v>
      </c>
      <c r="Q156" s="30">
        <f>IFERROR(__xludf.DUMMYFUNCTION("""COMPUTED_VALUE"""),0.5135135135135134)</f>
        <v>0.5135135135</v>
      </c>
      <c r="R156" s="30">
        <f>IFERROR(__xludf.DUMMYFUNCTION("""COMPUTED_VALUE"""),1.5945945945945943)</f>
        <v>1.594594595</v>
      </c>
      <c r="S156" s="30">
        <f>IFERROR(__xludf.DUMMYFUNCTION("""COMPUTED_VALUE"""),2.3873873873873874)</f>
        <v>2.387387387</v>
      </c>
      <c r="T156" s="30">
        <f>IFERROR(__xludf.DUMMYFUNCTION("""COMPUTED_VALUE"""),355.347256537287)</f>
        <v>355.3472565</v>
      </c>
      <c r="U156" s="30">
        <f>IFERROR(__xludf.DUMMYFUNCTION("""COMPUTED_VALUE"""),0.7480545158035635)</f>
        <v>0.7480545158</v>
      </c>
      <c r="V156" s="30">
        <f>IFERROR(__xludf.DUMMYFUNCTION("""COMPUTED_VALUE"""),0.5455826532786688)</f>
        <v>0.5455826533</v>
      </c>
      <c r="W156" s="30">
        <f>IFERROR(__xludf.DUMMYFUNCTION("""COMPUTED_VALUE"""),1.4468179053651309)</f>
        <v>1.446817905</v>
      </c>
      <c r="X156" s="30">
        <f>IFERROR(__xludf.DUMMYFUNCTION("""COMPUTED_VALUE"""),2.5306899549634188)</f>
        <v>2.530689955</v>
      </c>
      <c r="Y156" s="30">
        <f>IFERROR(__xludf.DUMMYFUNCTION("""COMPUTED_VALUE"""),368.2128816847769)</f>
        <v>368.2128817</v>
      </c>
      <c r="Z156" s="30">
        <f>IFERROR(__xludf.DUMMYFUNCTION("""COMPUTED_VALUE"""),0.8407705784720703)</f>
        <v>0.8407705785</v>
      </c>
      <c r="AA156" s="30">
        <f>IFERROR(__xludf.DUMMYFUNCTION("""COMPUTED_VALUE"""),0.6408229926857277)</f>
        <v>0.6408229927</v>
      </c>
      <c r="AB156" s="30">
        <f>IFERROR(__xludf.DUMMYFUNCTION("""COMPUTED_VALUE"""),1.3593439481305434)</f>
        <v>1.359343948</v>
      </c>
      <c r="AC156" s="30">
        <f>IFERROR(__xludf.DUMMYFUNCTION("""COMPUTED_VALUE"""),2.7856151671470655)</f>
        <v>2.785615167</v>
      </c>
      <c r="AD156" s="30">
        <f>IFERROR(__xludf.DUMMYFUNCTION("""COMPUTED_VALUE"""),0.8906422405577242)</f>
        <v>0.8906422406</v>
      </c>
      <c r="AE156" s="30">
        <f>IFERROR(__xludf.DUMMYFUNCTION("""COMPUTED_VALUE"""),1.0929484718517)</f>
        <v>1.092948472</v>
      </c>
      <c r="AF156" s="30">
        <f>IFERROR(__xludf.DUMMYFUNCTION("""COMPUTED_VALUE"""),1.096562874184076)</f>
        <v>1.096562874</v>
      </c>
      <c r="AG156" s="30">
        <f>IFERROR(__xludf.DUMMYFUNCTION("""COMPUTED_VALUE"""),0.6958841779866466)</f>
        <v>0.695884178</v>
      </c>
      <c r="AH156" s="30">
        <f>IFERROR(__xludf.DUMMYFUNCTION("""COMPUTED_VALUE"""),1.1157708159994437)</f>
        <v>1.115770816</v>
      </c>
      <c r="AI156" s="30">
        <f>IFERROR(__xludf.DUMMYFUNCTION("""COMPUTED_VALUE"""),0.9938001142470849)</f>
        <v>0.9938001142</v>
      </c>
      <c r="AJ156" s="30">
        <f>IFERROR(__xludf.DUMMYFUNCTION("""COMPUTED_VALUE"""),0.9273304004435088)</f>
        <v>0.9273304004</v>
      </c>
      <c r="AK156" s="30">
        <f>IFERROR(__xludf.DUMMYFUNCTION("""COMPUTED_VALUE"""),0.9412203823335721)</f>
        <v>0.9412203823</v>
      </c>
      <c r="AL156" s="30">
        <f>IFERROR(__xludf.DUMMYFUNCTION("""COMPUTED_VALUE"""),1.1021391072653122)</f>
        <v>1.102139107</v>
      </c>
      <c r="AM156" s="30">
        <f>IFERROR(__xludf.DUMMYFUNCTION("""COMPUTED_VALUE"""),0.9433741113584565)</f>
        <v>0.9433741114</v>
      </c>
      <c r="AN156" s="30">
        <f>IFERROR(__xludf.DUMMYFUNCTION("""COMPUTED_VALUE"""),0.9354114138765002)</f>
        <v>0.9354114139</v>
      </c>
      <c r="AO156" s="30">
        <f>IFERROR(__xludf.DUMMYFUNCTION("""COMPUTED_VALUE"""),1.2962760721200357)</f>
        <v>1.296276072</v>
      </c>
      <c r="AP156" s="30">
        <f>IFERROR(__xludf.DUMMYFUNCTION("""COMPUTED_VALUE"""),1.2309148113897033)</f>
        <v>1.230914811</v>
      </c>
      <c r="AQ156" s="30">
        <f>IFERROR(__xludf.DUMMYFUNCTION("""COMPUTED_VALUE"""),0.6636174874655825)</f>
        <v>0.6636174875</v>
      </c>
      <c r="AR156" s="30">
        <f>IFERROR(__xludf.DUMMYFUNCTION("""COMPUTED_VALUE"""),1.2399146684753262)</f>
        <v>1.239914668</v>
      </c>
      <c r="AS156" s="30">
        <f>IFERROR(__xludf.DUMMYFUNCTION("""COMPUTED_VALUE"""),108.0)</f>
        <v>108</v>
      </c>
      <c r="AT156" s="30">
        <f>IFERROR(__xludf.DUMMYFUNCTION("""COMPUTED_VALUE"""),0.631104256902169)</f>
        <v>0.6311042569</v>
      </c>
      <c r="AU156" s="30">
        <f>IFERROR(__xludf.DUMMYFUNCTION("""COMPUTED_VALUE"""),3.0697395394072555)</f>
        <v>3.069739539</v>
      </c>
      <c r="AV156" s="32">
        <f>IFERROR(__xludf.DUMMYFUNCTION("""COMPUTED_VALUE"""),69.4458721236595)</f>
        <v>69.44587212</v>
      </c>
      <c r="AW156" s="32">
        <f>IFERROR(__xludf.DUMMYFUNCTION("""COMPUTED_VALUE"""),4.5801558948017504)</f>
        <v>4.580155895</v>
      </c>
      <c r="AX156" s="32">
        <f>IFERROR(__xludf.DUMMYFUNCTION("""COMPUTED_VALUE"""),44.125562614145764)</f>
        <v>44.12556261</v>
      </c>
      <c r="AY156" s="32">
        <f>IFERROR(__xludf.DUMMYFUNCTION("""COMPUTED_VALUE"""),-2.4563198768382937)</f>
        <v>-2.456319877</v>
      </c>
      <c r="AZ156" s="30">
        <f>IFERROR(__xludf.DUMMYFUNCTION("""COMPUTED_VALUE"""),7.036475771640044)</f>
        <v>7.036475772</v>
      </c>
      <c r="BA156" s="30">
        <f>IFERROR(__xludf.DUMMYFUNCTION("""COMPUTED_VALUE"""),800.0)</f>
        <v>800</v>
      </c>
    </row>
    <row r="157">
      <c r="A157" s="30" t="str">
        <f>IFERROR(__xludf.DUMMYFUNCTION("""COMPUTED_VALUE"""),"Elite")</f>
        <v>Elite</v>
      </c>
      <c r="B157" s="30" t="str">
        <f>IFERROR(__xludf.DUMMYFUNCTION("""COMPUTED_VALUE"""),"RSC004966")</f>
        <v>RSC004966</v>
      </c>
      <c r="C157" s="30" t="str">
        <f>IFERROR(__xludf.DUMMYFUNCTION("""COMPUTED_VALUE"""),"Buck")</f>
        <v>Buck</v>
      </c>
      <c r="D157" s="30" t="str">
        <f>IFERROR(__xludf.DUMMYFUNCTION("""COMPUTED_VALUE"""),"Thrashers")</f>
        <v>Thrashers</v>
      </c>
      <c r="E157" s="30">
        <f>IFERROR(__xludf.DUMMYFUNCTION("""COMPUTED_VALUE"""),44.0)</f>
        <v>44</v>
      </c>
      <c r="F157" s="30">
        <f>IFERROR(__xludf.DUMMYFUNCTION("""COMPUTED_VALUE"""),29.0)</f>
        <v>29</v>
      </c>
      <c r="G157" s="30">
        <f>IFERROR(__xludf.DUMMYFUNCTION("""COMPUTED_VALUE"""),15.0)</f>
        <v>15</v>
      </c>
      <c r="H157" s="42">
        <f>IFERROR(__xludf.DUMMYFUNCTION("""COMPUTED_VALUE"""),0.6590909090909091)</f>
        <v>0.6590909091</v>
      </c>
      <c r="I157" s="42">
        <f>IFERROR(__xludf.DUMMYFUNCTION("""COMPUTED_VALUE"""),0.2835820895522388)</f>
        <v>0.2835820896</v>
      </c>
      <c r="J157" s="30">
        <f>IFERROR(__xludf.DUMMYFUNCTION("""COMPUTED_VALUE"""),328.95454545454544)</f>
        <v>328.9545455</v>
      </c>
      <c r="K157" s="30">
        <f>IFERROR(__xludf.DUMMYFUNCTION("""COMPUTED_VALUE"""),0.8636363636363636)</f>
        <v>0.8636363636</v>
      </c>
      <c r="L157" s="30">
        <f>IFERROR(__xludf.DUMMYFUNCTION("""COMPUTED_VALUE"""),0.5)</f>
        <v>0.5</v>
      </c>
      <c r="M157" s="30">
        <f>IFERROR(__xludf.DUMMYFUNCTION("""COMPUTED_VALUE"""),1.1363636363636365)</f>
        <v>1.136363636</v>
      </c>
      <c r="N157" s="30">
        <f>IFERROR(__xludf.DUMMYFUNCTION("""COMPUTED_VALUE"""),3.0454545454545454)</f>
        <v>3.045454545</v>
      </c>
      <c r="O157" s="30">
        <f>IFERROR(__xludf.DUMMYFUNCTION("""COMPUTED_VALUE"""),365.8333333333334)</f>
        <v>365.8333333</v>
      </c>
      <c r="P157" s="30">
        <f>IFERROR(__xludf.DUMMYFUNCTION("""COMPUTED_VALUE"""),0.787878787878788)</f>
        <v>0.7878787879</v>
      </c>
      <c r="Q157" s="30">
        <f>IFERROR(__xludf.DUMMYFUNCTION("""COMPUTED_VALUE"""),0.5606060606060607)</f>
        <v>0.5606060606</v>
      </c>
      <c r="R157" s="30">
        <f>IFERROR(__xludf.DUMMYFUNCTION("""COMPUTED_VALUE"""),1.6136363636363635)</f>
        <v>1.613636364</v>
      </c>
      <c r="S157" s="30">
        <f>IFERROR(__xludf.DUMMYFUNCTION("""COMPUTED_VALUE"""),2.3409090909090913)</f>
        <v>2.340909091</v>
      </c>
      <c r="T157" s="30">
        <f>IFERROR(__xludf.DUMMYFUNCTION("""COMPUTED_VALUE"""),362.3825095085556)</f>
        <v>362.3825095</v>
      </c>
      <c r="U157" s="30">
        <f>IFERROR(__xludf.DUMMYFUNCTION("""COMPUTED_VALUE"""),0.7976500725872278)</f>
        <v>0.7976500726</v>
      </c>
      <c r="V157" s="30">
        <f>IFERROR(__xludf.DUMMYFUNCTION("""COMPUTED_VALUE"""),0.6113808592183552)</f>
        <v>0.6113808592</v>
      </c>
      <c r="W157" s="30">
        <f>IFERROR(__xludf.DUMMYFUNCTION("""COMPUTED_VALUE"""),1.4097251322330187)</f>
        <v>1.409725132</v>
      </c>
      <c r="X157" s="30">
        <f>IFERROR(__xludf.DUMMYFUNCTION("""COMPUTED_VALUE"""),2.63455577468299)</f>
        <v>2.634555775</v>
      </c>
      <c r="Y157" s="30">
        <f>IFERROR(__xludf.DUMMYFUNCTION("""COMPUTED_VALUE"""),353.52827647619785)</f>
        <v>353.5282765</v>
      </c>
      <c r="Z157" s="30">
        <f>IFERROR(__xludf.DUMMYFUNCTION("""COMPUTED_VALUE"""),0.7419942988218956)</f>
        <v>0.7419942988</v>
      </c>
      <c r="AA157" s="30">
        <f>IFERROR(__xludf.DUMMYFUNCTION("""COMPUTED_VALUE"""),0.5484479830185205)</f>
        <v>0.548447983</v>
      </c>
      <c r="AB157" s="30">
        <f>IFERROR(__xludf.DUMMYFUNCTION("""COMPUTED_VALUE"""),1.4044084038510558)</f>
        <v>1.404408404</v>
      </c>
      <c r="AC157" s="30">
        <f>IFERROR(__xludf.DUMMYFUNCTION("""COMPUTED_VALUE"""),2.616157375887696)</f>
        <v>2.616157376</v>
      </c>
      <c r="AD157" s="30">
        <f>IFERROR(__xludf.DUMMYFUNCTION("""COMPUTED_VALUE"""),0.9304900550909486)</f>
        <v>0.9304900551</v>
      </c>
      <c r="AE157" s="30">
        <f>IFERROR(__xludf.DUMMYFUNCTION("""COMPUTED_VALUE"""),1.1639393523745476)</f>
        <v>1.163939352</v>
      </c>
      <c r="AF157" s="30">
        <f>IFERROR(__xludf.DUMMYFUNCTION("""COMPUTED_VALUE"""),0.9116634858389397)</f>
        <v>0.9116634858</v>
      </c>
      <c r="AG157" s="30">
        <f>IFERROR(__xludf.DUMMYFUNCTION("""COMPUTED_VALUE"""),0.80914044180282)</f>
        <v>0.8091404418</v>
      </c>
      <c r="AH157" s="30">
        <f>IFERROR(__xludf.DUMMYFUNCTION("""COMPUTED_VALUE"""),1.164094550856744)</f>
        <v>1.164094551</v>
      </c>
      <c r="AI157" s="30">
        <f>IFERROR(__xludf.DUMMYFUNCTION("""COMPUTED_VALUE"""),1.0095226003855917)</f>
        <v>1.0095226</v>
      </c>
      <c r="AJ157" s="30">
        <f>IFERROR(__xludf.DUMMYFUNCTION("""COMPUTED_VALUE"""),0.9877499105883034)</f>
        <v>0.9877499106</v>
      </c>
      <c r="AK157" s="30">
        <f>IFERROR(__xludf.DUMMYFUNCTION("""COMPUTED_VALUE"""),0.9169506243993153)</f>
        <v>0.9169506244</v>
      </c>
      <c r="AL157" s="30">
        <f>IFERROR(__xludf.DUMMYFUNCTION("""COMPUTED_VALUE"""),1.1446460921643267)</f>
        <v>1.144646092</v>
      </c>
      <c r="AM157" s="30">
        <f>IFERROR(__xludf.DUMMYFUNCTION("""COMPUTED_VALUE"""),0.888540342703797)</f>
        <v>0.8885403427</v>
      </c>
      <c r="AN157" s="30">
        <f>IFERROR(__xludf.DUMMYFUNCTION("""COMPUTED_VALUE"""),0.9382882766767182)</f>
        <v>0.9382882767</v>
      </c>
      <c r="AO157" s="30">
        <f>IFERROR(__xludf.DUMMYFUNCTION("""COMPUTED_VALUE"""),1.218291549064686)</f>
        <v>1.218291549</v>
      </c>
      <c r="AP157" s="30">
        <f>IFERROR(__xludf.DUMMYFUNCTION("""COMPUTED_VALUE"""),0.8758432311811349)</f>
        <v>0.8758432312</v>
      </c>
      <c r="AQ157" s="30">
        <f>IFERROR(__xludf.DUMMYFUNCTION("""COMPUTED_VALUE"""),0.7972028258515115)</f>
        <v>0.7972028259</v>
      </c>
      <c r="AR157" s="30">
        <f>IFERROR(__xludf.DUMMYFUNCTION("""COMPUTED_VALUE"""),1.21492034116614)</f>
        <v>1.214920341</v>
      </c>
      <c r="AS157" s="30">
        <f>IFERROR(__xludf.DUMMYFUNCTION("""COMPUTED_VALUE"""),127.0)</f>
        <v>127</v>
      </c>
      <c r="AT157" s="30">
        <f>IFERROR(__xludf.DUMMYFUNCTION("""COMPUTED_VALUE"""),0.5797063547450021)</f>
        <v>0.5797063547</v>
      </c>
      <c r="AU157" s="30">
        <f>IFERROR(__xludf.DUMMYFUNCTION("""COMPUTED_VALUE"""),2.8810997527398547)</f>
        <v>2.881099753</v>
      </c>
      <c r="AV157" s="32">
        <f>IFERROR(__xludf.DUMMYFUNCTION("""COMPUTED_VALUE"""),64.01979712329283)</f>
        <v>64.01979712</v>
      </c>
      <c r="AW157" s="32">
        <f>IFERROR(__xludf.DUMMYFUNCTION("""COMPUTED_VALUE"""),3.478627368922318)</f>
        <v>3.478627369</v>
      </c>
      <c r="AX157" s="32">
        <f>IFERROR(__xludf.DUMMYFUNCTION("""COMPUTED_VALUE"""),38.210527780253095)</f>
        <v>38.21052778</v>
      </c>
      <c r="AY157" s="32">
        <f>IFERROR(__xludf.DUMMYFUNCTION("""COMPUTED_VALUE"""),-3.138596998762139)</f>
        <v>-3.138596999</v>
      </c>
      <c r="AZ157" s="30">
        <f>IFERROR(__xludf.DUMMYFUNCTION("""COMPUTED_VALUE"""),6.617224367684457)</f>
        <v>6.617224368</v>
      </c>
      <c r="BA157" s="30">
        <f>IFERROR(__xludf.DUMMYFUNCTION("""COMPUTED_VALUE"""),800.0)</f>
        <v>800</v>
      </c>
    </row>
    <row r="158">
      <c r="A158" s="30" t="str">
        <f>IFERROR(__xludf.DUMMYFUNCTION("""COMPUTED_VALUE"""),"Elite")</f>
        <v>Elite</v>
      </c>
      <c r="B158" s="30" t="str">
        <f>IFERROR(__xludf.DUMMYFUNCTION("""COMPUTED_VALUE"""),"RSC006668")</f>
        <v>RSC006668</v>
      </c>
      <c r="C158" s="30" t="str">
        <f>IFERROR(__xludf.DUMMYFUNCTION("""COMPUTED_VALUE"""),"anubis")</f>
        <v>anubis</v>
      </c>
      <c r="D158" s="30" t="str">
        <f>IFERROR(__xludf.DUMMYFUNCTION("""COMPUTED_VALUE"""),"Thrashers")</f>
        <v>Thrashers</v>
      </c>
      <c r="E158" s="30">
        <f>IFERROR(__xludf.DUMMYFUNCTION("""COMPUTED_VALUE"""),6.0)</f>
        <v>6</v>
      </c>
      <c r="F158" s="30">
        <f>IFERROR(__xludf.DUMMYFUNCTION("""COMPUTED_VALUE"""),1.0)</f>
        <v>1</v>
      </c>
      <c r="G158" s="30">
        <f>IFERROR(__xludf.DUMMYFUNCTION("""COMPUTED_VALUE"""),5.0)</f>
        <v>5</v>
      </c>
      <c r="H158" s="42">
        <f>IFERROR(__xludf.DUMMYFUNCTION("""COMPUTED_VALUE"""),0.16666666666666666)</f>
        <v>0.1666666667</v>
      </c>
      <c r="I158" s="42">
        <f>IFERROR(__xludf.DUMMYFUNCTION("""COMPUTED_VALUE"""),0.14285714285714285)</f>
        <v>0.1428571429</v>
      </c>
      <c r="J158" s="30">
        <f>IFERROR(__xludf.DUMMYFUNCTION("""COMPUTED_VALUE"""),273.5)</f>
        <v>273.5</v>
      </c>
      <c r="K158" s="30">
        <f>IFERROR(__xludf.DUMMYFUNCTION("""COMPUTED_VALUE"""),0.3333333333333333)</f>
        <v>0.3333333333</v>
      </c>
      <c r="L158" s="30">
        <f>IFERROR(__xludf.DUMMYFUNCTION("""COMPUTED_VALUE"""),0.6666666666666666)</f>
        <v>0.6666666667</v>
      </c>
      <c r="M158" s="30">
        <f>IFERROR(__xludf.DUMMYFUNCTION("""COMPUTED_VALUE"""),0.6666666666666666)</f>
        <v>0.6666666667</v>
      </c>
      <c r="N158" s="30">
        <f>IFERROR(__xludf.DUMMYFUNCTION("""COMPUTED_VALUE"""),2.3333333333333335)</f>
        <v>2.333333333</v>
      </c>
      <c r="O158" s="30">
        <f>IFERROR(__xludf.DUMMYFUNCTION("""COMPUTED_VALUE"""),348.6111111111111)</f>
        <v>348.6111111</v>
      </c>
      <c r="P158" s="30">
        <f>IFERROR(__xludf.DUMMYFUNCTION("""COMPUTED_VALUE"""),0.8333333333333331)</f>
        <v>0.8333333333</v>
      </c>
      <c r="Q158" s="30">
        <f>IFERROR(__xludf.DUMMYFUNCTION("""COMPUTED_VALUE"""),0.7222222222222222)</f>
        <v>0.7222222222</v>
      </c>
      <c r="R158" s="30">
        <f>IFERROR(__xludf.DUMMYFUNCTION("""COMPUTED_VALUE"""),1.1111111111111112)</f>
        <v>1.111111111</v>
      </c>
      <c r="S158" s="30">
        <f>IFERROR(__xludf.DUMMYFUNCTION("""COMPUTED_VALUE"""),2.111111111111111)</f>
        <v>2.111111111</v>
      </c>
      <c r="T158" s="30">
        <f>IFERROR(__xludf.DUMMYFUNCTION("""COMPUTED_VALUE"""),354.16598124098124)</f>
        <v>354.1659812</v>
      </c>
      <c r="U158" s="30">
        <f>IFERROR(__xludf.DUMMYFUNCTION("""COMPUTED_VALUE"""),0.8038961038961038)</f>
        <v>0.8038961039</v>
      </c>
      <c r="V158" s="30">
        <f>IFERROR(__xludf.DUMMYFUNCTION("""COMPUTED_VALUE"""),0.666468253968254)</f>
        <v>0.666468254</v>
      </c>
      <c r="W158" s="30">
        <f>IFERROR(__xludf.DUMMYFUNCTION("""COMPUTED_VALUE"""),1.196897546897547)</f>
        <v>1.196897547</v>
      </c>
      <c r="X158" s="30">
        <f>IFERROR(__xludf.DUMMYFUNCTION("""COMPUTED_VALUE"""),2.779587542087542)</f>
        <v>2.779587542</v>
      </c>
      <c r="Y158" s="30">
        <f>IFERROR(__xludf.DUMMYFUNCTION("""COMPUTED_VALUE"""),350.65004409171075)</f>
        <v>350.6500441</v>
      </c>
      <c r="Z158" s="30">
        <f>IFERROR(__xludf.DUMMYFUNCTION("""COMPUTED_VALUE"""),0.7281064614397947)</f>
        <v>0.7281064614</v>
      </c>
      <c r="AA158" s="30">
        <f>IFERROR(__xludf.DUMMYFUNCTION("""COMPUTED_VALUE"""),0.5379950296616963)</f>
        <v>0.5379950297</v>
      </c>
      <c r="AB158" s="30">
        <f>IFERROR(__xludf.DUMMYFUNCTION("""COMPUTED_VALUE"""),1.4437550104216772)</f>
        <v>1.44375501</v>
      </c>
      <c r="AC158" s="30">
        <f>IFERROR(__xludf.DUMMYFUNCTION("""COMPUTED_VALUE"""),2.508866442199776)</f>
        <v>2.508866442</v>
      </c>
      <c r="AD158" s="30">
        <f>IFERROR(__xludf.DUMMYFUNCTION("""COMPUTED_VALUE"""),0.7799799389971486)</f>
        <v>0.779979939</v>
      </c>
      <c r="AE158" s="30">
        <f>IFERROR(__xludf.DUMMYFUNCTION("""COMPUTED_VALUE"""),0.4578085087642033)</f>
        <v>0.4578085088</v>
      </c>
      <c r="AF158" s="30">
        <f>IFERROR(__xludf.DUMMYFUNCTION("""COMPUTED_VALUE"""),1.2391688211058047)</f>
        <v>1.239168821</v>
      </c>
      <c r="AG158" s="30">
        <f>IFERROR(__xludf.DUMMYFUNCTION("""COMPUTED_VALUE"""),0.46175885926238514)</f>
        <v>0.4617588593</v>
      </c>
      <c r="AH158" s="30">
        <f>IFERROR(__xludf.DUMMYFUNCTION("""COMPUTED_VALUE"""),0.9300348930840117)</f>
        <v>0.9300348931</v>
      </c>
      <c r="AI158" s="30">
        <f>IFERROR(__xludf.DUMMYFUNCTION("""COMPUTED_VALUE"""),0.9843156304555108)</f>
        <v>0.9843156305</v>
      </c>
      <c r="AJ158" s="30">
        <f>IFERROR(__xludf.DUMMYFUNCTION("""COMPUTED_VALUE"""),1.0366182014001075)</f>
        <v>1.036618201</v>
      </c>
      <c r="AK158" s="30">
        <f>IFERROR(__xludf.DUMMYFUNCTION("""COMPUTED_VALUE"""),1.0836558499553437)</f>
        <v>1.08365585</v>
      </c>
      <c r="AL158" s="30">
        <f>IFERROR(__xludf.DUMMYFUNCTION("""COMPUTED_VALUE"""),0.9283259991560673)</f>
        <v>0.9283259992</v>
      </c>
      <c r="AM158" s="30">
        <f>IFERROR(__xludf.DUMMYFUNCTION("""COMPUTED_VALUE"""),0.7595051708735218)</f>
        <v>0.7595051709</v>
      </c>
      <c r="AN158" s="30">
        <f>IFERROR(__xludf.DUMMYFUNCTION("""COMPUTED_VALUE"""),0.7801133841044374)</f>
        <v>0.7801133841</v>
      </c>
      <c r="AO158" s="30">
        <f>IFERROR(__xludf.DUMMYFUNCTION("""COMPUTED_VALUE"""),0.4702177908670717)</f>
        <v>0.4702177909</v>
      </c>
      <c r="AP158" s="30">
        <f>IFERROR(__xludf.DUMMYFUNCTION("""COMPUTED_VALUE"""),1.1677909749081798)</f>
        <v>1.167790975</v>
      </c>
      <c r="AQ158" s="30">
        <f>IFERROR(__xludf.DUMMYFUNCTION("""COMPUTED_VALUE"""),0.4676923244995534)</f>
        <v>0.4676923245</v>
      </c>
      <c r="AR158" s="30">
        <f>IFERROR(__xludf.DUMMYFUNCTION("""COMPUTED_VALUE"""),0.9308344902466943)</f>
        <v>0.9308344902</v>
      </c>
      <c r="AS158" s="30">
        <f>IFERROR(__xludf.DUMMYFUNCTION("""COMPUTED_VALUE"""),10.0)</f>
        <v>10</v>
      </c>
      <c r="AT158" s="30">
        <f>IFERROR(__xludf.DUMMYFUNCTION("""COMPUTED_VALUE"""),0.35189795038587734)</f>
        <v>0.3518979504</v>
      </c>
      <c r="AU158" s="30">
        <f>IFERROR(__xludf.DUMMYFUNCTION("""COMPUTED_VALUE"""),1.8410383278368894)</f>
        <v>1.841038328</v>
      </c>
      <c r="AV158" s="32">
        <f>IFERROR(__xludf.DUMMYFUNCTION("""COMPUTED_VALUE"""),34.10324878419865)</f>
        <v>34.10324878</v>
      </c>
      <c r="AW158" s="32">
        <f>IFERROR(__xludf.DUMMYFUNCTION("""COMPUTED_VALUE"""),-3.8105317787782176)</f>
        <v>-3.810531779</v>
      </c>
      <c r="AX158" s="32">
        <f>IFERROR(__xludf.DUMMYFUNCTION("""COMPUTED_VALUE"""),58.35880903961464)</f>
        <v>58.35880904</v>
      </c>
      <c r="AY158" s="32">
        <f>IFERROR(__xludf.DUMMYFUNCTION("""COMPUTED_VALUE"""),2.709609707409817)</f>
        <v>2.709609707</v>
      </c>
      <c r="AZ158" s="30">
        <f>IFERROR(__xludf.DUMMYFUNCTION("""COMPUTED_VALUE"""),6.5201414861880345)</f>
        <v>6.520141486</v>
      </c>
      <c r="BA158" s="30">
        <f>IFERROR(__xludf.DUMMYFUNCTION("""COMPUTED_VALUE"""),800.0)</f>
        <v>800</v>
      </c>
    </row>
    <row r="159">
      <c r="A159" s="30" t="str">
        <f>IFERROR(__xludf.DUMMYFUNCTION("""COMPUTED_VALUE"""),"Elite")</f>
        <v>Elite</v>
      </c>
      <c r="B159" s="30" t="str">
        <f>IFERROR(__xludf.DUMMYFUNCTION("""COMPUTED_VALUE"""),"RSC007868")</f>
        <v>RSC007868</v>
      </c>
      <c r="C159" s="30" t="str">
        <f>IFERROR(__xludf.DUMMYFUNCTION("""COMPUTED_VALUE"""),"JayX")</f>
        <v>JayX</v>
      </c>
      <c r="D159" s="30" t="str">
        <f>IFERROR(__xludf.DUMMYFUNCTION("""COMPUTED_VALUE"""),"Afterburners")</f>
        <v>Afterburners</v>
      </c>
      <c r="E159" s="30">
        <f>IFERROR(__xludf.DUMMYFUNCTION("""COMPUTED_VALUE"""),48.0)</f>
        <v>48</v>
      </c>
      <c r="F159" s="30">
        <f>IFERROR(__xludf.DUMMYFUNCTION("""COMPUTED_VALUE"""),28.0)</f>
        <v>28</v>
      </c>
      <c r="G159" s="30">
        <f>IFERROR(__xludf.DUMMYFUNCTION("""COMPUTED_VALUE"""),20.0)</f>
        <v>20</v>
      </c>
      <c r="H159" s="42">
        <f>IFERROR(__xludf.DUMMYFUNCTION("""COMPUTED_VALUE"""),0.5833333333333334)</f>
        <v>0.5833333333</v>
      </c>
      <c r="I159" s="42">
        <f>IFERROR(__xludf.DUMMYFUNCTION("""COMPUTED_VALUE"""),0.35526315789473684)</f>
        <v>0.3552631579</v>
      </c>
      <c r="J159" s="30">
        <f>IFERROR(__xludf.DUMMYFUNCTION("""COMPUTED_VALUE"""),393.875)</f>
        <v>393.875</v>
      </c>
      <c r="K159" s="30">
        <f>IFERROR(__xludf.DUMMYFUNCTION("""COMPUTED_VALUE"""),1.125)</f>
        <v>1.125</v>
      </c>
      <c r="L159" s="30">
        <f>IFERROR(__xludf.DUMMYFUNCTION("""COMPUTED_VALUE"""),0.6666666666666666)</f>
        <v>0.6666666667</v>
      </c>
      <c r="M159" s="30">
        <f>IFERROR(__xludf.DUMMYFUNCTION("""COMPUTED_VALUE"""),1.3125)</f>
        <v>1.3125</v>
      </c>
      <c r="N159" s="30">
        <f>IFERROR(__xludf.DUMMYFUNCTION("""COMPUTED_VALUE"""),3.1666666666666665)</f>
        <v>3.166666667</v>
      </c>
      <c r="O159" s="30">
        <f>IFERROR(__xludf.DUMMYFUNCTION("""COMPUTED_VALUE"""),358.77777777777766)</f>
        <v>358.7777778</v>
      </c>
      <c r="P159" s="30">
        <f>IFERROR(__xludf.DUMMYFUNCTION("""COMPUTED_VALUE"""),0.7291666666666666)</f>
        <v>0.7291666667</v>
      </c>
      <c r="Q159" s="30">
        <f>IFERROR(__xludf.DUMMYFUNCTION("""COMPUTED_VALUE"""),0.5277777777777778)</f>
        <v>0.5277777778</v>
      </c>
      <c r="R159" s="30">
        <f>IFERROR(__xludf.DUMMYFUNCTION("""COMPUTED_VALUE"""),1.5972222222222225)</f>
        <v>1.597222222</v>
      </c>
      <c r="S159" s="30">
        <f>IFERROR(__xludf.DUMMYFUNCTION("""COMPUTED_VALUE"""),2.5000000000000004)</f>
        <v>2.5</v>
      </c>
      <c r="T159" s="30">
        <f>IFERROR(__xludf.DUMMYFUNCTION("""COMPUTED_VALUE"""),357.3541955190107)</f>
        <v>357.3541955</v>
      </c>
      <c r="U159" s="30">
        <f>IFERROR(__xludf.DUMMYFUNCTION("""COMPUTED_VALUE"""),0.7649948953431198)</f>
        <v>0.7649948953</v>
      </c>
      <c r="V159" s="30">
        <f>IFERROR(__xludf.DUMMYFUNCTION("""COMPUTED_VALUE"""),0.5671636293459748)</f>
        <v>0.5671636293</v>
      </c>
      <c r="W159" s="30">
        <f>IFERROR(__xludf.DUMMYFUNCTION("""COMPUTED_VALUE"""),1.4477307557775758)</f>
        <v>1.447730756</v>
      </c>
      <c r="X159" s="30">
        <f>IFERROR(__xludf.DUMMYFUNCTION("""COMPUTED_VALUE"""),2.5625716291990908)</f>
        <v>2.562571629</v>
      </c>
      <c r="Y159" s="30">
        <f>IFERROR(__xludf.DUMMYFUNCTION("""COMPUTED_VALUE"""),370.12343903156665)</f>
        <v>370.123439</v>
      </c>
      <c r="Z159" s="30">
        <f>IFERROR(__xludf.DUMMYFUNCTION("""COMPUTED_VALUE"""),0.8525664723919281)</f>
        <v>0.8525664724</v>
      </c>
      <c r="AA159" s="30">
        <f>IFERROR(__xludf.DUMMYFUNCTION("""COMPUTED_VALUE"""),0.6466378723098416)</f>
        <v>0.6466378723</v>
      </c>
      <c r="AB159" s="30">
        <f>IFERROR(__xludf.DUMMYFUNCTION("""COMPUTED_VALUE"""),1.3774224711399166)</f>
        <v>1.377422471</v>
      </c>
      <c r="AC159" s="30">
        <f>IFERROR(__xludf.DUMMYFUNCTION("""COMPUTED_VALUE"""),2.76781728934535)</f>
        <v>2.767817289</v>
      </c>
      <c r="AD159" s="30">
        <f>IFERROR(__xludf.DUMMYFUNCTION("""COMPUTED_VALUE"""),1.0641719990243785)</f>
        <v>1.064171999</v>
      </c>
      <c r="AE159" s="30">
        <f>IFERROR(__xludf.DUMMYFUNCTION("""COMPUTED_VALUE"""),1.3195452043096918)</f>
        <v>1.319545204</v>
      </c>
      <c r="AF159" s="30">
        <f>IFERROR(__xludf.DUMMYFUNCTION("""COMPUTED_VALUE"""),1.030973741586277)</f>
        <v>1.030973742</v>
      </c>
      <c r="AG159" s="30">
        <f>IFERROR(__xludf.DUMMYFUNCTION("""COMPUTED_VALUE"""),0.9528666966742684)</f>
        <v>0.9528666967</v>
      </c>
      <c r="AH159" s="30">
        <f>IFERROR(__xludf.DUMMYFUNCTION("""COMPUTED_VALUE"""),1.1441024950803935)</f>
        <v>1.144102495</v>
      </c>
      <c r="AI159" s="30">
        <f>IFERROR(__xludf.DUMMYFUNCTION("""COMPUTED_VALUE"""),1.0039836729961975)</f>
        <v>1.003983673</v>
      </c>
      <c r="AJ159" s="30">
        <f>IFERROR(__xludf.DUMMYFUNCTION("""COMPUTED_VALUE"""),0.9531654016326693)</f>
        <v>0.9531654016</v>
      </c>
      <c r="AK159" s="30">
        <f>IFERROR(__xludf.DUMMYFUNCTION("""COMPUTED_VALUE"""),0.9305564575542075)</f>
        <v>0.9305564576</v>
      </c>
      <c r="AL159" s="30">
        <f>IFERROR(__xludf.DUMMYFUNCTION("""COMPUTED_VALUE"""),1.1032591632443112)</f>
        <v>1.103259163</v>
      </c>
      <c r="AM159" s="30">
        <f>IFERROR(__xludf.DUMMYFUNCTION("""COMPUTED_VALUE"""),0.9755824857786916)</f>
        <v>0.9755824858</v>
      </c>
      <c r="AN159" s="30">
        <f>IFERROR(__xludf.DUMMYFUNCTION("""COMPUTED_VALUE"""),1.1234631048048822)</f>
        <v>1.123463105</v>
      </c>
      <c r="AO159" s="30">
        <f>IFERROR(__xludf.DUMMYFUNCTION("""COMPUTED_VALUE"""),1.586985044176367)</f>
        <v>1.586985044</v>
      </c>
      <c r="AP159" s="30">
        <f>IFERROR(__xludf.DUMMYFUNCTION("""COMPUTED_VALUE"""),1.1677909749081798)</f>
        <v>1.167790975</v>
      </c>
      <c r="AQ159" s="30">
        <f>IFERROR(__xludf.DUMMYFUNCTION("""COMPUTED_VALUE"""),0.9207692638584958)</f>
        <v>0.9207692639</v>
      </c>
      <c r="AR159" s="30">
        <f>IFERROR(__xludf.DUMMYFUNCTION("""COMPUTED_VALUE"""),1.2632753796205136)</f>
        <v>1.26327538</v>
      </c>
      <c r="AS159" s="30">
        <f>IFERROR(__xludf.DUMMYFUNCTION("""COMPUTED_VALUE"""),136.0)</f>
        <v>136</v>
      </c>
      <c r="AT159" s="30">
        <f>IFERROR(__xludf.DUMMYFUNCTION("""COMPUTED_VALUE"""),0.6013430846598279)</f>
        <v>0.6013430847</v>
      </c>
      <c r="AU159" s="30">
        <f>IFERROR(__xludf.DUMMYFUNCTION("""COMPUTED_VALUE"""),3.4758912408823033)</f>
        <v>3.475891241</v>
      </c>
      <c r="AV159" s="32">
        <f>IFERROR(__xludf.DUMMYFUNCTION("""COMPUTED_VALUE"""),81.12850616742979)</f>
        <v>81.12850617</v>
      </c>
      <c r="AW159" s="32">
        <f>IFERROR(__xludf.DUMMYFUNCTION("""COMPUTED_VALUE"""),9.386137136427298)</f>
        <v>9.386137136</v>
      </c>
      <c r="AX159" s="32">
        <f>IFERROR(__xludf.DUMMYFUNCTION("""COMPUTED_VALUE"""),59.70833607509396)</f>
        <v>59.70833608</v>
      </c>
      <c r="AY159" s="32">
        <f>IFERROR(__xludf.DUMMYFUNCTION("""COMPUTED_VALUE"""),2.866276897701317)</f>
        <v>2.866276898</v>
      </c>
      <c r="AZ159" s="30">
        <f>IFERROR(__xludf.DUMMYFUNCTION("""COMPUTED_VALUE"""),6.519860238725981)</f>
        <v>6.519860239</v>
      </c>
      <c r="BA159" s="30">
        <f>IFERROR(__xludf.DUMMYFUNCTION("""COMPUTED_VALUE"""),800.0)</f>
        <v>800</v>
      </c>
    </row>
    <row r="160">
      <c r="A160" s="30" t="str">
        <f>IFERROR(__xludf.DUMMYFUNCTION("""COMPUTED_VALUE"""),"Elite")</f>
        <v>Elite</v>
      </c>
      <c r="B160" s="30" t="str">
        <f>IFERROR(__xludf.DUMMYFUNCTION("""COMPUTED_VALUE"""),"RSC000508")</f>
        <v>RSC000508</v>
      </c>
      <c r="C160" s="30" t="str">
        <f>IFERROR(__xludf.DUMMYFUNCTION("""COMPUTED_VALUE"""),"Bender_Escobar")</f>
        <v>Bender_Escobar</v>
      </c>
      <c r="D160" s="30" t="str">
        <f>IFERROR(__xludf.DUMMYFUNCTION("""COMPUTED_VALUE"""),"Demons")</f>
        <v>Demons</v>
      </c>
      <c r="E160" s="30">
        <f>IFERROR(__xludf.DUMMYFUNCTION("""COMPUTED_VALUE"""),44.0)</f>
        <v>44</v>
      </c>
      <c r="F160" s="30">
        <f>IFERROR(__xludf.DUMMYFUNCTION("""COMPUTED_VALUE"""),15.0)</f>
        <v>15</v>
      </c>
      <c r="G160" s="30">
        <f>IFERROR(__xludf.DUMMYFUNCTION("""COMPUTED_VALUE"""),29.0)</f>
        <v>29</v>
      </c>
      <c r="H160" s="42">
        <f>IFERROR(__xludf.DUMMYFUNCTION("""COMPUTED_VALUE"""),0.3409090909090909)</f>
        <v>0.3409090909</v>
      </c>
      <c r="I160" s="42">
        <f>IFERROR(__xludf.DUMMYFUNCTION("""COMPUTED_VALUE"""),0.35344827586206895)</f>
        <v>0.3534482759</v>
      </c>
      <c r="J160" s="30">
        <f>IFERROR(__xludf.DUMMYFUNCTION("""COMPUTED_VALUE"""),346.9318181818182)</f>
        <v>346.9318182</v>
      </c>
      <c r="K160" s="30">
        <f>IFERROR(__xludf.DUMMYFUNCTION("""COMPUTED_VALUE"""),0.9318181818181818)</f>
        <v>0.9318181818</v>
      </c>
      <c r="L160" s="30">
        <f>IFERROR(__xludf.DUMMYFUNCTION("""COMPUTED_VALUE"""),0.4090909090909091)</f>
        <v>0.4090909091</v>
      </c>
      <c r="M160" s="30">
        <f>IFERROR(__xludf.DUMMYFUNCTION("""COMPUTED_VALUE"""),1.4545454545454546)</f>
        <v>1.454545455</v>
      </c>
      <c r="N160" s="30">
        <f>IFERROR(__xludf.DUMMYFUNCTION("""COMPUTED_VALUE"""),2.6363636363636362)</f>
        <v>2.636363636</v>
      </c>
      <c r="O160" s="30">
        <f>IFERROR(__xludf.DUMMYFUNCTION("""COMPUTED_VALUE"""),394.1136363636364)</f>
        <v>394.1136364</v>
      </c>
      <c r="P160" s="30">
        <f>IFERROR(__xludf.DUMMYFUNCTION("""COMPUTED_VALUE"""),0.9848484848484851)</f>
        <v>0.9848484848</v>
      </c>
      <c r="Q160" s="30">
        <f>IFERROR(__xludf.DUMMYFUNCTION("""COMPUTED_VALUE"""),0.7803030303030305)</f>
        <v>0.7803030303</v>
      </c>
      <c r="R160" s="30">
        <f>IFERROR(__xludf.DUMMYFUNCTION("""COMPUTED_VALUE"""),1.287878787878788)</f>
        <v>1.287878788</v>
      </c>
      <c r="S160" s="30">
        <f>IFERROR(__xludf.DUMMYFUNCTION("""COMPUTED_VALUE"""),3.0606060606060606)</f>
        <v>3.060606061</v>
      </c>
      <c r="T160" s="30">
        <f>IFERROR(__xludf.DUMMYFUNCTION("""COMPUTED_VALUE"""),378.5643879197609)</f>
        <v>378.5643879</v>
      </c>
      <c r="U160" s="30">
        <f>IFERROR(__xludf.DUMMYFUNCTION("""COMPUTED_VALUE"""),0.9103292804839423)</f>
        <v>0.9103292805</v>
      </c>
      <c r="V160" s="30">
        <f>IFERROR(__xludf.DUMMYFUNCTION("""COMPUTED_VALUE"""),0.6409340902549864)</f>
        <v>0.6409340903</v>
      </c>
      <c r="W160" s="30">
        <f>IFERROR(__xludf.DUMMYFUNCTION("""COMPUTED_VALUE"""),1.3687209770340851)</f>
        <v>1.368720977</v>
      </c>
      <c r="X160" s="30">
        <f>IFERROR(__xludf.DUMMYFUNCTION("""COMPUTED_VALUE"""),2.8270416896050587)</f>
        <v>2.82704169</v>
      </c>
      <c r="Y160" s="30">
        <f>IFERROR(__xludf.DUMMYFUNCTION("""COMPUTED_VALUE"""),355.7398251597321)</f>
        <v>355.7398252</v>
      </c>
      <c r="Z160" s="30">
        <f>IFERROR(__xludf.DUMMYFUNCTION("""COMPUTED_VALUE"""),0.7274587491582319)</f>
        <v>0.7274587492</v>
      </c>
      <c r="AA160" s="30">
        <f>IFERROR(__xludf.DUMMYFUNCTION("""COMPUTED_VALUE"""),0.5330938930515935)</f>
        <v>0.5330938931</v>
      </c>
      <c r="AB160" s="30">
        <f>IFERROR(__xludf.DUMMYFUNCTION("""COMPUTED_VALUE"""),1.5060121138307914)</f>
        <v>1.506012114</v>
      </c>
      <c r="AC160" s="30">
        <f>IFERROR(__xludf.DUMMYFUNCTION("""COMPUTED_VALUE"""),2.501133516061529)</f>
        <v>2.501133516</v>
      </c>
      <c r="AD160" s="30">
        <f>IFERROR(__xludf.DUMMYFUNCTION("""COMPUTED_VALUE"""),0.9752403122873324)</f>
        <v>0.9752403123</v>
      </c>
      <c r="AE160" s="30">
        <f>IFERROR(__xludf.DUMMYFUNCTION("""COMPUTED_VALUE"""),1.2809223655587636)</f>
        <v>1.280922366</v>
      </c>
      <c r="AF160" s="30">
        <f>IFERROR(__xludf.DUMMYFUNCTION("""COMPUTED_VALUE"""),0.7673899746799703)</f>
        <v>0.7673899747</v>
      </c>
      <c r="AG160" s="30">
        <f>IFERROR(__xludf.DUMMYFUNCTION("""COMPUTED_VALUE"""),0.9658258663309004)</f>
        <v>0.9658258663</v>
      </c>
      <c r="AH160" s="30">
        <f>IFERROR(__xludf.DUMMYFUNCTION("""COMPUTED_VALUE"""),1.0540675335537668)</f>
        <v>1.054067534</v>
      </c>
      <c r="AI160" s="30">
        <f>IFERROR(__xludf.DUMMYFUNCTION("""COMPUTED_VALUE"""),1.041074250352284)</f>
        <v>1.04107425</v>
      </c>
      <c r="AJ160" s="30">
        <f>IFERROR(__xludf.DUMMYFUNCTION("""COMPUTED_VALUE"""),1.0818596149350788)</f>
        <v>1.081859615</v>
      </c>
      <c r="AK160" s="30">
        <f>IFERROR(__xludf.DUMMYFUNCTION("""COMPUTED_VALUE"""),1.2174466020251757)</f>
        <v>1.217446602</v>
      </c>
      <c r="AL160" s="30">
        <f>IFERROR(__xludf.DUMMYFUNCTION("""COMPUTED_VALUE"""),0.940935961009032)</f>
        <v>0.940935961</v>
      </c>
      <c r="AM160" s="30">
        <f>IFERROR(__xludf.DUMMYFUNCTION("""COMPUTED_VALUE"""),1.0826179436475276)</f>
        <v>1.082617944</v>
      </c>
      <c r="AN160" s="30">
        <f>IFERROR(__xludf.DUMMYFUNCTION("""COMPUTED_VALUE"""),0.9895654652114207)</f>
        <v>0.9895654652</v>
      </c>
      <c r="AO160" s="30">
        <f>IFERROR(__xludf.DUMMYFUNCTION("""COMPUTED_VALUE"""),1.3144724608329506)</f>
        <v>1.314472461</v>
      </c>
      <c r="AP160" s="30">
        <f>IFERROR(__xludf.DUMMYFUNCTION("""COMPUTED_VALUE"""),0.7165990073300195)</f>
        <v>0.7165990073</v>
      </c>
      <c r="AQ160" s="30">
        <f>IFERROR(__xludf.DUMMYFUNCTION("""COMPUTED_VALUE"""),1.0204196170899347)</f>
        <v>1.020419617</v>
      </c>
      <c r="AR160" s="30">
        <f>IFERROR(__xludf.DUMMYFUNCTION("""COMPUTED_VALUE"""),1.0517220863826287)</f>
        <v>1.051722086</v>
      </c>
      <c r="AS160" s="30">
        <f>IFERROR(__xludf.DUMMYFUNCTION("""COMPUTED_VALUE"""),102.0)</f>
        <v>102</v>
      </c>
      <c r="AT160" s="30">
        <f>IFERROR(__xludf.DUMMYFUNCTION("""COMPUTED_VALUE"""),0.403504870209922)</f>
        <v>0.4035048702</v>
      </c>
      <c r="AU160" s="30">
        <f>IFERROR(__xludf.DUMMYFUNCTION("""COMPUTED_VALUE"""),2.5664107001465077)</f>
        <v>2.5664107</v>
      </c>
      <c r="AV160" s="32">
        <f>IFERROR(__xludf.DUMMYFUNCTION("""COMPUTED_VALUE"""),54.96801419175016)</f>
        <v>54.96801419</v>
      </c>
      <c r="AW160" s="32">
        <f>IFERROR(__xludf.DUMMYFUNCTION("""COMPUTED_VALUE"""),2.373939835555089)</f>
        <v>2.373939836</v>
      </c>
      <c r="AX160" s="32">
        <f>IFERROR(__xludf.DUMMYFUNCTION("""COMPUTED_VALUE"""),35.11647984371706)</f>
        <v>35.11647984</v>
      </c>
      <c r="AY160" s="32">
        <f>IFERROR(__xludf.DUMMYFUNCTION("""COMPUTED_VALUE"""),-3.6257127132700226)</f>
        <v>-3.625712713</v>
      </c>
      <c r="AZ160" s="30">
        <f>IFERROR(__xludf.DUMMYFUNCTION("""COMPUTED_VALUE"""),5.999652548825112)</f>
        <v>5.999652549</v>
      </c>
      <c r="BA160" s="30">
        <f>IFERROR(__xludf.DUMMYFUNCTION("""COMPUTED_VALUE"""),800.0)</f>
        <v>800</v>
      </c>
    </row>
    <row r="161">
      <c r="A161" s="30" t="str">
        <f>IFERROR(__xludf.DUMMYFUNCTION("""COMPUTED_VALUE"""),"Elite")</f>
        <v>Elite</v>
      </c>
      <c r="B161" s="30" t="str">
        <f>IFERROR(__xludf.DUMMYFUNCTION("""COMPUTED_VALUE"""),"RSC005373")</f>
        <v>RSC005373</v>
      </c>
      <c r="C161" s="30" t="str">
        <f>IFERROR(__xludf.DUMMYFUNCTION("""COMPUTED_VALUE"""),"dvorl.ttv")</f>
        <v>dvorl.ttv</v>
      </c>
      <c r="D161" s="30" t="str">
        <f>IFERROR(__xludf.DUMMYFUNCTION("""COMPUTED_VALUE"""),"Despair")</f>
        <v>Despair</v>
      </c>
      <c r="E161" s="30">
        <f>IFERROR(__xludf.DUMMYFUNCTION("""COMPUTED_VALUE"""),43.0)</f>
        <v>43</v>
      </c>
      <c r="F161" s="30">
        <f>IFERROR(__xludf.DUMMYFUNCTION("""COMPUTED_VALUE"""),25.0)</f>
        <v>25</v>
      </c>
      <c r="G161" s="30">
        <f>IFERROR(__xludf.DUMMYFUNCTION("""COMPUTED_VALUE"""),18.0)</f>
        <v>18</v>
      </c>
      <c r="H161" s="42">
        <f>IFERROR(__xludf.DUMMYFUNCTION("""COMPUTED_VALUE"""),0.5813953488372093)</f>
        <v>0.5813953488</v>
      </c>
      <c r="I161" s="42">
        <f>IFERROR(__xludf.DUMMYFUNCTION("""COMPUTED_VALUE"""),0.3214285714285714)</f>
        <v>0.3214285714</v>
      </c>
      <c r="J161" s="30">
        <f>IFERROR(__xludf.DUMMYFUNCTION("""COMPUTED_VALUE"""),326.74418604651163)</f>
        <v>326.744186</v>
      </c>
      <c r="K161" s="30">
        <f>IFERROR(__xludf.DUMMYFUNCTION("""COMPUTED_VALUE"""),0.8372093023255814)</f>
        <v>0.8372093023</v>
      </c>
      <c r="L161" s="30">
        <f>IFERROR(__xludf.DUMMYFUNCTION("""COMPUTED_VALUE"""),0.5116279069767442)</f>
        <v>0.511627907</v>
      </c>
      <c r="M161" s="30">
        <f>IFERROR(__xludf.DUMMYFUNCTION("""COMPUTED_VALUE"""),1.0465116279069768)</f>
        <v>1.046511628</v>
      </c>
      <c r="N161" s="30">
        <f>IFERROR(__xludf.DUMMYFUNCTION("""COMPUTED_VALUE"""),2.604651162790698)</f>
        <v>2.604651163</v>
      </c>
      <c r="O161" s="30">
        <f>IFERROR(__xludf.DUMMYFUNCTION("""COMPUTED_VALUE"""),359.94573643410854)</f>
        <v>359.9457364</v>
      </c>
      <c r="P161" s="30">
        <f>IFERROR(__xludf.DUMMYFUNCTION("""COMPUTED_VALUE"""),0.7209302325581396)</f>
        <v>0.7209302326</v>
      </c>
      <c r="Q161" s="30">
        <f>IFERROR(__xludf.DUMMYFUNCTION("""COMPUTED_VALUE"""),0.5426356589147289)</f>
        <v>0.5426356589</v>
      </c>
      <c r="R161" s="30">
        <f>IFERROR(__xludf.DUMMYFUNCTION("""COMPUTED_VALUE"""),1.542635658914729)</f>
        <v>1.542635659</v>
      </c>
      <c r="S161" s="30">
        <f>IFERROR(__xludf.DUMMYFUNCTION("""COMPUTED_VALUE"""),2.5658914728682167)</f>
        <v>2.565891473</v>
      </c>
      <c r="T161" s="30">
        <f>IFERROR(__xludf.DUMMYFUNCTION("""COMPUTED_VALUE"""),360.133691086785)</f>
        <v>360.1336911</v>
      </c>
      <c r="U161" s="30">
        <f>IFERROR(__xludf.DUMMYFUNCTION("""COMPUTED_VALUE"""),0.7482566252868633)</f>
        <v>0.7482566253</v>
      </c>
      <c r="V161" s="30">
        <f>IFERROR(__xludf.DUMMYFUNCTION("""COMPUTED_VALUE"""),0.604514041616021)</f>
        <v>0.6045140416</v>
      </c>
      <c r="W161" s="30">
        <f>IFERROR(__xludf.DUMMYFUNCTION("""COMPUTED_VALUE"""),1.484145849430239)</f>
        <v>1.484145849</v>
      </c>
      <c r="X161" s="30">
        <f>IFERROR(__xludf.DUMMYFUNCTION("""COMPUTED_VALUE"""),2.6152551262428374)</f>
        <v>2.615255126</v>
      </c>
      <c r="Y161" s="30">
        <f>IFERROR(__xludf.DUMMYFUNCTION("""COMPUTED_VALUE"""),367.4842398003066)</f>
        <v>367.4842398</v>
      </c>
      <c r="Z161" s="30">
        <f>IFERROR(__xludf.DUMMYFUNCTION("""COMPUTED_VALUE"""),0.8238482534946565)</f>
        <v>0.8238482535</v>
      </c>
      <c r="AA161" s="30">
        <f>IFERROR(__xludf.DUMMYFUNCTION("""COMPUTED_VALUE"""),0.6096942908037155)</f>
        <v>0.6096942908</v>
      </c>
      <c r="AB161" s="30">
        <f>IFERROR(__xludf.DUMMYFUNCTION("""COMPUTED_VALUE"""),1.4030401125356418)</f>
        <v>1.403040113</v>
      </c>
      <c r="AC161" s="30">
        <f>IFERROR(__xludf.DUMMYFUNCTION("""COMPUTED_VALUE"""),2.732057978931847)</f>
        <v>2.732057979</v>
      </c>
      <c r="AD161" s="30">
        <f>IFERROR(__xludf.DUMMYFUNCTION("""COMPUTED_VALUE"""),0.8891379565666996)</f>
        <v>0.8891379566</v>
      </c>
      <c r="AE161" s="30">
        <f>IFERROR(__xludf.DUMMYFUNCTION("""COMPUTED_VALUE"""),1.0162178517393818)</f>
        <v>1.016217852</v>
      </c>
      <c r="AF161" s="30">
        <f>IFERROR(__xludf.DUMMYFUNCTION("""COMPUTED_VALUE"""),0.8391548267612978)</f>
        <v>0.8391548268</v>
      </c>
      <c r="AG161" s="30">
        <f>IFERROR(__xludf.DUMMYFUNCTION("""COMPUTED_VALUE"""),0.7458886018701707)</f>
        <v>0.7458886019</v>
      </c>
      <c r="AH161" s="30">
        <f>IFERROR(__xludf.DUMMYFUNCTION("""COMPUTED_VALUE"""),0.9533659910867041)</f>
        <v>0.9533659911</v>
      </c>
      <c r="AI161" s="30">
        <f>IFERROR(__xludf.DUMMYFUNCTION("""COMPUTED_VALUE"""),0.9994780975584115)</f>
        <v>0.9994780976</v>
      </c>
      <c r="AJ161" s="30">
        <f>IFERROR(__xludf.DUMMYFUNCTION("""COMPUTED_VALUE"""),0.963479918780208)</f>
        <v>0.9634799188</v>
      </c>
      <c r="AK161" s="30">
        <f>IFERROR(__xludf.DUMMYFUNCTION("""COMPUTED_VALUE"""),0.897639461713949)</f>
        <v>0.8976394617</v>
      </c>
      <c r="AL161" s="30">
        <f>IFERROR(__xludf.DUMMYFUNCTION("""COMPUTED_VALUE"""),1.0394097450105353)</f>
        <v>1.039409745</v>
      </c>
      <c r="AM161" s="30">
        <f>IFERROR(__xludf.DUMMYFUNCTION("""COMPUTED_VALUE"""),0.9811247274197917)</f>
        <v>0.9811247274</v>
      </c>
      <c r="AN161" s="30">
        <f>IFERROR(__xludf.DUMMYFUNCTION("""COMPUTED_VALUE"""),0.9319835931012581)</f>
        <v>0.9319835931</v>
      </c>
      <c r="AO161" s="30">
        <f>IFERROR(__xludf.DUMMYFUNCTION("""COMPUTED_VALUE"""),1.1810121258986919)</f>
        <v>1.181012126</v>
      </c>
      <c r="AP161" s="30">
        <f>IFERROR(__xludf.DUMMYFUNCTION("""COMPUTED_VALUE"""),0.8962116784179055)</f>
        <v>0.8962116784</v>
      </c>
      <c r="AQ161" s="30">
        <f>IFERROR(__xludf.DUMMYFUNCTION("""COMPUTED_VALUE"""),0.7341681838074385)</f>
        <v>0.7341681838</v>
      </c>
      <c r="AR161" s="30">
        <f>IFERROR(__xludf.DUMMYFUNCTION("""COMPUTED_VALUE"""),1.039071058880031)</f>
        <v>1.039071059</v>
      </c>
      <c r="AS161" s="30">
        <f>IFERROR(__xludf.DUMMYFUNCTION("""COMPUTED_VALUE"""),120.0)</f>
        <v>120</v>
      </c>
      <c r="AT161" s="30">
        <f>IFERROR(__xludf.DUMMYFUNCTION("""COMPUTED_VALUE"""),0.5995177064540537)</f>
        <v>0.5995177065</v>
      </c>
      <c r="AU161" s="30">
        <f>IFERROR(__xludf.DUMMYFUNCTION("""COMPUTED_VALUE"""),2.524255705706513)</f>
        <v>2.524255706</v>
      </c>
      <c r="AV161" s="32">
        <f>IFERROR(__xludf.DUMMYFUNCTION("""COMPUTED_VALUE"""),53.75545895347083)</f>
        <v>53.75545895</v>
      </c>
      <c r="AW161" s="32">
        <f>IFERROR(__xludf.DUMMYFUNCTION("""COMPUTED_VALUE"""),2.271198491503539)</f>
        <v>2.271198492</v>
      </c>
      <c r="AX161" s="32">
        <f>IFERROR(__xludf.DUMMYFUNCTION("""COMPUTED_VALUE"""),35.260476162953296)</f>
        <v>35.26047616</v>
      </c>
      <c r="AY161" s="32">
        <f>IFERROR(__xludf.DUMMYFUNCTION("""COMPUTED_VALUE"""),-3.6005439581465026)</f>
        <v>-3.600543958</v>
      </c>
      <c r="AZ161" s="30">
        <f>IFERROR(__xludf.DUMMYFUNCTION("""COMPUTED_VALUE"""),5.871742449650041)</f>
        <v>5.87174245</v>
      </c>
      <c r="BA161" s="30">
        <f>IFERROR(__xludf.DUMMYFUNCTION("""COMPUTED_VALUE"""),800.0)</f>
        <v>800</v>
      </c>
    </row>
    <row r="162">
      <c r="A162" s="30" t="str">
        <f>IFERROR(__xludf.DUMMYFUNCTION("""COMPUTED_VALUE"""),"Elite")</f>
        <v>Elite</v>
      </c>
      <c r="B162" s="30" t="str">
        <f>IFERROR(__xludf.DUMMYFUNCTION("""COMPUTED_VALUE"""),"RSC003953")</f>
        <v>RSC003953</v>
      </c>
      <c r="C162" s="30" t="str">
        <f>IFERROR(__xludf.DUMMYFUNCTION("""COMPUTED_VALUE"""),"JustAWestGuy")</f>
        <v>JustAWestGuy</v>
      </c>
      <c r="D162" s="30" t="str">
        <f>IFERROR(__xludf.DUMMYFUNCTION("""COMPUTED_VALUE"""),"Sloths")</f>
        <v>Sloths</v>
      </c>
      <c r="E162" s="30">
        <f>IFERROR(__xludf.DUMMYFUNCTION("""COMPUTED_VALUE"""),8.0)</f>
        <v>8</v>
      </c>
      <c r="F162" s="30">
        <f>IFERROR(__xludf.DUMMYFUNCTION("""COMPUTED_VALUE"""),2.0)</f>
        <v>2</v>
      </c>
      <c r="G162" s="30">
        <f>IFERROR(__xludf.DUMMYFUNCTION("""COMPUTED_VALUE"""),6.0)</f>
        <v>6</v>
      </c>
      <c r="H162" s="42">
        <f>IFERROR(__xludf.DUMMYFUNCTION("""COMPUTED_VALUE"""),0.25)</f>
        <v>0.25</v>
      </c>
      <c r="I162" s="42">
        <f>IFERROR(__xludf.DUMMYFUNCTION("""COMPUTED_VALUE"""),0.4444444444444444)</f>
        <v>0.4444444444</v>
      </c>
      <c r="J162" s="30">
        <f>IFERROR(__xludf.DUMMYFUNCTION("""COMPUTED_VALUE"""),324.0)</f>
        <v>324</v>
      </c>
      <c r="K162" s="30">
        <f>IFERROR(__xludf.DUMMYFUNCTION("""COMPUTED_VALUE"""),1.0)</f>
        <v>1</v>
      </c>
      <c r="L162" s="30">
        <f>IFERROR(__xludf.DUMMYFUNCTION("""COMPUTED_VALUE"""),0.375)</f>
        <v>0.375</v>
      </c>
      <c r="M162" s="30">
        <f>IFERROR(__xludf.DUMMYFUNCTION("""COMPUTED_VALUE"""),0.875)</f>
        <v>0.875</v>
      </c>
      <c r="N162" s="30">
        <f>IFERROR(__xludf.DUMMYFUNCTION("""COMPUTED_VALUE"""),2.25)</f>
        <v>2.25</v>
      </c>
      <c r="O162" s="30">
        <f>IFERROR(__xludf.DUMMYFUNCTION("""COMPUTED_VALUE"""),341.25)</f>
        <v>341.25</v>
      </c>
      <c r="P162" s="30">
        <f>IFERROR(__xludf.DUMMYFUNCTION("""COMPUTED_VALUE"""),0.8333333333333333)</f>
        <v>0.8333333333</v>
      </c>
      <c r="Q162" s="30">
        <f>IFERROR(__xludf.DUMMYFUNCTION("""COMPUTED_VALUE"""),0.625)</f>
        <v>0.625</v>
      </c>
      <c r="R162" s="30">
        <f>IFERROR(__xludf.DUMMYFUNCTION("""COMPUTED_VALUE"""),1.0416666666666667)</f>
        <v>1.041666667</v>
      </c>
      <c r="S162" s="30">
        <f>IFERROR(__xludf.DUMMYFUNCTION("""COMPUTED_VALUE"""),2.9999999999999996)</f>
        <v>3</v>
      </c>
      <c r="T162" s="30">
        <f>IFERROR(__xludf.DUMMYFUNCTION("""COMPUTED_VALUE"""),366.4436859677938)</f>
        <v>366.443686</v>
      </c>
      <c r="U162" s="30">
        <f>IFERROR(__xludf.DUMMYFUNCTION("""COMPUTED_VALUE"""),0.852830188160815)</f>
        <v>0.8528301882</v>
      </c>
      <c r="V162" s="30">
        <f>IFERROR(__xludf.DUMMYFUNCTION("""COMPUTED_VALUE"""),0.6675523957575882)</f>
        <v>0.6675523958</v>
      </c>
      <c r="W162" s="30">
        <f>IFERROR(__xludf.DUMMYFUNCTION("""COMPUTED_VALUE"""),1.3103844701253482)</f>
        <v>1.31038447</v>
      </c>
      <c r="X162" s="30">
        <f>IFERROR(__xludf.DUMMYFUNCTION("""COMPUTED_VALUE"""),2.824266180212118)</f>
        <v>2.82426618</v>
      </c>
      <c r="Y162" s="30">
        <f>IFERROR(__xludf.DUMMYFUNCTION("""COMPUTED_VALUE"""),327.4308791411628)</f>
        <v>327.4308791</v>
      </c>
      <c r="Z162" s="30">
        <f>IFERROR(__xludf.DUMMYFUNCTION("""COMPUTED_VALUE"""),0.5747810551533933)</f>
        <v>0.5747810552</v>
      </c>
      <c r="AA162" s="30">
        <f>IFERROR(__xludf.DUMMYFUNCTION("""COMPUTED_VALUE"""),0.4595545427475393)</f>
        <v>0.4595545427</v>
      </c>
      <c r="AB162" s="30">
        <f>IFERROR(__xludf.DUMMYFUNCTION("""COMPUTED_VALUE"""),1.4743654526107413)</f>
        <v>1.474365453</v>
      </c>
      <c r="AC162" s="30">
        <f>IFERROR(__xludf.DUMMYFUNCTION("""COMPUTED_VALUE"""),2.313338703368386)</f>
        <v>2.313338703</v>
      </c>
      <c r="AD162" s="30">
        <f>IFERROR(__xludf.DUMMYFUNCTION("""COMPUTED_VALUE"""),0.9895218216737474)</f>
        <v>0.9895218217</v>
      </c>
      <c r="AE162" s="30">
        <f>IFERROR(__xludf.DUMMYFUNCTION("""COMPUTED_VALUE"""),1.739792902069689)</f>
        <v>1.739792902</v>
      </c>
      <c r="AF162" s="30">
        <f>IFERROR(__xludf.DUMMYFUNCTION("""COMPUTED_VALUE"""),0.8160076010955893)</f>
        <v>0.8160076011</v>
      </c>
      <c r="AG162" s="30">
        <f>IFERROR(__xludf.DUMMYFUNCTION("""COMPUTED_VALUE"""),0.5934756531703782)</f>
        <v>0.5934756532</v>
      </c>
      <c r="AH162" s="30">
        <f>IFERROR(__xludf.DUMMYFUNCTION("""COMPUTED_VALUE"""),0.9726202206031652)</f>
        <v>0.9726202206</v>
      </c>
      <c r="AI162" s="30">
        <f>IFERROR(__xludf.DUMMYFUNCTION("""COMPUTED_VALUE"""),0.93124813734679)</f>
        <v>0.9312481373</v>
      </c>
      <c r="AJ162" s="30">
        <f>IFERROR(__xludf.DUMMYFUNCTION("""COMPUTED_VALUE"""),0.9771386436618431)</f>
        <v>0.9771386437</v>
      </c>
      <c r="AK162" s="30">
        <f>IFERROR(__xludf.DUMMYFUNCTION("""COMPUTED_VALUE"""),0.9362560961086859)</f>
        <v>0.9362560961</v>
      </c>
      <c r="AL162" s="30">
        <f>IFERROR(__xludf.DUMMYFUNCTION("""COMPUTED_VALUE"""),0.7949320908595806)</f>
        <v>0.7949320909</v>
      </c>
      <c r="AM162" s="30">
        <f>IFERROR(__xludf.DUMMYFUNCTION("""COMPUTED_VALUE"""),1.0622228248240693)</f>
        <v>1.062222825</v>
      </c>
      <c r="AN162" s="30">
        <f>IFERROR(__xludf.DUMMYFUNCTION("""COMPUTED_VALUE"""),0.924156257586244)</f>
        <v>0.9241562576</v>
      </c>
      <c r="AO162" s="30">
        <f>IFERROR(__xludf.DUMMYFUNCTION("""COMPUTED_VALUE"""),1.4106533726012151)</f>
        <v>1.410653373</v>
      </c>
      <c r="AP162" s="30">
        <f>IFERROR(__xludf.DUMMYFUNCTION("""COMPUTED_VALUE"""),0.6568824233858512)</f>
        <v>0.6568824234</v>
      </c>
      <c r="AQ162" s="30">
        <f>IFERROR(__xludf.DUMMYFUNCTION("""COMPUTED_VALUE"""),0.6138461759056638)</f>
        <v>0.6138461759</v>
      </c>
      <c r="AR162" s="30">
        <f>IFERROR(__xludf.DUMMYFUNCTION("""COMPUTED_VALUE"""),0.8975904013093123)</f>
        <v>0.8975904013</v>
      </c>
      <c r="AS162" s="30">
        <f>IFERROR(__xludf.DUMMYFUNCTION("""COMPUTED_VALUE"""),13.0)</f>
        <v>13</v>
      </c>
      <c r="AT162" s="30">
        <f>IFERROR(__xludf.DUMMYFUNCTION("""COMPUTED_VALUE"""),0.3436723282162869)</f>
        <v>0.3436723282</v>
      </c>
      <c r="AU162" s="30">
        <f>IFERROR(__xludf.DUMMYFUNCTION("""COMPUTED_VALUE"""),2.8556848878640007)</f>
        <v>2.855684888</v>
      </c>
      <c r="AV162" s="32">
        <f>IFERROR(__xludf.DUMMYFUNCTION("""COMPUTED_VALUE"""),63.28875853712378)</f>
        <v>63.28875854</v>
      </c>
      <c r="AW162" s="32">
        <f>IFERROR(__xludf.DUMMYFUNCTION("""COMPUTED_VALUE"""),3.361132893690671)</f>
        <v>3.361132894</v>
      </c>
      <c r="AX162" s="32">
        <f>IFERROR(__xludf.DUMMYFUNCTION("""COMPUTED_VALUE"""),47.36082652627083)</f>
        <v>47.36082653</v>
      </c>
      <c r="AY162" s="32">
        <f>IFERROR(__xludf.DUMMYFUNCTION("""COMPUTED_VALUE"""),-2.1835826189350147)</f>
        <v>-2.183582619</v>
      </c>
      <c r="AZ162" s="30">
        <f>IFERROR(__xludf.DUMMYFUNCTION("""COMPUTED_VALUE"""),5.544715512625686)</f>
        <v>5.544715513</v>
      </c>
      <c r="BA162" s="30">
        <f>IFERROR(__xludf.DUMMYFUNCTION("""COMPUTED_VALUE"""),800.0)</f>
        <v>800</v>
      </c>
    </row>
    <row r="163">
      <c r="A163" s="30" t="str">
        <f>IFERROR(__xludf.DUMMYFUNCTION("""COMPUTED_VALUE"""),"Elite")</f>
        <v>Elite</v>
      </c>
      <c r="B163" s="30" t="str">
        <f>IFERROR(__xludf.DUMMYFUNCTION("""COMPUTED_VALUE"""),"RSC007049")</f>
        <v>RSC007049</v>
      </c>
      <c r="C163" s="30" t="str">
        <f>IFERROR(__xludf.DUMMYFUNCTION("""COMPUTED_VALUE"""),"dillyn.")</f>
        <v>dillyn.</v>
      </c>
      <c r="D163" s="30"/>
      <c r="E163" s="30">
        <f>IFERROR(__xludf.DUMMYFUNCTION("""COMPUTED_VALUE"""),8.0)</f>
        <v>8</v>
      </c>
      <c r="F163" s="30">
        <f>IFERROR(__xludf.DUMMYFUNCTION("""COMPUTED_VALUE"""),4.0)</f>
        <v>4</v>
      </c>
      <c r="G163" s="30">
        <f>IFERROR(__xludf.DUMMYFUNCTION("""COMPUTED_VALUE"""),4.0)</f>
        <v>4</v>
      </c>
      <c r="H163" s="42">
        <f>IFERROR(__xludf.DUMMYFUNCTION("""COMPUTED_VALUE"""),0.5)</f>
        <v>0.5</v>
      </c>
      <c r="I163" s="42">
        <f>IFERROR(__xludf.DUMMYFUNCTION("""COMPUTED_VALUE"""),0.3333333333333333)</f>
        <v>0.3333333333</v>
      </c>
      <c r="J163" s="30">
        <f>IFERROR(__xludf.DUMMYFUNCTION("""COMPUTED_VALUE"""),455.875)</f>
        <v>455.875</v>
      </c>
      <c r="K163" s="30">
        <f>IFERROR(__xludf.DUMMYFUNCTION("""COMPUTED_VALUE"""),1.0)</f>
        <v>1</v>
      </c>
      <c r="L163" s="30">
        <f>IFERROR(__xludf.DUMMYFUNCTION("""COMPUTED_VALUE"""),0.375)</f>
        <v>0.375</v>
      </c>
      <c r="M163" s="30">
        <f>IFERROR(__xludf.DUMMYFUNCTION("""COMPUTED_VALUE"""),2.375)</f>
        <v>2.375</v>
      </c>
      <c r="N163" s="30">
        <f>IFERROR(__xludf.DUMMYFUNCTION("""COMPUTED_VALUE"""),3.0)</f>
        <v>3</v>
      </c>
      <c r="O163" s="30">
        <f>IFERROR(__xludf.DUMMYFUNCTION("""COMPUTED_VALUE"""),348.375)</f>
        <v>348.375</v>
      </c>
      <c r="P163" s="30">
        <f>IFERROR(__xludf.DUMMYFUNCTION("""COMPUTED_VALUE"""),0.7499999999999999)</f>
        <v>0.75</v>
      </c>
      <c r="Q163" s="30">
        <f>IFERROR(__xludf.DUMMYFUNCTION("""COMPUTED_VALUE"""),0.5416666666666667)</f>
        <v>0.5416666667</v>
      </c>
      <c r="R163" s="30">
        <f>IFERROR(__xludf.DUMMYFUNCTION("""COMPUTED_VALUE"""),1.2083333333333333)</f>
        <v>1.208333333</v>
      </c>
      <c r="S163" s="30">
        <f>IFERROR(__xludf.DUMMYFUNCTION("""COMPUTED_VALUE"""),3.2916666666666665)</f>
        <v>3.291666667</v>
      </c>
      <c r="T163" s="30">
        <f>IFERROR(__xludf.DUMMYFUNCTION("""COMPUTED_VALUE"""),365.83282737933905)</f>
        <v>365.8328274</v>
      </c>
      <c r="U163" s="30">
        <f>IFERROR(__xludf.DUMMYFUNCTION("""COMPUTED_VALUE"""),0.8477988419848885)</f>
        <v>0.847798842</v>
      </c>
      <c r="V163" s="30">
        <f>IFERROR(__xludf.DUMMYFUNCTION("""COMPUTED_VALUE"""),0.6958306551329807)</f>
        <v>0.6958306551</v>
      </c>
      <c r="W163" s="30">
        <f>IFERROR(__xludf.DUMMYFUNCTION("""COMPUTED_VALUE"""),1.2159274833693439)</f>
        <v>1.215927483</v>
      </c>
      <c r="X163" s="30">
        <f>IFERROR(__xludf.DUMMYFUNCTION("""COMPUTED_VALUE"""),3.0308467372420855)</f>
        <v>3.030846737</v>
      </c>
      <c r="Y163" s="30">
        <f>IFERROR(__xludf.DUMMYFUNCTION("""COMPUTED_VALUE"""),352.83935530447155)</f>
        <v>352.8393553</v>
      </c>
      <c r="Z163" s="30">
        <f>IFERROR(__xludf.DUMMYFUNCTION("""COMPUTED_VALUE"""),0.6420279763303018)</f>
        <v>0.6420279763</v>
      </c>
      <c r="AA163" s="30">
        <f>IFERROR(__xludf.DUMMYFUNCTION("""COMPUTED_VALUE"""),0.4907152494361797)</f>
        <v>0.4907152494</v>
      </c>
      <c r="AB163" s="30">
        <f>IFERROR(__xludf.DUMMYFUNCTION("""COMPUTED_VALUE"""),1.7013245152780034)</f>
        <v>1.701324515</v>
      </c>
      <c r="AC163" s="30">
        <f>IFERROR(__xludf.DUMMYFUNCTION("""COMPUTED_VALUE"""),2.2430925018134324)</f>
        <v>2.243092502</v>
      </c>
      <c r="AD163" s="30">
        <f>IFERROR(__xludf.DUMMYFUNCTION("""COMPUTED_VALUE"""),1.292018572040007)</f>
        <v>1.292018572</v>
      </c>
      <c r="AE163" s="30">
        <f>IFERROR(__xludf.DUMMYFUNCTION("""COMPUTED_VALUE"""),1.557564525016171)</f>
        <v>1.557564525</v>
      </c>
      <c r="AF163" s="30">
        <f>IFERROR(__xludf.DUMMYFUNCTION("""COMPUTED_VALUE"""),0.7641906389313684)</f>
        <v>0.7641906389</v>
      </c>
      <c r="AG163" s="30">
        <f>IFERROR(__xludf.DUMMYFUNCTION("""COMPUTED_VALUE"""),1.39597118519856)</f>
        <v>1.395971185</v>
      </c>
      <c r="AH163" s="30">
        <f>IFERROR(__xludf.DUMMYFUNCTION("""COMPUTED_VALUE"""),1.337439270816805)</f>
        <v>1.337439271</v>
      </c>
      <c r="AI163" s="30">
        <f>IFERROR(__xludf.DUMMYFUNCTION("""COMPUTED_VALUE"""),0.9522792213470862)</f>
        <v>0.9522792213</v>
      </c>
      <c r="AJ163" s="30">
        <f>IFERROR(__xludf.DUMMYFUNCTION("""COMPUTED_VALUE"""),0.8846438127281238)</f>
        <v>0.8846438127</v>
      </c>
      <c r="AK163" s="30">
        <f>IFERROR(__xludf.DUMMYFUNCTION("""COMPUTED_VALUE"""),0.7784461099420066)</f>
        <v>0.7784461099</v>
      </c>
      <c r="AL163" s="30">
        <f>IFERROR(__xludf.DUMMYFUNCTION("""COMPUTED_VALUE"""),0.993754438369164)</f>
        <v>0.9937544384</v>
      </c>
      <c r="AM163" s="30">
        <f>IFERROR(__xludf.DUMMYFUNCTION("""COMPUTED_VALUE"""),1.0860551364144244)</f>
        <v>1.086055136</v>
      </c>
      <c r="AN163" s="30">
        <f>IFERROR(__xludf.DUMMYFUNCTION("""COMPUTED_VALUE"""),1.3003078207627436)</f>
        <v>1.300307821</v>
      </c>
      <c r="AO163" s="30">
        <f>IFERROR(__xludf.DUMMYFUNCTION("""COMPUTED_VALUE"""),1.4106533726012151)</f>
        <v>1.410653373</v>
      </c>
      <c r="AP163" s="30">
        <f>IFERROR(__xludf.DUMMYFUNCTION("""COMPUTED_VALUE"""),0.6568824233858512)</f>
        <v>0.6568824234</v>
      </c>
      <c r="AQ163" s="30">
        <f>IFERROR(__xludf.DUMMYFUNCTION("""COMPUTED_VALUE"""),1.6661539060296588)</f>
        <v>1.666153906</v>
      </c>
      <c r="AR163" s="30">
        <f>IFERROR(__xludf.DUMMYFUNCTION("""COMPUTED_VALUE"""),1.1967872017457497)</f>
        <v>1.196787202</v>
      </c>
      <c r="AS163" s="30">
        <f>IFERROR(__xludf.DUMMYFUNCTION("""COMPUTED_VALUE"""),16.0)</f>
        <v>16</v>
      </c>
      <c r="AT163" s="30">
        <f>IFERROR(__xludf.DUMMYFUNCTION("""COMPUTED_VALUE"""),0.45551429482502853)</f>
        <v>0.4555142948</v>
      </c>
      <c r="AU163" s="30">
        <f>IFERROR(__xludf.DUMMYFUNCTION("""COMPUTED_VALUE"""),3.4706774440582597)</f>
        <v>3.470677444</v>
      </c>
      <c r="AV163" s="32">
        <f>IFERROR(__xludf.DUMMYFUNCTION("""COMPUTED_VALUE"""),80.97853540514402)</f>
        <v>80.97853541</v>
      </c>
      <c r="AW163" s="32">
        <f>IFERROR(__xludf.DUMMYFUNCTION("""COMPUTED_VALUE"""),9.289660036283264)</f>
        <v>9.289660036</v>
      </c>
      <c r="AX163" s="32">
        <f>IFERROR(__xludf.DUMMYFUNCTION("""COMPUTED_VALUE"""),65.82572634151396)</f>
        <v>65.82572634</v>
      </c>
      <c r="AY163" s="32">
        <f>IFERROR(__xludf.DUMMYFUNCTION("""COMPUTED_VALUE"""),3.797122261274187)</f>
        <v>3.797122261</v>
      </c>
      <c r="AZ163" s="30">
        <f>IFERROR(__xludf.DUMMYFUNCTION("""COMPUTED_VALUE"""),5.492537775009077)</f>
        <v>5.492537775</v>
      </c>
      <c r="BA163" s="30">
        <f>IFERROR(__xludf.DUMMYFUNCTION("""COMPUTED_VALUE"""),800.0)</f>
        <v>800</v>
      </c>
    </row>
    <row r="164">
      <c r="A164" s="30" t="str">
        <f>IFERROR(__xludf.DUMMYFUNCTION("""COMPUTED_VALUE"""),"Elite")</f>
        <v>Elite</v>
      </c>
      <c r="B164" s="30" t="str">
        <f>IFERROR(__xludf.DUMMYFUNCTION("""COMPUTED_VALUE"""),"RSC000438")</f>
        <v>RSC000438</v>
      </c>
      <c r="C164" s="30" t="str">
        <f>IFERROR(__xludf.DUMMYFUNCTION("""COMPUTED_VALUE"""),"Limon")</f>
        <v>Limon</v>
      </c>
      <c r="D164" s="30" t="str">
        <f>IFERROR(__xludf.DUMMYFUNCTION("""COMPUTED_VALUE"""),"Menthol")</f>
        <v>Menthol</v>
      </c>
      <c r="E164" s="30">
        <f>IFERROR(__xludf.DUMMYFUNCTION("""COMPUTED_VALUE"""),21.0)</f>
        <v>21</v>
      </c>
      <c r="F164" s="30">
        <f>IFERROR(__xludf.DUMMYFUNCTION("""COMPUTED_VALUE"""),14.0)</f>
        <v>14</v>
      </c>
      <c r="G164" s="30">
        <f>IFERROR(__xludf.DUMMYFUNCTION("""COMPUTED_VALUE"""),7.0)</f>
        <v>7</v>
      </c>
      <c r="H164" s="42">
        <f>IFERROR(__xludf.DUMMYFUNCTION("""COMPUTED_VALUE"""),0.6666666666666666)</f>
        <v>0.6666666667</v>
      </c>
      <c r="I164" s="42">
        <f>IFERROR(__xludf.DUMMYFUNCTION("""COMPUTED_VALUE"""),0.3125)</f>
        <v>0.3125</v>
      </c>
      <c r="J164" s="30">
        <f>IFERROR(__xludf.DUMMYFUNCTION("""COMPUTED_VALUE"""),349.6666666666667)</f>
        <v>349.6666667</v>
      </c>
      <c r="K164" s="30">
        <f>IFERROR(__xludf.DUMMYFUNCTION("""COMPUTED_VALUE"""),0.9523809523809523)</f>
        <v>0.9523809524</v>
      </c>
      <c r="L164" s="30">
        <f>IFERROR(__xludf.DUMMYFUNCTION("""COMPUTED_VALUE"""),0.38095238095238093)</f>
        <v>0.380952381</v>
      </c>
      <c r="M164" s="30">
        <f>IFERROR(__xludf.DUMMYFUNCTION("""COMPUTED_VALUE"""),1.1428571428571428)</f>
        <v>1.142857143</v>
      </c>
      <c r="N164" s="30">
        <f>IFERROR(__xludf.DUMMYFUNCTION("""COMPUTED_VALUE"""),3.0476190476190474)</f>
        <v>3.047619048</v>
      </c>
      <c r="O164" s="30">
        <f>IFERROR(__xludf.DUMMYFUNCTION("""COMPUTED_VALUE"""),373.53968253968253)</f>
        <v>373.5396825</v>
      </c>
      <c r="P164" s="30">
        <f>IFERROR(__xludf.DUMMYFUNCTION("""COMPUTED_VALUE"""),0.6507936507936508)</f>
        <v>0.6507936508</v>
      </c>
      <c r="Q164" s="30">
        <f>IFERROR(__xludf.DUMMYFUNCTION("""COMPUTED_VALUE"""),0.4920634920634919)</f>
        <v>0.4920634921</v>
      </c>
      <c r="R164" s="30">
        <f>IFERROR(__xludf.DUMMYFUNCTION("""COMPUTED_VALUE"""),2.0000000000000004)</f>
        <v>2</v>
      </c>
      <c r="S164" s="30">
        <f>IFERROR(__xludf.DUMMYFUNCTION("""COMPUTED_VALUE"""),2.1904761904761907)</f>
        <v>2.19047619</v>
      </c>
      <c r="T164" s="30">
        <f>IFERROR(__xludf.DUMMYFUNCTION("""COMPUTED_VALUE"""),352.37385149016563)</f>
        <v>352.3738515</v>
      </c>
      <c r="U164" s="30">
        <f>IFERROR(__xludf.DUMMYFUNCTION("""COMPUTED_VALUE"""),0.655220856932446)</f>
        <v>0.6552208569</v>
      </c>
      <c r="V164" s="30">
        <f>IFERROR(__xludf.DUMMYFUNCTION("""COMPUTED_VALUE"""),0.5357007404927135)</f>
        <v>0.5357007405</v>
      </c>
      <c r="W164" s="30">
        <f>IFERROR(__xludf.DUMMYFUNCTION("""COMPUTED_VALUE"""),1.6211656027174088)</f>
        <v>1.621165603</v>
      </c>
      <c r="X164" s="30">
        <f>IFERROR(__xludf.DUMMYFUNCTION("""COMPUTED_VALUE"""),2.3944063322902536)</f>
        <v>2.394406332</v>
      </c>
      <c r="Y164" s="30">
        <f>IFERROR(__xludf.DUMMYFUNCTION("""COMPUTED_VALUE"""),376.50499588061183)</f>
        <v>376.5049959</v>
      </c>
      <c r="Z164" s="30">
        <f>IFERROR(__xludf.DUMMYFUNCTION("""COMPUTED_VALUE"""),0.8675620854784197)</f>
        <v>0.8675620855</v>
      </c>
      <c r="AA164" s="30">
        <f>IFERROR(__xludf.DUMMYFUNCTION("""COMPUTED_VALUE"""),0.67222421747692)</f>
        <v>0.6722242175</v>
      </c>
      <c r="AB164" s="30">
        <f>IFERROR(__xludf.DUMMYFUNCTION("""COMPUTED_VALUE"""),1.3682556726604918)</f>
        <v>1.368255673</v>
      </c>
      <c r="AC164" s="30">
        <f>IFERROR(__xludf.DUMMYFUNCTION("""COMPUTED_VALUE"""),2.962149379263667)</f>
        <v>2.962149379</v>
      </c>
      <c r="AD164" s="30">
        <f>IFERROR(__xludf.DUMMYFUNCTION("""COMPUTED_VALUE"""),0.9287172029386418)</f>
        <v>0.9287172029</v>
      </c>
      <c r="AE164" s="30">
        <f>IFERROR(__xludf.DUMMYFUNCTION("""COMPUTED_VALUE"""),1.097766912964804)</f>
        <v>1.097766913</v>
      </c>
      <c r="AF164" s="30">
        <f>IFERROR(__xludf.DUMMYFUNCTION("""COMPUTED_VALUE"""),0.5667043391894171)</f>
        <v>0.5667043392</v>
      </c>
      <c r="AG164" s="30">
        <f>IFERROR(__xludf.DUMMYFUNCTION("""COMPUTED_VALUE"""),0.8352657808718783)</f>
        <v>0.8352657809</v>
      </c>
      <c r="AH164" s="30">
        <f>IFERROR(__xludf.DUMMYFUNCTION("""COMPUTED_VALUE"""),1.0288539359134639)</f>
        <v>1.028853936</v>
      </c>
      <c r="AI164" s="30">
        <f>IFERROR(__xludf.DUMMYFUNCTION("""COMPUTED_VALUE"""),1.060066406630367)</f>
        <v>1.060066407</v>
      </c>
      <c r="AJ164" s="30">
        <f>IFERROR(__xludf.DUMMYFUNCTION("""COMPUTED_VALUE"""),0.9932431849628198)</f>
        <v>0.993243185</v>
      </c>
      <c r="AK164" s="30">
        <f>IFERROR(__xludf.DUMMYFUNCTION("""COMPUTED_VALUE"""),0.9185417433078662)</f>
        <v>0.9185417433</v>
      </c>
      <c r="AL164" s="30">
        <f>IFERROR(__xludf.DUMMYFUNCTION("""COMPUTED_VALUE"""),1.2336802586038014)</f>
        <v>1.233680259</v>
      </c>
      <c r="AM164" s="30">
        <f>IFERROR(__xludf.DUMMYFUNCTION("""COMPUTED_VALUE"""),0.9148306037016686)</f>
        <v>0.9148306037</v>
      </c>
      <c r="AN164" s="30">
        <f>IFERROR(__xludf.DUMMYFUNCTION("""COMPUTED_VALUE"""),0.9973661668806275)</f>
        <v>0.9973661669</v>
      </c>
      <c r="AO164" s="30">
        <f>IFERROR(__xludf.DUMMYFUNCTION("""COMPUTED_VALUE"""),1.3434794024773478)</f>
        <v>1.343479402</v>
      </c>
      <c r="AP164" s="30">
        <f>IFERROR(__xludf.DUMMYFUNCTION("""COMPUTED_VALUE"""),0.6673091285189598)</f>
        <v>0.6673091285</v>
      </c>
      <c r="AQ164" s="30">
        <f>IFERROR(__xludf.DUMMYFUNCTION("""COMPUTED_VALUE"""),0.801758270570663)</f>
        <v>0.8017582706</v>
      </c>
      <c r="AR164" s="30">
        <f>IFERROR(__xludf.DUMMYFUNCTION("""COMPUTED_VALUE"""),1.2157838239956822)</f>
        <v>1.215783824</v>
      </c>
      <c r="AS164" s="30">
        <f>IFERROR(__xludf.DUMMYFUNCTION("""COMPUTED_VALUE"""),56.0)</f>
        <v>56</v>
      </c>
      <c r="AT164" s="30">
        <f>IFERROR(__xludf.DUMMYFUNCTION("""COMPUTED_VALUE"""),0.6186207192700075)</f>
        <v>0.6186207193</v>
      </c>
      <c r="AU164" s="30">
        <f>IFERROR(__xludf.DUMMYFUNCTION("""COMPUTED_VALUE"""),2.6660336650985412)</f>
        <v>2.666033665</v>
      </c>
      <c r="AV164" s="32">
        <f>IFERROR(__xludf.DUMMYFUNCTION("""COMPUTED_VALUE"""),57.833590373416015)</f>
        <v>57.83359037</v>
      </c>
      <c r="AW164" s="32">
        <f>IFERROR(__xludf.DUMMYFUNCTION("""COMPUTED_VALUE"""),2.652450883188364)</f>
        <v>2.652450883</v>
      </c>
      <c r="AX164" s="32">
        <f>IFERROR(__xludf.DUMMYFUNCTION("""COMPUTED_VALUE"""),40.58641637603796)</f>
        <v>40.58641638</v>
      </c>
      <c r="AY164" s="32">
        <f>IFERROR(__xludf.DUMMYFUNCTION("""COMPUTED_VALUE"""),-2.830804254356236)</f>
        <v>-2.830804254</v>
      </c>
      <c r="AZ164" s="30">
        <f>IFERROR(__xludf.DUMMYFUNCTION("""COMPUTED_VALUE"""),5.4832551375446)</f>
        <v>5.483255138</v>
      </c>
      <c r="BA164" s="30">
        <f>IFERROR(__xludf.DUMMYFUNCTION("""COMPUTED_VALUE"""),800.0)</f>
        <v>800</v>
      </c>
    </row>
    <row r="165">
      <c r="A165" s="30" t="str">
        <f>IFERROR(__xludf.DUMMYFUNCTION("""COMPUTED_VALUE"""),"Elite")</f>
        <v>Elite</v>
      </c>
      <c r="B165" s="30" t="str">
        <f>IFERROR(__xludf.DUMMYFUNCTION("""COMPUTED_VALUE"""),"RSC001889")</f>
        <v>RSC001889</v>
      </c>
      <c r="C165" s="30" t="str">
        <f>IFERROR(__xludf.DUMMYFUNCTION("""COMPUTED_VALUE"""),"Phelpsy")</f>
        <v>Phelpsy</v>
      </c>
      <c r="D165" s="30" t="str">
        <f>IFERROR(__xludf.DUMMYFUNCTION("""COMPUTED_VALUE"""),"Forge Defenders")</f>
        <v>Forge Defenders</v>
      </c>
      <c r="E165" s="30">
        <f>IFERROR(__xludf.DUMMYFUNCTION("""COMPUTED_VALUE"""),27.0)</f>
        <v>27</v>
      </c>
      <c r="F165" s="30">
        <f>IFERROR(__xludf.DUMMYFUNCTION("""COMPUTED_VALUE"""),15.0)</f>
        <v>15</v>
      </c>
      <c r="G165" s="30">
        <f>IFERROR(__xludf.DUMMYFUNCTION("""COMPUTED_VALUE"""),12.0)</f>
        <v>12</v>
      </c>
      <c r="H165" s="42">
        <f>IFERROR(__xludf.DUMMYFUNCTION("""COMPUTED_VALUE"""),0.5555555555555556)</f>
        <v>0.5555555556</v>
      </c>
      <c r="I165" s="42">
        <f>IFERROR(__xludf.DUMMYFUNCTION("""COMPUTED_VALUE"""),0.3392857142857143)</f>
        <v>0.3392857143</v>
      </c>
      <c r="J165" s="30">
        <f>IFERROR(__xludf.DUMMYFUNCTION("""COMPUTED_VALUE"""),329.1111111111111)</f>
        <v>329.1111111</v>
      </c>
      <c r="K165" s="30">
        <f>IFERROR(__xludf.DUMMYFUNCTION("""COMPUTED_VALUE"""),0.7037037037037037)</f>
        <v>0.7037037037</v>
      </c>
      <c r="L165" s="30">
        <f>IFERROR(__xludf.DUMMYFUNCTION("""COMPUTED_VALUE"""),0.6666666666666666)</f>
        <v>0.6666666667</v>
      </c>
      <c r="M165" s="30">
        <f>IFERROR(__xludf.DUMMYFUNCTION("""COMPUTED_VALUE"""),1.3333333333333333)</f>
        <v>1.333333333</v>
      </c>
      <c r="N165" s="30">
        <f>IFERROR(__xludf.DUMMYFUNCTION("""COMPUTED_VALUE"""),2.074074074074074)</f>
        <v>2.074074074</v>
      </c>
      <c r="O165" s="30">
        <f>IFERROR(__xludf.DUMMYFUNCTION("""COMPUTED_VALUE"""),343.0246913580247)</f>
        <v>343.0246914</v>
      </c>
      <c r="P165" s="30">
        <f>IFERROR(__xludf.DUMMYFUNCTION("""COMPUTED_VALUE"""),0.6790123456790123)</f>
        <v>0.6790123457</v>
      </c>
      <c r="Q165" s="30">
        <f>IFERROR(__xludf.DUMMYFUNCTION("""COMPUTED_VALUE"""),0.5925925925925926)</f>
        <v>0.5925925926</v>
      </c>
      <c r="R165" s="30">
        <f>IFERROR(__xludf.DUMMYFUNCTION("""COMPUTED_VALUE"""),1.3333333333333337)</f>
        <v>1.333333333</v>
      </c>
      <c r="S165" s="30">
        <f>IFERROR(__xludf.DUMMYFUNCTION("""COMPUTED_VALUE"""),2.753086419753086)</f>
        <v>2.75308642</v>
      </c>
      <c r="T165" s="30">
        <f>IFERROR(__xludf.DUMMYFUNCTION("""COMPUTED_VALUE"""),370.6676787324195)</f>
        <v>370.6676787</v>
      </c>
      <c r="U165" s="30">
        <f>IFERROR(__xludf.DUMMYFUNCTION("""COMPUTED_VALUE"""),0.8469221468875564)</f>
        <v>0.8469221469</v>
      </c>
      <c r="V165" s="30">
        <f>IFERROR(__xludf.DUMMYFUNCTION("""COMPUTED_VALUE"""),0.5859554997927016)</f>
        <v>0.5859554998</v>
      </c>
      <c r="W165" s="30">
        <f>IFERROR(__xludf.DUMMYFUNCTION("""COMPUTED_VALUE"""),1.4416009995454868)</f>
        <v>1.441601</v>
      </c>
      <c r="X165" s="30">
        <f>IFERROR(__xludf.DUMMYFUNCTION("""COMPUTED_VALUE"""),2.799686015209232)</f>
        <v>2.799686015</v>
      </c>
      <c r="Y165" s="30">
        <f>IFERROR(__xludf.DUMMYFUNCTION("""COMPUTED_VALUE"""),354.2351719725069)</f>
        <v>354.235172</v>
      </c>
      <c r="Z165" s="30">
        <f>IFERROR(__xludf.DUMMYFUNCTION("""COMPUTED_VALUE"""),0.72257223631975)</f>
        <v>0.7225722363</v>
      </c>
      <c r="AA165" s="30">
        <f>IFERROR(__xludf.DUMMYFUNCTION("""COMPUTED_VALUE"""),0.5390350117204774)</f>
        <v>0.5390350117</v>
      </c>
      <c r="AB165" s="30">
        <f>IFERROR(__xludf.DUMMYFUNCTION("""COMPUTED_VALUE"""),1.4639162739996916)</f>
        <v>1.463916274</v>
      </c>
      <c r="AC165" s="30">
        <f>IFERROR(__xludf.DUMMYFUNCTION("""COMPUTED_VALUE"""),2.5915362152929187)</f>
        <v>2.591536215</v>
      </c>
      <c r="AD165" s="30">
        <f>IFERROR(__xludf.DUMMYFUNCTION("""COMPUTED_VALUE"""),0.9290751939693166)</f>
        <v>0.929075194</v>
      </c>
      <c r="AE165" s="30">
        <f>IFERROR(__xludf.DUMMYFUNCTION("""COMPUTED_VALUE"""),0.9738869947285151)</f>
        <v>0.9738869947</v>
      </c>
      <c r="AF165" s="30">
        <f>IFERROR(__xludf.DUMMYFUNCTION("""COMPUTED_VALUE"""),1.2367780425594581)</f>
        <v>1.236778043</v>
      </c>
      <c r="AG165" s="30">
        <f>IFERROR(__xludf.DUMMYFUNCTION("""COMPUTED_VALUE"""),0.9107989008759487)</f>
        <v>0.9107989009</v>
      </c>
      <c r="AH165" s="30">
        <f>IFERROR(__xludf.DUMMYFUNCTION("""COMPUTED_VALUE"""),0.8003261007254122)</f>
        <v>0.8003261007</v>
      </c>
      <c r="AI165" s="30">
        <f>IFERROR(__xludf.DUMMYFUNCTION("""COMPUTED_VALUE"""),0.9254237988353176)</f>
        <v>0.9254237988</v>
      </c>
      <c r="AJ165" s="30">
        <f>IFERROR(__xludf.DUMMYFUNCTION("""COMPUTED_VALUE"""),0.8017411614212551)</f>
        <v>0.8017411614</v>
      </c>
      <c r="AK165" s="30">
        <f>IFERROR(__xludf.DUMMYFUNCTION("""COMPUTED_VALUE"""),1.011326957085033)</f>
        <v>1.011326957</v>
      </c>
      <c r="AL165" s="30">
        <f>IFERROR(__xludf.DUMMYFUNCTION("""COMPUTED_VALUE"""),0.9248976199057242)</f>
        <v>0.9248976199</v>
      </c>
      <c r="AM165" s="30">
        <f>IFERROR(__xludf.DUMMYFUNCTION("""COMPUTED_VALUE"""),0.9833554208568409)</f>
        <v>0.9833554209</v>
      </c>
      <c r="AN165" s="30">
        <f>IFERROR(__xludf.DUMMYFUNCTION("""COMPUTED_VALUE"""),0.9387348542422683)</f>
        <v>0.9387348542</v>
      </c>
      <c r="AO165" s="30">
        <f>IFERROR(__xludf.DUMMYFUNCTION("""COMPUTED_VALUE"""),0.9926820029415959)</f>
        <v>0.9926820029</v>
      </c>
      <c r="AP165" s="30">
        <f>IFERROR(__xludf.DUMMYFUNCTION("""COMPUTED_VALUE"""),1.1677909749081798)</f>
        <v>1.167790975</v>
      </c>
      <c r="AQ165" s="30">
        <f>IFERROR(__xludf.DUMMYFUNCTION("""COMPUTED_VALUE"""),0.9353846489991068)</f>
        <v>0.935384649</v>
      </c>
      <c r="AR165" s="30">
        <f>IFERROR(__xludf.DUMMYFUNCTION("""COMPUTED_VALUE"""),0.8274084357748394)</f>
        <v>0.8274084358</v>
      </c>
      <c r="AS165" s="30">
        <f>IFERROR(__xludf.DUMMYFUNCTION("""COMPUTED_VALUE"""),60.0)</f>
        <v>60</v>
      </c>
      <c r="AT165" s="30">
        <f>IFERROR(__xludf.DUMMYFUNCTION("""COMPUTED_VALUE"""),0.5329235056550655)</f>
        <v>0.5329235057</v>
      </c>
      <c r="AU165" s="30">
        <f>IFERROR(__xludf.DUMMYFUNCTION("""COMPUTED_VALUE"""),2.4628689407684456)</f>
        <v>2.462868941</v>
      </c>
      <c r="AV165" s="32">
        <f>IFERROR(__xludf.DUMMYFUNCTION("""COMPUTED_VALUE"""),51.98971697258577)</f>
        <v>51.98971697</v>
      </c>
      <c r="AW165" s="32">
        <f>IFERROR(__xludf.DUMMYFUNCTION("""COMPUTED_VALUE"""),2.135464470889402)</f>
        <v>2.135464471</v>
      </c>
      <c r="AX165" s="32">
        <f>IFERROR(__xludf.DUMMYFUNCTION("""COMPUTED_VALUE"""),37.21680072701472)</f>
        <v>37.21680073</v>
      </c>
      <c r="AY165" s="32">
        <f>IFERROR(__xludf.DUMMYFUNCTION("""COMPUTED_VALUE"""),-3.2834176030302173)</f>
        <v>-3.283417603</v>
      </c>
      <c r="AZ165" s="30">
        <f>IFERROR(__xludf.DUMMYFUNCTION("""COMPUTED_VALUE"""),5.418882073919619)</f>
        <v>5.418882074</v>
      </c>
      <c r="BA165" s="30">
        <f>IFERROR(__xludf.DUMMYFUNCTION("""COMPUTED_VALUE"""),800.0)</f>
        <v>800</v>
      </c>
    </row>
    <row r="166">
      <c r="A166" s="30" t="str">
        <f>IFERROR(__xludf.DUMMYFUNCTION("""COMPUTED_VALUE"""),"Elite")</f>
        <v>Elite</v>
      </c>
      <c r="B166" s="30" t="str">
        <f>IFERROR(__xludf.DUMMYFUNCTION("""COMPUTED_VALUE"""),"RSC006218")</f>
        <v>RSC006218</v>
      </c>
      <c r="C166" s="30" t="str">
        <f>IFERROR(__xludf.DUMMYFUNCTION("""COMPUTED_VALUE"""),"Stingray")</f>
        <v>Stingray</v>
      </c>
      <c r="D166" s="30" t="str">
        <f>IFERROR(__xludf.DUMMYFUNCTION("""COMPUTED_VALUE"""),"Keno")</f>
        <v>Keno</v>
      </c>
      <c r="E166" s="30">
        <f>IFERROR(__xludf.DUMMYFUNCTION("""COMPUTED_VALUE"""),44.0)</f>
        <v>44</v>
      </c>
      <c r="F166" s="30">
        <f>IFERROR(__xludf.DUMMYFUNCTION("""COMPUTED_VALUE"""),22.0)</f>
        <v>22</v>
      </c>
      <c r="G166" s="30">
        <f>IFERROR(__xludf.DUMMYFUNCTION("""COMPUTED_VALUE"""),22.0)</f>
        <v>22</v>
      </c>
      <c r="H166" s="42">
        <f>IFERROR(__xludf.DUMMYFUNCTION("""COMPUTED_VALUE"""),0.5)</f>
        <v>0.5</v>
      </c>
      <c r="I166" s="42">
        <f>IFERROR(__xludf.DUMMYFUNCTION("""COMPUTED_VALUE"""),0.26881720430107525)</f>
        <v>0.2688172043</v>
      </c>
      <c r="J166" s="30">
        <f>IFERROR(__xludf.DUMMYFUNCTION("""COMPUTED_VALUE"""),353.3863636363636)</f>
        <v>353.3863636</v>
      </c>
      <c r="K166" s="30">
        <f>IFERROR(__xludf.DUMMYFUNCTION("""COMPUTED_VALUE"""),0.5681818181818182)</f>
        <v>0.5681818182</v>
      </c>
      <c r="L166" s="30">
        <f>IFERROR(__xludf.DUMMYFUNCTION("""COMPUTED_VALUE"""),0.5454545454545454)</f>
        <v>0.5454545455</v>
      </c>
      <c r="M166" s="30">
        <f>IFERROR(__xludf.DUMMYFUNCTION("""COMPUTED_VALUE"""),1.6818181818181819)</f>
        <v>1.681818182</v>
      </c>
      <c r="N166" s="30">
        <f>IFERROR(__xludf.DUMMYFUNCTION("""COMPUTED_VALUE"""),2.1136363636363638)</f>
        <v>2.113636364</v>
      </c>
      <c r="O166" s="30">
        <f>IFERROR(__xludf.DUMMYFUNCTION("""COMPUTED_VALUE"""),331.1515151515151)</f>
        <v>331.1515152</v>
      </c>
      <c r="P166" s="30">
        <f>IFERROR(__xludf.DUMMYFUNCTION("""COMPUTED_VALUE"""),0.6893939393939393)</f>
        <v>0.6893939394</v>
      </c>
      <c r="Q166" s="30">
        <f>IFERROR(__xludf.DUMMYFUNCTION("""COMPUTED_VALUE"""),0.49242424242424254)</f>
        <v>0.4924242424</v>
      </c>
      <c r="R166" s="30">
        <f>IFERROR(__xludf.DUMMYFUNCTION("""COMPUTED_VALUE"""),1.113636363636364)</f>
        <v>1.113636364</v>
      </c>
      <c r="S166" s="30">
        <f>IFERROR(__xludf.DUMMYFUNCTION("""COMPUTED_VALUE"""),2.6515151515151514)</f>
        <v>2.651515152</v>
      </c>
      <c r="T166" s="30">
        <f>IFERROR(__xludf.DUMMYFUNCTION("""COMPUTED_VALUE"""),353.33173783186385)</f>
        <v>353.3317378</v>
      </c>
      <c r="U166" s="30">
        <f>IFERROR(__xludf.DUMMYFUNCTION("""COMPUTED_VALUE"""),0.7397111594984959)</f>
        <v>0.7397111595</v>
      </c>
      <c r="V166" s="30">
        <f>IFERROR(__xludf.DUMMYFUNCTION("""COMPUTED_VALUE"""),0.5447936234377742)</f>
        <v>0.5447936234</v>
      </c>
      <c r="W166" s="30">
        <f>IFERROR(__xludf.DUMMYFUNCTION("""COMPUTED_VALUE"""),1.422114543404855)</f>
        <v>1.422114543</v>
      </c>
      <c r="X166" s="30">
        <f>IFERROR(__xludf.DUMMYFUNCTION("""COMPUTED_VALUE"""),2.6374080244243747)</f>
        <v>2.637408024</v>
      </c>
      <c r="Y166" s="30">
        <f>IFERROR(__xludf.DUMMYFUNCTION("""COMPUTED_VALUE"""),364.7497753353419)</f>
        <v>364.7497753</v>
      </c>
      <c r="Z166" s="30">
        <f>IFERROR(__xludf.DUMMYFUNCTION("""COMPUTED_VALUE"""),0.8047324313344016)</f>
        <v>0.8047324313</v>
      </c>
      <c r="AA166" s="30">
        <f>IFERROR(__xludf.DUMMYFUNCTION("""COMPUTED_VALUE"""),0.6110107285829236)</f>
        <v>0.6110107286</v>
      </c>
      <c r="AB166" s="30">
        <f>IFERROR(__xludf.DUMMYFUNCTION("""COMPUTED_VALUE"""),1.4323546209412599)</f>
        <v>1.432354621</v>
      </c>
      <c r="AC166" s="30">
        <f>IFERROR(__xludf.DUMMYFUNCTION("""COMPUTED_VALUE"""),2.645702110034097)</f>
        <v>2.64570211</v>
      </c>
      <c r="AD166" s="30">
        <f>IFERROR(__xludf.DUMMYFUNCTION("""COMPUTED_VALUE"""),0.9688460076814824)</f>
        <v>0.9688460077</v>
      </c>
      <c r="AE166" s="30">
        <f>IFERROR(__xludf.DUMMYFUNCTION("""COMPUTED_VALUE"""),0.7060506027322189)</f>
        <v>0.7060506027</v>
      </c>
      <c r="AF166" s="30">
        <f>IFERROR(__xludf.DUMMYFUNCTION("""COMPUTED_VALUE"""),0.8927086218593604)</f>
        <v>0.8927086219</v>
      </c>
      <c r="AG166" s="30">
        <f>IFERROR(__xludf.DUMMYFUNCTION("""COMPUTED_VALUE"""),1.1741632674127789)</f>
        <v>1.174163267</v>
      </c>
      <c r="AH166" s="30">
        <f>IFERROR(__xludf.DUMMYFUNCTION("""COMPUTED_VALUE"""),0.7988943107465428)</f>
        <v>0.7988943107</v>
      </c>
      <c r="AI166" s="30">
        <f>IFERROR(__xludf.DUMMYFUNCTION("""COMPUTED_VALUE"""),0.9372255014042826)</f>
        <v>0.9372255014</v>
      </c>
      <c r="AJ166" s="30">
        <f>IFERROR(__xludf.DUMMYFUNCTION("""COMPUTED_VALUE"""),0.9319772056181088)</f>
        <v>0.9319772056</v>
      </c>
      <c r="AK166" s="30">
        <f>IFERROR(__xludf.DUMMYFUNCTION("""COMPUTED_VALUE"""),0.9038729919725039)</f>
        <v>0.903872992</v>
      </c>
      <c r="AL166" s="30">
        <f>IFERROR(__xludf.DUMMYFUNCTION("""COMPUTED_VALUE"""),0.7830848568428768)</f>
        <v>0.7830848568</v>
      </c>
      <c r="AM166" s="30">
        <f>IFERROR(__xludf.DUMMYFUNCTION("""COMPUTED_VALUE"""),1.0053488603053202)</f>
        <v>1.00534886</v>
      </c>
      <c r="AN166" s="30">
        <f>IFERROR(__xludf.DUMMYFUNCTION("""COMPUTED_VALUE"""),1.007975985494424)</f>
        <v>1.007975985</v>
      </c>
      <c r="AO166" s="30">
        <f>IFERROR(__xludf.DUMMYFUNCTION("""COMPUTED_VALUE"""),0.8015075980688724)</f>
        <v>0.8015075981</v>
      </c>
      <c r="AP166" s="30">
        <f>IFERROR(__xludf.DUMMYFUNCTION("""COMPUTED_VALUE"""),0.9554653431066925)</f>
        <v>0.9554653431</v>
      </c>
      <c r="AQ166" s="30">
        <f>IFERROR(__xludf.DUMMYFUNCTION("""COMPUTED_VALUE"""),1.179860182260237)</f>
        <v>1.179860182</v>
      </c>
      <c r="AR166" s="30">
        <f>IFERROR(__xludf.DUMMYFUNCTION("""COMPUTED_VALUE"""),0.8431909830481419)</f>
        <v>0.843190983</v>
      </c>
      <c r="AS166" s="30">
        <f>IFERROR(__xludf.DUMMYFUNCTION("""COMPUTED_VALUE"""),91.0)</f>
        <v>91</v>
      </c>
      <c r="AT166" s="30">
        <f>IFERROR(__xludf.DUMMYFUNCTION("""COMPUTED_VALUE"""),0.5000000000000001)</f>
        <v>0.5</v>
      </c>
      <c r="AU166" s="30">
        <f>IFERROR(__xludf.DUMMYFUNCTION("""COMPUTED_VALUE"""),2.0581703193507384)</f>
        <v>2.058170319</v>
      </c>
      <c r="AV166" s="32">
        <f>IFERROR(__xludf.DUMMYFUNCTION("""COMPUTED_VALUE"""),40.34887963306307)</f>
        <v>40.34887963</v>
      </c>
      <c r="AW166" s="32">
        <f>IFERROR(__xludf.DUMMYFUNCTION("""COMPUTED_VALUE"""),-2.859334417831679)</f>
        <v>-2.859334418</v>
      </c>
      <c r="AX166" s="32">
        <f>IFERROR(__xludf.DUMMYFUNCTION("""COMPUTED_VALUE"""),56.686641134337584)</f>
        <v>56.68664113</v>
      </c>
      <c r="AY166" s="32">
        <f>IFERROR(__xludf.DUMMYFUNCTION("""COMPUTED_VALUE"""),2.534498767364868)</f>
        <v>2.534498767</v>
      </c>
      <c r="AZ166" s="30">
        <f>IFERROR(__xludf.DUMMYFUNCTION("""COMPUTED_VALUE"""),5.393833185196547)</f>
        <v>5.393833185</v>
      </c>
      <c r="BA166" s="30">
        <f>IFERROR(__xludf.DUMMYFUNCTION("""COMPUTED_VALUE"""),800.0)</f>
        <v>800</v>
      </c>
    </row>
    <row r="167">
      <c r="A167" s="30" t="str">
        <f>IFERROR(__xludf.DUMMYFUNCTION("""COMPUTED_VALUE"""),"Elite")</f>
        <v>Elite</v>
      </c>
      <c r="B167" s="30" t="str">
        <f>IFERROR(__xludf.DUMMYFUNCTION("""COMPUTED_VALUE"""),"RSC007494")</f>
        <v>RSC007494</v>
      </c>
      <c r="C167" s="30" t="str">
        <f>IFERROR(__xludf.DUMMYFUNCTION("""COMPUTED_VALUE"""),"CantaloupeLover-")</f>
        <v>CantaloupeLover-</v>
      </c>
      <c r="D167" s="30"/>
      <c r="E167" s="30">
        <f>IFERROR(__xludf.DUMMYFUNCTION("""COMPUTED_VALUE"""),4.0)</f>
        <v>4</v>
      </c>
      <c r="F167" s="30">
        <f>IFERROR(__xludf.DUMMYFUNCTION("""COMPUTED_VALUE"""),1.0)</f>
        <v>1</v>
      </c>
      <c r="G167" s="30">
        <f>IFERROR(__xludf.DUMMYFUNCTION("""COMPUTED_VALUE"""),3.0)</f>
        <v>3</v>
      </c>
      <c r="H167" s="42">
        <f>IFERROR(__xludf.DUMMYFUNCTION("""COMPUTED_VALUE"""),0.25)</f>
        <v>0.25</v>
      </c>
      <c r="I167" s="42">
        <f>IFERROR(__xludf.DUMMYFUNCTION("""COMPUTED_VALUE"""),0.25)</f>
        <v>0.25</v>
      </c>
      <c r="J167" s="30">
        <f>IFERROR(__xludf.DUMMYFUNCTION("""COMPUTED_VALUE"""),318.75)</f>
        <v>318.75</v>
      </c>
      <c r="K167" s="30">
        <f>IFERROR(__xludf.DUMMYFUNCTION("""COMPUTED_VALUE"""),0.25)</f>
        <v>0.25</v>
      </c>
      <c r="L167" s="30">
        <f>IFERROR(__xludf.DUMMYFUNCTION("""COMPUTED_VALUE"""),0.5)</f>
        <v>0.5</v>
      </c>
      <c r="M167" s="30">
        <f>IFERROR(__xludf.DUMMYFUNCTION("""COMPUTED_VALUE"""),2.0)</f>
        <v>2</v>
      </c>
      <c r="N167" s="30">
        <f>IFERROR(__xludf.DUMMYFUNCTION("""COMPUTED_VALUE"""),1.0)</f>
        <v>1</v>
      </c>
      <c r="O167" s="30">
        <f>IFERROR(__xludf.DUMMYFUNCTION("""COMPUTED_VALUE"""),389.08333333333337)</f>
        <v>389.0833333</v>
      </c>
      <c r="P167" s="30">
        <f>IFERROR(__xludf.DUMMYFUNCTION("""COMPUTED_VALUE"""),1.0)</f>
        <v>1</v>
      </c>
      <c r="Q167" s="30">
        <f>IFERROR(__xludf.DUMMYFUNCTION("""COMPUTED_VALUE"""),0.5833333333333333)</f>
        <v>0.5833333333</v>
      </c>
      <c r="R167" s="30">
        <f>IFERROR(__xludf.DUMMYFUNCTION("""COMPUTED_VALUE"""),1.3333333333333335)</f>
        <v>1.333333333</v>
      </c>
      <c r="S167" s="30">
        <f>IFERROR(__xludf.DUMMYFUNCTION("""COMPUTED_VALUE"""),3.333333333333333)</f>
        <v>3.333333333</v>
      </c>
      <c r="T167" s="30">
        <f>IFERROR(__xludf.DUMMYFUNCTION("""COMPUTED_VALUE"""),381.39716312056737)</f>
        <v>381.3971631</v>
      </c>
      <c r="U167" s="30">
        <f>IFERROR(__xludf.DUMMYFUNCTION("""COMPUTED_VALUE"""),0.8985650667986146)</f>
        <v>0.8985650668</v>
      </c>
      <c r="V167" s="30">
        <f>IFERROR(__xludf.DUMMYFUNCTION("""COMPUTED_VALUE"""),0.6107537522678542)</f>
        <v>0.6107537523</v>
      </c>
      <c r="W167" s="30">
        <f>IFERROR(__xludf.DUMMYFUNCTION("""COMPUTED_VALUE"""),1.4355929407883885)</f>
        <v>1.435592941</v>
      </c>
      <c r="X167" s="30">
        <f>IFERROR(__xludf.DUMMYFUNCTION("""COMPUTED_VALUE"""),2.9035131123206335)</f>
        <v>2.903513112</v>
      </c>
      <c r="Y167" s="30">
        <f>IFERROR(__xludf.DUMMYFUNCTION("""COMPUTED_VALUE"""),357.7749189070317)</f>
        <v>357.7749189</v>
      </c>
      <c r="Z167" s="30">
        <f>IFERROR(__xludf.DUMMYFUNCTION("""COMPUTED_VALUE"""),0.681510803232723)</f>
        <v>0.6815108032</v>
      </c>
      <c r="AA167" s="30">
        <f>IFERROR(__xludf.DUMMYFUNCTION("""COMPUTED_VALUE"""),0.5164659959316071)</f>
        <v>0.5164659959</v>
      </c>
      <c r="AB167" s="30">
        <f>IFERROR(__xludf.DUMMYFUNCTION("""COMPUTED_VALUE"""),1.5564901863763811)</f>
        <v>1.556490186</v>
      </c>
      <c r="AC167" s="30">
        <f>IFERROR(__xludf.DUMMYFUNCTION("""COMPUTED_VALUE"""),2.574742976524273)</f>
        <v>2.574742977</v>
      </c>
      <c r="AD167" s="30">
        <f>IFERROR(__xludf.DUMMYFUNCTION("""COMPUTED_VALUE"""),0.8909232681087621)</f>
        <v>0.8909232681</v>
      </c>
      <c r="AE167" s="30">
        <f>IFERROR(__xludf.DUMMYFUNCTION("""COMPUTED_VALUE"""),0.36683204259438534)</f>
        <v>0.3668320426</v>
      </c>
      <c r="AF167" s="30">
        <f>IFERROR(__xludf.DUMMYFUNCTION("""COMPUTED_VALUE"""),0.9681179476261441)</f>
        <v>0.9681179476</v>
      </c>
      <c r="AG167" s="30">
        <f>IFERROR(__xludf.DUMMYFUNCTION("""COMPUTED_VALUE"""),1.2849422485959523)</f>
        <v>1.284942249</v>
      </c>
      <c r="AH167" s="30">
        <f>IFERROR(__xludf.DUMMYFUNCTION("""COMPUTED_VALUE"""),0.38838828151691146)</f>
        <v>0.3883882815</v>
      </c>
      <c r="AI167" s="30">
        <f>IFERROR(__xludf.DUMMYFUNCTION("""COMPUTED_VALUE"""),1.0201526674972574)</f>
        <v>1.020152667</v>
      </c>
      <c r="AJ167" s="30">
        <f>IFERROR(__xludf.DUMMYFUNCTION("""COMPUTED_VALUE"""),1.112885462555066)</f>
        <v>1.112885463</v>
      </c>
      <c r="AK167" s="30">
        <f>IFERROR(__xludf.DUMMYFUNCTION("""COMPUTED_VALUE"""),0.9551039697542532)</f>
        <v>0.9551039698</v>
      </c>
      <c r="AL167" s="30">
        <f>IFERROR(__xludf.DUMMYFUNCTION("""COMPUTED_VALUE"""),0.9287683823529413)</f>
        <v>0.9287683824</v>
      </c>
      <c r="AM167" s="30">
        <f>IFERROR(__xludf.DUMMYFUNCTION("""COMPUTED_VALUE"""),1.1480345376050896)</f>
        <v>1.148034538</v>
      </c>
      <c r="AN167" s="30">
        <f>IFERROR(__xludf.DUMMYFUNCTION("""COMPUTED_VALUE"""),0.9091815034123928)</f>
        <v>0.9091815034</v>
      </c>
      <c r="AO167" s="30">
        <f>IFERROR(__xludf.DUMMYFUNCTION("""COMPUTED_VALUE"""),0.3526633431503038)</f>
        <v>0.3526633432</v>
      </c>
      <c r="AP167" s="30">
        <f>IFERROR(__xludf.DUMMYFUNCTION("""COMPUTED_VALUE"""),0.8758432311811349)</f>
        <v>0.8758432312</v>
      </c>
      <c r="AQ167" s="30">
        <f>IFERROR(__xludf.DUMMYFUNCTION("""COMPUTED_VALUE"""),1.4030769734986601)</f>
        <v>1.403076973</v>
      </c>
      <c r="AR167" s="30">
        <f>IFERROR(__xludf.DUMMYFUNCTION("""COMPUTED_VALUE"""),0.39892906724858324)</f>
        <v>0.3989290672</v>
      </c>
      <c r="AS167" s="30">
        <f>IFERROR(__xludf.DUMMYFUNCTION("""COMPUTED_VALUE"""),8.0)</f>
        <v>8</v>
      </c>
      <c r="AT167" s="30">
        <f>IFERROR(__xludf.DUMMYFUNCTION("""COMPUTED_VALUE"""),0.34445266793706497)</f>
        <v>0.3444526679</v>
      </c>
      <c r="AU167" s="30">
        <f>IFERROR(__xludf.DUMMYFUNCTION("""COMPUTED_VALUE"""),0.8999700781347171)</f>
        <v>0.8999700781</v>
      </c>
      <c r="AV167" s="32">
        <f>IFERROR(__xludf.DUMMYFUNCTION("""COMPUTED_VALUE"""),7.034161220232477)</f>
        <v>7.03416122</v>
      </c>
      <c r="AW167" s="32">
        <f>IFERROR(__xludf.DUMMYFUNCTION("""COMPUTED_VALUE"""),-23.34236569999528)</f>
        <v>-23.3423657</v>
      </c>
      <c r="AX167" s="32">
        <f>IFERROR(__xludf.DUMMYFUNCTION("""COMPUTED_VALUE"""),10.030880564041944)</f>
        <v>10.03088056</v>
      </c>
      <c r="AY167" s="32">
        <f>IFERROR(__xludf.DUMMYFUNCTION("""COMPUTED_VALUE"""),-18.202854372154913)</f>
        <v>-18.20285437</v>
      </c>
      <c r="AZ167" s="30">
        <f>IFERROR(__xludf.DUMMYFUNCTION("""COMPUTED_VALUE"""),5.139511327840367)</f>
        <v>5.139511328</v>
      </c>
      <c r="BA167" s="30">
        <f>IFERROR(__xludf.DUMMYFUNCTION("""COMPUTED_VALUE"""),800.0)</f>
        <v>800</v>
      </c>
    </row>
    <row r="168">
      <c r="A168" s="30" t="str">
        <f>IFERROR(__xludf.DUMMYFUNCTION("""COMPUTED_VALUE"""),"Elite")</f>
        <v>Elite</v>
      </c>
      <c r="B168" s="30" t="str">
        <f>IFERROR(__xludf.DUMMYFUNCTION("""COMPUTED_VALUE"""),"RSC006446")</f>
        <v>RSC006446</v>
      </c>
      <c r="C168" s="30" t="str">
        <f>IFERROR(__xludf.DUMMYFUNCTION("""COMPUTED_VALUE"""),"ACE_Cosplays.TTV")</f>
        <v>ACE_Cosplays.TTV</v>
      </c>
      <c r="D168" s="30" t="str">
        <f>IFERROR(__xludf.DUMMYFUNCTION("""COMPUTED_VALUE"""),"Majesties")</f>
        <v>Majesties</v>
      </c>
      <c r="E168" s="30">
        <f>IFERROR(__xludf.DUMMYFUNCTION("""COMPUTED_VALUE"""),15.0)</f>
        <v>15</v>
      </c>
      <c r="F168" s="30">
        <f>IFERROR(__xludf.DUMMYFUNCTION("""COMPUTED_VALUE"""),3.0)</f>
        <v>3</v>
      </c>
      <c r="G168" s="30">
        <f>IFERROR(__xludf.DUMMYFUNCTION("""COMPUTED_VALUE"""),12.0)</f>
        <v>12</v>
      </c>
      <c r="H168" s="42">
        <f>IFERROR(__xludf.DUMMYFUNCTION("""COMPUTED_VALUE"""),0.2)</f>
        <v>0.2</v>
      </c>
      <c r="I168" s="42">
        <f>IFERROR(__xludf.DUMMYFUNCTION("""COMPUTED_VALUE"""),0.2142857142857143)</f>
        <v>0.2142857143</v>
      </c>
      <c r="J168" s="30">
        <f>IFERROR(__xludf.DUMMYFUNCTION("""COMPUTED_VALUE"""),370.6666666666667)</f>
        <v>370.6666667</v>
      </c>
      <c r="K168" s="30">
        <f>IFERROR(__xludf.DUMMYFUNCTION("""COMPUTED_VALUE"""),0.6)</f>
        <v>0.6</v>
      </c>
      <c r="L168" s="30">
        <f>IFERROR(__xludf.DUMMYFUNCTION("""COMPUTED_VALUE"""),0.6)</f>
        <v>0.6</v>
      </c>
      <c r="M168" s="30">
        <f>IFERROR(__xludf.DUMMYFUNCTION("""COMPUTED_VALUE"""),1.4666666666666666)</f>
        <v>1.466666667</v>
      </c>
      <c r="N168" s="30">
        <f>IFERROR(__xludf.DUMMYFUNCTION("""COMPUTED_VALUE"""),2.8)</f>
        <v>2.8</v>
      </c>
      <c r="O168" s="30">
        <f>IFERROR(__xludf.DUMMYFUNCTION("""COMPUTED_VALUE"""),419.0444444444445)</f>
        <v>419.0444444</v>
      </c>
      <c r="P168" s="30">
        <f>IFERROR(__xludf.DUMMYFUNCTION("""COMPUTED_VALUE"""),1.2)</f>
        <v>1.2</v>
      </c>
      <c r="Q168" s="30">
        <f>IFERROR(__xludf.DUMMYFUNCTION("""COMPUTED_VALUE"""),0.9111111111111111)</f>
        <v>0.9111111111</v>
      </c>
      <c r="R168" s="30">
        <f>IFERROR(__xludf.DUMMYFUNCTION("""COMPUTED_VALUE"""),1.222222222222222)</f>
        <v>1.222222222</v>
      </c>
      <c r="S168" s="30">
        <f>IFERROR(__xludf.DUMMYFUNCTION("""COMPUTED_VALUE"""),2.9777777777777774)</f>
        <v>2.977777778</v>
      </c>
      <c r="T168" s="30">
        <f>IFERROR(__xludf.DUMMYFUNCTION("""COMPUTED_VALUE"""),376.0943739685651)</f>
        <v>376.094374</v>
      </c>
      <c r="U168" s="30">
        <f>IFERROR(__xludf.DUMMYFUNCTION("""COMPUTED_VALUE"""),0.8459370404453824)</f>
        <v>0.8459370404</v>
      </c>
      <c r="V168" s="30">
        <f>IFERROR(__xludf.DUMMYFUNCTION("""COMPUTED_VALUE"""),0.6578557606131754)</f>
        <v>0.6578557606</v>
      </c>
      <c r="W168" s="30">
        <f>IFERROR(__xludf.DUMMYFUNCTION("""COMPUTED_VALUE"""),1.4044622571206662)</f>
        <v>1.404462257</v>
      </c>
      <c r="X168" s="30">
        <f>IFERROR(__xludf.DUMMYFUNCTION("""COMPUTED_VALUE"""),2.757632804093876)</f>
        <v>2.757632804</v>
      </c>
      <c r="Y168" s="30">
        <f>IFERROR(__xludf.DUMMYFUNCTION("""COMPUTED_VALUE"""),361.0572069854833)</f>
        <v>361.057207</v>
      </c>
      <c r="Z168" s="30">
        <f>IFERROR(__xludf.DUMMYFUNCTION("""COMPUTED_VALUE"""),0.7761713585988949)</f>
        <v>0.7761713586</v>
      </c>
      <c r="AA168" s="30">
        <f>IFERROR(__xludf.DUMMYFUNCTION("""COMPUTED_VALUE"""),0.5649227271313273)</f>
        <v>0.5649227271</v>
      </c>
      <c r="AB168" s="30">
        <f>IFERROR(__xludf.DUMMYFUNCTION("""COMPUTED_VALUE"""),1.4702354540729443)</f>
        <v>1.470235454</v>
      </c>
      <c r="AC168" s="30">
        <f>IFERROR(__xludf.DUMMYFUNCTION("""COMPUTED_VALUE"""),2.55654416844241)</f>
        <v>2.556544168</v>
      </c>
      <c r="AD168" s="30">
        <f>IFERROR(__xludf.DUMMYFUNCTION("""COMPUTED_VALUE"""),1.026614784292534)</f>
        <v>1.026614784</v>
      </c>
      <c r="AE168" s="30">
        <f>IFERROR(__xludf.DUMMYFUNCTION("""COMPUTED_VALUE"""),0.7730251745994461)</f>
        <v>0.7730251746</v>
      </c>
      <c r="AF168" s="30">
        <f>IFERROR(__xludf.DUMMYFUNCTION("""COMPUTED_VALUE"""),1.0620921608992344)</f>
        <v>1.062092161</v>
      </c>
      <c r="AG168" s="30">
        <f>IFERROR(__xludf.DUMMYFUNCTION("""COMPUTED_VALUE"""),0.9975726422618967)</f>
        <v>0.9975726423</v>
      </c>
      <c r="AH168" s="30">
        <f>IFERROR(__xludf.DUMMYFUNCTION("""COMPUTED_VALUE"""),1.0952284863929875)</f>
        <v>1.095228486</v>
      </c>
      <c r="AI168" s="30">
        <f>IFERROR(__xludf.DUMMYFUNCTION("""COMPUTED_VALUE"""),1.1142002471950545)</f>
        <v>1.114200247</v>
      </c>
      <c r="AJ168" s="30">
        <f>IFERROR(__xludf.DUMMYFUNCTION("""COMPUTED_VALUE"""),1.418545284845554)</f>
        <v>1.418545285</v>
      </c>
      <c r="AK168" s="30">
        <f>IFERROR(__xludf.DUMMYFUNCTION("""COMPUTED_VALUE"""),1.3849709399244008)</f>
        <v>1.38497094</v>
      </c>
      <c r="AL168" s="30">
        <f>IFERROR(__xludf.DUMMYFUNCTION("""COMPUTED_VALUE"""),0.8702421272095554)</f>
        <v>0.8702421272</v>
      </c>
      <c r="AM168" s="30">
        <f>IFERROR(__xludf.DUMMYFUNCTION("""COMPUTED_VALUE"""),1.0798311411719075)</f>
        <v>1.079831141</v>
      </c>
      <c r="AN168" s="30">
        <f>IFERROR(__xludf.DUMMYFUNCTION("""COMPUTED_VALUE"""),1.0572651835760323)</f>
        <v>1.057265184</v>
      </c>
      <c r="AO168" s="30">
        <f>IFERROR(__xludf.DUMMYFUNCTION("""COMPUTED_VALUE"""),0.8463920235607291)</f>
        <v>0.8463920236</v>
      </c>
      <c r="AP168" s="30">
        <f>IFERROR(__xludf.DUMMYFUNCTION("""COMPUTED_VALUE"""),1.0510118774173618)</f>
        <v>1.051011877</v>
      </c>
      <c r="AQ168" s="30">
        <f>IFERROR(__xludf.DUMMYFUNCTION("""COMPUTED_VALUE"""),1.0289231138990174)</f>
        <v>1.028923114</v>
      </c>
      <c r="AR168" s="30">
        <f>IFERROR(__xludf.DUMMYFUNCTION("""COMPUTED_VALUE"""),1.117001388296033)</f>
        <v>1.117001388</v>
      </c>
      <c r="AS168" s="30">
        <f>IFERROR(__xludf.DUMMYFUNCTION("""COMPUTED_VALUE"""),27.0)</f>
        <v>27</v>
      </c>
      <c r="AT168" s="30">
        <f>IFERROR(__xludf.DUMMYFUNCTION("""COMPUTED_VALUE"""),0.2451473397307273)</f>
        <v>0.2451473397</v>
      </c>
      <c r="AU168" s="30">
        <f>IFERROR(__xludf.DUMMYFUNCTION("""COMPUTED_VALUE"""),2.174783449929341)</f>
        <v>2.17478345</v>
      </c>
      <c r="AV168" s="32">
        <f>IFERROR(__xludf.DUMMYFUNCTION("""COMPUTED_VALUE"""),43.7031645573918)</f>
        <v>43.70316456</v>
      </c>
      <c r="AW168" s="32">
        <f>IFERROR(__xludf.DUMMYFUNCTION("""COMPUTED_VALUE"""),-2.496445975539375)</f>
        <v>-2.496445976</v>
      </c>
      <c r="AX168" s="32">
        <f>IFERROR(__xludf.DUMMYFUNCTION("""COMPUTED_VALUE"""),57.43381593844066)</f>
        <v>57.43381594</v>
      </c>
      <c r="AY168" s="32">
        <f>IFERROR(__xludf.DUMMYFUNCTION("""COMPUTED_VALUE"""),2.6102937230070453)</f>
        <v>2.610293723</v>
      </c>
      <c r="AZ168" s="30">
        <f>IFERROR(__xludf.DUMMYFUNCTION("""COMPUTED_VALUE"""),5.10673969854642)</f>
        <v>5.106739699</v>
      </c>
      <c r="BA168" s="30">
        <f>IFERROR(__xludf.DUMMYFUNCTION("""COMPUTED_VALUE"""),800.0)</f>
        <v>800</v>
      </c>
    </row>
    <row r="169">
      <c r="A169" s="30" t="str">
        <f>IFERROR(__xludf.DUMMYFUNCTION("""COMPUTED_VALUE"""),"Elite")</f>
        <v>Elite</v>
      </c>
      <c r="B169" s="30" t="str">
        <f>IFERROR(__xludf.DUMMYFUNCTION("""COMPUTED_VALUE"""),"RSC006637")</f>
        <v>RSC006637</v>
      </c>
      <c r="C169" s="30" t="str">
        <f>IFERROR(__xludf.DUMMYFUNCTION("""COMPUTED_VALUE"""),"nekodah")</f>
        <v>nekodah</v>
      </c>
      <c r="D169" s="30" t="str">
        <f>IFERROR(__xludf.DUMMYFUNCTION("""COMPUTED_VALUE"""),"Stoked Blokes")</f>
        <v>Stoked Blokes</v>
      </c>
      <c r="E169" s="30">
        <f>IFERROR(__xludf.DUMMYFUNCTION("""COMPUTED_VALUE"""),18.0)</f>
        <v>18</v>
      </c>
      <c r="F169" s="30">
        <f>IFERROR(__xludf.DUMMYFUNCTION("""COMPUTED_VALUE"""),11.0)</f>
        <v>11</v>
      </c>
      <c r="G169" s="30">
        <f>IFERROR(__xludf.DUMMYFUNCTION("""COMPUTED_VALUE"""),7.0)</f>
        <v>7</v>
      </c>
      <c r="H169" s="42">
        <f>IFERROR(__xludf.DUMMYFUNCTION("""COMPUTED_VALUE"""),0.6111111111111112)</f>
        <v>0.6111111111</v>
      </c>
      <c r="I169" s="42">
        <f>IFERROR(__xludf.DUMMYFUNCTION("""COMPUTED_VALUE"""),0.3148148148148148)</f>
        <v>0.3148148148</v>
      </c>
      <c r="J169" s="30">
        <f>IFERROR(__xludf.DUMMYFUNCTION("""COMPUTED_VALUE"""),357.55555555555554)</f>
        <v>357.5555556</v>
      </c>
      <c r="K169" s="30">
        <f>IFERROR(__xludf.DUMMYFUNCTION("""COMPUTED_VALUE"""),0.9444444444444444)</f>
        <v>0.9444444444</v>
      </c>
      <c r="L169" s="30">
        <f>IFERROR(__xludf.DUMMYFUNCTION("""COMPUTED_VALUE"""),0.2777777777777778)</f>
        <v>0.2777777778</v>
      </c>
      <c r="M169" s="30">
        <f>IFERROR(__xludf.DUMMYFUNCTION("""COMPUTED_VALUE"""),1.1111111111111112)</f>
        <v>1.111111111</v>
      </c>
      <c r="N169" s="30">
        <f>IFERROR(__xludf.DUMMYFUNCTION("""COMPUTED_VALUE"""),3.0)</f>
        <v>3</v>
      </c>
      <c r="O169" s="30">
        <f>IFERROR(__xludf.DUMMYFUNCTION("""COMPUTED_VALUE"""),356.2037037037037)</f>
        <v>356.2037037</v>
      </c>
      <c r="P169" s="30">
        <f>IFERROR(__xludf.DUMMYFUNCTION("""COMPUTED_VALUE"""),0.7037037037037037)</f>
        <v>0.7037037037</v>
      </c>
      <c r="Q169" s="30">
        <f>IFERROR(__xludf.DUMMYFUNCTION("""COMPUTED_VALUE"""),0.5925925925925926)</f>
        <v>0.5925925926</v>
      </c>
      <c r="R169" s="30">
        <f>IFERROR(__xludf.DUMMYFUNCTION("""COMPUTED_VALUE"""),1.611111111111111)</f>
        <v>1.611111111</v>
      </c>
      <c r="S169" s="30">
        <f>IFERROR(__xludf.DUMMYFUNCTION("""COMPUTED_VALUE"""),2.5185185185185177)</f>
        <v>2.518518519</v>
      </c>
      <c r="T169" s="30">
        <f>IFERROR(__xludf.DUMMYFUNCTION("""COMPUTED_VALUE"""),363.3683948097131)</f>
        <v>363.3683948</v>
      </c>
      <c r="U169" s="30">
        <f>IFERROR(__xludf.DUMMYFUNCTION("""COMPUTED_VALUE"""),0.8019248387825887)</f>
        <v>0.8019248388</v>
      </c>
      <c r="V169" s="30">
        <f>IFERROR(__xludf.DUMMYFUNCTION("""COMPUTED_VALUE"""),0.6293523140544076)</f>
        <v>0.6293523141</v>
      </c>
      <c r="W169" s="30">
        <f>IFERROR(__xludf.DUMMYFUNCTION("""COMPUTED_VALUE"""),1.4486126392903718)</f>
        <v>1.448612639</v>
      </c>
      <c r="X169" s="30">
        <f>IFERROR(__xludf.DUMMYFUNCTION("""COMPUTED_VALUE"""),2.5080581933618102)</f>
        <v>2.508058193</v>
      </c>
      <c r="Y169" s="30">
        <f>IFERROR(__xludf.DUMMYFUNCTION("""COMPUTED_VALUE"""),359.5885564555108)</f>
        <v>359.5885565</v>
      </c>
      <c r="Z169" s="30">
        <f>IFERROR(__xludf.DUMMYFUNCTION("""COMPUTED_VALUE"""),0.8098415105200234)</f>
        <v>0.8098415105</v>
      </c>
      <c r="AA169" s="30">
        <f>IFERROR(__xludf.DUMMYFUNCTION("""COMPUTED_VALUE"""),0.5969998988716922)</f>
        <v>0.5969998989</v>
      </c>
      <c r="AB169" s="30">
        <f>IFERROR(__xludf.DUMMYFUNCTION("""COMPUTED_VALUE"""),1.3096272906286135)</f>
        <v>1.309627291</v>
      </c>
      <c r="AC169" s="30">
        <f>IFERROR(__xludf.DUMMYFUNCTION("""COMPUTED_VALUE"""),2.7123298600751196)</f>
        <v>2.71232986</v>
      </c>
      <c r="AD169" s="30">
        <f>IFERROR(__xludf.DUMMYFUNCTION("""COMPUTED_VALUE"""),0.9943463136869686)</f>
        <v>0.9943463137</v>
      </c>
      <c r="AE169" s="30">
        <f>IFERROR(__xludf.DUMMYFUNCTION("""COMPUTED_VALUE"""),1.1662089830860713)</f>
        <v>1.166208983</v>
      </c>
      <c r="AF169" s="30">
        <f>IFERROR(__xludf.DUMMYFUNCTION("""COMPUTED_VALUE"""),0.46528948883034577)</f>
        <v>0.4652894888</v>
      </c>
      <c r="AG169" s="30">
        <f>IFERROR(__xludf.DUMMYFUNCTION("""COMPUTED_VALUE"""),0.8484178048685778)</f>
        <v>0.8484178049</v>
      </c>
      <c r="AH169" s="30">
        <f>IFERROR(__xludf.DUMMYFUNCTION("""COMPUTED_VALUE"""),1.1060601603659348)</f>
        <v>1.10606016</v>
      </c>
      <c r="AI169" s="30">
        <f>IFERROR(__xludf.DUMMYFUNCTION("""COMPUTED_VALUE"""),0.9802825694024342)</f>
        <v>0.9802825694</v>
      </c>
      <c r="AJ169" s="30">
        <f>IFERROR(__xludf.DUMMYFUNCTION("""COMPUTED_VALUE"""),0.8775182781119543)</f>
        <v>0.8775182781</v>
      </c>
      <c r="AK169" s="30">
        <f>IFERROR(__xludf.DUMMYFUNCTION("""COMPUTED_VALUE"""),0.9415911872556694)</f>
        <v>0.9415911873</v>
      </c>
      <c r="AL169" s="30">
        <f>IFERROR(__xludf.DUMMYFUNCTION("""COMPUTED_VALUE"""),1.1121752409259262)</f>
        <v>1.112175241</v>
      </c>
      <c r="AM169" s="30">
        <f>IFERROR(__xludf.DUMMYFUNCTION("""COMPUTED_VALUE"""),1.0041706867824651)</f>
        <v>1.004170687</v>
      </c>
      <c r="AN169" s="30">
        <f>IFERROR(__xludf.DUMMYFUNCTION("""COMPUTED_VALUE"""),1.0198679138931868)</f>
        <v>1.019867914</v>
      </c>
      <c r="AO169" s="30">
        <f>IFERROR(__xludf.DUMMYFUNCTION("""COMPUTED_VALUE"""),1.3322837407900365)</f>
        <v>1.332283741</v>
      </c>
      <c r="AP169" s="30">
        <f>IFERROR(__xludf.DUMMYFUNCTION("""COMPUTED_VALUE"""),0.4865795728784083)</f>
        <v>0.4865795729</v>
      </c>
      <c r="AQ169" s="30">
        <f>IFERROR(__xludf.DUMMYFUNCTION("""COMPUTED_VALUE"""),0.7794872074992557)</f>
        <v>0.7794872075</v>
      </c>
      <c r="AR169" s="30">
        <f>IFERROR(__xludf.DUMMYFUNCTION("""COMPUTED_VALUE"""),1.1967872017457497)</f>
        <v>1.196787202</v>
      </c>
      <c r="AS169" s="30">
        <f>IFERROR(__xludf.DUMMYFUNCTION("""COMPUTED_VALUE"""),46.0)</f>
        <v>46</v>
      </c>
      <c r="AT169" s="30">
        <f>IFERROR(__xludf.DUMMYFUNCTION("""COMPUTED_VALUE"""),0.5737771546066581)</f>
        <v>0.5737771546</v>
      </c>
      <c r="AU169" s="30">
        <f>IFERROR(__xludf.DUMMYFUNCTION("""COMPUTED_VALUE"""),2.672074557056042)</f>
        <v>2.672074557</v>
      </c>
      <c r="AV169" s="32">
        <f>IFERROR(__xludf.DUMMYFUNCTION("""COMPUTED_VALUE"""),58.00735187627598)</f>
        <v>58.00735188</v>
      </c>
      <c r="AW169" s="32">
        <f>IFERROR(__xludf.DUMMYFUNCTION("""COMPUTED_VALUE"""),2.6711348905282546)</f>
        <v>2.671134891</v>
      </c>
      <c r="AX169" s="32">
        <f>IFERROR(__xludf.DUMMYFUNCTION("""COMPUTED_VALUE"""),45.25216629064497)</f>
        <v>45.25216629</v>
      </c>
      <c r="AY169" s="32">
        <f>IFERROR(__xludf.DUMMYFUNCTION("""COMPUTED_VALUE"""),-2.354666919229719)</f>
        <v>-2.354666919</v>
      </c>
      <c r="AZ169" s="30">
        <f>IFERROR(__xludf.DUMMYFUNCTION("""COMPUTED_VALUE"""),5.025801809757974)</f>
        <v>5.02580181</v>
      </c>
      <c r="BA169" s="30">
        <f>IFERROR(__xludf.DUMMYFUNCTION("""COMPUTED_VALUE"""),800.0)</f>
        <v>800</v>
      </c>
    </row>
    <row r="170">
      <c r="A170" s="30" t="str">
        <f>IFERROR(__xludf.DUMMYFUNCTION("""COMPUTED_VALUE"""),"Elite")</f>
        <v>Elite</v>
      </c>
      <c r="B170" s="30" t="str">
        <f>IFERROR(__xludf.DUMMYFUNCTION("""COMPUTED_VALUE"""),"RSC000009")</f>
        <v>RSC000009</v>
      </c>
      <c r="C170" s="30" t="str">
        <f>IFERROR(__xludf.DUMMYFUNCTION("""COMPUTED_VALUE"""),"Timbo")</f>
        <v>Timbo</v>
      </c>
      <c r="D170" s="30" t="str">
        <f>IFERROR(__xludf.DUMMYFUNCTION("""COMPUTED_VALUE"""),"Menthol")</f>
        <v>Menthol</v>
      </c>
      <c r="E170" s="30">
        <f>IFERROR(__xludf.DUMMYFUNCTION("""COMPUTED_VALUE"""),48.0)</f>
        <v>48</v>
      </c>
      <c r="F170" s="30">
        <f>IFERROR(__xludf.DUMMYFUNCTION("""COMPUTED_VALUE"""),29.0)</f>
        <v>29</v>
      </c>
      <c r="G170" s="30">
        <f>IFERROR(__xludf.DUMMYFUNCTION("""COMPUTED_VALUE"""),19.0)</f>
        <v>19</v>
      </c>
      <c r="H170" s="42">
        <f>IFERROR(__xludf.DUMMYFUNCTION("""COMPUTED_VALUE"""),0.6041666666666666)</f>
        <v>0.6041666667</v>
      </c>
      <c r="I170" s="42">
        <f>IFERROR(__xludf.DUMMYFUNCTION("""COMPUTED_VALUE"""),0.33098591549295775)</f>
        <v>0.3309859155</v>
      </c>
      <c r="J170" s="30">
        <f>IFERROR(__xludf.DUMMYFUNCTION("""COMPUTED_VALUE"""),407.04545454545456)</f>
        <v>407.0454545</v>
      </c>
      <c r="K170" s="30">
        <f>IFERROR(__xludf.DUMMYFUNCTION("""COMPUTED_VALUE"""),1.0681818181818181)</f>
        <v>1.068181818</v>
      </c>
      <c r="L170" s="30">
        <f>IFERROR(__xludf.DUMMYFUNCTION("""COMPUTED_VALUE"""),0.7272727272727273)</f>
        <v>0.7272727273</v>
      </c>
      <c r="M170" s="30">
        <f>IFERROR(__xludf.DUMMYFUNCTION("""COMPUTED_VALUE"""),1.1590909090909092)</f>
        <v>1.159090909</v>
      </c>
      <c r="N170" s="30">
        <f>IFERROR(__xludf.DUMMYFUNCTION("""COMPUTED_VALUE"""),3.227272727272727)</f>
        <v>3.227272727</v>
      </c>
      <c r="O170" s="30">
        <f>IFERROR(__xludf.DUMMYFUNCTION("""COMPUTED_VALUE"""),369.63636363636374)</f>
        <v>369.6363636</v>
      </c>
      <c r="P170" s="30">
        <f>IFERROR(__xludf.DUMMYFUNCTION("""COMPUTED_VALUE"""),0.7424242424242425)</f>
        <v>0.7424242424</v>
      </c>
      <c r="Q170" s="30">
        <f>IFERROR(__xludf.DUMMYFUNCTION("""COMPUTED_VALUE"""),0.537878787878788)</f>
        <v>0.5378787879</v>
      </c>
      <c r="R170" s="30">
        <f>IFERROR(__xludf.DUMMYFUNCTION("""COMPUTED_VALUE"""),1.7045454545454546)</f>
        <v>1.704545455</v>
      </c>
      <c r="S170" s="30">
        <f>IFERROR(__xludf.DUMMYFUNCTION("""COMPUTED_VALUE"""),2.3409090909090913)</f>
        <v>2.340909091</v>
      </c>
      <c r="T170" s="30">
        <f>IFERROR(__xludf.DUMMYFUNCTION("""COMPUTED_VALUE"""),354.70716059130217)</f>
        <v>354.7071606</v>
      </c>
      <c r="U170" s="30">
        <f>IFERROR(__xludf.DUMMYFUNCTION("""COMPUTED_VALUE"""),0.7121770322687507)</f>
        <v>0.7121770323</v>
      </c>
      <c r="V170" s="30">
        <f>IFERROR(__xludf.DUMMYFUNCTION("""COMPUTED_VALUE"""),0.585342467931721)</f>
        <v>0.5853424679</v>
      </c>
      <c r="W170" s="30">
        <f>IFERROR(__xludf.DUMMYFUNCTION("""COMPUTED_VALUE"""),1.4981715286644006)</f>
        <v>1.498171529</v>
      </c>
      <c r="X170" s="30">
        <f>IFERROR(__xludf.DUMMYFUNCTION("""COMPUTED_VALUE"""),2.505670119860263)</f>
        <v>2.50567012</v>
      </c>
      <c r="Y170" s="30">
        <f>IFERROR(__xludf.DUMMYFUNCTION("""COMPUTED_VALUE"""),366.73375962509755)</f>
        <v>366.7337596</v>
      </c>
      <c r="Z170" s="30">
        <f>IFERROR(__xludf.DUMMYFUNCTION("""COMPUTED_VALUE"""),0.8225914887279102)</f>
        <v>0.8225914887</v>
      </c>
      <c r="AA170" s="30">
        <f>IFERROR(__xludf.DUMMYFUNCTION("""COMPUTED_VALUE"""),0.624477277504843)</f>
        <v>0.6244772775</v>
      </c>
      <c r="AB170" s="30">
        <f>IFERROR(__xludf.DUMMYFUNCTION("""COMPUTED_VALUE"""),1.3781213471316238)</f>
        <v>1.378121347</v>
      </c>
      <c r="AC170" s="30">
        <f>IFERROR(__xludf.DUMMYFUNCTION("""COMPUTED_VALUE"""),2.765592094841388)</f>
        <v>2.765592095</v>
      </c>
      <c r="AD170" s="30">
        <f>IFERROR(__xludf.DUMMYFUNCTION("""COMPUTED_VALUE"""),1.1099208727376684)</f>
        <v>1.109920873</v>
      </c>
      <c r="AE170" s="30">
        <f>IFERROR(__xludf.DUMMYFUNCTION("""COMPUTED_VALUE"""),1.2985568569809773)</f>
        <v>1.298556857</v>
      </c>
      <c r="AF170" s="30">
        <f>IFERROR(__xludf.DUMMYFUNCTION("""COMPUTED_VALUE"""),1.164610392516783)</f>
        <v>1.164610393</v>
      </c>
      <c r="AG170" s="30">
        <f>IFERROR(__xludf.DUMMYFUNCTION("""COMPUTED_VALUE"""),0.8410659275421593)</f>
        <v>0.8410659275</v>
      </c>
      <c r="AH170" s="30">
        <f>IFERROR(__xludf.DUMMYFUNCTION("""COMPUTED_VALUE"""),1.1669373561243916)</f>
        <v>1.166937356</v>
      </c>
      <c r="AI170" s="30">
        <f>IFERROR(__xludf.DUMMYFUNCTION("""COMPUTED_VALUE"""),1.0420888121349858)</f>
        <v>1.042088812</v>
      </c>
      <c r="AJ170" s="30">
        <f>IFERROR(__xludf.DUMMYFUNCTION("""COMPUTED_VALUE"""),1.0424714765921819)</f>
        <v>1.042471477</v>
      </c>
      <c r="AK170" s="30">
        <f>IFERROR(__xludf.DUMMYFUNCTION("""COMPUTED_VALUE"""),0.9189129737662063)</f>
        <v>0.9189129738</v>
      </c>
      <c r="AL170" s="30">
        <f>IFERROR(__xludf.DUMMYFUNCTION("""COMPUTED_VALUE"""),1.1377505325208213)</f>
        <v>1.137750533</v>
      </c>
      <c r="AM170" s="30">
        <f>IFERROR(__xludf.DUMMYFUNCTION("""COMPUTED_VALUE"""),0.9342447245368596)</f>
        <v>0.9342447245</v>
      </c>
      <c r="AN170" s="30">
        <f>IFERROR(__xludf.DUMMYFUNCTION("""COMPUTED_VALUE"""),1.161029641790799)</f>
        <v>1.161029642</v>
      </c>
      <c r="AO170" s="30">
        <f>IFERROR(__xludf.DUMMYFUNCTION("""COMPUTED_VALUE"""),1.5068342843694797)</f>
        <v>1.506834284</v>
      </c>
      <c r="AP170" s="30">
        <f>IFERROR(__xludf.DUMMYFUNCTION("""COMPUTED_VALUE"""),1.2739537908089236)</f>
        <v>1.273953791</v>
      </c>
      <c r="AQ170" s="30">
        <f>IFERROR(__xludf.DUMMYFUNCTION("""COMPUTED_VALUE"""),0.8131468823685417)</f>
        <v>0.8131468824</v>
      </c>
      <c r="AR170" s="30">
        <f>IFERROR(__xludf.DUMMYFUNCTION("""COMPUTED_VALUE"""),1.2874528988477005)</f>
        <v>1.287452899</v>
      </c>
      <c r="AS170" s="30">
        <f>IFERROR(__xludf.DUMMYFUNCTION("""COMPUTED_VALUE"""),120.0)</f>
        <v>120</v>
      </c>
      <c r="AT170" s="30">
        <f>IFERROR(__xludf.DUMMYFUNCTION("""COMPUTED_VALUE"""),0.5449788229394389)</f>
        <v>0.5449788229</v>
      </c>
      <c r="AU170" s="30">
        <f>IFERROR(__xludf.DUMMYFUNCTION("""COMPUTED_VALUE"""),3.5392447846871526)</f>
        <v>3.539244785</v>
      </c>
      <c r="AV170" s="32">
        <f>IFERROR(__xludf.DUMMYFUNCTION("""COMPUTED_VALUE"""),82.95082099452523)</f>
        <v>82.95082099</v>
      </c>
      <c r="AW170" s="32">
        <f>IFERROR(__xludf.DUMMYFUNCTION("""COMPUTED_VALUE"""),10.667084541278543)</f>
        <v>10.66708454</v>
      </c>
      <c r="AX170" s="32">
        <f>IFERROR(__xludf.DUMMYFUNCTION("""COMPUTED_VALUE"""),73.17249971939196)</f>
        <v>73.17249972</v>
      </c>
      <c r="AY170" s="32">
        <f>IFERROR(__xludf.DUMMYFUNCTION("""COMPUTED_VALUE"""),5.650061257301618)</f>
        <v>5.650061257</v>
      </c>
      <c r="AZ170" s="30">
        <f>IFERROR(__xludf.DUMMYFUNCTION("""COMPUTED_VALUE"""),5.017023283976925)</f>
        <v>5.017023284</v>
      </c>
      <c r="BA170" s="30">
        <f>IFERROR(__xludf.DUMMYFUNCTION("""COMPUTED_VALUE"""),800.0)</f>
        <v>800</v>
      </c>
    </row>
    <row r="171">
      <c r="A171" s="30" t="str">
        <f>IFERROR(__xludf.DUMMYFUNCTION("""COMPUTED_VALUE"""),"Elite")</f>
        <v>Elite</v>
      </c>
      <c r="B171" s="30" t="str">
        <f>IFERROR(__xludf.DUMMYFUNCTION("""COMPUTED_VALUE"""),"RSC005899")</f>
        <v>RSC005899</v>
      </c>
      <c r="C171" s="30" t="str">
        <f>IFERROR(__xludf.DUMMYFUNCTION("""COMPUTED_VALUE"""),"DJDancingDuckGif")</f>
        <v>DJDancingDuckGif</v>
      </c>
      <c r="D171" s="30" t="str">
        <f>IFERROR(__xludf.DUMMYFUNCTION("""COMPUTED_VALUE"""),"Black-Holes")</f>
        <v>Black-Holes</v>
      </c>
      <c r="E171" s="30">
        <f>IFERROR(__xludf.DUMMYFUNCTION("""COMPUTED_VALUE"""),32.0)</f>
        <v>32</v>
      </c>
      <c r="F171" s="30">
        <f>IFERROR(__xludf.DUMMYFUNCTION("""COMPUTED_VALUE"""),21.0)</f>
        <v>21</v>
      </c>
      <c r="G171" s="30">
        <f>IFERROR(__xludf.DUMMYFUNCTION("""COMPUTED_VALUE"""),11.0)</f>
        <v>11</v>
      </c>
      <c r="H171" s="42">
        <f>IFERROR(__xludf.DUMMYFUNCTION("""COMPUTED_VALUE"""),0.65625)</f>
        <v>0.65625</v>
      </c>
      <c r="I171" s="42">
        <f>IFERROR(__xludf.DUMMYFUNCTION("""COMPUTED_VALUE"""),0.27380952380952384)</f>
        <v>0.2738095238</v>
      </c>
      <c r="J171" s="30">
        <f>IFERROR(__xludf.DUMMYFUNCTION("""COMPUTED_VALUE"""),381.375)</f>
        <v>381.375</v>
      </c>
      <c r="K171" s="30">
        <f>IFERROR(__xludf.DUMMYFUNCTION("""COMPUTED_VALUE"""),0.71875)</f>
        <v>0.71875</v>
      </c>
      <c r="L171" s="30">
        <f>IFERROR(__xludf.DUMMYFUNCTION("""COMPUTED_VALUE"""),0.65625)</f>
        <v>0.65625</v>
      </c>
      <c r="M171" s="30">
        <f>IFERROR(__xludf.DUMMYFUNCTION("""COMPUTED_VALUE"""),1.8125)</f>
        <v>1.8125</v>
      </c>
      <c r="N171" s="30">
        <f>IFERROR(__xludf.DUMMYFUNCTION("""COMPUTED_VALUE"""),2.625)</f>
        <v>2.625</v>
      </c>
      <c r="O171" s="30">
        <f>IFERROR(__xludf.DUMMYFUNCTION("""COMPUTED_VALUE"""),365.7916666666667)</f>
        <v>365.7916667</v>
      </c>
      <c r="P171" s="30">
        <f>IFERROR(__xludf.DUMMYFUNCTION("""COMPUTED_VALUE"""),0.7291666666666667)</f>
        <v>0.7291666667</v>
      </c>
      <c r="Q171" s="30">
        <f>IFERROR(__xludf.DUMMYFUNCTION("""COMPUTED_VALUE"""),0.4895833333333334)</f>
        <v>0.4895833333</v>
      </c>
      <c r="R171" s="30">
        <f>IFERROR(__xludf.DUMMYFUNCTION("""COMPUTED_VALUE"""),1.6875000000000002)</f>
        <v>1.6875</v>
      </c>
      <c r="S171" s="30">
        <f>IFERROR(__xludf.DUMMYFUNCTION("""COMPUTED_VALUE"""),2.4479166666666665)</f>
        <v>2.447916667</v>
      </c>
      <c r="T171" s="30">
        <f>IFERROR(__xludf.DUMMYFUNCTION("""COMPUTED_VALUE"""),354.0870899326982)</f>
        <v>354.0870899</v>
      </c>
      <c r="U171" s="30">
        <f>IFERROR(__xludf.DUMMYFUNCTION("""COMPUTED_VALUE"""),0.732631311052228)</f>
        <v>0.7326313111</v>
      </c>
      <c r="V171" s="30">
        <f>IFERROR(__xludf.DUMMYFUNCTION("""COMPUTED_VALUE"""),0.5377045449850797)</f>
        <v>0.537704545</v>
      </c>
      <c r="W171" s="30">
        <f>IFERROR(__xludf.DUMMYFUNCTION("""COMPUTED_VALUE"""),1.4586147071989841)</f>
        <v>1.458614707</v>
      </c>
      <c r="X171" s="30">
        <f>IFERROR(__xludf.DUMMYFUNCTION("""COMPUTED_VALUE"""),2.5963503282389566)</f>
        <v>2.596350328</v>
      </c>
      <c r="Y171" s="30">
        <f>IFERROR(__xludf.DUMMYFUNCTION("""COMPUTED_VALUE"""),364.8430056219847)</f>
        <v>364.8430056</v>
      </c>
      <c r="Z171" s="30">
        <f>IFERROR(__xludf.DUMMYFUNCTION("""COMPUTED_VALUE"""),0.8091708066353376)</f>
        <v>0.8091708066</v>
      </c>
      <c r="AA171" s="30">
        <f>IFERROR(__xludf.DUMMYFUNCTION("""COMPUTED_VALUE"""),0.6177582993502359)</f>
        <v>0.6177582994</v>
      </c>
      <c r="AB171" s="30">
        <f>IFERROR(__xludf.DUMMYFUNCTION("""COMPUTED_VALUE"""),1.3726874057524336)</f>
        <v>1.372687406</v>
      </c>
      <c r="AC171" s="30">
        <f>IFERROR(__xludf.DUMMYFUNCTION("""COMPUTED_VALUE"""),2.764139561700788)</f>
        <v>2.764139562</v>
      </c>
      <c r="AD171" s="30">
        <f>IFERROR(__xludf.DUMMYFUNCTION("""COMPUTED_VALUE"""),1.0453126252203508)</f>
        <v>1.045312625</v>
      </c>
      <c r="AE171" s="30">
        <f>IFERROR(__xludf.DUMMYFUNCTION("""COMPUTED_VALUE"""),0.8882549816505098)</f>
        <v>0.8882549817</v>
      </c>
      <c r="AF171" s="30">
        <f>IFERROR(__xludf.DUMMYFUNCTION("""COMPUTED_VALUE"""),1.0623086742666996)</f>
        <v>1.062308674</v>
      </c>
      <c r="AG171" s="30">
        <f>IFERROR(__xludf.DUMMYFUNCTION("""COMPUTED_VALUE"""),1.3204025857631327)</f>
        <v>1.320402586</v>
      </c>
      <c r="AH171" s="30">
        <f>IFERROR(__xludf.DUMMYFUNCTION("""COMPUTED_VALUE"""),0.9496626134119022)</f>
        <v>0.9496626134</v>
      </c>
      <c r="AI171" s="30">
        <f>IFERROR(__xludf.DUMMYFUNCTION("""COMPUTED_VALUE"""),1.0330556438422909)</f>
        <v>1.033055644</v>
      </c>
      <c r="AJ171" s="30">
        <f>IFERROR(__xludf.DUMMYFUNCTION("""COMPUTED_VALUE"""),0.9952709578019737)</f>
        <v>0.9952709578</v>
      </c>
      <c r="AK171" s="30">
        <f>IFERROR(__xludf.DUMMYFUNCTION("""COMPUTED_VALUE"""),0.9105062211198502)</f>
        <v>0.9105062211</v>
      </c>
      <c r="AL171" s="30">
        <f>IFERROR(__xludf.DUMMYFUNCTION("""COMPUTED_VALUE"""),1.156919638662187)</f>
        <v>1.156919639</v>
      </c>
      <c r="AM171" s="30">
        <f>IFERROR(__xludf.DUMMYFUNCTION("""COMPUTED_VALUE"""),0.9428298793279684)</f>
        <v>0.9428298793</v>
      </c>
      <c r="AN171" s="30">
        <f>IFERROR(__xludf.DUMMYFUNCTION("""COMPUTED_VALUE"""),1.0878089282004746)</f>
        <v>1.087808928</v>
      </c>
      <c r="AO171" s="30">
        <f>IFERROR(__xludf.DUMMYFUNCTION("""COMPUTED_VALUE"""),1.0139071115571234)</f>
        <v>1.013907112</v>
      </c>
      <c r="AP171" s="30">
        <f>IFERROR(__xludf.DUMMYFUNCTION("""COMPUTED_VALUE"""),1.1495442409252397)</f>
        <v>1.149544241</v>
      </c>
      <c r="AQ171" s="30">
        <f>IFERROR(__xludf.DUMMYFUNCTION("""COMPUTED_VALUE"""),1.2715385072331609)</f>
        <v>1.271538507</v>
      </c>
      <c r="AR171" s="30">
        <f>IFERROR(__xludf.DUMMYFUNCTION("""COMPUTED_VALUE"""),1.047188801527531)</f>
        <v>1.047188802</v>
      </c>
      <c r="AS171" s="30">
        <f>IFERROR(__xludf.DUMMYFUNCTION("""COMPUTED_VALUE"""),107.0)</f>
        <v>107</v>
      </c>
      <c r="AT171" s="30">
        <f>IFERROR(__xludf.DUMMYFUNCTION("""COMPUTED_VALUE"""),0.6666922887484898)</f>
        <v>0.6666922887</v>
      </c>
      <c r="AU171" s="30">
        <f>IFERROR(__xludf.DUMMYFUNCTION("""COMPUTED_VALUE"""),2.6504588655560126)</f>
        <v>2.650458866</v>
      </c>
      <c r="AV171" s="32">
        <f>IFERROR(__xludf.DUMMYFUNCTION("""COMPUTED_VALUE"""),57.3855935222404)</f>
        <v>57.38559352</v>
      </c>
      <c r="AW171" s="32">
        <f>IFERROR(__xludf.DUMMYFUNCTION("""COMPUTED_VALUE"""),2.6052854482329693)</f>
        <v>2.605285448</v>
      </c>
      <c r="AX171" s="32">
        <f>IFERROR(__xludf.DUMMYFUNCTION("""COMPUTED_VALUE"""),44.72504538337208)</f>
        <v>44.72504538</v>
      </c>
      <c r="AY171" s="32">
        <f>IFERROR(__xludf.DUMMYFUNCTION("""COMPUTED_VALUE"""),-2.4012812625070037)</f>
        <v>-2.401281263</v>
      </c>
      <c r="AZ171" s="30">
        <f>IFERROR(__xludf.DUMMYFUNCTION("""COMPUTED_VALUE"""),5.006566710739973)</f>
        <v>5.006566711</v>
      </c>
      <c r="BA171" s="30">
        <f>IFERROR(__xludf.DUMMYFUNCTION("""COMPUTED_VALUE"""),800.0)</f>
        <v>800</v>
      </c>
    </row>
    <row r="172">
      <c r="A172" s="30" t="str">
        <f>IFERROR(__xludf.DUMMYFUNCTION("""COMPUTED_VALUE"""),"Elite")</f>
        <v>Elite</v>
      </c>
      <c r="B172" s="30" t="str">
        <f>IFERROR(__xludf.DUMMYFUNCTION("""COMPUTED_VALUE"""),"RSC000626")</f>
        <v>RSC000626</v>
      </c>
      <c r="C172" s="30" t="str">
        <f>IFERROR(__xludf.DUMMYFUNCTION("""COMPUTED_VALUE"""),"Canadian Things")</f>
        <v>Canadian Things</v>
      </c>
      <c r="D172" s="30" t="str">
        <f>IFERROR(__xludf.DUMMYFUNCTION("""COMPUTED_VALUE"""),"Menthol")</f>
        <v>Menthol</v>
      </c>
      <c r="E172" s="30">
        <f>IFERROR(__xludf.DUMMYFUNCTION("""COMPUTED_VALUE"""),27.0)</f>
        <v>27</v>
      </c>
      <c r="F172" s="30">
        <f>IFERROR(__xludf.DUMMYFUNCTION("""COMPUTED_VALUE"""),15.0)</f>
        <v>15</v>
      </c>
      <c r="G172" s="30">
        <f>IFERROR(__xludf.DUMMYFUNCTION("""COMPUTED_VALUE"""),12.0)</f>
        <v>12</v>
      </c>
      <c r="H172" s="42">
        <f>IFERROR(__xludf.DUMMYFUNCTION("""COMPUTED_VALUE"""),0.5555555555555556)</f>
        <v>0.5555555556</v>
      </c>
      <c r="I172" s="42">
        <f>IFERROR(__xludf.DUMMYFUNCTION("""COMPUTED_VALUE"""),0.3333333333333333)</f>
        <v>0.3333333333</v>
      </c>
      <c r="J172" s="30">
        <f>IFERROR(__xludf.DUMMYFUNCTION("""COMPUTED_VALUE"""),349.82608695652175)</f>
        <v>349.826087</v>
      </c>
      <c r="K172" s="30">
        <f>IFERROR(__xludf.DUMMYFUNCTION("""COMPUTED_VALUE"""),0.9130434782608695)</f>
        <v>0.9130434783</v>
      </c>
      <c r="L172" s="30">
        <f>IFERROR(__xludf.DUMMYFUNCTION("""COMPUTED_VALUE"""),0.4782608695652174)</f>
        <v>0.4782608696</v>
      </c>
      <c r="M172" s="30">
        <f>IFERROR(__xludf.DUMMYFUNCTION("""COMPUTED_VALUE"""),1.2173913043478262)</f>
        <v>1.217391304</v>
      </c>
      <c r="N172" s="30">
        <f>IFERROR(__xludf.DUMMYFUNCTION("""COMPUTED_VALUE"""),2.739130434782609)</f>
        <v>2.739130435</v>
      </c>
      <c r="O172" s="30">
        <f>IFERROR(__xludf.DUMMYFUNCTION("""COMPUTED_VALUE"""),366.07246376811594)</f>
        <v>366.0724638</v>
      </c>
      <c r="P172" s="30">
        <f>IFERROR(__xludf.DUMMYFUNCTION("""COMPUTED_VALUE"""),0.8260869565217391)</f>
        <v>0.8260869565</v>
      </c>
      <c r="Q172" s="30">
        <f>IFERROR(__xludf.DUMMYFUNCTION("""COMPUTED_VALUE"""),0.5797101449275361)</f>
        <v>0.5797101449</v>
      </c>
      <c r="R172" s="30">
        <f>IFERROR(__xludf.DUMMYFUNCTION("""COMPUTED_VALUE"""),1.434782608695652)</f>
        <v>1.434782609</v>
      </c>
      <c r="S172" s="30">
        <f>IFERROR(__xludf.DUMMYFUNCTION("""COMPUTED_VALUE"""),2.4782608695652173)</f>
        <v>2.47826087</v>
      </c>
      <c r="T172" s="30">
        <f>IFERROR(__xludf.DUMMYFUNCTION("""COMPUTED_VALUE"""),356.521956558853)</f>
        <v>356.5219566</v>
      </c>
      <c r="U172" s="30">
        <f>IFERROR(__xludf.DUMMYFUNCTION("""COMPUTED_VALUE"""),0.7564762797525432)</f>
        <v>0.7564762798</v>
      </c>
      <c r="V172" s="30">
        <f>IFERROR(__xludf.DUMMYFUNCTION("""COMPUTED_VALUE"""),0.6239527003842821)</f>
        <v>0.6239527004</v>
      </c>
      <c r="W172" s="30">
        <f>IFERROR(__xludf.DUMMYFUNCTION("""COMPUTED_VALUE"""),1.4025094710676158)</f>
        <v>1.402509471</v>
      </c>
      <c r="X172" s="30">
        <f>IFERROR(__xludf.DUMMYFUNCTION("""COMPUTED_VALUE"""),2.5922086213036035)</f>
        <v>2.592208621</v>
      </c>
      <c r="Y172" s="30">
        <f>IFERROR(__xludf.DUMMYFUNCTION("""COMPUTED_VALUE"""),359.1339092041419)</f>
        <v>359.1339092</v>
      </c>
      <c r="Z172" s="30">
        <f>IFERROR(__xludf.DUMMYFUNCTION("""COMPUTED_VALUE"""),0.7876143579219584)</f>
        <v>0.7876143579</v>
      </c>
      <c r="AA172" s="30">
        <f>IFERROR(__xludf.DUMMYFUNCTION("""COMPUTED_VALUE"""),0.5873407686376717)</f>
        <v>0.5873407686</v>
      </c>
      <c r="AB172" s="30">
        <f>IFERROR(__xludf.DUMMYFUNCTION("""COMPUTED_VALUE"""),1.385794649498059)</f>
        <v>1.385794649</v>
      </c>
      <c r="AC172" s="30">
        <f>IFERROR(__xludf.DUMMYFUNCTION("""COMPUTED_VALUE"""),2.612714206957393)</f>
        <v>2.612714207</v>
      </c>
      <c r="AD172" s="30">
        <f>IFERROR(__xludf.DUMMYFUNCTION("""COMPUTED_VALUE"""),0.9740825858848953)</f>
        <v>0.9740825859</v>
      </c>
      <c r="AE172" s="30">
        <f>IFERROR(__xludf.DUMMYFUNCTION("""COMPUTED_VALUE"""),1.1592519474503273)</f>
        <v>1.159251947</v>
      </c>
      <c r="AF172" s="30">
        <f>IFERROR(__xludf.DUMMYFUNCTION("""COMPUTED_VALUE"""),0.8142817510770392)</f>
        <v>0.8142817511</v>
      </c>
      <c r="AG172" s="30">
        <f>IFERROR(__xludf.DUMMYFUNCTION("""COMPUTED_VALUE"""),0.8784788603338674)</f>
        <v>0.8784788603</v>
      </c>
      <c r="AH172" s="30">
        <f>IFERROR(__xludf.DUMMYFUNCTION("""COMPUTED_VALUE"""),1.0483850194899167)</f>
        <v>1.048385019</v>
      </c>
      <c r="AI172" s="30">
        <f>IFERROR(__xludf.DUMMYFUNCTION("""COMPUTED_VALUE"""),1.0267879916890514)</f>
        <v>1.026787992</v>
      </c>
      <c r="AJ172" s="30">
        <f>IFERROR(__xludf.DUMMYFUNCTION("""COMPUTED_VALUE"""),1.0920196424294584)</f>
        <v>1.092019642</v>
      </c>
      <c r="AK172" s="30">
        <f>IFERROR(__xludf.DUMMYFUNCTION("""COMPUTED_VALUE"""),0.9290930940286055)</f>
        <v>0.929093094</v>
      </c>
      <c r="AL172" s="30">
        <f>IFERROR(__xludf.DUMMYFUNCTION("""COMPUTED_VALUE"""),1.0230109944309107)</f>
        <v>1.023010994</v>
      </c>
      <c r="AM172" s="30">
        <f>IFERROR(__xludf.DUMMYFUNCTION("""COMPUTED_VALUE"""),0.95604221404021)</f>
        <v>0.956042214</v>
      </c>
      <c r="AN172" s="30">
        <f>IFERROR(__xludf.DUMMYFUNCTION("""COMPUTED_VALUE"""),0.997820886814133)</f>
        <v>0.9978208868</v>
      </c>
      <c r="AO172" s="30">
        <f>IFERROR(__xludf.DUMMYFUNCTION("""COMPUTED_VALUE"""),1.2879878619402398)</f>
        <v>1.287987862</v>
      </c>
      <c r="AP172" s="30">
        <f>IFERROR(__xludf.DUMMYFUNCTION("""COMPUTED_VALUE"""),0.8377630906949987)</f>
        <v>0.8377630907</v>
      </c>
      <c r="AQ172" s="30">
        <f>IFERROR(__xludf.DUMMYFUNCTION("""COMPUTED_VALUE"""),0.8540468534339671)</f>
        <v>0.8540468534</v>
      </c>
      <c r="AR172" s="30">
        <f>IFERROR(__xludf.DUMMYFUNCTION("""COMPUTED_VALUE"""),1.0927187494200326)</f>
        <v>1.092718749</v>
      </c>
      <c r="AS172" s="30">
        <f>IFERROR(__xludf.DUMMYFUNCTION("""COMPUTED_VALUE"""),64.0)</f>
        <v>64</v>
      </c>
      <c r="AT172" s="30">
        <f>IFERROR(__xludf.DUMMYFUNCTION("""COMPUTED_VALUE"""),0.48250149110997625)</f>
        <v>0.4825014911</v>
      </c>
      <c r="AU172" s="30">
        <f>IFERROR(__xludf.DUMMYFUNCTION("""COMPUTED_VALUE"""),2.72080166391713)</f>
        <v>2.720801664</v>
      </c>
      <c r="AV172" s="32">
        <f>IFERROR(__xludf.DUMMYFUNCTION("""COMPUTED_VALUE"""),59.408948755969845)</f>
        <v>59.40894876</v>
      </c>
      <c r="AW172" s="32">
        <f>IFERROR(__xludf.DUMMYFUNCTION("""COMPUTED_VALUE"""),2.8302522158604435)</f>
        <v>2.830252216</v>
      </c>
      <c r="AX172" s="32">
        <f>IFERROR(__xludf.DUMMYFUNCTION("""COMPUTED_VALUE"""),48.70590487873608)</f>
        <v>48.70590488</v>
      </c>
      <c r="AY172" s="32">
        <f>IFERROR(__xludf.DUMMYFUNCTION("""COMPUTED_VALUE"""),-2.086121572996082)</f>
        <v>-2.086121573</v>
      </c>
      <c r="AZ172" s="30">
        <f>IFERROR(__xludf.DUMMYFUNCTION("""COMPUTED_VALUE"""),4.916373788856525)</f>
        <v>4.916373789</v>
      </c>
      <c r="BA172" s="30">
        <f>IFERROR(__xludf.DUMMYFUNCTION("""COMPUTED_VALUE"""),800.0)</f>
        <v>800</v>
      </c>
    </row>
    <row r="173">
      <c r="A173" s="30" t="str">
        <f>IFERROR(__xludf.DUMMYFUNCTION("""COMPUTED_VALUE"""),"Elite")</f>
        <v>Elite</v>
      </c>
      <c r="B173" s="30" t="str">
        <f>IFERROR(__xludf.DUMMYFUNCTION("""COMPUTED_VALUE"""),"RSC005464")</f>
        <v>RSC005464</v>
      </c>
      <c r="C173" s="30" t="str">
        <f>IFERROR(__xludf.DUMMYFUNCTION("""COMPUTED_VALUE"""),"taz.rm")</f>
        <v>taz.rm</v>
      </c>
      <c r="D173" s="30" t="str">
        <f>IFERROR(__xludf.DUMMYFUNCTION("""COMPUTED_VALUE"""),"Sloths")</f>
        <v>Sloths</v>
      </c>
      <c r="E173" s="30">
        <f>IFERROR(__xludf.DUMMYFUNCTION("""COMPUTED_VALUE"""),48.0)</f>
        <v>48</v>
      </c>
      <c r="F173" s="30">
        <f>IFERROR(__xludf.DUMMYFUNCTION("""COMPUTED_VALUE"""),23.0)</f>
        <v>23</v>
      </c>
      <c r="G173" s="30">
        <f>IFERROR(__xludf.DUMMYFUNCTION("""COMPUTED_VALUE"""),25.0)</f>
        <v>25</v>
      </c>
      <c r="H173" s="42">
        <f>IFERROR(__xludf.DUMMYFUNCTION("""COMPUTED_VALUE"""),0.4791666666666667)</f>
        <v>0.4791666667</v>
      </c>
      <c r="I173" s="42">
        <f>IFERROR(__xludf.DUMMYFUNCTION("""COMPUTED_VALUE"""),0.2519083969465649)</f>
        <v>0.2519083969</v>
      </c>
      <c r="J173" s="30">
        <f>IFERROR(__xludf.DUMMYFUNCTION("""COMPUTED_VALUE"""),336.5416666666667)</f>
        <v>336.5416667</v>
      </c>
      <c r="K173" s="30">
        <f>IFERROR(__xludf.DUMMYFUNCTION("""COMPUTED_VALUE"""),0.6875)</f>
        <v>0.6875</v>
      </c>
      <c r="L173" s="30">
        <f>IFERROR(__xludf.DUMMYFUNCTION("""COMPUTED_VALUE"""),0.5)</f>
        <v>0.5</v>
      </c>
      <c r="M173" s="30">
        <f>IFERROR(__xludf.DUMMYFUNCTION("""COMPUTED_VALUE"""),1.375)</f>
        <v>1.375</v>
      </c>
      <c r="N173" s="30">
        <f>IFERROR(__xludf.DUMMYFUNCTION("""COMPUTED_VALUE"""),2.7291666666666665)</f>
        <v>2.729166667</v>
      </c>
      <c r="O173" s="30">
        <f>IFERROR(__xludf.DUMMYFUNCTION("""COMPUTED_VALUE"""),354.3194444444445)</f>
        <v>354.3194444</v>
      </c>
      <c r="P173" s="30">
        <f>IFERROR(__xludf.DUMMYFUNCTION("""COMPUTED_VALUE"""),0.7083333333333331)</f>
        <v>0.7083333333</v>
      </c>
      <c r="Q173" s="30">
        <f>IFERROR(__xludf.DUMMYFUNCTION("""COMPUTED_VALUE"""),0.5347222222222222)</f>
        <v>0.5347222222</v>
      </c>
      <c r="R173" s="30">
        <f>IFERROR(__xludf.DUMMYFUNCTION("""COMPUTED_VALUE"""),1.4652777777777777)</f>
        <v>1.465277778</v>
      </c>
      <c r="S173" s="30">
        <f>IFERROR(__xludf.DUMMYFUNCTION("""COMPUTED_VALUE"""),2.673611111111111)</f>
        <v>2.673611111</v>
      </c>
      <c r="T173" s="30">
        <f>IFERROR(__xludf.DUMMYFUNCTION("""COMPUTED_VALUE"""),363.23077200391594)</f>
        <v>363.230772</v>
      </c>
      <c r="U173" s="30">
        <f>IFERROR(__xludf.DUMMYFUNCTION("""COMPUTED_VALUE"""),0.7746166878774022)</f>
        <v>0.7746166879</v>
      </c>
      <c r="V173" s="30">
        <f>IFERROR(__xludf.DUMMYFUNCTION("""COMPUTED_VALUE"""),0.601334526419628)</f>
        <v>0.6013345264</v>
      </c>
      <c r="W173" s="30">
        <f>IFERROR(__xludf.DUMMYFUNCTION("""COMPUTED_VALUE"""),1.43489538020329)</f>
        <v>1.43489538</v>
      </c>
      <c r="X173" s="30">
        <f>IFERROR(__xludf.DUMMYFUNCTION("""COMPUTED_VALUE"""),2.6422969932430953)</f>
        <v>2.642296993</v>
      </c>
      <c r="Y173" s="30">
        <f>IFERROR(__xludf.DUMMYFUNCTION("""COMPUTED_VALUE"""),365.20386466708527)</f>
        <v>365.2038647</v>
      </c>
      <c r="Z173" s="30">
        <f>IFERROR(__xludf.DUMMYFUNCTION("""COMPUTED_VALUE"""),0.7816582281951159)</f>
        <v>0.7816582282</v>
      </c>
      <c r="AA173" s="30">
        <f>IFERROR(__xludf.DUMMYFUNCTION("""COMPUTED_VALUE"""),0.5855246266475067)</f>
        <v>0.5855246266</v>
      </c>
      <c r="AB173" s="30">
        <f>IFERROR(__xludf.DUMMYFUNCTION("""COMPUTED_VALUE"""),1.4746636218705822)</f>
        <v>1.474663622</v>
      </c>
      <c r="AC173" s="30">
        <f>IFERROR(__xludf.DUMMYFUNCTION("""COMPUTED_VALUE"""),2.6653824508141066)</f>
        <v>2.665382451</v>
      </c>
      <c r="AD173" s="30">
        <f>IFERROR(__xludf.DUMMYFUNCTION("""COMPUTED_VALUE"""),0.9215172653593174)</f>
        <v>0.9215172654</v>
      </c>
      <c r="AE173" s="30">
        <f>IFERROR(__xludf.DUMMYFUNCTION("""COMPUTED_VALUE"""),0.8795404119105463)</f>
        <v>0.8795404119</v>
      </c>
      <c r="AF173" s="30">
        <f>IFERROR(__xludf.DUMMYFUNCTION("""COMPUTED_VALUE"""),0.8539350477243144)</f>
        <v>0.8539350477</v>
      </c>
      <c r="AG173" s="30">
        <f>IFERROR(__xludf.DUMMYFUNCTION("""COMPUTED_VALUE"""),0.9324160300746005)</f>
        <v>0.9324160301</v>
      </c>
      <c r="AH173" s="30">
        <f>IFERROR(__xludf.DUMMYFUNCTION("""COMPUTED_VALUE"""),1.0239306054682988)</f>
        <v>1.023930605</v>
      </c>
      <c r="AI173" s="30">
        <f>IFERROR(__xludf.DUMMYFUNCTION("""COMPUTED_VALUE"""),0.9754664850934619)</f>
        <v>0.9754664851</v>
      </c>
      <c r="AJ173" s="30">
        <f>IFERROR(__xludf.DUMMYFUNCTION("""COMPUTED_VALUE"""),0.9144307686867705)</f>
        <v>0.9144307687</v>
      </c>
      <c r="AK173" s="30">
        <f>IFERROR(__xludf.DUMMYFUNCTION("""COMPUTED_VALUE"""),0.8892258779917089)</f>
        <v>0.889225878</v>
      </c>
      <c r="AL173" s="30">
        <f>IFERROR(__xludf.DUMMYFUNCTION("""COMPUTED_VALUE"""),1.0211739461940308)</f>
        <v>1.021173946</v>
      </c>
      <c r="AM173" s="30">
        <f>IFERROR(__xludf.DUMMYFUNCTION("""COMPUTED_VALUE"""),1.0118510969615047)</f>
        <v>1.011851097</v>
      </c>
      <c r="AN173" s="30">
        <f>IFERROR(__xludf.DUMMYFUNCTION("""COMPUTED_VALUE"""),0.9599292814459995)</f>
        <v>0.9599292814</v>
      </c>
      <c r="AO173" s="30">
        <f>IFERROR(__xludf.DUMMYFUNCTION("""COMPUTED_VALUE"""),0.9698241936633355)</f>
        <v>0.9698241937</v>
      </c>
      <c r="AP173" s="30">
        <f>IFERROR(__xludf.DUMMYFUNCTION("""COMPUTED_VALUE"""),0.8758432311811349)</f>
        <v>0.8758432312</v>
      </c>
      <c r="AQ173" s="30">
        <f>IFERROR(__xludf.DUMMYFUNCTION("""COMPUTED_VALUE"""),0.9646154192803289)</f>
        <v>0.9646154193</v>
      </c>
      <c r="AR173" s="30">
        <f>IFERROR(__xludf.DUMMYFUNCTION("""COMPUTED_VALUE"""),1.0887439126992584)</f>
        <v>1.088743913</v>
      </c>
      <c r="AS173" s="30">
        <f>IFERROR(__xludf.DUMMYFUNCTION("""COMPUTED_VALUE"""),106.0)</f>
        <v>106</v>
      </c>
      <c r="AT173" s="30">
        <f>IFERROR(__xludf.DUMMYFUNCTION("""COMPUTED_VALUE"""),0.514644141701759)</f>
        <v>0.5146441417</v>
      </c>
      <c r="AU173" s="30">
        <f>IFERROR(__xludf.DUMMYFUNCTION("""COMPUTED_VALUE"""),2.4280085841294987)</f>
        <v>2.428008584</v>
      </c>
      <c r="AV173" s="32">
        <f>IFERROR(__xludf.DUMMYFUNCTION("""COMPUTED_VALUE"""),50.98698624963407)</f>
        <v>50.98698625</v>
      </c>
      <c r="AW173" s="32">
        <f>IFERROR(__xludf.DUMMYFUNCTION("""COMPUTED_VALUE"""),2.0650316946445693)</f>
        <v>2.065031695</v>
      </c>
      <c r="AX173" s="32">
        <f>IFERROR(__xludf.DUMMYFUNCTION("""COMPUTED_VALUE"""),40.54791503563404)</f>
        <v>40.54791504</v>
      </c>
      <c r="AY173" s="32">
        <f>IFERROR(__xludf.DUMMYFUNCTION("""COMPUTED_VALUE"""),-2.8353968193139614)</f>
        <v>-2.835396819</v>
      </c>
      <c r="AZ173" s="30">
        <f>IFERROR(__xludf.DUMMYFUNCTION("""COMPUTED_VALUE"""),4.900428513958531)</f>
        <v>4.900428514</v>
      </c>
      <c r="BA173" s="30">
        <f>IFERROR(__xludf.DUMMYFUNCTION("""COMPUTED_VALUE"""),800.0)</f>
        <v>800</v>
      </c>
    </row>
    <row r="174">
      <c r="A174" s="30" t="str">
        <f>IFERROR(__xludf.DUMMYFUNCTION("""COMPUTED_VALUE"""),"Elite")</f>
        <v>Elite</v>
      </c>
      <c r="B174" s="30" t="str">
        <f>IFERROR(__xludf.DUMMYFUNCTION("""COMPUTED_VALUE"""),"RSC002164")</f>
        <v>RSC002164</v>
      </c>
      <c r="C174" s="30" t="str">
        <f>IFERROR(__xludf.DUMMYFUNCTION("""COMPUTED_VALUE"""),"Dosia")</f>
        <v>Dosia</v>
      </c>
      <c r="D174" s="30" t="str">
        <f>IFERROR(__xludf.DUMMYFUNCTION("""COMPUTED_VALUE"""),"Wyverns")</f>
        <v>Wyverns</v>
      </c>
      <c r="E174" s="30">
        <f>IFERROR(__xludf.DUMMYFUNCTION("""COMPUTED_VALUE"""),42.0)</f>
        <v>42</v>
      </c>
      <c r="F174" s="30">
        <f>IFERROR(__xludf.DUMMYFUNCTION("""COMPUTED_VALUE"""),21.0)</f>
        <v>21</v>
      </c>
      <c r="G174" s="30">
        <f>IFERROR(__xludf.DUMMYFUNCTION("""COMPUTED_VALUE"""),21.0)</f>
        <v>21</v>
      </c>
      <c r="H174" s="42">
        <f>IFERROR(__xludf.DUMMYFUNCTION("""COMPUTED_VALUE"""),0.5)</f>
        <v>0.5</v>
      </c>
      <c r="I174" s="42">
        <f>IFERROR(__xludf.DUMMYFUNCTION("""COMPUTED_VALUE"""),0.2755102040816327)</f>
        <v>0.2755102041</v>
      </c>
      <c r="J174" s="30">
        <f>IFERROR(__xludf.DUMMYFUNCTION("""COMPUTED_VALUE"""),333.8809523809524)</f>
        <v>333.8809524</v>
      </c>
      <c r="K174" s="30">
        <f>IFERROR(__xludf.DUMMYFUNCTION("""COMPUTED_VALUE"""),0.6428571428571429)</f>
        <v>0.6428571429</v>
      </c>
      <c r="L174" s="30">
        <f>IFERROR(__xludf.DUMMYFUNCTION("""COMPUTED_VALUE"""),0.6190476190476191)</f>
        <v>0.619047619</v>
      </c>
      <c r="M174" s="30">
        <f>IFERROR(__xludf.DUMMYFUNCTION("""COMPUTED_VALUE"""),1.3333333333333333)</f>
        <v>1.333333333</v>
      </c>
      <c r="N174" s="30">
        <f>IFERROR(__xludf.DUMMYFUNCTION("""COMPUTED_VALUE"""),2.3333333333333335)</f>
        <v>2.333333333</v>
      </c>
      <c r="O174" s="30">
        <f>IFERROR(__xludf.DUMMYFUNCTION("""COMPUTED_VALUE"""),344.5476190476191)</f>
        <v>344.547619</v>
      </c>
      <c r="P174" s="30">
        <f>IFERROR(__xludf.DUMMYFUNCTION("""COMPUTED_VALUE"""),0.6190476190476191)</f>
        <v>0.619047619</v>
      </c>
      <c r="Q174" s="30">
        <f>IFERROR(__xludf.DUMMYFUNCTION("""COMPUTED_VALUE"""),0.4920634920634922)</f>
        <v>0.4920634921</v>
      </c>
      <c r="R174" s="30">
        <f>IFERROR(__xludf.DUMMYFUNCTION("""COMPUTED_VALUE"""),1.5079365079365081)</f>
        <v>1.507936508</v>
      </c>
      <c r="S174" s="30">
        <f>IFERROR(__xludf.DUMMYFUNCTION("""COMPUTED_VALUE"""),2.5)</f>
        <v>2.5</v>
      </c>
      <c r="T174" s="30">
        <f>IFERROR(__xludf.DUMMYFUNCTION("""COMPUTED_VALUE"""),359.21511054444954)</f>
        <v>359.2151105</v>
      </c>
      <c r="U174" s="30">
        <f>IFERROR(__xludf.DUMMYFUNCTION("""COMPUTED_VALUE"""),0.7929013948522529)</f>
        <v>0.7929013949</v>
      </c>
      <c r="V174" s="30">
        <f>IFERROR(__xludf.DUMMYFUNCTION("""COMPUTED_VALUE"""),0.5949468119538222)</f>
        <v>0.594946812</v>
      </c>
      <c r="W174" s="30">
        <f>IFERROR(__xludf.DUMMYFUNCTION("""COMPUTED_VALUE"""),1.3927334381894232)</f>
        <v>1.392733438</v>
      </c>
      <c r="X174" s="30">
        <f>IFERROR(__xludf.DUMMYFUNCTION("""COMPUTED_VALUE"""),2.662558014666433)</f>
        <v>2.662558015</v>
      </c>
      <c r="Y174" s="30">
        <f>IFERROR(__xludf.DUMMYFUNCTION("""COMPUTED_VALUE"""),350.5024683916762)</f>
        <v>350.5024684</v>
      </c>
      <c r="Z174" s="30">
        <f>IFERROR(__xludf.DUMMYFUNCTION("""COMPUTED_VALUE"""),0.7093252086939641)</f>
        <v>0.7093252087</v>
      </c>
      <c r="AA174" s="30">
        <f>IFERROR(__xludf.DUMMYFUNCTION("""COMPUTED_VALUE"""),0.526386370755231)</f>
        <v>0.5263863708</v>
      </c>
      <c r="AB174" s="30">
        <f>IFERROR(__xludf.DUMMYFUNCTION("""COMPUTED_VALUE"""),1.4502592328986192)</f>
        <v>1.450259233</v>
      </c>
      <c r="AC174" s="30">
        <f>IFERROR(__xludf.DUMMYFUNCTION("""COMPUTED_VALUE"""),2.5420706381004483)</f>
        <v>2.542070638</v>
      </c>
      <c r="AD174" s="30">
        <f>IFERROR(__xludf.DUMMYFUNCTION("""COMPUTED_VALUE"""),0.9525780343659386)</f>
        <v>0.9525780344</v>
      </c>
      <c r="AE174" s="30">
        <f>IFERROR(__xludf.DUMMYFUNCTION("""COMPUTED_VALUE"""),0.9062939466662906)</f>
        <v>0.9062939467</v>
      </c>
      <c r="AF174" s="30">
        <f>IFERROR(__xludf.DUMMYFUNCTION("""COMPUTED_VALUE"""),1.176032764981059)</f>
        <v>1.176032765</v>
      </c>
      <c r="AG174" s="30">
        <f>IFERROR(__xludf.DUMMYFUNCTION("""COMPUTED_VALUE"""),0.9193758626645063)</f>
        <v>0.9193758627</v>
      </c>
      <c r="AH174" s="30">
        <f>IFERROR(__xludf.DUMMYFUNCTION("""COMPUTED_VALUE"""),0.9178868983266756)</f>
        <v>0.9178868983</v>
      </c>
      <c r="AI174" s="30">
        <f>IFERROR(__xludf.DUMMYFUNCTION("""COMPUTED_VALUE"""),0.9591679440360973)</f>
        <v>0.959167944</v>
      </c>
      <c r="AJ174" s="30">
        <f>IFERROR(__xludf.DUMMYFUNCTION("""COMPUTED_VALUE"""),0.7807372052397142)</f>
        <v>0.7807372052</v>
      </c>
      <c r="AK174" s="30">
        <f>IFERROR(__xludf.DUMMYFUNCTION("""COMPUTED_VALUE"""),0.8270713989500033)</f>
        <v>0.827071399</v>
      </c>
      <c r="AL174" s="30">
        <f>IFERROR(__xludf.DUMMYFUNCTION("""COMPUTED_VALUE"""),1.082717242645406)</f>
        <v>1.082717243</v>
      </c>
      <c r="AM174" s="30">
        <f>IFERROR(__xludf.DUMMYFUNCTION("""COMPUTED_VALUE"""),0.9389466769283529)</f>
        <v>0.9389466769</v>
      </c>
      <c r="AN174" s="30">
        <f>IFERROR(__xludf.DUMMYFUNCTION("""COMPUTED_VALUE"""),0.9523400352830614)</f>
        <v>0.9523400353</v>
      </c>
      <c r="AO174" s="30">
        <f>IFERROR(__xludf.DUMMYFUNCTION("""COMPUTED_VALUE"""),0.9068485966722099)</f>
        <v>0.9068485967</v>
      </c>
      <c r="AP174" s="30">
        <f>IFERROR(__xludf.DUMMYFUNCTION("""COMPUTED_VALUE"""),1.08437733384331)</f>
        <v>1.084377334</v>
      </c>
      <c r="AQ174" s="30">
        <f>IFERROR(__xludf.DUMMYFUNCTION("""COMPUTED_VALUE"""),0.9353846489991068)</f>
        <v>0.935384649</v>
      </c>
      <c r="AR174" s="30">
        <f>IFERROR(__xludf.DUMMYFUNCTION("""COMPUTED_VALUE"""),0.9308344902466943)</f>
        <v>0.9308344902</v>
      </c>
      <c r="AS174" s="30">
        <f>IFERROR(__xludf.DUMMYFUNCTION("""COMPUTED_VALUE"""),92.0)</f>
        <v>92</v>
      </c>
      <c r="AT174" s="30">
        <f>IFERROR(__xludf.DUMMYFUNCTION("""COMPUTED_VALUE"""),0.5613348585743463)</f>
        <v>0.5613348586</v>
      </c>
      <c r="AU174" s="30">
        <f>IFERROR(__xludf.DUMMYFUNCTION("""COMPUTED_VALUE"""),2.5375466105511157)</f>
        <v>2.537546611</v>
      </c>
      <c r="AV174" s="32">
        <f>IFERROR(__xludf.DUMMYFUNCTION("""COMPUTED_VALUE"""),54.137761371129436)</f>
        <v>54.13776137</v>
      </c>
      <c r="AW174" s="32">
        <f>IFERROR(__xludf.DUMMYFUNCTION("""COMPUTED_VALUE"""),2.302709011022518)</f>
        <v>2.302709011</v>
      </c>
      <c r="AX174" s="32">
        <f>IFERROR(__xludf.DUMMYFUNCTION("""COMPUTED_VALUE"""),44.13899195136834)</f>
        <v>44.13899195</v>
      </c>
      <c r="AY174" s="32">
        <f>IFERROR(__xludf.DUMMYFUNCTION("""COMPUTED_VALUE"""),-2.4550626609257455)</f>
        <v>-2.455062661</v>
      </c>
      <c r="AZ174" s="30">
        <f>IFERROR(__xludf.DUMMYFUNCTION("""COMPUTED_VALUE"""),4.757771671948264)</f>
        <v>4.757771672</v>
      </c>
      <c r="BA174" s="30">
        <f>IFERROR(__xludf.DUMMYFUNCTION("""COMPUTED_VALUE"""),800.0)</f>
        <v>800</v>
      </c>
    </row>
    <row r="175">
      <c r="A175" s="30" t="str">
        <f>IFERROR(__xludf.DUMMYFUNCTION("""COMPUTED_VALUE"""),"Elite")</f>
        <v>Elite</v>
      </c>
      <c r="B175" s="30" t="str">
        <f>IFERROR(__xludf.DUMMYFUNCTION("""COMPUTED_VALUE"""),"RSC003399")</f>
        <v>RSC003399</v>
      </c>
      <c r="C175" s="30" t="str">
        <f>IFERROR(__xludf.DUMMYFUNCTION("""COMPUTED_VALUE"""),"josan")</f>
        <v>josan</v>
      </c>
      <c r="D175" s="30"/>
      <c r="E175" s="30">
        <f>IFERROR(__xludf.DUMMYFUNCTION("""COMPUTED_VALUE"""),3.0)</f>
        <v>3</v>
      </c>
      <c r="F175" s="30">
        <f>IFERROR(__xludf.DUMMYFUNCTION("""COMPUTED_VALUE"""),2.0)</f>
        <v>2</v>
      </c>
      <c r="G175" s="30">
        <f>IFERROR(__xludf.DUMMYFUNCTION("""COMPUTED_VALUE"""),1.0)</f>
        <v>1</v>
      </c>
      <c r="H175" s="42">
        <f>IFERROR(__xludf.DUMMYFUNCTION("""COMPUTED_VALUE"""),0.6666666666666666)</f>
        <v>0.6666666667</v>
      </c>
      <c r="I175" s="42">
        <f>IFERROR(__xludf.DUMMYFUNCTION("""COMPUTED_VALUE"""),0.125)</f>
        <v>0.125</v>
      </c>
      <c r="J175" s="30">
        <f>IFERROR(__xludf.DUMMYFUNCTION("""COMPUTED_VALUE"""),273.6666666666667)</f>
        <v>273.6666667</v>
      </c>
      <c r="K175" s="30">
        <f>IFERROR(__xludf.DUMMYFUNCTION("""COMPUTED_VALUE"""),0.3333333333333333)</f>
        <v>0.3333333333</v>
      </c>
      <c r="L175" s="30">
        <f>IFERROR(__xludf.DUMMYFUNCTION("""COMPUTED_VALUE"""),1.3333333333333333)</f>
        <v>1.333333333</v>
      </c>
      <c r="M175" s="30">
        <f>IFERROR(__xludf.DUMMYFUNCTION("""COMPUTED_VALUE"""),0.0)</f>
        <v>0</v>
      </c>
      <c r="N175" s="30">
        <f>IFERROR(__xludf.DUMMYFUNCTION("""COMPUTED_VALUE"""),2.6666666666666665)</f>
        <v>2.666666667</v>
      </c>
      <c r="O175" s="30">
        <f>IFERROR(__xludf.DUMMYFUNCTION("""COMPUTED_VALUE"""),422.3333333333333)</f>
        <v>422.3333333</v>
      </c>
      <c r="P175" s="30">
        <f>IFERROR(__xludf.DUMMYFUNCTION("""COMPUTED_VALUE"""),1.111111111111111)</f>
        <v>1.111111111</v>
      </c>
      <c r="Q175" s="30">
        <f>IFERROR(__xludf.DUMMYFUNCTION("""COMPUTED_VALUE"""),1.0)</f>
        <v>1</v>
      </c>
      <c r="R175" s="30">
        <f>IFERROR(__xludf.DUMMYFUNCTION("""COMPUTED_VALUE"""),1.6666666666666667)</f>
        <v>1.666666667</v>
      </c>
      <c r="S175" s="30">
        <f>IFERROR(__xludf.DUMMYFUNCTION("""COMPUTED_VALUE"""),2.111111111111111)</f>
        <v>2.111111111</v>
      </c>
      <c r="T175" s="30">
        <f>IFERROR(__xludf.DUMMYFUNCTION("""COMPUTED_VALUE"""),355.87222222222226)</f>
        <v>355.8722222</v>
      </c>
      <c r="U175" s="30">
        <f>IFERROR(__xludf.DUMMYFUNCTION("""COMPUTED_VALUE"""),0.8513888888888889)</f>
        <v>0.8513888889</v>
      </c>
      <c r="V175" s="30">
        <f>IFERROR(__xludf.DUMMYFUNCTION("""COMPUTED_VALUE"""),0.6069444444444444)</f>
        <v>0.6069444444</v>
      </c>
      <c r="W175" s="30">
        <f>IFERROR(__xludf.DUMMYFUNCTION("""COMPUTED_VALUE"""),1.2666666666666666)</f>
        <v>1.266666667</v>
      </c>
      <c r="X175" s="30">
        <f>IFERROR(__xludf.DUMMYFUNCTION("""COMPUTED_VALUE"""),2.806944444444445)</f>
        <v>2.806944444</v>
      </c>
      <c r="Y175" s="30">
        <f>IFERROR(__xludf.DUMMYFUNCTION("""COMPUTED_VALUE"""),371.3569444444445)</f>
        <v>371.3569444</v>
      </c>
      <c r="Z175" s="30">
        <f>IFERROR(__xludf.DUMMYFUNCTION("""COMPUTED_VALUE"""),0.7375000000000002)</f>
        <v>0.7375</v>
      </c>
      <c r="AA175" s="30">
        <f>IFERROR(__xludf.DUMMYFUNCTION("""COMPUTED_VALUE"""),0.5449074074074074)</f>
        <v>0.5449074074</v>
      </c>
      <c r="AB175" s="30">
        <f>IFERROR(__xludf.DUMMYFUNCTION("""COMPUTED_VALUE"""),1.661574074074074)</f>
        <v>1.661574074</v>
      </c>
      <c r="AC175" s="30">
        <f>IFERROR(__xludf.DUMMYFUNCTION("""COMPUTED_VALUE"""),2.6370370370370373)</f>
        <v>2.637037037</v>
      </c>
      <c r="AD175" s="30">
        <f>IFERROR(__xludf.DUMMYFUNCTION("""COMPUTED_VALUE"""),0.7369369841085808)</f>
        <v>0.7369369841</v>
      </c>
      <c r="AE175" s="30">
        <f>IFERROR(__xludf.DUMMYFUNCTION("""COMPUTED_VALUE"""),0.4519774011299434)</f>
        <v>0.4519774011</v>
      </c>
      <c r="AF175" s="30">
        <f>IFERROR(__xludf.DUMMYFUNCTION("""COMPUTED_VALUE"""),2.4468988954970263)</f>
        <v>2.446898895</v>
      </c>
      <c r="AG175" s="30">
        <f>IFERROR(__xludf.DUMMYFUNCTION("""COMPUTED_VALUE"""),0.0)</f>
        <v>0</v>
      </c>
      <c r="AH175" s="30">
        <f>IFERROR(__xludf.DUMMYFUNCTION("""COMPUTED_VALUE"""),1.0112359550561796)</f>
        <v>1.011235955</v>
      </c>
      <c r="AI175" s="30">
        <f>IFERROR(__xludf.DUMMYFUNCTION("""COMPUTED_VALUE"""),1.1867555458419843)</f>
        <v>1.186755546</v>
      </c>
      <c r="AJ175" s="30">
        <f>IFERROR(__xludf.DUMMYFUNCTION("""COMPUTED_VALUE"""),1.3050570962479606)</f>
        <v>1.305057096</v>
      </c>
      <c r="AK175" s="30">
        <f>IFERROR(__xludf.DUMMYFUNCTION("""COMPUTED_VALUE"""),1.6475972540045767)</f>
        <v>1.647597254</v>
      </c>
      <c r="AL175" s="30">
        <f>IFERROR(__xludf.DUMMYFUNCTION("""COMPUTED_VALUE"""),1.3157894736842106)</f>
        <v>1.315789474</v>
      </c>
      <c r="AM175" s="30">
        <f>IFERROR(__xludf.DUMMYFUNCTION("""COMPUTED_VALUE"""),0.7521029193468579)</f>
        <v>0.7521029193</v>
      </c>
      <c r="AN175" s="30">
        <f>IFERROR(__xludf.DUMMYFUNCTION("""COMPUTED_VALUE"""),0.7805887731258295)</f>
        <v>0.7805887731</v>
      </c>
      <c r="AO175" s="30">
        <f>IFERROR(__xludf.DUMMYFUNCTION("""COMPUTED_VALUE"""),0.4702177908670717)</f>
        <v>0.4702177909</v>
      </c>
      <c r="AP175" s="30">
        <f>IFERROR(__xludf.DUMMYFUNCTION("""COMPUTED_VALUE"""),2.3355819498163597)</f>
        <v>2.33558195</v>
      </c>
      <c r="AQ175" s="30">
        <f>IFERROR(__xludf.DUMMYFUNCTION("""COMPUTED_VALUE"""),0.0)</f>
        <v>0</v>
      </c>
      <c r="AR175" s="30">
        <f>IFERROR(__xludf.DUMMYFUNCTION("""COMPUTED_VALUE"""),1.0638108459962219)</f>
        <v>1.063810846</v>
      </c>
      <c r="AS175" s="30">
        <f>IFERROR(__xludf.DUMMYFUNCTION("""COMPUTED_VALUE"""),12.0)</f>
        <v>12</v>
      </c>
      <c r="AT175" s="30">
        <f>IFERROR(__xludf.DUMMYFUNCTION("""COMPUTED_VALUE"""),0.5800510352544836)</f>
        <v>0.5800510353</v>
      </c>
      <c r="AU175" s="30">
        <f>IFERROR(__xludf.DUMMYFUNCTION("""COMPUTED_VALUE"""),2.4608391731805)</f>
        <v>2.460839173</v>
      </c>
      <c r="AV175" s="32">
        <f>IFERROR(__xludf.DUMMYFUNCTION("""COMPUTED_VALUE"""),51.93133230538444)</f>
        <v>51.93133231</v>
      </c>
      <c r="AW175" s="32">
        <f>IFERROR(__xludf.DUMMYFUNCTION("""COMPUTED_VALUE"""),2.1312372252165175)</f>
        <v>2.131237225</v>
      </c>
      <c r="AX175" s="32">
        <f>IFERROR(__xludf.DUMMYFUNCTION("""COMPUTED_VALUE"""),43.18175784514023)</f>
        <v>43.18175785</v>
      </c>
      <c r="AY175" s="32">
        <f>IFERROR(__xludf.DUMMYFUNCTION("""COMPUTED_VALUE"""),-2.547572693614744)</f>
        <v>-2.547572694</v>
      </c>
      <c r="AZ175" s="30">
        <f>IFERROR(__xludf.DUMMYFUNCTION("""COMPUTED_VALUE"""),4.678809918831261)</f>
        <v>4.678809919</v>
      </c>
      <c r="BA175" s="30">
        <f>IFERROR(__xludf.DUMMYFUNCTION("""COMPUTED_VALUE"""),800.0)</f>
        <v>800</v>
      </c>
    </row>
    <row r="176">
      <c r="A176" s="30" t="str">
        <f>IFERROR(__xludf.DUMMYFUNCTION("""COMPUTED_VALUE"""),"Elite")</f>
        <v>Elite</v>
      </c>
      <c r="B176" s="30" t="str">
        <f>IFERROR(__xludf.DUMMYFUNCTION("""COMPUTED_VALUE"""),"RSC005872")</f>
        <v>RSC005872</v>
      </c>
      <c r="C176" s="30" t="str">
        <f>IFERROR(__xludf.DUMMYFUNCTION("""COMPUTED_VALUE"""),"Ditto")</f>
        <v>Ditto</v>
      </c>
      <c r="D176" s="30" t="str">
        <f>IFERROR(__xludf.DUMMYFUNCTION("""COMPUTED_VALUE"""),"Pixel Picassos")</f>
        <v>Pixel Picassos</v>
      </c>
      <c r="E176" s="30">
        <f>IFERROR(__xludf.DUMMYFUNCTION("""COMPUTED_VALUE"""),40.0)</f>
        <v>40</v>
      </c>
      <c r="F176" s="30">
        <f>IFERROR(__xludf.DUMMYFUNCTION("""COMPUTED_VALUE"""),10.0)</f>
        <v>10</v>
      </c>
      <c r="G176" s="30">
        <f>IFERROR(__xludf.DUMMYFUNCTION("""COMPUTED_VALUE"""),30.0)</f>
        <v>30</v>
      </c>
      <c r="H176" s="42">
        <f>IFERROR(__xludf.DUMMYFUNCTION("""COMPUTED_VALUE"""),0.25)</f>
        <v>0.25</v>
      </c>
      <c r="I176" s="42">
        <f>IFERROR(__xludf.DUMMYFUNCTION("""COMPUTED_VALUE"""),0.2830188679245283)</f>
        <v>0.2830188679</v>
      </c>
      <c r="J176" s="30">
        <f>IFERROR(__xludf.DUMMYFUNCTION("""COMPUTED_VALUE"""),366.25)</f>
        <v>366.25</v>
      </c>
      <c r="K176" s="30">
        <f>IFERROR(__xludf.DUMMYFUNCTION("""COMPUTED_VALUE"""),0.75)</f>
        <v>0.75</v>
      </c>
      <c r="L176" s="30">
        <f>IFERROR(__xludf.DUMMYFUNCTION("""COMPUTED_VALUE"""),0.45)</f>
        <v>0.45</v>
      </c>
      <c r="M176" s="30">
        <f>IFERROR(__xludf.DUMMYFUNCTION("""COMPUTED_VALUE"""),1.65)</f>
        <v>1.65</v>
      </c>
      <c r="N176" s="30">
        <f>IFERROR(__xludf.DUMMYFUNCTION("""COMPUTED_VALUE"""),2.65)</f>
        <v>2.65</v>
      </c>
      <c r="O176" s="30">
        <f>IFERROR(__xludf.DUMMYFUNCTION("""COMPUTED_VALUE"""),387.4666666666666)</f>
        <v>387.4666667</v>
      </c>
      <c r="P176" s="30">
        <f>IFERROR(__xludf.DUMMYFUNCTION("""COMPUTED_VALUE"""),0.9666666666666665)</f>
        <v>0.9666666667</v>
      </c>
      <c r="Q176" s="30">
        <f>IFERROR(__xludf.DUMMYFUNCTION("""COMPUTED_VALUE"""),0.7166666666666665)</f>
        <v>0.7166666667</v>
      </c>
      <c r="R176" s="30">
        <f>IFERROR(__xludf.DUMMYFUNCTION("""COMPUTED_VALUE"""),1.2666666666666662)</f>
        <v>1.266666667</v>
      </c>
      <c r="S176" s="30">
        <f>IFERROR(__xludf.DUMMYFUNCTION("""COMPUTED_VALUE"""),3.1666666666666665)</f>
        <v>3.166666667</v>
      </c>
      <c r="T176" s="30">
        <f>IFERROR(__xludf.DUMMYFUNCTION("""COMPUTED_VALUE"""),368.3277018497583)</f>
        <v>368.3277018</v>
      </c>
      <c r="U176" s="30">
        <f>IFERROR(__xludf.DUMMYFUNCTION("""COMPUTED_VALUE"""),0.8554566159418723)</f>
        <v>0.8554566159</v>
      </c>
      <c r="V176" s="30">
        <f>IFERROR(__xludf.DUMMYFUNCTION("""COMPUTED_VALUE"""),0.6436323297545832)</f>
        <v>0.6436323298</v>
      </c>
      <c r="W176" s="30">
        <f>IFERROR(__xludf.DUMMYFUNCTION("""COMPUTED_VALUE"""),1.325842344997133)</f>
        <v>1.325842345</v>
      </c>
      <c r="X176" s="30">
        <f>IFERROR(__xludf.DUMMYFUNCTION("""COMPUTED_VALUE"""),2.825474915340746)</f>
        <v>2.825474915</v>
      </c>
      <c r="Y176" s="30">
        <f>IFERROR(__xludf.DUMMYFUNCTION("""COMPUTED_VALUE"""),353.79182317037055)</f>
        <v>353.7918232</v>
      </c>
      <c r="Z176" s="30">
        <f>IFERROR(__xludf.DUMMYFUNCTION("""COMPUTED_VALUE"""),0.7031505302784837)</f>
        <v>0.7031505303</v>
      </c>
      <c r="AA176" s="30">
        <f>IFERROR(__xludf.DUMMYFUNCTION("""COMPUTED_VALUE"""),0.5207266694859587)</f>
        <v>0.5207266695</v>
      </c>
      <c r="AB176" s="30">
        <f>IFERROR(__xludf.DUMMYFUNCTION("""COMPUTED_VALUE"""),1.5154245284588517)</f>
        <v>1.515424528</v>
      </c>
      <c r="AC176" s="30">
        <f>IFERROR(__xludf.DUMMYFUNCTION("""COMPUTED_VALUE"""),2.4847400714824017)</f>
        <v>2.484740071</v>
      </c>
      <c r="AD176" s="30">
        <f>IFERROR(__xludf.DUMMYFUNCTION("""COMPUTED_VALUE"""),1.0352132978031834)</f>
        <v>1.035213298</v>
      </c>
      <c r="AE176" s="30">
        <f>IFERROR(__xludf.DUMMYFUNCTION("""COMPUTED_VALUE"""),1.0666279376948795)</f>
        <v>1.066627938</v>
      </c>
      <c r="AF176" s="30">
        <f>IFERROR(__xludf.DUMMYFUNCTION("""COMPUTED_VALUE"""),0.8641769787674264)</f>
        <v>0.8641769788</v>
      </c>
      <c r="AG176" s="30">
        <f>IFERROR(__xludf.DUMMYFUNCTION("""COMPUTED_VALUE"""),1.0888038097667643)</f>
        <v>1.08880381</v>
      </c>
      <c r="AH176" s="30">
        <f>IFERROR(__xludf.DUMMYFUNCTION("""COMPUTED_VALUE"""),1.0665099462170318)</f>
        <v>1.066509946</v>
      </c>
      <c r="AI176" s="30">
        <f>IFERROR(__xludf.DUMMYFUNCTION("""COMPUTED_VALUE"""),1.0519617849018457)</f>
        <v>1.051961785</v>
      </c>
      <c r="AJ176" s="30">
        <f>IFERROR(__xludf.DUMMYFUNCTION("""COMPUTED_VALUE"""),1.1300008073493593)</f>
        <v>1.130000807</v>
      </c>
      <c r="AK176" s="30">
        <f>IFERROR(__xludf.DUMMYFUNCTION("""COMPUTED_VALUE"""),1.1134721385731683)</f>
        <v>1.113472139</v>
      </c>
      <c r="AL176" s="30">
        <f>IFERROR(__xludf.DUMMYFUNCTION("""COMPUTED_VALUE"""),0.9553674850152755)</f>
        <v>0.955367485</v>
      </c>
      <c r="AM176" s="30">
        <f>IFERROR(__xludf.DUMMYFUNCTION("""COMPUTED_VALUE"""),1.1207555407671257)</f>
        <v>1.120755541</v>
      </c>
      <c r="AN176" s="30">
        <f>IFERROR(__xludf.DUMMYFUNCTION("""COMPUTED_VALUE"""),1.0446673745091415)</f>
        <v>1.044667375</v>
      </c>
      <c r="AO176" s="30">
        <f>IFERROR(__xludf.DUMMYFUNCTION("""COMPUTED_VALUE"""),1.0579900294509115)</f>
        <v>1.057990029</v>
      </c>
      <c r="AP176" s="30">
        <f>IFERROR(__xludf.DUMMYFUNCTION("""COMPUTED_VALUE"""),0.7882589080630215)</f>
        <v>0.7882589081</v>
      </c>
      <c r="AQ176" s="30">
        <f>IFERROR(__xludf.DUMMYFUNCTION("""COMPUTED_VALUE"""),1.1575385031363945)</f>
        <v>1.157538503</v>
      </c>
      <c r="AR176" s="30">
        <f>IFERROR(__xludf.DUMMYFUNCTION("""COMPUTED_VALUE"""),1.0571620282087455)</f>
        <v>1.057162028</v>
      </c>
      <c r="AS176" s="30">
        <f>IFERROR(__xludf.DUMMYFUNCTION("""COMPUTED_VALUE"""),70.0)</f>
        <v>70</v>
      </c>
      <c r="AT176" s="30">
        <f>IFERROR(__xludf.DUMMYFUNCTION("""COMPUTED_VALUE"""),0.3132190216530544)</f>
        <v>0.3132190217</v>
      </c>
      <c r="AU176" s="30">
        <f>IFERROR(__xludf.DUMMYFUNCTION("""COMPUTED_VALUE"""),2.4216307786762483)</f>
        <v>2.421630779</v>
      </c>
      <c r="AV176" s="32">
        <f>IFERROR(__xludf.DUMMYFUNCTION("""COMPUTED_VALUE"""),50.803533695226236)</f>
        <v>50.8035337</v>
      </c>
      <c r="AW176" s="32">
        <f>IFERROR(__xludf.DUMMYFUNCTION("""COMPUTED_VALUE"""),2.05263083047956)</f>
        <v>2.05263083</v>
      </c>
      <c r="AX176" s="32">
        <f>IFERROR(__xludf.DUMMYFUNCTION("""COMPUTED_VALUE"""),42.67105104334328)</f>
        <v>42.67105104</v>
      </c>
      <c r="AY176" s="32">
        <f>IFERROR(__xludf.DUMMYFUNCTION("""COMPUTED_VALUE"""),-2.599423336979389)</f>
        <v>-2.599423337</v>
      </c>
      <c r="AZ176" s="30">
        <f>IFERROR(__xludf.DUMMYFUNCTION("""COMPUTED_VALUE"""),4.6520541674589495)</f>
        <v>4.652054167</v>
      </c>
      <c r="BA176" s="30">
        <f>IFERROR(__xludf.DUMMYFUNCTION("""COMPUTED_VALUE"""),800.0)</f>
        <v>800</v>
      </c>
    </row>
    <row r="177">
      <c r="A177" s="30" t="str">
        <f>IFERROR(__xludf.DUMMYFUNCTION("""COMPUTED_VALUE"""),"Elite")</f>
        <v>Elite</v>
      </c>
      <c r="B177" s="30" t="str">
        <f>IFERROR(__xludf.DUMMYFUNCTION("""COMPUTED_VALUE"""),"RSC005193")</f>
        <v>RSC005193</v>
      </c>
      <c r="C177" s="30" t="str">
        <f>IFERROR(__xludf.DUMMYFUNCTION("""COMPUTED_VALUE"""),"RegularlyJones")</f>
        <v>RegularlyJones</v>
      </c>
      <c r="D177" s="30" t="str">
        <f>IFERROR(__xludf.DUMMYFUNCTION("""COMPUTED_VALUE"""),"Sloths")</f>
        <v>Sloths</v>
      </c>
      <c r="E177" s="30">
        <f>IFERROR(__xludf.DUMMYFUNCTION("""COMPUTED_VALUE"""),40.0)</f>
        <v>40</v>
      </c>
      <c r="F177" s="30">
        <f>IFERROR(__xludf.DUMMYFUNCTION("""COMPUTED_VALUE"""),21.0)</f>
        <v>21</v>
      </c>
      <c r="G177" s="30">
        <f>IFERROR(__xludf.DUMMYFUNCTION("""COMPUTED_VALUE"""),19.0)</f>
        <v>19</v>
      </c>
      <c r="H177" s="42">
        <f>IFERROR(__xludf.DUMMYFUNCTION("""COMPUTED_VALUE"""),0.525)</f>
        <v>0.525</v>
      </c>
      <c r="I177" s="42">
        <f>IFERROR(__xludf.DUMMYFUNCTION("""COMPUTED_VALUE"""),0.20535714285714285)</f>
        <v>0.2053571429</v>
      </c>
      <c r="J177" s="30">
        <f>IFERROR(__xludf.DUMMYFUNCTION("""COMPUTED_VALUE"""),340.25)</f>
        <v>340.25</v>
      </c>
      <c r="K177" s="30">
        <f>IFERROR(__xludf.DUMMYFUNCTION("""COMPUTED_VALUE"""),0.575)</f>
        <v>0.575</v>
      </c>
      <c r="L177" s="30">
        <f>IFERROR(__xludf.DUMMYFUNCTION("""COMPUTED_VALUE"""),0.7)</f>
        <v>0.7</v>
      </c>
      <c r="M177" s="30">
        <f>IFERROR(__xludf.DUMMYFUNCTION("""COMPUTED_VALUE"""),1.325)</f>
        <v>1.325</v>
      </c>
      <c r="N177" s="30">
        <f>IFERROR(__xludf.DUMMYFUNCTION("""COMPUTED_VALUE"""),2.8)</f>
        <v>2.8</v>
      </c>
      <c r="O177" s="30">
        <f>IFERROR(__xludf.DUMMYFUNCTION("""COMPUTED_VALUE"""),356.9333333333334)</f>
        <v>356.9333333</v>
      </c>
      <c r="P177" s="30">
        <f>IFERROR(__xludf.DUMMYFUNCTION("""COMPUTED_VALUE"""),0.6833333333333331)</f>
        <v>0.6833333333</v>
      </c>
      <c r="Q177" s="30">
        <f>IFERROR(__xludf.DUMMYFUNCTION("""COMPUTED_VALUE"""),0.5166666666666668)</f>
        <v>0.5166666667</v>
      </c>
      <c r="R177" s="30">
        <f>IFERROR(__xludf.DUMMYFUNCTION("""COMPUTED_VALUE"""),1.55)</f>
        <v>1.55</v>
      </c>
      <c r="S177" s="30">
        <f>IFERROR(__xludf.DUMMYFUNCTION("""COMPUTED_VALUE"""),2.6083333333333334)</f>
        <v>2.608333333</v>
      </c>
      <c r="T177" s="30">
        <f>IFERROR(__xludf.DUMMYFUNCTION("""COMPUTED_VALUE"""),362.58818921114045)</f>
        <v>362.5881892</v>
      </c>
      <c r="U177" s="30">
        <f>IFERROR(__xludf.DUMMYFUNCTION("""COMPUTED_VALUE"""),0.7589739878207198)</f>
        <v>0.7589739878</v>
      </c>
      <c r="V177" s="30">
        <f>IFERROR(__xludf.DUMMYFUNCTION("""COMPUTED_VALUE"""),0.5880909525520358)</f>
        <v>0.5880909526</v>
      </c>
      <c r="W177" s="30">
        <f>IFERROR(__xludf.DUMMYFUNCTION("""COMPUTED_VALUE"""),1.4597975622188781)</f>
        <v>1.459797562</v>
      </c>
      <c r="X177" s="30">
        <f>IFERROR(__xludf.DUMMYFUNCTION("""COMPUTED_VALUE"""),2.605903155849291)</f>
        <v>2.605903156</v>
      </c>
      <c r="Y177" s="30">
        <f>IFERROR(__xludf.DUMMYFUNCTION("""COMPUTED_VALUE"""),372.7584617722697)</f>
        <v>372.7584618</v>
      </c>
      <c r="Z177" s="30">
        <f>IFERROR(__xludf.DUMMYFUNCTION("""COMPUTED_VALUE"""),0.8230336628034607)</f>
        <v>0.8230336628</v>
      </c>
      <c r="AA177" s="30">
        <f>IFERROR(__xludf.DUMMYFUNCTION("""COMPUTED_VALUE"""),0.6107186434275003)</f>
        <v>0.6107186434</v>
      </c>
      <c r="AB177" s="30">
        <f>IFERROR(__xludf.DUMMYFUNCTION("""COMPUTED_VALUE"""),1.4747232557225503)</f>
        <v>1.474723256</v>
      </c>
      <c r="AC177" s="30">
        <f>IFERROR(__xludf.DUMMYFUNCTION("""COMPUTED_VALUE"""),2.7357912003032503)</f>
        <v>2.7357912</v>
      </c>
      <c r="AD177" s="30">
        <f>IFERROR(__xludf.DUMMYFUNCTION("""COMPUTED_VALUE"""),0.9127894733288974)</f>
        <v>0.9127894733</v>
      </c>
      <c r="AE177" s="30">
        <f>IFERROR(__xludf.DUMMYFUNCTION("""COMPUTED_VALUE"""),0.6986348505374672)</f>
        <v>0.6986348505</v>
      </c>
      <c r="AF177" s="30">
        <f>IFERROR(__xludf.DUMMYFUNCTION("""COMPUTED_VALUE"""),1.146190651838351)</f>
        <v>1.146190652</v>
      </c>
      <c r="AG177" s="30">
        <f>IFERROR(__xludf.DUMMYFUNCTION("""COMPUTED_VALUE"""),0.8984736592838278)</f>
        <v>0.8984736593</v>
      </c>
      <c r="AH177" s="30">
        <f>IFERROR(__xludf.DUMMYFUNCTION("""COMPUTED_VALUE"""),1.0234699196669805)</f>
        <v>1.02346992</v>
      </c>
      <c r="AI177" s="30">
        <f>IFERROR(__xludf.DUMMYFUNCTION("""COMPUTED_VALUE"""),0.9844041917357818)</f>
        <v>0.9844041917</v>
      </c>
      <c r="AJ177" s="30">
        <f>IFERROR(__xludf.DUMMYFUNCTION("""COMPUTED_VALUE"""),0.9003382781212601)</f>
        <v>0.9003382781</v>
      </c>
      <c r="AK177" s="30">
        <f>IFERROR(__xludf.DUMMYFUNCTION("""COMPUTED_VALUE"""),0.8785489122466151)</f>
        <v>0.8785489122</v>
      </c>
      <c r="AL177" s="30">
        <f>IFERROR(__xludf.DUMMYFUNCTION("""COMPUTED_VALUE"""),1.0617910593329223)</f>
        <v>1.061791059</v>
      </c>
      <c r="AM177" s="30">
        <f>IFERROR(__xludf.DUMMYFUNCTION("""COMPUTED_VALUE"""),1.0009325663076112)</f>
        <v>1.000932566</v>
      </c>
      <c r="AN177" s="30">
        <f>IFERROR(__xludf.DUMMYFUNCTION("""COMPUTED_VALUE"""),0.9705066871719737)</f>
        <v>0.9705066872</v>
      </c>
      <c r="AO177" s="30">
        <f>IFERROR(__xludf.DUMMYFUNCTION("""COMPUTED_VALUE"""),0.8111256892456987)</f>
        <v>0.8111256892</v>
      </c>
      <c r="AP177" s="30">
        <f>IFERROR(__xludf.DUMMYFUNCTION("""COMPUTED_VALUE"""),1.2261805236535888)</f>
        <v>1.226180524</v>
      </c>
      <c r="AQ177" s="30">
        <f>IFERROR(__xludf.DUMMYFUNCTION("""COMPUTED_VALUE"""),0.9295384949428623)</f>
        <v>0.9295384949</v>
      </c>
      <c r="AR177" s="30">
        <f>IFERROR(__xludf.DUMMYFUNCTION("""COMPUTED_VALUE"""),1.117001388296033)</f>
        <v>1.117001388</v>
      </c>
      <c r="AS177" s="30">
        <f>IFERROR(__xludf.DUMMYFUNCTION("""COMPUTED_VALUE"""),93.0)</f>
        <v>93</v>
      </c>
      <c r="AT177" s="30">
        <f>IFERROR(__xludf.DUMMYFUNCTION("""COMPUTED_VALUE"""),0.5479207076070163)</f>
        <v>0.5479207076</v>
      </c>
      <c r="AU177" s="30">
        <f>IFERROR(__xludf.DUMMYFUNCTION("""COMPUTED_VALUE"""),2.502006718117283)</f>
        <v>2.502006718</v>
      </c>
      <c r="AV177" s="32">
        <f>IFERROR(__xludf.DUMMYFUNCTION("""COMPUTED_VALUE"""),53.11548433584553)</f>
        <v>53.11548434</v>
      </c>
      <c r="AW177" s="32">
        <f>IFERROR(__xludf.DUMMYFUNCTION("""COMPUTED_VALUE"""),2.2201873214227263)</f>
        <v>2.220187321</v>
      </c>
      <c r="AX177" s="32">
        <f>IFERROR(__xludf.DUMMYFUNCTION("""COMPUTED_VALUE"""),44.559190509460585)</f>
        <v>44.55919051</v>
      </c>
      <c r="AY177" s="32">
        <f>IFERROR(__xludf.DUMMYFUNCTION("""COMPUTED_VALUE"""),-2.41628901464975)</f>
        <v>-2.416289015</v>
      </c>
      <c r="AZ177" s="30">
        <f>IFERROR(__xludf.DUMMYFUNCTION("""COMPUTED_VALUE"""),4.636476336072477)</f>
        <v>4.636476336</v>
      </c>
      <c r="BA177" s="30">
        <f>IFERROR(__xludf.DUMMYFUNCTION("""COMPUTED_VALUE"""),800.0)</f>
        <v>800</v>
      </c>
    </row>
    <row r="178">
      <c r="A178" s="30" t="str">
        <f>IFERROR(__xludf.DUMMYFUNCTION("""COMPUTED_VALUE"""),"Elite")</f>
        <v>Elite</v>
      </c>
      <c r="B178" s="30" t="str">
        <f>IFERROR(__xludf.DUMMYFUNCTION("""COMPUTED_VALUE"""),"RSC005030")</f>
        <v>RSC005030</v>
      </c>
      <c r="C178" s="30" t="str">
        <f>IFERROR(__xludf.DUMMYFUNCTION("""COMPUTED_VALUE"""),"Joe")</f>
        <v>Joe</v>
      </c>
      <c r="D178" s="30" t="str">
        <f>IFERROR(__xludf.DUMMYFUNCTION("""COMPUTED_VALUE"""),"Fire")</f>
        <v>Fire</v>
      </c>
      <c r="E178" s="30">
        <f>IFERROR(__xludf.DUMMYFUNCTION("""COMPUTED_VALUE"""),44.0)</f>
        <v>44</v>
      </c>
      <c r="F178" s="30">
        <f>IFERROR(__xludf.DUMMYFUNCTION("""COMPUTED_VALUE"""),19.0)</f>
        <v>19</v>
      </c>
      <c r="G178" s="30">
        <f>IFERROR(__xludf.DUMMYFUNCTION("""COMPUTED_VALUE"""),25.0)</f>
        <v>25</v>
      </c>
      <c r="H178" s="42">
        <f>IFERROR(__xludf.DUMMYFUNCTION("""COMPUTED_VALUE"""),0.4318181818181818)</f>
        <v>0.4318181818</v>
      </c>
      <c r="I178" s="42">
        <f>IFERROR(__xludf.DUMMYFUNCTION("""COMPUTED_VALUE"""),0.26666666666666666)</f>
        <v>0.2666666667</v>
      </c>
      <c r="J178" s="30">
        <f>IFERROR(__xludf.DUMMYFUNCTION("""COMPUTED_VALUE"""),382.8636363636364)</f>
        <v>382.8636364</v>
      </c>
      <c r="K178" s="30">
        <f>IFERROR(__xludf.DUMMYFUNCTION("""COMPUTED_VALUE"""),0.8181818181818182)</f>
        <v>0.8181818182</v>
      </c>
      <c r="L178" s="30">
        <f>IFERROR(__xludf.DUMMYFUNCTION("""COMPUTED_VALUE"""),0.3409090909090909)</f>
        <v>0.3409090909</v>
      </c>
      <c r="M178" s="30">
        <f>IFERROR(__xludf.DUMMYFUNCTION("""COMPUTED_VALUE"""),1.7954545454545454)</f>
        <v>1.795454545</v>
      </c>
      <c r="N178" s="30">
        <f>IFERROR(__xludf.DUMMYFUNCTION("""COMPUTED_VALUE"""),3.0681818181818183)</f>
        <v>3.068181818</v>
      </c>
      <c r="O178" s="30">
        <f>IFERROR(__xludf.DUMMYFUNCTION("""COMPUTED_VALUE"""),376.310606060606)</f>
        <v>376.3106061</v>
      </c>
      <c r="P178" s="30">
        <f>IFERROR(__xludf.DUMMYFUNCTION("""COMPUTED_VALUE"""),0.8484848484848484)</f>
        <v>0.8484848485</v>
      </c>
      <c r="Q178" s="30">
        <f>IFERROR(__xludf.DUMMYFUNCTION("""COMPUTED_VALUE"""),0.6515151515151515)</f>
        <v>0.6515151515</v>
      </c>
      <c r="R178" s="30">
        <f>IFERROR(__xludf.DUMMYFUNCTION("""COMPUTED_VALUE"""),1.4469696969696968)</f>
        <v>1.446969697</v>
      </c>
      <c r="S178" s="30">
        <f>IFERROR(__xludf.DUMMYFUNCTION("""COMPUTED_VALUE"""),2.818181818181819)</f>
        <v>2.818181818</v>
      </c>
      <c r="T178" s="30">
        <f>IFERROR(__xludf.DUMMYFUNCTION("""COMPUTED_VALUE"""),371.68332919003876)</f>
        <v>371.6833292</v>
      </c>
      <c r="U178" s="30">
        <f>IFERROR(__xludf.DUMMYFUNCTION("""COMPUTED_VALUE"""),0.8210946082332616)</f>
        <v>0.8210946082</v>
      </c>
      <c r="V178" s="30">
        <f>IFERROR(__xludf.DUMMYFUNCTION("""COMPUTED_VALUE"""),0.6114236948090969)</f>
        <v>0.6114236948</v>
      </c>
      <c r="W178" s="30">
        <f>IFERROR(__xludf.DUMMYFUNCTION("""COMPUTED_VALUE"""),1.4765781588150342)</f>
        <v>1.476578159</v>
      </c>
      <c r="X178" s="30">
        <f>IFERROR(__xludf.DUMMYFUNCTION("""COMPUTED_VALUE"""),2.720749057820974)</f>
        <v>2.720749058</v>
      </c>
      <c r="Y178" s="30">
        <f>IFERROR(__xludf.DUMMYFUNCTION("""COMPUTED_VALUE"""),356.8563315240836)</f>
        <v>356.8563315</v>
      </c>
      <c r="Z178" s="30">
        <f>IFERROR(__xludf.DUMMYFUNCTION("""COMPUTED_VALUE"""),0.744304111894153)</f>
        <v>0.7443041119</v>
      </c>
      <c r="AA178" s="30">
        <f>IFERROR(__xludf.DUMMYFUNCTION("""COMPUTED_VALUE"""),0.5445757131880214)</f>
        <v>0.5445757132</v>
      </c>
      <c r="AB178" s="30">
        <f>IFERROR(__xludf.DUMMYFUNCTION("""COMPUTED_VALUE"""),1.443006730186912)</f>
        <v>1.44300673</v>
      </c>
      <c r="AC178" s="30">
        <f>IFERROR(__xludf.DUMMYFUNCTION("""COMPUTED_VALUE"""),2.638785414670241)</f>
        <v>2.638785415</v>
      </c>
      <c r="AD178" s="30">
        <f>IFERROR(__xludf.DUMMYFUNCTION("""COMPUTED_VALUE"""),1.0728789222499688)</f>
        <v>1.072878922</v>
      </c>
      <c r="AE178" s="30">
        <f>IFERROR(__xludf.DUMMYFUNCTION("""COMPUTED_VALUE"""),1.099257420598761)</f>
        <v>1.099257421</v>
      </c>
      <c r="AF178" s="30">
        <f>IFERROR(__xludf.DUMMYFUNCTION("""COMPUTED_VALUE"""),0.6260086203869835)</f>
        <v>0.6260086204</v>
      </c>
      <c r="AG178" s="30">
        <f>IFERROR(__xludf.DUMMYFUNCTION("""COMPUTED_VALUE"""),1.2442454410604038)</f>
        <v>1.244245441</v>
      </c>
      <c r="AH178" s="30">
        <f>IFERROR(__xludf.DUMMYFUNCTION("""COMPUTED_VALUE"""),1.1627250177768764)</f>
        <v>1.162725018</v>
      </c>
      <c r="AI178" s="30">
        <f>IFERROR(__xludf.DUMMYFUNCTION("""COMPUTED_VALUE"""),1.0124495141620984)</f>
        <v>1.012449514</v>
      </c>
      <c r="AJ178" s="30">
        <f>IFERROR(__xludf.DUMMYFUNCTION("""COMPUTED_VALUE"""),1.0333582025468684)</f>
        <v>1.033358203</v>
      </c>
      <c r="AK178" s="30">
        <f>IFERROR(__xludf.DUMMYFUNCTION("""COMPUTED_VALUE"""),1.0655706624496655)</f>
        <v>1.065570662</v>
      </c>
      <c r="AL178" s="30">
        <f>IFERROR(__xludf.DUMMYFUNCTION("""COMPUTED_VALUE"""),0.9799479210304056)</f>
        <v>0.979947921</v>
      </c>
      <c r="AM178" s="30">
        <f>IFERROR(__xludf.DUMMYFUNCTION("""COMPUTED_VALUE"""),1.0358110058260492)</f>
        <v>1.035811006</v>
      </c>
      <c r="AN178" s="30">
        <f>IFERROR(__xludf.DUMMYFUNCTION("""COMPUTED_VALUE"""),1.0920550165051814)</f>
        <v>1.092055017</v>
      </c>
      <c r="AO178" s="30">
        <f>IFERROR(__xludf.DUMMYFUNCTION("""COMPUTED_VALUE"""),1.154170941219176)</f>
        <v>1.154170941</v>
      </c>
      <c r="AP178" s="30">
        <f>IFERROR(__xludf.DUMMYFUNCTION("""COMPUTED_VALUE"""),0.5971658394416829)</f>
        <v>0.5971658394</v>
      </c>
      <c r="AQ178" s="30">
        <f>IFERROR(__xludf.DUMMYFUNCTION("""COMPUTED_VALUE"""),1.259580464845388)</f>
        <v>1.259580465</v>
      </c>
      <c r="AR178" s="30">
        <f>IFERROR(__xludf.DUMMYFUNCTION("""COMPUTED_VALUE"""),1.223986910876335)</f>
        <v>1.223986911</v>
      </c>
      <c r="AS178" s="30">
        <f>IFERROR(__xludf.DUMMYFUNCTION("""COMPUTED_VALUE"""),90.0)</f>
        <v>90</v>
      </c>
      <c r="AT178" s="30">
        <f>IFERROR(__xludf.DUMMYFUNCTION("""COMPUTED_VALUE"""),0.41612964266410507)</f>
        <v>0.4161296427</v>
      </c>
      <c r="AU178" s="30">
        <f>IFERROR(__xludf.DUMMYFUNCTION("""COMPUTED_VALUE"""),2.6180313858977655)</f>
        <v>2.618031386</v>
      </c>
      <c r="AV178" s="32">
        <f>IFERROR(__xludf.DUMMYFUNCTION("""COMPUTED_VALUE"""),56.452842590917804)</f>
        <v>56.45284259</v>
      </c>
      <c r="AW178" s="32">
        <f>IFERROR(__xludf.DUMMYFUNCTION("""COMPUTED_VALUE"""),2.511555806828451)</f>
        <v>2.511555807</v>
      </c>
      <c r="AX178" s="32">
        <f>IFERROR(__xludf.DUMMYFUNCTION("""COMPUTED_VALUE"""),48.55921450784009)</f>
        <v>48.55921451</v>
      </c>
      <c r="AY178" s="32">
        <f>IFERROR(__xludf.DUMMYFUNCTION("""COMPUTED_VALUE"""),-2.0963432791018426)</f>
        <v>-2.096343279</v>
      </c>
      <c r="AZ178" s="30">
        <f>IFERROR(__xludf.DUMMYFUNCTION("""COMPUTED_VALUE"""),4.607899085930294)</f>
        <v>4.607899086</v>
      </c>
      <c r="BA178" s="30">
        <f>IFERROR(__xludf.DUMMYFUNCTION("""COMPUTED_VALUE"""),800.0)</f>
        <v>800</v>
      </c>
    </row>
    <row r="179">
      <c r="A179" s="30" t="str">
        <f>IFERROR(__xludf.DUMMYFUNCTION("""COMPUTED_VALUE"""),"Elite")</f>
        <v>Elite</v>
      </c>
      <c r="B179" s="30" t="str">
        <f>IFERROR(__xludf.DUMMYFUNCTION("""COMPUTED_VALUE"""),"RSC007839")</f>
        <v>RSC007839</v>
      </c>
      <c r="C179" s="30" t="str">
        <f>IFERROR(__xludf.DUMMYFUNCTION("""COMPUTED_VALUE"""),"DoxxyWoxxyy")</f>
        <v>DoxxyWoxxyy</v>
      </c>
      <c r="D179" s="30" t="str">
        <f>IFERROR(__xludf.DUMMYFUNCTION("""COMPUTED_VALUE"""),"Pylons")</f>
        <v>Pylons</v>
      </c>
      <c r="E179" s="30">
        <f>IFERROR(__xludf.DUMMYFUNCTION("""COMPUTED_VALUE"""),36.0)</f>
        <v>36</v>
      </c>
      <c r="F179" s="30">
        <f>IFERROR(__xludf.DUMMYFUNCTION("""COMPUTED_VALUE"""),12.0)</f>
        <v>12</v>
      </c>
      <c r="G179" s="30">
        <f>IFERROR(__xludf.DUMMYFUNCTION("""COMPUTED_VALUE"""),24.0)</f>
        <v>24</v>
      </c>
      <c r="H179" s="42">
        <f>IFERROR(__xludf.DUMMYFUNCTION("""COMPUTED_VALUE"""),0.3333333333333333)</f>
        <v>0.3333333333</v>
      </c>
      <c r="I179" s="42">
        <f>IFERROR(__xludf.DUMMYFUNCTION("""COMPUTED_VALUE"""),0.28735632183908044)</f>
        <v>0.2873563218</v>
      </c>
      <c r="J179" s="30">
        <f>IFERROR(__xludf.DUMMYFUNCTION("""COMPUTED_VALUE"""),370.47222222222223)</f>
        <v>370.4722222</v>
      </c>
      <c r="K179" s="30">
        <f>IFERROR(__xludf.DUMMYFUNCTION("""COMPUTED_VALUE"""),0.6944444444444444)</f>
        <v>0.6944444444</v>
      </c>
      <c r="L179" s="30">
        <f>IFERROR(__xludf.DUMMYFUNCTION("""COMPUTED_VALUE"""),0.6666666666666666)</f>
        <v>0.6666666667</v>
      </c>
      <c r="M179" s="30">
        <f>IFERROR(__xludf.DUMMYFUNCTION("""COMPUTED_VALUE"""),1.7222222222222223)</f>
        <v>1.722222222</v>
      </c>
      <c r="N179" s="30">
        <f>IFERROR(__xludf.DUMMYFUNCTION("""COMPUTED_VALUE"""),2.4166666666666665)</f>
        <v>2.416666667</v>
      </c>
      <c r="O179" s="30">
        <f>IFERROR(__xludf.DUMMYFUNCTION("""COMPUTED_VALUE"""),369.86111111111103)</f>
        <v>369.8611111</v>
      </c>
      <c r="P179" s="30">
        <f>IFERROR(__xludf.DUMMYFUNCTION("""COMPUTED_VALUE"""),0.8981481481481483)</f>
        <v>0.8981481481</v>
      </c>
      <c r="Q179" s="30">
        <f>IFERROR(__xludf.DUMMYFUNCTION("""COMPUTED_VALUE"""),0.6574074074074074)</f>
        <v>0.6574074074</v>
      </c>
      <c r="R179" s="30">
        <f>IFERROR(__xludf.DUMMYFUNCTION("""COMPUTED_VALUE"""),1.4074074074074072)</f>
        <v>1.407407407</v>
      </c>
      <c r="S179" s="30">
        <f>IFERROR(__xludf.DUMMYFUNCTION("""COMPUTED_VALUE"""),2.564814814814815)</f>
        <v>2.564814815</v>
      </c>
      <c r="T179" s="30">
        <f>IFERROR(__xludf.DUMMYFUNCTION("""COMPUTED_VALUE"""),357.53967934536945)</f>
        <v>357.5396793</v>
      </c>
      <c r="U179" s="30">
        <f>IFERROR(__xludf.DUMMYFUNCTION("""COMPUTED_VALUE"""),0.7744450053250053)</f>
        <v>0.7744450053</v>
      </c>
      <c r="V179" s="30">
        <f>IFERROR(__xludf.DUMMYFUNCTION("""COMPUTED_VALUE"""),0.5718943816395715)</f>
        <v>0.5718943816</v>
      </c>
      <c r="W179" s="30">
        <f>IFERROR(__xludf.DUMMYFUNCTION("""COMPUTED_VALUE"""),1.4312730074593376)</f>
        <v>1.431273007</v>
      </c>
      <c r="X179" s="30">
        <f>IFERROR(__xludf.DUMMYFUNCTION("""COMPUTED_VALUE"""),2.5660973569664756)</f>
        <v>2.566097357</v>
      </c>
      <c r="Y179" s="30">
        <f>IFERROR(__xludf.DUMMYFUNCTION("""COMPUTED_VALUE"""),367.610852785639)</f>
        <v>367.6108528</v>
      </c>
      <c r="Z179" s="30">
        <f>IFERROR(__xludf.DUMMYFUNCTION("""COMPUTED_VALUE"""),0.8442754504090831)</f>
        <v>0.8442754504</v>
      </c>
      <c r="AA179" s="30">
        <f>IFERROR(__xludf.DUMMYFUNCTION("""COMPUTED_VALUE"""),0.6316045337758814)</f>
        <v>0.6316045338</v>
      </c>
      <c r="AB179" s="30">
        <f>IFERROR(__xludf.DUMMYFUNCTION("""COMPUTED_VALUE"""),1.3570898159988252)</f>
        <v>1.357089816</v>
      </c>
      <c r="AC179" s="30">
        <f>IFERROR(__xludf.DUMMYFUNCTION("""COMPUTED_VALUE"""),2.7628916068568965)</f>
        <v>2.762891607</v>
      </c>
      <c r="AD179" s="30">
        <f>IFERROR(__xludf.DUMMYFUNCTION("""COMPUTED_VALUE"""),1.0077836914087293)</f>
        <v>1.007783691</v>
      </c>
      <c r="AE179" s="30">
        <f>IFERROR(__xludf.DUMMYFUNCTION("""COMPUTED_VALUE"""),0.8225330300768073)</f>
        <v>0.8225330301</v>
      </c>
      <c r="AF179" s="30">
        <f>IFERROR(__xludf.DUMMYFUNCTION("""COMPUTED_VALUE"""),1.0555127948198464)</f>
        <v>1.055512795</v>
      </c>
      <c r="AG179" s="30">
        <f>IFERROR(__xludf.DUMMYFUNCTION("""COMPUTED_VALUE"""),1.2690554463815336)</f>
        <v>1.269055446</v>
      </c>
      <c r="AH179" s="30">
        <f>IFERROR(__xludf.DUMMYFUNCTION("""COMPUTED_VALUE"""),0.87468746897961)</f>
        <v>0.874687469</v>
      </c>
      <c r="AI179" s="30">
        <f>IFERROR(__xludf.DUMMYFUNCTION("""COMPUTED_VALUE"""),1.0344617184540223)</f>
        <v>1.034461718</v>
      </c>
      <c r="AJ179" s="30">
        <f>IFERROR(__xludf.DUMMYFUNCTION("""COMPUTED_VALUE"""),1.159731345637938)</f>
        <v>1.159731346</v>
      </c>
      <c r="AK179" s="30">
        <f>IFERROR(__xludf.DUMMYFUNCTION("""COMPUTED_VALUE"""),1.149525906379212)</f>
        <v>1.149525906</v>
      </c>
      <c r="AL179" s="30">
        <f>IFERROR(__xludf.DUMMYFUNCTION("""COMPUTED_VALUE"""),0.9833256129840006)</f>
        <v>0.983325613</v>
      </c>
      <c r="AM179" s="30">
        <f>IFERROR(__xludf.DUMMYFUNCTION("""COMPUTED_VALUE"""),0.999500197391896)</f>
        <v>0.9995001974</v>
      </c>
      <c r="AN179" s="30">
        <f>IFERROR(__xludf.DUMMYFUNCTION("""COMPUTED_VALUE"""),1.0567105630510747)</f>
        <v>1.056710563</v>
      </c>
      <c r="AO179" s="30">
        <f>IFERROR(__xludf.DUMMYFUNCTION("""COMPUTED_VALUE"""),0.9796203976397327)</f>
        <v>0.9796203976</v>
      </c>
      <c r="AP179" s="30">
        <f>IFERROR(__xludf.DUMMYFUNCTION("""COMPUTED_VALUE"""),1.1677909749081798)</f>
        <v>1.167790975</v>
      </c>
      <c r="AQ179" s="30">
        <f>IFERROR(__xludf.DUMMYFUNCTION("""COMPUTED_VALUE"""),1.2082051716238462)</f>
        <v>1.208205172</v>
      </c>
      <c r="AR179" s="30">
        <f>IFERROR(__xludf.DUMMYFUNCTION("""COMPUTED_VALUE"""),0.9640785791840761)</f>
        <v>0.9640785792</v>
      </c>
      <c r="AS179" s="30">
        <f>IFERROR(__xludf.DUMMYFUNCTION("""COMPUTED_VALUE"""),79.0)</f>
        <v>79</v>
      </c>
      <c r="AT179" s="30">
        <f>IFERROR(__xludf.DUMMYFUNCTION("""COMPUTED_VALUE"""),0.41977945843329884)</f>
        <v>0.4197794584</v>
      </c>
      <c r="AU179" s="30">
        <f>IFERROR(__xludf.DUMMYFUNCTION("""COMPUTED_VALUE"""),2.329185957329627)</f>
        <v>2.329185957</v>
      </c>
      <c r="AV179" s="32">
        <f>IFERROR(__xludf.DUMMYFUNCTION("""COMPUTED_VALUE"""),48.14443116503371)</f>
        <v>48.14443117</v>
      </c>
      <c r="AW179" s="32">
        <f>IFERROR(__xludf.DUMMYFUNCTION("""COMPUTED_VALUE"""),-2.125775456283497)</f>
        <v>-2.125775456</v>
      </c>
      <c r="AX179" s="32">
        <f>IFERROR(__xludf.DUMMYFUNCTION("""COMPUTED_VALUE"""),55.74011813845165)</f>
        <v>55.74011814</v>
      </c>
      <c r="AY179" s="32">
        <f>IFERROR(__xludf.DUMMYFUNCTION("""COMPUTED_VALUE"""),2.443795947950137)</f>
        <v>2.443795948</v>
      </c>
      <c r="AZ179" s="30">
        <f>IFERROR(__xludf.DUMMYFUNCTION("""COMPUTED_VALUE"""),4.569571404233635)</f>
        <v>4.569571404</v>
      </c>
      <c r="BA179" s="30">
        <f>IFERROR(__xludf.DUMMYFUNCTION("""COMPUTED_VALUE"""),800.0)</f>
        <v>800</v>
      </c>
    </row>
    <row r="180">
      <c r="A180" s="30" t="str">
        <f>IFERROR(__xludf.DUMMYFUNCTION("""COMPUTED_VALUE"""),"Elite")</f>
        <v>Elite</v>
      </c>
      <c r="B180" s="30" t="str">
        <f>IFERROR(__xludf.DUMMYFUNCTION("""COMPUTED_VALUE"""),"RSC007843")</f>
        <v>RSC007843</v>
      </c>
      <c r="C180" s="30" t="str">
        <f>IFERROR(__xludf.DUMMYFUNCTION("""COMPUTED_VALUE"""),"BLOO")</f>
        <v>BLOO</v>
      </c>
      <c r="D180" s="30" t="str">
        <f>IFERROR(__xludf.DUMMYFUNCTION("""COMPUTED_VALUE"""),"Praetorian Guard")</f>
        <v>Praetorian Guard</v>
      </c>
      <c r="E180" s="30">
        <f>IFERROR(__xludf.DUMMYFUNCTION("""COMPUTED_VALUE"""),36.0)</f>
        <v>36</v>
      </c>
      <c r="F180" s="30">
        <f>IFERROR(__xludf.DUMMYFUNCTION("""COMPUTED_VALUE"""),20.0)</f>
        <v>20</v>
      </c>
      <c r="G180" s="30">
        <f>IFERROR(__xludf.DUMMYFUNCTION("""COMPUTED_VALUE"""),16.0)</f>
        <v>16</v>
      </c>
      <c r="H180" s="42">
        <f>IFERROR(__xludf.DUMMYFUNCTION("""COMPUTED_VALUE"""),0.5555555555555556)</f>
        <v>0.5555555556</v>
      </c>
      <c r="I180" s="42">
        <f>IFERROR(__xludf.DUMMYFUNCTION("""COMPUTED_VALUE"""),0.19642857142857145)</f>
        <v>0.1964285714</v>
      </c>
      <c r="J180" s="30">
        <f>IFERROR(__xludf.DUMMYFUNCTION("""COMPUTED_VALUE"""),336.6388888888889)</f>
        <v>336.6388889</v>
      </c>
      <c r="K180" s="30">
        <f>IFERROR(__xludf.DUMMYFUNCTION("""COMPUTED_VALUE"""),0.6111111111111112)</f>
        <v>0.6111111111</v>
      </c>
      <c r="L180" s="30">
        <f>IFERROR(__xludf.DUMMYFUNCTION("""COMPUTED_VALUE"""),0.5833333333333334)</f>
        <v>0.5833333333</v>
      </c>
      <c r="M180" s="30">
        <f>IFERROR(__xludf.DUMMYFUNCTION("""COMPUTED_VALUE"""),1.0833333333333333)</f>
        <v>1.083333333</v>
      </c>
      <c r="N180" s="30">
        <f>IFERROR(__xludf.DUMMYFUNCTION("""COMPUTED_VALUE"""),3.111111111111111)</f>
        <v>3.111111111</v>
      </c>
      <c r="O180" s="30">
        <f>IFERROR(__xludf.DUMMYFUNCTION("""COMPUTED_VALUE"""),345.6666666666667)</f>
        <v>345.6666667</v>
      </c>
      <c r="P180" s="30">
        <f>IFERROR(__xludf.DUMMYFUNCTION("""COMPUTED_VALUE"""),0.611111111111111)</f>
        <v>0.6111111111</v>
      </c>
      <c r="Q180" s="30">
        <f>IFERROR(__xludf.DUMMYFUNCTION("""COMPUTED_VALUE"""),0.5092592592592592)</f>
        <v>0.5092592593</v>
      </c>
      <c r="R180" s="30">
        <f>IFERROR(__xludf.DUMMYFUNCTION("""COMPUTED_VALUE"""),1.5925925925925923)</f>
        <v>1.592592593</v>
      </c>
      <c r="S180" s="30">
        <f>IFERROR(__xludf.DUMMYFUNCTION("""COMPUTED_VALUE"""),2.472222222222222)</f>
        <v>2.472222222</v>
      </c>
      <c r="T180" s="30">
        <f>IFERROR(__xludf.DUMMYFUNCTION("""COMPUTED_VALUE"""),354.9473653931984)</f>
        <v>354.9473654</v>
      </c>
      <c r="U180" s="30">
        <f>IFERROR(__xludf.DUMMYFUNCTION("""COMPUTED_VALUE"""),0.7737264124560718)</f>
        <v>0.7737264125</v>
      </c>
      <c r="V180" s="30">
        <f>IFERROR(__xludf.DUMMYFUNCTION("""COMPUTED_VALUE"""),0.5759278547609248)</f>
        <v>0.5759278548</v>
      </c>
      <c r="W180" s="30">
        <f>IFERROR(__xludf.DUMMYFUNCTION("""COMPUTED_VALUE"""),1.3974264895519097)</f>
        <v>1.39742649</v>
      </c>
      <c r="X180" s="30">
        <f>IFERROR(__xludf.DUMMYFUNCTION("""COMPUTED_VALUE"""),2.524891698756186)</f>
        <v>2.524891699</v>
      </c>
      <c r="Y180" s="30">
        <f>IFERROR(__xludf.DUMMYFUNCTION("""COMPUTED_VALUE"""),357.9530859987526)</f>
        <v>357.953086</v>
      </c>
      <c r="Z180" s="30">
        <f>IFERROR(__xludf.DUMMYFUNCTION("""COMPUTED_VALUE"""),0.7803486080989567)</f>
        <v>0.7803486081</v>
      </c>
      <c r="AA180" s="30">
        <f>IFERROR(__xludf.DUMMYFUNCTION("""COMPUTED_VALUE"""),0.5877569598632015)</f>
        <v>0.5877569599</v>
      </c>
      <c r="AB180" s="30">
        <f>IFERROR(__xludf.DUMMYFUNCTION("""COMPUTED_VALUE"""),1.3516824001064998)</f>
        <v>1.3516824</v>
      </c>
      <c r="AC180" s="30">
        <f>IFERROR(__xludf.DUMMYFUNCTION("""COMPUTED_VALUE"""),2.706836277989604)</f>
        <v>2.706836278</v>
      </c>
      <c r="AD180" s="30">
        <f>IFERROR(__xludf.DUMMYFUNCTION("""COMPUTED_VALUE"""),0.9404553335519003)</f>
        <v>0.9404553336</v>
      </c>
      <c r="AE180" s="30">
        <f>IFERROR(__xludf.DUMMYFUNCTION("""COMPUTED_VALUE"""),0.7831257783618878)</f>
        <v>0.7831257784</v>
      </c>
      <c r="AF180" s="30">
        <f>IFERROR(__xludf.DUMMYFUNCTION("""COMPUTED_VALUE"""),0.9924737147631604)</f>
        <v>0.9924737148</v>
      </c>
      <c r="AG180" s="30">
        <f>IFERROR(__xludf.DUMMYFUNCTION("""COMPUTED_VALUE"""),0.8014703256090164)</f>
        <v>0.8014703256</v>
      </c>
      <c r="AH180" s="30">
        <f>IFERROR(__xludf.DUMMYFUNCTION("""COMPUTED_VALUE"""),1.149353263959417)</f>
        <v>1.149353264</v>
      </c>
      <c r="AI180" s="30">
        <f>IFERROR(__xludf.DUMMYFUNCTION("""COMPUTED_VALUE"""),0.9738533100076657)</f>
        <v>0.97385331</v>
      </c>
      <c r="AJ180" s="30">
        <f>IFERROR(__xludf.DUMMYFUNCTION("""COMPUTED_VALUE"""),0.7898284216138308)</f>
        <v>0.7898284216</v>
      </c>
      <c r="AK180" s="30">
        <f>IFERROR(__xludf.DUMMYFUNCTION("""COMPUTED_VALUE"""),0.8842414115751692)</f>
        <v>0.8842414116</v>
      </c>
      <c r="AL180" s="30">
        <f>IFERROR(__xludf.DUMMYFUNCTION("""COMPUTED_VALUE"""),1.1396610873630022)</f>
        <v>1.139661087</v>
      </c>
      <c r="AM180" s="30">
        <f>IFERROR(__xludf.DUMMYFUNCTION("""COMPUTED_VALUE"""),0.9791399066502892)</f>
        <v>0.9791399067</v>
      </c>
      <c r="AN180" s="30">
        <f>IFERROR(__xludf.DUMMYFUNCTION("""COMPUTED_VALUE"""),0.9602065917084783)</f>
        <v>0.9602065917</v>
      </c>
      <c r="AO180" s="30">
        <f>IFERROR(__xludf.DUMMYFUNCTION("""COMPUTED_VALUE"""),0.8620659499229649)</f>
        <v>0.8620659499</v>
      </c>
      <c r="AP180" s="30">
        <f>IFERROR(__xludf.DUMMYFUNCTION("""COMPUTED_VALUE"""),1.0218171030446574)</f>
        <v>1.021817103</v>
      </c>
      <c r="AQ180" s="30">
        <f>IFERROR(__xludf.DUMMYFUNCTION("""COMPUTED_VALUE"""),0.7600000273117742)</f>
        <v>0.7600000273</v>
      </c>
      <c r="AR180" s="30">
        <f>IFERROR(__xludf.DUMMYFUNCTION("""COMPUTED_VALUE"""),1.241112653662259)</f>
        <v>1.241112654</v>
      </c>
      <c r="AS180" s="30">
        <f>IFERROR(__xludf.DUMMYFUNCTION("""COMPUTED_VALUE"""),66.0)</f>
        <v>66</v>
      </c>
      <c r="AT180" s="30">
        <f>IFERROR(__xludf.DUMMYFUNCTION("""COMPUTED_VALUE"""),0.5000000000000001)</f>
        <v>0.5</v>
      </c>
      <c r="AU180" s="30">
        <f>IFERROR(__xludf.DUMMYFUNCTION("""COMPUTED_VALUE"""),2.633862559321198)</f>
        <v>2.633862559</v>
      </c>
      <c r="AV180" s="32">
        <f>IFERROR(__xludf.DUMMYFUNCTION("""COMPUTED_VALUE"""),56.90821383500648)</f>
        <v>56.90821384</v>
      </c>
      <c r="AW180" s="32">
        <f>IFERROR(__xludf.DUMMYFUNCTION("""COMPUTED_VALUE"""),2.556577942564406)</f>
        <v>2.556577943</v>
      </c>
      <c r="AX180" s="32">
        <f>IFERROR(__xludf.DUMMYFUNCTION("""COMPUTED_VALUE"""),49.983527872130246)</f>
        <v>49.98352787</v>
      </c>
      <c r="AY180" s="32">
        <f>IFERROR(__xludf.DUMMYFUNCTION("""COMPUTED_VALUE"""),-2.001051981486421)</f>
        <v>-2.001051981</v>
      </c>
      <c r="AZ180" s="30">
        <f>IFERROR(__xludf.DUMMYFUNCTION("""COMPUTED_VALUE"""),4.557629924050827)</f>
        <v>4.557629924</v>
      </c>
      <c r="BA180" s="30">
        <f>IFERROR(__xludf.DUMMYFUNCTION("""COMPUTED_VALUE"""),800.0)</f>
        <v>800</v>
      </c>
    </row>
    <row r="181">
      <c r="A181" s="30" t="str">
        <f>IFERROR(__xludf.DUMMYFUNCTION("""COMPUTED_VALUE"""),"Elite")</f>
        <v>Elite</v>
      </c>
      <c r="B181" s="30" t="str">
        <f>IFERROR(__xludf.DUMMYFUNCTION("""COMPUTED_VALUE"""),"RSC006185")</f>
        <v>RSC006185</v>
      </c>
      <c r="C181" s="30" t="str">
        <f>IFERROR(__xludf.DUMMYFUNCTION("""COMPUTED_VALUE"""),"sandro")</f>
        <v>sandro</v>
      </c>
      <c r="D181" s="30" t="str">
        <f>IFERROR(__xludf.DUMMYFUNCTION("""COMPUTED_VALUE"""),"Summoned")</f>
        <v>Summoned</v>
      </c>
      <c r="E181" s="30">
        <f>IFERROR(__xludf.DUMMYFUNCTION("""COMPUTED_VALUE"""),24.0)</f>
        <v>24</v>
      </c>
      <c r="F181" s="30">
        <f>IFERROR(__xludf.DUMMYFUNCTION("""COMPUTED_VALUE"""),8.0)</f>
        <v>8</v>
      </c>
      <c r="G181" s="30">
        <f>IFERROR(__xludf.DUMMYFUNCTION("""COMPUTED_VALUE"""),16.0)</f>
        <v>16</v>
      </c>
      <c r="H181" s="42">
        <f>IFERROR(__xludf.DUMMYFUNCTION("""COMPUTED_VALUE"""),0.3333333333333333)</f>
        <v>0.3333333333</v>
      </c>
      <c r="I181" s="42">
        <f>IFERROR(__xludf.DUMMYFUNCTION("""COMPUTED_VALUE"""),0.31666666666666665)</f>
        <v>0.3166666667</v>
      </c>
      <c r="J181" s="30">
        <f>IFERROR(__xludf.DUMMYFUNCTION("""COMPUTED_VALUE"""),363.0833333333333)</f>
        <v>363.0833333</v>
      </c>
      <c r="K181" s="30">
        <f>IFERROR(__xludf.DUMMYFUNCTION("""COMPUTED_VALUE"""),0.7916666666666666)</f>
        <v>0.7916666667</v>
      </c>
      <c r="L181" s="30">
        <f>IFERROR(__xludf.DUMMYFUNCTION("""COMPUTED_VALUE"""),0.4166666666666667)</f>
        <v>0.4166666667</v>
      </c>
      <c r="M181" s="30">
        <f>IFERROR(__xludf.DUMMYFUNCTION("""COMPUTED_VALUE"""),1.25)</f>
        <v>1.25</v>
      </c>
      <c r="N181" s="30">
        <f>IFERROR(__xludf.DUMMYFUNCTION("""COMPUTED_VALUE"""),2.5)</f>
        <v>2.5</v>
      </c>
      <c r="O181" s="30">
        <f>IFERROR(__xludf.DUMMYFUNCTION("""COMPUTED_VALUE"""),342.8194444444445)</f>
        <v>342.8194444</v>
      </c>
      <c r="P181" s="30">
        <f>IFERROR(__xludf.DUMMYFUNCTION("""COMPUTED_VALUE"""),0.8055555555555557)</f>
        <v>0.8055555556</v>
      </c>
      <c r="Q181" s="30">
        <f>IFERROR(__xludf.DUMMYFUNCTION("""COMPUTED_VALUE"""),0.5972222222222222)</f>
        <v>0.5972222222</v>
      </c>
      <c r="R181" s="30">
        <f>IFERROR(__xludf.DUMMYFUNCTION("""COMPUTED_VALUE"""),1.152777777777778)</f>
        <v>1.152777778</v>
      </c>
      <c r="S181" s="30">
        <f>IFERROR(__xludf.DUMMYFUNCTION("""COMPUTED_VALUE"""),2.8472222222222228)</f>
        <v>2.847222222</v>
      </c>
      <c r="T181" s="30">
        <f>IFERROR(__xludf.DUMMYFUNCTION("""COMPUTED_VALUE"""),357.06665422008587)</f>
        <v>357.0666542</v>
      </c>
      <c r="U181" s="30">
        <f>IFERROR(__xludf.DUMMYFUNCTION("""COMPUTED_VALUE"""),0.7502781049908441)</f>
        <v>0.750278105</v>
      </c>
      <c r="V181" s="30">
        <f>IFERROR(__xludf.DUMMYFUNCTION("""COMPUTED_VALUE"""),0.5908806854543472)</f>
        <v>0.5908806855</v>
      </c>
      <c r="W181" s="30">
        <f>IFERROR(__xludf.DUMMYFUNCTION("""COMPUTED_VALUE"""),1.4167148203529616)</f>
        <v>1.41671482</v>
      </c>
      <c r="X181" s="30">
        <f>IFERROR(__xludf.DUMMYFUNCTION("""COMPUTED_VALUE"""),2.6707942346813685)</f>
        <v>2.670794235</v>
      </c>
      <c r="Y181" s="30">
        <f>IFERROR(__xludf.DUMMYFUNCTION("""COMPUTED_VALUE"""),364.73676277885005)</f>
        <v>364.7367628</v>
      </c>
      <c r="Z181" s="30">
        <f>IFERROR(__xludf.DUMMYFUNCTION("""COMPUTED_VALUE"""),0.7972308896424011)</f>
        <v>0.7972308896</v>
      </c>
      <c r="AA181" s="30">
        <f>IFERROR(__xludf.DUMMYFUNCTION("""COMPUTED_VALUE"""),0.6325009584031585)</f>
        <v>0.6325009584</v>
      </c>
      <c r="AB181" s="30">
        <f>IFERROR(__xludf.DUMMYFUNCTION("""COMPUTED_VALUE"""),1.435785522263634)</f>
        <v>1.435785522</v>
      </c>
      <c r="AC181" s="30">
        <f>IFERROR(__xludf.DUMMYFUNCTION("""COMPUTED_VALUE"""),2.650604757626643)</f>
        <v>2.650604758</v>
      </c>
      <c r="AD181" s="30">
        <f>IFERROR(__xludf.DUMMYFUNCTION("""COMPUTED_VALUE"""),0.9954667869700887)</f>
        <v>0.995466787</v>
      </c>
      <c r="AE181" s="30">
        <f>IFERROR(__xludf.DUMMYFUNCTION("""COMPUTED_VALUE"""),0.9930205627403245)</f>
        <v>0.9930205627</v>
      </c>
      <c r="AF181" s="30">
        <f>IFERROR(__xludf.DUMMYFUNCTION("""COMPUTED_VALUE"""),0.6587605301320062)</f>
        <v>0.6587605301</v>
      </c>
      <c r="AG181" s="30">
        <f>IFERROR(__xludf.DUMMYFUNCTION("""COMPUTED_VALUE"""),0.8706035689991303)</f>
        <v>0.870603569</v>
      </c>
      <c r="AH181" s="30">
        <f>IFERROR(__xludf.DUMMYFUNCTION("""COMPUTED_VALUE"""),0.9431809826820446)</f>
        <v>0.9431809827</v>
      </c>
      <c r="AI181" s="30">
        <f>IFERROR(__xludf.DUMMYFUNCTION("""COMPUTED_VALUE"""),0.9600992990881199)</f>
        <v>0.9600992991</v>
      </c>
      <c r="AJ181" s="30">
        <f>IFERROR(__xludf.DUMMYFUNCTION("""COMPUTED_VALUE"""),1.073675947887865)</f>
        <v>1.073675948</v>
      </c>
      <c r="AK181" s="30">
        <f>IFERROR(__xludf.DUMMYFUNCTION("""COMPUTED_VALUE"""),1.010732347365524)</f>
        <v>1.010732347</v>
      </c>
      <c r="AL181" s="30">
        <f>IFERROR(__xludf.DUMMYFUNCTION("""COMPUTED_VALUE"""),0.8136978319253932)</f>
        <v>0.8136978319</v>
      </c>
      <c r="AM181" s="30">
        <f>IFERROR(__xludf.DUMMYFUNCTION("""COMPUTED_VALUE"""),1.0660582478612033)</f>
        <v>1.066058248</v>
      </c>
      <c r="AN181" s="30">
        <f>IFERROR(__xludf.DUMMYFUNCTION("""COMPUTED_VALUE"""),1.0356349831026914)</f>
        <v>1.035634983</v>
      </c>
      <c r="AO181" s="30">
        <f>IFERROR(__xludf.DUMMYFUNCTION("""COMPUTED_VALUE"""),1.1167672533092954)</f>
        <v>1.116767253</v>
      </c>
      <c r="AP181" s="30">
        <f>IFERROR(__xludf.DUMMYFUNCTION("""COMPUTED_VALUE"""),0.7298693593176124)</f>
        <v>0.7298693593</v>
      </c>
      <c r="AQ181" s="30">
        <f>IFERROR(__xludf.DUMMYFUNCTION("""COMPUTED_VALUE"""),0.8769231084366627)</f>
        <v>0.8769231084</v>
      </c>
      <c r="AR181" s="30">
        <f>IFERROR(__xludf.DUMMYFUNCTION("""COMPUTED_VALUE"""),0.9973226681214582)</f>
        <v>0.9973226681</v>
      </c>
      <c r="AS181" s="30">
        <f>IFERROR(__xludf.DUMMYFUNCTION("""COMPUTED_VALUE"""),47.0)</f>
        <v>47</v>
      </c>
      <c r="AT181" s="30">
        <f>IFERROR(__xludf.DUMMYFUNCTION("""COMPUTED_VALUE"""),0.42038063106397283)</f>
        <v>0.4203806311</v>
      </c>
      <c r="AU181" s="30">
        <f>IFERROR(__xludf.DUMMYFUNCTION("""COMPUTED_VALUE"""),2.31251220780948)</f>
        <v>2.312512208</v>
      </c>
      <c r="AV181" s="32">
        <f>IFERROR(__xludf.DUMMYFUNCTION("""COMPUTED_VALUE"""),47.66482388264655)</f>
        <v>47.66482388</v>
      </c>
      <c r="AW181" s="32">
        <f>IFERROR(__xludf.DUMMYFUNCTION("""COMPUTED_VALUE"""),-2.160806824389891)</f>
        <v>-2.160806824</v>
      </c>
      <c r="AX181" s="32">
        <f>IFERROR(__xludf.DUMMYFUNCTION("""COMPUTED_VALUE"""),54.018108998814675)</f>
        <v>54.018109</v>
      </c>
      <c r="AY181" s="32">
        <f>IFERROR(__xludf.DUMMYFUNCTION("""COMPUTED_VALUE"""),2.292761573437542)</f>
        <v>2.292761573</v>
      </c>
      <c r="AZ181" s="30">
        <f>IFERROR(__xludf.DUMMYFUNCTION("""COMPUTED_VALUE"""),4.453568397827433)</f>
        <v>4.453568398</v>
      </c>
      <c r="BA181" s="30">
        <f>IFERROR(__xludf.DUMMYFUNCTION("""COMPUTED_VALUE"""),800.0)</f>
        <v>800</v>
      </c>
    </row>
    <row r="182">
      <c r="A182" s="30" t="str">
        <f>IFERROR(__xludf.DUMMYFUNCTION("""COMPUTED_VALUE"""),"Elite")</f>
        <v>Elite</v>
      </c>
      <c r="B182" s="30" t="str">
        <f>IFERROR(__xludf.DUMMYFUNCTION("""COMPUTED_VALUE"""),"RSC005508")</f>
        <v>RSC005508</v>
      </c>
      <c r="C182" s="30" t="str">
        <f>IFERROR(__xludf.DUMMYFUNCTION("""COMPUTED_VALUE"""),"Lil Windex")</f>
        <v>Lil Windex</v>
      </c>
      <c r="D182" s="30" t="str">
        <f>IFERROR(__xludf.DUMMYFUNCTION("""COMPUTED_VALUE"""),"Cyclones")</f>
        <v>Cyclones</v>
      </c>
      <c r="E182" s="30">
        <f>IFERROR(__xludf.DUMMYFUNCTION("""COMPUTED_VALUE"""),40.0)</f>
        <v>40</v>
      </c>
      <c r="F182" s="30">
        <f>IFERROR(__xludf.DUMMYFUNCTION("""COMPUTED_VALUE"""),24.0)</f>
        <v>24</v>
      </c>
      <c r="G182" s="30">
        <f>IFERROR(__xludf.DUMMYFUNCTION("""COMPUTED_VALUE"""),16.0)</f>
        <v>16</v>
      </c>
      <c r="H182" s="42">
        <f>IFERROR(__xludf.DUMMYFUNCTION("""COMPUTED_VALUE"""),0.6)</f>
        <v>0.6</v>
      </c>
      <c r="I182" s="42">
        <f>IFERROR(__xludf.DUMMYFUNCTION("""COMPUTED_VALUE"""),0.19811320754716982)</f>
        <v>0.1981132075</v>
      </c>
      <c r="J182" s="30">
        <f>IFERROR(__xludf.DUMMYFUNCTION("""COMPUTED_VALUE"""),382.225)</f>
        <v>382.225</v>
      </c>
      <c r="K182" s="30">
        <f>IFERROR(__xludf.DUMMYFUNCTION("""COMPUTED_VALUE"""),0.525)</f>
        <v>0.525</v>
      </c>
      <c r="L182" s="30">
        <f>IFERROR(__xludf.DUMMYFUNCTION("""COMPUTED_VALUE"""),0.7)</f>
        <v>0.7</v>
      </c>
      <c r="M182" s="30">
        <f>IFERROR(__xludf.DUMMYFUNCTION("""COMPUTED_VALUE"""),1.875)</f>
        <v>1.875</v>
      </c>
      <c r="N182" s="30">
        <f>IFERROR(__xludf.DUMMYFUNCTION("""COMPUTED_VALUE"""),2.65)</f>
        <v>2.65</v>
      </c>
      <c r="O182" s="30">
        <f>IFERROR(__xludf.DUMMYFUNCTION("""COMPUTED_VALUE"""),357.26666666666665)</f>
        <v>357.2666667</v>
      </c>
      <c r="P182" s="30">
        <f>IFERROR(__xludf.DUMMYFUNCTION("""COMPUTED_VALUE"""),0.65)</f>
        <v>0.65</v>
      </c>
      <c r="Q182" s="30">
        <f>IFERROR(__xludf.DUMMYFUNCTION("""COMPUTED_VALUE"""),0.4583333333333333)</f>
        <v>0.4583333333</v>
      </c>
      <c r="R182" s="30">
        <f>IFERROR(__xludf.DUMMYFUNCTION("""COMPUTED_VALUE"""),1.6666666666666665)</f>
        <v>1.666666667</v>
      </c>
      <c r="S182" s="30">
        <f>IFERROR(__xludf.DUMMYFUNCTION("""COMPUTED_VALUE"""),2.658333333333334)</f>
        <v>2.658333333</v>
      </c>
      <c r="T182" s="30">
        <f>IFERROR(__xludf.DUMMYFUNCTION("""COMPUTED_VALUE"""),354.8408684120364)</f>
        <v>354.8408684</v>
      </c>
      <c r="U182" s="30">
        <f>IFERROR(__xludf.DUMMYFUNCTION("""COMPUTED_VALUE"""),0.7205479293599046)</f>
        <v>0.7205479294</v>
      </c>
      <c r="V182" s="30">
        <f>IFERROR(__xludf.DUMMYFUNCTION("""COMPUTED_VALUE"""),0.49171061665100896)</f>
        <v>0.4917106167</v>
      </c>
      <c r="W182" s="30">
        <f>IFERROR(__xludf.DUMMYFUNCTION("""COMPUTED_VALUE"""),1.5485624232126565)</f>
        <v>1.548562423</v>
      </c>
      <c r="X182" s="30">
        <f>IFERROR(__xludf.DUMMYFUNCTION("""COMPUTED_VALUE"""),2.547279221105584)</f>
        <v>2.547279221</v>
      </c>
      <c r="Y182" s="30">
        <f>IFERROR(__xludf.DUMMYFUNCTION("""COMPUTED_VALUE"""),371.18848835871074)</f>
        <v>371.1884884</v>
      </c>
      <c r="Z182" s="30">
        <f>IFERROR(__xludf.DUMMYFUNCTION("""COMPUTED_VALUE"""),0.8391021005542543)</f>
        <v>0.8391021006</v>
      </c>
      <c r="AA182" s="30">
        <f>IFERROR(__xludf.DUMMYFUNCTION("""COMPUTED_VALUE"""),0.6412812760083865)</f>
        <v>0.641281276</v>
      </c>
      <c r="AB182" s="30">
        <f>IFERROR(__xludf.DUMMYFUNCTION("""COMPUTED_VALUE"""),1.3945824787199022)</f>
        <v>1.394582479</v>
      </c>
      <c r="AC182" s="30">
        <f>IFERROR(__xludf.DUMMYFUNCTION("""COMPUTED_VALUE"""),2.822240017094197)</f>
        <v>2.822240017</v>
      </c>
      <c r="AD182" s="30">
        <f>IFERROR(__xludf.DUMMYFUNCTION("""COMPUTED_VALUE"""),1.029732903868031)</f>
        <v>1.029732904</v>
      </c>
      <c r="AE182" s="30">
        <f>IFERROR(__xludf.DUMMYFUNCTION("""COMPUTED_VALUE"""),0.625668794838221)</f>
        <v>0.6256687948</v>
      </c>
      <c r="AF182" s="30">
        <f>IFERROR(__xludf.DUMMYFUNCTION("""COMPUTED_VALUE"""),1.091564694290007)</f>
        <v>1.091564694</v>
      </c>
      <c r="AG182" s="30">
        <f>IFERROR(__xludf.DUMMYFUNCTION("""COMPUTED_VALUE"""),1.3444884247513829)</f>
        <v>1.344488425</v>
      </c>
      <c r="AH182" s="30">
        <f>IFERROR(__xludf.DUMMYFUNCTION("""COMPUTED_VALUE"""),0.9389704574908774)</f>
        <v>0.9389704575</v>
      </c>
      <c r="AI182" s="30">
        <f>IFERROR(__xludf.DUMMYFUNCTION("""COMPUTED_VALUE"""),1.006836298945739)</f>
        <v>1.006836299</v>
      </c>
      <c r="AJ182" s="30">
        <f>IFERROR(__xludf.DUMMYFUNCTION("""COMPUTED_VALUE"""),0.9020912745907471)</f>
        <v>0.9020912746</v>
      </c>
      <c r="AK182" s="30">
        <f>IFERROR(__xludf.DUMMYFUNCTION("""COMPUTED_VALUE"""),0.9321200678053182)</f>
        <v>0.9321200678</v>
      </c>
      <c r="AL182" s="30">
        <f>IFERROR(__xludf.DUMMYFUNCTION("""COMPUTED_VALUE"""),1.076267021389419)</f>
        <v>1.076267021</v>
      </c>
      <c r="AM182" s="30">
        <f>IFERROR(__xludf.DUMMYFUNCTION("""COMPUTED_VALUE"""),1.0435971491886742)</f>
        <v>1.043597149</v>
      </c>
      <c r="AN182" s="30">
        <f>IFERROR(__xludf.DUMMYFUNCTION("""COMPUTED_VALUE"""),1.0902334122095745)</f>
        <v>1.090233412</v>
      </c>
      <c r="AO182" s="30">
        <f>IFERROR(__xludf.DUMMYFUNCTION("""COMPUTED_VALUE"""),0.740593020615638)</f>
        <v>0.7405930206</v>
      </c>
      <c r="AP182" s="30">
        <f>IFERROR(__xludf.DUMMYFUNCTION("""COMPUTED_VALUE"""),1.2261805236535888)</f>
        <v>1.226180524</v>
      </c>
      <c r="AQ182" s="30">
        <f>IFERROR(__xludf.DUMMYFUNCTION("""COMPUTED_VALUE"""),1.3153846626549939)</f>
        <v>1.315384663</v>
      </c>
      <c r="AR182" s="30">
        <f>IFERROR(__xludf.DUMMYFUNCTION("""COMPUTED_VALUE"""),1.0571620282087455)</f>
        <v>1.057162028</v>
      </c>
      <c r="AS182" s="30">
        <f>IFERROR(__xludf.DUMMYFUNCTION("""COMPUTED_VALUE"""),96.0)</f>
        <v>96</v>
      </c>
      <c r="AT182" s="30">
        <f>IFERROR(__xludf.DUMMYFUNCTION("""COMPUTED_VALUE"""),0.5785034580193539)</f>
        <v>0.578503458</v>
      </c>
      <c r="AU182" s="30">
        <f>IFERROR(__xludf.DUMMYFUNCTION("""COMPUTED_VALUE"""),2.3843368536971767)</f>
        <v>2.384336854</v>
      </c>
      <c r="AV182" s="32">
        <f>IFERROR(__xludf.DUMMYFUNCTION("""COMPUTED_VALUE"""),49.7308032942357)</f>
        <v>49.73080329</v>
      </c>
      <c r="AW182" s="32">
        <f>IFERROR(__xludf.DUMMYFUNCTION("""COMPUTED_VALUE"""),-2.017331601430498)</f>
        <v>-2.017331601</v>
      </c>
      <c r="AX182" s="32">
        <f>IFERROR(__xludf.DUMMYFUNCTION("""COMPUTED_VALUE"""),52.390321385252165)</f>
        <v>52.39032139</v>
      </c>
      <c r="AY182" s="32">
        <f>IFERROR(__xludf.DUMMYFUNCTION("""COMPUTED_VALUE"""),2.16490502699386)</f>
        <v>2.164905027</v>
      </c>
      <c r="AZ182" s="30">
        <f>IFERROR(__xludf.DUMMYFUNCTION("""COMPUTED_VALUE"""),4.1822366284243575)</f>
        <v>4.182236628</v>
      </c>
      <c r="BA182" s="30">
        <f>IFERROR(__xludf.DUMMYFUNCTION("""COMPUTED_VALUE"""),800.0)</f>
        <v>800</v>
      </c>
    </row>
    <row r="183">
      <c r="A183" s="30" t="str">
        <f>IFERROR(__xludf.DUMMYFUNCTION("""COMPUTED_VALUE"""),"Elite")</f>
        <v>Elite</v>
      </c>
      <c r="B183" s="30" t="str">
        <f>IFERROR(__xludf.DUMMYFUNCTION("""COMPUTED_VALUE"""),"RSC006056")</f>
        <v>RSC006056</v>
      </c>
      <c r="C183" s="30" t="str">
        <f>IFERROR(__xludf.DUMMYFUNCTION("""COMPUTED_VALUE"""),"redsteel43br")</f>
        <v>redsteel43br</v>
      </c>
      <c r="D183" s="30" t="str">
        <f>IFERROR(__xludf.DUMMYFUNCTION("""COMPUTED_VALUE"""),"Great Whites")</f>
        <v>Great Whites</v>
      </c>
      <c r="E183" s="30">
        <f>IFERROR(__xludf.DUMMYFUNCTION("""COMPUTED_VALUE"""),13.0)</f>
        <v>13</v>
      </c>
      <c r="F183" s="30">
        <f>IFERROR(__xludf.DUMMYFUNCTION("""COMPUTED_VALUE"""),8.0)</f>
        <v>8</v>
      </c>
      <c r="G183" s="30">
        <f>IFERROR(__xludf.DUMMYFUNCTION("""COMPUTED_VALUE"""),5.0)</f>
        <v>5</v>
      </c>
      <c r="H183" s="42">
        <f>IFERROR(__xludf.DUMMYFUNCTION("""COMPUTED_VALUE"""),0.6153846153846154)</f>
        <v>0.6153846154</v>
      </c>
      <c r="I183" s="42">
        <f>IFERROR(__xludf.DUMMYFUNCTION("""COMPUTED_VALUE"""),0.1951219512195122)</f>
        <v>0.1951219512</v>
      </c>
      <c r="J183" s="30">
        <f>IFERROR(__xludf.DUMMYFUNCTION("""COMPUTED_VALUE"""),299.84615384615387)</f>
        <v>299.8461538</v>
      </c>
      <c r="K183" s="30">
        <f>IFERROR(__xludf.DUMMYFUNCTION("""COMPUTED_VALUE"""),0.6153846153846154)</f>
        <v>0.6153846154</v>
      </c>
      <c r="L183" s="30">
        <f>IFERROR(__xludf.DUMMYFUNCTION("""COMPUTED_VALUE"""),0.6153846153846154)</f>
        <v>0.6153846154</v>
      </c>
      <c r="M183" s="30">
        <f>IFERROR(__xludf.DUMMYFUNCTION("""COMPUTED_VALUE"""),0.8461538461538461)</f>
        <v>0.8461538462</v>
      </c>
      <c r="N183" s="30">
        <f>IFERROR(__xludf.DUMMYFUNCTION("""COMPUTED_VALUE"""),3.1538461538461537)</f>
        <v>3.153846154</v>
      </c>
      <c r="O183" s="30">
        <f>IFERROR(__xludf.DUMMYFUNCTION("""COMPUTED_VALUE"""),383.2307692307692)</f>
        <v>383.2307692</v>
      </c>
      <c r="P183" s="30">
        <f>IFERROR(__xludf.DUMMYFUNCTION("""COMPUTED_VALUE"""),0.6666666666666666)</f>
        <v>0.6666666667</v>
      </c>
      <c r="Q183" s="30">
        <f>IFERROR(__xludf.DUMMYFUNCTION("""COMPUTED_VALUE"""),0.5641025641025641)</f>
        <v>0.5641025641</v>
      </c>
      <c r="R183" s="30">
        <f>IFERROR(__xludf.DUMMYFUNCTION("""COMPUTED_VALUE"""),1.8717948717948718)</f>
        <v>1.871794872</v>
      </c>
      <c r="S183" s="30">
        <f>IFERROR(__xludf.DUMMYFUNCTION("""COMPUTED_VALUE"""),2.41025641025641)</f>
        <v>2.41025641</v>
      </c>
      <c r="T183" s="30">
        <f>IFERROR(__xludf.DUMMYFUNCTION("""COMPUTED_VALUE"""),364.8840864851903)</f>
        <v>364.8840865</v>
      </c>
      <c r="U183" s="30">
        <f>IFERROR(__xludf.DUMMYFUNCTION("""COMPUTED_VALUE"""),0.705955924300768)</f>
        <v>0.7059559243</v>
      </c>
      <c r="V183" s="30">
        <f>IFERROR(__xludf.DUMMYFUNCTION("""COMPUTED_VALUE"""),0.42456395239762)</f>
        <v>0.4245639524</v>
      </c>
      <c r="W183" s="30">
        <f>IFERROR(__xludf.DUMMYFUNCTION("""COMPUTED_VALUE"""),1.7480314386683669)</f>
        <v>1.748031439</v>
      </c>
      <c r="X183" s="30">
        <f>IFERROR(__xludf.DUMMYFUNCTION("""COMPUTED_VALUE"""),2.3886825857357006)</f>
        <v>2.388682586</v>
      </c>
      <c r="Y183" s="30">
        <f>IFERROR(__xludf.DUMMYFUNCTION("""COMPUTED_VALUE"""),374.0525411212402)</f>
        <v>374.0525411</v>
      </c>
      <c r="Z183" s="30">
        <f>IFERROR(__xludf.DUMMYFUNCTION("""COMPUTED_VALUE"""),0.8782498565808716)</f>
        <v>0.8782498566</v>
      </c>
      <c r="AA183" s="30">
        <f>IFERROR(__xludf.DUMMYFUNCTION("""COMPUTED_VALUE"""),0.6540314605495431)</f>
        <v>0.6540314605</v>
      </c>
      <c r="AB183" s="30">
        <f>IFERROR(__xludf.DUMMYFUNCTION("""COMPUTED_VALUE"""),1.3037114132964716)</f>
        <v>1.303711413</v>
      </c>
      <c r="AC183" s="30">
        <f>IFERROR(__xludf.DUMMYFUNCTION("""COMPUTED_VALUE"""),3.0793004808539846)</f>
        <v>3.079300481</v>
      </c>
      <c r="AD183" s="30">
        <f>IFERROR(__xludf.DUMMYFUNCTION("""COMPUTED_VALUE"""),0.8016150697635974)</f>
        <v>0.8016150698</v>
      </c>
      <c r="AE183" s="30">
        <f>IFERROR(__xludf.DUMMYFUNCTION("""COMPUTED_VALUE"""),0.7006942395417848)</f>
        <v>0.7006942395</v>
      </c>
      <c r="AF183" s="30">
        <f>IFERROR(__xludf.DUMMYFUNCTION("""COMPUTED_VALUE"""),0.9409098071024671)</f>
        <v>0.9409098071</v>
      </c>
      <c r="AG183" s="30">
        <f>IFERROR(__xludf.DUMMYFUNCTION("""COMPUTED_VALUE"""),0.6490346234020625)</f>
        <v>0.6490346234</v>
      </c>
      <c r="AH183" s="30">
        <f>IFERROR(__xludf.DUMMYFUNCTION("""COMPUTED_VALUE"""),1.0242086387657419)</f>
        <v>1.024208639</v>
      </c>
      <c r="AI183" s="30">
        <f>IFERROR(__xludf.DUMMYFUNCTION("""COMPUTED_VALUE"""),1.050280851988659)</f>
        <v>1.050280852</v>
      </c>
      <c r="AJ183" s="30">
        <f>IFERROR(__xludf.DUMMYFUNCTION("""COMPUTED_VALUE"""),0.9443460189486809)</f>
        <v>0.9443460189</v>
      </c>
      <c r="AK183" s="30">
        <f>IFERROR(__xludf.DUMMYFUNCTION("""COMPUTED_VALUE"""),1.3286633519330462)</f>
        <v>1.328663352</v>
      </c>
      <c r="AL183" s="30">
        <f>IFERROR(__xludf.DUMMYFUNCTION("""COMPUTED_VALUE"""),1.070801605960123)</f>
        <v>1.070801606</v>
      </c>
      <c r="AM183" s="30">
        <f>IFERROR(__xludf.DUMMYFUNCTION("""COMPUTED_VALUE"""),1.0090316832590234)</f>
        <v>1.009031683</v>
      </c>
      <c r="AN183" s="30">
        <f>IFERROR(__xludf.DUMMYFUNCTION("""COMPUTED_VALUE"""),0.8552614178706504)</f>
        <v>0.8552614179</v>
      </c>
      <c r="AO183" s="30">
        <f>IFERROR(__xludf.DUMMYFUNCTION("""COMPUTED_VALUE"""),0.8680943831392094)</f>
        <v>0.8680943831</v>
      </c>
      <c r="AP183" s="30">
        <f>IFERROR(__xludf.DUMMYFUNCTION("""COMPUTED_VALUE"""),1.077960899915243)</f>
        <v>1.0779609</v>
      </c>
      <c r="AQ183" s="30">
        <f>IFERROR(__xludf.DUMMYFUNCTION("""COMPUTED_VALUE"""),0.5936094887878947)</f>
        <v>0.5936094888</v>
      </c>
      <c r="AR183" s="30">
        <f>IFERROR(__xludf.DUMMYFUNCTION("""COMPUTED_VALUE"""),1.258160904399378)</f>
        <v>1.258160904</v>
      </c>
      <c r="AS183" s="30">
        <f>IFERROR(__xludf.DUMMYFUNCTION("""COMPUTED_VALUE"""),32.0)</f>
        <v>32</v>
      </c>
      <c r="AT183" s="30">
        <f>IFERROR(__xludf.DUMMYFUNCTION("""COMPUTED_VALUE"""),0.5790664004237931)</f>
        <v>0.5790664004</v>
      </c>
      <c r="AU183" s="30">
        <f>IFERROR(__xludf.DUMMYFUNCTION("""COMPUTED_VALUE"""),2.2163011316071937)</f>
        <v>2.216301132</v>
      </c>
      <c r="AV183" s="32">
        <f>IFERROR(__xludf.DUMMYFUNCTION("""COMPUTED_VALUE"""),44.897387995645445)</f>
        <v>44.897388</v>
      </c>
      <c r="AW183" s="32">
        <f>IFERROR(__xludf.DUMMYFUNCTION("""COMPUTED_VALUE"""),-2.3858608540699935)</f>
        <v>-2.385860854</v>
      </c>
      <c r="AX183" s="32">
        <f>IFERROR(__xludf.DUMMYFUNCTION("""COMPUTED_VALUE"""),24.427732743315627)</f>
        <v>24.42773274</v>
      </c>
      <c r="AY183" s="32">
        <f>IFERROR(__xludf.DUMMYFUNCTION("""COMPUTED_VALUE"""),-6.528277376066539)</f>
        <v>-6.528277376</v>
      </c>
      <c r="AZ183" s="30">
        <f>IFERROR(__xludf.DUMMYFUNCTION("""COMPUTED_VALUE"""),4.142416521996545)</f>
        <v>4.142416522</v>
      </c>
      <c r="BA183" s="30">
        <f>IFERROR(__xludf.DUMMYFUNCTION("""COMPUTED_VALUE"""),800.0)</f>
        <v>800</v>
      </c>
    </row>
    <row r="184">
      <c r="A184" s="30" t="str">
        <f>IFERROR(__xludf.DUMMYFUNCTION("""COMPUTED_VALUE"""),"Elite")</f>
        <v>Elite</v>
      </c>
      <c r="B184" s="30" t="str">
        <f>IFERROR(__xludf.DUMMYFUNCTION("""COMPUTED_VALUE"""),"RSC007877")</f>
        <v>RSC007877</v>
      </c>
      <c r="C184" s="30" t="str">
        <f>IFERROR(__xludf.DUMMYFUNCTION("""COMPUTED_VALUE"""),"Torro")</f>
        <v>Torro</v>
      </c>
      <c r="D184" s="30" t="str">
        <f>IFERROR(__xludf.DUMMYFUNCTION("""COMPUTED_VALUE"""),"Wyverns")</f>
        <v>Wyverns</v>
      </c>
      <c r="E184" s="30">
        <f>IFERROR(__xludf.DUMMYFUNCTION("""COMPUTED_VALUE"""),19.0)</f>
        <v>19</v>
      </c>
      <c r="F184" s="30">
        <f>IFERROR(__xludf.DUMMYFUNCTION("""COMPUTED_VALUE"""),8.0)</f>
        <v>8</v>
      </c>
      <c r="G184" s="30">
        <f>IFERROR(__xludf.DUMMYFUNCTION("""COMPUTED_VALUE"""),11.0)</f>
        <v>11</v>
      </c>
      <c r="H184" s="42">
        <f>IFERROR(__xludf.DUMMYFUNCTION("""COMPUTED_VALUE"""),0.42105263157894735)</f>
        <v>0.4210526316</v>
      </c>
      <c r="I184" s="42">
        <f>IFERROR(__xludf.DUMMYFUNCTION("""COMPUTED_VALUE"""),0.1875)</f>
        <v>0.1875</v>
      </c>
      <c r="J184" s="30">
        <f>IFERROR(__xludf.DUMMYFUNCTION("""COMPUTED_VALUE"""),273.1578947368421)</f>
        <v>273.1578947</v>
      </c>
      <c r="K184" s="30">
        <f>IFERROR(__xludf.DUMMYFUNCTION("""COMPUTED_VALUE"""),0.3157894736842105)</f>
        <v>0.3157894737</v>
      </c>
      <c r="L184" s="30">
        <f>IFERROR(__xludf.DUMMYFUNCTION("""COMPUTED_VALUE"""),0.47368421052631576)</f>
        <v>0.4736842105</v>
      </c>
      <c r="M184" s="30">
        <f>IFERROR(__xludf.DUMMYFUNCTION("""COMPUTED_VALUE"""),1.2105263157894737)</f>
        <v>1.210526316</v>
      </c>
      <c r="N184" s="30">
        <f>IFERROR(__xludf.DUMMYFUNCTION("""COMPUTED_VALUE"""),1.6842105263157894)</f>
        <v>1.684210526</v>
      </c>
      <c r="O184" s="30">
        <f>IFERROR(__xludf.DUMMYFUNCTION("""COMPUTED_VALUE"""),351.66666666666663)</f>
        <v>351.6666667</v>
      </c>
      <c r="P184" s="30">
        <f>IFERROR(__xludf.DUMMYFUNCTION("""COMPUTED_VALUE"""),0.8421052631578947)</f>
        <v>0.8421052632</v>
      </c>
      <c r="Q184" s="30">
        <f>IFERROR(__xludf.DUMMYFUNCTION("""COMPUTED_VALUE"""),0.6842105263157895)</f>
        <v>0.6842105263</v>
      </c>
      <c r="R184" s="30">
        <f>IFERROR(__xludf.DUMMYFUNCTION("""COMPUTED_VALUE"""),1.2105263157894735)</f>
        <v>1.210526316</v>
      </c>
      <c r="S184" s="30">
        <f>IFERROR(__xludf.DUMMYFUNCTION("""COMPUTED_VALUE"""),2.543859649122807)</f>
        <v>2.543859649</v>
      </c>
      <c r="T184" s="30">
        <f>IFERROR(__xludf.DUMMYFUNCTION("""COMPUTED_VALUE"""),382.5124367808919)</f>
        <v>382.5124368</v>
      </c>
      <c r="U184" s="30">
        <f>IFERROR(__xludf.DUMMYFUNCTION("""COMPUTED_VALUE"""),0.9160829724228328)</f>
        <v>0.9160829724</v>
      </c>
      <c r="V184" s="30">
        <f>IFERROR(__xludf.DUMMYFUNCTION("""COMPUTED_VALUE"""),0.6358021886067875)</f>
        <v>0.6358021886</v>
      </c>
      <c r="W184" s="30">
        <f>IFERROR(__xludf.DUMMYFUNCTION("""COMPUTED_VALUE"""),1.4106217447855116)</f>
        <v>1.410621745</v>
      </c>
      <c r="X184" s="30">
        <f>IFERROR(__xludf.DUMMYFUNCTION("""COMPUTED_VALUE"""),2.8063666866008012)</f>
        <v>2.806366687</v>
      </c>
      <c r="Y184" s="30">
        <f>IFERROR(__xludf.DUMMYFUNCTION("""COMPUTED_VALUE"""),349.7020460794888)</f>
        <v>349.7020461</v>
      </c>
      <c r="Z184" s="30">
        <f>IFERROR(__xludf.DUMMYFUNCTION("""COMPUTED_VALUE"""),0.7221234407148523)</f>
        <v>0.7221234407</v>
      </c>
      <c r="AA184" s="30">
        <f>IFERROR(__xludf.DUMMYFUNCTION("""COMPUTED_VALUE"""),0.5177304120005675)</f>
        <v>0.517730412</v>
      </c>
      <c r="AB184" s="30">
        <f>IFERROR(__xludf.DUMMYFUNCTION("""COMPUTED_VALUE"""),1.4171316237467846)</f>
        <v>1.417131624</v>
      </c>
      <c r="AC184" s="30">
        <f>IFERROR(__xludf.DUMMYFUNCTION("""COMPUTED_VALUE"""),2.5450234716149183)</f>
        <v>2.545023472</v>
      </c>
      <c r="AD184" s="30">
        <f>IFERROR(__xludf.DUMMYFUNCTION("""COMPUTED_VALUE"""),0.7811160895374117)</f>
        <v>0.7811160895</v>
      </c>
      <c r="AE184" s="30">
        <f>IFERROR(__xludf.DUMMYFUNCTION("""COMPUTED_VALUE"""),0.43730677593238176)</f>
        <v>0.4373067759</v>
      </c>
      <c r="AF184" s="30">
        <f>IFERROR(__xludf.DUMMYFUNCTION("""COMPUTED_VALUE"""),0.9149244462884606)</f>
        <v>0.9149244463</v>
      </c>
      <c r="AG184" s="30">
        <f>IFERROR(__xludf.DUMMYFUNCTION("""COMPUTED_VALUE"""),0.8542088084866367)</f>
        <v>0.8542088085</v>
      </c>
      <c r="AH184" s="30">
        <f>IFERROR(__xludf.DUMMYFUNCTION("""COMPUTED_VALUE"""),0.6617662057344764)</f>
        <v>0.6617662057</v>
      </c>
      <c r="AI184" s="30">
        <f>IFERROR(__xludf.DUMMYFUNCTION("""COMPUTED_VALUE"""),0.9193600857169145)</f>
        <v>0.9193600857</v>
      </c>
      <c r="AJ184" s="30">
        <f>IFERROR(__xludf.DUMMYFUNCTION("""COMPUTED_VALUE"""),0.9192456234949071)</f>
        <v>0.9192456235</v>
      </c>
      <c r="AK184" s="30">
        <f>IFERROR(__xludf.DUMMYFUNCTION("""COMPUTED_VALUE"""),1.0761374191162782)</f>
        <v>1.076137419</v>
      </c>
      <c r="AL184" s="30">
        <f>IFERROR(__xludf.DUMMYFUNCTION("""COMPUTED_VALUE"""),0.8581508971234078)</f>
        <v>0.8581508971</v>
      </c>
      <c r="AM184" s="30">
        <f>IFERROR(__xludf.DUMMYFUNCTION("""COMPUTED_VALUE"""),0.9064601790167504)</f>
        <v>0.906460179</v>
      </c>
      <c r="AN184" s="30">
        <f>IFERROR(__xludf.DUMMYFUNCTION("""COMPUTED_VALUE"""),0.779137585586843)</f>
        <v>0.7791375856</v>
      </c>
      <c r="AO184" s="30">
        <f>IFERROR(__xludf.DUMMYFUNCTION("""COMPUTED_VALUE"""),0.44546948608459425)</f>
        <v>0.4454694861</v>
      </c>
      <c r="AP184" s="30">
        <f>IFERROR(__xludf.DUMMYFUNCTION("""COMPUTED_VALUE"""),0.8297462190137067)</f>
        <v>0.829746219</v>
      </c>
      <c r="AQ184" s="30">
        <f>IFERROR(__xludf.DUMMYFUNCTION("""COMPUTED_VALUE"""),0.849230799749189)</f>
        <v>0.8492307997</v>
      </c>
      <c r="AR184" s="30">
        <f>IFERROR(__xludf.DUMMYFUNCTION("""COMPUTED_VALUE"""),0.6718805343134033)</f>
        <v>0.6718805343</v>
      </c>
      <c r="AS184" s="30">
        <f>IFERROR(__xludf.DUMMYFUNCTION("""COMPUTED_VALUE"""),32.0)</f>
        <v>32</v>
      </c>
      <c r="AT184" s="30">
        <f>IFERROR(__xludf.DUMMYFUNCTION("""COMPUTED_VALUE"""),0.3514788578728219)</f>
        <v>0.3514788579</v>
      </c>
      <c r="AU184" s="30">
        <f>IFERROR(__xludf.DUMMYFUNCTION("""COMPUTED_VALUE"""),1.2912857611730593)</f>
        <v>1.291285761</v>
      </c>
      <c r="AV184" s="32">
        <f>IFERROR(__xludf.DUMMYFUNCTION("""COMPUTED_VALUE"""),18.290048869901277)</f>
        <v>18.29004887</v>
      </c>
      <c r="AW184" s="32">
        <f>IFERROR(__xludf.DUMMYFUNCTION("""COMPUTED_VALUE"""),-9.772503956941504)</f>
        <v>-9.772503957</v>
      </c>
      <c r="AX184" s="32">
        <f>IFERROR(__xludf.DUMMYFUNCTION("""COMPUTED_VALUE"""),26.360632356309207)</f>
        <v>26.36063236</v>
      </c>
      <c r="AY184" s="32">
        <f>IFERROR(__xludf.DUMMYFUNCTION("""COMPUTED_VALUE"""),-5.807781866161913)</f>
        <v>-5.807781866</v>
      </c>
      <c r="AZ184" s="30">
        <f>IFERROR(__xludf.DUMMYFUNCTION("""COMPUTED_VALUE"""),3.964722090779591)</f>
        <v>3.964722091</v>
      </c>
      <c r="BA184" s="30">
        <f>IFERROR(__xludf.DUMMYFUNCTION("""COMPUTED_VALUE"""),800.0)</f>
        <v>800</v>
      </c>
    </row>
    <row r="185">
      <c r="A185" s="30" t="str">
        <f>IFERROR(__xludf.DUMMYFUNCTION("""COMPUTED_VALUE"""),"Elite")</f>
        <v>Elite</v>
      </c>
      <c r="B185" s="30" t="str">
        <f>IFERROR(__xludf.DUMMYFUNCTION("""COMPUTED_VALUE"""),"RSC005754")</f>
        <v>RSC005754</v>
      </c>
      <c r="C185" s="30" t="str">
        <f>IFERROR(__xludf.DUMMYFUNCTION("""COMPUTED_VALUE"""),"Monty.")</f>
        <v>Monty.</v>
      </c>
      <c r="D185" s="30" t="str">
        <f>IFERROR(__xludf.DUMMYFUNCTION("""COMPUTED_VALUE"""),"Fire")</f>
        <v>Fire</v>
      </c>
      <c r="E185" s="30">
        <f>IFERROR(__xludf.DUMMYFUNCTION("""COMPUTED_VALUE"""),23.0)</f>
        <v>23</v>
      </c>
      <c r="F185" s="30">
        <f>IFERROR(__xludf.DUMMYFUNCTION("""COMPUTED_VALUE"""),9.0)</f>
        <v>9</v>
      </c>
      <c r="G185" s="30">
        <f>IFERROR(__xludf.DUMMYFUNCTION("""COMPUTED_VALUE"""),14.0)</f>
        <v>14</v>
      </c>
      <c r="H185" s="42">
        <f>IFERROR(__xludf.DUMMYFUNCTION("""COMPUTED_VALUE"""),0.391304347826087)</f>
        <v>0.3913043478</v>
      </c>
      <c r="I185" s="42">
        <f>IFERROR(__xludf.DUMMYFUNCTION("""COMPUTED_VALUE"""),0.1509433962264151)</f>
        <v>0.1509433962</v>
      </c>
      <c r="J185" s="30">
        <f>IFERROR(__xludf.DUMMYFUNCTION("""COMPUTED_VALUE"""),297.9130434782609)</f>
        <v>297.9130435</v>
      </c>
      <c r="K185" s="30">
        <f>IFERROR(__xludf.DUMMYFUNCTION("""COMPUTED_VALUE"""),0.34782608695652173)</f>
        <v>0.347826087</v>
      </c>
      <c r="L185" s="30">
        <f>IFERROR(__xludf.DUMMYFUNCTION("""COMPUTED_VALUE"""),0.6956521739130435)</f>
        <v>0.6956521739</v>
      </c>
      <c r="M185" s="30">
        <f>IFERROR(__xludf.DUMMYFUNCTION("""COMPUTED_VALUE"""),1.391304347826087)</f>
        <v>1.391304348</v>
      </c>
      <c r="N185" s="30">
        <f>IFERROR(__xludf.DUMMYFUNCTION("""COMPUTED_VALUE"""),2.3043478260869565)</f>
        <v>2.304347826</v>
      </c>
      <c r="O185" s="30">
        <f>IFERROR(__xludf.DUMMYFUNCTION("""COMPUTED_VALUE"""),388.7971014492754)</f>
        <v>388.7971014</v>
      </c>
      <c r="P185" s="30">
        <f>IFERROR(__xludf.DUMMYFUNCTION("""COMPUTED_VALUE"""),0.898550724637681)</f>
        <v>0.8985507246</v>
      </c>
      <c r="Q185" s="30">
        <f>IFERROR(__xludf.DUMMYFUNCTION("""COMPUTED_VALUE"""),0.6666666666666667)</f>
        <v>0.6666666667</v>
      </c>
      <c r="R185" s="30">
        <f>IFERROR(__xludf.DUMMYFUNCTION("""COMPUTED_VALUE"""),1.4637681159420295)</f>
        <v>1.463768116</v>
      </c>
      <c r="S185" s="30">
        <f>IFERROR(__xludf.DUMMYFUNCTION("""COMPUTED_VALUE"""),2.9130434782608687)</f>
        <v>2.913043478</v>
      </c>
      <c r="T185" s="30">
        <f>IFERROR(__xludf.DUMMYFUNCTION("""COMPUTED_VALUE"""),379.85930104614164)</f>
        <v>379.859301</v>
      </c>
      <c r="U185" s="30">
        <f>IFERROR(__xludf.DUMMYFUNCTION("""COMPUTED_VALUE"""),0.8595098356213423)</f>
        <v>0.8595098356</v>
      </c>
      <c r="V185" s="30">
        <f>IFERROR(__xludf.DUMMYFUNCTION("""COMPUTED_VALUE"""),0.5901223907662372)</f>
        <v>0.5901223908</v>
      </c>
      <c r="W185" s="30">
        <f>IFERROR(__xludf.DUMMYFUNCTION("""COMPUTED_VALUE"""),1.5017057950566242)</f>
        <v>1.501705795</v>
      </c>
      <c r="X185" s="30">
        <f>IFERROR(__xludf.DUMMYFUNCTION("""COMPUTED_VALUE"""),2.797101463040459)</f>
        <v>2.797101463</v>
      </c>
      <c r="Y185" s="30">
        <f>IFERROR(__xludf.DUMMYFUNCTION("""COMPUTED_VALUE"""),351.2986391831818)</f>
        <v>351.2986392</v>
      </c>
      <c r="Z185" s="30">
        <f>IFERROR(__xludf.DUMMYFUNCTION("""COMPUTED_VALUE"""),0.7001860784525428)</f>
        <v>0.7001860785</v>
      </c>
      <c r="AA185" s="30">
        <f>IFERROR(__xludf.DUMMYFUNCTION("""COMPUTED_VALUE"""),0.5150768441977949)</f>
        <v>0.5150768442</v>
      </c>
      <c r="AB185" s="30">
        <f>IFERROR(__xludf.DUMMYFUNCTION("""COMPUTED_VALUE"""),1.4610029436745458)</f>
        <v>1.461002944</v>
      </c>
      <c r="AC185" s="30">
        <f>IFERROR(__xludf.DUMMYFUNCTION("""COMPUTED_VALUE"""),2.5685703198884924)</f>
        <v>2.56857032</v>
      </c>
      <c r="AD185" s="30">
        <f>IFERROR(__xludf.DUMMYFUNCTION("""COMPUTED_VALUE"""),0.848033582398583)</f>
        <v>0.8480335824</v>
      </c>
      <c r="AE185" s="30">
        <f>IFERROR(__xludf.DUMMYFUNCTION("""COMPUTED_VALUE"""),0.49676235740824815)</f>
        <v>0.4967623574</v>
      </c>
      <c r="AF185" s="30">
        <f>IFERROR(__xludf.DUMMYFUNCTION("""COMPUTED_VALUE"""),1.3505793975197724)</f>
        <v>1.350579398</v>
      </c>
      <c r="AG185" s="30">
        <f>IFERROR(__xludf.DUMMYFUNCTION("""COMPUTED_VALUE"""),0.9522940072432976)</f>
        <v>0.9522940072</v>
      </c>
      <c r="AH185" s="30">
        <f>IFERROR(__xludf.DUMMYFUNCTION("""COMPUTED_VALUE"""),0.897132466354666)</f>
        <v>0.8971324664</v>
      </c>
      <c r="AI185" s="30">
        <f>IFERROR(__xludf.DUMMYFUNCTION("""COMPUTED_VALUE"""),1.023529239322346)</f>
        <v>1.023529239</v>
      </c>
      <c r="AJ185" s="30">
        <f>IFERROR(__xludf.DUMMYFUNCTION("""COMPUTED_VALUE"""),1.0454222713904326)</f>
        <v>1.045422271</v>
      </c>
      <c r="AK185" s="30">
        <f>IFERROR(__xludf.DUMMYFUNCTION("""COMPUTED_VALUE"""),1.1297091537249444)</f>
        <v>1.129709154</v>
      </c>
      <c r="AL185" s="30">
        <f>IFERROR(__xludf.DUMMYFUNCTION("""COMPUTED_VALUE"""),0.9747369429887802)</f>
        <v>0.974736943</v>
      </c>
      <c r="AM185" s="30">
        <f>IFERROR(__xludf.DUMMYFUNCTION("""COMPUTED_VALUE"""),1.0414507720768844)</f>
        <v>1.041450772</v>
      </c>
      <c r="AN185" s="30">
        <f>IFERROR(__xludf.DUMMYFUNCTION("""COMPUTED_VALUE"""),0.8497475411944369)</f>
        <v>0.8497475412</v>
      </c>
      <c r="AO185" s="30">
        <f>IFERROR(__xludf.DUMMYFUNCTION("""COMPUTED_VALUE"""),0.49066204264390095)</f>
        <v>0.4906620426</v>
      </c>
      <c r="AP185" s="30">
        <f>IFERROR(__xludf.DUMMYFUNCTION("""COMPUTED_VALUE"""),1.2185644955563615)</f>
        <v>1.218564496</v>
      </c>
      <c r="AQ185" s="30">
        <f>IFERROR(__xludf.DUMMYFUNCTION("""COMPUTED_VALUE"""),0.9760535467816767)</f>
        <v>0.9760535468</v>
      </c>
      <c r="AR185" s="30">
        <f>IFERROR(__xludf.DUMMYFUNCTION("""COMPUTED_VALUE"""),0.9192713288771701)</f>
        <v>0.9192713289</v>
      </c>
      <c r="AS185" s="30">
        <f>IFERROR(__xludf.DUMMYFUNCTION("""COMPUTED_VALUE"""),45.0)</f>
        <v>45</v>
      </c>
      <c r="AT185" s="30">
        <f>IFERROR(__xludf.DUMMYFUNCTION("""COMPUTED_VALUE"""),0.37796282983019036)</f>
        <v>0.3779628298</v>
      </c>
      <c r="AU185" s="30">
        <f>IFERROR(__xludf.DUMMYFUNCTION("""COMPUTED_VALUE"""),1.8386113719098687)</f>
        <v>1.838611372</v>
      </c>
      <c r="AV185" s="32">
        <f>IFERROR(__xludf.DUMMYFUNCTION("""COMPUTED_VALUE"""),34.03343930701864)</f>
        <v>34.03343931</v>
      </c>
      <c r="AW185" s="32">
        <f>IFERROR(__xludf.DUMMYFUNCTION("""COMPUTED_VALUE"""),-3.8237806117720154)</f>
        <v>-3.823780612</v>
      </c>
      <c r="AX185" s="32">
        <f>IFERROR(__xludf.DUMMYFUNCTION("""COMPUTED_VALUE"""),21.804286504122967)</f>
        <v>21.8042865</v>
      </c>
      <c r="AY185" s="32">
        <f>IFERROR(__xludf.DUMMYFUNCTION("""COMPUTED_VALUE"""),-7.71032797955149)</f>
        <v>-7.71032798</v>
      </c>
      <c r="AZ185" s="30">
        <f>IFERROR(__xludf.DUMMYFUNCTION("""COMPUTED_VALUE"""),3.8865473677794746)</f>
        <v>3.886547368</v>
      </c>
      <c r="BA185" s="30">
        <f>IFERROR(__xludf.DUMMYFUNCTION("""COMPUTED_VALUE"""),800.0)</f>
        <v>800</v>
      </c>
    </row>
    <row r="186">
      <c r="A186" s="30" t="str">
        <f>IFERROR(__xludf.DUMMYFUNCTION("""COMPUTED_VALUE"""),"Elite")</f>
        <v>Elite</v>
      </c>
      <c r="B186" s="30" t="str">
        <f>IFERROR(__xludf.DUMMYFUNCTION("""COMPUTED_VALUE"""),"RSC001986")</f>
        <v>RSC001986</v>
      </c>
      <c r="C186" s="30" t="str">
        <f>IFERROR(__xludf.DUMMYFUNCTION("""COMPUTED_VALUE"""),"Colinn")</f>
        <v>Colinn</v>
      </c>
      <c r="D186" s="30" t="str">
        <f>IFERROR(__xludf.DUMMYFUNCTION("""COMPUTED_VALUE"""),"Desolation")</f>
        <v>Desolation</v>
      </c>
      <c r="E186" s="30">
        <f>IFERROR(__xludf.DUMMYFUNCTION("""COMPUTED_VALUE"""),40.0)</f>
        <v>40</v>
      </c>
      <c r="F186" s="30">
        <f>IFERROR(__xludf.DUMMYFUNCTION("""COMPUTED_VALUE"""),26.0)</f>
        <v>26</v>
      </c>
      <c r="G186" s="30">
        <f>IFERROR(__xludf.DUMMYFUNCTION("""COMPUTED_VALUE"""),14.0)</f>
        <v>14</v>
      </c>
      <c r="H186" s="42">
        <f>IFERROR(__xludf.DUMMYFUNCTION("""COMPUTED_VALUE"""),0.65)</f>
        <v>0.65</v>
      </c>
      <c r="I186" s="42">
        <f>IFERROR(__xludf.DUMMYFUNCTION("""COMPUTED_VALUE"""),0.4259259259259259)</f>
        <v>0.4259259259</v>
      </c>
      <c r="J186" s="30">
        <f>IFERROR(__xludf.DUMMYFUNCTION("""COMPUTED_VALUE"""),404.675)</f>
        <v>404.675</v>
      </c>
      <c r="K186" s="30">
        <f>IFERROR(__xludf.DUMMYFUNCTION("""COMPUTED_VALUE"""),1.15)</f>
        <v>1.15</v>
      </c>
      <c r="L186" s="30">
        <f>IFERROR(__xludf.DUMMYFUNCTION("""COMPUTED_VALUE"""),0.575)</f>
        <v>0.575</v>
      </c>
      <c r="M186" s="30">
        <f>IFERROR(__xludf.DUMMYFUNCTION("""COMPUTED_VALUE"""),1.6)</f>
        <v>1.6</v>
      </c>
      <c r="N186" s="30">
        <f>IFERROR(__xludf.DUMMYFUNCTION("""COMPUTED_VALUE"""),2.7)</f>
        <v>2.7</v>
      </c>
      <c r="O186" s="30">
        <f>IFERROR(__xludf.DUMMYFUNCTION("""COMPUTED_VALUE"""),340.6916666666667)</f>
        <v>340.6916667</v>
      </c>
      <c r="P186" s="30">
        <f>IFERROR(__xludf.DUMMYFUNCTION("""COMPUTED_VALUE"""),0.7333333333333333)</f>
        <v>0.7333333333</v>
      </c>
      <c r="Q186" s="30">
        <f>IFERROR(__xludf.DUMMYFUNCTION("""COMPUTED_VALUE"""),0.5083333333333334)</f>
        <v>0.5083333333</v>
      </c>
      <c r="R186" s="30">
        <f>IFERROR(__xludf.DUMMYFUNCTION("""COMPUTED_VALUE"""),1.275)</f>
        <v>1.275</v>
      </c>
      <c r="S186" s="30">
        <f>IFERROR(__xludf.DUMMYFUNCTION("""COMPUTED_VALUE"""),2.6416666666666666)</f>
        <v>2.641666667</v>
      </c>
      <c r="T186" s="30">
        <f>IFERROR(__xludf.DUMMYFUNCTION("""COMPUTED_VALUE"""),359.6079809563063)</f>
        <v>359.607981</v>
      </c>
      <c r="U186" s="30">
        <f>IFERROR(__xludf.DUMMYFUNCTION("""COMPUTED_VALUE"""),0.7375031753707665)</f>
        <v>0.7375031754</v>
      </c>
      <c r="V186" s="30">
        <f>IFERROR(__xludf.DUMMYFUNCTION("""COMPUTED_VALUE"""),0.5587663867174684)</f>
        <v>0.5587663867</v>
      </c>
      <c r="W186" s="30">
        <f>IFERROR(__xludf.DUMMYFUNCTION("""COMPUTED_VALUE"""),1.4396258742620174)</f>
        <v>1.439625874</v>
      </c>
      <c r="X186" s="30">
        <f>IFERROR(__xludf.DUMMYFUNCTION("""COMPUTED_VALUE"""),2.60812505599902)</f>
        <v>2.608125056</v>
      </c>
      <c r="Y186" s="30">
        <f>IFERROR(__xludf.DUMMYFUNCTION("""COMPUTED_VALUE"""),369.4558300312282)</f>
        <v>369.45583</v>
      </c>
      <c r="Z186" s="30">
        <f>IFERROR(__xludf.DUMMYFUNCTION("""COMPUTED_VALUE"""),0.8096829986772995)</f>
        <v>0.8096829987</v>
      </c>
      <c r="AA186" s="30">
        <f>IFERROR(__xludf.DUMMYFUNCTION("""COMPUTED_VALUE"""),0.6063046658295433)</f>
        <v>0.6063046658</v>
      </c>
      <c r="AB186" s="30">
        <f>IFERROR(__xludf.DUMMYFUNCTION("""COMPUTED_VALUE"""),1.4544085075202777)</f>
        <v>1.454408508</v>
      </c>
      <c r="AC186" s="30">
        <f>IFERROR(__xludf.DUMMYFUNCTION("""COMPUTED_VALUE"""),2.730078602373448)</f>
        <v>2.730078602</v>
      </c>
      <c r="AD186" s="30">
        <f>IFERROR(__xludf.DUMMYFUNCTION("""COMPUTED_VALUE"""),1.0953271463216454)</f>
        <v>1.095327146</v>
      </c>
      <c r="AE186" s="30">
        <f>IFERROR(__xludf.DUMMYFUNCTION("""COMPUTED_VALUE"""),1.4203089380395082)</f>
        <v>1.420308938</v>
      </c>
      <c r="AF186" s="30">
        <f>IFERROR(__xludf.DUMMYFUNCTION("""COMPUTED_VALUE"""),0.9483680934786928)</f>
        <v>0.9483680935</v>
      </c>
      <c r="AG186" s="30">
        <f>IFERROR(__xludf.DUMMYFUNCTION("""COMPUTED_VALUE"""),1.1001035759395765)</f>
        <v>1.100103576</v>
      </c>
      <c r="AH186" s="30">
        <f>IFERROR(__xludf.DUMMYFUNCTION("""COMPUTED_VALUE"""),0.9889825141491171)</f>
        <v>0.9889825141</v>
      </c>
      <c r="AI186" s="30">
        <f>IFERROR(__xludf.DUMMYFUNCTION("""COMPUTED_VALUE"""),0.9473974013609615)</f>
        <v>0.9473974014</v>
      </c>
      <c r="AJ186" s="30">
        <f>IFERROR(__xludf.DUMMYFUNCTION("""COMPUTED_VALUE"""),0.994346001242182)</f>
        <v>0.9943460012</v>
      </c>
      <c r="AK186" s="30">
        <f>IFERROR(__xludf.DUMMYFUNCTION("""COMPUTED_VALUE"""),0.9097421488067505)</f>
        <v>0.9097421488</v>
      </c>
      <c r="AL186" s="30">
        <f>IFERROR(__xludf.DUMMYFUNCTION("""COMPUTED_VALUE"""),0.8856467661458167)</f>
        <v>0.8856467661</v>
      </c>
      <c r="AM186" s="30">
        <f>IFERROR(__xludf.DUMMYFUNCTION("""COMPUTED_VALUE"""),1.0128604303656747)</f>
        <v>1.01286043</v>
      </c>
      <c r="AN186" s="30">
        <f>IFERROR(__xludf.DUMMYFUNCTION("""COMPUTED_VALUE"""),1.1542683133910903)</f>
        <v>1.154268313</v>
      </c>
      <c r="AO186" s="30">
        <f>IFERROR(__xludf.DUMMYFUNCTION("""COMPUTED_VALUE"""),1.6222513784913974)</f>
        <v>1.622251378</v>
      </c>
      <c r="AP186" s="30">
        <f>IFERROR(__xludf.DUMMYFUNCTION("""COMPUTED_VALUE"""),1.0072197158583052)</f>
        <v>1.007219716</v>
      </c>
      <c r="AQ186" s="30">
        <f>IFERROR(__xludf.DUMMYFUNCTION("""COMPUTED_VALUE"""),1.1224615787989283)</f>
        <v>1.122461579</v>
      </c>
      <c r="AR186" s="30">
        <f>IFERROR(__xludf.DUMMYFUNCTION("""COMPUTED_VALUE"""),1.077108481571175)</f>
        <v>1.077108482</v>
      </c>
      <c r="AS186" s="30">
        <f>IFERROR(__xludf.DUMMYFUNCTION("""COMPUTED_VALUE"""),122.0)</f>
        <v>122</v>
      </c>
      <c r="AT186" s="30">
        <f>IFERROR(__xludf.DUMMYFUNCTION("""COMPUTED_VALUE"""),0.6285011056482308)</f>
        <v>0.6285011056</v>
      </c>
      <c r="AU186" s="30">
        <f>IFERROR(__xludf.DUMMYFUNCTION("""COMPUTED_VALUE"""),3.2849615309445963)</f>
        <v>3.284961531</v>
      </c>
      <c r="AV186" s="32">
        <f>IFERROR(__xludf.DUMMYFUNCTION("""COMPUTED_VALUE"""),75.63656332640619)</f>
        <v>75.63656333</v>
      </c>
      <c r="AW186" s="32">
        <f>IFERROR(__xludf.DUMMYFUNCTION("""COMPUTED_VALUE"""),6.5542611900020775)</f>
        <v>6.55426119</v>
      </c>
      <c r="AX186" s="32">
        <f>IFERROR(__xludf.DUMMYFUNCTION("""COMPUTED_VALUE"""),58.38652813297024)</f>
        <v>58.38652813</v>
      </c>
      <c r="AY186" s="32">
        <f>IFERROR(__xludf.DUMMYFUNCTION("""COMPUTED_VALUE"""),2.7126836741805387)</f>
        <v>2.712683674</v>
      </c>
      <c r="AZ186" s="30">
        <f>IFERROR(__xludf.DUMMYFUNCTION("""COMPUTED_VALUE"""),3.841577515821539)</f>
        <v>3.841577516</v>
      </c>
      <c r="BA186" s="30">
        <f>IFERROR(__xludf.DUMMYFUNCTION("""COMPUTED_VALUE"""),800.0)</f>
        <v>800</v>
      </c>
    </row>
    <row r="187">
      <c r="A187" s="30" t="str">
        <f>IFERROR(__xludf.DUMMYFUNCTION("""COMPUTED_VALUE"""),"Elite")</f>
        <v>Elite</v>
      </c>
      <c r="B187" s="30" t="str">
        <f>IFERROR(__xludf.DUMMYFUNCTION("""COMPUTED_VALUE"""),"RSC007882")</f>
        <v>RSC007882</v>
      </c>
      <c r="C187" s="30" t="str">
        <f>IFERROR(__xludf.DUMMYFUNCTION("""COMPUTED_VALUE"""),"mirage")</f>
        <v>mirage</v>
      </c>
      <c r="D187" s="30"/>
      <c r="E187" s="30">
        <f>IFERROR(__xludf.DUMMYFUNCTION("""COMPUTED_VALUE"""),12.0)</f>
        <v>12</v>
      </c>
      <c r="F187" s="30">
        <f>IFERROR(__xludf.DUMMYFUNCTION("""COMPUTED_VALUE"""),8.0)</f>
        <v>8</v>
      </c>
      <c r="G187" s="30">
        <f>IFERROR(__xludf.DUMMYFUNCTION("""COMPUTED_VALUE"""),4.0)</f>
        <v>4</v>
      </c>
      <c r="H187" s="42">
        <f>IFERROR(__xludf.DUMMYFUNCTION("""COMPUTED_VALUE"""),0.6666666666666666)</f>
        <v>0.6666666667</v>
      </c>
      <c r="I187" s="42">
        <f>IFERROR(__xludf.DUMMYFUNCTION("""COMPUTED_VALUE"""),0.4358974358974359)</f>
        <v>0.4358974359</v>
      </c>
      <c r="J187" s="30">
        <f>IFERROR(__xludf.DUMMYFUNCTION("""COMPUTED_VALUE"""),473.5833333333333)</f>
        <v>473.5833333</v>
      </c>
      <c r="K187" s="30">
        <f>IFERROR(__xludf.DUMMYFUNCTION("""COMPUTED_VALUE"""),1.4166666666666667)</f>
        <v>1.416666667</v>
      </c>
      <c r="L187" s="30">
        <f>IFERROR(__xludf.DUMMYFUNCTION("""COMPUTED_VALUE"""),0.3333333333333333)</f>
        <v>0.3333333333</v>
      </c>
      <c r="M187" s="30">
        <f>IFERROR(__xludf.DUMMYFUNCTION("""COMPUTED_VALUE"""),1.75)</f>
        <v>1.75</v>
      </c>
      <c r="N187" s="30">
        <f>IFERROR(__xludf.DUMMYFUNCTION("""COMPUTED_VALUE"""),3.25)</f>
        <v>3.25</v>
      </c>
      <c r="O187" s="30">
        <f>IFERROR(__xludf.DUMMYFUNCTION("""COMPUTED_VALUE"""),343.0)</f>
        <v>343</v>
      </c>
      <c r="P187" s="30">
        <f>IFERROR(__xludf.DUMMYFUNCTION("""COMPUTED_VALUE"""),0.638888888888889)</f>
        <v>0.6388888889</v>
      </c>
      <c r="Q187" s="30">
        <f>IFERROR(__xludf.DUMMYFUNCTION("""COMPUTED_VALUE"""),0.4444444444444444)</f>
        <v>0.4444444444</v>
      </c>
      <c r="R187" s="30">
        <f>IFERROR(__xludf.DUMMYFUNCTION("""COMPUTED_VALUE"""),1.388888888888889)</f>
        <v>1.388888889</v>
      </c>
      <c r="S187" s="30">
        <f>IFERROR(__xludf.DUMMYFUNCTION("""COMPUTED_VALUE"""),2.472222222222222)</f>
        <v>2.472222222</v>
      </c>
      <c r="T187" s="30">
        <f>IFERROR(__xludf.DUMMYFUNCTION("""COMPUTED_VALUE"""),336.08590519260093)</f>
        <v>336.0859052</v>
      </c>
      <c r="U187" s="30">
        <f>IFERROR(__xludf.DUMMYFUNCTION("""COMPUTED_VALUE"""),0.6381233930483493)</f>
        <v>0.638123393</v>
      </c>
      <c r="V187" s="30">
        <f>IFERROR(__xludf.DUMMYFUNCTION("""COMPUTED_VALUE"""),0.4579864233768416)</f>
        <v>0.4579864234</v>
      </c>
      <c r="W187" s="30">
        <f>IFERROR(__xludf.DUMMYFUNCTION("""COMPUTED_VALUE"""),1.504533390990182)</f>
        <v>1.504533391</v>
      </c>
      <c r="X187" s="30">
        <f>IFERROR(__xludf.DUMMYFUNCTION("""COMPUTED_VALUE"""),2.3488274044283433)</f>
        <v>2.348827404</v>
      </c>
      <c r="Y187" s="30">
        <f>IFERROR(__xludf.DUMMYFUNCTION("""COMPUTED_VALUE"""),379.9621005066035)</f>
        <v>379.9621005</v>
      </c>
      <c r="Z187" s="30">
        <f>IFERROR(__xludf.DUMMYFUNCTION("""COMPUTED_VALUE"""),0.9122521926177551)</f>
        <v>0.9122521926</v>
      </c>
      <c r="AA187" s="30">
        <f>IFERROR(__xludf.DUMMYFUNCTION("""COMPUTED_VALUE"""),0.7243214352798976)</f>
        <v>0.7243214353</v>
      </c>
      <c r="AB187" s="30">
        <f>IFERROR(__xludf.DUMMYFUNCTION("""COMPUTED_VALUE"""),1.3311066545377281)</f>
        <v>1.331106655</v>
      </c>
      <c r="AC187" s="30">
        <f>IFERROR(__xludf.DUMMYFUNCTION("""COMPUTED_VALUE"""),2.9144364235132776)</f>
        <v>2.914436424</v>
      </c>
      <c r="AD187" s="30">
        <f>IFERROR(__xludf.DUMMYFUNCTION("""COMPUTED_VALUE"""),1.2463962397878752)</f>
        <v>1.24639624</v>
      </c>
      <c r="AE187" s="30">
        <f>IFERROR(__xludf.DUMMYFUNCTION("""COMPUTED_VALUE"""),1.5529331451662156)</f>
        <v>1.552933145</v>
      </c>
      <c r="AF187" s="30">
        <f>IFERROR(__xludf.DUMMYFUNCTION("""COMPUTED_VALUE"""),0.4602008405350095)</f>
        <v>0.4602008405</v>
      </c>
      <c r="AG187" s="30">
        <f>IFERROR(__xludf.DUMMYFUNCTION("""COMPUTED_VALUE"""),1.3146955535337976)</f>
        <v>1.314695554</v>
      </c>
      <c r="AH187" s="30">
        <f>IFERROR(__xludf.DUMMYFUNCTION("""COMPUTED_VALUE"""),1.1151384102186759)</f>
        <v>1.11513841</v>
      </c>
      <c r="AI187" s="30">
        <f>IFERROR(__xludf.DUMMYFUNCTION("""COMPUTED_VALUE"""),1.0205724033664452)</f>
        <v>1.020572403</v>
      </c>
      <c r="AJ187" s="30">
        <f>IFERROR(__xludf.DUMMYFUNCTION("""COMPUTED_VALUE"""),1.001199604729867)</f>
        <v>1.001199605</v>
      </c>
      <c r="AK187" s="30">
        <f>IFERROR(__xludf.DUMMYFUNCTION("""COMPUTED_VALUE"""),0.9704314839017519)</f>
        <v>0.9704314839</v>
      </c>
      <c r="AL187" s="30">
        <f>IFERROR(__xludf.DUMMYFUNCTION("""COMPUTED_VALUE"""),0.9231359684046736)</f>
        <v>0.9231359684</v>
      </c>
      <c r="AM187" s="30">
        <f>IFERROR(__xludf.DUMMYFUNCTION("""COMPUTED_VALUE"""),1.0525346466757146)</f>
        <v>1.052534647</v>
      </c>
      <c r="AN187" s="30">
        <f>IFERROR(__xludf.DUMMYFUNCTION("""COMPUTED_VALUE"""),1.3508179042856543)</f>
        <v>1.350817904</v>
      </c>
      <c r="AO187" s="30">
        <f>IFERROR(__xludf.DUMMYFUNCTION("""COMPUTED_VALUE"""),1.998425611185055)</f>
        <v>1.998425611</v>
      </c>
      <c r="AP187" s="30">
        <f>IFERROR(__xludf.DUMMYFUNCTION("""COMPUTED_VALUE"""),0.5838954874540899)</f>
        <v>0.5838954875</v>
      </c>
      <c r="AQ187" s="30">
        <f>IFERROR(__xludf.DUMMYFUNCTION("""COMPUTED_VALUE"""),1.2276923518113276)</f>
        <v>1.227692352</v>
      </c>
      <c r="AR187" s="30">
        <f>IFERROR(__xludf.DUMMYFUNCTION("""COMPUTED_VALUE"""),1.2965194685578956)</f>
        <v>1.296519469</v>
      </c>
      <c r="AS187" s="30">
        <f>IFERROR(__xludf.DUMMYFUNCTION("""COMPUTED_VALUE"""),31.0)</f>
        <v>31</v>
      </c>
      <c r="AT187" s="30">
        <f>IFERROR(__xludf.DUMMYFUNCTION("""COMPUTED_VALUE"""),0.6129258353462961)</f>
        <v>0.6129258353</v>
      </c>
      <c r="AU187" s="30">
        <f>IFERROR(__xludf.DUMMYFUNCTION("""COMPUTED_VALUE"""),3.5450856829484523)</f>
        <v>3.545085683</v>
      </c>
      <c r="AV187" s="32">
        <f>IFERROR(__xludf.DUMMYFUNCTION("""COMPUTED_VALUE"""),83.11882983611284)</f>
        <v>83.11882984</v>
      </c>
      <c r="AW187" s="32">
        <f>IFERROR(__xludf.DUMMYFUNCTION("""COMPUTED_VALUE"""),10.7960450935647)</f>
        <v>10.79604509</v>
      </c>
      <c r="AX187" s="32">
        <f>IFERROR(__xludf.DUMMYFUNCTION("""COMPUTED_VALUE"""),87.18715160743872)</f>
        <v>87.18715161</v>
      </c>
      <c r="AY187" s="32">
        <f>IFERROR(__xludf.DUMMYFUNCTION("""COMPUTED_VALUE"""),14.61064659935942)</f>
        <v>14.6106466</v>
      </c>
      <c r="AZ187" s="30">
        <f>IFERROR(__xludf.DUMMYFUNCTION("""COMPUTED_VALUE"""),3.8146015057947196)</f>
        <v>3.814601506</v>
      </c>
      <c r="BA187" s="30">
        <f>IFERROR(__xludf.DUMMYFUNCTION("""COMPUTED_VALUE"""),800.0)</f>
        <v>800</v>
      </c>
    </row>
    <row r="188">
      <c r="A188" s="30" t="str">
        <f>IFERROR(__xludf.DUMMYFUNCTION("""COMPUTED_VALUE"""),"Elite")</f>
        <v>Elite</v>
      </c>
      <c r="B188" s="30" t="str">
        <f>IFERROR(__xludf.DUMMYFUNCTION("""COMPUTED_VALUE"""),"RSC007901")</f>
        <v>RSC007901</v>
      </c>
      <c r="C188" s="30" t="str">
        <f>IFERROR(__xludf.DUMMYFUNCTION("""COMPUTED_VALUE"""),"JUICY")</f>
        <v>JUICY</v>
      </c>
      <c r="D188" s="30" t="str">
        <f>IFERROR(__xludf.DUMMYFUNCTION("""COMPUTED_VALUE"""),"Despair")</f>
        <v>Despair</v>
      </c>
      <c r="E188" s="30">
        <f>IFERROR(__xludf.DUMMYFUNCTION("""COMPUTED_VALUE"""),47.0)</f>
        <v>47</v>
      </c>
      <c r="F188" s="30">
        <f>IFERROR(__xludf.DUMMYFUNCTION("""COMPUTED_VALUE"""),26.0)</f>
        <v>26</v>
      </c>
      <c r="G188" s="30">
        <f>IFERROR(__xludf.DUMMYFUNCTION("""COMPUTED_VALUE"""),21.0)</f>
        <v>21</v>
      </c>
      <c r="H188" s="42">
        <f>IFERROR(__xludf.DUMMYFUNCTION("""COMPUTED_VALUE"""),0.5531914893617021)</f>
        <v>0.5531914894</v>
      </c>
      <c r="I188" s="42">
        <f>IFERROR(__xludf.DUMMYFUNCTION("""COMPUTED_VALUE"""),0.30379746835443033)</f>
        <v>0.3037974684</v>
      </c>
      <c r="J188" s="30">
        <f>IFERROR(__xludf.DUMMYFUNCTION("""COMPUTED_VALUE"""),423.1914893617021)</f>
        <v>423.1914894</v>
      </c>
      <c r="K188" s="30">
        <f>IFERROR(__xludf.DUMMYFUNCTION("""COMPUTED_VALUE"""),1.0212765957446808)</f>
        <v>1.021276596</v>
      </c>
      <c r="L188" s="30">
        <f>IFERROR(__xludf.DUMMYFUNCTION("""COMPUTED_VALUE"""),0.5531914893617021)</f>
        <v>0.5531914894</v>
      </c>
      <c r="M188" s="30">
        <f>IFERROR(__xludf.DUMMYFUNCTION("""COMPUTED_VALUE"""),1.702127659574468)</f>
        <v>1.70212766</v>
      </c>
      <c r="N188" s="30">
        <f>IFERROR(__xludf.DUMMYFUNCTION("""COMPUTED_VALUE"""),3.3617021276595747)</f>
        <v>3.361702128</v>
      </c>
      <c r="O188" s="30">
        <f>IFERROR(__xludf.DUMMYFUNCTION("""COMPUTED_VALUE"""),360.4255319148936)</f>
        <v>360.4255319</v>
      </c>
      <c r="P188" s="30">
        <f>IFERROR(__xludf.DUMMYFUNCTION("""COMPUTED_VALUE"""),0.6879432624113474)</f>
        <v>0.6879432624</v>
      </c>
      <c r="Q188" s="30">
        <f>IFERROR(__xludf.DUMMYFUNCTION("""COMPUTED_VALUE"""),0.5106382978723406)</f>
        <v>0.5106382979</v>
      </c>
      <c r="R188" s="30">
        <f>IFERROR(__xludf.DUMMYFUNCTION("""COMPUTED_VALUE"""),1.5531914893617018)</f>
        <v>1.553191489</v>
      </c>
      <c r="S188" s="30">
        <f>IFERROR(__xludf.DUMMYFUNCTION("""COMPUTED_VALUE"""),2.6312056737588656)</f>
        <v>2.631205674</v>
      </c>
      <c r="T188" s="30">
        <f>IFERROR(__xludf.DUMMYFUNCTION("""COMPUTED_VALUE"""),359.11708743792127)</f>
        <v>359.1170874</v>
      </c>
      <c r="U188" s="30">
        <f>IFERROR(__xludf.DUMMYFUNCTION("""COMPUTED_VALUE"""),0.7364306640588276)</f>
        <v>0.7364306641</v>
      </c>
      <c r="V188" s="30">
        <f>IFERROR(__xludf.DUMMYFUNCTION("""COMPUTED_VALUE"""),0.5980563820469997)</f>
        <v>0.598056382</v>
      </c>
      <c r="W188" s="30">
        <f>IFERROR(__xludf.DUMMYFUNCTION("""COMPUTED_VALUE"""),1.4901647827271014)</f>
        <v>1.490164783</v>
      </c>
      <c r="X188" s="30">
        <f>IFERROR(__xludf.DUMMYFUNCTION("""COMPUTED_VALUE"""),2.6183010447873283)</f>
        <v>2.618301045</v>
      </c>
      <c r="Y188" s="30">
        <f>IFERROR(__xludf.DUMMYFUNCTION("""COMPUTED_VALUE"""),366.98775665577085)</f>
        <v>366.9877567</v>
      </c>
      <c r="Z188" s="30">
        <f>IFERROR(__xludf.DUMMYFUNCTION("""COMPUTED_VALUE"""),0.8146400992575418)</f>
        <v>0.8146400993</v>
      </c>
      <c r="AA188" s="30">
        <f>IFERROR(__xludf.DUMMYFUNCTION("""COMPUTED_VALUE"""),0.6056761113257324)</f>
        <v>0.6056761113</v>
      </c>
      <c r="AB188" s="30">
        <f>IFERROR(__xludf.DUMMYFUNCTION("""COMPUTED_VALUE"""),1.413373351305896)</f>
        <v>1.413373351</v>
      </c>
      <c r="AC188" s="30">
        <f>IFERROR(__xludf.DUMMYFUNCTION("""COMPUTED_VALUE"""),2.7316457972935613)</f>
        <v>2.731645797</v>
      </c>
      <c r="AD188" s="30">
        <f>IFERROR(__xludf.DUMMYFUNCTION("""COMPUTED_VALUE"""),1.1531487949845955)</f>
        <v>1.153148795</v>
      </c>
      <c r="AE188" s="30">
        <f>IFERROR(__xludf.DUMMYFUNCTION("""COMPUTED_VALUE"""),1.253653725952683)</f>
        <v>1.253653726</v>
      </c>
      <c r="AF188" s="30">
        <f>IFERROR(__xludf.DUMMYFUNCTION("""COMPUTED_VALUE"""),0.9133453986667075)</f>
        <v>0.9133453987</v>
      </c>
      <c r="AG188" s="30">
        <f>IFERROR(__xludf.DUMMYFUNCTION("""COMPUTED_VALUE"""),1.2043015088700912)</f>
        <v>1.204301509</v>
      </c>
      <c r="AH188" s="30">
        <f>IFERROR(__xludf.DUMMYFUNCTION("""COMPUTED_VALUE"""),1.230650815340062)</f>
        <v>1.230650815</v>
      </c>
      <c r="AI188" s="30">
        <f>IFERROR(__xludf.DUMMYFUNCTION("""COMPUTED_VALUE"""),1.0036435038118272)</f>
        <v>1.003643504</v>
      </c>
      <c r="AJ188" s="30">
        <f>IFERROR(__xludf.DUMMYFUNCTION("""COMPUTED_VALUE"""),0.9341589045460946)</f>
        <v>0.9341589045</v>
      </c>
      <c r="AK188" s="30">
        <f>IFERROR(__xludf.DUMMYFUNCTION("""COMPUTED_VALUE"""),0.8538296943250592)</f>
        <v>0.8538296943</v>
      </c>
      <c r="AL188" s="30">
        <f>IFERROR(__xludf.DUMMYFUNCTION("""COMPUTED_VALUE"""),1.0422951255895723)</f>
        <v>1.042295126</v>
      </c>
      <c r="AM188" s="30">
        <f>IFERROR(__xludf.DUMMYFUNCTION("""COMPUTED_VALUE"""),1.0049286269037812)</f>
        <v>1.004928627</v>
      </c>
      <c r="AN188" s="30">
        <f>IFERROR(__xludf.DUMMYFUNCTION("""COMPUTED_VALUE"""),1.2070835279347512)</f>
        <v>1.207083528</v>
      </c>
      <c r="AO188" s="30">
        <f>IFERROR(__xludf.DUMMYFUNCTION("""COMPUTED_VALUE"""),1.4406672741459219)</f>
        <v>1.440667274</v>
      </c>
      <c r="AP188" s="30">
        <f>IFERROR(__xludf.DUMMYFUNCTION("""COMPUTED_VALUE"""),0.9690180430089153)</f>
        <v>0.969018043</v>
      </c>
      <c r="AQ188" s="30">
        <f>IFERROR(__xludf.DUMMYFUNCTION("""COMPUTED_VALUE"""),1.1941080625520513)</f>
        <v>1.194108063</v>
      </c>
      <c r="AR188" s="30">
        <f>IFERROR(__xludf.DUMMYFUNCTION("""COMPUTED_VALUE"""),1.341080694154812)</f>
        <v>1.341080694</v>
      </c>
      <c r="AS188" s="30">
        <f>IFERROR(__xludf.DUMMYFUNCTION("""COMPUTED_VALUE"""),119.0)</f>
        <v>119</v>
      </c>
      <c r="AT188" s="30">
        <f>IFERROR(__xludf.DUMMYFUNCTION("""COMPUTED_VALUE"""),0.5785119052466591)</f>
        <v>0.5785119052</v>
      </c>
      <c r="AU188" s="30">
        <f>IFERROR(__xludf.DUMMYFUNCTION("""COMPUTED_VALUE"""),3.4197050286445627)</f>
        <v>3.419705029</v>
      </c>
      <c r="AV188" s="32">
        <f>IFERROR(__xludf.DUMMYFUNCTION("""COMPUTED_VALUE"""),79.51235399203514)</f>
        <v>79.51235399</v>
      </c>
      <c r="AW188" s="32">
        <f>IFERROR(__xludf.DUMMYFUNCTION("""COMPUTED_VALUE"""),8.410296944043465)</f>
        <v>8.410296944</v>
      </c>
      <c r="AX188" s="32">
        <f>IFERROR(__xludf.DUMMYFUNCTION("""COMPUTED_VALUE"""),69.71861747719811)</f>
        <v>69.71861748</v>
      </c>
      <c r="AY188" s="32">
        <f>IFERROR(__xludf.DUMMYFUNCTION("""COMPUTED_VALUE"""),4.648338795352406)</f>
        <v>4.648338795</v>
      </c>
      <c r="AZ188" s="30">
        <f>IFERROR(__xludf.DUMMYFUNCTION("""COMPUTED_VALUE"""),3.7619581486910585)</f>
        <v>3.761958149</v>
      </c>
      <c r="BA188" s="30">
        <f>IFERROR(__xludf.DUMMYFUNCTION("""COMPUTED_VALUE"""),800.0)</f>
        <v>800</v>
      </c>
    </row>
    <row r="189">
      <c r="A189" s="30" t="str">
        <f>IFERROR(__xludf.DUMMYFUNCTION("""COMPUTED_VALUE"""),"Elite")</f>
        <v>Elite</v>
      </c>
      <c r="B189" s="30" t="str">
        <f>IFERROR(__xludf.DUMMYFUNCTION("""COMPUTED_VALUE"""),"RSC003082")</f>
        <v>RSC003082</v>
      </c>
      <c r="C189" s="30" t="str">
        <f>IFERROR(__xludf.DUMMYFUNCTION("""COMPUTED_VALUE"""),"Skulzy9")</f>
        <v>Skulzy9</v>
      </c>
      <c r="D189" s="30" t="str">
        <f>IFERROR(__xludf.DUMMYFUNCTION("""COMPUTED_VALUE"""),"Drive Bye")</f>
        <v>Drive Bye</v>
      </c>
      <c r="E189" s="30">
        <f>IFERROR(__xludf.DUMMYFUNCTION("""COMPUTED_VALUE"""),28.0)</f>
        <v>28</v>
      </c>
      <c r="F189" s="30">
        <f>IFERROR(__xludf.DUMMYFUNCTION("""COMPUTED_VALUE"""),7.0)</f>
        <v>7</v>
      </c>
      <c r="G189" s="30">
        <f>IFERROR(__xludf.DUMMYFUNCTION("""COMPUTED_VALUE"""),21.0)</f>
        <v>21</v>
      </c>
      <c r="H189" s="42">
        <f>IFERROR(__xludf.DUMMYFUNCTION("""COMPUTED_VALUE"""),0.25)</f>
        <v>0.25</v>
      </c>
      <c r="I189" s="42">
        <f>IFERROR(__xludf.DUMMYFUNCTION("""COMPUTED_VALUE"""),0.1896551724137931)</f>
        <v>0.1896551724</v>
      </c>
      <c r="J189" s="30">
        <f>IFERROR(__xludf.DUMMYFUNCTION("""COMPUTED_VALUE"""),329.7857142857143)</f>
        <v>329.7857143</v>
      </c>
      <c r="K189" s="30">
        <f>IFERROR(__xludf.DUMMYFUNCTION("""COMPUTED_VALUE"""),0.39285714285714285)</f>
        <v>0.3928571429</v>
      </c>
      <c r="L189" s="30">
        <f>IFERROR(__xludf.DUMMYFUNCTION("""COMPUTED_VALUE"""),0.5)</f>
        <v>0.5</v>
      </c>
      <c r="M189" s="30">
        <f>IFERROR(__xludf.DUMMYFUNCTION("""COMPUTED_VALUE"""),1.4642857142857142)</f>
        <v>1.464285714</v>
      </c>
      <c r="N189" s="30">
        <f>IFERROR(__xludf.DUMMYFUNCTION("""COMPUTED_VALUE"""),2.0714285714285716)</f>
        <v>2.071428571</v>
      </c>
      <c r="O189" s="30">
        <f>IFERROR(__xludf.DUMMYFUNCTION("""COMPUTED_VALUE"""),383.1904761904761)</f>
        <v>383.1904762</v>
      </c>
      <c r="P189" s="30">
        <f>IFERROR(__xludf.DUMMYFUNCTION("""COMPUTED_VALUE"""),0.988095238095238)</f>
        <v>0.9880952381</v>
      </c>
      <c r="Q189" s="30">
        <f>IFERROR(__xludf.DUMMYFUNCTION("""COMPUTED_VALUE"""),0.8095238095238095)</f>
        <v>0.8095238095</v>
      </c>
      <c r="R189" s="30">
        <f>IFERROR(__xludf.DUMMYFUNCTION("""COMPUTED_VALUE"""),1.1785714285714284)</f>
        <v>1.178571429</v>
      </c>
      <c r="S189" s="30">
        <f>IFERROR(__xludf.DUMMYFUNCTION("""COMPUTED_VALUE"""),2.976190476190476)</f>
        <v>2.976190476</v>
      </c>
      <c r="T189" s="30">
        <f>IFERROR(__xludf.DUMMYFUNCTION("""COMPUTED_VALUE"""),367.95867620297605)</f>
        <v>367.9586762</v>
      </c>
      <c r="U189" s="30">
        <f>IFERROR(__xludf.DUMMYFUNCTION("""COMPUTED_VALUE"""),0.8295698048352247)</f>
        <v>0.8295698048</v>
      </c>
      <c r="V189" s="30">
        <f>IFERROR(__xludf.DUMMYFUNCTION("""COMPUTED_VALUE"""),0.6378707810541311)</f>
        <v>0.6378707811</v>
      </c>
      <c r="W189" s="30">
        <f>IFERROR(__xludf.DUMMYFUNCTION("""COMPUTED_VALUE"""),1.3843109613205673)</f>
        <v>1.384310961</v>
      </c>
      <c r="X189" s="30">
        <f>IFERROR(__xludf.DUMMYFUNCTION("""COMPUTED_VALUE"""),2.7051012086864796)</f>
        <v>2.705101209</v>
      </c>
      <c r="Y189" s="30">
        <f>IFERROR(__xludf.DUMMYFUNCTION("""COMPUTED_VALUE"""),345.6120352891936)</f>
        <v>345.6120353</v>
      </c>
      <c r="Z189" s="30">
        <f>IFERROR(__xludf.DUMMYFUNCTION("""COMPUTED_VALUE"""),0.7172852833157853)</f>
        <v>0.7172852833</v>
      </c>
      <c r="AA189" s="30">
        <f>IFERROR(__xludf.DUMMYFUNCTION("""COMPUTED_VALUE"""),0.5203866001276404)</f>
        <v>0.5203866001</v>
      </c>
      <c r="AB189" s="30">
        <f>IFERROR(__xludf.DUMMYFUNCTION("""COMPUTED_VALUE"""),1.3912690231502725)</f>
        <v>1.391269023</v>
      </c>
      <c r="AC189" s="30">
        <f>IFERROR(__xludf.DUMMYFUNCTION("""COMPUTED_VALUE"""),2.5229655537050775)</f>
        <v>2.522965554</v>
      </c>
      <c r="AD189" s="30">
        <f>IFERROR(__xludf.DUMMYFUNCTION("""COMPUTED_VALUE"""),0.9542078417777421)</f>
        <v>0.9542078418</v>
      </c>
      <c r="AE189" s="30">
        <f>IFERROR(__xludf.DUMMYFUNCTION("""COMPUTED_VALUE"""),0.5476999904990205)</f>
        <v>0.5476999905</v>
      </c>
      <c r="AF189" s="30">
        <f>IFERROR(__xludf.DUMMYFUNCTION("""COMPUTED_VALUE"""),0.9608241255200654)</f>
        <v>0.9608241255</v>
      </c>
      <c r="AG189" s="30">
        <f>IFERROR(__xludf.DUMMYFUNCTION("""COMPUTED_VALUE"""),1.052482079253162)</f>
        <v>1.052482079</v>
      </c>
      <c r="AH189" s="30">
        <f>IFERROR(__xludf.DUMMYFUNCTION("""COMPUTED_VALUE"""),0.8210292718371024)</f>
        <v>0.8210292718</v>
      </c>
      <c r="AI189" s="30">
        <f>IFERROR(__xludf.DUMMYFUNCTION("""COMPUTED_VALUE"""),1.0413954092472542)</f>
        <v>1.041395409</v>
      </c>
      <c r="AJ189" s="30">
        <f>IFERROR(__xludf.DUMMYFUNCTION("""COMPUTED_VALUE"""),1.1910935431063585)</f>
        <v>1.191093543</v>
      </c>
      <c r="AK189" s="30">
        <f>IFERROR(__xludf.DUMMYFUNCTION("""COMPUTED_VALUE"""),1.269103137450517)</f>
        <v>1.269103137</v>
      </c>
      <c r="AL189" s="30">
        <f>IFERROR(__xludf.DUMMYFUNCTION("""COMPUTED_VALUE"""),0.8513776611630142)</f>
        <v>0.8513776612</v>
      </c>
      <c r="AM189" s="30">
        <f>IFERROR(__xludf.DUMMYFUNCTION("""COMPUTED_VALUE"""),1.1002140942577263)</f>
        <v>1.100214094</v>
      </c>
      <c r="AN189" s="30">
        <f>IFERROR(__xludf.DUMMYFUNCTION("""COMPUTED_VALUE"""),0.940659047900284)</f>
        <v>0.9406590479</v>
      </c>
      <c r="AO189" s="30">
        <f>IFERROR(__xludf.DUMMYFUNCTION("""COMPUTED_VALUE"""),0.554185253521906)</f>
        <v>0.5541852535</v>
      </c>
      <c r="AP189" s="30">
        <f>IFERROR(__xludf.DUMMYFUNCTION("""COMPUTED_VALUE"""),0.8758432311811349)</f>
        <v>0.8758432312</v>
      </c>
      <c r="AQ189" s="30">
        <f>IFERROR(__xludf.DUMMYFUNCTION("""COMPUTED_VALUE"""),1.0272527841686618)</f>
        <v>1.027252784</v>
      </c>
      <c r="AR189" s="30">
        <f>IFERROR(__xludf.DUMMYFUNCTION("""COMPUTED_VALUE"""),0.8263530678720654)</f>
        <v>0.8263530679</v>
      </c>
      <c r="AS189" s="30">
        <f>IFERROR(__xludf.DUMMYFUNCTION("""COMPUTED_VALUE"""),43.0)</f>
        <v>43</v>
      </c>
      <c r="AT189" s="30">
        <f>IFERROR(__xludf.DUMMYFUNCTION("""COMPUTED_VALUE"""),0.2664610285836145)</f>
        <v>0.2664610286</v>
      </c>
      <c r="AU189" s="30">
        <f>IFERROR(__xludf.DUMMYFUNCTION("""COMPUTED_VALUE"""),1.5080218721636713)</f>
        <v>1.508021872</v>
      </c>
      <c r="AV189" s="32">
        <f>IFERROR(__xludf.DUMMYFUNCTION("""COMPUTED_VALUE"""),24.524292527080338)</f>
        <v>24.52429253</v>
      </c>
      <c r="AW189" s="32">
        <f>IFERROR(__xludf.DUMMYFUNCTION("""COMPUTED_VALUE"""),-6.489513085740868)</f>
        <v>-6.489513086</v>
      </c>
      <c r="AX189" s="32">
        <f>IFERROR(__xludf.DUMMYFUNCTION("""COMPUTED_VALUE"""),40.15859879649421)</f>
        <v>40.1585988</v>
      </c>
      <c r="AY189" s="32">
        <f>IFERROR(__xludf.DUMMYFUNCTION("""COMPUTED_VALUE"""),-2.882529728851146)</f>
        <v>-2.882529729</v>
      </c>
      <c r="AZ189" s="30">
        <f>IFERROR(__xludf.DUMMYFUNCTION("""COMPUTED_VALUE"""),3.6069833568897223)</f>
        <v>3.606983357</v>
      </c>
      <c r="BA189" s="30">
        <f>IFERROR(__xludf.DUMMYFUNCTION("""COMPUTED_VALUE"""),800.0)</f>
        <v>800</v>
      </c>
    </row>
    <row r="190">
      <c r="A190" s="30" t="str">
        <f>IFERROR(__xludf.DUMMYFUNCTION("""COMPUTED_VALUE"""),"Elite")</f>
        <v>Elite</v>
      </c>
      <c r="B190" s="30" t="str">
        <f>IFERROR(__xludf.DUMMYFUNCTION("""COMPUTED_VALUE"""),"RSC000867")</f>
        <v>RSC000867</v>
      </c>
      <c r="C190" s="30" t="str">
        <f>IFERROR(__xludf.DUMMYFUNCTION("""COMPUTED_VALUE"""),"Ritter")</f>
        <v>Ritter</v>
      </c>
      <c r="D190" s="30" t="str">
        <f>IFERROR(__xludf.DUMMYFUNCTION("""COMPUTED_VALUE"""),"Pylons")</f>
        <v>Pylons</v>
      </c>
      <c r="E190" s="30">
        <f>IFERROR(__xludf.DUMMYFUNCTION("""COMPUTED_VALUE"""),20.0)</f>
        <v>20</v>
      </c>
      <c r="F190" s="30">
        <f>IFERROR(__xludf.DUMMYFUNCTION("""COMPUTED_VALUE"""),7.0)</f>
        <v>7</v>
      </c>
      <c r="G190" s="30">
        <f>IFERROR(__xludf.DUMMYFUNCTION("""COMPUTED_VALUE"""),13.0)</f>
        <v>13</v>
      </c>
      <c r="H190" s="42">
        <f>IFERROR(__xludf.DUMMYFUNCTION("""COMPUTED_VALUE"""),0.35)</f>
        <v>0.35</v>
      </c>
      <c r="I190" s="42">
        <f>IFERROR(__xludf.DUMMYFUNCTION("""COMPUTED_VALUE"""),0.35)</f>
        <v>0.35</v>
      </c>
      <c r="J190" s="30">
        <f>IFERROR(__xludf.DUMMYFUNCTION("""COMPUTED_VALUE"""),323.05)</f>
        <v>323.05</v>
      </c>
      <c r="K190" s="30">
        <f>IFERROR(__xludf.DUMMYFUNCTION("""COMPUTED_VALUE"""),0.7)</f>
        <v>0.7</v>
      </c>
      <c r="L190" s="30">
        <f>IFERROR(__xludf.DUMMYFUNCTION("""COMPUTED_VALUE"""),0.65)</f>
        <v>0.65</v>
      </c>
      <c r="M190" s="30">
        <f>IFERROR(__xludf.DUMMYFUNCTION("""COMPUTED_VALUE"""),1.35)</f>
        <v>1.35</v>
      </c>
      <c r="N190" s="30">
        <f>IFERROR(__xludf.DUMMYFUNCTION("""COMPUTED_VALUE"""),2.0)</f>
        <v>2</v>
      </c>
      <c r="O190" s="30">
        <f>IFERROR(__xludf.DUMMYFUNCTION("""COMPUTED_VALUE"""),400.2333333333334)</f>
        <v>400.2333333</v>
      </c>
      <c r="P190" s="30">
        <f>IFERROR(__xludf.DUMMYFUNCTION("""COMPUTED_VALUE"""),1.05)</f>
        <v>1.05</v>
      </c>
      <c r="Q190" s="30">
        <f>IFERROR(__xludf.DUMMYFUNCTION("""COMPUTED_VALUE"""),0.7666666666666667)</f>
        <v>0.7666666667</v>
      </c>
      <c r="R190" s="30">
        <f>IFERROR(__xludf.DUMMYFUNCTION("""COMPUTED_VALUE"""),1.4333333333333331)</f>
        <v>1.433333333</v>
      </c>
      <c r="S190" s="30">
        <f>IFERROR(__xludf.DUMMYFUNCTION("""COMPUTED_VALUE"""),3.0833333333333335)</f>
        <v>3.083333333</v>
      </c>
      <c r="T190" s="30">
        <f>IFERROR(__xludf.DUMMYFUNCTION("""COMPUTED_VALUE"""),366.56546053676385)</f>
        <v>366.5654605</v>
      </c>
      <c r="U190" s="30">
        <f>IFERROR(__xludf.DUMMYFUNCTION("""COMPUTED_VALUE"""),0.8477252677890796)</f>
        <v>0.8477252678</v>
      </c>
      <c r="V190" s="30">
        <f>IFERROR(__xludf.DUMMYFUNCTION("""COMPUTED_VALUE"""),0.611230063554227)</f>
        <v>0.6112300636</v>
      </c>
      <c r="W190" s="30">
        <f>IFERROR(__xludf.DUMMYFUNCTION("""COMPUTED_VALUE"""),1.3392281935517896)</f>
        <v>1.339228194</v>
      </c>
      <c r="X190" s="30">
        <f>IFERROR(__xludf.DUMMYFUNCTION("""COMPUTED_VALUE"""),2.8361014206377226)</f>
        <v>2.836101421</v>
      </c>
      <c r="Y190" s="30">
        <f>IFERROR(__xludf.DUMMYFUNCTION("""COMPUTED_VALUE"""),358.46917051176035)</f>
        <v>358.4691705</v>
      </c>
      <c r="Z190" s="30">
        <f>IFERROR(__xludf.DUMMYFUNCTION("""COMPUTED_VALUE"""),0.7428834229746502)</f>
        <v>0.742883423</v>
      </c>
      <c r="AA190" s="30">
        <f>IFERROR(__xludf.DUMMYFUNCTION("""COMPUTED_VALUE"""),0.5568981326615094)</f>
        <v>0.5568981327</v>
      </c>
      <c r="AB190" s="30">
        <f>IFERROR(__xludf.DUMMYFUNCTION("""COMPUTED_VALUE"""),1.5196320561961518)</f>
        <v>1.519632056</v>
      </c>
      <c r="AC190" s="30">
        <f>IFERROR(__xludf.DUMMYFUNCTION("""COMPUTED_VALUE"""),2.5515911359426195)</f>
        <v>2.551591136</v>
      </c>
      <c r="AD190" s="30">
        <f>IFERROR(__xludf.DUMMYFUNCTION("""COMPUTED_VALUE"""),0.9011932589315981)</f>
        <v>0.9011932589</v>
      </c>
      <c r="AE190" s="30">
        <f>IFERROR(__xludf.DUMMYFUNCTION("""COMPUTED_VALUE"""),0.9422743573911818)</f>
        <v>0.9422743574</v>
      </c>
      <c r="AF190" s="30">
        <f>IFERROR(__xludf.DUMMYFUNCTION("""COMPUTED_VALUE"""),1.1671793491092188)</f>
        <v>1.167179349</v>
      </c>
      <c r="AG190" s="30">
        <f>IFERROR(__xludf.DUMMYFUNCTION("""COMPUTED_VALUE"""),0.888372941657493)</f>
        <v>0.8883729417</v>
      </c>
      <c r="AH190" s="30">
        <f>IFERROR(__xludf.DUMMYFUNCTION("""COMPUTED_VALUE"""),0.7838246386058053)</f>
        <v>0.7838246386</v>
      </c>
      <c r="AI190" s="30">
        <f>IFERROR(__xludf.DUMMYFUNCTION("""COMPUTED_VALUE"""),1.0918468225218751)</f>
        <v>1.091846823</v>
      </c>
      <c r="AJ190" s="30">
        <f>IFERROR(__xludf.DUMMYFUNCTION("""COMPUTED_VALUE"""),1.2386088275255325)</f>
        <v>1.238608828</v>
      </c>
      <c r="AK190" s="30">
        <f>IFERROR(__xludf.DUMMYFUNCTION("""COMPUTED_VALUE"""),1.2543013054832335)</f>
        <v>1.254301305</v>
      </c>
      <c r="AL190" s="30">
        <f>IFERROR(__xludf.DUMMYFUNCTION("""COMPUTED_VALUE"""),1.0702681889723107)</f>
        <v>1.070268189</v>
      </c>
      <c r="AM190" s="30">
        <f>IFERROR(__xludf.DUMMYFUNCTION("""COMPUTED_VALUE"""),1.087173156395803)</f>
        <v>1.087173156</v>
      </c>
      <c r="AN190" s="30">
        <f>IFERROR(__xludf.DUMMYFUNCTION("""COMPUTED_VALUE"""),0.921446540164309)</f>
        <v>0.9214465402</v>
      </c>
      <c r="AO190" s="30">
        <f>IFERROR(__xludf.DUMMYFUNCTION("""COMPUTED_VALUE"""),0.9874573608208506)</f>
        <v>0.9874573608</v>
      </c>
      <c r="AP190" s="30">
        <f>IFERROR(__xludf.DUMMYFUNCTION("""COMPUTED_VALUE"""),1.1385962005354755)</f>
        <v>1.138596201</v>
      </c>
      <c r="AQ190" s="30">
        <f>IFERROR(__xludf.DUMMYFUNCTION("""COMPUTED_VALUE"""),0.9470769571115957)</f>
        <v>0.9470769571</v>
      </c>
      <c r="AR190" s="30">
        <f>IFERROR(__xludf.DUMMYFUNCTION("""COMPUTED_VALUE"""),0.7978581344971665)</f>
        <v>0.7978581345</v>
      </c>
      <c r="AS190" s="30">
        <f>IFERROR(__xludf.DUMMYFUNCTION("""COMPUTED_VALUE"""),47.0)</f>
        <v>47</v>
      </c>
      <c r="AT190" s="30">
        <f>IFERROR(__xludf.DUMMYFUNCTION("""COMPUTED_VALUE"""),0.38274927675446535)</f>
        <v>0.3827492768</v>
      </c>
      <c r="AU190" s="30">
        <f>IFERROR(__xludf.DUMMYFUNCTION("""COMPUTED_VALUE"""),2.061150592238562)</f>
        <v>2.061150592</v>
      </c>
      <c r="AV190" s="32">
        <f>IFERROR(__xludf.DUMMYFUNCTION("""COMPUTED_VALUE"""),40.434604837149536)</f>
        <v>40.43460484</v>
      </c>
      <c r="AW190" s="32">
        <f>IFERROR(__xludf.DUMMYFUNCTION("""COMPUTED_VALUE"""),-2.848983983120717)</f>
        <v>-2.848983983</v>
      </c>
      <c r="AX190" s="32">
        <f>IFERROR(__xludf.DUMMYFUNCTION("""COMPUTED_VALUE"""),24.804839005963835)</f>
        <v>24.80483901</v>
      </c>
      <c r="AY190" s="32">
        <f>IFERROR(__xludf.DUMMYFUNCTION("""COMPUTED_VALUE"""),-6.378621030816316)</f>
        <v>-6.378621031</v>
      </c>
      <c r="AZ190" s="30">
        <f>IFERROR(__xludf.DUMMYFUNCTION("""COMPUTED_VALUE"""),3.5296370476955987)</f>
        <v>3.529637048</v>
      </c>
      <c r="BA190" s="30">
        <f>IFERROR(__xludf.DUMMYFUNCTION("""COMPUTED_VALUE"""),800.0)</f>
        <v>800</v>
      </c>
    </row>
    <row r="191">
      <c r="A191" s="30" t="str">
        <f>IFERROR(__xludf.DUMMYFUNCTION("""COMPUTED_VALUE"""),"Elite")</f>
        <v>Elite</v>
      </c>
      <c r="B191" s="30" t="str">
        <f>IFERROR(__xludf.DUMMYFUNCTION("""COMPUTED_VALUE"""),"RSC004797")</f>
        <v>RSC004797</v>
      </c>
      <c r="C191" s="30" t="str">
        <f>IFERROR(__xludf.DUMMYFUNCTION("""COMPUTED_VALUE"""),"Tempest")</f>
        <v>Tempest</v>
      </c>
      <c r="D191" s="30" t="str">
        <f>IFERROR(__xludf.DUMMYFUNCTION("""COMPUTED_VALUE"""),"Demons")</f>
        <v>Demons</v>
      </c>
      <c r="E191" s="30">
        <f>IFERROR(__xludf.DUMMYFUNCTION("""COMPUTED_VALUE"""),25.0)</f>
        <v>25</v>
      </c>
      <c r="F191" s="30">
        <f>IFERROR(__xludf.DUMMYFUNCTION("""COMPUTED_VALUE"""),11.0)</f>
        <v>11</v>
      </c>
      <c r="G191" s="30">
        <f>IFERROR(__xludf.DUMMYFUNCTION("""COMPUTED_VALUE"""),14.0)</f>
        <v>14</v>
      </c>
      <c r="H191" s="42">
        <f>IFERROR(__xludf.DUMMYFUNCTION("""COMPUTED_VALUE"""),0.44)</f>
        <v>0.44</v>
      </c>
      <c r="I191" s="42">
        <f>IFERROR(__xludf.DUMMYFUNCTION("""COMPUTED_VALUE"""),0.26666666666666666)</f>
        <v>0.2666666667</v>
      </c>
      <c r="J191" s="30">
        <f>IFERROR(__xludf.DUMMYFUNCTION("""COMPUTED_VALUE"""),400.72)</f>
        <v>400.72</v>
      </c>
      <c r="K191" s="30">
        <f>IFERROR(__xludf.DUMMYFUNCTION("""COMPUTED_VALUE"""),0.8)</f>
        <v>0.8</v>
      </c>
      <c r="L191" s="30">
        <f>IFERROR(__xludf.DUMMYFUNCTION("""COMPUTED_VALUE"""),0.8)</f>
        <v>0.8</v>
      </c>
      <c r="M191" s="30">
        <f>IFERROR(__xludf.DUMMYFUNCTION("""COMPUTED_VALUE"""),1.88)</f>
        <v>1.88</v>
      </c>
      <c r="N191" s="30">
        <f>IFERROR(__xludf.DUMMYFUNCTION("""COMPUTED_VALUE"""),3.0)</f>
        <v>3</v>
      </c>
      <c r="O191" s="30">
        <f>IFERROR(__xludf.DUMMYFUNCTION("""COMPUTED_VALUE"""),382.92)</f>
        <v>382.92</v>
      </c>
      <c r="P191" s="30">
        <f>IFERROR(__xludf.DUMMYFUNCTION("""COMPUTED_VALUE"""),0.8933333333333334)</f>
        <v>0.8933333333</v>
      </c>
      <c r="Q191" s="30">
        <f>IFERROR(__xludf.DUMMYFUNCTION("""COMPUTED_VALUE"""),0.72)</f>
        <v>0.72</v>
      </c>
      <c r="R191" s="30">
        <f>IFERROR(__xludf.DUMMYFUNCTION("""COMPUTED_VALUE"""),1.3200000000000003)</f>
        <v>1.32</v>
      </c>
      <c r="S191" s="30">
        <f>IFERROR(__xludf.DUMMYFUNCTION("""COMPUTED_VALUE"""),3.0000000000000004)</f>
        <v>3</v>
      </c>
      <c r="T191" s="30">
        <f>IFERROR(__xludf.DUMMYFUNCTION("""COMPUTED_VALUE"""),380.11097715106405)</f>
        <v>380.1109772</v>
      </c>
      <c r="U191" s="30">
        <f>IFERROR(__xludf.DUMMYFUNCTION("""COMPUTED_VALUE"""),0.905911461222887)</f>
        <v>0.9059114612</v>
      </c>
      <c r="V191" s="30">
        <f>IFERROR(__xludf.DUMMYFUNCTION("""COMPUTED_VALUE"""),0.6714192577802284)</f>
        <v>0.6714192578</v>
      </c>
      <c r="W191" s="30">
        <f>IFERROR(__xludf.DUMMYFUNCTION("""COMPUTED_VALUE"""),1.3934005864096861)</f>
        <v>1.393400586</v>
      </c>
      <c r="X191" s="30">
        <f>IFERROR(__xludf.DUMMYFUNCTION("""COMPUTED_VALUE"""),2.828832463692928)</f>
        <v>2.828832464</v>
      </c>
      <c r="Y191" s="30">
        <f>IFERROR(__xludf.DUMMYFUNCTION("""COMPUTED_VALUE"""),352.9561758489763)</f>
        <v>352.9561758</v>
      </c>
      <c r="Z191" s="30">
        <f>IFERROR(__xludf.DUMMYFUNCTION("""COMPUTED_VALUE"""),0.7222329416596355)</f>
        <v>0.7222329417</v>
      </c>
      <c r="AA191" s="30">
        <f>IFERROR(__xludf.DUMMYFUNCTION("""COMPUTED_VALUE"""),0.5282566842708399)</f>
        <v>0.5282566843</v>
      </c>
      <c r="AB191" s="30">
        <f>IFERROR(__xludf.DUMMYFUNCTION("""COMPUTED_VALUE"""),1.4858376212673485)</f>
        <v>1.485837621</v>
      </c>
      <c r="AC191" s="30">
        <f>IFERROR(__xludf.DUMMYFUNCTION("""COMPUTED_VALUE"""),2.4895880114791478)</f>
        <v>2.489588011</v>
      </c>
      <c r="AD191" s="30">
        <f>IFERROR(__xludf.DUMMYFUNCTION("""COMPUTED_VALUE"""),1.1353250840168356)</f>
        <v>1.135325084</v>
      </c>
      <c r="AE191" s="30">
        <f>IFERROR(__xludf.DUMMYFUNCTION("""COMPUTED_VALUE"""),1.1076758672370466)</f>
        <v>1.107675867</v>
      </c>
      <c r="AF191" s="30">
        <f>IFERROR(__xludf.DUMMYFUNCTION("""COMPUTED_VALUE"""),1.5144152905594581)</f>
        <v>1.514415291</v>
      </c>
      <c r="AG191" s="30">
        <f>IFERROR(__xludf.DUMMYFUNCTION("""COMPUTED_VALUE"""),1.2652795790676303)</f>
        <v>1.265279579</v>
      </c>
      <c r="AH191" s="30">
        <f>IFERROR(__xludf.DUMMYFUNCTION("""COMPUTED_VALUE"""),1.205018656166166)</f>
        <v>1.205018656</v>
      </c>
      <c r="AI191" s="30">
        <f>IFERROR(__xludf.DUMMYFUNCTION("""COMPUTED_VALUE"""),1.0073900071762978)</f>
        <v>1.007390007</v>
      </c>
      <c r="AJ191" s="30">
        <f>IFERROR(__xludf.DUMMYFUNCTION("""COMPUTED_VALUE"""),0.9861154997723791)</f>
        <v>0.9861154998</v>
      </c>
      <c r="AK191" s="30">
        <f>IFERROR(__xludf.DUMMYFUNCTION("""COMPUTED_VALUE"""),1.0723553005917403)</f>
        <v>1.072355301</v>
      </c>
      <c r="AL191" s="30">
        <f>IFERROR(__xludf.DUMMYFUNCTION("""COMPUTED_VALUE"""),0.9473226959098575)</f>
        <v>0.9473226959</v>
      </c>
      <c r="AM191" s="30">
        <f>IFERROR(__xludf.DUMMYFUNCTION("""COMPUTED_VALUE"""),1.060508191454937)</f>
        <v>1.060508191</v>
      </c>
      <c r="AN191" s="30">
        <f>IFERROR(__xludf.DUMMYFUNCTION("""COMPUTED_VALUE"""),1.1429873319134558)</f>
        <v>1.142987332</v>
      </c>
      <c r="AO191" s="30">
        <f>IFERROR(__xludf.DUMMYFUNCTION("""COMPUTED_VALUE"""),1.1285226980809722)</f>
        <v>1.128522698</v>
      </c>
      <c r="AP191" s="30">
        <f>IFERROR(__xludf.DUMMYFUNCTION("""COMPUTED_VALUE"""),1.401349169889816)</f>
        <v>1.40134917</v>
      </c>
      <c r="AQ191" s="30">
        <f>IFERROR(__xludf.DUMMYFUNCTION("""COMPUTED_VALUE"""),1.3188923550887406)</f>
        <v>1.318892355</v>
      </c>
      <c r="AR191" s="30">
        <f>IFERROR(__xludf.DUMMYFUNCTION("""COMPUTED_VALUE"""),1.1967872017457497)</f>
        <v>1.196787202</v>
      </c>
      <c r="AS191" s="30">
        <f>IFERROR(__xludf.DUMMYFUNCTION("""COMPUTED_VALUE"""),64.0)</f>
        <v>64</v>
      </c>
      <c r="AT191" s="30">
        <f>IFERROR(__xludf.DUMMYFUNCTION("""COMPUTED_VALUE"""),0.4815860261736789)</f>
        <v>0.4815860262</v>
      </c>
      <c r="AU191" s="30">
        <f>IFERROR(__xludf.DUMMYFUNCTION("""COMPUTED_VALUE"""),3.267198402709665)</f>
        <v>3.267198403</v>
      </c>
      <c r="AV191" s="32">
        <f>IFERROR(__xludf.DUMMYFUNCTION("""COMPUTED_VALUE"""),75.12562092265016)</f>
        <v>75.12562092</v>
      </c>
      <c r="AW191" s="32">
        <f>IFERROR(__xludf.DUMMYFUNCTION("""COMPUTED_VALUE"""),6.351527368713917)</f>
        <v>6.351527369</v>
      </c>
      <c r="AX191" s="32">
        <f>IFERROR(__xludf.DUMMYFUNCTION("""COMPUTED_VALUE"""),60.63763150803986)</f>
        <v>60.63763151</v>
      </c>
      <c r="AY191" s="32">
        <f>IFERROR(__xludf.DUMMYFUNCTION("""COMPUTED_VALUE"""),2.982989260296853)</f>
        <v>2.98298926</v>
      </c>
      <c r="AZ191" s="30">
        <f>IFERROR(__xludf.DUMMYFUNCTION("""COMPUTED_VALUE"""),3.3685381084170642)</f>
        <v>3.368538108</v>
      </c>
      <c r="BA191" s="30">
        <f>IFERROR(__xludf.DUMMYFUNCTION("""COMPUTED_VALUE"""),800.0)</f>
        <v>800</v>
      </c>
    </row>
    <row r="192">
      <c r="A192" s="30" t="str">
        <f>IFERROR(__xludf.DUMMYFUNCTION("""COMPUTED_VALUE"""),"Elite")</f>
        <v>Elite</v>
      </c>
      <c r="B192" s="30" t="str">
        <f>IFERROR(__xludf.DUMMYFUNCTION("""COMPUTED_VALUE"""),"RSC007354")</f>
        <v>RSC007354</v>
      </c>
      <c r="C192" s="30" t="str">
        <f>IFERROR(__xludf.DUMMYFUNCTION("""COMPUTED_VALUE"""),"Fanatic")</f>
        <v>Fanatic</v>
      </c>
      <c r="D192" s="30" t="str">
        <f>IFERROR(__xludf.DUMMYFUNCTION("""COMPUTED_VALUE"""),"Desolation")</f>
        <v>Desolation</v>
      </c>
      <c r="E192" s="30">
        <f>IFERROR(__xludf.DUMMYFUNCTION("""COMPUTED_VALUE"""),44.0)</f>
        <v>44</v>
      </c>
      <c r="F192" s="30">
        <f>IFERROR(__xludf.DUMMYFUNCTION("""COMPUTED_VALUE"""),28.0)</f>
        <v>28</v>
      </c>
      <c r="G192" s="30">
        <f>IFERROR(__xludf.DUMMYFUNCTION("""COMPUTED_VALUE"""),16.0)</f>
        <v>16</v>
      </c>
      <c r="H192" s="42">
        <f>IFERROR(__xludf.DUMMYFUNCTION("""COMPUTED_VALUE"""),0.6363636363636364)</f>
        <v>0.6363636364</v>
      </c>
      <c r="I192" s="42">
        <f>IFERROR(__xludf.DUMMYFUNCTION("""COMPUTED_VALUE"""),0.33858267716535434)</f>
        <v>0.3385826772</v>
      </c>
      <c r="J192" s="30">
        <f>IFERROR(__xludf.DUMMYFUNCTION("""COMPUTED_VALUE"""),398.8863636363636)</f>
        <v>398.8863636</v>
      </c>
      <c r="K192" s="30">
        <f>IFERROR(__xludf.DUMMYFUNCTION("""COMPUTED_VALUE"""),0.9772727272727273)</f>
        <v>0.9772727273</v>
      </c>
      <c r="L192" s="30">
        <f>IFERROR(__xludf.DUMMYFUNCTION("""COMPUTED_VALUE"""),0.75)</f>
        <v>0.75</v>
      </c>
      <c r="M192" s="30">
        <f>IFERROR(__xludf.DUMMYFUNCTION("""COMPUTED_VALUE"""),1.4090909090909092)</f>
        <v>1.409090909</v>
      </c>
      <c r="N192" s="30">
        <f>IFERROR(__xludf.DUMMYFUNCTION("""COMPUTED_VALUE"""),2.8863636363636362)</f>
        <v>2.886363636</v>
      </c>
      <c r="O192" s="30">
        <f>IFERROR(__xludf.DUMMYFUNCTION("""COMPUTED_VALUE"""),349.3712121212121)</f>
        <v>349.3712121</v>
      </c>
      <c r="P192" s="30">
        <f>IFERROR(__xludf.DUMMYFUNCTION("""COMPUTED_VALUE"""),0.7272727272727273)</f>
        <v>0.7272727273</v>
      </c>
      <c r="Q192" s="30">
        <f>IFERROR(__xludf.DUMMYFUNCTION("""COMPUTED_VALUE"""),0.49242424242424254)</f>
        <v>0.4924242424</v>
      </c>
      <c r="R192" s="30">
        <f>IFERROR(__xludf.DUMMYFUNCTION("""COMPUTED_VALUE"""),1.409090909090909)</f>
        <v>1.409090909</v>
      </c>
      <c r="S192" s="30">
        <f>IFERROR(__xludf.DUMMYFUNCTION("""COMPUTED_VALUE"""),2.5606060606060606)</f>
        <v>2.560606061</v>
      </c>
      <c r="T192" s="30">
        <f>IFERROR(__xludf.DUMMYFUNCTION("""COMPUTED_VALUE"""),358.3684220126144)</f>
        <v>358.368422</v>
      </c>
      <c r="U192" s="30">
        <f>IFERROR(__xludf.DUMMYFUNCTION("""COMPUTED_VALUE"""),0.7145039492809072)</f>
        <v>0.7145039493</v>
      </c>
      <c r="V192" s="30">
        <f>IFERROR(__xludf.DUMMYFUNCTION("""COMPUTED_VALUE"""),0.5443611948315217)</f>
        <v>0.5443611948</v>
      </c>
      <c r="W192" s="30">
        <f>IFERROR(__xludf.DUMMYFUNCTION("""COMPUTED_VALUE"""),1.474625264102159)</f>
        <v>1.474625264</v>
      </c>
      <c r="X192" s="30">
        <f>IFERROR(__xludf.DUMMYFUNCTION("""COMPUTED_VALUE"""),2.5759971613312245)</f>
        <v>2.575997161</v>
      </c>
      <c r="Y192" s="30">
        <f>IFERROR(__xludf.DUMMYFUNCTION("""COMPUTED_VALUE"""),367.9823558346742)</f>
        <v>367.9823558</v>
      </c>
      <c r="Z192" s="30">
        <f>IFERROR(__xludf.DUMMYFUNCTION("""COMPUTED_VALUE"""),0.7963991624996162)</f>
        <v>0.7963991625</v>
      </c>
      <c r="AA192" s="30">
        <f>IFERROR(__xludf.DUMMYFUNCTION("""COMPUTED_VALUE"""),0.6009007021648824)</f>
        <v>0.6009007022</v>
      </c>
      <c r="AB192" s="30">
        <f>IFERROR(__xludf.DUMMYFUNCTION("""COMPUTED_VALUE"""),1.448723497742007)</f>
        <v>1.448723498</v>
      </c>
      <c r="AC192" s="30">
        <f>IFERROR(__xludf.DUMMYFUNCTION("""COMPUTED_VALUE"""),2.7353945673913755)</f>
        <v>2.735394567</v>
      </c>
      <c r="AD192" s="30">
        <f>IFERROR(__xludf.DUMMYFUNCTION("""COMPUTED_VALUE"""),1.0839823086940992)</f>
        <v>1.083982309</v>
      </c>
      <c r="AE192" s="30">
        <f>IFERROR(__xludf.DUMMYFUNCTION("""COMPUTED_VALUE"""),1.2271142076611592)</f>
        <v>1.227114208</v>
      </c>
      <c r="AF192" s="30">
        <f>IFERROR(__xludf.DUMMYFUNCTION("""COMPUTED_VALUE"""),1.248126349824444)</f>
        <v>1.24812635</v>
      </c>
      <c r="AG192" s="30">
        <f>IFERROR(__xludf.DUMMYFUNCTION("""COMPUTED_VALUE"""),0.9726430966896931)</f>
        <v>0.9726430967</v>
      </c>
      <c r="AH192" s="30">
        <f>IFERROR(__xludf.DUMMYFUNCTION("""COMPUTED_VALUE"""),1.0551909661487093)</f>
        <v>1.055190966</v>
      </c>
      <c r="AI192" s="30">
        <f>IFERROR(__xludf.DUMMYFUNCTION("""COMPUTED_VALUE"""),0.9748939657102779)</f>
        <v>0.9748939657</v>
      </c>
      <c r="AJ192" s="30">
        <f>IFERROR(__xludf.DUMMYFUNCTION("""COMPUTED_VALUE"""),1.0178708291321146)</f>
        <v>1.017870829</v>
      </c>
      <c r="AK192" s="30">
        <f>IFERROR(__xludf.DUMMYFUNCTION("""COMPUTED_VALUE"""),0.9045910088735228)</f>
        <v>0.9045910089</v>
      </c>
      <c r="AL192" s="30">
        <f>IFERROR(__xludf.DUMMYFUNCTION("""COMPUTED_VALUE"""),0.9555586381119332)</f>
        <v>0.9555586381</v>
      </c>
      <c r="AM192" s="30">
        <f>IFERROR(__xludf.DUMMYFUNCTION("""COMPUTED_VALUE"""),0.9940251872338205)</f>
        <v>0.9940251872</v>
      </c>
      <c r="AN192" s="30">
        <f>IFERROR(__xludf.DUMMYFUNCTION("""COMPUTED_VALUE"""),1.1377571883344675)</f>
        <v>1.137757188</v>
      </c>
      <c r="AO192" s="30">
        <f>IFERROR(__xludf.DUMMYFUNCTION("""COMPUTED_VALUE"""),1.3785930686784604)</f>
        <v>1.378593069</v>
      </c>
      <c r="AP192" s="30">
        <f>IFERROR(__xludf.DUMMYFUNCTION("""COMPUTED_VALUE"""),1.3137648467717025)</f>
        <v>1.313764847</v>
      </c>
      <c r="AQ192" s="30">
        <f>IFERROR(__xludf.DUMMYFUNCTION("""COMPUTED_VALUE"""),0.9885315040558743)</f>
        <v>0.9885315041</v>
      </c>
      <c r="AR192" s="30">
        <f>IFERROR(__xludf.DUMMYFUNCTION("""COMPUTED_VALUE"""),1.1514543531947743)</f>
        <v>1.151454353</v>
      </c>
      <c r="AS192" s="30">
        <f>IFERROR(__xludf.DUMMYFUNCTION("""COMPUTED_VALUE"""),127.0)</f>
        <v>127</v>
      </c>
      <c r="AT192" s="30">
        <f>IFERROR(__xludf.DUMMYFUNCTION("""COMPUTED_VALUE"""),0.6096549857744811)</f>
        <v>0.6096549858</v>
      </c>
      <c r="AU192" s="30">
        <f>IFERROR(__xludf.DUMMYFUNCTION("""COMPUTED_VALUE"""),3.3171046558997004)</f>
        <v>3.317104656</v>
      </c>
      <c r="AV192" s="32">
        <f>IFERROR(__xludf.DUMMYFUNCTION("""COMPUTED_VALUE"""),76.56113501848546)</f>
        <v>76.56113502</v>
      </c>
      <c r="AW192" s="32">
        <f>IFERROR(__xludf.DUMMYFUNCTION("""COMPUTED_VALUE"""),6.9436359868901345)</f>
        <v>6.943635987</v>
      </c>
      <c r="AX192" s="32">
        <f>IFERROR(__xludf.DUMMYFUNCTION("""COMPUTED_VALUE"""),64.82746477006161)</f>
        <v>64.82746477</v>
      </c>
      <c r="AY192" s="32">
        <f>IFERROR(__xludf.DUMMYFUNCTION("""COMPUTED_VALUE"""),3.615883446779562)</f>
        <v>3.615883447</v>
      </c>
      <c r="AZ192" s="30">
        <f>IFERROR(__xludf.DUMMYFUNCTION("""COMPUTED_VALUE"""),3.3277525401105725)</f>
        <v>3.32775254</v>
      </c>
      <c r="BA192" s="30">
        <f>IFERROR(__xludf.DUMMYFUNCTION("""COMPUTED_VALUE"""),800.0)</f>
        <v>800</v>
      </c>
    </row>
    <row r="193">
      <c r="A193" s="30" t="str">
        <f>IFERROR(__xludf.DUMMYFUNCTION("""COMPUTED_VALUE"""),"Elite")</f>
        <v>Elite</v>
      </c>
      <c r="B193" s="30" t="str">
        <f>IFERROR(__xludf.DUMMYFUNCTION("""COMPUTED_VALUE"""),"RSC006751")</f>
        <v>RSC006751</v>
      </c>
      <c r="C193" s="30" t="str">
        <f>IFERROR(__xludf.DUMMYFUNCTION("""COMPUTED_VALUE"""),"cl0wdy.")</f>
        <v>cl0wdy.</v>
      </c>
      <c r="D193" s="30" t="str">
        <f>IFERROR(__xludf.DUMMYFUNCTION("""COMPUTED_VALUE"""),"Cotija Cartel")</f>
        <v>Cotija Cartel</v>
      </c>
      <c r="E193" s="30">
        <f>IFERROR(__xludf.DUMMYFUNCTION("""COMPUTED_VALUE"""),43.0)</f>
        <v>43</v>
      </c>
      <c r="F193" s="30">
        <f>IFERROR(__xludf.DUMMYFUNCTION("""COMPUTED_VALUE"""),35.0)</f>
        <v>35</v>
      </c>
      <c r="G193" s="30">
        <f>IFERROR(__xludf.DUMMYFUNCTION("""COMPUTED_VALUE"""),8.0)</f>
        <v>8</v>
      </c>
      <c r="H193" s="42">
        <f>IFERROR(__xludf.DUMMYFUNCTION("""COMPUTED_VALUE"""),0.813953488372093)</f>
        <v>0.8139534884</v>
      </c>
      <c r="I193" s="42">
        <f>IFERROR(__xludf.DUMMYFUNCTION("""COMPUTED_VALUE"""),0.31481481481481477)</f>
        <v>0.3148148148</v>
      </c>
      <c r="J193" s="30">
        <f>IFERROR(__xludf.DUMMYFUNCTION("""COMPUTED_VALUE"""),358.6511627906977)</f>
        <v>358.6511628</v>
      </c>
      <c r="K193" s="30">
        <f>IFERROR(__xludf.DUMMYFUNCTION("""COMPUTED_VALUE"""),0.7906976744186046)</f>
        <v>0.7906976744</v>
      </c>
      <c r="L193" s="30">
        <f>IFERROR(__xludf.DUMMYFUNCTION("""COMPUTED_VALUE"""),1.0)</f>
        <v>1</v>
      </c>
      <c r="M193" s="30">
        <f>IFERROR(__xludf.DUMMYFUNCTION("""COMPUTED_VALUE"""),1.0930232558139534)</f>
        <v>1.093023256</v>
      </c>
      <c r="N193" s="30">
        <f>IFERROR(__xludf.DUMMYFUNCTION("""COMPUTED_VALUE"""),2.511627906976744)</f>
        <v>2.511627907</v>
      </c>
      <c r="O193" s="30">
        <f>IFERROR(__xludf.DUMMYFUNCTION("""COMPUTED_VALUE"""),324.4573643410853)</f>
        <v>324.4573643</v>
      </c>
      <c r="P193" s="30">
        <f>IFERROR(__xludf.DUMMYFUNCTION("""COMPUTED_VALUE"""),0.5891472868217056)</f>
        <v>0.5891472868</v>
      </c>
      <c r="Q193" s="30">
        <f>IFERROR(__xludf.DUMMYFUNCTION("""COMPUTED_VALUE"""),0.38759689922480633)</f>
        <v>0.3875968992</v>
      </c>
      <c r="R193" s="30">
        <f>IFERROR(__xludf.DUMMYFUNCTION("""COMPUTED_VALUE"""),1.3720930232558133)</f>
        <v>1.372093023</v>
      </c>
      <c r="S193" s="30">
        <f>IFERROR(__xludf.DUMMYFUNCTION("""COMPUTED_VALUE"""),2.201550387596899)</f>
        <v>2.201550388</v>
      </c>
      <c r="T193" s="30">
        <f>IFERROR(__xludf.DUMMYFUNCTION("""COMPUTED_VALUE"""),352.7782972193169)</f>
        <v>352.7782972</v>
      </c>
      <c r="U193" s="30">
        <f>IFERROR(__xludf.DUMMYFUNCTION("""COMPUTED_VALUE"""),0.7275546672441076)</f>
        <v>0.7275546672</v>
      </c>
      <c r="V193" s="30">
        <f>IFERROR(__xludf.DUMMYFUNCTION("""COMPUTED_VALUE"""),0.5087163288958092)</f>
        <v>0.5087163289</v>
      </c>
      <c r="W193" s="30">
        <f>IFERROR(__xludf.DUMMYFUNCTION("""COMPUTED_VALUE"""),1.448396937718084)</f>
        <v>1.448396938</v>
      </c>
      <c r="X193" s="30">
        <f>IFERROR(__xludf.DUMMYFUNCTION("""COMPUTED_VALUE"""),2.487865025176228)</f>
        <v>2.487865025</v>
      </c>
      <c r="Y193" s="30">
        <f>IFERROR(__xludf.DUMMYFUNCTION("""COMPUTED_VALUE"""),365.5202635737784)</f>
        <v>365.5202636</v>
      </c>
      <c r="Z193" s="30">
        <f>IFERROR(__xludf.DUMMYFUNCTION("""COMPUTED_VALUE"""),0.8226960173594204)</f>
        <v>0.8226960174</v>
      </c>
      <c r="AA193" s="30">
        <f>IFERROR(__xludf.DUMMYFUNCTION("""COMPUTED_VALUE"""),0.6180891909560734)</f>
        <v>0.618089191</v>
      </c>
      <c r="AB193" s="30">
        <f>IFERROR(__xludf.DUMMYFUNCTION("""COMPUTED_VALUE"""),1.340590722554317)</f>
        <v>1.340590723</v>
      </c>
      <c r="AC193" s="30">
        <f>IFERROR(__xludf.DUMMYFUNCTION("""COMPUTED_VALUE"""),2.7827990683128103)</f>
        <v>2.782799068</v>
      </c>
      <c r="AD193" s="30">
        <f>IFERROR(__xludf.DUMMYFUNCTION("""COMPUTED_VALUE"""),0.9812073324857017)</f>
        <v>0.9812073325</v>
      </c>
      <c r="AE193" s="30">
        <f>IFERROR(__xludf.DUMMYFUNCTION("""COMPUTED_VALUE"""),0.9611055088810083)</f>
        <v>0.9611055089</v>
      </c>
      <c r="AF193" s="30">
        <f>IFERROR(__xludf.DUMMYFUNCTION("""COMPUTED_VALUE"""),1.6178894804052129)</f>
        <v>1.61788948</v>
      </c>
      <c r="AG193" s="30">
        <f>IFERROR(__xludf.DUMMYFUNCTION("""COMPUTED_VALUE"""),0.815329568842117)</f>
        <v>0.8153295688</v>
      </c>
      <c r="AH193" s="30">
        <f>IFERROR(__xludf.DUMMYFUNCTION("""COMPUTED_VALUE"""),0.9025545306436821)</f>
        <v>0.9025545306</v>
      </c>
      <c r="AI193" s="30">
        <f>IFERROR(__xludf.DUMMYFUNCTION("""COMPUTED_VALUE"""),0.9197203084728737)</f>
        <v>0.9197203085</v>
      </c>
      <c r="AJ193" s="30">
        <f>IFERROR(__xludf.DUMMYFUNCTION("""COMPUTED_VALUE"""),0.8097636003811604)</f>
        <v>0.8097636004</v>
      </c>
      <c r="AK193" s="30">
        <f>IFERROR(__xludf.DUMMYFUNCTION("""COMPUTED_VALUE"""),0.7619116533296704)</f>
        <v>0.7619116533</v>
      </c>
      <c r="AL193" s="30">
        <f>IFERROR(__xludf.DUMMYFUNCTION("""COMPUTED_VALUE"""),0.9473183680003592)</f>
        <v>0.947318368</v>
      </c>
      <c r="AM193" s="30">
        <f>IFERROR(__xludf.DUMMYFUNCTION("""COMPUTED_VALUE"""),0.8849155260908708)</f>
        <v>0.8849155261</v>
      </c>
      <c r="AN193" s="30">
        <f>IFERROR(__xludf.DUMMYFUNCTION("""COMPUTED_VALUE"""),1.0229929518012528)</f>
        <v>1.022992952</v>
      </c>
      <c r="AO193" s="30">
        <f>IFERROR(__xludf.DUMMYFUNCTION("""COMPUTED_VALUE"""),1.1154003411265423)</f>
        <v>1.115400341</v>
      </c>
      <c r="AP193" s="30">
        <f>IFERROR(__xludf.DUMMYFUNCTION("""COMPUTED_VALUE"""),1.7516864623622699)</f>
        <v>1.751686462</v>
      </c>
      <c r="AQ193" s="30">
        <f>IFERROR(__xludf.DUMMYFUNCTION("""COMPUTED_VALUE"""),0.7667978808655468)</f>
        <v>0.7667978809</v>
      </c>
      <c r="AR193" s="30">
        <f>IFERROR(__xludf.DUMMYFUNCTION("""COMPUTED_VALUE"""),1.001961378205744)</f>
        <v>1.001961378</v>
      </c>
      <c r="AS193" s="30">
        <f>IFERROR(__xludf.DUMMYFUNCTION("""COMPUTED_VALUE"""),144.0)</f>
        <v>144</v>
      </c>
      <c r="AT193" s="30">
        <f>IFERROR(__xludf.DUMMYFUNCTION("""COMPUTED_VALUE"""),0.7351670300514457)</f>
        <v>0.7351670301</v>
      </c>
      <c r="AU193" s="30">
        <f>IFERROR(__xludf.DUMMYFUNCTION("""COMPUTED_VALUE"""),3.225161764198893)</f>
        <v>3.225161764</v>
      </c>
      <c r="AV193" s="32">
        <f>IFERROR(__xludf.DUMMYFUNCTION("""COMPUTED_VALUE"""),73.91647009952653)</f>
        <v>73.9164701</v>
      </c>
      <c r="AW193" s="32">
        <f>IFERROR(__xludf.DUMMYFUNCTION("""COMPUTED_VALUE"""),5.904242090243202)</f>
        <v>5.90424209</v>
      </c>
      <c r="AX193" s="32">
        <f>IFERROR(__xludf.DUMMYFUNCTION("""COMPUTED_VALUE"""),57.78982461049951)</f>
        <v>57.78982461</v>
      </c>
      <c r="AY193" s="32">
        <f>IFERROR(__xludf.DUMMYFUNCTION("""COMPUTED_VALUE"""),2.647779642805602)</f>
        <v>2.647779643</v>
      </c>
      <c r="AZ193" s="30">
        <f>IFERROR(__xludf.DUMMYFUNCTION("""COMPUTED_VALUE"""),3.2564624474376003)</f>
        <v>3.256462447</v>
      </c>
      <c r="BA193" s="30">
        <f>IFERROR(__xludf.DUMMYFUNCTION("""COMPUTED_VALUE"""),800.0)</f>
        <v>800</v>
      </c>
    </row>
    <row r="194">
      <c r="A194" s="30" t="str">
        <f>IFERROR(__xludf.DUMMYFUNCTION("""COMPUTED_VALUE"""),"Elite")</f>
        <v>Elite</v>
      </c>
      <c r="B194" s="30" t="str">
        <f>IFERROR(__xludf.DUMMYFUNCTION("""COMPUTED_VALUE"""),"RSC006409")</f>
        <v>RSC006409</v>
      </c>
      <c r="C194" s="30" t="str">
        <f>IFERROR(__xludf.DUMMYFUNCTION("""COMPUTED_VALUE"""),"Reported.")</f>
        <v>Reported.</v>
      </c>
      <c r="D194" s="30" t="str">
        <f>IFERROR(__xludf.DUMMYFUNCTION("""COMPUTED_VALUE"""),"Forge Defenders")</f>
        <v>Forge Defenders</v>
      </c>
      <c r="E194" s="30">
        <f>IFERROR(__xludf.DUMMYFUNCTION("""COMPUTED_VALUE"""),29.0)</f>
        <v>29</v>
      </c>
      <c r="F194" s="30">
        <f>IFERROR(__xludf.DUMMYFUNCTION("""COMPUTED_VALUE"""),19.0)</f>
        <v>19</v>
      </c>
      <c r="G194" s="30">
        <f>IFERROR(__xludf.DUMMYFUNCTION("""COMPUTED_VALUE"""),10.0)</f>
        <v>10</v>
      </c>
      <c r="H194" s="42">
        <f>IFERROR(__xludf.DUMMYFUNCTION("""COMPUTED_VALUE"""),0.6551724137931034)</f>
        <v>0.6551724138</v>
      </c>
      <c r="I194" s="42">
        <f>IFERROR(__xludf.DUMMYFUNCTION("""COMPUTED_VALUE"""),0.30952380952380953)</f>
        <v>0.3095238095</v>
      </c>
      <c r="J194" s="30">
        <f>IFERROR(__xludf.DUMMYFUNCTION("""COMPUTED_VALUE"""),367.3448275862069)</f>
        <v>367.3448276</v>
      </c>
      <c r="K194" s="30">
        <f>IFERROR(__xludf.DUMMYFUNCTION("""COMPUTED_VALUE"""),0.896551724137931)</f>
        <v>0.8965517241</v>
      </c>
      <c r="L194" s="30">
        <f>IFERROR(__xludf.DUMMYFUNCTION("""COMPUTED_VALUE"""),0.6206896551724138)</f>
        <v>0.6206896552</v>
      </c>
      <c r="M194" s="30">
        <f>IFERROR(__xludf.DUMMYFUNCTION("""COMPUTED_VALUE"""),1.206896551724138)</f>
        <v>1.206896552</v>
      </c>
      <c r="N194" s="30">
        <f>IFERROR(__xludf.DUMMYFUNCTION("""COMPUTED_VALUE"""),2.896551724137931)</f>
        <v>2.896551724</v>
      </c>
      <c r="O194" s="30">
        <f>IFERROR(__xludf.DUMMYFUNCTION("""COMPUTED_VALUE"""),331.34482758620675)</f>
        <v>331.3448276</v>
      </c>
      <c r="P194" s="30">
        <f>IFERROR(__xludf.DUMMYFUNCTION("""COMPUTED_VALUE"""),0.5402298850574713)</f>
        <v>0.5402298851</v>
      </c>
      <c r="Q194" s="30">
        <f>IFERROR(__xludf.DUMMYFUNCTION("""COMPUTED_VALUE"""),0.41379310344827586)</f>
        <v>0.4137931034</v>
      </c>
      <c r="R194" s="30">
        <f>IFERROR(__xludf.DUMMYFUNCTION("""COMPUTED_VALUE"""),1.5977011494252877)</f>
        <v>1.597701149</v>
      </c>
      <c r="S194" s="30">
        <f>IFERROR(__xludf.DUMMYFUNCTION("""COMPUTED_VALUE"""),2.1839080459770113)</f>
        <v>2.183908046</v>
      </c>
      <c r="T194" s="30">
        <f>IFERROR(__xludf.DUMMYFUNCTION("""COMPUTED_VALUE"""),363.4423716119985)</f>
        <v>363.4423716</v>
      </c>
      <c r="U194" s="30">
        <f>IFERROR(__xludf.DUMMYFUNCTION("""COMPUTED_VALUE"""),0.7940606716550452)</f>
        <v>0.7940606717</v>
      </c>
      <c r="V194" s="30">
        <f>IFERROR(__xludf.DUMMYFUNCTION("""COMPUTED_VALUE"""),0.561270086987558)</f>
        <v>0.561270087</v>
      </c>
      <c r="W194" s="30">
        <f>IFERROR(__xludf.DUMMYFUNCTION("""COMPUTED_VALUE"""),1.4357639007746945)</f>
        <v>1.435763901</v>
      </c>
      <c r="X194" s="30">
        <f>IFERROR(__xludf.DUMMYFUNCTION("""COMPUTED_VALUE"""),2.655324697545246)</f>
        <v>2.655324698</v>
      </c>
      <c r="Y194" s="30">
        <f>IFERROR(__xludf.DUMMYFUNCTION("""COMPUTED_VALUE"""),363.7168408180278)</f>
        <v>363.7168408</v>
      </c>
      <c r="Z194" s="30">
        <f>IFERROR(__xludf.DUMMYFUNCTION("""COMPUTED_VALUE"""),0.7794382648680507)</f>
        <v>0.7794382649</v>
      </c>
      <c r="AA194" s="30">
        <f>IFERROR(__xludf.DUMMYFUNCTION("""COMPUTED_VALUE"""),0.5892621528354755)</f>
        <v>0.5892621528</v>
      </c>
      <c r="AB194" s="30">
        <f>IFERROR(__xludf.DUMMYFUNCTION("""COMPUTED_VALUE"""),1.4400456340471872)</f>
        <v>1.440045634</v>
      </c>
      <c r="AC194" s="30">
        <f>IFERROR(__xludf.DUMMYFUNCTION("""COMPUTED_VALUE"""),2.6586037790602335)</f>
        <v>2.658603779</v>
      </c>
      <c r="AD194" s="30">
        <f>IFERROR(__xludf.DUMMYFUNCTION("""COMPUTED_VALUE"""),1.0099747560767862)</f>
        <v>1.009974756</v>
      </c>
      <c r="AE194" s="30">
        <f>IFERROR(__xludf.DUMMYFUNCTION("""COMPUTED_VALUE"""),1.1502536692751493)</f>
        <v>1.150253669</v>
      </c>
      <c r="AF194" s="30">
        <f>IFERROR(__xludf.DUMMYFUNCTION("""COMPUTED_VALUE"""),1.0533336515601963)</f>
        <v>1.053333652</v>
      </c>
      <c r="AG194" s="30">
        <f>IFERROR(__xludf.DUMMYFUNCTION("""COMPUTED_VALUE"""),0.8380960458400241)</f>
        <v>0.8380960458</v>
      </c>
      <c r="AH194" s="30">
        <f>IFERROR(__xludf.DUMMYFUNCTION("""COMPUTED_VALUE"""),1.0895010933753384)</f>
        <v>1.089501093</v>
      </c>
      <c r="AI194" s="30">
        <f>IFERROR(__xludf.DUMMYFUNCTION("""COMPUTED_VALUE"""),0.9116846396213311)</f>
        <v>0.9116846396</v>
      </c>
      <c r="AJ194" s="30">
        <f>IFERROR(__xludf.DUMMYFUNCTION("""COMPUTED_VALUE"""),0.6803382969861492)</f>
        <v>0.680338297</v>
      </c>
      <c r="AK194" s="30">
        <f>IFERROR(__xludf.DUMMYFUNCTION("""COMPUTED_VALUE"""),0.7372441771646538)</f>
        <v>0.7372441772</v>
      </c>
      <c r="AL194" s="30">
        <f>IFERROR(__xludf.DUMMYFUNCTION("""COMPUTED_VALUE"""),1.1127882157806146)</f>
        <v>1.112788216</v>
      </c>
      <c r="AM194" s="30">
        <f>IFERROR(__xludf.DUMMYFUNCTION("""COMPUTED_VALUE"""),0.8224636512423348)</f>
        <v>0.8224636512</v>
      </c>
      <c r="AN194" s="30">
        <f>IFERROR(__xludf.DUMMYFUNCTION("""COMPUTED_VALUE"""),1.0477901885979415)</f>
        <v>1.047790189</v>
      </c>
      <c r="AO194" s="30">
        <f>IFERROR(__xludf.DUMMYFUNCTION("""COMPUTED_VALUE"""),1.2647237133666067)</f>
        <v>1.264723713</v>
      </c>
      <c r="AP194" s="30">
        <f>IFERROR(__xludf.DUMMYFUNCTION("""COMPUTED_VALUE"""),1.0872536662938226)</f>
        <v>1.087253666</v>
      </c>
      <c r="AQ194" s="30">
        <f>IFERROR(__xludf.DUMMYFUNCTION("""COMPUTED_VALUE"""),0.8466843805595363)</f>
        <v>0.8466843806</v>
      </c>
      <c r="AR194" s="30">
        <f>IFERROR(__xludf.DUMMYFUNCTION("""COMPUTED_VALUE"""),1.1555186775476205)</f>
        <v>1.155518678</v>
      </c>
      <c r="AS194" s="30">
        <f>IFERROR(__xludf.DUMMYFUNCTION("""COMPUTED_VALUE"""),66.0)</f>
        <v>66</v>
      </c>
      <c r="AT194" s="30">
        <f>IFERROR(__xludf.DUMMYFUNCTION("""COMPUTED_VALUE"""),0.6228397870442361)</f>
        <v>0.622839787</v>
      </c>
      <c r="AU194" s="30">
        <f>IFERROR(__xludf.DUMMYFUNCTION("""COMPUTED_VALUE"""),3.248778548090409)</f>
        <v>3.248778548</v>
      </c>
      <c r="AV194" s="32">
        <f>IFERROR(__xludf.DUMMYFUNCTION("""COMPUTED_VALUE"""),74.59578830130523)</f>
        <v>74.5957883</v>
      </c>
      <c r="AW194" s="32">
        <f>IFERROR(__xludf.DUMMYFUNCTION("""COMPUTED_VALUE"""),6.150092653210958)</f>
        <v>6.150092653</v>
      </c>
      <c r="AX194" s="32">
        <f>IFERROR(__xludf.DUMMYFUNCTION("""COMPUTED_VALUE"""),61.354934408711955)</f>
        <v>61.35493441</v>
      </c>
      <c r="AY194" s="32">
        <f>IFERROR(__xludf.DUMMYFUNCTION("""COMPUTED_VALUE"""),3.078406531432448)</f>
        <v>3.078406531</v>
      </c>
      <c r="AZ194" s="30">
        <f>IFERROR(__xludf.DUMMYFUNCTION("""COMPUTED_VALUE"""),3.07168612177851)</f>
        <v>3.071686122</v>
      </c>
      <c r="BA194" s="30">
        <f>IFERROR(__xludf.DUMMYFUNCTION("""COMPUTED_VALUE"""),800.0)</f>
        <v>800</v>
      </c>
    </row>
    <row r="195">
      <c r="A195" s="30" t="str">
        <f>IFERROR(__xludf.DUMMYFUNCTION("""COMPUTED_VALUE"""),"Elite")</f>
        <v>Elite</v>
      </c>
      <c r="B195" s="30" t="str">
        <f>IFERROR(__xludf.DUMMYFUNCTION("""COMPUTED_VALUE"""),"RSC005469")</f>
        <v>RSC005469</v>
      </c>
      <c r="C195" s="30" t="str">
        <f>IFERROR(__xludf.DUMMYFUNCTION("""COMPUTED_VALUE"""),"Axlos (Goofy and Silly)")</f>
        <v>Axlos (Goofy and Silly)</v>
      </c>
      <c r="D195" s="30" t="str">
        <f>IFERROR(__xludf.DUMMYFUNCTION("""COMPUTED_VALUE"""),"Keno")</f>
        <v>Keno</v>
      </c>
      <c r="E195" s="30">
        <f>IFERROR(__xludf.DUMMYFUNCTION("""COMPUTED_VALUE"""),27.0)</f>
        <v>27</v>
      </c>
      <c r="F195" s="30">
        <f>IFERROR(__xludf.DUMMYFUNCTION("""COMPUTED_VALUE"""),12.0)</f>
        <v>12</v>
      </c>
      <c r="G195" s="30">
        <f>IFERROR(__xludf.DUMMYFUNCTION("""COMPUTED_VALUE"""),15.0)</f>
        <v>15</v>
      </c>
      <c r="H195" s="42">
        <f>IFERROR(__xludf.DUMMYFUNCTION("""COMPUTED_VALUE"""),0.4444444444444444)</f>
        <v>0.4444444444</v>
      </c>
      <c r="I195" s="42">
        <f>IFERROR(__xludf.DUMMYFUNCTION("""COMPUTED_VALUE"""),0.2545454545454545)</f>
        <v>0.2545454545</v>
      </c>
      <c r="J195" s="30">
        <f>IFERROR(__xludf.DUMMYFUNCTION("""COMPUTED_VALUE"""),292.4074074074074)</f>
        <v>292.4074074</v>
      </c>
      <c r="K195" s="30">
        <f>IFERROR(__xludf.DUMMYFUNCTION("""COMPUTED_VALUE"""),0.5185185185185185)</f>
        <v>0.5185185185</v>
      </c>
      <c r="L195" s="30">
        <f>IFERROR(__xludf.DUMMYFUNCTION("""COMPUTED_VALUE"""),0.3333333333333333)</f>
        <v>0.3333333333</v>
      </c>
      <c r="M195" s="30">
        <f>IFERROR(__xludf.DUMMYFUNCTION("""COMPUTED_VALUE"""),1.1111111111111112)</f>
        <v>1.111111111</v>
      </c>
      <c r="N195" s="30">
        <f>IFERROR(__xludf.DUMMYFUNCTION("""COMPUTED_VALUE"""),2.037037037037037)</f>
        <v>2.037037037</v>
      </c>
      <c r="O195" s="30">
        <f>IFERROR(__xludf.DUMMYFUNCTION("""COMPUTED_VALUE"""),333.7654320987654)</f>
        <v>333.7654321</v>
      </c>
      <c r="P195" s="30">
        <f>IFERROR(__xludf.DUMMYFUNCTION("""COMPUTED_VALUE"""),0.7283950617283952)</f>
        <v>0.7283950617</v>
      </c>
      <c r="Q195" s="30">
        <f>IFERROR(__xludf.DUMMYFUNCTION("""COMPUTED_VALUE"""),0.5061728395061728)</f>
        <v>0.5061728395</v>
      </c>
      <c r="R195" s="30">
        <f>IFERROR(__xludf.DUMMYFUNCTION("""COMPUTED_VALUE"""),1.1975308641975304)</f>
        <v>1.197530864</v>
      </c>
      <c r="S195" s="30">
        <f>IFERROR(__xludf.DUMMYFUNCTION("""COMPUTED_VALUE"""),2.481481481481482)</f>
        <v>2.481481481</v>
      </c>
      <c r="T195" s="30">
        <f>IFERROR(__xludf.DUMMYFUNCTION("""COMPUTED_VALUE"""),347.1070558929915)</f>
        <v>347.1070559</v>
      </c>
      <c r="U195" s="30">
        <f>IFERROR(__xludf.DUMMYFUNCTION("""COMPUTED_VALUE"""),0.7071262616321716)</f>
        <v>0.7071262616</v>
      </c>
      <c r="V195" s="30">
        <f>IFERROR(__xludf.DUMMYFUNCTION("""COMPUTED_VALUE"""),0.5351702926759684)</f>
        <v>0.5351702927</v>
      </c>
      <c r="W195" s="30">
        <f>IFERROR(__xludf.DUMMYFUNCTION("""COMPUTED_VALUE"""),1.4493527244343085)</f>
        <v>1.449352724</v>
      </c>
      <c r="X195" s="30">
        <f>IFERROR(__xludf.DUMMYFUNCTION("""COMPUTED_VALUE"""),2.4655975173828377)</f>
        <v>2.465597517</v>
      </c>
      <c r="Y195" s="30">
        <f>IFERROR(__xludf.DUMMYFUNCTION("""COMPUTED_VALUE"""),365.99030059786963)</f>
        <v>365.9903006</v>
      </c>
      <c r="Z195" s="30">
        <f>IFERROR(__xludf.DUMMYFUNCTION("""COMPUTED_VALUE"""),0.8449468793300416)</f>
        <v>0.8449468793</v>
      </c>
      <c r="AA195" s="30">
        <f>IFERROR(__xludf.DUMMYFUNCTION("""COMPUTED_VALUE"""),0.6380657056110749)</f>
        <v>0.6380657056</v>
      </c>
      <c r="AB195" s="30">
        <f>IFERROR(__xludf.DUMMYFUNCTION("""COMPUTED_VALUE"""),1.3483464164173466)</f>
        <v>1.348346416</v>
      </c>
      <c r="AC195" s="30">
        <f>IFERROR(__xludf.DUMMYFUNCTION("""COMPUTED_VALUE"""),2.7383134382929573)</f>
        <v>2.738313438</v>
      </c>
      <c r="AD195" s="30">
        <f>IFERROR(__xludf.DUMMYFUNCTION("""COMPUTED_VALUE"""),0.7989485156566727)</f>
        <v>0.7989485157</v>
      </c>
      <c r="AE195" s="30">
        <f>IFERROR(__xludf.DUMMYFUNCTION("""COMPUTED_VALUE"""),0.6136699610390322)</f>
        <v>0.613669961</v>
      </c>
      <c r="AF195" s="30">
        <f>IFERROR(__xludf.DUMMYFUNCTION("""COMPUTED_VALUE"""),0.5224122381159795)</f>
        <v>0.5224122381</v>
      </c>
      <c r="AG195" s="30">
        <f>IFERROR(__xludf.DUMMYFUNCTION("""COMPUTED_VALUE"""),0.8240546328319789)</f>
        <v>0.8240546328</v>
      </c>
      <c r="AH195" s="30">
        <f>IFERROR(__xludf.DUMMYFUNCTION("""COMPUTED_VALUE"""),0.7439020707238357)</f>
        <v>0.7439020707</v>
      </c>
      <c r="AI195" s="30">
        <f>IFERROR(__xludf.DUMMYFUNCTION("""COMPUTED_VALUE"""),0.9615633748501524)</f>
        <v>0.9615633749</v>
      </c>
      <c r="AJ195" s="30">
        <f>IFERROR(__xludf.DUMMYFUNCTION("""COMPUTED_VALUE"""),1.0300777969229022)</f>
        <v>1.030077797</v>
      </c>
      <c r="AK195" s="30">
        <f>IFERROR(__xludf.DUMMYFUNCTION("""COMPUTED_VALUE"""),0.9458163998139695)</f>
        <v>0.9458163998</v>
      </c>
      <c r="AL195" s="30">
        <f>IFERROR(__xludf.DUMMYFUNCTION("""COMPUTED_VALUE"""),0.8262521910702822)</f>
        <v>0.8262521911</v>
      </c>
      <c r="AM195" s="30">
        <f>IFERROR(__xludf.DUMMYFUNCTION("""COMPUTED_VALUE"""),1.0064422372210629)</f>
        <v>1.006442237</v>
      </c>
      <c r="AN195" s="30">
        <f>IFERROR(__xludf.DUMMYFUNCTION("""COMPUTED_VALUE"""),0.8340436275312524)</f>
        <v>0.8340436275</v>
      </c>
      <c r="AO195" s="30">
        <f>IFERROR(__xludf.DUMMYFUNCTION("""COMPUTED_VALUE"""),0.7314498969043338)</f>
        <v>0.7314498969</v>
      </c>
      <c r="AP195" s="30">
        <f>IFERROR(__xludf.DUMMYFUNCTION("""COMPUTED_VALUE"""),0.5838954874540899)</f>
        <v>0.5838954875</v>
      </c>
      <c r="AQ195" s="30">
        <f>IFERROR(__xludf.DUMMYFUNCTION("""COMPUTED_VALUE"""),0.7794872074992557)</f>
        <v>0.7794872075</v>
      </c>
      <c r="AR195" s="30">
        <f>IFERROR(__xludf.DUMMYFUNCTION("""COMPUTED_VALUE"""),0.812633285136003)</f>
        <v>0.8126332851</v>
      </c>
      <c r="AS195" s="30">
        <f>IFERROR(__xludf.DUMMYFUNCTION("""COMPUTED_VALUE"""),53.0)</f>
        <v>53</v>
      </c>
      <c r="AT195" s="30">
        <f>IFERROR(__xludf.DUMMYFUNCTION("""COMPUTED_VALUE"""),0.45975583706766865)</f>
        <v>0.4597558371</v>
      </c>
      <c r="AU195" s="30">
        <f>IFERROR(__xludf.DUMMYFUNCTION("""COMPUTED_VALUE"""),1.4600092761098986)</f>
        <v>1.460009276</v>
      </c>
      <c r="AV195" s="32">
        <f>IFERROR(__xludf.DUMMYFUNCTION("""COMPUTED_VALUE"""),23.143247988425227)</f>
        <v>23.14324799</v>
      </c>
      <c r="AW195" s="32">
        <f>IFERROR(__xludf.DUMMYFUNCTION("""COMPUTED_VALUE"""),-7.074596116065716)</f>
        <v>-7.074596116</v>
      </c>
      <c r="AX195" s="32">
        <f>IFERROR(__xludf.DUMMYFUNCTION("""COMPUTED_VALUE"""),33.05268956703218)</f>
        <v>33.05268957</v>
      </c>
      <c r="AY195" s="32">
        <f>IFERROR(__xludf.DUMMYFUNCTION("""COMPUTED_VALUE"""),-4.017355715070153)</f>
        <v>-4.017355715</v>
      </c>
      <c r="AZ195" s="30">
        <f>IFERROR(__xludf.DUMMYFUNCTION("""COMPUTED_VALUE"""),3.057240400995563)</f>
        <v>3.057240401</v>
      </c>
      <c r="BA195" s="30">
        <f>IFERROR(__xludf.DUMMYFUNCTION("""COMPUTED_VALUE"""),800.0)</f>
        <v>800</v>
      </c>
    </row>
    <row r="196">
      <c r="A196" s="30" t="str">
        <f>IFERROR(__xludf.DUMMYFUNCTION("""COMPUTED_VALUE"""),"Elite")</f>
        <v>Elite</v>
      </c>
      <c r="B196" s="30" t="str">
        <f>IFERROR(__xludf.DUMMYFUNCTION("""COMPUTED_VALUE"""),"RSC004239")</f>
        <v>RSC004239</v>
      </c>
      <c r="C196" s="30" t="str">
        <f>IFERROR(__xludf.DUMMYFUNCTION("""COMPUTED_VALUE"""),"Nitro")</f>
        <v>Nitro</v>
      </c>
      <c r="D196" s="30" t="str">
        <f>IFERROR(__xludf.DUMMYFUNCTION("""COMPUTED_VALUE"""),"Mosaic Maestros")</f>
        <v>Mosaic Maestros</v>
      </c>
      <c r="E196" s="30">
        <f>IFERROR(__xludf.DUMMYFUNCTION("""COMPUTED_VALUE"""),4.0)</f>
        <v>4</v>
      </c>
      <c r="F196" s="30">
        <f>IFERROR(__xludf.DUMMYFUNCTION("""COMPUTED_VALUE"""),0.0)</f>
        <v>0</v>
      </c>
      <c r="G196" s="30">
        <f>IFERROR(__xludf.DUMMYFUNCTION("""COMPUTED_VALUE"""),4.0)</f>
        <v>4</v>
      </c>
      <c r="H196" s="42">
        <f>IFERROR(__xludf.DUMMYFUNCTION("""COMPUTED_VALUE"""),0.0)</f>
        <v>0</v>
      </c>
      <c r="I196" s="42">
        <f>IFERROR(__xludf.DUMMYFUNCTION("""COMPUTED_VALUE"""),0.1)</f>
        <v>0.1</v>
      </c>
      <c r="J196" s="30">
        <f>IFERROR(__xludf.DUMMYFUNCTION("""COMPUTED_VALUE"""),390.25)</f>
        <v>390.25</v>
      </c>
      <c r="K196" s="30">
        <f>IFERROR(__xludf.DUMMYFUNCTION("""COMPUTED_VALUE"""),0.25)</f>
        <v>0.25</v>
      </c>
      <c r="L196" s="30">
        <f>IFERROR(__xludf.DUMMYFUNCTION("""COMPUTED_VALUE"""),0.75)</f>
        <v>0.75</v>
      </c>
      <c r="M196" s="30">
        <f>IFERROR(__xludf.DUMMYFUNCTION("""COMPUTED_VALUE"""),2.5)</f>
        <v>2.5</v>
      </c>
      <c r="N196" s="30">
        <f>IFERROR(__xludf.DUMMYFUNCTION("""COMPUTED_VALUE"""),2.5)</f>
        <v>2.5</v>
      </c>
      <c r="O196" s="30">
        <f>IFERROR(__xludf.DUMMYFUNCTION("""COMPUTED_VALUE"""),443.5)</f>
        <v>443.5</v>
      </c>
      <c r="P196" s="30">
        <f>IFERROR(__xludf.DUMMYFUNCTION("""COMPUTED_VALUE"""),1.3333333333333333)</f>
        <v>1.333333333</v>
      </c>
      <c r="Q196" s="30">
        <f>IFERROR(__xludf.DUMMYFUNCTION("""COMPUTED_VALUE"""),0.9166666666666666)</f>
        <v>0.9166666667</v>
      </c>
      <c r="R196" s="30">
        <f>IFERROR(__xludf.DUMMYFUNCTION("""COMPUTED_VALUE"""),1.0833333333333335)</f>
        <v>1.083333333</v>
      </c>
      <c r="S196" s="30">
        <f>IFERROR(__xludf.DUMMYFUNCTION("""COMPUTED_VALUE"""),4.166666666666667)</f>
        <v>4.166666667</v>
      </c>
      <c r="T196" s="30">
        <f>IFERROR(__xludf.DUMMYFUNCTION("""COMPUTED_VALUE"""),381.3971631205674)</f>
        <v>381.3971631</v>
      </c>
      <c r="U196" s="30">
        <f>IFERROR(__xludf.DUMMYFUNCTION("""COMPUTED_VALUE"""),0.8985650667986146)</f>
        <v>0.8985650668</v>
      </c>
      <c r="V196" s="30">
        <f>IFERROR(__xludf.DUMMYFUNCTION("""COMPUTED_VALUE"""),0.6107537522678542)</f>
        <v>0.6107537523</v>
      </c>
      <c r="W196" s="30">
        <f>IFERROR(__xludf.DUMMYFUNCTION("""COMPUTED_VALUE"""),1.4355929407883885)</f>
        <v>1.435592941</v>
      </c>
      <c r="X196" s="30">
        <f>IFERROR(__xludf.DUMMYFUNCTION("""COMPUTED_VALUE"""),2.9035131123206335)</f>
        <v>2.903513112</v>
      </c>
      <c r="Y196" s="30">
        <f>IFERROR(__xludf.DUMMYFUNCTION("""COMPUTED_VALUE"""),357.7749189070317)</f>
        <v>357.7749189</v>
      </c>
      <c r="Z196" s="30">
        <f>IFERROR(__xludf.DUMMYFUNCTION("""COMPUTED_VALUE"""),0.681510803232723)</f>
        <v>0.6815108032</v>
      </c>
      <c r="AA196" s="30">
        <f>IFERROR(__xludf.DUMMYFUNCTION("""COMPUTED_VALUE"""),0.5164659959316071)</f>
        <v>0.5164659959</v>
      </c>
      <c r="AB196" s="30">
        <f>IFERROR(__xludf.DUMMYFUNCTION("""COMPUTED_VALUE"""),1.5564901863763811)</f>
        <v>1.556490186</v>
      </c>
      <c r="AC196" s="30">
        <f>IFERROR(__xludf.DUMMYFUNCTION("""COMPUTED_VALUE"""),2.574742976524273)</f>
        <v>2.574742977</v>
      </c>
      <c r="AD196" s="30">
        <f>IFERROR(__xludf.DUMMYFUNCTION("""COMPUTED_VALUE"""),1.0907695855041393)</f>
        <v>1.090769586</v>
      </c>
      <c r="AE196" s="30">
        <f>IFERROR(__xludf.DUMMYFUNCTION("""COMPUTED_VALUE"""),0.36683204259438534)</f>
        <v>0.3668320426</v>
      </c>
      <c r="AF196" s="30">
        <f>IFERROR(__xludf.DUMMYFUNCTION("""COMPUTED_VALUE"""),1.4521769214392162)</f>
        <v>1.452176921</v>
      </c>
      <c r="AG196" s="30">
        <f>IFERROR(__xludf.DUMMYFUNCTION("""COMPUTED_VALUE"""),1.6061778107449403)</f>
        <v>1.606177811</v>
      </c>
      <c r="AH196" s="30">
        <f>IFERROR(__xludf.DUMMYFUNCTION("""COMPUTED_VALUE"""),0.9709707037922787)</f>
        <v>0.9709707038</v>
      </c>
      <c r="AI196" s="30">
        <f>IFERROR(__xludf.DUMMYFUNCTION("""COMPUTED_VALUE"""),1.1628298343157855)</f>
        <v>1.162829834</v>
      </c>
      <c r="AJ196" s="30">
        <f>IFERROR(__xludf.DUMMYFUNCTION("""COMPUTED_VALUE"""),1.4838472834067546)</f>
        <v>1.483847283</v>
      </c>
      <c r="AK196" s="30">
        <f>IFERROR(__xludf.DUMMYFUNCTION("""COMPUTED_VALUE"""),1.5008776667566837)</f>
        <v>1.500877667</v>
      </c>
      <c r="AL196" s="30">
        <f>IFERROR(__xludf.DUMMYFUNCTION("""COMPUTED_VALUE"""),0.7546243106617648)</f>
        <v>0.7546243107</v>
      </c>
      <c r="AM196" s="30">
        <f>IFERROR(__xludf.DUMMYFUNCTION("""COMPUTED_VALUE"""),1.4350431720063623)</f>
        <v>1.435043172</v>
      </c>
      <c r="AN196" s="30">
        <f>IFERROR(__xludf.DUMMYFUNCTION("""COMPUTED_VALUE"""),1.113123393589604)</f>
        <v>1.113123394</v>
      </c>
      <c r="AO196" s="30">
        <f>IFERROR(__xludf.DUMMYFUNCTION("""COMPUTED_VALUE"""),0.3526633431503038)</f>
        <v>0.3526633432</v>
      </c>
      <c r="AP196" s="30">
        <f>IFERROR(__xludf.DUMMYFUNCTION("""COMPUTED_VALUE"""),1.3137648467717025)</f>
        <v>1.313764847</v>
      </c>
      <c r="AQ196" s="30">
        <f>IFERROR(__xludf.DUMMYFUNCTION("""COMPUTED_VALUE"""),1.7538462168733253)</f>
        <v>1.753846217</v>
      </c>
      <c r="AR196" s="30">
        <f>IFERROR(__xludf.DUMMYFUNCTION("""COMPUTED_VALUE"""),0.9973226681214582)</f>
        <v>0.9973226681</v>
      </c>
      <c r="AS196" s="30">
        <f>IFERROR(__xludf.DUMMYFUNCTION("""COMPUTED_VALUE"""),5.0)</f>
        <v>5</v>
      </c>
      <c r="AT196" s="30">
        <f>IFERROR(__xludf.DUMMYFUNCTION("""COMPUTED_VALUE"""),0.13330255539805816)</f>
        <v>0.1333025554</v>
      </c>
      <c r="AU196" s="30">
        <f>IFERROR(__xludf.DUMMYFUNCTION("""COMPUTED_VALUE"""),1.6147116108809865)</f>
        <v>1.614711611</v>
      </c>
      <c r="AV196" s="32">
        <f>IFERROR(__xludf.DUMMYFUNCTION("""COMPUTED_VALUE"""),27.593138894418374)</f>
        <v>27.59313889</v>
      </c>
      <c r="AW196" s="32">
        <f>IFERROR(__xludf.DUMMYFUNCTION("""COMPUTED_VALUE"""),-5.403854286367785)</f>
        <v>-5.403854286</v>
      </c>
      <c r="AX196" s="32">
        <f>IFERROR(__xludf.DUMMYFUNCTION("""COMPUTED_VALUE"""),43.80070457468965)</f>
        <v>43.80070457</v>
      </c>
      <c r="AY196" s="32">
        <f>IFERROR(__xludf.DUMMYFUNCTION("""COMPUTED_VALUE"""),-2.4870789636539334)</f>
        <v>-2.487078964</v>
      </c>
      <c r="AZ196" s="30">
        <f>IFERROR(__xludf.DUMMYFUNCTION("""COMPUTED_VALUE"""),2.916775322713852)</f>
        <v>2.916775323</v>
      </c>
      <c r="BA196" s="30">
        <f>IFERROR(__xludf.DUMMYFUNCTION("""COMPUTED_VALUE"""),800.0)</f>
        <v>800</v>
      </c>
    </row>
    <row r="197">
      <c r="A197" s="30" t="str">
        <f>IFERROR(__xludf.DUMMYFUNCTION("""COMPUTED_VALUE"""),"Elite")</f>
        <v>Elite</v>
      </c>
      <c r="B197" s="30" t="str">
        <f>IFERROR(__xludf.DUMMYFUNCTION("""COMPUTED_VALUE"""),"RSC002097")</f>
        <v>RSC002097</v>
      </c>
      <c r="C197" s="30" t="str">
        <f>IFERROR(__xludf.DUMMYFUNCTION("""COMPUTED_VALUE"""),"NoobZ")</f>
        <v>NoobZ</v>
      </c>
      <c r="D197" s="30" t="str">
        <f>IFERROR(__xludf.DUMMYFUNCTION("""COMPUTED_VALUE"""),"Thrashers")</f>
        <v>Thrashers</v>
      </c>
      <c r="E197" s="30">
        <f>IFERROR(__xludf.DUMMYFUNCTION("""COMPUTED_VALUE"""),48.0)</f>
        <v>48</v>
      </c>
      <c r="F197" s="30">
        <f>IFERROR(__xludf.DUMMYFUNCTION("""COMPUTED_VALUE"""),29.0)</f>
        <v>29</v>
      </c>
      <c r="G197" s="30">
        <f>IFERROR(__xludf.DUMMYFUNCTION("""COMPUTED_VALUE"""),19.0)</f>
        <v>19</v>
      </c>
      <c r="H197" s="42">
        <f>IFERROR(__xludf.DUMMYFUNCTION("""COMPUTED_VALUE"""),0.6041666666666666)</f>
        <v>0.6041666667</v>
      </c>
      <c r="I197" s="42">
        <f>IFERROR(__xludf.DUMMYFUNCTION("""COMPUTED_VALUE"""),0.3157894736842105)</f>
        <v>0.3157894737</v>
      </c>
      <c r="J197" s="30">
        <f>IFERROR(__xludf.DUMMYFUNCTION("""COMPUTED_VALUE"""),358.375)</f>
        <v>358.375</v>
      </c>
      <c r="K197" s="30">
        <f>IFERROR(__xludf.DUMMYFUNCTION("""COMPUTED_VALUE"""),0.875)</f>
        <v>0.875</v>
      </c>
      <c r="L197" s="30">
        <f>IFERROR(__xludf.DUMMYFUNCTION("""COMPUTED_VALUE"""),0.7291666666666666)</f>
        <v>0.7291666667</v>
      </c>
      <c r="M197" s="30">
        <f>IFERROR(__xludf.DUMMYFUNCTION("""COMPUTED_VALUE"""),0.9791666666666666)</f>
        <v>0.9791666667</v>
      </c>
      <c r="N197" s="30">
        <f>IFERROR(__xludf.DUMMYFUNCTION("""COMPUTED_VALUE"""),2.7708333333333335)</f>
        <v>2.770833333</v>
      </c>
      <c r="O197" s="30">
        <f>IFERROR(__xludf.DUMMYFUNCTION("""COMPUTED_VALUE"""),367.125)</f>
        <v>367.125</v>
      </c>
      <c r="P197" s="30">
        <f>IFERROR(__xludf.DUMMYFUNCTION("""COMPUTED_VALUE"""),0.8263888888888887)</f>
        <v>0.8263888889</v>
      </c>
      <c r="Q197" s="30">
        <f>IFERROR(__xludf.DUMMYFUNCTION("""COMPUTED_VALUE"""),0.5902777777777778)</f>
        <v>0.5902777778</v>
      </c>
      <c r="R197" s="30">
        <f>IFERROR(__xludf.DUMMYFUNCTION("""COMPUTED_VALUE"""),1.5416666666666667)</f>
        <v>1.541666667</v>
      </c>
      <c r="S197" s="30">
        <f>IFERROR(__xludf.DUMMYFUNCTION("""COMPUTED_VALUE"""),2.4375)</f>
        <v>2.4375</v>
      </c>
      <c r="T197" s="30">
        <f>IFERROR(__xludf.DUMMYFUNCTION("""COMPUTED_VALUE"""),362.3278976752108)</f>
        <v>362.3278977</v>
      </c>
      <c r="U197" s="30">
        <f>IFERROR(__xludf.DUMMYFUNCTION("""COMPUTED_VALUE"""),0.7869802994226914)</f>
        <v>0.7869802994</v>
      </c>
      <c r="V197" s="30">
        <f>IFERROR(__xludf.DUMMYFUNCTION("""COMPUTED_VALUE"""),0.6088331276841656)</f>
        <v>0.6088331277</v>
      </c>
      <c r="W197" s="30">
        <f>IFERROR(__xludf.DUMMYFUNCTION("""COMPUTED_VALUE"""),1.417037600169829)</f>
        <v>1.4170376</v>
      </c>
      <c r="X197" s="30">
        <f>IFERROR(__xludf.DUMMYFUNCTION("""COMPUTED_VALUE"""),2.6432379253337057)</f>
        <v>2.643237925</v>
      </c>
      <c r="Y197" s="30">
        <f>IFERROR(__xludf.DUMMYFUNCTION("""COMPUTED_VALUE"""),353.04330751900625)</f>
        <v>353.0433075</v>
      </c>
      <c r="Z197" s="30">
        <f>IFERROR(__xludf.DUMMYFUNCTION("""COMPUTED_VALUE"""),0.7337792155586792)</f>
        <v>0.7337792156</v>
      </c>
      <c r="AA197" s="30">
        <f>IFERROR(__xludf.DUMMYFUNCTION("""COMPUTED_VALUE"""),0.5472720194130678)</f>
        <v>0.5472720194</v>
      </c>
      <c r="AB197" s="30">
        <f>IFERROR(__xludf.DUMMYFUNCTION("""COMPUTED_VALUE"""),1.4115004691492892)</f>
        <v>1.411500469</v>
      </c>
      <c r="AC197" s="30">
        <f>IFERROR(__xludf.DUMMYFUNCTION("""COMPUTED_VALUE"""),2.60754731959178)</f>
        <v>2.60754732</v>
      </c>
      <c r="AD197" s="30">
        <f>IFERROR(__xludf.DUMMYFUNCTION("""COMPUTED_VALUE"""),1.0151020919174534)</f>
        <v>1.015102092</v>
      </c>
      <c r="AE197" s="30">
        <f>IFERROR(__xludf.DUMMYFUNCTION("""COMPUTED_VALUE"""),1.1924567791604717)</f>
        <v>1.192456779</v>
      </c>
      <c r="AF197" s="30">
        <f>IFERROR(__xludf.DUMMYFUNCTION("""COMPUTED_VALUE"""),1.332366064409204)</f>
        <v>1.332366064</v>
      </c>
      <c r="AG197" s="30">
        <f>IFERROR(__xludf.DUMMYFUNCTION("""COMPUTED_VALUE"""),0.6937062282783442)</f>
        <v>0.6937062283</v>
      </c>
      <c r="AH197" s="30">
        <f>IFERROR(__xludf.DUMMYFUNCTION("""COMPUTED_VALUE"""),1.0626205371287822)</f>
        <v>1.062620537</v>
      </c>
      <c r="AI197" s="30">
        <f>IFERROR(__xludf.DUMMYFUNCTION("""COMPUTED_VALUE"""),1.0132396714566243)</f>
        <v>1.013239671</v>
      </c>
      <c r="AJ197" s="30">
        <f>IFERROR(__xludf.DUMMYFUNCTION("""COMPUTED_VALUE"""),1.0500757001097822)</f>
        <v>1.0500757</v>
      </c>
      <c r="AK197" s="30">
        <f>IFERROR(__xludf.DUMMYFUNCTION("""COMPUTED_VALUE"""),0.9695230941572327)</f>
        <v>0.9695230942</v>
      </c>
      <c r="AL197" s="30">
        <f>IFERROR(__xludf.DUMMYFUNCTION("""COMPUTED_VALUE"""),1.0879504301663563)</f>
        <v>1.08795043</v>
      </c>
      <c r="AM197" s="30">
        <f>IFERROR(__xludf.DUMMYFUNCTION("""COMPUTED_VALUE"""),0.9221644319787324)</f>
        <v>0.922164432</v>
      </c>
      <c r="AN197" s="30">
        <f>IFERROR(__xludf.DUMMYFUNCTION("""COMPUTED_VALUE"""),1.0222052432483648)</f>
        <v>1.022205243</v>
      </c>
      <c r="AO197" s="30">
        <f>IFERROR(__xludf.DUMMYFUNCTION("""COMPUTED_VALUE"""),1.2343217010260634)</f>
        <v>1.234321701</v>
      </c>
      <c r="AP197" s="30">
        <f>IFERROR(__xludf.DUMMYFUNCTION("""COMPUTED_VALUE"""),1.2772713788058216)</f>
        <v>1.277271379</v>
      </c>
      <c r="AQ197" s="30">
        <f>IFERROR(__xludf.DUMMYFUNCTION("""COMPUTED_VALUE"""),0.6869231016087191)</f>
        <v>0.6869231016</v>
      </c>
      <c r="AR197" s="30">
        <f>IFERROR(__xludf.DUMMYFUNCTION("""COMPUTED_VALUE"""),1.1053659571679495)</f>
        <v>1.105365957</v>
      </c>
      <c r="AS197" s="30">
        <f>IFERROR(__xludf.DUMMYFUNCTION("""COMPUTED_VALUE"""),134.0)</f>
        <v>134</v>
      </c>
      <c r="AT197" s="30">
        <f>IFERROR(__xludf.DUMMYFUNCTION("""COMPUTED_VALUE"""),0.5476769288218983)</f>
        <v>0.5476769288</v>
      </c>
      <c r="AU197" s="30">
        <f>IFERROR(__xludf.DUMMYFUNCTION("""COMPUTED_VALUE"""),3.0992797465776825)</f>
        <v>3.099279747</v>
      </c>
      <c r="AV197" s="32">
        <f>IFERROR(__xludf.DUMMYFUNCTION("""COMPUTED_VALUE"""),70.29557293420862)</f>
        <v>70.29557293</v>
      </c>
      <c r="AW197" s="32">
        <f>IFERROR(__xludf.DUMMYFUNCTION("""COMPUTED_VALUE"""),4.797391179453268)</f>
        <v>4.797391179</v>
      </c>
      <c r="AX197" s="32">
        <f>IFERROR(__xludf.DUMMYFUNCTION("""COMPUTED_VALUE"""),51.96350442016007)</f>
        <v>51.96350442</v>
      </c>
      <c r="AY197" s="32">
        <f>IFERROR(__xludf.DUMMYFUNCTION("""COMPUTED_VALUE"""),2.133564617566202)</f>
        <v>2.133564618</v>
      </c>
      <c r="AZ197" s="30">
        <f>IFERROR(__xludf.DUMMYFUNCTION("""COMPUTED_VALUE"""),2.6638265618870665)</f>
        <v>2.663826562</v>
      </c>
      <c r="BA197" s="30">
        <f>IFERROR(__xludf.DUMMYFUNCTION("""COMPUTED_VALUE"""),800.0)</f>
        <v>800</v>
      </c>
    </row>
    <row r="198">
      <c r="A198" s="30" t="str">
        <f>IFERROR(__xludf.DUMMYFUNCTION("""COMPUTED_VALUE"""),"Elite")</f>
        <v>Elite</v>
      </c>
      <c r="B198" s="30" t="str">
        <f>IFERROR(__xludf.DUMMYFUNCTION("""COMPUTED_VALUE"""),"RSC000623")</f>
        <v>RSC000623</v>
      </c>
      <c r="C198" s="30" t="str">
        <f>IFERROR(__xludf.DUMMYFUNCTION("""COMPUTED_VALUE"""),"wall2wall3")</f>
        <v>wall2wall3</v>
      </c>
      <c r="D198" s="30" t="str">
        <f>IFERROR(__xludf.DUMMYFUNCTION("""COMPUTED_VALUE"""),"Cyclones")</f>
        <v>Cyclones</v>
      </c>
      <c r="E198" s="30">
        <f>IFERROR(__xludf.DUMMYFUNCTION("""COMPUTED_VALUE"""),48.0)</f>
        <v>48</v>
      </c>
      <c r="F198" s="30">
        <f>IFERROR(__xludf.DUMMYFUNCTION("""COMPUTED_VALUE"""),27.0)</f>
        <v>27</v>
      </c>
      <c r="G198" s="30">
        <f>IFERROR(__xludf.DUMMYFUNCTION("""COMPUTED_VALUE"""),21.0)</f>
        <v>21</v>
      </c>
      <c r="H198" s="42">
        <f>IFERROR(__xludf.DUMMYFUNCTION("""COMPUTED_VALUE"""),0.5625)</f>
        <v>0.5625</v>
      </c>
      <c r="I198" s="42">
        <f>IFERROR(__xludf.DUMMYFUNCTION("""COMPUTED_VALUE"""),0.33783783783783783)</f>
        <v>0.3378378378</v>
      </c>
      <c r="J198" s="30">
        <f>IFERROR(__xludf.DUMMYFUNCTION("""COMPUTED_VALUE"""),408.6666666666667)</f>
        <v>408.6666667</v>
      </c>
      <c r="K198" s="30">
        <f>IFERROR(__xludf.DUMMYFUNCTION("""COMPUTED_VALUE"""),1.0416666666666667)</f>
        <v>1.041666667</v>
      </c>
      <c r="L198" s="30">
        <f>IFERROR(__xludf.DUMMYFUNCTION("""COMPUTED_VALUE"""),0.5208333333333334)</f>
        <v>0.5208333333</v>
      </c>
      <c r="M198" s="30">
        <f>IFERROR(__xludf.DUMMYFUNCTION("""COMPUTED_VALUE"""),1.625)</f>
        <v>1.625</v>
      </c>
      <c r="N198" s="30">
        <f>IFERROR(__xludf.DUMMYFUNCTION("""COMPUTED_VALUE"""),3.0833333333333335)</f>
        <v>3.083333333</v>
      </c>
      <c r="O198" s="30">
        <f>IFERROR(__xludf.DUMMYFUNCTION("""COMPUTED_VALUE"""),364.00000000000006)</f>
        <v>364</v>
      </c>
      <c r="P198" s="30">
        <f>IFERROR(__xludf.DUMMYFUNCTION("""COMPUTED_VALUE"""),0.7083333333333335)</f>
        <v>0.7083333333</v>
      </c>
      <c r="Q198" s="30">
        <f>IFERROR(__xludf.DUMMYFUNCTION("""COMPUTED_VALUE"""),0.5138888888888891)</f>
        <v>0.5138888889</v>
      </c>
      <c r="R198" s="30">
        <f>IFERROR(__xludf.DUMMYFUNCTION("""COMPUTED_VALUE"""),1.6180555555555556)</f>
        <v>1.618055556</v>
      </c>
      <c r="S198" s="30">
        <f>IFERROR(__xludf.DUMMYFUNCTION("""COMPUTED_VALUE"""),2.715277777777778)</f>
        <v>2.715277778</v>
      </c>
      <c r="T198" s="30">
        <f>IFERROR(__xludf.DUMMYFUNCTION("""COMPUTED_VALUE"""),359.41140749798063)</f>
        <v>359.4114075</v>
      </c>
      <c r="U198" s="30">
        <f>IFERROR(__xludf.DUMMYFUNCTION("""COMPUTED_VALUE"""),0.7549229969337804)</f>
        <v>0.7549229969</v>
      </c>
      <c r="V198" s="30">
        <f>IFERROR(__xludf.DUMMYFUNCTION("""COMPUTED_VALUE"""),0.5437342157226168)</f>
        <v>0.5437342157</v>
      </c>
      <c r="W198" s="30">
        <f>IFERROR(__xludf.DUMMYFUNCTION("""COMPUTED_VALUE"""),1.4738205500558317)</f>
        <v>1.47382055</v>
      </c>
      <c r="X198" s="30">
        <f>IFERROR(__xludf.DUMMYFUNCTION("""COMPUTED_VALUE"""),2.6426357128608866)</f>
        <v>2.642635713</v>
      </c>
      <c r="Y198" s="30">
        <f>IFERROR(__xludf.DUMMYFUNCTION("""COMPUTED_VALUE"""),371.07287066861454)</f>
        <v>371.0728707</v>
      </c>
      <c r="Z198" s="30">
        <f>IFERROR(__xludf.DUMMYFUNCTION("""COMPUTED_VALUE"""),0.828389339893238)</f>
        <v>0.8283893399</v>
      </c>
      <c r="AA198" s="30">
        <f>IFERROR(__xludf.DUMMYFUNCTION("""COMPUTED_VALUE"""),0.6324081470329085)</f>
        <v>0.632408147</v>
      </c>
      <c r="AB198" s="30">
        <f>IFERROR(__xludf.DUMMYFUNCTION("""COMPUTED_VALUE"""),1.430440744037018)</f>
        <v>1.430440744</v>
      </c>
      <c r="AC198" s="30">
        <f>IFERROR(__xludf.DUMMYFUNCTION("""COMPUTED_VALUE"""),2.7530174881342018)</f>
        <v>2.753017488</v>
      </c>
      <c r="AD198" s="30">
        <f>IFERROR(__xludf.DUMMYFUNCTION("""COMPUTED_VALUE"""),1.101311087308307)</f>
        <v>1.101311087</v>
      </c>
      <c r="AE198" s="30">
        <f>IFERROR(__xludf.DUMMYFUNCTION("""COMPUTED_VALUE"""),1.2574602502742438)</f>
        <v>1.25746025</v>
      </c>
      <c r="AF198" s="30">
        <f>IFERROR(__xludf.DUMMYFUNCTION("""COMPUTED_VALUE"""),0.8235715111782563)</f>
        <v>0.8235715112</v>
      </c>
      <c r="AG198" s="30">
        <f>IFERROR(__xludf.DUMMYFUNCTION("""COMPUTED_VALUE"""),1.1360135026732343)</f>
        <v>1.136013503</v>
      </c>
      <c r="AH198" s="30">
        <f>IFERROR(__xludf.DUMMYFUNCTION("""COMPUTED_VALUE"""),1.1199831990253706)</f>
        <v>1.119983199</v>
      </c>
      <c r="AI198" s="30">
        <f>IFERROR(__xludf.DUMMYFUNCTION("""COMPUTED_VALUE"""),1.0127669640036263)</f>
        <v>1.012766964</v>
      </c>
      <c r="AJ198" s="30">
        <f>IFERROR(__xludf.DUMMYFUNCTION("""COMPUTED_VALUE"""),0.9382855419828552)</f>
        <v>0.938285542</v>
      </c>
      <c r="AK198" s="30">
        <f>IFERROR(__xludf.DUMMYFUNCTION("""COMPUTED_VALUE"""),0.9451104492402347)</f>
        <v>0.9451104492</v>
      </c>
      <c r="AL198" s="30">
        <f>IFERROR(__xludf.DUMMYFUNCTION("""COMPUTED_VALUE"""),1.0978646996707027)</f>
        <v>1.0978647</v>
      </c>
      <c r="AM198" s="30">
        <f>IFERROR(__xludf.DUMMYFUNCTION("""COMPUTED_VALUE"""),1.0274884898298184)</f>
        <v>1.02748849</v>
      </c>
      <c r="AN198" s="30">
        <f>IFERROR(__xludf.DUMMYFUNCTION("""COMPUTED_VALUE"""),1.165653880453431)</f>
        <v>1.16565388</v>
      </c>
      <c r="AO198" s="30">
        <f>IFERROR(__xludf.DUMMYFUNCTION("""COMPUTED_VALUE"""),1.4694305964595993)</f>
        <v>1.469430596</v>
      </c>
      <c r="AP198" s="30">
        <f>IFERROR(__xludf.DUMMYFUNCTION("""COMPUTED_VALUE"""),0.9123366991470155)</f>
        <v>0.9123366991</v>
      </c>
      <c r="AQ198" s="30">
        <f>IFERROR(__xludf.DUMMYFUNCTION("""COMPUTED_VALUE"""),1.1400000409676614)</f>
        <v>1.140000041</v>
      </c>
      <c r="AR198" s="30">
        <f>IFERROR(__xludf.DUMMYFUNCTION("""COMPUTED_VALUE"""),1.2300312906831319)</f>
        <v>1.230031291</v>
      </c>
      <c r="AS198" s="30">
        <f>IFERROR(__xludf.DUMMYFUNCTION("""COMPUTED_VALUE"""),116.0)</f>
        <v>116</v>
      </c>
      <c r="AT198" s="30">
        <f>IFERROR(__xludf.DUMMYFUNCTION("""COMPUTED_VALUE"""),0.549480792435585)</f>
        <v>0.5494807924</v>
      </c>
      <c r="AU198" s="30">
        <f>IFERROR(__xludf.DUMMYFUNCTION("""COMPUTED_VALUE"""),3.1837261601926707)</f>
        <v>3.18372616</v>
      </c>
      <c r="AV198" s="32">
        <f>IFERROR(__xludf.DUMMYFUNCTION("""COMPUTED_VALUE"""),72.72460756090064)</f>
        <v>72.72460756</v>
      </c>
      <c r="AW198" s="32">
        <f>IFERROR(__xludf.DUMMYFUNCTION("""COMPUTED_VALUE"""),5.504207235575932)</f>
        <v>5.504207236</v>
      </c>
      <c r="AX198" s="32">
        <f>IFERROR(__xludf.DUMMYFUNCTION("""COMPUTED_VALUE"""),60.123512799404594)</f>
        <v>60.1235128</v>
      </c>
      <c r="AY198" s="32">
        <f>IFERROR(__xludf.DUMMYFUNCTION("""COMPUTED_VALUE"""),2.917488017977282)</f>
        <v>2.917488018</v>
      </c>
      <c r="AZ198" s="30">
        <f>IFERROR(__xludf.DUMMYFUNCTION("""COMPUTED_VALUE"""),2.58671921759865)</f>
        <v>2.586719218</v>
      </c>
      <c r="BA198" s="30">
        <f>IFERROR(__xludf.DUMMYFUNCTION("""COMPUTED_VALUE"""),800.0)</f>
        <v>800</v>
      </c>
    </row>
    <row r="199">
      <c r="A199" s="30" t="str">
        <f>IFERROR(__xludf.DUMMYFUNCTION("""COMPUTED_VALUE"""),"Elite")</f>
        <v>Elite</v>
      </c>
      <c r="B199" s="30" t="str">
        <f>IFERROR(__xludf.DUMMYFUNCTION("""COMPUTED_VALUE"""),"RSC000690")</f>
        <v>RSC000690</v>
      </c>
      <c r="C199" s="30" t="str">
        <f>IFERROR(__xludf.DUMMYFUNCTION("""COMPUTED_VALUE"""),"paco")</f>
        <v>paco</v>
      </c>
      <c r="D199" s="30" t="str">
        <f>IFERROR(__xludf.DUMMYFUNCTION("""COMPUTED_VALUE"""),"Drive Bye")</f>
        <v>Drive Bye</v>
      </c>
      <c r="E199" s="30">
        <f>IFERROR(__xludf.DUMMYFUNCTION("""COMPUTED_VALUE"""),21.0)</f>
        <v>21</v>
      </c>
      <c r="F199" s="30">
        <f>IFERROR(__xludf.DUMMYFUNCTION("""COMPUTED_VALUE"""),8.0)</f>
        <v>8</v>
      </c>
      <c r="G199" s="30">
        <f>IFERROR(__xludf.DUMMYFUNCTION("""COMPUTED_VALUE"""),13.0)</f>
        <v>13</v>
      </c>
      <c r="H199" s="42">
        <f>IFERROR(__xludf.DUMMYFUNCTION("""COMPUTED_VALUE"""),0.38095238095238093)</f>
        <v>0.380952381</v>
      </c>
      <c r="I199" s="42">
        <f>IFERROR(__xludf.DUMMYFUNCTION("""COMPUTED_VALUE"""),0.2972972972972973)</f>
        <v>0.2972972973</v>
      </c>
      <c r="J199" s="30">
        <f>IFERROR(__xludf.DUMMYFUNCTION("""COMPUTED_VALUE"""),295.4761904761905)</f>
        <v>295.4761905</v>
      </c>
      <c r="K199" s="30">
        <f>IFERROR(__xludf.DUMMYFUNCTION("""COMPUTED_VALUE"""),0.5238095238095238)</f>
        <v>0.5238095238</v>
      </c>
      <c r="L199" s="30">
        <f>IFERROR(__xludf.DUMMYFUNCTION("""COMPUTED_VALUE"""),0.38095238095238093)</f>
        <v>0.380952381</v>
      </c>
      <c r="M199" s="30">
        <f>IFERROR(__xludf.DUMMYFUNCTION("""COMPUTED_VALUE"""),1.4285714285714286)</f>
        <v>1.428571429</v>
      </c>
      <c r="N199" s="30">
        <f>IFERROR(__xludf.DUMMYFUNCTION("""COMPUTED_VALUE"""),1.7619047619047619)</f>
        <v>1.761904762</v>
      </c>
      <c r="O199" s="30">
        <f>IFERROR(__xludf.DUMMYFUNCTION("""COMPUTED_VALUE"""),377.5873015873016)</f>
        <v>377.5873016</v>
      </c>
      <c r="P199" s="30">
        <f>IFERROR(__xludf.DUMMYFUNCTION("""COMPUTED_VALUE"""),0.888888888888889)</f>
        <v>0.8888888889</v>
      </c>
      <c r="Q199" s="30">
        <f>IFERROR(__xludf.DUMMYFUNCTION("""COMPUTED_VALUE"""),0.6984126984126985)</f>
        <v>0.6984126984</v>
      </c>
      <c r="R199" s="30">
        <f>IFERROR(__xludf.DUMMYFUNCTION("""COMPUTED_VALUE"""),1.2380952380952384)</f>
        <v>1.238095238</v>
      </c>
      <c r="S199" s="30">
        <f>IFERROR(__xludf.DUMMYFUNCTION("""COMPUTED_VALUE"""),3.142857142857143)</f>
        <v>3.142857143</v>
      </c>
      <c r="T199" s="30">
        <f>IFERROR(__xludf.DUMMYFUNCTION("""COMPUTED_VALUE"""),360.8312020249458)</f>
        <v>360.831202</v>
      </c>
      <c r="U199" s="30">
        <f>IFERROR(__xludf.DUMMYFUNCTION("""COMPUTED_VALUE"""),0.7724802228994492)</f>
        <v>0.7724802229</v>
      </c>
      <c r="V199" s="30">
        <f>IFERROR(__xludf.DUMMYFUNCTION("""COMPUTED_VALUE"""),0.5958859951840574)</f>
        <v>0.5958859952</v>
      </c>
      <c r="W199" s="30">
        <f>IFERROR(__xludf.DUMMYFUNCTION("""COMPUTED_VALUE"""),1.392905897570455)</f>
        <v>1.392905898</v>
      </c>
      <c r="X199" s="30">
        <f>IFERROR(__xludf.DUMMYFUNCTION("""COMPUTED_VALUE"""),2.7263616283843173)</f>
        <v>2.726361628</v>
      </c>
      <c r="Y199" s="30">
        <f>IFERROR(__xludf.DUMMYFUNCTION("""COMPUTED_VALUE"""),355.2827343886154)</f>
        <v>355.2827344</v>
      </c>
      <c r="Z199" s="30">
        <f>IFERROR(__xludf.DUMMYFUNCTION("""COMPUTED_VALUE"""),0.730627216234704)</f>
        <v>0.7306272162</v>
      </c>
      <c r="AA199" s="30">
        <f>IFERROR(__xludf.DUMMYFUNCTION("""COMPUTED_VALUE"""),0.5576962811026596)</f>
        <v>0.5576962811</v>
      </c>
      <c r="AB199" s="30">
        <f>IFERROR(__xludf.DUMMYFUNCTION("""COMPUTED_VALUE"""),1.4622656460695957)</f>
        <v>1.462265646</v>
      </c>
      <c r="AC199" s="30">
        <f>IFERROR(__xludf.DUMMYFUNCTION("""COMPUTED_VALUE"""),2.5417903339745784)</f>
        <v>2.541790334</v>
      </c>
      <c r="AD199" s="30">
        <f>IFERROR(__xludf.DUMMYFUNCTION("""COMPUTED_VALUE"""),0.8316649301426303)</f>
        <v>0.8316649301</v>
      </c>
      <c r="AE199" s="30">
        <f>IFERROR(__xludf.DUMMYFUNCTION("""COMPUTED_VALUE"""),0.7169313052817584)</f>
        <v>0.7169313053</v>
      </c>
      <c r="AF199" s="30">
        <f>IFERROR(__xludf.DUMMYFUNCTION("""COMPUTED_VALUE"""),0.683082161134684)</f>
        <v>0.6830821611</v>
      </c>
      <c r="AG199" s="30">
        <f>IFERROR(__xludf.DUMMYFUNCTION("""COMPUTED_VALUE"""),0.9769575264325375)</f>
        <v>0.9769575264</v>
      </c>
      <c r="AH199" s="30">
        <f>IFERROR(__xludf.DUMMYFUNCTION("""COMPUTED_VALUE"""),0.6931747038118934)</f>
        <v>0.6931747038</v>
      </c>
      <c r="AI199" s="30">
        <f>IFERROR(__xludf.DUMMYFUNCTION("""COMPUTED_VALUE"""),1.0464375017136056)</f>
        <v>1.046437502</v>
      </c>
      <c r="AJ199" s="30">
        <f>IFERROR(__xludf.DUMMYFUNCTION("""COMPUTED_VALUE"""),1.150694687758488)</f>
        <v>1.150694688</v>
      </c>
      <c r="AK199" s="30">
        <f>IFERROR(__xludf.DUMMYFUNCTION("""COMPUTED_VALUE"""),1.1720575815797998)</f>
        <v>1.172057582</v>
      </c>
      <c r="AL199" s="30">
        <f>IFERROR(__xludf.DUMMYFUNCTION("""COMPUTED_VALUE"""),0.8888577758589137)</f>
        <v>0.8888577759</v>
      </c>
      <c r="AM199" s="30">
        <f>IFERROR(__xludf.DUMMYFUNCTION("""COMPUTED_VALUE"""),1.1527660564675886)</f>
        <v>1.152766056</v>
      </c>
      <c r="AN199" s="30">
        <f>IFERROR(__xludf.DUMMYFUNCTION("""COMPUTED_VALUE"""),0.842796822210853)</f>
        <v>0.8427968222</v>
      </c>
      <c r="AO199" s="30">
        <f>IFERROR(__xludf.DUMMYFUNCTION("""COMPUTED_VALUE"""),0.7389136713625414)</f>
        <v>0.7389136714</v>
      </c>
      <c r="AP199" s="30">
        <f>IFERROR(__xludf.DUMMYFUNCTION("""COMPUTED_VALUE"""),0.6673091285189598)</f>
        <v>0.6673091285</v>
      </c>
      <c r="AQ199" s="30">
        <f>IFERROR(__xludf.DUMMYFUNCTION("""COMPUTED_VALUE"""),1.0021978382133288)</f>
        <v>1.002197838</v>
      </c>
      <c r="AR199" s="30">
        <f>IFERROR(__xludf.DUMMYFUNCTION("""COMPUTED_VALUE"""),0.7028750232475038)</f>
        <v>0.7028750232</v>
      </c>
      <c r="AS199" s="30">
        <f>IFERROR(__xludf.DUMMYFUNCTION("""COMPUTED_VALUE"""),39.0)</f>
        <v>39</v>
      </c>
      <c r="AT199" s="30">
        <f>IFERROR(__xludf.DUMMYFUNCTION("""COMPUTED_VALUE"""),0.3640245794921876)</f>
        <v>0.3640245795</v>
      </c>
      <c r="AU199" s="30">
        <f>IFERROR(__xludf.DUMMYFUNCTION("""COMPUTED_VALUE"""),1.3349399496818344)</f>
        <v>1.33493995</v>
      </c>
      <c r="AV199" s="32">
        <f>IFERROR(__xludf.DUMMYFUNCTION("""COMPUTED_VALUE"""),19.545727245674655)</f>
        <v>19.54572725</v>
      </c>
      <c r="AW199" s="32">
        <f>IFERROR(__xludf.DUMMYFUNCTION("""COMPUTED_VALUE"""),-8.962218491623942)</f>
        <v>-8.962218492</v>
      </c>
      <c r="AX199" s="32">
        <f>IFERROR(__xludf.DUMMYFUNCTION("""COMPUTED_VALUE"""),15.998989889276302)</f>
        <v>15.99898989</v>
      </c>
      <c r="AY199" s="32">
        <f>IFERROR(__xludf.DUMMYFUNCTION("""COMPUTED_VALUE"""),-11.506345230286305)</f>
        <v>-11.50634523</v>
      </c>
      <c r="AZ199" s="30">
        <f>IFERROR(__xludf.DUMMYFUNCTION("""COMPUTED_VALUE"""),2.5441267386623636)</f>
        <v>2.544126739</v>
      </c>
      <c r="BA199" s="30">
        <f>IFERROR(__xludf.DUMMYFUNCTION("""COMPUTED_VALUE"""),800.0)</f>
        <v>800</v>
      </c>
    </row>
    <row r="200">
      <c r="A200" s="30" t="str">
        <f>IFERROR(__xludf.DUMMYFUNCTION("""COMPUTED_VALUE"""),"Elite")</f>
        <v>Elite</v>
      </c>
      <c r="B200" s="30" t="str">
        <f>IFERROR(__xludf.DUMMYFUNCTION("""COMPUTED_VALUE"""),"RSC005290")</f>
        <v>RSC005290</v>
      </c>
      <c r="C200" s="30" t="str">
        <f>IFERROR(__xludf.DUMMYFUNCTION("""COMPUTED_VALUE"""),"IMWASHEDGREG")</f>
        <v>IMWASHEDGREG</v>
      </c>
      <c r="D200" s="30" t="str">
        <f>IFERROR(__xludf.DUMMYFUNCTION("""COMPUTED_VALUE"""),"Geeky Ghouls")</f>
        <v>Geeky Ghouls</v>
      </c>
      <c r="E200" s="30">
        <f>IFERROR(__xludf.DUMMYFUNCTION("""COMPUTED_VALUE"""),43.0)</f>
        <v>43</v>
      </c>
      <c r="F200" s="30">
        <f>IFERROR(__xludf.DUMMYFUNCTION("""COMPUTED_VALUE"""),23.0)</f>
        <v>23</v>
      </c>
      <c r="G200" s="30">
        <f>IFERROR(__xludf.DUMMYFUNCTION("""COMPUTED_VALUE"""),20.0)</f>
        <v>20</v>
      </c>
      <c r="H200" s="42">
        <f>IFERROR(__xludf.DUMMYFUNCTION("""COMPUTED_VALUE"""),0.5348837209302325)</f>
        <v>0.5348837209</v>
      </c>
      <c r="I200" s="42">
        <f>IFERROR(__xludf.DUMMYFUNCTION("""COMPUTED_VALUE"""),0.25477707006369427)</f>
        <v>0.2547770701</v>
      </c>
      <c r="J200" s="30">
        <f>IFERROR(__xludf.DUMMYFUNCTION("""COMPUTED_VALUE"""),399.74418604651163)</f>
        <v>399.744186</v>
      </c>
      <c r="K200" s="30">
        <f>IFERROR(__xludf.DUMMYFUNCTION("""COMPUTED_VALUE"""),0.9302325581395349)</f>
        <v>0.9302325581</v>
      </c>
      <c r="L200" s="30">
        <f>IFERROR(__xludf.DUMMYFUNCTION("""COMPUTED_VALUE"""),0.4883720930232558)</f>
        <v>0.488372093</v>
      </c>
      <c r="M200" s="30">
        <f>IFERROR(__xludf.DUMMYFUNCTION("""COMPUTED_VALUE"""),1.441860465116279)</f>
        <v>1.441860465</v>
      </c>
      <c r="N200" s="30">
        <f>IFERROR(__xludf.DUMMYFUNCTION("""COMPUTED_VALUE"""),3.6511627906976742)</f>
        <v>3.651162791</v>
      </c>
      <c r="O200" s="30">
        <f>IFERROR(__xludf.DUMMYFUNCTION("""COMPUTED_VALUE"""),364.8837209302325)</f>
        <v>364.8837209</v>
      </c>
      <c r="P200" s="30">
        <f>IFERROR(__xludf.DUMMYFUNCTION("""COMPUTED_VALUE"""),0.6899224806201552)</f>
        <v>0.6899224806</v>
      </c>
      <c r="Q200" s="30">
        <f>IFERROR(__xludf.DUMMYFUNCTION("""COMPUTED_VALUE"""),0.5116279069767442)</f>
        <v>0.511627907</v>
      </c>
      <c r="R200" s="30">
        <f>IFERROR(__xludf.DUMMYFUNCTION("""COMPUTED_VALUE"""),1.6821705426356588)</f>
        <v>1.682170543</v>
      </c>
      <c r="S200" s="30">
        <f>IFERROR(__xludf.DUMMYFUNCTION("""COMPUTED_VALUE"""),2.472868217054264)</f>
        <v>2.472868217</v>
      </c>
      <c r="T200" s="30">
        <f>IFERROR(__xludf.DUMMYFUNCTION("""COMPUTED_VALUE"""),349.5091791216317)</f>
        <v>349.5091791</v>
      </c>
      <c r="U200" s="30">
        <f>IFERROR(__xludf.DUMMYFUNCTION("""COMPUTED_VALUE"""),0.7202265210863263)</f>
        <v>0.7202265211</v>
      </c>
      <c r="V200" s="30">
        <f>IFERROR(__xludf.DUMMYFUNCTION("""COMPUTED_VALUE"""),0.5746456307726443)</f>
        <v>0.5746456308</v>
      </c>
      <c r="W200" s="30">
        <f>IFERROR(__xludf.DUMMYFUNCTION("""COMPUTED_VALUE"""),1.398122836671694)</f>
        <v>1.398122837</v>
      </c>
      <c r="X200" s="30">
        <f>IFERROR(__xludf.DUMMYFUNCTION("""COMPUTED_VALUE"""),2.6158180151750443)</f>
        <v>2.615818015</v>
      </c>
      <c r="Y200" s="30">
        <f>IFERROR(__xludf.DUMMYFUNCTION("""COMPUTED_VALUE"""),360.0018166473357)</f>
        <v>360.0018166</v>
      </c>
      <c r="Z200" s="30">
        <f>IFERROR(__xludf.DUMMYFUNCTION("""COMPUTED_VALUE"""),0.7873940402716126)</f>
        <v>0.7873940403</v>
      </c>
      <c r="AA200" s="30">
        <f>IFERROR(__xludf.DUMMYFUNCTION("""COMPUTED_VALUE"""),0.5956585430773292)</f>
        <v>0.5956585431</v>
      </c>
      <c r="AB200" s="30">
        <f>IFERROR(__xludf.DUMMYFUNCTION("""COMPUTED_VALUE"""),1.4034248510665432)</f>
        <v>1.403424851</v>
      </c>
      <c r="AC200" s="30">
        <f>IFERROR(__xludf.DUMMYFUNCTION("""COMPUTED_VALUE"""),2.6969280963609936)</f>
        <v>2.696928096</v>
      </c>
      <c r="AD200" s="30">
        <f>IFERROR(__xludf.DUMMYFUNCTION("""COMPUTED_VALUE"""),1.1103949134737514)</f>
        <v>1.110394913</v>
      </c>
      <c r="AE200" s="30">
        <f>IFERROR(__xludf.DUMMYFUNCTION("""COMPUTED_VALUE"""),1.1814066535462344)</f>
        <v>1.181406654</v>
      </c>
      <c r="AF200" s="30">
        <f>IFERROR(__xludf.DUMMYFUNCTION("""COMPUTED_VALUE"""),0.8198859878684803)</f>
        <v>0.8198859879</v>
      </c>
      <c r="AG200" s="30">
        <f>IFERROR(__xludf.DUMMYFUNCTION("""COMPUTED_VALUE"""),1.0273870125789253)</f>
        <v>1.027387013</v>
      </c>
      <c r="AH200" s="30">
        <f>IFERROR(__xludf.DUMMYFUNCTION("""COMPUTED_VALUE"""),1.3538228162716848)</f>
        <v>1.353822816</v>
      </c>
      <c r="AI200" s="30">
        <f>IFERROR(__xludf.DUMMYFUNCTION("""COMPUTED_VALUE"""),1.0439889500105244)</f>
        <v>1.04398895</v>
      </c>
      <c r="AJ200" s="30">
        <f>IFERROR(__xludf.DUMMYFUNCTION("""COMPUTED_VALUE"""),0.9579242924566799)</f>
        <v>0.9579242925</v>
      </c>
      <c r="AK200" s="30">
        <f>IFERROR(__xludf.DUMMYFUNCTION("""COMPUTED_VALUE"""),0.8903363735469996)</f>
        <v>0.8903363735</v>
      </c>
      <c r="AL200" s="30">
        <f>IFERROR(__xludf.DUMMYFUNCTION("""COMPUTED_VALUE"""),1.203163626623935)</f>
        <v>1.203163627</v>
      </c>
      <c r="AM200" s="30">
        <f>IFERROR(__xludf.DUMMYFUNCTION("""COMPUTED_VALUE"""),0.9453517800965162)</f>
        <v>0.9453517801</v>
      </c>
      <c r="AN200" s="30">
        <f>IFERROR(__xludf.DUMMYFUNCTION("""COMPUTED_VALUE"""),1.1402039844709981)</f>
        <v>1.140203984</v>
      </c>
      <c r="AO200" s="30">
        <f>IFERROR(__xludf.DUMMYFUNCTION("""COMPUTED_VALUE"""),1.3122356954429908)</f>
        <v>1.312235695</v>
      </c>
      <c r="AP200" s="30">
        <f>IFERROR(__xludf.DUMMYFUNCTION("""COMPUTED_VALUE"""),0.8554747839443643)</f>
        <v>0.8554747839</v>
      </c>
      <c r="AQ200" s="30">
        <f>IFERROR(__xludf.DUMMYFUNCTION("""COMPUTED_VALUE"""),1.0115206088013595)</f>
        <v>1.011520609</v>
      </c>
      <c r="AR200" s="30">
        <f>IFERROR(__xludf.DUMMYFUNCTION("""COMPUTED_VALUE"""),1.4565549664657573)</f>
        <v>1.456554966</v>
      </c>
      <c r="AS200" s="30">
        <f>IFERROR(__xludf.DUMMYFUNCTION("""COMPUTED_VALUE"""),95.0)</f>
        <v>95</v>
      </c>
      <c r="AT200" s="30">
        <f>IFERROR(__xludf.DUMMYFUNCTION("""COMPUTED_VALUE"""),0.5247343251953641)</f>
        <v>0.5247343252</v>
      </c>
      <c r="AU200" s="30">
        <f>IFERROR(__xludf.DUMMYFUNCTION("""COMPUTED_VALUE"""),3.3049530624961734)</f>
        <v>3.304953062</v>
      </c>
      <c r="AV200" s="32">
        <f>IFERROR(__xludf.DUMMYFUNCTION("""COMPUTED_VALUE"""),76.21160399776949)</f>
        <v>76.211604</v>
      </c>
      <c r="AW200" s="32">
        <f>IFERROR(__xludf.DUMMYFUNCTION("""COMPUTED_VALUE"""),6.792905881150613)</f>
        <v>6.792905881</v>
      </c>
      <c r="AX200" s="32">
        <f>IFERROR(__xludf.DUMMYFUNCTION("""COMPUTED_VALUE"""),68.16869365442943)</f>
        <v>68.16869365</v>
      </c>
      <c r="AY200" s="32">
        <f>IFERROR(__xludf.DUMMYFUNCTION("""COMPUTED_VALUE"""),4.279168698415533)</f>
        <v>4.279168698</v>
      </c>
      <c r="AZ200" s="30">
        <f>IFERROR(__xludf.DUMMYFUNCTION("""COMPUTED_VALUE"""),2.5137371827350803)</f>
        <v>2.513737183</v>
      </c>
      <c r="BA200" s="30">
        <f>IFERROR(__xludf.DUMMYFUNCTION("""COMPUTED_VALUE"""),800.0)</f>
        <v>800</v>
      </c>
    </row>
    <row r="201">
      <c r="A201" s="30" t="str">
        <f>IFERROR(__xludf.DUMMYFUNCTION("""COMPUTED_VALUE"""),"Elite")</f>
        <v>Elite</v>
      </c>
      <c r="B201" s="30" t="str">
        <f>IFERROR(__xludf.DUMMYFUNCTION("""COMPUTED_VALUE"""),"RSC006188")</f>
        <v>RSC006188</v>
      </c>
      <c r="C201" s="30" t="str">
        <f>IFERROR(__xludf.DUMMYFUNCTION("""COMPUTED_VALUE"""),"Billy_Man_Fi3h")</f>
        <v>Billy_Man_Fi3h</v>
      </c>
      <c r="D201" s="30" t="str">
        <f>IFERROR(__xludf.DUMMYFUNCTION("""COMPUTED_VALUE"""),"Pixel Picassos")</f>
        <v>Pixel Picassos</v>
      </c>
      <c r="E201" s="30">
        <f>IFERROR(__xludf.DUMMYFUNCTION("""COMPUTED_VALUE"""),32.0)</f>
        <v>32</v>
      </c>
      <c r="F201" s="30">
        <f>IFERROR(__xludf.DUMMYFUNCTION("""COMPUTED_VALUE"""),8.0)</f>
        <v>8</v>
      </c>
      <c r="G201" s="30">
        <f>IFERROR(__xludf.DUMMYFUNCTION("""COMPUTED_VALUE"""),24.0)</f>
        <v>24</v>
      </c>
      <c r="H201" s="42">
        <f>IFERROR(__xludf.DUMMYFUNCTION("""COMPUTED_VALUE"""),0.25)</f>
        <v>0.25</v>
      </c>
      <c r="I201" s="42">
        <f>IFERROR(__xludf.DUMMYFUNCTION("""COMPUTED_VALUE"""),0.2073170731707317)</f>
        <v>0.2073170732</v>
      </c>
      <c r="J201" s="30">
        <f>IFERROR(__xludf.DUMMYFUNCTION("""COMPUTED_VALUE"""),317.0)</f>
        <v>317</v>
      </c>
      <c r="K201" s="30">
        <f>IFERROR(__xludf.DUMMYFUNCTION("""COMPUTED_VALUE"""),0.53125)</f>
        <v>0.53125</v>
      </c>
      <c r="L201" s="30">
        <f>IFERROR(__xludf.DUMMYFUNCTION("""COMPUTED_VALUE"""),0.375)</f>
        <v>0.375</v>
      </c>
      <c r="M201" s="30">
        <f>IFERROR(__xludf.DUMMYFUNCTION("""COMPUTED_VALUE"""),1.3125)</f>
        <v>1.3125</v>
      </c>
      <c r="N201" s="30">
        <f>IFERROR(__xludf.DUMMYFUNCTION("""COMPUTED_VALUE"""),2.5625)</f>
        <v>2.5625</v>
      </c>
      <c r="O201" s="30">
        <f>IFERROR(__xludf.DUMMYFUNCTION("""COMPUTED_VALUE"""),396.3437499999999)</f>
        <v>396.34375</v>
      </c>
      <c r="P201" s="30">
        <f>IFERROR(__xludf.DUMMYFUNCTION("""COMPUTED_VALUE"""),0.9375)</f>
        <v>0.9375</v>
      </c>
      <c r="Q201" s="30">
        <f>IFERROR(__xludf.DUMMYFUNCTION("""COMPUTED_VALUE"""),0.6666666666666663)</f>
        <v>0.6666666667</v>
      </c>
      <c r="R201" s="30">
        <f>IFERROR(__xludf.DUMMYFUNCTION("""COMPUTED_VALUE"""),1.46875)</f>
        <v>1.46875</v>
      </c>
      <c r="S201" s="30">
        <f>IFERROR(__xludf.DUMMYFUNCTION("""COMPUTED_VALUE"""),2.9791666666666665)</f>
        <v>2.979166667</v>
      </c>
      <c r="T201" s="30">
        <f>IFERROR(__xludf.DUMMYFUNCTION("""COMPUTED_VALUE"""),366.05769411974165)</f>
        <v>366.0576941</v>
      </c>
      <c r="U201" s="30">
        <f>IFERROR(__xludf.DUMMYFUNCTION("""COMPUTED_VALUE"""),0.8525357996097616)</f>
        <v>0.8525357996</v>
      </c>
      <c r="V201" s="30">
        <f>IFERROR(__xludf.DUMMYFUNCTION("""COMPUTED_VALUE"""),0.6512370459652703)</f>
        <v>0.651237046</v>
      </c>
      <c r="W201" s="30">
        <f>IFERROR(__xludf.DUMMYFUNCTION("""COMPUTED_VALUE"""),1.307330074955625)</f>
        <v>1.307330075</v>
      </c>
      <c r="X201" s="30">
        <f>IFERROR(__xludf.DUMMYFUNCTION("""COMPUTED_VALUE"""),2.8143386767049328)</f>
        <v>2.814338677</v>
      </c>
      <c r="Y201" s="30">
        <f>IFERROR(__xludf.DUMMYFUNCTION("""COMPUTED_VALUE"""),351.454197560432)</f>
        <v>351.4541976</v>
      </c>
      <c r="Z201" s="30">
        <f>IFERROR(__xludf.DUMMYFUNCTION("""COMPUTED_VALUE"""),0.6926813442882972)</f>
        <v>0.6926813443</v>
      </c>
      <c r="AA201" s="30">
        <f>IFERROR(__xludf.DUMMYFUNCTION("""COMPUTED_VALUE"""),0.5150697689876305)</f>
        <v>0.515069769</v>
      </c>
      <c r="AB201" s="30">
        <f>IFERROR(__xludf.DUMMYFUNCTION("""COMPUTED_VALUE"""),1.5020360861448865)</f>
        <v>1.502036086</v>
      </c>
      <c r="AC201" s="30">
        <f>IFERROR(__xludf.DUMMYFUNCTION("""COMPUTED_VALUE"""),2.4748456900161298)</f>
        <v>2.47484569</v>
      </c>
      <c r="AD201" s="30">
        <f>IFERROR(__xludf.DUMMYFUNCTION("""COMPUTED_VALUE"""),0.9019667490114194)</f>
        <v>0.901966749</v>
      </c>
      <c r="AE201" s="30">
        <f>IFERROR(__xludf.DUMMYFUNCTION("""COMPUTED_VALUE"""),0.7669471747443096)</f>
        <v>0.7669471747</v>
      </c>
      <c r="AF201" s="30">
        <f>IFERROR(__xludf.DUMMYFUNCTION("""COMPUTED_VALUE"""),0.7280567072244648)</f>
        <v>0.7280567072</v>
      </c>
      <c r="AG201" s="30">
        <f>IFERROR(__xludf.DUMMYFUNCTION("""COMPUTED_VALUE"""),0.8738138930927097)</f>
        <v>0.8738138931</v>
      </c>
      <c r="AH201" s="30">
        <f>IFERROR(__xludf.DUMMYFUNCTION("""COMPUTED_VALUE"""),1.0354180910500723)</f>
        <v>1.035418091</v>
      </c>
      <c r="AI201" s="30">
        <f>IFERROR(__xludf.DUMMYFUNCTION("""COMPUTED_VALUE"""),1.0827357445746006)</f>
        <v>1.082735745</v>
      </c>
      <c r="AJ201" s="30">
        <f>IFERROR(__xludf.DUMMYFUNCTION("""COMPUTED_VALUE"""),1.09966056607726)</f>
        <v>1.099660566</v>
      </c>
      <c r="AK201" s="30">
        <f>IFERROR(__xludf.DUMMYFUNCTION("""COMPUTED_VALUE"""),1.0236927871302623)</f>
        <v>1.023692787</v>
      </c>
      <c r="AL201" s="30">
        <f>IFERROR(__xludf.DUMMYFUNCTION("""COMPUTED_VALUE"""),1.1234729684084215)</f>
        <v>1.123472968</v>
      </c>
      <c r="AM201" s="30">
        <f>IFERROR(__xludf.DUMMYFUNCTION("""COMPUTED_VALUE"""),1.058567219121871)</f>
        <v>1.058567219</v>
      </c>
      <c r="AN201" s="30">
        <f>IFERROR(__xludf.DUMMYFUNCTION("""COMPUTED_VALUE"""),0.9041899186877758)</f>
        <v>0.9041899187</v>
      </c>
      <c r="AO201" s="30">
        <f>IFERROR(__xludf.DUMMYFUNCTION("""COMPUTED_VALUE"""),0.7494096041943956)</f>
        <v>0.7494096042</v>
      </c>
      <c r="AP201" s="30">
        <f>IFERROR(__xludf.DUMMYFUNCTION("""COMPUTED_VALUE"""),0.6568824233858512)</f>
        <v>0.6568824234</v>
      </c>
      <c r="AQ201" s="30">
        <f>IFERROR(__xludf.DUMMYFUNCTION("""COMPUTED_VALUE"""),0.9207692638584958)</f>
        <v>0.9207692639</v>
      </c>
      <c r="AR201" s="30">
        <f>IFERROR(__xludf.DUMMYFUNCTION("""COMPUTED_VALUE"""),1.0222557348244945)</f>
        <v>1.022255735</v>
      </c>
      <c r="AS201" s="30">
        <f>IFERROR(__xludf.DUMMYFUNCTION("""COMPUTED_VALUE"""),56.0)</f>
        <v>56</v>
      </c>
      <c r="AT201" s="30">
        <f>IFERROR(__xludf.DUMMYFUNCTION("""COMPUTED_VALUE"""),0.3244312695693934)</f>
        <v>0.3244312696</v>
      </c>
      <c r="AU201" s="30">
        <f>IFERROR(__xludf.DUMMYFUNCTION("""COMPUTED_VALUE"""),1.8887988825899398)</f>
        <v>1.888798883</v>
      </c>
      <c r="AV201" s="32">
        <f>IFERROR(__xludf.DUMMYFUNCTION("""COMPUTED_VALUE"""),35.477043553199806)</f>
        <v>35.47704355</v>
      </c>
      <c r="AW201" s="32">
        <f>IFERROR(__xludf.DUMMYFUNCTION("""COMPUTED_VALUE"""),-3.5631852284354406)</f>
        <v>-3.563185228</v>
      </c>
      <c r="AX201" s="32">
        <f>IFERROR(__xludf.DUMMYFUNCTION("""COMPUTED_VALUE"""),25.627740117299606)</f>
        <v>25.62774012</v>
      </c>
      <c r="AY201" s="32">
        <f>IFERROR(__xludf.DUMMYFUNCTION("""COMPUTED_VALUE"""),-6.067691821065406)</f>
        <v>-6.067691821</v>
      </c>
      <c r="AZ201" s="30">
        <f>IFERROR(__xludf.DUMMYFUNCTION("""COMPUTED_VALUE"""),2.5045065926299652)</f>
        <v>2.504506593</v>
      </c>
      <c r="BA201" s="30">
        <f>IFERROR(__xludf.DUMMYFUNCTION("""COMPUTED_VALUE"""),800.0)</f>
        <v>800</v>
      </c>
    </row>
    <row r="202">
      <c r="A202" s="30" t="str">
        <f>IFERROR(__xludf.DUMMYFUNCTION("""COMPUTED_VALUE"""),"Elite")</f>
        <v>Elite</v>
      </c>
      <c r="B202" s="30" t="str">
        <f>IFERROR(__xludf.DUMMYFUNCTION("""COMPUTED_VALUE"""),"RSC006494")</f>
        <v>RSC006494</v>
      </c>
      <c r="C202" s="30" t="str">
        <f>IFERROR(__xludf.DUMMYFUNCTION("""COMPUTED_VALUE"""),"Jimbo")</f>
        <v>Jimbo</v>
      </c>
      <c r="D202" s="30" t="str">
        <f>IFERROR(__xludf.DUMMYFUNCTION("""COMPUTED_VALUE"""),"Desolation")</f>
        <v>Desolation</v>
      </c>
      <c r="E202" s="30">
        <f>IFERROR(__xludf.DUMMYFUNCTION("""COMPUTED_VALUE"""),48.0)</f>
        <v>48</v>
      </c>
      <c r="F202" s="30">
        <f>IFERROR(__xludf.DUMMYFUNCTION("""COMPUTED_VALUE"""),30.0)</f>
        <v>30</v>
      </c>
      <c r="G202" s="30">
        <f>IFERROR(__xludf.DUMMYFUNCTION("""COMPUTED_VALUE"""),18.0)</f>
        <v>18</v>
      </c>
      <c r="H202" s="42">
        <f>IFERROR(__xludf.DUMMYFUNCTION("""COMPUTED_VALUE"""),0.625)</f>
        <v>0.625</v>
      </c>
      <c r="I202" s="42">
        <f>IFERROR(__xludf.DUMMYFUNCTION("""COMPUTED_VALUE"""),0.3263888888888889)</f>
        <v>0.3263888889</v>
      </c>
      <c r="J202" s="30">
        <f>IFERROR(__xludf.DUMMYFUNCTION("""COMPUTED_VALUE"""),419.0416666666667)</f>
        <v>419.0416667</v>
      </c>
      <c r="K202" s="30">
        <f>IFERROR(__xludf.DUMMYFUNCTION("""COMPUTED_VALUE"""),0.9791666666666666)</f>
        <v>0.9791666667</v>
      </c>
      <c r="L202" s="30">
        <f>IFERROR(__xludf.DUMMYFUNCTION("""COMPUTED_VALUE"""),0.7291666666666666)</f>
        <v>0.7291666667</v>
      </c>
      <c r="M202" s="30">
        <f>IFERROR(__xludf.DUMMYFUNCTION("""COMPUTED_VALUE"""),1.5625)</f>
        <v>1.5625</v>
      </c>
      <c r="N202" s="30">
        <f>IFERROR(__xludf.DUMMYFUNCTION("""COMPUTED_VALUE"""),3.0)</f>
        <v>3</v>
      </c>
      <c r="O202" s="30">
        <f>IFERROR(__xludf.DUMMYFUNCTION("""COMPUTED_VALUE"""),352.51388888888886)</f>
        <v>352.5138889</v>
      </c>
      <c r="P202" s="30">
        <f>IFERROR(__xludf.DUMMYFUNCTION("""COMPUTED_VALUE"""),0.7638888888888888)</f>
        <v>0.7638888889</v>
      </c>
      <c r="Q202" s="30">
        <f>IFERROR(__xludf.DUMMYFUNCTION("""COMPUTED_VALUE"""),0.5347222222222222)</f>
        <v>0.5347222222</v>
      </c>
      <c r="R202" s="30">
        <f>IFERROR(__xludf.DUMMYFUNCTION("""COMPUTED_VALUE"""),1.3402777777777777)</f>
        <v>1.340277778</v>
      </c>
      <c r="S202" s="30">
        <f>IFERROR(__xludf.DUMMYFUNCTION("""COMPUTED_VALUE"""),2.5902777777777772)</f>
        <v>2.590277778</v>
      </c>
      <c r="T202" s="30">
        <f>IFERROR(__xludf.DUMMYFUNCTION("""COMPUTED_VALUE"""),360.2318791593454)</f>
        <v>360.2318792</v>
      </c>
      <c r="U202" s="30">
        <f>IFERROR(__xludf.DUMMYFUNCTION("""COMPUTED_VALUE"""),0.7301980097218151)</f>
        <v>0.7301980097</v>
      </c>
      <c r="V202" s="30">
        <f>IFERROR(__xludf.DUMMYFUNCTION("""COMPUTED_VALUE"""),0.5564747052754035)</f>
        <v>0.5564747053</v>
      </c>
      <c r="W202" s="30">
        <f>IFERROR(__xludf.DUMMYFUNCTION("""COMPUTED_VALUE"""),1.4581572606487627)</f>
        <v>1.458157261</v>
      </c>
      <c r="X202" s="30">
        <f>IFERROR(__xludf.DUMMYFUNCTION("""COMPUTED_VALUE"""),2.6085035463278867)</f>
        <v>2.608503546</v>
      </c>
      <c r="Y202" s="30">
        <f>IFERROR(__xludf.DUMMYFUNCTION("""COMPUTED_VALUE"""),368.0211925995861)</f>
        <v>368.0211926</v>
      </c>
      <c r="Z202" s="30">
        <f>IFERROR(__xludf.DUMMYFUNCTION("""COMPUTED_VALUE"""),0.794225216773821)</f>
        <v>0.7942252168</v>
      </c>
      <c r="AA202" s="30">
        <f>IFERROR(__xludf.DUMMYFUNCTION("""COMPUTED_VALUE"""),0.5968108581146178)</f>
        <v>0.5968108581</v>
      </c>
      <c r="AB202" s="30">
        <f>IFERROR(__xludf.DUMMYFUNCTION("""COMPUTED_VALUE"""),1.4625485817575774)</f>
        <v>1.462548582</v>
      </c>
      <c r="AC202" s="30">
        <f>IFERROR(__xludf.DUMMYFUNCTION("""COMPUTED_VALUE"""),2.706336104869411)</f>
        <v>2.706336105</v>
      </c>
      <c r="AD202" s="30">
        <f>IFERROR(__xludf.DUMMYFUNCTION("""COMPUTED_VALUE"""),1.1386346088025203)</f>
        <v>1.138634609</v>
      </c>
      <c r="AE202" s="30">
        <f>IFERROR(__xludf.DUMMYFUNCTION("""COMPUTED_VALUE"""),1.232857690724158)</f>
        <v>1.232857691</v>
      </c>
      <c r="AF202" s="30">
        <f>IFERROR(__xludf.DUMMYFUNCTION("""COMPUTED_VALUE"""),1.2217717837275506)</f>
        <v>1.221771784</v>
      </c>
      <c r="AG202" s="30">
        <f>IFERROR(__xludf.DUMMYFUNCTION("""COMPUTED_VALUE"""),1.0683405799226913)</f>
        <v>1.06834058</v>
      </c>
      <c r="AH202" s="30">
        <f>IFERROR(__xludf.DUMMYFUNCTION("""COMPUTED_VALUE"""),1.108509765140483)</f>
        <v>1.108509765</v>
      </c>
      <c r="AI202" s="30">
        <f>IFERROR(__xludf.DUMMYFUNCTION("""COMPUTED_VALUE"""),0.9785749382079465)</f>
        <v>0.9785749382</v>
      </c>
      <c r="AJ202" s="30">
        <f>IFERROR(__xludf.DUMMYFUNCTION("""COMPUTED_VALUE"""),1.0461393741403224)</f>
        <v>1.046139374</v>
      </c>
      <c r="AK202" s="30">
        <f>IFERROR(__xludf.DUMMYFUNCTION("""COMPUTED_VALUE"""),0.9609102033803749)</f>
        <v>0.9609102034</v>
      </c>
      <c r="AL202" s="30">
        <f>IFERROR(__xludf.DUMMYFUNCTION("""COMPUTED_VALUE"""),0.9191585941707425)</f>
        <v>0.9191585942</v>
      </c>
      <c r="AM202" s="30">
        <f>IFERROR(__xludf.DUMMYFUNCTION("""COMPUTED_VALUE"""),0.9930129408580768)</f>
        <v>0.9930129409</v>
      </c>
      <c r="AN202" s="30">
        <f>IFERROR(__xludf.DUMMYFUNCTION("""COMPUTED_VALUE"""),1.1952468470350894)</f>
        <v>1.195246847</v>
      </c>
      <c r="AO202" s="30">
        <f>IFERROR(__xludf.DUMMYFUNCTION("""COMPUTED_VALUE"""),1.3812647606720232)</f>
        <v>1.381264761</v>
      </c>
      <c r="AP202" s="30">
        <f>IFERROR(__xludf.DUMMYFUNCTION("""COMPUTED_VALUE"""),1.2772713788058216)</f>
        <v>1.277271379</v>
      </c>
      <c r="AQ202" s="30">
        <f>IFERROR(__xludf.DUMMYFUNCTION("""COMPUTED_VALUE"""),1.0961538855458282)</f>
        <v>1.096153886</v>
      </c>
      <c r="AR202" s="30">
        <f>IFERROR(__xludf.DUMMYFUNCTION("""COMPUTED_VALUE"""),1.1967872017457497)</f>
        <v>1.196787202</v>
      </c>
      <c r="AS202" s="30">
        <f>IFERROR(__xludf.DUMMYFUNCTION("""COMPUTED_VALUE"""),141.0)</f>
        <v>141</v>
      </c>
      <c r="AT202" s="30">
        <f>IFERROR(__xludf.DUMMYFUNCTION("""COMPUTED_VALUE"""),0.5984822937762609)</f>
        <v>0.5984822938</v>
      </c>
      <c r="AU202" s="30">
        <f>IFERROR(__xludf.DUMMYFUNCTION("""COMPUTED_VALUE"""),3.3700358344660506)</f>
        <v>3.370035834</v>
      </c>
      <c r="AV202" s="32">
        <f>IFERROR(__xludf.DUMMYFUNCTION("""COMPUTED_VALUE"""),78.08365871209632)</f>
        <v>78.08365871</v>
      </c>
      <c r="AW202" s="32">
        <f>IFERROR(__xludf.DUMMYFUNCTION("""COMPUTED_VALUE"""),7.654317945017198)</f>
        <v>7.654317945</v>
      </c>
      <c r="AX202" s="32">
        <f>IFERROR(__xludf.DUMMYFUNCTION("""COMPUTED_VALUE"""),71.68832237329542)</f>
        <v>71.68832237</v>
      </c>
      <c r="AY202" s="32">
        <f>IFERROR(__xludf.DUMMYFUNCTION("""COMPUTED_VALUE"""),5.186048232604214)</f>
        <v>5.186048233</v>
      </c>
      <c r="AZ202" s="30">
        <f>IFERROR(__xludf.DUMMYFUNCTION("""COMPUTED_VALUE"""),2.468269712412984)</f>
        <v>2.468269712</v>
      </c>
      <c r="BA202" s="30">
        <f>IFERROR(__xludf.DUMMYFUNCTION("""COMPUTED_VALUE"""),800.0)</f>
        <v>800</v>
      </c>
    </row>
    <row r="203">
      <c r="A203" s="30" t="str">
        <f>IFERROR(__xludf.DUMMYFUNCTION("""COMPUTED_VALUE"""),"Elite")</f>
        <v>Elite</v>
      </c>
      <c r="B203" s="30" t="str">
        <f>IFERROR(__xludf.DUMMYFUNCTION("""COMPUTED_VALUE"""),"RSC004990")</f>
        <v>RSC004990</v>
      </c>
      <c r="C203" s="30" t="str">
        <f>IFERROR(__xludf.DUMMYFUNCTION("""COMPUTED_VALUE"""),"Legend")</f>
        <v>Legend</v>
      </c>
      <c r="D203" s="30" t="str">
        <f>IFERROR(__xludf.DUMMYFUNCTION("""COMPUTED_VALUE"""),"Majesties")</f>
        <v>Majesties</v>
      </c>
      <c r="E203" s="30">
        <f>IFERROR(__xludf.DUMMYFUNCTION("""COMPUTED_VALUE"""),22.0)</f>
        <v>22</v>
      </c>
      <c r="F203" s="30">
        <f>IFERROR(__xludf.DUMMYFUNCTION("""COMPUTED_VALUE"""),6.0)</f>
        <v>6</v>
      </c>
      <c r="G203" s="30">
        <f>IFERROR(__xludf.DUMMYFUNCTION("""COMPUTED_VALUE"""),16.0)</f>
        <v>16</v>
      </c>
      <c r="H203" s="42">
        <f>IFERROR(__xludf.DUMMYFUNCTION("""COMPUTED_VALUE"""),0.2727272727272727)</f>
        <v>0.2727272727</v>
      </c>
      <c r="I203" s="42">
        <f>IFERROR(__xludf.DUMMYFUNCTION("""COMPUTED_VALUE"""),0.27777777777777773)</f>
        <v>0.2777777778</v>
      </c>
      <c r="J203" s="30">
        <f>IFERROR(__xludf.DUMMYFUNCTION("""COMPUTED_VALUE"""),324.72727272727275)</f>
        <v>324.7272727</v>
      </c>
      <c r="K203" s="30">
        <f>IFERROR(__xludf.DUMMYFUNCTION("""COMPUTED_VALUE"""),0.45454545454545453)</f>
        <v>0.4545454545</v>
      </c>
      <c r="L203" s="30">
        <f>IFERROR(__xludf.DUMMYFUNCTION("""COMPUTED_VALUE"""),0.4090909090909091)</f>
        <v>0.4090909091</v>
      </c>
      <c r="M203" s="30">
        <f>IFERROR(__xludf.DUMMYFUNCTION("""COMPUTED_VALUE"""),1.4090909090909092)</f>
        <v>1.409090909</v>
      </c>
      <c r="N203" s="30">
        <f>IFERROR(__xludf.DUMMYFUNCTION("""COMPUTED_VALUE"""),1.6363636363636365)</f>
        <v>1.636363636</v>
      </c>
      <c r="O203" s="30">
        <f>IFERROR(__xludf.DUMMYFUNCTION("""COMPUTED_VALUE"""),397.8636363636364)</f>
        <v>397.8636364</v>
      </c>
      <c r="P203" s="30">
        <f>IFERROR(__xludf.DUMMYFUNCTION("""COMPUTED_VALUE"""),1.090909090909091)</f>
        <v>1.090909091</v>
      </c>
      <c r="Q203" s="30">
        <f>IFERROR(__xludf.DUMMYFUNCTION("""COMPUTED_VALUE"""),0.7575757575757575)</f>
        <v>0.7575757576</v>
      </c>
      <c r="R203" s="30">
        <f>IFERROR(__xludf.DUMMYFUNCTION("""COMPUTED_VALUE"""),1.2424242424242424)</f>
        <v>1.242424242</v>
      </c>
      <c r="S203" s="30">
        <f>IFERROR(__xludf.DUMMYFUNCTION("""COMPUTED_VALUE"""),3.0909090909090917)</f>
        <v>3.090909091</v>
      </c>
      <c r="T203" s="30">
        <f>IFERROR(__xludf.DUMMYFUNCTION("""COMPUTED_VALUE"""),370.38031549282454)</f>
        <v>370.3803155</v>
      </c>
      <c r="U203" s="30">
        <f>IFERROR(__xludf.DUMMYFUNCTION("""COMPUTED_VALUE"""),0.853330243119354)</f>
        <v>0.8533302431</v>
      </c>
      <c r="V203" s="30">
        <f>IFERROR(__xludf.DUMMYFUNCTION("""COMPUTED_VALUE"""),0.6538947063542305)</f>
        <v>0.6538947064</v>
      </c>
      <c r="W203" s="30">
        <f>IFERROR(__xludf.DUMMYFUNCTION("""COMPUTED_VALUE"""),1.337133318323062)</f>
        <v>1.337133318</v>
      </c>
      <c r="X203" s="30">
        <f>IFERROR(__xludf.DUMMYFUNCTION("""COMPUTED_VALUE"""),2.800966255326424)</f>
        <v>2.800966255</v>
      </c>
      <c r="Y203" s="30">
        <f>IFERROR(__xludf.DUMMYFUNCTION("""COMPUTED_VALUE"""),352.0051377832531)</f>
        <v>352.0051378</v>
      </c>
      <c r="Z203" s="30">
        <f>IFERROR(__xludf.DUMMYFUNCTION("""COMPUTED_VALUE"""),0.7158762503264368)</f>
        <v>0.7158762503</v>
      </c>
      <c r="AA203" s="30">
        <f>IFERROR(__xludf.DUMMYFUNCTION("""COMPUTED_VALUE"""),0.5352244692299528)</f>
        <v>0.5352244692</v>
      </c>
      <c r="AB203" s="30">
        <f>IFERROR(__xludf.DUMMYFUNCTION("""COMPUTED_VALUE"""),1.455404155628926)</f>
        <v>1.455404156</v>
      </c>
      <c r="AC203" s="30">
        <f>IFERROR(__xludf.DUMMYFUNCTION("""COMPUTED_VALUE"""),2.502111692013458)</f>
        <v>2.502111692</v>
      </c>
      <c r="AD203" s="30">
        <f>IFERROR(__xludf.DUMMYFUNCTION("""COMPUTED_VALUE"""),0.9225071962649117)</f>
        <v>0.9225071963</v>
      </c>
      <c r="AE203" s="30">
        <f>IFERROR(__xludf.DUMMYFUNCTION("""COMPUTED_VALUE"""),0.6349497616916102)</f>
        <v>0.6349497617</v>
      </c>
      <c r="AF203" s="30">
        <f>IFERROR(__xludf.DUMMYFUNCTION("""COMPUTED_VALUE"""),0.7643352137458949)</f>
        <v>0.7643352137</v>
      </c>
      <c r="AG203" s="30">
        <f>IFERROR(__xludf.DUMMYFUNCTION("""COMPUTED_VALUE"""),0.9681784290920872)</f>
        <v>0.9681784291</v>
      </c>
      <c r="AH203" s="30">
        <f>IFERROR(__xludf.DUMMYFUNCTION("""COMPUTED_VALUE"""),0.6539930417921708)</f>
        <v>0.6539930418</v>
      </c>
      <c r="AI203" s="30">
        <f>IFERROR(__xludf.DUMMYFUNCTION("""COMPUTED_VALUE"""),1.0742029738655057)</f>
        <v>1.074202974</v>
      </c>
      <c r="AJ203" s="30">
        <f>IFERROR(__xludf.DUMMYFUNCTION("""COMPUTED_VALUE"""),1.2784137204855954)</f>
        <v>1.27841372</v>
      </c>
      <c r="AK203" s="30">
        <f>IFERROR(__xludf.DUMMYFUNCTION("""COMPUTED_VALUE"""),1.158559245416739)</f>
        <v>1.158559245</v>
      </c>
      <c r="AL203" s="30">
        <f>IFERROR(__xludf.DUMMYFUNCTION("""COMPUTED_VALUE"""),0.929170057614302)</f>
        <v>0.9291700576</v>
      </c>
      <c r="AM203" s="30">
        <f>IFERROR(__xludf.DUMMYFUNCTION("""COMPUTED_VALUE"""),1.1035152904935221)</f>
        <v>1.10351529</v>
      </c>
      <c r="AN203" s="30">
        <f>IFERROR(__xludf.DUMMYFUNCTION("""COMPUTED_VALUE"""),0.9262306824068641)</f>
        <v>0.9262306824</v>
      </c>
      <c r="AO203" s="30">
        <f>IFERROR(__xludf.DUMMYFUNCTION("""COMPUTED_VALUE"""),0.6412060784550978)</f>
        <v>0.6412060785</v>
      </c>
      <c r="AP203" s="30">
        <f>IFERROR(__xludf.DUMMYFUNCTION("""COMPUTED_VALUE"""),0.7165990073300195)</f>
        <v>0.7165990073</v>
      </c>
      <c r="AQ203" s="30">
        <f>IFERROR(__xludf.DUMMYFUNCTION("""COMPUTED_VALUE"""),0.9885315040558743)</f>
        <v>0.9885315041</v>
      </c>
      <c r="AR203" s="30">
        <f>IFERROR(__xludf.DUMMYFUNCTION("""COMPUTED_VALUE"""),0.6527930191340454)</f>
        <v>0.6527930191</v>
      </c>
      <c r="AS203" s="30">
        <f>IFERROR(__xludf.DUMMYFUNCTION("""COMPUTED_VALUE"""),39.0)</f>
        <v>39</v>
      </c>
      <c r="AT203" s="30">
        <f>IFERROR(__xludf.DUMMYFUNCTION("""COMPUTED_VALUE"""),0.27376790982560467)</f>
        <v>0.2737679098</v>
      </c>
      <c r="AU203" s="30">
        <f>IFERROR(__xludf.DUMMYFUNCTION("""COMPUTED_VALUE"""),1.2706874356482076)</f>
        <v>1.270687436</v>
      </c>
      <c r="AV203" s="32">
        <f>IFERROR(__xludf.DUMMYFUNCTION("""COMPUTED_VALUE"""),17.697554247455187)</f>
        <v>17.69755425</v>
      </c>
      <c r="AW203" s="32">
        <f>IFERROR(__xludf.DUMMYFUNCTION("""COMPUTED_VALUE"""),-10.187279520151751)</f>
        <v>-10.18727952</v>
      </c>
      <c r="AX203" s="32">
        <f>IFERROR(__xludf.DUMMYFUNCTION("""COMPUTED_VALUE"""),21.774047397672952)</f>
        <v>21.7740474</v>
      </c>
      <c r="AY203" s="32">
        <f>IFERROR(__xludf.DUMMYFUNCTION("""COMPUTED_VALUE"""),-7.725534625009262)</f>
        <v>-7.725534625</v>
      </c>
      <c r="AZ203" s="30">
        <f>IFERROR(__xludf.DUMMYFUNCTION("""COMPUTED_VALUE"""),2.4617448951424894)</f>
        <v>2.461744895</v>
      </c>
      <c r="BA203" s="30">
        <f>IFERROR(__xludf.DUMMYFUNCTION("""COMPUTED_VALUE"""),800.0)</f>
        <v>800</v>
      </c>
    </row>
    <row r="204">
      <c r="A204" s="30" t="str">
        <f>IFERROR(__xludf.DUMMYFUNCTION("""COMPUTED_VALUE"""),"Elite")</f>
        <v>Elite</v>
      </c>
      <c r="B204" s="30" t="str">
        <f>IFERROR(__xludf.DUMMYFUNCTION("""COMPUTED_VALUE"""),"RSC002498")</f>
        <v>RSC002498</v>
      </c>
      <c r="C204" s="30" t="str">
        <f>IFERROR(__xludf.DUMMYFUNCTION("""COMPUTED_VALUE"""),"Justin")</f>
        <v>Justin</v>
      </c>
      <c r="D204" s="30" t="str">
        <f>IFERROR(__xludf.DUMMYFUNCTION("""COMPUTED_VALUE"""),"Nightshade")</f>
        <v>Nightshade</v>
      </c>
      <c r="E204" s="30">
        <f>IFERROR(__xludf.DUMMYFUNCTION("""COMPUTED_VALUE"""),40.0)</f>
        <v>40</v>
      </c>
      <c r="F204" s="30">
        <f>IFERROR(__xludf.DUMMYFUNCTION("""COMPUTED_VALUE"""),25.0)</f>
        <v>25</v>
      </c>
      <c r="G204" s="30">
        <f>IFERROR(__xludf.DUMMYFUNCTION("""COMPUTED_VALUE"""),15.0)</f>
        <v>15</v>
      </c>
      <c r="H204" s="42">
        <f>IFERROR(__xludf.DUMMYFUNCTION("""COMPUTED_VALUE"""),0.625)</f>
        <v>0.625</v>
      </c>
      <c r="I204" s="42">
        <f>IFERROR(__xludf.DUMMYFUNCTION("""COMPUTED_VALUE"""),0.34453781512605036)</f>
        <v>0.3445378151</v>
      </c>
      <c r="J204" s="30">
        <f>IFERROR(__xludf.DUMMYFUNCTION("""COMPUTED_VALUE"""),364.725)</f>
        <v>364.725</v>
      </c>
      <c r="K204" s="30">
        <f>IFERROR(__xludf.DUMMYFUNCTION("""COMPUTED_VALUE"""),1.025)</f>
        <v>1.025</v>
      </c>
      <c r="L204" s="30">
        <f>IFERROR(__xludf.DUMMYFUNCTION("""COMPUTED_VALUE"""),0.575)</f>
        <v>0.575</v>
      </c>
      <c r="M204" s="30">
        <f>IFERROR(__xludf.DUMMYFUNCTION("""COMPUTED_VALUE"""),1.05)</f>
        <v>1.05</v>
      </c>
      <c r="N204" s="30">
        <f>IFERROR(__xludf.DUMMYFUNCTION("""COMPUTED_VALUE"""),2.975)</f>
        <v>2.975</v>
      </c>
      <c r="O204" s="30">
        <f>IFERROR(__xludf.DUMMYFUNCTION("""COMPUTED_VALUE"""),338.6166666666667)</f>
        <v>338.6166667</v>
      </c>
      <c r="P204" s="30">
        <f>IFERROR(__xludf.DUMMYFUNCTION("""COMPUTED_VALUE"""),0.6583333333333334)</f>
        <v>0.6583333333</v>
      </c>
      <c r="Q204" s="30">
        <f>IFERROR(__xludf.DUMMYFUNCTION("""COMPUTED_VALUE"""),0.5166666666666666)</f>
        <v>0.5166666667</v>
      </c>
      <c r="R204" s="30">
        <f>IFERROR(__xludf.DUMMYFUNCTION("""COMPUTED_VALUE"""),1.4083333333333332)</f>
        <v>1.408333333</v>
      </c>
      <c r="S204" s="30">
        <f>IFERROR(__xludf.DUMMYFUNCTION("""COMPUTED_VALUE"""),2.6333333333333333)</f>
        <v>2.633333333</v>
      </c>
      <c r="T204" s="30">
        <f>IFERROR(__xludf.DUMMYFUNCTION("""COMPUTED_VALUE"""),344.84370930770774)</f>
        <v>344.8437093</v>
      </c>
      <c r="U204" s="30">
        <f>IFERROR(__xludf.DUMMYFUNCTION("""COMPUTED_VALUE"""),0.7077187749571421)</f>
        <v>0.707718775</v>
      </c>
      <c r="V204" s="30">
        <f>IFERROR(__xludf.DUMMYFUNCTION("""COMPUTED_VALUE"""),0.5525580232936436)</f>
        <v>0.5525580233</v>
      </c>
      <c r="W204" s="30">
        <f>IFERROR(__xludf.DUMMYFUNCTION("""COMPUTED_VALUE"""),1.3541446721776222)</f>
        <v>1.354144672</v>
      </c>
      <c r="X204" s="30">
        <f>IFERROR(__xludf.DUMMYFUNCTION("""COMPUTED_VALUE"""),2.5431089825349145)</f>
        <v>2.543108983</v>
      </c>
      <c r="Y204" s="30">
        <f>IFERROR(__xludf.DUMMYFUNCTION("""COMPUTED_VALUE"""),363.9343787864508)</f>
        <v>363.9343788</v>
      </c>
      <c r="Z204" s="30">
        <f>IFERROR(__xludf.DUMMYFUNCTION("""COMPUTED_VALUE"""),0.8167703190330894)</f>
        <v>0.816770319</v>
      </c>
      <c r="AA204" s="30">
        <f>IFERROR(__xludf.DUMMYFUNCTION("""COMPUTED_VALUE"""),0.6261926843588487)</f>
        <v>0.6261926844</v>
      </c>
      <c r="AB204" s="30">
        <f>IFERROR(__xludf.DUMMYFUNCTION("""COMPUTED_VALUE"""),1.3691089572194737)</f>
        <v>1.369108957</v>
      </c>
      <c r="AC204" s="30">
        <f>IFERROR(__xludf.DUMMYFUNCTION("""COMPUTED_VALUE"""),2.677272320461094)</f>
        <v>2.67727232</v>
      </c>
      <c r="AD204" s="30">
        <f>IFERROR(__xludf.DUMMYFUNCTION("""COMPUTED_VALUE"""),1.0021724279420525)</f>
        <v>1.002172428</v>
      </c>
      <c r="AE204" s="30">
        <f>IFERROR(__xludf.DUMMYFUNCTION("""COMPUTED_VALUE"""),1.254942761893475)</f>
        <v>1.254942762</v>
      </c>
      <c r="AF204" s="30">
        <f>IFERROR(__xludf.DUMMYFUNCTION("""COMPUTED_VALUE"""),0.9182477125051943)</f>
        <v>0.9182477125</v>
      </c>
      <c r="AG204" s="30">
        <f>IFERROR(__xludf.DUMMYFUNCTION("""COMPUTED_VALUE"""),0.7669221609158465)</f>
        <v>0.7669221609</v>
      </c>
      <c r="AH204" s="30">
        <f>IFERROR(__xludf.DUMMYFUNCTION("""COMPUTED_VALUE"""),1.1112056017848906)</f>
        <v>1.111205602</v>
      </c>
      <c r="AI204" s="30">
        <f>IFERROR(__xludf.DUMMYFUNCTION("""COMPUTED_VALUE"""),0.9819424206590801)</f>
        <v>0.9819424207</v>
      </c>
      <c r="AJ204" s="30">
        <f>IFERROR(__xludf.DUMMYFUNCTION("""COMPUTED_VALUE"""),0.9302188335659184)</f>
        <v>0.9302188336</v>
      </c>
      <c r="AK204" s="30">
        <f>IFERROR(__xludf.DUMMYFUNCTION("""COMPUTED_VALUE"""),0.9350450900829588)</f>
        <v>0.9350450901</v>
      </c>
      <c r="AL204" s="30">
        <f>IFERROR(__xludf.DUMMYFUNCTION("""COMPUTED_VALUE"""),1.040016892041948)</f>
        <v>1.040016892</v>
      </c>
      <c r="AM204" s="30">
        <f>IFERROR(__xludf.DUMMYFUNCTION("""COMPUTED_VALUE"""),1.0354779725989114)</f>
        <v>1.035477973</v>
      </c>
      <c r="AN204" s="30">
        <f>IFERROR(__xludf.DUMMYFUNCTION("""COMPUTED_VALUE"""),1.0403175649634038)</f>
        <v>1.040317565</v>
      </c>
      <c r="AO204" s="30">
        <f>IFERROR(__xludf.DUMMYFUNCTION("""COMPUTED_VALUE"""),1.4459197069162455)</f>
        <v>1.445919707</v>
      </c>
      <c r="AP204" s="30">
        <f>IFERROR(__xludf.DUMMYFUNCTION("""COMPUTED_VALUE"""),1.0072197158583052)</f>
        <v>1.007219716</v>
      </c>
      <c r="AQ204" s="30">
        <f>IFERROR(__xludf.DUMMYFUNCTION("""COMPUTED_VALUE"""),0.7366154110867966)</f>
        <v>0.7366154111</v>
      </c>
      <c r="AR204" s="30">
        <f>IFERROR(__xludf.DUMMYFUNCTION("""COMPUTED_VALUE"""),1.1868139750645352)</f>
        <v>1.186813975</v>
      </c>
      <c r="AS204" s="30">
        <f>IFERROR(__xludf.DUMMYFUNCTION("""COMPUTED_VALUE"""),98.0)</f>
        <v>98</v>
      </c>
      <c r="AT204" s="30">
        <f>IFERROR(__xludf.DUMMYFUNCTION("""COMPUTED_VALUE"""),0.5818241100124103)</f>
        <v>0.58182411</v>
      </c>
      <c r="AU204" s="30">
        <f>IFERROR(__xludf.DUMMYFUNCTION("""COMPUTED_VALUE"""),3.1241956746835093)</f>
        <v>3.124195675</v>
      </c>
      <c r="AV204" s="32">
        <f>IFERROR(__xludf.DUMMYFUNCTION("""COMPUTED_VALUE"""),71.01225999686064)</f>
        <v>71.01226</v>
      </c>
      <c r="AW204" s="32">
        <f>IFERROR(__xludf.DUMMYFUNCTION("""COMPUTED_VALUE"""),4.992093995553389)</f>
        <v>4.992093996</v>
      </c>
      <c r="AX204" s="32">
        <f>IFERROR(__xludf.DUMMYFUNCTION("""COMPUTED_VALUE"""),56.73601161240343)</f>
        <v>56.73601161</v>
      </c>
      <c r="AY204" s="32">
        <f>IFERROR(__xludf.DUMMYFUNCTION("""COMPUTED_VALUE"""),2.5393899022241904)</f>
        <v>2.539389902</v>
      </c>
      <c r="AZ204" s="30">
        <f>IFERROR(__xludf.DUMMYFUNCTION("""COMPUTED_VALUE"""),2.4527040933291984)</f>
        <v>2.452704093</v>
      </c>
      <c r="BA204" s="30">
        <f>IFERROR(__xludf.DUMMYFUNCTION("""COMPUTED_VALUE"""),800.0)</f>
        <v>800</v>
      </c>
    </row>
    <row r="205">
      <c r="A205" s="30" t="str">
        <f>IFERROR(__xludf.DUMMYFUNCTION("""COMPUTED_VALUE"""),"Elite")</f>
        <v>Elite</v>
      </c>
      <c r="B205" s="30" t="str">
        <f>IFERROR(__xludf.DUMMYFUNCTION("""COMPUTED_VALUE"""),"RSC008102")</f>
        <v>RSC008102</v>
      </c>
      <c r="C205" s="30" t="str">
        <f>IFERROR(__xludf.DUMMYFUNCTION("""COMPUTED_VALUE"""),"Talent?")</f>
        <v>Talent?</v>
      </c>
      <c r="D205" s="30"/>
      <c r="E205" s="30">
        <f>IFERROR(__xludf.DUMMYFUNCTION("""COMPUTED_VALUE"""),4.0)</f>
        <v>4</v>
      </c>
      <c r="F205" s="30">
        <f>IFERROR(__xludf.DUMMYFUNCTION("""COMPUTED_VALUE"""),1.0)</f>
        <v>1</v>
      </c>
      <c r="G205" s="30">
        <f>IFERROR(__xludf.DUMMYFUNCTION("""COMPUTED_VALUE"""),3.0)</f>
        <v>3</v>
      </c>
      <c r="H205" s="42">
        <f>IFERROR(__xludf.DUMMYFUNCTION("""COMPUTED_VALUE"""),0.25)</f>
        <v>0.25</v>
      </c>
      <c r="I205" s="42">
        <f>IFERROR(__xludf.DUMMYFUNCTION("""COMPUTED_VALUE"""),0.2857142857142857)</f>
        <v>0.2857142857</v>
      </c>
      <c r="J205" s="30">
        <f>IFERROR(__xludf.DUMMYFUNCTION("""COMPUTED_VALUE"""),340.0)</f>
        <v>340</v>
      </c>
      <c r="K205" s="30">
        <f>IFERROR(__xludf.DUMMYFUNCTION("""COMPUTED_VALUE"""),0.5)</f>
        <v>0.5</v>
      </c>
      <c r="L205" s="30">
        <f>IFERROR(__xludf.DUMMYFUNCTION("""COMPUTED_VALUE"""),0.5)</f>
        <v>0.5</v>
      </c>
      <c r="M205" s="30">
        <f>IFERROR(__xludf.DUMMYFUNCTION("""COMPUTED_VALUE"""),2.0)</f>
        <v>2</v>
      </c>
      <c r="N205" s="30">
        <f>IFERROR(__xludf.DUMMYFUNCTION("""COMPUTED_VALUE"""),1.75)</f>
        <v>1.75</v>
      </c>
      <c r="O205" s="30">
        <f>IFERROR(__xludf.DUMMYFUNCTION("""COMPUTED_VALUE"""),360.1666666666667)</f>
        <v>360.1666667</v>
      </c>
      <c r="P205" s="30">
        <f>IFERROR(__xludf.DUMMYFUNCTION("""COMPUTED_VALUE"""),1.0)</f>
        <v>1</v>
      </c>
      <c r="Q205" s="30">
        <f>IFERROR(__xludf.DUMMYFUNCTION("""COMPUTED_VALUE"""),0.5833333333333333)</f>
        <v>0.5833333333</v>
      </c>
      <c r="R205" s="30">
        <f>IFERROR(__xludf.DUMMYFUNCTION("""COMPUTED_VALUE"""),1.25)</f>
        <v>1.25</v>
      </c>
      <c r="S205" s="30">
        <f>IFERROR(__xludf.DUMMYFUNCTION("""COMPUTED_VALUE"""),3.0833333333333335)</f>
        <v>3.083333333</v>
      </c>
      <c r="T205" s="30">
        <f>IFERROR(__xludf.DUMMYFUNCTION("""COMPUTED_VALUE"""),335.97755331088666)</f>
        <v>335.9775533</v>
      </c>
      <c r="U205" s="30">
        <f>IFERROR(__xludf.DUMMYFUNCTION("""COMPUTED_VALUE"""),0.6214927048260382)</f>
        <v>0.6214927048</v>
      </c>
      <c r="V205" s="30">
        <f>IFERROR(__xludf.DUMMYFUNCTION("""COMPUTED_VALUE"""),0.46885521885521886)</f>
        <v>0.4688552189</v>
      </c>
      <c r="W205" s="30">
        <f>IFERROR(__xludf.DUMMYFUNCTION("""COMPUTED_VALUE"""),1.384680134680135)</f>
        <v>1.384680135</v>
      </c>
      <c r="X205" s="30">
        <f>IFERROR(__xludf.DUMMYFUNCTION("""COMPUTED_VALUE"""),2.318742985409652)</f>
        <v>2.318742985</v>
      </c>
      <c r="Y205" s="30">
        <f>IFERROR(__xludf.DUMMYFUNCTION("""COMPUTED_VALUE"""),333.45997007108116)</f>
        <v>333.4599701</v>
      </c>
      <c r="Z205" s="30">
        <f>IFERROR(__xludf.DUMMYFUNCTION("""COMPUTED_VALUE"""),0.6917321361765807)</f>
        <v>0.6917321362</v>
      </c>
      <c r="AA205" s="30">
        <f>IFERROR(__xludf.DUMMYFUNCTION("""COMPUTED_VALUE"""),0.4933595211372989)</f>
        <v>0.4933595211</v>
      </c>
      <c r="AB205" s="30">
        <f>IFERROR(__xludf.DUMMYFUNCTION("""COMPUTED_VALUE"""),1.2240927796483352)</f>
        <v>1.22409278</v>
      </c>
      <c r="AC205" s="30">
        <f>IFERROR(__xludf.DUMMYFUNCTION("""COMPUTED_VALUE"""),2.510381593714927)</f>
        <v>2.510381594</v>
      </c>
      <c r="AD205" s="30">
        <f>IFERROR(__xludf.DUMMYFUNCTION("""COMPUTED_VALUE"""),1.0196126387449886)</f>
        <v>1.019612639</v>
      </c>
      <c r="AE205" s="30">
        <f>IFERROR(__xludf.DUMMYFUNCTION("""COMPUTED_VALUE"""),0.7228231476473769)</f>
        <v>0.7228231476</v>
      </c>
      <c r="AF205" s="30">
        <f>IFERROR(__xludf.DUMMYFUNCTION("""COMPUTED_VALUE"""),1.0134597156398104)</f>
        <v>1.013459716</v>
      </c>
      <c r="AG205" s="30">
        <f>IFERROR(__xludf.DUMMYFUNCTION("""COMPUTED_VALUE"""),1.6338630806845966)</f>
        <v>1.633863081</v>
      </c>
      <c r="AH205" s="30">
        <f>IFERROR(__xludf.DUMMYFUNCTION("""COMPUTED_VALUE"""),0.6971051749189672)</f>
        <v>0.6971051749</v>
      </c>
      <c r="AI205" s="30">
        <f>IFERROR(__xludf.DUMMYFUNCTION("""COMPUTED_VALUE"""),1.0719962185491523)</f>
        <v>1.071996219</v>
      </c>
      <c r="AJ205" s="30">
        <f>IFERROR(__xludf.DUMMYFUNCTION("""COMPUTED_VALUE"""),1.6090293453724602)</f>
        <v>1.609029345</v>
      </c>
      <c r="AK205" s="30">
        <f>IFERROR(__xludf.DUMMYFUNCTION("""COMPUTED_VALUE"""),1.2441651705565528)</f>
        <v>1.244165171</v>
      </c>
      <c r="AL205" s="30">
        <f>IFERROR(__xludf.DUMMYFUNCTION("""COMPUTED_VALUE"""),0.9027355623100303)</f>
        <v>0.9027355623</v>
      </c>
      <c r="AM205" s="30">
        <f>IFERROR(__xludf.DUMMYFUNCTION("""COMPUTED_VALUE"""),1.3297434656340756)</f>
        <v>1.329743466</v>
      </c>
      <c r="AN205" s="30">
        <f>IFERROR(__xludf.DUMMYFUNCTION("""COMPUTED_VALUE"""),0.9697936036398856)</f>
        <v>0.9697936036</v>
      </c>
      <c r="AO205" s="30">
        <f>IFERROR(__xludf.DUMMYFUNCTION("""COMPUTED_VALUE"""),0.7053266863006076)</f>
        <v>0.7053266863</v>
      </c>
      <c r="AP205" s="30">
        <f>IFERROR(__xludf.DUMMYFUNCTION("""COMPUTED_VALUE"""),0.8758432311811349)</f>
        <v>0.8758432312</v>
      </c>
      <c r="AQ205" s="30">
        <f>IFERROR(__xludf.DUMMYFUNCTION("""COMPUTED_VALUE"""),1.4030769734986601)</f>
        <v>1.403076973</v>
      </c>
      <c r="AR205" s="30">
        <f>IFERROR(__xludf.DUMMYFUNCTION("""COMPUTED_VALUE"""),0.6981258676850207)</f>
        <v>0.6981258677</v>
      </c>
      <c r="AS205" s="30">
        <f>IFERROR(__xludf.DUMMYFUNCTION("""COMPUTED_VALUE"""),8.0)</f>
        <v>8</v>
      </c>
      <c r="AT205" s="30">
        <f>IFERROR(__xludf.DUMMYFUNCTION("""COMPUTED_VALUE"""),0.34445266793706497)</f>
        <v>0.3444526679</v>
      </c>
      <c r="AU205" s="30">
        <f>IFERROR(__xludf.DUMMYFUNCTION("""COMPUTED_VALUE"""),1.3889829870402937)</f>
        <v>1.388982987</v>
      </c>
      <c r="AV205" s="32">
        <f>IFERROR(__xludf.DUMMYFUNCTION("""COMPUTED_VALUE"""),21.100232682386395)</f>
        <v>21.10023268</v>
      </c>
      <c r="AW205" s="32">
        <f>IFERROR(__xludf.DUMMYFUNCTION("""COMPUTED_VALUE"""),-8.074773566043023)</f>
        <v>-8.074773566</v>
      </c>
      <c r="AX205" s="32">
        <f>IFERROR(__xludf.DUMMYFUNCTION("""COMPUTED_VALUE"""),26.878123557746175)</f>
        <v>26.87812356</v>
      </c>
      <c r="AY205" s="32">
        <f>IFERROR(__xludf.DUMMYFUNCTION("""COMPUTED_VALUE"""),-5.633312446307781)</f>
        <v>-5.633312446</v>
      </c>
      <c r="AZ205" s="30">
        <f>IFERROR(__xludf.DUMMYFUNCTION("""COMPUTED_VALUE"""),2.4414611197352416)</f>
        <v>2.44146112</v>
      </c>
      <c r="BA205" s="30">
        <f>IFERROR(__xludf.DUMMYFUNCTION("""COMPUTED_VALUE"""),800.0)</f>
        <v>800</v>
      </c>
    </row>
    <row r="206">
      <c r="A206" s="30" t="str">
        <f>IFERROR(__xludf.DUMMYFUNCTION("""COMPUTED_VALUE"""),"Elite")</f>
        <v>Elite</v>
      </c>
      <c r="B206" s="30" t="str">
        <f>IFERROR(__xludf.DUMMYFUNCTION("""COMPUTED_VALUE"""),"RSC007895")</f>
        <v>RSC007895</v>
      </c>
      <c r="C206" s="30" t="str">
        <f>IFERROR(__xludf.DUMMYFUNCTION("""COMPUTED_VALUE"""),"Lup")</f>
        <v>Lup</v>
      </c>
      <c r="D206" s="30" t="str">
        <f>IFERROR(__xludf.DUMMYFUNCTION("""COMPUTED_VALUE"""),"Wyverns")</f>
        <v>Wyverns</v>
      </c>
      <c r="E206" s="30">
        <f>IFERROR(__xludf.DUMMYFUNCTION("""COMPUTED_VALUE"""),42.0)</f>
        <v>42</v>
      </c>
      <c r="F206" s="30">
        <f>IFERROR(__xludf.DUMMYFUNCTION("""COMPUTED_VALUE"""),22.0)</f>
        <v>22</v>
      </c>
      <c r="G206" s="30">
        <f>IFERROR(__xludf.DUMMYFUNCTION("""COMPUTED_VALUE"""),20.0)</f>
        <v>20</v>
      </c>
      <c r="H206" s="42">
        <f>IFERROR(__xludf.DUMMYFUNCTION("""COMPUTED_VALUE"""),0.5238095238095238)</f>
        <v>0.5238095238</v>
      </c>
      <c r="I206" s="42">
        <f>IFERROR(__xludf.DUMMYFUNCTION("""COMPUTED_VALUE"""),0.3170731707317073)</f>
        <v>0.3170731707</v>
      </c>
      <c r="J206" s="30">
        <f>IFERROR(__xludf.DUMMYFUNCTION("""COMPUTED_VALUE"""),385.6666666666667)</f>
        <v>385.6666667</v>
      </c>
      <c r="K206" s="30">
        <f>IFERROR(__xludf.DUMMYFUNCTION("""COMPUTED_VALUE"""),0.9285714285714286)</f>
        <v>0.9285714286</v>
      </c>
      <c r="L206" s="30">
        <f>IFERROR(__xludf.DUMMYFUNCTION("""COMPUTED_VALUE"""),0.5238095238095238)</f>
        <v>0.5238095238</v>
      </c>
      <c r="M206" s="30">
        <f>IFERROR(__xludf.DUMMYFUNCTION("""COMPUTED_VALUE"""),1.6428571428571428)</f>
        <v>1.642857143</v>
      </c>
      <c r="N206" s="30">
        <f>IFERROR(__xludf.DUMMYFUNCTION("""COMPUTED_VALUE"""),2.9285714285714284)</f>
        <v>2.928571429</v>
      </c>
      <c r="O206" s="30">
        <f>IFERROR(__xludf.DUMMYFUNCTION("""COMPUTED_VALUE"""),351.2142857142857)</f>
        <v>351.2142857</v>
      </c>
      <c r="P206" s="30">
        <f>IFERROR(__xludf.DUMMYFUNCTION("""COMPUTED_VALUE"""),0.6666666666666666)</f>
        <v>0.6666666667</v>
      </c>
      <c r="Q206" s="30">
        <f>IFERROR(__xludf.DUMMYFUNCTION("""COMPUTED_VALUE"""),0.5238095238095237)</f>
        <v>0.5238095238</v>
      </c>
      <c r="R206" s="30">
        <f>IFERROR(__xludf.DUMMYFUNCTION("""COMPUTED_VALUE"""),1.4841269841269842)</f>
        <v>1.484126984</v>
      </c>
      <c r="S206" s="30">
        <f>IFERROR(__xludf.DUMMYFUNCTION("""COMPUTED_VALUE"""),2.5714285714285716)</f>
        <v>2.571428571</v>
      </c>
      <c r="T206" s="30">
        <f>IFERROR(__xludf.DUMMYFUNCTION("""COMPUTED_VALUE"""),352.40637562465463)</f>
        <v>352.4063756</v>
      </c>
      <c r="U206" s="30">
        <f>IFERROR(__xludf.DUMMYFUNCTION("""COMPUTED_VALUE"""),0.7599169297648295)</f>
        <v>0.7599169298</v>
      </c>
      <c r="V206" s="30">
        <f>IFERROR(__xludf.DUMMYFUNCTION("""COMPUTED_VALUE"""),0.5765255685013113)</f>
        <v>0.5765255685</v>
      </c>
      <c r="W206" s="30">
        <f>IFERROR(__xludf.DUMMYFUNCTION("""COMPUTED_VALUE"""),1.3680526496561707)</f>
        <v>1.36805265</v>
      </c>
      <c r="X206" s="30">
        <f>IFERROR(__xludf.DUMMYFUNCTION("""COMPUTED_VALUE"""),2.6380185972453)</f>
        <v>2.638018597</v>
      </c>
      <c r="Y206" s="30">
        <f>IFERROR(__xludf.DUMMYFUNCTION("""COMPUTED_VALUE"""),353.723098590448)</f>
        <v>353.7230986</v>
      </c>
      <c r="Z206" s="30">
        <f>IFERROR(__xludf.DUMMYFUNCTION("""COMPUTED_VALUE"""),0.717787809102523)</f>
        <v>0.7177878091</v>
      </c>
      <c r="AA206" s="30">
        <f>IFERROR(__xludf.DUMMYFUNCTION("""COMPUTED_VALUE"""),0.5347500696343731)</f>
        <v>0.5347500696</v>
      </c>
      <c r="AB206" s="30">
        <f>IFERROR(__xludf.DUMMYFUNCTION("""COMPUTED_VALUE"""),1.47674004510047)</f>
        <v>1.476740045</v>
      </c>
      <c r="AC206" s="30">
        <f>IFERROR(__xludf.DUMMYFUNCTION("""COMPUTED_VALUE"""),2.5380812971029436)</f>
        <v>2.538081297</v>
      </c>
      <c r="AD206" s="30">
        <f>IFERROR(__xludf.DUMMYFUNCTION("""COMPUTED_VALUE"""),1.0903067065835133)</f>
        <v>1.090306707</v>
      </c>
      <c r="AE206" s="30">
        <f>IFERROR(__xludf.DUMMYFUNCTION("""COMPUTED_VALUE"""),1.2936572853368131)</f>
        <v>1.293657285</v>
      </c>
      <c r="AF206" s="30">
        <f>IFERROR(__xludf.DUMMYFUNCTION("""COMPUTED_VALUE"""),0.9795408239360684)</f>
        <v>0.9795408239</v>
      </c>
      <c r="AG206" s="30">
        <f>IFERROR(__xludf.DUMMYFUNCTION("""COMPUTED_VALUE"""),1.1124890587939402)</f>
        <v>1.112489059</v>
      </c>
      <c r="AH206" s="30">
        <f>IFERROR(__xludf.DUMMYFUNCTION("""COMPUTED_VALUE"""),1.1538524916101798)</f>
        <v>1.153852492</v>
      </c>
      <c r="AI206" s="30">
        <f>IFERROR(__xludf.DUMMYFUNCTION("""COMPUTED_VALUE"""),0.9966172861990482)</f>
        <v>0.9966172862</v>
      </c>
      <c r="AJ206" s="30">
        <f>IFERROR(__xludf.DUMMYFUNCTION("""COMPUTED_VALUE"""),0.8772888727100462)</f>
        <v>0.8772888727</v>
      </c>
      <c r="AK206" s="30">
        <f>IFERROR(__xludf.DUMMYFUNCTION("""COMPUTED_VALUE"""),0.9085625207762703)</f>
        <v>0.9085625208</v>
      </c>
      <c r="AL206" s="30">
        <f>IFERROR(__xludf.DUMMYFUNCTION("""COMPUTED_VALUE"""),1.0848463942524333)</f>
        <v>1.084846394</v>
      </c>
      <c r="AM206" s="30">
        <f>IFERROR(__xludf.DUMMYFUNCTION("""COMPUTED_VALUE"""),0.9747575601300674)</f>
        <v>0.9747575601</v>
      </c>
      <c r="AN206" s="30">
        <f>IFERROR(__xludf.DUMMYFUNCTION("""COMPUTED_VALUE"""),1.1000501955013213)</f>
        <v>1.100050196</v>
      </c>
      <c r="AO206" s="30">
        <f>IFERROR(__xludf.DUMMYFUNCTION("""COMPUTED_VALUE"""),1.3098924174154143)</f>
        <v>1.309892417</v>
      </c>
      <c r="AP206" s="30">
        <f>IFERROR(__xludf.DUMMYFUNCTION("""COMPUTED_VALUE"""),0.91755005171357)</f>
        <v>0.9175500517</v>
      </c>
      <c r="AQ206" s="30">
        <f>IFERROR(__xludf.DUMMYFUNCTION("""COMPUTED_VALUE"""),1.152527513945328)</f>
        <v>1.152527514</v>
      </c>
      <c r="AR206" s="30">
        <f>IFERROR(__xludf.DUMMYFUNCTION("""COMPUTED_VALUE"""),1.168292268370851)</f>
        <v>1.168292268</v>
      </c>
      <c r="AS206" s="30">
        <f>IFERROR(__xludf.DUMMYFUNCTION("""COMPUTED_VALUE"""),95.0)</f>
        <v>95</v>
      </c>
      <c r="AT206" s="30">
        <f>IFERROR(__xludf.DUMMYFUNCTION("""COMPUTED_VALUE"""),0.5465046605587687)</f>
        <v>0.5465046606</v>
      </c>
      <c r="AU206" s="30">
        <f>IFERROR(__xludf.DUMMYFUNCTION("""COMPUTED_VALUE"""),3.1535233247624888)</f>
        <v>3.153523325</v>
      </c>
      <c r="AV206" s="32">
        <f>IFERROR(__xludf.DUMMYFUNCTION("""COMPUTED_VALUE"""),71.85584676996078)</f>
        <v>71.85584677</v>
      </c>
      <c r="AW206" s="32">
        <f>IFERROR(__xludf.DUMMYFUNCTION("""COMPUTED_VALUE"""),5.2357267651719965)</f>
        <v>5.235726765</v>
      </c>
      <c r="AX206" s="32">
        <f>IFERROR(__xludf.DUMMYFUNCTION("""COMPUTED_VALUE"""),60.6142430925549)</f>
        <v>60.61424309</v>
      </c>
      <c r="AY206" s="32">
        <f>IFERROR(__xludf.DUMMYFUNCTION("""COMPUTED_VALUE"""),2.979958137320747)</f>
        <v>2.979958137</v>
      </c>
      <c r="AZ206" s="30">
        <f>IFERROR(__xludf.DUMMYFUNCTION("""COMPUTED_VALUE"""),2.2557686278512494)</f>
        <v>2.255768628</v>
      </c>
      <c r="BA206" s="30">
        <f>IFERROR(__xludf.DUMMYFUNCTION("""COMPUTED_VALUE"""),800.0)</f>
        <v>800</v>
      </c>
    </row>
    <row r="207">
      <c r="A207" s="30" t="str">
        <f>IFERROR(__xludf.DUMMYFUNCTION("""COMPUTED_VALUE"""),"Elite")</f>
        <v>Elite</v>
      </c>
      <c r="B207" s="30" t="str">
        <f>IFERROR(__xludf.DUMMYFUNCTION("""COMPUTED_VALUE"""),"RSC007836")</f>
        <v>RSC007836</v>
      </c>
      <c r="C207" s="30" t="str">
        <f>IFERROR(__xludf.DUMMYFUNCTION("""COMPUTED_VALUE"""),"Eclipse")</f>
        <v>Eclipse</v>
      </c>
      <c r="D207" s="30" t="str">
        <f>IFERROR(__xludf.DUMMYFUNCTION("""COMPUTED_VALUE"""),"Great Whites")</f>
        <v>Great Whites</v>
      </c>
      <c r="E207" s="30">
        <f>IFERROR(__xludf.DUMMYFUNCTION("""COMPUTED_VALUE"""),44.0)</f>
        <v>44</v>
      </c>
      <c r="F207" s="30">
        <f>IFERROR(__xludf.DUMMYFUNCTION("""COMPUTED_VALUE"""),32.0)</f>
        <v>32</v>
      </c>
      <c r="G207" s="30">
        <f>IFERROR(__xludf.DUMMYFUNCTION("""COMPUTED_VALUE"""),12.0)</f>
        <v>12</v>
      </c>
      <c r="H207" s="42">
        <f>IFERROR(__xludf.DUMMYFUNCTION("""COMPUTED_VALUE"""),0.7272727272727273)</f>
        <v>0.7272727273</v>
      </c>
      <c r="I207" s="42">
        <f>IFERROR(__xludf.DUMMYFUNCTION("""COMPUTED_VALUE"""),0.3482142857142857)</f>
        <v>0.3482142857</v>
      </c>
      <c r="J207" s="30">
        <f>IFERROR(__xludf.DUMMYFUNCTION("""COMPUTED_VALUE"""),358.8181818181818)</f>
        <v>358.8181818</v>
      </c>
      <c r="K207" s="30">
        <f>IFERROR(__xludf.DUMMYFUNCTION("""COMPUTED_VALUE"""),0.8863636363636364)</f>
        <v>0.8863636364</v>
      </c>
      <c r="L207" s="30">
        <f>IFERROR(__xludf.DUMMYFUNCTION("""COMPUTED_VALUE"""),0.7272727272727273)</f>
        <v>0.7272727273</v>
      </c>
      <c r="M207" s="30">
        <f>IFERROR(__xludf.DUMMYFUNCTION("""COMPUTED_VALUE"""),1.2045454545454546)</f>
        <v>1.204545455</v>
      </c>
      <c r="N207" s="30">
        <f>IFERROR(__xludf.DUMMYFUNCTION("""COMPUTED_VALUE"""),2.5454545454545454)</f>
        <v>2.545454545</v>
      </c>
      <c r="O207" s="30">
        <f>IFERROR(__xludf.DUMMYFUNCTION("""COMPUTED_VALUE"""),310.6363636363637)</f>
        <v>310.6363636</v>
      </c>
      <c r="P207" s="30">
        <f>IFERROR(__xludf.DUMMYFUNCTION("""COMPUTED_VALUE"""),0.5227272727272726)</f>
        <v>0.5227272727</v>
      </c>
      <c r="Q207" s="30">
        <f>IFERROR(__xludf.DUMMYFUNCTION("""COMPUTED_VALUE"""),0.40151515151515155)</f>
        <v>0.4015151515</v>
      </c>
      <c r="R207" s="30">
        <f>IFERROR(__xludf.DUMMYFUNCTION("""COMPUTED_VALUE"""),1.4696969696969695)</f>
        <v>1.46969697</v>
      </c>
      <c r="S207" s="30">
        <f>IFERROR(__xludf.DUMMYFUNCTION("""COMPUTED_VALUE"""),2.0984848484848486)</f>
        <v>2.098484848</v>
      </c>
      <c r="T207" s="30">
        <f>IFERROR(__xludf.DUMMYFUNCTION("""COMPUTED_VALUE"""),357.2612314906027)</f>
        <v>357.2612315</v>
      </c>
      <c r="U207" s="30">
        <f>IFERROR(__xludf.DUMMYFUNCTION("""COMPUTED_VALUE"""),0.7368969019386431)</f>
        <v>0.7368969019</v>
      </c>
      <c r="V207" s="30">
        <f>IFERROR(__xludf.DUMMYFUNCTION("""COMPUTED_VALUE"""),0.5127175970144754)</f>
        <v>0.512717597</v>
      </c>
      <c r="W207" s="30">
        <f>IFERROR(__xludf.DUMMYFUNCTION("""COMPUTED_VALUE"""),1.49640755987972)</f>
        <v>1.49640756</v>
      </c>
      <c r="X207" s="30">
        <f>IFERROR(__xludf.DUMMYFUNCTION("""COMPUTED_VALUE"""),2.6139990947055107)</f>
        <v>2.613999095</v>
      </c>
      <c r="Y207" s="30">
        <f>IFERROR(__xludf.DUMMYFUNCTION("""COMPUTED_VALUE"""),369.39955049800346)</f>
        <v>369.3995505</v>
      </c>
      <c r="Z207" s="30">
        <f>IFERROR(__xludf.DUMMYFUNCTION("""COMPUTED_VALUE"""),0.8063346001157611)</f>
        <v>0.8063346001</v>
      </c>
      <c r="AA207" s="30">
        <f>IFERROR(__xludf.DUMMYFUNCTION("""COMPUTED_VALUE"""),0.6255945767494148)</f>
        <v>0.6255945767</v>
      </c>
      <c r="AB207" s="30">
        <f>IFERROR(__xludf.DUMMYFUNCTION("""COMPUTED_VALUE"""),1.4411253621143305)</f>
        <v>1.441125362</v>
      </c>
      <c r="AC207" s="30">
        <f>IFERROR(__xludf.DUMMYFUNCTION("""COMPUTED_VALUE"""),2.759777356184519)</f>
        <v>2.759777356</v>
      </c>
      <c r="AD207" s="30">
        <f>IFERROR(__xludf.DUMMYFUNCTION("""COMPUTED_VALUE"""),0.9713552204772409)</f>
        <v>0.9713552205</v>
      </c>
      <c r="AE207" s="30">
        <f>IFERROR(__xludf.DUMMYFUNCTION("""COMPUTED_VALUE"""),1.099250405769994)</f>
        <v>1.099250406</v>
      </c>
      <c r="AF207" s="30">
        <f>IFERROR(__xludf.DUMMYFUNCTION("""COMPUTED_VALUE"""),1.1625304219413657)</f>
        <v>1.162530422</v>
      </c>
      <c r="AG207" s="30">
        <f>IFERROR(__xludf.DUMMYFUNCTION("""COMPUTED_VALUE"""),0.8358366913883325)</f>
        <v>0.8358366914</v>
      </c>
      <c r="AH207" s="30">
        <f>IFERROR(__xludf.DUMMYFUNCTION("""COMPUTED_VALUE"""),0.9223405430696476)</f>
        <v>0.9223405431</v>
      </c>
      <c r="AI207" s="30">
        <f>IFERROR(__xludf.DUMMYFUNCTION("""COMPUTED_VALUE"""),0.869493626107412)</f>
        <v>0.8694936261</v>
      </c>
      <c r="AJ207" s="30">
        <f>IFERROR(__xludf.DUMMYFUNCTION("""COMPUTED_VALUE"""),0.7093628312889785)</f>
        <v>0.7093628313</v>
      </c>
      <c r="AK207" s="30">
        <f>IFERROR(__xludf.DUMMYFUNCTION("""COMPUTED_VALUE"""),0.7831117048705775)</f>
        <v>0.7831117049</v>
      </c>
      <c r="AL207" s="30">
        <f>IFERROR(__xludf.DUMMYFUNCTION("""COMPUTED_VALUE"""),0.9821501902964875)</f>
        <v>0.9821501903</v>
      </c>
      <c r="AM207" s="30">
        <f>IFERROR(__xludf.DUMMYFUNCTION("""COMPUTED_VALUE"""),0.8027871366655009)</f>
        <v>0.8027871367</v>
      </c>
      <c r="AN207" s="30">
        <f>IFERROR(__xludf.DUMMYFUNCTION("""COMPUTED_VALUE"""),1.02346934587343)</f>
        <v>1.023469346</v>
      </c>
      <c r="AO207" s="30">
        <f>IFERROR(__xludf.DUMMYFUNCTION("""COMPUTED_VALUE"""),1.2503518529874407)</f>
        <v>1.250351853</v>
      </c>
      <c r="AP207" s="30">
        <f>IFERROR(__xludf.DUMMYFUNCTION("""COMPUTED_VALUE"""),1.2739537908089236)</f>
        <v>1.273953791</v>
      </c>
      <c r="AQ207" s="30">
        <f>IFERROR(__xludf.DUMMYFUNCTION("""COMPUTED_VALUE"""),0.8450349954026022)</f>
        <v>0.8450349954</v>
      </c>
      <c r="AR207" s="30">
        <f>IFERROR(__xludf.DUMMYFUNCTION("""COMPUTED_VALUE"""),1.0154558075418483)</f>
        <v>1.015455808</v>
      </c>
      <c r="AS207" s="30">
        <f>IFERROR(__xludf.DUMMYFUNCTION("""COMPUTED_VALUE"""),128.0)</f>
        <v>128</v>
      </c>
      <c r="AT207" s="30">
        <f>IFERROR(__xludf.DUMMYFUNCTION("""COMPUTED_VALUE"""),0.721138132592575)</f>
        <v>0.7211381326</v>
      </c>
      <c r="AU207" s="30">
        <f>IFERROR(__xludf.DUMMYFUNCTION("""COMPUTED_VALUE"""),3.1213349058611275)</f>
        <v>3.121334906</v>
      </c>
      <c r="AV207" s="32">
        <f>IFERROR(__xludf.DUMMYFUNCTION("""COMPUTED_VALUE"""),70.92997223316462)</f>
        <v>70.92997223</v>
      </c>
      <c r="AW207" s="32">
        <f>IFERROR(__xludf.DUMMYFUNCTION("""COMPUTED_VALUE"""),4.969181364613614)</f>
        <v>4.969181365</v>
      </c>
      <c r="AX207" s="32">
        <f>IFERROR(__xludf.DUMMYFUNCTION("""COMPUTED_VALUE"""),58.49794930937685)</f>
        <v>58.49794931</v>
      </c>
      <c r="AY207" s="32">
        <f>IFERROR(__xludf.DUMMYFUNCTION("""COMPUTED_VALUE"""),2.725098959109661)</f>
        <v>2.725098959</v>
      </c>
      <c r="AZ207" s="30">
        <f>IFERROR(__xludf.DUMMYFUNCTION("""COMPUTED_VALUE"""),2.2440824055039528)</f>
        <v>2.244082406</v>
      </c>
      <c r="BA207" s="30">
        <f>IFERROR(__xludf.DUMMYFUNCTION("""COMPUTED_VALUE"""),800.0)</f>
        <v>800</v>
      </c>
    </row>
    <row r="208">
      <c r="A208" s="30" t="str">
        <f>IFERROR(__xludf.DUMMYFUNCTION("""COMPUTED_VALUE"""),"Elite")</f>
        <v>Elite</v>
      </c>
      <c r="B208" s="30" t="str">
        <f>IFERROR(__xludf.DUMMYFUNCTION("""COMPUTED_VALUE"""),"RSC005308")</f>
        <v>RSC005308</v>
      </c>
      <c r="C208" s="30" t="str">
        <f>IFERROR(__xludf.DUMMYFUNCTION("""COMPUTED_VALUE"""),"6 lbs of Yeet")</f>
        <v>6 lbs of Yeet</v>
      </c>
      <c r="D208" s="30" t="str">
        <f>IFERROR(__xludf.DUMMYFUNCTION("""COMPUTED_VALUE"""),"Pixel Picassos")</f>
        <v>Pixel Picassos</v>
      </c>
      <c r="E208" s="30">
        <f>IFERROR(__xludf.DUMMYFUNCTION("""COMPUTED_VALUE"""),29.0)</f>
        <v>29</v>
      </c>
      <c r="F208" s="30">
        <f>IFERROR(__xludf.DUMMYFUNCTION("""COMPUTED_VALUE"""),8.0)</f>
        <v>8</v>
      </c>
      <c r="G208" s="30">
        <f>IFERROR(__xludf.DUMMYFUNCTION("""COMPUTED_VALUE"""),21.0)</f>
        <v>21</v>
      </c>
      <c r="H208" s="42">
        <f>IFERROR(__xludf.DUMMYFUNCTION("""COMPUTED_VALUE"""),0.27586206896551724)</f>
        <v>0.275862069</v>
      </c>
      <c r="I208" s="42">
        <f>IFERROR(__xludf.DUMMYFUNCTION("""COMPUTED_VALUE"""),0.24590163934426232)</f>
        <v>0.2459016393</v>
      </c>
      <c r="J208" s="30">
        <f>IFERROR(__xludf.DUMMYFUNCTION("""COMPUTED_VALUE"""),328.62068965517244)</f>
        <v>328.6206897</v>
      </c>
      <c r="K208" s="30">
        <f>IFERROR(__xludf.DUMMYFUNCTION("""COMPUTED_VALUE"""),0.5172413793103449)</f>
        <v>0.5172413793</v>
      </c>
      <c r="L208" s="30">
        <f>IFERROR(__xludf.DUMMYFUNCTION("""COMPUTED_VALUE"""),0.4482758620689655)</f>
        <v>0.4482758621</v>
      </c>
      <c r="M208" s="30">
        <f>IFERROR(__xludf.DUMMYFUNCTION("""COMPUTED_VALUE"""),1.8275862068965518)</f>
        <v>1.827586207</v>
      </c>
      <c r="N208" s="30">
        <f>IFERROR(__xludf.DUMMYFUNCTION("""COMPUTED_VALUE"""),2.103448275862069)</f>
        <v>2.103448276</v>
      </c>
      <c r="O208" s="30">
        <f>IFERROR(__xludf.DUMMYFUNCTION("""COMPUTED_VALUE"""),378.448275862069)</f>
        <v>378.4482759</v>
      </c>
      <c r="P208" s="30">
        <f>IFERROR(__xludf.DUMMYFUNCTION("""COMPUTED_VALUE"""),0.9770114942528738)</f>
        <v>0.9770114943</v>
      </c>
      <c r="Q208" s="30">
        <f>IFERROR(__xludf.DUMMYFUNCTION("""COMPUTED_VALUE"""),0.7126436781609194)</f>
        <v>0.7126436782</v>
      </c>
      <c r="R208" s="30">
        <f>IFERROR(__xludf.DUMMYFUNCTION("""COMPUTED_VALUE"""),1.1954022988505746)</f>
        <v>1.195402299</v>
      </c>
      <c r="S208" s="30">
        <f>IFERROR(__xludf.DUMMYFUNCTION("""COMPUTED_VALUE"""),3.172413793103449)</f>
        <v>3.172413793</v>
      </c>
      <c r="T208" s="30">
        <f>IFERROR(__xludf.DUMMYFUNCTION("""COMPUTED_VALUE"""),369.1589634890485)</f>
        <v>369.1589635</v>
      </c>
      <c r="U208" s="30">
        <f>IFERROR(__xludf.DUMMYFUNCTION("""COMPUTED_VALUE"""),0.8749290385571366)</f>
        <v>0.8749290386</v>
      </c>
      <c r="V208" s="30">
        <f>IFERROR(__xludf.DUMMYFUNCTION("""COMPUTED_VALUE"""),0.6512214573946721)</f>
        <v>0.6512214574</v>
      </c>
      <c r="W208" s="30">
        <f>IFERROR(__xludf.DUMMYFUNCTION("""COMPUTED_VALUE"""),1.289248196779421)</f>
        <v>1.289248197</v>
      </c>
      <c r="X208" s="30">
        <f>IFERROR(__xludf.DUMMYFUNCTION("""COMPUTED_VALUE"""),2.895050039983104)</f>
        <v>2.89505004</v>
      </c>
      <c r="Y208" s="30">
        <f>IFERROR(__xludf.DUMMYFUNCTION("""COMPUTED_VALUE"""),354.05080716841485)</f>
        <v>354.0508072</v>
      </c>
      <c r="Z208" s="30">
        <f>IFERROR(__xludf.DUMMYFUNCTION("""COMPUTED_VALUE"""),0.7002834513800645)</f>
        <v>0.7002834514</v>
      </c>
      <c r="AA208" s="30">
        <f>IFERROR(__xludf.DUMMYFUNCTION("""COMPUTED_VALUE"""),0.5249376447778594)</f>
        <v>0.5249376448</v>
      </c>
      <c r="AB208" s="30">
        <f>IFERROR(__xludf.DUMMYFUNCTION("""COMPUTED_VALUE"""),1.5326347260018225)</f>
        <v>1.532634726</v>
      </c>
      <c r="AC208" s="30">
        <f>IFERROR(__xludf.DUMMYFUNCTION("""COMPUTED_VALUE"""),2.4402487193781504)</f>
        <v>2.440248719</v>
      </c>
      <c r="AD208" s="30">
        <f>IFERROR(__xludf.DUMMYFUNCTION("""COMPUTED_VALUE"""),0.9281738185639955)</f>
        <v>0.9281738186</v>
      </c>
      <c r="AE208" s="30">
        <f>IFERROR(__xludf.DUMMYFUNCTION("""COMPUTED_VALUE"""),0.7386171675069653)</f>
        <v>0.7386171675</v>
      </c>
      <c r="AF208" s="30">
        <f>IFERROR(__xludf.DUMMYFUNCTION("""COMPUTED_VALUE"""),0.8539602113288421)</f>
        <v>0.8539602113</v>
      </c>
      <c r="AG208" s="30">
        <f>IFERROR(__xludf.DUMMYFUNCTION("""COMPUTED_VALUE"""),1.1924473430562075)</f>
        <v>1.192447343</v>
      </c>
      <c r="AH208" s="30">
        <f>IFERROR(__xludf.DUMMYFUNCTION("""COMPUTED_VALUE"""),0.8619811001880544)</f>
        <v>0.8619811002</v>
      </c>
      <c r="AI208" s="30">
        <f>IFERROR(__xludf.DUMMYFUNCTION("""COMPUTED_VALUE"""),1.0251634479770557)</f>
        <v>1.025163448</v>
      </c>
      <c r="AJ208" s="30">
        <f>IFERROR(__xludf.DUMMYFUNCTION("""COMPUTED_VALUE"""),1.116675125864017)</f>
        <v>1.116675126</v>
      </c>
      <c r="AK208" s="30">
        <f>IFERROR(__xludf.DUMMYFUNCTION("""COMPUTED_VALUE"""),1.094318484240335)</f>
        <v>1.094318484</v>
      </c>
      <c r="AL208" s="30">
        <f>IFERROR(__xludf.DUMMYFUNCTION("""COMPUTED_VALUE"""),0.9272088197111494)</f>
        <v>0.9272088197</v>
      </c>
      <c r="AM208" s="30">
        <f>IFERROR(__xludf.DUMMYFUNCTION("""COMPUTED_VALUE"""),1.0958062034471652)</f>
        <v>1.095806203</v>
      </c>
      <c r="AN208" s="30">
        <f>IFERROR(__xludf.DUMMYFUNCTION("""COMPUTED_VALUE"""),0.9373360083862181)</f>
        <v>0.9373360084</v>
      </c>
      <c r="AO208" s="30">
        <f>IFERROR(__xludf.DUMMYFUNCTION("""COMPUTED_VALUE"""),0.7296482961730424)</f>
        <v>0.7296482962</v>
      </c>
      <c r="AP208" s="30">
        <f>IFERROR(__xludf.DUMMYFUNCTION("""COMPUTED_VALUE"""),0.7852387589899831)</f>
        <v>0.785238759</v>
      </c>
      <c r="AQ208" s="30">
        <f>IFERROR(__xludf.DUMMYFUNCTION("""COMPUTED_VALUE"""),1.282122061990155)</f>
        <v>1.282122062</v>
      </c>
      <c r="AR208" s="30">
        <f>IFERROR(__xludf.DUMMYFUNCTION("""COMPUTED_VALUE"""),0.8391266586952958)</f>
        <v>0.8391266587</v>
      </c>
      <c r="AS208" s="30">
        <f>IFERROR(__xludf.DUMMYFUNCTION("""COMPUTED_VALUE"""),53.0)</f>
        <v>53</v>
      </c>
      <c r="AT208" s="30">
        <f>IFERROR(__xludf.DUMMYFUNCTION("""COMPUTED_VALUE"""),0.3231986052872916)</f>
        <v>0.3231986053</v>
      </c>
      <c r="AU208" s="30">
        <f>IFERROR(__xludf.DUMMYFUNCTION("""COMPUTED_VALUE"""),1.750910185893096)</f>
        <v>1.750910186</v>
      </c>
      <c r="AV208" s="32">
        <f>IFERROR(__xludf.DUMMYFUNCTION("""COMPUTED_VALUE"""),31.51078371375745)</f>
        <v>31.51078371</v>
      </c>
      <c r="AW208" s="32">
        <f>IFERROR(__xludf.DUMMYFUNCTION("""COMPUTED_VALUE"""),-4.35197210525836)</f>
        <v>-4.351972105</v>
      </c>
      <c r="AX208" s="32">
        <f>IFERROR(__xludf.DUMMYFUNCTION("""COMPUTED_VALUE"""),25.17212277727325)</f>
        <v>25.17212278</v>
      </c>
      <c r="AY208" s="32">
        <f>IFERROR(__xludf.DUMMYFUNCTION("""COMPUTED_VALUE"""),-6.237255114148045)</f>
        <v>-6.237255114</v>
      </c>
      <c r="AZ208" s="30">
        <f>IFERROR(__xludf.DUMMYFUNCTION("""COMPUTED_VALUE"""),1.8852830088896848)</f>
        <v>1.885283009</v>
      </c>
      <c r="BA208" s="30">
        <f>IFERROR(__xludf.DUMMYFUNCTION("""COMPUTED_VALUE"""),800.0)</f>
        <v>800</v>
      </c>
    </row>
    <row r="209">
      <c r="A209" s="30" t="str">
        <f>IFERROR(__xludf.DUMMYFUNCTION("""COMPUTED_VALUE"""),"Elite")</f>
        <v>Elite</v>
      </c>
      <c r="B209" s="30" t="str">
        <f>IFERROR(__xludf.DUMMYFUNCTION("""COMPUTED_VALUE"""),"RSC003709")</f>
        <v>RSC003709</v>
      </c>
      <c r="C209" s="30" t="str">
        <f>IFERROR(__xludf.DUMMYFUNCTION("""COMPUTED_VALUE"""),"donald.")</f>
        <v>donald.</v>
      </c>
      <c r="D209" s="30"/>
      <c r="E209" s="30">
        <f>IFERROR(__xludf.DUMMYFUNCTION("""COMPUTED_VALUE"""),37.0)</f>
        <v>37</v>
      </c>
      <c r="F209" s="30">
        <f>IFERROR(__xludf.DUMMYFUNCTION("""COMPUTED_VALUE"""),13.0)</f>
        <v>13</v>
      </c>
      <c r="G209" s="30">
        <f>IFERROR(__xludf.DUMMYFUNCTION("""COMPUTED_VALUE"""),24.0)</f>
        <v>24</v>
      </c>
      <c r="H209" s="42">
        <f>IFERROR(__xludf.DUMMYFUNCTION("""COMPUTED_VALUE"""),0.35135135135135137)</f>
        <v>0.3513513514</v>
      </c>
      <c r="I209" s="42">
        <f>IFERROR(__xludf.DUMMYFUNCTION("""COMPUTED_VALUE"""),0.2898550724637681)</f>
        <v>0.2898550725</v>
      </c>
      <c r="J209" s="30">
        <f>IFERROR(__xludf.DUMMYFUNCTION("""COMPUTED_VALUE"""),341.7567567567568)</f>
        <v>341.7567568</v>
      </c>
      <c r="K209" s="30">
        <f>IFERROR(__xludf.DUMMYFUNCTION("""COMPUTED_VALUE"""),0.5405405405405406)</f>
        <v>0.5405405405</v>
      </c>
      <c r="L209" s="30">
        <f>IFERROR(__xludf.DUMMYFUNCTION("""COMPUTED_VALUE"""),0.4594594594594595)</f>
        <v>0.4594594595</v>
      </c>
      <c r="M209" s="30">
        <f>IFERROR(__xludf.DUMMYFUNCTION("""COMPUTED_VALUE"""),1.7837837837837838)</f>
        <v>1.783783784</v>
      </c>
      <c r="N209" s="30">
        <f>IFERROR(__xludf.DUMMYFUNCTION("""COMPUTED_VALUE"""),1.864864864864865)</f>
        <v>1.864864865</v>
      </c>
      <c r="O209" s="30">
        <f>IFERROR(__xludf.DUMMYFUNCTION("""COMPUTED_VALUE"""),356.82882882882876)</f>
        <v>356.8288288</v>
      </c>
      <c r="P209" s="30">
        <f>IFERROR(__xludf.DUMMYFUNCTION("""COMPUTED_VALUE"""),0.8828828828828829)</f>
        <v>0.8828828829</v>
      </c>
      <c r="Q209" s="30">
        <f>IFERROR(__xludf.DUMMYFUNCTION("""COMPUTED_VALUE"""),0.6486486486486487)</f>
        <v>0.6486486486</v>
      </c>
      <c r="R209" s="30">
        <f>IFERROR(__xludf.DUMMYFUNCTION("""COMPUTED_VALUE"""),0.9549549549549549)</f>
        <v>0.954954955</v>
      </c>
      <c r="S209" s="30">
        <f>IFERROR(__xludf.DUMMYFUNCTION("""COMPUTED_VALUE"""),3.1981981981981984)</f>
        <v>3.198198198</v>
      </c>
      <c r="T209" s="30">
        <f>IFERROR(__xludf.DUMMYFUNCTION("""COMPUTED_VALUE"""),362.51552934989246)</f>
        <v>362.5155293</v>
      </c>
      <c r="U209" s="30">
        <f>IFERROR(__xludf.DUMMYFUNCTION("""COMPUTED_VALUE"""),0.8063765466896331)</f>
        <v>0.8063765467</v>
      </c>
      <c r="V209" s="30">
        <f>IFERROR(__xludf.DUMMYFUNCTION("""COMPUTED_VALUE"""),0.6178277225151819)</f>
        <v>0.6178277225</v>
      </c>
      <c r="W209" s="30">
        <f>IFERROR(__xludf.DUMMYFUNCTION("""COMPUTED_VALUE"""),1.3550964588361283)</f>
        <v>1.355096459</v>
      </c>
      <c r="X209" s="30">
        <f>IFERROR(__xludf.DUMMYFUNCTION("""COMPUTED_VALUE"""),2.804878875237816)</f>
        <v>2.804878875</v>
      </c>
      <c r="Y209" s="30">
        <f>IFERROR(__xludf.DUMMYFUNCTION("""COMPUTED_VALUE"""),363.85139538242913)</f>
        <v>363.8513954</v>
      </c>
      <c r="Z209" s="30">
        <f>IFERROR(__xludf.DUMMYFUNCTION("""COMPUTED_VALUE"""),0.7819137506447624)</f>
        <v>0.7819137506</v>
      </c>
      <c r="AA209" s="30">
        <f>IFERROR(__xludf.DUMMYFUNCTION("""COMPUTED_VALUE"""),0.5752833782968267)</f>
        <v>0.5752833783</v>
      </c>
      <c r="AB209" s="30">
        <f>IFERROR(__xludf.DUMMYFUNCTION("""COMPUTED_VALUE"""),1.4931764426596559)</f>
        <v>1.493176443</v>
      </c>
      <c r="AC209" s="30">
        <f>IFERROR(__xludf.DUMMYFUNCTION("""COMPUTED_VALUE"""),2.537324818791204)</f>
        <v>2.537324819</v>
      </c>
      <c r="AD209" s="30">
        <f>IFERROR(__xludf.DUMMYFUNCTION("""COMPUTED_VALUE"""),0.9392756523512859)</f>
        <v>0.9392756524</v>
      </c>
      <c r="AE209" s="30">
        <f>IFERROR(__xludf.DUMMYFUNCTION("""COMPUTED_VALUE"""),0.6913045589680619)</f>
        <v>0.691304559</v>
      </c>
      <c r="AF209" s="30">
        <f>IFERROR(__xludf.DUMMYFUNCTION("""COMPUTED_VALUE"""),0.7986663213175507)</f>
        <v>0.7986663213</v>
      </c>
      <c r="AG209" s="30">
        <f>IFERROR(__xludf.DUMMYFUNCTION("""COMPUTED_VALUE"""),1.1946235775100338)</f>
        <v>1.194623578</v>
      </c>
      <c r="AH209" s="30">
        <f>IFERROR(__xludf.DUMMYFUNCTION("""COMPUTED_VALUE"""),0.7349728545016546)</f>
        <v>0.7349728545</v>
      </c>
      <c r="AI209" s="30">
        <f>IFERROR(__xludf.DUMMYFUNCTION("""COMPUTED_VALUE"""),0.9843132223017816)</f>
        <v>0.9843132223</v>
      </c>
      <c r="AJ209" s="30">
        <f>IFERROR(__xludf.DUMMYFUNCTION("""COMPUTED_VALUE"""),1.094876688201469)</f>
        <v>1.094876688</v>
      </c>
      <c r="AK209" s="30">
        <f>IFERROR(__xludf.DUMMYFUNCTION("""COMPUTED_VALUE"""),1.0498859552756787)</f>
        <v>1.049885955</v>
      </c>
      <c r="AL209" s="30">
        <f>IFERROR(__xludf.DUMMYFUNCTION("""COMPUTED_VALUE"""),0.7047136377104484)</f>
        <v>0.7047136377</v>
      </c>
      <c r="AM209" s="30">
        <f>IFERROR(__xludf.DUMMYFUNCTION("""COMPUTED_VALUE"""),1.1402268477375994)</f>
        <v>1.140226848</v>
      </c>
      <c r="AN209" s="30">
        <f>IFERROR(__xludf.DUMMYFUNCTION("""COMPUTED_VALUE"""),0.974804460892397)</f>
        <v>0.9748044609</v>
      </c>
      <c r="AO209" s="30">
        <f>IFERROR(__xludf.DUMMYFUNCTION("""COMPUTED_VALUE"""),0.7625153365411974)</f>
        <v>0.7625153365</v>
      </c>
      <c r="AP209" s="30">
        <f>IFERROR(__xludf.DUMMYFUNCTION("""COMPUTED_VALUE"""),0.8048289151394213)</f>
        <v>0.8048289151</v>
      </c>
      <c r="AQ209" s="30">
        <f>IFERROR(__xludf.DUMMYFUNCTION("""COMPUTED_VALUE"""),1.25139297636367)</f>
        <v>1.251392976</v>
      </c>
      <c r="AR209" s="30">
        <f>IFERROR(__xludf.DUMMYFUNCTION("""COMPUTED_VALUE"""),0.7439488010851958)</f>
        <v>0.7439488011</v>
      </c>
      <c r="AS209" s="30">
        <f>IFERROR(__xludf.DUMMYFUNCTION("""COMPUTED_VALUE"""),63.0)</f>
        <v>63</v>
      </c>
      <c r="AT209" s="30">
        <f>IFERROR(__xludf.DUMMYFUNCTION("""COMPUTED_VALUE"""),0.33764230555574526)</f>
        <v>0.3376423056</v>
      </c>
      <c r="AU209" s="30">
        <f>IFERROR(__xludf.DUMMYFUNCTION("""COMPUTED_VALUE"""),1.655598782730884)</f>
        <v>1.655598783</v>
      </c>
      <c r="AV209" s="32">
        <f>IFERROR(__xludf.DUMMYFUNCTION("""COMPUTED_VALUE"""),28.76922621369419)</f>
        <v>28.76922621</v>
      </c>
      <c r="AW209" s="32">
        <f>IFERROR(__xludf.DUMMYFUNCTION("""COMPUTED_VALUE"""),-5.053659839412672)</f>
        <v>-5.053659839</v>
      </c>
      <c r="AX209" s="32">
        <f>IFERROR(__xludf.DUMMYFUNCTION("""COMPUTED_VALUE"""),36.61192678024747)</f>
        <v>36.61192678</v>
      </c>
      <c r="AY209" s="32">
        <f>IFERROR(__xludf.DUMMYFUNCTION("""COMPUTED_VALUE"""),-3.3767338926604893)</f>
        <v>-3.376733893</v>
      </c>
      <c r="AZ209" s="30">
        <f>IFERROR(__xludf.DUMMYFUNCTION("""COMPUTED_VALUE"""),1.676925946752183)</f>
        <v>1.676925947</v>
      </c>
      <c r="BA209" s="30">
        <f>IFERROR(__xludf.DUMMYFUNCTION("""COMPUTED_VALUE"""),800.0)</f>
        <v>800</v>
      </c>
    </row>
    <row r="210">
      <c r="A210" s="30" t="str">
        <f>IFERROR(__xludf.DUMMYFUNCTION("""COMPUTED_VALUE"""),"Elite")</f>
        <v>Elite</v>
      </c>
      <c r="B210" s="30" t="str">
        <f>IFERROR(__xludf.DUMMYFUNCTION("""COMPUTED_VALUE"""),"RSC006703")</f>
        <v>RSC006703</v>
      </c>
      <c r="C210" s="30" t="str">
        <f>IFERROR(__xludf.DUMMYFUNCTION("""COMPUTED_VALUE"""),"cav")</f>
        <v>cav</v>
      </c>
      <c r="D210" s="30" t="str">
        <f>IFERROR(__xludf.DUMMYFUNCTION("""COMPUTED_VALUE"""),"Praetorian Guard")</f>
        <v>Praetorian Guard</v>
      </c>
      <c r="E210" s="30">
        <f>IFERROR(__xludf.DUMMYFUNCTION("""COMPUTED_VALUE"""),32.0)</f>
        <v>32</v>
      </c>
      <c r="F210" s="30">
        <f>IFERROR(__xludf.DUMMYFUNCTION("""COMPUTED_VALUE"""),20.0)</f>
        <v>20</v>
      </c>
      <c r="G210" s="30">
        <f>IFERROR(__xludf.DUMMYFUNCTION("""COMPUTED_VALUE"""),12.0)</f>
        <v>12</v>
      </c>
      <c r="H210" s="42">
        <f>IFERROR(__xludf.DUMMYFUNCTION("""COMPUTED_VALUE"""),0.625)</f>
        <v>0.625</v>
      </c>
      <c r="I210" s="42">
        <f>IFERROR(__xludf.DUMMYFUNCTION("""COMPUTED_VALUE"""),0.2978723404255319)</f>
        <v>0.2978723404</v>
      </c>
      <c r="J210" s="30">
        <f>IFERROR(__xludf.DUMMYFUNCTION("""COMPUTED_VALUE"""),394.59375)</f>
        <v>394.59375</v>
      </c>
      <c r="K210" s="30">
        <f>IFERROR(__xludf.DUMMYFUNCTION("""COMPUTED_VALUE"""),0.875)</f>
        <v>0.875</v>
      </c>
      <c r="L210" s="30">
        <f>IFERROR(__xludf.DUMMYFUNCTION("""COMPUTED_VALUE"""),0.5)</f>
        <v>0.5</v>
      </c>
      <c r="M210" s="30">
        <f>IFERROR(__xludf.DUMMYFUNCTION("""COMPUTED_VALUE"""),1.625)</f>
        <v>1.625</v>
      </c>
      <c r="N210" s="30">
        <f>IFERROR(__xludf.DUMMYFUNCTION("""COMPUTED_VALUE"""),2.9375)</f>
        <v>2.9375</v>
      </c>
      <c r="O210" s="30">
        <f>IFERROR(__xludf.DUMMYFUNCTION("""COMPUTED_VALUE"""),356.9583333333333)</f>
        <v>356.9583333</v>
      </c>
      <c r="P210" s="30">
        <f>IFERROR(__xludf.DUMMYFUNCTION("""COMPUTED_VALUE"""),0.6666666666666666)</f>
        <v>0.6666666667</v>
      </c>
      <c r="Q210" s="30">
        <f>IFERROR(__xludf.DUMMYFUNCTION("""COMPUTED_VALUE"""),0.5208333333333335)</f>
        <v>0.5208333333</v>
      </c>
      <c r="R210" s="30">
        <f>IFERROR(__xludf.DUMMYFUNCTION("""COMPUTED_VALUE"""),1.4687499999999998)</f>
        <v>1.46875</v>
      </c>
      <c r="S210" s="30">
        <f>IFERROR(__xludf.DUMMYFUNCTION("""COMPUTED_VALUE"""),2.6666666666666674)</f>
        <v>2.666666667</v>
      </c>
      <c r="T210" s="30">
        <f>IFERROR(__xludf.DUMMYFUNCTION("""COMPUTED_VALUE"""),372.6043295861661)</f>
        <v>372.6043296</v>
      </c>
      <c r="U210" s="30">
        <f>IFERROR(__xludf.DUMMYFUNCTION("""COMPUTED_VALUE"""),0.7994860590336192)</f>
        <v>0.799486059</v>
      </c>
      <c r="V210" s="30">
        <f>IFERROR(__xludf.DUMMYFUNCTION("""COMPUTED_VALUE"""),0.628504208292336)</f>
        <v>0.6285042083</v>
      </c>
      <c r="W210" s="30">
        <f>IFERROR(__xludf.DUMMYFUNCTION("""COMPUTED_VALUE"""),1.483074556967964)</f>
        <v>1.483074557</v>
      </c>
      <c r="X210" s="30">
        <f>IFERROR(__xludf.DUMMYFUNCTION("""COMPUTED_VALUE"""),2.7022420045252344)</f>
        <v>2.702242005</v>
      </c>
      <c r="Y210" s="30">
        <f>IFERROR(__xludf.DUMMYFUNCTION("""COMPUTED_VALUE"""),363.29453919329364)</f>
        <v>363.2945392</v>
      </c>
      <c r="Z210" s="30">
        <f>IFERROR(__xludf.DUMMYFUNCTION("""COMPUTED_VALUE"""),0.7911201214874999)</f>
        <v>0.7911201215</v>
      </c>
      <c r="AA210" s="30">
        <f>IFERROR(__xludf.DUMMYFUNCTION("""COMPUTED_VALUE"""),0.5871863694421595)</f>
        <v>0.5871863694</v>
      </c>
      <c r="AB210" s="30">
        <f>IFERROR(__xludf.DUMMYFUNCTION("""COMPUTED_VALUE"""),1.3953259840370682)</f>
        <v>1.395325984</v>
      </c>
      <c r="AC210" s="30">
        <f>IFERROR(__xludf.DUMMYFUNCTION("""COMPUTED_VALUE"""),2.71271425341929)</f>
        <v>2.712714253</v>
      </c>
      <c r="AD210" s="30">
        <f>IFERROR(__xludf.DUMMYFUNCTION("""COMPUTED_VALUE"""),1.0861538157887185)</f>
        <v>1.086153816</v>
      </c>
      <c r="AE210" s="30">
        <f>IFERROR(__xludf.DUMMYFUNCTION("""COMPUTED_VALUE"""),1.1060267287283572)</f>
        <v>1.106026729</v>
      </c>
      <c r="AF210" s="30">
        <f>IFERROR(__xludf.DUMMYFUNCTION("""COMPUTED_VALUE"""),0.8515184037310188)</f>
        <v>0.8515184037</v>
      </c>
      <c r="AG210" s="30">
        <f>IFERROR(__xludf.DUMMYFUNCTION("""COMPUTED_VALUE"""),1.1646024073159025)</f>
        <v>1.164602407</v>
      </c>
      <c r="AH210" s="30">
        <f>IFERROR(__xludf.DUMMYFUNCTION("""COMPUTED_VALUE"""),1.0828637761228905)</f>
        <v>1.082863776</v>
      </c>
      <c r="AI210" s="30">
        <f>IFERROR(__xludf.DUMMYFUNCTION("""COMPUTED_VALUE"""),0.9580090862867588)</f>
        <v>0.9580090863</v>
      </c>
      <c r="AJ210" s="30">
        <f>IFERROR(__xludf.DUMMYFUNCTION("""COMPUTED_VALUE"""),0.8338690326539298)</f>
        <v>0.8338690327</v>
      </c>
      <c r="AK210" s="30">
        <f>IFERROR(__xludf.DUMMYFUNCTION("""COMPUTED_VALUE"""),0.828687105768874)</f>
        <v>0.8286871058</v>
      </c>
      <c r="AL210" s="30">
        <f>IFERROR(__xludf.DUMMYFUNCTION("""COMPUTED_VALUE"""),0.9903413102863489)</f>
        <v>0.9903413103</v>
      </c>
      <c r="AM210" s="30">
        <f>IFERROR(__xludf.DUMMYFUNCTION("""COMPUTED_VALUE"""),0.9868348808881693)</f>
        <v>0.9868348809</v>
      </c>
      <c r="AN210" s="30">
        <f>IFERROR(__xludf.DUMMYFUNCTION("""COMPUTED_VALUE"""),1.1255132199596356)</f>
        <v>1.12551322</v>
      </c>
      <c r="AO210" s="30">
        <f>IFERROR(__xludf.DUMMYFUNCTION("""COMPUTED_VALUE"""),1.2343217010260634)</f>
        <v>1.234321701</v>
      </c>
      <c r="AP210" s="30">
        <f>IFERROR(__xludf.DUMMYFUNCTION("""COMPUTED_VALUE"""),0.8758432311811349)</f>
        <v>0.8758432312</v>
      </c>
      <c r="AQ210" s="30">
        <f>IFERROR(__xludf.DUMMYFUNCTION("""COMPUTED_VALUE"""),1.1400000409676614)</f>
        <v>1.140000041</v>
      </c>
      <c r="AR210" s="30">
        <f>IFERROR(__xludf.DUMMYFUNCTION("""COMPUTED_VALUE"""),1.1718541350427134)</f>
        <v>1.171854135</v>
      </c>
      <c r="AS210" s="30">
        <f>IFERROR(__xludf.DUMMYFUNCTION("""COMPUTED_VALUE"""),75.0)</f>
        <v>75</v>
      </c>
      <c r="AT210" s="30">
        <f>IFERROR(__xludf.DUMMYFUNCTION("""COMPUTED_VALUE"""),0.5601472886566349)</f>
        <v>0.5601472887</v>
      </c>
      <c r="AU210" s="30">
        <f>IFERROR(__xludf.DUMMYFUNCTION("""COMPUTED_VALUE"""),2.9802043545287)</f>
        <v>2.980204355</v>
      </c>
      <c r="AV210" s="32">
        <f>IFERROR(__xludf.DUMMYFUNCTION("""COMPUTED_VALUE"""),66.8704629965313)</f>
        <v>66.870463</v>
      </c>
      <c r="AW210" s="32">
        <f>IFERROR(__xludf.DUMMYFUNCTION("""COMPUTED_VALUE"""),4.001672118104)</f>
        <v>4.001672118</v>
      </c>
      <c r="AX210" s="32">
        <f>IFERROR(__xludf.DUMMYFUNCTION("""COMPUTED_VALUE"""),54.83077034022166)</f>
        <v>54.83077034</v>
      </c>
      <c r="AY210" s="32">
        <f>IFERROR(__xludf.DUMMYFUNCTION("""COMPUTED_VALUE"""),2.361893565309349)</f>
        <v>2.361893565</v>
      </c>
      <c r="AZ210" s="30">
        <f>IFERROR(__xludf.DUMMYFUNCTION("""COMPUTED_VALUE"""),1.6397785527946507)</f>
        <v>1.639778553</v>
      </c>
      <c r="BA210" s="30">
        <f>IFERROR(__xludf.DUMMYFUNCTION("""COMPUTED_VALUE"""),800.0)</f>
        <v>800</v>
      </c>
    </row>
    <row r="211">
      <c r="A211" s="30" t="str">
        <f>IFERROR(__xludf.DUMMYFUNCTION("""COMPUTED_VALUE"""),"Elite")</f>
        <v>Elite</v>
      </c>
      <c r="B211" s="30" t="str">
        <f>IFERROR(__xludf.DUMMYFUNCTION("""COMPUTED_VALUE"""),"RSC007514")</f>
        <v>RSC007514</v>
      </c>
      <c r="C211" s="30" t="str">
        <f>IFERROR(__xludf.DUMMYFUNCTION("""COMPUTED_VALUE"""),"Sauce_Boss_36")</f>
        <v>Sauce_Boss_36</v>
      </c>
      <c r="D211" s="30" t="str">
        <f>IFERROR(__xludf.DUMMYFUNCTION("""COMPUTED_VALUE"""),"Majesties")</f>
        <v>Majesties</v>
      </c>
      <c r="E211" s="30">
        <f>IFERROR(__xludf.DUMMYFUNCTION("""COMPUTED_VALUE"""),45.0)</f>
        <v>45</v>
      </c>
      <c r="F211" s="30">
        <f>IFERROR(__xludf.DUMMYFUNCTION("""COMPUTED_VALUE"""),12.0)</f>
        <v>12</v>
      </c>
      <c r="G211" s="30">
        <f>IFERROR(__xludf.DUMMYFUNCTION("""COMPUTED_VALUE"""),33.0)</f>
        <v>33</v>
      </c>
      <c r="H211" s="42">
        <f>IFERROR(__xludf.DUMMYFUNCTION("""COMPUTED_VALUE"""),0.26666666666666666)</f>
        <v>0.2666666667</v>
      </c>
      <c r="I211" s="42">
        <f>IFERROR(__xludf.DUMMYFUNCTION("""COMPUTED_VALUE"""),0.35185185185185186)</f>
        <v>0.3518518519</v>
      </c>
      <c r="J211" s="30">
        <f>IFERROR(__xludf.DUMMYFUNCTION("""COMPUTED_VALUE"""),336.2888888888889)</f>
        <v>336.2888889</v>
      </c>
      <c r="K211" s="30">
        <f>IFERROR(__xludf.DUMMYFUNCTION("""COMPUTED_VALUE"""),0.8444444444444444)</f>
        <v>0.8444444444</v>
      </c>
      <c r="L211" s="30">
        <f>IFERROR(__xludf.DUMMYFUNCTION("""COMPUTED_VALUE"""),0.4444444444444444)</f>
        <v>0.4444444444</v>
      </c>
      <c r="M211" s="30">
        <f>IFERROR(__xludf.DUMMYFUNCTION("""COMPUTED_VALUE"""),1.3555555555555556)</f>
        <v>1.355555556</v>
      </c>
      <c r="N211" s="30">
        <f>IFERROR(__xludf.DUMMYFUNCTION("""COMPUTED_VALUE"""),2.4)</f>
        <v>2.4</v>
      </c>
      <c r="O211" s="30">
        <f>IFERROR(__xludf.DUMMYFUNCTION("""COMPUTED_VALUE"""),404.05925925925936)</f>
        <v>404.0592593</v>
      </c>
      <c r="P211" s="30">
        <f>IFERROR(__xludf.DUMMYFUNCTION("""COMPUTED_VALUE"""),1.0888888888888888)</f>
        <v>1.088888889</v>
      </c>
      <c r="Q211" s="30">
        <f>IFERROR(__xludf.DUMMYFUNCTION("""COMPUTED_VALUE"""),0.7925925925925927)</f>
        <v>0.7925925926</v>
      </c>
      <c r="R211" s="30">
        <f>IFERROR(__xludf.DUMMYFUNCTION("""COMPUTED_VALUE"""),1.3185185185185184)</f>
        <v>1.318518519</v>
      </c>
      <c r="S211" s="30">
        <f>IFERROR(__xludf.DUMMYFUNCTION("""COMPUTED_VALUE"""),3.0962962962962957)</f>
        <v>3.096296296</v>
      </c>
      <c r="T211" s="30">
        <f>IFERROR(__xludf.DUMMYFUNCTION("""COMPUTED_VALUE"""),362.8882447217658)</f>
        <v>362.8882447</v>
      </c>
      <c r="U211" s="30">
        <f>IFERROR(__xludf.DUMMYFUNCTION("""COMPUTED_VALUE"""),0.7852069000481063)</f>
        <v>0.7852069</v>
      </c>
      <c r="V211" s="30">
        <f>IFERROR(__xludf.DUMMYFUNCTION("""COMPUTED_VALUE"""),0.5986682329870703)</f>
        <v>0.598668233</v>
      </c>
      <c r="W211" s="30">
        <f>IFERROR(__xludf.DUMMYFUNCTION("""COMPUTED_VALUE"""),1.3886815518492495)</f>
        <v>1.388681552</v>
      </c>
      <c r="X211" s="30">
        <f>IFERROR(__xludf.DUMMYFUNCTION("""COMPUTED_VALUE"""),2.702645652576125)</f>
        <v>2.702645653</v>
      </c>
      <c r="Y211" s="30">
        <f>IFERROR(__xludf.DUMMYFUNCTION("""COMPUTED_VALUE"""),354.9824707742901)</f>
        <v>354.9824708</v>
      </c>
      <c r="Z211" s="30">
        <f>IFERROR(__xludf.DUMMYFUNCTION("""COMPUTED_VALUE"""),0.740591552411726)</f>
        <v>0.7405915524</v>
      </c>
      <c r="AA211" s="30">
        <f>IFERROR(__xludf.DUMMYFUNCTION("""COMPUTED_VALUE"""),0.5510292078585786)</f>
        <v>0.5510292079</v>
      </c>
      <c r="AB211" s="30">
        <f>IFERROR(__xludf.DUMMYFUNCTION("""COMPUTED_VALUE"""),1.4258545807033907)</f>
        <v>1.425854581</v>
      </c>
      <c r="AC211" s="30">
        <f>IFERROR(__xludf.DUMMYFUNCTION("""COMPUTED_VALUE"""),2.5609623573184925)</f>
        <v>2.560962357</v>
      </c>
      <c r="AD211" s="30">
        <f>IFERROR(__xludf.DUMMYFUNCTION("""COMPUTED_VALUE"""),0.9473394225787356)</f>
        <v>0.9473394226</v>
      </c>
      <c r="AE211" s="30">
        <f>IFERROR(__xludf.DUMMYFUNCTION("""COMPUTED_VALUE"""),1.1402296470902522)</f>
        <v>1.140229647</v>
      </c>
      <c r="AF211" s="30">
        <f>IFERROR(__xludf.DUMMYFUNCTION("""COMPUTED_VALUE"""),0.8065714813406242)</f>
        <v>0.8065714813</v>
      </c>
      <c r="AG211" s="30">
        <f>IFERROR(__xludf.DUMMYFUNCTION("""COMPUTED_VALUE"""),0.9506969181154815)</f>
        <v>0.9506969181</v>
      </c>
      <c r="AH211" s="30">
        <f>IFERROR(__xludf.DUMMYFUNCTION("""COMPUTED_VALUE"""),0.9371477066585893)</f>
        <v>0.9371477067</v>
      </c>
      <c r="AI211" s="30">
        <f>IFERROR(__xludf.DUMMYFUNCTION("""COMPUTED_VALUE"""),1.113453701342848)</f>
        <v>1.113453701</v>
      </c>
      <c r="AJ211" s="30">
        <f>IFERROR(__xludf.DUMMYFUNCTION("""COMPUTED_VALUE"""),1.3867541011447775)</f>
        <v>1.386754101</v>
      </c>
      <c r="AK211" s="30">
        <f>IFERROR(__xludf.DUMMYFUNCTION("""COMPUTED_VALUE"""),1.3239262565142833)</f>
        <v>1.323926257</v>
      </c>
      <c r="AL211" s="30">
        <f>IFERROR(__xludf.DUMMYFUNCTION("""COMPUTED_VALUE"""),0.9494750735060188)</f>
        <v>0.9494750735</v>
      </c>
      <c r="AM211" s="30">
        <f>IFERROR(__xludf.DUMMYFUNCTION("""COMPUTED_VALUE"""),1.1456538127167903)</f>
        <v>1.145653813</v>
      </c>
      <c r="AN211" s="30">
        <f>IFERROR(__xludf.DUMMYFUNCTION("""COMPUTED_VALUE"""),0.9592082747635549)</f>
        <v>0.9592082748</v>
      </c>
      <c r="AO211" s="30">
        <f>IFERROR(__xludf.DUMMYFUNCTION("""COMPUTED_VALUE"""),1.1912184035299151)</f>
        <v>1.191218404</v>
      </c>
      <c r="AP211" s="30">
        <f>IFERROR(__xludf.DUMMYFUNCTION("""COMPUTED_VALUE"""),0.7785273166054532)</f>
        <v>0.7785273166</v>
      </c>
      <c r="AQ211" s="30">
        <f>IFERROR(__xludf.DUMMYFUNCTION("""COMPUTED_VALUE"""),0.9509743931490919)</f>
        <v>0.9509743931</v>
      </c>
      <c r="AR211" s="30">
        <f>IFERROR(__xludf.DUMMYFUNCTION("""COMPUTED_VALUE"""),0.9574297613965997)</f>
        <v>0.9574297614</v>
      </c>
      <c r="AS211" s="30">
        <f>IFERROR(__xludf.DUMMYFUNCTION("""COMPUTED_VALUE"""),88.0)</f>
        <v>88</v>
      </c>
      <c r="AT211" s="30">
        <f>IFERROR(__xludf.DUMMYFUNCTION("""COMPUTED_VALUE"""),0.3047962918979469)</f>
        <v>0.3047962919</v>
      </c>
      <c r="AU211" s="30">
        <f>IFERROR(__xludf.DUMMYFUNCTION("""COMPUTED_VALUE"""),2.139508624976047)</f>
        <v>2.139508625</v>
      </c>
      <c r="AV211" s="32">
        <f>IFERROR(__xludf.DUMMYFUNCTION("""COMPUTED_VALUE"""),42.688511979572404)</f>
        <v>42.68851198</v>
      </c>
      <c r="AW211" s="32">
        <f>IFERROR(__xludf.DUMMYFUNCTION("""COMPUTED_VALUE"""),-2.597620847219656)</f>
        <v>-2.597620847</v>
      </c>
      <c r="AX211" s="32">
        <f>IFERROR(__xludf.DUMMYFUNCTION("""COMPUTED_VALUE"""),32.05268751722586)</f>
        <v>32.05268752</v>
      </c>
      <c r="AY211" s="32">
        <f>IFERROR(__xludf.DUMMYFUNCTION("""COMPUTED_VALUE"""),-4.229907546758931)</f>
        <v>-4.229907547</v>
      </c>
      <c r="AZ211" s="30">
        <f>IFERROR(__xludf.DUMMYFUNCTION("""COMPUTED_VALUE"""),1.6322866995392755)</f>
        <v>1.6322867</v>
      </c>
      <c r="BA211" s="30">
        <f>IFERROR(__xludf.DUMMYFUNCTION("""COMPUTED_VALUE"""),800.0)</f>
        <v>800</v>
      </c>
    </row>
    <row r="212">
      <c r="A212" s="30" t="str">
        <f>IFERROR(__xludf.DUMMYFUNCTION("""COMPUTED_VALUE"""),"Elite")</f>
        <v>Elite</v>
      </c>
      <c r="B212" s="30" t="str">
        <f>IFERROR(__xludf.DUMMYFUNCTION("""COMPUTED_VALUE"""),"RSC006877")</f>
        <v>RSC006877</v>
      </c>
      <c r="C212" s="30" t="str">
        <f>IFERROR(__xludf.DUMMYFUNCTION("""COMPUTED_VALUE"""),"Jolt")</f>
        <v>Jolt</v>
      </c>
      <c r="D212" s="30"/>
      <c r="E212" s="30">
        <f>IFERROR(__xludf.DUMMYFUNCTION("""COMPUTED_VALUE"""),7.0)</f>
        <v>7</v>
      </c>
      <c r="F212" s="30">
        <f>IFERROR(__xludf.DUMMYFUNCTION("""COMPUTED_VALUE"""),4.0)</f>
        <v>4</v>
      </c>
      <c r="G212" s="30">
        <f>IFERROR(__xludf.DUMMYFUNCTION("""COMPUTED_VALUE"""),3.0)</f>
        <v>3</v>
      </c>
      <c r="H212" s="42">
        <f>IFERROR(__xludf.DUMMYFUNCTION("""COMPUTED_VALUE"""),0.5714285714285714)</f>
        <v>0.5714285714</v>
      </c>
      <c r="I212" s="42">
        <f>IFERROR(__xludf.DUMMYFUNCTION("""COMPUTED_VALUE"""),0.09090909090909091)</f>
        <v>0.09090909091</v>
      </c>
      <c r="J212" s="30">
        <f>IFERROR(__xludf.DUMMYFUNCTION("""COMPUTED_VALUE"""),331.14285714285717)</f>
        <v>331.1428571</v>
      </c>
      <c r="K212" s="30">
        <f>IFERROR(__xludf.DUMMYFUNCTION("""COMPUTED_VALUE"""),0.14285714285714285)</f>
        <v>0.1428571429</v>
      </c>
      <c r="L212" s="30">
        <f>IFERROR(__xludf.DUMMYFUNCTION("""COMPUTED_VALUE"""),1.2857142857142858)</f>
        <v>1.285714286</v>
      </c>
      <c r="M212" s="30">
        <f>IFERROR(__xludf.DUMMYFUNCTION("""COMPUTED_VALUE"""),1.7142857142857142)</f>
        <v>1.714285714</v>
      </c>
      <c r="N212" s="30">
        <f>IFERROR(__xludf.DUMMYFUNCTION("""COMPUTED_VALUE"""),1.5714285714285714)</f>
        <v>1.571428571</v>
      </c>
      <c r="O212" s="30">
        <f>IFERROR(__xludf.DUMMYFUNCTION("""COMPUTED_VALUE"""),415.2857142857143)</f>
        <v>415.2857143</v>
      </c>
      <c r="P212" s="30">
        <f>IFERROR(__xludf.DUMMYFUNCTION("""COMPUTED_VALUE"""),0.8571428571428571)</f>
        <v>0.8571428571</v>
      </c>
      <c r="Q212" s="30">
        <f>IFERROR(__xludf.DUMMYFUNCTION("""COMPUTED_VALUE"""),0.8571428571428571)</f>
        <v>0.8571428571</v>
      </c>
      <c r="R212" s="30">
        <f>IFERROR(__xludf.DUMMYFUNCTION("""COMPUTED_VALUE"""),1.7619047619047616)</f>
        <v>1.761904762</v>
      </c>
      <c r="S212" s="30">
        <f>IFERROR(__xludf.DUMMYFUNCTION("""COMPUTED_VALUE"""),3.095238095238095)</f>
        <v>3.095238095</v>
      </c>
      <c r="T212" s="30">
        <f>IFERROR(__xludf.DUMMYFUNCTION("""COMPUTED_VALUE"""),377.8547465482501)</f>
        <v>377.8547465</v>
      </c>
      <c r="U212" s="30">
        <f>IFERROR(__xludf.DUMMYFUNCTION("""COMPUTED_VALUE"""),0.8752790643481096)</f>
        <v>0.8752790643</v>
      </c>
      <c r="V212" s="30">
        <f>IFERROR(__xludf.DUMMYFUNCTION("""COMPUTED_VALUE"""),0.6661849401340952)</f>
        <v>0.6661849401</v>
      </c>
      <c r="W212" s="30">
        <f>IFERROR(__xludf.DUMMYFUNCTION("""COMPUTED_VALUE"""),1.3681963096848264)</f>
        <v>1.36819631</v>
      </c>
      <c r="X212" s="30">
        <f>IFERROR(__xludf.DUMMYFUNCTION("""COMPUTED_VALUE"""),2.9374138039564874)</f>
        <v>2.937413804</v>
      </c>
      <c r="Y212" s="30">
        <f>IFERROR(__xludf.DUMMYFUNCTION("""COMPUTED_VALUE"""),349.1750532501509)</f>
        <v>349.1750533</v>
      </c>
      <c r="Z212" s="30">
        <f>IFERROR(__xludf.DUMMYFUNCTION("""COMPUTED_VALUE"""),0.6624876597287402)</f>
        <v>0.6624876597</v>
      </c>
      <c r="AA212" s="30">
        <f>IFERROR(__xludf.DUMMYFUNCTION("""COMPUTED_VALUE"""),0.49409269503881675)</f>
        <v>0.494092695</v>
      </c>
      <c r="AB212" s="30">
        <f>IFERROR(__xludf.DUMMYFUNCTION("""COMPUTED_VALUE"""),1.592713620873378)</f>
        <v>1.592713621</v>
      </c>
      <c r="AC212" s="30">
        <f>IFERROR(__xludf.DUMMYFUNCTION("""COMPUTED_VALUE"""),2.354310220784293)</f>
        <v>2.354310221</v>
      </c>
      <c r="AD212" s="30">
        <f>IFERROR(__xludf.DUMMYFUNCTION("""COMPUTED_VALUE"""),0.9483577193174354)</f>
        <v>0.9483577193</v>
      </c>
      <c r="AE212" s="30">
        <f>IFERROR(__xludf.DUMMYFUNCTION("""COMPUTED_VALUE"""),0.21563743982134945)</f>
        <v>0.2156374398</v>
      </c>
      <c r="AF212" s="30">
        <f>IFERROR(__xludf.DUMMYFUNCTION("""COMPUTED_VALUE"""),2.6021722211725433)</f>
        <v>2.602172221</v>
      </c>
      <c r="AG212" s="30">
        <f>IFERROR(__xludf.DUMMYFUNCTION("""COMPUTED_VALUE"""),1.0763301649581367)</f>
        <v>1.076330165</v>
      </c>
      <c r="AH212" s="30">
        <f>IFERROR(__xludf.DUMMYFUNCTION("""COMPUTED_VALUE"""),0.6674687802634099)</f>
        <v>0.6674687803</v>
      </c>
      <c r="AI212" s="30">
        <f>IFERROR(__xludf.DUMMYFUNCTION("""COMPUTED_VALUE"""),1.0990617904880136)</f>
        <v>1.09906179</v>
      </c>
      <c r="AJ212" s="30">
        <f>IFERROR(__xludf.DUMMYFUNCTION("""COMPUTED_VALUE"""),0.97927951444976)</f>
        <v>0.9792795144</v>
      </c>
      <c r="AK212" s="30">
        <f>IFERROR(__xludf.DUMMYFUNCTION("""COMPUTED_VALUE"""),1.2866440015445624)</f>
        <v>1.286644002</v>
      </c>
      <c r="AL212" s="30">
        <f>IFERROR(__xludf.DUMMYFUNCTION("""COMPUTED_VALUE"""),1.2877572826597001)</f>
        <v>1.287757283</v>
      </c>
      <c r="AM212" s="30">
        <f>IFERROR(__xludf.DUMMYFUNCTION("""COMPUTED_VALUE"""),1.053728994896473)</f>
        <v>1.053728995</v>
      </c>
      <c r="AN212" s="30">
        <f>IFERROR(__xludf.DUMMYFUNCTION("""COMPUTED_VALUE"""),0.9445300727887627)</f>
        <v>0.9445300728</v>
      </c>
      <c r="AO212" s="30">
        <f>IFERROR(__xludf.DUMMYFUNCTION("""COMPUTED_VALUE"""),0.20152191037160216)</f>
        <v>0.2015219104</v>
      </c>
      <c r="AP212" s="30">
        <f>IFERROR(__xludf.DUMMYFUNCTION("""COMPUTED_VALUE"""),2.25216830875149)</f>
        <v>2.252168309</v>
      </c>
      <c r="AQ212" s="30">
        <f>IFERROR(__xludf.DUMMYFUNCTION("""COMPUTED_VALUE"""),1.2026374058559943)</f>
        <v>1.202637406</v>
      </c>
      <c r="AR212" s="30">
        <f>IFERROR(__xludf.DUMMYFUNCTION("""COMPUTED_VALUE"""),0.6268885342477737)</f>
        <v>0.6268885342</v>
      </c>
      <c r="AS212" s="30">
        <f>IFERROR(__xludf.DUMMYFUNCTION("""COMPUTED_VALUE"""),17.0)</f>
        <v>17</v>
      </c>
      <c r="AT212" s="30">
        <f>IFERROR(__xludf.DUMMYFUNCTION("""COMPUTED_VALUE"""),0.4773365052970361)</f>
        <v>0.4773365053</v>
      </c>
      <c r="AU212" s="30">
        <f>IFERROR(__xludf.DUMMYFUNCTION("""COMPUTED_VALUE"""),2.0530571494437817)</f>
        <v>2.053057149</v>
      </c>
      <c r="AV212" s="32">
        <f>IFERROR(__xludf.DUMMYFUNCTION("""COMPUTED_VALUE"""),40.20180332485201)</f>
        <v>40.20180332</v>
      </c>
      <c r="AW212" s="32">
        <f>IFERROR(__xludf.DUMMYFUNCTION("""COMPUTED_VALUE"""),-2.87723619232384)</f>
        <v>-2.877236192</v>
      </c>
      <c r="AX212" s="32">
        <f>IFERROR(__xludf.DUMMYFUNCTION("""COMPUTED_VALUE"""),30.85257156276768)</f>
        <v>30.85257156</v>
      </c>
      <c r="AY212" s="32">
        <f>IFERROR(__xludf.DUMMYFUNCTION("""COMPUTED_VALUE"""),-4.507169121664191)</f>
        <v>-4.507169122</v>
      </c>
      <c r="AZ212" s="30">
        <f>IFERROR(__xludf.DUMMYFUNCTION("""COMPUTED_VALUE"""),1.629932929340351)</f>
        <v>1.629932929</v>
      </c>
      <c r="BA212" s="30">
        <f>IFERROR(__xludf.DUMMYFUNCTION("""COMPUTED_VALUE"""),800.0)</f>
        <v>800</v>
      </c>
    </row>
    <row r="213">
      <c r="A213" s="30" t="str">
        <f>IFERROR(__xludf.DUMMYFUNCTION("""COMPUTED_VALUE"""),"Elite")</f>
        <v>Elite</v>
      </c>
      <c r="B213" s="30" t="str">
        <f>IFERROR(__xludf.DUMMYFUNCTION("""COMPUTED_VALUE"""),"RSC000344")</f>
        <v>RSC000344</v>
      </c>
      <c r="C213" s="30" t="str">
        <f>IFERROR(__xludf.DUMMYFUNCTION("""COMPUTED_VALUE"""),"Mezmer")</f>
        <v>Mezmer</v>
      </c>
      <c r="D213" s="30" t="str">
        <f>IFERROR(__xludf.DUMMYFUNCTION("""COMPUTED_VALUE"""),"Demons")</f>
        <v>Demons</v>
      </c>
      <c r="E213" s="30">
        <f>IFERROR(__xludf.DUMMYFUNCTION("""COMPUTED_VALUE"""),36.0)</f>
        <v>36</v>
      </c>
      <c r="F213" s="30">
        <f>IFERROR(__xludf.DUMMYFUNCTION("""COMPUTED_VALUE"""),15.0)</f>
        <v>15</v>
      </c>
      <c r="G213" s="30">
        <f>IFERROR(__xludf.DUMMYFUNCTION("""COMPUTED_VALUE"""),21.0)</f>
        <v>21</v>
      </c>
      <c r="H213" s="42">
        <f>IFERROR(__xludf.DUMMYFUNCTION("""COMPUTED_VALUE"""),0.4166666666666667)</f>
        <v>0.4166666667</v>
      </c>
      <c r="I213" s="42">
        <f>IFERROR(__xludf.DUMMYFUNCTION("""COMPUTED_VALUE"""),0.27586206896551724)</f>
        <v>0.275862069</v>
      </c>
      <c r="J213" s="30">
        <f>IFERROR(__xludf.DUMMYFUNCTION("""COMPUTED_VALUE"""),319.05555555555554)</f>
        <v>319.0555556</v>
      </c>
      <c r="K213" s="30">
        <f>IFERROR(__xludf.DUMMYFUNCTION("""COMPUTED_VALUE"""),0.6666666666666666)</f>
        <v>0.6666666667</v>
      </c>
      <c r="L213" s="30">
        <f>IFERROR(__xludf.DUMMYFUNCTION("""COMPUTED_VALUE"""),0.5277777777777778)</f>
        <v>0.5277777778</v>
      </c>
      <c r="M213" s="30">
        <f>IFERROR(__xludf.DUMMYFUNCTION("""COMPUTED_VALUE"""),1.1666666666666667)</f>
        <v>1.166666667</v>
      </c>
      <c r="N213" s="30">
        <f>IFERROR(__xludf.DUMMYFUNCTION("""COMPUTED_VALUE"""),2.4166666666666665)</f>
        <v>2.416666667</v>
      </c>
      <c r="O213" s="30">
        <f>IFERROR(__xludf.DUMMYFUNCTION("""COMPUTED_VALUE"""),376.65740740740745)</f>
        <v>376.6574074</v>
      </c>
      <c r="P213" s="30">
        <f>IFERROR(__xludf.DUMMYFUNCTION("""COMPUTED_VALUE"""),0.9537037037037037)</f>
        <v>0.9537037037</v>
      </c>
      <c r="Q213" s="30">
        <f>IFERROR(__xludf.DUMMYFUNCTION("""COMPUTED_VALUE"""),0.7222222222222221)</f>
        <v>0.7222222222</v>
      </c>
      <c r="R213" s="30">
        <f>IFERROR(__xludf.DUMMYFUNCTION("""COMPUTED_VALUE"""),1.212962962962963)</f>
        <v>1.212962963</v>
      </c>
      <c r="S213" s="30">
        <f>IFERROR(__xludf.DUMMYFUNCTION("""COMPUTED_VALUE"""),2.9629629629629637)</f>
        <v>2.962962963</v>
      </c>
      <c r="T213" s="30">
        <f>IFERROR(__xludf.DUMMYFUNCTION("""COMPUTED_VALUE"""),379.697678933025)</f>
        <v>379.6976789</v>
      </c>
      <c r="U213" s="30">
        <f>IFERROR(__xludf.DUMMYFUNCTION("""COMPUTED_VALUE"""),0.9182060171611981)</f>
        <v>0.9182060172</v>
      </c>
      <c r="V213" s="30">
        <f>IFERROR(__xludf.DUMMYFUNCTION("""COMPUTED_VALUE"""),0.6438435655587695)</f>
        <v>0.6438435656</v>
      </c>
      <c r="W213" s="30">
        <f>IFERROR(__xludf.DUMMYFUNCTION("""COMPUTED_VALUE"""),1.3511282912952165)</f>
        <v>1.351128291</v>
      </c>
      <c r="X213" s="30">
        <f>IFERROR(__xludf.DUMMYFUNCTION("""COMPUTED_VALUE"""),2.837761856976905)</f>
        <v>2.837761857</v>
      </c>
      <c r="Y213" s="30">
        <f>IFERROR(__xludf.DUMMYFUNCTION("""COMPUTED_VALUE"""),357.1085340863156)</f>
        <v>357.1085341</v>
      </c>
      <c r="Z213" s="30">
        <f>IFERROR(__xludf.DUMMYFUNCTION("""COMPUTED_VALUE"""),0.7477211953076)</f>
        <v>0.7477211953</v>
      </c>
      <c r="AA213" s="30">
        <f>IFERROR(__xludf.DUMMYFUNCTION("""COMPUTED_VALUE"""),0.5424433379956438)</f>
        <v>0.542443338</v>
      </c>
      <c r="AB213" s="30">
        <f>IFERROR(__xludf.DUMMYFUNCTION("""COMPUTED_VALUE"""),1.4937434876558071)</f>
        <v>1.493743488</v>
      </c>
      <c r="AC213" s="30">
        <f>IFERROR(__xludf.DUMMYFUNCTION("""COMPUTED_VALUE"""),2.503062429511912)</f>
        <v>2.50306243</v>
      </c>
      <c r="AD213" s="30">
        <f>IFERROR(__xludf.DUMMYFUNCTION("""COMPUTED_VALUE"""),0.8934414193485435)</f>
        <v>0.8934414193</v>
      </c>
      <c r="AE213" s="30">
        <f>IFERROR(__xludf.DUMMYFUNCTION("""COMPUTED_VALUE"""),0.8915979256043574)</f>
        <v>0.8915979256</v>
      </c>
      <c r="AF213" s="30">
        <f>IFERROR(__xludf.DUMMYFUNCTION("""COMPUTED_VALUE"""),0.972963885459344)</f>
        <v>0.9729638855</v>
      </c>
      <c r="AG213" s="30">
        <f>IFERROR(__xludf.DUMMYFUNCTION("""COMPUTED_VALUE"""),0.7810354832057307)</f>
        <v>0.7810354832</v>
      </c>
      <c r="AH213" s="30">
        <f>IFERROR(__xludf.DUMMYFUNCTION("""COMPUTED_VALUE"""),0.9654839760180922)</f>
        <v>0.965483976</v>
      </c>
      <c r="AI213" s="30">
        <f>IFERROR(__xludf.DUMMYFUNCTION("""COMPUTED_VALUE"""),0.9919929151682968)</f>
        <v>0.9919929152</v>
      </c>
      <c r="AJ213" s="30">
        <f>IFERROR(__xludf.DUMMYFUNCTION("""COMPUTED_VALUE"""),1.0386598278371701)</f>
        <v>1.038659828</v>
      </c>
      <c r="AK213" s="30">
        <f>IFERROR(__xludf.DUMMYFUNCTION("""COMPUTED_VALUE"""),1.1217355594684408)</f>
        <v>1.121735559</v>
      </c>
      <c r="AL213" s="30">
        <f>IFERROR(__xludf.DUMMYFUNCTION("""COMPUTED_VALUE"""),0.8977407776727067)</f>
        <v>0.8977407777</v>
      </c>
      <c r="AM213" s="30">
        <f>IFERROR(__xludf.DUMMYFUNCTION("""COMPUTED_VALUE"""),1.0441196662356427)</f>
        <v>1.044119666</v>
      </c>
      <c r="AN213" s="30">
        <f>IFERROR(__xludf.DUMMYFUNCTION("""COMPUTED_VALUE"""),0.9100530499516116)</f>
        <v>0.91005305</v>
      </c>
      <c r="AO213" s="30">
        <f>IFERROR(__xludf.DUMMYFUNCTION("""COMPUTED_VALUE"""),0.9404355817341434)</f>
        <v>0.9404355817</v>
      </c>
      <c r="AP213" s="30">
        <f>IFERROR(__xludf.DUMMYFUNCTION("""COMPUTED_VALUE"""),0.9245011884689758)</f>
        <v>0.9245011885</v>
      </c>
      <c r="AQ213" s="30">
        <f>IFERROR(__xludf.DUMMYFUNCTION("""COMPUTED_VALUE"""),0.8184615678742185)</f>
        <v>0.8184615679</v>
      </c>
      <c r="AR213" s="30">
        <f>IFERROR(__xludf.DUMMYFUNCTION("""COMPUTED_VALUE"""),0.9640785791840761)</f>
        <v>0.9640785792</v>
      </c>
      <c r="AS213" s="30">
        <f>IFERROR(__xludf.DUMMYFUNCTION("""COMPUTED_VALUE"""),87.0)</f>
        <v>87</v>
      </c>
      <c r="AT213" s="30">
        <f>IFERROR(__xludf.DUMMYFUNCTION("""COMPUTED_VALUE"""),0.43238530732411573)</f>
        <v>0.4323853073</v>
      </c>
      <c r="AU213" s="30">
        <f>IFERROR(__xludf.DUMMYFUNCTION("""COMPUTED_VALUE"""),2.1969613227462426)</f>
        <v>2.196961323</v>
      </c>
      <c r="AV213" s="32">
        <f>IFERROR(__xludf.DUMMYFUNCTION("""COMPUTED_VALUE"""),44.34109361455976)</f>
        <v>44.34109361</v>
      </c>
      <c r="AW213" s="32">
        <f>IFERROR(__xludf.DUMMYFUNCTION("""COMPUTED_VALUE"""),-2.4362780866307507)</f>
        <v>-2.436278087</v>
      </c>
      <c r="AX213" s="32">
        <f>IFERROR(__xludf.DUMMYFUNCTION("""COMPUTED_VALUE"""),32.99235125469572)</f>
        <v>32.99235125</v>
      </c>
      <c r="AY213" s="32">
        <f>IFERROR(__xludf.DUMMYFUNCTION("""COMPUTED_VALUE"""),-4.029733323016496)</f>
        <v>-4.029733323</v>
      </c>
      <c r="AZ213" s="30">
        <f>IFERROR(__xludf.DUMMYFUNCTION("""COMPUTED_VALUE"""),1.5934552363857448)</f>
        <v>1.593455236</v>
      </c>
      <c r="BA213" s="30">
        <f>IFERROR(__xludf.DUMMYFUNCTION("""COMPUTED_VALUE"""),800.0)</f>
        <v>800</v>
      </c>
    </row>
    <row r="214">
      <c r="A214" s="30" t="str">
        <f>IFERROR(__xludf.DUMMYFUNCTION("""COMPUTED_VALUE"""),"Elite")</f>
        <v>Elite</v>
      </c>
      <c r="B214" s="30" t="str">
        <f>IFERROR(__xludf.DUMMYFUNCTION("""COMPUTED_VALUE"""),"RSC003125")</f>
        <v>RSC003125</v>
      </c>
      <c r="C214" s="30" t="str">
        <f>IFERROR(__xludf.DUMMYFUNCTION("""COMPUTED_VALUE"""),"GrandPlat")</f>
        <v>GrandPlat</v>
      </c>
      <c r="D214" s="30" t="str">
        <f>IFERROR(__xludf.DUMMYFUNCTION("""COMPUTED_VALUE"""),"Despair")</f>
        <v>Despair</v>
      </c>
      <c r="E214" s="30">
        <f>IFERROR(__xludf.DUMMYFUNCTION("""COMPUTED_VALUE"""),43.0)</f>
        <v>43</v>
      </c>
      <c r="F214" s="30">
        <f>IFERROR(__xludf.DUMMYFUNCTION("""COMPUTED_VALUE"""),26.0)</f>
        <v>26</v>
      </c>
      <c r="G214" s="30">
        <f>IFERROR(__xludf.DUMMYFUNCTION("""COMPUTED_VALUE"""),17.0)</f>
        <v>17</v>
      </c>
      <c r="H214" s="42">
        <f>IFERROR(__xludf.DUMMYFUNCTION("""COMPUTED_VALUE"""),0.6046511627906976)</f>
        <v>0.6046511628</v>
      </c>
      <c r="I214" s="42">
        <f>IFERROR(__xludf.DUMMYFUNCTION("""COMPUTED_VALUE"""),0.3050847457627119)</f>
        <v>0.3050847458</v>
      </c>
      <c r="J214" s="30">
        <f>IFERROR(__xludf.DUMMYFUNCTION("""COMPUTED_VALUE"""),394.25581395348837)</f>
        <v>394.255814</v>
      </c>
      <c r="K214" s="30">
        <f>IFERROR(__xludf.DUMMYFUNCTION("""COMPUTED_VALUE"""),0.8372093023255814)</f>
        <v>0.8372093023</v>
      </c>
      <c r="L214" s="30">
        <f>IFERROR(__xludf.DUMMYFUNCTION("""COMPUTED_VALUE"""),0.7674418604651163)</f>
        <v>0.7674418605</v>
      </c>
      <c r="M214" s="30">
        <f>IFERROR(__xludf.DUMMYFUNCTION("""COMPUTED_VALUE"""),1.558139534883721)</f>
        <v>1.558139535</v>
      </c>
      <c r="N214" s="30">
        <f>IFERROR(__xludf.DUMMYFUNCTION("""COMPUTED_VALUE"""),2.744186046511628)</f>
        <v>2.744186047</v>
      </c>
      <c r="O214" s="30">
        <f>IFERROR(__xludf.DUMMYFUNCTION("""COMPUTED_VALUE"""),352.9534883720931)</f>
        <v>352.9534884</v>
      </c>
      <c r="P214" s="30">
        <f>IFERROR(__xludf.DUMMYFUNCTION("""COMPUTED_VALUE"""),0.6356589147286821)</f>
        <v>0.6356589147</v>
      </c>
      <c r="Q214" s="30">
        <f>IFERROR(__xludf.DUMMYFUNCTION("""COMPUTED_VALUE"""),0.4961240310077521)</f>
        <v>0.496124031</v>
      </c>
      <c r="R214" s="30">
        <f>IFERROR(__xludf.DUMMYFUNCTION("""COMPUTED_VALUE"""),1.5736434108527129)</f>
        <v>1.573643411</v>
      </c>
      <c r="S214" s="30">
        <f>IFERROR(__xludf.DUMMYFUNCTION("""COMPUTED_VALUE"""),2.5271317829457365)</f>
        <v>2.527131783</v>
      </c>
      <c r="T214" s="30">
        <f>IFERROR(__xludf.DUMMYFUNCTION("""COMPUTED_VALUE"""),357.81931121650166)</f>
        <v>357.8193112</v>
      </c>
      <c r="U214" s="30">
        <f>IFERROR(__xludf.DUMMYFUNCTION("""COMPUTED_VALUE"""),0.7174329057706658)</f>
        <v>0.7174329058</v>
      </c>
      <c r="V214" s="30">
        <f>IFERROR(__xludf.DUMMYFUNCTION("""COMPUTED_VALUE"""),0.5936120144854805)</f>
        <v>0.5936120145</v>
      </c>
      <c r="W214" s="30">
        <f>IFERROR(__xludf.DUMMYFUNCTION("""COMPUTED_VALUE"""),1.5173212905870799)</f>
        <v>1.517321291</v>
      </c>
      <c r="X214" s="30">
        <f>IFERROR(__xludf.DUMMYFUNCTION("""COMPUTED_VALUE"""),2.5755707684743805)</f>
        <v>2.575570768</v>
      </c>
      <c r="Y214" s="30">
        <f>IFERROR(__xludf.DUMMYFUNCTION("""COMPUTED_VALUE"""),367.01504151263833)</f>
        <v>367.0150415</v>
      </c>
      <c r="Z214" s="30">
        <f>IFERROR(__xludf.DUMMYFUNCTION("""COMPUTED_VALUE"""),0.8147413002533888)</f>
        <v>0.8147413003</v>
      </c>
      <c r="AA214" s="30">
        <f>IFERROR(__xludf.DUMMYFUNCTION("""COMPUTED_VALUE"""),0.6080285676921071)</f>
        <v>0.6080285677</v>
      </c>
      <c r="AB214" s="30">
        <f>IFERROR(__xludf.DUMMYFUNCTION("""COMPUTED_VALUE"""),1.399207470901182)</f>
        <v>1.399207471</v>
      </c>
      <c r="AC214" s="30">
        <f>IFERROR(__xludf.DUMMYFUNCTION("""COMPUTED_VALUE"""),2.7620032639903545)</f>
        <v>2.762003264</v>
      </c>
      <c r="AD214" s="30">
        <f>IFERROR(__xludf.DUMMYFUNCTION("""COMPUTED_VALUE"""),1.0742224959734028)</f>
        <v>1.074222496</v>
      </c>
      <c r="AE214" s="30">
        <f>IFERROR(__xludf.DUMMYFUNCTION("""COMPUTED_VALUE"""),1.0275768542299317)</f>
        <v>1.027576854</v>
      </c>
      <c r="AF214" s="30">
        <f>IFERROR(__xludf.DUMMYFUNCTION("""COMPUTED_VALUE"""),1.2621805968395432)</f>
        <v>1.262180597</v>
      </c>
      <c r="AG214" s="30">
        <f>IFERROR(__xludf.DUMMYFUNCTION("""COMPUTED_VALUE"""),1.1135872036762184)</f>
        <v>1.113587204</v>
      </c>
      <c r="AH214" s="30">
        <f>IFERROR(__xludf.DUMMYFUNCTION("""COMPUTED_VALUE"""),0.9935491685650706)</f>
        <v>0.9935491686</v>
      </c>
      <c r="AI214" s="30">
        <f>IFERROR(__xludf.DUMMYFUNCTION("""COMPUTED_VALUE"""),0.9864014526553474)</f>
        <v>0.9864014527</v>
      </c>
      <c r="AJ214" s="30">
        <f>IFERROR(__xludf.DUMMYFUNCTION("""COMPUTED_VALUE"""),0.886018622251314)</f>
        <v>0.8860186223</v>
      </c>
      <c r="AK214" s="30">
        <f>IFERROR(__xludf.DUMMYFUNCTION("""COMPUTED_VALUE"""),0.8357715458939503)</f>
        <v>0.8357715459</v>
      </c>
      <c r="AL214" s="30">
        <f>IFERROR(__xludf.DUMMYFUNCTION("""COMPUTED_VALUE"""),1.0371194424114625)</f>
        <v>1.037119442</v>
      </c>
      <c r="AM214" s="30">
        <f>IFERROR(__xludf.DUMMYFUNCTION("""COMPUTED_VALUE"""),0.9811929122190898)</f>
        <v>0.9811929122</v>
      </c>
      <c r="AN214" s="30">
        <f>IFERROR(__xludf.DUMMYFUNCTION("""COMPUTED_VALUE"""),1.1245493134409699)</f>
        <v>1.124549313</v>
      </c>
      <c r="AO214" s="30">
        <f>IFERROR(__xludf.DUMMYFUNCTION("""COMPUTED_VALUE"""),1.1810121258986919)</f>
        <v>1.181012126</v>
      </c>
      <c r="AP214" s="30">
        <f>IFERROR(__xludf.DUMMYFUNCTION("""COMPUTED_VALUE"""),1.3443175176268582)</f>
        <v>1.344317518</v>
      </c>
      <c r="AQ214" s="30">
        <f>IFERROR(__xludf.DUMMYFUNCTION("""COMPUTED_VALUE"""),1.0930948514466308)</f>
        <v>1.093094851</v>
      </c>
      <c r="AR214" s="30">
        <f>IFERROR(__xludf.DUMMYFUNCTION("""COMPUTED_VALUE"""),1.094735579891461)</f>
        <v>1.09473558</v>
      </c>
      <c r="AS214" s="30">
        <f>IFERROR(__xludf.DUMMYFUNCTION("""COMPUTED_VALUE"""),114.0)</f>
        <v>114</v>
      </c>
      <c r="AT214" s="30">
        <f>IFERROR(__xludf.DUMMYFUNCTION("""COMPUTED_VALUE"""),0.6246221212116913)</f>
        <v>0.6246221212</v>
      </c>
      <c r="AU214" s="30">
        <f>IFERROR(__xludf.DUMMYFUNCTION("""COMPUTED_VALUE"""),3.1048503594714143)</f>
        <v>3.104850359</v>
      </c>
      <c r="AV214" s="32">
        <f>IFERROR(__xludf.DUMMYFUNCTION("""COMPUTED_VALUE"""),70.4558072299179)</f>
        <v>70.45580723</v>
      </c>
      <c r="AW214" s="32">
        <f>IFERROR(__xludf.DUMMYFUNCTION("""COMPUTED_VALUE"""),4.839983361285574)</f>
        <v>4.839983361</v>
      </c>
      <c r="AX214" s="32">
        <f>IFERROR(__xludf.DUMMYFUNCTION("""COMPUTED_VALUE"""),62.87832752466627)</f>
        <v>62.87832752</v>
      </c>
      <c r="AY214" s="32">
        <f>IFERROR(__xludf.DUMMYFUNCTION("""COMPUTED_VALUE"""),3.2978266590661818)</f>
        <v>3.297826659</v>
      </c>
      <c r="AZ214" s="30">
        <f>IFERROR(__xludf.DUMMYFUNCTION("""COMPUTED_VALUE"""),1.5421567022193923)</f>
        <v>1.542156702</v>
      </c>
      <c r="BA214" s="30">
        <f>IFERROR(__xludf.DUMMYFUNCTION("""COMPUTED_VALUE"""),800.0)</f>
        <v>800</v>
      </c>
    </row>
    <row r="215">
      <c r="A215" s="30" t="str">
        <f>IFERROR(__xludf.DUMMYFUNCTION("""COMPUTED_VALUE"""),"Elite")</f>
        <v>Elite</v>
      </c>
      <c r="B215" s="30" t="str">
        <f>IFERROR(__xludf.DUMMYFUNCTION("""COMPUTED_VALUE"""),"RSC003277")</f>
        <v>RSC003277</v>
      </c>
      <c r="C215" s="30" t="str">
        <f>IFERROR(__xludf.DUMMYFUNCTION("""COMPUTED_VALUE"""),"Miikey.RL")</f>
        <v>Miikey.RL</v>
      </c>
      <c r="D215" s="30" t="str">
        <f>IFERROR(__xludf.DUMMYFUNCTION("""COMPUTED_VALUE"""),"Orochi")</f>
        <v>Orochi</v>
      </c>
      <c r="E215" s="30">
        <f>IFERROR(__xludf.DUMMYFUNCTION("""COMPUTED_VALUE"""),35.0)</f>
        <v>35</v>
      </c>
      <c r="F215" s="30">
        <f>IFERROR(__xludf.DUMMYFUNCTION("""COMPUTED_VALUE"""),15.0)</f>
        <v>15</v>
      </c>
      <c r="G215" s="30">
        <f>IFERROR(__xludf.DUMMYFUNCTION("""COMPUTED_VALUE"""),20.0)</f>
        <v>20</v>
      </c>
      <c r="H215" s="42">
        <f>IFERROR(__xludf.DUMMYFUNCTION("""COMPUTED_VALUE"""),0.42857142857142855)</f>
        <v>0.4285714286</v>
      </c>
      <c r="I215" s="42">
        <f>IFERROR(__xludf.DUMMYFUNCTION("""COMPUTED_VALUE"""),0.25)</f>
        <v>0.25</v>
      </c>
      <c r="J215" s="30">
        <f>IFERROR(__xludf.DUMMYFUNCTION("""COMPUTED_VALUE"""),300.4)</f>
        <v>300.4</v>
      </c>
      <c r="K215" s="30">
        <f>IFERROR(__xludf.DUMMYFUNCTION("""COMPUTED_VALUE"""),0.4857142857142857)</f>
        <v>0.4857142857</v>
      </c>
      <c r="L215" s="30">
        <f>IFERROR(__xludf.DUMMYFUNCTION("""COMPUTED_VALUE"""),0.37142857142857144)</f>
        <v>0.3714285714</v>
      </c>
      <c r="M215" s="30">
        <f>IFERROR(__xludf.DUMMYFUNCTION("""COMPUTED_VALUE"""),1.3142857142857143)</f>
        <v>1.314285714</v>
      </c>
      <c r="N215" s="30">
        <f>IFERROR(__xludf.DUMMYFUNCTION("""COMPUTED_VALUE"""),1.9428571428571428)</f>
        <v>1.942857143</v>
      </c>
      <c r="O215" s="30">
        <f>IFERROR(__xludf.DUMMYFUNCTION("""COMPUTED_VALUE"""),347.3714285714286)</f>
        <v>347.3714286</v>
      </c>
      <c r="P215" s="30">
        <f>IFERROR(__xludf.DUMMYFUNCTION("""COMPUTED_VALUE"""),0.6857142857142857)</f>
        <v>0.6857142857</v>
      </c>
      <c r="Q215" s="30">
        <f>IFERROR(__xludf.DUMMYFUNCTION("""COMPUTED_VALUE"""),0.5238095238095237)</f>
        <v>0.5238095238</v>
      </c>
      <c r="R215" s="30">
        <f>IFERROR(__xludf.DUMMYFUNCTION("""COMPUTED_VALUE"""),1.361904761904762)</f>
        <v>1.361904762</v>
      </c>
      <c r="S215" s="30">
        <f>IFERROR(__xludf.DUMMYFUNCTION("""COMPUTED_VALUE"""),2.7238095238095235)</f>
        <v>2.723809524</v>
      </c>
      <c r="T215" s="30">
        <f>IFERROR(__xludf.DUMMYFUNCTION("""COMPUTED_VALUE"""),364.6014392443173)</f>
        <v>364.6014392</v>
      </c>
      <c r="U215" s="30">
        <f>IFERROR(__xludf.DUMMYFUNCTION("""COMPUTED_VALUE"""),0.775497715496382)</f>
        <v>0.7754977155</v>
      </c>
      <c r="V215" s="30">
        <f>IFERROR(__xludf.DUMMYFUNCTION("""COMPUTED_VALUE"""),0.5741567994524979)</f>
        <v>0.5741567995</v>
      </c>
      <c r="W215" s="30">
        <f>IFERROR(__xludf.DUMMYFUNCTION("""COMPUTED_VALUE"""),1.4132011281183936)</f>
        <v>1.413201128</v>
      </c>
      <c r="X215" s="30">
        <f>IFERROR(__xludf.DUMMYFUNCTION("""COMPUTED_VALUE"""),2.7790046063961467)</f>
        <v>2.779004606</v>
      </c>
      <c r="Y215" s="30">
        <f>IFERROR(__xludf.DUMMYFUNCTION("""COMPUTED_VALUE"""),357.5586102414024)</f>
        <v>357.5586102</v>
      </c>
      <c r="Z215" s="30">
        <f>IFERROR(__xludf.DUMMYFUNCTION("""COMPUTED_VALUE"""),0.7171488666584762)</f>
        <v>0.7171488667</v>
      </c>
      <c r="AA215" s="30">
        <f>IFERROR(__xludf.DUMMYFUNCTION("""COMPUTED_VALUE"""),0.5436973352259742)</f>
        <v>0.5436973352</v>
      </c>
      <c r="AB215" s="30">
        <f>IFERROR(__xludf.DUMMYFUNCTION("""COMPUTED_VALUE"""),1.5034777869211085)</f>
        <v>1.503477787</v>
      </c>
      <c r="AC215" s="30">
        <f>IFERROR(__xludf.DUMMYFUNCTION("""COMPUTED_VALUE"""),2.5906668236743067)</f>
        <v>2.590666824</v>
      </c>
      <c r="AD215" s="30">
        <f>IFERROR(__xludf.DUMMYFUNCTION("""COMPUTED_VALUE"""),0.840141983428081)</f>
        <v>0.8401419834</v>
      </c>
      <c r="AE215" s="30">
        <f>IFERROR(__xludf.DUMMYFUNCTION("""COMPUTED_VALUE"""),0.6772851611373942)</f>
        <v>0.6772851611</v>
      </c>
      <c r="AF215" s="30">
        <f>IFERROR(__xludf.DUMMYFUNCTION("""COMPUTED_VALUE"""),0.6831531945511494)</f>
        <v>0.6831531946</v>
      </c>
      <c r="AG215" s="30">
        <f>IFERROR(__xludf.DUMMYFUNCTION("""COMPUTED_VALUE"""),0.8741637061211057)</f>
        <v>0.8741637061</v>
      </c>
      <c r="AH215" s="30">
        <f>IFERROR(__xludf.DUMMYFUNCTION("""COMPUTED_VALUE"""),0.7499448115453209)</f>
        <v>0.7499448115</v>
      </c>
      <c r="AI215" s="30">
        <f>IFERROR(__xludf.DUMMYFUNCTION("""COMPUTED_VALUE"""),0.9527428890335703)</f>
        <v>0.952742889</v>
      </c>
      <c r="AJ215" s="30">
        <f>IFERROR(__xludf.DUMMYFUNCTION("""COMPUTED_VALUE"""),0.8842247656079456)</f>
        <v>0.8842247656</v>
      </c>
      <c r="AK215" s="30">
        <f>IFERROR(__xludf.DUMMYFUNCTION("""COMPUTED_VALUE"""),0.9123109302354616)</f>
        <v>0.9123109302</v>
      </c>
      <c r="AL215" s="30">
        <f>IFERROR(__xludf.DUMMYFUNCTION("""COMPUTED_VALUE"""),0.9637020058978227)</f>
        <v>0.9637020059</v>
      </c>
      <c r="AM215" s="30">
        <f>IFERROR(__xludf.DUMMYFUNCTION("""COMPUTED_VALUE"""),0.9801385422465344)</f>
        <v>0.9801385422</v>
      </c>
      <c r="AN215" s="30">
        <f>IFERROR(__xludf.DUMMYFUNCTION("""COMPUTED_VALUE"""),0.8568411721571224)</f>
        <v>0.8568411722</v>
      </c>
      <c r="AO215" s="30">
        <f>IFERROR(__xludf.DUMMYFUNCTION("""COMPUTED_VALUE"""),0.6851744952634474)</f>
        <v>0.6851744953</v>
      </c>
      <c r="AP215" s="30">
        <f>IFERROR(__xludf.DUMMYFUNCTION("""COMPUTED_VALUE"""),0.650626400305986)</f>
        <v>0.6506264003</v>
      </c>
      <c r="AQ215" s="30">
        <f>IFERROR(__xludf.DUMMYFUNCTION("""COMPUTED_VALUE"""),0.9220220111562624)</f>
        <v>0.9220220112</v>
      </c>
      <c r="AR215" s="30">
        <f>IFERROR(__xludf.DUMMYFUNCTION("""COMPUTED_VALUE"""),0.7750621877972474)</f>
        <v>0.7750621878</v>
      </c>
      <c r="AS215" s="30">
        <f>IFERROR(__xludf.DUMMYFUNCTION("""COMPUTED_VALUE"""),67.0)</f>
        <v>67</v>
      </c>
      <c r="AT215" s="30">
        <f>IFERROR(__xludf.DUMMYFUNCTION("""COMPUTED_VALUE"""),0.47329473646226766)</f>
        <v>0.4732947365</v>
      </c>
      <c r="AU215" s="30">
        <f>IFERROR(__xludf.DUMMYFUNCTION("""COMPUTED_VALUE"""),1.6158843531152711)</f>
        <v>1.615884353</v>
      </c>
      <c r="AV215" s="32">
        <f>IFERROR(__xludf.DUMMYFUNCTION("""COMPUTED_VALUE"""),27.626871901816997)</f>
        <v>27.6268719</v>
      </c>
      <c r="AW215" s="32">
        <f>IFERROR(__xludf.DUMMYFUNCTION("""COMPUTED_VALUE"""),-5.393348860175519)</f>
        <v>-5.39334886</v>
      </c>
      <c r="AX215" s="32">
        <f>IFERROR(__xludf.DUMMYFUNCTION("""COMPUTED_VALUE"""),23.628421450904163)</f>
        <v>23.62842145</v>
      </c>
      <c r="AY215" s="32">
        <f>IFERROR(__xludf.DUMMYFUNCTION("""COMPUTED_VALUE"""),-6.861347770811789)</f>
        <v>-6.861347771</v>
      </c>
      <c r="AZ215" s="30">
        <f>IFERROR(__xludf.DUMMYFUNCTION("""COMPUTED_VALUE"""),1.46799891063627)</f>
        <v>1.467998911</v>
      </c>
      <c r="BA215" s="30">
        <f>IFERROR(__xludf.DUMMYFUNCTION("""COMPUTED_VALUE"""),800.0)</f>
        <v>800</v>
      </c>
    </row>
    <row r="216">
      <c r="A216" s="30" t="str">
        <f>IFERROR(__xludf.DUMMYFUNCTION("""COMPUTED_VALUE"""),"Elite")</f>
        <v>Elite</v>
      </c>
      <c r="B216" s="30" t="str">
        <f>IFERROR(__xludf.DUMMYFUNCTION("""COMPUTED_VALUE"""),"RSC003360")</f>
        <v>RSC003360</v>
      </c>
      <c r="C216" s="30" t="str">
        <f>IFERROR(__xludf.DUMMYFUNCTION("""COMPUTED_VALUE"""),"flossy")</f>
        <v>flossy</v>
      </c>
      <c r="D216" s="30" t="str">
        <f>IFERROR(__xludf.DUMMYFUNCTION("""COMPUTED_VALUE"""),"Geeky Ghouls")</f>
        <v>Geeky Ghouls</v>
      </c>
      <c r="E216" s="30">
        <f>IFERROR(__xludf.DUMMYFUNCTION("""COMPUTED_VALUE"""),48.0)</f>
        <v>48</v>
      </c>
      <c r="F216" s="30">
        <f>IFERROR(__xludf.DUMMYFUNCTION("""COMPUTED_VALUE"""),24.0)</f>
        <v>24</v>
      </c>
      <c r="G216" s="30">
        <f>IFERROR(__xludf.DUMMYFUNCTION("""COMPUTED_VALUE"""),24.0)</f>
        <v>24</v>
      </c>
      <c r="H216" s="42">
        <f>IFERROR(__xludf.DUMMYFUNCTION("""COMPUTED_VALUE"""),0.5)</f>
        <v>0.5</v>
      </c>
      <c r="I216" s="42">
        <f>IFERROR(__xludf.DUMMYFUNCTION("""COMPUTED_VALUE"""),0.256)</f>
        <v>0.256</v>
      </c>
      <c r="J216" s="30">
        <f>IFERROR(__xludf.DUMMYFUNCTION("""COMPUTED_VALUE"""),323.7083333333333)</f>
        <v>323.7083333</v>
      </c>
      <c r="K216" s="30">
        <f>IFERROR(__xludf.DUMMYFUNCTION("""COMPUTED_VALUE"""),0.6666666666666666)</f>
        <v>0.6666666667</v>
      </c>
      <c r="L216" s="30">
        <f>IFERROR(__xludf.DUMMYFUNCTION("""COMPUTED_VALUE"""),0.5)</f>
        <v>0.5</v>
      </c>
      <c r="M216" s="30">
        <f>IFERROR(__xludf.DUMMYFUNCTION("""COMPUTED_VALUE"""),1.4166666666666667)</f>
        <v>1.416666667</v>
      </c>
      <c r="N216" s="30">
        <f>IFERROR(__xludf.DUMMYFUNCTION("""COMPUTED_VALUE"""),2.6041666666666665)</f>
        <v>2.604166667</v>
      </c>
      <c r="O216" s="30">
        <f>IFERROR(__xludf.DUMMYFUNCTION("""COMPUTED_VALUE"""),368.97222222222234)</f>
        <v>368.9722222</v>
      </c>
      <c r="P216" s="30">
        <f>IFERROR(__xludf.DUMMYFUNCTION("""COMPUTED_VALUE"""),0.7499999999999999)</f>
        <v>0.75</v>
      </c>
      <c r="Q216" s="30">
        <f>IFERROR(__xludf.DUMMYFUNCTION("""COMPUTED_VALUE"""),0.5625)</f>
        <v>0.5625</v>
      </c>
      <c r="R216" s="30">
        <f>IFERROR(__xludf.DUMMYFUNCTION("""COMPUTED_VALUE"""),1.6041666666666663)</f>
        <v>1.604166667</v>
      </c>
      <c r="S216" s="30">
        <f>IFERROR(__xludf.DUMMYFUNCTION("""COMPUTED_VALUE"""),2.590277777777778)</f>
        <v>2.590277778</v>
      </c>
      <c r="T216" s="30">
        <f>IFERROR(__xludf.DUMMYFUNCTION("""COMPUTED_VALUE"""),353.8958678315776)</f>
        <v>353.8958678</v>
      </c>
      <c r="U216" s="30">
        <f>IFERROR(__xludf.DUMMYFUNCTION("""COMPUTED_VALUE"""),0.7405152303074223)</f>
        <v>0.7405152303</v>
      </c>
      <c r="V216" s="30">
        <f>IFERROR(__xludf.DUMMYFUNCTION("""COMPUTED_VALUE"""),0.6009408356068179)</f>
        <v>0.6009408356</v>
      </c>
      <c r="W216" s="30">
        <f>IFERROR(__xludf.DUMMYFUNCTION("""COMPUTED_VALUE"""),1.383847900183156)</f>
        <v>1.3838479</v>
      </c>
      <c r="X216" s="30">
        <f>IFERROR(__xludf.DUMMYFUNCTION("""COMPUTED_VALUE"""),2.6767751047559436)</f>
        <v>2.676775105</v>
      </c>
      <c r="Y216" s="30">
        <f>IFERROR(__xludf.DUMMYFUNCTION("""COMPUTED_VALUE"""),356.24605642155444)</f>
        <v>356.2460564</v>
      </c>
      <c r="Z216" s="30">
        <f>IFERROR(__xludf.DUMMYFUNCTION("""COMPUTED_VALUE"""),0.7526988132581852)</f>
        <v>0.7526988133</v>
      </c>
      <c r="AA216" s="30">
        <f>IFERROR(__xludf.DUMMYFUNCTION("""COMPUTED_VALUE"""),0.5699450049557212)</f>
        <v>0.569945005</v>
      </c>
      <c r="AB216" s="30">
        <f>IFERROR(__xludf.DUMMYFUNCTION("""COMPUTED_VALUE"""),1.4434572899564528)</f>
        <v>1.44345729</v>
      </c>
      <c r="AC216" s="30">
        <f>IFERROR(__xludf.DUMMYFUNCTION("""COMPUTED_VALUE"""),2.6045201397047286)</f>
        <v>2.60452014</v>
      </c>
      <c r="AD216" s="30">
        <f>IFERROR(__xludf.DUMMYFUNCTION("""COMPUTED_VALUE"""),0.9086650294039509)</f>
        <v>0.9086650294</v>
      </c>
      <c r="AE216" s="30">
        <f>IFERROR(__xludf.DUMMYFUNCTION("""COMPUTED_VALUE"""),0.885701764004232)</f>
        <v>0.885701764</v>
      </c>
      <c r="AF216" s="30">
        <f>IFERROR(__xludf.DUMMYFUNCTION("""COMPUTED_VALUE"""),0.8772776244242105)</f>
        <v>0.8772776244</v>
      </c>
      <c r="AG216" s="30">
        <f>IFERROR(__xludf.DUMMYFUNCTION("""COMPUTED_VALUE"""),0.9814399612124344)</f>
        <v>0.9814399612</v>
      </c>
      <c r="AH216" s="30">
        <f>IFERROR(__xludf.DUMMYFUNCTION("""COMPUTED_VALUE"""),0.9998642847745066)</f>
        <v>0.9998642848</v>
      </c>
      <c r="AI216" s="30">
        <f>IFERROR(__xludf.DUMMYFUNCTION("""COMPUTED_VALUE"""),1.0426011032087543)</f>
        <v>1.042601103</v>
      </c>
      <c r="AJ216" s="30">
        <f>IFERROR(__xludf.DUMMYFUNCTION("""COMPUTED_VALUE"""),1.0128083384438158)</f>
        <v>1.012808338</v>
      </c>
      <c r="AK216" s="30">
        <f>IFERROR(__xludf.DUMMYFUNCTION("""COMPUTED_VALUE"""),0.9360322458898951)</f>
        <v>0.9360322459</v>
      </c>
      <c r="AL216" s="30">
        <f>IFERROR(__xludf.DUMMYFUNCTION("""COMPUTED_VALUE"""),1.1592073568593415)</f>
        <v>1.159207357</v>
      </c>
      <c r="AM216" s="30">
        <f>IFERROR(__xludf.DUMMYFUNCTION("""COMPUTED_VALUE"""),0.9676859939318466)</f>
        <v>0.9676859939</v>
      </c>
      <c r="AN216" s="30">
        <f>IFERROR(__xludf.DUMMYFUNCTION("""COMPUTED_VALUE"""),0.9233243267988077)</f>
        <v>0.9233243268</v>
      </c>
      <c r="AO216" s="30">
        <f>IFERROR(__xludf.DUMMYFUNCTION("""COMPUTED_VALUE"""),0.9404355817341434)</f>
        <v>0.9404355817</v>
      </c>
      <c r="AP216" s="30">
        <f>IFERROR(__xludf.DUMMYFUNCTION("""COMPUTED_VALUE"""),0.8758432311811349)</f>
        <v>0.8758432312</v>
      </c>
      <c r="AQ216" s="30">
        <f>IFERROR(__xludf.DUMMYFUNCTION("""COMPUTED_VALUE"""),0.993846189561551)</f>
        <v>0.9938461896</v>
      </c>
      <c r="AR216" s="30">
        <f>IFERROR(__xludf.DUMMYFUNCTION("""COMPUTED_VALUE"""),1.0388777792931856)</f>
        <v>1.038877779</v>
      </c>
      <c r="AS216" s="30">
        <f>IFERROR(__xludf.DUMMYFUNCTION("""COMPUTED_VALUE"""),101.0)</f>
        <v>101</v>
      </c>
      <c r="AT216" s="30">
        <f>IFERROR(__xludf.DUMMYFUNCTION("""COMPUTED_VALUE"""),0.47446874901317043)</f>
        <v>0.474468749</v>
      </c>
      <c r="AU216" s="30">
        <f>IFERROR(__xludf.DUMMYFUNCTION("""COMPUTED_VALUE"""),2.3045740382953612)</f>
        <v>2.304574038</v>
      </c>
      <c r="AV216" s="32">
        <f>IFERROR(__xludf.DUMMYFUNCTION("""COMPUTED_VALUE"""),47.4364886840642)</f>
        <v>47.43648868</v>
      </c>
      <c r="AW216" s="32">
        <f>IFERROR(__xludf.DUMMYFUNCTION("""COMPUTED_VALUE"""),-2.1778717859030055)</f>
        <v>-2.177871786</v>
      </c>
      <c r="AX216" s="32">
        <f>IFERROR(__xludf.DUMMYFUNCTION("""COMPUTED_VALUE"""),35.12135908900878)</f>
        <v>35.12135909</v>
      </c>
      <c r="AY216" s="32">
        <f>IFERROR(__xludf.DUMMYFUNCTION("""COMPUTED_VALUE"""),-3.6248555404593596)</f>
        <v>-3.62485554</v>
      </c>
      <c r="AZ216" s="30">
        <f>IFERROR(__xludf.DUMMYFUNCTION("""COMPUTED_VALUE"""),1.4469837545563542)</f>
        <v>1.446983755</v>
      </c>
      <c r="BA216" s="30">
        <f>IFERROR(__xludf.DUMMYFUNCTION("""COMPUTED_VALUE"""),800.0)</f>
        <v>800</v>
      </c>
    </row>
    <row r="217">
      <c r="A217" s="30" t="str">
        <f>IFERROR(__xludf.DUMMYFUNCTION("""COMPUTED_VALUE"""),"Elite")</f>
        <v>Elite</v>
      </c>
      <c r="B217" s="30" t="str">
        <f>IFERROR(__xludf.DUMMYFUNCTION("""COMPUTED_VALUE"""),"RSC007925")</f>
        <v>RSC007925</v>
      </c>
      <c r="C217" s="30" t="str">
        <f>IFERROR(__xludf.DUMMYFUNCTION("""COMPUTED_VALUE"""),"Monkey")</f>
        <v>Monkey</v>
      </c>
      <c r="D217" s="30" t="str">
        <f>IFERROR(__xludf.DUMMYFUNCTION("""COMPUTED_VALUE"""),"Fire")</f>
        <v>Fire</v>
      </c>
      <c r="E217" s="30">
        <f>IFERROR(__xludf.DUMMYFUNCTION("""COMPUTED_VALUE"""),37.0)</f>
        <v>37</v>
      </c>
      <c r="F217" s="30">
        <f>IFERROR(__xludf.DUMMYFUNCTION("""COMPUTED_VALUE"""),20.0)</f>
        <v>20</v>
      </c>
      <c r="G217" s="30">
        <f>IFERROR(__xludf.DUMMYFUNCTION("""COMPUTED_VALUE"""),17.0)</f>
        <v>17</v>
      </c>
      <c r="H217" s="42">
        <f>IFERROR(__xludf.DUMMYFUNCTION("""COMPUTED_VALUE"""),0.5405405405405406)</f>
        <v>0.5405405405</v>
      </c>
      <c r="I217" s="42">
        <f>IFERROR(__xludf.DUMMYFUNCTION("""COMPUTED_VALUE"""),0.2727272727272727)</f>
        <v>0.2727272727</v>
      </c>
      <c r="J217" s="30">
        <f>IFERROR(__xludf.DUMMYFUNCTION("""COMPUTED_VALUE"""),331.13513513513516)</f>
        <v>331.1351351</v>
      </c>
      <c r="K217" s="30">
        <f>IFERROR(__xludf.DUMMYFUNCTION("""COMPUTED_VALUE"""),0.6486486486486487)</f>
        <v>0.6486486486</v>
      </c>
      <c r="L217" s="30">
        <f>IFERROR(__xludf.DUMMYFUNCTION("""COMPUTED_VALUE"""),0.40540540540540543)</f>
        <v>0.4054054054</v>
      </c>
      <c r="M217" s="30">
        <f>IFERROR(__xludf.DUMMYFUNCTION("""COMPUTED_VALUE"""),1.4864864864864864)</f>
        <v>1.486486486</v>
      </c>
      <c r="N217" s="30">
        <f>IFERROR(__xludf.DUMMYFUNCTION("""COMPUTED_VALUE"""),2.3783783783783785)</f>
        <v>2.378378378</v>
      </c>
      <c r="O217" s="30">
        <f>IFERROR(__xludf.DUMMYFUNCTION("""COMPUTED_VALUE"""),350.1711711711711)</f>
        <v>350.1711712</v>
      </c>
      <c r="P217" s="30">
        <f>IFERROR(__xludf.DUMMYFUNCTION("""COMPUTED_VALUE"""),0.6846846846846846)</f>
        <v>0.6846846847</v>
      </c>
      <c r="Q217" s="30">
        <f>IFERROR(__xludf.DUMMYFUNCTION("""COMPUTED_VALUE"""),0.5045045045045045)</f>
        <v>0.5045045045</v>
      </c>
      <c r="R217" s="30">
        <f>IFERROR(__xludf.DUMMYFUNCTION("""COMPUTED_VALUE"""),1.5045045045045045)</f>
        <v>1.504504505</v>
      </c>
      <c r="S217" s="30">
        <f>IFERROR(__xludf.DUMMYFUNCTION("""COMPUTED_VALUE"""),2.567567567567568)</f>
        <v>2.567567568</v>
      </c>
      <c r="T217" s="30">
        <f>IFERROR(__xludf.DUMMYFUNCTION("""COMPUTED_VALUE"""),366.7394977910578)</f>
        <v>366.7394978</v>
      </c>
      <c r="U217" s="30">
        <f>IFERROR(__xludf.DUMMYFUNCTION("""COMPUTED_VALUE"""),0.7925711349269949)</f>
        <v>0.7925711349</v>
      </c>
      <c r="V217" s="30">
        <f>IFERROR(__xludf.DUMMYFUNCTION("""COMPUTED_VALUE"""),0.5890066413573984)</f>
        <v>0.5890066414</v>
      </c>
      <c r="W217" s="30">
        <f>IFERROR(__xludf.DUMMYFUNCTION("""COMPUTED_VALUE"""),1.5041830181330444)</f>
        <v>1.504183018</v>
      </c>
      <c r="X217" s="30">
        <f>IFERROR(__xludf.DUMMYFUNCTION("""COMPUTED_VALUE"""),2.6252388339931527)</f>
        <v>2.625238834</v>
      </c>
      <c r="Y217" s="30">
        <f>IFERROR(__xludf.DUMMYFUNCTION("""COMPUTED_VALUE"""),358.8555747921126)</f>
        <v>358.8555748</v>
      </c>
      <c r="Z217" s="30">
        <f>IFERROR(__xludf.DUMMYFUNCTION("""COMPUTED_VALUE"""),0.7691473714787123)</f>
        <v>0.7691473715</v>
      </c>
      <c r="AA217" s="30">
        <f>IFERROR(__xludf.DUMMYFUNCTION("""COMPUTED_VALUE"""),0.5638627226408636)</f>
        <v>0.5638627226</v>
      </c>
      <c r="AB217" s="30">
        <f>IFERROR(__xludf.DUMMYFUNCTION("""COMPUTED_VALUE"""),1.3976421068849667)</f>
        <v>1.397642107</v>
      </c>
      <c r="AC217" s="30">
        <f>IFERROR(__xludf.DUMMYFUNCTION("""COMPUTED_VALUE"""),2.7142314904560623)</f>
        <v>2.71423149</v>
      </c>
      <c r="AD217" s="30">
        <f>IFERROR(__xludf.DUMMYFUNCTION("""COMPUTED_VALUE"""),0.9227532143731192)</f>
        <v>0.9227532144</v>
      </c>
      <c r="AE217" s="30">
        <f>IFERROR(__xludf.DUMMYFUNCTION("""COMPUTED_VALUE"""),0.8433346751242214)</f>
        <v>0.8433346751</v>
      </c>
      <c r="AF217" s="30">
        <f>IFERROR(__xludf.DUMMYFUNCTION("""COMPUTED_VALUE"""),0.7189789094527835)</f>
        <v>0.7189789095</v>
      </c>
      <c r="AG217" s="30">
        <f>IFERROR(__xludf.DUMMYFUNCTION("""COMPUTED_VALUE"""),1.0635673318397183)</f>
        <v>1.063567332</v>
      </c>
      <c r="AH217" s="30">
        <f>IFERROR(__xludf.DUMMYFUNCTION("""COMPUTED_VALUE"""),0.876262170983341)</f>
        <v>0.876262171</v>
      </c>
      <c r="AI217" s="30">
        <f>IFERROR(__xludf.DUMMYFUNCTION("""COMPUTED_VALUE"""),0.9548226282697095)</f>
        <v>0.9548226283</v>
      </c>
      <c r="AJ217" s="30">
        <f>IFERROR(__xludf.DUMMYFUNCTION("""COMPUTED_VALUE"""),0.8638778962695279)</f>
        <v>0.8638778963</v>
      </c>
      <c r="AK217" s="30">
        <f>IFERROR(__xludf.DUMMYFUNCTION("""COMPUTED_VALUE"""),0.8565344922798254)</f>
        <v>0.8565344923</v>
      </c>
      <c r="AL217" s="30">
        <f>IFERROR(__xludf.DUMMYFUNCTION("""COMPUTED_VALUE"""),1.0002137282282704)</f>
        <v>1.000213728</v>
      </c>
      <c r="AM217" s="30">
        <f>IFERROR(__xludf.DUMMYFUNCTION("""COMPUTED_VALUE"""),0.9780319924881413)</f>
        <v>0.9780319925</v>
      </c>
      <c r="AN217" s="30">
        <f>IFERROR(__xludf.DUMMYFUNCTION("""COMPUTED_VALUE"""),0.9445080470425977)</f>
        <v>0.944508047</v>
      </c>
      <c r="AO217" s="30">
        <f>IFERROR(__xludf.DUMMYFUNCTION("""COMPUTED_VALUE"""),0.915018403849437)</f>
        <v>0.9150184038</v>
      </c>
      <c r="AP217" s="30">
        <f>IFERROR(__xludf.DUMMYFUNCTION("""COMPUTED_VALUE"""),0.7101431604171364)</f>
        <v>0.7101431604</v>
      </c>
      <c r="AQ217" s="30">
        <f>IFERROR(__xludf.DUMMYFUNCTION("""COMPUTED_VALUE"""),1.0428274803030582)</f>
        <v>1.04282748</v>
      </c>
      <c r="AR217" s="30">
        <f>IFERROR(__xludf.DUMMYFUNCTION("""COMPUTED_VALUE"""),0.9488042680506845)</f>
        <v>0.9488042681</v>
      </c>
      <c r="AS217" s="30">
        <f>IFERROR(__xludf.DUMMYFUNCTION("""COMPUTED_VALUE"""),77.0)</f>
        <v>77</v>
      </c>
      <c r="AT217" s="30">
        <f>IFERROR(__xludf.DUMMYFUNCTION("""COMPUTED_VALUE"""),0.5049113777134693)</f>
        <v>0.5049113777</v>
      </c>
      <c r="AU217" s="30">
        <f>IFERROR(__xludf.DUMMYFUNCTION("""COMPUTED_VALUE"""),2.142913958071706)</f>
        <v>2.142913958</v>
      </c>
      <c r="AV217" s="32">
        <f>IFERROR(__xludf.DUMMYFUNCTION("""COMPUTED_VALUE"""),42.78646370600674)</f>
        <v>42.78646371</v>
      </c>
      <c r="AW217" s="32">
        <f>IFERROR(__xludf.DUMMYFUNCTION("""COMPUTED_VALUE"""),-2.587548724143984)</f>
        <v>-2.587548724</v>
      </c>
      <c r="AX217" s="32">
        <f>IFERROR(__xludf.DUMMYFUNCTION("""COMPUTED_VALUE"""),33.17550162211138)</f>
        <v>33.17550162</v>
      </c>
      <c r="AY217" s="32">
        <f>IFERROR(__xludf.DUMMYFUNCTION("""COMPUTED_VALUE"""),-3.9923342701447564)</f>
        <v>-3.99233427</v>
      </c>
      <c r="AZ217" s="30">
        <f>IFERROR(__xludf.DUMMYFUNCTION("""COMPUTED_VALUE"""),1.4047855460007725)</f>
        <v>1.404785546</v>
      </c>
      <c r="BA217" s="30">
        <f>IFERROR(__xludf.DUMMYFUNCTION("""COMPUTED_VALUE"""),800.0)</f>
        <v>800</v>
      </c>
    </row>
    <row r="218">
      <c r="A218" s="30" t="str">
        <f>IFERROR(__xludf.DUMMYFUNCTION("""COMPUTED_VALUE"""),"Elite")</f>
        <v>Elite</v>
      </c>
      <c r="B218" s="30" t="str">
        <f>IFERROR(__xludf.DUMMYFUNCTION("""COMPUTED_VALUE"""),"RSC007876")</f>
        <v>RSC007876</v>
      </c>
      <c r="C218" s="30" t="str">
        <f>IFERROR(__xludf.DUMMYFUNCTION("""COMPUTED_VALUE"""),"dwsn.")</f>
        <v>dwsn.</v>
      </c>
      <c r="D218" s="30" t="str">
        <f>IFERROR(__xludf.DUMMYFUNCTION("""COMPUTED_VALUE"""),"Great Whites")</f>
        <v>Great Whites</v>
      </c>
      <c r="E218" s="30">
        <f>IFERROR(__xludf.DUMMYFUNCTION("""COMPUTED_VALUE"""),43.0)</f>
        <v>43</v>
      </c>
      <c r="F218" s="30">
        <f>IFERROR(__xludf.DUMMYFUNCTION("""COMPUTED_VALUE"""),31.0)</f>
        <v>31</v>
      </c>
      <c r="G218" s="30">
        <f>IFERROR(__xludf.DUMMYFUNCTION("""COMPUTED_VALUE"""),12.0)</f>
        <v>12</v>
      </c>
      <c r="H218" s="42">
        <f>IFERROR(__xludf.DUMMYFUNCTION("""COMPUTED_VALUE"""),0.7209302325581395)</f>
        <v>0.7209302326</v>
      </c>
      <c r="I218" s="42">
        <f>IFERROR(__xludf.DUMMYFUNCTION("""COMPUTED_VALUE"""),0.25531914893617025)</f>
        <v>0.2553191489</v>
      </c>
      <c r="J218" s="30">
        <f>IFERROR(__xludf.DUMMYFUNCTION("""COMPUTED_VALUE"""),394.30232558139534)</f>
        <v>394.3023256</v>
      </c>
      <c r="K218" s="30">
        <f>IFERROR(__xludf.DUMMYFUNCTION("""COMPUTED_VALUE"""),0.8372093023255814)</f>
        <v>0.8372093023</v>
      </c>
      <c r="L218" s="30">
        <f>IFERROR(__xludf.DUMMYFUNCTION("""COMPUTED_VALUE"""),0.8604651162790697)</f>
        <v>0.8604651163</v>
      </c>
      <c r="M218" s="30">
        <f>IFERROR(__xludf.DUMMYFUNCTION("""COMPUTED_VALUE"""),1.4883720930232558)</f>
        <v>1.488372093</v>
      </c>
      <c r="N218" s="30">
        <f>IFERROR(__xludf.DUMMYFUNCTION("""COMPUTED_VALUE"""),3.2790697674418605)</f>
        <v>3.279069767</v>
      </c>
      <c r="O218" s="30">
        <f>IFERROR(__xludf.DUMMYFUNCTION("""COMPUTED_VALUE"""),310.35658914728685)</f>
        <v>310.3565891</v>
      </c>
      <c r="P218" s="30">
        <f>IFERROR(__xludf.DUMMYFUNCTION("""COMPUTED_VALUE"""),0.5271317829457363)</f>
        <v>0.5271317829</v>
      </c>
      <c r="Q218" s="30">
        <f>IFERROR(__xludf.DUMMYFUNCTION("""COMPUTED_VALUE"""),0.4108527131782946)</f>
        <v>0.4108527132</v>
      </c>
      <c r="R218" s="30">
        <f>IFERROR(__xludf.DUMMYFUNCTION("""COMPUTED_VALUE"""),1.457364341085271)</f>
        <v>1.457364341</v>
      </c>
      <c r="S218" s="30">
        <f>IFERROR(__xludf.DUMMYFUNCTION("""COMPUTED_VALUE"""),2.077519379844961)</f>
        <v>2.07751938</v>
      </c>
      <c r="T218" s="30">
        <f>IFERROR(__xludf.DUMMYFUNCTION("""COMPUTED_VALUE"""),353.95749436191704)</f>
        <v>353.9574944</v>
      </c>
      <c r="U218" s="30">
        <f>IFERROR(__xludf.DUMMYFUNCTION("""COMPUTED_VALUE"""),0.7297099899241133)</f>
        <v>0.7297099899</v>
      </c>
      <c r="V218" s="30">
        <f>IFERROR(__xludf.DUMMYFUNCTION("""COMPUTED_VALUE"""),0.5217567568311889)</f>
        <v>0.5217567568</v>
      </c>
      <c r="W218" s="30">
        <f>IFERROR(__xludf.DUMMYFUNCTION("""COMPUTED_VALUE"""),1.4622712257960662)</f>
        <v>1.462271226</v>
      </c>
      <c r="X218" s="30">
        <f>IFERROR(__xludf.DUMMYFUNCTION("""COMPUTED_VALUE"""),2.600684005400434)</f>
        <v>2.600684005</v>
      </c>
      <c r="Y218" s="30">
        <f>IFERROR(__xludf.DUMMYFUNCTION("""COMPUTED_VALUE"""),366.8768514791729)</f>
        <v>366.8768515</v>
      </c>
      <c r="Z218" s="30">
        <f>IFERROR(__xludf.DUMMYFUNCTION("""COMPUTED_VALUE"""),0.8087948871447359)</f>
        <v>0.8087948871</v>
      </c>
      <c r="AA218" s="30">
        <f>IFERROR(__xludf.DUMMYFUNCTION("""COMPUTED_VALUE"""),0.6236804967146372)</f>
        <v>0.6236804967</v>
      </c>
      <c r="AB218" s="30">
        <f>IFERROR(__xludf.DUMMYFUNCTION("""COMPUTED_VALUE"""),1.4212657043656833)</f>
        <v>1.421265704</v>
      </c>
      <c r="AC218" s="30">
        <f>IFERROR(__xludf.DUMMYFUNCTION("""COMPUTED_VALUE"""),2.7352595728321796)</f>
        <v>2.735259573</v>
      </c>
      <c r="AD218" s="30">
        <f>IFERROR(__xludf.DUMMYFUNCTION("""COMPUTED_VALUE"""),1.0747538962778613)</f>
        <v>1.074753896</v>
      </c>
      <c r="AE218" s="30">
        <f>IFERROR(__xludf.DUMMYFUNCTION("""COMPUTED_VALUE"""),1.035131793774261)</f>
        <v>1.035131794</v>
      </c>
      <c r="AF218" s="30">
        <f>IFERROR(__xludf.DUMMYFUNCTION("""COMPUTED_VALUE"""),1.3796569249988468)</f>
        <v>1.379656925</v>
      </c>
      <c r="AG218" s="30">
        <f>IFERROR(__xludf.DUMMYFUNCTION("""COMPUTED_VALUE"""),1.0472159346781131)</f>
        <v>1.047215935</v>
      </c>
      <c r="AH218" s="30">
        <f>IFERROR(__xludf.DUMMYFUNCTION("""COMPUTED_VALUE"""),1.1988148401018488)</f>
        <v>1.19881484</v>
      </c>
      <c r="AI218" s="30">
        <f>IFERROR(__xludf.DUMMYFUNCTION("""COMPUTED_VALUE"""),0.8768188104245963)</f>
        <v>0.8768188104</v>
      </c>
      <c r="AJ218" s="30">
        <f>IFERROR(__xludf.DUMMYFUNCTION("""COMPUTED_VALUE"""),0.7223853177624109)</f>
        <v>0.7223853178</v>
      </c>
      <c r="AK218" s="30">
        <f>IFERROR(__xludf.DUMMYFUNCTION("""COMPUTED_VALUE"""),0.787441097406283)</f>
        <v>0.7874410974</v>
      </c>
      <c r="AL218" s="30">
        <f>IFERROR(__xludf.DUMMYFUNCTION("""COMPUTED_VALUE"""),0.9966443402398732)</f>
        <v>0.9966443402</v>
      </c>
      <c r="AM218" s="30">
        <f>IFERROR(__xludf.DUMMYFUNCTION("""COMPUTED_VALUE"""),0.7988357584123642)</f>
        <v>0.7988357584</v>
      </c>
      <c r="AN218" s="30">
        <f>IFERROR(__xludf.DUMMYFUNCTION("""COMPUTED_VALUE"""),1.1246819801446142)</f>
        <v>1.12468198</v>
      </c>
      <c r="AO218" s="30">
        <f>IFERROR(__xludf.DUMMYFUNCTION("""COMPUTED_VALUE"""),1.1810121258986919)</f>
        <v>1.181012126</v>
      </c>
      <c r="AP218" s="30">
        <f>IFERROR(__xludf.DUMMYFUNCTION("""COMPUTED_VALUE"""),1.5072650955210227)</f>
        <v>1.507265096</v>
      </c>
      <c r="AQ218" s="30">
        <f>IFERROR(__xludf.DUMMYFUNCTION("""COMPUTED_VALUE"""),1.044150305859468)</f>
        <v>1.044150306</v>
      </c>
      <c r="AR218" s="30">
        <f>IFERROR(__xludf.DUMMYFUNCTION("""COMPUTED_VALUE"""),1.3081162437686102)</f>
        <v>1.308116244</v>
      </c>
      <c r="AS218" s="30">
        <f>IFERROR(__xludf.DUMMYFUNCTION("""COMPUTED_VALUE"""),123.0)</f>
        <v>123</v>
      </c>
      <c r="AT218" s="30">
        <f>IFERROR(__xludf.DUMMYFUNCTION("""COMPUTED_VALUE"""),0.7128405099510488)</f>
        <v>0.71284051</v>
      </c>
      <c r="AU218" s="30">
        <f>IFERROR(__xludf.DUMMYFUNCTION("""COMPUTED_VALUE"""),3.6068863470636567)</f>
        <v>3.606886347</v>
      </c>
      <c r="AV218" s="32">
        <f>IFERROR(__xludf.DUMMYFUNCTION("""COMPUTED_VALUE"""),84.89647730108169)</f>
        <v>84.8964773</v>
      </c>
      <c r="AW218" s="32">
        <f>IFERROR(__xludf.DUMMYFUNCTION("""COMPUTED_VALUE"""),12.288263125074089)</f>
        <v>12.28826313</v>
      </c>
      <c r="AX218" s="32">
        <f>IFERROR(__xludf.DUMMYFUNCTION("""COMPUTED_VALUE"""),83.33826813608975)</f>
        <v>83.33826814</v>
      </c>
      <c r="AY218" s="32">
        <f>IFERROR(__xludf.DUMMYFUNCTION("""COMPUTED_VALUE"""),10.967455757406768)</f>
        <v>10.96745576</v>
      </c>
      <c r="AZ218" s="30">
        <f>IFERROR(__xludf.DUMMYFUNCTION("""COMPUTED_VALUE"""),1.3208073676673209)</f>
        <v>1.320807368</v>
      </c>
      <c r="BA218" s="30">
        <f>IFERROR(__xludf.DUMMYFUNCTION("""COMPUTED_VALUE"""),800.0)</f>
        <v>800</v>
      </c>
    </row>
    <row r="219">
      <c r="A219" s="30" t="str">
        <f>IFERROR(__xludf.DUMMYFUNCTION("""COMPUTED_VALUE"""),"Elite")</f>
        <v>Elite</v>
      </c>
      <c r="B219" s="30" t="str">
        <f>IFERROR(__xludf.DUMMYFUNCTION("""COMPUTED_VALUE"""),"RSC007382")</f>
        <v>RSC007382</v>
      </c>
      <c r="C219" s="30" t="str">
        <f>IFERROR(__xludf.DUMMYFUNCTION("""COMPUTED_VALUE"""),"takeeover")</f>
        <v>takeeover</v>
      </c>
      <c r="D219" s="30" t="str">
        <f>IFERROR(__xludf.DUMMYFUNCTION("""COMPUTED_VALUE"""),"Afterburners")</f>
        <v>Afterburners</v>
      </c>
      <c r="E219" s="30">
        <f>IFERROR(__xludf.DUMMYFUNCTION("""COMPUTED_VALUE"""),48.0)</f>
        <v>48</v>
      </c>
      <c r="F219" s="30">
        <f>IFERROR(__xludf.DUMMYFUNCTION("""COMPUTED_VALUE"""),28.0)</f>
        <v>28</v>
      </c>
      <c r="G219" s="30">
        <f>IFERROR(__xludf.DUMMYFUNCTION("""COMPUTED_VALUE"""),20.0)</f>
        <v>20</v>
      </c>
      <c r="H219" s="42">
        <f>IFERROR(__xludf.DUMMYFUNCTION("""COMPUTED_VALUE"""),0.5833333333333334)</f>
        <v>0.5833333333</v>
      </c>
      <c r="I219" s="42">
        <f>IFERROR(__xludf.DUMMYFUNCTION("""COMPUTED_VALUE"""),0.2589928057553957)</f>
        <v>0.2589928058</v>
      </c>
      <c r="J219" s="30">
        <f>IFERROR(__xludf.DUMMYFUNCTION("""COMPUTED_VALUE"""),411.7083333333333)</f>
        <v>411.7083333</v>
      </c>
      <c r="K219" s="30">
        <f>IFERROR(__xludf.DUMMYFUNCTION("""COMPUTED_VALUE"""),0.75)</f>
        <v>0.75</v>
      </c>
      <c r="L219" s="30">
        <f>IFERROR(__xludf.DUMMYFUNCTION("""COMPUTED_VALUE"""),0.9375)</f>
        <v>0.9375</v>
      </c>
      <c r="M219" s="30">
        <f>IFERROR(__xludf.DUMMYFUNCTION("""COMPUTED_VALUE"""),1.7708333333333333)</f>
        <v>1.770833333</v>
      </c>
      <c r="N219" s="30">
        <f>IFERROR(__xludf.DUMMYFUNCTION("""COMPUTED_VALUE"""),2.8958333333333335)</f>
        <v>2.895833333</v>
      </c>
      <c r="O219" s="30">
        <f>IFERROR(__xludf.DUMMYFUNCTION("""COMPUTED_VALUE"""),358.77777777777766)</f>
        <v>358.7777778</v>
      </c>
      <c r="P219" s="30">
        <f>IFERROR(__xludf.DUMMYFUNCTION("""COMPUTED_VALUE"""),0.7291666666666666)</f>
        <v>0.7291666667</v>
      </c>
      <c r="Q219" s="30">
        <f>IFERROR(__xludf.DUMMYFUNCTION("""COMPUTED_VALUE"""),0.5277777777777778)</f>
        <v>0.5277777778</v>
      </c>
      <c r="R219" s="30">
        <f>IFERROR(__xludf.DUMMYFUNCTION("""COMPUTED_VALUE"""),1.5972222222222225)</f>
        <v>1.597222222</v>
      </c>
      <c r="S219" s="30">
        <f>IFERROR(__xludf.DUMMYFUNCTION("""COMPUTED_VALUE"""),2.5000000000000004)</f>
        <v>2.5</v>
      </c>
      <c r="T219" s="30">
        <f>IFERROR(__xludf.DUMMYFUNCTION("""COMPUTED_VALUE"""),357.3541955190107)</f>
        <v>357.3541955</v>
      </c>
      <c r="U219" s="30">
        <f>IFERROR(__xludf.DUMMYFUNCTION("""COMPUTED_VALUE"""),0.7649948953431198)</f>
        <v>0.7649948953</v>
      </c>
      <c r="V219" s="30">
        <f>IFERROR(__xludf.DUMMYFUNCTION("""COMPUTED_VALUE"""),0.5671636293459748)</f>
        <v>0.5671636293</v>
      </c>
      <c r="W219" s="30">
        <f>IFERROR(__xludf.DUMMYFUNCTION("""COMPUTED_VALUE"""),1.4477307557775758)</f>
        <v>1.447730756</v>
      </c>
      <c r="X219" s="30">
        <f>IFERROR(__xludf.DUMMYFUNCTION("""COMPUTED_VALUE"""),2.5625716291990908)</f>
        <v>2.562571629</v>
      </c>
      <c r="Y219" s="30">
        <f>IFERROR(__xludf.DUMMYFUNCTION("""COMPUTED_VALUE"""),370.12343903156665)</f>
        <v>370.123439</v>
      </c>
      <c r="Z219" s="30">
        <f>IFERROR(__xludf.DUMMYFUNCTION("""COMPUTED_VALUE"""),0.8525664723919281)</f>
        <v>0.8525664724</v>
      </c>
      <c r="AA219" s="30">
        <f>IFERROR(__xludf.DUMMYFUNCTION("""COMPUTED_VALUE"""),0.6466378723098416)</f>
        <v>0.6466378723</v>
      </c>
      <c r="AB219" s="30">
        <f>IFERROR(__xludf.DUMMYFUNCTION("""COMPUTED_VALUE"""),1.3774224711399166)</f>
        <v>1.377422471</v>
      </c>
      <c r="AC219" s="30">
        <f>IFERROR(__xludf.DUMMYFUNCTION("""COMPUTED_VALUE"""),2.76781728934535)</f>
        <v>2.767817289</v>
      </c>
      <c r="AD219" s="30">
        <f>IFERROR(__xludf.DUMMYFUNCTION("""COMPUTED_VALUE"""),1.1123541227504374)</f>
        <v>1.112354123</v>
      </c>
      <c r="AE219" s="30">
        <f>IFERROR(__xludf.DUMMYFUNCTION("""COMPUTED_VALUE"""),0.8796968028731279)</f>
        <v>0.8796968029</v>
      </c>
      <c r="AF219" s="30">
        <f>IFERROR(__xludf.DUMMYFUNCTION("""COMPUTED_VALUE"""),1.449806824105702)</f>
        <v>1.449806824</v>
      </c>
      <c r="AG219" s="30">
        <f>IFERROR(__xludf.DUMMYFUNCTION("""COMPUTED_VALUE"""),1.2856137971002033)</f>
        <v>1.285613797</v>
      </c>
      <c r="AH219" s="30">
        <f>IFERROR(__xludf.DUMMYFUNCTION("""COMPUTED_VALUE"""),1.0462516237906232)</f>
        <v>1.046251624</v>
      </c>
      <c r="AI219" s="30">
        <f>IFERROR(__xludf.DUMMYFUNCTION("""COMPUTED_VALUE"""),1.0039836729961975)</f>
        <v>1.003983673</v>
      </c>
      <c r="AJ219" s="30">
        <f>IFERROR(__xludf.DUMMYFUNCTION("""COMPUTED_VALUE"""),0.9531654016326693)</f>
        <v>0.9531654016</v>
      </c>
      <c r="AK219" s="30">
        <f>IFERROR(__xludf.DUMMYFUNCTION("""COMPUTED_VALUE"""),0.9305564575542075)</f>
        <v>0.9305564576</v>
      </c>
      <c r="AL219" s="30">
        <f>IFERROR(__xludf.DUMMYFUNCTION("""COMPUTED_VALUE"""),1.1032591632443112)</f>
        <v>1.103259163</v>
      </c>
      <c r="AM219" s="30">
        <f>IFERROR(__xludf.DUMMYFUNCTION("""COMPUTED_VALUE"""),0.9755824857786916)</f>
        <v>0.9755824858</v>
      </c>
      <c r="AN219" s="30">
        <f>IFERROR(__xludf.DUMMYFUNCTION("""COMPUTED_VALUE"""),1.174329730093837)</f>
        <v>1.17432973</v>
      </c>
      <c r="AO219" s="30">
        <f>IFERROR(__xludf.DUMMYFUNCTION("""COMPUTED_VALUE"""),1.0579900294509115)</f>
        <v>1.057990029</v>
      </c>
      <c r="AP219" s="30">
        <f>IFERROR(__xludf.DUMMYFUNCTION("""COMPUTED_VALUE"""),1.6422060584646279)</f>
        <v>1.642206058</v>
      </c>
      <c r="AQ219" s="30">
        <f>IFERROR(__xludf.DUMMYFUNCTION("""COMPUTED_VALUE"""),1.2423077369519386)</f>
        <v>1.242307737</v>
      </c>
      <c r="AR219" s="30">
        <f>IFERROR(__xludf.DUMMYFUNCTION("""COMPUTED_VALUE"""),1.1552320905740223)</f>
        <v>1.155232091</v>
      </c>
      <c r="AS219" s="30">
        <f>IFERROR(__xludf.DUMMYFUNCTION("""COMPUTED_VALUE"""),136.0)</f>
        <v>136</v>
      </c>
      <c r="AT219" s="30">
        <f>IFERROR(__xludf.DUMMYFUNCTION("""COMPUTED_VALUE"""),0.6013430846598279)</f>
        <v>0.6013430847</v>
      </c>
      <c r="AU219" s="30">
        <f>IFERROR(__xludf.DUMMYFUNCTION("""COMPUTED_VALUE"""),3.179402224065811)</f>
        <v>3.179402224</v>
      </c>
      <c r="AV219" s="32">
        <f>IFERROR(__xludf.DUMMYFUNCTION("""COMPUTED_VALUE"""),72.60023294123198)</f>
        <v>72.60023294</v>
      </c>
      <c r="AW219" s="32">
        <f>IFERROR(__xludf.DUMMYFUNCTION("""COMPUTED_VALUE"""),5.46462330255175)</f>
        <v>5.464623303</v>
      </c>
      <c r="AX219" s="32">
        <f>IFERROR(__xludf.DUMMYFUNCTION("""COMPUTED_VALUE"""),67.57083700635685)</f>
        <v>67.57083701</v>
      </c>
      <c r="AY219" s="32">
        <f>IFERROR(__xludf.DUMMYFUNCTION("""COMPUTED_VALUE"""),4.14800470864396)</f>
        <v>4.148004709</v>
      </c>
      <c r="AZ219" s="30">
        <f>IFERROR(__xludf.DUMMYFUNCTION("""COMPUTED_VALUE"""),1.3166185939077906)</f>
        <v>1.316618594</v>
      </c>
      <c r="BA219" s="30">
        <f>IFERROR(__xludf.DUMMYFUNCTION("""COMPUTED_VALUE"""),800.0)</f>
        <v>800</v>
      </c>
    </row>
    <row r="220">
      <c r="A220" s="30" t="str">
        <f>IFERROR(__xludf.DUMMYFUNCTION("""COMPUTED_VALUE"""),"Elite")</f>
        <v>Elite</v>
      </c>
      <c r="B220" s="30" t="str">
        <f>IFERROR(__xludf.DUMMYFUNCTION("""COMPUTED_VALUE"""),"RSC004863")</f>
        <v>RSC004863</v>
      </c>
      <c r="C220" s="30" t="str">
        <f>IFERROR(__xludf.DUMMYFUNCTION("""COMPUTED_VALUE"""),"wicked")</f>
        <v>wicked</v>
      </c>
      <c r="D220" s="30" t="str">
        <f>IFERROR(__xludf.DUMMYFUNCTION("""COMPUTED_VALUE"""),"Forge Defenders")</f>
        <v>Forge Defenders</v>
      </c>
      <c r="E220" s="30">
        <f>IFERROR(__xludf.DUMMYFUNCTION("""COMPUTED_VALUE"""),40.0)</f>
        <v>40</v>
      </c>
      <c r="F220" s="30">
        <f>IFERROR(__xludf.DUMMYFUNCTION("""COMPUTED_VALUE"""),24.0)</f>
        <v>24</v>
      </c>
      <c r="G220" s="30">
        <f>IFERROR(__xludf.DUMMYFUNCTION("""COMPUTED_VALUE"""),16.0)</f>
        <v>16</v>
      </c>
      <c r="H220" s="42">
        <f>IFERROR(__xludf.DUMMYFUNCTION("""COMPUTED_VALUE"""),0.6)</f>
        <v>0.6</v>
      </c>
      <c r="I220" s="42">
        <f>IFERROR(__xludf.DUMMYFUNCTION("""COMPUTED_VALUE"""),0.22307692307692306)</f>
        <v>0.2230769231</v>
      </c>
      <c r="J220" s="30">
        <f>IFERROR(__xludf.DUMMYFUNCTION("""COMPUTED_VALUE"""),347.0)</f>
        <v>347</v>
      </c>
      <c r="K220" s="30">
        <f>IFERROR(__xludf.DUMMYFUNCTION("""COMPUTED_VALUE"""),0.725)</f>
        <v>0.725</v>
      </c>
      <c r="L220" s="30">
        <f>IFERROR(__xludf.DUMMYFUNCTION("""COMPUTED_VALUE"""),0.525)</f>
        <v>0.525</v>
      </c>
      <c r="M220" s="30">
        <f>IFERROR(__xludf.DUMMYFUNCTION("""COMPUTED_VALUE"""),1.275)</f>
        <v>1.275</v>
      </c>
      <c r="N220" s="30">
        <f>IFERROR(__xludf.DUMMYFUNCTION("""COMPUTED_VALUE"""),3.25)</f>
        <v>3.25</v>
      </c>
      <c r="O220" s="30">
        <f>IFERROR(__xludf.DUMMYFUNCTION("""COMPUTED_VALUE"""),333.1333333333334)</f>
        <v>333.1333333</v>
      </c>
      <c r="P220" s="30">
        <f>IFERROR(__xludf.DUMMYFUNCTION("""COMPUTED_VALUE"""),0.5833333333333333)</f>
        <v>0.5833333333</v>
      </c>
      <c r="Q220" s="30">
        <f>IFERROR(__xludf.DUMMYFUNCTION("""COMPUTED_VALUE"""),0.45000000000000007)</f>
        <v>0.45</v>
      </c>
      <c r="R220" s="30">
        <f>IFERROR(__xludf.DUMMYFUNCTION("""COMPUTED_VALUE"""),1.491666666666667)</f>
        <v>1.491666667</v>
      </c>
      <c r="S220" s="30">
        <f>IFERROR(__xludf.DUMMYFUNCTION("""COMPUTED_VALUE"""),2.3583333333333334)</f>
        <v>2.358333333</v>
      </c>
      <c r="T220" s="30">
        <f>IFERROR(__xludf.DUMMYFUNCTION("""COMPUTED_VALUE"""),365.1556246401242)</f>
        <v>365.1556246</v>
      </c>
      <c r="U220" s="30">
        <f>IFERROR(__xludf.DUMMYFUNCTION("""COMPUTED_VALUE"""),0.8131050761288069)</f>
        <v>0.8131050761</v>
      </c>
      <c r="V220" s="30">
        <f>IFERROR(__xludf.DUMMYFUNCTION("""COMPUTED_VALUE"""),0.5727982445716321)</f>
        <v>0.5727982446</v>
      </c>
      <c r="W220" s="30">
        <f>IFERROR(__xludf.DUMMYFUNCTION("""COMPUTED_VALUE"""),1.4270933904119152)</f>
        <v>1.42709339</v>
      </c>
      <c r="X220" s="30">
        <f>IFERROR(__xludf.DUMMYFUNCTION("""COMPUTED_VALUE"""),2.712165496043201)</f>
        <v>2.712165496</v>
      </c>
      <c r="Y220" s="30">
        <f>IFERROR(__xludf.DUMMYFUNCTION("""COMPUTED_VALUE"""),362.86796934896483)</f>
        <v>362.8679693</v>
      </c>
      <c r="Z220" s="30">
        <f>IFERROR(__xludf.DUMMYFUNCTION("""COMPUTED_VALUE"""),0.7799587069421499)</f>
        <v>0.7799587069</v>
      </c>
      <c r="AA220" s="30">
        <f>IFERROR(__xludf.DUMMYFUNCTION("""COMPUTED_VALUE"""),0.5820176181237106)</f>
        <v>0.5820176181</v>
      </c>
      <c r="AB220" s="30">
        <f>IFERROR(__xludf.DUMMYFUNCTION("""COMPUTED_VALUE"""),1.450763119902463)</f>
        <v>1.45076312</v>
      </c>
      <c r="AC220" s="30">
        <f>IFERROR(__xludf.DUMMYFUNCTION("""COMPUTED_VALUE"""),2.6407881856614965)</f>
        <v>2.640788186</v>
      </c>
      <c r="AD220" s="30">
        <f>IFERROR(__xludf.DUMMYFUNCTION("""COMPUTED_VALUE"""),0.9562706805523944)</f>
        <v>0.9562706806</v>
      </c>
      <c r="AE220" s="30">
        <f>IFERROR(__xludf.DUMMYFUNCTION("""COMPUTED_VALUE"""),0.9295363889742099)</f>
        <v>0.929536389</v>
      </c>
      <c r="AF220" s="30">
        <f>IFERROR(__xludf.DUMMYFUNCTION("""COMPUTED_VALUE"""),0.9020345495596472)</f>
        <v>0.9020345496</v>
      </c>
      <c r="AG220" s="30">
        <f>IFERROR(__xludf.DUMMYFUNCTION("""COMPUTED_VALUE"""),0.8788478163724758)</f>
        <v>0.8788478164</v>
      </c>
      <c r="AH220" s="30">
        <f>IFERROR(__xludf.DUMMYFUNCTION("""COMPUTED_VALUE"""),1.230693176244236)</f>
        <v>1.230693176</v>
      </c>
      <c r="AI220" s="30">
        <f>IFERROR(__xludf.DUMMYFUNCTION("""COMPUTED_VALUE"""),0.9123050854321357)</f>
        <v>0.9123050854</v>
      </c>
      <c r="AJ220" s="30">
        <f>IFERROR(__xludf.DUMMYFUNCTION("""COMPUTED_VALUE"""),0.7174144528903732)</f>
        <v>0.7174144529</v>
      </c>
      <c r="AK220" s="30">
        <f>IFERROR(__xludf.DUMMYFUNCTION("""COMPUTED_VALUE"""),0.7856169327762748)</f>
        <v>0.7856169328</v>
      </c>
      <c r="AL220" s="30">
        <f>IFERROR(__xludf.DUMMYFUNCTION("""COMPUTED_VALUE"""),1.0452481082798046)</f>
        <v>1.045248108</v>
      </c>
      <c r="AM220" s="30">
        <f>IFERROR(__xludf.DUMMYFUNCTION("""COMPUTED_VALUE"""),0.8695388746645158)</f>
        <v>0.8695388747</v>
      </c>
      <c r="AN220" s="30">
        <f>IFERROR(__xludf.DUMMYFUNCTION("""COMPUTED_VALUE"""),0.9897599425383539)</f>
        <v>0.9897599425</v>
      </c>
      <c r="AO220" s="30">
        <f>IFERROR(__xludf.DUMMYFUNCTION("""COMPUTED_VALUE"""),1.022723695135881)</f>
        <v>1.022723695</v>
      </c>
      <c r="AP220" s="30">
        <f>IFERROR(__xludf.DUMMYFUNCTION("""COMPUTED_VALUE"""),0.9196353927401917)</f>
        <v>0.9196353927</v>
      </c>
      <c r="AQ220" s="30">
        <f>IFERROR(__xludf.DUMMYFUNCTION("""COMPUTED_VALUE"""),0.8944615706053958)</f>
        <v>0.8944615706</v>
      </c>
      <c r="AR220" s="30">
        <f>IFERROR(__xludf.DUMMYFUNCTION("""COMPUTED_VALUE"""),1.2965194685578956)</f>
        <v>1.296519469</v>
      </c>
      <c r="AS220" s="30">
        <f>IFERROR(__xludf.DUMMYFUNCTION("""COMPUTED_VALUE"""),94.0)</f>
        <v>94</v>
      </c>
      <c r="AT220" s="30">
        <f>IFERROR(__xludf.DUMMYFUNCTION("""COMPUTED_VALUE"""),0.6087290637513761)</f>
        <v>0.6087290638</v>
      </c>
      <c r="AU220" s="30">
        <f>IFERROR(__xludf.DUMMYFUNCTION("""COMPUTED_VALUE"""),2.9409793032280365)</f>
        <v>2.940979303</v>
      </c>
      <c r="AV220" s="32">
        <f>IFERROR(__xludf.DUMMYFUNCTION("""COMPUTED_VALUE"""),65.74218526673354)</f>
        <v>65.74218527</v>
      </c>
      <c r="AW220" s="32">
        <f>IFERROR(__xludf.DUMMYFUNCTION("""COMPUTED_VALUE"""),3.7814394482383396)</f>
        <v>3.781439448</v>
      </c>
      <c r="AX220" s="32">
        <f>IFERROR(__xludf.DUMMYFUNCTION("""COMPUTED_VALUE"""),56.090529404218024)</f>
        <v>56.0905294</v>
      </c>
      <c r="AY220" s="32">
        <f>IFERROR(__xludf.DUMMYFUNCTION("""COMPUTED_VALUE"""),2.476705881048781)</f>
        <v>2.476705881</v>
      </c>
      <c r="AZ220" s="30">
        <f>IFERROR(__xludf.DUMMYFUNCTION("""COMPUTED_VALUE"""),1.3047335671895586)</f>
        <v>1.304733567</v>
      </c>
      <c r="BA220" s="30">
        <f>IFERROR(__xludf.DUMMYFUNCTION("""COMPUTED_VALUE"""),800.0)</f>
        <v>800</v>
      </c>
    </row>
    <row r="221">
      <c r="A221" s="30" t="str">
        <f>IFERROR(__xludf.DUMMYFUNCTION("""COMPUTED_VALUE"""),"Elite")</f>
        <v>Elite</v>
      </c>
      <c r="B221" s="30" t="str">
        <f>IFERROR(__xludf.DUMMYFUNCTION("""COMPUTED_VALUE"""),"RSC005709")</f>
        <v>RSC005709</v>
      </c>
      <c r="C221" s="30" t="str">
        <f>IFERROR(__xludf.DUMMYFUNCTION("""COMPUTED_VALUE"""),"ZavaRL")</f>
        <v>ZavaRL</v>
      </c>
      <c r="D221" s="30" t="str">
        <f>IFERROR(__xludf.DUMMYFUNCTION("""COMPUTED_VALUE"""),"Orochi")</f>
        <v>Orochi</v>
      </c>
      <c r="E221" s="30">
        <f>IFERROR(__xludf.DUMMYFUNCTION("""COMPUTED_VALUE"""),21.0)</f>
        <v>21</v>
      </c>
      <c r="F221" s="30">
        <f>IFERROR(__xludf.DUMMYFUNCTION("""COMPUTED_VALUE"""),10.0)</f>
        <v>10</v>
      </c>
      <c r="G221" s="30">
        <f>IFERROR(__xludf.DUMMYFUNCTION("""COMPUTED_VALUE"""),11.0)</f>
        <v>11</v>
      </c>
      <c r="H221" s="42">
        <f>IFERROR(__xludf.DUMMYFUNCTION("""COMPUTED_VALUE"""),0.47619047619047616)</f>
        <v>0.4761904762</v>
      </c>
      <c r="I221" s="42">
        <f>IFERROR(__xludf.DUMMYFUNCTION("""COMPUTED_VALUE"""),0.14285714285714285)</f>
        <v>0.1428571429</v>
      </c>
      <c r="J221" s="30">
        <f>IFERROR(__xludf.DUMMYFUNCTION("""COMPUTED_VALUE"""),284.85714285714283)</f>
        <v>284.8571429</v>
      </c>
      <c r="K221" s="30">
        <f>IFERROR(__xludf.DUMMYFUNCTION("""COMPUTED_VALUE"""),0.2857142857142857)</f>
        <v>0.2857142857</v>
      </c>
      <c r="L221" s="30">
        <f>IFERROR(__xludf.DUMMYFUNCTION("""COMPUTED_VALUE"""),0.8095238095238095)</f>
        <v>0.8095238095</v>
      </c>
      <c r="M221" s="30">
        <f>IFERROR(__xludf.DUMMYFUNCTION("""COMPUTED_VALUE"""),1.1428571428571428)</f>
        <v>1.142857143</v>
      </c>
      <c r="N221" s="30">
        <f>IFERROR(__xludf.DUMMYFUNCTION("""COMPUTED_VALUE"""),2.0)</f>
        <v>2</v>
      </c>
      <c r="O221" s="30">
        <f>IFERROR(__xludf.DUMMYFUNCTION("""COMPUTED_VALUE"""),344.9682539682539)</f>
        <v>344.968254</v>
      </c>
      <c r="P221" s="30">
        <f>IFERROR(__xludf.DUMMYFUNCTION("""COMPUTED_VALUE"""),0.6825396825396826)</f>
        <v>0.6825396825</v>
      </c>
      <c r="Q221" s="30">
        <f>IFERROR(__xludf.DUMMYFUNCTION("""COMPUTED_VALUE"""),0.4920634920634921)</f>
        <v>0.4920634921</v>
      </c>
      <c r="R221" s="30">
        <f>IFERROR(__xludf.DUMMYFUNCTION("""COMPUTED_VALUE"""),1.3650793650793651)</f>
        <v>1.365079365</v>
      </c>
      <c r="S221" s="30">
        <f>IFERROR(__xludf.DUMMYFUNCTION("""COMPUTED_VALUE"""),2.4444444444444446)</f>
        <v>2.444444444</v>
      </c>
      <c r="T221" s="30">
        <f>IFERROR(__xludf.DUMMYFUNCTION("""COMPUTED_VALUE"""),349.5015246903268)</f>
        <v>349.5015247</v>
      </c>
      <c r="U221" s="30">
        <f>IFERROR(__xludf.DUMMYFUNCTION("""COMPUTED_VALUE"""),0.7413616395134641)</f>
        <v>0.7413616395</v>
      </c>
      <c r="V221" s="30">
        <f>IFERROR(__xludf.DUMMYFUNCTION("""COMPUTED_VALUE"""),0.5389506693061239)</f>
        <v>0.5389506693</v>
      </c>
      <c r="W221" s="30">
        <f>IFERROR(__xludf.DUMMYFUNCTION("""COMPUTED_VALUE"""),1.3352108004216152)</f>
        <v>1.3352108</v>
      </c>
      <c r="X221" s="30">
        <f>IFERROR(__xludf.DUMMYFUNCTION("""COMPUTED_VALUE"""),2.618612721881299)</f>
        <v>2.618612722</v>
      </c>
      <c r="Y221" s="30">
        <f>IFERROR(__xludf.DUMMYFUNCTION("""COMPUTED_VALUE"""),361.2353061522644)</f>
        <v>361.2353062</v>
      </c>
      <c r="Z221" s="30">
        <f>IFERROR(__xludf.DUMMYFUNCTION("""COMPUTED_VALUE"""),0.7779357972904327)</f>
        <v>0.7779357973</v>
      </c>
      <c r="AA221" s="30">
        <f>IFERROR(__xludf.DUMMYFUNCTION("""COMPUTED_VALUE"""),0.5828857270300203)</f>
        <v>0.582885727</v>
      </c>
      <c r="AB221" s="30">
        <f>IFERROR(__xludf.DUMMYFUNCTION("""COMPUTED_VALUE"""),1.4205396191901205)</f>
        <v>1.420539619</v>
      </c>
      <c r="AC221" s="30">
        <f>IFERROR(__xludf.DUMMYFUNCTION("""COMPUTED_VALUE"""),2.619469379130154)</f>
        <v>2.619469379</v>
      </c>
      <c r="AD221" s="30">
        <f>IFERROR(__xludf.DUMMYFUNCTION("""COMPUTED_VALUE"""),0.7885639581892713)</f>
        <v>0.7885639582</v>
      </c>
      <c r="AE221" s="30">
        <f>IFERROR(__xludf.DUMMYFUNCTION("""COMPUTED_VALUE"""),0.36727232081289324)</f>
        <v>0.3672723208</v>
      </c>
      <c r="AF221" s="30">
        <f>IFERROR(__xludf.DUMMYFUNCTION("""COMPUTED_VALUE"""),1.3888207790720475)</f>
        <v>1.388820779</v>
      </c>
      <c r="AG221" s="30">
        <f>IFERROR(__xludf.DUMMYFUNCTION("""COMPUTED_VALUE"""),0.8045232441378225)</f>
        <v>0.8045232441</v>
      </c>
      <c r="AH221" s="30">
        <f>IFERROR(__xludf.DUMMYFUNCTION("""COMPUTED_VALUE"""),0.7635134107443314)</f>
        <v>0.7635134107</v>
      </c>
      <c r="AI221" s="30">
        <f>IFERROR(__xludf.DUMMYFUNCTION("""COMPUTED_VALUE"""),0.9870293249046923)</f>
        <v>0.9870293249</v>
      </c>
      <c r="AJ221" s="30">
        <f>IFERROR(__xludf.DUMMYFUNCTION("""COMPUTED_VALUE"""),0.92065686456021)</f>
        <v>0.9206568646</v>
      </c>
      <c r="AK221" s="30">
        <f>IFERROR(__xludf.DUMMYFUNCTION("""COMPUTED_VALUE"""),0.9130028406811387)</f>
        <v>0.9130028407</v>
      </c>
      <c r="AL221" s="30">
        <f>IFERROR(__xludf.DUMMYFUNCTION("""COMPUTED_VALUE"""),1.0223699243956972)</f>
        <v>1.022369924</v>
      </c>
      <c r="AM221" s="30">
        <f>IFERROR(__xludf.DUMMYFUNCTION("""COMPUTED_VALUE"""),0.9334883406081805)</f>
        <v>0.9334883406</v>
      </c>
      <c r="AN221" s="30">
        <f>IFERROR(__xludf.DUMMYFUNCTION("""COMPUTED_VALUE"""),0.812507750276442)</f>
        <v>0.8125077503</v>
      </c>
      <c r="AO221" s="30">
        <f>IFERROR(__xludf.DUMMYFUNCTION("""COMPUTED_VALUE"""),0.40304382074320433)</f>
        <v>0.4030438207</v>
      </c>
      <c r="AP221" s="30">
        <f>IFERROR(__xludf.DUMMYFUNCTION("""COMPUTED_VALUE"""),1.41803189810279)</f>
        <v>1.418031898</v>
      </c>
      <c r="AQ221" s="30">
        <f>IFERROR(__xludf.DUMMYFUNCTION("""COMPUTED_VALUE"""),0.801758270570663)</f>
        <v>0.8017582706</v>
      </c>
      <c r="AR221" s="30">
        <f>IFERROR(__xludf.DUMMYFUNCTION("""COMPUTED_VALUE"""),0.7978581344971665)</f>
        <v>0.7978581345</v>
      </c>
      <c r="AS221" s="30">
        <f>IFERROR(__xludf.DUMMYFUNCTION("""COMPUTED_VALUE"""),41.0)</f>
        <v>41</v>
      </c>
      <c r="AT221" s="30">
        <f>IFERROR(__xludf.DUMMYFUNCTION("""COMPUTED_VALUE"""),0.4822821043999863)</f>
        <v>0.4822821044</v>
      </c>
      <c r="AU221" s="30">
        <f>IFERROR(__xludf.DUMMYFUNCTION("""COMPUTED_VALUE"""),1.7955850866738001)</f>
        <v>1.795585087</v>
      </c>
      <c r="AV221" s="32">
        <f>IFERROR(__xludf.DUMMYFUNCTION("""COMPUTED_VALUE"""),32.79582207471278)</f>
        <v>32.79582207</v>
      </c>
      <c r="AW221" s="32">
        <f>IFERROR(__xludf.DUMMYFUNCTION("""COMPUTED_VALUE"""),-4.0704385421726625)</f>
        <v>-4.070438542</v>
      </c>
      <c r="AX221" s="32">
        <f>IFERROR(__xludf.DUMMYFUNCTION("""COMPUTED_VALUE"""),40.83911990122361)</f>
        <v>40.8391199</v>
      </c>
      <c r="AY221" s="32">
        <f>IFERROR(__xludf.DUMMYFUNCTION("""COMPUTED_VALUE"""),-2.800962139809221)</f>
        <v>-2.80096214</v>
      </c>
      <c r="AZ221" s="30">
        <f>IFERROR(__xludf.DUMMYFUNCTION("""COMPUTED_VALUE"""),1.2694764023634417)</f>
        <v>1.269476402</v>
      </c>
      <c r="BA221" s="30">
        <f>IFERROR(__xludf.DUMMYFUNCTION("""COMPUTED_VALUE"""),800.0)</f>
        <v>800</v>
      </c>
    </row>
    <row r="222">
      <c r="A222" s="30" t="str">
        <f>IFERROR(__xludf.DUMMYFUNCTION("""COMPUTED_VALUE"""),"Elite")</f>
        <v>Elite</v>
      </c>
      <c r="B222" s="30" t="str">
        <f>IFERROR(__xludf.DUMMYFUNCTION("""COMPUTED_VALUE"""),"RSC006197")</f>
        <v>RSC006197</v>
      </c>
      <c r="C222" s="30" t="str">
        <f>IFERROR(__xludf.DUMMYFUNCTION("""COMPUTED_VALUE"""),"Bullet")</f>
        <v>Bullet</v>
      </c>
      <c r="D222" s="30"/>
      <c r="E222" s="30">
        <f>IFERROR(__xludf.DUMMYFUNCTION("""COMPUTED_VALUE"""),11.0)</f>
        <v>11</v>
      </c>
      <c r="F222" s="30">
        <f>IFERROR(__xludf.DUMMYFUNCTION("""COMPUTED_VALUE"""),4.0)</f>
        <v>4</v>
      </c>
      <c r="G222" s="30">
        <f>IFERROR(__xludf.DUMMYFUNCTION("""COMPUTED_VALUE"""),7.0)</f>
        <v>7</v>
      </c>
      <c r="H222" s="42">
        <f>IFERROR(__xludf.DUMMYFUNCTION("""COMPUTED_VALUE"""),0.36363636363636365)</f>
        <v>0.3636363636</v>
      </c>
      <c r="I222" s="42">
        <f>IFERROR(__xludf.DUMMYFUNCTION("""COMPUTED_VALUE"""),0.2631578947368421)</f>
        <v>0.2631578947</v>
      </c>
      <c r="J222" s="30">
        <f>IFERROR(__xludf.DUMMYFUNCTION("""COMPUTED_VALUE"""),371.7142857142857)</f>
        <v>371.7142857</v>
      </c>
      <c r="K222" s="30">
        <f>IFERROR(__xludf.DUMMYFUNCTION("""COMPUTED_VALUE"""),0.7142857142857143)</f>
        <v>0.7142857143</v>
      </c>
      <c r="L222" s="30">
        <f>IFERROR(__xludf.DUMMYFUNCTION("""COMPUTED_VALUE"""),1.0)</f>
        <v>1</v>
      </c>
      <c r="M222" s="30">
        <f>IFERROR(__xludf.DUMMYFUNCTION("""COMPUTED_VALUE"""),1.2857142857142858)</f>
        <v>1.285714286</v>
      </c>
      <c r="N222" s="30">
        <f>IFERROR(__xludf.DUMMYFUNCTION("""COMPUTED_VALUE"""),2.7142857142857144)</f>
        <v>2.714285714</v>
      </c>
      <c r="O222" s="30">
        <f>IFERROR(__xludf.DUMMYFUNCTION("""COMPUTED_VALUE"""),393.047619047619)</f>
        <v>393.047619</v>
      </c>
      <c r="P222" s="30">
        <f>IFERROR(__xludf.DUMMYFUNCTION("""COMPUTED_VALUE"""),1.0)</f>
        <v>1</v>
      </c>
      <c r="Q222" s="30">
        <f>IFERROR(__xludf.DUMMYFUNCTION("""COMPUTED_VALUE"""),0.6666666666666666)</f>
        <v>0.6666666667</v>
      </c>
      <c r="R222" s="30">
        <f>IFERROR(__xludf.DUMMYFUNCTION("""COMPUTED_VALUE"""),1.2857142857142854)</f>
        <v>1.285714286</v>
      </c>
      <c r="S222" s="30">
        <f>IFERROR(__xludf.DUMMYFUNCTION("""COMPUTED_VALUE"""),2.9523809523809526)</f>
        <v>2.952380952</v>
      </c>
      <c r="T222" s="30">
        <f>IFERROR(__xludf.DUMMYFUNCTION("""COMPUTED_VALUE"""),365.8224690689612)</f>
        <v>365.8224691</v>
      </c>
      <c r="U222" s="30">
        <f>IFERROR(__xludf.DUMMYFUNCTION("""COMPUTED_VALUE"""),0.7913276958237433)</f>
        <v>0.7913276958</v>
      </c>
      <c r="V222" s="30">
        <f>IFERROR(__xludf.DUMMYFUNCTION("""COMPUTED_VALUE"""),0.5571799341562187)</f>
        <v>0.5571799342</v>
      </c>
      <c r="W222" s="30">
        <f>IFERROR(__xludf.DUMMYFUNCTION("""COMPUTED_VALUE"""),1.4261931757485116)</f>
        <v>1.426193176</v>
      </c>
      <c r="X222" s="30">
        <f>IFERROR(__xludf.DUMMYFUNCTION("""COMPUTED_VALUE"""),2.80656442914348)</f>
        <v>2.806564429</v>
      </c>
      <c r="Y222" s="30">
        <f>IFERROR(__xludf.DUMMYFUNCTION("""COMPUTED_VALUE"""),363.1482183764793)</f>
        <v>363.1482184</v>
      </c>
      <c r="Z222" s="30">
        <f>IFERROR(__xludf.DUMMYFUNCTION("""COMPUTED_VALUE"""),0.7619117140856271)</f>
        <v>0.7619117141</v>
      </c>
      <c r="AA222" s="30">
        <f>IFERROR(__xludf.DUMMYFUNCTION("""COMPUTED_VALUE"""),0.5678065507116892)</f>
        <v>0.5678065507</v>
      </c>
      <c r="AB222" s="30">
        <f>IFERROR(__xludf.DUMMYFUNCTION("""COMPUTED_VALUE"""),1.509789622536658)</f>
        <v>1.509789623</v>
      </c>
      <c r="AC222" s="30">
        <f>IFERROR(__xludf.DUMMYFUNCTION("""COMPUTED_VALUE"""),2.5803024368241765)</f>
        <v>2.580302437</v>
      </c>
      <c r="AD222" s="30">
        <f>IFERROR(__xludf.DUMMYFUNCTION("""COMPUTED_VALUE"""),1.0235883501676053)</f>
        <v>1.02358835</v>
      </c>
      <c r="AE222" s="30">
        <f>IFERROR(__xludf.DUMMYFUNCTION("""COMPUTED_VALUE"""),0.9374914456367573)</f>
        <v>0.9374914456</v>
      </c>
      <c r="AF222" s="30">
        <f>IFERROR(__xludf.DUMMYFUNCTION("""COMPUTED_VALUE"""),1.7611631967729136)</f>
        <v>1.761163197</v>
      </c>
      <c r="AG222" s="30">
        <f>IFERROR(__xludf.DUMMYFUNCTION("""COMPUTED_VALUE"""),0.851585059615197)</f>
        <v>0.8515850596</v>
      </c>
      <c r="AH222" s="30">
        <f>IFERROR(__xludf.DUMMYFUNCTION("""COMPUTED_VALUE"""),1.0519254160091573)</f>
        <v>1.051925416</v>
      </c>
      <c r="AI222" s="30">
        <f>IFERROR(__xludf.DUMMYFUNCTION("""COMPUTED_VALUE"""),1.074421754486397)</f>
        <v>1.074421754</v>
      </c>
      <c r="AJ222" s="30">
        <f>IFERROR(__xludf.DUMMYFUNCTION("""COMPUTED_VALUE"""),1.2636989773990361)</f>
        <v>1.263698977</v>
      </c>
      <c r="AK222" s="30">
        <f>IFERROR(__xludf.DUMMYFUNCTION("""COMPUTED_VALUE"""),1.196501571213709)</f>
        <v>1.196501571</v>
      </c>
      <c r="AL222" s="30">
        <f>IFERROR(__xludf.DUMMYFUNCTION("""COMPUTED_VALUE"""),0.901500797772014)</f>
        <v>0.9015007978</v>
      </c>
      <c r="AM222" s="30">
        <f>IFERROR(__xludf.DUMMYFUNCTION("""COMPUTED_VALUE"""),1.051955523173923)</f>
        <v>1.051955523</v>
      </c>
      <c r="AN222" s="30">
        <f>IFERROR(__xludf.DUMMYFUNCTION("""COMPUTED_VALUE"""),1.0602533431390682)</f>
        <v>1.060253343</v>
      </c>
      <c r="AO222" s="30">
        <f>IFERROR(__xludf.DUMMYFUNCTION("""COMPUTED_VALUE"""),1.0076095518580108)</f>
        <v>1.007609552</v>
      </c>
      <c r="AP222" s="30">
        <f>IFERROR(__xludf.DUMMYFUNCTION("""COMPUTED_VALUE"""),1.7516864623622699)</f>
        <v>1.751686462</v>
      </c>
      <c r="AQ222" s="30">
        <f>IFERROR(__xludf.DUMMYFUNCTION("""COMPUTED_VALUE"""),0.9019780543919959)</f>
        <v>0.9019780544</v>
      </c>
      <c r="AR222" s="30">
        <f>IFERROR(__xludf.DUMMYFUNCTION("""COMPUTED_VALUE"""),1.0828074682461546)</f>
        <v>1.082807468</v>
      </c>
      <c r="AS222" s="30">
        <f>IFERROR(__xludf.DUMMYFUNCTION("""COMPUTED_VALUE"""),14.0)</f>
        <v>14</v>
      </c>
      <c r="AT222" s="30">
        <f>IFERROR(__xludf.DUMMYFUNCTION("""COMPUTED_VALUE"""),0.2140249782377047)</f>
        <v>0.2140249782</v>
      </c>
      <c r="AU222" s="30">
        <f>IFERROR(__xludf.DUMMYFUNCTION("""COMPUTED_VALUE"""),2.9528226438072354)</f>
        <v>2.952822644</v>
      </c>
      <c r="AV222" s="32">
        <f>IFERROR(__xludf.DUMMYFUNCTION("""COMPUTED_VALUE"""),66.08284963755858)</f>
        <v>66.08284964</v>
      </c>
      <c r="AW222" s="32">
        <f>IFERROR(__xludf.DUMMYFUNCTION("""COMPUTED_VALUE"""),3.8460030884155136)</f>
        <v>3.846003088</v>
      </c>
      <c r="AX222" s="32">
        <f>IFERROR(__xludf.DUMMYFUNCTION("""COMPUTED_VALUE"""),57.355195786104716)</f>
        <v>57.35519579</v>
      </c>
      <c r="AY222" s="32">
        <f>IFERROR(__xludf.DUMMYFUNCTION("""COMPUTED_VALUE"""),2.602136807799899)</f>
        <v>2.602136808</v>
      </c>
      <c r="AZ222" s="30">
        <f>IFERROR(__xludf.DUMMYFUNCTION("""COMPUTED_VALUE"""),1.2438662806156144)</f>
        <v>1.243866281</v>
      </c>
      <c r="BA222" s="30">
        <f>IFERROR(__xludf.DUMMYFUNCTION("""COMPUTED_VALUE"""),800.0)</f>
        <v>800</v>
      </c>
    </row>
    <row r="223">
      <c r="A223" s="30" t="str">
        <f>IFERROR(__xludf.DUMMYFUNCTION("""COMPUTED_VALUE"""),"Elite")</f>
        <v>Elite</v>
      </c>
      <c r="B223" s="30" t="str">
        <f>IFERROR(__xludf.DUMMYFUNCTION("""COMPUTED_VALUE"""),"RSC003445")</f>
        <v>RSC003445</v>
      </c>
      <c r="C223" s="30" t="str">
        <f>IFERROR(__xludf.DUMMYFUNCTION("""COMPUTED_VALUE"""),"bosco")</f>
        <v>bosco</v>
      </c>
      <c r="D223" s="30"/>
      <c r="E223" s="30">
        <f>IFERROR(__xludf.DUMMYFUNCTION("""COMPUTED_VALUE"""),11.0)</f>
        <v>11</v>
      </c>
      <c r="F223" s="30">
        <f>IFERROR(__xludf.DUMMYFUNCTION("""COMPUTED_VALUE"""),4.0)</f>
        <v>4</v>
      </c>
      <c r="G223" s="30">
        <f>IFERROR(__xludf.DUMMYFUNCTION("""COMPUTED_VALUE"""),7.0)</f>
        <v>7</v>
      </c>
      <c r="H223" s="42">
        <f>IFERROR(__xludf.DUMMYFUNCTION("""COMPUTED_VALUE"""),0.36363636363636365)</f>
        <v>0.3636363636</v>
      </c>
      <c r="I223" s="42">
        <f>IFERROR(__xludf.DUMMYFUNCTION("""COMPUTED_VALUE"""),0.13793103448275862)</f>
        <v>0.1379310345</v>
      </c>
      <c r="J223" s="30">
        <f>IFERROR(__xludf.DUMMYFUNCTION("""COMPUTED_VALUE"""),305.27272727272725)</f>
        <v>305.2727273</v>
      </c>
      <c r="K223" s="30">
        <f>IFERROR(__xludf.DUMMYFUNCTION("""COMPUTED_VALUE"""),0.36363636363636365)</f>
        <v>0.3636363636</v>
      </c>
      <c r="L223" s="30">
        <f>IFERROR(__xludf.DUMMYFUNCTION("""COMPUTED_VALUE"""),0.5454545454545454)</f>
        <v>0.5454545455</v>
      </c>
      <c r="M223" s="30">
        <f>IFERROR(__xludf.DUMMYFUNCTION("""COMPUTED_VALUE"""),1.3636363636363635)</f>
        <v>1.363636364</v>
      </c>
      <c r="N223" s="30">
        <f>IFERROR(__xludf.DUMMYFUNCTION("""COMPUTED_VALUE"""),2.6363636363636362)</f>
        <v>2.636363636</v>
      </c>
      <c r="O223" s="30">
        <f>IFERROR(__xludf.DUMMYFUNCTION("""COMPUTED_VALUE"""),404.7083333333333)</f>
        <v>404.7083333</v>
      </c>
      <c r="P223" s="30">
        <f>IFERROR(__xludf.DUMMYFUNCTION("""COMPUTED_VALUE"""),0.8749999999999999)</f>
        <v>0.875</v>
      </c>
      <c r="Q223" s="30">
        <f>IFERROR(__xludf.DUMMYFUNCTION("""COMPUTED_VALUE"""),0.7083333333333333)</f>
        <v>0.7083333333</v>
      </c>
      <c r="R223" s="30">
        <f>IFERROR(__xludf.DUMMYFUNCTION("""COMPUTED_VALUE"""),1.875)</f>
        <v>1.875</v>
      </c>
      <c r="S223" s="30">
        <f>IFERROR(__xludf.DUMMYFUNCTION("""COMPUTED_VALUE"""),2.125)</f>
        <v>2.125</v>
      </c>
      <c r="T223" s="30">
        <f>IFERROR(__xludf.DUMMYFUNCTION("""COMPUTED_VALUE"""),381.22130883301094)</f>
        <v>381.2213088</v>
      </c>
      <c r="U223" s="30">
        <f>IFERROR(__xludf.DUMMYFUNCTION("""COMPUTED_VALUE"""),0.8280704121871859)</f>
        <v>0.8280704122</v>
      </c>
      <c r="V223" s="30">
        <f>IFERROR(__xludf.DUMMYFUNCTION("""COMPUTED_VALUE"""),0.5818920276490787)</f>
        <v>0.5818920276</v>
      </c>
      <c r="W223" s="30">
        <f>IFERROR(__xludf.DUMMYFUNCTION("""COMPUTED_VALUE"""),1.556811621909346)</f>
        <v>1.556811622</v>
      </c>
      <c r="X223" s="30">
        <f>IFERROR(__xludf.DUMMYFUNCTION("""COMPUTED_VALUE"""),2.7921921622209234)</f>
        <v>2.792192162</v>
      </c>
      <c r="Y223" s="30">
        <f>IFERROR(__xludf.DUMMYFUNCTION("""COMPUTED_VALUE"""),354.62372839290987)</f>
        <v>354.6237284</v>
      </c>
      <c r="Z223" s="30">
        <f>IFERROR(__xludf.DUMMYFUNCTION("""COMPUTED_VALUE"""),0.6717213107072706)</f>
        <v>0.6717213107</v>
      </c>
      <c r="AA223" s="30">
        <f>IFERROR(__xludf.DUMMYFUNCTION("""COMPUTED_VALUE"""),0.5273302201880258)</f>
        <v>0.5273302202</v>
      </c>
      <c r="AB223" s="30">
        <f>IFERROR(__xludf.DUMMYFUNCTION("""COMPUTED_VALUE"""),1.502361254804352)</f>
        <v>1.502361255</v>
      </c>
      <c r="AC223" s="30">
        <f>IFERROR(__xludf.DUMMYFUNCTION("""COMPUTED_VALUE"""),2.5761972458378946)</f>
        <v>2.576197246</v>
      </c>
      <c r="AD223" s="30">
        <f>IFERROR(__xludf.DUMMYFUNCTION("""COMPUTED_VALUE"""),0.8608355922943105)</f>
        <v>0.8608355923</v>
      </c>
      <c r="AE223" s="30">
        <f>IFERROR(__xludf.DUMMYFUNCTION("""COMPUTED_VALUE"""),0.541350047765319)</f>
        <v>0.5413500478</v>
      </c>
      <c r="AF223" s="30">
        <f>IFERROR(__xludf.DUMMYFUNCTION("""COMPUTED_VALUE"""),1.0343699726900863)</f>
        <v>1.034369973</v>
      </c>
      <c r="AG223" s="30">
        <f>IFERROR(__xludf.DUMMYFUNCTION("""COMPUTED_VALUE"""),0.9076620947695738)</f>
        <v>0.9076620948</v>
      </c>
      <c r="AH223" s="30">
        <f>IFERROR(__xludf.DUMMYFUNCTION("""COMPUTED_VALUE"""),1.0233547297758145)</f>
        <v>1.02335473</v>
      </c>
      <c r="AI223" s="30">
        <f>IFERROR(__xludf.DUMMYFUNCTION("""COMPUTED_VALUE"""),1.0616099466533508)</f>
        <v>1.061609947</v>
      </c>
      <c r="AJ223" s="30">
        <f>IFERROR(__xludf.DUMMYFUNCTION("""COMPUTED_VALUE"""),1.056673426706382)</f>
        <v>1.056673427</v>
      </c>
      <c r="AK223" s="30">
        <f>IFERROR(__xludf.DUMMYFUNCTION("""COMPUTED_VALUE"""),1.2172934147166345)</f>
        <v>1.217293415</v>
      </c>
      <c r="AL223" s="30">
        <f>IFERROR(__xludf.DUMMYFUNCTION("""COMPUTED_VALUE"""),1.2043846369160665)</f>
        <v>1.204384637</v>
      </c>
      <c r="AM223" s="30">
        <f>IFERROR(__xludf.DUMMYFUNCTION("""COMPUTED_VALUE"""),0.761050771774162)</f>
        <v>0.7610507718</v>
      </c>
      <c r="AN223" s="30">
        <f>IFERROR(__xludf.DUMMYFUNCTION("""COMPUTED_VALUE"""),0.8707398184552769)</f>
        <v>0.8707398185</v>
      </c>
      <c r="AO223" s="30">
        <f>IFERROR(__xludf.DUMMYFUNCTION("""COMPUTED_VALUE"""),0.5129648627640783)</f>
        <v>0.5129648628</v>
      </c>
      <c r="AP223" s="30">
        <f>IFERROR(__xludf.DUMMYFUNCTION("""COMPUTED_VALUE"""),0.9554653431066925)</f>
        <v>0.9554653431</v>
      </c>
      <c r="AQ223" s="30">
        <f>IFERROR(__xludf.DUMMYFUNCTION("""COMPUTED_VALUE"""),0.9566433910218137)</f>
        <v>0.956643391</v>
      </c>
      <c r="AR223" s="30">
        <f>IFERROR(__xludf.DUMMYFUNCTION("""COMPUTED_VALUE"""),1.0517220863826287)</f>
        <v>1.051722086</v>
      </c>
      <c r="AS223" s="30">
        <f>IFERROR(__xludf.DUMMYFUNCTION("""COMPUTED_VALUE"""),21.0)</f>
        <v>21</v>
      </c>
      <c r="AT223" s="30">
        <f>IFERROR(__xludf.DUMMYFUNCTION("""COMPUTED_VALUE"""),0.37955745474218655)</f>
        <v>0.3795574547</v>
      </c>
      <c r="AU223" s="30">
        <f>IFERROR(__xludf.DUMMYFUNCTION("""COMPUTED_VALUE"""),1.8774626655465654)</f>
        <v>1.877462666</v>
      </c>
      <c r="AV223" s="32">
        <f>IFERROR(__xludf.DUMMYFUNCTION("""COMPUTED_VALUE"""),35.15096619176684)</f>
        <v>35.15096619</v>
      </c>
      <c r="AW223" s="32">
        <f>IFERROR(__xludf.DUMMYFUNCTION("""COMPUTED_VALUE"""),-3.619660794508299)</f>
        <v>-3.619660795</v>
      </c>
      <c r="AX223" s="32">
        <f>IFERROR(__xludf.DUMMYFUNCTION("""COMPUTED_VALUE"""),29.713599374069936)</f>
        <v>29.71359937</v>
      </c>
      <c r="AY223" s="32">
        <f>IFERROR(__xludf.DUMMYFUNCTION("""COMPUTED_VALUE"""),-4.794969079712552)</f>
        <v>-4.79496908</v>
      </c>
      <c r="AZ223" s="30">
        <f>IFERROR(__xludf.DUMMYFUNCTION("""COMPUTED_VALUE"""),1.1753082852042533)</f>
        <v>1.175308285</v>
      </c>
      <c r="BA223" s="30">
        <f>IFERROR(__xludf.DUMMYFUNCTION("""COMPUTED_VALUE"""),800.0)</f>
        <v>800</v>
      </c>
    </row>
    <row r="224">
      <c r="A224" s="30" t="str">
        <f>IFERROR(__xludf.DUMMYFUNCTION("""COMPUTED_VALUE"""),"Elite")</f>
        <v>Elite</v>
      </c>
      <c r="B224" s="30" t="str">
        <f>IFERROR(__xludf.DUMMYFUNCTION("""COMPUTED_VALUE"""),"RSC001292")</f>
        <v>RSC001292</v>
      </c>
      <c r="C224" s="30" t="str">
        <f>IFERROR(__xludf.DUMMYFUNCTION("""COMPUTED_VALUE"""),"flamethrowr")</f>
        <v>flamethrowr</v>
      </c>
      <c r="D224" s="30" t="str">
        <f>IFERROR(__xludf.DUMMYFUNCTION("""COMPUTED_VALUE"""),"Black-Holes")</f>
        <v>Black-Holes</v>
      </c>
      <c r="E224" s="30">
        <f>IFERROR(__xludf.DUMMYFUNCTION("""COMPUTED_VALUE"""),15.0)</f>
        <v>15</v>
      </c>
      <c r="F224" s="30">
        <f>IFERROR(__xludf.DUMMYFUNCTION("""COMPUTED_VALUE"""),11.0)</f>
        <v>11</v>
      </c>
      <c r="G224" s="30">
        <f>IFERROR(__xludf.DUMMYFUNCTION("""COMPUTED_VALUE"""),4.0)</f>
        <v>4</v>
      </c>
      <c r="H224" s="42">
        <f>IFERROR(__xludf.DUMMYFUNCTION("""COMPUTED_VALUE"""),0.7333333333333333)</f>
        <v>0.7333333333</v>
      </c>
      <c r="I224" s="42">
        <f>IFERROR(__xludf.DUMMYFUNCTION("""COMPUTED_VALUE"""),0.375)</f>
        <v>0.375</v>
      </c>
      <c r="J224" s="30">
        <f>IFERROR(__xludf.DUMMYFUNCTION("""COMPUTED_VALUE"""),364.26666666666665)</f>
        <v>364.2666667</v>
      </c>
      <c r="K224" s="30">
        <f>IFERROR(__xludf.DUMMYFUNCTION("""COMPUTED_VALUE"""),1.0)</f>
        <v>1</v>
      </c>
      <c r="L224" s="30">
        <f>IFERROR(__xludf.DUMMYFUNCTION("""COMPUTED_VALUE"""),0.8666666666666667)</f>
        <v>0.8666666667</v>
      </c>
      <c r="M224" s="30">
        <f>IFERROR(__xludf.DUMMYFUNCTION("""COMPUTED_VALUE"""),1.0)</f>
        <v>1</v>
      </c>
      <c r="N224" s="30">
        <f>IFERROR(__xludf.DUMMYFUNCTION("""COMPUTED_VALUE"""),2.6666666666666665)</f>
        <v>2.666666667</v>
      </c>
      <c r="O224" s="30">
        <f>IFERROR(__xludf.DUMMYFUNCTION("""COMPUTED_VALUE"""),346.93333333333334)</f>
        <v>346.9333333</v>
      </c>
      <c r="P224" s="30">
        <f>IFERROR(__xludf.DUMMYFUNCTION("""COMPUTED_VALUE"""),0.7111111111111111)</f>
        <v>0.7111111111</v>
      </c>
      <c r="Q224" s="30">
        <f>IFERROR(__xludf.DUMMYFUNCTION("""COMPUTED_VALUE"""),0.4888888888888888)</f>
        <v>0.4888888889</v>
      </c>
      <c r="R224" s="30">
        <f>IFERROR(__xludf.DUMMYFUNCTION("""COMPUTED_VALUE"""),1.3777777777777778)</f>
        <v>1.377777778</v>
      </c>
      <c r="S224" s="30">
        <f>IFERROR(__xludf.DUMMYFUNCTION("""COMPUTED_VALUE"""),2.3777777777777778)</f>
        <v>2.377777778</v>
      </c>
      <c r="T224" s="30">
        <f>IFERROR(__xludf.DUMMYFUNCTION("""COMPUTED_VALUE"""),328.6908804338433)</f>
        <v>328.6908804</v>
      </c>
      <c r="U224" s="30">
        <f>IFERROR(__xludf.DUMMYFUNCTION("""COMPUTED_VALUE"""),0.5723977400795842)</f>
        <v>0.5723977401</v>
      </c>
      <c r="V224" s="30">
        <f>IFERROR(__xludf.DUMMYFUNCTION("""COMPUTED_VALUE"""),0.4347913561679086)</f>
        <v>0.4347913562</v>
      </c>
      <c r="W224" s="30">
        <f>IFERROR(__xludf.DUMMYFUNCTION("""COMPUTED_VALUE"""),1.490275278833515)</f>
        <v>1.490275279</v>
      </c>
      <c r="X224" s="30">
        <f>IFERROR(__xludf.DUMMYFUNCTION("""COMPUTED_VALUE"""),2.2913504316520226)</f>
        <v>2.291350432</v>
      </c>
      <c r="Y224" s="30">
        <f>IFERROR(__xludf.DUMMYFUNCTION("""COMPUTED_VALUE"""),382.629357591319)</f>
        <v>382.6293576</v>
      </c>
      <c r="Z224" s="30">
        <f>IFERROR(__xludf.DUMMYFUNCTION("""COMPUTED_VALUE"""),0.9540900278981366)</f>
        <v>0.9540900279</v>
      </c>
      <c r="AA224" s="30">
        <f>IFERROR(__xludf.DUMMYFUNCTION("""COMPUTED_VALUE"""),0.7367062343523146)</f>
        <v>0.7367062344</v>
      </c>
      <c r="AB224" s="30">
        <f>IFERROR(__xludf.DUMMYFUNCTION("""COMPUTED_VALUE"""),1.2833347002967004)</f>
        <v>1.2833347</v>
      </c>
      <c r="AC224" s="30">
        <f>IFERROR(__xludf.DUMMYFUNCTION("""COMPUTED_VALUE"""),2.949745972832044)</f>
        <v>2.949745973</v>
      </c>
      <c r="AD224" s="30">
        <f>IFERROR(__xludf.DUMMYFUNCTION("""COMPUTED_VALUE"""),0.9520091949027465)</f>
        <v>0.9520091949</v>
      </c>
      <c r="AE224" s="30">
        <f>IFERROR(__xludf.DUMMYFUNCTION("""COMPUTED_VALUE"""),1.0481191195373913)</f>
        <v>1.04811912</v>
      </c>
      <c r="AF224" s="30">
        <f>IFERROR(__xludf.DUMMYFUNCTION("""COMPUTED_VALUE"""),1.1764074012874461)</f>
        <v>1.176407401</v>
      </c>
      <c r="AG224" s="30">
        <f>IFERROR(__xludf.DUMMYFUNCTION("""COMPUTED_VALUE"""),0.7792199492219801)</f>
        <v>0.7792199492</v>
      </c>
      <c r="AH224" s="30">
        <f>IFERROR(__xludf.DUMMYFUNCTION("""COMPUTED_VALUE"""),0.9040326493289205)</f>
        <v>0.9040326493</v>
      </c>
      <c r="AI224" s="30">
        <f>IFERROR(__xludf.DUMMYFUNCTION("""COMPUTED_VALUE"""),1.0555003317263065)</f>
        <v>1.055500332</v>
      </c>
      <c r="AJ224" s="30">
        <f>IFERROR(__xludf.DUMMYFUNCTION("""COMPUTED_VALUE"""),1.242337384162699)</f>
        <v>1.242337384</v>
      </c>
      <c r="AK224" s="30">
        <f>IFERROR(__xludf.DUMMYFUNCTION("""COMPUTED_VALUE"""),1.1244218219924518)</f>
        <v>1.124421822</v>
      </c>
      <c r="AL224" s="30">
        <f>IFERROR(__xludf.DUMMYFUNCTION("""COMPUTED_VALUE"""),0.9245122678651743)</f>
        <v>0.9245122679</v>
      </c>
      <c r="AM224" s="30">
        <f>IFERROR(__xludf.DUMMYFUNCTION("""COMPUTED_VALUE"""),1.0377189560059754)</f>
        <v>1.037718956</v>
      </c>
      <c r="AN224" s="30">
        <f>IFERROR(__xludf.DUMMYFUNCTION("""COMPUTED_VALUE"""),1.0390102451545755)</f>
        <v>1.039010245</v>
      </c>
      <c r="AO224" s="30">
        <f>IFERROR(__xludf.DUMMYFUNCTION("""COMPUTED_VALUE"""),1.4106533726012151)</f>
        <v>1.410653373</v>
      </c>
      <c r="AP224" s="30">
        <f>IFERROR(__xludf.DUMMYFUNCTION("""COMPUTED_VALUE"""),1.518128267380634)</f>
        <v>1.518128267</v>
      </c>
      <c r="AQ224" s="30">
        <f>IFERROR(__xludf.DUMMYFUNCTION("""COMPUTED_VALUE"""),0.7015384867493301)</f>
        <v>0.7015384867</v>
      </c>
      <c r="AR224" s="30">
        <f>IFERROR(__xludf.DUMMYFUNCTION("""COMPUTED_VALUE"""),1.0638108459962219)</f>
        <v>1.063810846</v>
      </c>
      <c r="AS224" s="30">
        <f>IFERROR(__xludf.DUMMYFUNCTION("""COMPUTED_VALUE"""),56.0)</f>
        <v>56</v>
      </c>
      <c r="AT224" s="30">
        <f>IFERROR(__xludf.DUMMYFUNCTION("""COMPUTED_VALUE"""),0.7170471978864944)</f>
        <v>0.7170471979</v>
      </c>
      <c r="AU224" s="30">
        <f>IFERROR(__xludf.DUMMYFUNCTION("""COMPUTED_VALUE"""),2.902196012859434)</f>
        <v>2.902196013</v>
      </c>
      <c r="AV224" s="32">
        <f>IFERROR(__xludf.DUMMYFUNCTION("""COMPUTED_VALUE"""),64.6266144424722)</f>
        <v>64.62661444</v>
      </c>
      <c r="AW224" s="32">
        <f>IFERROR(__xludf.DUMMYFUNCTION("""COMPUTED_VALUE"""),3.5809930481574943)</f>
        <v>3.580993048</v>
      </c>
      <c r="AX224" s="32">
        <f>IFERROR(__xludf.DUMMYFUNCTION("""COMPUTED_VALUE"""),55.46964303475698)</f>
        <v>55.46964303</v>
      </c>
      <c r="AY224" s="32">
        <f>IFERROR(__xludf.DUMMYFUNCTION("""COMPUTED_VALUE"""),2.4189150347718984)</f>
        <v>2.418915035</v>
      </c>
      <c r="AZ224" s="30">
        <f>IFERROR(__xludf.DUMMYFUNCTION("""COMPUTED_VALUE"""),1.162078013385596)</f>
        <v>1.162078013</v>
      </c>
      <c r="BA224" s="30">
        <f>IFERROR(__xludf.DUMMYFUNCTION("""COMPUTED_VALUE"""),800.0)</f>
        <v>800</v>
      </c>
    </row>
    <row r="225">
      <c r="A225" s="30" t="str">
        <f>IFERROR(__xludf.DUMMYFUNCTION("""COMPUTED_VALUE"""),"Elite")</f>
        <v>Elite</v>
      </c>
      <c r="B225" s="30" t="str">
        <f>IFERROR(__xludf.DUMMYFUNCTION("""COMPUTED_VALUE"""),"RSC005374")</f>
        <v>RSC005374</v>
      </c>
      <c r="C225" s="30" t="str">
        <f>IFERROR(__xludf.DUMMYFUNCTION("""COMPUTED_VALUE"""),"A Yapping Panda")</f>
        <v>A Yapping Panda</v>
      </c>
      <c r="D225" s="30" t="str">
        <f>IFERROR(__xludf.DUMMYFUNCTION("""COMPUTED_VALUE"""),"Loonie")</f>
        <v>Loonie</v>
      </c>
      <c r="E225" s="30">
        <f>IFERROR(__xludf.DUMMYFUNCTION("""COMPUTED_VALUE"""),35.0)</f>
        <v>35</v>
      </c>
      <c r="F225" s="30">
        <f>IFERROR(__xludf.DUMMYFUNCTION("""COMPUTED_VALUE"""),10.0)</f>
        <v>10</v>
      </c>
      <c r="G225" s="30">
        <f>IFERROR(__xludf.DUMMYFUNCTION("""COMPUTED_VALUE"""),25.0)</f>
        <v>25</v>
      </c>
      <c r="H225" s="42">
        <f>IFERROR(__xludf.DUMMYFUNCTION("""COMPUTED_VALUE"""),0.2857142857142857)</f>
        <v>0.2857142857</v>
      </c>
      <c r="I225" s="42">
        <f>IFERROR(__xludf.DUMMYFUNCTION("""COMPUTED_VALUE"""),0.25)</f>
        <v>0.25</v>
      </c>
      <c r="J225" s="30">
        <f>IFERROR(__xludf.DUMMYFUNCTION("""COMPUTED_VALUE"""),347.1714285714286)</f>
        <v>347.1714286</v>
      </c>
      <c r="K225" s="30">
        <f>IFERROR(__xludf.DUMMYFUNCTION("""COMPUTED_VALUE"""),0.6)</f>
        <v>0.6</v>
      </c>
      <c r="L225" s="30">
        <f>IFERROR(__xludf.DUMMYFUNCTION("""COMPUTED_VALUE"""),0.3142857142857143)</f>
        <v>0.3142857143</v>
      </c>
      <c r="M225" s="30">
        <f>IFERROR(__xludf.DUMMYFUNCTION("""COMPUTED_VALUE"""),1.5714285714285714)</f>
        <v>1.571428571</v>
      </c>
      <c r="N225" s="30">
        <f>IFERROR(__xludf.DUMMYFUNCTION("""COMPUTED_VALUE"""),2.4)</f>
        <v>2.4</v>
      </c>
      <c r="O225" s="30">
        <f>IFERROR(__xludf.DUMMYFUNCTION("""COMPUTED_VALUE"""),393.4095238095238)</f>
        <v>393.4095238</v>
      </c>
      <c r="P225" s="30">
        <f>IFERROR(__xludf.DUMMYFUNCTION("""COMPUTED_VALUE"""),0.9904761904761902)</f>
        <v>0.9904761905</v>
      </c>
      <c r="Q225" s="30">
        <f>IFERROR(__xludf.DUMMYFUNCTION("""COMPUTED_VALUE"""),0.8285714285714284)</f>
        <v>0.8285714286</v>
      </c>
      <c r="R225" s="30">
        <f>IFERROR(__xludf.DUMMYFUNCTION("""COMPUTED_VALUE"""),1.3142857142857143)</f>
        <v>1.314285714</v>
      </c>
      <c r="S225" s="30">
        <f>IFERROR(__xludf.DUMMYFUNCTION("""COMPUTED_VALUE"""),3.028571428571428)</f>
        <v>3.028571429</v>
      </c>
      <c r="T225" s="30">
        <f>IFERROR(__xludf.DUMMYFUNCTION("""COMPUTED_VALUE"""),377.4456534071984)</f>
        <v>377.4456534</v>
      </c>
      <c r="U225" s="30">
        <f>IFERROR(__xludf.DUMMYFUNCTION("""COMPUTED_VALUE"""),0.8767056006201465)</f>
        <v>0.8767056006</v>
      </c>
      <c r="V225" s="30">
        <f>IFERROR(__xludf.DUMMYFUNCTION("""COMPUTED_VALUE"""),0.6186909339527545)</f>
        <v>0.618690934</v>
      </c>
      <c r="W225" s="30">
        <f>IFERROR(__xludf.DUMMYFUNCTION("""COMPUTED_VALUE"""),1.3764256422339425)</f>
        <v>1.376425642</v>
      </c>
      <c r="X225" s="30">
        <f>IFERROR(__xludf.DUMMYFUNCTION("""COMPUTED_VALUE"""),2.822132300317876)</f>
        <v>2.8221323</v>
      </c>
      <c r="Y225" s="30">
        <f>IFERROR(__xludf.DUMMYFUNCTION("""COMPUTED_VALUE"""),344.6641728718614)</f>
        <v>344.6641729</v>
      </c>
      <c r="Z225" s="30">
        <f>IFERROR(__xludf.DUMMYFUNCTION("""COMPUTED_VALUE"""),0.6760202833187051)</f>
        <v>0.6760202833</v>
      </c>
      <c r="AA225" s="30">
        <f>IFERROR(__xludf.DUMMYFUNCTION("""COMPUTED_VALUE"""),0.5009724470817208)</f>
        <v>0.5009724471</v>
      </c>
      <c r="AB225" s="30">
        <f>IFERROR(__xludf.DUMMYFUNCTION("""COMPUTED_VALUE"""),1.4479346953857424)</f>
        <v>1.447934695</v>
      </c>
      <c r="AC225" s="30">
        <f>IFERROR(__xludf.DUMMYFUNCTION("""COMPUTED_VALUE"""),2.485508302164326)</f>
        <v>2.485508302</v>
      </c>
      <c r="AD225" s="30">
        <f>IFERROR(__xludf.DUMMYFUNCTION("""COMPUTED_VALUE"""),1.0072744888993708)</f>
        <v>1.007274489</v>
      </c>
      <c r="AE225" s="30">
        <f>IFERROR(__xludf.DUMMYFUNCTION("""COMPUTED_VALUE"""),0.8875473337197696)</f>
        <v>0.8875473337</v>
      </c>
      <c r="AF225" s="30">
        <f>IFERROR(__xludf.DUMMYFUNCTION("""COMPUTED_VALUE"""),0.6273512966960568)</f>
        <v>0.6273512967</v>
      </c>
      <c r="AG225" s="30">
        <f>IFERROR(__xludf.DUMMYFUNCTION("""COMPUTED_VALUE"""),1.0852896725497203)</f>
        <v>1.085289673</v>
      </c>
      <c r="AH225" s="30">
        <f>IFERROR(__xludf.DUMMYFUNCTION("""COMPUTED_VALUE"""),0.9655972574745105)</f>
        <v>0.9655972575</v>
      </c>
      <c r="AI225" s="30">
        <f>IFERROR(__xludf.DUMMYFUNCTION("""COMPUTED_VALUE"""),1.0422944873208095)</f>
        <v>1.042294487</v>
      </c>
      <c r="AJ225" s="30">
        <f>IFERROR(__xludf.DUMMYFUNCTION("""COMPUTED_VALUE"""),1.129770574951919)</f>
        <v>1.129770575</v>
      </c>
      <c r="AK225" s="30">
        <f>IFERROR(__xludf.DUMMYFUNCTION("""COMPUTED_VALUE"""),1.3392331826777684)</f>
        <v>1.339233183</v>
      </c>
      <c r="AL225" s="30">
        <f>IFERROR(__xludf.DUMMYFUNCTION("""COMPUTED_VALUE"""),0.9548541337493721)</f>
        <v>0.9548541337</v>
      </c>
      <c r="AM225" s="30">
        <f>IFERROR(__xludf.DUMMYFUNCTION("""COMPUTED_VALUE"""),1.0731500533232616)</f>
        <v>1.073150053</v>
      </c>
      <c r="AN225" s="30">
        <f>IFERROR(__xludf.DUMMYFUNCTION("""COMPUTED_VALUE"""),0.9902489141032144)</f>
        <v>0.9902489141</v>
      </c>
      <c r="AO225" s="30">
        <f>IFERROR(__xludf.DUMMYFUNCTION("""COMPUTED_VALUE"""),0.8463920235607291)</f>
        <v>0.8463920236</v>
      </c>
      <c r="AP225" s="30">
        <f>IFERROR(__xludf.DUMMYFUNCTION("""COMPUTED_VALUE"""),0.5505300310281419)</f>
        <v>0.550530031</v>
      </c>
      <c r="AQ225" s="30">
        <f>IFERROR(__xludf.DUMMYFUNCTION("""COMPUTED_VALUE"""),1.1024176220346615)</f>
        <v>1.102417622</v>
      </c>
      <c r="AR225" s="30">
        <f>IFERROR(__xludf.DUMMYFUNCTION("""COMPUTED_VALUE"""),0.9574297613965997)</f>
        <v>0.9574297614</v>
      </c>
      <c r="AS225" s="30">
        <f>IFERROR(__xludf.DUMMYFUNCTION("""COMPUTED_VALUE"""),50.0)</f>
        <v>50</v>
      </c>
      <c r="AT225" s="30">
        <f>IFERROR(__xludf.DUMMYFUNCTION("""COMPUTED_VALUE"""),0.24592412233053668)</f>
        <v>0.2459241223</v>
      </c>
      <c r="AU225" s="30">
        <f>IFERROR(__xludf.DUMMYFUNCTION("""COMPUTED_VALUE"""),1.8233640735181793)</f>
        <v>1.823364074</v>
      </c>
      <c r="AV225" s="32">
        <f>IFERROR(__xludf.DUMMYFUNCTION("""COMPUTED_VALUE"""),33.59486276869724)</f>
        <v>33.59486277</v>
      </c>
      <c r="AW225" s="32">
        <f>IFERROR(__xludf.DUMMYFUNCTION("""COMPUTED_VALUE"""),-3.908601898351907)</f>
        <v>-3.908601898</v>
      </c>
      <c r="AX225" s="32">
        <f>IFERROR(__xludf.DUMMYFUNCTION("""COMPUTED_VALUE"""),41.14395960862647)</f>
        <v>41.14395961</v>
      </c>
      <c r="AY225" s="32">
        <f>IFERROR(__xludf.DUMMYFUNCTION("""COMPUTED_VALUE"""),-2.7656480364192686)</f>
        <v>-2.765648036</v>
      </c>
      <c r="AZ225" s="30">
        <f>IFERROR(__xludf.DUMMYFUNCTION("""COMPUTED_VALUE"""),1.1429538619326385)</f>
        <v>1.142953862</v>
      </c>
      <c r="BA225" s="30">
        <f>IFERROR(__xludf.DUMMYFUNCTION("""COMPUTED_VALUE"""),800.0)</f>
        <v>800</v>
      </c>
    </row>
    <row r="226">
      <c r="A226" s="30" t="str">
        <f>IFERROR(__xludf.DUMMYFUNCTION("""COMPUTED_VALUE"""),"Elite")</f>
        <v>Elite</v>
      </c>
      <c r="B226" s="30" t="str">
        <f>IFERROR(__xludf.DUMMYFUNCTION("""COMPUTED_VALUE"""),"RSC002161")</f>
        <v>RSC002161</v>
      </c>
      <c r="C226" s="30" t="str">
        <f>IFERROR(__xludf.DUMMYFUNCTION("""COMPUTED_VALUE"""),"TheAngryTryhard")</f>
        <v>TheAngryTryhard</v>
      </c>
      <c r="D226" s="30" t="str">
        <f>IFERROR(__xludf.DUMMYFUNCTION("""COMPUTED_VALUE"""),"Loonie")</f>
        <v>Loonie</v>
      </c>
      <c r="E226" s="30">
        <f>IFERROR(__xludf.DUMMYFUNCTION("""COMPUTED_VALUE"""),32.0)</f>
        <v>32</v>
      </c>
      <c r="F226" s="30">
        <f>IFERROR(__xludf.DUMMYFUNCTION("""COMPUTED_VALUE"""),10.0)</f>
        <v>10</v>
      </c>
      <c r="G226" s="30">
        <f>IFERROR(__xludf.DUMMYFUNCTION("""COMPUTED_VALUE"""),22.0)</f>
        <v>22</v>
      </c>
      <c r="H226" s="42">
        <f>IFERROR(__xludf.DUMMYFUNCTION("""COMPUTED_VALUE"""),0.3125)</f>
        <v>0.3125</v>
      </c>
      <c r="I226" s="42">
        <f>IFERROR(__xludf.DUMMYFUNCTION("""COMPUTED_VALUE"""),0.26373626373626374)</f>
        <v>0.2637362637</v>
      </c>
      <c r="J226" s="30">
        <f>IFERROR(__xludf.DUMMYFUNCTION("""COMPUTED_VALUE"""),342.15625)</f>
        <v>342.15625</v>
      </c>
      <c r="K226" s="30">
        <f>IFERROR(__xludf.DUMMYFUNCTION("""COMPUTED_VALUE"""),0.75)</f>
        <v>0.75</v>
      </c>
      <c r="L226" s="30">
        <f>IFERROR(__xludf.DUMMYFUNCTION("""COMPUTED_VALUE"""),0.375)</f>
        <v>0.375</v>
      </c>
      <c r="M226" s="30">
        <f>IFERROR(__xludf.DUMMYFUNCTION("""COMPUTED_VALUE"""),1.4375)</f>
        <v>1.4375</v>
      </c>
      <c r="N226" s="30">
        <f>IFERROR(__xludf.DUMMYFUNCTION("""COMPUTED_VALUE"""),2.84375)</f>
        <v>2.84375</v>
      </c>
      <c r="O226" s="30">
        <f>IFERROR(__xludf.DUMMYFUNCTION("""COMPUTED_VALUE"""),401.56250000000006)</f>
        <v>401.5625</v>
      </c>
      <c r="P226" s="30">
        <f>IFERROR(__xludf.DUMMYFUNCTION("""COMPUTED_VALUE"""),1.03125)</f>
        <v>1.03125</v>
      </c>
      <c r="Q226" s="30">
        <f>IFERROR(__xludf.DUMMYFUNCTION("""COMPUTED_VALUE"""),0.8541666666666666)</f>
        <v>0.8541666667</v>
      </c>
      <c r="R226" s="30">
        <f>IFERROR(__xludf.DUMMYFUNCTION("""COMPUTED_VALUE"""),1.3333333333333335)</f>
        <v>1.333333333</v>
      </c>
      <c r="S226" s="30">
        <f>IFERROR(__xludf.DUMMYFUNCTION("""COMPUTED_VALUE"""),3.104166666666667)</f>
        <v>3.104166667</v>
      </c>
      <c r="T226" s="30">
        <f>IFERROR(__xludf.DUMMYFUNCTION("""COMPUTED_VALUE"""),382.31666125793333)</f>
        <v>382.3166613</v>
      </c>
      <c r="U226" s="30">
        <f>IFERROR(__xludf.DUMMYFUNCTION("""COMPUTED_VALUE"""),0.898552408392278)</f>
        <v>0.8985524084</v>
      </c>
      <c r="V226" s="30">
        <f>IFERROR(__xludf.DUMMYFUNCTION("""COMPUTED_VALUE"""),0.6541307804988592)</f>
        <v>0.6541307805</v>
      </c>
      <c r="W226" s="30">
        <f>IFERROR(__xludf.DUMMYFUNCTION("""COMPUTED_VALUE"""),1.4042404219594165)</f>
        <v>1.404240422</v>
      </c>
      <c r="X226" s="30">
        <f>IFERROR(__xludf.DUMMYFUNCTION("""COMPUTED_VALUE"""),2.9039812345448737)</f>
        <v>2.903981235</v>
      </c>
      <c r="Y226" s="30">
        <f>IFERROR(__xludf.DUMMYFUNCTION("""COMPUTED_VALUE"""),352.38032663277795)</f>
        <v>352.3803266</v>
      </c>
      <c r="Z226" s="30">
        <f>IFERROR(__xludf.DUMMYFUNCTION("""COMPUTED_VALUE"""),0.6961603863600136)</f>
        <v>0.6961603864</v>
      </c>
      <c r="AA226" s="30">
        <f>IFERROR(__xludf.DUMMYFUNCTION("""COMPUTED_VALUE"""),0.5130680478667059)</f>
        <v>0.5130680479</v>
      </c>
      <c r="AB226" s="30">
        <f>IFERROR(__xludf.DUMMYFUNCTION("""COMPUTED_VALUE"""),1.5234870708135309)</f>
        <v>1.523487071</v>
      </c>
      <c r="AC226" s="30">
        <f>IFERROR(__xludf.DUMMYFUNCTION("""COMPUTED_VALUE"""),2.5174682835179234)</f>
        <v>2.517468284</v>
      </c>
      <c r="AD226" s="30">
        <f>IFERROR(__xludf.DUMMYFUNCTION("""COMPUTED_VALUE"""),0.9709856769517311)</f>
        <v>0.970985677</v>
      </c>
      <c r="AE226" s="30">
        <f>IFERROR(__xludf.DUMMYFUNCTION("""COMPUTED_VALUE"""),1.0773379449547473)</f>
        <v>1.077337945</v>
      </c>
      <c r="AF226" s="30">
        <f>IFERROR(__xludf.DUMMYFUNCTION("""COMPUTED_VALUE"""),0.7308972007888986)</f>
        <v>0.7308972008</v>
      </c>
      <c r="AG226" s="30">
        <f>IFERROR(__xludf.DUMMYFUNCTION("""COMPUTED_VALUE"""),0.9435590413198489)</f>
        <v>0.9435590413</v>
      </c>
      <c r="AH226" s="30">
        <f>IFERROR(__xludf.DUMMYFUNCTION("""COMPUTED_VALUE"""),1.1296070812960268)</f>
        <v>1.129607081</v>
      </c>
      <c r="AI226" s="30">
        <f>IFERROR(__xludf.DUMMYFUNCTION("""COMPUTED_VALUE"""),1.0503400471189048)</f>
        <v>1.050340047</v>
      </c>
      <c r="AJ226" s="30">
        <f>IFERROR(__xludf.DUMMYFUNCTION("""COMPUTED_VALUE"""),1.1476793010272481)</f>
        <v>1.147679301</v>
      </c>
      <c r="AK226" s="30">
        <f>IFERROR(__xludf.DUMMYFUNCTION("""COMPUTED_VALUE"""),1.3058041176647492)</f>
        <v>1.305804118</v>
      </c>
      <c r="AL226" s="30">
        <f>IFERROR(__xludf.DUMMYFUNCTION("""COMPUTED_VALUE"""),0.9495050224183532)</f>
        <v>0.9495050224</v>
      </c>
      <c r="AM226" s="30">
        <f>IFERROR(__xludf.DUMMYFUNCTION("""COMPUTED_VALUE"""),1.0689348229046554)</f>
        <v>1.068934823</v>
      </c>
      <c r="AN226" s="30">
        <f>IFERROR(__xludf.DUMMYFUNCTION("""COMPUTED_VALUE"""),0.975943949104146)</f>
        <v>0.9759439491</v>
      </c>
      <c r="AO226" s="30">
        <f>IFERROR(__xludf.DUMMYFUNCTION("""COMPUTED_VALUE"""),1.0579900294509115)</f>
        <v>1.057990029</v>
      </c>
      <c r="AP226" s="30">
        <f>IFERROR(__xludf.DUMMYFUNCTION("""COMPUTED_VALUE"""),0.6568824233858512)</f>
        <v>0.6568824234</v>
      </c>
      <c r="AQ226" s="30">
        <f>IFERROR(__xludf.DUMMYFUNCTION("""COMPUTED_VALUE"""),1.008461574702162)</f>
        <v>1.008461575</v>
      </c>
      <c r="AR226" s="30">
        <f>IFERROR(__xludf.DUMMYFUNCTION("""COMPUTED_VALUE"""),1.1344545349881587)</f>
        <v>1.134454535</v>
      </c>
      <c r="AS226" s="30">
        <f>IFERROR(__xludf.DUMMYFUNCTION("""COMPUTED_VALUE"""),55.0)</f>
        <v>55</v>
      </c>
      <c r="AT226" s="30">
        <f>IFERROR(__xludf.DUMMYFUNCTION("""COMPUTED_VALUE"""),0.28440823823840294)</f>
        <v>0.2844082382</v>
      </c>
      <c r="AU226" s="30">
        <f>IFERROR(__xludf.DUMMYFUNCTION("""COMPUTED_VALUE"""),2.301470107119682)</f>
        <v>2.301470107</v>
      </c>
      <c r="AV226" s="32">
        <f>IFERROR(__xludf.DUMMYFUNCTION("""COMPUTED_VALUE"""),47.34720654664901)</f>
        <v>47.34720655</v>
      </c>
      <c r="AW226" s="32">
        <f>IFERROR(__xludf.DUMMYFUNCTION("""COMPUTED_VALUE"""),-2.184613618065411)</f>
        <v>-2.184613618</v>
      </c>
      <c r="AX226" s="32">
        <f>IFERROR(__xludf.DUMMYFUNCTION("""COMPUTED_VALUE"""),37.463798164465416)</f>
        <v>37.46379816</v>
      </c>
      <c r="AY226" s="32">
        <f>IFERROR(__xludf.DUMMYFUNCTION("""COMPUTED_VALUE"""),-3.246459094579403)</f>
        <v>-3.246459095</v>
      </c>
      <c r="AZ226" s="30">
        <f>IFERROR(__xludf.DUMMYFUNCTION("""COMPUTED_VALUE"""),1.0618454765139922)</f>
        <v>1.061845477</v>
      </c>
      <c r="BA226" s="30">
        <f>IFERROR(__xludf.DUMMYFUNCTION("""COMPUTED_VALUE"""),800.0)</f>
        <v>800</v>
      </c>
    </row>
    <row r="227">
      <c r="A227" s="30" t="str">
        <f>IFERROR(__xludf.DUMMYFUNCTION("""COMPUTED_VALUE"""),"Elite")</f>
        <v>Elite</v>
      </c>
      <c r="B227" s="30" t="str">
        <f>IFERROR(__xludf.DUMMYFUNCTION("""COMPUTED_VALUE"""),"RSC005008")</f>
        <v>RSC005008</v>
      </c>
      <c r="C227" s="30" t="str">
        <f>IFERROR(__xludf.DUMMYFUNCTION("""COMPUTED_VALUE"""),"W0NDER")</f>
        <v>W0NDER</v>
      </c>
      <c r="D227" s="30" t="str">
        <f>IFERROR(__xludf.DUMMYFUNCTION("""COMPUTED_VALUE"""),"Ghastly Goombahs")</f>
        <v>Ghastly Goombahs</v>
      </c>
      <c r="E227" s="30">
        <f>IFERROR(__xludf.DUMMYFUNCTION("""COMPUTED_VALUE"""),35.0)</f>
        <v>35</v>
      </c>
      <c r="F227" s="30">
        <f>IFERROR(__xludf.DUMMYFUNCTION("""COMPUTED_VALUE"""),11.0)</f>
        <v>11</v>
      </c>
      <c r="G227" s="30">
        <f>IFERROR(__xludf.DUMMYFUNCTION("""COMPUTED_VALUE"""),24.0)</f>
        <v>24</v>
      </c>
      <c r="H227" s="42">
        <f>IFERROR(__xludf.DUMMYFUNCTION("""COMPUTED_VALUE"""),0.3142857142857143)</f>
        <v>0.3142857143</v>
      </c>
      <c r="I227" s="42">
        <f>IFERROR(__xludf.DUMMYFUNCTION("""COMPUTED_VALUE"""),0.3076923076923077)</f>
        <v>0.3076923077</v>
      </c>
      <c r="J227" s="30">
        <f>IFERROR(__xludf.DUMMYFUNCTION("""COMPUTED_VALUE"""),338.8285714285714)</f>
        <v>338.8285714</v>
      </c>
      <c r="K227" s="30">
        <f>IFERROR(__xludf.DUMMYFUNCTION("""COMPUTED_VALUE"""),0.6857142857142857)</f>
        <v>0.6857142857</v>
      </c>
      <c r="L227" s="30">
        <f>IFERROR(__xludf.DUMMYFUNCTION("""COMPUTED_VALUE"""),0.37142857142857144)</f>
        <v>0.3714285714</v>
      </c>
      <c r="M227" s="30">
        <f>IFERROR(__xludf.DUMMYFUNCTION("""COMPUTED_VALUE"""),1.3428571428571427)</f>
        <v>1.342857143</v>
      </c>
      <c r="N227" s="30">
        <f>IFERROR(__xludf.DUMMYFUNCTION("""COMPUTED_VALUE"""),2.2285714285714286)</f>
        <v>2.228571429</v>
      </c>
      <c r="O227" s="30">
        <f>IFERROR(__xludf.DUMMYFUNCTION("""COMPUTED_VALUE"""),386.38095238095246)</f>
        <v>386.3809524</v>
      </c>
      <c r="P227" s="30">
        <f>IFERROR(__xludf.DUMMYFUNCTION("""COMPUTED_VALUE"""),0.9523809523809522)</f>
        <v>0.9523809524</v>
      </c>
      <c r="Q227" s="30">
        <f>IFERROR(__xludf.DUMMYFUNCTION("""COMPUTED_VALUE"""),0.6666666666666665)</f>
        <v>0.6666666667</v>
      </c>
      <c r="R227" s="30">
        <f>IFERROR(__xludf.DUMMYFUNCTION("""COMPUTED_VALUE"""),1.314285714285714)</f>
        <v>1.314285714</v>
      </c>
      <c r="S227" s="30">
        <f>IFERROR(__xludf.DUMMYFUNCTION("""COMPUTED_VALUE"""),2.942857142857142)</f>
        <v>2.942857143</v>
      </c>
      <c r="T227" s="30">
        <f>IFERROR(__xludf.DUMMYFUNCTION("""COMPUTED_VALUE"""),369.95005351655755)</f>
        <v>369.9500535</v>
      </c>
      <c r="U227" s="30">
        <f>IFERROR(__xludf.DUMMYFUNCTION("""COMPUTED_VALUE"""),0.8151609406464577)</f>
        <v>0.8151609406</v>
      </c>
      <c r="V227" s="30">
        <f>IFERROR(__xludf.DUMMYFUNCTION("""COMPUTED_VALUE"""),0.6245007739853551)</f>
        <v>0.624500774</v>
      </c>
      <c r="W227" s="30">
        <f>IFERROR(__xludf.DUMMYFUNCTION("""COMPUTED_VALUE"""),1.426876741117441)</f>
        <v>1.426876741</v>
      </c>
      <c r="X227" s="30">
        <f>IFERROR(__xludf.DUMMYFUNCTION("""COMPUTED_VALUE"""),2.788798432311659)</f>
        <v>2.788798432</v>
      </c>
      <c r="Y227" s="30">
        <f>IFERROR(__xludf.DUMMYFUNCTION("""COMPUTED_VALUE"""),353.805983091316)</f>
        <v>353.8059831</v>
      </c>
      <c r="Z227" s="30">
        <f>IFERROR(__xludf.DUMMYFUNCTION("""COMPUTED_VALUE"""),0.7305812174677672)</f>
        <v>0.7305812175</v>
      </c>
      <c r="AA227" s="30">
        <f>IFERROR(__xludf.DUMMYFUNCTION("""COMPUTED_VALUE"""),0.5434628231428835)</f>
        <v>0.5434628231</v>
      </c>
      <c r="AB227" s="30">
        <f>IFERROR(__xludf.DUMMYFUNCTION("""COMPUTED_VALUE"""),1.4404370388708012)</f>
        <v>1.440437039</v>
      </c>
      <c r="AC227" s="30">
        <f>IFERROR(__xludf.DUMMYFUNCTION("""COMPUTED_VALUE"""),2.5685854087604216)</f>
        <v>2.568585409</v>
      </c>
      <c r="AD227" s="30">
        <f>IFERROR(__xludf.DUMMYFUNCTION("""COMPUTED_VALUE"""),0.9576677264418137)</f>
        <v>0.9576677264</v>
      </c>
      <c r="AE227" s="30">
        <f>IFERROR(__xludf.DUMMYFUNCTION("""COMPUTED_VALUE"""),0.938587345690336)</f>
        <v>0.9385873457</v>
      </c>
      <c r="AF227" s="30">
        <f>IFERROR(__xludf.DUMMYFUNCTION("""COMPUTED_VALUE"""),0.6834479850536491)</f>
        <v>0.6834479851</v>
      </c>
      <c r="AG227" s="30">
        <f>IFERROR(__xludf.DUMMYFUNCTION("""COMPUTED_VALUE"""),0.9322567433491199)</f>
        <v>0.9322567433</v>
      </c>
      <c r="AH227" s="30">
        <f>IFERROR(__xludf.DUMMYFUNCTION("""COMPUTED_VALUE"""),0.8676259784746341)</f>
        <v>0.8676259785</v>
      </c>
      <c r="AI227" s="30">
        <f>IFERROR(__xludf.DUMMYFUNCTION("""COMPUTED_VALUE"""),1.0444138302135955)</f>
        <v>1.04441383</v>
      </c>
      <c r="AJ227" s="30">
        <f>IFERROR(__xludf.DUMMYFUNCTION("""COMPUTED_VALUE"""),1.168334870934411)</f>
        <v>1.168334871</v>
      </c>
      <c r="AK227" s="30">
        <f>IFERROR(__xludf.DUMMYFUNCTION("""COMPUTED_VALUE"""),1.0675193601638358)</f>
        <v>1.06751936</v>
      </c>
      <c r="AL227" s="30">
        <f>IFERROR(__xludf.DUMMYFUNCTION("""COMPUTED_VALUE"""),0.9210926749401265)</f>
        <v>0.9210926749</v>
      </c>
      <c r="AM227" s="30">
        <f>IFERROR(__xludf.DUMMYFUNCTION("""COMPUTED_VALUE"""),1.0552419668487059)</f>
        <v>1.055241967</v>
      </c>
      <c r="AN227" s="30">
        <f>IFERROR(__xludf.DUMMYFUNCTION("""COMPUTED_VALUE"""),0.9664522979466725)</f>
        <v>0.9664522979</v>
      </c>
      <c r="AO227" s="30">
        <f>IFERROR(__xludf.DUMMYFUNCTION("""COMPUTED_VALUE"""),0.9673051697836904)</f>
        <v>0.9673051698</v>
      </c>
      <c r="AP227" s="30">
        <f>IFERROR(__xludf.DUMMYFUNCTION("""COMPUTED_VALUE"""),0.650626400305986)</f>
        <v>0.6506264003</v>
      </c>
      <c r="AQ227" s="30">
        <f>IFERROR(__xludf.DUMMYFUNCTION("""COMPUTED_VALUE"""),0.9420659679205289)</f>
        <v>0.9420659679</v>
      </c>
      <c r="AR227" s="30">
        <f>IFERROR(__xludf.DUMMYFUNCTION("""COMPUTED_VALUE"""),0.8890419212968427)</f>
        <v>0.8890419213</v>
      </c>
      <c r="AS227" s="30">
        <f>IFERROR(__xludf.DUMMYFUNCTION("""COMPUTED_VALUE"""),68.0)</f>
        <v>68</v>
      </c>
      <c r="AT227" s="30">
        <f>IFERROR(__xludf.DUMMYFUNCTION("""COMPUTED_VALUE"""),0.35321071109769614)</f>
        <v>0.3532107111</v>
      </c>
      <c r="AU227" s="30">
        <f>IFERROR(__xludf.DUMMYFUNCTION("""COMPUTED_VALUE"""),1.9479781998892192)</f>
        <v>1.9479782</v>
      </c>
      <c r="AV227" s="32">
        <f>IFERROR(__xludf.DUMMYFUNCTION("""COMPUTED_VALUE"""),37.17929004005866)</f>
        <v>37.17929004</v>
      </c>
      <c r="AW227" s="32">
        <f>IFERROR(__xludf.DUMMYFUNCTION("""COMPUTED_VALUE"""),-3.289087633322578)</f>
        <v>-3.289087633</v>
      </c>
      <c r="AX227" s="32">
        <f>IFERROR(__xludf.DUMMYFUNCTION("""COMPUTED_VALUE"""),32.33276028078546)</f>
        <v>32.33276028</v>
      </c>
      <c r="AY227" s="32">
        <f>IFERROR(__xludf.DUMMYFUNCTION("""COMPUTED_VALUE"""),-4.16875624774863)</f>
        <v>-4.168756248</v>
      </c>
      <c r="AZ227" s="30">
        <f>IFERROR(__xludf.DUMMYFUNCTION("""COMPUTED_VALUE"""),0.8796686144260519)</f>
        <v>0.8796686144</v>
      </c>
      <c r="BA227" s="30">
        <f>IFERROR(__xludf.DUMMYFUNCTION("""COMPUTED_VALUE"""),800.0)</f>
        <v>800</v>
      </c>
    </row>
    <row r="228">
      <c r="A228" s="30" t="str">
        <f>IFERROR(__xludf.DUMMYFUNCTION("""COMPUTED_VALUE"""),"Elite")</f>
        <v>Elite</v>
      </c>
      <c r="B228" s="30" t="str">
        <f>IFERROR(__xludf.DUMMYFUNCTION("""COMPUTED_VALUE"""),"RSC007580")</f>
        <v>RSC007580</v>
      </c>
      <c r="C228" s="30" t="str">
        <f>IFERROR(__xludf.DUMMYFUNCTION("""COMPUTED_VALUE"""),"M4ttiusM4ximu5")</f>
        <v>M4ttiusM4ximu5</v>
      </c>
      <c r="D228" s="30" t="str">
        <f>IFERROR(__xludf.DUMMYFUNCTION("""COMPUTED_VALUE"""),"Pixel Picassos")</f>
        <v>Pixel Picassos</v>
      </c>
      <c r="E228" s="30">
        <f>IFERROR(__xludf.DUMMYFUNCTION("""COMPUTED_VALUE"""),40.0)</f>
        <v>40</v>
      </c>
      <c r="F228" s="30">
        <f>IFERROR(__xludf.DUMMYFUNCTION("""COMPUTED_VALUE"""),21.0)</f>
        <v>21</v>
      </c>
      <c r="G228" s="30">
        <f>IFERROR(__xludf.DUMMYFUNCTION("""COMPUTED_VALUE"""),19.0)</f>
        <v>19</v>
      </c>
      <c r="H228" s="42">
        <f>IFERROR(__xludf.DUMMYFUNCTION("""COMPUTED_VALUE"""),0.525)</f>
        <v>0.525</v>
      </c>
      <c r="I228" s="42">
        <f>IFERROR(__xludf.DUMMYFUNCTION("""COMPUTED_VALUE"""),0.2972972972972973)</f>
        <v>0.2972972973</v>
      </c>
      <c r="J228" s="30">
        <f>IFERROR(__xludf.DUMMYFUNCTION("""COMPUTED_VALUE"""),355.95)</f>
        <v>355.95</v>
      </c>
      <c r="K228" s="30">
        <f>IFERROR(__xludf.DUMMYFUNCTION("""COMPUTED_VALUE"""),0.825)</f>
        <v>0.825</v>
      </c>
      <c r="L228" s="30">
        <f>IFERROR(__xludf.DUMMYFUNCTION("""COMPUTED_VALUE"""),0.675)</f>
        <v>0.675</v>
      </c>
      <c r="M228" s="30">
        <f>IFERROR(__xludf.DUMMYFUNCTION("""COMPUTED_VALUE"""),1.175)</f>
        <v>1.175</v>
      </c>
      <c r="N228" s="30">
        <f>IFERROR(__xludf.DUMMYFUNCTION("""COMPUTED_VALUE"""),2.775)</f>
        <v>2.775</v>
      </c>
      <c r="O228" s="30">
        <f>IFERROR(__xludf.DUMMYFUNCTION("""COMPUTED_VALUE"""),375.17500000000007)</f>
        <v>375.175</v>
      </c>
      <c r="P228" s="30">
        <f>IFERROR(__xludf.DUMMYFUNCTION("""COMPUTED_VALUE"""),0.816666666666667)</f>
        <v>0.8166666667</v>
      </c>
      <c r="Q228" s="30">
        <f>IFERROR(__xludf.DUMMYFUNCTION("""COMPUTED_VALUE"""),0.5999999999999999)</f>
        <v>0.6</v>
      </c>
      <c r="R228" s="30">
        <f>IFERROR(__xludf.DUMMYFUNCTION("""COMPUTED_VALUE"""),1.5749999999999997)</f>
        <v>1.575</v>
      </c>
      <c r="S228" s="30">
        <f>IFERROR(__xludf.DUMMYFUNCTION("""COMPUTED_VALUE"""),2.5916666666666663)</f>
        <v>2.591666667</v>
      </c>
      <c r="T228" s="30">
        <f>IFERROR(__xludf.DUMMYFUNCTION("""COMPUTED_VALUE"""),363.61131848129924)</f>
        <v>363.6113185</v>
      </c>
      <c r="U228" s="30">
        <f>IFERROR(__xludf.DUMMYFUNCTION("""COMPUTED_VALUE"""),0.7667470410953247)</f>
        <v>0.7667470411</v>
      </c>
      <c r="V228" s="30">
        <f>IFERROR(__xludf.DUMMYFUNCTION("""COMPUTED_VALUE"""),0.5794876276746342)</f>
        <v>0.5794876277</v>
      </c>
      <c r="W228" s="30">
        <f>IFERROR(__xludf.DUMMYFUNCTION("""COMPUTED_VALUE"""),1.4967320417310426)</f>
        <v>1.496732042</v>
      </c>
      <c r="X228" s="30">
        <f>IFERROR(__xludf.DUMMYFUNCTION("""COMPUTED_VALUE"""),2.574691176998158)</f>
        <v>2.574691177</v>
      </c>
      <c r="Y228" s="30">
        <f>IFERROR(__xludf.DUMMYFUNCTION("""COMPUTED_VALUE"""),366.82572489139494)</f>
        <v>366.8257249</v>
      </c>
      <c r="Z228" s="30">
        <f>IFERROR(__xludf.DUMMYFUNCTION("""COMPUTED_VALUE"""),0.810453712909273)</f>
        <v>0.8104537129</v>
      </c>
      <c r="AA228" s="30">
        <f>IFERROR(__xludf.DUMMYFUNCTION("""COMPUTED_VALUE"""),0.6070340537964654)</f>
        <v>0.6070340538</v>
      </c>
      <c r="AB228" s="30">
        <f>IFERROR(__xludf.DUMMYFUNCTION("""COMPUTED_VALUE"""),1.400375262779021)</f>
        <v>1.400375263</v>
      </c>
      <c r="AC228" s="30">
        <f>IFERROR(__xludf.DUMMYFUNCTION("""COMPUTED_VALUE"""),2.761283518348395)</f>
        <v>2.761283518</v>
      </c>
      <c r="AD228" s="30">
        <f>IFERROR(__xludf.DUMMYFUNCTION("""COMPUTED_VALUE"""),0.9703517933628704)</f>
        <v>0.9703517934</v>
      </c>
      <c r="AE228" s="30">
        <f>IFERROR(__xludf.DUMMYFUNCTION("""COMPUTED_VALUE"""),1.0179483255601487)</f>
        <v>1.017948326</v>
      </c>
      <c r="AF228" s="30">
        <f>IFERROR(__xludf.DUMMYFUNCTION("""COMPUTED_VALUE"""),1.1119639759556608)</f>
        <v>1.111963976</v>
      </c>
      <c r="AG228" s="30">
        <f>IFERROR(__xludf.DUMMYFUNCTION("""COMPUTED_VALUE"""),0.8390608083637756)</f>
        <v>0.8390608084</v>
      </c>
      <c r="AH228" s="30">
        <f>IFERROR(__xludf.DUMMYFUNCTION("""COMPUTED_VALUE"""),1.0049674296610474)</f>
        <v>1.00496743</v>
      </c>
      <c r="AI228" s="30">
        <f>IFERROR(__xludf.DUMMYFUNCTION("""COMPUTED_VALUE"""),1.0318023145346493)</f>
        <v>1.031802315</v>
      </c>
      <c r="AJ228" s="30">
        <f>IFERROR(__xludf.DUMMYFUNCTION("""COMPUTED_VALUE"""),1.0651057296550248)</f>
        <v>1.06510573</v>
      </c>
      <c r="AK228" s="30">
        <f>IFERROR(__xludf.DUMMYFUNCTION("""COMPUTED_VALUE"""),1.0353974292905572)</f>
        <v>1.035397429</v>
      </c>
      <c r="AL228" s="30">
        <f>IFERROR(__xludf.DUMMYFUNCTION("""COMPUTED_VALUE"""),1.0522925654604391)</f>
        <v>1.052292565</v>
      </c>
      <c r="AM228" s="30">
        <f>IFERROR(__xludf.DUMMYFUNCTION("""COMPUTED_VALUE"""),1.006593213904706)</f>
        <v>1.006593214</v>
      </c>
      <c r="AN228" s="30">
        <f>IFERROR(__xludf.DUMMYFUNCTION("""COMPUTED_VALUE"""),1.0152883329871096)</f>
        <v>1.015288333</v>
      </c>
      <c r="AO228" s="30">
        <f>IFERROR(__xludf.DUMMYFUNCTION("""COMPUTED_VALUE"""),1.1637890323960025)</f>
        <v>1.163789032</v>
      </c>
      <c r="AP228" s="30">
        <f>IFERROR(__xludf.DUMMYFUNCTION("""COMPUTED_VALUE"""),1.1823883620945321)</f>
        <v>1.182388362</v>
      </c>
      <c r="AQ228" s="30">
        <f>IFERROR(__xludf.DUMMYFUNCTION("""COMPUTED_VALUE"""),0.8243077219304629)</f>
        <v>0.8243077219</v>
      </c>
      <c r="AR228" s="30">
        <f>IFERROR(__xludf.DUMMYFUNCTION("""COMPUTED_VALUE"""),1.1070281616148185)</f>
        <v>1.107028162</v>
      </c>
      <c r="AS228" s="30">
        <f>IFERROR(__xludf.DUMMYFUNCTION("""COMPUTED_VALUE"""),97.0)</f>
        <v>97</v>
      </c>
      <c r="AT228" s="30">
        <f>IFERROR(__xludf.DUMMYFUNCTION("""COMPUTED_VALUE"""),0.49596002698037644)</f>
        <v>0.495960027</v>
      </c>
      <c r="AU228" s="30">
        <f>IFERROR(__xludf.DUMMYFUNCTION("""COMPUTED_VALUE"""),2.7538534551443954)</f>
        <v>2.753853455</v>
      </c>
      <c r="AV228" s="32">
        <f>IFERROR(__xludf.DUMMYFUNCTION("""COMPUTED_VALUE"""),60.3596575182301)</f>
        <v>60.35965752</v>
      </c>
      <c r="AW228" s="32">
        <f>IFERROR(__xludf.DUMMYFUNCTION("""COMPUTED_VALUE"""),2.947282459536707)</f>
        <v>2.94728246</v>
      </c>
      <c r="AX228" s="32">
        <f>IFERROR(__xludf.DUMMYFUNCTION("""COMPUTED_VALUE"""),51.64237512778219)</f>
        <v>51.64237513</v>
      </c>
      <c r="AY228" s="32">
        <f>IFERROR(__xludf.DUMMYFUNCTION("""COMPUTED_VALUE"""),2.110549196828659)</f>
        <v>2.110549197</v>
      </c>
      <c r="AZ228" s="30">
        <f>IFERROR(__xludf.DUMMYFUNCTION("""COMPUTED_VALUE"""),0.8367332627080479)</f>
        <v>0.8367332627</v>
      </c>
      <c r="BA228" s="30">
        <f>IFERROR(__xludf.DUMMYFUNCTION("""COMPUTED_VALUE"""),800.0)</f>
        <v>800</v>
      </c>
    </row>
    <row r="229">
      <c r="A229" s="30" t="str">
        <f>IFERROR(__xludf.DUMMYFUNCTION("""COMPUTED_VALUE"""),"Elite")</f>
        <v>Elite</v>
      </c>
      <c r="B229" s="30" t="str">
        <f>IFERROR(__xludf.DUMMYFUNCTION("""COMPUTED_VALUE"""),"RSC007166")</f>
        <v>RSC007166</v>
      </c>
      <c r="C229" s="30" t="str">
        <f>IFERROR(__xludf.DUMMYFUNCTION("""COMPUTED_VALUE"""),"nelz")</f>
        <v>nelz</v>
      </c>
      <c r="D229" s="30" t="str">
        <f>IFERROR(__xludf.DUMMYFUNCTION("""COMPUTED_VALUE"""),"Ghastly Goombahs")</f>
        <v>Ghastly Goombahs</v>
      </c>
      <c r="E229" s="30">
        <f>IFERROR(__xludf.DUMMYFUNCTION("""COMPUTED_VALUE"""),44.0)</f>
        <v>44</v>
      </c>
      <c r="F229" s="30">
        <f>IFERROR(__xludf.DUMMYFUNCTION("""COMPUTED_VALUE"""),19.0)</f>
        <v>19</v>
      </c>
      <c r="G229" s="30">
        <f>IFERROR(__xludf.DUMMYFUNCTION("""COMPUTED_VALUE"""),25.0)</f>
        <v>25</v>
      </c>
      <c r="H229" s="42">
        <f>IFERROR(__xludf.DUMMYFUNCTION("""COMPUTED_VALUE"""),0.4318181818181818)</f>
        <v>0.4318181818</v>
      </c>
      <c r="I229" s="42">
        <f>IFERROR(__xludf.DUMMYFUNCTION("""COMPUTED_VALUE"""),0.2595419847328244)</f>
        <v>0.2595419847</v>
      </c>
      <c r="J229" s="30">
        <f>IFERROR(__xludf.DUMMYFUNCTION("""COMPUTED_VALUE"""),387.0)</f>
        <v>387</v>
      </c>
      <c r="K229" s="30">
        <f>IFERROR(__xludf.DUMMYFUNCTION("""COMPUTED_VALUE"""),0.7727272727272727)</f>
        <v>0.7727272727</v>
      </c>
      <c r="L229" s="30">
        <f>IFERROR(__xludf.DUMMYFUNCTION("""COMPUTED_VALUE"""),0.6590909090909091)</f>
        <v>0.6590909091</v>
      </c>
      <c r="M229" s="30">
        <f>IFERROR(__xludf.DUMMYFUNCTION("""COMPUTED_VALUE"""),1.7272727272727273)</f>
        <v>1.727272727</v>
      </c>
      <c r="N229" s="30">
        <f>IFERROR(__xludf.DUMMYFUNCTION("""COMPUTED_VALUE"""),2.977272727272727)</f>
        <v>2.977272727</v>
      </c>
      <c r="O229" s="30">
        <f>IFERROR(__xludf.DUMMYFUNCTION("""COMPUTED_VALUE"""),377.48484848484856)</f>
        <v>377.4848485</v>
      </c>
      <c r="P229" s="30">
        <f>IFERROR(__xludf.DUMMYFUNCTION("""COMPUTED_VALUE"""),0.8939393939393938)</f>
        <v>0.8939393939</v>
      </c>
      <c r="Q229" s="30">
        <f>IFERROR(__xludf.DUMMYFUNCTION("""COMPUTED_VALUE"""),0.6363636363636361)</f>
        <v>0.6363636364</v>
      </c>
      <c r="R229" s="30">
        <f>IFERROR(__xludf.DUMMYFUNCTION("""COMPUTED_VALUE"""),1.4090909090909092)</f>
        <v>1.409090909</v>
      </c>
      <c r="S229" s="30">
        <f>IFERROR(__xludf.DUMMYFUNCTION("""COMPUTED_VALUE"""),2.8030303030303028)</f>
        <v>2.803030303</v>
      </c>
      <c r="T229" s="30">
        <f>IFERROR(__xludf.DUMMYFUNCTION("""COMPUTED_VALUE"""),365.7983325532408)</f>
        <v>365.7983326</v>
      </c>
      <c r="U229" s="30">
        <f>IFERROR(__xludf.DUMMYFUNCTION("""COMPUTED_VALUE"""),0.8029661448191547)</f>
        <v>0.8029661448</v>
      </c>
      <c r="V229" s="30">
        <f>IFERROR(__xludf.DUMMYFUNCTION("""COMPUTED_VALUE"""),0.606408224532617)</f>
        <v>0.6064082245</v>
      </c>
      <c r="W229" s="30">
        <f>IFERROR(__xludf.DUMMYFUNCTION("""COMPUTED_VALUE"""),1.4249416451096872)</f>
        <v>1.424941645</v>
      </c>
      <c r="X229" s="30">
        <f>IFERROR(__xludf.DUMMYFUNCTION("""COMPUTED_VALUE"""),2.7280820922821083)</f>
        <v>2.728082092</v>
      </c>
      <c r="Y229" s="30">
        <f>IFERROR(__xludf.DUMMYFUNCTION("""COMPUTED_VALUE"""),357.4139873835453)</f>
        <v>357.4139874</v>
      </c>
      <c r="Z229" s="30">
        <f>IFERROR(__xludf.DUMMYFUNCTION("""COMPUTED_VALUE"""),0.7487141268018185)</f>
        <v>0.7487141268</v>
      </c>
      <c r="AA229" s="30">
        <f>IFERROR(__xludf.DUMMYFUNCTION("""COMPUTED_VALUE"""),0.566439548334321)</f>
        <v>0.5664395483</v>
      </c>
      <c r="AB229" s="30">
        <f>IFERROR(__xludf.DUMMYFUNCTION("""COMPUTED_VALUE"""),1.4398440055508213)</f>
        <v>1.439844006</v>
      </c>
      <c r="AC229" s="30">
        <f>IFERROR(__xludf.DUMMYFUNCTION("""COMPUTED_VALUE"""),2.6154027812425653)</f>
        <v>2.615402781</v>
      </c>
      <c r="AD229" s="30">
        <f>IFERROR(__xludf.DUMMYFUNCTION("""COMPUTED_VALUE"""),1.0827779931978587)</f>
        <v>1.082777993</v>
      </c>
      <c r="AE229" s="30">
        <f>IFERROR(__xludf.DUMMYFUNCTION("""COMPUTED_VALUE"""),1.0320725161524973)</f>
        <v>1.032072516</v>
      </c>
      <c r="AF229" s="30">
        <f>IFERROR(__xludf.DUMMYFUNCTION("""COMPUTED_VALUE"""),1.1635679588917118)</f>
        <v>1.163567959</v>
      </c>
      <c r="AG229" s="30">
        <f>IFERROR(__xludf.DUMMYFUNCTION("""COMPUTED_VALUE"""),1.1996249042353364)</f>
        <v>1.199624904</v>
      </c>
      <c r="AH229" s="30">
        <f>IFERROR(__xludf.DUMMYFUNCTION("""COMPUTED_VALUE"""),1.1383610771638926)</f>
        <v>1.138361077</v>
      </c>
      <c r="AI229" s="30">
        <f>IFERROR(__xludf.DUMMYFUNCTION("""COMPUTED_VALUE"""),1.0319479748582692)</f>
        <v>1.031947975</v>
      </c>
      <c r="AJ229" s="30">
        <f>IFERROR(__xludf.DUMMYFUNCTION("""COMPUTED_VALUE"""),1.1132964941389007)</f>
        <v>1.113296494</v>
      </c>
      <c r="AK229" s="30">
        <f>IFERROR(__xludf.DUMMYFUNCTION("""COMPUTED_VALUE"""),1.0493980962314733)</f>
        <v>1.049398096</v>
      </c>
      <c r="AL229" s="30">
        <f>IFERROR(__xludf.DUMMYFUNCTION("""COMPUTED_VALUE"""),0.988876220950397)</f>
        <v>0.988876221</v>
      </c>
      <c r="AM229" s="30">
        <f>IFERROR(__xludf.DUMMYFUNCTION("""COMPUTED_VALUE"""),1.0274728575654768)</f>
        <v>1.027472858</v>
      </c>
      <c r="AN229" s="30">
        <f>IFERROR(__xludf.DUMMYFUNCTION("""COMPUTED_VALUE"""),1.1038533076724582)</f>
        <v>1.103853308</v>
      </c>
      <c r="AO229" s="30">
        <f>IFERROR(__xludf.DUMMYFUNCTION("""COMPUTED_VALUE"""),1.0900503333736662)</f>
        <v>1.090050333</v>
      </c>
      <c r="AP229" s="30">
        <f>IFERROR(__xludf.DUMMYFUNCTION("""COMPUTED_VALUE"""),1.1545206229205869)</f>
        <v>1.154520623</v>
      </c>
      <c r="AQ229" s="30">
        <f>IFERROR(__xludf.DUMMYFUNCTION("""COMPUTED_VALUE"""),1.2117482952942975)</f>
        <v>1.211748295</v>
      </c>
      <c r="AR229" s="30">
        <f>IFERROR(__xludf.DUMMYFUNCTION("""COMPUTED_VALUE"""),1.1877206320355547)</f>
        <v>1.187720632</v>
      </c>
      <c r="AS229" s="30">
        <f>IFERROR(__xludf.DUMMYFUNCTION("""COMPUTED_VALUE"""),97.0)</f>
        <v>97</v>
      </c>
      <c r="AT229" s="30">
        <f>IFERROR(__xludf.DUMMYFUNCTION("""COMPUTED_VALUE"""),0.423362647873589)</f>
        <v>0.4233626479</v>
      </c>
      <c r="AU229" s="30">
        <f>IFERROR(__xludf.DUMMYFUNCTION("""COMPUTED_VALUE"""),2.8911257263354937)</f>
        <v>2.891125726</v>
      </c>
      <c r="AV229" s="32">
        <f>IFERROR(__xludf.DUMMYFUNCTION("""COMPUTED_VALUE"""),64.30818636313836)</f>
        <v>64.30818636</v>
      </c>
      <c r="AW229" s="32">
        <f>IFERROR(__xludf.DUMMYFUNCTION("""COMPUTED_VALUE"""),3.5267139115163944)</f>
        <v>3.526713912</v>
      </c>
      <c r="AX229" s="32">
        <f>IFERROR(__xludf.DUMMYFUNCTION("""COMPUTED_VALUE"""),58.500519967351316)</f>
        <v>58.50051997</v>
      </c>
      <c r="AY229" s="32">
        <f>IFERROR(__xludf.DUMMYFUNCTION("""COMPUTED_VALUE"""),2.725386518156255)</f>
        <v>2.725386518</v>
      </c>
      <c r="AZ229" s="30">
        <f>IFERROR(__xludf.DUMMYFUNCTION("""COMPUTED_VALUE"""),0.8013273933601393)</f>
        <v>0.8013273934</v>
      </c>
      <c r="BA229" s="30">
        <f>IFERROR(__xludf.DUMMYFUNCTION("""COMPUTED_VALUE"""),800.0)</f>
        <v>800</v>
      </c>
    </row>
    <row r="230">
      <c r="A230" s="30" t="str">
        <f>IFERROR(__xludf.DUMMYFUNCTION("""COMPUTED_VALUE"""),"Elite")</f>
        <v>Elite</v>
      </c>
      <c r="B230" s="30" t="str">
        <f>IFERROR(__xludf.DUMMYFUNCTION("""COMPUTED_VALUE"""),"RSC003305")</f>
        <v>RSC003305</v>
      </c>
      <c r="C230" s="30" t="str">
        <f>IFERROR(__xludf.DUMMYFUNCTION("""COMPUTED_VALUE"""),"Sobes")</f>
        <v>Sobes</v>
      </c>
      <c r="D230" s="30" t="str">
        <f>IFERROR(__xludf.DUMMYFUNCTION("""COMPUTED_VALUE"""),"Cyclones")</f>
        <v>Cyclones</v>
      </c>
      <c r="E230" s="30">
        <f>IFERROR(__xludf.DUMMYFUNCTION("""COMPUTED_VALUE"""),8.0)</f>
        <v>8</v>
      </c>
      <c r="F230" s="30">
        <f>IFERROR(__xludf.DUMMYFUNCTION("""COMPUTED_VALUE"""),3.0)</f>
        <v>3</v>
      </c>
      <c r="G230" s="30">
        <f>IFERROR(__xludf.DUMMYFUNCTION("""COMPUTED_VALUE"""),5.0)</f>
        <v>5</v>
      </c>
      <c r="H230" s="42">
        <f>IFERROR(__xludf.DUMMYFUNCTION("""COMPUTED_VALUE"""),0.375)</f>
        <v>0.375</v>
      </c>
      <c r="I230" s="42">
        <f>IFERROR(__xludf.DUMMYFUNCTION("""COMPUTED_VALUE"""),0.3157894736842105)</f>
        <v>0.3157894737</v>
      </c>
      <c r="J230" s="30">
        <f>IFERROR(__xludf.DUMMYFUNCTION("""COMPUTED_VALUE"""),369.625)</f>
        <v>369.625</v>
      </c>
      <c r="K230" s="30">
        <f>IFERROR(__xludf.DUMMYFUNCTION("""COMPUTED_VALUE"""),0.75)</f>
        <v>0.75</v>
      </c>
      <c r="L230" s="30">
        <f>IFERROR(__xludf.DUMMYFUNCTION("""COMPUTED_VALUE"""),0.5)</f>
        <v>0.5</v>
      </c>
      <c r="M230" s="30">
        <f>IFERROR(__xludf.DUMMYFUNCTION("""COMPUTED_VALUE"""),1.375)</f>
        <v>1.375</v>
      </c>
      <c r="N230" s="30">
        <f>IFERROR(__xludf.DUMMYFUNCTION("""COMPUTED_VALUE"""),2.375)</f>
        <v>2.375</v>
      </c>
      <c r="O230" s="30">
        <f>IFERROR(__xludf.DUMMYFUNCTION("""COMPUTED_VALUE"""),359.0833333333333)</f>
        <v>359.0833333</v>
      </c>
      <c r="P230" s="30">
        <f>IFERROR(__xludf.DUMMYFUNCTION("""COMPUTED_VALUE"""),0.7499999999999999)</f>
        <v>0.75</v>
      </c>
      <c r="Q230" s="30">
        <f>IFERROR(__xludf.DUMMYFUNCTION("""COMPUTED_VALUE"""),0.6249999999999999)</f>
        <v>0.625</v>
      </c>
      <c r="R230" s="30">
        <f>IFERROR(__xludf.DUMMYFUNCTION("""COMPUTED_VALUE"""),1.2083333333333333)</f>
        <v>1.208333333</v>
      </c>
      <c r="S230" s="30">
        <f>IFERROR(__xludf.DUMMYFUNCTION("""COMPUTED_VALUE"""),3.5833333333333335)</f>
        <v>3.583333333</v>
      </c>
      <c r="T230" s="30">
        <f>IFERROR(__xludf.DUMMYFUNCTION("""COMPUTED_VALUE"""),339.92441829004326)</f>
        <v>339.9244183</v>
      </c>
      <c r="U230" s="30">
        <f>IFERROR(__xludf.DUMMYFUNCTION("""COMPUTED_VALUE"""),0.7330733808674985)</f>
        <v>0.7330733809</v>
      </c>
      <c r="V230" s="30">
        <f>IFERROR(__xludf.DUMMYFUNCTION("""COMPUTED_VALUE"""),0.49199929971988804)</f>
        <v>0.4919992997</v>
      </c>
      <c r="W230" s="30">
        <f>IFERROR(__xludf.DUMMYFUNCTION("""COMPUTED_VALUE"""),1.2995538366861896)</f>
        <v>1.299553837</v>
      </c>
      <c r="X230" s="30">
        <f>IFERROR(__xludf.DUMMYFUNCTION("""COMPUTED_VALUE"""),2.7059213458110514)</f>
        <v>2.705921346</v>
      </c>
      <c r="Y230" s="30">
        <f>IFERROR(__xludf.DUMMYFUNCTION("""COMPUTED_VALUE"""),382.0888246965453)</f>
        <v>382.0888247</v>
      </c>
      <c r="Z230" s="30">
        <f>IFERROR(__xludf.DUMMYFUNCTION("""COMPUTED_VALUE"""),0.9152757441360383)</f>
        <v>0.9152757441</v>
      </c>
      <c r="AA230" s="30">
        <f>IFERROR(__xludf.DUMMYFUNCTION("""COMPUTED_VALUE"""),0.7112428557281498)</f>
        <v>0.7112428557</v>
      </c>
      <c r="AB230" s="30">
        <f>IFERROR(__xludf.DUMMYFUNCTION("""COMPUTED_VALUE"""),1.4627769289533996)</f>
        <v>1.462776929</v>
      </c>
      <c r="AC230" s="30">
        <f>IFERROR(__xludf.DUMMYFUNCTION("""COMPUTED_VALUE"""),2.6972301799507683)</f>
        <v>2.69723018</v>
      </c>
      <c r="AD230" s="30">
        <f>IFERROR(__xludf.DUMMYFUNCTION("""COMPUTED_VALUE"""),0.9673797716893603)</f>
        <v>0.9673797717</v>
      </c>
      <c r="AE230" s="30">
        <f>IFERROR(__xludf.DUMMYFUNCTION("""COMPUTED_VALUE"""),0.8194251894088508)</f>
        <v>0.8194251894</v>
      </c>
      <c r="AF230" s="30">
        <f>IFERROR(__xludf.DUMMYFUNCTION("""COMPUTED_VALUE"""),0.7029947590659655)</f>
        <v>0.7029947591</v>
      </c>
      <c r="AG230" s="30">
        <f>IFERROR(__xludf.DUMMYFUNCTION("""COMPUTED_VALUE"""),0.9399929495632645)</f>
        <v>0.9399929496</v>
      </c>
      <c r="AH230" s="30">
        <f>IFERROR(__xludf.DUMMYFUNCTION("""COMPUTED_VALUE"""),0.8805329325075808)</f>
        <v>0.8805329325</v>
      </c>
      <c r="AI230" s="30">
        <f>IFERROR(__xludf.DUMMYFUNCTION("""COMPUTED_VALUE"""),1.0563622794139564)</f>
        <v>1.056362279</v>
      </c>
      <c r="AJ230" s="30">
        <f>IFERROR(__xludf.DUMMYFUNCTION("""COMPUTED_VALUE"""),1.0230899382984973)</f>
        <v>1.023089938</v>
      </c>
      <c r="AK230" s="30">
        <f>IFERROR(__xludf.DUMMYFUNCTION("""COMPUTED_VALUE"""),1.270327011351101)</f>
        <v>1.270327011</v>
      </c>
      <c r="AL230" s="30">
        <f>IFERROR(__xludf.DUMMYFUNCTION("""COMPUTED_VALUE"""),0.929806291376535)</f>
        <v>0.9298062914</v>
      </c>
      <c r="AM230" s="30">
        <f>IFERROR(__xludf.DUMMYFUNCTION("""COMPUTED_VALUE"""),1.3242562792449881)</f>
        <v>1.324256279</v>
      </c>
      <c r="AN230" s="30">
        <f>IFERROR(__xludf.DUMMYFUNCTION("""COMPUTED_VALUE"""),1.0542940021923315)</f>
        <v>1.054294002</v>
      </c>
      <c r="AO230" s="30">
        <f>IFERROR(__xludf.DUMMYFUNCTION("""COMPUTED_VALUE"""),1.0579900294509115)</f>
        <v>1.057990029</v>
      </c>
      <c r="AP230" s="30">
        <f>IFERROR(__xludf.DUMMYFUNCTION("""COMPUTED_VALUE"""),0.8758432311811349)</f>
        <v>0.8758432312</v>
      </c>
      <c r="AQ230" s="30">
        <f>IFERROR(__xludf.DUMMYFUNCTION("""COMPUTED_VALUE"""),0.9646154192803289)</f>
        <v>0.9646154193</v>
      </c>
      <c r="AR230" s="30">
        <f>IFERROR(__xludf.DUMMYFUNCTION("""COMPUTED_VALUE"""),0.9474565347153853)</f>
        <v>0.9474565347</v>
      </c>
      <c r="AS230" s="30">
        <f>IFERROR(__xludf.DUMMYFUNCTION("""COMPUTED_VALUE"""),16.0)</f>
        <v>16</v>
      </c>
      <c r="AT230" s="30">
        <f>IFERROR(__xludf.DUMMYFUNCTION("""COMPUTED_VALUE"""),0.45551429482502853)</f>
        <v>0.4555142948</v>
      </c>
      <c r="AU230" s="30">
        <f>IFERROR(__xludf.DUMMYFUNCTION("""COMPUTED_VALUE"""),2.015794800089515)</f>
        <v>2.0157948</v>
      </c>
      <c r="AV230" s="32">
        <f>IFERROR(__xludf.DUMMYFUNCTION("""COMPUTED_VALUE"""),39.12998117185836)</f>
        <v>39.12998117</v>
      </c>
      <c r="AW230" s="32">
        <f>IFERROR(__xludf.DUMMYFUNCTION("""COMPUTED_VALUE"""),-3.013377626852799)</f>
        <v>-3.013377627</v>
      </c>
      <c r="AX230" s="32">
        <f>IFERROR(__xludf.DUMMYFUNCTION("""COMPUTED_VALUE"""),34.17303163786846)</f>
        <v>34.17303164</v>
      </c>
      <c r="AY230" s="32">
        <f>IFERROR(__xludf.DUMMYFUNCTION("""COMPUTED_VALUE"""),-3.7973561511628144)</f>
        <v>-3.797356151</v>
      </c>
      <c r="AZ230" s="30">
        <f>IFERROR(__xludf.DUMMYFUNCTION("""COMPUTED_VALUE"""),0.7839785243100152)</f>
        <v>0.7839785243</v>
      </c>
      <c r="BA230" s="30">
        <f>IFERROR(__xludf.DUMMYFUNCTION("""COMPUTED_VALUE"""),800.0)</f>
        <v>800</v>
      </c>
    </row>
    <row r="231">
      <c r="A231" s="30" t="str">
        <f>IFERROR(__xludf.DUMMYFUNCTION("""COMPUTED_VALUE"""),"Elite")</f>
        <v>Elite</v>
      </c>
      <c r="B231" s="30" t="str">
        <f>IFERROR(__xludf.DUMMYFUNCTION("""COMPUTED_VALUE"""),"RSC000016")</f>
        <v>RSC000016</v>
      </c>
      <c r="C231" s="30" t="str">
        <f>IFERROR(__xludf.DUMMYFUNCTION("""COMPUTED_VALUE"""),"Beans")</f>
        <v>Beans</v>
      </c>
      <c r="D231" s="30" t="str">
        <f>IFERROR(__xludf.DUMMYFUNCTION("""COMPUTED_VALUE"""),"Nightshade")</f>
        <v>Nightshade</v>
      </c>
      <c r="E231" s="30">
        <f>IFERROR(__xludf.DUMMYFUNCTION("""COMPUTED_VALUE"""),27.0)</f>
        <v>27</v>
      </c>
      <c r="F231" s="30">
        <f>IFERROR(__xludf.DUMMYFUNCTION("""COMPUTED_VALUE"""),12.0)</f>
        <v>12</v>
      </c>
      <c r="G231" s="30">
        <f>IFERROR(__xludf.DUMMYFUNCTION("""COMPUTED_VALUE"""),15.0)</f>
        <v>15</v>
      </c>
      <c r="H231" s="42">
        <f>IFERROR(__xludf.DUMMYFUNCTION("""COMPUTED_VALUE"""),0.4444444444444444)</f>
        <v>0.4444444444</v>
      </c>
      <c r="I231" s="42">
        <f>IFERROR(__xludf.DUMMYFUNCTION("""COMPUTED_VALUE"""),0.2962962962962963)</f>
        <v>0.2962962963</v>
      </c>
      <c r="J231" s="30">
        <f>IFERROR(__xludf.DUMMYFUNCTION("""COMPUTED_VALUE"""),363.3703703703704)</f>
        <v>363.3703704</v>
      </c>
      <c r="K231" s="30">
        <f>IFERROR(__xludf.DUMMYFUNCTION("""COMPUTED_VALUE"""),0.5925925925925926)</f>
        <v>0.5925925926</v>
      </c>
      <c r="L231" s="30">
        <f>IFERROR(__xludf.DUMMYFUNCTION("""COMPUTED_VALUE"""),0.5925925925925926)</f>
        <v>0.5925925926</v>
      </c>
      <c r="M231" s="30">
        <f>IFERROR(__xludf.DUMMYFUNCTION("""COMPUTED_VALUE"""),1.8888888888888888)</f>
        <v>1.888888889</v>
      </c>
      <c r="N231" s="30">
        <f>IFERROR(__xludf.DUMMYFUNCTION("""COMPUTED_VALUE"""),2.0)</f>
        <v>2</v>
      </c>
      <c r="O231" s="30">
        <f>IFERROR(__xludf.DUMMYFUNCTION("""COMPUTED_VALUE"""),361.25925925925924)</f>
        <v>361.2592593</v>
      </c>
      <c r="P231" s="30">
        <f>IFERROR(__xludf.DUMMYFUNCTION("""COMPUTED_VALUE"""),0.8271604938271603)</f>
        <v>0.8271604938</v>
      </c>
      <c r="Q231" s="30">
        <f>IFERROR(__xludf.DUMMYFUNCTION("""COMPUTED_VALUE"""),0.5925925925925926)</f>
        <v>0.5925925926</v>
      </c>
      <c r="R231" s="30">
        <f>IFERROR(__xludf.DUMMYFUNCTION("""COMPUTED_VALUE"""),1.382716049382716)</f>
        <v>1.382716049</v>
      </c>
      <c r="S231" s="30">
        <f>IFERROR(__xludf.DUMMYFUNCTION("""COMPUTED_VALUE"""),2.691358024691358)</f>
        <v>2.691358025</v>
      </c>
      <c r="T231" s="30">
        <f>IFERROR(__xludf.DUMMYFUNCTION("""COMPUTED_VALUE"""),347.50182108866)</f>
        <v>347.5018211</v>
      </c>
      <c r="U231" s="30">
        <f>IFERROR(__xludf.DUMMYFUNCTION("""COMPUTED_VALUE"""),0.72623627942423)</f>
        <v>0.7262362794</v>
      </c>
      <c r="V231" s="30">
        <f>IFERROR(__xludf.DUMMYFUNCTION("""COMPUTED_VALUE"""),0.5288433780272386)</f>
        <v>0.528843378</v>
      </c>
      <c r="W231" s="30">
        <f>IFERROR(__xludf.DUMMYFUNCTION("""COMPUTED_VALUE"""),1.3879382364169155)</f>
        <v>1.387938236</v>
      </c>
      <c r="X231" s="30">
        <f>IFERROR(__xludf.DUMMYFUNCTION("""COMPUTED_VALUE"""),2.5480097409364486)</f>
        <v>2.548009741</v>
      </c>
      <c r="Y231" s="30">
        <f>IFERROR(__xludf.DUMMYFUNCTION("""COMPUTED_VALUE"""),363.8725638891083)</f>
        <v>363.8725639</v>
      </c>
      <c r="Z231" s="30">
        <f>IFERROR(__xludf.DUMMYFUNCTION("""COMPUTED_VALUE"""),0.8024859887255053)</f>
        <v>0.8024859887</v>
      </c>
      <c r="AA231" s="30">
        <f>IFERROR(__xludf.DUMMYFUNCTION("""COMPUTED_VALUE"""),0.6145860975475635)</f>
        <v>0.6145860975</v>
      </c>
      <c r="AB231" s="30">
        <f>IFERROR(__xludf.DUMMYFUNCTION("""COMPUTED_VALUE"""),1.3912073881666496)</f>
        <v>1.391207388</v>
      </c>
      <c r="AC231" s="30">
        <f>IFERROR(__xludf.DUMMYFUNCTION("""COMPUTED_VALUE"""),2.6827097240816085)</f>
        <v>2.682709724</v>
      </c>
      <c r="AD231" s="30">
        <f>IFERROR(__xludf.DUMMYFUNCTION("""COMPUTED_VALUE"""),0.9986198642915795)</f>
        <v>0.9986198643</v>
      </c>
      <c r="AE231" s="30">
        <f>IFERROR(__xludf.DUMMYFUNCTION("""COMPUTED_VALUE"""),0.7384460301091837)</f>
        <v>0.7384460301</v>
      </c>
      <c r="AF231" s="30">
        <f>IFERROR(__xludf.DUMMYFUNCTION("""COMPUTED_VALUE"""),0.9642141189936877)</f>
        <v>0.964214119</v>
      </c>
      <c r="AG231" s="30">
        <f>IFERROR(__xludf.DUMMYFUNCTION("""COMPUTED_VALUE"""),1.3577335090047862)</f>
        <v>1.357733509</v>
      </c>
      <c r="AH231" s="30">
        <f>IFERROR(__xludf.DUMMYFUNCTION("""COMPUTED_VALUE"""),0.7455148732815938)</f>
        <v>0.7455148733</v>
      </c>
      <c r="AI231" s="30">
        <f>IFERROR(__xludf.DUMMYFUNCTION("""COMPUTED_VALUE"""),1.039589542660524)</f>
        <v>1.039589543</v>
      </c>
      <c r="AJ231" s="30">
        <f>IFERROR(__xludf.DUMMYFUNCTION("""COMPUTED_VALUE"""),1.138968841494595)</f>
        <v>1.138968841</v>
      </c>
      <c r="AK231" s="30">
        <f>IFERROR(__xludf.DUMMYFUNCTION("""COMPUTED_VALUE"""),1.1205446020770076)</f>
        <v>1.120544602</v>
      </c>
      <c r="AL231" s="30">
        <f>IFERROR(__xludf.DUMMYFUNCTION("""COMPUTED_VALUE"""),0.9962374499835951)</f>
        <v>0.99623745</v>
      </c>
      <c r="AM231" s="30">
        <f>IFERROR(__xludf.DUMMYFUNCTION("""COMPUTED_VALUE"""),1.0562589229750063)</f>
        <v>1.056258923</v>
      </c>
      <c r="AN231" s="30">
        <f>IFERROR(__xludf.DUMMYFUNCTION("""COMPUTED_VALUE"""),1.0364537086395336)</f>
        <v>1.036453709</v>
      </c>
      <c r="AO231" s="30">
        <f>IFERROR(__xludf.DUMMYFUNCTION("""COMPUTED_VALUE"""),0.8359427393192386)</f>
        <v>0.8359427393</v>
      </c>
      <c r="AP231" s="30">
        <f>IFERROR(__xludf.DUMMYFUNCTION("""COMPUTED_VALUE"""),1.0380364221406042)</f>
        <v>1.038036422</v>
      </c>
      <c r="AQ231" s="30">
        <f>IFERROR(__xludf.DUMMYFUNCTION("""COMPUTED_VALUE"""),1.3251282527487345)</f>
        <v>1.325128253</v>
      </c>
      <c r="AR231" s="30">
        <f>IFERROR(__xludf.DUMMYFUNCTION("""COMPUTED_VALUE"""),0.7978581344971665)</f>
        <v>0.7978581345</v>
      </c>
      <c r="AS231" s="30">
        <f>IFERROR(__xludf.DUMMYFUNCTION("""COMPUTED_VALUE"""),63.0)</f>
        <v>63</v>
      </c>
      <c r="AT231" s="30">
        <f>IFERROR(__xludf.DUMMYFUNCTION("""COMPUTED_VALUE"""),0.4758572777266791)</f>
        <v>0.4758572777</v>
      </c>
      <c r="AU231" s="30">
        <f>IFERROR(__xludf.DUMMYFUNCTION("""COMPUTED_VALUE"""),1.9339782608304767)</f>
        <v>1.933978261</v>
      </c>
      <c r="AV231" s="32">
        <f>IFERROR(__xludf.DUMMYFUNCTION("""COMPUTED_VALUE"""),36.77659281125382)</f>
        <v>36.77659281</v>
      </c>
      <c r="AW231" s="32">
        <f>IFERROR(__xludf.DUMMYFUNCTION("""COMPUTED_VALUE"""),-3.3509276687784504)</f>
        <v>-3.350927669</v>
      </c>
      <c r="AX231" s="32">
        <f>IFERROR(__xludf.DUMMYFUNCTION("""COMPUTED_VALUE"""),42.7326198367976)</f>
        <v>42.73261984</v>
      </c>
      <c r="AY231" s="32">
        <f>IFERROR(__xludf.DUMMYFUNCTION("""COMPUTED_VALUE"""),-2.593077082148564)</f>
        <v>-2.593077082</v>
      </c>
      <c r="AZ231" s="30">
        <f>IFERROR(__xludf.DUMMYFUNCTION("""COMPUTED_VALUE"""),0.7578505866298864)</f>
        <v>0.7578505866</v>
      </c>
      <c r="BA231" s="30">
        <f>IFERROR(__xludf.DUMMYFUNCTION("""COMPUTED_VALUE"""),800.0)</f>
        <v>800</v>
      </c>
    </row>
    <row r="232">
      <c r="A232" s="30" t="str">
        <f>IFERROR(__xludf.DUMMYFUNCTION("""COMPUTED_VALUE"""),"Elite")</f>
        <v>Elite</v>
      </c>
      <c r="B232" s="30" t="str">
        <f>IFERROR(__xludf.DUMMYFUNCTION("""COMPUTED_VALUE"""),"RSC006395")</f>
        <v>RSC006395</v>
      </c>
      <c r="C232" s="30" t="str">
        <f>IFERROR(__xludf.DUMMYFUNCTION("""COMPUTED_VALUE"""),"Gizmo")</f>
        <v>Gizmo</v>
      </c>
      <c r="D232" s="30" t="str">
        <f>IFERROR(__xludf.DUMMYFUNCTION("""COMPUTED_VALUE"""),"Forge Defenders")</f>
        <v>Forge Defenders</v>
      </c>
      <c r="E232" s="30">
        <f>IFERROR(__xludf.DUMMYFUNCTION("""COMPUTED_VALUE"""),48.0)</f>
        <v>48</v>
      </c>
      <c r="F232" s="30">
        <f>IFERROR(__xludf.DUMMYFUNCTION("""COMPUTED_VALUE"""),29.0)</f>
        <v>29</v>
      </c>
      <c r="G232" s="30">
        <f>IFERROR(__xludf.DUMMYFUNCTION("""COMPUTED_VALUE"""),19.0)</f>
        <v>19</v>
      </c>
      <c r="H232" s="42">
        <f>IFERROR(__xludf.DUMMYFUNCTION("""COMPUTED_VALUE"""),0.6041666666666666)</f>
        <v>0.6041666667</v>
      </c>
      <c r="I232" s="42">
        <f>IFERROR(__xludf.DUMMYFUNCTION("""COMPUTED_VALUE"""),0.28125)</f>
        <v>0.28125</v>
      </c>
      <c r="J232" s="30">
        <f>IFERROR(__xludf.DUMMYFUNCTION("""COMPUTED_VALUE"""),371.4583333333333)</f>
        <v>371.4583333</v>
      </c>
      <c r="K232" s="30">
        <f>IFERROR(__xludf.DUMMYFUNCTION("""COMPUTED_VALUE"""),0.75)</f>
        <v>0.75</v>
      </c>
      <c r="L232" s="30">
        <f>IFERROR(__xludf.DUMMYFUNCTION("""COMPUTED_VALUE"""),0.6041666666666666)</f>
        <v>0.6041666667</v>
      </c>
      <c r="M232" s="30">
        <f>IFERROR(__xludf.DUMMYFUNCTION("""COMPUTED_VALUE"""),1.375)</f>
        <v>1.375</v>
      </c>
      <c r="N232" s="30">
        <f>IFERROR(__xludf.DUMMYFUNCTION("""COMPUTED_VALUE"""),2.6666666666666665)</f>
        <v>2.666666667</v>
      </c>
      <c r="O232" s="30">
        <f>IFERROR(__xludf.DUMMYFUNCTION("""COMPUTED_VALUE"""),335.37500000000006)</f>
        <v>335.375</v>
      </c>
      <c r="P232" s="30">
        <f>IFERROR(__xludf.DUMMYFUNCTION("""COMPUTED_VALUE"""),0.5972222222222222)</f>
        <v>0.5972222222</v>
      </c>
      <c r="Q232" s="30">
        <f>IFERROR(__xludf.DUMMYFUNCTION("""COMPUTED_VALUE"""),0.4791666666666667)</f>
        <v>0.4791666667</v>
      </c>
      <c r="R232" s="30">
        <f>IFERROR(__xludf.DUMMYFUNCTION("""COMPUTED_VALUE"""),1.4791666666666663)</f>
        <v>1.479166667</v>
      </c>
      <c r="S232" s="30">
        <f>IFERROR(__xludf.DUMMYFUNCTION("""COMPUTED_VALUE"""),2.4166666666666674)</f>
        <v>2.416666667</v>
      </c>
      <c r="T232" s="30">
        <f>IFERROR(__xludf.DUMMYFUNCTION("""COMPUTED_VALUE"""),366.18834466800246)</f>
        <v>366.1883447</v>
      </c>
      <c r="U232" s="30">
        <f>IFERROR(__xludf.DUMMYFUNCTION("""COMPUTED_VALUE"""),0.8168631300949228)</f>
        <v>0.8168631301</v>
      </c>
      <c r="V232" s="30">
        <f>IFERROR(__xludf.DUMMYFUNCTION("""COMPUTED_VALUE"""),0.5730162583323687)</f>
        <v>0.5730162583</v>
      </c>
      <c r="W232" s="30">
        <f>IFERROR(__xludf.DUMMYFUNCTION("""COMPUTED_VALUE"""),1.4337928721528213)</f>
        <v>1.433792872</v>
      </c>
      <c r="X232" s="30">
        <f>IFERROR(__xludf.DUMMYFUNCTION("""COMPUTED_VALUE"""),2.7196099841790566)</f>
        <v>2.719609984</v>
      </c>
      <c r="Y232" s="30">
        <f>IFERROR(__xludf.DUMMYFUNCTION("""COMPUTED_VALUE"""),360.696425009782)</f>
        <v>360.696425</v>
      </c>
      <c r="Z232" s="30">
        <f>IFERROR(__xludf.DUMMYFUNCTION("""COMPUTED_VALUE"""),0.763661545203049)</f>
        <v>0.7636615452</v>
      </c>
      <c r="AA232" s="30">
        <f>IFERROR(__xludf.DUMMYFUNCTION("""COMPUTED_VALUE"""),0.5721172132669804)</f>
        <v>0.5721172133</v>
      </c>
      <c r="AB232" s="30">
        <f>IFERROR(__xludf.DUMMYFUNCTION("""COMPUTED_VALUE"""),1.4512248706401945)</f>
        <v>1.451224871</v>
      </c>
      <c r="AC232" s="30">
        <f>IFERROR(__xludf.DUMMYFUNCTION("""COMPUTED_VALUE"""),2.632317862834536)</f>
        <v>2.632317863</v>
      </c>
      <c r="AD232" s="30">
        <f>IFERROR(__xludf.DUMMYFUNCTION("""COMPUTED_VALUE"""),1.0298364707198289)</f>
        <v>1.029836471</v>
      </c>
      <c r="AE232" s="30">
        <f>IFERROR(__xludf.DUMMYFUNCTION("""COMPUTED_VALUE"""),0.9821104712043389)</f>
        <v>0.9821104712</v>
      </c>
      <c r="AF232" s="30">
        <f>IFERROR(__xludf.DUMMYFUNCTION("""COMPUTED_VALUE"""),1.0560190336114397)</f>
        <v>1.056019034</v>
      </c>
      <c r="AG232" s="30">
        <f>IFERROR(__xludf.DUMMYFUNCTION("""COMPUTED_VALUE"""),0.9474754931628421)</f>
        <v>0.9474754932</v>
      </c>
      <c r="AH232" s="30">
        <f>IFERROR(__xludf.DUMMYFUNCTION("""COMPUTED_VALUE"""),1.0130488814884777)</f>
        <v>1.013048881</v>
      </c>
      <c r="AI232" s="30">
        <f>IFERROR(__xludf.DUMMYFUNCTION("""COMPUTED_VALUE"""),0.9158538355557474)</f>
        <v>0.9158538356</v>
      </c>
      <c r="AJ232" s="30">
        <f>IFERROR(__xludf.DUMMYFUNCTION("""COMPUTED_VALUE"""),0.7311166341328473)</f>
        <v>0.7311166341</v>
      </c>
      <c r="AK232" s="30">
        <f>IFERROR(__xludf.DUMMYFUNCTION("""COMPUTED_VALUE"""),0.8362182742618341)</f>
        <v>0.8362182743</v>
      </c>
      <c r="AL232" s="30">
        <f>IFERROR(__xludf.DUMMYFUNCTION("""COMPUTED_VALUE"""),1.0316459897347074)</f>
        <v>1.03164599</v>
      </c>
      <c r="AM232" s="30">
        <f>IFERROR(__xludf.DUMMYFUNCTION("""COMPUTED_VALUE"""),0.8886078080038246)</f>
        <v>0.888607808</v>
      </c>
      <c r="AN232" s="30">
        <f>IFERROR(__xludf.DUMMYFUNCTION("""COMPUTED_VALUE"""),1.0595232814276445)</f>
        <v>1.059523281</v>
      </c>
      <c r="AO232" s="30">
        <f>IFERROR(__xludf.DUMMYFUNCTION("""COMPUTED_VALUE"""),1.0579900294509115)</f>
        <v>1.057990029</v>
      </c>
      <c r="AP232" s="30">
        <f>IFERROR(__xludf.DUMMYFUNCTION("""COMPUTED_VALUE"""),1.058310571010538)</f>
        <v>1.058310571</v>
      </c>
      <c r="AQ232" s="30">
        <f>IFERROR(__xludf.DUMMYFUNCTION("""COMPUTED_VALUE"""),0.9646154192803289)</f>
        <v>0.9646154193</v>
      </c>
      <c r="AR232" s="30">
        <f>IFERROR(__xludf.DUMMYFUNCTION("""COMPUTED_VALUE"""),1.0638108459962219)</f>
        <v>1.063810846</v>
      </c>
      <c r="AS232" s="30">
        <f>IFERROR(__xludf.DUMMYFUNCTION("""COMPUTED_VALUE"""),110.0)</f>
        <v>110</v>
      </c>
      <c r="AT232" s="30">
        <f>IFERROR(__xludf.DUMMYFUNCTION("""COMPUTED_VALUE"""),0.5911157009878967)</f>
        <v>0.591115701</v>
      </c>
      <c r="AU232" s="30">
        <f>IFERROR(__xludf.DUMMYFUNCTION("""COMPUTED_VALUE"""),2.8695396991444335)</f>
        <v>2.869539699</v>
      </c>
      <c r="AV232" s="32">
        <f>IFERROR(__xludf.DUMMYFUNCTION("""COMPUTED_VALUE"""),63.68728127960389)</f>
        <v>63.68728128</v>
      </c>
      <c r="AW232" s="32">
        <f>IFERROR(__xludf.DUMMYFUNCTION("""COMPUTED_VALUE"""),3.4244154830073597)</f>
        <v>3.424415483</v>
      </c>
      <c r="AX232" s="32">
        <f>IFERROR(__xludf.DUMMYFUNCTION("""COMPUTED_VALUE"""),58.14069646260708)</f>
        <v>58.14069646</v>
      </c>
      <c r="AY232" s="32">
        <f>IFERROR(__xludf.DUMMYFUNCTION("""COMPUTED_VALUE"""),2.685623833654185)</f>
        <v>2.685623834</v>
      </c>
      <c r="AZ232" s="30">
        <f>IFERROR(__xludf.DUMMYFUNCTION("""COMPUTED_VALUE"""),0.7387916493531748)</f>
        <v>0.7387916494</v>
      </c>
      <c r="BA232" s="30">
        <f>IFERROR(__xludf.DUMMYFUNCTION("""COMPUTED_VALUE"""),800.0)</f>
        <v>800</v>
      </c>
    </row>
    <row r="233">
      <c r="A233" s="30" t="str">
        <f>IFERROR(__xludf.DUMMYFUNCTION("""COMPUTED_VALUE"""),"Elite")</f>
        <v>Elite</v>
      </c>
      <c r="B233" s="30" t="str">
        <f>IFERROR(__xludf.DUMMYFUNCTION("""COMPUTED_VALUE"""),"RSC001019")</f>
        <v>RSC001019</v>
      </c>
      <c r="C233" s="30" t="str">
        <f>IFERROR(__xludf.DUMMYFUNCTION("""COMPUTED_VALUE"""),"Surge")</f>
        <v>Surge</v>
      </c>
      <c r="D233" s="30"/>
      <c r="E233" s="30">
        <f>IFERROR(__xludf.DUMMYFUNCTION("""COMPUTED_VALUE"""),8.0)</f>
        <v>8</v>
      </c>
      <c r="F233" s="30">
        <f>IFERROR(__xludf.DUMMYFUNCTION("""COMPUTED_VALUE"""),4.0)</f>
        <v>4</v>
      </c>
      <c r="G233" s="30">
        <f>IFERROR(__xludf.DUMMYFUNCTION("""COMPUTED_VALUE"""),4.0)</f>
        <v>4</v>
      </c>
      <c r="H233" s="42">
        <f>IFERROR(__xludf.DUMMYFUNCTION("""COMPUTED_VALUE"""),0.5)</f>
        <v>0.5</v>
      </c>
      <c r="I233" s="42">
        <f>IFERROR(__xludf.DUMMYFUNCTION("""COMPUTED_VALUE"""),0.5)</f>
        <v>0.5</v>
      </c>
      <c r="J233" s="30">
        <f>IFERROR(__xludf.DUMMYFUNCTION("""COMPUTED_VALUE"""),287.25)</f>
        <v>287.25</v>
      </c>
      <c r="K233" s="30">
        <f>IFERROR(__xludf.DUMMYFUNCTION("""COMPUTED_VALUE"""),0.625)</f>
        <v>0.625</v>
      </c>
      <c r="L233" s="30">
        <f>IFERROR(__xludf.DUMMYFUNCTION("""COMPUTED_VALUE"""),0.75)</f>
        <v>0.75</v>
      </c>
      <c r="M233" s="30">
        <f>IFERROR(__xludf.DUMMYFUNCTION("""COMPUTED_VALUE"""),1.125)</f>
        <v>1.125</v>
      </c>
      <c r="N233" s="30">
        <f>IFERROR(__xludf.DUMMYFUNCTION("""COMPUTED_VALUE"""),1.25)</f>
        <v>1.25</v>
      </c>
      <c r="O233" s="30">
        <f>IFERROR(__xludf.DUMMYFUNCTION("""COMPUTED_VALUE"""),352.0)</f>
        <v>352</v>
      </c>
      <c r="P233" s="30">
        <f>IFERROR(__xludf.DUMMYFUNCTION("""COMPUTED_VALUE"""),0.875)</f>
        <v>0.875</v>
      </c>
      <c r="Q233" s="30">
        <f>IFERROR(__xludf.DUMMYFUNCTION("""COMPUTED_VALUE"""),0.5833333333333333)</f>
        <v>0.5833333333</v>
      </c>
      <c r="R233" s="30">
        <f>IFERROR(__xludf.DUMMYFUNCTION("""COMPUTED_VALUE"""),1.25)</f>
        <v>1.25</v>
      </c>
      <c r="S233" s="30">
        <f>IFERROR(__xludf.DUMMYFUNCTION("""COMPUTED_VALUE"""),2.583333333333333)</f>
        <v>2.583333333</v>
      </c>
      <c r="T233" s="30">
        <f>IFERROR(__xludf.DUMMYFUNCTION("""COMPUTED_VALUE"""),373.8263395380786)</f>
        <v>373.8263395</v>
      </c>
      <c r="U233" s="30">
        <f>IFERROR(__xludf.DUMMYFUNCTION("""COMPUTED_VALUE"""),0.8528732137427788)</f>
        <v>0.8528732137</v>
      </c>
      <c r="V233" s="30">
        <f>IFERROR(__xludf.DUMMYFUNCTION("""COMPUTED_VALUE"""),0.6561702588876501)</f>
        <v>0.6561702589</v>
      </c>
      <c r="W233" s="30">
        <f>IFERROR(__xludf.DUMMYFUNCTION("""COMPUTED_VALUE"""),1.4425100503361374)</f>
        <v>1.44251005</v>
      </c>
      <c r="X233" s="30">
        <f>IFERROR(__xludf.DUMMYFUNCTION("""COMPUTED_VALUE"""),2.6986060437147392)</f>
        <v>2.698606044</v>
      </c>
      <c r="Y233" s="30">
        <f>IFERROR(__xludf.DUMMYFUNCTION("""COMPUTED_VALUE"""),375.1708848143268)</f>
        <v>375.1708848</v>
      </c>
      <c r="Z233" s="30">
        <f>IFERROR(__xludf.DUMMYFUNCTION("""COMPUTED_VALUE"""),0.8485162194220167)</f>
        <v>0.8485162194</v>
      </c>
      <c r="AA233" s="30">
        <f>IFERROR(__xludf.DUMMYFUNCTION("""COMPUTED_VALUE"""),0.6443805952501606)</f>
        <v>0.6443805953</v>
      </c>
      <c r="AB233" s="30">
        <f>IFERROR(__xludf.DUMMYFUNCTION("""COMPUTED_VALUE"""),1.445289676775184)</f>
        <v>1.445289677</v>
      </c>
      <c r="AC233" s="30">
        <f>IFERROR(__xludf.DUMMYFUNCTION("""COMPUTED_VALUE"""),2.698936597487323)</f>
        <v>2.698936597</v>
      </c>
      <c r="AD233" s="30">
        <f>IFERROR(__xludf.DUMMYFUNCTION("""COMPUTED_VALUE"""),0.7656510982779511)</f>
        <v>0.7656510983</v>
      </c>
      <c r="AE233" s="30">
        <f>IFERROR(__xludf.DUMMYFUNCTION("""COMPUTED_VALUE"""),0.7365799093690052)</f>
        <v>0.7365799094</v>
      </c>
      <c r="AF233" s="30">
        <f>IFERROR(__xludf.DUMMYFUNCTION("""COMPUTED_VALUE"""),1.1639084192298434)</f>
        <v>1.163908419</v>
      </c>
      <c r="AG233" s="30">
        <f>IFERROR(__xludf.DUMMYFUNCTION("""COMPUTED_VALUE"""),0.7783906701043951)</f>
        <v>0.7783906701</v>
      </c>
      <c r="AH233" s="30">
        <f>IFERROR(__xludf.DUMMYFUNCTION("""COMPUTED_VALUE"""),0.4631453740572249)</f>
        <v>0.4631453741</v>
      </c>
      <c r="AI233" s="30">
        <f>IFERROR(__xludf.DUMMYFUNCTION("""COMPUTED_VALUE"""),0.9416136926973939)</f>
        <v>0.9416136927</v>
      </c>
      <c r="AJ233" s="30">
        <f>IFERROR(__xludf.DUMMYFUNCTION("""COMPUTED_VALUE"""),1.0259438166197286)</f>
        <v>1.025943817</v>
      </c>
      <c r="AK233" s="30">
        <f>IFERROR(__xludf.DUMMYFUNCTION("""COMPUTED_VALUE"""),0.8889969111404239)</f>
        <v>0.8889969111</v>
      </c>
      <c r="AL233" s="30">
        <f>IFERROR(__xludf.DUMMYFUNCTION("""COMPUTED_VALUE"""),0.8665450890333289)</f>
        <v>0.866545089</v>
      </c>
      <c r="AM233" s="30">
        <f>IFERROR(__xludf.DUMMYFUNCTION("""COMPUTED_VALUE"""),0.9572843503223135)</f>
        <v>0.9572843503</v>
      </c>
      <c r="AN233" s="30">
        <f>IFERROR(__xludf.DUMMYFUNCTION("""COMPUTED_VALUE"""),0.8193329783692858)</f>
        <v>0.8193329784</v>
      </c>
      <c r="AO233" s="30">
        <f>IFERROR(__xludf.DUMMYFUNCTION("""COMPUTED_VALUE"""),0.8816583578757595)</f>
        <v>0.8816583579</v>
      </c>
      <c r="AP233" s="30">
        <f>IFERROR(__xludf.DUMMYFUNCTION("""COMPUTED_VALUE"""),1.3137648467717025)</f>
        <v>1.313764847</v>
      </c>
      <c r="AQ233" s="30">
        <f>IFERROR(__xludf.DUMMYFUNCTION("""COMPUTED_VALUE"""),0.7892307975929963)</f>
        <v>0.7892307976</v>
      </c>
      <c r="AR233" s="30">
        <f>IFERROR(__xludf.DUMMYFUNCTION("""COMPUTED_VALUE"""),0.4986613340607291)</f>
        <v>0.4986613341</v>
      </c>
      <c r="AS233" s="30">
        <f>IFERROR(__xludf.DUMMYFUNCTION("""COMPUTED_VALUE"""),20.0)</f>
        <v>20</v>
      </c>
      <c r="AT233" s="30">
        <f>IFERROR(__xludf.DUMMYFUNCTION("""COMPUTED_VALUE"""),0.480513474921211)</f>
        <v>0.4805134749</v>
      </c>
      <c r="AU233" s="30">
        <f>IFERROR(__xludf.DUMMYFUNCTION("""COMPUTED_VALUE"""),1.8015128511817748)</f>
        <v>1.801512851</v>
      </c>
      <c r="AV233" s="32">
        <f>IFERROR(__xludf.DUMMYFUNCTION("""COMPUTED_VALUE"""),32.966329555520595)</f>
        <v>32.96632956</v>
      </c>
      <c r="AW233" s="32">
        <f>IFERROR(__xludf.DUMMYFUNCTION("""COMPUTED_VALUE"""),-4.035088600762601)</f>
        <v>-4.035088601</v>
      </c>
      <c r="AX233" s="32">
        <f>IFERROR(__xludf.DUMMYFUNCTION("""COMPUTED_VALUE"""),29.848105397747666)</f>
        <v>29.8481054</v>
      </c>
      <c r="AY233" s="32">
        <f>IFERROR(__xludf.DUMMYFUNCTION("""COMPUTED_VALUE"""),-4.759647856412048)</f>
        <v>-4.759647856</v>
      </c>
      <c r="AZ233" s="30">
        <f>IFERROR(__xludf.DUMMYFUNCTION("""COMPUTED_VALUE"""),0.7245592556494476)</f>
        <v>0.7245592556</v>
      </c>
      <c r="BA233" s="30">
        <f>IFERROR(__xludf.DUMMYFUNCTION("""COMPUTED_VALUE"""),800.0)</f>
        <v>800</v>
      </c>
    </row>
    <row r="234">
      <c r="A234" s="30" t="str">
        <f>IFERROR(__xludf.DUMMYFUNCTION("""COMPUTED_VALUE"""),"Elite")</f>
        <v>Elite</v>
      </c>
      <c r="B234" s="30" t="str">
        <f>IFERROR(__xludf.DUMMYFUNCTION("""COMPUTED_VALUE"""),"RSC006193")</f>
        <v>RSC006193</v>
      </c>
      <c r="C234" s="30" t="str">
        <f>IFERROR(__xludf.DUMMYFUNCTION("""COMPUTED_VALUE"""),"Saucy Rexy")</f>
        <v>Saucy Rexy</v>
      </c>
      <c r="D234" s="30" t="str">
        <f>IFERROR(__xludf.DUMMYFUNCTION("""COMPUTED_VALUE"""),"Keno")</f>
        <v>Keno</v>
      </c>
      <c r="E234" s="30">
        <f>IFERROR(__xludf.DUMMYFUNCTION("""COMPUTED_VALUE"""),30.0)</f>
        <v>30</v>
      </c>
      <c r="F234" s="30">
        <f>IFERROR(__xludf.DUMMYFUNCTION("""COMPUTED_VALUE"""),13.0)</f>
        <v>13</v>
      </c>
      <c r="G234" s="30">
        <f>IFERROR(__xludf.DUMMYFUNCTION("""COMPUTED_VALUE"""),17.0)</f>
        <v>17</v>
      </c>
      <c r="H234" s="42">
        <f>IFERROR(__xludf.DUMMYFUNCTION("""COMPUTED_VALUE"""),0.43333333333333335)</f>
        <v>0.4333333333</v>
      </c>
      <c r="I234" s="42">
        <f>IFERROR(__xludf.DUMMYFUNCTION("""COMPUTED_VALUE"""),0.4642857142857143)</f>
        <v>0.4642857143</v>
      </c>
      <c r="J234" s="30">
        <f>IFERROR(__xludf.DUMMYFUNCTION("""COMPUTED_VALUE"""),354.03333333333336)</f>
        <v>354.0333333</v>
      </c>
      <c r="K234" s="30">
        <f>IFERROR(__xludf.DUMMYFUNCTION("""COMPUTED_VALUE"""),0.8666666666666667)</f>
        <v>0.8666666667</v>
      </c>
      <c r="L234" s="30">
        <f>IFERROR(__xludf.DUMMYFUNCTION("""COMPUTED_VALUE"""),0.4)</f>
        <v>0.4</v>
      </c>
      <c r="M234" s="30">
        <f>IFERROR(__xludf.DUMMYFUNCTION("""COMPUTED_VALUE"""),1.6333333333333333)</f>
        <v>1.633333333</v>
      </c>
      <c r="N234" s="30">
        <f>IFERROR(__xludf.DUMMYFUNCTION("""COMPUTED_VALUE"""),1.8666666666666667)</f>
        <v>1.866666667</v>
      </c>
      <c r="O234" s="30">
        <f>IFERROR(__xludf.DUMMYFUNCTION("""COMPUTED_VALUE"""),341.23333333333335)</f>
        <v>341.2333333</v>
      </c>
      <c r="P234" s="30">
        <f>IFERROR(__xludf.DUMMYFUNCTION("""COMPUTED_VALUE"""),0.6999999999999998)</f>
        <v>0.7</v>
      </c>
      <c r="Q234" s="30">
        <f>IFERROR(__xludf.DUMMYFUNCTION("""COMPUTED_VALUE"""),0.5111111111111112)</f>
        <v>0.5111111111</v>
      </c>
      <c r="R234" s="30">
        <f>IFERROR(__xludf.DUMMYFUNCTION("""COMPUTED_VALUE"""),1.1777777777777783)</f>
        <v>1.177777778</v>
      </c>
      <c r="S234" s="30">
        <f>IFERROR(__xludf.DUMMYFUNCTION("""COMPUTED_VALUE"""),2.9333333333333327)</f>
        <v>2.933333333</v>
      </c>
      <c r="T234" s="30">
        <f>IFERROR(__xludf.DUMMYFUNCTION("""COMPUTED_VALUE"""),366.4183095117142)</f>
        <v>366.4183095</v>
      </c>
      <c r="U234" s="30">
        <f>IFERROR(__xludf.DUMMYFUNCTION("""COMPUTED_VALUE"""),0.8099368054704053)</f>
        <v>0.8099368055</v>
      </c>
      <c r="V234" s="30">
        <f>IFERROR(__xludf.DUMMYFUNCTION("""COMPUTED_VALUE"""),0.6048455669244274)</f>
        <v>0.6048455669</v>
      </c>
      <c r="W234" s="30">
        <f>IFERROR(__xludf.DUMMYFUNCTION("""COMPUTED_VALUE"""),1.3810617616963483)</f>
        <v>1.381061762</v>
      </c>
      <c r="X234" s="30">
        <f>IFERROR(__xludf.DUMMYFUNCTION("""COMPUTED_VALUE"""),2.806567863718776)</f>
        <v>2.806567864</v>
      </c>
      <c r="Y234" s="30">
        <f>IFERROR(__xludf.DUMMYFUNCTION("""COMPUTED_VALUE"""),353.16946727393463)</f>
        <v>353.1694673</v>
      </c>
      <c r="Z234" s="30">
        <f>IFERROR(__xludf.DUMMYFUNCTION("""COMPUTED_VALUE"""),0.7189501926971958)</f>
        <v>0.7189501927</v>
      </c>
      <c r="AA234" s="30">
        <f>IFERROR(__xludf.DUMMYFUNCTION("""COMPUTED_VALUE"""),0.5397282695527036)</f>
        <v>0.5397282696</v>
      </c>
      <c r="AB234" s="30">
        <f>IFERROR(__xludf.DUMMYFUNCTION("""COMPUTED_VALUE"""),1.4654179487508814)</f>
        <v>1.465417949</v>
      </c>
      <c r="AC234" s="30">
        <f>IFERROR(__xludf.DUMMYFUNCTION("""COMPUTED_VALUE"""),2.532499939516741)</f>
        <v>2.53249994</v>
      </c>
      <c r="AD234" s="30">
        <f>IFERROR(__xludf.DUMMYFUNCTION("""COMPUTED_VALUE"""),1.0024460383454628)</f>
        <v>1.002446038</v>
      </c>
      <c r="AE234" s="30">
        <f>IFERROR(__xludf.DUMMYFUNCTION("""COMPUTED_VALUE"""),1.2054613455423127)</f>
        <v>1.205461346</v>
      </c>
      <c r="AF234" s="30">
        <f>IFERROR(__xludf.DUMMYFUNCTION("""COMPUTED_VALUE"""),0.7411136724994922)</f>
        <v>0.7411136725</v>
      </c>
      <c r="AG234" s="30">
        <f>IFERROR(__xludf.DUMMYFUNCTION("""COMPUTED_VALUE"""),1.1145853199939189)</f>
        <v>1.11458532</v>
      </c>
      <c r="AH234" s="30">
        <f>IFERROR(__xludf.DUMMYFUNCTION("""COMPUTED_VALUE"""),0.7370845848955359)</f>
        <v>0.7370845849</v>
      </c>
      <c r="AI234" s="30">
        <f>IFERROR(__xludf.DUMMYFUNCTION("""COMPUTED_VALUE"""),0.9312671459787527)</f>
        <v>0.931267146</v>
      </c>
      <c r="AJ234" s="30">
        <f>IFERROR(__xludf.DUMMYFUNCTION("""COMPUTED_VALUE"""),0.8642649590339891)</f>
        <v>0.864264959</v>
      </c>
      <c r="AK234" s="30">
        <f>IFERROR(__xludf.DUMMYFUNCTION("""COMPUTED_VALUE"""),0.8450274566945319)</f>
        <v>0.8450274567</v>
      </c>
      <c r="AL234" s="30">
        <f>IFERROR(__xludf.DUMMYFUNCTION("""COMPUTED_VALUE"""),0.8528060152292698)</f>
        <v>0.8528060152</v>
      </c>
      <c r="AM234" s="30">
        <f>IFERROR(__xludf.DUMMYFUNCTION("""COMPUTED_VALUE"""),1.0451674343076776)</f>
        <v>1.045167434</v>
      </c>
      <c r="AN234" s="30">
        <f>IFERROR(__xludf.DUMMYFUNCTION("""COMPUTED_VALUE"""),1.0098213592411005)</f>
        <v>1.009821359</v>
      </c>
      <c r="AO234" s="30">
        <f>IFERROR(__xludf.DUMMYFUNCTION("""COMPUTED_VALUE"""),1.2225662562543866)</f>
        <v>1.222566256</v>
      </c>
      <c r="AP234" s="30">
        <f>IFERROR(__xludf.DUMMYFUNCTION("""COMPUTED_VALUE"""),0.700674584944908)</f>
        <v>0.7006745849</v>
      </c>
      <c r="AQ234" s="30">
        <f>IFERROR(__xludf.DUMMYFUNCTION("""COMPUTED_VALUE"""),1.1458461950239058)</f>
        <v>1.145846195</v>
      </c>
      <c r="AR234" s="30">
        <f>IFERROR(__xludf.DUMMYFUNCTION("""COMPUTED_VALUE"""),0.7446675921973555)</f>
        <v>0.7446675922</v>
      </c>
      <c r="AS234" s="30">
        <f>IFERROR(__xludf.DUMMYFUNCTION("""COMPUTED_VALUE"""),57.0)</f>
        <v>57</v>
      </c>
      <c r="AT234" s="30">
        <f>IFERROR(__xludf.DUMMYFUNCTION("""COMPUTED_VALUE"""),0.46282155599257707)</f>
        <v>0.462821556</v>
      </c>
      <c r="AU234" s="30">
        <f>IFERROR(__xludf.DUMMYFUNCTION("""COMPUTED_VALUE"""),2.368876294609343)</f>
        <v>2.368876295</v>
      </c>
      <c r="AV234" s="32">
        <f>IFERROR(__xludf.DUMMYFUNCTION("""COMPUTED_VALUE"""),49.28609247982995)</f>
        <v>49.28609248</v>
      </c>
      <c r="AW234" s="32">
        <f>IFERROR(__xludf.DUMMYFUNCTION("""COMPUTED_VALUE"""),-2.046625265607564)</f>
        <v>-2.046625266</v>
      </c>
      <c r="AX234" s="32">
        <f>IFERROR(__xludf.DUMMYFUNCTION("""COMPUTED_VALUE"""),41.46648315288611)</f>
        <v>41.46648315</v>
      </c>
      <c r="AY234" s="32">
        <f>IFERROR(__xludf.DUMMYFUNCTION("""COMPUTED_VALUE"""),-2.729082116561465)</f>
        <v>-2.729082117</v>
      </c>
      <c r="AZ234" s="30">
        <f>IFERROR(__xludf.DUMMYFUNCTION("""COMPUTED_VALUE"""),0.6824568509539009)</f>
        <v>0.682456851</v>
      </c>
      <c r="BA234" s="30">
        <f>IFERROR(__xludf.DUMMYFUNCTION("""COMPUTED_VALUE"""),800.0)</f>
        <v>800</v>
      </c>
    </row>
    <row r="235">
      <c r="A235" s="30" t="str">
        <f>IFERROR(__xludf.DUMMYFUNCTION("""COMPUTED_VALUE"""),"Elite")</f>
        <v>Elite</v>
      </c>
      <c r="B235" s="30" t="str">
        <f>IFERROR(__xludf.DUMMYFUNCTION("""COMPUTED_VALUE"""),"RSC003427")</f>
        <v>RSC003427</v>
      </c>
      <c r="C235" s="30" t="str">
        <f>IFERROR(__xludf.DUMMYFUNCTION("""COMPUTED_VALUE"""),"(P|F)ineapple")</f>
        <v>(P|F)ineapple</v>
      </c>
      <c r="D235" s="30" t="str">
        <f>IFERROR(__xludf.DUMMYFUNCTION("""COMPUTED_VALUE"""),"Orochi")</f>
        <v>Orochi</v>
      </c>
      <c r="E235" s="30">
        <f>IFERROR(__xludf.DUMMYFUNCTION("""COMPUTED_VALUE"""),41.0)</f>
        <v>41</v>
      </c>
      <c r="F235" s="30">
        <f>IFERROR(__xludf.DUMMYFUNCTION("""COMPUTED_VALUE"""),17.0)</f>
        <v>17</v>
      </c>
      <c r="G235" s="30">
        <f>IFERROR(__xludf.DUMMYFUNCTION("""COMPUTED_VALUE"""),24.0)</f>
        <v>24</v>
      </c>
      <c r="H235" s="42">
        <f>IFERROR(__xludf.DUMMYFUNCTION("""COMPUTED_VALUE"""),0.4146341463414634)</f>
        <v>0.4146341463</v>
      </c>
      <c r="I235" s="42">
        <f>IFERROR(__xludf.DUMMYFUNCTION("""COMPUTED_VALUE"""),0.367816091954023)</f>
        <v>0.367816092</v>
      </c>
      <c r="J235" s="30">
        <f>IFERROR(__xludf.DUMMYFUNCTION("""COMPUTED_VALUE"""),348.2926829268293)</f>
        <v>348.2926829</v>
      </c>
      <c r="K235" s="30">
        <f>IFERROR(__xludf.DUMMYFUNCTION("""COMPUTED_VALUE"""),0.7804878048780488)</f>
        <v>0.7804878049</v>
      </c>
      <c r="L235" s="30">
        <f>IFERROR(__xludf.DUMMYFUNCTION("""COMPUTED_VALUE"""),0.4634146341463415)</f>
        <v>0.4634146341</v>
      </c>
      <c r="M235" s="30">
        <f>IFERROR(__xludf.DUMMYFUNCTION("""COMPUTED_VALUE"""),1.6097560975609757)</f>
        <v>1.609756098</v>
      </c>
      <c r="N235" s="30">
        <f>IFERROR(__xludf.DUMMYFUNCTION("""COMPUTED_VALUE"""),2.1219512195121952)</f>
        <v>2.12195122</v>
      </c>
      <c r="O235" s="30">
        <f>IFERROR(__xludf.DUMMYFUNCTION("""COMPUTED_VALUE"""),353.130081300813)</f>
        <v>353.1300813</v>
      </c>
      <c r="P235" s="30">
        <f>IFERROR(__xludf.DUMMYFUNCTION("""COMPUTED_VALUE"""),0.7967479674796746)</f>
        <v>0.7967479675</v>
      </c>
      <c r="Q235" s="30">
        <f>IFERROR(__xludf.DUMMYFUNCTION("""COMPUTED_VALUE"""),0.5853658536585366)</f>
        <v>0.5853658537</v>
      </c>
      <c r="R235" s="30">
        <f>IFERROR(__xludf.DUMMYFUNCTION("""COMPUTED_VALUE"""),1.2520325203252032)</f>
        <v>1.25203252</v>
      </c>
      <c r="S235" s="30">
        <f>IFERROR(__xludf.DUMMYFUNCTION("""COMPUTED_VALUE"""),2.8536585365853666)</f>
        <v>2.853658537</v>
      </c>
      <c r="T235" s="30">
        <f>IFERROR(__xludf.DUMMYFUNCTION("""COMPUTED_VALUE"""),366.0562428389915)</f>
        <v>366.0562428</v>
      </c>
      <c r="U235" s="30">
        <f>IFERROR(__xludf.DUMMYFUNCTION("""COMPUTED_VALUE"""),0.7857346084795688)</f>
        <v>0.7857346085</v>
      </c>
      <c r="V235" s="30">
        <f>IFERROR(__xludf.DUMMYFUNCTION("""COMPUTED_VALUE"""),0.604760345969929)</f>
        <v>0.604760346</v>
      </c>
      <c r="W235" s="30">
        <f>IFERROR(__xludf.DUMMYFUNCTION("""COMPUTED_VALUE"""),1.4022603910974258)</f>
        <v>1.402260391</v>
      </c>
      <c r="X235" s="30">
        <f>IFERROR(__xludf.DUMMYFUNCTION("""COMPUTED_VALUE"""),2.801707833371502)</f>
        <v>2.801707833</v>
      </c>
      <c r="Y235" s="30">
        <f>IFERROR(__xludf.DUMMYFUNCTION("""COMPUTED_VALUE"""),354.7548419618872)</f>
        <v>354.754842</v>
      </c>
      <c r="Z235" s="30">
        <f>IFERROR(__xludf.DUMMYFUNCTION("""COMPUTED_VALUE"""),0.7026089276397505)</f>
        <v>0.7026089276</v>
      </c>
      <c r="AA235" s="30">
        <f>IFERROR(__xludf.DUMMYFUNCTION("""COMPUTED_VALUE"""),0.5330417719434628)</f>
        <v>0.5330417719</v>
      </c>
      <c r="AB235" s="30">
        <f>IFERROR(__xludf.DUMMYFUNCTION("""COMPUTED_VALUE"""),1.5079865398921417)</f>
        <v>1.50798654</v>
      </c>
      <c r="AC235" s="30">
        <f>IFERROR(__xludf.DUMMYFUNCTION("""COMPUTED_VALUE"""),2.556285485990196)</f>
        <v>2.556285486</v>
      </c>
      <c r="AD235" s="30">
        <f>IFERROR(__xludf.DUMMYFUNCTION("""COMPUTED_VALUE"""),0.98178415550491)</f>
        <v>0.9817841555</v>
      </c>
      <c r="AE235" s="30">
        <f>IFERROR(__xludf.DUMMYFUNCTION("""COMPUTED_VALUE"""),1.1108424248179056)</f>
        <v>1.110842425</v>
      </c>
      <c r="AF235" s="30">
        <f>IFERROR(__xludf.DUMMYFUNCTION("""COMPUTED_VALUE"""),0.8693777083487064)</f>
        <v>0.8693777083</v>
      </c>
      <c r="AG235" s="30">
        <f>IFERROR(__xludf.DUMMYFUNCTION("""COMPUTED_VALUE"""),1.0674870464534205)</f>
        <v>1.067487046</v>
      </c>
      <c r="AH235" s="30">
        <f>IFERROR(__xludf.DUMMYFUNCTION("""COMPUTED_VALUE"""),0.8300916431836806)</f>
        <v>0.8300916432</v>
      </c>
      <c r="AI235" s="30">
        <f>IFERROR(__xludf.DUMMYFUNCTION("""COMPUTED_VALUE"""),0.9646880450994957)</f>
        <v>0.9646880451</v>
      </c>
      <c r="AJ235" s="30">
        <f>IFERROR(__xludf.DUMMYFUNCTION("""COMPUTED_VALUE"""),1.0140166398186496)</f>
        <v>1.01401664</v>
      </c>
      <c r="AK235" s="30">
        <f>IFERROR(__xludf.DUMMYFUNCTION("""COMPUTED_VALUE"""),0.9679302843834989)</f>
        <v>0.9679302844</v>
      </c>
      <c r="AL235" s="30">
        <f>IFERROR(__xludf.DUMMYFUNCTION("""COMPUTED_VALUE"""),0.8928673506532888)</f>
        <v>0.8928673507</v>
      </c>
      <c r="AM235" s="30">
        <f>IFERROR(__xludf.DUMMYFUNCTION("""COMPUTED_VALUE"""),1.0185425127470726)</f>
        <v>1.018542513</v>
      </c>
      <c r="AN235" s="30">
        <f>IFERROR(__xludf.DUMMYFUNCTION("""COMPUTED_VALUE"""),0.9934471061676877)</f>
        <v>0.9934471062</v>
      </c>
      <c r="AO235" s="30">
        <f>IFERROR(__xludf.DUMMYFUNCTION("""COMPUTED_VALUE"""),1.1009977542253389)</f>
        <v>1.100997754</v>
      </c>
      <c r="AP235" s="30">
        <f>IFERROR(__xludf.DUMMYFUNCTION("""COMPUTED_VALUE"""),0.8117571410947104)</f>
        <v>0.8117571411</v>
      </c>
      <c r="AQ235" s="30">
        <f>IFERROR(__xludf.DUMMYFUNCTION("""COMPUTED_VALUE"""),1.1293058567184338)</f>
        <v>1.129305857</v>
      </c>
      <c r="AR235" s="30">
        <f>IFERROR(__xludf.DUMMYFUNCTION("""COMPUTED_VALUE"""),0.8465080207469938)</f>
        <v>0.8465080207</v>
      </c>
      <c r="AS235" s="30">
        <f>IFERROR(__xludf.DUMMYFUNCTION("""COMPUTED_VALUE"""),77.0)</f>
        <v>77</v>
      </c>
      <c r="AT235" s="30">
        <f>IFERROR(__xludf.DUMMYFUNCTION("""COMPUTED_VALUE"""),0.40956682190022914)</f>
        <v>0.4095668219</v>
      </c>
      <c r="AU235" s="30">
        <f>IFERROR(__xludf.DUMMYFUNCTION("""COMPUTED_VALUE"""),2.334231638823566)</f>
        <v>2.334231639</v>
      </c>
      <c r="AV235" s="32">
        <f>IFERROR(__xludf.DUMMYFUNCTION("""COMPUTED_VALUE"""),48.289566222158996)</f>
        <v>48.28956622</v>
      </c>
      <c r="AW235" s="32">
        <f>IFERROR(__xludf.DUMMYFUNCTION("""COMPUTED_VALUE"""),-2.115387155878874)</f>
        <v>-2.115387156</v>
      </c>
      <c r="AX235" s="32">
        <f>IFERROR(__xludf.DUMMYFUNCTION("""COMPUTED_VALUE"""),40.91268209241585)</f>
        <v>40.91268209</v>
      </c>
      <c r="AY235" s="32">
        <f>IFERROR(__xludf.DUMMYFUNCTION("""COMPUTED_VALUE"""),-2.7923723720723475)</f>
        <v>-2.792372372</v>
      </c>
      <c r="AZ235" s="30">
        <f>IFERROR(__xludf.DUMMYFUNCTION("""COMPUTED_VALUE"""),0.6769852161934735)</f>
        <v>0.6769852162</v>
      </c>
      <c r="BA235" s="30">
        <f>IFERROR(__xludf.DUMMYFUNCTION("""COMPUTED_VALUE"""),800.0)</f>
        <v>800</v>
      </c>
    </row>
    <row r="236">
      <c r="A236" s="30" t="str">
        <f>IFERROR(__xludf.DUMMYFUNCTION("""COMPUTED_VALUE"""),"Elite")</f>
        <v>Elite</v>
      </c>
      <c r="B236" s="30" t="str">
        <f>IFERROR(__xludf.DUMMYFUNCTION("""COMPUTED_VALUE"""),"RSC006783")</f>
        <v>RSC006783</v>
      </c>
      <c r="C236" s="30" t="str">
        <f>IFERROR(__xludf.DUMMYFUNCTION("""COMPUTED_VALUE"""),"ImSouperGreat")</f>
        <v>ImSouperGreat</v>
      </c>
      <c r="D236" s="30" t="str">
        <f>IFERROR(__xludf.DUMMYFUNCTION("""COMPUTED_VALUE"""),"Sloths")</f>
        <v>Sloths</v>
      </c>
      <c r="E236" s="30">
        <f>IFERROR(__xludf.DUMMYFUNCTION("""COMPUTED_VALUE"""),48.0)</f>
        <v>48</v>
      </c>
      <c r="F236" s="30">
        <f>IFERROR(__xludf.DUMMYFUNCTION("""COMPUTED_VALUE"""),23.0)</f>
        <v>23</v>
      </c>
      <c r="G236" s="30">
        <f>IFERROR(__xludf.DUMMYFUNCTION("""COMPUTED_VALUE"""),25.0)</f>
        <v>25</v>
      </c>
      <c r="H236" s="42">
        <f>IFERROR(__xludf.DUMMYFUNCTION("""COMPUTED_VALUE"""),0.4791666666666667)</f>
        <v>0.4791666667</v>
      </c>
      <c r="I236" s="42">
        <f>IFERROR(__xludf.DUMMYFUNCTION("""COMPUTED_VALUE"""),0.3387096774193548)</f>
        <v>0.3387096774</v>
      </c>
      <c r="J236" s="30">
        <f>IFERROR(__xludf.DUMMYFUNCTION("""COMPUTED_VALUE"""),407.9375)</f>
        <v>407.9375</v>
      </c>
      <c r="K236" s="30">
        <f>IFERROR(__xludf.DUMMYFUNCTION("""COMPUTED_VALUE"""),0.875)</f>
        <v>0.875</v>
      </c>
      <c r="L236" s="30">
        <f>IFERROR(__xludf.DUMMYFUNCTION("""COMPUTED_VALUE"""),0.5416666666666666)</f>
        <v>0.5416666667</v>
      </c>
      <c r="M236" s="30">
        <f>IFERROR(__xludf.DUMMYFUNCTION("""COMPUTED_VALUE"""),1.9375)</f>
        <v>1.9375</v>
      </c>
      <c r="N236" s="30">
        <f>IFERROR(__xludf.DUMMYFUNCTION("""COMPUTED_VALUE"""),2.5833333333333335)</f>
        <v>2.583333333</v>
      </c>
      <c r="O236" s="30">
        <f>IFERROR(__xludf.DUMMYFUNCTION("""COMPUTED_VALUE"""),354.3194444444445)</f>
        <v>354.3194444</v>
      </c>
      <c r="P236" s="30">
        <f>IFERROR(__xludf.DUMMYFUNCTION("""COMPUTED_VALUE"""),0.7083333333333331)</f>
        <v>0.7083333333</v>
      </c>
      <c r="Q236" s="30">
        <f>IFERROR(__xludf.DUMMYFUNCTION("""COMPUTED_VALUE"""),0.5347222222222222)</f>
        <v>0.5347222222</v>
      </c>
      <c r="R236" s="30">
        <f>IFERROR(__xludf.DUMMYFUNCTION("""COMPUTED_VALUE"""),1.4652777777777777)</f>
        <v>1.465277778</v>
      </c>
      <c r="S236" s="30">
        <f>IFERROR(__xludf.DUMMYFUNCTION("""COMPUTED_VALUE"""),2.673611111111111)</f>
        <v>2.673611111</v>
      </c>
      <c r="T236" s="30">
        <f>IFERROR(__xludf.DUMMYFUNCTION("""COMPUTED_VALUE"""),363.23077200391594)</f>
        <v>363.230772</v>
      </c>
      <c r="U236" s="30">
        <f>IFERROR(__xludf.DUMMYFUNCTION("""COMPUTED_VALUE"""),0.7746166878774022)</f>
        <v>0.7746166879</v>
      </c>
      <c r="V236" s="30">
        <f>IFERROR(__xludf.DUMMYFUNCTION("""COMPUTED_VALUE"""),0.601334526419628)</f>
        <v>0.6013345264</v>
      </c>
      <c r="W236" s="30">
        <f>IFERROR(__xludf.DUMMYFUNCTION("""COMPUTED_VALUE"""),1.43489538020329)</f>
        <v>1.43489538</v>
      </c>
      <c r="X236" s="30">
        <f>IFERROR(__xludf.DUMMYFUNCTION("""COMPUTED_VALUE"""),2.6422969932430953)</f>
        <v>2.642296993</v>
      </c>
      <c r="Y236" s="30">
        <f>IFERROR(__xludf.DUMMYFUNCTION("""COMPUTED_VALUE"""),365.20386466708527)</f>
        <v>365.2038647</v>
      </c>
      <c r="Z236" s="30">
        <f>IFERROR(__xludf.DUMMYFUNCTION("""COMPUTED_VALUE"""),0.7816582281951159)</f>
        <v>0.7816582282</v>
      </c>
      <c r="AA236" s="30">
        <f>IFERROR(__xludf.DUMMYFUNCTION("""COMPUTED_VALUE"""),0.5855246266475067)</f>
        <v>0.5855246266</v>
      </c>
      <c r="AB236" s="30">
        <f>IFERROR(__xludf.DUMMYFUNCTION("""COMPUTED_VALUE"""),1.4746636218705822)</f>
        <v>1.474663622</v>
      </c>
      <c r="AC236" s="30">
        <f>IFERROR(__xludf.DUMMYFUNCTION("""COMPUTED_VALUE"""),2.6653824508141066)</f>
        <v>2.665382451</v>
      </c>
      <c r="AD236" s="30">
        <f>IFERROR(__xludf.DUMMYFUNCTION("""COMPUTED_VALUE"""),1.117013097251504)</f>
        <v>1.117013097</v>
      </c>
      <c r="AE236" s="30">
        <f>IFERROR(__xludf.DUMMYFUNCTION("""COMPUTED_VALUE"""),1.1194150697043317)</f>
        <v>1.11941507</v>
      </c>
      <c r="AF236" s="30">
        <f>IFERROR(__xludf.DUMMYFUNCTION("""COMPUTED_VALUE"""),0.9250963017013405)</f>
        <v>0.9250963017</v>
      </c>
      <c r="AG236" s="30">
        <f>IFERROR(__xludf.DUMMYFUNCTION("""COMPUTED_VALUE"""),1.313858951468755)</f>
        <v>1.313858951</v>
      </c>
      <c r="AH236" s="30">
        <f>IFERROR(__xludf.DUMMYFUNCTION("""COMPUTED_VALUE"""),0.969216756321138)</f>
        <v>0.9692167563</v>
      </c>
      <c r="AI236" s="30">
        <f>IFERROR(__xludf.DUMMYFUNCTION("""COMPUTED_VALUE"""),0.9754664850934619)</f>
        <v>0.9754664851</v>
      </c>
      <c r="AJ236" s="30">
        <f>IFERROR(__xludf.DUMMYFUNCTION("""COMPUTED_VALUE"""),0.9144307686867705)</f>
        <v>0.9144307687</v>
      </c>
      <c r="AK236" s="30">
        <f>IFERROR(__xludf.DUMMYFUNCTION("""COMPUTED_VALUE"""),0.8892258779917089)</f>
        <v>0.889225878</v>
      </c>
      <c r="AL236" s="30">
        <f>IFERROR(__xludf.DUMMYFUNCTION("""COMPUTED_VALUE"""),1.0211739461940308)</f>
        <v>1.021173946</v>
      </c>
      <c r="AM236" s="30">
        <f>IFERROR(__xludf.DUMMYFUNCTION("""COMPUTED_VALUE"""),1.0118510969615047)</f>
        <v>1.011851097</v>
      </c>
      <c r="AN236" s="30">
        <f>IFERROR(__xludf.DUMMYFUNCTION("""COMPUTED_VALUE"""),1.1635740534848407)</f>
        <v>1.163574053</v>
      </c>
      <c r="AO236" s="30">
        <f>IFERROR(__xludf.DUMMYFUNCTION("""COMPUTED_VALUE"""),1.2343217010260634)</f>
        <v>1.234321701</v>
      </c>
      <c r="AP236" s="30">
        <f>IFERROR(__xludf.DUMMYFUNCTION("""COMPUTED_VALUE"""),0.9488301671128961)</f>
        <v>0.9488301671</v>
      </c>
      <c r="AQ236" s="30">
        <f>IFERROR(__xludf.DUMMYFUNCTION("""COMPUTED_VALUE"""),1.359230818076827)</f>
        <v>1.359230818</v>
      </c>
      <c r="AR236" s="30">
        <f>IFERROR(__xludf.DUMMYFUNCTION("""COMPUTED_VALUE"""),1.0305667570588402)</f>
        <v>1.030566757</v>
      </c>
      <c r="AS236" s="30">
        <f>IFERROR(__xludf.DUMMYFUNCTION("""COMPUTED_VALUE"""),106.0)</f>
        <v>106</v>
      </c>
      <c r="AT236" s="30">
        <f>IFERROR(__xludf.DUMMYFUNCTION("""COMPUTED_VALUE"""),0.514644141701759)</f>
        <v>0.5146441417</v>
      </c>
      <c r="AU236" s="30">
        <f>IFERROR(__xludf.DUMMYFUNCTION("""COMPUTED_VALUE"""),2.8638628257012875)</f>
        <v>2.863862826</v>
      </c>
      <c r="AV236" s="32">
        <f>IFERROR(__xludf.DUMMYFUNCTION("""COMPUTED_VALUE"""),63.5239904828198)</f>
        <v>63.52399048</v>
      </c>
      <c r="AW236" s="32">
        <f>IFERROR(__xludf.DUMMYFUNCTION("""COMPUTED_VALUE"""),3.398266180453111)</f>
        <v>3.39826618</v>
      </c>
      <c r="AX236" s="32">
        <f>IFERROR(__xludf.DUMMYFUNCTION("""COMPUTED_VALUE"""),58.904407162778334)</f>
        <v>58.90440716</v>
      </c>
      <c r="AY236" s="32">
        <f>IFERROR(__xludf.DUMMYFUNCTION("""COMPUTED_VALUE"""),2.7712017559815223)</f>
        <v>2.771201756</v>
      </c>
      <c r="AZ236" s="30">
        <f>IFERROR(__xludf.DUMMYFUNCTION("""COMPUTED_VALUE"""),0.6270644244715888)</f>
        <v>0.6270644245</v>
      </c>
      <c r="BA236" s="30">
        <f>IFERROR(__xludf.DUMMYFUNCTION("""COMPUTED_VALUE"""),800.0)</f>
        <v>800</v>
      </c>
    </row>
    <row r="237">
      <c r="A237" s="30" t="str">
        <f>IFERROR(__xludf.DUMMYFUNCTION("""COMPUTED_VALUE"""),"Elite")</f>
        <v>Elite</v>
      </c>
      <c r="B237" s="30" t="str">
        <f>IFERROR(__xludf.DUMMYFUNCTION("""COMPUTED_VALUE"""),"RSC007629")</f>
        <v>RSC007629</v>
      </c>
      <c r="C237" s="30" t="str">
        <f>IFERROR(__xludf.DUMMYFUNCTION("""COMPUTED_VALUE"""),"Mochi")</f>
        <v>Mochi</v>
      </c>
      <c r="D237" s="30" t="str">
        <f>IFERROR(__xludf.DUMMYFUNCTION("""COMPUTED_VALUE"""),"Desolation")</f>
        <v>Desolation</v>
      </c>
      <c r="E237" s="30">
        <f>IFERROR(__xludf.DUMMYFUNCTION("""COMPUTED_VALUE"""),8.0)</f>
        <v>8</v>
      </c>
      <c r="F237" s="30">
        <f>IFERROR(__xludf.DUMMYFUNCTION("""COMPUTED_VALUE"""),5.0)</f>
        <v>5</v>
      </c>
      <c r="G237" s="30">
        <f>IFERROR(__xludf.DUMMYFUNCTION("""COMPUTED_VALUE"""),3.0)</f>
        <v>3</v>
      </c>
      <c r="H237" s="42">
        <f>IFERROR(__xludf.DUMMYFUNCTION("""COMPUTED_VALUE"""),0.625)</f>
        <v>0.625</v>
      </c>
      <c r="I237" s="42">
        <f>IFERROR(__xludf.DUMMYFUNCTION("""COMPUTED_VALUE"""),0.23076923076923078)</f>
        <v>0.2307692308</v>
      </c>
      <c r="J237" s="30">
        <f>IFERROR(__xludf.DUMMYFUNCTION("""COMPUTED_VALUE"""),268.75)</f>
        <v>268.75</v>
      </c>
      <c r="K237" s="30">
        <f>IFERROR(__xludf.DUMMYFUNCTION("""COMPUTED_VALUE"""),0.375)</f>
        <v>0.375</v>
      </c>
      <c r="L237" s="30">
        <f>IFERROR(__xludf.DUMMYFUNCTION("""COMPUTED_VALUE"""),0.875)</f>
        <v>0.875</v>
      </c>
      <c r="M237" s="30">
        <f>IFERROR(__xludf.DUMMYFUNCTION("""COMPUTED_VALUE"""),1.0)</f>
        <v>1</v>
      </c>
      <c r="N237" s="30">
        <f>IFERROR(__xludf.DUMMYFUNCTION("""COMPUTED_VALUE"""),1.625)</f>
        <v>1.625</v>
      </c>
      <c r="O237" s="30">
        <f>IFERROR(__xludf.DUMMYFUNCTION("""COMPUTED_VALUE"""),368.20833333333337)</f>
        <v>368.2083333</v>
      </c>
      <c r="P237" s="30">
        <f>IFERROR(__xludf.DUMMYFUNCTION("""COMPUTED_VALUE"""),0.9583333333333333)</f>
        <v>0.9583333333</v>
      </c>
      <c r="Q237" s="30">
        <f>IFERROR(__xludf.DUMMYFUNCTION("""COMPUTED_VALUE"""),0.7083333333333333)</f>
        <v>0.7083333333</v>
      </c>
      <c r="R237" s="30">
        <f>IFERROR(__xludf.DUMMYFUNCTION("""COMPUTED_VALUE"""),0.9166666666666666)</f>
        <v>0.9166666667</v>
      </c>
      <c r="S237" s="30">
        <f>IFERROR(__xludf.DUMMYFUNCTION("""COMPUTED_VALUE"""),2.625)</f>
        <v>2.625</v>
      </c>
      <c r="T237" s="30">
        <f>IFERROR(__xludf.DUMMYFUNCTION("""COMPUTED_VALUE"""),363.1935967885066)</f>
        <v>363.1935968</v>
      </c>
      <c r="U237" s="30">
        <f>IFERROR(__xludf.DUMMYFUNCTION("""COMPUTED_VALUE"""),0.7663006399750832)</f>
        <v>0.76630064</v>
      </c>
      <c r="V237" s="30">
        <f>IFERROR(__xludf.DUMMYFUNCTION("""COMPUTED_VALUE"""),0.6133628066289785)</f>
        <v>0.6133628066</v>
      </c>
      <c r="W237" s="30">
        <f>IFERROR(__xludf.DUMMYFUNCTION("""COMPUTED_VALUE"""),1.350303652398032)</f>
        <v>1.350303652</v>
      </c>
      <c r="X237" s="30">
        <f>IFERROR(__xludf.DUMMYFUNCTION("""COMPUTED_VALUE"""),2.7529972825571978)</f>
        <v>2.752997283</v>
      </c>
      <c r="Y237" s="30">
        <f>IFERROR(__xludf.DUMMYFUNCTION("""COMPUTED_VALUE"""),369.33593500878766)</f>
        <v>369.335935</v>
      </c>
      <c r="Z237" s="30">
        <f>IFERROR(__xludf.DUMMYFUNCTION("""COMPUTED_VALUE"""),0.7711263050605576)</f>
        <v>0.7711263051</v>
      </c>
      <c r="AA237" s="30">
        <f>IFERROR(__xludf.DUMMYFUNCTION("""COMPUTED_VALUE"""),0.55615588409862)</f>
        <v>0.5561558841</v>
      </c>
      <c r="AB237" s="30">
        <f>IFERROR(__xludf.DUMMYFUNCTION("""COMPUTED_VALUE"""),1.58644504429234)</f>
        <v>1.586445044</v>
      </c>
      <c r="AC237" s="30">
        <f>IFERROR(__xludf.DUMMYFUNCTION("""COMPUTED_VALUE"""),2.4921443683373696)</f>
        <v>2.492144368</v>
      </c>
      <c r="AD237" s="30">
        <f>IFERROR(__xludf.DUMMYFUNCTION("""COMPUTED_VALUE"""),0.7276573290752377)</f>
        <v>0.7276573291</v>
      </c>
      <c r="AE237" s="30">
        <f>IFERROR(__xludf.DUMMYFUNCTION("""COMPUTED_VALUE"""),0.48630165712029594)</f>
        <v>0.4863016571</v>
      </c>
      <c r="AF237" s="30">
        <f>IFERROR(__xludf.DUMMYFUNCTION("""COMPUTED_VALUE"""),1.573299905687667)</f>
        <v>1.573299906</v>
      </c>
      <c r="AG237" s="30">
        <f>IFERROR(__xludf.DUMMYFUNCTION("""COMPUTED_VALUE"""),0.6303401454703819)</f>
        <v>0.6303401455</v>
      </c>
      <c r="AH237" s="30">
        <f>IFERROR(__xludf.DUMMYFUNCTION("""COMPUTED_VALUE"""),0.6520489024013149)</f>
        <v>0.6520489024</v>
      </c>
      <c r="AI237" s="30">
        <f>IFERROR(__xludf.DUMMYFUNCTION("""COMPUTED_VALUE"""),1.0138073374342744)</f>
        <v>1.013807337</v>
      </c>
      <c r="AJ237" s="30">
        <f>IFERROR(__xludf.DUMMYFUNCTION("""COMPUTED_VALUE"""),1.2505970677050382)</f>
        <v>1.250597068</v>
      </c>
      <c r="AK237" s="30">
        <f>IFERROR(__xludf.DUMMYFUNCTION("""COMPUTED_VALUE"""),1.154835809537115)</f>
        <v>1.15483581</v>
      </c>
      <c r="AL237" s="30">
        <f>IFERROR(__xludf.DUMMYFUNCTION("""COMPUTED_VALUE"""),0.6788596513374895)</f>
        <v>0.6788596513</v>
      </c>
      <c r="AM237" s="30">
        <f>IFERROR(__xludf.DUMMYFUNCTION("""COMPUTED_VALUE"""),0.9535062081723873)</f>
        <v>0.9535062082</v>
      </c>
      <c r="AN237" s="30">
        <f>IFERROR(__xludf.DUMMYFUNCTION("""COMPUTED_VALUE"""),0.7665647969947625)</f>
        <v>0.766564797</v>
      </c>
      <c r="AO237" s="30">
        <f>IFERROR(__xludf.DUMMYFUNCTION("""COMPUTED_VALUE"""),0.5289950147254557)</f>
        <v>0.5289950147</v>
      </c>
      <c r="AP237" s="30">
        <f>IFERROR(__xludf.DUMMYFUNCTION("""COMPUTED_VALUE"""),1.532725654566986)</f>
        <v>1.532725655</v>
      </c>
      <c r="AQ237" s="30">
        <f>IFERROR(__xludf.DUMMYFUNCTION("""COMPUTED_VALUE"""),0.7015384867493301)</f>
        <v>0.7015384867</v>
      </c>
      <c r="AR237" s="30">
        <f>IFERROR(__xludf.DUMMYFUNCTION("""COMPUTED_VALUE"""),0.6482597342789478)</f>
        <v>0.6482597343</v>
      </c>
      <c r="AS237" s="30">
        <f>IFERROR(__xludf.DUMMYFUNCTION("""COMPUTED_VALUE"""),26.0)</f>
        <v>26</v>
      </c>
      <c r="AT237" s="30">
        <f>IFERROR(__xludf.DUMMYFUNCTION("""COMPUTED_VALUE"""),0.5513809810810274)</f>
        <v>0.5513809811</v>
      </c>
      <c r="AU237" s="30">
        <f>IFERROR(__xludf.DUMMYFUNCTION("""COMPUTED_VALUE"""),1.6385135605920518)</f>
        <v>1.638513561</v>
      </c>
      <c r="AV237" s="32">
        <f>IFERROR(__xludf.DUMMYFUNCTION("""COMPUTED_VALUE"""),28.277783245267372)</f>
        <v>28.27778325</v>
      </c>
      <c r="AW237" s="32">
        <f>IFERROR(__xludf.DUMMYFUNCTION("""COMPUTED_VALUE"""),-5.1960464811764595)</f>
        <v>-5.196046481</v>
      </c>
      <c r="AX237" s="32">
        <f>IFERROR(__xludf.DUMMYFUNCTION("""COMPUTED_VALUE"""),26.43832996202255)</f>
        <v>26.43832996</v>
      </c>
      <c r="AY237" s="32">
        <f>IFERROR(__xludf.DUMMYFUNCTION("""COMPUTED_VALUE"""),-5.78112041685516)</f>
        <v>-5.781120417</v>
      </c>
      <c r="AZ237" s="30">
        <f>IFERROR(__xludf.DUMMYFUNCTION("""COMPUTED_VALUE"""),0.5850739356787003)</f>
        <v>0.5850739357</v>
      </c>
      <c r="BA237" s="30">
        <f>IFERROR(__xludf.DUMMYFUNCTION("""COMPUTED_VALUE"""),800.0)</f>
        <v>800</v>
      </c>
    </row>
    <row r="238">
      <c r="A238" s="30" t="str">
        <f>IFERROR(__xludf.DUMMYFUNCTION("""COMPUTED_VALUE"""),"Elite")</f>
        <v>Elite</v>
      </c>
      <c r="B238" s="30" t="str">
        <f>IFERROR(__xludf.DUMMYFUNCTION("""COMPUTED_VALUE"""),"RSC000666")</f>
        <v>RSC000666</v>
      </c>
      <c r="C238" s="30" t="str">
        <f>IFERROR(__xludf.DUMMYFUNCTION("""COMPUTED_VALUE"""),"AEB311")</f>
        <v>AEB311</v>
      </c>
      <c r="D238" s="30" t="str">
        <f>IFERROR(__xludf.DUMMYFUNCTION("""COMPUTED_VALUE"""),"Teddy Bears")</f>
        <v>Teddy Bears</v>
      </c>
      <c r="E238" s="30">
        <f>IFERROR(__xludf.DUMMYFUNCTION("""COMPUTED_VALUE"""),35.0)</f>
        <v>35</v>
      </c>
      <c r="F238" s="30">
        <f>IFERROR(__xludf.DUMMYFUNCTION("""COMPUTED_VALUE"""),18.0)</f>
        <v>18</v>
      </c>
      <c r="G238" s="30">
        <f>IFERROR(__xludf.DUMMYFUNCTION("""COMPUTED_VALUE"""),17.0)</f>
        <v>17</v>
      </c>
      <c r="H238" s="42">
        <f>IFERROR(__xludf.DUMMYFUNCTION("""COMPUTED_VALUE"""),0.5142857142857142)</f>
        <v>0.5142857143</v>
      </c>
      <c r="I238" s="42">
        <f>IFERROR(__xludf.DUMMYFUNCTION("""COMPUTED_VALUE"""),0.2989690721649485)</f>
        <v>0.2989690722</v>
      </c>
      <c r="J238" s="30">
        <f>IFERROR(__xludf.DUMMYFUNCTION("""COMPUTED_VALUE"""),338.2)</f>
        <v>338.2</v>
      </c>
      <c r="K238" s="30">
        <f>IFERROR(__xludf.DUMMYFUNCTION("""COMPUTED_VALUE"""),0.8285714285714286)</f>
        <v>0.8285714286</v>
      </c>
      <c r="L238" s="30">
        <f>IFERROR(__xludf.DUMMYFUNCTION("""COMPUTED_VALUE"""),0.6)</f>
        <v>0.6</v>
      </c>
      <c r="M238" s="30">
        <f>IFERROR(__xludf.DUMMYFUNCTION("""COMPUTED_VALUE"""),0.9428571428571428)</f>
        <v>0.9428571429</v>
      </c>
      <c r="N238" s="30">
        <f>IFERROR(__xludf.DUMMYFUNCTION("""COMPUTED_VALUE"""),2.7714285714285714)</f>
        <v>2.771428571</v>
      </c>
      <c r="O238" s="30">
        <f>IFERROR(__xludf.DUMMYFUNCTION("""COMPUTED_VALUE"""),352.14285714285717)</f>
        <v>352.1428571</v>
      </c>
      <c r="P238" s="30">
        <f>IFERROR(__xludf.DUMMYFUNCTION("""COMPUTED_VALUE"""),0.7142857142857141)</f>
        <v>0.7142857143</v>
      </c>
      <c r="Q238" s="30">
        <f>IFERROR(__xludf.DUMMYFUNCTION("""COMPUTED_VALUE"""),0.5523809523809523)</f>
        <v>0.5523809524</v>
      </c>
      <c r="R238" s="30">
        <f>IFERROR(__xludf.DUMMYFUNCTION("""COMPUTED_VALUE"""),1.5238095238095237)</f>
        <v>1.523809524</v>
      </c>
      <c r="S238" s="30">
        <f>IFERROR(__xludf.DUMMYFUNCTION("""COMPUTED_VALUE"""),2.4190476190476193)</f>
        <v>2.419047619</v>
      </c>
      <c r="T238" s="30">
        <f>IFERROR(__xludf.DUMMYFUNCTION("""COMPUTED_VALUE"""),357.6867016439974)</f>
        <v>357.6867016</v>
      </c>
      <c r="U238" s="30">
        <f>IFERROR(__xludf.DUMMYFUNCTION("""COMPUTED_VALUE"""),0.743326583977333)</f>
        <v>0.743326584</v>
      </c>
      <c r="V238" s="30">
        <f>IFERROR(__xludf.DUMMYFUNCTION("""COMPUTED_VALUE"""),0.5618551724998567)</f>
        <v>0.5618551725</v>
      </c>
      <c r="W238" s="30">
        <f>IFERROR(__xludf.DUMMYFUNCTION("""COMPUTED_VALUE"""),1.473588683292485)</f>
        <v>1.473588683</v>
      </c>
      <c r="X238" s="30">
        <f>IFERROR(__xludf.DUMMYFUNCTION("""COMPUTED_VALUE"""),2.5732991243122267)</f>
        <v>2.573299124</v>
      </c>
      <c r="Y238" s="30">
        <f>IFERROR(__xludf.DUMMYFUNCTION("""COMPUTED_VALUE"""),366.689812178536)</f>
        <v>366.6898122</v>
      </c>
      <c r="Z238" s="30">
        <f>IFERROR(__xludf.DUMMYFUNCTION("""COMPUTED_VALUE"""),0.835698506165614)</f>
        <v>0.8356985062</v>
      </c>
      <c r="AA238" s="30">
        <f>IFERROR(__xludf.DUMMYFUNCTION("""COMPUTED_VALUE"""),0.6310568662241175)</f>
        <v>0.6310568662</v>
      </c>
      <c r="AB238" s="30">
        <f>IFERROR(__xludf.DUMMYFUNCTION("""COMPUTED_VALUE"""),1.3730621450537515)</f>
        <v>1.373062145</v>
      </c>
      <c r="AC238" s="30">
        <f>IFERROR(__xludf.DUMMYFUNCTION("""COMPUTED_VALUE"""),2.740753771446217)</f>
        <v>2.740753771</v>
      </c>
      <c r="AD238" s="30">
        <f>IFERROR(__xludf.DUMMYFUNCTION("""COMPUTED_VALUE"""),0.9223054166428144)</f>
        <v>0.9223054166</v>
      </c>
      <c r="AE238" s="30">
        <f>IFERROR(__xludf.DUMMYFUNCTION("""COMPUTED_VALUE"""),0.9914717119372558)</f>
        <v>0.9914717119</v>
      </c>
      <c r="AF238" s="30">
        <f>IFERROR(__xludf.DUMMYFUNCTION("""COMPUTED_VALUE"""),0.9507859467405149)</f>
        <v>0.9507859467</v>
      </c>
      <c r="AG238" s="30">
        <f>IFERROR(__xludf.DUMMYFUNCTION("""COMPUTED_VALUE"""),0.6866820604250455)</f>
        <v>0.6866820604</v>
      </c>
      <c r="AH238" s="30">
        <f>IFERROR(__xludf.DUMMYFUNCTION("""COMPUTED_VALUE"""),1.01119210353806)</f>
        <v>1.011192104</v>
      </c>
      <c r="AI238" s="30">
        <f>IFERROR(__xludf.DUMMYFUNCTION("""COMPUTED_VALUE"""),0.9845008369736429)</f>
        <v>0.984500837</v>
      </c>
      <c r="AJ238" s="30">
        <f>IFERROR(__xludf.DUMMYFUNCTION("""COMPUTED_VALUE"""),0.9609312106984936)</f>
        <v>0.9609312107</v>
      </c>
      <c r="AK238" s="30">
        <f>IFERROR(__xludf.DUMMYFUNCTION("""COMPUTED_VALUE"""),0.9831376116433157)</f>
        <v>0.9831376116</v>
      </c>
      <c r="AL238" s="30">
        <f>IFERROR(__xludf.DUMMYFUNCTION("""COMPUTED_VALUE"""),1.0340806366704913)</f>
        <v>1.034080637</v>
      </c>
      <c r="AM238" s="30">
        <f>IFERROR(__xludf.DUMMYFUNCTION("""COMPUTED_VALUE"""),0.9400569083449113)</f>
        <v>0.9400569083</v>
      </c>
      <c r="AN238" s="30">
        <f>IFERROR(__xludf.DUMMYFUNCTION("""COMPUTED_VALUE"""),0.9646594022088509)</f>
        <v>0.9646594022</v>
      </c>
      <c r="AO238" s="30">
        <f>IFERROR(__xludf.DUMMYFUNCTION("""COMPUTED_VALUE"""),1.1688270801552927)</f>
        <v>1.16882708</v>
      </c>
      <c r="AP238" s="30">
        <f>IFERROR(__xludf.DUMMYFUNCTION("""COMPUTED_VALUE"""),1.0510118774173618)</f>
        <v>1.051011877</v>
      </c>
      <c r="AQ238" s="30">
        <f>IFERROR(__xludf.DUMMYFUNCTION("""COMPUTED_VALUE"""),0.6614505732207969)</f>
        <v>0.6614505732</v>
      </c>
      <c r="AR238" s="30">
        <f>IFERROR(__xludf.DUMMYFUNCTION("""COMPUTED_VALUE"""),1.1056034149460736)</f>
        <v>1.105603415</v>
      </c>
      <c r="AS238" s="30">
        <f>IFERROR(__xludf.DUMMYFUNCTION("""COMPUTED_VALUE"""),76.0)</f>
        <v>76</v>
      </c>
      <c r="AT238" s="30">
        <f>IFERROR(__xludf.DUMMYFUNCTION("""COMPUTED_VALUE"""),0.5050373667017894)</f>
        <v>0.5050373667</v>
      </c>
      <c r="AU238" s="30">
        <f>IFERROR(__xludf.DUMMYFUNCTION("""COMPUTED_VALUE"""),2.6886073186629424)</f>
        <v>2.688607319</v>
      </c>
      <c r="AV238" s="32">
        <f>IFERROR(__xludf.DUMMYFUNCTION("""COMPUTED_VALUE"""),58.48290375229879)</f>
        <v>58.48290375</v>
      </c>
      <c r="AW238" s="32">
        <f>IFERROR(__xludf.DUMMYFUNCTION("""COMPUTED_VALUE"""),2.723416947344006)</f>
        <v>2.723416947</v>
      </c>
      <c r="AX238" s="32">
        <f>IFERROR(__xludf.DUMMYFUNCTION("""COMPUTED_VALUE"""),52.28849426297183)</f>
        <v>52.28849426</v>
      </c>
      <c r="AY238" s="32">
        <f>IFERROR(__xludf.DUMMYFUNCTION("""COMPUTED_VALUE"""),2.1573490428185504)</f>
        <v>2.157349043</v>
      </c>
      <c r="AZ238" s="30">
        <f>IFERROR(__xludf.DUMMYFUNCTION("""COMPUTED_VALUE"""),0.5660679045254557)</f>
        <v>0.5660679045</v>
      </c>
      <c r="BA238" s="30">
        <f>IFERROR(__xludf.DUMMYFUNCTION("""COMPUTED_VALUE"""),800.0)</f>
        <v>800</v>
      </c>
    </row>
    <row r="239">
      <c r="A239" s="30" t="str">
        <f>IFERROR(__xludf.DUMMYFUNCTION("""COMPUTED_VALUE"""),"Elite")</f>
        <v>Elite</v>
      </c>
      <c r="B239" s="30" t="str">
        <f>IFERROR(__xludf.DUMMYFUNCTION("""COMPUTED_VALUE"""),"RSC007295")</f>
        <v>RSC007295</v>
      </c>
      <c r="C239" s="30" t="str">
        <f>IFERROR(__xludf.DUMMYFUNCTION("""COMPUTED_VALUE"""),"TheLegendaryChance")</f>
        <v>TheLegendaryChance</v>
      </c>
      <c r="D239" s="30" t="str">
        <f>IFERROR(__xludf.DUMMYFUNCTION("""COMPUTED_VALUE"""),"Geeky Ghouls")</f>
        <v>Geeky Ghouls</v>
      </c>
      <c r="E239" s="30">
        <f>IFERROR(__xludf.DUMMYFUNCTION("""COMPUTED_VALUE"""),41.0)</f>
        <v>41</v>
      </c>
      <c r="F239" s="30">
        <f>IFERROR(__xludf.DUMMYFUNCTION("""COMPUTED_VALUE"""),23.0)</f>
        <v>23</v>
      </c>
      <c r="G239" s="30">
        <f>IFERROR(__xludf.DUMMYFUNCTION("""COMPUTED_VALUE"""),18.0)</f>
        <v>18</v>
      </c>
      <c r="H239" s="42">
        <f>IFERROR(__xludf.DUMMYFUNCTION("""COMPUTED_VALUE"""),0.5609756097560976)</f>
        <v>0.5609756098</v>
      </c>
      <c r="I239" s="42">
        <f>IFERROR(__xludf.DUMMYFUNCTION("""COMPUTED_VALUE"""),0.27272727272727276)</f>
        <v>0.2727272727</v>
      </c>
      <c r="J239" s="30">
        <f>IFERROR(__xludf.DUMMYFUNCTION("""COMPUTED_VALUE"""),336.0487804878049)</f>
        <v>336.0487805</v>
      </c>
      <c r="K239" s="30">
        <f>IFERROR(__xludf.DUMMYFUNCTION("""COMPUTED_VALUE"""),0.6585365853658537)</f>
        <v>0.6585365854</v>
      </c>
      <c r="L239" s="30">
        <f>IFERROR(__xludf.DUMMYFUNCTION("""COMPUTED_VALUE"""),0.5853658536585366)</f>
        <v>0.5853658537</v>
      </c>
      <c r="M239" s="30">
        <f>IFERROR(__xludf.DUMMYFUNCTION("""COMPUTED_VALUE"""),1.2195121951219512)</f>
        <v>1.219512195</v>
      </c>
      <c r="N239" s="30">
        <f>IFERROR(__xludf.DUMMYFUNCTION("""COMPUTED_VALUE"""),2.4146341463414633)</f>
        <v>2.414634146</v>
      </c>
      <c r="O239" s="30">
        <f>IFERROR(__xludf.DUMMYFUNCTION("""COMPUTED_VALUE"""),362.9268292682927)</f>
        <v>362.9268293</v>
      </c>
      <c r="P239" s="30">
        <f>IFERROR(__xludf.DUMMYFUNCTION("""COMPUTED_VALUE"""),0.6747967479674797)</f>
        <v>0.674796748</v>
      </c>
      <c r="Q239" s="30">
        <f>IFERROR(__xludf.DUMMYFUNCTION("""COMPUTED_VALUE"""),0.5447154471544715)</f>
        <v>0.5447154472</v>
      </c>
      <c r="R239" s="30">
        <f>IFERROR(__xludf.DUMMYFUNCTION("""COMPUTED_VALUE"""),1.6747967479674797)</f>
        <v>1.674796748</v>
      </c>
      <c r="S239" s="30">
        <f>IFERROR(__xludf.DUMMYFUNCTION("""COMPUTED_VALUE"""),2.3739837398373984)</f>
        <v>2.37398374</v>
      </c>
      <c r="T239" s="30">
        <f>IFERROR(__xludf.DUMMYFUNCTION("""COMPUTED_VALUE"""),352.14414362997024)</f>
        <v>352.1441436</v>
      </c>
      <c r="U239" s="30">
        <f>IFERROR(__xludf.DUMMYFUNCTION("""COMPUTED_VALUE"""),0.7356535581366639)</f>
        <v>0.7356535581</v>
      </c>
      <c r="V239" s="30">
        <f>IFERROR(__xludf.DUMMYFUNCTION("""COMPUTED_VALUE"""),0.6048346613030627)</f>
        <v>0.6048346613</v>
      </c>
      <c r="W239" s="30">
        <f>IFERROR(__xludf.DUMMYFUNCTION("""COMPUTED_VALUE"""),1.3856358348096853)</f>
        <v>1.385635835</v>
      </c>
      <c r="X239" s="30">
        <f>IFERROR(__xludf.DUMMYFUNCTION("""COMPUTED_VALUE"""),2.6046613644180936)</f>
        <v>2.604661364</v>
      </c>
      <c r="Y239" s="30">
        <f>IFERROR(__xludf.DUMMYFUNCTION("""COMPUTED_VALUE"""),358.8319884402152)</f>
        <v>358.8319884</v>
      </c>
      <c r="Z239" s="30">
        <f>IFERROR(__xludf.DUMMYFUNCTION("""COMPUTED_VALUE"""),0.7888522418831856)</f>
        <v>0.7888522419</v>
      </c>
      <c r="AA239" s="30">
        <f>IFERROR(__xludf.DUMMYFUNCTION("""COMPUTED_VALUE"""),0.59072012815284)</f>
        <v>0.5907201282</v>
      </c>
      <c r="AB239" s="30">
        <f>IFERROR(__xludf.DUMMYFUNCTION("""COMPUTED_VALUE"""),1.3853149004853986)</f>
        <v>1.3853149</v>
      </c>
      <c r="AC239" s="30">
        <f>IFERROR(__xludf.DUMMYFUNCTION("""COMPUTED_VALUE"""),2.669618958285404)</f>
        <v>2.669618958</v>
      </c>
      <c r="AD239" s="30">
        <f>IFERROR(__xludf.DUMMYFUNCTION("""COMPUTED_VALUE"""),0.9365073107014644)</f>
        <v>0.9365073107</v>
      </c>
      <c r="AE239" s="30">
        <f>IFERROR(__xludf.DUMMYFUNCTION("""COMPUTED_VALUE"""),0.8348034655942206)</f>
        <v>0.8348034656</v>
      </c>
      <c r="AF239" s="30">
        <f>IFERROR(__xludf.DUMMYFUNCTION("""COMPUTED_VALUE"""),0.9909360215792102)</f>
        <v>0.9909360216</v>
      </c>
      <c r="AG239" s="30">
        <f>IFERROR(__xludf.DUMMYFUNCTION("""COMPUTED_VALUE"""),0.8803140677218212)</f>
        <v>0.8803140677</v>
      </c>
      <c r="AH239" s="30">
        <f>IFERROR(__xludf.DUMMYFUNCTION("""COMPUTED_VALUE"""),0.9044864394775994)</f>
        <v>0.9044864395</v>
      </c>
      <c r="AI239" s="30">
        <f>IFERROR(__xludf.DUMMYFUNCTION("""COMPUTED_VALUE"""),1.0306200907593477)</f>
        <v>1.030620091</v>
      </c>
      <c r="AJ239" s="30">
        <f>IFERROR(__xludf.DUMMYFUNCTION("""COMPUTED_VALUE"""),0.9172751772949643)</f>
        <v>0.9172751773</v>
      </c>
      <c r="AK239" s="30">
        <f>IFERROR(__xludf.DUMMYFUNCTION("""COMPUTED_VALUE"""),0.9006022339740423)</f>
        <v>0.900602234</v>
      </c>
      <c r="AL239" s="30">
        <f>IFERROR(__xludf.DUMMYFUNCTION("""COMPUTED_VALUE"""),1.208684638411874)</f>
        <v>1.208684638</v>
      </c>
      <c r="AM239" s="30">
        <f>IFERROR(__xludf.DUMMYFUNCTION("""COMPUTED_VALUE"""),0.9114366160100698)</f>
        <v>0.911436616</v>
      </c>
      <c r="AN239" s="30">
        <f>IFERROR(__xludf.DUMMYFUNCTION("""COMPUTED_VALUE"""),0.9585234053766388)</f>
        <v>0.9585234054</v>
      </c>
      <c r="AO239" s="30">
        <f>IFERROR(__xludf.DUMMYFUNCTION("""COMPUTED_VALUE"""),0.9289668551276296)</f>
        <v>0.9289668551</v>
      </c>
      <c r="AP239" s="30">
        <f>IFERROR(__xludf.DUMMYFUNCTION("""COMPUTED_VALUE"""),1.025377441382792)</f>
        <v>1.025377441</v>
      </c>
      <c r="AQ239" s="30">
        <f>IFERROR(__xludf.DUMMYFUNCTION("""COMPUTED_VALUE"""),0.8555347399382074)</f>
        <v>0.8555347399</v>
      </c>
      <c r="AR239" s="30">
        <f>IFERROR(__xludf.DUMMYFUNCTION("""COMPUTED_VALUE"""),0.9632677477465791)</f>
        <v>0.9632677477</v>
      </c>
      <c r="AS239" s="30">
        <f>IFERROR(__xludf.DUMMYFUNCTION("""COMPUTED_VALUE"""),92.0)</f>
        <v>92</v>
      </c>
      <c r="AT239" s="30">
        <f>IFERROR(__xludf.DUMMYFUNCTION("""COMPUTED_VALUE"""),0.5389546872807588)</f>
        <v>0.5389546873</v>
      </c>
      <c r="AU239" s="30">
        <f>IFERROR(__xludf.DUMMYFUNCTION("""COMPUTED_VALUE"""),2.3649349331148586)</f>
        <v>2.364934933</v>
      </c>
      <c r="AV239" s="32">
        <f>IFERROR(__xludf.DUMMYFUNCTION("""COMPUTED_VALUE"""),49.17272231836801)</f>
        <v>49.17272232</v>
      </c>
      <c r="AW239" s="32">
        <f>IFERROR(__xludf.DUMMYFUNCTION("""COMPUTED_VALUE"""),-2.0542276362226426)</f>
        <v>-2.054227636</v>
      </c>
      <c r="AX239" s="32">
        <f>IFERROR(__xludf.DUMMYFUNCTION("""COMPUTED_VALUE"""),42.57329013539233)</f>
        <v>42.57329014</v>
      </c>
      <c r="AY239" s="32">
        <f>IFERROR(__xludf.DUMMYFUNCTION("""COMPUTED_VALUE"""),-2.609554672623963)</f>
        <v>-2.609554673</v>
      </c>
      <c r="AZ239" s="30">
        <f>IFERROR(__xludf.DUMMYFUNCTION("""COMPUTED_VALUE"""),0.5553270364013203)</f>
        <v>0.5553270364</v>
      </c>
      <c r="BA239" s="30">
        <f>IFERROR(__xludf.DUMMYFUNCTION("""COMPUTED_VALUE"""),800.0)</f>
        <v>800</v>
      </c>
    </row>
    <row r="240">
      <c r="A240" s="30" t="str">
        <f>IFERROR(__xludf.DUMMYFUNCTION("""COMPUTED_VALUE"""),"Elite")</f>
        <v>Elite</v>
      </c>
      <c r="B240" s="30" t="str">
        <f>IFERROR(__xludf.DUMMYFUNCTION("""COMPUTED_VALUE"""),"RSC005298")</f>
        <v>RSC005298</v>
      </c>
      <c r="C240" s="30" t="str">
        <f>IFERROR(__xludf.DUMMYFUNCTION("""COMPUTED_VALUE"""),"Kaisaroh")</f>
        <v>Kaisaroh</v>
      </c>
      <c r="D240" s="30" t="str">
        <f>IFERROR(__xludf.DUMMYFUNCTION("""COMPUTED_VALUE"""),"Nightshade")</f>
        <v>Nightshade</v>
      </c>
      <c r="E240" s="30">
        <f>IFERROR(__xludf.DUMMYFUNCTION("""COMPUTED_VALUE"""),48.0)</f>
        <v>48</v>
      </c>
      <c r="F240" s="30">
        <f>IFERROR(__xludf.DUMMYFUNCTION("""COMPUTED_VALUE"""),27.0)</f>
        <v>27</v>
      </c>
      <c r="G240" s="30">
        <f>IFERROR(__xludf.DUMMYFUNCTION("""COMPUTED_VALUE"""),21.0)</f>
        <v>21</v>
      </c>
      <c r="H240" s="42">
        <f>IFERROR(__xludf.DUMMYFUNCTION("""COMPUTED_VALUE"""),0.5625)</f>
        <v>0.5625</v>
      </c>
      <c r="I240" s="42">
        <f>IFERROR(__xludf.DUMMYFUNCTION("""COMPUTED_VALUE"""),0.30714285714285716)</f>
        <v>0.3071428571</v>
      </c>
      <c r="J240" s="30">
        <f>IFERROR(__xludf.DUMMYFUNCTION("""COMPUTED_VALUE"""),384.5625)</f>
        <v>384.5625</v>
      </c>
      <c r="K240" s="30">
        <f>IFERROR(__xludf.DUMMYFUNCTION("""COMPUTED_VALUE"""),0.8958333333333334)</f>
        <v>0.8958333333</v>
      </c>
      <c r="L240" s="30">
        <f>IFERROR(__xludf.DUMMYFUNCTION("""COMPUTED_VALUE"""),0.6458333333333334)</f>
        <v>0.6458333333</v>
      </c>
      <c r="M240" s="30">
        <f>IFERROR(__xludf.DUMMYFUNCTION("""COMPUTED_VALUE"""),1.3958333333333333)</f>
        <v>1.395833333</v>
      </c>
      <c r="N240" s="30">
        <f>IFERROR(__xludf.DUMMYFUNCTION("""COMPUTED_VALUE"""),2.9166666666666665)</f>
        <v>2.916666667</v>
      </c>
      <c r="O240" s="30">
        <f>IFERROR(__xludf.DUMMYFUNCTION("""COMPUTED_VALUE"""),344.29861111111114)</f>
        <v>344.2986111</v>
      </c>
      <c r="P240" s="30">
        <f>IFERROR(__xludf.DUMMYFUNCTION("""COMPUTED_VALUE"""),0.7152777777777777)</f>
        <v>0.7152777778</v>
      </c>
      <c r="Q240" s="30">
        <f>IFERROR(__xludf.DUMMYFUNCTION("""COMPUTED_VALUE"""),0.5416666666666666)</f>
        <v>0.5416666667</v>
      </c>
      <c r="R240" s="30">
        <f>IFERROR(__xludf.DUMMYFUNCTION("""COMPUTED_VALUE"""),1.375)</f>
        <v>1.375</v>
      </c>
      <c r="S240" s="30">
        <f>IFERROR(__xludf.DUMMYFUNCTION("""COMPUTED_VALUE"""),2.604166666666667)</f>
        <v>2.604166667</v>
      </c>
      <c r="T240" s="30">
        <f>IFERROR(__xludf.DUMMYFUNCTION("""COMPUTED_VALUE"""),347.6425196387624)</f>
        <v>347.6425196</v>
      </c>
      <c r="U240" s="30">
        <f>IFERROR(__xludf.DUMMYFUNCTION("""COMPUTED_VALUE"""),0.7236245780219669)</f>
        <v>0.723624578</v>
      </c>
      <c r="V240" s="30">
        <f>IFERROR(__xludf.DUMMYFUNCTION("""COMPUTED_VALUE"""),0.5541511982233697)</f>
        <v>0.5541511982</v>
      </c>
      <c r="W240" s="30">
        <f>IFERROR(__xludf.DUMMYFUNCTION("""COMPUTED_VALUE"""),1.3580558040750617)</f>
        <v>1.358055804</v>
      </c>
      <c r="X240" s="30">
        <f>IFERROR(__xludf.DUMMYFUNCTION("""COMPUTED_VALUE"""),2.564262898044588)</f>
        <v>2.564262898</v>
      </c>
      <c r="Y240" s="30">
        <f>IFERROR(__xludf.DUMMYFUNCTION("""COMPUTED_VALUE"""),362.50986895667535)</f>
        <v>362.509869</v>
      </c>
      <c r="Z240" s="30">
        <f>IFERROR(__xludf.DUMMYFUNCTION("""COMPUTED_VALUE"""),0.8062176500398781)</f>
        <v>0.80621765</v>
      </c>
      <c r="AA240" s="30">
        <f>IFERROR(__xludf.DUMMYFUNCTION("""COMPUTED_VALUE"""),0.6149588411385546)</f>
        <v>0.6149588411</v>
      </c>
      <c r="AB240" s="30">
        <f>IFERROR(__xludf.DUMMYFUNCTION("""COMPUTED_VALUE"""),1.3780584199243935)</f>
        <v>1.37805842</v>
      </c>
      <c r="AC240" s="30">
        <f>IFERROR(__xludf.DUMMYFUNCTION("""COMPUTED_VALUE"""),2.6650514633231492)</f>
        <v>2.665051463</v>
      </c>
      <c r="AD240" s="30">
        <f>IFERROR(__xludf.DUMMYFUNCTION("""COMPUTED_VALUE"""),1.0608331880916606)</f>
        <v>1.060833188</v>
      </c>
      <c r="AE240" s="30">
        <f>IFERROR(__xludf.DUMMYFUNCTION("""COMPUTED_VALUE"""),1.1111556951017167)</f>
        <v>1.111155695</v>
      </c>
      <c r="AF240" s="30">
        <f>IFERROR(__xludf.DUMMYFUNCTION("""COMPUTED_VALUE"""),1.0502057863541188)</f>
        <v>1.050205786</v>
      </c>
      <c r="AG240" s="30">
        <f>IFERROR(__xludf.DUMMYFUNCTION("""COMPUTED_VALUE"""),1.0128985195053741)</f>
        <v>1.01289852</v>
      </c>
      <c r="AH240" s="30">
        <f>IFERROR(__xludf.DUMMYFUNCTION("""COMPUTED_VALUE"""),1.094412887258008)</f>
        <v>1.094412887</v>
      </c>
      <c r="AI240" s="30">
        <f>IFERROR(__xludf.DUMMYFUNCTION("""COMPUTED_VALUE"""),0.990381186596145)</f>
        <v>0.9903811866</v>
      </c>
      <c r="AJ240" s="30">
        <f>IFERROR(__xludf.DUMMYFUNCTION("""COMPUTED_VALUE"""),0.9884652891876541)</f>
        <v>0.9884652892</v>
      </c>
      <c r="AK240" s="30">
        <f>IFERROR(__xludf.DUMMYFUNCTION("""COMPUTED_VALUE"""),0.9774708931484243)</f>
        <v>0.9774708931</v>
      </c>
      <c r="AL240" s="30">
        <f>IFERROR(__xludf.DUMMYFUNCTION("""COMPUTED_VALUE"""),1.0124768038795569)</f>
        <v>1.012476804</v>
      </c>
      <c r="AM240" s="30">
        <f>IFERROR(__xludf.DUMMYFUNCTION("""COMPUTED_VALUE"""),1.0155614966985282)</f>
        <v>1.015561497</v>
      </c>
      <c r="AN240" s="30">
        <f>IFERROR(__xludf.DUMMYFUNCTION("""COMPUTED_VALUE"""),1.0969007432345985)</f>
        <v>1.096900743</v>
      </c>
      <c r="AO240" s="30">
        <f>IFERROR(__xludf.DUMMYFUNCTION("""COMPUTED_VALUE"""),1.2637103129552554)</f>
        <v>1.263710313</v>
      </c>
      <c r="AP240" s="30">
        <f>IFERROR(__xludf.DUMMYFUNCTION("""COMPUTED_VALUE"""),1.1312975069422992)</f>
        <v>1.131297507</v>
      </c>
      <c r="AQ240" s="30">
        <f>IFERROR(__xludf.DUMMYFUNCTION("""COMPUTED_VALUE"""),0.9792308044209399)</f>
        <v>0.9792308044</v>
      </c>
      <c r="AR240" s="30">
        <f>IFERROR(__xludf.DUMMYFUNCTION("""COMPUTED_VALUE"""),1.1635431128083678)</f>
        <v>1.163543113</v>
      </c>
      <c r="AS240" s="30">
        <f>IFERROR(__xludf.DUMMYFUNCTION("""COMPUTED_VALUE"""),114.0)</f>
        <v>114</v>
      </c>
      <c r="AT240" s="30">
        <f>IFERROR(__xludf.DUMMYFUNCTION("""COMPUTED_VALUE"""),0.5390335868822915)</f>
        <v>0.5390335869</v>
      </c>
      <c r="AU240" s="30">
        <f>IFERROR(__xludf.DUMMYFUNCTION("""COMPUTED_VALUE"""),3.0263828810376814)</f>
        <v>3.026382881</v>
      </c>
      <c r="AV240" s="32">
        <f>IFERROR(__xludf.DUMMYFUNCTION("""COMPUTED_VALUE"""),68.19875196817833)</f>
        <v>68.19875197</v>
      </c>
      <c r="AW240" s="32">
        <f>IFERROR(__xludf.DUMMYFUNCTION("""COMPUTED_VALUE"""),4.285921118243429)</f>
        <v>4.285921118</v>
      </c>
      <c r="AX240" s="32">
        <f>IFERROR(__xludf.DUMMYFUNCTION("""COMPUTED_VALUE"""),65.47220504901372)</f>
        <v>65.47220505</v>
      </c>
      <c r="AY240" s="32">
        <f>IFERROR(__xludf.DUMMYFUNCTION("""COMPUTED_VALUE"""),3.7314128209028876)</f>
        <v>3.731412821</v>
      </c>
      <c r="AZ240" s="30">
        <f>IFERROR(__xludf.DUMMYFUNCTION("""COMPUTED_VALUE"""),0.5545082973405417)</f>
        <v>0.5545082973</v>
      </c>
      <c r="BA240" s="30">
        <f>IFERROR(__xludf.DUMMYFUNCTION("""COMPUTED_VALUE"""),800.0)</f>
        <v>800</v>
      </c>
    </row>
    <row r="241">
      <c r="A241" s="30" t="str">
        <f>IFERROR(__xludf.DUMMYFUNCTION("""COMPUTED_VALUE"""),"Elite")</f>
        <v>Elite</v>
      </c>
      <c r="B241" s="30" t="str">
        <f>IFERROR(__xludf.DUMMYFUNCTION("""COMPUTED_VALUE"""),"RSC003986")</f>
        <v>RSC003986</v>
      </c>
      <c r="C241" s="30" t="str">
        <f>IFERROR(__xludf.DUMMYFUNCTION("""COMPUTED_VALUE"""),"Reprise")</f>
        <v>Reprise</v>
      </c>
      <c r="D241" s="30"/>
      <c r="E241" s="30">
        <f>IFERROR(__xludf.DUMMYFUNCTION("""COMPUTED_VALUE"""),4.0)</f>
        <v>4</v>
      </c>
      <c r="F241" s="30">
        <f>IFERROR(__xludf.DUMMYFUNCTION("""COMPUTED_VALUE"""),2.0)</f>
        <v>2</v>
      </c>
      <c r="G241" s="30">
        <f>IFERROR(__xludf.DUMMYFUNCTION("""COMPUTED_VALUE"""),2.0)</f>
        <v>2</v>
      </c>
      <c r="H241" s="42">
        <f>IFERROR(__xludf.DUMMYFUNCTION("""COMPUTED_VALUE"""),0.5)</f>
        <v>0.5</v>
      </c>
      <c r="I241" s="42">
        <f>IFERROR(__xludf.DUMMYFUNCTION("""COMPUTED_VALUE"""),0.2)</f>
        <v>0.2</v>
      </c>
      <c r="J241" s="30">
        <f>IFERROR(__xludf.DUMMYFUNCTION("""COMPUTED_VALUE"""),369.75)</f>
        <v>369.75</v>
      </c>
      <c r="K241" s="30">
        <f>IFERROR(__xludf.DUMMYFUNCTION("""COMPUTED_VALUE"""),0.5)</f>
        <v>0.5</v>
      </c>
      <c r="L241" s="30">
        <f>IFERROR(__xludf.DUMMYFUNCTION("""COMPUTED_VALUE"""),0.5)</f>
        <v>0.5</v>
      </c>
      <c r="M241" s="30">
        <f>IFERROR(__xludf.DUMMYFUNCTION("""COMPUTED_VALUE"""),1.5)</f>
        <v>1.5</v>
      </c>
      <c r="N241" s="30">
        <f>IFERROR(__xludf.DUMMYFUNCTION("""COMPUTED_VALUE"""),2.5)</f>
        <v>2.5</v>
      </c>
      <c r="O241" s="30">
        <f>IFERROR(__xludf.DUMMYFUNCTION("""COMPUTED_VALUE"""),362.5833333333333)</f>
        <v>362.5833333</v>
      </c>
      <c r="P241" s="30">
        <f>IFERROR(__xludf.DUMMYFUNCTION("""COMPUTED_VALUE"""),0.8333333333333333)</f>
        <v>0.8333333333</v>
      </c>
      <c r="Q241" s="30">
        <f>IFERROR(__xludf.DUMMYFUNCTION("""COMPUTED_VALUE"""),0.49999999999999994)</f>
        <v>0.5</v>
      </c>
      <c r="R241" s="30">
        <f>IFERROR(__xludf.DUMMYFUNCTION("""COMPUTED_VALUE"""),1.25)</f>
        <v>1.25</v>
      </c>
      <c r="S241" s="30">
        <f>IFERROR(__xludf.DUMMYFUNCTION("""COMPUTED_VALUE"""),3.0000000000000004)</f>
        <v>3</v>
      </c>
      <c r="T241" s="30">
        <f>IFERROR(__xludf.DUMMYFUNCTION("""COMPUTED_VALUE"""),381.0454545454545)</f>
        <v>381.0454545</v>
      </c>
      <c r="U241" s="30">
        <f>IFERROR(__xludf.DUMMYFUNCTION("""COMPUTED_VALUE"""),0.7575757575757575)</f>
        <v>0.7575757576</v>
      </c>
      <c r="V241" s="30">
        <f>IFERROR(__xludf.DUMMYFUNCTION("""COMPUTED_VALUE"""),0.5530303030303031)</f>
        <v>0.553030303</v>
      </c>
      <c r="W241" s="30">
        <f>IFERROR(__xludf.DUMMYFUNCTION("""COMPUTED_VALUE"""),1.678030303030303)</f>
        <v>1.678030303</v>
      </c>
      <c r="X241" s="30">
        <f>IFERROR(__xludf.DUMMYFUNCTION("""COMPUTED_VALUE"""),2.6808712121212124)</f>
        <v>2.680871212</v>
      </c>
      <c r="Y241" s="30">
        <f>IFERROR(__xludf.DUMMYFUNCTION("""COMPUTED_VALUE"""),351.47253787878793)</f>
        <v>351.4725379</v>
      </c>
      <c r="Z241" s="30">
        <f>IFERROR(__xludf.DUMMYFUNCTION("""COMPUTED_VALUE"""),0.661931818181818)</f>
        <v>0.6619318182</v>
      </c>
      <c r="AA241" s="30">
        <f>IFERROR(__xludf.DUMMYFUNCTION("""COMPUTED_VALUE"""),0.5381944444444444)</f>
        <v>0.5381944444</v>
      </c>
      <c r="AB241" s="30">
        <f>IFERROR(__xludf.DUMMYFUNCTION("""COMPUTED_VALUE"""),1.4482323232323229)</f>
        <v>1.448232323</v>
      </c>
      <c r="AC241" s="30">
        <f>IFERROR(__xludf.DUMMYFUNCTION("""COMPUTED_VALUE"""),2.5776515151515156)</f>
        <v>2.577651515</v>
      </c>
      <c r="AD241" s="30">
        <f>IFERROR(__xludf.DUMMYFUNCTION("""COMPUTED_VALUE"""),1.0520025326346134)</f>
        <v>1.052002533</v>
      </c>
      <c r="AE241" s="30">
        <f>IFERROR(__xludf.DUMMYFUNCTION("""COMPUTED_VALUE"""),0.755364806866953)</f>
        <v>0.7553648069</v>
      </c>
      <c r="AF241" s="30">
        <f>IFERROR(__xludf.DUMMYFUNCTION("""COMPUTED_VALUE"""),0.9290322580645162)</f>
        <v>0.9290322581</v>
      </c>
      <c r="AG241" s="30">
        <f>IFERROR(__xludf.DUMMYFUNCTION("""COMPUTED_VALUE"""),1.0357454228421974)</f>
        <v>1.035745423</v>
      </c>
      <c r="AH241" s="30">
        <f>IFERROR(__xludf.DUMMYFUNCTION("""COMPUTED_VALUE"""),0.969875091844232)</f>
        <v>0.9698750918</v>
      </c>
      <c r="AI241" s="30">
        <f>IFERROR(__xludf.DUMMYFUNCTION("""COMPUTED_VALUE"""),0.9515487693347648)</f>
        <v>0.9515487693</v>
      </c>
      <c r="AJ241" s="30">
        <f>IFERROR(__xludf.DUMMYFUNCTION("""COMPUTED_VALUE"""),1.1)</f>
        <v>1.1</v>
      </c>
      <c r="AK241" s="30">
        <f>IFERROR(__xludf.DUMMYFUNCTION("""COMPUTED_VALUE"""),0.9041095890410957)</f>
        <v>0.904109589</v>
      </c>
      <c r="AL241" s="30">
        <f>IFERROR(__xludf.DUMMYFUNCTION("""COMPUTED_VALUE"""),0.744920993227991)</f>
        <v>0.7449209932</v>
      </c>
      <c r="AM241" s="30">
        <f>IFERROR(__xludf.DUMMYFUNCTION("""COMPUTED_VALUE"""),1.1190392087601555)</f>
        <v>1.119039209</v>
      </c>
      <c r="AN241" s="30">
        <f>IFERROR(__xludf.DUMMYFUNCTION("""COMPUTED_VALUE"""),1.0546505439583755)</f>
        <v>1.054650544</v>
      </c>
      <c r="AO241" s="30">
        <f>IFERROR(__xludf.DUMMYFUNCTION("""COMPUTED_VALUE"""),0.7053266863006076)</f>
        <v>0.7053266863</v>
      </c>
      <c r="AP241" s="30">
        <f>IFERROR(__xludf.DUMMYFUNCTION("""COMPUTED_VALUE"""),0.8758432311811349)</f>
        <v>0.8758432312</v>
      </c>
      <c r="AQ241" s="30">
        <f>IFERROR(__xludf.DUMMYFUNCTION("""COMPUTED_VALUE"""),1.0523077301239951)</f>
        <v>1.05230773</v>
      </c>
      <c r="AR241" s="30">
        <f>IFERROR(__xludf.DUMMYFUNCTION("""COMPUTED_VALUE"""),0.9973226681214582)</f>
        <v>0.9973226681</v>
      </c>
      <c r="AS241" s="30">
        <f>IFERROR(__xludf.DUMMYFUNCTION("""COMPUTED_VALUE"""),10.0)</f>
        <v>10</v>
      </c>
      <c r="AT241" s="30">
        <f>IFERROR(__xludf.DUMMYFUNCTION("""COMPUTED_VALUE"""),0.5)</f>
        <v>0.5</v>
      </c>
      <c r="AU241" s="30">
        <f>IFERROR(__xludf.DUMMYFUNCTION("""COMPUTED_VALUE"""),2.138630211222644)</f>
        <v>2.138630211</v>
      </c>
      <c r="AV241" s="32">
        <f>IFERROR(__xludf.DUMMYFUNCTION("""COMPUTED_VALUE"""),42.66324509928419)</f>
        <v>42.6632451</v>
      </c>
      <c r="AW241" s="32">
        <f>IFERROR(__xludf.DUMMYFUNCTION("""COMPUTED_VALUE"""),-2.6002298332804124)</f>
        <v>-2.600229833</v>
      </c>
      <c r="AX241" s="32">
        <f>IFERROR(__xludf.DUMMYFUNCTION("""COMPUTED_VALUE"""),49.245953678081946)</f>
        <v>49.24595368</v>
      </c>
      <c r="AY241" s="32">
        <f>IFERROR(__xludf.DUMMYFUNCTION("""COMPUTED_VALUE"""),-2.0493105689587487)</f>
        <v>-2.049310569</v>
      </c>
      <c r="AZ241" s="30">
        <f>IFERROR(__xludf.DUMMYFUNCTION("""COMPUTED_VALUE"""),0.5509192643216636)</f>
        <v>0.5509192643</v>
      </c>
      <c r="BA241" s="30">
        <f>IFERROR(__xludf.DUMMYFUNCTION("""COMPUTED_VALUE"""),800.0)</f>
        <v>800</v>
      </c>
    </row>
    <row r="242">
      <c r="A242" s="30" t="str">
        <f>IFERROR(__xludf.DUMMYFUNCTION("""COMPUTED_VALUE"""),"Elite")</f>
        <v>Elite</v>
      </c>
      <c r="B242" s="30" t="str">
        <f>IFERROR(__xludf.DUMMYFUNCTION("""COMPUTED_VALUE"""),"RSC004214")</f>
        <v>RSC004214</v>
      </c>
      <c r="C242" s="30" t="str">
        <f>IFERROR(__xludf.DUMMYFUNCTION("""COMPUTED_VALUE"""),"Miserable")</f>
        <v>Miserable</v>
      </c>
      <c r="D242" s="30" t="str">
        <f>IFERROR(__xludf.DUMMYFUNCTION("""COMPUTED_VALUE"""),"Summoned")</f>
        <v>Summoned</v>
      </c>
      <c r="E242" s="30">
        <f>IFERROR(__xludf.DUMMYFUNCTION("""COMPUTED_VALUE"""),30.0)</f>
        <v>30</v>
      </c>
      <c r="F242" s="30">
        <f>IFERROR(__xludf.DUMMYFUNCTION("""COMPUTED_VALUE"""),6.0)</f>
        <v>6</v>
      </c>
      <c r="G242" s="30">
        <f>IFERROR(__xludf.DUMMYFUNCTION("""COMPUTED_VALUE"""),24.0)</f>
        <v>24</v>
      </c>
      <c r="H242" s="42">
        <f>IFERROR(__xludf.DUMMYFUNCTION("""COMPUTED_VALUE"""),0.2)</f>
        <v>0.2</v>
      </c>
      <c r="I242" s="42">
        <f>IFERROR(__xludf.DUMMYFUNCTION("""COMPUTED_VALUE"""),0.2727272727272727)</f>
        <v>0.2727272727</v>
      </c>
      <c r="J242" s="30">
        <f>IFERROR(__xludf.DUMMYFUNCTION("""COMPUTED_VALUE"""),365.0)</f>
        <v>365</v>
      </c>
      <c r="K242" s="30">
        <f>IFERROR(__xludf.DUMMYFUNCTION("""COMPUTED_VALUE"""),0.5769230769230769)</f>
        <v>0.5769230769</v>
      </c>
      <c r="L242" s="30">
        <f>IFERROR(__xludf.DUMMYFUNCTION("""COMPUTED_VALUE"""),0.4230769230769231)</f>
        <v>0.4230769231</v>
      </c>
      <c r="M242" s="30">
        <f>IFERROR(__xludf.DUMMYFUNCTION("""COMPUTED_VALUE"""),2.230769230769231)</f>
        <v>2.230769231</v>
      </c>
      <c r="N242" s="30">
        <f>IFERROR(__xludf.DUMMYFUNCTION("""COMPUTED_VALUE"""),2.1153846153846154)</f>
        <v>2.115384615</v>
      </c>
      <c r="O242" s="30">
        <f>IFERROR(__xludf.DUMMYFUNCTION("""COMPUTED_VALUE"""),409.6923076923077)</f>
        <v>409.6923077</v>
      </c>
      <c r="P242" s="30">
        <f>IFERROR(__xludf.DUMMYFUNCTION("""COMPUTED_VALUE"""),1.141025641025641)</f>
        <v>1.141025641</v>
      </c>
      <c r="Q242" s="30">
        <f>IFERROR(__xludf.DUMMYFUNCTION("""COMPUTED_VALUE"""),0.8333333333333335)</f>
        <v>0.8333333333</v>
      </c>
      <c r="R242" s="30">
        <f>IFERROR(__xludf.DUMMYFUNCTION("""COMPUTED_VALUE"""),1.205128205128205)</f>
        <v>1.205128205</v>
      </c>
      <c r="S242" s="30">
        <f>IFERROR(__xludf.DUMMYFUNCTION("""COMPUTED_VALUE"""),3.4615384615384617)</f>
        <v>3.461538462</v>
      </c>
      <c r="T242" s="30">
        <f>IFERROR(__xludf.DUMMYFUNCTION("""COMPUTED_VALUE"""),381.331315017015)</f>
        <v>381.331315</v>
      </c>
      <c r="U242" s="30">
        <f>IFERROR(__xludf.DUMMYFUNCTION("""COMPUTED_VALUE"""),0.904161871343368)</f>
        <v>0.9041618713</v>
      </c>
      <c r="V242" s="30">
        <f>IFERROR(__xludf.DUMMYFUNCTION("""COMPUTED_VALUE"""),0.6647074454127034)</f>
        <v>0.6647074454</v>
      </c>
      <c r="W242" s="30">
        <f>IFERROR(__xludf.DUMMYFUNCTION("""COMPUTED_VALUE"""),1.3743078425459623)</f>
        <v>1.374307843</v>
      </c>
      <c r="X242" s="30">
        <f>IFERROR(__xludf.DUMMYFUNCTION("""COMPUTED_VALUE"""),2.925406082473827)</f>
        <v>2.925406082</v>
      </c>
      <c r="Y242" s="30">
        <f>IFERROR(__xludf.DUMMYFUNCTION("""COMPUTED_VALUE"""),355.5900839903107)</f>
        <v>355.590084</v>
      </c>
      <c r="Z242" s="30">
        <f>IFERROR(__xludf.DUMMYFUNCTION("""COMPUTED_VALUE"""),0.7188310612754493)</f>
        <v>0.7188310613</v>
      </c>
      <c r="AA242" s="30">
        <f>IFERROR(__xludf.DUMMYFUNCTION("""COMPUTED_VALUE"""),0.5327027262601917)</f>
        <v>0.5327027263</v>
      </c>
      <c r="AB242" s="30">
        <f>IFERROR(__xludf.DUMMYFUNCTION("""COMPUTED_VALUE"""),1.510337232898742)</f>
        <v>1.510337233</v>
      </c>
      <c r="AC242" s="30">
        <f>IFERROR(__xludf.DUMMYFUNCTION("""COMPUTED_VALUE"""),2.5182527804696666)</f>
        <v>2.51825278</v>
      </c>
      <c r="AD242" s="30">
        <f>IFERROR(__xludf.DUMMYFUNCTION("""COMPUTED_VALUE"""),1.0264628189405465)</f>
        <v>1.026462819</v>
      </c>
      <c r="AE242" s="30">
        <f>IFERROR(__xludf.DUMMYFUNCTION("""COMPUTED_VALUE"""),0.8025850690138797)</f>
        <v>0.802585069</v>
      </c>
      <c r="AF242" s="30">
        <f>IFERROR(__xludf.DUMMYFUNCTION("""COMPUTED_VALUE"""),0.7942082933329624)</f>
        <v>0.7942082933</v>
      </c>
      <c r="AG242" s="30">
        <f>IFERROR(__xludf.DUMMYFUNCTION("""COMPUTED_VALUE"""),1.4770007533269816)</f>
        <v>1.477000753</v>
      </c>
      <c r="AH242" s="30">
        <f>IFERROR(__xludf.DUMMYFUNCTION("""COMPUTED_VALUE"""),0.8400207603424489)</f>
        <v>0.8400207603</v>
      </c>
      <c r="AI242" s="30">
        <f>IFERROR(__xludf.DUMMYFUNCTION("""COMPUTED_VALUE"""),1.0743736261839056)</f>
        <v>1.074373626</v>
      </c>
      <c r="AJ242" s="30">
        <f>IFERROR(__xludf.DUMMYFUNCTION("""COMPUTED_VALUE"""),1.261970535574952)</f>
        <v>1.261970536</v>
      </c>
      <c r="AK242" s="30">
        <f>IFERROR(__xludf.DUMMYFUNCTION("""COMPUTED_VALUE"""),1.2536843675881104)</f>
        <v>1.253684368</v>
      </c>
      <c r="AL242" s="30">
        <f>IFERROR(__xludf.DUMMYFUNCTION("""COMPUTED_VALUE"""),0.876898295869181)</f>
        <v>0.8768982959</v>
      </c>
      <c r="AM242" s="30">
        <f>IFERROR(__xludf.DUMMYFUNCTION("""COMPUTED_VALUE"""),1.183267677700069)</f>
        <v>1.183267678</v>
      </c>
      <c r="AN242" s="30">
        <f>IFERROR(__xludf.DUMMYFUNCTION("""COMPUTED_VALUE"""),1.0411019568487008)</f>
        <v>1.041101957</v>
      </c>
      <c r="AO242" s="30">
        <f>IFERROR(__xludf.DUMMYFUNCTION("""COMPUTED_VALUE"""),0.8138384841930087)</f>
        <v>0.8138384842</v>
      </c>
      <c r="AP242" s="30">
        <f>IFERROR(__xludf.DUMMYFUNCTION("""COMPUTED_VALUE"""),0.7410981186917295)</f>
        <v>0.7410981187</v>
      </c>
      <c r="AQ242" s="30">
        <f>IFERROR(__xludf.DUMMYFUNCTION("""COMPUTED_VALUE"""),1.5649704704408134)</f>
        <v>1.56497047</v>
      </c>
      <c r="AR242" s="30">
        <f>IFERROR(__xludf.DUMMYFUNCTION("""COMPUTED_VALUE"""),0.8438884114873877)</f>
        <v>0.8438884115</v>
      </c>
      <c r="AS242" s="30">
        <f>IFERROR(__xludf.DUMMYFUNCTION("""COMPUTED_VALUE"""),43.0)</f>
        <v>43</v>
      </c>
      <c r="AT242" s="30">
        <f>IFERROR(__xludf.DUMMYFUNCTION("""COMPUTED_VALUE"""),0.2025998539253701)</f>
        <v>0.2025998539</v>
      </c>
      <c r="AU242" s="30">
        <f>IFERROR(__xludf.DUMMYFUNCTION("""COMPUTED_VALUE"""),1.7286261531498734)</f>
        <v>1.728626153</v>
      </c>
      <c r="AV242" s="32">
        <f>IFERROR(__xludf.DUMMYFUNCTION("""COMPUTED_VALUE"""),30.869801049858754)</f>
        <v>30.86980105</v>
      </c>
      <c r="AW242" s="32">
        <f>IFERROR(__xludf.DUMMYFUNCTION("""COMPUTED_VALUE"""),-4.503006325193368)</f>
        <v>-4.503006325</v>
      </c>
      <c r="AX242" s="32">
        <f>IFERROR(__xludf.DUMMYFUNCTION("""COMPUTED_VALUE"""),28.79030329639185)</f>
        <v>28.7903033</v>
      </c>
      <c r="AY242" s="32">
        <f>IFERROR(__xludf.DUMMYFUNCTION("""COMPUTED_VALUE"""),-5.0476753336424665)</f>
        <v>-5.047675334</v>
      </c>
      <c r="AZ242" s="30">
        <f>IFERROR(__xludf.DUMMYFUNCTION("""COMPUTED_VALUE"""),0.5446690084490982)</f>
        <v>0.5446690084</v>
      </c>
      <c r="BA242" s="30">
        <f>IFERROR(__xludf.DUMMYFUNCTION("""COMPUTED_VALUE"""),800.0)</f>
        <v>800</v>
      </c>
    </row>
    <row r="243">
      <c r="A243" s="30" t="str">
        <f>IFERROR(__xludf.DUMMYFUNCTION("""COMPUTED_VALUE"""),"Elite")</f>
        <v>Elite</v>
      </c>
      <c r="B243" s="30" t="str">
        <f>IFERROR(__xludf.DUMMYFUNCTION("""COMPUTED_VALUE"""),"RSC007642")</f>
        <v>RSC007642</v>
      </c>
      <c r="C243" s="30" t="str">
        <f>IFERROR(__xludf.DUMMYFUNCTION("""COMPUTED_VALUE"""),"Luminati7")</f>
        <v>Luminati7</v>
      </c>
      <c r="D243" s="30"/>
      <c r="E243" s="30">
        <f>IFERROR(__xludf.DUMMYFUNCTION("""COMPUTED_VALUE"""),8.0)</f>
        <v>8</v>
      </c>
      <c r="F243" s="30">
        <f>IFERROR(__xludf.DUMMYFUNCTION("""COMPUTED_VALUE"""),2.0)</f>
        <v>2</v>
      </c>
      <c r="G243" s="30">
        <f>IFERROR(__xludf.DUMMYFUNCTION("""COMPUTED_VALUE"""),6.0)</f>
        <v>6</v>
      </c>
      <c r="H243" s="42">
        <f>IFERROR(__xludf.DUMMYFUNCTION("""COMPUTED_VALUE"""),0.25)</f>
        <v>0.25</v>
      </c>
      <c r="I243" s="42">
        <f>IFERROR(__xludf.DUMMYFUNCTION("""COMPUTED_VALUE"""),0.35294117647058826)</f>
        <v>0.3529411765</v>
      </c>
      <c r="J243" s="30">
        <f>IFERROR(__xludf.DUMMYFUNCTION("""COMPUTED_VALUE"""),458.25)</f>
        <v>458.25</v>
      </c>
      <c r="K243" s="30">
        <f>IFERROR(__xludf.DUMMYFUNCTION("""COMPUTED_VALUE"""),0.75)</f>
        <v>0.75</v>
      </c>
      <c r="L243" s="30">
        <f>IFERROR(__xludf.DUMMYFUNCTION("""COMPUTED_VALUE"""),0.25)</f>
        <v>0.25</v>
      </c>
      <c r="M243" s="30">
        <f>IFERROR(__xludf.DUMMYFUNCTION("""COMPUTED_VALUE"""),2.75)</f>
        <v>2.75</v>
      </c>
      <c r="N243" s="30">
        <f>IFERROR(__xludf.DUMMYFUNCTION("""COMPUTED_VALUE"""),2.125)</f>
        <v>2.125</v>
      </c>
      <c r="O243" s="30">
        <f>IFERROR(__xludf.DUMMYFUNCTION("""COMPUTED_VALUE"""),427.9166666666667)</f>
        <v>427.9166667</v>
      </c>
      <c r="P243" s="30">
        <f>IFERROR(__xludf.DUMMYFUNCTION("""COMPUTED_VALUE"""),0.9166666666666666)</f>
        <v>0.9166666667</v>
      </c>
      <c r="Q243" s="30">
        <f>IFERROR(__xludf.DUMMYFUNCTION("""COMPUTED_VALUE"""),0.7916666666666666)</f>
        <v>0.7916666667</v>
      </c>
      <c r="R243" s="30">
        <f>IFERROR(__xludf.DUMMYFUNCTION("""COMPUTED_VALUE"""),1.5416666666666667)</f>
        <v>1.541666667</v>
      </c>
      <c r="S243" s="30">
        <f>IFERROR(__xludf.DUMMYFUNCTION("""COMPUTED_VALUE"""),3.791666666666667)</f>
        <v>3.791666667</v>
      </c>
      <c r="T243" s="30">
        <f>IFERROR(__xludf.DUMMYFUNCTION("""COMPUTED_VALUE"""),370.3343337218337)</f>
        <v>370.3343337</v>
      </c>
      <c r="U243" s="30">
        <f>IFERROR(__xludf.DUMMYFUNCTION("""COMPUTED_VALUE"""),0.8534479409479411)</f>
        <v>0.8534479409</v>
      </c>
      <c r="V243" s="30">
        <f>IFERROR(__xludf.DUMMYFUNCTION("""COMPUTED_VALUE"""),0.6495969308469309)</f>
        <v>0.6495969308</v>
      </c>
      <c r="W243" s="30">
        <f>IFERROR(__xludf.DUMMYFUNCTION("""COMPUTED_VALUE"""),1.3482226107226107)</f>
        <v>1.348222611</v>
      </c>
      <c r="X243" s="30">
        <f>IFERROR(__xludf.DUMMYFUNCTION("""COMPUTED_VALUE"""),2.909605672105672)</f>
        <v>2.909605672</v>
      </c>
      <c r="Y243" s="30">
        <f>IFERROR(__xludf.DUMMYFUNCTION("""COMPUTED_VALUE"""),350.766113053613)</f>
        <v>350.7661131</v>
      </c>
      <c r="Z243" s="30">
        <f>IFERROR(__xludf.DUMMYFUNCTION("""COMPUTED_VALUE"""),0.646590909090909)</f>
        <v>0.6465909091</v>
      </c>
      <c r="AA243" s="30">
        <f>IFERROR(__xludf.DUMMYFUNCTION("""COMPUTED_VALUE"""),0.48862988862988865)</f>
        <v>0.4886298886</v>
      </c>
      <c r="AB243" s="30">
        <f>IFERROR(__xludf.DUMMYFUNCTION("""COMPUTED_VALUE"""),1.6143437580937579)</f>
        <v>1.614343758</v>
      </c>
      <c r="AC243" s="30">
        <f>IFERROR(__xludf.DUMMYFUNCTION("""COMPUTED_VALUE"""),2.435063778813779)</f>
        <v>2.435063779</v>
      </c>
      <c r="AD243" s="30">
        <f>IFERROR(__xludf.DUMMYFUNCTION("""COMPUTED_VALUE"""),1.3064260854923535)</f>
        <v>1.306426085</v>
      </c>
      <c r="AE243" s="30">
        <f>IFERROR(__xludf.DUMMYFUNCTION("""COMPUTED_VALUE"""),1.1599297012302285)</f>
        <v>1.159929701</v>
      </c>
      <c r="AF243" s="30">
        <f>IFERROR(__xludf.DUMMYFUNCTION("""COMPUTED_VALUE"""),0.5116346867380472)</f>
        <v>0.5116346867</v>
      </c>
      <c r="AG243" s="30">
        <f>IFERROR(__xludf.DUMMYFUNCTION("""COMPUTED_VALUE"""),1.70347857215197)</f>
        <v>1.703478572</v>
      </c>
      <c r="AH243" s="30">
        <f>IFERROR(__xludf.DUMMYFUNCTION("""COMPUTED_VALUE"""),0.8726670810385)</f>
        <v>0.872667081</v>
      </c>
      <c r="AI243" s="30">
        <f>IFERROR(__xludf.DUMMYFUNCTION("""COMPUTED_VALUE"""),1.1554874277146672)</f>
        <v>1.155487428</v>
      </c>
      <c r="AJ243" s="30">
        <f>IFERROR(__xludf.DUMMYFUNCTION("""COMPUTED_VALUE"""),1.0740744955673656)</f>
        <v>1.074074496</v>
      </c>
      <c r="AK243" s="30">
        <f>IFERROR(__xludf.DUMMYFUNCTION("""COMPUTED_VALUE"""),1.21870444436138)</f>
        <v>1.218704444</v>
      </c>
      <c r="AL243" s="30">
        <f>IFERROR(__xludf.DUMMYFUNCTION("""COMPUTED_VALUE"""),1.1434807979079769)</f>
        <v>1.143480798</v>
      </c>
      <c r="AM243" s="30">
        <f>IFERROR(__xludf.DUMMYFUNCTION("""COMPUTED_VALUE"""),1.303154823699065)</f>
        <v>1.303154824</v>
      </c>
      <c r="AN243" s="30">
        <f>IFERROR(__xludf.DUMMYFUNCTION("""COMPUTED_VALUE"""),1.307082114317581)</f>
        <v>1.307082114</v>
      </c>
      <c r="AO243" s="30">
        <f>IFERROR(__xludf.DUMMYFUNCTION("""COMPUTED_VALUE"""),1.0579900294509115)</f>
        <v>1.057990029</v>
      </c>
      <c r="AP243" s="30">
        <f>IFERROR(__xludf.DUMMYFUNCTION("""COMPUTED_VALUE"""),0.43792161559056747)</f>
        <v>0.4379216156</v>
      </c>
      <c r="AQ243" s="30">
        <f>IFERROR(__xludf.DUMMYFUNCTION("""COMPUTED_VALUE"""),1.9292308385606578)</f>
        <v>1.929230839</v>
      </c>
      <c r="AR243" s="30">
        <f>IFERROR(__xludf.DUMMYFUNCTION("""COMPUTED_VALUE"""),0.8477242679032394)</f>
        <v>0.8477242679</v>
      </c>
      <c r="AS243" s="30">
        <f>IFERROR(__xludf.DUMMYFUNCTION("""COMPUTED_VALUE"""),13.0)</f>
        <v>13</v>
      </c>
      <c r="AT243" s="30">
        <f>IFERROR(__xludf.DUMMYFUNCTION("""COMPUTED_VALUE"""),0.3092625416068513)</f>
        <v>0.3092625416</v>
      </c>
      <c r="AU243" s="30">
        <f>IFERROR(__xludf.DUMMYFUNCTION("""COMPUTED_VALUE"""),2.1035377580247454)</f>
        <v>2.103537758</v>
      </c>
      <c r="AV243" s="32">
        <f>IFERROR(__xludf.DUMMYFUNCTION("""COMPUTED_VALUE"""),41.653838301478686)</f>
        <v>41.6538383</v>
      </c>
      <c r="AW243" s="32">
        <f>IFERROR(__xludf.DUMMYFUNCTION("""COMPUTED_VALUE"""),-2.7082090893720903)</f>
        <v>-2.708209089</v>
      </c>
      <c r="AX243" s="32">
        <f>IFERROR(__xludf.DUMMYFUNCTION("""COMPUTED_VALUE"""),37.491984398908826)</f>
        <v>37.4919844</v>
      </c>
      <c r="AY243" s="32">
        <f>IFERROR(__xludf.DUMMYFUNCTION("""COMPUTED_VALUE"""),-3.242282821234862)</f>
        <v>-3.242282821</v>
      </c>
      <c r="AZ243" s="30">
        <f>IFERROR(__xludf.DUMMYFUNCTION("""COMPUTED_VALUE"""),0.5340737318627715)</f>
        <v>0.5340737319</v>
      </c>
      <c r="BA243" s="30">
        <f>IFERROR(__xludf.DUMMYFUNCTION("""COMPUTED_VALUE"""),800.0)</f>
        <v>800</v>
      </c>
    </row>
    <row r="244">
      <c r="A244" s="30" t="str">
        <f>IFERROR(__xludf.DUMMYFUNCTION("""COMPUTED_VALUE"""),"Elite")</f>
        <v>Elite</v>
      </c>
      <c r="B244" s="30" t="str">
        <f>IFERROR(__xludf.DUMMYFUNCTION("""COMPUTED_VALUE"""),"RSC006478")</f>
        <v>RSC006478</v>
      </c>
      <c r="C244" s="30" t="str">
        <f>IFERROR(__xludf.DUMMYFUNCTION("""COMPUTED_VALUE"""),"Wontay")</f>
        <v>Wontay</v>
      </c>
      <c r="D244" s="30"/>
      <c r="E244" s="30">
        <f>IFERROR(__xludf.DUMMYFUNCTION("""COMPUTED_VALUE"""),4.0)</f>
        <v>4</v>
      </c>
      <c r="F244" s="30">
        <f>IFERROR(__xludf.DUMMYFUNCTION("""COMPUTED_VALUE"""),1.0)</f>
        <v>1</v>
      </c>
      <c r="G244" s="30">
        <f>IFERROR(__xludf.DUMMYFUNCTION("""COMPUTED_VALUE"""),3.0)</f>
        <v>3</v>
      </c>
      <c r="H244" s="42">
        <f>IFERROR(__xludf.DUMMYFUNCTION("""COMPUTED_VALUE"""),0.25)</f>
        <v>0.25</v>
      </c>
      <c r="I244" s="42">
        <f>IFERROR(__xludf.DUMMYFUNCTION("""COMPUTED_VALUE"""),0.2222222222222222)</f>
        <v>0.2222222222</v>
      </c>
      <c r="J244" s="30">
        <f>IFERROR(__xludf.DUMMYFUNCTION("""COMPUTED_VALUE"""),310.5)</f>
        <v>310.5</v>
      </c>
      <c r="K244" s="30">
        <f>IFERROR(__xludf.DUMMYFUNCTION("""COMPUTED_VALUE"""),0.5)</f>
        <v>0.5</v>
      </c>
      <c r="L244" s="30">
        <f>IFERROR(__xludf.DUMMYFUNCTION("""COMPUTED_VALUE"""),0.5)</f>
        <v>0.5</v>
      </c>
      <c r="M244" s="30">
        <f>IFERROR(__xludf.DUMMYFUNCTION("""COMPUTED_VALUE"""),1.75)</f>
        <v>1.75</v>
      </c>
      <c r="N244" s="30">
        <f>IFERROR(__xludf.DUMMYFUNCTION("""COMPUTED_VALUE"""),2.25)</f>
        <v>2.25</v>
      </c>
      <c r="O244" s="30">
        <f>IFERROR(__xludf.DUMMYFUNCTION("""COMPUTED_VALUE"""),348.0833333333333)</f>
        <v>348.0833333</v>
      </c>
      <c r="P244" s="30">
        <f>IFERROR(__xludf.DUMMYFUNCTION("""COMPUTED_VALUE"""),0.9166666666666665)</f>
        <v>0.9166666667</v>
      </c>
      <c r="Q244" s="30">
        <f>IFERROR(__xludf.DUMMYFUNCTION("""COMPUTED_VALUE"""),0.7499999999999999)</f>
        <v>0.75</v>
      </c>
      <c r="R244" s="30">
        <f>IFERROR(__xludf.DUMMYFUNCTION("""COMPUTED_VALUE"""),1.0833333333333333)</f>
        <v>1.083333333</v>
      </c>
      <c r="S244" s="30">
        <f>IFERROR(__xludf.DUMMYFUNCTION("""COMPUTED_VALUE"""),3.2499999999999996)</f>
        <v>3.25</v>
      </c>
      <c r="T244" s="30">
        <f>IFERROR(__xludf.DUMMYFUNCTION("""COMPUTED_VALUE"""),353.16709995588326)</f>
        <v>353.1671</v>
      </c>
      <c r="U244" s="30">
        <f>IFERROR(__xludf.DUMMYFUNCTION("""COMPUTED_VALUE"""),0.7518119367240184)</f>
        <v>0.7518119367</v>
      </c>
      <c r="V244" s="30">
        <f>IFERROR(__xludf.DUMMYFUNCTION("""COMPUTED_VALUE"""),0.5245793155605974)</f>
        <v>0.5245793156</v>
      </c>
      <c r="W244" s="30">
        <f>IFERROR(__xludf.DUMMYFUNCTION("""COMPUTED_VALUE"""),1.3593464423016322)</f>
        <v>1.359346442</v>
      </c>
      <c r="X244" s="30">
        <f>IFERROR(__xludf.DUMMYFUNCTION("""COMPUTED_VALUE"""),2.889987867901935)</f>
        <v>2.889987868</v>
      </c>
      <c r="Y244" s="30">
        <f>IFERROR(__xludf.DUMMYFUNCTION("""COMPUTED_VALUE"""),365.5942574735825)</f>
        <v>365.5942575</v>
      </c>
      <c r="Z244" s="30">
        <f>IFERROR(__xludf.DUMMYFUNCTION("""COMPUTED_VALUE"""),0.7049064095292117)</f>
        <v>0.7049064095</v>
      </c>
      <c r="AA244" s="30">
        <f>IFERROR(__xludf.DUMMYFUNCTION("""COMPUTED_VALUE"""),0.5396144513770719)</f>
        <v>0.5396144514</v>
      </c>
      <c r="AB244" s="30">
        <f>IFERROR(__xludf.DUMMYFUNCTION("""COMPUTED_VALUE"""),1.653711319089935)</f>
        <v>1.653711319</v>
      </c>
      <c r="AC244" s="30">
        <f>IFERROR(__xludf.DUMMYFUNCTION("""COMPUTED_VALUE"""),2.4790432448898136)</f>
        <v>2.479043245</v>
      </c>
      <c r="AD244" s="30">
        <f>IFERROR(__xludf.DUMMYFUNCTION("""COMPUTED_VALUE"""),0.849302180361617)</f>
        <v>0.8493021804</v>
      </c>
      <c r="AE244" s="30">
        <f>IFERROR(__xludf.DUMMYFUNCTION("""COMPUTED_VALUE"""),0.7093140213236773)</f>
        <v>0.7093140213</v>
      </c>
      <c r="AF244" s="30">
        <f>IFERROR(__xludf.DUMMYFUNCTION("""COMPUTED_VALUE"""),0.9265874898717453)</f>
        <v>0.9265874899</v>
      </c>
      <c r="AG244" s="30">
        <f>IFERROR(__xludf.DUMMYFUNCTION("""COMPUTED_VALUE"""),1.0582258099092254)</f>
        <v>1.05822581</v>
      </c>
      <c r="AH244" s="30">
        <f>IFERROR(__xludf.DUMMYFUNCTION("""COMPUTED_VALUE"""),0.9076082091903992)</f>
        <v>0.9076082092</v>
      </c>
      <c r="AI244" s="30">
        <f>IFERROR(__xludf.DUMMYFUNCTION("""COMPUTED_VALUE"""),0.9856052089133303)</f>
        <v>0.9856052089</v>
      </c>
      <c r="AJ244" s="30">
        <f>IFERROR(__xludf.DUMMYFUNCTION("""COMPUTED_VALUE"""),1.2192765529382177)</f>
        <v>1.219276553</v>
      </c>
      <c r="AK244" s="30">
        <f>IFERROR(__xludf.DUMMYFUNCTION("""COMPUTED_VALUE"""),1.4297170661380427)</f>
        <v>1.429717066</v>
      </c>
      <c r="AL244" s="30">
        <f>IFERROR(__xludf.DUMMYFUNCTION("""COMPUTED_VALUE"""),0.7969516082294987)</f>
        <v>0.7969516082</v>
      </c>
      <c r="AM244" s="30">
        <f>IFERROR(__xludf.DUMMYFUNCTION("""COMPUTED_VALUE"""),1.1245721949550693)</f>
        <v>1.124572195</v>
      </c>
      <c r="AN244" s="30">
        <f>IFERROR(__xludf.DUMMYFUNCTION("""COMPUTED_VALUE"""),0.8856497468534837)</f>
        <v>0.8856497469</v>
      </c>
      <c r="AO244" s="30">
        <f>IFERROR(__xludf.DUMMYFUNCTION("""COMPUTED_VALUE"""),0.7053266863006076)</f>
        <v>0.7053266863</v>
      </c>
      <c r="AP244" s="30">
        <f>IFERROR(__xludf.DUMMYFUNCTION("""COMPUTED_VALUE"""),0.8758432311811349)</f>
        <v>0.8758432312</v>
      </c>
      <c r="AQ244" s="30">
        <f>IFERROR(__xludf.DUMMYFUNCTION("""COMPUTED_VALUE"""),1.2276923518113276)</f>
        <v>1.227692352</v>
      </c>
      <c r="AR244" s="30">
        <f>IFERROR(__xludf.DUMMYFUNCTION("""COMPUTED_VALUE"""),0.8975904013093123)</f>
        <v>0.8975904013</v>
      </c>
      <c r="AS244" s="30">
        <f>IFERROR(__xludf.DUMMYFUNCTION("""COMPUTED_VALUE"""),5.0)</f>
        <v>5</v>
      </c>
      <c r="AT244" s="30">
        <f>IFERROR(__xludf.DUMMYFUNCTION("""COMPUTED_VALUE"""),0.23618083429829864)</f>
        <v>0.2361808343</v>
      </c>
      <c r="AU244" s="30">
        <f>IFERROR(__xludf.DUMMYFUNCTION("""COMPUTED_VALUE"""),1.6383036858091624)</f>
        <v>1.638303686</v>
      </c>
      <c r="AV244" s="32">
        <f>IFERROR(__xludf.DUMMYFUNCTION("""COMPUTED_VALUE"""),28.27174636231303)</f>
        <v>28.27174636</v>
      </c>
      <c r="AW244" s="32">
        <f>IFERROR(__xludf.DUMMYFUNCTION("""COMPUTED_VALUE"""),-5.197830063824048)</f>
        <v>-5.197830064</v>
      </c>
      <c r="AX244" s="32">
        <f>IFERROR(__xludf.DUMMYFUNCTION("""COMPUTED_VALUE"""),30.04883500983682)</f>
        <v>30.04883501</v>
      </c>
      <c r="AY244" s="32">
        <f>IFERROR(__xludf.DUMMYFUNCTION("""COMPUTED_VALUE"""),-4.707616434900715)</f>
        <v>-4.707616435</v>
      </c>
      <c r="AZ244" s="30">
        <f>IFERROR(__xludf.DUMMYFUNCTION("""COMPUTED_VALUE"""),0.49021362892333276)</f>
        <v>0.4902136289</v>
      </c>
      <c r="BA244" s="30">
        <f>IFERROR(__xludf.DUMMYFUNCTION("""COMPUTED_VALUE"""),800.0)</f>
        <v>800</v>
      </c>
    </row>
    <row r="245">
      <c r="A245" s="30" t="str">
        <f>IFERROR(__xludf.DUMMYFUNCTION("""COMPUTED_VALUE"""),"Elite")</f>
        <v>Elite</v>
      </c>
      <c r="B245" s="30" t="str">
        <f>IFERROR(__xludf.DUMMYFUNCTION("""COMPUTED_VALUE"""),"RSC007386")</f>
        <v>RSC007386</v>
      </c>
      <c r="C245" s="30" t="str">
        <f>IFERROR(__xludf.DUMMYFUNCTION("""COMPUTED_VALUE"""),"oddtrip")</f>
        <v>oddtrip</v>
      </c>
      <c r="D245" s="30" t="str">
        <f>IFERROR(__xludf.DUMMYFUNCTION("""COMPUTED_VALUE"""),"Loonie")</f>
        <v>Loonie</v>
      </c>
      <c r="E245" s="30">
        <f>IFERROR(__xludf.DUMMYFUNCTION("""COMPUTED_VALUE"""),20.0)</f>
        <v>20</v>
      </c>
      <c r="F245" s="30">
        <f>IFERROR(__xludf.DUMMYFUNCTION("""COMPUTED_VALUE"""),4.0)</f>
        <v>4</v>
      </c>
      <c r="G245" s="30">
        <f>IFERROR(__xludf.DUMMYFUNCTION("""COMPUTED_VALUE"""),16.0)</f>
        <v>16</v>
      </c>
      <c r="H245" s="42">
        <f>IFERROR(__xludf.DUMMYFUNCTION("""COMPUTED_VALUE"""),0.2)</f>
        <v>0.2</v>
      </c>
      <c r="I245" s="42">
        <f>IFERROR(__xludf.DUMMYFUNCTION("""COMPUTED_VALUE"""),0.1627906976744186)</f>
        <v>0.1627906977</v>
      </c>
      <c r="J245" s="30">
        <f>IFERROR(__xludf.DUMMYFUNCTION("""COMPUTED_VALUE"""),261.85)</f>
        <v>261.85</v>
      </c>
      <c r="K245" s="30">
        <f>IFERROR(__xludf.DUMMYFUNCTION("""COMPUTED_VALUE"""),0.35)</f>
        <v>0.35</v>
      </c>
      <c r="L245" s="30">
        <f>IFERROR(__xludf.DUMMYFUNCTION("""COMPUTED_VALUE"""),0.35)</f>
        <v>0.35</v>
      </c>
      <c r="M245" s="30">
        <f>IFERROR(__xludf.DUMMYFUNCTION("""COMPUTED_VALUE"""),1.2)</f>
        <v>1.2</v>
      </c>
      <c r="N245" s="30">
        <f>IFERROR(__xludf.DUMMYFUNCTION("""COMPUTED_VALUE"""),2.15)</f>
        <v>2.15</v>
      </c>
      <c r="O245" s="30">
        <f>IFERROR(__xludf.DUMMYFUNCTION("""COMPUTED_VALUE"""),395.29999999999995)</f>
        <v>395.3</v>
      </c>
      <c r="P245" s="30">
        <f>IFERROR(__xludf.DUMMYFUNCTION("""COMPUTED_VALUE"""),1.0000000000000002)</f>
        <v>1</v>
      </c>
      <c r="Q245" s="30">
        <f>IFERROR(__xludf.DUMMYFUNCTION("""COMPUTED_VALUE"""),0.8166666666666667)</f>
        <v>0.8166666667</v>
      </c>
      <c r="R245" s="30">
        <f>IFERROR(__xludf.DUMMYFUNCTION("""COMPUTED_VALUE"""),1.4666666666666666)</f>
        <v>1.466666667</v>
      </c>
      <c r="S245" s="30">
        <f>IFERROR(__xludf.DUMMYFUNCTION("""COMPUTED_VALUE"""),2.8)</f>
        <v>2.8</v>
      </c>
      <c r="T245" s="30">
        <f>IFERROR(__xludf.DUMMYFUNCTION("""COMPUTED_VALUE"""),363.15220444438626)</f>
        <v>363.1522044</v>
      </c>
      <c r="U245" s="30">
        <f>IFERROR(__xludf.DUMMYFUNCTION("""COMPUTED_VALUE"""),0.7734700822915791)</f>
        <v>0.7734700823</v>
      </c>
      <c r="V245" s="30">
        <f>IFERROR(__xludf.DUMMYFUNCTION("""COMPUTED_VALUE"""),0.5838575085192821)</f>
        <v>0.5838575085</v>
      </c>
      <c r="W245" s="30">
        <f>IFERROR(__xludf.DUMMYFUNCTION("""COMPUTED_VALUE"""),1.399550370796581)</f>
        <v>1.399550371</v>
      </c>
      <c r="X245" s="30">
        <f>IFERROR(__xludf.DUMMYFUNCTION("""COMPUTED_VALUE"""),2.781223492812053)</f>
        <v>2.781223493</v>
      </c>
      <c r="Y245" s="30">
        <f>IFERROR(__xludf.DUMMYFUNCTION("""COMPUTED_VALUE"""),349.8710362168821)</f>
        <v>349.8710362</v>
      </c>
      <c r="Z245" s="30">
        <f>IFERROR(__xludf.DUMMYFUNCTION("""COMPUTED_VALUE"""),0.6780707625393843)</f>
        <v>0.6780707625</v>
      </c>
      <c r="AA245" s="30">
        <f>IFERROR(__xludf.DUMMYFUNCTION("""COMPUTED_VALUE"""),0.5072115319299562)</f>
        <v>0.5072115319</v>
      </c>
      <c r="AB245" s="30">
        <f>IFERROR(__xludf.DUMMYFUNCTION("""COMPUTED_VALUE"""),1.498936091571202)</f>
        <v>1.498936092</v>
      </c>
      <c r="AC245" s="30">
        <f>IFERROR(__xludf.DUMMYFUNCTION("""COMPUTED_VALUE"""),2.5514342929082057)</f>
        <v>2.551434293</v>
      </c>
      <c r="AD245" s="30">
        <f>IFERROR(__xludf.DUMMYFUNCTION("""COMPUTED_VALUE"""),0.7484186254208292)</f>
        <v>0.7484186254</v>
      </c>
      <c r="AE245" s="30">
        <f>IFERROR(__xludf.DUMMYFUNCTION("""COMPUTED_VALUE"""),0.5161703163387331)</f>
        <v>0.5161703163</v>
      </c>
      <c r="AF245" s="30">
        <f>IFERROR(__xludf.DUMMYFUNCTION("""COMPUTED_VALUE"""),0.6900474022509676)</f>
        <v>0.6900474023</v>
      </c>
      <c r="AG245" s="30">
        <f>IFERROR(__xludf.DUMMYFUNCTION("""COMPUTED_VALUE"""),0.8005678205680845)</f>
        <v>0.8005678206</v>
      </c>
      <c r="AH245" s="30">
        <f>IFERROR(__xludf.DUMMYFUNCTION("""COMPUTED_VALUE"""),0.8426632839324902)</f>
        <v>0.8426632839</v>
      </c>
      <c r="AI245" s="30">
        <f>IFERROR(__xludf.DUMMYFUNCTION("""COMPUTED_VALUE"""),1.08852430237839)</f>
        <v>1.088524302</v>
      </c>
      <c r="AJ245" s="30">
        <f>IFERROR(__xludf.DUMMYFUNCTION("""COMPUTED_VALUE"""),1.2928748285095595)</f>
        <v>1.292874829</v>
      </c>
      <c r="AK245" s="30">
        <f>IFERROR(__xludf.DUMMYFUNCTION("""COMPUTED_VALUE"""),1.3987431089784401)</f>
        <v>1.398743109</v>
      </c>
      <c r="AL245" s="30">
        <f>IFERROR(__xludf.DUMMYFUNCTION("""COMPUTED_VALUE"""),1.0479556129386647)</f>
        <v>1.047955613</v>
      </c>
      <c r="AM245" s="30">
        <f>IFERROR(__xludf.DUMMYFUNCTION("""COMPUTED_VALUE"""),1.0067511680512098)</f>
        <v>1.006751168</v>
      </c>
      <c r="AN245" s="30">
        <f>IFERROR(__xludf.DUMMYFUNCTION("""COMPUTED_VALUE"""),0.7468836915091296)</f>
        <v>0.7468836915</v>
      </c>
      <c r="AO245" s="30">
        <f>IFERROR(__xludf.DUMMYFUNCTION("""COMPUTED_VALUE"""),0.4937286804104253)</f>
        <v>0.4937286804</v>
      </c>
      <c r="AP245" s="30">
        <f>IFERROR(__xludf.DUMMYFUNCTION("""COMPUTED_VALUE"""),0.6130902618267944)</f>
        <v>0.6130902618</v>
      </c>
      <c r="AQ245" s="30">
        <f>IFERROR(__xludf.DUMMYFUNCTION("""COMPUTED_VALUE"""),0.8418461840991961)</f>
        <v>0.8418461841</v>
      </c>
      <c r="AR245" s="30">
        <f>IFERROR(__xludf.DUMMYFUNCTION("""COMPUTED_VALUE"""),0.857697494584454)</f>
        <v>0.8576974946</v>
      </c>
      <c r="AS245" s="30">
        <f>IFERROR(__xludf.DUMMYFUNCTION("""COMPUTED_VALUE"""),26.0)</f>
        <v>26</v>
      </c>
      <c r="AT245" s="30">
        <f>IFERROR(__xludf.DUMMYFUNCTION("""COMPUTED_VALUE"""),0.21908861970803326)</f>
        <v>0.2190886197</v>
      </c>
      <c r="AU245" s="30">
        <f>IFERROR(__xludf.DUMMYFUNCTION("""COMPUTED_VALUE"""),1.0703153963407401)</f>
        <v>1.070315396</v>
      </c>
      <c r="AV245" s="32">
        <f>IFERROR(__xludf.DUMMYFUNCTION("""COMPUTED_VALUE"""),11.934010233404294)</f>
        <v>11.93401023</v>
      </c>
      <c r="AW245" s="32">
        <f>IFERROR(__xludf.DUMMYFUNCTION("""COMPUTED_VALUE"""),-15.643466736552279)</f>
        <v>-15.64346674</v>
      </c>
      <c r="AX245" s="32">
        <f>IFERROR(__xludf.DUMMYFUNCTION("""COMPUTED_VALUE"""),12.338984841985386)</f>
        <v>12.33898484</v>
      </c>
      <c r="AY245" s="32">
        <f>IFERROR(__xludf.DUMMYFUNCTION("""COMPUTED_VALUE"""),-15.156785203928395)</f>
        <v>-15.1567852</v>
      </c>
      <c r="AZ245" s="30">
        <f>IFERROR(__xludf.DUMMYFUNCTION("""COMPUTED_VALUE"""),0.4866815326238836)</f>
        <v>0.4866815326</v>
      </c>
      <c r="BA245" s="30">
        <f>IFERROR(__xludf.DUMMYFUNCTION("""COMPUTED_VALUE"""),800.0)</f>
        <v>800</v>
      </c>
    </row>
    <row r="246">
      <c r="A246" s="30" t="str">
        <f>IFERROR(__xludf.DUMMYFUNCTION("""COMPUTED_VALUE"""),"Elite")</f>
        <v>Elite</v>
      </c>
      <c r="B246" s="30" t="str">
        <f>IFERROR(__xludf.DUMMYFUNCTION("""COMPUTED_VALUE"""),"RSC005705")</f>
        <v>RSC005705</v>
      </c>
      <c r="C246" s="30" t="str">
        <f>IFERROR(__xludf.DUMMYFUNCTION("""COMPUTED_VALUE"""),"Rapidz (Goofy and Silly)")</f>
        <v>Rapidz (Goofy and Silly)</v>
      </c>
      <c r="D246" s="30" t="str">
        <f>IFERROR(__xludf.DUMMYFUNCTION("""COMPUTED_VALUE"""),"Keno")</f>
        <v>Keno</v>
      </c>
      <c r="E246" s="30">
        <f>IFERROR(__xludf.DUMMYFUNCTION("""COMPUTED_VALUE"""),36.0)</f>
        <v>36</v>
      </c>
      <c r="F246" s="30">
        <f>IFERROR(__xludf.DUMMYFUNCTION("""COMPUTED_VALUE"""),19.0)</f>
        <v>19</v>
      </c>
      <c r="G246" s="30">
        <f>IFERROR(__xludf.DUMMYFUNCTION("""COMPUTED_VALUE"""),17.0)</f>
        <v>17</v>
      </c>
      <c r="H246" s="42">
        <f>IFERROR(__xludf.DUMMYFUNCTION("""COMPUTED_VALUE"""),0.5277777777777778)</f>
        <v>0.5277777778</v>
      </c>
      <c r="I246" s="42">
        <f>IFERROR(__xludf.DUMMYFUNCTION("""COMPUTED_VALUE"""),0.27722772277227725)</f>
        <v>0.2772277228</v>
      </c>
      <c r="J246" s="30">
        <f>IFERROR(__xludf.DUMMYFUNCTION("""COMPUTED_VALUE"""),362.1388888888889)</f>
        <v>362.1388889</v>
      </c>
      <c r="K246" s="30">
        <f>IFERROR(__xludf.DUMMYFUNCTION("""COMPUTED_VALUE"""),0.7777777777777778)</f>
        <v>0.7777777778</v>
      </c>
      <c r="L246" s="30">
        <f>IFERROR(__xludf.DUMMYFUNCTION("""COMPUTED_VALUE"""),0.5277777777777778)</f>
        <v>0.5277777778</v>
      </c>
      <c r="M246" s="30">
        <f>IFERROR(__xludf.DUMMYFUNCTION("""COMPUTED_VALUE"""),1.3611111111111112)</f>
        <v>1.361111111</v>
      </c>
      <c r="N246" s="30">
        <f>IFERROR(__xludf.DUMMYFUNCTION("""COMPUTED_VALUE"""),2.8055555555555554)</f>
        <v>2.805555556</v>
      </c>
      <c r="O246" s="30">
        <f>IFERROR(__xludf.DUMMYFUNCTION("""COMPUTED_VALUE"""),335.46296296296293)</f>
        <v>335.462963</v>
      </c>
      <c r="P246" s="30">
        <f>IFERROR(__xludf.DUMMYFUNCTION("""COMPUTED_VALUE"""),0.6574074074074074)</f>
        <v>0.6574074074</v>
      </c>
      <c r="Q246" s="30">
        <f>IFERROR(__xludf.DUMMYFUNCTION("""COMPUTED_VALUE"""),0.48148148148148145)</f>
        <v>0.4814814815</v>
      </c>
      <c r="R246" s="30">
        <f>IFERROR(__xludf.DUMMYFUNCTION("""COMPUTED_VALUE"""),1.3611111111111114)</f>
        <v>1.361111111</v>
      </c>
      <c r="S246" s="30">
        <f>IFERROR(__xludf.DUMMYFUNCTION("""COMPUTED_VALUE"""),2.398148148148149)</f>
        <v>2.398148148</v>
      </c>
      <c r="T246" s="30">
        <f>IFERROR(__xludf.DUMMYFUNCTION("""COMPUTED_VALUE"""),347.5846312388487)</f>
        <v>347.5846312</v>
      </c>
      <c r="U246" s="30">
        <f>IFERROR(__xludf.DUMMYFUNCTION("""COMPUTED_VALUE"""),0.7146412729168081)</f>
        <v>0.7146412729</v>
      </c>
      <c r="V246" s="30">
        <f>IFERROR(__xludf.DUMMYFUNCTION("""COMPUTED_VALUE"""),0.5481930161058883)</f>
        <v>0.5481930161</v>
      </c>
      <c r="W246" s="30">
        <f>IFERROR(__xludf.DUMMYFUNCTION("""COMPUTED_VALUE"""),1.4179144070832088)</f>
        <v>1.417914407</v>
      </c>
      <c r="X246" s="30">
        <f>IFERROR(__xludf.DUMMYFUNCTION("""COMPUTED_VALUE"""),2.5341485982319427)</f>
        <v>2.534148598</v>
      </c>
      <c r="Y246" s="30">
        <f>IFERROR(__xludf.DUMMYFUNCTION("""COMPUTED_VALUE"""),368.40350239481205)</f>
        <v>368.4035024</v>
      </c>
      <c r="Z246" s="30">
        <f>IFERROR(__xludf.DUMMYFUNCTION("""COMPUTED_VALUE"""),0.8521673811348339)</f>
        <v>0.8521673811</v>
      </c>
      <c r="AA246" s="30">
        <f>IFERROR(__xludf.DUMMYFUNCTION("""COMPUTED_VALUE"""),0.6441871115158482)</f>
        <v>0.6441871115</v>
      </c>
      <c r="AB246" s="30">
        <f>IFERROR(__xludf.DUMMYFUNCTION("""COMPUTED_VALUE"""),1.374960032618138)</f>
        <v>1.374960033</v>
      </c>
      <c r="AC246" s="30">
        <f>IFERROR(__xludf.DUMMYFUNCTION("""COMPUTED_VALUE"""),2.7255849952455993)</f>
        <v>2.725584995</v>
      </c>
      <c r="AD246" s="30">
        <f>IFERROR(__xludf.DUMMYFUNCTION("""COMPUTED_VALUE"""),0.9829952390104874)</f>
        <v>0.982995239</v>
      </c>
      <c r="AE246" s="30">
        <f>IFERROR(__xludf.DUMMYFUNCTION("""COMPUTED_VALUE"""),0.9127054085806579)</f>
        <v>0.9127054086</v>
      </c>
      <c r="AF246" s="30">
        <f>IFERROR(__xludf.DUMMYFUNCTION("""COMPUTED_VALUE"""),0.8192926687649098)</f>
        <v>0.8192926688</v>
      </c>
      <c r="AG246" s="30">
        <f>IFERROR(__xludf.DUMMYFUNCTION("""COMPUTED_VALUE"""),0.9899277643142425)</f>
        <v>0.9899277643</v>
      </c>
      <c r="AH246" s="30">
        <f>IFERROR(__xludf.DUMMYFUNCTION("""COMPUTED_VALUE"""),1.0293406958320703)</f>
        <v>1.029340696</v>
      </c>
      <c r="AI246" s="30">
        <f>IFERROR(__xludf.DUMMYFUNCTION("""COMPUTED_VALUE"""),0.9651259946888844)</f>
        <v>0.9651259947</v>
      </c>
      <c r="AJ246" s="30">
        <f>IFERROR(__xludf.DUMMYFUNCTION("""COMPUTED_VALUE"""),0.9199124544321368)</f>
        <v>0.9199124544</v>
      </c>
      <c r="AK246" s="30">
        <f>IFERROR(__xludf.DUMMYFUNCTION("""COMPUTED_VALUE"""),0.8783064857369125)</f>
        <v>0.8783064857</v>
      </c>
      <c r="AL246" s="30">
        <f>IFERROR(__xludf.DUMMYFUNCTION("""COMPUTED_VALUE"""),0.9599388399692281)</f>
        <v>0.95993884</v>
      </c>
      <c r="AM246" s="30">
        <f>IFERROR(__xludf.DUMMYFUNCTION("""COMPUTED_VALUE"""),0.9463328826972971)</f>
        <v>0.9463328827</v>
      </c>
      <c r="AN246" s="30">
        <f>IFERROR(__xludf.DUMMYFUNCTION("""COMPUTED_VALUE"""),1.0329411119814698)</f>
        <v>1.032941112</v>
      </c>
      <c r="AO246" s="30">
        <f>IFERROR(__xludf.DUMMYFUNCTION("""COMPUTED_VALUE"""),1.0971748453565007)</f>
        <v>1.097174845</v>
      </c>
      <c r="AP246" s="30">
        <f>IFERROR(__xludf.DUMMYFUNCTION("""COMPUTED_VALUE"""),0.9245011884689758)</f>
        <v>0.9245011885</v>
      </c>
      <c r="AQ246" s="30">
        <f>IFERROR(__xludf.DUMMYFUNCTION("""COMPUTED_VALUE"""),0.9548718291865882)</f>
        <v>0.9548718292</v>
      </c>
      <c r="AR246" s="30">
        <f>IFERROR(__xludf.DUMMYFUNCTION("""COMPUTED_VALUE"""),1.1192176608918585)</f>
        <v>1.119217661</v>
      </c>
      <c r="AS246" s="30">
        <f>IFERROR(__xludf.DUMMYFUNCTION("""COMPUTED_VALUE"""),75.0)</f>
        <v>75</v>
      </c>
      <c r="AT246" s="30">
        <f>IFERROR(__xludf.DUMMYFUNCTION("""COMPUTED_VALUE"""),0.520466969699649)</f>
        <v>0.5204669697</v>
      </c>
      <c r="AU246" s="30">
        <f>IFERROR(__xludf.DUMMYFUNCTION("""COMPUTED_VALUE"""),2.636206267183646)</f>
        <v>2.636206267</v>
      </c>
      <c r="AV246" s="32">
        <f>IFERROR(__xludf.DUMMYFUNCTION("""COMPUTED_VALUE"""),56.97562874712686)</f>
        <v>56.97562875</v>
      </c>
      <c r="AW246" s="32">
        <f>IFERROR(__xludf.DUMMYFUNCTION("""COMPUTED_VALUE"""),2.563361410445522)</f>
        <v>2.56336141</v>
      </c>
      <c r="AX246" s="32">
        <f>IFERROR(__xludf.DUMMYFUNCTION("""COMPUTED_VALUE"""),61.04972454782602)</f>
        <v>61.04972455</v>
      </c>
      <c r="AY246" s="32">
        <f>IFERROR(__xludf.DUMMYFUNCTION("""COMPUTED_VALUE"""),3.037218782171211)</f>
        <v>3.037218782</v>
      </c>
      <c r="AZ246" s="30">
        <f>IFERROR(__xludf.DUMMYFUNCTION("""COMPUTED_VALUE"""),0.4738573717256891)</f>
        <v>0.4738573717</v>
      </c>
      <c r="BA246" s="30">
        <f>IFERROR(__xludf.DUMMYFUNCTION("""COMPUTED_VALUE"""),800.0)</f>
        <v>800</v>
      </c>
    </row>
    <row r="247">
      <c r="A247" s="30" t="str">
        <f>IFERROR(__xludf.DUMMYFUNCTION("""COMPUTED_VALUE"""),"Elite")</f>
        <v>Elite</v>
      </c>
      <c r="B247" s="30" t="str">
        <f>IFERROR(__xludf.DUMMYFUNCTION("""COMPUTED_VALUE"""),"RSC001055")</f>
        <v>RSC001055</v>
      </c>
      <c r="C247" s="30" t="str">
        <f>IFERROR(__xludf.DUMMYFUNCTION("""COMPUTED_VALUE"""),"Scotti")</f>
        <v>Scotti</v>
      </c>
      <c r="D247" s="30" t="str">
        <f>IFERROR(__xludf.DUMMYFUNCTION("""COMPUTED_VALUE"""),"Menthol")</f>
        <v>Menthol</v>
      </c>
      <c r="E247" s="30">
        <f>IFERROR(__xludf.DUMMYFUNCTION("""COMPUTED_VALUE"""),48.0)</f>
        <v>48</v>
      </c>
      <c r="F247" s="30">
        <f>IFERROR(__xludf.DUMMYFUNCTION("""COMPUTED_VALUE"""),29.0)</f>
        <v>29</v>
      </c>
      <c r="G247" s="30">
        <f>IFERROR(__xludf.DUMMYFUNCTION("""COMPUTED_VALUE"""),19.0)</f>
        <v>19</v>
      </c>
      <c r="H247" s="42">
        <f>IFERROR(__xludf.DUMMYFUNCTION("""COMPUTED_VALUE"""),0.6041666666666666)</f>
        <v>0.6041666667</v>
      </c>
      <c r="I247" s="42">
        <f>IFERROR(__xludf.DUMMYFUNCTION("""COMPUTED_VALUE"""),0.248062015503876)</f>
        <v>0.2480620155</v>
      </c>
      <c r="J247" s="30">
        <f>IFERROR(__xludf.DUMMYFUNCTION("""COMPUTED_VALUE"""),385.3181818181818)</f>
        <v>385.3181818</v>
      </c>
      <c r="K247" s="30">
        <f>IFERROR(__xludf.DUMMYFUNCTION("""COMPUTED_VALUE"""),0.7272727272727273)</f>
        <v>0.7272727273</v>
      </c>
      <c r="L247" s="30">
        <f>IFERROR(__xludf.DUMMYFUNCTION("""COMPUTED_VALUE"""),0.8636363636363636)</f>
        <v>0.8636363636</v>
      </c>
      <c r="M247" s="30">
        <f>IFERROR(__xludf.DUMMYFUNCTION("""COMPUTED_VALUE"""),1.4545454545454546)</f>
        <v>1.454545455</v>
      </c>
      <c r="N247" s="30">
        <f>IFERROR(__xludf.DUMMYFUNCTION("""COMPUTED_VALUE"""),2.9318181818181817)</f>
        <v>2.931818182</v>
      </c>
      <c r="O247" s="30">
        <f>IFERROR(__xludf.DUMMYFUNCTION("""COMPUTED_VALUE"""),369.63636363636374)</f>
        <v>369.6363636</v>
      </c>
      <c r="P247" s="30">
        <f>IFERROR(__xludf.DUMMYFUNCTION("""COMPUTED_VALUE"""),0.7424242424242425)</f>
        <v>0.7424242424</v>
      </c>
      <c r="Q247" s="30">
        <f>IFERROR(__xludf.DUMMYFUNCTION("""COMPUTED_VALUE"""),0.537878787878788)</f>
        <v>0.5378787879</v>
      </c>
      <c r="R247" s="30">
        <f>IFERROR(__xludf.DUMMYFUNCTION("""COMPUTED_VALUE"""),1.7045454545454546)</f>
        <v>1.704545455</v>
      </c>
      <c r="S247" s="30">
        <f>IFERROR(__xludf.DUMMYFUNCTION("""COMPUTED_VALUE"""),2.3409090909090913)</f>
        <v>2.340909091</v>
      </c>
      <c r="T247" s="30">
        <f>IFERROR(__xludf.DUMMYFUNCTION("""COMPUTED_VALUE"""),354.70716059130217)</f>
        <v>354.7071606</v>
      </c>
      <c r="U247" s="30">
        <f>IFERROR(__xludf.DUMMYFUNCTION("""COMPUTED_VALUE"""),0.7121770322687507)</f>
        <v>0.7121770323</v>
      </c>
      <c r="V247" s="30">
        <f>IFERROR(__xludf.DUMMYFUNCTION("""COMPUTED_VALUE"""),0.585342467931721)</f>
        <v>0.5853424679</v>
      </c>
      <c r="W247" s="30">
        <f>IFERROR(__xludf.DUMMYFUNCTION("""COMPUTED_VALUE"""),1.4981715286644006)</f>
        <v>1.498171529</v>
      </c>
      <c r="X247" s="30">
        <f>IFERROR(__xludf.DUMMYFUNCTION("""COMPUTED_VALUE"""),2.505670119860263)</f>
        <v>2.50567012</v>
      </c>
      <c r="Y247" s="30">
        <f>IFERROR(__xludf.DUMMYFUNCTION("""COMPUTED_VALUE"""),366.73375962509755)</f>
        <v>366.7337596</v>
      </c>
      <c r="Z247" s="30">
        <f>IFERROR(__xludf.DUMMYFUNCTION("""COMPUTED_VALUE"""),0.8225914887279102)</f>
        <v>0.8225914887</v>
      </c>
      <c r="AA247" s="30">
        <f>IFERROR(__xludf.DUMMYFUNCTION("""COMPUTED_VALUE"""),0.624477277504843)</f>
        <v>0.6244772775</v>
      </c>
      <c r="AB247" s="30">
        <f>IFERROR(__xludf.DUMMYFUNCTION("""COMPUTED_VALUE"""),1.3781213471316238)</f>
        <v>1.378121347</v>
      </c>
      <c r="AC247" s="30">
        <f>IFERROR(__xludf.DUMMYFUNCTION("""COMPUTED_VALUE"""),2.765592094841388)</f>
        <v>2.765592095</v>
      </c>
      <c r="AD247" s="30">
        <f>IFERROR(__xludf.DUMMYFUNCTION("""COMPUTED_VALUE"""),1.0506755151532345)</f>
        <v>1.050675515</v>
      </c>
      <c r="AE247" s="30">
        <f>IFERROR(__xludf.DUMMYFUNCTION("""COMPUTED_VALUE"""),0.8841238175189634)</f>
        <v>0.8841238175</v>
      </c>
      <c r="AF247" s="30">
        <f>IFERROR(__xludf.DUMMYFUNCTION("""COMPUTED_VALUE"""),1.3829748411136797)</f>
        <v>1.382974841</v>
      </c>
      <c r="AG247" s="30">
        <f>IFERROR(__xludf.DUMMYFUNCTION("""COMPUTED_VALUE"""),1.055455281621533)</f>
        <v>1.055455282</v>
      </c>
      <c r="AH247" s="30">
        <f>IFERROR(__xludf.DUMMYFUNCTION("""COMPUTED_VALUE"""),1.0601050629580742)</f>
        <v>1.060105063</v>
      </c>
      <c r="AI247" s="30">
        <f>IFERROR(__xludf.DUMMYFUNCTION("""COMPUTED_VALUE"""),1.0420888121349858)</f>
        <v>1.042088812</v>
      </c>
      <c r="AJ247" s="30">
        <f>IFERROR(__xludf.DUMMYFUNCTION("""COMPUTED_VALUE"""),1.0424714765921819)</f>
        <v>1.042471477</v>
      </c>
      <c r="AK247" s="30">
        <f>IFERROR(__xludf.DUMMYFUNCTION("""COMPUTED_VALUE"""),0.9189129737662063)</f>
        <v>0.9189129738</v>
      </c>
      <c r="AL247" s="30">
        <f>IFERROR(__xludf.DUMMYFUNCTION("""COMPUTED_VALUE"""),1.1377505325208213)</f>
        <v>1.137750533</v>
      </c>
      <c r="AM247" s="30">
        <f>IFERROR(__xludf.DUMMYFUNCTION("""COMPUTED_VALUE"""),0.9342447245368596)</f>
        <v>0.9342447245</v>
      </c>
      <c r="AN247" s="30">
        <f>IFERROR(__xludf.DUMMYFUNCTION("""COMPUTED_VALUE"""),1.0990562002747741)</f>
        <v>1.0990562</v>
      </c>
      <c r="AO247" s="30">
        <f>IFERROR(__xludf.DUMMYFUNCTION("""COMPUTED_VALUE"""),1.0259297255281565)</f>
        <v>1.025929726</v>
      </c>
      <c r="AP247" s="30">
        <f>IFERROR(__xludf.DUMMYFUNCTION("""COMPUTED_VALUE"""),1.5128201265855967)</f>
        <v>1.512820127</v>
      </c>
      <c r="AQ247" s="30">
        <f>IFERROR(__xludf.DUMMYFUNCTION("""COMPUTED_VALUE"""),1.0204196170899347)</f>
        <v>1.020419617</v>
      </c>
      <c r="AR247" s="30">
        <f>IFERROR(__xludf.DUMMYFUNCTION("""COMPUTED_VALUE"""),1.1695874926151646)</f>
        <v>1.169587493</v>
      </c>
      <c r="AS247" s="30">
        <f>IFERROR(__xludf.DUMMYFUNCTION("""COMPUTED_VALUE"""),120.0)</f>
        <v>120</v>
      </c>
      <c r="AT247" s="30">
        <f>IFERROR(__xludf.DUMMYFUNCTION("""COMPUTED_VALUE"""),0.5449788229394389)</f>
        <v>0.5449788229</v>
      </c>
      <c r="AU247" s="30">
        <f>IFERROR(__xludf.DUMMYFUNCTION("""COMPUTED_VALUE"""),3.024647019624487)</f>
        <v>3.02464702</v>
      </c>
      <c r="AV247" s="32">
        <f>IFERROR(__xludf.DUMMYFUNCTION("""COMPUTED_VALUE"""),68.14882128078392)</f>
        <v>68.14882128</v>
      </c>
      <c r="AW247" s="32">
        <f>IFERROR(__xludf.DUMMYFUNCTION("""COMPUTED_VALUE"""),4.274712930266128)</f>
        <v>4.27471293</v>
      </c>
      <c r="AX247" s="32">
        <f>IFERROR(__xludf.DUMMYFUNCTION("""COMPUTED_VALUE"""),66.02097684283416)</f>
        <v>66.02097684</v>
      </c>
      <c r="AY247" s="32">
        <f>IFERROR(__xludf.DUMMYFUNCTION("""COMPUTED_VALUE"""),3.8341555679023993)</f>
        <v>3.834155568</v>
      </c>
      <c r="AZ247" s="30">
        <f>IFERROR(__xludf.DUMMYFUNCTION("""COMPUTED_VALUE"""),0.4405573623637289)</f>
        <v>0.4405573624</v>
      </c>
      <c r="BA247" s="30">
        <f>IFERROR(__xludf.DUMMYFUNCTION("""COMPUTED_VALUE"""),800.0)</f>
        <v>800</v>
      </c>
    </row>
    <row r="248">
      <c r="A248" s="30" t="str">
        <f>IFERROR(__xludf.DUMMYFUNCTION("""COMPUTED_VALUE"""),"Elite")</f>
        <v>Elite</v>
      </c>
      <c r="B248" s="30" t="str">
        <f>IFERROR(__xludf.DUMMYFUNCTION("""COMPUTED_VALUE"""),"RSC004820")</f>
        <v>RSC004820</v>
      </c>
      <c r="C248" s="30" t="str">
        <f>IFERROR(__xludf.DUMMYFUNCTION("""COMPUTED_VALUE"""),"AoS Arctic")</f>
        <v>AoS Arctic</v>
      </c>
      <c r="D248" s="30" t="str">
        <f>IFERROR(__xludf.DUMMYFUNCTION("""COMPUTED_VALUE"""),"Summoned")</f>
        <v>Summoned</v>
      </c>
      <c r="E248" s="30">
        <f>IFERROR(__xludf.DUMMYFUNCTION("""COMPUTED_VALUE"""),39.0)</f>
        <v>39</v>
      </c>
      <c r="F248" s="30">
        <f>IFERROR(__xludf.DUMMYFUNCTION("""COMPUTED_VALUE"""),13.0)</f>
        <v>13</v>
      </c>
      <c r="G248" s="30">
        <f>IFERROR(__xludf.DUMMYFUNCTION("""COMPUTED_VALUE"""),26.0)</f>
        <v>26</v>
      </c>
      <c r="H248" s="42">
        <f>IFERROR(__xludf.DUMMYFUNCTION("""COMPUTED_VALUE"""),0.3333333333333333)</f>
        <v>0.3333333333</v>
      </c>
      <c r="I248" s="42">
        <f>IFERROR(__xludf.DUMMYFUNCTION("""COMPUTED_VALUE"""),0.23188405797101447)</f>
        <v>0.231884058</v>
      </c>
      <c r="J248" s="30">
        <f>IFERROR(__xludf.DUMMYFUNCTION("""COMPUTED_VALUE"""),299.54285714285714)</f>
        <v>299.5428571</v>
      </c>
      <c r="K248" s="30">
        <f>IFERROR(__xludf.DUMMYFUNCTION("""COMPUTED_VALUE"""),0.45714285714285713)</f>
        <v>0.4571428571</v>
      </c>
      <c r="L248" s="30">
        <f>IFERROR(__xludf.DUMMYFUNCTION("""COMPUTED_VALUE"""),0.5142857142857142)</f>
        <v>0.5142857143</v>
      </c>
      <c r="M248" s="30">
        <f>IFERROR(__xludf.DUMMYFUNCTION("""COMPUTED_VALUE"""),1.2285714285714286)</f>
        <v>1.228571429</v>
      </c>
      <c r="N248" s="30">
        <f>IFERROR(__xludf.DUMMYFUNCTION("""COMPUTED_VALUE"""),1.9714285714285715)</f>
        <v>1.971428571</v>
      </c>
      <c r="O248" s="30">
        <f>IFERROR(__xludf.DUMMYFUNCTION("""COMPUTED_VALUE"""),356.55238095238093)</f>
        <v>356.552381</v>
      </c>
      <c r="P248" s="30">
        <f>IFERROR(__xludf.DUMMYFUNCTION("""COMPUTED_VALUE"""),0.9238095238095239)</f>
        <v>0.9238095238</v>
      </c>
      <c r="Q248" s="30">
        <f>IFERROR(__xludf.DUMMYFUNCTION("""COMPUTED_VALUE"""),0.6476190476190478)</f>
        <v>0.6476190476</v>
      </c>
      <c r="R248" s="30">
        <f>IFERROR(__xludf.DUMMYFUNCTION("""COMPUTED_VALUE"""),1.104761904761905)</f>
        <v>1.104761905</v>
      </c>
      <c r="S248" s="30">
        <f>IFERROR(__xludf.DUMMYFUNCTION("""COMPUTED_VALUE"""),2.904761904761905)</f>
        <v>2.904761905</v>
      </c>
      <c r="T248" s="30">
        <f>IFERROR(__xludf.DUMMYFUNCTION("""COMPUTED_VALUE"""),367.4867677131463)</f>
        <v>367.4867677</v>
      </c>
      <c r="U248" s="30">
        <f>IFERROR(__xludf.DUMMYFUNCTION("""COMPUTED_VALUE"""),0.820477283619906)</f>
        <v>0.8204772836</v>
      </c>
      <c r="V248" s="30">
        <f>IFERROR(__xludf.DUMMYFUNCTION("""COMPUTED_VALUE"""),0.6086115548681451)</f>
        <v>0.6086115549</v>
      </c>
      <c r="W248" s="30">
        <f>IFERROR(__xludf.DUMMYFUNCTION("""COMPUTED_VALUE"""),1.3803707520995754)</f>
        <v>1.380370752</v>
      </c>
      <c r="X248" s="30">
        <f>IFERROR(__xludf.DUMMYFUNCTION("""COMPUTED_VALUE"""),2.817692954081692)</f>
        <v>2.817692954</v>
      </c>
      <c r="Y248" s="30">
        <f>IFERROR(__xludf.DUMMYFUNCTION("""COMPUTED_VALUE"""),362.33016996376296)</f>
        <v>362.33017</v>
      </c>
      <c r="Z248" s="30">
        <f>IFERROR(__xludf.DUMMYFUNCTION("""COMPUTED_VALUE"""),0.7599613584901442)</f>
        <v>0.7599613585</v>
      </c>
      <c r="AA248" s="30">
        <f>IFERROR(__xludf.DUMMYFUNCTION("""COMPUTED_VALUE"""),0.5802078697875962)</f>
        <v>0.5802078698</v>
      </c>
      <c r="AB248" s="30">
        <f>IFERROR(__xludf.DUMMYFUNCTION("""COMPUTED_VALUE"""),1.5062182399966684)</f>
        <v>1.50621824</v>
      </c>
      <c r="AC248" s="30">
        <f>IFERROR(__xludf.DUMMYFUNCTION("""COMPUTED_VALUE"""),2.5661484551082245)</f>
        <v>2.566148455</v>
      </c>
      <c r="AD248" s="30">
        <f>IFERROR(__xludf.DUMMYFUNCTION("""COMPUTED_VALUE"""),0.8267124351604912)</f>
        <v>0.8267124352</v>
      </c>
      <c r="AE248" s="30">
        <f>IFERROR(__xludf.DUMMYFUNCTION("""COMPUTED_VALUE"""),0.601534343865966)</f>
        <v>0.6015343439</v>
      </c>
      <c r="AF248" s="30">
        <f>IFERROR(__xludf.DUMMYFUNCTION("""COMPUTED_VALUE"""),0.886381831521839)</f>
        <v>0.8863818315</v>
      </c>
      <c r="AG248" s="30">
        <f>IFERROR(__xludf.DUMMYFUNCTION("""COMPUTED_VALUE"""),0.8156662799237819)</f>
        <v>0.8156662799</v>
      </c>
      <c r="AH248" s="30">
        <f>IFERROR(__xludf.DUMMYFUNCTION("""COMPUTED_VALUE"""),0.7682441627662686)</f>
        <v>0.7682441628</v>
      </c>
      <c r="AI248" s="30">
        <f>IFERROR(__xludf.DUMMYFUNCTION("""COMPUTED_VALUE"""),0.9702454952900492)</f>
        <v>0.9702454953</v>
      </c>
      <c r="AJ248" s="30">
        <f>IFERROR(__xludf.DUMMYFUNCTION("""COMPUTED_VALUE"""),1.125941622336844)</f>
        <v>1.125941622</v>
      </c>
      <c r="AK248" s="30">
        <f>IFERROR(__xludf.DUMMYFUNCTION("""COMPUTED_VALUE"""),1.0640925931144267)</f>
        <v>1.064092593</v>
      </c>
      <c r="AL248" s="30">
        <f>IFERROR(__xludf.DUMMYFUNCTION("""COMPUTED_VALUE"""),0.8003370855848235)</f>
        <v>0.8003370856</v>
      </c>
      <c r="AM248" s="30">
        <f>IFERROR(__xludf.DUMMYFUNCTION("""COMPUTED_VALUE"""),1.0309007944084487)</f>
        <v>1.030900794</v>
      </c>
      <c r="AN248" s="30">
        <f>IFERROR(__xludf.DUMMYFUNCTION("""COMPUTED_VALUE"""),0.8543963143328203)</f>
        <v>0.8543963143</v>
      </c>
      <c r="AO248" s="30">
        <f>IFERROR(__xludf.DUMMYFUNCTION("""COMPUTED_VALUE"""),0.6448701131891269)</f>
        <v>0.6448701132</v>
      </c>
      <c r="AP248" s="30">
        <f>IFERROR(__xludf.DUMMYFUNCTION("""COMPUTED_VALUE"""),0.9008673235005958)</f>
        <v>0.9008673235</v>
      </c>
      <c r="AQ248" s="30">
        <f>IFERROR(__xludf.DUMMYFUNCTION("""COMPUTED_VALUE"""),0.8618901408634627)</f>
        <v>0.8618901409</v>
      </c>
      <c r="AR248" s="30">
        <f>IFERROR(__xludf.DUMMYFUNCTION("""COMPUTED_VALUE"""),0.7864601611472071)</f>
        <v>0.7864601611</v>
      </c>
      <c r="AS248" s="30">
        <f>IFERROR(__xludf.DUMMYFUNCTION("""COMPUTED_VALUE"""),69.0)</f>
        <v>69</v>
      </c>
      <c r="AT248" s="30">
        <f>IFERROR(__xludf.DUMMYFUNCTION("""COMPUTED_VALUE"""),0.3333907850497247)</f>
        <v>0.333390785</v>
      </c>
      <c r="AU248" s="30">
        <f>IFERROR(__xludf.DUMMYFUNCTION("""COMPUTED_VALUE"""),1.5761265208252087)</f>
        <v>1.576126521</v>
      </c>
      <c r="AV248" s="32">
        <f>IFERROR(__xludf.DUMMYFUNCTION("""COMPUTED_VALUE"""),26.483269146168002)</f>
        <v>26.48326915</v>
      </c>
      <c r="AW248" s="32">
        <f>IFERROR(__xludf.DUMMYFUNCTION("""COMPUTED_VALUE"""),-5.7657759059518305)</f>
        <v>-5.765775906</v>
      </c>
      <c r="AX248" s="32">
        <f>IFERROR(__xludf.DUMMYFUNCTION("""COMPUTED_VALUE"""),27.793092814514512)</f>
        <v>27.79309281</v>
      </c>
      <c r="AY248" s="32">
        <f>IFERROR(__xludf.DUMMYFUNCTION("""COMPUTED_VALUE"""),-5.341992322847824)</f>
        <v>-5.341992323</v>
      </c>
      <c r="AZ248" s="30">
        <f>IFERROR(__xludf.DUMMYFUNCTION("""COMPUTED_VALUE"""),0.4237835831040062)</f>
        <v>0.4237835831</v>
      </c>
      <c r="BA248" s="30">
        <f>IFERROR(__xludf.DUMMYFUNCTION("""COMPUTED_VALUE"""),800.0)</f>
        <v>800</v>
      </c>
    </row>
    <row r="249">
      <c r="A249" s="30" t="str">
        <f>IFERROR(__xludf.DUMMYFUNCTION("""COMPUTED_VALUE"""),"Elite")</f>
        <v>Elite</v>
      </c>
      <c r="B249" s="30" t="str">
        <f>IFERROR(__xludf.DUMMYFUNCTION("""COMPUTED_VALUE"""),"RSC006745")</f>
        <v>RSC006745</v>
      </c>
      <c r="C249" s="30" t="str">
        <f>IFERROR(__xludf.DUMMYFUNCTION("""COMPUTED_VALUE"""),"Angel &lt;3")</f>
        <v>Angel &lt;3</v>
      </c>
      <c r="D249" s="30" t="str">
        <f>IFERROR(__xludf.DUMMYFUNCTION("""COMPUTED_VALUE"""),"Majesties")</f>
        <v>Majesties</v>
      </c>
      <c r="E249" s="30">
        <f>IFERROR(__xludf.DUMMYFUNCTION("""COMPUTED_VALUE"""),39.0)</f>
        <v>39</v>
      </c>
      <c r="F249" s="30">
        <f>IFERROR(__xludf.DUMMYFUNCTION("""COMPUTED_VALUE"""),11.0)</f>
        <v>11</v>
      </c>
      <c r="G249" s="30">
        <f>IFERROR(__xludf.DUMMYFUNCTION("""COMPUTED_VALUE"""),28.0)</f>
        <v>28</v>
      </c>
      <c r="H249" s="42">
        <f>IFERROR(__xludf.DUMMYFUNCTION("""COMPUTED_VALUE"""),0.28205128205128205)</f>
        <v>0.2820512821</v>
      </c>
      <c r="I249" s="42">
        <f>IFERROR(__xludf.DUMMYFUNCTION("""COMPUTED_VALUE"""),0.25)</f>
        <v>0.25</v>
      </c>
      <c r="J249" s="30">
        <f>IFERROR(__xludf.DUMMYFUNCTION("""COMPUTED_VALUE"""),330.1794871794872)</f>
        <v>330.1794872</v>
      </c>
      <c r="K249" s="30">
        <f>IFERROR(__xludf.DUMMYFUNCTION("""COMPUTED_VALUE"""),0.6410256410256411)</f>
        <v>0.641025641</v>
      </c>
      <c r="L249" s="30">
        <f>IFERROR(__xludf.DUMMYFUNCTION("""COMPUTED_VALUE"""),0.5128205128205128)</f>
        <v>0.5128205128</v>
      </c>
      <c r="M249" s="30">
        <f>IFERROR(__xludf.DUMMYFUNCTION("""COMPUTED_VALUE"""),1.4102564102564104)</f>
        <v>1.41025641</v>
      </c>
      <c r="N249" s="30">
        <f>IFERROR(__xludf.DUMMYFUNCTION("""COMPUTED_VALUE"""),2.5641025641025643)</f>
        <v>2.564102564</v>
      </c>
      <c r="O249" s="30">
        <f>IFERROR(__xludf.DUMMYFUNCTION("""COMPUTED_VALUE"""),399.6239316239317)</f>
        <v>399.6239316</v>
      </c>
      <c r="P249" s="30">
        <f>IFERROR(__xludf.DUMMYFUNCTION("""COMPUTED_VALUE"""),1.0854700854700856)</f>
        <v>1.085470085</v>
      </c>
      <c r="Q249" s="30">
        <f>IFERROR(__xludf.DUMMYFUNCTION("""COMPUTED_VALUE"""),0.794871794871795)</f>
        <v>0.7948717949</v>
      </c>
      <c r="R249" s="30">
        <f>IFERROR(__xludf.DUMMYFUNCTION("""COMPUTED_VALUE"""),1.3162393162393162)</f>
        <v>1.316239316</v>
      </c>
      <c r="S249" s="30">
        <f>IFERROR(__xludf.DUMMYFUNCTION("""COMPUTED_VALUE"""),3.0427350427350426)</f>
        <v>3.042735043</v>
      </c>
      <c r="T249" s="30">
        <f>IFERROR(__xludf.DUMMYFUNCTION("""COMPUTED_VALUE"""),365.4212313520476)</f>
        <v>365.4212314</v>
      </c>
      <c r="U249" s="30">
        <f>IFERROR(__xludf.DUMMYFUNCTION("""COMPUTED_VALUE"""),0.8070511940763003)</f>
        <v>0.8070511941</v>
      </c>
      <c r="V249" s="30">
        <f>IFERROR(__xludf.DUMMYFUNCTION("""COMPUTED_VALUE"""),0.6118286095013392)</f>
        <v>0.6118286095</v>
      </c>
      <c r="W249" s="30">
        <f>IFERROR(__xludf.DUMMYFUNCTION("""COMPUTED_VALUE"""),1.3981213081256738)</f>
        <v>1.398121308</v>
      </c>
      <c r="X249" s="30">
        <f>IFERROR(__xludf.DUMMYFUNCTION("""COMPUTED_VALUE"""),2.7243304147138807)</f>
        <v>2.724330415</v>
      </c>
      <c r="Y249" s="30">
        <f>IFERROR(__xludf.DUMMYFUNCTION("""COMPUTED_VALUE"""),355.03039271039836)</f>
        <v>355.0303927</v>
      </c>
      <c r="Z249" s="30">
        <f>IFERROR(__xludf.DUMMYFUNCTION("""COMPUTED_VALUE"""),0.7432067823006653)</f>
        <v>0.7432067823</v>
      </c>
      <c r="AA249" s="30">
        <f>IFERROR(__xludf.DUMMYFUNCTION("""COMPUTED_VALUE"""),0.5520579930095147)</f>
        <v>0.552057993</v>
      </c>
      <c r="AB249" s="30">
        <f>IFERROR(__xludf.DUMMYFUNCTION("""COMPUTED_VALUE"""),1.4220407033496978)</f>
        <v>1.422040703</v>
      </c>
      <c r="AC249" s="30">
        <f>IFERROR(__xludf.DUMMYFUNCTION("""COMPUTED_VALUE"""),2.562685046158614)</f>
        <v>2.562685046</v>
      </c>
      <c r="AD249" s="30">
        <f>IFERROR(__xludf.DUMMYFUNCTION("""COMPUTED_VALUE"""),0.9300034418428444)</f>
        <v>0.9300034418</v>
      </c>
      <c r="AE249" s="30">
        <f>IFERROR(__xludf.DUMMYFUNCTION("""COMPUTED_VALUE"""),0.8625131743836983)</f>
        <v>0.8625131744</v>
      </c>
      <c r="AF249" s="30">
        <f>IFERROR(__xludf.DUMMYFUNCTION("""COMPUTED_VALUE"""),0.9289250754706024)</f>
        <v>0.9289250755</v>
      </c>
      <c r="AG249" s="30">
        <f>IFERROR(__xludf.DUMMYFUNCTION("""COMPUTED_VALUE"""),0.9917131112593832)</f>
        <v>0.9917131113</v>
      </c>
      <c r="AH249" s="30">
        <f>IFERROR(__xludf.DUMMYFUNCTION("""COMPUTED_VALUE"""),1.0005531377904107)</f>
        <v>1.000553138</v>
      </c>
      <c r="AI249" s="30">
        <f>IFERROR(__xludf.DUMMYFUNCTION("""COMPUTED_VALUE"""),1.0935980105625913)</f>
        <v>1.093598011</v>
      </c>
      <c r="AJ249" s="30">
        <f>IFERROR(__xludf.DUMMYFUNCTION("""COMPUTED_VALUE"""),1.3449829371883228)</f>
        <v>1.344982937</v>
      </c>
      <c r="AK249" s="30">
        <f>IFERROR(__xludf.DUMMYFUNCTION("""COMPUTED_VALUE"""),1.2991739557907274)</f>
        <v>1.299173956</v>
      </c>
      <c r="AL249" s="30">
        <f>IFERROR(__xludf.DUMMYFUNCTION("""COMPUTED_VALUE"""),0.9414342722548669)</f>
        <v>0.9414342723</v>
      </c>
      <c r="AM249" s="30">
        <f>IFERROR(__xludf.DUMMYFUNCTION("""COMPUTED_VALUE"""),1.116874453370812)</f>
        <v>1.116874453</v>
      </c>
      <c r="AN249" s="30">
        <f>IFERROR(__xludf.DUMMYFUNCTION("""COMPUTED_VALUE"""),0.9417822197640127)</f>
        <v>0.9417822198</v>
      </c>
      <c r="AO249" s="30">
        <f>IFERROR(__xludf.DUMMYFUNCTION("""COMPUTED_VALUE"""),0.9042649824366765)</f>
        <v>0.9042649824</v>
      </c>
      <c r="AP249" s="30">
        <f>IFERROR(__xludf.DUMMYFUNCTION("""COMPUTED_VALUE"""),0.898300749929369)</f>
        <v>0.8983007499</v>
      </c>
      <c r="AQ249" s="30">
        <f>IFERROR(__xludf.DUMMYFUNCTION("""COMPUTED_VALUE"""),0.9893491479798245)</f>
        <v>0.989349148</v>
      </c>
      <c r="AR249" s="30">
        <f>IFERROR(__xludf.DUMMYFUNCTION("""COMPUTED_VALUE"""),1.0228950442271367)</f>
        <v>1.022895044</v>
      </c>
      <c r="AS249" s="30">
        <f>IFERROR(__xludf.DUMMYFUNCTION("""COMPUTED_VALUE"""),75.0)</f>
        <v>75</v>
      </c>
      <c r="AT249" s="30">
        <f>IFERROR(__xludf.DUMMYFUNCTION("""COMPUTED_VALUE"""),0.3006029563555437)</f>
        <v>0.3006029564</v>
      </c>
      <c r="AU249" s="30">
        <f>IFERROR(__xludf.DUMMYFUNCTION("""COMPUTED_VALUE"""),2.0051188368042805)</f>
        <v>2.005118837</v>
      </c>
      <c r="AV249" s="32">
        <f>IFERROR(__xludf.DUMMYFUNCTION("""COMPUTED_VALUE"""),38.822895490145946)</f>
        <v>38.82289549</v>
      </c>
      <c r="AW249" s="32">
        <f>IFERROR(__xludf.DUMMYFUNCTION("""COMPUTED_VALUE"""),-3.054301133802643)</f>
        <v>-3.054301134</v>
      </c>
      <c r="AX249" s="32">
        <f>IFERROR(__xludf.DUMMYFUNCTION("""COMPUTED_VALUE"""),36.11656607256705)</f>
        <v>36.11656607</v>
      </c>
      <c r="AY249" s="32">
        <f>IFERROR(__xludf.DUMMYFUNCTION("""COMPUTED_VALUE"""),-3.456237535887726)</f>
        <v>-3.456237536</v>
      </c>
      <c r="AZ249" s="30">
        <f>IFERROR(__xludf.DUMMYFUNCTION("""COMPUTED_VALUE"""),0.4019364020850831)</f>
        <v>0.4019364021</v>
      </c>
      <c r="BA249" s="30">
        <f>IFERROR(__xludf.DUMMYFUNCTION("""COMPUTED_VALUE"""),800.0)</f>
        <v>800</v>
      </c>
    </row>
    <row r="250">
      <c r="A250" s="30" t="str">
        <f>IFERROR(__xludf.DUMMYFUNCTION("""COMPUTED_VALUE"""),"Elite")</f>
        <v>Elite</v>
      </c>
      <c r="B250" s="30" t="str">
        <f>IFERROR(__xludf.DUMMYFUNCTION("""COMPUTED_VALUE"""),"RSC002102")</f>
        <v>RSC002102</v>
      </c>
      <c r="C250" s="30" t="str">
        <f>IFERROR(__xludf.DUMMYFUNCTION("""COMPUTED_VALUE"""),"Cable")</f>
        <v>Cable</v>
      </c>
      <c r="D250" s="30" t="str">
        <f>IFERROR(__xludf.DUMMYFUNCTION("""COMPUTED_VALUE"""),"Teddy Bears")</f>
        <v>Teddy Bears</v>
      </c>
      <c r="E250" s="30">
        <f>IFERROR(__xludf.DUMMYFUNCTION("""COMPUTED_VALUE"""),42.0)</f>
        <v>42</v>
      </c>
      <c r="F250" s="30">
        <f>IFERROR(__xludf.DUMMYFUNCTION("""COMPUTED_VALUE"""),20.0)</f>
        <v>20</v>
      </c>
      <c r="G250" s="30">
        <f>IFERROR(__xludf.DUMMYFUNCTION("""COMPUTED_VALUE"""),22.0)</f>
        <v>22</v>
      </c>
      <c r="H250" s="42">
        <f>IFERROR(__xludf.DUMMYFUNCTION("""COMPUTED_VALUE"""),0.47619047619047616)</f>
        <v>0.4761904762</v>
      </c>
      <c r="I250" s="42">
        <f>IFERROR(__xludf.DUMMYFUNCTION("""COMPUTED_VALUE"""),0.24561403508771928)</f>
        <v>0.2456140351</v>
      </c>
      <c r="J250" s="30">
        <f>IFERROR(__xludf.DUMMYFUNCTION("""COMPUTED_VALUE"""),324.9047619047619)</f>
        <v>324.9047619</v>
      </c>
      <c r="K250" s="30">
        <f>IFERROR(__xludf.DUMMYFUNCTION("""COMPUTED_VALUE"""),0.6666666666666666)</f>
        <v>0.6666666667</v>
      </c>
      <c r="L250" s="30">
        <f>IFERROR(__xludf.DUMMYFUNCTION("""COMPUTED_VALUE"""),0.47619047619047616)</f>
        <v>0.4761904762</v>
      </c>
      <c r="M250" s="30">
        <f>IFERROR(__xludf.DUMMYFUNCTION("""COMPUTED_VALUE"""),1.1904761904761905)</f>
        <v>1.19047619</v>
      </c>
      <c r="N250" s="30">
        <f>IFERROR(__xludf.DUMMYFUNCTION("""COMPUTED_VALUE"""),2.7142857142857144)</f>
        <v>2.714285714</v>
      </c>
      <c r="O250" s="30">
        <f>IFERROR(__xludf.DUMMYFUNCTION("""COMPUTED_VALUE"""),353.31746031746036)</f>
        <v>353.3174603</v>
      </c>
      <c r="P250" s="30">
        <f>IFERROR(__xludf.DUMMYFUNCTION("""COMPUTED_VALUE"""),0.738095238095238)</f>
        <v>0.7380952381</v>
      </c>
      <c r="Q250" s="30">
        <f>IFERROR(__xludf.DUMMYFUNCTION("""COMPUTED_VALUE"""),0.5952380952380951)</f>
        <v>0.5952380952</v>
      </c>
      <c r="R250" s="30">
        <f>IFERROR(__xludf.DUMMYFUNCTION("""COMPUTED_VALUE"""),1.4047619047619047)</f>
        <v>1.404761905</v>
      </c>
      <c r="S250" s="30">
        <f>IFERROR(__xludf.DUMMYFUNCTION("""COMPUTED_VALUE"""),2.3571428571428563)</f>
        <v>2.357142857</v>
      </c>
      <c r="T250" s="30">
        <f>IFERROR(__xludf.DUMMYFUNCTION("""COMPUTED_VALUE"""),351.2561237217444)</f>
        <v>351.2561237</v>
      </c>
      <c r="U250" s="30">
        <f>IFERROR(__xludf.DUMMYFUNCTION("""COMPUTED_VALUE"""),0.6940036175299225)</f>
        <v>0.6940036175</v>
      </c>
      <c r="V250" s="30">
        <f>IFERROR(__xludf.DUMMYFUNCTION("""COMPUTED_VALUE"""),0.526692385330484)</f>
        <v>0.5266923853</v>
      </c>
      <c r="W250" s="30">
        <f>IFERROR(__xludf.DUMMYFUNCTION("""COMPUTED_VALUE"""),1.4880169007720643)</f>
        <v>1.488016901</v>
      </c>
      <c r="X250" s="30">
        <f>IFERROR(__xludf.DUMMYFUNCTION("""COMPUTED_VALUE"""),2.488846233872578)</f>
        <v>2.488846234</v>
      </c>
      <c r="Y250" s="30">
        <f>IFERROR(__xludf.DUMMYFUNCTION("""COMPUTED_VALUE"""),361.4716203208442)</f>
        <v>361.4716203</v>
      </c>
      <c r="Z250" s="30">
        <f>IFERROR(__xludf.DUMMYFUNCTION("""COMPUTED_VALUE"""),0.8122511083053952)</f>
        <v>0.8122511083</v>
      </c>
      <c r="AA250" s="30">
        <f>IFERROR(__xludf.DUMMYFUNCTION("""COMPUTED_VALUE"""),0.6081903368019714)</f>
        <v>0.6081903368</v>
      </c>
      <c r="AB250" s="30">
        <f>IFERROR(__xludf.DUMMYFUNCTION("""COMPUTED_VALUE"""),1.33956247890979)</f>
        <v>1.339562479</v>
      </c>
      <c r="AC250" s="30">
        <f>IFERROR(__xludf.DUMMYFUNCTION("""COMPUTED_VALUE"""),2.7414523998365334)</f>
        <v>2.7414524</v>
      </c>
      <c r="AD250" s="30">
        <f>IFERROR(__xludf.DUMMYFUNCTION("""COMPUTED_VALUE"""),0.8988389230014093)</f>
        <v>0.898838923</v>
      </c>
      <c r="AE250" s="30">
        <f>IFERROR(__xludf.DUMMYFUNCTION("""COMPUTED_VALUE"""),0.820764243778673)</f>
        <v>0.8207642438</v>
      </c>
      <c r="AF250" s="30">
        <f>IFERROR(__xludf.DUMMYFUNCTION("""COMPUTED_VALUE"""),0.7829629104178372)</f>
        <v>0.7829629104</v>
      </c>
      <c r="AG250" s="30">
        <f>IFERROR(__xludf.DUMMYFUNCTION("""COMPUTED_VALUE"""),0.8887052371346396)</f>
        <v>0.8887052371</v>
      </c>
      <c r="AH250" s="30">
        <f>IFERROR(__xludf.DUMMYFUNCTION("""COMPUTED_VALUE"""),0.9900904040674064)</f>
        <v>0.9900904041</v>
      </c>
      <c r="AI250" s="30">
        <f>IFERROR(__xludf.DUMMYFUNCTION("""COMPUTED_VALUE"""),1.0058684716265585)</f>
        <v>1.005868472</v>
      </c>
      <c r="AJ250" s="30">
        <f>IFERROR(__xludf.DUMMYFUNCTION("""COMPUTED_VALUE"""),1.0635322633075677)</f>
        <v>1.063532263</v>
      </c>
      <c r="AK250" s="30">
        <f>IFERROR(__xludf.DUMMYFUNCTION("""COMPUTED_VALUE"""),1.1301437268066836)</f>
        <v>1.130143727</v>
      </c>
      <c r="AL250" s="30">
        <f>IFERROR(__xludf.DUMMYFUNCTION("""COMPUTED_VALUE"""),0.9440496973072265)</f>
        <v>0.9440496973</v>
      </c>
      <c r="AM250" s="30">
        <f>IFERROR(__xludf.DUMMYFUNCTION("""COMPUTED_VALUE"""),0.94708255779836)</f>
        <v>0.9470825578</v>
      </c>
      <c r="AN250" s="30">
        <f>IFERROR(__xludf.DUMMYFUNCTION("""COMPUTED_VALUE"""),0.9267369408452297)</f>
        <v>0.9267369408</v>
      </c>
      <c r="AO250" s="30">
        <f>IFERROR(__xludf.DUMMYFUNCTION("""COMPUTED_VALUE"""),0.9404355817341434)</f>
        <v>0.9404355817</v>
      </c>
      <c r="AP250" s="30">
        <f>IFERROR(__xludf.DUMMYFUNCTION("""COMPUTED_VALUE"""),0.8341364106486998)</f>
        <v>0.8341364106</v>
      </c>
      <c r="AQ250" s="30">
        <f>IFERROR(__xludf.DUMMYFUNCTION("""COMPUTED_VALUE"""),0.8351648651777739)</f>
        <v>0.8351648652</v>
      </c>
      <c r="AR250" s="30">
        <f>IFERROR(__xludf.DUMMYFUNCTION("""COMPUTED_VALUE"""),1.0828074682461546)</f>
        <v>1.082807468</v>
      </c>
      <c r="AS250" s="30">
        <f>IFERROR(__xludf.DUMMYFUNCTION("""COMPUTED_VALUE"""),89.0)</f>
        <v>89</v>
      </c>
      <c r="AT250" s="30">
        <f>IFERROR(__xludf.DUMMYFUNCTION("""COMPUTED_VALUE"""),0.4832646717946537)</f>
        <v>0.4832646718</v>
      </c>
      <c r="AU250" s="30">
        <f>IFERROR(__xludf.DUMMYFUNCTION("""COMPUTED_VALUE"""),2.1778352140346287)</f>
        <v>2.177835214</v>
      </c>
      <c r="AV250" s="32">
        <f>IFERROR(__xludf.DUMMYFUNCTION("""COMPUTED_VALUE"""),43.790946150083656)</f>
        <v>43.79094615</v>
      </c>
      <c r="AW250" s="32">
        <f>IFERROR(__xludf.DUMMYFUNCTION("""COMPUTED_VALUE"""),-2.4880133330989116)</f>
        <v>-2.488013333</v>
      </c>
      <c r="AX250" s="32">
        <f>IFERROR(__xludf.DUMMYFUNCTION("""COMPUTED_VALUE"""),48.6797999127983)</f>
        <v>48.67979991</v>
      </c>
      <c r="AY250" s="32">
        <f>IFERROR(__xludf.DUMMYFUNCTION("""COMPUTED_VALUE"""),-2.087933563083644)</f>
        <v>-2.087933563</v>
      </c>
      <c r="AZ250" s="30">
        <f>IFERROR(__xludf.DUMMYFUNCTION("""COMPUTED_VALUE"""),0.4000797700152674)</f>
        <v>0.40007977</v>
      </c>
      <c r="BA250" s="30">
        <f>IFERROR(__xludf.DUMMYFUNCTION("""COMPUTED_VALUE"""),800.0)</f>
        <v>800</v>
      </c>
    </row>
    <row r="251">
      <c r="A251" s="30" t="str">
        <f>IFERROR(__xludf.DUMMYFUNCTION("""COMPUTED_VALUE"""),"Elite")</f>
        <v>Elite</v>
      </c>
      <c r="B251" s="30" t="str">
        <f>IFERROR(__xludf.DUMMYFUNCTION("""COMPUTED_VALUE"""),"RSC005024")</f>
        <v>RSC005024</v>
      </c>
      <c r="C251" s="30" t="str">
        <f>IFERROR(__xludf.DUMMYFUNCTION("""COMPUTED_VALUE"""),"SSpekky")</f>
        <v>SSpekky</v>
      </c>
      <c r="D251" s="30" t="str">
        <f>IFERROR(__xludf.DUMMYFUNCTION("""COMPUTED_VALUE"""),"Wyverns")</f>
        <v>Wyverns</v>
      </c>
      <c r="E251" s="30">
        <f>IFERROR(__xludf.DUMMYFUNCTION("""COMPUTED_VALUE"""),45.0)</f>
        <v>45</v>
      </c>
      <c r="F251" s="30">
        <f>IFERROR(__xludf.DUMMYFUNCTION("""COMPUTED_VALUE"""),24.0)</f>
        <v>24</v>
      </c>
      <c r="G251" s="30">
        <f>IFERROR(__xludf.DUMMYFUNCTION("""COMPUTED_VALUE"""),21.0)</f>
        <v>21</v>
      </c>
      <c r="H251" s="42">
        <f>IFERROR(__xludf.DUMMYFUNCTION("""COMPUTED_VALUE"""),0.5333333333333333)</f>
        <v>0.5333333333</v>
      </c>
      <c r="I251" s="42">
        <f>IFERROR(__xludf.DUMMYFUNCTION("""COMPUTED_VALUE"""),0.2740740740740741)</f>
        <v>0.2740740741</v>
      </c>
      <c r="J251" s="30">
        <f>IFERROR(__xludf.DUMMYFUNCTION("""COMPUTED_VALUE"""),386.1333333333333)</f>
        <v>386.1333333</v>
      </c>
      <c r="K251" s="30">
        <f>IFERROR(__xludf.DUMMYFUNCTION("""COMPUTED_VALUE"""),0.8222222222222222)</f>
        <v>0.8222222222</v>
      </c>
      <c r="L251" s="30">
        <f>IFERROR(__xludf.DUMMYFUNCTION("""COMPUTED_VALUE"""),0.4444444444444444)</f>
        <v>0.4444444444</v>
      </c>
      <c r="M251" s="30">
        <f>IFERROR(__xludf.DUMMYFUNCTION("""COMPUTED_VALUE"""),1.5333333333333334)</f>
        <v>1.533333333</v>
      </c>
      <c r="N251" s="30">
        <f>IFERROR(__xludf.DUMMYFUNCTION("""COMPUTED_VALUE"""),3.0)</f>
        <v>3</v>
      </c>
      <c r="O251" s="30">
        <f>IFERROR(__xludf.DUMMYFUNCTION("""COMPUTED_VALUE"""),346.5407407407408)</f>
        <v>346.5407407</v>
      </c>
      <c r="P251" s="30">
        <f>IFERROR(__xludf.DUMMYFUNCTION("""COMPUTED_VALUE"""),0.6592592592592591)</f>
        <v>0.6592592593</v>
      </c>
      <c r="Q251" s="30">
        <f>IFERROR(__xludf.DUMMYFUNCTION("""COMPUTED_VALUE"""),0.5333333333333332)</f>
        <v>0.5333333333</v>
      </c>
      <c r="R251" s="30">
        <f>IFERROR(__xludf.DUMMYFUNCTION("""COMPUTED_VALUE"""),1.4370370370370371)</f>
        <v>1.437037037</v>
      </c>
      <c r="S251" s="30">
        <f>IFERROR(__xludf.DUMMYFUNCTION("""COMPUTED_VALUE"""),2.5481481481481483)</f>
        <v>2.548148148</v>
      </c>
      <c r="T251" s="30">
        <f>IFERROR(__xludf.DUMMYFUNCTION("""COMPUTED_VALUE"""),357.29167141291947)</f>
        <v>357.2916714</v>
      </c>
      <c r="U251" s="30">
        <f>IFERROR(__xludf.DUMMYFUNCTION("""COMPUTED_VALUE"""),0.7892945381074143)</f>
        <v>0.7892945381</v>
      </c>
      <c r="V251" s="30">
        <f>IFERROR(__xludf.DUMMYFUNCTION("""COMPUTED_VALUE"""),0.5889167411915059)</f>
        <v>0.5889167412</v>
      </c>
      <c r="W251" s="30">
        <f>IFERROR(__xludf.DUMMYFUNCTION("""COMPUTED_VALUE"""),1.37400074711887)</f>
        <v>1.374000747</v>
      </c>
      <c r="X251" s="30">
        <f>IFERROR(__xludf.DUMMYFUNCTION("""COMPUTED_VALUE"""),2.6617585756027227)</f>
        <v>2.661758576</v>
      </c>
      <c r="Y251" s="30">
        <f>IFERROR(__xludf.DUMMYFUNCTION("""COMPUTED_VALUE"""),351.9389472605013)</f>
        <v>351.9389473</v>
      </c>
      <c r="Z251" s="30">
        <f>IFERROR(__xludf.DUMMYFUNCTION("""COMPUTED_VALUE"""),0.7152452169041449)</f>
        <v>0.7152452169</v>
      </c>
      <c r="AA251" s="30">
        <f>IFERROR(__xludf.DUMMYFUNCTION("""COMPUTED_VALUE"""),0.5306374178304119)</f>
        <v>0.5306374178</v>
      </c>
      <c r="AB251" s="30">
        <f>IFERROR(__xludf.DUMMYFUNCTION("""COMPUTED_VALUE"""),1.4657010010578224)</f>
        <v>1.465701001</v>
      </c>
      <c r="AC251" s="30">
        <f>IFERROR(__xludf.DUMMYFUNCTION("""COMPUTED_VALUE"""),2.525817895454816)</f>
        <v>2.525817895</v>
      </c>
      <c r="AD251" s="30">
        <f>IFERROR(__xludf.DUMMYFUNCTION("""COMPUTED_VALUE"""),1.0971599941950207)</f>
        <v>1.097159994</v>
      </c>
      <c r="AE251" s="30">
        <f>IFERROR(__xludf.DUMMYFUNCTION("""COMPUTED_VALUE"""),1.1495668936887333)</f>
        <v>1.149566894</v>
      </c>
      <c r="AF251" s="30">
        <f>IFERROR(__xludf.DUMMYFUNCTION("""COMPUTED_VALUE"""),0.8375671023382031)</f>
        <v>0.8375671023</v>
      </c>
      <c r="AG251" s="30">
        <f>IFERROR(__xludf.DUMMYFUNCTION("""COMPUTED_VALUE"""),1.0461433349821687)</f>
        <v>1.046143335</v>
      </c>
      <c r="AH251" s="30">
        <f>IFERROR(__xludf.DUMMYFUNCTION("""COMPUTED_VALUE"""),1.1877340822544926)</f>
        <v>1.187734082</v>
      </c>
      <c r="AI251" s="30">
        <f>IFERROR(__xludf.DUMMYFUNCTION("""COMPUTED_VALUE"""),0.969909932046096)</f>
        <v>0.969909932</v>
      </c>
      <c r="AJ251" s="30">
        <f>IFERROR(__xludf.DUMMYFUNCTION("""COMPUTED_VALUE"""),0.8352512622728185)</f>
        <v>0.8352512623</v>
      </c>
      <c r="AK251" s="30">
        <f>IFERROR(__xludf.DUMMYFUNCTION("""COMPUTED_VALUE"""),0.9056175449424048)</f>
        <v>0.9056175449</v>
      </c>
      <c r="AL251" s="30">
        <f>IFERROR(__xludf.DUMMYFUNCTION("""COMPUTED_VALUE"""),1.0458779153143456)</f>
        <v>1.045877915</v>
      </c>
      <c r="AM251" s="30">
        <f>IFERROR(__xludf.DUMMYFUNCTION("""COMPUTED_VALUE"""),0.9573175311630775)</f>
        <v>0.9573175312</v>
      </c>
      <c r="AN251" s="30">
        <f>IFERROR(__xludf.DUMMYFUNCTION("""COMPUTED_VALUE"""),1.101381284761219)</f>
        <v>1.101381285</v>
      </c>
      <c r="AO251" s="30">
        <f>IFERROR(__xludf.DUMMYFUNCTION("""COMPUTED_VALUE"""),1.1598705508054437)</f>
        <v>1.159870551</v>
      </c>
      <c r="AP251" s="30">
        <f>IFERROR(__xludf.DUMMYFUNCTION("""COMPUTED_VALUE"""),0.7785273166054532)</f>
        <v>0.7785273166</v>
      </c>
      <c r="AQ251" s="30">
        <f>IFERROR(__xludf.DUMMYFUNCTION("""COMPUTED_VALUE"""),1.075692346348973)</f>
        <v>1.075692346</v>
      </c>
      <c r="AR251" s="30">
        <f>IFERROR(__xludf.DUMMYFUNCTION("""COMPUTED_VALUE"""),1.1967872017457497)</f>
        <v>1.196787202</v>
      </c>
      <c r="AS251" s="30">
        <f>IFERROR(__xludf.DUMMYFUNCTION("""COMPUTED_VALUE"""),100.0)</f>
        <v>100</v>
      </c>
      <c r="AT251" s="30">
        <f>IFERROR(__xludf.DUMMYFUNCTION("""COMPUTED_VALUE"""),0.5438678605170787)</f>
        <v>0.5438678605</v>
      </c>
      <c r="AU251" s="30">
        <f>IFERROR(__xludf.DUMMYFUNCTION("""COMPUTED_VALUE"""),2.9534023705107875)</f>
        <v>2.953402371</v>
      </c>
      <c r="AV251" s="32">
        <f>IFERROR(__xludf.DUMMYFUNCTION("""COMPUTED_VALUE"""),66.09952501993025)</f>
        <v>66.09952502</v>
      </c>
      <c r="AW251" s="32">
        <f>IFERROR(__xludf.DUMMYFUNCTION("""COMPUTED_VALUE"""),3.8492054204289916)</f>
        <v>3.84920542</v>
      </c>
      <c r="AX251" s="32">
        <f>IFERROR(__xludf.DUMMYFUNCTION("""COMPUTED_VALUE"""),63.9167343802017)</f>
        <v>63.91673438</v>
      </c>
      <c r="AY251" s="32">
        <f>IFERROR(__xludf.DUMMYFUNCTION("""COMPUTED_VALUE"""),3.4616848502755313)</f>
        <v>3.46168485</v>
      </c>
      <c r="AZ251" s="30">
        <f>IFERROR(__xludf.DUMMYFUNCTION("""COMPUTED_VALUE"""),0.3875205701534603)</f>
        <v>0.3875205702</v>
      </c>
      <c r="BA251" s="30">
        <f>IFERROR(__xludf.DUMMYFUNCTION("""COMPUTED_VALUE"""),800.0)</f>
        <v>800</v>
      </c>
    </row>
    <row r="252">
      <c r="A252" s="30" t="str">
        <f>IFERROR(__xludf.DUMMYFUNCTION("""COMPUTED_VALUE"""),"Elite")</f>
        <v>Elite</v>
      </c>
      <c r="B252" s="30" t="str">
        <f>IFERROR(__xludf.DUMMYFUNCTION("""COMPUTED_VALUE"""),"RSC003113")</f>
        <v>RSC003113</v>
      </c>
      <c r="C252" s="30" t="str">
        <f>IFERROR(__xludf.DUMMYFUNCTION("""COMPUTED_VALUE"""),"Nebulade")</f>
        <v>Nebulade</v>
      </c>
      <c r="D252" s="30" t="str">
        <f>IFERROR(__xludf.DUMMYFUNCTION("""COMPUTED_VALUE"""),"Pylons")</f>
        <v>Pylons</v>
      </c>
      <c r="E252" s="30">
        <f>IFERROR(__xludf.DUMMYFUNCTION("""COMPUTED_VALUE"""),48.0)</f>
        <v>48</v>
      </c>
      <c r="F252" s="30">
        <f>IFERROR(__xludf.DUMMYFUNCTION("""COMPUTED_VALUE"""),18.0)</f>
        <v>18</v>
      </c>
      <c r="G252" s="30">
        <f>IFERROR(__xludf.DUMMYFUNCTION("""COMPUTED_VALUE"""),30.0)</f>
        <v>30</v>
      </c>
      <c r="H252" s="42">
        <f>IFERROR(__xludf.DUMMYFUNCTION("""COMPUTED_VALUE"""),0.375)</f>
        <v>0.375</v>
      </c>
      <c r="I252" s="42">
        <f>IFERROR(__xludf.DUMMYFUNCTION("""COMPUTED_VALUE"""),0.26356589147286824)</f>
        <v>0.2635658915</v>
      </c>
      <c r="J252" s="30">
        <f>IFERROR(__xludf.DUMMYFUNCTION("""COMPUTED_VALUE"""),334.9375)</f>
        <v>334.9375</v>
      </c>
      <c r="K252" s="30">
        <f>IFERROR(__xludf.DUMMYFUNCTION("""COMPUTED_VALUE"""),0.7083333333333334)</f>
        <v>0.7083333333</v>
      </c>
      <c r="L252" s="30">
        <f>IFERROR(__xludf.DUMMYFUNCTION("""COMPUTED_VALUE"""),0.5208333333333334)</f>
        <v>0.5208333333</v>
      </c>
      <c r="M252" s="30">
        <f>IFERROR(__xludf.DUMMYFUNCTION("""COMPUTED_VALUE"""),1.4166666666666667)</f>
        <v>1.416666667</v>
      </c>
      <c r="N252" s="30">
        <f>IFERROR(__xludf.DUMMYFUNCTION("""COMPUTED_VALUE"""),2.6875)</f>
        <v>2.6875</v>
      </c>
      <c r="O252" s="30">
        <f>IFERROR(__xludf.DUMMYFUNCTION("""COMPUTED_VALUE"""),374.74999999999994)</f>
        <v>374.75</v>
      </c>
      <c r="P252" s="30">
        <f>IFERROR(__xludf.DUMMYFUNCTION("""COMPUTED_VALUE"""),0.9097222222222227)</f>
        <v>0.9097222222</v>
      </c>
      <c r="Q252" s="30">
        <f>IFERROR(__xludf.DUMMYFUNCTION("""COMPUTED_VALUE"""),0.673611111111111)</f>
        <v>0.6736111111</v>
      </c>
      <c r="R252" s="30">
        <f>IFERROR(__xludf.DUMMYFUNCTION("""COMPUTED_VALUE"""),1.4166666666666667)</f>
        <v>1.416666667</v>
      </c>
      <c r="S252" s="30">
        <f>IFERROR(__xludf.DUMMYFUNCTION("""COMPUTED_VALUE"""),2.6875000000000004)</f>
        <v>2.6875</v>
      </c>
      <c r="T252" s="30">
        <f>IFERROR(__xludf.DUMMYFUNCTION("""COMPUTED_VALUE"""),357.4619168875608)</f>
        <v>357.4619169</v>
      </c>
      <c r="U252" s="30">
        <f>IFERROR(__xludf.DUMMYFUNCTION("""COMPUTED_VALUE"""),0.7732782047981267)</f>
        <v>0.7732782048</v>
      </c>
      <c r="V252" s="30">
        <f>IFERROR(__xludf.DUMMYFUNCTION("""COMPUTED_VALUE"""),0.5725940871213808)</f>
        <v>0.5725940871</v>
      </c>
      <c r="W252" s="30">
        <f>IFERROR(__xludf.DUMMYFUNCTION("""COMPUTED_VALUE"""),1.4080868732781198)</f>
        <v>1.408086873</v>
      </c>
      <c r="X252" s="30">
        <f>IFERROR(__xludf.DUMMYFUNCTION("""COMPUTED_VALUE"""),2.593024367232999)</f>
        <v>2.593024367</v>
      </c>
      <c r="Y252" s="30">
        <f>IFERROR(__xludf.DUMMYFUNCTION("""COMPUTED_VALUE"""),364.08790059090256)</f>
        <v>364.0879006</v>
      </c>
      <c r="Z252" s="30">
        <f>IFERROR(__xludf.DUMMYFUNCTION("""COMPUTED_VALUE"""),0.8108670488386184)</f>
        <v>0.8108670488</v>
      </c>
      <c r="AA252" s="30">
        <f>IFERROR(__xludf.DUMMYFUNCTION("""COMPUTED_VALUE"""),0.6120644348443526)</f>
        <v>0.6120644348</v>
      </c>
      <c r="AB252" s="30">
        <f>IFERROR(__xludf.DUMMYFUNCTION("""COMPUTED_VALUE"""),1.3871786424287726)</f>
        <v>1.387178642</v>
      </c>
      <c r="AC252" s="30">
        <f>IFERROR(__xludf.DUMMYFUNCTION("""COMPUTED_VALUE"""),2.71603454040496)</f>
        <v>2.71603454</v>
      </c>
      <c r="AD252" s="30">
        <f>IFERROR(__xludf.DUMMYFUNCTION("""COMPUTED_VALUE"""),0.9199358162037452)</f>
        <v>0.9199358162</v>
      </c>
      <c r="AE252" s="30">
        <f>IFERROR(__xludf.DUMMYFUNCTION("""COMPUTED_VALUE"""),0.8735505214422745)</f>
        <v>0.8735505214</v>
      </c>
      <c r="AF252" s="30">
        <f>IFERROR(__xludf.DUMMYFUNCTION("""COMPUTED_VALUE"""),0.8509452660254321)</f>
        <v>0.850945266</v>
      </c>
      <c r="AG252" s="30">
        <f>IFERROR(__xludf.DUMMYFUNCTION("""COMPUTED_VALUE"""),1.021257553523362)</f>
        <v>1.021257554</v>
      </c>
      <c r="AH252" s="30">
        <f>IFERROR(__xludf.DUMMYFUNCTION("""COMPUTED_VALUE"""),0.9894940436211442)</f>
        <v>0.9894940436</v>
      </c>
      <c r="AI252" s="30">
        <f>IFERROR(__xludf.DUMMYFUNCTION("""COMPUTED_VALUE"""),1.0483634264118746)</f>
        <v>1.048363426</v>
      </c>
      <c r="AJ252" s="30">
        <f>IFERROR(__xludf.DUMMYFUNCTION("""COMPUTED_VALUE"""),1.1764488079160542)</f>
        <v>1.176448808</v>
      </c>
      <c r="AK252" s="30">
        <f>IFERROR(__xludf.DUMMYFUNCTION("""COMPUTED_VALUE"""),1.1764199565831637)</f>
        <v>1.176419957</v>
      </c>
      <c r="AL252" s="30">
        <f>IFERROR(__xludf.DUMMYFUNCTION("""COMPUTED_VALUE"""),1.0060932273081793)</f>
        <v>1.006093227</v>
      </c>
      <c r="AM252" s="30">
        <f>IFERROR(__xludf.DUMMYFUNCTION("""COMPUTED_VALUE"""),1.0364345333429381)</f>
        <v>1.036434533</v>
      </c>
      <c r="AN252" s="30">
        <f>IFERROR(__xludf.DUMMYFUNCTION("""COMPUTED_VALUE"""),0.9553536621151005)</f>
        <v>0.9553536621</v>
      </c>
      <c r="AO252" s="30">
        <f>IFERROR(__xludf.DUMMYFUNCTION("""COMPUTED_VALUE"""),0.9992128055925275)</f>
        <v>0.9992128056</v>
      </c>
      <c r="AP252" s="30">
        <f>IFERROR(__xludf.DUMMYFUNCTION("""COMPUTED_VALUE"""),0.9123366991470155)</f>
        <v>0.9123366991</v>
      </c>
      <c r="AQ252" s="30">
        <f>IFERROR(__xludf.DUMMYFUNCTION("""COMPUTED_VALUE"""),0.993846189561551)</f>
        <v>0.9938461896</v>
      </c>
      <c r="AR252" s="30">
        <f>IFERROR(__xludf.DUMMYFUNCTION("""COMPUTED_VALUE"""),1.0721218682305675)</f>
        <v>1.072121868</v>
      </c>
      <c r="AS252" s="30">
        <f>IFERROR(__xludf.DUMMYFUNCTION("""COMPUTED_VALUE"""),109.0)</f>
        <v>109</v>
      </c>
      <c r="AT252" s="30">
        <f>IFERROR(__xludf.DUMMYFUNCTION("""COMPUTED_VALUE"""),0.4275663103056406)</f>
        <v>0.4275663103</v>
      </c>
      <c r="AU252" s="30">
        <f>IFERROR(__xludf.DUMMYFUNCTION("""COMPUTED_VALUE"""),2.214274142803461)</f>
        <v>2.214274143</v>
      </c>
      <c r="AV252" s="32">
        <f>IFERROR(__xludf.DUMMYFUNCTION("""COMPUTED_VALUE"""),44.839083257985045)</f>
        <v>44.83908326</v>
      </c>
      <c r="AW252" s="32">
        <f>IFERROR(__xludf.DUMMYFUNCTION("""COMPUTED_VALUE"""),-2.3910579328567647)</f>
        <v>-2.391057933</v>
      </c>
      <c r="AX252" s="32">
        <f>IFERROR(__xludf.DUMMYFUNCTION("""COMPUTED_VALUE"""),41.19440799146914)</f>
        <v>41.19440799</v>
      </c>
      <c r="AY252" s="32">
        <f>IFERROR(__xludf.DUMMYFUNCTION("""COMPUTED_VALUE"""),-2.7598749325026106)</f>
        <v>-2.759874933</v>
      </c>
      <c r="AZ252" s="30">
        <f>IFERROR(__xludf.DUMMYFUNCTION("""COMPUTED_VALUE"""),0.3688169996458459)</f>
        <v>0.3688169996</v>
      </c>
      <c r="BA252" s="30">
        <f>IFERROR(__xludf.DUMMYFUNCTION("""COMPUTED_VALUE"""),800.0)</f>
        <v>800</v>
      </c>
    </row>
    <row r="253">
      <c r="A253" s="30" t="str">
        <f>IFERROR(__xludf.DUMMYFUNCTION("""COMPUTED_VALUE"""),"Elite")</f>
        <v>Elite</v>
      </c>
      <c r="B253" s="30" t="str">
        <f>IFERROR(__xludf.DUMMYFUNCTION("""COMPUTED_VALUE"""),"RSC007884")</f>
        <v>RSC007884</v>
      </c>
      <c r="C253" s="30" t="str">
        <f>IFERROR(__xludf.DUMMYFUNCTION("""COMPUTED_VALUE"""),"Luis.")</f>
        <v>Luis.</v>
      </c>
      <c r="D253" s="30" t="str">
        <f>IFERROR(__xludf.DUMMYFUNCTION("""COMPUTED_VALUE"""),"Fire")</f>
        <v>Fire</v>
      </c>
      <c r="E253" s="30">
        <f>IFERROR(__xludf.DUMMYFUNCTION("""COMPUTED_VALUE"""),40.0)</f>
        <v>40</v>
      </c>
      <c r="F253" s="30">
        <f>IFERROR(__xludf.DUMMYFUNCTION("""COMPUTED_VALUE"""),18.0)</f>
        <v>18</v>
      </c>
      <c r="G253" s="30">
        <f>IFERROR(__xludf.DUMMYFUNCTION("""COMPUTED_VALUE"""),22.0)</f>
        <v>22</v>
      </c>
      <c r="H253" s="42">
        <f>IFERROR(__xludf.DUMMYFUNCTION("""COMPUTED_VALUE"""),0.45)</f>
        <v>0.45</v>
      </c>
      <c r="I253" s="42">
        <f>IFERROR(__xludf.DUMMYFUNCTION("""COMPUTED_VALUE"""),0.27522935779816515)</f>
        <v>0.2752293578</v>
      </c>
      <c r="J253" s="30">
        <f>IFERROR(__xludf.DUMMYFUNCTION("""COMPUTED_VALUE"""),348.3)</f>
        <v>348.3</v>
      </c>
      <c r="K253" s="30">
        <f>IFERROR(__xludf.DUMMYFUNCTION("""COMPUTED_VALUE"""),0.75)</f>
        <v>0.75</v>
      </c>
      <c r="L253" s="30">
        <f>IFERROR(__xludf.DUMMYFUNCTION("""COMPUTED_VALUE"""),0.475)</f>
        <v>0.475</v>
      </c>
      <c r="M253" s="30">
        <f>IFERROR(__xludf.DUMMYFUNCTION("""COMPUTED_VALUE"""),1.175)</f>
        <v>1.175</v>
      </c>
      <c r="N253" s="30">
        <f>IFERROR(__xludf.DUMMYFUNCTION("""COMPUTED_VALUE"""),2.725)</f>
        <v>2.725</v>
      </c>
      <c r="O253" s="30">
        <f>IFERROR(__xludf.DUMMYFUNCTION("""COMPUTED_VALUE"""),364.9666666666667)</f>
        <v>364.9666667</v>
      </c>
      <c r="P253" s="30">
        <f>IFERROR(__xludf.DUMMYFUNCTION("""COMPUTED_VALUE"""),0.8666666666666665)</f>
        <v>0.8666666667</v>
      </c>
      <c r="Q253" s="30">
        <f>IFERROR(__xludf.DUMMYFUNCTION("""COMPUTED_VALUE"""),0.6833333333333333)</f>
        <v>0.6833333333</v>
      </c>
      <c r="R253" s="30">
        <f>IFERROR(__xludf.DUMMYFUNCTION("""COMPUTED_VALUE"""),1.2999999999999998)</f>
        <v>1.3</v>
      </c>
      <c r="S253" s="30">
        <f>IFERROR(__xludf.DUMMYFUNCTION("""COMPUTED_VALUE"""),2.7750000000000004)</f>
        <v>2.775</v>
      </c>
      <c r="T253" s="30">
        <f>IFERROR(__xludf.DUMMYFUNCTION("""COMPUTED_VALUE"""),366.54669168055057)</f>
        <v>366.5466917</v>
      </c>
      <c r="U253" s="30">
        <f>IFERROR(__xludf.DUMMYFUNCTION("""COMPUTED_VALUE"""),0.7889010549850042)</f>
        <v>0.788901055</v>
      </c>
      <c r="V253" s="30">
        <f>IFERROR(__xludf.DUMMYFUNCTION("""COMPUTED_VALUE"""),0.6061209695888472)</f>
        <v>0.6061209696</v>
      </c>
      <c r="W253" s="30">
        <f>IFERROR(__xludf.DUMMYFUNCTION("""COMPUTED_VALUE"""),1.4703844208780634)</f>
        <v>1.470384421</v>
      </c>
      <c r="X253" s="30">
        <f>IFERROR(__xludf.DUMMYFUNCTION("""COMPUTED_VALUE"""),2.710420438024174)</f>
        <v>2.710420438</v>
      </c>
      <c r="Y253" s="30">
        <f>IFERROR(__xludf.DUMMYFUNCTION("""COMPUTED_VALUE"""),360.38599901223995)</f>
        <v>360.385999</v>
      </c>
      <c r="Z253" s="30">
        <f>IFERROR(__xludf.DUMMYFUNCTION("""COMPUTED_VALUE"""),0.7633428898058418)</f>
        <v>0.7633428898</v>
      </c>
      <c r="AA253" s="30">
        <f>IFERROR(__xludf.DUMMYFUNCTION("""COMPUTED_VALUE"""),0.5621330827416959)</f>
        <v>0.5621330827</v>
      </c>
      <c r="AB253" s="30">
        <f>IFERROR(__xludf.DUMMYFUNCTION("""COMPUTED_VALUE"""),1.4468702635345099)</f>
        <v>1.446870264</v>
      </c>
      <c r="AC253" s="30">
        <f>IFERROR(__xludf.DUMMYFUNCTION("""COMPUTED_VALUE"""),2.6701028302557543)</f>
        <v>2.67010283</v>
      </c>
      <c r="AD253" s="30">
        <f>IFERROR(__xludf.DUMMYFUNCTION("""COMPUTED_VALUE"""),0.9664637387540977)</f>
        <v>0.9664637388</v>
      </c>
      <c r="AE253" s="30">
        <f>IFERROR(__xludf.DUMMYFUNCTION("""COMPUTED_VALUE"""),0.9825204505288108)</f>
        <v>0.9825204505</v>
      </c>
      <c r="AF253" s="30">
        <f>IFERROR(__xludf.DUMMYFUNCTION("""COMPUTED_VALUE"""),0.8449956328549084)</f>
        <v>0.8449956329</v>
      </c>
      <c r="AG253" s="30">
        <f>IFERROR(__xludf.DUMMYFUNCTION("""COMPUTED_VALUE"""),0.8120976908666522)</f>
        <v>0.8120976909</v>
      </c>
      <c r="AH253" s="30">
        <f>IFERROR(__xludf.DUMMYFUNCTION("""COMPUTED_VALUE"""),1.0205599459025283)</f>
        <v>1.020559946</v>
      </c>
      <c r="AI253" s="30">
        <f>IFERROR(__xludf.DUMMYFUNCTION("""COMPUTED_VALUE"""),0.9956894304334334)</f>
        <v>0.9956894304</v>
      </c>
      <c r="AJ253" s="30">
        <f>IFERROR(__xludf.DUMMYFUNCTION("""COMPUTED_VALUE"""),1.098574607284738)</f>
        <v>1.098574607</v>
      </c>
      <c r="AK253" s="30">
        <f>IFERROR(__xludf.DUMMYFUNCTION("""COMPUTED_VALUE"""),1.127387712384975)</f>
        <v>1.127387712</v>
      </c>
      <c r="AL253" s="30">
        <f>IFERROR(__xludf.DUMMYFUNCTION("""COMPUTED_VALUE"""),0.8841225339042181)</f>
        <v>0.8841225339</v>
      </c>
      <c r="AM253" s="30">
        <f>IFERROR(__xludf.DUMMYFUNCTION("""COMPUTED_VALUE"""),1.023826400166501)</f>
        <v>1.0238264</v>
      </c>
      <c r="AN253" s="30">
        <f>IFERROR(__xludf.DUMMYFUNCTION("""COMPUTED_VALUE"""),0.9934679769052123)</f>
        <v>0.9934679769</v>
      </c>
      <c r="AO253" s="30">
        <f>IFERROR(__xludf.DUMMYFUNCTION("""COMPUTED_VALUE"""),1.0579900294509115)</f>
        <v>1.057990029</v>
      </c>
      <c r="AP253" s="30">
        <f>IFERROR(__xludf.DUMMYFUNCTION("""COMPUTED_VALUE"""),0.8320510696220781)</f>
        <v>0.8320510696</v>
      </c>
      <c r="AQ253" s="30">
        <f>IFERROR(__xludf.DUMMYFUNCTION("""COMPUTED_VALUE"""),0.8243077219304629)</f>
        <v>0.8243077219</v>
      </c>
      <c r="AR253" s="30">
        <f>IFERROR(__xludf.DUMMYFUNCTION("""COMPUTED_VALUE"""),1.0870817082523894)</f>
        <v>1.087081708</v>
      </c>
      <c r="AS253" s="30">
        <f>IFERROR(__xludf.DUMMYFUNCTION("""COMPUTED_VALUE"""),82.0)</f>
        <v>82</v>
      </c>
      <c r="AT253" s="30">
        <f>IFERROR(__xludf.DUMMYFUNCTION("""COMPUTED_VALUE"""),0.40867789289319756)</f>
        <v>0.4086778929</v>
      </c>
      <c r="AU253" s="30">
        <f>IFERROR(__xludf.DUMMYFUNCTION("""COMPUTED_VALUE"""),2.3894955153317388)</f>
        <v>2.389495515</v>
      </c>
      <c r="AV253" s="32">
        <f>IFERROR(__xludf.DUMMYFUNCTION("""COMPUTED_VALUE"""),49.879188136188475)</f>
        <v>49.87918814</v>
      </c>
      <c r="AW253" s="32">
        <f>IFERROR(__xludf.DUMMYFUNCTION("""COMPUTED_VALUE"""),-2.007741332236129)</f>
        <v>-2.007741332</v>
      </c>
      <c r="AX253" s="32">
        <f>IFERROR(__xludf.DUMMYFUNCTION("""COMPUTED_VALUE"""),45.17184482201284)</f>
        <v>45.17184482</v>
      </c>
      <c r="AY253" s="32">
        <f>IFERROR(__xludf.DUMMYFUNCTION("""COMPUTED_VALUE"""),-2.3616650875987544)</f>
        <v>-2.361665088</v>
      </c>
      <c r="AZ253" s="30">
        <f>IFERROR(__xludf.DUMMYFUNCTION("""COMPUTED_VALUE"""),0.3539237553626253)</f>
        <v>0.3539237554</v>
      </c>
      <c r="BA253" s="30">
        <f>IFERROR(__xludf.DUMMYFUNCTION("""COMPUTED_VALUE"""),800.0)</f>
        <v>800</v>
      </c>
    </row>
    <row r="254">
      <c r="A254" s="30" t="str">
        <f>IFERROR(__xludf.DUMMYFUNCTION("""COMPUTED_VALUE"""),"Elite")</f>
        <v>Elite</v>
      </c>
      <c r="B254" s="30" t="str">
        <f>IFERROR(__xludf.DUMMYFUNCTION("""COMPUTED_VALUE"""),"RSC004734")</f>
        <v>RSC004734</v>
      </c>
      <c r="C254" s="30" t="str">
        <f>IFERROR(__xludf.DUMMYFUNCTION("""COMPUTED_VALUE"""),"siiderij23")</f>
        <v>siiderij23</v>
      </c>
      <c r="D254" s="30"/>
      <c r="E254" s="30">
        <f>IFERROR(__xludf.DUMMYFUNCTION("""COMPUTED_VALUE"""),4.0)</f>
        <v>4</v>
      </c>
      <c r="F254" s="30">
        <f>IFERROR(__xludf.DUMMYFUNCTION("""COMPUTED_VALUE"""),1.0)</f>
        <v>1</v>
      </c>
      <c r="G254" s="30">
        <f>IFERROR(__xludf.DUMMYFUNCTION("""COMPUTED_VALUE"""),3.0)</f>
        <v>3</v>
      </c>
      <c r="H254" s="42">
        <f>IFERROR(__xludf.DUMMYFUNCTION("""COMPUTED_VALUE"""),0.25)</f>
        <v>0.25</v>
      </c>
      <c r="I254" s="42">
        <f>IFERROR(__xludf.DUMMYFUNCTION("""COMPUTED_VALUE"""),0.2222222222222222)</f>
        <v>0.2222222222</v>
      </c>
      <c r="J254" s="30">
        <f>IFERROR(__xludf.DUMMYFUNCTION("""COMPUTED_VALUE"""),305.0)</f>
        <v>305</v>
      </c>
      <c r="K254" s="30">
        <f>IFERROR(__xludf.DUMMYFUNCTION("""COMPUTED_VALUE"""),0.5)</f>
        <v>0.5</v>
      </c>
      <c r="L254" s="30">
        <f>IFERROR(__xludf.DUMMYFUNCTION("""COMPUTED_VALUE"""),0.25)</f>
        <v>0.25</v>
      </c>
      <c r="M254" s="30">
        <f>IFERROR(__xludf.DUMMYFUNCTION("""COMPUTED_VALUE"""),1.75)</f>
        <v>1.75</v>
      </c>
      <c r="N254" s="30">
        <f>IFERROR(__xludf.DUMMYFUNCTION("""COMPUTED_VALUE"""),2.25)</f>
        <v>2.25</v>
      </c>
      <c r="O254" s="30">
        <f>IFERROR(__xludf.DUMMYFUNCTION("""COMPUTED_VALUE"""),308.5833333333333)</f>
        <v>308.5833333</v>
      </c>
      <c r="P254" s="30">
        <f>IFERROR(__xludf.DUMMYFUNCTION("""COMPUTED_VALUE"""),0.75)</f>
        <v>0.75</v>
      </c>
      <c r="Q254" s="30">
        <f>IFERROR(__xludf.DUMMYFUNCTION("""COMPUTED_VALUE"""),0.3333333333333333)</f>
        <v>0.3333333333</v>
      </c>
      <c r="R254" s="30">
        <f>IFERROR(__xludf.DUMMYFUNCTION("""COMPUTED_VALUE"""),1.1666666666666665)</f>
        <v>1.166666667</v>
      </c>
      <c r="S254" s="30">
        <f>IFERROR(__xludf.DUMMYFUNCTION("""COMPUTED_VALUE"""),2.666666666666667)</f>
        <v>2.666666667</v>
      </c>
      <c r="T254" s="30">
        <f>IFERROR(__xludf.DUMMYFUNCTION("""COMPUTED_VALUE"""),363.5000626566416)</f>
        <v>363.5000627</v>
      </c>
      <c r="U254" s="30">
        <f>IFERROR(__xludf.DUMMYFUNCTION("""COMPUTED_VALUE"""),0.7706279587858536)</f>
        <v>0.7706279588</v>
      </c>
      <c r="V254" s="30">
        <f>IFERROR(__xludf.DUMMYFUNCTION("""COMPUTED_VALUE"""),0.5169869117237539)</f>
        <v>0.5169869117</v>
      </c>
      <c r="W254" s="30">
        <f>IFERROR(__xludf.DUMMYFUNCTION("""COMPUTED_VALUE"""),1.4929406850459481)</f>
        <v>1.492940685</v>
      </c>
      <c r="X254" s="30">
        <f>IFERROR(__xludf.DUMMYFUNCTION("""COMPUTED_VALUE"""),2.6998746867167926)</f>
        <v>2.699874687</v>
      </c>
      <c r="Y254" s="30">
        <f>IFERROR(__xludf.DUMMYFUNCTION("""COMPUTED_VALUE"""),348.0274691358025)</f>
        <v>348.0274691</v>
      </c>
      <c r="Z254" s="30">
        <f>IFERROR(__xludf.DUMMYFUNCTION("""COMPUTED_VALUE"""),0.6669126520003712)</f>
        <v>0.666912652</v>
      </c>
      <c r="AA254" s="30">
        <f>IFERROR(__xludf.DUMMYFUNCTION("""COMPUTED_VALUE"""),0.5324143692564745)</f>
        <v>0.5324143693</v>
      </c>
      <c r="AB254" s="30">
        <f>IFERROR(__xludf.DUMMYFUNCTION("""COMPUTED_VALUE"""),1.4515826603545903)</f>
        <v>1.45158266</v>
      </c>
      <c r="AC254" s="30">
        <f>IFERROR(__xludf.DUMMYFUNCTION("""COMPUTED_VALUE"""),2.5435138772858075)</f>
        <v>2.543513877</v>
      </c>
      <c r="AD254" s="30">
        <f>IFERROR(__xludf.DUMMYFUNCTION("""COMPUTED_VALUE"""),0.8763676061471661)</f>
        <v>0.8763676061</v>
      </c>
      <c r="AE254" s="30">
        <f>IFERROR(__xludf.DUMMYFUNCTION("""COMPUTED_VALUE"""),0.7497233685704942)</f>
        <v>0.7497233686</v>
      </c>
      <c r="AF254" s="30">
        <f>IFERROR(__xludf.DUMMYFUNCTION("""COMPUTED_VALUE"""),0.46955907735760244)</f>
        <v>0.4695590774</v>
      </c>
      <c r="AG254" s="30">
        <f>IFERROR(__xludf.DUMMYFUNCTION("""COMPUTED_VALUE"""),1.205580672596704)</f>
        <v>1.205580673</v>
      </c>
      <c r="AH254" s="30">
        <f>IFERROR(__xludf.DUMMYFUNCTION("""COMPUTED_VALUE"""),0.8846029974882554)</f>
        <v>0.8846029975</v>
      </c>
      <c r="AI254" s="30">
        <f>IFERROR(__xludf.DUMMYFUNCTION("""COMPUTED_VALUE"""),0.8489223662798043)</f>
        <v>0.8489223663</v>
      </c>
      <c r="AJ254" s="30">
        <f>IFERROR(__xludf.DUMMYFUNCTION("""COMPUTED_VALUE"""),0.9732322730434625)</f>
        <v>0.973232273</v>
      </c>
      <c r="AK254" s="30">
        <f>IFERROR(__xludf.DUMMYFUNCTION("""COMPUTED_VALUE"""),0.6447616482628601)</f>
        <v>0.6447616483</v>
      </c>
      <c r="AL254" s="30">
        <f>IFERROR(__xludf.DUMMYFUNCTION("""COMPUTED_VALUE"""),0.781455471307462)</f>
        <v>0.7814554713</v>
      </c>
      <c r="AM254" s="30">
        <f>IFERROR(__xludf.DUMMYFUNCTION("""COMPUTED_VALUE"""),0.9877001624506845)</f>
        <v>0.9877001625</v>
      </c>
      <c r="AN254" s="30">
        <f>IFERROR(__xludf.DUMMYFUNCTION("""COMPUTED_VALUE"""),0.8699619091475445)</f>
        <v>0.8699619091</v>
      </c>
      <c r="AO254" s="30">
        <f>IFERROR(__xludf.DUMMYFUNCTION("""COMPUTED_VALUE"""),0.7053266863006076)</f>
        <v>0.7053266863</v>
      </c>
      <c r="AP254" s="30">
        <f>IFERROR(__xludf.DUMMYFUNCTION("""COMPUTED_VALUE"""),0.43792161559056747)</f>
        <v>0.4379216156</v>
      </c>
      <c r="AQ254" s="30">
        <f>IFERROR(__xludf.DUMMYFUNCTION("""COMPUTED_VALUE"""),1.2276923518113276)</f>
        <v>1.227692352</v>
      </c>
      <c r="AR254" s="30">
        <f>IFERROR(__xludf.DUMMYFUNCTION("""COMPUTED_VALUE"""),0.8975904013093123)</f>
        <v>0.8975904013</v>
      </c>
      <c r="AS254" s="30">
        <f>IFERROR(__xludf.DUMMYFUNCTION("""COMPUTED_VALUE"""),6.0)</f>
        <v>6</v>
      </c>
      <c r="AT254" s="30">
        <f>IFERROR(__xludf.DUMMYFUNCTION("""COMPUTED_VALUE"""),0.35605765700782405)</f>
        <v>0.356057657</v>
      </c>
      <c r="AU254" s="30">
        <f>IFERROR(__xludf.DUMMYFUNCTION("""COMPUTED_VALUE"""),1.7636458935230133)</f>
        <v>1.763645894</v>
      </c>
      <c r="AV254" s="32">
        <f>IFERROR(__xludf.DUMMYFUNCTION("""COMPUTED_VALUE"""),31.877116320486458)</f>
        <v>31.87711632</v>
      </c>
      <c r="AW254" s="32">
        <f>IFERROR(__xludf.DUMMYFUNCTION("""COMPUTED_VALUE"""),-4.268907307729224)</f>
        <v>-4.268907308</v>
      </c>
      <c r="AX254" s="32">
        <f>IFERROR(__xludf.DUMMYFUNCTION("""COMPUTED_VALUE"""),30.384834390746327)</f>
        <v>30.38483439</v>
      </c>
      <c r="AY254" s="32">
        <f>IFERROR(__xludf.DUMMYFUNCTION("""COMPUTED_VALUE"""),-4.622308354278571)</f>
        <v>-4.622308354</v>
      </c>
      <c r="AZ254" s="30">
        <f>IFERROR(__xludf.DUMMYFUNCTION("""COMPUTED_VALUE"""),0.35340104654934734)</f>
        <v>0.3534010465</v>
      </c>
      <c r="BA254" s="30">
        <f>IFERROR(__xludf.DUMMYFUNCTION("""COMPUTED_VALUE"""),800.0)</f>
        <v>800</v>
      </c>
    </row>
    <row r="255">
      <c r="A255" s="30" t="str">
        <f>IFERROR(__xludf.DUMMYFUNCTION("""COMPUTED_VALUE"""),"Elite")</f>
        <v>Elite</v>
      </c>
      <c r="B255" s="30" t="str">
        <f>IFERROR(__xludf.DUMMYFUNCTION("""COMPUTED_VALUE"""),"RSC003815")</f>
        <v>RSC003815</v>
      </c>
      <c r="C255" s="30" t="str">
        <f>IFERROR(__xludf.DUMMYFUNCTION("""COMPUTED_VALUE"""),"WashedDonk")</f>
        <v>WashedDonk</v>
      </c>
      <c r="D255" s="30" t="str">
        <f>IFERROR(__xludf.DUMMYFUNCTION("""COMPUTED_VALUE"""),"Geeky Ghouls")</f>
        <v>Geeky Ghouls</v>
      </c>
      <c r="E255" s="30">
        <f>IFERROR(__xludf.DUMMYFUNCTION("""COMPUTED_VALUE"""),13.0)</f>
        <v>13</v>
      </c>
      <c r="F255" s="30">
        <f>IFERROR(__xludf.DUMMYFUNCTION("""COMPUTED_VALUE"""),3.0)</f>
        <v>3</v>
      </c>
      <c r="G255" s="30">
        <f>IFERROR(__xludf.DUMMYFUNCTION("""COMPUTED_VALUE"""),10.0)</f>
        <v>10</v>
      </c>
      <c r="H255" s="42">
        <f>IFERROR(__xludf.DUMMYFUNCTION("""COMPUTED_VALUE"""),0.23076923076923078)</f>
        <v>0.2307692308</v>
      </c>
      <c r="I255" s="42">
        <f>IFERROR(__xludf.DUMMYFUNCTION("""COMPUTED_VALUE"""),0.25)</f>
        <v>0.25</v>
      </c>
      <c r="J255" s="30">
        <f>IFERROR(__xludf.DUMMYFUNCTION("""COMPUTED_VALUE"""),343.15384615384613)</f>
        <v>343.1538462</v>
      </c>
      <c r="K255" s="30">
        <f>IFERROR(__xludf.DUMMYFUNCTION("""COMPUTED_VALUE"""),0.6153846153846154)</f>
        <v>0.6153846154</v>
      </c>
      <c r="L255" s="30">
        <f>IFERROR(__xludf.DUMMYFUNCTION("""COMPUTED_VALUE"""),0.3076923076923077)</f>
        <v>0.3076923077</v>
      </c>
      <c r="M255" s="30">
        <f>IFERROR(__xludf.DUMMYFUNCTION("""COMPUTED_VALUE"""),1.6923076923076923)</f>
        <v>1.692307692</v>
      </c>
      <c r="N255" s="30">
        <f>IFERROR(__xludf.DUMMYFUNCTION("""COMPUTED_VALUE"""),2.4615384615384617)</f>
        <v>2.461538462</v>
      </c>
      <c r="O255" s="30">
        <f>IFERROR(__xludf.DUMMYFUNCTION("""COMPUTED_VALUE"""),395.7435897435897)</f>
        <v>395.7435897</v>
      </c>
      <c r="P255" s="30">
        <f>IFERROR(__xludf.DUMMYFUNCTION("""COMPUTED_VALUE"""),0.9487179487179488)</f>
        <v>0.9487179487</v>
      </c>
      <c r="Q255" s="30">
        <f>IFERROR(__xludf.DUMMYFUNCTION("""COMPUTED_VALUE"""),0.641025641025641)</f>
        <v>0.641025641</v>
      </c>
      <c r="R255" s="30">
        <f>IFERROR(__xludf.DUMMYFUNCTION("""COMPUTED_VALUE"""),1.487179487179487)</f>
        <v>1.487179487</v>
      </c>
      <c r="S255" s="30">
        <f>IFERROR(__xludf.DUMMYFUNCTION("""COMPUTED_VALUE"""),2.871794871794872)</f>
        <v>2.871794872</v>
      </c>
      <c r="T255" s="30">
        <f>IFERROR(__xludf.DUMMYFUNCTION("""COMPUTED_VALUE"""),354.3173024598812)</f>
        <v>354.3173025</v>
      </c>
      <c r="U255" s="30">
        <f>IFERROR(__xludf.DUMMYFUNCTION("""COMPUTED_VALUE"""),0.7447823444856178)</f>
        <v>0.7447823445</v>
      </c>
      <c r="V255" s="30">
        <f>IFERROR(__xludf.DUMMYFUNCTION("""COMPUTED_VALUE"""),0.6289007594105046)</f>
        <v>0.6289007594</v>
      </c>
      <c r="W255" s="30">
        <f>IFERROR(__xludf.DUMMYFUNCTION("""COMPUTED_VALUE"""),1.3630620732757164)</f>
        <v>1.363062073</v>
      </c>
      <c r="X255" s="30">
        <f>IFERROR(__xludf.DUMMYFUNCTION("""COMPUTED_VALUE"""),2.650650288362682)</f>
        <v>2.650650288</v>
      </c>
      <c r="Y255" s="30">
        <f>IFERROR(__xludf.DUMMYFUNCTION("""COMPUTED_VALUE"""),363.83098614159854)</f>
        <v>363.8309861</v>
      </c>
      <c r="Z255" s="30">
        <f>IFERROR(__xludf.DUMMYFUNCTION("""COMPUTED_VALUE"""),0.79423938261811)</f>
        <v>0.7942393826</v>
      </c>
      <c r="AA255" s="30">
        <f>IFERROR(__xludf.DUMMYFUNCTION("""COMPUTED_VALUE"""),0.5900223677335122)</f>
        <v>0.5900223677</v>
      </c>
      <c r="AB255" s="30">
        <f>IFERROR(__xludf.DUMMYFUNCTION("""COMPUTED_VALUE"""),1.4012519259989271)</f>
        <v>1.401251926</v>
      </c>
      <c r="AC255" s="30">
        <f>IFERROR(__xludf.DUMMYFUNCTION("""COMPUTED_VALUE"""),2.666126473908)</f>
        <v>2.666126474</v>
      </c>
      <c r="AD255" s="30">
        <f>IFERROR(__xludf.DUMMYFUNCTION("""COMPUTED_VALUE"""),0.9431682820448253)</f>
        <v>0.943168282</v>
      </c>
      <c r="AE255" s="30">
        <f>IFERROR(__xludf.DUMMYFUNCTION("""COMPUTED_VALUE"""),0.7748099991668477)</f>
        <v>0.7748099992</v>
      </c>
      <c r="AF255" s="30">
        <f>IFERROR(__xludf.DUMMYFUNCTION("""COMPUTED_VALUE"""),0.5214926153973862)</f>
        <v>0.5214926154</v>
      </c>
      <c r="AG255" s="30">
        <f>IFERROR(__xludf.DUMMYFUNCTION("""COMPUTED_VALUE"""),1.207711233724997)</f>
        <v>1.207711234</v>
      </c>
      <c r="AH255" s="30">
        <f>IFERROR(__xludf.DUMMYFUNCTION("""COMPUTED_VALUE"""),0.923263950764626)</f>
        <v>0.9232639508</v>
      </c>
      <c r="AI255" s="30">
        <f>IFERROR(__xludf.DUMMYFUNCTION("""COMPUTED_VALUE"""),1.1169186122046613)</f>
        <v>1.116918612</v>
      </c>
      <c r="AJ255" s="30">
        <f>IFERROR(__xludf.DUMMYFUNCTION("""COMPUTED_VALUE"""),1.2738190637066977)</f>
        <v>1.273819064</v>
      </c>
      <c r="AK255" s="30">
        <f>IFERROR(__xludf.DUMMYFUNCTION("""COMPUTED_VALUE"""),1.019279483183486)</f>
        <v>1.019279483</v>
      </c>
      <c r="AL255" s="30">
        <f>IFERROR(__xludf.DUMMYFUNCTION("""COMPUTED_VALUE"""),1.0910577855089836)</f>
        <v>1.091057786</v>
      </c>
      <c r="AM255" s="30">
        <f>IFERROR(__xludf.DUMMYFUNCTION("""COMPUTED_VALUE"""),1.0834303130832064)</f>
        <v>1.083430313</v>
      </c>
      <c r="AN255" s="30">
        <f>IFERROR(__xludf.DUMMYFUNCTION("""COMPUTED_VALUE"""),0.9787894266600745)</f>
        <v>0.9787894267</v>
      </c>
      <c r="AO255" s="30">
        <f>IFERROR(__xludf.DUMMYFUNCTION("""COMPUTED_VALUE"""),0.8680943831392094)</f>
        <v>0.8680943831</v>
      </c>
      <c r="AP255" s="30">
        <f>IFERROR(__xludf.DUMMYFUNCTION("""COMPUTED_VALUE"""),0.5389804499576215)</f>
        <v>0.53898045</v>
      </c>
      <c r="AQ255" s="30">
        <f>IFERROR(__xludf.DUMMYFUNCTION("""COMPUTED_VALUE"""),1.1872189775757893)</f>
        <v>1.187218978</v>
      </c>
      <c r="AR255" s="30">
        <f>IFERROR(__xludf.DUMMYFUNCTION("""COMPUTED_VALUE"""),0.9819792424580511)</f>
        <v>0.9819792425</v>
      </c>
      <c r="AS255" s="30">
        <f>IFERROR(__xludf.DUMMYFUNCTION("""COMPUTED_VALUE"""),25.0)</f>
        <v>25</v>
      </c>
      <c r="AT255" s="30">
        <f>IFERROR(__xludf.DUMMYFUNCTION("""COMPUTED_VALUE"""),0.3511862585679025)</f>
        <v>0.3511862586</v>
      </c>
      <c r="AU255" s="30">
        <f>IFERROR(__xludf.DUMMYFUNCTION("""COMPUTED_VALUE"""),1.7482305827336422)</f>
        <v>1.748230583</v>
      </c>
      <c r="AV255" s="32">
        <f>IFERROR(__xludf.DUMMYFUNCTION("""COMPUTED_VALUE"""),31.433707037774713)</f>
        <v>31.43370704</v>
      </c>
      <c r="AW255" s="32">
        <f>IFERROR(__xludf.DUMMYFUNCTION("""COMPUTED_VALUE"""),-4.369745414986228)</f>
        <v>-4.369745415</v>
      </c>
      <c r="AX255" s="32">
        <f>IFERROR(__xludf.DUMMYFUNCTION("""COMPUTED_VALUE"""),32.88855499530953)</f>
        <v>32.888555</v>
      </c>
      <c r="AY255" s="32">
        <f>IFERROR(__xludf.DUMMYFUNCTION("""COMPUTED_VALUE"""),-4.051156971752266)</f>
        <v>-4.051156972</v>
      </c>
      <c r="AZ255" s="30">
        <f>IFERROR(__xludf.DUMMYFUNCTION("""COMPUTED_VALUE"""),0.3185884432339616)</f>
        <v>0.3185884432</v>
      </c>
      <c r="BA255" s="30">
        <f>IFERROR(__xludf.DUMMYFUNCTION("""COMPUTED_VALUE"""),800.0)</f>
        <v>800</v>
      </c>
    </row>
    <row r="256">
      <c r="A256" s="30" t="str">
        <f>IFERROR(__xludf.DUMMYFUNCTION("""COMPUTED_VALUE"""),"Elite")</f>
        <v>Elite</v>
      </c>
      <c r="B256" s="30" t="str">
        <f>IFERROR(__xludf.DUMMYFUNCTION("""COMPUTED_VALUE"""),"RSC006468")</f>
        <v>RSC006468</v>
      </c>
      <c r="C256" s="30" t="str">
        <f>IFERROR(__xludf.DUMMYFUNCTION("""COMPUTED_VALUE"""),"AlphaChuck")</f>
        <v>AlphaChuck</v>
      </c>
      <c r="D256" s="30" t="str">
        <f>IFERROR(__xludf.DUMMYFUNCTION("""COMPUTED_VALUE"""),"Teddy Bears")</f>
        <v>Teddy Bears</v>
      </c>
      <c r="E256" s="30">
        <f>IFERROR(__xludf.DUMMYFUNCTION("""COMPUTED_VALUE"""),40.0)</f>
        <v>40</v>
      </c>
      <c r="F256" s="30">
        <f>IFERROR(__xludf.DUMMYFUNCTION("""COMPUTED_VALUE"""),21.0)</f>
        <v>21</v>
      </c>
      <c r="G256" s="30">
        <f>IFERROR(__xludf.DUMMYFUNCTION("""COMPUTED_VALUE"""),19.0)</f>
        <v>19</v>
      </c>
      <c r="H256" s="42">
        <f>IFERROR(__xludf.DUMMYFUNCTION("""COMPUTED_VALUE"""),0.525)</f>
        <v>0.525</v>
      </c>
      <c r="I256" s="42">
        <f>IFERROR(__xludf.DUMMYFUNCTION("""COMPUTED_VALUE"""),0.2736842105263158)</f>
        <v>0.2736842105</v>
      </c>
      <c r="J256" s="30">
        <f>IFERROR(__xludf.DUMMYFUNCTION("""COMPUTED_VALUE"""),322.4)</f>
        <v>322.4</v>
      </c>
      <c r="K256" s="30">
        <f>IFERROR(__xludf.DUMMYFUNCTION("""COMPUTED_VALUE"""),0.65)</f>
        <v>0.65</v>
      </c>
      <c r="L256" s="30">
        <f>IFERROR(__xludf.DUMMYFUNCTION("""COMPUTED_VALUE"""),0.5)</f>
        <v>0.5</v>
      </c>
      <c r="M256" s="30">
        <f>IFERROR(__xludf.DUMMYFUNCTION("""COMPUTED_VALUE"""),1.3)</f>
        <v>1.3</v>
      </c>
      <c r="N256" s="30">
        <f>IFERROR(__xludf.DUMMYFUNCTION("""COMPUTED_VALUE"""),2.375)</f>
        <v>2.375</v>
      </c>
      <c r="O256" s="30">
        <f>IFERROR(__xludf.DUMMYFUNCTION("""COMPUTED_VALUE"""),343.25833333333344)</f>
        <v>343.2583333</v>
      </c>
      <c r="P256" s="30">
        <f>IFERROR(__xludf.DUMMYFUNCTION("""COMPUTED_VALUE"""),0.675)</f>
        <v>0.675</v>
      </c>
      <c r="Q256" s="30">
        <f>IFERROR(__xludf.DUMMYFUNCTION("""COMPUTED_VALUE"""),0.5333333333333332)</f>
        <v>0.5333333333</v>
      </c>
      <c r="R256" s="30">
        <f>IFERROR(__xludf.DUMMYFUNCTION("""COMPUTED_VALUE"""),1.4583333333333333)</f>
        <v>1.458333333</v>
      </c>
      <c r="S256" s="30">
        <f>IFERROR(__xludf.DUMMYFUNCTION("""COMPUTED_VALUE"""),2.316666666666666)</f>
        <v>2.316666667</v>
      </c>
      <c r="T256" s="30">
        <f>IFERROR(__xludf.DUMMYFUNCTION("""COMPUTED_VALUE"""),355.7209778113698)</f>
        <v>355.7209778</v>
      </c>
      <c r="U256" s="30">
        <f>IFERROR(__xludf.DUMMYFUNCTION("""COMPUTED_VALUE"""),0.7298413728872767)</f>
        <v>0.7298413729</v>
      </c>
      <c r="V256" s="30">
        <f>IFERROR(__xludf.DUMMYFUNCTION("""COMPUTED_VALUE"""),0.5479055805314874)</f>
        <v>0.5479055805</v>
      </c>
      <c r="W256" s="30">
        <f>IFERROR(__xludf.DUMMYFUNCTION("""COMPUTED_VALUE"""),1.4686195613542758)</f>
        <v>1.468619561</v>
      </c>
      <c r="X256" s="30">
        <f>IFERROR(__xludf.DUMMYFUNCTION("""COMPUTED_VALUE"""),2.5362202561212457)</f>
        <v>2.536220256</v>
      </c>
      <c r="Y256" s="30">
        <f>IFERROR(__xludf.DUMMYFUNCTION("""COMPUTED_VALUE"""),362.8383947482479)</f>
        <v>362.8383947</v>
      </c>
      <c r="Z256" s="30">
        <f>IFERROR(__xludf.DUMMYFUNCTION("""COMPUTED_VALUE"""),0.8151845004054431)</f>
        <v>0.8151845004</v>
      </c>
      <c r="AA256" s="30">
        <f>IFERROR(__xludf.DUMMYFUNCTION("""COMPUTED_VALUE"""),0.6134052103593233)</f>
        <v>0.6134052104</v>
      </c>
      <c r="AB256" s="30">
        <f>IFERROR(__xludf.DUMMYFUNCTION("""COMPUTED_VALUE"""),1.3596450670228988)</f>
        <v>1.359645067</v>
      </c>
      <c r="AC256" s="30">
        <f>IFERROR(__xludf.DUMMYFUNCTION("""COMPUTED_VALUE"""),2.720125239952468)</f>
        <v>2.72012524</v>
      </c>
      <c r="AD256" s="30">
        <f>IFERROR(__xludf.DUMMYFUNCTION("""COMPUTED_VALUE"""),0.8885498466161341)</f>
        <v>0.8885498466</v>
      </c>
      <c r="AE256" s="30">
        <f>IFERROR(__xludf.DUMMYFUNCTION("""COMPUTED_VALUE"""),0.7973655039769693)</f>
        <v>0.797365504</v>
      </c>
      <c r="AF256" s="30">
        <f>IFERROR(__xludf.DUMMYFUNCTION("""COMPUTED_VALUE"""),0.8151218665180684)</f>
        <v>0.8151218665</v>
      </c>
      <c r="AG256" s="30">
        <f>IFERROR(__xludf.DUMMYFUNCTION("""COMPUTED_VALUE"""),0.956131884364867)</f>
        <v>0.9561318844</v>
      </c>
      <c r="AH256" s="30">
        <f>IFERROR(__xludf.DUMMYFUNCTION("""COMPUTED_VALUE"""),0.8731215626091912)</f>
        <v>0.8731215626</v>
      </c>
      <c r="AI256" s="30">
        <f>IFERROR(__xludf.DUMMYFUNCTION("""COMPUTED_VALUE"""),0.9649651123902933)</f>
        <v>0.9649651124</v>
      </c>
      <c r="AJ256" s="30">
        <f>IFERROR(__xludf.DUMMYFUNCTION("""COMPUTED_VALUE"""),0.9248585036083631)</f>
        <v>0.9248585036</v>
      </c>
      <c r="AK256" s="30">
        <f>IFERROR(__xludf.DUMMYFUNCTION("""COMPUTED_VALUE"""),0.973403725539684)</f>
        <v>0.9734037255</v>
      </c>
      <c r="AL256" s="30">
        <f>IFERROR(__xludf.DUMMYFUNCTION("""COMPUTED_VALUE"""),0.9929959886878688)</f>
        <v>0.9929959887</v>
      </c>
      <c r="AM256" s="30">
        <f>IFERROR(__xludf.DUMMYFUNCTION("""COMPUTED_VALUE"""),0.9134327592705404)</f>
        <v>0.9134327593</v>
      </c>
      <c r="AN256" s="30">
        <f>IFERROR(__xludf.DUMMYFUNCTION("""COMPUTED_VALUE"""),0.9195925229808797)</f>
        <v>0.919592523</v>
      </c>
      <c r="AO256" s="30">
        <f>IFERROR(__xludf.DUMMYFUNCTION("""COMPUTED_VALUE"""),0.91692469219079)</f>
        <v>0.9169246922</v>
      </c>
      <c r="AP256" s="30">
        <f>IFERROR(__xludf.DUMMYFUNCTION("""COMPUTED_VALUE"""),0.8758432311811349)</f>
        <v>0.8758432312</v>
      </c>
      <c r="AQ256" s="30">
        <f>IFERROR(__xludf.DUMMYFUNCTION("""COMPUTED_VALUE"""),0.9120000327741291)</f>
        <v>0.9120000328</v>
      </c>
      <c r="AR256" s="30">
        <f>IFERROR(__xludf.DUMMYFUNCTION("""COMPUTED_VALUE"""),0.9474565347153853)</f>
        <v>0.9474565347</v>
      </c>
      <c r="AS256" s="30">
        <f>IFERROR(__xludf.DUMMYFUNCTION("""COMPUTED_VALUE"""),81.0)</f>
        <v>81</v>
      </c>
      <c r="AT256" s="30">
        <f>IFERROR(__xludf.DUMMYFUNCTION("""COMPUTED_VALUE"""),0.5)</f>
        <v>0.5</v>
      </c>
      <c r="AU256" s="30">
        <f>IFERROR(__xludf.DUMMYFUNCTION("""COMPUTED_VALUE"""),2.151103575682899)</f>
        <v>2.151103576</v>
      </c>
      <c r="AV256" s="32">
        <f>IFERROR(__xludf.DUMMYFUNCTION("""COMPUTED_VALUE"""),43.02203161120697)</f>
        <v>43.02203161</v>
      </c>
      <c r="AW256" s="32">
        <f>IFERROR(__xludf.DUMMYFUNCTION("""COMPUTED_VALUE"""),-2.563597386203356)</f>
        <v>-2.563597386</v>
      </c>
      <c r="AX256" s="32">
        <f>IFERROR(__xludf.DUMMYFUNCTION("""COMPUTED_VALUE"""),45.95363682291109)</f>
        <v>45.95363682</v>
      </c>
      <c r="AY256" s="32">
        <f>IFERROR(__xludf.DUMMYFUNCTION("""COMPUTED_VALUE"""),-2.2951034551040674)</f>
        <v>-2.295103455</v>
      </c>
      <c r="AZ256" s="30">
        <f>IFERROR(__xludf.DUMMYFUNCTION("""COMPUTED_VALUE"""),0.26849393109928865)</f>
        <v>0.2684939311</v>
      </c>
      <c r="BA256" s="30">
        <f>IFERROR(__xludf.DUMMYFUNCTION("""COMPUTED_VALUE"""),800.0)</f>
        <v>800</v>
      </c>
    </row>
    <row r="257">
      <c r="A257" s="30" t="str">
        <f>IFERROR(__xludf.DUMMYFUNCTION("""COMPUTED_VALUE"""),"Elite")</f>
        <v>Elite</v>
      </c>
      <c r="B257" s="30" t="str">
        <f>IFERROR(__xludf.DUMMYFUNCTION("""COMPUTED_VALUE"""),"RSC006484")</f>
        <v>RSC006484</v>
      </c>
      <c r="C257" s="30" t="str">
        <f>IFERROR(__xludf.DUMMYFUNCTION("""COMPUTED_VALUE"""),"Sunny.-._")</f>
        <v>Sunny.-._</v>
      </c>
      <c r="D257" s="30" t="str">
        <f>IFERROR(__xludf.DUMMYFUNCTION("""COMPUTED_VALUE"""),"Ghastly Goombahs")</f>
        <v>Ghastly Goombahs</v>
      </c>
      <c r="E257" s="30">
        <f>IFERROR(__xludf.DUMMYFUNCTION("""COMPUTED_VALUE"""),25.0)</f>
        <v>25</v>
      </c>
      <c r="F257" s="30">
        <f>IFERROR(__xludf.DUMMYFUNCTION("""COMPUTED_VALUE"""),8.0)</f>
        <v>8</v>
      </c>
      <c r="G257" s="30">
        <f>IFERROR(__xludf.DUMMYFUNCTION("""COMPUTED_VALUE"""),17.0)</f>
        <v>17</v>
      </c>
      <c r="H257" s="42">
        <f>IFERROR(__xludf.DUMMYFUNCTION("""COMPUTED_VALUE"""),0.32)</f>
        <v>0.32</v>
      </c>
      <c r="I257" s="42">
        <f>IFERROR(__xludf.DUMMYFUNCTION("""COMPUTED_VALUE"""),0.3829787234042553)</f>
        <v>0.3829787234</v>
      </c>
      <c r="J257" s="30">
        <f>IFERROR(__xludf.DUMMYFUNCTION("""COMPUTED_VALUE"""),331.28)</f>
        <v>331.28</v>
      </c>
      <c r="K257" s="30">
        <f>IFERROR(__xludf.DUMMYFUNCTION("""COMPUTED_VALUE"""),0.72)</f>
        <v>0.72</v>
      </c>
      <c r="L257" s="30">
        <f>IFERROR(__xludf.DUMMYFUNCTION("""COMPUTED_VALUE"""),0.52)</f>
        <v>0.52</v>
      </c>
      <c r="M257" s="30">
        <f>IFERROR(__xludf.DUMMYFUNCTION("""COMPUTED_VALUE"""),1.2)</f>
        <v>1.2</v>
      </c>
      <c r="N257" s="30">
        <f>IFERROR(__xludf.DUMMYFUNCTION("""COMPUTED_VALUE"""),1.88)</f>
        <v>1.88</v>
      </c>
      <c r="O257" s="30">
        <f>IFERROR(__xludf.DUMMYFUNCTION("""COMPUTED_VALUE"""),394.88)</f>
        <v>394.88</v>
      </c>
      <c r="P257" s="30">
        <f>IFERROR(__xludf.DUMMYFUNCTION("""COMPUTED_VALUE"""),1.08)</f>
        <v>1.08</v>
      </c>
      <c r="Q257" s="30">
        <f>IFERROR(__xludf.DUMMYFUNCTION("""COMPUTED_VALUE"""),0.7733333333333333)</f>
        <v>0.7733333333</v>
      </c>
      <c r="R257" s="30">
        <f>IFERROR(__xludf.DUMMYFUNCTION("""COMPUTED_VALUE"""),1.2266666666666668)</f>
        <v>1.226666667</v>
      </c>
      <c r="S257" s="30">
        <f>IFERROR(__xludf.DUMMYFUNCTION("""COMPUTED_VALUE"""),3.0933333333333333)</f>
        <v>3.093333333</v>
      </c>
      <c r="T257" s="30">
        <f>IFERROR(__xludf.DUMMYFUNCTION("""COMPUTED_VALUE"""),373.4100006803489)</f>
        <v>373.4100007</v>
      </c>
      <c r="U257" s="30">
        <f>IFERROR(__xludf.DUMMYFUNCTION("""COMPUTED_VALUE"""),0.8461082115945447)</f>
        <v>0.8461082116</v>
      </c>
      <c r="V257" s="30">
        <f>IFERROR(__xludf.DUMMYFUNCTION("""COMPUTED_VALUE"""),0.6318870721155353)</f>
        <v>0.6318870721</v>
      </c>
      <c r="W257" s="30">
        <f>IFERROR(__xludf.DUMMYFUNCTION("""COMPUTED_VALUE"""),1.4623513735447145)</f>
        <v>1.462351374</v>
      </c>
      <c r="X257" s="30">
        <f>IFERROR(__xludf.DUMMYFUNCTION("""COMPUTED_VALUE"""),2.777212988191156)</f>
        <v>2.777212988</v>
      </c>
      <c r="Y257" s="30">
        <f>IFERROR(__xludf.DUMMYFUNCTION("""COMPUTED_VALUE"""),357.00416079973564)</f>
        <v>357.0041608</v>
      </c>
      <c r="Z257" s="30">
        <f>IFERROR(__xludf.DUMMYFUNCTION("""COMPUTED_VALUE"""),0.7342290222332645)</f>
        <v>0.7342290222</v>
      </c>
      <c r="AA257" s="30">
        <f>IFERROR(__xludf.DUMMYFUNCTION("""COMPUTED_VALUE"""),0.5500292344678702)</f>
        <v>0.5500292345</v>
      </c>
      <c r="AB257" s="30">
        <f>IFERROR(__xludf.DUMMYFUNCTION("""COMPUTED_VALUE"""),1.4603980678925021)</f>
        <v>1.460398068</v>
      </c>
      <c r="AC257" s="30">
        <f>IFERROR(__xludf.DUMMYFUNCTION("""COMPUTED_VALUE"""),2.630446137719651)</f>
        <v>2.630446138</v>
      </c>
      <c r="AD257" s="30">
        <f>IFERROR(__xludf.DUMMYFUNCTION("""COMPUTED_VALUE"""),0.9279443669728941)</f>
        <v>0.927944367</v>
      </c>
      <c r="AE257" s="30">
        <f>IFERROR(__xludf.DUMMYFUNCTION("""COMPUTED_VALUE"""),0.9806204579192677)</f>
        <v>0.9806204579</v>
      </c>
      <c r="AF257" s="30">
        <f>IFERROR(__xludf.DUMMYFUNCTION("""COMPUTED_VALUE"""),0.9454042938337228)</f>
        <v>0.9454042938</v>
      </c>
      <c r="AG257" s="30">
        <f>IFERROR(__xludf.DUMMYFUNCTION("""COMPUTED_VALUE"""),0.8216937740349916)</f>
        <v>0.821693774</v>
      </c>
      <c r="AH257" s="30">
        <f>IFERROR(__xludf.DUMMYFUNCTION("""COMPUTED_VALUE"""),0.7147076585380239)</f>
        <v>0.7147076585</v>
      </c>
      <c r="AI257" s="30">
        <f>IFERROR(__xludf.DUMMYFUNCTION("""COMPUTED_VALUE"""),1.0574971192001634)</f>
        <v>1.057497119</v>
      </c>
      <c r="AJ257" s="30">
        <f>IFERROR(__xludf.DUMMYFUNCTION("""COMPUTED_VALUE"""),1.2764324766032837)</f>
        <v>1.276432477</v>
      </c>
      <c r="AK257" s="30">
        <f>IFERROR(__xludf.DUMMYFUNCTION("""COMPUTED_VALUE"""),1.2238473731457127)</f>
        <v>1.223847373</v>
      </c>
      <c r="AL257" s="30">
        <f>IFERROR(__xludf.DUMMYFUNCTION("""COMPUTED_VALUE"""),0.8388316849549284)</f>
        <v>0.838831685</v>
      </c>
      <c r="AM257" s="30">
        <f>IFERROR(__xludf.DUMMYFUNCTION("""COMPUTED_VALUE"""),1.1138264679325411)</f>
        <v>1.113826468</v>
      </c>
      <c r="AN257" s="30">
        <f>IFERROR(__xludf.DUMMYFUNCTION("""COMPUTED_VALUE"""),0.9449212500406509)</f>
        <v>0.94492125</v>
      </c>
      <c r="AO257" s="30">
        <f>IFERROR(__xludf.DUMMYFUNCTION("""COMPUTED_VALUE"""),1.015670428272875)</f>
        <v>1.015670428</v>
      </c>
      <c r="AP257" s="30">
        <f>IFERROR(__xludf.DUMMYFUNCTION("""COMPUTED_VALUE"""),0.9108769604283803)</f>
        <v>0.9108769604</v>
      </c>
      <c r="AQ257" s="30">
        <f>IFERROR(__xludf.DUMMYFUNCTION("""COMPUTED_VALUE"""),0.8418461840991961)</f>
        <v>0.8418461841</v>
      </c>
      <c r="AR257" s="30">
        <f>IFERROR(__xludf.DUMMYFUNCTION("""COMPUTED_VALUE"""),0.7499866464273365)</f>
        <v>0.7499866464</v>
      </c>
      <c r="AS257" s="30">
        <f>IFERROR(__xludf.DUMMYFUNCTION("""COMPUTED_VALUE"""),49.0)</f>
        <v>49</v>
      </c>
      <c r="AT257" s="30">
        <f>IFERROR(__xludf.DUMMYFUNCTION("""COMPUTED_VALUE"""),0.30858292663019127)</f>
        <v>0.3085829266</v>
      </c>
      <c r="AU257" s="30">
        <f>IFERROR(__xludf.DUMMYFUNCTION("""COMPUTED_VALUE"""),1.8901465862475757)</f>
        <v>1.890146586</v>
      </c>
      <c r="AV257" s="32">
        <f>IFERROR(__xludf.DUMMYFUNCTION("""COMPUTED_VALUE"""),35.51580918824314)</f>
        <v>35.51580919</v>
      </c>
      <c r="AW257" s="32">
        <f>IFERROR(__xludf.DUMMYFUNCTION("""COMPUTED_VALUE"""),-3.5565599958877794)</f>
        <v>-3.556559996</v>
      </c>
      <c r="AX257" s="32">
        <f>IFERROR(__xludf.DUMMYFUNCTION("""COMPUTED_VALUE"""),34.170642556626476)</f>
        <v>34.17064256</v>
      </c>
      <c r="AY257" s="32">
        <f>IFERROR(__xludf.DUMMYFUNCTION("""COMPUTED_VALUE"""),-3.797806108979467)</f>
        <v>-3.797806109</v>
      </c>
      <c r="AZ257" s="30">
        <f>IFERROR(__xludf.DUMMYFUNCTION("""COMPUTED_VALUE"""),0.24124611309168742)</f>
        <v>0.2412461131</v>
      </c>
      <c r="BA257" s="30">
        <f>IFERROR(__xludf.DUMMYFUNCTION("""COMPUTED_VALUE"""),800.0)</f>
        <v>800</v>
      </c>
    </row>
    <row r="258">
      <c r="A258" s="30" t="str">
        <f>IFERROR(__xludf.DUMMYFUNCTION("""COMPUTED_VALUE"""),"Elite")</f>
        <v>Elite</v>
      </c>
      <c r="B258" s="30" t="str">
        <f>IFERROR(__xludf.DUMMYFUNCTION("""COMPUTED_VALUE"""),"RSC005845")</f>
        <v>RSC005845</v>
      </c>
      <c r="C258" s="30" t="str">
        <f>IFERROR(__xludf.DUMMYFUNCTION("""COMPUTED_VALUE"""),"Milk_shakes.")</f>
        <v>Milk_shakes.</v>
      </c>
      <c r="D258" s="30"/>
      <c r="E258" s="30">
        <f>IFERROR(__xludf.DUMMYFUNCTION("""COMPUTED_VALUE"""),24.0)</f>
        <v>24</v>
      </c>
      <c r="F258" s="30">
        <f>IFERROR(__xludf.DUMMYFUNCTION("""COMPUTED_VALUE"""),10.0)</f>
        <v>10</v>
      </c>
      <c r="G258" s="30">
        <f>IFERROR(__xludf.DUMMYFUNCTION("""COMPUTED_VALUE"""),14.0)</f>
        <v>14</v>
      </c>
      <c r="H258" s="42">
        <f>IFERROR(__xludf.DUMMYFUNCTION("""COMPUTED_VALUE"""),0.4166666666666667)</f>
        <v>0.4166666667</v>
      </c>
      <c r="I258" s="42">
        <f>IFERROR(__xludf.DUMMYFUNCTION("""COMPUTED_VALUE"""),0.28571428571428575)</f>
        <v>0.2857142857</v>
      </c>
      <c r="J258" s="30">
        <f>IFERROR(__xludf.DUMMYFUNCTION("""COMPUTED_VALUE"""),332.375)</f>
        <v>332.375</v>
      </c>
      <c r="K258" s="30">
        <f>IFERROR(__xludf.DUMMYFUNCTION("""COMPUTED_VALUE"""),0.5833333333333334)</f>
        <v>0.5833333333</v>
      </c>
      <c r="L258" s="30">
        <f>IFERROR(__xludf.DUMMYFUNCTION("""COMPUTED_VALUE"""),0.5833333333333334)</f>
        <v>0.5833333333</v>
      </c>
      <c r="M258" s="30">
        <f>IFERROR(__xludf.DUMMYFUNCTION("""COMPUTED_VALUE"""),1.4583333333333333)</f>
        <v>1.458333333</v>
      </c>
      <c r="N258" s="30">
        <f>IFERROR(__xludf.DUMMYFUNCTION("""COMPUTED_VALUE"""),2.0416666666666665)</f>
        <v>2.041666667</v>
      </c>
      <c r="O258" s="30">
        <f>IFERROR(__xludf.DUMMYFUNCTION("""COMPUTED_VALUE"""),329.15277777777777)</f>
        <v>329.1527778</v>
      </c>
      <c r="P258" s="30">
        <f>IFERROR(__xludf.DUMMYFUNCTION("""COMPUTED_VALUE"""),0.6805555555555555)</f>
        <v>0.6805555556</v>
      </c>
      <c r="Q258" s="30">
        <f>IFERROR(__xludf.DUMMYFUNCTION("""COMPUTED_VALUE"""),0.513888888888889)</f>
        <v>0.5138888889</v>
      </c>
      <c r="R258" s="30">
        <f>IFERROR(__xludf.DUMMYFUNCTION("""COMPUTED_VALUE"""),1.1250000000000002)</f>
        <v>1.125</v>
      </c>
      <c r="S258" s="30">
        <f>IFERROR(__xludf.DUMMYFUNCTION("""COMPUTED_VALUE"""),2.6527777777777772)</f>
        <v>2.652777778</v>
      </c>
      <c r="T258" s="30">
        <f>IFERROR(__xludf.DUMMYFUNCTION("""COMPUTED_VALUE"""),368.6285662928706)</f>
        <v>368.6285663</v>
      </c>
      <c r="U258" s="30">
        <f>IFERROR(__xludf.DUMMYFUNCTION("""COMPUTED_VALUE"""),0.8346482077291816)</f>
        <v>0.8346482077</v>
      </c>
      <c r="V258" s="30">
        <f>IFERROR(__xludf.DUMMYFUNCTION("""COMPUTED_VALUE"""),0.6310394651248209)</f>
        <v>0.6310394651</v>
      </c>
      <c r="W258" s="30">
        <f>IFERROR(__xludf.DUMMYFUNCTION("""COMPUTED_VALUE"""),1.3302938893244756)</f>
        <v>1.330293889</v>
      </c>
      <c r="X258" s="30">
        <f>IFERROR(__xludf.DUMMYFUNCTION("""COMPUTED_VALUE"""),2.8443135446284677)</f>
        <v>2.844313545</v>
      </c>
      <c r="Y258" s="30">
        <f>IFERROR(__xludf.DUMMYFUNCTION("""COMPUTED_VALUE"""),350.76159186798344)</f>
        <v>350.7615919</v>
      </c>
      <c r="Z258" s="30">
        <f>IFERROR(__xludf.DUMMYFUNCTION("""COMPUTED_VALUE"""),0.7182458869723644)</f>
        <v>0.718245887</v>
      </c>
      <c r="AA258" s="30">
        <f>IFERROR(__xludf.DUMMYFUNCTION("""COMPUTED_VALUE"""),0.5354564386593793)</f>
        <v>0.5354564387</v>
      </c>
      <c r="AB258" s="30">
        <f>IFERROR(__xludf.DUMMYFUNCTION("""COMPUTED_VALUE"""),1.4598121026566566)</f>
        <v>1.459812103</v>
      </c>
      <c r="AC258" s="30">
        <f>IFERROR(__xludf.DUMMYFUNCTION("""COMPUTED_VALUE"""),2.4778162366979637)</f>
        <v>2.477816237</v>
      </c>
      <c r="AD258" s="30">
        <f>IFERROR(__xludf.DUMMYFUNCTION("""COMPUTED_VALUE"""),0.947580943027241)</f>
        <v>0.947580943</v>
      </c>
      <c r="AE258" s="30">
        <f>IFERROR(__xludf.DUMMYFUNCTION("""COMPUTED_VALUE"""),0.8121638340210614)</f>
        <v>0.812163834</v>
      </c>
      <c r="AF258" s="30">
        <f>IFERROR(__xludf.DUMMYFUNCTION("""COMPUTED_VALUE"""),1.0894132392801612)</f>
        <v>1.089413239</v>
      </c>
      <c r="AG258" s="30">
        <f>IFERROR(__xludf.DUMMYFUNCTION("""COMPUTED_VALUE"""),0.9989870139310174)</f>
        <v>0.9989870139</v>
      </c>
      <c r="AH258" s="30">
        <f>IFERROR(__xludf.DUMMYFUNCTION("""COMPUTED_VALUE"""),0.8239782419811215)</f>
        <v>0.823978242</v>
      </c>
      <c r="AI258" s="30">
        <f>IFERROR(__xludf.DUMMYFUNCTION("""COMPUTED_VALUE"""),0.8929117487771422)</f>
        <v>0.8929117488</v>
      </c>
      <c r="AJ258" s="30">
        <f>IFERROR(__xludf.DUMMYFUNCTION("""COMPUTED_VALUE"""),0.8153801197358773)</f>
        <v>0.8153801197</v>
      </c>
      <c r="AK258" s="30">
        <f>IFERROR(__xludf.DUMMYFUNCTION("""COMPUTED_VALUE"""),0.814353011641262)</f>
        <v>0.8143530116</v>
      </c>
      <c r="AL258" s="30">
        <f>IFERROR(__xludf.DUMMYFUNCTION("""COMPUTED_VALUE"""),0.8456777927253926)</f>
        <v>0.8456777927</v>
      </c>
      <c r="AM258" s="30">
        <f>IFERROR(__xludf.DUMMYFUNCTION("""COMPUTED_VALUE"""),0.9326601080206474)</f>
        <v>0.932660108</v>
      </c>
      <c r="AN258" s="30">
        <f>IFERROR(__xludf.DUMMYFUNCTION("""COMPUTED_VALUE"""),0.948044555911197)</f>
        <v>0.9480445559</v>
      </c>
      <c r="AO258" s="30">
        <f>IFERROR(__xludf.DUMMYFUNCTION("""COMPUTED_VALUE"""),0.8228811340173756)</f>
        <v>0.822881134</v>
      </c>
      <c r="AP258" s="30">
        <f>IFERROR(__xludf.DUMMYFUNCTION("""COMPUTED_VALUE"""),1.0218171030446574)</f>
        <v>1.021817103</v>
      </c>
      <c r="AQ258" s="30">
        <f>IFERROR(__xludf.DUMMYFUNCTION("""COMPUTED_VALUE"""),1.023076959842773)</f>
        <v>1.02307696</v>
      </c>
      <c r="AR258" s="30">
        <f>IFERROR(__xludf.DUMMYFUNCTION("""COMPUTED_VALUE"""),0.8144801789658574)</f>
        <v>0.814480179</v>
      </c>
      <c r="AS258" s="30">
        <f>IFERROR(__xludf.DUMMYFUNCTION("""COMPUTED_VALUE"""),50.0)</f>
        <v>50</v>
      </c>
      <c r="AT258" s="30">
        <f>IFERROR(__xludf.DUMMYFUNCTION("""COMPUTED_VALUE"""),0.5075847791430991)</f>
        <v>0.5075847791</v>
      </c>
      <c r="AU258" s="30">
        <f>IFERROR(__xludf.DUMMYFUNCTION("""COMPUTED_VALUE"""),2.2763601256066126)</f>
        <v>2.276360126</v>
      </c>
      <c r="AV258" s="32">
        <f>IFERROR(__xludf.DUMMYFUNCTION("""COMPUTED_VALUE"""),46.624937690461415)</f>
        <v>46.62493769</v>
      </c>
      <c r="AW258" s="32">
        <f>IFERROR(__xludf.DUMMYFUNCTION("""COMPUTED_VALUE"""),-2.2406204453084713)</f>
        <v>-2.240620445</v>
      </c>
      <c r="AX258" s="32">
        <f>IFERROR(__xludf.DUMMYFUNCTION("""COMPUTED_VALUE"""),49.92653388815735)</f>
        <v>49.92653389</v>
      </c>
      <c r="AY258" s="32">
        <f>IFERROR(__xludf.DUMMYFUNCTION("""COMPUTED_VALUE"""),-2.0047004123978533)</f>
        <v>-2.004700412</v>
      </c>
      <c r="AZ258" s="30">
        <f>IFERROR(__xludf.DUMMYFUNCTION("""COMPUTED_VALUE"""),0.23592003291061792)</f>
        <v>0.2359200329</v>
      </c>
      <c r="BA258" s="30">
        <f>IFERROR(__xludf.DUMMYFUNCTION("""COMPUTED_VALUE"""),800.0)</f>
        <v>800</v>
      </c>
    </row>
    <row r="259">
      <c r="A259" s="30" t="str">
        <f>IFERROR(__xludf.DUMMYFUNCTION("""COMPUTED_VALUE"""),"Elite")</f>
        <v>Elite</v>
      </c>
      <c r="B259" s="30" t="str">
        <f>IFERROR(__xludf.DUMMYFUNCTION("""COMPUTED_VALUE"""),"RSC000488")</f>
        <v>RSC000488</v>
      </c>
      <c r="C259" s="30" t="str">
        <f>IFERROR(__xludf.DUMMYFUNCTION("""COMPUTED_VALUE"""),"theblobofglob22")</f>
        <v>theblobofglob22</v>
      </c>
      <c r="D259" s="30"/>
      <c r="E259" s="30">
        <f>IFERROR(__xludf.DUMMYFUNCTION("""COMPUTED_VALUE"""),4.0)</f>
        <v>4</v>
      </c>
      <c r="F259" s="30">
        <f>IFERROR(__xludf.DUMMYFUNCTION("""COMPUTED_VALUE"""),1.0)</f>
        <v>1</v>
      </c>
      <c r="G259" s="30">
        <f>IFERROR(__xludf.DUMMYFUNCTION("""COMPUTED_VALUE"""),3.0)</f>
        <v>3</v>
      </c>
      <c r="H259" s="42">
        <f>IFERROR(__xludf.DUMMYFUNCTION("""COMPUTED_VALUE"""),0.25)</f>
        <v>0.25</v>
      </c>
      <c r="I259" s="42">
        <f>IFERROR(__xludf.DUMMYFUNCTION("""COMPUTED_VALUE"""),0.4444444444444444)</f>
        <v>0.4444444444</v>
      </c>
      <c r="J259" s="30">
        <f>IFERROR(__xludf.DUMMYFUNCTION("""COMPUTED_VALUE"""),368.5)</f>
        <v>368.5</v>
      </c>
      <c r="K259" s="30">
        <f>IFERROR(__xludf.DUMMYFUNCTION("""COMPUTED_VALUE"""),1.0)</f>
        <v>1</v>
      </c>
      <c r="L259" s="30">
        <f>IFERROR(__xludf.DUMMYFUNCTION("""COMPUTED_VALUE"""),0.25)</f>
        <v>0.25</v>
      </c>
      <c r="M259" s="30">
        <f>IFERROR(__xludf.DUMMYFUNCTION("""COMPUTED_VALUE"""),1.75)</f>
        <v>1.75</v>
      </c>
      <c r="N259" s="30">
        <f>IFERROR(__xludf.DUMMYFUNCTION("""COMPUTED_VALUE"""),2.25)</f>
        <v>2.25</v>
      </c>
      <c r="O259" s="30">
        <f>IFERROR(__xludf.DUMMYFUNCTION("""COMPUTED_VALUE"""),339.5833333333333)</f>
        <v>339.5833333</v>
      </c>
      <c r="P259" s="30">
        <f>IFERROR(__xludf.DUMMYFUNCTION("""COMPUTED_VALUE"""),0.9999999999999999)</f>
        <v>1</v>
      </c>
      <c r="Q259" s="30">
        <f>IFERROR(__xludf.DUMMYFUNCTION("""COMPUTED_VALUE"""),0.6666666666666666)</f>
        <v>0.6666666667</v>
      </c>
      <c r="R259" s="30">
        <f>IFERROR(__xludf.DUMMYFUNCTION("""COMPUTED_VALUE"""),0.9166666666666666)</f>
        <v>0.9166666667</v>
      </c>
      <c r="S259" s="30">
        <f>IFERROR(__xludf.DUMMYFUNCTION("""COMPUTED_VALUE"""),3.0833333333333335)</f>
        <v>3.083333333</v>
      </c>
      <c r="T259" s="30">
        <f>IFERROR(__xludf.DUMMYFUNCTION("""COMPUTED_VALUE"""),382.28055555555557)</f>
        <v>382.2805556</v>
      </c>
      <c r="U259" s="30">
        <f>IFERROR(__xludf.DUMMYFUNCTION("""COMPUTED_VALUE"""),0.7972222222222222)</f>
        <v>0.7972222222</v>
      </c>
      <c r="V259" s="30">
        <f>IFERROR(__xludf.DUMMYFUNCTION("""COMPUTED_VALUE"""),0.6319444444444445)</f>
        <v>0.6319444444</v>
      </c>
      <c r="W259" s="30">
        <f>IFERROR(__xludf.DUMMYFUNCTION("""COMPUTED_VALUE"""),1.5583333333333333)</f>
        <v>1.558333333</v>
      </c>
      <c r="X259" s="30">
        <f>IFERROR(__xludf.DUMMYFUNCTION("""COMPUTED_VALUE"""),2.836111111111111)</f>
        <v>2.836111111</v>
      </c>
      <c r="Y259" s="30">
        <f>IFERROR(__xludf.DUMMYFUNCTION("""COMPUTED_VALUE"""),365.4805555555556)</f>
        <v>365.4805556</v>
      </c>
      <c r="Z259" s="30">
        <f>IFERROR(__xludf.DUMMYFUNCTION("""COMPUTED_VALUE"""),0.7250000000000001)</f>
        <v>0.725</v>
      </c>
      <c r="AA259" s="30">
        <f>IFERROR(__xludf.DUMMYFUNCTION("""COMPUTED_VALUE"""),0.524074074074074)</f>
        <v>0.5240740741</v>
      </c>
      <c r="AB259" s="30">
        <f>IFERROR(__xludf.DUMMYFUNCTION("""COMPUTED_VALUE"""),1.6199074074074074)</f>
        <v>1.619907407</v>
      </c>
      <c r="AC259" s="30">
        <f>IFERROR(__xludf.DUMMYFUNCTION("""COMPUTED_VALUE"""),2.655092592592593)</f>
        <v>2.655092593</v>
      </c>
      <c r="AD259" s="30">
        <f>IFERROR(__xludf.DUMMYFUNCTION("""COMPUTED_VALUE"""),1.0082615734231186)</f>
        <v>1.008261573</v>
      </c>
      <c r="AE259" s="30">
        <f>IFERROR(__xludf.DUMMYFUNCTION("""COMPUTED_VALUE"""),1.379310344827586)</f>
        <v>1.379310345</v>
      </c>
      <c r="AF259" s="30">
        <f>IFERROR(__xludf.DUMMYFUNCTION("""COMPUTED_VALUE"""),0.4770318021201414)</f>
        <v>0.4770318021</v>
      </c>
      <c r="AG259" s="30">
        <f>IFERROR(__xludf.DUMMYFUNCTION("""COMPUTED_VALUE"""),1.0803086596170335)</f>
        <v>1.08030866</v>
      </c>
      <c r="AH259" s="30">
        <f>IFERROR(__xludf.DUMMYFUNCTION("""COMPUTED_VALUE"""),0.8474280732345247)</f>
        <v>0.8474280732</v>
      </c>
      <c r="AI259" s="30">
        <f>IFERROR(__xludf.DUMMYFUNCTION("""COMPUTED_VALUE"""),0.8883091969975512)</f>
        <v>0.888309197</v>
      </c>
      <c r="AJ259" s="30">
        <f>IFERROR(__xludf.DUMMYFUNCTION("""COMPUTED_VALUE"""),1.254355400696864)</f>
        <v>1.254355401</v>
      </c>
      <c r="AK259" s="30">
        <f>IFERROR(__xludf.DUMMYFUNCTION("""COMPUTED_VALUE"""),1.0549450549450547)</f>
        <v>1.054945055</v>
      </c>
      <c r="AL259" s="30">
        <f>IFERROR(__xludf.DUMMYFUNCTION("""COMPUTED_VALUE"""),0.5882352941176471)</f>
        <v>0.5882352941</v>
      </c>
      <c r="AM259" s="30">
        <f>IFERROR(__xludf.DUMMYFUNCTION("""COMPUTED_VALUE"""),1.0871694417238003)</f>
        <v>1.087169442</v>
      </c>
      <c r="AN259" s="30">
        <f>IFERROR(__xludf.DUMMYFUNCTION("""COMPUTED_VALUE"""),1.0510851262979348)</f>
        <v>1.051085126</v>
      </c>
      <c r="AO259" s="30">
        <f>IFERROR(__xludf.DUMMYFUNCTION("""COMPUTED_VALUE"""),1.4106533726012151)</f>
        <v>1.410653373</v>
      </c>
      <c r="AP259" s="30">
        <f>IFERROR(__xludf.DUMMYFUNCTION("""COMPUTED_VALUE"""),0.43792161559056747)</f>
        <v>0.4379216156</v>
      </c>
      <c r="AQ259" s="30">
        <f>IFERROR(__xludf.DUMMYFUNCTION("""COMPUTED_VALUE"""),1.2276923518113276)</f>
        <v>1.227692352</v>
      </c>
      <c r="AR259" s="30">
        <f>IFERROR(__xludf.DUMMYFUNCTION("""COMPUTED_VALUE"""),0.8975904013093123)</f>
        <v>0.8975904013</v>
      </c>
      <c r="AS259" s="30">
        <f>IFERROR(__xludf.DUMMYFUNCTION("""COMPUTED_VALUE"""),7.0)</f>
        <v>7</v>
      </c>
      <c r="AT259" s="30">
        <f>IFERROR(__xludf.DUMMYFUNCTION("""COMPUTED_VALUE"""),0.3009158051485651)</f>
        <v>0.3009158051</v>
      </c>
      <c r="AU259" s="30">
        <f>IFERROR(__xludf.DUMMYFUNCTION("""COMPUTED_VALUE"""),2.34961228786353)</f>
        <v>2.349612288</v>
      </c>
      <c r="AV259" s="32">
        <f>IFERROR(__xludf.DUMMYFUNCTION("""COMPUTED_VALUE"""),48.731978486928504)</f>
        <v>48.73197849</v>
      </c>
      <c r="AW259" s="32">
        <f>IFERROR(__xludf.DUMMYFUNCTION("""COMPUTED_VALUE"""),-2.0843147986365946)</f>
        <v>-2.084314799</v>
      </c>
      <c r="AX259" s="32">
        <f>IFERROR(__xludf.DUMMYFUNCTION("""COMPUTED_VALUE"""),45.69012022889992)</f>
        <v>45.69012023</v>
      </c>
      <c r="AY259" s="32">
        <f>IFERROR(__xludf.DUMMYFUNCTION("""COMPUTED_VALUE"""),-2.3171565033279893)</f>
        <v>-2.317156503</v>
      </c>
      <c r="AZ259" s="30">
        <f>IFERROR(__xludf.DUMMYFUNCTION("""COMPUTED_VALUE"""),0.23284170469139465)</f>
        <v>0.2328417047</v>
      </c>
      <c r="BA259" s="30">
        <f>IFERROR(__xludf.DUMMYFUNCTION("""COMPUTED_VALUE"""),800.0)</f>
        <v>800</v>
      </c>
    </row>
    <row r="260">
      <c r="A260" s="30" t="str">
        <f>IFERROR(__xludf.DUMMYFUNCTION("""COMPUTED_VALUE"""),"Elite")</f>
        <v>Elite</v>
      </c>
      <c r="B260" s="30" t="str">
        <f>IFERROR(__xludf.DUMMYFUNCTION("""COMPUTED_VALUE"""),"RSC000197")</f>
        <v>RSC000197</v>
      </c>
      <c r="C260" s="30" t="str">
        <f>IFERROR(__xludf.DUMMYFUNCTION("""COMPUTED_VALUE"""),"kareemostyle")</f>
        <v>kareemostyle</v>
      </c>
      <c r="D260" s="30"/>
      <c r="E260" s="30">
        <f>IFERROR(__xludf.DUMMYFUNCTION("""COMPUTED_VALUE"""),8.0)</f>
        <v>8</v>
      </c>
      <c r="F260" s="30">
        <f>IFERROR(__xludf.DUMMYFUNCTION("""COMPUTED_VALUE"""),3.0)</f>
        <v>3</v>
      </c>
      <c r="G260" s="30">
        <f>IFERROR(__xludf.DUMMYFUNCTION("""COMPUTED_VALUE"""),5.0)</f>
        <v>5</v>
      </c>
      <c r="H260" s="42">
        <f>IFERROR(__xludf.DUMMYFUNCTION("""COMPUTED_VALUE"""),0.375)</f>
        <v>0.375</v>
      </c>
      <c r="I260" s="42">
        <f>IFERROR(__xludf.DUMMYFUNCTION("""COMPUTED_VALUE"""),0.3888888888888889)</f>
        <v>0.3888888889</v>
      </c>
      <c r="J260" s="30">
        <f>IFERROR(__xludf.DUMMYFUNCTION("""COMPUTED_VALUE"""),394.875)</f>
        <v>394.875</v>
      </c>
      <c r="K260" s="30">
        <f>IFERROR(__xludf.DUMMYFUNCTION("""COMPUTED_VALUE"""),0.875)</f>
        <v>0.875</v>
      </c>
      <c r="L260" s="30">
        <f>IFERROR(__xludf.DUMMYFUNCTION("""COMPUTED_VALUE"""),0.625)</f>
        <v>0.625</v>
      </c>
      <c r="M260" s="30">
        <f>IFERROR(__xludf.DUMMYFUNCTION("""COMPUTED_VALUE"""),1.5)</f>
        <v>1.5</v>
      </c>
      <c r="N260" s="30">
        <f>IFERROR(__xludf.DUMMYFUNCTION("""COMPUTED_VALUE"""),2.25)</f>
        <v>2.25</v>
      </c>
      <c r="O260" s="30">
        <f>IFERROR(__xludf.DUMMYFUNCTION("""COMPUTED_VALUE"""),401.79166666666663)</f>
        <v>401.7916667</v>
      </c>
      <c r="P260" s="30">
        <f>IFERROR(__xludf.DUMMYFUNCTION("""COMPUTED_VALUE"""),1.2083333333333335)</f>
        <v>1.208333333</v>
      </c>
      <c r="Q260" s="30">
        <f>IFERROR(__xludf.DUMMYFUNCTION("""COMPUTED_VALUE"""),0.8333333333333334)</f>
        <v>0.8333333333</v>
      </c>
      <c r="R260" s="30">
        <f>IFERROR(__xludf.DUMMYFUNCTION("""COMPUTED_VALUE"""),1.0416666666666665)</f>
        <v>1.041666667</v>
      </c>
      <c r="S260" s="30">
        <f>IFERROR(__xludf.DUMMYFUNCTION("""COMPUTED_VALUE"""),3.25)</f>
        <v>3.25</v>
      </c>
      <c r="T260" s="30">
        <f>IFERROR(__xludf.DUMMYFUNCTION("""COMPUTED_VALUE"""),390.34943787948714)</f>
        <v>390.3494379</v>
      </c>
      <c r="U260" s="30">
        <f>IFERROR(__xludf.DUMMYFUNCTION("""COMPUTED_VALUE"""),0.9462958281840992)</f>
        <v>0.9462958282</v>
      </c>
      <c r="V260" s="30">
        <f>IFERROR(__xludf.DUMMYFUNCTION("""COMPUTED_VALUE"""),0.7024922826553262)</f>
        <v>0.7024922827</v>
      </c>
      <c r="W260" s="30">
        <f>IFERROR(__xludf.DUMMYFUNCTION("""COMPUTED_VALUE"""),1.4043142702141693)</f>
        <v>1.40431427</v>
      </c>
      <c r="X260" s="30">
        <f>IFERROR(__xludf.DUMMYFUNCTION("""COMPUTED_VALUE"""),2.951338277646417)</f>
        <v>2.951338278</v>
      </c>
      <c r="Y260" s="30">
        <f>IFERROR(__xludf.DUMMYFUNCTION("""COMPUTED_VALUE"""),348.0953878549934)</f>
        <v>348.0953879</v>
      </c>
      <c r="Z260" s="30">
        <f>IFERROR(__xludf.DUMMYFUNCTION("""COMPUTED_VALUE"""),0.7325887460598449)</f>
        <v>0.7325887461</v>
      </c>
      <c r="AA260" s="30">
        <f>IFERROR(__xludf.DUMMYFUNCTION("""COMPUTED_VALUE"""),0.5214874659073345)</f>
        <v>0.5214874659</v>
      </c>
      <c r="AB260" s="30">
        <f>IFERROR(__xludf.DUMMYFUNCTION("""COMPUTED_VALUE"""),1.4114605752413298)</f>
        <v>1.411460575</v>
      </c>
      <c r="AC260" s="30">
        <f>IFERROR(__xludf.DUMMYFUNCTION("""COMPUTED_VALUE"""),2.421108971591361)</f>
        <v>2.421108972</v>
      </c>
      <c r="AD260" s="30">
        <f>IFERROR(__xludf.DUMMYFUNCTION("""COMPUTED_VALUE"""),1.1343873368540396)</f>
        <v>1.134387337</v>
      </c>
      <c r="AE260" s="30">
        <f>IFERROR(__xludf.DUMMYFUNCTION("""COMPUTED_VALUE"""),1.1943945422395577)</f>
        <v>1.194394542</v>
      </c>
      <c r="AF260" s="30">
        <f>IFERROR(__xludf.DUMMYFUNCTION("""COMPUTED_VALUE"""),1.1984947690210814)</f>
        <v>1.198494769</v>
      </c>
      <c r="AG260" s="30">
        <f>IFERROR(__xludf.DUMMYFUNCTION("""COMPUTED_VALUE"""),1.0627289393070947)</f>
        <v>1.062728939</v>
      </c>
      <c r="AH260" s="30">
        <f>IFERROR(__xludf.DUMMYFUNCTION("""COMPUTED_VALUE"""),0.9293261998534113)</f>
        <v>0.9293261999</v>
      </c>
      <c r="AI260" s="30">
        <f>IFERROR(__xludf.DUMMYFUNCTION("""COMPUTED_VALUE"""),1.029312784077102)</f>
        <v>1.029312784</v>
      </c>
      <c r="AJ260" s="30">
        <f>IFERROR(__xludf.DUMMYFUNCTION("""COMPUTED_VALUE"""),1.2769086551423068)</f>
        <v>1.276908655</v>
      </c>
      <c r="AK260" s="30">
        <f>IFERROR(__xludf.DUMMYFUNCTION("""COMPUTED_VALUE"""),1.1862526520340488)</f>
        <v>1.186252652</v>
      </c>
      <c r="AL260" s="30">
        <f>IFERROR(__xludf.DUMMYFUNCTION("""COMPUTED_VALUE"""),0.7417617899074713)</f>
        <v>0.7417617899</v>
      </c>
      <c r="AM260" s="30">
        <f>IFERROR(__xludf.DUMMYFUNCTION("""COMPUTED_VALUE"""),1.1011953541942858)</f>
        <v>1.101195354</v>
      </c>
      <c r="AN260" s="30">
        <f>IFERROR(__xludf.DUMMYFUNCTION("""COMPUTED_VALUE"""),1.1263154389332348)</f>
        <v>1.126315439</v>
      </c>
      <c r="AO260" s="30">
        <f>IFERROR(__xludf.DUMMYFUNCTION("""COMPUTED_VALUE"""),1.2343217010260634)</f>
        <v>1.234321701</v>
      </c>
      <c r="AP260" s="30">
        <f>IFERROR(__xludf.DUMMYFUNCTION("""COMPUTED_VALUE"""),1.0948040389764186)</f>
        <v>1.094804039</v>
      </c>
      <c r="AQ260" s="30">
        <f>IFERROR(__xludf.DUMMYFUNCTION("""COMPUTED_VALUE"""),1.0523077301239951)</f>
        <v>1.05230773</v>
      </c>
      <c r="AR260" s="30">
        <f>IFERROR(__xludf.DUMMYFUNCTION("""COMPUTED_VALUE"""),0.8975904013093123)</f>
        <v>0.8975904013</v>
      </c>
      <c r="AS260" s="30">
        <f>IFERROR(__xludf.DUMMYFUNCTION("""COMPUTED_VALUE"""),16.0)</f>
        <v>16</v>
      </c>
      <c r="AT260" s="30">
        <f>IFERROR(__xludf.DUMMYFUNCTION("""COMPUTED_VALUE"""),0.27362432488834365)</f>
        <v>0.2736243249</v>
      </c>
      <c r="AU260" s="30">
        <f>IFERROR(__xludf.DUMMYFUNCTION("""COMPUTED_VALUE"""),2.6675198419937747)</f>
        <v>2.667519842</v>
      </c>
      <c r="AV260" s="32">
        <f>IFERROR(__xludf.DUMMYFUNCTION("""COMPUTED_VALUE"""),57.876339082157756)</f>
        <v>57.87633908</v>
      </c>
      <c r="AW260" s="32">
        <f>IFERROR(__xludf.DUMMYFUNCTION("""COMPUTED_VALUE"""),2.657027024146023)</f>
        <v>2.657027024</v>
      </c>
      <c r="AX260" s="32">
        <f>IFERROR(__xludf.DUMMYFUNCTION("""COMPUTED_VALUE"""),59.73099156218791)</f>
        <v>59.73099156</v>
      </c>
      <c r="AY260" s="32">
        <f>IFERROR(__xludf.DUMMYFUNCTION("""COMPUTED_VALUE"""),2.86903350133056)</f>
        <v>2.869033501</v>
      </c>
      <c r="AZ260" s="30">
        <f>IFERROR(__xludf.DUMMYFUNCTION("""COMPUTED_VALUE"""),0.2120064771845369)</f>
        <v>0.2120064772</v>
      </c>
      <c r="BA260" s="30">
        <f>IFERROR(__xludf.DUMMYFUNCTION("""COMPUTED_VALUE"""),800.0)</f>
        <v>800</v>
      </c>
    </row>
    <row r="261">
      <c r="A261" s="30" t="str">
        <f>IFERROR(__xludf.DUMMYFUNCTION("""COMPUTED_VALUE"""),"Elite")</f>
        <v>Elite</v>
      </c>
      <c r="B261" s="30" t="str">
        <f>IFERROR(__xludf.DUMMYFUNCTION("""COMPUTED_VALUE"""),"RSC007077")</f>
        <v>RSC007077</v>
      </c>
      <c r="C261" s="30" t="str">
        <f>IFERROR(__xludf.DUMMYFUNCTION("""COMPUTED_VALUE"""),"higsn")</f>
        <v>higsn</v>
      </c>
      <c r="D261" s="30" t="str">
        <f>IFERROR(__xludf.DUMMYFUNCTION("""COMPUTED_VALUE"""),"Stoked Blokes")</f>
        <v>Stoked Blokes</v>
      </c>
      <c r="E261" s="30">
        <f>IFERROR(__xludf.DUMMYFUNCTION("""COMPUTED_VALUE"""),44.0)</f>
        <v>44</v>
      </c>
      <c r="F261" s="30">
        <f>IFERROR(__xludf.DUMMYFUNCTION("""COMPUTED_VALUE"""),22.0)</f>
        <v>22</v>
      </c>
      <c r="G261" s="30">
        <f>IFERROR(__xludf.DUMMYFUNCTION("""COMPUTED_VALUE"""),22.0)</f>
        <v>22</v>
      </c>
      <c r="H261" s="42">
        <f>IFERROR(__xludf.DUMMYFUNCTION("""COMPUTED_VALUE"""),0.5)</f>
        <v>0.5</v>
      </c>
      <c r="I261" s="42">
        <f>IFERROR(__xludf.DUMMYFUNCTION("""COMPUTED_VALUE"""),0.3137254901960784)</f>
        <v>0.3137254902</v>
      </c>
      <c r="J261" s="30">
        <f>IFERROR(__xludf.DUMMYFUNCTION("""COMPUTED_VALUE"""),366.09090909090907)</f>
        <v>366.0909091</v>
      </c>
      <c r="K261" s="30">
        <f>IFERROR(__xludf.DUMMYFUNCTION("""COMPUTED_VALUE"""),0.7272727272727273)</f>
        <v>0.7272727273</v>
      </c>
      <c r="L261" s="30">
        <f>IFERROR(__xludf.DUMMYFUNCTION("""COMPUTED_VALUE"""),0.6363636363636364)</f>
        <v>0.6363636364</v>
      </c>
      <c r="M261" s="30">
        <f>IFERROR(__xludf.DUMMYFUNCTION("""COMPUTED_VALUE"""),1.4318181818181819)</f>
        <v>1.431818182</v>
      </c>
      <c r="N261" s="30">
        <f>IFERROR(__xludf.DUMMYFUNCTION("""COMPUTED_VALUE"""),2.3181818181818183)</f>
        <v>2.318181818</v>
      </c>
      <c r="O261" s="30">
        <f>IFERROR(__xludf.DUMMYFUNCTION("""COMPUTED_VALUE"""),341.40909090909105)</f>
        <v>341.4090909</v>
      </c>
      <c r="P261" s="30">
        <f>IFERROR(__xludf.DUMMYFUNCTION("""COMPUTED_VALUE"""),0.7196969696969698)</f>
        <v>0.7196969697</v>
      </c>
      <c r="Q261" s="30">
        <f>IFERROR(__xludf.DUMMYFUNCTION("""COMPUTED_VALUE"""),0.5303030303030303)</f>
        <v>0.5303030303</v>
      </c>
      <c r="R261" s="30">
        <f>IFERROR(__xludf.DUMMYFUNCTION("""COMPUTED_VALUE"""),1.2348484848484849)</f>
        <v>1.234848485</v>
      </c>
      <c r="S261" s="30">
        <f>IFERROR(__xludf.DUMMYFUNCTION("""COMPUTED_VALUE"""),2.727272727272727)</f>
        <v>2.727272727</v>
      </c>
      <c r="T261" s="30">
        <f>IFERROR(__xludf.DUMMYFUNCTION("""COMPUTED_VALUE"""),361.20621707047025)</f>
        <v>361.2062171</v>
      </c>
      <c r="U261" s="30">
        <f>IFERROR(__xludf.DUMMYFUNCTION("""COMPUTED_VALUE"""),0.7832925114445828)</f>
        <v>0.7832925114</v>
      </c>
      <c r="V261" s="30">
        <f>IFERROR(__xludf.DUMMYFUNCTION("""COMPUTED_VALUE"""),0.6117931049605875)</f>
        <v>0.611793105</v>
      </c>
      <c r="W261" s="30">
        <f>IFERROR(__xludf.DUMMYFUNCTION("""COMPUTED_VALUE"""),1.4277050396443325)</f>
        <v>1.42770504</v>
      </c>
      <c r="X261" s="30">
        <f>IFERROR(__xludf.DUMMYFUNCTION("""COMPUTED_VALUE"""),2.6202231258755373)</f>
        <v>2.620223126</v>
      </c>
      <c r="Y261" s="30">
        <f>IFERROR(__xludf.DUMMYFUNCTION("""COMPUTED_VALUE"""),364.9313017560691)</f>
        <v>364.9313018</v>
      </c>
      <c r="Z261" s="30">
        <f>IFERROR(__xludf.DUMMYFUNCTION("""COMPUTED_VALUE"""),0.8210087268670023)</f>
        <v>0.8210087269</v>
      </c>
      <c r="AA261" s="30">
        <f>IFERROR(__xludf.DUMMYFUNCTION("""COMPUTED_VALUE"""),0.6098199526615694)</f>
        <v>0.6098199527</v>
      </c>
      <c r="AB261" s="30">
        <f>IFERROR(__xludf.DUMMYFUNCTION("""COMPUTED_VALUE"""),1.3797989419255199)</f>
        <v>1.379798942</v>
      </c>
      <c r="AC261" s="30">
        <f>IFERROR(__xludf.DUMMYFUNCTION("""COMPUTED_VALUE"""),2.689296016611681)</f>
        <v>2.689296017</v>
      </c>
      <c r="AD261" s="30">
        <f>IFERROR(__xludf.DUMMYFUNCTION("""COMPUTED_VALUE"""),1.003177604467635)</f>
        <v>1.003177604</v>
      </c>
      <c r="AE261" s="30">
        <f>IFERROR(__xludf.DUMMYFUNCTION("""COMPUTED_VALUE"""),0.8858282542842452)</f>
        <v>0.8858282543</v>
      </c>
      <c r="AF261" s="30">
        <f>IFERROR(__xludf.DUMMYFUNCTION("""COMPUTED_VALUE"""),1.0435270830123162)</f>
        <v>1.043527083</v>
      </c>
      <c r="AG261" s="30">
        <f>IFERROR(__xludf.DUMMYFUNCTION("""COMPUTED_VALUE"""),1.0377005941315398)</f>
        <v>1.037700594</v>
      </c>
      <c r="AH261" s="30">
        <f>IFERROR(__xludf.DUMMYFUNCTION("""COMPUTED_VALUE"""),0.8620032171477204)</f>
        <v>0.8620032171</v>
      </c>
      <c r="AI261" s="30">
        <f>IFERROR(__xludf.DUMMYFUNCTION("""COMPUTED_VALUE"""),0.9451916239926822)</f>
        <v>0.945191624</v>
      </c>
      <c r="AJ261" s="30">
        <f>IFERROR(__xludf.DUMMYFUNCTION("""COMPUTED_VALUE"""),0.9188099709643244)</f>
        <v>0.918809971</v>
      </c>
      <c r="AK261" s="30">
        <f>IFERROR(__xludf.DUMMYFUNCTION("""COMPUTED_VALUE"""),0.8668012535662577)</f>
        <v>0.8668012536</v>
      </c>
      <c r="AL261" s="30">
        <f>IFERROR(__xludf.DUMMYFUNCTION("""COMPUTED_VALUE"""),0.8649184884548059)</f>
        <v>0.8649184885</v>
      </c>
      <c r="AM261" s="30">
        <f>IFERROR(__xludf.DUMMYFUNCTION("""COMPUTED_VALUE"""),1.0408551471590495)</f>
        <v>1.040855147</v>
      </c>
      <c r="AN261" s="30">
        <f>IFERROR(__xludf.DUMMYFUNCTION("""COMPUTED_VALUE"""),1.0442135940796309)</f>
        <v>1.044213594</v>
      </c>
      <c r="AO261" s="30">
        <f>IFERROR(__xludf.DUMMYFUNCTION("""COMPUTED_VALUE"""),1.0259297255281565)</f>
        <v>1.025929726</v>
      </c>
      <c r="AP261" s="30">
        <f>IFERROR(__xludf.DUMMYFUNCTION("""COMPUTED_VALUE"""),1.114709566957808)</f>
        <v>1.114709567</v>
      </c>
      <c r="AQ261" s="30">
        <f>IFERROR(__xludf.DUMMYFUNCTION("""COMPUTED_VALUE"""),1.0044755605729045)</f>
        <v>1.004475561</v>
      </c>
      <c r="AR261" s="30">
        <f>IFERROR(__xludf.DUMMYFUNCTION("""COMPUTED_VALUE"""),0.9247901104398977)</f>
        <v>0.9247901104</v>
      </c>
      <c r="AS261" s="30">
        <f>IFERROR(__xludf.DUMMYFUNCTION("""COMPUTED_VALUE"""),98.0)</f>
        <v>98</v>
      </c>
      <c r="AT261" s="30">
        <f>IFERROR(__xludf.DUMMYFUNCTION("""COMPUTED_VALUE"""),0.511878763415549)</f>
        <v>0.5118787634</v>
      </c>
      <c r="AU261" s="30">
        <f>IFERROR(__xludf.DUMMYFUNCTION("""COMPUTED_VALUE"""),2.512928799174404)</f>
        <v>2.512928799</v>
      </c>
      <c r="AV261" s="32">
        <f>IFERROR(__xludf.DUMMYFUNCTION("""COMPUTED_VALUE"""),53.42964940156686)</f>
        <v>53.4296494</v>
      </c>
      <c r="AW261" s="32">
        <f>IFERROR(__xludf.DUMMYFUNCTION("""COMPUTED_VALUE"""),2.244961699734258)</f>
        <v>2.2449617</v>
      </c>
      <c r="AX261" s="32">
        <f>IFERROR(__xludf.DUMMYFUNCTION("""COMPUTED_VALUE"""),55.29150013180952)</f>
        <v>55.29150013</v>
      </c>
      <c r="AY261" s="32">
        <f>IFERROR(__xludf.DUMMYFUNCTION("""COMPUTED_VALUE"""),2.4027709938795114)</f>
        <v>2.402770994</v>
      </c>
      <c r="AZ261" s="30">
        <f>IFERROR(__xludf.DUMMYFUNCTION("""COMPUTED_VALUE"""),0.15780929414525335)</f>
        <v>0.1578092941</v>
      </c>
      <c r="BA261" s="30">
        <f>IFERROR(__xludf.DUMMYFUNCTION("""COMPUTED_VALUE"""),800.0)</f>
        <v>800</v>
      </c>
    </row>
    <row r="262">
      <c r="A262" s="30" t="str">
        <f>IFERROR(__xludf.DUMMYFUNCTION("""COMPUTED_VALUE"""),"Elite")</f>
        <v>Elite</v>
      </c>
      <c r="B262" s="30" t="str">
        <f>IFERROR(__xludf.DUMMYFUNCTION("""COMPUTED_VALUE"""),"RSC000030")</f>
        <v>RSC000030</v>
      </c>
      <c r="C262" s="30" t="str">
        <f>IFERROR(__xludf.DUMMYFUNCTION("""COMPUTED_VALUE"""),"ADeadM0053")</f>
        <v>ADeadM0053</v>
      </c>
      <c r="D262" s="30" t="str">
        <f>IFERROR(__xludf.DUMMYFUNCTION("""COMPUTED_VALUE"""),"Drive Bye")</f>
        <v>Drive Bye</v>
      </c>
      <c r="E262" s="30">
        <f>IFERROR(__xludf.DUMMYFUNCTION("""COMPUTED_VALUE"""),47.0)</f>
        <v>47</v>
      </c>
      <c r="F262" s="30">
        <f>IFERROR(__xludf.DUMMYFUNCTION("""COMPUTED_VALUE"""),14.0)</f>
        <v>14</v>
      </c>
      <c r="G262" s="30">
        <f>IFERROR(__xludf.DUMMYFUNCTION("""COMPUTED_VALUE"""),33.0)</f>
        <v>33</v>
      </c>
      <c r="H262" s="42">
        <f>IFERROR(__xludf.DUMMYFUNCTION("""COMPUTED_VALUE"""),0.2978723404255319)</f>
        <v>0.2978723404</v>
      </c>
      <c r="I262" s="42">
        <f>IFERROR(__xludf.DUMMYFUNCTION("""COMPUTED_VALUE"""),0.2571428571428572)</f>
        <v>0.2571428571</v>
      </c>
      <c r="J262" s="30">
        <f>IFERROR(__xludf.DUMMYFUNCTION("""COMPUTED_VALUE"""),319.02127659574467)</f>
        <v>319.0212766</v>
      </c>
      <c r="K262" s="30">
        <f>IFERROR(__xludf.DUMMYFUNCTION("""COMPUTED_VALUE"""),0.574468085106383)</f>
        <v>0.5744680851</v>
      </c>
      <c r="L262" s="30">
        <f>IFERROR(__xludf.DUMMYFUNCTION("""COMPUTED_VALUE"""),0.40425531914893614)</f>
        <v>0.4042553191</v>
      </c>
      <c r="M262" s="30">
        <f>IFERROR(__xludf.DUMMYFUNCTION("""COMPUTED_VALUE"""),1.5106382978723405)</f>
        <v>1.510638298</v>
      </c>
      <c r="N262" s="30">
        <f>IFERROR(__xludf.DUMMYFUNCTION("""COMPUTED_VALUE"""),2.234042553191489)</f>
        <v>2.234042553</v>
      </c>
      <c r="O262" s="30">
        <f>IFERROR(__xludf.DUMMYFUNCTION("""COMPUTED_VALUE"""),396.68794326241147)</f>
        <v>396.6879433</v>
      </c>
      <c r="P262" s="30">
        <f>IFERROR(__xludf.DUMMYFUNCTION("""COMPUTED_VALUE"""),0.9858156028368795)</f>
        <v>0.9858156028</v>
      </c>
      <c r="Q262" s="30">
        <f>IFERROR(__xludf.DUMMYFUNCTION("""COMPUTED_VALUE"""),0.7943262411347517)</f>
        <v>0.7943262411</v>
      </c>
      <c r="R262" s="30">
        <f>IFERROR(__xludf.DUMMYFUNCTION("""COMPUTED_VALUE"""),1.304964539007092)</f>
        <v>1.304964539</v>
      </c>
      <c r="S262" s="30">
        <f>IFERROR(__xludf.DUMMYFUNCTION("""COMPUTED_VALUE"""),3.134751773049645)</f>
        <v>3.134751773</v>
      </c>
      <c r="T262" s="30">
        <f>IFERROR(__xludf.DUMMYFUNCTION("""COMPUTED_VALUE"""),368.536969587516)</f>
        <v>368.5369696</v>
      </c>
      <c r="U262" s="30">
        <f>IFERROR(__xludf.DUMMYFUNCTION("""COMPUTED_VALUE"""),0.8125829808362184)</f>
        <v>0.8125829808</v>
      </c>
      <c r="V262" s="30">
        <f>IFERROR(__xludf.DUMMYFUNCTION("""COMPUTED_VALUE"""),0.6279387765783464)</f>
        <v>0.6279387766</v>
      </c>
      <c r="W262" s="30">
        <f>IFERROR(__xludf.DUMMYFUNCTION("""COMPUTED_VALUE"""),1.407330902633555)</f>
        <v>1.407330903</v>
      </c>
      <c r="X262" s="30">
        <f>IFERROR(__xludf.DUMMYFUNCTION("""COMPUTED_VALUE"""),2.7517332696665466)</f>
        <v>2.75173327</v>
      </c>
      <c r="Y262" s="30">
        <f>IFERROR(__xludf.DUMMYFUNCTION("""COMPUTED_VALUE"""),351.7324616191765)</f>
        <v>351.7324616</v>
      </c>
      <c r="Z262" s="30">
        <f>IFERROR(__xludf.DUMMYFUNCTION("""COMPUTED_VALUE"""),0.7238824913044816)</f>
        <v>0.7238824913</v>
      </c>
      <c r="AA262" s="30">
        <f>IFERROR(__xludf.DUMMYFUNCTION("""COMPUTED_VALUE"""),0.5380050674224381)</f>
        <v>0.5380050674</v>
      </c>
      <c r="AB262" s="30">
        <f>IFERROR(__xludf.DUMMYFUNCTION("""COMPUTED_VALUE"""),1.4478945328189332)</f>
        <v>1.447894533</v>
      </c>
      <c r="AC262" s="30">
        <f>IFERROR(__xludf.DUMMYFUNCTION("""COMPUTED_VALUE"""),2.532727871189295)</f>
        <v>2.532727871</v>
      </c>
      <c r="AD262" s="30">
        <f>IFERROR(__xludf.DUMMYFUNCTION("""COMPUTED_VALUE"""),0.9069998120934073)</f>
        <v>0.9069998121</v>
      </c>
      <c r="AE262" s="30">
        <f>IFERROR(__xludf.DUMMYFUNCTION("""COMPUTED_VALUE"""),0.7935930099250716)</f>
        <v>0.7935930099</v>
      </c>
      <c r="AF262" s="30">
        <f>IFERROR(__xludf.DUMMYFUNCTION("""COMPUTED_VALUE"""),0.7513968615308924)</f>
        <v>0.7513968615</v>
      </c>
      <c r="AG262" s="30">
        <f>IFERROR(__xludf.DUMMYFUNCTION("""COMPUTED_VALUE"""),1.0433344857869242)</f>
        <v>1.043334486</v>
      </c>
      <c r="AH262" s="30">
        <f>IFERROR(__xludf.DUMMYFUNCTION("""COMPUTED_VALUE"""),0.882069715662918)</f>
        <v>0.8820697157</v>
      </c>
      <c r="AI262" s="30">
        <f>IFERROR(__xludf.DUMMYFUNCTION("""COMPUTED_VALUE"""),1.07638575230703)</f>
        <v>1.076385752</v>
      </c>
      <c r="AJ262" s="30">
        <f>IFERROR(__xludf.DUMMYFUNCTION("""COMPUTED_VALUE"""),1.2131876080180632)</f>
        <v>1.213187608</v>
      </c>
      <c r="AK262" s="30">
        <f>IFERROR(__xludf.DUMMYFUNCTION("""COMPUTED_VALUE"""),1.2649740241605314)</f>
        <v>1.264974024</v>
      </c>
      <c r="AL262" s="30">
        <f>IFERROR(__xludf.DUMMYFUNCTION("""COMPUTED_VALUE"""),0.9272620508546331)</f>
        <v>0.9272620509</v>
      </c>
      <c r="AM262" s="30">
        <f>IFERROR(__xludf.DUMMYFUNCTION("""COMPUTED_VALUE"""),1.1391917260314668)</f>
        <v>1.139191726</v>
      </c>
      <c r="AN262" s="30">
        <f>IFERROR(__xludf.DUMMYFUNCTION("""COMPUTED_VALUE"""),0.9099552749046586)</f>
        <v>0.9099552749</v>
      </c>
      <c r="AO262" s="30">
        <f>IFERROR(__xludf.DUMMYFUNCTION("""COMPUTED_VALUE"""),0.8103753417070811)</f>
        <v>0.8103753417</v>
      </c>
      <c r="AP262" s="30">
        <f>IFERROR(__xludf.DUMMYFUNCTION("""COMPUTED_VALUE"""),0.7081285698911303)</f>
        <v>0.7081285699</v>
      </c>
      <c r="AQ262" s="30">
        <f>IFERROR(__xludf.DUMMYFUNCTION("""COMPUTED_VALUE"""),1.0597709055149456)</f>
        <v>1.059770906</v>
      </c>
      <c r="AR262" s="30">
        <f>IFERROR(__xludf.DUMMYFUNCTION("""COMPUTED_VALUE"""),0.8912245119383242)</f>
        <v>0.8912245119</v>
      </c>
      <c r="AS262" s="30">
        <f>IFERROR(__xludf.DUMMYFUNCTION("""COMPUTED_VALUE"""),79.0)</f>
        <v>79</v>
      </c>
      <c r="AT262" s="30">
        <f>IFERROR(__xludf.DUMMYFUNCTION("""COMPUTED_VALUE"""),0.293668319028366)</f>
        <v>0.293668319</v>
      </c>
      <c r="AU262" s="30">
        <f>IFERROR(__xludf.DUMMYFUNCTION("""COMPUTED_VALUE"""),1.6684026489872394)</f>
        <v>1.668402649</v>
      </c>
      <c r="AV262" s="32">
        <f>IFERROR(__xludf.DUMMYFUNCTION("""COMPUTED_VALUE"""),29.137519349670544)</f>
        <v>29.13751935</v>
      </c>
      <c r="AW262" s="32">
        <f>IFERROR(__xludf.DUMMYFUNCTION("""COMPUTED_VALUE"""),-4.950498439788512)</f>
        <v>-4.95049844</v>
      </c>
      <c r="AX262" s="32">
        <f>IFERROR(__xludf.DUMMYFUNCTION("""COMPUTED_VALUE"""),28.620184414203983)</f>
        <v>28.62018441</v>
      </c>
      <c r="AY262" s="32">
        <f>IFERROR(__xludf.DUMMYFUNCTION("""COMPUTED_VALUE"""),-5.096261769411008)</f>
        <v>-5.096261769</v>
      </c>
      <c r="AZ262" s="30">
        <f>IFERROR(__xludf.DUMMYFUNCTION("""COMPUTED_VALUE"""),0.14576332962249605)</f>
        <v>0.1457633296</v>
      </c>
      <c r="BA262" s="30">
        <f>IFERROR(__xludf.DUMMYFUNCTION("""COMPUTED_VALUE"""),800.0)</f>
        <v>800</v>
      </c>
    </row>
    <row r="263">
      <c r="A263" s="30" t="str">
        <f>IFERROR(__xludf.DUMMYFUNCTION("""COMPUTED_VALUE"""),"Elite")</f>
        <v>Elite</v>
      </c>
      <c r="B263" s="30" t="str">
        <f>IFERROR(__xludf.DUMMYFUNCTION("""COMPUTED_VALUE"""),"RSC005515")</f>
        <v>RSC005515</v>
      </c>
      <c r="C263" s="30" t="str">
        <f>IFERROR(__xludf.DUMMYFUNCTION("""COMPUTED_VALUE"""),"BaronTac0")</f>
        <v>BaronTac0</v>
      </c>
      <c r="D263" s="30" t="str">
        <f>IFERROR(__xludf.DUMMYFUNCTION("""COMPUTED_VALUE"""),"Nightshade")</f>
        <v>Nightshade</v>
      </c>
      <c r="E263" s="30">
        <f>IFERROR(__xludf.DUMMYFUNCTION("""COMPUTED_VALUE"""),20.0)</f>
        <v>20</v>
      </c>
      <c r="F263" s="30">
        <f>IFERROR(__xludf.DUMMYFUNCTION("""COMPUTED_VALUE"""),11.0)</f>
        <v>11</v>
      </c>
      <c r="G263" s="30">
        <f>IFERROR(__xludf.DUMMYFUNCTION("""COMPUTED_VALUE"""),9.0)</f>
        <v>9</v>
      </c>
      <c r="H263" s="42">
        <f>IFERROR(__xludf.DUMMYFUNCTION("""COMPUTED_VALUE"""),0.55)</f>
        <v>0.55</v>
      </c>
      <c r="I263" s="42">
        <f>IFERROR(__xludf.DUMMYFUNCTION("""COMPUTED_VALUE"""),0.2894736842105263)</f>
        <v>0.2894736842</v>
      </c>
      <c r="J263" s="30">
        <f>IFERROR(__xludf.DUMMYFUNCTION("""COMPUTED_VALUE"""),332.3)</f>
        <v>332.3</v>
      </c>
      <c r="K263" s="30">
        <f>IFERROR(__xludf.DUMMYFUNCTION("""COMPUTED_VALUE"""),0.55)</f>
        <v>0.55</v>
      </c>
      <c r="L263" s="30">
        <f>IFERROR(__xludf.DUMMYFUNCTION("""COMPUTED_VALUE"""),0.75)</f>
        <v>0.75</v>
      </c>
      <c r="M263" s="30">
        <f>IFERROR(__xludf.DUMMYFUNCTION("""COMPUTED_VALUE"""),1.4)</f>
        <v>1.4</v>
      </c>
      <c r="N263" s="30">
        <f>IFERROR(__xludf.DUMMYFUNCTION("""COMPUTED_VALUE"""),1.9)</f>
        <v>1.9</v>
      </c>
      <c r="O263" s="30">
        <f>IFERROR(__xludf.DUMMYFUNCTION("""COMPUTED_VALUE"""),365.1833333333334)</f>
        <v>365.1833333</v>
      </c>
      <c r="P263" s="30">
        <f>IFERROR(__xludf.DUMMYFUNCTION("""COMPUTED_VALUE"""),0.8166666666666668)</f>
        <v>0.8166666667</v>
      </c>
      <c r="Q263" s="30">
        <f>IFERROR(__xludf.DUMMYFUNCTION("""COMPUTED_VALUE"""),0.7333333333333334)</f>
        <v>0.7333333333</v>
      </c>
      <c r="R263" s="30">
        <f>IFERROR(__xludf.DUMMYFUNCTION("""COMPUTED_VALUE"""),1.3833333333333333)</f>
        <v>1.383333333</v>
      </c>
      <c r="S263" s="30">
        <f>IFERROR(__xludf.DUMMYFUNCTION("""COMPUTED_VALUE"""),2.683333333333333)</f>
        <v>2.683333333</v>
      </c>
      <c r="T263" s="30">
        <f>IFERROR(__xludf.DUMMYFUNCTION("""COMPUTED_VALUE"""),358.374654865905)</f>
        <v>358.3746549</v>
      </c>
      <c r="U263" s="30">
        <f>IFERROR(__xludf.DUMMYFUNCTION("""COMPUTED_VALUE"""),0.776152041152041)</f>
        <v>0.7761520412</v>
      </c>
      <c r="V263" s="30">
        <f>IFERROR(__xludf.DUMMYFUNCTION("""COMPUTED_VALUE"""),0.6336800961800961)</f>
        <v>0.6336800962</v>
      </c>
      <c r="W263" s="30">
        <f>IFERROR(__xludf.DUMMYFUNCTION("""COMPUTED_VALUE"""),1.3510117960117956)</f>
        <v>1.351011796</v>
      </c>
      <c r="X263" s="30">
        <f>IFERROR(__xludf.DUMMYFUNCTION("""COMPUTED_VALUE"""),2.754758884758884)</f>
        <v>2.754758885</v>
      </c>
      <c r="Y263" s="30">
        <f>IFERROR(__xludf.DUMMYFUNCTION("""COMPUTED_VALUE"""),363.41810662810656)</f>
        <v>363.4181066</v>
      </c>
      <c r="Z263" s="30">
        <f>IFERROR(__xludf.DUMMYFUNCTION("""COMPUTED_VALUE"""),0.8019540494540494)</f>
        <v>0.8019540495</v>
      </c>
      <c r="AA263" s="30">
        <f>IFERROR(__xludf.DUMMYFUNCTION("""COMPUTED_VALUE"""),0.6024455407788742)</f>
        <v>0.6024455408</v>
      </c>
      <c r="AB263" s="30">
        <f>IFERROR(__xludf.DUMMYFUNCTION("""COMPUTED_VALUE"""),1.4441385712219048)</f>
        <v>1.444138571</v>
      </c>
      <c r="AC263" s="30">
        <f>IFERROR(__xludf.DUMMYFUNCTION("""COMPUTED_VALUE"""),2.636402548902549)</f>
        <v>2.636402549</v>
      </c>
      <c r="AD263" s="30">
        <f>IFERROR(__xludf.DUMMYFUNCTION("""COMPUTED_VALUE"""),0.9143738133555619)</f>
        <v>0.9143738134</v>
      </c>
      <c r="AE263" s="30">
        <f>IFERROR(__xludf.DUMMYFUNCTION("""COMPUTED_VALUE"""),0.6858248304555935)</f>
        <v>0.6858248305</v>
      </c>
      <c r="AF263" s="30">
        <f>IFERROR(__xludf.DUMMYFUNCTION("""COMPUTED_VALUE"""),1.2449258052941339)</f>
        <v>1.244925805</v>
      </c>
      <c r="AG263" s="30">
        <f>IFERROR(__xludf.DUMMYFUNCTION("""COMPUTED_VALUE"""),0.969436055444071)</f>
        <v>0.9694360554</v>
      </c>
      <c r="AH263" s="30">
        <f>IFERROR(__xludf.DUMMYFUNCTION("""COMPUTED_VALUE"""),0.7206790180015983)</f>
        <v>0.720679018</v>
      </c>
      <c r="AI263" s="30">
        <f>IFERROR(__xludf.DUMMYFUNCTION("""COMPUTED_VALUE"""),1.0189987723042973)</f>
        <v>1.018998772</v>
      </c>
      <c r="AJ263" s="30">
        <f>IFERROR(__xludf.DUMMYFUNCTION("""COMPUTED_VALUE"""),1.0521993415806652)</f>
        <v>1.052199342</v>
      </c>
      <c r="AK263" s="30">
        <f>IFERROR(__xludf.DUMMYFUNCTION("""COMPUTED_VALUE"""),1.1572611129084842)</f>
        <v>1.157261113</v>
      </c>
      <c r="AL263" s="30">
        <f>IFERROR(__xludf.DUMMYFUNCTION("""COMPUTED_VALUE"""),1.0239239490113643)</f>
        <v>1.023923949</v>
      </c>
      <c r="AM263" s="30">
        <f>IFERROR(__xludf.DUMMYFUNCTION("""COMPUTED_VALUE"""),0.974071940807334)</f>
        <v>0.9740719408</v>
      </c>
      <c r="AN263" s="30">
        <f>IFERROR(__xludf.DUMMYFUNCTION("""COMPUTED_VALUE"""),0.9478306308515706)</f>
        <v>0.9478306309</v>
      </c>
      <c r="AO263" s="30">
        <f>IFERROR(__xludf.DUMMYFUNCTION("""COMPUTED_VALUE"""),0.7758593549306685)</f>
        <v>0.7758593549</v>
      </c>
      <c r="AP263" s="30">
        <f>IFERROR(__xludf.DUMMYFUNCTION("""COMPUTED_VALUE"""),1.3137648467717025)</f>
        <v>1.313764847</v>
      </c>
      <c r="AQ263" s="30">
        <f>IFERROR(__xludf.DUMMYFUNCTION("""COMPUTED_VALUE"""),0.982153881449062)</f>
        <v>0.9821538814</v>
      </c>
      <c r="AR263" s="30">
        <f>IFERROR(__xludf.DUMMYFUNCTION("""COMPUTED_VALUE"""),0.7579652277723081)</f>
        <v>0.7579652278</v>
      </c>
      <c r="AS263" s="30">
        <f>IFERROR(__xludf.DUMMYFUNCTION("""COMPUTED_VALUE"""),47.0)</f>
        <v>47</v>
      </c>
      <c r="AT263" s="30">
        <f>IFERROR(__xludf.DUMMYFUNCTION("""COMPUTED_VALUE"""),0.48366371737178215)</f>
        <v>0.4836637174</v>
      </c>
      <c r="AU263" s="30">
        <f>IFERROR(__xludf.DUMMYFUNCTION("""COMPUTED_VALUE"""),2.010111175560016)</f>
        <v>2.010111176</v>
      </c>
      <c r="AV263" s="32">
        <f>IFERROR(__xludf.DUMMYFUNCTION("""COMPUTED_VALUE"""),38.966496185388564)</f>
        <v>38.96649619</v>
      </c>
      <c r="AW263" s="32">
        <f>IFERROR(__xludf.DUMMYFUNCTION("""COMPUTED_VALUE"""),-3.0350544460543123)</f>
        <v>-3.035054446</v>
      </c>
      <c r="AX263" s="32">
        <f>IFERROR(__xludf.DUMMYFUNCTION("""COMPUTED_VALUE"""),40.07599330361911)</f>
        <v>40.0759933</v>
      </c>
      <c r="AY263" s="32">
        <f>IFERROR(__xludf.DUMMYFUNCTION("""COMPUTED_VALUE"""),-2.8926950706426817)</f>
        <v>-2.892695071</v>
      </c>
      <c r="AZ263" s="30">
        <f>IFERROR(__xludf.DUMMYFUNCTION("""COMPUTED_VALUE"""),0.14235937541163057)</f>
        <v>0.1423593754</v>
      </c>
      <c r="BA263" s="30">
        <f>IFERROR(__xludf.DUMMYFUNCTION("""COMPUTED_VALUE"""),800.0)</f>
        <v>800</v>
      </c>
    </row>
    <row r="264">
      <c r="A264" s="30" t="str">
        <f>IFERROR(__xludf.DUMMYFUNCTION("""COMPUTED_VALUE"""),"Elite")</f>
        <v>Elite</v>
      </c>
      <c r="B264" s="30" t="str">
        <f>IFERROR(__xludf.DUMMYFUNCTION("""COMPUTED_VALUE"""),"RSC007941")</f>
        <v>RSC007941</v>
      </c>
      <c r="C264" s="30" t="str">
        <f>IFERROR(__xludf.DUMMYFUNCTION("""COMPUTED_VALUE"""),"Shepherd")</f>
        <v>Shepherd</v>
      </c>
      <c r="D264" s="30" t="str">
        <f>IFERROR(__xludf.DUMMYFUNCTION("""COMPUTED_VALUE"""),"Demons")</f>
        <v>Demons</v>
      </c>
      <c r="E264" s="30">
        <f>IFERROR(__xludf.DUMMYFUNCTION("""COMPUTED_VALUE"""),39.0)</f>
        <v>39</v>
      </c>
      <c r="F264" s="30">
        <f>IFERROR(__xludf.DUMMYFUNCTION("""COMPUTED_VALUE"""),16.0)</f>
        <v>16</v>
      </c>
      <c r="G264" s="30">
        <f>IFERROR(__xludf.DUMMYFUNCTION("""COMPUTED_VALUE"""),23.0)</f>
        <v>23</v>
      </c>
      <c r="H264" s="42">
        <f>IFERROR(__xludf.DUMMYFUNCTION("""COMPUTED_VALUE"""),0.41025641025641024)</f>
        <v>0.4102564103</v>
      </c>
      <c r="I264" s="42">
        <f>IFERROR(__xludf.DUMMYFUNCTION("""COMPUTED_VALUE"""),0.3815789473684211)</f>
        <v>0.3815789474</v>
      </c>
      <c r="J264" s="30">
        <f>IFERROR(__xludf.DUMMYFUNCTION("""COMPUTED_VALUE"""),393.94871794871796)</f>
        <v>393.9487179</v>
      </c>
      <c r="K264" s="30">
        <f>IFERROR(__xludf.DUMMYFUNCTION("""COMPUTED_VALUE"""),0.7435897435897436)</f>
        <v>0.7435897436</v>
      </c>
      <c r="L264" s="30">
        <f>IFERROR(__xludf.DUMMYFUNCTION("""COMPUTED_VALUE"""),0.7948717948717948)</f>
        <v>0.7948717949</v>
      </c>
      <c r="M264" s="30">
        <f>IFERROR(__xludf.DUMMYFUNCTION("""COMPUTED_VALUE"""),1.8461538461538463)</f>
        <v>1.846153846</v>
      </c>
      <c r="N264" s="30">
        <f>IFERROR(__xludf.DUMMYFUNCTION("""COMPUTED_VALUE"""),1.9487179487179487)</f>
        <v>1.948717949</v>
      </c>
      <c r="O264" s="30">
        <f>IFERROR(__xludf.DUMMYFUNCTION("""COMPUTED_VALUE"""),371.77777777777777)</f>
        <v>371.7777778</v>
      </c>
      <c r="P264" s="30">
        <f>IFERROR(__xludf.DUMMYFUNCTION("""COMPUTED_VALUE"""),0.8717948717948718)</f>
        <v>0.8717948718</v>
      </c>
      <c r="Q264" s="30">
        <f>IFERROR(__xludf.DUMMYFUNCTION("""COMPUTED_VALUE"""),0.7094017094017094)</f>
        <v>0.7094017094</v>
      </c>
      <c r="R264" s="30">
        <f>IFERROR(__xludf.DUMMYFUNCTION("""COMPUTED_VALUE"""),1.2735042735042734)</f>
        <v>1.273504274</v>
      </c>
      <c r="S264" s="30">
        <f>IFERROR(__xludf.DUMMYFUNCTION("""COMPUTED_VALUE"""),2.9914529914529924)</f>
        <v>2.991452991</v>
      </c>
      <c r="T264" s="30">
        <f>IFERROR(__xludf.DUMMYFUNCTION("""COMPUTED_VALUE"""),369.63455099476096)</f>
        <v>369.634551</v>
      </c>
      <c r="U264" s="30">
        <f>IFERROR(__xludf.DUMMYFUNCTION("""COMPUTED_VALUE"""),0.85086029005101)</f>
        <v>0.8508602901</v>
      </c>
      <c r="V264" s="30">
        <f>IFERROR(__xludf.DUMMYFUNCTION("""COMPUTED_VALUE"""),0.5860260719098479)</f>
        <v>0.5860260719</v>
      </c>
      <c r="W264" s="30">
        <f>IFERROR(__xludf.DUMMYFUNCTION("""COMPUTED_VALUE"""),1.3981376509662842)</f>
        <v>1.398137651</v>
      </c>
      <c r="X264" s="30">
        <f>IFERROR(__xludf.DUMMYFUNCTION("""COMPUTED_VALUE"""),2.7260537668825653)</f>
        <v>2.726053767</v>
      </c>
      <c r="Y264" s="30">
        <f>IFERROR(__xludf.DUMMYFUNCTION("""COMPUTED_VALUE"""),358.33372340889446)</f>
        <v>358.3337234</v>
      </c>
      <c r="Z264" s="30">
        <f>IFERROR(__xludf.DUMMYFUNCTION("""COMPUTED_VALUE"""),0.756315052745221)</f>
        <v>0.7563150527</v>
      </c>
      <c r="AA264" s="30">
        <f>IFERROR(__xludf.DUMMYFUNCTION("""COMPUTED_VALUE"""),0.5613038019715132)</f>
        <v>0.561303802</v>
      </c>
      <c r="AB264" s="30">
        <f>IFERROR(__xludf.DUMMYFUNCTION("""COMPUTED_VALUE"""),1.474763265057032)</f>
        <v>1.474763265</v>
      </c>
      <c r="AC264" s="30">
        <f>IFERROR(__xludf.DUMMYFUNCTION("""COMPUTED_VALUE"""),2.5678961490296186)</f>
        <v>2.567896149</v>
      </c>
      <c r="AD264" s="30">
        <f>IFERROR(__xludf.DUMMYFUNCTION("""COMPUTED_VALUE"""),1.099390574241831)</f>
        <v>1.099390574</v>
      </c>
      <c r="AE264" s="30">
        <f>IFERROR(__xludf.DUMMYFUNCTION("""COMPUTED_VALUE"""),0.9831745922426269)</f>
        <v>0.9831745922</v>
      </c>
      <c r="AF264" s="30">
        <f>IFERROR(__xludf.DUMMYFUNCTION("""COMPUTED_VALUE"""),1.416116890852871)</f>
        <v>1.416116891</v>
      </c>
      <c r="AG264" s="30">
        <f>IFERROR(__xludf.DUMMYFUNCTION("""COMPUTED_VALUE"""),1.2518306428540258)</f>
        <v>1.251830643</v>
      </c>
      <c r="AH264" s="30">
        <f>IFERROR(__xludf.DUMMYFUNCTION("""COMPUTED_VALUE"""),0.7588772425451664)</f>
        <v>0.7588772425</v>
      </c>
      <c r="AI264" s="30">
        <f>IFERROR(__xludf.DUMMYFUNCTION("""COMPUTED_VALUE"""),1.0057982317325287)</f>
        <v>1.005798232</v>
      </c>
      <c r="AJ264" s="30">
        <f>IFERROR(__xludf.DUMMYFUNCTION("""COMPUTED_VALUE"""),1.0246040178260132)</f>
        <v>1.024604018</v>
      </c>
      <c r="AK264" s="30">
        <f>IFERROR(__xludf.DUMMYFUNCTION("""COMPUTED_VALUE"""),1.2105292638086607)</f>
        <v>1.210529264</v>
      </c>
      <c r="AL264" s="30">
        <f>IFERROR(__xludf.DUMMYFUNCTION("""COMPUTED_VALUE"""),0.9108575773094488)</f>
        <v>0.9108575773</v>
      </c>
      <c r="AM264" s="30">
        <f>IFERROR(__xludf.DUMMYFUNCTION("""COMPUTED_VALUE"""),1.0973565627335113)</f>
        <v>1.097356563</v>
      </c>
      <c r="AN264" s="30">
        <f>IFERROR(__xludf.DUMMYFUNCTION("""COMPUTED_VALUE"""),1.1236733730258825)</f>
        <v>1.123673373</v>
      </c>
      <c r="AO264" s="30">
        <f>IFERROR(__xludf.DUMMYFUNCTION("""COMPUTED_VALUE"""),1.0489473796265447)</f>
        <v>1.04894738</v>
      </c>
      <c r="AP264" s="30">
        <f>IFERROR(__xludf.DUMMYFUNCTION("""COMPUTED_VALUE"""),1.3923661623905221)</f>
        <v>1.392366162</v>
      </c>
      <c r="AQ264" s="30">
        <f>IFERROR(__xludf.DUMMYFUNCTION("""COMPUTED_VALUE"""),1.2951479755372248)</f>
        <v>1.295147976</v>
      </c>
      <c r="AR264" s="30">
        <f>IFERROR(__xludf.DUMMYFUNCTION("""COMPUTED_VALUE"""),0.7774002336126238)</f>
        <v>0.7774002336</v>
      </c>
      <c r="AS264" s="30">
        <f>IFERROR(__xludf.DUMMYFUNCTION("""COMPUTED_VALUE"""),89.0)</f>
        <v>89</v>
      </c>
      <c r="AT264" s="30">
        <f>IFERROR(__xludf.DUMMYFUNCTION("""COMPUTED_VALUE"""),0.44643229130573225)</f>
        <v>0.4464322913</v>
      </c>
      <c r="AU264" s="30">
        <f>IFERROR(__xludf.DUMMYFUNCTION("""COMPUTED_VALUE"""),2.5442614584675005)</f>
        <v>2.544261458</v>
      </c>
      <c r="AV264" s="32">
        <f>IFERROR(__xludf.DUMMYFUNCTION("""COMPUTED_VALUE"""),54.33090868673047)</f>
        <v>54.33090869</v>
      </c>
      <c r="AW264" s="32">
        <f>IFERROR(__xludf.DUMMYFUNCTION("""COMPUTED_VALUE"""),2.3189329219279244)</f>
        <v>2.318932922</v>
      </c>
      <c r="AX264" s="32">
        <f>IFERROR(__xludf.DUMMYFUNCTION("""COMPUTED_VALUE"""),52.71026636433983)</f>
        <v>52.71026636</v>
      </c>
      <c r="AY264" s="32">
        <f>IFERROR(__xludf.DUMMYFUNCTION("""COMPUTED_VALUE"""),2.188974257488548)</f>
        <v>2.188974257</v>
      </c>
      <c r="AZ264" s="30">
        <f>IFERROR(__xludf.DUMMYFUNCTION("""COMPUTED_VALUE"""),0.12995866443937665)</f>
        <v>0.1299586644</v>
      </c>
      <c r="BA264" s="30">
        <f>IFERROR(__xludf.DUMMYFUNCTION("""COMPUTED_VALUE"""),800.0)</f>
        <v>800</v>
      </c>
    </row>
    <row r="265">
      <c r="A265" s="30" t="str">
        <f>IFERROR(__xludf.DUMMYFUNCTION("""COMPUTED_VALUE"""),"Elite")</f>
        <v>Elite</v>
      </c>
      <c r="B265" s="30" t="str">
        <f>IFERROR(__xludf.DUMMYFUNCTION("""COMPUTED_VALUE"""),"RSC003561")</f>
        <v>RSC003561</v>
      </c>
      <c r="C265" s="30" t="str">
        <f>IFERROR(__xludf.DUMMYFUNCTION("""COMPUTED_VALUE"""),"Dooober")</f>
        <v>Dooober</v>
      </c>
      <c r="D265" s="30" t="str">
        <f>IFERROR(__xludf.DUMMYFUNCTION("""COMPUTED_VALUE"""),"Drive Bye")</f>
        <v>Drive Bye</v>
      </c>
      <c r="E265" s="30">
        <f>IFERROR(__xludf.DUMMYFUNCTION("""COMPUTED_VALUE"""),38.0)</f>
        <v>38</v>
      </c>
      <c r="F265" s="30">
        <f>IFERROR(__xludf.DUMMYFUNCTION("""COMPUTED_VALUE"""),13.0)</f>
        <v>13</v>
      </c>
      <c r="G265" s="30">
        <f>IFERROR(__xludf.DUMMYFUNCTION("""COMPUTED_VALUE"""),25.0)</f>
        <v>25</v>
      </c>
      <c r="H265" s="42">
        <f>IFERROR(__xludf.DUMMYFUNCTION("""COMPUTED_VALUE"""),0.34210526315789475)</f>
        <v>0.3421052632</v>
      </c>
      <c r="I265" s="42">
        <f>IFERROR(__xludf.DUMMYFUNCTION("""COMPUTED_VALUE"""),0.3181818181818182)</f>
        <v>0.3181818182</v>
      </c>
      <c r="J265" s="30">
        <f>IFERROR(__xludf.DUMMYFUNCTION("""COMPUTED_VALUE"""),354.6578947368421)</f>
        <v>354.6578947</v>
      </c>
      <c r="K265" s="30">
        <f>IFERROR(__xludf.DUMMYFUNCTION("""COMPUTED_VALUE"""),0.7368421052631579)</f>
        <v>0.7368421053</v>
      </c>
      <c r="L265" s="30">
        <f>IFERROR(__xludf.DUMMYFUNCTION("""COMPUTED_VALUE"""),0.4473684210526316)</f>
        <v>0.4473684211</v>
      </c>
      <c r="M265" s="30">
        <f>IFERROR(__xludf.DUMMYFUNCTION("""COMPUTED_VALUE"""),1.868421052631579)</f>
        <v>1.868421053</v>
      </c>
      <c r="N265" s="30">
        <f>IFERROR(__xludf.DUMMYFUNCTION("""COMPUTED_VALUE"""),2.3157894736842106)</f>
        <v>2.315789474</v>
      </c>
      <c r="O265" s="30">
        <f>IFERROR(__xludf.DUMMYFUNCTION("""COMPUTED_VALUE"""),387.40350877192986)</f>
        <v>387.4035088</v>
      </c>
      <c r="P265" s="30">
        <f>IFERROR(__xludf.DUMMYFUNCTION("""COMPUTED_VALUE"""),0.9035087719298246)</f>
        <v>0.9035087719</v>
      </c>
      <c r="Q265" s="30">
        <f>IFERROR(__xludf.DUMMYFUNCTION("""COMPUTED_VALUE"""),0.7368421052631579)</f>
        <v>0.7368421053</v>
      </c>
      <c r="R265" s="30">
        <f>IFERROR(__xludf.DUMMYFUNCTION("""COMPUTED_VALUE"""),1.307017543859649)</f>
        <v>1.307017544</v>
      </c>
      <c r="S265" s="30">
        <f>IFERROR(__xludf.DUMMYFUNCTION("""COMPUTED_VALUE"""),3.070175438596491)</f>
        <v>3.070175439</v>
      </c>
      <c r="T265" s="30">
        <f>IFERROR(__xludf.DUMMYFUNCTION("""COMPUTED_VALUE"""),364.8894310835613)</f>
        <v>364.8894311</v>
      </c>
      <c r="U265" s="30">
        <f>IFERROR(__xludf.DUMMYFUNCTION("""COMPUTED_VALUE"""),0.7799956693236343)</f>
        <v>0.7799956693</v>
      </c>
      <c r="V265" s="30">
        <f>IFERROR(__xludf.DUMMYFUNCTION("""COMPUTED_VALUE"""),0.6087196037570275)</f>
        <v>0.6087196038</v>
      </c>
      <c r="W265" s="30">
        <f>IFERROR(__xludf.DUMMYFUNCTION("""COMPUTED_VALUE"""),1.4206508160988547)</f>
        <v>1.420650816</v>
      </c>
      <c r="X265" s="30">
        <f>IFERROR(__xludf.DUMMYFUNCTION("""COMPUTED_VALUE"""),2.715510605178998)</f>
        <v>2.715510605</v>
      </c>
      <c r="Y265" s="30">
        <f>IFERROR(__xludf.DUMMYFUNCTION("""COMPUTED_VALUE"""),353.17663967989637)</f>
        <v>353.1766397</v>
      </c>
      <c r="Z265" s="30">
        <f>IFERROR(__xludf.DUMMYFUNCTION("""COMPUTED_VALUE"""),0.7287653583694013)</f>
        <v>0.7287653584</v>
      </c>
      <c r="AA265" s="30">
        <f>IFERROR(__xludf.DUMMYFUNCTION("""COMPUTED_VALUE"""),0.5478376125900021)</f>
        <v>0.5478376126</v>
      </c>
      <c r="AB265" s="30">
        <f>IFERROR(__xludf.DUMMYFUNCTION("""COMPUTED_VALUE"""),1.452183486484092)</f>
        <v>1.452183486</v>
      </c>
      <c r="AC265" s="30">
        <f>IFERROR(__xludf.DUMMYFUNCTION("""COMPUTED_VALUE"""),2.5477241825471366)</f>
        <v>2.547724183</v>
      </c>
      <c r="AD265" s="30">
        <f>IFERROR(__xludf.DUMMYFUNCTION("""COMPUTED_VALUE"""),1.0041940912578144)</f>
        <v>1.004194091</v>
      </c>
      <c r="AE265" s="30">
        <f>IFERROR(__xludf.DUMMYFUNCTION("""COMPUTED_VALUE"""),1.011082781036448)</f>
        <v>1.011082781</v>
      </c>
      <c r="AF265" s="30">
        <f>IFERROR(__xludf.DUMMYFUNCTION("""COMPUTED_VALUE"""),0.8166077150811458)</f>
        <v>0.8166077151</v>
      </c>
      <c r="AG265" s="30">
        <f>IFERROR(__xludf.DUMMYFUNCTION("""COMPUTED_VALUE"""),1.2866287697260954)</f>
        <v>1.28662877</v>
      </c>
      <c r="AH265" s="30">
        <f>IFERROR(__xludf.DUMMYFUNCTION("""COMPUTED_VALUE"""),0.908963964603482)</f>
        <v>0.9089639646</v>
      </c>
      <c r="AI265" s="30">
        <f>IFERROR(__xludf.DUMMYFUNCTION("""COMPUTED_VALUE"""),1.0617010956483766)</f>
        <v>1.061701096</v>
      </c>
      <c r="AJ265" s="30">
        <f>IFERROR(__xludf.DUMMYFUNCTION("""COMPUTED_VALUE"""),1.1583510107348334)</f>
        <v>1.158351011</v>
      </c>
      <c r="AK265" s="30">
        <f>IFERROR(__xludf.DUMMYFUNCTION("""COMPUTED_VALUE"""),1.2104786846281212)</f>
        <v>1.210478685</v>
      </c>
      <c r="AL265" s="30">
        <f>IFERROR(__xludf.DUMMYFUNCTION("""COMPUTED_VALUE"""),0.9200132284784478)</f>
        <v>0.9200132285</v>
      </c>
      <c r="AM265" s="30">
        <f>IFERROR(__xludf.DUMMYFUNCTION("""COMPUTED_VALUE"""),1.130607051484564)</f>
        <v>1.130607051</v>
      </c>
      <c r="AN265" s="30">
        <f>IFERROR(__xludf.DUMMYFUNCTION("""COMPUTED_VALUE"""),1.0116028170475804)</f>
        <v>1.011602817</v>
      </c>
      <c r="AO265" s="30">
        <f>IFERROR(__xludf.DUMMYFUNCTION("""COMPUTED_VALUE"""),1.0394288008640533)</f>
        <v>1.039428801</v>
      </c>
      <c r="AP265" s="30">
        <f>IFERROR(__xludf.DUMMYFUNCTION("""COMPUTED_VALUE"""),0.7836492068462786)</f>
        <v>0.7836492068</v>
      </c>
      <c r="AQ265" s="30">
        <f>IFERROR(__xludf.DUMMYFUNCTION("""COMPUTED_VALUE"""),1.3107692778737483)</f>
        <v>1.310769278</v>
      </c>
      <c r="AR265" s="30">
        <f>IFERROR(__xludf.DUMMYFUNCTION("""COMPUTED_VALUE"""),0.9238357346809297)</f>
        <v>0.9238357347</v>
      </c>
      <c r="AS265" s="30">
        <f>IFERROR(__xludf.DUMMYFUNCTION("""COMPUTED_VALUE"""),66.0)</f>
        <v>66</v>
      </c>
      <c r="AT265" s="30">
        <f>IFERROR(__xludf.DUMMYFUNCTION("""COMPUTED_VALUE"""),0.33558597777087357)</f>
        <v>0.3355859778</v>
      </c>
      <c r="AU265" s="30">
        <f>IFERROR(__xludf.DUMMYFUNCTION("""COMPUTED_VALUE"""),2.1289550900952863)</f>
        <v>2.12895509</v>
      </c>
      <c r="AV265" s="32">
        <f>IFERROR(__xludf.DUMMYFUNCTION("""COMPUTED_VALUE"""),42.384947854561176)</f>
        <v>42.38494785</v>
      </c>
      <c r="AW265" s="32">
        <f>IFERROR(__xludf.DUMMYFUNCTION("""COMPUTED_VALUE"""),-2.629263703484427)</f>
        <v>-2.629263703</v>
      </c>
      <c r="AX265" s="32">
        <f>IFERROR(__xludf.DUMMYFUNCTION("""COMPUTED_VALUE"""),41.259534354992766)</f>
        <v>41.25953435</v>
      </c>
      <c r="AY265" s="32">
        <f>IFERROR(__xludf.DUMMYFUNCTION("""COMPUTED_VALUE"""),-2.752451664466974)</f>
        <v>-2.752451664</v>
      </c>
      <c r="AZ265" s="30">
        <f>IFERROR(__xludf.DUMMYFUNCTION("""COMPUTED_VALUE"""),0.12318796098254703)</f>
        <v>0.123187961</v>
      </c>
      <c r="BA265" s="30">
        <f>IFERROR(__xludf.DUMMYFUNCTION("""COMPUTED_VALUE"""),800.0)</f>
        <v>800</v>
      </c>
    </row>
    <row r="266">
      <c r="A266" s="30" t="str">
        <f>IFERROR(__xludf.DUMMYFUNCTION("""COMPUTED_VALUE"""),"Elite")</f>
        <v>Elite</v>
      </c>
      <c r="B266" s="30" t="str">
        <f>IFERROR(__xludf.DUMMYFUNCTION("""COMPUTED_VALUE"""),"RSC005236")</f>
        <v>RSC005236</v>
      </c>
      <c r="C266" s="30" t="str">
        <f>IFERROR(__xludf.DUMMYFUNCTION("""COMPUTED_VALUE"""),"Rozi-")</f>
        <v>Rozi-</v>
      </c>
      <c r="D266" s="30" t="str">
        <f>IFERROR(__xludf.DUMMYFUNCTION("""COMPUTED_VALUE"""),"Praetorian Guard")</f>
        <v>Praetorian Guard</v>
      </c>
      <c r="E266" s="30">
        <f>IFERROR(__xludf.DUMMYFUNCTION("""COMPUTED_VALUE"""),44.0)</f>
        <v>44</v>
      </c>
      <c r="F266" s="30">
        <f>IFERROR(__xludf.DUMMYFUNCTION("""COMPUTED_VALUE"""),27.0)</f>
        <v>27</v>
      </c>
      <c r="G266" s="30">
        <f>IFERROR(__xludf.DUMMYFUNCTION("""COMPUTED_VALUE"""),17.0)</f>
        <v>17</v>
      </c>
      <c r="H266" s="42">
        <f>IFERROR(__xludf.DUMMYFUNCTION("""COMPUTED_VALUE"""),0.6136363636363636)</f>
        <v>0.6136363636</v>
      </c>
      <c r="I266" s="42">
        <f>IFERROR(__xludf.DUMMYFUNCTION("""COMPUTED_VALUE"""),0.19827586206896552)</f>
        <v>0.1982758621</v>
      </c>
      <c r="J266" s="30">
        <f>IFERROR(__xludf.DUMMYFUNCTION("""COMPUTED_VALUE"""),337.1363636363636)</f>
        <v>337.1363636</v>
      </c>
      <c r="K266" s="30">
        <f>IFERROR(__xludf.DUMMYFUNCTION("""COMPUTED_VALUE"""),0.5227272727272727)</f>
        <v>0.5227272727</v>
      </c>
      <c r="L266" s="30">
        <f>IFERROR(__xludf.DUMMYFUNCTION("""COMPUTED_VALUE"""),0.6590909090909091)</f>
        <v>0.6590909091</v>
      </c>
      <c r="M266" s="30">
        <f>IFERROR(__xludf.DUMMYFUNCTION("""COMPUTED_VALUE"""),1.4090909090909092)</f>
        <v>1.409090909</v>
      </c>
      <c r="N266" s="30">
        <f>IFERROR(__xludf.DUMMYFUNCTION("""COMPUTED_VALUE"""),2.6363636363636362)</f>
        <v>2.636363636</v>
      </c>
      <c r="O266" s="30">
        <f>IFERROR(__xludf.DUMMYFUNCTION("""COMPUTED_VALUE"""),341.96969696969694)</f>
        <v>341.969697</v>
      </c>
      <c r="P266" s="30">
        <f>IFERROR(__xludf.DUMMYFUNCTION("""COMPUTED_VALUE"""),0.6212121212121211)</f>
        <v>0.6212121212</v>
      </c>
      <c r="Q266" s="30">
        <f>IFERROR(__xludf.DUMMYFUNCTION("""COMPUTED_VALUE"""),0.49999999999999983)</f>
        <v>0.5</v>
      </c>
      <c r="R266" s="30">
        <f>IFERROR(__xludf.DUMMYFUNCTION("""COMPUTED_VALUE"""),1.4696969696969695)</f>
        <v>1.46969697</v>
      </c>
      <c r="S266" s="30">
        <f>IFERROR(__xludf.DUMMYFUNCTION("""COMPUTED_VALUE"""),2.462121212121213)</f>
        <v>2.462121212</v>
      </c>
      <c r="T266" s="30">
        <f>IFERROR(__xludf.DUMMYFUNCTION("""COMPUTED_VALUE"""),354.9980678821496)</f>
        <v>354.9980679</v>
      </c>
      <c r="U266" s="30">
        <f>IFERROR(__xludf.DUMMYFUNCTION("""COMPUTED_VALUE"""),0.7393126958845496)</f>
        <v>0.7393126959</v>
      </c>
      <c r="V266" s="30">
        <f>IFERROR(__xludf.DUMMYFUNCTION("""COMPUTED_VALUE"""),0.5679910020065967)</f>
        <v>0.567991002</v>
      </c>
      <c r="W266" s="30">
        <f>IFERROR(__xludf.DUMMYFUNCTION("""COMPUTED_VALUE"""),1.4487141577895197)</f>
        <v>1.448714158</v>
      </c>
      <c r="X266" s="30">
        <f>IFERROR(__xludf.DUMMYFUNCTION("""COMPUTED_VALUE"""),2.504948186735834)</f>
        <v>2.504948187</v>
      </c>
      <c r="Y266" s="30">
        <f>IFERROR(__xludf.DUMMYFUNCTION("""COMPUTED_VALUE"""),366.04577190957076)</f>
        <v>366.0457719</v>
      </c>
      <c r="Z266" s="30">
        <f>IFERROR(__xludf.DUMMYFUNCTION("""COMPUTED_VALUE"""),0.8228498121205036)</f>
        <v>0.8228498121</v>
      </c>
      <c r="AA266" s="30">
        <f>IFERROR(__xludf.DUMMYFUNCTION("""COMPUTED_VALUE"""),0.620996481916158)</f>
        <v>0.6209964819</v>
      </c>
      <c r="AB266" s="30">
        <f>IFERROR(__xludf.DUMMYFUNCTION("""COMPUTED_VALUE"""),1.358023012334108)</f>
        <v>1.358023012</v>
      </c>
      <c r="AC266" s="30">
        <f>IFERROR(__xludf.DUMMYFUNCTION("""COMPUTED_VALUE"""),2.771568353181853)</f>
        <v>2.771568353</v>
      </c>
      <c r="AD266" s="30">
        <f>IFERROR(__xludf.DUMMYFUNCTION("""COMPUTED_VALUE"""),0.9210224226265643)</f>
        <v>0.9210224226</v>
      </c>
      <c r="AE266" s="30">
        <f>IFERROR(__xludf.DUMMYFUNCTION("""COMPUTED_VALUE"""),0.6352644978798647)</f>
        <v>0.6352644979</v>
      </c>
      <c r="AF266" s="30">
        <f>IFERROR(__xludf.DUMMYFUNCTION("""COMPUTED_VALUE"""),1.0613440305768018)</f>
        <v>1.061344031</v>
      </c>
      <c r="AG266" s="30">
        <f>IFERROR(__xludf.DUMMYFUNCTION("""COMPUTED_VALUE"""),1.0376045886505474)</f>
        <v>1.037604589</v>
      </c>
      <c r="AH266" s="30">
        <f>IFERROR(__xludf.DUMMYFUNCTION("""COMPUTED_VALUE"""),0.9512172533421386)</f>
        <v>0.9512172533</v>
      </c>
      <c r="AI266" s="30">
        <f>IFERROR(__xludf.DUMMYFUNCTION("""COMPUTED_VALUE"""),0.9633001638848983)</f>
        <v>0.9633001639</v>
      </c>
      <c r="AJ266" s="30">
        <f>IFERROR(__xludf.DUMMYFUNCTION("""COMPUTED_VALUE"""),0.8402562605378672)</f>
        <v>0.8402562605</v>
      </c>
      <c r="AK266" s="30">
        <f>IFERROR(__xludf.DUMMYFUNCTION("""COMPUTED_VALUE"""),0.8802956353773238)</f>
        <v>0.8802956354</v>
      </c>
      <c r="AL266" s="30">
        <f>IFERROR(__xludf.DUMMYFUNCTION("""COMPUTED_VALUE"""),1.0144837487744758)</f>
        <v>1.014483749</v>
      </c>
      <c r="AM266" s="30">
        <f>IFERROR(__xludf.DUMMYFUNCTION("""COMPUTED_VALUE"""),0.9829030497152005)</f>
        <v>0.9829030497</v>
      </c>
      <c r="AN266" s="30">
        <f>IFERROR(__xludf.DUMMYFUNCTION("""COMPUTED_VALUE"""),0.961625555908694)</f>
        <v>0.9616255559</v>
      </c>
      <c r="AO266" s="30">
        <f>IFERROR(__xludf.DUMMYFUNCTION("""COMPUTED_VALUE"""),0.7373869902233625)</f>
        <v>0.7373869902</v>
      </c>
      <c r="AP266" s="30">
        <f>IFERROR(__xludf.DUMMYFUNCTION("""COMPUTED_VALUE"""),1.1545206229205869)</f>
        <v>1.154520623</v>
      </c>
      <c r="AQ266" s="30">
        <f>IFERROR(__xludf.DUMMYFUNCTION("""COMPUTED_VALUE"""),0.9885315040558743)</f>
        <v>0.9885315041</v>
      </c>
      <c r="AR266" s="30">
        <f>IFERROR(__xludf.DUMMYFUNCTION("""COMPUTED_VALUE"""),1.0517220863826287)</f>
        <v>1.051722086</v>
      </c>
      <c r="AS266" s="30">
        <f>IFERROR(__xludf.DUMMYFUNCTION("""COMPUTED_VALUE"""),92.0)</f>
        <v>92</v>
      </c>
      <c r="AT266" s="30">
        <f>IFERROR(__xludf.DUMMYFUNCTION("""COMPUTED_VALUE"""),0.5425807288471001)</f>
        <v>0.5425807288</v>
      </c>
      <c r="AU266" s="30">
        <f>IFERROR(__xludf.DUMMYFUNCTION("""COMPUTED_VALUE"""),2.3222397313243457)</f>
        <v>2.322239731</v>
      </c>
      <c r="AV266" s="32">
        <f>IFERROR(__xludf.DUMMYFUNCTION("""COMPUTED_VALUE"""),47.94462844080455)</f>
        <v>47.94462844</v>
      </c>
      <c r="AW266" s="32">
        <f>IFERROR(__xludf.DUMMYFUNCTION("""COMPUTED_VALUE"""),-2.140237213522708)</f>
        <v>-2.140237214</v>
      </c>
      <c r="AX266" s="32">
        <f>IFERROR(__xludf.DUMMYFUNCTION("""COMPUTED_VALUE"""),46.822937346625075)</f>
        <v>46.82293735</v>
      </c>
      <c r="AY266" s="32">
        <f>IFERROR(__xludf.DUMMYFUNCTION("""COMPUTED_VALUE"""),-2.225003235781872)</f>
        <v>-2.225003236</v>
      </c>
      <c r="AZ266" s="30">
        <f>IFERROR(__xludf.DUMMYFUNCTION("""COMPUTED_VALUE"""),0.08476602225916396)</f>
        <v>0.08476602226</v>
      </c>
      <c r="BA266" s="30">
        <f>IFERROR(__xludf.DUMMYFUNCTION("""COMPUTED_VALUE"""),800.0)</f>
        <v>800</v>
      </c>
    </row>
    <row r="267">
      <c r="A267" s="30" t="str">
        <f>IFERROR(__xludf.DUMMYFUNCTION("""COMPUTED_VALUE"""),"Elite")</f>
        <v>Elite</v>
      </c>
      <c r="B267" s="30" t="str">
        <f>IFERROR(__xludf.DUMMYFUNCTION("""COMPUTED_VALUE"""),"RSC007263")</f>
        <v>RSC007263</v>
      </c>
      <c r="C267" s="30" t="str">
        <f>IFERROR(__xludf.DUMMYFUNCTION("""COMPUTED_VALUE"""),"HardPointy")</f>
        <v>HardPointy</v>
      </c>
      <c r="D267" s="30"/>
      <c r="E267" s="30">
        <f>IFERROR(__xludf.DUMMYFUNCTION("""COMPUTED_VALUE"""),15.0)</f>
        <v>15</v>
      </c>
      <c r="F267" s="30">
        <f>IFERROR(__xludf.DUMMYFUNCTION("""COMPUTED_VALUE"""),5.0)</f>
        <v>5</v>
      </c>
      <c r="G267" s="30">
        <f>IFERROR(__xludf.DUMMYFUNCTION("""COMPUTED_VALUE"""),10.0)</f>
        <v>10</v>
      </c>
      <c r="H267" s="42">
        <f>IFERROR(__xludf.DUMMYFUNCTION("""COMPUTED_VALUE"""),0.3333333333333333)</f>
        <v>0.3333333333</v>
      </c>
      <c r="I267" s="42">
        <f>IFERROR(__xludf.DUMMYFUNCTION("""COMPUTED_VALUE"""),0.18181818181818182)</f>
        <v>0.1818181818</v>
      </c>
      <c r="J267" s="30">
        <f>IFERROR(__xludf.DUMMYFUNCTION("""COMPUTED_VALUE"""),404.53333333333336)</f>
        <v>404.5333333</v>
      </c>
      <c r="K267" s="30">
        <f>IFERROR(__xludf.DUMMYFUNCTION("""COMPUTED_VALUE"""),0.5333333333333333)</f>
        <v>0.5333333333</v>
      </c>
      <c r="L267" s="30">
        <f>IFERROR(__xludf.DUMMYFUNCTION("""COMPUTED_VALUE"""),0.8)</f>
        <v>0.8</v>
      </c>
      <c r="M267" s="30">
        <f>IFERROR(__xludf.DUMMYFUNCTION("""COMPUTED_VALUE"""),2.0)</f>
        <v>2</v>
      </c>
      <c r="N267" s="30">
        <f>IFERROR(__xludf.DUMMYFUNCTION("""COMPUTED_VALUE"""),2.933333333333333)</f>
        <v>2.933333333</v>
      </c>
      <c r="O267" s="30">
        <f>IFERROR(__xludf.DUMMYFUNCTION("""COMPUTED_VALUE"""),395.64444444444445)</f>
        <v>395.6444444</v>
      </c>
      <c r="P267" s="30">
        <f>IFERROR(__xludf.DUMMYFUNCTION("""COMPUTED_VALUE"""),0.977777777777778)</f>
        <v>0.9777777778</v>
      </c>
      <c r="Q267" s="30">
        <f>IFERROR(__xludf.DUMMYFUNCTION("""COMPUTED_VALUE"""),0.7555555555555554)</f>
        <v>0.7555555556</v>
      </c>
      <c r="R267" s="30">
        <f>IFERROR(__xludf.DUMMYFUNCTION("""COMPUTED_VALUE"""),1.333333333333333)</f>
        <v>1.333333333</v>
      </c>
      <c r="S267" s="30">
        <f>IFERROR(__xludf.DUMMYFUNCTION("""COMPUTED_VALUE"""),3.2888888888888888)</f>
        <v>3.288888889</v>
      </c>
      <c r="T267" s="30">
        <f>IFERROR(__xludf.DUMMYFUNCTION("""COMPUTED_VALUE"""),363.9565035644874)</f>
        <v>363.9565036</v>
      </c>
      <c r="U267" s="30">
        <f>IFERROR(__xludf.DUMMYFUNCTION("""COMPUTED_VALUE"""),0.773351291081556)</f>
        <v>0.7733512911</v>
      </c>
      <c r="V267" s="30">
        <f>IFERROR(__xludf.DUMMYFUNCTION("""COMPUTED_VALUE"""),0.5815896874062886)</f>
        <v>0.5815896874</v>
      </c>
      <c r="W267" s="30">
        <f>IFERROR(__xludf.DUMMYFUNCTION("""COMPUTED_VALUE"""),1.415722626473514)</f>
        <v>1.415722626</v>
      </c>
      <c r="X267" s="30">
        <f>IFERROR(__xludf.DUMMYFUNCTION("""COMPUTED_VALUE"""),2.7922199179473375)</f>
        <v>2.792219918</v>
      </c>
      <c r="Y267" s="30">
        <f>IFERROR(__xludf.DUMMYFUNCTION("""COMPUTED_VALUE"""),358.53232847369685)</f>
        <v>358.5323285</v>
      </c>
      <c r="Z267" s="30">
        <f>IFERROR(__xludf.DUMMYFUNCTION("""COMPUTED_VALUE"""),0.7289984352081839)</f>
        <v>0.7289984352</v>
      </c>
      <c r="AA267" s="30">
        <f>IFERROR(__xludf.DUMMYFUNCTION("""COMPUTED_VALUE"""),0.5512144212622042)</f>
        <v>0.5512144213</v>
      </c>
      <c r="AB267" s="30">
        <f>IFERROR(__xludf.DUMMYFUNCTION("""COMPUTED_VALUE"""),1.4732680659610802)</f>
        <v>1.473268066</v>
      </c>
      <c r="AC267" s="30">
        <f>IFERROR(__xludf.DUMMYFUNCTION("""COMPUTED_VALUE"""),2.611365380878591)</f>
        <v>2.611365381</v>
      </c>
      <c r="AD267" s="30">
        <f>IFERROR(__xludf.DUMMYFUNCTION("""COMPUTED_VALUE"""),1.1283036457422593)</f>
        <v>1.128303646</v>
      </c>
      <c r="AE267" s="30">
        <f>IFERROR(__xludf.DUMMYFUNCTION("""COMPUTED_VALUE"""),0.7315973636912219)</f>
        <v>0.7315973637</v>
      </c>
      <c r="AF267" s="30">
        <f>IFERROR(__xludf.DUMMYFUNCTION("""COMPUTED_VALUE"""),1.4513408378687036)</f>
        <v>1.451340838</v>
      </c>
      <c r="AG267" s="30">
        <f>IFERROR(__xludf.DUMMYFUNCTION("""COMPUTED_VALUE"""),1.3575262005664315)</f>
        <v>1.357526201</v>
      </c>
      <c r="AH267" s="30">
        <f>IFERROR(__xludf.DUMMYFUNCTION("""COMPUTED_VALUE"""),1.1232948689648388)</f>
        <v>1.123294869</v>
      </c>
      <c r="AI267" s="30">
        <f>IFERROR(__xludf.DUMMYFUNCTION("""COMPUTED_VALUE"""),1.0870651865528278)</f>
        <v>1.087065187</v>
      </c>
      <c r="AJ267" s="30">
        <f>IFERROR(__xludf.DUMMYFUNCTION("""COMPUTED_VALUE"""),1.2643384566027234)</f>
        <v>1.264338457</v>
      </c>
      <c r="AK267" s="30">
        <f>IFERROR(__xludf.DUMMYFUNCTION("""COMPUTED_VALUE"""),1.2991213082286606)</f>
        <v>1.299121308</v>
      </c>
      <c r="AL267" s="30">
        <f>IFERROR(__xludf.DUMMYFUNCTION("""COMPUTED_VALUE"""),0.9418040712216289)</f>
        <v>0.9418040712</v>
      </c>
      <c r="AM267" s="30">
        <f>IFERROR(__xludf.DUMMYFUNCTION("""COMPUTED_VALUE"""),1.1778760217807882)</f>
        <v>1.177876022</v>
      </c>
      <c r="AN267" s="30">
        <f>IFERROR(__xludf.DUMMYFUNCTION("""COMPUTED_VALUE"""),1.1538642327229072)</f>
        <v>1.153864233</v>
      </c>
      <c r="AO267" s="30">
        <f>IFERROR(__xludf.DUMMYFUNCTION("""COMPUTED_VALUE"""),0.7523484653873148)</f>
        <v>0.7523484654</v>
      </c>
      <c r="AP267" s="30">
        <f>IFERROR(__xludf.DUMMYFUNCTION("""COMPUTED_VALUE"""),1.401349169889816)</f>
        <v>1.40134917</v>
      </c>
      <c r="AQ267" s="30">
        <f>IFERROR(__xludf.DUMMYFUNCTION("""COMPUTED_VALUE"""),1.4030769734986601)</f>
        <v>1.403076973</v>
      </c>
      <c r="AR267" s="30">
        <f>IFERROR(__xludf.DUMMYFUNCTION("""COMPUTED_VALUE"""),1.1701919305958441)</f>
        <v>1.170191931</v>
      </c>
      <c r="AS267" s="30">
        <f>IFERROR(__xludf.DUMMYFUNCTION("""COMPUTED_VALUE"""),33.0)</f>
        <v>33</v>
      </c>
      <c r="AT267" s="30">
        <f>IFERROR(__xludf.DUMMYFUNCTION("""COMPUTED_VALUE"""),0.38697586972956277)</f>
        <v>0.3869758697</v>
      </c>
      <c r="AU267" s="30">
        <f>IFERROR(__xludf.DUMMYFUNCTION("""COMPUTED_VALUE"""),2.5427806473448906)</f>
        <v>2.542780647</v>
      </c>
      <c r="AV267" s="32">
        <f>IFERROR(__xludf.DUMMYFUNCTION("""COMPUTED_VALUE"""),54.28831432021528)</f>
        <v>54.28831432</v>
      </c>
      <c r="AW267" s="32">
        <f>IFERROR(__xludf.DUMMYFUNCTION("""COMPUTED_VALUE"""),2.3153373184395996)</f>
        <v>2.315337318</v>
      </c>
      <c r="AX267" s="32">
        <f>IFERROR(__xludf.DUMMYFUNCTION("""COMPUTED_VALUE"""),55.11856370755657)</f>
        <v>55.11856371</v>
      </c>
      <c r="AY267" s="32">
        <f>IFERROR(__xludf.DUMMYFUNCTION("""COMPUTED_VALUE"""),2.3872807331320036)</f>
        <v>2.387280733</v>
      </c>
      <c r="AZ267" s="30">
        <f>IFERROR(__xludf.DUMMYFUNCTION("""COMPUTED_VALUE"""),0.07194341469240406)</f>
        <v>0.07194341469</v>
      </c>
      <c r="BA267" s="30">
        <f>IFERROR(__xludf.DUMMYFUNCTION("""COMPUTED_VALUE"""),800.0)</f>
        <v>800</v>
      </c>
    </row>
    <row r="268">
      <c r="A268" s="30" t="str">
        <f>IFERROR(__xludf.DUMMYFUNCTION("""COMPUTED_VALUE"""),"Elite")</f>
        <v>Elite</v>
      </c>
      <c r="B268" s="30" t="str">
        <f>IFERROR(__xludf.DUMMYFUNCTION("""COMPUTED_VALUE"""),"RSC000787")</f>
        <v>RSC000787</v>
      </c>
      <c r="C268" s="30" t="str">
        <f>IFERROR(__xludf.DUMMYFUNCTION("""COMPUTED_VALUE"""),"buckle")</f>
        <v>buckle</v>
      </c>
      <c r="D268" s="30" t="str">
        <f>IFERROR(__xludf.DUMMYFUNCTION("""COMPUTED_VALUE"""),"Praetorian Guard")</f>
        <v>Praetorian Guard</v>
      </c>
      <c r="E268" s="30">
        <f>IFERROR(__xludf.DUMMYFUNCTION("""COMPUTED_VALUE"""),32.0)</f>
        <v>32</v>
      </c>
      <c r="F268" s="30">
        <f>IFERROR(__xludf.DUMMYFUNCTION("""COMPUTED_VALUE"""),17.0)</f>
        <v>17</v>
      </c>
      <c r="G268" s="30">
        <f>IFERROR(__xludf.DUMMYFUNCTION("""COMPUTED_VALUE"""),15.0)</f>
        <v>15</v>
      </c>
      <c r="H268" s="42">
        <f>IFERROR(__xludf.DUMMYFUNCTION("""COMPUTED_VALUE"""),0.53125)</f>
        <v>0.53125</v>
      </c>
      <c r="I268" s="42">
        <f>IFERROR(__xludf.DUMMYFUNCTION("""COMPUTED_VALUE"""),0.35443037974683544)</f>
        <v>0.3544303797</v>
      </c>
      <c r="J268" s="30">
        <f>IFERROR(__xludf.DUMMYFUNCTION("""COMPUTED_VALUE"""),411.40625)</f>
        <v>411.40625</v>
      </c>
      <c r="K268" s="30">
        <f>IFERROR(__xludf.DUMMYFUNCTION("""COMPUTED_VALUE"""),0.875)</f>
        <v>0.875</v>
      </c>
      <c r="L268" s="30">
        <f>IFERROR(__xludf.DUMMYFUNCTION("""COMPUTED_VALUE"""),0.5)</f>
        <v>0.5</v>
      </c>
      <c r="M268" s="30">
        <f>IFERROR(__xludf.DUMMYFUNCTION("""COMPUTED_VALUE"""),2.0)</f>
        <v>2</v>
      </c>
      <c r="N268" s="30">
        <f>IFERROR(__xludf.DUMMYFUNCTION("""COMPUTED_VALUE"""),2.46875)</f>
        <v>2.46875</v>
      </c>
      <c r="O268" s="30">
        <f>IFERROR(__xludf.DUMMYFUNCTION("""COMPUTED_VALUE"""),355.48958333333337)</f>
        <v>355.4895833</v>
      </c>
      <c r="P268" s="30">
        <f>IFERROR(__xludf.DUMMYFUNCTION("""COMPUTED_VALUE"""),0.6979166666666665)</f>
        <v>0.6979166667</v>
      </c>
      <c r="Q268" s="30">
        <f>IFERROR(__xludf.DUMMYFUNCTION("""COMPUTED_VALUE"""),0.59375)</f>
        <v>0.59375</v>
      </c>
      <c r="R268" s="30">
        <f>IFERROR(__xludf.DUMMYFUNCTION("""COMPUTED_VALUE"""),1.4062499999999998)</f>
        <v>1.40625</v>
      </c>
      <c r="S268" s="30">
        <f>IFERROR(__xludf.DUMMYFUNCTION("""COMPUTED_VALUE"""),2.604166666666667)</f>
        <v>2.604166667</v>
      </c>
      <c r="T268" s="30">
        <f>IFERROR(__xludf.DUMMYFUNCTION("""COMPUTED_VALUE"""),357.9523823524329)</f>
        <v>357.9523824</v>
      </c>
      <c r="U268" s="30">
        <f>IFERROR(__xludf.DUMMYFUNCTION("""COMPUTED_VALUE"""),0.7690840673294413)</f>
        <v>0.7690840673</v>
      </c>
      <c r="V268" s="30">
        <f>IFERROR(__xludf.DUMMYFUNCTION("""COMPUTED_VALUE"""),0.5812337617360988)</f>
        <v>0.5812337617</v>
      </c>
      <c r="W268" s="30">
        <f>IFERROR(__xludf.DUMMYFUNCTION("""COMPUTED_VALUE"""),1.4299101330077986)</f>
        <v>1.429910133</v>
      </c>
      <c r="X268" s="30">
        <f>IFERROR(__xludf.DUMMYFUNCTION("""COMPUTED_VALUE"""),2.5111671876210417)</f>
        <v>2.511167188</v>
      </c>
      <c r="Y268" s="30">
        <f>IFERROR(__xludf.DUMMYFUNCTION("""COMPUTED_VALUE"""),361.5187157637376)</f>
        <v>361.5187158</v>
      </c>
      <c r="Z268" s="30">
        <f>IFERROR(__xludf.DUMMYFUNCTION("""COMPUTED_VALUE"""),0.8077197532934586)</f>
        <v>0.8077197533</v>
      </c>
      <c r="AA268" s="30">
        <f>IFERROR(__xludf.DUMMYFUNCTION("""COMPUTED_VALUE"""),0.5999234827046818)</f>
        <v>0.5999234827</v>
      </c>
      <c r="AB268" s="30">
        <f>IFERROR(__xludf.DUMMYFUNCTION("""COMPUTED_VALUE"""),1.3385688206967037)</f>
        <v>1.338568821</v>
      </c>
      <c r="AC268" s="30">
        <f>IFERROR(__xludf.DUMMYFUNCTION("""COMPUTED_VALUE"""),2.7009896784735634)</f>
        <v>2.700989678</v>
      </c>
      <c r="AD268" s="30">
        <f>IFERROR(__xludf.DUMMYFUNCTION("""COMPUTED_VALUE"""),1.1379943335184486)</f>
        <v>1.137994334</v>
      </c>
      <c r="AE268" s="30">
        <f>IFERROR(__xludf.DUMMYFUNCTION("""COMPUTED_VALUE"""),1.0832965226270719)</f>
        <v>1.083296523</v>
      </c>
      <c r="AF268" s="30">
        <f>IFERROR(__xludf.DUMMYFUNCTION("""COMPUTED_VALUE"""),0.8334396209093384)</f>
        <v>0.8334396209</v>
      </c>
      <c r="AG268" s="30">
        <f>IFERROR(__xludf.DUMMYFUNCTION("""COMPUTED_VALUE"""),1.4941331137229328)</f>
        <v>1.494133114</v>
      </c>
      <c r="AH268" s="30">
        <f>IFERROR(__xludf.DUMMYFUNCTION("""COMPUTED_VALUE"""),0.914016821195403)</f>
        <v>0.9140168212</v>
      </c>
      <c r="AI268" s="30">
        <f>IFERROR(__xludf.DUMMYFUNCTION("""COMPUTED_VALUE"""),0.9931197579887184)</f>
        <v>0.993119758</v>
      </c>
      <c r="AJ268" s="30">
        <f>IFERROR(__xludf.DUMMYFUNCTION("""COMPUTED_VALUE"""),0.9074647315086168)</f>
        <v>0.9074647315</v>
      </c>
      <c r="AK268" s="30">
        <f>IFERROR(__xludf.DUMMYFUNCTION("""COMPUTED_VALUE"""),1.021533914730824)</f>
        <v>1.021533915</v>
      </c>
      <c r="AL268" s="30">
        <f>IFERROR(__xludf.DUMMYFUNCTION("""COMPUTED_VALUE"""),0.983453412587524)</f>
        <v>0.9834534126</v>
      </c>
      <c r="AM268" s="30">
        <f>IFERROR(__xludf.DUMMYFUNCTION("""COMPUTED_VALUE"""),1.037034363742913)</f>
        <v>1.037034364</v>
      </c>
      <c r="AN268" s="30">
        <f>IFERROR(__xludf.DUMMYFUNCTION("""COMPUTED_VALUE"""),1.1734680874925638)</f>
        <v>1.173468087</v>
      </c>
      <c r="AO268" s="30">
        <f>IFERROR(__xludf.DUMMYFUNCTION("""COMPUTED_VALUE"""),1.2343217010260634)</f>
        <v>1.234321701</v>
      </c>
      <c r="AP268" s="30">
        <f>IFERROR(__xludf.DUMMYFUNCTION("""COMPUTED_VALUE"""),0.8758432311811349)</f>
        <v>0.8758432312</v>
      </c>
      <c r="AQ268" s="30">
        <f>IFERROR(__xludf.DUMMYFUNCTION("""COMPUTED_VALUE"""),1.4030769734986601)</f>
        <v>1.403076973</v>
      </c>
      <c r="AR268" s="30">
        <f>IFERROR(__xludf.DUMMYFUNCTION("""COMPUTED_VALUE"""),0.9848561347699399)</f>
        <v>0.9848561348</v>
      </c>
      <c r="AS268" s="30">
        <f>IFERROR(__xludf.DUMMYFUNCTION("""COMPUTED_VALUE"""),70.0)</f>
        <v>70</v>
      </c>
      <c r="AT268" s="30">
        <f>IFERROR(__xludf.DUMMYFUNCTION("""COMPUTED_VALUE"""),0.516616552405138)</f>
        <v>0.5166165524</v>
      </c>
      <c r="AU268" s="30">
        <f>IFERROR(__xludf.DUMMYFUNCTION("""COMPUTED_VALUE"""),2.6870846476646504)</f>
        <v>2.687084648</v>
      </c>
      <c r="AV268" s="32">
        <f>IFERROR(__xludf.DUMMYFUNCTION("""COMPUTED_VALUE"""),58.43910531940413)</f>
        <v>58.43910532</v>
      </c>
      <c r="AW268" s="32">
        <f>IFERROR(__xludf.DUMMYFUNCTION("""COMPUTED_VALUE"""),2.7185303733584183)</f>
        <v>2.718530373</v>
      </c>
      <c r="AX268" s="32">
        <f>IFERROR(__xludf.DUMMYFUNCTION("""COMPUTED_VALUE"""),58.786204865572785)</f>
        <v>58.78620487</v>
      </c>
      <c r="AY268" s="32">
        <f>IFERROR(__xludf.DUMMYFUNCTION("""COMPUTED_VALUE"""),2.757661665001369)</f>
        <v>2.757661665</v>
      </c>
      <c r="AZ268" s="30">
        <f>IFERROR(__xludf.DUMMYFUNCTION("""COMPUTED_VALUE"""),0.03913129164295048)</f>
        <v>0.03913129164</v>
      </c>
      <c r="BA268" s="30">
        <f>IFERROR(__xludf.DUMMYFUNCTION("""COMPUTED_VALUE"""),800.0)</f>
        <v>800</v>
      </c>
    </row>
    <row r="269">
      <c r="A269" s="30" t="str">
        <f>IFERROR(__xludf.DUMMYFUNCTION("""COMPUTED_VALUE"""),"Elite")</f>
        <v>Elite</v>
      </c>
      <c r="B269" s="30" t="str">
        <f>IFERROR(__xludf.DUMMYFUNCTION("""COMPUTED_VALUE"""),"RSC003831")</f>
        <v>RSC003831</v>
      </c>
      <c r="C269" s="30" t="str">
        <f>IFERROR(__xludf.DUMMYFUNCTION("""COMPUTED_VALUE"""),"Aki")</f>
        <v>Aki</v>
      </c>
      <c r="D269" s="30" t="str">
        <f>IFERROR(__xludf.DUMMYFUNCTION("""COMPUTED_VALUE"""),"Stoked Blokes")</f>
        <v>Stoked Blokes</v>
      </c>
      <c r="E269" s="30">
        <f>IFERROR(__xludf.DUMMYFUNCTION("""COMPUTED_VALUE"""),39.0)</f>
        <v>39</v>
      </c>
      <c r="F269" s="30">
        <f>IFERROR(__xludf.DUMMYFUNCTION("""COMPUTED_VALUE"""),20.0)</f>
        <v>20</v>
      </c>
      <c r="G269" s="30">
        <f>IFERROR(__xludf.DUMMYFUNCTION("""COMPUTED_VALUE"""),19.0)</f>
        <v>19</v>
      </c>
      <c r="H269" s="42">
        <f>IFERROR(__xludf.DUMMYFUNCTION("""COMPUTED_VALUE"""),0.5128205128205128)</f>
        <v>0.5128205128</v>
      </c>
      <c r="I269" s="42">
        <f>IFERROR(__xludf.DUMMYFUNCTION("""COMPUTED_VALUE"""),0.22429906542056074)</f>
        <v>0.2242990654</v>
      </c>
      <c r="J269" s="30">
        <f>IFERROR(__xludf.DUMMYFUNCTION("""COMPUTED_VALUE"""),357.7692307692308)</f>
        <v>357.7692308</v>
      </c>
      <c r="K269" s="30">
        <f>IFERROR(__xludf.DUMMYFUNCTION("""COMPUTED_VALUE"""),0.6153846153846154)</f>
        <v>0.6153846154</v>
      </c>
      <c r="L269" s="30">
        <f>IFERROR(__xludf.DUMMYFUNCTION("""COMPUTED_VALUE"""),0.717948717948718)</f>
        <v>0.7179487179</v>
      </c>
      <c r="M269" s="30">
        <f>IFERROR(__xludf.DUMMYFUNCTION("""COMPUTED_VALUE"""),1.358974358974359)</f>
        <v>1.358974359</v>
      </c>
      <c r="N269" s="30">
        <f>IFERROR(__xludf.DUMMYFUNCTION("""COMPUTED_VALUE"""),2.7435897435897436)</f>
        <v>2.743589744</v>
      </c>
      <c r="O269" s="30">
        <f>IFERROR(__xludf.DUMMYFUNCTION("""COMPUTED_VALUE"""),352.0000000000001)</f>
        <v>352</v>
      </c>
      <c r="P269" s="30">
        <f>IFERROR(__xludf.DUMMYFUNCTION("""COMPUTED_VALUE"""),0.6923076923076926)</f>
        <v>0.6923076923</v>
      </c>
      <c r="Q269" s="30">
        <f>IFERROR(__xludf.DUMMYFUNCTION("""COMPUTED_VALUE"""),0.4957264957264957)</f>
        <v>0.4957264957</v>
      </c>
      <c r="R269" s="30">
        <f>IFERROR(__xludf.DUMMYFUNCTION("""COMPUTED_VALUE"""),1.5128205128205128)</f>
        <v>1.512820513</v>
      </c>
      <c r="S269" s="30">
        <f>IFERROR(__xludf.DUMMYFUNCTION("""COMPUTED_VALUE"""),2.5470085470085464)</f>
        <v>2.547008547</v>
      </c>
      <c r="T269" s="30">
        <f>IFERROR(__xludf.DUMMYFUNCTION("""COMPUTED_VALUE"""),355.2348977170891)</f>
        <v>355.2348977</v>
      </c>
      <c r="U269" s="30">
        <f>IFERROR(__xludf.DUMMYFUNCTION("""COMPUTED_VALUE"""),0.7461772879388799)</f>
        <v>0.7461772879</v>
      </c>
      <c r="V269" s="30">
        <f>IFERROR(__xludf.DUMMYFUNCTION("""COMPUTED_VALUE"""),0.5805341258821292)</f>
        <v>0.5805341259</v>
      </c>
      <c r="W269" s="30">
        <f>IFERROR(__xludf.DUMMYFUNCTION("""COMPUTED_VALUE"""),1.4284420171247134)</f>
        <v>1.428442017</v>
      </c>
      <c r="X269" s="30">
        <f>IFERROR(__xludf.DUMMYFUNCTION("""COMPUTED_VALUE"""),2.534670616482823)</f>
        <v>2.534670616</v>
      </c>
      <c r="Y269" s="30">
        <f>IFERROR(__xludf.DUMMYFUNCTION("""COMPUTED_VALUE"""),365.09269973471606)</f>
        <v>365.0926997</v>
      </c>
      <c r="Z269" s="30">
        <f>IFERROR(__xludf.DUMMYFUNCTION("""COMPUTED_VALUE"""),0.8231891414312529)</f>
        <v>0.8231891414</v>
      </c>
      <c r="AA269" s="30">
        <f>IFERROR(__xludf.DUMMYFUNCTION("""COMPUTED_VALUE"""),0.613547109413512)</f>
        <v>0.6135471094</v>
      </c>
      <c r="AB269" s="30">
        <f>IFERROR(__xludf.DUMMYFUNCTION("""COMPUTED_VALUE"""),1.3503239254423045)</f>
        <v>1.350323925</v>
      </c>
      <c r="AC269" s="30">
        <f>IFERROR(__xludf.DUMMYFUNCTION("""COMPUTED_VALUE"""),2.725689335941651)</f>
        <v>2.725689336</v>
      </c>
      <c r="AD269" s="30">
        <f>IFERROR(__xludf.DUMMYFUNCTION("""COMPUTED_VALUE"""),0.9799407959381092)</f>
        <v>0.9799407959</v>
      </c>
      <c r="AE269" s="30">
        <f>IFERROR(__xludf.DUMMYFUNCTION("""COMPUTED_VALUE"""),0.747561628807039)</f>
        <v>0.7475616288</v>
      </c>
      <c r="AF269" s="30">
        <f>IFERROR(__xludf.DUMMYFUNCTION("""COMPUTED_VALUE"""),1.1701607047501261)</f>
        <v>1.170160705</v>
      </c>
      <c r="AG269" s="30">
        <f>IFERROR(__xludf.DUMMYFUNCTION("""COMPUTED_VALUE"""),1.0064061914101248)</f>
        <v>1.006406191</v>
      </c>
      <c r="AH269" s="30">
        <f>IFERROR(__xludf.DUMMYFUNCTION("""COMPUTED_VALUE"""),1.0065672956239191)</f>
        <v>1.006567296</v>
      </c>
      <c r="AI269" s="30">
        <f>IFERROR(__xludf.DUMMYFUNCTION("""COMPUTED_VALUE"""),0.990893637596199)</f>
        <v>0.9908936376</v>
      </c>
      <c r="AJ269" s="30">
        <f>IFERROR(__xludf.DUMMYFUNCTION("""COMPUTED_VALUE"""),0.9278059028304279)</f>
        <v>0.9278059028</v>
      </c>
      <c r="AK269" s="30">
        <f>IFERROR(__xludf.DUMMYFUNCTION("""COMPUTED_VALUE"""),0.8539144791414851)</f>
        <v>0.8539144791</v>
      </c>
      <c r="AL269" s="30">
        <f>IFERROR(__xludf.DUMMYFUNCTION("""COMPUTED_VALUE"""),1.0590702980479694)</f>
        <v>1.059070298</v>
      </c>
      <c r="AM269" s="30">
        <f>IFERROR(__xludf.DUMMYFUNCTION("""COMPUTED_VALUE"""),1.004867666214888)</f>
        <v>1.004867666</v>
      </c>
      <c r="AN269" s="30">
        <f>IFERROR(__xludf.DUMMYFUNCTION("""COMPUTED_VALUE"""),1.0204773869975359)</f>
        <v>1.020477387</v>
      </c>
      <c r="AO269" s="30">
        <f>IFERROR(__xludf.DUMMYFUNCTION("""COMPUTED_VALUE"""),0.8680943831392094)</f>
        <v>0.8680943831</v>
      </c>
      <c r="AP269" s="30">
        <f>IFERROR(__xludf.DUMMYFUNCTION("""COMPUTED_VALUE"""),1.257621049901117)</f>
        <v>1.25762105</v>
      </c>
      <c r="AQ269" s="30">
        <f>IFERROR(__xludf.DUMMYFUNCTION("""COMPUTED_VALUE"""),0.9533728153260127)</f>
        <v>0.9533728153</v>
      </c>
      <c r="AR269" s="30">
        <f>IFERROR(__xludf.DUMMYFUNCTION("""COMPUTED_VALUE"""),1.094497697323036)</f>
        <v>1.094497697</v>
      </c>
      <c r="AS269" s="30">
        <f>IFERROR(__xludf.DUMMYFUNCTION("""COMPUTED_VALUE"""),88.0)</f>
        <v>88</v>
      </c>
      <c r="AT269" s="30">
        <f>IFERROR(__xludf.DUMMYFUNCTION("""COMPUTED_VALUE"""),0.5315225571418253)</f>
        <v>0.5315225571</v>
      </c>
      <c r="AU269" s="30">
        <f>IFERROR(__xludf.DUMMYFUNCTION("""COMPUTED_VALUE"""),2.603708660187142)</f>
        <v>2.60370866</v>
      </c>
      <c r="AV269" s="32">
        <f>IFERROR(__xludf.DUMMYFUNCTION("""COMPUTED_VALUE"""),56.04086065811087)</f>
        <v>56.04086066</v>
      </c>
      <c r="AW269" s="32">
        <f>IFERROR(__xludf.DUMMYFUNCTION("""COMPUTED_VALUE"""),2.471994025580661)</f>
        <v>2.471994026</v>
      </c>
      <c r="AX269" s="32">
        <f>IFERROR(__xludf.DUMMYFUNCTION("""COMPUTED_VALUE"""),56.391840289354434)</f>
        <v>56.39184029</v>
      </c>
      <c r="AY269" s="32">
        <f>IFERROR(__xludf.DUMMYFUNCTION("""COMPUTED_VALUE"""),2.5056286662510407)</f>
        <v>2.505628666</v>
      </c>
      <c r="AZ269" s="30">
        <f>IFERROR(__xludf.DUMMYFUNCTION("""COMPUTED_VALUE"""),0.03363464067037958)</f>
        <v>0.03363464067</v>
      </c>
      <c r="BA269" s="30">
        <f>IFERROR(__xludf.DUMMYFUNCTION("""COMPUTED_VALUE"""),800.0)</f>
        <v>800</v>
      </c>
    </row>
    <row r="270">
      <c r="A270" s="30" t="str">
        <f>IFERROR(__xludf.DUMMYFUNCTION("""COMPUTED_VALUE"""),"Elite")</f>
        <v>Elite</v>
      </c>
      <c r="B270" s="30" t="str">
        <f>IFERROR(__xludf.DUMMYFUNCTION("""COMPUTED_VALUE"""),"RSC004630")</f>
        <v>RSC004630</v>
      </c>
      <c r="C270" s="30" t="str">
        <f>IFERROR(__xludf.DUMMYFUNCTION("""COMPUTED_VALUE"""),"Supe")</f>
        <v>Supe</v>
      </c>
      <c r="D270" s="30" t="str">
        <f>IFERROR(__xludf.DUMMYFUNCTION("""COMPUTED_VALUE"""),"Pylons")</f>
        <v>Pylons</v>
      </c>
      <c r="E270" s="30">
        <f>IFERROR(__xludf.DUMMYFUNCTION("""COMPUTED_VALUE"""),28.0)</f>
        <v>28</v>
      </c>
      <c r="F270" s="30">
        <f>IFERROR(__xludf.DUMMYFUNCTION("""COMPUTED_VALUE"""),13.0)</f>
        <v>13</v>
      </c>
      <c r="G270" s="30">
        <f>IFERROR(__xludf.DUMMYFUNCTION("""COMPUTED_VALUE"""),15.0)</f>
        <v>15</v>
      </c>
      <c r="H270" s="42">
        <f>IFERROR(__xludf.DUMMYFUNCTION("""COMPUTED_VALUE"""),0.4642857142857143)</f>
        <v>0.4642857143</v>
      </c>
      <c r="I270" s="42">
        <f>IFERROR(__xludf.DUMMYFUNCTION("""COMPUTED_VALUE"""),0.3146067415730337)</f>
        <v>0.3146067416</v>
      </c>
      <c r="J270" s="30">
        <f>IFERROR(__xludf.DUMMYFUNCTION("""COMPUTED_VALUE"""),416.0)</f>
        <v>416</v>
      </c>
      <c r="K270" s="30">
        <f>IFERROR(__xludf.DUMMYFUNCTION("""COMPUTED_VALUE"""),1.0)</f>
        <v>1</v>
      </c>
      <c r="L270" s="30">
        <f>IFERROR(__xludf.DUMMYFUNCTION("""COMPUTED_VALUE"""),0.6428571428571429)</f>
        <v>0.6428571429</v>
      </c>
      <c r="M270" s="30">
        <f>IFERROR(__xludf.DUMMYFUNCTION("""COMPUTED_VALUE"""),1.3928571428571428)</f>
        <v>1.392857143</v>
      </c>
      <c r="N270" s="30">
        <f>IFERROR(__xludf.DUMMYFUNCTION("""COMPUTED_VALUE"""),3.1785714285714284)</f>
        <v>3.178571429</v>
      </c>
      <c r="O270" s="30">
        <f>IFERROR(__xludf.DUMMYFUNCTION("""COMPUTED_VALUE"""),368.75)</f>
        <v>368.75</v>
      </c>
      <c r="P270" s="30">
        <f>IFERROR(__xludf.DUMMYFUNCTION("""COMPUTED_VALUE"""),0.8333333333333333)</f>
        <v>0.8333333333</v>
      </c>
      <c r="Q270" s="30">
        <f>IFERROR(__xludf.DUMMYFUNCTION("""COMPUTED_VALUE"""),0.6428571428571429)</f>
        <v>0.6428571429</v>
      </c>
      <c r="R270" s="30">
        <f>IFERROR(__xludf.DUMMYFUNCTION("""COMPUTED_VALUE"""),1.4404761904761905)</f>
        <v>1.44047619</v>
      </c>
      <c r="S270" s="30">
        <f>IFERROR(__xludf.DUMMYFUNCTION("""COMPUTED_VALUE"""),2.5714285714285716)</f>
        <v>2.571428571</v>
      </c>
      <c r="T270" s="30">
        <f>IFERROR(__xludf.DUMMYFUNCTION("""COMPUTED_VALUE"""),347.1501885679487)</f>
        <v>347.1501886</v>
      </c>
      <c r="U270" s="30">
        <f>IFERROR(__xludf.DUMMYFUNCTION("""COMPUTED_VALUE"""),0.7170816613681625)</f>
        <v>0.7170816614</v>
      </c>
      <c r="V270" s="30">
        <f>IFERROR(__xludf.DUMMYFUNCTION("""COMPUTED_VALUE"""),0.528809487068548)</f>
        <v>0.5288094871</v>
      </c>
      <c r="W270" s="30">
        <f>IFERROR(__xludf.DUMMYFUNCTION("""COMPUTED_VALUE"""),1.3913039430324434)</f>
        <v>1.391303943</v>
      </c>
      <c r="X270" s="30">
        <f>IFERROR(__xludf.DUMMYFUNCTION("""COMPUTED_VALUE"""),2.4300751417460087)</f>
        <v>2.430075142</v>
      </c>
      <c r="Y270" s="30">
        <f>IFERROR(__xludf.DUMMYFUNCTION("""COMPUTED_VALUE"""),356.3995563058293)</f>
        <v>356.3995563</v>
      </c>
      <c r="Z270" s="30">
        <f>IFERROR(__xludf.DUMMYFUNCTION("""COMPUTED_VALUE"""),0.7764769389441167)</f>
        <v>0.7764769389</v>
      </c>
      <c r="AA270" s="30">
        <f>IFERROR(__xludf.DUMMYFUNCTION("""COMPUTED_VALUE"""),0.5934403566156048)</f>
        <v>0.5934403566</v>
      </c>
      <c r="AB270" s="30">
        <f>IFERROR(__xludf.DUMMYFUNCTION("""COMPUTED_VALUE"""),1.3384780251135528)</f>
        <v>1.338478025</v>
      </c>
      <c r="AC270" s="30">
        <f>IFERROR(__xludf.DUMMYFUNCTION("""COMPUTED_VALUE"""),2.7089091659087465)</f>
        <v>2.708909166</v>
      </c>
      <c r="AD270" s="30">
        <f>IFERROR(__xludf.DUMMYFUNCTION("""COMPUTED_VALUE"""),1.1672292870169205)</f>
        <v>1.167229287</v>
      </c>
      <c r="AE270" s="30">
        <f>IFERROR(__xludf.DUMMYFUNCTION("""COMPUTED_VALUE"""),1.2878682544775104)</f>
        <v>1.287868254</v>
      </c>
      <c r="AF270" s="30">
        <f>IFERROR(__xludf.DUMMYFUNCTION("""COMPUTED_VALUE"""),1.083271698142274)</f>
        <v>1.083271698</v>
      </c>
      <c r="AG270" s="30">
        <f>IFERROR(__xludf.DUMMYFUNCTION("""COMPUTED_VALUE"""),1.0406275760403139)</f>
        <v>1.040627576</v>
      </c>
      <c r="AH270" s="30">
        <f>IFERROR(__xludf.DUMMYFUNCTION("""COMPUTED_VALUE"""),1.1733768959747035)</f>
        <v>1.173376896</v>
      </c>
      <c r="AI270" s="30">
        <f>IFERROR(__xludf.DUMMYFUNCTION("""COMPUTED_VALUE"""),1.0622203649698536)</f>
        <v>1.062220365</v>
      </c>
      <c r="AJ270" s="30">
        <f>IFERROR(__xludf.DUMMYFUNCTION("""COMPUTED_VALUE"""),1.1621177590058116)</f>
        <v>1.162117759</v>
      </c>
      <c r="AK270" s="30">
        <f>IFERROR(__xludf.DUMMYFUNCTION("""COMPUTED_VALUE"""),1.2156687022027863)</f>
        <v>1.215668702</v>
      </c>
      <c r="AL270" s="30">
        <f>IFERROR(__xludf.DUMMYFUNCTION("""COMPUTED_VALUE"""),1.0353425631329505)</f>
        <v>1.035342563</v>
      </c>
      <c r="AM270" s="30">
        <f>IFERROR(__xludf.DUMMYFUNCTION("""COMPUTED_VALUE"""),1.0581683369597372)</f>
        <v>1.058168337</v>
      </c>
      <c r="AN270" s="30">
        <f>IFERROR(__xludf.DUMMYFUNCTION("""COMPUTED_VALUE"""),1.1865709973946836)</f>
        <v>1.186570997</v>
      </c>
      <c r="AO270" s="30">
        <f>IFERROR(__xludf.DUMMYFUNCTION("""COMPUTED_VALUE"""),1.4106533726012151)</f>
        <v>1.410653373</v>
      </c>
      <c r="AP270" s="30">
        <f>IFERROR(__xludf.DUMMYFUNCTION("""COMPUTED_VALUE"""),1.126084154375745)</f>
        <v>1.126084154</v>
      </c>
      <c r="AQ270" s="30">
        <f>IFERROR(__xludf.DUMMYFUNCTION("""COMPUTED_VALUE"""),0.9771428922579954)</f>
        <v>0.9771428923</v>
      </c>
      <c r="AR270" s="30">
        <f>IFERROR(__xludf.DUMMYFUNCTION("""COMPUTED_VALUE"""),1.2680245351829966)</f>
        <v>1.268024535</v>
      </c>
      <c r="AS270" s="30">
        <f>IFERROR(__xludf.DUMMYFUNCTION("""COMPUTED_VALUE"""),68.0)</f>
        <v>68</v>
      </c>
      <c r="AT270" s="30">
        <f>IFERROR(__xludf.DUMMYFUNCTION("""COMPUTED_VALUE"""),0.488547869087821)</f>
        <v>0.4885478691</v>
      </c>
      <c r="AU270" s="30">
        <f>IFERROR(__xludf.DUMMYFUNCTION("""COMPUTED_VALUE"""),3.2245985984020797)</f>
        <v>3.224598598</v>
      </c>
      <c r="AV270" s="32">
        <f>IFERROR(__xludf.DUMMYFUNCTION("""COMPUTED_VALUE"""),73.90027107860345)</f>
        <v>73.90027108</v>
      </c>
      <c r="AW270" s="32">
        <f>IFERROR(__xludf.DUMMYFUNCTION("""COMPUTED_VALUE"""),5.898543465698724)</f>
        <v>5.898543466</v>
      </c>
      <c r="AX270" s="32">
        <f>IFERROR(__xludf.DUMMYFUNCTION("""COMPUTED_VALUE"""),73.9856589072877)</f>
        <v>73.98565891</v>
      </c>
      <c r="AY270" s="32">
        <f>IFERROR(__xludf.DUMMYFUNCTION("""COMPUTED_VALUE"""),5.928666237775744)</f>
        <v>5.928666238</v>
      </c>
      <c r="AZ270" s="30">
        <f>IFERROR(__xludf.DUMMYFUNCTION("""COMPUTED_VALUE"""),0.030122772077019633)</f>
        <v>0.03012277208</v>
      </c>
      <c r="BA270" s="30">
        <f>IFERROR(__xludf.DUMMYFUNCTION("""COMPUTED_VALUE"""),800.0)</f>
        <v>800</v>
      </c>
    </row>
    <row r="271">
      <c r="A271" s="30" t="str">
        <f>IFERROR(__xludf.DUMMYFUNCTION("""COMPUTED_VALUE"""),"Elite")</f>
        <v>Elite</v>
      </c>
      <c r="B271" s="30" t="str">
        <f>IFERROR(__xludf.DUMMYFUNCTION("""COMPUTED_VALUE"""),"RSC007269")</f>
        <v>RSC007269</v>
      </c>
      <c r="C271" s="30" t="str">
        <f>IFERROR(__xludf.DUMMYFUNCTION("""COMPUTED_VALUE"""),"Navik")</f>
        <v>Navik</v>
      </c>
      <c r="D271" s="30" t="str">
        <f>IFERROR(__xludf.DUMMYFUNCTION("""COMPUTED_VALUE"""),"Stoked Blokes")</f>
        <v>Stoked Blokes</v>
      </c>
      <c r="E271" s="30">
        <f>IFERROR(__xludf.DUMMYFUNCTION("""COMPUTED_VALUE"""),43.0)</f>
        <v>43</v>
      </c>
      <c r="F271" s="30">
        <f>IFERROR(__xludf.DUMMYFUNCTION("""COMPUTED_VALUE"""),21.0)</f>
        <v>21</v>
      </c>
      <c r="G271" s="30">
        <f>IFERROR(__xludf.DUMMYFUNCTION("""COMPUTED_VALUE"""),22.0)</f>
        <v>22</v>
      </c>
      <c r="H271" s="42">
        <f>IFERROR(__xludf.DUMMYFUNCTION("""COMPUTED_VALUE"""),0.4883720930232558)</f>
        <v>0.488372093</v>
      </c>
      <c r="I271" s="42">
        <f>IFERROR(__xludf.DUMMYFUNCTION("""COMPUTED_VALUE"""),0.3131313131313131)</f>
        <v>0.3131313131</v>
      </c>
      <c r="J271" s="30">
        <f>IFERROR(__xludf.DUMMYFUNCTION("""COMPUTED_VALUE"""),347.69767441860466)</f>
        <v>347.6976744</v>
      </c>
      <c r="K271" s="30">
        <f>IFERROR(__xludf.DUMMYFUNCTION("""COMPUTED_VALUE"""),0.7209302325581395)</f>
        <v>0.7209302326</v>
      </c>
      <c r="L271" s="30">
        <f>IFERROR(__xludf.DUMMYFUNCTION("""COMPUTED_VALUE"""),0.4186046511627907)</f>
        <v>0.4186046512</v>
      </c>
      <c r="M271" s="30">
        <f>IFERROR(__xludf.DUMMYFUNCTION("""COMPUTED_VALUE"""),1.4883720930232558)</f>
        <v>1.488372093</v>
      </c>
      <c r="N271" s="30">
        <f>IFERROR(__xludf.DUMMYFUNCTION("""COMPUTED_VALUE"""),2.302325581395349)</f>
        <v>2.302325581</v>
      </c>
      <c r="O271" s="30">
        <f>IFERROR(__xludf.DUMMYFUNCTION("""COMPUTED_VALUE"""),337.70542635658927)</f>
        <v>337.7054264</v>
      </c>
      <c r="P271" s="30">
        <f>IFERROR(__xludf.DUMMYFUNCTION("""COMPUTED_VALUE"""),0.6666666666666669)</f>
        <v>0.6666666667</v>
      </c>
      <c r="Q271" s="30">
        <f>IFERROR(__xludf.DUMMYFUNCTION("""COMPUTED_VALUE"""),0.496124031007752)</f>
        <v>0.496124031</v>
      </c>
      <c r="R271" s="30">
        <f>IFERROR(__xludf.DUMMYFUNCTION("""COMPUTED_VALUE"""),1.3255813953488371)</f>
        <v>1.325581395</v>
      </c>
      <c r="S271" s="30">
        <f>IFERROR(__xludf.DUMMYFUNCTION("""COMPUTED_VALUE"""),2.5658914728682167)</f>
        <v>2.565891473</v>
      </c>
      <c r="T271" s="30">
        <f>IFERROR(__xludf.DUMMYFUNCTION("""COMPUTED_VALUE"""),360.25252808596696)</f>
        <v>360.2525281</v>
      </c>
      <c r="U271" s="30">
        <f>IFERROR(__xludf.DUMMYFUNCTION("""COMPUTED_VALUE"""),0.7761903481844858)</f>
        <v>0.7761903482</v>
      </c>
      <c r="V271" s="30">
        <f>IFERROR(__xludf.DUMMYFUNCTION("""COMPUTED_VALUE"""),0.602024042370007)</f>
        <v>0.6020240424</v>
      </c>
      <c r="W271" s="30">
        <f>IFERROR(__xludf.DUMMYFUNCTION("""COMPUTED_VALUE"""),1.4492382185644765)</f>
        <v>1.449238219</v>
      </c>
      <c r="X271" s="30">
        <f>IFERROR(__xludf.DUMMYFUNCTION("""COMPUTED_VALUE"""),2.5718450845448473)</f>
        <v>2.571845085</v>
      </c>
      <c r="Y271" s="30">
        <f>IFERROR(__xludf.DUMMYFUNCTION("""COMPUTED_VALUE"""),360.78506844862784)</f>
        <v>360.7850684</v>
      </c>
      <c r="Z271" s="30">
        <f>IFERROR(__xludf.DUMMYFUNCTION("""COMPUTED_VALUE"""),0.7983836215487309)</f>
        <v>0.7983836215</v>
      </c>
      <c r="AA271" s="30">
        <f>IFERROR(__xludf.DUMMYFUNCTION("""COMPUTED_VALUE"""),0.5944808073767313)</f>
        <v>0.5944808074</v>
      </c>
      <c r="AB271" s="30">
        <f>IFERROR(__xludf.DUMMYFUNCTION("""COMPUTED_VALUE"""),1.3603259215767518)</f>
        <v>1.360325922</v>
      </c>
      <c r="AC271" s="30">
        <f>IFERROR(__xludf.DUMMYFUNCTION("""COMPUTED_VALUE"""),2.6884007958189353)</f>
        <v>2.688400796</v>
      </c>
      <c r="AD271" s="30">
        <f>IFERROR(__xludf.DUMMYFUNCTION("""COMPUTED_VALUE"""),0.9637252337345921)</f>
        <v>0.9637252337</v>
      </c>
      <c r="AE271" s="30">
        <f>IFERROR(__xludf.DUMMYFUNCTION("""COMPUTED_VALUE"""),0.9029872521177917)</f>
        <v>0.9029872521</v>
      </c>
      <c r="AF271" s="30">
        <f>IFERROR(__xludf.DUMMYFUNCTION("""COMPUTED_VALUE"""),0.7041516664095007)</f>
        <v>0.7041516664</v>
      </c>
      <c r="AG271" s="30">
        <f>IFERROR(__xludf.DUMMYFUNCTION("""COMPUTED_VALUE"""),1.094129038795413)</f>
        <v>1.094129039</v>
      </c>
      <c r="AH271" s="30">
        <f>IFERROR(__xludf.DUMMYFUNCTION("""COMPUTED_VALUE"""),0.8563922406867236)</f>
        <v>0.8563922407</v>
      </c>
      <c r="AI271" s="30">
        <f>IFERROR(__xludf.DUMMYFUNCTION("""COMPUTED_VALUE"""),0.9374130645267886)</f>
        <v>0.9374130645</v>
      </c>
      <c r="AJ271" s="30">
        <f>IFERROR(__xludf.DUMMYFUNCTION("""COMPUTED_VALUE"""),0.8588958471668765)</f>
        <v>0.8588958472</v>
      </c>
      <c r="AK271" s="30">
        <f>IFERROR(__xludf.DUMMYFUNCTION("""COMPUTED_VALUE"""),0.8240933851323361)</f>
        <v>0.8240933851</v>
      </c>
      <c r="AL271" s="30">
        <f>IFERROR(__xludf.DUMMYFUNCTION("""COMPUTED_VALUE"""),0.914674605160409)</f>
        <v>0.9146746052</v>
      </c>
      <c r="AM271" s="30">
        <f>IFERROR(__xludf.DUMMYFUNCTION("""COMPUTED_VALUE"""),0.9976850815344952)</f>
        <v>0.9976850815</v>
      </c>
      <c r="AN271" s="30">
        <f>IFERROR(__xludf.DUMMYFUNCTION("""COMPUTED_VALUE"""),0.9917499430930184)</f>
        <v>0.9917499431</v>
      </c>
      <c r="AO271" s="30">
        <f>IFERROR(__xludf.DUMMYFUNCTION("""COMPUTED_VALUE"""),1.016982663968318)</f>
        <v>1.016982664</v>
      </c>
      <c r="AP271" s="30">
        <f>IFERROR(__xludf.DUMMYFUNCTION("""COMPUTED_VALUE"""),0.7332641005237409)</f>
        <v>0.7332641005</v>
      </c>
      <c r="AQ271" s="30">
        <f>IFERROR(__xludf.DUMMYFUNCTION("""COMPUTED_VALUE"""),1.044150305859468)</f>
        <v>1.044150306</v>
      </c>
      <c r="AR271" s="30">
        <f>IFERROR(__xludf.DUMMYFUNCTION("""COMPUTED_VALUE"""),0.9184645966885987)</f>
        <v>0.9184645967</v>
      </c>
      <c r="AS271" s="30">
        <f>IFERROR(__xludf.DUMMYFUNCTION("""COMPUTED_VALUE"""),90.0)</f>
        <v>90</v>
      </c>
      <c r="AT271" s="30">
        <f>IFERROR(__xludf.DUMMYFUNCTION("""COMPUTED_VALUE"""),0.5170247556929914)</f>
        <v>0.5170247557</v>
      </c>
      <c r="AU271" s="30">
        <f>IFERROR(__xludf.DUMMYFUNCTION("""COMPUTED_VALUE"""),2.259915275475704)</f>
        <v>2.259915275</v>
      </c>
      <c r="AV271" s="32">
        <f>IFERROR(__xludf.DUMMYFUNCTION("""COMPUTED_VALUE"""),46.151914518857495)</f>
        <v>46.15191452</v>
      </c>
      <c r="AW271" s="32">
        <f>IFERROR(__xludf.DUMMYFUNCTION("""COMPUTED_VALUE"""),-2.278760502806379)</f>
        <v>-2.278760503</v>
      </c>
      <c r="AX271" s="32">
        <f>IFERROR(__xludf.DUMMYFUNCTION("""COMPUTED_VALUE"""),46.2379360633392)</f>
        <v>46.23793606</v>
      </c>
      <c r="AY271" s="32">
        <f>IFERROR(__xludf.DUMMYFUNCTION("""COMPUTED_VALUE"""),-2.27173619900107)</f>
        <v>-2.271736199</v>
      </c>
      <c r="AZ271" s="30">
        <f>IFERROR(__xludf.DUMMYFUNCTION("""COMPUTED_VALUE"""),0.007024303805308829)</f>
        <v>0.007024303805</v>
      </c>
      <c r="BA271" s="30">
        <f>IFERROR(__xludf.DUMMYFUNCTION("""COMPUTED_VALUE"""),800.0)</f>
        <v>800</v>
      </c>
    </row>
    <row r="272">
      <c r="A272" s="30" t="str">
        <f>IFERROR(__xludf.DUMMYFUNCTION("""COMPUTED_VALUE"""),"Elite")</f>
        <v>Elite</v>
      </c>
      <c r="B272" s="30" t="str">
        <f>IFERROR(__xludf.DUMMYFUNCTION("""COMPUTED_VALUE"""),"RSC000371")</f>
        <v>RSC000371</v>
      </c>
      <c r="C272" s="30" t="str">
        <f>IFERROR(__xludf.DUMMYFUNCTION("""COMPUTED_VALUE"""),"Capn' Clutch")</f>
        <v>Capn' Clutch</v>
      </c>
      <c r="D272" s="30" t="str">
        <f>IFERROR(__xludf.DUMMYFUNCTION("""COMPUTED_VALUE"""),"Teddy Bears")</f>
        <v>Teddy Bears</v>
      </c>
      <c r="E272" s="30">
        <f>IFERROR(__xludf.DUMMYFUNCTION("""COMPUTED_VALUE"""),23.0)</f>
        <v>23</v>
      </c>
      <c r="F272" s="30">
        <f>IFERROR(__xludf.DUMMYFUNCTION("""COMPUTED_VALUE"""),10.0)</f>
        <v>10</v>
      </c>
      <c r="G272" s="30">
        <f>IFERROR(__xludf.DUMMYFUNCTION("""COMPUTED_VALUE"""),13.0)</f>
        <v>13</v>
      </c>
      <c r="H272" s="42">
        <f>IFERROR(__xludf.DUMMYFUNCTION("""COMPUTED_VALUE"""),0.43478260869565216)</f>
        <v>0.4347826087</v>
      </c>
      <c r="I272" s="42">
        <f>IFERROR(__xludf.DUMMYFUNCTION("""COMPUTED_VALUE"""),0.2615384615384615)</f>
        <v>0.2615384615</v>
      </c>
      <c r="J272" s="30">
        <f>IFERROR(__xludf.DUMMYFUNCTION("""COMPUTED_VALUE"""),359.0)</f>
        <v>359</v>
      </c>
      <c r="K272" s="30">
        <f>IFERROR(__xludf.DUMMYFUNCTION("""COMPUTED_VALUE"""),0.7391304347826086)</f>
        <v>0.7391304348</v>
      </c>
      <c r="L272" s="30">
        <f>IFERROR(__xludf.DUMMYFUNCTION("""COMPUTED_VALUE"""),0.7391304347826086)</f>
        <v>0.7391304348</v>
      </c>
      <c r="M272" s="30">
        <f>IFERROR(__xludf.DUMMYFUNCTION("""COMPUTED_VALUE"""),1.3478260869565217)</f>
        <v>1.347826087</v>
      </c>
      <c r="N272" s="30">
        <f>IFERROR(__xludf.DUMMYFUNCTION("""COMPUTED_VALUE"""),2.8260869565217392)</f>
        <v>2.826086957</v>
      </c>
      <c r="O272" s="30">
        <f>IFERROR(__xludf.DUMMYFUNCTION("""COMPUTED_VALUE"""),361.31884057971007)</f>
        <v>361.3188406</v>
      </c>
      <c r="P272" s="30">
        <f>IFERROR(__xludf.DUMMYFUNCTION("""COMPUTED_VALUE"""),0.7391304347826086)</f>
        <v>0.7391304348</v>
      </c>
      <c r="Q272" s="30">
        <f>IFERROR(__xludf.DUMMYFUNCTION("""COMPUTED_VALUE"""),0.5652173913043478)</f>
        <v>0.5652173913</v>
      </c>
      <c r="R272" s="30">
        <f>IFERROR(__xludf.DUMMYFUNCTION("""COMPUTED_VALUE"""),1.565217391304348)</f>
        <v>1.565217391</v>
      </c>
      <c r="S272" s="30">
        <f>IFERROR(__xludf.DUMMYFUNCTION("""COMPUTED_VALUE"""),2.376811594202899)</f>
        <v>2.376811594</v>
      </c>
      <c r="T272" s="30">
        <f>IFERROR(__xludf.DUMMYFUNCTION("""COMPUTED_VALUE"""),344.8448688679606)</f>
        <v>344.8448689</v>
      </c>
      <c r="U272" s="30">
        <f>IFERROR(__xludf.DUMMYFUNCTION("""COMPUTED_VALUE"""),0.6588464319593552)</f>
        <v>0.658846432</v>
      </c>
      <c r="V272" s="30">
        <f>IFERROR(__xludf.DUMMYFUNCTION("""COMPUTED_VALUE"""),0.5007366821714683)</f>
        <v>0.5007366822</v>
      </c>
      <c r="W272" s="30">
        <f>IFERROR(__xludf.DUMMYFUNCTION("""COMPUTED_VALUE"""),1.5098484460402768)</f>
        <v>1.509848446</v>
      </c>
      <c r="X272" s="30">
        <f>IFERROR(__xludf.DUMMYFUNCTION("""COMPUTED_VALUE"""),2.411470416936277)</f>
        <v>2.411470417</v>
      </c>
      <c r="Y272" s="30">
        <f>IFERROR(__xludf.DUMMYFUNCTION("""COMPUTED_VALUE"""),359.6195886243141)</f>
        <v>359.6195886</v>
      </c>
      <c r="Z272" s="30">
        <f>IFERROR(__xludf.DUMMYFUNCTION("""COMPUTED_VALUE"""),0.8116236303210335)</f>
        <v>0.8116236303</v>
      </c>
      <c r="AA272" s="30">
        <f>IFERROR(__xludf.DUMMYFUNCTION("""COMPUTED_VALUE"""),0.6018531185643791)</f>
        <v>0.6018531186</v>
      </c>
      <c r="AB272" s="30">
        <f>IFERROR(__xludf.DUMMYFUNCTION("""COMPUTED_VALUE"""),1.2905151585015913)</f>
        <v>1.290515159</v>
      </c>
      <c r="AC272" s="30">
        <f>IFERROR(__xludf.DUMMYFUNCTION("""COMPUTED_VALUE"""),2.7857334605280646)</f>
        <v>2.785733461</v>
      </c>
      <c r="AD272" s="30">
        <f>IFERROR(__xludf.DUMMYFUNCTION("""COMPUTED_VALUE"""),0.9982770999024713)</f>
        <v>0.9982770999</v>
      </c>
      <c r="AE272" s="30">
        <f>IFERROR(__xludf.DUMMYFUNCTION("""COMPUTED_VALUE"""),0.9106812655149648)</f>
        <v>0.9106812655</v>
      </c>
      <c r="AF272" s="30">
        <f>IFERROR(__xludf.DUMMYFUNCTION("""COMPUTED_VALUE"""),1.2280910607320303)</f>
        <v>1.228091061</v>
      </c>
      <c r="AG272" s="30">
        <f>IFERROR(__xludf.DUMMYFUNCTION("""COMPUTED_VALUE"""),1.0444093415543245)</f>
        <v>1.044409342</v>
      </c>
      <c r="AH272" s="30">
        <f>IFERROR(__xludf.DUMMYFUNCTION("""COMPUTED_VALUE"""),1.014485770647284)</f>
        <v>1.014485771</v>
      </c>
      <c r="AI272" s="30">
        <f>IFERROR(__xludf.DUMMYFUNCTION("""COMPUTED_VALUE"""),1.047772123638752)</f>
        <v>1.047772124</v>
      </c>
      <c r="AJ272" s="30">
        <f>IFERROR(__xludf.DUMMYFUNCTION("""COMPUTED_VALUE"""),1.1218554111077075)</f>
        <v>1.121855411</v>
      </c>
      <c r="AK272" s="30">
        <f>IFERROR(__xludf.DUMMYFUNCTION("""COMPUTED_VALUE"""),1.128771690648378)</f>
        <v>1.128771691</v>
      </c>
      <c r="AL272" s="30">
        <f>IFERROR(__xludf.DUMMYFUNCTION("""COMPUTED_VALUE"""),1.0366718563106658)</f>
        <v>1.036671856</v>
      </c>
      <c r="AM272" s="30">
        <f>IFERROR(__xludf.DUMMYFUNCTION("""COMPUTED_VALUE"""),0.9856275148598291)</f>
        <v>0.9856275149</v>
      </c>
      <c r="AN272" s="30">
        <f>IFERROR(__xludf.DUMMYFUNCTION("""COMPUTED_VALUE"""),1.023987952078585)</f>
        <v>1.023987952</v>
      </c>
      <c r="AO272" s="30">
        <f>IFERROR(__xludf.DUMMYFUNCTION("""COMPUTED_VALUE"""),1.0426568406182894)</f>
        <v>1.042656841</v>
      </c>
      <c r="AP272" s="30">
        <f>IFERROR(__xludf.DUMMYFUNCTION("""COMPUTED_VALUE"""),1.294724776528634)</f>
        <v>1.294724777</v>
      </c>
      <c r="AQ272" s="30">
        <f>IFERROR(__xludf.DUMMYFUNCTION("""COMPUTED_VALUE"""),0.9455518734447492)</f>
        <v>0.9455518734</v>
      </c>
      <c r="AR272" s="30">
        <f>IFERROR(__xludf.DUMMYFUNCTION("""COMPUTED_VALUE"""),1.1274082335286049)</f>
        <v>1.127408234</v>
      </c>
      <c r="AS272" s="30">
        <f>IFERROR(__xludf.DUMMYFUNCTION("""COMPUTED_VALUE"""),55.0)</f>
        <v>55</v>
      </c>
      <c r="AT272" s="30">
        <f>IFERROR(__xludf.DUMMYFUNCTION("""COMPUTED_VALUE"""),0.5292335594025471)</f>
        <v>0.5292335594</v>
      </c>
      <c r="AU272" s="30">
        <f>IFERROR(__xludf.DUMMYFUNCTION("""COMPUTED_VALUE"""),2.690428124493107)</f>
        <v>2.690428124</v>
      </c>
      <c r="AV272" s="32">
        <f>IFERROR(__xludf.DUMMYFUNCTION("""COMPUTED_VALUE"""),58.53527779899446)</f>
        <v>58.5352778</v>
      </c>
      <c r="AW272" s="32">
        <f>IFERROR(__xludf.DUMMYFUNCTION("""COMPUTED_VALUE"""),2.729279575308913)</f>
        <v>2.729279575</v>
      </c>
      <c r="AX272" s="32">
        <f>IFERROR(__xludf.DUMMYFUNCTION("""COMPUTED_VALUE"""),58.56148474417386)</f>
        <v>58.56148474</v>
      </c>
      <c r="AY272" s="32">
        <f>IFERROR(__xludf.DUMMYFUNCTION("""COMPUTED_VALUE"""),2.73222102551132)</f>
        <v>2.732221026</v>
      </c>
      <c r="AZ272" s="30">
        <f>IFERROR(__xludf.DUMMYFUNCTION("""COMPUTED_VALUE"""),0.0029414502024072142)</f>
        <v>0.002941450202</v>
      </c>
      <c r="BA272" s="30">
        <f>IFERROR(__xludf.DUMMYFUNCTION("""COMPUTED_VALUE"""),800.0)</f>
        <v>800</v>
      </c>
    </row>
    <row r="273">
      <c r="A273" s="71" t="str">
        <f>IFERROR(__xludf.DUMMYFUNCTION("""COMPUTED_VALUE"""),"Veteran")</f>
        <v>Veteran</v>
      </c>
      <c r="B273" s="71" t="str">
        <f>IFERROR(__xludf.DUMMYFUNCTION("""COMPUTED_VALUE"""),"RSC007505")</f>
        <v>RSC007505</v>
      </c>
      <c r="C273" s="30" t="str">
        <f>IFERROR(__xludf.DUMMYFUNCTION("""COMPUTED_VALUE"""),"Detroeux_RL")</f>
        <v>Detroeux_RL</v>
      </c>
      <c r="D273" s="30"/>
      <c r="E273" s="30">
        <f>IFERROR(__xludf.DUMMYFUNCTION("""COMPUTED_VALUE"""),4.0)</f>
        <v>4</v>
      </c>
      <c r="F273" s="30">
        <f>IFERROR(__xludf.DUMMYFUNCTION("""COMPUTED_VALUE"""),0.0)</f>
        <v>0</v>
      </c>
      <c r="G273" s="42">
        <f>IFERROR(__xludf.DUMMYFUNCTION("""COMPUTED_VALUE"""),4.0)</f>
        <v>4</v>
      </c>
      <c r="H273" s="42">
        <f>IFERROR(__xludf.DUMMYFUNCTION("""COMPUTED_VALUE"""),0.0)</f>
        <v>0</v>
      </c>
      <c r="I273" s="42">
        <f>IFERROR(__xludf.DUMMYFUNCTION("""COMPUTED_VALUE"""),0.3333333333333333)</f>
        <v>0.3333333333</v>
      </c>
      <c r="J273" s="30">
        <f>IFERROR(__xludf.DUMMYFUNCTION("""COMPUTED_VALUE"""),189.0)</f>
        <v>189</v>
      </c>
      <c r="K273" s="30">
        <f>IFERROR(__xludf.DUMMYFUNCTION("""COMPUTED_VALUE"""),0.25)</f>
        <v>0.25</v>
      </c>
      <c r="L273" s="30">
        <f>IFERROR(__xludf.DUMMYFUNCTION("""COMPUTED_VALUE"""),0.25)</f>
        <v>0.25</v>
      </c>
      <c r="M273" s="30">
        <f>IFERROR(__xludf.DUMMYFUNCTION("""COMPUTED_VALUE"""),0.75)</f>
        <v>0.75</v>
      </c>
      <c r="N273" s="30">
        <f>IFERROR(__xludf.DUMMYFUNCTION("""COMPUTED_VALUE"""),0.75)</f>
        <v>0.75</v>
      </c>
      <c r="O273" s="30">
        <f>IFERROR(__xludf.DUMMYFUNCTION("""COMPUTED_VALUE"""),531.6666666666666)</f>
        <v>531.6666667</v>
      </c>
      <c r="P273" s="30">
        <f>IFERROR(__xludf.DUMMYFUNCTION("""COMPUTED_VALUE"""),1.9166666666666665)</f>
        <v>1.916666667</v>
      </c>
      <c r="Q273" s="30">
        <f>IFERROR(__xludf.DUMMYFUNCTION("""COMPUTED_VALUE"""),1.3333333333333335)</f>
        <v>1.333333333</v>
      </c>
      <c r="R273" s="30">
        <f>IFERROR(__xludf.DUMMYFUNCTION("""COMPUTED_VALUE"""),1.1666666666666667)</f>
        <v>1.166666667</v>
      </c>
      <c r="S273" s="30">
        <f>IFERROR(__xludf.DUMMYFUNCTION("""COMPUTED_VALUE"""),4.583333333333333)</f>
        <v>4.583333333</v>
      </c>
      <c r="T273" s="30">
        <f>IFERROR(__xludf.DUMMYFUNCTION("""COMPUTED_VALUE"""),378.6085761085761)</f>
        <v>378.6085761</v>
      </c>
      <c r="U273" s="30">
        <f>IFERROR(__xludf.DUMMYFUNCTION("""COMPUTED_VALUE"""),0.9196209196209196)</f>
        <v>0.9196209196</v>
      </c>
      <c r="V273" s="30">
        <f>IFERROR(__xludf.DUMMYFUNCTION("""COMPUTED_VALUE"""),0.7634550134550135)</f>
        <v>0.7634550135</v>
      </c>
      <c r="W273" s="30">
        <f>IFERROR(__xludf.DUMMYFUNCTION("""COMPUTED_VALUE"""),1.2624312624312626)</f>
        <v>1.262431262</v>
      </c>
      <c r="X273" s="30">
        <f>IFERROR(__xludf.DUMMYFUNCTION("""COMPUTED_VALUE"""),2.72972972972973)</f>
        <v>2.72972973</v>
      </c>
      <c r="Y273" s="30">
        <f>IFERROR(__xludf.DUMMYFUNCTION("""COMPUTED_VALUE"""),373.66970866970865)</f>
        <v>373.6697087</v>
      </c>
      <c r="Z273" s="30">
        <f>IFERROR(__xludf.DUMMYFUNCTION("""COMPUTED_VALUE"""),0.8742443742443742)</f>
        <v>0.8742443742</v>
      </c>
      <c r="AA273" s="30">
        <f>IFERROR(__xludf.DUMMYFUNCTION("""COMPUTED_VALUE"""),0.6274618774618775)</f>
        <v>0.6274618775</v>
      </c>
      <c r="AB273" s="30">
        <f>IFERROR(__xludf.DUMMYFUNCTION("""COMPUTED_VALUE"""),1.4344214344214343)</f>
        <v>1.434421434</v>
      </c>
      <c r="AC273" s="30">
        <f>IFERROR(__xludf.DUMMYFUNCTION("""COMPUTED_VALUE"""),2.792714792714792)</f>
        <v>2.792714793</v>
      </c>
      <c r="AD273" s="30">
        <f>IFERROR(__xludf.DUMMYFUNCTION("""COMPUTED_VALUE"""),0.5057942766430111)</f>
        <v>0.5057942766</v>
      </c>
      <c r="AE273" s="30">
        <f>IFERROR(__xludf.DUMMYFUNCTION("""COMPUTED_VALUE"""),0.2859612339125198)</f>
        <v>0.2859612339</v>
      </c>
      <c r="AF273" s="30">
        <f>IFERROR(__xludf.DUMMYFUNCTION("""COMPUTED_VALUE"""),0.39843058037448525)</f>
        <v>0.3984305804</v>
      </c>
      <c r="AG273" s="30">
        <f>IFERROR(__xludf.DUMMYFUNCTION("""COMPUTED_VALUE"""),0.5228588907014682)</f>
        <v>0.5228588907</v>
      </c>
      <c r="AH273" s="30">
        <f>IFERROR(__xludf.DUMMYFUNCTION("""COMPUTED_VALUE"""),0.2685558876103229)</f>
        <v>0.2685558876</v>
      </c>
      <c r="AI273" s="30">
        <f>IFERROR(__xludf.DUMMYFUNCTION("""COMPUTED_VALUE"""),1.4042647214472952)</f>
        <v>1.404264721</v>
      </c>
      <c r="AJ273" s="30">
        <f>IFERROR(__xludf.DUMMYFUNCTION("""COMPUTED_VALUE"""),2.0841921119592874)</f>
        <v>2.084192112</v>
      </c>
      <c r="AK273" s="30">
        <f>IFERROR(__xludf.DUMMYFUNCTION("""COMPUTED_VALUE"""),1.7464464963028237)</f>
        <v>1.746446496</v>
      </c>
      <c r="AL273" s="30">
        <f>IFERROR(__xludf.DUMMYFUNCTION("""COMPUTED_VALUE"""),0.9241427247451344)</f>
        <v>0.9241427247</v>
      </c>
      <c r="AM273" s="30">
        <f>IFERROR(__xludf.DUMMYFUNCTION("""COMPUTED_VALUE"""),1.679042904290429)</f>
        <v>1.679042904</v>
      </c>
      <c r="AN273" s="30">
        <f>IFERROR(__xludf.DUMMYFUNCTION("""COMPUTED_VALUE"""),0.5467122356970401)</f>
        <v>0.5467122357</v>
      </c>
      <c r="AO273" s="30">
        <f>IFERROR(__xludf.DUMMYFUNCTION("""COMPUTED_VALUE"""),0.33087911033637296)</f>
        <v>0.3308791103</v>
      </c>
      <c r="AP273" s="30">
        <f>IFERROR(__xludf.DUMMYFUNCTION("""COMPUTED_VALUE"""),0.44975549503497325)</f>
        <v>0.449755495</v>
      </c>
      <c r="AQ273" s="30">
        <f>IFERROR(__xludf.DUMMYFUNCTION("""COMPUTED_VALUE"""),0.5543356934026832)</f>
        <v>0.5543356934</v>
      </c>
      <c r="AR273" s="30">
        <f>IFERROR(__xludf.DUMMYFUNCTION("""COMPUTED_VALUE"""),0.29417383511015816)</f>
        <v>0.2941738351</v>
      </c>
      <c r="AS273" s="30">
        <f>IFERROR(__xludf.DUMMYFUNCTION("""COMPUTED_VALUE"""),5.0)</f>
        <v>5</v>
      </c>
      <c r="AT273" s="30">
        <f>IFERROR(__xludf.DUMMYFUNCTION("""COMPUTED_VALUE"""),0.06491510899821656)</f>
        <v>0.064915109</v>
      </c>
      <c r="AU273" s="30">
        <f>IFERROR(__xludf.DUMMYFUNCTION("""COMPUTED_VALUE"""),-1.068880014550291)</f>
        <v>-1.068880015</v>
      </c>
      <c r="AV273" s="32">
        <f>IFERROR(__xludf.DUMMYFUNCTION("""COMPUTED_VALUE"""),-53.00070383724389)</f>
        <v>-53.00070384</v>
      </c>
      <c r="AW273" s="32">
        <f>IFERROR(__xludf.DUMMYFUNCTION("""COMPUTED_VALUE"""),-52794.67178524988)</f>
        <v>-52794.67179</v>
      </c>
      <c r="AX273" s="32">
        <f>IFERROR(__xludf.DUMMYFUNCTION("""COMPUTED_VALUE"""),-45.276133486667106)</f>
        <v>-45.27613349</v>
      </c>
      <c r="AY273" s="32">
        <f>IFERROR(__xludf.DUMMYFUNCTION("""COMPUTED_VALUE"""),-14452.91580543699)</f>
        <v>-14452.91581</v>
      </c>
      <c r="AZ273" s="30">
        <f>IFERROR(__xludf.DUMMYFUNCTION("""COMPUTED_VALUE"""),38341.755979812886)</f>
        <v>38341.75598</v>
      </c>
      <c r="BA273" s="30">
        <f>IFERROR(__xludf.DUMMYFUNCTION("""COMPUTED_VALUE"""),1200.0)</f>
        <v>1200</v>
      </c>
    </row>
    <row r="274">
      <c r="A274" s="71" t="str">
        <f>IFERROR(__xludf.DUMMYFUNCTION("""COMPUTED_VALUE"""),"Veteran")</f>
        <v>Veteran</v>
      </c>
      <c r="B274" s="71" t="str">
        <f>IFERROR(__xludf.DUMMYFUNCTION("""COMPUTED_VALUE"""),"RSC003694")</f>
        <v>RSC003694</v>
      </c>
      <c r="C274" s="30" t="str">
        <f>IFERROR(__xludf.DUMMYFUNCTION("""COMPUTED_VALUE"""),"TheCroctopusTV")</f>
        <v>TheCroctopusTV</v>
      </c>
      <c r="D274" s="30"/>
      <c r="E274" s="30">
        <f>IFERROR(__xludf.DUMMYFUNCTION("""COMPUTED_VALUE"""),4.0)</f>
        <v>4</v>
      </c>
      <c r="F274" s="30">
        <f>IFERROR(__xludf.DUMMYFUNCTION("""COMPUTED_VALUE"""),1.0)</f>
        <v>1</v>
      </c>
      <c r="G274" s="42">
        <f>IFERROR(__xludf.DUMMYFUNCTION("""COMPUTED_VALUE"""),3.0)</f>
        <v>3</v>
      </c>
      <c r="H274" s="42">
        <f>IFERROR(__xludf.DUMMYFUNCTION("""COMPUTED_VALUE"""),0.25)</f>
        <v>0.25</v>
      </c>
      <c r="I274" s="42">
        <f>IFERROR(__xludf.DUMMYFUNCTION("""COMPUTED_VALUE"""),0.5)</f>
        <v>0.5</v>
      </c>
      <c r="J274" s="30">
        <f>IFERROR(__xludf.DUMMYFUNCTION("""COMPUTED_VALUE"""),227.5)</f>
        <v>227.5</v>
      </c>
      <c r="K274" s="30">
        <f>IFERROR(__xludf.DUMMYFUNCTION("""COMPUTED_VALUE"""),0.25)</f>
        <v>0.25</v>
      </c>
      <c r="L274" s="30">
        <f>IFERROR(__xludf.DUMMYFUNCTION("""COMPUTED_VALUE"""),0.0)</f>
        <v>0</v>
      </c>
      <c r="M274" s="30">
        <f>IFERROR(__xludf.DUMMYFUNCTION("""COMPUTED_VALUE"""),1.25)</f>
        <v>1.25</v>
      </c>
      <c r="N274" s="30">
        <f>IFERROR(__xludf.DUMMYFUNCTION("""COMPUTED_VALUE"""),0.5)</f>
        <v>0.5</v>
      </c>
      <c r="O274" s="30">
        <f>IFERROR(__xludf.DUMMYFUNCTION("""COMPUTED_VALUE"""),380.1666666666667)</f>
        <v>380.1666667</v>
      </c>
      <c r="P274" s="30">
        <f>IFERROR(__xludf.DUMMYFUNCTION("""COMPUTED_VALUE"""),1.0)</f>
        <v>1</v>
      </c>
      <c r="Q274" s="30">
        <f>IFERROR(__xludf.DUMMYFUNCTION("""COMPUTED_VALUE"""),0.5833333333333334)</f>
        <v>0.5833333333</v>
      </c>
      <c r="R274" s="30">
        <f>IFERROR(__xludf.DUMMYFUNCTION("""COMPUTED_VALUE"""),1.0)</f>
        <v>1</v>
      </c>
      <c r="S274" s="30">
        <f>IFERROR(__xludf.DUMMYFUNCTION("""COMPUTED_VALUE"""),3.4166666666666665)</f>
        <v>3.416666667</v>
      </c>
      <c r="T274" s="30">
        <f>IFERROR(__xludf.DUMMYFUNCTION("""COMPUTED_VALUE"""),373.8239935587762)</f>
        <v>373.8239936</v>
      </c>
      <c r="U274" s="30">
        <f>IFERROR(__xludf.DUMMYFUNCTION("""COMPUTED_VALUE"""),0.9072659616137877)</f>
        <v>0.9072659616</v>
      </c>
      <c r="V274" s="30">
        <f>IFERROR(__xludf.DUMMYFUNCTION("""COMPUTED_VALUE"""),0.6269900335117726)</f>
        <v>0.6269900335</v>
      </c>
      <c r="W274" s="30">
        <f>IFERROR(__xludf.DUMMYFUNCTION("""COMPUTED_VALUE"""),1.3148322235278755)</f>
        <v>1.314832224</v>
      </c>
      <c r="X274" s="30">
        <f>IFERROR(__xludf.DUMMYFUNCTION("""COMPUTED_VALUE"""),2.7845018931975454)</f>
        <v>2.784501893</v>
      </c>
      <c r="Y274" s="30">
        <f>IFERROR(__xludf.DUMMYFUNCTION("""COMPUTED_VALUE"""),321.33135744440085)</f>
        <v>321.3313574</v>
      </c>
      <c r="Z274" s="30">
        <f>IFERROR(__xludf.DUMMYFUNCTION("""COMPUTED_VALUE"""),0.6610443777110443)</f>
        <v>0.6610443777</v>
      </c>
      <c r="AA274" s="30">
        <f>IFERROR(__xludf.DUMMYFUNCTION("""COMPUTED_VALUE"""),0.4657599628614121)</f>
        <v>0.4657599629</v>
      </c>
      <c r="AB274" s="30">
        <f>IFERROR(__xludf.DUMMYFUNCTION("""COMPUTED_VALUE"""),1.1707359533446489)</f>
        <v>1.170735953</v>
      </c>
      <c r="AC274" s="30">
        <f>IFERROR(__xludf.DUMMYFUNCTION("""COMPUTED_VALUE"""),2.418795607201404)</f>
        <v>2.418795607</v>
      </c>
      <c r="AD274" s="30">
        <f>IFERROR(__xludf.DUMMYFUNCTION("""COMPUTED_VALUE"""),0.7079919053320645)</f>
        <v>0.7079919053</v>
      </c>
      <c r="AE274" s="30">
        <f>IFERROR(__xludf.DUMMYFUNCTION("""COMPUTED_VALUE"""),0.3781894354289176)</f>
        <v>0.3781894354</v>
      </c>
      <c r="AF274" s="30">
        <f>IFERROR(__xludf.DUMMYFUNCTION("""COMPUTED_VALUE"""),0.0)</f>
        <v>0</v>
      </c>
      <c r="AG274" s="30">
        <f>IFERROR(__xludf.DUMMYFUNCTION("""COMPUTED_VALUE"""),1.067704460966543)</f>
        <v>1.067704461</v>
      </c>
      <c r="AH274" s="30">
        <f>IFERROR(__xludf.DUMMYFUNCTION("""COMPUTED_VALUE"""),0.20671444850956638)</f>
        <v>0.2067144485</v>
      </c>
      <c r="AI274" s="30">
        <f>IFERROR(__xludf.DUMMYFUNCTION("""COMPUTED_VALUE"""),1.0169670037696317)</f>
        <v>1.016967004</v>
      </c>
      <c r="AJ274" s="30">
        <f>IFERROR(__xludf.DUMMYFUNCTION("""COMPUTED_VALUE"""),1.1022126281705342)</f>
        <v>1.102212628</v>
      </c>
      <c r="AK274" s="30">
        <f>IFERROR(__xludf.DUMMYFUNCTION("""COMPUTED_VALUE"""),0.9303709822404704)</f>
        <v>0.9303709822</v>
      </c>
      <c r="AL274" s="30">
        <f>IFERROR(__xludf.DUMMYFUNCTION("""COMPUTED_VALUE"""),0.7605533102290896)</f>
        <v>0.7605533102</v>
      </c>
      <c r="AM274" s="30">
        <f>IFERROR(__xludf.DUMMYFUNCTION("""COMPUTED_VALUE"""),1.227029751717347)</f>
        <v>1.227029752</v>
      </c>
      <c r="AN274" s="30">
        <f>IFERROR(__xludf.DUMMYFUNCTION("""COMPUTED_VALUE"""),0.6580795429686593)</f>
        <v>0.658079543</v>
      </c>
      <c r="AO274" s="30">
        <f>IFERROR(__xludf.DUMMYFUNCTION("""COMPUTED_VALUE"""),0.33087911033637296)</f>
        <v>0.3308791103</v>
      </c>
      <c r="AP274" s="30">
        <f>IFERROR(__xludf.DUMMYFUNCTION("""COMPUTED_VALUE"""),0.0)</f>
        <v>0</v>
      </c>
      <c r="AQ274" s="30">
        <f>IFERROR(__xludf.DUMMYFUNCTION("""COMPUTED_VALUE"""),0.9238928223378052)</f>
        <v>0.9238928223</v>
      </c>
      <c r="AR274" s="30">
        <f>IFERROR(__xludf.DUMMYFUNCTION("""COMPUTED_VALUE"""),0.19611589007343877)</f>
        <v>0.1961158901</v>
      </c>
      <c r="AS274" s="30">
        <f>IFERROR(__xludf.DUMMYFUNCTION("""COMPUTED_VALUE"""),4.0)</f>
        <v>4</v>
      </c>
      <c r="AT274" s="30">
        <f>IFERROR(__xludf.DUMMYFUNCTION("""COMPUTED_VALUE"""),0.1630859559789061)</f>
        <v>0.163085956</v>
      </c>
      <c r="AU274" s="30">
        <f>IFERROR(__xludf.DUMMYFUNCTION("""COMPUTED_VALUE"""),-0.31158860869589405)</f>
        <v>-0.3115886087</v>
      </c>
      <c r="AV274" s="32">
        <f>IFERROR(__xludf.DUMMYFUNCTION("""COMPUTED_VALUE"""),-25.925950507614445)</f>
        <v>-25.92595051</v>
      </c>
      <c r="AW274" s="32">
        <f>IFERROR(__xludf.DUMMYFUNCTION("""COMPUTED_VALUE"""),-837.1166868440963)</f>
        <v>-837.1166868</v>
      </c>
      <c r="AX274" s="32">
        <f>IFERROR(__xludf.DUMMYFUNCTION("""COMPUTED_VALUE"""),-30.018406375449388)</f>
        <v>-30.01840638</v>
      </c>
      <c r="AY274" s="32">
        <f>IFERROR(__xludf.DUMMYFUNCTION("""COMPUTED_VALUE"""),-1459.034596692945)</f>
        <v>-1459.034597</v>
      </c>
      <c r="AZ274" s="30">
        <f>IFERROR(__xludf.DUMMYFUNCTION("""COMPUTED_VALUE"""),621.9179098488486)</f>
        <v>621.9179098</v>
      </c>
      <c r="BA274" s="30">
        <f>IFERROR(__xludf.DUMMYFUNCTION("""COMPUTED_VALUE"""),1200.0)</f>
        <v>1200</v>
      </c>
    </row>
    <row r="275">
      <c r="A275" s="71" t="str">
        <f>IFERROR(__xludf.DUMMYFUNCTION("""COMPUTED_VALUE"""),"Veteran")</f>
        <v>Veteran</v>
      </c>
      <c r="B275" s="71" t="str">
        <f>IFERROR(__xludf.DUMMYFUNCTION("""COMPUTED_VALUE"""),"RSC004198")</f>
        <v>RSC004198</v>
      </c>
      <c r="C275" s="30" t="str">
        <f>IFERROR(__xludf.DUMMYFUNCTION("""COMPUTED_VALUE"""),"Dr. Cereal")</f>
        <v>Dr. Cereal</v>
      </c>
      <c r="D275" s="30"/>
      <c r="E275" s="30">
        <f>IFERROR(__xludf.DUMMYFUNCTION("""COMPUTED_VALUE"""),6.0)</f>
        <v>6</v>
      </c>
      <c r="F275" s="30">
        <f>IFERROR(__xludf.DUMMYFUNCTION("""COMPUTED_VALUE"""),1.0)</f>
        <v>1</v>
      </c>
      <c r="G275" s="42">
        <f>IFERROR(__xludf.DUMMYFUNCTION("""COMPUTED_VALUE"""),5.0)</f>
        <v>5</v>
      </c>
      <c r="H275" s="42">
        <f>IFERROR(__xludf.DUMMYFUNCTION("""COMPUTED_VALUE"""),0.16666666666666666)</f>
        <v>0.1666666667</v>
      </c>
      <c r="I275" s="42">
        <f>IFERROR(__xludf.DUMMYFUNCTION("""COMPUTED_VALUE"""),0.27272727272727276)</f>
        <v>0.2727272727</v>
      </c>
      <c r="J275" s="30">
        <f>IFERROR(__xludf.DUMMYFUNCTION("""COMPUTED_VALUE"""),208.0)</f>
        <v>208</v>
      </c>
      <c r="K275" s="30">
        <f>IFERROR(__xludf.DUMMYFUNCTION("""COMPUTED_VALUE"""),0.5)</f>
        <v>0.5</v>
      </c>
      <c r="L275" s="30">
        <f>IFERROR(__xludf.DUMMYFUNCTION("""COMPUTED_VALUE"""),0.0)</f>
        <v>0</v>
      </c>
      <c r="M275" s="30">
        <f>IFERROR(__xludf.DUMMYFUNCTION("""COMPUTED_VALUE"""),0.5)</f>
        <v>0.5</v>
      </c>
      <c r="N275" s="30">
        <f>IFERROR(__xludf.DUMMYFUNCTION("""COMPUTED_VALUE"""),1.8333333333333333)</f>
        <v>1.833333333</v>
      </c>
      <c r="O275" s="30">
        <f>IFERROR(__xludf.DUMMYFUNCTION("""COMPUTED_VALUE"""),370.8333333333333)</f>
        <v>370.8333333</v>
      </c>
      <c r="P275" s="30">
        <f>IFERROR(__xludf.DUMMYFUNCTION("""COMPUTED_VALUE"""),1.0555555555555556)</f>
        <v>1.055555556</v>
      </c>
      <c r="Q275" s="30">
        <f>IFERROR(__xludf.DUMMYFUNCTION("""COMPUTED_VALUE"""),0.8888888888888888)</f>
        <v>0.8888888889</v>
      </c>
      <c r="R275" s="30">
        <f>IFERROR(__xludf.DUMMYFUNCTION("""COMPUTED_VALUE"""),0.9444444444444443)</f>
        <v>0.9444444444</v>
      </c>
      <c r="S275" s="30">
        <f>IFERROR(__xludf.DUMMYFUNCTION("""COMPUTED_VALUE"""),2.7222222222222228)</f>
        <v>2.722222222</v>
      </c>
      <c r="T275" s="30">
        <f>IFERROR(__xludf.DUMMYFUNCTION("""COMPUTED_VALUE"""),337.0777056277056)</f>
        <v>337.0777056</v>
      </c>
      <c r="U275" s="30">
        <f>IFERROR(__xludf.DUMMYFUNCTION("""COMPUTED_VALUE"""),0.733970658970659)</f>
        <v>0.733970659</v>
      </c>
      <c r="V275" s="30">
        <f>IFERROR(__xludf.DUMMYFUNCTION("""COMPUTED_VALUE"""),0.47260702260702264)</f>
        <v>0.4726070226</v>
      </c>
      <c r="W275" s="30">
        <f>IFERROR(__xludf.DUMMYFUNCTION("""COMPUTED_VALUE"""),1.299086099086099)</f>
        <v>1.299086099</v>
      </c>
      <c r="X275" s="30">
        <f>IFERROR(__xludf.DUMMYFUNCTION("""COMPUTED_VALUE"""),2.4191798941798943)</f>
        <v>2.419179894</v>
      </c>
      <c r="Y275" s="30">
        <f>IFERROR(__xludf.DUMMYFUNCTION("""COMPUTED_VALUE"""),334.1711159211159)</f>
        <v>334.1711159</v>
      </c>
      <c r="Z275" s="30">
        <f>IFERROR(__xludf.DUMMYFUNCTION("""COMPUTED_VALUE"""),0.7380311046977716)</f>
        <v>0.7380311047</v>
      </c>
      <c r="AA275" s="30">
        <f>IFERROR(__xludf.DUMMYFUNCTION("""COMPUTED_VALUE"""),0.5444524611191276)</f>
        <v>0.5444524611</v>
      </c>
      <c r="AB275" s="30">
        <f>IFERROR(__xludf.DUMMYFUNCTION("""COMPUTED_VALUE"""),1.2084014750681418)</f>
        <v>1.208401475</v>
      </c>
      <c r="AC275" s="30">
        <f>IFERROR(__xludf.DUMMYFUNCTION("""COMPUTED_VALUE"""),2.5575276575276575)</f>
        <v>2.557527658</v>
      </c>
      <c r="AD275" s="30">
        <f>IFERROR(__xludf.DUMMYFUNCTION("""COMPUTED_VALUE"""),0.6224356028696995)</f>
        <v>0.6224356029</v>
      </c>
      <c r="AE275" s="30">
        <f>IFERROR(__xludf.DUMMYFUNCTION("""COMPUTED_VALUE"""),0.6774782211987572)</f>
        <v>0.6774782212</v>
      </c>
      <c r="AF275" s="30">
        <f>IFERROR(__xludf.DUMMYFUNCTION("""COMPUTED_VALUE"""),0.0)</f>
        <v>0</v>
      </c>
      <c r="AG275" s="30">
        <f>IFERROR(__xludf.DUMMYFUNCTION("""COMPUTED_VALUE"""),0.41376976966351764)</f>
        <v>0.4137697697</v>
      </c>
      <c r="AH275" s="30">
        <f>IFERROR(__xludf.DUMMYFUNCTION("""COMPUTED_VALUE"""),0.7168381260461529)</f>
        <v>0.716838126</v>
      </c>
      <c r="AI275" s="30">
        <f>IFERROR(__xludf.DUMMYFUNCTION("""COMPUTED_VALUE"""),1.100141976588953)</f>
        <v>1.100141977</v>
      </c>
      <c r="AJ275" s="30">
        <f>IFERROR(__xludf.DUMMYFUNCTION("""COMPUTED_VALUE"""),1.4381440765437357)</f>
        <v>1.438144077</v>
      </c>
      <c r="AK275" s="30">
        <f>IFERROR(__xludf.DUMMYFUNCTION("""COMPUTED_VALUE"""),1.8808203144878122)</f>
        <v>1.880820314</v>
      </c>
      <c r="AL275" s="30">
        <f>IFERROR(__xludf.DUMMYFUNCTION("""COMPUTED_VALUE"""),0.7270068127962085)</f>
        <v>0.7270068128</v>
      </c>
      <c r="AM275" s="30">
        <f>IFERROR(__xludf.DUMMYFUNCTION("""COMPUTED_VALUE"""),1.1252665536661384)</f>
        <v>1.125266554</v>
      </c>
      <c r="AN275" s="30">
        <f>IFERROR(__xludf.DUMMYFUNCTION("""COMPUTED_VALUE"""),0.6016727249999171)</f>
        <v>0.601672725</v>
      </c>
      <c r="AO275" s="30">
        <f>IFERROR(__xludf.DUMMYFUNCTION("""COMPUTED_VALUE"""),0.6617582206727459)</f>
        <v>0.6617582207</v>
      </c>
      <c r="AP275" s="30">
        <f>IFERROR(__xludf.DUMMYFUNCTION("""COMPUTED_VALUE"""),0.0)</f>
        <v>0</v>
      </c>
      <c r="AQ275" s="30">
        <f>IFERROR(__xludf.DUMMYFUNCTION("""COMPUTED_VALUE"""),0.3695571289351221)</f>
        <v>0.3695571289</v>
      </c>
      <c r="AR275" s="30">
        <f>IFERROR(__xludf.DUMMYFUNCTION("""COMPUTED_VALUE"""),0.7190915969359422)</f>
        <v>0.7190915969</v>
      </c>
      <c r="AS275" s="30">
        <f>IFERROR(__xludf.DUMMYFUNCTION("""COMPUTED_VALUE"""),8.0)</f>
        <v>8</v>
      </c>
      <c r="AT275" s="30">
        <f>IFERROR(__xludf.DUMMYFUNCTION("""COMPUTED_VALUE"""),0.2088375576689729)</f>
        <v>0.2088375577</v>
      </c>
      <c r="AU275" s="30">
        <f>IFERROR(__xludf.DUMMYFUNCTION("""COMPUTED_VALUE"""),-0.16827104620509725)</f>
        <v>-0.1682710462</v>
      </c>
      <c r="AV275" s="32">
        <f>IFERROR(__xludf.DUMMYFUNCTION("""COMPUTED_VALUE"""),-20.80204757903938)</f>
        <v>-20.80204758</v>
      </c>
      <c r="AW275" s="32">
        <f>IFERROR(__xludf.DUMMYFUNCTION("""COMPUTED_VALUE"""),-432.4698228031333)</f>
        <v>-432.4698228</v>
      </c>
      <c r="AX275" s="32">
        <f>IFERROR(__xludf.DUMMYFUNCTION("""COMPUTED_VALUE"""),-5.979414947372199)</f>
        <v>-5.979414947</v>
      </c>
      <c r="AY275" s="32">
        <f>IFERROR(__xludf.DUMMYFUNCTION("""COMPUTED_VALUE"""),-79.54048540282548)</f>
        <v>-79.5404854</v>
      </c>
      <c r="AZ275" s="30">
        <f>IFERROR(__xludf.DUMMYFUNCTION("""COMPUTED_VALUE"""),352.9293374003078)</f>
        <v>352.9293374</v>
      </c>
      <c r="BA275" s="30">
        <f>IFERROR(__xludf.DUMMYFUNCTION("""COMPUTED_VALUE"""),1200.0)</f>
        <v>1200</v>
      </c>
    </row>
    <row r="276">
      <c r="A276" s="71" t="str">
        <f>IFERROR(__xludf.DUMMYFUNCTION("""COMPUTED_VALUE"""),"Veteran")</f>
        <v>Veteran</v>
      </c>
      <c r="B276" s="71" t="str">
        <f>IFERROR(__xludf.DUMMYFUNCTION("""COMPUTED_VALUE"""),"RSC004188")</f>
        <v>RSC004188</v>
      </c>
      <c r="C276" s="30" t="str">
        <f>IFERROR(__xludf.DUMMYFUNCTION("""COMPUTED_VALUE"""),"wntr")</f>
        <v>wntr</v>
      </c>
      <c r="D276" s="30" t="str">
        <f>IFERROR(__xludf.DUMMYFUNCTION("""COMPUTED_VALUE"""),"Azalea")</f>
        <v>Azalea</v>
      </c>
      <c r="E276" s="30">
        <f>IFERROR(__xludf.DUMMYFUNCTION("""COMPUTED_VALUE"""),9.0)</f>
        <v>9</v>
      </c>
      <c r="F276" s="30">
        <f>IFERROR(__xludf.DUMMYFUNCTION("""COMPUTED_VALUE"""),3.0)</f>
        <v>3</v>
      </c>
      <c r="G276" s="42">
        <f>IFERROR(__xludf.DUMMYFUNCTION("""COMPUTED_VALUE"""),6.0)</f>
        <v>6</v>
      </c>
      <c r="H276" s="42">
        <f>IFERROR(__xludf.DUMMYFUNCTION("""COMPUTED_VALUE"""),0.3333333333333333)</f>
        <v>0.3333333333</v>
      </c>
      <c r="I276" s="42">
        <f>IFERROR(__xludf.DUMMYFUNCTION("""COMPUTED_VALUE"""),0.14285714285714285)</f>
        <v>0.1428571429</v>
      </c>
      <c r="J276" s="30">
        <f>IFERROR(__xludf.DUMMYFUNCTION("""COMPUTED_VALUE"""),238.55555555555554)</f>
        <v>238.5555556</v>
      </c>
      <c r="K276" s="30">
        <f>IFERROR(__xludf.DUMMYFUNCTION("""COMPUTED_VALUE"""),0.1111111111111111)</f>
        <v>0.1111111111</v>
      </c>
      <c r="L276" s="30">
        <f>IFERROR(__xludf.DUMMYFUNCTION("""COMPUTED_VALUE"""),0.5555555555555556)</f>
        <v>0.5555555556</v>
      </c>
      <c r="M276" s="30">
        <f>IFERROR(__xludf.DUMMYFUNCTION("""COMPUTED_VALUE"""),1.2222222222222223)</f>
        <v>1.222222222</v>
      </c>
      <c r="N276" s="30">
        <f>IFERROR(__xludf.DUMMYFUNCTION("""COMPUTED_VALUE"""),0.7777777777777778)</f>
        <v>0.7777777778</v>
      </c>
      <c r="O276" s="30">
        <f>IFERROR(__xludf.DUMMYFUNCTION("""COMPUTED_VALUE"""),350.55555555555554)</f>
        <v>350.5555556</v>
      </c>
      <c r="P276" s="30">
        <f>IFERROR(__xludf.DUMMYFUNCTION("""COMPUTED_VALUE"""),0.9629629629629631)</f>
        <v>0.962962963</v>
      </c>
      <c r="Q276" s="30">
        <f>IFERROR(__xludf.DUMMYFUNCTION("""COMPUTED_VALUE"""),0.5185185185185185)</f>
        <v>0.5185185185</v>
      </c>
      <c r="R276" s="30">
        <f>IFERROR(__xludf.DUMMYFUNCTION("""COMPUTED_VALUE"""),0.9629629629629629)</f>
        <v>0.962962963</v>
      </c>
      <c r="S276" s="30">
        <f>IFERROR(__xludf.DUMMYFUNCTION("""COMPUTED_VALUE"""),2.6666666666666665)</f>
        <v>2.666666667</v>
      </c>
      <c r="T276" s="30">
        <f>IFERROR(__xludf.DUMMYFUNCTION("""COMPUTED_VALUE"""),341.70286655285895)</f>
        <v>341.7028666</v>
      </c>
      <c r="U276" s="30">
        <f>IFERROR(__xludf.DUMMYFUNCTION("""COMPUTED_VALUE"""),0.7383216871616579)</f>
        <v>0.7383216872</v>
      </c>
      <c r="V276" s="30">
        <f>IFERROR(__xludf.DUMMYFUNCTION("""COMPUTED_VALUE"""),0.5283908542473523)</f>
        <v>0.5283908542</v>
      </c>
      <c r="W276" s="30">
        <f>IFERROR(__xludf.DUMMYFUNCTION("""COMPUTED_VALUE"""),1.3658765423988066)</f>
        <v>1.365876542</v>
      </c>
      <c r="X276" s="30">
        <f>IFERROR(__xludf.DUMMYFUNCTION("""COMPUTED_VALUE"""),2.4143632448923373)</f>
        <v>2.414363245</v>
      </c>
      <c r="Y276" s="30">
        <f>IFERROR(__xludf.DUMMYFUNCTION("""COMPUTED_VALUE"""),367.05596578182724)</f>
        <v>367.0559658</v>
      </c>
      <c r="Z276" s="30">
        <f>IFERROR(__xludf.DUMMYFUNCTION("""COMPUTED_VALUE"""),0.9058965402707955)</f>
        <v>0.9058965403</v>
      </c>
      <c r="AA276" s="30">
        <f>IFERROR(__xludf.DUMMYFUNCTION("""COMPUTED_VALUE"""),0.656144411261883)</f>
        <v>0.6561444113</v>
      </c>
      <c r="AB276" s="30">
        <f>IFERROR(__xludf.DUMMYFUNCTION("""COMPUTED_VALUE"""),1.280524333770623)</f>
        <v>1.280524334</v>
      </c>
      <c r="AC276" s="30">
        <f>IFERROR(__xludf.DUMMYFUNCTION("""COMPUTED_VALUE"""),2.716800212955406)</f>
        <v>2.716800213</v>
      </c>
      <c r="AD276" s="30">
        <f>IFERROR(__xludf.DUMMYFUNCTION("""COMPUTED_VALUE"""),0.6499160286018877)</f>
        <v>0.6499160286</v>
      </c>
      <c r="AE276" s="30">
        <f>IFERROR(__xludf.DUMMYFUNCTION("""COMPUTED_VALUE"""),0.12265320174188675)</f>
        <v>0.1226532017</v>
      </c>
      <c r="AF276" s="30">
        <f>IFERROR(__xludf.DUMMYFUNCTION("""COMPUTED_VALUE"""),0.8466970776861802)</f>
        <v>0.8466970777</v>
      </c>
      <c r="AG276" s="30">
        <f>IFERROR(__xludf.DUMMYFUNCTION("""COMPUTED_VALUE"""),0.9544701260172662)</f>
        <v>0.954470126</v>
      </c>
      <c r="AH276" s="30">
        <f>IFERROR(__xludf.DUMMYFUNCTION("""COMPUTED_VALUE"""),0.28628449529297223)</f>
        <v>0.2862844953</v>
      </c>
      <c r="AI276" s="30">
        <f>IFERROR(__xludf.DUMMYFUNCTION("""COMPUTED_VALUE"""),1.0259075643467777)</f>
        <v>1.025907564</v>
      </c>
      <c r="AJ276" s="30">
        <f>IFERROR(__xludf.DUMMYFUNCTION("""COMPUTED_VALUE"""),1.3042593488820535)</f>
        <v>1.304259349</v>
      </c>
      <c r="AK276" s="30">
        <f>IFERROR(__xludf.DUMMYFUNCTION("""COMPUTED_VALUE"""),0.981316225196789)</f>
        <v>0.9813162252</v>
      </c>
      <c r="AL276" s="30">
        <f>IFERROR(__xludf.DUMMYFUNCTION("""COMPUTED_VALUE"""),0.7050146430304521)</f>
        <v>0.705014643</v>
      </c>
      <c r="AM276" s="30">
        <f>IFERROR(__xludf.DUMMYFUNCTION("""COMPUTED_VALUE"""),1.1045010200134902)</f>
        <v>1.10450102</v>
      </c>
      <c r="AN276" s="30">
        <f>IFERROR(__xludf.DUMMYFUNCTION("""COMPUTED_VALUE"""),0.6900594768027895)</f>
        <v>0.6900594768</v>
      </c>
      <c r="AO276" s="30">
        <f>IFERROR(__xludf.DUMMYFUNCTION("""COMPUTED_VALUE"""),0.1470573823717213)</f>
        <v>0.1470573824</v>
      </c>
      <c r="AP276" s="30">
        <f>IFERROR(__xludf.DUMMYFUNCTION("""COMPUTED_VALUE"""),0.999456655633274)</f>
        <v>0.9994566556</v>
      </c>
      <c r="AQ276" s="30">
        <f>IFERROR(__xludf.DUMMYFUNCTION("""COMPUTED_VALUE"""),0.9033618707302986)</f>
        <v>0.9033618707</v>
      </c>
      <c r="AR276" s="30">
        <f>IFERROR(__xludf.DUMMYFUNCTION("""COMPUTED_VALUE"""),0.3050691623364603)</f>
        <v>0.3050691623</v>
      </c>
      <c r="AS276" s="30">
        <f>IFERROR(__xludf.DUMMYFUNCTION("""COMPUTED_VALUE"""),16.0)</f>
        <v>16</v>
      </c>
      <c r="AT276" s="30">
        <f>IFERROR(__xludf.DUMMYFUNCTION("""COMPUTED_VALUE"""),0.3196366571660155)</f>
        <v>0.3196366572</v>
      </c>
      <c r="AU276" s="30">
        <f>IFERROR(__xludf.DUMMYFUNCTION("""COMPUTED_VALUE"""),0.07931781276998634)</f>
        <v>0.07931781277</v>
      </c>
      <c r="AV276" s="32">
        <f>IFERROR(__xludf.DUMMYFUNCTION("""COMPUTED_VALUE"""),-11.950227484300768)</f>
        <v>-11.95022748</v>
      </c>
      <c r="AW276" s="32">
        <f>IFERROR(__xludf.DUMMYFUNCTION("""COMPUTED_VALUE"""),-151.38008398410867)</f>
        <v>-151.380084</v>
      </c>
      <c r="AX276" s="32">
        <f>IFERROR(__xludf.DUMMYFUNCTION("""COMPUTED_VALUE"""),5.761242125294729)</f>
        <v>5.761242125</v>
      </c>
      <c r="AY276" s="32">
        <f>IFERROR(__xludf.DUMMYFUNCTION("""COMPUTED_VALUE"""),-26.040960733378878)</f>
        <v>-26.04096073</v>
      </c>
      <c r="AZ276" s="30">
        <f>IFERROR(__xludf.DUMMYFUNCTION("""COMPUTED_VALUE"""),125.33912325072978)</f>
        <v>125.3391233</v>
      </c>
      <c r="BA276" s="30">
        <f>IFERROR(__xludf.DUMMYFUNCTION("""COMPUTED_VALUE"""),1200.0)</f>
        <v>1200</v>
      </c>
    </row>
    <row r="277">
      <c r="A277" s="71" t="str">
        <f>IFERROR(__xludf.DUMMYFUNCTION("""COMPUTED_VALUE"""),"Veteran")</f>
        <v>Veteran</v>
      </c>
      <c r="B277" s="71" t="str">
        <f>IFERROR(__xludf.DUMMYFUNCTION("""COMPUTED_VALUE"""),"RSC006174")</f>
        <v>RSC006174</v>
      </c>
      <c r="C277" s="30" t="str">
        <f>IFERROR(__xludf.DUMMYFUNCTION("""COMPUTED_VALUE"""),"I like bananas")</f>
        <v>I like bananas</v>
      </c>
      <c r="D277" s="30"/>
      <c r="E277" s="30">
        <f>IFERROR(__xludf.DUMMYFUNCTION("""COMPUTED_VALUE"""),5.0)</f>
        <v>5</v>
      </c>
      <c r="F277" s="30">
        <f>IFERROR(__xludf.DUMMYFUNCTION("""COMPUTED_VALUE"""),1.0)</f>
        <v>1</v>
      </c>
      <c r="G277" s="42">
        <f>IFERROR(__xludf.DUMMYFUNCTION("""COMPUTED_VALUE"""),4.0)</f>
        <v>4</v>
      </c>
      <c r="H277" s="42">
        <f>IFERROR(__xludf.DUMMYFUNCTION("""COMPUTED_VALUE"""),0.2)</f>
        <v>0.2</v>
      </c>
      <c r="I277" s="42">
        <f>IFERROR(__xludf.DUMMYFUNCTION("""COMPUTED_VALUE"""),0.125)</f>
        <v>0.125</v>
      </c>
      <c r="J277" s="30">
        <f>IFERROR(__xludf.DUMMYFUNCTION("""COMPUTED_VALUE"""),405.6)</f>
        <v>405.6</v>
      </c>
      <c r="K277" s="30">
        <f>IFERROR(__xludf.DUMMYFUNCTION("""COMPUTED_VALUE"""),0.2)</f>
        <v>0.2</v>
      </c>
      <c r="L277" s="30">
        <f>IFERROR(__xludf.DUMMYFUNCTION("""COMPUTED_VALUE"""),0.2)</f>
        <v>0.2</v>
      </c>
      <c r="M277" s="30">
        <f>IFERROR(__xludf.DUMMYFUNCTION("""COMPUTED_VALUE"""),3.6)</f>
        <v>3.6</v>
      </c>
      <c r="N277" s="30">
        <f>IFERROR(__xludf.DUMMYFUNCTION("""COMPUTED_VALUE"""),1.6)</f>
        <v>1.6</v>
      </c>
      <c r="O277" s="30">
        <f>IFERROR(__xludf.DUMMYFUNCTION("""COMPUTED_VALUE"""),431.5333333333333)</f>
        <v>431.5333333</v>
      </c>
      <c r="P277" s="30">
        <f>IFERROR(__xludf.DUMMYFUNCTION("""COMPUTED_VALUE"""),1.2)</f>
        <v>1.2</v>
      </c>
      <c r="Q277" s="30">
        <f>IFERROR(__xludf.DUMMYFUNCTION("""COMPUTED_VALUE"""),0.7333333333333332)</f>
        <v>0.7333333333</v>
      </c>
      <c r="R277" s="30">
        <f>IFERROR(__xludf.DUMMYFUNCTION("""COMPUTED_VALUE"""),1.0666666666666667)</f>
        <v>1.066666667</v>
      </c>
      <c r="S277" s="30">
        <f>IFERROR(__xludf.DUMMYFUNCTION("""COMPUTED_VALUE"""),4.466666666666667)</f>
        <v>4.466666667</v>
      </c>
      <c r="T277" s="30">
        <f>IFERROR(__xludf.DUMMYFUNCTION("""COMPUTED_VALUE"""),361.6305427182669)</f>
        <v>361.6305427</v>
      </c>
      <c r="U277" s="30">
        <f>IFERROR(__xludf.DUMMYFUNCTION("""COMPUTED_VALUE"""),0.8143184011049651)</f>
        <v>0.8143184011</v>
      </c>
      <c r="V277" s="30">
        <f>IFERROR(__xludf.DUMMYFUNCTION("""COMPUTED_VALUE"""),0.6302596205317313)</f>
        <v>0.6302596205</v>
      </c>
      <c r="W277" s="30">
        <f>IFERROR(__xludf.DUMMYFUNCTION("""COMPUTED_VALUE"""),1.3368638190024913)</f>
        <v>1.336863819</v>
      </c>
      <c r="X277" s="30">
        <f>IFERROR(__xludf.DUMMYFUNCTION("""COMPUTED_VALUE"""),2.912359500254433)</f>
        <v>2.9123595</v>
      </c>
      <c r="Y277" s="30">
        <f>IFERROR(__xludf.DUMMYFUNCTION("""COMPUTED_VALUE"""),356.6166672944877)</f>
        <v>356.6166673</v>
      </c>
      <c r="Z277" s="30">
        <f>IFERROR(__xludf.DUMMYFUNCTION("""COMPUTED_VALUE"""),0.762448689395992)</f>
        <v>0.7624486894</v>
      </c>
      <c r="AA277" s="30">
        <f>IFERROR(__xludf.DUMMYFUNCTION("""COMPUTED_VALUE"""),0.5212959493425502)</f>
        <v>0.5212959493</v>
      </c>
      <c r="AB277" s="30">
        <f>IFERROR(__xludf.DUMMYFUNCTION("""COMPUTED_VALUE"""),1.5519637086381572)</f>
        <v>1.551963709</v>
      </c>
      <c r="AC277" s="30">
        <f>IFERROR(__xludf.DUMMYFUNCTION("""COMPUTED_VALUE"""),2.5030151271833305)</f>
        <v>2.503015127</v>
      </c>
      <c r="AD277" s="30">
        <f>IFERROR(__xludf.DUMMYFUNCTION("""COMPUTED_VALUE"""),1.1373557020683578)</f>
        <v>1.137355702</v>
      </c>
      <c r="AE277" s="30">
        <f>IFERROR(__xludf.DUMMYFUNCTION("""COMPUTED_VALUE"""),0.26231273367187374)</f>
        <v>0.2623127337</v>
      </c>
      <c r="AF277" s="30">
        <f>IFERROR(__xludf.DUMMYFUNCTION("""COMPUTED_VALUE"""),0.3836592251526924)</f>
        <v>0.3836592252</v>
      </c>
      <c r="AG277" s="30">
        <f>IFERROR(__xludf.DUMMYFUNCTION("""COMPUTED_VALUE"""),2.319641870465507)</f>
        <v>2.31964187</v>
      </c>
      <c r="AH277" s="30">
        <f>IFERROR(__xludf.DUMMYFUNCTION("""COMPUTED_VALUE"""),0.6392290572372598)</f>
        <v>0.6392290572</v>
      </c>
      <c r="AI277" s="30">
        <f>IFERROR(__xludf.DUMMYFUNCTION("""COMPUTED_VALUE"""),1.1932989124470195)</f>
        <v>1.193298912</v>
      </c>
      <c r="AJ277" s="30">
        <f>IFERROR(__xludf.DUMMYFUNCTION("""COMPUTED_VALUE"""),1.4736250566998064)</f>
        <v>1.473625057</v>
      </c>
      <c r="AK277" s="30">
        <f>IFERROR(__xludf.DUMMYFUNCTION("""COMPUTED_VALUE"""),1.1635416730563217)</f>
        <v>1.163541673</v>
      </c>
      <c r="AL277" s="30">
        <f>IFERROR(__xludf.DUMMYFUNCTION("""COMPUTED_VALUE"""),0.7978873027340707)</f>
        <v>0.7978873027</v>
      </c>
      <c r="AM277" s="30">
        <f>IFERROR(__xludf.DUMMYFUNCTION("""COMPUTED_VALUE"""),1.5336934421304942)</f>
        <v>1.533693442</v>
      </c>
      <c r="AN277" s="30">
        <f>IFERROR(__xludf.DUMMYFUNCTION("""COMPUTED_VALUE"""),1.1732618137498383)</f>
        <v>1.173261814</v>
      </c>
      <c r="AO277" s="30">
        <f>IFERROR(__xludf.DUMMYFUNCTION("""COMPUTED_VALUE"""),0.2647032882690984)</f>
        <v>0.2647032883</v>
      </c>
      <c r="AP277" s="30">
        <f>IFERROR(__xludf.DUMMYFUNCTION("""COMPUTED_VALUE"""),0.35980439602797865)</f>
        <v>0.359804396</v>
      </c>
      <c r="AQ277" s="30">
        <f>IFERROR(__xludf.DUMMYFUNCTION("""COMPUTED_VALUE"""),2.6608113283328794)</f>
        <v>2.660811328</v>
      </c>
      <c r="AR277" s="30">
        <f>IFERROR(__xludf.DUMMYFUNCTION("""COMPUTED_VALUE"""),0.6275708482350041)</f>
        <v>0.6275708482</v>
      </c>
      <c r="AS277" s="30">
        <f>IFERROR(__xludf.DUMMYFUNCTION("""COMPUTED_VALUE"""),6.0)</f>
        <v>6</v>
      </c>
      <c r="AT277" s="30">
        <f>IFERROR(__xludf.DUMMYFUNCTION("""COMPUTED_VALUE"""),0.15144669311670023)</f>
        <v>0.1514466931</v>
      </c>
      <c r="AU277" s="30">
        <f>IFERROR(__xludf.DUMMYFUNCTION("""COMPUTED_VALUE"""),0.19737069292623932)</f>
        <v>0.1973706929</v>
      </c>
      <c r="AV277" s="32">
        <f>IFERROR(__xludf.DUMMYFUNCTION("""COMPUTED_VALUE"""),-7.729589846829157)</f>
        <v>-7.729589847</v>
      </c>
      <c r="AW277" s="32">
        <f>IFERROR(__xludf.DUMMYFUNCTION("""COMPUTED_VALUE"""),-95.5411172312621)</f>
        <v>-95.54111723</v>
      </c>
      <c r="AX277" s="32">
        <f>IFERROR(__xludf.DUMMYFUNCTION("""COMPUTED_VALUE"""),21.418886527959057)</f>
        <v>21.41888653</v>
      </c>
      <c r="AY277" s="32">
        <f>IFERROR(__xludf.DUMMYFUNCTION("""COMPUTED_VALUE"""),-7.9071049642294176)</f>
        <v>-7.907104964</v>
      </c>
      <c r="AZ277" s="30">
        <f>IFERROR(__xludf.DUMMYFUNCTION("""COMPUTED_VALUE"""),87.63401226703269)</f>
        <v>87.63401227</v>
      </c>
      <c r="BA277" s="30">
        <f>IFERROR(__xludf.DUMMYFUNCTION("""COMPUTED_VALUE"""),1200.0)</f>
        <v>1200</v>
      </c>
    </row>
    <row r="278">
      <c r="A278" s="71" t="str">
        <f>IFERROR(__xludf.DUMMYFUNCTION("""COMPUTED_VALUE"""),"Veteran")</f>
        <v>Veteran</v>
      </c>
      <c r="B278" s="71" t="str">
        <f>IFERROR(__xludf.DUMMYFUNCTION("""COMPUTED_VALUE"""),"RSC006319")</f>
        <v>RSC006319</v>
      </c>
      <c r="C278" s="30" t="str">
        <f>IFERROR(__xludf.DUMMYFUNCTION("""COMPUTED_VALUE"""),"red crayon chewer 14")</f>
        <v>red crayon chewer 14</v>
      </c>
      <c r="D278" s="30"/>
      <c r="E278" s="30">
        <f>IFERROR(__xludf.DUMMYFUNCTION("""COMPUTED_VALUE"""),2.0)</f>
        <v>2</v>
      </c>
      <c r="F278" s="30">
        <f>IFERROR(__xludf.DUMMYFUNCTION("""COMPUTED_VALUE"""),1.0)</f>
        <v>1</v>
      </c>
      <c r="G278" s="42">
        <f>IFERROR(__xludf.DUMMYFUNCTION("""COMPUTED_VALUE"""),1.0)</f>
        <v>1</v>
      </c>
      <c r="H278" s="42">
        <f>IFERROR(__xludf.DUMMYFUNCTION("""COMPUTED_VALUE"""),0.5)</f>
        <v>0.5</v>
      </c>
      <c r="I278" s="42">
        <f>IFERROR(__xludf.DUMMYFUNCTION("""COMPUTED_VALUE"""),0.5)</f>
        <v>0.5</v>
      </c>
      <c r="J278" s="30">
        <f>IFERROR(__xludf.DUMMYFUNCTION("""COMPUTED_VALUE"""),272.0)</f>
        <v>272</v>
      </c>
      <c r="K278" s="30">
        <f>IFERROR(__xludf.DUMMYFUNCTION("""COMPUTED_VALUE"""),1.0)</f>
        <v>1</v>
      </c>
      <c r="L278" s="30">
        <f>IFERROR(__xludf.DUMMYFUNCTION("""COMPUTED_VALUE"""),0.0)</f>
        <v>0</v>
      </c>
      <c r="M278" s="30">
        <f>IFERROR(__xludf.DUMMYFUNCTION("""COMPUTED_VALUE"""),0.5)</f>
        <v>0.5</v>
      </c>
      <c r="N278" s="30">
        <f>IFERROR(__xludf.DUMMYFUNCTION("""COMPUTED_VALUE"""),2.0)</f>
        <v>2</v>
      </c>
      <c r="O278" s="30">
        <f>IFERROR(__xludf.DUMMYFUNCTION("""COMPUTED_VALUE"""),408.3333333333333)</f>
        <v>408.3333333</v>
      </c>
      <c r="P278" s="30">
        <f>IFERROR(__xludf.DUMMYFUNCTION("""COMPUTED_VALUE"""),0.8333333333333334)</f>
        <v>0.8333333333</v>
      </c>
      <c r="Q278" s="30">
        <f>IFERROR(__xludf.DUMMYFUNCTION("""COMPUTED_VALUE"""),0.6666666666666666)</f>
        <v>0.6666666667</v>
      </c>
      <c r="R278" s="30">
        <f>IFERROR(__xludf.DUMMYFUNCTION("""COMPUTED_VALUE"""),1.5)</f>
        <v>1.5</v>
      </c>
      <c r="S278" s="30">
        <f>IFERROR(__xludf.DUMMYFUNCTION("""COMPUTED_VALUE"""),2.6666666666666665)</f>
        <v>2.666666667</v>
      </c>
      <c r="T278" s="30">
        <f>IFERROR(__xludf.DUMMYFUNCTION("""COMPUTED_VALUE"""),388.66452702702696)</f>
        <v>388.664527</v>
      </c>
      <c r="U278" s="30">
        <f>IFERROR(__xludf.DUMMYFUNCTION("""COMPUTED_VALUE"""),0.7924924924924924)</f>
        <v>0.7924924925</v>
      </c>
      <c r="V278" s="30">
        <f>IFERROR(__xludf.DUMMYFUNCTION("""COMPUTED_VALUE"""),0.578903903903904)</f>
        <v>0.5789039039</v>
      </c>
      <c r="W278" s="30">
        <f>IFERROR(__xludf.DUMMYFUNCTION("""COMPUTED_VALUE"""),1.800900900900901)</f>
        <v>1.800900901</v>
      </c>
      <c r="X278" s="30">
        <f>IFERROR(__xludf.DUMMYFUNCTION("""COMPUTED_VALUE"""),2.468205705705706)</f>
        <v>2.468205706</v>
      </c>
      <c r="Y278" s="30">
        <f>IFERROR(__xludf.DUMMYFUNCTION("""COMPUTED_VALUE"""),341.9157532532533)</f>
        <v>341.9157533</v>
      </c>
      <c r="Z278" s="30">
        <f>IFERROR(__xludf.DUMMYFUNCTION("""COMPUTED_VALUE"""),0.7186936936936936)</f>
        <v>0.7186936937</v>
      </c>
      <c r="AA278" s="30">
        <f>IFERROR(__xludf.DUMMYFUNCTION("""COMPUTED_VALUE"""),0.4896771771771771)</f>
        <v>0.4896771772</v>
      </c>
      <c r="AB278" s="30">
        <f>IFERROR(__xludf.DUMMYFUNCTION("""COMPUTED_VALUE"""),1.2882507507507508)</f>
        <v>1.288250751</v>
      </c>
      <c r="AC278" s="30">
        <f>IFERROR(__xludf.DUMMYFUNCTION("""COMPUTED_VALUE"""),2.9252752752752755)</f>
        <v>2.925275275</v>
      </c>
      <c r="AD278" s="30">
        <f>IFERROR(__xludf.DUMMYFUNCTION("""COMPUTED_VALUE"""),0.7955176016664331)</f>
        <v>0.7955176017</v>
      </c>
      <c r="AE278" s="30">
        <f>IFERROR(__xludf.DUMMYFUNCTION("""COMPUTED_VALUE"""),1.3914133500470074)</f>
        <v>1.39141335</v>
      </c>
      <c r="AF278" s="30">
        <f>IFERROR(__xludf.DUMMYFUNCTION("""COMPUTED_VALUE"""),0.0)</f>
        <v>0</v>
      </c>
      <c r="AG278" s="30">
        <f>IFERROR(__xludf.DUMMYFUNCTION("""COMPUTED_VALUE"""),0.3881231970628515)</f>
        <v>0.3881231971</v>
      </c>
      <c r="AH278" s="30">
        <f>IFERROR(__xludf.DUMMYFUNCTION("""COMPUTED_VALUE"""),0.6836963402740944)</f>
        <v>0.6836963403</v>
      </c>
      <c r="AI278" s="30">
        <f>IFERROR(__xludf.DUMMYFUNCTION("""COMPUTED_VALUE"""),1.05060612672002)</f>
        <v>1.050606127</v>
      </c>
      <c r="AJ278" s="30">
        <f>IFERROR(__xludf.DUMMYFUNCTION("""COMPUTED_VALUE"""),1.0515346722243275)</f>
        <v>1.051534672</v>
      </c>
      <c r="AK278" s="30">
        <f>IFERROR(__xludf.DUMMYFUNCTION("""COMPUTED_VALUE"""),1.1516016080923352)</f>
        <v>1.151601608</v>
      </c>
      <c r="AL278" s="30">
        <f>IFERROR(__xludf.DUMMYFUNCTION("""COMPUTED_VALUE"""),0.8329164582291145)</f>
        <v>0.8329164582</v>
      </c>
      <c r="AM278" s="30">
        <f>IFERROR(__xludf.DUMMYFUNCTION("""COMPUTED_VALUE"""),1.0804069776283969)</f>
        <v>1.080406978</v>
      </c>
      <c r="AN278" s="30">
        <f>IFERROR(__xludf.DUMMYFUNCTION("""COMPUTED_VALUE"""),0.7868027942306608)</f>
        <v>0.7868027942</v>
      </c>
      <c r="AO278" s="30">
        <f>IFERROR(__xludf.DUMMYFUNCTION("""COMPUTED_VALUE"""),1.3235164413454918)</f>
        <v>1.323516441</v>
      </c>
      <c r="AP278" s="30">
        <f>IFERROR(__xludf.DUMMYFUNCTION("""COMPUTED_VALUE"""),0.0)</f>
        <v>0</v>
      </c>
      <c r="AQ278" s="30">
        <f>IFERROR(__xludf.DUMMYFUNCTION("""COMPUTED_VALUE"""),0.3695571289351221)</f>
        <v>0.3695571289</v>
      </c>
      <c r="AR278" s="30">
        <f>IFERROR(__xludf.DUMMYFUNCTION("""COMPUTED_VALUE"""),0.7844635602937551)</f>
        <v>0.7844635603</v>
      </c>
      <c r="AS278" s="30">
        <f>IFERROR(__xludf.DUMMYFUNCTION("""COMPUTED_VALUE"""),5.0)</f>
        <v>5</v>
      </c>
      <c r="AT278" s="30">
        <f>IFERROR(__xludf.DUMMYFUNCTION("""COMPUTED_VALUE"""),0.5)</f>
        <v>0.5</v>
      </c>
      <c r="AU278" s="30">
        <f>IFERROR(__xludf.DUMMYFUNCTION("""COMPUTED_VALUE"""),1.1167360678520635)</f>
        <v>1.116736068</v>
      </c>
      <c r="AV278" s="32">
        <f>IFERROR(__xludf.DUMMYFUNCTION("""COMPUTED_VALUE"""),25.139647217647514)</f>
        <v>25.13964722</v>
      </c>
      <c r="AW278" s="32">
        <f>IFERROR(__xludf.DUMMYFUNCTION("""COMPUTED_VALUE"""),-6.249583994379297)</f>
        <v>-6.249583994</v>
      </c>
      <c r="AX278" s="32">
        <f>IFERROR(__xludf.DUMMYFUNCTION("""COMPUTED_VALUE"""),-4.00485277999767)</f>
        <v>-4.00485278</v>
      </c>
      <c r="AY278" s="32">
        <f>IFERROR(__xludf.DUMMYFUNCTION("""COMPUTED_VALUE"""),-65.02448236150862)</f>
        <v>-65.02448236</v>
      </c>
      <c r="AZ278" s="30">
        <f>IFERROR(__xludf.DUMMYFUNCTION("""COMPUTED_VALUE"""),58.774898367129325)</f>
        <v>58.77489837</v>
      </c>
      <c r="BA278" s="30">
        <f>IFERROR(__xludf.DUMMYFUNCTION("""COMPUTED_VALUE"""),1200.0)</f>
        <v>1200</v>
      </c>
    </row>
    <row r="279">
      <c r="A279" s="71" t="str">
        <f>IFERROR(__xludf.DUMMYFUNCTION("""COMPUTED_VALUE"""),"Veteran")</f>
        <v>Veteran</v>
      </c>
      <c r="B279" s="71" t="str">
        <f>IFERROR(__xludf.DUMMYFUNCTION("""COMPUTED_VALUE"""),"RSC004313")</f>
        <v>RSC004313</v>
      </c>
      <c r="C279" s="30" t="str">
        <f>IFERROR(__xludf.DUMMYFUNCTION("""COMPUTED_VALUE"""),"Causing .")</f>
        <v>Causing .</v>
      </c>
      <c r="D279" s="30" t="str">
        <f>IFERROR(__xludf.DUMMYFUNCTION("""COMPUTED_VALUE"""),"Mellow Fellows")</f>
        <v>Mellow Fellows</v>
      </c>
      <c r="E279" s="30">
        <f>IFERROR(__xludf.DUMMYFUNCTION("""COMPUTED_VALUE"""),16.0)</f>
        <v>16</v>
      </c>
      <c r="F279" s="30">
        <f>IFERROR(__xludf.DUMMYFUNCTION("""COMPUTED_VALUE"""),10.0)</f>
        <v>10</v>
      </c>
      <c r="G279" s="42">
        <f>IFERROR(__xludf.DUMMYFUNCTION("""COMPUTED_VALUE"""),6.0)</f>
        <v>6</v>
      </c>
      <c r="H279" s="42">
        <f>IFERROR(__xludf.DUMMYFUNCTION("""COMPUTED_VALUE"""),0.625)</f>
        <v>0.625</v>
      </c>
      <c r="I279" s="42">
        <f>IFERROR(__xludf.DUMMYFUNCTION("""COMPUTED_VALUE"""),0.3770491803278688)</f>
        <v>0.3770491803</v>
      </c>
      <c r="J279" s="30">
        <f>IFERROR(__xludf.DUMMYFUNCTION("""COMPUTED_VALUE"""),435.8125)</f>
        <v>435.8125</v>
      </c>
      <c r="K279" s="30">
        <f>IFERROR(__xludf.DUMMYFUNCTION("""COMPUTED_VALUE"""),1.4375)</f>
        <v>1.4375</v>
      </c>
      <c r="L279" s="30">
        <f>IFERROR(__xludf.DUMMYFUNCTION("""COMPUTED_VALUE"""),0.5)</f>
        <v>0.5</v>
      </c>
      <c r="M279" s="30">
        <f>IFERROR(__xludf.DUMMYFUNCTION("""COMPUTED_VALUE"""),1.25)</f>
        <v>1.25</v>
      </c>
      <c r="N279" s="30">
        <f>IFERROR(__xludf.DUMMYFUNCTION("""COMPUTED_VALUE"""),3.8125)</f>
        <v>3.8125</v>
      </c>
      <c r="O279" s="30">
        <f>IFERROR(__xludf.DUMMYFUNCTION("""COMPUTED_VALUE"""),321.3125)</f>
        <v>321.3125</v>
      </c>
      <c r="P279" s="30">
        <f>IFERROR(__xludf.DUMMYFUNCTION("""COMPUTED_VALUE"""),0.5625)</f>
        <v>0.5625</v>
      </c>
      <c r="Q279" s="30">
        <f>IFERROR(__xludf.DUMMYFUNCTION("""COMPUTED_VALUE"""),0.5)</f>
        <v>0.5</v>
      </c>
      <c r="R279" s="30">
        <f>IFERROR(__xludf.DUMMYFUNCTION("""COMPUTED_VALUE"""),1.3333333333333333)</f>
        <v>1.333333333</v>
      </c>
      <c r="S279" s="30">
        <f>IFERROR(__xludf.DUMMYFUNCTION("""COMPUTED_VALUE"""),2.520833333333333)</f>
        <v>2.520833333</v>
      </c>
      <c r="T279" s="30">
        <f>IFERROR(__xludf.DUMMYFUNCTION("""COMPUTED_VALUE"""),351.4839017121567)</f>
        <v>351.4839017</v>
      </c>
      <c r="U279" s="30">
        <f>IFERROR(__xludf.DUMMYFUNCTION("""COMPUTED_VALUE"""),0.7615439366470572)</f>
        <v>0.7615439366</v>
      </c>
      <c r="V279" s="30">
        <f>IFERROR(__xludf.DUMMYFUNCTION("""COMPUTED_VALUE"""),0.5840664229742422)</f>
        <v>0.584066423</v>
      </c>
      <c r="W279" s="30">
        <f>IFERROR(__xludf.DUMMYFUNCTION("""COMPUTED_VALUE"""),1.3090311000551316)</f>
        <v>1.3090311</v>
      </c>
      <c r="X279" s="30">
        <f>IFERROR(__xludf.DUMMYFUNCTION("""COMPUTED_VALUE"""),2.6164219063923158)</f>
        <v>2.616421906</v>
      </c>
      <c r="Y279" s="30">
        <f>IFERROR(__xludf.DUMMYFUNCTION("""COMPUTED_VALUE"""),358.75395619002154)</f>
        <v>358.7539562</v>
      </c>
      <c r="Z279" s="30">
        <f>IFERROR(__xludf.DUMMYFUNCTION("""COMPUTED_VALUE"""),0.8214102932688536)</f>
        <v>0.8214102933</v>
      </c>
      <c r="AA279" s="30">
        <f>IFERROR(__xludf.DUMMYFUNCTION("""COMPUTED_VALUE"""),0.6270597204510403)</f>
        <v>0.6270597205</v>
      </c>
      <c r="AB279" s="30">
        <f>IFERROR(__xludf.DUMMYFUNCTION("""COMPUTED_VALUE"""),1.3379137794638751)</f>
        <v>1.337913779</v>
      </c>
      <c r="AC279" s="30">
        <f>IFERROR(__xludf.DUMMYFUNCTION("""COMPUTED_VALUE"""),2.625736485358078)</f>
        <v>2.625736485</v>
      </c>
      <c r="AD279" s="30">
        <f>IFERROR(__xludf.DUMMYFUNCTION("""COMPUTED_VALUE"""),1.21479496596593)</f>
        <v>1.214794966</v>
      </c>
      <c r="AE279" s="30">
        <f>IFERROR(__xludf.DUMMYFUNCTION("""COMPUTED_VALUE"""),1.7500389412937338)</f>
        <v>1.750038941</v>
      </c>
      <c r="AF279" s="30">
        <f>IFERROR(__xludf.DUMMYFUNCTION("""COMPUTED_VALUE"""),0.7973722178173922)</f>
        <v>0.7973722178</v>
      </c>
      <c r="AG279" s="30">
        <f>IFERROR(__xludf.DUMMYFUNCTION("""COMPUTED_VALUE"""),0.9342903998648525)</f>
        <v>0.9342903999</v>
      </c>
      <c r="AH279" s="30">
        <f>IFERROR(__xludf.DUMMYFUNCTION("""COMPUTED_VALUE"""),1.451973578178802)</f>
        <v>1.451973578</v>
      </c>
      <c r="AI279" s="30">
        <f>IFERROR(__xludf.DUMMYFUNCTION("""COMPUTED_VALUE"""),0.9141599328868689)</f>
        <v>0.9141599329</v>
      </c>
      <c r="AJ279" s="30">
        <f>IFERROR(__xludf.DUMMYFUNCTION("""COMPUTED_VALUE"""),0.7386310532214171)</f>
        <v>0.7386310532</v>
      </c>
      <c r="AK279" s="30">
        <f>IFERROR(__xludf.DUMMYFUNCTION("""COMPUTED_VALUE"""),0.8560670162373817)</f>
        <v>0.8560670162</v>
      </c>
      <c r="AL279" s="30">
        <f>IFERROR(__xludf.DUMMYFUNCTION("""COMPUTED_VALUE"""),1.0185650541665345)</f>
        <v>1.018565054</v>
      </c>
      <c r="AM279" s="30">
        <f>IFERROR(__xludf.DUMMYFUNCTION("""COMPUTED_VALUE"""),0.963465917776699)</f>
        <v>0.9634659178</v>
      </c>
      <c r="AN279" s="30">
        <f>IFERROR(__xludf.DUMMYFUNCTION("""COMPUTED_VALUE"""),1.260656223384742)</f>
        <v>1.260656223</v>
      </c>
      <c r="AO279" s="30">
        <f>IFERROR(__xludf.DUMMYFUNCTION("""COMPUTED_VALUE"""),1.9025548844341447)</f>
        <v>1.902554884</v>
      </c>
      <c r="AP279" s="30">
        <f>IFERROR(__xludf.DUMMYFUNCTION("""COMPUTED_VALUE"""),0.8995109900699465)</f>
        <v>0.8995109901</v>
      </c>
      <c r="AQ279" s="30">
        <f>IFERROR(__xludf.DUMMYFUNCTION("""COMPUTED_VALUE"""),0.9238928223378052)</f>
        <v>0.9238928223</v>
      </c>
      <c r="AR279" s="30">
        <f>IFERROR(__xludf.DUMMYFUNCTION("""COMPUTED_VALUE"""),1.4953836618099707)</f>
        <v>1.495383662</v>
      </c>
      <c r="AS279" s="30">
        <f>IFERROR(__xludf.DUMMYFUNCTION("""COMPUTED_VALUE"""),40.0)</f>
        <v>40</v>
      </c>
      <c r="AT279" s="30">
        <f>IFERROR(__xludf.DUMMYFUNCTION("""COMPUTED_VALUE"""),0.6440174923649813)</f>
        <v>0.6440174924</v>
      </c>
      <c r="AU279" s="30">
        <f>IFERROR(__xludf.DUMMYFUNCTION("""COMPUTED_VALUE"""),3.3503381478545253)</f>
        <v>3.350338148</v>
      </c>
      <c r="AV279" s="32">
        <f>IFERROR(__xludf.DUMMYFUNCTION("""COMPUTED_VALUE"""),104.99559815688372)</f>
        <v>104.9955982</v>
      </c>
      <c r="AW279" s="32">
        <f>IFERROR(__xludf.DUMMYFUNCTION("""COMPUTED_VALUE"""),71.89230314225127)</f>
        <v>71.89230314</v>
      </c>
      <c r="AX279" s="32">
        <f>IFERROR(__xludf.DUMMYFUNCTION("""COMPUTED_VALUE"""),89.12159934544553)</f>
        <v>89.12159935</v>
      </c>
      <c r="AY279" s="32">
        <f>IFERROR(__xludf.DUMMYFUNCTION("""COMPUTED_VALUE"""),17.004661590902796)</f>
        <v>17.00466159</v>
      </c>
      <c r="AZ279" s="30">
        <f>IFERROR(__xludf.DUMMYFUNCTION("""COMPUTED_VALUE"""),54.887641551348466)</f>
        <v>54.88764155</v>
      </c>
      <c r="BA279" s="30">
        <f>IFERROR(__xludf.DUMMYFUNCTION("""COMPUTED_VALUE"""),1200.0)</f>
        <v>1200</v>
      </c>
    </row>
    <row r="280">
      <c r="A280" s="71" t="str">
        <f>IFERROR(__xludf.DUMMYFUNCTION("""COMPUTED_VALUE"""),"Veteran")</f>
        <v>Veteran</v>
      </c>
      <c r="B280" s="71" t="str">
        <f>IFERROR(__xludf.DUMMYFUNCTION("""COMPUTED_VALUE"""),"RSC004872")</f>
        <v>RSC004872</v>
      </c>
      <c r="C280" s="30" t="str">
        <f>IFERROR(__xludf.DUMMYFUNCTION("""COMPUTED_VALUE"""),"JustLaben")</f>
        <v>JustLaben</v>
      </c>
      <c r="D280" s="30" t="str">
        <f>IFERROR(__xludf.DUMMYFUNCTION("""COMPUTED_VALUE"""),"Cannoli")</f>
        <v>Cannoli</v>
      </c>
      <c r="E280" s="30">
        <f>IFERROR(__xludf.DUMMYFUNCTION("""COMPUTED_VALUE"""),43.0)</f>
        <v>43</v>
      </c>
      <c r="F280" s="30">
        <f>IFERROR(__xludf.DUMMYFUNCTION("""COMPUTED_VALUE"""),25.0)</f>
        <v>25</v>
      </c>
      <c r="G280" s="42">
        <f>IFERROR(__xludf.DUMMYFUNCTION("""COMPUTED_VALUE"""),18.0)</f>
        <v>18</v>
      </c>
      <c r="H280" s="42">
        <f>IFERROR(__xludf.DUMMYFUNCTION("""COMPUTED_VALUE"""),0.5813953488372093)</f>
        <v>0.5813953488</v>
      </c>
      <c r="I280" s="42">
        <f>IFERROR(__xludf.DUMMYFUNCTION("""COMPUTED_VALUE"""),0.38028169014084506)</f>
        <v>0.3802816901</v>
      </c>
      <c r="J280" s="30">
        <f>IFERROR(__xludf.DUMMYFUNCTION("""COMPUTED_VALUE"""),424.2093023255814)</f>
        <v>424.2093023</v>
      </c>
      <c r="K280" s="30">
        <f>IFERROR(__xludf.DUMMYFUNCTION("""COMPUTED_VALUE"""),1.255813953488372)</f>
        <v>1.255813953</v>
      </c>
      <c r="L280" s="30">
        <f>IFERROR(__xludf.DUMMYFUNCTION("""COMPUTED_VALUE"""),0.6744186046511628)</f>
        <v>0.6744186047</v>
      </c>
      <c r="M280" s="30">
        <f>IFERROR(__xludf.DUMMYFUNCTION("""COMPUTED_VALUE"""),1.4651162790697674)</f>
        <v>1.465116279</v>
      </c>
      <c r="N280" s="30">
        <f>IFERROR(__xludf.DUMMYFUNCTION("""COMPUTED_VALUE"""),3.302325581395349)</f>
        <v>3.302325581</v>
      </c>
      <c r="O280" s="30">
        <f>IFERROR(__xludf.DUMMYFUNCTION("""COMPUTED_VALUE"""),350.015503875969)</f>
        <v>350.0155039</v>
      </c>
      <c r="P280" s="30">
        <f>IFERROR(__xludf.DUMMYFUNCTION("""COMPUTED_VALUE"""),0.6744186046511628)</f>
        <v>0.6744186047</v>
      </c>
      <c r="Q280" s="30">
        <f>IFERROR(__xludf.DUMMYFUNCTION("""COMPUTED_VALUE"""),0.4651162790697674)</f>
        <v>0.4651162791</v>
      </c>
      <c r="R280" s="30">
        <f>IFERROR(__xludf.DUMMYFUNCTION("""COMPUTED_VALUE"""),1.6511627906976747)</f>
        <v>1.651162791</v>
      </c>
      <c r="S280" s="30">
        <f>IFERROR(__xludf.DUMMYFUNCTION("""COMPUTED_VALUE"""),2.387596899224806)</f>
        <v>2.387596899</v>
      </c>
      <c r="T280" s="30">
        <f>IFERROR(__xludf.DUMMYFUNCTION("""COMPUTED_VALUE"""),360.37373688840955)</f>
        <v>360.3737369</v>
      </c>
      <c r="U280" s="30">
        <f>IFERROR(__xludf.DUMMYFUNCTION("""COMPUTED_VALUE"""),0.8219972570408599)</f>
        <v>0.821997257</v>
      </c>
      <c r="V280" s="30">
        <f>IFERROR(__xludf.DUMMYFUNCTION("""COMPUTED_VALUE"""),0.5666333193076235)</f>
        <v>0.5666333193</v>
      </c>
      <c r="W280" s="30">
        <f>IFERROR(__xludf.DUMMYFUNCTION("""COMPUTED_VALUE"""),1.376445295958873)</f>
        <v>1.376445296</v>
      </c>
      <c r="X280" s="30">
        <f>IFERROR(__xludf.DUMMYFUNCTION("""COMPUTED_VALUE"""),2.6740591662789894)</f>
        <v>2.674059166</v>
      </c>
      <c r="Y280" s="30">
        <f>IFERROR(__xludf.DUMMYFUNCTION("""COMPUTED_VALUE"""),354.6515185855158)</f>
        <v>354.6515186</v>
      </c>
      <c r="Z280" s="30">
        <f>IFERROR(__xludf.DUMMYFUNCTION("""COMPUTED_VALUE"""),0.7963695126681867)</f>
        <v>0.7963695127</v>
      </c>
      <c r="AA280" s="30">
        <f>IFERROR(__xludf.DUMMYFUNCTION("""COMPUTED_VALUE"""),0.5830372139006932)</f>
        <v>0.5830372139</v>
      </c>
      <c r="AB280" s="30">
        <f>IFERROR(__xludf.DUMMYFUNCTION("""COMPUTED_VALUE"""),1.3152929435530085)</f>
        <v>1.315292944</v>
      </c>
      <c r="AC280" s="30">
        <f>IFERROR(__xludf.DUMMYFUNCTION("""COMPUTED_VALUE"""),2.6752603324315585)</f>
        <v>2.675260332</v>
      </c>
      <c r="AD280" s="30">
        <f>IFERROR(__xludf.DUMMYFUNCTION("""COMPUTED_VALUE"""),1.1961299475538363)</f>
        <v>1.196129948</v>
      </c>
      <c r="AE280" s="30">
        <f>IFERROR(__xludf.DUMMYFUNCTION("""COMPUTED_VALUE"""),1.5769236937271058)</f>
        <v>1.576923694</v>
      </c>
      <c r="AF280" s="30">
        <f>IFERROR(__xludf.DUMMYFUNCTION("""COMPUTED_VALUE"""),1.15673337579792)</f>
        <v>1.156733376</v>
      </c>
      <c r="AG280" s="30">
        <f>IFERROR(__xludf.DUMMYFUNCTION("""COMPUTED_VALUE"""),1.1139087199175874)</f>
        <v>1.11390872</v>
      </c>
      <c r="AH280" s="30">
        <f>IFERROR(__xludf.DUMMYFUNCTION("""COMPUTED_VALUE"""),1.2343941041408286)</f>
        <v>1.234394104</v>
      </c>
      <c r="AI280" s="30">
        <f>IFERROR(__xludf.DUMMYFUNCTION("""COMPUTED_VALUE"""),0.9712569703278682)</f>
        <v>0.9712569703</v>
      </c>
      <c r="AJ280" s="30">
        <f>IFERROR(__xludf.DUMMYFUNCTION("""COMPUTED_VALUE"""),0.820463327431321)</f>
        <v>0.8204633274</v>
      </c>
      <c r="AK280" s="30">
        <f>IFERROR(__xludf.DUMMYFUNCTION("""COMPUTED_VALUE"""),0.8208417387775553)</f>
        <v>0.8208417388</v>
      </c>
      <c r="AL280" s="30">
        <f>IFERROR(__xludf.DUMMYFUNCTION("""COMPUTED_VALUE"""),1.1995847532374508)</f>
        <v>1.199584753</v>
      </c>
      <c r="AM280" s="30">
        <f>IFERROR(__xludf.DUMMYFUNCTION("""COMPUTED_VALUE"""),0.8928736242389125)</f>
        <v>0.8928736242</v>
      </c>
      <c r="AN280" s="30">
        <f>IFERROR(__xludf.DUMMYFUNCTION("""COMPUTED_VALUE"""),1.2270921485603183)</f>
        <v>1.227092149</v>
      </c>
      <c r="AO280" s="30">
        <f>IFERROR(__xludf.DUMMYFUNCTION("""COMPUTED_VALUE"""),1.6620904147129434)</f>
        <v>1.662090415</v>
      </c>
      <c r="AP280" s="30">
        <f>IFERROR(__xludf.DUMMYFUNCTION("""COMPUTED_VALUE"""),1.2132938935827187)</f>
        <v>1.213293894</v>
      </c>
      <c r="AQ280" s="30">
        <f>IFERROR(__xludf.DUMMYFUNCTION("""COMPUTED_VALUE"""),1.0828883312982647)</f>
        <v>1.082888331</v>
      </c>
      <c r="AR280" s="30">
        <f>IFERROR(__xludf.DUMMYFUNCTION("""COMPUTED_VALUE"""),1.2952770414152701)</f>
        <v>1.295277041</v>
      </c>
      <c r="AS280" s="30">
        <f>IFERROR(__xludf.DUMMYFUNCTION("""COMPUTED_VALUE"""),118.0)</f>
        <v>118</v>
      </c>
      <c r="AT280" s="30">
        <f>IFERROR(__xludf.DUMMYFUNCTION("""COMPUTED_VALUE"""),0.6170732273788674)</f>
        <v>0.6170732274</v>
      </c>
      <c r="AU280" s="30">
        <f>IFERROR(__xludf.DUMMYFUNCTION("""COMPUTED_VALUE"""),3.185373105548274)</f>
        <v>3.185373106</v>
      </c>
      <c r="AV280" s="32">
        <f>IFERROR(__xludf.DUMMYFUNCTION("""COMPUTED_VALUE"""),99.09775250073957)</f>
        <v>99.0977525</v>
      </c>
      <c r="AW280" s="32">
        <f>IFERROR(__xludf.DUMMYFUNCTION("""COMPUTED_VALUE"""),40.37099461111471)</f>
        <v>40.37099461</v>
      </c>
      <c r="AX280" s="32">
        <f>IFERROR(__xludf.DUMMYFUNCTION("""COMPUTED_VALUE"""),75.11464705660799)</f>
        <v>75.11464706</v>
      </c>
      <c r="AY280" s="32">
        <f>IFERROR(__xludf.DUMMYFUNCTION("""COMPUTED_VALUE"""),6.34726593846888)</f>
        <v>6.347265938</v>
      </c>
      <c r="AZ280" s="30">
        <f>IFERROR(__xludf.DUMMYFUNCTION("""COMPUTED_VALUE"""),34.02372867264583)</f>
        <v>34.02372867</v>
      </c>
      <c r="BA280" s="30">
        <f>IFERROR(__xludf.DUMMYFUNCTION("""COMPUTED_VALUE"""),1200.0)</f>
        <v>1200</v>
      </c>
    </row>
    <row r="281">
      <c r="A281" s="71" t="str">
        <f>IFERROR(__xludf.DUMMYFUNCTION("""COMPUTED_VALUE"""),"Veteran")</f>
        <v>Veteran</v>
      </c>
      <c r="B281" s="71" t="str">
        <f>IFERROR(__xludf.DUMMYFUNCTION("""COMPUTED_VALUE"""),"RSC002906")</f>
        <v>RSC002906</v>
      </c>
      <c r="C281" s="30" t="str">
        <f>IFERROR(__xludf.DUMMYFUNCTION("""COMPUTED_VALUE"""),"PackRL")</f>
        <v>PackRL</v>
      </c>
      <c r="D281" s="30" t="str">
        <f>IFERROR(__xludf.DUMMYFUNCTION("""COMPUTED_VALUE"""),"Legati")</f>
        <v>Legati</v>
      </c>
      <c r="E281" s="30">
        <f>IFERROR(__xludf.DUMMYFUNCTION("""COMPUTED_VALUE"""),30.0)</f>
        <v>30</v>
      </c>
      <c r="F281" s="30">
        <f>IFERROR(__xludf.DUMMYFUNCTION("""COMPUTED_VALUE"""),20.0)</f>
        <v>20</v>
      </c>
      <c r="G281" s="42">
        <f>IFERROR(__xludf.DUMMYFUNCTION("""COMPUTED_VALUE"""),10.0)</f>
        <v>10</v>
      </c>
      <c r="H281" s="42">
        <f>IFERROR(__xludf.DUMMYFUNCTION("""COMPUTED_VALUE"""),0.6666666666666666)</f>
        <v>0.6666666667</v>
      </c>
      <c r="I281" s="42">
        <f>IFERROR(__xludf.DUMMYFUNCTION("""COMPUTED_VALUE"""),0.37142857142857144)</f>
        <v>0.3714285714</v>
      </c>
      <c r="J281" s="30">
        <f>IFERROR(__xludf.DUMMYFUNCTION("""COMPUTED_VALUE"""),467.8666666666667)</f>
        <v>467.8666667</v>
      </c>
      <c r="K281" s="30">
        <f>IFERROR(__xludf.DUMMYFUNCTION("""COMPUTED_VALUE"""),1.3)</f>
        <v>1.3</v>
      </c>
      <c r="L281" s="30">
        <f>IFERROR(__xludf.DUMMYFUNCTION("""COMPUTED_VALUE"""),0.6)</f>
        <v>0.6</v>
      </c>
      <c r="M281" s="30">
        <f>IFERROR(__xludf.DUMMYFUNCTION("""COMPUTED_VALUE"""),2.1333333333333333)</f>
        <v>2.133333333</v>
      </c>
      <c r="N281" s="30">
        <f>IFERROR(__xludf.DUMMYFUNCTION("""COMPUTED_VALUE"""),3.5)</f>
        <v>3.5</v>
      </c>
      <c r="O281" s="30">
        <f>IFERROR(__xludf.DUMMYFUNCTION("""COMPUTED_VALUE"""),366.11111111111114)</f>
        <v>366.1111111</v>
      </c>
      <c r="P281" s="30">
        <f>IFERROR(__xludf.DUMMYFUNCTION("""COMPUTED_VALUE"""),0.788888888888889)</f>
        <v>0.7888888889</v>
      </c>
      <c r="Q281" s="30">
        <f>IFERROR(__xludf.DUMMYFUNCTION("""COMPUTED_VALUE"""),0.6000000000000001)</f>
        <v>0.6</v>
      </c>
      <c r="R281" s="30">
        <f>IFERROR(__xludf.DUMMYFUNCTION("""COMPUTED_VALUE"""),1.5111111111111108)</f>
        <v>1.511111111</v>
      </c>
      <c r="S281" s="30">
        <f>IFERROR(__xludf.DUMMYFUNCTION("""COMPUTED_VALUE"""),2.8888888888888884)</f>
        <v>2.888888889</v>
      </c>
      <c r="T281" s="30">
        <f>IFERROR(__xludf.DUMMYFUNCTION("""COMPUTED_VALUE"""),367.98811053578424)</f>
        <v>367.9881105</v>
      </c>
      <c r="U281" s="30">
        <f>IFERROR(__xludf.DUMMYFUNCTION("""COMPUTED_VALUE"""),0.823634447717271)</f>
        <v>0.8236344477</v>
      </c>
      <c r="V281" s="30">
        <f>IFERROR(__xludf.DUMMYFUNCTION("""COMPUTED_VALUE"""),0.5959998178635868)</f>
        <v>0.5959998179</v>
      </c>
      <c r="W281" s="30">
        <f>IFERROR(__xludf.DUMMYFUNCTION("""COMPUTED_VALUE"""),1.4426999795263824)</f>
        <v>1.44269998</v>
      </c>
      <c r="X281" s="30">
        <f>IFERROR(__xludf.DUMMYFUNCTION("""COMPUTED_VALUE"""),2.680085593266562)</f>
        <v>2.680085593</v>
      </c>
      <c r="Y281" s="30">
        <f>IFERROR(__xludf.DUMMYFUNCTION("""COMPUTED_VALUE"""),352.2590248195848)</f>
        <v>352.2590248</v>
      </c>
      <c r="Z281" s="30">
        <f>IFERROR(__xludf.DUMMYFUNCTION("""COMPUTED_VALUE"""),0.7773101940412456)</f>
        <v>0.777310194</v>
      </c>
      <c r="AA281" s="30">
        <f>IFERROR(__xludf.DUMMYFUNCTION("""COMPUTED_VALUE"""),0.5630070856721981)</f>
        <v>0.5630070857</v>
      </c>
      <c r="AB281" s="30">
        <f>IFERROR(__xludf.DUMMYFUNCTION("""COMPUTED_VALUE"""),1.3341694643069884)</f>
        <v>1.334169464</v>
      </c>
      <c r="AC281" s="30">
        <f>IFERROR(__xludf.DUMMYFUNCTION("""COMPUTED_VALUE"""),2.679186664711884)</f>
        <v>2.679186665</v>
      </c>
      <c r="AD281" s="30">
        <f>IFERROR(__xludf.DUMMYFUNCTION("""COMPUTED_VALUE"""),1.3281892973680156)</f>
        <v>1.328189297</v>
      </c>
      <c r="AE281" s="30">
        <f>IFERROR(__xludf.DUMMYFUNCTION("""COMPUTED_VALUE"""),1.6724340037807603)</f>
        <v>1.672434004</v>
      </c>
      <c r="AF281" s="30">
        <f>IFERROR(__xludf.DUMMYFUNCTION("""COMPUTED_VALUE"""),1.065705948058601)</f>
        <v>1.065705948</v>
      </c>
      <c r="AG281" s="30">
        <f>IFERROR(__xludf.DUMMYFUNCTION("""COMPUTED_VALUE"""),1.5989972716407934)</f>
        <v>1.598997272</v>
      </c>
      <c r="AH281" s="30">
        <f>IFERROR(__xludf.DUMMYFUNCTION("""COMPUTED_VALUE"""),1.3063666097249649)</f>
        <v>1.30636661</v>
      </c>
      <c r="AI281" s="30">
        <f>IFERROR(__xludf.DUMMYFUNCTION("""COMPUTED_VALUE"""),0.9948992932898287)</f>
        <v>0.9948992933</v>
      </c>
      <c r="AJ281" s="30">
        <f>IFERROR(__xludf.DUMMYFUNCTION("""COMPUTED_VALUE"""),0.9578143447925467)</f>
        <v>0.9578143448</v>
      </c>
      <c r="AK281" s="30">
        <f>IFERROR(__xludf.DUMMYFUNCTION("""COMPUTED_VALUE"""),1.0067117170450695)</f>
        <v>1.006711717</v>
      </c>
      <c r="AL281" s="30">
        <f>IFERROR(__xludf.DUMMYFUNCTION("""COMPUTED_VALUE"""),1.0474188206526396)</f>
        <v>1.047418821</v>
      </c>
      <c r="AM281" s="30">
        <f>IFERROR(__xludf.DUMMYFUNCTION("""COMPUTED_VALUE"""),1.077909189224002)</f>
        <v>1.077909189</v>
      </c>
      <c r="AN281" s="30">
        <f>IFERROR(__xludf.DUMMYFUNCTION("""COMPUTED_VALUE"""),1.3533779436055826)</f>
        <v>1.353377944</v>
      </c>
      <c r="AO281" s="30">
        <f>IFERROR(__xludf.DUMMYFUNCTION("""COMPUTED_VALUE"""),1.7205713737491395)</f>
        <v>1.720571374</v>
      </c>
      <c r="AP281" s="30">
        <f>IFERROR(__xludf.DUMMYFUNCTION("""COMPUTED_VALUE"""),1.0794131880839357)</f>
        <v>1.079413188</v>
      </c>
      <c r="AQ281" s="30">
        <f>IFERROR(__xludf.DUMMYFUNCTION("""COMPUTED_VALUE"""),1.576777083456521)</f>
        <v>1.576777083</v>
      </c>
      <c r="AR281" s="30">
        <f>IFERROR(__xludf.DUMMYFUNCTION("""COMPUTED_VALUE"""),1.3728112305140714)</f>
        <v>1.372811231</v>
      </c>
      <c r="AS281" s="30">
        <f>IFERROR(__xludf.DUMMYFUNCTION("""COMPUTED_VALUE"""),89.0)</f>
        <v>89</v>
      </c>
      <c r="AT281" s="30">
        <f>IFERROR(__xludf.DUMMYFUNCTION("""COMPUTED_VALUE"""),0.5903276454804592)</f>
        <v>0.5903276455</v>
      </c>
      <c r="AU281" s="30">
        <f>IFERROR(__xludf.DUMMYFUNCTION("""COMPUTED_VALUE"""),3.177028265207057)</f>
        <v>3.177028265</v>
      </c>
      <c r="AV281" s="32">
        <f>IFERROR(__xludf.DUMMYFUNCTION("""COMPUTED_VALUE"""),98.79940698662578)</f>
        <v>98.79940699</v>
      </c>
      <c r="AW281" s="32">
        <f>IFERROR(__xludf.DUMMYFUNCTION("""COMPUTED_VALUE"""),39.26108987436738)</f>
        <v>39.26108987</v>
      </c>
      <c r="AX281" s="32">
        <f>IFERROR(__xludf.DUMMYFUNCTION("""COMPUTED_VALUE"""),79.03594010147549)</f>
        <v>79.0359401</v>
      </c>
      <c r="AY281" s="32">
        <f>IFERROR(__xludf.DUMMYFUNCTION("""COMPUTED_VALUE"""),8.147834837991091)</f>
        <v>8.147834838</v>
      </c>
      <c r="AZ281" s="30">
        <f>IFERROR(__xludf.DUMMYFUNCTION("""COMPUTED_VALUE"""),31.113255036376287)</f>
        <v>31.11325504</v>
      </c>
      <c r="BA281" s="30">
        <f>IFERROR(__xludf.DUMMYFUNCTION("""COMPUTED_VALUE"""),1200.0)</f>
        <v>1200</v>
      </c>
    </row>
    <row r="282">
      <c r="A282" s="71" t="str">
        <f>IFERROR(__xludf.DUMMYFUNCTION("""COMPUTED_VALUE"""),"Veteran")</f>
        <v>Veteran</v>
      </c>
      <c r="B282" s="71" t="str">
        <f>IFERROR(__xludf.DUMMYFUNCTION("""COMPUTED_VALUE"""),"RSC000367")</f>
        <v>RSC000367</v>
      </c>
      <c r="C282" s="30" t="str">
        <f>IFERROR(__xludf.DUMMYFUNCTION("""COMPUTED_VALUE"""),"Pana")</f>
        <v>Pana</v>
      </c>
      <c r="D282" s="30" t="str">
        <f>IFERROR(__xludf.DUMMYFUNCTION("""COMPUTED_VALUE"""),"Supernova")</f>
        <v>Supernova</v>
      </c>
      <c r="E282" s="30">
        <f>IFERROR(__xludf.DUMMYFUNCTION("""COMPUTED_VALUE"""),24.0)</f>
        <v>24</v>
      </c>
      <c r="F282" s="30">
        <f>IFERROR(__xludf.DUMMYFUNCTION("""COMPUTED_VALUE"""),7.0)</f>
        <v>7</v>
      </c>
      <c r="G282" s="42">
        <f>IFERROR(__xludf.DUMMYFUNCTION("""COMPUTED_VALUE"""),17.0)</f>
        <v>17</v>
      </c>
      <c r="H282" s="42">
        <f>IFERROR(__xludf.DUMMYFUNCTION("""COMPUTED_VALUE"""),0.2916666666666667)</f>
        <v>0.2916666667</v>
      </c>
      <c r="I282" s="42">
        <f>IFERROR(__xludf.DUMMYFUNCTION("""COMPUTED_VALUE"""),0.19607843137254902)</f>
        <v>0.1960784314</v>
      </c>
      <c r="J282" s="30">
        <f>IFERROR(__xludf.DUMMYFUNCTION("""COMPUTED_VALUE"""),306.8333333333333)</f>
        <v>306.8333333</v>
      </c>
      <c r="K282" s="30">
        <f>IFERROR(__xludf.DUMMYFUNCTION("""COMPUTED_VALUE"""),0.4166666666666667)</f>
        <v>0.4166666667</v>
      </c>
      <c r="L282" s="30">
        <f>IFERROR(__xludf.DUMMYFUNCTION("""COMPUTED_VALUE"""),0.3333333333333333)</f>
        <v>0.3333333333</v>
      </c>
      <c r="M282" s="30">
        <f>IFERROR(__xludf.DUMMYFUNCTION("""COMPUTED_VALUE"""),1.7916666666666667)</f>
        <v>1.791666667</v>
      </c>
      <c r="N282" s="30">
        <f>IFERROR(__xludf.DUMMYFUNCTION("""COMPUTED_VALUE"""),2.125)</f>
        <v>2.125</v>
      </c>
      <c r="O282" s="30">
        <f>IFERROR(__xludf.DUMMYFUNCTION("""COMPUTED_VALUE"""),394.3194444444444)</f>
        <v>394.3194444</v>
      </c>
      <c r="P282" s="30">
        <f>IFERROR(__xludf.DUMMYFUNCTION("""COMPUTED_VALUE"""),1.1666666666666667)</f>
        <v>1.166666667</v>
      </c>
      <c r="Q282" s="30">
        <f>IFERROR(__xludf.DUMMYFUNCTION("""COMPUTED_VALUE"""),0.8055555555555557)</f>
        <v>0.8055555556</v>
      </c>
      <c r="R282" s="30">
        <f>IFERROR(__xludf.DUMMYFUNCTION("""COMPUTED_VALUE"""),1.1250000000000002)</f>
        <v>1.125</v>
      </c>
      <c r="S282" s="30">
        <f>IFERROR(__xludf.DUMMYFUNCTION("""COMPUTED_VALUE"""),3.2083333333333335)</f>
        <v>3.208333333</v>
      </c>
      <c r="T282" s="30">
        <f>IFERROR(__xludf.DUMMYFUNCTION("""COMPUTED_VALUE"""),349.1395271243769)</f>
        <v>349.1395271</v>
      </c>
      <c r="U282" s="30">
        <f>IFERROR(__xludf.DUMMYFUNCTION("""COMPUTED_VALUE"""),0.7768395435680353)</f>
        <v>0.7768395436</v>
      </c>
      <c r="V282" s="30">
        <f>IFERROR(__xludf.DUMMYFUNCTION("""COMPUTED_VALUE"""),0.6016413490850335)</f>
        <v>0.6016413491</v>
      </c>
      <c r="W282" s="30">
        <f>IFERROR(__xludf.DUMMYFUNCTION("""COMPUTED_VALUE"""),1.2822238959532581)</f>
        <v>1.282223896</v>
      </c>
      <c r="X282" s="30">
        <f>IFERROR(__xludf.DUMMYFUNCTION("""COMPUTED_VALUE"""),2.633144834832763)</f>
        <v>2.633144835</v>
      </c>
      <c r="Y282" s="30">
        <f>IFERROR(__xludf.DUMMYFUNCTION("""COMPUTED_VALUE"""),350.66030265968243)</f>
        <v>350.6603027</v>
      </c>
      <c r="Z282" s="30">
        <f>IFERROR(__xludf.DUMMYFUNCTION("""COMPUTED_VALUE"""),0.7659322179635843)</f>
        <v>0.765932218</v>
      </c>
      <c r="AA282" s="30">
        <f>IFERROR(__xludf.DUMMYFUNCTION("""COMPUTED_VALUE"""),0.5457486435661468)</f>
        <v>0.5457486436</v>
      </c>
      <c r="AB282" s="30">
        <f>IFERROR(__xludf.DUMMYFUNCTION("""COMPUTED_VALUE"""),1.3849091173219026)</f>
        <v>1.384909117</v>
      </c>
      <c r="AC282" s="30">
        <f>IFERROR(__xludf.DUMMYFUNCTION("""COMPUTED_VALUE"""),2.5202545132212424)</f>
        <v>2.520254513</v>
      </c>
      <c r="AD282" s="30">
        <f>IFERROR(__xludf.DUMMYFUNCTION("""COMPUTED_VALUE"""),0.8750158800584753)</f>
        <v>0.8750158801</v>
      </c>
      <c r="AE282" s="30">
        <f>IFERROR(__xludf.DUMMYFUNCTION("""COMPUTED_VALUE"""),0.5439993995480117)</f>
        <v>0.5439993995</v>
      </c>
      <c r="AF282" s="30">
        <f>IFERROR(__xludf.DUMMYFUNCTION("""COMPUTED_VALUE"""),0.6107817898642784)</f>
        <v>0.6107817899</v>
      </c>
      <c r="AG282" s="30">
        <f>IFERROR(__xludf.DUMMYFUNCTION("""COMPUTED_VALUE"""),1.2937070340986274)</f>
        <v>1.293707034</v>
      </c>
      <c r="AH282" s="30">
        <f>IFERROR(__xludf.DUMMYFUNCTION("""COMPUTED_VALUE"""),0.8431688104722205)</f>
        <v>0.8431688105</v>
      </c>
      <c r="AI282" s="30">
        <f>IFERROR(__xludf.DUMMYFUNCTION("""COMPUTED_VALUE"""),1.1294036160619896)</f>
        <v>1.129403616</v>
      </c>
      <c r="AJ282" s="30">
        <f>IFERROR(__xludf.DUMMYFUNCTION("""COMPUTED_VALUE"""),1.5018116370700567)</f>
        <v>1.501811637</v>
      </c>
      <c r="AK282" s="30">
        <f>IFERROR(__xludf.DUMMYFUNCTION("""COMPUTED_VALUE"""),1.338929840478271)</f>
        <v>1.33892984</v>
      </c>
      <c r="AL282" s="30">
        <f>IFERROR(__xludf.DUMMYFUNCTION("""COMPUTED_VALUE"""),0.8773818703196362)</f>
        <v>0.8773818703</v>
      </c>
      <c r="AM282" s="30">
        <f>IFERROR(__xludf.DUMMYFUNCTION("""COMPUTED_VALUE"""),1.2184416485153586)</f>
        <v>1.218441649</v>
      </c>
      <c r="AN282" s="30">
        <f>IFERROR(__xludf.DUMMYFUNCTION("""COMPUTED_VALUE"""),0.8875636912859353)</f>
        <v>0.8875636913</v>
      </c>
      <c r="AO282" s="30">
        <f>IFERROR(__xludf.DUMMYFUNCTION("""COMPUTED_VALUE"""),0.551465183893955)</f>
        <v>0.5514651839</v>
      </c>
      <c r="AP282" s="30">
        <f>IFERROR(__xludf.DUMMYFUNCTION("""COMPUTED_VALUE"""),0.5996739933799643)</f>
        <v>0.5996739934</v>
      </c>
      <c r="AQ282" s="30">
        <f>IFERROR(__xludf.DUMMYFUNCTION("""COMPUTED_VALUE"""),1.3242463786841876)</f>
        <v>1.324246379</v>
      </c>
      <c r="AR282" s="30">
        <f>IFERROR(__xludf.DUMMYFUNCTION("""COMPUTED_VALUE"""),0.8334925328121148)</f>
        <v>0.8334925328</v>
      </c>
      <c r="AS282" s="30">
        <f>IFERROR(__xludf.DUMMYFUNCTION("""COMPUTED_VALUE"""),49.0)</f>
        <v>49</v>
      </c>
      <c r="AT282" s="30">
        <f>IFERROR(__xludf.DUMMYFUNCTION("""COMPUTED_VALUE"""),0.29295596058825574)</f>
        <v>0.2929559606</v>
      </c>
      <c r="AU282" s="30">
        <f>IFERROR(__xludf.DUMMYFUNCTION("""COMPUTED_VALUE"""),0.5611748469685007)</f>
        <v>0.561174847</v>
      </c>
      <c r="AV282" s="32">
        <f>IFERROR(__xludf.DUMMYFUNCTION("""COMPUTED_VALUE"""),5.27717037102358)</f>
        <v>5.277170371</v>
      </c>
      <c r="AW282" s="32">
        <f>IFERROR(__xludf.DUMMYFUNCTION("""COMPUTED_VALUE"""),-27.163284666216978)</f>
        <v>-27.16328467</v>
      </c>
      <c r="AX282" s="32">
        <f>IFERROR(__xludf.DUMMYFUNCTION("""COMPUTED_VALUE"""),21.553074920867164)</f>
        <v>21.55307492</v>
      </c>
      <c r="AY282" s="32">
        <f>IFERROR(__xludf.DUMMYFUNCTION("""COMPUTED_VALUE"""),-7.837855302989885)</f>
        <v>-7.837855303</v>
      </c>
      <c r="AZ282" s="30">
        <f>IFERROR(__xludf.DUMMYFUNCTION("""COMPUTED_VALUE"""),19.325429363227094)</f>
        <v>19.32542936</v>
      </c>
      <c r="BA282" s="30">
        <f>IFERROR(__xludf.DUMMYFUNCTION("""COMPUTED_VALUE"""),1200.0)</f>
        <v>1200</v>
      </c>
    </row>
    <row r="283">
      <c r="A283" s="71" t="str">
        <f>IFERROR(__xludf.DUMMYFUNCTION("""COMPUTED_VALUE"""),"Veteran")</f>
        <v>Veteran</v>
      </c>
      <c r="B283" s="71" t="str">
        <f>IFERROR(__xludf.DUMMYFUNCTION("""COMPUTED_VALUE"""),"RSC004332")</f>
        <v>RSC004332</v>
      </c>
      <c r="C283" s="30" t="str">
        <f>IFERROR(__xludf.DUMMYFUNCTION("""COMPUTED_VALUE"""),"FriendBrady")</f>
        <v>FriendBrady</v>
      </c>
      <c r="D283" s="30" t="str">
        <f>IFERROR(__xludf.DUMMYFUNCTION("""COMPUTED_VALUE"""),"Makos")</f>
        <v>Makos</v>
      </c>
      <c r="E283" s="30">
        <f>IFERROR(__xludf.DUMMYFUNCTION("""COMPUTED_VALUE"""),6.0)</f>
        <v>6</v>
      </c>
      <c r="F283" s="30">
        <f>IFERROR(__xludf.DUMMYFUNCTION("""COMPUTED_VALUE"""),3.0)</f>
        <v>3</v>
      </c>
      <c r="G283" s="42">
        <f>IFERROR(__xludf.DUMMYFUNCTION("""COMPUTED_VALUE"""),3.0)</f>
        <v>3</v>
      </c>
      <c r="H283" s="42">
        <f>IFERROR(__xludf.DUMMYFUNCTION("""COMPUTED_VALUE"""),0.5)</f>
        <v>0.5</v>
      </c>
      <c r="I283" s="42">
        <f>IFERROR(__xludf.DUMMYFUNCTION("""COMPUTED_VALUE"""),0.21428571428571427)</f>
        <v>0.2142857143</v>
      </c>
      <c r="J283" s="30">
        <f>IFERROR(__xludf.DUMMYFUNCTION("""COMPUTED_VALUE"""),237.5)</f>
        <v>237.5</v>
      </c>
      <c r="K283" s="30">
        <f>IFERROR(__xludf.DUMMYFUNCTION("""COMPUTED_VALUE"""),0.5)</f>
        <v>0.5</v>
      </c>
      <c r="L283" s="30">
        <f>IFERROR(__xludf.DUMMYFUNCTION("""COMPUTED_VALUE"""),0.6666666666666666)</f>
        <v>0.6666666667</v>
      </c>
      <c r="M283" s="30">
        <f>IFERROR(__xludf.DUMMYFUNCTION("""COMPUTED_VALUE"""),0.6666666666666666)</f>
        <v>0.6666666667</v>
      </c>
      <c r="N283" s="30">
        <f>IFERROR(__xludf.DUMMYFUNCTION("""COMPUTED_VALUE"""),2.3333333333333335)</f>
        <v>2.333333333</v>
      </c>
      <c r="O283" s="30">
        <f>IFERROR(__xludf.DUMMYFUNCTION("""COMPUTED_VALUE"""),373.4444444444444)</f>
        <v>373.4444444</v>
      </c>
      <c r="P283" s="30">
        <f>IFERROR(__xludf.DUMMYFUNCTION("""COMPUTED_VALUE"""),0.7777777777777777)</f>
        <v>0.7777777778</v>
      </c>
      <c r="Q283" s="30">
        <f>IFERROR(__xludf.DUMMYFUNCTION("""COMPUTED_VALUE"""),0.5555555555555557)</f>
        <v>0.5555555556</v>
      </c>
      <c r="R283" s="30">
        <f>IFERROR(__xludf.DUMMYFUNCTION("""COMPUTED_VALUE"""),1.666666666666667)</f>
        <v>1.666666667</v>
      </c>
      <c r="S283" s="30">
        <f>IFERROR(__xludf.DUMMYFUNCTION("""COMPUTED_VALUE"""),2.8333333333333335)</f>
        <v>2.833333333</v>
      </c>
      <c r="T283" s="30">
        <f>IFERROR(__xludf.DUMMYFUNCTION("""COMPUTED_VALUE"""),365.1950058651034)</f>
        <v>365.1950059</v>
      </c>
      <c r="U283" s="30">
        <f>IFERROR(__xludf.DUMMYFUNCTION("""COMPUTED_VALUE"""),0.7311772000674625)</f>
        <v>0.7311772001</v>
      </c>
      <c r="V283" s="30">
        <f>IFERROR(__xludf.DUMMYFUNCTION("""COMPUTED_VALUE"""),0.7901801111205166)</f>
        <v>0.7901801111</v>
      </c>
      <c r="W283" s="30">
        <f>IFERROR(__xludf.DUMMYFUNCTION("""COMPUTED_VALUE"""),1.4184077161763111)</f>
        <v>1.418407716</v>
      </c>
      <c r="X283" s="30">
        <f>IFERROR(__xludf.DUMMYFUNCTION("""COMPUTED_VALUE"""),3.011179592346051)</f>
        <v>3.011179592</v>
      </c>
      <c r="Y283" s="30">
        <f>IFERROR(__xludf.DUMMYFUNCTION("""COMPUTED_VALUE"""),354.79836598633455)</f>
        <v>354.798366</v>
      </c>
      <c r="Z283" s="30">
        <f>IFERROR(__xludf.DUMMYFUNCTION("""COMPUTED_VALUE"""),0.8244926785976915)</f>
        <v>0.8244926786</v>
      </c>
      <c r="AA283" s="30">
        <f>IFERROR(__xludf.DUMMYFUNCTION("""COMPUTED_VALUE"""),0.5938377759227739)</f>
        <v>0.5938377759</v>
      </c>
      <c r="AB283" s="30">
        <f>IFERROR(__xludf.DUMMYFUNCTION("""COMPUTED_VALUE"""),1.3477355124921957)</f>
        <v>1.347735512</v>
      </c>
      <c r="AC283" s="30">
        <f>IFERROR(__xludf.DUMMYFUNCTION("""COMPUTED_VALUE"""),2.695657618764539)</f>
        <v>2.695657619</v>
      </c>
      <c r="AD283" s="30">
        <f>IFERROR(__xludf.DUMMYFUNCTION("""COMPUTED_VALUE"""),0.6693942891753554)</f>
        <v>0.6693942892</v>
      </c>
      <c r="AE283" s="30">
        <f>IFERROR(__xludf.DUMMYFUNCTION("""COMPUTED_VALUE"""),0.6064335232793175)</f>
        <v>0.6064335233</v>
      </c>
      <c r="AF283" s="30">
        <f>IFERROR(__xludf.DUMMYFUNCTION("""COMPUTED_VALUE"""),1.1226410539995082)</f>
        <v>1.122641054</v>
      </c>
      <c r="AG283" s="30">
        <f>IFERROR(__xludf.DUMMYFUNCTION("""COMPUTED_VALUE"""),0.4946568970597835)</f>
        <v>0.4946568971</v>
      </c>
      <c r="AH283" s="30">
        <f>IFERROR(__xludf.DUMMYFUNCTION("""COMPUTED_VALUE"""),0.8655896494758618)</f>
        <v>0.8655896495</v>
      </c>
      <c r="AI283" s="30">
        <f>IFERROR(__xludf.DUMMYFUNCTION("""COMPUTED_VALUE"""),1.02258913305728)</f>
        <v>1.022589133</v>
      </c>
      <c r="AJ283" s="30">
        <f>IFERROR(__xludf.DUMMYFUNCTION("""COMPUTED_VALUE"""),1.063733630788837)</f>
        <v>1.063733631</v>
      </c>
      <c r="AK283" s="30">
        <f>IFERROR(__xludf.DUMMYFUNCTION("""COMPUTED_VALUE"""),0.7030745873466101)</f>
        <v>0.7030745873</v>
      </c>
      <c r="AL283" s="30">
        <f>IFERROR(__xludf.DUMMYFUNCTION("""COMPUTED_VALUE"""),1.1750265087104876)</f>
        <v>1.175026509</v>
      </c>
      <c r="AM283" s="30">
        <f>IFERROR(__xludf.DUMMYFUNCTION("""COMPUTED_VALUE"""),0.9409380099862609)</f>
        <v>0.94093801</v>
      </c>
      <c r="AN283" s="30">
        <f>IFERROR(__xludf.DUMMYFUNCTION("""COMPUTED_VALUE"""),0.687006116285963)</f>
        <v>0.6870061163</v>
      </c>
      <c r="AO283" s="30">
        <f>IFERROR(__xludf.DUMMYFUNCTION("""COMPUTED_VALUE"""),0.6617582206727459)</f>
        <v>0.6617582207</v>
      </c>
      <c r="AP283" s="30">
        <f>IFERROR(__xludf.DUMMYFUNCTION("""COMPUTED_VALUE"""),1.1993479867599286)</f>
        <v>1.199347987</v>
      </c>
      <c r="AQ283" s="30">
        <f>IFERROR(__xludf.DUMMYFUNCTION("""COMPUTED_VALUE"""),0.49274283858016277)</f>
        <v>0.4927428386</v>
      </c>
      <c r="AR283" s="30">
        <f>IFERROR(__xludf.DUMMYFUNCTION("""COMPUTED_VALUE"""),0.915207487009381)</f>
        <v>0.915207487</v>
      </c>
      <c r="AS283" s="30">
        <f>IFERROR(__xludf.DUMMYFUNCTION("""COMPUTED_VALUE"""),14.0)</f>
        <v>14</v>
      </c>
      <c r="AT283" s="30">
        <f>IFERROR(__xludf.DUMMYFUNCTION("""COMPUTED_VALUE"""),0.5000000000000001)</f>
        <v>0.5</v>
      </c>
      <c r="AU283" s="30">
        <f>IFERROR(__xludf.DUMMYFUNCTION("""COMPUTED_VALUE"""),1.3668641321250103)</f>
        <v>1.366864132</v>
      </c>
      <c r="AV283" s="32">
        <f>IFERROR(__xludf.DUMMYFUNCTION("""COMPUTED_VALUE"""),34.08224921821717)</f>
        <v>34.08224922</v>
      </c>
      <c r="AW283" s="32">
        <f>IFERROR(__xludf.DUMMYFUNCTION("""COMPUTED_VALUE"""),-3.814510004248117)</f>
        <v>-3.814510004</v>
      </c>
      <c r="AX283" s="32">
        <f>IFERROR(__xludf.DUMMYFUNCTION("""COMPUTED_VALUE"""),7.713864992689118)</f>
        <v>7.713864993</v>
      </c>
      <c r="AY283" s="32">
        <f>IFERROR(__xludf.DUMMYFUNCTION("""COMPUTED_VALUE"""),-22.0381382705093)</f>
        <v>-22.03813827</v>
      </c>
      <c r="AZ283" s="30">
        <f>IFERROR(__xludf.DUMMYFUNCTION("""COMPUTED_VALUE"""),18.223628266261183)</f>
        <v>18.22362827</v>
      </c>
      <c r="BA283" s="30">
        <f>IFERROR(__xludf.DUMMYFUNCTION("""COMPUTED_VALUE"""),1200.0)</f>
        <v>1200</v>
      </c>
    </row>
    <row r="284">
      <c r="A284" s="71" t="str">
        <f>IFERROR(__xludf.DUMMYFUNCTION("""COMPUTED_VALUE"""),"Veteran")</f>
        <v>Veteran</v>
      </c>
      <c r="B284" s="71" t="str">
        <f>IFERROR(__xludf.DUMMYFUNCTION("""COMPUTED_VALUE"""),"RSC007143")</f>
        <v>RSC007143</v>
      </c>
      <c r="C284" s="30" t="str">
        <f>IFERROR(__xludf.DUMMYFUNCTION("""COMPUTED_VALUE"""),"OmniMurders")</f>
        <v>OmniMurders</v>
      </c>
      <c r="D284" s="30"/>
      <c r="E284" s="30">
        <f>IFERROR(__xludf.DUMMYFUNCTION("""COMPUTED_VALUE"""),4.0)</f>
        <v>4</v>
      </c>
      <c r="F284" s="30">
        <f>IFERROR(__xludf.DUMMYFUNCTION("""COMPUTED_VALUE"""),4.0)</f>
        <v>4</v>
      </c>
      <c r="G284" s="42">
        <f>IFERROR(__xludf.DUMMYFUNCTION("""COMPUTED_VALUE"""),0.0)</f>
        <v>0</v>
      </c>
      <c r="H284" s="42">
        <f>IFERROR(__xludf.DUMMYFUNCTION("""COMPUTED_VALUE"""),1.0)</f>
        <v>1</v>
      </c>
      <c r="I284" s="42">
        <f>IFERROR(__xludf.DUMMYFUNCTION("""COMPUTED_VALUE"""),0.15384615384615385)</f>
        <v>0.1538461538</v>
      </c>
      <c r="J284" s="30">
        <f>IFERROR(__xludf.DUMMYFUNCTION("""COMPUTED_VALUE"""),422.0)</f>
        <v>422</v>
      </c>
      <c r="K284" s="30">
        <f>IFERROR(__xludf.DUMMYFUNCTION("""COMPUTED_VALUE"""),0.5)</f>
        <v>0.5</v>
      </c>
      <c r="L284" s="30">
        <f>IFERROR(__xludf.DUMMYFUNCTION("""COMPUTED_VALUE"""),1.5)</f>
        <v>1.5</v>
      </c>
      <c r="M284" s="30">
        <f>IFERROR(__xludf.DUMMYFUNCTION("""COMPUTED_VALUE"""),2.25)</f>
        <v>2.25</v>
      </c>
      <c r="N284" s="30">
        <f>IFERROR(__xludf.DUMMYFUNCTION("""COMPUTED_VALUE"""),3.25)</f>
        <v>3.25</v>
      </c>
      <c r="O284" s="30">
        <f>IFERROR(__xludf.DUMMYFUNCTION("""COMPUTED_VALUE"""),332.41666666666663)</f>
        <v>332.4166667</v>
      </c>
      <c r="P284" s="30">
        <f>IFERROR(__xludf.DUMMYFUNCTION("""COMPUTED_VALUE"""),0.75)</f>
        <v>0.75</v>
      </c>
      <c r="Q284" s="30">
        <f>IFERROR(__xludf.DUMMYFUNCTION("""COMPUTED_VALUE"""),0.16666666666666666)</f>
        <v>0.1666666667</v>
      </c>
      <c r="R284" s="30">
        <f>IFERROR(__xludf.DUMMYFUNCTION("""COMPUTED_VALUE"""),1.4166666666666665)</f>
        <v>1.416666667</v>
      </c>
      <c r="S284" s="30">
        <f>IFERROR(__xludf.DUMMYFUNCTION("""COMPUTED_VALUE"""),2.8333333333333335)</f>
        <v>2.833333333</v>
      </c>
      <c r="T284" s="30">
        <f>IFERROR(__xludf.DUMMYFUNCTION("""COMPUTED_VALUE"""),332.54781560581023)</f>
        <v>332.5478156</v>
      </c>
      <c r="U284" s="30">
        <f>IFERROR(__xludf.DUMMYFUNCTION("""COMPUTED_VALUE"""),0.6634282285649304)</f>
        <v>0.6634282286</v>
      </c>
      <c r="V284" s="30">
        <f>IFERROR(__xludf.DUMMYFUNCTION("""COMPUTED_VALUE"""),0.48314827161885654)</f>
        <v>0.4831482716</v>
      </c>
      <c r="W284" s="30">
        <f>IFERROR(__xludf.DUMMYFUNCTION("""COMPUTED_VALUE"""),1.359364983703824)</f>
        <v>1.359364984</v>
      </c>
      <c r="X284" s="30">
        <f>IFERROR(__xludf.DUMMYFUNCTION("""COMPUTED_VALUE"""),2.2776267063912874)</f>
        <v>2.277626706</v>
      </c>
      <c r="Y284" s="30">
        <f>IFERROR(__xludf.DUMMYFUNCTION("""COMPUTED_VALUE"""),360.9032678977724)</f>
        <v>360.9032679</v>
      </c>
      <c r="Z284" s="30">
        <f>IFERROR(__xludf.DUMMYFUNCTION("""COMPUTED_VALUE"""),0.8413520891537457)</f>
        <v>0.8413520892</v>
      </c>
      <c r="AA284" s="30">
        <f>IFERROR(__xludf.DUMMYFUNCTION("""COMPUTED_VALUE"""),0.6319729328230616)</f>
        <v>0.6319729328</v>
      </c>
      <c r="AB284" s="30">
        <f>IFERROR(__xludf.DUMMYFUNCTION("""COMPUTED_VALUE"""),1.2598002750379353)</f>
        <v>1.259800275</v>
      </c>
      <c r="AC284" s="30">
        <f>IFERROR(__xludf.DUMMYFUNCTION("""COMPUTED_VALUE"""),2.7845518098098316)</f>
        <v>2.78455181</v>
      </c>
      <c r="AD284" s="30">
        <f>IFERROR(__xludf.DUMMYFUNCTION("""COMPUTED_VALUE"""),1.1692883870465078)</f>
        <v>1.169288387</v>
      </c>
      <c r="AE284" s="30">
        <f>IFERROR(__xludf.DUMMYFUNCTION("""COMPUTED_VALUE"""),0.5942815219047156)</f>
        <v>0.5942815219</v>
      </c>
      <c r="AF284" s="30">
        <f>IFERROR(__xludf.DUMMYFUNCTION("""COMPUTED_VALUE"""),2.3735193741596)</f>
        <v>2.373519374</v>
      </c>
      <c r="AG284" s="30">
        <f>IFERROR(__xludf.DUMMYFUNCTION("""COMPUTED_VALUE"""),1.7859973875083077)</f>
        <v>1.785997388</v>
      </c>
      <c r="AH284" s="30">
        <f>IFERROR(__xludf.DUMMYFUNCTION("""COMPUTED_VALUE"""),1.167153718796116)</f>
        <v>1.167153719</v>
      </c>
      <c r="AI284" s="30">
        <f>IFERROR(__xludf.DUMMYFUNCTION("""COMPUTED_VALUE"""),0.9996056238141132)</f>
        <v>0.9996056238</v>
      </c>
      <c r="AJ284" s="30">
        <f>IFERROR(__xludf.DUMMYFUNCTION("""COMPUTED_VALUE"""),1.1304915403167786)</f>
        <v>1.13049154</v>
      </c>
      <c r="AK284" s="30">
        <f>IFERROR(__xludf.DUMMYFUNCTION("""COMPUTED_VALUE"""),0.3449596665392726)</f>
        <v>0.3449596665</v>
      </c>
      <c r="AL284" s="30">
        <f>IFERROR(__xludf.DUMMYFUNCTION("""COMPUTED_VALUE"""),1.0421532727779366)</f>
        <v>1.042153273</v>
      </c>
      <c r="AM284" s="30">
        <f>IFERROR(__xludf.DUMMYFUNCTION("""COMPUTED_VALUE"""),1.243984945110921)</f>
        <v>1.243984945</v>
      </c>
      <c r="AN284" s="30">
        <f>IFERROR(__xludf.DUMMYFUNCTION("""COMPUTED_VALUE"""),1.2207013939902163)</f>
        <v>1.220701394</v>
      </c>
      <c r="AO284" s="30">
        <f>IFERROR(__xludf.DUMMYFUNCTION("""COMPUTED_VALUE"""),0.6617582206727459)</f>
        <v>0.6617582207</v>
      </c>
      <c r="AP284" s="30">
        <f>IFERROR(__xludf.DUMMYFUNCTION("""COMPUTED_VALUE"""),2.6985329702098397)</f>
        <v>2.69853297</v>
      </c>
      <c r="AQ284" s="30">
        <f>IFERROR(__xludf.DUMMYFUNCTION("""COMPUTED_VALUE"""),1.6630070802080494)</f>
        <v>1.66300708</v>
      </c>
      <c r="AR284" s="30">
        <f>IFERROR(__xludf.DUMMYFUNCTION("""COMPUTED_VALUE"""),1.274753285477352)</f>
        <v>1.274753285</v>
      </c>
      <c r="AS284" s="30">
        <f>IFERROR(__xludf.DUMMYFUNCTION("""COMPUTED_VALUE"""),14.0)</f>
        <v>14</v>
      </c>
      <c r="AT284" s="30">
        <f>IFERROR(__xludf.DUMMYFUNCTION("""COMPUTED_VALUE"""),0.6747904145339012)</f>
        <v>0.6747904145</v>
      </c>
      <c r="AU284" s="30">
        <f>IFERROR(__xludf.DUMMYFUNCTION("""COMPUTED_VALUE"""),2.9931685658130593)</f>
        <v>2.993168566</v>
      </c>
      <c r="AV284" s="32">
        <f>IFERROR(__xludf.DUMMYFUNCTION("""COMPUTED_VALUE"""),92.22603777911965)</f>
        <v>92.22603778</v>
      </c>
      <c r="AW284" s="32">
        <f>IFERROR(__xludf.DUMMYFUNCTION("""COMPUTED_VALUE"""),21.927065608894335)</f>
        <v>21.92706561</v>
      </c>
      <c r="AX284" s="32">
        <f>IFERROR(__xludf.DUMMYFUNCTION("""COMPUTED_VALUE"""),70.3262329108496)</f>
        <v>70.32623291</v>
      </c>
      <c r="AY284" s="32">
        <f>IFERROR(__xludf.DUMMYFUNCTION("""COMPUTED_VALUE"""),4.8054999873755815)</f>
        <v>4.805499987</v>
      </c>
      <c r="AZ284" s="30">
        <f>IFERROR(__xludf.DUMMYFUNCTION("""COMPUTED_VALUE"""),17.121565621518755)</f>
        <v>17.12156562</v>
      </c>
      <c r="BA284" s="30">
        <f>IFERROR(__xludf.DUMMYFUNCTION("""COMPUTED_VALUE"""),1200.0)</f>
        <v>1200</v>
      </c>
    </row>
    <row r="285">
      <c r="A285" s="71" t="str">
        <f>IFERROR(__xludf.DUMMYFUNCTION("""COMPUTED_VALUE"""),"Veteran")</f>
        <v>Veteran</v>
      </c>
      <c r="B285" s="71" t="str">
        <f>IFERROR(__xludf.DUMMYFUNCTION("""COMPUTED_VALUE"""),"RSC007825")</f>
        <v>RSC007825</v>
      </c>
      <c r="C285" s="30" t="str">
        <f>IFERROR(__xludf.DUMMYFUNCTION("""COMPUTED_VALUE"""),"Acryonix")</f>
        <v>Acryonix</v>
      </c>
      <c r="D285" s="30" t="str">
        <f>IFERROR(__xludf.DUMMYFUNCTION("""COMPUTED_VALUE"""),"Slots")</f>
        <v>Slots</v>
      </c>
      <c r="E285" s="30">
        <f>IFERROR(__xludf.DUMMYFUNCTION("""COMPUTED_VALUE"""),8.0)</f>
        <v>8</v>
      </c>
      <c r="F285" s="30">
        <f>IFERROR(__xludf.DUMMYFUNCTION("""COMPUTED_VALUE"""),4.0)</f>
        <v>4</v>
      </c>
      <c r="G285" s="42">
        <f>IFERROR(__xludf.DUMMYFUNCTION("""COMPUTED_VALUE"""),4.0)</f>
        <v>4</v>
      </c>
      <c r="H285" s="42">
        <f>IFERROR(__xludf.DUMMYFUNCTION("""COMPUTED_VALUE"""),0.5)</f>
        <v>0.5</v>
      </c>
      <c r="I285" s="42">
        <f>IFERROR(__xludf.DUMMYFUNCTION("""COMPUTED_VALUE"""),0.4444444444444444)</f>
        <v>0.4444444444</v>
      </c>
      <c r="J285" s="30">
        <f>IFERROR(__xludf.DUMMYFUNCTION("""COMPUTED_VALUE"""),339.5)</f>
        <v>339.5</v>
      </c>
      <c r="K285" s="30">
        <f>IFERROR(__xludf.DUMMYFUNCTION("""COMPUTED_VALUE"""),1.0)</f>
        <v>1</v>
      </c>
      <c r="L285" s="30">
        <f>IFERROR(__xludf.DUMMYFUNCTION("""COMPUTED_VALUE"""),0.125)</f>
        <v>0.125</v>
      </c>
      <c r="M285" s="30">
        <f>IFERROR(__xludf.DUMMYFUNCTION("""COMPUTED_VALUE"""),1.375)</f>
        <v>1.375</v>
      </c>
      <c r="N285" s="30">
        <f>IFERROR(__xludf.DUMMYFUNCTION("""COMPUTED_VALUE"""),2.25)</f>
        <v>2.25</v>
      </c>
      <c r="O285" s="30">
        <f>IFERROR(__xludf.DUMMYFUNCTION("""COMPUTED_VALUE"""),394.79166666666663)</f>
        <v>394.7916667</v>
      </c>
      <c r="P285" s="30">
        <f>IFERROR(__xludf.DUMMYFUNCTION("""COMPUTED_VALUE"""),0.9583333333333333)</f>
        <v>0.9583333333</v>
      </c>
      <c r="Q285" s="30">
        <f>IFERROR(__xludf.DUMMYFUNCTION("""COMPUTED_VALUE"""),0.75)</f>
        <v>0.75</v>
      </c>
      <c r="R285" s="30">
        <f>IFERROR(__xludf.DUMMYFUNCTION("""COMPUTED_VALUE"""),1.4166666666666667)</f>
        <v>1.416666667</v>
      </c>
      <c r="S285" s="30">
        <f>IFERROR(__xludf.DUMMYFUNCTION("""COMPUTED_VALUE"""),3.4999999999999996)</f>
        <v>3.5</v>
      </c>
      <c r="T285" s="30">
        <f>IFERROR(__xludf.DUMMYFUNCTION("""COMPUTED_VALUE"""),365.43106610105946)</f>
        <v>365.4310661</v>
      </c>
      <c r="U285" s="30">
        <f>IFERROR(__xludf.DUMMYFUNCTION("""COMPUTED_VALUE"""),0.8739890139473052)</f>
        <v>0.8739890139</v>
      </c>
      <c r="V285" s="30">
        <f>IFERROR(__xludf.DUMMYFUNCTION("""COMPUTED_VALUE"""),0.7008266920346673)</f>
        <v>0.700826692</v>
      </c>
      <c r="W285" s="30">
        <f>IFERROR(__xludf.DUMMYFUNCTION("""COMPUTED_VALUE"""),1.1684010016542876)</f>
        <v>1.168401002</v>
      </c>
      <c r="X285" s="30">
        <f>IFERROR(__xludf.DUMMYFUNCTION("""COMPUTED_VALUE"""),2.9135561874897693)</f>
        <v>2.913556187</v>
      </c>
      <c r="Y285" s="30">
        <f>IFERROR(__xludf.DUMMYFUNCTION("""COMPUTED_VALUE"""),349.03718719854487)</f>
        <v>349.0371872</v>
      </c>
      <c r="Z285" s="30">
        <f>IFERROR(__xludf.DUMMYFUNCTION("""COMPUTED_VALUE"""),0.7420922298708151)</f>
        <v>0.7420922299</v>
      </c>
      <c r="AA285" s="30">
        <f>IFERROR(__xludf.DUMMYFUNCTION("""COMPUTED_VALUE"""),0.5413193222886304)</f>
        <v>0.5413193223</v>
      </c>
      <c r="AB285" s="30">
        <f>IFERROR(__xludf.DUMMYFUNCTION("""COMPUTED_VALUE"""),1.3899740009968145)</f>
        <v>1.389974001</v>
      </c>
      <c r="AC285" s="30">
        <f>IFERROR(__xludf.DUMMYFUNCTION("""COMPUTED_VALUE"""),2.4689364064653705)</f>
        <v>2.468936406</v>
      </c>
      <c r="AD285" s="30">
        <f>IFERROR(__xludf.DUMMYFUNCTION("""COMPUTED_VALUE"""),0.9726757275489968)</f>
        <v>0.9726757275</v>
      </c>
      <c r="AE285" s="30">
        <f>IFERROR(__xludf.DUMMYFUNCTION("""COMPUTED_VALUE"""),1.3475413968073509)</f>
        <v>1.347541397</v>
      </c>
      <c r="AF285" s="30">
        <f>IFERROR(__xludf.DUMMYFUNCTION("""COMPUTED_VALUE"""),0.230917306759928)</f>
        <v>0.2309173068</v>
      </c>
      <c r="AG285" s="30">
        <f>IFERROR(__xludf.DUMMYFUNCTION("""COMPUTED_VALUE"""),0.989227135913279)</f>
        <v>0.9892271359</v>
      </c>
      <c r="AH285" s="30">
        <f>IFERROR(__xludf.DUMMYFUNCTION("""COMPUTED_VALUE"""),0.9113235942845491)</f>
        <v>0.9113235943</v>
      </c>
      <c r="AI285" s="30">
        <f>IFERROR(__xludf.DUMMYFUNCTION("""COMPUTED_VALUE"""),1.0803451137279267)</f>
        <v>1.080345114</v>
      </c>
      <c r="AJ285" s="30">
        <f>IFERROR(__xludf.DUMMYFUNCTION("""COMPUTED_VALUE"""),1.0965050109784484)</f>
        <v>1.096505011</v>
      </c>
      <c r="AK285" s="30">
        <f>IFERROR(__xludf.DUMMYFUNCTION("""COMPUTED_VALUE"""),1.0701647190728008)</f>
        <v>1.070164719</v>
      </c>
      <c r="AL285" s="30">
        <f>IFERROR(__xludf.DUMMYFUNCTION("""COMPUTED_VALUE"""),1.2124832695802816)</f>
        <v>1.21248327</v>
      </c>
      <c r="AM285" s="30">
        <f>IFERROR(__xludf.DUMMYFUNCTION("""COMPUTED_VALUE"""),1.201281106239963)</f>
        <v>1.201281106</v>
      </c>
      <c r="AN285" s="30">
        <f>IFERROR(__xludf.DUMMYFUNCTION("""COMPUTED_VALUE"""),0.9820571641224608)</f>
        <v>0.9820571641</v>
      </c>
      <c r="AO285" s="30">
        <f>IFERROR(__xludf.DUMMYFUNCTION("""COMPUTED_VALUE"""),1.3235164413454918)</f>
        <v>1.323516441</v>
      </c>
      <c r="AP285" s="30">
        <f>IFERROR(__xludf.DUMMYFUNCTION("""COMPUTED_VALUE"""),0.22487774751748663)</f>
        <v>0.2248777475</v>
      </c>
      <c r="AQ285" s="30">
        <f>IFERROR(__xludf.DUMMYFUNCTION("""COMPUTED_VALUE"""),1.0162821045715857)</f>
        <v>1.016282105</v>
      </c>
      <c r="AR285" s="30">
        <f>IFERROR(__xludf.DUMMYFUNCTION("""COMPUTED_VALUE"""),0.8825215053304745)</f>
        <v>0.8825215053</v>
      </c>
      <c r="AS285" s="30">
        <f>IFERROR(__xludf.DUMMYFUNCTION("""COMPUTED_VALUE"""),20.0)</f>
        <v>20</v>
      </c>
      <c r="AT285" s="30">
        <f>IFERROR(__xludf.DUMMYFUNCTION("""COMPUTED_VALUE"""),0.44362365470593096)</f>
        <v>0.4436236547</v>
      </c>
      <c r="AU285" s="30">
        <f>IFERROR(__xludf.DUMMYFUNCTION("""COMPUTED_VALUE"""),1.4884716789728476)</f>
        <v>1.488471679</v>
      </c>
      <c r="AV285" s="32">
        <f>IFERROR(__xludf.DUMMYFUNCTION("""COMPUTED_VALUE"""),38.42997363245619)</f>
        <v>38.42997363</v>
      </c>
      <c r="AW285" s="32">
        <f>IFERROR(__xludf.DUMMYFUNCTION("""COMPUTED_VALUE"""),-3.1079694193819063)</f>
        <v>-3.107969419</v>
      </c>
      <c r="AX285" s="32">
        <f>IFERROR(__xludf.DUMMYFUNCTION("""COMPUTED_VALUE"""),9.29000635523505)</f>
        <v>9.290006355</v>
      </c>
      <c r="AY285" s="32">
        <f>IFERROR(__xludf.DUMMYFUNCTION("""COMPUTED_VALUE"""),-19.33485180462052)</f>
        <v>-19.3348518</v>
      </c>
      <c r="AZ285" s="30">
        <f>IFERROR(__xludf.DUMMYFUNCTION("""COMPUTED_VALUE"""),16.226882385238614)</f>
        <v>16.22688239</v>
      </c>
      <c r="BA285" s="30">
        <f>IFERROR(__xludf.DUMMYFUNCTION("""COMPUTED_VALUE"""),1200.0)</f>
        <v>1200</v>
      </c>
    </row>
    <row r="286">
      <c r="A286" s="71" t="str">
        <f>IFERROR(__xludf.DUMMYFUNCTION("""COMPUTED_VALUE"""),"Veteran")</f>
        <v>Veteran</v>
      </c>
      <c r="B286" s="71" t="str">
        <f>IFERROR(__xludf.DUMMYFUNCTION("""COMPUTED_VALUE"""),"RSC006945")</f>
        <v>RSC006945</v>
      </c>
      <c r="C286" s="30" t="str">
        <f>IFERROR(__xludf.DUMMYFUNCTION("""COMPUTED_VALUE"""),"nuummite")</f>
        <v>nuummite</v>
      </c>
      <c r="D286" s="30" t="str">
        <f>IFERROR(__xludf.DUMMYFUNCTION("""COMPUTED_VALUE"""),"Paradox Paloma")</f>
        <v>Paradox Paloma</v>
      </c>
      <c r="E286" s="30">
        <f>IFERROR(__xludf.DUMMYFUNCTION("""COMPUTED_VALUE"""),48.0)</f>
        <v>48</v>
      </c>
      <c r="F286" s="30">
        <f>IFERROR(__xludf.DUMMYFUNCTION("""COMPUTED_VALUE"""),30.0)</f>
        <v>30</v>
      </c>
      <c r="G286" s="42">
        <f>IFERROR(__xludf.DUMMYFUNCTION("""COMPUTED_VALUE"""),18.0)</f>
        <v>18</v>
      </c>
      <c r="H286" s="42">
        <f>IFERROR(__xludf.DUMMYFUNCTION("""COMPUTED_VALUE"""),0.625)</f>
        <v>0.625</v>
      </c>
      <c r="I286" s="42">
        <f>IFERROR(__xludf.DUMMYFUNCTION("""COMPUTED_VALUE"""),0.31818181818181823)</f>
        <v>0.3181818182</v>
      </c>
      <c r="J286" s="30">
        <f>IFERROR(__xludf.DUMMYFUNCTION("""COMPUTED_VALUE"""),409.9583333333333)</f>
        <v>409.9583333</v>
      </c>
      <c r="K286" s="30">
        <f>IFERROR(__xludf.DUMMYFUNCTION("""COMPUTED_VALUE"""),1.1666666666666667)</f>
        <v>1.166666667</v>
      </c>
      <c r="L286" s="30">
        <f>IFERROR(__xludf.DUMMYFUNCTION("""COMPUTED_VALUE"""),0.6458333333333334)</f>
        <v>0.6458333333</v>
      </c>
      <c r="M286" s="30">
        <f>IFERROR(__xludf.DUMMYFUNCTION("""COMPUTED_VALUE"""),1.1875)</f>
        <v>1.1875</v>
      </c>
      <c r="N286" s="30">
        <f>IFERROR(__xludf.DUMMYFUNCTION("""COMPUTED_VALUE"""),3.6666666666666665)</f>
        <v>3.666666667</v>
      </c>
      <c r="O286" s="30">
        <f>IFERROR(__xludf.DUMMYFUNCTION("""COMPUTED_VALUE"""),370.04861111111103)</f>
        <v>370.0486111</v>
      </c>
      <c r="P286" s="30">
        <f>IFERROR(__xludf.DUMMYFUNCTION("""COMPUTED_VALUE"""),0.7430555555555557)</f>
        <v>0.7430555556</v>
      </c>
      <c r="Q286" s="30">
        <f>IFERROR(__xludf.DUMMYFUNCTION("""COMPUTED_VALUE"""),0.5763888888888888)</f>
        <v>0.5763888889</v>
      </c>
      <c r="R286" s="30">
        <f>IFERROR(__xludf.DUMMYFUNCTION("""COMPUTED_VALUE"""),1.6458333333333333)</f>
        <v>1.645833333</v>
      </c>
      <c r="S286" s="30">
        <f>IFERROR(__xludf.DUMMYFUNCTION("""COMPUTED_VALUE"""),2.541666666666667)</f>
        <v>2.541666667</v>
      </c>
      <c r="T286" s="30">
        <f>IFERROR(__xludf.DUMMYFUNCTION("""COMPUTED_VALUE"""),358.4060457137385)</f>
        <v>358.4060457</v>
      </c>
      <c r="U286" s="30">
        <f>IFERROR(__xludf.DUMMYFUNCTION("""COMPUTED_VALUE"""),0.7841275391017467)</f>
        <v>0.7841275391</v>
      </c>
      <c r="V286" s="30">
        <f>IFERROR(__xludf.DUMMYFUNCTION("""COMPUTED_VALUE"""),0.576074458615064)</f>
        <v>0.5760744586</v>
      </c>
      <c r="W286" s="30">
        <f>IFERROR(__xludf.DUMMYFUNCTION("""COMPUTED_VALUE"""),1.3945418795184015)</f>
        <v>1.39454188</v>
      </c>
      <c r="X286" s="30">
        <f>IFERROR(__xludf.DUMMYFUNCTION("""COMPUTED_VALUE"""),2.5699879736593654)</f>
        <v>2.569987974</v>
      </c>
      <c r="Y286" s="30">
        <f>IFERROR(__xludf.DUMMYFUNCTION("""COMPUTED_VALUE"""),353.6552627796262)</f>
        <v>353.6552628</v>
      </c>
      <c r="Z286" s="30">
        <f>IFERROR(__xludf.DUMMYFUNCTION("""COMPUTED_VALUE"""),0.7972746076988436)</f>
        <v>0.7972746077</v>
      </c>
      <c r="AA286" s="30">
        <f>IFERROR(__xludf.DUMMYFUNCTION("""COMPUTED_VALUE"""),0.5845740712602071)</f>
        <v>0.5845740713</v>
      </c>
      <c r="AB286" s="30">
        <f>IFERROR(__xludf.DUMMYFUNCTION("""COMPUTED_VALUE"""),1.3147564387683095)</f>
        <v>1.314756439</v>
      </c>
      <c r="AC286" s="30">
        <f>IFERROR(__xludf.DUMMYFUNCTION("""COMPUTED_VALUE"""),2.635948485634124)</f>
        <v>2.635948486</v>
      </c>
      <c r="AD286" s="30">
        <f>IFERROR(__xludf.DUMMYFUNCTION("""COMPUTED_VALUE"""),1.1592032594430564)</f>
        <v>1.159203259</v>
      </c>
      <c r="AE286" s="30">
        <f>IFERROR(__xludf.DUMMYFUNCTION("""COMPUTED_VALUE"""),1.4633184794809801)</f>
        <v>1.463318479</v>
      </c>
      <c r="AF286" s="30">
        <f>IFERROR(__xludf.DUMMYFUNCTION("""COMPUTED_VALUE"""),1.104792985328729)</f>
        <v>1.104792985</v>
      </c>
      <c r="AG286" s="30">
        <f>IFERROR(__xludf.DUMMYFUNCTION("""COMPUTED_VALUE"""),0.9032091153799361)</f>
        <v>0.9032091154</v>
      </c>
      <c r="AH286" s="30">
        <f>IFERROR(__xludf.DUMMYFUNCTION("""COMPUTED_VALUE"""),1.3910236435385364)</f>
        <v>1.391023644</v>
      </c>
      <c r="AI286" s="30">
        <f>IFERROR(__xludf.DUMMYFUNCTION("""COMPUTED_VALUE"""),1.0324842885230556)</f>
        <v>1.032484289</v>
      </c>
      <c r="AJ286" s="30">
        <f>IFERROR(__xludf.DUMMYFUNCTION("""COMPUTED_VALUE"""),0.9476207868005238)</f>
        <v>0.9476207868</v>
      </c>
      <c r="AK286" s="30">
        <f>IFERROR(__xludf.DUMMYFUNCTION("""COMPUTED_VALUE"""),1.0005458153353661)</f>
        <v>1.000545815</v>
      </c>
      <c r="AL286" s="30">
        <f>IFERROR(__xludf.DUMMYFUNCTION("""COMPUTED_VALUE"""),1.1801964197028734)</f>
        <v>1.18019642</v>
      </c>
      <c r="AM286" s="30">
        <f>IFERROR(__xludf.DUMMYFUNCTION("""COMPUTED_VALUE"""),0.9889799846213396)</f>
        <v>0.9889799846</v>
      </c>
      <c r="AN286" s="30">
        <f>IFERROR(__xludf.DUMMYFUNCTION("""COMPUTED_VALUE"""),1.1858689786206298)</f>
        <v>1.185868979</v>
      </c>
      <c r="AO286" s="30">
        <f>IFERROR(__xludf.DUMMYFUNCTION("""COMPUTED_VALUE"""),1.544102514903074)</f>
        <v>1.544102515</v>
      </c>
      <c r="AP286" s="30">
        <f>IFERROR(__xludf.DUMMYFUNCTION("""COMPUTED_VALUE"""),1.161868362173681)</f>
        <v>1.161868362</v>
      </c>
      <c r="AQ286" s="30">
        <f>IFERROR(__xludf.DUMMYFUNCTION("""COMPUTED_VALUE"""),0.877698181220915)</f>
        <v>0.8776981812</v>
      </c>
      <c r="AR286" s="30">
        <f>IFERROR(__xludf.DUMMYFUNCTION("""COMPUTED_VALUE"""),1.4381831938718843)</f>
        <v>1.438183194</v>
      </c>
      <c r="AS286" s="30">
        <f>IFERROR(__xludf.DUMMYFUNCTION("""COMPUTED_VALUE"""),125.0)</f>
        <v>125</v>
      </c>
      <c r="AT286" s="30">
        <f>IFERROR(__xludf.DUMMYFUNCTION("""COMPUTED_VALUE"""),0.5607929390890145)</f>
        <v>0.5607929391</v>
      </c>
      <c r="AU286" s="30">
        <f>IFERROR(__xludf.DUMMYFUNCTION("""COMPUTED_VALUE"""),2.941127378676548)</f>
        <v>2.941127379</v>
      </c>
      <c r="AV286" s="32">
        <f>IFERROR(__xludf.DUMMYFUNCTION("""COMPUTED_VALUE"""),90.36545637834112)</f>
        <v>90.36545638</v>
      </c>
      <c r="AW286" s="32">
        <f>IFERROR(__xludf.DUMMYFUNCTION("""COMPUTED_VALUE"""),18.79816035471045)</f>
        <v>18.79816035</v>
      </c>
      <c r="AX286" s="32">
        <f>IFERROR(__xludf.DUMMYFUNCTION("""COMPUTED_VALUE"""),70.91387656228841)</f>
        <v>70.91387656</v>
      </c>
      <c r="AY286" s="32">
        <f>IFERROR(__xludf.DUMMYFUNCTION("""COMPUTED_VALUE"""),4.9647168262473915)</f>
        <v>4.964716826</v>
      </c>
      <c r="AZ286" s="30">
        <f>IFERROR(__xludf.DUMMYFUNCTION("""COMPUTED_VALUE"""),13.833443528463059)</f>
        <v>13.83344353</v>
      </c>
      <c r="BA286" s="30">
        <f>IFERROR(__xludf.DUMMYFUNCTION("""COMPUTED_VALUE"""),1200.0)</f>
        <v>1200</v>
      </c>
    </row>
    <row r="287">
      <c r="A287" s="71" t="str">
        <f>IFERROR(__xludf.DUMMYFUNCTION("""COMPUTED_VALUE"""),"Veteran")</f>
        <v>Veteran</v>
      </c>
      <c r="B287" s="71" t="str">
        <f>IFERROR(__xludf.DUMMYFUNCTION("""COMPUTED_VALUE"""),"RSC004662")</f>
        <v>RSC004662</v>
      </c>
      <c r="C287" s="30" t="str">
        <f>IFERROR(__xludf.DUMMYFUNCTION("""COMPUTED_VALUE"""),"D_MATT_")</f>
        <v>D_MATT_</v>
      </c>
      <c r="D287" s="30" t="str">
        <f>IFERROR(__xludf.DUMMYFUNCTION("""COMPUTED_VALUE"""),"Penguins")</f>
        <v>Penguins</v>
      </c>
      <c r="E287" s="30">
        <f>IFERROR(__xludf.DUMMYFUNCTION("""COMPUTED_VALUE"""),44.0)</f>
        <v>44</v>
      </c>
      <c r="F287" s="30">
        <f>IFERROR(__xludf.DUMMYFUNCTION("""COMPUTED_VALUE"""),27.0)</f>
        <v>27</v>
      </c>
      <c r="G287" s="42">
        <f>IFERROR(__xludf.DUMMYFUNCTION("""COMPUTED_VALUE"""),17.0)</f>
        <v>17</v>
      </c>
      <c r="H287" s="42">
        <f>IFERROR(__xludf.DUMMYFUNCTION("""COMPUTED_VALUE"""),0.6136363636363636)</f>
        <v>0.6136363636</v>
      </c>
      <c r="I287" s="42">
        <f>IFERROR(__xludf.DUMMYFUNCTION("""COMPUTED_VALUE"""),0.38620689655172413)</f>
        <v>0.3862068966</v>
      </c>
      <c r="J287" s="30">
        <f>IFERROR(__xludf.DUMMYFUNCTION("""COMPUTED_VALUE"""),418.8636363636364)</f>
        <v>418.8636364</v>
      </c>
      <c r="K287" s="30">
        <f>IFERROR(__xludf.DUMMYFUNCTION("""COMPUTED_VALUE"""),1.2727272727272727)</f>
        <v>1.272727273</v>
      </c>
      <c r="L287" s="30">
        <f>IFERROR(__xludf.DUMMYFUNCTION("""COMPUTED_VALUE"""),0.5227272727272727)</f>
        <v>0.5227272727</v>
      </c>
      <c r="M287" s="30">
        <f>IFERROR(__xludf.DUMMYFUNCTION("""COMPUTED_VALUE"""),1.1590909090909092)</f>
        <v>1.159090909</v>
      </c>
      <c r="N287" s="30">
        <f>IFERROR(__xludf.DUMMYFUNCTION("""COMPUTED_VALUE"""),3.2954545454545454)</f>
        <v>3.295454545</v>
      </c>
      <c r="O287" s="30">
        <f>IFERROR(__xludf.DUMMYFUNCTION("""COMPUTED_VALUE"""),321.93181818181813)</f>
        <v>321.9318182</v>
      </c>
      <c r="P287" s="30">
        <f>IFERROR(__xludf.DUMMYFUNCTION("""COMPUTED_VALUE"""),0.6666666666666666)</f>
        <v>0.6666666667</v>
      </c>
      <c r="Q287" s="30">
        <f>IFERROR(__xludf.DUMMYFUNCTION("""COMPUTED_VALUE"""),0.4318181818181817)</f>
        <v>0.4318181818</v>
      </c>
      <c r="R287" s="30">
        <f>IFERROR(__xludf.DUMMYFUNCTION("""COMPUTED_VALUE"""),1.401515151515151)</f>
        <v>1.401515152</v>
      </c>
      <c r="S287" s="30">
        <f>IFERROR(__xludf.DUMMYFUNCTION("""COMPUTED_VALUE"""),2.295454545454545)</f>
        <v>2.295454545</v>
      </c>
      <c r="T287" s="30">
        <f>IFERROR(__xludf.DUMMYFUNCTION("""COMPUTED_VALUE"""),359.2474451872563)</f>
        <v>359.2474452</v>
      </c>
      <c r="U287" s="30">
        <f>IFERROR(__xludf.DUMMYFUNCTION("""COMPUTED_VALUE"""),0.7922075069237343)</f>
        <v>0.7922075069</v>
      </c>
      <c r="V287" s="30">
        <f>IFERROR(__xludf.DUMMYFUNCTION("""COMPUTED_VALUE"""),0.5900755819354676)</f>
        <v>0.5900755819</v>
      </c>
      <c r="W287" s="30">
        <f>IFERROR(__xludf.DUMMYFUNCTION("""COMPUTED_VALUE"""),1.396612452621565)</f>
        <v>1.396612453</v>
      </c>
      <c r="X287" s="30">
        <f>IFERROR(__xludf.DUMMYFUNCTION("""COMPUTED_VALUE"""),2.6283852737437154)</f>
        <v>2.628385274</v>
      </c>
      <c r="Y287" s="30">
        <f>IFERROR(__xludf.DUMMYFUNCTION("""COMPUTED_VALUE"""),352.63740709300026)</f>
        <v>352.6374071</v>
      </c>
      <c r="Z287" s="30">
        <f>IFERROR(__xludf.DUMMYFUNCTION("""COMPUTED_VALUE"""),0.7953624254002674)</f>
        <v>0.7953624254</v>
      </c>
      <c r="AA287" s="30">
        <f>IFERROR(__xludf.DUMMYFUNCTION("""COMPUTED_VALUE"""),0.5766563437873896)</f>
        <v>0.5766563438</v>
      </c>
      <c r="AB287" s="30">
        <f>IFERROR(__xludf.DUMMYFUNCTION("""COMPUTED_VALUE"""),1.3192993429661934)</f>
        <v>1.319299343</v>
      </c>
      <c r="AC287" s="30">
        <f>IFERROR(__xludf.DUMMYFUNCTION("""COMPUTED_VALUE"""),2.6651620169361054)</f>
        <v>2.665162017</v>
      </c>
      <c r="AD287" s="30">
        <f>IFERROR(__xludf.DUMMYFUNCTION("""COMPUTED_VALUE"""),1.187802620875018)</f>
        <v>1.187802621</v>
      </c>
      <c r="AE287" s="30">
        <f>IFERROR(__xludf.DUMMYFUNCTION("""COMPUTED_VALUE"""),1.6001853143700757)</f>
        <v>1.600185314</v>
      </c>
      <c r="AF287" s="30">
        <f>IFERROR(__xludf.DUMMYFUNCTION("""COMPUTED_VALUE"""),0.9064797055627289)</f>
        <v>0.9064797056</v>
      </c>
      <c r="AG287" s="30">
        <f>IFERROR(__xludf.DUMMYFUNCTION("""COMPUTED_VALUE"""),0.878565516818127)</f>
        <v>0.8785655168</v>
      </c>
      <c r="AH287" s="30">
        <f>IFERROR(__xludf.DUMMYFUNCTION("""COMPUTED_VALUE"""),1.2364931379455235)</f>
        <v>1.236493138</v>
      </c>
      <c r="AI287" s="30">
        <f>IFERROR(__xludf.DUMMYFUNCTION("""COMPUTED_VALUE"""),0.8961283441111528)</f>
        <v>0.8961283441</v>
      </c>
      <c r="AJ287" s="30">
        <f>IFERROR(__xludf.DUMMYFUNCTION("""COMPUTED_VALUE"""),0.841530357690547)</f>
        <v>0.8415303577</v>
      </c>
      <c r="AK287" s="30">
        <f>IFERROR(__xludf.DUMMYFUNCTION("""COMPUTED_VALUE"""),0.7318014760105878)</f>
        <v>0.731801476</v>
      </c>
      <c r="AL287" s="30">
        <f>IFERROR(__xludf.DUMMYFUNCTION("""COMPUTED_VALUE"""),1.0035104218671278)</f>
        <v>1.003510422</v>
      </c>
      <c r="AM287" s="30">
        <f>IFERROR(__xludf.DUMMYFUNCTION("""COMPUTED_VALUE"""),0.8733326002032556)</f>
        <v>0.8733326002</v>
      </c>
      <c r="AN287" s="30">
        <f>IFERROR(__xludf.DUMMYFUNCTION("""COMPUTED_VALUE"""),1.2116289687225166)</f>
        <v>1.211628969</v>
      </c>
      <c r="AO287" s="30">
        <f>IFERROR(__xludf.DUMMYFUNCTION("""COMPUTED_VALUE"""),1.6844754708033534)</f>
        <v>1.684475471</v>
      </c>
      <c r="AP287" s="30">
        <f>IFERROR(__xludf.DUMMYFUNCTION("""COMPUTED_VALUE"""),0.9403978532549441)</f>
        <v>0.9403978533</v>
      </c>
      <c r="AQ287" s="30">
        <f>IFERROR(__xludf.DUMMYFUNCTION("""COMPUTED_VALUE"""),0.8567006170768741)</f>
        <v>0.8567006171</v>
      </c>
      <c r="AR287" s="30">
        <f>IFERROR(__xludf.DUMMYFUNCTION("""COMPUTED_VALUE"""),1.2925820027567556)</f>
        <v>1.292582003</v>
      </c>
      <c r="AS287" s="30">
        <f>IFERROR(__xludf.DUMMYFUNCTION("""COMPUTED_VALUE"""),114.0)</f>
        <v>114</v>
      </c>
      <c r="AT287" s="30">
        <f>IFERROR(__xludf.DUMMYFUNCTION("""COMPUTED_VALUE"""),0.5989031120295647)</f>
        <v>0.598903112</v>
      </c>
      <c r="AU287" s="30">
        <f>IFERROR(__xludf.DUMMYFUNCTION("""COMPUTED_VALUE"""),3.0745089536003882)</f>
        <v>3.074508954</v>
      </c>
      <c r="AV287" s="32">
        <f>IFERROR(__xludf.DUMMYFUNCTION("""COMPUTED_VALUE"""),95.13412694803564)</f>
        <v>95.13412695</v>
      </c>
      <c r="AW287" s="32">
        <f>IFERROR(__xludf.DUMMYFUNCTION("""COMPUTED_VALUE"""),28.1620441239616)</f>
        <v>28.16204412</v>
      </c>
      <c r="AX287" s="32">
        <f>IFERROR(__xludf.DUMMYFUNCTION("""COMPUTED_VALUE"""),88.30541700429434)</f>
        <v>88.305417</v>
      </c>
      <c r="AY287" s="32">
        <f>IFERROR(__xludf.DUMMYFUNCTION("""COMPUTED_VALUE"""),15.940195736805995)</f>
        <v>15.94019574</v>
      </c>
      <c r="AZ287" s="30">
        <f>IFERROR(__xludf.DUMMYFUNCTION("""COMPUTED_VALUE"""),12.221848387155605)</f>
        <v>12.22184839</v>
      </c>
      <c r="BA287" s="30">
        <f>IFERROR(__xludf.DUMMYFUNCTION("""COMPUTED_VALUE"""),1200.0)</f>
        <v>1200</v>
      </c>
    </row>
    <row r="288">
      <c r="A288" s="71" t="str">
        <f>IFERROR(__xludf.DUMMYFUNCTION("""COMPUTED_VALUE"""),"Veteran")</f>
        <v>Veteran</v>
      </c>
      <c r="B288" s="71" t="str">
        <f>IFERROR(__xludf.DUMMYFUNCTION("""COMPUTED_VALUE"""),"RSC005555")</f>
        <v>RSC005555</v>
      </c>
      <c r="C288" s="30" t="str">
        <f>IFERROR(__xludf.DUMMYFUNCTION("""COMPUTED_VALUE"""),"iviGhost")</f>
        <v>iviGhost</v>
      </c>
      <c r="D288" s="30"/>
      <c r="E288" s="30">
        <f>IFERROR(__xludf.DUMMYFUNCTION("""COMPUTED_VALUE"""),4.0)</f>
        <v>4</v>
      </c>
      <c r="F288" s="30">
        <f>IFERROR(__xludf.DUMMYFUNCTION("""COMPUTED_VALUE"""),1.0)</f>
        <v>1</v>
      </c>
      <c r="G288" s="42">
        <f>IFERROR(__xludf.DUMMYFUNCTION("""COMPUTED_VALUE"""),3.0)</f>
        <v>3</v>
      </c>
      <c r="H288" s="42">
        <f>IFERROR(__xludf.DUMMYFUNCTION("""COMPUTED_VALUE"""),0.25)</f>
        <v>0.25</v>
      </c>
      <c r="I288" s="42">
        <f>IFERROR(__xludf.DUMMYFUNCTION("""COMPUTED_VALUE"""),0.5)</f>
        <v>0.5</v>
      </c>
      <c r="J288" s="30">
        <f>IFERROR(__xludf.DUMMYFUNCTION("""COMPUTED_VALUE"""),310.0)</f>
        <v>310</v>
      </c>
      <c r="K288" s="30">
        <f>IFERROR(__xludf.DUMMYFUNCTION("""COMPUTED_VALUE"""),0.75)</f>
        <v>0.75</v>
      </c>
      <c r="L288" s="30">
        <f>IFERROR(__xludf.DUMMYFUNCTION("""COMPUTED_VALUE"""),0.25)</f>
        <v>0.25</v>
      </c>
      <c r="M288" s="30">
        <f>IFERROR(__xludf.DUMMYFUNCTION("""COMPUTED_VALUE"""),1.5)</f>
        <v>1.5</v>
      </c>
      <c r="N288" s="30">
        <f>IFERROR(__xludf.DUMMYFUNCTION("""COMPUTED_VALUE"""),1.5)</f>
        <v>1.5</v>
      </c>
      <c r="O288" s="30">
        <f>IFERROR(__xludf.DUMMYFUNCTION("""COMPUTED_VALUE"""),387.0833333333333)</f>
        <v>387.0833333</v>
      </c>
      <c r="P288" s="30">
        <f>IFERROR(__xludf.DUMMYFUNCTION("""COMPUTED_VALUE"""),0.8333333333333334)</f>
        <v>0.8333333333</v>
      </c>
      <c r="Q288" s="30">
        <f>IFERROR(__xludf.DUMMYFUNCTION("""COMPUTED_VALUE"""),0.75)</f>
        <v>0.75</v>
      </c>
      <c r="R288" s="30">
        <f>IFERROR(__xludf.DUMMYFUNCTION("""COMPUTED_VALUE"""),1.5833333333333333)</f>
        <v>1.583333333</v>
      </c>
      <c r="S288" s="30">
        <f>IFERROR(__xludf.DUMMYFUNCTION("""COMPUTED_VALUE"""),2.9166666666666665)</f>
        <v>2.916666667</v>
      </c>
      <c r="T288" s="30">
        <f>IFERROR(__xludf.DUMMYFUNCTION("""COMPUTED_VALUE"""),343.2638486312399)</f>
        <v>343.2638486</v>
      </c>
      <c r="U288" s="30">
        <f>IFERROR(__xludf.DUMMYFUNCTION("""COMPUTED_VALUE"""),0.7524154589371981)</f>
        <v>0.7524154589</v>
      </c>
      <c r="V288" s="30">
        <f>IFERROR(__xludf.DUMMYFUNCTION("""COMPUTED_VALUE"""),0.6569243156199677)</f>
        <v>0.6569243156</v>
      </c>
      <c r="W288" s="30">
        <f>IFERROR(__xludf.DUMMYFUNCTION("""COMPUTED_VALUE"""),1.1506441223832529)</f>
        <v>1.150644122</v>
      </c>
      <c r="X288" s="30">
        <f>IFERROR(__xludf.DUMMYFUNCTION("""COMPUTED_VALUE"""),2.5709339774557165)</f>
        <v>2.570933977</v>
      </c>
      <c r="Y288" s="30">
        <f>IFERROR(__xludf.DUMMYFUNCTION("""COMPUTED_VALUE"""),329.6066827697262)</f>
        <v>329.6066828</v>
      </c>
      <c r="Z288" s="30">
        <f>IFERROR(__xludf.DUMMYFUNCTION("""COMPUTED_VALUE"""),0.638593666129898)</f>
        <v>0.6385936661</v>
      </c>
      <c r="AA288" s="30">
        <f>IFERROR(__xludf.DUMMYFUNCTION("""COMPUTED_VALUE"""),0.45654857756307027)</f>
        <v>0.4565485776</v>
      </c>
      <c r="AB288" s="30">
        <f>IFERROR(__xludf.DUMMYFUNCTION("""COMPUTED_VALUE"""),1.3554482018250134)</f>
        <v>1.355448202</v>
      </c>
      <c r="AC288" s="30">
        <f>IFERROR(__xludf.DUMMYFUNCTION("""COMPUTED_VALUE"""),2.453462157809984)</f>
        <v>2.453462158</v>
      </c>
      <c r="AD288" s="30">
        <f>IFERROR(__xludf.DUMMYFUNCTION("""COMPUTED_VALUE"""),0.940514911272524)</f>
        <v>0.9405149113</v>
      </c>
      <c r="AE288" s="30">
        <f>IFERROR(__xludf.DUMMYFUNCTION("""COMPUTED_VALUE"""),1.174455745145835)</f>
        <v>1.174455745</v>
      </c>
      <c r="AF288" s="30">
        <f>IFERROR(__xludf.DUMMYFUNCTION("""COMPUTED_VALUE"""),0.5475868555640468)</f>
        <v>0.5475868556</v>
      </c>
      <c r="AG288" s="30">
        <f>IFERROR(__xludf.DUMMYFUNCTION("""COMPUTED_VALUE"""),1.106645018216379)</f>
        <v>1.106645018</v>
      </c>
      <c r="AH288" s="30">
        <f>IFERROR(__xludf.DUMMYFUNCTION("""COMPUTED_VALUE"""),0.6113809398792335)</f>
        <v>0.6113809399</v>
      </c>
      <c r="AI288" s="30">
        <f>IFERROR(__xludf.DUMMYFUNCTION("""COMPUTED_VALUE"""),1.1276554023292082)</f>
        <v>1.127655402</v>
      </c>
      <c r="AJ288" s="30">
        <f>IFERROR(__xludf.DUMMYFUNCTION("""COMPUTED_VALUE"""),1.1075441412520064)</f>
        <v>1.107544141</v>
      </c>
      <c r="AK288" s="30">
        <f>IFERROR(__xludf.DUMMYFUNCTION("""COMPUTED_VALUE"""),1.141684029905626)</f>
        <v>1.14168403</v>
      </c>
      <c r="AL288" s="30">
        <f>IFERROR(__xludf.DUMMYFUNCTION("""COMPUTED_VALUE"""),1.3760408648799942)</f>
        <v>1.376040865</v>
      </c>
      <c r="AM288" s="30">
        <f>IFERROR(__xludf.DUMMYFUNCTION("""COMPUTED_VALUE"""),1.1344774670383013)</f>
        <v>1.134477467</v>
      </c>
      <c r="AN288" s="30">
        <f>IFERROR(__xludf.DUMMYFUNCTION("""COMPUTED_VALUE"""),0.8967237728364149)</f>
        <v>0.8967237728</v>
      </c>
      <c r="AO288" s="30">
        <f>IFERROR(__xludf.DUMMYFUNCTION("""COMPUTED_VALUE"""),0.992637331009119)</f>
        <v>0.992637331</v>
      </c>
      <c r="AP288" s="30">
        <f>IFERROR(__xludf.DUMMYFUNCTION("""COMPUTED_VALUE"""),0.44975549503497325)</f>
        <v>0.449755495</v>
      </c>
      <c r="AQ288" s="30">
        <f>IFERROR(__xludf.DUMMYFUNCTION("""COMPUTED_VALUE"""),1.1086713868053664)</f>
        <v>1.108671387</v>
      </c>
      <c r="AR288" s="30">
        <f>IFERROR(__xludf.DUMMYFUNCTION("""COMPUTED_VALUE"""),0.5883476702203163)</f>
        <v>0.5883476702</v>
      </c>
      <c r="AS288" s="30">
        <f>IFERROR(__xludf.DUMMYFUNCTION("""COMPUTED_VALUE"""),7.0)</f>
        <v>7</v>
      </c>
      <c r="AT288" s="30">
        <f>IFERROR(__xludf.DUMMYFUNCTION("""COMPUTED_VALUE"""),0.3681220636841087)</f>
        <v>0.3681220637</v>
      </c>
      <c r="AU288" s="30">
        <f>IFERROR(__xludf.DUMMYFUNCTION("""COMPUTED_VALUE"""),1.135672053566381)</f>
        <v>1.135672054</v>
      </c>
      <c r="AV288" s="32">
        <f>IFERROR(__xludf.DUMMYFUNCTION("""COMPUTED_VALUE"""),25.816648353940753)</f>
        <v>25.81664835</v>
      </c>
      <c r="AW288" s="32">
        <f>IFERROR(__xludf.DUMMYFUNCTION("""COMPUTED_VALUE"""),-5.999213037125488)</f>
        <v>-5.999213037</v>
      </c>
      <c r="AX288" s="32">
        <f>IFERROR(__xludf.DUMMYFUNCTION("""COMPUTED_VALUE"""),10.532281216245877)</f>
        <v>10.53228122</v>
      </c>
      <c r="AY288" s="32">
        <f>IFERROR(__xludf.DUMMYFUNCTION("""COMPUTED_VALUE"""),-17.482077896282494)</f>
        <v>-17.4820779</v>
      </c>
      <c r="AZ288" s="30">
        <f>IFERROR(__xludf.DUMMYFUNCTION("""COMPUTED_VALUE"""),11.482864859157006)</f>
        <v>11.48286486</v>
      </c>
      <c r="BA288" s="30">
        <f>IFERROR(__xludf.DUMMYFUNCTION("""COMPUTED_VALUE"""),1200.0)</f>
        <v>1200</v>
      </c>
    </row>
    <row r="289">
      <c r="A289" s="71" t="str">
        <f>IFERROR(__xludf.DUMMYFUNCTION("""COMPUTED_VALUE"""),"Veteran")</f>
        <v>Veteran</v>
      </c>
      <c r="B289" s="71" t="str">
        <f>IFERROR(__xludf.DUMMYFUNCTION("""COMPUTED_VALUE"""),"RSC006860")</f>
        <v>RSC006860</v>
      </c>
      <c r="C289" s="30" t="str">
        <f>IFERROR(__xludf.DUMMYFUNCTION("""COMPUTED_VALUE"""),"RyAndGav")</f>
        <v>RyAndGav</v>
      </c>
      <c r="D289" s="30" t="str">
        <f>IFERROR(__xludf.DUMMYFUNCTION("""COMPUTED_VALUE"""),"Water")</f>
        <v>Water</v>
      </c>
      <c r="E289" s="30">
        <f>IFERROR(__xludf.DUMMYFUNCTION("""COMPUTED_VALUE"""),15.0)</f>
        <v>15</v>
      </c>
      <c r="F289" s="30">
        <f>IFERROR(__xludf.DUMMYFUNCTION("""COMPUTED_VALUE"""),9.0)</f>
        <v>9</v>
      </c>
      <c r="G289" s="42">
        <f>IFERROR(__xludf.DUMMYFUNCTION("""COMPUTED_VALUE"""),6.0)</f>
        <v>6</v>
      </c>
      <c r="H289" s="42">
        <f>IFERROR(__xludf.DUMMYFUNCTION("""COMPUTED_VALUE"""),0.6)</f>
        <v>0.6</v>
      </c>
      <c r="I289" s="42">
        <f>IFERROR(__xludf.DUMMYFUNCTION("""COMPUTED_VALUE"""),0.42857142857142855)</f>
        <v>0.4285714286</v>
      </c>
      <c r="J289" s="30">
        <f>IFERROR(__xludf.DUMMYFUNCTION("""COMPUTED_VALUE"""),402.06666666666666)</f>
        <v>402.0666667</v>
      </c>
      <c r="K289" s="30">
        <f>IFERROR(__xludf.DUMMYFUNCTION("""COMPUTED_VALUE"""),1.0)</f>
        <v>1</v>
      </c>
      <c r="L289" s="30">
        <f>IFERROR(__xludf.DUMMYFUNCTION("""COMPUTED_VALUE"""),0.9333333333333333)</f>
        <v>0.9333333333</v>
      </c>
      <c r="M289" s="30">
        <f>IFERROR(__xludf.DUMMYFUNCTION("""COMPUTED_VALUE"""),1.4)</f>
        <v>1.4</v>
      </c>
      <c r="N289" s="30">
        <f>IFERROR(__xludf.DUMMYFUNCTION("""COMPUTED_VALUE"""),2.3333333333333335)</f>
        <v>2.333333333</v>
      </c>
      <c r="O289" s="30">
        <f>IFERROR(__xludf.DUMMYFUNCTION("""COMPUTED_VALUE"""),307.0444444444444)</f>
        <v>307.0444444</v>
      </c>
      <c r="P289" s="30">
        <f>IFERROR(__xludf.DUMMYFUNCTION("""COMPUTED_VALUE"""),0.6222222222222221)</f>
        <v>0.6222222222</v>
      </c>
      <c r="Q289" s="30">
        <f>IFERROR(__xludf.DUMMYFUNCTION("""COMPUTED_VALUE"""),0.3777777777777779)</f>
        <v>0.3777777778</v>
      </c>
      <c r="R289" s="30">
        <f>IFERROR(__xludf.DUMMYFUNCTION("""COMPUTED_VALUE"""),1.1111111111111112)</f>
        <v>1.111111111</v>
      </c>
      <c r="S289" s="30">
        <f>IFERROR(__xludf.DUMMYFUNCTION("""COMPUTED_VALUE"""),2.111111111111111)</f>
        <v>2.111111111</v>
      </c>
      <c r="T289" s="30">
        <f>IFERROR(__xludf.DUMMYFUNCTION("""COMPUTED_VALUE"""),352.34299942627837)</f>
        <v>352.3429994</v>
      </c>
      <c r="U289" s="30">
        <f>IFERROR(__xludf.DUMMYFUNCTION("""COMPUTED_VALUE"""),0.8122547994424539)</f>
        <v>0.8122547994</v>
      </c>
      <c r="V289" s="30">
        <f>IFERROR(__xludf.DUMMYFUNCTION("""COMPUTED_VALUE"""),0.5469890755319623)</f>
        <v>0.5469890755</v>
      </c>
      <c r="W289" s="30">
        <f>IFERROR(__xludf.DUMMYFUNCTION("""COMPUTED_VALUE"""),1.3169866396092387)</f>
        <v>1.31698664</v>
      </c>
      <c r="X289" s="30">
        <f>IFERROR(__xludf.DUMMYFUNCTION("""COMPUTED_VALUE"""),2.646484192636923)</f>
        <v>2.646484193</v>
      </c>
      <c r="Y289" s="30">
        <f>IFERROR(__xludf.DUMMYFUNCTION("""COMPUTED_VALUE"""),357.4525442932469)</f>
        <v>357.4525443</v>
      </c>
      <c r="Z289" s="30">
        <f>IFERROR(__xludf.DUMMYFUNCTION("""COMPUTED_VALUE"""),0.7934492036662204)</f>
        <v>0.7934492037</v>
      </c>
      <c r="AA289" s="30">
        <f>IFERROR(__xludf.DUMMYFUNCTION("""COMPUTED_VALUE"""),0.5986150895615835)</f>
        <v>0.5986150896</v>
      </c>
      <c r="AB289" s="30">
        <f>IFERROR(__xludf.DUMMYFUNCTION("""COMPUTED_VALUE"""),1.3741462457737408)</f>
        <v>1.374146246</v>
      </c>
      <c r="AC289" s="30">
        <f>IFERROR(__xludf.DUMMYFUNCTION("""COMPUTED_VALUE"""),2.616669296839743)</f>
        <v>2.616669297</v>
      </c>
      <c r="AD289" s="30">
        <f>IFERROR(__xludf.DUMMYFUNCTION("""COMPUTED_VALUE"""),1.1248113157555797)</f>
        <v>1.124811316</v>
      </c>
      <c r="AE289" s="30">
        <f>IFERROR(__xludf.DUMMYFUNCTION("""COMPUTED_VALUE"""),1.260320125572486)</f>
        <v>1.260320126</v>
      </c>
      <c r="AF289" s="30">
        <f>IFERROR(__xludf.DUMMYFUNCTION("""COMPUTED_VALUE"""),1.5591543708276587)</f>
        <v>1.559154371</v>
      </c>
      <c r="AG289" s="30">
        <f>IFERROR(__xludf.DUMMYFUNCTION("""COMPUTED_VALUE"""),1.0188144124439256)</f>
        <v>1.018814412</v>
      </c>
      <c r="AH289" s="30">
        <f>IFERROR(__xludf.DUMMYFUNCTION("""COMPUTED_VALUE"""),0.8917188489013091)</f>
        <v>0.8917188489</v>
      </c>
      <c r="AI289" s="30">
        <f>IFERROR(__xludf.DUMMYFUNCTION("""COMPUTED_VALUE"""),0.8714361997951037)</f>
        <v>0.8714361998</v>
      </c>
      <c r="AJ289" s="30">
        <f>IFERROR(__xludf.DUMMYFUNCTION("""COMPUTED_VALUE"""),0.766043146373929)</f>
        <v>0.7660431464</v>
      </c>
      <c r="AK289" s="30">
        <f>IFERROR(__xludf.DUMMYFUNCTION("""COMPUTED_VALUE"""),0.6906495845650634)</f>
        <v>0.6906495846</v>
      </c>
      <c r="AL289" s="30">
        <f>IFERROR(__xludf.DUMMYFUNCTION("""COMPUTED_VALUE"""),0.8436768283699426)</f>
        <v>0.8436768284</v>
      </c>
      <c r="AM289" s="30">
        <f>IFERROR(__xludf.DUMMYFUNCTION("""COMPUTED_VALUE"""),0.7977040320076981)</f>
        <v>0.797704032</v>
      </c>
      <c r="AN289" s="30">
        <f>IFERROR(__xludf.DUMMYFUNCTION("""COMPUTED_VALUE"""),1.1630410911777243)</f>
        <v>1.163041091</v>
      </c>
      <c r="AO289" s="30">
        <f>IFERROR(__xludf.DUMMYFUNCTION("""COMPUTED_VALUE"""),1.3235164413454918)</f>
        <v>1.323516441</v>
      </c>
      <c r="AP289" s="30">
        <f>IFERROR(__xludf.DUMMYFUNCTION("""COMPUTED_VALUE"""),1.6790871814639003)</f>
        <v>1.679087181</v>
      </c>
      <c r="AQ289" s="30">
        <f>IFERROR(__xludf.DUMMYFUNCTION("""COMPUTED_VALUE"""),1.0347599610183418)</f>
        <v>1.034759961</v>
      </c>
      <c r="AR289" s="30">
        <f>IFERROR(__xludf.DUMMYFUNCTION("""COMPUTED_VALUE"""),0.915207487009381)</f>
        <v>0.915207487</v>
      </c>
      <c r="AS289" s="30">
        <f>IFERROR(__xludf.DUMMYFUNCTION("""COMPUTED_VALUE"""),49.0)</f>
        <v>49</v>
      </c>
      <c r="AT289" s="30">
        <f>IFERROR(__xludf.DUMMYFUNCTION("""COMPUTED_VALUE"""),0.7099003657633652)</f>
        <v>0.7099003658</v>
      </c>
      <c r="AU289" s="30">
        <f>IFERROR(__xludf.DUMMYFUNCTION("""COMPUTED_VALUE"""),2.972948477915431)</f>
        <v>2.972948478</v>
      </c>
      <c r="AV289" s="32">
        <f>IFERROR(__xludf.DUMMYFUNCTION("""COMPUTED_VALUE"""),91.50312730119859)</f>
        <v>91.5031273</v>
      </c>
      <c r="AW289" s="32">
        <f>IFERROR(__xludf.DUMMYFUNCTION("""COMPUTED_VALUE"""),20.642116370620343)</f>
        <v>20.64211637</v>
      </c>
      <c r="AX289" s="32">
        <f>IFERROR(__xludf.DUMMYFUNCTION("""COMPUTED_VALUE"""),83.87617806674875)</f>
        <v>83.87617807</v>
      </c>
      <c r="AY289" s="32">
        <f>IFERROR(__xludf.DUMMYFUNCTION("""COMPUTED_VALUE"""),11.402343172399888)</f>
        <v>11.40234317</v>
      </c>
      <c r="AZ289" s="30">
        <f>IFERROR(__xludf.DUMMYFUNCTION("""COMPUTED_VALUE"""),9.239773198220455)</f>
        <v>9.239773198</v>
      </c>
      <c r="BA289" s="30">
        <f>IFERROR(__xludf.DUMMYFUNCTION("""COMPUTED_VALUE"""),1200.0)</f>
        <v>1200</v>
      </c>
    </row>
    <row r="290">
      <c r="A290" s="71" t="str">
        <f>IFERROR(__xludf.DUMMYFUNCTION("""COMPUTED_VALUE"""),"Veteran")</f>
        <v>Veteran</v>
      </c>
      <c r="B290" s="71" t="str">
        <f>IFERROR(__xludf.DUMMYFUNCTION("""COMPUTED_VALUE"""),"RSC006417")</f>
        <v>RSC006417</v>
      </c>
      <c r="C290" s="30" t="str">
        <f>IFERROR(__xludf.DUMMYFUNCTION("""COMPUTED_VALUE"""),"TangentOgive")</f>
        <v>TangentOgive</v>
      </c>
      <c r="D290" s="30" t="str">
        <f>IFERROR(__xludf.DUMMYFUNCTION("""COMPUTED_VALUE"""),"Cannoli")</f>
        <v>Cannoli</v>
      </c>
      <c r="E290" s="30">
        <f>IFERROR(__xludf.DUMMYFUNCTION("""COMPUTED_VALUE"""),48.0)</f>
        <v>48</v>
      </c>
      <c r="F290" s="30">
        <f>IFERROR(__xludf.DUMMYFUNCTION("""COMPUTED_VALUE"""),28.0)</f>
        <v>28</v>
      </c>
      <c r="G290" s="42">
        <f>IFERROR(__xludf.DUMMYFUNCTION("""COMPUTED_VALUE"""),20.0)</f>
        <v>20</v>
      </c>
      <c r="H290" s="42">
        <f>IFERROR(__xludf.DUMMYFUNCTION("""COMPUTED_VALUE"""),0.5833333333333334)</f>
        <v>0.5833333333</v>
      </c>
      <c r="I290" s="42">
        <f>IFERROR(__xludf.DUMMYFUNCTION("""COMPUTED_VALUE"""),0.24550898203592814)</f>
        <v>0.245508982</v>
      </c>
      <c r="J290" s="30">
        <f>IFERROR(__xludf.DUMMYFUNCTION("""COMPUTED_VALUE"""),382.5208333333333)</f>
        <v>382.5208333</v>
      </c>
      <c r="K290" s="30">
        <f>IFERROR(__xludf.DUMMYFUNCTION("""COMPUTED_VALUE"""),0.8541666666666666)</f>
        <v>0.8541666667</v>
      </c>
      <c r="L290" s="30">
        <f>IFERROR(__xludf.DUMMYFUNCTION("""COMPUTED_VALUE"""),0.875)</f>
        <v>0.875</v>
      </c>
      <c r="M290" s="30">
        <f>IFERROR(__xludf.DUMMYFUNCTION("""COMPUTED_VALUE"""),1.1458333333333333)</f>
        <v>1.145833333</v>
      </c>
      <c r="N290" s="30">
        <f>IFERROR(__xludf.DUMMYFUNCTION("""COMPUTED_VALUE"""),3.4791666666666665)</f>
        <v>3.479166667</v>
      </c>
      <c r="O290" s="30">
        <f>IFERROR(__xludf.DUMMYFUNCTION("""COMPUTED_VALUE"""),349.9583333333333)</f>
        <v>349.9583333</v>
      </c>
      <c r="P290" s="30">
        <f>IFERROR(__xludf.DUMMYFUNCTION("""COMPUTED_VALUE"""),0.6805555555555557)</f>
        <v>0.6805555556</v>
      </c>
      <c r="Q290" s="30">
        <f>IFERROR(__xludf.DUMMYFUNCTION("""COMPUTED_VALUE"""),0.46527777777777773)</f>
        <v>0.4652777778</v>
      </c>
      <c r="R290" s="30">
        <f>IFERROR(__xludf.DUMMYFUNCTION("""COMPUTED_VALUE"""),1.6458333333333333)</f>
        <v>1.645833333</v>
      </c>
      <c r="S290" s="30">
        <f>IFERROR(__xludf.DUMMYFUNCTION("""COMPUTED_VALUE"""),2.3749999999999996)</f>
        <v>2.375</v>
      </c>
      <c r="T290" s="30">
        <f>IFERROR(__xludf.DUMMYFUNCTION("""COMPUTED_VALUE"""),358.6654856119631)</f>
        <v>358.6654856</v>
      </c>
      <c r="U290" s="30">
        <f>IFERROR(__xludf.DUMMYFUNCTION("""COMPUTED_VALUE"""),0.8138401327333603)</f>
        <v>0.8138401327</v>
      </c>
      <c r="V290" s="30">
        <f>IFERROR(__xludf.DUMMYFUNCTION("""COMPUTED_VALUE"""),0.5650521882812525)</f>
        <v>0.5650521883</v>
      </c>
      <c r="W290" s="30">
        <f>IFERROR(__xludf.DUMMYFUNCTION("""COMPUTED_VALUE"""),1.3790622736265201)</f>
        <v>1.379062274</v>
      </c>
      <c r="X290" s="30">
        <f>IFERROR(__xludf.DUMMYFUNCTION("""COMPUTED_VALUE"""),2.6400407309876557)</f>
        <v>2.640040731</v>
      </c>
      <c r="Y290" s="30">
        <f>IFERROR(__xludf.DUMMYFUNCTION("""COMPUTED_VALUE"""),355.11359166071423)</f>
        <v>355.1135917</v>
      </c>
      <c r="Z290" s="30">
        <f>IFERROR(__xludf.DUMMYFUNCTION("""COMPUTED_VALUE"""),0.8044951128460084)</f>
        <v>0.8044951128</v>
      </c>
      <c r="AA290" s="30">
        <f>IFERROR(__xludf.DUMMYFUNCTION("""COMPUTED_VALUE"""),0.5910675926744594)</f>
        <v>0.5910675927</v>
      </c>
      <c r="AB290" s="30">
        <f>IFERROR(__xludf.DUMMYFUNCTION("""COMPUTED_VALUE"""),1.303181440997749)</f>
        <v>1.303181441</v>
      </c>
      <c r="AC290" s="30">
        <f>IFERROR(__xludf.DUMMYFUNCTION("""COMPUTED_VALUE"""),2.68350293680216)</f>
        <v>2.683502937</v>
      </c>
      <c r="AD290" s="30">
        <f>IFERROR(__xludf.DUMMYFUNCTION("""COMPUTED_VALUE"""),1.0771788022656277)</f>
        <v>1.077178802</v>
      </c>
      <c r="AE290" s="30">
        <f>IFERROR(__xludf.DUMMYFUNCTION("""COMPUTED_VALUE"""),1.061742517794718)</f>
        <v>1.061742518</v>
      </c>
      <c r="AF290" s="30">
        <f>IFERROR(__xludf.DUMMYFUNCTION("""COMPUTED_VALUE"""),1.4803721449873521)</f>
        <v>1.480372145</v>
      </c>
      <c r="AG290" s="30">
        <f>IFERROR(__xludf.DUMMYFUNCTION("""COMPUTED_VALUE"""),0.8792584802742848)</f>
        <v>0.8792584803</v>
      </c>
      <c r="AH290" s="30">
        <f>IFERROR(__xludf.DUMMYFUNCTION("""COMPUTED_VALUE"""),1.2965019038930778)</f>
        <v>1.296501904</v>
      </c>
      <c r="AI290" s="30">
        <f>IFERROR(__xludf.DUMMYFUNCTION("""COMPUTED_VALUE"""),0.975723473186238)</f>
        <v>0.9757234732</v>
      </c>
      <c r="AJ290" s="30">
        <f>IFERROR(__xludf.DUMMYFUNCTION("""COMPUTED_VALUE"""),0.8362275687607644)</f>
        <v>0.8362275688</v>
      </c>
      <c r="AK290" s="30">
        <f>IFERROR(__xludf.DUMMYFUNCTION("""COMPUTED_VALUE"""),0.8234244330475676)</f>
        <v>0.823424433</v>
      </c>
      <c r="AL290" s="30">
        <f>IFERROR(__xludf.DUMMYFUNCTION("""COMPUTED_VALUE"""),1.1934438094701012)</f>
        <v>1.193443809</v>
      </c>
      <c r="AM290" s="30">
        <f>IFERROR(__xludf.DUMMYFUNCTION("""COMPUTED_VALUE"""),0.8996073326154697)</f>
        <v>0.8996073326</v>
      </c>
      <c r="AN290" s="30">
        <f>IFERROR(__xludf.DUMMYFUNCTION("""COMPUTED_VALUE"""),1.1065016930812777)</f>
        <v>1.106501693</v>
      </c>
      <c r="AO290" s="30">
        <f>IFERROR(__xludf.DUMMYFUNCTION("""COMPUTED_VALUE"""),1.1305036269826076)</f>
        <v>1.130503627</v>
      </c>
      <c r="AP290" s="30">
        <f>IFERROR(__xludf.DUMMYFUNCTION("""COMPUTED_VALUE"""),1.5741442326224064)</f>
        <v>1.574144233</v>
      </c>
      <c r="AQ290" s="30">
        <f>IFERROR(__xludf.DUMMYFUNCTION("""COMPUTED_VALUE"""),0.8469017538096548)</f>
        <v>0.8469017538</v>
      </c>
      <c r="AR290" s="30">
        <f>IFERROR(__xludf.DUMMYFUNCTION("""COMPUTED_VALUE"""),1.3646397350943447)</f>
        <v>1.364639735</v>
      </c>
      <c r="AS290" s="30">
        <f>IFERROR(__xludf.DUMMYFUNCTION("""COMPUTED_VALUE"""),134.0)</f>
        <v>134</v>
      </c>
      <c r="AT290" s="30">
        <f>IFERROR(__xludf.DUMMYFUNCTION("""COMPUTED_VALUE"""),0.6205190254304361)</f>
        <v>0.6205190254</v>
      </c>
      <c r="AU290" s="30">
        <f>IFERROR(__xludf.DUMMYFUNCTION("""COMPUTED_VALUE"""),2.815420841954655)</f>
        <v>2.815420842</v>
      </c>
      <c r="AV290" s="32">
        <f>IFERROR(__xludf.DUMMYFUNCTION("""COMPUTED_VALUE"""),85.87118449389081)</f>
        <v>85.87118449</v>
      </c>
      <c r="AW290" s="32">
        <f>IFERROR(__xludf.DUMMYFUNCTION("""COMPUTED_VALUE"""),13.21609833490972)</f>
        <v>13.21609833</v>
      </c>
      <c r="AX290" s="32">
        <f>IFERROR(__xludf.DUMMYFUNCTION("""COMPUTED_VALUE"""),70.38045667475767)</f>
        <v>70.38045667</v>
      </c>
      <c r="AY290" s="32">
        <f>IFERROR(__xludf.DUMMYFUNCTION("""COMPUTED_VALUE"""),4.81988820639417)</f>
        <v>4.819888206</v>
      </c>
      <c r="AZ290" s="30">
        <f>IFERROR(__xludf.DUMMYFUNCTION("""COMPUTED_VALUE"""),8.39621012851555)</f>
        <v>8.396210129</v>
      </c>
      <c r="BA290" s="30">
        <f>IFERROR(__xludf.DUMMYFUNCTION("""COMPUTED_VALUE"""),1200.0)</f>
        <v>1200</v>
      </c>
    </row>
    <row r="291">
      <c r="A291" s="71" t="str">
        <f>IFERROR(__xludf.DUMMYFUNCTION("""COMPUTED_VALUE"""),"Veteran")</f>
        <v>Veteran</v>
      </c>
      <c r="B291" s="71" t="str">
        <f>IFERROR(__xludf.DUMMYFUNCTION("""COMPUTED_VALUE"""),"RSC005682")</f>
        <v>RSC005682</v>
      </c>
      <c r="C291" s="30" t="str">
        <f>IFERROR(__xludf.DUMMYFUNCTION("""COMPUTED_VALUE"""),"S_ckz")</f>
        <v>S_ckz</v>
      </c>
      <c r="D291" s="30" t="str">
        <f>IFERROR(__xludf.DUMMYFUNCTION("""COMPUTED_VALUE"""),"Slots")</f>
        <v>Slots</v>
      </c>
      <c r="E291" s="30">
        <f>IFERROR(__xludf.DUMMYFUNCTION("""COMPUTED_VALUE"""),4.0)</f>
        <v>4</v>
      </c>
      <c r="F291" s="30">
        <f>IFERROR(__xludf.DUMMYFUNCTION("""COMPUTED_VALUE"""),2.0)</f>
        <v>2</v>
      </c>
      <c r="G291" s="42">
        <f>IFERROR(__xludf.DUMMYFUNCTION("""COMPUTED_VALUE"""),2.0)</f>
        <v>2</v>
      </c>
      <c r="H291" s="42">
        <f>IFERROR(__xludf.DUMMYFUNCTION("""COMPUTED_VALUE"""),0.5)</f>
        <v>0.5</v>
      </c>
      <c r="I291" s="42">
        <f>IFERROR(__xludf.DUMMYFUNCTION("""COMPUTED_VALUE"""),0.25)</f>
        <v>0.25</v>
      </c>
      <c r="J291" s="30">
        <f>IFERROR(__xludf.DUMMYFUNCTION("""COMPUTED_VALUE"""),365.75)</f>
        <v>365.75</v>
      </c>
      <c r="K291" s="30">
        <f>IFERROR(__xludf.DUMMYFUNCTION("""COMPUTED_VALUE"""),0.5)</f>
        <v>0.5</v>
      </c>
      <c r="L291" s="30">
        <f>IFERROR(__xludf.DUMMYFUNCTION("""COMPUTED_VALUE"""),0.25)</f>
        <v>0.25</v>
      </c>
      <c r="M291" s="30">
        <f>IFERROR(__xludf.DUMMYFUNCTION("""COMPUTED_VALUE"""),2.25)</f>
        <v>2.25</v>
      </c>
      <c r="N291" s="30">
        <f>IFERROR(__xludf.DUMMYFUNCTION("""COMPUTED_VALUE"""),2.0)</f>
        <v>2</v>
      </c>
      <c r="O291" s="30">
        <f>IFERROR(__xludf.DUMMYFUNCTION("""COMPUTED_VALUE"""),345.5833333333333)</f>
        <v>345.5833333</v>
      </c>
      <c r="P291" s="30">
        <f>IFERROR(__xludf.DUMMYFUNCTION("""COMPUTED_VALUE"""),1.0)</f>
        <v>1</v>
      </c>
      <c r="Q291" s="30">
        <f>IFERROR(__xludf.DUMMYFUNCTION("""COMPUTED_VALUE"""),0.75)</f>
        <v>0.75</v>
      </c>
      <c r="R291" s="30">
        <f>IFERROR(__xludf.DUMMYFUNCTION("""COMPUTED_VALUE"""),1.0833333333333333)</f>
        <v>1.083333333</v>
      </c>
      <c r="S291" s="30">
        <f>IFERROR(__xludf.DUMMYFUNCTION("""COMPUTED_VALUE"""),4.25)</f>
        <v>4.25</v>
      </c>
      <c r="T291" s="30">
        <f>IFERROR(__xludf.DUMMYFUNCTION("""COMPUTED_VALUE"""),369.4851199690402)</f>
        <v>369.48512</v>
      </c>
      <c r="U291" s="30">
        <f>IFERROR(__xludf.DUMMYFUNCTION("""COMPUTED_VALUE"""),0.855453431372549)</f>
        <v>0.8554534314</v>
      </c>
      <c r="V291" s="30">
        <f>IFERROR(__xludf.DUMMYFUNCTION("""COMPUTED_VALUE"""),0.5988325593395253)</f>
        <v>0.5988325593</v>
      </c>
      <c r="W291" s="30">
        <f>IFERROR(__xludf.DUMMYFUNCTION("""COMPUTED_VALUE"""),1.450377321981424)</f>
        <v>1.450377322</v>
      </c>
      <c r="X291" s="30">
        <f>IFERROR(__xludf.DUMMYFUNCTION("""COMPUTED_VALUE"""),2.8478360423116618)</f>
        <v>2.847836042</v>
      </c>
      <c r="Y291" s="30">
        <f>IFERROR(__xludf.DUMMYFUNCTION("""COMPUTED_VALUE"""),356.01212375301)</f>
        <v>356.0121238</v>
      </c>
      <c r="Z291" s="30">
        <f>IFERROR(__xludf.DUMMYFUNCTION("""COMPUTED_VALUE"""),0.798499312005504)</f>
        <v>0.798499312</v>
      </c>
      <c r="AA291" s="30">
        <f>IFERROR(__xludf.DUMMYFUNCTION("""COMPUTED_VALUE"""),0.5459171826625387)</f>
        <v>0.5459171827</v>
      </c>
      <c r="AB291" s="30">
        <f>IFERROR(__xludf.DUMMYFUNCTION("""COMPUTED_VALUE"""),1.469746517027864)</f>
        <v>1.469746517</v>
      </c>
      <c r="AC291" s="30">
        <f>IFERROR(__xludf.DUMMYFUNCTION("""COMPUTED_VALUE"""),2.6135846663226703)</f>
        <v>2.613584666</v>
      </c>
      <c r="AD291" s="30">
        <f>IFERROR(__xludf.DUMMYFUNCTION("""COMPUTED_VALUE"""),1.0273526534555488)</f>
        <v>1.027352653</v>
      </c>
      <c r="AE291" s="30">
        <f>IFERROR(__xludf.DUMMYFUNCTION("""COMPUTED_VALUE"""),0.6261746159106942)</f>
        <v>0.6261746159</v>
      </c>
      <c r="AF291" s="30">
        <f>IFERROR(__xludf.DUMMYFUNCTION("""COMPUTED_VALUE"""),0.45794491900896744)</f>
        <v>0.457944919</v>
      </c>
      <c r="AG291" s="30">
        <f>IFERROR(__xludf.DUMMYFUNCTION("""COMPUTED_VALUE"""),1.530876225207849)</f>
        <v>1.530876225</v>
      </c>
      <c r="AH291" s="30">
        <f>IFERROR(__xludf.DUMMYFUNCTION("""COMPUTED_VALUE"""),0.7652325274826518)</f>
        <v>0.7652325275</v>
      </c>
      <c r="AI291" s="30">
        <f>IFERROR(__xludf.DUMMYFUNCTION("""COMPUTED_VALUE"""),0.93531055692389)</f>
        <v>0.9353105569</v>
      </c>
      <c r="AJ291" s="30">
        <f>IFERROR(__xludf.DUMMYFUNCTION("""COMPUTED_VALUE"""),1.1689707041042905)</f>
        <v>1.168970704</v>
      </c>
      <c r="AK291" s="30">
        <f>IFERROR(__xludf.DUMMYFUNCTION("""COMPUTED_VALUE"""),1.2524369096216192)</f>
        <v>1.25243691</v>
      </c>
      <c r="AL291" s="30">
        <f>IFERROR(__xludf.DUMMYFUNCTION("""COMPUTED_VALUE"""),0.7469320685829148)</f>
        <v>0.7469320686</v>
      </c>
      <c r="AM291" s="30">
        <f>IFERROR(__xludf.DUMMYFUNCTION("""COMPUTED_VALUE"""),1.4923611952569311)</f>
        <v>1.492361195</v>
      </c>
      <c r="AN291" s="30">
        <f>IFERROR(__xludf.DUMMYFUNCTION("""COMPUTED_VALUE"""),1.057989419080383)</f>
        <v>1.057989419</v>
      </c>
      <c r="AO291" s="30">
        <f>IFERROR(__xludf.DUMMYFUNCTION("""COMPUTED_VALUE"""),0.6617582206727459)</f>
        <v>0.6617582207</v>
      </c>
      <c r="AP291" s="30">
        <f>IFERROR(__xludf.DUMMYFUNCTION("""COMPUTED_VALUE"""),0.44975549503497325)</f>
        <v>0.449755495</v>
      </c>
      <c r="AQ291" s="30">
        <f>IFERROR(__xludf.DUMMYFUNCTION("""COMPUTED_VALUE"""),1.6630070802080494)</f>
        <v>1.66300708</v>
      </c>
      <c r="AR291" s="30">
        <f>IFERROR(__xludf.DUMMYFUNCTION("""COMPUTED_VALUE"""),0.7844635602937551)</f>
        <v>0.7844635603</v>
      </c>
      <c r="AS291" s="30">
        <f>IFERROR(__xludf.DUMMYFUNCTION("""COMPUTED_VALUE"""),10.0)</f>
        <v>10</v>
      </c>
      <c r="AT291" s="30">
        <f>IFERROR(__xludf.DUMMYFUNCTION("""COMPUTED_VALUE"""),0.42619635446806875)</f>
        <v>0.4261963545</v>
      </c>
      <c r="AU291" s="30">
        <f>IFERROR(__xludf.DUMMYFUNCTION("""COMPUTED_VALUE"""),0.8067618667455538)</f>
        <v>0.8067618667</v>
      </c>
      <c r="AV291" s="32">
        <f>IFERROR(__xludf.DUMMYFUNCTION("""COMPUTED_VALUE"""),14.057420523104376)</f>
        <v>14.05742052</v>
      </c>
      <c r="AW291" s="32">
        <f>IFERROR(__xludf.DUMMYFUNCTION("""COMPUTED_VALUE"""),-13.287421685529035)</f>
        <v>-13.28742169</v>
      </c>
      <c r="AX291" s="32">
        <f>IFERROR(__xludf.DUMMYFUNCTION("""COMPUTED_VALUE"""),8.135238576704452)</f>
        <v>8.135238577</v>
      </c>
      <c r="AY291" s="32">
        <f>IFERROR(__xludf.DUMMYFUNCTION("""COMPUTED_VALUE"""),-21.27328866880998)</f>
        <v>-21.27328867</v>
      </c>
      <c r="AZ291" s="30">
        <f>IFERROR(__xludf.DUMMYFUNCTION("""COMPUTED_VALUE"""),7.985866983280944)</f>
        <v>7.985866983</v>
      </c>
      <c r="BA291" s="30">
        <f>IFERROR(__xludf.DUMMYFUNCTION("""COMPUTED_VALUE"""),1200.0)</f>
        <v>1200</v>
      </c>
    </row>
    <row r="292">
      <c r="A292" s="71" t="str">
        <f>IFERROR(__xludf.DUMMYFUNCTION("""COMPUTED_VALUE"""),"Veteran")</f>
        <v>Veteran</v>
      </c>
      <c r="B292" s="71" t="str">
        <f>IFERROR(__xludf.DUMMYFUNCTION("""COMPUTED_VALUE"""),"RSC007855")</f>
        <v>RSC007855</v>
      </c>
      <c r="C292" s="30" t="str">
        <f>IFERROR(__xludf.DUMMYFUNCTION("""COMPUTED_VALUE"""),"Dub_Dill")</f>
        <v>Dub_Dill</v>
      </c>
      <c r="D292" s="30" t="str">
        <f>IFERROR(__xludf.DUMMYFUNCTION("""COMPUTED_VALUE"""),"Legati")</f>
        <v>Legati</v>
      </c>
      <c r="E292" s="30">
        <f>IFERROR(__xludf.DUMMYFUNCTION("""COMPUTED_VALUE"""),28.0)</f>
        <v>28</v>
      </c>
      <c r="F292" s="30">
        <f>IFERROR(__xludf.DUMMYFUNCTION("""COMPUTED_VALUE"""),20.0)</f>
        <v>20</v>
      </c>
      <c r="G292" s="42">
        <f>IFERROR(__xludf.DUMMYFUNCTION("""COMPUTED_VALUE"""),8.0)</f>
        <v>8</v>
      </c>
      <c r="H292" s="42">
        <f>IFERROR(__xludf.DUMMYFUNCTION("""COMPUTED_VALUE"""),0.7142857142857143)</f>
        <v>0.7142857143</v>
      </c>
      <c r="I292" s="42">
        <f>IFERROR(__xludf.DUMMYFUNCTION("""COMPUTED_VALUE"""),0.3116883116883117)</f>
        <v>0.3116883117</v>
      </c>
      <c r="J292" s="30">
        <f>IFERROR(__xludf.DUMMYFUNCTION("""COMPUTED_VALUE"""),346.57142857142856)</f>
        <v>346.5714286</v>
      </c>
      <c r="K292" s="30">
        <f>IFERROR(__xludf.DUMMYFUNCTION("""COMPUTED_VALUE"""),0.8571428571428571)</f>
        <v>0.8571428571</v>
      </c>
      <c r="L292" s="30">
        <f>IFERROR(__xludf.DUMMYFUNCTION("""COMPUTED_VALUE"""),0.9285714285714286)</f>
        <v>0.9285714286</v>
      </c>
      <c r="M292" s="30">
        <f>IFERROR(__xludf.DUMMYFUNCTION("""COMPUTED_VALUE"""),0.9285714285714286)</f>
        <v>0.9285714286</v>
      </c>
      <c r="N292" s="30">
        <f>IFERROR(__xludf.DUMMYFUNCTION("""COMPUTED_VALUE"""),2.75)</f>
        <v>2.75</v>
      </c>
      <c r="O292" s="30">
        <f>IFERROR(__xludf.DUMMYFUNCTION("""COMPUTED_VALUE"""),352.5476190476191)</f>
        <v>352.547619</v>
      </c>
      <c r="P292" s="30">
        <f>IFERROR(__xludf.DUMMYFUNCTION("""COMPUTED_VALUE"""),0.7857142857142858)</f>
        <v>0.7857142857</v>
      </c>
      <c r="Q292" s="30">
        <f>IFERROR(__xludf.DUMMYFUNCTION("""COMPUTED_VALUE"""),0.5476190476190477)</f>
        <v>0.5476190476</v>
      </c>
      <c r="R292" s="30">
        <f>IFERROR(__xludf.DUMMYFUNCTION("""COMPUTED_VALUE"""),1.4285714285714286)</f>
        <v>1.428571429</v>
      </c>
      <c r="S292" s="30">
        <f>IFERROR(__xludf.DUMMYFUNCTION("""COMPUTED_VALUE"""),2.5714285714285703)</f>
        <v>2.571428571</v>
      </c>
      <c r="T292" s="30">
        <f>IFERROR(__xludf.DUMMYFUNCTION("""COMPUTED_VALUE"""),352.4278719136743)</f>
        <v>352.4278719</v>
      </c>
      <c r="U292" s="30">
        <f>IFERROR(__xludf.DUMMYFUNCTION("""COMPUTED_VALUE"""),0.7900730826423124)</f>
        <v>0.7900730826</v>
      </c>
      <c r="V292" s="30">
        <f>IFERROR(__xludf.DUMMYFUNCTION("""COMPUTED_VALUE"""),0.5926217364133216)</f>
        <v>0.5926217364</v>
      </c>
      <c r="W292" s="30">
        <f>IFERROR(__xludf.DUMMYFUNCTION("""COMPUTED_VALUE"""),1.3104743538302226)</f>
        <v>1.310474354</v>
      </c>
      <c r="X292" s="30">
        <f>IFERROR(__xludf.DUMMYFUNCTION("""COMPUTED_VALUE"""),2.6733259122844486)</f>
        <v>2.673325912</v>
      </c>
      <c r="Y292" s="30">
        <f>IFERROR(__xludf.DUMMYFUNCTION("""COMPUTED_VALUE"""),360.23821182041064)</f>
        <v>360.2382118</v>
      </c>
      <c r="Z292" s="30">
        <f>IFERROR(__xludf.DUMMYFUNCTION("""COMPUTED_VALUE"""),0.8026973644812319)</f>
        <v>0.8026973645</v>
      </c>
      <c r="AA292" s="30">
        <f>IFERROR(__xludf.DUMMYFUNCTION("""COMPUTED_VALUE"""),0.5925606141838957)</f>
        <v>0.5925606142</v>
      </c>
      <c r="AB292" s="30">
        <f>IFERROR(__xludf.DUMMYFUNCTION("""COMPUTED_VALUE"""),1.4136821120367842)</f>
        <v>1.413682112</v>
      </c>
      <c r="AC292" s="30">
        <f>IFERROR(__xludf.DUMMYFUNCTION("""COMPUTED_VALUE"""),2.6299239981100686)</f>
        <v>2.629923998</v>
      </c>
      <c r="AD292" s="30">
        <f>IFERROR(__xludf.DUMMYFUNCTION("""COMPUTED_VALUE"""),0.9620618168741205)</f>
        <v>0.9620618169</v>
      </c>
      <c r="AE292" s="30">
        <f>IFERROR(__xludf.DUMMYFUNCTION("""COMPUTED_VALUE"""),1.0678281692089675)</f>
        <v>1.067828169</v>
      </c>
      <c r="AF292" s="30">
        <f>IFERROR(__xludf.DUMMYFUNCTION("""COMPUTED_VALUE"""),1.5670488492562131)</f>
        <v>1.567048849</v>
      </c>
      <c r="AG292" s="30">
        <f>IFERROR(__xludf.DUMMYFUNCTION("""COMPUTED_VALUE"""),0.6568459915175521)</f>
        <v>0.6568459915</v>
      </c>
      <c r="AH292" s="30">
        <f>IFERROR(__xludf.DUMMYFUNCTION("""COMPUTED_VALUE"""),1.045657593898615)</f>
        <v>1.045657594</v>
      </c>
      <c r="AI292" s="30">
        <f>IFERROR(__xludf.DUMMYFUNCTION("""COMPUTED_VALUE"""),1.000339777706271)</f>
        <v>1.000339778</v>
      </c>
      <c r="AJ292" s="30">
        <f>IFERROR(__xludf.DUMMYFUNCTION("""COMPUTED_VALUE"""),0.9944830459057673)</f>
        <v>0.9944830459</v>
      </c>
      <c r="AK292" s="30">
        <f>IFERROR(__xludf.DUMMYFUNCTION("""COMPUTED_VALUE"""),0.9240616973203848)</f>
        <v>0.9240616973</v>
      </c>
      <c r="AL292" s="30">
        <f>IFERROR(__xludf.DUMMYFUNCTION("""COMPUTED_VALUE"""),1.090117806881176)</f>
        <v>1.090117807</v>
      </c>
      <c r="AM292" s="30">
        <f>IFERROR(__xludf.DUMMYFUNCTION("""COMPUTED_VALUE"""),0.9618836819006465)</f>
        <v>0.9618836819</v>
      </c>
      <c r="AN292" s="30">
        <f>IFERROR(__xludf.DUMMYFUNCTION("""COMPUTED_VALUE"""),1.0025123838254113)</f>
        <v>1.002512384</v>
      </c>
      <c r="AO292" s="30">
        <f>IFERROR(__xludf.DUMMYFUNCTION("""COMPUTED_VALUE"""),1.1344426640104215)</f>
        <v>1.134442664</v>
      </c>
      <c r="AP292" s="30">
        <f>IFERROR(__xludf.DUMMYFUNCTION("""COMPUTED_VALUE"""),1.6705204101299007)</f>
        <v>1.67052041</v>
      </c>
      <c r="AQ292" s="30">
        <f>IFERROR(__xludf.DUMMYFUNCTION("""COMPUTED_VALUE"""),0.6863203823080839)</f>
        <v>0.6863203823</v>
      </c>
      <c r="AR292" s="30">
        <f>IFERROR(__xludf.DUMMYFUNCTION("""COMPUTED_VALUE"""),1.0786373954039132)</f>
        <v>1.078637395</v>
      </c>
      <c r="AS292" s="30">
        <f>IFERROR(__xludf.DUMMYFUNCTION("""COMPUTED_VALUE"""),96.0)</f>
        <v>96</v>
      </c>
      <c r="AT292" s="30">
        <f>IFERROR(__xludf.DUMMYFUNCTION("""COMPUTED_VALUE"""),0.6502448063936591)</f>
        <v>0.6502448064</v>
      </c>
      <c r="AU292" s="30">
        <f>IFERROR(__xludf.DUMMYFUNCTION("""COMPUTED_VALUE"""),2.483177512814222)</f>
        <v>2.483177513</v>
      </c>
      <c r="AV292" s="32">
        <f>IFERROR(__xludf.DUMMYFUNCTION("""COMPUTED_VALUE"""),73.9927898463994)</f>
        <v>73.99278985</v>
      </c>
      <c r="AW292" s="32">
        <f>IFERROR(__xludf.DUMMYFUNCTION("""COMPUTED_VALUE"""),5.931191302329197)</f>
        <v>5.931191302</v>
      </c>
      <c r="AX292" s="32">
        <f>IFERROR(__xludf.DUMMYFUNCTION("""COMPUTED_VALUE"""),49.47652960974334)</f>
        <v>49.47652961</v>
      </c>
      <c r="AY292" s="32">
        <f>IFERROR(__xludf.DUMMYFUNCTION("""COMPUTED_VALUE"""),-2.033978706488515)</f>
        <v>-2.033978706</v>
      </c>
      <c r="AZ292" s="30">
        <f>IFERROR(__xludf.DUMMYFUNCTION("""COMPUTED_VALUE"""),7.965170008817712)</f>
        <v>7.965170009</v>
      </c>
      <c r="BA292" s="30">
        <f>IFERROR(__xludf.DUMMYFUNCTION("""COMPUTED_VALUE"""),1200.0)</f>
        <v>1200</v>
      </c>
    </row>
    <row r="293">
      <c r="A293" s="71" t="str">
        <f>IFERROR(__xludf.DUMMYFUNCTION("""COMPUTED_VALUE"""),"Veteran")</f>
        <v>Veteran</v>
      </c>
      <c r="B293" s="71" t="str">
        <f>IFERROR(__xludf.DUMMYFUNCTION("""COMPUTED_VALUE"""),"RSC007811")</f>
        <v>RSC007811</v>
      </c>
      <c r="C293" s="30" t="str">
        <f>IFERROR(__xludf.DUMMYFUNCTION("""COMPUTED_VALUE"""),"Gray")</f>
        <v>Gray</v>
      </c>
      <c r="D293" s="30" t="str">
        <f>IFERROR(__xludf.DUMMYFUNCTION("""COMPUTED_VALUE"""),"Gorillas")</f>
        <v>Gorillas</v>
      </c>
      <c r="E293" s="30">
        <f>IFERROR(__xludf.DUMMYFUNCTION("""COMPUTED_VALUE"""),48.0)</f>
        <v>48</v>
      </c>
      <c r="F293" s="30">
        <f>IFERROR(__xludf.DUMMYFUNCTION("""COMPUTED_VALUE"""),25.0)</f>
        <v>25</v>
      </c>
      <c r="G293" s="42">
        <f>IFERROR(__xludf.DUMMYFUNCTION("""COMPUTED_VALUE"""),23.0)</f>
        <v>23</v>
      </c>
      <c r="H293" s="42">
        <f>IFERROR(__xludf.DUMMYFUNCTION("""COMPUTED_VALUE"""),0.5208333333333334)</f>
        <v>0.5208333333</v>
      </c>
      <c r="I293" s="42">
        <f>IFERROR(__xludf.DUMMYFUNCTION("""COMPUTED_VALUE"""),0.3668639053254438)</f>
        <v>0.3668639053</v>
      </c>
      <c r="J293" s="30">
        <f>IFERROR(__xludf.DUMMYFUNCTION("""COMPUTED_VALUE"""),428.6458333333333)</f>
        <v>428.6458333</v>
      </c>
      <c r="K293" s="30">
        <f>IFERROR(__xludf.DUMMYFUNCTION("""COMPUTED_VALUE"""),1.2916666666666667)</f>
        <v>1.291666667</v>
      </c>
      <c r="L293" s="30">
        <f>IFERROR(__xludf.DUMMYFUNCTION("""COMPUTED_VALUE"""),0.4375)</f>
        <v>0.4375</v>
      </c>
      <c r="M293" s="30">
        <f>IFERROR(__xludf.DUMMYFUNCTION("""COMPUTED_VALUE"""),1.4375)</f>
        <v>1.4375</v>
      </c>
      <c r="N293" s="30">
        <f>IFERROR(__xludf.DUMMYFUNCTION("""COMPUTED_VALUE"""),3.5208333333333335)</f>
        <v>3.520833333</v>
      </c>
      <c r="O293" s="30">
        <f>IFERROR(__xludf.DUMMYFUNCTION("""COMPUTED_VALUE"""),348.2222222222222)</f>
        <v>348.2222222</v>
      </c>
      <c r="P293" s="30">
        <f>IFERROR(__xludf.DUMMYFUNCTION("""COMPUTED_VALUE"""),0.7638888888888892)</f>
        <v>0.7638888889</v>
      </c>
      <c r="Q293" s="30">
        <f>IFERROR(__xludf.DUMMYFUNCTION("""COMPUTED_VALUE"""),0.5347222222222223)</f>
        <v>0.5347222222</v>
      </c>
      <c r="R293" s="30">
        <f>IFERROR(__xludf.DUMMYFUNCTION("""COMPUTED_VALUE"""),1.4374999999999998)</f>
        <v>1.4375</v>
      </c>
      <c r="S293" s="30">
        <f>IFERROR(__xludf.DUMMYFUNCTION("""COMPUTED_VALUE"""),2.4444444444444446)</f>
        <v>2.444444444</v>
      </c>
      <c r="T293" s="30">
        <f>IFERROR(__xludf.DUMMYFUNCTION("""COMPUTED_VALUE"""),352.08397359989266)</f>
        <v>352.0839736</v>
      </c>
      <c r="U293" s="30">
        <f>IFERROR(__xludf.DUMMYFUNCTION("""COMPUTED_VALUE"""),0.7753080445982747)</f>
        <v>0.7753080446</v>
      </c>
      <c r="V293" s="30">
        <f>IFERROR(__xludf.DUMMYFUNCTION("""COMPUTED_VALUE"""),0.569631845881312)</f>
        <v>0.5696318459</v>
      </c>
      <c r="W293" s="30">
        <f>IFERROR(__xludf.DUMMYFUNCTION("""COMPUTED_VALUE"""),1.3555657442868407)</f>
        <v>1.355565744</v>
      </c>
      <c r="X293" s="30">
        <f>IFERROR(__xludf.DUMMYFUNCTION("""COMPUTED_VALUE"""),2.6651999717564814)</f>
        <v>2.665199972</v>
      </c>
      <c r="Y293" s="30">
        <f>IFERROR(__xludf.DUMMYFUNCTION("""COMPUTED_VALUE"""),363.03290202115244)</f>
        <v>363.032902</v>
      </c>
      <c r="Z293" s="30">
        <f>IFERROR(__xludf.DUMMYFUNCTION("""COMPUTED_VALUE"""),0.8156920149736814)</f>
        <v>0.815692015</v>
      </c>
      <c r="AA293" s="30">
        <f>IFERROR(__xludf.DUMMYFUNCTION("""COMPUTED_VALUE"""),0.613771778153689)</f>
        <v>0.6137717782</v>
      </c>
      <c r="AB293" s="30">
        <f>IFERROR(__xludf.DUMMYFUNCTION("""COMPUTED_VALUE"""),1.396098854679189)</f>
        <v>1.396098855</v>
      </c>
      <c r="AC293" s="30">
        <f>IFERROR(__xludf.DUMMYFUNCTION("""COMPUTED_VALUE"""),2.617702210573915)</f>
        <v>2.617702211</v>
      </c>
      <c r="AD293" s="30">
        <f>IFERROR(__xludf.DUMMYFUNCTION("""COMPUTED_VALUE"""),1.1807354951765718)</f>
        <v>1.180735495</v>
      </c>
      <c r="AE293" s="30">
        <f>IFERROR(__xludf.DUMMYFUNCTION("""COMPUTED_VALUE"""),1.5835225096672583)</f>
        <v>1.58352251</v>
      </c>
      <c r="AF293" s="30">
        <f>IFERROR(__xludf.DUMMYFUNCTION("""COMPUTED_VALUE"""),0.7128056642096855)</f>
        <v>0.7128056642</v>
      </c>
      <c r="AG293" s="30">
        <f>IFERROR(__xludf.DUMMYFUNCTION("""COMPUTED_VALUE"""),1.0296548809434591)</f>
        <v>1.029654881</v>
      </c>
      <c r="AH293" s="30">
        <f>IFERROR(__xludf.DUMMYFUNCTION("""COMPUTED_VALUE"""),1.3450091149066998)</f>
        <v>1.345009115</v>
      </c>
      <c r="AI293" s="30">
        <f>IFERROR(__xludf.DUMMYFUNCTION("""COMPUTED_VALUE"""),0.9890317320093105)</f>
        <v>0.989031732</v>
      </c>
      <c r="AJ293" s="30">
        <f>IFERROR(__xludf.DUMMYFUNCTION("""COMPUTED_VALUE"""),0.9852714597907953)</f>
        <v>0.9852714598</v>
      </c>
      <c r="AK293" s="30">
        <f>IFERROR(__xludf.DUMMYFUNCTION("""COMPUTED_VALUE"""),0.9387154634848779)</f>
        <v>0.9387154635</v>
      </c>
      <c r="AL293" s="30">
        <f>IFERROR(__xludf.DUMMYFUNCTION("""COMPUTED_VALUE"""),1.0604428490897462)</f>
        <v>1.060442849</v>
      </c>
      <c r="AM293" s="30">
        <f>IFERROR(__xludf.DUMMYFUNCTION("""COMPUTED_VALUE"""),0.9171711204969925)</f>
        <v>0.9171711205</v>
      </c>
      <c r="AN293" s="30">
        <f>IFERROR(__xludf.DUMMYFUNCTION("""COMPUTED_VALUE"""),1.239925512507341)</f>
        <v>1.239925513</v>
      </c>
      <c r="AO293" s="30">
        <f>IFERROR(__xludf.DUMMYFUNCTION("""COMPUTED_VALUE"""),1.7095420700712605)</f>
        <v>1.70954207</v>
      </c>
      <c r="AP293" s="30">
        <f>IFERROR(__xludf.DUMMYFUNCTION("""COMPUTED_VALUE"""),0.7870721163112032)</f>
        <v>0.7870721163</v>
      </c>
      <c r="AQ293" s="30">
        <f>IFERROR(__xludf.DUMMYFUNCTION("""COMPUTED_VALUE"""),1.062476745688476)</f>
        <v>1.062476746</v>
      </c>
      <c r="AR293" s="30">
        <f>IFERROR(__xludf.DUMMYFUNCTION("""COMPUTED_VALUE"""),1.3809827259337981)</f>
        <v>1.380982726</v>
      </c>
      <c r="AS293" s="30">
        <f>IFERROR(__xludf.DUMMYFUNCTION("""COMPUTED_VALUE"""),130.0)</f>
        <v>130</v>
      </c>
      <c r="AT293" s="30">
        <f>IFERROR(__xludf.DUMMYFUNCTION("""COMPUTED_VALUE"""),0.5658973313578336)</f>
        <v>0.5658973314</v>
      </c>
      <c r="AU293" s="30">
        <f>IFERROR(__xludf.DUMMYFUNCTION("""COMPUTED_VALUE"""),2.8723062833287756)</f>
        <v>2.872306283</v>
      </c>
      <c r="AV293" s="32">
        <f>IFERROR(__xludf.DUMMYFUNCTION("""COMPUTED_VALUE"""),87.90495812626652)</f>
        <v>87.90495813</v>
      </c>
      <c r="AW293" s="32">
        <f>IFERROR(__xludf.DUMMYFUNCTION("""COMPUTED_VALUE"""),15.447688119949627)</f>
        <v>15.44768812</v>
      </c>
      <c r="AX293" s="32">
        <f>IFERROR(__xludf.DUMMYFUNCTION("""COMPUTED_VALUE"""),78.22689677215718)</f>
        <v>78.22689677</v>
      </c>
      <c r="AY293" s="32">
        <f>IFERROR(__xludf.DUMMYFUNCTION("""COMPUTED_VALUE"""),7.726010060140319)</f>
        <v>7.72601006</v>
      </c>
      <c r="AZ293" s="30">
        <f>IFERROR(__xludf.DUMMYFUNCTION("""COMPUTED_VALUE"""),7.7216780598093075)</f>
        <v>7.72167806</v>
      </c>
      <c r="BA293" s="30">
        <f>IFERROR(__xludf.DUMMYFUNCTION("""COMPUTED_VALUE"""),1200.0)</f>
        <v>1200</v>
      </c>
    </row>
    <row r="294">
      <c r="A294" s="71" t="str">
        <f>IFERROR(__xludf.DUMMYFUNCTION("""COMPUTED_VALUE"""),"Veteran")</f>
        <v>Veteran</v>
      </c>
      <c r="B294" s="71" t="str">
        <f>IFERROR(__xludf.DUMMYFUNCTION("""COMPUTED_VALUE"""),"RSC001074")</f>
        <v>RSC001074</v>
      </c>
      <c r="C294" s="30" t="str">
        <f>IFERROR(__xludf.DUMMYFUNCTION("""COMPUTED_VALUE"""),"Sabre")</f>
        <v>Sabre</v>
      </c>
      <c r="D294" s="30"/>
      <c r="E294" s="30">
        <f>IFERROR(__xludf.DUMMYFUNCTION("""COMPUTED_VALUE"""),4.0)</f>
        <v>4</v>
      </c>
      <c r="F294" s="30">
        <f>IFERROR(__xludf.DUMMYFUNCTION("""COMPUTED_VALUE"""),2.0)</f>
        <v>2</v>
      </c>
      <c r="G294" s="42">
        <f>IFERROR(__xludf.DUMMYFUNCTION("""COMPUTED_VALUE"""),2.0)</f>
        <v>2</v>
      </c>
      <c r="H294" s="42">
        <f>IFERROR(__xludf.DUMMYFUNCTION("""COMPUTED_VALUE"""),0.5)</f>
        <v>0.5</v>
      </c>
      <c r="I294" s="42">
        <f>IFERROR(__xludf.DUMMYFUNCTION("""COMPUTED_VALUE"""),0.5555555555555556)</f>
        <v>0.5555555556</v>
      </c>
      <c r="J294" s="30">
        <f>IFERROR(__xludf.DUMMYFUNCTION("""COMPUTED_VALUE"""),397.75)</f>
        <v>397.75</v>
      </c>
      <c r="K294" s="30">
        <f>IFERROR(__xludf.DUMMYFUNCTION("""COMPUTED_VALUE"""),1.25)</f>
        <v>1.25</v>
      </c>
      <c r="L294" s="30">
        <f>IFERROR(__xludf.DUMMYFUNCTION("""COMPUTED_VALUE"""),1.0)</f>
        <v>1</v>
      </c>
      <c r="M294" s="30">
        <f>IFERROR(__xludf.DUMMYFUNCTION("""COMPUTED_VALUE"""),1.75)</f>
        <v>1.75</v>
      </c>
      <c r="N294" s="30">
        <f>IFERROR(__xludf.DUMMYFUNCTION("""COMPUTED_VALUE"""),2.25)</f>
        <v>2.25</v>
      </c>
      <c r="O294" s="30">
        <f>IFERROR(__xludf.DUMMYFUNCTION("""COMPUTED_VALUE"""),381.41666666666663)</f>
        <v>381.4166667</v>
      </c>
      <c r="P294" s="30">
        <f>IFERROR(__xludf.DUMMYFUNCTION("""COMPUTED_VALUE"""),1.1666666666666665)</f>
        <v>1.166666667</v>
      </c>
      <c r="Q294" s="30">
        <f>IFERROR(__xludf.DUMMYFUNCTION("""COMPUTED_VALUE"""),0.5833333333333333)</f>
        <v>0.5833333333</v>
      </c>
      <c r="R294" s="30">
        <f>IFERROR(__xludf.DUMMYFUNCTION("""COMPUTED_VALUE"""),1.3333333333333333)</f>
        <v>1.333333333</v>
      </c>
      <c r="S294" s="30">
        <f>IFERROR(__xludf.DUMMYFUNCTION("""COMPUTED_VALUE"""),3.083333333333333)</f>
        <v>3.083333333</v>
      </c>
      <c r="T294" s="30">
        <f>IFERROR(__xludf.DUMMYFUNCTION("""COMPUTED_VALUE"""),347.82423797482124)</f>
        <v>347.824238</v>
      </c>
      <c r="U294" s="30">
        <f>IFERROR(__xludf.DUMMYFUNCTION("""COMPUTED_VALUE"""),0.7585447426380618)</f>
        <v>0.7585447426</v>
      </c>
      <c r="V294" s="30">
        <f>IFERROR(__xludf.DUMMYFUNCTION("""COMPUTED_VALUE"""),0.47294504717622426)</f>
        <v>0.4729450472</v>
      </c>
      <c r="W294" s="30">
        <f>IFERROR(__xludf.DUMMYFUNCTION("""COMPUTED_VALUE"""),1.3958724202626642)</f>
        <v>1.39587242</v>
      </c>
      <c r="X294" s="30">
        <f>IFERROR(__xludf.DUMMYFUNCTION("""COMPUTED_VALUE"""),2.7337058487641728)</f>
        <v>2.733705849</v>
      </c>
      <c r="Y294" s="30">
        <f>IFERROR(__xludf.DUMMYFUNCTION("""COMPUTED_VALUE"""),399.4286374636321)</f>
        <v>399.4286375</v>
      </c>
      <c r="Z294" s="30">
        <f>IFERROR(__xludf.DUMMYFUNCTION("""COMPUTED_VALUE"""),0.9993972682201737)</f>
        <v>0.9993972682</v>
      </c>
      <c r="AA294" s="30">
        <f>IFERROR(__xludf.DUMMYFUNCTION("""COMPUTED_VALUE"""),0.7033970506929149)</f>
        <v>0.7033970507</v>
      </c>
      <c r="AB294" s="30">
        <f>IFERROR(__xludf.DUMMYFUNCTION("""COMPUTED_VALUE"""),1.5419555700573728)</f>
        <v>1.54195557</v>
      </c>
      <c r="AC294" s="30">
        <f>IFERROR(__xludf.DUMMYFUNCTION("""COMPUTED_VALUE"""),2.7923113177620067)</f>
        <v>2.792311318</v>
      </c>
      <c r="AD294" s="30">
        <f>IFERROR(__xludf.DUMMYFUNCTION("""COMPUTED_VALUE"""),0.9957974033251811)</f>
        <v>0.9957974033</v>
      </c>
      <c r="AE294" s="30">
        <f>IFERROR(__xludf.DUMMYFUNCTION("""COMPUTED_VALUE"""),1.2507538691056506)</f>
        <v>1.250753869</v>
      </c>
      <c r="AF294" s="30">
        <f>IFERROR(__xludf.DUMMYFUNCTION("""COMPUTED_VALUE"""),1.421672153750008)</f>
        <v>1.421672154</v>
      </c>
      <c r="AG294" s="30">
        <f>IFERROR(__xludf.DUMMYFUNCTION("""COMPUTED_VALUE"""),1.1349224543057919)</f>
        <v>1.134922454</v>
      </c>
      <c r="AH294" s="30">
        <f>IFERROR(__xludf.DUMMYFUNCTION("""COMPUTED_VALUE"""),0.8057840777594023)</f>
        <v>0.8057840778</v>
      </c>
      <c r="AI294" s="30">
        <f>IFERROR(__xludf.DUMMYFUNCTION("""COMPUTED_VALUE"""),1.096578745884515)</f>
        <v>1.096578746</v>
      </c>
      <c r="AJ294" s="30">
        <f>IFERROR(__xludf.DUMMYFUNCTION("""COMPUTED_VALUE"""),1.5380327633795747)</f>
        <v>1.538032763</v>
      </c>
      <c r="AK294" s="30">
        <f>IFERROR(__xludf.DUMMYFUNCTION("""COMPUTED_VALUE"""),1.233406157472619)</f>
        <v>1.233406157</v>
      </c>
      <c r="AL294" s="30">
        <f>IFERROR(__xludf.DUMMYFUNCTION("""COMPUTED_VALUE"""),0.9551971326164873)</f>
        <v>0.9551971326</v>
      </c>
      <c r="AM294" s="30">
        <f>IFERROR(__xludf.DUMMYFUNCTION("""COMPUTED_VALUE"""),1.1278950640308343)</f>
        <v>1.127895064</v>
      </c>
      <c r="AN294" s="30">
        <f>IFERROR(__xludf.DUMMYFUNCTION("""COMPUTED_VALUE"""),1.1505544536957548)</f>
        <v>1.150554454</v>
      </c>
      <c r="AO294" s="30">
        <f>IFERROR(__xludf.DUMMYFUNCTION("""COMPUTED_VALUE"""),1.654395551681865)</f>
        <v>1.654395552</v>
      </c>
      <c r="AP294" s="30">
        <f>IFERROR(__xludf.DUMMYFUNCTION("""COMPUTED_VALUE"""),1.799021980139893)</f>
        <v>1.79902198</v>
      </c>
      <c r="AQ294" s="30">
        <f>IFERROR(__xludf.DUMMYFUNCTION("""COMPUTED_VALUE"""),1.2934499512729274)</f>
        <v>1.293449951</v>
      </c>
      <c r="AR294" s="30">
        <f>IFERROR(__xludf.DUMMYFUNCTION("""COMPUTED_VALUE"""),0.8825215053304745)</f>
        <v>0.8825215053</v>
      </c>
      <c r="AS294" s="30">
        <f>IFERROR(__xludf.DUMMYFUNCTION("""COMPUTED_VALUE"""),14.0)</f>
        <v>14</v>
      </c>
      <c r="AT294" s="30">
        <f>IFERROR(__xludf.DUMMYFUNCTION("""COMPUTED_VALUE"""),0.5000000000000001)</f>
        <v>0.5</v>
      </c>
      <c r="AU294" s="30">
        <f>IFERROR(__xludf.DUMMYFUNCTION("""COMPUTED_VALUE"""),2.3945881038091827)</f>
        <v>2.394588104</v>
      </c>
      <c r="AV294" s="32">
        <f>IFERROR(__xludf.DUMMYFUNCTION("""COMPUTED_VALUE"""),70.8255329913939)</f>
        <v>70.82553299</v>
      </c>
      <c r="AW294" s="32">
        <f>IFERROR(__xludf.DUMMYFUNCTION("""COMPUTED_VALUE"""),4.940312313540577)</f>
        <v>4.940312314</v>
      </c>
      <c r="AX294" s="32">
        <f>IFERROR(__xludf.DUMMYFUNCTION("""COMPUTED_VALUE"""),43.60796654865641)</f>
        <v>43.60796655</v>
      </c>
      <c r="AY294" s="32">
        <f>IFERROR(__xludf.DUMMYFUNCTION("""COMPUTED_VALUE"""),-2.505647396056421)</f>
        <v>-2.505647396</v>
      </c>
      <c r="AZ294" s="30">
        <f>IFERROR(__xludf.DUMMYFUNCTION("""COMPUTED_VALUE"""),7.445959709596998)</f>
        <v>7.44595971</v>
      </c>
      <c r="BA294" s="30">
        <f>IFERROR(__xludf.DUMMYFUNCTION("""COMPUTED_VALUE"""),1200.0)</f>
        <v>1200</v>
      </c>
    </row>
    <row r="295">
      <c r="A295" s="71" t="str">
        <f>IFERROR(__xludf.DUMMYFUNCTION("""COMPUTED_VALUE"""),"Veteran")</f>
        <v>Veteran</v>
      </c>
      <c r="B295" s="71" t="str">
        <f>IFERROR(__xludf.DUMMYFUNCTION("""COMPUTED_VALUE"""),"RSC003746")</f>
        <v>RSC003746</v>
      </c>
      <c r="C295" s="30" t="str">
        <f>IFERROR(__xludf.DUMMYFUNCTION("""COMPUTED_VALUE"""),"archhie.")</f>
        <v>archhie.</v>
      </c>
      <c r="D295" s="30"/>
      <c r="E295" s="30">
        <f>IFERROR(__xludf.DUMMYFUNCTION("""COMPUTED_VALUE"""),8.0)</f>
        <v>8</v>
      </c>
      <c r="F295" s="30">
        <f>IFERROR(__xludf.DUMMYFUNCTION("""COMPUTED_VALUE"""),3.0)</f>
        <v>3</v>
      </c>
      <c r="G295" s="42">
        <f>IFERROR(__xludf.DUMMYFUNCTION("""COMPUTED_VALUE"""),5.0)</f>
        <v>5</v>
      </c>
      <c r="H295" s="42">
        <f>IFERROR(__xludf.DUMMYFUNCTION("""COMPUTED_VALUE"""),0.375)</f>
        <v>0.375</v>
      </c>
      <c r="I295" s="42">
        <f>IFERROR(__xludf.DUMMYFUNCTION("""COMPUTED_VALUE"""),0.3125)</f>
        <v>0.3125</v>
      </c>
      <c r="J295" s="30">
        <f>IFERROR(__xludf.DUMMYFUNCTION("""COMPUTED_VALUE"""),364.25)</f>
        <v>364.25</v>
      </c>
      <c r="K295" s="30">
        <f>IFERROR(__xludf.DUMMYFUNCTION("""COMPUTED_VALUE"""),0.625)</f>
        <v>0.625</v>
      </c>
      <c r="L295" s="30">
        <f>IFERROR(__xludf.DUMMYFUNCTION("""COMPUTED_VALUE"""),0.375)</f>
        <v>0.375</v>
      </c>
      <c r="M295" s="30">
        <f>IFERROR(__xludf.DUMMYFUNCTION("""COMPUTED_VALUE"""),1.875)</f>
        <v>1.875</v>
      </c>
      <c r="N295" s="30">
        <f>IFERROR(__xludf.DUMMYFUNCTION("""COMPUTED_VALUE"""),2.0)</f>
        <v>2</v>
      </c>
      <c r="O295" s="30">
        <f>IFERROR(__xludf.DUMMYFUNCTION("""COMPUTED_VALUE"""),348.25)</f>
        <v>348.25</v>
      </c>
      <c r="P295" s="30">
        <f>IFERROR(__xludf.DUMMYFUNCTION("""COMPUTED_VALUE"""),0.9166666666666666)</f>
        <v>0.9166666667</v>
      </c>
      <c r="Q295" s="30">
        <f>IFERROR(__xludf.DUMMYFUNCTION("""COMPUTED_VALUE"""),0.6249999999999999)</f>
        <v>0.625</v>
      </c>
      <c r="R295" s="30">
        <f>IFERROR(__xludf.DUMMYFUNCTION("""COMPUTED_VALUE"""),0.875)</f>
        <v>0.875</v>
      </c>
      <c r="S295" s="30">
        <f>IFERROR(__xludf.DUMMYFUNCTION("""COMPUTED_VALUE"""),2.9583333333333335)</f>
        <v>2.958333333</v>
      </c>
      <c r="T295" s="30">
        <f>IFERROR(__xludf.DUMMYFUNCTION("""COMPUTED_VALUE"""),358.9452630984644)</f>
        <v>358.9452631</v>
      </c>
      <c r="U295" s="30">
        <f>IFERROR(__xludf.DUMMYFUNCTION("""COMPUTED_VALUE"""),0.7701001742160278)</f>
        <v>0.7701001742</v>
      </c>
      <c r="V295" s="30">
        <f>IFERROR(__xludf.DUMMYFUNCTION("""COMPUTED_VALUE"""),0.6534375403277841)</f>
        <v>0.6534375403</v>
      </c>
      <c r="W295" s="30">
        <f>IFERROR(__xludf.DUMMYFUNCTION("""COMPUTED_VALUE"""),1.321093044263776)</f>
        <v>1.321093044</v>
      </c>
      <c r="X295" s="30">
        <f>IFERROR(__xludf.DUMMYFUNCTION("""COMPUTED_VALUE"""),2.7619991289198604)</f>
        <v>2.761999129</v>
      </c>
      <c r="Y295" s="30">
        <f>IFERROR(__xludf.DUMMYFUNCTION("""COMPUTED_VALUE"""),369.6497171678066)</f>
        <v>369.6497172</v>
      </c>
      <c r="Z295" s="30">
        <f>IFERROR(__xludf.DUMMYFUNCTION("""COMPUTED_VALUE"""),0.7963618961586443)</f>
        <v>0.7963618962</v>
      </c>
      <c r="AA295" s="30">
        <f>IFERROR(__xludf.DUMMYFUNCTION("""COMPUTED_VALUE"""),0.6104040306276077)</f>
        <v>0.6104040306</v>
      </c>
      <c r="AB295" s="30">
        <f>IFERROR(__xludf.DUMMYFUNCTION("""COMPUTED_VALUE"""),1.5387611842388267)</f>
        <v>1.538761184</v>
      </c>
      <c r="AC295" s="30">
        <f>IFERROR(__xludf.DUMMYFUNCTION("""COMPUTED_VALUE"""),2.5327652492794774)</f>
        <v>2.532765249</v>
      </c>
      <c r="AD295" s="30">
        <f>IFERROR(__xludf.DUMMYFUNCTION("""COMPUTED_VALUE"""),0.9853923405942839)</f>
        <v>0.9853923406</v>
      </c>
      <c r="AE295" s="30">
        <f>IFERROR(__xludf.DUMMYFUNCTION("""COMPUTED_VALUE"""),0.7848190665760997)</f>
        <v>0.7848190666</v>
      </c>
      <c r="AF295" s="30">
        <f>IFERROR(__xludf.DUMMYFUNCTION("""COMPUTED_VALUE"""),0.614347188393286)</f>
        <v>0.6143471884</v>
      </c>
      <c r="AG295" s="30">
        <f>IFERROR(__xludf.DUMMYFUNCTION("""COMPUTED_VALUE"""),1.2185126705853966)</f>
        <v>1.218512671</v>
      </c>
      <c r="AH295" s="30">
        <f>IFERROR(__xludf.DUMMYFUNCTION("""COMPUTED_VALUE"""),0.7896507584226218)</f>
        <v>0.7896507584</v>
      </c>
      <c r="AI295" s="30">
        <f>IFERROR(__xludf.DUMMYFUNCTION("""COMPUTED_VALUE"""),0.9702036377186275)</f>
        <v>0.9702036377</v>
      </c>
      <c r="AJ295" s="30">
        <f>IFERROR(__xludf.DUMMYFUNCTION("""COMPUTED_VALUE"""),1.1903213339743046)</f>
        <v>1.190321334</v>
      </c>
      <c r="AK295" s="30">
        <f>IFERROR(__xludf.DUMMYFUNCTION("""COMPUTED_VALUE"""),0.9564800940063544)</f>
        <v>0.956480094</v>
      </c>
      <c r="AL295" s="30">
        <f>IFERROR(__xludf.DUMMYFUNCTION("""COMPUTED_VALUE"""),0.6623303360798659)</f>
        <v>0.6623303361</v>
      </c>
      <c r="AM295" s="30">
        <f>IFERROR(__xludf.DUMMYFUNCTION("""COMPUTED_VALUE"""),1.071084093531287)</f>
        <v>1.071084094</v>
      </c>
      <c r="AN295" s="30">
        <f>IFERROR(__xludf.DUMMYFUNCTION("""COMPUTED_VALUE"""),1.0536504330827874)</f>
        <v>1.053650433</v>
      </c>
      <c r="AO295" s="30">
        <f>IFERROR(__xludf.DUMMYFUNCTION("""COMPUTED_VALUE"""),0.8271977758409325)</f>
        <v>0.8271977758</v>
      </c>
      <c r="AP295" s="30">
        <f>IFERROR(__xludf.DUMMYFUNCTION("""COMPUTED_VALUE"""),0.6746332425524599)</f>
        <v>0.6746332426</v>
      </c>
      <c r="AQ295" s="30">
        <f>IFERROR(__xludf.DUMMYFUNCTION("""COMPUTED_VALUE"""),1.385839233506708)</f>
        <v>1.385839234</v>
      </c>
      <c r="AR295" s="30">
        <f>IFERROR(__xludf.DUMMYFUNCTION("""COMPUTED_VALUE"""),0.7844635602937551)</f>
        <v>0.7844635603</v>
      </c>
      <c r="AS295" s="30">
        <f>IFERROR(__xludf.DUMMYFUNCTION("""COMPUTED_VALUE"""),15.0)</f>
        <v>15</v>
      </c>
      <c r="AT295" s="30">
        <f>IFERROR(__xludf.DUMMYFUNCTION("""COMPUTED_VALUE"""),0.3556264749483379)</f>
        <v>0.3556264749</v>
      </c>
      <c r="AU295" s="30">
        <f>IFERROR(__xludf.DUMMYFUNCTION("""COMPUTED_VALUE"""),1.284647089010265)</f>
        <v>1.284647089</v>
      </c>
      <c r="AV295" s="32">
        <f>IFERROR(__xludf.DUMMYFUNCTION("""COMPUTED_VALUE"""),31.14281778585885)</f>
        <v>31.14281779</v>
      </c>
      <c r="AW295" s="32">
        <f>IFERROR(__xludf.DUMMYFUNCTION("""COMPUTED_VALUE"""),-4.437770693817088)</f>
        <v>-4.437770694</v>
      </c>
      <c r="AX295" s="32">
        <f>IFERROR(__xludf.DUMMYFUNCTION("""COMPUTED_VALUE"""),57.08500689883167)</f>
        <v>57.0850069</v>
      </c>
      <c r="AY295" s="32">
        <f>IFERROR(__xludf.DUMMYFUNCTION("""COMPUTED_VALUE"""),2.5744332469488933)</f>
        <v>2.574433247</v>
      </c>
      <c r="AZ295" s="30">
        <f>IFERROR(__xludf.DUMMYFUNCTION("""COMPUTED_VALUE"""),7.012203940765981)</f>
        <v>7.012203941</v>
      </c>
      <c r="BA295" s="30">
        <f>IFERROR(__xludf.DUMMYFUNCTION("""COMPUTED_VALUE"""),1200.0)</f>
        <v>1200</v>
      </c>
    </row>
    <row r="296">
      <c r="A296" s="71" t="str">
        <f>IFERROR(__xludf.DUMMYFUNCTION("""COMPUTED_VALUE"""),"Veteran")</f>
        <v>Veteran</v>
      </c>
      <c r="B296" s="71" t="str">
        <f>IFERROR(__xludf.DUMMYFUNCTION("""COMPUTED_VALUE"""),"RSC007720")</f>
        <v>RSC007720</v>
      </c>
      <c r="C296" s="30" t="str">
        <f>IFERROR(__xludf.DUMMYFUNCTION("""COMPUTED_VALUE"""),"trock")</f>
        <v>trock</v>
      </c>
      <c r="D296" s="30"/>
      <c r="E296" s="30">
        <f>IFERROR(__xludf.DUMMYFUNCTION("""COMPUTED_VALUE"""),4.0)</f>
        <v>4</v>
      </c>
      <c r="F296" s="30">
        <f>IFERROR(__xludf.DUMMYFUNCTION("""COMPUTED_VALUE"""),2.0)</f>
        <v>2</v>
      </c>
      <c r="G296" s="42">
        <f>IFERROR(__xludf.DUMMYFUNCTION("""COMPUTED_VALUE"""),2.0)</f>
        <v>2</v>
      </c>
      <c r="H296" s="42">
        <f>IFERROR(__xludf.DUMMYFUNCTION("""COMPUTED_VALUE"""),0.5)</f>
        <v>0.5</v>
      </c>
      <c r="I296" s="42">
        <f>IFERROR(__xludf.DUMMYFUNCTION("""COMPUTED_VALUE"""),0.16666666666666666)</f>
        <v>0.1666666667</v>
      </c>
      <c r="J296" s="30">
        <f>IFERROR(__xludf.DUMMYFUNCTION("""COMPUTED_VALUE"""),255.5)</f>
        <v>255.5</v>
      </c>
      <c r="K296" s="30">
        <f>IFERROR(__xludf.DUMMYFUNCTION("""COMPUTED_VALUE"""),0.25)</f>
        <v>0.25</v>
      </c>
      <c r="L296" s="30">
        <f>IFERROR(__xludf.DUMMYFUNCTION("""COMPUTED_VALUE"""),0.5)</f>
        <v>0.5</v>
      </c>
      <c r="M296" s="30">
        <f>IFERROR(__xludf.DUMMYFUNCTION("""COMPUTED_VALUE"""),1.5)</f>
        <v>1.5</v>
      </c>
      <c r="N296" s="30">
        <f>IFERROR(__xludf.DUMMYFUNCTION("""COMPUTED_VALUE"""),1.5)</f>
        <v>1.5</v>
      </c>
      <c r="O296" s="30">
        <f>IFERROR(__xludf.DUMMYFUNCTION("""COMPUTED_VALUE"""),400.8333333333333)</f>
        <v>400.8333333</v>
      </c>
      <c r="P296" s="30">
        <f>IFERROR(__xludf.DUMMYFUNCTION("""COMPUTED_VALUE"""),0.9166666666666666)</f>
        <v>0.9166666667</v>
      </c>
      <c r="Q296" s="30">
        <f>IFERROR(__xludf.DUMMYFUNCTION("""COMPUTED_VALUE"""),0.7499999999999999)</f>
        <v>0.75</v>
      </c>
      <c r="R296" s="30">
        <f>IFERROR(__xludf.DUMMYFUNCTION("""COMPUTED_VALUE"""),1.4166666666666667)</f>
        <v>1.416666667</v>
      </c>
      <c r="S296" s="30">
        <f>IFERROR(__xludf.DUMMYFUNCTION("""COMPUTED_VALUE"""),2.416666666666667)</f>
        <v>2.416666667</v>
      </c>
      <c r="T296" s="30">
        <f>IFERROR(__xludf.DUMMYFUNCTION("""COMPUTED_VALUE"""),380.6820652173913)</f>
        <v>380.6820652</v>
      </c>
      <c r="U296" s="30">
        <f>IFERROR(__xludf.DUMMYFUNCTION("""COMPUTED_VALUE"""),0.9042874396135266)</f>
        <v>0.9042874396</v>
      </c>
      <c r="V296" s="30">
        <f>IFERROR(__xludf.DUMMYFUNCTION("""COMPUTED_VALUE"""),0.6935386473429952)</f>
        <v>0.6935386473</v>
      </c>
      <c r="W296" s="30">
        <f>IFERROR(__xludf.DUMMYFUNCTION("""COMPUTED_VALUE"""),1.3565821256038646)</f>
        <v>1.356582126</v>
      </c>
      <c r="X296" s="30">
        <f>IFERROR(__xludf.DUMMYFUNCTION("""COMPUTED_VALUE"""),2.894625603864734)</f>
        <v>2.894625604</v>
      </c>
      <c r="Y296" s="30">
        <f>IFERROR(__xludf.DUMMYFUNCTION("""COMPUTED_VALUE"""),347.3510466988728)</f>
        <v>347.3510467</v>
      </c>
      <c r="Z296" s="30">
        <f>IFERROR(__xludf.DUMMYFUNCTION("""COMPUTED_VALUE"""),0.7556360708534623)</f>
        <v>0.7556360709</v>
      </c>
      <c r="AA296" s="30">
        <f>IFERROR(__xludf.DUMMYFUNCTION("""COMPUTED_VALUE"""),0.5328099838969406)</f>
        <v>0.5328099839</v>
      </c>
      <c r="AB296" s="30">
        <f>IFERROR(__xludf.DUMMYFUNCTION("""COMPUTED_VALUE"""),1.4414251207729467)</f>
        <v>1.441425121</v>
      </c>
      <c r="AC296" s="30">
        <f>IFERROR(__xludf.DUMMYFUNCTION("""COMPUTED_VALUE"""),2.4339774557165863)</f>
        <v>2.433977456</v>
      </c>
      <c r="AD296" s="30">
        <f>IFERROR(__xludf.DUMMYFUNCTION("""COMPUTED_VALUE"""),0.7355670939477528)</f>
        <v>0.7355670939</v>
      </c>
      <c r="AE296" s="30">
        <f>IFERROR(__xludf.DUMMYFUNCTION("""COMPUTED_VALUE"""),0.3308470964304741)</f>
        <v>0.3308470964</v>
      </c>
      <c r="AF296" s="30">
        <f>IFERROR(__xludf.DUMMYFUNCTION("""COMPUTED_VALUE"""),0.9384208537967508)</f>
        <v>0.9384208538</v>
      </c>
      <c r="AG296" s="30">
        <f>IFERROR(__xludf.DUMMYFUNCTION("""COMPUTED_VALUE"""),1.0406367825722667)</f>
        <v>1.040636783</v>
      </c>
      <c r="AH296" s="30">
        <f>IFERROR(__xludf.DUMMYFUNCTION("""COMPUTED_VALUE"""),0.6162752232881243)</f>
        <v>0.6162752233</v>
      </c>
      <c r="AI296" s="30">
        <f>IFERROR(__xludf.DUMMYFUNCTION("""COMPUTED_VALUE"""),1.0529346401029807)</f>
        <v>1.05293464</v>
      </c>
      <c r="AJ296" s="30">
        <f>IFERROR(__xludf.DUMMYFUNCTION("""COMPUTED_VALUE"""),1.0136894824707845)</f>
        <v>1.013689482</v>
      </c>
      <c r="AK296" s="30">
        <f>IFERROR(__xludf.DUMMYFUNCTION("""COMPUTED_VALUE"""),1.0814105354810621)</f>
        <v>1.081410535</v>
      </c>
      <c r="AL296" s="30">
        <f>IFERROR(__xludf.DUMMYFUNCTION("""COMPUTED_VALUE"""),1.0442911195192524)</f>
        <v>1.04429112</v>
      </c>
      <c r="AM296" s="30">
        <f>IFERROR(__xludf.DUMMYFUNCTION("""COMPUTED_VALUE"""),0.8348805674350684)</f>
        <v>0.8348805674</v>
      </c>
      <c r="AN296" s="30">
        <f>IFERROR(__xludf.DUMMYFUNCTION("""COMPUTED_VALUE"""),0.7390739482571097)</f>
        <v>0.7390739483</v>
      </c>
      <c r="AO296" s="30">
        <f>IFERROR(__xludf.DUMMYFUNCTION("""COMPUTED_VALUE"""),0.33087911033637296)</f>
        <v>0.3308791103</v>
      </c>
      <c r="AP296" s="30">
        <f>IFERROR(__xludf.DUMMYFUNCTION("""COMPUTED_VALUE"""),0.8995109900699465)</f>
        <v>0.8995109901</v>
      </c>
      <c r="AQ296" s="30">
        <f>IFERROR(__xludf.DUMMYFUNCTION("""COMPUTED_VALUE"""),1.1086713868053664)</f>
        <v>1.108671387</v>
      </c>
      <c r="AR296" s="30">
        <f>IFERROR(__xludf.DUMMYFUNCTION("""COMPUTED_VALUE"""),0.5883476702203163)</f>
        <v>0.5883476702</v>
      </c>
      <c r="AS296" s="30">
        <f>IFERROR(__xludf.DUMMYFUNCTION("""COMPUTED_VALUE"""),9.0)</f>
        <v>9</v>
      </c>
      <c r="AT296" s="30">
        <f>IFERROR(__xludf.DUMMYFUNCTION("""COMPUTED_VALUE"""),0.4210451229082831)</f>
        <v>0.4210451229</v>
      </c>
      <c r="AU296" s="30">
        <f>IFERROR(__xludf.DUMMYFUNCTION("""COMPUTED_VALUE"""),0.6727654411088004)</f>
        <v>0.6727654411</v>
      </c>
      <c r="AV296" s="32">
        <f>IFERROR(__xludf.DUMMYFUNCTION("""COMPUTED_VALUE"""),9.266767753086448)</f>
        <v>9.266767753</v>
      </c>
      <c r="AW296" s="32">
        <f>IFERROR(__xludf.DUMMYFUNCTION("""COMPUTED_VALUE"""),-19.37171168755453)</f>
        <v>-19.37171169</v>
      </c>
      <c r="AX296" s="32">
        <f>IFERROR(__xludf.DUMMYFUNCTION("""COMPUTED_VALUE"""),14.997224194731324)</f>
        <v>14.99722419</v>
      </c>
      <c r="AY296" s="32">
        <f>IFERROR(__xludf.DUMMYFUNCTION("""COMPUTED_VALUE"""),-12.38542921340447)</f>
        <v>-12.38542921</v>
      </c>
      <c r="AZ296" s="30">
        <f>IFERROR(__xludf.DUMMYFUNCTION("""COMPUTED_VALUE"""),6.986282474150061)</f>
        <v>6.986282474</v>
      </c>
      <c r="BA296" s="30">
        <f>IFERROR(__xludf.DUMMYFUNCTION("""COMPUTED_VALUE"""),1200.0)</f>
        <v>1200</v>
      </c>
    </row>
    <row r="297">
      <c r="A297" s="71" t="str">
        <f>IFERROR(__xludf.DUMMYFUNCTION("""COMPUTED_VALUE"""),"Veteran")</f>
        <v>Veteran</v>
      </c>
      <c r="B297" s="71" t="str">
        <f>IFERROR(__xludf.DUMMYFUNCTION("""COMPUTED_VALUE"""),"RSC001893")</f>
        <v>RSC001893</v>
      </c>
      <c r="C297" s="30" t="str">
        <f>IFERROR(__xludf.DUMMYFUNCTION("""COMPUTED_VALUE"""),"cjax")</f>
        <v>cjax</v>
      </c>
      <c r="D297" s="30" t="str">
        <f>IFERROR(__xludf.DUMMYFUNCTION("""COMPUTED_VALUE"""),"Peppermint")</f>
        <v>Peppermint</v>
      </c>
      <c r="E297" s="30">
        <f>IFERROR(__xludf.DUMMYFUNCTION("""COMPUTED_VALUE"""),29.0)</f>
        <v>29</v>
      </c>
      <c r="F297" s="30">
        <f>IFERROR(__xludf.DUMMYFUNCTION("""COMPUTED_VALUE"""),11.0)</f>
        <v>11</v>
      </c>
      <c r="G297" s="42">
        <f>IFERROR(__xludf.DUMMYFUNCTION("""COMPUTED_VALUE"""),18.0)</f>
        <v>18</v>
      </c>
      <c r="H297" s="42">
        <f>IFERROR(__xludf.DUMMYFUNCTION("""COMPUTED_VALUE"""),0.3793103448275862)</f>
        <v>0.3793103448</v>
      </c>
      <c r="I297" s="42">
        <f>IFERROR(__xludf.DUMMYFUNCTION("""COMPUTED_VALUE"""),0.2826086956521739)</f>
        <v>0.2826086957</v>
      </c>
      <c r="J297" s="30">
        <f>IFERROR(__xludf.DUMMYFUNCTION("""COMPUTED_VALUE"""),307.48275862068965)</f>
        <v>307.4827586</v>
      </c>
      <c r="K297" s="30">
        <f>IFERROR(__xludf.DUMMYFUNCTION("""COMPUTED_VALUE"""),0.4482758620689655)</f>
        <v>0.4482758621</v>
      </c>
      <c r="L297" s="30">
        <f>IFERROR(__xludf.DUMMYFUNCTION("""COMPUTED_VALUE"""),0.4827586206896552)</f>
        <v>0.4827586207</v>
      </c>
      <c r="M297" s="30">
        <f>IFERROR(__xludf.DUMMYFUNCTION("""COMPUTED_VALUE"""),1.6896551724137931)</f>
        <v>1.689655172</v>
      </c>
      <c r="N297" s="30">
        <f>IFERROR(__xludf.DUMMYFUNCTION("""COMPUTED_VALUE"""),1.5862068965517242)</f>
        <v>1.586206897</v>
      </c>
      <c r="O297" s="30">
        <f>IFERROR(__xludf.DUMMYFUNCTION("""COMPUTED_VALUE"""),364.11494252873564)</f>
        <v>364.1149425</v>
      </c>
      <c r="P297" s="30">
        <f>IFERROR(__xludf.DUMMYFUNCTION("""COMPUTED_VALUE"""),0.9310344827586206)</f>
        <v>0.9310344828</v>
      </c>
      <c r="Q297" s="30">
        <f>IFERROR(__xludf.DUMMYFUNCTION("""COMPUTED_VALUE"""),0.7011494252873562)</f>
        <v>0.7011494253</v>
      </c>
      <c r="R297" s="30">
        <f>IFERROR(__xludf.DUMMYFUNCTION("""COMPUTED_VALUE"""),1.045977011494253)</f>
        <v>1.045977011</v>
      </c>
      <c r="S297" s="30">
        <f>IFERROR(__xludf.DUMMYFUNCTION("""COMPUTED_VALUE"""),3.2068965517241392)</f>
        <v>3.206896552</v>
      </c>
      <c r="T297" s="30">
        <f>IFERROR(__xludf.DUMMYFUNCTION("""COMPUTED_VALUE"""),348.66674953711123)</f>
        <v>348.6667495</v>
      </c>
      <c r="U297" s="30">
        <f>IFERROR(__xludf.DUMMYFUNCTION("""COMPUTED_VALUE"""),0.7890324738700187)</f>
        <v>0.7890324739</v>
      </c>
      <c r="V297" s="30">
        <f>IFERROR(__xludf.DUMMYFUNCTION("""COMPUTED_VALUE"""),0.58567218852917)</f>
        <v>0.5856721885</v>
      </c>
      <c r="W297" s="30">
        <f>IFERROR(__xludf.DUMMYFUNCTION("""COMPUTED_VALUE"""),1.2682761683764596)</f>
        <v>1.268276168</v>
      </c>
      <c r="X297" s="30">
        <f>IFERROR(__xludf.DUMMYFUNCTION("""COMPUTED_VALUE"""),2.681866045644279)</f>
        <v>2.681866046</v>
      </c>
      <c r="Y297" s="30">
        <f>IFERROR(__xludf.DUMMYFUNCTION("""COMPUTED_VALUE"""),362.38609447123594)</f>
        <v>362.3860945</v>
      </c>
      <c r="Z297" s="30">
        <f>IFERROR(__xludf.DUMMYFUNCTION("""COMPUTED_VALUE"""),0.8383155028000585)</f>
        <v>0.8383155028</v>
      </c>
      <c r="AA297" s="30">
        <f>IFERROR(__xludf.DUMMYFUNCTION("""COMPUTED_VALUE"""),0.6224995239259857)</f>
        <v>0.6224995239</v>
      </c>
      <c r="AB297" s="30">
        <f>IFERROR(__xludf.DUMMYFUNCTION("""COMPUTED_VALUE"""),1.3903805549344124)</f>
        <v>1.390380555</v>
      </c>
      <c r="AC297" s="30">
        <f>IFERROR(__xludf.DUMMYFUNCTION("""COMPUTED_VALUE"""),2.555207088051218)</f>
        <v>2.555207088</v>
      </c>
      <c r="AD297" s="30">
        <f>IFERROR(__xludf.DUMMYFUNCTION("""COMPUTED_VALUE"""),0.8484949155384763)</f>
        <v>0.8484949155</v>
      </c>
      <c r="AE297" s="30">
        <f>IFERROR(__xludf.DUMMYFUNCTION("""COMPUTED_VALUE"""),0.5347340715657516)</f>
        <v>0.5347340716</v>
      </c>
      <c r="AF297" s="30">
        <f>IFERROR(__xludf.DUMMYFUNCTION("""COMPUTED_VALUE"""),0.7755164496271237)</f>
        <v>0.7755164496</v>
      </c>
      <c r="AG297" s="30">
        <f>IFERROR(__xludf.DUMMYFUNCTION("""COMPUTED_VALUE"""),1.215246549886839)</f>
        <v>1.21524655</v>
      </c>
      <c r="AH297" s="30">
        <f>IFERROR(__xludf.DUMMYFUNCTION("""COMPUTED_VALUE"""),0.6207743020004997)</f>
        <v>0.620774302</v>
      </c>
      <c r="AI297" s="30">
        <f>IFERROR(__xludf.DUMMYFUNCTION("""COMPUTED_VALUE"""),1.04430647032484)</f>
        <v>1.04430647</v>
      </c>
      <c r="AJ297" s="30">
        <f>IFERROR(__xludf.DUMMYFUNCTION("""COMPUTED_VALUE"""),1.1799697903333628)</f>
        <v>1.17996979</v>
      </c>
      <c r="AK297" s="30">
        <f>IFERROR(__xludf.DUMMYFUNCTION("""COMPUTED_VALUE"""),1.197170429157974)</f>
        <v>1.197170429</v>
      </c>
      <c r="AL297" s="30">
        <f>IFERROR(__xludf.DUMMYFUNCTION("""COMPUTED_VALUE"""),0.8247233824737279)</f>
        <v>0.8247233825</v>
      </c>
      <c r="AM297" s="30">
        <f>IFERROR(__xludf.DUMMYFUNCTION("""COMPUTED_VALUE"""),1.1957705929916158)</f>
        <v>1.195770593</v>
      </c>
      <c r="AN297" s="30">
        <f>IFERROR(__xludf.DUMMYFUNCTION("""COMPUTED_VALUE"""),0.8894422561048178)</f>
        <v>0.8894422561</v>
      </c>
      <c r="AO297" s="30">
        <f>IFERROR(__xludf.DUMMYFUNCTION("""COMPUTED_VALUE"""),0.5933004737065999)</f>
        <v>0.5933004737</v>
      </c>
      <c r="AP297" s="30">
        <f>IFERROR(__xludf.DUMMYFUNCTION("""COMPUTED_VALUE"""),0.8684933697227071)</f>
        <v>0.8684933697</v>
      </c>
      <c r="AQ297" s="30">
        <f>IFERROR(__xludf.DUMMYFUNCTION("""COMPUTED_VALUE"""),1.2488482288152403)</f>
        <v>1.248848229</v>
      </c>
      <c r="AR297" s="30">
        <f>IFERROR(__xludf.DUMMYFUNCTION("""COMPUTED_VALUE"""),0.6221607547157368)</f>
        <v>0.6221607547</v>
      </c>
      <c r="AS297" s="30">
        <f>IFERROR(__xludf.DUMMYFUNCTION("""COMPUTED_VALUE"""),56.0)</f>
        <v>56</v>
      </c>
      <c r="AT297" s="30">
        <f>IFERROR(__xludf.DUMMYFUNCTION("""COMPUTED_VALUE"""),0.3597773712059876)</f>
        <v>0.3597773712</v>
      </c>
      <c r="AU297" s="30">
        <f>IFERROR(__xludf.DUMMYFUNCTION("""COMPUTED_VALUE"""),0.7781027887918341)</f>
        <v>0.7781027888</v>
      </c>
      <c r="AV297" s="32">
        <f>IFERROR(__xludf.DUMMYFUNCTION("""COMPUTED_VALUE"""),13.032798481637855)</f>
        <v>13.03279848</v>
      </c>
      <c r="AW297" s="32">
        <f>IFERROR(__xludf.DUMMYFUNCTION("""COMPUTED_VALUE"""),-14.365369776565158)</f>
        <v>-14.36536978</v>
      </c>
      <c r="AX297" s="32">
        <f>IFERROR(__xludf.DUMMYFUNCTION("""COMPUTED_VALUE"""),21.71268631851807)</f>
        <v>21.71268632</v>
      </c>
      <c r="AY297" s="32">
        <f>IFERROR(__xludf.DUMMYFUNCTION("""COMPUTED_VALUE"""),-7.756512568531361)</f>
        <v>-7.756512569</v>
      </c>
      <c r="AZ297" s="30">
        <f>IFERROR(__xludf.DUMMYFUNCTION("""COMPUTED_VALUE"""),6.608857208033797)</f>
        <v>6.608857208</v>
      </c>
      <c r="BA297" s="30">
        <f>IFERROR(__xludf.DUMMYFUNCTION("""COMPUTED_VALUE"""),1200.0)</f>
        <v>1200</v>
      </c>
    </row>
    <row r="298">
      <c r="A298" s="71" t="str">
        <f>IFERROR(__xludf.DUMMYFUNCTION("""COMPUTED_VALUE"""),"Veteran")</f>
        <v>Veteran</v>
      </c>
      <c r="B298" s="71" t="str">
        <f>IFERROR(__xludf.DUMMYFUNCTION("""COMPUTED_VALUE"""),"RSC006909")</f>
        <v>RSC006909</v>
      </c>
      <c r="C298" s="30" t="str">
        <f>IFERROR(__xludf.DUMMYFUNCTION("""COMPUTED_VALUE"""),"Dewby")</f>
        <v>Dewby</v>
      </c>
      <c r="D298" s="30" t="str">
        <f>IFERROR(__xludf.DUMMYFUNCTION("""COMPUTED_VALUE"""),"Singularity")</f>
        <v>Singularity</v>
      </c>
      <c r="E298" s="30">
        <f>IFERROR(__xludf.DUMMYFUNCTION("""COMPUTED_VALUE"""),33.0)</f>
        <v>33</v>
      </c>
      <c r="F298" s="30">
        <f>IFERROR(__xludf.DUMMYFUNCTION("""COMPUTED_VALUE"""),17.0)</f>
        <v>17</v>
      </c>
      <c r="G298" s="42">
        <f>IFERROR(__xludf.DUMMYFUNCTION("""COMPUTED_VALUE"""),16.0)</f>
        <v>16</v>
      </c>
      <c r="H298" s="42">
        <f>IFERROR(__xludf.DUMMYFUNCTION("""COMPUTED_VALUE"""),0.5151515151515151)</f>
        <v>0.5151515152</v>
      </c>
      <c r="I298" s="42">
        <f>IFERROR(__xludf.DUMMYFUNCTION("""COMPUTED_VALUE"""),0.32038834951456313)</f>
        <v>0.3203883495</v>
      </c>
      <c r="J298" s="30">
        <f>IFERROR(__xludf.DUMMYFUNCTION("""COMPUTED_VALUE"""),394.57575757575756)</f>
        <v>394.5757576</v>
      </c>
      <c r="K298" s="30">
        <f>IFERROR(__xludf.DUMMYFUNCTION("""COMPUTED_VALUE"""),1.0)</f>
        <v>1</v>
      </c>
      <c r="L298" s="30">
        <f>IFERROR(__xludf.DUMMYFUNCTION("""COMPUTED_VALUE"""),0.6666666666666666)</f>
        <v>0.6666666667</v>
      </c>
      <c r="M298" s="30">
        <f>IFERROR(__xludf.DUMMYFUNCTION("""COMPUTED_VALUE"""),1.3636363636363635)</f>
        <v>1.363636364</v>
      </c>
      <c r="N298" s="30">
        <f>IFERROR(__xludf.DUMMYFUNCTION("""COMPUTED_VALUE"""),3.121212121212121)</f>
        <v>3.121212121</v>
      </c>
      <c r="O298" s="30">
        <f>IFERROR(__xludf.DUMMYFUNCTION("""COMPUTED_VALUE"""),360.0707070707072)</f>
        <v>360.0707071</v>
      </c>
      <c r="P298" s="30">
        <f>IFERROR(__xludf.DUMMYFUNCTION("""COMPUTED_VALUE"""),0.7575757575757575)</f>
        <v>0.7575757576</v>
      </c>
      <c r="Q298" s="30">
        <f>IFERROR(__xludf.DUMMYFUNCTION("""COMPUTED_VALUE"""),0.5757575757575757)</f>
        <v>0.5757575758</v>
      </c>
      <c r="R298" s="30">
        <f>IFERROR(__xludf.DUMMYFUNCTION("""COMPUTED_VALUE"""),1.4444444444444444)</f>
        <v>1.444444444</v>
      </c>
      <c r="S298" s="30">
        <f>IFERROR(__xludf.DUMMYFUNCTION("""COMPUTED_VALUE"""),2.7979797979797976)</f>
        <v>2.797979798</v>
      </c>
      <c r="T298" s="30">
        <f>IFERROR(__xludf.DUMMYFUNCTION("""COMPUTED_VALUE"""),355.34127169425796)</f>
        <v>355.3412717</v>
      </c>
      <c r="U298" s="30">
        <f>IFERROR(__xludf.DUMMYFUNCTION("""COMPUTED_VALUE"""),0.7919823945894199)</f>
        <v>0.7919823946</v>
      </c>
      <c r="V298" s="30">
        <f>IFERROR(__xludf.DUMMYFUNCTION("""COMPUTED_VALUE"""),0.5834112094341479)</f>
        <v>0.5834112094</v>
      </c>
      <c r="W298" s="30">
        <f>IFERROR(__xludf.DUMMYFUNCTION("""COMPUTED_VALUE"""),1.3329306296789536)</f>
        <v>1.33293063</v>
      </c>
      <c r="X298" s="30">
        <f>IFERROR(__xludf.DUMMYFUNCTION("""COMPUTED_VALUE"""),2.688327634941596)</f>
        <v>2.688327635</v>
      </c>
      <c r="Y298" s="30">
        <f>IFERROR(__xludf.DUMMYFUNCTION("""COMPUTED_VALUE"""),349.4550832092217)</f>
        <v>349.4550832</v>
      </c>
      <c r="Z298" s="30">
        <f>IFERROR(__xludf.DUMMYFUNCTION("""COMPUTED_VALUE"""),0.7306007335222333)</f>
        <v>0.7306007335</v>
      </c>
      <c r="AA298" s="30">
        <f>IFERROR(__xludf.DUMMYFUNCTION("""COMPUTED_VALUE"""),0.534894506680316)</f>
        <v>0.5348945067</v>
      </c>
      <c r="AB298" s="30">
        <f>IFERROR(__xludf.DUMMYFUNCTION("""COMPUTED_VALUE"""),1.4148788070331115)</f>
        <v>1.414878807</v>
      </c>
      <c r="AC298" s="30">
        <f>IFERROR(__xludf.DUMMYFUNCTION("""COMPUTED_VALUE"""),2.515429192000739)</f>
        <v>2.515429192</v>
      </c>
      <c r="AD298" s="30">
        <f>IFERROR(__xludf.DUMMYFUNCTION("""COMPUTED_VALUE"""),1.1291172357608024)</f>
        <v>1.129117236</v>
      </c>
      <c r="AE298" s="30">
        <f>IFERROR(__xludf.DUMMYFUNCTION("""COMPUTED_VALUE"""),1.3687366493310102)</f>
        <v>1.368736649</v>
      </c>
      <c r="AF298" s="30">
        <f>IFERROR(__xludf.DUMMYFUNCTION("""COMPUTED_VALUE"""),1.246351679332361)</f>
        <v>1.246351679</v>
      </c>
      <c r="AG298" s="30">
        <f>IFERROR(__xludf.DUMMYFUNCTION("""COMPUTED_VALUE"""),0.9637831571566194)</f>
        <v>0.9637831572</v>
      </c>
      <c r="AH298" s="30">
        <f>IFERROR(__xludf.DUMMYFUNCTION("""COMPUTED_VALUE"""),1.2408268661021424)</f>
        <v>1.240826866</v>
      </c>
      <c r="AI298" s="30">
        <f>IFERROR(__xludf.DUMMYFUNCTION("""COMPUTED_VALUE"""),1.0133095583124905)</f>
        <v>1.013309558</v>
      </c>
      <c r="AJ298" s="30">
        <f>IFERROR(__xludf.DUMMYFUNCTION("""COMPUTED_VALUE"""),0.9565563107857978)</f>
        <v>0.9565563108</v>
      </c>
      <c r="AK298" s="30">
        <f>IFERROR(__xludf.DUMMYFUNCTION("""COMPUTED_VALUE"""),0.9868812365055593)</f>
        <v>0.9868812365</v>
      </c>
      <c r="AL298" s="30">
        <f>IFERROR(__xludf.DUMMYFUNCTION("""COMPUTED_VALUE"""),1.083660628904859)</f>
        <v>1.083660629</v>
      </c>
      <c r="AM298" s="30">
        <f>IFERROR(__xludf.DUMMYFUNCTION("""COMPUTED_VALUE"""),1.0407882438185716)</f>
        <v>1.040788244</v>
      </c>
      <c r="AN298" s="30">
        <f>IFERROR(__xludf.DUMMYFUNCTION("""COMPUTED_VALUE"""),1.1413724580745803)</f>
        <v>1.141372458</v>
      </c>
      <c r="AO298" s="30">
        <f>IFERROR(__xludf.DUMMYFUNCTION("""COMPUTED_VALUE"""),1.3235164413454918)</f>
        <v>1.323516441</v>
      </c>
      <c r="AP298" s="30">
        <f>IFERROR(__xludf.DUMMYFUNCTION("""COMPUTED_VALUE"""),1.1993479867599286)</f>
        <v>1.199347987</v>
      </c>
      <c r="AQ298" s="30">
        <f>IFERROR(__xludf.DUMMYFUNCTION("""COMPUTED_VALUE"""),1.0078830789139692)</f>
        <v>1.007883079</v>
      </c>
      <c r="AR298" s="30">
        <f>IFERROR(__xludf.DUMMYFUNCTION("""COMPUTED_VALUE"""),1.224238586519042)</f>
        <v>1.224238587</v>
      </c>
      <c r="AS298" s="30">
        <f>IFERROR(__xludf.DUMMYFUNCTION("""COMPUTED_VALUE"""),80.0)</f>
        <v>80</v>
      </c>
      <c r="AT298" s="30">
        <f>IFERROR(__xludf.DUMMYFUNCTION("""COMPUTED_VALUE"""),0.5251307012736764)</f>
        <v>0.5251307013</v>
      </c>
      <c r="AU298" s="30">
        <f>IFERROR(__xludf.DUMMYFUNCTION("""COMPUTED_VALUE"""),2.674475997530291)</f>
        <v>2.674475998</v>
      </c>
      <c r="AV298" s="32">
        <f>IFERROR(__xludf.DUMMYFUNCTION("""COMPUTED_VALUE"""),80.83211120404238)</f>
        <v>80.8321112</v>
      </c>
      <c r="AW298" s="32">
        <f>IFERROR(__xludf.DUMMYFUNCTION("""COMPUTED_VALUE"""),9.196685266324431)</f>
        <v>9.196685266</v>
      </c>
      <c r="AX298" s="32">
        <f>IFERROR(__xludf.DUMMYFUNCTION("""COMPUTED_VALUE"""),59.492015799284644)</f>
        <v>59.4920158</v>
      </c>
      <c r="AY298" s="32">
        <f>IFERROR(__xludf.DUMMYFUNCTION("""COMPUTED_VALUE"""),2.8401728289566033)</f>
        <v>2.840172829</v>
      </c>
      <c r="AZ298" s="30">
        <f>IFERROR(__xludf.DUMMYFUNCTION("""COMPUTED_VALUE"""),6.356512437367828)</f>
        <v>6.356512437</v>
      </c>
      <c r="BA298" s="30">
        <f>IFERROR(__xludf.DUMMYFUNCTION("""COMPUTED_VALUE"""),1200.0)</f>
        <v>1200</v>
      </c>
    </row>
    <row r="299">
      <c r="A299" s="71" t="str">
        <f>IFERROR(__xludf.DUMMYFUNCTION("""COMPUTED_VALUE"""),"Veteran")</f>
        <v>Veteran</v>
      </c>
      <c r="B299" s="71" t="str">
        <f>IFERROR(__xludf.DUMMYFUNCTION("""COMPUTED_VALUE"""),"RSC007995")</f>
        <v>RSC007995</v>
      </c>
      <c r="C299" s="30" t="str">
        <f>IFERROR(__xludf.DUMMYFUNCTION("""COMPUTED_VALUE"""),"Tylanz")</f>
        <v>Tylanz</v>
      </c>
      <c r="D299" s="30" t="str">
        <f>IFERROR(__xludf.DUMMYFUNCTION("""COMPUTED_VALUE"""),"Cannoli")</f>
        <v>Cannoli</v>
      </c>
      <c r="E299" s="30">
        <f>IFERROR(__xludf.DUMMYFUNCTION("""COMPUTED_VALUE"""),46.0)</f>
        <v>46</v>
      </c>
      <c r="F299" s="30">
        <f>IFERROR(__xludf.DUMMYFUNCTION("""COMPUTED_VALUE"""),28.0)</f>
        <v>28</v>
      </c>
      <c r="G299" s="42">
        <f>IFERROR(__xludf.DUMMYFUNCTION("""COMPUTED_VALUE"""),18.0)</f>
        <v>18</v>
      </c>
      <c r="H299" s="42">
        <f>IFERROR(__xludf.DUMMYFUNCTION("""COMPUTED_VALUE"""),0.6086956521739131)</f>
        <v>0.6086956522</v>
      </c>
      <c r="I299" s="42">
        <f>IFERROR(__xludf.DUMMYFUNCTION("""COMPUTED_VALUE"""),0.27678571428571425)</f>
        <v>0.2767857143</v>
      </c>
      <c r="J299" s="30">
        <f>IFERROR(__xludf.DUMMYFUNCTION("""COMPUTED_VALUE"""),316.69565217391306)</f>
        <v>316.6956522</v>
      </c>
      <c r="K299" s="30">
        <f>IFERROR(__xludf.DUMMYFUNCTION("""COMPUTED_VALUE"""),0.6739130434782609)</f>
        <v>0.6739130435</v>
      </c>
      <c r="L299" s="30">
        <f>IFERROR(__xludf.DUMMYFUNCTION("""COMPUTED_VALUE"""),0.6956521739130435)</f>
        <v>0.6956521739</v>
      </c>
      <c r="M299" s="30">
        <f>IFERROR(__xludf.DUMMYFUNCTION("""COMPUTED_VALUE"""),1.0434782608695652)</f>
        <v>1.043478261</v>
      </c>
      <c r="N299" s="30">
        <f>IFERROR(__xludf.DUMMYFUNCTION("""COMPUTED_VALUE"""),2.4347826086956523)</f>
        <v>2.434782609</v>
      </c>
      <c r="O299" s="30">
        <f>IFERROR(__xludf.DUMMYFUNCTION("""COMPUTED_VALUE"""),350.08695652173907)</f>
        <v>350.0869565</v>
      </c>
      <c r="P299" s="30">
        <f>IFERROR(__xludf.DUMMYFUNCTION("""COMPUTED_VALUE"""),0.6739130434782609)</f>
        <v>0.6739130435</v>
      </c>
      <c r="Q299" s="30">
        <f>IFERROR(__xludf.DUMMYFUNCTION("""COMPUTED_VALUE"""),0.4782608695652173)</f>
        <v>0.4782608696</v>
      </c>
      <c r="R299" s="30">
        <f>IFERROR(__xludf.DUMMYFUNCTION("""COMPUTED_VALUE"""),1.659420289855072)</f>
        <v>1.65942029</v>
      </c>
      <c r="S299" s="30">
        <f>IFERROR(__xludf.DUMMYFUNCTION("""COMPUTED_VALUE"""),2.3478260869565215)</f>
        <v>2.347826087</v>
      </c>
      <c r="T299" s="30">
        <f>IFERROR(__xludf.DUMMYFUNCTION("""COMPUTED_VALUE"""),359.1717118630135)</f>
        <v>359.1717119</v>
      </c>
      <c r="U299" s="30">
        <f>IFERROR(__xludf.DUMMYFUNCTION("""COMPUTED_VALUE"""),0.813913649611912)</f>
        <v>0.8139136496</v>
      </c>
      <c r="V299" s="30">
        <f>IFERROR(__xludf.DUMMYFUNCTION("""COMPUTED_VALUE"""),0.5667256823165138)</f>
        <v>0.5667256823</v>
      </c>
      <c r="W299" s="30">
        <f>IFERROR(__xludf.DUMMYFUNCTION("""COMPUTED_VALUE"""),1.3816755135596306)</f>
        <v>1.381675514</v>
      </c>
      <c r="X299" s="30">
        <f>IFERROR(__xludf.DUMMYFUNCTION("""COMPUTED_VALUE"""),2.641210770679741)</f>
        <v>2.641210771</v>
      </c>
      <c r="Y299" s="30">
        <f>IFERROR(__xludf.DUMMYFUNCTION("""COMPUTED_VALUE"""),356.1121866870903)</f>
        <v>356.1121867</v>
      </c>
      <c r="Z299" s="30">
        <f>IFERROR(__xludf.DUMMYFUNCTION("""COMPUTED_VALUE"""),0.8097752164934577)</f>
        <v>0.8097752165</v>
      </c>
      <c r="AA299" s="30">
        <f>IFERROR(__xludf.DUMMYFUNCTION("""COMPUTED_VALUE"""),0.591508840084175)</f>
        <v>0.5915088401</v>
      </c>
      <c r="AB299" s="30">
        <f>IFERROR(__xludf.DUMMYFUNCTION("""COMPUTED_VALUE"""),1.3039070718524641)</f>
        <v>1.303907072</v>
      </c>
      <c r="AC299" s="30">
        <f>IFERROR(__xludf.DUMMYFUNCTION("""COMPUTED_VALUE"""),2.6899796740875876)</f>
        <v>2.689979674</v>
      </c>
      <c r="AD299" s="30">
        <f>IFERROR(__xludf.DUMMYFUNCTION("""COMPUTED_VALUE"""),0.8893142779530545)</f>
        <v>0.889314278</v>
      </c>
      <c r="AE299" s="30">
        <f>IFERROR(__xludf.DUMMYFUNCTION("""COMPUTED_VALUE"""),0.8322223621469718)</f>
        <v>0.8322223621</v>
      </c>
      <c r="AF299" s="30">
        <f>IFERROR(__xludf.DUMMYFUNCTION("""COMPUTED_VALUE"""),1.1760638671334958)</f>
        <v>1.176063867</v>
      </c>
      <c r="AG299" s="30">
        <f>IFERROR(__xludf.DUMMYFUNCTION("""COMPUTED_VALUE"""),0.8002704206420883)</f>
        <v>0.8002704206</v>
      </c>
      <c r="AH299" s="30">
        <f>IFERROR(__xludf.DUMMYFUNCTION("""COMPUTED_VALUE"""),0.9051304856128716)</f>
        <v>0.9051304856</v>
      </c>
      <c r="AI299" s="30">
        <f>IFERROR(__xludf.DUMMYFUNCTION("""COMPUTED_VALUE"""),0.9747063729096257)</f>
        <v>0.9747063729</v>
      </c>
      <c r="AJ299" s="30">
        <f>IFERROR(__xludf.DUMMYFUNCTION("""COMPUTED_VALUE"""),0.8279908363738514)</f>
        <v>0.8279908364</v>
      </c>
      <c r="AK299" s="30">
        <f>IFERROR(__xludf.DUMMYFUNCTION("""COMPUTED_VALUE"""),0.8439018814363715)</f>
        <v>0.8439018814</v>
      </c>
      <c r="AL299" s="30">
        <f>IFERROR(__xludf.DUMMYFUNCTION("""COMPUTED_VALUE"""),1.2010202638533296)</f>
        <v>1.201020264</v>
      </c>
      <c r="AM299" s="30">
        <f>IFERROR(__xludf.DUMMYFUNCTION("""COMPUTED_VALUE"""),0.8889203819020797)</f>
        <v>0.8889203819</v>
      </c>
      <c r="AN299" s="30">
        <f>IFERROR(__xludf.DUMMYFUNCTION("""COMPUTED_VALUE"""),0.9160920001880009)</f>
        <v>0.9160920002</v>
      </c>
      <c r="AO299" s="30">
        <f>IFERROR(__xludf.DUMMYFUNCTION("""COMPUTED_VALUE"""),0.8919349930806576)</f>
        <v>0.8919349931</v>
      </c>
      <c r="AP299" s="30">
        <f>IFERROR(__xludf.DUMMYFUNCTION("""COMPUTED_VALUE"""),1.2514935514016647)</f>
        <v>1.251493551</v>
      </c>
      <c r="AQ299" s="30">
        <f>IFERROR(__xludf.DUMMYFUNCTION("""COMPUTED_VALUE"""),0.7712496603863418)</f>
        <v>0.7712496604</v>
      </c>
      <c r="AR299" s="30">
        <f>IFERROR(__xludf.DUMMYFUNCTION("""COMPUTED_VALUE"""),0.9549991168793541)</f>
        <v>0.9549991169</v>
      </c>
      <c r="AS299" s="30">
        <f>IFERROR(__xludf.DUMMYFUNCTION("""COMPUTED_VALUE"""),131.0)</f>
        <v>131</v>
      </c>
      <c r="AT299" s="30">
        <f>IFERROR(__xludf.DUMMYFUNCTION("""COMPUTED_VALUE"""),0.63172582344488)</f>
        <v>0.6317258234</v>
      </c>
      <c r="AU299" s="30">
        <f>IFERROR(__xludf.DUMMYFUNCTION("""COMPUTED_VALUE"""),1.9347349960342848)</f>
        <v>1.934734996</v>
      </c>
      <c r="AV299" s="32">
        <f>IFERROR(__xludf.DUMMYFUNCTION("""COMPUTED_VALUE"""),54.38482157618646)</f>
        <v>54.38482158</v>
      </c>
      <c r="AW299" s="32">
        <f>IFERROR(__xludf.DUMMYFUNCTION("""COMPUTED_VALUE"""),2.323498492077123)</f>
        <v>2.323498492</v>
      </c>
      <c r="AX299" s="32">
        <f>IFERROR(__xludf.DUMMYFUNCTION("""COMPUTED_VALUE"""),34.252132720191156)</f>
        <v>34.25213272</v>
      </c>
      <c r="AY299" s="32">
        <f>IFERROR(__xludf.DUMMYFUNCTION("""COMPUTED_VALUE"""),-3.7825030459819065)</f>
        <v>-3.782503046</v>
      </c>
      <c r="AZ299" s="30">
        <f>IFERROR(__xludf.DUMMYFUNCTION("""COMPUTED_VALUE"""),6.106001538059029)</f>
        <v>6.106001538</v>
      </c>
      <c r="BA299" s="30">
        <f>IFERROR(__xludf.DUMMYFUNCTION("""COMPUTED_VALUE"""),1200.0)</f>
        <v>1200</v>
      </c>
    </row>
    <row r="300">
      <c r="A300" s="71" t="str">
        <f>IFERROR(__xludf.DUMMYFUNCTION("""COMPUTED_VALUE"""),"Veteran")</f>
        <v>Veteran</v>
      </c>
      <c r="B300" s="71" t="str">
        <f>IFERROR(__xludf.DUMMYFUNCTION("""COMPUTED_VALUE"""),"RSC005960")</f>
        <v>RSC005960</v>
      </c>
      <c r="C300" s="30" t="str">
        <f>IFERROR(__xludf.DUMMYFUNCTION("""COMPUTED_VALUE"""),"Hyper")</f>
        <v>Hyper</v>
      </c>
      <c r="D300" s="30" t="str">
        <f>IFERROR(__xludf.DUMMYFUNCTION("""COMPUTED_VALUE"""),"Possessed")</f>
        <v>Possessed</v>
      </c>
      <c r="E300" s="30">
        <f>IFERROR(__xludf.DUMMYFUNCTION("""COMPUTED_VALUE"""),14.0)</f>
        <v>14</v>
      </c>
      <c r="F300" s="30">
        <f>IFERROR(__xludf.DUMMYFUNCTION("""COMPUTED_VALUE"""),4.0)</f>
        <v>4</v>
      </c>
      <c r="G300" s="42">
        <f>IFERROR(__xludf.DUMMYFUNCTION("""COMPUTED_VALUE"""),10.0)</f>
        <v>10</v>
      </c>
      <c r="H300" s="42">
        <f>IFERROR(__xludf.DUMMYFUNCTION("""COMPUTED_VALUE"""),0.2857142857142857)</f>
        <v>0.2857142857</v>
      </c>
      <c r="I300" s="42">
        <f>IFERROR(__xludf.DUMMYFUNCTION("""COMPUTED_VALUE"""),0.1379310344827586)</f>
        <v>0.1379310345</v>
      </c>
      <c r="J300" s="30">
        <f>IFERROR(__xludf.DUMMYFUNCTION("""COMPUTED_VALUE"""),300.5)</f>
        <v>300.5</v>
      </c>
      <c r="K300" s="30">
        <f>IFERROR(__xludf.DUMMYFUNCTION("""COMPUTED_VALUE"""),0.2857142857142857)</f>
        <v>0.2857142857</v>
      </c>
      <c r="L300" s="30">
        <f>IFERROR(__xludf.DUMMYFUNCTION("""COMPUTED_VALUE"""),0.7142857142857143)</f>
        <v>0.7142857143</v>
      </c>
      <c r="M300" s="30">
        <f>IFERROR(__xludf.DUMMYFUNCTION("""COMPUTED_VALUE"""),1.5)</f>
        <v>1.5</v>
      </c>
      <c r="N300" s="30">
        <f>IFERROR(__xludf.DUMMYFUNCTION("""COMPUTED_VALUE"""),2.0714285714285716)</f>
        <v>2.071428571</v>
      </c>
      <c r="O300" s="30">
        <f>IFERROR(__xludf.DUMMYFUNCTION("""COMPUTED_VALUE"""),405.9761904761904)</f>
        <v>405.9761905</v>
      </c>
      <c r="P300" s="30">
        <f>IFERROR(__xludf.DUMMYFUNCTION("""COMPUTED_VALUE"""),1.0714285714285714)</f>
        <v>1.071428571</v>
      </c>
      <c r="Q300" s="30">
        <f>IFERROR(__xludf.DUMMYFUNCTION("""COMPUTED_VALUE"""),0.8571428571428571)</f>
        <v>0.8571428571</v>
      </c>
      <c r="R300" s="30">
        <f>IFERROR(__xludf.DUMMYFUNCTION("""COMPUTED_VALUE"""),1.4285714285714286)</f>
        <v>1.428571429</v>
      </c>
      <c r="S300" s="30">
        <f>IFERROR(__xludf.DUMMYFUNCTION("""COMPUTED_VALUE"""),2.9285714285714284)</f>
        <v>2.928571429</v>
      </c>
      <c r="T300" s="30">
        <f>IFERROR(__xludf.DUMMYFUNCTION("""COMPUTED_VALUE"""),356.9922598870338)</f>
        <v>356.9922599</v>
      </c>
      <c r="U300" s="30">
        <f>IFERROR(__xludf.DUMMYFUNCTION("""COMPUTED_VALUE"""),0.7710326398724436)</f>
        <v>0.7710326399</v>
      </c>
      <c r="V300" s="30">
        <f>IFERROR(__xludf.DUMMYFUNCTION("""COMPUTED_VALUE"""),0.5567208707868319)</f>
        <v>0.5567208708</v>
      </c>
      <c r="W300" s="30">
        <f>IFERROR(__xludf.DUMMYFUNCTION("""COMPUTED_VALUE"""),1.4030910855741667)</f>
        <v>1.403091086</v>
      </c>
      <c r="X300" s="30">
        <f>IFERROR(__xludf.DUMMYFUNCTION("""COMPUTED_VALUE"""),2.7023966696668142)</f>
        <v>2.70239667</v>
      </c>
      <c r="Y300" s="30">
        <f>IFERROR(__xludf.DUMMYFUNCTION("""COMPUTED_VALUE"""),343.65093659514145)</f>
        <v>343.6509366</v>
      </c>
      <c r="Z300" s="30">
        <f>IFERROR(__xludf.DUMMYFUNCTION("""COMPUTED_VALUE"""),0.7004817589742489)</f>
        <v>0.700481759</v>
      </c>
      <c r="AA300" s="30">
        <f>IFERROR(__xludf.DUMMYFUNCTION("""COMPUTED_VALUE"""),0.520126835917517)</f>
        <v>0.5201268359</v>
      </c>
      <c r="AB300" s="30">
        <f>IFERROR(__xludf.DUMMYFUNCTION("""COMPUTED_VALUE"""),1.3720853912856907)</f>
        <v>1.372085391</v>
      </c>
      <c r="AC300" s="30">
        <f>IFERROR(__xludf.DUMMYFUNCTION("""COMPUTED_VALUE"""),2.5547783186442365)</f>
        <v>2.554778319</v>
      </c>
      <c r="AD300" s="30">
        <f>IFERROR(__xludf.DUMMYFUNCTION("""COMPUTED_VALUE"""),0.8744338164106971)</f>
        <v>0.8744338164</v>
      </c>
      <c r="AE300" s="30">
        <f>IFERROR(__xludf.DUMMYFUNCTION("""COMPUTED_VALUE"""),0.4078825494794778)</f>
        <v>0.4078825495</v>
      </c>
      <c r="AF300" s="30">
        <f>IFERROR(__xludf.DUMMYFUNCTION("""COMPUTED_VALUE"""),1.3732914069424935)</f>
        <v>1.373291407</v>
      </c>
      <c r="AG300" s="30">
        <f>IFERROR(__xludf.DUMMYFUNCTION("""COMPUTED_VALUE"""),1.09322641981812)</f>
        <v>1.09322642</v>
      </c>
      <c r="AH300" s="30">
        <f>IFERROR(__xludf.DUMMYFUNCTION("""COMPUTED_VALUE"""),0.8108056015317338)</f>
        <v>0.8108056015</v>
      </c>
      <c r="AI300" s="30">
        <f>IFERROR(__xludf.DUMMYFUNCTION("""COMPUTED_VALUE"""),1.137212864516046)</f>
        <v>1.137212865</v>
      </c>
      <c r="AJ300" s="30">
        <f>IFERROR(__xludf.DUMMYFUNCTION("""COMPUTED_VALUE"""),1.3896020946737404)</f>
        <v>1.389602095</v>
      </c>
      <c r="AK300" s="30">
        <f>IFERROR(__xludf.DUMMYFUNCTION("""COMPUTED_VALUE"""),1.539627670023272)</f>
        <v>1.53962767</v>
      </c>
      <c r="AL300" s="30">
        <f>IFERROR(__xludf.DUMMYFUNCTION("""COMPUTED_VALUE"""),1.01816014887361)</f>
        <v>1.018160149</v>
      </c>
      <c r="AM300" s="30">
        <f>IFERROR(__xludf.DUMMYFUNCTION("""COMPUTED_VALUE"""),1.0836941376679907)</f>
        <v>1.083694138</v>
      </c>
      <c r="AN300" s="30">
        <f>IFERROR(__xludf.DUMMYFUNCTION("""COMPUTED_VALUE"""),0.8692435281849763)</f>
        <v>0.8692435282</v>
      </c>
      <c r="AO300" s="30">
        <f>IFERROR(__xludf.DUMMYFUNCTION("""COMPUTED_VALUE"""),0.37814755467014055)</f>
        <v>0.3781475547</v>
      </c>
      <c r="AP300" s="30">
        <f>IFERROR(__xludf.DUMMYFUNCTION("""COMPUTED_VALUE"""),1.2850157000999236)</f>
        <v>1.2850157</v>
      </c>
      <c r="AQ300" s="30">
        <f>IFERROR(__xludf.DUMMYFUNCTION("""COMPUTED_VALUE"""),1.1086713868053664)</f>
        <v>1.108671387</v>
      </c>
      <c r="AR300" s="30">
        <f>IFERROR(__xludf.DUMMYFUNCTION("""COMPUTED_VALUE"""),0.8124801160185321)</f>
        <v>0.812480116</v>
      </c>
      <c r="AS300" s="30">
        <f>IFERROR(__xludf.DUMMYFUNCTION("""COMPUTED_VALUE"""),24.0)</f>
        <v>24</v>
      </c>
      <c r="AT300" s="30">
        <f>IFERROR(__xludf.DUMMYFUNCTION("""COMPUTED_VALUE"""),0.27021074640408027)</f>
        <v>0.2702107464</v>
      </c>
      <c r="AU300" s="30">
        <f>IFERROR(__xludf.DUMMYFUNCTION("""COMPUTED_VALUE"""),0.8696307514641384)</f>
        <v>0.8696307515</v>
      </c>
      <c r="AV300" s="32">
        <f>IFERROR(__xludf.DUMMYFUNCTION("""COMPUTED_VALUE"""),16.305114782811657)</f>
        <v>16.30511478</v>
      </c>
      <c r="AW300" s="32">
        <f>IFERROR(__xludf.DUMMYFUNCTION("""COMPUTED_VALUE"""),-11.253391804357648)</f>
        <v>-11.2533918</v>
      </c>
      <c r="AX300" s="32">
        <f>IFERROR(__xludf.DUMMYFUNCTION("""COMPUTED_VALUE"""),28.281656305950374)</f>
        <v>28.28165631</v>
      </c>
      <c r="AY300" s="32">
        <f>IFERROR(__xludf.DUMMYFUNCTION("""COMPUTED_VALUE"""),-5.194902642140851)</f>
        <v>-5.194902642</v>
      </c>
      <c r="AZ300" s="30">
        <f>IFERROR(__xludf.DUMMYFUNCTION("""COMPUTED_VALUE"""),6.058489162216797)</f>
        <v>6.058489162</v>
      </c>
      <c r="BA300" s="30">
        <f>IFERROR(__xludf.DUMMYFUNCTION("""COMPUTED_VALUE"""),1200.0)</f>
        <v>1200</v>
      </c>
    </row>
    <row r="301">
      <c r="A301" s="71" t="str">
        <f>IFERROR(__xludf.DUMMYFUNCTION("""COMPUTED_VALUE"""),"Veteran")</f>
        <v>Veteran</v>
      </c>
      <c r="B301" s="71" t="str">
        <f>IFERROR(__xludf.DUMMYFUNCTION("""COMPUTED_VALUE"""),"RSC003830")</f>
        <v>RSC003830</v>
      </c>
      <c r="C301" s="30" t="str">
        <f>IFERROR(__xludf.DUMMYFUNCTION("""COMPUTED_VALUE"""),"bradyK-")</f>
        <v>bradyK-</v>
      </c>
      <c r="D301" s="30" t="str">
        <f>IFERROR(__xludf.DUMMYFUNCTION("""COMPUTED_VALUE"""),"Makos")</f>
        <v>Makos</v>
      </c>
      <c r="E301" s="30">
        <f>IFERROR(__xludf.DUMMYFUNCTION("""COMPUTED_VALUE"""),48.0)</f>
        <v>48</v>
      </c>
      <c r="F301" s="30">
        <f>IFERROR(__xludf.DUMMYFUNCTION("""COMPUTED_VALUE"""),26.0)</f>
        <v>26</v>
      </c>
      <c r="G301" s="42">
        <f>IFERROR(__xludf.DUMMYFUNCTION("""COMPUTED_VALUE"""),22.0)</f>
        <v>22</v>
      </c>
      <c r="H301" s="42">
        <f>IFERROR(__xludf.DUMMYFUNCTION("""COMPUTED_VALUE"""),0.5416666666666666)</f>
        <v>0.5416666667</v>
      </c>
      <c r="I301" s="42">
        <f>IFERROR(__xludf.DUMMYFUNCTION("""COMPUTED_VALUE"""),0.325)</f>
        <v>0.325</v>
      </c>
      <c r="J301" s="30">
        <f>IFERROR(__xludf.DUMMYFUNCTION("""COMPUTED_VALUE"""),342.5)</f>
        <v>342.5</v>
      </c>
      <c r="K301" s="30">
        <f>IFERROR(__xludf.DUMMYFUNCTION("""COMPUTED_VALUE"""),0.8125)</f>
        <v>0.8125</v>
      </c>
      <c r="L301" s="30">
        <f>IFERROR(__xludf.DUMMYFUNCTION("""COMPUTED_VALUE"""),0.7291666666666666)</f>
        <v>0.7291666667</v>
      </c>
      <c r="M301" s="30">
        <f>IFERROR(__xludf.DUMMYFUNCTION("""COMPUTED_VALUE"""),1.0208333333333333)</f>
        <v>1.020833333</v>
      </c>
      <c r="N301" s="30">
        <f>IFERROR(__xludf.DUMMYFUNCTION("""COMPUTED_VALUE"""),2.5)</f>
        <v>2.5</v>
      </c>
      <c r="O301" s="30">
        <f>IFERROR(__xludf.DUMMYFUNCTION("""COMPUTED_VALUE"""),367.77083333333326)</f>
        <v>367.7708333</v>
      </c>
      <c r="P301" s="30">
        <f>IFERROR(__xludf.DUMMYFUNCTION("""COMPUTED_VALUE"""),0.8125)</f>
        <v>0.8125</v>
      </c>
      <c r="Q301" s="30">
        <f>IFERROR(__xludf.DUMMYFUNCTION("""COMPUTED_VALUE"""),0.5972222222222222)</f>
        <v>0.5972222222</v>
      </c>
      <c r="R301" s="30">
        <f>IFERROR(__xludf.DUMMYFUNCTION("""COMPUTED_VALUE"""),1.5)</f>
        <v>1.5</v>
      </c>
      <c r="S301" s="30">
        <f>IFERROR(__xludf.DUMMYFUNCTION("""COMPUTED_VALUE"""),2.631944444444444)</f>
        <v>2.631944444</v>
      </c>
      <c r="T301" s="30">
        <f>IFERROR(__xludf.DUMMYFUNCTION("""COMPUTED_VALUE"""),362.93268820864847)</f>
        <v>362.9326882</v>
      </c>
      <c r="U301" s="30">
        <f>IFERROR(__xludf.DUMMYFUNCTION("""COMPUTED_VALUE"""),0.8339007244274196)</f>
        <v>0.8339007244</v>
      </c>
      <c r="V301" s="30">
        <f>IFERROR(__xludf.DUMMYFUNCTION("""COMPUTED_VALUE"""),0.6303039338250017)</f>
        <v>0.6303039338</v>
      </c>
      <c r="W301" s="30">
        <f>IFERROR(__xludf.DUMMYFUNCTION("""COMPUTED_VALUE"""),1.3543486080367797)</f>
        <v>1.354348608</v>
      </c>
      <c r="X301" s="30">
        <f>IFERROR(__xludf.DUMMYFUNCTION("""COMPUTED_VALUE"""),2.8082540582809616)</f>
        <v>2.808254058</v>
      </c>
      <c r="Y301" s="30">
        <f>IFERROR(__xludf.DUMMYFUNCTION("""COMPUTED_VALUE"""),356.5928303557544)</f>
        <v>356.5928304</v>
      </c>
      <c r="Z301" s="30">
        <f>IFERROR(__xludf.DUMMYFUNCTION("""COMPUTED_VALUE"""),0.7787220980388376)</f>
        <v>0.778722098</v>
      </c>
      <c r="AA301" s="30">
        <f>IFERROR(__xludf.DUMMYFUNCTION("""COMPUTED_VALUE"""),0.5868761287695733)</f>
        <v>0.5868761288</v>
      </c>
      <c r="AB301" s="30">
        <f>IFERROR(__xludf.DUMMYFUNCTION("""COMPUTED_VALUE"""),1.4074477514521024)</f>
        <v>1.407447751</v>
      </c>
      <c r="AC301" s="30">
        <f>IFERROR(__xludf.DUMMYFUNCTION("""COMPUTED_VALUE"""),2.5914653305614377)</f>
        <v>2.591465331</v>
      </c>
      <c r="AD301" s="30">
        <f>IFERROR(__xludf.DUMMYFUNCTION("""COMPUTED_VALUE"""),0.9604792100231103)</f>
        <v>0.96047921</v>
      </c>
      <c r="AE301" s="30">
        <f>IFERROR(__xludf.DUMMYFUNCTION("""COMPUTED_VALUE"""),1.0433760670799377)</f>
        <v>1.043376067</v>
      </c>
      <c r="AF301" s="30">
        <f>IFERROR(__xludf.DUMMYFUNCTION("""COMPUTED_VALUE"""),1.2424541243403704)</f>
        <v>1.242454124</v>
      </c>
      <c r="AG301" s="30">
        <f>IFERROR(__xludf.DUMMYFUNCTION("""COMPUTED_VALUE"""),0.7253081560435274)</f>
        <v>0.725308156</v>
      </c>
      <c r="AH301" s="30">
        <f>IFERROR(__xludf.DUMMYFUNCTION("""COMPUTED_VALUE"""),0.9647051691246736)</f>
        <v>0.9647051691</v>
      </c>
      <c r="AI301" s="30">
        <f>IFERROR(__xludf.DUMMYFUNCTION("""COMPUTED_VALUE"""),1.013330695420588)</f>
        <v>1.013330695</v>
      </c>
      <c r="AJ301" s="30">
        <f>IFERROR(__xludf.DUMMYFUNCTION("""COMPUTED_VALUE"""),0.9743366041058258)</f>
        <v>0.9743366041</v>
      </c>
      <c r="AK301" s="30">
        <f>IFERROR(__xludf.DUMMYFUNCTION("""COMPUTED_VALUE"""),0.9475146674049406)</f>
        <v>0.9475146674</v>
      </c>
      <c r="AL301" s="30">
        <f>IFERROR(__xludf.DUMMYFUNCTION("""COMPUTED_VALUE"""),1.107543501797777)</f>
        <v>1.107543502</v>
      </c>
      <c r="AM301" s="30">
        <f>IFERROR(__xludf.DUMMYFUNCTION("""COMPUTED_VALUE"""),0.9372173563440185)</f>
        <v>0.9372173563</v>
      </c>
      <c r="AN301" s="30">
        <f>IFERROR(__xludf.DUMMYFUNCTION("""COMPUTED_VALUE"""),0.9907351361176518)</f>
        <v>0.9907351361</v>
      </c>
      <c r="AO301" s="30">
        <f>IFERROR(__xludf.DUMMYFUNCTION("""COMPUTED_VALUE"""),1.075357108593212)</f>
        <v>1.075357109</v>
      </c>
      <c r="AP301" s="30">
        <f>IFERROR(__xludf.DUMMYFUNCTION("""COMPUTED_VALUE"""),1.311786860518672)</f>
        <v>1.311786861</v>
      </c>
      <c r="AQ301" s="30">
        <f>IFERROR(__xludf.DUMMYFUNCTION("""COMPUTED_VALUE"""),0.7545124715758743)</f>
        <v>0.7545124716</v>
      </c>
      <c r="AR301" s="30">
        <f>IFERROR(__xludf.DUMMYFUNCTION("""COMPUTED_VALUE"""),0.9805794503671939)</f>
        <v>0.9805794504</v>
      </c>
      <c r="AS301" s="30">
        <f>IFERROR(__xludf.DUMMYFUNCTION("""COMPUTED_VALUE"""),118.0)</f>
        <v>118</v>
      </c>
      <c r="AT301" s="30">
        <f>IFERROR(__xludf.DUMMYFUNCTION("""COMPUTED_VALUE"""),0.5033564368550506)</f>
        <v>0.5033564369</v>
      </c>
      <c r="AU301" s="30">
        <f>IFERROR(__xludf.DUMMYFUNCTION("""COMPUTED_VALUE"""),2.1494560061449928)</f>
        <v>2.149456006</v>
      </c>
      <c r="AV301" s="32">
        <f>IFERROR(__xludf.DUMMYFUNCTION("""COMPUTED_VALUE"""),62.061547257336)</f>
        <v>62.06154726</v>
      </c>
      <c r="AW301" s="32">
        <f>IFERROR(__xludf.DUMMYFUNCTION("""COMPUTED_VALUE"""),3.177236424995734)</f>
        <v>3.177236425</v>
      </c>
      <c r="AX301" s="32">
        <f>IFERROR(__xludf.DUMMYFUNCTION("""COMPUTED_VALUE"""),42.53996346456775)</f>
        <v>42.53996346</v>
      </c>
      <c r="AY301" s="32">
        <f>IFERROR(__xludf.DUMMYFUNCTION("""COMPUTED_VALUE"""),-2.6130238178037444)</f>
        <v>-2.613023818</v>
      </c>
      <c r="AZ301" s="30">
        <f>IFERROR(__xludf.DUMMYFUNCTION("""COMPUTED_VALUE"""),5.790260242799478)</f>
        <v>5.790260243</v>
      </c>
      <c r="BA301" s="30">
        <f>IFERROR(__xludf.DUMMYFUNCTION("""COMPUTED_VALUE"""),1200.0)</f>
        <v>1200</v>
      </c>
    </row>
    <row r="302">
      <c r="A302" s="71" t="str">
        <f>IFERROR(__xludf.DUMMYFUNCTION("""COMPUTED_VALUE"""),"Veteran")</f>
        <v>Veteran</v>
      </c>
      <c r="B302" s="71" t="str">
        <f>IFERROR(__xludf.DUMMYFUNCTION("""COMPUTED_VALUE"""),"RSC006427")</f>
        <v>RSC006427</v>
      </c>
      <c r="C302" s="30" t="str">
        <f>IFERROR(__xludf.DUMMYFUNCTION("""COMPUTED_VALUE"""),"NukeTech96")</f>
        <v>NukeTech96</v>
      </c>
      <c r="D302" s="30" t="str">
        <f>IFERROR(__xludf.DUMMYFUNCTION("""COMPUTED_VALUE"""),"Mosaic Maestros")</f>
        <v>Mosaic Maestros</v>
      </c>
      <c r="E302" s="30">
        <f>IFERROR(__xludf.DUMMYFUNCTION("""COMPUTED_VALUE"""),41.0)</f>
        <v>41</v>
      </c>
      <c r="F302" s="30">
        <f>IFERROR(__xludf.DUMMYFUNCTION("""COMPUTED_VALUE"""),24.0)</f>
        <v>24</v>
      </c>
      <c r="G302" s="42">
        <f>IFERROR(__xludf.DUMMYFUNCTION("""COMPUTED_VALUE"""),17.0)</f>
        <v>17</v>
      </c>
      <c r="H302" s="42">
        <f>IFERROR(__xludf.DUMMYFUNCTION("""COMPUTED_VALUE"""),0.5853658536585366)</f>
        <v>0.5853658537</v>
      </c>
      <c r="I302" s="42">
        <f>IFERROR(__xludf.DUMMYFUNCTION("""COMPUTED_VALUE"""),0.3277310924369748)</f>
        <v>0.3277310924</v>
      </c>
      <c r="J302" s="30">
        <f>IFERROR(__xludf.DUMMYFUNCTION("""COMPUTED_VALUE"""),366.5609756097561)</f>
        <v>366.5609756</v>
      </c>
      <c r="K302" s="30">
        <f>IFERROR(__xludf.DUMMYFUNCTION("""COMPUTED_VALUE"""),0.9512195121951219)</f>
        <v>0.9512195122</v>
      </c>
      <c r="L302" s="30">
        <f>IFERROR(__xludf.DUMMYFUNCTION("""COMPUTED_VALUE"""),0.5609756097560976)</f>
        <v>0.5609756098</v>
      </c>
      <c r="M302" s="30">
        <f>IFERROR(__xludf.DUMMYFUNCTION("""COMPUTED_VALUE"""),1.1951219512195121)</f>
        <v>1.195121951</v>
      </c>
      <c r="N302" s="30">
        <f>IFERROR(__xludf.DUMMYFUNCTION("""COMPUTED_VALUE"""),2.902439024390244)</f>
        <v>2.902439024</v>
      </c>
      <c r="O302" s="30">
        <f>IFERROR(__xludf.DUMMYFUNCTION("""COMPUTED_VALUE"""),373.6260162601626)</f>
        <v>373.6260163</v>
      </c>
      <c r="P302" s="30">
        <f>IFERROR(__xludf.DUMMYFUNCTION("""COMPUTED_VALUE"""),0.8211382113821137)</f>
        <v>0.8211382114</v>
      </c>
      <c r="Q302" s="30">
        <f>IFERROR(__xludf.DUMMYFUNCTION("""COMPUTED_VALUE"""),0.5934959349593496)</f>
        <v>0.593495935</v>
      </c>
      <c r="R302" s="30">
        <f>IFERROR(__xludf.DUMMYFUNCTION("""COMPUTED_VALUE"""),1.5284552845528456)</f>
        <v>1.528455285</v>
      </c>
      <c r="S302" s="30">
        <f>IFERROR(__xludf.DUMMYFUNCTION("""COMPUTED_VALUE"""),2.5447154471544726)</f>
        <v>2.544715447</v>
      </c>
      <c r="T302" s="30">
        <f>IFERROR(__xludf.DUMMYFUNCTION("""COMPUTED_VALUE"""),354.7328716994595)</f>
        <v>354.7328717</v>
      </c>
      <c r="U302" s="30">
        <f>IFERROR(__xludf.DUMMYFUNCTION("""COMPUTED_VALUE"""),0.787627033659244)</f>
        <v>0.7876270337</v>
      </c>
      <c r="V302" s="30">
        <f>IFERROR(__xludf.DUMMYFUNCTION("""COMPUTED_VALUE"""),0.5874720298050133)</f>
        <v>0.5874720298</v>
      </c>
      <c r="W302" s="30">
        <f>IFERROR(__xludf.DUMMYFUNCTION("""COMPUTED_VALUE"""),1.398803885052322)</f>
        <v>1.398803885</v>
      </c>
      <c r="X302" s="30">
        <f>IFERROR(__xludf.DUMMYFUNCTION("""COMPUTED_VALUE"""),2.609401925083313)</f>
        <v>2.609401925</v>
      </c>
      <c r="Y302" s="30">
        <f>IFERROR(__xludf.DUMMYFUNCTION("""COMPUTED_VALUE"""),360.12292286351567)</f>
        <v>360.1229229</v>
      </c>
      <c r="Z302" s="30">
        <f>IFERROR(__xludf.DUMMYFUNCTION("""COMPUTED_VALUE"""),0.825189172922246)</f>
        <v>0.8251891729</v>
      </c>
      <c r="AA302" s="30">
        <f>IFERROR(__xludf.DUMMYFUNCTION("""COMPUTED_VALUE"""),0.5914069582967146)</f>
        <v>0.5914069583</v>
      </c>
      <c r="AB302" s="30">
        <f>IFERROR(__xludf.DUMMYFUNCTION("""COMPUTED_VALUE"""),1.3606754530362493)</f>
        <v>1.360675453</v>
      </c>
      <c r="AC302" s="30">
        <f>IFERROR(__xludf.DUMMYFUNCTION("""COMPUTED_VALUE"""),2.7095831375911015)</f>
        <v>2.709583138</v>
      </c>
      <c r="AD302" s="30">
        <f>IFERROR(__xludf.DUMMYFUNCTION("""COMPUTED_VALUE"""),1.0178773755778951)</f>
        <v>1.017877376</v>
      </c>
      <c r="AE302" s="30">
        <f>IFERROR(__xludf.DUMMYFUNCTION("""COMPUTED_VALUE"""),1.1527290267594812)</f>
        <v>1.152729027</v>
      </c>
      <c r="AF302" s="30">
        <f>IFERROR(__xludf.DUMMYFUNCTION("""COMPUTED_VALUE"""),0.9485441486379176)</f>
        <v>0.9485441486</v>
      </c>
      <c r="AG302" s="30">
        <f>IFERROR(__xludf.DUMMYFUNCTION("""COMPUTED_VALUE"""),0.8783299122157923)</f>
        <v>0.8783299122</v>
      </c>
      <c r="AH302" s="30">
        <f>IFERROR(__xludf.DUMMYFUNCTION("""COMPUTED_VALUE"""),1.0711754823550448)</f>
        <v>1.071175482</v>
      </c>
      <c r="AI302" s="30">
        <f>IFERROR(__xludf.DUMMYFUNCTION("""COMPUTED_VALUE"""),1.053260202445264)</f>
        <v>1.053260202</v>
      </c>
      <c r="AJ302" s="30">
        <f>IFERROR(__xludf.DUMMYFUNCTION("""COMPUTED_VALUE"""),1.0425470131048953)</f>
        <v>1.042547013</v>
      </c>
      <c r="AK302" s="30">
        <f>IFERROR(__xludf.DUMMYFUNCTION("""COMPUTED_VALUE"""),1.0102539437602427)</f>
        <v>1.010253944</v>
      </c>
      <c r="AL302" s="30">
        <f>IFERROR(__xludf.DUMMYFUNCTION("""COMPUTED_VALUE"""),1.092687331573771)</f>
        <v>1.092687332</v>
      </c>
      <c r="AM302" s="30">
        <f>IFERROR(__xludf.DUMMYFUNCTION("""COMPUTED_VALUE"""),0.9752102283258739)</f>
        <v>0.9752102283</v>
      </c>
      <c r="AN302" s="30">
        <f>IFERROR(__xludf.DUMMYFUNCTION("""COMPUTED_VALUE"""),1.0603352936237984)</f>
        <v>1.060335294</v>
      </c>
      <c r="AO302" s="30">
        <f>IFERROR(__xludf.DUMMYFUNCTION("""COMPUTED_VALUE"""),1.2589546637188824)</f>
        <v>1.258954664</v>
      </c>
      <c r="AP302" s="30">
        <f>IFERROR(__xludf.DUMMYFUNCTION("""COMPUTED_VALUE"""),1.0092074522735988)</f>
        <v>1.009207452</v>
      </c>
      <c r="AQ302" s="30">
        <f>IFERROR(__xludf.DUMMYFUNCTION("""COMPUTED_VALUE"""),0.883331674040048)</f>
        <v>0.883331674</v>
      </c>
      <c r="AR302" s="30">
        <f>IFERROR(__xludf.DUMMYFUNCTION("""COMPUTED_VALUE"""),1.138428825304352)</f>
        <v>1.138428825</v>
      </c>
      <c r="AS302" s="30">
        <f>IFERROR(__xludf.DUMMYFUNCTION("""COMPUTED_VALUE"""),112.0)</f>
        <v>112</v>
      </c>
      <c r="AT302" s="30">
        <f>IFERROR(__xludf.DUMMYFUNCTION("""COMPUTED_VALUE"""),0.5413762666292917)</f>
        <v>0.5413762666</v>
      </c>
      <c r="AU302" s="30">
        <f>IFERROR(__xludf.DUMMYFUNCTION("""COMPUTED_VALUE"""),2.173732574954221)</f>
        <v>2.173732575</v>
      </c>
      <c r="AV302" s="32">
        <f>IFERROR(__xludf.DUMMYFUNCTION("""COMPUTED_VALUE"""),62.92948542105789)</f>
        <v>62.92948542</v>
      </c>
      <c r="AW302" s="32">
        <f>IFERROR(__xludf.DUMMYFUNCTION("""COMPUTED_VALUE"""),3.3056161872407674)</f>
        <v>3.305616187</v>
      </c>
      <c r="AX302" s="32">
        <f>IFERROR(__xludf.DUMMYFUNCTION("""COMPUTED_VALUE"""),46.39985071709819)</f>
        <v>46.39985072</v>
      </c>
      <c r="AY302" s="32">
        <f>IFERROR(__xludf.DUMMYFUNCTION("""COMPUTED_VALUE"""),-2.2586217835067175)</f>
        <v>-2.258621784</v>
      </c>
      <c r="AZ302" s="30">
        <f>IFERROR(__xludf.DUMMYFUNCTION("""COMPUTED_VALUE"""),5.5642379707474845)</f>
        <v>5.564237971</v>
      </c>
      <c r="BA302" s="30">
        <f>IFERROR(__xludf.DUMMYFUNCTION("""COMPUTED_VALUE"""),1200.0)</f>
        <v>1200</v>
      </c>
    </row>
    <row r="303">
      <c r="A303" s="71" t="str">
        <f>IFERROR(__xludf.DUMMYFUNCTION("""COMPUTED_VALUE"""),"Veteran")</f>
        <v>Veteran</v>
      </c>
      <c r="B303" s="71" t="str">
        <f>IFERROR(__xludf.DUMMYFUNCTION("""COMPUTED_VALUE"""),"RSC005505")</f>
        <v>RSC005505</v>
      </c>
      <c r="C303" s="30" t="str">
        <f>IFERROR(__xludf.DUMMYFUNCTION("""COMPUTED_VALUE"""),"The_Wheelman_95")</f>
        <v>The_Wheelman_95</v>
      </c>
      <c r="D303" s="30" t="str">
        <f>IFERROR(__xludf.DUMMYFUNCTION("""COMPUTED_VALUE"""),"Penguins")</f>
        <v>Penguins</v>
      </c>
      <c r="E303" s="30">
        <f>IFERROR(__xludf.DUMMYFUNCTION("""COMPUTED_VALUE"""),21.0)</f>
        <v>21</v>
      </c>
      <c r="F303" s="30">
        <f>IFERROR(__xludf.DUMMYFUNCTION("""COMPUTED_VALUE"""),13.0)</f>
        <v>13</v>
      </c>
      <c r="G303" s="42">
        <f>IFERROR(__xludf.DUMMYFUNCTION("""COMPUTED_VALUE"""),8.0)</f>
        <v>8</v>
      </c>
      <c r="H303" s="42">
        <f>IFERROR(__xludf.DUMMYFUNCTION("""COMPUTED_VALUE"""),0.6190476190476191)</f>
        <v>0.619047619</v>
      </c>
      <c r="I303" s="42">
        <f>IFERROR(__xludf.DUMMYFUNCTION("""COMPUTED_VALUE"""),0.3541666666666667)</f>
        <v>0.3541666667</v>
      </c>
      <c r="J303" s="30">
        <f>IFERROR(__xludf.DUMMYFUNCTION("""COMPUTED_VALUE"""),354.0)</f>
        <v>354</v>
      </c>
      <c r="K303" s="30">
        <f>IFERROR(__xludf.DUMMYFUNCTION("""COMPUTED_VALUE"""),0.8095238095238095)</f>
        <v>0.8095238095</v>
      </c>
      <c r="L303" s="30">
        <f>IFERROR(__xludf.DUMMYFUNCTION("""COMPUTED_VALUE"""),0.5238095238095238)</f>
        <v>0.5238095238</v>
      </c>
      <c r="M303" s="30">
        <f>IFERROR(__xludf.DUMMYFUNCTION("""COMPUTED_VALUE"""),1.4761904761904763)</f>
        <v>1.476190476</v>
      </c>
      <c r="N303" s="30">
        <f>IFERROR(__xludf.DUMMYFUNCTION("""COMPUTED_VALUE"""),2.2857142857142856)</f>
        <v>2.285714286</v>
      </c>
      <c r="O303" s="30">
        <f>IFERROR(__xludf.DUMMYFUNCTION("""COMPUTED_VALUE"""),340.9206349206349)</f>
        <v>340.9206349</v>
      </c>
      <c r="P303" s="30">
        <f>IFERROR(__xludf.DUMMYFUNCTION("""COMPUTED_VALUE"""),0.6507936507936509)</f>
        <v>0.6507936508</v>
      </c>
      <c r="Q303" s="30">
        <f>IFERROR(__xludf.DUMMYFUNCTION("""COMPUTED_VALUE"""),0.4920634920634921)</f>
        <v>0.4920634921</v>
      </c>
      <c r="R303" s="30">
        <f>IFERROR(__xludf.DUMMYFUNCTION("""COMPUTED_VALUE"""),1.492063492063492)</f>
        <v>1.492063492</v>
      </c>
      <c r="S303" s="30">
        <f>IFERROR(__xludf.DUMMYFUNCTION("""COMPUTED_VALUE"""),2.492063492063492)</f>
        <v>2.492063492</v>
      </c>
      <c r="T303" s="30">
        <f>IFERROR(__xludf.DUMMYFUNCTION("""COMPUTED_VALUE"""),357.209017692123)</f>
        <v>357.2090177</v>
      </c>
      <c r="U303" s="30">
        <f>IFERROR(__xludf.DUMMYFUNCTION("""COMPUTED_VALUE"""),0.804457464838617)</f>
        <v>0.8044574648</v>
      </c>
      <c r="V303" s="30">
        <f>IFERROR(__xludf.DUMMYFUNCTION("""COMPUTED_VALUE"""),0.6154315773636784)</f>
        <v>0.6154315774</v>
      </c>
      <c r="W303" s="30">
        <f>IFERROR(__xludf.DUMMYFUNCTION("""COMPUTED_VALUE"""),1.3436540324364965)</f>
        <v>1.343654032</v>
      </c>
      <c r="X303" s="30">
        <f>IFERROR(__xludf.DUMMYFUNCTION("""COMPUTED_VALUE"""),2.6578188372583598)</f>
        <v>2.657818837</v>
      </c>
      <c r="Y303" s="30">
        <f>IFERROR(__xludf.DUMMYFUNCTION("""COMPUTED_VALUE"""),350.54803222846556)</f>
        <v>350.5480322</v>
      </c>
      <c r="Z303" s="30">
        <f>IFERROR(__xludf.DUMMYFUNCTION("""COMPUTED_VALUE"""),0.7729800379752044)</f>
        <v>0.772980038</v>
      </c>
      <c r="AA303" s="30">
        <f>IFERROR(__xludf.DUMMYFUNCTION("""COMPUTED_VALUE"""),0.5510220657320396)</f>
        <v>0.5510220657</v>
      </c>
      <c r="AB303" s="30">
        <f>IFERROR(__xludf.DUMMYFUNCTION("""COMPUTED_VALUE"""),1.34514934013655)</f>
        <v>1.34514934</v>
      </c>
      <c r="AC303" s="30">
        <f>IFERROR(__xludf.DUMMYFUNCTION("""COMPUTED_VALUE"""),2.5596294444831935)</f>
        <v>2.559629444</v>
      </c>
      <c r="AD303" s="30">
        <f>IFERROR(__xludf.DUMMYFUNCTION("""COMPUTED_VALUE"""),1.0098473460244235)</f>
        <v>1.009847346</v>
      </c>
      <c r="AE303" s="30">
        <f>IFERROR(__xludf.DUMMYFUNCTION("""COMPUTED_VALUE"""),1.0472764751394232)</f>
        <v>1.047276475</v>
      </c>
      <c r="AF303" s="30">
        <f>IFERROR(__xludf.DUMMYFUNCTION("""COMPUTED_VALUE"""),0.9506144243309683)</f>
        <v>0.9506144243</v>
      </c>
      <c r="AG303" s="30">
        <f>IFERROR(__xludf.DUMMYFUNCTION("""COMPUTED_VALUE"""),1.0974175373275832)</f>
        <v>1.097417537</v>
      </c>
      <c r="AH303" s="30">
        <f>IFERROR(__xludf.DUMMYFUNCTION("""COMPUTED_VALUE"""),0.8929864010748583)</f>
        <v>0.8929864011</v>
      </c>
      <c r="AI303" s="30">
        <f>IFERROR(__xludf.DUMMYFUNCTION("""COMPUTED_VALUE"""),0.9544009754380641)</f>
        <v>0.9544009754</v>
      </c>
      <c r="AJ303" s="30">
        <f>IFERROR(__xludf.DUMMYFUNCTION("""COMPUTED_VALUE"""),0.8089845383238594)</f>
        <v>0.8089845383</v>
      </c>
      <c r="AK303" s="30">
        <f>IFERROR(__xludf.DUMMYFUNCTION("""COMPUTED_VALUE"""),0.7995421589697141)</f>
        <v>0.799542159</v>
      </c>
      <c r="AL303" s="30">
        <f>IFERROR(__xludf.DUMMYFUNCTION("""COMPUTED_VALUE"""),1.1104521372647387)</f>
        <v>1.110452137</v>
      </c>
      <c r="AM303" s="30">
        <f>IFERROR(__xludf.DUMMYFUNCTION("""COMPUTED_VALUE"""),0.9376348218805423)</f>
        <v>0.9376348219</v>
      </c>
      <c r="AN303" s="30">
        <f>IFERROR(__xludf.DUMMYFUNCTION("""COMPUTED_VALUE"""),1.0240006954325511)</f>
        <v>1.024000695</v>
      </c>
      <c r="AO303" s="30">
        <f>IFERROR(__xludf.DUMMYFUNCTION("""COMPUTED_VALUE"""),1.0714180715653983)</f>
        <v>1.071418072</v>
      </c>
      <c r="AP303" s="30">
        <f>IFERROR(__xludf.DUMMYFUNCTION("""COMPUTED_VALUE"""),0.942344846739944)</f>
        <v>0.9423448467</v>
      </c>
      <c r="AQ303" s="30">
        <f>IFERROR(__xludf.DUMMYFUNCTION("""COMPUTED_VALUE"""),1.0910734282846464)</f>
        <v>1.091073428</v>
      </c>
      <c r="AR303" s="30">
        <f>IFERROR(__xludf.DUMMYFUNCTION("""COMPUTED_VALUE"""),0.8965297831928629)</f>
        <v>0.8965297832</v>
      </c>
      <c r="AS303" s="30">
        <f>IFERROR(__xludf.DUMMYFUNCTION("""COMPUTED_VALUE"""),56.0)</f>
        <v>56</v>
      </c>
      <c r="AT303" s="30">
        <f>IFERROR(__xludf.DUMMYFUNCTION("""COMPUTED_VALUE"""),0.6186207192700075)</f>
        <v>0.6186207193</v>
      </c>
      <c r="AU303" s="30">
        <f>IFERROR(__xludf.DUMMYFUNCTION("""COMPUTED_VALUE"""),2.0454437178580376)</f>
        <v>2.045443718</v>
      </c>
      <c r="AV303" s="32">
        <f>IFERROR(__xludf.DUMMYFUNCTION("""COMPUTED_VALUE"""),58.34289017652256)</f>
        <v>58.34289018</v>
      </c>
      <c r="AW303" s="32">
        <f>IFERROR(__xludf.DUMMYFUNCTION("""COMPUTED_VALUE"""),2.7078469849019045)</f>
        <v>2.707846985</v>
      </c>
      <c r="AX303" s="32">
        <f>IFERROR(__xludf.DUMMYFUNCTION("""COMPUTED_VALUE"""),41.45741888041009)</f>
        <v>41.45741888</v>
      </c>
      <c r="AY303" s="32">
        <f>IFERROR(__xludf.DUMMYFUNCTION("""COMPUTED_VALUE"""),-2.730098764331501)</f>
        <v>-2.730098764</v>
      </c>
      <c r="AZ303" s="30">
        <f>IFERROR(__xludf.DUMMYFUNCTION("""COMPUTED_VALUE"""),5.437945749233405)</f>
        <v>5.437945749</v>
      </c>
      <c r="BA303" s="30">
        <f>IFERROR(__xludf.DUMMYFUNCTION("""COMPUTED_VALUE"""),1200.0)</f>
        <v>1200</v>
      </c>
    </row>
    <row r="304">
      <c r="A304" s="71" t="str">
        <f>IFERROR(__xludf.DUMMYFUNCTION("""COMPUTED_VALUE"""),"Veteran")</f>
        <v>Veteran</v>
      </c>
      <c r="B304" s="71" t="str">
        <f>IFERROR(__xludf.DUMMYFUNCTION("""COMPUTED_VALUE"""),"RSC000625")</f>
        <v>RSC000625</v>
      </c>
      <c r="C304" s="30" t="str">
        <f>IFERROR(__xludf.DUMMYFUNCTION("""COMPUTED_VALUE"""),"Sly")</f>
        <v>Sly</v>
      </c>
      <c r="D304" s="30" t="str">
        <f>IFERROR(__xludf.DUMMYFUNCTION("""COMPUTED_VALUE"""),"Rulers")</f>
        <v>Rulers</v>
      </c>
      <c r="E304" s="30">
        <f>IFERROR(__xludf.DUMMYFUNCTION("""COMPUTED_VALUE"""),29.0)</f>
        <v>29</v>
      </c>
      <c r="F304" s="30">
        <f>IFERROR(__xludf.DUMMYFUNCTION("""COMPUTED_VALUE"""),14.0)</f>
        <v>14</v>
      </c>
      <c r="G304" s="42">
        <f>IFERROR(__xludf.DUMMYFUNCTION("""COMPUTED_VALUE"""),15.0)</f>
        <v>15</v>
      </c>
      <c r="H304" s="42">
        <f>IFERROR(__xludf.DUMMYFUNCTION("""COMPUTED_VALUE"""),0.4827586206896552)</f>
        <v>0.4827586207</v>
      </c>
      <c r="I304" s="42">
        <f>IFERROR(__xludf.DUMMYFUNCTION("""COMPUTED_VALUE"""),0.28)</f>
        <v>0.28</v>
      </c>
      <c r="J304" s="30">
        <f>IFERROR(__xludf.DUMMYFUNCTION("""COMPUTED_VALUE"""),269.2068965517241)</f>
        <v>269.2068966</v>
      </c>
      <c r="K304" s="30">
        <f>IFERROR(__xludf.DUMMYFUNCTION("""COMPUTED_VALUE"""),0.4827586206896552)</f>
        <v>0.4827586207</v>
      </c>
      <c r="L304" s="30">
        <f>IFERROR(__xludf.DUMMYFUNCTION("""COMPUTED_VALUE"""),0.6551724137931034)</f>
        <v>0.6551724138</v>
      </c>
      <c r="M304" s="30">
        <f>IFERROR(__xludf.DUMMYFUNCTION("""COMPUTED_VALUE"""),0.896551724137931)</f>
        <v>0.8965517241</v>
      </c>
      <c r="N304" s="30">
        <f>IFERROR(__xludf.DUMMYFUNCTION("""COMPUTED_VALUE"""),1.7241379310344827)</f>
        <v>1.724137931</v>
      </c>
      <c r="O304" s="30">
        <f>IFERROR(__xludf.DUMMYFUNCTION("""COMPUTED_VALUE"""),322.88505747126436)</f>
        <v>322.8850575</v>
      </c>
      <c r="P304" s="30">
        <f>IFERROR(__xludf.DUMMYFUNCTION("""COMPUTED_VALUE"""),0.6666666666666666)</f>
        <v>0.6666666667</v>
      </c>
      <c r="Q304" s="30">
        <f>IFERROR(__xludf.DUMMYFUNCTION("""COMPUTED_VALUE"""),0.4942528735632184)</f>
        <v>0.4942528736</v>
      </c>
      <c r="R304" s="30">
        <f>IFERROR(__xludf.DUMMYFUNCTION("""COMPUTED_VALUE"""),1.160919540229885)</f>
        <v>1.16091954</v>
      </c>
      <c r="S304" s="30">
        <f>IFERROR(__xludf.DUMMYFUNCTION("""COMPUTED_VALUE"""),2.885057471264368)</f>
        <v>2.885057471</v>
      </c>
      <c r="T304" s="30">
        <f>IFERROR(__xludf.DUMMYFUNCTION("""COMPUTED_VALUE"""),352.8757892733448)</f>
        <v>352.8757893</v>
      </c>
      <c r="U304" s="30">
        <f>IFERROR(__xludf.DUMMYFUNCTION("""COMPUTED_VALUE"""),0.8221534645927582)</f>
        <v>0.8221534646</v>
      </c>
      <c r="V304" s="30">
        <f>IFERROR(__xludf.DUMMYFUNCTION("""COMPUTED_VALUE"""),0.5669203038570978)</f>
        <v>0.5669203039</v>
      </c>
      <c r="W304" s="30">
        <f>IFERROR(__xludf.DUMMYFUNCTION("""COMPUTED_VALUE"""),1.2862244682538966)</f>
        <v>1.286224468</v>
      </c>
      <c r="X304" s="30">
        <f>IFERROR(__xludf.DUMMYFUNCTION("""COMPUTED_VALUE"""),2.6635217532529047)</f>
        <v>2.663521753</v>
      </c>
      <c r="Y304" s="30">
        <f>IFERROR(__xludf.DUMMYFUNCTION("""COMPUTED_VALUE"""),352.13529721398675)</f>
        <v>352.1352972</v>
      </c>
      <c r="Z304" s="30">
        <f>IFERROR(__xludf.DUMMYFUNCTION("""COMPUTED_VALUE"""),0.7834148026967991)</f>
        <v>0.7834148027</v>
      </c>
      <c r="AA304" s="30">
        <f>IFERROR(__xludf.DUMMYFUNCTION("""COMPUTED_VALUE"""),0.5799435631118836)</f>
        <v>0.5799435631</v>
      </c>
      <c r="AB304" s="30">
        <f>IFERROR(__xludf.DUMMYFUNCTION("""COMPUTED_VALUE"""),1.3745234091724163)</f>
        <v>1.374523409</v>
      </c>
      <c r="AC304" s="30">
        <f>IFERROR(__xludf.DUMMYFUNCTION("""COMPUTED_VALUE"""),2.5439515493400595)</f>
        <v>2.543951549</v>
      </c>
      <c r="AD304" s="30">
        <f>IFERROR(__xludf.DUMMYFUNCTION("""COMPUTED_VALUE"""),0.7644984717000171)</f>
        <v>0.7644984717</v>
      </c>
      <c r="AE304" s="30">
        <f>IFERROR(__xludf.DUMMYFUNCTION("""COMPUTED_VALUE"""),0.6162235115137271)</f>
        <v>0.6162235115</v>
      </c>
      <c r="AF304" s="30">
        <f>IFERROR(__xludf.DUMMYFUNCTION("""COMPUTED_VALUE"""),1.129717537129913)</f>
        <v>1.129717537</v>
      </c>
      <c r="AG304" s="30">
        <f>IFERROR(__xludf.DUMMYFUNCTION("""COMPUTED_VALUE"""),0.6522636996613494)</f>
        <v>0.6522636997</v>
      </c>
      <c r="AH304" s="30">
        <f>IFERROR(__xludf.DUMMYFUNCTION("""COMPUTED_VALUE"""),0.6777400817565691)</f>
        <v>0.6777400818</v>
      </c>
      <c r="AI304" s="30">
        <f>IFERROR(__xludf.DUMMYFUNCTION("""COMPUTED_VALUE"""),0.9150105144253775)</f>
        <v>0.9150105144</v>
      </c>
      <c r="AJ304" s="30">
        <f>IFERROR(__xludf.DUMMYFUNCTION("""COMPUTED_VALUE"""),0.8108786198412364)</f>
        <v>0.8108786198</v>
      </c>
      <c r="AK304" s="30">
        <f>IFERROR(__xludf.DUMMYFUNCTION("""COMPUTED_VALUE"""),0.871820730710332)</f>
        <v>0.8718207307</v>
      </c>
      <c r="AL304" s="30">
        <f>IFERROR(__xludf.DUMMYFUNCTION("""COMPUTED_VALUE"""),0.9025792689248727)</f>
        <v>0.9025792689</v>
      </c>
      <c r="AM304" s="30">
        <f>IFERROR(__xludf.DUMMYFUNCTION("""COMPUTED_VALUE"""),1.0831739848720614)</f>
        <v>1.083173985</v>
      </c>
      <c r="AN304" s="30">
        <f>IFERROR(__xludf.DUMMYFUNCTION("""COMPUTED_VALUE"""),0.7787233030627242)</f>
        <v>0.7787233031</v>
      </c>
      <c r="AO304" s="30">
        <f>IFERROR(__xludf.DUMMYFUNCTION("""COMPUTED_VALUE"""),0.6389389716840306)</f>
        <v>0.6389389717</v>
      </c>
      <c r="AP304" s="30">
        <f>IFERROR(__xludf.DUMMYFUNCTION("""COMPUTED_VALUE"""),1.1786695731951022)</f>
        <v>1.178669573</v>
      </c>
      <c r="AQ304" s="30">
        <f>IFERROR(__xludf.DUMMYFUNCTION("""COMPUTED_VALUE"""),0.6626541622284948)</f>
        <v>0.6626541622</v>
      </c>
      <c r="AR304" s="30">
        <f>IFERROR(__xludf.DUMMYFUNCTION("""COMPUTED_VALUE"""),0.6762616899084095)</f>
        <v>0.6762616899</v>
      </c>
      <c r="AS304" s="30">
        <f>IFERROR(__xludf.DUMMYFUNCTION("""COMPUTED_VALUE"""),62.0)</f>
        <v>62</v>
      </c>
      <c r="AT304" s="30">
        <f>IFERROR(__xludf.DUMMYFUNCTION("""COMPUTED_VALUE"""),0.525041650784979)</f>
        <v>0.5250416508</v>
      </c>
      <c r="AU304" s="30">
        <f>IFERROR(__xludf.DUMMYFUNCTION("""COMPUTED_VALUE"""),1.3329079773394625)</f>
        <v>1.332907977</v>
      </c>
      <c r="AV304" s="32">
        <f>IFERROR(__xludf.DUMMYFUNCTION("""COMPUTED_VALUE"""),32.868245589317965)</f>
        <v>32.86824559</v>
      </c>
      <c r="AW304" s="32">
        <f>IFERROR(__xludf.DUMMYFUNCTION("""COMPUTED_VALUE"""),-4.0553683688847535)</f>
        <v>-4.055368369</v>
      </c>
      <c r="AX304" s="32">
        <f>IFERROR(__xludf.DUMMYFUNCTION("""COMPUTED_VALUE"""),18.72330188609947)</f>
        <v>18.72330189</v>
      </c>
      <c r="AY304" s="32">
        <f>IFERROR(__xludf.DUMMYFUNCTION("""COMPUTED_VALUE"""),-9.482731379732318)</f>
        <v>-9.48273138</v>
      </c>
      <c r="AZ304" s="30">
        <f>IFERROR(__xludf.DUMMYFUNCTION("""COMPUTED_VALUE"""),5.427363010847564)</f>
        <v>5.427363011</v>
      </c>
      <c r="BA304" s="30">
        <f>IFERROR(__xludf.DUMMYFUNCTION("""COMPUTED_VALUE"""),1200.0)</f>
        <v>1200</v>
      </c>
    </row>
    <row r="305">
      <c r="A305" s="71" t="str">
        <f>IFERROR(__xludf.DUMMYFUNCTION("""COMPUTED_VALUE"""),"Veteran")</f>
        <v>Veteran</v>
      </c>
      <c r="B305" s="71" t="str">
        <f>IFERROR(__xludf.DUMMYFUNCTION("""COMPUTED_VALUE"""),"RSC002780")</f>
        <v>RSC002780</v>
      </c>
      <c r="C305" s="30" t="str">
        <f>IFERROR(__xludf.DUMMYFUNCTION("""COMPUTED_VALUE"""),"Lickadoss77")</f>
        <v>Lickadoss77</v>
      </c>
      <c r="D305" s="30" t="str">
        <f>IFERROR(__xludf.DUMMYFUNCTION("""COMPUTED_VALUE"""),"Water")</f>
        <v>Water</v>
      </c>
      <c r="E305" s="30">
        <f>IFERROR(__xludf.DUMMYFUNCTION("""COMPUTED_VALUE"""),46.0)</f>
        <v>46</v>
      </c>
      <c r="F305" s="30">
        <f>IFERROR(__xludf.DUMMYFUNCTION("""COMPUTED_VALUE"""),26.0)</f>
        <v>26</v>
      </c>
      <c r="G305" s="42">
        <f>IFERROR(__xludf.DUMMYFUNCTION("""COMPUTED_VALUE"""),20.0)</f>
        <v>20</v>
      </c>
      <c r="H305" s="42">
        <f>IFERROR(__xludf.DUMMYFUNCTION("""COMPUTED_VALUE"""),0.5652173913043478)</f>
        <v>0.5652173913</v>
      </c>
      <c r="I305" s="42">
        <f>IFERROR(__xludf.DUMMYFUNCTION("""COMPUTED_VALUE"""),0.3050847457627119)</f>
        <v>0.3050847458</v>
      </c>
      <c r="J305" s="30">
        <f>IFERROR(__xludf.DUMMYFUNCTION("""COMPUTED_VALUE"""),337.7608695652174)</f>
        <v>337.7608696</v>
      </c>
      <c r="K305" s="30">
        <f>IFERROR(__xludf.DUMMYFUNCTION("""COMPUTED_VALUE"""),0.782608695652174)</f>
        <v>0.7826086957</v>
      </c>
      <c r="L305" s="30">
        <f>IFERROR(__xludf.DUMMYFUNCTION("""COMPUTED_VALUE"""),0.6739130434782609)</f>
        <v>0.6739130435</v>
      </c>
      <c r="M305" s="30">
        <f>IFERROR(__xludf.DUMMYFUNCTION("""COMPUTED_VALUE"""),1.065217391304348)</f>
        <v>1.065217391</v>
      </c>
      <c r="N305" s="30">
        <f>IFERROR(__xludf.DUMMYFUNCTION("""COMPUTED_VALUE"""),2.5652173913043477)</f>
        <v>2.565217391</v>
      </c>
      <c r="O305" s="30">
        <f>IFERROR(__xludf.DUMMYFUNCTION("""COMPUTED_VALUE"""),323.6811594202898)</f>
        <v>323.6811594</v>
      </c>
      <c r="P305" s="30">
        <f>IFERROR(__xludf.DUMMYFUNCTION("""COMPUTED_VALUE"""),0.6666666666666665)</f>
        <v>0.6666666667</v>
      </c>
      <c r="Q305" s="30">
        <f>IFERROR(__xludf.DUMMYFUNCTION("""COMPUTED_VALUE"""),0.4782608695652174)</f>
        <v>0.4782608696</v>
      </c>
      <c r="R305" s="30">
        <f>IFERROR(__xludf.DUMMYFUNCTION("""COMPUTED_VALUE"""),1.2028985507246375)</f>
        <v>1.202898551</v>
      </c>
      <c r="S305" s="30">
        <f>IFERROR(__xludf.DUMMYFUNCTION("""COMPUTED_VALUE"""),2.41304347826087)</f>
        <v>2.413043478</v>
      </c>
      <c r="T305" s="30">
        <f>IFERROR(__xludf.DUMMYFUNCTION("""COMPUTED_VALUE"""),353.97539983439196)</f>
        <v>353.9753998</v>
      </c>
      <c r="U305" s="30">
        <f>IFERROR(__xludf.DUMMYFUNCTION("""COMPUTED_VALUE"""),0.8103283969211373)</f>
        <v>0.8103283969</v>
      </c>
      <c r="V305" s="30">
        <f>IFERROR(__xludf.DUMMYFUNCTION("""COMPUTED_VALUE"""),0.5856755965649707)</f>
        <v>0.5856755966</v>
      </c>
      <c r="W305" s="30">
        <f>IFERROR(__xludf.DUMMYFUNCTION("""COMPUTED_VALUE"""),1.2957487871138462)</f>
        <v>1.295748787</v>
      </c>
      <c r="X305" s="30">
        <f>IFERROR(__xludf.DUMMYFUNCTION("""COMPUTED_VALUE"""),2.6147075418602084)</f>
        <v>2.614707542</v>
      </c>
      <c r="Y305" s="30">
        <f>IFERROR(__xludf.DUMMYFUNCTION("""COMPUTED_VALUE"""),360.47441101568336)</f>
        <v>360.474411</v>
      </c>
      <c r="Z305" s="30">
        <f>IFERROR(__xludf.DUMMYFUNCTION("""COMPUTED_VALUE"""),0.8169732757776245)</f>
        <v>0.8169732758</v>
      </c>
      <c r="AA305" s="30">
        <f>IFERROR(__xludf.DUMMYFUNCTION("""COMPUTED_VALUE"""),0.5952157861808987)</f>
        <v>0.5952157862</v>
      </c>
      <c r="AB305" s="30">
        <f>IFERROR(__xludf.DUMMYFUNCTION("""COMPUTED_VALUE"""),1.361538442347799)</f>
        <v>1.361538442</v>
      </c>
      <c r="AC305" s="30">
        <f>IFERROR(__xludf.DUMMYFUNCTION("""COMPUTED_VALUE"""),2.6797689396293625)</f>
        <v>2.67976894</v>
      </c>
      <c r="AD305" s="30">
        <f>IFERROR(__xludf.DUMMYFUNCTION("""COMPUTED_VALUE"""),0.9369898645885358)</f>
        <v>0.9369898646</v>
      </c>
      <c r="AE305" s="30">
        <f>IFERROR(__xludf.DUMMYFUNCTION("""COMPUTED_VALUE"""),0.9579367145238122)</f>
        <v>0.9579367145</v>
      </c>
      <c r="AF305" s="30">
        <f>IFERROR(__xludf.DUMMYFUNCTION("""COMPUTED_VALUE"""),1.1322163476246319)</f>
        <v>1.132216348</v>
      </c>
      <c r="AG305" s="30">
        <f>IFERROR(__xludf.DUMMYFUNCTION("""COMPUTED_VALUE"""),0.7823630667875353)</f>
        <v>0.7823630668</v>
      </c>
      <c r="AH305" s="30">
        <f>IFERROR(__xludf.DUMMYFUNCTION("""COMPUTED_VALUE"""),0.9572531994714222)</f>
        <v>0.9572531995</v>
      </c>
      <c r="AI305" s="30">
        <f>IFERROR(__xludf.DUMMYFUNCTION("""COMPUTED_VALUE"""),0.9144171023515324)</f>
        <v>0.9144171024</v>
      </c>
      <c r="AJ305" s="30">
        <f>IFERROR(__xludf.DUMMYFUNCTION("""COMPUTED_VALUE"""),0.8227117168788394)</f>
        <v>0.8227117169</v>
      </c>
      <c r="AK305" s="30">
        <f>IFERROR(__xludf.DUMMYFUNCTION("""COMPUTED_VALUE"""),0.8165968880558652)</f>
        <v>0.8165968881</v>
      </c>
      <c r="AL305" s="30">
        <f>IFERROR(__xludf.DUMMYFUNCTION("""COMPUTED_VALUE"""),0.9283424091825518)</f>
        <v>0.9283424092</v>
      </c>
      <c r="AM305" s="30">
        <f>IFERROR(__xludf.DUMMYFUNCTION("""COMPUTED_VALUE"""),0.9228731854822025)</f>
        <v>0.9228731855</v>
      </c>
      <c r="AN305" s="30">
        <f>IFERROR(__xludf.DUMMYFUNCTION("""COMPUTED_VALUE"""),0.9770264557194515)</f>
        <v>0.9770264557</v>
      </c>
      <c r="AO305" s="30">
        <f>IFERROR(__xludf.DUMMYFUNCTION("""COMPUTED_VALUE"""),1.0357954758356025)</f>
        <v>1.035795476</v>
      </c>
      <c r="AP305" s="30">
        <f>IFERROR(__xludf.DUMMYFUNCTION("""COMPUTED_VALUE"""),1.2123843779203627)</f>
        <v>1.212384378</v>
      </c>
      <c r="AQ305" s="30">
        <f>IFERROR(__xludf.DUMMYFUNCTION("""COMPUTED_VALUE"""),0.7873173616443906)</f>
        <v>0.7873173616</v>
      </c>
      <c r="AR305" s="30">
        <f>IFERROR(__xludf.DUMMYFUNCTION("""COMPUTED_VALUE"""),1.0061597838550336)</f>
        <v>1.006159784</v>
      </c>
      <c r="AS305" s="30">
        <f>IFERROR(__xludf.DUMMYFUNCTION("""COMPUTED_VALUE"""),126.0)</f>
        <v>126</v>
      </c>
      <c r="AT305" s="30">
        <f>IFERROR(__xludf.DUMMYFUNCTION("""COMPUTED_VALUE"""),0.620463310273615)</f>
        <v>0.6204633103</v>
      </c>
      <c r="AU305" s="30">
        <f>IFERROR(__xludf.DUMMYFUNCTION("""COMPUTED_VALUE"""),2.1475403487495814)</f>
        <v>2.147540349</v>
      </c>
      <c r="AV305" s="32">
        <f>IFERROR(__xludf.DUMMYFUNCTION("""COMPUTED_VALUE"""),61.993058494563996)</f>
        <v>61.99305849</v>
      </c>
      <c r="AW305" s="32">
        <f>IFERROR(__xludf.DUMMYFUNCTION("""COMPUTED_VALUE"""),3.1674395291320248)</f>
        <v>3.167439529</v>
      </c>
      <c r="AX305" s="32">
        <f>IFERROR(__xludf.DUMMYFUNCTION("""COMPUTED_VALUE"""),46.394812197528495)</f>
        <v>46.3948122</v>
      </c>
      <c r="AY305" s="32">
        <f>IFERROR(__xludf.DUMMYFUNCTION("""COMPUTED_VALUE"""),-2.259027785951002)</f>
        <v>-2.259027786</v>
      </c>
      <c r="AZ305" s="30">
        <f>IFERROR(__xludf.DUMMYFUNCTION("""COMPUTED_VALUE"""),5.426467315083027)</f>
        <v>5.426467315</v>
      </c>
      <c r="BA305" s="30">
        <f>IFERROR(__xludf.DUMMYFUNCTION("""COMPUTED_VALUE"""),1200.0)</f>
        <v>1200</v>
      </c>
    </row>
    <row r="306">
      <c r="A306" s="71" t="str">
        <f>IFERROR(__xludf.DUMMYFUNCTION("""COMPUTED_VALUE"""),"Veteran")</f>
        <v>Veteran</v>
      </c>
      <c r="B306" s="71" t="str">
        <f>IFERROR(__xludf.DUMMYFUNCTION("""COMPUTED_VALUE"""),"RSC004917")</f>
        <v>RSC004917</v>
      </c>
      <c r="C306" s="30" t="str">
        <f>IFERROR(__xludf.DUMMYFUNCTION("""COMPUTED_VALUE"""),"Nahzey")</f>
        <v>Nahzey</v>
      </c>
      <c r="D306" s="30" t="str">
        <f>IFERROR(__xludf.DUMMYFUNCTION("""COMPUTED_VALUE"""),"Dog Fighters")</f>
        <v>Dog Fighters</v>
      </c>
      <c r="E306" s="30">
        <f>IFERROR(__xludf.DUMMYFUNCTION("""COMPUTED_VALUE"""),37.0)</f>
        <v>37</v>
      </c>
      <c r="F306" s="30">
        <f>IFERROR(__xludf.DUMMYFUNCTION("""COMPUTED_VALUE"""),22.0)</f>
        <v>22</v>
      </c>
      <c r="G306" s="42">
        <f>IFERROR(__xludf.DUMMYFUNCTION("""COMPUTED_VALUE"""),15.0)</f>
        <v>15</v>
      </c>
      <c r="H306" s="42">
        <f>IFERROR(__xludf.DUMMYFUNCTION("""COMPUTED_VALUE"""),0.5945945945945946)</f>
        <v>0.5945945946</v>
      </c>
      <c r="I306" s="42">
        <f>IFERROR(__xludf.DUMMYFUNCTION("""COMPUTED_VALUE"""),0.35294117647058826)</f>
        <v>0.3529411765</v>
      </c>
      <c r="J306" s="30">
        <f>IFERROR(__xludf.DUMMYFUNCTION("""COMPUTED_VALUE"""),375.7837837837838)</f>
        <v>375.7837838</v>
      </c>
      <c r="K306" s="30">
        <f>IFERROR(__xludf.DUMMYFUNCTION("""COMPUTED_VALUE"""),0.972972972972973)</f>
        <v>0.972972973</v>
      </c>
      <c r="L306" s="30">
        <f>IFERROR(__xludf.DUMMYFUNCTION("""COMPUTED_VALUE"""),0.6756756756756757)</f>
        <v>0.6756756757</v>
      </c>
      <c r="M306" s="30">
        <f>IFERROR(__xludf.DUMMYFUNCTION("""COMPUTED_VALUE"""),1.2972972972972974)</f>
        <v>1.297297297</v>
      </c>
      <c r="N306" s="30">
        <f>IFERROR(__xludf.DUMMYFUNCTION("""COMPUTED_VALUE"""),2.7567567567567566)</f>
        <v>2.756756757</v>
      </c>
      <c r="O306" s="30">
        <f>IFERROR(__xludf.DUMMYFUNCTION("""COMPUTED_VALUE"""),331.8468468468469)</f>
        <v>331.8468468</v>
      </c>
      <c r="P306" s="30">
        <f>IFERROR(__xludf.DUMMYFUNCTION("""COMPUTED_VALUE"""),0.5855855855855855)</f>
        <v>0.5855855856</v>
      </c>
      <c r="Q306" s="30">
        <f>IFERROR(__xludf.DUMMYFUNCTION("""COMPUTED_VALUE"""),0.43243243243243246)</f>
        <v>0.4324324324</v>
      </c>
      <c r="R306" s="30">
        <f>IFERROR(__xludf.DUMMYFUNCTION("""COMPUTED_VALUE"""),1.4234234234234233)</f>
        <v>1.423423423</v>
      </c>
      <c r="S306" s="30">
        <f>IFERROR(__xludf.DUMMYFUNCTION("""COMPUTED_VALUE"""),2.3693693693693696)</f>
        <v>2.369369369</v>
      </c>
      <c r="T306" s="30">
        <f>IFERROR(__xludf.DUMMYFUNCTION("""COMPUTED_VALUE"""),354.96852343495726)</f>
        <v>354.9685234</v>
      </c>
      <c r="U306" s="30">
        <f>IFERROR(__xludf.DUMMYFUNCTION("""COMPUTED_VALUE"""),0.7795501272350933)</f>
        <v>0.7795501272</v>
      </c>
      <c r="V306" s="30">
        <f>IFERROR(__xludf.DUMMYFUNCTION("""COMPUTED_VALUE"""),0.5884555767524312)</f>
        <v>0.5884555768</v>
      </c>
      <c r="W306" s="30">
        <f>IFERROR(__xludf.DUMMYFUNCTION("""COMPUTED_VALUE"""),1.3661860608123817)</f>
        <v>1.366186061</v>
      </c>
      <c r="X306" s="30">
        <f>IFERROR(__xludf.DUMMYFUNCTION("""COMPUTED_VALUE"""),2.6010723344053996)</f>
        <v>2.601072334</v>
      </c>
      <c r="Y306" s="30">
        <f>IFERROR(__xludf.DUMMYFUNCTION("""COMPUTED_VALUE"""),350.9592729564762)</f>
        <v>350.959273</v>
      </c>
      <c r="Z306" s="30">
        <f>IFERROR(__xludf.DUMMYFUNCTION("""COMPUTED_VALUE"""),0.7674800179469473)</f>
        <v>0.7674800179</v>
      </c>
      <c r="AA306" s="30">
        <f>IFERROR(__xludf.DUMMYFUNCTION("""COMPUTED_VALUE"""),0.5601375986711556)</f>
        <v>0.5601375987</v>
      </c>
      <c r="AB306" s="30">
        <f>IFERROR(__xludf.DUMMYFUNCTION("""COMPUTED_VALUE"""),1.3563365504185279)</f>
        <v>1.35633655</v>
      </c>
      <c r="AC306" s="30">
        <f>IFERROR(__xludf.DUMMYFUNCTION("""COMPUTED_VALUE"""),2.6121600209253826)</f>
        <v>2.612160021</v>
      </c>
      <c r="AD306" s="30">
        <f>IFERROR(__xludf.DUMMYFUNCTION("""COMPUTED_VALUE"""),1.0707333093614717)</f>
        <v>1.070733309</v>
      </c>
      <c r="AE306" s="30">
        <f>IFERROR(__xludf.DUMMYFUNCTION("""COMPUTED_VALUE"""),1.2677502348213978)</f>
        <v>1.267750235</v>
      </c>
      <c r="AF306" s="30">
        <f>IFERROR(__xludf.DUMMYFUNCTION("""COMPUTED_VALUE"""),1.206267312315076)</f>
        <v>1.206267312</v>
      </c>
      <c r="AG306" s="30">
        <f>IFERROR(__xludf.DUMMYFUNCTION("""COMPUTED_VALUE"""),0.9564715312707509)</f>
        <v>0.9564715313</v>
      </c>
      <c r="AH306" s="30">
        <f>IFERROR(__xludf.DUMMYFUNCTION("""COMPUTED_VALUE"""),1.0553552365372123)</f>
        <v>1.055355237</v>
      </c>
      <c r="AI306" s="30">
        <f>IFERROR(__xludf.DUMMYFUNCTION("""COMPUTED_VALUE"""),0.9348627411682404)</f>
        <v>0.9348627412</v>
      </c>
      <c r="AJ306" s="30">
        <f>IFERROR(__xludf.DUMMYFUNCTION("""COMPUTED_VALUE"""),0.7511840036028717)</f>
        <v>0.7511840036</v>
      </c>
      <c r="AK306" s="30">
        <f>IFERROR(__xludf.DUMMYFUNCTION("""COMPUTED_VALUE"""),0.734859944431049)</f>
        <v>0.7348599444</v>
      </c>
      <c r="AL306" s="30">
        <f>IFERROR(__xludf.DUMMYFUNCTION("""COMPUTED_VALUE"""),1.0418957302031073)</f>
        <v>1.04189573</v>
      </c>
      <c r="AM306" s="30">
        <f>IFERROR(__xludf.DUMMYFUNCTION("""COMPUTED_VALUE"""),0.9109202147240565)</f>
        <v>0.9109202147</v>
      </c>
      <c r="AN306" s="30">
        <f>IFERROR(__xludf.DUMMYFUNCTION("""COMPUTED_VALUE"""),1.0870137173075425)</f>
        <v>1.087013717</v>
      </c>
      <c r="AO306" s="30">
        <f>IFERROR(__xludf.DUMMYFUNCTION("""COMPUTED_VALUE"""),1.2877457267145327)</f>
        <v>1.287745727</v>
      </c>
      <c r="AP306" s="30">
        <f>IFERROR(__xludf.DUMMYFUNCTION("""COMPUTED_VALUE"""),1.2155553919864142)</f>
        <v>1.215555392</v>
      </c>
      <c r="AQ306" s="30">
        <f>IFERROR(__xludf.DUMMYFUNCTION("""COMPUTED_VALUE"""),0.9588509291289655)</f>
        <v>0.9588509291</v>
      </c>
      <c r="AR306" s="30">
        <f>IFERROR(__xludf.DUMMYFUNCTION("""COMPUTED_VALUE"""),1.0812876101346354)</f>
        <v>1.08128761</v>
      </c>
      <c r="AS306" s="30">
        <f>IFERROR(__xludf.DUMMYFUNCTION("""COMPUTED_VALUE"""),96.0)</f>
        <v>96</v>
      </c>
      <c r="AT306" s="30">
        <f>IFERROR(__xludf.DUMMYFUNCTION("""COMPUTED_VALUE"""),0.644445414185441)</f>
        <v>0.6444454142</v>
      </c>
      <c r="AU306" s="30">
        <f>IFERROR(__xludf.DUMMYFUNCTION("""COMPUTED_VALUE"""),2.6692116406083315)</f>
        <v>2.669211641</v>
      </c>
      <c r="AV306" s="32">
        <f>IFERROR(__xludf.DUMMYFUNCTION("""COMPUTED_VALUE"""),80.64389942189443)</f>
        <v>80.64389942</v>
      </c>
      <c r="AW306" s="32">
        <f>IFERROR(__xludf.DUMMYFUNCTION("""COMPUTED_VALUE"""),9.07892003563553)</f>
        <v>9.078920036</v>
      </c>
      <c r="AX306" s="32">
        <f>IFERROR(__xludf.DUMMYFUNCTION("""COMPUTED_VALUE"""),65.04502561545843)</f>
        <v>65.04502562</v>
      </c>
      <c r="AY306" s="32">
        <f>IFERROR(__xludf.DUMMYFUNCTION("""COMPUTED_VALUE"""),3.654258920915049)</f>
        <v>3.654258921</v>
      </c>
      <c r="AZ306" s="30">
        <f>IFERROR(__xludf.DUMMYFUNCTION("""COMPUTED_VALUE"""),5.424661114720481)</f>
        <v>5.424661115</v>
      </c>
      <c r="BA306" s="30">
        <f>IFERROR(__xludf.DUMMYFUNCTION("""COMPUTED_VALUE"""),1200.0)</f>
        <v>1200</v>
      </c>
    </row>
    <row r="307">
      <c r="A307" s="71" t="str">
        <f>IFERROR(__xludf.DUMMYFUNCTION("""COMPUTED_VALUE"""),"Veteran")</f>
        <v>Veteran</v>
      </c>
      <c r="B307" s="71" t="str">
        <f>IFERROR(__xludf.DUMMYFUNCTION("""COMPUTED_VALUE"""),"RSC002544")</f>
        <v>RSC002544</v>
      </c>
      <c r="C307" s="30" t="str">
        <f>IFERROR(__xludf.DUMMYFUNCTION("""COMPUTED_VALUE"""),"J.")</f>
        <v>J.</v>
      </c>
      <c r="D307" s="30" t="str">
        <f>IFERROR(__xludf.DUMMYFUNCTION("""COMPUTED_VALUE"""),"Makos")</f>
        <v>Makos</v>
      </c>
      <c r="E307" s="30">
        <f>IFERROR(__xludf.DUMMYFUNCTION("""COMPUTED_VALUE"""),46.0)</f>
        <v>46</v>
      </c>
      <c r="F307" s="30">
        <f>IFERROR(__xludf.DUMMYFUNCTION("""COMPUTED_VALUE"""),26.0)</f>
        <v>26</v>
      </c>
      <c r="G307" s="42">
        <f>IFERROR(__xludf.DUMMYFUNCTION("""COMPUTED_VALUE"""),20.0)</f>
        <v>20</v>
      </c>
      <c r="H307" s="42">
        <f>IFERROR(__xludf.DUMMYFUNCTION("""COMPUTED_VALUE"""),0.5652173913043478)</f>
        <v>0.5652173913</v>
      </c>
      <c r="I307" s="42">
        <f>IFERROR(__xludf.DUMMYFUNCTION("""COMPUTED_VALUE"""),0.3197278911564626)</f>
        <v>0.3197278912</v>
      </c>
      <c r="J307" s="30">
        <f>IFERROR(__xludf.DUMMYFUNCTION("""COMPUTED_VALUE"""),387.3695652173913)</f>
        <v>387.3695652</v>
      </c>
      <c r="K307" s="30">
        <f>IFERROR(__xludf.DUMMYFUNCTION("""COMPUTED_VALUE"""),1.0217391304347827)</f>
        <v>1.02173913</v>
      </c>
      <c r="L307" s="30">
        <f>IFERROR(__xludf.DUMMYFUNCTION("""COMPUTED_VALUE"""),0.6739130434782609)</f>
        <v>0.6739130435</v>
      </c>
      <c r="M307" s="30">
        <f>IFERROR(__xludf.DUMMYFUNCTION("""COMPUTED_VALUE"""),1.4782608695652173)</f>
        <v>1.47826087</v>
      </c>
      <c r="N307" s="30">
        <f>IFERROR(__xludf.DUMMYFUNCTION("""COMPUTED_VALUE"""),3.1956521739130435)</f>
        <v>3.195652174</v>
      </c>
      <c r="O307" s="30">
        <f>IFERROR(__xludf.DUMMYFUNCTION("""COMPUTED_VALUE"""),369.7101449275361)</f>
        <v>369.7101449</v>
      </c>
      <c r="P307" s="30">
        <f>IFERROR(__xludf.DUMMYFUNCTION("""COMPUTED_VALUE"""),0.8260869565217391)</f>
        <v>0.8260869565</v>
      </c>
      <c r="Q307" s="30">
        <f>IFERROR(__xludf.DUMMYFUNCTION("""COMPUTED_VALUE"""),0.6086956521739131)</f>
        <v>0.6086956522</v>
      </c>
      <c r="R307" s="30">
        <f>IFERROR(__xludf.DUMMYFUNCTION("""COMPUTED_VALUE"""),1.5072463768115945)</f>
        <v>1.507246377</v>
      </c>
      <c r="S307" s="30">
        <f>IFERROR(__xludf.DUMMYFUNCTION("""COMPUTED_VALUE"""),2.6449275362318834)</f>
        <v>2.644927536</v>
      </c>
      <c r="T307" s="30">
        <f>IFERROR(__xludf.DUMMYFUNCTION("""COMPUTED_VALUE"""),362.65101793285777)</f>
        <v>362.6510179</v>
      </c>
      <c r="U307" s="30">
        <f>IFERROR(__xludf.DUMMYFUNCTION("""COMPUTED_VALUE"""),0.8313523563378149)</f>
        <v>0.8313523563</v>
      </c>
      <c r="V307" s="30">
        <f>IFERROR(__xludf.DUMMYFUNCTION("""COMPUTED_VALUE"""),0.6276417030646548)</f>
        <v>0.6276417031</v>
      </c>
      <c r="W307" s="30">
        <f>IFERROR(__xludf.DUMMYFUNCTION("""COMPUTED_VALUE"""),1.356044265287815)</f>
        <v>1.356044265</v>
      </c>
      <c r="X307" s="30">
        <f>IFERROR(__xludf.DUMMYFUNCTION("""COMPUTED_VALUE"""),2.797803405391997)</f>
        <v>2.797803405</v>
      </c>
      <c r="Y307" s="30">
        <f>IFERROR(__xludf.DUMMYFUNCTION("""COMPUTED_VALUE"""),356.2350894338876)</f>
        <v>356.2350894</v>
      </c>
      <c r="Z307" s="30">
        <f>IFERROR(__xludf.DUMMYFUNCTION("""COMPUTED_VALUE"""),0.7790676095583361)</f>
        <v>0.7790676096</v>
      </c>
      <c r="AA307" s="30">
        <f>IFERROR(__xludf.DUMMYFUNCTION("""COMPUTED_VALUE"""),0.5883593153183257)</f>
        <v>0.5883593153</v>
      </c>
      <c r="AB307" s="30">
        <f>IFERROR(__xludf.DUMMYFUNCTION("""COMPUTED_VALUE"""),1.3997882400948387)</f>
        <v>1.39978824</v>
      </c>
      <c r="AC307" s="30">
        <f>IFERROR(__xludf.DUMMYFUNCTION("""COMPUTED_VALUE"""),2.595342030666556)</f>
        <v>2.595342031</v>
      </c>
      <c r="AD307" s="30">
        <f>IFERROR(__xludf.DUMMYFUNCTION("""COMPUTED_VALUE"""),1.0873986777467126)</f>
        <v>1.087398678</v>
      </c>
      <c r="AE307" s="30">
        <f>IFERROR(__xludf.DUMMYFUNCTION("""COMPUTED_VALUE"""),1.3114896806119567)</f>
        <v>1.311489681</v>
      </c>
      <c r="AF307" s="30">
        <f>IFERROR(__xludf.DUMMYFUNCTION("""COMPUTED_VALUE"""),1.1454106800597643)</f>
        <v>1.14541068</v>
      </c>
      <c r="AG307" s="30">
        <f>IFERROR(__xludf.DUMMYFUNCTION("""COMPUTED_VALUE"""),1.056060357718866)</f>
        <v>1.056060358</v>
      </c>
      <c r="AH307" s="30">
        <f>IFERROR(__xludf.DUMMYFUNCTION("""COMPUTED_VALUE"""),1.2313029019501953)</f>
        <v>1.231302902</v>
      </c>
      <c r="AI307" s="30">
        <f>IFERROR(__xludf.DUMMYFUNCTION("""COMPUTED_VALUE"""),1.0194653444926638)</f>
        <v>1.019465344</v>
      </c>
      <c r="AJ307" s="30">
        <f>IFERROR(__xludf.DUMMYFUNCTION("""COMPUTED_VALUE"""),0.9936664643145172)</f>
        <v>0.9936664643</v>
      </c>
      <c r="AK307" s="30">
        <f>IFERROR(__xludf.DUMMYFUNCTION("""COMPUTED_VALUE"""),0.9698139068863146)</f>
        <v>0.9698139069</v>
      </c>
      <c r="AL307" s="30">
        <f>IFERROR(__xludf.DUMMYFUNCTION("""COMPUTED_VALUE"""),1.1115023420652772)</f>
        <v>1.111502342</v>
      </c>
      <c r="AM307" s="30">
        <f>IFERROR(__xludf.DUMMYFUNCTION("""COMPUTED_VALUE"""),0.9453586092341273)</f>
        <v>0.9453586092</v>
      </c>
      <c r="AN307" s="30">
        <f>IFERROR(__xludf.DUMMYFUNCTION("""COMPUTED_VALUE"""),1.120527412915293)</f>
        <v>1.120527413</v>
      </c>
      <c r="AO307" s="30">
        <f>IFERROR(__xludf.DUMMYFUNCTION("""COMPUTED_VALUE"""),1.352288537896481)</f>
        <v>1.352288538</v>
      </c>
      <c r="AP307" s="30">
        <f>IFERROR(__xludf.DUMMYFUNCTION("""COMPUTED_VALUE"""),1.2123843779203627)</f>
        <v>1.212384378</v>
      </c>
      <c r="AQ307" s="30">
        <f>IFERROR(__xludf.DUMMYFUNCTION("""COMPUTED_VALUE"""),1.0926036855473176)</f>
        <v>1.092603686</v>
      </c>
      <c r="AR307" s="30">
        <f>IFERROR(__xludf.DUMMYFUNCTION("""COMPUTED_VALUE"""),1.2534363409041522)</f>
        <v>1.253436341</v>
      </c>
      <c r="AS307" s="30">
        <f>IFERROR(__xludf.DUMMYFUNCTION("""COMPUTED_VALUE"""),118.0)</f>
        <v>118</v>
      </c>
      <c r="AT307" s="30">
        <f>IFERROR(__xludf.DUMMYFUNCTION("""COMPUTED_VALUE"""),0.5137138585185073)</f>
        <v>0.5137138585</v>
      </c>
      <c r="AU307" s="30">
        <f>IFERROR(__xludf.DUMMYFUNCTION("""COMPUTED_VALUE"""),2.63231127315142)</f>
        <v>2.632311273</v>
      </c>
      <c r="AV307" s="32">
        <f>IFERROR(__xludf.DUMMYFUNCTION("""COMPUTED_VALUE"""),79.32463402558193)</f>
        <v>79.32463403</v>
      </c>
      <c r="AW307" s="32">
        <f>IFERROR(__xludf.DUMMYFUNCTION("""COMPUTED_VALUE"""),8.3055900257358)</f>
        <v>8.305590026</v>
      </c>
      <c r="AX307" s="32">
        <f>IFERROR(__xludf.DUMMYFUNCTION("""COMPUTED_VALUE"""),60.54300411210165)</f>
        <v>60.54300411</v>
      </c>
      <c r="AY307" s="32">
        <f>IFERROR(__xludf.DUMMYFUNCTION("""COMPUTED_VALUE"""),2.9707560951028187)</f>
        <v>2.970756095</v>
      </c>
      <c r="AZ307" s="30">
        <f>IFERROR(__xludf.DUMMYFUNCTION("""COMPUTED_VALUE"""),5.334833930632981)</f>
        <v>5.334833931</v>
      </c>
      <c r="BA307" s="30">
        <f>IFERROR(__xludf.DUMMYFUNCTION("""COMPUTED_VALUE"""),1200.0)</f>
        <v>1200</v>
      </c>
    </row>
    <row r="308">
      <c r="A308" s="71" t="str">
        <f>IFERROR(__xludf.DUMMYFUNCTION("""COMPUTED_VALUE"""),"Veteran")</f>
        <v>Veteran</v>
      </c>
      <c r="B308" s="71" t="str">
        <f>IFERROR(__xludf.DUMMYFUNCTION("""COMPUTED_VALUE"""),"RSC005655")</f>
        <v>RSC005655</v>
      </c>
      <c r="C308" s="30" t="str">
        <f>IFERROR(__xludf.DUMMYFUNCTION("""COMPUTED_VALUE"""),"oneplayamaker")</f>
        <v>oneplayamaker</v>
      </c>
      <c r="D308" s="30" t="str">
        <f>IFERROR(__xludf.DUMMYFUNCTION("""COMPUTED_VALUE"""),"Paradox Paloma")</f>
        <v>Paradox Paloma</v>
      </c>
      <c r="E308" s="30">
        <f>IFERROR(__xludf.DUMMYFUNCTION("""COMPUTED_VALUE"""),30.0)</f>
        <v>30</v>
      </c>
      <c r="F308" s="30">
        <f>IFERROR(__xludf.DUMMYFUNCTION("""COMPUTED_VALUE"""),21.0)</f>
        <v>21</v>
      </c>
      <c r="G308" s="42">
        <f>IFERROR(__xludf.DUMMYFUNCTION("""COMPUTED_VALUE"""),9.0)</f>
        <v>9</v>
      </c>
      <c r="H308" s="42">
        <f>IFERROR(__xludf.DUMMYFUNCTION("""COMPUTED_VALUE"""),0.7)</f>
        <v>0.7</v>
      </c>
      <c r="I308" s="42">
        <f>IFERROR(__xludf.DUMMYFUNCTION("""COMPUTED_VALUE"""),0.27848101265822783)</f>
        <v>0.2784810127</v>
      </c>
      <c r="J308" s="30">
        <f>IFERROR(__xludf.DUMMYFUNCTION("""COMPUTED_VALUE"""),345.0)</f>
        <v>345</v>
      </c>
      <c r="K308" s="30">
        <f>IFERROR(__xludf.DUMMYFUNCTION("""COMPUTED_VALUE"""),0.7333333333333333)</f>
        <v>0.7333333333</v>
      </c>
      <c r="L308" s="30">
        <f>IFERROR(__xludf.DUMMYFUNCTION("""COMPUTED_VALUE"""),0.7)</f>
        <v>0.7</v>
      </c>
      <c r="M308" s="30">
        <f>IFERROR(__xludf.DUMMYFUNCTION("""COMPUTED_VALUE"""),1.2666666666666666)</f>
        <v>1.266666667</v>
      </c>
      <c r="N308" s="30">
        <f>IFERROR(__xludf.DUMMYFUNCTION("""COMPUTED_VALUE"""),2.6333333333333333)</f>
        <v>2.633333333</v>
      </c>
      <c r="O308" s="30">
        <f>IFERROR(__xludf.DUMMYFUNCTION("""COMPUTED_VALUE"""),363.0222222222222)</f>
        <v>363.0222222</v>
      </c>
      <c r="P308" s="30">
        <f>IFERROR(__xludf.DUMMYFUNCTION("""COMPUTED_VALUE"""),0.6999999999999998)</f>
        <v>0.7</v>
      </c>
      <c r="Q308" s="30">
        <f>IFERROR(__xludf.DUMMYFUNCTION("""COMPUTED_VALUE"""),0.5555555555555556)</f>
        <v>0.5555555556</v>
      </c>
      <c r="R308" s="30">
        <f>IFERROR(__xludf.DUMMYFUNCTION("""COMPUTED_VALUE"""),1.6777777777777778)</f>
        <v>1.677777778</v>
      </c>
      <c r="S308" s="30">
        <f>IFERROR(__xludf.DUMMYFUNCTION("""COMPUTED_VALUE"""),2.4666666666666672)</f>
        <v>2.466666667</v>
      </c>
      <c r="T308" s="30">
        <f>IFERROR(__xludf.DUMMYFUNCTION("""COMPUTED_VALUE"""),352.816625811297)</f>
        <v>352.8166258</v>
      </c>
      <c r="U308" s="30">
        <f>IFERROR(__xludf.DUMMYFUNCTION("""COMPUTED_VALUE"""),0.756973438000184)</f>
        <v>0.756973438</v>
      </c>
      <c r="V308" s="30">
        <f>IFERROR(__xludf.DUMMYFUNCTION("""COMPUTED_VALUE"""),0.5383038256195597)</f>
        <v>0.5383038256</v>
      </c>
      <c r="W308" s="30">
        <f>IFERROR(__xludf.DUMMYFUNCTION("""COMPUTED_VALUE"""),1.3968777229599592)</f>
        <v>1.396877723</v>
      </c>
      <c r="X308" s="30">
        <f>IFERROR(__xludf.DUMMYFUNCTION("""COMPUTED_VALUE"""),2.512563524152329)</f>
        <v>2.512563524</v>
      </c>
      <c r="Y308" s="30">
        <f>IFERROR(__xludf.DUMMYFUNCTION("""COMPUTED_VALUE"""),350.3237760671161)</f>
        <v>350.3237761</v>
      </c>
      <c r="Z308" s="30">
        <f>IFERROR(__xludf.DUMMYFUNCTION("""COMPUTED_VALUE"""),0.7923943395716261)</f>
        <v>0.7923943396</v>
      </c>
      <c r="AA308" s="30">
        <f>IFERROR(__xludf.DUMMYFUNCTION("""COMPUTED_VALUE"""),0.5896646415968962)</f>
        <v>0.5896646416</v>
      </c>
      <c r="AB308" s="30">
        <f>IFERROR(__xludf.DUMMYFUNCTION("""COMPUTED_VALUE"""),1.26826684508777)</f>
        <v>1.268266845</v>
      </c>
      <c r="AC308" s="30">
        <f>IFERROR(__xludf.DUMMYFUNCTION("""COMPUTED_VALUE"""),2.6321727703174624)</f>
        <v>2.63217277</v>
      </c>
      <c r="AD308" s="30">
        <f>IFERROR(__xludf.DUMMYFUNCTION("""COMPUTED_VALUE"""),0.9848032693444816)</f>
        <v>0.9848032693</v>
      </c>
      <c r="AE308" s="30">
        <f>IFERROR(__xludf.DUMMYFUNCTION("""COMPUTED_VALUE"""),0.9254651335972167)</f>
        <v>0.9254651336</v>
      </c>
      <c r="AF308" s="30">
        <f>IFERROR(__xludf.DUMMYFUNCTION("""COMPUTED_VALUE"""),1.1871154392169416)</f>
        <v>1.187115439</v>
      </c>
      <c r="AG308" s="30">
        <f>IFERROR(__xludf.DUMMYFUNCTION("""COMPUTED_VALUE"""),0.9987382951566531)</f>
        <v>0.9987382952</v>
      </c>
      <c r="AH308" s="30">
        <f>IFERROR(__xludf.DUMMYFUNCTION("""COMPUTED_VALUE"""),1.000440914452485)</f>
        <v>1.000440914</v>
      </c>
      <c r="AI308" s="30">
        <f>IFERROR(__xludf.DUMMYFUNCTION("""COMPUTED_VALUE"""),1.0289260643187026)</f>
        <v>1.028926064</v>
      </c>
      <c r="AJ308" s="30">
        <f>IFERROR(__xludf.DUMMYFUNCTION("""COMPUTED_VALUE"""),0.9247352216866421)</f>
        <v>0.9247352217</v>
      </c>
      <c r="AK308" s="30">
        <f>IFERROR(__xludf.DUMMYFUNCTION("""COMPUTED_VALUE"""),1.032048313823778)</f>
        <v>1.032048314</v>
      </c>
      <c r="AL308" s="30">
        <f>IFERROR(__xludf.DUMMYFUNCTION("""COMPUTED_VALUE"""),1.2010913698463144)</f>
        <v>1.20109137</v>
      </c>
      <c r="AM308" s="30">
        <f>IFERROR(__xludf.DUMMYFUNCTION("""COMPUTED_VALUE"""),0.9817330558831756)</f>
        <v>0.9817330559</v>
      </c>
      <c r="AN308" s="30">
        <f>IFERROR(__xludf.DUMMYFUNCTION("""COMPUTED_VALUE"""),0.9979667794469779)</f>
        <v>0.9979667794</v>
      </c>
      <c r="AO308" s="30">
        <f>IFERROR(__xludf.DUMMYFUNCTION("""COMPUTED_VALUE"""),0.9705787236533607)</f>
        <v>0.9705787237</v>
      </c>
      <c r="AP308" s="30">
        <f>IFERROR(__xludf.DUMMYFUNCTION("""COMPUTED_VALUE"""),1.2593153860979251)</f>
        <v>1.259315386</v>
      </c>
      <c r="AQ308" s="30">
        <f>IFERROR(__xludf.DUMMYFUNCTION("""COMPUTED_VALUE"""),0.9362113933023093)</f>
        <v>0.9362113933</v>
      </c>
      <c r="AR308" s="30">
        <f>IFERROR(__xludf.DUMMYFUNCTION("""COMPUTED_VALUE"""),1.0328770210534441)</f>
        <v>1.032877021</v>
      </c>
      <c r="AS308" s="30">
        <f>IFERROR(__xludf.DUMMYFUNCTION("""COMPUTED_VALUE"""),79.0)</f>
        <v>79</v>
      </c>
      <c r="AT308" s="30">
        <f>IFERROR(__xludf.DUMMYFUNCTION("""COMPUTED_VALUE"""),0.5874844643748383)</f>
        <v>0.5874844644</v>
      </c>
      <c r="AU308" s="30">
        <f>IFERROR(__xludf.DUMMYFUNCTION("""COMPUTED_VALUE"""),2.019151964604699)</f>
        <v>2.019151965</v>
      </c>
      <c r="AV308" s="32">
        <f>IFERROR(__xludf.DUMMYFUNCTION("""COMPUTED_VALUE"""),57.40290494965405)</f>
        <v>57.40290495</v>
      </c>
      <c r="AW308" s="32">
        <f>IFERROR(__xludf.DUMMYFUNCTION("""COMPUTED_VALUE"""),2.6070814916670604)</f>
        <v>2.607081492</v>
      </c>
      <c r="AX308" s="32">
        <f>IFERROR(__xludf.DUMMYFUNCTION("""COMPUTED_VALUE"""),42.01966354972069)</f>
        <v>42.01966355</v>
      </c>
      <c r="AY308" s="32">
        <f>IFERROR(__xludf.DUMMYFUNCTION("""COMPUTED_VALUE"""),-2.668215468332659)</f>
        <v>-2.668215468</v>
      </c>
      <c r="AZ308" s="30">
        <f>IFERROR(__xludf.DUMMYFUNCTION("""COMPUTED_VALUE"""),5.27529695999972)</f>
        <v>5.27529696</v>
      </c>
      <c r="BA308" s="30">
        <f>IFERROR(__xludf.DUMMYFUNCTION("""COMPUTED_VALUE"""),1200.0)</f>
        <v>1200</v>
      </c>
    </row>
    <row r="309">
      <c r="A309" s="71" t="str">
        <f>IFERROR(__xludf.DUMMYFUNCTION("""COMPUTED_VALUE"""),"Veteran")</f>
        <v>Veteran</v>
      </c>
      <c r="B309" s="71" t="str">
        <f>IFERROR(__xludf.DUMMYFUNCTION("""COMPUTED_VALUE"""),"RSC007237")</f>
        <v>RSC007237</v>
      </c>
      <c r="C309" s="30" t="str">
        <f>IFERROR(__xludf.DUMMYFUNCTION("""COMPUTED_VALUE"""),"FuDaah")</f>
        <v>FuDaah</v>
      </c>
      <c r="D309" s="30" t="str">
        <f>IFERROR(__xludf.DUMMYFUNCTION("""COMPUTED_VALUE"""),"Typhoons")</f>
        <v>Typhoons</v>
      </c>
      <c r="E309" s="30">
        <f>IFERROR(__xludf.DUMMYFUNCTION("""COMPUTED_VALUE"""),37.0)</f>
        <v>37</v>
      </c>
      <c r="F309" s="30">
        <f>IFERROR(__xludf.DUMMYFUNCTION("""COMPUTED_VALUE"""),22.0)</f>
        <v>22</v>
      </c>
      <c r="G309" s="42">
        <f>IFERROR(__xludf.DUMMYFUNCTION("""COMPUTED_VALUE"""),15.0)</f>
        <v>15</v>
      </c>
      <c r="H309" s="42">
        <f>IFERROR(__xludf.DUMMYFUNCTION("""COMPUTED_VALUE"""),0.5945945945945946)</f>
        <v>0.5945945946</v>
      </c>
      <c r="I309" s="42">
        <f>IFERROR(__xludf.DUMMYFUNCTION("""COMPUTED_VALUE"""),0.27272727272727276)</f>
        <v>0.2727272727</v>
      </c>
      <c r="J309" s="30">
        <f>IFERROR(__xludf.DUMMYFUNCTION("""COMPUTED_VALUE"""),347.6756756756757)</f>
        <v>347.6756757</v>
      </c>
      <c r="K309" s="30">
        <f>IFERROR(__xludf.DUMMYFUNCTION("""COMPUTED_VALUE"""),0.8108108108108109)</f>
        <v>0.8108108108</v>
      </c>
      <c r="L309" s="30">
        <f>IFERROR(__xludf.DUMMYFUNCTION("""COMPUTED_VALUE"""),0.4594594594594595)</f>
        <v>0.4594594595</v>
      </c>
      <c r="M309" s="30">
        <f>IFERROR(__xludf.DUMMYFUNCTION("""COMPUTED_VALUE"""),1.4594594594594594)</f>
        <v>1.459459459</v>
      </c>
      <c r="N309" s="30">
        <f>IFERROR(__xludf.DUMMYFUNCTION("""COMPUTED_VALUE"""),2.972972972972973)</f>
        <v>2.972972973</v>
      </c>
      <c r="O309" s="30">
        <f>IFERROR(__xludf.DUMMYFUNCTION("""COMPUTED_VALUE"""),339.5945945945946)</f>
        <v>339.5945946</v>
      </c>
      <c r="P309" s="30">
        <f>IFERROR(__xludf.DUMMYFUNCTION("""COMPUTED_VALUE"""),0.6036036036036035)</f>
        <v>0.6036036036</v>
      </c>
      <c r="Q309" s="30">
        <f>IFERROR(__xludf.DUMMYFUNCTION("""COMPUTED_VALUE"""),0.4864864864864865)</f>
        <v>0.4864864865</v>
      </c>
      <c r="R309" s="30">
        <f>IFERROR(__xludf.DUMMYFUNCTION("""COMPUTED_VALUE"""),1.5405405405405408)</f>
        <v>1.540540541</v>
      </c>
      <c r="S309" s="30">
        <f>IFERROR(__xludf.DUMMYFUNCTION("""COMPUTED_VALUE"""),2.4144144144144146)</f>
        <v>2.414414414</v>
      </c>
      <c r="T309" s="30">
        <f>IFERROR(__xludf.DUMMYFUNCTION("""COMPUTED_VALUE"""),356.3340545813192)</f>
        <v>356.3340546</v>
      </c>
      <c r="U309" s="30">
        <f>IFERROR(__xludf.DUMMYFUNCTION("""COMPUTED_VALUE"""),0.7743926140998684)</f>
        <v>0.7743926141</v>
      </c>
      <c r="V309" s="30">
        <f>IFERROR(__xludf.DUMMYFUNCTION("""COMPUTED_VALUE"""),0.5914607312312855)</f>
        <v>0.5914607312</v>
      </c>
      <c r="W309" s="30">
        <f>IFERROR(__xludf.DUMMYFUNCTION("""COMPUTED_VALUE"""),1.3623482857946605)</f>
        <v>1.362348286</v>
      </c>
      <c r="X309" s="30">
        <f>IFERROR(__xludf.DUMMYFUNCTION("""COMPUTED_VALUE"""),2.653639904488299)</f>
        <v>2.653639904</v>
      </c>
      <c r="Y309" s="30">
        <f>IFERROR(__xludf.DUMMYFUNCTION("""COMPUTED_VALUE"""),352.77679181564764)</f>
        <v>352.7767918</v>
      </c>
      <c r="Z309" s="30">
        <f>IFERROR(__xludf.DUMMYFUNCTION("""COMPUTED_VALUE"""),0.7405798473939819)</f>
        <v>0.7405798474</v>
      </c>
      <c r="AA309" s="30">
        <f>IFERROR(__xludf.DUMMYFUNCTION("""COMPUTED_VALUE"""),0.5370452993662251)</f>
        <v>0.5370452994</v>
      </c>
      <c r="AB309" s="30">
        <f>IFERROR(__xludf.DUMMYFUNCTION("""COMPUTED_VALUE"""),1.4411125133649911)</f>
        <v>1.441112513</v>
      </c>
      <c r="AC309" s="30">
        <f>IFERROR(__xludf.DUMMYFUNCTION("""COMPUTED_VALUE"""),2.573976703220116)</f>
        <v>2.573976703</v>
      </c>
      <c r="AD309" s="30">
        <f>IFERROR(__xludf.DUMMYFUNCTION("""COMPUTED_VALUE"""),0.9855401028119852)</f>
        <v>0.9855401028</v>
      </c>
      <c r="AE309" s="30">
        <f>IFERROR(__xludf.DUMMYFUNCTION("""COMPUTED_VALUE"""),1.0948323987804474)</f>
        <v>1.094832399</v>
      </c>
      <c r="AF309" s="30">
        <f>IFERROR(__xludf.DUMMYFUNCTION("""COMPUTED_VALUE"""),0.8555320379894846)</f>
        <v>0.855532038</v>
      </c>
      <c r="AG309" s="30">
        <f>IFERROR(__xludf.DUMMYFUNCTION("""COMPUTED_VALUE"""),1.0127310990115743)</f>
        <v>1.012731099</v>
      </c>
      <c r="AH309" s="30">
        <f>IFERROR(__xludf.DUMMYFUNCTION("""COMPUTED_VALUE"""),1.1550116087895053)</f>
        <v>1.155011609</v>
      </c>
      <c r="AI309" s="30">
        <f>IFERROR(__xludf.DUMMYFUNCTION("""COMPUTED_VALUE"""),0.9530231259922857)</f>
        <v>0.953023126</v>
      </c>
      <c r="AJ309" s="30">
        <f>IFERROR(__xludf.DUMMYFUNCTION("""COMPUTED_VALUE"""),0.7794542362793774)</f>
        <v>0.7794542363</v>
      </c>
      <c r="AK309" s="30">
        <f>IFERROR(__xludf.DUMMYFUNCTION("""COMPUTED_VALUE"""),0.8225169665511577)</f>
        <v>0.8225169666</v>
      </c>
      <c r="AL309" s="30">
        <f>IFERROR(__xludf.DUMMYFUNCTION("""COMPUTED_VALUE"""),1.1307978705621085)</f>
        <v>1.130797871</v>
      </c>
      <c r="AM309" s="30">
        <f>IFERROR(__xludf.DUMMYFUNCTION("""COMPUTED_VALUE"""),0.9098500555145916)</f>
        <v>0.9098500555</v>
      </c>
      <c r="AN309" s="30">
        <f>IFERROR(__xludf.DUMMYFUNCTION("""COMPUTED_VALUE"""),1.0057065923075537)</f>
        <v>1.005706592</v>
      </c>
      <c r="AO309" s="30">
        <f>IFERROR(__xludf.DUMMYFUNCTION("""COMPUTED_VALUE"""),1.0731214389287773)</f>
        <v>1.073121439</v>
      </c>
      <c r="AP309" s="30">
        <f>IFERROR(__xludf.DUMMYFUNCTION("""COMPUTED_VALUE"""),0.8265776665507617)</f>
        <v>0.8265776666</v>
      </c>
      <c r="AQ309" s="30">
        <f>IFERROR(__xludf.DUMMYFUNCTION("""COMPUTED_VALUE"""),1.0787072952700862)</f>
        <v>1.078707295</v>
      </c>
      <c r="AR309" s="30">
        <f>IFERROR(__xludf.DUMMYFUNCTION("""COMPUTED_VALUE"""),1.166094481517744)</f>
        <v>1.166094482</v>
      </c>
      <c r="AS309" s="30">
        <f>IFERROR(__xludf.DUMMYFUNCTION("""COMPUTED_VALUE"""),88.0)</f>
        <v>88</v>
      </c>
      <c r="AT309" s="30">
        <f>IFERROR(__xludf.DUMMYFUNCTION("""COMPUTED_VALUE"""),0.601397021820141)</f>
        <v>0.6013970218</v>
      </c>
      <c r="AU309" s="30">
        <f>IFERROR(__xludf.DUMMYFUNCTION("""COMPUTED_VALUE"""),2.1662386023816325)</f>
        <v>2.166238602</v>
      </c>
      <c r="AV309" s="32">
        <f>IFERROR(__xludf.DUMMYFUNCTION("""COMPUTED_VALUE"""),62.66156021116735)</f>
        <v>62.66156021</v>
      </c>
      <c r="AW309" s="32">
        <f>IFERROR(__xludf.DUMMYFUNCTION("""COMPUTED_VALUE"""),3.26513514741081)</f>
        <v>3.265135147</v>
      </c>
      <c r="AX309" s="32">
        <f>IFERROR(__xludf.DUMMYFUNCTION("""COMPUTED_VALUE"""),49.88971412446792)</f>
        <v>49.88971412</v>
      </c>
      <c r="AY309" s="32">
        <f>IFERROR(__xludf.DUMMYFUNCTION("""COMPUTED_VALUE"""),-2.0070644745253072)</f>
        <v>-2.007064475</v>
      </c>
      <c r="AZ309" s="30">
        <f>IFERROR(__xludf.DUMMYFUNCTION("""COMPUTED_VALUE"""),5.272199621936117)</f>
        <v>5.272199622</v>
      </c>
      <c r="BA309" s="30">
        <f>IFERROR(__xludf.DUMMYFUNCTION("""COMPUTED_VALUE"""),1200.0)</f>
        <v>1200</v>
      </c>
    </row>
    <row r="310">
      <c r="A310" s="71" t="str">
        <f>IFERROR(__xludf.DUMMYFUNCTION("""COMPUTED_VALUE"""),"Veteran")</f>
        <v>Veteran</v>
      </c>
      <c r="B310" s="71" t="str">
        <f>IFERROR(__xludf.DUMMYFUNCTION("""COMPUTED_VALUE"""),"RSC002760")</f>
        <v>RSC002760</v>
      </c>
      <c r="C310" s="30" t="str">
        <f>IFERROR(__xludf.DUMMYFUNCTION("""COMPUTED_VALUE"""),"gcol")</f>
        <v>gcol</v>
      </c>
      <c r="D310" s="30" t="str">
        <f>IFERROR(__xludf.DUMMYFUNCTION("""COMPUTED_VALUE"""),"Kirin")</f>
        <v>Kirin</v>
      </c>
      <c r="E310" s="30">
        <f>IFERROR(__xludf.DUMMYFUNCTION("""COMPUTED_VALUE"""),43.0)</f>
        <v>43</v>
      </c>
      <c r="F310" s="30">
        <f>IFERROR(__xludf.DUMMYFUNCTION("""COMPUTED_VALUE"""),21.0)</f>
        <v>21</v>
      </c>
      <c r="G310" s="42">
        <f>IFERROR(__xludf.DUMMYFUNCTION("""COMPUTED_VALUE"""),22.0)</f>
        <v>22</v>
      </c>
      <c r="H310" s="42">
        <f>IFERROR(__xludf.DUMMYFUNCTION("""COMPUTED_VALUE"""),0.4883720930232558)</f>
        <v>0.488372093</v>
      </c>
      <c r="I310" s="42">
        <f>IFERROR(__xludf.DUMMYFUNCTION("""COMPUTED_VALUE"""),0.3663366336633663)</f>
        <v>0.3663366337</v>
      </c>
      <c r="J310" s="30">
        <f>IFERROR(__xludf.DUMMYFUNCTION("""COMPUTED_VALUE"""),351.3255813953488)</f>
        <v>351.3255814</v>
      </c>
      <c r="K310" s="30">
        <f>IFERROR(__xludf.DUMMYFUNCTION("""COMPUTED_VALUE"""),0.8604651162790697)</f>
        <v>0.8604651163</v>
      </c>
      <c r="L310" s="30">
        <f>IFERROR(__xludf.DUMMYFUNCTION("""COMPUTED_VALUE"""),0.6511627906976745)</f>
        <v>0.6511627907</v>
      </c>
      <c r="M310" s="30">
        <f>IFERROR(__xludf.DUMMYFUNCTION("""COMPUTED_VALUE"""),1.3488372093023255)</f>
        <v>1.348837209</v>
      </c>
      <c r="N310" s="30">
        <f>IFERROR(__xludf.DUMMYFUNCTION("""COMPUTED_VALUE"""),2.3488372093023258)</f>
        <v>2.348837209</v>
      </c>
      <c r="O310" s="30">
        <f>IFERROR(__xludf.DUMMYFUNCTION("""COMPUTED_VALUE"""),356.937984496124)</f>
        <v>356.9379845</v>
      </c>
      <c r="P310" s="30">
        <f>IFERROR(__xludf.DUMMYFUNCTION("""COMPUTED_VALUE"""),0.8294573643410854)</f>
        <v>0.8294573643</v>
      </c>
      <c r="Q310" s="30">
        <f>IFERROR(__xludf.DUMMYFUNCTION("""COMPUTED_VALUE"""),0.5891472868217057)</f>
        <v>0.5891472868</v>
      </c>
      <c r="R310" s="30">
        <f>IFERROR(__xludf.DUMMYFUNCTION("""COMPUTED_VALUE"""),1.1627906976744187)</f>
        <v>1.162790698</v>
      </c>
      <c r="S310" s="30">
        <f>IFERROR(__xludf.DUMMYFUNCTION("""COMPUTED_VALUE"""),2.751937984496124)</f>
        <v>2.751937984</v>
      </c>
      <c r="T310" s="30">
        <f>IFERROR(__xludf.DUMMYFUNCTION("""COMPUTED_VALUE"""),367.05886332504724)</f>
        <v>367.0588633</v>
      </c>
      <c r="U310" s="30">
        <f>IFERROR(__xludf.DUMMYFUNCTION("""COMPUTED_VALUE"""),0.8634596009329396)</f>
        <v>0.8634596009</v>
      </c>
      <c r="V310" s="30">
        <f>IFERROR(__xludf.DUMMYFUNCTION("""COMPUTED_VALUE"""),0.6075297170262934)</f>
        <v>0.607529717</v>
      </c>
      <c r="W310" s="30">
        <f>IFERROR(__xludf.DUMMYFUNCTION("""COMPUTED_VALUE"""),1.348779432127274)</f>
        <v>1.348779432</v>
      </c>
      <c r="X310" s="30">
        <f>IFERROR(__xludf.DUMMYFUNCTION("""COMPUTED_VALUE"""),2.79374633596374)</f>
        <v>2.793746336</v>
      </c>
      <c r="Y310" s="30">
        <f>IFERROR(__xludf.DUMMYFUNCTION("""COMPUTED_VALUE"""),357.9543757907414)</f>
        <v>357.9543758</v>
      </c>
      <c r="Z310" s="30">
        <f>IFERROR(__xludf.DUMMYFUNCTION("""COMPUTED_VALUE"""),0.7757512071409796)</f>
        <v>0.7757512071</v>
      </c>
      <c r="AA310" s="30">
        <f>IFERROR(__xludf.DUMMYFUNCTION("""COMPUTED_VALUE"""),0.5880229022022737)</f>
        <v>0.5880229022</v>
      </c>
      <c r="AB310" s="30">
        <f>IFERROR(__xludf.DUMMYFUNCTION("""COMPUTED_VALUE"""),1.4215485861279014)</f>
        <v>1.421548586</v>
      </c>
      <c r="AC310" s="30">
        <f>IFERROR(__xludf.DUMMYFUNCTION("""COMPUTED_VALUE"""),2.6073407372395128)</f>
        <v>2.607340737</v>
      </c>
      <c r="AD310" s="30">
        <f>IFERROR(__xludf.DUMMYFUNCTION("""COMPUTED_VALUE"""),0.9814814544989171)</f>
        <v>0.9814814545</v>
      </c>
      <c r="AE310" s="30">
        <f>IFERROR(__xludf.DUMMYFUNCTION("""COMPUTED_VALUE"""),1.109202420000482)</f>
        <v>1.10920242</v>
      </c>
      <c r="AF310" s="30">
        <f>IFERROR(__xludf.DUMMYFUNCTION("""COMPUTED_VALUE"""),1.1073765805020996)</f>
        <v>1.107376581</v>
      </c>
      <c r="AG310" s="30">
        <f>IFERROR(__xludf.DUMMYFUNCTION("""COMPUTED_VALUE"""),0.9488505862303086)</f>
        <v>0.9488505862</v>
      </c>
      <c r="AH310" s="30">
        <f>IFERROR(__xludf.DUMMYFUNCTION("""COMPUTED_VALUE"""),0.9008554868778393)</f>
        <v>0.9008554869</v>
      </c>
      <c r="AI310" s="30">
        <f>IFERROR(__xludf.DUMMYFUNCTION("""COMPUTED_VALUE"""),0.9724270959234111)</f>
        <v>0.9724270959</v>
      </c>
      <c r="AJ310" s="30">
        <f>IFERROR(__xludf.DUMMYFUNCTION("""COMPUTED_VALUE"""),0.9606209293925091)</f>
        <v>0.9606209294</v>
      </c>
      <c r="AK310" s="30">
        <f>IFERROR(__xludf.DUMMYFUNCTION("""COMPUTED_VALUE"""),0.9697423357419204)</f>
        <v>0.9697423357</v>
      </c>
      <c r="AL310" s="30">
        <f>IFERROR(__xludf.DUMMYFUNCTION("""COMPUTED_VALUE"""),0.8621058936526659)</f>
        <v>0.8621058937</v>
      </c>
      <c r="AM310" s="30">
        <f>IFERROR(__xludf.DUMMYFUNCTION("""COMPUTED_VALUE"""),0.985035022353526)</f>
        <v>0.9850350224</v>
      </c>
      <c r="AN310" s="30">
        <f>IFERROR(__xludf.DUMMYFUNCTION("""COMPUTED_VALUE"""),1.0162645188476909)</f>
        <v>1.016264519</v>
      </c>
      <c r="AO310" s="30">
        <f>IFERROR(__xludf.DUMMYFUNCTION("""COMPUTED_VALUE"""),1.1388397285996092)</f>
        <v>1.138839729</v>
      </c>
      <c r="AP310" s="30">
        <f>IFERROR(__xludf.DUMMYFUNCTION("""COMPUTED_VALUE"""),1.1714561731143491)</f>
        <v>1.171456173</v>
      </c>
      <c r="AQ310" s="30">
        <f>IFERROR(__xludf.DUMMYFUNCTION("""COMPUTED_VALUE"""),0.9969448129412596)</f>
        <v>0.9969448129</v>
      </c>
      <c r="AR310" s="30">
        <f>IFERROR(__xludf.DUMMYFUNCTION("""COMPUTED_VALUE"""),0.9212885998798752)</f>
        <v>0.9212885999</v>
      </c>
      <c r="AS310" s="30">
        <f>IFERROR(__xludf.DUMMYFUNCTION("""COMPUTED_VALUE"""),112.0)</f>
        <v>112</v>
      </c>
      <c r="AT310" s="30">
        <f>IFERROR(__xludf.DUMMYFUNCTION("""COMPUTED_VALUE"""),0.5182087981320657)</f>
        <v>0.5182087981</v>
      </c>
      <c r="AU310" s="30">
        <f>IFERROR(__xludf.DUMMYFUNCTION("""COMPUTED_VALUE"""),2.1006905843684254)</f>
        <v>2.100690584</v>
      </c>
      <c r="AV310" s="32">
        <f>IFERROR(__xludf.DUMMYFUNCTION("""COMPUTED_VALUE"""),60.31808132677221)</f>
        <v>60.31808133</v>
      </c>
      <c r="AW310" s="32">
        <f>IFERROR(__xludf.DUMMYFUNCTION("""COMPUTED_VALUE"""),2.9420011556631676)</f>
        <v>2.942001156</v>
      </c>
      <c r="AX310" s="32">
        <f>IFERROR(__xludf.DUMMYFUNCTION("""COMPUTED_VALUE"""),46.06831829618997)</f>
        <v>46.0683183</v>
      </c>
      <c r="AY310" s="32">
        <f>IFERROR(__xludf.DUMMYFUNCTION("""COMPUTED_VALUE"""),-2.285624910072667)</f>
        <v>-2.28562491</v>
      </c>
      <c r="AZ310" s="30">
        <f>IFERROR(__xludf.DUMMYFUNCTION("""COMPUTED_VALUE"""),5.227626065735834)</f>
        <v>5.227626066</v>
      </c>
      <c r="BA310" s="30">
        <f>IFERROR(__xludf.DUMMYFUNCTION("""COMPUTED_VALUE"""),1200.0)</f>
        <v>1200</v>
      </c>
    </row>
    <row r="311">
      <c r="A311" s="71" t="str">
        <f>IFERROR(__xludf.DUMMYFUNCTION("""COMPUTED_VALUE"""),"Veteran")</f>
        <v>Veteran</v>
      </c>
      <c r="B311" s="71" t="str">
        <f>IFERROR(__xludf.DUMMYFUNCTION("""COMPUTED_VALUE"""),"RSC007115")</f>
        <v>RSC007115</v>
      </c>
      <c r="C311" s="30" t="str">
        <f>IFERROR(__xludf.DUMMYFUNCTION("""COMPUTED_VALUE"""),"Zoomin")</f>
        <v>Zoomin</v>
      </c>
      <c r="D311" s="30" t="str">
        <f>IFERROR(__xludf.DUMMYFUNCTION("""COMPUTED_VALUE"""),"Legati")</f>
        <v>Legati</v>
      </c>
      <c r="E311" s="30">
        <f>IFERROR(__xludf.DUMMYFUNCTION("""COMPUTED_VALUE"""),37.0)</f>
        <v>37</v>
      </c>
      <c r="F311" s="30">
        <f>IFERROR(__xludf.DUMMYFUNCTION("""COMPUTED_VALUE"""),22.0)</f>
        <v>22</v>
      </c>
      <c r="G311" s="42">
        <f>IFERROR(__xludf.DUMMYFUNCTION("""COMPUTED_VALUE"""),15.0)</f>
        <v>15</v>
      </c>
      <c r="H311" s="42">
        <f>IFERROR(__xludf.DUMMYFUNCTION("""COMPUTED_VALUE"""),0.5945945945945946)</f>
        <v>0.5945945946</v>
      </c>
      <c r="I311" s="42">
        <f>IFERROR(__xludf.DUMMYFUNCTION("""COMPUTED_VALUE"""),0.3703703703703704)</f>
        <v>0.3703703704</v>
      </c>
      <c r="J311" s="30">
        <f>IFERROR(__xludf.DUMMYFUNCTION("""COMPUTED_VALUE"""),384.02702702702703)</f>
        <v>384.027027</v>
      </c>
      <c r="K311" s="30">
        <f>IFERROR(__xludf.DUMMYFUNCTION("""COMPUTED_VALUE"""),0.8108108108108109)</f>
        <v>0.8108108108</v>
      </c>
      <c r="L311" s="30">
        <f>IFERROR(__xludf.DUMMYFUNCTION("""COMPUTED_VALUE"""),0.7027027027027027)</f>
        <v>0.7027027027</v>
      </c>
      <c r="M311" s="30">
        <f>IFERROR(__xludf.DUMMYFUNCTION("""COMPUTED_VALUE"""),1.5405405405405406)</f>
        <v>1.540540541</v>
      </c>
      <c r="N311" s="30">
        <f>IFERROR(__xludf.DUMMYFUNCTION("""COMPUTED_VALUE"""),2.189189189189189)</f>
        <v>2.189189189</v>
      </c>
      <c r="O311" s="30">
        <f>IFERROR(__xludf.DUMMYFUNCTION("""COMPUTED_VALUE"""),389.2342342342342)</f>
        <v>389.2342342</v>
      </c>
      <c r="P311" s="30">
        <f>IFERROR(__xludf.DUMMYFUNCTION("""COMPUTED_VALUE"""),0.927927927927928)</f>
        <v>0.9279279279</v>
      </c>
      <c r="Q311" s="30">
        <f>IFERROR(__xludf.DUMMYFUNCTION("""COMPUTED_VALUE"""),0.6756756756756757)</f>
        <v>0.6756756757</v>
      </c>
      <c r="R311" s="30">
        <f>IFERROR(__xludf.DUMMYFUNCTION("""COMPUTED_VALUE"""),1.4504504504504503)</f>
        <v>1.45045045</v>
      </c>
      <c r="S311" s="30">
        <f>IFERROR(__xludf.DUMMYFUNCTION("""COMPUTED_VALUE"""),2.9279279279279278)</f>
        <v>2.927927928</v>
      </c>
      <c r="T311" s="30">
        <f>IFERROR(__xludf.DUMMYFUNCTION("""COMPUTED_VALUE"""),361.4048962264532)</f>
        <v>361.4048962</v>
      </c>
      <c r="U311" s="30">
        <f>IFERROR(__xludf.DUMMYFUNCTION("""COMPUTED_VALUE"""),0.8216735194167331)</f>
        <v>0.8216735194</v>
      </c>
      <c r="V311" s="30">
        <f>IFERROR(__xludf.DUMMYFUNCTION("""COMPUTED_VALUE"""),0.5928275801564784)</f>
        <v>0.5928275802</v>
      </c>
      <c r="W311" s="30">
        <f>IFERROR(__xludf.DUMMYFUNCTION("""COMPUTED_VALUE"""),1.389817611286738)</f>
        <v>1.389817611</v>
      </c>
      <c r="X311" s="30">
        <f>IFERROR(__xludf.DUMMYFUNCTION("""COMPUTED_VALUE"""),2.6384661867930634)</f>
        <v>2.638466187</v>
      </c>
      <c r="Y311" s="30">
        <f>IFERROR(__xludf.DUMMYFUNCTION("""COMPUTED_VALUE"""),355.65085863663376)</f>
        <v>355.6508586</v>
      </c>
      <c r="Z311" s="30">
        <f>IFERROR(__xludf.DUMMYFUNCTION("""COMPUTED_VALUE"""),0.7919881521847794)</f>
        <v>0.7919881522</v>
      </c>
      <c r="AA311" s="30">
        <f>IFERROR(__xludf.DUMMYFUNCTION("""COMPUTED_VALUE"""),0.5670660946048895)</f>
        <v>0.5670660946</v>
      </c>
      <c r="AB311" s="30">
        <f>IFERROR(__xludf.DUMMYFUNCTION("""COMPUTED_VALUE"""),1.356087195782313)</f>
        <v>1.356087196</v>
      </c>
      <c r="AC311" s="30">
        <f>IFERROR(__xludf.DUMMYFUNCTION("""COMPUTED_VALUE"""),2.6864652316301383)</f>
        <v>2.686465232</v>
      </c>
      <c r="AD311" s="30">
        <f>IFERROR(__xludf.DUMMYFUNCTION("""COMPUTED_VALUE"""),1.0797865876077781)</f>
        <v>1.079786588</v>
      </c>
      <c r="AE311" s="30">
        <f>IFERROR(__xludf.DUMMYFUNCTION("""COMPUTED_VALUE"""),1.0237663386429547)</f>
        <v>1.023766339</v>
      </c>
      <c r="AF311" s="30">
        <f>IFERROR(__xludf.DUMMYFUNCTION("""COMPUTED_VALUE"""),1.2391901215542074)</f>
        <v>1.239190122</v>
      </c>
      <c r="AG311" s="30">
        <f>IFERROR(__xludf.DUMMYFUNCTION("""COMPUTED_VALUE"""),1.1360187938739574)</f>
        <v>1.136018794</v>
      </c>
      <c r="AH311" s="30">
        <f>IFERROR(__xludf.DUMMYFUNCTION("""COMPUTED_VALUE"""),0.8148957832820327)</f>
        <v>0.8148957833</v>
      </c>
      <c r="AI311" s="30">
        <f>IFERROR(__xludf.DUMMYFUNCTION("""COMPUTED_VALUE"""),1.0770032124588134)</f>
        <v>1.077003212</v>
      </c>
      <c r="AJ311" s="30">
        <f>IFERROR(__xludf.DUMMYFUNCTION("""COMPUTED_VALUE"""),1.1293146316637048)</f>
        <v>1.129314632</v>
      </c>
      <c r="AK311" s="30">
        <f>IFERROR(__xludf.DUMMYFUNCTION("""COMPUTED_VALUE"""),1.139750744216943)</f>
        <v>1.139750744</v>
      </c>
      <c r="AL311" s="30">
        <f>IFERROR(__xludf.DUMMYFUNCTION("""COMPUTED_VALUE"""),1.0436264720430306)</f>
        <v>1.043626472</v>
      </c>
      <c r="AM311" s="30">
        <f>IFERROR(__xludf.DUMMYFUNCTION("""COMPUTED_VALUE"""),1.1097083383458828)</f>
        <v>1.109708338</v>
      </c>
      <c r="AN311" s="30">
        <f>IFERROR(__xludf.DUMMYFUNCTION("""COMPUTED_VALUE"""),1.1108585953123469)</f>
        <v>1.110858595</v>
      </c>
      <c r="AO311" s="30">
        <f>IFERROR(__xludf.DUMMYFUNCTION("""COMPUTED_VALUE"""),1.0731214389287773)</f>
        <v>1.073121439</v>
      </c>
      <c r="AP311" s="30">
        <f>IFERROR(__xludf.DUMMYFUNCTION("""COMPUTED_VALUE"""),1.2641776076658708)</f>
        <v>1.264177608</v>
      </c>
      <c r="AQ311" s="30">
        <f>IFERROR(__xludf.DUMMYFUNCTION("""COMPUTED_VALUE"""),1.1386354783406465)</f>
        <v>1.138635478</v>
      </c>
      <c r="AR311" s="30">
        <f>IFERROR(__xludf.DUMMYFUNCTION("""COMPUTED_VALUE"""),0.8586695727539752)</f>
        <v>0.8586695728</v>
      </c>
      <c r="AS311" s="30">
        <f>IFERROR(__xludf.DUMMYFUNCTION("""COMPUTED_VALUE"""),107.0)</f>
        <v>107</v>
      </c>
      <c r="AT311" s="30">
        <f>IFERROR(__xludf.DUMMYFUNCTION("""COMPUTED_VALUE"""),0.5156719843889727)</f>
        <v>0.5156719844</v>
      </c>
      <c r="AU311" s="30">
        <f>IFERROR(__xludf.DUMMYFUNCTION("""COMPUTED_VALUE"""),1.946854038192637)</f>
        <v>1.946854038</v>
      </c>
      <c r="AV311" s="32">
        <f>IFERROR(__xludf.DUMMYFUNCTION("""COMPUTED_VALUE"""),54.8181027074553)</f>
        <v>54.81810271</v>
      </c>
      <c r="AW311" s="32">
        <f>IFERROR(__xludf.DUMMYFUNCTION("""COMPUTED_VALUE"""),2.360787206355856)</f>
        <v>2.360787206</v>
      </c>
      <c r="AX311" s="32">
        <f>IFERROR(__xludf.DUMMYFUNCTION("""COMPUTED_VALUE"""),40.81084871277264)</f>
        <v>40.81084871</v>
      </c>
      <c r="AY311" s="32">
        <f>IFERROR(__xludf.DUMMYFUNCTION("""COMPUTED_VALUE"""),-2.804274934233538)</f>
        <v>-2.804274934</v>
      </c>
      <c r="AZ311" s="30">
        <f>IFERROR(__xludf.DUMMYFUNCTION("""COMPUTED_VALUE"""),5.165062140589394)</f>
        <v>5.165062141</v>
      </c>
      <c r="BA311" s="30">
        <f>IFERROR(__xludf.DUMMYFUNCTION("""COMPUTED_VALUE"""),1200.0)</f>
        <v>1200</v>
      </c>
    </row>
    <row r="312">
      <c r="A312" s="71" t="str">
        <f>IFERROR(__xludf.DUMMYFUNCTION("""COMPUTED_VALUE"""),"Veteran")</f>
        <v>Veteran</v>
      </c>
      <c r="B312" s="71" t="str">
        <f>IFERROR(__xludf.DUMMYFUNCTION("""COMPUTED_VALUE"""),"RSC004859")</f>
        <v>RSC004859</v>
      </c>
      <c r="C312" s="30" t="str">
        <f>IFERROR(__xludf.DUMMYFUNCTION("""COMPUTED_VALUE"""),"LowFadeEnthusiast")</f>
        <v>LowFadeEnthusiast</v>
      </c>
      <c r="D312" s="30"/>
      <c r="E312" s="30">
        <f>IFERROR(__xludf.DUMMYFUNCTION("""COMPUTED_VALUE"""),8.0)</f>
        <v>8</v>
      </c>
      <c r="F312" s="30">
        <f>IFERROR(__xludf.DUMMYFUNCTION("""COMPUTED_VALUE"""),5.0)</f>
        <v>5</v>
      </c>
      <c r="G312" s="42">
        <f>IFERROR(__xludf.DUMMYFUNCTION("""COMPUTED_VALUE"""),3.0)</f>
        <v>3</v>
      </c>
      <c r="H312" s="42">
        <f>IFERROR(__xludf.DUMMYFUNCTION("""COMPUTED_VALUE"""),0.625)</f>
        <v>0.625</v>
      </c>
      <c r="I312" s="42">
        <f>IFERROR(__xludf.DUMMYFUNCTION("""COMPUTED_VALUE"""),0.3157894736842105)</f>
        <v>0.3157894737</v>
      </c>
      <c r="J312" s="30">
        <f>IFERROR(__xludf.DUMMYFUNCTION("""COMPUTED_VALUE"""),283.125)</f>
        <v>283.125</v>
      </c>
      <c r="K312" s="30">
        <f>IFERROR(__xludf.DUMMYFUNCTION("""COMPUTED_VALUE"""),0.75)</f>
        <v>0.75</v>
      </c>
      <c r="L312" s="30">
        <f>IFERROR(__xludf.DUMMYFUNCTION("""COMPUTED_VALUE"""),0.25)</f>
        <v>0.25</v>
      </c>
      <c r="M312" s="30">
        <f>IFERROR(__xludf.DUMMYFUNCTION("""COMPUTED_VALUE"""),0.875)</f>
        <v>0.875</v>
      </c>
      <c r="N312" s="30">
        <f>IFERROR(__xludf.DUMMYFUNCTION("""COMPUTED_VALUE"""),2.375)</f>
        <v>2.375</v>
      </c>
      <c r="O312" s="30">
        <f>IFERROR(__xludf.DUMMYFUNCTION("""COMPUTED_VALUE"""),311.95833333333337)</f>
        <v>311.9583333</v>
      </c>
      <c r="P312" s="30">
        <f>IFERROR(__xludf.DUMMYFUNCTION("""COMPUTED_VALUE"""),0.41666666666666663)</f>
        <v>0.4166666667</v>
      </c>
      <c r="Q312" s="30">
        <f>IFERROR(__xludf.DUMMYFUNCTION("""COMPUTED_VALUE"""),0.375)</f>
        <v>0.375</v>
      </c>
      <c r="R312" s="30">
        <f>IFERROR(__xludf.DUMMYFUNCTION("""COMPUTED_VALUE"""),1.3333333333333335)</f>
        <v>1.333333333</v>
      </c>
      <c r="S312" s="30">
        <f>IFERROR(__xludf.DUMMYFUNCTION("""COMPUTED_VALUE"""),2.541666666666667)</f>
        <v>2.541666667</v>
      </c>
      <c r="T312" s="30">
        <f>IFERROR(__xludf.DUMMYFUNCTION("""COMPUTED_VALUE"""),356.93443802835066)</f>
        <v>356.934438</v>
      </c>
      <c r="U312" s="30">
        <f>IFERROR(__xludf.DUMMYFUNCTION("""COMPUTED_VALUE"""),0.7981566037467691)</f>
        <v>0.7981566037</v>
      </c>
      <c r="V312" s="30">
        <f>IFERROR(__xludf.DUMMYFUNCTION("""COMPUTED_VALUE"""),0.5421871093457009)</f>
        <v>0.5421871093</v>
      </c>
      <c r="W312" s="30">
        <f>IFERROR(__xludf.DUMMYFUNCTION("""COMPUTED_VALUE"""),1.4116905884756832)</f>
        <v>1.411690588</v>
      </c>
      <c r="X312" s="30">
        <f>IFERROR(__xludf.DUMMYFUNCTION("""COMPUTED_VALUE"""),2.7417402594257068)</f>
        <v>2.741740259</v>
      </c>
      <c r="Y312" s="30">
        <f>IFERROR(__xludf.DUMMYFUNCTION("""COMPUTED_VALUE"""),346.2571599398973)</f>
        <v>346.2571599</v>
      </c>
      <c r="Z312" s="30">
        <f>IFERROR(__xludf.DUMMYFUNCTION("""COMPUTED_VALUE"""),0.6864383758593403)</f>
        <v>0.6864383759</v>
      </c>
      <c r="AA312" s="30">
        <f>IFERROR(__xludf.DUMMYFUNCTION("""COMPUTED_VALUE"""),0.48536208544013815)</f>
        <v>0.4853620854</v>
      </c>
      <c r="AB312" s="30">
        <f>IFERROR(__xludf.DUMMYFUNCTION("""COMPUTED_VALUE"""),1.4492879385968829)</f>
        <v>1.449287939</v>
      </c>
      <c r="AC312" s="30">
        <f>IFERROR(__xludf.DUMMYFUNCTION("""COMPUTED_VALUE"""),2.445296483483781)</f>
        <v>2.445296483</v>
      </c>
      <c r="AD312" s="30">
        <f>IFERROR(__xludf.DUMMYFUNCTION("""COMPUTED_VALUE"""),0.8176726224207013)</f>
        <v>0.8176726224</v>
      </c>
      <c r="AE312" s="30">
        <f>IFERROR(__xludf.DUMMYFUNCTION("""COMPUTED_VALUE"""),1.0925962568177923)</f>
        <v>1.092596257</v>
      </c>
      <c r="AF312" s="30">
        <f>IFERROR(__xludf.DUMMYFUNCTION("""COMPUTED_VALUE"""),0.5150793757886835)</f>
        <v>0.5150793758</v>
      </c>
      <c r="AG312" s="30">
        <f>IFERROR(__xludf.DUMMYFUNCTION("""COMPUTED_VALUE"""),0.6037447609252338)</f>
        <v>0.6037447609</v>
      </c>
      <c r="AH312" s="30">
        <f>IFERROR(__xludf.DUMMYFUNCTION("""COMPUTED_VALUE"""),0.9712523679813131)</f>
        <v>0.971252368</v>
      </c>
      <c r="AI312" s="30">
        <f>IFERROR(__xludf.DUMMYFUNCTION("""COMPUTED_VALUE"""),0.8739933727228503)</f>
        <v>0.8739933727</v>
      </c>
      <c r="AJ312" s="30">
        <f>IFERROR(__xludf.DUMMYFUNCTION("""COMPUTED_VALUE"""),0.5220362328780059)</f>
        <v>0.5220362329</v>
      </c>
      <c r="AK312" s="30">
        <f>IFERROR(__xludf.DUMMYFUNCTION("""COMPUTED_VALUE"""),0.6916431496361864)</f>
        <v>0.6916431496</v>
      </c>
      <c r="AL312" s="30">
        <f>IFERROR(__xludf.DUMMYFUNCTION("""COMPUTED_VALUE"""),0.9444940302202068)</f>
        <v>0.9444940302</v>
      </c>
      <c r="AM312" s="30">
        <f>IFERROR(__xludf.DUMMYFUNCTION("""COMPUTED_VALUE"""),0.9270267881608348)</f>
        <v>0.9270267882</v>
      </c>
      <c r="AN312" s="30">
        <f>IFERROR(__xludf.DUMMYFUNCTION("""COMPUTED_VALUE"""),0.8189836070461611)</f>
        <v>0.818983607</v>
      </c>
      <c r="AO312" s="30">
        <f>IFERROR(__xludf.DUMMYFUNCTION("""COMPUTED_VALUE"""),0.992637331009119)</f>
        <v>0.992637331</v>
      </c>
      <c r="AP312" s="30">
        <f>IFERROR(__xludf.DUMMYFUNCTION("""COMPUTED_VALUE"""),0.44975549503497325)</f>
        <v>0.449755495</v>
      </c>
      <c r="AQ312" s="30">
        <f>IFERROR(__xludf.DUMMYFUNCTION("""COMPUTED_VALUE"""),0.6467249756364637)</f>
        <v>0.6467249756</v>
      </c>
      <c r="AR312" s="30">
        <f>IFERROR(__xludf.DUMMYFUNCTION("""COMPUTED_VALUE"""),0.9315504778488342)</f>
        <v>0.9315504778</v>
      </c>
      <c r="AS312" s="30">
        <f>IFERROR(__xludf.DUMMYFUNCTION("""COMPUTED_VALUE"""),16.0)</f>
        <v>16</v>
      </c>
      <c r="AT312" s="30">
        <f>IFERROR(__xludf.DUMMYFUNCTION("""COMPUTED_VALUE"""),0.6590787936162182)</f>
        <v>0.6590787936</v>
      </c>
      <c r="AU312" s="30">
        <f>IFERROR(__xludf.DUMMYFUNCTION("""COMPUTED_VALUE"""),1.7460012744430449)</f>
        <v>1.746001274</v>
      </c>
      <c r="AV312" s="32">
        <f>IFERROR(__xludf.DUMMYFUNCTION("""COMPUTED_VALUE"""),47.63719587019997)</f>
        <v>47.63719587</v>
      </c>
      <c r="AW312" s="32">
        <f>IFERROR(__xludf.DUMMYFUNCTION("""COMPUTED_VALUE"""),-2.162858206697121)</f>
        <v>-2.162858207</v>
      </c>
      <c r="AX312" s="32">
        <f>IFERROR(__xludf.DUMMYFUNCTION("""COMPUTED_VALUE"""),22.802130816733968)</f>
        <v>22.80213082</v>
      </c>
      <c r="AY312" s="32">
        <f>IFERROR(__xludf.DUMMYFUNCTION("""COMPUTED_VALUE"""),-7.229802325713526)</f>
        <v>-7.229802326</v>
      </c>
      <c r="AZ312" s="30">
        <f>IFERROR(__xludf.DUMMYFUNCTION("""COMPUTED_VALUE"""),5.066944119016405)</f>
        <v>5.066944119</v>
      </c>
      <c r="BA312" s="30">
        <f>IFERROR(__xludf.DUMMYFUNCTION("""COMPUTED_VALUE"""),1200.0)</f>
        <v>1200</v>
      </c>
    </row>
    <row r="313">
      <c r="A313" s="71" t="str">
        <f>IFERROR(__xludf.DUMMYFUNCTION("""COMPUTED_VALUE"""),"Veteran")</f>
        <v>Veteran</v>
      </c>
      <c r="B313" s="71" t="str">
        <f>IFERROR(__xludf.DUMMYFUNCTION("""COMPUTED_VALUE"""),"RSC000923")</f>
        <v>RSC000923</v>
      </c>
      <c r="C313" s="30" t="str">
        <f>IFERROR(__xludf.DUMMYFUNCTION("""COMPUTED_VALUE"""),"Stemantics")</f>
        <v>Stemantics</v>
      </c>
      <c r="D313" s="30" t="str">
        <f>IFERROR(__xludf.DUMMYFUNCTION("""COMPUTED_VALUE"""),"Legati")</f>
        <v>Legati</v>
      </c>
      <c r="E313" s="30">
        <f>IFERROR(__xludf.DUMMYFUNCTION("""COMPUTED_VALUE"""),44.0)</f>
        <v>44</v>
      </c>
      <c r="F313" s="30">
        <f>IFERROR(__xludf.DUMMYFUNCTION("""COMPUTED_VALUE"""),27.0)</f>
        <v>27</v>
      </c>
      <c r="G313" s="42">
        <f>IFERROR(__xludf.DUMMYFUNCTION("""COMPUTED_VALUE"""),17.0)</f>
        <v>17</v>
      </c>
      <c r="H313" s="42">
        <f>IFERROR(__xludf.DUMMYFUNCTION("""COMPUTED_VALUE"""),0.6136363636363636)</f>
        <v>0.6136363636</v>
      </c>
      <c r="I313" s="42">
        <f>IFERROR(__xludf.DUMMYFUNCTION("""COMPUTED_VALUE"""),0.3356643356643356)</f>
        <v>0.3356643357</v>
      </c>
      <c r="J313" s="30">
        <f>IFERROR(__xludf.DUMMYFUNCTION("""COMPUTED_VALUE"""),405.22727272727275)</f>
        <v>405.2272727</v>
      </c>
      <c r="K313" s="30">
        <f>IFERROR(__xludf.DUMMYFUNCTION("""COMPUTED_VALUE"""),1.0909090909090908)</f>
        <v>1.090909091</v>
      </c>
      <c r="L313" s="30">
        <f>IFERROR(__xludf.DUMMYFUNCTION("""COMPUTED_VALUE"""),0.6590909090909091)</f>
        <v>0.6590909091</v>
      </c>
      <c r="M313" s="30">
        <f>IFERROR(__xludf.DUMMYFUNCTION("""COMPUTED_VALUE"""),1.3181818181818181)</f>
        <v>1.318181818</v>
      </c>
      <c r="N313" s="30">
        <f>IFERROR(__xludf.DUMMYFUNCTION("""COMPUTED_VALUE"""),3.25)</f>
        <v>3.25</v>
      </c>
      <c r="O313" s="30">
        <f>IFERROR(__xludf.DUMMYFUNCTION("""COMPUTED_VALUE"""),379.22727272727275)</f>
        <v>379.2272727</v>
      </c>
      <c r="P313" s="30">
        <f>IFERROR(__xludf.DUMMYFUNCTION("""COMPUTED_VALUE"""),0.909090909090909)</f>
        <v>0.9090909091</v>
      </c>
      <c r="Q313" s="30">
        <f>IFERROR(__xludf.DUMMYFUNCTION("""COMPUTED_VALUE"""),0.6590909090909092)</f>
        <v>0.6590909091</v>
      </c>
      <c r="R313" s="30">
        <f>IFERROR(__xludf.DUMMYFUNCTION("""COMPUTED_VALUE"""),1.424242424242424)</f>
        <v>1.424242424</v>
      </c>
      <c r="S313" s="30">
        <f>IFERROR(__xludf.DUMMYFUNCTION("""COMPUTED_VALUE"""),2.8787878787878793)</f>
        <v>2.878787879</v>
      </c>
      <c r="T313" s="30">
        <f>IFERROR(__xludf.DUMMYFUNCTION("""COMPUTED_VALUE"""),361.6212061631945)</f>
        <v>361.6212062</v>
      </c>
      <c r="U313" s="30">
        <f>IFERROR(__xludf.DUMMYFUNCTION("""COMPUTED_VALUE"""),0.8201323410452321)</f>
        <v>0.820132341</v>
      </c>
      <c r="V313" s="30">
        <f>IFERROR(__xludf.DUMMYFUNCTION("""COMPUTED_VALUE"""),0.593917359981926)</f>
        <v>0.59391736</v>
      </c>
      <c r="W313" s="30">
        <f>IFERROR(__xludf.DUMMYFUNCTION("""COMPUTED_VALUE"""),1.376265266346258)</f>
        <v>1.376265266</v>
      </c>
      <c r="X313" s="30">
        <f>IFERROR(__xludf.DUMMYFUNCTION("""COMPUTED_VALUE"""),2.6495759881346603)</f>
        <v>2.649575988</v>
      </c>
      <c r="Y313" s="30">
        <f>IFERROR(__xludf.DUMMYFUNCTION("""COMPUTED_VALUE"""),354.1539221801479)</f>
        <v>354.1539222</v>
      </c>
      <c r="Z313" s="30">
        <f>IFERROR(__xludf.DUMMYFUNCTION("""COMPUTED_VALUE"""),0.78386729558311)</f>
        <v>0.7838672956</v>
      </c>
      <c r="AA313" s="30">
        <f>IFERROR(__xludf.DUMMYFUNCTION("""COMPUTED_VALUE"""),0.5725835844319299)</f>
        <v>0.5725835844</v>
      </c>
      <c r="AB313" s="30">
        <f>IFERROR(__xludf.DUMMYFUNCTION("""COMPUTED_VALUE"""),1.3411390160711434)</f>
        <v>1.341139016</v>
      </c>
      <c r="AC313" s="30">
        <f>IFERROR(__xludf.DUMMYFUNCTION("""COMPUTED_VALUE"""),2.666245052392126)</f>
        <v>2.666245052</v>
      </c>
      <c r="AD313" s="30">
        <f>IFERROR(__xludf.DUMMYFUNCTION("""COMPUTED_VALUE"""),1.1442122968248403)</f>
        <v>1.144212297</v>
      </c>
      <c r="AE313" s="30">
        <f>IFERROR(__xludf.DUMMYFUNCTION("""COMPUTED_VALUE"""),1.3917012446572044)</f>
        <v>1.391701245</v>
      </c>
      <c r="AF313" s="30">
        <f>IFERROR(__xludf.DUMMYFUNCTION("""COMPUTED_VALUE"""),1.1510824393346948)</f>
        <v>1.151082439</v>
      </c>
      <c r="AG313" s="30">
        <f>IFERROR(__xludf.DUMMYFUNCTION("""COMPUTED_VALUE"""),0.9828823130084022)</f>
        <v>0.982882313</v>
      </c>
      <c r="AH313" s="30">
        <f>IFERROR(__xludf.DUMMYFUNCTION("""COMPUTED_VALUE"""),1.2189427213691912)</f>
        <v>1.218942721</v>
      </c>
      <c r="AI313" s="30">
        <f>IFERROR(__xludf.DUMMYFUNCTION("""COMPUTED_VALUE"""),1.0486864881373492)</f>
        <v>1.048686488</v>
      </c>
      <c r="AJ313" s="30">
        <f>IFERROR(__xludf.DUMMYFUNCTION("""COMPUTED_VALUE"""),1.1084685526878528)</f>
        <v>1.108468553</v>
      </c>
      <c r="AK313" s="30">
        <f>IFERROR(__xludf.DUMMYFUNCTION("""COMPUTED_VALUE"""),1.10973504649025)</f>
        <v>1.109735046</v>
      </c>
      <c r="AL313" s="30">
        <f>IFERROR(__xludf.DUMMYFUNCTION("""COMPUTED_VALUE"""),1.0348604001491202)</f>
        <v>1.0348604</v>
      </c>
      <c r="AM313" s="30">
        <f>IFERROR(__xludf.DUMMYFUNCTION("""COMPUTED_VALUE"""),1.0865088948872108)</f>
        <v>1.086508895</v>
      </c>
      <c r="AN313" s="30">
        <f>IFERROR(__xludf.DUMMYFUNCTION("""COMPUTED_VALUE"""),1.172183641471648)</f>
        <v>1.172183641</v>
      </c>
      <c r="AO313" s="30">
        <f>IFERROR(__xludf.DUMMYFUNCTION("""COMPUTED_VALUE"""),1.4438361178314456)</f>
        <v>1.443836118</v>
      </c>
      <c r="AP313" s="30">
        <f>IFERROR(__xludf.DUMMYFUNCTION("""COMPUTED_VALUE"""),1.1857190323649296)</f>
        <v>1.185719032</v>
      </c>
      <c r="AQ313" s="30">
        <f>IFERROR(__xludf.DUMMYFUNCTION("""COMPUTED_VALUE"""),0.9742869762835037)</f>
        <v>0.9742869763</v>
      </c>
      <c r="AR313" s="30">
        <f>IFERROR(__xludf.DUMMYFUNCTION("""COMPUTED_VALUE"""),1.274753285477352)</f>
        <v>1.274753285</v>
      </c>
      <c r="AS313" s="30">
        <f>IFERROR(__xludf.DUMMYFUNCTION("""COMPUTED_VALUE"""),130.0)</f>
        <v>130</v>
      </c>
      <c r="AT313" s="30">
        <f>IFERROR(__xludf.DUMMYFUNCTION("""COMPUTED_VALUE"""),0.5328981711573949)</f>
        <v>0.5328981712</v>
      </c>
      <c r="AU313" s="30">
        <f>IFERROR(__xludf.DUMMYFUNCTION("""COMPUTED_VALUE"""),2.622329386840161)</f>
        <v>2.622329387</v>
      </c>
      <c r="AV313" s="32">
        <f>IFERROR(__xludf.DUMMYFUNCTION("""COMPUTED_VALUE"""),78.96776069049258)</f>
        <v>78.96776069</v>
      </c>
      <c r="AW313" s="32">
        <f>IFERROR(__xludf.DUMMYFUNCTION("""COMPUTED_VALUE"""),8.11114741191433)</f>
        <v>8.111147412</v>
      </c>
      <c r="AX313" s="32">
        <f>IFERROR(__xludf.DUMMYFUNCTION("""COMPUTED_VALUE"""),61.12295747997359)</f>
        <v>61.12295748</v>
      </c>
      <c r="AY313" s="32">
        <f>IFERROR(__xludf.DUMMYFUNCTION("""COMPUTED_VALUE"""),3.0470210289785653)</f>
        <v>3.047021029</v>
      </c>
      <c r="AZ313" s="30">
        <f>IFERROR(__xludf.DUMMYFUNCTION("""COMPUTED_VALUE"""),5.064126382935764)</f>
        <v>5.064126383</v>
      </c>
      <c r="BA313" s="30">
        <f>IFERROR(__xludf.DUMMYFUNCTION("""COMPUTED_VALUE"""),1200.0)</f>
        <v>1200</v>
      </c>
    </row>
    <row r="314">
      <c r="A314" s="71" t="str">
        <f>IFERROR(__xludf.DUMMYFUNCTION("""COMPUTED_VALUE"""),"Veteran")</f>
        <v>Veteran</v>
      </c>
      <c r="B314" s="71" t="str">
        <f>IFERROR(__xludf.DUMMYFUNCTION("""COMPUTED_VALUE"""),"RSC006885")</f>
        <v>RSC006885</v>
      </c>
      <c r="C314" s="30" t="str">
        <f>IFERROR(__xludf.DUMMYFUNCTION("""COMPUTED_VALUE"""),"ski")</f>
        <v>ski</v>
      </c>
      <c r="D314" s="30" t="str">
        <f>IFERROR(__xludf.DUMMYFUNCTION("""COMPUTED_VALUE"""),"Dread")</f>
        <v>Dread</v>
      </c>
      <c r="E314" s="30">
        <f>IFERROR(__xludf.DUMMYFUNCTION("""COMPUTED_VALUE"""),31.0)</f>
        <v>31</v>
      </c>
      <c r="F314" s="30">
        <f>IFERROR(__xludf.DUMMYFUNCTION("""COMPUTED_VALUE"""),16.0)</f>
        <v>16</v>
      </c>
      <c r="G314" s="42">
        <f>IFERROR(__xludf.DUMMYFUNCTION("""COMPUTED_VALUE"""),15.0)</f>
        <v>15</v>
      </c>
      <c r="H314" s="42">
        <f>IFERROR(__xludf.DUMMYFUNCTION("""COMPUTED_VALUE"""),0.5161290322580645)</f>
        <v>0.5161290323</v>
      </c>
      <c r="I314" s="42">
        <f>IFERROR(__xludf.DUMMYFUNCTION("""COMPUTED_VALUE"""),0.29333333333333333)</f>
        <v>0.2933333333</v>
      </c>
      <c r="J314" s="30">
        <f>IFERROR(__xludf.DUMMYFUNCTION("""COMPUTED_VALUE"""),370.93548387096774)</f>
        <v>370.9354839</v>
      </c>
      <c r="K314" s="30">
        <f>IFERROR(__xludf.DUMMYFUNCTION("""COMPUTED_VALUE"""),0.7096774193548387)</f>
        <v>0.7096774194</v>
      </c>
      <c r="L314" s="30">
        <f>IFERROR(__xludf.DUMMYFUNCTION("""COMPUTED_VALUE"""),0.5161290322580645)</f>
        <v>0.5161290323</v>
      </c>
      <c r="M314" s="30">
        <f>IFERROR(__xludf.DUMMYFUNCTION("""COMPUTED_VALUE"""),1.6451612903225807)</f>
        <v>1.64516129</v>
      </c>
      <c r="N314" s="30">
        <f>IFERROR(__xludf.DUMMYFUNCTION("""COMPUTED_VALUE"""),2.4193548387096775)</f>
        <v>2.419354839</v>
      </c>
      <c r="O314" s="30">
        <f>IFERROR(__xludf.DUMMYFUNCTION("""COMPUTED_VALUE"""),337.1612903225806)</f>
        <v>337.1612903</v>
      </c>
      <c r="P314" s="30">
        <f>IFERROR(__xludf.DUMMYFUNCTION("""COMPUTED_VALUE"""),0.6774193548387094)</f>
        <v>0.6774193548</v>
      </c>
      <c r="Q314" s="30">
        <f>IFERROR(__xludf.DUMMYFUNCTION("""COMPUTED_VALUE"""),0.5483870967741935)</f>
        <v>0.5483870968</v>
      </c>
      <c r="R314" s="30">
        <f>IFERROR(__xludf.DUMMYFUNCTION("""COMPUTED_VALUE"""),1.1935483870967745)</f>
        <v>1.193548387</v>
      </c>
      <c r="S314" s="30">
        <f>IFERROR(__xludf.DUMMYFUNCTION("""COMPUTED_VALUE"""),2.580645161290322)</f>
        <v>2.580645161</v>
      </c>
      <c r="T314" s="30">
        <f>IFERROR(__xludf.DUMMYFUNCTION("""COMPUTED_VALUE"""),344.8872708927267)</f>
        <v>344.8872709</v>
      </c>
      <c r="U314" s="30">
        <f>IFERROR(__xludf.DUMMYFUNCTION("""COMPUTED_VALUE"""),0.7302324147395044)</f>
        <v>0.7302324147</v>
      </c>
      <c r="V314" s="30">
        <f>IFERROR(__xludf.DUMMYFUNCTION("""COMPUTED_VALUE"""),0.5663886711155645)</f>
        <v>0.5663886711</v>
      </c>
      <c r="W314" s="30">
        <f>IFERROR(__xludf.DUMMYFUNCTION("""COMPUTED_VALUE"""),1.3520745160621013)</f>
        <v>1.352074516</v>
      </c>
      <c r="X314" s="30">
        <f>IFERROR(__xludf.DUMMYFUNCTION("""COMPUTED_VALUE"""),2.531284769277565)</f>
        <v>2.531284769</v>
      </c>
      <c r="Y314" s="30">
        <f>IFERROR(__xludf.DUMMYFUNCTION("""COMPUTED_VALUE"""),358.8178863783271)</f>
        <v>358.8178864</v>
      </c>
      <c r="Z314" s="30">
        <f>IFERROR(__xludf.DUMMYFUNCTION("""COMPUTED_VALUE"""),0.8224790853378905)</f>
        <v>0.8224790853</v>
      </c>
      <c r="AA314" s="30">
        <f>IFERROR(__xludf.DUMMYFUNCTION("""COMPUTED_VALUE"""),0.6116188723185643)</f>
        <v>0.6116188723</v>
      </c>
      <c r="AB314" s="30">
        <f>IFERROR(__xludf.DUMMYFUNCTION("""COMPUTED_VALUE"""),1.3415219512010117)</f>
        <v>1.341521951</v>
      </c>
      <c r="AC314" s="30">
        <f>IFERROR(__xludf.DUMMYFUNCTION("""COMPUTED_VALUE"""),2.652465705189414)</f>
        <v>2.652465705</v>
      </c>
      <c r="AD314" s="30">
        <f>IFERROR(__xludf.DUMMYFUNCTION("""COMPUTED_VALUE"""),1.0337708847653826)</f>
        <v>1.033770885</v>
      </c>
      <c r="AE314" s="30">
        <f>IFERROR(__xludf.DUMMYFUNCTION("""COMPUTED_VALUE"""),0.8628516299150505)</f>
        <v>0.8628516299</v>
      </c>
      <c r="AF314" s="30">
        <f>IFERROR(__xludf.DUMMYFUNCTION("""COMPUTED_VALUE"""),0.8438736206773497)</f>
        <v>0.8438736207</v>
      </c>
      <c r="AG314" s="30">
        <f>IFERROR(__xludf.DUMMYFUNCTION("""COMPUTED_VALUE"""),1.226339448899612)</f>
        <v>1.226339449</v>
      </c>
      <c r="AH314" s="30">
        <f>IFERROR(__xludf.DUMMYFUNCTION("""COMPUTED_VALUE"""),0.9121154079301885)</f>
        <v>0.9121154079</v>
      </c>
      <c r="AI314" s="30">
        <f>IFERROR(__xludf.DUMMYFUNCTION("""COMPUTED_VALUE"""),0.9775985337175602)</f>
        <v>0.9775985337</v>
      </c>
      <c r="AJ314" s="30">
        <f>IFERROR(__xludf.DUMMYFUNCTION("""COMPUTED_VALUE"""),0.9276763687357881)</f>
        <v>0.9276763687</v>
      </c>
      <c r="AK314" s="30">
        <f>IFERROR(__xludf.DUMMYFUNCTION("""COMPUTED_VALUE"""),0.9682169237143905)</f>
        <v>0.9682169237</v>
      </c>
      <c r="AL314" s="30">
        <f>IFERROR(__xludf.DUMMYFUNCTION("""COMPUTED_VALUE"""),0.8827534081279543)</f>
        <v>0.8827534081</v>
      </c>
      <c r="AM314" s="30">
        <f>IFERROR(__xludf.DUMMYFUNCTION("""COMPUTED_VALUE"""),1.0195001339287655)</f>
        <v>1.019500134</v>
      </c>
      <c r="AN314" s="30">
        <f>IFERROR(__xludf.DUMMYFUNCTION("""COMPUTED_VALUE"""),1.0729892470183073)</f>
        <v>1.072989247</v>
      </c>
      <c r="AO314" s="30">
        <f>IFERROR(__xludf.DUMMYFUNCTION("""COMPUTED_VALUE"""),0.9392697325677685)</f>
        <v>0.9392697326</v>
      </c>
      <c r="AP314" s="30">
        <f>IFERROR(__xludf.DUMMYFUNCTION("""COMPUTED_VALUE"""),0.92852747362059)</f>
        <v>0.9285274736</v>
      </c>
      <c r="AQ314" s="30">
        <f>IFERROR(__xludf.DUMMYFUNCTION("""COMPUTED_VALUE"""),1.2159621661736277)</f>
        <v>1.215962166</v>
      </c>
      <c r="AR314" s="30">
        <f>IFERROR(__xludf.DUMMYFUNCTION("""COMPUTED_VALUE"""),0.9489478551940587)</f>
        <v>0.9489478552</v>
      </c>
      <c r="AS314" s="30">
        <f>IFERROR(__xludf.DUMMYFUNCTION("""COMPUTED_VALUE"""),63.0)</f>
        <v>63</v>
      </c>
      <c r="AT314" s="30">
        <f>IFERROR(__xludf.DUMMYFUNCTION("""COMPUTED_VALUE"""),0.5000000000000002)</f>
        <v>0.5</v>
      </c>
      <c r="AU314" s="30">
        <f>IFERROR(__xludf.DUMMYFUNCTION("""COMPUTED_VALUE"""),1.7764924330511271)</f>
        <v>1.776492433</v>
      </c>
      <c r="AV314" s="32">
        <f>IFERROR(__xludf.DUMMYFUNCTION("""COMPUTED_VALUE"""),48.72731863095814)</f>
        <v>48.72731863</v>
      </c>
      <c r="AW314" s="32">
        <f>IFERROR(__xludf.DUMMYFUNCTION("""COMPUTED_VALUE"""),-2.08463748136098)</f>
        <v>-2.084637481</v>
      </c>
      <c r="AX314" s="32">
        <f>IFERROR(__xludf.DUMMYFUNCTION("""COMPUTED_VALUE"""),60.58932963655383)</f>
        <v>60.58932964</v>
      </c>
      <c r="AY314" s="32">
        <f>IFERROR(__xludf.DUMMYFUNCTION("""COMPUTED_VALUE"""),2.976734818167497)</f>
        <v>2.976734818</v>
      </c>
      <c r="AZ314" s="30">
        <f>IFERROR(__xludf.DUMMYFUNCTION("""COMPUTED_VALUE"""),5.061372299528477)</f>
        <v>5.0613723</v>
      </c>
      <c r="BA314" s="30">
        <f>IFERROR(__xludf.DUMMYFUNCTION("""COMPUTED_VALUE"""),1200.0)</f>
        <v>1200</v>
      </c>
    </row>
    <row r="315">
      <c r="A315" s="71" t="str">
        <f>IFERROR(__xludf.DUMMYFUNCTION("""COMPUTED_VALUE"""),"Veteran")</f>
        <v>Veteran</v>
      </c>
      <c r="B315" s="71" t="str">
        <f>IFERROR(__xludf.DUMMYFUNCTION("""COMPUTED_VALUE"""),"RSC006315")</f>
        <v>RSC006315</v>
      </c>
      <c r="C315" s="30" t="str">
        <f>IFERROR(__xludf.DUMMYFUNCTION("""COMPUTED_VALUE"""),"BIGbadBULLMAN13")</f>
        <v>BIGbadBULLMAN13</v>
      </c>
      <c r="D315" s="30" t="str">
        <f>IFERROR(__xludf.DUMMYFUNCTION("""COMPUTED_VALUE"""),"Singularity")</f>
        <v>Singularity</v>
      </c>
      <c r="E315" s="30">
        <f>IFERROR(__xludf.DUMMYFUNCTION("""COMPUTED_VALUE"""),31.0)</f>
        <v>31</v>
      </c>
      <c r="F315" s="30">
        <f>IFERROR(__xludf.DUMMYFUNCTION("""COMPUTED_VALUE"""),19.0)</f>
        <v>19</v>
      </c>
      <c r="G315" s="42">
        <f>IFERROR(__xludf.DUMMYFUNCTION("""COMPUTED_VALUE"""),12.0)</f>
        <v>12</v>
      </c>
      <c r="H315" s="42">
        <f>IFERROR(__xludf.DUMMYFUNCTION("""COMPUTED_VALUE"""),0.6129032258064516)</f>
        <v>0.6129032258</v>
      </c>
      <c r="I315" s="42">
        <f>IFERROR(__xludf.DUMMYFUNCTION("""COMPUTED_VALUE"""),0.28205128205128205)</f>
        <v>0.2820512821</v>
      </c>
      <c r="J315" s="30">
        <f>IFERROR(__xludf.DUMMYFUNCTION("""COMPUTED_VALUE"""),364.4516129032258)</f>
        <v>364.4516129</v>
      </c>
      <c r="K315" s="30">
        <f>IFERROR(__xludf.DUMMYFUNCTION("""COMPUTED_VALUE"""),0.7096774193548387)</f>
        <v>0.7096774194</v>
      </c>
      <c r="L315" s="30">
        <f>IFERROR(__xludf.DUMMYFUNCTION("""COMPUTED_VALUE"""),0.6129032258064516)</f>
        <v>0.6129032258</v>
      </c>
      <c r="M315" s="30">
        <f>IFERROR(__xludf.DUMMYFUNCTION("""COMPUTED_VALUE"""),1.7096774193548387)</f>
        <v>1.709677419</v>
      </c>
      <c r="N315" s="30">
        <f>IFERROR(__xludf.DUMMYFUNCTION("""COMPUTED_VALUE"""),2.5161290322580645)</f>
        <v>2.516129032</v>
      </c>
      <c r="O315" s="30">
        <f>IFERROR(__xludf.DUMMYFUNCTION("""COMPUTED_VALUE"""),328.4408602150538)</f>
        <v>328.4408602</v>
      </c>
      <c r="P315" s="30">
        <f>IFERROR(__xludf.DUMMYFUNCTION("""COMPUTED_VALUE"""),0.6236559139784947)</f>
        <v>0.623655914</v>
      </c>
      <c r="Q315" s="30">
        <f>IFERROR(__xludf.DUMMYFUNCTION("""COMPUTED_VALUE"""),0.4731182795698924)</f>
        <v>0.4731182796</v>
      </c>
      <c r="R315" s="30">
        <f>IFERROR(__xludf.DUMMYFUNCTION("""COMPUTED_VALUE"""),1.3010752688172043)</f>
        <v>1.301075269</v>
      </c>
      <c r="S315" s="30">
        <f>IFERROR(__xludf.DUMMYFUNCTION("""COMPUTED_VALUE"""),2.8494623655913975)</f>
        <v>2.849462366</v>
      </c>
      <c r="T315" s="30">
        <f>IFERROR(__xludf.DUMMYFUNCTION("""COMPUTED_VALUE"""),349.6970530291893)</f>
        <v>349.697053</v>
      </c>
      <c r="U315" s="30">
        <f>IFERROR(__xludf.DUMMYFUNCTION("""COMPUTED_VALUE"""),0.7691907205878318)</f>
        <v>0.7691907206</v>
      </c>
      <c r="V315" s="30">
        <f>IFERROR(__xludf.DUMMYFUNCTION("""COMPUTED_VALUE"""),0.5803909879240617)</f>
        <v>0.5803909879</v>
      </c>
      <c r="W315" s="30">
        <f>IFERROR(__xludf.DUMMYFUNCTION("""COMPUTED_VALUE"""),1.2961137206963758)</f>
        <v>1.296113721</v>
      </c>
      <c r="X315" s="30">
        <f>IFERROR(__xludf.DUMMYFUNCTION("""COMPUTED_VALUE"""),2.6132883953419173)</f>
        <v>2.613288395</v>
      </c>
      <c r="Y315" s="30">
        <f>IFERROR(__xludf.DUMMYFUNCTION("""COMPUTED_VALUE"""),350.01979286054865)</f>
        <v>350.0197929</v>
      </c>
      <c r="Z315" s="30">
        <f>IFERROR(__xludf.DUMMYFUNCTION("""COMPUTED_VALUE"""),0.752993092178672)</f>
        <v>0.7529930922</v>
      </c>
      <c r="AA315" s="30">
        <f>IFERROR(__xludf.DUMMYFUNCTION("""COMPUTED_VALUE"""),0.5472222827566672)</f>
        <v>0.5472222828</v>
      </c>
      <c r="AB315" s="30">
        <f>IFERROR(__xludf.DUMMYFUNCTION("""COMPUTED_VALUE"""),1.3743530608414694)</f>
        <v>1.374353061</v>
      </c>
      <c r="AC315" s="30">
        <f>IFERROR(__xludf.DUMMYFUNCTION("""COMPUTED_VALUE"""),2.5609125853046315)</f>
        <v>2.560912585</v>
      </c>
      <c r="AD315" s="30">
        <f>IFERROR(__xludf.DUMMYFUNCTION("""COMPUTED_VALUE"""),1.0412314398701075)</f>
        <v>1.04123144</v>
      </c>
      <c r="AE315" s="30">
        <f>IFERROR(__xludf.DUMMYFUNCTION("""COMPUTED_VALUE"""),0.9424753383878915)</f>
        <v>0.9424753384</v>
      </c>
      <c r="AF315" s="30">
        <f>IFERROR(__xludf.DUMMYFUNCTION("""COMPUTED_VALUE"""),1.1200260755444982)</f>
        <v>1.120026076</v>
      </c>
      <c r="AG315" s="30">
        <f>IFERROR(__xludf.DUMMYFUNCTION("""COMPUTED_VALUE"""),1.2439870569415852)</f>
        <v>1.243987057</v>
      </c>
      <c r="AH315" s="30">
        <f>IFERROR(__xludf.DUMMYFUNCTION("""COMPUTED_VALUE"""),0.9825126584548219)</f>
        <v>0.9825126585</v>
      </c>
      <c r="AI315" s="30">
        <f>IFERROR(__xludf.DUMMYFUNCTION("""COMPUTED_VALUE"""),0.9392154076506867)</f>
        <v>0.9392154077</v>
      </c>
      <c r="AJ315" s="30">
        <f>IFERROR(__xludf.DUMMYFUNCTION("""COMPUTED_VALUE"""),0.810794900778163)</f>
        <v>0.8107949008</v>
      </c>
      <c r="AK315" s="30">
        <f>IFERROR(__xludf.DUMMYFUNCTION("""COMPUTED_VALUE"""),0.8151716505146616)</f>
        <v>0.8151716505</v>
      </c>
      <c r="AL315" s="30">
        <f>IFERROR(__xludf.DUMMYFUNCTION("""COMPUTED_VALUE"""),1.0038280191325826)</f>
        <v>1.003828019</v>
      </c>
      <c r="AM315" s="30">
        <f>IFERROR(__xludf.DUMMYFUNCTION("""COMPUTED_VALUE"""),1.0903742467423232)</f>
        <v>1.090374247</v>
      </c>
      <c r="AN315" s="30">
        <f>IFERROR(__xludf.DUMMYFUNCTION("""COMPUTED_VALUE"""),1.054233630125475)</f>
        <v>1.05423363</v>
      </c>
      <c r="AO315" s="30">
        <f>IFERROR(__xludf.DUMMYFUNCTION("""COMPUTED_VALUE"""),0.9392697325677685)</f>
        <v>0.9392697326</v>
      </c>
      <c r="AP315" s="30">
        <f>IFERROR(__xludf.DUMMYFUNCTION("""COMPUTED_VALUE"""),1.1026263749244507)</f>
        <v>1.102626375</v>
      </c>
      <c r="AQ315" s="30">
        <f>IFERROR(__xludf.DUMMYFUNCTION("""COMPUTED_VALUE"""),1.263646957003966)</f>
        <v>1.263646957</v>
      </c>
      <c r="AR315" s="30">
        <f>IFERROR(__xludf.DUMMYFUNCTION("""COMPUTED_VALUE"""),0.986905769401821)</f>
        <v>0.9869057694</v>
      </c>
      <c r="AS315" s="30">
        <f>IFERROR(__xludf.DUMMYFUNCTION("""COMPUTED_VALUE"""),75.0)</f>
        <v>75</v>
      </c>
      <c r="AT315" s="30">
        <f>IFERROR(__xludf.DUMMYFUNCTION("""COMPUTED_VALUE"""),0.5963842111093005)</f>
        <v>0.5963842111</v>
      </c>
      <c r="AU315" s="30">
        <f>IFERROR(__xludf.DUMMYFUNCTION("""COMPUTED_VALUE"""),2.0791051728041516)</f>
        <v>2.079105173</v>
      </c>
      <c r="AV315" s="32">
        <f>IFERROR(__xludf.DUMMYFUNCTION("""COMPUTED_VALUE"""),59.54635766913756)</f>
        <v>59.54635767</v>
      </c>
      <c r="AW315" s="32">
        <f>IFERROR(__xludf.DUMMYFUNCTION("""COMPUTED_VALUE"""),2.8466937242671375)</f>
        <v>2.846693724</v>
      </c>
      <c r="AX315" s="32">
        <f>IFERROR(__xludf.DUMMYFUNCTION("""COMPUTED_VALUE"""),47.73074123701018)</f>
        <v>47.73074124</v>
      </c>
      <c r="AY315" s="32">
        <f>IFERROR(__xludf.DUMMYFUNCTION("""COMPUTED_VALUE"""),-2.1559272912283745)</f>
        <v>-2.155927291</v>
      </c>
      <c r="AZ315" s="30">
        <f>IFERROR(__xludf.DUMMYFUNCTION("""COMPUTED_VALUE"""),5.002621015495512)</f>
        <v>5.002621015</v>
      </c>
      <c r="BA315" s="30">
        <f>IFERROR(__xludf.DUMMYFUNCTION("""COMPUTED_VALUE"""),1200.0)</f>
        <v>1200</v>
      </c>
    </row>
    <row r="316">
      <c r="A316" s="71" t="str">
        <f>IFERROR(__xludf.DUMMYFUNCTION("""COMPUTED_VALUE"""),"Veteran")</f>
        <v>Veteran</v>
      </c>
      <c r="B316" s="71" t="str">
        <f>IFERROR(__xludf.DUMMYFUNCTION("""COMPUTED_VALUE"""),"RSC004165")</f>
        <v>RSC004165</v>
      </c>
      <c r="C316" s="30" t="str">
        <f>IFERROR(__xludf.DUMMYFUNCTION("""COMPUTED_VALUE"""),"Absolutely TOR")</f>
        <v>Absolutely TOR</v>
      </c>
      <c r="D316" s="30" t="str">
        <f>IFERROR(__xludf.DUMMYFUNCTION("""COMPUTED_VALUE"""),"Rulers")</f>
        <v>Rulers</v>
      </c>
      <c r="E316" s="30">
        <f>IFERROR(__xludf.DUMMYFUNCTION("""COMPUTED_VALUE"""),30.0)</f>
        <v>30</v>
      </c>
      <c r="F316" s="30">
        <f>IFERROR(__xludf.DUMMYFUNCTION("""COMPUTED_VALUE"""),19.0)</f>
        <v>19</v>
      </c>
      <c r="G316" s="42">
        <f>IFERROR(__xludf.DUMMYFUNCTION("""COMPUTED_VALUE"""),11.0)</f>
        <v>11</v>
      </c>
      <c r="H316" s="42">
        <f>IFERROR(__xludf.DUMMYFUNCTION("""COMPUTED_VALUE"""),0.6333333333333333)</f>
        <v>0.6333333333</v>
      </c>
      <c r="I316" s="42">
        <f>IFERROR(__xludf.DUMMYFUNCTION("""COMPUTED_VALUE"""),0.3492063492063492)</f>
        <v>0.3492063492</v>
      </c>
      <c r="J316" s="30">
        <f>IFERROR(__xludf.DUMMYFUNCTION("""COMPUTED_VALUE"""),370.76666666666665)</f>
        <v>370.7666667</v>
      </c>
      <c r="K316" s="30">
        <f>IFERROR(__xludf.DUMMYFUNCTION("""COMPUTED_VALUE"""),0.7333333333333333)</f>
        <v>0.7333333333</v>
      </c>
      <c r="L316" s="30">
        <f>IFERROR(__xludf.DUMMYFUNCTION("""COMPUTED_VALUE"""),0.7333333333333333)</f>
        <v>0.7333333333</v>
      </c>
      <c r="M316" s="30">
        <f>IFERROR(__xludf.DUMMYFUNCTION("""COMPUTED_VALUE"""),1.7)</f>
        <v>1.7</v>
      </c>
      <c r="N316" s="30">
        <f>IFERROR(__xludf.DUMMYFUNCTION("""COMPUTED_VALUE"""),2.1)</f>
        <v>2.1</v>
      </c>
      <c r="O316" s="30">
        <f>IFERROR(__xludf.DUMMYFUNCTION("""COMPUTED_VALUE"""),345.5222222222221)</f>
        <v>345.5222222</v>
      </c>
      <c r="P316" s="30">
        <f>IFERROR(__xludf.DUMMYFUNCTION("""COMPUTED_VALUE"""),0.7)</f>
        <v>0.7</v>
      </c>
      <c r="Q316" s="30">
        <f>IFERROR(__xludf.DUMMYFUNCTION("""COMPUTED_VALUE"""),0.4444444444444444)</f>
        <v>0.4444444444</v>
      </c>
      <c r="R316" s="30">
        <f>IFERROR(__xludf.DUMMYFUNCTION("""COMPUTED_VALUE"""),1.3555555555555554)</f>
        <v>1.355555556</v>
      </c>
      <c r="S316" s="30">
        <f>IFERROR(__xludf.DUMMYFUNCTION("""COMPUTED_VALUE"""),2.9222222222222225)</f>
        <v>2.922222222</v>
      </c>
      <c r="T316" s="30">
        <f>IFERROR(__xludf.DUMMYFUNCTION("""COMPUTED_VALUE"""),360.0435766059781)</f>
        <v>360.0435766</v>
      </c>
      <c r="U316" s="30">
        <f>IFERROR(__xludf.DUMMYFUNCTION("""COMPUTED_VALUE"""),0.8361272422938023)</f>
        <v>0.8361272423</v>
      </c>
      <c r="V316" s="30">
        <f>IFERROR(__xludf.DUMMYFUNCTION("""COMPUTED_VALUE"""),0.549829303742616)</f>
        <v>0.5498293037</v>
      </c>
      <c r="W316" s="30">
        <f>IFERROR(__xludf.DUMMYFUNCTION("""COMPUTED_VALUE"""),1.374593400061712)</f>
        <v>1.3745934</v>
      </c>
      <c r="X316" s="30">
        <f>IFERROR(__xludf.DUMMYFUNCTION("""COMPUTED_VALUE"""),2.6515929558353464)</f>
        <v>2.651592956</v>
      </c>
      <c r="Y316" s="30">
        <f>IFERROR(__xludf.DUMMYFUNCTION("""COMPUTED_VALUE"""),362.23474629997895)</f>
        <v>362.2347463</v>
      </c>
      <c r="Z316" s="30">
        <f>IFERROR(__xludf.DUMMYFUNCTION("""COMPUTED_VALUE"""),0.8388173081921232)</f>
        <v>0.8388173082</v>
      </c>
      <c r="AA316" s="30">
        <f>IFERROR(__xludf.DUMMYFUNCTION("""COMPUTED_VALUE"""),0.6249153338890789)</f>
        <v>0.6249153339</v>
      </c>
      <c r="AB316" s="30">
        <f>IFERROR(__xludf.DUMMYFUNCTION("""COMPUTED_VALUE"""),1.3366802517203824)</f>
        <v>1.336680252</v>
      </c>
      <c r="AC316" s="30">
        <f>IFERROR(__xludf.DUMMYFUNCTION("""COMPUTED_VALUE"""),2.6868697453524693)</f>
        <v>2.686869745</v>
      </c>
      <c r="AD316" s="30">
        <f>IFERROR(__xludf.DUMMYFUNCTION("""COMPUTED_VALUE"""),1.0235535669999534)</f>
        <v>1.023553567</v>
      </c>
      <c r="AE316" s="30">
        <f>IFERROR(__xludf.DUMMYFUNCTION("""COMPUTED_VALUE"""),0.8742467831450257)</f>
        <v>0.8742467831</v>
      </c>
      <c r="AF316" s="30">
        <f>IFERROR(__xludf.DUMMYFUNCTION("""COMPUTED_VALUE"""),1.1734923013802991)</f>
        <v>1.173492301</v>
      </c>
      <c r="AG316" s="30">
        <f>IFERROR(__xludf.DUMMYFUNCTION("""COMPUTED_VALUE"""),1.271807523012332)</f>
        <v>1.271807523</v>
      </c>
      <c r="AH316" s="30">
        <f>IFERROR(__xludf.DUMMYFUNCTION("""COMPUTED_VALUE"""),0.781578639467883)</f>
        <v>0.7815786395</v>
      </c>
      <c r="AI316" s="30">
        <f>IFERROR(__xludf.DUMMYFUNCTION("""COMPUTED_VALUE"""),0.9596677865478274)</f>
        <v>0.9596677865</v>
      </c>
      <c r="AJ316" s="30">
        <f>IFERROR(__xludf.DUMMYFUNCTION("""COMPUTED_VALUE"""),0.8371931502669909)</f>
        <v>0.8371931503</v>
      </c>
      <c r="AK316" s="30">
        <f>IFERROR(__xludf.DUMMYFUNCTION("""COMPUTED_VALUE"""),0.8083316793396957)</f>
        <v>0.8083316793</v>
      </c>
      <c r="AL316" s="30">
        <f>IFERROR(__xludf.DUMMYFUNCTION("""COMPUTED_VALUE"""),0.9861501993932883)</f>
        <v>0.9861501994</v>
      </c>
      <c r="AM316" s="30">
        <f>IFERROR(__xludf.DUMMYFUNCTION("""COMPUTED_VALUE"""),1.10206289988488)</f>
        <v>1.1020629</v>
      </c>
      <c r="AN316" s="30">
        <f>IFERROR(__xludf.DUMMYFUNCTION("""COMPUTED_VALUE"""),1.0725009166945636)</f>
        <v>1.072500917</v>
      </c>
      <c r="AO316" s="30">
        <f>IFERROR(__xludf.DUMMYFUNCTION("""COMPUTED_VALUE"""),0.9705787236533607)</f>
        <v>0.9705787237</v>
      </c>
      <c r="AP316" s="30">
        <f>IFERROR(__xludf.DUMMYFUNCTION("""COMPUTED_VALUE"""),1.3192827854359215)</f>
        <v>1.319282785</v>
      </c>
      <c r="AQ316" s="30">
        <f>IFERROR(__xludf.DUMMYFUNCTION("""COMPUTED_VALUE"""),1.256494238379415)</f>
        <v>1.256494238</v>
      </c>
      <c r="AR316" s="30">
        <f>IFERROR(__xludf.DUMMYFUNCTION("""COMPUTED_VALUE"""),0.8236867383084429)</f>
        <v>0.8236867383</v>
      </c>
      <c r="AS316" s="30">
        <f>IFERROR(__xludf.DUMMYFUNCTION("""COMPUTED_VALUE"""),78.0)</f>
        <v>78</v>
      </c>
      <c r="AT316" s="30">
        <f>IFERROR(__xludf.DUMMYFUNCTION("""COMPUTED_VALUE"""),0.5824884791584841)</f>
        <v>0.5824884792</v>
      </c>
      <c r="AU316" s="30">
        <f>IFERROR(__xludf.DUMMYFUNCTION("""COMPUTED_VALUE"""),2.021676290706968)</f>
        <v>2.021676291</v>
      </c>
      <c r="AV316" s="32">
        <f>IFERROR(__xludf.DUMMYFUNCTION("""COMPUTED_VALUE"""),57.493154893089454)</f>
        <v>57.49315489</v>
      </c>
      <c r="AW316" s="32">
        <f>IFERROR(__xludf.DUMMYFUNCTION("""COMPUTED_VALUE"""),2.6164790559159816)</f>
        <v>2.616479056</v>
      </c>
      <c r="AX316" s="32">
        <f>IFERROR(__xludf.DUMMYFUNCTION("""COMPUTED_VALUE"""),45.64129527221522)</f>
        <v>45.64129527</v>
      </c>
      <c r="AY316" s="32">
        <f>IFERROR(__xludf.DUMMYFUNCTION("""COMPUTED_VALUE"""),-2.321284779017686)</f>
        <v>-2.321284779</v>
      </c>
      <c r="AZ316" s="30">
        <f>IFERROR(__xludf.DUMMYFUNCTION("""COMPUTED_VALUE"""),4.937763834933667)</f>
        <v>4.937763835</v>
      </c>
      <c r="BA316" s="30">
        <f>IFERROR(__xludf.DUMMYFUNCTION("""COMPUTED_VALUE"""),1200.0)</f>
        <v>1200</v>
      </c>
    </row>
    <row r="317">
      <c r="A317" s="71" t="str">
        <f>IFERROR(__xludf.DUMMYFUNCTION("""COMPUTED_VALUE"""),"Veteran")</f>
        <v>Veteran</v>
      </c>
      <c r="B317" s="71" t="str">
        <f>IFERROR(__xludf.DUMMYFUNCTION("""COMPUTED_VALUE"""),"RSC000290")</f>
        <v>RSC000290</v>
      </c>
      <c r="C317" s="30" t="str">
        <f>IFERROR(__xludf.DUMMYFUNCTION("""COMPUTED_VALUE"""),"JimJam")</f>
        <v>JimJam</v>
      </c>
      <c r="D317" s="30" t="str">
        <f>IFERROR(__xludf.DUMMYFUNCTION("""COMPUTED_VALUE"""),"Cannoli")</f>
        <v>Cannoli</v>
      </c>
      <c r="E317" s="30">
        <f>IFERROR(__xludf.DUMMYFUNCTION("""COMPUTED_VALUE"""),6.0)</f>
        <v>6</v>
      </c>
      <c r="F317" s="30">
        <f>IFERROR(__xludf.DUMMYFUNCTION("""COMPUTED_VALUE"""),2.0)</f>
        <v>2</v>
      </c>
      <c r="G317" s="42">
        <f>IFERROR(__xludf.DUMMYFUNCTION("""COMPUTED_VALUE"""),4.0)</f>
        <v>4</v>
      </c>
      <c r="H317" s="42">
        <f>IFERROR(__xludf.DUMMYFUNCTION("""COMPUTED_VALUE"""),0.3333333333333333)</f>
        <v>0.3333333333</v>
      </c>
      <c r="I317" s="42">
        <f>IFERROR(__xludf.DUMMYFUNCTION("""COMPUTED_VALUE"""),0.3529411764705882)</f>
        <v>0.3529411765</v>
      </c>
      <c r="J317" s="30">
        <f>IFERROR(__xludf.DUMMYFUNCTION("""COMPUTED_VALUE"""),321.3333333333333)</f>
        <v>321.3333333</v>
      </c>
      <c r="K317" s="30">
        <f>IFERROR(__xludf.DUMMYFUNCTION("""COMPUTED_VALUE"""),1.0)</f>
        <v>1</v>
      </c>
      <c r="L317" s="30">
        <f>IFERROR(__xludf.DUMMYFUNCTION("""COMPUTED_VALUE"""),0.3333333333333333)</f>
        <v>0.3333333333</v>
      </c>
      <c r="M317" s="30">
        <f>IFERROR(__xludf.DUMMYFUNCTION("""COMPUTED_VALUE"""),1.0)</f>
        <v>1</v>
      </c>
      <c r="N317" s="30">
        <f>IFERROR(__xludf.DUMMYFUNCTION("""COMPUTED_VALUE"""),2.8333333333333335)</f>
        <v>2.833333333</v>
      </c>
      <c r="O317" s="30">
        <f>IFERROR(__xludf.DUMMYFUNCTION("""COMPUTED_VALUE"""),350.7777777777778)</f>
        <v>350.7777778</v>
      </c>
      <c r="P317" s="30">
        <f>IFERROR(__xludf.DUMMYFUNCTION("""COMPUTED_VALUE"""),0.8333333333333334)</f>
        <v>0.8333333333</v>
      </c>
      <c r="Q317" s="30">
        <f>IFERROR(__xludf.DUMMYFUNCTION("""COMPUTED_VALUE"""),0.38888888888888884)</f>
        <v>0.3888888889</v>
      </c>
      <c r="R317" s="30">
        <f>IFERROR(__xludf.DUMMYFUNCTION("""COMPUTED_VALUE"""),1.388888888888889)</f>
        <v>1.388888889</v>
      </c>
      <c r="S317" s="30">
        <f>IFERROR(__xludf.DUMMYFUNCTION("""COMPUTED_VALUE"""),2.4444444444444446)</f>
        <v>2.444444444</v>
      </c>
      <c r="T317" s="30">
        <f>IFERROR(__xludf.DUMMYFUNCTION("""COMPUTED_VALUE"""),346.4212275930684)</f>
        <v>346.4212276</v>
      </c>
      <c r="U317" s="30">
        <f>IFERROR(__xludf.DUMMYFUNCTION("""COMPUTED_VALUE"""),0.7730458421716516)</f>
        <v>0.7730458422</v>
      </c>
      <c r="V317" s="30">
        <f>IFERROR(__xludf.DUMMYFUNCTION("""COMPUTED_VALUE"""),0.5446490026184753)</f>
        <v>0.5446490026</v>
      </c>
      <c r="W317" s="30">
        <f>IFERROR(__xludf.DUMMYFUNCTION("""COMPUTED_VALUE"""),1.3789483493507546)</f>
        <v>1.378948349</v>
      </c>
      <c r="X317" s="30">
        <f>IFERROR(__xludf.DUMMYFUNCTION("""COMPUTED_VALUE"""),2.4622758389224626)</f>
        <v>2.462275839</v>
      </c>
      <c r="Y317" s="30">
        <f>IFERROR(__xludf.DUMMYFUNCTION("""COMPUTED_VALUE"""),352.43627003898973)</f>
        <v>352.43627</v>
      </c>
      <c r="Z317" s="30">
        <f>IFERROR(__xludf.DUMMYFUNCTION("""COMPUTED_VALUE"""),0.8195242098248574)</f>
        <v>0.8195242098</v>
      </c>
      <c r="AA317" s="30">
        <f>IFERROR(__xludf.DUMMYFUNCTION("""COMPUTED_VALUE"""),0.6403670558110891)</f>
        <v>0.6403670558</v>
      </c>
      <c r="AB317" s="30">
        <f>IFERROR(__xludf.DUMMYFUNCTION("""COMPUTED_VALUE"""),1.243146008095129)</f>
        <v>1.243146008</v>
      </c>
      <c r="AC317" s="30">
        <f>IFERROR(__xludf.DUMMYFUNCTION("""COMPUTED_VALUE"""),2.6871336603667775)</f>
        <v>2.68713366</v>
      </c>
      <c r="AD317" s="30">
        <f>IFERROR(__xludf.DUMMYFUNCTION("""COMPUTED_VALUE"""),0.9117487632523874)</f>
        <v>0.9117487633</v>
      </c>
      <c r="AE317" s="30">
        <f>IFERROR(__xludf.DUMMYFUNCTION("""COMPUTED_VALUE"""),1.2202202058359113)</f>
        <v>1.220220206</v>
      </c>
      <c r="AF317" s="30">
        <f>IFERROR(__xludf.DUMMYFUNCTION("""COMPUTED_VALUE"""),0.5205347937693847)</f>
        <v>0.5205347938</v>
      </c>
      <c r="AG317" s="30">
        <f>IFERROR(__xludf.DUMMYFUNCTION("""COMPUTED_VALUE"""),0.8044107397587984)</f>
        <v>0.8044107398</v>
      </c>
      <c r="AH317" s="30">
        <f>IFERROR(__xludf.DUMMYFUNCTION("""COMPUTED_VALUE"""),1.0544072947032344)</f>
        <v>1.054407295</v>
      </c>
      <c r="AI317" s="30">
        <f>IFERROR(__xludf.DUMMYFUNCTION("""COMPUTED_VALUE"""),1.0125758753728191)</f>
        <v>1.012575875</v>
      </c>
      <c r="AJ317" s="30">
        <f>IFERROR(__xludf.DUMMYFUNCTION("""COMPUTED_VALUE"""),1.0779869548128236)</f>
        <v>1.077986955</v>
      </c>
      <c r="AK317" s="30">
        <f>IFERROR(__xludf.DUMMYFUNCTION("""COMPUTED_VALUE"""),0.7140174442976152)</f>
        <v>0.7140174443</v>
      </c>
      <c r="AL317" s="30">
        <f>IFERROR(__xludf.DUMMYFUNCTION("""COMPUTED_VALUE"""),1.0072087830866288)</f>
        <v>1.007208783</v>
      </c>
      <c r="AM317" s="30">
        <f>IFERROR(__xludf.DUMMYFUNCTION("""COMPUTED_VALUE"""),0.9927581653541216)</f>
        <v>0.9927581654</v>
      </c>
      <c r="AN317" s="30">
        <f>IFERROR(__xludf.DUMMYFUNCTION("""COMPUTED_VALUE"""),0.9295072225960257)</f>
        <v>0.9295072226</v>
      </c>
      <c r="AO317" s="30">
        <f>IFERROR(__xludf.DUMMYFUNCTION("""COMPUTED_VALUE"""),1.3235164413454918)</f>
        <v>1.323516441</v>
      </c>
      <c r="AP317" s="30">
        <f>IFERROR(__xludf.DUMMYFUNCTION("""COMPUTED_VALUE"""),0.5996739933799643)</f>
        <v>0.5996739934</v>
      </c>
      <c r="AQ317" s="30">
        <f>IFERROR(__xludf.DUMMYFUNCTION("""COMPUTED_VALUE"""),0.7391142578702442)</f>
        <v>0.7391142579</v>
      </c>
      <c r="AR317" s="30">
        <f>IFERROR(__xludf.DUMMYFUNCTION("""COMPUTED_VALUE"""),1.1113233770828197)</f>
        <v>1.111323377</v>
      </c>
      <c r="AS317" s="30">
        <f>IFERROR(__xludf.DUMMYFUNCTION("""COMPUTED_VALUE"""),14.0)</f>
        <v>14</v>
      </c>
      <c r="AT317" s="30">
        <f>IFERROR(__xludf.DUMMYFUNCTION("""COMPUTED_VALUE"""),0.47291693766055737)</f>
        <v>0.4729169377</v>
      </c>
      <c r="AU317" s="30">
        <f>IFERROR(__xludf.DUMMYFUNCTION("""COMPUTED_VALUE"""),1.9328703254218704)</f>
        <v>1.932870325</v>
      </c>
      <c r="AV317" s="32">
        <f>IFERROR(__xludf.DUMMYFUNCTION("""COMPUTED_VALUE"""),54.3181556976596)</f>
        <v>54.3181557</v>
      </c>
      <c r="AW317" s="32">
        <f>IFERROR(__xludf.DUMMYFUNCTION("""COMPUTED_VALUE"""),2.317855318520236)</f>
        <v>2.317855319</v>
      </c>
      <c r="AX317" s="32">
        <f>IFERROR(__xludf.DUMMYFUNCTION("""COMPUTED_VALUE"""),42.806127410959895)</f>
        <v>42.80612741</v>
      </c>
      <c r="AY317" s="32">
        <f>IFERROR(__xludf.DUMMYFUNCTION("""COMPUTED_VALUE"""),-2.5855347925288013)</f>
        <v>-2.585534793</v>
      </c>
      <c r="AZ317" s="30">
        <f>IFERROR(__xludf.DUMMYFUNCTION("""COMPUTED_VALUE"""),4.903390111049037)</f>
        <v>4.903390111</v>
      </c>
      <c r="BA317" s="30">
        <f>IFERROR(__xludf.DUMMYFUNCTION("""COMPUTED_VALUE"""),1200.0)</f>
        <v>1200</v>
      </c>
    </row>
    <row r="318">
      <c r="A318" s="71" t="str">
        <f>IFERROR(__xludf.DUMMYFUNCTION("""COMPUTED_VALUE"""),"Veteran")</f>
        <v>Veteran</v>
      </c>
      <c r="B318" s="71" t="str">
        <f>IFERROR(__xludf.DUMMYFUNCTION("""COMPUTED_VALUE"""),"RSC005048")</f>
        <v>RSC005048</v>
      </c>
      <c r="C318" s="30" t="str">
        <f>IFERROR(__xludf.DUMMYFUNCTION("""COMPUTED_VALUE"""),"heyzisthename11")</f>
        <v>heyzisthename11</v>
      </c>
      <c r="D318" s="30" t="str">
        <f>IFERROR(__xludf.DUMMYFUNCTION("""COMPUTED_VALUE"""),"Gorillas")</f>
        <v>Gorillas</v>
      </c>
      <c r="E318" s="30">
        <f>IFERROR(__xludf.DUMMYFUNCTION("""COMPUTED_VALUE"""),46.0)</f>
        <v>46</v>
      </c>
      <c r="F318" s="30">
        <f>IFERROR(__xludf.DUMMYFUNCTION("""COMPUTED_VALUE"""),25.0)</f>
        <v>25</v>
      </c>
      <c r="G318" s="42">
        <f>IFERROR(__xludf.DUMMYFUNCTION("""COMPUTED_VALUE"""),21.0)</f>
        <v>21</v>
      </c>
      <c r="H318" s="42">
        <f>IFERROR(__xludf.DUMMYFUNCTION("""COMPUTED_VALUE"""),0.5434782608695652)</f>
        <v>0.5434782609</v>
      </c>
      <c r="I318" s="42">
        <f>IFERROR(__xludf.DUMMYFUNCTION("""COMPUTED_VALUE"""),0.2522522522522523)</f>
        <v>0.2522522523</v>
      </c>
      <c r="J318" s="30">
        <f>IFERROR(__xludf.DUMMYFUNCTION("""COMPUTED_VALUE"""),332.60869565217394)</f>
        <v>332.6086957</v>
      </c>
      <c r="K318" s="30">
        <f>IFERROR(__xludf.DUMMYFUNCTION("""COMPUTED_VALUE"""),0.6086956521739131)</f>
        <v>0.6086956522</v>
      </c>
      <c r="L318" s="30">
        <f>IFERROR(__xludf.DUMMYFUNCTION("""COMPUTED_VALUE"""),0.9347826086956522)</f>
        <v>0.9347826087</v>
      </c>
      <c r="M318" s="30">
        <f>IFERROR(__xludf.DUMMYFUNCTION("""COMPUTED_VALUE"""),1.173913043478261)</f>
        <v>1.173913043</v>
      </c>
      <c r="N318" s="30">
        <f>IFERROR(__xludf.DUMMYFUNCTION("""COMPUTED_VALUE"""),2.4130434782608696)</f>
        <v>2.413043478</v>
      </c>
      <c r="O318" s="30">
        <f>IFERROR(__xludf.DUMMYFUNCTION("""COMPUTED_VALUE"""),345.6086956521739)</f>
        <v>345.6086957</v>
      </c>
      <c r="P318" s="30">
        <f>IFERROR(__xludf.DUMMYFUNCTION("""COMPUTED_VALUE"""),0.7391304347826086)</f>
        <v>0.7391304348</v>
      </c>
      <c r="Q318" s="30">
        <f>IFERROR(__xludf.DUMMYFUNCTION("""COMPUTED_VALUE"""),0.5289855072463768)</f>
        <v>0.5289855072</v>
      </c>
      <c r="R318" s="30">
        <f>IFERROR(__xludf.DUMMYFUNCTION("""COMPUTED_VALUE"""),1.4492753623188404)</f>
        <v>1.449275362</v>
      </c>
      <c r="S318" s="30">
        <f>IFERROR(__xludf.DUMMYFUNCTION("""COMPUTED_VALUE"""),2.4130434782608696)</f>
        <v>2.413043478</v>
      </c>
      <c r="T318" s="30">
        <f>IFERROR(__xludf.DUMMYFUNCTION("""COMPUTED_VALUE"""),351.95363957709634)</f>
        <v>351.9536396</v>
      </c>
      <c r="U318" s="30">
        <f>IFERROR(__xludf.DUMMYFUNCTION("""COMPUTED_VALUE"""),0.7741061383608835)</f>
        <v>0.7741061384</v>
      </c>
      <c r="V318" s="30">
        <f>IFERROR(__xludf.DUMMYFUNCTION("""COMPUTED_VALUE"""),0.5711883737872616)</f>
        <v>0.5711883738</v>
      </c>
      <c r="W318" s="30">
        <f>IFERROR(__xludf.DUMMYFUNCTION("""COMPUTED_VALUE"""),1.3533071289568945)</f>
        <v>1.353307129</v>
      </c>
      <c r="X318" s="30">
        <f>IFERROR(__xludf.DUMMYFUNCTION("""COMPUTED_VALUE"""),2.6546770846453946)</f>
        <v>2.654677085</v>
      </c>
      <c r="Y318" s="30">
        <f>IFERROR(__xludf.DUMMYFUNCTION("""COMPUTED_VALUE"""),364.2180129865111)</f>
        <v>364.218013</v>
      </c>
      <c r="Z318" s="30">
        <f>IFERROR(__xludf.DUMMYFUNCTION("""COMPUTED_VALUE"""),0.8249521420564155)</f>
        <v>0.8249521421</v>
      </c>
      <c r="AA318" s="30">
        <f>IFERROR(__xludf.DUMMYFUNCTION("""COMPUTED_VALUE"""),0.6193670369644425)</f>
        <v>0.619367037</v>
      </c>
      <c r="AB318" s="30">
        <f>IFERROR(__xludf.DUMMYFUNCTION("""COMPUTED_VALUE"""),1.3918856030591618)</f>
        <v>1.391885603</v>
      </c>
      <c r="AC318" s="30">
        <f>IFERROR(__xludf.DUMMYFUNCTION("""COMPUTED_VALUE"""),2.631830095992245)</f>
        <v>2.631830096</v>
      </c>
      <c r="AD318" s="30">
        <f>IFERROR(__xludf.DUMMYFUNCTION("""COMPUTED_VALUE"""),0.9132131959231027)</f>
        <v>0.9132131959</v>
      </c>
      <c r="AE318" s="30">
        <f>IFERROR(__xludf.DUMMYFUNCTION("""COMPUTED_VALUE"""),0.7378557144619021)</f>
        <v>0.7378557145</v>
      </c>
      <c r="AF318" s="30">
        <f>IFERROR(__xludf.DUMMYFUNCTION("""COMPUTED_VALUE"""),1.509254695369456)</f>
        <v>1.509254695</v>
      </c>
      <c r="AG318" s="30">
        <f>IFERROR(__xludf.DUMMYFUNCTION("""COMPUTED_VALUE"""),0.8433976476932954)</f>
        <v>0.8433976477</v>
      </c>
      <c r="AH318" s="30">
        <f>IFERROR(__xludf.DUMMYFUNCTION("""COMPUTED_VALUE"""),0.9168690189900388)</f>
        <v>0.916869019</v>
      </c>
      <c r="AI318" s="30">
        <f>IFERROR(__xludf.DUMMYFUNCTION("""COMPUTED_VALUE"""),0.981972216759723)</f>
        <v>0.9819722168</v>
      </c>
      <c r="AJ318" s="30">
        <f>IFERROR(__xludf.DUMMYFUNCTION("""COMPUTED_VALUE"""),0.9548179482824752)</f>
        <v>0.9548179483</v>
      </c>
      <c r="AK318" s="30">
        <f>IFERROR(__xludf.DUMMYFUNCTION("""COMPUTED_VALUE"""),0.9261139258471616)</f>
        <v>0.9261139258</v>
      </c>
      <c r="AL318" s="30">
        <f>IFERROR(__xludf.DUMMYFUNCTION("""COMPUTED_VALUE"""),1.0709138607995927)</f>
        <v>1.070913861</v>
      </c>
      <c r="AM318" s="30">
        <f>IFERROR(__xludf.DUMMYFUNCTION("""COMPUTED_VALUE"""),0.9089781549017282)</f>
        <v>0.9089781549</v>
      </c>
      <c r="AN318" s="30">
        <f>IFERROR(__xludf.DUMMYFUNCTION("""COMPUTED_VALUE"""),0.9621229820755364)</f>
        <v>0.9621229821</v>
      </c>
      <c r="AO318" s="30">
        <f>IFERROR(__xludf.DUMMYFUNCTION("""COMPUTED_VALUE"""),0.8056187034276908)</f>
        <v>0.8056187034</v>
      </c>
      <c r="AP318" s="30">
        <f>IFERROR(__xludf.DUMMYFUNCTION("""COMPUTED_VALUE"""),1.681694459695987)</f>
        <v>1.68169446</v>
      </c>
      <c r="AQ318" s="30">
        <f>IFERROR(__xludf.DUMMYFUNCTION("""COMPUTED_VALUE"""),0.8676558679346346)</f>
        <v>0.8676558679</v>
      </c>
      <c r="AR318" s="30">
        <f>IFERROR(__xludf.DUMMYFUNCTION("""COMPUTED_VALUE"""),0.9464723390500741)</f>
        <v>0.9464723391</v>
      </c>
      <c r="AS318" s="30">
        <f>IFERROR(__xludf.DUMMYFUNCTION("""COMPUTED_VALUE"""),126.0)</f>
        <v>126</v>
      </c>
      <c r="AT318" s="30">
        <f>IFERROR(__xludf.DUMMYFUNCTION("""COMPUTED_VALUE"""),0.5828609834236497)</f>
        <v>0.5828609834</v>
      </c>
      <c r="AU318" s="30">
        <f>IFERROR(__xludf.DUMMYFUNCTION("""COMPUTED_VALUE"""),2.050424309537055)</f>
        <v>2.05042431</v>
      </c>
      <c r="AV318" s="32">
        <f>IFERROR(__xludf.DUMMYFUNCTION("""COMPUTED_VALUE"""),58.52095675710506)</f>
        <v>58.52095676</v>
      </c>
      <c r="AW318" s="32">
        <f>IFERROR(__xludf.DUMMYFUNCTION("""COMPUTED_VALUE"""),2.727674421493134)</f>
        <v>2.727674421</v>
      </c>
      <c r="AX318" s="32">
        <f>IFERROR(__xludf.DUMMYFUNCTION("""COMPUTED_VALUE"""),47.5324814782891)</f>
        <v>47.53248148</v>
      </c>
      <c r="AY318" s="32">
        <f>IFERROR(__xludf.DUMMYFUNCTION("""COMPUTED_VALUE"""),-2.170666762703764)</f>
        <v>-2.170666763</v>
      </c>
      <c r="AZ318" s="30">
        <f>IFERROR(__xludf.DUMMYFUNCTION("""COMPUTED_VALUE"""),4.898341184196898)</f>
        <v>4.898341184</v>
      </c>
      <c r="BA318" s="30">
        <f>IFERROR(__xludf.DUMMYFUNCTION("""COMPUTED_VALUE"""),1200.0)</f>
        <v>1200</v>
      </c>
    </row>
    <row r="319">
      <c r="A319" s="71" t="str">
        <f>IFERROR(__xludf.DUMMYFUNCTION("""COMPUTED_VALUE"""),"Veteran")</f>
        <v>Veteran</v>
      </c>
      <c r="B319" s="71" t="str">
        <f>IFERROR(__xludf.DUMMYFUNCTION("""COMPUTED_VALUE"""),"RSC007760")</f>
        <v>RSC007760</v>
      </c>
      <c r="C319" s="30" t="str">
        <f>IFERROR(__xludf.DUMMYFUNCTION("""COMPUTED_VALUE"""),"BossMan")</f>
        <v>BossMan</v>
      </c>
      <c r="D319" s="30" t="str">
        <f>IFERROR(__xludf.DUMMYFUNCTION("""COMPUTED_VALUE"""),"Blacksmiths")</f>
        <v>Blacksmiths</v>
      </c>
      <c r="E319" s="30">
        <f>IFERROR(__xludf.DUMMYFUNCTION("""COMPUTED_VALUE"""),44.0)</f>
        <v>44</v>
      </c>
      <c r="F319" s="30">
        <f>IFERROR(__xludf.DUMMYFUNCTION("""COMPUTED_VALUE"""),22.0)</f>
        <v>22</v>
      </c>
      <c r="G319" s="42">
        <f>IFERROR(__xludf.DUMMYFUNCTION("""COMPUTED_VALUE"""),22.0)</f>
        <v>22</v>
      </c>
      <c r="H319" s="42">
        <f>IFERROR(__xludf.DUMMYFUNCTION("""COMPUTED_VALUE"""),0.5)</f>
        <v>0.5</v>
      </c>
      <c r="I319" s="42">
        <f>IFERROR(__xludf.DUMMYFUNCTION("""COMPUTED_VALUE"""),0.304)</f>
        <v>0.304</v>
      </c>
      <c r="J319" s="30">
        <f>IFERROR(__xludf.DUMMYFUNCTION("""COMPUTED_VALUE"""),331.1818181818182)</f>
        <v>331.1818182</v>
      </c>
      <c r="K319" s="30">
        <f>IFERROR(__xludf.DUMMYFUNCTION("""COMPUTED_VALUE"""),0.8636363636363636)</f>
        <v>0.8636363636</v>
      </c>
      <c r="L319" s="30">
        <f>IFERROR(__xludf.DUMMYFUNCTION("""COMPUTED_VALUE"""),0.4772727272727273)</f>
        <v>0.4772727273</v>
      </c>
      <c r="M319" s="30">
        <f>IFERROR(__xludf.DUMMYFUNCTION("""COMPUTED_VALUE"""),1.1590909090909092)</f>
        <v>1.159090909</v>
      </c>
      <c r="N319" s="30">
        <f>IFERROR(__xludf.DUMMYFUNCTION("""COMPUTED_VALUE"""),2.840909090909091)</f>
        <v>2.840909091</v>
      </c>
      <c r="O319" s="30">
        <f>IFERROR(__xludf.DUMMYFUNCTION("""COMPUTED_VALUE"""),372.92424242424244)</f>
        <v>372.9242424</v>
      </c>
      <c r="P319" s="30">
        <f>IFERROR(__xludf.DUMMYFUNCTION("""COMPUTED_VALUE"""),0.7954545454545453)</f>
        <v>0.7954545455</v>
      </c>
      <c r="Q319" s="30">
        <f>IFERROR(__xludf.DUMMYFUNCTION("""COMPUTED_VALUE"""),0.6515151515151517)</f>
        <v>0.6515151515</v>
      </c>
      <c r="R319" s="30">
        <f>IFERROR(__xludf.DUMMYFUNCTION("""COMPUTED_VALUE"""),1.5075757575757576)</f>
        <v>1.507575758</v>
      </c>
      <c r="S319" s="30">
        <f>IFERROR(__xludf.DUMMYFUNCTION("""COMPUTED_VALUE"""),2.598484848484848)</f>
        <v>2.598484848</v>
      </c>
      <c r="T319" s="30">
        <f>IFERROR(__xludf.DUMMYFUNCTION("""COMPUTED_VALUE"""),356.17662519973436)</f>
        <v>356.1766252</v>
      </c>
      <c r="U319" s="30">
        <f>IFERROR(__xludf.DUMMYFUNCTION("""COMPUTED_VALUE"""),0.7880666879219949)</f>
        <v>0.7880666879</v>
      </c>
      <c r="V319" s="30">
        <f>IFERROR(__xludf.DUMMYFUNCTION("""COMPUTED_VALUE"""),0.6066670548983949)</f>
        <v>0.6066670549</v>
      </c>
      <c r="W319" s="30">
        <f>IFERROR(__xludf.DUMMYFUNCTION("""COMPUTED_VALUE"""),1.3983281724621524)</f>
        <v>1.398328172</v>
      </c>
      <c r="X319" s="30">
        <f>IFERROR(__xludf.DUMMYFUNCTION("""COMPUTED_VALUE"""),2.6438859198569555)</f>
        <v>2.64388592</v>
      </c>
      <c r="Y319" s="30">
        <f>IFERROR(__xludf.DUMMYFUNCTION("""COMPUTED_VALUE"""),351.86795590586274)</f>
        <v>351.8679559</v>
      </c>
      <c r="Z319" s="30">
        <f>IFERROR(__xludf.DUMMYFUNCTION("""COMPUTED_VALUE"""),0.7924716225642641)</f>
        <v>0.7924716226</v>
      </c>
      <c r="AA319" s="30">
        <f>IFERROR(__xludf.DUMMYFUNCTION("""COMPUTED_VALUE"""),0.5629326003346491)</f>
        <v>0.5629326003</v>
      </c>
      <c r="AB319" s="30">
        <f>IFERROR(__xludf.DUMMYFUNCTION("""COMPUTED_VALUE"""),1.3539743126792967)</f>
        <v>1.353974313</v>
      </c>
      <c r="AC319" s="30">
        <f>IFERROR(__xludf.DUMMYFUNCTION("""COMPUTED_VALUE"""),2.621958871498978)</f>
        <v>2.621958871</v>
      </c>
      <c r="AD319" s="30">
        <f>IFERROR(__xludf.DUMMYFUNCTION("""COMPUTED_VALUE"""),0.9412105098607535)</f>
        <v>0.9412105099</v>
      </c>
      <c r="AE319" s="30">
        <f>IFERROR(__xludf.DUMMYFUNCTION("""COMPUTED_VALUE"""),1.0898009960808768)</f>
        <v>1.089800996</v>
      </c>
      <c r="AF319" s="30">
        <f>IFERROR(__xludf.DUMMYFUNCTION("""COMPUTED_VALUE"""),0.8478328080288845)</f>
        <v>0.847832808</v>
      </c>
      <c r="AG319" s="30">
        <f>IFERROR(__xludf.DUMMYFUNCTION("""COMPUTED_VALUE"""),0.8560656566646787)</f>
        <v>0.8560656567</v>
      </c>
      <c r="AH319" s="30">
        <f>IFERROR(__xludf.DUMMYFUNCTION("""COMPUTED_VALUE"""),1.0835063516022807)</f>
        <v>1.083506352</v>
      </c>
      <c r="AI319" s="30">
        <f>IFERROR(__xludf.DUMMYFUNCTION("""COMPUTED_VALUE"""),1.0470205399220582)</f>
        <v>1.04702054</v>
      </c>
      <c r="AJ319" s="30">
        <f>IFERROR(__xludf.DUMMYFUNCTION("""COMPUTED_VALUE"""),1.0093746603501679)</f>
        <v>1.00937466</v>
      </c>
      <c r="AK319" s="30">
        <f>IFERROR(__xludf.DUMMYFUNCTION("""COMPUTED_VALUE"""),1.073925386675675)</f>
        <v>1.073925387</v>
      </c>
      <c r="AL319" s="30">
        <f>IFERROR(__xludf.DUMMYFUNCTION("""COMPUTED_VALUE"""),1.0781272860441937)</f>
        <v>1.078127286</v>
      </c>
      <c r="AM319" s="30">
        <f>IFERROR(__xludf.DUMMYFUNCTION("""COMPUTED_VALUE"""),0.9828279007686671)</f>
        <v>0.9828279008</v>
      </c>
      <c r="AN319" s="30">
        <f>IFERROR(__xludf.DUMMYFUNCTION("""COMPUTED_VALUE"""),0.9579955144994309)</f>
        <v>0.9579955145</v>
      </c>
      <c r="AO319" s="30">
        <f>IFERROR(__xludf.DUMMYFUNCTION("""COMPUTED_VALUE"""),1.1430369266165612)</f>
        <v>1.143036927</v>
      </c>
      <c r="AP319" s="30">
        <f>IFERROR(__xludf.DUMMYFUNCTION("""COMPUTED_VALUE"""),0.858624126884949)</f>
        <v>0.8586241269</v>
      </c>
      <c r="AQ319" s="30">
        <f>IFERROR(__xludf.DUMMYFUNCTION("""COMPUTED_VALUE"""),0.8567006170768741)</f>
        <v>0.8567006171</v>
      </c>
      <c r="AR319" s="30">
        <f>IFERROR(__xludf.DUMMYFUNCTION("""COMPUTED_VALUE"""),1.1142948299627202)</f>
        <v>1.11429483</v>
      </c>
      <c r="AS319" s="30">
        <f>IFERROR(__xludf.DUMMYFUNCTION("""COMPUTED_VALUE"""),110.0)</f>
        <v>110</v>
      </c>
      <c r="AT319" s="30">
        <f>IFERROR(__xludf.DUMMYFUNCTION("""COMPUTED_VALUE"""),0.5183283826823205)</f>
        <v>0.5183283827</v>
      </c>
      <c r="AU319" s="30">
        <f>IFERROR(__xludf.DUMMYFUNCTION("""COMPUTED_VALUE"""),1.902325624912022)</f>
        <v>1.902325625</v>
      </c>
      <c r="AV319" s="32">
        <f>IFERROR(__xludf.DUMMYFUNCTION("""COMPUTED_VALUE"""),53.22611870181053)</f>
        <v>53.2261187</v>
      </c>
      <c r="AW319" s="32">
        <f>IFERROR(__xludf.DUMMYFUNCTION("""COMPUTED_VALUE"""),2.2288537034638667)</f>
        <v>2.228853703</v>
      </c>
      <c r="AX319" s="32">
        <f>IFERROR(__xludf.DUMMYFUNCTION("""COMPUTED_VALUE"""),42.288801137639595)</f>
        <v>42.28880114</v>
      </c>
      <c r="AY319" s="32">
        <f>IFERROR(__xludf.DUMMYFUNCTION("""COMPUTED_VALUE"""),-2.6394225573464256)</f>
        <v>-2.639422557</v>
      </c>
      <c r="AZ319" s="30">
        <f>IFERROR(__xludf.DUMMYFUNCTION("""COMPUTED_VALUE"""),4.868276260810292)</f>
        <v>4.868276261</v>
      </c>
      <c r="BA319" s="30">
        <f>IFERROR(__xludf.DUMMYFUNCTION("""COMPUTED_VALUE"""),1200.0)</f>
        <v>1200</v>
      </c>
    </row>
    <row r="320">
      <c r="A320" s="71" t="str">
        <f>IFERROR(__xludf.DUMMYFUNCTION("""COMPUTED_VALUE"""),"Veteran")</f>
        <v>Veteran</v>
      </c>
      <c r="B320" s="71" t="str">
        <f>IFERROR(__xludf.DUMMYFUNCTION("""COMPUTED_VALUE"""),"RSC002917")</f>
        <v>RSC002917</v>
      </c>
      <c r="C320" s="30" t="str">
        <f>IFERROR(__xludf.DUMMYFUNCTION("""COMPUTED_VALUE"""),"Arbartenn")</f>
        <v>Arbartenn</v>
      </c>
      <c r="D320" s="30" t="str">
        <f>IFERROR(__xludf.DUMMYFUNCTION("""COMPUTED_VALUE"""),"Grizzly Bears")</f>
        <v>Grizzly Bears</v>
      </c>
      <c r="E320" s="30">
        <f>IFERROR(__xludf.DUMMYFUNCTION("""COMPUTED_VALUE"""),34.0)</f>
        <v>34</v>
      </c>
      <c r="F320" s="30">
        <f>IFERROR(__xludf.DUMMYFUNCTION("""COMPUTED_VALUE"""),20.0)</f>
        <v>20</v>
      </c>
      <c r="G320" s="42">
        <f>IFERROR(__xludf.DUMMYFUNCTION("""COMPUTED_VALUE"""),14.0)</f>
        <v>14</v>
      </c>
      <c r="H320" s="42">
        <f>IFERROR(__xludf.DUMMYFUNCTION("""COMPUTED_VALUE"""),0.5882352941176471)</f>
        <v>0.5882352941</v>
      </c>
      <c r="I320" s="42">
        <f>IFERROR(__xludf.DUMMYFUNCTION("""COMPUTED_VALUE"""),0.23958333333333334)</f>
        <v>0.2395833333</v>
      </c>
      <c r="J320" s="30">
        <f>IFERROR(__xludf.DUMMYFUNCTION("""COMPUTED_VALUE"""),340.97058823529414)</f>
        <v>340.9705882</v>
      </c>
      <c r="K320" s="30">
        <f>IFERROR(__xludf.DUMMYFUNCTION("""COMPUTED_VALUE"""),0.6764705882352942)</f>
        <v>0.6764705882</v>
      </c>
      <c r="L320" s="30">
        <f>IFERROR(__xludf.DUMMYFUNCTION("""COMPUTED_VALUE"""),0.7647058823529411)</f>
        <v>0.7647058824</v>
      </c>
      <c r="M320" s="30">
        <f>IFERROR(__xludf.DUMMYFUNCTION("""COMPUTED_VALUE"""),1.2058823529411764)</f>
        <v>1.205882353</v>
      </c>
      <c r="N320" s="30">
        <f>IFERROR(__xludf.DUMMYFUNCTION("""COMPUTED_VALUE"""),2.823529411764706)</f>
        <v>2.823529412</v>
      </c>
      <c r="O320" s="30">
        <f>IFERROR(__xludf.DUMMYFUNCTION("""COMPUTED_VALUE"""),358.1764705882353)</f>
        <v>358.1764706</v>
      </c>
      <c r="P320" s="30">
        <f>IFERROR(__xludf.DUMMYFUNCTION("""COMPUTED_VALUE"""),0.7352941176470588)</f>
        <v>0.7352941176</v>
      </c>
      <c r="Q320" s="30">
        <f>IFERROR(__xludf.DUMMYFUNCTION("""COMPUTED_VALUE"""),0.4901960784313725)</f>
        <v>0.4901960784</v>
      </c>
      <c r="R320" s="30">
        <f>IFERROR(__xludf.DUMMYFUNCTION("""COMPUTED_VALUE"""),1.607843137254902)</f>
        <v>1.607843137</v>
      </c>
      <c r="S320" s="30">
        <f>IFERROR(__xludf.DUMMYFUNCTION("""COMPUTED_VALUE"""),2.460784313725491)</f>
        <v>2.460784314</v>
      </c>
      <c r="T320" s="30">
        <f>IFERROR(__xludf.DUMMYFUNCTION("""COMPUTED_VALUE"""),356.78308244938074)</f>
        <v>356.7830824</v>
      </c>
      <c r="U320" s="30">
        <f>IFERROR(__xludf.DUMMYFUNCTION("""COMPUTED_VALUE"""),0.7526063926194221)</f>
        <v>0.7526063926</v>
      </c>
      <c r="V320" s="30">
        <f>IFERROR(__xludf.DUMMYFUNCTION("""COMPUTED_VALUE"""),0.5535940265243353)</f>
        <v>0.5535940265</v>
      </c>
      <c r="W320" s="30">
        <f>IFERROR(__xludf.DUMMYFUNCTION("""COMPUTED_VALUE"""),1.5325222264490295)</f>
        <v>1.532522226</v>
      </c>
      <c r="X320" s="30">
        <f>IFERROR(__xludf.DUMMYFUNCTION("""COMPUTED_VALUE"""),2.5007071326073493)</f>
        <v>2.500707133</v>
      </c>
      <c r="Y320" s="30">
        <f>IFERROR(__xludf.DUMMYFUNCTION("""COMPUTED_VALUE"""),365.63415667310454)</f>
        <v>365.6341567</v>
      </c>
      <c r="Z320" s="30">
        <f>IFERROR(__xludf.DUMMYFUNCTION("""COMPUTED_VALUE"""),0.8693037143972612)</f>
        <v>0.8693037144</v>
      </c>
      <c r="AA320" s="30">
        <f>IFERROR(__xludf.DUMMYFUNCTION("""COMPUTED_VALUE"""),0.6465053452326709)</f>
        <v>0.6465053452</v>
      </c>
      <c r="AB320" s="30">
        <f>IFERROR(__xludf.DUMMYFUNCTION("""COMPUTED_VALUE"""),1.2989389815796244)</f>
        <v>1.298938982</v>
      </c>
      <c r="AC320" s="30">
        <f>IFERROR(__xludf.DUMMYFUNCTION("""COMPUTED_VALUE"""),2.854788693633707)</f>
        <v>2.854788694</v>
      </c>
      <c r="AD320" s="30">
        <f>IFERROR(__xludf.DUMMYFUNCTION("""COMPUTED_VALUE"""),0.9325457756402642)</f>
        <v>0.9325457756</v>
      </c>
      <c r="AE320" s="30">
        <f>IFERROR(__xludf.DUMMYFUNCTION("""COMPUTED_VALUE"""),0.7781751958857447)</f>
        <v>0.7781751959</v>
      </c>
      <c r="AF320" s="30">
        <f>IFERROR(__xludf.DUMMYFUNCTION("""COMPUTED_VALUE"""),1.1828299456329028)</f>
        <v>1.182829946</v>
      </c>
      <c r="AG320" s="30">
        <f>IFERROR(__xludf.DUMMYFUNCTION("""COMPUTED_VALUE"""),0.928359507291649)</f>
        <v>0.9283595073</v>
      </c>
      <c r="AH320" s="30">
        <f>IFERROR(__xludf.DUMMYFUNCTION("""COMPUTED_VALUE"""),0.9890502292030544)</f>
        <v>0.9890502292</v>
      </c>
      <c r="AI320" s="30">
        <f>IFERROR(__xludf.DUMMYFUNCTION("""COMPUTED_VALUE"""),1.003905420989383)</f>
        <v>1.003905421</v>
      </c>
      <c r="AJ320" s="30">
        <f>IFERROR(__xludf.DUMMYFUNCTION("""COMPUTED_VALUE"""),0.9769969068265438)</f>
        <v>0.9769969068</v>
      </c>
      <c r="AK320" s="30">
        <f>IFERROR(__xludf.DUMMYFUNCTION("""COMPUTED_VALUE"""),0.8854793493871345)</f>
        <v>0.8854793494</v>
      </c>
      <c r="AL320" s="30">
        <f>IFERROR(__xludf.DUMMYFUNCTION("""COMPUTED_VALUE"""),1.049148331753985)</f>
        <v>1.049148332</v>
      </c>
      <c r="AM320" s="30">
        <f>IFERROR(__xludf.DUMMYFUNCTION("""COMPUTED_VALUE"""),0.9840353880863157)</f>
        <v>0.9840353881</v>
      </c>
      <c r="AN320" s="30">
        <f>IFERROR(__xludf.DUMMYFUNCTION("""COMPUTED_VALUE"""),0.9863110719632409)</f>
        <v>0.986311072</v>
      </c>
      <c r="AO320" s="30">
        <f>IFERROR(__xludf.DUMMYFUNCTION("""COMPUTED_VALUE"""),0.8953199456160681)</f>
        <v>0.8953199456</v>
      </c>
      <c r="AP320" s="30">
        <f>IFERROR(__xludf.DUMMYFUNCTION("""COMPUTED_VALUE"""),1.3757226906952122)</f>
        <v>1.375722691</v>
      </c>
      <c r="AQ320" s="30">
        <f>IFERROR(__xludf.DUMMYFUNCTION("""COMPUTED_VALUE"""),0.8912848403729415)</f>
        <v>0.8912848404</v>
      </c>
      <c r="AR320" s="30">
        <f>IFERROR(__xludf.DUMMYFUNCTION("""COMPUTED_VALUE"""),1.1074779674735367)</f>
        <v>1.107477967</v>
      </c>
      <c r="AS320" s="30">
        <f>IFERROR(__xludf.DUMMYFUNCTION("""COMPUTED_VALUE"""),88.0)</f>
        <v>88</v>
      </c>
      <c r="AT320" s="30">
        <f>IFERROR(__xludf.DUMMYFUNCTION("""COMPUTED_VALUE"""),0.5623371627426442)</f>
        <v>0.5623371627</v>
      </c>
      <c r="AU320" s="30">
        <f>IFERROR(__xludf.DUMMYFUNCTION("""COMPUTED_VALUE"""),1.9820894247628538)</f>
        <v>1.982089425</v>
      </c>
      <c r="AV320" s="32">
        <f>IFERROR(__xludf.DUMMYFUNCTION("""COMPUTED_VALUE"""),56.07784155103354)</f>
        <v>56.07784155</v>
      </c>
      <c r="AW320" s="32">
        <f>IFERROR(__xludf.DUMMYFUNCTION("""COMPUTED_VALUE"""),2.475500749202402)</f>
        <v>2.475500749</v>
      </c>
      <c r="AX320" s="32">
        <f>IFERROR(__xludf.DUMMYFUNCTION("""COMPUTED_VALUE"""),45.416709556587335)</f>
        <v>45.41670956</v>
      </c>
      <c r="AY320" s="32">
        <f>IFERROR(__xludf.DUMMYFUNCTION("""COMPUTED_VALUE"""),-2.340446421212509)</f>
        <v>-2.340446421</v>
      </c>
      <c r="AZ320" s="30">
        <f>IFERROR(__xludf.DUMMYFUNCTION("""COMPUTED_VALUE"""),4.815947170414911)</f>
        <v>4.81594717</v>
      </c>
      <c r="BA320" s="30">
        <f>IFERROR(__xludf.DUMMYFUNCTION("""COMPUTED_VALUE"""),1200.0)</f>
        <v>1200</v>
      </c>
    </row>
    <row r="321">
      <c r="A321" s="71" t="str">
        <f>IFERROR(__xludf.DUMMYFUNCTION("""COMPUTED_VALUE"""),"Veteran")</f>
        <v>Veteran</v>
      </c>
      <c r="B321" s="71" t="str">
        <f>IFERROR(__xludf.DUMMYFUNCTION("""COMPUTED_VALUE"""),"RSC006613")</f>
        <v>RSC006613</v>
      </c>
      <c r="C321" s="30" t="str">
        <f>IFERROR(__xludf.DUMMYFUNCTION("""COMPUTED_VALUE"""),"steel.reserve")</f>
        <v>steel.reserve</v>
      </c>
      <c r="D321" s="30" t="str">
        <f>IFERROR(__xludf.DUMMYFUNCTION("""COMPUTED_VALUE"""),"Dog Fighters")</f>
        <v>Dog Fighters</v>
      </c>
      <c r="E321" s="30">
        <f>IFERROR(__xludf.DUMMYFUNCTION("""COMPUTED_VALUE"""),35.0)</f>
        <v>35</v>
      </c>
      <c r="F321" s="30">
        <f>IFERROR(__xludf.DUMMYFUNCTION("""COMPUTED_VALUE"""),20.0)</f>
        <v>20</v>
      </c>
      <c r="G321" s="42">
        <f>IFERROR(__xludf.DUMMYFUNCTION("""COMPUTED_VALUE"""),15.0)</f>
        <v>15</v>
      </c>
      <c r="H321" s="42">
        <f>IFERROR(__xludf.DUMMYFUNCTION("""COMPUTED_VALUE"""),0.5714285714285714)</f>
        <v>0.5714285714</v>
      </c>
      <c r="I321" s="42">
        <f>IFERROR(__xludf.DUMMYFUNCTION("""COMPUTED_VALUE"""),0.3780487804878048)</f>
        <v>0.3780487805</v>
      </c>
      <c r="J321" s="30">
        <f>IFERROR(__xludf.DUMMYFUNCTION("""COMPUTED_VALUE"""),346.34285714285716)</f>
        <v>346.3428571</v>
      </c>
      <c r="K321" s="30">
        <f>IFERROR(__xludf.DUMMYFUNCTION("""COMPUTED_VALUE"""),0.8857142857142857)</f>
        <v>0.8857142857</v>
      </c>
      <c r="L321" s="30">
        <f>IFERROR(__xludf.DUMMYFUNCTION("""COMPUTED_VALUE"""),0.42857142857142855)</f>
        <v>0.4285714286</v>
      </c>
      <c r="M321" s="30">
        <f>IFERROR(__xludf.DUMMYFUNCTION("""COMPUTED_VALUE"""),1.3714285714285714)</f>
        <v>1.371428571</v>
      </c>
      <c r="N321" s="30">
        <f>IFERROR(__xludf.DUMMYFUNCTION("""COMPUTED_VALUE"""),2.342857142857143)</f>
        <v>2.342857143</v>
      </c>
      <c r="O321" s="30">
        <f>IFERROR(__xludf.DUMMYFUNCTION("""COMPUTED_VALUE"""),349.0761904761905)</f>
        <v>349.0761905</v>
      </c>
      <c r="P321" s="30">
        <f>IFERROR(__xludf.DUMMYFUNCTION("""COMPUTED_VALUE"""),0.7047619047619047)</f>
        <v>0.7047619048</v>
      </c>
      <c r="Q321" s="30">
        <f>IFERROR(__xludf.DUMMYFUNCTION("""COMPUTED_VALUE"""),0.5238095238095237)</f>
        <v>0.5238095238</v>
      </c>
      <c r="R321" s="30">
        <f>IFERROR(__xludf.DUMMYFUNCTION("""COMPUTED_VALUE"""),1.4666666666666666)</f>
        <v>1.466666667</v>
      </c>
      <c r="S321" s="30">
        <f>IFERROR(__xludf.DUMMYFUNCTION("""COMPUTED_VALUE"""),2.314285714285714)</f>
        <v>2.314285714</v>
      </c>
      <c r="T321" s="30">
        <f>IFERROR(__xludf.DUMMYFUNCTION("""COMPUTED_VALUE"""),347.637673693479)</f>
        <v>347.6376737</v>
      </c>
      <c r="U321" s="30">
        <f>IFERROR(__xludf.DUMMYFUNCTION("""COMPUTED_VALUE"""),0.7408182446191715)</f>
        <v>0.7408182446</v>
      </c>
      <c r="V321" s="30">
        <f>IFERROR(__xludf.DUMMYFUNCTION("""COMPUTED_VALUE"""),0.5664161835730189)</f>
        <v>0.5664161836</v>
      </c>
      <c r="W321" s="30">
        <f>IFERROR(__xludf.DUMMYFUNCTION("""COMPUTED_VALUE"""),1.3628996841544327)</f>
        <v>1.362899684</v>
      </c>
      <c r="X321" s="30">
        <f>IFERROR(__xludf.DUMMYFUNCTION("""COMPUTED_VALUE"""),2.486360745330496)</f>
        <v>2.486360745</v>
      </c>
      <c r="Y321" s="30">
        <f>IFERROR(__xludf.DUMMYFUNCTION("""COMPUTED_VALUE"""),352.7272324344819)</f>
        <v>352.7272324</v>
      </c>
      <c r="Z321" s="30">
        <f>IFERROR(__xludf.DUMMYFUNCTION("""COMPUTED_VALUE"""),0.7972790479800175)</f>
        <v>0.797279048</v>
      </c>
      <c r="AA321" s="30">
        <f>IFERROR(__xludf.DUMMYFUNCTION("""COMPUTED_VALUE"""),0.5868266929033553)</f>
        <v>0.5868266929</v>
      </c>
      <c r="AB321" s="30">
        <f>IFERROR(__xludf.DUMMYFUNCTION("""COMPUTED_VALUE"""),1.318094334224833)</f>
        <v>1.318094334</v>
      </c>
      <c r="AC321" s="30">
        <f>IFERROR(__xludf.DUMMYFUNCTION("""COMPUTED_VALUE"""),2.693463224802574)</f>
        <v>2.693463225</v>
      </c>
      <c r="AD321" s="30">
        <f>IFERROR(__xludf.DUMMYFUNCTION("""COMPUTED_VALUE"""),0.9818999648891282)</f>
        <v>0.9818999649</v>
      </c>
      <c r="AE321" s="30">
        <f>IFERROR(__xludf.DUMMYFUNCTION("""COMPUTED_VALUE"""),1.1109213116264969)</f>
        <v>1.110921312</v>
      </c>
      <c r="AF321" s="30">
        <f>IFERROR(__xludf.DUMMYFUNCTION("""COMPUTED_VALUE"""),0.7303202696030225)</f>
        <v>0.7303202696</v>
      </c>
      <c r="AG321" s="30">
        <f>IFERROR(__xludf.DUMMYFUNCTION("""COMPUTED_VALUE"""),1.0404631412326828)</f>
        <v>1.040463141</v>
      </c>
      <c r="AH321" s="30">
        <f>IFERROR(__xludf.DUMMYFUNCTION("""COMPUTED_VALUE"""),0.8698307522015157)</f>
        <v>0.8698307522</v>
      </c>
      <c r="AI321" s="30">
        <f>IFERROR(__xludf.DUMMYFUNCTION("""COMPUTED_VALUE"""),1.0041379772434558)</f>
        <v>1.004137977</v>
      </c>
      <c r="AJ321" s="30">
        <f>IFERROR(__xludf.DUMMYFUNCTION("""COMPUTED_VALUE"""),0.95132903364738)</f>
        <v>0.9513290336</v>
      </c>
      <c r="AK321" s="30">
        <f>IFERROR(__xludf.DUMMYFUNCTION("""COMPUTED_VALUE"""),0.924778526816223)</f>
        <v>0.9247785268</v>
      </c>
      <c r="AL321" s="30">
        <f>IFERROR(__xludf.DUMMYFUNCTION("""COMPUTED_VALUE"""),1.0761369187466008)</f>
        <v>1.076136919</v>
      </c>
      <c r="AM321" s="30">
        <f>IFERROR(__xludf.DUMMYFUNCTION("""COMPUTED_VALUE"""),0.9307924116128575)</f>
        <v>0.9307924116</v>
      </c>
      <c r="AN321" s="30">
        <f>IFERROR(__xludf.DUMMYFUNCTION("""COMPUTED_VALUE"""),1.00185120500673)</f>
        <v>1.001851205</v>
      </c>
      <c r="AO321" s="30">
        <f>IFERROR(__xludf.DUMMYFUNCTION("""COMPUTED_VALUE"""),1.1722574194774356)</f>
        <v>1.172257419</v>
      </c>
      <c r="AP321" s="30">
        <f>IFERROR(__xludf.DUMMYFUNCTION("""COMPUTED_VALUE"""),0.7710094200599541)</f>
        <v>0.7710094201</v>
      </c>
      <c r="AQ321" s="30">
        <f>IFERROR(__xludf.DUMMYFUNCTION("""COMPUTED_VALUE"""),1.0136424107934778)</f>
        <v>1.013642411</v>
      </c>
      <c r="AR321" s="30">
        <f>IFERROR(__xludf.DUMMYFUNCTION("""COMPUTED_VALUE"""),0.9189430277726846)</f>
        <v>0.9189430278</v>
      </c>
      <c r="AS321" s="30">
        <f>IFERROR(__xludf.DUMMYFUNCTION("""COMPUTED_VALUE"""),95.0)</f>
        <v>95</v>
      </c>
      <c r="AT321" s="30">
        <f>IFERROR(__xludf.DUMMYFUNCTION("""COMPUTED_VALUE"""),0.596890736989982)</f>
        <v>0.596890737</v>
      </c>
      <c r="AU321" s="30">
        <f>IFERROR(__xludf.DUMMYFUNCTION("""COMPUTED_VALUE"""),1.866295352157493)</f>
        <v>1.866295352</v>
      </c>
      <c r="AV321" s="32">
        <f>IFERROR(__xludf.DUMMYFUNCTION("""COMPUTED_VALUE"""),51.93796101285915)</f>
        <v>51.93796101</v>
      </c>
      <c r="AW321" s="32">
        <f>IFERROR(__xludf.DUMMYFUNCTION("""COMPUTED_VALUE"""),2.131716362228047)</f>
        <v>2.131716362</v>
      </c>
      <c r="AX321" s="32">
        <f>IFERROR(__xludf.DUMMYFUNCTION("""COMPUTED_VALUE"""),42.08597846640711)</f>
        <v>42.08597847</v>
      </c>
      <c r="AY321" s="32">
        <f>IFERROR(__xludf.DUMMYFUNCTION("""COMPUTED_VALUE"""),-2.6610718957720505)</f>
        <v>-2.661071896</v>
      </c>
      <c r="AZ321" s="30">
        <f>IFERROR(__xludf.DUMMYFUNCTION("""COMPUTED_VALUE"""),4.792788258000098)</f>
        <v>4.792788258</v>
      </c>
      <c r="BA321" s="30">
        <f>IFERROR(__xludf.DUMMYFUNCTION("""COMPUTED_VALUE"""),1200.0)</f>
        <v>1200</v>
      </c>
    </row>
    <row r="322">
      <c r="A322" s="71" t="str">
        <f>IFERROR(__xludf.DUMMYFUNCTION("""COMPUTED_VALUE"""),"Veteran")</f>
        <v>Veteran</v>
      </c>
      <c r="B322" s="71" t="str">
        <f>IFERROR(__xludf.DUMMYFUNCTION("""COMPUTED_VALUE"""),"RSC000960")</f>
        <v>RSC000960</v>
      </c>
      <c r="C322" s="30" t="str">
        <f>IFERROR(__xludf.DUMMYFUNCTION("""COMPUTED_VALUE"""),"Catlas")</f>
        <v>Catlas</v>
      </c>
      <c r="D322" s="30" t="str">
        <f>IFERROR(__xludf.DUMMYFUNCTION("""COMPUTED_VALUE"""),"Paradox Paloma")</f>
        <v>Paradox Paloma</v>
      </c>
      <c r="E322" s="30">
        <f>IFERROR(__xludf.DUMMYFUNCTION("""COMPUTED_VALUE"""),48.0)</f>
        <v>48</v>
      </c>
      <c r="F322" s="30">
        <f>IFERROR(__xludf.DUMMYFUNCTION("""COMPUTED_VALUE"""),30.0)</f>
        <v>30</v>
      </c>
      <c r="G322" s="42">
        <f>IFERROR(__xludf.DUMMYFUNCTION("""COMPUTED_VALUE"""),18.0)</f>
        <v>18</v>
      </c>
      <c r="H322" s="42">
        <f>IFERROR(__xludf.DUMMYFUNCTION("""COMPUTED_VALUE"""),0.625)</f>
        <v>0.625</v>
      </c>
      <c r="I322" s="42">
        <f>IFERROR(__xludf.DUMMYFUNCTION("""COMPUTED_VALUE"""),0.23134328358208958)</f>
        <v>0.2313432836</v>
      </c>
      <c r="J322" s="30">
        <f>IFERROR(__xludf.DUMMYFUNCTION("""COMPUTED_VALUE"""),363.9791666666667)</f>
        <v>363.9791667</v>
      </c>
      <c r="K322" s="30">
        <f>IFERROR(__xludf.DUMMYFUNCTION("""COMPUTED_VALUE"""),0.6458333333333334)</f>
        <v>0.6458333333</v>
      </c>
      <c r="L322" s="30">
        <f>IFERROR(__xludf.DUMMYFUNCTION("""COMPUTED_VALUE"""),0.75)</f>
        <v>0.75</v>
      </c>
      <c r="M322" s="30">
        <f>IFERROR(__xludf.DUMMYFUNCTION("""COMPUTED_VALUE"""),1.6041666666666667)</f>
        <v>1.604166667</v>
      </c>
      <c r="N322" s="30">
        <f>IFERROR(__xludf.DUMMYFUNCTION("""COMPUTED_VALUE"""),2.7916666666666665)</f>
        <v>2.791666667</v>
      </c>
      <c r="O322" s="30">
        <f>IFERROR(__xludf.DUMMYFUNCTION("""COMPUTED_VALUE"""),370.04861111111103)</f>
        <v>370.0486111</v>
      </c>
      <c r="P322" s="30">
        <f>IFERROR(__xludf.DUMMYFUNCTION("""COMPUTED_VALUE"""),0.7430555555555557)</f>
        <v>0.7430555556</v>
      </c>
      <c r="Q322" s="30">
        <f>IFERROR(__xludf.DUMMYFUNCTION("""COMPUTED_VALUE"""),0.5763888888888888)</f>
        <v>0.5763888889</v>
      </c>
      <c r="R322" s="30">
        <f>IFERROR(__xludf.DUMMYFUNCTION("""COMPUTED_VALUE"""),1.6458333333333333)</f>
        <v>1.645833333</v>
      </c>
      <c r="S322" s="30">
        <f>IFERROR(__xludf.DUMMYFUNCTION("""COMPUTED_VALUE"""),2.541666666666667)</f>
        <v>2.541666667</v>
      </c>
      <c r="T322" s="30">
        <f>IFERROR(__xludf.DUMMYFUNCTION("""COMPUTED_VALUE"""),358.4060457137385)</f>
        <v>358.4060457</v>
      </c>
      <c r="U322" s="30">
        <f>IFERROR(__xludf.DUMMYFUNCTION("""COMPUTED_VALUE"""),0.7841275391017467)</f>
        <v>0.7841275391</v>
      </c>
      <c r="V322" s="30">
        <f>IFERROR(__xludf.DUMMYFUNCTION("""COMPUTED_VALUE"""),0.576074458615064)</f>
        <v>0.5760744586</v>
      </c>
      <c r="W322" s="30">
        <f>IFERROR(__xludf.DUMMYFUNCTION("""COMPUTED_VALUE"""),1.3945418795184015)</f>
        <v>1.39454188</v>
      </c>
      <c r="X322" s="30">
        <f>IFERROR(__xludf.DUMMYFUNCTION("""COMPUTED_VALUE"""),2.5699879736593654)</f>
        <v>2.569987974</v>
      </c>
      <c r="Y322" s="30">
        <f>IFERROR(__xludf.DUMMYFUNCTION("""COMPUTED_VALUE"""),353.6552627796262)</f>
        <v>353.6552628</v>
      </c>
      <c r="Z322" s="30">
        <f>IFERROR(__xludf.DUMMYFUNCTION("""COMPUTED_VALUE"""),0.7972746076988436)</f>
        <v>0.7972746077</v>
      </c>
      <c r="AA322" s="30">
        <f>IFERROR(__xludf.DUMMYFUNCTION("""COMPUTED_VALUE"""),0.5845740712602071)</f>
        <v>0.5845740713</v>
      </c>
      <c r="AB322" s="30">
        <f>IFERROR(__xludf.DUMMYFUNCTION("""COMPUTED_VALUE"""),1.3147564387683095)</f>
        <v>1.314756439</v>
      </c>
      <c r="AC322" s="30">
        <f>IFERROR(__xludf.DUMMYFUNCTION("""COMPUTED_VALUE"""),2.635948485634124)</f>
        <v>2.635948486</v>
      </c>
      <c r="AD322" s="30">
        <f>IFERROR(__xludf.DUMMYFUNCTION("""COMPUTED_VALUE"""),1.0291919984617157)</f>
        <v>1.029191998</v>
      </c>
      <c r="AE322" s="30">
        <f>IFERROR(__xludf.DUMMYFUNCTION("""COMPUTED_VALUE"""),0.8100513011412568)</f>
        <v>0.8100513011</v>
      </c>
      <c r="AF322" s="30">
        <f>IFERROR(__xludf.DUMMYFUNCTION("""COMPUTED_VALUE"""),1.2829854023172336)</f>
        <v>1.282985402</v>
      </c>
      <c r="AG322" s="30">
        <f>IFERROR(__xludf.DUMMYFUNCTION("""COMPUTED_VALUE"""),1.2201245944606156)</f>
        <v>1.220124594</v>
      </c>
      <c r="AH322" s="30">
        <f>IFERROR(__xludf.DUMMYFUNCTION("""COMPUTED_VALUE"""),1.0590748195122948)</f>
        <v>1.05907482</v>
      </c>
      <c r="AI322" s="30">
        <f>IFERROR(__xludf.DUMMYFUNCTION("""COMPUTED_VALUE"""),1.0324842885230556)</f>
        <v>1.032484289</v>
      </c>
      <c r="AJ322" s="30">
        <f>IFERROR(__xludf.DUMMYFUNCTION("""COMPUTED_VALUE"""),0.9476207868005238)</f>
        <v>0.9476207868</v>
      </c>
      <c r="AK322" s="30">
        <f>IFERROR(__xludf.DUMMYFUNCTION("""COMPUTED_VALUE"""),1.0005458153353661)</f>
        <v>1.000545815</v>
      </c>
      <c r="AL322" s="30">
        <f>IFERROR(__xludf.DUMMYFUNCTION("""COMPUTED_VALUE"""),1.1801964197028734)</f>
        <v>1.18019642</v>
      </c>
      <c r="AM322" s="30">
        <f>IFERROR(__xludf.DUMMYFUNCTION("""COMPUTED_VALUE"""),0.9889799846213396)</f>
        <v>0.9889799846</v>
      </c>
      <c r="AN322" s="30">
        <f>IFERROR(__xludf.DUMMYFUNCTION("""COMPUTED_VALUE"""),1.0528670050554438)</f>
        <v>1.052867005</v>
      </c>
      <c r="AO322" s="30">
        <f>IFERROR(__xludf.DUMMYFUNCTION("""COMPUTED_VALUE"""),0.8547710350356302)</f>
        <v>0.854771035</v>
      </c>
      <c r="AP322" s="30">
        <f>IFERROR(__xludf.DUMMYFUNCTION("""COMPUTED_VALUE"""),1.3492664851049199)</f>
        <v>1.349266485</v>
      </c>
      <c r="AQ322" s="30">
        <f>IFERROR(__xludf.DUMMYFUNCTION("""COMPUTED_VALUE"""),1.1856624553335169)</f>
        <v>1.185662455</v>
      </c>
      <c r="AR322" s="30">
        <f>IFERROR(__xludf.DUMMYFUNCTION("""COMPUTED_VALUE"""),1.0949803862433665)</f>
        <v>1.094980386</v>
      </c>
      <c r="AS322" s="30">
        <f>IFERROR(__xludf.DUMMYFUNCTION("""COMPUTED_VALUE"""),125.0)</f>
        <v>125</v>
      </c>
      <c r="AT322" s="30">
        <f>IFERROR(__xludf.DUMMYFUNCTION("""COMPUTED_VALUE"""),0.5607929390890145)</f>
        <v>0.5607929391</v>
      </c>
      <c r="AU322" s="30">
        <f>IFERROR(__xludf.DUMMYFUNCTION("""COMPUTED_VALUE"""),2.049612656862137)</f>
        <v>2.049612657</v>
      </c>
      <c r="AV322" s="32">
        <f>IFERROR(__xludf.DUMMYFUNCTION("""COMPUTED_VALUE"""),58.49193847458811)</f>
        <v>58.49193847</v>
      </c>
      <c r="AW322" s="32">
        <f>IFERROR(__xludf.DUMMYFUNCTION("""COMPUTED_VALUE"""),2.7244267724359363)</f>
        <v>2.724426772</v>
      </c>
      <c r="AX322" s="32">
        <f>IFERROR(__xludf.DUMMYFUNCTION("""COMPUTED_VALUE"""),49.245745353066525)</f>
        <v>49.24574535</v>
      </c>
      <c r="AY322" s="32">
        <f>IFERROR(__xludf.DUMMYFUNCTION("""COMPUTED_VALUE"""),-2.0493245240408324)</f>
        <v>-2.049324524</v>
      </c>
      <c r="AZ322" s="30">
        <f>IFERROR(__xludf.DUMMYFUNCTION("""COMPUTED_VALUE"""),4.773751296476769)</f>
        <v>4.773751296</v>
      </c>
      <c r="BA322" s="30">
        <f>IFERROR(__xludf.DUMMYFUNCTION("""COMPUTED_VALUE"""),1200.0)</f>
        <v>1200</v>
      </c>
    </row>
    <row r="323">
      <c r="A323" s="71" t="str">
        <f>IFERROR(__xludf.DUMMYFUNCTION("""COMPUTED_VALUE"""),"Veteran")</f>
        <v>Veteran</v>
      </c>
      <c r="B323" s="71" t="str">
        <f>IFERROR(__xludf.DUMMYFUNCTION("""COMPUTED_VALUE"""),"RSC000926")</f>
        <v>RSC000926</v>
      </c>
      <c r="C323" s="30" t="str">
        <f>IFERROR(__xludf.DUMMYFUNCTION("""COMPUTED_VALUE"""),"SlmRnchr")</f>
        <v>SlmRnchr</v>
      </c>
      <c r="D323" s="30" t="str">
        <f>IFERROR(__xludf.DUMMYFUNCTION("""COMPUTED_VALUE"""),"Silver Dollar")</f>
        <v>Silver Dollar</v>
      </c>
      <c r="E323" s="30">
        <f>IFERROR(__xludf.DUMMYFUNCTION("""COMPUTED_VALUE"""),32.0)</f>
        <v>32</v>
      </c>
      <c r="F323" s="30">
        <f>IFERROR(__xludf.DUMMYFUNCTION("""COMPUTED_VALUE"""),21.0)</f>
        <v>21</v>
      </c>
      <c r="G323" s="42">
        <f>IFERROR(__xludf.DUMMYFUNCTION("""COMPUTED_VALUE"""),11.0)</f>
        <v>11</v>
      </c>
      <c r="H323" s="42">
        <f>IFERROR(__xludf.DUMMYFUNCTION("""COMPUTED_VALUE"""),0.65625)</f>
        <v>0.65625</v>
      </c>
      <c r="I323" s="42">
        <f>IFERROR(__xludf.DUMMYFUNCTION("""COMPUTED_VALUE"""),0.37662337662337664)</f>
        <v>0.3766233766</v>
      </c>
      <c r="J323" s="30">
        <f>IFERROR(__xludf.DUMMYFUNCTION("""COMPUTED_VALUE"""),325.59375)</f>
        <v>325.59375</v>
      </c>
      <c r="K323" s="30">
        <f>IFERROR(__xludf.DUMMYFUNCTION("""COMPUTED_VALUE"""),0.90625)</f>
        <v>0.90625</v>
      </c>
      <c r="L323" s="30">
        <f>IFERROR(__xludf.DUMMYFUNCTION("""COMPUTED_VALUE"""),0.5625)</f>
        <v>0.5625</v>
      </c>
      <c r="M323" s="30">
        <f>IFERROR(__xludf.DUMMYFUNCTION("""COMPUTED_VALUE"""),1.0625)</f>
        <v>1.0625</v>
      </c>
      <c r="N323" s="30">
        <f>IFERROR(__xludf.DUMMYFUNCTION("""COMPUTED_VALUE"""),2.40625)</f>
        <v>2.40625</v>
      </c>
      <c r="O323" s="30">
        <f>IFERROR(__xludf.DUMMYFUNCTION("""COMPUTED_VALUE"""),325.6041666666667)</f>
        <v>325.6041667</v>
      </c>
      <c r="P323" s="30">
        <f>IFERROR(__xludf.DUMMYFUNCTION("""COMPUTED_VALUE"""),0.6874999999999999)</f>
        <v>0.6875</v>
      </c>
      <c r="Q323" s="30">
        <f>IFERROR(__xludf.DUMMYFUNCTION("""COMPUTED_VALUE"""),0.45833333333333326)</f>
        <v>0.4583333333</v>
      </c>
      <c r="R323" s="30">
        <f>IFERROR(__xludf.DUMMYFUNCTION("""COMPUTED_VALUE"""),1.2395833333333333)</f>
        <v>1.239583333</v>
      </c>
      <c r="S323" s="30">
        <f>IFERROR(__xludf.DUMMYFUNCTION("""COMPUTED_VALUE"""),2.4062500000000004)</f>
        <v>2.40625</v>
      </c>
      <c r="T323" s="30">
        <f>IFERROR(__xludf.DUMMYFUNCTION("""COMPUTED_VALUE"""),335.5705781426624)</f>
        <v>335.5705781</v>
      </c>
      <c r="U323" s="30">
        <f>IFERROR(__xludf.DUMMYFUNCTION("""COMPUTED_VALUE"""),0.7216643241563485)</f>
        <v>0.7216643242</v>
      </c>
      <c r="V323" s="30">
        <f>IFERROR(__xludf.DUMMYFUNCTION("""COMPUTED_VALUE"""),0.49673473312637323)</f>
        <v>0.4967347331</v>
      </c>
      <c r="W323" s="30">
        <f>IFERROR(__xludf.DUMMYFUNCTION("""COMPUTED_VALUE"""),1.316591640729997)</f>
        <v>1.316591641</v>
      </c>
      <c r="X323" s="30">
        <f>IFERROR(__xludf.DUMMYFUNCTION("""COMPUTED_VALUE"""),2.488838320919524)</f>
        <v>2.488838321</v>
      </c>
      <c r="Y323" s="30">
        <f>IFERROR(__xludf.DUMMYFUNCTION("""COMPUTED_VALUE"""),351.77154499532315)</f>
        <v>351.771545</v>
      </c>
      <c r="Z323" s="30">
        <f>IFERROR(__xludf.DUMMYFUNCTION("""COMPUTED_VALUE"""),0.7835469128470334)</f>
        <v>0.7835469128</v>
      </c>
      <c r="AA323" s="30">
        <f>IFERROR(__xludf.DUMMYFUNCTION("""COMPUTED_VALUE"""),0.5699175329168986)</f>
        <v>0.5699175329</v>
      </c>
      <c r="AB323" s="30">
        <f>IFERROR(__xludf.DUMMYFUNCTION("""COMPUTED_VALUE"""),1.3352225651177396)</f>
        <v>1.335222565</v>
      </c>
      <c r="AC323" s="30">
        <f>IFERROR(__xludf.DUMMYFUNCTION("""COMPUTED_VALUE"""),2.6283131794243553)</f>
        <v>2.628313179</v>
      </c>
      <c r="AD323" s="30">
        <f>IFERROR(__xludf.DUMMYFUNCTION("""COMPUTED_VALUE"""),0.9255829660819462)</f>
        <v>0.9255829661</v>
      </c>
      <c r="AE323" s="30">
        <f>IFERROR(__xludf.DUMMYFUNCTION("""COMPUTED_VALUE"""),1.1565995413179826)</f>
        <v>1.156599541</v>
      </c>
      <c r="AF323" s="30">
        <f>IFERROR(__xludf.DUMMYFUNCTION("""COMPUTED_VALUE"""),0.9869849013436472)</f>
        <v>0.9869849013</v>
      </c>
      <c r="AG323" s="30">
        <f>IFERROR(__xludf.DUMMYFUNCTION("""COMPUTED_VALUE"""),0.7957474864172244)</f>
        <v>0.7957474864</v>
      </c>
      <c r="AH323" s="30">
        <f>IFERROR(__xludf.DUMMYFUNCTION("""COMPUTED_VALUE"""),0.9155111418369896)</f>
        <v>0.9155111418</v>
      </c>
      <c r="AI323" s="30">
        <f>IFERROR(__xludf.DUMMYFUNCTION("""COMPUTED_VALUE"""),0.9703001033905939)</f>
        <v>0.9703001034</v>
      </c>
      <c r="AJ323" s="30">
        <f>IFERROR(__xludf.DUMMYFUNCTION("""COMPUTED_VALUE"""),0.9526589814505685)</f>
        <v>0.9526589815</v>
      </c>
      <c r="AK323" s="30">
        <f>IFERROR(__xludf.DUMMYFUNCTION("""COMPUTED_VALUE"""),0.9226923401322324)</f>
        <v>0.9226923401</v>
      </c>
      <c r="AL323" s="30">
        <f>IFERROR(__xludf.DUMMYFUNCTION("""COMPUTED_VALUE"""),0.9415093450282233)</f>
        <v>0.941509345</v>
      </c>
      <c r="AM323" s="30">
        <f>IFERROR(__xludf.DUMMYFUNCTION("""COMPUTED_VALUE"""),0.96681651828271)</f>
        <v>0.9668165183</v>
      </c>
      <c r="AN323" s="30">
        <f>IFERROR(__xludf.DUMMYFUNCTION("""COMPUTED_VALUE"""),0.9418311481030853)</f>
        <v>0.9418311481</v>
      </c>
      <c r="AO323" s="30">
        <f>IFERROR(__xludf.DUMMYFUNCTION("""COMPUTED_VALUE"""),1.199436774969352)</f>
        <v>1.199436775</v>
      </c>
      <c r="AP323" s="30">
        <f>IFERROR(__xludf.DUMMYFUNCTION("""COMPUTED_VALUE"""),1.01194986382869)</f>
        <v>1.011949864</v>
      </c>
      <c r="AQ323" s="30">
        <f>IFERROR(__xludf.DUMMYFUNCTION("""COMPUTED_VALUE"""),0.7853088989871345)</f>
        <v>0.785308899</v>
      </c>
      <c r="AR323" s="30">
        <f>IFERROR(__xludf.DUMMYFUNCTION("""COMPUTED_VALUE"""),0.9438077209784241)</f>
        <v>0.943807721</v>
      </c>
      <c r="AS323" s="30">
        <f>IFERROR(__xludf.DUMMYFUNCTION("""COMPUTED_VALUE"""),82.0)</f>
        <v>82</v>
      </c>
      <c r="AT323" s="30">
        <f>IFERROR(__xludf.DUMMYFUNCTION("""COMPUTED_VALUE"""),0.5834325621886479)</f>
        <v>0.5834325622</v>
      </c>
      <c r="AU323" s="30">
        <f>IFERROR(__xludf.DUMMYFUNCTION("""COMPUTED_VALUE"""),2.037658145114312)</f>
        <v>2.037658145</v>
      </c>
      <c r="AV323" s="32">
        <f>IFERROR(__xludf.DUMMYFUNCTION("""COMPUTED_VALUE"""),58.06453964997931)</f>
        <v>58.06453965</v>
      </c>
      <c r="AW323" s="32">
        <f>IFERROR(__xludf.DUMMYFUNCTION("""COMPUTED_VALUE"""),2.677332656452212)</f>
        <v>2.677332656</v>
      </c>
      <c r="AX323" s="32">
        <f>IFERROR(__xludf.DUMMYFUNCTION("""COMPUTED_VALUE"""),48.94220432927291)</f>
        <v>48.94220433</v>
      </c>
      <c r="AY323" s="32">
        <f>IFERROR(__xludf.DUMMYFUNCTION("""COMPUTED_VALUE"""),-2.0698574460423904)</f>
        <v>-2.069857446</v>
      </c>
      <c r="AZ323" s="30">
        <f>IFERROR(__xludf.DUMMYFUNCTION("""COMPUTED_VALUE"""),4.747190102494603)</f>
        <v>4.747190102</v>
      </c>
      <c r="BA323" s="30">
        <f>IFERROR(__xludf.DUMMYFUNCTION("""COMPUTED_VALUE"""),1200.0)</f>
        <v>1200</v>
      </c>
    </row>
    <row r="324">
      <c r="A324" s="71" t="str">
        <f>IFERROR(__xludf.DUMMYFUNCTION("""COMPUTED_VALUE"""),"Veteran")</f>
        <v>Veteran</v>
      </c>
      <c r="B324" s="71" t="str">
        <f>IFERROR(__xludf.DUMMYFUNCTION("""COMPUTED_VALUE"""),"RSC004094")</f>
        <v>RSC004094</v>
      </c>
      <c r="C324" s="30" t="str">
        <f>IFERROR(__xludf.DUMMYFUNCTION("""COMPUTED_VALUE"""),"Moxen")</f>
        <v>Moxen</v>
      </c>
      <c r="D324" s="30"/>
      <c r="E324" s="30">
        <f>IFERROR(__xludf.DUMMYFUNCTION("""COMPUTED_VALUE"""),16.0)</f>
        <v>16</v>
      </c>
      <c r="F324" s="30">
        <f>IFERROR(__xludf.DUMMYFUNCTION("""COMPUTED_VALUE"""),8.0)</f>
        <v>8</v>
      </c>
      <c r="G324" s="42">
        <f>IFERROR(__xludf.DUMMYFUNCTION("""COMPUTED_VALUE"""),8.0)</f>
        <v>8</v>
      </c>
      <c r="H324" s="42">
        <f>IFERROR(__xludf.DUMMYFUNCTION("""COMPUTED_VALUE"""),0.5)</f>
        <v>0.5</v>
      </c>
      <c r="I324" s="42">
        <f>IFERROR(__xludf.DUMMYFUNCTION("""COMPUTED_VALUE"""),0.30952380952380953)</f>
        <v>0.3095238095</v>
      </c>
      <c r="J324" s="30">
        <f>IFERROR(__xludf.DUMMYFUNCTION("""COMPUTED_VALUE"""),311.125)</f>
        <v>311.125</v>
      </c>
      <c r="K324" s="30">
        <f>IFERROR(__xludf.DUMMYFUNCTION("""COMPUTED_VALUE"""),0.8125)</f>
        <v>0.8125</v>
      </c>
      <c r="L324" s="30">
        <f>IFERROR(__xludf.DUMMYFUNCTION("""COMPUTED_VALUE"""),0.375)</f>
        <v>0.375</v>
      </c>
      <c r="M324" s="30">
        <f>IFERROR(__xludf.DUMMYFUNCTION("""COMPUTED_VALUE"""),1.0)</f>
        <v>1</v>
      </c>
      <c r="N324" s="30">
        <f>IFERROR(__xludf.DUMMYFUNCTION("""COMPUTED_VALUE"""),2.625)</f>
        <v>2.625</v>
      </c>
      <c r="O324" s="30">
        <f>IFERROR(__xludf.DUMMYFUNCTION("""COMPUTED_VALUE"""),383.68750000000006)</f>
        <v>383.6875</v>
      </c>
      <c r="P324" s="30">
        <f>IFERROR(__xludf.DUMMYFUNCTION("""COMPUTED_VALUE"""),0.8333333333333336)</f>
        <v>0.8333333333</v>
      </c>
      <c r="Q324" s="30">
        <f>IFERROR(__xludf.DUMMYFUNCTION("""COMPUTED_VALUE"""),0.625)</f>
        <v>0.625</v>
      </c>
      <c r="R324" s="30">
        <f>IFERROR(__xludf.DUMMYFUNCTION("""COMPUTED_VALUE"""),1.5833333333333333)</f>
        <v>1.583333333</v>
      </c>
      <c r="S324" s="30">
        <f>IFERROR(__xludf.DUMMYFUNCTION("""COMPUTED_VALUE"""),2.6875)</f>
        <v>2.6875</v>
      </c>
      <c r="T324" s="30">
        <f>IFERROR(__xludf.DUMMYFUNCTION("""COMPUTED_VALUE"""),365.66120209628747)</f>
        <v>365.6612021</v>
      </c>
      <c r="U324" s="30">
        <f>IFERROR(__xludf.DUMMYFUNCTION("""COMPUTED_VALUE"""),0.8334117710060205)</f>
        <v>0.833411771</v>
      </c>
      <c r="V324" s="30">
        <f>IFERROR(__xludf.DUMMYFUNCTION("""COMPUTED_VALUE"""),0.6371791997130469)</f>
        <v>0.6371791997</v>
      </c>
      <c r="W324" s="30">
        <f>IFERROR(__xludf.DUMMYFUNCTION("""COMPUTED_VALUE"""),1.3606675912897388)</f>
        <v>1.360667591</v>
      </c>
      <c r="X324" s="30">
        <f>IFERROR(__xludf.DUMMYFUNCTION("""COMPUTED_VALUE"""),2.6617453711918277)</f>
        <v>2.661745371</v>
      </c>
      <c r="Y324" s="30">
        <f>IFERROR(__xludf.DUMMYFUNCTION("""COMPUTED_VALUE"""),361.1950317983516)</f>
        <v>361.1950318</v>
      </c>
      <c r="Z324" s="30">
        <f>IFERROR(__xludf.DUMMYFUNCTION("""COMPUTED_VALUE"""),0.8204396824082041)</f>
        <v>0.8204396824</v>
      </c>
      <c r="AA324" s="30">
        <f>IFERROR(__xludf.DUMMYFUNCTION("""COMPUTED_VALUE"""),0.5838801733801195)</f>
        <v>0.5838801734</v>
      </c>
      <c r="AB324" s="30">
        <f>IFERROR(__xludf.DUMMYFUNCTION("""COMPUTED_VALUE"""),1.392844549268345)</f>
        <v>1.392844549</v>
      </c>
      <c r="AC324" s="30">
        <f>IFERROR(__xludf.DUMMYFUNCTION("""COMPUTED_VALUE"""),2.621681119378027)</f>
        <v>2.621681119</v>
      </c>
      <c r="AD324" s="30">
        <f>IFERROR(__xludf.DUMMYFUNCTION("""COMPUTED_VALUE"""),0.8613767427833705)</f>
        <v>0.8613767428</v>
      </c>
      <c r="AE324" s="30">
        <f>IFERROR(__xludf.DUMMYFUNCTION("""COMPUTED_VALUE"""),0.9903226494543766)</f>
        <v>0.9903226495</v>
      </c>
      <c r="AF324" s="30">
        <f>IFERROR(__xludf.DUMMYFUNCTION("""COMPUTED_VALUE"""),0.6422550672154204)</f>
        <v>0.6422550672</v>
      </c>
      <c r="AG324" s="30">
        <f>IFERROR(__xludf.DUMMYFUNCTION("""COMPUTED_VALUE"""),0.7179552093773103)</f>
        <v>0.7179552094</v>
      </c>
      <c r="AH324" s="30">
        <f>IFERROR(__xludf.DUMMYFUNCTION("""COMPUTED_VALUE"""),1.0012659360428855)</f>
        <v>1.001265936</v>
      </c>
      <c r="AI324" s="30">
        <f>IFERROR(__xludf.DUMMYFUNCTION("""COMPUTED_VALUE"""),1.049297813933691)</f>
        <v>1.049297814</v>
      </c>
      <c r="AJ324" s="30">
        <f>IFERROR(__xludf.DUMMYFUNCTION("""COMPUTED_VALUE"""),0.9999058836514966)</f>
        <v>0.9999058837</v>
      </c>
      <c r="AK324" s="30">
        <f>IFERROR(__xludf.DUMMYFUNCTION("""COMPUTED_VALUE"""),0.9808857544023223)</f>
        <v>0.9808857544</v>
      </c>
      <c r="AL324" s="30">
        <f>IFERROR(__xludf.DUMMYFUNCTION("""COMPUTED_VALUE"""),1.1636444811862798)</f>
        <v>1.163644481</v>
      </c>
      <c r="AM324" s="30">
        <f>IFERROR(__xludf.DUMMYFUNCTION("""COMPUTED_VALUE"""),1.0096758424329073)</f>
        <v>1.009675842</v>
      </c>
      <c r="AN324" s="30">
        <f>IFERROR(__xludf.DUMMYFUNCTION("""COMPUTED_VALUE"""),0.8999780123346115)</f>
        <v>0.8999780123</v>
      </c>
      <c r="AO324" s="30">
        <f>IFERROR(__xludf.DUMMYFUNCTION("""COMPUTED_VALUE"""),1.075357108593212)</f>
        <v>1.075357109</v>
      </c>
      <c r="AP324" s="30">
        <f>IFERROR(__xludf.DUMMYFUNCTION("""COMPUTED_VALUE"""),0.6746332425524599)</f>
        <v>0.6746332426</v>
      </c>
      <c r="AQ324" s="30">
        <f>IFERROR(__xludf.DUMMYFUNCTION("""COMPUTED_VALUE"""),0.7391142578702442)</f>
        <v>0.7391142579</v>
      </c>
      <c r="AR324" s="30">
        <f>IFERROR(__xludf.DUMMYFUNCTION("""COMPUTED_VALUE"""),1.0296084228855535)</f>
        <v>1.029608423</v>
      </c>
      <c r="AS324" s="30">
        <f>IFERROR(__xludf.DUMMYFUNCTION("""COMPUTED_VALUE"""),40.0)</f>
        <v>40</v>
      </c>
      <c r="AT324" s="30">
        <f>IFERROR(__xludf.DUMMYFUNCTION("""COMPUTED_VALUE"""),0.4999999999999998)</f>
        <v>0.5</v>
      </c>
      <c r="AU324" s="30">
        <f>IFERROR(__xludf.DUMMYFUNCTION("""COMPUTED_VALUE"""),1.5996018238921017)</f>
        <v>1.599601824</v>
      </c>
      <c r="AV324" s="32">
        <f>IFERROR(__xludf.DUMMYFUNCTION("""COMPUTED_VALUE"""),42.40310899080632)</f>
        <v>42.40310899</v>
      </c>
      <c r="AW324" s="32">
        <f>IFERROR(__xludf.DUMMYFUNCTION("""COMPUTED_VALUE"""),-2.627352239655162)</f>
        <v>-2.62735224</v>
      </c>
      <c r="AX324" s="32">
        <f>IFERROR(__xludf.DUMMYFUNCTION("""COMPUTED_VALUE"""),22.50746904068528)</f>
        <v>22.50746904</v>
      </c>
      <c r="AY324" s="32">
        <f>IFERROR(__xludf.DUMMYFUNCTION("""COMPUTED_VALUE"""),-7.367505135354551)</f>
        <v>-7.367505135</v>
      </c>
      <c r="AZ324" s="30">
        <f>IFERROR(__xludf.DUMMYFUNCTION("""COMPUTED_VALUE"""),4.740152895699389)</f>
        <v>4.740152896</v>
      </c>
      <c r="BA324" s="30">
        <f>IFERROR(__xludf.DUMMYFUNCTION("""COMPUTED_VALUE"""),1200.0)</f>
        <v>1200</v>
      </c>
    </row>
    <row r="325">
      <c r="A325" s="71" t="str">
        <f>IFERROR(__xludf.DUMMYFUNCTION("""COMPUTED_VALUE"""),"Veteran")</f>
        <v>Veteran</v>
      </c>
      <c r="B325" s="71" t="str">
        <f>IFERROR(__xludf.DUMMYFUNCTION("""COMPUTED_VALUE"""),"RSC002209")</f>
        <v>RSC002209</v>
      </c>
      <c r="C325" s="30" t="str">
        <f>IFERROR(__xludf.DUMMYFUNCTION("""COMPUTED_VALUE"""),"Panick")</f>
        <v>Panick</v>
      </c>
      <c r="D325" s="30" t="str">
        <f>IFERROR(__xludf.DUMMYFUNCTION("""COMPUTED_VALUE"""),"Repossessed")</f>
        <v>Repossessed</v>
      </c>
      <c r="E325" s="30">
        <f>IFERROR(__xludf.DUMMYFUNCTION("""COMPUTED_VALUE"""),46.0)</f>
        <v>46</v>
      </c>
      <c r="F325" s="30">
        <f>IFERROR(__xludf.DUMMYFUNCTION("""COMPUTED_VALUE"""),25.0)</f>
        <v>25</v>
      </c>
      <c r="G325" s="42">
        <f>IFERROR(__xludf.DUMMYFUNCTION("""COMPUTED_VALUE"""),21.0)</f>
        <v>21</v>
      </c>
      <c r="H325" s="42">
        <f>IFERROR(__xludf.DUMMYFUNCTION("""COMPUTED_VALUE"""),0.5434782608695652)</f>
        <v>0.5434782609</v>
      </c>
      <c r="I325" s="42">
        <f>IFERROR(__xludf.DUMMYFUNCTION("""COMPUTED_VALUE"""),0.25203252032520324)</f>
        <v>0.2520325203</v>
      </c>
      <c r="J325" s="30">
        <f>IFERROR(__xludf.DUMMYFUNCTION("""COMPUTED_VALUE"""),308.6304347826087)</f>
        <v>308.6304348</v>
      </c>
      <c r="K325" s="30">
        <f>IFERROR(__xludf.DUMMYFUNCTION("""COMPUTED_VALUE"""),0.6739130434782609)</f>
        <v>0.6739130435</v>
      </c>
      <c r="L325" s="30">
        <f>IFERROR(__xludf.DUMMYFUNCTION("""COMPUTED_VALUE"""),0.5652173913043478)</f>
        <v>0.5652173913</v>
      </c>
      <c r="M325" s="30">
        <f>IFERROR(__xludf.DUMMYFUNCTION("""COMPUTED_VALUE"""),0.9130434782608695)</f>
        <v>0.9130434783</v>
      </c>
      <c r="N325" s="30">
        <f>IFERROR(__xludf.DUMMYFUNCTION("""COMPUTED_VALUE"""),2.6739130434782608)</f>
        <v>2.673913043</v>
      </c>
      <c r="O325" s="30">
        <f>IFERROR(__xludf.DUMMYFUNCTION("""COMPUTED_VALUE"""),327.8478260869565)</f>
        <v>327.8478261</v>
      </c>
      <c r="P325" s="30">
        <f>IFERROR(__xludf.DUMMYFUNCTION("""COMPUTED_VALUE"""),0.6231884057971013)</f>
        <v>0.6231884058</v>
      </c>
      <c r="Q325" s="30">
        <f>IFERROR(__xludf.DUMMYFUNCTION("""COMPUTED_VALUE"""),0.4492753623188405)</f>
        <v>0.4492753623</v>
      </c>
      <c r="R325" s="30">
        <f>IFERROR(__xludf.DUMMYFUNCTION("""COMPUTED_VALUE"""),1.3478260869565215)</f>
        <v>1.347826087</v>
      </c>
      <c r="S325" s="30">
        <f>IFERROR(__xludf.DUMMYFUNCTION("""COMPUTED_VALUE"""),2.449275362318841)</f>
        <v>2.449275362</v>
      </c>
      <c r="T325" s="30">
        <f>IFERROR(__xludf.DUMMYFUNCTION("""COMPUTED_VALUE"""),349.32485193751984)</f>
        <v>349.3248519</v>
      </c>
      <c r="U325" s="30">
        <f>IFERROR(__xludf.DUMMYFUNCTION("""COMPUTED_VALUE"""),0.7607401564243683)</f>
        <v>0.7607401564</v>
      </c>
      <c r="V325" s="30">
        <f>IFERROR(__xludf.DUMMYFUNCTION("""COMPUTED_VALUE"""),0.5513099444241494)</f>
        <v>0.5513099444</v>
      </c>
      <c r="W325" s="30">
        <f>IFERROR(__xludf.DUMMYFUNCTION("""COMPUTED_VALUE"""),1.357454763175835)</f>
        <v>1.357454763</v>
      </c>
      <c r="X325" s="30">
        <f>IFERROR(__xludf.DUMMYFUNCTION("""COMPUTED_VALUE"""),2.525654323766821)</f>
        <v>2.525654324</v>
      </c>
      <c r="Y325" s="30">
        <f>IFERROR(__xludf.DUMMYFUNCTION("""COMPUTED_VALUE"""),350.1610953009416)</f>
        <v>350.1610953</v>
      </c>
      <c r="Z325" s="30">
        <f>IFERROR(__xludf.DUMMYFUNCTION("""COMPUTED_VALUE"""),0.7596158073901462)</f>
        <v>0.7596158074</v>
      </c>
      <c r="AA325" s="30">
        <f>IFERROR(__xludf.DUMMYFUNCTION("""COMPUTED_VALUE"""),0.5658316675693944)</f>
        <v>0.5658316676</v>
      </c>
      <c r="AB325" s="30">
        <f>IFERROR(__xludf.DUMMYFUNCTION("""COMPUTED_VALUE"""),1.3502842300430007)</f>
        <v>1.35028423</v>
      </c>
      <c r="AC325" s="30">
        <f>IFERROR(__xludf.DUMMYFUNCTION("""COMPUTED_VALUE"""),2.5604266804100844)</f>
        <v>2.56042668</v>
      </c>
      <c r="AD325" s="30">
        <f>IFERROR(__xludf.DUMMYFUNCTION("""COMPUTED_VALUE"""),0.881395560284503)</f>
        <v>0.8813955603</v>
      </c>
      <c r="AE325" s="30">
        <f>IFERROR(__xludf.DUMMYFUNCTION("""COMPUTED_VALUE"""),0.8871761710616067)</f>
        <v>0.8871761711</v>
      </c>
      <c r="AF325" s="30">
        <f>IFERROR(__xludf.DUMMYFUNCTION("""COMPUTED_VALUE"""),0.9989143833753856)</f>
        <v>0.9989143834</v>
      </c>
      <c r="AG325" s="30">
        <f>IFERROR(__xludf.DUMMYFUNCTION("""COMPUTED_VALUE"""),0.6761861376636185)</f>
        <v>0.6761861377</v>
      </c>
      <c r="AH325" s="30">
        <f>IFERROR(__xludf.DUMMYFUNCTION("""COMPUTED_VALUE"""),1.044323223131701)</f>
        <v>1.044323223</v>
      </c>
      <c r="AI325" s="30">
        <f>IFERROR(__xludf.DUMMYFUNCTION("""COMPUTED_VALUE"""),0.9385184714702042)</f>
        <v>0.9385184715</v>
      </c>
      <c r="AJ325" s="30">
        <f>IFERROR(__xludf.DUMMYFUNCTION("""COMPUTED_VALUE"""),0.8191869464683081)</f>
        <v>0.8191869465</v>
      </c>
      <c r="AK325" s="30">
        <f>IFERROR(__xludf.DUMMYFUNCTION("""COMPUTED_VALUE"""),0.8149233781518573)</f>
        <v>0.8149233782</v>
      </c>
      <c r="AL325" s="30">
        <f>IFERROR(__xludf.DUMMYFUNCTION("""COMPUTED_VALUE"""),0.9929068161381771)</f>
        <v>0.9929068161</v>
      </c>
      <c r="AM325" s="30">
        <f>IFERROR(__xludf.DUMMYFUNCTION("""COMPUTED_VALUE"""),0.9697587430198813)</f>
        <v>0.969758743</v>
      </c>
      <c r="AN325" s="30">
        <f>IFERROR(__xludf.DUMMYFUNCTION("""COMPUTED_VALUE"""),0.8927620899690449)</f>
        <v>0.89276209</v>
      </c>
      <c r="AO325" s="30">
        <f>IFERROR(__xludf.DUMMYFUNCTION("""COMPUTED_VALUE"""),0.8919349930806576)</f>
        <v>0.8919349931</v>
      </c>
      <c r="AP325" s="30">
        <f>IFERROR(__xludf.DUMMYFUNCTION("""COMPUTED_VALUE"""),1.0168385105138524)</f>
        <v>1.016838511</v>
      </c>
      <c r="AQ325" s="30">
        <f>IFERROR(__xludf.DUMMYFUNCTION("""COMPUTED_VALUE"""),0.674843452838049)</f>
        <v>0.6748434528</v>
      </c>
      <c r="AR325" s="30">
        <f>IFERROR(__xludf.DUMMYFUNCTION("""COMPUTED_VALUE"""),1.0487936730014333)</f>
        <v>1.048793673</v>
      </c>
      <c r="AS325" s="30">
        <f>IFERROR(__xludf.DUMMYFUNCTION("""COMPUTED_VALUE"""),102.0)</f>
        <v>102</v>
      </c>
      <c r="AT325" s="30">
        <f>IFERROR(__xludf.DUMMYFUNCTION("""COMPUTED_VALUE"""),0.5635478453373319)</f>
        <v>0.5635478453</v>
      </c>
      <c r="AU325" s="30">
        <f>IFERROR(__xludf.DUMMYFUNCTION("""COMPUTED_VALUE"""),1.8855429232423948)</f>
        <v>1.885542923</v>
      </c>
      <c r="AV325" s="32">
        <f>IFERROR(__xludf.DUMMYFUNCTION("""COMPUTED_VALUE"""),52.626101978529135)</f>
        <v>52.62610198</v>
      </c>
      <c r="AW325" s="32">
        <f>IFERROR(__xludf.DUMMYFUNCTION("""COMPUTED_VALUE"""),2.1825939977670177)</f>
        <v>2.182593998</v>
      </c>
      <c r="AX325" s="32">
        <f>IFERROR(__xludf.DUMMYFUNCTION("""COMPUTED_VALUE"""),43.73217477049523)</f>
        <v>43.73217477</v>
      </c>
      <c r="AY325" s="32">
        <f>IFERROR(__xludf.DUMMYFUNCTION("""COMPUTED_VALUE"""),-2.493653645276672)</f>
        <v>-2.493653645</v>
      </c>
      <c r="AZ325" s="30">
        <f>IFERROR(__xludf.DUMMYFUNCTION("""COMPUTED_VALUE"""),4.6762476430436895)</f>
        <v>4.676247643</v>
      </c>
      <c r="BA325" s="30">
        <f>IFERROR(__xludf.DUMMYFUNCTION("""COMPUTED_VALUE"""),1200.0)</f>
        <v>1200</v>
      </c>
    </row>
    <row r="326">
      <c r="A326" s="71" t="str">
        <f>IFERROR(__xludf.DUMMYFUNCTION("""COMPUTED_VALUE"""),"Veteran")</f>
        <v>Veteran</v>
      </c>
      <c r="B326" s="71" t="str">
        <f>IFERROR(__xludf.DUMMYFUNCTION("""COMPUTED_VALUE"""),"RSC001921")</f>
        <v>RSC001921</v>
      </c>
      <c r="C326" s="30" t="str">
        <f>IFERROR(__xludf.DUMMYFUNCTION("""COMPUTED_VALUE"""),"Dom")</f>
        <v>Dom</v>
      </c>
      <c r="D326" s="30" t="str">
        <f>IFERROR(__xludf.DUMMYFUNCTION("""COMPUTED_VALUE"""),"Kirin")</f>
        <v>Kirin</v>
      </c>
      <c r="E326" s="30">
        <f>IFERROR(__xludf.DUMMYFUNCTION("""COMPUTED_VALUE"""),25.0)</f>
        <v>25</v>
      </c>
      <c r="F326" s="30">
        <f>IFERROR(__xludf.DUMMYFUNCTION("""COMPUTED_VALUE"""),12.0)</f>
        <v>12</v>
      </c>
      <c r="G326" s="42">
        <f>IFERROR(__xludf.DUMMYFUNCTION("""COMPUTED_VALUE"""),13.0)</f>
        <v>13</v>
      </c>
      <c r="H326" s="42">
        <f>IFERROR(__xludf.DUMMYFUNCTION("""COMPUTED_VALUE"""),0.48)</f>
        <v>0.48</v>
      </c>
      <c r="I326" s="42">
        <f>IFERROR(__xludf.DUMMYFUNCTION("""COMPUTED_VALUE"""),0.41379310344827586)</f>
        <v>0.4137931034</v>
      </c>
      <c r="J326" s="30">
        <f>IFERROR(__xludf.DUMMYFUNCTION("""COMPUTED_VALUE"""),430.48)</f>
        <v>430.48</v>
      </c>
      <c r="K326" s="30">
        <f>IFERROR(__xludf.DUMMYFUNCTION("""COMPUTED_VALUE"""),0.96)</f>
        <v>0.96</v>
      </c>
      <c r="L326" s="30">
        <f>IFERROR(__xludf.DUMMYFUNCTION("""COMPUTED_VALUE"""),0.76)</f>
        <v>0.76</v>
      </c>
      <c r="M326" s="30">
        <f>IFERROR(__xludf.DUMMYFUNCTION("""COMPUTED_VALUE"""),1.76)</f>
        <v>1.76</v>
      </c>
      <c r="N326" s="30">
        <f>IFERROR(__xludf.DUMMYFUNCTION("""COMPUTED_VALUE"""),2.32)</f>
        <v>2.32</v>
      </c>
      <c r="O326" s="30">
        <f>IFERROR(__xludf.DUMMYFUNCTION("""COMPUTED_VALUE"""),377.3466666666667)</f>
        <v>377.3466667</v>
      </c>
      <c r="P326" s="30">
        <f>IFERROR(__xludf.DUMMYFUNCTION("""COMPUTED_VALUE"""),0.8)</f>
        <v>0.8</v>
      </c>
      <c r="Q326" s="30">
        <f>IFERROR(__xludf.DUMMYFUNCTION("""COMPUTED_VALUE"""),0.6266666666666667)</f>
        <v>0.6266666667</v>
      </c>
      <c r="R326" s="30">
        <f>IFERROR(__xludf.DUMMYFUNCTION("""COMPUTED_VALUE"""),1.2666666666666666)</f>
        <v>1.266666667</v>
      </c>
      <c r="S326" s="30">
        <f>IFERROR(__xludf.DUMMYFUNCTION("""COMPUTED_VALUE"""),2.9066666666666663)</f>
        <v>2.906666667</v>
      </c>
      <c r="T326" s="30">
        <f>IFERROR(__xludf.DUMMYFUNCTION("""COMPUTED_VALUE"""),376.68277686002284)</f>
        <v>376.6827769</v>
      </c>
      <c r="U326" s="30">
        <f>IFERROR(__xludf.DUMMYFUNCTION("""COMPUTED_VALUE"""),0.9003749003532426)</f>
        <v>0.9003749004</v>
      </c>
      <c r="V326" s="30">
        <f>IFERROR(__xludf.DUMMYFUNCTION("""COMPUTED_VALUE"""),0.6646645122209557)</f>
        <v>0.6646645122</v>
      </c>
      <c r="W326" s="30">
        <f>IFERROR(__xludf.DUMMYFUNCTION("""COMPUTED_VALUE"""),1.346471040100806)</f>
        <v>1.34647104</v>
      </c>
      <c r="X326" s="30">
        <f>IFERROR(__xludf.DUMMYFUNCTION("""COMPUTED_VALUE"""),2.907836641263367)</f>
        <v>2.907836641</v>
      </c>
      <c r="Y326" s="30">
        <f>IFERROR(__xludf.DUMMYFUNCTION("""COMPUTED_VALUE"""),356.4092425146035)</f>
        <v>356.4092425</v>
      </c>
      <c r="Z326" s="30">
        <f>IFERROR(__xludf.DUMMYFUNCTION("""COMPUTED_VALUE"""),0.7556613425942009)</f>
        <v>0.7556613426</v>
      </c>
      <c r="AA326" s="30">
        <f>IFERROR(__xludf.DUMMYFUNCTION("""COMPUTED_VALUE"""),0.557970327721722)</f>
        <v>0.5579703277</v>
      </c>
      <c r="AB326" s="30">
        <f>IFERROR(__xludf.DUMMYFUNCTION("""COMPUTED_VALUE"""),1.4527378756810736)</f>
        <v>1.452737876</v>
      </c>
      <c r="AC326" s="30">
        <f>IFERROR(__xludf.DUMMYFUNCTION("""COMPUTED_VALUE"""),2.5625067789430616)</f>
        <v>2.562506779</v>
      </c>
      <c r="AD326" s="30">
        <f>IFERROR(__xludf.DUMMYFUNCTION("""COMPUTED_VALUE"""),1.2078250186858204)</f>
        <v>1.207825019</v>
      </c>
      <c r="AE326" s="30">
        <f>IFERROR(__xludf.DUMMYFUNCTION("""COMPUTED_VALUE"""),1.2704103622719407)</f>
        <v>1.270410362</v>
      </c>
      <c r="AF326" s="30">
        <f>IFERROR(__xludf.DUMMYFUNCTION("""COMPUTED_VALUE"""),1.3620795985750642)</f>
        <v>1.362079599</v>
      </c>
      <c r="AG326" s="30">
        <f>IFERROR(__xludf.DUMMYFUNCTION("""COMPUTED_VALUE"""),1.2115055506313386)</f>
        <v>1.211505551</v>
      </c>
      <c r="AH326" s="30">
        <f>IFERROR(__xludf.DUMMYFUNCTION("""COMPUTED_VALUE"""),0.905363458572747)</f>
        <v>0.9053634586</v>
      </c>
      <c r="AI326" s="30">
        <f>IFERROR(__xludf.DUMMYFUNCTION("""COMPUTED_VALUE"""),1.001762463928343)</f>
        <v>1.001762464</v>
      </c>
      <c r="AJ326" s="30">
        <f>IFERROR(__xludf.DUMMYFUNCTION("""COMPUTED_VALUE"""),0.8885187711098314)</f>
        <v>0.8885187711</v>
      </c>
      <c r="AK326" s="30">
        <f>IFERROR(__xludf.DUMMYFUNCTION("""COMPUTED_VALUE"""),0.9428315415436874)</f>
        <v>0.9428315415</v>
      </c>
      <c r="AL326" s="30">
        <f>IFERROR(__xludf.DUMMYFUNCTION("""COMPUTED_VALUE"""),0.940730716771922)</f>
        <v>0.9407307168</v>
      </c>
      <c r="AM326" s="30">
        <f>IFERROR(__xludf.DUMMYFUNCTION("""COMPUTED_VALUE"""),0.9995976477563773)</f>
        <v>0.9995976478</v>
      </c>
      <c r="AN326" s="30">
        <f>IFERROR(__xludf.DUMMYFUNCTION("""COMPUTED_VALUE"""),1.24523112816329)</f>
        <v>1.245231128</v>
      </c>
      <c r="AO326" s="30">
        <f>IFERROR(__xludf.DUMMYFUNCTION("""COMPUTED_VALUE"""),1.2705757836916722)</f>
        <v>1.270575784</v>
      </c>
      <c r="AP326" s="30">
        <f>IFERROR(__xludf.DUMMYFUNCTION("""COMPUTED_VALUE"""),1.3672567049063187)</f>
        <v>1.367256705</v>
      </c>
      <c r="AQ326" s="30">
        <f>IFERROR(__xludf.DUMMYFUNCTION("""COMPUTED_VALUE"""),1.30084109385163)</f>
        <v>1.300841094</v>
      </c>
      <c r="AR326" s="30">
        <f>IFERROR(__xludf.DUMMYFUNCTION("""COMPUTED_VALUE"""),0.9099777299407559)</f>
        <v>0.9099777299</v>
      </c>
      <c r="AS326" s="30">
        <f>IFERROR(__xludf.DUMMYFUNCTION("""COMPUTED_VALUE"""),66.0)</f>
        <v>66</v>
      </c>
      <c r="AT326" s="30">
        <f>IFERROR(__xludf.DUMMYFUNCTION("""COMPUTED_VALUE"""),0.5378308469548927)</f>
        <v>0.537830847</v>
      </c>
      <c r="AU326" s="30">
        <f>IFERROR(__xludf.DUMMYFUNCTION("""COMPUTED_VALUE"""),2.6228096331756467)</f>
        <v>2.622809633</v>
      </c>
      <c r="AV326" s="32">
        <f>IFERROR(__xludf.DUMMYFUNCTION("""COMPUTED_VALUE"""),78.98493050249655)</f>
        <v>78.9849305</v>
      </c>
      <c r="AW326" s="32">
        <f>IFERROR(__xludf.DUMMYFUNCTION("""COMPUTED_VALUE"""),8.120366259964474)</f>
        <v>8.12036626</v>
      </c>
      <c r="AX326" s="32">
        <f>IFERROR(__xludf.DUMMYFUNCTION("""COMPUTED_VALUE"""),64.02676093238271)</f>
        <v>64.02676093</v>
      </c>
      <c r="AY326" s="32">
        <f>IFERROR(__xludf.DUMMYFUNCTION("""COMPUTED_VALUE"""),3.4797767185897)</f>
        <v>3.479776719</v>
      </c>
      <c r="AZ326" s="30">
        <f>IFERROR(__xludf.DUMMYFUNCTION("""COMPUTED_VALUE"""),4.640589541374774)</f>
        <v>4.640589541</v>
      </c>
      <c r="BA326" s="30">
        <f>IFERROR(__xludf.DUMMYFUNCTION("""COMPUTED_VALUE"""),1200.0)</f>
        <v>1200</v>
      </c>
    </row>
    <row r="327">
      <c r="A327" s="71" t="str">
        <f>IFERROR(__xludf.DUMMYFUNCTION("""COMPUTED_VALUE"""),"Veteran")</f>
        <v>Veteran</v>
      </c>
      <c r="B327" s="71" t="str">
        <f>IFERROR(__xludf.DUMMYFUNCTION("""COMPUTED_VALUE"""),"RSC007437")</f>
        <v>RSC007437</v>
      </c>
      <c r="C327" s="30" t="str">
        <f>IFERROR(__xludf.DUMMYFUNCTION("""COMPUTED_VALUE"""),"luckyy.12")</f>
        <v>luckyy.12</v>
      </c>
      <c r="D327" s="30" t="str">
        <f>IFERROR(__xludf.DUMMYFUNCTION("""COMPUTED_VALUE"""),"Mellow Fellows")</f>
        <v>Mellow Fellows</v>
      </c>
      <c r="E327" s="30">
        <f>IFERROR(__xludf.DUMMYFUNCTION("""COMPUTED_VALUE"""),46.0)</f>
        <v>46</v>
      </c>
      <c r="F327" s="30">
        <f>IFERROR(__xludf.DUMMYFUNCTION("""COMPUTED_VALUE"""),19.0)</f>
        <v>19</v>
      </c>
      <c r="G327" s="42">
        <f>IFERROR(__xludf.DUMMYFUNCTION("""COMPUTED_VALUE"""),27.0)</f>
        <v>27</v>
      </c>
      <c r="H327" s="42">
        <f>IFERROR(__xludf.DUMMYFUNCTION("""COMPUTED_VALUE"""),0.41304347826086957)</f>
        <v>0.4130434783</v>
      </c>
      <c r="I327" s="42">
        <f>IFERROR(__xludf.DUMMYFUNCTION("""COMPUTED_VALUE"""),0.20353982300884957)</f>
        <v>0.203539823</v>
      </c>
      <c r="J327" s="30">
        <f>IFERROR(__xludf.DUMMYFUNCTION("""COMPUTED_VALUE"""),356.80434782608694)</f>
        <v>356.8043478</v>
      </c>
      <c r="K327" s="30">
        <f>IFERROR(__xludf.DUMMYFUNCTION("""COMPUTED_VALUE"""),0.5)</f>
        <v>0.5</v>
      </c>
      <c r="L327" s="30">
        <f>IFERROR(__xludf.DUMMYFUNCTION("""COMPUTED_VALUE"""),0.6956521739130435)</f>
        <v>0.6956521739</v>
      </c>
      <c r="M327" s="30">
        <f>IFERROR(__xludf.DUMMYFUNCTION("""COMPUTED_VALUE"""),1.7391304347826086)</f>
        <v>1.739130435</v>
      </c>
      <c r="N327" s="30">
        <f>IFERROR(__xludf.DUMMYFUNCTION("""COMPUTED_VALUE"""),2.4565217391304346)</f>
        <v>2.456521739</v>
      </c>
      <c r="O327" s="30">
        <f>IFERROR(__xludf.DUMMYFUNCTION("""COMPUTED_VALUE"""),344.0144927536231)</f>
        <v>344.0144928</v>
      </c>
      <c r="P327" s="30">
        <f>IFERROR(__xludf.DUMMYFUNCTION("""COMPUTED_VALUE"""),0.7391304347826089)</f>
        <v>0.7391304348</v>
      </c>
      <c r="Q327" s="30">
        <f>IFERROR(__xludf.DUMMYFUNCTION("""COMPUTED_VALUE"""),0.536231884057971)</f>
        <v>0.5362318841</v>
      </c>
      <c r="R327" s="30">
        <f>IFERROR(__xludf.DUMMYFUNCTION("""COMPUTED_VALUE"""),1.3768115942028982)</f>
        <v>1.376811594</v>
      </c>
      <c r="S327" s="30">
        <f>IFERROR(__xludf.DUMMYFUNCTION("""COMPUTED_VALUE"""),2.731884057971015)</f>
        <v>2.731884058</v>
      </c>
      <c r="T327" s="30">
        <f>IFERROR(__xludf.DUMMYFUNCTION("""COMPUTED_VALUE"""),343.77403837383724)</f>
        <v>343.7740384</v>
      </c>
      <c r="U327" s="30">
        <f>IFERROR(__xludf.DUMMYFUNCTION("""COMPUTED_VALUE"""),0.7485092421454628)</f>
        <v>0.7485092421</v>
      </c>
      <c r="V327" s="30">
        <f>IFERROR(__xludf.DUMMYFUNCTION("""COMPUTED_VALUE"""),0.5544862270258314)</f>
        <v>0.554486227</v>
      </c>
      <c r="W327" s="30">
        <f>IFERROR(__xludf.DUMMYFUNCTION("""COMPUTED_VALUE"""),1.295361029465464)</f>
        <v>1.295361029</v>
      </c>
      <c r="X327" s="30">
        <f>IFERROR(__xludf.DUMMYFUNCTION("""COMPUTED_VALUE"""),2.589873470519489)</f>
        <v>2.589873471</v>
      </c>
      <c r="Y327" s="30">
        <f>IFERROR(__xludf.DUMMYFUNCTION("""COMPUTED_VALUE"""),345.028550380406)</f>
        <v>345.0285504</v>
      </c>
      <c r="Z327" s="30">
        <f>IFERROR(__xludf.DUMMYFUNCTION("""COMPUTED_VALUE"""),0.7373633515319599)</f>
        <v>0.7373633515</v>
      </c>
      <c r="AA327" s="30">
        <f>IFERROR(__xludf.DUMMYFUNCTION("""COMPUTED_VALUE"""),0.5454050238977632)</f>
        <v>0.5454050239</v>
      </c>
      <c r="AB327" s="30">
        <f>IFERROR(__xludf.DUMMYFUNCTION("""COMPUTED_VALUE"""),1.35292241974921)</f>
        <v>1.35292242</v>
      </c>
      <c r="AC327" s="30">
        <f>IFERROR(__xludf.DUMMYFUNCTION("""COMPUTED_VALUE"""),2.5023151418084906)</f>
        <v>2.502315142</v>
      </c>
      <c r="AD327" s="30">
        <f>IFERROR(__xludf.DUMMYFUNCTION("""COMPUTED_VALUE"""),1.0341299218070439)</f>
        <v>1.034129922</v>
      </c>
      <c r="AE327" s="30">
        <f>IFERROR(__xludf.DUMMYFUNCTION("""COMPUTED_VALUE"""),0.6780917426411154)</f>
        <v>0.6780917426</v>
      </c>
      <c r="AF327" s="30">
        <f>IFERROR(__xludf.DUMMYFUNCTION("""COMPUTED_VALUE"""),1.2754781188877429)</f>
        <v>1.275478119</v>
      </c>
      <c r="AG327" s="30">
        <f>IFERROR(__xludf.DUMMYFUNCTION("""COMPUTED_VALUE"""),1.2854620556180816)</f>
        <v>1.285462056</v>
      </c>
      <c r="AH327" s="30">
        <f>IFERROR(__xludf.DUMMYFUNCTION("""COMPUTED_VALUE"""),0.9816995861500643)</f>
        <v>0.9816995862</v>
      </c>
      <c r="AI327" s="30">
        <f>IFERROR(__xludf.DUMMYFUNCTION("""COMPUTED_VALUE"""),1.0006994547375458)</f>
        <v>1.000699455</v>
      </c>
      <c r="AJ327" s="30">
        <f>IFERROR(__xludf.DUMMYFUNCTION("""COMPUTED_VALUE"""),0.9874700179573317)</f>
        <v>0.987470018</v>
      </c>
      <c r="AK327" s="30">
        <f>IFERROR(__xludf.DUMMYFUNCTION("""COMPUTED_VALUE"""),0.9670788162480183)</f>
        <v>0.9670788162</v>
      </c>
      <c r="AL327" s="30">
        <f>IFERROR(__xludf.DUMMYFUNCTION("""COMPUTED_VALUE"""),1.0628786592190789)</f>
        <v>1.062878659</v>
      </c>
      <c r="AM327" s="30">
        <f>IFERROR(__xludf.DUMMYFUNCTION("""COMPUTED_VALUE"""),1.0548330214074284)</f>
        <v>1.054833021</v>
      </c>
      <c r="AN327" s="30">
        <f>IFERROR(__xludf.DUMMYFUNCTION("""COMPUTED_VALUE"""),1.0321127127324037)</f>
        <v>1.032112713</v>
      </c>
      <c r="AO327" s="30">
        <f>IFERROR(__xludf.DUMMYFUNCTION("""COMPUTED_VALUE"""),0.6617582206727459)</f>
        <v>0.6617582207</v>
      </c>
      <c r="AP327" s="30">
        <f>IFERROR(__xludf.DUMMYFUNCTION("""COMPUTED_VALUE"""),1.2514935514016647)</f>
        <v>1.251493551</v>
      </c>
      <c r="AQ327" s="30">
        <f>IFERROR(__xludf.DUMMYFUNCTION("""COMPUTED_VALUE"""),1.2854161006439029)</f>
        <v>1.285416101</v>
      </c>
      <c r="AR327" s="30">
        <f>IFERROR(__xludf.DUMMYFUNCTION("""COMPUTED_VALUE"""),0.9635258947086339)</f>
        <v>0.9635258947</v>
      </c>
      <c r="AS327" s="30">
        <f>IFERROR(__xludf.DUMMYFUNCTION("""COMPUTED_VALUE"""),82.0)</f>
        <v>82</v>
      </c>
      <c r="AT327" s="30">
        <f>IFERROR(__xludf.DUMMYFUNCTION("""COMPUTED_VALUE"""),0.4194815266441463)</f>
        <v>0.4194815266</v>
      </c>
      <c r="AU327" s="30">
        <f>IFERROR(__xludf.DUMMYFUNCTION("""COMPUTED_VALUE"""),1.758461517747474)</f>
        <v>1.758461518</v>
      </c>
      <c r="AV327" s="32">
        <f>IFERROR(__xludf.DUMMYFUNCTION("""COMPUTED_VALUE"""),48.08267565682711)</f>
        <v>48.08267566</v>
      </c>
      <c r="AW327" s="32">
        <f>IFERROR(__xludf.DUMMYFUNCTION("""COMPUTED_VALUE"""),-2.130225376017303)</f>
        <v>-2.130225376</v>
      </c>
      <c r="AX327" s="32">
        <f>IFERROR(__xludf.DUMMYFUNCTION("""COMPUTED_VALUE"""),55.717637934902775)</f>
        <v>55.71763793</v>
      </c>
      <c r="AY327" s="32">
        <f>IFERROR(__xludf.DUMMYFUNCTION("""COMPUTED_VALUE"""),2.441710849311219)</f>
        <v>2.441710849</v>
      </c>
      <c r="AZ327" s="30">
        <f>IFERROR(__xludf.DUMMYFUNCTION("""COMPUTED_VALUE"""),4.571936225328522)</f>
        <v>4.571936225</v>
      </c>
      <c r="BA327" s="30">
        <f>IFERROR(__xludf.DUMMYFUNCTION("""COMPUTED_VALUE"""),1200.0)</f>
        <v>1200</v>
      </c>
    </row>
    <row r="328">
      <c r="A328" s="71" t="str">
        <f>IFERROR(__xludf.DUMMYFUNCTION("""COMPUTED_VALUE"""),"Veteran")</f>
        <v>Veteran</v>
      </c>
      <c r="B328" s="71" t="str">
        <f>IFERROR(__xludf.DUMMYFUNCTION("""COMPUTED_VALUE"""),"RSC004220")</f>
        <v>RSC004220</v>
      </c>
      <c r="C328" s="30" t="str">
        <f>IFERROR(__xludf.DUMMYFUNCTION("""COMPUTED_VALUE"""),"Logixaal")</f>
        <v>Logixaal</v>
      </c>
      <c r="D328" s="30" t="str">
        <f>IFERROR(__xludf.DUMMYFUNCTION("""COMPUTED_VALUE"""),"Typhoons")</f>
        <v>Typhoons</v>
      </c>
      <c r="E328" s="30">
        <f>IFERROR(__xludf.DUMMYFUNCTION("""COMPUTED_VALUE"""),23.0)</f>
        <v>23</v>
      </c>
      <c r="F328" s="30">
        <f>IFERROR(__xludf.DUMMYFUNCTION("""COMPUTED_VALUE"""),14.0)</f>
        <v>14</v>
      </c>
      <c r="G328" s="42">
        <f>IFERROR(__xludf.DUMMYFUNCTION("""COMPUTED_VALUE"""),9.0)</f>
        <v>9</v>
      </c>
      <c r="H328" s="42">
        <f>IFERROR(__xludf.DUMMYFUNCTION("""COMPUTED_VALUE"""),0.6086956521739131)</f>
        <v>0.6086956522</v>
      </c>
      <c r="I328" s="42">
        <f>IFERROR(__xludf.DUMMYFUNCTION("""COMPUTED_VALUE"""),0.33999999999999997)</f>
        <v>0.34</v>
      </c>
      <c r="J328" s="30">
        <f>IFERROR(__xludf.DUMMYFUNCTION("""COMPUTED_VALUE"""),313.4782608695652)</f>
        <v>313.4782609</v>
      </c>
      <c r="K328" s="30">
        <f>IFERROR(__xludf.DUMMYFUNCTION("""COMPUTED_VALUE"""),0.7391304347826086)</f>
        <v>0.7391304348</v>
      </c>
      <c r="L328" s="30">
        <f>IFERROR(__xludf.DUMMYFUNCTION("""COMPUTED_VALUE"""),0.6086956521739131)</f>
        <v>0.6086956522</v>
      </c>
      <c r="M328" s="30">
        <f>IFERROR(__xludf.DUMMYFUNCTION("""COMPUTED_VALUE"""),1.0)</f>
        <v>1</v>
      </c>
      <c r="N328" s="30">
        <f>IFERROR(__xludf.DUMMYFUNCTION("""COMPUTED_VALUE"""),2.1739130434782608)</f>
        <v>2.173913043</v>
      </c>
      <c r="O328" s="30">
        <f>IFERROR(__xludf.DUMMYFUNCTION("""COMPUTED_VALUE"""),327.9130434782609)</f>
        <v>327.9130435</v>
      </c>
      <c r="P328" s="30">
        <f>IFERROR(__xludf.DUMMYFUNCTION("""COMPUTED_VALUE"""),0.6521739130434783)</f>
        <v>0.652173913</v>
      </c>
      <c r="Q328" s="30">
        <f>IFERROR(__xludf.DUMMYFUNCTION("""COMPUTED_VALUE"""),0.4927536231884058)</f>
        <v>0.4927536232</v>
      </c>
      <c r="R328" s="30">
        <f>IFERROR(__xludf.DUMMYFUNCTION("""COMPUTED_VALUE"""),1.333333333333333)</f>
        <v>1.333333333</v>
      </c>
      <c r="S328" s="30">
        <f>IFERROR(__xludf.DUMMYFUNCTION("""COMPUTED_VALUE"""),2.2028985507246377)</f>
        <v>2.202898551</v>
      </c>
      <c r="T328" s="30">
        <f>IFERROR(__xludf.DUMMYFUNCTION("""COMPUTED_VALUE"""),350.89778336279835)</f>
        <v>350.8977834</v>
      </c>
      <c r="U328" s="30">
        <f>IFERROR(__xludf.DUMMYFUNCTION("""COMPUTED_VALUE"""),0.7392775292836695)</f>
        <v>0.7392775293</v>
      </c>
      <c r="V328" s="30">
        <f>IFERROR(__xludf.DUMMYFUNCTION("""COMPUTED_VALUE"""),0.5665339252908053)</f>
        <v>0.5665339253</v>
      </c>
      <c r="W328" s="30">
        <f>IFERROR(__xludf.DUMMYFUNCTION("""COMPUTED_VALUE"""),1.363562871289467)</f>
        <v>1.363562871</v>
      </c>
      <c r="X328" s="30">
        <f>IFERROR(__xludf.DUMMYFUNCTION("""COMPUTED_VALUE"""),2.510299419738843)</f>
        <v>2.51029942</v>
      </c>
      <c r="Y328" s="30">
        <f>IFERROR(__xludf.DUMMYFUNCTION("""COMPUTED_VALUE"""),346.7022033465877)</f>
        <v>346.7022033</v>
      </c>
      <c r="Z328" s="30">
        <f>IFERROR(__xludf.DUMMYFUNCTION("""COMPUTED_VALUE"""),0.7363419696205041)</f>
        <v>0.7363419696</v>
      </c>
      <c r="AA328" s="30">
        <f>IFERROR(__xludf.DUMMYFUNCTION("""COMPUTED_VALUE"""),0.5495738867862945)</f>
        <v>0.5495738868</v>
      </c>
      <c r="AB328" s="30">
        <f>IFERROR(__xludf.DUMMYFUNCTION("""COMPUTED_VALUE"""),1.332114836448018)</f>
        <v>1.332114836</v>
      </c>
      <c r="AC328" s="30">
        <f>IFERROR(__xludf.DUMMYFUNCTION("""COMPUTED_VALUE"""),2.5883414625085788)</f>
        <v>2.588341463</v>
      </c>
      <c r="AD328" s="30">
        <f>IFERROR(__xludf.DUMMYFUNCTION("""COMPUTED_VALUE"""),0.9041715277367028)</f>
        <v>0.9041715277</v>
      </c>
      <c r="AE328" s="30">
        <f>IFERROR(__xludf.DUMMYFUNCTION("""COMPUTED_VALUE"""),1.0037869159672395)</f>
        <v>1.003786916</v>
      </c>
      <c r="AF328" s="30">
        <f>IFERROR(__xludf.DUMMYFUNCTION("""COMPUTED_VALUE"""),1.1075774646669274)</f>
        <v>1.107577465</v>
      </c>
      <c r="AG328" s="30">
        <f>IFERROR(__xludf.DUMMYFUNCTION("""COMPUTED_VALUE"""),0.7506860314433726)</f>
        <v>0.7506860314</v>
      </c>
      <c r="AH328" s="30">
        <f>IFERROR(__xludf.DUMMYFUNCTION("""COMPUTED_VALUE"""),0.8398864968037638)</f>
        <v>0.8398864968</v>
      </c>
      <c r="AI328" s="30">
        <f>IFERROR(__xludf.DUMMYFUNCTION("""COMPUTED_VALUE"""),0.9344973351946962)</f>
        <v>0.9344973352</v>
      </c>
      <c r="AJ328" s="30">
        <f>IFERROR(__xludf.DUMMYFUNCTION("""COMPUTED_VALUE"""),0.8821773788734101)</f>
        <v>0.8821773789</v>
      </c>
      <c r="AK328" s="30">
        <f>IFERROR(__xludf.DUMMYFUNCTION("""COMPUTED_VALUE"""),0.8697689603239073)</f>
        <v>0.8697689603</v>
      </c>
      <c r="AL328" s="30">
        <f>IFERROR(__xludf.DUMMYFUNCTION("""COMPUTED_VALUE"""),0.9778304773526526)</f>
        <v>0.9778304774</v>
      </c>
      <c r="AM328" s="30">
        <f>IFERROR(__xludf.DUMMYFUNCTION("""COMPUTED_VALUE"""),0.8775441421062888)</f>
        <v>0.8775441421</v>
      </c>
      <c r="AN328" s="30">
        <f>IFERROR(__xludf.DUMMYFUNCTION("""COMPUTED_VALUE"""),0.9067851896424335)</f>
        <v>0.9067851896</v>
      </c>
      <c r="AO328" s="30">
        <f>IFERROR(__xludf.DUMMYFUNCTION("""COMPUTED_VALUE"""),0.9782512827336244)</f>
        <v>0.9782512827</v>
      </c>
      <c r="AP328" s="30">
        <f>IFERROR(__xludf.DUMMYFUNCTION("""COMPUTED_VALUE"""),1.0950568574764568)</f>
        <v>1.095056857</v>
      </c>
      <c r="AQ328" s="30">
        <f>IFERROR(__xludf.DUMMYFUNCTION("""COMPUTED_VALUE"""),0.7391142578702442)</f>
        <v>0.7391142579</v>
      </c>
      <c r="AR328" s="30">
        <f>IFERROR(__xludf.DUMMYFUNCTION("""COMPUTED_VALUE"""),0.8526777829279947)</f>
        <v>0.8526777829</v>
      </c>
      <c r="AS328" s="30">
        <f>IFERROR(__xludf.DUMMYFUNCTION("""COMPUTED_VALUE"""),49.0)</f>
        <v>49</v>
      </c>
      <c r="AT328" s="30">
        <f>IFERROR(__xludf.DUMMYFUNCTION("""COMPUTED_VALUE"""),0.531845495444913)</f>
        <v>0.5318454954</v>
      </c>
      <c r="AU328" s="30">
        <f>IFERROR(__xludf.DUMMYFUNCTION("""COMPUTED_VALUE"""),1.9170445563002867)</f>
        <v>1.917044556</v>
      </c>
      <c r="AV328" s="32">
        <f>IFERROR(__xludf.DUMMYFUNCTION("""COMPUTED_VALUE"""),53.75235131653748)</f>
        <v>53.75235132</v>
      </c>
      <c r="AW328" s="32">
        <f>IFERROR(__xludf.DUMMYFUNCTION("""COMPUTED_VALUE"""),2.2709455814139163)</f>
        <v>2.270945581</v>
      </c>
      <c r="AX328" s="32">
        <f>IFERROR(__xludf.DUMMYFUNCTION("""COMPUTED_VALUE"""),46.321733075321376)</f>
        <v>46.32173308</v>
      </c>
      <c r="AY328" s="32">
        <f>IFERROR(__xludf.DUMMYFUNCTION("""COMPUTED_VALUE"""),-2.264931592762083)</f>
        <v>-2.264931593</v>
      </c>
      <c r="AZ328" s="30">
        <f>IFERROR(__xludf.DUMMYFUNCTION("""COMPUTED_VALUE"""),4.535877174175999)</f>
        <v>4.535877174</v>
      </c>
      <c r="BA328" s="30">
        <f>IFERROR(__xludf.DUMMYFUNCTION("""COMPUTED_VALUE"""),1200.0)</f>
        <v>1200</v>
      </c>
    </row>
    <row r="329">
      <c r="A329" s="71" t="str">
        <f>IFERROR(__xludf.DUMMYFUNCTION("""COMPUTED_VALUE"""),"Veteran")</f>
        <v>Veteran</v>
      </c>
      <c r="B329" s="71" t="str">
        <f>IFERROR(__xludf.DUMMYFUNCTION("""COMPUTED_VALUE"""),"RSC000698")</f>
        <v>RSC000698</v>
      </c>
      <c r="C329" s="30" t="str">
        <f>IFERROR(__xludf.DUMMYFUNCTION("""COMPUTED_VALUE"""),"Inedibledeer")</f>
        <v>Inedibledeer</v>
      </c>
      <c r="D329" s="30" t="str">
        <f>IFERROR(__xludf.DUMMYFUNCTION("""COMPUTED_VALUE"""),"Werewolves")</f>
        <v>Werewolves</v>
      </c>
      <c r="E329" s="30">
        <f>IFERROR(__xludf.DUMMYFUNCTION("""COMPUTED_VALUE"""),15.0)</f>
        <v>15</v>
      </c>
      <c r="F329" s="30">
        <f>IFERROR(__xludf.DUMMYFUNCTION("""COMPUTED_VALUE"""),8.0)</f>
        <v>8</v>
      </c>
      <c r="G329" s="42">
        <f>IFERROR(__xludf.DUMMYFUNCTION("""COMPUTED_VALUE"""),7.0)</f>
        <v>7</v>
      </c>
      <c r="H329" s="42">
        <f>IFERROR(__xludf.DUMMYFUNCTION("""COMPUTED_VALUE"""),0.5333333333333333)</f>
        <v>0.5333333333</v>
      </c>
      <c r="I329" s="42">
        <f>IFERROR(__xludf.DUMMYFUNCTION("""COMPUTED_VALUE"""),0.27027027027027023)</f>
        <v>0.2702702703</v>
      </c>
      <c r="J329" s="30">
        <f>IFERROR(__xludf.DUMMYFUNCTION("""COMPUTED_VALUE"""),296.6)</f>
        <v>296.6</v>
      </c>
      <c r="K329" s="30">
        <f>IFERROR(__xludf.DUMMYFUNCTION("""COMPUTED_VALUE"""),0.6666666666666666)</f>
        <v>0.6666666667</v>
      </c>
      <c r="L329" s="30">
        <f>IFERROR(__xludf.DUMMYFUNCTION("""COMPUTED_VALUE"""),0.3333333333333333)</f>
        <v>0.3333333333</v>
      </c>
      <c r="M329" s="30">
        <f>IFERROR(__xludf.DUMMYFUNCTION("""COMPUTED_VALUE"""),0.9333333333333333)</f>
        <v>0.9333333333</v>
      </c>
      <c r="N329" s="30">
        <f>IFERROR(__xludf.DUMMYFUNCTION("""COMPUTED_VALUE"""),2.466666666666667)</f>
        <v>2.466666667</v>
      </c>
      <c r="O329" s="30">
        <f>IFERROR(__xludf.DUMMYFUNCTION("""COMPUTED_VALUE"""),381.48888888888894)</f>
        <v>381.4888889</v>
      </c>
      <c r="P329" s="30">
        <f>IFERROR(__xludf.DUMMYFUNCTION("""COMPUTED_VALUE"""),0.8666666666666666)</f>
        <v>0.8666666667</v>
      </c>
      <c r="Q329" s="30">
        <f>IFERROR(__xludf.DUMMYFUNCTION("""COMPUTED_VALUE"""),0.5555555555555555)</f>
        <v>0.5555555556</v>
      </c>
      <c r="R329" s="30">
        <f>IFERROR(__xludf.DUMMYFUNCTION("""COMPUTED_VALUE"""),1.6444444444444446)</f>
        <v>1.644444444</v>
      </c>
      <c r="S329" s="30">
        <f>IFERROR(__xludf.DUMMYFUNCTION("""COMPUTED_VALUE"""),2.688888888888888)</f>
        <v>2.688888889</v>
      </c>
      <c r="T329" s="30">
        <f>IFERROR(__xludf.DUMMYFUNCTION("""COMPUTED_VALUE"""),354.1364768875783)</f>
        <v>354.1364769</v>
      </c>
      <c r="U329" s="30">
        <f>IFERROR(__xludf.DUMMYFUNCTION("""COMPUTED_VALUE"""),0.7869031305180355)</f>
        <v>0.7869031305</v>
      </c>
      <c r="V329" s="30">
        <f>IFERROR(__xludf.DUMMYFUNCTION("""COMPUTED_VALUE"""),0.5694458242735002)</f>
        <v>0.5694458243</v>
      </c>
      <c r="W329" s="30">
        <f>IFERROR(__xludf.DUMMYFUNCTION("""COMPUTED_VALUE"""),1.3480326173125785)</f>
        <v>1.348032617</v>
      </c>
      <c r="X329" s="30">
        <f>IFERROR(__xludf.DUMMYFUNCTION("""COMPUTED_VALUE"""),2.6905988968903176)</f>
        <v>2.690598897</v>
      </c>
      <c r="Y329" s="30">
        <f>IFERROR(__xludf.DUMMYFUNCTION("""COMPUTED_VALUE"""),345.7525925710291)</f>
        <v>345.7525926</v>
      </c>
      <c r="Z329" s="30">
        <f>IFERROR(__xludf.DUMMYFUNCTION("""COMPUTED_VALUE"""),0.7344505760158323)</f>
        <v>0.734450576</v>
      </c>
      <c r="AA329" s="30">
        <f>IFERROR(__xludf.DUMMYFUNCTION("""COMPUTED_VALUE"""),0.5431628790294345)</f>
        <v>0.543162879</v>
      </c>
      <c r="AB329" s="30">
        <f>IFERROR(__xludf.DUMMYFUNCTION("""COMPUTED_VALUE"""),1.347041513920099)</f>
        <v>1.347041514</v>
      </c>
      <c r="AC329" s="30">
        <f>IFERROR(__xludf.DUMMYFUNCTION("""COMPUTED_VALUE"""),2.5203368755529407)</f>
        <v>2.520336876</v>
      </c>
      <c r="AD329" s="30">
        <f>IFERROR(__xludf.DUMMYFUNCTION("""COMPUTED_VALUE"""),0.8578388315022353)</f>
        <v>0.8578388315</v>
      </c>
      <c r="AE329" s="30">
        <f>IFERROR(__xludf.DUMMYFUNCTION("""COMPUTED_VALUE"""),0.907708004374001)</f>
        <v>0.9077080044</v>
      </c>
      <c r="AF329" s="30">
        <f>IFERROR(__xludf.DUMMYFUNCTION("""COMPUTED_VALUE"""),0.6136894589132438)</f>
        <v>0.6136894589</v>
      </c>
      <c r="AG329" s="30">
        <f>IFERROR(__xludf.DUMMYFUNCTION("""COMPUTED_VALUE"""),0.6928764434417385)</f>
        <v>0.6928764434</v>
      </c>
      <c r="AH329" s="30">
        <f>IFERROR(__xludf.DUMMYFUNCTION("""COMPUTED_VALUE"""),0.978705144773752)</f>
        <v>0.9787051448</v>
      </c>
      <c r="AI329" s="30">
        <f>IFERROR(__xludf.DUMMYFUNCTION("""COMPUTED_VALUE"""),1.0772369235773296)</f>
        <v>1.077236924</v>
      </c>
      <c r="AJ329" s="30">
        <f>IFERROR(__xludf.DUMMYFUNCTION("""COMPUTED_VALUE"""),1.1013638566873167)</f>
        <v>1.101363857</v>
      </c>
      <c r="AK329" s="30">
        <f>IFERROR(__xludf.DUMMYFUNCTION("""COMPUTED_VALUE"""),0.9756073920892019)</f>
        <v>0.9756073921</v>
      </c>
      <c r="AL329" s="30">
        <f>IFERROR(__xludf.DUMMYFUNCTION("""COMPUTED_VALUE"""),1.2198847589628723)</f>
        <v>1.219884759</v>
      </c>
      <c r="AM329" s="30">
        <f>IFERROR(__xludf.DUMMYFUNCTION("""COMPUTED_VALUE"""),0.9993644507907121)</f>
        <v>0.9993644508</v>
      </c>
      <c r="AN329" s="30">
        <f>IFERROR(__xludf.DUMMYFUNCTION("""COMPUTED_VALUE"""),0.857962164591228)</f>
        <v>0.8579621646</v>
      </c>
      <c r="AO329" s="30">
        <f>IFERROR(__xludf.DUMMYFUNCTION("""COMPUTED_VALUE"""),0.8823442942303279)</f>
        <v>0.8823442942</v>
      </c>
      <c r="AP329" s="30">
        <f>IFERROR(__xludf.DUMMYFUNCTION("""COMPUTED_VALUE"""),0.5996739933799643)</f>
        <v>0.5996739934</v>
      </c>
      <c r="AQ329" s="30">
        <f>IFERROR(__xludf.DUMMYFUNCTION("""COMPUTED_VALUE"""),0.689839974012228)</f>
        <v>0.689839974</v>
      </c>
      <c r="AR329" s="30">
        <f>IFERROR(__xludf.DUMMYFUNCTION("""COMPUTED_VALUE"""),0.9675050576956313)</f>
        <v>0.9675050577</v>
      </c>
      <c r="AS329" s="30">
        <f>IFERROR(__xludf.DUMMYFUNCTION("""COMPUTED_VALUE"""),31.0)</f>
        <v>31</v>
      </c>
      <c r="AT329" s="30">
        <f>IFERROR(__xludf.DUMMYFUNCTION("""COMPUTED_VALUE"""),0.4116341426203425)</f>
        <v>0.4116341426</v>
      </c>
      <c r="AU329" s="30">
        <f>IFERROR(__xludf.DUMMYFUNCTION("""COMPUTED_VALUE"""),1.3304160699904246)</f>
        <v>1.33041607</v>
      </c>
      <c r="AV329" s="32">
        <f>IFERROR(__xludf.DUMMYFUNCTION("""COMPUTED_VALUE"""),32.77915468418696)</f>
        <v>32.77915468</v>
      </c>
      <c r="AW329" s="32">
        <f>IFERROR(__xludf.DUMMYFUNCTION("""COMPUTED_VALUE"""),-4.073918357953763)</f>
        <v>-4.073918358</v>
      </c>
      <c r="AX329" s="32">
        <f>IFERROR(__xludf.DUMMYFUNCTION("""COMPUTED_VALUE"""),20.316625027240313)</f>
        <v>20.31662503</v>
      </c>
      <c r="AY329" s="32">
        <f>IFERROR(__xludf.DUMMYFUNCTION("""COMPUTED_VALUE"""),-8.507180828584419)</f>
        <v>-8.507180829</v>
      </c>
      <c r="AZ329" s="30">
        <f>IFERROR(__xludf.DUMMYFUNCTION("""COMPUTED_VALUE"""),4.433262470630656)</f>
        <v>4.433262471</v>
      </c>
      <c r="BA329" s="30">
        <f>IFERROR(__xludf.DUMMYFUNCTION("""COMPUTED_VALUE"""),1200.0)</f>
        <v>1200</v>
      </c>
    </row>
    <row r="330">
      <c r="A330" s="71" t="str">
        <f>IFERROR(__xludf.DUMMYFUNCTION("""COMPUTED_VALUE"""),"Veteran")</f>
        <v>Veteran</v>
      </c>
      <c r="B330" s="71" t="str">
        <f>IFERROR(__xludf.DUMMYFUNCTION("""COMPUTED_VALUE"""),"RSC007479")</f>
        <v>RSC007479</v>
      </c>
      <c r="C330" s="30" t="str">
        <f>IFERROR(__xludf.DUMMYFUNCTION("""COMPUTED_VALUE"""),"Metatonixz")</f>
        <v>Metatonixz</v>
      </c>
      <c r="D330" s="30" t="str">
        <f>IFERROR(__xludf.DUMMYFUNCTION("""COMPUTED_VALUE"""),"Folks")</f>
        <v>Folks</v>
      </c>
      <c r="E330" s="30">
        <f>IFERROR(__xludf.DUMMYFUNCTION("""COMPUTED_VALUE"""),47.0)</f>
        <v>47</v>
      </c>
      <c r="F330" s="30">
        <f>IFERROR(__xludf.DUMMYFUNCTION("""COMPUTED_VALUE"""),26.0)</f>
        <v>26</v>
      </c>
      <c r="G330" s="42">
        <f>IFERROR(__xludf.DUMMYFUNCTION("""COMPUTED_VALUE"""),21.0)</f>
        <v>21</v>
      </c>
      <c r="H330" s="42">
        <f>IFERROR(__xludf.DUMMYFUNCTION("""COMPUTED_VALUE"""),0.5531914893617021)</f>
        <v>0.5531914894</v>
      </c>
      <c r="I330" s="42">
        <f>IFERROR(__xludf.DUMMYFUNCTION("""COMPUTED_VALUE"""),0.2931034482758621)</f>
        <v>0.2931034483</v>
      </c>
      <c r="J330" s="30">
        <f>IFERROR(__xludf.DUMMYFUNCTION("""COMPUTED_VALUE"""),330.0851063829787)</f>
        <v>330.0851064</v>
      </c>
      <c r="K330" s="30">
        <f>IFERROR(__xludf.DUMMYFUNCTION("""COMPUTED_VALUE"""),0.723404255319149)</f>
        <v>0.7234042553</v>
      </c>
      <c r="L330" s="30">
        <f>IFERROR(__xludf.DUMMYFUNCTION("""COMPUTED_VALUE"""),0.574468085106383)</f>
        <v>0.5744680851</v>
      </c>
      <c r="M330" s="30">
        <f>IFERROR(__xludf.DUMMYFUNCTION("""COMPUTED_VALUE"""),1.0638297872340425)</f>
        <v>1.063829787</v>
      </c>
      <c r="N330" s="30">
        <f>IFERROR(__xludf.DUMMYFUNCTION("""COMPUTED_VALUE"""),2.4680851063829787)</f>
        <v>2.468085106</v>
      </c>
      <c r="O330" s="30">
        <f>IFERROR(__xludf.DUMMYFUNCTION("""COMPUTED_VALUE"""),326.30496453900713)</f>
        <v>326.3049645</v>
      </c>
      <c r="P330" s="30">
        <f>IFERROR(__xludf.DUMMYFUNCTION("""COMPUTED_VALUE"""),0.6453900709219859)</f>
        <v>0.6453900709</v>
      </c>
      <c r="Q330" s="30">
        <f>IFERROR(__xludf.DUMMYFUNCTION("""COMPUTED_VALUE"""),0.5531914893617021)</f>
        <v>0.5531914894</v>
      </c>
      <c r="R330" s="30">
        <f>IFERROR(__xludf.DUMMYFUNCTION("""COMPUTED_VALUE"""),1.2907801418439715)</f>
        <v>1.290780142</v>
      </c>
      <c r="S330" s="30">
        <f>IFERROR(__xludf.DUMMYFUNCTION("""COMPUTED_VALUE"""),2.3404255319148937)</f>
        <v>2.340425532</v>
      </c>
      <c r="T330" s="30">
        <f>IFERROR(__xludf.DUMMYFUNCTION("""COMPUTED_VALUE"""),361.4904929770337)</f>
        <v>361.490493</v>
      </c>
      <c r="U330" s="30">
        <f>IFERROR(__xludf.DUMMYFUNCTION("""COMPUTED_VALUE"""),0.8217279043324477)</f>
        <v>0.8217279043</v>
      </c>
      <c r="V330" s="30">
        <f>IFERROR(__xludf.DUMMYFUNCTION("""COMPUTED_VALUE"""),0.5997913577336181)</f>
        <v>0.5997913577</v>
      </c>
      <c r="W330" s="30">
        <f>IFERROR(__xludf.DUMMYFUNCTION("""COMPUTED_VALUE"""),1.381391298365261)</f>
        <v>1.381391298</v>
      </c>
      <c r="X330" s="30">
        <f>IFERROR(__xludf.DUMMYFUNCTION("""COMPUTED_VALUE"""),2.6523564933120327)</f>
        <v>2.652356493</v>
      </c>
      <c r="Y330" s="30">
        <f>IFERROR(__xludf.DUMMYFUNCTION("""COMPUTED_VALUE"""),353.14016974336926)</f>
        <v>353.1401697</v>
      </c>
      <c r="Z330" s="30">
        <f>IFERROR(__xludf.DUMMYFUNCTION("""COMPUTED_VALUE"""),0.7890779256810576)</f>
        <v>0.7890779257</v>
      </c>
      <c r="AA330" s="30">
        <f>IFERROR(__xludf.DUMMYFUNCTION("""COMPUTED_VALUE"""),0.5673543175048155)</f>
        <v>0.5673543175</v>
      </c>
      <c r="AB330" s="30">
        <f>IFERROR(__xludf.DUMMYFUNCTION("""COMPUTED_VALUE"""),1.3434077840225198)</f>
        <v>1.343407784</v>
      </c>
      <c r="AC330" s="30">
        <f>IFERROR(__xludf.DUMMYFUNCTION("""COMPUTED_VALUE"""),2.6513318907708787)</f>
        <v>2.651331891</v>
      </c>
      <c r="AD330" s="30">
        <f>IFERROR(__xludf.DUMMYFUNCTION("""COMPUTED_VALUE"""),0.9347141295844511)</f>
        <v>0.9347141296</v>
      </c>
      <c r="AE330" s="30">
        <f>IFERROR(__xludf.DUMMYFUNCTION("""COMPUTED_VALUE"""),0.9167716289804644)</f>
        <v>0.916771629</v>
      </c>
      <c r="AF330" s="30">
        <f>IFERROR(__xludf.DUMMYFUNCTION("""COMPUTED_VALUE"""),1.0125384920535256)</f>
        <v>1.012538492</v>
      </c>
      <c r="AG330" s="30">
        <f>IFERROR(__xludf.DUMMYFUNCTION("""COMPUTED_VALUE"""),0.7918889557485319)</f>
        <v>0.7918889557</v>
      </c>
      <c r="AH330" s="30">
        <f>IFERROR(__xludf.DUMMYFUNCTION("""COMPUTED_VALUE"""),0.9308850072577596)</f>
        <v>0.9308850073</v>
      </c>
      <c r="AI330" s="30">
        <f>IFERROR(__xludf.DUMMYFUNCTION("""COMPUTED_VALUE"""),0.9026654113410889)</f>
        <v>0.9026654113</v>
      </c>
      <c r="AJ330" s="30">
        <f>IFERROR(__xludf.DUMMYFUNCTION("""COMPUTED_VALUE"""),0.7854060541442675)</f>
        <v>0.7854060541</v>
      </c>
      <c r="AK330" s="30">
        <f>IFERROR(__xludf.DUMMYFUNCTION("""COMPUTED_VALUE"""),0.9223065358127215)</f>
        <v>0.9223065358</v>
      </c>
      <c r="AL330" s="30">
        <f>IFERROR(__xludf.DUMMYFUNCTION("""COMPUTED_VALUE"""),0.9344058728120564)</f>
        <v>0.9344058728</v>
      </c>
      <c r="AM330" s="30">
        <f>IFERROR(__xludf.DUMMYFUNCTION("""COMPUTED_VALUE"""),0.8823947828341783)</f>
        <v>0.8823947828</v>
      </c>
      <c r="AN330" s="30">
        <f>IFERROR(__xludf.DUMMYFUNCTION("""COMPUTED_VALUE"""),0.9548231030737228)</f>
        <v>0.9548231031</v>
      </c>
      <c r="AO330" s="30">
        <f>IFERROR(__xludf.DUMMYFUNCTION("""COMPUTED_VALUE"""),0.9574374256541857)</f>
        <v>0.9574374257</v>
      </c>
      <c r="AP330" s="30">
        <f>IFERROR(__xludf.DUMMYFUNCTION("""COMPUTED_VALUE"""),1.0334807119952578)</f>
        <v>1.033480712</v>
      </c>
      <c r="AQ330" s="30">
        <f>IFERROR(__xludf.DUMMYFUNCTION("""COMPUTED_VALUE"""),0.7862917636917491)</f>
        <v>0.7862917637</v>
      </c>
      <c r="AR330" s="30">
        <f>IFERROR(__xludf.DUMMYFUNCTION("""COMPUTED_VALUE"""),0.9680614148305914)</f>
        <v>0.9680614148</v>
      </c>
      <c r="AS330" s="30">
        <f>IFERROR(__xludf.DUMMYFUNCTION("""COMPUTED_VALUE"""),112.0)</f>
        <v>112</v>
      </c>
      <c r="AT330" s="30">
        <f>IFERROR(__xludf.DUMMYFUNCTION("""COMPUTED_VALUE"""),0.5783458994568651)</f>
        <v>0.5783458995</v>
      </c>
      <c r="AU330" s="30">
        <f>IFERROR(__xludf.DUMMYFUNCTION("""COMPUTED_VALUE"""),1.9469920126939766)</f>
        <v>1.946992013</v>
      </c>
      <c r="AV330" s="32">
        <f>IFERROR(__xludf.DUMMYFUNCTION("""COMPUTED_VALUE"""),54.82303558476075)</f>
        <v>54.82303558</v>
      </c>
      <c r="AW330" s="32">
        <f>IFERROR(__xludf.DUMMYFUNCTION("""COMPUTED_VALUE"""),2.3612179209771127)</f>
        <v>2.361217921</v>
      </c>
      <c r="AX330" s="32">
        <f>IFERROR(__xludf.DUMMYFUNCTION("""COMPUTED_VALUE"""),49.7143941411494)</f>
        <v>49.71439414</v>
      </c>
      <c r="AY330" s="32">
        <f>IFERROR(__xludf.DUMMYFUNCTION("""COMPUTED_VALUE"""),-2.018397739676689)</f>
        <v>-2.01839774</v>
      </c>
      <c r="AZ330" s="30">
        <f>IFERROR(__xludf.DUMMYFUNCTION("""COMPUTED_VALUE"""),4.379615660653801)</f>
        <v>4.379615661</v>
      </c>
      <c r="BA330" s="30">
        <f>IFERROR(__xludf.DUMMYFUNCTION("""COMPUTED_VALUE"""),1200.0)</f>
        <v>1200</v>
      </c>
    </row>
    <row r="331">
      <c r="A331" s="71" t="str">
        <f>IFERROR(__xludf.DUMMYFUNCTION("""COMPUTED_VALUE"""),"Veteran")</f>
        <v>Veteran</v>
      </c>
      <c r="B331" s="71" t="str">
        <f>IFERROR(__xludf.DUMMYFUNCTION("""COMPUTED_VALUE"""),"RSC003405")</f>
        <v>RSC003405</v>
      </c>
      <c r="C331" s="30" t="str">
        <f>IFERROR(__xludf.DUMMYFUNCTION("""COMPUTED_VALUE"""),"Shai")</f>
        <v>Shai</v>
      </c>
      <c r="D331" s="30" t="str">
        <f>IFERROR(__xludf.DUMMYFUNCTION("""COMPUTED_VALUE"""),"Werewolves")</f>
        <v>Werewolves</v>
      </c>
      <c r="E331" s="30">
        <f>IFERROR(__xludf.DUMMYFUNCTION("""COMPUTED_VALUE"""),26.0)</f>
        <v>26</v>
      </c>
      <c r="F331" s="30">
        <f>IFERROR(__xludf.DUMMYFUNCTION("""COMPUTED_VALUE"""),10.0)</f>
        <v>10</v>
      </c>
      <c r="G331" s="42">
        <f>IFERROR(__xludf.DUMMYFUNCTION("""COMPUTED_VALUE"""),16.0)</f>
        <v>16</v>
      </c>
      <c r="H331" s="42">
        <f>IFERROR(__xludf.DUMMYFUNCTION("""COMPUTED_VALUE"""),0.38461538461538464)</f>
        <v>0.3846153846</v>
      </c>
      <c r="I331" s="42">
        <f>IFERROR(__xludf.DUMMYFUNCTION("""COMPUTED_VALUE"""),0.30136986301369867)</f>
        <v>0.301369863</v>
      </c>
      <c r="J331" s="30">
        <f>IFERROR(__xludf.DUMMYFUNCTION("""COMPUTED_VALUE"""),344.53846153846155)</f>
        <v>344.5384615</v>
      </c>
      <c r="K331" s="30">
        <f>IFERROR(__xludf.DUMMYFUNCTION("""COMPUTED_VALUE"""),0.8461538461538461)</f>
        <v>0.8461538462</v>
      </c>
      <c r="L331" s="30">
        <f>IFERROR(__xludf.DUMMYFUNCTION("""COMPUTED_VALUE"""),0.4230769230769231)</f>
        <v>0.4230769231</v>
      </c>
      <c r="M331" s="30">
        <f>IFERROR(__xludf.DUMMYFUNCTION("""COMPUTED_VALUE"""),1.3461538461538463)</f>
        <v>1.346153846</v>
      </c>
      <c r="N331" s="30">
        <f>IFERROR(__xludf.DUMMYFUNCTION("""COMPUTED_VALUE"""),2.8076923076923075)</f>
        <v>2.807692308</v>
      </c>
      <c r="O331" s="30">
        <f>IFERROR(__xludf.DUMMYFUNCTION("""COMPUTED_VALUE"""),386.3974358974359)</f>
        <v>386.3974359</v>
      </c>
      <c r="P331" s="30">
        <f>IFERROR(__xludf.DUMMYFUNCTION("""COMPUTED_VALUE"""),0.9230769230769234)</f>
        <v>0.9230769231</v>
      </c>
      <c r="Q331" s="30">
        <f>IFERROR(__xludf.DUMMYFUNCTION("""COMPUTED_VALUE"""),0.6538461538461539)</f>
        <v>0.6538461538</v>
      </c>
      <c r="R331" s="30">
        <f>IFERROR(__xludf.DUMMYFUNCTION("""COMPUTED_VALUE"""),1.551282051282051)</f>
        <v>1.551282051</v>
      </c>
      <c r="S331" s="30">
        <f>IFERROR(__xludf.DUMMYFUNCTION("""COMPUTED_VALUE"""),2.5641025641025643)</f>
        <v>2.564102564</v>
      </c>
      <c r="T331" s="30">
        <f>IFERROR(__xludf.DUMMYFUNCTION("""COMPUTED_VALUE"""),356.9377052505697)</f>
        <v>356.9377053</v>
      </c>
      <c r="U331" s="30">
        <f>IFERROR(__xludf.DUMMYFUNCTION("""COMPUTED_VALUE"""),0.8253066647920863)</f>
        <v>0.8253066648</v>
      </c>
      <c r="V331" s="30">
        <f>IFERROR(__xludf.DUMMYFUNCTION("""COMPUTED_VALUE"""),0.5866860035801696)</f>
        <v>0.5866860036</v>
      </c>
      <c r="W331" s="30">
        <f>IFERROR(__xludf.DUMMYFUNCTION("""COMPUTED_VALUE"""),1.3620843450765467)</f>
        <v>1.362084345</v>
      </c>
      <c r="X331" s="30">
        <f>IFERROR(__xludf.DUMMYFUNCTION("""COMPUTED_VALUE"""),2.6751966297964835)</f>
        <v>2.67519663</v>
      </c>
      <c r="Y331" s="30">
        <f>IFERROR(__xludf.DUMMYFUNCTION("""COMPUTED_VALUE"""),345.56294308794963)</f>
        <v>345.5629431</v>
      </c>
      <c r="Z331" s="30">
        <f>IFERROR(__xludf.DUMMYFUNCTION("""COMPUTED_VALUE"""),0.7344357275841168)</f>
        <v>0.7344357276</v>
      </c>
      <c r="AA331" s="30">
        <f>IFERROR(__xludf.DUMMYFUNCTION("""COMPUTED_VALUE"""),0.527875778542296)</f>
        <v>0.5278757785</v>
      </c>
      <c r="AB331" s="30">
        <f>IFERROR(__xludf.DUMMYFUNCTION("""COMPUTED_VALUE"""),1.372017083832593)</f>
        <v>1.372017084</v>
      </c>
      <c r="AC331" s="30">
        <f>IFERROR(__xludf.DUMMYFUNCTION("""COMPUTED_VALUE"""),2.525302975563954)</f>
        <v>2.525302976</v>
      </c>
      <c r="AD331" s="30">
        <f>IFERROR(__xludf.DUMMYFUNCTION("""COMPUTED_VALUE"""),0.9970353257778936)</f>
        <v>0.9970353258</v>
      </c>
      <c r="AE331" s="30">
        <f>IFERROR(__xludf.DUMMYFUNCTION("""COMPUTED_VALUE"""),1.1521142209914264)</f>
        <v>1.152114221</v>
      </c>
      <c r="AF331" s="30">
        <f>IFERROR(__xludf.DUMMYFUNCTION("""COMPUTED_VALUE"""),0.8014706115996267)</f>
        <v>0.8014706116</v>
      </c>
      <c r="AG331" s="30">
        <f>IFERROR(__xludf.DUMMYFUNCTION("""COMPUTED_VALUE"""),0.9811494783967993)</f>
        <v>0.9811494784</v>
      </c>
      <c r="AH331" s="30">
        <f>IFERROR(__xludf.DUMMYFUNCTION("""COMPUTED_VALUE"""),1.1118239414679698)</f>
        <v>1.111823941</v>
      </c>
      <c r="AI331" s="30">
        <f>IFERROR(__xludf.DUMMYFUNCTION("""COMPUTED_VALUE"""),1.0825346558055151)</f>
        <v>1.082534656</v>
      </c>
      <c r="AJ331" s="30">
        <f>IFERROR(__xludf.DUMMYFUNCTION("""COMPUTED_VALUE"""),1.1184653686390231)</f>
        <v>1.118465369</v>
      </c>
      <c r="AK331" s="30">
        <f>IFERROR(__xludf.DUMMYFUNCTION("""COMPUTED_VALUE"""),1.1144737557333033)</f>
        <v>1.114473756</v>
      </c>
      <c r="AL331" s="30">
        <f>IFERROR(__xludf.DUMMYFUNCTION("""COMPUTED_VALUE"""),1.1389030766629007)</f>
        <v>1.138903077</v>
      </c>
      <c r="AM331" s="30">
        <f>IFERROR(__xludf.DUMMYFUNCTION("""COMPUTED_VALUE"""),0.9584725606871108)</f>
        <v>0.9584725607</v>
      </c>
      <c r="AN331" s="30">
        <f>IFERROR(__xludf.DUMMYFUNCTION("""COMPUTED_VALUE"""),0.996631706832333)</f>
        <v>0.9966317068</v>
      </c>
      <c r="AO331" s="30">
        <f>IFERROR(__xludf.DUMMYFUNCTION("""COMPUTED_VALUE"""),1.1198985272923394)</f>
        <v>1.119898527</v>
      </c>
      <c r="AP331" s="30">
        <f>IFERROR(__xludf.DUMMYFUNCTION("""COMPUTED_VALUE"""),0.7611246839053394)</f>
        <v>0.7611246839</v>
      </c>
      <c r="AQ331" s="30">
        <f>IFERROR(__xludf.DUMMYFUNCTION("""COMPUTED_VALUE"""),0.994961500979175)</f>
        <v>0.994961501</v>
      </c>
      <c r="AR331" s="30">
        <f>IFERROR(__xludf.DUMMYFUNCTION("""COMPUTED_VALUE"""),1.1012661519508484)</f>
        <v>1.101266152</v>
      </c>
      <c r="AS331" s="30">
        <f>IFERROR(__xludf.DUMMYFUNCTION("""COMPUTED_VALUE"""),55.0)</f>
        <v>55</v>
      </c>
      <c r="AT331" s="30">
        <f>IFERROR(__xludf.DUMMYFUNCTION("""COMPUTED_VALUE"""),0.39541565061213135)</f>
        <v>0.3954156506</v>
      </c>
      <c r="AU331" s="30">
        <f>IFERROR(__xludf.DUMMYFUNCTION("""COMPUTED_VALUE"""),1.857529091498575)</f>
        <v>1.857529091</v>
      </c>
      <c r="AV331" s="32">
        <f>IFERROR(__xludf.DUMMYFUNCTION("""COMPUTED_VALUE"""),51.6245488400435)</f>
        <v>51.62454884</v>
      </c>
      <c r="AW331" s="32">
        <f>IFERROR(__xludf.DUMMYFUNCTION("""COMPUTED_VALUE"""),2.1092855235987003)</f>
        <v>2.109285524</v>
      </c>
      <c r="AX331" s="32">
        <f>IFERROR(__xludf.DUMMYFUNCTION("""COMPUTED_VALUE"""),46.32570583584217)</f>
        <v>46.32570584</v>
      </c>
      <c r="AY331" s="32">
        <f>IFERROR(__xludf.DUMMYFUNCTION("""COMPUTED_VALUE"""),-2.2646099192263884)</f>
        <v>-2.264609919</v>
      </c>
      <c r="AZ331" s="30">
        <f>IFERROR(__xludf.DUMMYFUNCTION("""COMPUTED_VALUE"""),4.373895442825089)</f>
        <v>4.373895443</v>
      </c>
      <c r="BA331" s="30">
        <f>IFERROR(__xludf.DUMMYFUNCTION("""COMPUTED_VALUE"""),1200.0)</f>
        <v>1200</v>
      </c>
    </row>
    <row r="332">
      <c r="A332" s="71" t="str">
        <f>IFERROR(__xludf.DUMMYFUNCTION("""COMPUTED_VALUE"""),"Veteran")</f>
        <v>Veteran</v>
      </c>
      <c r="B332" s="71" t="str">
        <f>IFERROR(__xludf.DUMMYFUNCTION("""COMPUTED_VALUE"""),"RSC007510")</f>
        <v>RSC007510</v>
      </c>
      <c r="C332" s="30" t="str">
        <f>IFERROR(__xludf.DUMMYFUNCTION("""COMPUTED_VALUE"""),"Faolaen")</f>
        <v>Faolaen</v>
      </c>
      <c r="D332" s="30" t="str">
        <f>IFERROR(__xludf.DUMMYFUNCTION("""COMPUTED_VALUE"""),"Dread")</f>
        <v>Dread</v>
      </c>
      <c r="E332" s="30">
        <f>IFERROR(__xludf.DUMMYFUNCTION("""COMPUTED_VALUE"""),28.0)</f>
        <v>28</v>
      </c>
      <c r="F332" s="30">
        <f>IFERROR(__xludf.DUMMYFUNCTION("""COMPUTED_VALUE"""),9.0)</f>
        <v>9</v>
      </c>
      <c r="G332" s="42">
        <f>IFERROR(__xludf.DUMMYFUNCTION("""COMPUTED_VALUE"""),19.0)</f>
        <v>19</v>
      </c>
      <c r="H332" s="42">
        <f>IFERROR(__xludf.DUMMYFUNCTION("""COMPUTED_VALUE"""),0.32142857142857145)</f>
        <v>0.3214285714</v>
      </c>
      <c r="I332" s="42">
        <f>IFERROR(__xludf.DUMMYFUNCTION("""COMPUTED_VALUE"""),0.2456140350877193)</f>
        <v>0.2456140351</v>
      </c>
      <c r="J332" s="30">
        <f>IFERROR(__xludf.DUMMYFUNCTION("""COMPUTED_VALUE"""),309.4642857142857)</f>
        <v>309.4642857</v>
      </c>
      <c r="K332" s="30">
        <f>IFERROR(__xludf.DUMMYFUNCTION("""COMPUTED_VALUE"""),0.5)</f>
        <v>0.5</v>
      </c>
      <c r="L332" s="30">
        <f>IFERROR(__xludf.DUMMYFUNCTION("""COMPUTED_VALUE"""),0.25)</f>
        <v>0.25</v>
      </c>
      <c r="M332" s="30">
        <f>IFERROR(__xludf.DUMMYFUNCTION("""COMPUTED_VALUE"""),1.4642857142857142)</f>
        <v>1.464285714</v>
      </c>
      <c r="N332" s="30">
        <f>IFERROR(__xludf.DUMMYFUNCTION("""COMPUTED_VALUE"""),2.0357142857142856)</f>
        <v>2.035714286</v>
      </c>
      <c r="O332" s="30">
        <f>IFERROR(__xludf.DUMMYFUNCTION("""COMPUTED_VALUE"""),343.0357142857142)</f>
        <v>343.0357143</v>
      </c>
      <c r="P332" s="30">
        <f>IFERROR(__xludf.DUMMYFUNCTION("""COMPUTED_VALUE"""),0.7857142857142856)</f>
        <v>0.7857142857</v>
      </c>
      <c r="Q332" s="30">
        <f>IFERROR(__xludf.DUMMYFUNCTION("""COMPUTED_VALUE"""),0.5595238095238095)</f>
        <v>0.5595238095</v>
      </c>
      <c r="R332" s="30">
        <f>IFERROR(__xludf.DUMMYFUNCTION("""COMPUTED_VALUE"""),1.1785714285714286)</f>
        <v>1.178571429</v>
      </c>
      <c r="S332" s="30">
        <f>IFERROR(__xludf.DUMMYFUNCTION("""COMPUTED_VALUE"""),2.6547619047619047)</f>
        <v>2.654761905</v>
      </c>
      <c r="T332" s="30">
        <f>IFERROR(__xludf.DUMMYFUNCTION("""COMPUTED_VALUE"""),352.61910471361756)</f>
        <v>352.6191047</v>
      </c>
      <c r="U332" s="30">
        <f>IFERROR(__xludf.DUMMYFUNCTION("""COMPUTED_VALUE"""),0.7832720861556507)</f>
        <v>0.7832720862</v>
      </c>
      <c r="V332" s="30">
        <f>IFERROR(__xludf.DUMMYFUNCTION("""COMPUTED_VALUE"""),0.5704913339002003)</f>
        <v>0.5704913339</v>
      </c>
      <c r="W332" s="30">
        <f>IFERROR(__xludf.DUMMYFUNCTION("""COMPUTED_VALUE"""),1.3462262064099537)</f>
        <v>1.346226206</v>
      </c>
      <c r="X332" s="30">
        <f>IFERROR(__xludf.DUMMYFUNCTION("""COMPUTED_VALUE"""),2.6280168107322766)</f>
        <v>2.628016811</v>
      </c>
      <c r="Y332" s="30">
        <f>IFERROR(__xludf.DUMMYFUNCTION("""COMPUTED_VALUE"""),351.5779238772372)</f>
        <v>351.5779239</v>
      </c>
      <c r="Z332" s="30">
        <f>IFERROR(__xludf.DUMMYFUNCTION("""COMPUTED_VALUE"""),0.7783442373961702)</f>
        <v>0.7783442374</v>
      </c>
      <c r="AA332" s="30">
        <f>IFERROR(__xludf.DUMMYFUNCTION("""COMPUTED_VALUE"""),0.5696429175714409)</f>
        <v>0.5696429176</v>
      </c>
      <c r="AB332" s="30">
        <f>IFERROR(__xludf.DUMMYFUNCTION("""COMPUTED_VALUE"""),1.363066458029143)</f>
        <v>1.363066458</v>
      </c>
      <c r="AC332" s="30">
        <f>IFERROR(__xludf.DUMMYFUNCTION("""COMPUTED_VALUE"""),2.6177423489915865)</f>
        <v>2.617742349</v>
      </c>
      <c r="AD332" s="30">
        <f>IFERROR(__xludf.DUMMYFUNCTION("""COMPUTED_VALUE"""),0.8802153511275168)</f>
        <v>0.8802153511</v>
      </c>
      <c r="AE332" s="30">
        <f>IFERROR(__xludf.DUMMYFUNCTION("""COMPUTED_VALUE"""),0.6423892873835263)</f>
        <v>0.6423892874</v>
      </c>
      <c r="AF332" s="30">
        <f>IFERROR(__xludf.DUMMYFUNCTION("""COMPUTED_VALUE"""),0.4388714267980811)</f>
        <v>0.4388714268</v>
      </c>
      <c r="AG332" s="30">
        <f>IFERROR(__xludf.DUMMYFUNCTION("""COMPUTED_VALUE"""),1.0742584894964873)</f>
        <v>1.074258489</v>
      </c>
      <c r="AH332" s="30">
        <f>IFERROR(__xludf.DUMMYFUNCTION("""COMPUTED_VALUE"""),0.7776602943748413)</f>
        <v>0.7776602944</v>
      </c>
      <c r="AI332" s="30">
        <f>IFERROR(__xludf.DUMMYFUNCTION("""COMPUTED_VALUE"""),0.9728222597703928)</f>
        <v>0.9728222598</v>
      </c>
      <c r="AJ332" s="30">
        <f>IFERROR(__xludf.DUMMYFUNCTION("""COMPUTED_VALUE"""),1.0031179453497716)</f>
        <v>1.003117945</v>
      </c>
      <c r="AK332" s="30">
        <f>IFERROR(__xludf.DUMMYFUNCTION("""COMPUTED_VALUE"""),0.9807753006493357)</f>
        <v>0.9807753006</v>
      </c>
      <c r="AL332" s="30">
        <f>IFERROR(__xludf.DUMMYFUNCTION("""COMPUTED_VALUE"""),0.8754631450195742)</f>
        <v>0.875463145</v>
      </c>
      <c r="AM332" s="30">
        <f>IFERROR(__xludf.DUMMYFUNCTION("""COMPUTED_VALUE"""),1.0101769113197476)</f>
        <v>1.010176911</v>
      </c>
      <c r="AN332" s="30">
        <f>IFERROR(__xludf.DUMMYFUNCTION("""COMPUTED_VALUE"""),0.8951741349801308)</f>
        <v>0.895174135</v>
      </c>
      <c r="AO332" s="30">
        <f>IFERROR(__xludf.DUMMYFUNCTION("""COMPUTED_VALUE"""),0.6617582206727459)</f>
        <v>0.6617582207</v>
      </c>
      <c r="AP332" s="30">
        <f>IFERROR(__xludf.DUMMYFUNCTION("""COMPUTED_VALUE"""),0.44975549503497325)</f>
        <v>0.449755495</v>
      </c>
      <c r="AQ332" s="30">
        <f>IFERROR(__xludf.DUMMYFUNCTION("""COMPUTED_VALUE"""),1.0822744490242862)</f>
        <v>1.082274449</v>
      </c>
      <c r="AR332" s="30">
        <f>IFERROR(__xludf.DUMMYFUNCTION("""COMPUTED_VALUE"""),0.7984718381561435)</f>
        <v>0.7984718382</v>
      </c>
      <c r="AS332" s="30">
        <f>IFERROR(__xludf.DUMMYFUNCTION("""COMPUTED_VALUE"""),46.0)</f>
        <v>46</v>
      </c>
      <c r="AT332" s="30">
        <f>IFERROR(__xludf.DUMMYFUNCTION("""COMPUTED_VALUE"""),0.3687877727288677)</f>
        <v>0.3687877727</v>
      </c>
      <c r="AU332" s="30">
        <f>IFERROR(__xludf.DUMMYFUNCTION("""COMPUTED_VALUE"""),0.9555234258205492)</f>
        <v>0.9555234258</v>
      </c>
      <c r="AV332" s="32">
        <f>IFERROR(__xludf.DUMMYFUNCTION("""COMPUTED_VALUE"""),19.37595772787095)</f>
        <v>19.37595773</v>
      </c>
      <c r="AW332" s="32">
        <f>IFERROR(__xludf.DUMMYFUNCTION("""COMPUTED_VALUE"""),-9.066608321874865)</f>
        <v>-9.066608322</v>
      </c>
      <c r="AX332" s="32">
        <f>IFERROR(__xludf.DUMMYFUNCTION("""COMPUTED_VALUE"""),29.550028616372018)</f>
        <v>29.55002862</v>
      </c>
      <c r="AY332" s="32">
        <f>IFERROR(__xludf.DUMMYFUNCTION("""COMPUTED_VALUE"""),-4.838422795450448)</f>
        <v>-4.838422795</v>
      </c>
      <c r="AZ332" s="30">
        <f>IFERROR(__xludf.DUMMYFUNCTION("""COMPUTED_VALUE"""),4.228185526424417)</f>
        <v>4.228185526</v>
      </c>
      <c r="BA332" s="30">
        <f>IFERROR(__xludf.DUMMYFUNCTION("""COMPUTED_VALUE"""),1200.0)</f>
        <v>1200</v>
      </c>
    </row>
    <row r="333">
      <c r="A333" s="71" t="str">
        <f>IFERROR(__xludf.DUMMYFUNCTION("""COMPUTED_VALUE"""),"Veteran")</f>
        <v>Veteran</v>
      </c>
      <c r="B333" s="71" t="str">
        <f>IFERROR(__xludf.DUMMYFUNCTION("""COMPUTED_VALUE"""),"RSC007231")</f>
        <v>RSC007231</v>
      </c>
      <c r="C333" s="30" t="str">
        <f>IFERROR(__xludf.DUMMYFUNCTION("""COMPUTED_VALUE"""),"BlitzzyG")</f>
        <v>BlitzzyG</v>
      </c>
      <c r="D333" s="30" t="str">
        <f>IFERROR(__xludf.DUMMYFUNCTION("""COMPUTED_VALUE"""),"Silver Dollar")</f>
        <v>Silver Dollar</v>
      </c>
      <c r="E333" s="30">
        <f>IFERROR(__xludf.DUMMYFUNCTION("""COMPUTED_VALUE"""),28.0)</f>
        <v>28</v>
      </c>
      <c r="F333" s="30">
        <f>IFERROR(__xludf.DUMMYFUNCTION("""COMPUTED_VALUE"""),17.0)</f>
        <v>17</v>
      </c>
      <c r="G333" s="42">
        <f>IFERROR(__xludf.DUMMYFUNCTION("""COMPUTED_VALUE"""),11.0)</f>
        <v>11</v>
      </c>
      <c r="H333" s="42">
        <f>IFERROR(__xludf.DUMMYFUNCTION("""COMPUTED_VALUE"""),0.6071428571428571)</f>
        <v>0.6071428571</v>
      </c>
      <c r="I333" s="42">
        <f>IFERROR(__xludf.DUMMYFUNCTION("""COMPUTED_VALUE"""),0.26470588235294124)</f>
        <v>0.2647058824</v>
      </c>
      <c r="J333" s="30">
        <f>IFERROR(__xludf.DUMMYFUNCTION("""COMPUTED_VALUE"""),323.07142857142856)</f>
        <v>323.0714286</v>
      </c>
      <c r="K333" s="30">
        <f>IFERROR(__xludf.DUMMYFUNCTION("""COMPUTED_VALUE"""),0.6428571428571429)</f>
        <v>0.6428571429</v>
      </c>
      <c r="L333" s="30">
        <f>IFERROR(__xludf.DUMMYFUNCTION("""COMPUTED_VALUE"""),0.6785714285714286)</f>
        <v>0.6785714286</v>
      </c>
      <c r="M333" s="30">
        <f>IFERROR(__xludf.DUMMYFUNCTION("""COMPUTED_VALUE"""),1.0)</f>
        <v>1</v>
      </c>
      <c r="N333" s="30">
        <f>IFERROR(__xludf.DUMMYFUNCTION("""COMPUTED_VALUE"""),2.4285714285714284)</f>
        <v>2.428571429</v>
      </c>
      <c r="O333" s="30">
        <f>IFERROR(__xludf.DUMMYFUNCTION("""COMPUTED_VALUE"""),328.4523809523809)</f>
        <v>328.452381</v>
      </c>
      <c r="P333" s="30">
        <f>IFERROR(__xludf.DUMMYFUNCTION("""COMPUTED_VALUE"""),0.6309523809523808)</f>
        <v>0.630952381</v>
      </c>
      <c r="Q333" s="30">
        <f>IFERROR(__xludf.DUMMYFUNCTION("""COMPUTED_VALUE"""),0.4523809523809523)</f>
        <v>0.4523809524</v>
      </c>
      <c r="R333" s="30">
        <f>IFERROR(__xludf.DUMMYFUNCTION("""COMPUTED_VALUE"""),1.273809523809524)</f>
        <v>1.273809524</v>
      </c>
      <c r="S333" s="30">
        <f>IFERROR(__xludf.DUMMYFUNCTION("""COMPUTED_VALUE"""),2.3214285714285707)</f>
        <v>2.321428571</v>
      </c>
      <c r="T333" s="30">
        <f>IFERROR(__xludf.DUMMYFUNCTION("""COMPUTED_VALUE"""),339.6513937974868)</f>
        <v>339.6513938</v>
      </c>
      <c r="U333" s="30">
        <f>IFERROR(__xludf.DUMMYFUNCTION("""COMPUTED_VALUE"""),0.7037586379341881)</f>
        <v>0.7037586379</v>
      </c>
      <c r="V333" s="30">
        <f>IFERROR(__xludf.DUMMYFUNCTION("""COMPUTED_VALUE"""),0.5074833735145424)</f>
        <v>0.5074833735</v>
      </c>
      <c r="W333" s="30">
        <f>IFERROR(__xludf.DUMMYFUNCTION("""COMPUTED_VALUE"""),1.3998919520185154)</f>
        <v>1.399891952</v>
      </c>
      <c r="X333" s="30">
        <f>IFERROR(__xludf.DUMMYFUNCTION("""COMPUTED_VALUE"""),2.449093409907723)</f>
        <v>2.44909341</v>
      </c>
      <c r="Y333" s="30">
        <f>IFERROR(__xludf.DUMMYFUNCTION("""COMPUTED_VALUE"""),359.31450649381816)</f>
        <v>359.3145065</v>
      </c>
      <c r="Z333" s="30">
        <f>IFERROR(__xludf.DUMMYFUNCTION("""COMPUTED_VALUE"""),0.8326756164907133)</f>
        <v>0.8326756165</v>
      </c>
      <c r="AA333" s="30">
        <f>IFERROR(__xludf.DUMMYFUNCTION("""COMPUTED_VALUE"""),0.6006680183458679)</f>
        <v>0.6006680183</v>
      </c>
      <c r="AB333" s="30">
        <f>IFERROR(__xludf.DUMMYFUNCTION("""COMPUTED_VALUE"""),1.3304529032609673)</f>
        <v>1.330452903</v>
      </c>
      <c r="AC333" s="30">
        <f>IFERROR(__xludf.DUMMYFUNCTION("""COMPUTED_VALUE"""),2.771209533511087)</f>
        <v>2.771209534</v>
      </c>
      <c r="AD333" s="30">
        <f>IFERROR(__xludf.DUMMYFUNCTION("""COMPUTED_VALUE"""),0.8991327172508323)</f>
        <v>0.8991327173</v>
      </c>
      <c r="AE333" s="30">
        <f>IFERROR(__xludf.DUMMYFUNCTION("""COMPUTED_VALUE"""),0.7720379102326129)</f>
        <v>0.7720379102</v>
      </c>
      <c r="AF333" s="30">
        <f>IFERROR(__xludf.DUMMYFUNCTION("""COMPUTED_VALUE"""),1.129694619733697)</f>
        <v>1.12969462</v>
      </c>
      <c r="AG333" s="30">
        <f>IFERROR(__xludf.DUMMYFUNCTION("""COMPUTED_VALUE"""),0.7516237497388893)</f>
        <v>0.7516237497</v>
      </c>
      <c r="AH333" s="30">
        <f>IFERROR(__xludf.DUMMYFUNCTION("""COMPUTED_VALUE"""),0.8763579221288472)</f>
        <v>0.8763579221</v>
      </c>
      <c r="AI333" s="30">
        <f>IFERROR(__xludf.DUMMYFUNCTION("""COMPUTED_VALUE"""),0.9670279202452408)</f>
        <v>0.9670279202</v>
      </c>
      <c r="AJ333" s="30">
        <f>IFERROR(__xludf.DUMMYFUNCTION("""COMPUTED_VALUE"""),0.8965465529552537)</f>
        <v>0.896546553</v>
      </c>
      <c r="AK333" s="30">
        <f>IFERROR(__xludf.DUMMYFUNCTION("""COMPUTED_VALUE"""),0.8914202434811175)</f>
        <v>0.8914202435</v>
      </c>
      <c r="AL333" s="30">
        <f>IFERROR(__xludf.DUMMYFUNCTION("""COMPUTED_VALUE"""),0.9099341716857561)</f>
        <v>0.9099341717</v>
      </c>
      <c r="AM333" s="30">
        <f>IFERROR(__xludf.DUMMYFUNCTION("""COMPUTED_VALUE"""),0.94787261361176)</f>
        <v>0.9478726136</v>
      </c>
      <c r="AN333" s="30">
        <f>IFERROR(__xludf.DUMMYFUNCTION("""COMPUTED_VALUE"""),0.9345349365297475)</f>
        <v>0.9345349365</v>
      </c>
      <c r="AO333" s="30">
        <f>IFERROR(__xludf.DUMMYFUNCTION("""COMPUTED_VALUE"""),0.8508319980078163)</f>
        <v>0.850831998</v>
      </c>
      <c r="AP333" s="30">
        <f>IFERROR(__xludf.DUMMYFUNCTION("""COMPUTED_VALUE"""),1.2207649150949276)</f>
        <v>1.220764915</v>
      </c>
      <c r="AQ333" s="30">
        <f>IFERROR(__xludf.DUMMYFUNCTION("""COMPUTED_VALUE"""),0.7391142578702442)</f>
        <v>0.7391142579</v>
      </c>
      <c r="AR333" s="30">
        <f>IFERROR(__xludf.DUMMYFUNCTION("""COMPUTED_VALUE"""),0.9525628946424168)</f>
        <v>0.9525628946</v>
      </c>
      <c r="AS333" s="30">
        <f>IFERROR(__xludf.DUMMYFUNCTION("""COMPUTED_VALUE"""),65.0)</f>
        <v>65</v>
      </c>
      <c r="AT333" s="30">
        <f>IFERROR(__xludf.DUMMYFUNCTION("""COMPUTED_VALUE"""),0.5764971914032754)</f>
        <v>0.5764971914</v>
      </c>
      <c r="AU333" s="30">
        <f>IFERROR(__xludf.DUMMYFUNCTION("""COMPUTED_VALUE"""),1.8063448750051558)</f>
        <v>1.806344875</v>
      </c>
      <c r="AV333" s="32">
        <f>IFERROR(__xludf.DUMMYFUNCTION("""COMPUTED_VALUE"""),49.79460593402811)</f>
        <v>49.79460593</v>
      </c>
      <c r="AW333" s="32">
        <f>IFERROR(__xludf.DUMMYFUNCTION("""COMPUTED_VALUE"""),-2.0131968200608457)</f>
        <v>-2.01319682</v>
      </c>
      <c r="AX333" s="32">
        <f>IFERROR(__xludf.DUMMYFUNCTION("""COMPUTED_VALUE"""),50.114186657157695)</f>
        <v>50.11418666</v>
      </c>
      <c r="AY333" s="32">
        <f>IFERROR(__xludf.DUMMYFUNCTION("""COMPUTED_VALUE"""),2.007315255292922)</f>
        <v>2.007315255</v>
      </c>
      <c r="AZ333" s="30">
        <f>IFERROR(__xludf.DUMMYFUNCTION("""COMPUTED_VALUE"""),4.020512075353768)</f>
        <v>4.020512075</v>
      </c>
      <c r="BA333" s="30">
        <f>IFERROR(__xludf.DUMMYFUNCTION("""COMPUTED_VALUE"""),1200.0)</f>
        <v>1200</v>
      </c>
    </row>
    <row r="334">
      <c r="A334" s="71" t="str">
        <f>IFERROR(__xludf.DUMMYFUNCTION("""COMPUTED_VALUE"""),"Veteran")</f>
        <v>Veteran</v>
      </c>
      <c r="B334" s="71" t="str">
        <f>IFERROR(__xludf.DUMMYFUNCTION("""COMPUTED_VALUE"""),"RSC006018")</f>
        <v>RSC006018</v>
      </c>
      <c r="C334" s="30" t="str">
        <f>IFERROR(__xludf.DUMMYFUNCTION("""COMPUTED_VALUE"""),"Braamse")</f>
        <v>Braamse</v>
      </c>
      <c r="D334" s="30" t="str">
        <f>IFERROR(__xludf.DUMMYFUNCTION("""COMPUTED_VALUE"""),"Blacksmiths")</f>
        <v>Blacksmiths</v>
      </c>
      <c r="E334" s="30">
        <f>IFERROR(__xludf.DUMMYFUNCTION("""COMPUTED_VALUE"""),12.0)</f>
        <v>12</v>
      </c>
      <c r="F334" s="30">
        <f>IFERROR(__xludf.DUMMYFUNCTION("""COMPUTED_VALUE"""),3.0)</f>
        <v>3</v>
      </c>
      <c r="G334" s="42">
        <f>IFERROR(__xludf.DUMMYFUNCTION("""COMPUTED_VALUE"""),9.0)</f>
        <v>9</v>
      </c>
      <c r="H334" s="42">
        <f>IFERROR(__xludf.DUMMYFUNCTION("""COMPUTED_VALUE"""),0.25)</f>
        <v>0.25</v>
      </c>
      <c r="I334" s="42">
        <f>IFERROR(__xludf.DUMMYFUNCTION("""COMPUTED_VALUE"""),0.2777777777777778)</f>
        <v>0.2777777778</v>
      </c>
      <c r="J334" s="30">
        <f>IFERROR(__xludf.DUMMYFUNCTION("""COMPUTED_VALUE"""),298.6666666666667)</f>
        <v>298.6666667</v>
      </c>
      <c r="K334" s="30">
        <f>IFERROR(__xludf.DUMMYFUNCTION("""COMPUTED_VALUE"""),0.4166666666666667)</f>
        <v>0.4166666667</v>
      </c>
      <c r="L334" s="30">
        <f>IFERROR(__xludf.DUMMYFUNCTION("""COMPUTED_VALUE"""),0.5)</f>
        <v>0.5</v>
      </c>
      <c r="M334" s="30">
        <f>IFERROR(__xludf.DUMMYFUNCTION("""COMPUTED_VALUE"""),1.75)</f>
        <v>1.75</v>
      </c>
      <c r="N334" s="30">
        <f>IFERROR(__xludf.DUMMYFUNCTION("""COMPUTED_VALUE"""),1.5)</f>
        <v>1.5</v>
      </c>
      <c r="O334" s="30">
        <f>IFERROR(__xludf.DUMMYFUNCTION("""COMPUTED_VALUE"""),400.97222222222223)</f>
        <v>400.9722222</v>
      </c>
      <c r="P334" s="30">
        <f>IFERROR(__xludf.DUMMYFUNCTION("""COMPUTED_VALUE"""),0.9166666666666665)</f>
        <v>0.9166666667</v>
      </c>
      <c r="Q334" s="30">
        <f>IFERROR(__xludf.DUMMYFUNCTION("""COMPUTED_VALUE"""),0.7777777777777778)</f>
        <v>0.7777777778</v>
      </c>
      <c r="R334" s="30">
        <f>IFERROR(__xludf.DUMMYFUNCTION("""COMPUTED_VALUE"""),1.4722222222222223)</f>
        <v>1.472222222</v>
      </c>
      <c r="S334" s="30">
        <f>IFERROR(__xludf.DUMMYFUNCTION("""COMPUTED_VALUE"""),3.222222222222222)</f>
        <v>3.222222222</v>
      </c>
      <c r="T334" s="30">
        <f>IFERROR(__xludf.DUMMYFUNCTION("""COMPUTED_VALUE"""),372.9404553989994)</f>
        <v>372.9404554</v>
      </c>
      <c r="U334" s="30">
        <f>IFERROR(__xludf.DUMMYFUNCTION("""COMPUTED_VALUE"""),0.8345234994754711)</f>
        <v>0.8345234995</v>
      </c>
      <c r="V334" s="30">
        <f>IFERROR(__xludf.DUMMYFUNCTION("""COMPUTED_VALUE"""),0.6808490862206736)</f>
        <v>0.6808490862</v>
      </c>
      <c r="W334" s="30">
        <f>IFERROR(__xludf.DUMMYFUNCTION("""COMPUTED_VALUE"""),1.4154149772071916)</f>
        <v>1.415414977</v>
      </c>
      <c r="X334" s="30">
        <f>IFERROR(__xludf.DUMMYFUNCTION("""COMPUTED_VALUE"""),2.853126928683046)</f>
        <v>2.853126929</v>
      </c>
      <c r="Y334" s="30">
        <f>IFERROR(__xludf.DUMMYFUNCTION("""COMPUTED_VALUE"""),361.7987128434424)</f>
        <v>361.7987128</v>
      </c>
      <c r="Z334" s="30">
        <f>IFERROR(__xludf.DUMMYFUNCTION("""COMPUTED_VALUE"""),0.8241166844427714)</f>
        <v>0.8241166844</v>
      </c>
      <c r="AA334" s="30">
        <f>IFERROR(__xludf.DUMMYFUNCTION("""COMPUTED_VALUE"""),0.6008426708544673)</f>
        <v>0.6008426709</v>
      </c>
      <c r="AB334" s="30">
        <f>IFERROR(__xludf.DUMMYFUNCTION("""COMPUTED_VALUE"""),1.33358086133617)</f>
        <v>1.333580861</v>
      </c>
      <c r="AC334" s="30">
        <f>IFERROR(__xludf.DUMMYFUNCTION("""COMPUTED_VALUE"""),2.7017676139474247)</f>
        <v>2.701767614</v>
      </c>
      <c r="AD334" s="30">
        <f>IFERROR(__xludf.DUMMYFUNCTION("""COMPUTED_VALUE"""),0.8255050558897532)</f>
        <v>0.8255050559</v>
      </c>
      <c r="AE334" s="30">
        <f>IFERROR(__xludf.DUMMYFUNCTION("""COMPUTED_VALUE"""),0.5055918349091512)</f>
        <v>0.5055918349</v>
      </c>
      <c r="AF334" s="30">
        <f>IFERROR(__xludf.DUMMYFUNCTION("""COMPUTED_VALUE"""),0.832164598577765)</f>
        <v>0.8321645986</v>
      </c>
      <c r="AG334" s="30">
        <f>IFERROR(__xludf.DUMMYFUNCTION("""COMPUTED_VALUE"""),1.3122563848483866)</f>
        <v>1.312256385</v>
      </c>
      <c r="AH334" s="30">
        <f>IFERROR(__xludf.DUMMYFUNCTION("""COMPUTED_VALUE"""),0.5551920869346795)</f>
        <v>0.5551920869</v>
      </c>
      <c r="AI334" s="30">
        <f>IFERROR(__xludf.DUMMYFUNCTION("""COMPUTED_VALUE"""),1.0751641888602093)</f>
        <v>1.075164189</v>
      </c>
      <c r="AJ334" s="30">
        <f>IFERROR(__xludf.DUMMYFUNCTION("""COMPUTED_VALUE"""),1.0984312212212424)</f>
        <v>1.098431221</v>
      </c>
      <c r="AK334" s="30">
        <f>IFERROR(__xludf.DUMMYFUNCTION("""COMPUTED_VALUE"""),1.1423644292381234)</f>
        <v>1.142364429</v>
      </c>
      <c r="AL334" s="30">
        <f>IFERROR(__xludf.DUMMYFUNCTION("""COMPUTED_VALUE"""),1.0401346926023909)</f>
        <v>1.040134693</v>
      </c>
      <c r="AM334" s="30">
        <f>IFERROR(__xludf.DUMMYFUNCTION("""COMPUTED_VALUE"""),1.1293651852038507)</f>
        <v>1.129365185</v>
      </c>
      <c r="AN334" s="30">
        <f>IFERROR(__xludf.DUMMYFUNCTION("""COMPUTED_VALUE"""),0.863940323076804)</f>
        <v>0.8639403231</v>
      </c>
      <c r="AO334" s="30">
        <f>IFERROR(__xludf.DUMMYFUNCTION("""COMPUTED_VALUE"""),0.551465183893955)</f>
        <v>0.5514651839</v>
      </c>
      <c r="AP334" s="30">
        <f>IFERROR(__xludf.DUMMYFUNCTION("""COMPUTED_VALUE"""),0.8995109900699465)</f>
        <v>0.8995109901</v>
      </c>
      <c r="AQ334" s="30">
        <f>IFERROR(__xludf.DUMMYFUNCTION("""COMPUTED_VALUE"""),1.2934499512729274)</f>
        <v>1.293449951</v>
      </c>
      <c r="AR334" s="30">
        <f>IFERROR(__xludf.DUMMYFUNCTION("""COMPUTED_VALUE"""),0.5883476702203163)</f>
        <v>0.5883476702</v>
      </c>
      <c r="AS334" s="30">
        <f>IFERROR(__xludf.DUMMYFUNCTION("""COMPUTED_VALUE"""),22.0)</f>
        <v>22</v>
      </c>
      <c r="AT334" s="30">
        <f>IFERROR(__xludf.DUMMYFUNCTION("""COMPUTED_VALUE"""),0.3480452142604796)</f>
        <v>0.3480452143</v>
      </c>
      <c r="AU334" s="30">
        <f>IFERROR(__xludf.DUMMYFUNCTION("""COMPUTED_VALUE"""),0.7748625583023969)</f>
        <v>0.7748625583</v>
      </c>
      <c r="AV334" s="32">
        <f>IFERROR(__xludf.DUMMYFUNCTION("""COMPUTED_VALUE"""),12.91695345744445)</f>
        <v>12.91695346</v>
      </c>
      <c r="AW334" s="32">
        <f>IFERROR(__xludf.DUMMYFUNCTION("""COMPUTED_VALUE"""),-14.493917688040089)</f>
        <v>-14.49391769</v>
      </c>
      <c r="AX334" s="32">
        <f>IFERROR(__xludf.DUMMYFUNCTION("""COMPUTED_VALUE"""),9.992512490465003)</f>
        <v>9.99251249</v>
      </c>
      <c r="AY334" s="32">
        <f>IFERROR(__xludf.DUMMYFUNCTION("""COMPUTED_VALUE"""),-18.259477790499794)</f>
        <v>-18.25947779</v>
      </c>
      <c r="AZ334" s="30">
        <f>IFERROR(__xludf.DUMMYFUNCTION("""COMPUTED_VALUE"""),3.7655601024597054)</f>
        <v>3.765560102</v>
      </c>
      <c r="BA334" s="30">
        <f>IFERROR(__xludf.DUMMYFUNCTION("""COMPUTED_VALUE"""),1200.0)</f>
        <v>1200</v>
      </c>
    </row>
    <row r="335">
      <c r="A335" s="71" t="str">
        <f>IFERROR(__xludf.DUMMYFUNCTION("""COMPUTED_VALUE"""),"Veteran")</f>
        <v>Veteran</v>
      </c>
      <c r="B335" s="71" t="str">
        <f>IFERROR(__xludf.DUMMYFUNCTION("""COMPUTED_VALUE"""),"RSC000645")</f>
        <v>RSC000645</v>
      </c>
      <c r="C335" s="30" t="str">
        <f>IFERROR(__xludf.DUMMYFUNCTION("""COMPUTED_VALUE"""),"DenZ")</f>
        <v>DenZ</v>
      </c>
      <c r="D335" s="30" t="str">
        <f>IFERROR(__xludf.DUMMYFUNCTION("""COMPUTED_VALUE"""),"Grizzly Bears")</f>
        <v>Grizzly Bears</v>
      </c>
      <c r="E335" s="30">
        <f>IFERROR(__xludf.DUMMYFUNCTION("""COMPUTED_VALUE"""),38.0)</f>
        <v>38</v>
      </c>
      <c r="F335" s="30">
        <f>IFERROR(__xludf.DUMMYFUNCTION("""COMPUTED_VALUE"""),21.0)</f>
        <v>21</v>
      </c>
      <c r="G335" s="42">
        <f>IFERROR(__xludf.DUMMYFUNCTION("""COMPUTED_VALUE"""),17.0)</f>
        <v>17</v>
      </c>
      <c r="H335" s="42">
        <f>IFERROR(__xludf.DUMMYFUNCTION("""COMPUTED_VALUE"""),0.5526315789473685)</f>
        <v>0.5526315789</v>
      </c>
      <c r="I335" s="42">
        <f>IFERROR(__xludf.DUMMYFUNCTION("""COMPUTED_VALUE"""),0.3392857142857143)</f>
        <v>0.3392857143</v>
      </c>
      <c r="J335" s="30">
        <f>IFERROR(__xludf.DUMMYFUNCTION("""COMPUTED_VALUE"""),394.5263157894737)</f>
        <v>394.5263158</v>
      </c>
      <c r="K335" s="30">
        <f>IFERROR(__xludf.DUMMYFUNCTION("""COMPUTED_VALUE"""),1.0)</f>
        <v>1</v>
      </c>
      <c r="L335" s="30">
        <f>IFERROR(__xludf.DUMMYFUNCTION("""COMPUTED_VALUE"""),0.6578947368421053)</f>
        <v>0.6578947368</v>
      </c>
      <c r="M335" s="30">
        <f>IFERROR(__xludf.DUMMYFUNCTION("""COMPUTED_VALUE"""),1.5263157894736843)</f>
        <v>1.526315789</v>
      </c>
      <c r="N335" s="30">
        <f>IFERROR(__xludf.DUMMYFUNCTION("""COMPUTED_VALUE"""),2.9473684210526314)</f>
        <v>2.947368421</v>
      </c>
      <c r="O335" s="30">
        <f>IFERROR(__xludf.DUMMYFUNCTION("""COMPUTED_VALUE"""),352.58771929824564)</f>
        <v>352.5877193</v>
      </c>
      <c r="P335" s="30">
        <f>IFERROR(__xludf.DUMMYFUNCTION("""COMPUTED_VALUE"""),0.8070175438596491)</f>
        <v>0.8070175439</v>
      </c>
      <c r="Q335" s="30">
        <f>IFERROR(__xludf.DUMMYFUNCTION("""COMPUTED_VALUE"""),0.5614035087719299)</f>
        <v>0.5614035088</v>
      </c>
      <c r="R335" s="30">
        <f>IFERROR(__xludf.DUMMYFUNCTION("""COMPUTED_VALUE"""),1.3771929824561404)</f>
        <v>1.377192982</v>
      </c>
      <c r="S335" s="30">
        <f>IFERROR(__xludf.DUMMYFUNCTION("""COMPUTED_VALUE"""),2.7280701754385968)</f>
        <v>2.728070175</v>
      </c>
      <c r="T335" s="30">
        <f>IFERROR(__xludf.DUMMYFUNCTION("""COMPUTED_VALUE"""),357.93032720190064)</f>
        <v>357.9303272</v>
      </c>
      <c r="U335" s="30">
        <f>IFERROR(__xludf.DUMMYFUNCTION("""COMPUTED_VALUE"""),0.8190357904193304)</f>
        <v>0.8190357904</v>
      </c>
      <c r="V335" s="30">
        <f>IFERROR(__xludf.DUMMYFUNCTION("""COMPUTED_VALUE"""),0.600645683218373)</f>
        <v>0.6006456832</v>
      </c>
      <c r="W335" s="30">
        <f>IFERROR(__xludf.DUMMYFUNCTION("""COMPUTED_VALUE"""),1.3680281502480043)</f>
        <v>1.36802815</v>
      </c>
      <c r="X335" s="30">
        <f>IFERROR(__xludf.DUMMYFUNCTION("""COMPUTED_VALUE"""),2.678924420283313)</f>
        <v>2.67892442</v>
      </c>
      <c r="Y335" s="30">
        <f>IFERROR(__xludf.DUMMYFUNCTION("""COMPUTED_VALUE"""),352.69957996989064)</f>
        <v>352.69958</v>
      </c>
      <c r="Z335" s="30">
        <f>IFERROR(__xludf.DUMMYFUNCTION("""COMPUTED_VALUE"""),0.7866275304247016)</f>
        <v>0.7866275304</v>
      </c>
      <c r="AA335" s="30">
        <f>IFERROR(__xludf.DUMMYFUNCTION("""COMPUTED_VALUE"""),0.5757513918840607)</f>
        <v>0.5757513919</v>
      </c>
      <c r="AB335" s="30">
        <f>IFERROR(__xludf.DUMMYFUNCTION("""COMPUTED_VALUE"""),1.3800329899152874)</f>
        <v>1.38003299</v>
      </c>
      <c r="AC335" s="30">
        <f>IFERROR(__xludf.DUMMYFUNCTION("""COMPUTED_VALUE"""),2.6512830095931257)</f>
        <v>2.65128301</v>
      </c>
      <c r="AD335" s="30">
        <f>IFERROR(__xludf.DUMMYFUNCTION("""COMPUTED_VALUE"""),1.1185902626341482)</f>
        <v>1.118590263</v>
      </c>
      <c r="AE335" s="30">
        <f>IFERROR(__xludf.DUMMYFUNCTION("""COMPUTED_VALUE"""),1.2712496846634624)</f>
        <v>1.271249685</v>
      </c>
      <c r="AF335" s="30">
        <f>IFERROR(__xludf.DUMMYFUNCTION("""COMPUTED_VALUE"""),1.142671552541528)</f>
        <v>1.142671553</v>
      </c>
      <c r="AG335" s="30">
        <f>IFERROR(__xludf.DUMMYFUNCTION("""COMPUTED_VALUE"""),1.1059994946695995)</f>
        <v>1.105999495</v>
      </c>
      <c r="AH335" s="30">
        <f>IFERROR(__xludf.DUMMYFUNCTION("""COMPUTED_VALUE"""),1.1116762753686351)</f>
        <v>1.111676275</v>
      </c>
      <c r="AI335" s="30">
        <f>IFERROR(__xludf.DUMMYFUNCTION("""COMPUTED_VALUE"""),0.9850736093098885)</f>
        <v>0.9850736093</v>
      </c>
      <c r="AJ335" s="30">
        <f>IFERROR(__xludf.DUMMYFUNCTION("""COMPUTED_VALUE"""),0.9853263475170869)</f>
        <v>0.9853263475</v>
      </c>
      <c r="AK335" s="30">
        <f>IFERROR(__xludf.DUMMYFUNCTION("""COMPUTED_VALUE"""),0.9346666836325601)</f>
        <v>0.9346666836</v>
      </c>
      <c r="AL335" s="30">
        <f>IFERROR(__xludf.DUMMYFUNCTION("""COMPUTED_VALUE"""),1.0066993008926568)</f>
        <v>1.006699301</v>
      </c>
      <c r="AM335" s="30">
        <f>IFERROR(__xludf.DUMMYFUNCTION("""COMPUTED_VALUE"""),1.0183453309780521)</f>
        <v>1.018345331</v>
      </c>
      <c r="AN335" s="30">
        <f>IFERROR(__xludf.DUMMYFUNCTION("""COMPUTED_VALUE"""),1.1412294399289926)</f>
        <v>1.14122944</v>
      </c>
      <c r="AO335" s="30">
        <f>IFERROR(__xludf.DUMMYFUNCTION("""COMPUTED_VALUE"""),1.3235164413454918)</f>
        <v>1.323516441</v>
      </c>
      <c r="AP335" s="30">
        <f>IFERROR(__xludf.DUMMYFUNCTION("""COMPUTED_VALUE"""),1.1835670921972983)</f>
        <v>1.183567092</v>
      </c>
      <c r="AQ335" s="30">
        <f>IFERROR(__xludf.DUMMYFUNCTION("""COMPUTED_VALUE"""),1.1281217620124782)</f>
        <v>1.128121762</v>
      </c>
      <c r="AR335" s="30">
        <f>IFERROR(__xludf.DUMMYFUNCTION("""COMPUTED_VALUE"""),1.1560515625381653)</f>
        <v>1.156051563</v>
      </c>
      <c r="AS335" s="30">
        <f>IFERROR(__xludf.DUMMYFUNCTION("""COMPUTED_VALUE"""),88.0)</f>
        <v>88</v>
      </c>
      <c r="AT335" s="30">
        <f>IFERROR(__xludf.DUMMYFUNCTION("""COMPUTED_VALUE"""),0.48264119864186195)</f>
        <v>0.4826411986</v>
      </c>
      <c r="AU335" s="30">
        <f>IFERROR(__xludf.DUMMYFUNCTION("""COMPUTED_VALUE"""),2.544921196795944)</f>
        <v>2.544921197</v>
      </c>
      <c r="AV335" s="32">
        <f>IFERROR(__xludf.DUMMYFUNCTION("""COMPUTED_VALUE"""),76.2002558238875)</f>
        <v>76.20025582</v>
      </c>
      <c r="AW335" s="32">
        <f>IFERROR(__xludf.DUMMYFUNCTION("""COMPUTED_VALUE"""),6.788085323559329)</f>
        <v>6.788085324</v>
      </c>
      <c r="AX335" s="32">
        <f>IFERROR(__xludf.DUMMYFUNCTION("""COMPUTED_VALUE"""),62.358988832373925)</f>
        <v>62.35898883</v>
      </c>
      <c r="AY335" s="32">
        <f>IFERROR(__xludf.DUMMYFUNCTION("""COMPUTED_VALUE"""),3.2203408400184803)</f>
        <v>3.22034084</v>
      </c>
      <c r="AZ335" s="30">
        <f>IFERROR(__xludf.DUMMYFUNCTION("""COMPUTED_VALUE"""),3.567744483540849)</f>
        <v>3.567744484</v>
      </c>
      <c r="BA335" s="30">
        <f>IFERROR(__xludf.DUMMYFUNCTION("""COMPUTED_VALUE"""),1200.0)</f>
        <v>1200</v>
      </c>
    </row>
    <row r="336">
      <c r="A336" s="71" t="str">
        <f>IFERROR(__xludf.DUMMYFUNCTION("""COMPUTED_VALUE"""),"Veteran")</f>
        <v>Veteran</v>
      </c>
      <c r="B336" s="71" t="str">
        <f>IFERROR(__xludf.DUMMYFUNCTION("""COMPUTED_VALUE"""),"RSC005257")</f>
        <v>RSC005257</v>
      </c>
      <c r="C336" s="30" t="str">
        <f>IFERROR(__xludf.DUMMYFUNCTION("""COMPUTED_VALUE"""),"P0pfgf")</f>
        <v>P0pfgf</v>
      </c>
      <c r="D336" s="30" t="str">
        <f>IFERROR(__xludf.DUMMYFUNCTION("""COMPUTED_VALUE"""),"Mosaic Maestros")</f>
        <v>Mosaic Maestros</v>
      </c>
      <c r="E336" s="30">
        <f>IFERROR(__xludf.DUMMYFUNCTION("""COMPUTED_VALUE"""),41.0)</f>
        <v>41</v>
      </c>
      <c r="F336" s="30">
        <f>IFERROR(__xludf.DUMMYFUNCTION("""COMPUTED_VALUE"""),24.0)</f>
        <v>24</v>
      </c>
      <c r="G336" s="42">
        <f>IFERROR(__xludf.DUMMYFUNCTION("""COMPUTED_VALUE"""),17.0)</f>
        <v>17</v>
      </c>
      <c r="H336" s="42">
        <f>IFERROR(__xludf.DUMMYFUNCTION("""COMPUTED_VALUE"""),0.5853658536585366)</f>
        <v>0.5853658537</v>
      </c>
      <c r="I336" s="42">
        <f>IFERROR(__xludf.DUMMYFUNCTION("""COMPUTED_VALUE"""),0.25757575757575757)</f>
        <v>0.2575757576</v>
      </c>
      <c r="J336" s="30">
        <f>IFERROR(__xludf.DUMMYFUNCTION("""COMPUTED_VALUE"""),377.3170731707317)</f>
        <v>377.3170732</v>
      </c>
      <c r="K336" s="30">
        <f>IFERROR(__xludf.DUMMYFUNCTION("""COMPUTED_VALUE"""),0.8292682926829268)</f>
        <v>0.8292682927</v>
      </c>
      <c r="L336" s="30">
        <f>IFERROR(__xludf.DUMMYFUNCTION("""COMPUTED_VALUE"""),0.8780487804878049)</f>
        <v>0.8780487805</v>
      </c>
      <c r="M336" s="30">
        <f>IFERROR(__xludf.DUMMYFUNCTION("""COMPUTED_VALUE"""),1.4146341463414633)</f>
        <v>1.414634146</v>
      </c>
      <c r="N336" s="30">
        <f>IFERROR(__xludf.DUMMYFUNCTION("""COMPUTED_VALUE"""),3.2195121951219514)</f>
        <v>3.219512195</v>
      </c>
      <c r="O336" s="30">
        <f>IFERROR(__xludf.DUMMYFUNCTION("""COMPUTED_VALUE"""),373.6260162601626)</f>
        <v>373.6260163</v>
      </c>
      <c r="P336" s="30">
        <f>IFERROR(__xludf.DUMMYFUNCTION("""COMPUTED_VALUE"""),0.8211382113821137)</f>
        <v>0.8211382114</v>
      </c>
      <c r="Q336" s="30">
        <f>IFERROR(__xludf.DUMMYFUNCTION("""COMPUTED_VALUE"""),0.5934959349593496)</f>
        <v>0.593495935</v>
      </c>
      <c r="R336" s="30">
        <f>IFERROR(__xludf.DUMMYFUNCTION("""COMPUTED_VALUE"""),1.5284552845528456)</f>
        <v>1.528455285</v>
      </c>
      <c r="S336" s="30">
        <f>IFERROR(__xludf.DUMMYFUNCTION("""COMPUTED_VALUE"""),2.5447154471544726)</f>
        <v>2.544715447</v>
      </c>
      <c r="T336" s="30">
        <f>IFERROR(__xludf.DUMMYFUNCTION("""COMPUTED_VALUE"""),354.7328716994595)</f>
        <v>354.7328717</v>
      </c>
      <c r="U336" s="30">
        <f>IFERROR(__xludf.DUMMYFUNCTION("""COMPUTED_VALUE"""),0.787627033659244)</f>
        <v>0.7876270337</v>
      </c>
      <c r="V336" s="30">
        <f>IFERROR(__xludf.DUMMYFUNCTION("""COMPUTED_VALUE"""),0.5874720298050133)</f>
        <v>0.5874720298</v>
      </c>
      <c r="W336" s="30">
        <f>IFERROR(__xludf.DUMMYFUNCTION("""COMPUTED_VALUE"""),1.398803885052322)</f>
        <v>1.398803885</v>
      </c>
      <c r="X336" s="30">
        <f>IFERROR(__xludf.DUMMYFUNCTION("""COMPUTED_VALUE"""),2.609401925083313)</f>
        <v>2.609401925</v>
      </c>
      <c r="Y336" s="30">
        <f>IFERROR(__xludf.DUMMYFUNCTION("""COMPUTED_VALUE"""),360.12292286351567)</f>
        <v>360.1229229</v>
      </c>
      <c r="Z336" s="30">
        <f>IFERROR(__xludf.DUMMYFUNCTION("""COMPUTED_VALUE"""),0.825189172922246)</f>
        <v>0.8251891729</v>
      </c>
      <c r="AA336" s="30">
        <f>IFERROR(__xludf.DUMMYFUNCTION("""COMPUTED_VALUE"""),0.5914069582967146)</f>
        <v>0.5914069583</v>
      </c>
      <c r="AB336" s="30">
        <f>IFERROR(__xludf.DUMMYFUNCTION("""COMPUTED_VALUE"""),1.3606754530362493)</f>
        <v>1.360675453</v>
      </c>
      <c r="AC336" s="30">
        <f>IFERROR(__xludf.DUMMYFUNCTION("""COMPUTED_VALUE"""),2.7095831375911015)</f>
        <v>2.709583138</v>
      </c>
      <c r="AD336" s="30">
        <f>IFERROR(__xludf.DUMMYFUNCTION("""COMPUTED_VALUE"""),1.0477452259092446)</f>
        <v>1.047745226</v>
      </c>
      <c r="AE336" s="30">
        <f>IFERROR(__xludf.DUMMYFUNCTION("""COMPUTED_VALUE"""),1.0049432540980092)</f>
        <v>1.004943254</v>
      </c>
      <c r="AF336" s="30">
        <f>IFERROR(__xludf.DUMMYFUNCTION("""COMPUTED_VALUE"""),1.4846777978680448)</f>
        <v>1.484677798</v>
      </c>
      <c r="AG336" s="30">
        <f>IFERROR(__xludf.DUMMYFUNCTION("""COMPUTED_VALUE"""),1.0396558144595092)</f>
        <v>1.039655814</v>
      </c>
      <c r="AH336" s="30">
        <f>IFERROR(__xludf.DUMMYFUNCTION("""COMPUTED_VALUE"""),1.1881946526963523)</f>
        <v>1.188194653</v>
      </c>
      <c r="AI336" s="30">
        <f>IFERROR(__xludf.DUMMYFUNCTION("""COMPUTED_VALUE"""),1.053260202445264)</f>
        <v>1.053260202</v>
      </c>
      <c r="AJ336" s="30">
        <f>IFERROR(__xludf.DUMMYFUNCTION("""COMPUTED_VALUE"""),1.0425470131048953)</f>
        <v>1.042547013</v>
      </c>
      <c r="AK336" s="30">
        <f>IFERROR(__xludf.DUMMYFUNCTION("""COMPUTED_VALUE"""),1.0102539437602427)</f>
        <v>1.010253944</v>
      </c>
      <c r="AL336" s="30">
        <f>IFERROR(__xludf.DUMMYFUNCTION("""COMPUTED_VALUE"""),1.092687331573771)</f>
        <v>1.092687332</v>
      </c>
      <c r="AM336" s="30">
        <f>IFERROR(__xludf.DUMMYFUNCTION("""COMPUTED_VALUE"""),0.9752102283258739)</f>
        <v>0.9752102283</v>
      </c>
      <c r="AN336" s="30">
        <f>IFERROR(__xludf.DUMMYFUNCTION("""COMPUTED_VALUE"""),1.0914489980943618)</f>
        <v>1.091448998</v>
      </c>
      <c r="AO336" s="30">
        <f>IFERROR(__xludf.DUMMYFUNCTION("""COMPUTED_VALUE"""),1.0975502196523592)</f>
        <v>1.09755022</v>
      </c>
      <c r="AP336" s="30">
        <f>IFERROR(__xludf.DUMMYFUNCTION("""COMPUTED_VALUE"""),1.5796290557325892)</f>
        <v>1.579629056</v>
      </c>
      <c r="AQ336" s="30">
        <f>IFERROR(__xludf.DUMMYFUNCTION("""COMPUTED_VALUE"""),1.045576267231077)</f>
        <v>1.045576267</v>
      </c>
      <c r="AR336" s="30">
        <f>IFERROR(__xludf.DUMMYFUNCTION("""COMPUTED_VALUE"""),1.2627949994972645)</f>
        <v>1.262794999</v>
      </c>
      <c r="AS336" s="30">
        <f>IFERROR(__xludf.DUMMYFUNCTION("""COMPUTED_VALUE"""),112.0)</f>
        <v>112</v>
      </c>
      <c r="AT336" s="30">
        <f>IFERROR(__xludf.DUMMYFUNCTION("""COMPUTED_VALUE"""),0.5413762666292917)</f>
        <v>0.5413762666</v>
      </c>
      <c r="AU336" s="30">
        <f>IFERROR(__xludf.DUMMYFUNCTION("""COMPUTED_VALUE"""),2.495969527282474)</f>
        <v>2.495969527</v>
      </c>
      <c r="AV336" s="32">
        <f>IFERROR(__xludf.DUMMYFUNCTION("""COMPUTED_VALUE"""),74.45013114677533)</f>
        <v>74.45013115</v>
      </c>
      <c r="AW336" s="32">
        <f>IFERROR(__xludf.DUMMYFUNCTION("""COMPUTED_VALUE"""),6.096227805784986)</f>
        <v>6.096227806</v>
      </c>
      <c r="AX336" s="32">
        <f>IFERROR(__xludf.DUMMYFUNCTION("""COMPUTED_VALUE"""),60.43609759480035)</f>
        <v>60.43609759</v>
      </c>
      <c r="AY336" s="32">
        <f>IFERROR(__xludf.DUMMYFUNCTION("""COMPUTED_VALUE"""),2.9570324813836213)</f>
        <v>2.957032481</v>
      </c>
      <c r="AZ336" s="30">
        <f>IFERROR(__xludf.DUMMYFUNCTION("""COMPUTED_VALUE"""),3.139195324401365)</f>
        <v>3.139195324</v>
      </c>
      <c r="BA336" s="30">
        <f>IFERROR(__xludf.DUMMYFUNCTION("""COMPUTED_VALUE"""),1200.0)</f>
        <v>1200</v>
      </c>
    </row>
    <row r="337">
      <c r="A337" s="71" t="str">
        <f>IFERROR(__xludf.DUMMYFUNCTION("""COMPUTED_VALUE"""),"Veteran")</f>
        <v>Veteran</v>
      </c>
      <c r="B337" s="71" t="str">
        <f>IFERROR(__xludf.DUMMYFUNCTION("""COMPUTED_VALUE"""),"RSC005267")</f>
        <v>RSC005267</v>
      </c>
      <c r="C337" s="30" t="str">
        <f>IFERROR(__xludf.DUMMYFUNCTION("""COMPUTED_VALUE"""),"jj.dunbar")</f>
        <v>jj.dunbar</v>
      </c>
      <c r="D337" s="30" t="str">
        <f>IFERROR(__xludf.DUMMYFUNCTION("""COMPUTED_VALUE"""),"Banshees")</f>
        <v>Banshees</v>
      </c>
      <c r="E337" s="30">
        <f>IFERROR(__xludf.DUMMYFUNCTION("""COMPUTED_VALUE"""),21.0)</f>
        <v>21</v>
      </c>
      <c r="F337" s="30">
        <f>IFERROR(__xludf.DUMMYFUNCTION("""COMPUTED_VALUE"""),6.0)</f>
        <v>6</v>
      </c>
      <c r="G337" s="42">
        <f>IFERROR(__xludf.DUMMYFUNCTION("""COMPUTED_VALUE"""),15.0)</f>
        <v>15</v>
      </c>
      <c r="H337" s="42">
        <f>IFERROR(__xludf.DUMMYFUNCTION("""COMPUTED_VALUE"""),0.2857142857142857)</f>
        <v>0.2857142857</v>
      </c>
      <c r="I337" s="42">
        <f>IFERROR(__xludf.DUMMYFUNCTION("""COMPUTED_VALUE"""),0.30303030303030304)</f>
        <v>0.303030303</v>
      </c>
      <c r="J337" s="30">
        <f>IFERROR(__xludf.DUMMYFUNCTION("""COMPUTED_VALUE"""),260.7142857142857)</f>
        <v>260.7142857</v>
      </c>
      <c r="K337" s="30">
        <f>IFERROR(__xludf.DUMMYFUNCTION("""COMPUTED_VALUE"""),0.47619047619047616)</f>
        <v>0.4761904762</v>
      </c>
      <c r="L337" s="30">
        <f>IFERROR(__xludf.DUMMYFUNCTION("""COMPUTED_VALUE"""),0.42857142857142855)</f>
        <v>0.4285714286</v>
      </c>
      <c r="M337" s="30">
        <f>IFERROR(__xludf.DUMMYFUNCTION("""COMPUTED_VALUE"""),0.9047619047619048)</f>
        <v>0.9047619048</v>
      </c>
      <c r="N337" s="30">
        <f>IFERROR(__xludf.DUMMYFUNCTION("""COMPUTED_VALUE"""),1.5714285714285714)</f>
        <v>1.571428571</v>
      </c>
      <c r="O337" s="30">
        <f>IFERROR(__xludf.DUMMYFUNCTION("""COMPUTED_VALUE"""),340.4761904761904)</f>
        <v>340.4761905</v>
      </c>
      <c r="P337" s="30">
        <f>IFERROR(__xludf.DUMMYFUNCTION("""COMPUTED_VALUE"""),0.8253968253968255)</f>
        <v>0.8253968254</v>
      </c>
      <c r="Q337" s="30">
        <f>IFERROR(__xludf.DUMMYFUNCTION("""COMPUTED_VALUE"""),0.619047619047619)</f>
        <v>0.619047619</v>
      </c>
      <c r="R337" s="30">
        <f>IFERROR(__xludf.DUMMYFUNCTION("""COMPUTED_VALUE"""),1.111111111111111)</f>
        <v>1.111111111</v>
      </c>
      <c r="S337" s="30">
        <f>IFERROR(__xludf.DUMMYFUNCTION("""COMPUTED_VALUE"""),2.682539682539683)</f>
        <v>2.682539683</v>
      </c>
      <c r="T337" s="30">
        <f>IFERROR(__xludf.DUMMYFUNCTION("""COMPUTED_VALUE"""),347.4459091129756)</f>
        <v>347.4459091</v>
      </c>
      <c r="U337" s="30">
        <f>IFERROR(__xludf.DUMMYFUNCTION("""COMPUTED_VALUE"""),0.7632359432730282)</f>
        <v>0.7632359433</v>
      </c>
      <c r="V337" s="30">
        <f>IFERROR(__xludf.DUMMYFUNCTION("""COMPUTED_VALUE"""),0.529222444146253)</f>
        <v>0.5292224441</v>
      </c>
      <c r="W337" s="30">
        <f>IFERROR(__xludf.DUMMYFUNCTION("""COMPUTED_VALUE"""),1.3871796575735873)</f>
        <v>1.387179658</v>
      </c>
      <c r="X337" s="30">
        <f>IFERROR(__xludf.DUMMYFUNCTION("""COMPUTED_VALUE"""),2.5305933466137747)</f>
        <v>2.530593347</v>
      </c>
      <c r="Y337" s="30">
        <f>IFERROR(__xludf.DUMMYFUNCTION("""COMPUTED_VALUE"""),360.6404054711352)</f>
        <v>360.6404055</v>
      </c>
      <c r="Z337" s="30">
        <f>IFERROR(__xludf.DUMMYFUNCTION("""COMPUTED_VALUE"""),0.8286453514323536)</f>
        <v>0.8286453514</v>
      </c>
      <c r="AA337" s="30">
        <f>IFERROR(__xludf.DUMMYFUNCTION("""COMPUTED_VALUE"""),0.6081267967679695)</f>
        <v>0.6081267968</v>
      </c>
      <c r="AB337" s="30">
        <f>IFERROR(__xludf.DUMMYFUNCTION("""COMPUTED_VALUE"""),1.3304905387025239)</f>
        <v>1.330490539</v>
      </c>
      <c r="AC337" s="30">
        <f>IFERROR(__xludf.DUMMYFUNCTION("""COMPUTED_VALUE"""),2.7244346694054475)</f>
        <v>2.724434669</v>
      </c>
      <c r="AD337" s="30">
        <f>IFERROR(__xludf.DUMMYFUNCTION("""COMPUTED_VALUE"""),0.7229203432535312)</f>
        <v>0.7229203433</v>
      </c>
      <c r="AE337" s="30">
        <f>IFERROR(__xludf.DUMMYFUNCTION("""COMPUTED_VALUE"""),0.5746613739730246)</f>
        <v>0.574661374</v>
      </c>
      <c r="AF337" s="30">
        <f>IFERROR(__xludf.DUMMYFUNCTION("""COMPUTED_VALUE"""),0.7047402463584411)</f>
        <v>0.7047402464</v>
      </c>
      <c r="AG337" s="30">
        <f>IFERROR(__xludf.DUMMYFUNCTION("""COMPUTED_VALUE"""),0.6800212992451763)</f>
        <v>0.6800212992</v>
      </c>
      <c r="AH337" s="30">
        <f>IFERROR(__xludf.DUMMYFUNCTION("""COMPUTED_VALUE"""),0.5767906968279418)</f>
        <v>0.5767906968</v>
      </c>
      <c r="AI337" s="30">
        <f>IFERROR(__xludf.DUMMYFUNCTION("""COMPUTED_VALUE"""),0.9799401332582135)</f>
        <v>0.9799401333</v>
      </c>
      <c r="AJ337" s="30">
        <f>IFERROR(__xludf.DUMMYFUNCTION("""COMPUTED_VALUE"""),1.0814438610650714)</f>
        <v>1.081443861</v>
      </c>
      <c r="AK337" s="30">
        <f>IFERROR(__xludf.DUMMYFUNCTION("""COMPUTED_VALUE"""),1.169730471364027)</f>
        <v>1.169730471</v>
      </c>
      <c r="AL337" s="30">
        <f>IFERROR(__xludf.DUMMYFUNCTION("""COMPUTED_VALUE"""),0.8009857303232322)</f>
        <v>0.8009857303</v>
      </c>
      <c r="AM337" s="30">
        <f>IFERROR(__xludf.DUMMYFUNCTION("""COMPUTED_VALUE"""),1.0600437585632752)</f>
        <v>1.060043759</v>
      </c>
      <c r="AN337" s="30">
        <f>IFERROR(__xludf.DUMMYFUNCTION("""COMPUTED_VALUE"""),0.7541570900582752)</f>
        <v>0.7541570901</v>
      </c>
      <c r="AO337" s="30">
        <f>IFERROR(__xludf.DUMMYFUNCTION("""COMPUTED_VALUE"""),0.6302459244502342)</f>
        <v>0.6302459245</v>
      </c>
      <c r="AP337" s="30">
        <f>IFERROR(__xludf.DUMMYFUNCTION("""COMPUTED_VALUE"""),0.7710094200599541)</f>
        <v>0.7710094201</v>
      </c>
      <c r="AQ337" s="30">
        <f>IFERROR(__xludf.DUMMYFUNCTION("""COMPUTED_VALUE"""),0.6687224237873638)</f>
        <v>0.6687224238</v>
      </c>
      <c r="AR337" s="30">
        <f>IFERROR(__xludf.DUMMYFUNCTION("""COMPUTED_VALUE"""),0.6163642259450933)</f>
        <v>0.6163642259</v>
      </c>
      <c r="AS337" s="30">
        <f>IFERROR(__xludf.DUMMYFUNCTION("""COMPUTED_VALUE"""),39.0)</f>
        <v>39</v>
      </c>
      <c r="AT337" s="30">
        <f>IFERROR(__xludf.DUMMYFUNCTION("""COMPUTED_VALUE"""),0.3921679441655292)</f>
        <v>0.3921679442</v>
      </c>
      <c r="AU337" s="30">
        <f>IFERROR(__xludf.DUMMYFUNCTION("""COMPUTED_VALUE"""),0.731226719696025)</f>
        <v>0.7312267197</v>
      </c>
      <c r="AV337" s="32">
        <f>IFERROR(__xludf.DUMMYFUNCTION("""COMPUTED_VALUE"""),11.35688086522201)</f>
        <v>11.35688087</v>
      </c>
      <c r="AW337" s="32">
        <f>IFERROR(__xludf.DUMMYFUNCTION("""COMPUTED_VALUE"""),-16.370489915203457)</f>
        <v>-16.37048992</v>
      </c>
      <c r="AX337" s="32">
        <f>IFERROR(__xludf.DUMMYFUNCTION("""COMPUTED_VALUE"""),9.184019804579336)</f>
        <v>9.184019805</v>
      </c>
      <c r="AY337" s="32">
        <f>IFERROR(__xludf.DUMMYFUNCTION("""COMPUTED_VALUE"""),-19.503651567201903)</f>
        <v>-19.50365157</v>
      </c>
      <c r="AZ337" s="30">
        <f>IFERROR(__xludf.DUMMYFUNCTION("""COMPUTED_VALUE"""),3.1331616519984458)</f>
        <v>3.133161652</v>
      </c>
      <c r="BA337" s="30">
        <f>IFERROR(__xludf.DUMMYFUNCTION("""COMPUTED_VALUE"""),1200.0)</f>
        <v>1200</v>
      </c>
    </row>
    <row r="338">
      <c r="A338" s="71" t="str">
        <f>IFERROR(__xludf.DUMMYFUNCTION("""COMPUTED_VALUE"""),"Veteran")</f>
        <v>Veteran</v>
      </c>
      <c r="B338" s="71" t="str">
        <f>IFERROR(__xludf.DUMMYFUNCTION("""COMPUTED_VALUE"""),"RSC007062")</f>
        <v>RSC007062</v>
      </c>
      <c r="C338" s="30" t="str">
        <f>IFERROR(__xludf.DUMMYFUNCTION("""COMPUTED_VALUE"""),"Ice Phoenix")</f>
        <v>Ice Phoenix</v>
      </c>
      <c r="D338" s="30" t="str">
        <f>IFERROR(__xludf.DUMMYFUNCTION("""COMPUTED_VALUE"""),"Giraffes")</f>
        <v>Giraffes</v>
      </c>
      <c r="E338" s="30">
        <f>IFERROR(__xludf.DUMMYFUNCTION("""COMPUTED_VALUE"""),11.0)</f>
        <v>11</v>
      </c>
      <c r="F338" s="30">
        <f>IFERROR(__xludf.DUMMYFUNCTION("""COMPUTED_VALUE"""),4.0)</f>
        <v>4</v>
      </c>
      <c r="G338" s="42">
        <f>IFERROR(__xludf.DUMMYFUNCTION("""COMPUTED_VALUE"""),7.0)</f>
        <v>7</v>
      </c>
      <c r="H338" s="42">
        <f>IFERROR(__xludf.DUMMYFUNCTION("""COMPUTED_VALUE"""),0.36363636363636365)</f>
        <v>0.3636363636</v>
      </c>
      <c r="I338" s="42">
        <f>IFERROR(__xludf.DUMMYFUNCTION("""COMPUTED_VALUE"""),0.30434782608695654)</f>
        <v>0.3043478261</v>
      </c>
      <c r="J338" s="30">
        <f>IFERROR(__xludf.DUMMYFUNCTION("""COMPUTED_VALUE"""),253.0)</f>
        <v>253</v>
      </c>
      <c r="K338" s="30">
        <f>IFERROR(__xludf.DUMMYFUNCTION("""COMPUTED_VALUE"""),0.6363636363636364)</f>
        <v>0.6363636364</v>
      </c>
      <c r="L338" s="30">
        <f>IFERROR(__xludf.DUMMYFUNCTION("""COMPUTED_VALUE"""),0.5454545454545454)</f>
        <v>0.5454545455</v>
      </c>
      <c r="M338" s="30">
        <f>IFERROR(__xludf.DUMMYFUNCTION("""COMPUTED_VALUE"""),0.6363636363636364)</f>
        <v>0.6363636364</v>
      </c>
      <c r="N338" s="30">
        <f>IFERROR(__xludf.DUMMYFUNCTION("""COMPUTED_VALUE"""),2.090909090909091)</f>
        <v>2.090909091</v>
      </c>
      <c r="O338" s="30">
        <f>IFERROR(__xludf.DUMMYFUNCTION("""COMPUTED_VALUE"""),348.18181818181824)</f>
        <v>348.1818182</v>
      </c>
      <c r="P338" s="30">
        <f>IFERROR(__xludf.DUMMYFUNCTION("""COMPUTED_VALUE"""),0.8181818181818182)</f>
        <v>0.8181818182</v>
      </c>
      <c r="Q338" s="30">
        <f>IFERROR(__xludf.DUMMYFUNCTION("""COMPUTED_VALUE"""),0.606060606060606)</f>
        <v>0.6060606061</v>
      </c>
      <c r="R338" s="30">
        <f>IFERROR(__xludf.DUMMYFUNCTION("""COMPUTED_VALUE"""),1.1818181818181819)</f>
        <v>1.181818182</v>
      </c>
      <c r="S338" s="30">
        <f>IFERROR(__xludf.DUMMYFUNCTION("""COMPUTED_VALUE"""),2.606060606060606)</f>
        <v>2.606060606</v>
      </c>
      <c r="T338" s="30">
        <f>IFERROR(__xludf.DUMMYFUNCTION("""COMPUTED_VALUE"""),358.2008617757132)</f>
        <v>358.2008618</v>
      </c>
      <c r="U338" s="30">
        <f>IFERROR(__xludf.DUMMYFUNCTION("""COMPUTED_VALUE"""),0.8362415516254372)</f>
        <v>0.8362415516</v>
      </c>
      <c r="V338" s="30">
        <f>IFERROR(__xludf.DUMMYFUNCTION("""COMPUTED_VALUE"""),0.6151665529995786)</f>
        <v>0.615166553</v>
      </c>
      <c r="W338" s="30">
        <f>IFERROR(__xludf.DUMMYFUNCTION("""COMPUTED_VALUE"""),1.288674281281079)</f>
        <v>1.288674281</v>
      </c>
      <c r="X338" s="30">
        <f>IFERROR(__xludf.DUMMYFUNCTION("""COMPUTED_VALUE"""),2.720375735204541)</f>
        <v>2.720375735</v>
      </c>
      <c r="Y338" s="30">
        <f>IFERROR(__xludf.DUMMYFUNCTION("""COMPUTED_VALUE"""),343.4495746927914)</f>
        <v>343.4495747</v>
      </c>
      <c r="Z338" s="30">
        <f>IFERROR(__xludf.DUMMYFUNCTION("""COMPUTED_VALUE"""),0.6995484119383671)</f>
        <v>0.6995484119</v>
      </c>
      <c r="AA338" s="30">
        <f>IFERROR(__xludf.DUMMYFUNCTION("""COMPUTED_VALUE"""),0.5138652052161061)</f>
        <v>0.5138652052</v>
      </c>
      <c r="AB338" s="30">
        <f>IFERROR(__xludf.DUMMYFUNCTION("""COMPUTED_VALUE"""),1.390315996500003)</f>
        <v>1.390315997</v>
      </c>
      <c r="AC338" s="30">
        <f>IFERROR(__xludf.DUMMYFUNCTION("""COMPUTED_VALUE"""),2.4501647479106268)</f>
        <v>2.450164748</v>
      </c>
      <c r="AD338" s="30">
        <f>IFERROR(__xludf.DUMMYFUNCTION("""COMPUTED_VALUE"""),0.736643800552973)</f>
        <v>0.7366438006</v>
      </c>
      <c r="AE338" s="30">
        <f>IFERROR(__xludf.DUMMYFUNCTION("""COMPUTED_VALUE"""),0.9096777656893636)</f>
        <v>0.9096777657</v>
      </c>
      <c r="AF338" s="30">
        <f>IFERROR(__xludf.DUMMYFUNCTION("""COMPUTED_VALUE"""),1.0614739817325332)</f>
        <v>1.061473982</v>
      </c>
      <c r="AG338" s="30">
        <f>IFERROR(__xludf.DUMMYFUNCTION("""COMPUTED_VALUE"""),0.45771151160284806)</f>
        <v>0.4577115116</v>
      </c>
      <c r="AH338" s="30">
        <f>IFERROR(__xludf.DUMMYFUNCTION("""COMPUTED_VALUE"""),0.8533748976235617)</f>
        <v>0.8533748976</v>
      </c>
      <c r="AI338" s="30">
        <f>IFERROR(__xludf.DUMMYFUNCTION("""COMPUTED_VALUE"""),0.9720295379965659)</f>
        <v>0.972029538</v>
      </c>
      <c r="AJ338" s="30">
        <f>IFERROR(__xludf.DUMMYFUNCTION("""COMPUTED_VALUE"""),0.9784036880151249)</f>
        <v>0.978403688</v>
      </c>
      <c r="AK338" s="30">
        <f>IFERROR(__xludf.DUMMYFUNCTION("""COMPUTED_VALUE"""),0.9851975909701663)</f>
        <v>0.985197591</v>
      </c>
      <c r="AL338" s="30">
        <f>IFERROR(__xludf.DUMMYFUNCTION("""COMPUTED_VALUE"""),0.9170805990194273)</f>
        <v>0.917080599</v>
      </c>
      <c r="AM338" s="30">
        <f>IFERROR(__xludf.DUMMYFUNCTION("""COMPUTED_VALUE"""),0.9579781837984451)</f>
        <v>0.9579781838</v>
      </c>
      <c r="AN338" s="30">
        <f>IFERROR(__xludf.DUMMYFUNCTION("""COMPUTED_VALUE"""),0.7318423049277838)</f>
        <v>0.7318423049</v>
      </c>
      <c r="AO338" s="30">
        <f>IFERROR(__xludf.DUMMYFUNCTION("""COMPUTED_VALUE"""),0.8422377354016767)</f>
        <v>0.8422377354</v>
      </c>
      <c r="AP338" s="30">
        <f>IFERROR(__xludf.DUMMYFUNCTION("""COMPUTED_VALUE"""),0.9812847164399416)</f>
        <v>0.9812847164</v>
      </c>
      <c r="AQ338" s="30">
        <f>IFERROR(__xludf.DUMMYFUNCTION("""COMPUTED_VALUE"""),0.470345436826519)</f>
        <v>0.4703454368</v>
      </c>
      <c r="AR338" s="30">
        <f>IFERROR(__xludf.DUMMYFUNCTION("""COMPUTED_VALUE"""),0.8201209948525621)</f>
        <v>0.8201209949</v>
      </c>
      <c r="AS338" s="30">
        <f>IFERROR(__xludf.DUMMYFUNCTION("""COMPUTED_VALUE"""),17.0)</f>
        <v>17</v>
      </c>
      <c r="AT338" s="30">
        <f>IFERROR(__xludf.DUMMYFUNCTION("""COMPUTED_VALUE"""),0.3343262638310255)</f>
        <v>0.3343262638</v>
      </c>
      <c r="AU338" s="30">
        <f>IFERROR(__xludf.DUMMYFUNCTION("""COMPUTED_VALUE"""),1.4706668521277468)</f>
        <v>1.470666852</v>
      </c>
      <c r="AV338" s="32">
        <f>IFERROR(__xludf.DUMMYFUNCTION("""COMPUTED_VALUE"""),37.793413794088565)</f>
        <v>37.79341379</v>
      </c>
      <c r="AW338" s="32">
        <f>IFERROR(__xludf.DUMMYFUNCTION("""COMPUTED_VALUE"""),-3.1981412496810493)</f>
        <v>-3.19814125</v>
      </c>
      <c r="AX338" s="32">
        <f>IFERROR(__xludf.DUMMYFUNCTION("""COMPUTED_VALUE"""),25.43805144520117)</f>
        <v>25.43805145</v>
      </c>
      <c r="AY338" s="32">
        <f>IFERROR(__xludf.DUMMYFUNCTION("""COMPUTED_VALUE"""),-6.137521394034266)</f>
        <v>-6.137521394</v>
      </c>
      <c r="AZ338" s="30">
        <f>IFERROR(__xludf.DUMMYFUNCTION("""COMPUTED_VALUE"""),2.939380144353217)</f>
        <v>2.939380144</v>
      </c>
      <c r="BA338" s="30">
        <f>IFERROR(__xludf.DUMMYFUNCTION("""COMPUTED_VALUE"""),1200.0)</f>
        <v>1200</v>
      </c>
    </row>
    <row r="339">
      <c r="A339" s="71" t="str">
        <f>IFERROR(__xludf.DUMMYFUNCTION("""COMPUTED_VALUE"""),"Veteran")</f>
        <v>Veteran</v>
      </c>
      <c r="B339" s="71" t="str">
        <f>IFERROR(__xludf.DUMMYFUNCTION("""COMPUTED_VALUE"""),"RSC006378")</f>
        <v>RSC006378</v>
      </c>
      <c r="C339" s="30" t="str">
        <f>IFERROR(__xludf.DUMMYFUNCTION("""COMPUTED_VALUE"""),"depressed vibez")</f>
        <v>depressed vibez</v>
      </c>
      <c r="D339" s="30" t="str">
        <f>IFERROR(__xludf.DUMMYFUNCTION("""COMPUTED_VALUE"""),"Penguins")</f>
        <v>Penguins</v>
      </c>
      <c r="E339" s="30">
        <f>IFERROR(__xludf.DUMMYFUNCTION("""COMPUTED_VALUE"""),31.0)</f>
        <v>31</v>
      </c>
      <c r="F339" s="30">
        <f>IFERROR(__xludf.DUMMYFUNCTION("""COMPUTED_VALUE"""),20.0)</f>
        <v>20</v>
      </c>
      <c r="G339" s="42">
        <f>IFERROR(__xludf.DUMMYFUNCTION("""COMPUTED_VALUE"""),11.0)</f>
        <v>11</v>
      </c>
      <c r="H339" s="42">
        <f>IFERROR(__xludf.DUMMYFUNCTION("""COMPUTED_VALUE"""),0.6451612903225806)</f>
        <v>0.6451612903</v>
      </c>
      <c r="I339" s="42">
        <f>IFERROR(__xludf.DUMMYFUNCTION("""COMPUTED_VALUE"""),0.33720930232558133)</f>
        <v>0.3372093023</v>
      </c>
      <c r="J339" s="30">
        <f>IFERROR(__xludf.DUMMYFUNCTION("""COMPUTED_VALUE"""),356.2903225806452)</f>
        <v>356.2903226</v>
      </c>
      <c r="K339" s="30">
        <f>IFERROR(__xludf.DUMMYFUNCTION("""COMPUTED_VALUE"""),0.9354838709677419)</f>
        <v>0.935483871</v>
      </c>
      <c r="L339" s="30">
        <f>IFERROR(__xludf.DUMMYFUNCTION("""COMPUTED_VALUE"""),0.7419354838709677)</f>
        <v>0.7419354839</v>
      </c>
      <c r="M339" s="30">
        <f>IFERROR(__xludf.DUMMYFUNCTION("""COMPUTED_VALUE"""),1.1290322580645162)</f>
        <v>1.129032258</v>
      </c>
      <c r="N339" s="30">
        <f>IFERROR(__xludf.DUMMYFUNCTION("""COMPUTED_VALUE"""),2.774193548387097)</f>
        <v>2.774193548</v>
      </c>
      <c r="O339" s="30">
        <f>IFERROR(__xludf.DUMMYFUNCTION("""COMPUTED_VALUE"""),322.22580645161287)</f>
        <v>322.2258065</v>
      </c>
      <c r="P339" s="30">
        <f>IFERROR(__xludf.DUMMYFUNCTION("""COMPUTED_VALUE"""),0.6559139784946237)</f>
        <v>0.6559139785</v>
      </c>
      <c r="Q339" s="30">
        <f>IFERROR(__xludf.DUMMYFUNCTION("""COMPUTED_VALUE"""),0.43010752688172055)</f>
        <v>0.4301075269</v>
      </c>
      <c r="R339" s="30">
        <f>IFERROR(__xludf.DUMMYFUNCTION("""COMPUTED_VALUE"""),1.408602150537634)</f>
        <v>1.408602151</v>
      </c>
      <c r="S339" s="30">
        <f>IFERROR(__xludf.DUMMYFUNCTION("""COMPUTED_VALUE"""),2.2795698924731185)</f>
        <v>2.279569892</v>
      </c>
      <c r="T339" s="30">
        <f>IFERROR(__xludf.DUMMYFUNCTION("""COMPUTED_VALUE"""),361.5640271422466)</f>
        <v>361.5640271</v>
      </c>
      <c r="U339" s="30">
        <f>IFERROR(__xludf.DUMMYFUNCTION("""COMPUTED_VALUE"""),0.7992260371529162)</f>
        <v>0.7992260372</v>
      </c>
      <c r="V339" s="30">
        <f>IFERROR(__xludf.DUMMYFUNCTION("""COMPUTED_VALUE"""),0.5804819491741793)</f>
        <v>0.5804819492</v>
      </c>
      <c r="W339" s="30">
        <f>IFERROR(__xludf.DUMMYFUNCTION("""COMPUTED_VALUE"""),1.4131118081769294)</f>
        <v>1.413111808</v>
      </c>
      <c r="X339" s="30">
        <f>IFERROR(__xludf.DUMMYFUNCTION("""COMPUTED_VALUE"""),2.700962973788668)</f>
        <v>2.700962974</v>
      </c>
      <c r="Y339" s="30">
        <f>IFERROR(__xludf.DUMMYFUNCTION("""COMPUTED_VALUE"""),359.89633493377414)</f>
        <v>359.8963349</v>
      </c>
      <c r="Z339" s="30">
        <f>IFERROR(__xludf.DUMMYFUNCTION("""COMPUTED_VALUE"""),0.8214629148171514)</f>
        <v>0.8214629148</v>
      </c>
      <c r="AA339" s="30">
        <f>IFERROR(__xludf.DUMMYFUNCTION("""COMPUTED_VALUE"""),0.6000366452109479)</f>
        <v>0.6000366452</v>
      </c>
      <c r="AB339" s="30">
        <f>IFERROR(__xludf.DUMMYFUNCTION("""COMPUTED_VALUE"""),1.355628421066894)</f>
        <v>1.355628421</v>
      </c>
      <c r="AC339" s="30">
        <f>IFERROR(__xludf.DUMMYFUNCTION("""COMPUTED_VALUE"""),2.716059265816449)</f>
        <v>2.716059266</v>
      </c>
      <c r="AD339" s="30">
        <f>IFERROR(__xludf.DUMMYFUNCTION("""COMPUTED_VALUE"""),0.9899804137938985)</f>
        <v>0.9899804138</v>
      </c>
      <c r="AE339" s="30">
        <f>IFERROR(__xludf.DUMMYFUNCTION("""COMPUTED_VALUE"""),1.1388023172975135)</f>
        <v>1.138802317</v>
      </c>
      <c r="AF339" s="30">
        <f>IFERROR(__xludf.DUMMYFUNCTION("""COMPUTED_VALUE"""),1.236483621113064)</f>
        <v>1.236483621</v>
      </c>
      <c r="AG339" s="30">
        <f>IFERROR(__xludf.DUMMYFUNCTION("""COMPUTED_VALUE"""),0.8328478811147643)</f>
        <v>0.8328478811</v>
      </c>
      <c r="AH339" s="30">
        <f>IFERROR(__xludf.DUMMYFUNCTION("""COMPUTED_VALUE"""),1.02140390797149)</f>
        <v>1.021403908</v>
      </c>
      <c r="AI339" s="30">
        <f>IFERROR(__xludf.DUMMYFUNCTION("""COMPUTED_VALUE"""),0.8911998491621036)</f>
        <v>0.8911998492</v>
      </c>
      <c r="AJ339" s="30">
        <f>IFERROR(__xludf.DUMMYFUNCTION("""COMPUTED_VALUE"""),0.8206864491442081)</f>
        <v>0.8206864491</v>
      </c>
      <c r="AK339" s="30">
        <f>IFERROR(__xludf.DUMMYFUNCTION("""COMPUTED_VALUE"""),0.7409490122709441)</f>
        <v>0.7409490123</v>
      </c>
      <c r="AL339" s="30">
        <f>IFERROR(__xludf.DUMMYFUNCTION("""COMPUTED_VALUE"""),0.9968087042984141)</f>
        <v>0.9968087043</v>
      </c>
      <c r="AM339" s="30">
        <f>IFERROR(__xludf.DUMMYFUNCTION("""COMPUTED_VALUE"""),0.8439841325464535)</f>
        <v>0.8439841325</v>
      </c>
      <c r="AN339" s="30">
        <f>IFERROR(__xludf.DUMMYFUNCTION("""COMPUTED_VALUE"""),1.030625813837482)</f>
        <v>1.030625814</v>
      </c>
      <c r="AO339" s="30">
        <f>IFERROR(__xludf.DUMMYFUNCTION("""COMPUTED_VALUE"""),1.238128283839331)</f>
        <v>1.238128284</v>
      </c>
      <c r="AP339" s="30">
        <f>IFERROR(__xludf.DUMMYFUNCTION("""COMPUTED_VALUE"""),1.3347582433295981)</f>
        <v>1.334758243</v>
      </c>
      <c r="AQ339" s="30">
        <f>IFERROR(__xludf.DUMMYFUNCTION("""COMPUTED_VALUE"""),0.834483839530921)</f>
        <v>0.8344838395</v>
      </c>
      <c r="AR339" s="30">
        <f>IFERROR(__xludf.DUMMYFUNCTION("""COMPUTED_VALUE"""),1.0881268739558538)</f>
        <v>1.088126874</v>
      </c>
      <c r="AS339" s="30">
        <f>IFERROR(__xludf.DUMMYFUNCTION("""COMPUTED_VALUE"""),82.0)</f>
        <v>82</v>
      </c>
      <c r="AT339" s="30">
        <f>IFERROR(__xludf.DUMMYFUNCTION("""COMPUTED_VALUE"""),0.6127299714712438)</f>
        <v>0.6127299715</v>
      </c>
      <c r="AU339" s="30">
        <f>IFERROR(__xludf.DUMMYFUNCTION("""COMPUTED_VALUE"""),2.5687735143140134)</f>
        <v>2.568773514</v>
      </c>
      <c r="AV339" s="32">
        <f>IFERROR(__xludf.DUMMYFUNCTION("""COMPUTED_VALUE"""),77.0530261156791)</f>
        <v>77.05302612</v>
      </c>
      <c r="AW339" s="32">
        <f>IFERROR(__xludf.DUMMYFUNCTION("""COMPUTED_VALUE"""),7.16335595937337)</f>
        <v>7.163355959</v>
      </c>
      <c r="AX339" s="32">
        <f>IFERROR(__xludf.DUMMYFUNCTION("""COMPUTED_VALUE"""),67.9239131938219)</f>
        <v>67.92391319</v>
      </c>
      <c r="AY339" s="32">
        <f>IFERROR(__xludf.DUMMYFUNCTION("""COMPUTED_VALUE"""),4.224748858948838)</f>
        <v>4.224748859</v>
      </c>
      <c r="AZ339" s="30">
        <f>IFERROR(__xludf.DUMMYFUNCTION("""COMPUTED_VALUE"""),2.938607100424532)</f>
        <v>2.9386071</v>
      </c>
      <c r="BA339" s="30">
        <f>IFERROR(__xludf.DUMMYFUNCTION("""COMPUTED_VALUE"""),1200.0)</f>
        <v>1200</v>
      </c>
    </row>
    <row r="340">
      <c r="A340" s="71" t="str">
        <f>IFERROR(__xludf.DUMMYFUNCTION("""COMPUTED_VALUE"""),"Veteran")</f>
        <v>Veteran</v>
      </c>
      <c r="B340" s="71" t="str">
        <f>IFERROR(__xludf.DUMMYFUNCTION("""COMPUTED_VALUE"""),"RSC002747")</f>
        <v>RSC002747</v>
      </c>
      <c r="C340" s="30" t="str">
        <f>IFERROR(__xludf.DUMMYFUNCTION("""COMPUTED_VALUE"""),"derrrrrrrrp")</f>
        <v>derrrrrrrrp</v>
      </c>
      <c r="D340" s="30" t="str">
        <f>IFERROR(__xludf.DUMMYFUNCTION("""COMPUTED_VALUE"""),"Slots")</f>
        <v>Slots</v>
      </c>
      <c r="E340" s="30">
        <f>IFERROR(__xludf.DUMMYFUNCTION("""COMPUTED_VALUE"""),25.0)</f>
        <v>25</v>
      </c>
      <c r="F340" s="30">
        <f>IFERROR(__xludf.DUMMYFUNCTION("""COMPUTED_VALUE"""),14.0)</f>
        <v>14</v>
      </c>
      <c r="G340" s="42">
        <f>IFERROR(__xludf.DUMMYFUNCTION("""COMPUTED_VALUE"""),11.0)</f>
        <v>11</v>
      </c>
      <c r="H340" s="42">
        <f>IFERROR(__xludf.DUMMYFUNCTION("""COMPUTED_VALUE"""),0.56)</f>
        <v>0.56</v>
      </c>
      <c r="I340" s="42">
        <f>IFERROR(__xludf.DUMMYFUNCTION("""COMPUTED_VALUE"""),0.32258064516129037)</f>
        <v>0.3225806452</v>
      </c>
      <c r="J340" s="30">
        <f>IFERROR(__xludf.DUMMYFUNCTION("""COMPUTED_VALUE"""),320.96)</f>
        <v>320.96</v>
      </c>
      <c r="K340" s="30">
        <f>IFERROR(__xludf.DUMMYFUNCTION("""COMPUTED_VALUE"""),0.8)</f>
        <v>0.8</v>
      </c>
      <c r="L340" s="30">
        <f>IFERROR(__xludf.DUMMYFUNCTION("""COMPUTED_VALUE"""),0.44)</f>
        <v>0.44</v>
      </c>
      <c r="M340" s="30">
        <f>IFERROR(__xludf.DUMMYFUNCTION("""COMPUTED_VALUE"""),1.48)</f>
        <v>1.48</v>
      </c>
      <c r="N340" s="30">
        <f>IFERROR(__xludf.DUMMYFUNCTION("""COMPUTED_VALUE"""),2.48)</f>
        <v>2.48</v>
      </c>
      <c r="O340" s="30">
        <f>IFERROR(__xludf.DUMMYFUNCTION("""COMPUTED_VALUE"""),346.63999999999993)</f>
        <v>346.64</v>
      </c>
      <c r="P340" s="30">
        <f>IFERROR(__xludf.DUMMYFUNCTION("""COMPUTED_VALUE"""),0.7733333333333333)</f>
        <v>0.7733333333</v>
      </c>
      <c r="Q340" s="30">
        <f>IFERROR(__xludf.DUMMYFUNCTION("""COMPUTED_VALUE"""),0.6533333333333333)</f>
        <v>0.6533333333</v>
      </c>
      <c r="R340" s="30">
        <f>IFERROR(__xludf.DUMMYFUNCTION("""COMPUTED_VALUE"""),1.2933333333333332)</f>
        <v>1.293333333</v>
      </c>
      <c r="S340" s="30">
        <f>IFERROR(__xludf.DUMMYFUNCTION("""COMPUTED_VALUE"""),2.973333333333333)</f>
        <v>2.973333333</v>
      </c>
      <c r="T340" s="30">
        <f>IFERROR(__xludf.DUMMYFUNCTION("""COMPUTED_VALUE"""),364.1227057224059)</f>
        <v>364.1227057</v>
      </c>
      <c r="U340" s="30">
        <f>IFERROR(__xludf.DUMMYFUNCTION("""COMPUTED_VALUE"""),0.8509903201242345)</f>
        <v>0.8509903201</v>
      </c>
      <c r="V340" s="30">
        <f>IFERROR(__xludf.DUMMYFUNCTION("""COMPUTED_VALUE"""),0.5979168710337794)</f>
        <v>0.597916871</v>
      </c>
      <c r="W340" s="30">
        <f>IFERROR(__xludf.DUMMYFUNCTION("""COMPUTED_VALUE"""),1.38636584174363)</f>
        <v>1.386365842</v>
      </c>
      <c r="X340" s="30">
        <f>IFERROR(__xludf.DUMMYFUNCTION("""COMPUTED_VALUE"""),2.7370907480693334)</f>
        <v>2.737090748</v>
      </c>
      <c r="Y340" s="30">
        <f>IFERROR(__xludf.DUMMYFUNCTION("""COMPUTED_VALUE"""),360.11287897241033)</f>
        <v>360.112879</v>
      </c>
      <c r="Z340" s="30">
        <f>IFERROR(__xludf.DUMMYFUNCTION("""COMPUTED_VALUE"""),0.8253843935554953)</f>
        <v>0.8253843936</v>
      </c>
      <c r="AA340" s="30">
        <f>IFERROR(__xludf.DUMMYFUNCTION("""COMPUTED_VALUE"""),0.5969964786128439)</f>
        <v>0.5969964786</v>
      </c>
      <c r="AB340" s="30">
        <f>IFERROR(__xludf.DUMMYFUNCTION("""COMPUTED_VALUE"""),1.391816191898228)</f>
        <v>1.391816192</v>
      </c>
      <c r="AC340" s="30">
        <f>IFERROR(__xludf.DUMMYFUNCTION("""COMPUTED_VALUE"""),2.6450754964640315)</f>
        <v>2.645075496</v>
      </c>
      <c r="AD340" s="30">
        <f>IFERROR(__xludf.DUMMYFUNCTION("""COMPUTED_VALUE"""),0.8912760935289682)</f>
        <v>0.8912760935</v>
      </c>
      <c r="AE340" s="30">
        <f>IFERROR(__xludf.DUMMYFUNCTION("""COMPUTED_VALUE"""),0.9692453676690599)</f>
        <v>0.9692453677</v>
      </c>
      <c r="AF340" s="30">
        <f>IFERROR(__xludf.DUMMYFUNCTION("""COMPUTED_VALUE"""),0.73702277276805)</f>
        <v>0.7370227728</v>
      </c>
      <c r="AG340" s="30">
        <f>IFERROR(__xludf.DUMMYFUNCTION("""COMPUTED_VALUE"""),1.0633588031344157)</f>
        <v>1.063358803</v>
      </c>
      <c r="AH340" s="30">
        <f>IFERROR(__xludf.DUMMYFUNCTION("""COMPUTED_VALUE"""),0.9375913856959068)</f>
        <v>0.9375913857</v>
      </c>
      <c r="AI340" s="30">
        <f>IFERROR(__xludf.DUMMYFUNCTION("""COMPUTED_VALUE"""),0.9519867741075885)</f>
        <v>0.9519867741</v>
      </c>
      <c r="AJ340" s="30">
        <f>IFERROR(__xludf.DUMMYFUNCTION("""COMPUTED_VALUE"""),0.9087451584883314)</f>
        <v>0.9087451585</v>
      </c>
      <c r="AK340" s="30">
        <f>IFERROR(__xludf.DUMMYFUNCTION("""COMPUTED_VALUE"""),1.0926825533518407)</f>
        <v>1.092682553</v>
      </c>
      <c r="AL340" s="30">
        <f>IFERROR(__xludf.DUMMYFUNCTION("""COMPUTED_VALUE"""),0.9328946908463281)</f>
        <v>0.9328946908</v>
      </c>
      <c r="AM340" s="30">
        <f>IFERROR(__xludf.DUMMYFUNCTION("""COMPUTED_VALUE"""),1.0863115647263937)</f>
        <v>1.086311565</v>
      </c>
      <c r="AN340" s="30">
        <f>IFERROR(__xludf.DUMMYFUNCTION("""COMPUTED_VALUE"""),0.9284272971921796)</f>
        <v>0.9284272972</v>
      </c>
      <c r="AO340" s="30">
        <f>IFERROR(__xludf.DUMMYFUNCTION("""COMPUTED_VALUE"""),1.0588131530763936)</f>
        <v>1.058813153</v>
      </c>
      <c r="AP340" s="30">
        <f>IFERROR(__xludf.DUMMYFUNCTION("""COMPUTED_VALUE"""),0.791569671261553)</f>
        <v>0.7915696713</v>
      </c>
      <c r="AQ340" s="30">
        <f>IFERROR(__xludf.DUMMYFUNCTION("""COMPUTED_VALUE"""),1.0938891016479615)</f>
        <v>1.093889102</v>
      </c>
      <c r="AR340" s="30">
        <f>IFERROR(__xludf.DUMMYFUNCTION("""COMPUTED_VALUE"""),0.9727348147642563)</f>
        <v>0.9727348148</v>
      </c>
      <c r="AS340" s="30">
        <f>IFERROR(__xludf.DUMMYFUNCTION("""COMPUTED_VALUE"""),60.0)</f>
        <v>60</v>
      </c>
      <c r="AT340" s="30">
        <f>IFERROR(__xludf.DUMMYFUNCTION("""COMPUTED_VALUE"""),0.5132275554538239)</f>
        <v>0.5132275555</v>
      </c>
      <c r="AU340" s="30">
        <f>IFERROR(__xludf.DUMMYFUNCTION("""COMPUTED_VALUE"""),1.6466608256907274)</f>
        <v>1.646660826</v>
      </c>
      <c r="AV340" s="32">
        <f>IFERROR(__xludf.DUMMYFUNCTION("""COMPUTED_VALUE"""),44.085566834361124)</f>
        <v>44.08556683</v>
      </c>
      <c r="AW340" s="32">
        <f>IFERROR(__xludf.DUMMYFUNCTION("""COMPUTED_VALUE"""),-2.4600708615317917)</f>
        <v>-2.460070862</v>
      </c>
      <c r="AX340" s="32">
        <f>IFERROR(__xludf.DUMMYFUNCTION("""COMPUTED_VALUE"""),27.617890908856413)</f>
        <v>27.61789091</v>
      </c>
      <c r="AY340" s="32">
        <f>IFERROR(__xludf.DUMMYFUNCTION("""COMPUTED_VALUE"""),-5.396143046064348)</f>
        <v>-5.396143046</v>
      </c>
      <c r="AZ340" s="30">
        <f>IFERROR(__xludf.DUMMYFUNCTION("""COMPUTED_VALUE"""),2.9360721845325566)</f>
        <v>2.936072185</v>
      </c>
      <c r="BA340" s="30">
        <f>IFERROR(__xludf.DUMMYFUNCTION("""COMPUTED_VALUE"""),1200.0)</f>
        <v>1200</v>
      </c>
    </row>
    <row r="341">
      <c r="A341" s="71" t="str">
        <f>IFERROR(__xludf.DUMMYFUNCTION("""COMPUTED_VALUE"""),"Veteran")</f>
        <v>Veteran</v>
      </c>
      <c r="B341" s="71" t="str">
        <f>IFERROR(__xludf.DUMMYFUNCTION("""COMPUTED_VALUE"""),"RSC003358")</f>
        <v>RSC003358</v>
      </c>
      <c r="C341" s="30" t="str">
        <f>IFERROR(__xludf.DUMMYFUNCTION("""COMPUTED_VALUE"""),"galacticcccc")</f>
        <v>galacticcccc</v>
      </c>
      <c r="D341" s="30" t="str">
        <f>IFERROR(__xludf.DUMMYFUNCTION("""COMPUTED_VALUE"""),"Rockin Revenants")</f>
        <v>Rockin Revenants</v>
      </c>
      <c r="E341" s="30">
        <f>IFERROR(__xludf.DUMMYFUNCTION("""COMPUTED_VALUE"""),5.0)</f>
        <v>5</v>
      </c>
      <c r="F341" s="30">
        <f>IFERROR(__xludf.DUMMYFUNCTION("""COMPUTED_VALUE"""),3.0)</f>
        <v>3</v>
      </c>
      <c r="G341" s="42">
        <f>IFERROR(__xludf.DUMMYFUNCTION("""COMPUTED_VALUE"""),2.0)</f>
        <v>2</v>
      </c>
      <c r="H341" s="42">
        <f>IFERROR(__xludf.DUMMYFUNCTION("""COMPUTED_VALUE"""),0.6)</f>
        <v>0.6</v>
      </c>
      <c r="I341" s="42">
        <f>IFERROR(__xludf.DUMMYFUNCTION("""COMPUTED_VALUE"""),0.3333333333333333)</f>
        <v>0.3333333333</v>
      </c>
      <c r="J341" s="30">
        <f>IFERROR(__xludf.DUMMYFUNCTION("""COMPUTED_VALUE"""),392.0)</f>
        <v>392</v>
      </c>
      <c r="K341" s="30">
        <f>IFERROR(__xludf.DUMMYFUNCTION("""COMPUTED_VALUE"""),1.2)</f>
        <v>1.2</v>
      </c>
      <c r="L341" s="30">
        <f>IFERROR(__xludf.DUMMYFUNCTION("""COMPUTED_VALUE"""),0.6)</f>
        <v>0.6</v>
      </c>
      <c r="M341" s="30">
        <f>IFERROR(__xludf.DUMMYFUNCTION("""COMPUTED_VALUE"""),0.8)</f>
        <v>0.8</v>
      </c>
      <c r="N341" s="30">
        <f>IFERROR(__xludf.DUMMYFUNCTION("""COMPUTED_VALUE"""),3.6)</f>
        <v>3.6</v>
      </c>
      <c r="O341" s="30">
        <f>IFERROR(__xludf.DUMMYFUNCTION("""COMPUTED_VALUE"""),359.1333333333333)</f>
        <v>359.1333333</v>
      </c>
      <c r="P341" s="30">
        <f>IFERROR(__xludf.DUMMYFUNCTION("""COMPUTED_VALUE"""),0.8)</f>
        <v>0.8</v>
      </c>
      <c r="Q341" s="30">
        <f>IFERROR(__xludf.DUMMYFUNCTION("""COMPUTED_VALUE"""),0.5333333333333334)</f>
        <v>0.5333333333</v>
      </c>
      <c r="R341" s="30">
        <f>IFERROR(__xludf.DUMMYFUNCTION("""COMPUTED_VALUE"""),1.5333333333333332)</f>
        <v>1.533333333</v>
      </c>
      <c r="S341" s="30">
        <f>IFERROR(__xludf.DUMMYFUNCTION("""COMPUTED_VALUE"""),2.3333333333333335)</f>
        <v>2.333333333</v>
      </c>
      <c r="T341" s="30">
        <f>IFERROR(__xludf.DUMMYFUNCTION("""COMPUTED_VALUE"""),340.6991522366522)</f>
        <v>340.6991522</v>
      </c>
      <c r="U341" s="30">
        <f>IFERROR(__xludf.DUMMYFUNCTION("""COMPUTED_VALUE"""),0.8621031746031745)</f>
        <v>0.8621031746</v>
      </c>
      <c r="V341" s="30">
        <f>IFERROR(__xludf.DUMMYFUNCTION("""COMPUTED_VALUE"""),0.3562409812409812)</f>
        <v>0.3562409812</v>
      </c>
      <c r="W341" s="30">
        <f>IFERROR(__xludf.DUMMYFUNCTION("""COMPUTED_VALUE"""),1.2669733044733045)</f>
        <v>1.266973304</v>
      </c>
      <c r="X341" s="30">
        <f>IFERROR(__xludf.DUMMYFUNCTION("""COMPUTED_VALUE"""),2.5300324675324672)</f>
        <v>2.530032468</v>
      </c>
      <c r="Y341" s="30">
        <f>IFERROR(__xludf.DUMMYFUNCTION("""COMPUTED_VALUE"""),391.08404882154883)</f>
        <v>391.0840488</v>
      </c>
      <c r="Z341" s="30">
        <f>IFERROR(__xludf.DUMMYFUNCTION("""COMPUTED_VALUE"""),0.9677008177008176)</f>
        <v>0.9677008177</v>
      </c>
      <c r="AA341" s="30">
        <f>IFERROR(__xludf.DUMMYFUNCTION("""COMPUTED_VALUE"""),0.762818662818663)</f>
        <v>0.7628186628</v>
      </c>
      <c r="AB341" s="30">
        <f>IFERROR(__xludf.DUMMYFUNCTION("""COMPUTED_VALUE"""),1.3975288600288602)</f>
        <v>1.39752886</v>
      </c>
      <c r="AC341" s="30">
        <f>IFERROR(__xludf.DUMMYFUNCTION("""COMPUTED_VALUE"""),3.0062770562770558)</f>
        <v>3.006277056</v>
      </c>
      <c r="AD341" s="30">
        <f>IFERROR(__xludf.DUMMYFUNCTION("""COMPUTED_VALUE"""),1.0023420826832778)</f>
        <v>1.002342083</v>
      </c>
      <c r="AE341" s="30">
        <f>IFERROR(__xludf.DUMMYFUNCTION("""COMPUTED_VALUE"""),1.2400526878246392)</f>
        <v>1.240052688</v>
      </c>
      <c r="AF341" s="30">
        <f>IFERROR(__xludf.DUMMYFUNCTION("""COMPUTED_VALUE"""),0.7865565294154737)</f>
        <v>0.7865565294</v>
      </c>
      <c r="AG341" s="30">
        <f>IFERROR(__xludf.DUMMYFUNCTION("""COMPUTED_VALUE"""),0.5724389834664877)</f>
        <v>0.5724389835</v>
      </c>
      <c r="AH341" s="30">
        <f>IFERROR(__xludf.DUMMYFUNCTION("""COMPUTED_VALUE"""),1.1974944200446398)</f>
        <v>1.19749442</v>
      </c>
      <c r="AI341" s="30">
        <f>IFERROR(__xludf.DUMMYFUNCTION("""COMPUTED_VALUE"""),1.0541069180115734)</f>
        <v>1.054106918</v>
      </c>
      <c r="AJ341" s="30">
        <f>IFERROR(__xludf.DUMMYFUNCTION("""COMPUTED_VALUE"""),0.927963176064442)</f>
        <v>0.9279631761</v>
      </c>
      <c r="AK341" s="30">
        <f>IFERROR(__xludf.DUMMYFUNCTION("""COMPUTED_VALUE"""),1.4971139240506335)</f>
        <v>1.497113924</v>
      </c>
      <c r="AL341" s="30">
        <f>IFERROR(__xludf.DUMMYFUNCTION("""COMPUTED_VALUE"""),1.2102333395025697)</f>
        <v>1.21023334</v>
      </c>
      <c r="AM341" s="30">
        <f>IFERROR(__xludf.DUMMYFUNCTION("""COMPUTED_VALUE"""),0.9222543043524758)</f>
        <v>0.9222543044</v>
      </c>
      <c r="AN341" s="30">
        <f>IFERROR(__xludf.DUMMYFUNCTION("""COMPUTED_VALUE"""),1.1339216740383053)</f>
        <v>1.133921674</v>
      </c>
      <c r="AO341" s="30">
        <f>IFERROR(__xludf.DUMMYFUNCTION("""COMPUTED_VALUE"""),1.5882197296145903)</f>
        <v>1.58821973</v>
      </c>
      <c r="AP341" s="30">
        <f>IFERROR(__xludf.DUMMYFUNCTION("""COMPUTED_VALUE"""),1.0794131880839357)</f>
        <v>1.079413188</v>
      </c>
      <c r="AQ341" s="30">
        <f>IFERROR(__xludf.DUMMYFUNCTION("""COMPUTED_VALUE"""),0.5912914062961954)</f>
        <v>0.5912914063</v>
      </c>
      <c r="AR341" s="30">
        <f>IFERROR(__xludf.DUMMYFUNCTION("""COMPUTED_VALUE"""),1.4120344085287593)</f>
        <v>1.412034409</v>
      </c>
      <c r="AS341" s="30">
        <f>IFERROR(__xludf.DUMMYFUNCTION("""COMPUTED_VALUE"""),14.0)</f>
        <v>14</v>
      </c>
      <c r="AT341" s="30">
        <f>IFERROR(__xludf.DUMMYFUNCTION("""COMPUTED_VALUE"""),0.5615418785904439)</f>
        <v>0.5615418786</v>
      </c>
      <c r="AU341" s="30">
        <f>IFERROR(__xludf.DUMMYFUNCTION("""COMPUTED_VALUE"""),2.4210314858592454)</f>
        <v>2.421031486</v>
      </c>
      <c r="AV341" s="32">
        <f>IFERROR(__xludf.DUMMYFUNCTION("""COMPUTED_VALUE"""),71.77093926521638)</f>
        <v>71.77093927</v>
      </c>
      <c r="AW341" s="32">
        <f>IFERROR(__xludf.DUMMYFUNCTION("""COMPUTED_VALUE"""),5.210465716697936)</f>
        <v>5.210465717</v>
      </c>
      <c r="AX341" s="32">
        <f>IFERROR(__xludf.DUMMYFUNCTION("""COMPUTED_VALUE"""),54.544959039669386)</f>
        <v>54.54495904</v>
      </c>
      <c r="AY341" s="32">
        <f>IFERROR(__xludf.DUMMYFUNCTION("""COMPUTED_VALUE"""),2.3371558325149677)</f>
        <v>2.337155833</v>
      </c>
      <c r="AZ341" s="30">
        <f>IFERROR(__xludf.DUMMYFUNCTION("""COMPUTED_VALUE"""),2.873309884182968)</f>
        <v>2.873309884</v>
      </c>
      <c r="BA341" s="30">
        <f>IFERROR(__xludf.DUMMYFUNCTION("""COMPUTED_VALUE"""),1200.0)</f>
        <v>1200</v>
      </c>
    </row>
    <row r="342">
      <c r="A342" s="71" t="str">
        <f>IFERROR(__xludf.DUMMYFUNCTION("""COMPUTED_VALUE"""),"Veteran")</f>
        <v>Veteran</v>
      </c>
      <c r="B342" s="71" t="str">
        <f>IFERROR(__xludf.DUMMYFUNCTION("""COMPUTED_VALUE"""),"RSC003789")</f>
        <v>RSC003789</v>
      </c>
      <c r="C342" s="30" t="str">
        <f>IFERROR(__xludf.DUMMYFUNCTION("""COMPUTED_VALUE"""),"monterszn")</f>
        <v>monterszn</v>
      </c>
      <c r="D342" s="30" t="str">
        <f>IFERROR(__xludf.DUMMYFUNCTION("""COMPUTED_VALUE"""),"Merciless Mob")</f>
        <v>Merciless Mob</v>
      </c>
      <c r="E342" s="30">
        <f>IFERROR(__xludf.DUMMYFUNCTION("""COMPUTED_VALUE"""),44.0)</f>
        <v>44</v>
      </c>
      <c r="F342" s="30">
        <f>IFERROR(__xludf.DUMMYFUNCTION("""COMPUTED_VALUE"""),20.0)</f>
        <v>20</v>
      </c>
      <c r="G342" s="42">
        <f>IFERROR(__xludf.DUMMYFUNCTION("""COMPUTED_VALUE"""),24.0)</f>
        <v>24</v>
      </c>
      <c r="H342" s="42">
        <f>IFERROR(__xludf.DUMMYFUNCTION("""COMPUTED_VALUE"""),0.45454545454545453)</f>
        <v>0.4545454545</v>
      </c>
      <c r="I342" s="42">
        <f>IFERROR(__xludf.DUMMYFUNCTION("""COMPUTED_VALUE"""),0.25806451612903225)</f>
        <v>0.2580645161</v>
      </c>
      <c r="J342" s="30">
        <f>IFERROR(__xludf.DUMMYFUNCTION("""COMPUTED_VALUE"""),396.3181818181818)</f>
        <v>396.3181818</v>
      </c>
      <c r="K342" s="30">
        <f>IFERROR(__xludf.DUMMYFUNCTION("""COMPUTED_VALUE"""),0.5454545454545454)</f>
        <v>0.5454545455</v>
      </c>
      <c r="L342" s="30">
        <f>IFERROR(__xludf.DUMMYFUNCTION("""COMPUTED_VALUE"""),0.7954545454545454)</f>
        <v>0.7954545455</v>
      </c>
      <c r="M342" s="30">
        <f>IFERROR(__xludf.DUMMYFUNCTION("""COMPUTED_VALUE"""),2.1136363636363638)</f>
        <v>2.113636364</v>
      </c>
      <c r="N342" s="30">
        <f>IFERROR(__xludf.DUMMYFUNCTION("""COMPUTED_VALUE"""),2.1136363636363638)</f>
        <v>2.113636364</v>
      </c>
      <c r="O342" s="30">
        <f>IFERROR(__xludf.DUMMYFUNCTION("""COMPUTED_VALUE"""),343.9090909090908)</f>
        <v>343.9090909</v>
      </c>
      <c r="P342" s="30">
        <f>IFERROR(__xludf.DUMMYFUNCTION("""COMPUTED_VALUE"""),0.8257575757575757)</f>
        <v>0.8257575758</v>
      </c>
      <c r="Q342" s="30">
        <f>IFERROR(__xludf.DUMMYFUNCTION("""COMPUTED_VALUE"""),0.6287878787878786)</f>
        <v>0.6287878788</v>
      </c>
      <c r="R342" s="30">
        <f>IFERROR(__xludf.DUMMYFUNCTION("""COMPUTED_VALUE"""),1.090909090909091)</f>
        <v>1.090909091</v>
      </c>
      <c r="S342" s="30">
        <f>IFERROR(__xludf.DUMMYFUNCTION("""COMPUTED_VALUE"""),2.6969696969696964)</f>
        <v>2.696969697</v>
      </c>
      <c r="T342" s="30">
        <f>IFERROR(__xludf.DUMMYFUNCTION("""COMPUTED_VALUE"""),348.1801058222767)</f>
        <v>348.1801058</v>
      </c>
      <c r="U342" s="30">
        <f>IFERROR(__xludf.DUMMYFUNCTION("""COMPUTED_VALUE"""),0.7689622764205333)</f>
        <v>0.7689622764</v>
      </c>
      <c r="V342" s="30">
        <f>IFERROR(__xludf.DUMMYFUNCTION("""COMPUTED_VALUE"""),0.5671109281971767)</f>
        <v>0.5671109282</v>
      </c>
      <c r="W342" s="30">
        <f>IFERROR(__xludf.DUMMYFUNCTION("""COMPUTED_VALUE"""),1.329670271107893)</f>
        <v>1.329670271</v>
      </c>
      <c r="X342" s="30">
        <f>IFERROR(__xludf.DUMMYFUNCTION("""COMPUTED_VALUE"""),2.54466029099107)</f>
        <v>2.544660291</v>
      </c>
      <c r="Y342" s="30">
        <f>IFERROR(__xludf.DUMMYFUNCTION("""COMPUTED_VALUE"""),344.6872332702883)</f>
        <v>344.6872333</v>
      </c>
      <c r="Z342" s="30">
        <f>IFERROR(__xludf.DUMMYFUNCTION("""COMPUTED_VALUE"""),0.7506003239277015)</f>
        <v>0.7506003239</v>
      </c>
      <c r="AA342" s="30">
        <f>IFERROR(__xludf.DUMMYFUNCTION("""COMPUTED_VALUE"""),0.5388922415309548)</f>
        <v>0.5388922415</v>
      </c>
      <c r="AB342" s="30">
        <f>IFERROR(__xludf.DUMMYFUNCTION("""COMPUTED_VALUE"""),1.3422470084484948)</f>
        <v>1.342247008</v>
      </c>
      <c r="AC342" s="30">
        <f>IFERROR(__xludf.DUMMYFUNCTION("""COMPUTED_VALUE"""),2.581216495886745)</f>
        <v>2.581216496</v>
      </c>
      <c r="AD342" s="30">
        <f>IFERROR(__xludf.DUMMYFUNCTION("""COMPUTED_VALUE"""),1.149790719134082)</f>
        <v>1.149790719</v>
      </c>
      <c r="AE342" s="30">
        <f>IFERROR(__xludf.DUMMYFUNCTION("""COMPUTED_VALUE"""),0.7266910605637896)</f>
        <v>0.7266910606</v>
      </c>
      <c r="AF342" s="30">
        <f>IFERROR(__xludf.DUMMYFUNCTION("""COMPUTED_VALUE"""),1.4760920350137445)</f>
        <v>1.476092035</v>
      </c>
      <c r="AG342" s="30">
        <f>IFERROR(__xludf.DUMMYFUNCTION("""COMPUTED_VALUE"""),1.5746999995772157)</f>
        <v>1.5747</v>
      </c>
      <c r="AH342" s="30">
        <f>IFERROR(__xludf.DUMMYFUNCTION("""COMPUTED_VALUE"""),0.8188528033214238)</f>
        <v>0.8188528033</v>
      </c>
      <c r="AI342" s="30">
        <f>IFERROR(__xludf.DUMMYFUNCTION("""COMPUTED_VALUE"""),0.9877333172063371)</f>
        <v>0.9877333172</v>
      </c>
      <c r="AJ342" s="30">
        <f>IFERROR(__xludf.DUMMYFUNCTION("""COMPUTED_VALUE"""),1.0738596691653337)</f>
        <v>1.073859669</v>
      </c>
      <c r="AK342" s="30">
        <f>IFERROR(__xludf.DUMMYFUNCTION("""COMPUTED_VALUE"""),1.1087564134705894)</f>
        <v>1.108756413</v>
      </c>
      <c r="AL342" s="30">
        <f>IFERROR(__xludf.DUMMYFUNCTION("""COMPUTED_VALUE"""),0.8204357987188328)</f>
        <v>0.8204357987</v>
      </c>
      <c r="AM342" s="30">
        <f>IFERROR(__xludf.DUMMYFUNCTION("""COMPUTED_VALUE"""),1.0598545143797196)</f>
        <v>1.059854514</v>
      </c>
      <c r="AN342" s="30">
        <f>IFERROR(__xludf.DUMMYFUNCTION("""COMPUTED_VALUE"""),1.1464126943344137)</f>
        <v>1.146412694</v>
      </c>
      <c r="AO342" s="30">
        <f>IFERROR(__xludf.DUMMYFUNCTION("""COMPUTED_VALUE"""),0.7219180589157228)</f>
        <v>0.7219180589</v>
      </c>
      <c r="AP342" s="30">
        <f>IFERROR(__xludf.DUMMYFUNCTION("""COMPUTED_VALUE"""),1.4310402114749148)</f>
        <v>1.431040211</v>
      </c>
      <c r="AQ342" s="30">
        <f>IFERROR(__xludf.DUMMYFUNCTION("""COMPUTED_VALUE"""),1.5622187723166527)</f>
        <v>1.562218772</v>
      </c>
      <c r="AR342" s="30">
        <f>IFERROR(__xludf.DUMMYFUNCTION("""COMPUTED_VALUE"""),0.829035353492264)</f>
        <v>0.8290353535</v>
      </c>
      <c r="AS342" s="30">
        <f>IFERROR(__xludf.DUMMYFUNCTION("""COMPUTED_VALUE"""),96.0)</f>
        <v>96</v>
      </c>
      <c r="AT342" s="30">
        <f>IFERROR(__xludf.DUMMYFUNCTION("""COMPUTED_VALUE"""),0.45078059195478004)</f>
        <v>0.450780592</v>
      </c>
      <c r="AU342" s="30">
        <f>IFERROR(__xludf.DUMMYFUNCTION("""COMPUTED_VALUE"""),1.8684677391253277)</f>
        <v>1.868467739</v>
      </c>
      <c r="AV342" s="32">
        <f>IFERROR(__xludf.DUMMYFUNCTION("""COMPUTED_VALUE"""),52.01562839536994)</f>
        <v>52.0156284</v>
      </c>
      <c r="AW342" s="32">
        <f>IFERROR(__xludf.DUMMYFUNCTION("""COMPUTED_VALUE"""),2.137345670825262)</f>
        <v>2.137345671</v>
      </c>
      <c r="AX342" s="32">
        <f>IFERROR(__xludf.DUMMYFUNCTION("""COMPUTED_VALUE"""),70.05225802656945)</f>
        <v>70.05225803</v>
      </c>
      <c r="AY342" s="32">
        <f>IFERROR(__xludf.DUMMYFUNCTION("""COMPUTED_VALUE"""),4.733719817589365)</f>
        <v>4.733719818</v>
      </c>
      <c r="AZ342" s="30">
        <f>IFERROR(__xludf.DUMMYFUNCTION("""COMPUTED_VALUE"""),2.596374146764103)</f>
        <v>2.596374147</v>
      </c>
      <c r="BA342" s="30">
        <f>IFERROR(__xludf.DUMMYFUNCTION("""COMPUTED_VALUE"""),1200.0)</f>
        <v>1200</v>
      </c>
    </row>
    <row r="343">
      <c r="A343" s="71" t="str">
        <f>IFERROR(__xludf.DUMMYFUNCTION("""COMPUTED_VALUE"""),"Veteran")</f>
        <v>Veteran</v>
      </c>
      <c r="B343" s="71" t="str">
        <f>IFERROR(__xludf.DUMMYFUNCTION("""COMPUTED_VALUE"""),"RSC007607")</f>
        <v>RSC007607</v>
      </c>
      <c r="C343" s="30" t="str">
        <f>IFERROR(__xludf.DUMMYFUNCTION("""COMPUTED_VALUE"""),"GameGang")</f>
        <v>GameGang</v>
      </c>
      <c r="D343" s="30" t="str">
        <f>IFERROR(__xludf.DUMMYFUNCTION("""COMPUTED_VALUE"""),"Rockin Revenants")</f>
        <v>Rockin Revenants</v>
      </c>
      <c r="E343" s="30">
        <f>IFERROR(__xludf.DUMMYFUNCTION("""COMPUTED_VALUE"""),43.0)</f>
        <v>43</v>
      </c>
      <c r="F343" s="30">
        <f>IFERROR(__xludf.DUMMYFUNCTION("""COMPUTED_VALUE"""),21.0)</f>
        <v>21</v>
      </c>
      <c r="G343" s="42">
        <f>IFERROR(__xludf.DUMMYFUNCTION("""COMPUTED_VALUE"""),22.0)</f>
        <v>22</v>
      </c>
      <c r="H343" s="42">
        <f>IFERROR(__xludf.DUMMYFUNCTION("""COMPUTED_VALUE"""),0.4883720930232558)</f>
        <v>0.488372093</v>
      </c>
      <c r="I343" s="42">
        <f>IFERROR(__xludf.DUMMYFUNCTION("""COMPUTED_VALUE"""),0.24489795918367346)</f>
        <v>0.2448979592</v>
      </c>
      <c r="J343" s="30">
        <f>IFERROR(__xludf.DUMMYFUNCTION("""COMPUTED_VALUE"""),296.30232558139534)</f>
        <v>296.3023256</v>
      </c>
      <c r="K343" s="30">
        <f>IFERROR(__xludf.DUMMYFUNCTION("""COMPUTED_VALUE"""),0.5581395348837209)</f>
        <v>0.5581395349</v>
      </c>
      <c r="L343" s="30">
        <f>IFERROR(__xludf.DUMMYFUNCTION("""COMPUTED_VALUE"""),0.7441860465116279)</f>
        <v>0.7441860465</v>
      </c>
      <c r="M343" s="30">
        <f>IFERROR(__xludf.DUMMYFUNCTION("""COMPUTED_VALUE"""),0.8604651162790697)</f>
        <v>0.8604651163</v>
      </c>
      <c r="N343" s="30">
        <f>IFERROR(__xludf.DUMMYFUNCTION("""COMPUTED_VALUE"""),2.2790697674418605)</f>
        <v>2.279069767</v>
      </c>
      <c r="O343" s="30">
        <f>IFERROR(__xludf.DUMMYFUNCTION("""COMPUTED_VALUE"""),359.86821705426354)</f>
        <v>359.8682171</v>
      </c>
      <c r="P343" s="30">
        <f>IFERROR(__xludf.DUMMYFUNCTION("""COMPUTED_VALUE"""),0.7829457364341086)</f>
        <v>0.7829457364</v>
      </c>
      <c r="Q343" s="30">
        <f>IFERROR(__xludf.DUMMYFUNCTION("""COMPUTED_VALUE"""),0.6201550387596899)</f>
        <v>0.6201550388</v>
      </c>
      <c r="R343" s="30">
        <f>IFERROR(__xludf.DUMMYFUNCTION("""COMPUTED_VALUE"""),1.3488372093023255)</f>
        <v>1.348837209</v>
      </c>
      <c r="S343" s="30">
        <f>IFERROR(__xludf.DUMMYFUNCTION("""COMPUTED_VALUE"""),2.589147286821705)</f>
        <v>2.589147287</v>
      </c>
      <c r="T343" s="30">
        <f>IFERROR(__xludf.DUMMYFUNCTION("""COMPUTED_VALUE"""),358.71956089048774)</f>
        <v>358.7195609</v>
      </c>
      <c r="U343" s="30">
        <f>IFERROR(__xludf.DUMMYFUNCTION("""COMPUTED_VALUE"""),0.8295435816997697)</f>
        <v>0.8295435817</v>
      </c>
      <c r="V343" s="30">
        <f>IFERROR(__xludf.DUMMYFUNCTION("""COMPUTED_VALUE"""),0.585027906510306)</f>
        <v>0.5850279065</v>
      </c>
      <c r="W343" s="30">
        <f>IFERROR(__xludf.DUMMYFUNCTION("""COMPUTED_VALUE"""),1.3542791179294276)</f>
        <v>1.354279118</v>
      </c>
      <c r="X343" s="30">
        <f>IFERROR(__xludf.DUMMYFUNCTION("""COMPUTED_VALUE"""),2.694913718726177)</f>
        <v>2.694913719</v>
      </c>
      <c r="Y343" s="30">
        <f>IFERROR(__xludf.DUMMYFUNCTION("""COMPUTED_VALUE"""),365.6152960545077)</f>
        <v>365.6152961</v>
      </c>
      <c r="Z343" s="30">
        <f>IFERROR(__xludf.DUMMYFUNCTION("""COMPUTED_VALUE"""),0.8395711615422335)</f>
        <v>0.8395711615</v>
      </c>
      <c r="AA343" s="30">
        <f>IFERROR(__xludf.DUMMYFUNCTION("""COMPUTED_VALUE"""),0.6213207343072744)</f>
        <v>0.6213207343</v>
      </c>
      <c r="AB343" s="30">
        <f>IFERROR(__xludf.DUMMYFUNCTION("""COMPUTED_VALUE"""),1.3828284738183412)</f>
        <v>1.382828474</v>
      </c>
      <c r="AC343" s="30">
        <f>IFERROR(__xludf.DUMMYFUNCTION("""COMPUTED_VALUE"""),2.6999611292144854)</f>
        <v>2.699961129</v>
      </c>
      <c r="AD343" s="30">
        <f>IFERROR(__xludf.DUMMYFUNCTION("""COMPUTED_VALUE"""),0.8104210321037038)</f>
        <v>0.8104210321</v>
      </c>
      <c r="AE343" s="30">
        <f>IFERROR(__xludf.DUMMYFUNCTION("""COMPUTED_VALUE"""),0.6647912177670057)</f>
        <v>0.6647912178</v>
      </c>
      <c r="AF343" s="30">
        <f>IFERROR(__xludf.DUMMYFUNCTION("""COMPUTED_VALUE"""),1.1977486110154347)</f>
        <v>1.197748611</v>
      </c>
      <c r="AG343" s="30">
        <f>IFERROR(__xludf.DUMMYFUNCTION("""COMPUTED_VALUE"""),0.6222500711914809)</f>
        <v>0.6222500712</v>
      </c>
      <c r="AH343" s="30">
        <f>IFERROR(__xludf.DUMMYFUNCTION("""COMPUTED_VALUE"""),0.8441120662003467)</f>
        <v>0.8441120662</v>
      </c>
      <c r="AI343" s="30">
        <f>IFERROR(__xludf.DUMMYFUNCTION("""COMPUTED_VALUE"""),1.0032021007188021)</f>
        <v>1.003202101</v>
      </c>
      <c r="AJ343" s="30">
        <f>IFERROR(__xludf.DUMMYFUNCTION("""COMPUTED_VALUE"""),0.9438271282020166)</f>
        <v>0.9438271282</v>
      </c>
      <c r="AK343" s="30">
        <f>IFERROR(__xludf.DUMMYFUNCTION("""COMPUTED_VALUE"""),1.0600435156314463)</f>
        <v>1.060043516</v>
      </c>
      <c r="AL343" s="30">
        <f>IFERROR(__xludf.DUMMYFUNCTION("""COMPUTED_VALUE"""),0.9959816934669847)</f>
        <v>0.9959816935</v>
      </c>
      <c r="AM343" s="30">
        <f>IFERROR(__xludf.DUMMYFUNCTION("""COMPUTED_VALUE"""),0.9607533142268966)</f>
        <v>0.9607533142</v>
      </c>
      <c r="AN343" s="30">
        <f>IFERROR(__xludf.DUMMYFUNCTION("""COMPUTED_VALUE"""),0.8571010945017825)</f>
        <v>0.8571010945</v>
      </c>
      <c r="AO343" s="30">
        <f>IFERROR(__xludf.DUMMYFUNCTION("""COMPUTED_VALUE"""),0.7387068509835304)</f>
        <v>0.738706851</v>
      </c>
      <c r="AP343" s="30">
        <f>IFERROR(__xludf.DUMMYFUNCTION("""COMPUTED_VALUE"""),1.3388070549878275)</f>
        <v>1.338807055</v>
      </c>
      <c r="AQ343" s="30">
        <f>IFERROR(__xludf.DUMMYFUNCTION("""COMPUTED_VALUE"""),0.635982035841838)</f>
        <v>0.6359820358</v>
      </c>
      <c r="AR343" s="30">
        <f>IFERROR(__xludf.DUMMYFUNCTION("""COMPUTED_VALUE"""),0.8939235919626511)</f>
        <v>0.893923592</v>
      </c>
      <c r="AS343" s="30">
        <f>IFERROR(__xludf.DUMMYFUNCTION("""COMPUTED_VALUE"""),106.0)</f>
        <v>106</v>
      </c>
      <c r="AT343" s="30">
        <f>IFERROR(__xludf.DUMMYFUNCTION("""COMPUTED_VALUE"""),0.5189550095636649)</f>
        <v>0.5189550096</v>
      </c>
      <c r="AU343" s="30">
        <f>IFERROR(__xludf.DUMMYFUNCTION("""COMPUTED_VALUE"""),1.5633503934003905)</f>
        <v>1.563350393</v>
      </c>
      <c r="AV343" s="32">
        <f>IFERROR(__xludf.DUMMYFUNCTION("""COMPUTED_VALUE"""),41.107044449704155)</f>
        <v>41.10704445</v>
      </c>
      <c r="AW343" s="32">
        <f>IFERROR(__xludf.DUMMYFUNCTION("""COMPUTED_VALUE"""),-2.769885154356257)</f>
        <v>-2.769885154</v>
      </c>
      <c r="AX343" s="32">
        <f>IFERROR(__xludf.DUMMYFUNCTION("""COMPUTED_VALUE"""),28.33862105819454)</f>
        <v>28.33862106</v>
      </c>
      <c r="AY343" s="32">
        <f>IFERROR(__xludf.DUMMYFUNCTION("""COMPUTED_VALUE"""),-5.178119447794761)</f>
        <v>-5.178119448</v>
      </c>
      <c r="AZ343" s="30">
        <f>IFERROR(__xludf.DUMMYFUNCTION("""COMPUTED_VALUE"""),2.408234293438504)</f>
        <v>2.408234293</v>
      </c>
      <c r="BA343" s="30">
        <f>IFERROR(__xludf.DUMMYFUNCTION("""COMPUTED_VALUE"""),1200.0)</f>
        <v>1200</v>
      </c>
    </row>
    <row r="344">
      <c r="A344" s="71" t="str">
        <f>IFERROR(__xludf.DUMMYFUNCTION("""COMPUTED_VALUE"""),"Veteran")</f>
        <v>Veteran</v>
      </c>
      <c r="B344" s="71" t="str">
        <f>IFERROR(__xludf.DUMMYFUNCTION("""COMPUTED_VALUE"""),"RSC007655")</f>
        <v>RSC007655</v>
      </c>
      <c r="C344" s="30" t="str">
        <f>IFERROR(__xludf.DUMMYFUNCTION("""COMPUTED_VALUE"""),"Dx Geo xD")</f>
        <v>Dx Geo xD</v>
      </c>
      <c r="D344" s="30" t="str">
        <f>IFERROR(__xludf.DUMMYFUNCTION("""COMPUTED_VALUE"""),"Water")</f>
        <v>Water</v>
      </c>
      <c r="E344" s="30">
        <f>IFERROR(__xludf.DUMMYFUNCTION("""COMPUTED_VALUE"""),36.0)</f>
        <v>36</v>
      </c>
      <c r="F344" s="30">
        <f>IFERROR(__xludf.DUMMYFUNCTION("""COMPUTED_VALUE"""),20.0)</f>
        <v>20</v>
      </c>
      <c r="G344" s="42">
        <f>IFERROR(__xludf.DUMMYFUNCTION("""COMPUTED_VALUE"""),16.0)</f>
        <v>16</v>
      </c>
      <c r="H344" s="42">
        <f>IFERROR(__xludf.DUMMYFUNCTION("""COMPUTED_VALUE"""),0.5555555555555556)</f>
        <v>0.5555555556</v>
      </c>
      <c r="I344" s="42">
        <f>IFERROR(__xludf.DUMMYFUNCTION("""COMPUTED_VALUE"""),0.3529411764705882)</f>
        <v>0.3529411765</v>
      </c>
      <c r="J344" s="30">
        <f>IFERROR(__xludf.DUMMYFUNCTION("""COMPUTED_VALUE"""),382.44444444444446)</f>
        <v>382.4444444</v>
      </c>
      <c r="K344" s="30">
        <f>IFERROR(__xludf.DUMMYFUNCTION("""COMPUTED_VALUE"""),1.0)</f>
        <v>1</v>
      </c>
      <c r="L344" s="30">
        <f>IFERROR(__xludf.DUMMYFUNCTION("""COMPUTED_VALUE"""),0.5277777777777778)</f>
        <v>0.5277777778</v>
      </c>
      <c r="M344" s="30">
        <f>IFERROR(__xludf.DUMMYFUNCTION("""COMPUTED_VALUE"""),1.3333333333333333)</f>
        <v>1.333333333</v>
      </c>
      <c r="N344" s="30">
        <f>IFERROR(__xludf.DUMMYFUNCTION("""COMPUTED_VALUE"""),2.8333333333333335)</f>
        <v>2.833333333</v>
      </c>
      <c r="O344" s="30">
        <f>IFERROR(__xludf.DUMMYFUNCTION("""COMPUTED_VALUE"""),313.6666666666666)</f>
        <v>313.6666667</v>
      </c>
      <c r="P344" s="30">
        <f>IFERROR(__xludf.DUMMYFUNCTION("""COMPUTED_VALUE"""),0.6203703703703705)</f>
        <v>0.6203703704</v>
      </c>
      <c r="Q344" s="30">
        <f>IFERROR(__xludf.DUMMYFUNCTION("""COMPUTED_VALUE"""),0.425925925925926)</f>
        <v>0.4259259259</v>
      </c>
      <c r="R344" s="30">
        <f>IFERROR(__xludf.DUMMYFUNCTION("""COMPUTED_VALUE"""),1.1666666666666665)</f>
        <v>1.166666667</v>
      </c>
      <c r="S344" s="30">
        <f>IFERROR(__xludf.DUMMYFUNCTION("""COMPUTED_VALUE"""),2.342592592592592)</f>
        <v>2.342592593</v>
      </c>
      <c r="T344" s="30">
        <f>IFERROR(__xludf.DUMMYFUNCTION("""COMPUTED_VALUE"""),356.0249802877037)</f>
        <v>356.0249803</v>
      </c>
      <c r="U344" s="30">
        <f>IFERROR(__xludf.DUMMYFUNCTION("""COMPUTED_VALUE"""),0.8051115125384221)</f>
        <v>0.8051115125</v>
      </c>
      <c r="V344" s="30">
        <f>IFERROR(__xludf.DUMMYFUNCTION("""COMPUTED_VALUE"""),0.5728313527180817)</f>
        <v>0.5728313527</v>
      </c>
      <c r="W344" s="30">
        <f>IFERROR(__xludf.DUMMYFUNCTION("""COMPUTED_VALUE"""),1.31976296412713)</f>
        <v>1.319762964</v>
      </c>
      <c r="X344" s="30">
        <f>IFERROR(__xludf.DUMMYFUNCTION("""COMPUTED_VALUE"""),2.576607169317894)</f>
        <v>2.576607169</v>
      </c>
      <c r="Y344" s="30">
        <f>IFERROR(__xludf.DUMMYFUNCTION("""COMPUTED_VALUE"""),359.2494462269516)</f>
        <v>359.2494462</v>
      </c>
      <c r="Z344" s="30">
        <f>IFERROR(__xludf.DUMMYFUNCTION("""COMPUTED_VALUE"""),0.8207438579066877)</f>
        <v>0.8207438579</v>
      </c>
      <c r="AA344" s="30">
        <f>IFERROR(__xludf.DUMMYFUNCTION("""COMPUTED_VALUE"""),0.5990846343850785)</f>
        <v>0.5990846344</v>
      </c>
      <c r="AB344" s="30">
        <f>IFERROR(__xludf.DUMMYFUNCTION("""COMPUTED_VALUE"""),1.3287314357955624)</f>
        <v>1.328731436</v>
      </c>
      <c r="AC344" s="30">
        <f>IFERROR(__xludf.DUMMYFUNCTION("""COMPUTED_VALUE"""),2.692710557188479)</f>
        <v>2.692710557</v>
      </c>
      <c r="AD344" s="30">
        <f>IFERROR(__xludf.DUMMYFUNCTION("""COMPUTED_VALUE"""),1.064565160673455)</f>
        <v>1.064565161</v>
      </c>
      <c r="AE344" s="30">
        <f>IFERROR(__xludf.DUMMYFUNCTION("""COMPUTED_VALUE"""),1.2184069248480351)</f>
        <v>1.218406925</v>
      </c>
      <c r="AF344" s="30">
        <f>IFERROR(__xludf.DUMMYFUNCTION("""COMPUTED_VALUE"""),0.8809736512763466)</f>
        <v>0.8809736513</v>
      </c>
      <c r="AG344" s="30">
        <f>IFERROR(__xludf.DUMMYFUNCTION("""COMPUTED_VALUE"""),1.0034633767319696)</f>
        <v>1.003463377</v>
      </c>
      <c r="AH344" s="30">
        <f>IFERROR(__xludf.DUMMYFUNCTION("""COMPUTED_VALUE"""),1.0522235023624975)</f>
        <v>1.052223502</v>
      </c>
      <c r="AI344" s="30">
        <f>IFERROR(__xludf.DUMMYFUNCTION("""COMPUTED_VALUE"""),0.8810243214203469)</f>
        <v>0.8810243214</v>
      </c>
      <c r="AJ344" s="30">
        <f>IFERROR(__xludf.DUMMYFUNCTION("""COMPUTED_VALUE"""),0.7705396838934964)</f>
        <v>0.7705396839</v>
      </c>
      <c r="AK344" s="30">
        <f>IFERROR(__xludf.DUMMYFUNCTION("""COMPUTED_VALUE"""),0.7435450659341702)</f>
        <v>0.7435450659</v>
      </c>
      <c r="AL344" s="30">
        <f>IFERROR(__xludf.DUMMYFUNCTION("""COMPUTED_VALUE"""),0.8839971255279777)</f>
        <v>0.8839971255</v>
      </c>
      <c r="AM344" s="30">
        <f>IFERROR(__xludf.DUMMYFUNCTION("""COMPUTED_VALUE"""),0.9091772391570063)</f>
        <v>0.9091772392</v>
      </c>
      <c r="AN344" s="30">
        <f>IFERROR(__xludf.DUMMYFUNCTION("""COMPUTED_VALUE"""),1.1062807262017706)</f>
        <v>1.106280726</v>
      </c>
      <c r="AO344" s="30">
        <f>IFERROR(__xludf.DUMMYFUNCTION("""COMPUTED_VALUE"""),1.3235164413454918)</f>
        <v>1.323516441</v>
      </c>
      <c r="AP344" s="30">
        <f>IFERROR(__xludf.DUMMYFUNCTION("""COMPUTED_VALUE"""),0.9494838228516103)</f>
        <v>0.9494838229</v>
      </c>
      <c r="AQ344" s="30">
        <f>IFERROR(__xludf.DUMMYFUNCTION("""COMPUTED_VALUE"""),0.9854856771603255)</f>
        <v>0.9854856772</v>
      </c>
      <c r="AR344" s="30">
        <f>IFERROR(__xludf.DUMMYFUNCTION("""COMPUTED_VALUE"""),1.1113233770828197)</f>
        <v>1.111323377</v>
      </c>
      <c r="AS344" s="30">
        <f>IFERROR(__xludf.DUMMYFUNCTION("""COMPUTED_VALUE"""),91.0)</f>
        <v>91</v>
      </c>
      <c r="AT344" s="30">
        <f>IFERROR(__xludf.DUMMYFUNCTION("""COMPUTED_VALUE"""),0.6149276607409367)</f>
        <v>0.6149276607</v>
      </c>
      <c r="AU344" s="30">
        <f>IFERROR(__xludf.DUMMYFUNCTION("""COMPUTED_VALUE"""),2.493513815400986)</f>
        <v>2.493513815</v>
      </c>
      <c r="AV344" s="32">
        <f>IFERROR(__xludf.DUMMYFUNCTION("""COMPUTED_VALUE"""),74.3623343053931)</f>
        <v>74.36233431</v>
      </c>
      <c r="AW344" s="32">
        <f>IFERROR(__xludf.DUMMYFUNCTION("""COMPUTED_VALUE"""),6.064067570366799)</f>
        <v>6.06406757</v>
      </c>
      <c r="AX344" s="32">
        <f>IFERROR(__xludf.DUMMYFUNCTION("""COMPUTED_VALUE"""),65.0668004923517)</f>
        <v>65.06680049</v>
      </c>
      <c r="AY344" s="32">
        <f>IFERROR(__xludf.DUMMYFUNCTION("""COMPUTED_VALUE"""),3.6581335287125962)</f>
        <v>3.658133529</v>
      </c>
      <c r="AZ344" s="30">
        <f>IFERROR(__xludf.DUMMYFUNCTION("""COMPUTED_VALUE"""),2.4059340416542025)</f>
        <v>2.405934042</v>
      </c>
      <c r="BA344" s="30">
        <f>IFERROR(__xludf.DUMMYFUNCTION("""COMPUTED_VALUE"""),1200.0)</f>
        <v>1200</v>
      </c>
    </row>
    <row r="345">
      <c r="A345" s="71" t="str">
        <f>IFERROR(__xludf.DUMMYFUNCTION("""COMPUTED_VALUE"""),"Veteran")</f>
        <v>Veteran</v>
      </c>
      <c r="B345" s="71" t="str">
        <f>IFERROR(__xludf.DUMMYFUNCTION("""COMPUTED_VALUE"""),"RSC006978")</f>
        <v>RSC006978</v>
      </c>
      <c r="C345" s="30" t="str">
        <f>IFERROR(__xludf.DUMMYFUNCTION("""COMPUTED_VALUE"""),"Tuhlur.")</f>
        <v>Tuhlur.</v>
      </c>
      <c r="D345" s="30" t="str">
        <f>IFERROR(__xludf.DUMMYFUNCTION("""COMPUTED_VALUE"""),"Dog Fighters")</f>
        <v>Dog Fighters</v>
      </c>
      <c r="E345" s="30">
        <f>IFERROR(__xludf.DUMMYFUNCTION("""COMPUTED_VALUE"""),24.0)</f>
        <v>24</v>
      </c>
      <c r="F345" s="30">
        <f>IFERROR(__xludf.DUMMYFUNCTION("""COMPUTED_VALUE"""),14.0)</f>
        <v>14</v>
      </c>
      <c r="G345" s="42">
        <f>IFERROR(__xludf.DUMMYFUNCTION("""COMPUTED_VALUE"""),10.0)</f>
        <v>10</v>
      </c>
      <c r="H345" s="42">
        <f>IFERROR(__xludf.DUMMYFUNCTION("""COMPUTED_VALUE"""),0.5833333333333334)</f>
        <v>0.5833333333</v>
      </c>
      <c r="I345" s="42">
        <f>IFERROR(__xludf.DUMMYFUNCTION("""COMPUTED_VALUE"""),0.2708333333333333)</f>
        <v>0.2708333333</v>
      </c>
      <c r="J345" s="30">
        <f>IFERROR(__xludf.DUMMYFUNCTION("""COMPUTED_VALUE"""),387.25)</f>
        <v>387.25</v>
      </c>
      <c r="K345" s="30">
        <f>IFERROR(__xludf.DUMMYFUNCTION("""COMPUTED_VALUE"""),1.0833333333333333)</f>
        <v>1.083333333</v>
      </c>
      <c r="L345" s="30">
        <f>IFERROR(__xludf.DUMMYFUNCTION("""COMPUTED_VALUE"""),0.4583333333333333)</f>
        <v>0.4583333333</v>
      </c>
      <c r="M345" s="30">
        <f>IFERROR(__xludf.DUMMYFUNCTION("""COMPUTED_VALUE"""),1.125)</f>
        <v>1.125</v>
      </c>
      <c r="N345" s="30">
        <f>IFERROR(__xludf.DUMMYFUNCTION("""COMPUTED_VALUE"""),4.0)</f>
        <v>4</v>
      </c>
      <c r="O345" s="30">
        <f>IFERROR(__xludf.DUMMYFUNCTION("""COMPUTED_VALUE"""),344.5)</f>
        <v>344.5</v>
      </c>
      <c r="P345" s="30">
        <f>IFERROR(__xludf.DUMMYFUNCTION("""COMPUTED_VALUE"""),0.5972222222222222)</f>
        <v>0.5972222222</v>
      </c>
      <c r="Q345" s="30">
        <f>IFERROR(__xludf.DUMMYFUNCTION("""COMPUTED_VALUE"""),0.4305555555555556)</f>
        <v>0.4305555556</v>
      </c>
      <c r="R345" s="30">
        <f>IFERROR(__xludf.DUMMYFUNCTION("""COMPUTED_VALUE"""),1.5833333333333337)</f>
        <v>1.583333333</v>
      </c>
      <c r="S345" s="30">
        <f>IFERROR(__xludf.DUMMYFUNCTION("""COMPUTED_VALUE"""),2.1250000000000004)</f>
        <v>2.125</v>
      </c>
      <c r="T345" s="30">
        <f>IFERROR(__xludf.DUMMYFUNCTION("""COMPUTED_VALUE"""),333.50030824672024)</f>
        <v>333.5003082</v>
      </c>
      <c r="U345" s="30">
        <f>IFERROR(__xludf.DUMMYFUNCTION("""COMPUTED_VALUE"""),0.6621947225266922)</f>
        <v>0.6621947225</v>
      </c>
      <c r="V345" s="30">
        <f>IFERROR(__xludf.DUMMYFUNCTION("""COMPUTED_VALUE"""),0.5118405839476764)</f>
        <v>0.5118405839</v>
      </c>
      <c r="W345" s="30">
        <f>IFERROR(__xludf.DUMMYFUNCTION("""COMPUTED_VALUE"""),1.354495208050363)</f>
        <v>1.354495208</v>
      </c>
      <c r="X345" s="30">
        <f>IFERROR(__xludf.DUMMYFUNCTION("""COMPUTED_VALUE"""),2.39193224699882)</f>
        <v>2.391932247</v>
      </c>
      <c r="Y345" s="30">
        <f>IFERROR(__xludf.DUMMYFUNCTION("""COMPUTED_VALUE"""),347.99528812759735)</f>
        <v>347.9952881</v>
      </c>
      <c r="Z345" s="30">
        <f>IFERROR(__xludf.DUMMYFUNCTION("""COMPUTED_VALUE"""),0.7820898275224653)</f>
        <v>0.7820898275</v>
      </c>
      <c r="AA345" s="30">
        <f>IFERROR(__xludf.DUMMYFUNCTION("""COMPUTED_VALUE"""),0.5753788281750049)</f>
        <v>0.5753788282</v>
      </c>
      <c r="AB345" s="30">
        <f>IFERROR(__xludf.DUMMYFUNCTION("""COMPUTED_VALUE"""),1.3107116464097515)</f>
        <v>1.310711646</v>
      </c>
      <c r="AC345" s="30">
        <f>IFERROR(__xludf.DUMMYFUNCTION("""COMPUTED_VALUE"""),2.6203092560213954)</f>
        <v>2.620309256</v>
      </c>
      <c r="AD345" s="30">
        <f>IFERROR(__xludf.DUMMYFUNCTION("""COMPUTED_VALUE"""),1.1128024235144511)</f>
        <v>1.112802424</v>
      </c>
      <c r="AE345" s="30">
        <f>IFERROR(__xludf.DUMMYFUNCTION("""COMPUTED_VALUE"""),1.3851776294868314)</f>
        <v>1.385177629</v>
      </c>
      <c r="AF345" s="30">
        <f>IFERROR(__xludf.DUMMYFUNCTION("""COMPUTED_VALUE"""),0.796576639406566)</f>
        <v>0.7965766394</v>
      </c>
      <c r="AG345" s="30">
        <f>IFERROR(__xludf.DUMMYFUNCTION("""COMPUTED_VALUE"""),0.8583123550336603)</f>
        <v>0.858312355</v>
      </c>
      <c r="AH345" s="30">
        <f>IFERROR(__xludf.DUMMYFUNCTION("""COMPUTED_VALUE"""),1.526537369895601)</f>
        <v>1.52653737</v>
      </c>
      <c r="AI345" s="30">
        <f>IFERROR(__xludf.DUMMYFUNCTION("""COMPUTED_VALUE"""),1.032982553482806)</f>
        <v>1.032982553</v>
      </c>
      <c r="AJ345" s="30">
        <f>IFERROR(__xludf.DUMMYFUNCTION("""COMPUTED_VALUE"""),0.9018830895290757)</f>
        <v>0.9018830895</v>
      </c>
      <c r="AK345" s="30">
        <f>IFERROR(__xludf.DUMMYFUNCTION("""COMPUTED_VALUE"""),0.8411907321510279)</f>
        <v>0.8411907322</v>
      </c>
      <c r="AL345" s="30">
        <f>IFERROR(__xludf.DUMMYFUNCTION("""COMPUTED_VALUE"""),1.1689471649090264)</f>
        <v>1.168947165</v>
      </c>
      <c r="AM345" s="30">
        <f>IFERROR(__xludf.DUMMYFUNCTION("""COMPUTED_VALUE"""),0.8884030902908133)</f>
        <v>0.8884030903</v>
      </c>
      <c r="AN345" s="30">
        <f>IFERROR(__xludf.DUMMYFUNCTION("""COMPUTED_VALUE"""),1.120181551712586)</f>
        <v>1.120181552</v>
      </c>
      <c r="AO345" s="30">
        <f>IFERROR(__xludf.DUMMYFUNCTION("""COMPUTED_VALUE"""),1.4338094781242827)</f>
        <v>1.433809478</v>
      </c>
      <c r="AP345" s="30">
        <f>IFERROR(__xludf.DUMMYFUNCTION("""COMPUTED_VALUE"""),0.824551740897451)</f>
        <v>0.8245517409</v>
      </c>
      <c r="AQ345" s="30">
        <f>IFERROR(__xludf.DUMMYFUNCTION("""COMPUTED_VALUE"""),0.8315035401040247)</f>
        <v>0.8315035401</v>
      </c>
      <c r="AR345" s="30">
        <f>IFERROR(__xludf.DUMMYFUNCTION("""COMPUTED_VALUE"""),1.5689271205875102)</f>
        <v>1.568927121</v>
      </c>
      <c r="AS345" s="30">
        <f>IFERROR(__xludf.DUMMYFUNCTION("""COMPUTED_VALUE"""),57.0)</f>
        <v>57</v>
      </c>
      <c r="AT345" s="30">
        <f>IFERROR(__xludf.DUMMYFUNCTION("""COMPUTED_VALUE"""),0.6045645799383165)</f>
        <v>0.6045645799</v>
      </c>
      <c r="AU345" s="30">
        <f>IFERROR(__xludf.DUMMYFUNCTION("""COMPUTED_VALUE"""),2.7667928781050835)</f>
        <v>2.766792878</v>
      </c>
      <c r="AV345" s="32">
        <f>IFERROR(__xludf.DUMMYFUNCTION("""COMPUTED_VALUE"""),84.13263297201809)</f>
        <v>84.13263297</v>
      </c>
      <c r="AW345" s="32">
        <f>IFERROR(__xludf.DUMMYFUNCTION("""COMPUTED_VALUE"""),11.617295525831885)</f>
        <v>11.61729553</v>
      </c>
      <c r="AX345" s="32">
        <f>IFERROR(__xludf.DUMMYFUNCTION("""COMPUTED_VALUE"""),80.89282331137701)</f>
        <v>80.89282331</v>
      </c>
      <c r="AY345" s="32">
        <f>IFERROR(__xludf.DUMMYFUNCTION("""COMPUTED_VALUE"""),9.235090314648811)</f>
        <v>9.235090315</v>
      </c>
      <c r="AZ345" s="30">
        <f>IFERROR(__xludf.DUMMYFUNCTION("""COMPUTED_VALUE"""),2.3822052111830736)</f>
        <v>2.382205211</v>
      </c>
      <c r="BA345" s="30">
        <f>IFERROR(__xludf.DUMMYFUNCTION("""COMPUTED_VALUE"""),1200.0)</f>
        <v>1200</v>
      </c>
    </row>
    <row r="346">
      <c r="A346" s="71" t="str">
        <f>IFERROR(__xludf.DUMMYFUNCTION("""COMPUTED_VALUE"""),"Veteran")</f>
        <v>Veteran</v>
      </c>
      <c r="B346" s="71" t="str">
        <f>IFERROR(__xludf.DUMMYFUNCTION("""COMPUTED_VALUE"""),"RSC003250")</f>
        <v>RSC003250</v>
      </c>
      <c r="C346" s="30" t="str">
        <f>IFERROR(__xludf.DUMMYFUNCTION("""COMPUTED_VALUE"""),"Chefty")</f>
        <v>Chefty</v>
      </c>
      <c r="D346" s="30" t="str">
        <f>IFERROR(__xludf.DUMMYFUNCTION("""COMPUTED_VALUE"""),"Werewolves")</f>
        <v>Werewolves</v>
      </c>
      <c r="E346" s="30">
        <f>IFERROR(__xludf.DUMMYFUNCTION("""COMPUTED_VALUE"""),46.0)</f>
        <v>46</v>
      </c>
      <c r="F346" s="30">
        <f>IFERROR(__xludf.DUMMYFUNCTION("""COMPUTED_VALUE"""),18.0)</f>
        <v>18</v>
      </c>
      <c r="G346" s="42">
        <f>IFERROR(__xludf.DUMMYFUNCTION("""COMPUTED_VALUE"""),28.0)</f>
        <v>28</v>
      </c>
      <c r="H346" s="42">
        <f>IFERROR(__xludf.DUMMYFUNCTION("""COMPUTED_VALUE"""),0.391304347826087)</f>
        <v>0.3913043478</v>
      </c>
      <c r="I346" s="42">
        <f>IFERROR(__xludf.DUMMYFUNCTION("""COMPUTED_VALUE"""),0.22000000000000003)</f>
        <v>0.22</v>
      </c>
      <c r="J346" s="30">
        <f>IFERROR(__xludf.DUMMYFUNCTION("""COMPUTED_VALUE"""),316.7391304347826)</f>
        <v>316.7391304</v>
      </c>
      <c r="K346" s="30">
        <f>IFERROR(__xludf.DUMMYFUNCTION("""COMPUTED_VALUE"""),0.4782608695652174)</f>
        <v>0.4782608696</v>
      </c>
      <c r="L346" s="30">
        <f>IFERROR(__xludf.DUMMYFUNCTION("""COMPUTED_VALUE"""),0.43478260869565216)</f>
        <v>0.4347826087</v>
      </c>
      <c r="M346" s="30">
        <f>IFERROR(__xludf.DUMMYFUNCTION("""COMPUTED_VALUE"""),1.5)</f>
        <v>1.5</v>
      </c>
      <c r="N346" s="30">
        <f>IFERROR(__xludf.DUMMYFUNCTION("""COMPUTED_VALUE"""),2.1739130434782608)</f>
        <v>2.173913043</v>
      </c>
      <c r="O346" s="30">
        <f>IFERROR(__xludf.DUMMYFUNCTION("""COMPUTED_VALUE"""),405.1811594202898)</f>
        <v>405.1811594</v>
      </c>
      <c r="P346" s="30">
        <f>IFERROR(__xludf.DUMMYFUNCTION("""COMPUTED_VALUE"""),1.050724637681159)</f>
        <v>1.050724638</v>
      </c>
      <c r="Q346" s="30">
        <f>IFERROR(__xludf.DUMMYFUNCTION("""COMPUTED_VALUE"""),0.7246376811594203)</f>
        <v>0.7246376812</v>
      </c>
      <c r="R346" s="30">
        <f>IFERROR(__xludf.DUMMYFUNCTION("""COMPUTED_VALUE"""),1.5217391304347827)</f>
        <v>1.52173913</v>
      </c>
      <c r="S346" s="30">
        <f>IFERROR(__xludf.DUMMYFUNCTION("""COMPUTED_VALUE"""),2.9347826086956514)</f>
        <v>2.934782609</v>
      </c>
      <c r="T346" s="30">
        <f>IFERROR(__xludf.DUMMYFUNCTION("""COMPUTED_VALUE"""),354.8928762644199)</f>
        <v>354.8928763</v>
      </c>
      <c r="U346" s="30">
        <f>IFERROR(__xludf.DUMMYFUNCTION("""COMPUTED_VALUE"""),0.81162372806908)</f>
        <v>0.8116237281</v>
      </c>
      <c r="V346" s="30">
        <f>IFERROR(__xludf.DUMMYFUNCTION("""COMPUTED_VALUE"""),0.5883532810680587)</f>
        <v>0.5883532811</v>
      </c>
      <c r="W346" s="30">
        <f>IFERROR(__xludf.DUMMYFUNCTION("""COMPUTED_VALUE"""),1.3314446545421965)</f>
        <v>1.331444655</v>
      </c>
      <c r="X346" s="30">
        <f>IFERROR(__xludf.DUMMYFUNCTION("""COMPUTED_VALUE"""),2.653385545536024)</f>
        <v>2.653385546</v>
      </c>
      <c r="Y346" s="30">
        <f>IFERROR(__xludf.DUMMYFUNCTION("""COMPUTED_VALUE"""),355.316976889542)</f>
        <v>355.3169769</v>
      </c>
      <c r="Z346" s="30">
        <f>IFERROR(__xludf.DUMMYFUNCTION("""COMPUTED_VALUE"""),0.7958054241385242)</f>
        <v>0.7958054241</v>
      </c>
      <c r="AA346" s="30">
        <f>IFERROR(__xludf.DUMMYFUNCTION("""COMPUTED_VALUE"""),0.5785344253806641)</f>
        <v>0.5785344254</v>
      </c>
      <c r="AB346" s="30">
        <f>IFERROR(__xludf.DUMMYFUNCTION("""COMPUTED_VALUE"""),1.3557224075062997)</f>
        <v>1.355722408</v>
      </c>
      <c r="AC346" s="30">
        <f>IFERROR(__xludf.DUMMYFUNCTION("""COMPUTED_VALUE"""),2.573242602178332)</f>
        <v>2.573242602</v>
      </c>
      <c r="AD346" s="30">
        <f>IFERROR(__xludf.DUMMYFUNCTION("""COMPUTED_VALUE"""),0.891426954060931)</f>
        <v>0.8914269541</v>
      </c>
      <c r="AE346" s="30">
        <f>IFERROR(__xludf.DUMMYFUNCTION("""COMPUTED_VALUE"""),0.6009771422241117)</f>
        <v>0.6009771422</v>
      </c>
      <c r="AF346" s="30">
        <f>IFERROR(__xludf.DUMMYFUNCTION("""COMPUTED_VALUE"""),0.751524178374647)</f>
        <v>0.7515241784</v>
      </c>
      <c r="AG346" s="30">
        <f>IFERROR(__xludf.DUMMYFUNCTION("""COMPUTED_VALUE"""),1.106421190425762)</f>
        <v>1.10642119</v>
      </c>
      <c r="AH346" s="30">
        <f>IFERROR(__xludf.DUMMYFUNCTION("""COMPUTED_VALUE"""),0.8448146481167278)</f>
        <v>0.8448146481</v>
      </c>
      <c r="AI346" s="30">
        <f>IFERROR(__xludf.DUMMYFUNCTION("""COMPUTED_VALUE"""),1.1416998945856598)</f>
        <v>1.141699895</v>
      </c>
      <c r="AJ346" s="30">
        <f>IFERROR(__xludf.DUMMYFUNCTION("""COMPUTED_VALUE"""),1.2945957607485428)</f>
        <v>1.294595761</v>
      </c>
      <c r="AK346" s="30">
        <f>IFERROR(__xludf.DUMMYFUNCTION("""COMPUTED_VALUE"""),1.2316370189080268)</f>
        <v>1.231637019</v>
      </c>
      <c r="AL346" s="30">
        <f>IFERROR(__xludf.DUMMYFUNCTION("""COMPUTED_VALUE"""),1.1429233090864126)</f>
        <v>1.142923309</v>
      </c>
      <c r="AM346" s="30">
        <f>IFERROR(__xludf.DUMMYFUNCTION("""COMPUTED_VALUE"""),1.1060520826432636)</f>
        <v>1.106052083</v>
      </c>
      <c r="AN346" s="30">
        <f>IFERROR(__xludf.DUMMYFUNCTION("""COMPUTED_VALUE"""),0.9162177678980761)</f>
        <v>0.9162177679</v>
      </c>
      <c r="AO346" s="30">
        <f>IFERROR(__xludf.DUMMYFUNCTION("""COMPUTED_VALUE"""),0.632986124121757)</f>
        <v>0.6329861241</v>
      </c>
      <c r="AP346" s="30">
        <f>IFERROR(__xludf.DUMMYFUNCTION("""COMPUTED_VALUE"""),0.7821834696260405)</f>
        <v>0.7821834696</v>
      </c>
      <c r="AQ346" s="30">
        <f>IFERROR(__xludf.DUMMYFUNCTION("""COMPUTED_VALUE"""),1.1086713868053664)</f>
        <v>1.108671387</v>
      </c>
      <c r="AR346" s="30">
        <f>IFERROR(__xludf.DUMMYFUNCTION("""COMPUTED_VALUE"""),0.8526777829279947)</f>
        <v>0.8526777829</v>
      </c>
      <c r="AS346" s="30">
        <f>IFERROR(__xludf.DUMMYFUNCTION("""COMPUTED_VALUE"""),100.0)</f>
        <v>100</v>
      </c>
      <c r="AT346" s="30">
        <f>IFERROR(__xludf.DUMMYFUNCTION("""COMPUTED_VALUE"""),0.3542295415548155)</f>
        <v>0.3542295416</v>
      </c>
      <c r="AU346" s="30">
        <f>IFERROR(__xludf.DUMMYFUNCTION("""COMPUTED_VALUE"""),0.9111615491412925)</f>
        <v>0.9111615491</v>
      </c>
      <c r="AV346" s="32">
        <f>IFERROR(__xludf.DUMMYFUNCTION("""COMPUTED_VALUE"""),17.789927754408872)</f>
        <v>17.78992775</v>
      </c>
      <c r="AW346" s="32">
        <f>IFERROR(__xludf.DUMMYFUNCTION("""COMPUTED_VALUE"""),-10.121162802103532)</f>
        <v>-10.1211628</v>
      </c>
      <c r="AX346" s="32">
        <f>IFERROR(__xludf.DUMMYFUNCTION("""COMPUTED_VALUE"""),21.44919167575973)</f>
        <v>21.44919168</v>
      </c>
      <c r="AY346" s="32">
        <f>IFERROR(__xludf.DUMMYFUNCTION("""COMPUTED_VALUE"""),-7.891396075159737)</f>
        <v>-7.891396075</v>
      </c>
      <c r="AZ346" s="30">
        <f>IFERROR(__xludf.DUMMYFUNCTION("""COMPUTED_VALUE"""),2.2297667269437946)</f>
        <v>2.229766727</v>
      </c>
      <c r="BA346" s="30">
        <f>IFERROR(__xludf.DUMMYFUNCTION("""COMPUTED_VALUE"""),1200.0)</f>
        <v>1200</v>
      </c>
    </row>
    <row r="347">
      <c r="A347" s="71" t="str">
        <f>IFERROR(__xludf.DUMMYFUNCTION("""COMPUTED_VALUE"""),"Veteran")</f>
        <v>Veteran</v>
      </c>
      <c r="B347" s="71" t="str">
        <f>IFERROR(__xludf.DUMMYFUNCTION("""COMPUTED_VALUE"""),"RSC006424")</f>
        <v>RSC006424</v>
      </c>
      <c r="C347" s="30" t="str">
        <f>IFERROR(__xludf.DUMMYFUNCTION("""COMPUTED_VALUE"""),"TTV Ravenshunter")</f>
        <v>TTV Ravenshunter</v>
      </c>
      <c r="D347" s="30" t="str">
        <f>IFERROR(__xludf.DUMMYFUNCTION("""COMPUTED_VALUE"""),"Azalea")</f>
        <v>Azalea</v>
      </c>
      <c r="E347" s="30">
        <f>IFERROR(__xludf.DUMMYFUNCTION("""COMPUTED_VALUE"""),19.0)</f>
        <v>19</v>
      </c>
      <c r="F347" s="30">
        <f>IFERROR(__xludf.DUMMYFUNCTION("""COMPUTED_VALUE"""),7.0)</f>
        <v>7</v>
      </c>
      <c r="G347" s="42">
        <f>IFERROR(__xludf.DUMMYFUNCTION("""COMPUTED_VALUE"""),12.0)</f>
        <v>12</v>
      </c>
      <c r="H347" s="42">
        <f>IFERROR(__xludf.DUMMYFUNCTION("""COMPUTED_VALUE"""),0.3684210526315789)</f>
        <v>0.3684210526</v>
      </c>
      <c r="I347" s="42">
        <f>IFERROR(__xludf.DUMMYFUNCTION("""COMPUTED_VALUE"""),0.3548387096774194)</f>
        <v>0.3548387097</v>
      </c>
      <c r="J347" s="30">
        <f>IFERROR(__xludf.DUMMYFUNCTION("""COMPUTED_VALUE"""),392.3157894736842)</f>
        <v>392.3157895</v>
      </c>
      <c r="K347" s="30">
        <f>IFERROR(__xludf.DUMMYFUNCTION("""COMPUTED_VALUE"""),1.1578947368421053)</f>
        <v>1.157894737</v>
      </c>
      <c r="L347" s="30">
        <f>IFERROR(__xludf.DUMMYFUNCTION("""COMPUTED_VALUE"""),0.3684210526315789)</f>
        <v>0.3684210526</v>
      </c>
      <c r="M347" s="30">
        <f>IFERROR(__xludf.DUMMYFUNCTION("""COMPUTED_VALUE"""),1.2105263157894737)</f>
        <v>1.210526316</v>
      </c>
      <c r="N347" s="30">
        <f>IFERROR(__xludf.DUMMYFUNCTION("""COMPUTED_VALUE"""),3.263157894736842)</f>
        <v>3.263157895</v>
      </c>
      <c r="O347" s="30">
        <f>IFERROR(__xludf.DUMMYFUNCTION("""COMPUTED_VALUE"""),383.17543859649123)</f>
        <v>383.1754386</v>
      </c>
      <c r="P347" s="30">
        <f>IFERROR(__xludf.DUMMYFUNCTION("""COMPUTED_VALUE"""),1.0350877192982457)</f>
        <v>1.035087719</v>
      </c>
      <c r="Q347" s="30">
        <f>IFERROR(__xludf.DUMMYFUNCTION("""COMPUTED_VALUE"""),0.6842105263157894)</f>
        <v>0.6842105263</v>
      </c>
      <c r="R347" s="30">
        <f>IFERROR(__xludf.DUMMYFUNCTION("""COMPUTED_VALUE"""),1.1578947368421053)</f>
        <v>1.157894737</v>
      </c>
      <c r="S347" s="30">
        <f>IFERROR(__xludf.DUMMYFUNCTION("""COMPUTED_VALUE"""),3.263157894736842)</f>
        <v>3.263157895</v>
      </c>
      <c r="T347" s="30">
        <f>IFERROR(__xludf.DUMMYFUNCTION("""COMPUTED_VALUE"""),379.15165661223637)</f>
        <v>379.1516566</v>
      </c>
      <c r="U347" s="30">
        <f>IFERROR(__xludf.DUMMYFUNCTION("""COMPUTED_VALUE"""),0.9244739515097719)</f>
        <v>0.9244739515</v>
      </c>
      <c r="V347" s="30">
        <f>IFERROR(__xludf.DUMMYFUNCTION("""COMPUTED_VALUE"""),0.6620481912350759)</f>
        <v>0.6620481912</v>
      </c>
      <c r="W347" s="30">
        <f>IFERROR(__xludf.DUMMYFUNCTION("""COMPUTED_VALUE"""),1.3245071641032076)</f>
        <v>1.324507164</v>
      </c>
      <c r="X347" s="30">
        <f>IFERROR(__xludf.DUMMYFUNCTION("""COMPUTED_VALUE"""),2.968197294648887)</f>
        <v>2.968197295</v>
      </c>
      <c r="Y347" s="30">
        <f>IFERROR(__xludf.DUMMYFUNCTION("""COMPUTED_VALUE"""),359.32283920450703)</f>
        <v>359.3228392</v>
      </c>
      <c r="Z347" s="30">
        <f>IFERROR(__xludf.DUMMYFUNCTION("""COMPUTED_VALUE"""),0.7615363499614363)</f>
        <v>0.76153635</v>
      </c>
      <c r="AA347" s="30">
        <f>IFERROR(__xludf.DUMMYFUNCTION("""COMPUTED_VALUE"""),0.5593718846983807)</f>
        <v>0.5593718847</v>
      </c>
      <c r="AB347" s="30">
        <f>IFERROR(__xludf.DUMMYFUNCTION("""COMPUTED_VALUE"""),1.5176234475081856)</f>
        <v>1.517623448</v>
      </c>
      <c r="AC347" s="30">
        <f>IFERROR(__xludf.DUMMYFUNCTION("""COMPUTED_VALUE"""),2.541376633415455)</f>
        <v>2.541376633</v>
      </c>
      <c r="AD347" s="30">
        <f>IFERROR(__xludf.DUMMYFUNCTION("""COMPUTED_VALUE"""),1.0918197973227062)</f>
        <v>1.091819797</v>
      </c>
      <c r="AE347" s="30">
        <f>IFERROR(__xludf.DUMMYFUNCTION("""COMPUTED_VALUE"""),1.5204720521886321)</f>
        <v>1.520472052</v>
      </c>
      <c r="AF347" s="30">
        <f>IFERROR(__xludf.DUMMYFUNCTION("""COMPUTED_VALUE"""),0.6586334828577155)</f>
        <v>0.6586334829</v>
      </c>
      <c r="AG347" s="30">
        <f>IFERROR(__xludf.DUMMYFUNCTION("""COMPUTED_VALUE"""),0.7976460285830846)</f>
        <v>0.7976460286</v>
      </c>
      <c r="AH347" s="30">
        <f>IFERROR(__xludf.DUMMYFUNCTION("""COMPUTED_VALUE"""),1.284011921661276)</f>
        <v>1.284011922</v>
      </c>
      <c r="AI347" s="30">
        <f>IFERROR(__xludf.DUMMYFUNCTION("""COMPUTED_VALUE"""),1.0106125923864024)</f>
        <v>1.010612592</v>
      </c>
      <c r="AJ347" s="30">
        <f>IFERROR(__xludf.DUMMYFUNCTION("""COMPUTED_VALUE"""),1.1196504970289634)</f>
        <v>1.119650497</v>
      </c>
      <c r="AK347" s="30">
        <f>IFERROR(__xludf.DUMMYFUNCTION("""COMPUTED_VALUE"""),1.033475410663639)</f>
        <v>1.033475411</v>
      </c>
      <c r="AL347" s="30">
        <f>IFERROR(__xludf.DUMMYFUNCTION("""COMPUTED_VALUE"""),0.8742079833340036)</f>
        <v>0.8742079833</v>
      </c>
      <c r="AM347" s="30">
        <f>IFERROR(__xludf.DUMMYFUNCTION("""COMPUTED_VALUE"""),1.0993736503364229)</f>
        <v>1.09937365</v>
      </c>
      <c r="AN347" s="30">
        <f>IFERROR(__xludf.DUMMYFUNCTION("""COMPUTED_VALUE"""),1.1348351447746412)</f>
        <v>1.134835145</v>
      </c>
      <c r="AO347" s="30">
        <f>IFERROR(__xludf.DUMMYFUNCTION("""COMPUTED_VALUE"""),1.532492721557938)</f>
        <v>1.532492722</v>
      </c>
      <c r="AP347" s="30">
        <f>IFERROR(__xludf.DUMMYFUNCTION("""COMPUTED_VALUE"""),0.6627975716304869)</f>
        <v>0.6627975716</v>
      </c>
      <c r="AQ347" s="30">
        <f>IFERROR(__xludf.DUMMYFUNCTION("""COMPUTED_VALUE"""),0.8947172595271378)</f>
        <v>0.8947172595</v>
      </c>
      <c r="AR347" s="30">
        <f>IFERROR(__xludf.DUMMYFUNCTION("""COMPUTED_VALUE"""),1.2799142299529689)</f>
        <v>1.27991423</v>
      </c>
      <c r="AS347" s="30">
        <f>IFERROR(__xludf.DUMMYFUNCTION("""COMPUTED_VALUE"""),40.0)</f>
        <v>40</v>
      </c>
      <c r="AT347" s="30">
        <f>IFERROR(__xludf.DUMMYFUNCTION("""COMPUTED_VALUE"""),0.34883046978790816)</f>
        <v>0.3488304698</v>
      </c>
      <c r="AU347" s="30">
        <f>IFERROR(__xludf.DUMMYFUNCTION("""COMPUTED_VALUE"""),2.4027627886427556)</f>
        <v>2.402762789</v>
      </c>
      <c r="AV347" s="32">
        <f>IFERROR(__xludf.DUMMYFUNCTION("""COMPUTED_VALUE"""),71.11779508984824)</f>
        <v>71.11779509</v>
      </c>
      <c r="AW347" s="32">
        <f>IFERROR(__xludf.DUMMYFUNCTION("""COMPUTED_VALUE"""),5.021696647947568)</f>
        <v>5.021696648</v>
      </c>
      <c r="AX347" s="32">
        <f>IFERROR(__xludf.DUMMYFUNCTION("""COMPUTED_VALUE"""),59.47174342014011)</f>
        <v>59.47174342</v>
      </c>
      <c r="AY347" s="32">
        <f>IFERROR(__xludf.DUMMYFUNCTION("""COMPUTED_VALUE"""),2.8377464615237358)</f>
        <v>2.837746462</v>
      </c>
      <c r="AZ347" s="30">
        <f>IFERROR(__xludf.DUMMYFUNCTION("""COMPUTED_VALUE"""),2.183950186423832)</f>
        <v>2.183950186</v>
      </c>
      <c r="BA347" s="30">
        <f>IFERROR(__xludf.DUMMYFUNCTION("""COMPUTED_VALUE"""),1200.0)</f>
        <v>1200</v>
      </c>
    </row>
    <row r="348">
      <c r="A348" s="71" t="str">
        <f>IFERROR(__xludf.DUMMYFUNCTION("""COMPUTED_VALUE"""),"Veteran")</f>
        <v>Veteran</v>
      </c>
      <c r="B348" s="71" t="str">
        <f>IFERROR(__xludf.DUMMYFUNCTION("""COMPUTED_VALUE"""),"RSC007660")</f>
        <v>RSC007660</v>
      </c>
      <c r="C348" s="30" t="str">
        <f>IFERROR(__xludf.DUMMYFUNCTION("""COMPUTED_VALUE"""),"Shraxl")</f>
        <v>Shraxl</v>
      </c>
      <c r="D348" s="30" t="str">
        <f>IFERROR(__xludf.DUMMYFUNCTION("""COMPUTED_VALUE"""),"Rockin Revenants")</f>
        <v>Rockin Revenants</v>
      </c>
      <c r="E348" s="30">
        <f>IFERROR(__xludf.DUMMYFUNCTION("""COMPUTED_VALUE"""),8.0)</f>
        <v>8</v>
      </c>
      <c r="F348" s="30">
        <f>IFERROR(__xludf.DUMMYFUNCTION("""COMPUTED_VALUE"""),4.0)</f>
        <v>4</v>
      </c>
      <c r="G348" s="42">
        <f>IFERROR(__xludf.DUMMYFUNCTION("""COMPUTED_VALUE"""),4.0)</f>
        <v>4</v>
      </c>
      <c r="H348" s="42">
        <f>IFERROR(__xludf.DUMMYFUNCTION("""COMPUTED_VALUE"""),0.5)</f>
        <v>0.5</v>
      </c>
      <c r="I348" s="42">
        <f>IFERROR(__xludf.DUMMYFUNCTION("""COMPUTED_VALUE"""),0.2962962962962963)</f>
        <v>0.2962962963</v>
      </c>
      <c r="J348" s="30">
        <f>IFERROR(__xludf.DUMMYFUNCTION("""COMPUTED_VALUE"""),437.5)</f>
        <v>437.5</v>
      </c>
      <c r="K348" s="30">
        <f>IFERROR(__xludf.DUMMYFUNCTION("""COMPUTED_VALUE"""),1.0)</f>
        <v>1</v>
      </c>
      <c r="L348" s="30">
        <f>IFERROR(__xludf.DUMMYFUNCTION("""COMPUTED_VALUE"""),0.625)</f>
        <v>0.625</v>
      </c>
      <c r="M348" s="30">
        <f>IFERROR(__xludf.DUMMYFUNCTION("""COMPUTED_VALUE"""),2.25)</f>
        <v>2.25</v>
      </c>
      <c r="N348" s="30">
        <f>IFERROR(__xludf.DUMMYFUNCTION("""COMPUTED_VALUE"""),3.375)</f>
        <v>3.375</v>
      </c>
      <c r="O348" s="30">
        <f>IFERROR(__xludf.DUMMYFUNCTION("""COMPUTED_VALUE"""),372.87499999999994)</f>
        <v>372.875</v>
      </c>
      <c r="P348" s="30">
        <f>IFERROR(__xludf.DUMMYFUNCTION("""COMPUTED_VALUE"""),0.8749999999999999)</f>
        <v>0.875</v>
      </c>
      <c r="Q348" s="30">
        <f>IFERROR(__xludf.DUMMYFUNCTION("""COMPUTED_VALUE"""),0.5833333333333333)</f>
        <v>0.5833333333</v>
      </c>
      <c r="R348" s="30">
        <f>IFERROR(__xludf.DUMMYFUNCTION("""COMPUTED_VALUE"""),1.25)</f>
        <v>1.25</v>
      </c>
      <c r="S348" s="30">
        <f>IFERROR(__xludf.DUMMYFUNCTION("""COMPUTED_VALUE"""),3.3333333333333335)</f>
        <v>3.333333333</v>
      </c>
      <c r="T348" s="30">
        <f>IFERROR(__xludf.DUMMYFUNCTION("""COMPUTED_VALUE"""),345.9711373877745)</f>
        <v>345.9711374</v>
      </c>
      <c r="U348" s="30">
        <f>IFERROR(__xludf.DUMMYFUNCTION("""COMPUTED_VALUE"""),0.7634425293777249)</f>
        <v>0.7634425294</v>
      </c>
      <c r="V348" s="30">
        <f>IFERROR(__xludf.DUMMYFUNCTION("""COMPUTED_VALUE"""),0.5705133438755107)</f>
        <v>0.5705133439</v>
      </c>
      <c r="W348" s="30">
        <f>IFERROR(__xludf.DUMMYFUNCTION("""COMPUTED_VALUE"""),1.4029312194549008)</f>
        <v>1.402931219</v>
      </c>
      <c r="X348" s="30">
        <f>IFERROR(__xludf.DUMMYFUNCTION("""COMPUTED_VALUE"""),2.6839747804190517)</f>
        <v>2.68397478</v>
      </c>
      <c r="Y348" s="30">
        <f>IFERROR(__xludf.DUMMYFUNCTION("""COMPUTED_VALUE"""),381.0284370816312)</f>
        <v>381.0284371</v>
      </c>
      <c r="Z348" s="30">
        <f>IFERROR(__xludf.DUMMYFUNCTION("""COMPUTED_VALUE"""),0.8522402604223364)</f>
        <v>0.8522402604</v>
      </c>
      <c r="AA348" s="30">
        <f>IFERROR(__xludf.DUMMYFUNCTION("""COMPUTED_VALUE"""),0.6673136164060726)</f>
        <v>0.6673136164</v>
      </c>
      <c r="AB348" s="30">
        <f>IFERROR(__xludf.DUMMYFUNCTION("""COMPUTED_VALUE"""),1.5053375143952286)</f>
        <v>1.505337514</v>
      </c>
      <c r="AC348" s="30">
        <f>IFERROR(__xludf.DUMMYFUNCTION("""COMPUTED_VALUE"""),2.7225337607498705)</f>
        <v>2.722533761</v>
      </c>
      <c r="AD348" s="30">
        <f>IFERROR(__xludf.DUMMYFUNCTION("""COMPUTED_VALUE"""),1.1482082632752957)</f>
        <v>1.148208263</v>
      </c>
      <c r="AE348" s="30">
        <f>IFERROR(__xludf.DUMMYFUNCTION("""COMPUTED_VALUE"""),1.1733780325097993)</f>
        <v>1.173378033</v>
      </c>
      <c r="AF348" s="30">
        <f>IFERROR(__xludf.DUMMYFUNCTION("""COMPUTED_VALUE"""),0.9365911089392128)</f>
        <v>0.9365911089</v>
      </c>
      <c r="AG348" s="30">
        <f>IFERROR(__xludf.DUMMYFUNCTION("""COMPUTED_VALUE"""),1.4946814109684503)</f>
        <v>1.494681411</v>
      </c>
      <c r="AH348" s="30">
        <f>IFERROR(__xludf.DUMMYFUNCTION("""COMPUTED_VALUE"""),1.2396540489806158)</f>
        <v>1.239654049</v>
      </c>
      <c r="AI348" s="30">
        <f>IFERROR(__xludf.DUMMYFUNCTION("""COMPUTED_VALUE"""),1.0777633152157164)</f>
        <v>1.077763315</v>
      </c>
      <c r="AJ348" s="30">
        <f>IFERROR(__xludf.DUMMYFUNCTION("""COMPUTED_VALUE"""),1.146124254713979)</f>
        <v>1.146124255</v>
      </c>
      <c r="AK348" s="30">
        <f>IFERROR(__xludf.DUMMYFUNCTION("""COMPUTED_VALUE"""),1.0224709721436769)</f>
        <v>1.022470972</v>
      </c>
      <c r="AL348" s="30">
        <f>IFERROR(__xludf.DUMMYFUNCTION("""COMPUTED_VALUE"""),0.8909916485326193)</f>
        <v>0.8909916485</v>
      </c>
      <c r="AM348" s="30">
        <f>IFERROR(__xludf.DUMMYFUNCTION("""COMPUTED_VALUE"""),1.2419391410275833)</f>
        <v>1.241939141</v>
      </c>
      <c r="AN348" s="30">
        <f>IFERROR(__xludf.DUMMYFUNCTION("""COMPUTED_VALUE"""),1.2655375826320372)</f>
        <v>1.265537583</v>
      </c>
      <c r="AO348" s="30">
        <f>IFERROR(__xludf.DUMMYFUNCTION("""COMPUTED_VALUE"""),1.3235164413454918)</f>
        <v>1.323516441</v>
      </c>
      <c r="AP348" s="30">
        <f>IFERROR(__xludf.DUMMYFUNCTION("""COMPUTED_VALUE"""),1.1243887375874333)</f>
        <v>1.124388738</v>
      </c>
      <c r="AQ348" s="30">
        <f>IFERROR(__xludf.DUMMYFUNCTION("""COMPUTED_VALUE"""),1.6630070802080494)</f>
        <v>1.66300708</v>
      </c>
      <c r="AR348" s="30">
        <f>IFERROR(__xludf.DUMMYFUNCTION("""COMPUTED_VALUE"""),1.3237822579957117)</f>
        <v>1.323782258</v>
      </c>
      <c r="AS348" s="30">
        <f>IFERROR(__xludf.DUMMYFUNCTION("""COMPUTED_VALUE"""),18.0)</f>
        <v>18</v>
      </c>
      <c r="AT348" s="30">
        <f>IFERROR(__xludf.DUMMYFUNCTION("""COMPUTED_VALUE"""),0.4395764110390877)</f>
        <v>0.439576411</v>
      </c>
      <c r="AU348" s="30">
        <f>IFERROR(__xludf.DUMMYFUNCTION("""COMPUTED_VALUE"""),2.3997226399809706)</f>
        <v>2.39972264</v>
      </c>
      <c r="AV348" s="32">
        <f>IFERROR(__xludf.DUMMYFUNCTION("""COMPUTED_VALUE"""),71.00910340991248)</f>
        <v>71.00910341</v>
      </c>
      <c r="AW348" s="32">
        <f>IFERROR(__xludf.DUMMYFUNCTION("""COMPUTED_VALUE"""),4.991212334594635)</f>
        <v>4.991212335</v>
      </c>
      <c r="AX348" s="32">
        <f>IFERROR(__xludf.DUMMYFUNCTION("""COMPUTED_VALUE"""),59.642737394157706)</f>
        <v>59.64273739</v>
      </c>
      <c r="AY348" s="32">
        <f>IFERROR(__xludf.DUMMYFUNCTION("""COMPUTED_VALUE"""),2.858319547953742)</f>
        <v>2.858319548</v>
      </c>
      <c r="AZ348" s="30">
        <f>IFERROR(__xludf.DUMMYFUNCTION("""COMPUTED_VALUE"""),2.1328927866408924)</f>
        <v>2.132892787</v>
      </c>
      <c r="BA348" s="30">
        <f>IFERROR(__xludf.DUMMYFUNCTION("""COMPUTED_VALUE"""),1200.0)</f>
        <v>1200</v>
      </c>
    </row>
    <row r="349">
      <c r="A349" s="71" t="str">
        <f>IFERROR(__xludf.DUMMYFUNCTION("""COMPUTED_VALUE"""),"Veteran")</f>
        <v>Veteran</v>
      </c>
      <c r="B349" s="71" t="str">
        <f>IFERROR(__xludf.DUMMYFUNCTION("""COMPUTED_VALUE"""),"RSC007504")</f>
        <v>RSC007504</v>
      </c>
      <c r="C349" s="30" t="str">
        <f>IFERROR(__xludf.DUMMYFUNCTION("""COMPUTED_VALUE"""),"Percussive3260")</f>
        <v>Percussive3260</v>
      </c>
      <c r="D349" s="30" t="str">
        <f>IFERROR(__xludf.DUMMYFUNCTION("""COMPUTED_VALUE"""),"Dread")</f>
        <v>Dread</v>
      </c>
      <c r="E349" s="30">
        <f>IFERROR(__xludf.DUMMYFUNCTION("""COMPUTED_VALUE"""),44.0)</f>
        <v>44</v>
      </c>
      <c r="F349" s="30">
        <f>IFERROR(__xludf.DUMMYFUNCTION("""COMPUTED_VALUE"""),19.0)</f>
        <v>19</v>
      </c>
      <c r="G349" s="42">
        <f>IFERROR(__xludf.DUMMYFUNCTION("""COMPUTED_VALUE"""),25.0)</f>
        <v>25</v>
      </c>
      <c r="H349" s="42">
        <f>IFERROR(__xludf.DUMMYFUNCTION("""COMPUTED_VALUE"""),0.4318181818181818)</f>
        <v>0.4318181818</v>
      </c>
      <c r="I349" s="42">
        <f>IFERROR(__xludf.DUMMYFUNCTION("""COMPUTED_VALUE"""),0.288135593220339)</f>
        <v>0.2881355932</v>
      </c>
      <c r="J349" s="30">
        <f>IFERROR(__xludf.DUMMYFUNCTION("""COMPUTED_VALUE"""),368.4318181818182)</f>
        <v>368.4318182</v>
      </c>
      <c r="K349" s="30">
        <f>IFERROR(__xludf.DUMMYFUNCTION("""COMPUTED_VALUE"""),0.7727272727272727)</f>
        <v>0.7727272727</v>
      </c>
      <c r="L349" s="30">
        <f>IFERROR(__xludf.DUMMYFUNCTION("""COMPUTED_VALUE"""),0.6590909090909091)</f>
        <v>0.6590909091</v>
      </c>
      <c r="M349" s="30">
        <f>IFERROR(__xludf.DUMMYFUNCTION("""COMPUTED_VALUE"""),1.2727272727272727)</f>
        <v>1.272727273</v>
      </c>
      <c r="N349" s="30">
        <f>IFERROR(__xludf.DUMMYFUNCTION("""COMPUTED_VALUE"""),2.6818181818181817)</f>
        <v>2.681818182</v>
      </c>
      <c r="O349" s="30">
        <f>IFERROR(__xludf.DUMMYFUNCTION("""COMPUTED_VALUE"""),340.13636363636357)</f>
        <v>340.1363636</v>
      </c>
      <c r="P349" s="30">
        <f>IFERROR(__xludf.DUMMYFUNCTION("""COMPUTED_VALUE"""),0.7500000000000001)</f>
        <v>0.75</v>
      </c>
      <c r="Q349" s="30">
        <f>IFERROR(__xludf.DUMMYFUNCTION("""COMPUTED_VALUE"""),0.568181818181818)</f>
        <v>0.5681818182</v>
      </c>
      <c r="R349" s="30">
        <f>IFERROR(__xludf.DUMMYFUNCTION("""COMPUTED_VALUE"""),1.1515151515151514)</f>
        <v>1.151515152</v>
      </c>
      <c r="S349" s="30">
        <f>IFERROR(__xludf.DUMMYFUNCTION("""COMPUTED_VALUE"""),2.5909090909090917)</f>
        <v>2.590909091</v>
      </c>
      <c r="T349" s="30">
        <f>IFERROR(__xludf.DUMMYFUNCTION("""COMPUTED_VALUE"""),346.52167489125617)</f>
        <v>346.5216749</v>
      </c>
      <c r="U349" s="30">
        <f>IFERROR(__xludf.DUMMYFUNCTION("""COMPUTED_VALUE"""),0.7615832293094189)</f>
        <v>0.7615832293</v>
      </c>
      <c r="V349" s="30">
        <f>IFERROR(__xludf.DUMMYFUNCTION("""COMPUTED_VALUE"""),0.5750907631892059)</f>
        <v>0.5750907632</v>
      </c>
      <c r="W349" s="30">
        <f>IFERROR(__xludf.DUMMYFUNCTION("""COMPUTED_VALUE"""),1.3185721784092581)</f>
        <v>1.318572178</v>
      </c>
      <c r="X349" s="30">
        <f>IFERROR(__xludf.DUMMYFUNCTION("""COMPUTED_VALUE"""),2.591504410049338)</f>
        <v>2.59150441</v>
      </c>
      <c r="Y349" s="30">
        <f>IFERROR(__xludf.DUMMYFUNCTION("""COMPUTED_VALUE"""),359.92207435521107)</f>
        <v>359.9220744</v>
      </c>
      <c r="Z349" s="30">
        <f>IFERROR(__xludf.DUMMYFUNCTION("""COMPUTED_VALUE"""),0.8296930241545969)</f>
        <v>0.8296930242</v>
      </c>
      <c r="AA349" s="30">
        <f>IFERROR(__xludf.DUMMYFUNCTION("""COMPUTED_VALUE"""),0.6136873407026575)</f>
        <v>0.6136873407</v>
      </c>
      <c r="AB349" s="30">
        <f>IFERROR(__xludf.DUMMYFUNCTION("""COMPUTED_VALUE"""),1.3595096574555543)</f>
        <v>1.359509657</v>
      </c>
      <c r="AC349" s="30">
        <f>IFERROR(__xludf.DUMMYFUNCTION("""COMPUTED_VALUE"""),2.6587022634387103)</f>
        <v>2.658702263</v>
      </c>
      <c r="AD349" s="30">
        <f>IFERROR(__xludf.DUMMYFUNCTION("""COMPUTED_VALUE"""),1.0236432951267356)</f>
        <v>1.023643295</v>
      </c>
      <c r="AE349" s="30">
        <f>IFERROR(__xludf.DUMMYFUNCTION("""COMPUTED_VALUE"""),0.9313411710489328)</f>
        <v>0.931341171</v>
      </c>
      <c r="AF349" s="30">
        <f>IFERROR(__xludf.DUMMYFUNCTION("""COMPUTED_VALUE"""),1.0739848541380461)</f>
        <v>1.073984854</v>
      </c>
      <c r="AG349" s="30">
        <f>IFERROR(__xludf.DUMMYFUNCTION("""COMPUTED_VALUE"""),0.9361664080483969)</f>
        <v>0.936166408</v>
      </c>
      <c r="AH349" s="30">
        <f>IFERROR(__xludf.DUMMYFUNCTION("""COMPUTED_VALUE"""),1.0086944366420232)</f>
        <v>1.008694437</v>
      </c>
      <c r="AI349" s="30">
        <f>IFERROR(__xludf.DUMMYFUNCTION("""COMPUTED_VALUE"""),0.9815731259613228)</f>
        <v>0.981573126</v>
      </c>
      <c r="AJ349" s="30">
        <f>IFERROR(__xludf.DUMMYFUNCTION("""COMPUTED_VALUE"""),0.9847905929862425)</f>
        <v>0.984790593</v>
      </c>
      <c r="AK349" s="30">
        <f>IFERROR(__xludf.DUMMYFUNCTION("""COMPUTED_VALUE"""),0.9879863398099564)</f>
        <v>0.9879863398</v>
      </c>
      <c r="AL349" s="30">
        <f>IFERROR(__xludf.DUMMYFUNCTION("""COMPUTED_VALUE"""),0.8733046020312317)</f>
        <v>0.873304602</v>
      </c>
      <c r="AM349" s="30">
        <f>IFERROR(__xludf.DUMMYFUNCTION("""COMPUTED_VALUE"""),0.9997702804834374)</f>
        <v>0.9997702805</v>
      </c>
      <c r="AN349" s="30">
        <f>IFERROR(__xludf.DUMMYFUNCTION("""COMPUTED_VALUE"""),1.0657470001063871)</f>
        <v>1.065747</v>
      </c>
      <c r="AO349" s="30">
        <f>IFERROR(__xludf.DUMMYFUNCTION("""COMPUTED_VALUE"""),1.0227172501306074)</f>
        <v>1.02271725</v>
      </c>
      <c r="AP349" s="30">
        <f>IFERROR(__xludf.DUMMYFUNCTION("""COMPUTED_VALUE"""),1.1857190323649296)</f>
        <v>1.185719032</v>
      </c>
      <c r="AQ349" s="30">
        <f>IFERROR(__xludf.DUMMYFUNCTION("""COMPUTED_VALUE"""),0.940690873653038)</f>
        <v>0.9406908737</v>
      </c>
      <c r="AR349" s="30">
        <f>IFERROR(__xludf.DUMMYFUNCTION("""COMPUTED_VALUE"""),1.0518943194848078)</f>
        <v>1.051894319</v>
      </c>
      <c r="AS349" s="30">
        <f>IFERROR(__xludf.DUMMYFUNCTION("""COMPUTED_VALUE"""),87.0)</f>
        <v>87</v>
      </c>
      <c r="AT349" s="30">
        <f>IFERROR(__xludf.DUMMYFUNCTION("""COMPUTED_VALUE"""),0.45129852219461375)</f>
        <v>0.4512985222</v>
      </c>
      <c r="AU349" s="30">
        <f>IFERROR(__xludf.DUMMYFUNCTION("""COMPUTED_VALUE"""),2.049174449870579)</f>
        <v>2.04917445</v>
      </c>
      <c r="AV349" s="32">
        <f>IFERROR(__xludf.DUMMYFUNCTION("""COMPUTED_VALUE"""),58.47627165714896)</f>
        <v>58.47627166</v>
      </c>
      <c r="AW349" s="32">
        <f>IFERROR(__xludf.DUMMYFUNCTION("""COMPUTED_VALUE"""),2.722676065228897)</f>
        <v>2.722676065</v>
      </c>
      <c r="AX349" s="32">
        <f>IFERROR(__xludf.DUMMYFUNCTION("""COMPUTED_VALUE"""),69.88542486352598)</f>
        <v>69.88542486</v>
      </c>
      <c r="AY349" s="32">
        <f>IFERROR(__xludf.DUMMYFUNCTION("""COMPUTED_VALUE"""),4.690750791441664)</f>
        <v>4.690750791</v>
      </c>
      <c r="AZ349" s="30">
        <f>IFERROR(__xludf.DUMMYFUNCTION("""COMPUTED_VALUE"""),1.968074726212767)</f>
        <v>1.968074726</v>
      </c>
      <c r="BA349" s="30">
        <f>IFERROR(__xludf.DUMMYFUNCTION("""COMPUTED_VALUE"""),1200.0)</f>
        <v>1200</v>
      </c>
    </row>
    <row r="350">
      <c r="A350" s="71" t="str">
        <f>IFERROR(__xludf.DUMMYFUNCTION("""COMPUTED_VALUE"""),"Veteran")</f>
        <v>Veteran</v>
      </c>
      <c r="B350" s="71" t="str">
        <f>IFERROR(__xludf.DUMMYFUNCTION("""COMPUTED_VALUE"""),"RSC007846")</f>
        <v>RSC007846</v>
      </c>
      <c r="C350" s="30" t="str">
        <f>IFERROR(__xludf.DUMMYFUNCTION("""COMPUTED_VALUE"""),"Lovegreyhounds")</f>
        <v>Lovegreyhounds</v>
      </c>
      <c r="D350" s="30" t="str">
        <f>IFERROR(__xludf.DUMMYFUNCTION("""COMPUTED_VALUE"""),"Water")</f>
        <v>Water</v>
      </c>
      <c r="E350" s="30">
        <f>IFERROR(__xludf.DUMMYFUNCTION("""COMPUTED_VALUE"""),37.0)</f>
        <v>37</v>
      </c>
      <c r="F350" s="30">
        <f>IFERROR(__xludf.DUMMYFUNCTION("""COMPUTED_VALUE"""),20.0)</f>
        <v>20</v>
      </c>
      <c r="G350" s="42">
        <f>IFERROR(__xludf.DUMMYFUNCTION("""COMPUTED_VALUE"""),17.0)</f>
        <v>17</v>
      </c>
      <c r="H350" s="42">
        <f>IFERROR(__xludf.DUMMYFUNCTION("""COMPUTED_VALUE"""),0.5405405405405406)</f>
        <v>0.5405405405</v>
      </c>
      <c r="I350" s="42">
        <f>IFERROR(__xludf.DUMMYFUNCTION("""COMPUTED_VALUE"""),0.2905982905982906)</f>
        <v>0.2905982906</v>
      </c>
      <c r="J350" s="30">
        <f>IFERROR(__xludf.DUMMYFUNCTION("""COMPUTED_VALUE"""),401.0)</f>
        <v>401</v>
      </c>
      <c r="K350" s="30">
        <f>IFERROR(__xludf.DUMMYFUNCTION("""COMPUTED_VALUE"""),0.918918918918919)</f>
        <v>0.9189189189</v>
      </c>
      <c r="L350" s="30">
        <f>IFERROR(__xludf.DUMMYFUNCTION("""COMPUTED_VALUE"""),0.5945945945945946)</f>
        <v>0.5945945946</v>
      </c>
      <c r="M350" s="30">
        <f>IFERROR(__xludf.DUMMYFUNCTION("""COMPUTED_VALUE"""),1.5945945945945945)</f>
        <v>1.594594595</v>
      </c>
      <c r="N350" s="30">
        <f>IFERROR(__xludf.DUMMYFUNCTION("""COMPUTED_VALUE"""),3.1621621621621623)</f>
        <v>3.162162162</v>
      </c>
      <c r="O350" s="30">
        <f>IFERROR(__xludf.DUMMYFUNCTION("""COMPUTED_VALUE"""),333.1801801801801)</f>
        <v>333.1801802</v>
      </c>
      <c r="P350" s="30">
        <f>IFERROR(__xludf.DUMMYFUNCTION("""COMPUTED_VALUE"""),0.7207207207207207)</f>
        <v>0.7207207207</v>
      </c>
      <c r="Q350" s="30">
        <f>IFERROR(__xludf.DUMMYFUNCTION("""COMPUTED_VALUE"""),0.5315315315315315)</f>
        <v>0.5315315315</v>
      </c>
      <c r="R350" s="30">
        <f>IFERROR(__xludf.DUMMYFUNCTION("""COMPUTED_VALUE"""),1.153153153153153)</f>
        <v>1.153153153</v>
      </c>
      <c r="S350" s="30">
        <f>IFERROR(__xludf.DUMMYFUNCTION("""COMPUTED_VALUE"""),2.6306306306306304)</f>
        <v>2.630630631</v>
      </c>
      <c r="T350" s="30">
        <f>IFERROR(__xludf.DUMMYFUNCTION("""COMPUTED_VALUE"""),355.7699365690965)</f>
        <v>355.7699366</v>
      </c>
      <c r="U350" s="30">
        <f>IFERROR(__xludf.DUMMYFUNCTION("""COMPUTED_VALUE"""),0.8165711706527583)</f>
        <v>0.8165711707</v>
      </c>
      <c r="V350" s="30">
        <f>IFERROR(__xludf.DUMMYFUNCTION("""COMPUTED_VALUE"""),0.6024319213773341)</f>
        <v>0.6024319214</v>
      </c>
      <c r="W350" s="30">
        <f>IFERROR(__xludf.DUMMYFUNCTION("""COMPUTED_VALUE"""),1.2914817840489075)</f>
        <v>1.291481784</v>
      </c>
      <c r="X350" s="30">
        <f>IFERROR(__xludf.DUMMYFUNCTION("""COMPUTED_VALUE"""),2.6242161530612536)</f>
        <v>2.624216153</v>
      </c>
      <c r="Y350" s="30">
        <f>IFERROR(__xludf.DUMMYFUNCTION("""COMPUTED_VALUE"""),361.760889231909)</f>
        <v>361.7608892</v>
      </c>
      <c r="Z350" s="30">
        <f>IFERROR(__xludf.DUMMYFUNCTION("""COMPUTED_VALUE"""),0.8239658053769209)</f>
        <v>0.8239658054</v>
      </c>
      <c r="AA350" s="30">
        <f>IFERROR(__xludf.DUMMYFUNCTION("""COMPUTED_VALUE"""),0.5913981936644614)</f>
        <v>0.5913981937</v>
      </c>
      <c r="AB350" s="30">
        <f>IFERROR(__xludf.DUMMYFUNCTION("""COMPUTED_VALUE"""),1.3661672535949643)</f>
        <v>1.366167254</v>
      </c>
      <c r="AC350" s="30">
        <f>IFERROR(__xludf.DUMMYFUNCTION("""COMPUTED_VALUE"""),2.6909230628131624)</f>
        <v>2.690923063</v>
      </c>
      <c r="AD350" s="30">
        <f>IFERROR(__xludf.DUMMYFUNCTION("""COMPUTED_VALUE"""),1.1084669789799653)</f>
        <v>1.108466979</v>
      </c>
      <c r="AE350" s="30">
        <f>IFERROR(__xludf.DUMMYFUNCTION("""COMPUTED_VALUE"""),1.115239143326539)</f>
        <v>1.115239143</v>
      </c>
      <c r="AF350" s="30">
        <f>IFERROR(__xludf.DUMMYFUNCTION("""COMPUTED_VALUE"""),1.005404820245269)</f>
        <v>1.00540482</v>
      </c>
      <c r="AG350" s="30">
        <f>IFERROR(__xludf.DUMMYFUNCTION("""COMPUTED_VALUE"""),1.1672030568720932)</f>
        <v>1.167203057</v>
      </c>
      <c r="AH350" s="30">
        <f>IFERROR(__xludf.DUMMYFUNCTION("""COMPUTED_VALUE"""),1.1751217289937506)</f>
        <v>1.175121729</v>
      </c>
      <c r="AI350" s="30">
        <f>IFERROR(__xludf.DUMMYFUNCTION("""COMPUTED_VALUE"""),0.9365045944950745)</f>
        <v>0.9365045945</v>
      </c>
      <c r="AJ350" s="30">
        <f>IFERROR(__xludf.DUMMYFUNCTION("""COMPUTED_VALUE"""),0.8826183762336163)</f>
        <v>0.8826183762</v>
      </c>
      <c r="AK350" s="30">
        <f>IFERROR(__xludf.DUMMYFUNCTION("""COMPUTED_VALUE"""),0.8823097061594881)</f>
        <v>0.8823097062</v>
      </c>
      <c r="AL350" s="30">
        <f>IFERROR(__xludf.DUMMYFUNCTION("""COMPUTED_VALUE"""),0.8928915354407228)</f>
        <v>0.8928915354</v>
      </c>
      <c r="AM350" s="30">
        <f>IFERROR(__xludf.DUMMYFUNCTION("""COMPUTED_VALUE"""),1.002444340403093)</f>
        <v>1.00244434</v>
      </c>
      <c r="AN350" s="30">
        <f>IFERROR(__xludf.DUMMYFUNCTION("""COMPUTED_VALUE"""),1.1599555900238785)</f>
        <v>1.15995559</v>
      </c>
      <c r="AO350" s="30">
        <f>IFERROR(__xludf.DUMMYFUNCTION("""COMPUTED_VALUE"""),1.2162042974526144)</f>
        <v>1.216204297</v>
      </c>
      <c r="AP350" s="30">
        <f>IFERROR(__xludf.DUMMYFUNCTION("""COMPUTED_VALUE"""),1.0696887449480446)</f>
        <v>1.069688745</v>
      </c>
      <c r="AQ350" s="30">
        <f>IFERROR(__xludf.DUMMYFUNCTION("""COMPUTED_VALUE"""),1.1785876003876867)</f>
        <v>1.1785876</v>
      </c>
      <c r="AR350" s="30">
        <f>IFERROR(__xludf.DUMMYFUNCTION("""COMPUTED_VALUE"""),1.2403004939779643)</f>
        <v>1.240300494</v>
      </c>
      <c r="AS350" s="30">
        <f>IFERROR(__xludf.DUMMYFUNCTION("""COMPUTED_VALUE"""),95.0)</f>
        <v>95</v>
      </c>
      <c r="AT350" s="30">
        <f>IFERROR(__xludf.DUMMYFUNCTION("""COMPUTED_VALUE"""),0.5667070006346541)</f>
        <v>0.5667070006</v>
      </c>
      <c r="AU350" s="30">
        <f>IFERROR(__xludf.DUMMYFUNCTION("""COMPUTED_VALUE"""),2.4630654330195547)</f>
        <v>2.463065433</v>
      </c>
      <c r="AV350" s="32">
        <f>IFERROR(__xludf.DUMMYFUNCTION("""COMPUTED_VALUE"""),73.27374088429994)</f>
        <v>73.27374088</v>
      </c>
      <c r="AW350" s="32">
        <f>IFERROR(__xludf.DUMMYFUNCTION("""COMPUTED_VALUE"""),5.683762006302559)</f>
        <v>5.683762006</v>
      </c>
      <c r="AX350" s="32">
        <f>IFERROR(__xludf.DUMMYFUNCTION("""COMPUTED_VALUE"""),65.66236300768136)</f>
        <v>65.66236301</v>
      </c>
      <c r="AY350" s="32">
        <f>IFERROR(__xludf.DUMMYFUNCTION("""COMPUTED_VALUE"""),3.766544807245634)</f>
        <v>3.766544807</v>
      </c>
      <c r="AZ350" s="30">
        <f>IFERROR(__xludf.DUMMYFUNCTION("""COMPUTED_VALUE"""),1.9172171990569251)</f>
        <v>1.917217199</v>
      </c>
      <c r="BA350" s="30">
        <f>IFERROR(__xludf.DUMMYFUNCTION("""COMPUTED_VALUE"""),1200.0)</f>
        <v>1200</v>
      </c>
    </row>
    <row r="351">
      <c r="A351" s="71" t="str">
        <f>IFERROR(__xludf.DUMMYFUNCTION("""COMPUTED_VALUE"""),"Veteran")</f>
        <v>Veteran</v>
      </c>
      <c r="B351" s="71" t="str">
        <f>IFERROR(__xludf.DUMMYFUNCTION("""COMPUTED_VALUE"""),"RSC001487")</f>
        <v>RSC001487</v>
      </c>
      <c r="C351" s="30" t="str">
        <f>IFERROR(__xludf.DUMMYFUNCTION("""COMPUTED_VALUE"""),"M1ke1sMy1ke")</f>
        <v>M1ke1sMy1ke</v>
      </c>
      <c r="D351" s="30" t="str">
        <f>IFERROR(__xludf.DUMMYFUNCTION("""COMPUTED_VALUE"""),"Dump Trucks")</f>
        <v>Dump Trucks</v>
      </c>
      <c r="E351" s="30">
        <f>IFERROR(__xludf.DUMMYFUNCTION("""COMPUTED_VALUE"""),43.0)</f>
        <v>43</v>
      </c>
      <c r="F351" s="30">
        <f>IFERROR(__xludf.DUMMYFUNCTION("""COMPUTED_VALUE"""),15.0)</f>
        <v>15</v>
      </c>
      <c r="G351" s="42">
        <f>IFERROR(__xludf.DUMMYFUNCTION("""COMPUTED_VALUE"""),28.0)</f>
        <v>28</v>
      </c>
      <c r="H351" s="42">
        <f>IFERROR(__xludf.DUMMYFUNCTION("""COMPUTED_VALUE"""),0.3488372093023256)</f>
        <v>0.3488372093</v>
      </c>
      <c r="I351" s="42">
        <f>IFERROR(__xludf.DUMMYFUNCTION("""COMPUTED_VALUE"""),0.23255813953488372)</f>
        <v>0.2325581395</v>
      </c>
      <c r="J351" s="30">
        <f>IFERROR(__xludf.DUMMYFUNCTION("""COMPUTED_VALUE"""),297.04651162790697)</f>
        <v>297.0465116</v>
      </c>
      <c r="K351" s="30">
        <f>IFERROR(__xludf.DUMMYFUNCTION("""COMPUTED_VALUE"""),0.46511627906976744)</f>
        <v>0.4651162791</v>
      </c>
      <c r="L351" s="30">
        <f>IFERROR(__xludf.DUMMYFUNCTION("""COMPUTED_VALUE"""),0.4883720930232558)</f>
        <v>0.488372093</v>
      </c>
      <c r="M351" s="30">
        <f>IFERROR(__xludf.DUMMYFUNCTION("""COMPUTED_VALUE"""),1.3488372093023255)</f>
        <v>1.348837209</v>
      </c>
      <c r="N351" s="30">
        <f>IFERROR(__xludf.DUMMYFUNCTION("""COMPUTED_VALUE"""),2.0)</f>
        <v>2</v>
      </c>
      <c r="O351" s="30">
        <f>IFERROR(__xludf.DUMMYFUNCTION("""COMPUTED_VALUE"""),354.7674418604651)</f>
        <v>354.7674419</v>
      </c>
      <c r="P351" s="30">
        <f>IFERROR(__xludf.DUMMYFUNCTION("""COMPUTED_VALUE"""),0.8294573643410852)</f>
        <v>0.8294573643</v>
      </c>
      <c r="Q351" s="30">
        <f>IFERROR(__xludf.DUMMYFUNCTION("""COMPUTED_VALUE"""),0.6201550387596899)</f>
        <v>0.6201550388</v>
      </c>
      <c r="R351" s="30">
        <f>IFERROR(__xludf.DUMMYFUNCTION("""COMPUTED_VALUE"""),1.178294573643411)</f>
        <v>1.178294574</v>
      </c>
      <c r="S351" s="30">
        <f>IFERROR(__xludf.DUMMYFUNCTION("""COMPUTED_VALUE"""),2.8527131782945743)</f>
        <v>2.852713178</v>
      </c>
      <c r="T351" s="30">
        <f>IFERROR(__xludf.DUMMYFUNCTION("""COMPUTED_VALUE"""),354.62153907718505)</f>
        <v>354.6215391</v>
      </c>
      <c r="U351" s="30">
        <f>IFERROR(__xludf.DUMMYFUNCTION("""COMPUTED_VALUE"""),0.7739065290012231)</f>
        <v>0.773906529</v>
      </c>
      <c r="V351" s="30">
        <f>IFERROR(__xludf.DUMMYFUNCTION("""COMPUTED_VALUE"""),0.5739381068272643)</f>
        <v>0.5739381068</v>
      </c>
      <c r="W351" s="30">
        <f>IFERROR(__xludf.DUMMYFUNCTION("""COMPUTED_VALUE"""),1.3620073317837844)</f>
        <v>1.362007332</v>
      </c>
      <c r="X351" s="30">
        <f>IFERROR(__xludf.DUMMYFUNCTION("""COMPUTED_VALUE"""),2.664447521492826)</f>
        <v>2.664447521</v>
      </c>
      <c r="Y351" s="30">
        <f>IFERROR(__xludf.DUMMYFUNCTION("""COMPUTED_VALUE"""),349.0851209077255)</f>
        <v>349.0851209</v>
      </c>
      <c r="Z351" s="30">
        <f>IFERROR(__xludf.DUMMYFUNCTION("""COMPUTED_VALUE"""),0.7538052190498651)</f>
        <v>0.753805219</v>
      </c>
      <c r="AA351" s="30">
        <f>IFERROR(__xludf.DUMMYFUNCTION("""COMPUTED_VALUE"""),0.5487880587997134)</f>
        <v>0.5487880588</v>
      </c>
      <c r="AB351" s="30">
        <f>IFERROR(__xludf.DUMMYFUNCTION("""COMPUTED_VALUE"""),1.3664334033725993)</f>
        <v>1.366433403</v>
      </c>
      <c r="AC351" s="30">
        <f>IFERROR(__xludf.DUMMYFUNCTION("""COMPUTED_VALUE"""),2.5461390629120912)</f>
        <v>2.546139063</v>
      </c>
      <c r="AD351" s="30">
        <f>IFERROR(__xludf.DUMMYFUNCTION("""COMPUTED_VALUE"""),0.8509285954540181)</f>
        <v>0.8509285955</v>
      </c>
      <c r="AE351" s="30">
        <f>IFERROR(__xludf.DUMMYFUNCTION("""COMPUTED_VALUE"""),0.6170244876468538)</f>
        <v>0.6170244876</v>
      </c>
      <c r="AF351" s="30">
        <f>IFERROR(__xludf.DUMMYFUNCTION("""COMPUTED_VALUE"""),0.8899102033878126)</f>
        <v>0.8899102034</v>
      </c>
      <c r="AG351" s="30">
        <f>IFERROR(__xludf.DUMMYFUNCTION("""COMPUTED_VALUE"""),0.9871225381150349)</f>
        <v>0.9871225381</v>
      </c>
      <c r="AH351" s="30">
        <f>IFERROR(__xludf.DUMMYFUNCTION("""COMPUTED_VALUE"""),0.7855030501407663)</f>
        <v>0.7855030501</v>
      </c>
      <c r="AI351" s="30">
        <f>IFERROR(__xludf.DUMMYFUNCTION("""COMPUTED_VALUE"""),1.0004114323784723)</f>
        <v>1.000411432</v>
      </c>
      <c r="AJ351" s="30">
        <f>IFERROR(__xludf.DUMMYFUNCTION("""COMPUTED_VALUE"""),1.0717797734715508)</f>
        <v>1.071779773</v>
      </c>
      <c r="AK351" s="30">
        <f>IFERROR(__xludf.DUMMYFUNCTION("""COMPUTED_VALUE"""),1.0805259859602514)</f>
        <v>1.080525986</v>
      </c>
      <c r="AL351" s="30">
        <f>IFERROR(__xludf.DUMMYFUNCTION("""COMPUTED_VALUE"""),0.8651161753294163)</f>
        <v>0.8651161753</v>
      </c>
      <c r="AM351" s="30">
        <f>IFERROR(__xludf.DUMMYFUNCTION("""COMPUTED_VALUE"""),1.0706584217865427)</f>
        <v>1.070658422</v>
      </c>
      <c r="AN351" s="30">
        <f>IFERROR(__xludf.DUMMYFUNCTION("""COMPUTED_VALUE"""),0.8592537697253958)</f>
        <v>0.8592537697</v>
      </c>
      <c r="AO351" s="30">
        <f>IFERROR(__xludf.DUMMYFUNCTION("""COMPUTED_VALUE"""),0.6155890424862753)</f>
        <v>0.6155890425</v>
      </c>
      <c r="AP351" s="30">
        <f>IFERROR(__xludf.DUMMYFUNCTION("""COMPUTED_VALUE"""),0.8785921298357617)</f>
        <v>0.8785921298</v>
      </c>
      <c r="AQ351" s="30">
        <f>IFERROR(__xludf.DUMMYFUNCTION("""COMPUTED_VALUE"""),0.9969448129412596)</f>
        <v>0.9969448129</v>
      </c>
      <c r="AR351" s="30">
        <f>IFERROR(__xludf.DUMMYFUNCTION("""COMPUTED_VALUE"""),0.7844635602937551)</f>
        <v>0.7844635603</v>
      </c>
      <c r="AS351" s="30">
        <f>IFERROR(__xludf.DUMMYFUNCTION("""COMPUTED_VALUE"""),81.0)</f>
        <v>81</v>
      </c>
      <c r="AT351" s="30">
        <f>IFERROR(__xludf.DUMMYFUNCTION("""COMPUTED_VALUE"""),0.39529132975009723)</f>
        <v>0.3952913298</v>
      </c>
      <c r="AU351" s="30">
        <f>IFERROR(__xludf.DUMMYFUNCTION("""COMPUTED_VALUE"""),1.0923670713830718)</f>
        <v>1.092367071</v>
      </c>
      <c r="AV351" s="32">
        <f>IFERROR(__xludf.DUMMYFUNCTION("""COMPUTED_VALUE"""),24.26840457156971)</f>
        <v>24.26840457</v>
      </c>
      <c r="AW351" s="32">
        <f>IFERROR(__xludf.DUMMYFUNCTION("""COMPUTED_VALUE"""),-6.5929199974525865)</f>
        <v>-6.592919997</v>
      </c>
      <c r="AX351" s="32">
        <f>IFERROR(__xludf.DUMMYFUNCTION("""COMPUTED_VALUE"""),30.15867414699099)</f>
        <v>30.15867415</v>
      </c>
      <c r="AY351" s="32">
        <f>IFERROR(__xludf.DUMMYFUNCTION("""COMPUTED_VALUE"""),-4.679485113727472)</f>
        <v>-4.679485114</v>
      </c>
      <c r="AZ351" s="30">
        <f>IFERROR(__xludf.DUMMYFUNCTION("""COMPUTED_VALUE"""),1.913434883725115)</f>
        <v>1.913434884</v>
      </c>
      <c r="BA351" s="30">
        <f>IFERROR(__xludf.DUMMYFUNCTION("""COMPUTED_VALUE"""),1200.0)</f>
        <v>1200</v>
      </c>
    </row>
    <row r="352">
      <c r="A352" s="71" t="str">
        <f>IFERROR(__xludf.DUMMYFUNCTION("""COMPUTED_VALUE"""),"Veteran")</f>
        <v>Veteran</v>
      </c>
      <c r="B352" s="71" t="str">
        <f>IFERROR(__xludf.DUMMYFUNCTION("""COMPUTED_VALUE"""),"RSC008028")</f>
        <v>RSC008028</v>
      </c>
      <c r="C352" s="30" t="str">
        <f>IFERROR(__xludf.DUMMYFUNCTION("""COMPUTED_VALUE"""),"krozex.")</f>
        <v>krozex.</v>
      </c>
      <c r="D352" s="30"/>
      <c r="E352" s="30">
        <f>IFERROR(__xludf.DUMMYFUNCTION("""COMPUTED_VALUE"""),4.0)</f>
        <v>4</v>
      </c>
      <c r="F352" s="30">
        <f>IFERROR(__xludf.DUMMYFUNCTION("""COMPUTED_VALUE"""),2.0)</f>
        <v>2</v>
      </c>
      <c r="G352" s="42">
        <f>IFERROR(__xludf.DUMMYFUNCTION("""COMPUTED_VALUE"""),2.0)</f>
        <v>2</v>
      </c>
      <c r="H352" s="42">
        <f>IFERROR(__xludf.DUMMYFUNCTION("""COMPUTED_VALUE"""),0.5)</f>
        <v>0.5</v>
      </c>
      <c r="I352" s="42">
        <f>IFERROR(__xludf.DUMMYFUNCTION("""COMPUTED_VALUE"""),0.14285714285714285)</f>
        <v>0.1428571429</v>
      </c>
      <c r="J352" s="30">
        <f>IFERROR(__xludf.DUMMYFUNCTION("""COMPUTED_VALUE"""),274.75)</f>
        <v>274.75</v>
      </c>
      <c r="K352" s="30">
        <f>IFERROR(__xludf.DUMMYFUNCTION("""COMPUTED_VALUE"""),0.25)</f>
        <v>0.25</v>
      </c>
      <c r="L352" s="30">
        <f>IFERROR(__xludf.DUMMYFUNCTION("""COMPUTED_VALUE"""),0.5)</f>
        <v>0.5</v>
      </c>
      <c r="M352" s="30">
        <f>IFERROR(__xludf.DUMMYFUNCTION("""COMPUTED_VALUE"""),1.0)</f>
        <v>1</v>
      </c>
      <c r="N352" s="30">
        <f>IFERROR(__xludf.DUMMYFUNCTION("""COMPUTED_VALUE"""),1.75)</f>
        <v>1.75</v>
      </c>
      <c r="O352" s="30">
        <f>IFERROR(__xludf.DUMMYFUNCTION("""COMPUTED_VALUE"""),352.6666666666667)</f>
        <v>352.6666667</v>
      </c>
      <c r="P352" s="30">
        <f>IFERROR(__xludf.DUMMYFUNCTION("""COMPUTED_VALUE"""),0.6666666666666666)</f>
        <v>0.6666666667</v>
      </c>
      <c r="Q352" s="30">
        <f>IFERROR(__xludf.DUMMYFUNCTION("""COMPUTED_VALUE"""),0.49999999999999994)</f>
        <v>0.5</v>
      </c>
      <c r="R352" s="30">
        <f>IFERROR(__xludf.DUMMYFUNCTION("""COMPUTED_VALUE"""),1.666666666666667)</f>
        <v>1.666666667</v>
      </c>
      <c r="S352" s="30">
        <f>IFERROR(__xludf.DUMMYFUNCTION("""COMPUTED_VALUE"""),2.5)</f>
        <v>2.5</v>
      </c>
      <c r="T352" s="30">
        <f>IFERROR(__xludf.DUMMYFUNCTION("""COMPUTED_VALUE"""),341.4483294483295)</f>
        <v>341.4483294</v>
      </c>
      <c r="U352" s="30">
        <f>IFERROR(__xludf.DUMMYFUNCTION("""COMPUTED_VALUE"""),0.7422947422947423)</f>
        <v>0.7422947423</v>
      </c>
      <c r="V352" s="30">
        <f>IFERROR(__xludf.DUMMYFUNCTION("""COMPUTED_VALUE"""),0.5497927997927998)</f>
        <v>0.5497927998</v>
      </c>
      <c r="W352" s="30">
        <f>IFERROR(__xludf.DUMMYFUNCTION("""COMPUTED_VALUE"""),1.377816627816628)</f>
        <v>1.377816628</v>
      </c>
      <c r="X352" s="30">
        <f>IFERROR(__xludf.DUMMYFUNCTION("""COMPUTED_VALUE"""),2.6380471380471384)</f>
        <v>2.638047138</v>
      </c>
      <c r="Y352" s="30">
        <f>IFERROR(__xludf.DUMMYFUNCTION("""COMPUTED_VALUE"""),352.3633126133127)</f>
        <v>352.3633126</v>
      </c>
      <c r="Z352" s="30">
        <f>IFERROR(__xludf.DUMMYFUNCTION("""COMPUTED_VALUE"""),0.8164767331433997)</f>
        <v>0.8164767331</v>
      </c>
      <c r="AA352" s="30">
        <f>IFERROR(__xludf.DUMMYFUNCTION("""COMPUTED_VALUE"""),0.5871967538634206)</f>
        <v>0.5871967539</v>
      </c>
      <c r="AB352" s="30">
        <f>IFERROR(__xludf.DUMMYFUNCTION("""COMPUTED_VALUE"""),1.3846801346801347)</f>
        <v>1.384680135</v>
      </c>
      <c r="AC352" s="30">
        <f>IFERROR(__xludf.DUMMYFUNCTION("""COMPUTED_VALUE"""),2.5451523784857115)</f>
        <v>2.545152378</v>
      </c>
      <c r="AD352" s="30">
        <f>IFERROR(__xludf.DUMMYFUNCTION("""COMPUTED_VALUE"""),0.7797349785433355)</f>
        <v>0.7797349785</v>
      </c>
      <c r="AE352" s="30">
        <f>IFERROR(__xludf.DUMMYFUNCTION("""COMPUTED_VALUE"""),0.30619366094795003)</f>
        <v>0.3061936609</v>
      </c>
      <c r="AF352" s="30">
        <f>IFERROR(__xludf.DUMMYFUNCTION("""COMPUTED_VALUE"""),0.8515033448504005)</f>
        <v>0.8515033449</v>
      </c>
      <c r="AG352" s="30">
        <f>IFERROR(__xludf.DUMMYFUNCTION("""COMPUTED_VALUE"""),0.7221884498480243)</f>
        <v>0.7221884498</v>
      </c>
      <c r="AH352" s="30">
        <f>IFERROR(__xludf.DUMMYFUNCTION("""COMPUTED_VALUE"""),0.6875816217499704)</f>
        <v>0.6875816217</v>
      </c>
      <c r="AI352" s="30">
        <f>IFERROR(__xludf.DUMMYFUNCTION("""COMPUTED_VALUE"""),1.0328551533301171)</f>
        <v>1.032855153</v>
      </c>
      <c r="AJ352" s="30">
        <f>IFERROR(__xludf.DUMMYFUNCTION("""COMPUTED_VALUE"""),0.8981158408932308)</f>
        <v>0.8981158409</v>
      </c>
      <c r="AK352" s="30">
        <f>IFERROR(__xludf.DUMMYFUNCTION("""COMPUTED_VALUE"""),0.9094335178424212)</f>
        <v>0.9094335178</v>
      </c>
      <c r="AL352" s="30">
        <f>IFERROR(__xludf.DUMMYFUNCTION("""COMPUTED_VALUE"""),1.2096433103059356)</f>
        <v>1.20964331</v>
      </c>
      <c r="AM352" s="30">
        <f>IFERROR(__xludf.DUMMYFUNCTION("""COMPUTED_VALUE"""),0.9476707083599233)</f>
        <v>0.9476707084</v>
      </c>
      <c r="AN352" s="30">
        <f>IFERROR(__xludf.DUMMYFUNCTION("""COMPUTED_VALUE"""),0.7947576018929193)</f>
        <v>0.7947576019</v>
      </c>
      <c r="AO352" s="30">
        <f>IFERROR(__xludf.DUMMYFUNCTION("""COMPUTED_VALUE"""),0.33087911033637296)</f>
        <v>0.3308791103</v>
      </c>
      <c r="AP352" s="30">
        <f>IFERROR(__xludf.DUMMYFUNCTION("""COMPUTED_VALUE"""),0.8995109900699465)</f>
        <v>0.8995109901</v>
      </c>
      <c r="AQ352" s="30">
        <f>IFERROR(__xludf.DUMMYFUNCTION("""COMPUTED_VALUE"""),0.7391142578702442)</f>
        <v>0.7391142579</v>
      </c>
      <c r="AR352" s="30">
        <f>IFERROR(__xludf.DUMMYFUNCTION("""COMPUTED_VALUE"""),0.6864056152570357)</f>
        <v>0.6864056153</v>
      </c>
      <c r="AS352" s="30">
        <f>IFERROR(__xludf.DUMMYFUNCTION("""COMPUTED_VALUE"""),6.0)</f>
        <v>6</v>
      </c>
      <c r="AT352" s="30">
        <f>IFERROR(__xludf.DUMMYFUNCTION("""COMPUTED_VALUE"""),0.39839556112833874)</f>
        <v>0.3983955611</v>
      </c>
      <c r="AU352" s="30">
        <f>IFERROR(__xludf.DUMMYFUNCTION("""COMPUTED_VALUE"""),0.8140865598798537)</f>
        <v>0.8140865599</v>
      </c>
      <c r="AV352" s="32">
        <f>IFERROR(__xludf.DUMMYFUNCTION("""COMPUTED_VALUE"""),14.319293638649185)</f>
        <v>14.31929364</v>
      </c>
      <c r="AW352" s="32">
        <f>IFERROR(__xludf.DUMMYFUNCTION("""COMPUTED_VALUE"""),-13.028118147506891)</f>
        <v>-13.02811815</v>
      </c>
      <c r="AX352" s="32">
        <f>IFERROR(__xludf.DUMMYFUNCTION("""COMPUTED_VALUE"""),16.463868244564857)</f>
        <v>16.46386824</v>
      </c>
      <c r="AY352" s="32">
        <f>IFERROR(__xludf.DUMMYFUNCTION("""COMPUTED_VALUE"""),-11.124959966210527)</f>
        <v>-11.12495997</v>
      </c>
      <c r="AZ352" s="30">
        <f>IFERROR(__xludf.DUMMYFUNCTION("""COMPUTED_VALUE"""),1.903158181296364)</f>
        <v>1.903158181</v>
      </c>
      <c r="BA352" s="30">
        <f>IFERROR(__xludf.DUMMYFUNCTION("""COMPUTED_VALUE"""),1200.0)</f>
        <v>1200</v>
      </c>
    </row>
    <row r="353">
      <c r="A353" s="71" t="str">
        <f>IFERROR(__xludf.DUMMYFUNCTION("""COMPUTED_VALUE"""),"Veteran")</f>
        <v>Veteran</v>
      </c>
      <c r="B353" s="71" t="str">
        <f>IFERROR(__xludf.DUMMYFUNCTION("""COMPUTED_VALUE"""),"RSC005088")</f>
        <v>RSC005088</v>
      </c>
      <c r="C353" s="30" t="str">
        <f>IFERROR(__xludf.DUMMYFUNCTION("""COMPUTED_VALUE"""),"Thirteen")</f>
        <v>Thirteen</v>
      </c>
      <c r="D353" s="30" t="str">
        <f>IFERROR(__xludf.DUMMYFUNCTION("""COMPUTED_VALUE"""),"Repossessed")</f>
        <v>Repossessed</v>
      </c>
      <c r="E353" s="30">
        <f>IFERROR(__xludf.DUMMYFUNCTION("""COMPUTED_VALUE"""),30.0)</f>
        <v>30</v>
      </c>
      <c r="F353" s="30">
        <f>IFERROR(__xludf.DUMMYFUNCTION("""COMPUTED_VALUE"""),18.0)</f>
        <v>18</v>
      </c>
      <c r="G353" s="42">
        <f>IFERROR(__xludf.DUMMYFUNCTION("""COMPUTED_VALUE"""),12.0)</f>
        <v>12</v>
      </c>
      <c r="H353" s="42">
        <f>IFERROR(__xludf.DUMMYFUNCTION("""COMPUTED_VALUE"""),0.6)</f>
        <v>0.6</v>
      </c>
      <c r="I353" s="42">
        <f>IFERROR(__xludf.DUMMYFUNCTION("""COMPUTED_VALUE"""),0.3246753246753247)</f>
        <v>0.3246753247</v>
      </c>
      <c r="J353" s="30">
        <f>IFERROR(__xludf.DUMMYFUNCTION("""COMPUTED_VALUE"""),343.46666666666664)</f>
        <v>343.4666667</v>
      </c>
      <c r="K353" s="30">
        <f>IFERROR(__xludf.DUMMYFUNCTION("""COMPUTED_VALUE"""),0.8333333333333334)</f>
        <v>0.8333333333</v>
      </c>
      <c r="L353" s="30">
        <f>IFERROR(__xludf.DUMMYFUNCTION("""COMPUTED_VALUE"""),0.7666666666666667)</f>
        <v>0.7666666667</v>
      </c>
      <c r="M353" s="30">
        <f>IFERROR(__xludf.DUMMYFUNCTION("""COMPUTED_VALUE"""),0.9)</f>
        <v>0.9</v>
      </c>
      <c r="N353" s="30">
        <f>IFERROR(__xludf.DUMMYFUNCTION("""COMPUTED_VALUE"""),2.566666666666667)</f>
        <v>2.566666667</v>
      </c>
      <c r="O353" s="30">
        <f>IFERROR(__xludf.DUMMYFUNCTION("""COMPUTED_VALUE"""),331.49999999999994)</f>
        <v>331.5</v>
      </c>
      <c r="P353" s="30">
        <f>IFERROR(__xludf.DUMMYFUNCTION("""COMPUTED_VALUE"""),0.6444444444444443)</f>
        <v>0.6444444444</v>
      </c>
      <c r="Q353" s="30">
        <f>IFERROR(__xludf.DUMMYFUNCTION("""COMPUTED_VALUE"""),0.4666666666666666)</f>
        <v>0.4666666667</v>
      </c>
      <c r="R353" s="30">
        <f>IFERROR(__xludf.DUMMYFUNCTION("""COMPUTED_VALUE"""),1.3666666666666663)</f>
        <v>1.366666667</v>
      </c>
      <c r="S353" s="30">
        <f>IFERROR(__xludf.DUMMYFUNCTION("""COMPUTED_VALUE"""),2.466666666666667)</f>
        <v>2.466666667</v>
      </c>
      <c r="T353" s="30">
        <f>IFERROR(__xludf.DUMMYFUNCTION("""COMPUTED_VALUE"""),342.59453627984806)</f>
        <v>342.5945363</v>
      </c>
      <c r="U353" s="30">
        <f>IFERROR(__xludf.DUMMYFUNCTION("""COMPUTED_VALUE"""),0.7391924172118952)</f>
        <v>0.7391924172</v>
      </c>
      <c r="V353" s="30">
        <f>IFERROR(__xludf.DUMMYFUNCTION("""COMPUTED_VALUE"""),0.5374159010411285)</f>
        <v>0.537415901</v>
      </c>
      <c r="W353" s="30">
        <f>IFERROR(__xludf.DUMMYFUNCTION("""COMPUTED_VALUE"""),1.3362145474199199)</f>
        <v>1.336214547</v>
      </c>
      <c r="X353" s="30">
        <f>IFERROR(__xludf.DUMMYFUNCTION("""COMPUTED_VALUE"""),2.4308594178057983)</f>
        <v>2.430859418</v>
      </c>
      <c r="Y353" s="30">
        <f>IFERROR(__xludf.DUMMYFUNCTION("""COMPUTED_VALUE"""),353.45538326776443)</f>
        <v>353.4553833</v>
      </c>
      <c r="Z353" s="30">
        <f>IFERROR(__xludf.DUMMYFUNCTION("""COMPUTED_VALUE"""),0.7862891693520242)</f>
        <v>0.7862891694</v>
      </c>
      <c r="AA353" s="30">
        <f>IFERROR(__xludf.DUMMYFUNCTION("""COMPUTED_VALUE"""),0.5856986137566865)</f>
        <v>0.5856986138</v>
      </c>
      <c r="AB353" s="30">
        <f>IFERROR(__xludf.DUMMYFUNCTION("""COMPUTED_VALUE"""),1.3416991592284715)</f>
        <v>1.341699159</v>
      </c>
      <c r="AC353" s="30">
        <f>IFERROR(__xludf.DUMMYFUNCTION("""COMPUTED_VALUE"""),2.6030915838185735)</f>
        <v>2.603091584</v>
      </c>
      <c r="AD353" s="30">
        <f>IFERROR(__xludf.DUMMYFUNCTION("""COMPUTED_VALUE"""),0.9717398091132461)</f>
        <v>0.9717398091</v>
      </c>
      <c r="AE353" s="30">
        <f>IFERROR(__xludf.DUMMYFUNCTION("""COMPUTED_VALUE"""),1.0598306142510878)</f>
        <v>1.059830614</v>
      </c>
      <c r="AF353" s="30">
        <f>IFERROR(__xludf.DUMMYFUNCTION("""COMPUTED_VALUE"""),1.3089781137593042)</f>
        <v>1.308978114</v>
      </c>
      <c r="AG353" s="30">
        <f>IFERROR(__xludf.DUMMYFUNCTION("""COMPUTED_VALUE"""),0.6707912081554367)</f>
        <v>0.6707912082</v>
      </c>
      <c r="AH353" s="30">
        <f>IFERROR(__xludf.DUMMYFUNCTION("""COMPUTED_VALUE"""),0.9860070550808383)</f>
        <v>0.9860070551</v>
      </c>
      <c r="AI353" s="30">
        <f>IFERROR(__xludf.DUMMYFUNCTION("""COMPUTED_VALUE"""),0.9676161318848776)</f>
        <v>0.9676161319</v>
      </c>
      <c r="AJ353" s="30">
        <f>IFERROR(__xludf.DUMMYFUNCTION("""COMPUTED_VALUE"""),0.8718223150545513)</f>
        <v>0.8718223151</v>
      </c>
      <c r="AK353" s="30">
        <f>IFERROR(__xludf.DUMMYFUNCTION("""COMPUTED_VALUE"""),0.8683529195221051)</f>
        <v>0.8683529195</v>
      </c>
      <c r="AL353" s="30">
        <f>IFERROR(__xludf.DUMMYFUNCTION("""COMPUTED_VALUE"""),1.0227898426233617)</f>
        <v>1.022789843</v>
      </c>
      <c r="AM353" s="30">
        <f>IFERROR(__xludf.DUMMYFUNCTION("""COMPUTED_VALUE"""),1.014730283700729)</f>
        <v>1.014730284</v>
      </c>
      <c r="AN353" s="30">
        <f>IFERROR(__xludf.DUMMYFUNCTION("""COMPUTED_VALUE"""),0.9935313715383245)</f>
        <v>0.9935313715</v>
      </c>
      <c r="AO353" s="30">
        <f>IFERROR(__xludf.DUMMYFUNCTION("""COMPUTED_VALUE"""),1.10293036778791)</f>
        <v>1.102930368</v>
      </c>
      <c r="AP353" s="30">
        <f>IFERROR(__xludf.DUMMYFUNCTION("""COMPUTED_VALUE"""),1.379250184773918)</f>
        <v>1.379250185</v>
      </c>
      <c r="AQ353" s="30">
        <f>IFERROR(__xludf.DUMMYFUNCTION("""COMPUTED_VALUE"""),0.6652028320832198)</f>
        <v>0.6652028321</v>
      </c>
      <c r="AR353" s="30">
        <f>IFERROR(__xludf.DUMMYFUNCTION("""COMPUTED_VALUE"""),1.006728235710319)</f>
        <v>1.006728236</v>
      </c>
      <c r="AS353" s="30">
        <f>IFERROR(__xludf.DUMMYFUNCTION("""COMPUTED_VALUE"""),76.0)</f>
        <v>76</v>
      </c>
      <c r="AT353" s="30">
        <f>IFERROR(__xludf.DUMMYFUNCTION("""COMPUTED_VALUE"""),0.6023612092087501)</f>
        <v>0.6023612092</v>
      </c>
      <c r="AU353" s="30">
        <f>IFERROR(__xludf.DUMMYFUNCTION("""COMPUTED_VALUE"""),2.2971969904195935)</f>
        <v>2.29719699</v>
      </c>
      <c r="AV353" s="32">
        <f>IFERROR(__xludf.DUMMYFUNCTION("""COMPUTED_VALUE"""),67.34359677617151)</f>
        <v>67.34359678</v>
      </c>
      <c r="AW353" s="32">
        <f>IFERROR(__xludf.DUMMYFUNCTION("""COMPUTED_VALUE"""),4.099680886793308)</f>
        <v>4.099680887</v>
      </c>
      <c r="AX353" s="32">
        <f>IFERROR(__xludf.DUMMYFUNCTION("""COMPUTED_VALUE"""),53.182135661358764)</f>
        <v>53.18213566</v>
      </c>
      <c r="AY353" s="32">
        <f>IFERROR(__xludf.DUMMYFUNCTION("""COMPUTED_VALUE"""),2.225400850065032)</f>
        <v>2.22540085</v>
      </c>
      <c r="AZ353" s="30">
        <f>IFERROR(__xludf.DUMMYFUNCTION("""COMPUTED_VALUE"""),1.8742800367282761)</f>
        <v>1.874280037</v>
      </c>
      <c r="BA353" s="30">
        <f>IFERROR(__xludf.DUMMYFUNCTION("""COMPUTED_VALUE"""),1200.0)</f>
        <v>1200</v>
      </c>
    </row>
    <row r="354">
      <c r="A354" s="71" t="str">
        <f>IFERROR(__xludf.DUMMYFUNCTION("""COMPUTED_VALUE"""),"Veteran")</f>
        <v>Veteran</v>
      </c>
      <c r="B354" s="71" t="str">
        <f>IFERROR(__xludf.DUMMYFUNCTION("""COMPUTED_VALUE"""),"RSC007036")</f>
        <v>RSC007036</v>
      </c>
      <c r="C354" s="30" t="str">
        <f>IFERROR(__xludf.DUMMYFUNCTION("""COMPUTED_VALUE"""),"PoiisonDeath")</f>
        <v>PoiisonDeath</v>
      </c>
      <c r="D354" s="30" t="str">
        <f>IFERROR(__xludf.DUMMYFUNCTION("""COMPUTED_VALUE"""),"Silver Dollar")</f>
        <v>Silver Dollar</v>
      </c>
      <c r="E354" s="30">
        <f>IFERROR(__xludf.DUMMYFUNCTION("""COMPUTED_VALUE"""),15.0)</f>
        <v>15</v>
      </c>
      <c r="F354" s="30">
        <f>IFERROR(__xludf.DUMMYFUNCTION("""COMPUTED_VALUE"""),6.0)</f>
        <v>6</v>
      </c>
      <c r="G354" s="42">
        <f>IFERROR(__xludf.DUMMYFUNCTION("""COMPUTED_VALUE"""),9.0)</f>
        <v>9</v>
      </c>
      <c r="H354" s="42">
        <f>IFERROR(__xludf.DUMMYFUNCTION("""COMPUTED_VALUE"""),0.4)</f>
        <v>0.4</v>
      </c>
      <c r="I354" s="42">
        <f>IFERROR(__xludf.DUMMYFUNCTION("""COMPUTED_VALUE"""),0.32)</f>
        <v>0.32</v>
      </c>
      <c r="J354" s="30">
        <f>IFERROR(__xludf.DUMMYFUNCTION("""COMPUTED_VALUE"""),301.8666666666667)</f>
        <v>301.8666667</v>
      </c>
      <c r="K354" s="30">
        <f>IFERROR(__xludf.DUMMYFUNCTION("""COMPUTED_VALUE"""),0.5333333333333333)</f>
        <v>0.5333333333</v>
      </c>
      <c r="L354" s="30">
        <f>IFERROR(__xludf.DUMMYFUNCTION("""COMPUTED_VALUE"""),0.6666666666666666)</f>
        <v>0.6666666667</v>
      </c>
      <c r="M354" s="30">
        <f>IFERROR(__xludf.DUMMYFUNCTION("""COMPUTED_VALUE"""),1.1333333333333333)</f>
        <v>1.133333333</v>
      </c>
      <c r="N354" s="30">
        <f>IFERROR(__xludf.DUMMYFUNCTION("""COMPUTED_VALUE"""),1.6666666666666667)</f>
        <v>1.666666667</v>
      </c>
      <c r="O354" s="30">
        <f>IFERROR(__xludf.DUMMYFUNCTION("""COMPUTED_VALUE"""),345.6888888888888)</f>
        <v>345.6888889</v>
      </c>
      <c r="P354" s="30">
        <f>IFERROR(__xludf.DUMMYFUNCTION("""COMPUTED_VALUE"""),0.8)</f>
        <v>0.8</v>
      </c>
      <c r="Q354" s="30">
        <f>IFERROR(__xludf.DUMMYFUNCTION("""COMPUTED_VALUE"""),0.5111111111111111)</f>
        <v>0.5111111111</v>
      </c>
      <c r="R354" s="30">
        <f>IFERROR(__xludf.DUMMYFUNCTION("""COMPUTED_VALUE"""),1.2222222222222223)</f>
        <v>1.222222222</v>
      </c>
      <c r="S354" s="30">
        <f>IFERROR(__xludf.DUMMYFUNCTION("""COMPUTED_VALUE"""),2.533333333333333)</f>
        <v>2.533333333</v>
      </c>
      <c r="T354" s="30">
        <f>IFERROR(__xludf.DUMMYFUNCTION("""COMPUTED_VALUE"""),357.7067448530407)</f>
        <v>357.7067449</v>
      </c>
      <c r="U354" s="30">
        <f>IFERROR(__xludf.DUMMYFUNCTION("""COMPUTED_VALUE"""),0.8146367804459004)</f>
        <v>0.8146367804</v>
      </c>
      <c r="V354" s="30">
        <f>IFERROR(__xludf.DUMMYFUNCTION("""COMPUTED_VALUE"""),0.6091252610783877)</f>
        <v>0.6091252611</v>
      </c>
      <c r="W354" s="30">
        <f>IFERROR(__xludf.DUMMYFUNCTION("""COMPUTED_VALUE"""),1.3104920537763107)</f>
        <v>1.310492054</v>
      </c>
      <c r="X354" s="30">
        <f>IFERROR(__xludf.DUMMYFUNCTION("""COMPUTED_VALUE"""),2.686067952561561)</f>
        <v>2.686067953</v>
      </c>
      <c r="Y354" s="30">
        <f>IFERROR(__xludf.DUMMYFUNCTION("""COMPUTED_VALUE"""),358.5587336058754)</f>
        <v>358.5587336</v>
      </c>
      <c r="Z354" s="30">
        <f>IFERROR(__xludf.DUMMYFUNCTION("""COMPUTED_VALUE"""),0.7911784836397255)</f>
        <v>0.7911784836</v>
      </c>
      <c r="AA354" s="30">
        <f>IFERROR(__xludf.DUMMYFUNCTION("""COMPUTED_VALUE"""),0.5691626285129675)</f>
        <v>0.5691626285</v>
      </c>
      <c r="AB354" s="30">
        <f>IFERROR(__xludf.DUMMYFUNCTION("""COMPUTED_VALUE"""),1.429120841410428)</f>
        <v>1.429120841</v>
      </c>
      <c r="AC354" s="30">
        <f>IFERROR(__xludf.DUMMYFUNCTION("""COMPUTED_VALUE"""),2.663456900430997)</f>
        <v>2.6634569</v>
      </c>
      <c r="AD354" s="30">
        <f>IFERROR(__xludf.DUMMYFUNCTION("""COMPUTED_VALUE"""),0.8418890362282344)</f>
        <v>0.8418890362</v>
      </c>
      <c r="AE354" s="30">
        <f>IFERROR(__xludf.DUMMYFUNCTION("""COMPUTED_VALUE"""),0.6740998957400797)</f>
        <v>0.6740998957</v>
      </c>
      <c r="AF354" s="30">
        <f>IFERROR(__xludf.DUMMYFUNCTION("""COMPUTED_VALUE"""),1.17131138495239)</f>
        <v>1.171311385</v>
      </c>
      <c r="AG354" s="30">
        <f>IFERROR(__xludf.DUMMYFUNCTION("""COMPUTED_VALUE"""),0.7930283433658584)</f>
        <v>0.7930283434</v>
      </c>
      <c r="AH354" s="30">
        <f>IFERROR(__xludf.DUMMYFUNCTION("""COMPUTED_VALUE"""),0.6257531955546076)</f>
        <v>0.6257531956</v>
      </c>
      <c r="AI354" s="30">
        <f>IFERROR(__xludf.DUMMYFUNCTION("""COMPUTED_VALUE"""),0.9664030490420603)</f>
        <v>0.966403049</v>
      </c>
      <c r="AJ354" s="30">
        <f>IFERROR(__xludf.DUMMYFUNCTION("""COMPUTED_VALUE"""),0.9820327527589796)</f>
        <v>0.9820327528</v>
      </c>
      <c r="AK354" s="30">
        <f>IFERROR(__xludf.DUMMYFUNCTION("""COMPUTED_VALUE"""),0.8390903214328139)</f>
        <v>0.8390903214</v>
      </c>
      <c r="AL354" s="30">
        <f>IFERROR(__xludf.DUMMYFUNCTION("""COMPUTED_VALUE"""),0.9326437491171883)</f>
        <v>0.9326437491</v>
      </c>
      <c r="AM354" s="30">
        <f>IFERROR(__xludf.DUMMYFUNCTION("""COMPUTED_VALUE"""),0.9431382146968497)</f>
        <v>0.9431382147</v>
      </c>
      <c r="AN354" s="30">
        <f>IFERROR(__xludf.DUMMYFUNCTION("""COMPUTED_VALUE"""),0.8731968265383412)</f>
        <v>0.8731968265</v>
      </c>
      <c r="AO354" s="30">
        <f>IFERROR(__xludf.DUMMYFUNCTION("""COMPUTED_VALUE"""),0.7058754353842623)</f>
        <v>0.7058754354</v>
      </c>
      <c r="AP354" s="30">
        <f>IFERROR(__xludf.DUMMYFUNCTION("""COMPUTED_VALUE"""),1.1993479867599286)</f>
        <v>1.199347987</v>
      </c>
      <c r="AQ354" s="30">
        <f>IFERROR(__xludf.DUMMYFUNCTION("""COMPUTED_VALUE"""),0.8376628255862768)</f>
        <v>0.8376628256</v>
      </c>
      <c r="AR354" s="30">
        <f>IFERROR(__xludf.DUMMYFUNCTION("""COMPUTED_VALUE"""),0.6537196335781292)</f>
        <v>0.6537196336</v>
      </c>
      <c r="AS354" s="30">
        <f>IFERROR(__xludf.DUMMYFUNCTION("""COMPUTED_VALUE"""),33.0)</f>
        <v>33</v>
      </c>
      <c r="AT354" s="30">
        <f>IFERROR(__xludf.DUMMYFUNCTION("""COMPUTED_VALUE"""),0.4663433941244228)</f>
        <v>0.4663433941</v>
      </c>
      <c r="AU354" s="30">
        <f>IFERROR(__xludf.DUMMYFUNCTION("""COMPUTED_VALUE"""),1.4388455636557993)</f>
        <v>1.438845564</v>
      </c>
      <c r="AV354" s="32">
        <f>IFERROR(__xludf.DUMMYFUNCTION("""COMPUTED_VALUE"""),36.65573610575281)</f>
        <v>36.65573611</v>
      </c>
      <c r="AW354" s="32">
        <f>IFERROR(__xludf.DUMMYFUNCTION("""COMPUTED_VALUE"""),-3.369838300525972)</f>
        <v>-3.369838301</v>
      </c>
      <c r="AX354" s="32">
        <f>IFERROR(__xludf.DUMMYFUNCTION("""COMPUTED_VALUE"""),28.167943721002196)</f>
        <v>28.16794372</v>
      </c>
      <c r="AY354" s="32">
        <f>IFERROR(__xludf.DUMMYFUNCTION("""COMPUTED_VALUE"""),-5.2286316942953395)</f>
        <v>-5.228631694</v>
      </c>
      <c r="AZ354" s="30">
        <f>IFERROR(__xludf.DUMMYFUNCTION("""COMPUTED_VALUE"""),1.8587933937693673)</f>
        <v>1.858793394</v>
      </c>
      <c r="BA354" s="30">
        <f>IFERROR(__xludf.DUMMYFUNCTION("""COMPUTED_VALUE"""),1200.0)</f>
        <v>1200</v>
      </c>
    </row>
    <row r="355">
      <c r="A355" s="71" t="str">
        <f>IFERROR(__xludf.DUMMYFUNCTION("""COMPUTED_VALUE"""),"Veteran")</f>
        <v>Veteran</v>
      </c>
      <c r="B355" s="71" t="str">
        <f>IFERROR(__xludf.DUMMYFUNCTION("""COMPUTED_VALUE"""),"RSC001007")</f>
        <v>RSC001007</v>
      </c>
      <c r="C355" s="30" t="str">
        <f>IFERROR(__xludf.DUMMYFUNCTION("""COMPUTED_VALUE"""),"Tdeez")</f>
        <v>Tdeez</v>
      </c>
      <c r="D355" s="30" t="str">
        <f>IFERROR(__xludf.DUMMYFUNCTION("""COMPUTED_VALUE"""),"Supernova")</f>
        <v>Supernova</v>
      </c>
      <c r="E355" s="30">
        <f>IFERROR(__xludf.DUMMYFUNCTION("""COMPUTED_VALUE"""),26.0)</f>
        <v>26</v>
      </c>
      <c r="F355" s="30">
        <f>IFERROR(__xludf.DUMMYFUNCTION("""COMPUTED_VALUE"""),8.0)</f>
        <v>8</v>
      </c>
      <c r="G355" s="42">
        <f>IFERROR(__xludf.DUMMYFUNCTION("""COMPUTED_VALUE"""),18.0)</f>
        <v>18</v>
      </c>
      <c r="H355" s="42">
        <f>IFERROR(__xludf.DUMMYFUNCTION("""COMPUTED_VALUE"""),0.3076923076923077)</f>
        <v>0.3076923077</v>
      </c>
      <c r="I355" s="42">
        <f>IFERROR(__xludf.DUMMYFUNCTION("""COMPUTED_VALUE"""),0.375)</f>
        <v>0.375</v>
      </c>
      <c r="J355" s="30">
        <f>IFERROR(__xludf.DUMMYFUNCTION("""COMPUTED_VALUE"""),328.0)</f>
        <v>328</v>
      </c>
      <c r="K355" s="30">
        <f>IFERROR(__xludf.DUMMYFUNCTION("""COMPUTED_VALUE"""),0.8076923076923077)</f>
        <v>0.8076923077</v>
      </c>
      <c r="L355" s="30">
        <f>IFERROR(__xludf.DUMMYFUNCTION("""COMPUTED_VALUE"""),0.4230769230769231)</f>
        <v>0.4230769231</v>
      </c>
      <c r="M355" s="30">
        <f>IFERROR(__xludf.DUMMYFUNCTION("""COMPUTED_VALUE"""),1.5384615384615385)</f>
        <v>1.538461538</v>
      </c>
      <c r="N355" s="30">
        <f>IFERROR(__xludf.DUMMYFUNCTION("""COMPUTED_VALUE"""),2.1538461538461537)</f>
        <v>2.153846154</v>
      </c>
      <c r="O355" s="30">
        <f>IFERROR(__xludf.DUMMYFUNCTION("""COMPUTED_VALUE"""),389.9358974358974)</f>
        <v>389.9358974</v>
      </c>
      <c r="P355" s="30">
        <f>IFERROR(__xludf.DUMMYFUNCTION("""COMPUTED_VALUE"""),1.1153846153846152)</f>
        <v>1.115384615</v>
      </c>
      <c r="Q355" s="30">
        <f>IFERROR(__xludf.DUMMYFUNCTION("""COMPUTED_VALUE"""),0.846153846153846)</f>
        <v>0.8461538462</v>
      </c>
      <c r="R355" s="30">
        <f>IFERROR(__xludf.DUMMYFUNCTION("""COMPUTED_VALUE"""),1.1153846153846154)</f>
        <v>1.115384615</v>
      </c>
      <c r="S355" s="30">
        <f>IFERROR(__xludf.DUMMYFUNCTION("""COMPUTED_VALUE"""),3.3205128205128207)</f>
        <v>3.320512821</v>
      </c>
      <c r="T355" s="30">
        <f>IFERROR(__xludf.DUMMYFUNCTION("""COMPUTED_VALUE"""),361.0030001517403)</f>
        <v>361.0030002</v>
      </c>
      <c r="U355" s="30">
        <f>IFERROR(__xludf.DUMMYFUNCTION("""COMPUTED_VALUE"""),0.8144696063120317)</f>
        <v>0.8144696063</v>
      </c>
      <c r="V355" s="30">
        <f>IFERROR(__xludf.DUMMYFUNCTION("""COMPUTED_VALUE"""),0.5862709541443378)</f>
        <v>0.5862709541</v>
      </c>
      <c r="W355" s="30">
        <f>IFERROR(__xludf.DUMMYFUNCTION("""COMPUTED_VALUE"""),1.387733195520449)</f>
        <v>1.387733196</v>
      </c>
      <c r="X355" s="30">
        <f>IFERROR(__xludf.DUMMYFUNCTION("""COMPUTED_VALUE"""),2.6897564334972306)</f>
        <v>2.689756433</v>
      </c>
      <c r="Y355" s="30">
        <f>IFERROR(__xludf.DUMMYFUNCTION("""COMPUTED_VALUE"""),357.7492951156224)</f>
        <v>357.7492951</v>
      </c>
      <c r="Z355" s="30">
        <f>IFERROR(__xludf.DUMMYFUNCTION("""COMPUTED_VALUE"""),0.7953532349323044)</f>
        <v>0.7953532349</v>
      </c>
      <c r="AA355" s="30">
        <f>IFERROR(__xludf.DUMMYFUNCTION("""COMPUTED_VALUE"""),0.5683378363422864)</f>
        <v>0.5683378363</v>
      </c>
      <c r="AB355" s="30">
        <f>IFERROR(__xludf.DUMMYFUNCTION("""COMPUTED_VALUE"""),1.3884192155149018)</f>
        <v>1.388419216</v>
      </c>
      <c r="AC355" s="30">
        <f>IFERROR(__xludf.DUMMYFUNCTION("""COMPUTED_VALUE"""),2.6855299414049663)</f>
        <v>2.685529941</v>
      </c>
      <c r="AD355" s="30">
        <f>IFERROR(__xludf.DUMMYFUNCTION("""COMPUTED_VALUE"""),0.9168431761521498)</f>
        <v>0.9168431762</v>
      </c>
      <c r="AE355" s="30">
        <f>IFERROR(__xludf.DUMMYFUNCTION("""COMPUTED_VALUE"""),1.0155139530689827)</f>
        <v>1.015513953</v>
      </c>
      <c r="AF355" s="30">
        <f>IFERROR(__xludf.DUMMYFUNCTION("""COMPUTED_VALUE"""),0.7444109753448147)</f>
        <v>0.7444109753</v>
      </c>
      <c r="AG355" s="30">
        <f>IFERROR(__xludf.DUMMYFUNCTION("""COMPUTED_VALUE"""),1.1080670169859272)</f>
        <v>1.108067017</v>
      </c>
      <c r="AH355" s="30">
        <f>IFERROR(__xludf.DUMMYFUNCTION("""COMPUTED_VALUE"""),0.8020190431089903)</f>
        <v>0.8020190431</v>
      </c>
      <c r="AI355" s="30">
        <f>IFERROR(__xludf.DUMMYFUNCTION("""COMPUTED_VALUE"""),1.0801458638072141)</f>
        <v>1.080145864</v>
      </c>
      <c r="AJ355" s="30">
        <f>IFERROR(__xludf.DUMMYFUNCTION("""COMPUTED_VALUE"""),1.3694613116812855)</f>
        <v>1.369461312</v>
      </c>
      <c r="AK355" s="30">
        <f>IFERROR(__xludf.DUMMYFUNCTION("""COMPUTED_VALUE"""),1.4432811998827524)</f>
        <v>1.4432812</v>
      </c>
      <c r="AL355" s="30">
        <f>IFERROR(__xludf.DUMMYFUNCTION("""COMPUTED_VALUE"""),0.8037457192672448)</f>
        <v>0.8037457193</v>
      </c>
      <c r="AM355" s="30">
        <f>IFERROR(__xludf.DUMMYFUNCTION("""COMPUTED_VALUE"""),1.234503161386802)</f>
        <v>1.234503161</v>
      </c>
      <c r="AN355" s="30">
        <f>IFERROR(__xludf.DUMMYFUNCTION("""COMPUTED_VALUE"""),0.9487916048075615)</f>
        <v>0.9487916048</v>
      </c>
      <c r="AO355" s="30">
        <f>IFERROR(__xludf.DUMMYFUNCTION("""COMPUTED_VALUE"""),1.0689940487790512)</f>
        <v>1.068994049</v>
      </c>
      <c r="AP355" s="30">
        <f>IFERROR(__xludf.DUMMYFUNCTION("""COMPUTED_VALUE"""),0.7611246839053394)</f>
        <v>0.7611246839</v>
      </c>
      <c r="AQ355" s="30">
        <f>IFERROR(__xludf.DUMMYFUNCTION("""COMPUTED_VALUE"""),1.1370988582619141)</f>
        <v>1.137098858</v>
      </c>
      <c r="AR355" s="30">
        <f>IFERROR(__xludf.DUMMYFUNCTION("""COMPUTED_VALUE"""),0.8448069110855824)</f>
        <v>0.8448069111</v>
      </c>
      <c r="AS355" s="30">
        <f>IFERROR(__xludf.DUMMYFUNCTION("""COMPUTED_VALUE"""),54.0)</f>
        <v>54</v>
      </c>
      <c r="AT355" s="30">
        <f>IFERROR(__xludf.DUMMYFUNCTION("""COMPUTED_VALUE"""),0.31544624471782384)</f>
        <v>0.3154462447</v>
      </c>
      <c r="AU355" s="30">
        <f>IFERROR(__xludf.DUMMYFUNCTION("""COMPUTED_VALUE"""),1.2201377511991793)</f>
        <v>1.220137751</v>
      </c>
      <c r="AV355" s="32">
        <f>IFERROR(__xludf.DUMMYFUNCTION("""COMPUTED_VALUE"""),28.836473893414496)</f>
        <v>28.83647389</v>
      </c>
      <c r="AW355" s="32">
        <f>IFERROR(__xludf.DUMMYFUNCTION("""COMPUTED_VALUE"""),-5.034600454796807)</f>
        <v>-5.034600455</v>
      </c>
      <c r="AX355" s="32">
        <f>IFERROR(__xludf.DUMMYFUNCTION("""COMPUTED_VALUE"""),23.559673165925894)</f>
        <v>23.55967317</v>
      </c>
      <c r="AY355" s="32">
        <f>IFERROR(__xludf.DUMMYFUNCTION("""COMPUTED_VALUE"""),-6.891041745703728)</f>
        <v>-6.891041746</v>
      </c>
      <c r="AZ355" s="30">
        <f>IFERROR(__xludf.DUMMYFUNCTION("""COMPUTED_VALUE"""),1.856441290906921)</f>
        <v>1.856441291</v>
      </c>
      <c r="BA355" s="30">
        <f>IFERROR(__xludf.DUMMYFUNCTION("""COMPUTED_VALUE"""),1200.0)</f>
        <v>1200</v>
      </c>
    </row>
    <row r="356">
      <c r="A356" s="71" t="str">
        <f>IFERROR(__xludf.DUMMYFUNCTION("""COMPUTED_VALUE"""),"Veteran")</f>
        <v>Veteran</v>
      </c>
      <c r="B356" s="71" t="str">
        <f>IFERROR(__xludf.DUMMYFUNCTION("""COMPUTED_VALUE"""),"RSC003887")</f>
        <v>RSC003887</v>
      </c>
      <c r="C356" s="30" t="str">
        <f>IFERROR(__xludf.DUMMYFUNCTION("""COMPUTED_VALUE"""),"Cundy")</f>
        <v>Cundy</v>
      </c>
      <c r="D356" s="30" t="str">
        <f>IFERROR(__xludf.DUMMYFUNCTION("""COMPUTED_VALUE"""),"Possessed")</f>
        <v>Possessed</v>
      </c>
      <c r="E356" s="30">
        <f>IFERROR(__xludf.DUMMYFUNCTION("""COMPUTED_VALUE"""),41.0)</f>
        <v>41</v>
      </c>
      <c r="F356" s="30">
        <f>IFERROR(__xludf.DUMMYFUNCTION("""COMPUTED_VALUE"""),17.0)</f>
        <v>17</v>
      </c>
      <c r="G356" s="42">
        <f>IFERROR(__xludf.DUMMYFUNCTION("""COMPUTED_VALUE"""),24.0)</f>
        <v>24</v>
      </c>
      <c r="H356" s="42">
        <f>IFERROR(__xludf.DUMMYFUNCTION("""COMPUTED_VALUE"""),0.4146341463414634)</f>
        <v>0.4146341463</v>
      </c>
      <c r="I356" s="42">
        <f>IFERROR(__xludf.DUMMYFUNCTION("""COMPUTED_VALUE"""),0.19047619047619047)</f>
        <v>0.1904761905</v>
      </c>
      <c r="J356" s="30">
        <f>IFERROR(__xludf.DUMMYFUNCTION("""COMPUTED_VALUE"""),296.4146341463415)</f>
        <v>296.4146341</v>
      </c>
      <c r="K356" s="30">
        <f>IFERROR(__xludf.DUMMYFUNCTION("""COMPUTED_VALUE"""),0.3902439024390244)</f>
        <v>0.3902439024</v>
      </c>
      <c r="L356" s="30">
        <f>IFERROR(__xludf.DUMMYFUNCTION("""COMPUTED_VALUE"""),0.6829268292682927)</f>
        <v>0.6829268293</v>
      </c>
      <c r="M356" s="30">
        <f>IFERROR(__xludf.DUMMYFUNCTION("""COMPUTED_VALUE"""),1.048780487804878)</f>
        <v>1.048780488</v>
      </c>
      <c r="N356" s="30">
        <f>IFERROR(__xludf.DUMMYFUNCTION("""COMPUTED_VALUE"""),2.048780487804878)</f>
        <v>2.048780488</v>
      </c>
      <c r="O356" s="30">
        <f>IFERROR(__xludf.DUMMYFUNCTION("""COMPUTED_VALUE"""),376.7398373983741)</f>
        <v>376.7398374</v>
      </c>
      <c r="P356" s="30">
        <f>IFERROR(__xludf.DUMMYFUNCTION("""COMPUTED_VALUE"""),0.894308943089431)</f>
        <v>0.8943089431</v>
      </c>
      <c r="Q356" s="30">
        <f>IFERROR(__xludf.DUMMYFUNCTION("""COMPUTED_VALUE"""),0.6829268292682927)</f>
        <v>0.6829268293</v>
      </c>
      <c r="R356" s="30">
        <f>IFERROR(__xludf.DUMMYFUNCTION("""COMPUTED_VALUE"""),1.3983739837398377)</f>
        <v>1.398373984</v>
      </c>
      <c r="S356" s="30">
        <f>IFERROR(__xludf.DUMMYFUNCTION("""COMPUTED_VALUE"""),2.504065040650407)</f>
        <v>2.504065041</v>
      </c>
      <c r="T356" s="30">
        <f>IFERROR(__xludf.DUMMYFUNCTION("""COMPUTED_VALUE"""),354.94270553490793)</f>
        <v>354.9427055</v>
      </c>
      <c r="U356" s="30">
        <f>IFERROR(__xludf.DUMMYFUNCTION("""COMPUTED_VALUE"""),0.7705739010429904)</f>
        <v>0.770573901</v>
      </c>
      <c r="V356" s="30">
        <f>IFERROR(__xludf.DUMMYFUNCTION("""COMPUTED_VALUE"""),0.563723391999955)</f>
        <v>0.563723392</v>
      </c>
      <c r="W356" s="30">
        <f>IFERROR(__xludf.DUMMYFUNCTION("""COMPUTED_VALUE"""),1.3842721434249343)</f>
        <v>1.384272143</v>
      </c>
      <c r="X356" s="30">
        <f>IFERROR(__xludf.DUMMYFUNCTION("""COMPUTED_VALUE"""),2.6283785999073777)</f>
        <v>2.6283786</v>
      </c>
      <c r="Y356" s="30">
        <f>IFERROR(__xludf.DUMMYFUNCTION("""COMPUTED_VALUE"""),348.8847853915236)</f>
        <v>348.8847854</v>
      </c>
      <c r="Z356" s="30">
        <f>IFERROR(__xludf.DUMMYFUNCTION("""COMPUTED_VALUE"""),0.7492760044615929)</f>
        <v>0.7492760045</v>
      </c>
      <c r="AA356" s="30">
        <f>IFERROR(__xludf.DUMMYFUNCTION("""COMPUTED_VALUE"""),0.5497021039053779)</f>
        <v>0.5497021039</v>
      </c>
      <c r="AB356" s="30">
        <f>IFERROR(__xludf.DUMMYFUNCTION("""COMPUTED_VALUE"""),1.3473850805643026)</f>
        <v>1.347385081</v>
      </c>
      <c r="AC356" s="30">
        <f>IFERROR(__xludf.DUMMYFUNCTION("""COMPUTED_VALUE"""),2.614764732400446)</f>
        <v>2.614764732</v>
      </c>
      <c r="AD356" s="30">
        <f>IFERROR(__xludf.DUMMYFUNCTION("""COMPUTED_VALUE"""),0.8496060778738191)</f>
        <v>0.8496060779</v>
      </c>
      <c r="AE356" s="30">
        <f>IFERROR(__xludf.DUMMYFUNCTION("""COMPUTED_VALUE"""),0.5208279727567705)</f>
        <v>0.5208279728</v>
      </c>
      <c r="AF356" s="30">
        <f>IFERROR(__xludf.DUMMYFUNCTION("""COMPUTED_VALUE"""),1.2423580415945565)</f>
        <v>1.242358042</v>
      </c>
      <c r="AG356" s="30">
        <f>IFERROR(__xludf.DUMMYFUNCTION("""COMPUTED_VALUE"""),0.7783821440012049)</f>
        <v>0.778382144</v>
      </c>
      <c r="AH356" s="30">
        <f>IFERROR(__xludf.DUMMYFUNCTION("""COMPUTED_VALUE"""),0.7835429560517383)</f>
        <v>0.7835429561</v>
      </c>
      <c r="AI356" s="30">
        <f>IFERROR(__xludf.DUMMYFUNCTION("""COMPUTED_VALUE"""),1.0614102826274943)</f>
        <v>1.061410283</v>
      </c>
      <c r="AJ356" s="30">
        <f>IFERROR(__xludf.DUMMYFUNCTION("""COMPUTED_VALUE"""),1.1605751789399592)</f>
        <v>1.160575179</v>
      </c>
      <c r="AK356" s="30">
        <f>IFERROR(__xludf.DUMMYFUNCTION("""COMPUTED_VALUE"""),1.2114573192455835)</f>
        <v>1.211457319</v>
      </c>
      <c r="AL356" s="30">
        <f>IFERROR(__xludf.DUMMYFUNCTION("""COMPUTED_VALUE"""),1.0101871878169946)</f>
        <v>1.010187188</v>
      </c>
      <c r="AM356" s="30">
        <f>IFERROR(__xludf.DUMMYFUNCTION("""COMPUTED_VALUE"""),0.9527033284849635)</f>
        <v>0.9527033285</v>
      </c>
      <c r="AN356" s="30">
        <f>IFERROR(__xludf.DUMMYFUNCTION("""COMPUTED_VALUE"""),0.8574259646955902)</f>
        <v>0.8574259647</v>
      </c>
      <c r="AO356" s="30">
        <f>IFERROR(__xludf.DUMMYFUNCTION("""COMPUTED_VALUE"""),0.5164942210128749)</f>
        <v>0.516494221</v>
      </c>
      <c r="AP356" s="30">
        <f>IFERROR(__xludf.DUMMYFUNCTION("""COMPUTED_VALUE"""),1.2286003766809026)</f>
        <v>1.228600377</v>
      </c>
      <c r="AQ356" s="30">
        <f>IFERROR(__xludf.DUMMYFUNCTION("""COMPUTED_VALUE"""),0.7751686119126951)</f>
        <v>0.7751686119</v>
      </c>
      <c r="AR356" s="30">
        <f>IFERROR(__xludf.DUMMYFUNCTION("""COMPUTED_VALUE"""),0.8035968178618955)</f>
        <v>0.8035968179</v>
      </c>
      <c r="AS356" s="30">
        <f>IFERROR(__xludf.DUMMYFUNCTION("""COMPUTED_VALUE"""),86.0)</f>
        <v>86</v>
      </c>
      <c r="AT356" s="30">
        <f>IFERROR(__xludf.DUMMYFUNCTION("""COMPUTED_VALUE"""),0.4047680871274949)</f>
        <v>0.4047680871</v>
      </c>
      <c r="AU356" s="30">
        <f>IFERROR(__xludf.DUMMYFUNCTION("""COMPUTED_VALUE"""),1.1683291447804187)</f>
        <v>1.168329145</v>
      </c>
      <c r="AV356" s="32">
        <f>IFERROR(__xludf.DUMMYFUNCTION("""COMPUTED_VALUE"""),26.98420774025879)</f>
        <v>26.98420774</v>
      </c>
      <c r="AW356" s="32">
        <f>IFERROR(__xludf.DUMMYFUNCTION("""COMPUTED_VALUE"""),-5.59843410133335)</f>
        <v>-5.598434101</v>
      </c>
      <c r="AX356" s="32">
        <f>IFERROR(__xludf.DUMMYFUNCTION("""COMPUTED_VALUE"""),33.80895755230809)</f>
        <v>33.80895755</v>
      </c>
      <c r="AY356" s="32">
        <f>IFERROR(__xludf.DUMMYFUNCTION("""COMPUTED_VALUE"""),-3.866851009024394)</f>
        <v>-3.866851009</v>
      </c>
      <c r="AZ356" s="30">
        <f>IFERROR(__xludf.DUMMYFUNCTION("""COMPUTED_VALUE"""),1.7315830923089557)</f>
        <v>1.731583092</v>
      </c>
      <c r="BA356" s="30">
        <f>IFERROR(__xludf.DUMMYFUNCTION("""COMPUTED_VALUE"""),1200.0)</f>
        <v>1200</v>
      </c>
    </row>
    <row r="357">
      <c r="A357" s="71" t="str">
        <f>IFERROR(__xludf.DUMMYFUNCTION("""COMPUTED_VALUE"""),"Veteran")</f>
        <v>Veteran</v>
      </c>
      <c r="B357" s="71" t="str">
        <f>IFERROR(__xludf.DUMMYFUNCTION("""COMPUTED_VALUE"""),"RSC006700")</f>
        <v>RSC006700</v>
      </c>
      <c r="C357" s="30" t="str">
        <f>IFERROR(__xludf.DUMMYFUNCTION("""COMPUTED_VALUE"""),"Terx")</f>
        <v>Terx</v>
      </c>
      <c r="D357" s="30" t="str">
        <f>IFERROR(__xludf.DUMMYFUNCTION("""COMPUTED_VALUE"""),"Penguins")</f>
        <v>Penguins</v>
      </c>
      <c r="E357" s="30">
        <f>IFERROR(__xludf.DUMMYFUNCTION("""COMPUTED_VALUE"""),48.0)</f>
        <v>48</v>
      </c>
      <c r="F357" s="30">
        <f>IFERROR(__xludf.DUMMYFUNCTION("""COMPUTED_VALUE"""),30.0)</f>
        <v>30</v>
      </c>
      <c r="G357" s="42">
        <f>IFERROR(__xludf.DUMMYFUNCTION("""COMPUTED_VALUE"""),18.0)</f>
        <v>18</v>
      </c>
      <c r="H357" s="42">
        <f>IFERROR(__xludf.DUMMYFUNCTION("""COMPUTED_VALUE"""),0.625)</f>
        <v>0.625</v>
      </c>
      <c r="I357" s="42">
        <f>IFERROR(__xludf.DUMMYFUNCTION("""COMPUTED_VALUE"""),0.2222222222222222)</f>
        <v>0.2222222222</v>
      </c>
      <c r="J357" s="30">
        <f>IFERROR(__xludf.DUMMYFUNCTION("""COMPUTED_VALUE"""),284.0)</f>
        <v>284</v>
      </c>
      <c r="K357" s="30">
        <f>IFERROR(__xludf.DUMMYFUNCTION("""COMPUTED_VALUE"""),0.5)</f>
        <v>0.5</v>
      </c>
      <c r="L357" s="30">
        <f>IFERROR(__xludf.DUMMYFUNCTION("""COMPUTED_VALUE"""),0.7083333333333334)</f>
        <v>0.7083333333</v>
      </c>
      <c r="M357" s="30">
        <f>IFERROR(__xludf.DUMMYFUNCTION("""COMPUTED_VALUE"""),1.0416666666666667)</f>
        <v>1.041666667</v>
      </c>
      <c r="N357" s="30">
        <f>IFERROR(__xludf.DUMMYFUNCTION("""COMPUTED_VALUE"""),2.25)</f>
        <v>2.25</v>
      </c>
      <c r="O357" s="30">
        <f>IFERROR(__xludf.DUMMYFUNCTION("""COMPUTED_VALUE"""),326.1805555555555)</f>
        <v>326.1805556</v>
      </c>
      <c r="P357" s="30">
        <f>IFERROR(__xludf.DUMMYFUNCTION("""COMPUTED_VALUE"""),0.6597222222222222)</f>
        <v>0.6597222222</v>
      </c>
      <c r="Q357" s="30">
        <f>IFERROR(__xludf.DUMMYFUNCTION("""COMPUTED_VALUE"""),0.4444444444444445)</f>
        <v>0.4444444444</v>
      </c>
      <c r="R357" s="30">
        <f>IFERROR(__xludf.DUMMYFUNCTION("""COMPUTED_VALUE"""),1.4236111111111105)</f>
        <v>1.423611111</v>
      </c>
      <c r="S357" s="30">
        <f>IFERROR(__xludf.DUMMYFUNCTION("""COMPUTED_VALUE"""),2.333333333333333)</f>
        <v>2.333333333</v>
      </c>
      <c r="T357" s="30">
        <f>IFERROR(__xludf.DUMMYFUNCTION("""COMPUTED_VALUE"""),359.54960209566156)</f>
        <v>359.5496021</v>
      </c>
      <c r="U357" s="30">
        <f>IFERROR(__xludf.DUMMYFUNCTION("""COMPUTED_VALUE"""),0.7971535856041218)</f>
        <v>0.7971535856</v>
      </c>
      <c r="V357" s="30">
        <f>IFERROR(__xludf.DUMMYFUNCTION("""COMPUTED_VALUE"""),0.5925242620228892)</f>
        <v>0.592524262</v>
      </c>
      <c r="W357" s="30">
        <f>IFERROR(__xludf.DUMMYFUNCTION("""COMPUTED_VALUE"""),1.3903557151041677)</f>
        <v>1.390355715</v>
      </c>
      <c r="X357" s="30">
        <f>IFERROR(__xludf.DUMMYFUNCTION("""COMPUTED_VALUE"""),2.658260414735394)</f>
        <v>2.658260415</v>
      </c>
      <c r="Y357" s="30">
        <f>IFERROR(__xludf.DUMMYFUNCTION("""COMPUTED_VALUE"""),354.5243851232999)</f>
        <v>354.5243851</v>
      </c>
      <c r="Z357" s="30">
        <f>IFERROR(__xludf.DUMMYFUNCTION("""COMPUTED_VALUE"""),0.7988945611919035)</f>
        <v>0.7988945612</v>
      </c>
      <c r="AA357" s="30">
        <f>IFERROR(__xludf.DUMMYFUNCTION("""COMPUTED_VALUE"""),0.578598734464139)</f>
        <v>0.5785987345</v>
      </c>
      <c r="AB357" s="30">
        <f>IFERROR(__xludf.DUMMYFUNCTION("""COMPUTED_VALUE"""),1.3366852946505607)</f>
        <v>1.336685295</v>
      </c>
      <c r="AC357" s="30">
        <f>IFERROR(__xludf.DUMMYFUNCTION("""COMPUTED_VALUE"""),2.6585123366629753)</f>
        <v>2.658512337</v>
      </c>
      <c r="AD357" s="30">
        <f>IFERROR(__xludf.DUMMYFUNCTION("""COMPUTED_VALUE"""),0.8010732460652255)</f>
        <v>0.8010732461</v>
      </c>
      <c r="AE357" s="30">
        <f>IFERROR(__xludf.DUMMYFUNCTION("""COMPUTED_VALUE"""),0.6258648190745341)</f>
        <v>0.6258648191</v>
      </c>
      <c r="AF357" s="30">
        <f>IFERROR(__xludf.DUMMYFUNCTION("""COMPUTED_VALUE"""),1.2242220577778247)</f>
        <v>1.224222058</v>
      </c>
      <c r="AG357" s="30">
        <f>IFERROR(__xludf.DUMMYFUNCTION("""COMPUTED_VALUE"""),0.7792908853231467)</f>
        <v>0.7792908853</v>
      </c>
      <c r="AH357" s="30">
        <f>IFERROR(__xludf.DUMMYFUNCTION("""COMPUTED_VALUE"""),0.8463379947389114)</f>
        <v>0.8463379947</v>
      </c>
      <c r="AI357" s="30">
        <f>IFERROR(__xludf.DUMMYFUNCTION("""COMPUTED_VALUE"""),0.9071920915901114)</f>
        <v>0.9071920916</v>
      </c>
      <c r="AJ357" s="30">
        <f>IFERROR(__xludf.DUMMYFUNCTION("""COMPUTED_VALUE"""),0.8275973841631191)</f>
        <v>0.8275973842</v>
      </c>
      <c r="AK357" s="30">
        <f>IFERROR(__xludf.DUMMYFUNCTION("""COMPUTED_VALUE"""),0.7500864908503537)</f>
        <v>0.7500864909</v>
      </c>
      <c r="AL357" s="30">
        <f>IFERROR(__xludf.DUMMYFUNCTION("""COMPUTED_VALUE"""),1.0239186243100755)</f>
        <v>1.023918624</v>
      </c>
      <c r="AM357" s="30">
        <f>IFERROR(__xludf.DUMMYFUNCTION("""COMPUTED_VALUE"""),0.877767024027853)</f>
        <v>0.877767024</v>
      </c>
      <c r="AN357" s="30">
        <f>IFERROR(__xludf.DUMMYFUNCTION("""COMPUTED_VALUE"""),0.8215146822114252)</f>
        <v>0.8215146822</v>
      </c>
      <c r="AO357" s="30">
        <f>IFERROR(__xludf.DUMMYFUNCTION("""COMPUTED_VALUE"""),0.6617582206727459)</f>
        <v>0.6617582207</v>
      </c>
      <c r="AP357" s="30">
        <f>IFERROR(__xludf.DUMMYFUNCTION("""COMPUTED_VALUE"""),1.2743072359324243)</f>
        <v>1.274307236</v>
      </c>
      <c r="AQ357" s="30">
        <f>IFERROR(__xludf.DUMMYFUNCTION("""COMPUTED_VALUE"""),0.7699106852815044)</f>
        <v>0.7699106853</v>
      </c>
      <c r="AR357" s="30">
        <f>IFERROR(__xludf.DUMMYFUNCTION("""COMPUTED_VALUE"""),0.8825215053304745)</f>
        <v>0.8825215053</v>
      </c>
      <c r="AS357" s="30">
        <f>IFERROR(__xludf.DUMMYFUNCTION("""COMPUTED_VALUE"""),126.0)</f>
        <v>126</v>
      </c>
      <c r="AT357" s="30">
        <f>IFERROR(__xludf.DUMMYFUNCTION("""COMPUTED_VALUE"""),0.6077157055057264)</f>
        <v>0.6077157055</v>
      </c>
      <c r="AU357" s="30">
        <f>IFERROR(__xludf.DUMMYFUNCTION("""COMPUTED_VALUE"""),1.6692450061212403)</f>
        <v>1.669245006</v>
      </c>
      <c r="AV357" s="32">
        <f>IFERROR(__xludf.DUMMYFUNCTION("""COMPUTED_VALUE"""),44.89299857012487)</f>
        <v>44.89299857</v>
      </c>
      <c r="AW357" s="32">
        <f>IFERROR(__xludf.DUMMYFUNCTION("""COMPUTED_VALUE"""),-2.386251411774035)</f>
        <v>-2.386251412</v>
      </c>
      <c r="AX357" s="32">
        <f>IFERROR(__xludf.DUMMYFUNCTION("""COMPUTED_VALUE"""),33.530674674844896)</f>
        <v>33.53067467</v>
      </c>
      <c r="AY357" s="32">
        <f>IFERROR(__xludf.DUMMYFUNCTION("""COMPUTED_VALUE"""),-3.921249241866619)</f>
        <v>-3.921249242</v>
      </c>
      <c r="AZ357" s="30">
        <f>IFERROR(__xludf.DUMMYFUNCTION("""COMPUTED_VALUE"""),1.5349978300925842)</f>
        <v>1.53499783</v>
      </c>
      <c r="BA357" s="30">
        <f>IFERROR(__xludf.DUMMYFUNCTION("""COMPUTED_VALUE"""),1200.0)</f>
        <v>1200</v>
      </c>
    </row>
    <row r="358">
      <c r="A358" s="71" t="str">
        <f>IFERROR(__xludf.DUMMYFUNCTION("""COMPUTED_VALUE"""),"Veteran")</f>
        <v>Veteran</v>
      </c>
      <c r="B358" s="71" t="str">
        <f>IFERROR(__xludf.DUMMYFUNCTION("""COMPUTED_VALUE"""),"RSC003104")</f>
        <v>RSC003104</v>
      </c>
      <c r="C358" s="30" t="str">
        <f>IFERROR(__xludf.DUMMYFUNCTION("""COMPUTED_VALUE"""),"nizz")</f>
        <v>nizz</v>
      </c>
      <c r="D358" s="30" t="str">
        <f>IFERROR(__xludf.DUMMYFUNCTION("""COMPUTED_VALUE"""),"Folks")</f>
        <v>Folks</v>
      </c>
      <c r="E358" s="30">
        <f>IFERROR(__xludf.DUMMYFUNCTION("""COMPUTED_VALUE"""),23.0)</f>
        <v>23</v>
      </c>
      <c r="F358" s="30">
        <f>IFERROR(__xludf.DUMMYFUNCTION("""COMPUTED_VALUE"""),9.0)</f>
        <v>9</v>
      </c>
      <c r="G358" s="42">
        <f>IFERROR(__xludf.DUMMYFUNCTION("""COMPUTED_VALUE"""),14.0)</f>
        <v>14</v>
      </c>
      <c r="H358" s="42">
        <f>IFERROR(__xludf.DUMMYFUNCTION("""COMPUTED_VALUE"""),0.391304347826087)</f>
        <v>0.3913043478</v>
      </c>
      <c r="I358" s="42">
        <f>IFERROR(__xludf.DUMMYFUNCTION("""COMPUTED_VALUE"""),0.21568627450980393)</f>
        <v>0.2156862745</v>
      </c>
      <c r="J358" s="30">
        <f>IFERROR(__xludf.DUMMYFUNCTION("""COMPUTED_VALUE"""),267.8695652173913)</f>
        <v>267.8695652</v>
      </c>
      <c r="K358" s="30">
        <f>IFERROR(__xludf.DUMMYFUNCTION("""COMPUTED_VALUE"""),0.4782608695652174)</f>
        <v>0.4782608696</v>
      </c>
      <c r="L358" s="30">
        <f>IFERROR(__xludf.DUMMYFUNCTION("""COMPUTED_VALUE"""),0.30434782608695654)</f>
        <v>0.3043478261</v>
      </c>
      <c r="M358" s="30">
        <f>IFERROR(__xludf.DUMMYFUNCTION("""COMPUTED_VALUE"""),1.3043478260869565)</f>
        <v>1.304347826</v>
      </c>
      <c r="N358" s="30">
        <f>IFERROR(__xludf.DUMMYFUNCTION("""COMPUTED_VALUE"""),2.217391304347826)</f>
        <v>2.217391304</v>
      </c>
      <c r="O358" s="30">
        <f>IFERROR(__xludf.DUMMYFUNCTION("""COMPUTED_VALUE"""),341.89855072463763)</f>
        <v>341.8985507</v>
      </c>
      <c r="P358" s="30">
        <f>IFERROR(__xludf.DUMMYFUNCTION("""COMPUTED_VALUE"""),0.7681159420289856)</f>
        <v>0.768115942</v>
      </c>
      <c r="Q358" s="30">
        <f>IFERROR(__xludf.DUMMYFUNCTION("""COMPUTED_VALUE"""),0.6376811594202898)</f>
        <v>0.6376811594</v>
      </c>
      <c r="R358" s="30">
        <f>IFERROR(__xludf.DUMMYFUNCTION("""COMPUTED_VALUE"""),1.2608695652173916)</f>
        <v>1.260869565</v>
      </c>
      <c r="S358" s="30">
        <f>IFERROR(__xludf.DUMMYFUNCTION("""COMPUTED_VALUE"""),2.5942028985507246)</f>
        <v>2.594202899</v>
      </c>
      <c r="T358" s="30">
        <f>IFERROR(__xludf.DUMMYFUNCTION("""COMPUTED_VALUE"""),356.66527496602083)</f>
        <v>356.665275</v>
      </c>
      <c r="U358" s="30">
        <f>IFERROR(__xludf.DUMMYFUNCTION("""COMPUTED_VALUE"""),0.7793617259876546)</f>
        <v>0.779361726</v>
      </c>
      <c r="V358" s="30">
        <f>IFERROR(__xludf.DUMMYFUNCTION("""COMPUTED_VALUE"""),0.6053890071471144)</f>
        <v>0.6053890071</v>
      </c>
      <c r="W358" s="30">
        <f>IFERROR(__xludf.DUMMYFUNCTION("""COMPUTED_VALUE"""),1.3699409182535163)</f>
        <v>1.369940918</v>
      </c>
      <c r="X358" s="30">
        <f>IFERROR(__xludf.DUMMYFUNCTION("""COMPUTED_VALUE"""),2.6195288727750876)</f>
        <v>2.619528873</v>
      </c>
      <c r="Y358" s="30">
        <f>IFERROR(__xludf.DUMMYFUNCTION("""COMPUTED_VALUE"""),350.64473801374777)</f>
        <v>350.644738</v>
      </c>
      <c r="Z358" s="30">
        <f>IFERROR(__xludf.DUMMYFUNCTION("""COMPUTED_VALUE"""),0.7737188687487384)</f>
        <v>0.7737188687</v>
      </c>
      <c r="AA358" s="30">
        <f>IFERROR(__xludf.DUMMYFUNCTION("""COMPUTED_VALUE"""),0.571801442223427)</f>
        <v>0.5718014422</v>
      </c>
      <c r="AB358" s="30">
        <f>IFERROR(__xludf.DUMMYFUNCTION("""COMPUTED_VALUE"""),1.3362726142945025)</f>
        <v>1.336272614</v>
      </c>
      <c r="AC358" s="30">
        <f>IFERROR(__xludf.DUMMYFUNCTION("""COMPUTED_VALUE"""),2.59211363792322)</f>
        <v>2.592113638</v>
      </c>
      <c r="AD358" s="30">
        <f>IFERROR(__xludf.DUMMYFUNCTION("""COMPUTED_VALUE"""),0.7639343648353535)</f>
        <v>0.7639343648</v>
      </c>
      <c r="AE358" s="30">
        <f>IFERROR(__xludf.DUMMYFUNCTION("""COMPUTED_VALUE"""),0.6181326175212232)</f>
        <v>0.6181326175</v>
      </c>
      <c r="AF358" s="30">
        <f>IFERROR(__xludf.DUMMYFUNCTION("""COMPUTED_VALUE"""),0.5322613823839132)</f>
        <v>0.5322613824</v>
      </c>
      <c r="AG358" s="30">
        <f>IFERROR(__xludf.DUMMYFUNCTION("""COMPUTED_VALUE"""),0.9761090754490984)</f>
        <v>0.9761090754</v>
      </c>
      <c r="AH358" s="30">
        <f>IFERROR(__xludf.DUMMYFUNCTION("""COMPUTED_VALUE"""),0.8554375363436542)</f>
        <v>0.8554375363</v>
      </c>
      <c r="AI358" s="30">
        <f>IFERROR(__xludf.DUMMYFUNCTION("""COMPUTED_VALUE"""),0.9585978078668017)</f>
        <v>0.9585978079</v>
      </c>
      <c r="AJ358" s="30">
        <f>IFERROR(__xludf.DUMMYFUNCTION("""COMPUTED_VALUE"""),0.9855705206149075)</f>
        <v>0.9855705206</v>
      </c>
      <c r="AK358" s="30">
        <f>IFERROR(__xludf.DUMMYFUNCTION("""COMPUTED_VALUE"""),1.0533411606288519)</f>
        <v>1.053341161</v>
      </c>
      <c r="AL358" s="30">
        <f>IFERROR(__xludf.DUMMYFUNCTION("""COMPUTED_VALUE"""),0.9203824401601381)</f>
        <v>0.9203824402</v>
      </c>
      <c r="AM358" s="30">
        <f>IFERROR(__xludf.DUMMYFUNCTION("""COMPUTED_VALUE"""),0.9903318591035292)</f>
        <v>0.9903318591</v>
      </c>
      <c r="AN358" s="30">
        <f>IFERROR(__xludf.DUMMYFUNCTION("""COMPUTED_VALUE"""),0.7748548617735136)</f>
        <v>0.7748548618</v>
      </c>
      <c r="AO358" s="30">
        <f>IFERROR(__xludf.DUMMYFUNCTION("""COMPUTED_VALUE"""),0.632986124121757)</f>
        <v>0.6329861241</v>
      </c>
      <c r="AP358" s="30">
        <f>IFERROR(__xludf.DUMMYFUNCTION("""COMPUTED_VALUE"""),0.5475284287382284)</f>
        <v>0.5475284287</v>
      </c>
      <c r="AQ358" s="30">
        <f>IFERROR(__xludf.DUMMYFUNCTION("""COMPUTED_VALUE"""),0.9640620754829272)</f>
        <v>0.9640620755</v>
      </c>
      <c r="AR358" s="30">
        <f>IFERROR(__xludf.DUMMYFUNCTION("""COMPUTED_VALUE"""),0.8697313385865546)</f>
        <v>0.8697313386</v>
      </c>
      <c r="AS358" s="30">
        <f>IFERROR(__xludf.DUMMYFUNCTION("""COMPUTED_VALUE"""),44.0)</f>
        <v>44</v>
      </c>
      <c r="AT358" s="30">
        <f>IFERROR(__xludf.DUMMYFUNCTION("""COMPUTED_VALUE"""),0.43013992538453466)</f>
        <v>0.4301399254</v>
      </c>
      <c r="AU358" s="30">
        <f>IFERROR(__xludf.DUMMYFUNCTION("""COMPUTED_VALUE"""),0.9258020039604643)</f>
        <v>0.925802004</v>
      </c>
      <c r="AV358" s="32">
        <f>IFERROR(__xludf.DUMMYFUNCTION("""COMPUTED_VALUE"""),18.313354667481313)</f>
        <v>18.31335467</v>
      </c>
      <c r="AW358" s="32">
        <f>IFERROR(__xludf.DUMMYFUNCTION("""COMPUTED_VALUE"""),-9.756631551975735)</f>
        <v>-9.756631552</v>
      </c>
      <c r="AX358" s="32">
        <f>IFERROR(__xludf.DUMMYFUNCTION("""COMPUTED_VALUE"""),20.81133842891073)</f>
        <v>20.81133843</v>
      </c>
      <c r="AY358" s="32">
        <f>IFERROR(__xludf.DUMMYFUNCTION("""COMPUTED_VALUE"""),-8.230799648688283)</f>
        <v>-8.230799649</v>
      </c>
      <c r="AZ358" s="30">
        <f>IFERROR(__xludf.DUMMYFUNCTION("""COMPUTED_VALUE"""),1.525831903287452)</f>
        <v>1.525831903</v>
      </c>
      <c r="BA358" s="30">
        <f>IFERROR(__xludf.DUMMYFUNCTION("""COMPUTED_VALUE"""),1200.0)</f>
        <v>1200</v>
      </c>
    </row>
    <row r="359">
      <c r="A359" s="71" t="str">
        <f>IFERROR(__xludf.DUMMYFUNCTION("""COMPUTED_VALUE"""),"Veteran")</f>
        <v>Veteran</v>
      </c>
      <c r="B359" s="71" t="str">
        <f>IFERROR(__xludf.DUMMYFUNCTION("""COMPUTED_VALUE"""),"RSC007327")</f>
        <v>RSC007327</v>
      </c>
      <c r="C359" s="30" t="str">
        <f>IFERROR(__xludf.DUMMYFUNCTION("""COMPUTED_VALUE"""),"JustAChillGuyONG")</f>
        <v>JustAChillGuyONG</v>
      </c>
      <c r="D359" s="30" t="str">
        <f>IFERROR(__xludf.DUMMYFUNCTION("""COMPUTED_VALUE"""),"Merciless Mob")</f>
        <v>Merciless Mob</v>
      </c>
      <c r="E359" s="30">
        <f>IFERROR(__xludf.DUMMYFUNCTION("""COMPUTED_VALUE"""),28.0)</f>
        <v>28</v>
      </c>
      <c r="F359" s="30">
        <f>IFERROR(__xludf.DUMMYFUNCTION("""COMPUTED_VALUE"""),9.0)</f>
        <v>9</v>
      </c>
      <c r="G359" s="42">
        <f>IFERROR(__xludf.DUMMYFUNCTION("""COMPUTED_VALUE"""),19.0)</f>
        <v>19</v>
      </c>
      <c r="H359" s="42">
        <f>IFERROR(__xludf.DUMMYFUNCTION("""COMPUTED_VALUE"""),0.32142857142857145)</f>
        <v>0.3214285714</v>
      </c>
      <c r="I359" s="42">
        <f>IFERROR(__xludf.DUMMYFUNCTION("""COMPUTED_VALUE"""),0.3194444444444444)</f>
        <v>0.3194444444</v>
      </c>
      <c r="J359" s="30">
        <f>IFERROR(__xludf.DUMMYFUNCTION("""COMPUTED_VALUE"""),321.35714285714283)</f>
        <v>321.3571429</v>
      </c>
      <c r="K359" s="30">
        <f>IFERROR(__xludf.DUMMYFUNCTION("""COMPUTED_VALUE"""),0.8214285714285714)</f>
        <v>0.8214285714</v>
      </c>
      <c r="L359" s="30">
        <f>IFERROR(__xludf.DUMMYFUNCTION("""COMPUTED_VALUE"""),0.2857142857142857)</f>
        <v>0.2857142857</v>
      </c>
      <c r="M359" s="30">
        <f>IFERROR(__xludf.DUMMYFUNCTION("""COMPUTED_VALUE"""),1.2857142857142858)</f>
        <v>1.285714286</v>
      </c>
      <c r="N359" s="30">
        <f>IFERROR(__xludf.DUMMYFUNCTION("""COMPUTED_VALUE"""),2.5714285714285716)</f>
        <v>2.571428571</v>
      </c>
      <c r="O359" s="30">
        <f>IFERROR(__xludf.DUMMYFUNCTION("""COMPUTED_VALUE"""),412.4166666666668)</f>
        <v>412.4166667</v>
      </c>
      <c r="P359" s="30">
        <f>IFERROR(__xludf.DUMMYFUNCTION("""COMPUTED_VALUE"""),1.1547619047619044)</f>
        <v>1.154761905</v>
      </c>
      <c r="Q359" s="30">
        <f>IFERROR(__xludf.DUMMYFUNCTION("""COMPUTED_VALUE"""),0.9047619047619048)</f>
        <v>0.9047619048</v>
      </c>
      <c r="R359" s="30">
        <f>IFERROR(__xludf.DUMMYFUNCTION("""COMPUTED_VALUE"""),1.285714285714286)</f>
        <v>1.285714286</v>
      </c>
      <c r="S359" s="30">
        <f>IFERROR(__xludf.DUMMYFUNCTION("""COMPUTED_VALUE"""),2.976190476190476)</f>
        <v>2.976190476</v>
      </c>
      <c r="T359" s="30">
        <f>IFERROR(__xludf.DUMMYFUNCTION("""COMPUTED_VALUE"""),362.37374387010516)</f>
        <v>362.3737439</v>
      </c>
      <c r="U359" s="30">
        <f>IFERROR(__xludf.DUMMYFUNCTION("""COMPUTED_VALUE"""),0.8381765736041356)</f>
        <v>0.8381765736</v>
      </c>
      <c r="V359" s="30">
        <f>IFERROR(__xludf.DUMMYFUNCTION("""COMPUTED_VALUE"""),0.6734282079497721)</f>
        <v>0.6734282079</v>
      </c>
      <c r="W359" s="30">
        <f>IFERROR(__xludf.DUMMYFUNCTION("""COMPUTED_VALUE"""),1.307704857800265)</f>
        <v>1.307704858</v>
      </c>
      <c r="X359" s="30">
        <f>IFERROR(__xludf.DUMMYFUNCTION("""COMPUTED_VALUE"""),2.734163235388352)</f>
        <v>2.734163235</v>
      </c>
      <c r="Y359" s="30">
        <f>IFERROR(__xludf.DUMMYFUNCTION("""COMPUTED_VALUE"""),350.0381208910171)</f>
        <v>350.0381209</v>
      </c>
      <c r="Z359" s="30">
        <f>IFERROR(__xludf.DUMMYFUNCTION("""COMPUTED_VALUE"""),0.7589359665178996)</f>
        <v>0.7589359665</v>
      </c>
      <c r="AA359" s="30">
        <f>IFERROR(__xludf.DUMMYFUNCTION("""COMPUTED_VALUE"""),0.5443569418274112)</f>
        <v>0.5443569418</v>
      </c>
      <c r="AB359" s="30">
        <f>IFERROR(__xludf.DUMMYFUNCTION("""COMPUTED_VALUE"""),1.3721376834269454)</f>
        <v>1.372137683</v>
      </c>
      <c r="AC359" s="30">
        <f>IFERROR(__xludf.DUMMYFUNCTION("""COMPUTED_VALUE"""),2.6106342987220477)</f>
        <v>2.610634299</v>
      </c>
      <c r="AD359" s="30">
        <f>IFERROR(__xludf.DUMMYFUNCTION("""COMPUTED_VALUE"""),0.9180632727633572)</f>
        <v>0.9180632728</v>
      </c>
      <c r="AE359" s="30">
        <f>IFERROR(__xludf.DUMMYFUNCTION("""COMPUTED_VALUE"""),1.0823423947047814)</f>
        <v>1.082342395</v>
      </c>
      <c r="AF359" s="30">
        <f>IFERROR(__xludf.DUMMYFUNCTION("""COMPUTED_VALUE"""),0.5248656970463906)</f>
        <v>0.524865697</v>
      </c>
      <c r="AG359" s="30">
        <f>IFERROR(__xludf.DUMMYFUNCTION("""COMPUTED_VALUE"""),0.9370155059827413)</f>
        <v>0.937015506</v>
      </c>
      <c r="AH359" s="30">
        <f>IFERROR(__xludf.DUMMYFUNCTION("""COMPUTED_VALUE"""),0.9849822982435081)</f>
        <v>0.9849822982</v>
      </c>
      <c r="AI359" s="30">
        <f>IFERROR(__xludf.DUMMYFUNCTION("""COMPUTED_VALUE"""),1.138097540572641)</f>
        <v>1.138097541</v>
      </c>
      <c r="AJ359" s="30">
        <f>IFERROR(__xludf.DUMMYFUNCTION("""COMPUTED_VALUE"""),1.3777072052926282)</f>
        <v>1.377707205</v>
      </c>
      <c r="AK359" s="30">
        <f>IFERROR(__xludf.DUMMYFUNCTION("""COMPUTED_VALUE"""),1.3435164937869468)</f>
        <v>1.343516494</v>
      </c>
      <c r="AL359" s="30">
        <f>IFERROR(__xludf.DUMMYFUNCTION("""COMPUTED_VALUE"""),0.9831838415565956)</f>
        <v>0.9831838416</v>
      </c>
      <c r="AM359" s="30">
        <f>IFERROR(__xludf.DUMMYFUNCTION("""COMPUTED_VALUE"""),1.0885196749299964)</f>
        <v>1.088519675</v>
      </c>
      <c r="AN359" s="30">
        <f>IFERROR(__xludf.DUMMYFUNCTION("""COMPUTED_VALUE"""),0.9295760953896383)</f>
        <v>0.9295760954</v>
      </c>
      <c r="AO359" s="30">
        <f>IFERROR(__xludf.DUMMYFUNCTION("""COMPUTED_VALUE"""),1.087174219676654)</f>
        <v>1.08717422</v>
      </c>
      <c r="AP359" s="30">
        <f>IFERROR(__xludf.DUMMYFUNCTION("""COMPUTED_VALUE"""),0.5140062800399694)</f>
        <v>0.51400628</v>
      </c>
      <c r="AQ359" s="30">
        <f>IFERROR(__xludf.DUMMYFUNCTION("""COMPUTED_VALUE"""),0.9502897601188856)</f>
        <v>0.9502897601</v>
      </c>
      <c r="AR359" s="30">
        <f>IFERROR(__xludf.DUMMYFUNCTION("""COMPUTED_VALUE"""),1.008596006091971)</f>
        <v>1.008596006</v>
      </c>
      <c r="AS359" s="30">
        <f>IFERROR(__xludf.DUMMYFUNCTION("""COMPUTED_VALUE"""),68.0)</f>
        <v>68</v>
      </c>
      <c r="AT359" s="30">
        <f>IFERROR(__xludf.DUMMYFUNCTION("""COMPUTED_VALUE"""),0.35641386373167305)</f>
        <v>0.3564138637</v>
      </c>
      <c r="AU359" s="30">
        <f>IFERROR(__xludf.DUMMYFUNCTION("""COMPUTED_VALUE"""),1.2637911223613698)</f>
        <v>1.263791122</v>
      </c>
      <c r="AV359" s="32">
        <f>IFERROR(__xludf.DUMMYFUNCTION("""COMPUTED_VALUE"""),30.397173311216036)</f>
        <v>30.39717331</v>
      </c>
      <c r="AW359" s="32">
        <f>IFERROR(__xludf.DUMMYFUNCTION("""COMPUTED_VALUE"""),-4.619217481433885)</f>
        <v>-4.619217481</v>
      </c>
      <c r="AX359" s="32">
        <f>IFERROR(__xludf.DUMMYFUNCTION("""COMPUTED_VALUE"""),25.472743466096286)</f>
        <v>25.47274347</v>
      </c>
      <c r="AY359" s="32">
        <f>IFERROR(__xludf.DUMMYFUNCTION("""COMPUTED_VALUE"""),-6.124669501007262)</f>
        <v>-6.124669501</v>
      </c>
      <c r="AZ359" s="30">
        <f>IFERROR(__xludf.DUMMYFUNCTION("""COMPUTED_VALUE"""),1.5054520195733776)</f>
        <v>1.50545202</v>
      </c>
      <c r="BA359" s="30">
        <f>IFERROR(__xludf.DUMMYFUNCTION("""COMPUTED_VALUE"""),1200.0)</f>
        <v>1200</v>
      </c>
    </row>
    <row r="360">
      <c r="A360" s="71" t="str">
        <f>IFERROR(__xludf.DUMMYFUNCTION("""COMPUTED_VALUE"""),"Veteran")</f>
        <v>Veteran</v>
      </c>
      <c r="B360" s="71" t="str">
        <f>IFERROR(__xludf.DUMMYFUNCTION("""COMPUTED_VALUE"""),"RSC003416")</f>
        <v>RSC003416</v>
      </c>
      <c r="C360" s="30" t="str">
        <f>IFERROR(__xludf.DUMMYFUNCTION("""COMPUTED_VALUE"""),"DrSkimMilk")</f>
        <v>DrSkimMilk</v>
      </c>
      <c r="D360" s="30" t="str">
        <f>IFERROR(__xludf.DUMMYFUNCTION("""COMPUTED_VALUE"""),"Merciless Mob")</f>
        <v>Merciless Mob</v>
      </c>
      <c r="E360" s="30">
        <f>IFERROR(__xludf.DUMMYFUNCTION("""COMPUTED_VALUE"""),39.0)</f>
        <v>39</v>
      </c>
      <c r="F360" s="30">
        <f>IFERROR(__xludf.DUMMYFUNCTION("""COMPUTED_VALUE"""),19.0)</f>
        <v>19</v>
      </c>
      <c r="G360" s="42">
        <f>IFERROR(__xludf.DUMMYFUNCTION("""COMPUTED_VALUE"""),20.0)</f>
        <v>20</v>
      </c>
      <c r="H360" s="42">
        <f>IFERROR(__xludf.DUMMYFUNCTION("""COMPUTED_VALUE"""),0.48717948717948717)</f>
        <v>0.4871794872</v>
      </c>
      <c r="I360" s="42">
        <f>IFERROR(__xludf.DUMMYFUNCTION("""COMPUTED_VALUE"""),0.3181818181818182)</f>
        <v>0.3181818182</v>
      </c>
      <c r="J360" s="30">
        <f>IFERROR(__xludf.DUMMYFUNCTION("""COMPUTED_VALUE"""),288.05128205128204)</f>
        <v>288.0512821</v>
      </c>
      <c r="K360" s="30">
        <f>IFERROR(__xludf.DUMMYFUNCTION("""COMPUTED_VALUE"""),0.717948717948718)</f>
        <v>0.7179487179</v>
      </c>
      <c r="L360" s="30">
        <f>IFERROR(__xludf.DUMMYFUNCTION("""COMPUTED_VALUE"""),0.28205128205128205)</f>
        <v>0.2820512821</v>
      </c>
      <c r="M360" s="30">
        <f>IFERROR(__xludf.DUMMYFUNCTION("""COMPUTED_VALUE"""),1.1025641025641026)</f>
        <v>1.102564103</v>
      </c>
      <c r="N360" s="30">
        <f>IFERROR(__xludf.DUMMYFUNCTION("""COMPUTED_VALUE"""),2.2564102564102564)</f>
        <v>2.256410256</v>
      </c>
      <c r="O360" s="30">
        <f>IFERROR(__xludf.DUMMYFUNCTION("""COMPUTED_VALUE"""),340.991452991453)</f>
        <v>340.991453</v>
      </c>
      <c r="P360" s="30">
        <f>IFERROR(__xludf.DUMMYFUNCTION("""COMPUTED_VALUE"""),0.8034188034188033)</f>
        <v>0.8034188034</v>
      </c>
      <c r="Q360" s="30">
        <f>IFERROR(__xludf.DUMMYFUNCTION("""COMPUTED_VALUE"""),0.6153846153846152)</f>
        <v>0.6153846154</v>
      </c>
      <c r="R360" s="30">
        <f>IFERROR(__xludf.DUMMYFUNCTION("""COMPUTED_VALUE"""),1.1367521367521367)</f>
        <v>1.136752137</v>
      </c>
      <c r="S360" s="30">
        <f>IFERROR(__xludf.DUMMYFUNCTION("""COMPUTED_VALUE"""),2.6410256410256405)</f>
        <v>2.641025641</v>
      </c>
      <c r="T360" s="30">
        <f>IFERROR(__xludf.DUMMYFUNCTION("""COMPUTED_VALUE"""),347.2159495307048)</f>
        <v>347.2159495</v>
      </c>
      <c r="U360" s="30">
        <f>IFERROR(__xludf.DUMMYFUNCTION("""COMPUTED_VALUE"""),0.7628524441327362)</f>
        <v>0.7628524441</v>
      </c>
      <c r="V360" s="30">
        <f>IFERROR(__xludf.DUMMYFUNCTION("""COMPUTED_VALUE"""),0.5621848631521252)</f>
        <v>0.5621848632</v>
      </c>
      <c r="W360" s="30">
        <f>IFERROR(__xludf.DUMMYFUNCTION("""COMPUTED_VALUE"""),1.3185070780537718)</f>
        <v>1.318507078</v>
      </c>
      <c r="X360" s="30">
        <f>IFERROR(__xludf.DUMMYFUNCTION("""COMPUTED_VALUE"""),2.542309038628242)</f>
        <v>2.542309039</v>
      </c>
      <c r="Y360" s="30">
        <f>IFERROR(__xludf.DUMMYFUNCTION("""COMPUTED_VALUE"""),344.7654256956017)</f>
        <v>344.7654257</v>
      </c>
      <c r="Z360" s="30">
        <f>IFERROR(__xludf.DUMMYFUNCTION("""COMPUTED_VALUE"""),0.7505557429561887)</f>
        <v>0.750555743</v>
      </c>
      <c r="AA360" s="30">
        <f>IFERROR(__xludf.DUMMYFUNCTION("""COMPUTED_VALUE"""),0.5382538050136007)</f>
        <v>0.538253805</v>
      </c>
      <c r="AB360" s="30">
        <f>IFERROR(__xludf.DUMMYFUNCTION("""COMPUTED_VALUE"""),1.3426876219150656)</f>
        <v>1.342687622</v>
      </c>
      <c r="AC360" s="30">
        <f>IFERROR(__xludf.DUMMYFUNCTION("""COMPUTED_VALUE"""),2.5643599784336795)</f>
        <v>2.564359978</v>
      </c>
      <c r="AD360" s="30">
        <f>IFERROR(__xludf.DUMMYFUNCTION("""COMPUTED_VALUE"""),0.8354993296387168)</f>
        <v>0.8354993296</v>
      </c>
      <c r="AE360" s="30">
        <f>IFERROR(__xludf.DUMMYFUNCTION("""COMPUTED_VALUE"""),0.9565561581355136)</f>
        <v>0.9565561581</v>
      </c>
      <c r="AF360" s="30">
        <f>IFERROR(__xludf.DUMMYFUNCTION("""COMPUTED_VALUE"""),0.524011682637627)</f>
        <v>0.5240116826</v>
      </c>
      <c r="AG360" s="30">
        <f>IFERROR(__xludf.DUMMYFUNCTION("""COMPUTED_VALUE"""),0.821162036923766)</f>
        <v>0.8211620369</v>
      </c>
      <c r="AH360" s="30">
        <f>IFERROR(__xludf.DUMMYFUNCTION("""COMPUTED_VALUE"""),0.8799116642697256)</f>
        <v>0.8799116643</v>
      </c>
      <c r="AI360" s="30">
        <f>IFERROR(__xludf.DUMMYFUNCTION("""COMPUTED_VALUE"""),0.9820731261116755)</f>
        <v>0.9820731261</v>
      </c>
      <c r="AJ360" s="30">
        <f>IFERROR(__xludf.DUMMYFUNCTION("""COMPUTED_VALUE"""),1.0531772030070452)</f>
        <v>1.053177203</v>
      </c>
      <c r="AK360" s="30">
        <f>IFERROR(__xludf.DUMMYFUNCTION("""COMPUTED_VALUE"""),1.0946303533222208)</f>
        <v>1.094630353</v>
      </c>
      <c r="AL360" s="30">
        <f>IFERROR(__xludf.DUMMYFUNCTION("""COMPUTED_VALUE"""),0.8621509551773353)</f>
        <v>0.8621509552</v>
      </c>
      <c r="AM360" s="30">
        <f>IFERROR(__xludf.DUMMYFUNCTION("""COMPUTED_VALUE"""),1.0388295053423808)</f>
        <v>1.038829505</v>
      </c>
      <c r="AN360" s="30">
        <f>IFERROR(__xludf.DUMMYFUNCTION("""COMPUTED_VALUE"""),0.8332336529399739)</f>
        <v>0.8332336529</v>
      </c>
      <c r="AO360" s="30">
        <f>IFERROR(__xludf.DUMMYFUNCTION("""COMPUTED_VALUE"""),0.9502169322480455)</f>
        <v>0.9502169322</v>
      </c>
      <c r="AP360" s="30">
        <f>IFERROR(__xludf.DUMMYFUNCTION("""COMPUTED_VALUE"""),0.5074164559368929)</f>
        <v>0.5074164559</v>
      </c>
      <c r="AQ360" s="30">
        <f>IFERROR(__xludf.DUMMYFUNCTION("""COMPUTED_VALUE"""),0.8149208484210385)</f>
        <v>0.8149208484</v>
      </c>
      <c r="AR360" s="30">
        <f>IFERROR(__xludf.DUMMYFUNCTION("""COMPUTED_VALUE"""),0.8850358116134673)</f>
        <v>0.8850358116</v>
      </c>
      <c r="AS360" s="30">
        <f>IFERROR(__xludf.DUMMYFUNCTION("""COMPUTED_VALUE"""),87.0)</f>
        <v>87</v>
      </c>
      <c r="AT360" s="30">
        <f>IFERROR(__xludf.DUMMYFUNCTION("""COMPUTED_VALUE"""),0.46998062148360437)</f>
        <v>0.4699806215</v>
      </c>
      <c r="AU360" s="30">
        <f>IFERROR(__xludf.DUMMYFUNCTION("""COMPUTED_VALUE"""),1.2459049925431716)</f>
        <v>1.245904993</v>
      </c>
      <c r="AV360" s="32">
        <f>IFERROR(__xludf.DUMMYFUNCTION("""COMPUTED_VALUE"""),29.75770672133299)</f>
        <v>29.75770672</v>
      </c>
      <c r="AW360" s="32">
        <f>IFERROR(__xludf.DUMMYFUNCTION("""COMPUTED_VALUE"""),-4.7833458634763835)</f>
        <v>-4.783345863</v>
      </c>
      <c r="AX360" s="32">
        <f>IFERROR(__xludf.DUMMYFUNCTION("""COMPUTED_VALUE"""),25.37053161145926)</f>
        <v>25.37053161</v>
      </c>
      <c r="AY360" s="32">
        <f>IFERROR(__xludf.DUMMYFUNCTION("""COMPUTED_VALUE"""),-6.1626391251081865)</f>
        <v>-6.162639125</v>
      </c>
      <c r="AZ360" s="30">
        <f>IFERROR(__xludf.DUMMYFUNCTION("""COMPUTED_VALUE"""),1.379293261631803)</f>
        <v>1.379293262</v>
      </c>
      <c r="BA360" s="30">
        <f>IFERROR(__xludf.DUMMYFUNCTION("""COMPUTED_VALUE"""),1200.0)</f>
        <v>1200</v>
      </c>
    </row>
    <row r="361">
      <c r="A361" s="71" t="str">
        <f>IFERROR(__xludf.DUMMYFUNCTION("""COMPUTED_VALUE"""),"Veteran")</f>
        <v>Veteran</v>
      </c>
      <c r="B361" s="71" t="str">
        <f>IFERROR(__xludf.DUMMYFUNCTION("""COMPUTED_VALUE"""),"RSC007610")</f>
        <v>RSC007610</v>
      </c>
      <c r="C361" s="30" t="str">
        <f>IFERROR(__xludf.DUMMYFUNCTION("""COMPUTED_VALUE"""),"Halibut907")</f>
        <v>Halibut907</v>
      </c>
      <c r="D361" s="30" t="str">
        <f>IFERROR(__xludf.DUMMYFUNCTION("""COMPUTED_VALUE"""),"Dump Trucks")</f>
        <v>Dump Trucks</v>
      </c>
      <c r="E361" s="30">
        <f>IFERROR(__xludf.DUMMYFUNCTION("""COMPUTED_VALUE"""),48.0)</f>
        <v>48</v>
      </c>
      <c r="F361" s="30">
        <f>IFERROR(__xludf.DUMMYFUNCTION("""COMPUTED_VALUE"""),16.0)</f>
        <v>16</v>
      </c>
      <c r="G361" s="42">
        <f>IFERROR(__xludf.DUMMYFUNCTION("""COMPUTED_VALUE"""),32.0)</f>
        <v>32</v>
      </c>
      <c r="H361" s="42">
        <f>IFERROR(__xludf.DUMMYFUNCTION("""COMPUTED_VALUE"""),0.3333333333333333)</f>
        <v>0.3333333333</v>
      </c>
      <c r="I361" s="42">
        <f>IFERROR(__xludf.DUMMYFUNCTION("""COMPUTED_VALUE"""),0.32954545454545453)</f>
        <v>0.3295454545</v>
      </c>
      <c r="J361" s="30">
        <f>IFERROR(__xludf.DUMMYFUNCTION("""COMPUTED_VALUE"""),353.5)</f>
        <v>353.5</v>
      </c>
      <c r="K361" s="30">
        <f>IFERROR(__xludf.DUMMYFUNCTION("""COMPUTED_VALUE"""),0.6041666666666666)</f>
        <v>0.6041666667</v>
      </c>
      <c r="L361" s="30">
        <f>IFERROR(__xludf.DUMMYFUNCTION("""COMPUTED_VALUE"""),0.4583333333333333)</f>
        <v>0.4583333333</v>
      </c>
      <c r="M361" s="30">
        <f>IFERROR(__xludf.DUMMYFUNCTION("""COMPUTED_VALUE"""),1.6875)</f>
        <v>1.6875</v>
      </c>
      <c r="N361" s="30">
        <f>IFERROR(__xludf.DUMMYFUNCTION("""COMPUTED_VALUE"""),1.8333333333333333)</f>
        <v>1.833333333</v>
      </c>
      <c r="O361" s="30">
        <f>IFERROR(__xludf.DUMMYFUNCTION("""COMPUTED_VALUE"""),352.47222222222223)</f>
        <v>352.4722222</v>
      </c>
      <c r="P361" s="30">
        <f>IFERROR(__xludf.DUMMYFUNCTION("""COMPUTED_VALUE"""),0.8124999999999999)</f>
        <v>0.8125</v>
      </c>
      <c r="Q361" s="30">
        <f>IFERROR(__xludf.DUMMYFUNCTION("""COMPUTED_VALUE"""),0.6180555555555556)</f>
        <v>0.6180555556</v>
      </c>
      <c r="R361" s="30">
        <f>IFERROR(__xludf.DUMMYFUNCTION("""COMPUTED_VALUE"""),1.1736111111111114)</f>
        <v>1.173611111</v>
      </c>
      <c r="S361" s="30">
        <f>IFERROR(__xludf.DUMMYFUNCTION("""COMPUTED_VALUE"""),2.861111111111111)</f>
        <v>2.861111111</v>
      </c>
      <c r="T361" s="30">
        <f>IFERROR(__xludf.DUMMYFUNCTION("""COMPUTED_VALUE"""),354.04277641595036)</f>
        <v>354.0427764</v>
      </c>
      <c r="U361" s="30">
        <f>IFERROR(__xludf.DUMMYFUNCTION("""COMPUTED_VALUE"""),0.7720536483850823)</f>
        <v>0.7720536484</v>
      </c>
      <c r="V361" s="30">
        <f>IFERROR(__xludf.DUMMYFUNCTION("""COMPUTED_VALUE"""),0.5727167137118465)</f>
        <v>0.5727167137</v>
      </c>
      <c r="W361" s="30">
        <f>IFERROR(__xludf.DUMMYFUNCTION("""COMPUTED_VALUE"""),1.3501131825318071)</f>
        <v>1.350113183</v>
      </c>
      <c r="X361" s="30">
        <f>IFERROR(__xludf.DUMMYFUNCTION("""COMPUTED_VALUE"""),2.6652788628889676)</f>
        <v>2.665278863</v>
      </c>
      <c r="Y361" s="30">
        <f>IFERROR(__xludf.DUMMYFUNCTION("""COMPUTED_VALUE"""),347.44328825407825)</f>
        <v>347.4432883</v>
      </c>
      <c r="Z361" s="30">
        <f>IFERROR(__xludf.DUMMYFUNCTION("""COMPUTED_VALUE"""),0.7408771211947891)</f>
        <v>0.7408771212</v>
      </c>
      <c r="AA361" s="30">
        <f>IFERROR(__xludf.DUMMYFUNCTION("""COMPUTED_VALUE"""),0.5391733294940056)</f>
        <v>0.5391733295</v>
      </c>
      <c r="AB361" s="30">
        <f>IFERROR(__xludf.DUMMYFUNCTION("""COMPUTED_VALUE"""),1.3702312271960049)</f>
        <v>1.370231227</v>
      </c>
      <c r="AC361" s="30">
        <f>IFERROR(__xludf.DUMMYFUNCTION("""COMPUTED_VALUE"""),2.533368006568663)</f>
        <v>2.533368007</v>
      </c>
      <c r="AD361" s="30">
        <f>IFERROR(__xludf.DUMMYFUNCTION("""COMPUTED_VALUE"""),1.0174322312465929)</f>
        <v>1.017432231</v>
      </c>
      <c r="AE361" s="30">
        <f>IFERROR(__xludf.DUMMYFUNCTION("""COMPUTED_VALUE"""),0.8154748599772472)</f>
        <v>0.81547486</v>
      </c>
      <c r="AF361" s="30">
        <f>IFERROR(__xludf.DUMMYFUNCTION("""COMPUTED_VALUE"""),0.8500667749338832)</f>
        <v>0.8500667749</v>
      </c>
      <c r="AG361" s="30">
        <f>IFERROR(__xludf.DUMMYFUNCTION("""COMPUTED_VALUE"""),1.2315439660890253)</f>
        <v>1.231543966</v>
      </c>
      <c r="AH361" s="30">
        <f>IFERROR(__xludf.DUMMYFUNCTION("""COMPUTED_VALUE"""),0.7236743057383533)</f>
        <v>0.7236743057</v>
      </c>
      <c r="AI361" s="30">
        <f>IFERROR(__xludf.DUMMYFUNCTION("""COMPUTED_VALUE"""),0.995563942273792)</f>
        <v>0.9955639423</v>
      </c>
      <c r="AJ361" s="30">
        <f>IFERROR(__xludf.DUMMYFUNCTION("""COMPUTED_VALUE"""),1.0523880065841538)</f>
        <v>1.052388007</v>
      </c>
      <c r="AK361" s="30">
        <f>IFERROR(__xludf.DUMMYFUNCTION("""COMPUTED_VALUE"""),1.0791645166942354)</f>
        <v>1.079164517</v>
      </c>
      <c r="AL361" s="30">
        <f>IFERROR(__xludf.DUMMYFUNCTION("""COMPUTED_VALUE"""),0.8692686852448109)</f>
        <v>0.8692686852</v>
      </c>
      <c r="AM361" s="30">
        <f>IFERROR(__xludf.DUMMYFUNCTION("""COMPUTED_VALUE"""),1.0734753315868328)</f>
        <v>1.073475332</v>
      </c>
      <c r="AN361" s="30">
        <f>IFERROR(__xludf.DUMMYFUNCTION("""COMPUTED_VALUE"""),1.0225543667666859)</f>
        <v>1.022554367</v>
      </c>
      <c r="AO361" s="30">
        <f>IFERROR(__xludf.DUMMYFUNCTION("""COMPUTED_VALUE"""),0.7996245166462347)</f>
        <v>0.7996245166</v>
      </c>
      <c r="AP361" s="30">
        <f>IFERROR(__xludf.DUMMYFUNCTION("""COMPUTED_VALUE"""),0.824551740897451)</f>
        <v>0.8245517409</v>
      </c>
      <c r="AQ361" s="30">
        <f>IFERROR(__xludf.DUMMYFUNCTION("""COMPUTED_VALUE"""),1.247255310156037)</f>
        <v>1.24725531</v>
      </c>
      <c r="AR361" s="30">
        <f>IFERROR(__xludf.DUMMYFUNCTION("""COMPUTED_VALUE"""),0.7190915969359422)</f>
        <v>0.7190915969</v>
      </c>
      <c r="AS361" s="30">
        <f>IFERROR(__xludf.DUMMYFUNCTION("""COMPUTED_VALUE"""),90.0)</f>
        <v>90</v>
      </c>
      <c r="AT361" s="30">
        <f>IFERROR(__xludf.DUMMYFUNCTION("""COMPUTED_VALUE"""),0.4015307561934937)</f>
        <v>0.4015307562</v>
      </c>
      <c r="AU361" s="30">
        <f>IFERROR(__xludf.DUMMYFUNCTION("""COMPUTED_VALUE"""),1.3687911662803494)</f>
        <v>1.368791166</v>
      </c>
      <c r="AV361" s="32">
        <f>IFERROR(__xludf.DUMMYFUNCTION("""COMPUTED_VALUE"""),34.15114472397656)</f>
        <v>34.15114472</v>
      </c>
      <c r="AW361" s="32">
        <f>IFERROR(__xludf.DUMMYFUNCTION("""COMPUTED_VALUE"""),-3.8014812866274466)</f>
        <v>-3.801481287</v>
      </c>
      <c r="AX361" s="32">
        <f>IFERROR(__xludf.DUMMYFUNCTION("""COMPUTED_VALUE"""),44.28214735039161)</f>
        <v>44.28214735</v>
      </c>
      <c r="AY361" s="32">
        <f>IFERROR(__xludf.DUMMYFUNCTION("""COMPUTED_VALUE"""),-2.4417307498702265)</f>
        <v>-2.44173075</v>
      </c>
      <c r="AZ361" s="30">
        <f>IFERROR(__xludf.DUMMYFUNCTION("""COMPUTED_VALUE"""),1.35975053675722)</f>
        <v>1.359750537</v>
      </c>
      <c r="BA361" s="30">
        <f>IFERROR(__xludf.DUMMYFUNCTION("""COMPUTED_VALUE"""),1200.0)</f>
        <v>1200</v>
      </c>
    </row>
    <row r="362">
      <c r="A362" s="71" t="str">
        <f>IFERROR(__xludf.DUMMYFUNCTION("""COMPUTED_VALUE"""),"Veteran")</f>
        <v>Veteran</v>
      </c>
      <c r="B362" s="71" t="str">
        <f>IFERROR(__xludf.DUMMYFUNCTION("""COMPUTED_VALUE"""),"RSC006128")</f>
        <v>RSC006128</v>
      </c>
      <c r="C362" s="30" t="str">
        <f>IFERROR(__xludf.DUMMYFUNCTION("""COMPUTED_VALUE"""),"anth0tex")</f>
        <v>anth0tex</v>
      </c>
      <c r="D362" s="30" t="str">
        <f>IFERROR(__xludf.DUMMYFUNCTION("""COMPUTED_VALUE"""),"Azalea")</f>
        <v>Azalea</v>
      </c>
      <c r="E362" s="30">
        <f>IFERROR(__xludf.DUMMYFUNCTION("""COMPUTED_VALUE"""),39.0)</f>
        <v>39</v>
      </c>
      <c r="F362" s="30">
        <f>IFERROR(__xludf.DUMMYFUNCTION("""COMPUTED_VALUE"""),17.0)</f>
        <v>17</v>
      </c>
      <c r="G362" s="42">
        <f>IFERROR(__xludf.DUMMYFUNCTION("""COMPUTED_VALUE"""),22.0)</f>
        <v>22</v>
      </c>
      <c r="H362" s="42">
        <f>IFERROR(__xludf.DUMMYFUNCTION("""COMPUTED_VALUE"""),0.4358974358974359)</f>
        <v>0.4358974359</v>
      </c>
      <c r="I362" s="42">
        <f>IFERROR(__xludf.DUMMYFUNCTION("""COMPUTED_VALUE"""),0.35227272727272724)</f>
        <v>0.3522727273</v>
      </c>
      <c r="J362" s="30">
        <f>IFERROR(__xludf.DUMMYFUNCTION("""COMPUTED_VALUE"""),325.61538461538464)</f>
        <v>325.6153846</v>
      </c>
      <c r="K362" s="30">
        <f>IFERROR(__xludf.DUMMYFUNCTION("""COMPUTED_VALUE"""),0.7948717948717948)</f>
        <v>0.7948717949</v>
      </c>
      <c r="L362" s="30">
        <f>IFERROR(__xludf.DUMMYFUNCTION("""COMPUTED_VALUE"""),0.3333333333333333)</f>
        <v>0.3333333333</v>
      </c>
      <c r="M362" s="30">
        <f>IFERROR(__xludf.DUMMYFUNCTION("""COMPUTED_VALUE"""),1.4102564102564104)</f>
        <v>1.41025641</v>
      </c>
      <c r="N362" s="30">
        <f>IFERROR(__xludf.DUMMYFUNCTION("""COMPUTED_VALUE"""),2.2564102564102564)</f>
        <v>2.256410256</v>
      </c>
      <c r="O362" s="30">
        <f>IFERROR(__xludf.DUMMYFUNCTION("""COMPUTED_VALUE"""),352.7179487179487)</f>
        <v>352.7179487</v>
      </c>
      <c r="P362" s="30">
        <f>IFERROR(__xludf.DUMMYFUNCTION("""COMPUTED_VALUE"""),0.7948717948717948)</f>
        <v>0.7948717949</v>
      </c>
      <c r="Q362" s="30">
        <f>IFERROR(__xludf.DUMMYFUNCTION("""COMPUTED_VALUE"""),0.5384615384615385)</f>
        <v>0.5384615385</v>
      </c>
      <c r="R362" s="30">
        <f>IFERROR(__xludf.DUMMYFUNCTION("""COMPUTED_VALUE"""),1.3931623931623933)</f>
        <v>1.393162393</v>
      </c>
      <c r="S362" s="30">
        <f>IFERROR(__xludf.DUMMYFUNCTION("""COMPUTED_VALUE"""),2.649572649572649)</f>
        <v>2.64957265</v>
      </c>
      <c r="T362" s="30">
        <f>IFERROR(__xludf.DUMMYFUNCTION("""COMPUTED_VALUE"""),358.69144313006564)</f>
        <v>358.6914431</v>
      </c>
      <c r="U362" s="30">
        <f>IFERROR(__xludf.DUMMYFUNCTION("""COMPUTED_VALUE"""),0.7931075450460304)</f>
        <v>0.793107545</v>
      </c>
      <c r="V362" s="30">
        <f>IFERROR(__xludf.DUMMYFUNCTION("""COMPUTED_VALUE"""),0.5742375881690089)</f>
        <v>0.5742375882</v>
      </c>
      <c r="W362" s="30">
        <f>IFERROR(__xludf.DUMMYFUNCTION("""COMPUTED_VALUE"""),1.4164782602725525)</f>
        <v>1.41647826</v>
      </c>
      <c r="X362" s="30">
        <f>IFERROR(__xludf.DUMMYFUNCTION("""COMPUTED_VALUE"""),2.6771673680000356)</f>
        <v>2.677167368</v>
      </c>
      <c r="Y362" s="30">
        <f>IFERROR(__xludf.DUMMYFUNCTION("""COMPUTED_VALUE"""),357.2049365530681)</f>
        <v>357.2049366</v>
      </c>
      <c r="Z362" s="30">
        <f>IFERROR(__xludf.DUMMYFUNCTION("""COMPUTED_VALUE"""),0.8008279478371553)</f>
        <v>0.8008279478</v>
      </c>
      <c r="AA362" s="30">
        <f>IFERROR(__xludf.DUMMYFUNCTION("""COMPUTED_VALUE"""),0.5867231852554814)</f>
        <v>0.5867231853</v>
      </c>
      <c r="AB362" s="30">
        <f>IFERROR(__xludf.DUMMYFUNCTION("""COMPUTED_VALUE"""),1.3990029779015107)</f>
        <v>1.399002978</v>
      </c>
      <c r="AC362" s="30">
        <f>IFERROR(__xludf.DUMMYFUNCTION("""COMPUTED_VALUE"""),2.6615183331776278)</f>
        <v>2.661518333</v>
      </c>
      <c r="AD362" s="30">
        <f>IFERROR(__xludf.DUMMYFUNCTION("""COMPUTED_VALUE"""),0.911564626618786)</f>
        <v>0.9115646266</v>
      </c>
      <c r="AE362" s="30">
        <f>IFERROR(__xludf.DUMMYFUNCTION("""COMPUTED_VALUE"""),0.9925625061145199)</f>
        <v>0.9925625061</v>
      </c>
      <c r="AF362" s="30">
        <f>IFERROR(__xludf.DUMMYFUNCTION("""COMPUTED_VALUE"""),0.5681270856684953)</f>
        <v>0.5681270857</v>
      </c>
      <c r="AG362" s="30">
        <f>IFERROR(__xludf.DUMMYFUNCTION("""COMPUTED_VALUE"""),1.008043894496765)</f>
        <v>1.008043894</v>
      </c>
      <c r="AH362" s="30">
        <f>IFERROR(__xludf.DUMMYFUNCTION("""COMPUTED_VALUE"""),0.8477906119535511)</f>
        <v>0.847790612</v>
      </c>
      <c r="AI362" s="30">
        <f>IFERROR(__xludf.DUMMYFUNCTION("""COMPUTED_VALUE"""),0.9833464262208482)</f>
        <v>0.9833464262</v>
      </c>
      <c r="AJ362" s="30">
        <f>IFERROR(__xludf.DUMMYFUNCTION("""COMPUTED_VALUE"""),1.0022244774202242)</f>
        <v>1.002224477</v>
      </c>
      <c r="AK362" s="30">
        <f>IFERROR(__xludf.DUMMYFUNCTION("""COMPUTED_VALUE"""),0.9376981750331871)</f>
        <v>0.937698175</v>
      </c>
      <c r="AL362" s="30">
        <f>IFERROR(__xludf.DUMMYFUNCTION("""COMPUTED_VALUE"""),0.9835395517431571)</f>
        <v>0.9835395517</v>
      </c>
      <c r="AM362" s="30">
        <f>IFERROR(__xludf.DUMMYFUNCTION("""COMPUTED_VALUE"""),0.9896925688108917)</f>
        <v>0.9896925688</v>
      </c>
      <c r="AN362" s="30">
        <f>IFERROR(__xludf.DUMMYFUNCTION("""COMPUTED_VALUE"""),0.9418937296318969)</f>
        <v>0.9418937296</v>
      </c>
      <c r="AO362" s="30">
        <f>IFERROR(__xludf.DUMMYFUNCTION("""COMPUTED_VALUE"""),1.0520258892746217)</f>
        <v>1.052025889</v>
      </c>
      <c r="AP362" s="30">
        <f>IFERROR(__xludf.DUMMYFUNCTION("""COMPUTED_VALUE"""),0.5996739933799643)</f>
        <v>0.5996739934</v>
      </c>
      <c r="AQ362" s="30">
        <f>IFERROR(__xludf.DUMMYFUNCTION("""COMPUTED_VALUE"""),1.0423406200734213)</f>
        <v>1.04234062</v>
      </c>
      <c r="AR362" s="30">
        <f>IFERROR(__xludf.DUMMYFUNCTION("""COMPUTED_VALUE"""),0.8850358116134673)</f>
        <v>0.8850358116</v>
      </c>
      <c r="AS362" s="30">
        <f>IFERROR(__xludf.DUMMYFUNCTION("""COMPUTED_VALUE"""),92.0)</f>
        <v>92</v>
      </c>
      <c r="AT362" s="30">
        <f>IFERROR(__xludf.DUMMYFUNCTION("""COMPUTED_VALUE"""),0.4957749202354003)</f>
        <v>0.4957749202</v>
      </c>
      <c r="AU362" s="30">
        <f>IFERROR(__xludf.DUMMYFUNCTION("""COMPUTED_VALUE"""),1.5241709987919259)</f>
        <v>1.524170999</v>
      </c>
      <c r="AV362" s="32">
        <f>IFERROR(__xludf.DUMMYFUNCTION("""COMPUTED_VALUE"""),39.70629906103623)</f>
        <v>39.70629906</v>
      </c>
      <c r="AW362" s="32">
        <f>IFERROR(__xludf.DUMMYFUNCTION("""COMPUTED_VALUE"""),-2.9389112988612656)</f>
        <v>-2.938911299</v>
      </c>
      <c r="AX362" s="32">
        <f>IFERROR(__xludf.DUMMYFUNCTION("""COMPUTED_VALUE"""),32.1023668754664)</f>
        <v>32.10236688</v>
      </c>
      <c r="AY362" s="32">
        <f>IFERROR(__xludf.DUMMYFUNCTION("""COMPUTED_VALUE"""),-4.218965933489468)</f>
        <v>-4.218965933</v>
      </c>
      <c r="AZ362" s="30">
        <f>IFERROR(__xludf.DUMMYFUNCTION("""COMPUTED_VALUE"""),1.2800546346282022)</f>
        <v>1.280054635</v>
      </c>
      <c r="BA362" s="30">
        <f>IFERROR(__xludf.DUMMYFUNCTION("""COMPUTED_VALUE"""),1200.0)</f>
        <v>1200</v>
      </c>
    </row>
    <row r="363">
      <c r="A363" s="71" t="str">
        <f>IFERROR(__xludf.DUMMYFUNCTION("""COMPUTED_VALUE"""),"Veteran")</f>
        <v>Veteran</v>
      </c>
      <c r="B363" s="71" t="str">
        <f>IFERROR(__xludf.DUMMYFUNCTION("""COMPUTED_VALUE"""),"RSC007991")</f>
        <v>RSC007991</v>
      </c>
      <c r="C363" s="30" t="str">
        <f>IFERROR(__xludf.DUMMYFUNCTION("""COMPUTED_VALUE"""),"TTV 50D Drew")</f>
        <v>TTV 50D Drew</v>
      </c>
      <c r="D363" s="30"/>
      <c r="E363" s="30">
        <f>IFERROR(__xludf.DUMMYFUNCTION("""COMPUTED_VALUE"""),10.0)</f>
        <v>10</v>
      </c>
      <c r="F363" s="30">
        <f>IFERROR(__xludf.DUMMYFUNCTION("""COMPUTED_VALUE"""),2.0)</f>
        <v>2</v>
      </c>
      <c r="G363" s="42">
        <f>IFERROR(__xludf.DUMMYFUNCTION("""COMPUTED_VALUE"""),8.0)</f>
        <v>8</v>
      </c>
      <c r="H363" s="42">
        <f>IFERROR(__xludf.DUMMYFUNCTION("""COMPUTED_VALUE"""),0.2)</f>
        <v>0.2</v>
      </c>
      <c r="I363" s="42">
        <f>IFERROR(__xludf.DUMMYFUNCTION("""COMPUTED_VALUE"""),0.2727272727272727)</f>
        <v>0.2727272727</v>
      </c>
      <c r="J363" s="30">
        <f>IFERROR(__xludf.DUMMYFUNCTION("""COMPUTED_VALUE"""),297.3)</f>
        <v>297.3</v>
      </c>
      <c r="K363" s="30">
        <f>IFERROR(__xludf.DUMMYFUNCTION("""COMPUTED_VALUE"""),0.6)</f>
        <v>0.6</v>
      </c>
      <c r="L363" s="30">
        <f>IFERROR(__xludf.DUMMYFUNCTION("""COMPUTED_VALUE"""),0.3)</f>
        <v>0.3</v>
      </c>
      <c r="M363" s="30">
        <f>IFERROR(__xludf.DUMMYFUNCTION("""COMPUTED_VALUE"""),1.4)</f>
        <v>1.4</v>
      </c>
      <c r="N363" s="30">
        <f>IFERROR(__xludf.DUMMYFUNCTION("""COMPUTED_VALUE"""),2.2)</f>
        <v>2.2</v>
      </c>
      <c r="O363" s="30">
        <f>IFERROR(__xludf.DUMMYFUNCTION("""COMPUTED_VALUE"""),373.6)</f>
        <v>373.6</v>
      </c>
      <c r="P363" s="30">
        <f>IFERROR(__xludf.DUMMYFUNCTION("""COMPUTED_VALUE"""),0.9666666666666668)</f>
        <v>0.9666666667</v>
      </c>
      <c r="Q363" s="30">
        <f>IFERROR(__xludf.DUMMYFUNCTION("""COMPUTED_VALUE"""),0.6333333333333333)</f>
        <v>0.6333333333</v>
      </c>
      <c r="R363" s="30">
        <f>IFERROR(__xludf.DUMMYFUNCTION("""COMPUTED_VALUE"""),1.3666666666666667)</f>
        <v>1.366666667</v>
      </c>
      <c r="S363" s="30">
        <f>IFERROR(__xludf.DUMMYFUNCTION("""COMPUTED_VALUE"""),3.1999999999999997)</f>
        <v>3.2</v>
      </c>
      <c r="T363" s="30">
        <f>IFERROR(__xludf.DUMMYFUNCTION("""COMPUTED_VALUE"""),369.6992395146515)</f>
        <v>369.6992395</v>
      </c>
      <c r="U363" s="30">
        <f>IFERROR(__xludf.DUMMYFUNCTION("""COMPUTED_VALUE"""),0.8756921354962305)</f>
        <v>0.8756921355</v>
      </c>
      <c r="V363" s="30">
        <f>IFERROR(__xludf.DUMMYFUNCTION("""COMPUTED_VALUE"""),0.5582000459844241)</f>
        <v>0.558200046</v>
      </c>
      <c r="W363" s="30">
        <f>IFERROR(__xludf.DUMMYFUNCTION("""COMPUTED_VALUE"""),1.3377131558008706)</f>
        <v>1.337713156</v>
      </c>
      <c r="X363" s="30">
        <f>IFERROR(__xludf.DUMMYFUNCTION("""COMPUTED_VALUE"""),2.862785760610584)</f>
        <v>2.862785761</v>
      </c>
      <c r="Y363" s="30">
        <f>IFERROR(__xludf.DUMMYFUNCTION("""COMPUTED_VALUE"""),353.41809935363233)</f>
        <v>353.4180994</v>
      </c>
      <c r="Z363" s="30">
        <f>IFERROR(__xludf.DUMMYFUNCTION("""COMPUTED_VALUE"""),0.7557375525116511)</f>
        <v>0.7557375525</v>
      </c>
      <c r="AA363" s="30">
        <f>IFERROR(__xludf.DUMMYFUNCTION("""COMPUTED_VALUE"""),0.5535972274302237)</f>
        <v>0.5535972274</v>
      </c>
      <c r="AB363" s="30">
        <f>IFERROR(__xludf.DUMMYFUNCTION("""COMPUTED_VALUE"""),1.400814365872927)</f>
        <v>1.400814366</v>
      </c>
      <c r="AC363" s="30">
        <f>IFERROR(__xludf.DUMMYFUNCTION("""COMPUTED_VALUE"""),2.536672648370492)</f>
        <v>2.536672648</v>
      </c>
      <c r="AD363" s="30">
        <f>IFERROR(__xludf.DUMMYFUNCTION("""COMPUTED_VALUE"""),0.8412132840500616)</f>
        <v>0.8412132841</v>
      </c>
      <c r="AE363" s="30">
        <f>IFERROR(__xludf.DUMMYFUNCTION("""COMPUTED_VALUE"""),0.7939264073962368)</f>
        <v>0.7939264074</v>
      </c>
      <c r="AF363" s="30">
        <f>IFERROR(__xludf.DUMMYFUNCTION("""COMPUTED_VALUE"""),0.5419102284752907)</f>
        <v>0.5419102285</v>
      </c>
      <c r="AG363" s="30">
        <f>IFERROR(__xludf.DUMMYFUNCTION("""COMPUTED_VALUE"""),0.9994186482572088)</f>
        <v>0.9994186483</v>
      </c>
      <c r="AH363" s="30">
        <f>IFERROR(__xludf.DUMMYFUNCTION("""COMPUTED_VALUE"""),0.8672778497506316)</f>
        <v>0.8672778498</v>
      </c>
      <c r="AI363" s="30">
        <f>IFERROR(__xludf.DUMMYFUNCTION("""COMPUTED_VALUE"""),1.0105511725976757)</f>
        <v>1.010551173</v>
      </c>
      <c r="AJ363" s="30">
        <f>IFERROR(__xludf.DUMMYFUNCTION("""COMPUTED_VALUE"""),1.103888715545999)</f>
        <v>1.103888716</v>
      </c>
      <c r="AK363" s="30">
        <f>IFERROR(__xludf.DUMMYFUNCTION("""COMPUTED_VALUE"""),1.1345992138291685)</f>
        <v>1.134599214</v>
      </c>
      <c r="AL363" s="30">
        <f>IFERROR(__xludf.DUMMYFUNCTION("""COMPUTED_VALUE"""),1.0216440353750293)</f>
        <v>1.021644035</v>
      </c>
      <c r="AM363" s="30">
        <f>IFERROR(__xludf.DUMMYFUNCTION("""COMPUTED_VALUE"""),1.1177923420009934)</f>
        <v>1.117792342</v>
      </c>
      <c r="AN363" s="30">
        <f>IFERROR(__xludf.DUMMYFUNCTION("""COMPUTED_VALUE"""),0.8599870247234392)</f>
        <v>0.8599870247</v>
      </c>
      <c r="AO363" s="30">
        <f>IFERROR(__xludf.DUMMYFUNCTION("""COMPUTED_VALUE"""),0.7941098648072952)</f>
        <v>0.7941098648</v>
      </c>
      <c r="AP363" s="30">
        <f>IFERROR(__xludf.DUMMYFUNCTION("""COMPUTED_VALUE"""),0.5397065940419679)</f>
        <v>0.539706594</v>
      </c>
      <c r="AQ363" s="30">
        <f>IFERROR(__xludf.DUMMYFUNCTION("""COMPUTED_VALUE"""),1.0347599610183418)</f>
        <v>1.034759961</v>
      </c>
      <c r="AR363" s="30">
        <f>IFERROR(__xludf.DUMMYFUNCTION("""COMPUTED_VALUE"""),0.8629099163231306)</f>
        <v>0.8629099163</v>
      </c>
      <c r="AS363" s="30">
        <f>IFERROR(__xludf.DUMMYFUNCTION("""COMPUTED_VALUE"""),14.0)</f>
        <v>14</v>
      </c>
      <c r="AT363" s="30">
        <f>IFERROR(__xludf.DUMMYFUNCTION("""COMPUTED_VALUE"""),0.24846322231185392)</f>
        <v>0.2484632223</v>
      </c>
      <c r="AU363" s="30">
        <f>IFERROR(__xludf.DUMMYFUNCTION("""COMPUTED_VALUE"""),1.0430559137140412)</f>
        <v>1.043055914</v>
      </c>
      <c r="AV363" s="32">
        <f>IFERROR(__xludf.DUMMYFUNCTION("""COMPUTED_VALUE"""),22.505427440221993)</f>
        <v>22.50542744</v>
      </c>
      <c r="AW363" s="32">
        <f>IFERROR(__xludf.DUMMYFUNCTION("""COMPUTED_VALUE"""),-7.368471216696349)</f>
        <v>-7.368471217</v>
      </c>
      <c r="AX363" s="32">
        <f>IFERROR(__xludf.DUMMYFUNCTION("""COMPUTED_VALUE"""),20.204981343951616)</f>
        <v>20.20498134</v>
      </c>
      <c r="AY363" s="32">
        <f>IFERROR(__xludf.DUMMYFUNCTION("""COMPUTED_VALUE"""),-8.571206340130253)</f>
        <v>-8.57120634</v>
      </c>
      <c r="AZ363" s="30">
        <f>IFERROR(__xludf.DUMMYFUNCTION("""COMPUTED_VALUE"""),1.2027351234339037)</f>
        <v>1.202735123</v>
      </c>
      <c r="BA363" s="30">
        <f>IFERROR(__xludf.DUMMYFUNCTION("""COMPUTED_VALUE"""),1200.0)</f>
        <v>1200</v>
      </c>
    </row>
    <row r="364">
      <c r="A364" s="71" t="str">
        <f>IFERROR(__xludf.DUMMYFUNCTION("""COMPUTED_VALUE"""),"Veteran")</f>
        <v>Veteran</v>
      </c>
      <c r="B364" s="71" t="str">
        <f>IFERROR(__xludf.DUMMYFUNCTION("""COMPUTED_VALUE"""),"RSC007187")</f>
        <v>RSC007187</v>
      </c>
      <c r="C364" s="30" t="str">
        <f>IFERROR(__xludf.DUMMYFUNCTION("""COMPUTED_VALUE"""),"Evil Gooby")</f>
        <v>Evil Gooby</v>
      </c>
      <c r="D364" s="30" t="str">
        <f>IFERROR(__xludf.DUMMYFUNCTION("""COMPUTED_VALUE"""),"Mellow Fellows")</f>
        <v>Mellow Fellows</v>
      </c>
      <c r="E364" s="30">
        <f>IFERROR(__xludf.DUMMYFUNCTION("""COMPUTED_VALUE"""),48.0)</f>
        <v>48</v>
      </c>
      <c r="F364" s="30">
        <f>IFERROR(__xludf.DUMMYFUNCTION("""COMPUTED_VALUE"""),20.0)</f>
        <v>20</v>
      </c>
      <c r="G364" s="42">
        <f>IFERROR(__xludf.DUMMYFUNCTION("""COMPUTED_VALUE"""),28.0)</f>
        <v>28</v>
      </c>
      <c r="H364" s="42">
        <f>IFERROR(__xludf.DUMMYFUNCTION("""COMPUTED_VALUE"""),0.4166666666666667)</f>
        <v>0.4166666667</v>
      </c>
      <c r="I364" s="42">
        <f>IFERROR(__xludf.DUMMYFUNCTION("""COMPUTED_VALUE"""),0.25)</f>
        <v>0.25</v>
      </c>
      <c r="J364" s="30">
        <f>IFERROR(__xludf.DUMMYFUNCTION("""COMPUTED_VALUE"""),293.125)</f>
        <v>293.125</v>
      </c>
      <c r="K364" s="30">
        <f>IFERROR(__xludf.DUMMYFUNCTION("""COMPUTED_VALUE"""),0.4791666666666667)</f>
        <v>0.4791666667</v>
      </c>
      <c r="L364" s="30">
        <f>IFERROR(__xludf.DUMMYFUNCTION("""COMPUTED_VALUE"""),0.22916666666666666)</f>
        <v>0.2291666667</v>
      </c>
      <c r="M364" s="30">
        <f>IFERROR(__xludf.DUMMYFUNCTION("""COMPUTED_VALUE"""),1.5)</f>
        <v>1.5</v>
      </c>
      <c r="N364" s="30">
        <f>IFERROR(__xludf.DUMMYFUNCTION("""COMPUTED_VALUE"""),1.9166666666666667)</f>
        <v>1.916666667</v>
      </c>
      <c r="O364" s="30">
        <f>IFERROR(__xludf.DUMMYFUNCTION("""COMPUTED_VALUE"""),348.40277777777766)</f>
        <v>348.4027778</v>
      </c>
      <c r="P364" s="30">
        <f>IFERROR(__xludf.DUMMYFUNCTION("""COMPUTED_VALUE"""),0.7500000000000001)</f>
        <v>0.75</v>
      </c>
      <c r="Q364" s="30">
        <f>IFERROR(__xludf.DUMMYFUNCTION("""COMPUTED_VALUE"""),0.548611111111111)</f>
        <v>0.5486111111</v>
      </c>
      <c r="R364" s="30">
        <f>IFERROR(__xludf.DUMMYFUNCTION("""COMPUTED_VALUE"""),1.4166666666666663)</f>
        <v>1.416666667</v>
      </c>
      <c r="S364" s="30">
        <f>IFERROR(__xludf.DUMMYFUNCTION("""COMPUTED_VALUE"""),2.715277777777778)</f>
        <v>2.715277778</v>
      </c>
      <c r="T364" s="30">
        <f>IFERROR(__xludf.DUMMYFUNCTION("""COMPUTED_VALUE"""),343.69318448862344)</f>
        <v>343.6931845</v>
      </c>
      <c r="U364" s="30">
        <f>IFERROR(__xludf.DUMMYFUNCTION("""COMPUTED_VALUE"""),0.7467066074090608)</f>
        <v>0.7467066074</v>
      </c>
      <c r="V364" s="30">
        <f>IFERROR(__xludf.DUMMYFUNCTION("""COMPUTED_VALUE"""),0.5541866148999722)</f>
        <v>0.5541866149</v>
      </c>
      <c r="W364" s="30">
        <f>IFERROR(__xludf.DUMMYFUNCTION("""COMPUTED_VALUE"""),1.2976546240208362)</f>
        <v>1.297654624</v>
      </c>
      <c r="X364" s="30">
        <f>IFERROR(__xludf.DUMMYFUNCTION("""COMPUTED_VALUE"""),2.5796635530514713)</f>
        <v>2.579663553</v>
      </c>
      <c r="Y364" s="30">
        <f>IFERROR(__xludf.DUMMYFUNCTION("""COMPUTED_VALUE"""),344.7058775800349)</f>
        <v>344.7058776</v>
      </c>
      <c r="Z364" s="30">
        <f>IFERROR(__xludf.DUMMYFUNCTION("""COMPUTED_VALUE"""),0.7369589745291596)</f>
        <v>0.7369589745</v>
      </c>
      <c r="AA364" s="30">
        <f>IFERROR(__xludf.DUMMYFUNCTION("""COMPUTED_VALUE"""),0.5459037655480171)</f>
        <v>0.5459037655</v>
      </c>
      <c r="AB364" s="30">
        <f>IFERROR(__xludf.DUMMYFUNCTION("""COMPUTED_VALUE"""),1.344398756962603)</f>
        <v>1.344398757</v>
      </c>
      <c r="AC364" s="30">
        <f>IFERROR(__xludf.DUMMYFUNCTION("""COMPUTED_VALUE"""),2.5044470545260302)</f>
        <v>2.504447055</v>
      </c>
      <c r="AD364" s="30">
        <f>IFERROR(__xludf.DUMMYFUNCTION("""COMPUTED_VALUE"""),0.8503626397607372)</f>
        <v>0.8503626398</v>
      </c>
      <c r="AE364" s="30">
        <f>IFERROR(__xludf.DUMMYFUNCTION("""COMPUTED_VALUE"""),0.650194492811224)</f>
        <v>0.6501944928</v>
      </c>
      <c r="AF364" s="30">
        <f>IFERROR(__xludf.DUMMYFUNCTION("""COMPUTED_VALUE"""),0.419793159764364)</f>
        <v>0.4197931598</v>
      </c>
      <c r="AG364" s="30">
        <f>IFERROR(__xludf.DUMMYFUNCTION("""COMPUTED_VALUE"""),1.1157403949025857)</f>
        <v>1.115740395</v>
      </c>
      <c r="AH364" s="30">
        <f>IFERROR(__xludf.DUMMYFUNCTION("""COMPUTED_VALUE"""),0.7653053248631756)</f>
        <v>0.7653053249</v>
      </c>
      <c r="AI364" s="30">
        <f>IFERROR(__xludf.DUMMYFUNCTION("""COMPUTED_VALUE"""),1.0137028998586677)</f>
        <v>1.0137029</v>
      </c>
      <c r="AJ364" s="30">
        <f>IFERROR(__xludf.DUMMYFUNCTION("""COMPUTED_VALUE"""),1.004410557718736)</f>
        <v>1.004410558</v>
      </c>
      <c r="AK364" s="30">
        <f>IFERROR(__xludf.DUMMYFUNCTION("""COMPUTED_VALUE"""),0.989939302684408)</f>
        <v>0.9899393027</v>
      </c>
      <c r="AL364" s="30">
        <f>IFERROR(__xludf.DUMMYFUNCTION("""COMPUTED_VALUE"""),1.0917131881186277)</f>
        <v>1.091713188</v>
      </c>
      <c r="AM364" s="30">
        <f>IFERROR(__xludf.DUMMYFUNCTION("""COMPUTED_VALUE"""),1.052570508493594)</f>
        <v>1.052570508</v>
      </c>
      <c r="AN364" s="30">
        <f>IFERROR(__xludf.DUMMYFUNCTION("""COMPUTED_VALUE"""),0.8479101803634649)</f>
        <v>0.8479101804</v>
      </c>
      <c r="AO364" s="30">
        <f>IFERROR(__xludf.DUMMYFUNCTION("""COMPUTED_VALUE"""),0.6341849614780483)</f>
        <v>0.6341849615</v>
      </c>
      <c r="AP364" s="30">
        <f>IFERROR(__xludf.DUMMYFUNCTION("""COMPUTED_VALUE"""),0.4122758704487255)</f>
        <v>0.4122758704</v>
      </c>
      <c r="AQ364" s="30">
        <f>IFERROR(__xludf.DUMMYFUNCTION("""COMPUTED_VALUE"""),1.1086713868053664)</f>
        <v>1.108671387</v>
      </c>
      <c r="AR364" s="30">
        <f>IFERROR(__xludf.DUMMYFUNCTION("""COMPUTED_VALUE"""),0.7517775786148486)</f>
        <v>0.7517775786</v>
      </c>
      <c r="AS364" s="30">
        <f>IFERROR(__xludf.DUMMYFUNCTION("""COMPUTED_VALUE"""),88.0)</f>
        <v>88</v>
      </c>
      <c r="AT364" s="30">
        <f>IFERROR(__xludf.DUMMYFUNCTION("""COMPUTED_VALUE"""),0.4239263702053275)</f>
        <v>0.4239263702</v>
      </c>
      <c r="AU364" s="30">
        <f>IFERROR(__xludf.DUMMYFUNCTION("""COMPUTED_VALUE"""),0.8405426337777459)</f>
        <v>0.8405426338</v>
      </c>
      <c r="AV364" s="32">
        <f>IFERROR(__xludf.DUMMYFUNCTION("""COMPUTED_VALUE"""),15.265153672604988)</f>
        <v>15.26515367</v>
      </c>
      <c r="AW364" s="32">
        <f>IFERROR(__xludf.DUMMYFUNCTION("""COMPUTED_VALUE"""),-12.142331060833135)</f>
        <v>-12.14233106</v>
      </c>
      <c r="AX364" s="32">
        <f>IFERROR(__xludf.DUMMYFUNCTION("""COMPUTED_VALUE"""),16.68267592713027)</f>
        <v>16.68267593</v>
      </c>
      <c r="AY364" s="32">
        <f>IFERROR(__xludf.DUMMYFUNCTION("""COMPUTED_VALUE"""),-10.95094840828576)</f>
        <v>-10.95094841</v>
      </c>
      <c r="AZ364" s="30">
        <f>IFERROR(__xludf.DUMMYFUNCTION("""COMPUTED_VALUE"""),1.1913826525473752)</f>
        <v>1.191382653</v>
      </c>
      <c r="BA364" s="30">
        <f>IFERROR(__xludf.DUMMYFUNCTION("""COMPUTED_VALUE"""),1200.0)</f>
        <v>1200</v>
      </c>
    </row>
    <row r="365">
      <c r="A365" s="71" t="str">
        <f>IFERROR(__xludf.DUMMYFUNCTION("""COMPUTED_VALUE"""),"Veteran")</f>
        <v>Veteran</v>
      </c>
      <c r="B365" s="71" t="str">
        <f>IFERROR(__xludf.DUMMYFUNCTION("""COMPUTED_VALUE"""),"RSC003027")</f>
        <v>RSC003027</v>
      </c>
      <c r="C365" s="30" t="str">
        <f>IFERROR(__xludf.DUMMYFUNCTION("""COMPUTED_VALUE"""),"Defiance")</f>
        <v>Defiance</v>
      </c>
      <c r="D365" s="30" t="str">
        <f>IFERROR(__xludf.DUMMYFUNCTION("""COMPUTED_VALUE"""),"Paradox Paloma")</f>
        <v>Paradox Paloma</v>
      </c>
      <c r="E365" s="30">
        <f>IFERROR(__xludf.DUMMYFUNCTION("""COMPUTED_VALUE"""),5.0)</f>
        <v>5</v>
      </c>
      <c r="F365" s="30">
        <f>IFERROR(__xludf.DUMMYFUNCTION("""COMPUTED_VALUE"""),1.0)</f>
        <v>1</v>
      </c>
      <c r="G365" s="42">
        <f>IFERROR(__xludf.DUMMYFUNCTION("""COMPUTED_VALUE"""),4.0)</f>
        <v>4</v>
      </c>
      <c r="H365" s="42">
        <f>IFERROR(__xludf.DUMMYFUNCTION("""COMPUTED_VALUE"""),0.2)</f>
        <v>0.2</v>
      </c>
      <c r="I365" s="42">
        <f>IFERROR(__xludf.DUMMYFUNCTION("""COMPUTED_VALUE"""),0.25)</f>
        <v>0.25</v>
      </c>
      <c r="J365" s="30">
        <f>IFERROR(__xludf.DUMMYFUNCTION("""COMPUTED_VALUE"""),335.0)</f>
        <v>335</v>
      </c>
      <c r="K365" s="30">
        <f>IFERROR(__xludf.DUMMYFUNCTION("""COMPUTED_VALUE"""),0.6)</f>
        <v>0.6</v>
      </c>
      <c r="L365" s="30">
        <f>IFERROR(__xludf.DUMMYFUNCTION("""COMPUTED_VALUE"""),0.4)</f>
        <v>0.4</v>
      </c>
      <c r="M365" s="30">
        <f>IFERROR(__xludf.DUMMYFUNCTION("""COMPUTED_VALUE"""),1.6)</f>
        <v>1.6</v>
      </c>
      <c r="N365" s="30">
        <f>IFERROR(__xludf.DUMMYFUNCTION("""COMPUTED_VALUE"""),2.4)</f>
        <v>2.4</v>
      </c>
      <c r="O365" s="30">
        <f>IFERROR(__xludf.DUMMYFUNCTION("""COMPUTED_VALUE"""),406.33333333333337)</f>
        <v>406.3333333</v>
      </c>
      <c r="P365" s="30">
        <f>IFERROR(__xludf.DUMMYFUNCTION("""COMPUTED_VALUE"""),0.8666666666666666)</f>
        <v>0.8666666667</v>
      </c>
      <c r="Q365" s="30">
        <f>IFERROR(__xludf.DUMMYFUNCTION("""COMPUTED_VALUE"""),0.39999999999999997)</f>
        <v>0.4</v>
      </c>
      <c r="R365" s="30">
        <f>IFERROR(__xludf.DUMMYFUNCTION("""COMPUTED_VALUE"""),1.8)</f>
        <v>1.8</v>
      </c>
      <c r="S365" s="30">
        <f>IFERROR(__xludf.DUMMYFUNCTION("""COMPUTED_VALUE"""),2.5999999999999996)</f>
        <v>2.6</v>
      </c>
      <c r="T365" s="30">
        <f>IFERROR(__xludf.DUMMYFUNCTION("""COMPUTED_VALUE"""),358.3391940327424)</f>
        <v>358.339194</v>
      </c>
      <c r="U365" s="30">
        <f>IFERROR(__xludf.DUMMYFUNCTION("""COMPUTED_VALUE"""),0.7572106747509973)</f>
        <v>0.7572106748</v>
      </c>
      <c r="V365" s="30">
        <f>IFERROR(__xludf.DUMMYFUNCTION("""COMPUTED_VALUE"""),0.6154035450406419)</f>
        <v>0.615403545</v>
      </c>
      <c r="W365" s="30">
        <f>IFERROR(__xludf.DUMMYFUNCTION("""COMPUTED_VALUE"""),1.4054088729491956)</f>
        <v>1.405408873</v>
      </c>
      <c r="X365" s="30">
        <f>IFERROR(__xludf.DUMMYFUNCTION("""COMPUTED_VALUE"""),2.611519565753437)</f>
        <v>2.611519566</v>
      </c>
      <c r="Y365" s="30">
        <f>IFERROR(__xludf.DUMMYFUNCTION("""COMPUTED_VALUE"""),334.66188389635977)</f>
        <v>334.6618839</v>
      </c>
      <c r="Z365" s="30">
        <f>IFERROR(__xludf.DUMMYFUNCTION("""COMPUTED_VALUE"""),0.5974303298900073)</f>
        <v>0.5974303299</v>
      </c>
      <c r="AA365" s="30">
        <f>IFERROR(__xludf.DUMMYFUNCTION("""COMPUTED_VALUE"""),0.4628264995200479)</f>
        <v>0.4628264995</v>
      </c>
      <c r="AB365" s="30">
        <f>IFERROR(__xludf.DUMMYFUNCTION("""COMPUTED_VALUE"""),1.4000595353417933)</f>
        <v>1.400059535</v>
      </c>
      <c r="AC365" s="30">
        <f>IFERROR(__xludf.DUMMYFUNCTION("""COMPUTED_VALUE"""),2.5965631320470033)</f>
        <v>2.596563132</v>
      </c>
      <c r="AD365" s="30">
        <f>IFERROR(__xludf.DUMMYFUNCTION("""COMPUTED_VALUE"""),1.0010103215212431)</f>
        <v>1.001010322</v>
      </c>
      <c r="AE365" s="30">
        <f>IFERROR(__xludf.DUMMYFUNCTION("""COMPUTED_VALUE"""),1.0043012046450097)</f>
        <v>1.004301205</v>
      </c>
      <c r="AF365" s="30">
        <f>IFERROR(__xludf.DUMMYFUNCTION("""COMPUTED_VALUE"""),0.8642547486256749)</f>
        <v>0.8642547486</v>
      </c>
      <c r="AG365" s="30">
        <f>IFERROR(__xludf.DUMMYFUNCTION("""COMPUTED_VALUE"""),1.1428085446447789)</f>
        <v>1.142808545</v>
      </c>
      <c r="AH365" s="30">
        <f>IFERROR(__xludf.DUMMYFUNCTION("""COMPUTED_VALUE"""),0.9242987279527294)</f>
        <v>0.924298728</v>
      </c>
      <c r="AI365" s="30">
        <f>IFERROR(__xludf.DUMMYFUNCTION("""COMPUTED_VALUE"""),1.1339349423669396)</f>
        <v>1.133934942</v>
      </c>
      <c r="AJ365" s="30">
        <f>IFERROR(__xludf.DUMMYFUNCTION("""COMPUTED_VALUE"""),1.1445515700787803)</f>
        <v>1.14455157</v>
      </c>
      <c r="AK365" s="30">
        <f>IFERROR(__xludf.DUMMYFUNCTION("""COMPUTED_VALUE"""),0.6499800061658462)</f>
        <v>0.6499800062</v>
      </c>
      <c r="AL365" s="30">
        <f>IFERROR(__xludf.DUMMYFUNCTION("""COMPUTED_VALUE"""),1.280766070746921)</f>
        <v>1.280766071</v>
      </c>
      <c r="AM365" s="30">
        <f>IFERROR(__xludf.DUMMYFUNCTION("""COMPUTED_VALUE"""),0.9955889414329876)</f>
        <v>0.9955889414</v>
      </c>
      <c r="AN365" s="30">
        <f>IFERROR(__xludf.DUMMYFUNCTION("""COMPUTED_VALUE"""),0.9690402061296741)</f>
        <v>0.9690402061</v>
      </c>
      <c r="AO365" s="30">
        <f>IFERROR(__xludf.DUMMYFUNCTION("""COMPUTED_VALUE"""),0.7941098648072952)</f>
        <v>0.7941098648</v>
      </c>
      <c r="AP365" s="30">
        <f>IFERROR(__xludf.DUMMYFUNCTION("""COMPUTED_VALUE"""),0.7196087920559573)</f>
        <v>0.7196087921</v>
      </c>
      <c r="AQ365" s="30">
        <f>IFERROR(__xludf.DUMMYFUNCTION("""COMPUTED_VALUE"""),1.1825828125923907)</f>
        <v>1.182582813</v>
      </c>
      <c r="AR365" s="30">
        <f>IFERROR(__xludf.DUMMYFUNCTION("""COMPUTED_VALUE"""),0.9413562723525061)</f>
        <v>0.9413562724</v>
      </c>
      <c r="AS365" s="30">
        <f>IFERROR(__xludf.DUMMYFUNCTION("""COMPUTED_VALUE"""),8.0)</f>
        <v>8</v>
      </c>
      <c r="AT365" s="30">
        <f>IFERROR(__xludf.DUMMYFUNCTION("""COMPUTED_VALUE"""),0.3245497677150711)</f>
        <v>0.3245497677</v>
      </c>
      <c r="AU365" s="30">
        <f>IFERROR(__xludf.DUMMYFUNCTION("""COMPUTED_VALUE"""),1.6153613517484695)</f>
        <v>1.615361352</v>
      </c>
      <c r="AV365" s="32">
        <f>IFERROR(__xludf.DUMMYFUNCTION("""COMPUTED_VALUE"""),42.966545108005064)</f>
        <v>42.96654511</v>
      </c>
      <c r="AW365" s="32">
        <f>IFERROR(__xludf.DUMMYFUNCTION("""COMPUTED_VALUE"""),-2.5692046852657473)</f>
        <v>-2.569204685</v>
      </c>
      <c r="AX365" s="32">
        <f>IFERROR(__xludf.DUMMYFUNCTION("""COMPUTED_VALUE"""),34.47618682166077)</f>
        <v>34.47618682</v>
      </c>
      <c r="AY365" s="32">
        <f>IFERROR(__xludf.DUMMYFUNCTION("""COMPUTED_VALUE"""),-3.740898915285562)</f>
        <v>-3.740898915</v>
      </c>
      <c r="AZ365" s="30">
        <f>IFERROR(__xludf.DUMMYFUNCTION("""COMPUTED_VALUE"""),1.1716942300198148)</f>
        <v>1.17169423</v>
      </c>
      <c r="BA365" s="30">
        <f>IFERROR(__xludf.DUMMYFUNCTION("""COMPUTED_VALUE"""),1200.0)</f>
        <v>1200</v>
      </c>
    </row>
    <row r="366">
      <c r="A366" s="71" t="str">
        <f>IFERROR(__xludf.DUMMYFUNCTION("""COMPUTED_VALUE"""),"Veteran")</f>
        <v>Veteran</v>
      </c>
      <c r="B366" s="71" t="str">
        <f>IFERROR(__xludf.DUMMYFUNCTION("""COMPUTED_VALUE"""),"RSC008007")</f>
        <v>RSC008007</v>
      </c>
      <c r="C366" s="30" t="str">
        <f>IFERROR(__xludf.DUMMYFUNCTION("""COMPUTED_VALUE"""),"Frog_Boot")</f>
        <v>Frog_Boot</v>
      </c>
      <c r="D366" s="30" t="str">
        <f>IFERROR(__xludf.DUMMYFUNCTION("""COMPUTED_VALUE"""),"Folks")</f>
        <v>Folks</v>
      </c>
      <c r="E366" s="30">
        <f>IFERROR(__xludf.DUMMYFUNCTION("""COMPUTED_VALUE"""),46.0)</f>
        <v>46</v>
      </c>
      <c r="F366" s="30">
        <f>IFERROR(__xludf.DUMMYFUNCTION("""COMPUTED_VALUE"""),26.0)</f>
        <v>26</v>
      </c>
      <c r="G366" s="42">
        <f>IFERROR(__xludf.DUMMYFUNCTION("""COMPUTED_VALUE"""),20.0)</f>
        <v>20</v>
      </c>
      <c r="H366" s="42">
        <f>IFERROR(__xludf.DUMMYFUNCTION("""COMPUTED_VALUE"""),0.5652173913043478)</f>
        <v>0.5652173913</v>
      </c>
      <c r="I366" s="42">
        <f>IFERROR(__xludf.DUMMYFUNCTION("""COMPUTED_VALUE"""),0.3157894736842105)</f>
        <v>0.3157894737</v>
      </c>
      <c r="J366" s="30">
        <f>IFERROR(__xludf.DUMMYFUNCTION("""COMPUTED_VALUE"""),390.0217391304348)</f>
        <v>390.0217391</v>
      </c>
      <c r="K366" s="30">
        <f>IFERROR(__xludf.DUMMYFUNCTION("""COMPUTED_VALUE"""),0.9130434782608695)</f>
        <v>0.9130434783</v>
      </c>
      <c r="L366" s="30">
        <f>IFERROR(__xludf.DUMMYFUNCTION("""COMPUTED_VALUE"""),0.5652173913043478)</f>
        <v>0.5652173913</v>
      </c>
      <c r="M366" s="30">
        <f>IFERROR(__xludf.DUMMYFUNCTION("""COMPUTED_VALUE"""),1.4130434782608696)</f>
        <v>1.413043478</v>
      </c>
      <c r="N366" s="30">
        <f>IFERROR(__xludf.DUMMYFUNCTION("""COMPUTED_VALUE"""),2.891304347826087)</f>
        <v>2.891304348</v>
      </c>
      <c r="O366" s="30">
        <f>IFERROR(__xludf.DUMMYFUNCTION("""COMPUTED_VALUE"""),323.49275362318843)</f>
        <v>323.4927536</v>
      </c>
      <c r="P366" s="30">
        <f>IFERROR(__xludf.DUMMYFUNCTION("""COMPUTED_VALUE"""),0.6304347826086957)</f>
        <v>0.6304347826</v>
      </c>
      <c r="Q366" s="30">
        <f>IFERROR(__xludf.DUMMYFUNCTION("""COMPUTED_VALUE"""),0.5362318840579711)</f>
        <v>0.5362318841</v>
      </c>
      <c r="R366" s="30">
        <f>IFERROR(__xludf.DUMMYFUNCTION("""COMPUTED_VALUE"""),1.2753623188405796)</f>
        <v>1.275362319</v>
      </c>
      <c r="S366" s="30">
        <f>IFERROR(__xludf.DUMMYFUNCTION("""COMPUTED_VALUE"""),2.289855072463768)</f>
        <v>2.289855072</v>
      </c>
      <c r="T366" s="30">
        <f>IFERROR(__xludf.DUMMYFUNCTION("""COMPUTED_VALUE"""),361.45258575746374)</f>
        <v>361.4525858</v>
      </c>
      <c r="U366" s="30">
        <f>IFERROR(__xludf.DUMMYFUNCTION("""COMPUTED_VALUE"""),0.8223507203253321)</f>
        <v>0.8223507203</v>
      </c>
      <c r="V366" s="30">
        <f>IFERROR(__xludf.DUMMYFUNCTION("""COMPUTED_VALUE"""),0.5988864164047725)</f>
        <v>0.5988864164</v>
      </c>
      <c r="W366" s="30">
        <f>IFERROR(__xludf.DUMMYFUNCTION("""COMPUTED_VALUE"""),1.383312028511411)</f>
        <v>1.383312029</v>
      </c>
      <c r="X366" s="30">
        <f>IFERROR(__xludf.DUMMYFUNCTION("""COMPUTED_VALUE"""),2.6495290867490793)</f>
        <v>2.649529087</v>
      </c>
      <c r="Y366" s="30">
        <f>IFERROR(__xludf.DUMMYFUNCTION("""COMPUTED_VALUE"""),353.08610512860577)</f>
        <v>353.0861051</v>
      </c>
      <c r="Z366" s="30">
        <f>IFERROR(__xludf.DUMMYFUNCTION("""COMPUTED_VALUE"""),0.7897562738689785)</f>
        <v>0.7897562739</v>
      </c>
      <c r="AA366" s="30">
        <f>IFERROR(__xludf.DUMMYFUNCTION("""COMPUTED_VALUE"""),0.5664121504890749)</f>
        <v>0.5664121505</v>
      </c>
      <c r="AB366" s="30">
        <f>IFERROR(__xludf.DUMMYFUNCTION("""COMPUTED_VALUE"""),1.3437143275274626)</f>
        <v>1.343714328</v>
      </c>
      <c r="AC366" s="30">
        <f>IFERROR(__xludf.DUMMYFUNCTION("""COMPUTED_VALUE"""),2.6533408874946764)</f>
        <v>2.653340887</v>
      </c>
      <c r="AD366" s="30">
        <f>IFERROR(__xludf.DUMMYFUNCTION("""COMPUTED_VALUE"""),1.1046080076936924)</f>
        <v>1.104608008</v>
      </c>
      <c r="AE366" s="30">
        <f>IFERROR(__xludf.DUMMYFUNCTION("""COMPUTED_VALUE"""),1.1561079138857775)</f>
        <v>1.156107914</v>
      </c>
      <c r="AF366" s="30">
        <f>IFERROR(__xludf.DUMMYFUNCTION("""COMPUTED_VALUE"""),0.9978906540340007)</f>
        <v>0.997890654</v>
      </c>
      <c r="AG366" s="30">
        <f>IFERROR(__xludf.DUMMYFUNCTION("""COMPUTED_VALUE"""),1.0515951562866626)</f>
        <v>1.051595156</v>
      </c>
      <c r="AH366" s="30">
        <f>IFERROR(__xludf.DUMMYFUNCTION("""COMPUTED_VALUE"""),1.0896844658946552)</f>
        <v>1.089684466</v>
      </c>
      <c r="AI366" s="30">
        <f>IFERROR(__xludf.DUMMYFUNCTION("""COMPUTED_VALUE"""),0.8949797743050412)</f>
        <v>0.8949797743</v>
      </c>
      <c r="AJ366" s="30">
        <f>IFERROR(__xludf.DUMMYFUNCTION("""COMPUTED_VALUE"""),0.7666251965576049)</f>
        <v>0.7666251966</v>
      </c>
      <c r="AK366" s="30">
        <f>IFERROR(__xludf.DUMMYFUNCTION("""COMPUTED_VALUE"""),0.8953816105515828)</f>
        <v>0.8953816106</v>
      </c>
      <c r="AL366" s="30">
        <f>IFERROR(__xludf.DUMMYFUNCTION("""COMPUTED_VALUE"""),0.9219628634423163)</f>
        <v>0.9219628634</v>
      </c>
      <c r="AM366" s="30">
        <f>IFERROR(__xludf.DUMMYFUNCTION("""COMPUTED_VALUE"""),0.8642498336462408)</f>
        <v>0.8642498336</v>
      </c>
      <c r="AN366" s="30">
        <f>IFERROR(__xludf.DUMMYFUNCTION("""COMPUTED_VALUE"""),1.1281992432298822)</f>
        <v>1.128199243</v>
      </c>
      <c r="AO366" s="30">
        <f>IFERROR(__xludf.DUMMYFUNCTION("""COMPUTED_VALUE"""),1.208428055141536)</f>
        <v>1.208428055</v>
      </c>
      <c r="AP366" s="30">
        <f>IFERROR(__xludf.DUMMYFUNCTION("""COMPUTED_VALUE"""),1.0168385105138524)</f>
        <v>1.016838511</v>
      </c>
      <c r="AQ366" s="30">
        <f>IFERROR(__xludf.DUMMYFUNCTION("""COMPUTED_VALUE"""),1.0444005817731712)</f>
        <v>1.044400582</v>
      </c>
      <c r="AR366" s="30">
        <f>IFERROR(__xludf.DUMMYFUNCTION("""COMPUTED_VALUE"""),1.1340614512942329)</f>
        <v>1.134061451</v>
      </c>
      <c r="AS366" s="30">
        <f>IFERROR(__xludf.DUMMYFUNCTION("""COMPUTED_VALUE"""),110.0)</f>
        <v>110</v>
      </c>
      <c r="AT366" s="30">
        <f>IFERROR(__xludf.DUMMYFUNCTION("""COMPUTED_VALUE"""),0.5880970132209152)</f>
        <v>0.5880970132</v>
      </c>
      <c r="AU366" s="30">
        <f>IFERROR(__xludf.DUMMYFUNCTION("""COMPUTED_VALUE"""),2.46971947305847)</f>
        <v>2.469719473</v>
      </c>
      <c r="AV366" s="32">
        <f>IFERROR(__xludf.DUMMYFUNCTION("""COMPUTED_VALUE"""),73.51163674751241)</f>
        <v>73.51163675</v>
      </c>
      <c r="AW366" s="32">
        <f>IFERROR(__xludf.DUMMYFUNCTION("""COMPUTED_VALUE"""),5.764040025458486)</f>
        <v>5.764040025</v>
      </c>
      <c r="AX366" s="32">
        <f>IFERROR(__xludf.DUMMYFUNCTION("""COMPUTED_VALUE"""),76.5290426607637)</f>
        <v>76.52904266</v>
      </c>
      <c r="AY366" s="32">
        <f>IFERROR(__xludf.DUMMYFUNCTION("""COMPUTED_VALUE"""),6.929612694906958)</f>
        <v>6.929612695</v>
      </c>
      <c r="AZ366" s="30">
        <f>IFERROR(__xludf.DUMMYFUNCTION("""COMPUTED_VALUE"""),1.1655726694484727)</f>
        <v>1.165572669</v>
      </c>
      <c r="BA366" s="30">
        <f>IFERROR(__xludf.DUMMYFUNCTION("""COMPUTED_VALUE"""),1200.0)</f>
        <v>1200</v>
      </c>
    </row>
    <row r="367">
      <c r="A367" s="71" t="str">
        <f>IFERROR(__xludf.DUMMYFUNCTION("""COMPUTED_VALUE"""),"Veteran")</f>
        <v>Veteran</v>
      </c>
      <c r="B367" s="71" t="str">
        <f>IFERROR(__xludf.DUMMYFUNCTION("""COMPUTED_VALUE"""),"RSC006320")</f>
        <v>RSC006320</v>
      </c>
      <c r="C367" s="30" t="str">
        <f>IFERROR(__xludf.DUMMYFUNCTION("""COMPUTED_VALUE"""),"Escape_Plan")</f>
        <v>Escape_Plan</v>
      </c>
      <c r="D367" s="30" t="str">
        <f>IFERROR(__xludf.DUMMYFUNCTION("""COMPUTED_VALUE"""),"Singularity")</f>
        <v>Singularity</v>
      </c>
      <c r="E367" s="30">
        <f>IFERROR(__xludf.DUMMYFUNCTION("""COMPUTED_VALUE"""),36.0)</f>
        <v>36</v>
      </c>
      <c r="F367" s="30">
        <f>IFERROR(__xludf.DUMMYFUNCTION("""COMPUTED_VALUE"""),20.0)</f>
        <v>20</v>
      </c>
      <c r="G367" s="42">
        <f>IFERROR(__xludf.DUMMYFUNCTION("""COMPUTED_VALUE"""),16.0)</f>
        <v>16</v>
      </c>
      <c r="H367" s="42">
        <f>IFERROR(__xludf.DUMMYFUNCTION("""COMPUTED_VALUE"""),0.5555555555555556)</f>
        <v>0.5555555556</v>
      </c>
      <c r="I367" s="42">
        <f>IFERROR(__xludf.DUMMYFUNCTION("""COMPUTED_VALUE"""),0.31521739130434784)</f>
        <v>0.3152173913</v>
      </c>
      <c r="J367" s="30">
        <f>IFERROR(__xludf.DUMMYFUNCTION("""COMPUTED_VALUE"""),334.1111111111111)</f>
        <v>334.1111111</v>
      </c>
      <c r="K367" s="30">
        <f>IFERROR(__xludf.DUMMYFUNCTION("""COMPUTED_VALUE"""),0.8055555555555556)</f>
        <v>0.8055555556</v>
      </c>
      <c r="L367" s="30">
        <f>IFERROR(__xludf.DUMMYFUNCTION("""COMPUTED_VALUE"""),0.4166666666666667)</f>
        <v>0.4166666667</v>
      </c>
      <c r="M367" s="30">
        <f>IFERROR(__xludf.DUMMYFUNCTION("""COMPUTED_VALUE"""),1.2222222222222223)</f>
        <v>1.222222222</v>
      </c>
      <c r="N367" s="30">
        <f>IFERROR(__xludf.DUMMYFUNCTION("""COMPUTED_VALUE"""),2.5555555555555554)</f>
        <v>2.555555556</v>
      </c>
      <c r="O367" s="30">
        <f>IFERROR(__xludf.DUMMYFUNCTION("""COMPUTED_VALUE"""),338.9351851851852)</f>
        <v>338.9351852</v>
      </c>
      <c r="P367" s="30">
        <f>IFERROR(__xludf.DUMMYFUNCTION("""COMPUTED_VALUE"""),0.7499999999999998)</f>
        <v>0.75</v>
      </c>
      <c r="Q367" s="30">
        <f>IFERROR(__xludf.DUMMYFUNCTION("""COMPUTED_VALUE"""),0.5462962962962963)</f>
        <v>0.5462962963</v>
      </c>
      <c r="R367" s="30">
        <f>IFERROR(__xludf.DUMMYFUNCTION("""COMPUTED_VALUE"""),1.1851851851851853)</f>
        <v>1.185185185</v>
      </c>
      <c r="S367" s="30">
        <f>IFERROR(__xludf.DUMMYFUNCTION("""COMPUTED_VALUE"""),2.814814814814815)</f>
        <v>2.814814815</v>
      </c>
      <c r="T367" s="30">
        <f>IFERROR(__xludf.DUMMYFUNCTION("""COMPUTED_VALUE"""),355.7609066746878)</f>
        <v>355.7609067</v>
      </c>
      <c r="U367" s="30">
        <f>IFERROR(__xludf.DUMMYFUNCTION("""COMPUTED_VALUE"""),0.787826554261314)</f>
        <v>0.7878265543</v>
      </c>
      <c r="V367" s="30">
        <f>IFERROR(__xludf.DUMMYFUNCTION("""COMPUTED_VALUE"""),0.5818357272047344)</f>
        <v>0.5818357272</v>
      </c>
      <c r="W367" s="30">
        <f>IFERROR(__xludf.DUMMYFUNCTION("""COMPUTED_VALUE"""),1.3418715510544539)</f>
        <v>1.341871551</v>
      </c>
      <c r="X367" s="30">
        <f>IFERROR(__xludf.DUMMYFUNCTION("""COMPUTED_VALUE"""),2.598903636334897)</f>
        <v>2.598903636</v>
      </c>
      <c r="Y367" s="30">
        <f>IFERROR(__xludf.DUMMYFUNCTION("""COMPUTED_VALUE"""),349.6313847606422)</f>
        <v>349.6313848</v>
      </c>
      <c r="Z367" s="30">
        <f>IFERROR(__xludf.DUMMYFUNCTION("""COMPUTED_VALUE"""),0.7721846147388602)</f>
        <v>0.7721846147</v>
      </c>
      <c r="AA367" s="30">
        <f>IFERROR(__xludf.DUMMYFUNCTION("""COMPUTED_VALUE"""),0.5589226886272088)</f>
        <v>0.5589226886</v>
      </c>
      <c r="AB367" s="30">
        <f>IFERROR(__xludf.DUMMYFUNCTION("""COMPUTED_VALUE"""),1.3280848210267029)</f>
        <v>1.328084821</v>
      </c>
      <c r="AC367" s="30">
        <f>IFERROR(__xludf.DUMMYFUNCTION("""COMPUTED_VALUE"""),2.6137808266433233)</f>
        <v>2.613780827</v>
      </c>
      <c r="AD367" s="30">
        <f>IFERROR(__xludf.DUMMYFUNCTION("""COMPUTED_VALUE"""),0.9556096096460096)</f>
        <v>0.9556096096</v>
      </c>
      <c r="AE367" s="30">
        <f>IFERROR(__xludf.DUMMYFUNCTION("""COMPUTED_VALUE"""),1.0432162726111565)</f>
        <v>1.043216273</v>
      </c>
      <c r="AF367" s="30">
        <f>IFERROR(__xludf.DUMMYFUNCTION("""COMPUTED_VALUE"""),0.7454817547129057)</f>
        <v>0.7454817547</v>
      </c>
      <c r="AG367" s="30">
        <f>IFERROR(__xludf.DUMMYFUNCTION("""COMPUTED_VALUE"""),0.9202892788710277)</f>
        <v>0.9202892789</v>
      </c>
      <c r="AH367" s="30">
        <f>IFERROR(__xludf.DUMMYFUNCTION("""COMPUTED_VALUE"""),0.9777237362466453)</f>
        <v>0.9777237362</v>
      </c>
      <c r="AI367" s="30">
        <f>IFERROR(__xludf.DUMMYFUNCTION("""COMPUTED_VALUE"""),0.9527049735543646)</f>
        <v>0.9527049736</v>
      </c>
      <c r="AJ367" s="30">
        <f>IFERROR(__xludf.DUMMYFUNCTION("""COMPUTED_VALUE"""),0.9519861902893317)</f>
        <v>0.9519861903</v>
      </c>
      <c r="AK367" s="30">
        <f>IFERROR(__xludf.DUMMYFUNCTION("""COMPUTED_VALUE"""),0.9389184451096234)</f>
        <v>0.9389184451</v>
      </c>
      <c r="AL367" s="30">
        <f>IFERROR(__xludf.DUMMYFUNCTION("""COMPUTED_VALUE"""),0.8832329623903695)</f>
        <v>0.8832329624</v>
      </c>
      <c r="AM367" s="30">
        <f>IFERROR(__xludf.DUMMYFUNCTION("""COMPUTED_VALUE"""),1.0830777930590787)</f>
        <v>1.083077793</v>
      </c>
      <c r="AN367" s="30">
        <f>IFERROR(__xludf.DUMMYFUNCTION("""COMPUTED_VALUE"""),0.9664689551681359)</f>
        <v>0.9664689552</v>
      </c>
      <c r="AO367" s="30">
        <f>IFERROR(__xludf.DUMMYFUNCTION("""COMPUTED_VALUE"""),1.0661660221949796)</f>
        <v>1.066166022</v>
      </c>
      <c r="AP367" s="30">
        <f>IFERROR(__xludf.DUMMYFUNCTION("""COMPUTED_VALUE"""),0.7495924917249555)</f>
        <v>0.7495924917</v>
      </c>
      <c r="AQ367" s="30">
        <f>IFERROR(__xludf.DUMMYFUNCTION("""COMPUTED_VALUE"""),0.9033618707302986)</f>
        <v>0.9033618707</v>
      </c>
      <c r="AR367" s="30">
        <f>IFERROR(__xludf.DUMMYFUNCTION("""COMPUTED_VALUE"""),1.0023701048197982)</f>
        <v>1.002370105</v>
      </c>
      <c r="AS367" s="30">
        <f>IFERROR(__xludf.DUMMYFUNCTION("""COMPUTED_VALUE"""),85.0)</f>
        <v>85</v>
      </c>
      <c r="AT367" s="30">
        <f>IFERROR(__xludf.DUMMYFUNCTION("""COMPUTED_VALUE"""),0.5186773846942172)</f>
        <v>0.5186773847</v>
      </c>
      <c r="AU367" s="30">
        <f>IFERROR(__xludf.DUMMYFUNCTION("""COMPUTED_VALUE"""),1.7782826081532765)</f>
        <v>1.778282608</v>
      </c>
      <c r="AV367" s="32">
        <f>IFERROR(__xludf.DUMMYFUNCTION("""COMPUTED_VALUE"""),48.7913211390189)</f>
        <v>48.79132114</v>
      </c>
      <c r="AW367" s="32">
        <f>IFERROR(__xludf.DUMMYFUNCTION("""COMPUTED_VALUE"""),-2.0802139340977)</f>
        <v>-2.080213934</v>
      </c>
      <c r="AX367" s="32">
        <f>IFERROR(__xludf.DUMMYFUNCTION("""COMPUTED_VALUE"""),37.75548397225563)</f>
        <v>37.75548397</v>
      </c>
      <c r="AY367" s="32">
        <f>IFERROR(__xludf.DUMMYFUNCTION("""COMPUTED_VALUE"""),-3.2036437939325597)</f>
        <v>-3.203643794</v>
      </c>
      <c r="AZ367" s="30">
        <f>IFERROR(__xludf.DUMMYFUNCTION("""COMPUTED_VALUE"""),1.1234298598348595)</f>
        <v>1.12342986</v>
      </c>
      <c r="BA367" s="30">
        <f>IFERROR(__xludf.DUMMYFUNCTION("""COMPUTED_VALUE"""),1200.0)</f>
        <v>1200</v>
      </c>
    </row>
    <row r="368">
      <c r="A368" s="71" t="str">
        <f>IFERROR(__xludf.DUMMYFUNCTION("""COMPUTED_VALUE"""),"Veteran")</f>
        <v>Veteran</v>
      </c>
      <c r="B368" s="71" t="str">
        <f>IFERROR(__xludf.DUMMYFUNCTION("""COMPUTED_VALUE"""),"RSC007900")</f>
        <v>RSC007900</v>
      </c>
      <c r="C368" s="30" t="str">
        <f>IFERROR(__xludf.DUMMYFUNCTION("""COMPUTED_VALUE"""),"Car.")</f>
        <v>Car.</v>
      </c>
      <c r="D368" s="30" t="str">
        <f>IFERROR(__xludf.DUMMYFUNCTION("""COMPUTED_VALUE"""),"Supernova")</f>
        <v>Supernova</v>
      </c>
      <c r="E368" s="30">
        <f>IFERROR(__xludf.DUMMYFUNCTION("""COMPUTED_VALUE"""),20.0)</f>
        <v>20</v>
      </c>
      <c r="F368" s="30">
        <f>IFERROR(__xludf.DUMMYFUNCTION("""COMPUTED_VALUE"""),6.0)</f>
        <v>6</v>
      </c>
      <c r="G368" s="42">
        <f>IFERROR(__xludf.DUMMYFUNCTION("""COMPUTED_VALUE"""),14.0)</f>
        <v>14</v>
      </c>
      <c r="H368" s="42">
        <f>IFERROR(__xludf.DUMMYFUNCTION("""COMPUTED_VALUE"""),0.3)</f>
        <v>0.3</v>
      </c>
      <c r="I368" s="42">
        <f>IFERROR(__xludf.DUMMYFUNCTION("""COMPUTED_VALUE"""),0.23076923076923078)</f>
        <v>0.2307692308</v>
      </c>
      <c r="J368" s="30">
        <f>IFERROR(__xludf.DUMMYFUNCTION("""COMPUTED_VALUE"""),365.95)</f>
        <v>365.95</v>
      </c>
      <c r="K368" s="30">
        <f>IFERROR(__xludf.DUMMYFUNCTION("""COMPUTED_VALUE"""),0.75)</f>
        <v>0.75</v>
      </c>
      <c r="L368" s="30">
        <f>IFERROR(__xludf.DUMMYFUNCTION("""COMPUTED_VALUE"""),0.5)</f>
        <v>0.5</v>
      </c>
      <c r="M368" s="30">
        <f>IFERROR(__xludf.DUMMYFUNCTION("""COMPUTED_VALUE"""),1.1)</f>
        <v>1.1</v>
      </c>
      <c r="N368" s="30">
        <f>IFERROR(__xludf.DUMMYFUNCTION("""COMPUTED_VALUE"""),3.25)</f>
        <v>3.25</v>
      </c>
      <c r="O368" s="30">
        <f>IFERROR(__xludf.DUMMYFUNCTION("""COMPUTED_VALUE"""),363.26666666666677)</f>
        <v>363.2666667</v>
      </c>
      <c r="P368" s="30">
        <f>IFERROR(__xludf.DUMMYFUNCTION("""COMPUTED_VALUE"""),0.95)</f>
        <v>0.95</v>
      </c>
      <c r="Q368" s="30">
        <f>IFERROR(__xludf.DUMMYFUNCTION("""COMPUTED_VALUE"""),0.6666666666666666)</f>
        <v>0.6666666667</v>
      </c>
      <c r="R368" s="30">
        <f>IFERROR(__xludf.DUMMYFUNCTION("""COMPUTED_VALUE"""),1.1999999999999997)</f>
        <v>1.2</v>
      </c>
      <c r="S368" s="30">
        <f>IFERROR(__xludf.DUMMYFUNCTION("""COMPUTED_VALUE"""),2.6333333333333333)</f>
        <v>2.633333333</v>
      </c>
      <c r="T368" s="30">
        <f>IFERROR(__xludf.DUMMYFUNCTION("""COMPUTED_VALUE"""),360.76791995765035)</f>
        <v>360.76792</v>
      </c>
      <c r="U368" s="30">
        <f>IFERROR(__xludf.DUMMYFUNCTION("""COMPUTED_VALUE"""),0.8114490722474473)</f>
        <v>0.8114490722</v>
      </c>
      <c r="V368" s="30">
        <f>IFERROR(__xludf.DUMMYFUNCTION("""COMPUTED_VALUE"""),0.5824032776858961)</f>
        <v>0.5824032777</v>
      </c>
      <c r="W368" s="30">
        <f>IFERROR(__xludf.DUMMYFUNCTION("""COMPUTED_VALUE"""),1.4132757223994141)</f>
        <v>1.413275722</v>
      </c>
      <c r="X368" s="30">
        <f>IFERROR(__xludf.DUMMYFUNCTION("""COMPUTED_VALUE"""),2.531355003844568)</f>
        <v>2.531355004</v>
      </c>
      <c r="Y368" s="30">
        <f>IFERROR(__xludf.DUMMYFUNCTION("""COMPUTED_VALUE"""),342.72941267510726)</f>
        <v>342.7294127</v>
      </c>
      <c r="Z368" s="30">
        <f>IFERROR(__xludf.DUMMYFUNCTION("""COMPUTED_VALUE"""),0.7732068363921112)</f>
        <v>0.7732068364</v>
      </c>
      <c r="AA368" s="30">
        <f>IFERROR(__xludf.DUMMYFUNCTION("""COMPUTED_VALUE"""),0.5445308440182239)</f>
        <v>0.544530844</v>
      </c>
      <c r="AB368" s="30">
        <f>IFERROR(__xludf.DUMMYFUNCTION("""COMPUTED_VALUE"""),1.2327793868631973)</f>
        <v>1.232779387</v>
      </c>
      <c r="AC368" s="30">
        <f>IFERROR(__xludf.DUMMYFUNCTION("""COMPUTED_VALUE"""),2.716141009452766)</f>
        <v>2.716141009</v>
      </c>
      <c r="AD368" s="30">
        <f>IFERROR(__xludf.DUMMYFUNCTION("""COMPUTED_VALUE"""),1.0677519537749882)</f>
        <v>1.067751954</v>
      </c>
      <c r="AE368" s="30">
        <f>IFERROR(__xludf.DUMMYFUNCTION("""COMPUTED_VALUE"""),0.9699862503797853)</f>
        <v>0.9699862504</v>
      </c>
      <c r="AF368" s="30">
        <f>IFERROR(__xludf.DUMMYFUNCTION("""COMPUTED_VALUE"""),0.918221631506454)</f>
        <v>0.9182216315</v>
      </c>
      <c r="AG368" s="30">
        <f>IFERROR(__xludf.DUMMYFUNCTION("""COMPUTED_VALUE"""),0.8922926613811625)</f>
        <v>0.8922926614</v>
      </c>
      <c r="AH368" s="30">
        <f>IFERROR(__xludf.DUMMYFUNCTION("""COMPUTED_VALUE"""),1.1965505431011452)</f>
        <v>1.196550543</v>
      </c>
      <c r="AI368" s="30">
        <f>IFERROR(__xludf.DUMMYFUNCTION("""COMPUTED_VALUE"""),1.006926188751233)</f>
        <v>1.006926189</v>
      </c>
      <c r="AJ368" s="30">
        <f>IFERROR(__xludf.DUMMYFUNCTION("""COMPUTED_VALUE"""),1.1707450689034766)</f>
        <v>1.170745069</v>
      </c>
      <c r="AK368" s="30">
        <f>IFERROR(__xludf.DUMMYFUNCTION("""COMPUTED_VALUE"""),1.144682202537699)</f>
        <v>1.144682203</v>
      </c>
      <c r="AL368" s="30">
        <f>IFERROR(__xludf.DUMMYFUNCTION("""COMPUTED_VALUE"""),0.8490912148145291)</f>
        <v>0.8490912148</v>
      </c>
      <c r="AM368" s="30">
        <f>IFERROR(__xludf.DUMMYFUNCTION("""COMPUTED_VALUE"""),1.04028606391987)</f>
        <v>1.040286064</v>
      </c>
      <c r="AN368" s="30">
        <f>IFERROR(__xludf.DUMMYFUNCTION("""COMPUTED_VALUE"""),1.0585679505467291)</f>
        <v>1.058567951</v>
      </c>
      <c r="AO368" s="30">
        <f>IFERROR(__xludf.DUMMYFUNCTION("""COMPUTED_VALUE"""),0.992637331009119)</f>
        <v>0.992637331</v>
      </c>
      <c r="AP368" s="30">
        <f>IFERROR(__xludf.DUMMYFUNCTION("""COMPUTED_VALUE"""),0.8995109900699465)</f>
        <v>0.8995109901</v>
      </c>
      <c r="AQ368" s="30">
        <f>IFERROR(__xludf.DUMMYFUNCTION("""COMPUTED_VALUE"""),0.8130256836572687)</f>
        <v>0.8130256837</v>
      </c>
      <c r="AR368" s="30">
        <f>IFERROR(__xludf.DUMMYFUNCTION("""COMPUTED_VALUE"""),1.274753285477352)</f>
        <v>1.274753285</v>
      </c>
      <c r="AS368" s="30">
        <f>IFERROR(__xludf.DUMMYFUNCTION("""COMPUTED_VALUE"""),39.0)</f>
        <v>39</v>
      </c>
      <c r="AT368" s="30">
        <f>IFERROR(__xludf.DUMMYFUNCTION("""COMPUTED_VALUE"""),0.35542591446883215)</f>
        <v>0.3554259145</v>
      </c>
      <c r="AU368" s="30">
        <f>IFERROR(__xludf.DUMMYFUNCTION("""COMPUTED_VALUE"""),1.909027278270467)</f>
        <v>1.909027278</v>
      </c>
      <c r="AV368" s="32">
        <f>IFERROR(__xludf.DUMMYFUNCTION("""COMPUTED_VALUE"""),53.465716840886024)</f>
        <v>53.46571684</v>
      </c>
      <c r="AW368" s="32">
        <f>IFERROR(__xludf.DUMMYFUNCTION("""COMPUTED_VALUE"""),2.2478386317365566)</f>
        <v>2.247838632</v>
      </c>
      <c r="AX368" s="32">
        <f>IFERROR(__xludf.DUMMYFUNCTION("""COMPUTED_VALUE"""),63.2643256517532)</f>
        <v>63.26432565</v>
      </c>
      <c r="AY368" s="32">
        <f>IFERROR(__xludf.DUMMYFUNCTION("""COMPUTED_VALUE"""),3.3573118597799083)</f>
        <v>3.35731186</v>
      </c>
      <c r="AZ368" s="30">
        <f>IFERROR(__xludf.DUMMYFUNCTION("""COMPUTED_VALUE"""),1.1094732280433517)</f>
        <v>1.109473228</v>
      </c>
      <c r="BA368" s="30">
        <f>IFERROR(__xludf.DUMMYFUNCTION("""COMPUTED_VALUE"""),1200.0)</f>
        <v>1200</v>
      </c>
    </row>
    <row r="369">
      <c r="A369" s="71" t="str">
        <f>IFERROR(__xludf.DUMMYFUNCTION("""COMPUTED_VALUE"""),"Veteran")</f>
        <v>Veteran</v>
      </c>
      <c r="B369" s="71" t="str">
        <f>IFERROR(__xludf.DUMMYFUNCTION("""COMPUTED_VALUE"""),"RSC005734")</f>
        <v>RSC005734</v>
      </c>
      <c r="C369" s="30" t="str">
        <f>IFERROR(__xludf.DUMMYFUNCTION("""COMPUTED_VALUE"""),"Bas Radala")</f>
        <v>Bas Radala</v>
      </c>
      <c r="D369" s="30" t="str">
        <f>IFERROR(__xludf.DUMMYFUNCTION("""COMPUTED_VALUE"""),"Possessed")</f>
        <v>Possessed</v>
      </c>
      <c r="E369" s="30">
        <f>IFERROR(__xludf.DUMMYFUNCTION("""COMPUTED_VALUE"""),36.0)</f>
        <v>36</v>
      </c>
      <c r="F369" s="30">
        <f>IFERROR(__xludf.DUMMYFUNCTION("""COMPUTED_VALUE"""),19.0)</f>
        <v>19</v>
      </c>
      <c r="G369" s="42">
        <f>IFERROR(__xludf.DUMMYFUNCTION("""COMPUTED_VALUE"""),17.0)</f>
        <v>17</v>
      </c>
      <c r="H369" s="42">
        <f>IFERROR(__xludf.DUMMYFUNCTION("""COMPUTED_VALUE"""),0.5277777777777778)</f>
        <v>0.5277777778</v>
      </c>
      <c r="I369" s="42">
        <f>IFERROR(__xludf.DUMMYFUNCTION("""COMPUTED_VALUE"""),0.35000000000000003)</f>
        <v>0.35</v>
      </c>
      <c r="J369" s="30">
        <f>IFERROR(__xludf.DUMMYFUNCTION("""COMPUTED_VALUE"""),428.1111111111111)</f>
        <v>428.1111111</v>
      </c>
      <c r="K369" s="30">
        <f>IFERROR(__xludf.DUMMYFUNCTION("""COMPUTED_VALUE"""),1.1666666666666667)</f>
        <v>1.166666667</v>
      </c>
      <c r="L369" s="30">
        <f>IFERROR(__xludf.DUMMYFUNCTION("""COMPUTED_VALUE"""),0.5555555555555556)</f>
        <v>0.5555555556</v>
      </c>
      <c r="M369" s="30">
        <f>IFERROR(__xludf.DUMMYFUNCTION("""COMPUTED_VALUE"""),1.4444444444444444)</f>
        <v>1.444444444</v>
      </c>
      <c r="N369" s="30">
        <f>IFERROR(__xludf.DUMMYFUNCTION("""COMPUTED_VALUE"""),3.3333333333333335)</f>
        <v>3.333333333</v>
      </c>
      <c r="O369" s="30">
        <f>IFERROR(__xludf.DUMMYFUNCTION("""COMPUTED_VALUE"""),360.5925925925927)</f>
        <v>360.5925926</v>
      </c>
      <c r="P369" s="30">
        <f>IFERROR(__xludf.DUMMYFUNCTION("""COMPUTED_VALUE"""),0.7592592592592594)</f>
        <v>0.7592592593</v>
      </c>
      <c r="Q369" s="30">
        <f>IFERROR(__xludf.DUMMYFUNCTION("""COMPUTED_VALUE"""),0.5648148148148148)</f>
        <v>0.5648148148</v>
      </c>
      <c r="R369" s="30">
        <f>IFERROR(__xludf.DUMMYFUNCTION("""COMPUTED_VALUE"""),1.5185185185185188)</f>
        <v>1.518518519</v>
      </c>
      <c r="S369" s="30">
        <f>IFERROR(__xludf.DUMMYFUNCTION("""COMPUTED_VALUE"""),2.5462962962962967)</f>
        <v>2.546296296</v>
      </c>
      <c r="T369" s="30">
        <f>IFERROR(__xludf.DUMMYFUNCTION("""COMPUTED_VALUE"""),344.76865516810153)</f>
        <v>344.7686552</v>
      </c>
      <c r="U369" s="30">
        <f>IFERROR(__xludf.DUMMYFUNCTION("""COMPUTED_VALUE"""),0.7281462599494194)</f>
        <v>0.7281462599</v>
      </c>
      <c r="V369" s="30">
        <f>IFERROR(__xludf.DUMMYFUNCTION("""COMPUTED_VALUE"""),0.5318202524773253)</f>
        <v>0.5318202525</v>
      </c>
      <c r="W369" s="30">
        <f>IFERROR(__xludf.DUMMYFUNCTION("""COMPUTED_VALUE"""),1.3753126954286445)</f>
        <v>1.375312695</v>
      </c>
      <c r="X369" s="30">
        <f>IFERROR(__xludf.DUMMYFUNCTION("""COMPUTED_VALUE"""),2.498159407351324)</f>
        <v>2.498159407</v>
      </c>
      <c r="Y369" s="30">
        <f>IFERROR(__xludf.DUMMYFUNCTION("""COMPUTED_VALUE"""),354.3595618781915)</f>
        <v>354.3595619</v>
      </c>
      <c r="Z369" s="30">
        <f>IFERROR(__xludf.DUMMYFUNCTION("""COMPUTED_VALUE"""),0.8073822614285909)</f>
        <v>0.8073822614</v>
      </c>
      <c r="AA369" s="30">
        <f>IFERROR(__xludf.DUMMYFUNCTION("""COMPUTED_VALUE"""),0.6019112166817991)</f>
        <v>0.6019112167</v>
      </c>
      <c r="AB369" s="30">
        <f>IFERROR(__xludf.DUMMYFUNCTION("""COMPUTED_VALUE"""),1.304013655060771)</f>
        <v>1.304013655</v>
      </c>
      <c r="AC369" s="30">
        <f>IFERROR(__xludf.DUMMYFUNCTION("""COMPUTED_VALUE"""),2.683617405969798)</f>
        <v>2.683617406</v>
      </c>
      <c r="AD369" s="30">
        <f>IFERROR(__xludf.DUMMYFUNCTION("""COMPUTED_VALUE"""),1.2081263134033084)</f>
        <v>1.208126313</v>
      </c>
      <c r="AE369" s="30">
        <f>IFERROR(__xludf.DUMMYFUNCTION("""COMPUTED_VALUE"""),1.4449991316410074)</f>
        <v>1.444999132</v>
      </c>
      <c r="AF369" s="30">
        <f>IFERROR(__xludf.DUMMYFUNCTION("""COMPUTED_VALUE"""),0.9229858825662165)</f>
        <v>0.9229858826</v>
      </c>
      <c r="AG369" s="30">
        <f>IFERROR(__xludf.DUMMYFUNCTION("""COMPUTED_VALUE"""),1.107691195440073)</f>
        <v>1.107691195</v>
      </c>
      <c r="AH369" s="30">
        <f>IFERROR(__xludf.DUMMYFUNCTION("""COMPUTED_VALUE"""),1.242104528729848)</f>
        <v>1.242104529</v>
      </c>
      <c r="AI369" s="30">
        <f>IFERROR(__xludf.DUMMYFUNCTION("""COMPUTED_VALUE"""),1.0458972623737381)</f>
        <v>1.045897262</v>
      </c>
      <c r="AJ369" s="30">
        <f>IFERROR(__xludf.DUMMYFUNCTION("""COMPUTED_VALUE"""),1.0427290518693335)</f>
        <v>1.042729052</v>
      </c>
      <c r="AK369" s="30">
        <f>IFERROR(__xludf.DUMMYFUNCTION("""COMPUTED_VALUE"""),1.0620408158278933)</f>
        <v>1.062040816</v>
      </c>
      <c r="AL369" s="30">
        <f>IFERROR(__xludf.DUMMYFUNCTION("""COMPUTED_VALUE"""),1.1041260097182781)</f>
        <v>1.10412601</v>
      </c>
      <c r="AM369" s="30">
        <f>IFERROR(__xludf.DUMMYFUNCTION("""COMPUTED_VALUE"""),1.0192689420872505)</f>
        <v>1.019268942</v>
      </c>
      <c r="AN369" s="30">
        <f>IFERROR(__xludf.DUMMYFUNCTION("""COMPUTED_VALUE"""),1.2383787443507908)</f>
        <v>1.238378744</v>
      </c>
      <c r="AO369" s="30">
        <f>IFERROR(__xludf.DUMMYFUNCTION("""COMPUTED_VALUE"""),1.544102514903074)</f>
        <v>1.544102515</v>
      </c>
      <c r="AP369" s="30">
        <f>IFERROR(__xludf.DUMMYFUNCTION("""COMPUTED_VALUE"""),0.999456655633274)</f>
        <v>0.9994566556</v>
      </c>
      <c r="AQ369" s="30">
        <f>IFERROR(__xludf.DUMMYFUNCTION("""COMPUTED_VALUE"""),1.0676094835903527)</f>
        <v>1.067609484</v>
      </c>
      <c r="AR369" s="30">
        <f>IFERROR(__xludf.DUMMYFUNCTION("""COMPUTED_VALUE"""),1.3074392671562585)</f>
        <v>1.307439267</v>
      </c>
      <c r="AS369" s="30">
        <f>IFERROR(__xludf.DUMMYFUNCTION("""COMPUTED_VALUE"""),86.0)</f>
        <v>86</v>
      </c>
      <c r="AT369" s="30">
        <f>IFERROR(__xludf.DUMMYFUNCTION("""COMPUTED_VALUE"""),0.5185186381498567)</f>
        <v>0.5185186381</v>
      </c>
      <c r="AU369" s="30">
        <f>IFERROR(__xludf.DUMMYFUNCTION("""COMPUTED_VALUE"""),2.7031030086815293)</f>
        <v>2.703103009</v>
      </c>
      <c r="AV369" s="32">
        <f>IFERROR(__xludf.DUMMYFUNCTION("""COMPUTED_VALUE"""),81.85558679018068)</f>
        <v>81.85558679</v>
      </c>
      <c r="AW369" s="32">
        <f>IFERROR(__xludf.DUMMYFUNCTION("""COMPUTED_VALUE"""),9.87243680606988)</f>
        <v>9.872436806</v>
      </c>
      <c r="AX369" s="32">
        <f>IFERROR(__xludf.DUMMYFUNCTION("""COMPUTED_VALUE"""),80.14398021388206)</f>
        <v>80.14398021</v>
      </c>
      <c r="AY369" s="32">
        <f>IFERROR(__xludf.DUMMYFUNCTION("""COMPUTED_VALUE"""),8.775380395750988)</f>
        <v>8.775380396</v>
      </c>
      <c r="AZ369" s="30">
        <f>IFERROR(__xludf.DUMMYFUNCTION("""COMPUTED_VALUE"""),1.097056410318892)</f>
        <v>1.09705641</v>
      </c>
      <c r="BA369" s="30">
        <f>IFERROR(__xludf.DUMMYFUNCTION("""COMPUTED_VALUE"""),1200.0)</f>
        <v>1200</v>
      </c>
    </row>
    <row r="370">
      <c r="A370" s="71" t="str">
        <f>IFERROR(__xludf.DUMMYFUNCTION("""COMPUTED_VALUE"""),"Veteran")</f>
        <v>Veteran</v>
      </c>
      <c r="B370" s="71" t="str">
        <f>IFERROR(__xludf.DUMMYFUNCTION("""COMPUTED_VALUE"""),"RSC003272")</f>
        <v>RSC003272</v>
      </c>
      <c r="C370" s="30" t="str">
        <f>IFERROR(__xludf.DUMMYFUNCTION("""COMPUTED_VALUE"""),"jknop2")</f>
        <v>jknop2</v>
      </c>
      <c r="D370" s="30" t="str">
        <f>IFERROR(__xludf.DUMMYFUNCTION("""COMPUTED_VALUE"""),"Singularity")</f>
        <v>Singularity</v>
      </c>
      <c r="E370" s="30">
        <f>IFERROR(__xludf.DUMMYFUNCTION("""COMPUTED_VALUE"""),44.0)</f>
        <v>44</v>
      </c>
      <c r="F370" s="30">
        <f>IFERROR(__xludf.DUMMYFUNCTION("""COMPUTED_VALUE"""),25.0)</f>
        <v>25</v>
      </c>
      <c r="G370" s="42">
        <f>IFERROR(__xludf.DUMMYFUNCTION("""COMPUTED_VALUE"""),19.0)</f>
        <v>19</v>
      </c>
      <c r="H370" s="42">
        <f>IFERROR(__xludf.DUMMYFUNCTION("""COMPUTED_VALUE"""),0.5681818181818182)</f>
        <v>0.5681818182</v>
      </c>
      <c r="I370" s="42">
        <f>IFERROR(__xludf.DUMMYFUNCTION("""COMPUTED_VALUE"""),0.27777777777777773)</f>
        <v>0.2777777778</v>
      </c>
      <c r="J370" s="30">
        <f>IFERROR(__xludf.DUMMYFUNCTION("""COMPUTED_VALUE"""),393.59090909090907)</f>
        <v>393.5909091</v>
      </c>
      <c r="K370" s="30">
        <f>IFERROR(__xludf.DUMMYFUNCTION("""COMPUTED_VALUE"""),0.6818181818181818)</f>
        <v>0.6818181818</v>
      </c>
      <c r="L370" s="30">
        <f>IFERROR(__xludf.DUMMYFUNCTION("""COMPUTED_VALUE"""),0.6818181818181818)</f>
        <v>0.6818181818</v>
      </c>
      <c r="M370" s="30">
        <f>IFERROR(__xludf.DUMMYFUNCTION("""COMPUTED_VALUE"""),1.8181818181818181)</f>
        <v>1.818181818</v>
      </c>
      <c r="N370" s="30">
        <f>IFERROR(__xludf.DUMMYFUNCTION("""COMPUTED_VALUE"""),2.4545454545454546)</f>
        <v>2.454545455</v>
      </c>
      <c r="O370" s="30">
        <f>IFERROR(__xludf.DUMMYFUNCTION("""COMPUTED_VALUE"""),341.41666666666674)</f>
        <v>341.4166667</v>
      </c>
      <c r="P370" s="30">
        <f>IFERROR(__xludf.DUMMYFUNCTION("""COMPUTED_VALUE"""),0.6742424242424241)</f>
        <v>0.6742424242</v>
      </c>
      <c r="Q370" s="30">
        <f>IFERROR(__xludf.DUMMYFUNCTION("""COMPUTED_VALUE"""),0.4924242424242424)</f>
        <v>0.4924242424</v>
      </c>
      <c r="R370" s="30">
        <f>IFERROR(__xludf.DUMMYFUNCTION("""COMPUTED_VALUE"""),1.416666666666667)</f>
        <v>1.416666667</v>
      </c>
      <c r="S370" s="30">
        <f>IFERROR(__xludf.DUMMYFUNCTION("""COMPUTED_VALUE"""),2.772727272727273)</f>
        <v>2.772727273</v>
      </c>
      <c r="T370" s="30">
        <f>IFERROR(__xludf.DUMMYFUNCTION("""COMPUTED_VALUE"""),356.2697338823936)</f>
        <v>356.2697339</v>
      </c>
      <c r="U370" s="30">
        <f>IFERROR(__xludf.DUMMYFUNCTION("""COMPUTED_VALUE"""),0.793466678946374)</f>
        <v>0.7934666789</v>
      </c>
      <c r="V370" s="30">
        <f>IFERROR(__xludf.DUMMYFUNCTION("""COMPUTED_VALUE"""),0.5866352791375596)</f>
        <v>0.5866352791</v>
      </c>
      <c r="W370" s="30">
        <f>IFERROR(__xludf.DUMMYFUNCTION("""COMPUTED_VALUE"""),1.339703120717257)</f>
        <v>1.339703121</v>
      </c>
      <c r="X370" s="30">
        <f>IFERROR(__xludf.DUMMYFUNCTION("""COMPUTED_VALUE"""),2.6445288044532096)</f>
        <v>2.644528804</v>
      </c>
      <c r="Y370" s="30">
        <f>IFERROR(__xludf.DUMMYFUNCTION("""COMPUTED_VALUE"""),346.7310896852843)</f>
        <v>346.7310897</v>
      </c>
      <c r="Z370" s="30">
        <f>IFERROR(__xludf.DUMMYFUNCTION("""COMPUTED_VALUE"""),0.7319350472531535)</f>
        <v>0.7319350473</v>
      </c>
      <c r="AA370" s="30">
        <f>IFERROR(__xludf.DUMMYFUNCTION("""COMPUTED_VALUE"""),0.5320239292340939)</f>
        <v>0.5320239292</v>
      </c>
      <c r="AB370" s="30">
        <f>IFERROR(__xludf.DUMMYFUNCTION("""COMPUTED_VALUE"""),1.3693051264264564)</f>
        <v>1.369305126</v>
      </c>
      <c r="AC370" s="30">
        <f>IFERROR(__xludf.DUMMYFUNCTION("""COMPUTED_VALUE"""),2.570150838329508)</f>
        <v>2.570150838</v>
      </c>
      <c r="AD370" s="30">
        <f>IFERROR(__xludf.DUMMYFUNCTION("""COMPUTED_VALUE"""),1.135147440767881)</f>
        <v>1.135147441</v>
      </c>
      <c r="AE370" s="30">
        <f>IFERROR(__xludf.DUMMYFUNCTION("""COMPUTED_VALUE"""),0.9315282611168121)</f>
        <v>0.9315282611</v>
      </c>
      <c r="AF370" s="30">
        <f>IFERROR(__xludf.DUMMYFUNCTION("""COMPUTED_VALUE"""),1.2815554796562119)</f>
        <v>1.28155548</v>
      </c>
      <c r="AG370" s="30">
        <f>IFERROR(__xludf.DUMMYFUNCTION("""COMPUTED_VALUE"""),1.3278134895520457)</f>
        <v>1.32781349</v>
      </c>
      <c r="AH370" s="30">
        <f>IFERROR(__xludf.DUMMYFUNCTION("""COMPUTED_VALUE"""),0.9550200003595151)</f>
        <v>0.9550200004</v>
      </c>
      <c r="AI370" s="30">
        <f>IFERROR(__xludf.DUMMYFUNCTION("""COMPUTED_VALUE"""),0.9583094891225592)</f>
        <v>0.9583094891</v>
      </c>
      <c r="AJ370" s="30">
        <f>IFERROR(__xludf.DUMMYFUNCTION("""COMPUTED_VALUE"""),0.8497425816768197)</f>
        <v>0.8497425817</v>
      </c>
      <c r="AK370" s="30">
        <f>IFERROR(__xludf.DUMMYFUNCTION("""COMPUTED_VALUE"""),0.839404413502336)</f>
        <v>0.8394044135</v>
      </c>
      <c r="AL370" s="30">
        <f>IFERROR(__xludf.DUMMYFUNCTION("""COMPUTED_VALUE"""),1.057448209800545)</f>
        <v>1.05744821</v>
      </c>
      <c r="AM370" s="30">
        <f>IFERROR(__xludf.DUMMYFUNCTION("""COMPUTED_VALUE"""),1.0484768659196246)</f>
        <v>1.048476866</v>
      </c>
      <c r="AN370" s="30">
        <f>IFERROR(__xludf.DUMMYFUNCTION("""COMPUTED_VALUE"""),1.1385236288842397)</f>
        <v>1.138523629</v>
      </c>
      <c r="AO370" s="30">
        <f>IFERROR(__xludf.DUMMYFUNCTION("""COMPUTED_VALUE"""),0.9023975736446536)</f>
        <v>0.9023975736</v>
      </c>
      <c r="AP370" s="30">
        <f>IFERROR(__xludf.DUMMYFUNCTION("""COMPUTED_VALUE"""),1.226605895549927)</f>
        <v>1.226605896</v>
      </c>
      <c r="AQ370" s="30">
        <f>IFERROR(__xludf.DUMMYFUNCTION("""COMPUTED_VALUE"""),1.3438441052186259)</f>
        <v>1.343844105</v>
      </c>
      <c r="AR370" s="30">
        <f>IFERROR(__xludf.DUMMYFUNCTION("""COMPUTED_VALUE"""),0.9627507330877904)</f>
        <v>0.9627507331</v>
      </c>
      <c r="AS370" s="30">
        <f>IFERROR(__xludf.DUMMYFUNCTION("""COMPUTED_VALUE"""),102.0)</f>
        <v>102</v>
      </c>
      <c r="AT370" s="30">
        <f>IFERROR(__xludf.DUMMYFUNCTION("""COMPUTED_VALUE"""),0.551758195747738)</f>
        <v>0.5517581957</v>
      </c>
      <c r="AU370" s="30">
        <f>IFERROR(__xludf.DUMMYFUNCTION("""COMPUTED_VALUE"""),2.195473505510722)</f>
        <v>2.195473506</v>
      </c>
      <c r="AV370" s="32">
        <f>IFERROR(__xludf.DUMMYFUNCTION("""COMPUTED_VALUE"""),63.706769208280804)</f>
        <v>63.70676921</v>
      </c>
      <c r="AW370" s="32">
        <f>IFERROR(__xludf.DUMMYFUNCTION("""COMPUTED_VALUE"""),3.427556895643196)</f>
        <v>3.427556896</v>
      </c>
      <c r="AX370" s="32">
        <f>IFERROR(__xludf.DUMMYFUNCTION("""COMPUTED_VALUE"""),54.79358770946047)</f>
        <v>54.79358771</v>
      </c>
      <c r="AY370" s="32">
        <f>IFERROR(__xludf.DUMMYFUNCTION("""COMPUTED_VALUE"""),2.358648763769095)</f>
        <v>2.358648764</v>
      </c>
      <c r="AZ370" s="30">
        <f>IFERROR(__xludf.DUMMYFUNCTION("""COMPUTED_VALUE"""),1.068908131874101)</f>
        <v>1.068908132</v>
      </c>
      <c r="BA370" s="30">
        <f>IFERROR(__xludf.DUMMYFUNCTION("""COMPUTED_VALUE"""),1200.0)</f>
        <v>1200</v>
      </c>
    </row>
    <row r="371">
      <c r="A371" s="71" t="str">
        <f>IFERROR(__xludf.DUMMYFUNCTION("""COMPUTED_VALUE"""),"Veteran")</f>
        <v>Veteran</v>
      </c>
      <c r="B371" s="71" t="str">
        <f>IFERROR(__xludf.DUMMYFUNCTION("""COMPUTED_VALUE"""),"RSC000767")</f>
        <v>RSC000767</v>
      </c>
      <c r="C371" s="30" t="str">
        <f>IFERROR(__xludf.DUMMYFUNCTION("""COMPUTED_VALUE"""),"Tragic")</f>
        <v>Tragic</v>
      </c>
      <c r="D371" s="30" t="str">
        <f>IFERROR(__xludf.DUMMYFUNCTION("""COMPUTED_VALUE"""),"Gouda Gangsters")</f>
        <v>Gouda Gangsters</v>
      </c>
      <c r="E371" s="30">
        <f>IFERROR(__xludf.DUMMYFUNCTION("""COMPUTED_VALUE"""),37.0)</f>
        <v>37</v>
      </c>
      <c r="F371" s="30">
        <f>IFERROR(__xludf.DUMMYFUNCTION("""COMPUTED_VALUE"""),16.0)</f>
        <v>16</v>
      </c>
      <c r="G371" s="42">
        <f>IFERROR(__xludf.DUMMYFUNCTION("""COMPUTED_VALUE"""),21.0)</f>
        <v>21</v>
      </c>
      <c r="H371" s="42">
        <f>IFERROR(__xludf.DUMMYFUNCTION("""COMPUTED_VALUE"""),0.43243243243243246)</f>
        <v>0.4324324324</v>
      </c>
      <c r="I371" s="42">
        <f>IFERROR(__xludf.DUMMYFUNCTION("""COMPUTED_VALUE"""),0.3428571428571429)</f>
        <v>0.3428571429</v>
      </c>
      <c r="J371" s="30">
        <f>IFERROR(__xludf.DUMMYFUNCTION("""COMPUTED_VALUE"""),360.86486486486484)</f>
        <v>360.8648649</v>
      </c>
      <c r="K371" s="30">
        <f>IFERROR(__xludf.DUMMYFUNCTION("""COMPUTED_VALUE"""),0.972972972972973)</f>
        <v>0.972972973</v>
      </c>
      <c r="L371" s="30">
        <f>IFERROR(__xludf.DUMMYFUNCTION("""COMPUTED_VALUE"""),0.6216216216216216)</f>
        <v>0.6216216216</v>
      </c>
      <c r="M371" s="30">
        <f>IFERROR(__xludf.DUMMYFUNCTION("""COMPUTED_VALUE"""),0.9459459459459459)</f>
        <v>0.9459459459</v>
      </c>
      <c r="N371" s="30">
        <f>IFERROR(__xludf.DUMMYFUNCTION("""COMPUTED_VALUE"""),2.8378378378378377)</f>
        <v>2.837837838</v>
      </c>
      <c r="O371" s="30">
        <f>IFERROR(__xludf.DUMMYFUNCTION("""COMPUTED_VALUE"""),369.73873873873873)</f>
        <v>369.7387387</v>
      </c>
      <c r="P371" s="30">
        <f>IFERROR(__xludf.DUMMYFUNCTION("""COMPUTED_VALUE"""),0.8918918918918919)</f>
        <v>0.8918918919</v>
      </c>
      <c r="Q371" s="30">
        <f>IFERROR(__xludf.DUMMYFUNCTION("""COMPUTED_VALUE"""),0.7297297297297297)</f>
        <v>0.7297297297</v>
      </c>
      <c r="R371" s="30">
        <f>IFERROR(__xludf.DUMMYFUNCTION("""COMPUTED_VALUE"""),1.306306306306306)</f>
        <v>1.306306306</v>
      </c>
      <c r="S371" s="30">
        <f>IFERROR(__xludf.DUMMYFUNCTION("""COMPUTED_VALUE"""),2.4954954954954953)</f>
        <v>2.495495495</v>
      </c>
      <c r="T371" s="30">
        <f>IFERROR(__xludf.DUMMYFUNCTION("""COMPUTED_VALUE"""),359.7262105241235)</f>
        <v>359.7262105</v>
      </c>
      <c r="U371" s="30">
        <f>IFERROR(__xludf.DUMMYFUNCTION("""COMPUTED_VALUE"""),0.8184599218253175)</f>
        <v>0.8184599218</v>
      </c>
      <c r="V371" s="30">
        <f>IFERROR(__xludf.DUMMYFUNCTION("""COMPUTED_VALUE"""),0.5721759816967548)</f>
        <v>0.5721759817</v>
      </c>
      <c r="W371" s="30">
        <f>IFERROR(__xludf.DUMMYFUNCTION("""COMPUTED_VALUE"""),1.370248972166216)</f>
        <v>1.370248972</v>
      </c>
      <c r="X371" s="30">
        <f>IFERROR(__xludf.DUMMYFUNCTION("""COMPUTED_VALUE"""),2.6780955593728994)</f>
        <v>2.678095559</v>
      </c>
      <c r="Y371" s="30">
        <f>IFERROR(__xludf.DUMMYFUNCTION("""COMPUTED_VALUE"""),359.0358550372496)</f>
        <v>359.035855</v>
      </c>
      <c r="Z371" s="30">
        <f>IFERROR(__xludf.DUMMYFUNCTION("""COMPUTED_VALUE"""),0.8000864904324076)</f>
        <v>0.8000864904</v>
      </c>
      <c r="AA371" s="30">
        <f>IFERROR(__xludf.DUMMYFUNCTION("""COMPUTED_VALUE"""),0.5922049927397829)</f>
        <v>0.5922049927</v>
      </c>
      <c r="AB371" s="30">
        <f>IFERROR(__xludf.DUMMYFUNCTION("""COMPUTED_VALUE"""),1.3749529553083786)</f>
        <v>1.374952955</v>
      </c>
      <c r="AC371" s="30">
        <f>IFERROR(__xludf.DUMMYFUNCTION("""COMPUTED_VALUE"""),2.6593115289251616)</f>
        <v>2.659311529</v>
      </c>
      <c r="AD371" s="30">
        <f>IFERROR(__xludf.DUMMYFUNCTION("""COMPUTED_VALUE"""),1.0050942261112765)</f>
        <v>1.005094226</v>
      </c>
      <c r="AE371" s="30">
        <f>IFERROR(__xludf.DUMMYFUNCTION("""COMPUTED_VALUE"""),1.2160847415972849)</f>
        <v>1.216084742</v>
      </c>
      <c r="AF371" s="30">
        <f>IFERROR(__xludf.DUMMYFUNCTION("""COMPUTED_VALUE"""),1.0496730511266805)</f>
        <v>1.049673051</v>
      </c>
      <c r="AG371" s="30">
        <f>IFERROR(__xludf.DUMMYFUNCTION("""COMPUTED_VALUE"""),0.6879842268739924)</f>
        <v>0.6879842269</v>
      </c>
      <c r="AH371" s="30">
        <f>IFERROR(__xludf.DUMMYFUNCTION("""COMPUTED_VALUE"""),1.067132529217001)</f>
        <v>1.067132529</v>
      </c>
      <c r="AI371" s="30">
        <f>IFERROR(__xludf.DUMMYFUNCTION("""COMPUTED_VALUE"""),1.027833746670911)</f>
        <v>1.027833747</v>
      </c>
      <c r="AJ371" s="30">
        <f>IFERROR(__xludf.DUMMYFUNCTION("""COMPUTED_VALUE"""),1.0897196895149215)</f>
        <v>1.08971969</v>
      </c>
      <c r="AK371" s="30">
        <f>IFERROR(__xludf.DUMMYFUNCTION("""COMPUTED_VALUE"""),1.2753588984384812)</f>
        <v>1.275358898</v>
      </c>
      <c r="AL371" s="30">
        <f>IFERROR(__xludf.DUMMYFUNCTION("""COMPUTED_VALUE"""),0.9533350017706465)</f>
        <v>0.9533350018</v>
      </c>
      <c r="AM371" s="30">
        <f>IFERROR(__xludf.DUMMYFUNCTION("""COMPUTED_VALUE"""),0.9318171962765356)</f>
        <v>0.9318171963</v>
      </c>
      <c r="AN371" s="30">
        <f>IFERROR(__xludf.DUMMYFUNCTION("""COMPUTED_VALUE"""),1.0438583971152406)</f>
        <v>1.043858397</v>
      </c>
      <c r="AO371" s="30">
        <f>IFERROR(__xludf.DUMMYFUNCTION("""COMPUTED_VALUE"""),1.2877457267145327)</f>
        <v>1.287745727</v>
      </c>
      <c r="AP371" s="30">
        <f>IFERROR(__xludf.DUMMYFUNCTION("""COMPUTED_VALUE"""),1.118310960627501)</f>
        <v>1.118310961</v>
      </c>
      <c r="AQ371" s="30">
        <f>IFERROR(__xludf.DUMMYFUNCTION("""COMPUTED_VALUE"""),0.699162135823204)</f>
        <v>0.6991621358</v>
      </c>
      <c r="AR371" s="30">
        <f>IFERROR(__xludf.DUMMYFUNCTION("""COMPUTED_VALUE"""),1.1130901869033012)</f>
        <v>1.113090187</v>
      </c>
      <c r="AS371" s="30">
        <f>IFERROR(__xludf.DUMMYFUNCTION("""COMPUTED_VALUE"""),94.0)</f>
        <v>94</v>
      </c>
      <c r="AT371" s="30">
        <f>IFERROR(__xludf.DUMMYFUNCTION("""COMPUTED_VALUE"""),0.4791977565519083)</f>
        <v>0.4791977566</v>
      </c>
      <c r="AU371" s="30">
        <f>IFERROR(__xludf.DUMMYFUNCTION("""COMPUTED_VALUE"""),2.178792687717791)</f>
        <v>2.178792688</v>
      </c>
      <c r="AV371" s="32">
        <f>IFERROR(__xludf.DUMMYFUNCTION("""COMPUTED_VALUE"""),63.11039504690952)</f>
        <v>63.11039505</v>
      </c>
      <c r="AW371" s="32">
        <f>IFERROR(__xludf.DUMMYFUNCTION("""COMPUTED_VALUE"""),3.33339240004218)</f>
        <v>3.3333924</v>
      </c>
      <c r="AX371" s="32">
        <f>IFERROR(__xludf.DUMMYFUNCTION("""COMPUTED_VALUE"""),53.70722782728307)</f>
        <v>53.70722783</v>
      </c>
      <c r="AY371" s="32">
        <f>IFERROR(__xludf.DUMMYFUNCTION("""COMPUTED_VALUE"""),2.2672790864513654)</f>
        <v>2.267279086</v>
      </c>
      <c r="AZ371" s="30">
        <f>IFERROR(__xludf.DUMMYFUNCTION("""COMPUTED_VALUE"""),1.0661133135908147)</f>
        <v>1.066113314</v>
      </c>
      <c r="BA371" s="30">
        <f>IFERROR(__xludf.DUMMYFUNCTION("""COMPUTED_VALUE"""),1200.0)</f>
        <v>1200</v>
      </c>
    </row>
    <row r="372">
      <c r="A372" s="71" t="str">
        <f>IFERROR(__xludf.DUMMYFUNCTION("""COMPUTED_VALUE"""),"Veteran")</f>
        <v>Veteran</v>
      </c>
      <c r="B372" s="71" t="str">
        <f>IFERROR(__xludf.DUMMYFUNCTION("""COMPUTED_VALUE"""),"RSC007688")</f>
        <v>RSC007688</v>
      </c>
      <c r="C372" s="30" t="str">
        <f>IFERROR(__xludf.DUMMYFUNCTION("""COMPUTED_VALUE"""),"Yami ^^")</f>
        <v>Yami ^^</v>
      </c>
      <c r="D372" s="30" t="str">
        <f>IFERROR(__xludf.DUMMYFUNCTION("""COMPUTED_VALUE"""),"Typhoons")</f>
        <v>Typhoons</v>
      </c>
      <c r="E372" s="30">
        <f>IFERROR(__xludf.DUMMYFUNCTION("""COMPUTED_VALUE"""),47.0)</f>
        <v>47</v>
      </c>
      <c r="F372" s="30">
        <f>IFERROR(__xludf.DUMMYFUNCTION("""COMPUTED_VALUE"""),29.0)</f>
        <v>29</v>
      </c>
      <c r="G372" s="42">
        <f>IFERROR(__xludf.DUMMYFUNCTION("""COMPUTED_VALUE"""),18.0)</f>
        <v>18</v>
      </c>
      <c r="H372" s="42">
        <f>IFERROR(__xludf.DUMMYFUNCTION("""COMPUTED_VALUE"""),0.6170212765957447)</f>
        <v>0.6170212766</v>
      </c>
      <c r="I372" s="42">
        <f>IFERROR(__xludf.DUMMYFUNCTION("""COMPUTED_VALUE"""),0.2781954887218045)</f>
        <v>0.2781954887</v>
      </c>
      <c r="J372" s="30">
        <f>IFERROR(__xludf.DUMMYFUNCTION("""COMPUTED_VALUE"""),339.8936170212766)</f>
        <v>339.893617</v>
      </c>
      <c r="K372" s="30">
        <f>IFERROR(__xludf.DUMMYFUNCTION("""COMPUTED_VALUE"""),0.7872340425531915)</f>
        <v>0.7872340426</v>
      </c>
      <c r="L372" s="30">
        <f>IFERROR(__xludf.DUMMYFUNCTION("""COMPUTED_VALUE"""),0.574468085106383)</f>
        <v>0.5744680851</v>
      </c>
      <c r="M372" s="30">
        <f>IFERROR(__xludf.DUMMYFUNCTION("""COMPUTED_VALUE"""),1.2765957446808511)</f>
        <v>1.276595745</v>
      </c>
      <c r="N372" s="30">
        <f>IFERROR(__xludf.DUMMYFUNCTION("""COMPUTED_VALUE"""),2.8297872340425534)</f>
        <v>2.829787234</v>
      </c>
      <c r="O372" s="30">
        <f>IFERROR(__xludf.DUMMYFUNCTION("""COMPUTED_VALUE"""),334.8936170212766)</f>
        <v>334.893617</v>
      </c>
      <c r="P372" s="30">
        <f>IFERROR(__xludf.DUMMYFUNCTION("""COMPUTED_VALUE"""),0.6099290780141845)</f>
        <v>0.609929078</v>
      </c>
      <c r="Q372" s="30">
        <f>IFERROR(__xludf.DUMMYFUNCTION("""COMPUTED_VALUE"""),0.48226950354609915)</f>
        <v>0.4822695035</v>
      </c>
      <c r="R372" s="30">
        <f>IFERROR(__xludf.DUMMYFUNCTION("""COMPUTED_VALUE"""),1.4609929078014183)</f>
        <v>1.460992908</v>
      </c>
      <c r="S372" s="30">
        <f>IFERROR(__xludf.DUMMYFUNCTION("""COMPUTED_VALUE"""),2.2836879432624118)</f>
        <v>2.283687943</v>
      </c>
      <c r="T372" s="30">
        <f>IFERROR(__xludf.DUMMYFUNCTION("""COMPUTED_VALUE"""),352.82608116384995)</f>
        <v>352.8260812</v>
      </c>
      <c r="U372" s="30">
        <f>IFERROR(__xludf.DUMMYFUNCTION("""COMPUTED_VALUE"""),0.7590037431564174)</f>
        <v>0.7590037432</v>
      </c>
      <c r="V372" s="30">
        <f>IFERROR(__xludf.DUMMYFUNCTION("""COMPUTED_VALUE"""),0.5804844934288568)</f>
        <v>0.5804844934</v>
      </c>
      <c r="W372" s="30">
        <f>IFERROR(__xludf.DUMMYFUNCTION("""COMPUTED_VALUE"""),1.3560731731223437)</f>
        <v>1.356073173</v>
      </c>
      <c r="X372" s="30">
        <f>IFERROR(__xludf.DUMMYFUNCTION("""COMPUTED_VALUE"""),2.6052065019983344)</f>
        <v>2.605206502</v>
      </c>
      <c r="Y372" s="30">
        <f>IFERROR(__xludf.DUMMYFUNCTION("""COMPUTED_VALUE"""),355.2153614328236)</f>
        <v>355.2153614</v>
      </c>
      <c r="Z372" s="30">
        <f>IFERROR(__xludf.DUMMYFUNCTION("""COMPUTED_VALUE"""),0.7655338308714079)</f>
        <v>0.7655338309</v>
      </c>
      <c r="AA372" s="30">
        <f>IFERROR(__xludf.DUMMYFUNCTION("""COMPUTED_VALUE"""),0.5627939214560405)</f>
        <v>0.5627939215</v>
      </c>
      <c r="AB372" s="30">
        <f>IFERROR(__xludf.DUMMYFUNCTION("""COMPUTED_VALUE"""),1.4135655692703617)</f>
        <v>1.413565569</v>
      </c>
      <c r="AC372" s="30">
        <f>IFERROR(__xludf.DUMMYFUNCTION("""COMPUTED_VALUE"""),2.5955085079965565)</f>
        <v>2.595508508</v>
      </c>
      <c r="AD372" s="30">
        <f>IFERROR(__xludf.DUMMYFUNCTION("""COMPUTED_VALUE"""),0.9568663237148752)</f>
        <v>0.9568663237</v>
      </c>
      <c r="AE372" s="30">
        <f>IFERROR(__xludf.DUMMYFUNCTION("""COMPUTED_VALUE"""),1.028346509072084)</f>
        <v>1.028346509</v>
      </c>
      <c r="AF372" s="30">
        <f>IFERROR(__xludf.DUMMYFUNCTION("""COMPUTED_VALUE"""),1.0207432298133916)</f>
        <v>1.02074323</v>
      </c>
      <c r="AG372" s="30">
        <f>IFERROR(__xludf.DUMMYFUNCTION("""COMPUTED_VALUE"""),0.9031033101207961)</f>
        <v>0.9031033101</v>
      </c>
      <c r="AH372" s="30">
        <f>IFERROR(__xludf.DUMMYFUNCTION("""COMPUTED_VALUE"""),1.0902631316076223)</f>
        <v>1.090263132</v>
      </c>
      <c r="AI372" s="30">
        <f>IFERROR(__xludf.DUMMYFUNCTION("""COMPUTED_VALUE"""),0.9491747773196914)</f>
        <v>0.9491747773</v>
      </c>
      <c r="AJ372" s="30">
        <f>IFERROR(__xludf.DUMMYFUNCTION("""COMPUTED_VALUE"""),0.8035916601382146)</f>
        <v>0.8035916601</v>
      </c>
      <c r="AK372" s="30">
        <f>IFERROR(__xludf.DUMMYFUNCTION("""COMPUTED_VALUE"""),0.8308051446773148)</f>
        <v>0.8308051447</v>
      </c>
      <c r="AL372" s="30">
        <f>IFERROR(__xludf.DUMMYFUNCTION("""COMPUTED_VALUE"""),1.0773702605129325)</f>
        <v>1.077370261</v>
      </c>
      <c r="AM372" s="30">
        <f>IFERROR(__xludf.DUMMYFUNCTION("""COMPUTED_VALUE"""),0.8765861521958814)</f>
        <v>0.8765861522</v>
      </c>
      <c r="AN372" s="30">
        <f>IFERROR(__xludf.DUMMYFUNCTION("""COMPUTED_VALUE"""),0.9831957632849504)</f>
        <v>0.9831957633</v>
      </c>
      <c r="AO372" s="30">
        <f>IFERROR(__xludf.DUMMYFUNCTION("""COMPUTED_VALUE"""),1.0419171985060256)</f>
        <v>1.041917199</v>
      </c>
      <c r="AP372" s="30">
        <f>IFERROR(__xludf.DUMMYFUNCTION("""COMPUTED_VALUE"""),1.0334807119952578)</f>
        <v>1.033480712</v>
      </c>
      <c r="AQ372" s="30">
        <f>IFERROR(__xludf.DUMMYFUNCTION("""COMPUTED_VALUE"""),0.943550116430099)</f>
        <v>0.9435501164</v>
      </c>
      <c r="AR372" s="30">
        <f>IFERROR(__xludf.DUMMYFUNCTION("""COMPUTED_VALUE"""),1.1099324842454195)</f>
        <v>1.109932484</v>
      </c>
      <c r="AS372" s="30">
        <f>IFERROR(__xludf.DUMMYFUNCTION("""COMPUTED_VALUE"""),110.0)</f>
        <v>110</v>
      </c>
      <c r="AT372" s="30">
        <f>IFERROR(__xludf.DUMMYFUNCTION("""COMPUTED_VALUE"""),0.5916555007044131)</f>
        <v>0.5916555007</v>
      </c>
      <c r="AU372" s="30">
        <f>IFERROR(__xludf.DUMMYFUNCTION("""COMPUTED_VALUE"""),2.1790131748378885)</f>
        <v>2.179013175</v>
      </c>
      <c r="AV372" s="32">
        <f>IFERROR(__xludf.DUMMYFUNCTION("""COMPUTED_VALUE"""),63.11827792309542)</f>
        <v>63.11827792</v>
      </c>
      <c r="AW372" s="32">
        <f>IFERROR(__xludf.DUMMYFUNCTION("""COMPUTED_VALUE"""),3.334610919238606)</f>
        <v>3.334610919</v>
      </c>
      <c r="AX372" s="32">
        <f>IFERROR(__xludf.DUMMYFUNCTION("""COMPUTED_VALUE"""),53.796606333777625)</f>
        <v>53.79660633</v>
      </c>
      <c r="AY372" s="32">
        <f>IFERROR(__xludf.DUMMYFUNCTION("""COMPUTED_VALUE"""),2.2745520762997735)</f>
        <v>2.274552076</v>
      </c>
      <c r="AZ372" s="30">
        <f>IFERROR(__xludf.DUMMYFUNCTION("""COMPUTED_VALUE"""),1.0600588429388327)</f>
        <v>1.060058843</v>
      </c>
      <c r="BA372" s="30">
        <f>IFERROR(__xludf.DUMMYFUNCTION("""COMPUTED_VALUE"""),1200.0)</f>
        <v>1200</v>
      </c>
    </row>
    <row r="373">
      <c r="A373" s="71" t="str">
        <f>IFERROR(__xludf.DUMMYFUNCTION("""COMPUTED_VALUE"""),"Veteran")</f>
        <v>Veteran</v>
      </c>
      <c r="B373" s="71" t="str">
        <f>IFERROR(__xludf.DUMMYFUNCTION("""COMPUTED_VALUE"""),"RSC006531")</f>
        <v>RSC006531</v>
      </c>
      <c r="C373" s="30" t="str">
        <f>IFERROR(__xludf.DUMMYFUNCTION("""COMPUTED_VALUE"""),"Corners-")</f>
        <v>Corners-</v>
      </c>
      <c r="D373" s="30"/>
      <c r="E373" s="30">
        <f>IFERROR(__xludf.DUMMYFUNCTION("""COMPUTED_VALUE"""),4.0)</f>
        <v>4</v>
      </c>
      <c r="F373" s="30">
        <f>IFERROR(__xludf.DUMMYFUNCTION("""COMPUTED_VALUE"""),1.0)</f>
        <v>1</v>
      </c>
      <c r="G373" s="42">
        <f>IFERROR(__xludf.DUMMYFUNCTION("""COMPUTED_VALUE"""),3.0)</f>
        <v>3</v>
      </c>
      <c r="H373" s="42">
        <f>IFERROR(__xludf.DUMMYFUNCTION("""COMPUTED_VALUE"""),0.25)</f>
        <v>0.25</v>
      </c>
      <c r="I373" s="42">
        <f>IFERROR(__xludf.DUMMYFUNCTION("""COMPUTED_VALUE"""),0.16666666666666666)</f>
        <v>0.1666666667</v>
      </c>
      <c r="J373" s="30">
        <f>IFERROR(__xludf.DUMMYFUNCTION("""COMPUTED_VALUE"""),261.0)</f>
        <v>261</v>
      </c>
      <c r="K373" s="30">
        <f>IFERROR(__xludf.DUMMYFUNCTION("""COMPUTED_VALUE"""),0.5)</f>
        <v>0.5</v>
      </c>
      <c r="L373" s="30">
        <f>IFERROR(__xludf.DUMMYFUNCTION("""COMPUTED_VALUE"""),0.75)</f>
        <v>0.75</v>
      </c>
      <c r="M373" s="30">
        <f>IFERROR(__xludf.DUMMYFUNCTION("""COMPUTED_VALUE"""),0.5)</f>
        <v>0.5</v>
      </c>
      <c r="N373" s="30">
        <f>IFERROR(__xludf.DUMMYFUNCTION("""COMPUTED_VALUE"""),3.0)</f>
        <v>3</v>
      </c>
      <c r="O373" s="30">
        <f>IFERROR(__xludf.DUMMYFUNCTION("""COMPUTED_VALUE"""),414.33333333333337)</f>
        <v>414.3333333</v>
      </c>
      <c r="P373" s="30">
        <f>IFERROR(__xludf.DUMMYFUNCTION("""COMPUTED_VALUE"""),1.0)</f>
        <v>1</v>
      </c>
      <c r="Q373" s="30">
        <f>IFERROR(__xludf.DUMMYFUNCTION("""COMPUTED_VALUE"""),0.6666666666666666)</f>
        <v>0.6666666667</v>
      </c>
      <c r="R373" s="30">
        <f>IFERROR(__xludf.DUMMYFUNCTION("""COMPUTED_VALUE"""),1.9166666666666667)</f>
        <v>1.916666667</v>
      </c>
      <c r="S373" s="30">
        <f>IFERROR(__xludf.DUMMYFUNCTION("""COMPUTED_VALUE"""),1.9166666666666665)</f>
        <v>1.916666667</v>
      </c>
      <c r="T373" s="30">
        <f>IFERROR(__xludf.DUMMYFUNCTION("""COMPUTED_VALUE"""),321.7665727321525)</f>
        <v>321.7665727</v>
      </c>
      <c r="U373" s="30">
        <f>IFERROR(__xludf.DUMMYFUNCTION("""COMPUTED_VALUE"""),0.5856481481481481)</f>
        <v>0.5856481481</v>
      </c>
      <c r="V373" s="30">
        <f>IFERROR(__xludf.DUMMYFUNCTION("""COMPUTED_VALUE"""),0.39469269994632317)</f>
        <v>0.3946926999</v>
      </c>
      <c r="W373" s="30">
        <f>IFERROR(__xludf.DUMMYFUNCTION("""COMPUTED_VALUE"""),1.4253891572732151)</f>
        <v>1.425389157</v>
      </c>
      <c r="X373" s="30">
        <f>IFERROR(__xludf.DUMMYFUNCTION("""COMPUTED_VALUE"""),2.3219269994632312)</f>
        <v>2.321926999</v>
      </c>
      <c r="Y373" s="30">
        <f>IFERROR(__xludf.DUMMYFUNCTION("""COMPUTED_VALUE"""),344.2131642512077)</f>
        <v>344.2131643</v>
      </c>
      <c r="Z373" s="30">
        <f>IFERROR(__xludf.DUMMYFUNCTION("""COMPUTED_VALUE"""),0.739175165503668)</f>
        <v>0.7391751655</v>
      </c>
      <c r="AA373" s="30">
        <f>IFERROR(__xludf.DUMMYFUNCTION("""COMPUTED_VALUE"""),0.5262233852209697)</f>
        <v>0.5262233852</v>
      </c>
      <c r="AB373" s="30">
        <f>IFERROR(__xludf.DUMMYFUNCTION("""COMPUTED_VALUE"""),1.3797190910717478)</f>
        <v>1.379719091</v>
      </c>
      <c r="AC373" s="30">
        <f>IFERROR(__xludf.DUMMYFUNCTION("""COMPUTED_VALUE"""),2.6716876901055646)</f>
        <v>2.67168769</v>
      </c>
      <c r="AD373" s="30">
        <f>IFERROR(__xludf.DUMMYFUNCTION("""COMPUTED_VALUE"""),0.7582510697049387)</f>
        <v>0.7582510697</v>
      </c>
      <c r="AE373" s="30">
        <f>IFERROR(__xludf.DUMMYFUNCTION("""COMPUTED_VALUE"""),0.6764296520423599)</f>
        <v>0.676429652</v>
      </c>
      <c r="AF373" s="30">
        <f>IFERROR(__xludf.DUMMYFUNCTION("""COMPUTED_VALUE"""),1.4252502284463526)</f>
        <v>1.425250228</v>
      </c>
      <c r="AG373" s="30">
        <f>IFERROR(__xludf.DUMMYFUNCTION("""COMPUTED_VALUE"""),0.3623926082023019)</f>
        <v>0.3623926082</v>
      </c>
      <c r="AH373" s="30">
        <f>IFERROR(__xludf.DUMMYFUNCTION("""COMPUTED_VALUE"""),1.1228857366489056)</f>
        <v>1.122885737</v>
      </c>
      <c r="AI373" s="30">
        <f>IFERROR(__xludf.DUMMYFUNCTION("""COMPUTED_VALUE"""),1.2876829616426193)</f>
        <v>1.287682962</v>
      </c>
      <c r="AJ373" s="30">
        <f>IFERROR(__xludf.DUMMYFUNCTION("""COMPUTED_VALUE"""),1.707509881422925)</f>
        <v>1.707509881</v>
      </c>
      <c r="AK373" s="30">
        <f>IFERROR(__xludf.DUMMYFUNCTION("""COMPUTED_VALUE"""),1.6890777730556734)</f>
        <v>1.689077773</v>
      </c>
      <c r="AL373" s="30">
        <f>IFERROR(__xludf.DUMMYFUNCTION("""COMPUTED_VALUE"""),1.344662022218038)</f>
        <v>1.344662022</v>
      </c>
      <c r="AM373" s="30">
        <f>IFERROR(__xludf.DUMMYFUNCTION("""COMPUTED_VALUE"""),0.8254637924059411)</f>
        <v>0.8254637924</v>
      </c>
      <c r="AN373" s="30">
        <f>IFERROR(__xludf.DUMMYFUNCTION("""COMPUTED_VALUE"""),0.7549835635816267)</f>
        <v>0.7549835636</v>
      </c>
      <c r="AO373" s="30">
        <f>IFERROR(__xludf.DUMMYFUNCTION("""COMPUTED_VALUE"""),0.6617582206727459)</f>
        <v>0.6617582207</v>
      </c>
      <c r="AP373" s="30">
        <f>IFERROR(__xludf.DUMMYFUNCTION("""COMPUTED_VALUE"""),1.3492664851049199)</f>
        <v>1.349266485</v>
      </c>
      <c r="AQ373" s="30">
        <f>IFERROR(__xludf.DUMMYFUNCTION("""COMPUTED_VALUE"""),0.3695571289351221)</f>
        <v>0.3695571289</v>
      </c>
      <c r="AR373" s="30">
        <f>IFERROR(__xludf.DUMMYFUNCTION("""COMPUTED_VALUE"""),1.1766953404406326)</f>
        <v>1.17669534</v>
      </c>
      <c r="AS373" s="30">
        <f>IFERROR(__xludf.DUMMYFUNCTION("""COMPUTED_VALUE"""),8.0)</f>
        <v>8</v>
      </c>
      <c r="AT373" s="30">
        <f>IFERROR(__xludf.DUMMYFUNCTION("""COMPUTED_VALUE"""),0.34445266793706497)</f>
        <v>0.3444526679</v>
      </c>
      <c r="AU373" s="30">
        <f>IFERROR(__xludf.DUMMYFUNCTION("""COMPUTED_VALUE"""),1.1544849603112666)</f>
        <v>1.15448496</v>
      </c>
      <c r="AV373" s="32">
        <f>IFERROR(__xludf.DUMMYFUNCTION("""COMPUTED_VALUE"""),26.489249159381604)</f>
        <v>26.48924916</v>
      </c>
      <c r="AW373" s="32">
        <f>IFERROR(__xludf.DUMMYFUNCTION("""COMPUTED_VALUE"""),-5.763738214336973)</f>
        <v>-5.763738214</v>
      </c>
      <c r="AX373" s="32">
        <f>IFERROR(__xludf.DUMMYFUNCTION("""COMPUTED_VALUE"""),29.69179005675169)</f>
        <v>29.69179006</v>
      </c>
      <c r="AY373" s="32">
        <f>IFERROR(__xludf.DUMMYFUNCTION("""COMPUTED_VALUE"""),-4.8007310177885065)</f>
        <v>-4.800731018</v>
      </c>
      <c r="AZ373" s="30">
        <f>IFERROR(__xludf.DUMMYFUNCTION("""COMPUTED_VALUE"""),0.9630071965484666)</f>
        <v>0.9630071965</v>
      </c>
      <c r="BA373" s="30">
        <f>IFERROR(__xludf.DUMMYFUNCTION("""COMPUTED_VALUE"""),1200.0)</f>
        <v>1200</v>
      </c>
    </row>
    <row r="374">
      <c r="A374" s="71" t="str">
        <f>IFERROR(__xludf.DUMMYFUNCTION("""COMPUTED_VALUE"""),"Veteran")</f>
        <v>Veteran</v>
      </c>
      <c r="B374" s="71" t="str">
        <f>IFERROR(__xludf.DUMMYFUNCTION("""COMPUTED_VALUE"""),"RSC006836")</f>
        <v>RSC006836</v>
      </c>
      <c r="C374" s="30" t="str">
        <f>IFERROR(__xludf.DUMMYFUNCTION("""COMPUTED_VALUE"""),"BawaRL")</f>
        <v>BawaRL</v>
      </c>
      <c r="D374" s="30" t="str">
        <f>IFERROR(__xludf.DUMMYFUNCTION("""COMPUTED_VALUE"""),"Slots")</f>
        <v>Slots</v>
      </c>
      <c r="E374" s="30">
        <f>IFERROR(__xludf.DUMMYFUNCTION("""COMPUTED_VALUE"""),28.0)</f>
        <v>28</v>
      </c>
      <c r="F374" s="30">
        <f>IFERROR(__xludf.DUMMYFUNCTION("""COMPUTED_VALUE"""),14.0)</f>
        <v>14</v>
      </c>
      <c r="G374" s="42">
        <f>IFERROR(__xludf.DUMMYFUNCTION("""COMPUTED_VALUE"""),14.0)</f>
        <v>14</v>
      </c>
      <c r="H374" s="42">
        <f>IFERROR(__xludf.DUMMYFUNCTION("""COMPUTED_VALUE"""),0.5)</f>
        <v>0.5</v>
      </c>
      <c r="I374" s="42">
        <f>IFERROR(__xludf.DUMMYFUNCTION("""COMPUTED_VALUE"""),0.2857142857142857)</f>
        <v>0.2857142857</v>
      </c>
      <c r="J374" s="30">
        <f>IFERROR(__xludf.DUMMYFUNCTION("""COMPUTED_VALUE"""),390.14285714285717)</f>
        <v>390.1428571</v>
      </c>
      <c r="K374" s="30">
        <f>IFERROR(__xludf.DUMMYFUNCTION("""COMPUTED_VALUE"""),0.8571428571428571)</f>
        <v>0.8571428571</v>
      </c>
      <c r="L374" s="30">
        <f>IFERROR(__xludf.DUMMYFUNCTION("""COMPUTED_VALUE"""),0.75)</f>
        <v>0.75</v>
      </c>
      <c r="M374" s="30">
        <f>IFERROR(__xludf.DUMMYFUNCTION("""COMPUTED_VALUE"""),1.5714285714285714)</f>
        <v>1.571428571</v>
      </c>
      <c r="N374" s="30">
        <f>IFERROR(__xludf.DUMMYFUNCTION("""COMPUTED_VALUE"""),3.0)</f>
        <v>3</v>
      </c>
      <c r="O374" s="30">
        <f>IFERROR(__xludf.DUMMYFUNCTION("""COMPUTED_VALUE"""),359.01190476190476)</f>
        <v>359.0119048</v>
      </c>
      <c r="P374" s="30">
        <f>IFERROR(__xludf.DUMMYFUNCTION("""COMPUTED_VALUE"""),0.8095238095238094)</f>
        <v>0.8095238095</v>
      </c>
      <c r="Q374" s="30">
        <f>IFERROR(__xludf.DUMMYFUNCTION("""COMPUTED_VALUE"""),0.5952380952380951)</f>
        <v>0.5952380952</v>
      </c>
      <c r="R374" s="30">
        <f>IFERROR(__xludf.DUMMYFUNCTION("""COMPUTED_VALUE"""),1.3571428571428572)</f>
        <v>1.357142857</v>
      </c>
      <c r="S374" s="30">
        <f>IFERROR(__xludf.DUMMYFUNCTION("""COMPUTED_VALUE"""),2.904761904761905)</f>
        <v>2.904761905</v>
      </c>
      <c r="T374" s="30">
        <f>IFERROR(__xludf.DUMMYFUNCTION("""COMPUTED_VALUE"""),346.57949979444845)</f>
        <v>346.5794998</v>
      </c>
      <c r="U374" s="30">
        <f>IFERROR(__xludf.DUMMYFUNCTION("""COMPUTED_VALUE"""),0.7562890541365626)</f>
        <v>0.7562890541</v>
      </c>
      <c r="V374" s="30">
        <f>IFERROR(__xludf.DUMMYFUNCTION("""COMPUTED_VALUE"""),0.5204926970408267)</f>
        <v>0.520492697</v>
      </c>
      <c r="W374" s="30">
        <f>IFERROR(__xludf.DUMMYFUNCTION("""COMPUTED_VALUE"""),1.3883703281186381)</f>
        <v>1.388370328</v>
      </c>
      <c r="X374" s="30">
        <f>IFERROR(__xludf.DUMMYFUNCTION("""COMPUTED_VALUE"""),2.5118303567278586)</f>
        <v>2.511830357</v>
      </c>
      <c r="Y374" s="30">
        <f>IFERROR(__xludf.DUMMYFUNCTION("""COMPUTED_VALUE"""),353.19871764629687)</f>
        <v>353.1987176</v>
      </c>
      <c r="Z374" s="30">
        <f>IFERROR(__xludf.DUMMYFUNCTION("""COMPUTED_VALUE"""),0.8150059471595109)</f>
        <v>0.8150059472</v>
      </c>
      <c r="AA374" s="30">
        <f>IFERROR(__xludf.DUMMYFUNCTION("""COMPUTED_VALUE"""),0.5969421750448255)</f>
        <v>0.596942175</v>
      </c>
      <c r="AB374" s="30">
        <f>IFERROR(__xludf.DUMMYFUNCTION("""COMPUTED_VALUE"""),1.2799863823209694)</f>
        <v>1.279986382</v>
      </c>
      <c r="AC374" s="30">
        <f>IFERROR(__xludf.DUMMYFUNCTION("""COMPUTED_VALUE"""),2.6860868636803668)</f>
        <v>2.686086864</v>
      </c>
      <c r="AD374" s="30">
        <f>IFERROR(__xludf.DUMMYFUNCTION("""COMPUTED_VALUE"""),1.1045987362093348)</f>
        <v>1.104598736</v>
      </c>
      <c r="AE374" s="30">
        <f>IFERROR(__xludf.DUMMYFUNCTION("""COMPUTED_VALUE"""),1.0517013527695145)</f>
        <v>1.051701353</v>
      </c>
      <c r="AF374" s="30">
        <f>IFERROR(__xludf.DUMMYFUNCTION("""COMPUTED_VALUE"""),1.256403101261326)</f>
        <v>1.256403101</v>
      </c>
      <c r="AG374" s="30">
        <f>IFERROR(__xludf.DUMMYFUNCTION("""COMPUTED_VALUE"""),1.2276916326087288)</f>
        <v>1.227691633</v>
      </c>
      <c r="AH374" s="30">
        <f>IFERROR(__xludf.DUMMYFUNCTION("""COMPUTED_VALUE"""),1.1168663383765343)</f>
        <v>1.116866338</v>
      </c>
      <c r="AI374" s="30">
        <f>IFERROR(__xludf.DUMMYFUNCTION("""COMPUTED_VALUE"""),1.0358717263278117)</f>
        <v>1.035871726</v>
      </c>
      <c r="AJ374" s="30">
        <f>IFERROR(__xludf.DUMMYFUNCTION("""COMPUTED_VALUE"""),1.0703894299356531)</f>
        <v>1.07038943</v>
      </c>
      <c r="AK374" s="30">
        <f>IFERROR(__xludf.DUMMYFUNCTION("""COMPUTED_VALUE"""),1.1436050853781825)</f>
        <v>1.143605085</v>
      </c>
      <c r="AL374" s="30">
        <f>IFERROR(__xludf.DUMMYFUNCTION("""COMPUTED_VALUE"""),0.9775078231338343)</f>
        <v>0.9775078231</v>
      </c>
      <c r="AM374" s="30">
        <f>IFERROR(__xludf.DUMMYFUNCTION("""COMPUTED_VALUE"""),1.156432358969463)</f>
        <v>1.156432359</v>
      </c>
      <c r="AN374" s="30">
        <f>IFERROR(__xludf.DUMMYFUNCTION("""COMPUTED_VALUE"""),1.1285495961365204)</f>
        <v>1.128549596</v>
      </c>
      <c r="AO374" s="30">
        <f>IFERROR(__xludf.DUMMYFUNCTION("""COMPUTED_VALUE"""),1.1344426640104215)</f>
        <v>1.134442664</v>
      </c>
      <c r="AP374" s="30">
        <f>IFERROR(__xludf.DUMMYFUNCTION("""COMPUTED_VALUE"""),1.3492664851049199)</f>
        <v>1.349266485</v>
      </c>
      <c r="AQ374" s="30">
        <f>IFERROR(__xludf.DUMMYFUNCTION("""COMPUTED_VALUE"""),1.1614652623675266)</f>
        <v>1.161465262</v>
      </c>
      <c r="AR374" s="30">
        <f>IFERROR(__xludf.DUMMYFUNCTION("""COMPUTED_VALUE"""),1.1766953404406326)</f>
        <v>1.17669534</v>
      </c>
      <c r="AS374" s="30">
        <f>IFERROR(__xludf.DUMMYFUNCTION("""COMPUTED_VALUE"""),64.0)</f>
        <v>64</v>
      </c>
      <c r="AT374" s="30">
        <f>IFERROR(__xludf.DUMMYFUNCTION("""COMPUTED_VALUE"""),0.4763660854857283)</f>
        <v>0.4763660855</v>
      </c>
      <c r="AU374" s="30">
        <f>IFERROR(__xludf.DUMMYFUNCTION("""COMPUTED_VALUE"""),2.2738952641604513)</f>
        <v>2.273895264</v>
      </c>
      <c r="AV374" s="32">
        <f>IFERROR(__xludf.DUMMYFUNCTION("""COMPUTED_VALUE"""),66.5105112746808)</f>
        <v>66.51051127</v>
      </c>
      <c r="AW374" s="32">
        <f>IFERROR(__xludf.DUMMYFUNCTION("""COMPUTED_VALUE"""),3.9293962021311097)</f>
        <v>3.929396202</v>
      </c>
      <c r="AX374" s="32">
        <f>IFERROR(__xludf.DUMMYFUNCTION("""COMPUTED_VALUE"""),60.52347687517315)</f>
        <v>60.52347688</v>
      </c>
      <c r="AY374" s="32">
        <f>IFERROR(__xludf.DUMMYFUNCTION("""COMPUTED_VALUE"""),2.968241723741588)</f>
        <v>2.968241724</v>
      </c>
      <c r="AZ374" s="30">
        <f>IFERROR(__xludf.DUMMYFUNCTION("""COMPUTED_VALUE"""),0.9611544783895218)</f>
        <v>0.9611544784</v>
      </c>
      <c r="BA374" s="30">
        <f>IFERROR(__xludf.DUMMYFUNCTION("""COMPUTED_VALUE"""),1200.0)</f>
        <v>1200</v>
      </c>
    </row>
    <row r="375">
      <c r="A375" s="71" t="str">
        <f>IFERROR(__xludf.DUMMYFUNCTION("""COMPUTED_VALUE"""),"Veteran")</f>
        <v>Veteran</v>
      </c>
      <c r="B375" s="71" t="str">
        <f>IFERROR(__xludf.DUMMYFUNCTION("""COMPUTED_VALUE"""),"RSC001098")</f>
        <v>RSC001098</v>
      </c>
      <c r="C375" s="30" t="str">
        <f>IFERROR(__xludf.DUMMYFUNCTION("""COMPUTED_VALUE"""),"Wafe")</f>
        <v>Wafe</v>
      </c>
      <c r="D375" s="30" t="str">
        <f>IFERROR(__xludf.DUMMYFUNCTION("""COMPUTED_VALUE"""),"Silver Dollar")</f>
        <v>Silver Dollar</v>
      </c>
      <c r="E375" s="30">
        <f>IFERROR(__xludf.DUMMYFUNCTION("""COMPUTED_VALUE"""),46.0)</f>
        <v>46</v>
      </c>
      <c r="F375" s="30">
        <f>IFERROR(__xludf.DUMMYFUNCTION("""COMPUTED_VALUE"""),25.0)</f>
        <v>25</v>
      </c>
      <c r="G375" s="42">
        <f>IFERROR(__xludf.DUMMYFUNCTION("""COMPUTED_VALUE"""),21.0)</f>
        <v>21</v>
      </c>
      <c r="H375" s="42">
        <f>IFERROR(__xludf.DUMMYFUNCTION("""COMPUTED_VALUE"""),0.5434782608695652)</f>
        <v>0.5434782609</v>
      </c>
      <c r="I375" s="42">
        <f>IFERROR(__xludf.DUMMYFUNCTION("""COMPUTED_VALUE"""),0.304)</f>
        <v>0.304</v>
      </c>
      <c r="J375" s="30">
        <f>IFERROR(__xludf.DUMMYFUNCTION("""COMPUTED_VALUE"""),393.2173913043478)</f>
        <v>393.2173913</v>
      </c>
      <c r="K375" s="30">
        <f>IFERROR(__xludf.DUMMYFUNCTION("""COMPUTED_VALUE"""),0.8260869565217391)</f>
        <v>0.8260869565</v>
      </c>
      <c r="L375" s="30">
        <f>IFERROR(__xludf.DUMMYFUNCTION("""COMPUTED_VALUE"""),0.4782608695652174)</f>
        <v>0.4782608696</v>
      </c>
      <c r="M375" s="30">
        <f>IFERROR(__xludf.DUMMYFUNCTION("""COMPUTED_VALUE"""),1.5217391304347827)</f>
        <v>1.52173913</v>
      </c>
      <c r="N375" s="30">
        <f>IFERROR(__xludf.DUMMYFUNCTION("""COMPUTED_VALUE"""),2.717391304347826)</f>
        <v>2.717391304</v>
      </c>
      <c r="O375" s="30">
        <f>IFERROR(__xludf.DUMMYFUNCTION("""COMPUTED_VALUE"""),338.33333333333337)</f>
        <v>338.3333333</v>
      </c>
      <c r="P375" s="30">
        <f>IFERROR(__xludf.DUMMYFUNCTION("""COMPUTED_VALUE"""),0.7028985507246377)</f>
        <v>0.7028985507</v>
      </c>
      <c r="Q375" s="30">
        <f>IFERROR(__xludf.DUMMYFUNCTION("""COMPUTED_VALUE"""),0.4855072463768116)</f>
        <v>0.4855072464</v>
      </c>
      <c r="R375" s="30">
        <f>IFERROR(__xludf.DUMMYFUNCTION("""COMPUTED_VALUE"""),1.2681159420289856)</f>
        <v>1.268115942</v>
      </c>
      <c r="S375" s="30">
        <f>IFERROR(__xludf.DUMMYFUNCTION("""COMPUTED_VALUE"""),2.5072463768115942)</f>
        <v>2.507246377</v>
      </c>
      <c r="T375" s="30">
        <f>IFERROR(__xludf.DUMMYFUNCTION("""COMPUTED_VALUE"""),343.1952647504615)</f>
        <v>343.1952648</v>
      </c>
      <c r="U375" s="30">
        <f>IFERROR(__xludf.DUMMYFUNCTION("""COMPUTED_VALUE"""),0.7381595169445475)</f>
        <v>0.7381595169</v>
      </c>
      <c r="V375" s="30">
        <f>IFERROR(__xludf.DUMMYFUNCTION("""COMPUTED_VALUE"""),0.5278717242551777)</f>
        <v>0.5278717243</v>
      </c>
      <c r="W375" s="30">
        <f>IFERROR(__xludf.DUMMYFUNCTION("""COMPUTED_VALUE"""),1.3467815958991807)</f>
        <v>1.346781596</v>
      </c>
      <c r="X375" s="30">
        <f>IFERROR(__xludf.DUMMYFUNCTION("""COMPUTED_VALUE"""),2.5379669149978383)</f>
        <v>2.537966915</v>
      </c>
      <c r="Y375" s="30">
        <f>IFERROR(__xludf.DUMMYFUNCTION("""COMPUTED_VALUE"""),355.3393969439962)</f>
        <v>355.3393969</v>
      </c>
      <c r="Z375" s="30">
        <f>IFERROR(__xludf.DUMMYFUNCTION("""COMPUTED_VALUE"""),0.7949067449845175)</f>
        <v>0.794906745</v>
      </c>
      <c r="AA375" s="30">
        <f>IFERROR(__xludf.DUMMYFUNCTION("""COMPUTED_VALUE"""),0.5797697817206451)</f>
        <v>0.5797697817</v>
      </c>
      <c r="AB375" s="30">
        <f>IFERROR(__xludf.DUMMYFUNCTION("""COMPUTED_VALUE"""),1.3505816784954559)</f>
        <v>1.350581678</v>
      </c>
      <c r="AC375" s="30">
        <f>IFERROR(__xludf.DUMMYFUNCTION("""COMPUTED_VALUE"""),2.677541129756747)</f>
        <v>2.67754113</v>
      </c>
      <c r="AD375" s="30">
        <f>IFERROR(__xludf.DUMMYFUNCTION("""COMPUTED_VALUE"""),1.1065966641642089)</f>
        <v>1.106596664</v>
      </c>
      <c r="AE375" s="30">
        <f>IFERROR(__xludf.DUMMYFUNCTION("""COMPUTED_VALUE"""),1.0392249930371755)</f>
        <v>1.039224993</v>
      </c>
      <c r="AF375" s="30">
        <f>IFERROR(__xludf.DUMMYFUNCTION("""COMPUTED_VALUE"""),0.824915138118843)</f>
        <v>0.8249151381</v>
      </c>
      <c r="AG375" s="30">
        <f>IFERROR(__xludf.DUMMYFUNCTION("""COMPUTED_VALUE"""),1.1267286937654861)</f>
        <v>1.126728694</v>
      </c>
      <c r="AH375" s="30">
        <f>IFERROR(__xludf.DUMMYFUNCTION("""COMPUTED_VALUE"""),1.0148831232313131)</f>
        <v>1.014883123</v>
      </c>
      <c r="AI375" s="30">
        <f>IFERROR(__xludf.DUMMYFUNCTION("""COMPUTED_VALUE"""),0.9858333377045186)</f>
        <v>0.9858333377</v>
      </c>
      <c r="AJ375" s="30">
        <f>IFERROR(__xludf.DUMMYFUNCTION("""COMPUTED_VALUE"""),0.9522312380854141)</f>
        <v>0.9522312381</v>
      </c>
      <c r="AK375" s="30">
        <f>IFERROR(__xludf.DUMMYFUNCTION("""COMPUTED_VALUE"""),0.9197447487111722)</f>
        <v>0.9197447487</v>
      </c>
      <c r="AL375" s="30">
        <f>IFERROR(__xludf.DUMMYFUNCTION("""COMPUTED_VALUE"""),0.9415898954145763)</f>
        <v>0.9415898954</v>
      </c>
      <c r="AM375" s="30">
        <f>IFERROR(__xludf.DUMMYFUNCTION("""COMPUTED_VALUE"""),0.9878956112450858)</f>
        <v>0.9878956112</v>
      </c>
      <c r="AN375" s="30">
        <f>IFERROR(__xludf.DUMMYFUNCTION("""COMPUTED_VALUE"""),1.1374431699204117)</f>
        <v>1.13744317</v>
      </c>
      <c r="AO375" s="30">
        <f>IFERROR(__xludf.DUMMYFUNCTION("""COMPUTED_VALUE"""),1.0933396689375803)</f>
        <v>1.093339669</v>
      </c>
      <c r="AP375" s="30">
        <f>IFERROR(__xludf.DUMMYFUNCTION("""COMPUTED_VALUE"""),0.8604018165886446)</f>
        <v>0.8604018166</v>
      </c>
      <c r="AQ375" s="30">
        <f>IFERROR(__xludf.DUMMYFUNCTION("""COMPUTED_VALUE"""),1.1247390880634152)</f>
        <v>1.124739088</v>
      </c>
      <c r="AR375" s="30">
        <f>IFERROR(__xludf.DUMMYFUNCTION("""COMPUTED_VALUE"""),1.0658472286599934)</f>
        <v>1.065847229</v>
      </c>
      <c r="AS375" s="30">
        <f>IFERROR(__xludf.DUMMYFUNCTION("""COMPUTED_VALUE"""),107.0)</f>
        <v>107</v>
      </c>
      <c r="AT375" s="30">
        <f>IFERROR(__xludf.DUMMYFUNCTION("""COMPUTED_VALUE"""),0.5375424207199054)</f>
        <v>0.5375424207</v>
      </c>
      <c r="AU375" s="30">
        <f>IFERROR(__xludf.DUMMYFUNCTION("""COMPUTED_VALUE"""),2.0588935822745964)</f>
        <v>2.058893582</v>
      </c>
      <c r="AV375" s="32">
        <f>IFERROR(__xludf.DUMMYFUNCTION("""COMPUTED_VALUE"""),58.82375098991638)</f>
        <v>58.82375099</v>
      </c>
      <c r="AW375" s="32">
        <f>IFERROR(__xludf.DUMMYFUNCTION("""COMPUTED_VALUE"""),2.7619506662697315)</f>
        <v>2.761950666</v>
      </c>
      <c r="AX375" s="32">
        <f>IFERROR(__xludf.DUMMYFUNCTION("""COMPUTED_VALUE"""),65.29792897058518)</f>
        <v>65.29792897</v>
      </c>
      <c r="AY375" s="32">
        <f>IFERROR(__xludf.DUMMYFUNCTION("""COMPUTED_VALUE"""),3.699643903837735)</f>
        <v>3.699643904</v>
      </c>
      <c r="AZ375" s="30">
        <f>IFERROR(__xludf.DUMMYFUNCTION("""COMPUTED_VALUE"""),0.9376932375680034)</f>
        <v>0.9376932376</v>
      </c>
      <c r="BA375" s="30">
        <f>IFERROR(__xludf.DUMMYFUNCTION("""COMPUTED_VALUE"""),1200.0)</f>
        <v>1200</v>
      </c>
    </row>
    <row r="376">
      <c r="A376" s="71" t="str">
        <f>IFERROR(__xludf.DUMMYFUNCTION("""COMPUTED_VALUE"""),"Veteran")</f>
        <v>Veteran</v>
      </c>
      <c r="B376" s="71" t="str">
        <f>IFERROR(__xludf.DUMMYFUNCTION("""COMPUTED_VALUE"""),"RSC002668")</f>
        <v>RSC002668</v>
      </c>
      <c r="C376" s="30" t="str">
        <f>IFERROR(__xludf.DUMMYFUNCTION("""COMPUTED_VALUE"""),"Azorh &lt;3")</f>
        <v>Azorh &lt;3</v>
      </c>
      <c r="D376" s="30" t="str">
        <f>IFERROR(__xludf.DUMMYFUNCTION("""COMPUTED_VALUE"""),"Peppermint")</f>
        <v>Peppermint</v>
      </c>
      <c r="E376" s="30">
        <f>IFERROR(__xludf.DUMMYFUNCTION("""COMPUTED_VALUE"""),42.0)</f>
        <v>42</v>
      </c>
      <c r="F376" s="30">
        <f>IFERROR(__xludf.DUMMYFUNCTION("""COMPUTED_VALUE"""),18.0)</f>
        <v>18</v>
      </c>
      <c r="G376" s="42">
        <f>IFERROR(__xludf.DUMMYFUNCTION("""COMPUTED_VALUE"""),24.0)</f>
        <v>24</v>
      </c>
      <c r="H376" s="42">
        <f>IFERROR(__xludf.DUMMYFUNCTION("""COMPUTED_VALUE"""),0.42857142857142855)</f>
        <v>0.4285714286</v>
      </c>
      <c r="I376" s="42">
        <f>IFERROR(__xludf.DUMMYFUNCTION("""COMPUTED_VALUE"""),0.25)</f>
        <v>0.25</v>
      </c>
      <c r="J376" s="30">
        <f>IFERROR(__xludf.DUMMYFUNCTION("""COMPUTED_VALUE"""),338.6190476190476)</f>
        <v>338.6190476</v>
      </c>
      <c r="K376" s="30">
        <f>IFERROR(__xludf.DUMMYFUNCTION("""COMPUTED_VALUE"""),0.6190476190476191)</f>
        <v>0.619047619</v>
      </c>
      <c r="L376" s="30">
        <f>IFERROR(__xludf.DUMMYFUNCTION("""COMPUTED_VALUE"""),0.5)</f>
        <v>0.5</v>
      </c>
      <c r="M376" s="30">
        <f>IFERROR(__xludf.DUMMYFUNCTION("""COMPUTED_VALUE"""),1.5)</f>
        <v>1.5</v>
      </c>
      <c r="N376" s="30">
        <f>IFERROR(__xludf.DUMMYFUNCTION("""COMPUTED_VALUE"""),2.4761904761904763)</f>
        <v>2.476190476</v>
      </c>
      <c r="O376" s="30">
        <f>IFERROR(__xludf.DUMMYFUNCTION("""COMPUTED_VALUE"""),371.5873015873016)</f>
        <v>371.5873016</v>
      </c>
      <c r="P376" s="30">
        <f>IFERROR(__xludf.DUMMYFUNCTION("""COMPUTED_VALUE"""),0.9444444444444444)</f>
        <v>0.9444444444</v>
      </c>
      <c r="Q376" s="30">
        <f>IFERROR(__xludf.DUMMYFUNCTION("""COMPUTED_VALUE"""),0.6507936507936509)</f>
        <v>0.6507936508</v>
      </c>
      <c r="R376" s="30">
        <f>IFERROR(__xludf.DUMMYFUNCTION("""COMPUTED_VALUE"""),1.1507936507936516)</f>
        <v>1.150793651</v>
      </c>
      <c r="S376" s="30">
        <f>IFERROR(__xludf.DUMMYFUNCTION("""COMPUTED_VALUE"""),3.126984126984128)</f>
        <v>3.126984127</v>
      </c>
      <c r="T376" s="30">
        <f>IFERROR(__xludf.DUMMYFUNCTION("""COMPUTED_VALUE"""),345.99419922008195)</f>
        <v>345.9941992</v>
      </c>
      <c r="U376" s="30">
        <f>IFERROR(__xludf.DUMMYFUNCTION("""COMPUTED_VALUE"""),0.749448041888523)</f>
        <v>0.7494480419</v>
      </c>
      <c r="V376" s="30">
        <f>IFERROR(__xludf.DUMMYFUNCTION("""COMPUTED_VALUE"""),0.5627780798615546)</f>
        <v>0.5627780799</v>
      </c>
      <c r="W376" s="30">
        <f>IFERROR(__xludf.DUMMYFUNCTION("""COMPUTED_VALUE"""),1.3044145747787403)</f>
        <v>1.304414575</v>
      </c>
      <c r="X376" s="30">
        <f>IFERROR(__xludf.DUMMYFUNCTION("""COMPUTED_VALUE"""),2.5495278538596926)</f>
        <v>2.549527854</v>
      </c>
      <c r="Y376" s="30">
        <f>IFERROR(__xludf.DUMMYFUNCTION("""COMPUTED_VALUE"""),356.4664182442491)</f>
        <v>356.4664182</v>
      </c>
      <c r="Z376" s="30">
        <f>IFERROR(__xludf.DUMMYFUNCTION("""COMPUTED_VALUE"""),0.8290979980135853)</f>
        <v>0.829097998</v>
      </c>
      <c r="AA376" s="30">
        <f>IFERROR(__xludf.DUMMYFUNCTION("""COMPUTED_VALUE"""),0.6049585387415458)</f>
        <v>0.6049585387</v>
      </c>
      <c r="AB376" s="30">
        <f>IFERROR(__xludf.DUMMYFUNCTION("""COMPUTED_VALUE"""),1.310863545523538)</f>
        <v>1.310863546</v>
      </c>
      <c r="AC376" s="30">
        <f>IFERROR(__xludf.DUMMYFUNCTION("""COMPUTED_VALUE"""),2.6137498726692767)</f>
        <v>2.613749873</v>
      </c>
      <c r="AD376" s="30">
        <f>IFERROR(__xludf.DUMMYFUNCTION("""COMPUTED_VALUE"""),0.9499325330192182)</f>
        <v>0.949932533</v>
      </c>
      <c r="AE376" s="30">
        <f>IFERROR(__xludf.DUMMYFUNCTION("""COMPUTED_VALUE"""),0.7466519283978245)</f>
        <v>0.7466519284</v>
      </c>
      <c r="AF376" s="30">
        <f>IFERROR(__xludf.DUMMYFUNCTION("""COMPUTED_VALUE"""),0.8265029220682066)</f>
        <v>0.8265029221</v>
      </c>
      <c r="AG376" s="30">
        <f>IFERROR(__xludf.DUMMYFUNCTION("""COMPUTED_VALUE"""),1.1442838616744995)</f>
        <v>1.144283862</v>
      </c>
      <c r="AH376" s="30">
        <f>IFERROR(__xludf.DUMMYFUNCTION("""COMPUTED_VALUE"""),0.947370864397855)</f>
        <v>0.9473708644</v>
      </c>
      <c r="AI376" s="30">
        <f>IFERROR(__xludf.DUMMYFUNCTION("""COMPUTED_VALUE"""),1.0739697440734846)</f>
        <v>1.073969744</v>
      </c>
      <c r="AJ376" s="30">
        <f>IFERROR(__xludf.DUMMYFUNCTION("""COMPUTED_VALUE"""),1.260186686277214)</f>
        <v>1.260186686</v>
      </c>
      <c r="AK376" s="30">
        <f>IFERROR(__xludf.DUMMYFUNCTION("""COMPUTED_VALUE"""),1.1563948101065848)</f>
        <v>1.15639481</v>
      </c>
      <c r="AL376" s="30">
        <f>IFERROR(__xludf.DUMMYFUNCTION("""COMPUTED_VALUE"""),0.8822299850404949)</f>
        <v>0.882229985</v>
      </c>
      <c r="AM376" s="30">
        <f>IFERROR(__xludf.DUMMYFUNCTION("""COMPUTED_VALUE"""),1.2264953772716123)</f>
        <v>1.226495377</v>
      </c>
      <c r="AN376" s="30">
        <f>IFERROR(__xludf.DUMMYFUNCTION("""COMPUTED_VALUE"""),0.9795088707587934)</f>
        <v>0.9795088708</v>
      </c>
      <c r="AO376" s="30">
        <f>IFERROR(__xludf.DUMMYFUNCTION("""COMPUTED_VALUE"""),0.8193197017853046)</f>
        <v>0.8193197018</v>
      </c>
      <c r="AP376" s="30">
        <f>IFERROR(__xludf.DUMMYFUNCTION("""COMPUTED_VALUE"""),0.8995109900699465)</f>
        <v>0.8995109901</v>
      </c>
      <c r="AQ376" s="30">
        <f>IFERROR(__xludf.DUMMYFUNCTION("""COMPUTED_VALUE"""),1.1086713868053664)</f>
        <v>1.108671387</v>
      </c>
      <c r="AR376" s="30">
        <f>IFERROR(__xludf.DUMMYFUNCTION("""COMPUTED_VALUE"""),0.971240598458935)</f>
        <v>0.9712405985</v>
      </c>
      <c r="AS376" s="30">
        <f>IFERROR(__xludf.DUMMYFUNCTION("""COMPUTED_VALUE"""),93.0)</f>
        <v>93</v>
      </c>
      <c r="AT376" s="30">
        <f>IFERROR(__xludf.DUMMYFUNCTION("""COMPUTED_VALUE"""),0.40315793237732184)</f>
        <v>0.4031579324</v>
      </c>
      <c r="AU376" s="30">
        <f>IFERROR(__xludf.DUMMYFUNCTION("""COMPUTED_VALUE"""),1.29852048661502)</f>
        <v>1.298520487</v>
      </c>
      <c r="AV376" s="32">
        <f>IFERROR(__xludf.DUMMYFUNCTION("""COMPUTED_VALUE"""),31.638820797498504)</f>
        <v>31.6388208</v>
      </c>
      <c r="AW376" s="32">
        <f>IFERROR(__xludf.DUMMYFUNCTION("""COMPUTED_VALUE"""),-4.322677049700937)</f>
        <v>-4.32267705</v>
      </c>
      <c r="AX376" s="32">
        <f>IFERROR(__xludf.DUMMYFUNCTION("""COMPUTED_VALUE"""),36.53077111051529)</f>
        <v>36.53077111</v>
      </c>
      <c r="AY376" s="32">
        <f>IFERROR(__xludf.DUMMYFUNCTION("""COMPUTED_VALUE"""),-3.389565381281558)</f>
        <v>-3.389565381</v>
      </c>
      <c r="AZ376" s="30">
        <f>IFERROR(__xludf.DUMMYFUNCTION("""COMPUTED_VALUE"""),0.9331116684193792)</f>
        <v>0.9331116684</v>
      </c>
      <c r="BA376" s="30">
        <f>IFERROR(__xludf.DUMMYFUNCTION("""COMPUTED_VALUE"""),1200.0)</f>
        <v>1200</v>
      </c>
    </row>
    <row r="377">
      <c r="A377" s="71" t="str">
        <f>IFERROR(__xludf.DUMMYFUNCTION("""COMPUTED_VALUE"""),"Veteran")</f>
        <v>Veteran</v>
      </c>
      <c r="B377" s="71" t="str">
        <f>IFERROR(__xludf.DUMMYFUNCTION("""COMPUTED_VALUE"""),"RSC004239")</f>
        <v>RSC004239</v>
      </c>
      <c r="C377" s="30" t="str">
        <f>IFERROR(__xludf.DUMMYFUNCTION("""COMPUTED_VALUE"""),"Nitro")</f>
        <v>Nitro</v>
      </c>
      <c r="D377" s="30" t="str">
        <f>IFERROR(__xludf.DUMMYFUNCTION("""COMPUTED_VALUE"""),"Mosaic Maestros")</f>
        <v>Mosaic Maestros</v>
      </c>
      <c r="E377" s="30">
        <f>IFERROR(__xludf.DUMMYFUNCTION("""COMPUTED_VALUE"""),43.0)</f>
        <v>43</v>
      </c>
      <c r="F377" s="30">
        <f>IFERROR(__xludf.DUMMYFUNCTION("""COMPUTED_VALUE"""),20.0)</f>
        <v>20</v>
      </c>
      <c r="G377" s="42">
        <f>IFERROR(__xludf.DUMMYFUNCTION("""COMPUTED_VALUE"""),23.0)</f>
        <v>23</v>
      </c>
      <c r="H377" s="42">
        <f>IFERROR(__xludf.DUMMYFUNCTION("""COMPUTED_VALUE"""),0.46511627906976744)</f>
        <v>0.4651162791</v>
      </c>
      <c r="I377" s="42">
        <f>IFERROR(__xludf.DUMMYFUNCTION("""COMPUTED_VALUE"""),0.26771653543307083)</f>
        <v>0.2677165354</v>
      </c>
      <c r="J377" s="30">
        <f>IFERROR(__xludf.DUMMYFUNCTION("""COMPUTED_VALUE"""),349.16279069767444)</f>
        <v>349.1627907</v>
      </c>
      <c r="K377" s="30">
        <f>IFERROR(__xludf.DUMMYFUNCTION("""COMPUTED_VALUE"""),0.7906976744186046)</f>
        <v>0.7906976744</v>
      </c>
      <c r="L377" s="30">
        <f>IFERROR(__xludf.DUMMYFUNCTION("""COMPUTED_VALUE"""),0.46511627906976744)</f>
        <v>0.4651162791</v>
      </c>
      <c r="M377" s="30">
        <f>IFERROR(__xludf.DUMMYFUNCTION("""COMPUTED_VALUE"""),1.627906976744186)</f>
        <v>1.627906977</v>
      </c>
      <c r="N377" s="30">
        <f>IFERROR(__xludf.DUMMYFUNCTION("""COMPUTED_VALUE"""),2.953488372093023)</f>
        <v>2.953488372</v>
      </c>
      <c r="O377" s="30">
        <f>IFERROR(__xludf.DUMMYFUNCTION("""COMPUTED_VALUE"""),391.61240310077517)</f>
        <v>391.6124031</v>
      </c>
      <c r="P377" s="30">
        <f>IFERROR(__xludf.DUMMYFUNCTION("""COMPUTED_VALUE"""),0.9534883720930236)</f>
        <v>0.9534883721</v>
      </c>
      <c r="Q377" s="30">
        <f>IFERROR(__xludf.DUMMYFUNCTION("""COMPUTED_VALUE"""),0.7209302325581395)</f>
        <v>0.7209302326</v>
      </c>
      <c r="R377" s="30">
        <f>IFERROR(__xludf.DUMMYFUNCTION("""COMPUTED_VALUE"""),1.4883720930232565)</f>
        <v>1.488372093</v>
      </c>
      <c r="S377" s="30">
        <f>IFERROR(__xludf.DUMMYFUNCTION("""COMPUTED_VALUE"""),2.813953488372093)</f>
        <v>2.813953488</v>
      </c>
      <c r="T377" s="30">
        <f>IFERROR(__xludf.DUMMYFUNCTION("""COMPUTED_VALUE"""),359.23467197066816)</f>
        <v>359.234672</v>
      </c>
      <c r="U377" s="30">
        <f>IFERROR(__xludf.DUMMYFUNCTION("""COMPUTED_VALUE"""),0.8005937829986215)</f>
        <v>0.800593783</v>
      </c>
      <c r="V377" s="30">
        <f>IFERROR(__xludf.DUMMYFUNCTION("""COMPUTED_VALUE"""),0.6505660156890234)</f>
        <v>0.6505660157</v>
      </c>
      <c r="W377" s="30">
        <f>IFERROR(__xludf.DUMMYFUNCTION("""COMPUTED_VALUE"""),1.3456652997406469)</f>
        <v>1.3456653</v>
      </c>
      <c r="X377" s="30">
        <f>IFERROR(__xludf.DUMMYFUNCTION("""COMPUTED_VALUE"""),2.6534532957778056)</f>
        <v>2.653453296</v>
      </c>
      <c r="Y377" s="30">
        <f>IFERROR(__xludf.DUMMYFUNCTION("""COMPUTED_VALUE"""),353.9000144045011)</f>
        <v>353.9000144</v>
      </c>
      <c r="Z377" s="30">
        <f>IFERROR(__xludf.DUMMYFUNCTION("""COMPUTED_VALUE"""),0.7851617399433933)</f>
        <v>0.7851617399</v>
      </c>
      <c r="AA377" s="30">
        <f>IFERROR(__xludf.DUMMYFUNCTION("""COMPUTED_VALUE"""),0.5771189732791006)</f>
        <v>0.5771189733</v>
      </c>
      <c r="AB377" s="30">
        <f>IFERROR(__xludf.DUMMYFUNCTION("""COMPUTED_VALUE"""),1.3450664426738288)</f>
        <v>1.345066443</v>
      </c>
      <c r="AC377" s="30">
        <f>IFERROR(__xludf.DUMMYFUNCTION("""COMPUTED_VALUE"""),2.6490437360562145)</f>
        <v>2.649043736</v>
      </c>
      <c r="AD377" s="30">
        <f>IFERROR(__xludf.DUMMYFUNCTION("""COMPUTED_VALUE"""),0.9866142313817141)</f>
        <v>0.9866142314</v>
      </c>
      <c r="AE377" s="30">
        <f>IFERROR(__xludf.DUMMYFUNCTION("""COMPUTED_VALUE"""),1.0070506931165677)</f>
        <v>1.007050693</v>
      </c>
      <c r="AF377" s="30">
        <f>IFERROR(__xludf.DUMMYFUNCTION("""COMPUTED_VALUE"""),0.8059278946021283)</f>
        <v>0.8059278946</v>
      </c>
      <c r="AG377" s="30">
        <f>IFERROR(__xludf.DUMMYFUNCTION("""COMPUTED_VALUE"""),1.2102799721239828)</f>
        <v>1.210279972</v>
      </c>
      <c r="AH377" s="30">
        <f>IFERROR(__xludf.DUMMYFUNCTION("""COMPUTED_VALUE"""),1.1149262399457598)</f>
        <v>1.11492624</v>
      </c>
      <c r="AI377" s="30">
        <f>IFERROR(__xludf.DUMMYFUNCTION("""COMPUTED_VALUE"""),1.0901297498721134)</f>
        <v>1.09012975</v>
      </c>
      <c r="AJ377" s="30">
        <f>IFERROR(__xludf.DUMMYFUNCTION("""COMPUTED_VALUE"""),1.190976488128269)</f>
        <v>1.190976488</v>
      </c>
      <c r="AK377" s="30">
        <f>IFERROR(__xludf.DUMMYFUNCTION("""COMPUTED_VALUE"""),1.1081584576694994)</f>
        <v>1.108158458</v>
      </c>
      <c r="AL377" s="30">
        <f>IFERROR(__xludf.DUMMYFUNCTION("""COMPUTED_VALUE"""),1.1060492481377902)</f>
        <v>1.106049248</v>
      </c>
      <c r="AM377" s="30">
        <f>IFERROR(__xludf.DUMMYFUNCTION("""COMPUTED_VALUE"""),1.060487287584702)</f>
        <v>1.060487288</v>
      </c>
      <c r="AN377" s="30">
        <f>IFERROR(__xludf.DUMMYFUNCTION("""COMPUTED_VALUE"""),1.0100083064790648)</f>
        <v>1.010008306</v>
      </c>
      <c r="AO377" s="30">
        <f>IFERROR(__xludf.DUMMYFUNCTION("""COMPUTED_VALUE"""),1.046501372226668)</f>
        <v>1.046501372</v>
      </c>
      <c r="AP377" s="30">
        <f>IFERROR(__xludf.DUMMYFUNCTION("""COMPUTED_VALUE"""),0.8367544093673921)</f>
        <v>0.8367544094</v>
      </c>
      <c r="AQ377" s="30">
        <f>IFERROR(__xludf.DUMMYFUNCTION("""COMPUTED_VALUE"""),1.203209256998072)</f>
        <v>1.203209257</v>
      </c>
      <c r="AR377" s="30">
        <f>IFERROR(__xludf.DUMMYFUNCTION("""COMPUTED_VALUE"""),1.15845200182915)</f>
        <v>1.158452002</v>
      </c>
      <c r="AS377" s="30">
        <f>IFERROR(__xludf.DUMMYFUNCTION("""COMPUTED_VALUE"""),108.0)</f>
        <v>108</v>
      </c>
      <c r="AT377" s="30">
        <f>IFERROR(__xludf.DUMMYFUNCTION("""COMPUTED_VALUE"""),0.44751811733392766)</f>
        <v>0.4475181173</v>
      </c>
      <c r="AU377" s="30">
        <f>IFERROR(__xludf.DUMMYFUNCTION("""COMPUTED_VALUE"""),1.7446190709280835)</f>
        <v>1.744619071</v>
      </c>
      <c r="AV377" s="32">
        <f>IFERROR(__xludf.DUMMYFUNCTION("""COMPUTED_VALUE"""),47.587779200567084)</f>
        <v>47.5877792</v>
      </c>
      <c r="AW377" s="32">
        <f>IFERROR(__xludf.DUMMYFUNCTION("""COMPUTED_VALUE"""),-2.1665365908228447)</f>
        <v>-2.166536591</v>
      </c>
      <c r="AX377" s="32">
        <f>IFERROR(__xludf.DUMMYFUNCTION("""COMPUTED_VALUE"""),38.52872639293613)</f>
        <v>38.52872639</v>
      </c>
      <c r="AY377" s="32">
        <f>IFERROR(__xludf.DUMMYFUNCTION("""COMPUTED_VALUE"""),-3.094340844417901)</f>
        <v>-3.094340844</v>
      </c>
      <c r="AZ377" s="30">
        <f>IFERROR(__xludf.DUMMYFUNCTION("""COMPUTED_VALUE"""),0.9278042535950561)</f>
        <v>0.9278042536</v>
      </c>
      <c r="BA377" s="30">
        <f>IFERROR(__xludf.DUMMYFUNCTION("""COMPUTED_VALUE"""),1200.0)</f>
        <v>1200</v>
      </c>
    </row>
    <row r="378">
      <c r="A378" s="71" t="str">
        <f>IFERROR(__xludf.DUMMYFUNCTION("""COMPUTED_VALUE"""),"Veteran")</f>
        <v>Veteran</v>
      </c>
      <c r="B378" s="71" t="str">
        <f>IFERROR(__xludf.DUMMYFUNCTION("""COMPUTED_VALUE"""),"RSC005246")</f>
        <v>RSC005246</v>
      </c>
      <c r="C378" s="30" t="str">
        <f>IFERROR(__xludf.DUMMYFUNCTION("""COMPUTED_VALUE"""),"Irishhhh")</f>
        <v>Irishhhh</v>
      </c>
      <c r="D378" s="30" t="str">
        <f>IFERROR(__xludf.DUMMYFUNCTION("""COMPUTED_VALUE"""),"Mosaic Maestros")</f>
        <v>Mosaic Maestros</v>
      </c>
      <c r="E378" s="30">
        <f>IFERROR(__xludf.DUMMYFUNCTION("""COMPUTED_VALUE"""),31.0)</f>
        <v>31</v>
      </c>
      <c r="F378" s="30">
        <f>IFERROR(__xludf.DUMMYFUNCTION("""COMPUTED_VALUE"""),17.0)</f>
        <v>17</v>
      </c>
      <c r="G378" s="42">
        <f>IFERROR(__xludf.DUMMYFUNCTION("""COMPUTED_VALUE"""),14.0)</f>
        <v>14</v>
      </c>
      <c r="H378" s="42">
        <f>IFERROR(__xludf.DUMMYFUNCTION("""COMPUTED_VALUE"""),0.5483870967741935)</f>
        <v>0.5483870968</v>
      </c>
      <c r="I378" s="42">
        <f>IFERROR(__xludf.DUMMYFUNCTION("""COMPUTED_VALUE"""),0.2727272727272727)</f>
        <v>0.2727272727</v>
      </c>
      <c r="J378" s="30">
        <f>IFERROR(__xludf.DUMMYFUNCTION("""COMPUTED_VALUE"""),344.741935483871)</f>
        <v>344.7419355</v>
      </c>
      <c r="K378" s="30">
        <f>IFERROR(__xludf.DUMMYFUNCTION("""COMPUTED_VALUE"""),0.7741935483870968)</f>
        <v>0.7741935484</v>
      </c>
      <c r="L378" s="30">
        <f>IFERROR(__xludf.DUMMYFUNCTION("""COMPUTED_VALUE"""),0.41935483870967744)</f>
        <v>0.4193548387</v>
      </c>
      <c r="M378" s="30">
        <f>IFERROR(__xludf.DUMMYFUNCTION("""COMPUTED_VALUE"""),1.3548387096774193)</f>
        <v>1.35483871</v>
      </c>
      <c r="N378" s="30">
        <f>IFERROR(__xludf.DUMMYFUNCTION("""COMPUTED_VALUE"""),2.838709677419355)</f>
        <v>2.838709677</v>
      </c>
      <c r="O378" s="30">
        <f>IFERROR(__xludf.DUMMYFUNCTION("""COMPUTED_VALUE"""),378.5913978494624)</f>
        <v>378.5913978</v>
      </c>
      <c r="P378" s="30">
        <f>IFERROR(__xludf.DUMMYFUNCTION("""COMPUTED_VALUE"""),0.8709677419354838)</f>
        <v>0.8709677419</v>
      </c>
      <c r="Q378" s="30">
        <f>IFERROR(__xludf.DUMMYFUNCTION("""COMPUTED_VALUE"""),0.6129032258064516)</f>
        <v>0.6129032258</v>
      </c>
      <c r="R378" s="30">
        <f>IFERROR(__xludf.DUMMYFUNCTION("""COMPUTED_VALUE"""),1.5268817204301068)</f>
        <v>1.52688172</v>
      </c>
      <c r="S378" s="30">
        <f>IFERROR(__xludf.DUMMYFUNCTION("""COMPUTED_VALUE"""),2.666666666666667)</f>
        <v>2.666666667</v>
      </c>
      <c r="T378" s="30">
        <f>IFERROR(__xludf.DUMMYFUNCTION("""COMPUTED_VALUE"""),349.63022350716477)</f>
        <v>349.6302235</v>
      </c>
      <c r="U378" s="30">
        <f>IFERROR(__xludf.DUMMYFUNCTION("""COMPUTED_VALUE"""),0.7877119659796883)</f>
        <v>0.787711966</v>
      </c>
      <c r="V378" s="30">
        <f>IFERROR(__xludf.DUMMYFUNCTION("""COMPUTED_VALUE"""),0.5569325664912655)</f>
        <v>0.5569325665</v>
      </c>
      <c r="W378" s="30">
        <f>IFERROR(__xludf.DUMMYFUNCTION("""COMPUTED_VALUE"""),1.3683569141782994)</f>
        <v>1.368356914</v>
      </c>
      <c r="X378" s="30">
        <f>IFERROR(__xludf.DUMMYFUNCTION("""COMPUTED_VALUE"""),2.554953049743799)</f>
        <v>2.55495305</v>
      </c>
      <c r="Y378" s="30">
        <f>IFERROR(__xludf.DUMMYFUNCTION("""COMPUTED_VALUE"""),359.8458126729262)</f>
        <v>359.8458127</v>
      </c>
      <c r="Z378" s="30">
        <f>IFERROR(__xludf.DUMMYFUNCTION("""COMPUTED_VALUE"""),0.835970475388864)</f>
        <v>0.8359704754</v>
      </c>
      <c r="AA378" s="30">
        <f>IFERROR(__xludf.DUMMYFUNCTION("""COMPUTED_VALUE"""),0.5957239365582016)</f>
        <v>0.5957239366</v>
      </c>
      <c r="AB378" s="30">
        <f>IFERROR(__xludf.DUMMYFUNCTION("""COMPUTED_VALUE"""),1.3524418743216786)</f>
        <v>1.352441874</v>
      </c>
      <c r="AC378" s="30">
        <f>IFERROR(__xludf.DUMMYFUNCTION("""COMPUTED_VALUE"""),2.6886482620930883)</f>
        <v>2.688648262</v>
      </c>
      <c r="AD378" s="30">
        <f>IFERROR(__xludf.DUMMYFUNCTION("""COMPUTED_VALUE"""),0.9580268085465162)</f>
        <v>0.9580268085</v>
      </c>
      <c r="AE378" s="30">
        <f>IFERROR(__xludf.DUMMYFUNCTION("""COMPUTED_VALUE"""),0.9261015444677866)</f>
        <v>0.9261015445</v>
      </c>
      <c r="AF378" s="30">
        <f>IFERROR(__xludf.DUMMYFUNCTION("""COMPUTED_VALUE"""),0.7039415624836269)</f>
        <v>0.7039415625</v>
      </c>
      <c r="AG378" s="30">
        <f>IFERROR(__xludf.DUMMYFUNCTION("""COMPUTED_VALUE"""),1.001772227998296)</f>
        <v>1.001772228</v>
      </c>
      <c r="AH378" s="30">
        <f>IFERROR(__xludf.DUMMYFUNCTION("""COMPUTED_VALUE"""),1.0558129590404084)</f>
        <v>1.055812959</v>
      </c>
      <c r="AI378" s="30">
        <f>IFERROR(__xludf.DUMMYFUNCTION("""COMPUTED_VALUE"""),1.0828337265920152)</f>
        <v>1.082833727</v>
      </c>
      <c r="AJ378" s="30">
        <f>IFERROR(__xludf.DUMMYFUNCTION("""COMPUTED_VALUE"""),1.1056931715544642)</f>
        <v>1.105693172</v>
      </c>
      <c r="AK378" s="30">
        <f>IFERROR(__xludf.DUMMYFUNCTION("""COMPUTED_VALUE"""),1.1004980902226766)</f>
        <v>1.10049809</v>
      </c>
      <c r="AL378" s="30">
        <f>IFERROR(__xludf.DUMMYFUNCTION("""COMPUTED_VALUE"""),1.1158504806817904)</f>
        <v>1.115850481</v>
      </c>
      <c r="AM378" s="30">
        <f>IFERROR(__xludf.DUMMYFUNCTION("""COMPUTED_VALUE"""),1.0437243325994072)</f>
        <v>1.043724333</v>
      </c>
      <c r="AN378" s="30">
        <f>IFERROR(__xludf.DUMMYFUNCTION("""COMPUTED_VALUE"""),0.9972202872323378)</f>
        <v>0.9972202872</v>
      </c>
      <c r="AO378" s="30">
        <f>IFERROR(__xludf.DUMMYFUNCTION("""COMPUTED_VALUE"""),1.0246578900739292)</f>
        <v>1.02465789</v>
      </c>
      <c r="AP378" s="30">
        <f>IFERROR(__xludf.DUMMYFUNCTION("""COMPUTED_VALUE"""),0.7544285723167294)</f>
        <v>0.7544285723</v>
      </c>
      <c r="AQ378" s="30">
        <f>IFERROR(__xludf.DUMMYFUNCTION("""COMPUTED_VALUE"""),1.001380607437105)</f>
        <v>1.001380607</v>
      </c>
      <c r="AR378" s="30">
        <f>IFERROR(__xludf.DUMMYFUNCTION("""COMPUTED_VALUE"""),1.1134321500943622)</f>
        <v>1.11343215</v>
      </c>
      <c r="AS378" s="30">
        <f>IFERROR(__xludf.DUMMYFUNCTION("""COMPUTED_VALUE"""),80.0)</f>
        <v>80</v>
      </c>
      <c r="AT378" s="30">
        <f>IFERROR(__xludf.DUMMYFUNCTION("""COMPUTED_VALUE"""),0.4950171988517739)</f>
        <v>0.4950171989</v>
      </c>
      <c r="AU378" s="30">
        <f>IFERROR(__xludf.DUMMYFUNCTION("""COMPUTED_VALUE"""),1.6236610922036405)</f>
        <v>1.623661092</v>
      </c>
      <c r="AV378" s="32">
        <f>IFERROR(__xludf.DUMMYFUNCTION("""COMPUTED_VALUE"""),43.263278206765335)</f>
        <v>43.26327821</v>
      </c>
      <c r="AW378" s="32">
        <f>IFERROR(__xludf.DUMMYFUNCTION("""COMPUTED_VALUE"""),-2.539460378618947)</f>
        <v>-2.539460379</v>
      </c>
      <c r="AX378" s="32">
        <f>IFERROR(__xludf.DUMMYFUNCTION("""COMPUTED_VALUE"""),36.130132518878234)</f>
        <v>36.13013252</v>
      </c>
      <c r="AY378" s="32">
        <f>IFERROR(__xludf.DUMMYFUNCTION("""COMPUTED_VALUE"""),-3.4540220848742655)</f>
        <v>-3.454022085</v>
      </c>
      <c r="AZ378" s="30">
        <f>IFERROR(__xludf.DUMMYFUNCTION("""COMPUTED_VALUE"""),0.9145617062553186)</f>
        <v>0.9145617063</v>
      </c>
      <c r="BA378" s="30">
        <f>IFERROR(__xludf.DUMMYFUNCTION("""COMPUTED_VALUE"""),1200.0)</f>
        <v>1200</v>
      </c>
    </row>
    <row r="379">
      <c r="A379" s="71" t="str">
        <f>IFERROR(__xludf.DUMMYFUNCTION("""COMPUTED_VALUE"""),"Veteran")</f>
        <v>Veteran</v>
      </c>
      <c r="B379" s="71" t="str">
        <f>IFERROR(__xludf.DUMMYFUNCTION("""COMPUTED_VALUE"""),"RSC007341")</f>
        <v>RSC007341</v>
      </c>
      <c r="C379" s="30" t="str">
        <f>IFERROR(__xludf.DUMMYFUNCTION("""COMPUTED_VALUE"""),"Squashy")</f>
        <v>Squashy</v>
      </c>
      <c r="D379" s="30" t="str">
        <f>IFERROR(__xludf.DUMMYFUNCTION("""COMPUTED_VALUE"""),"Rockin Revenants")</f>
        <v>Rockin Revenants</v>
      </c>
      <c r="E379" s="30">
        <f>IFERROR(__xludf.DUMMYFUNCTION("""COMPUTED_VALUE"""),44.0)</f>
        <v>44</v>
      </c>
      <c r="F379" s="30">
        <f>IFERROR(__xludf.DUMMYFUNCTION("""COMPUTED_VALUE"""),22.0)</f>
        <v>22</v>
      </c>
      <c r="G379" s="42">
        <f>IFERROR(__xludf.DUMMYFUNCTION("""COMPUTED_VALUE"""),22.0)</f>
        <v>22</v>
      </c>
      <c r="H379" s="42">
        <f>IFERROR(__xludf.DUMMYFUNCTION("""COMPUTED_VALUE"""),0.5)</f>
        <v>0.5</v>
      </c>
      <c r="I379" s="42">
        <f>IFERROR(__xludf.DUMMYFUNCTION("""COMPUTED_VALUE"""),0.25925925925925924)</f>
        <v>0.2592592593</v>
      </c>
      <c r="J379" s="30">
        <f>IFERROR(__xludf.DUMMYFUNCTION("""COMPUTED_VALUE"""),383.47727272727275)</f>
        <v>383.4772727</v>
      </c>
      <c r="K379" s="30">
        <f>IFERROR(__xludf.DUMMYFUNCTION("""COMPUTED_VALUE"""),0.7954545454545454)</f>
        <v>0.7954545455</v>
      </c>
      <c r="L379" s="30">
        <f>IFERROR(__xludf.DUMMYFUNCTION("""COMPUTED_VALUE"""),0.7954545454545454)</f>
        <v>0.7954545455</v>
      </c>
      <c r="M379" s="30">
        <f>IFERROR(__xludf.DUMMYFUNCTION("""COMPUTED_VALUE"""),1.4545454545454546)</f>
        <v>1.454545455</v>
      </c>
      <c r="N379" s="30">
        <f>IFERROR(__xludf.DUMMYFUNCTION("""COMPUTED_VALUE"""),3.0681818181818183)</f>
        <v>3.068181818</v>
      </c>
      <c r="O379" s="30">
        <f>IFERROR(__xludf.DUMMYFUNCTION("""COMPUTED_VALUE"""),358.3636363636363)</f>
        <v>358.3636364</v>
      </c>
      <c r="P379" s="30">
        <f>IFERROR(__xludf.DUMMYFUNCTION("""COMPUTED_VALUE"""),0.7727272727272729)</f>
        <v>0.7727272727</v>
      </c>
      <c r="Q379" s="30">
        <f>IFERROR(__xludf.DUMMYFUNCTION("""COMPUTED_VALUE"""),0.6136363636363635)</f>
        <v>0.6136363636</v>
      </c>
      <c r="R379" s="30">
        <f>IFERROR(__xludf.DUMMYFUNCTION("""COMPUTED_VALUE"""),1.3484848484848486)</f>
        <v>1.348484848</v>
      </c>
      <c r="S379" s="30">
        <f>IFERROR(__xludf.DUMMYFUNCTION("""COMPUTED_VALUE"""),2.583333333333333)</f>
        <v>2.583333333</v>
      </c>
      <c r="T379" s="30">
        <f>IFERROR(__xludf.DUMMYFUNCTION("""COMPUTED_VALUE"""),358.01219196758643)</f>
        <v>358.012192</v>
      </c>
      <c r="U379" s="30">
        <f>IFERROR(__xludf.DUMMYFUNCTION("""COMPUTED_VALUE"""),0.8259135737593938)</f>
        <v>0.8259135738</v>
      </c>
      <c r="V379" s="30">
        <f>IFERROR(__xludf.DUMMYFUNCTION("""COMPUTED_VALUE"""),0.5832389343467338)</f>
        <v>0.5832389343</v>
      </c>
      <c r="W379" s="30">
        <f>IFERROR(__xludf.DUMMYFUNCTION("""COMPUTED_VALUE"""),1.3551661398130332)</f>
        <v>1.35516614</v>
      </c>
      <c r="X379" s="30">
        <f>IFERROR(__xludf.DUMMYFUNCTION("""COMPUTED_VALUE"""),2.686911203080196)</f>
        <v>2.686911203</v>
      </c>
      <c r="Y379" s="30">
        <f>IFERROR(__xludf.DUMMYFUNCTION("""COMPUTED_VALUE"""),365.99757104469836)</f>
        <v>365.997571</v>
      </c>
      <c r="Z379" s="30">
        <f>IFERROR(__xludf.DUMMYFUNCTION("""COMPUTED_VALUE"""),0.8395633076259462)</f>
        <v>0.8395633076</v>
      </c>
      <c r="AA379" s="30">
        <f>IFERROR(__xludf.DUMMYFUNCTION("""COMPUTED_VALUE"""),0.6230782903151363)</f>
        <v>0.6230782903</v>
      </c>
      <c r="AB379" s="30">
        <f>IFERROR(__xludf.DUMMYFUNCTION("""COMPUTED_VALUE"""),1.385391026869761)</f>
        <v>1.385391027</v>
      </c>
      <c r="AC379" s="30">
        <f>IFERROR(__xludf.DUMMYFUNCTION("""COMPUTED_VALUE"""),2.702475786746112)</f>
        <v>2.702475787</v>
      </c>
      <c r="AD379" s="30">
        <f>IFERROR(__xludf.DUMMYFUNCTION("""COMPUTED_VALUE"""),1.047759064719147)</f>
        <v>1.047759065</v>
      </c>
      <c r="AE379" s="30">
        <f>IFERROR(__xludf.DUMMYFUNCTION("""COMPUTED_VALUE"""),0.9474622559481212)</f>
        <v>0.9474622559</v>
      </c>
      <c r="AF379" s="30">
        <f>IFERROR(__xludf.DUMMYFUNCTION("""COMPUTED_VALUE"""),1.2766526419211714)</f>
        <v>1.276652642</v>
      </c>
      <c r="AG379" s="30">
        <f>IFERROR(__xludf.DUMMYFUNCTION("""COMPUTED_VALUE"""),1.049916901679337)</f>
        <v>1.049916902</v>
      </c>
      <c r="AH379" s="30">
        <f>IFERROR(__xludf.DUMMYFUNCTION("""COMPUTED_VALUE"""),1.135322593167812)</f>
        <v>1.135322593</v>
      </c>
      <c r="AI379" s="30">
        <f>IFERROR(__xludf.DUMMYFUNCTION("""COMPUTED_VALUE"""),1.0009816548261063)</f>
        <v>1.000981655</v>
      </c>
      <c r="AJ379" s="30">
        <f>IFERROR(__xludf.DUMMYFUNCTION("""COMPUTED_VALUE"""),0.9356030670497066)</f>
        <v>0.935603067</v>
      </c>
      <c r="AK379" s="30">
        <f>IFERROR(__xludf.DUMMYFUNCTION("""COMPUTED_VALUE"""),1.0521183129238052)</f>
        <v>1.052118313</v>
      </c>
      <c r="AL379" s="30">
        <f>IFERROR(__xludf.DUMMYFUNCTION("""COMPUTED_VALUE"""),0.9950697621997061)</f>
        <v>0.9950697622</v>
      </c>
      <c r="AM379" s="30">
        <f>IFERROR(__xludf.DUMMYFUNCTION("""COMPUTED_VALUE"""),0.9614509516994367)</f>
        <v>0.9614509517</v>
      </c>
      <c r="AN379" s="30">
        <f>IFERROR(__xludf.DUMMYFUNCTION("""COMPUTED_VALUE"""),1.1092683445065123)</f>
        <v>1.109268345</v>
      </c>
      <c r="AO379" s="30">
        <f>IFERROR(__xludf.DUMMYFUNCTION("""COMPUTED_VALUE"""),1.0527971692520959)</f>
        <v>1.052797169</v>
      </c>
      <c r="AP379" s="30">
        <f>IFERROR(__xludf.DUMMYFUNCTION("""COMPUTED_VALUE"""),1.4310402114749148)</f>
        <v>1.431040211</v>
      </c>
      <c r="AQ379" s="30">
        <f>IFERROR(__xludf.DUMMYFUNCTION("""COMPUTED_VALUE"""),1.0750752841749007)</f>
        <v>1.075075284</v>
      </c>
      <c r="AR379" s="30">
        <f>IFERROR(__xludf.DUMMYFUNCTION("""COMPUTED_VALUE"""),1.203438416359738)</f>
        <v>1.203438416</v>
      </c>
      <c r="AS379" s="30">
        <f>IFERROR(__xludf.DUMMYFUNCTION("""COMPUTED_VALUE"""),108.0)</f>
        <v>108</v>
      </c>
      <c r="AT379" s="30">
        <f>IFERROR(__xludf.DUMMYFUNCTION("""COMPUTED_VALUE"""),0.5223633235488025)</f>
        <v>0.5223633235</v>
      </c>
      <c r="AU379" s="30">
        <f>IFERROR(__xludf.DUMMYFUNCTION("""COMPUTED_VALUE"""),2.348079427638095)</f>
        <v>2.348079428</v>
      </c>
      <c r="AV379" s="32">
        <f>IFERROR(__xludf.DUMMYFUNCTION("""COMPUTED_VALUE"""),69.16275044126164)</f>
        <v>69.16275044</v>
      </c>
      <c r="AW379" s="32">
        <f>IFERROR(__xludf.DUMMYFUNCTION("""COMPUTED_VALUE"""),4.510875674189243)</f>
        <v>4.510875674</v>
      </c>
      <c r="AX379" s="32">
        <f>IFERROR(__xludf.DUMMYFUNCTION("""COMPUTED_VALUE"""),64.95323613705617)</f>
        <v>64.95323614</v>
      </c>
      <c r="AY379" s="32">
        <f>IFERROR(__xludf.DUMMYFUNCTION("""COMPUTED_VALUE"""),3.6379936945134386)</f>
        <v>3.637993695</v>
      </c>
      <c r="AZ379" s="30">
        <f>IFERROR(__xludf.DUMMYFUNCTION("""COMPUTED_VALUE"""),0.872881979675804)</f>
        <v>0.8728819797</v>
      </c>
      <c r="BA379" s="30">
        <f>IFERROR(__xludf.DUMMYFUNCTION("""COMPUTED_VALUE"""),1200.0)</f>
        <v>1200</v>
      </c>
    </row>
    <row r="380">
      <c r="A380" s="71" t="str">
        <f>IFERROR(__xludf.DUMMYFUNCTION("""COMPUTED_VALUE"""),"Veteran")</f>
        <v>Veteran</v>
      </c>
      <c r="B380" s="71" t="str">
        <f>IFERROR(__xludf.DUMMYFUNCTION("""COMPUTED_VALUE"""),"RSC002730")</f>
        <v>RSC002730</v>
      </c>
      <c r="C380" s="30" t="str">
        <f>IFERROR(__xludf.DUMMYFUNCTION("""COMPUTED_VALUE"""),"AquaP")</f>
        <v>AquaP</v>
      </c>
      <c r="D380" s="30" t="str">
        <f>IFERROR(__xludf.DUMMYFUNCTION("""COMPUTED_VALUE"""),"Merciless Mob")</f>
        <v>Merciless Mob</v>
      </c>
      <c r="E380" s="30">
        <f>IFERROR(__xludf.DUMMYFUNCTION("""COMPUTED_VALUE"""),20.0)</f>
        <v>20</v>
      </c>
      <c r="F380" s="30">
        <f>IFERROR(__xludf.DUMMYFUNCTION("""COMPUTED_VALUE"""),9.0)</f>
        <v>9</v>
      </c>
      <c r="G380" s="42">
        <f>IFERROR(__xludf.DUMMYFUNCTION("""COMPUTED_VALUE"""),11.0)</f>
        <v>11</v>
      </c>
      <c r="H380" s="42">
        <f>IFERROR(__xludf.DUMMYFUNCTION("""COMPUTED_VALUE"""),0.45)</f>
        <v>0.45</v>
      </c>
      <c r="I380" s="42">
        <f>IFERROR(__xludf.DUMMYFUNCTION("""COMPUTED_VALUE"""),0.3863636363636363)</f>
        <v>0.3863636364</v>
      </c>
      <c r="J380" s="30">
        <f>IFERROR(__xludf.DUMMYFUNCTION("""COMPUTED_VALUE"""),321.8)</f>
        <v>321.8</v>
      </c>
      <c r="K380" s="30">
        <f>IFERROR(__xludf.DUMMYFUNCTION("""COMPUTED_VALUE"""),0.85)</f>
        <v>0.85</v>
      </c>
      <c r="L380" s="30">
        <f>IFERROR(__xludf.DUMMYFUNCTION("""COMPUTED_VALUE"""),0.55)</f>
        <v>0.55</v>
      </c>
      <c r="M380" s="30">
        <f>IFERROR(__xludf.DUMMYFUNCTION("""COMPUTED_VALUE"""),0.9)</f>
        <v>0.9</v>
      </c>
      <c r="N380" s="30">
        <f>IFERROR(__xludf.DUMMYFUNCTION("""COMPUTED_VALUE"""),2.2)</f>
        <v>2.2</v>
      </c>
      <c r="O380" s="30">
        <f>IFERROR(__xludf.DUMMYFUNCTION("""COMPUTED_VALUE"""),350.43333333333334)</f>
        <v>350.4333333</v>
      </c>
      <c r="P380" s="30">
        <f>IFERROR(__xludf.DUMMYFUNCTION("""COMPUTED_VALUE"""),0.8333333333333334)</f>
        <v>0.8333333333</v>
      </c>
      <c r="Q380" s="30">
        <f>IFERROR(__xludf.DUMMYFUNCTION("""COMPUTED_VALUE"""),0.6166666666666667)</f>
        <v>0.6166666667</v>
      </c>
      <c r="R380" s="30">
        <f>IFERROR(__xludf.DUMMYFUNCTION("""COMPUTED_VALUE"""),1.0999999999999999)</f>
        <v>1.1</v>
      </c>
      <c r="S380" s="30">
        <f>IFERROR(__xludf.DUMMYFUNCTION("""COMPUTED_VALUE"""),2.8166666666666664)</f>
        <v>2.816666667</v>
      </c>
      <c r="T380" s="30">
        <f>IFERROR(__xludf.DUMMYFUNCTION("""COMPUTED_VALUE"""),346.91490744446025)</f>
        <v>346.9149074</v>
      </c>
      <c r="U380" s="30">
        <f>IFERROR(__xludf.DUMMYFUNCTION("""COMPUTED_VALUE"""),0.7573828621904831)</f>
        <v>0.7573828622</v>
      </c>
      <c r="V380" s="30">
        <f>IFERROR(__xludf.DUMMYFUNCTION("""COMPUTED_VALUE"""),0.5726358908890036)</f>
        <v>0.5726358909</v>
      </c>
      <c r="W380" s="30">
        <f>IFERROR(__xludf.DUMMYFUNCTION("""COMPUTED_VALUE"""),1.3207073075752416)</f>
        <v>1.320707308</v>
      </c>
      <c r="X380" s="30">
        <f>IFERROR(__xludf.DUMMYFUNCTION("""COMPUTED_VALUE"""),2.4949539466789483)</f>
        <v>2.494953947</v>
      </c>
      <c r="Y380" s="30">
        <f>IFERROR(__xludf.DUMMYFUNCTION("""COMPUTED_VALUE"""),343.9613895890864)</f>
        <v>343.9613896</v>
      </c>
      <c r="Z380" s="30">
        <f>IFERROR(__xludf.DUMMYFUNCTION("""COMPUTED_VALUE"""),0.7680522043361336)</f>
        <v>0.7680522043</v>
      </c>
      <c r="AA380" s="30">
        <f>IFERROR(__xludf.DUMMYFUNCTION("""COMPUTED_VALUE"""),0.5591251390750797)</f>
        <v>0.5591251391</v>
      </c>
      <c r="AB380" s="30">
        <f>IFERROR(__xludf.DUMMYFUNCTION("""COMPUTED_VALUE"""),1.283404135542036)</f>
        <v>1.283404136</v>
      </c>
      <c r="AC380" s="30">
        <f>IFERROR(__xludf.DUMMYFUNCTION("""COMPUTED_VALUE"""),2.6334628834125455)</f>
        <v>2.633462883</v>
      </c>
      <c r="AD380" s="30">
        <f>IFERROR(__xludf.DUMMYFUNCTION("""COMPUTED_VALUE"""),0.9355701242643498)</f>
        <v>0.9355701243</v>
      </c>
      <c r="AE380" s="30">
        <f>IFERROR(__xludf.DUMMYFUNCTION("""COMPUTED_VALUE"""),1.1066956063679265)</f>
        <v>1.106695606</v>
      </c>
      <c r="AF380" s="30">
        <f>IFERROR(__xludf.DUMMYFUNCTION("""COMPUTED_VALUE"""),0.9836796122417699)</f>
        <v>0.9836796122</v>
      </c>
      <c r="AG380" s="30">
        <f>IFERROR(__xludf.DUMMYFUNCTION("""COMPUTED_VALUE"""),0.7012600123965564)</f>
        <v>0.7012600124</v>
      </c>
      <c r="AH380" s="30">
        <f>IFERROR(__xludf.DUMMYFUNCTION("""COMPUTED_VALUE"""),0.8354019393465508)</f>
        <v>0.8354019393</v>
      </c>
      <c r="AI380" s="30">
        <f>IFERROR(__xludf.DUMMYFUNCTION("""COMPUTED_VALUE"""),1.010142042943013)</f>
        <v>1.010142043</v>
      </c>
      <c r="AJ380" s="30">
        <f>IFERROR(__xludf.DUMMYFUNCTION("""COMPUTED_VALUE"""),1.1002801554331296)</f>
        <v>1.100280155</v>
      </c>
      <c r="AK380" s="30">
        <f>IFERROR(__xludf.DUMMYFUNCTION("""COMPUTED_VALUE"""),1.0768914007630686)</f>
        <v>1.076891401</v>
      </c>
      <c r="AL380" s="30">
        <f>IFERROR(__xludf.DUMMYFUNCTION("""COMPUTED_VALUE"""),0.8328870399146574)</f>
        <v>0.8328870399</v>
      </c>
      <c r="AM380" s="30">
        <f>IFERROR(__xludf.DUMMYFUNCTION("""COMPUTED_VALUE"""),1.1289453540478982)</f>
        <v>1.128945354</v>
      </c>
      <c r="AN380" s="30">
        <f>IFERROR(__xludf.DUMMYFUNCTION("""COMPUTED_VALUE"""),0.9308571293508333)</f>
        <v>0.9308571294</v>
      </c>
      <c r="AO380" s="30">
        <f>IFERROR(__xludf.DUMMYFUNCTION("""COMPUTED_VALUE"""),1.1249889751436681)</f>
        <v>1.124988975</v>
      </c>
      <c r="AP380" s="30">
        <f>IFERROR(__xludf.DUMMYFUNCTION("""COMPUTED_VALUE"""),0.9894620890769413)</f>
        <v>0.9894620891</v>
      </c>
      <c r="AQ380" s="30">
        <f>IFERROR(__xludf.DUMMYFUNCTION("""COMPUTED_VALUE"""),0.6652028320832198)</f>
        <v>0.6652028321</v>
      </c>
      <c r="AR380" s="30">
        <f>IFERROR(__xludf.DUMMYFUNCTION("""COMPUTED_VALUE"""),0.8629099163231306)</f>
        <v>0.8629099163</v>
      </c>
      <c r="AS380" s="30">
        <f>IFERROR(__xludf.DUMMYFUNCTION("""COMPUTED_VALUE"""),41.0)</f>
        <v>41</v>
      </c>
      <c r="AT380" s="30">
        <f>IFERROR(__xludf.DUMMYFUNCTION("""COMPUTED_VALUE"""),0.4239568763373168)</f>
        <v>0.4239568763</v>
      </c>
      <c r="AU380" s="30">
        <f>IFERROR(__xludf.DUMMYFUNCTION("""COMPUTED_VALUE"""),1.7441428000941965)</f>
        <v>1.7441428</v>
      </c>
      <c r="AV380" s="32">
        <f>IFERROR(__xludf.DUMMYFUNCTION("""COMPUTED_VALUE"""),47.57075152106894)</f>
        <v>47.57075152</v>
      </c>
      <c r="AW380" s="32">
        <f>IFERROR(__xludf.DUMMYFUNCTION("""COMPUTED_VALUE"""),-2.167806802677745)</f>
        <v>-2.167806803</v>
      </c>
      <c r="AX380" s="32">
        <f>IFERROR(__xludf.DUMMYFUNCTION("""COMPUTED_VALUE"""),39.01721759621163)</f>
        <v>39.0172176</v>
      </c>
      <c r="AY380" s="32">
        <f>IFERROR(__xludf.DUMMYFUNCTION("""COMPUTED_VALUE"""),-3.0283025600585365)</f>
        <v>-3.02830256</v>
      </c>
      <c r="AZ380" s="30">
        <f>IFERROR(__xludf.DUMMYFUNCTION("""COMPUTED_VALUE"""),0.8604957573807916)</f>
        <v>0.8604957574</v>
      </c>
      <c r="BA380" s="30">
        <f>IFERROR(__xludf.DUMMYFUNCTION("""COMPUTED_VALUE"""),1200.0)</f>
        <v>1200</v>
      </c>
    </row>
    <row r="381">
      <c r="A381" s="71" t="str">
        <f>IFERROR(__xludf.DUMMYFUNCTION("""COMPUTED_VALUE"""),"Veteran")</f>
        <v>Veteran</v>
      </c>
      <c r="B381" s="71" t="str">
        <f>IFERROR(__xludf.DUMMYFUNCTION("""COMPUTED_VALUE"""),"RSC005212")</f>
        <v>RSC005212</v>
      </c>
      <c r="C381" s="30" t="str">
        <f>IFERROR(__xludf.DUMMYFUNCTION("""COMPUTED_VALUE"""),"crackdragon")</f>
        <v>crackdragon</v>
      </c>
      <c r="D381" s="30" t="str">
        <f>IFERROR(__xludf.DUMMYFUNCTION("""COMPUTED_VALUE"""),"Grizzly Bears")</f>
        <v>Grizzly Bears</v>
      </c>
      <c r="E381" s="30">
        <f>IFERROR(__xludf.DUMMYFUNCTION("""COMPUTED_VALUE"""),32.0)</f>
        <v>32</v>
      </c>
      <c r="F381" s="30">
        <f>IFERROR(__xludf.DUMMYFUNCTION("""COMPUTED_VALUE"""),19.0)</f>
        <v>19</v>
      </c>
      <c r="G381" s="42">
        <f>IFERROR(__xludf.DUMMYFUNCTION("""COMPUTED_VALUE"""),13.0)</f>
        <v>13</v>
      </c>
      <c r="H381" s="42">
        <f>IFERROR(__xludf.DUMMYFUNCTION("""COMPUTED_VALUE"""),0.59375)</f>
        <v>0.59375</v>
      </c>
      <c r="I381" s="42">
        <f>IFERROR(__xludf.DUMMYFUNCTION("""COMPUTED_VALUE"""),0.2815533980582524)</f>
        <v>0.2815533981</v>
      </c>
      <c r="J381" s="30">
        <f>IFERROR(__xludf.DUMMYFUNCTION("""COMPUTED_VALUE"""),381.6875)</f>
        <v>381.6875</v>
      </c>
      <c r="K381" s="30">
        <f>IFERROR(__xludf.DUMMYFUNCTION("""COMPUTED_VALUE"""),0.90625)</f>
        <v>0.90625</v>
      </c>
      <c r="L381" s="30">
        <f>IFERROR(__xludf.DUMMYFUNCTION("""COMPUTED_VALUE"""),0.5625)</f>
        <v>0.5625</v>
      </c>
      <c r="M381" s="30">
        <f>IFERROR(__xludf.DUMMYFUNCTION("""COMPUTED_VALUE"""),1.34375)</f>
        <v>1.34375</v>
      </c>
      <c r="N381" s="30">
        <f>IFERROR(__xludf.DUMMYFUNCTION("""COMPUTED_VALUE"""),3.21875)</f>
        <v>3.21875</v>
      </c>
      <c r="O381" s="30">
        <f>IFERROR(__xludf.DUMMYFUNCTION("""COMPUTED_VALUE"""),360.52083333333337)</f>
        <v>360.5208333</v>
      </c>
      <c r="P381" s="30">
        <f>IFERROR(__xludf.DUMMYFUNCTION("""COMPUTED_VALUE"""),0.7916666666666667)</f>
        <v>0.7916666667</v>
      </c>
      <c r="Q381" s="30">
        <f>IFERROR(__xludf.DUMMYFUNCTION("""COMPUTED_VALUE"""),0.5625000000000001)</f>
        <v>0.5625</v>
      </c>
      <c r="R381" s="30">
        <f>IFERROR(__xludf.DUMMYFUNCTION("""COMPUTED_VALUE"""),1.4895833333333335)</f>
        <v>1.489583333</v>
      </c>
      <c r="S381" s="30">
        <f>IFERROR(__xludf.DUMMYFUNCTION("""COMPUTED_VALUE"""),2.53125)</f>
        <v>2.53125</v>
      </c>
      <c r="T381" s="30">
        <f>IFERROR(__xludf.DUMMYFUNCTION("""COMPUTED_VALUE"""),355.3498826432525)</f>
        <v>355.3498826</v>
      </c>
      <c r="U381" s="30">
        <f>IFERROR(__xludf.DUMMYFUNCTION("""COMPUTED_VALUE"""),0.7574031599626805)</f>
        <v>0.75740316</v>
      </c>
      <c r="V381" s="30">
        <f>IFERROR(__xludf.DUMMYFUNCTION("""COMPUTED_VALUE"""),0.572352361274972)</f>
        <v>0.5723523613</v>
      </c>
      <c r="W381" s="30">
        <f>IFERROR(__xludf.DUMMYFUNCTION("""COMPUTED_VALUE"""),1.4890570407254105)</f>
        <v>1.489057041</v>
      </c>
      <c r="X381" s="30">
        <f>IFERROR(__xludf.DUMMYFUNCTION("""COMPUTED_VALUE"""),2.5189556330866254)</f>
        <v>2.518955633</v>
      </c>
      <c r="Y381" s="30">
        <f>IFERROR(__xludf.DUMMYFUNCTION("""COMPUTED_VALUE"""),356.1366532152917)</f>
        <v>356.1366532</v>
      </c>
      <c r="Z381" s="30">
        <f>IFERROR(__xludf.DUMMYFUNCTION("""COMPUTED_VALUE"""),0.8289484580989859)</f>
        <v>0.8289484581</v>
      </c>
      <c r="AA381" s="30">
        <f>IFERROR(__xludf.DUMMYFUNCTION("""COMPUTED_VALUE"""),0.5881189044390529)</f>
        <v>0.5881189044</v>
      </c>
      <c r="AB381" s="30">
        <f>IFERROR(__xludf.DUMMYFUNCTION("""COMPUTED_VALUE"""),1.3239262495113122)</f>
        <v>1.32392625</v>
      </c>
      <c r="AC381" s="30">
        <f>IFERROR(__xludf.DUMMYFUNCTION("""COMPUTED_VALUE"""),2.7769445840272313)</f>
        <v>2.776944584</v>
      </c>
      <c r="AD381" s="30">
        <f>IFERROR(__xludf.DUMMYFUNCTION("""COMPUTED_VALUE"""),1.071744501875976)</f>
        <v>1.071744502</v>
      </c>
      <c r="AE381" s="30">
        <f>IFERROR(__xludf.DUMMYFUNCTION("""COMPUTED_VALUE"""),1.0932525311384118)</f>
        <v>1.093252531</v>
      </c>
      <c r="AF381" s="30">
        <f>IFERROR(__xludf.DUMMYFUNCTION("""COMPUTED_VALUE"""),0.9564392434154312)</f>
        <v>0.9564392434</v>
      </c>
      <c r="AG381" s="30">
        <f>IFERROR(__xludf.DUMMYFUNCTION("""COMPUTED_VALUE"""),1.0149734552781964)</f>
        <v>1.014973455</v>
      </c>
      <c r="AH381" s="30">
        <f>IFERROR(__xludf.DUMMYFUNCTION("""COMPUTED_VALUE"""),1.1590976710568872)</f>
        <v>1.159097671</v>
      </c>
      <c r="AI381" s="30">
        <f>IFERROR(__xludf.DUMMYFUNCTION("""COMPUTED_VALUE"""),1.0145517163298803)</f>
        <v>1.014551716</v>
      </c>
      <c r="AJ381" s="30">
        <f>IFERROR(__xludf.DUMMYFUNCTION("""COMPUTED_VALUE"""),1.0452381354015932)</f>
        <v>1.045238135</v>
      </c>
      <c r="AK381" s="30">
        <f>IFERROR(__xludf.DUMMYFUNCTION("""COMPUTED_VALUE"""),0.9827861961589103)</f>
        <v>0.9827861962</v>
      </c>
      <c r="AL381" s="30">
        <f>IFERROR(__xludf.DUMMYFUNCTION("""COMPUTED_VALUE"""),1.000353440193041)</f>
        <v>1.00035344</v>
      </c>
      <c r="AM381" s="30">
        <f>IFERROR(__xludf.DUMMYFUNCTION("""COMPUTED_VALUE"""),1.0048807397605133)</f>
        <v>1.00488074</v>
      </c>
      <c r="AN381" s="30">
        <f>IFERROR(__xludf.DUMMYFUNCTION("""COMPUTED_VALUE"""),1.1040911453048359)</f>
        <v>1.104091145</v>
      </c>
      <c r="AO381" s="30">
        <f>IFERROR(__xludf.DUMMYFUNCTION("""COMPUTED_VALUE"""),1.199436774969352)</f>
        <v>1.199436775</v>
      </c>
      <c r="AP381" s="30">
        <f>IFERROR(__xludf.DUMMYFUNCTION("""COMPUTED_VALUE"""),1.01194986382869)</f>
        <v>1.011949864</v>
      </c>
      <c r="AQ381" s="30">
        <f>IFERROR(__xludf.DUMMYFUNCTION("""COMPUTED_VALUE"""),0.9931847840131407)</f>
        <v>0.993184784</v>
      </c>
      <c r="AR381" s="30">
        <f>IFERROR(__xludf.DUMMYFUNCTION("""COMPUTED_VALUE"""),1.262496042347762)</f>
        <v>1.262496042</v>
      </c>
      <c r="AS381" s="30">
        <f>IFERROR(__xludf.DUMMYFUNCTION("""COMPUTED_VALUE"""),87.0)</f>
        <v>87</v>
      </c>
      <c r="AT381" s="30">
        <f>IFERROR(__xludf.DUMMYFUNCTION("""COMPUTED_VALUE"""),0.5537126335259247)</f>
        <v>0.5537126335</v>
      </c>
      <c r="AU381" s="30">
        <f>IFERROR(__xludf.DUMMYFUNCTION("""COMPUTED_VALUE"""),2.24556374108076)</f>
        <v>2.245563741</v>
      </c>
      <c r="AV381" s="32">
        <f>IFERROR(__xludf.DUMMYFUNCTION("""COMPUTED_VALUE"""),65.4976000057751)</f>
        <v>65.49760001</v>
      </c>
      <c r="AW381" s="32">
        <f>IFERROR(__xludf.DUMMYFUNCTION("""COMPUTED_VALUE"""),3.7360761672648586)</f>
        <v>3.736076167</v>
      </c>
      <c r="AX381" s="32">
        <f>IFERROR(__xludf.DUMMYFUNCTION("""COMPUTED_VALUE"""),60.05943282766624)</f>
        <v>60.05943283</v>
      </c>
      <c r="AY381" s="32">
        <f>IFERROR(__xludf.DUMMYFUNCTION("""COMPUTED_VALUE"""),2.909487175616513)</f>
        <v>2.909487176</v>
      </c>
      <c r="AZ381" s="30">
        <f>IFERROR(__xludf.DUMMYFUNCTION("""COMPUTED_VALUE"""),0.8265889916483458)</f>
        <v>0.8265889916</v>
      </c>
      <c r="BA381" s="30">
        <f>IFERROR(__xludf.DUMMYFUNCTION("""COMPUTED_VALUE"""),1200.0)</f>
        <v>1200</v>
      </c>
    </row>
    <row r="382">
      <c r="A382" s="71" t="str">
        <f>IFERROR(__xludf.DUMMYFUNCTION("""COMPUTED_VALUE"""),"Veteran")</f>
        <v>Veteran</v>
      </c>
      <c r="B382" s="71" t="str">
        <f>IFERROR(__xludf.DUMMYFUNCTION("""COMPUTED_VALUE"""),"RSC006140")</f>
        <v>RSC006140</v>
      </c>
      <c r="C382" s="30" t="str">
        <f>IFERROR(__xludf.DUMMYFUNCTION("""COMPUTED_VALUE"""),"Jay_Kay99")</f>
        <v>Jay_Kay99</v>
      </c>
      <c r="D382" s="30" t="str">
        <f>IFERROR(__xludf.DUMMYFUNCTION("""COMPUTED_VALUE"""),"Blacksmiths")</f>
        <v>Blacksmiths</v>
      </c>
      <c r="E382" s="30">
        <f>IFERROR(__xludf.DUMMYFUNCTION("""COMPUTED_VALUE"""),40.0)</f>
        <v>40</v>
      </c>
      <c r="F382" s="30">
        <f>IFERROR(__xludf.DUMMYFUNCTION("""COMPUTED_VALUE"""),21.0)</f>
        <v>21</v>
      </c>
      <c r="G382" s="42">
        <f>IFERROR(__xludf.DUMMYFUNCTION("""COMPUTED_VALUE"""),19.0)</f>
        <v>19</v>
      </c>
      <c r="H382" s="42">
        <f>IFERROR(__xludf.DUMMYFUNCTION("""COMPUTED_VALUE"""),0.525)</f>
        <v>0.525</v>
      </c>
      <c r="I382" s="42">
        <f>IFERROR(__xludf.DUMMYFUNCTION("""COMPUTED_VALUE"""),0.34545454545454546)</f>
        <v>0.3454545455</v>
      </c>
      <c r="J382" s="30">
        <f>IFERROR(__xludf.DUMMYFUNCTION("""COMPUTED_VALUE"""),362.975)</f>
        <v>362.975</v>
      </c>
      <c r="K382" s="30">
        <f>IFERROR(__xludf.DUMMYFUNCTION("""COMPUTED_VALUE"""),0.95)</f>
        <v>0.95</v>
      </c>
      <c r="L382" s="30">
        <f>IFERROR(__xludf.DUMMYFUNCTION("""COMPUTED_VALUE"""),0.575)</f>
        <v>0.575</v>
      </c>
      <c r="M382" s="30">
        <f>IFERROR(__xludf.DUMMYFUNCTION("""COMPUTED_VALUE"""),1.275)</f>
        <v>1.275</v>
      </c>
      <c r="N382" s="30">
        <f>IFERROR(__xludf.DUMMYFUNCTION("""COMPUTED_VALUE"""),2.75)</f>
        <v>2.75</v>
      </c>
      <c r="O382" s="30">
        <f>IFERROR(__xludf.DUMMYFUNCTION("""COMPUTED_VALUE"""),365.67499999999995)</f>
        <v>365.675</v>
      </c>
      <c r="P382" s="30">
        <f>IFERROR(__xludf.DUMMYFUNCTION("""COMPUTED_VALUE"""),0.7833333333333334)</f>
        <v>0.7833333333</v>
      </c>
      <c r="Q382" s="30">
        <f>IFERROR(__xludf.DUMMYFUNCTION("""COMPUTED_VALUE"""),0.6500000000000001)</f>
        <v>0.65</v>
      </c>
      <c r="R382" s="30">
        <f>IFERROR(__xludf.DUMMYFUNCTION("""COMPUTED_VALUE"""),1.5166666666666666)</f>
        <v>1.516666667</v>
      </c>
      <c r="S382" s="30">
        <f>IFERROR(__xludf.DUMMYFUNCTION("""COMPUTED_VALUE"""),2.4416666666666664)</f>
        <v>2.441666667</v>
      </c>
      <c r="T382" s="30">
        <f>IFERROR(__xludf.DUMMYFUNCTION("""COMPUTED_VALUE"""),353.1745491670571)</f>
        <v>353.1745492</v>
      </c>
      <c r="U382" s="30">
        <f>IFERROR(__xludf.DUMMYFUNCTION("""COMPUTED_VALUE"""),0.7834044574806335)</f>
        <v>0.7834044575</v>
      </c>
      <c r="V382" s="30">
        <f>IFERROR(__xludf.DUMMYFUNCTION("""COMPUTED_VALUE"""),0.5906890214343449)</f>
        <v>0.5906890214</v>
      </c>
      <c r="W382" s="30">
        <f>IFERROR(__xludf.DUMMYFUNCTION("""COMPUTED_VALUE"""),1.3837620074693955)</f>
        <v>1.383762007</v>
      </c>
      <c r="X382" s="30">
        <f>IFERROR(__xludf.DUMMYFUNCTION("""COMPUTED_VALUE"""),2.5855489571479344)</f>
        <v>2.585548957</v>
      </c>
      <c r="Y382" s="30">
        <f>IFERROR(__xludf.DUMMYFUNCTION("""COMPUTED_VALUE"""),349.3694448349329)</f>
        <v>349.3694448</v>
      </c>
      <c r="Z382" s="30">
        <f>IFERROR(__xludf.DUMMYFUNCTION("""COMPUTED_VALUE"""),0.793850201179862)</f>
        <v>0.7938502012</v>
      </c>
      <c r="AA382" s="30">
        <f>IFERROR(__xludf.DUMMYFUNCTION("""COMPUTED_VALUE"""),0.5599955766459194)</f>
        <v>0.5599955766</v>
      </c>
      <c r="AB382" s="30">
        <f>IFERROR(__xludf.DUMMYFUNCTION("""COMPUTED_VALUE"""),1.3247533733278447)</f>
        <v>1.324753373</v>
      </c>
      <c r="AC382" s="30">
        <f>IFERROR(__xludf.DUMMYFUNCTION("""COMPUTED_VALUE"""),2.60737560705299)</f>
        <v>2.607375607</v>
      </c>
      <c r="AD382" s="30">
        <f>IFERROR(__xludf.DUMMYFUNCTION("""COMPUTED_VALUE"""),1.0389431742420845)</f>
        <v>1.038943174</v>
      </c>
      <c r="AE382" s="30">
        <f>IFERROR(__xludf.DUMMYFUNCTION("""COMPUTED_VALUE"""),1.1966993251221199)</f>
        <v>1.196699325</v>
      </c>
      <c r="AF382" s="30">
        <f>IFERROR(__xludf.DUMMYFUNCTION("""COMPUTED_VALUE"""),1.0267938247725978)</f>
        <v>1.026793825</v>
      </c>
      <c r="AG382" s="30">
        <f>IFERROR(__xludf.DUMMYFUNCTION("""COMPUTED_VALUE"""),0.9624432937257884)</f>
        <v>0.9624432937</v>
      </c>
      <c r="AH382" s="30">
        <f>IFERROR(__xludf.DUMMYFUNCTION("""COMPUTED_VALUE"""),1.0547003632929637)</f>
        <v>1.054700363</v>
      </c>
      <c r="AI382" s="30">
        <f>IFERROR(__xludf.DUMMYFUNCTION("""COMPUTED_VALUE"""),1.0353945403552565)</f>
        <v>1.03539454</v>
      </c>
      <c r="AJ382" s="30">
        <f>IFERROR(__xludf.DUMMYFUNCTION("""COMPUTED_VALUE"""),0.9999092114595202)</f>
        <v>0.9999092115</v>
      </c>
      <c r="AK382" s="30">
        <f>IFERROR(__xludf.DUMMYFUNCTION("""COMPUTED_VALUE"""),1.1004098204189285)</f>
        <v>1.10040982</v>
      </c>
      <c r="AL382" s="30">
        <f>IFERROR(__xludf.DUMMYFUNCTION("""COMPUTED_VALUE"""),1.096045894077064)</f>
        <v>1.096045894</v>
      </c>
      <c r="AM382" s="30">
        <f>IFERROR(__xludf.DUMMYFUNCTION("""COMPUTED_VALUE"""),0.9443513571524162)</f>
        <v>0.9443513572</v>
      </c>
      <c r="AN382" s="30">
        <f>IFERROR(__xludf.DUMMYFUNCTION("""COMPUTED_VALUE"""),1.0499622949848313)</f>
        <v>1.049962295</v>
      </c>
      <c r="AO382" s="30">
        <f>IFERROR(__xludf.DUMMYFUNCTION("""COMPUTED_VALUE"""),1.2573406192782173)</f>
        <v>1.257340619</v>
      </c>
      <c r="AP382" s="30">
        <f>IFERROR(__xludf.DUMMYFUNCTION("""COMPUTED_VALUE"""),1.0344376385804384)</f>
        <v>1.034437639</v>
      </c>
      <c r="AQ382" s="30">
        <f>IFERROR(__xludf.DUMMYFUNCTION("""COMPUTED_VALUE"""),0.9423706787845613)</f>
        <v>0.9423706788</v>
      </c>
      <c r="AR382" s="30">
        <f>IFERROR(__xludf.DUMMYFUNCTION("""COMPUTED_VALUE"""),1.0786373954039132)</f>
        <v>1.078637395</v>
      </c>
      <c r="AS382" s="30">
        <f>IFERROR(__xludf.DUMMYFUNCTION("""COMPUTED_VALUE"""),100.0)</f>
        <v>100</v>
      </c>
      <c r="AT382" s="30">
        <f>IFERROR(__xludf.DUMMYFUNCTION("""COMPUTED_VALUE"""),0.5243177368029133)</f>
        <v>0.5243177368</v>
      </c>
      <c r="AU382" s="30">
        <f>IFERROR(__xludf.DUMMYFUNCTION("""COMPUTED_VALUE"""),2.2054684065579555)</f>
        <v>2.205468407</v>
      </c>
      <c r="AV382" s="32">
        <f>IFERROR(__xludf.DUMMYFUNCTION("""COMPUTED_VALUE"""),64.06410784743068)</f>
        <v>64.06410785</v>
      </c>
      <c r="AW382" s="32">
        <f>IFERROR(__xludf.DUMMYFUNCTION("""COMPUTED_VALUE"""),3.485950585758708)</f>
        <v>3.485950586</v>
      </c>
      <c r="AX382" s="32">
        <f>IFERROR(__xludf.DUMMYFUNCTION("""COMPUTED_VALUE"""),57.98044713954257)</f>
        <v>57.98044714</v>
      </c>
      <c r="AY382" s="32">
        <f>IFERROR(__xludf.DUMMYFUNCTION("""COMPUTED_VALUE"""),2.6682274190034967)</f>
        <v>2.668227419</v>
      </c>
      <c r="AZ382" s="30">
        <f>IFERROR(__xludf.DUMMYFUNCTION("""COMPUTED_VALUE"""),0.8177231667552114)</f>
        <v>0.8177231668</v>
      </c>
      <c r="BA382" s="30">
        <f>IFERROR(__xludf.DUMMYFUNCTION("""COMPUTED_VALUE"""),1200.0)</f>
        <v>1200</v>
      </c>
    </row>
    <row r="383">
      <c r="A383" s="71" t="str">
        <f>IFERROR(__xludf.DUMMYFUNCTION("""COMPUTED_VALUE"""),"Veteran")</f>
        <v>Veteran</v>
      </c>
      <c r="B383" s="71" t="str">
        <f>IFERROR(__xludf.DUMMYFUNCTION("""COMPUTED_VALUE"""),"RSC000796")</f>
        <v>RSC000796</v>
      </c>
      <c r="C383" s="30" t="str">
        <f>IFERROR(__xludf.DUMMYFUNCTION("""COMPUTED_VALUE"""),"hoyci")</f>
        <v>hoyci</v>
      </c>
      <c r="D383" s="30" t="str">
        <f>IFERROR(__xludf.DUMMYFUNCTION("""COMPUTED_VALUE"""),"Dread")</f>
        <v>Dread</v>
      </c>
      <c r="E383" s="30">
        <f>IFERROR(__xludf.DUMMYFUNCTION("""COMPUTED_VALUE"""),30.0)</f>
        <v>30</v>
      </c>
      <c r="F383" s="30">
        <f>IFERROR(__xludf.DUMMYFUNCTION("""COMPUTED_VALUE"""),13.0)</f>
        <v>13</v>
      </c>
      <c r="G383" s="42">
        <f>IFERROR(__xludf.DUMMYFUNCTION("""COMPUTED_VALUE"""),17.0)</f>
        <v>17</v>
      </c>
      <c r="H383" s="42">
        <f>IFERROR(__xludf.DUMMYFUNCTION("""COMPUTED_VALUE"""),0.43333333333333335)</f>
        <v>0.4333333333</v>
      </c>
      <c r="I383" s="42">
        <f>IFERROR(__xludf.DUMMYFUNCTION("""COMPUTED_VALUE"""),0.3275862068965517)</f>
        <v>0.3275862069</v>
      </c>
      <c r="J383" s="30">
        <f>IFERROR(__xludf.DUMMYFUNCTION("""COMPUTED_VALUE"""),286.1333333333333)</f>
        <v>286.1333333</v>
      </c>
      <c r="K383" s="30">
        <f>IFERROR(__xludf.DUMMYFUNCTION("""COMPUTED_VALUE"""),0.6333333333333333)</f>
        <v>0.6333333333</v>
      </c>
      <c r="L383" s="30">
        <f>IFERROR(__xludf.DUMMYFUNCTION("""COMPUTED_VALUE"""),0.4666666666666667)</f>
        <v>0.4666666667</v>
      </c>
      <c r="M383" s="30">
        <f>IFERROR(__xludf.DUMMYFUNCTION("""COMPUTED_VALUE"""),1.1333333333333333)</f>
        <v>1.133333333</v>
      </c>
      <c r="N383" s="30">
        <f>IFERROR(__xludf.DUMMYFUNCTION("""COMPUTED_VALUE"""),1.9333333333333333)</f>
        <v>1.933333333</v>
      </c>
      <c r="O383" s="30">
        <f>IFERROR(__xludf.DUMMYFUNCTION("""COMPUTED_VALUE"""),334.55555555555554)</f>
        <v>334.5555556</v>
      </c>
      <c r="P383" s="30">
        <f>IFERROR(__xludf.DUMMYFUNCTION("""COMPUTED_VALUE"""),0.7555555555555553)</f>
        <v>0.7555555556</v>
      </c>
      <c r="Q383" s="30">
        <f>IFERROR(__xludf.DUMMYFUNCTION("""COMPUTED_VALUE"""),0.5555555555555555)</f>
        <v>0.5555555556</v>
      </c>
      <c r="R383" s="30">
        <f>IFERROR(__xludf.DUMMYFUNCTION("""COMPUTED_VALUE"""),1.1000000000000003)</f>
        <v>1.1</v>
      </c>
      <c r="S383" s="30">
        <f>IFERROR(__xludf.DUMMYFUNCTION("""COMPUTED_VALUE"""),2.488888888888889)</f>
        <v>2.488888889</v>
      </c>
      <c r="T383" s="30">
        <f>IFERROR(__xludf.DUMMYFUNCTION("""COMPUTED_VALUE"""),337.15437123808573)</f>
        <v>337.1543712</v>
      </c>
      <c r="U383" s="30">
        <f>IFERROR(__xludf.DUMMYFUNCTION("""COMPUTED_VALUE"""),0.7183160687916315)</f>
        <v>0.7183160688</v>
      </c>
      <c r="V383" s="30">
        <f>IFERROR(__xludf.DUMMYFUNCTION("""COMPUTED_VALUE"""),0.5317389184439149)</f>
        <v>0.5317389184</v>
      </c>
      <c r="W383" s="30">
        <f>IFERROR(__xludf.DUMMYFUNCTION("""COMPUTED_VALUE"""),1.3104618674649273)</f>
        <v>1.310461867</v>
      </c>
      <c r="X383" s="30">
        <f>IFERROR(__xludf.DUMMYFUNCTION("""COMPUTED_VALUE"""),2.5085708814066408)</f>
        <v>2.508570881</v>
      </c>
      <c r="Y383" s="30">
        <f>IFERROR(__xludf.DUMMYFUNCTION("""COMPUTED_VALUE"""),362.752703226393)</f>
        <v>362.7527032</v>
      </c>
      <c r="Z383" s="30">
        <f>IFERROR(__xludf.DUMMYFUNCTION("""COMPUTED_VALUE"""),0.8550842757737459)</f>
        <v>0.8550842758</v>
      </c>
      <c r="AA383" s="30">
        <f>IFERROR(__xludf.DUMMYFUNCTION("""COMPUTED_VALUE"""),0.6368763313962513)</f>
        <v>0.6368763314</v>
      </c>
      <c r="AB383" s="30">
        <f>IFERROR(__xludf.DUMMYFUNCTION("""COMPUTED_VALUE"""),1.3286195552953333)</f>
        <v>1.328619555</v>
      </c>
      <c r="AC383" s="30">
        <f>IFERROR(__xludf.DUMMYFUNCTION("""COMPUTED_VALUE"""),2.7083670721939517)</f>
        <v>2.708367072</v>
      </c>
      <c r="AD383" s="30">
        <f>IFERROR(__xludf.DUMMYFUNCTION("""COMPUTED_VALUE"""),0.7887834626410992)</f>
        <v>0.7887834626</v>
      </c>
      <c r="AE383" s="30">
        <f>IFERROR(__xludf.DUMMYFUNCTION("""COMPUTED_VALUE"""),0.7406677344876266)</f>
        <v>0.7406677345</v>
      </c>
      <c r="AF383" s="30">
        <f>IFERROR(__xludf.DUMMYFUNCTION("""COMPUTED_VALUE"""),0.7327429889623521)</f>
        <v>0.732742989</v>
      </c>
      <c r="AG383" s="30">
        <f>IFERROR(__xludf.DUMMYFUNCTION("""COMPUTED_VALUE"""),0.8530156949868236)</f>
        <v>0.853015695</v>
      </c>
      <c r="AH383" s="30">
        <f>IFERROR(__xludf.DUMMYFUNCTION("""COMPUTED_VALUE"""),0.7138372612716817)</f>
        <v>0.7138372613</v>
      </c>
      <c r="AI383" s="30">
        <f>IFERROR(__xludf.DUMMYFUNCTION("""COMPUTED_VALUE"""),0.9922919116457339)</f>
        <v>0.9922919116</v>
      </c>
      <c r="AJ383" s="30">
        <f>IFERROR(__xludf.DUMMYFUNCTION("""COMPUTED_VALUE"""),1.0518427588938237)</f>
        <v>1.051842759</v>
      </c>
      <c r="AK383" s="30">
        <f>IFERROR(__xludf.DUMMYFUNCTION("""COMPUTED_VALUE"""),1.0447900958262333)</f>
        <v>1.044790096</v>
      </c>
      <c r="AL383" s="30">
        <f>IFERROR(__xludf.DUMMYFUNCTION("""COMPUTED_VALUE"""),0.8393987091955122)</f>
        <v>0.8393987092</v>
      </c>
      <c r="AM383" s="30">
        <f>IFERROR(__xludf.DUMMYFUNCTION("""COMPUTED_VALUE"""),0.9921541014991311)</f>
        <v>0.9921541015</v>
      </c>
      <c r="AN383" s="30">
        <f>IFERROR(__xludf.DUMMYFUNCTION("""COMPUTED_VALUE"""),0.8276856845191166)</f>
        <v>0.8276856845</v>
      </c>
      <c r="AO383" s="30">
        <f>IFERROR(__xludf.DUMMYFUNCTION("""COMPUTED_VALUE"""),0.8382270795188115)</f>
        <v>0.8382270795</v>
      </c>
      <c r="AP383" s="30">
        <f>IFERROR(__xludf.DUMMYFUNCTION("""COMPUTED_VALUE"""),0.8395435907319502)</f>
        <v>0.8395435907</v>
      </c>
      <c r="AQ383" s="30">
        <f>IFERROR(__xludf.DUMMYFUNCTION("""COMPUTED_VALUE"""),0.8376628255862768)</f>
        <v>0.8376628256</v>
      </c>
      <c r="AR383" s="30">
        <f>IFERROR(__xludf.DUMMYFUNCTION("""COMPUTED_VALUE"""),0.7583147749506299)</f>
        <v>0.758314775</v>
      </c>
      <c r="AS383" s="30">
        <f>IFERROR(__xludf.DUMMYFUNCTION("""COMPUTED_VALUE"""),64.0)</f>
        <v>64</v>
      </c>
      <c r="AT383" s="30">
        <f>IFERROR(__xludf.DUMMYFUNCTION("""COMPUTED_VALUE"""),0.476828786457356)</f>
        <v>0.4768287865</v>
      </c>
      <c r="AU383" s="30">
        <f>IFERROR(__xludf.DUMMYFUNCTION("""COMPUTED_VALUE"""),1.1767518410211804)</f>
        <v>1.176751841</v>
      </c>
      <c r="AV383" s="32">
        <f>IFERROR(__xludf.DUMMYFUNCTION("""COMPUTED_VALUE"""),27.28533676579122)</f>
        <v>27.28533677</v>
      </c>
      <c r="AW383" s="32">
        <f>IFERROR(__xludf.DUMMYFUNCTION("""COMPUTED_VALUE"""),-5.501027843241804)</f>
        <v>-5.501027843</v>
      </c>
      <c r="AX383" s="32">
        <f>IFERROR(__xludf.DUMMYFUNCTION("""COMPUTED_VALUE"""),30.139006271768025)</f>
        <v>30.13900627</v>
      </c>
      <c r="AY383" s="32">
        <f>IFERROR(__xludf.DUMMYFUNCTION("""COMPUTED_VALUE"""),-4.684504791266464)</f>
        <v>-4.684504791</v>
      </c>
      <c r="AZ383" s="30">
        <f>IFERROR(__xludf.DUMMYFUNCTION("""COMPUTED_VALUE"""),0.8165230519753397)</f>
        <v>0.816523052</v>
      </c>
      <c r="BA383" s="30">
        <f>IFERROR(__xludf.DUMMYFUNCTION("""COMPUTED_VALUE"""),1200.0)</f>
        <v>1200</v>
      </c>
    </row>
    <row r="384">
      <c r="A384" s="71" t="str">
        <f>IFERROR(__xludf.DUMMYFUNCTION("""COMPUTED_VALUE"""),"Veteran")</f>
        <v>Veteran</v>
      </c>
      <c r="B384" s="71" t="str">
        <f>IFERROR(__xludf.DUMMYFUNCTION("""COMPUTED_VALUE"""),"RSC006278")</f>
        <v>RSC006278</v>
      </c>
      <c r="C384" s="30" t="str">
        <f>IFERROR(__xludf.DUMMYFUNCTION("""COMPUTED_VALUE"""),"DribblingPenguin")</f>
        <v>DribblingPenguin</v>
      </c>
      <c r="D384" s="30" t="str">
        <f>IFERROR(__xludf.DUMMYFUNCTION("""COMPUTED_VALUE"""),"Azalea")</f>
        <v>Azalea</v>
      </c>
      <c r="E384" s="30">
        <f>IFERROR(__xludf.DUMMYFUNCTION("""COMPUTED_VALUE"""),46.0)</f>
        <v>46</v>
      </c>
      <c r="F384" s="30">
        <f>IFERROR(__xludf.DUMMYFUNCTION("""COMPUTED_VALUE"""),19.0)</f>
        <v>19</v>
      </c>
      <c r="G384" s="42">
        <f>IFERROR(__xludf.DUMMYFUNCTION("""COMPUTED_VALUE"""),27.0)</f>
        <v>27</v>
      </c>
      <c r="H384" s="42">
        <f>IFERROR(__xludf.DUMMYFUNCTION("""COMPUTED_VALUE"""),0.41304347826086957)</f>
        <v>0.4130434783</v>
      </c>
      <c r="I384" s="42">
        <f>IFERROR(__xludf.DUMMYFUNCTION("""COMPUTED_VALUE"""),0.2773109243697479)</f>
        <v>0.2773109244</v>
      </c>
      <c r="J384" s="30">
        <f>IFERROR(__xludf.DUMMYFUNCTION("""COMPUTED_VALUE"""),363.5869565217391)</f>
        <v>363.5869565</v>
      </c>
      <c r="K384" s="30">
        <f>IFERROR(__xludf.DUMMYFUNCTION("""COMPUTED_VALUE"""),0.717391304347826)</f>
        <v>0.7173913043</v>
      </c>
      <c r="L384" s="30">
        <f>IFERROR(__xludf.DUMMYFUNCTION("""COMPUTED_VALUE"""),0.6739130434782609)</f>
        <v>0.6739130435</v>
      </c>
      <c r="M384" s="30">
        <f>IFERROR(__xludf.DUMMYFUNCTION("""COMPUTED_VALUE"""),1.6304347826086956)</f>
        <v>1.630434783</v>
      </c>
      <c r="N384" s="30">
        <f>IFERROR(__xludf.DUMMYFUNCTION("""COMPUTED_VALUE"""),2.5869565217391304)</f>
        <v>2.586956522</v>
      </c>
      <c r="O384" s="30">
        <f>IFERROR(__xludf.DUMMYFUNCTION("""COMPUTED_VALUE"""),341.88405797101444)</f>
        <v>341.884058</v>
      </c>
      <c r="P384" s="30">
        <f>IFERROR(__xludf.DUMMYFUNCTION("""COMPUTED_VALUE"""),0.8115942028985508)</f>
        <v>0.8115942029</v>
      </c>
      <c r="Q384" s="30">
        <f>IFERROR(__xludf.DUMMYFUNCTION("""COMPUTED_VALUE"""),0.49275362318840576)</f>
        <v>0.4927536232</v>
      </c>
      <c r="R384" s="30">
        <f>IFERROR(__xludf.DUMMYFUNCTION("""COMPUTED_VALUE"""),1.2826086956521743)</f>
        <v>1.282608696</v>
      </c>
      <c r="S384" s="30">
        <f>IFERROR(__xludf.DUMMYFUNCTION("""COMPUTED_VALUE"""),2.5724637681159415)</f>
        <v>2.572463768</v>
      </c>
      <c r="T384" s="30">
        <f>IFERROR(__xludf.DUMMYFUNCTION("""COMPUTED_VALUE"""),355.8609908914119)</f>
        <v>355.8609909</v>
      </c>
      <c r="U384" s="30">
        <f>IFERROR(__xludf.DUMMYFUNCTION("""COMPUTED_VALUE"""),0.7903141553713369)</f>
        <v>0.7903141554</v>
      </c>
      <c r="V384" s="30">
        <f>IFERROR(__xludf.DUMMYFUNCTION("""COMPUTED_VALUE"""),0.5663432517948164)</f>
        <v>0.5663432518</v>
      </c>
      <c r="W384" s="30">
        <f>IFERROR(__xludf.DUMMYFUNCTION("""COMPUTED_VALUE"""),1.398133841913204)</f>
        <v>1.398133842</v>
      </c>
      <c r="X384" s="30">
        <f>IFERROR(__xludf.DUMMYFUNCTION("""COMPUTED_VALUE"""),2.622966316214526)</f>
        <v>2.622966316</v>
      </c>
      <c r="Y384" s="30">
        <f>IFERROR(__xludf.DUMMYFUNCTION("""COMPUTED_VALUE"""),354.7339704495908)</f>
        <v>354.7339704</v>
      </c>
      <c r="Z384" s="30">
        <f>IFERROR(__xludf.DUMMYFUNCTION("""COMPUTED_VALUE"""),0.7964793881564155)</f>
        <v>0.7964793882</v>
      </c>
      <c r="AA384" s="30">
        <f>IFERROR(__xludf.DUMMYFUNCTION("""COMPUTED_VALUE"""),0.5832120600952074)</f>
        <v>0.5832120601</v>
      </c>
      <c r="AB384" s="30">
        <f>IFERROR(__xludf.DUMMYFUNCTION("""COMPUTED_VALUE"""),1.3817998703522087)</f>
        <v>1.38179987</v>
      </c>
      <c r="AC384" s="30">
        <f>IFERROR(__xludf.DUMMYFUNCTION("""COMPUTED_VALUE"""),2.644426149324205)</f>
        <v>2.644426149</v>
      </c>
      <c r="AD384" s="30">
        <f>IFERROR(__xludf.DUMMYFUNCTION("""COMPUTED_VALUE"""),1.0249566909561214)</f>
        <v>1.024956691</v>
      </c>
      <c r="AE384" s="30">
        <f>IFERROR(__xludf.DUMMYFUNCTION("""COMPUTED_VALUE"""),0.9007029121096881)</f>
        <v>0.9007029121</v>
      </c>
      <c r="AF384" s="30">
        <f>IFERROR(__xludf.DUMMYFUNCTION("""COMPUTED_VALUE"""),1.1555197321678272)</f>
        <v>1.155519732</v>
      </c>
      <c r="AG384" s="30">
        <f>IFERROR(__xludf.DUMMYFUNCTION("""COMPUTED_VALUE"""),1.1799355446408546)</f>
        <v>1.179935545</v>
      </c>
      <c r="AH384" s="30">
        <f>IFERROR(__xludf.DUMMYFUNCTION("""COMPUTED_VALUE"""),0.9782676375364986)</f>
        <v>0.9782676375</v>
      </c>
      <c r="AI384" s="30">
        <f>IFERROR(__xludf.DUMMYFUNCTION("""COMPUTED_VALUE"""),0.9607236160238131)</f>
        <v>0.960723616</v>
      </c>
      <c r="AJ384" s="30">
        <f>IFERROR(__xludf.DUMMYFUNCTION("""COMPUTED_VALUE"""),1.0269260614688285)</f>
        <v>1.026926061</v>
      </c>
      <c r="AK384" s="30">
        <f>IFERROR(__xludf.DUMMYFUNCTION("""COMPUTED_VALUE"""),0.8700617896069294)</f>
        <v>0.8700617896</v>
      </c>
      <c r="AL384" s="30">
        <f>IFERROR(__xludf.DUMMYFUNCTION("""COMPUTED_VALUE"""),0.9173718975981976)</f>
        <v>0.9173718976</v>
      </c>
      <c r="AM384" s="30">
        <f>IFERROR(__xludf.DUMMYFUNCTION("""COMPUTED_VALUE"""),0.9807460172910378)</f>
        <v>0.9807460173</v>
      </c>
      <c r="AN384" s="30">
        <f>IFERROR(__xludf.DUMMYFUNCTION("""COMPUTED_VALUE"""),1.0517324755041402)</f>
        <v>1.051732476</v>
      </c>
      <c r="AO384" s="30">
        <f>IFERROR(__xludf.DUMMYFUNCTION("""COMPUTED_VALUE"""),0.9494791861826355)</f>
        <v>0.9494791862</v>
      </c>
      <c r="AP384" s="30">
        <f>IFERROR(__xludf.DUMMYFUNCTION("""COMPUTED_VALUE"""),1.2123843779203627)</f>
        <v>1.212384378</v>
      </c>
      <c r="AQ384" s="30">
        <f>IFERROR(__xludf.DUMMYFUNCTION("""COMPUTED_VALUE"""),1.205077594353659)</f>
        <v>1.205077594</v>
      </c>
      <c r="AR384" s="30">
        <f>IFERROR(__xludf.DUMMYFUNCTION("""COMPUTED_VALUE"""),1.0146865616843137)</f>
        <v>1.014686562</v>
      </c>
      <c r="AS384" s="30">
        <f>IFERROR(__xludf.DUMMYFUNCTION("""COMPUTED_VALUE"""),103.0)</f>
        <v>103</v>
      </c>
      <c r="AT384" s="30">
        <f>IFERROR(__xludf.DUMMYFUNCTION("""COMPUTED_VALUE"""),0.46744546905279416)</f>
        <v>0.4674454691</v>
      </c>
      <c r="AU384" s="30">
        <f>IFERROR(__xludf.DUMMYFUNCTION("""COMPUTED_VALUE"""),2.0381141823811317)</f>
        <v>2.038114182</v>
      </c>
      <c r="AV384" s="32">
        <f>IFERROR(__xludf.DUMMYFUNCTION("""COMPUTED_VALUE"""),58.08084393709099)</f>
        <v>58.08084394</v>
      </c>
      <c r="AW384" s="32">
        <f>IFERROR(__xludf.DUMMYFUNCTION("""COMPUTED_VALUE"""),2.6791040782344915)</f>
        <v>2.679104078</v>
      </c>
      <c r="AX384" s="32">
        <f>IFERROR(__xludf.DUMMYFUNCTION("""COMPUTED_VALUE"""),64.08199475583558)</f>
        <v>64.08199476</v>
      </c>
      <c r="AY384" s="32">
        <f>IFERROR(__xludf.DUMMYFUNCTION("""COMPUTED_VALUE"""),3.488913416663341)</f>
        <v>3.488913417</v>
      </c>
      <c r="AZ384" s="30">
        <f>IFERROR(__xludf.DUMMYFUNCTION("""COMPUTED_VALUE"""),0.8098093384288494)</f>
        <v>0.8098093384</v>
      </c>
      <c r="BA384" s="30">
        <f>IFERROR(__xludf.DUMMYFUNCTION("""COMPUTED_VALUE"""),1200.0)</f>
        <v>1200</v>
      </c>
    </row>
    <row r="385">
      <c r="A385" s="71" t="str">
        <f>IFERROR(__xludf.DUMMYFUNCTION("""COMPUTED_VALUE"""),"Veteran")</f>
        <v>Veteran</v>
      </c>
      <c r="B385" s="71" t="str">
        <f>IFERROR(__xludf.DUMMYFUNCTION("""COMPUTED_VALUE"""),"RSC005491")</f>
        <v>RSC005491</v>
      </c>
      <c r="C385" s="30" t="str">
        <f>IFERROR(__xludf.DUMMYFUNCTION("""COMPUTED_VALUE"""),"Jackowanou")</f>
        <v>Jackowanou</v>
      </c>
      <c r="D385" s="30" t="str">
        <f>IFERROR(__xludf.DUMMYFUNCTION("""COMPUTED_VALUE"""),"Gorillas")</f>
        <v>Gorillas</v>
      </c>
      <c r="E385" s="30">
        <f>IFERROR(__xludf.DUMMYFUNCTION("""COMPUTED_VALUE"""),48.0)</f>
        <v>48</v>
      </c>
      <c r="F385" s="30">
        <f>IFERROR(__xludf.DUMMYFUNCTION("""COMPUTED_VALUE"""),25.0)</f>
        <v>25</v>
      </c>
      <c r="G385" s="42">
        <f>IFERROR(__xludf.DUMMYFUNCTION("""COMPUTED_VALUE"""),23.0)</f>
        <v>23</v>
      </c>
      <c r="H385" s="42">
        <f>IFERROR(__xludf.DUMMYFUNCTION("""COMPUTED_VALUE"""),0.5208333333333334)</f>
        <v>0.5208333333</v>
      </c>
      <c r="I385" s="42">
        <f>IFERROR(__xludf.DUMMYFUNCTION("""COMPUTED_VALUE"""),0.29545454545454547)</f>
        <v>0.2954545455</v>
      </c>
      <c r="J385" s="30">
        <f>IFERROR(__xludf.DUMMYFUNCTION("""COMPUTED_VALUE"""),380.7916666666667)</f>
        <v>380.7916667</v>
      </c>
      <c r="K385" s="30">
        <f>IFERROR(__xludf.DUMMYFUNCTION("""COMPUTED_VALUE"""),0.8125)</f>
        <v>0.8125</v>
      </c>
      <c r="L385" s="30">
        <f>IFERROR(__xludf.DUMMYFUNCTION("""COMPUTED_VALUE"""),0.7083333333333334)</f>
        <v>0.7083333333</v>
      </c>
      <c r="M385" s="30">
        <f>IFERROR(__xludf.DUMMYFUNCTION("""COMPUTED_VALUE"""),1.4583333333333333)</f>
        <v>1.458333333</v>
      </c>
      <c r="N385" s="30">
        <f>IFERROR(__xludf.DUMMYFUNCTION("""COMPUTED_VALUE"""),2.75)</f>
        <v>2.75</v>
      </c>
      <c r="O385" s="30">
        <f>IFERROR(__xludf.DUMMYFUNCTION("""COMPUTED_VALUE"""),348.2222222222222)</f>
        <v>348.2222222</v>
      </c>
      <c r="P385" s="30">
        <f>IFERROR(__xludf.DUMMYFUNCTION("""COMPUTED_VALUE"""),0.7638888888888892)</f>
        <v>0.7638888889</v>
      </c>
      <c r="Q385" s="30">
        <f>IFERROR(__xludf.DUMMYFUNCTION("""COMPUTED_VALUE"""),0.5347222222222223)</f>
        <v>0.5347222222</v>
      </c>
      <c r="R385" s="30">
        <f>IFERROR(__xludf.DUMMYFUNCTION("""COMPUTED_VALUE"""),1.4374999999999998)</f>
        <v>1.4375</v>
      </c>
      <c r="S385" s="30">
        <f>IFERROR(__xludf.DUMMYFUNCTION("""COMPUTED_VALUE"""),2.4444444444444446)</f>
        <v>2.444444444</v>
      </c>
      <c r="T385" s="30">
        <f>IFERROR(__xludf.DUMMYFUNCTION("""COMPUTED_VALUE"""),352.08397359989266)</f>
        <v>352.0839736</v>
      </c>
      <c r="U385" s="30">
        <f>IFERROR(__xludf.DUMMYFUNCTION("""COMPUTED_VALUE"""),0.7753080445982747)</f>
        <v>0.7753080446</v>
      </c>
      <c r="V385" s="30">
        <f>IFERROR(__xludf.DUMMYFUNCTION("""COMPUTED_VALUE"""),0.569631845881312)</f>
        <v>0.5696318459</v>
      </c>
      <c r="W385" s="30">
        <f>IFERROR(__xludf.DUMMYFUNCTION("""COMPUTED_VALUE"""),1.3555657442868407)</f>
        <v>1.355565744</v>
      </c>
      <c r="X385" s="30">
        <f>IFERROR(__xludf.DUMMYFUNCTION("""COMPUTED_VALUE"""),2.6651999717564814)</f>
        <v>2.665199972</v>
      </c>
      <c r="Y385" s="30">
        <f>IFERROR(__xludf.DUMMYFUNCTION("""COMPUTED_VALUE"""),363.03290202115244)</f>
        <v>363.032902</v>
      </c>
      <c r="Z385" s="30">
        <f>IFERROR(__xludf.DUMMYFUNCTION("""COMPUTED_VALUE"""),0.8156920149736814)</f>
        <v>0.815692015</v>
      </c>
      <c r="AA385" s="30">
        <f>IFERROR(__xludf.DUMMYFUNCTION("""COMPUTED_VALUE"""),0.613771778153689)</f>
        <v>0.6137717782</v>
      </c>
      <c r="AB385" s="30">
        <f>IFERROR(__xludf.DUMMYFUNCTION("""COMPUTED_VALUE"""),1.396098854679189)</f>
        <v>1.396098855</v>
      </c>
      <c r="AC385" s="30">
        <f>IFERROR(__xludf.DUMMYFUNCTION("""COMPUTED_VALUE"""),2.617702210573915)</f>
        <v>2.617702211</v>
      </c>
      <c r="AD385" s="30">
        <f>IFERROR(__xludf.DUMMYFUNCTION("""COMPUTED_VALUE"""),1.04891778278675)</f>
        <v>1.048917783</v>
      </c>
      <c r="AE385" s="30">
        <f>IFERROR(__xludf.DUMMYFUNCTION("""COMPUTED_VALUE"""),0.9960867399519849)</f>
        <v>0.99608674</v>
      </c>
      <c r="AF385" s="30">
        <f>IFERROR(__xludf.DUMMYFUNCTION("""COMPUTED_VALUE"""),1.154066313482348)</f>
        <v>1.154066313</v>
      </c>
      <c r="AG385" s="30">
        <f>IFERROR(__xludf.DUMMYFUNCTION("""COMPUTED_VALUE"""),1.044577415449886)</f>
        <v>1.044577415</v>
      </c>
      <c r="AH385" s="30">
        <f>IFERROR(__xludf.DUMMYFUNCTION("""COMPUTED_VALUE"""),1.0505396637141087)</f>
        <v>1.050539664</v>
      </c>
      <c r="AI385" s="30">
        <f>IFERROR(__xludf.DUMMYFUNCTION("""COMPUTED_VALUE"""),0.9890317320093105)</f>
        <v>0.989031732</v>
      </c>
      <c r="AJ385" s="30">
        <f>IFERROR(__xludf.DUMMYFUNCTION("""COMPUTED_VALUE"""),0.9852714597907953)</f>
        <v>0.9852714598</v>
      </c>
      <c r="AK385" s="30">
        <f>IFERROR(__xludf.DUMMYFUNCTION("""COMPUTED_VALUE"""),0.9387154634848779)</f>
        <v>0.9387154635</v>
      </c>
      <c r="AL385" s="30">
        <f>IFERROR(__xludf.DUMMYFUNCTION("""COMPUTED_VALUE"""),1.0604428490897462)</f>
        <v>1.060442849</v>
      </c>
      <c r="AM385" s="30">
        <f>IFERROR(__xludf.DUMMYFUNCTION("""COMPUTED_VALUE"""),0.9171711204969925)</f>
        <v>0.9171711205</v>
      </c>
      <c r="AN385" s="30">
        <f>IFERROR(__xludf.DUMMYFUNCTION("""COMPUTED_VALUE"""),1.1014998064451607)</f>
        <v>1.101499806</v>
      </c>
      <c r="AO385" s="30">
        <f>IFERROR(__xludf.DUMMYFUNCTION("""COMPUTED_VALUE"""),1.075357108593212)</f>
        <v>1.075357109</v>
      </c>
      <c r="AP385" s="30">
        <f>IFERROR(__xludf.DUMMYFUNCTION("""COMPUTED_VALUE"""),1.2743072359324243)</f>
        <v>1.274307236</v>
      </c>
      <c r="AQ385" s="30">
        <f>IFERROR(__xludf.DUMMYFUNCTION("""COMPUTED_VALUE"""),1.0778749593941062)</f>
        <v>1.077874959</v>
      </c>
      <c r="AR385" s="30">
        <f>IFERROR(__xludf.DUMMYFUNCTION("""COMPUTED_VALUE"""),1.0786373954039132)</f>
        <v>1.078637395</v>
      </c>
      <c r="AS385" s="30">
        <f>IFERROR(__xludf.DUMMYFUNCTION("""COMPUTED_VALUE"""),130.0)</f>
        <v>130</v>
      </c>
      <c r="AT385" s="30">
        <f>IFERROR(__xludf.DUMMYFUNCTION("""COMPUTED_VALUE"""),0.5658973313578336)</f>
        <v>0.5658973314</v>
      </c>
      <c r="AU385" s="30">
        <f>IFERROR(__xludf.DUMMYFUNCTION("""COMPUTED_VALUE"""),2.2517380816032455)</f>
        <v>2.251738082</v>
      </c>
      <c r="AV385" s="32">
        <f>IFERROR(__xludf.DUMMYFUNCTION("""COMPUTED_VALUE"""),65.71834560690975)</f>
        <v>65.71834561</v>
      </c>
      <c r="AW385" s="32">
        <f>IFERROR(__xludf.DUMMYFUNCTION("""COMPUTED_VALUE"""),3.776981836358438)</f>
        <v>3.776981836</v>
      </c>
      <c r="AX385" s="32">
        <f>IFERROR(__xludf.DUMMYFUNCTION("""COMPUTED_VALUE"""),60.53088930959849)</f>
        <v>60.53088931</v>
      </c>
      <c r="AY385" s="32">
        <f>IFERROR(__xludf.DUMMYFUNCTION("""COMPUTED_VALUE"""),2.969195761703228)</f>
        <v>2.969195762</v>
      </c>
      <c r="AZ385" s="30">
        <f>IFERROR(__xludf.DUMMYFUNCTION("""COMPUTED_VALUE"""),0.8077860746552101)</f>
        <v>0.8077860747</v>
      </c>
      <c r="BA385" s="30">
        <f>IFERROR(__xludf.DUMMYFUNCTION("""COMPUTED_VALUE"""),1200.0)</f>
        <v>1200</v>
      </c>
    </row>
    <row r="386">
      <c r="A386" s="71" t="str">
        <f>IFERROR(__xludf.DUMMYFUNCTION("""COMPUTED_VALUE"""),"Veteran")</f>
        <v>Veteran</v>
      </c>
      <c r="B386" s="71" t="str">
        <f>IFERROR(__xludf.DUMMYFUNCTION("""COMPUTED_VALUE"""),"RSC000601")</f>
        <v>RSC000601</v>
      </c>
      <c r="C386" s="30" t="str">
        <f>IFERROR(__xludf.DUMMYFUNCTION("""COMPUTED_VALUE"""),"Bxffledd")</f>
        <v>Bxffledd</v>
      </c>
      <c r="D386" s="30"/>
      <c r="E386" s="30">
        <f>IFERROR(__xludf.DUMMYFUNCTION("""COMPUTED_VALUE"""),6.0)</f>
        <v>6</v>
      </c>
      <c r="F386" s="30">
        <f>IFERROR(__xludf.DUMMYFUNCTION("""COMPUTED_VALUE"""),3.0)</f>
        <v>3</v>
      </c>
      <c r="G386" s="42">
        <f>IFERROR(__xludf.DUMMYFUNCTION("""COMPUTED_VALUE"""),3.0)</f>
        <v>3</v>
      </c>
      <c r="H386" s="42">
        <f>IFERROR(__xludf.DUMMYFUNCTION("""COMPUTED_VALUE"""),0.5)</f>
        <v>0.5</v>
      </c>
      <c r="I386" s="42">
        <f>IFERROR(__xludf.DUMMYFUNCTION("""COMPUTED_VALUE"""),0.375)</f>
        <v>0.375</v>
      </c>
      <c r="J386" s="30">
        <f>IFERROR(__xludf.DUMMYFUNCTION("""COMPUTED_VALUE"""),373.0)</f>
        <v>373</v>
      </c>
      <c r="K386" s="30">
        <f>IFERROR(__xludf.DUMMYFUNCTION("""COMPUTED_VALUE"""),1.0)</f>
        <v>1</v>
      </c>
      <c r="L386" s="30">
        <f>IFERROR(__xludf.DUMMYFUNCTION("""COMPUTED_VALUE"""),0.3333333333333333)</f>
        <v>0.3333333333</v>
      </c>
      <c r="M386" s="30">
        <f>IFERROR(__xludf.DUMMYFUNCTION("""COMPUTED_VALUE"""),1.5)</f>
        <v>1.5</v>
      </c>
      <c r="N386" s="30">
        <f>IFERROR(__xludf.DUMMYFUNCTION("""COMPUTED_VALUE"""),2.6666666666666665)</f>
        <v>2.666666667</v>
      </c>
      <c r="O386" s="30">
        <f>IFERROR(__xludf.DUMMYFUNCTION("""COMPUTED_VALUE"""),378.5)</f>
        <v>378.5</v>
      </c>
      <c r="P386" s="30">
        <f>IFERROR(__xludf.DUMMYFUNCTION("""COMPUTED_VALUE"""),0.9444444444444443)</f>
        <v>0.9444444444</v>
      </c>
      <c r="Q386" s="30">
        <f>IFERROR(__xludf.DUMMYFUNCTION("""COMPUTED_VALUE"""),0.7777777777777777)</f>
        <v>0.7777777778</v>
      </c>
      <c r="R386" s="30">
        <f>IFERROR(__xludf.DUMMYFUNCTION("""COMPUTED_VALUE"""),1.1666666666666665)</f>
        <v>1.166666667</v>
      </c>
      <c r="S386" s="30">
        <f>IFERROR(__xludf.DUMMYFUNCTION("""COMPUTED_VALUE"""),2.8888888888888893)</f>
        <v>2.888888889</v>
      </c>
      <c r="T386" s="30">
        <f>IFERROR(__xludf.DUMMYFUNCTION("""COMPUTED_VALUE"""),357.1323417513654)</f>
        <v>357.1323418</v>
      </c>
      <c r="U386" s="30">
        <f>IFERROR(__xludf.DUMMYFUNCTION("""COMPUTED_VALUE"""),0.8191910782573691)</f>
        <v>0.8191910783</v>
      </c>
      <c r="V386" s="30">
        <f>IFERROR(__xludf.DUMMYFUNCTION("""COMPUTED_VALUE"""),0.6158580133762191)</f>
        <v>0.6158580134</v>
      </c>
      <c r="W386" s="30">
        <f>IFERROR(__xludf.DUMMYFUNCTION("""COMPUTED_VALUE"""),1.3363295785143625)</f>
        <v>1.336329579</v>
      </c>
      <c r="X386" s="30">
        <f>IFERROR(__xludf.DUMMYFUNCTION("""COMPUTED_VALUE"""),2.7163557449783737)</f>
        <v>2.716355745</v>
      </c>
      <c r="Y386" s="30">
        <f>IFERROR(__xludf.DUMMYFUNCTION("""COMPUTED_VALUE"""),364.4092762150257)</f>
        <v>364.4092762</v>
      </c>
      <c r="Z386" s="30">
        <f>IFERROR(__xludf.DUMMYFUNCTION("""COMPUTED_VALUE"""),0.8277398171296951)</f>
        <v>0.8277398171</v>
      </c>
      <c r="AA386" s="30">
        <f>IFERROR(__xludf.DUMMYFUNCTION("""COMPUTED_VALUE"""),0.5879885452392911)</f>
        <v>0.5879885452</v>
      </c>
      <c r="AB386" s="30">
        <f>IFERROR(__xludf.DUMMYFUNCTION("""COMPUTED_VALUE"""),1.3628564237942953)</f>
        <v>1.362856424</v>
      </c>
      <c r="AC386" s="30">
        <f>IFERROR(__xludf.DUMMYFUNCTION("""COMPUTED_VALUE"""),2.585724779464145)</f>
        <v>2.585724779</v>
      </c>
      <c r="AD386" s="30">
        <f>IFERROR(__xludf.DUMMYFUNCTION("""COMPUTED_VALUE"""),1.0235743828318606)</f>
        <v>1.023574383</v>
      </c>
      <c r="AE386" s="30">
        <f>IFERROR(__xludf.DUMMYFUNCTION("""COMPUTED_VALUE"""),1.208109093347281)</f>
        <v>1.208109093</v>
      </c>
      <c r="AF386" s="30">
        <f>IFERROR(__xludf.DUMMYFUNCTION("""COMPUTED_VALUE"""),0.5669044678373422)</f>
        <v>0.5669044678</v>
      </c>
      <c r="AG386" s="30">
        <f>IFERROR(__xludf.DUMMYFUNCTION("""COMPUTED_VALUE"""),1.100629511525423)</f>
        <v>1.100629512</v>
      </c>
      <c r="AH386" s="30">
        <f>IFERROR(__xludf.DUMMYFUNCTION("""COMPUTED_VALUE"""),1.0313033652480583)</f>
        <v>1.031303365</v>
      </c>
      <c r="AI386" s="30">
        <f>IFERROR(__xludf.DUMMYFUNCTION("""COMPUTED_VALUE"""),1.0598312047120917)</f>
        <v>1.059831205</v>
      </c>
      <c r="AJ386" s="30">
        <f>IFERROR(__xludf.DUMMYFUNCTION("""COMPUTED_VALUE"""),1.1528988407118903)</f>
        <v>1.152898841</v>
      </c>
      <c r="AK386" s="30">
        <f>IFERROR(__xludf.DUMMYFUNCTION("""COMPUTED_VALUE"""),1.262917362256751)</f>
        <v>1.262917362</v>
      </c>
      <c r="AL386" s="30">
        <f>IFERROR(__xludf.DUMMYFUNCTION("""COMPUTED_VALUE"""),0.8730381227987819)</f>
        <v>0.8730381228</v>
      </c>
      <c r="AM386" s="30">
        <f>IFERROR(__xludf.DUMMYFUNCTION("""COMPUTED_VALUE"""),1.0635164021610466)</f>
        <v>1.063516402</v>
      </c>
      <c r="AN386" s="30">
        <f>IFERROR(__xludf.DUMMYFUNCTION("""COMPUTED_VALUE"""),1.0789611847354281)</f>
        <v>1.078961185</v>
      </c>
      <c r="AO386" s="30">
        <f>IFERROR(__xludf.DUMMYFUNCTION("""COMPUTED_VALUE"""),1.3235164413454918)</f>
        <v>1.323516441</v>
      </c>
      <c r="AP386" s="30">
        <f>IFERROR(__xludf.DUMMYFUNCTION("""COMPUTED_VALUE"""),0.5996739933799643)</f>
        <v>0.5996739934</v>
      </c>
      <c r="AQ386" s="30">
        <f>IFERROR(__xludf.DUMMYFUNCTION("""COMPUTED_VALUE"""),1.1086713868053664)</f>
        <v>1.108671387</v>
      </c>
      <c r="AR386" s="30">
        <f>IFERROR(__xludf.DUMMYFUNCTION("""COMPUTED_VALUE"""),1.0459514137250068)</f>
        <v>1.045951414</v>
      </c>
      <c r="AS386" s="30">
        <f>IFERROR(__xludf.DUMMYFUNCTION("""COMPUTED_VALUE"""),17.0)</f>
        <v>17</v>
      </c>
      <c r="AT386" s="30">
        <f>IFERROR(__xludf.DUMMYFUNCTION("""COMPUTED_VALUE"""),0.5)</f>
        <v>0.5</v>
      </c>
      <c r="AU386" s="30">
        <f>IFERROR(__xludf.DUMMYFUNCTION("""COMPUTED_VALUE"""),1.7815602444268759)</f>
        <v>1.781560244</v>
      </c>
      <c r="AV386" s="32">
        <f>IFERROR(__xludf.DUMMYFUNCTION("""COMPUTED_VALUE"""),48.90850349831403)</f>
        <v>48.9085035</v>
      </c>
      <c r="AW386" s="32">
        <f>IFERROR(__xludf.DUMMYFUNCTION("""COMPUTED_VALUE"""),-2.072161929097703)</f>
        <v>-2.072161929</v>
      </c>
      <c r="AX386" s="32">
        <f>IFERROR(__xludf.DUMMYFUNCTION("""COMPUTED_VALUE"""),40.33056310202385)</f>
        <v>40.3305631</v>
      </c>
      <c r="AY386" s="32">
        <f>IFERROR(__xludf.DUMMYFUNCTION("""COMPUTED_VALUE"""),-2.8615539279615234)</f>
        <v>-2.861553928</v>
      </c>
      <c r="AZ386" s="30">
        <f>IFERROR(__xludf.DUMMYFUNCTION("""COMPUTED_VALUE"""),0.7893919988638203)</f>
        <v>0.7893919989</v>
      </c>
      <c r="BA386" s="30">
        <f>IFERROR(__xludf.DUMMYFUNCTION("""COMPUTED_VALUE"""),1200.0)</f>
        <v>1200</v>
      </c>
    </row>
    <row r="387">
      <c r="A387" s="71" t="str">
        <f>IFERROR(__xludf.DUMMYFUNCTION("""COMPUTED_VALUE"""),"Veteran")</f>
        <v>Veteran</v>
      </c>
      <c r="B387" s="71" t="str">
        <f>IFERROR(__xludf.DUMMYFUNCTION("""COMPUTED_VALUE"""),"RSC005355")</f>
        <v>RSC005355</v>
      </c>
      <c r="C387" s="30" t="str">
        <f>IFERROR(__xludf.DUMMYFUNCTION("""COMPUTED_VALUE"""),"Armando")</f>
        <v>Armando</v>
      </c>
      <c r="D387" s="30" t="str">
        <f>IFERROR(__xludf.DUMMYFUNCTION("""COMPUTED_VALUE"""),"Gorillas")</f>
        <v>Gorillas</v>
      </c>
      <c r="E387" s="30">
        <f>IFERROR(__xludf.DUMMYFUNCTION("""COMPUTED_VALUE"""),2.0)</f>
        <v>2</v>
      </c>
      <c r="F387" s="30">
        <f>IFERROR(__xludf.DUMMYFUNCTION("""COMPUTED_VALUE"""),0.0)</f>
        <v>0</v>
      </c>
      <c r="G387" s="42">
        <f>IFERROR(__xludf.DUMMYFUNCTION("""COMPUTED_VALUE"""),2.0)</f>
        <v>2</v>
      </c>
      <c r="H387" s="42">
        <f>IFERROR(__xludf.DUMMYFUNCTION("""COMPUTED_VALUE"""),0.0)</f>
        <v>0</v>
      </c>
      <c r="I387" s="42">
        <f>IFERROR(__xludf.DUMMYFUNCTION("""COMPUTED_VALUE"""),0.5)</f>
        <v>0.5</v>
      </c>
      <c r="J387" s="30">
        <f>IFERROR(__xludf.DUMMYFUNCTION("""COMPUTED_VALUE"""),354.0)</f>
        <v>354</v>
      </c>
      <c r="K387" s="30">
        <f>IFERROR(__xludf.DUMMYFUNCTION("""COMPUTED_VALUE"""),0.5)</f>
        <v>0.5</v>
      </c>
      <c r="L387" s="30">
        <f>IFERROR(__xludf.DUMMYFUNCTION("""COMPUTED_VALUE"""),1.5)</f>
        <v>1.5</v>
      </c>
      <c r="M387" s="30">
        <f>IFERROR(__xludf.DUMMYFUNCTION("""COMPUTED_VALUE"""),1.5)</f>
        <v>1.5</v>
      </c>
      <c r="N387" s="30">
        <f>IFERROR(__xludf.DUMMYFUNCTION("""COMPUTED_VALUE"""),1.0)</f>
        <v>1</v>
      </c>
      <c r="O387" s="30">
        <f>IFERROR(__xludf.DUMMYFUNCTION("""COMPUTED_VALUE"""),408.33333333333337)</f>
        <v>408.3333333</v>
      </c>
      <c r="P387" s="30">
        <f>IFERROR(__xludf.DUMMYFUNCTION("""COMPUTED_VALUE"""),1.3333333333333333)</f>
        <v>1.333333333</v>
      </c>
      <c r="Q387" s="30">
        <f>IFERROR(__xludf.DUMMYFUNCTION("""COMPUTED_VALUE"""),0.6666666666666666)</f>
        <v>0.6666666667</v>
      </c>
      <c r="R387" s="30">
        <f>IFERROR(__xludf.DUMMYFUNCTION("""COMPUTED_VALUE"""),1.1666666666666665)</f>
        <v>1.166666667</v>
      </c>
      <c r="S387" s="30">
        <f>IFERROR(__xludf.DUMMYFUNCTION("""COMPUTED_VALUE"""),3.1666666666666665)</f>
        <v>3.166666667</v>
      </c>
      <c r="T387" s="30">
        <f>IFERROR(__xludf.DUMMYFUNCTION("""COMPUTED_VALUE"""),355.0816561242093)</f>
        <v>355.0816561</v>
      </c>
      <c r="U387" s="30">
        <f>IFERROR(__xludf.DUMMYFUNCTION("""COMPUTED_VALUE"""),0.8029518880582711)</f>
        <v>0.8029518881</v>
      </c>
      <c r="V387" s="30">
        <f>IFERROR(__xludf.DUMMYFUNCTION("""COMPUTED_VALUE"""),0.53383170404447)</f>
        <v>0.533831704</v>
      </c>
      <c r="W387" s="30">
        <f>IFERROR(__xludf.DUMMYFUNCTION("""COMPUTED_VALUE"""),1.4075138968755987)</f>
        <v>1.407513897</v>
      </c>
      <c r="X387" s="30">
        <f>IFERROR(__xludf.DUMMYFUNCTION("""COMPUTED_VALUE"""),2.9072263753114815)</f>
        <v>2.907226375</v>
      </c>
      <c r="Y387" s="30">
        <f>IFERROR(__xludf.DUMMYFUNCTION("""COMPUTED_VALUE"""),335.77534981790296)</f>
        <v>335.7753498</v>
      </c>
      <c r="Z387" s="30">
        <f>IFERROR(__xludf.DUMMYFUNCTION("""COMPUTED_VALUE"""),0.6027090920707942)</f>
        <v>0.6027090921</v>
      </c>
      <c r="AA387" s="30">
        <f>IFERROR(__xludf.DUMMYFUNCTION("""COMPUTED_VALUE"""),0.4850808255063574)</f>
        <v>0.4850808255</v>
      </c>
      <c r="AB387" s="30">
        <f>IFERROR(__xludf.DUMMYFUNCTION("""COMPUTED_VALUE"""),1.4930036419398123)</f>
        <v>1.493003642</v>
      </c>
      <c r="AC387" s="30">
        <f>IFERROR(__xludf.DUMMYFUNCTION("""COMPUTED_VALUE"""),2.2927608459523356)</f>
        <v>2.292760846</v>
      </c>
      <c r="AD387" s="30">
        <f>IFERROR(__xludf.DUMMYFUNCTION("""COMPUTED_VALUE"""),1.0542763195451381)</f>
        <v>1.05427632</v>
      </c>
      <c r="AE387" s="30">
        <f>IFERROR(__xludf.DUMMYFUNCTION("""COMPUTED_VALUE"""),0.8295876179370296)</f>
        <v>0.8295876179</v>
      </c>
      <c r="AF387" s="30">
        <f>IFERROR(__xludf.DUMMYFUNCTION("""COMPUTED_VALUE"""),3.0922681770284512)</f>
        <v>3.092268177</v>
      </c>
      <c r="AG387" s="30">
        <f>IFERROR(__xludf.DUMMYFUNCTION("""COMPUTED_VALUE"""),1.0046860957760944)</f>
        <v>1.004686096</v>
      </c>
      <c r="AH387" s="30">
        <f>IFERROR(__xludf.DUMMYFUNCTION("""COMPUTED_VALUE"""),0.43615538958867456)</f>
        <v>0.4361553896</v>
      </c>
      <c r="AI387" s="30">
        <f>IFERROR(__xludf.DUMMYFUNCTION("""COMPUTED_VALUE"""),1.149970228792941)</f>
        <v>1.149970229</v>
      </c>
      <c r="AJ387" s="30">
        <f>IFERROR(__xludf.DUMMYFUNCTION("""COMPUTED_VALUE"""),1.6605395082358556)</f>
        <v>1.660539508</v>
      </c>
      <c r="AK387" s="30">
        <f>IFERROR(__xludf.DUMMYFUNCTION("""COMPUTED_VALUE"""),1.2488330341113105)</f>
        <v>1.248833034</v>
      </c>
      <c r="AL387" s="30">
        <f>IFERROR(__xludf.DUMMYFUNCTION("""COMPUTED_VALUE"""),0.8288846520495711)</f>
        <v>0.828884652</v>
      </c>
      <c r="AM387" s="30">
        <f>IFERROR(__xludf.DUMMYFUNCTION("""COMPUTED_VALUE"""),1.08923979692754)</f>
        <v>1.089239797</v>
      </c>
      <c r="AN387" s="30">
        <f>IFERROR(__xludf.DUMMYFUNCTION("""COMPUTED_VALUE"""),1.0240006954325511)</f>
        <v>1.024000695</v>
      </c>
      <c r="AO387" s="30">
        <f>IFERROR(__xludf.DUMMYFUNCTION("""COMPUTED_VALUE"""),0.6617582206727459)</f>
        <v>0.6617582207</v>
      </c>
      <c r="AP387" s="30">
        <f>IFERROR(__xludf.DUMMYFUNCTION("""COMPUTED_VALUE"""),2.6985329702098397)</f>
        <v>2.69853297</v>
      </c>
      <c r="AQ387" s="30">
        <f>IFERROR(__xludf.DUMMYFUNCTION("""COMPUTED_VALUE"""),1.1086713868053664)</f>
        <v>1.108671387</v>
      </c>
      <c r="AR387" s="30">
        <f>IFERROR(__xludf.DUMMYFUNCTION("""COMPUTED_VALUE"""),0.39223178014687754)</f>
        <v>0.3922317801</v>
      </c>
      <c r="AS387" s="30">
        <f>IFERROR(__xludf.DUMMYFUNCTION("""COMPUTED_VALUE"""),4.0)</f>
        <v>4</v>
      </c>
      <c r="AT387" s="30">
        <f>IFERROR(__xludf.DUMMYFUNCTION("""COMPUTED_VALUE"""),0.23881437916311218)</f>
        <v>0.2388143792</v>
      </c>
      <c r="AU387" s="30">
        <f>IFERROR(__xludf.DUMMYFUNCTION("""COMPUTED_VALUE"""),2.127829731296133)</f>
        <v>2.127829731</v>
      </c>
      <c r="AV387" s="32">
        <f>IFERROR(__xludf.DUMMYFUNCTION("""COMPUTED_VALUE"""),61.28836265172037)</f>
        <v>61.28836265</v>
      </c>
      <c r="AW387" s="32">
        <f>IFERROR(__xludf.DUMMYFUNCTION("""COMPUTED_VALUE"""),3.069347166354553)</f>
        <v>3.069347166</v>
      </c>
      <c r="AX387" s="32">
        <f>IFERROR(__xludf.DUMMYFUNCTION("""COMPUTED_VALUE"""),54.04323138061484)</f>
        <v>54.04323138</v>
      </c>
      <c r="AY387" s="32">
        <f>IFERROR(__xludf.DUMMYFUNCTION("""COMPUTED_VALUE"""),2.294843657717523)</f>
        <v>2.294843658</v>
      </c>
      <c r="AZ387" s="30">
        <f>IFERROR(__xludf.DUMMYFUNCTION("""COMPUTED_VALUE"""),0.77450350863703)</f>
        <v>0.7745035086</v>
      </c>
      <c r="BA387" s="30">
        <f>IFERROR(__xludf.DUMMYFUNCTION("""COMPUTED_VALUE"""),1200.0)</f>
        <v>1200</v>
      </c>
    </row>
    <row r="388">
      <c r="A388" s="71" t="str">
        <f>IFERROR(__xludf.DUMMYFUNCTION("""COMPUTED_VALUE"""),"Veteran")</f>
        <v>Veteran</v>
      </c>
      <c r="B388" s="71" t="str">
        <f>IFERROR(__xludf.DUMMYFUNCTION("""COMPUTED_VALUE"""),"RSC007625")</f>
        <v>RSC007625</v>
      </c>
      <c r="C388" s="30" t="str">
        <f>IFERROR(__xludf.DUMMYFUNCTION("""COMPUTED_VALUE"""),"assassin_funny.")</f>
        <v>assassin_funny.</v>
      </c>
      <c r="D388" s="30" t="str">
        <f>IFERROR(__xludf.DUMMYFUNCTION("""COMPUTED_VALUE"""),"Mellow Fellows")</f>
        <v>Mellow Fellows</v>
      </c>
      <c r="E388" s="30">
        <f>IFERROR(__xludf.DUMMYFUNCTION("""COMPUTED_VALUE"""),11.0)</f>
        <v>11</v>
      </c>
      <c r="F388" s="30">
        <f>IFERROR(__xludf.DUMMYFUNCTION("""COMPUTED_VALUE"""),3.0)</f>
        <v>3</v>
      </c>
      <c r="G388" s="42">
        <f>IFERROR(__xludf.DUMMYFUNCTION("""COMPUTED_VALUE"""),8.0)</f>
        <v>8</v>
      </c>
      <c r="H388" s="42">
        <f>IFERROR(__xludf.DUMMYFUNCTION("""COMPUTED_VALUE"""),0.2727272727272727)</f>
        <v>0.2727272727</v>
      </c>
      <c r="I388" s="42">
        <f>IFERROR(__xludf.DUMMYFUNCTION("""COMPUTED_VALUE"""),0.19999999999999998)</f>
        <v>0.2</v>
      </c>
      <c r="J388" s="30">
        <f>IFERROR(__xludf.DUMMYFUNCTION("""COMPUTED_VALUE"""),327.1818181818182)</f>
        <v>327.1818182</v>
      </c>
      <c r="K388" s="30">
        <f>IFERROR(__xludf.DUMMYFUNCTION("""COMPUTED_VALUE"""),0.45454545454545453)</f>
        <v>0.4545454545</v>
      </c>
      <c r="L388" s="30">
        <f>IFERROR(__xludf.DUMMYFUNCTION("""COMPUTED_VALUE"""),0.7272727272727273)</f>
        <v>0.7272727273</v>
      </c>
      <c r="M388" s="30">
        <f>IFERROR(__xludf.DUMMYFUNCTION("""COMPUTED_VALUE"""),1.7272727272727273)</f>
        <v>1.727272727</v>
      </c>
      <c r="N388" s="30">
        <f>IFERROR(__xludf.DUMMYFUNCTION("""COMPUTED_VALUE"""),2.272727272727273)</f>
        <v>2.272727273</v>
      </c>
      <c r="O388" s="30">
        <f>IFERROR(__xludf.DUMMYFUNCTION("""COMPUTED_VALUE"""),397.27272727272725)</f>
        <v>397.2727273</v>
      </c>
      <c r="P388" s="30">
        <f>IFERROR(__xludf.DUMMYFUNCTION("""COMPUTED_VALUE"""),1.0)</f>
        <v>1</v>
      </c>
      <c r="Q388" s="30">
        <f>IFERROR(__xludf.DUMMYFUNCTION("""COMPUTED_VALUE"""),0.7878787878787878)</f>
        <v>0.7878787879</v>
      </c>
      <c r="R388" s="30">
        <f>IFERROR(__xludf.DUMMYFUNCTION("""COMPUTED_VALUE"""),1.575757575757576)</f>
        <v>1.575757576</v>
      </c>
      <c r="S388" s="30">
        <f>IFERROR(__xludf.DUMMYFUNCTION("""COMPUTED_VALUE"""),3.424242424242424)</f>
        <v>3.424242424</v>
      </c>
      <c r="T388" s="30">
        <f>IFERROR(__xludf.DUMMYFUNCTION("""COMPUTED_VALUE"""),339.2042748189446)</f>
        <v>339.2042748</v>
      </c>
      <c r="U388" s="30">
        <f>IFERROR(__xludf.DUMMYFUNCTION("""COMPUTED_VALUE"""),0.7334914988580951)</f>
        <v>0.7334914989</v>
      </c>
      <c r="V388" s="30">
        <f>IFERROR(__xludf.DUMMYFUNCTION("""COMPUTED_VALUE"""),0.5360937136053042)</f>
        <v>0.5360937136</v>
      </c>
      <c r="W388" s="30">
        <f>IFERROR(__xludf.DUMMYFUNCTION("""COMPUTED_VALUE"""),1.3400230026765143)</f>
        <v>1.340023003</v>
      </c>
      <c r="X388" s="30">
        <f>IFERROR(__xludf.DUMMYFUNCTION("""COMPUTED_VALUE"""),2.515431521692424)</f>
        <v>2.515431522</v>
      </c>
      <c r="Y388" s="30">
        <f>IFERROR(__xludf.DUMMYFUNCTION("""COMPUTED_VALUE"""),343.00196146149415)</f>
        <v>343.0019615</v>
      </c>
      <c r="Z388" s="30">
        <f>IFERROR(__xludf.DUMMYFUNCTION("""COMPUTED_VALUE"""),0.7657863697860514)</f>
        <v>0.7657863698</v>
      </c>
      <c r="AA388" s="30">
        <f>IFERROR(__xludf.DUMMYFUNCTION("""COMPUTED_VALUE"""),0.55268074357618)</f>
        <v>0.5526807436</v>
      </c>
      <c r="AB388" s="30">
        <f>IFERROR(__xludf.DUMMYFUNCTION("""COMPUTED_VALUE"""),1.3167967478272644)</f>
        <v>1.316796748</v>
      </c>
      <c r="AC388" s="30">
        <f>IFERROR(__xludf.DUMMYFUNCTION("""COMPUTED_VALUE"""),2.5094280126140305)</f>
        <v>2.509428013</v>
      </c>
      <c r="AD388" s="30">
        <f>IFERROR(__xludf.DUMMYFUNCTION("""COMPUTED_VALUE"""),0.953877397049661)</f>
        <v>0.953877397</v>
      </c>
      <c r="AE388" s="30">
        <f>IFERROR(__xludf.DUMMYFUNCTION("""COMPUTED_VALUE"""),0.5935669169359169)</f>
        <v>0.5935669169</v>
      </c>
      <c r="AF388" s="30">
        <f>IFERROR(__xludf.DUMMYFUNCTION("""COMPUTED_VALUE"""),1.315900247522342)</f>
        <v>1.315900248</v>
      </c>
      <c r="AG388" s="30">
        <f>IFERROR(__xludf.DUMMYFUNCTION("""COMPUTED_VALUE"""),1.3117231114997472)</f>
        <v>1.311723111</v>
      </c>
      <c r="AH388" s="30">
        <f>IFERROR(__xludf.DUMMYFUNCTION("""COMPUTED_VALUE"""),0.9056754213721436)</f>
        <v>0.9056754214</v>
      </c>
      <c r="AI388" s="30">
        <f>IFERROR(__xludf.DUMMYFUNCTION("""COMPUTED_VALUE"""),1.1711902141704362)</f>
        <v>1.171190214</v>
      </c>
      <c r="AJ388" s="30">
        <f>IFERROR(__xludf.DUMMYFUNCTION("""COMPUTED_VALUE"""),1.3633423176094166)</f>
        <v>1.363342318</v>
      </c>
      <c r="AK388" s="30">
        <f>IFERROR(__xludf.DUMMYFUNCTION("""COMPUTED_VALUE"""),1.4696661570235439)</f>
        <v>1.469666157</v>
      </c>
      <c r="AL388" s="30">
        <f>IFERROR(__xludf.DUMMYFUNCTION("""COMPUTED_VALUE"""),1.1759183033501766)</f>
        <v>1.175918303</v>
      </c>
      <c r="AM388" s="30">
        <f>IFERROR(__xludf.DUMMYFUNCTION("""COMPUTED_VALUE"""),1.3612942331018167)</f>
        <v>1.361294233</v>
      </c>
      <c r="AN388" s="30">
        <f>IFERROR(__xludf.DUMMYFUNCTION("""COMPUTED_VALUE"""),0.9464248851725094)</f>
        <v>0.9464248852</v>
      </c>
      <c r="AO388" s="30">
        <f>IFERROR(__xludf.DUMMYFUNCTION("""COMPUTED_VALUE"""),0.601598382429769)</f>
        <v>0.6015983824</v>
      </c>
      <c r="AP388" s="30">
        <f>IFERROR(__xludf.DUMMYFUNCTION("""COMPUTED_VALUE"""),1.3083796219199222)</f>
        <v>1.308379622</v>
      </c>
      <c r="AQ388" s="30">
        <f>IFERROR(__xludf.DUMMYFUNCTION("""COMPUTED_VALUE"""),1.2766518999576946)</f>
        <v>1.2766519</v>
      </c>
      <c r="AR388" s="30">
        <f>IFERROR(__xludf.DUMMYFUNCTION("""COMPUTED_VALUE"""),0.8914358639701764)</f>
        <v>0.891435864</v>
      </c>
      <c r="AS388" s="30">
        <f>IFERROR(__xludf.DUMMYFUNCTION("""COMPUTED_VALUE"""),23.0)</f>
        <v>23</v>
      </c>
      <c r="AT388" s="30">
        <f>IFERROR(__xludf.DUMMYFUNCTION("""COMPUTED_VALUE"""),0.3598684708077519)</f>
        <v>0.3598684708</v>
      </c>
      <c r="AU388" s="30">
        <f>IFERROR(__xludf.DUMMYFUNCTION("""COMPUTED_VALUE"""),1.1376862204675946)</f>
        <v>1.13768622</v>
      </c>
      <c r="AV388" s="32">
        <f>IFERROR(__xludf.DUMMYFUNCTION("""COMPUTED_VALUE"""),25.888659037798362)</f>
        <v>25.88865904</v>
      </c>
      <c r="AW388" s="32">
        <f>IFERROR(__xludf.DUMMYFUNCTION("""COMPUTED_VALUE"""),-5.973384843044303)</f>
        <v>-5.973384843</v>
      </c>
      <c r="AX388" s="32">
        <f>IFERROR(__xludf.DUMMYFUNCTION("""COMPUTED_VALUE"""),28.074257102923177)</f>
        <v>28.0742571</v>
      </c>
      <c r="AY388" s="32">
        <f>IFERROR(__xludf.DUMMYFUNCTION("""COMPUTED_VALUE"""),-5.25664936219201)</f>
        <v>-5.256649362</v>
      </c>
      <c r="AZ388" s="30">
        <f>IFERROR(__xludf.DUMMYFUNCTION("""COMPUTED_VALUE"""),0.716735480852293)</f>
        <v>0.7167354809</v>
      </c>
      <c r="BA388" s="30">
        <f>IFERROR(__xludf.DUMMYFUNCTION("""COMPUTED_VALUE"""),1200.0)</f>
        <v>1200</v>
      </c>
    </row>
    <row r="389">
      <c r="A389" s="71" t="str">
        <f>IFERROR(__xludf.DUMMYFUNCTION("""COMPUTED_VALUE"""),"Veteran")</f>
        <v>Veteran</v>
      </c>
      <c r="B389" s="71" t="str">
        <f>IFERROR(__xludf.DUMMYFUNCTION("""COMPUTED_VALUE"""),"RSC005490")</f>
        <v>RSC005490</v>
      </c>
      <c r="C389" s="30" t="str">
        <f>IFERROR(__xludf.DUMMYFUNCTION("""COMPUTED_VALUE"""),"iProfessorEx")</f>
        <v>iProfessorEx</v>
      </c>
      <c r="D389" s="30" t="str">
        <f>IFERROR(__xludf.DUMMYFUNCTION("""COMPUTED_VALUE"""),"Repossessed")</f>
        <v>Repossessed</v>
      </c>
      <c r="E389" s="30">
        <f>IFERROR(__xludf.DUMMYFUNCTION("""COMPUTED_VALUE"""),32.0)</f>
        <v>32</v>
      </c>
      <c r="F389" s="30">
        <f>IFERROR(__xludf.DUMMYFUNCTION("""COMPUTED_VALUE"""),16.0)</f>
        <v>16</v>
      </c>
      <c r="G389" s="42">
        <f>IFERROR(__xludf.DUMMYFUNCTION("""COMPUTED_VALUE"""),16.0)</f>
        <v>16</v>
      </c>
      <c r="H389" s="42">
        <f>IFERROR(__xludf.DUMMYFUNCTION("""COMPUTED_VALUE"""),0.5)</f>
        <v>0.5</v>
      </c>
      <c r="I389" s="42">
        <f>IFERROR(__xludf.DUMMYFUNCTION("""COMPUTED_VALUE"""),0.2804878048780488)</f>
        <v>0.2804878049</v>
      </c>
      <c r="J389" s="30">
        <f>IFERROR(__xludf.DUMMYFUNCTION("""COMPUTED_VALUE"""),382.40625)</f>
        <v>382.40625</v>
      </c>
      <c r="K389" s="30">
        <f>IFERROR(__xludf.DUMMYFUNCTION("""COMPUTED_VALUE"""),0.71875)</f>
        <v>0.71875</v>
      </c>
      <c r="L389" s="30">
        <f>IFERROR(__xludf.DUMMYFUNCTION("""COMPUTED_VALUE"""),0.34375)</f>
        <v>0.34375</v>
      </c>
      <c r="M389" s="30">
        <f>IFERROR(__xludf.DUMMYFUNCTION("""COMPUTED_VALUE"""),1.84375)</f>
        <v>1.84375</v>
      </c>
      <c r="N389" s="30">
        <f>IFERROR(__xludf.DUMMYFUNCTION("""COMPUTED_VALUE"""),2.5625)</f>
        <v>2.5625</v>
      </c>
      <c r="O389" s="30">
        <f>IFERROR(__xludf.DUMMYFUNCTION("""COMPUTED_VALUE"""),331.49999999999994)</f>
        <v>331.5</v>
      </c>
      <c r="P389" s="30">
        <f>IFERROR(__xludf.DUMMYFUNCTION("""COMPUTED_VALUE"""),0.6145833333333333)</f>
        <v>0.6145833333</v>
      </c>
      <c r="Q389" s="30">
        <f>IFERROR(__xludf.DUMMYFUNCTION("""COMPUTED_VALUE"""),0.43749999999999994)</f>
        <v>0.4375</v>
      </c>
      <c r="R389" s="30">
        <f>IFERROR(__xludf.DUMMYFUNCTION("""COMPUTED_VALUE"""),1.4166666666666665)</f>
        <v>1.416666667</v>
      </c>
      <c r="S389" s="30">
        <f>IFERROR(__xludf.DUMMYFUNCTION("""COMPUTED_VALUE"""),2.4479166666666665)</f>
        <v>2.447916667</v>
      </c>
      <c r="T389" s="30">
        <f>IFERROR(__xludf.DUMMYFUNCTION("""COMPUTED_VALUE"""),354.97255938922046)</f>
        <v>354.9725594</v>
      </c>
      <c r="U389" s="30">
        <f>IFERROR(__xludf.DUMMYFUNCTION("""COMPUTED_VALUE"""),0.7885883376596321)</f>
        <v>0.7885883377</v>
      </c>
      <c r="V389" s="30">
        <f>IFERROR(__xludf.DUMMYFUNCTION("""COMPUTED_VALUE"""),0.5796743353448216)</f>
        <v>0.5796743353</v>
      </c>
      <c r="W389" s="30">
        <f>IFERROR(__xludf.DUMMYFUNCTION("""COMPUTED_VALUE"""),1.3574650481128532)</f>
        <v>1.357465048</v>
      </c>
      <c r="X389" s="30">
        <f>IFERROR(__xludf.DUMMYFUNCTION("""COMPUTED_VALUE"""),2.6010513857160453)</f>
        <v>2.601051386</v>
      </c>
      <c r="Y389" s="30">
        <f>IFERROR(__xludf.DUMMYFUNCTION("""COMPUTED_VALUE"""),347.49236573657265)</f>
        <v>347.4923657</v>
      </c>
      <c r="Z389" s="30">
        <f>IFERROR(__xludf.DUMMYFUNCTION("""COMPUTED_VALUE"""),0.7404347685431001)</f>
        <v>0.7404347685</v>
      </c>
      <c r="AA389" s="30">
        <f>IFERROR(__xludf.DUMMYFUNCTION("""COMPUTED_VALUE"""),0.5575125023709807)</f>
        <v>0.5575125024</v>
      </c>
      <c r="AB389" s="30">
        <f>IFERROR(__xludf.DUMMYFUNCTION("""COMPUTED_VALUE"""),1.3412584933624505)</f>
        <v>1.341258493</v>
      </c>
      <c r="AC389" s="30">
        <f>IFERROR(__xludf.DUMMYFUNCTION("""COMPUTED_VALUE"""),2.5302621552818847)</f>
        <v>2.530262155</v>
      </c>
      <c r="AD389" s="30">
        <f>IFERROR(__xludf.DUMMYFUNCTION("""COMPUTED_VALUE"""),1.100473816710825)</f>
        <v>1.100473817</v>
      </c>
      <c r="AE389" s="30">
        <f>IFERROR(__xludf.DUMMYFUNCTION("""COMPUTED_VALUE"""),0.9707134652985466)</f>
        <v>0.9707134653</v>
      </c>
      <c r="AF389" s="30">
        <f>IFERROR(__xludf.DUMMYFUNCTION("""COMPUTED_VALUE"""),0.6165781010077894)</f>
        <v>0.616578101</v>
      </c>
      <c r="AG389" s="30">
        <f>IFERROR(__xludf.DUMMYFUNCTION("""COMPUTED_VALUE"""),1.3746418077680425)</f>
        <v>1.374641808</v>
      </c>
      <c r="AH389" s="30">
        <f>IFERROR(__xludf.DUMMYFUNCTION("""COMPUTED_VALUE"""),1.0127409109174002)</f>
        <v>1.012740911</v>
      </c>
      <c r="AI389" s="30">
        <f>IFERROR(__xludf.DUMMYFUNCTION("""COMPUTED_VALUE"""),0.9338750030999345)</f>
        <v>0.9338750031</v>
      </c>
      <c r="AJ389" s="30">
        <f>IFERROR(__xludf.DUMMYFUNCTION("""COMPUTED_VALUE"""),0.7793462114305293)</f>
        <v>0.7793462114</v>
      </c>
      <c r="AK389" s="30">
        <f>IFERROR(__xludf.DUMMYFUNCTION("""COMPUTED_VALUE"""),0.7547341210815403)</f>
        <v>0.7547341211</v>
      </c>
      <c r="AL389" s="30">
        <f>IFERROR(__xludf.DUMMYFUNCTION("""COMPUTED_VALUE"""),1.0436118916182153)</f>
        <v>1.043611892</v>
      </c>
      <c r="AM389" s="30">
        <f>IFERROR(__xludf.DUMMYFUNCTION("""COMPUTED_VALUE"""),0.9411258386165169)</f>
        <v>0.9411258386</v>
      </c>
      <c r="AN389" s="30">
        <f>IFERROR(__xludf.DUMMYFUNCTION("""COMPUTED_VALUE"""),1.106170242762017)</f>
        <v>1.106170243</v>
      </c>
      <c r="AO389" s="30">
        <f>IFERROR(__xludf.DUMMYFUNCTION("""COMPUTED_VALUE"""),0.9512774422170723)</f>
        <v>0.9512774422</v>
      </c>
      <c r="AP389" s="30">
        <f>IFERROR(__xludf.DUMMYFUNCTION("""COMPUTED_VALUE"""),0.6184138056730882)</f>
        <v>0.6184138057</v>
      </c>
      <c r="AQ389" s="30">
        <f>IFERROR(__xludf.DUMMYFUNCTION("""COMPUTED_VALUE"""),1.3627419129482627)</f>
        <v>1.362741913</v>
      </c>
      <c r="AR389" s="30">
        <f>IFERROR(__xludf.DUMMYFUNCTION("""COMPUTED_VALUE"""),1.0050939366263738)</f>
        <v>1.005093937</v>
      </c>
      <c r="AS389" s="30">
        <f>IFERROR(__xludf.DUMMYFUNCTION("""COMPUTED_VALUE"""),58.0)</f>
        <v>58</v>
      </c>
      <c r="AT389" s="30">
        <f>IFERROR(__xludf.DUMMYFUNCTION("""COMPUTED_VALUE"""),0.49380039872267195)</f>
        <v>0.4938003987</v>
      </c>
      <c r="AU389" s="30">
        <f>IFERROR(__xludf.DUMMYFUNCTION("""COMPUTED_VALUE"""),1.9144746543920947)</f>
        <v>1.914474654</v>
      </c>
      <c r="AV389" s="32">
        <f>IFERROR(__xludf.DUMMYFUNCTION("""COMPUTED_VALUE"""),53.660471942616496)</f>
        <v>53.66047194</v>
      </c>
      <c r="AW389" s="32">
        <f>IFERROR(__xludf.DUMMYFUNCTION("""COMPUTED_VALUE"""),2.2634913902237446)</f>
        <v>2.26349139</v>
      </c>
      <c r="AX389" s="32">
        <f>IFERROR(__xludf.DUMMYFUNCTION("""COMPUTED_VALUE"""),60.36490019352288)</f>
        <v>60.36490019</v>
      </c>
      <c r="AY389" s="32">
        <f>IFERROR(__xludf.DUMMYFUNCTION("""COMPUTED_VALUE"""),2.9479495093820405)</f>
        <v>2.947949509</v>
      </c>
      <c r="AZ389" s="30">
        <f>IFERROR(__xludf.DUMMYFUNCTION("""COMPUTED_VALUE"""),0.6844581191582959)</f>
        <v>0.6844581192</v>
      </c>
      <c r="BA389" s="30">
        <f>IFERROR(__xludf.DUMMYFUNCTION("""COMPUTED_VALUE"""),1200.0)</f>
        <v>1200</v>
      </c>
    </row>
    <row r="390">
      <c r="A390" s="71" t="str">
        <f>IFERROR(__xludf.DUMMYFUNCTION("""COMPUTED_VALUE"""),"Veteran")</f>
        <v>Veteran</v>
      </c>
      <c r="B390" s="71" t="str">
        <f>IFERROR(__xludf.DUMMYFUNCTION("""COMPUTED_VALUE"""),"RSC007443")</f>
        <v>RSC007443</v>
      </c>
      <c r="C390" s="30" t="str">
        <f>IFERROR(__xludf.DUMMYFUNCTION("""COMPUTED_VALUE"""),"Allusion.-.")</f>
        <v>Allusion.-.</v>
      </c>
      <c r="D390" s="30" t="str">
        <f>IFERROR(__xludf.DUMMYFUNCTION("""COMPUTED_VALUE"""),"Possessed")</f>
        <v>Possessed</v>
      </c>
      <c r="E390" s="30">
        <f>IFERROR(__xludf.DUMMYFUNCTION("""COMPUTED_VALUE"""),24.0)</f>
        <v>24</v>
      </c>
      <c r="F390" s="30">
        <f>IFERROR(__xludf.DUMMYFUNCTION("""COMPUTED_VALUE"""),12.0)</f>
        <v>12</v>
      </c>
      <c r="G390" s="42">
        <f>IFERROR(__xludf.DUMMYFUNCTION("""COMPUTED_VALUE"""),12.0)</f>
        <v>12</v>
      </c>
      <c r="H390" s="42">
        <f>IFERROR(__xludf.DUMMYFUNCTION("""COMPUTED_VALUE"""),0.5)</f>
        <v>0.5</v>
      </c>
      <c r="I390" s="42">
        <f>IFERROR(__xludf.DUMMYFUNCTION("""COMPUTED_VALUE"""),0.35294117647058826)</f>
        <v>0.3529411765</v>
      </c>
      <c r="J390" s="30">
        <f>IFERROR(__xludf.DUMMYFUNCTION("""COMPUTED_VALUE"""),319.9166666666667)</f>
        <v>319.9166667</v>
      </c>
      <c r="K390" s="30">
        <f>IFERROR(__xludf.DUMMYFUNCTION("""COMPUTED_VALUE"""),0.75)</f>
        <v>0.75</v>
      </c>
      <c r="L390" s="30">
        <f>IFERROR(__xludf.DUMMYFUNCTION("""COMPUTED_VALUE"""),0.4583333333333333)</f>
        <v>0.4583333333</v>
      </c>
      <c r="M390" s="30">
        <f>IFERROR(__xludf.DUMMYFUNCTION("""COMPUTED_VALUE"""),1.25)</f>
        <v>1.25</v>
      </c>
      <c r="N390" s="30">
        <f>IFERROR(__xludf.DUMMYFUNCTION("""COMPUTED_VALUE"""),2.125)</f>
        <v>2.125</v>
      </c>
      <c r="O390" s="30">
        <f>IFERROR(__xludf.DUMMYFUNCTION("""COMPUTED_VALUE"""),348.9166666666665)</f>
        <v>348.9166667</v>
      </c>
      <c r="P390" s="30">
        <f>IFERROR(__xludf.DUMMYFUNCTION("""COMPUTED_VALUE"""),0.8055555555555557)</f>
        <v>0.8055555556</v>
      </c>
      <c r="Q390" s="30">
        <f>IFERROR(__xludf.DUMMYFUNCTION("""COMPUTED_VALUE"""),0.5555555555555556)</f>
        <v>0.5555555556</v>
      </c>
      <c r="R390" s="30">
        <f>IFERROR(__xludf.DUMMYFUNCTION("""COMPUTED_VALUE"""),1.2638888888888886)</f>
        <v>1.263888889</v>
      </c>
      <c r="S390" s="30">
        <f>IFERROR(__xludf.DUMMYFUNCTION("""COMPUTED_VALUE"""),2.263888888888889)</f>
        <v>2.263888889</v>
      </c>
      <c r="T390" s="30">
        <f>IFERROR(__xludf.DUMMYFUNCTION("""COMPUTED_VALUE"""),348.99513295415977)</f>
        <v>348.995133</v>
      </c>
      <c r="U390" s="30">
        <f>IFERROR(__xludf.DUMMYFUNCTION("""COMPUTED_VALUE"""),0.758797201619744)</f>
        <v>0.7587972016</v>
      </c>
      <c r="V390" s="30">
        <f>IFERROR(__xludf.DUMMYFUNCTION("""COMPUTED_VALUE"""),0.5409553156770929)</f>
        <v>0.5409553157</v>
      </c>
      <c r="W390" s="30">
        <f>IFERROR(__xludf.DUMMYFUNCTION("""COMPUTED_VALUE"""),1.3626091507157845)</f>
        <v>1.362609151</v>
      </c>
      <c r="X390" s="30">
        <f>IFERROR(__xludf.DUMMYFUNCTION("""COMPUTED_VALUE"""),2.526013954579996)</f>
        <v>2.526013955</v>
      </c>
      <c r="Y390" s="30">
        <f>IFERROR(__xludf.DUMMYFUNCTION("""COMPUTED_VALUE"""),353.7963726450339)</f>
        <v>353.7963726</v>
      </c>
      <c r="Z390" s="30">
        <f>IFERROR(__xludf.DUMMYFUNCTION("""COMPUTED_VALUE"""),0.8058756533289569)</f>
        <v>0.8058756533</v>
      </c>
      <c r="AA390" s="30">
        <f>IFERROR(__xludf.DUMMYFUNCTION("""COMPUTED_VALUE"""),0.583962586863125)</f>
        <v>0.5839625869</v>
      </c>
      <c r="AB390" s="30">
        <f>IFERROR(__xludf.DUMMYFUNCTION("""COMPUTED_VALUE"""),1.3257241592627198)</f>
        <v>1.325724159</v>
      </c>
      <c r="AC390" s="30">
        <f>IFERROR(__xludf.DUMMYFUNCTION("""COMPUTED_VALUE"""),2.6269986564110774)</f>
        <v>2.626998656</v>
      </c>
      <c r="AD390" s="30">
        <f>IFERROR(__xludf.DUMMYFUNCTION("""COMPUTED_VALUE"""),0.9042395326863373)</f>
        <v>0.9042395327</v>
      </c>
      <c r="AE390" s="30">
        <f>IFERROR(__xludf.DUMMYFUNCTION("""COMPUTED_VALUE"""),0.9306646712825452)</f>
        <v>0.9306646713</v>
      </c>
      <c r="AF390" s="30">
        <f>IFERROR(__xludf.DUMMYFUNCTION("""COMPUTED_VALUE"""),0.784867633036844)</f>
        <v>0.784867633</v>
      </c>
      <c r="AG390" s="30">
        <f>IFERROR(__xludf.DUMMYFUNCTION("""COMPUTED_VALUE"""),0.9428809087217415)</f>
        <v>0.9428809087</v>
      </c>
      <c r="AH390" s="30">
        <f>IFERROR(__xludf.DUMMYFUNCTION("""COMPUTED_VALUE"""),0.8089079127673052)</f>
        <v>0.8089079128</v>
      </c>
      <c r="AI390" s="30">
        <f>IFERROR(__xludf.DUMMYFUNCTION("""COMPUTED_VALUE"""),0.9997751650952005)</f>
        <v>0.9997751651</v>
      </c>
      <c r="AJ390" s="30">
        <f>IFERROR(__xludf.DUMMYFUNCTION("""COMPUTED_VALUE"""),1.0616216741917346)</f>
        <v>1.061621674</v>
      </c>
      <c r="AK390" s="30">
        <f>IFERROR(__xludf.DUMMYFUNCTION("""COMPUTED_VALUE"""),1.0269897336348164)</f>
        <v>1.026989734</v>
      </c>
      <c r="AL390" s="30">
        <f>IFERROR(__xludf.DUMMYFUNCTION("""COMPUTED_VALUE"""),0.9275505659307823)</f>
        <v>0.9275505659</v>
      </c>
      <c r="AM390" s="30">
        <f>IFERROR(__xludf.DUMMYFUNCTION("""COMPUTED_VALUE"""),0.8962297634120985)</f>
        <v>0.8962297634</v>
      </c>
      <c r="AN390" s="30">
        <f>IFERROR(__xludf.DUMMYFUNCTION("""COMPUTED_VALUE"""),0.9254092913760744)</f>
        <v>0.9254092914</v>
      </c>
      <c r="AO390" s="30">
        <f>IFERROR(__xludf.DUMMYFUNCTION("""COMPUTED_VALUE"""),0.992637331009119)</f>
        <v>0.992637331</v>
      </c>
      <c r="AP390" s="30">
        <f>IFERROR(__xludf.DUMMYFUNCTION("""COMPUTED_VALUE"""),0.824551740897451)</f>
        <v>0.8245517409</v>
      </c>
      <c r="AQ390" s="30">
        <f>IFERROR(__xludf.DUMMYFUNCTION("""COMPUTED_VALUE"""),0.9238928223378052)</f>
        <v>0.9238928223</v>
      </c>
      <c r="AR390" s="30">
        <f>IFERROR(__xludf.DUMMYFUNCTION("""COMPUTED_VALUE"""),0.8334925328121148)</f>
        <v>0.8334925328</v>
      </c>
      <c r="AS390" s="30">
        <f>IFERROR(__xludf.DUMMYFUNCTION("""COMPUTED_VALUE"""),53.0)</f>
        <v>53</v>
      </c>
      <c r="AT390" s="30">
        <f>IFERROR(__xludf.DUMMYFUNCTION("""COMPUTED_VALUE"""),0.46507869743657604)</f>
        <v>0.4650786974</v>
      </c>
      <c r="AU390" s="30">
        <f>IFERROR(__xludf.DUMMYFUNCTION("""COMPUTED_VALUE"""),1.5380219272514104)</f>
        <v>1.538021927</v>
      </c>
      <c r="AV390" s="32">
        <f>IFERROR(__xludf.DUMMYFUNCTION("""COMPUTED_VALUE"""),40.20149875368796)</f>
        <v>40.20149875</v>
      </c>
      <c r="AW390" s="32">
        <f>IFERROR(__xludf.DUMMYFUNCTION("""COMPUTED_VALUE"""),-2.8772734537113087)</f>
        <v>-2.877273454</v>
      </c>
      <c r="AX390" s="32">
        <f>IFERROR(__xludf.DUMMYFUNCTION("""COMPUTED_VALUE"""),47.127997687161375)</f>
        <v>47.12799769</v>
      </c>
      <c r="AY390" s="32">
        <f>IFERROR(__xludf.DUMMYFUNCTION("""COMPUTED_VALUE"""),-2.2013336098717415)</f>
        <v>-2.20133361</v>
      </c>
      <c r="AZ390" s="30">
        <f>IFERROR(__xludf.DUMMYFUNCTION("""COMPUTED_VALUE"""),0.6759398438395672)</f>
        <v>0.6759398438</v>
      </c>
      <c r="BA390" s="30">
        <f>IFERROR(__xludf.DUMMYFUNCTION("""COMPUTED_VALUE"""),1200.0)</f>
        <v>1200</v>
      </c>
    </row>
    <row r="391">
      <c r="A391" s="71" t="str">
        <f>IFERROR(__xludf.DUMMYFUNCTION("""COMPUTED_VALUE"""),"Veteran")</f>
        <v>Veteran</v>
      </c>
      <c r="B391" s="71" t="str">
        <f>IFERROR(__xludf.DUMMYFUNCTION("""COMPUTED_VALUE"""),"RSC006000")</f>
        <v>RSC006000</v>
      </c>
      <c r="C391" s="30" t="str">
        <f>IFERROR(__xludf.DUMMYFUNCTION("""COMPUTED_VALUE"""),"janixity.")</f>
        <v>janixity.</v>
      </c>
      <c r="D391" s="30" t="str">
        <f>IFERROR(__xludf.DUMMYFUNCTION("""COMPUTED_VALUE"""),"Grizzly Bears")</f>
        <v>Grizzly Bears</v>
      </c>
      <c r="E391" s="30">
        <f>IFERROR(__xludf.DUMMYFUNCTION("""COMPUTED_VALUE"""),40.0)</f>
        <v>40</v>
      </c>
      <c r="F391" s="30">
        <f>IFERROR(__xludf.DUMMYFUNCTION("""COMPUTED_VALUE"""),21.0)</f>
        <v>21</v>
      </c>
      <c r="G391" s="42">
        <f>IFERROR(__xludf.DUMMYFUNCTION("""COMPUTED_VALUE"""),19.0)</f>
        <v>19</v>
      </c>
      <c r="H391" s="42">
        <f>IFERROR(__xludf.DUMMYFUNCTION("""COMPUTED_VALUE"""),0.525)</f>
        <v>0.525</v>
      </c>
      <c r="I391" s="42">
        <f>IFERROR(__xludf.DUMMYFUNCTION("""COMPUTED_VALUE"""),0.30097087378640774)</f>
        <v>0.3009708738</v>
      </c>
      <c r="J391" s="30">
        <f>IFERROR(__xludf.DUMMYFUNCTION("""COMPUTED_VALUE"""),352.6)</f>
        <v>352.6</v>
      </c>
      <c r="K391" s="30">
        <f>IFERROR(__xludf.DUMMYFUNCTION("""COMPUTED_VALUE"""),0.775)</f>
        <v>0.775</v>
      </c>
      <c r="L391" s="30">
        <f>IFERROR(__xludf.DUMMYFUNCTION("""COMPUTED_VALUE"""),0.475)</f>
        <v>0.475</v>
      </c>
      <c r="M391" s="30">
        <f>IFERROR(__xludf.DUMMYFUNCTION("""COMPUTED_VALUE"""),1.55)</f>
        <v>1.55</v>
      </c>
      <c r="N391" s="30">
        <f>IFERROR(__xludf.DUMMYFUNCTION("""COMPUTED_VALUE"""),2.575)</f>
        <v>2.575</v>
      </c>
      <c r="O391" s="30">
        <f>IFERROR(__xludf.DUMMYFUNCTION("""COMPUTED_VALUE"""),356.1)</f>
        <v>356.1</v>
      </c>
      <c r="P391" s="30">
        <f>IFERROR(__xludf.DUMMYFUNCTION("""COMPUTED_VALUE"""),0.8249999999999998)</f>
        <v>0.825</v>
      </c>
      <c r="Q391" s="30">
        <f>IFERROR(__xludf.DUMMYFUNCTION("""COMPUTED_VALUE"""),0.55)</f>
        <v>0.55</v>
      </c>
      <c r="R391" s="30">
        <f>IFERROR(__xludf.DUMMYFUNCTION("""COMPUTED_VALUE"""),1.4833333333333336)</f>
        <v>1.483333333</v>
      </c>
      <c r="S391" s="30">
        <f>IFERROR(__xludf.DUMMYFUNCTION("""COMPUTED_VALUE"""),2.6166666666666676)</f>
        <v>2.616666667</v>
      </c>
      <c r="T391" s="30">
        <f>IFERROR(__xludf.DUMMYFUNCTION("""COMPUTED_VALUE"""),356.631708189439)</f>
        <v>356.6317082</v>
      </c>
      <c r="U391" s="30">
        <f>IFERROR(__xludf.DUMMYFUNCTION("""COMPUTED_VALUE"""),0.7803849387631125)</f>
        <v>0.7803849388</v>
      </c>
      <c r="V391" s="30">
        <f>IFERROR(__xludf.DUMMYFUNCTION("""COMPUTED_VALUE"""),0.5704792148780092)</f>
        <v>0.5704792149</v>
      </c>
      <c r="W391" s="30">
        <f>IFERROR(__xludf.DUMMYFUNCTION("""COMPUTED_VALUE"""),1.4786443948815005)</f>
        <v>1.478644395</v>
      </c>
      <c r="X391" s="30">
        <f>IFERROR(__xludf.DUMMYFUNCTION("""COMPUTED_VALUE"""),2.5563217259022486)</f>
        <v>2.556321726</v>
      </c>
      <c r="Y391" s="30">
        <f>IFERROR(__xludf.DUMMYFUNCTION("""COMPUTED_VALUE"""),358.99266943297573)</f>
        <v>358.9926694</v>
      </c>
      <c r="Z391" s="30">
        <f>IFERROR(__xludf.DUMMYFUNCTION("""COMPUTED_VALUE"""),0.8316031914527633)</f>
        <v>0.8316031915</v>
      </c>
      <c r="AA391" s="30">
        <f>IFERROR(__xludf.DUMMYFUNCTION("""COMPUTED_VALUE"""),0.5994860699370508)</f>
        <v>0.5994860699</v>
      </c>
      <c r="AB391" s="30">
        <f>IFERROR(__xludf.DUMMYFUNCTION("""COMPUTED_VALUE"""),1.353528218655941)</f>
        <v>1.353528219</v>
      </c>
      <c r="AC391" s="30">
        <f>IFERROR(__xludf.DUMMYFUNCTION("""COMPUTED_VALUE"""),2.7711305100376764)</f>
        <v>2.77113051</v>
      </c>
      <c r="AD391" s="30">
        <f>IFERROR(__xludf.DUMMYFUNCTION("""COMPUTED_VALUE"""),0.9821927577432908)</f>
        <v>0.9821927577</v>
      </c>
      <c r="AE391" s="30">
        <f>IFERROR(__xludf.DUMMYFUNCTION("""COMPUTED_VALUE"""),0.9319348554280068)</f>
        <v>0.9319348554</v>
      </c>
      <c r="AF391" s="30">
        <f>IFERROR(__xludf.DUMMYFUNCTION("""COMPUTED_VALUE"""),0.7923453501594749)</f>
        <v>0.7923453502</v>
      </c>
      <c r="AG391" s="30">
        <f>IFERROR(__xludf.DUMMYFUNCTION("""COMPUTED_VALUE"""),1.1451552901786979)</f>
        <v>1.14515529</v>
      </c>
      <c r="AH391" s="30">
        <f>IFERROR(__xludf.DUMMYFUNCTION("""COMPUTED_VALUE"""),0.9292236474149282)</f>
        <v>0.9292236474</v>
      </c>
      <c r="AI391" s="30">
        <f>IFERROR(__xludf.DUMMYFUNCTION("""COMPUTED_VALUE"""),0.9985090832440605)</f>
        <v>0.9985090832</v>
      </c>
      <c r="AJ391" s="30">
        <f>IFERROR(__xludf.DUMMYFUNCTION("""COMPUTED_VALUE"""),1.0571705821329676)</f>
        <v>1.057170582</v>
      </c>
      <c r="AK391" s="30">
        <f>IFERROR(__xludf.DUMMYFUNCTION("""COMPUTED_VALUE"""),0.9641017335182169)</f>
        <v>0.9641017335</v>
      </c>
      <c r="AL391" s="30">
        <f>IFERROR(__xludf.DUMMYFUNCTION("""COMPUTED_VALUE"""),1.0031711062295061)</f>
        <v>1.003171106</v>
      </c>
      <c r="AM391" s="30">
        <f>IFERROR(__xludf.DUMMYFUNCTION("""COMPUTED_VALUE"""),1.0236061604269002)</f>
        <v>1.02360616</v>
      </c>
      <c r="AN391" s="30">
        <f>IFERROR(__xludf.DUMMYFUNCTION("""COMPUTED_VALUE"""),1.0199509751681286)</f>
        <v>1.019950975</v>
      </c>
      <c r="AO391" s="30">
        <f>IFERROR(__xludf.DUMMYFUNCTION("""COMPUTED_VALUE"""),1.0257252420427563)</f>
        <v>1.025725242</v>
      </c>
      <c r="AP391" s="30">
        <f>IFERROR(__xludf.DUMMYFUNCTION("""COMPUTED_VALUE"""),0.8545354405664491)</f>
        <v>0.8545354406</v>
      </c>
      <c r="AQ391" s="30">
        <f>IFERROR(__xludf.DUMMYFUNCTION("""COMPUTED_VALUE"""),1.1456270996988787)</f>
        <v>1.1456271</v>
      </c>
      <c r="AR391" s="30">
        <f>IFERROR(__xludf.DUMMYFUNCTION("""COMPUTED_VALUE"""),1.0099968338782097)</f>
        <v>1.009996834</v>
      </c>
      <c r="AS391" s="30">
        <f>IFERROR(__xludf.DUMMYFUNCTION("""COMPUTED_VALUE"""),100.0)</f>
        <v>100</v>
      </c>
      <c r="AT391" s="30">
        <f>IFERROR(__xludf.DUMMYFUNCTION("""COMPUTED_VALUE"""),0.5039819061272856)</f>
        <v>0.5039819061</v>
      </c>
      <c r="AU391" s="30">
        <f>IFERROR(__xludf.DUMMYFUNCTION("""COMPUTED_VALUE"""),1.7343790018080125)</f>
        <v>1.734379002</v>
      </c>
      <c r="AV391" s="32">
        <f>IFERROR(__xludf.DUMMYFUNCTION("""COMPUTED_VALUE"""),47.22167528949539)</f>
        <v>47.22167529</v>
      </c>
      <c r="AW391" s="32">
        <f>IFERROR(__xludf.DUMMYFUNCTION("""COMPUTED_VALUE"""),-2.1941591948272183)</f>
        <v>-2.194159195</v>
      </c>
      <c r="AX391" s="32">
        <f>IFERROR(__xludf.DUMMYFUNCTION("""COMPUTED_VALUE"""),40.34082365592371)</f>
        <v>40.34082366</v>
      </c>
      <c r="AY391" s="32">
        <f>IFERROR(__xludf.DUMMYFUNCTION("""COMPUTED_VALUE"""),-2.860310255939839)</f>
        <v>-2.860310256</v>
      </c>
      <c r="AZ391" s="30">
        <f>IFERROR(__xludf.DUMMYFUNCTION("""COMPUTED_VALUE"""),0.6661510611126205)</f>
        <v>0.6661510611</v>
      </c>
      <c r="BA391" s="30">
        <f>IFERROR(__xludf.DUMMYFUNCTION("""COMPUTED_VALUE"""),1200.0)</f>
        <v>1200</v>
      </c>
    </row>
    <row r="392">
      <c r="A392" s="71" t="str">
        <f>IFERROR(__xludf.DUMMYFUNCTION("""COMPUTED_VALUE"""),"Veteran")</f>
        <v>Veteran</v>
      </c>
      <c r="B392" s="71" t="str">
        <f>IFERROR(__xludf.DUMMYFUNCTION("""COMPUTED_VALUE"""),"RSC006869")</f>
        <v>RSC006869</v>
      </c>
      <c r="C392" s="30" t="str">
        <f>IFERROR(__xludf.DUMMYFUNCTION("""COMPUTED_VALUE"""),"Flurry ^-^")</f>
        <v>Flurry ^-^</v>
      </c>
      <c r="D392" s="30" t="str">
        <f>IFERROR(__xludf.DUMMYFUNCTION("""COMPUTED_VALUE"""),"Dump Trucks")</f>
        <v>Dump Trucks</v>
      </c>
      <c r="E392" s="30">
        <f>IFERROR(__xludf.DUMMYFUNCTION("""COMPUTED_VALUE"""),35.0)</f>
        <v>35</v>
      </c>
      <c r="F392" s="30">
        <f>IFERROR(__xludf.DUMMYFUNCTION("""COMPUTED_VALUE"""),13.0)</f>
        <v>13</v>
      </c>
      <c r="G392" s="42">
        <f>IFERROR(__xludf.DUMMYFUNCTION("""COMPUTED_VALUE"""),22.0)</f>
        <v>22</v>
      </c>
      <c r="H392" s="42">
        <f>IFERROR(__xludf.DUMMYFUNCTION("""COMPUTED_VALUE"""),0.37142857142857144)</f>
        <v>0.3714285714</v>
      </c>
      <c r="I392" s="42">
        <f>IFERROR(__xludf.DUMMYFUNCTION("""COMPUTED_VALUE"""),0.3333333333333333)</f>
        <v>0.3333333333</v>
      </c>
      <c r="J392" s="30">
        <f>IFERROR(__xludf.DUMMYFUNCTION("""COMPUTED_VALUE"""),347.8)</f>
        <v>347.8</v>
      </c>
      <c r="K392" s="30">
        <f>IFERROR(__xludf.DUMMYFUNCTION("""COMPUTED_VALUE"""),0.8857142857142857)</f>
        <v>0.8857142857</v>
      </c>
      <c r="L392" s="30">
        <f>IFERROR(__xludf.DUMMYFUNCTION("""COMPUTED_VALUE"""),0.5428571428571428)</f>
        <v>0.5428571429</v>
      </c>
      <c r="M392" s="30">
        <f>IFERROR(__xludf.DUMMYFUNCTION("""COMPUTED_VALUE"""),1.1428571428571428)</f>
        <v>1.142857143</v>
      </c>
      <c r="N392" s="30">
        <f>IFERROR(__xludf.DUMMYFUNCTION("""COMPUTED_VALUE"""),2.657142857142857)</f>
        <v>2.657142857</v>
      </c>
      <c r="O392" s="30">
        <f>IFERROR(__xludf.DUMMYFUNCTION("""COMPUTED_VALUE"""),338.58095238095234)</f>
        <v>338.5809524</v>
      </c>
      <c r="P392" s="30">
        <f>IFERROR(__xludf.DUMMYFUNCTION("""COMPUTED_VALUE"""),0.7428571428571428)</f>
        <v>0.7428571429</v>
      </c>
      <c r="Q392" s="30">
        <f>IFERROR(__xludf.DUMMYFUNCTION("""COMPUTED_VALUE"""),0.619047619047619)</f>
        <v>0.619047619</v>
      </c>
      <c r="R392" s="30">
        <f>IFERROR(__xludf.DUMMYFUNCTION("""COMPUTED_VALUE"""),1.114285714285714)</f>
        <v>1.114285714</v>
      </c>
      <c r="S392" s="30">
        <f>IFERROR(__xludf.DUMMYFUNCTION("""COMPUTED_VALUE"""),2.590476190476191)</f>
        <v>2.59047619</v>
      </c>
      <c r="T392" s="30">
        <f>IFERROR(__xludf.DUMMYFUNCTION("""COMPUTED_VALUE"""),349.410648787228)</f>
        <v>349.4106488</v>
      </c>
      <c r="U392" s="30">
        <f>IFERROR(__xludf.DUMMYFUNCTION("""COMPUTED_VALUE"""),0.7420178720825836)</f>
        <v>0.7420178721</v>
      </c>
      <c r="V392" s="30">
        <f>IFERROR(__xludf.DUMMYFUNCTION("""COMPUTED_VALUE"""),0.5737813012139633)</f>
        <v>0.5737813012</v>
      </c>
      <c r="W392" s="30">
        <f>IFERROR(__xludf.DUMMYFUNCTION("""COMPUTED_VALUE"""),1.3521576454306479)</f>
        <v>1.352157645</v>
      </c>
      <c r="X392" s="30">
        <f>IFERROR(__xludf.DUMMYFUNCTION("""COMPUTED_VALUE"""),2.5935387898427837)</f>
        <v>2.59353879</v>
      </c>
      <c r="Y392" s="30">
        <f>IFERROR(__xludf.DUMMYFUNCTION("""COMPUTED_VALUE"""),344.44345637557035)</f>
        <v>344.4434564</v>
      </c>
      <c r="Z392" s="30">
        <f>IFERROR(__xludf.DUMMYFUNCTION("""COMPUTED_VALUE"""),0.7287895542834535)</f>
        <v>0.7287895543</v>
      </c>
      <c r="AA392" s="30">
        <f>IFERROR(__xludf.DUMMYFUNCTION("""COMPUTED_VALUE"""),0.5338646672051081)</f>
        <v>0.5338646672</v>
      </c>
      <c r="AB392" s="30">
        <f>IFERROR(__xludf.DUMMYFUNCTION("""COMPUTED_VALUE"""),1.3474721573747674)</f>
        <v>1.347472157</v>
      </c>
      <c r="AC392" s="30">
        <f>IFERROR(__xludf.DUMMYFUNCTION("""COMPUTED_VALUE"""),2.5254059868649823)</f>
        <v>2.525405987</v>
      </c>
      <c r="AD392" s="30">
        <f>IFERROR(__xludf.DUMMYFUNCTION("""COMPUTED_VALUE"""),1.009744832024824)</f>
        <v>1.009744832</v>
      </c>
      <c r="AE392" s="30">
        <f>IFERROR(__xludf.DUMMYFUNCTION("""COMPUTED_VALUE"""),1.2153224212785552)</f>
        <v>1.215322421</v>
      </c>
      <c r="AF392" s="30">
        <f>IFERROR(__xludf.DUMMYFUNCTION("""COMPUTED_VALUE"""),1.0168441108850905)</f>
        <v>1.016844111</v>
      </c>
      <c r="AG392" s="30">
        <f>IFERROR(__xludf.DUMMYFUNCTION("""COMPUTED_VALUE"""),0.8481489851959028)</f>
        <v>0.8481489852</v>
      </c>
      <c r="AH392" s="30">
        <f>IFERROR(__xludf.DUMMYFUNCTION("""COMPUTED_VALUE"""),1.052164630543785)</f>
        <v>1.052164631</v>
      </c>
      <c r="AI392" s="30">
        <f>IFERROR(__xludf.DUMMYFUNCTION("""COMPUTED_VALUE"""),0.9690058203896631)</f>
        <v>0.9690058204</v>
      </c>
      <c r="AJ392" s="30">
        <f>IFERROR(__xludf.DUMMYFUNCTION("""COMPUTED_VALUE"""),1.0011310654448304)</f>
        <v>1.001131065</v>
      </c>
      <c r="AK392" s="30">
        <f>IFERROR(__xludf.DUMMYFUNCTION("""COMPUTED_VALUE"""),1.0788912391147718)</f>
        <v>1.078891239</v>
      </c>
      <c r="AL392" s="30">
        <f>IFERROR(__xludf.DUMMYFUNCTION("""COMPUTED_VALUE"""),0.8240797351190703)</f>
        <v>0.8240797351</v>
      </c>
      <c r="AM392" s="30">
        <f>IFERROR(__xludf.DUMMYFUNCTION("""COMPUTED_VALUE"""),0.9988191426407089)</f>
        <v>0.9988191426</v>
      </c>
      <c r="AN392" s="30">
        <f>IFERROR(__xludf.DUMMYFUNCTION("""COMPUTED_VALUE"""),1.0060662199758228)</f>
        <v>1.00606622</v>
      </c>
      <c r="AO392" s="30">
        <f>IFERROR(__xludf.DUMMYFUNCTION("""COMPUTED_VALUE"""),1.1722574194774356)</f>
        <v>1.172257419</v>
      </c>
      <c r="AP392" s="30">
        <f>IFERROR(__xludf.DUMMYFUNCTION("""COMPUTED_VALUE"""),0.9766119320759419)</f>
        <v>0.9766119321</v>
      </c>
      <c r="AQ392" s="30">
        <f>IFERROR(__xludf.DUMMYFUNCTION("""COMPUTED_VALUE"""),0.8447020089945648)</f>
        <v>0.844702009</v>
      </c>
      <c r="AR392" s="30">
        <f>IFERROR(__xludf.DUMMYFUNCTION("""COMPUTED_VALUE"""),1.0422158729617033)</f>
        <v>1.042215873</v>
      </c>
      <c r="AS392" s="30">
        <f>IFERROR(__xludf.DUMMYFUNCTION("""COMPUTED_VALUE"""),71.0)</f>
        <v>71</v>
      </c>
      <c r="AT392" s="30">
        <f>IFERROR(__xludf.DUMMYFUNCTION("""COMPUTED_VALUE"""),0.46443486405608975)</f>
        <v>0.4644348641</v>
      </c>
      <c r="AU392" s="30">
        <f>IFERROR(__xludf.DUMMYFUNCTION("""COMPUTED_VALUE"""),2.1120461366034724)</f>
        <v>2.112046137</v>
      </c>
      <c r="AV392" s="32">
        <f>IFERROR(__xludf.DUMMYFUNCTION("""COMPUTED_VALUE"""),60.72406609473448)</f>
        <v>60.72406609</v>
      </c>
      <c r="AW392" s="32">
        <f>IFERROR(__xludf.DUMMYFUNCTION("""COMPUTED_VALUE"""),2.994234255336668)</f>
        <v>2.994234255</v>
      </c>
      <c r="AX392" s="32">
        <f>IFERROR(__xludf.DUMMYFUNCTION("""COMPUTED_VALUE"""),65.01203352490384)</f>
        <v>65.01203352</v>
      </c>
      <c r="AY392" s="32">
        <f>IFERROR(__xludf.DUMMYFUNCTION("""COMPUTED_VALUE"""),3.6484000896419446)</f>
        <v>3.64840009</v>
      </c>
      <c r="AZ392" s="30">
        <f>IFERROR(__xludf.DUMMYFUNCTION("""COMPUTED_VALUE"""),0.6541658343052767)</f>
        <v>0.6541658343</v>
      </c>
      <c r="BA392" s="30">
        <f>IFERROR(__xludf.DUMMYFUNCTION("""COMPUTED_VALUE"""),1200.0)</f>
        <v>1200</v>
      </c>
    </row>
    <row r="393">
      <c r="A393" s="71" t="str">
        <f>IFERROR(__xludf.DUMMYFUNCTION("""COMPUTED_VALUE"""),"Veteran")</f>
        <v>Veteran</v>
      </c>
      <c r="B393" s="71" t="str">
        <f>IFERROR(__xludf.DUMMYFUNCTION("""COMPUTED_VALUE"""),"RSC007207")</f>
        <v>RSC007207</v>
      </c>
      <c r="C393" s="30" t="str">
        <f>IFERROR(__xludf.DUMMYFUNCTION("""COMPUTED_VALUE"""),".S")</f>
        <v>.S</v>
      </c>
      <c r="D393" s="30" t="str">
        <f>IFERROR(__xludf.DUMMYFUNCTION("""COMPUTED_VALUE"""),"Folks")</f>
        <v>Folks</v>
      </c>
      <c r="E393" s="30">
        <f>IFERROR(__xludf.DUMMYFUNCTION("""COMPUTED_VALUE"""),44.0)</f>
        <v>44</v>
      </c>
      <c r="F393" s="30">
        <f>IFERROR(__xludf.DUMMYFUNCTION("""COMPUTED_VALUE"""),21.0)</f>
        <v>21</v>
      </c>
      <c r="G393" s="42">
        <f>IFERROR(__xludf.DUMMYFUNCTION("""COMPUTED_VALUE"""),23.0)</f>
        <v>23</v>
      </c>
      <c r="H393" s="42">
        <f>IFERROR(__xludf.DUMMYFUNCTION("""COMPUTED_VALUE"""),0.4772727272727273)</f>
        <v>0.4772727273</v>
      </c>
      <c r="I393" s="42">
        <f>IFERROR(__xludf.DUMMYFUNCTION("""COMPUTED_VALUE"""),0.3125)</f>
        <v>0.3125</v>
      </c>
      <c r="J393" s="30">
        <f>IFERROR(__xludf.DUMMYFUNCTION("""COMPUTED_VALUE"""),371.0681818181818)</f>
        <v>371.0681818</v>
      </c>
      <c r="K393" s="30">
        <f>IFERROR(__xludf.DUMMYFUNCTION("""COMPUTED_VALUE"""),0.9090909090909091)</f>
        <v>0.9090909091</v>
      </c>
      <c r="L393" s="30">
        <f>IFERROR(__xludf.DUMMYFUNCTION("""COMPUTED_VALUE"""),0.5454545454545454)</f>
        <v>0.5454545455</v>
      </c>
      <c r="M393" s="30">
        <f>IFERROR(__xludf.DUMMYFUNCTION("""COMPUTED_VALUE"""),1.0454545454545454)</f>
        <v>1.045454545</v>
      </c>
      <c r="N393" s="30">
        <f>IFERROR(__xludf.DUMMYFUNCTION("""COMPUTED_VALUE"""),2.909090909090909)</f>
        <v>2.909090909</v>
      </c>
      <c r="O393" s="30">
        <f>IFERROR(__xludf.DUMMYFUNCTION("""COMPUTED_VALUE"""),372.53030303030295)</f>
        <v>372.530303</v>
      </c>
      <c r="P393" s="30">
        <f>IFERROR(__xludf.DUMMYFUNCTION("""COMPUTED_VALUE"""),0.8863636363636366)</f>
        <v>0.8863636364</v>
      </c>
      <c r="Q393" s="30">
        <f>IFERROR(__xludf.DUMMYFUNCTION("""COMPUTED_VALUE"""),0.6818181818181818)</f>
        <v>0.6818181818</v>
      </c>
      <c r="R393" s="30">
        <f>IFERROR(__xludf.DUMMYFUNCTION("""COMPUTED_VALUE"""),1.416666666666667)</f>
        <v>1.416666667</v>
      </c>
      <c r="S393" s="30">
        <f>IFERROR(__xludf.DUMMYFUNCTION("""COMPUTED_VALUE"""),2.689393939393939)</f>
        <v>2.689393939</v>
      </c>
      <c r="T393" s="30">
        <f>IFERROR(__xludf.DUMMYFUNCTION("""COMPUTED_VALUE"""),356.3784857422715)</f>
        <v>356.3784857</v>
      </c>
      <c r="U393" s="30">
        <f>IFERROR(__xludf.DUMMYFUNCTION("""COMPUTED_VALUE"""),0.7961631612897828)</f>
        <v>0.7961631613</v>
      </c>
      <c r="V393" s="30">
        <f>IFERROR(__xludf.DUMMYFUNCTION("""COMPUTED_VALUE"""),0.6142963140300229)</f>
        <v>0.614296314</v>
      </c>
      <c r="W393" s="30">
        <f>IFERROR(__xludf.DUMMYFUNCTION("""COMPUTED_VALUE"""),1.3407387719533554)</f>
        <v>1.340738772</v>
      </c>
      <c r="X393" s="30">
        <f>IFERROR(__xludf.DUMMYFUNCTION("""COMPUTED_VALUE"""),2.584603171227725)</f>
        <v>2.584603171</v>
      </c>
      <c r="Y393" s="30">
        <f>IFERROR(__xludf.DUMMYFUNCTION("""COMPUTED_VALUE"""),351.6153744403925)</f>
        <v>351.6153744</v>
      </c>
      <c r="Z393" s="30">
        <f>IFERROR(__xludf.DUMMYFUNCTION("""COMPUTED_VALUE"""),0.7924487208300249)</f>
        <v>0.7924487208</v>
      </c>
      <c r="AA393" s="30">
        <f>IFERROR(__xludf.DUMMYFUNCTION("""COMPUTED_VALUE"""),0.5767148678441872)</f>
        <v>0.5767148678</v>
      </c>
      <c r="AB393" s="30">
        <f>IFERROR(__xludf.DUMMYFUNCTION("""COMPUTED_VALUE"""),1.2981016667194583)</f>
        <v>1.298101667</v>
      </c>
      <c r="AC393" s="30">
        <f>IFERROR(__xludf.DUMMYFUNCTION("""COMPUTED_VALUE"""),2.68465081688733)</f>
        <v>2.684650817</v>
      </c>
      <c r="AD393" s="30">
        <f>IFERROR(__xludf.DUMMYFUNCTION("""COMPUTED_VALUE"""),1.0553241092166379)</f>
        <v>1.055324109</v>
      </c>
      <c r="AE393" s="30">
        <f>IFERROR(__xludf.DUMMYFUNCTION("""COMPUTED_VALUE"""),1.147192096087569)</f>
        <v>1.147192096</v>
      </c>
      <c r="AF393" s="30">
        <f>IFERROR(__xludf.DUMMYFUNCTION("""COMPUTED_VALUE"""),0.9457958791551607)</f>
        <v>0.9457958792</v>
      </c>
      <c r="AG393" s="30">
        <f>IFERROR(__xludf.DUMMYFUNCTION("""COMPUTED_VALUE"""),0.8053718535749218)</f>
        <v>0.8053718536</v>
      </c>
      <c r="AH393" s="30">
        <f>IFERROR(__xludf.DUMMYFUNCTION("""COMPUTED_VALUE"""),1.0836012232174768)</f>
        <v>1.083601223</v>
      </c>
      <c r="AI393" s="30">
        <f>IFERROR(__xludf.DUMMYFUNCTION("""COMPUTED_VALUE"""),1.0453220885497343)</f>
        <v>1.045322089</v>
      </c>
      <c r="AJ393" s="30">
        <f>IFERROR(__xludf.DUMMYFUNCTION("""COMPUTED_VALUE"""),1.1132939571428162)</f>
        <v>1.113293957</v>
      </c>
      <c r="AK393" s="30">
        <f>IFERROR(__xludf.DUMMYFUNCTION("""COMPUTED_VALUE"""),1.1099174229862931)</f>
        <v>1.109917423</v>
      </c>
      <c r="AL393" s="30">
        <f>IFERROR(__xludf.DUMMYFUNCTION("""COMPUTED_VALUE"""),1.056631385846096)</f>
        <v>1.056631386</v>
      </c>
      <c r="AM393" s="30">
        <f>IFERROR(__xludf.DUMMYFUNCTION("""COMPUTED_VALUE"""),1.0405442387956356)</f>
        <v>1.040544239</v>
      </c>
      <c r="AN393" s="30">
        <f>IFERROR(__xludf.DUMMYFUNCTION("""COMPUTED_VALUE"""),1.0733730967082218)</f>
        <v>1.073373097</v>
      </c>
      <c r="AO393" s="30">
        <f>IFERROR(__xludf.DUMMYFUNCTION("""COMPUTED_VALUE"""),1.203196764859538)</f>
        <v>1.203196765</v>
      </c>
      <c r="AP393" s="30">
        <f>IFERROR(__xludf.DUMMYFUNCTION("""COMPUTED_VALUE"""),0.9812847164399416)</f>
        <v>0.9812847164</v>
      </c>
      <c r="AQ393" s="30">
        <f>IFERROR(__xludf.DUMMYFUNCTION("""COMPUTED_VALUE"""),0.7727103605007098)</f>
        <v>0.7727103605</v>
      </c>
      <c r="AR393" s="30">
        <f>IFERROR(__xludf.DUMMYFUNCTION("""COMPUTED_VALUE"""),1.1410379058818256)</f>
        <v>1.141037906</v>
      </c>
      <c r="AS393" s="30">
        <f>IFERROR(__xludf.DUMMYFUNCTION("""COMPUTED_VALUE"""),112.0)</f>
        <v>112</v>
      </c>
      <c r="AT393" s="30">
        <f>IFERROR(__xludf.DUMMYFUNCTION("""COMPUTED_VALUE"""),0.4824774410407174)</f>
        <v>0.482477441</v>
      </c>
      <c r="AU393" s="30">
        <f>IFERROR(__xludf.DUMMYFUNCTION("""COMPUTED_VALUE"""),2.0818967806274533)</f>
        <v>2.081896781</v>
      </c>
      <c r="AV393" s="32">
        <f>IFERROR(__xludf.DUMMYFUNCTION("""COMPUTED_VALUE"""),59.646163493717964)</f>
        <v>59.64616349</v>
      </c>
      <c r="AW393" s="32">
        <f>IFERROR(__xludf.DUMMYFUNCTION("""COMPUTED_VALUE"""),2.8587342514837415)</f>
        <v>2.858734251</v>
      </c>
      <c r="AX393" s="32">
        <f>IFERROR(__xludf.DUMMYFUNCTION("""COMPUTED_VALUE"""),53.08714540354423)</f>
        <v>53.0871454</v>
      </c>
      <c r="AY393" s="32">
        <f>IFERROR(__xludf.DUMMYFUNCTION("""COMPUTED_VALUE"""),2.217977492862998)</f>
        <v>2.217977493</v>
      </c>
      <c r="AZ393" s="30">
        <f>IFERROR(__xludf.DUMMYFUNCTION("""COMPUTED_VALUE"""),0.6407567586207437)</f>
        <v>0.6407567586</v>
      </c>
      <c r="BA393" s="30">
        <f>IFERROR(__xludf.DUMMYFUNCTION("""COMPUTED_VALUE"""),1200.0)</f>
        <v>1200</v>
      </c>
    </row>
    <row r="394">
      <c r="A394" s="71" t="str">
        <f>IFERROR(__xludf.DUMMYFUNCTION("""COMPUTED_VALUE"""),"Veteran")</f>
        <v>Veteran</v>
      </c>
      <c r="B394" s="71" t="str">
        <f>IFERROR(__xludf.DUMMYFUNCTION("""COMPUTED_VALUE"""),"RSC000023")</f>
        <v>RSC000023</v>
      </c>
      <c r="C394" s="30" t="str">
        <f>IFERROR(__xludf.DUMMYFUNCTION("""COMPUTED_VALUE"""),"n0maa")</f>
        <v>n0maa</v>
      </c>
      <c r="D394" s="30"/>
      <c r="E394" s="30">
        <f>IFERROR(__xludf.DUMMYFUNCTION("""COMPUTED_VALUE"""),4.0)</f>
        <v>4</v>
      </c>
      <c r="F394" s="30">
        <f>IFERROR(__xludf.DUMMYFUNCTION("""COMPUTED_VALUE"""),1.0)</f>
        <v>1</v>
      </c>
      <c r="G394" s="42">
        <f>IFERROR(__xludf.DUMMYFUNCTION("""COMPUTED_VALUE"""),3.0)</f>
        <v>3</v>
      </c>
      <c r="H394" s="42">
        <f>IFERROR(__xludf.DUMMYFUNCTION("""COMPUTED_VALUE"""),0.25)</f>
        <v>0.25</v>
      </c>
      <c r="I394" s="42">
        <f>IFERROR(__xludf.DUMMYFUNCTION("""COMPUTED_VALUE"""),0.07692307692307693)</f>
        <v>0.07692307692</v>
      </c>
      <c r="J394" s="30">
        <f>IFERROR(__xludf.DUMMYFUNCTION("""COMPUTED_VALUE"""),350.5)</f>
        <v>350.5</v>
      </c>
      <c r="K394" s="30">
        <f>IFERROR(__xludf.DUMMYFUNCTION("""COMPUTED_VALUE"""),0.25)</f>
        <v>0.25</v>
      </c>
      <c r="L394" s="30">
        <f>IFERROR(__xludf.DUMMYFUNCTION("""COMPUTED_VALUE"""),1.25)</f>
        <v>1.25</v>
      </c>
      <c r="M394" s="30">
        <f>IFERROR(__xludf.DUMMYFUNCTION("""COMPUTED_VALUE"""),1.75)</f>
        <v>1.75</v>
      </c>
      <c r="N394" s="30">
        <f>IFERROR(__xludf.DUMMYFUNCTION("""COMPUTED_VALUE"""),3.25)</f>
        <v>3.25</v>
      </c>
      <c r="O394" s="30">
        <f>IFERROR(__xludf.DUMMYFUNCTION("""COMPUTED_VALUE"""),392.50000000000006)</f>
        <v>392.5</v>
      </c>
      <c r="P394" s="30">
        <f>IFERROR(__xludf.DUMMYFUNCTION("""COMPUTED_VALUE"""),1.1666666666666667)</f>
        <v>1.166666667</v>
      </c>
      <c r="Q394" s="30">
        <f>IFERROR(__xludf.DUMMYFUNCTION("""COMPUTED_VALUE"""),0.8333333333333334)</f>
        <v>0.8333333333</v>
      </c>
      <c r="R394" s="30">
        <f>IFERROR(__xludf.DUMMYFUNCTION("""COMPUTED_VALUE"""),1.3333333333333333)</f>
        <v>1.333333333</v>
      </c>
      <c r="S394" s="30">
        <f>IFERROR(__xludf.DUMMYFUNCTION("""COMPUTED_VALUE"""),3.3333333333333335)</f>
        <v>3.333333333</v>
      </c>
      <c r="T394" s="30">
        <f>IFERROR(__xludf.DUMMYFUNCTION("""COMPUTED_VALUE"""),322.45652173913044)</f>
        <v>322.4565217</v>
      </c>
      <c r="U394" s="30">
        <f>IFERROR(__xludf.DUMMYFUNCTION("""COMPUTED_VALUE"""),0.7780797101449276)</f>
        <v>0.7780797101</v>
      </c>
      <c r="V394" s="30">
        <f>IFERROR(__xludf.DUMMYFUNCTION("""COMPUTED_VALUE"""),0.6899154589371981)</f>
        <v>0.6899154589</v>
      </c>
      <c r="W394" s="30">
        <f>IFERROR(__xludf.DUMMYFUNCTION("""COMPUTED_VALUE"""),1.0552536231884055)</f>
        <v>1.055253623</v>
      </c>
      <c r="X394" s="30">
        <f>IFERROR(__xludf.DUMMYFUNCTION("""COMPUTED_VALUE"""),2.676328502415459)</f>
        <v>2.676328502</v>
      </c>
      <c r="Y394" s="30">
        <f>IFERROR(__xludf.DUMMYFUNCTION("""COMPUTED_VALUE"""),370.3084742351046)</f>
        <v>370.3084742</v>
      </c>
      <c r="Z394" s="30">
        <f>IFERROR(__xludf.DUMMYFUNCTION("""COMPUTED_VALUE"""),0.8054549114331723)</f>
        <v>0.8054549114</v>
      </c>
      <c r="AA394" s="30">
        <f>IFERROR(__xludf.DUMMYFUNCTION("""COMPUTED_VALUE"""),0.5871578099838971)</f>
        <v>0.58715781</v>
      </c>
      <c r="AB394" s="30">
        <f>IFERROR(__xludf.DUMMYFUNCTION("""COMPUTED_VALUE"""),1.5579710144927539)</f>
        <v>1.557971014</v>
      </c>
      <c r="AC394" s="30">
        <f>IFERROR(__xludf.DUMMYFUNCTION("""COMPUTED_VALUE"""),2.7034017713365537)</f>
        <v>2.703401771</v>
      </c>
      <c r="AD394" s="30">
        <f>IFERROR(__xludf.DUMMYFUNCTION("""COMPUTED_VALUE"""),0.9465081800355224)</f>
        <v>0.94650818</v>
      </c>
      <c r="AE394" s="30">
        <f>IFERROR(__xludf.DUMMYFUNCTION("""COMPUTED_VALUE"""),0.3103836061476946)</f>
        <v>0.3103836061</v>
      </c>
      <c r="AF394" s="30">
        <f>IFERROR(__xludf.DUMMYFUNCTION("""COMPUTED_VALUE"""),2.1288995543366465)</f>
        <v>2.128899554</v>
      </c>
      <c r="AG394" s="30">
        <f>IFERROR(__xludf.DUMMYFUNCTION("""COMPUTED_VALUE"""),1.1232558139534883)</f>
        <v>1.123255814</v>
      </c>
      <c r="AH394" s="30">
        <f>IFERROR(__xludf.DUMMYFUNCTION("""COMPUTED_VALUE"""),1.2021890473176726)</f>
        <v>1.202189047</v>
      </c>
      <c r="AI394" s="30">
        <f>IFERROR(__xludf.DUMMYFUNCTION("""COMPUTED_VALUE"""),1.2172183644576284)</f>
        <v>1.217218364</v>
      </c>
      <c r="AJ394" s="30">
        <f>IFERROR(__xludf.DUMMYFUNCTION("""COMPUTED_VALUE"""),1.49941792782305)</f>
        <v>1.499417928</v>
      </c>
      <c r="AK394" s="30">
        <f>IFERROR(__xludf.DUMMYFUNCTION("""COMPUTED_VALUE"""),1.2078774617067833)</f>
        <v>1.207877462</v>
      </c>
      <c r="AL394" s="30">
        <f>IFERROR(__xludf.DUMMYFUNCTION("""COMPUTED_VALUE"""),1.2635193133047213)</f>
        <v>1.263519313</v>
      </c>
      <c r="AM394" s="30">
        <f>IFERROR(__xludf.DUMMYFUNCTION("""COMPUTED_VALUE"""),1.2454873646209388)</f>
        <v>1.245487365</v>
      </c>
      <c r="AN394" s="30">
        <f>IFERROR(__xludf.DUMMYFUNCTION("""COMPUTED_VALUE"""),1.0138763947714948)</f>
        <v>1.013876395</v>
      </c>
      <c r="AO394" s="30">
        <f>IFERROR(__xludf.DUMMYFUNCTION("""COMPUTED_VALUE"""),0.33087911033637296)</f>
        <v>0.3308791103</v>
      </c>
      <c r="AP394" s="30">
        <f>IFERROR(__xludf.DUMMYFUNCTION("""COMPUTED_VALUE"""),2.2487774751748666)</f>
        <v>2.248777475</v>
      </c>
      <c r="AQ394" s="30">
        <f>IFERROR(__xludf.DUMMYFUNCTION("""COMPUTED_VALUE"""),1.2934499512729274)</f>
        <v>1.293449951</v>
      </c>
      <c r="AR394" s="30">
        <f>IFERROR(__xludf.DUMMYFUNCTION("""COMPUTED_VALUE"""),1.274753285477352)</f>
        <v>1.274753285</v>
      </c>
      <c r="AS394" s="30">
        <f>IFERROR(__xludf.DUMMYFUNCTION("""COMPUTED_VALUE"""),11.0)</f>
        <v>11</v>
      </c>
      <c r="AT394" s="30">
        <f>IFERROR(__xludf.DUMMYFUNCTION("""COMPUTED_VALUE"""),0.3993768201200188)</f>
        <v>0.3993768201</v>
      </c>
      <c r="AU394" s="30">
        <f>IFERROR(__xludf.DUMMYFUNCTION("""COMPUTED_VALUE"""),1.7576624721309644)</f>
        <v>1.757662472</v>
      </c>
      <c r="AV394" s="32">
        <f>IFERROR(__xludf.DUMMYFUNCTION("""COMPUTED_VALUE"""),48.05410810304415)</f>
        <v>48.0541081</v>
      </c>
      <c r="AW394" s="32">
        <f>IFERROR(__xludf.DUMMYFUNCTION("""COMPUTED_VALUE"""),-2.1322898935209267)</f>
        <v>-2.132289894</v>
      </c>
      <c r="AX394" s="32">
        <f>IFERROR(__xludf.DUMMYFUNCTION("""COMPUTED_VALUE"""),41.115907178185715)</f>
        <v>41.11590718</v>
      </c>
      <c r="AY394" s="32">
        <f>IFERROR(__xludf.DUMMYFUNCTION("""COMPUTED_VALUE"""),-2.768866910272327)</f>
        <v>-2.76886691</v>
      </c>
      <c r="AZ394" s="30">
        <f>IFERROR(__xludf.DUMMYFUNCTION("""COMPUTED_VALUE"""),0.6365770167514002)</f>
        <v>0.6365770168</v>
      </c>
      <c r="BA394" s="30">
        <f>IFERROR(__xludf.DUMMYFUNCTION("""COMPUTED_VALUE"""),1200.0)</f>
        <v>1200</v>
      </c>
    </row>
    <row r="395">
      <c r="A395" s="71" t="str">
        <f>IFERROR(__xludf.DUMMYFUNCTION("""COMPUTED_VALUE"""),"Veteran")</f>
        <v>Veteran</v>
      </c>
      <c r="B395" s="71" t="str">
        <f>IFERROR(__xludf.DUMMYFUNCTION("""COMPUTED_VALUE"""),"RSC007888")</f>
        <v>RSC007888</v>
      </c>
      <c r="C395" s="30" t="str">
        <f>IFERROR(__xludf.DUMMYFUNCTION("""COMPUTED_VALUE"""),"SejRL")</f>
        <v>SejRL</v>
      </c>
      <c r="D395" s="30" t="str">
        <f>IFERROR(__xludf.DUMMYFUNCTION("""COMPUTED_VALUE"""),"Supernova")</f>
        <v>Supernova</v>
      </c>
      <c r="E395" s="30">
        <f>IFERROR(__xludf.DUMMYFUNCTION("""COMPUTED_VALUE"""),43.0)</f>
        <v>43</v>
      </c>
      <c r="F395" s="30">
        <f>IFERROR(__xludf.DUMMYFUNCTION("""COMPUTED_VALUE"""),14.0)</f>
        <v>14</v>
      </c>
      <c r="G395" s="42">
        <f>IFERROR(__xludf.DUMMYFUNCTION("""COMPUTED_VALUE"""),29.0)</f>
        <v>29</v>
      </c>
      <c r="H395" s="42">
        <f>IFERROR(__xludf.DUMMYFUNCTION("""COMPUTED_VALUE"""),0.32558139534883723)</f>
        <v>0.3255813953</v>
      </c>
      <c r="I395" s="42">
        <f>IFERROR(__xludf.DUMMYFUNCTION("""COMPUTED_VALUE"""),0.33695652173913043)</f>
        <v>0.3369565217</v>
      </c>
      <c r="J395" s="30">
        <f>IFERROR(__xludf.DUMMYFUNCTION("""COMPUTED_VALUE"""),350.8837209302326)</f>
        <v>350.8837209</v>
      </c>
      <c r="K395" s="30">
        <f>IFERROR(__xludf.DUMMYFUNCTION("""COMPUTED_VALUE"""),0.7209302325581395)</f>
        <v>0.7209302326</v>
      </c>
      <c r="L395" s="30">
        <f>IFERROR(__xludf.DUMMYFUNCTION("""COMPUTED_VALUE"""),0.5581395348837209)</f>
        <v>0.5581395349</v>
      </c>
      <c r="M395" s="30">
        <f>IFERROR(__xludf.DUMMYFUNCTION("""COMPUTED_VALUE"""),1.4651162790697674)</f>
        <v>1.465116279</v>
      </c>
      <c r="N395" s="30">
        <f>IFERROR(__xludf.DUMMYFUNCTION("""COMPUTED_VALUE"""),2.13953488372093)</f>
        <v>2.139534884</v>
      </c>
      <c r="O395" s="30">
        <f>IFERROR(__xludf.DUMMYFUNCTION("""COMPUTED_VALUE"""),368.64341085271315)</f>
        <v>368.6434109</v>
      </c>
      <c r="P395" s="30">
        <f>IFERROR(__xludf.DUMMYFUNCTION("""COMPUTED_VALUE"""),1.015503875968992)</f>
        <v>1.015503876</v>
      </c>
      <c r="Q395" s="30">
        <f>IFERROR(__xludf.DUMMYFUNCTION("""COMPUTED_VALUE"""),0.7209302325581396)</f>
        <v>0.7209302326</v>
      </c>
      <c r="R395" s="30">
        <f>IFERROR(__xludf.DUMMYFUNCTION("""COMPUTED_VALUE"""),1.0930232558139534)</f>
        <v>1.093023256</v>
      </c>
      <c r="S395" s="30">
        <f>IFERROR(__xludf.DUMMYFUNCTION("""COMPUTED_VALUE"""),2.914728682170543)</f>
        <v>2.914728682</v>
      </c>
      <c r="T395" s="30">
        <f>IFERROR(__xludf.DUMMYFUNCTION("""COMPUTED_VALUE"""),355.14236641418717)</f>
        <v>355.1423664</v>
      </c>
      <c r="U395" s="30">
        <f>IFERROR(__xludf.DUMMYFUNCTION("""COMPUTED_VALUE"""),0.7864386895872925)</f>
        <v>0.7864386896</v>
      </c>
      <c r="V395" s="30">
        <f>IFERROR(__xludf.DUMMYFUNCTION("""COMPUTED_VALUE"""),0.5887250164527954)</f>
        <v>0.5887250165</v>
      </c>
      <c r="W395" s="30">
        <f>IFERROR(__xludf.DUMMYFUNCTION("""COMPUTED_VALUE"""),1.3619479762715214)</f>
        <v>1.361947976</v>
      </c>
      <c r="X395" s="30">
        <f>IFERROR(__xludf.DUMMYFUNCTION("""COMPUTED_VALUE"""),2.5974505322020236)</f>
        <v>2.597450532</v>
      </c>
      <c r="Y395" s="30">
        <f>IFERROR(__xludf.DUMMYFUNCTION("""COMPUTED_VALUE"""),351.2208071500543)</f>
        <v>351.2208072</v>
      </c>
      <c r="Z395" s="30">
        <f>IFERROR(__xludf.DUMMYFUNCTION("""COMPUTED_VALUE"""),0.7841089217168203)</f>
        <v>0.7841089217</v>
      </c>
      <c r="AA395" s="30">
        <f>IFERROR(__xludf.DUMMYFUNCTION("""COMPUTED_VALUE"""),0.5592244779260002)</f>
        <v>0.5592244779</v>
      </c>
      <c r="AB395" s="30">
        <f>IFERROR(__xludf.DUMMYFUNCTION("""COMPUTED_VALUE"""),1.3216797122086876)</f>
        <v>1.321679712</v>
      </c>
      <c r="AC395" s="30">
        <f>IFERROR(__xludf.DUMMYFUNCTION("""COMPUTED_VALUE"""),2.636136799356419)</f>
        <v>2.636136799</v>
      </c>
      <c r="AD395" s="30">
        <f>IFERROR(__xludf.DUMMYFUNCTION("""COMPUTED_VALUE"""),0.9990402441627619)</f>
        <v>0.9990402442</v>
      </c>
      <c r="AE395" s="30">
        <f>IFERROR(__xludf.DUMMYFUNCTION("""COMPUTED_VALUE"""),0.9194261314864904)</f>
        <v>0.9194261315</v>
      </c>
      <c r="AF395" s="30">
        <f>IFERROR(__xludf.DUMMYFUNCTION("""COMPUTED_VALUE"""),0.9980599149624083)</f>
        <v>0.998059915</v>
      </c>
      <c r="AG395" s="30">
        <f>IFERROR(__xludf.DUMMYFUNCTION("""COMPUTED_VALUE"""),1.1085259655089807)</f>
        <v>1.108525966</v>
      </c>
      <c r="AH395" s="30">
        <f>IFERROR(__xludf.DUMMYFUNCTION("""COMPUTED_VALUE"""),0.8116175474062165)</f>
        <v>0.8116175474</v>
      </c>
      <c r="AI395" s="30">
        <f>IFERROR(__xludf.DUMMYFUNCTION("""COMPUTED_VALUE"""),1.0380158655100593)</f>
        <v>1.038015866</v>
      </c>
      <c r="AJ395" s="30">
        <f>IFERROR(__xludf.DUMMYFUNCTION("""COMPUTED_VALUE"""),1.2912689691066808)</f>
        <v>1.291268969</v>
      </c>
      <c r="AK395" s="30">
        <f>IFERROR(__xludf.DUMMYFUNCTION("""COMPUTED_VALUE"""),1.2245619133053174)</f>
        <v>1.224561913</v>
      </c>
      <c r="AL395" s="30">
        <f>IFERROR(__xludf.DUMMYFUNCTION("""COMPUTED_VALUE"""),0.8025440581116922)</f>
        <v>0.8025440581</v>
      </c>
      <c r="AM395" s="30">
        <f>IFERROR(__xludf.DUMMYFUNCTION("""COMPUTED_VALUE"""),1.1221498334751894)</f>
        <v>1.122149833</v>
      </c>
      <c r="AN395" s="30">
        <f>IFERROR(__xludf.DUMMYFUNCTION("""COMPUTED_VALUE"""),1.0149863679336706)</f>
        <v>1.014986368</v>
      </c>
      <c r="AO395" s="30">
        <f>IFERROR(__xludf.DUMMYFUNCTION("""COMPUTED_VALUE"""),0.9541630158537266)</f>
        <v>0.9541630159</v>
      </c>
      <c r="AP395" s="30">
        <f>IFERROR(__xludf.DUMMYFUNCTION("""COMPUTED_VALUE"""),1.0041052912408706)</f>
        <v>1.004105291</v>
      </c>
      <c r="AQ395" s="30">
        <f>IFERROR(__xludf.DUMMYFUNCTION("""COMPUTED_VALUE"""),1.0828883312982647)</f>
        <v>1.082888331</v>
      </c>
      <c r="AR395" s="30">
        <f>IFERROR(__xludf.DUMMYFUNCTION("""COMPUTED_VALUE"""),0.8391935761282031)</f>
        <v>0.8391935761</v>
      </c>
      <c r="AS395" s="30">
        <f>IFERROR(__xludf.DUMMYFUNCTION("""COMPUTED_VALUE"""),90.0)</f>
        <v>90</v>
      </c>
      <c r="AT395" s="30">
        <f>IFERROR(__xludf.DUMMYFUNCTION("""COMPUTED_VALUE"""),0.35422864326707537)</f>
        <v>0.3542286433</v>
      </c>
      <c r="AU395" s="30">
        <f>IFERROR(__xludf.DUMMYFUNCTION("""COMPUTED_VALUE"""),1.4977117070257757)</f>
        <v>1.497711707</v>
      </c>
      <c r="AV395" s="32">
        <f>IFERROR(__xludf.DUMMYFUNCTION("""COMPUTED_VALUE"""),38.76032398155283)</f>
        <v>38.76032398</v>
      </c>
      <c r="AW395" s="32">
        <f>IFERROR(__xludf.DUMMYFUNCTION("""COMPUTED_VALUE"""),-3.0627485159590546)</f>
        <v>-3.062748516</v>
      </c>
      <c r="AX395" s="32">
        <f>IFERROR(__xludf.DUMMYFUNCTION("""COMPUTED_VALUE"""),44.0971841795064)</f>
        <v>44.09718418</v>
      </c>
      <c r="AY395" s="32">
        <f>IFERROR(__xludf.DUMMYFUNCTION("""COMPUTED_VALUE"""),-2.4589803004495048)</f>
        <v>-2.4589803</v>
      </c>
      <c r="AZ395" s="30">
        <f>IFERROR(__xludf.DUMMYFUNCTION("""COMPUTED_VALUE"""),0.6037682155095498)</f>
        <v>0.6037682155</v>
      </c>
      <c r="BA395" s="30">
        <f>IFERROR(__xludf.DUMMYFUNCTION("""COMPUTED_VALUE"""),1200.0)</f>
        <v>1200</v>
      </c>
    </row>
    <row r="396">
      <c r="A396" s="71" t="str">
        <f>IFERROR(__xludf.DUMMYFUNCTION("""COMPUTED_VALUE"""),"Veteran")</f>
        <v>Veteran</v>
      </c>
      <c r="B396" s="71" t="str">
        <f>IFERROR(__xludf.DUMMYFUNCTION("""COMPUTED_VALUE"""),"RSC004385")</f>
        <v>RSC004385</v>
      </c>
      <c r="C396" s="30" t="str">
        <f>IFERROR(__xludf.DUMMYFUNCTION("""COMPUTED_VALUE"""),"Braybaum02")</f>
        <v>Braybaum02</v>
      </c>
      <c r="D396" s="30" t="str">
        <f>IFERROR(__xludf.DUMMYFUNCTION("""COMPUTED_VALUE"""),"Peppermint")</f>
        <v>Peppermint</v>
      </c>
      <c r="E396" s="30">
        <f>IFERROR(__xludf.DUMMYFUNCTION("""COMPUTED_VALUE"""),43.0)</f>
        <v>43</v>
      </c>
      <c r="F396" s="30">
        <f>IFERROR(__xludf.DUMMYFUNCTION("""COMPUTED_VALUE"""),17.0)</f>
        <v>17</v>
      </c>
      <c r="G396" s="42">
        <f>IFERROR(__xludf.DUMMYFUNCTION("""COMPUTED_VALUE"""),26.0)</f>
        <v>26</v>
      </c>
      <c r="H396" s="42">
        <f>IFERROR(__xludf.DUMMYFUNCTION("""COMPUTED_VALUE"""),0.3953488372093023)</f>
        <v>0.3953488372</v>
      </c>
      <c r="I396" s="42">
        <f>IFERROR(__xludf.DUMMYFUNCTION("""COMPUTED_VALUE"""),0.4479166666666667)</f>
        <v>0.4479166667</v>
      </c>
      <c r="J396" s="30">
        <f>IFERROR(__xludf.DUMMYFUNCTION("""COMPUTED_VALUE"""),371.9767441860465)</f>
        <v>371.9767442</v>
      </c>
      <c r="K396" s="30">
        <f>IFERROR(__xludf.DUMMYFUNCTION("""COMPUTED_VALUE"""),1.0)</f>
        <v>1</v>
      </c>
      <c r="L396" s="30">
        <f>IFERROR(__xludf.DUMMYFUNCTION("""COMPUTED_VALUE"""),0.4418604651162791)</f>
        <v>0.4418604651</v>
      </c>
      <c r="M396" s="30">
        <f>IFERROR(__xludf.DUMMYFUNCTION("""COMPUTED_VALUE"""),1.5348837209302326)</f>
        <v>1.534883721</v>
      </c>
      <c r="N396" s="30">
        <f>IFERROR(__xludf.DUMMYFUNCTION("""COMPUTED_VALUE"""),2.2325581395348837)</f>
        <v>2.23255814</v>
      </c>
      <c r="O396" s="30">
        <f>IFERROR(__xludf.DUMMYFUNCTION("""COMPUTED_VALUE"""),377.3178294573644)</f>
        <v>377.3178295</v>
      </c>
      <c r="P396" s="30">
        <f>IFERROR(__xludf.DUMMYFUNCTION("""COMPUTED_VALUE"""),0.9922480620155036)</f>
        <v>0.992248062</v>
      </c>
      <c r="Q396" s="30">
        <f>IFERROR(__xludf.DUMMYFUNCTION("""COMPUTED_VALUE"""),0.6899224806201552)</f>
        <v>0.6899224806</v>
      </c>
      <c r="R396" s="30">
        <f>IFERROR(__xludf.DUMMYFUNCTION("""COMPUTED_VALUE"""),1.170542635658915)</f>
        <v>1.170542636</v>
      </c>
      <c r="S396" s="30">
        <f>IFERROR(__xludf.DUMMYFUNCTION("""COMPUTED_VALUE"""),3.178294573643411)</f>
        <v>3.178294574</v>
      </c>
      <c r="T396" s="30">
        <f>IFERROR(__xludf.DUMMYFUNCTION("""COMPUTED_VALUE"""),348.0699200271507)</f>
        <v>348.06992</v>
      </c>
      <c r="U396" s="30">
        <f>IFERROR(__xludf.DUMMYFUNCTION("""COMPUTED_VALUE"""),0.7723776309496103)</f>
        <v>0.7723776309</v>
      </c>
      <c r="V396" s="30">
        <f>IFERROR(__xludf.DUMMYFUNCTION("""COMPUTED_VALUE"""),0.5599817907981021)</f>
        <v>0.5599817908</v>
      </c>
      <c r="W396" s="30">
        <f>IFERROR(__xludf.DUMMYFUNCTION("""COMPUTED_VALUE"""),1.2974682349008633)</f>
        <v>1.297468235</v>
      </c>
      <c r="X396" s="30">
        <f>IFERROR(__xludf.DUMMYFUNCTION("""COMPUTED_VALUE"""),2.605137208533206)</f>
        <v>2.605137209</v>
      </c>
      <c r="Y396" s="30">
        <f>IFERROR(__xludf.DUMMYFUNCTION("""COMPUTED_VALUE"""),354.8815272836064)</f>
        <v>354.8815273</v>
      </c>
      <c r="Z396" s="30">
        <f>IFERROR(__xludf.DUMMYFUNCTION("""COMPUTED_VALUE"""),0.8138104560010752)</f>
        <v>0.813810456</v>
      </c>
      <c r="AA396" s="30">
        <f>IFERROR(__xludf.DUMMYFUNCTION("""COMPUTED_VALUE"""),0.5956456856405424)</f>
        <v>0.5956456856</v>
      </c>
      <c r="AB396" s="30">
        <f>IFERROR(__xludf.DUMMYFUNCTION("""COMPUTED_VALUE"""),1.3206139809665254)</f>
        <v>1.320613981</v>
      </c>
      <c r="AC396" s="30">
        <f>IFERROR(__xludf.DUMMYFUNCTION("""COMPUTED_VALUE"""),2.6006523721834065)</f>
        <v>2.600652372</v>
      </c>
      <c r="AD396" s="30">
        <f>IFERROR(__xludf.DUMMYFUNCTION("""COMPUTED_VALUE"""),1.0481716166893589)</f>
        <v>1.048171617</v>
      </c>
      <c r="AE396" s="30">
        <f>IFERROR(__xludf.DUMMYFUNCTION("""COMPUTED_VALUE"""),1.228787357825099)</f>
        <v>1.228787358</v>
      </c>
      <c r="AF396" s="30">
        <f>IFERROR(__xludf.DUMMYFUNCTION("""COMPUTED_VALUE"""),0.7418176203880558)</f>
        <v>0.7418176204</v>
      </c>
      <c r="AG396" s="30">
        <f>IFERROR(__xludf.DUMMYFUNCTION("""COMPUTED_VALUE"""),1.1622500920419518)</f>
        <v>1.162250092</v>
      </c>
      <c r="AH396" s="30">
        <f>IFERROR(__xludf.DUMMYFUNCTION("""COMPUTED_VALUE"""),0.858460809070193)</f>
        <v>0.8584608091</v>
      </c>
      <c r="AI396" s="30">
        <f>IFERROR(__xludf.DUMMYFUNCTION("""COMPUTED_VALUE"""),1.084028833712296)</f>
        <v>1.084028834</v>
      </c>
      <c r="AJ396" s="30">
        <f>IFERROR(__xludf.DUMMYFUNCTION("""COMPUTED_VALUE"""),1.2846670103529159)</f>
        <v>1.28466701</v>
      </c>
      <c r="AK396" s="30">
        <f>IFERROR(__xludf.DUMMYFUNCTION("""COMPUTED_VALUE"""),1.2320444913697246)</f>
        <v>1.232044491</v>
      </c>
      <c r="AL396" s="30">
        <f>IFERROR(__xludf.DUMMYFUNCTION("""COMPUTED_VALUE"""),0.9021744071818094)</f>
        <v>0.9021744072</v>
      </c>
      <c r="AM396" s="30">
        <f>IFERROR(__xludf.DUMMYFUNCTION("""COMPUTED_VALUE"""),1.2200104329372023)</f>
        <v>1.220010433</v>
      </c>
      <c r="AN396" s="30">
        <f>IFERROR(__xludf.DUMMYFUNCTION("""COMPUTED_VALUE"""),1.07600125630296)</f>
        <v>1.076001256</v>
      </c>
      <c r="AO396" s="30">
        <f>IFERROR(__xludf.DUMMYFUNCTION("""COMPUTED_VALUE"""),1.3235164413454918)</f>
        <v>1.323516441</v>
      </c>
      <c r="AP396" s="30">
        <f>IFERROR(__xludf.DUMMYFUNCTION("""COMPUTED_VALUE"""),0.7949166888990226)</f>
        <v>0.7949166889</v>
      </c>
      <c r="AQ396" s="30">
        <f>IFERROR(__xludf.DUMMYFUNCTION("""COMPUTED_VALUE"""),1.1344544423124678)</f>
        <v>1.134454442</v>
      </c>
      <c r="AR396" s="30">
        <f>IFERROR(__xludf.DUMMYFUNCTION("""COMPUTED_VALUE"""),0.8756802533511685)</f>
        <v>0.8756802534</v>
      </c>
      <c r="AS396" s="30">
        <f>IFERROR(__xludf.DUMMYFUNCTION("""COMPUTED_VALUE"""),95.0)</f>
        <v>95</v>
      </c>
      <c r="AT396" s="30">
        <f>IFERROR(__xludf.DUMMYFUNCTION("""COMPUTED_VALUE"""),0.38268032757251497)</f>
        <v>0.3826803276</v>
      </c>
      <c r="AU396" s="30">
        <f>IFERROR(__xludf.DUMMYFUNCTION("""COMPUTED_VALUE"""),1.7189166613065743)</f>
        <v>1.718916661</v>
      </c>
      <c r="AV396" s="32">
        <f>IFERROR(__xludf.DUMMYFUNCTION("""COMPUTED_VALUE"""),46.66886424246805)</f>
        <v>46.66886424</v>
      </c>
      <c r="AW396" s="32">
        <f>IFERROR(__xludf.DUMMYFUNCTION("""COMPUTED_VALUE"""),-2.237138259640621)</f>
        <v>-2.23713826</v>
      </c>
      <c r="AX396" s="32">
        <f>IFERROR(__xludf.DUMMYFUNCTION("""COMPUTED_VALUE"""),40.85797545783519)</f>
        <v>40.85797546</v>
      </c>
      <c r="AY396" s="32">
        <f>IFERROR(__xludf.DUMMYFUNCTION("""COMPUTED_VALUE"""),-2.798756247484745)</f>
        <v>-2.798756247</v>
      </c>
      <c r="AZ396" s="30">
        <f>IFERROR(__xludf.DUMMYFUNCTION("""COMPUTED_VALUE"""),0.5616179878441243)</f>
        <v>0.5616179878</v>
      </c>
      <c r="BA396" s="30">
        <f>IFERROR(__xludf.DUMMYFUNCTION("""COMPUTED_VALUE"""),1200.0)</f>
        <v>1200</v>
      </c>
    </row>
    <row r="397">
      <c r="A397" s="71" t="str">
        <f>IFERROR(__xludf.DUMMYFUNCTION("""COMPUTED_VALUE"""),"Veteran")</f>
        <v>Veteran</v>
      </c>
      <c r="B397" s="71" t="str">
        <f>IFERROR(__xludf.DUMMYFUNCTION("""COMPUTED_VALUE"""),"RSC001612")</f>
        <v>RSC001612</v>
      </c>
      <c r="C397" s="30" t="str">
        <f>IFERROR(__xludf.DUMMYFUNCTION("""COMPUTED_VALUE"""),"Reverse Fridge")</f>
        <v>Reverse Fridge</v>
      </c>
      <c r="D397" s="30"/>
      <c r="E397" s="30">
        <f>IFERROR(__xludf.DUMMYFUNCTION("""COMPUTED_VALUE"""),27.0)</f>
        <v>27</v>
      </c>
      <c r="F397" s="30">
        <f>IFERROR(__xludf.DUMMYFUNCTION("""COMPUTED_VALUE"""),11.0)</f>
        <v>11</v>
      </c>
      <c r="G397" s="42">
        <f>IFERROR(__xludf.DUMMYFUNCTION("""COMPUTED_VALUE"""),16.0)</f>
        <v>16</v>
      </c>
      <c r="H397" s="42">
        <f>IFERROR(__xludf.DUMMYFUNCTION("""COMPUTED_VALUE"""),0.4074074074074074)</f>
        <v>0.4074074074</v>
      </c>
      <c r="I397" s="42">
        <f>IFERROR(__xludf.DUMMYFUNCTION("""COMPUTED_VALUE"""),0.3)</f>
        <v>0.3</v>
      </c>
      <c r="J397" s="30">
        <f>IFERROR(__xludf.DUMMYFUNCTION("""COMPUTED_VALUE"""),315.3703703703704)</f>
        <v>315.3703704</v>
      </c>
      <c r="K397" s="30">
        <f>IFERROR(__xludf.DUMMYFUNCTION("""COMPUTED_VALUE"""),0.7777777777777778)</f>
        <v>0.7777777778</v>
      </c>
      <c r="L397" s="30">
        <f>IFERROR(__xludf.DUMMYFUNCTION("""COMPUTED_VALUE"""),0.25925925925925924)</f>
        <v>0.2592592593</v>
      </c>
      <c r="M397" s="30">
        <f>IFERROR(__xludf.DUMMYFUNCTION("""COMPUTED_VALUE"""),1.037037037037037)</f>
        <v>1.037037037</v>
      </c>
      <c r="N397" s="30">
        <f>IFERROR(__xludf.DUMMYFUNCTION("""COMPUTED_VALUE"""),2.5925925925925926)</f>
        <v>2.592592593</v>
      </c>
      <c r="O397" s="30">
        <f>IFERROR(__xludf.DUMMYFUNCTION("""COMPUTED_VALUE"""),340.22222222222223)</f>
        <v>340.2222222</v>
      </c>
      <c r="P397" s="30">
        <f>IFERROR(__xludf.DUMMYFUNCTION("""COMPUTED_VALUE"""),0.728395061728395)</f>
        <v>0.7283950617</v>
      </c>
      <c r="Q397" s="30">
        <f>IFERROR(__xludf.DUMMYFUNCTION("""COMPUTED_VALUE"""),0.4938271604938272)</f>
        <v>0.4938271605</v>
      </c>
      <c r="R397" s="30">
        <f>IFERROR(__xludf.DUMMYFUNCTION("""COMPUTED_VALUE"""),1.3456790123456788)</f>
        <v>1.345679012</v>
      </c>
      <c r="S397" s="30">
        <f>IFERROR(__xludf.DUMMYFUNCTION("""COMPUTED_VALUE"""),2.567901234567901)</f>
        <v>2.567901235</v>
      </c>
      <c r="T397" s="30">
        <f>IFERROR(__xludf.DUMMYFUNCTION("""COMPUTED_VALUE"""),345.77325208265097)</f>
        <v>345.7732521</v>
      </c>
      <c r="U397" s="30">
        <f>IFERROR(__xludf.DUMMYFUNCTION("""COMPUTED_VALUE"""),0.769372912162052)</f>
        <v>0.7693729122</v>
      </c>
      <c r="V397" s="30">
        <f>IFERROR(__xludf.DUMMYFUNCTION("""COMPUTED_VALUE"""),0.5587842361572862)</f>
        <v>0.5587842362</v>
      </c>
      <c r="W397" s="30">
        <f>IFERROR(__xludf.DUMMYFUNCTION("""COMPUTED_VALUE"""),1.2706581000747488)</f>
        <v>1.2706581</v>
      </c>
      <c r="X397" s="30">
        <f>IFERROR(__xludf.DUMMYFUNCTION("""COMPUTED_VALUE"""),2.646118798173651)</f>
        <v>2.646118798</v>
      </c>
      <c r="Y397" s="30">
        <f>IFERROR(__xludf.DUMMYFUNCTION("""COMPUTED_VALUE"""),342.49402373794146)</f>
        <v>342.4940237</v>
      </c>
      <c r="Z397" s="30">
        <f>IFERROR(__xludf.DUMMYFUNCTION("""COMPUTED_VALUE"""),0.7022615433498954)</f>
        <v>0.7022615433</v>
      </c>
      <c r="AA397" s="30">
        <f>IFERROR(__xludf.DUMMYFUNCTION("""COMPUTED_VALUE"""),0.5206699854487855)</f>
        <v>0.5206699854</v>
      </c>
      <c r="AB397" s="30">
        <f>IFERROR(__xludf.DUMMYFUNCTION("""COMPUTED_VALUE"""),1.3700752115150463)</f>
        <v>1.370075212</v>
      </c>
      <c r="AC397" s="30">
        <f>IFERROR(__xludf.DUMMYFUNCTION("""COMPUTED_VALUE"""),2.469459950924176)</f>
        <v>2.469459951</v>
      </c>
      <c r="AD397" s="30">
        <f>IFERROR(__xludf.DUMMYFUNCTION("""COMPUTED_VALUE"""),0.9208054696209103)</f>
        <v>0.9208054696</v>
      </c>
      <c r="AE397" s="30">
        <f>IFERROR(__xludf.DUMMYFUNCTION("""COMPUTED_VALUE"""),1.1075329200964905)</f>
        <v>1.10753292</v>
      </c>
      <c r="AF397" s="30">
        <f>IFERROR(__xludf.DUMMYFUNCTION("""COMPUTED_VALUE"""),0.49793394377398903)</f>
        <v>0.4979339438</v>
      </c>
      <c r="AG397" s="30">
        <f>IFERROR(__xludf.DUMMYFUNCTION("""COMPUTED_VALUE"""),0.7569197868270812)</f>
        <v>0.7569197868</v>
      </c>
      <c r="AH397" s="30">
        <f>IFERROR(__xludf.DUMMYFUNCTION("""COMPUTED_VALUE"""),1.0498621739633134)</f>
        <v>1.049862174</v>
      </c>
      <c r="AI397" s="30">
        <f>IFERROR(__xludf.DUMMYFUNCTION("""COMPUTED_VALUE"""),0.9839460402821967)</f>
        <v>0.9839460403</v>
      </c>
      <c r="AJ397" s="30">
        <f>IFERROR(__xludf.DUMMYFUNCTION("""COMPUTED_VALUE"""),0.9467386363804996)</f>
        <v>0.9467386364</v>
      </c>
      <c r="AK397" s="30">
        <f>IFERROR(__xludf.DUMMYFUNCTION("""COMPUTED_VALUE"""),0.8837528486663053)</f>
        <v>0.8837528487</v>
      </c>
      <c r="AL397" s="30">
        <f>IFERROR(__xludf.DUMMYFUNCTION("""COMPUTED_VALUE"""),1.0590409900716147)</f>
        <v>1.05904099</v>
      </c>
      <c r="AM397" s="30">
        <f>IFERROR(__xludf.DUMMYFUNCTION("""COMPUTED_VALUE"""),0.970440645499463)</f>
        <v>0.9704406455</v>
      </c>
      <c r="AN397" s="30">
        <f>IFERROR(__xludf.DUMMYFUNCTION("""COMPUTED_VALUE"""),0.9122584140623743)</f>
        <v>0.9122584141</v>
      </c>
      <c r="AO397" s="30">
        <f>IFERROR(__xludf.DUMMYFUNCTION("""COMPUTED_VALUE"""),1.0294016766020493)</f>
        <v>1.029401677</v>
      </c>
      <c r="AP397" s="30">
        <f>IFERROR(__xludf.DUMMYFUNCTION("""COMPUTED_VALUE"""),0.4664131059621945)</f>
        <v>0.466413106</v>
      </c>
      <c r="AQ397" s="30">
        <f>IFERROR(__xludf.DUMMYFUNCTION("""COMPUTED_VALUE"""),0.7664888600135865)</f>
        <v>0.76648886</v>
      </c>
      <c r="AR397" s="30">
        <f>IFERROR(__xludf.DUMMYFUNCTION("""COMPUTED_VALUE"""),1.016897207788201)</f>
        <v>1.016897208</v>
      </c>
      <c r="AS397" s="30">
        <f>IFERROR(__xludf.DUMMYFUNCTION("""COMPUTED_VALUE"""),47.0)</f>
        <v>47</v>
      </c>
      <c r="AT397" s="30">
        <f>IFERROR(__xludf.DUMMYFUNCTION("""COMPUTED_VALUE"""),0.41661331966060194)</f>
        <v>0.4166133197</v>
      </c>
      <c r="AU397" s="30">
        <f>IFERROR(__xludf.DUMMYFUNCTION("""COMPUTED_VALUE"""),1.641047879185615)</f>
        <v>1.641047879</v>
      </c>
      <c r="AV397" s="32">
        <f>IFERROR(__xludf.DUMMYFUNCTION("""COMPUTED_VALUE"""),43.88489224475995)</f>
        <v>43.88489224</v>
      </c>
      <c r="AW397" s="32">
        <f>IFERROR(__xludf.DUMMYFUNCTION("""COMPUTED_VALUE"""),-2.479043325546192)</f>
        <v>-2.479043326</v>
      </c>
      <c r="AX397" s="32">
        <f>IFERROR(__xludf.DUMMYFUNCTION("""COMPUTED_VALUE"""),39.04008166528398)</f>
        <v>39.04008167</v>
      </c>
      <c r="AY397" s="32">
        <f>IFERROR(__xludf.DUMMYFUNCTION("""COMPUTED_VALUE"""),-3.0252668135082494)</f>
        <v>-3.025266814</v>
      </c>
      <c r="AZ397" s="30">
        <f>IFERROR(__xludf.DUMMYFUNCTION("""COMPUTED_VALUE"""),0.5462234879620573)</f>
        <v>0.546223488</v>
      </c>
      <c r="BA397" s="30">
        <f>IFERROR(__xludf.DUMMYFUNCTION("""COMPUTED_VALUE"""),1200.0)</f>
        <v>1200</v>
      </c>
    </row>
    <row r="398">
      <c r="A398" s="71" t="str">
        <f>IFERROR(__xludf.DUMMYFUNCTION("""COMPUTED_VALUE"""),"Veteran")</f>
        <v>Veteran</v>
      </c>
      <c r="B398" s="71" t="str">
        <f>IFERROR(__xludf.DUMMYFUNCTION("""COMPUTED_VALUE"""),"RSC002937")</f>
        <v>RSC002937</v>
      </c>
      <c r="C398" s="30" t="str">
        <f>IFERROR(__xludf.DUMMYFUNCTION("""COMPUTED_VALUE"""),"SirTommyNoble")</f>
        <v>SirTommyNoble</v>
      </c>
      <c r="D398" s="30" t="str">
        <f>IFERROR(__xludf.DUMMYFUNCTION("""COMPUTED_VALUE"""),"Kirin")</f>
        <v>Kirin</v>
      </c>
      <c r="E398" s="30">
        <f>IFERROR(__xludf.DUMMYFUNCTION("""COMPUTED_VALUE"""),44.0)</f>
        <v>44</v>
      </c>
      <c r="F398" s="30">
        <f>IFERROR(__xludf.DUMMYFUNCTION("""COMPUTED_VALUE"""),22.0)</f>
        <v>22</v>
      </c>
      <c r="G398" s="42">
        <f>IFERROR(__xludf.DUMMYFUNCTION("""COMPUTED_VALUE"""),22.0)</f>
        <v>22</v>
      </c>
      <c r="H398" s="42">
        <f>IFERROR(__xludf.DUMMYFUNCTION("""COMPUTED_VALUE"""),0.5)</f>
        <v>0.5</v>
      </c>
      <c r="I398" s="42">
        <f>IFERROR(__xludf.DUMMYFUNCTION("""COMPUTED_VALUE"""),0.2619047619047619)</f>
        <v>0.2619047619</v>
      </c>
      <c r="J398" s="30">
        <f>IFERROR(__xludf.DUMMYFUNCTION("""COMPUTED_VALUE"""),382.9318181818182)</f>
        <v>382.9318182</v>
      </c>
      <c r="K398" s="30">
        <f>IFERROR(__xludf.DUMMYFUNCTION("""COMPUTED_VALUE"""),0.75)</f>
        <v>0.75</v>
      </c>
      <c r="L398" s="30">
        <f>IFERROR(__xludf.DUMMYFUNCTION("""COMPUTED_VALUE"""),0.7272727272727273)</f>
        <v>0.7272727273</v>
      </c>
      <c r="M398" s="30">
        <f>IFERROR(__xludf.DUMMYFUNCTION("""COMPUTED_VALUE"""),1.4545454545454546)</f>
        <v>1.454545455</v>
      </c>
      <c r="N398" s="30">
        <f>IFERROR(__xludf.DUMMYFUNCTION("""COMPUTED_VALUE"""),2.8636363636363638)</f>
        <v>2.863636364</v>
      </c>
      <c r="O398" s="30">
        <f>IFERROR(__xludf.DUMMYFUNCTION("""COMPUTED_VALUE"""),354.7575757575757)</f>
        <v>354.7575758</v>
      </c>
      <c r="P398" s="30">
        <f>IFERROR(__xludf.DUMMYFUNCTION("""COMPUTED_VALUE"""),0.8181818181818183)</f>
        <v>0.8181818182</v>
      </c>
      <c r="Q398" s="30">
        <f>IFERROR(__xludf.DUMMYFUNCTION("""COMPUTED_VALUE"""),0.5833333333333335)</f>
        <v>0.5833333333</v>
      </c>
      <c r="R398" s="30">
        <f>IFERROR(__xludf.DUMMYFUNCTION("""COMPUTED_VALUE"""),1.166666666666667)</f>
        <v>1.166666667</v>
      </c>
      <c r="S398" s="30">
        <f>IFERROR(__xludf.DUMMYFUNCTION("""COMPUTED_VALUE"""),2.742424242424242)</f>
        <v>2.742424242</v>
      </c>
      <c r="T398" s="30">
        <f>IFERROR(__xludf.DUMMYFUNCTION("""COMPUTED_VALUE"""),366.7405100596619)</f>
        <v>366.7405101</v>
      </c>
      <c r="U398" s="30">
        <f>IFERROR(__xludf.DUMMYFUNCTION("""COMPUTED_VALUE"""),0.8643522701821532)</f>
        <v>0.8643522702</v>
      </c>
      <c r="V398" s="30">
        <f>IFERROR(__xludf.DUMMYFUNCTION("""COMPUTED_VALUE"""),0.6086691635327532)</f>
        <v>0.6086691635</v>
      </c>
      <c r="W398" s="30">
        <f>IFERROR(__xludf.DUMMYFUNCTION("""COMPUTED_VALUE"""),1.3433510346836397)</f>
        <v>1.343351035</v>
      </c>
      <c r="X398" s="30">
        <f>IFERROR(__xludf.DUMMYFUNCTION("""COMPUTED_VALUE"""),2.7932797381300314)</f>
        <v>2.793279738</v>
      </c>
      <c r="Y398" s="30">
        <f>IFERROR(__xludf.DUMMYFUNCTION("""COMPUTED_VALUE"""),357.17009588783804)</f>
        <v>357.1700959</v>
      </c>
      <c r="Z398" s="30">
        <f>IFERROR(__xludf.DUMMYFUNCTION("""COMPUTED_VALUE"""),0.7731379438528022)</f>
        <v>0.7731379439</v>
      </c>
      <c r="AA398" s="30">
        <f>IFERROR(__xludf.DUMMYFUNCTION("""COMPUTED_VALUE"""),0.5845554889184671)</f>
        <v>0.5845554889</v>
      </c>
      <c r="AB398" s="30">
        <f>IFERROR(__xludf.DUMMYFUNCTION("""COMPUTED_VALUE"""),1.4213143638156303)</f>
        <v>1.421314364</v>
      </c>
      <c r="AC398" s="30">
        <f>IFERROR(__xludf.DUMMYFUNCTION("""COMPUTED_VALUE"""),2.6004190369330162)</f>
        <v>2.600419037</v>
      </c>
      <c r="AD398" s="30">
        <f>IFERROR(__xludf.DUMMYFUNCTION("""COMPUTED_VALUE"""),1.0721273213815472)</f>
        <v>1.072127321</v>
      </c>
      <c r="AE398" s="30">
        <f>IFERROR(__xludf.DUMMYFUNCTION("""COMPUTED_VALUE"""),0.9700726836177537)</f>
        <v>0.9700726836</v>
      </c>
      <c r="AF398" s="30">
        <f>IFERROR(__xludf.DUMMYFUNCTION("""COMPUTED_VALUE"""),1.2441466055144104)</f>
        <v>1.244146606</v>
      </c>
      <c r="AG398" s="30">
        <f>IFERROR(__xludf.DUMMYFUNCTION("""COMPUTED_VALUE"""),1.0233805353522305)</f>
        <v>1.023380535</v>
      </c>
      <c r="AH398" s="30">
        <f>IFERROR(__xludf.DUMMYFUNCTION("""COMPUTED_VALUE"""),1.1012211197368371)</f>
        <v>1.10122112</v>
      </c>
      <c r="AI398" s="30">
        <f>IFERROR(__xludf.DUMMYFUNCTION("""COMPUTED_VALUE"""),0.9673258503672343)</f>
        <v>0.9673258504</v>
      </c>
      <c r="AJ398" s="30">
        <f>IFERROR(__xludf.DUMMYFUNCTION("""COMPUTED_VALUE"""),0.9465837557288941)</f>
        <v>0.9465837557</v>
      </c>
      <c r="AK398" s="30">
        <f>IFERROR(__xludf.DUMMYFUNCTION("""COMPUTED_VALUE"""),0.9583750389910193)</f>
        <v>0.958375039</v>
      </c>
      <c r="AL398" s="30">
        <f>IFERROR(__xludf.DUMMYFUNCTION("""COMPUTED_VALUE"""),0.8684749083037837)</f>
        <v>0.8684749083</v>
      </c>
      <c r="AM398" s="30">
        <f>IFERROR(__xludf.DUMMYFUNCTION("""COMPUTED_VALUE"""),0.9817936259617754)</f>
        <v>0.981793626</v>
      </c>
      <c r="AN398" s="30">
        <f>IFERROR(__xludf.DUMMYFUNCTION("""COMPUTED_VALUE"""),1.1076905314164776)</f>
        <v>1.107690531</v>
      </c>
      <c r="AO398" s="30">
        <f>IFERROR(__xludf.DUMMYFUNCTION("""COMPUTED_VALUE"""),0.992637331009119)</f>
        <v>0.992637331</v>
      </c>
      <c r="AP398" s="30">
        <f>IFERROR(__xludf.DUMMYFUNCTION("""COMPUTED_VALUE"""),1.3083796219199222)</f>
        <v>1.308379622</v>
      </c>
      <c r="AQ398" s="30">
        <f>IFERROR(__xludf.DUMMYFUNCTION("""COMPUTED_VALUE"""),1.0750752841749007)</f>
        <v>1.075075284</v>
      </c>
      <c r="AR398" s="30">
        <f>IFERROR(__xludf.DUMMYFUNCTION("""COMPUTED_VALUE"""),1.123209188602422)</f>
        <v>1.123209189</v>
      </c>
      <c r="AS398" s="30">
        <f>IFERROR(__xludf.DUMMYFUNCTION("""COMPUTED_VALUE"""),115.0)</f>
        <v>115</v>
      </c>
      <c r="AT398" s="30">
        <f>IFERROR(__xludf.DUMMYFUNCTION("""COMPUTED_VALUE"""),0.524994032536019)</f>
        <v>0.5249940325</v>
      </c>
      <c r="AU398" s="30">
        <f>IFERROR(__xludf.DUMMYFUNCTION("""COMPUTED_VALUE"""),2.2771874593182444)</f>
        <v>2.277187459</v>
      </c>
      <c r="AV398" s="32">
        <f>IFERROR(__xludf.DUMMYFUNCTION("""COMPUTED_VALUE"""),66.62821414456835)</f>
        <v>66.62821414</v>
      </c>
      <c r="AW398" s="32">
        <f>IFERROR(__xludf.DUMMYFUNCTION("""COMPUTED_VALUE"""),3.952817078606941)</f>
        <v>3.952817079</v>
      </c>
      <c r="AX398" s="32">
        <f>IFERROR(__xludf.DUMMYFUNCTION("""COMPUTED_VALUE"""),63.72564374729893)</f>
        <v>63.72564375</v>
      </c>
      <c r="AY398" s="32">
        <f>IFERROR(__xludf.DUMMYFUNCTION("""COMPUTED_VALUE"""),3.430603647351478)</f>
        <v>3.430603647</v>
      </c>
      <c r="AZ398" s="30">
        <f>IFERROR(__xludf.DUMMYFUNCTION("""COMPUTED_VALUE"""),0.5222134312554632)</f>
        <v>0.5222134313</v>
      </c>
      <c r="BA398" s="30">
        <f>IFERROR(__xludf.DUMMYFUNCTION("""COMPUTED_VALUE"""),1200.0)</f>
        <v>1200</v>
      </c>
    </row>
    <row r="399">
      <c r="A399" s="71" t="str">
        <f>IFERROR(__xludf.DUMMYFUNCTION("""COMPUTED_VALUE"""),"Veteran")</f>
        <v>Veteran</v>
      </c>
      <c r="B399" s="71" t="str">
        <f>IFERROR(__xludf.DUMMYFUNCTION("""COMPUTED_VALUE"""),"RSC004109")</f>
        <v>RSC004109</v>
      </c>
      <c r="C399" s="30" t="str">
        <f>IFERROR(__xludf.DUMMYFUNCTION("""COMPUTED_VALUE"""),"Hawkish")</f>
        <v>Hawkish</v>
      </c>
      <c r="D399" s="30" t="str">
        <f>IFERROR(__xludf.DUMMYFUNCTION("""COMPUTED_VALUE"""),"Werewolves")</f>
        <v>Werewolves</v>
      </c>
      <c r="E399" s="30">
        <f>IFERROR(__xludf.DUMMYFUNCTION("""COMPUTED_VALUE"""),41.0)</f>
        <v>41</v>
      </c>
      <c r="F399" s="30">
        <f>IFERROR(__xludf.DUMMYFUNCTION("""COMPUTED_VALUE"""),17.0)</f>
        <v>17</v>
      </c>
      <c r="G399" s="42">
        <f>IFERROR(__xludf.DUMMYFUNCTION("""COMPUTED_VALUE"""),24.0)</f>
        <v>24</v>
      </c>
      <c r="H399" s="42">
        <f>IFERROR(__xludf.DUMMYFUNCTION("""COMPUTED_VALUE"""),0.4146341463414634)</f>
        <v>0.4146341463</v>
      </c>
      <c r="I399" s="42">
        <f>IFERROR(__xludf.DUMMYFUNCTION("""COMPUTED_VALUE"""),0.2954545454545454)</f>
        <v>0.2954545455</v>
      </c>
      <c r="J399" s="30">
        <f>IFERROR(__xludf.DUMMYFUNCTION("""COMPUTED_VALUE"""),382.1951219512195)</f>
        <v>382.195122</v>
      </c>
      <c r="K399" s="30">
        <f>IFERROR(__xludf.DUMMYFUNCTION("""COMPUTED_VALUE"""),0.9512195121951219)</f>
        <v>0.9512195122</v>
      </c>
      <c r="L399" s="30">
        <f>IFERROR(__xludf.DUMMYFUNCTION("""COMPUTED_VALUE"""),0.5609756097560976)</f>
        <v>0.5609756098</v>
      </c>
      <c r="M399" s="30">
        <f>IFERROR(__xludf.DUMMYFUNCTION("""COMPUTED_VALUE"""),1.3414634146341464)</f>
        <v>1.341463415</v>
      </c>
      <c r="N399" s="30">
        <f>IFERROR(__xludf.DUMMYFUNCTION("""COMPUTED_VALUE"""),3.2195121951219514)</f>
        <v>3.219512195</v>
      </c>
      <c r="O399" s="30">
        <f>IFERROR(__xludf.DUMMYFUNCTION("""COMPUTED_VALUE"""),406.70731707317066)</f>
        <v>406.7073171</v>
      </c>
      <c r="P399" s="30">
        <f>IFERROR(__xludf.DUMMYFUNCTION("""COMPUTED_VALUE"""),1.0243902439024388)</f>
        <v>1.024390244</v>
      </c>
      <c r="Q399" s="30">
        <f>IFERROR(__xludf.DUMMYFUNCTION("""COMPUTED_VALUE"""),0.7317073170731706)</f>
        <v>0.7317073171</v>
      </c>
      <c r="R399" s="30">
        <f>IFERROR(__xludf.DUMMYFUNCTION("""COMPUTED_VALUE"""),1.5528455284552845)</f>
        <v>1.552845528</v>
      </c>
      <c r="S399" s="30">
        <f>IFERROR(__xludf.DUMMYFUNCTION("""COMPUTED_VALUE"""),2.878048780487805)</f>
        <v>2.87804878</v>
      </c>
      <c r="T399" s="30">
        <f>IFERROR(__xludf.DUMMYFUNCTION("""COMPUTED_VALUE"""),355.86760016459255)</f>
        <v>355.8676002</v>
      </c>
      <c r="U399" s="30">
        <f>IFERROR(__xludf.DUMMYFUNCTION("""COMPUTED_VALUE"""),0.8131741618920464)</f>
        <v>0.8131741619</v>
      </c>
      <c r="V399" s="30">
        <f>IFERROR(__xludf.DUMMYFUNCTION("""COMPUTED_VALUE"""),0.6008270176217514)</f>
        <v>0.6008270176</v>
      </c>
      <c r="W399" s="30">
        <f>IFERROR(__xludf.DUMMYFUNCTION("""COMPUTED_VALUE"""),1.3316136733416901)</f>
        <v>1.331613673</v>
      </c>
      <c r="X399" s="30">
        <f>IFERROR(__xludf.DUMMYFUNCTION("""COMPUTED_VALUE"""),2.655191954091239)</f>
        <v>2.655191954</v>
      </c>
      <c r="Y399" s="30">
        <f>IFERROR(__xludf.DUMMYFUNCTION("""COMPUTED_VALUE"""),357.62463363720286)</f>
        <v>357.6246336</v>
      </c>
      <c r="Z399" s="30">
        <f>IFERROR(__xludf.DUMMYFUNCTION("""COMPUTED_VALUE"""),0.8054583627259686)</f>
        <v>0.8054583627</v>
      </c>
      <c r="AA399" s="30">
        <f>IFERROR(__xludf.DUMMYFUNCTION("""COMPUTED_VALUE"""),0.585211977214245)</f>
        <v>0.5852119772</v>
      </c>
      <c r="AB399" s="30">
        <f>IFERROR(__xludf.DUMMYFUNCTION("""COMPUTED_VALUE"""),1.3587297233971236)</f>
        <v>1.358729723</v>
      </c>
      <c r="AC399" s="30">
        <f>IFERROR(__xludf.DUMMYFUNCTION("""COMPUTED_VALUE"""),2.5819794720311187)</f>
        <v>2.581979472</v>
      </c>
      <c r="AD399" s="30">
        <f>IFERROR(__xludf.DUMMYFUNCTION("""COMPUTED_VALUE"""),1.06870468643092)</f>
        <v>1.068704686</v>
      </c>
      <c r="AE399" s="30">
        <f>IFERROR(__xludf.DUMMYFUNCTION("""COMPUTED_VALUE"""),1.1809667094098368)</f>
        <v>1.180966709</v>
      </c>
      <c r="AF399" s="30">
        <f>IFERROR(__xludf.DUMMYFUNCTION("""COMPUTED_VALUE"""),0.9585853188215345)</f>
        <v>0.9585853188</v>
      </c>
      <c r="AG399" s="30">
        <f>IFERROR(__xludf.DUMMYFUNCTION("""COMPUTED_VALUE"""),0.9872923154136883)</f>
        <v>0.9872923154</v>
      </c>
      <c r="AH399" s="30">
        <f>IFERROR(__xludf.DUMMYFUNCTION("""COMPUTED_VALUE"""),1.246916263276608)</f>
        <v>1.246916263</v>
      </c>
      <c r="AI399" s="30">
        <f>IFERROR(__xludf.DUMMYFUNCTION("""COMPUTED_VALUE"""),1.1428613250688295)</f>
        <v>1.142861325</v>
      </c>
      <c r="AJ399" s="30">
        <f>IFERROR(__xludf.DUMMYFUNCTION("""COMPUTED_VALUE"""),1.2597427364378464)</f>
        <v>1.259742736</v>
      </c>
      <c r="AK399" s="30">
        <f>IFERROR(__xludf.DUMMYFUNCTION("""COMPUTED_VALUE"""),1.2178335787386554)</f>
        <v>1.217833579</v>
      </c>
      <c r="AL399" s="30">
        <f>IFERROR(__xludf.DUMMYFUNCTION("""COMPUTED_VALUE"""),1.1661381672046158)</f>
        <v>1.166138167</v>
      </c>
      <c r="AM399" s="30">
        <f>IFERROR(__xludf.DUMMYFUNCTION("""COMPUTED_VALUE"""),1.0839324727740223)</f>
        <v>1.083932473</v>
      </c>
      <c r="AN399" s="30">
        <f>IFERROR(__xludf.DUMMYFUNCTION("""COMPUTED_VALUE"""),1.1055595216637781)</f>
        <v>1.105559522</v>
      </c>
      <c r="AO399" s="30">
        <f>IFERROR(__xludf.DUMMYFUNCTION("""COMPUTED_VALUE"""),1.2589546637188824)</f>
        <v>1.258954664</v>
      </c>
      <c r="AP399" s="30">
        <f>IFERROR(__xludf.DUMMYFUNCTION("""COMPUTED_VALUE"""),1.0092074522735988)</f>
        <v>1.009207452</v>
      </c>
      <c r="AQ399" s="30">
        <f>IFERROR(__xludf.DUMMYFUNCTION("""COMPUTED_VALUE"""),0.9914947361674008)</f>
        <v>0.9914947362</v>
      </c>
      <c r="AR399" s="30">
        <f>IFERROR(__xludf.DUMMYFUNCTION("""COMPUTED_VALUE"""),1.2627949994972645)</f>
        <v>1.262794999</v>
      </c>
      <c r="AS399" s="30">
        <f>IFERROR(__xludf.DUMMYFUNCTION("""COMPUTED_VALUE"""),89.0)</f>
        <v>89</v>
      </c>
      <c r="AT399" s="30">
        <f>IFERROR(__xludf.DUMMYFUNCTION("""COMPUTED_VALUE"""),0.3636996924358441)</f>
        <v>0.3636996924</v>
      </c>
      <c r="AU399" s="30">
        <f>IFERROR(__xludf.DUMMYFUNCTION("""COMPUTED_VALUE"""),2.118188544989936)</f>
        <v>2.118188545</v>
      </c>
      <c r="AV399" s="32">
        <f>IFERROR(__xludf.DUMMYFUNCTION("""COMPUTED_VALUE"""),60.943670055148786)</f>
        <v>60.94367006</v>
      </c>
      <c r="AW399" s="32">
        <f>IFERROR(__xludf.DUMMYFUNCTION("""COMPUTED_VALUE"""),3.0231124282547013)</f>
        <v>3.023112428</v>
      </c>
      <c r="AX399" s="32">
        <f>IFERROR(__xludf.DUMMYFUNCTION("""COMPUTED_VALUE"""),56.78847541732084)</f>
        <v>56.78847542</v>
      </c>
      <c r="AY399" s="32">
        <f>IFERROR(__xludf.DUMMYFUNCTION("""COMPUTED_VALUE"""),2.5446053557553716)</f>
        <v>2.544605356</v>
      </c>
      <c r="AZ399" s="30">
        <f>IFERROR(__xludf.DUMMYFUNCTION("""COMPUTED_VALUE"""),0.47850707249932967)</f>
        <v>0.4785070725</v>
      </c>
      <c r="BA399" s="30">
        <f>IFERROR(__xludf.DUMMYFUNCTION("""COMPUTED_VALUE"""),1200.0)</f>
        <v>1200</v>
      </c>
    </row>
    <row r="400">
      <c r="A400" s="71" t="str">
        <f>IFERROR(__xludf.DUMMYFUNCTION("""COMPUTED_VALUE"""),"Veteran")</f>
        <v>Veteran</v>
      </c>
      <c r="B400" s="71" t="str">
        <f>IFERROR(__xludf.DUMMYFUNCTION("""COMPUTED_VALUE"""),"RSC001118")</f>
        <v>RSC001118</v>
      </c>
      <c r="C400" s="30" t="str">
        <f>IFERROR(__xludf.DUMMYFUNCTION("""COMPUTED_VALUE"""),"azurified")</f>
        <v>azurified</v>
      </c>
      <c r="D400" s="30" t="str">
        <f>IFERROR(__xludf.DUMMYFUNCTION("""COMPUTED_VALUE"""),"Banshees")</f>
        <v>Banshees</v>
      </c>
      <c r="E400" s="30">
        <f>IFERROR(__xludf.DUMMYFUNCTION("""COMPUTED_VALUE"""),48.0)</f>
        <v>48</v>
      </c>
      <c r="F400" s="30">
        <f>IFERROR(__xludf.DUMMYFUNCTION("""COMPUTED_VALUE"""),23.0)</f>
        <v>23</v>
      </c>
      <c r="G400" s="42">
        <f>IFERROR(__xludf.DUMMYFUNCTION("""COMPUTED_VALUE"""),25.0)</f>
        <v>25</v>
      </c>
      <c r="H400" s="42">
        <f>IFERROR(__xludf.DUMMYFUNCTION("""COMPUTED_VALUE"""),0.4791666666666667)</f>
        <v>0.4791666667</v>
      </c>
      <c r="I400" s="42">
        <f>IFERROR(__xludf.DUMMYFUNCTION("""COMPUTED_VALUE"""),0.3049645390070922)</f>
        <v>0.304964539</v>
      </c>
      <c r="J400" s="30">
        <f>IFERROR(__xludf.DUMMYFUNCTION("""COMPUTED_VALUE"""),354.7083333333333)</f>
        <v>354.7083333</v>
      </c>
      <c r="K400" s="30">
        <f>IFERROR(__xludf.DUMMYFUNCTION("""COMPUTED_VALUE"""),0.8958333333333334)</f>
        <v>0.8958333333</v>
      </c>
      <c r="L400" s="30">
        <f>IFERROR(__xludf.DUMMYFUNCTION("""COMPUTED_VALUE"""),0.4583333333333333)</f>
        <v>0.4583333333</v>
      </c>
      <c r="M400" s="30">
        <f>IFERROR(__xludf.DUMMYFUNCTION("""COMPUTED_VALUE"""),1.2083333333333333)</f>
        <v>1.208333333</v>
      </c>
      <c r="N400" s="30">
        <f>IFERROR(__xludf.DUMMYFUNCTION("""COMPUTED_VALUE"""),2.9375)</f>
        <v>2.9375</v>
      </c>
      <c r="O400" s="30">
        <f>IFERROR(__xludf.DUMMYFUNCTION("""COMPUTED_VALUE"""),331.1805555555556)</f>
        <v>331.1805556</v>
      </c>
      <c r="P400" s="30">
        <f>IFERROR(__xludf.DUMMYFUNCTION("""COMPUTED_VALUE"""),0.7222222222222224)</f>
        <v>0.7222222222</v>
      </c>
      <c r="Q400" s="30">
        <f>IFERROR(__xludf.DUMMYFUNCTION("""COMPUTED_VALUE"""),0.5277777777777778)</f>
        <v>0.5277777778</v>
      </c>
      <c r="R400" s="30">
        <f>IFERROR(__xludf.DUMMYFUNCTION("""COMPUTED_VALUE"""),1.2500000000000002)</f>
        <v>1.25</v>
      </c>
      <c r="S400" s="30">
        <f>IFERROR(__xludf.DUMMYFUNCTION("""COMPUTED_VALUE"""),2.5416666666666665)</f>
        <v>2.541666667</v>
      </c>
      <c r="T400" s="30">
        <f>IFERROR(__xludf.DUMMYFUNCTION("""COMPUTED_VALUE"""),352.1303604971031)</f>
        <v>352.1303605</v>
      </c>
      <c r="U400" s="30">
        <f>IFERROR(__xludf.DUMMYFUNCTION("""COMPUTED_VALUE"""),0.785180396008363)</f>
        <v>0.785180396</v>
      </c>
      <c r="V400" s="30">
        <f>IFERROR(__xludf.DUMMYFUNCTION("""COMPUTED_VALUE"""),0.5530527106909697)</f>
        <v>0.5530527107</v>
      </c>
      <c r="W400" s="30">
        <f>IFERROR(__xludf.DUMMYFUNCTION("""COMPUTED_VALUE"""),1.3725167872010646)</f>
        <v>1.372516787</v>
      </c>
      <c r="X400" s="30">
        <f>IFERROR(__xludf.DUMMYFUNCTION("""COMPUTED_VALUE"""),2.592863553003532)</f>
        <v>2.592863553</v>
      </c>
      <c r="Y400" s="30">
        <f>IFERROR(__xludf.DUMMYFUNCTION("""COMPUTED_VALUE"""),357.8880404658505)</f>
        <v>357.8880405</v>
      </c>
      <c r="Z400" s="30">
        <f>IFERROR(__xludf.DUMMYFUNCTION("""COMPUTED_VALUE"""),0.8091158706251734)</f>
        <v>0.8091158706</v>
      </c>
      <c r="AA400" s="30">
        <f>IFERROR(__xludf.DUMMYFUNCTION("""COMPUTED_VALUE"""),0.5964769912471812)</f>
        <v>0.5964769912</v>
      </c>
      <c r="AB400" s="30">
        <f>IFERROR(__xludf.DUMMYFUNCTION("""COMPUTED_VALUE"""),1.347654664291784)</f>
        <v>1.347654664</v>
      </c>
      <c r="AC400" s="30">
        <f>IFERROR(__xludf.DUMMYFUNCTION("""COMPUTED_VALUE"""),2.6689806208473406)</f>
        <v>2.668980621</v>
      </c>
      <c r="AD400" s="30">
        <f>IFERROR(__xludf.DUMMYFUNCTION("""COMPUTED_VALUE"""),0.991115357952788)</f>
        <v>0.991115358</v>
      </c>
      <c r="AE400" s="30">
        <f>IFERROR(__xludf.DUMMYFUNCTION("""COMPUTED_VALUE"""),1.1071755799835648)</f>
        <v>1.10717558</v>
      </c>
      <c r="AF400" s="30">
        <f>IFERROR(__xludf.DUMMYFUNCTION("""COMPUTED_VALUE"""),0.7684006928330939)</f>
        <v>0.7684006928</v>
      </c>
      <c r="AG400" s="30">
        <f>IFERROR(__xludf.DUMMYFUNCTION("""COMPUTED_VALUE"""),0.8966194124874962)</f>
        <v>0.8966194125</v>
      </c>
      <c r="AH400" s="30">
        <f>IFERROR(__xludf.DUMMYFUNCTION("""COMPUTED_VALUE"""),1.10060746678161)</f>
        <v>1.100607467</v>
      </c>
      <c r="AI400" s="30">
        <f>IFERROR(__xludf.DUMMYFUNCTION("""COMPUTED_VALUE"""),0.940505542004465)</f>
        <v>0.940505542</v>
      </c>
      <c r="AJ400" s="30">
        <f>IFERROR(__xludf.DUMMYFUNCTION("""COMPUTED_VALUE"""),0.9198169311075489)</f>
        <v>0.9198169311</v>
      </c>
      <c r="AK400" s="30">
        <f>IFERROR(__xludf.DUMMYFUNCTION("""COMPUTED_VALUE"""),0.9542992332835435)</f>
        <v>0.9542992333</v>
      </c>
      <c r="AL400" s="30">
        <f>IFERROR(__xludf.DUMMYFUNCTION("""COMPUTED_VALUE"""),0.9107356730762401)</f>
        <v>0.9107356731</v>
      </c>
      <c r="AM400" s="30">
        <f>IFERROR(__xludf.DUMMYFUNCTION("""COMPUTED_VALUE"""),0.9802546932029802)</f>
        <v>0.9802546932</v>
      </c>
      <c r="AN400" s="30">
        <f>IFERROR(__xludf.DUMMYFUNCTION("""COMPUTED_VALUE"""),1.0260496610425267)</f>
        <v>1.026049661</v>
      </c>
      <c r="AO400" s="30">
        <f>IFERROR(__xludf.DUMMYFUNCTION("""COMPUTED_VALUE"""),1.1856501453720032)</f>
        <v>1.185650145</v>
      </c>
      <c r="AP400" s="30">
        <f>IFERROR(__xludf.DUMMYFUNCTION("""COMPUTED_VALUE"""),0.824551740897451)</f>
        <v>0.8245517409</v>
      </c>
      <c r="AQ400" s="30">
        <f>IFERROR(__xludf.DUMMYFUNCTION("""COMPUTED_VALUE"""),0.893096394926545)</f>
        <v>0.8930963949</v>
      </c>
      <c r="AR400" s="30">
        <f>IFERROR(__xludf.DUMMYFUNCTION("""COMPUTED_VALUE"""),1.1521808541814529)</f>
        <v>1.152180854</v>
      </c>
      <c r="AS400" s="30">
        <f>IFERROR(__xludf.DUMMYFUNCTION("""COMPUTED_VALUE"""),112.0)</f>
        <v>112</v>
      </c>
      <c r="AT400" s="30">
        <f>IFERROR(__xludf.DUMMYFUNCTION("""COMPUTED_VALUE"""),0.5284974506154044)</f>
        <v>0.5284974506</v>
      </c>
      <c r="AU400" s="30">
        <f>IFERROR(__xludf.DUMMYFUNCTION("""COMPUTED_VALUE"""),2.08001995985907)</f>
        <v>2.08001996</v>
      </c>
      <c r="AV400" s="32">
        <f>IFERROR(__xludf.DUMMYFUNCTION("""COMPUTED_VALUE"""),59.579063221675966)</f>
        <v>59.57906322</v>
      </c>
      <c r="AW400" s="32">
        <f>IFERROR(__xludf.DUMMYFUNCTION("""COMPUTED_VALUE"""),2.8506301470992246)</f>
        <v>2.850630147</v>
      </c>
      <c r="AX400" s="32">
        <f>IFERROR(__xludf.DUMMYFUNCTION("""COMPUTED_VALUE"""),55.609877333498844)</f>
        <v>55.60987733</v>
      </c>
      <c r="AY400" s="32">
        <f>IFERROR(__xludf.DUMMYFUNCTION("""COMPUTED_VALUE"""),2.431759099796819)</f>
        <v>2.4317591</v>
      </c>
      <c r="AZ400" s="30">
        <f>IFERROR(__xludf.DUMMYFUNCTION("""COMPUTED_VALUE"""),0.41887104730240576)</f>
        <v>0.4188710473</v>
      </c>
      <c r="BA400" s="30">
        <f>IFERROR(__xludf.DUMMYFUNCTION("""COMPUTED_VALUE"""),1200.0)</f>
        <v>1200</v>
      </c>
    </row>
    <row r="401">
      <c r="A401" s="71" t="str">
        <f>IFERROR(__xludf.DUMMYFUNCTION("""COMPUTED_VALUE"""),"Veteran")</f>
        <v>Veteran</v>
      </c>
      <c r="B401" s="71" t="str">
        <f>IFERROR(__xludf.DUMMYFUNCTION("""COMPUTED_VALUE"""),"RSC001203")</f>
        <v>RSC001203</v>
      </c>
      <c r="C401" s="30" t="str">
        <f>IFERROR(__xludf.DUMMYFUNCTION("""COMPUTED_VALUE"""),"Clyde")</f>
        <v>Clyde</v>
      </c>
      <c r="D401" s="30" t="str">
        <f>IFERROR(__xludf.DUMMYFUNCTION("""COMPUTED_VALUE"""),"Banshees")</f>
        <v>Banshees</v>
      </c>
      <c r="E401" s="30">
        <f>IFERROR(__xludf.DUMMYFUNCTION("""COMPUTED_VALUE"""),28.0)</f>
        <v>28</v>
      </c>
      <c r="F401" s="30">
        <f>IFERROR(__xludf.DUMMYFUNCTION("""COMPUTED_VALUE"""),15.0)</f>
        <v>15</v>
      </c>
      <c r="G401" s="42">
        <f>IFERROR(__xludf.DUMMYFUNCTION("""COMPUTED_VALUE"""),13.0)</f>
        <v>13</v>
      </c>
      <c r="H401" s="42">
        <f>IFERROR(__xludf.DUMMYFUNCTION("""COMPUTED_VALUE"""),0.5357142857142857)</f>
        <v>0.5357142857</v>
      </c>
      <c r="I401" s="42">
        <f>IFERROR(__xludf.DUMMYFUNCTION("""COMPUTED_VALUE"""),0.2625)</f>
        <v>0.2625</v>
      </c>
      <c r="J401" s="30">
        <f>IFERROR(__xludf.DUMMYFUNCTION("""COMPUTED_VALUE"""),358.35714285714283)</f>
        <v>358.3571429</v>
      </c>
      <c r="K401" s="30">
        <f>IFERROR(__xludf.DUMMYFUNCTION("""COMPUTED_VALUE"""),0.75)</f>
        <v>0.75</v>
      </c>
      <c r="L401" s="30">
        <f>IFERROR(__xludf.DUMMYFUNCTION("""COMPUTED_VALUE"""),0.7142857142857143)</f>
        <v>0.7142857143</v>
      </c>
      <c r="M401" s="30">
        <f>IFERROR(__xludf.DUMMYFUNCTION("""COMPUTED_VALUE"""),1.5)</f>
        <v>1.5</v>
      </c>
      <c r="N401" s="30">
        <f>IFERROR(__xludf.DUMMYFUNCTION("""COMPUTED_VALUE"""),2.857142857142857)</f>
        <v>2.857142857</v>
      </c>
      <c r="O401" s="30">
        <f>IFERROR(__xludf.DUMMYFUNCTION("""COMPUTED_VALUE"""),340.3690476190476)</f>
        <v>340.3690476</v>
      </c>
      <c r="P401" s="30">
        <f>IFERROR(__xludf.DUMMYFUNCTION("""COMPUTED_VALUE"""),0.7023809523809526)</f>
        <v>0.7023809524</v>
      </c>
      <c r="Q401" s="30">
        <f>IFERROR(__xludf.DUMMYFUNCTION("""COMPUTED_VALUE"""),0.5119047619047618)</f>
        <v>0.5119047619</v>
      </c>
      <c r="R401" s="30">
        <f>IFERROR(__xludf.DUMMYFUNCTION("""COMPUTED_VALUE"""),1.440476190476191)</f>
        <v>1.44047619</v>
      </c>
      <c r="S401" s="30">
        <f>IFERROR(__xludf.DUMMYFUNCTION("""COMPUTED_VALUE"""),2.3809523809523805)</f>
        <v>2.380952381</v>
      </c>
      <c r="T401" s="30">
        <f>IFERROR(__xludf.DUMMYFUNCTION("""COMPUTED_VALUE"""),355.89231314624755)</f>
        <v>355.8923131</v>
      </c>
      <c r="U401" s="30">
        <f>IFERROR(__xludf.DUMMYFUNCTION("""COMPUTED_VALUE"""),0.8022192241561633)</f>
        <v>0.8022192242</v>
      </c>
      <c r="V401" s="30">
        <f>IFERROR(__xludf.DUMMYFUNCTION("""COMPUTED_VALUE"""),0.5658138689746225)</f>
        <v>0.565813869</v>
      </c>
      <c r="W401" s="30">
        <f>IFERROR(__xludf.DUMMYFUNCTION("""COMPUTED_VALUE"""),1.3882222791275596)</f>
        <v>1.388222279</v>
      </c>
      <c r="X401" s="30">
        <f>IFERROR(__xludf.DUMMYFUNCTION("""COMPUTED_VALUE"""),2.6149210032561996)</f>
        <v>2.614921003</v>
      </c>
      <c r="Y401" s="30">
        <f>IFERROR(__xludf.DUMMYFUNCTION("""COMPUTED_VALUE"""),358.69227056313855)</f>
        <v>358.6922706</v>
      </c>
      <c r="Z401" s="30">
        <f>IFERROR(__xludf.DUMMYFUNCTION("""COMPUTED_VALUE"""),0.8169582460126931)</f>
        <v>0.816958246</v>
      </c>
      <c r="AA401" s="30">
        <f>IFERROR(__xludf.DUMMYFUNCTION("""COMPUTED_VALUE"""),0.5973379301181924)</f>
        <v>0.5973379301</v>
      </c>
      <c r="AB401" s="30">
        <f>IFERROR(__xludf.DUMMYFUNCTION("""COMPUTED_VALUE"""),1.3489529370764828)</f>
        <v>1.348952937</v>
      </c>
      <c r="AC401" s="30">
        <f>IFERROR(__xludf.DUMMYFUNCTION("""COMPUTED_VALUE"""),2.688447914276605)</f>
        <v>2.688447914</v>
      </c>
      <c r="AD401" s="30">
        <f>IFERROR(__xludf.DUMMYFUNCTION("""COMPUTED_VALUE"""),0.9990656957690514)</f>
        <v>0.9990656958</v>
      </c>
      <c r="AE401" s="30">
        <f>IFERROR(__xludf.DUMMYFUNCTION("""COMPUTED_VALUE"""),0.9180395738221697)</f>
        <v>0.9180395738</v>
      </c>
      <c r="AF401" s="30">
        <f>IFERROR(__xludf.DUMMYFUNCTION("""COMPUTED_VALUE"""),1.1957816141767224)</f>
        <v>1.195781614</v>
      </c>
      <c r="AG401" s="30">
        <f>IFERROR(__xludf.DUMMYFUNCTION("""COMPUTED_VALUE"""),1.1119735602124665)</f>
        <v>1.11197356</v>
      </c>
      <c r="AH401" s="30">
        <f>IFERROR(__xludf.DUMMYFUNCTION("""COMPUTED_VALUE"""),1.0627480792803992)</f>
        <v>1.062748079</v>
      </c>
      <c r="AI401" s="30">
        <f>IFERROR(__xludf.DUMMYFUNCTION("""COMPUTED_VALUE"""),0.9563821275318725)</f>
        <v>0.9563821275</v>
      </c>
      <c r="AJ401" s="30">
        <f>IFERROR(__xludf.DUMMYFUNCTION("""COMPUTED_VALUE"""),0.875547395563565)</f>
        <v>0.8755473956</v>
      </c>
      <c r="AK401" s="30">
        <f>IFERROR(__xludf.DUMMYFUNCTION("""COMPUTED_VALUE"""),0.9047228955918741)</f>
        <v>0.9047228956</v>
      </c>
      <c r="AL401" s="30">
        <f>IFERROR(__xludf.DUMMYFUNCTION("""COMPUTED_VALUE"""),1.0376408822522794)</f>
        <v>1.037640882</v>
      </c>
      <c r="AM401" s="30">
        <f>IFERROR(__xludf.DUMMYFUNCTION("""COMPUTED_VALUE"""),0.9105255485682082)</f>
        <v>0.9105255486</v>
      </c>
      <c r="AN401" s="30">
        <f>IFERROR(__xludf.DUMMYFUNCTION("""COMPUTED_VALUE"""),1.036604416663662)</f>
        <v>1.036604417</v>
      </c>
      <c r="AO401" s="30">
        <f>IFERROR(__xludf.DUMMYFUNCTION("""COMPUTED_VALUE"""),0.992637331009119)</f>
        <v>0.992637331</v>
      </c>
      <c r="AP401" s="30">
        <f>IFERROR(__xludf.DUMMYFUNCTION("""COMPUTED_VALUE"""),1.2850157000999236)</f>
        <v>1.2850157</v>
      </c>
      <c r="AQ401" s="30">
        <f>IFERROR(__xludf.DUMMYFUNCTION("""COMPUTED_VALUE"""),1.1086713868053664)</f>
        <v>1.108671387</v>
      </c>
      <c r="AR401" s="30">
        <f>IFERROR(__xludf.DUMMYFUNCTION("""COMPUTED_VALUE"""),1.1206622289910788)</f>
        <v>1.120662229</v>
      </c>
      <c r="AS401" s="30">
        <f>IFERROR(__xludf.DUMMYFUNCTION("""COMPUTED_VALUE"""),71.0)</f>
        <v>71</v>
      </c>
      <c r="AT401" s="30">
        <f>IFERROR(__xludf.DUMMYFUNCTION("""COMPUTED_VALUE"""),0.5714221728554963)</f>
        <v>0.5714221729</v>
      </c>
      <c r="AU401" s="30">
        <f>IFERROR(__xludf.DUMMYFUNCTION("""COMPUTED_VALUE"""),2.2197532987407484)</f>
        <v>2.219753299</v>
      </c>
      <c r="AV401" s="32">
        <f>IFERROR(__xludf.DUMMYFUNCTION("""COMPUTED_VALUE"""),64.57482265179732)</f>
        <v>64.57482265</v>
      </c>
      <c r="AW401" s="32">
        <f>IFERROR(__xludf.DUMMYFUNCTION("""COMPUTED_VALUE"""),3.572078716826135)</f>
        <v>3.572078717</v>
      </c>
      <c r="AX401" s="32">
        <f>IFERROR(__xludf.DUMMYFUNCTION("""COMPUTED_VALUE"""),62.10521493606403)</f>
        <v>62.10521494</v>
      </c>
      <c r="AY401" s="32">
        <f>IFERROR(__xludf.DUMMYFUNCTION("""COMPUTED_VALUE"""),3.1835077188649747)</f>
        <v>3.183507719</v>
      </c>
      <c r="AZ401" s="30">
        <f>IFERROR(__xludf.DUMMYFUNCTION("""COMPUTED_VALUE"""),0.38857099796116046)</f>
        <v>0.388570998</v>
      </c>
      <c r="BA401" s="30">
        <f>IFERROR(__xludf.DUMMYFUNCTION("""COMPUTED_VALUE"""),1200.0)</f>
        <v>1200</v>
      </c>
    </row>
    <row r="402">
      <c r="A402" s="71" t="str">
        <f>IFERROR(__xludf.DUMMYFUNCTION("""COMPUTED_VALUE"""),"Veteran")</f>
        <v>Veteran</v>
      </c>
      <c r="B402" s="71" t="str">
        <f>IFERROR(__xludf.DUMMYFUNCTION("""COMPUTED_VALUE"""),"RSC007908")</f>
        <v>RSC007908</v>
      </c>
      <c r="C402" s="30" t="str">
        <f>IFERROR(__xludf.DUMMYFUNCTION("""COMPUTED_VALUE"""),"C01E01")</f>
        <v>C01E01</v>
      </c>
      <c r="D402" s="30"/>
      <c r="E402" s="30">
        <f>IFERROR(__xludf.DUMMYFUNCTION("""COMPUTED_VALUE"""),39.0)</f>
        <v>39</v>
      </c>
      <c r="F402" s="30">
        <f>IFERROR(__xludf.DUMMYFUNCTION("""COMPUTED_VALUE"""),18.0)</f>
        <v>18</v>
      </c>
      <c r="G402" s="42">
        <f>IFERROR(__xludf.DUMMYFUNCTION("""COMPUTED_VALUE"""),21.0)</f>
        <v>21</v>
      </c>
      <c r="H402" s="42">
        <f>IFERROR(__xludf.DUMMYFUNCTION("""COMPUTED_VALUE"""),0.46153846153846156)</f>
        <v>0.4615384615</v>
      </c>
      <c r="I402" s="42">
        <f>IFERROR(__xludf.DUMMYFUNCTION("""COMPUTED_VALUE"""),0.34188034188034183)</f>
        <v>0.3418803419</v>
      </c>
      <c r="J402" s="30">
        <f>IFERROR(__xludf.DUMMYFUNCTION("""COMPUTED_VALUE"""),409.9230769230769)</f>
        <v>409.9230769</v>
      </c>
      <c r="K402" s="30">
        <f>IFERROR(__xludf.DUMMYFUNCTION("""COMPUTED_VALUE"""),1.0256410256410255)</f>
        <v>1.025641026</v>
      </c>
      <c r="L402" s="30">
        <f>IFERROR(__xludf.DUMMYFUNCTION("""COMPUTED_VALUE"""),0.38461538461538464)</f>
        <v>0.3846153846</v>
      </c>
      <c r="M402" s="30">
        <f>IFERROR(__xludf.DUMMYFUNCTION("""COMPUTED_VALUE"""),1.564102564102564)</f>
        <v>1.564102564</v>
      </c>
      <c r="N402" s="30">
        <f>IFERROR(__xludf.DUMMYFUNCTION("""COMPUTED_VALUE"""),3.0)</f>
        <v>3</v>
      </c>
      <c r="O402" s="30">
        <f>IFERROR(__xludf.DUMMYFUNCTION("""COMPUTED_VALUE"""),348.6495726495727)</f>
        <v>348.6495726</v>
      </c>
      <c r="P402" s="30">
        <f>IFERROR(__xludf.DUMMYFUNCTION("""COMPUTED_VALUE"""),0.7179487179487178)</f>
        <v>0.7179487179</v>
      </c>
      <c r="Q402" s="30">
        <f>IFERROR(__xludf.DUMMYFUNCTION("""COMPUTED_VALUE"""),0.5982905982905983)</f>
        <v>0.5982905983</v>
      </c>
      <c r="R402" s="30">
        <f>IFERROR(__xludf.DUMMYFUNCTION("""COMPUTED_VALUE"""),1.2905982905982905)</f>
        <v>1.290598291</v>
      </c>
      <c r="S402" s="30">
        <f>IFERROR(__xludf.DUMMYFUNCTION("""COMPUTED_VALUE"""),2.5042735042735034)</f>
        <v>2.504273504</v>
      </c>
      <c r="T402" s="30">
        <f>IFERROR(__xludf.DUMMYFUNCTION("""COMPUTED_VALUE"""),363.3208900119204)</f>
        <v>363.32089</v>
      </c>
      <c r="U402" s="30">
        <f>IFERROR(__xludf.DUMMYFUNCTION("""COMPUTED_VALUE"""),0.8238223553236309)</f>
        <v>0.8238223553</v>
      </c>
      <c r="V402" s="30">
        <f>IFERROR(__xludf.DUMMYFUNCTION("""COMPUTED_VALUE"""),0.6196362899999516)</f>
        <v>0.61963629</v>
      </c>
      <c r="W402" s="30">
        <f>IFERROR(__xludf.DUMMYFUNCTION("""COMPUTED_VALUE"""),1.3658742418676064)</f>
        <v>1.365874242</v>
      </c>
      <c r="X402" s="30">
        <f>IFERROR(__xludf.DUMMYFUNCTION("""COMPUTED_VALUE"""),2.725020330070247)</f>
        <v>2.72502033</v>
      </c>
      <c r="Y402" s="30">
        <f>IFERROR(__xludf.DUMMYFUNCTION("""COMPUTED_VALUE"""),357.4955578221524)</f>
        <v>357.4955578</v>
      </c>
      <c r="Z402" s="30">
        <f>IFERROR(__xludf.DUMMYFUNCTION("""COMPUTED_VALUE"""),0.7929312732045599)</f>
        <v>0.7929312732</v>
      </c>
      <c r="AA402" s="30">
        <f>IFERROR(__xludf.DUMMYFUNCTION("""COMPUTED_VALUE"""),0.5789680146404518)</f>
        <v>0.5789680146</v>
      </c>
      <c r="AB402" s="30">
        <f>IFERROR(__xludf.DUMMYFUNCTION("""COMPUTED_VALUE"""),1.3888387719601307)</f>
        <v>1.388838772</v>
      </c>
      <c r="AC402" s="30">
        <f>IFERROR(__xludf.DUMMYFUNCTION("""COMPUTED_VALUE"""),2.6234920115422407)</f>
        <v>2.623492012</v>
      </c>
      <c r="AD402" s="30">
        <f>IFERROR(__xludf.DUMMYFUNCTION("""COMPUTED_VALUE"""),1.1466522253320033)</f>
        <v>1.146652225</v>
      </c>
      <c r="AE402" s="30">
        <f>IFERROR(__xludf.DUMMYFUNCTION("""COMPUTED_VALUE"""),1.2934803561171073)</f>
        <v>1.293480356</v>
      </c>
      <c r="AF402" s="30">
        <f>IFERROR(__xludf.DUMMYFUNCTION("""COMPUTED_VALUE"""),0.664311973873439)</f>
        <v>0.6643119739</v>
      </c>
      <c r="AG402" s="30">
        <f>IFERROR(__xludf.DUMMYFUNCTION("""COMPUTED_VALUE"""),1.1261944839681253)</f>
        <v>1.126194484</v>
      </c>
      <c r="AH402" s="30">
        <f>IFERROR(__xludf.DUMMYFUNCTION("""COMPUTED_VALUE"""),1.1435140594296782)</f>
        <v>1.143514059</v>
      </c>
      <c r="AI402" s="30">
        <f>IFERROR(__xludf.DUMMYFUNCTION("""COMPUTED_VALUE"""),0.9596188444824453)</f>
        <v>0.9596188445</v>
      </c>
      <c r="AJ402" s="30">
        <f>IFERROR(__xludf.DUMMYFUNCTION("""COMPUTED_VALUE"""),0.8714848696557627)</f>
        <v>0.8714848697</v>
      </c>
      <c r="AK402" s="30">
        <f>IFERROR(__xludf.DUMMYFUNCTION("""COMPUTED_VALUE"""),0.9655512563517624)</f>
        <v>0.9655512564</v>
      </c>
      <c r="AL402" s="30">
        <f>IFERROR(__xludf.DUMMYFUNCTION("""COMPUTED_VALUE"""),0.9448880804967896)</f>
        <v>0.9448880805</v>
      </c>
      <c r="AM402" s="30">
        <f>IFERROR(__xludf.DUMMYFUNCTION("""COMPUTED_VALUE"""),0.9189925948952267)</f>
        <v>0.9189925949</v>
      </c>
      <c r="AN402" s="30">
        <f>IFERROR(__xludf.DUMMYFUNCTION("""COMPUTED_VALUE"""),1.185766993907011)</f>
        <v>1.185766994</v>
      </c>
      <c r="AO402" s="30">
        <f>IFERROR(__xludf.DUMMYFUNCTION("""COMPUTED_VALUE"""),1.3574527603543505)</f>
        <v>1.35745276</v>
      </c>
      <c r="AP402" s="30">
        <f>IFERROR(__xludf.DUMMYFUNCTION("""COMPUTED_VALUE"""),0.6919315308230358)</f>
        <v>0.6919315308</v>
      </c>
      <c r="AQ402" s="30">
        <f>IFERROR(__xludf.DUMMYFUNCTION("""COMPUTED_VALUE"""),1.1560505058996127)</f>
        <v>1.156050506</v>
      </c>
      <c r="AR402" s="30">
        <f>IFERROR(__xludf.DUMMYFUNCTION("""COMPUTED_VALUE"""),1.1766953404406326)</f>
        <v>1.17669534</v>
      </c>
      <c r="AS402" s="30">
        <f>IFERROR(__xludf.DUMMYFUNCTION("""COMPUTED_VALUE"""),89.0)</f>
        <v>89</v>
      </c>
      <c r="AT402" s="30">
        <f>IFERROR(__xludf.DUMMYFUNCTION("""COMPUTED_VALUE"""),0.52215206248874)</f>
        <v>0.5221520625</v>
      </c>
      <c r="AU402" s="30">
        <f>IFERROR(__xludf.DUMMYFUNCTION("""COMPUTED_VALUE"""),2.370810348255648)</f>
        <v>2.370810348</v>
      </c>
      <c r="AV402" s="32">
        <f>IFERROR(__xludf.DUMMYFUNCTION("""COMPUTED_VALUE"""),69.97542844594767)</f>
        <v>69.97542845</v>
      </c>
      <c r="AW402" s="32">
        <f>IFERROR(__xludf.DUMMYFUNCTION("""COMPUTED_VALUE"""),4.713862925721267)</f>
        <v>4.713862926</v>
      </c>
      <c r="AX402" s="32">
        <f>IFERROR(__xludf.DUMMYFUNCTION("""COMPUTED_VALUE"""),71.18853334631164)</f>
        <v>71.18853335</v>
      </c>
      <c r="AY402" s="32">
        <f>IFERROR(__xludf.DUMMYFUNCTION("""COMPUTED_VALUE"""),5.041676282355438)</f>
        <v>5.041676282</v>
      </c>
      <c r="AZ402" s="30">
        <f>IFERROR(__xludf.DUMMYFUNCTION("""COMPUTED_VALUE"""),0.327813356634171)</f>
        <v>0.3278133566</v>
      </c>
      <c r="BA402" s="30">
        <f>IFERROR(__xludf.DUMMYFUNCTION("""COMPUTED_VALUE"""),1200.0)</f>
        <v>1200</v>
      </c>
    </row>
    <row r="403">
      <c r="A403" s="71" t="str">
        <f>IFERROR(__xludf.DUMMYFUNCTION("""COMPUTED_VALUE"""),"Veteran")</f>
        <v>Veteran</v>
      </c>
      <c r="B403" s="71" t="str">
        <f>IFERROR(__xludf.DUMMYFUNCTION("""COMPUTED_VALUE"""),"RSC001954")</f>
        <v>RSC001954</v>
      </c>
      <c r="C403" s="30" t="str">
        <f>IFERROR(__xludf.DUMMYFUNCTION("""COMPUTED_VALUE"""),"Kiwi")</f>
        <v>Kiwi</v>
      </c>
      <c r="D403" s="30" t="str">
        <f>IFERROR(__xludf.DUMMYFUNCTION("""COMPUTED_VALUE"""),"Supernova")</f>
        <v>Supernova</v>
      </c>
      <c r="E403" s="30">
        <f>IFERROR(__xludf.DUMMYFUNCTION("""COMPUTED_VALUE"""),20.0)</f>
        <v>20</v>
      </c>
      <c r="F403" s="30">
        <f>IFERROR(__xludf.DUMMYFUNCTION("""COMPUTED_VALUE"""),6.0)</f>
        <v>6</v>
      </c>
      <c r="G403" s="42">
        <f>IFERROR(__xludf.DUMMYFUNCTION("""COMPUTED_VALUE"""),14.0)</f>
        <v>14</v>
      </c>
      <c r="H403" s="42">
        <f>IFERROR(__xludf.DUMMYFUNCTION("""COMPUTED_VALUE"""),0.3)</f>
        <v>0.3</v>
      </c>
      <c r="I403" s="42">
        <f>IFERROR(__xludf.DUMMYFUNCTION("""COMPUTED_VALUE"""),0.4411764705882353)</f>
        <v>0.4411764706</v>
      </c>
      <c r="J403" s="30">
        <f>IFERROR(__xludf.DUMMYFUNCTION("""COMPUTED_VALUE"""),320.8)</f>
        <v>320.8</v>
      </c>
      <c r="K403" s="30">
        <f>IFERROR(__xludf.DUMMYFUNCTION("""COMPUTED_VALUE"""),0.75)</f>
        <v>0.75</v>
      </c>
      <c r="L403" s="30">
        <f>IFERROR(__xludf.DUMMYFUNCTION("""COMPUTED_VALUE"""),0.55)</f>
        <v>0.55</v>
      </c>
      <c r="M403" s="30">
        <f>IFERROR(__xludf.DUMMYFUNCTION("""COMPUTED_VALUE"""),1.0)</f>
        <v>1</v>
      </c>
      <c r="N403" s="30">
        <f>IFERROR(__xludf.DUMMYFUNCTION("""COMPUTED_VALUE"""),1.7)</f>
        <v>1.7</v>
      </c>
      <c r="O403" s="30">
        <f>IFERROR(__xludf.DUMMYFUNCTION("""COMPUTED_VALUE"""),338.5166666666667)</f>
        <v>338.5166667</v>
      </c>
      <c r="P403" s="30">
        <f>IFERROR(__xludf.DUMMYFUNCTION("""COMPUTED_VALUE"""),0.8666666666666666)</f>
        <v>0.8666666667</v>
      </c>
      <c r="Q403" s="30">
        <f>IFERROR(__xludf.DUMMYFUNCTION("""COMPUTED_VALUE"""),0.55)</f>
        <v>0.55</v>
      </c>
      <c r="R403" s="30">
        <f>IFERROR(__xludf.DUMMYFUNCTION("""COMPUTED_VALUE"""),1.0333333333333334)</f>
        <v>1.033333333</v>
      </c>
      <c r="S403" s="30">
        <f>IFERROR(__xludf.DUMMYFUNCTION("""COMPUTED_VALUE"""),2.5166666666666666)</f>
        <v>2.516666667</v>
      </c>
      <c r="T403" s="30">
        <f>IFERROR(__xludf.DUMMYFUNCTION("""COMPUTED_VALUE"""),345.56651170745334)</f>
        <v>345.5665117</v>
      </c>
      <c r="U403" s="30">
        <f>IFERROR(__xludf.DUMMYFUNCTION("""COMPUTED_VALUE"""),0.7352956004662271)</f>
        <v>0.7352956005</v>
      </c>
      <c r="V403" s="30">
        <f>IFERROR(__xludf.DUMMYFUNCTION("""COMPUTED_VALUE"""),0.5824322140184124)</f>
        <v>0.582432214</v>
      </c>
      <c r="W403" s="30">
        <f>IFERROR(__xludf.DUMMYFUNCTION("""COMPUTED_VALUE"""),1.3124247294608768)</f>
        <v>1.312424729</v>
      </c>
      <c r="X403" s="30">
        <f>IFERROR(__xludf.DUMMYFUNCTION("""COMPUTED_VALUE"""),2.469379793133585)</f>
        <v>2.469379793</v>
      </c>
      <c r="Y403" s="30">
        <f>IFERROR(__xludf.DUMMYFUNCTION("""COMPUTED_VALUE"""),339.9348704582881)</f>
        <v>339.9348705</v>
      </c>
      <c r="Z403" s="30">
        <f>IFERROR(__xludf.DUMMYFUNCTION("""COMPUTED_VALUE"""),0.7443176740611019)</f>
        <v>0.7443176741</v>
      </c>
      <c r="AA403" s="30">
        <f>IFERROR(__xludf.DUMMYFUNCTION("""COMPUTED_VALUE"""),0.5319500730092237)</f>
        <v>0.531950073</v>
      </c>
      <c r="AB403" s="30">
        <f>IFERROR(__xludf.DUMMYFUNCTION("""COMPUTED_VALUE"""),1.2415148888792298)</f>
        <v>1.241514889</v>
      </c>
      <c r="AC403" s="30">
        <f>IFERROR(__xludf.DUMMYFUNCTION("""COMPUTED_VALUE"""),2.5522898116456423)</f>
        <v>2.552289812</v>
      </c>
      <c r="AD403" s="30">
        <f>IFERROR(__xludf.DUMMYFUNCTION("""COMPUTED_VALUE"""),0.9437101865057529)</f>
        <v>0.9437101865</v>
      </c>
      <c r="AE403" s="30">
        <f>IFERROR(__xludf.DUMMYFUNCTION("""COMPUTED_VALUE"""),1.0076342751716407)</f>
        <v>1.007634275</v>
      </c>
      <c r="AF403" s="30">
        <f>IFERROR(__xludf.DUMMYFUNCTION("""COMPUTED_VALUE"""),1.0339316185984684)</f>
        <v>1.033931619</v>
      </c>
      <c r="AG403" s="30">
        <f>IFERROR(__xludf.DUMMYFUNCTION("""COMPUTED_VALUE"""),0.8054675855742206)</f>
        <v>0.8054675856</v>
      </c>
      <c r="AH403" s="30">
        <f>IFERROR(__xludf.DUMMYFUNCTION("""COMPUTED_VALUE"""),0.6660685601780816)</f>
        <v>0.6660685602</v>
      </c>
      <c r="AI403" s="30">
        <f>IFERROR(__xludf.DUMMYFUNCTION("""COMPUTED_VALUE"""),0.9795991660014937)</f>
        <v>0.979599166</v>
      </c>
      <c r="AJ403" s="30">
        <f>IFERROR(__xludf.DUMMYFUNCTION("""COMPUTED_VALUE"""),1.178664289732104)</f>
        <v>1.17866429</v>
      </c>
      <c r="AK403" s="30">
        <f>IFERROR(__xludf.DUMMYFUNCTION("""COMPUTED_VALUE"""),0.9443158993650941)</f>
        <v>0.9443158994</v>
      </c>
      <c r="AL403" s="30">
        <f>IFERROR(__xludf.DUMMYFUNCTION("""COMPUTED_VALUE"""),0.7873467408358042)</f>
        <v>0.7873467408</v>
      </c>
      <c r="AM403" s="30">
        <f>IFERROR(__xludf.DUMMYFUNCTION("""COMPUTED_VALUE"""),1.0191492915203115)</f>
        <v>1.019149292</v>
      </c>
      <c r="AN403" s="30">
        <f>IFERROR(__xludf.DUMMYFUNCTION("""COMPUTED_VALUE"""),0.9279644720191029)</f>
        <v>0.927964472</v>
      </c>
      <c r="AO403" s="30">
        <f>IFERROR(__xludf.DUMMYFUNCTION("""COMPUTED_VALUE"""),0.992637331009119)</f>
        <v>0.992637331</v>
      </c>
      <c r="AP403" s="30">
        <f>IFERROR(__xludf.DUMMYFUNCTION("""COMPUTED_VALUE"""),0.9894620890769413)</f>
        <v>0.9894620891</v>
      </c>
      <c r="AQ403" s="30">
        <f>IFERROR(__xludf.DUMMYFUNCTION("""COMPUTED_VALUE"""),0.7391142578702442)</f>
        <v>0.7391142579</v>
      </c>
      <c r="AR403" s="30">
        <f>IFERROR(__xludf.DUMMYFUNCTION("""COMPUTED_VALUE"""),0.6667940262496919)</f>
        <v>0.6667940262</v>
      </c>
      <c r="AS403" s="30">
        <f>IFERROR(__xludf.DUMMYFUNCTION("""COMPUTED_VALUE"""),39.0)</f>
        <v>39</v>
      </c>
      <c r="AT403" s="30">
        <f>IFERROR(__xludf.DUMMYFUNCTION("""COMPUTED_VALUE"""),0.390695956555041)</f>
        <v>0.3906959566</v>
      </c>
      <c r="AU403" s="30">
        <f>IFERROR(__xludf.DUMMYFUNCTION("""COMPUTED_VALUE"""),1.5804156247809633)</f>
        <v>1.580415625</v>
      </c>
      <c r="AV403" s="32">
        <f>IFERROR(__xludf.DUMMYFUNCTION("""COMPUTED_VALUE"""),41.71716220169525)</f>
        <v>41.7171622</v>
      </c>
      <c r="AW403" s="32">
        <f>IFERROR(__xludf.DUMMYFUNCTION("""COMPUTED_VALUE"""),-2.7012145303134725)</f>
        <v>-2.70121453</v>
      </c>
      <c r="AX403" s="32">
        <f>IFERROR(__xludf.DUMMYFUNCTION("""COMPUTED_VALUE"""),44.871012093162705)</f>
        <v>44.87101209</v>
      </c>
      <c r="AY403" s="32">
        <f>IFERROR(__xludf.DUMMYFUNCTION("""COMPUTED_VALUE"""),-2.388209415938148)</f>
        <v>-2.388209416</v>
      </c>
      <c r="AZ403" s="30">
        <f>IFERROR(__xludf.DUMMYFUNCTION("""COMPUTED_VALUE"""),0.3130051143753243)</f>
        <v>0.3130051144</v>
      </c>
      <c r="BA403" s="30">
        <f>IFERROR(__xludf.DUMMYFUNCTION("""COMPUTED_VALUE"""),1200.0)</f>
        <v>1200</v>
      </c>
    </row>
    <row r="404">
      <c r="A404" s="71" t="str">
        <f>IFERROR(__xludf.DUMMYFUNCTION("""COMPUTED_VALUE"""),"Veteran")</f>
        <v>Veteran</v>
      </c>
      <c r="B404" s="71" t="str">
        <f>IFERROR(__xludf.DUMMYFUNCTION("""COMPUTED_VALUE"""),"RSC007301")</f>
        <v>RSC007301</v>
      </c>
      <c r="C404" s="30" t="str">
        <f>IFERROR(__xludf.DUMMYFUNCTION("""COMPUTED_VALUE"""),"DeathFletch")</f>
        <v>DeathFletch</v>
      </c>
      <c r="D404" s="30" t="str">
        <f>IFERROR(__xludf.DUMMYFUNCTION("""COMPUTED_VALUE"""),"Azalea")</f>
        <v>Azalea</v>
      </c>
      <c r="E404" s="30">
        <f>IFERROR(__xludf.DUMMYFUNCTION("""COMPUTED_VALUE"""),30.0)</f>
        <v>30</v>
      </c>
      <c r="F404" s="30">
        <f>IFERROR(__xludf.DUMMYFUNCTION("""COMPUTED_VALUE"""),14.0)</f>
        <v>14</v>
      </c>
      <c r="G404" s="42">
        <f>IFERROR(__xludf.DUMMYFUNCTION("""COMPUTED_VALUE"""),16.0)</f>
        <v>16</v>
      </c>
      <c r="H404" s="42">
        <f>IFERROR(__xludf.DUMMYFUNCTION("""COMPUTED_VALUE"""),0.4666666666666667)</f>
        <v>0.4666666667</v>
      </c>
      <c r="I404" s="42">
        <f>IFERROR(__xludf.DUMMYFUNCTION("""COMPUTED_VALUE"""),0.3026315789473685)</f>
        <v>0.3026315789</v>
      </c>
      <c r="J404" s="30">
        <f>IFERROR(__xludf.DUMMYFUNCTION("""COMPUTED_VALUE"""),333.93333333333334)</f>
        <v>333.9333333</v>
      </c>
      <c r="K404" s="30">
        <f>IFERROR(__xludf.DUMMYFUNCTION("""COMPUTED_VALUE"""),0.7666666666666667)</f>
        <v>0.7666666667</v>
      </c>
      <c r="L404" s="30">
        <f>IFERROR(__xludf.DUMMYFUNCTION("""COMPUTED_VALUE"""),0.6333333333333333)</f>
        <v>0.6333333333</v>
      </c>
      <c r="M404" s="30">
        <f>IFERROR(__xludf.DUMMYFUNCTION("""COMPUTED_VALUE"""),0.9666666666666667)</f>
        <v>0.9666666667</v>
      </c>
      <c r="N404" s="30">
        <f>IFERROR(__xludf.DUMMYFUNCTION("""COMPUTED_VALUE"""),2.533333333333333)</f>
        <v>2.533333333</v>
      </c>
      <c r="O404" s="30">
        <f>IFERROR(__xludf.DUMMYFUNCTION("""COMPUTED_VALUE"""),333.2666666666666)</f>
        <v>333.2666667</v>
      </c>
      <c r="P404" s="30">
        <f>IFERROR(__xludf.DUMMYFUNCTION("""COMPUTED_VALUE"""),0.7333333333333333)</f>
        <v>0.7333333333</v>
      </c>
      <c r="Q404" s="30">
        <f>IFERROR(__xludf.DUMMYFUNCTION("""COMPUTED_VALUE"""),0.43333333333333335)</f>
        <v>0.4333333333</v>
      </c>
      <c r="R404" s="30">
        <f>IFERROR(__xludf.DUMMYFUNCTION("""COMPUTED_VALUE"""),1.422222222222223)</f>
        <v>1.422222222</v>
      </c>
      <c r="S404" s="30">
        <f>IFERROR(__xludf.DUMMYFUNCTION("""COMPUTED_VALUE"""),2.2777777777777777)</f>
        <v>2.277777778</v>
      </c>
      <c r="T404" s="30">
        <f>IFERROR(__xludf.DUMMYFUNCTION("""COMPUTED_VALUE"""),345.4183948846383)</f>
        <v>345.4183949</v>
      </c>
      <c r="U404" s="30">
        <f>IFERROR(__xludf.DUMMYFUNCTION("""COMPUTED_VALUE"""),0.7339354233796448)</f>
        <v>0.7339354234</v>
      </c>
      <c r="V404" s="30">
        <f>IFERROR(__xludf.DUMMYFUNCTION("""COMPUTED_VALUE"""),0.5331960767161222)</f>
        <v>0.5331960767</v>
      </c>
      <c r="W404" s="30">
        <f>IFERROR(__xludf.DUMMYFUNCTION("""COMPUTED_VALUE"""),1.420271879699569)</f>
        <v>1.42027188</v>
      </c>
      <c r="X404" s="30">
        <f>IFERROR(__xludf.DUMMYFUNCTION("""COMPUTED_VALUE"""),2.515813138214582)</f>
        <v>2.515813138</v>
      </c>
      <c r="Y404" s="30">
        <f>IFERROR(__xludf.DUMMYFUNCTION("""COMPUTED_VALUE"""),351.8977365043519)</f>
        <v>351.8977365</v>
      </c>
      <c r="Z404" s="30">
        <f>IFERROR(__xludf.DUMMYFUNCTION("""COMPUTED_VALUE"""),0.7946895459959239)</f>
        <v>0.794689546</v>
      </c>
      <c r="AA404" s="30">
        <f>IFERROR(__xludf.DUMMYFUNCTION("""COMPUTED_VALUE"""),0.5807983362199126)</f>
        <v>0.5807983362</v>
      </c>
      <c r="AB404" s="30">
        <f>IFERROR(__xludf.DUMMYFUNCTION("""COMPUTED_VALUE"""),1.3524218471452611)</f>
        <v>1.352421847</v>
      </c>
      <c r="AC404" s="30">
        <f>IFERROR(__xludf.DUMMYFUNCTION("""COMPUTED_VALUE"""),2.6626260802023705)</f>
        <v>2.66262608</v>
      </c>
      <c r="AD404" s="30">
        <f>IFERROR(__xludf.DUMMYFUNCTION("""COMPUTED_VALUE"""),0.9489499325870305)</f>
        <v>0.9489499326</v>
      </c>
      <c r="AE404" s="30">
        <f>IFERROR(__xludf.DUMMYFUNCTION("""COMPUTED_VALUE"""),0.9647373248201746)</f>
        <v>0.9647373248</v>
      </c>
      <c r="AF404" s="30">
        <f>IFERROR(__xludf.DUMMYFUNCTION("""COMPUTED_VALUE"""),1.0904530778365193)</f>
        <v>1.090453078</v>
      </c>
      <c r="AG404" s="30">
        <f>IFERROR(__xludf.DUMMYFUNCTION("""COMPUTED_VALUE"""),0.7147671184897968)</f>
        <v>0.7147671185</v>
      </c>
      <c r="AH404" s="30">
        <f>IFERROR(__xludf.DUMMYFUNCTION("""COMPUTED_VALUE"""),0.9514416433346096)</f>
        <v>0.9514416433</v>
      </c>
      <c r="AI404" s="30">
        <f>IFERROR(__xludf.DUMMYFUNCTION("""COMPUTED_VALUE"""),0.9648202631998504)</f>
        <v>0.9648202632</v>
      </c>
      <c r="AJ404" s="30">
        <f>IFERROR(__xludf.DUMMYFUNCTION("""COMPUTED_VALUE"""),0.9991796416590182)</f>
        <v>0.9991796417</v>
      </c>
      <c r="AK404" s="30">
        <f>IFERROR(__xludf.DUMMYFUNCTION("""COMPUTED_VALUE"""),0.8127091557052911)</f>
        <v>0.8127091557</v>
      </c>
      <c r="AL404" s="30">
        <f>IFERROR(__xludf.DUMMYFUNCTION("""COMPUTED_VALUE"""),1.0013732177272048)</f>
        <v>1.001373218</v>
      </c>
      <c r="AM404" s="30">
        <f>IFERROR(__xludf.DUMMYFUNCTION("""COMPUTED_VALUE"""),0.9053843241292027)</f>
        <v>0.9053843241</v>
      </c>
      <c r="AN404" s="30">
        <f>IFERROR(__xludf.DUMMYFUNCTION("""COMPUTED_VALUE"""),0.9659547049758284)</f>
        <v>0.965954705</v>
      </c>
      <c r="AO404" s="30">
        <f>IFERROR(__xludf.DUMMYFUNCTION("""COMPUTED_VALUE"""),1.0146959383648773)</f>
        <v>1.014695938</v>
      </c>
      <c r="AP404" s="30">
        <f>IFERROR(__xludf.DUMMYFUNCTION("""COMPUTED_VALUE"""),1.1393805874219323)</f>
        <v>1.139380587</v>
      </c>
      <c r="AQ404" s="30">
        <f>IFERROR(__xludf.DUMMYFUNCTION("""COMPUTED_VALUE"""),0.7144771159412361)</f>
        <v>0.7144771159</v>
      </c>
      <c r="AR404" s="30">
        <f>IFERROR(__xludf.DUMMYFUNCTION("""COMPUTED_VALUE"""),0.9936538430387564)</f>
        <v>0.993653843</v>
      </c>
      <c r="AS404" s="30">
        <f>IFERROR(__xludf.DUMMYFUNCTION("""COMPUTED_VALUE"""),74.0)</f>
        <v>74</v>
      </c>
      <c r="AT404" s="30">
        <f>IFERROR(__xludf.DUMMYFUNCTION("""COMPUTED_VALUE"""),0.5443879861054928)</f>
        <v>0.5443879861</v>
      </c>
      <c r="AU404" s="30">
        <f>IFERROR(__xludf.DUMMYFUNCTION("""COMPUTED_VALUE"""),2.0165742335226957)</f>
        <v>2.016574234</v>
      </c>
      <c r="AV404" s="32">
        <f>IFERROR(__xludf.DUMMYFUNCTION("""COMPUTED_VALUE"""),57.310745666377066)</f>
        <v>57.31074567</v>
      </c>
      <c r="AW404" s="32">
        <f>IFERROR(__xludf.DUMMYFUNCTION("""COMPUTED_VALUE"""),2.5975442613618402)</f>
        <v>2.597544261</v>
      </c>
      <c r="AX404" s="32">
        <f>IFERROR(__xludf.DUMMYFUNCTION("""COMPUTED_VALUE"""),54.144029163214604)</f>
        <v>54.14402916</v>
      </c>
      <c r="AY404" s="32">
        <f>IFERROR(__xludf.DUMMYFUNCTION("""COMPUTED_VALUE"""),2.3032322546517046)</f>
        <v>2.303232255</v>
      </c>
      <c r="AZ404" s="30">
        <f>IFERROR(__xludf.DUMMYFUNCTION("""COMPUTED_VALUE"""),0.2943120067101357)</f>
        <v>0.2943120067</v>
      </c>
      <c r="BA404" s="30">
        <f>IFERROR(__xludf.DUMMYFUNCTION("""COMPUTED_VALUE"""),1200.0)</f>
        <v>1200</v>
      </c>
    </row>
    <row r="405">
      <c r="A405" s="71" t="str">
        <f>IFERROR(__xludf.DUMMYFUNCTION("""COMPUTED_VALUE"""),"Veteran")</f>
        <v>Veteran</v>
      </c>
      <c r="B405" s="71" t="str">
        <f>IFERROR(__xludf.DUMMYFUNCTION("""COMPUTED_VALUE"""),"RSC005210")</f>
        <v>RSC005210</v>
      </c>
      <c r="C405" s="30" t="str">
        <f>IFERROR(__xludf.DUMMYFUNCTION("""COMPUTED_VALUE"""),"baldmanstreamer")</f>
        <v>baldmanstreamer</v>
      </c>
      <c r="D405" s="30"/>
      <c r="E405" s="30">
        <f>IFERROR(__xludf.DUMMYFUNCTION("""COMPUTED_VALUE"""),27.0)</f>
        <v>27</v>
      </c>
      <c r="F405" s="30">
        <f>IFERROR(__xludf.DUMMYFUNCTION("""COMPUTED_VALUE"""),13.0)</f>
        <v>13</v>
      </c>
      <c r="G405" s="42">
        <f>IFERROR(__xludf.DUMMYFUNCTION("""COMPUTED_VALUE"""),14.0)</f>
        <v>14</v>
      </c>
      <c r="H405" s="42">
        <f>IFERROR(__xludf.DUMMYFUNCTION("""COMPUTED_VALUE"""),0.48148148148148145)</f>
        <v>0.4814814815</v>
      </c>
      <c r="I405" s="42">
        <f>IFERROR(__xludf.DUMMYFUNCTION("""COMPUTED_VALUE"""),0.373134328358209)</f>
        <v>0.3731343284</v>
      </c>
      <c r="J405" s="30">
        <f>IFERROR(__xludf.DUMMYFUNCTION("""COMPUTED_VALUE"""),356.1111111111111)</f>
        <v>356.1111111</v>
      </c>
      <c r="K405" s="30">
        <f>IFERROR(__xludf.DUMMYFUNCTION("""COMPUTED_VALUE"""),0.9259259259259259)</f>
        <v>0.9259259259</v>
      </c>
      <c r="L405" s="30">
        <f>IFERROR(__xludf.DUMMYFUNCTION("""COMPUTED_VALUE"""),0.5185185185185185)</f>
        <v>0.5185185185</v>
      </c>
      <c r="M405" s="30">
        <f>IFERROR(__xludf.DUMMYFUNCTION("""COMPUTED_VALUE"""),1.2962962962962963)</f>
        <v>1.296296296</v>
      </c>
      <c r="N405" s="30">
        <f>IFERROR(__xludf.DUMMYFUNCTION("""COMPUTED_VALUE"""),2.4814814814814814)</f>
        <v>2.481481481</v>
      </c>
      <c r="O405" s="30">
        <f>IFERROR(__xludf.DUMMYFUNCTION("""COMPUTED_VALUE"""),343.98765432098764)</f>
        <v>343.9876543</v>
      </c>
      <c r="P405" s="30">
        <f>IFERROR(__xludf.DUMMYFUNCTION("""COMPUTED_VALUE"""),0.8395061728395062)</f>
        <v>0.8395061728</v>
      </c>
      <c r="Q405" s="30">
        <f>IFERROR(__xludf.DUMMYFUNCTION("""COMPUTED_VALUE"""),0.6296296296296297)</f>
        <v>0.6296296296</v>
      </c>
      <c r="R405" s="30">
        <f>IFERROR(__xludf.DUMMYFUNCTION("""COMPUTED_VALUE"""),1.1111111111111112)</f>
        <v>1.111111111</v>
      </c>
      <c r="S405" s="30">
        <f>IFERROR(__xludf.DUMMYFUNCTION("""COMPUTED_VALUE"""),2.6419753086419755)</f>
        <v>2.641975309</v>
      </c>
      <c r="T405" s="30">
        <f>IFERROR(__xludf.DUMMYFUNCTION("""COMPUTED_VALUE"""),348.89920675836777)</f>
        <v>348.8992068</v>
      </c>
      <c r="U405" s="30">
        <f>IFERROR(__xludf.DUMMYFUNCTION("""COMPUTED_VALUE"""),0.7595596127274891)</f>
        <v>0.7595596127</v>
      </c>
      <c r="V405" s="30">
        <f>IFERROR(__xludf.DUMMYFUNCTION("""COMPUTED_VALUE"""),0.5546942642237881)</f>
        <v>0.5546942642</v>
      </c>
      <c r="W405" s="30">
        <f>IFERROR(__xludf.DUMMYFUNCTION("""COMPUTED_VALUE"""),1.374792507764241)</f>
        <v>1.374792508</v>
      </c>
      <c r="X405" s="30">
        <f>IFERROR(__xludf.DUMMYFUNCTION("""COMPUTED_VALUE"""),2.5056236001378296)</f>
        <v>2.5056236</v>
      </c>
      <c r="Y405" s="30">
        <f>IFERROR(__xludf.DUMMYFUNCTION("""COMPUTED_VALUE"""),347.28567448124494)</f>
        <v>347.2856745</v>
      </c>
      <c r="Z405" s="30">
        <f>IFERROR(__xludf.DUMMYFUNCTION("""COMPUTED_VALUE"""),0.7579118073942274)</f>
        <v>0.7579118074</v>
      </c>
      <c r="AA405" s="30">
        <f>IFERROR(__xludf.DUMMYFUNCTION("""COMPUTED_VALUE"""),0.5452467978532062)</f>
        <v>0.5452467979</v>
      </c>
      <c r="AB405" s="30">
        <f>IFERROR(__xludf.DUMMYFUNCTION("""COMPUTED_VALUE"""),1.3555539985594043)</f>
        <v>1.355553999</v>
      </c>
      <c r="AC405" s="30">
        <f>IFERROR(__xludf.DUMMYFUNCTION("""COMPUTED_VALUE"""),2.57526501840595)</f>
        <v>2.575265018</v>
      </c>
      <c r="AD405" s="30">
        <f>IFERROR(__xludf.DUMMYFUNCTION("""COMPUTED_VALUE"""),1.0254126135293344)</f>
        <v>1.025412614</v>
      </c>
      <c r="AE405" s="30">
        <f>IFERROR(__xludf.DUMMYFUNCTION("""COMPUTED_VALUE"""),1.2216803022364133)</f>
        <v>1.221680302</v>
      </c>
      <c r="AF405" s="30">
        <f>IFERROR(__xludf.DUMMYFUNCTION("""COMPUTED_VALUE"""),0.9509794840796413)</f>
        <v>0.9509794841</v>
      </c>
      <c r="AG405" s="30">
        <f>IFERROR(__xludf.DUMMYFUNCTION("""COMPUTED_VALUE"""),0.9562852513982598)</f>
        <v>0.9562852514</v>
      </c>
      <c r="AH405" s="30">
        <f>IFERROR(__xludf.DUMMYFUNCTION("""COMPUTED_VALUE"""),0.9635829569950362)</f>
        <v>0.963582957</v>
      </c>
      <c r="AI405" s="30">
        <f>IFERROR(__xludf.DUMMYFUNCTION("""COMPUTED_VALUE"""),0.9859227182457263)</f>
        <v>0.9859227182</v>
      </c>
      <c r="AJ405" s="30">
        <f>IFERROR(__xludf.DUMMYFUNCTION("""COMPUTED_VALUE"""),1.1052538323159897)</f>
        <v>1.105253832</v>
      </c>
      <c r="AK405" s="30">
        <f>IFERROR(__xludf.DUMMYFUNCTION("""COMPUTED_VALUE"""),1.1350930958529064)</f>
        <v>1.135093096</v>
      </c>
      <c r="AL405" s="30">
        <f>IFERROR(__xludf.DUMMYFUNCTION("""COMPUTED_VALUE"""),0.8082027686622019)</f>
        <v>0.8082027687</v>
      </c>
      <c r="AM405" s="30">
        <f>IFERROR(__xludf.DUMMYFUNCTION("""COMPUTED_VALUE"""),1.0544182727591829)</f>
        <v>1.054418273</v>
      </c>
      <c r="AN405" s="30">
        <f>IFERROR(__xludf.DUMMYFUNCTION("""COMPUTED_VALUE"""),1.030107416466204)</f>
        <v>1.030107416</v>
      </c>
      <c r="AO405" s="30">
        <f>IFERROR(__xludf.DUMMYFUNCTION("""COMPUTED_VALUE"""),1.2254781864310111)</f>
        <v>1.225478186</v>
      </c>
      <c r="AP405" s="30">
        <f>IFERROR(__xludf.DUMMYFUNCTION("""COMPUTED_VALUE"""),0.932826211924389)</f>
        <v>0.9328262119</v>
      </c>
      <c r="AQ405" s="30">
        <f>IFERROR(__xludf.DUMMYFUNCTION("""COMPUTED_VALUE"""),0.9581110750169832)</f>
        <v>0.958111075</v>
      </c>
      <c r="AR405" s="30">
        <f>IFERROR(__xludf.DUMMYFUNCTION("""COMPUTED_VALUE"""),0.9733158988829924)</f>
        <v>0.9733158989</v>
      </c>
      <c r="AS405" s="30">
        <f>IFERROR(__xludf.DUMMYFUNCTION("""COMPUTED_VALUE"""),59.0)</f>
        <v>59</v>
      </c>
      <c r="AT405" s="30">
        <f>IFERROR(__xludf.DUMMYFUNCTION("""COMPUTED_VALUE"""),0.4448737294251841)</f>
        <v>0.4448737294</v>
      </c>
      <c r="AU405" s="30">
        <f>IFERROR(__xludf.DUMMYFUNCTION("""COMPUTED_VALUE"""),1.9935413473630124)</f>
        <v>1.993541347</v>
      </c>
      <c r="AV405" s="32">
        <f>IFERROR(__xludf.DUMMYFUNCTION("""COMPUTED_VALUE"""),56.48727176132292)</f>
        <v>56.48727176</v>
      </c>
      <c r="AW405" s="32">
        <f>IFERROR(__xludf.DUMMYFUNCTION("""COMPUTED_VALUE"""),2.514911775879176)</f>
        <v>2.514911776</v>
      </c>
      <c r="AX405" s="32">
        <f>IFERROR(__xludf.DUMMYFUNCTION("""COMPUTED_VALUE"""),58.95001247519535)</f>
        <v>58.95001248</v>
      </c>
      <c r="AY405" s="32">
        <f>IFERROR(__xludf.DUMMYFUNCTION("""COMPUTED_VALUE"""),2.776455336245366)</f>
        <v>2.776455336</v>
      </c>
      <c r="AZ405" s="30">
        <f>IFERROR(__xludf.DUMMYFUNCTION("""COMPUTED_VALUE"""),0.26154356036619)</f>
        <v>0.2615435604</v>
      </c>
      <c r="BA405" s="30">
        <f>IFERROR(__xludf.DUMMYFUNCTION("""COMPUTED_VALUE"""),1200.0)</f>
        <v>1200</v>
      </c>
    </row>
    <row r="406">
      <c r="A406" s="71" t="str">
        <f>IFERROR(__xludf.DUMMYFUNCTION("""COMPUTED_VALUE"""),"Veteran")</f>
        <v>Veteran</v>
      </c>
      <c r="B406" s="71" t="str">
        <f>IFERROR(__xludf.DUMMYFUNCTION("""COMPUTED_VALUE"""),"RSC000156")</f>
        <v>RSC000156</v>
      </c>
      <c r="C406" s="30" t="str">
        <f>IFERROR(__xludf.DUMMYFUNCTION("""COMPUTED_VALUE"""),"Drupenson")</f>
        <v>Drupenson</v>
      </c>
      <c r="D406" s="30"/>
      <c r="E406" s="30">
        <f>IFERROR(__xludf.DUMMYFUNCTION("""COMPUTED_VALUE"""),6.0)</f>
        <v>6</v>
      </c>
      <c r="F406" s="30">
        <f>IFERROR(__xludf.DUMMYFUNCTION("""COMPUTED_VALUE"""),2.0)</f>
        <v>2</v>
      </c>
      <c r="G406" s="42">
        <f>IFERROR(__xludf.DUMMYFUNCTION("""COMPUTED_VALUE"""),4.0)</f>
        <v>4</v>
      </c>
      <c r="H406" s="42">
        <f>IFERROR(__xludf.DUMMYFUNCTION("""COMPUTED_VALUE"""),0.3333333333333333)</f>
        <v>0.3333333333</v>
      </c>
      <c r="I406" s="42">
        <f>IFERROR(__xludf.DUMMYFUNCTION("""COMPUTED_VALUE"""),0.4117647058823529)</f>
        <v>0.4117647059</v>
      </c>
      <c r="J406" s="30">
        <f>IFERROR(__xludf.DUMMYFUNCTION("""COMPUTED_VALUE"""),303.6666666666667)</f>
        <v>303.6666667</v>
      </c>
      <c r="K406" s="30">
        <f>IFERROR(__xludf.DUMMYFUNCTION("""COMPUTED_VALUE"""),1.1666666666666667)</f>
        <v>1.166666667</v>
      </c>
      <c r="L406" s="30">
        <f>IFERROR(__xludf.DUMMYFUNCTION("""COMPUTED_VALUE"""),0.0)</f>
        <v>0</v>
      </c>
      <c r="M406" s="30">
        <f>IFERROR(__xludf.DUMMYFUNCTION("""COMPUTED_VALUE"""),0.5)</f>
        <v>0.5</v>
      </c>
      <c r="N406" s="30">
        <f>IFERROR(__xludf.DUMMYFUNCTION("""COMPUTED_VALUE"""),2.8333333333333335)</f>
        <v>2.833333333</v>
      </c>
      <c r="O406" s="30">
        <f>IFERROR(__xludf.DUMMYFUNCTION("""COMPUTED_VALUE"""),334.72222222222223)</f>
        <v>334.7222222</v>
      </c>
      <c r="P406" s="30">
        <f>IFERROR(__xludf.DUMMYFUNCTION("""COMPUTED_VALUE"""),0.888888888888889)</f>
        <v>0.8888888889</v>
      </c>
      <c r="Q406" s="30">
        <f>IFERROR(__xludf.DUMMYFUNCTION("""COMPUTED_VALUE"""),0.6666666666666666)</f>
        <v>0.6666666667</v>
      </c>
      <c r="R406" s="30">
        <f>IFERROR(__xludf.DUMMYFUNCTION("""COMPUTED_VALUE"""),0.9999999999999999)</f>
        <v>1</v>
      </c>
      <c r="S406" s="30">
        <f>IFERROR(__xludf.DUMMYFUNCTION("""COMPUTED_VALUE"""),2.055555555555556)</f>
        <v>2.055555556</v>
      </c>
      <c r="T406" s="30">
        <f>IFERROR(__xludf.DUMMYFUNCTION("""COMPUTED_VALUE"""),360.138710708899)</f>
        <v>360.1387107</v>
      </c>
      <c r="U406" s="30">
        <f>IFERROR(__xludf.DUMMYFUNCTION("""COMPUTED_VALUE"""),0.8024465991210743)</f>
        <v>0.8024465991</v>
      </c>
      <c r="V406" s="30">
        <f>IFERROR(__xludf.DUMMYFUNCTION("""COMPUTED_VALUE"""),0.5735211803013222)</f>
        <v>0.5735211803</v>
      </c>
      <c r="W406" s="30">
        <f>IFERROR(__xludf.DUMMYFUNCTION("""COMPUTED_VALUE"""),1.4194980340671304)</f>
        <v>1.419498034</v>
      </c>
      <c r="X406" s="30">
        <f>IFERROR(__xludf.DUMMYFUNCTION("""COMPUTED_VALUE"""),2.4865112556078923)</f>
        <v>2.486511256</v>
      </c>
      <c r="Y406" s="30">
        <f>IFERROR(__xludf.DUMMYFUNCTION("""COMPUTED_VALUE"""),360.9366049612545)</f>
        <v>360.936605</v>
      </c>
      <c r="Z406" s="30">
        <f>IFERROR(__xludf.DUMMYFUNCTION("""COMPUTED_VALUE"""),0.8701680375974187)</f>
        <v>0.8701680376</v>
      </c>
      <c r="AA406" s="30">
        <f>IFERROR(__xludf.DUMMYFUNCTION("""COMPUTED_VALUE"""),0.614449776004086)</f>
        <v>0.614449776</v>
      </c>
      <c r="AB406" s="30">
        <f>IFERROR(__xludf.DUMMYFUNCTION("""COMPUTED_VALUE"""),1.2327167765708016)</f>
        <v>1.232716777</v>
      </c>
      <c r="AC406" s="30">
        <f>IFERROR(__xludf.DUMMYFUNCTION("""COMPUTED_VALUE"""),2.8983575442268408)</f>
        <v>2.898357544</v>
      </c>
      <c r="AD406" s="30">
        <f>IFERROR(__xludf.DUMMYFUNCTION("""COMPUTED_VALUE"""),0.8413296476240321)</f>
        <v>0.8413296476</v>
      </c>
      <c r="AE406" s="30">
        <f>IFERROR(__xludf.DUMMYFUNCTION("""COMPUTED_VALUE"""),1.3407372096634311)</f>
        <v>1.34073721</v>
      </c>
      <c r="AF406" s="30">
        <f>IFERROR(__xludf.DUMMYFUNCTION("""COMPUTED_VALUE"""),0.0)</f>
        <v>0</v>
      </c>
      <c r="AG406" s="30">
        <f>IFERROR(__xludf.DUMMYFUNCTION("""COMPUTED_VALUE"""),0.40560817334774246)</f>
        <v>0.4056081733</v>
      </c>
      <c r="AH406" s="30">
        <f>IFERROR(__xludf.DUMMYFUNCTION("""COMPUTED_VALUE"""),0.9775651520210034)</f>
        <v>0.977565152</v>
      </c>
      <c r="AI406" s="30">
        <f>IFERROR(__xludf.DUMMYFUNCTION("""COMPUTED_VALUE"""),0.9294258358490627)</f>
        <v>0.9294258358</v>
      </c>
      <c r="AJ406" s="30">
        <f>IFERROR(__xludf.DUMMYFUNCTION("""COMPUTED_VALUE"""),1.1077234171875057)</f>
        <v>1.107723417</v>
      </c>
      <c r="AK406" s="30">
        <f>IFERROR(__xludf.DUMMYFUNCTION("""COMPUTED_VALUE"""),1.1624098456423297)</f>
        <v>1.162409846</v>
      </c>
      <c r="AL406" s="30">
        <f>IFERROR(__xludf.DUMMYFUNCTION("""COMPUTED_VALUE"""),0.7044743817888995)</f>
        <v>0.7044743818</v>
      </c>
      <c r="AM406" s="30">
        <f>IFERROR(__xludf.DUMMYFUNCTION("""COMPUTED_VALUE"""),0.8266825862620203)</f>
        <v>0.8266825863</v>
      </c>
      <c r="AN406" s="30">
        <f>IFERROR(__xludf.DUMMYFUNCTION("""COMPUTED_VALUE"""),0.878403609735456)</f>
        <v>0.8784036097</v>
      </c>
      <c r="AO406" s="30">
        <f>IFERROR(__xludf.DUMMYFUNCTION("""COMPUTED_VALUE"""),1.544102514903074)</f>
        <v>1.544102515</v>
      </c>
      <c r="AP406" s="30">
        <f>IFERROR(__xludf.DUMMYFUNCTION("""COMPUTED_VALUE"""),0.0)</f>
        <v>0</v>
      </c>
      <c r="AQ406" s="30">
        <f>IFERROR(__xludf.DUMMYFUNCTION("""COMPUTED_VALUE"""),0.3695571289351221)</f>
        <v>0.3695571289</v>
      </c>
      <c r="AR406" s="30">
        <f>IFERROR(__xludf.DUMMYFUNCTION("""COMPUTED_VALUE"""),1.1113233770828197)</f>
        <v>1.111323377</v>
      </c>
      <c r="AS406" s="30">
        <f>IFERROR(__xludf.DUMMYFUNCTION("""COMPUTED_VALUE"""),15.0)</f>
        <v>15</v>
      </c>
      <c r="AT406" s="30">
        <f>IFERROR(__xludf.DUMMYFUNCTION("""COMPUTED_VALUE"""),0.4741736082583073)</f>
        <v>0.4741736083</v>
      </c>
      <c r="AU406" s="30">
        <f>IFERROR(__xludf.DUMMYFUNCTION("""COMPUTED_VALUE"""),1.5630545168309127)</f>
        <v>1.563054517</v>
      </c>
      <c r="AV406" s="32">
        <f>IFERROR(__xludf.DUMMYFUNCTION("""COMPUTED_VALUE"""),41.09646624285709)</f>
        <v>41.09646624</v>
      </c>
      <c r="AW406" s="32">
        <f>IFERROR(__xludf.DUMMYFUNCTION("""COMPUTED_VALUE"""),-2.7711013032704805)</f>
        <v>-2.771101303</v>
      </c>
      <c r="AX406" s="32">
        <f>IFERROR(__xludf.DUMMYFUNCTION("""COMPUTED_VALUE"""),43.567465228865736)</f>
        <v>43.56746523</v>
      </c>
      <c r="AY406" s="32">
        <f>IFERROR(__xludf.DUMMYFUNCTION("""COMPUTED_VALUE"""),-2.5095799486165116)</f>
        <v>-2.509579949</v>
      </c>
      <c r="AZ406" s="30">
        <f>IFERROR(__xludf.DUMMYFUNCTION("""COMPUTED_VALUE"""),0.261521354653969)</f>
        <v>0.2615213547</v>
      </c>
      <c r="BA406" s="30">
        <f>IFERROR(__xludf.DUMMYFUNCTION("""COMPUTED_VALUE"""),1200.0)</f>
        <v>1200</v>
      </c>
    </row>
    <row r="407">
      <c r="A407" s="71" t="str">
        <f>IFERROR(__xludf.DUMMYFUNCTION("""COMPUTED_VALUE"""),"Veteran")</f>
        <v>Veteran</v>
      </c>
      <c r="B407" s="71" t="str">
        <f>IFERROR(__xludf.DUMMYFUNCTION("""COMPUTED_VALUE"""),"RSC007795")</f>
        <v>RSC007795</v>
      </c>
      <c r="C407" s="30" t="str">
        <f>IFERROR(__xludf.DUMMYFUNCTION("""COMPUTED_VALUE"""),"Gizmeaux")</f>
        <v>Gizmeaux</v>
      </c>
      <c r="D407" s="30" t="str">
        <f>IFERROR(__xludf.DUMMYFUNCTION("""COMPUTED_VALUE"""),"Gouda Gangsters")</f>
        <v>Gouda Gangsters</v>
      </c>
      <c r="E407" s="30">
        <f>IFERROR(__xludf.DUMMYFUNCTION("""COMPUTED_VALUE"""),22.0)</f>
        <v>22</v>
      </c>
      <c r="F407" s="30">
        <f>IFERROR(__xludf.DUMMYFUNCTION("""COMPUTED_VALUE"""),9.0)</f>
        <v>9</v>
      </c>
      <c r="G407" s="42">
        <f>IFERROR(__xludf.DUMMYFUNCTION("""COMPUTED_VALUE"""),13.0)</f>
        <v>13</v>
      </c>
      <c r="H407" s="42">
        <f>IFERROR(__xludf.DUMMYFUNCTION("""COMPUTED_VALUE"""),0.4090909090909091)</f>
        <v>0.4090909091</v>
      </c>
      <c r="I407" s="42">
        <f>IFERROR(__xludf.DUMMYFUNCTION("""COMPUTED_VALUE"""),0.3469387755102041)</f>
        <v>0.3469387755</v>
      </c>
      <c r="J407" s="30">
        <f>IFERROR(__xludf.DUMMYFUNCTION("""COMPUTED_VALUE"""),319.1363636363636)</f>
        <v>319.1363636</v>
      </c>
      <c r="K407" s="30">
        <f>IFERROR(__xludf.DUMMYFUNCTION("""COMPUTED_VALUE"""),0.7727272727272727)</f>
        <v>0.7727272727</v>
      </c>
      <c r="L407" s="30">
        <f>IFERROR(__xludf.DUMMYFUNCTION("""COMPUTED_VALUE"""),0.5454545454545454)</f>
        <v>0.5454545455</v>
      </c>
      <c r="M407" s="30">
        <f>IFERROR(__xludf.DUMMYFUNCTION("""COMPUTED_VALUE"""),1.0)</f>
        <v>1</v>
      </c>
      <c r="N407" s="30">
        <f>IFERROR(__xludf.DUMMYFUNCTION("""COMPUTED_VALUE"""),2.227272727272727)</f>
        <v>2.227272727</v>
      </c>
      <c r="O407" s="30">
        <f>IFERROR(__xludf.DUMMYFUNCTION("""COMPUTED_VALUE"""),386.75757575757575)</f>
        <v>386.7575758</v>
      </c>
      <c r="P407" s="30">
        <f>IFERROR(__xludf.DUMMYFUNCTION("""COMPUTED_VALUE"""),1.0000000000000002)</f>
        <v>1</v>
      </c>
      <c r="Q407" s="30">
        <f>IFERROR(__xludf.DUMMYFUNCTION("""COMPUTED_VALUE"""),0.7424242424242423)</f>
        <v>0.7424242424</v>
      </c>
      <c r="R407" s="30">
        <f>IFERROR(__xludf.DUMMYFUNCTION("""COMPUTED_VALUE"""),1.2878787878787878)</f>
        <v>1.287878788</v>
      </c>
      <c r="S407" s="30">
        <f>IFERROR(__xludf.DUMMYFUNCTION("""COMPUTED_VALUE"""),2.5000000000000004)</f>
        <v>2.5</v>
      </c>
      <c r="T407" s="30">
        <f>IFERROR(__xludf.DUMMYFUNCTION("""COMPUTED_VALUE"""),353.24343129355384)</f>
        <v>353.2434313</v>
      </c>
      <c r="U407" s="30">
        <f>IFERROR(__xludf.DUMMYFUNCTION("""COMPUTED_VALUE"""),0.7961283145217366)</f>
        <v>0.7961283145</v>
      </c>
      <c r="V407" s="30">
        <f>IFERROR(__xludf.DUMMYFUNCTION("""COMPUTED_VALUE"""),0.5435912858065547)</f>
        <v>0.5435912858</v>
      </c>
      <c r="W407" s="30">
        <f>IFERROR(__xludf.DUMMYFUNCTION("""COMPUTED_VALUE"""),1.3544394913909985)</f>
        <v>1.354439491</v>
      </c>
      <c r="X407" s="30">
        <f>IFERROR(__xludf.DUMMYFUNCTION("""COMPUTED_VALUE"""),2.601347106684781)</f>
        <v>2.601347107</v>
      </c>
      <c r="Y407" s="30">
        <f>IFERROR(__xludf.DUMMYFUNCTION("""COMPUTED_VALUE"""),357.09661424082697)</f>
        <v>357.0966142</v>
      </c>
      <c r="Z407" s="30">
        <f>IFERROR(__xludf.DUMMYFUNCTION("""COMPUTED_VALUE"""),0.8081926014298066)</f>
        <v>0.8081926014</v>
      </c>
      <c r="AA407" s="30">
        <f>IFERROR(__xludf.DUMMYFUNCTION("""COMPUTED_VALUE"""),0.5873140537825724)</f>
        <v>0.5873140538</v>
      </c>
      <c r="AB407" s="30">
        <f>IFERROR(__xludf.DUMMYFUNCTION("""COMPUTED_VALUE"""),1.35272008077201)</f>
        <v>1.352720081</v>
      </c>
      <c r="AC407" s="30">
        <f>IFERROR(__xludf.DUMMYFUNCTION("""COMPUTED_VALUE"""),2.6852794296140123)</f>
        <v>2.68527943</v>
      </c>
      <c r="AD407" s="30">
        <f>IFERROR(__xludf.DUMMYFUNCTION("""COMPUTED_VALUE"""),0.8936975342508768)</f>
        <v>0.8936975343</v>
      </c>
      <c r="AE407" s="30">
        <f>IFERROR(__xludf.DUMMYFUNCTION("""COMPUTED_VALUE"""),0.9561177265916679)</f>
        <v>0.9561177266</v>
      </c>
      <c r="AF407" s="30">
        <f>IFERROR(__xludf.DUMMYFUNCTION("""COMPUTED_VALUE"""),0.9287272149228637)</f>
        <v>0.9287272149</v>
      </c>
      <c r="AG407" s="30">
        <f>IFERROR(__xludf.DUMMYFUNCTION("""COMPUTED_VALUE"""),0.7392512421559461)</f>
        <v>0.7392512422</v>
      </c>
      <c r="AH407" s="30">
        <f>IFERROR(__xludf.DUMMYFUNCTION("""COMPUTED_VALUE"""),0.8294379730875456)</f>
        <v>0.8294379731</v>
      </c>
      <c r="AI407" s="30">
        <f>IFERROR(__xludf.DUMMYFUNCTION("""COMPUTED_VALUE"""),1.0948754923518191)</f>
        <v>1.094875492</v>
      </c>
      <c r="AJ407" s="30">
        <f>IFERROR(__xludf.DUMMYFUNCTION("""COMPUTED_VALUE"""),1.256078928182245)</f>
        <v>1.256078928</v>
      </c>
      <c r="AK407" s="30">
        <f>IFERROR(__xludf.DUMMYFUNCTION("""COMPUTED_VALUE"""),1.3657765711285619)</f>
        <v>1.365776571</v>
      </c>
      <c r="AL407" s="30">
        <f>IFERROR(__xludf.DUMMYFUNCTION("""COMPUTED_VALUE"""),0.9508573812744833)</f>
        <v>0.9508573813</v>
      </c>
      <c r="AM407" s="30">
        <f>IFERROR(__xludf.DUMMYFUNCTION("""COMPUTED_VALUE"""),0.9610405291841504)</f>
        <v>0.9610405292</v>
      </c>
      <c r="AN407" s="30">
        <f>IFERROR(__xludf.DUMMYFUNCTION("""COMPUTED_VALUE"""),0.9231521420944968)</f>
        <v>0.9231521421</v>
      </c>
      <c r="AO407" s="30">
        <f>IFERROR(__xludf.DUMMYFUNCTION("""COMPUTED_VALUE"""),1.0227172501306074)</f>
        <v>1.02271725</v>
      </c>
      <c r="AP407" s="30">
        <f>IFERROR(__xludf.DUMMYFUNCTION("""COMPUTED_VALUE"""),0.9812847164399416)</f>
        <v>0.9812847164</v>
      </c>
      <c r="AQ407" s="30">
        <f>IFERROR(__xludf.DUMMYFUNCTION("""COMPUTED_VALUE"""),0.7391142578702442)</f>
        <v>0.7391142579</v>
      </c>
      <c r="AR407" s="30">
        <f>IFERROR(__xludf.DUMMYFUNCTION("""COMPUTED_VALUE"""),0.8736071466907727)</f>
        <v>0.8736071467</v>
      </c>
      <c r="AS407" s="30">
        <f>IFERROR(__xludf.DUMMYFUNCTION("""COMPUTED_VALUE"""),54.0)</f>
        <v>54</v>
      </c>
      <c r="AT407" s="30">
        <f>IFERROR(__xludf.DUMMYFUNCTION("""COMPUTED_VALUE"""),0.4190832305329048)</f>
        <v>0.4190832305</v>
      </c>
      <c r="AU407" s="30">
        <f>IFERROR(__xludf.DUMMYFUNCTION("""COMPUTED_VALUE"""),1.4421852222593357)</f>
        <v>1.442185222</v>
      </c>
      <c r="AV407" s="32">
        <f>IFERROR(__xludf.DUMMYFUNCTION("""COMPUTED_VALUE"""),36.77513589320175)</f>
        <v>36.77513589</v>
      </c>
      <c r="AW407" s="32">
        <f>IFERROR(__xludf.DUMMYFUNCTION("""COMPUTED_VALUE"""),-3.351154658372535)</f>
        <v>-3.351154658</v>
      </c>
      <c r="AX407" s="32">
        <f>IFERROR(__xludf.DUMMYFUNCTION("""COMPUTED_VALUE"""),35.23143714174334)</f>
        <v>35.23143714</v>
      </c>
      <c r="AY407" s="32">
        <f>IFERROR(__xludf.DUMMYFUNCTION("""COMPUTED_VALUE"""),-3.6055983286542825)</f>
        <v>-3.605598329</v>
      </c>
      <c r="AZ407" s="30">
        <f>IFERROR(__xludf.DUMMYFUNCTION("""COMPUTED_VALUE"""),0.25444367028174764)</f>
        <v>0.2544436703</v>
      </c>
      <c r="BA407" s="30">
        <f>IFERROR(__xludf.DUMMYFUNCTION("""COMPUTED_VALUE"""),1200.0)</f>
        <v>1200</v>
      </c>
    </row>
    <row r="408">
      <c r="A408" s="71" t="str">
        <f>IFERROR(__xludf.DUMMYFUNCTION("""COMPUTED_VALUE"""),"Veteran")</f>
        <v>Veteran</v>
      </c>
      <c r="B408" s="71" t="str">
        <f>IFERROR(__xludf.DUMMYFUNCTION("""COMPUTED_VALUE"""),"RSC006992")</f>
        <v>RSC006992</v>
      </c>
      <c r="C408" s="30" t="str">
        <f>IFERROR(__xludf.DUMMYFUNCTION("""COMPUTED_VALUE"""),"Dxso.")</f>
        <v>Dxso.</v>
      </c>
      <c r="D408" s="30" t="str">
        <f>IFERROR(__xludf.DUMMYFUNCTION("""COMPUTED_VALUE"""),"Kirin")</f>
        <v>Kirin</v>
      </c>
      <c r="E408" s="30">
        <f>IFERROR(__xludf.DUMMYFUNCTION("""COMPUTED_VALUE"""),28.0)</f>
        <v>28</v>
      </c>
      <c r="F408" s="30">
        <f>IFERROR(__xludf.DUMMYFUNCTION("""COMPUTED_VALUE"""),13.0)</f>
        <v>13</v>
      </c>
      <c r="G408" s="42">
        <f>IFERROR(__xludf.DUMMYFUNCTION("""COMPUTED_VALUE"""),15.0)</f>
        <v>15</v>
      </c>
      <c r="H408" s="42">
        <f>IFERROR(__xludf.DUMMYFUNCTION("""COMPUTED_VALUE"""),0.4642857142857143)</f>
        <v>0.4642857143</v>
      </c>
      <c r="I408" s="42">
        <f>IFERROR(__xludf.DUMMYFUNCTION("""COMPUTED_VALUE"""),0.32051282051282054)</f>
        <v>0.3205128205</v>
      </c>
      <c r="J408" s="30">
        <f>IFERROR(__xludf.DUMMYFUNCTION("""COMPUTED_VALUE"""),364.67857142857144)</f>
        <v>364.6785714</v>
      </c>
      <c r="K408" s="30">
        <f>IFERROR(__xludf.DUMMYFUNCTION("""COMPUTED_VALUE"""),0.8928571428571429)</f>
        <v>0.8928571429</v>
      </c>
      <c r="L408" s="30">
        <f>IFERROR(__xludf.DUMMYFUNCTION("""COMPUTED_VALUE"""),0.5357142857142857)</f>
        <v>0.5357142857</v>
      </c>
      <c r="M408" s="30">
        <f>IFERROR(__xludf.DUMMYFUNCTION("""COMPUTED_VALUE"""),1.25)</f>
        <v>1.25</v>
      </c>
      <c r="N408" s="30">
        <f>IFERROR(__xludf.DUMMYFUNCTION("""COMPUTED_VALUE"""),2.7857142857142856)</f>
        <v>2.785714286</v>
      </c>
      <c r="O408" s="30">
        <f>IFERROR(__xludf.DUMMYFUNCTION("""COMPUTED_VALUE"""),351.11904761904765)</f>
        <v>351.1190476</v>
      </c>
      <c r="P408" s="30">
        <f>IFERROR(__xludf.DUMMYFUNCTION("""COMPUTED_VALUE"""),0.8928571428571427)</f>
        <v>0.8928571429</v>
      </c>
      <c r="Q408" s="30">
        <f>IFERROR(__xludf.DUMMYFUNCTION("""COMPUTED_VALUE"""),0.6428571428571427)</f>
        <v>0.6428571429</v>
      </c>
      <c r="R408" s="30">
        <f>IFERROR(__xludf.DUMMYFUNCTION("""COMPUTED_VALUE"""),1.2023809523809526)</f>
        <v>1.202380952</v>
      </c>
      <c r="S408" s="30">
        <f>IFERROR(__xludf.DUMMYFUNCTION("""COMPUTED_VALUE"""),2.511904761904762)</f>
        <v>2.511904762</v>
      </c>
      <c r="T408" s="30">
        <f>IFERROR(__xludf.DUMMYFUNCTION("""COMPUTED_VALUE"""),355.2327825874665)</f>
        <v>355.2327826</v>
      </c>
      <c r="U408" s="30">
        <f>IFERROR(__xludf.DUMMYFUNCTION("""COMPUTED_VALUE"""),0.8150895353711226)</f>
        <v>0.8150895354</v>
      </c>
      <c r="V408" s="30">
        <f>IFERROR(__xludf.DUMMYFUNCTION("""COMPUTED_VALUE"""),0.57313900953011)</f>
        <v>0.5731390095</v>
      </c>
      <c r="W408" s="30">
        <f>IFERROR(__xludf.DUMMYFUNCTION("""COMPUTED_VALUE"""),1.3248022784607376)</f>
        <v>1.324802278</v>
      </c>
      <c r="X408" s="30">
        <f>IFERROR(__xludf.DUMMYFUNCTION("""COMPUTED_VALUE"""),2.7153586104933396)</f>
        <v>2.71535861</v>
      </c>
      <c r="Y408" s="30">
        <f>IFERROR(__xludf.DUMMYFUNCTION("""COMPUTED_VALUE"""),350.58410454630683)</f>
        <v>350.5841045</v>
      </c>
      <c r="Z408" s="30">
        <f>IFERROR(__xludf.DUMMYFUNCTION("""COMPUTED_VALUE"""),0.7380490211818136)</f>
        <v>0.7380490212</v>
      </c>
      <c r="AA408" s="30">
        <f>IFERROR(__xludf.DUMMYFUNCTION("""COMPUTED_VALUE"""),0.5566167793517629)</f>
        <v>0.5566167794</v>
      </c>
      <c r="AB408" s="30">
        <f>IFERROR(__xludf.DUMMYFUNCTION("""COMPUTED_VALUE"""),1.4048527150039123)</f>
        <v>1.404852715</v>
      </c>
      <c r="AC408" s="30">
        <f>IFERROR(__xludf.DUMMYFUNCTION("""COMPUTED_VALUE"""),2.547282274772351)</f>
        <v>2.547282275</v>
      </c>
      <c r="AD408" s="30">
        <f>IFERROR(__xludf.DUMMYFUNCTION("""COMPUTED_VALUE"""),1.0402028121055413)</f>
        <v>1.040202812</v>
      </c>
      <c r="AE408" s="30">
        <f>IFERROR(__xludf.DUMMYFUNCTION("""COMPUTED_VALUE"""),1.2097531698198585)</f>
        <v>1.20975317</v>
      </c>
      <c r="AF408" s="30">
        <f>IFERROR(__xludf.DUMMYFUNCTION("""COMPUTED_VALUE"""),0.9624472448318567)</f>
        <v>0.9624472448</v>
      </c>
      <c r="AG408" s="30">
        <f>IFERROR(__xludf.DUMMYFUNCTION("""COMPUTED_VALUE"""),0.8897729894742161)</f>
        <v>0.8897729895</v>
      </c>
      <c r="AH408" s="30">
        <f>IFERROR(__xludf.DUMMYFUNCTION("""COMPUTED_VALUE"""),1.0936025085650325)</f>
        <v>1.093602509</v>
      </c>
      <c r="AI408" s="30">
        <f>IFERROR(__xludf.DUMMYFUNCTION("""COMPUTED_VALUE"""),0.9884196077331181)</f>
        <v>0.9884196077</v>
      </c>
      <c r="AJ408" s="30">
        <f>IFERROR(__xludf.DUMMYFUNCTION("""COMPUTED_VALUE"""),1.0954098956142424)</f>
        <v>1.095409896</v>
      </c>
      <c r="AK408" s="30">
        <f>IFERROR(__xludf.DUMMYFUNCTION("""COMPUTED_VALUE"""),1.121642624507781)</f>
        <v>1.121642625</v>
      </c>
      <c r="AL408" s="30">
        <f>IFERROR(__xludf.DUMMYFUNCTION("""COMPUTED_VALUE"""),0.9075927569946332)</f>
        <v>0.907592757</v>
      </c>
      <c r="AM408" s="30">
        <f>IFERROR(__xludf.DUMMYFUNCTION("""COMPUTED_VALUE"""),0.9250729359273789)</f>
        <v>0.9250729359</v>
      </c>
      <c r="AN408" s="30">
        <f>IFERROR(__xludf.DUMMYFUNCTION("""COMPUTED_VALUE"""),1.0548901433678148)</f>
        <v>1.054890143</v>
      </c>
      <c r="AO408" s="30">
        <f>IFERROR(__xludf.DUMMYFUNCTION("""COMPUTED_VALUE"""),1.1817111083441894)</f>
        <v>1.181711108</v>
      </c>
      <c r="AP408" s="30">
        <f>IFERROR(__xludf.DUMMYFUNCTION("""COMPUTED_VALUE"""),0.9637617750749427)</f>
        <v>0.9637617751</v>
      </c>
      <c r="AQ408" s="30">
        <f>IFERROR(__xludf.DUMMYFUNCTION("""COMPUTED_VALUE"""),0.9238928223378052)</f>
        <v>0.9238928223</v>
      </c>
      <c r="AR408" s="30">
        <f>IFERROR(__xludf.DUMMYFUNCTION("""COMPUTED_VALUE"""),1.0926456732663017)</f>
        <v>1.092645673</v>
      </c>
      <c r="AS408" s="30">
        <f>IFERROR(__xludf.DUMMYFUNCTION("""COMPUTED_VALUE"""),63.0)</f>
        <v>63</v>
      </c>
      <c r="AT408" s="30">
        <f>IFERROR(__xludf.DUMMYFUNCTION("""COMPUTED_VALUE"""),0.43153872004547117)</f>
        <v>0.43153872</v>
      </c>
      <c r="AU408" s="30">
        <f>IFERROR(__xludf.DUMMYFUNCTION("""COMPUTED_VALUE"""),2.1245191243520165)</f>
        <v>2.124519124</v>
      </c>
      <c r="AV408" s="32">
        <f>IFERROR(__xludf.DUMMYFUNCTION("""COMPUTED_VALUE"""),61.17000152192227)</f>
        <v>61.17000152</v>
      </c>
      <c r="AW408" s="32">
        <f>IFERROR(__xludf.DUMMYFUNCTION("""COMPUTED_VALUE"""),3.053344552114036)</f>
        <v>3.053344552</v>
      </c>
      <c r="AX408" s="32">
        <f>IFERROR(__xludf.DUMMYFUNCTION("""COMPUTED_VALUE"""),62.92522397305825)</f>
        <v>62.92522397</v>
      </c>
      <c r="AY408" s="32">
        <f>IFERROR(__xludf.DUMMYFUNCTION("""COMPUTED_VALUE"""),3.304966230452314)</f>
        <v>3.30496623</v>
      </c>
      <c r="AZ408" s="30">
        <f>IFERROR(__xludf.DUMMYFUNCTION("""COMPUTED_VALUE"""),0.2516216783382781)</f>
        <v>0.2516216783</v>
      </c>
      <c r="BA408" s="30">
        <f>IFERROR(__xludf.DUMMYFUNCTION("""COMPUTED_VALUE"""),1200.0)</f>
        <v>1200</v>
      </c>
    </row>
    <row r="409">
      <c r="A409" s="71" t="str">
        <f>IFERROR(__xludf.DUMMYFUNCTION("""COMPUTED_VALUE"""),"Veteran")</f>
        <v>Veteran</v>
      </c>
      <c r="B409" s="71" t="str">
        <f>IFERROR(__xludf.DUMMYFUNCTION("""COMPUTED_VALUE"""),"RSC000550")</f>
        <v>RSC000550</v>
      </c>
      <c r="C409" s="30" t="str">
        <f>IFERROR(__xludf.DUMMYFUNCTION("""COMPUTED_VALUE"""),"ARJ")</f>
        <v>ARJ</v>
      </c>
      <c r="D409" s="30" t="str">
        <f>IFERROR(__xludf.DUMMYFUNCTION("""COMPUTED_VALUE"""),"Giraffes")</f>
        <v>Giraffes</v>
      </c>
      <c r="E409" s="30">
        <f>IFERROR(__xludf.DUMMYFUNCTION("""COMPUTED_VALUE"""),44.0)</f>
        <v>44</v>
      </c>
      <c r="F409" s="30">
        <f>IFERROR(__xludf.DUMMYFUNCTION("""COMPUTED_VALUE"""),21.0)</f>
        <v>21</v>
      </c>
      <c r="G409" s="42">
        <f>IFERROR(__xludf.DUMMYFUNCTION("""COMPUTED_VALUE"""),23.0)</f>
        <v>23</v>
      </c>
      <c r="H409" s="42">
        <f>IFERROR(__xludf.DUMMYFUNCTION("""COMPUTED_VALUE"""),0.4772727272727273)</f>
        <v>0.4772727273</v>
      </c>
      <c r="I409" s="42">
        <f>IFERROR(__xludf.DUMMYFUNCTION("""COMPUTED_VALUE"""),0.32758620689655177)</f>
        <v>0.3275862069</v>
      </c>
      <c r="J409" s="30">
        <f>IFERROR(__xludf.DUMMYFUNCTION("""COMPUTED_VALUE"""),363.40909090909093)</f>
        <v>363.4090909</v>
      </c>
      <c r="K409" s="30">
        <f>IFERROR(__xludf.DUMMYFUNCTION("""COMPUTED_VALUE"""),0.8636363636363636)</f>
        <v>0.8636363636</v>
      </c>
      <c r="L409" s="30">
        <f>IFERROR(__xludf.DUMMYFUNCTION("""COMPUTED_VALUE"""),0.5681818181818182)</f>
        <v>0.5681818182</v>
      </c>
      <c r="M409" s="30">
        <f>IFERROR(__xludf.DUMMYFUNCTION("""COMPUTED_VALUE"""),1.4090909090909092)</f>
        <v>1.409090909</v>
      </c>
      <c r="N409" s="30">
        <f>IFERROR(__xludf.DUMMYFUNCTION("""COMPUTED_VALUE"""),2.6363636363636362)</f>
        <v>2.636363636</v>
      </c>
      <c r="O409" s="30">
        <f>IFERROR(__xludf.DUMMYFUNCTION("""COMPUTED_VALUE"""),352.93181818181824)</f>
        <v>352.9318182</v>
      </c>
      <c r="P409" s="30">
        <f>IFERROR(__xludf.DUMMYFUNCTION("""COMPUTED_VALUE"""),0.8333333333333333)</f>
        <v>0.8333333333</v>
      </c>
      <c r="Q409" s="30">
        <f>IFERROR(__xludf.DUMMYFUNCTION("""COMPUTED_VALUE"""),0.5984848484848487)</f>
        <v>0.5984848485</v>
      </c>
      <c r="R409" s="30">
        <f>IFERROR(__xludf.DUMMYFUNCTION("""COMPUTED_VALUE"""),1.3484848484848486)</f>
        <v>1.348484848</v>
      </c>
      <c r="S409" s="30">
        <f>IFERROR(__xludf.DUMMYFUNCTION("""COMPUTED_VALUE"""),2.621212121212121)</f>
        <v>2.621212121</v>
      </c>
      <c r="T409" s="30">
        <f>IFERROR(__xludf.DUMMYFUNCTION("""COMPUTED_VALUE"""),345.4507336893676)</f>
        <v>345.4507337</v>
      </c>
      <c r="U409" s="30">
        <f>IFERROR(__xludf.DUMMYFUNCTION("""COMPUTED_VALUE"""),0.7416363148283366)</f>
        <v>0.7416363148</v>
      </c>
      <c r="V409" s="30">
        <f>IFERROR(__xludf.DUMMYFUNCTION("""COMPUTED_VALUE"""),0.5529727887861954)</f>
        <v>0.5529727888</v>
      </c>
      <c r="W409" s="30">
        <f>IFERROR(__xludf.DUMMYFUNCTION("""COMPUTED_VALUE"""),1.3527090626977925)</f>
        <v>1.352709063</v>
      </c>
      <c r="X409" s="30">
        <f>IFERROR(__xludf.DUMMYFUNCTION("""COMPUTED_VALUE"""),2.5778900902327337)</f>
        <v>2.57789009</v>
      </c>
      <c r="Y409" s="30">
        <f>IFERROR(__xludf.DUMMYFUNCTION("""COMPUTED_VALUE"""),353.9369023193656)</f>
        <v>353.9369023</v>
      </c>
      <c r="Z409" s="30">
        <f>IFERROR(__xludf.DUMMYFUNCTION("""COMPUTED_VALUE"""),0.7787186284971225)</f>
        <v>0.7787186285</v>
      </c>
      <c r="AA409" s="30">
        <f>IFERROR(__xludf.DUMMYFUNCTION("""COMPUTED_VALUE"""),0.5791799709745723)</f>
        <v>0.579179971</v>
      </c>
      <c r="AB409" s="30">
        <f>IFERROR(__xludf.DUMMYFUNCTION("""COMPUTED_VALUE"""),1.379116789694221)</f>
        <v>1.37911679</v>
      </c>
      <c r="AC409" s="30">
        <f>IFERROR(__xludf.DUMMYFUNCTION("""COMPUTED_VALUE"""),2.618278128099799)</f>
        <v>2.618278128</v>
      </c>
      <c r="AD409" s="30">
        <f>IFERROR(__xludf.DUMMYFUNCTION("""COMPUTED_VALUE"""),1.026762365064659)</f>
        <v>1.026762365</v>
      </c>
      <c r="AE409" s="30">
        <f>IFERROR(__xludf.DUMMYFUNCTION("""COMPUTED_VALUE"""),1.109048033566536)</f>
        <v>1.109048034</v>
      </c>
      <c r="AF409" s="30">
        <f>IFERROR(__xludf.DUMMYFUNCTION("""COMPUTED_VALUE"""),0.9810108198765096)</f>
        <v>0.9810108199</v>
      </c>
      <c r="AG409" s="30">
        <f>IFERROR(__xludf.DUMMYFUNCTION("""COMPUTED_VALUE"""),1.0217342864800698)</f>
        <v>1.021734286</v>
      </c>
      <c r="AH409" s="30">
        <f>IFERROR(__xludf.DUMMYFUNCTION("""COMPUTED_VALUE"""),1.006907405317159)</f>
        <v>1.006907405</v>
      </c>
      <c r="AI409" s="30">
        <f>IFERROR(__xludf.DUMMYFUNCTION("""COMPUTED_VALUE"""),1.0216560098528484)</f>
        <v>1.02165601</v>
      </c>
      <c r="AJ409" s="30">
        <f>IFERROR(__xludf.DUMMYFUNCTION("""COMPUTED_VALUE"""),1.123641489327854)</f>
        <v>1.123641489</v>
      </c>
      <c r="AK409" s="30">
        <f>IFERROR(__xludf.DUMMYFUNCTION("""COMPUTED_VALUE"""),1.0823043386973068)</f>
        <v>1.082304339</v>
      </c>
      <c r="AL409" s="30">
        <f>IFERROR(__xludf.DUMMYFUNCTION("""COMPUTED_VALUE"""),0.9968772189605064)</f>
        <v>0.996877219</v>
      </c>
      <c r="AM409" s="30">
        <f>IFERROR(__xludf.DUMMYFUNCTION("""COMPUTED_VALUE"""),1.0168052280985633)</f>
        <v>1.016805228</v>
      </c>
      <c r="AN409" s="30">
        <f>IFERROR(__xludf.DUMMYFUNCTION("""COMPUTED_VALUE"""),1.0512179712356506)</f>
        <v>1.051217971</v>
      </c>
      <c r="AO409" s="30">
        <f>IFERROR(__xludf.DUMMYFUNCTION("""COMPUTED_VALUE"""),1.1430369266165612)</f>
        <v>1.143036927</v>
      </c>
      <c r="AP409" s="30">
        <f>IFERROR(__xludf.DUMMYFUNCTION("""COMPUTED_VALUE"""),1.0221715796249393)</f>
        <v>1.02217158</v>
      </c>
      <c r="AQ409" s="30">
        <f>IFERROR(__xludf.DUMMYFUNCTION("""COMPUTED_VALUE"""),1.041479181544435)</f>
        <v>1.041479182</v>
      </c>
      <c r="AR409" s="30">
        <f>IFERROR(__xludf.DUMMYFUNCTION("""COMPUTED_VALUE"""),1.0340656022054044)</f>
        <v>1.034065602</v>
      </c>
      <c r="AS409" s="30">
        <f>IFERROR(__xludf.DUMMYFUNCTION("""COMPUTED_VALUE"""),101.0)</f>
        <v>101</v>
      </c>
      <c r="AT409" s="30">
        <f>IFERROR(__xludf.DUMMYFUNCTION("""COMPUTED_VALUE"""),0.4665848069067046)</f>
        <v>0.4665848069</v>
      </c>
      <c r="AU409" s="30">
        <f>IFERROR(__xludf.DUMMYFUNCTION("""COMPUTED_VALUE"""),1.9935536366483175)</f>
        <v>1.993553637</v>
      </c>
      <c r="AV409" s="32">
        <f>IFERROR(__xludf.DUMMYFUNCTION("""COMPUTED_VALUE"""),56.48771112900313)</f>
        <v>56.48771113</v>
      </c>
      <c r="AW409" s="32">
        <f>IFERROR(__xludf.DUMMYFUNCTION("""COMPUTED_VALUE"""),2.5149546532716567)</f>
        <v>2.514954653</v>
      </c>
      <c r="AX409" s="32">
        <f>IFERROR(__xludf.DUMMYFUNCTION("""COMPUTED_VALUE"""),54.072593956089854)</f>
        <v>54.07259396</v>
      </c>
      <c r="AY409" s="32">
        <f>IFERROR(__xludf.DUMMYFUNCTION("""COMPUTED_VALUE"""),2.297281526918494)</f>
        <v>2.297281527</v>
      </c>
      <c r="AZ409" s="30">
        <f>IFERROR(__xludf.DUMMYFUNCTION("""COMPUTED_VALUE"""),0.2176731263531626)</f>
        <v>0.2176731264</v>
      </c>
      <c r="BA409" s="30">
        <f>IFERROR(__xludf.DUMMYFUNCTION("""COMPUTED_VALUE"""),1200.0)</f>
        <v>1200</v>
      </c>
    </row>
    <row r="410">
      <c r="A410" s="71" t="str">
        <f>IFERROR(__xludf.DUMMYFUNCTION("""COMPUTED_VALUE"""),"Veteran")</f>
        <v>Veteran</v>
      </c>
      <c r="B410" s="71" t="str">
        <f>IFERROR(__xludf.DUMMYFUNCTION("""COMPUTED_VALUE"""),"RSC007024")</f>
        <v>RSC007024</v>
      </c>
      <c r="C410" s="30" t="str">
        <f>IFERROR(__xludf.DUMMYFUNCTION("""COMPUTED_VALUE"""),"zxch(?)")</f>
        <v>zxch(?)</v>
      </c>
      <c r="D410" s="30" t="str">
        <f>IFERROR(__xludf.DUMMYFUNCTION("""COMPUTED_VALUE"""),"Giraffes")</f>
        <v>Giraffes</v>
      </c>
      <c r="E410" s="30">
        <f>IFERROR(__xludf.DUMMYFUNCTION("""COMPUTED_VALUE"""),39.0)</f>
        <v>39</v>
      </c>
      <c r="F410" s="30">
        <f>IFERROR(__xludf.DUMMYFUNCTION("""COMPUTED_VALUE"""),19.0)</f>
        <v>19</v>
      </c>
      <c r="G410" s="42">
        <f>IFERROR(__xludf.DUMMYFUNCTION("""COMPUTED_VALUE"""),20.0)</f>
        <v>20</v>
      </c>
      <c r="H410" s="42">
        <f>IFERROR(__xludf.DUMMYFUNCTION("""COMPUTED_VALUE"""),0.48717948717948717)</f>
        <v>0.4871794872</v>
      </c>
      <c r="I410" s="42">
        <f>IFERROR(__xludf.DUMMYFUNCTION("""COMPUTED_VALUE"""),0.27472527472527475)</f>
        <v>0.2747252747</v>
      </c>
      <c r="J410" s="30">
        <f>IFERROR(__xludf.DUMMYFUNCTION("""COMPUTED_VALUE"""),332.7692307692308)</f>
        <v>332.7692308</v>
      </c>
      <c r="K410" s="30">
        <f>IFERROR(__xludf.DUMMYFUNCTION("""COMPUTED_VALUE"""),0.6410256410256411)</f>
        <v>0.641025641</v>
      </c>
      <c r="L410" s="30">
        <f>IFERROR(__xludf.DUMMYFUNCTION("""COMPUTED_VALUE"""),0.6923076923076923)</f>
        <v>0.6923076923</v>
      </c>
      <c r="M410" s="30">
        <f>IFERROR(__xludf.DUMMYFUNCTION("""COMPUTED_VALUE"""),1.3076923076923077)</f>
        <v>1.307692308</v>
      </c>
      <c r="N410" s="30">
        <f>IFERROR(__xludf.DUMMYFUNCTION("""COMPUTED_VALUE"""),2.3333333333333335)</f>
        <v>2.333333333</v>
      </c>
      <c r="O410" s="30">
        <f>IFERROR(__xludf.DUMMYFUNCTION("""COMPUTED_VALUE"""),350.6581196581198)</f>
        <v>350.6581197</v>
      </c>
      <c r="P410" s="30">
        <f>IFERROR(__xludf.DUMMYFUNCTION("""COMPUTED_VALUE"""),0.8290598290598289)</f>
        <v>0.8290598291</v>
      </c>
      <c r="Q410" s="30">
        <f>IFERROR(__xludf.DUMMYFUNCTION("""COMPUTED_VALUE"""),0.5982905982905985)</f>
        <v>0.5982905983</v>
      </c>
      <c r="R410" s="30">
        <f>IFERROR(__xludf.DUMMYFUNCTION("""COMPUTED_VALUE"""),1.3333333333333333)</f>
        <v>1.333333333</v>
      </c>
      <c r="S410" s="30">
        <f>IFERROR(__xludf.DUMMYFUNCTION("""COMPUTED_VALUE"""),2.4957264957264953)</f>
        <v>2.495726496</v>
      </c>
      <c r="T410" s="30">
        <f>IFERROR(__xludf.DUMMYFUNCTION("""COMPUTED_VALUE"""),345.5978894733007)</f>
        <v>345.5978895</v>
      </c>
      <c r="U410" s="30">
        <f>IFERROR(__xludf.DUMMYFUNCTION("""COMPUTED_VALUE"""),0.7433686290249734)</f>
        <v>0.743368629</v>
      </c>
      <c r="V410" s="30">
        <f>IFERROR(__xludf.DUMMYFUNCTION("""COMPUTED_VALUE"""),0.5523122823166291)</f>
        <v>0.5523122823</v>
      </c>
      <c r="W410" s="30">
        <f>IFERROR(__xludf.DUMMYFUNCTION("""COMPUTED_VALUE"""),1.3688759220695585)</f>
        <v>1.368875922</v>
      </c>
      <c r="X410" s="30">
        <f>IFERROR(__xludf.DUMMYFUNCTION("""COMPUTED_VALUE"""),2.5596730653089512)</f>
        <v>2.559673065</v>
      </c>
      <c r="Y410" s="30">
        <f>IFERROR(__xludf.DUMMYFUNCTION("""COMPUTED_VALUE"""),350.9828574641097)</f>
        <v>350.9828575</v>
      </c>
      <c r="Z410" s="30">
        <f>IFERROR(__xludf.DUMMYFUNCTION("""COMPUTED_VALUE"""),0.7709649165176423)</f>
        <v>0.7709649165</v>
      </c>
      <c r="AA410" s="30">
        <f>IFERROR(__xludf.DUMMYFUNCTION("""COMPUTED_VALUE"""),0.5701482173183221)</f>
        <v>0.5701482173</v>
      </c>
      <c r="AB410" s="30">
        <f>IFERROR(__xludf.DUMMYFUNCTION("""COMPUTED_VALUE"""),1.3695423730009324)</f>
        <v>1.369542373</v>
      </c>
      <c r="AC410" s="30">
        <f>IFERROR(__xludf.DUMMYFUNCTION("""COMPUTED_VALUE"""),2.6062233170907283)</f>
        <v>2.606223317</v>
      </c>
      <c r="AD410" s="30">
        <f>IFERROR(__xludf.DUMMYFUNCTION("""COMPUTED_VALUE"""),0.9481067912362603)</f>
        <v>0.9481067912</v>
      </c>
      <c r="AE410" s="30">
        <f>IFERROR(__xludf.DUMMYFUNCTION("""COMPUTED_VALUE"""),0.8314588994802492)</f>
        <v>0.8314588995</v>
      </c>
      <c r="AF410" s="30">
        <f>IFERROR(__xludf.DUMMYFUNCTION("""COMPUTED_VALUE"""),1.2142591545123902)</f>
        <v>1.214259155</v>
      </c>
      <c r="AG410" s="30">
        <f>IFERROR(__xludf.DUMMYFUNCTION("""COMPUTED_VALUE"""),0.9548388815651616)</f>
        <v>0.9548388816</v>
      </c>
      <c r="AH410" s="30">
        <f>IFERROR(__xludf.DUMMYFUNCTION("""COMPUTED_VALUE"""),0.8952929390325554)</f>
        <v>0.895292939</v>
      </c>
      <c r="AI410" s="30">
        <f>IFERROR(__xludf.DUMMYFUNCTION("""COMPUTED_VALUE"""),1.0146419591639608)</f>
        <v>1.014641959</v>
      </c>
      <c r="AJ410" s="30">
        <f>IFERROR(__xludf.DUMMYFUNCTION("""COMPUTED_VALUE"""),1.115274167739969)</f>
        <v>1.115274168</v>
      </c>
      <c r="AK410" s="30">
        <f>IFERROR(__xludf.DUMMYFUNCTION("""COMPUTED_VALUE"""),1.0832469554743869)</f>
        <v>1.083246955</v>
      </c>
      <c r="AL410" s="30">
        <f>IFERROR(__xludf.DUMMYFUNCTION("""COMPUTED_VALUE"""),0.9740352005881661)</f>
        <v>0.9740352006</v>
      </c>
      <c r="AM410" s="30">
        <f>IFERROR(__xludf.DUMMYFUNCTION("""COMPUTED_VALUE"""),0.9750176807932549)</f>
        <v>0.9750176808</v>
      </c>
      <c r="AN410" s="30">
        <f>IFERROR(__xludf.DUMMYFUNCTION("""COMPUTED_VALUE"""),0.962587355158891)</f>
        <v>0.9625873552</v>
      </c>
      <c r="AO410" s="30">
        <f>IFERROR(__xludf.DUMMYFUNCTION("""COMPUTED_VALUE"""),0.8484079752214693)</f>
        <v>0.8484079752</v>
      </c>
      <c r="AP410" s="30">
        <f>IFERROR(__xludf.DUMMYFUNCTION("""COMPUTED_VALUE"""),1.2454767554814645)</f>
        <v>1.245476755</v>
      </c>
      <c r="AQ410" s="30">
        <f>IFERROR(__xludf.DUMMYFUNCTION("""COMPUTED_VALUE"""),0.9665340295226271)</f>
        <v>0.9665340295</v>
      </c>
      <c r="AR410" s="30">
        <f>IFERROR(__xludf.DUMMYFUNCTION("""COMPUTED_VALUE"""),0.915207487009381)</f>
        <v>0.915207487</v>
      </c>
      <c r="AS410" s="30">
        <f>IFERROR(__xludf.DUMMYFUNCTION("""COMPUTED_VALUE"""),82.0)</f>
        <v>82</v>
      </c>
      <c r="AT410" s="30">
        <f>IFERROR(__xludf.DUMMYFUNCTION("""COMPUTED_VALUE"""),0.43532722497189763)</f>
        <v>0.435327225</v>
      </c>
      <c r="AU410" s="30">
        <f>IFERROR(__xludf.DUMMYFUNCTION("""COMPUTED_VALUE"""),1.723561435402158)</f>
        <v>1.723561435</v>
      </c>
      <c r="AV410" s="32">
        <f>IFERROR(__xludf.DUMMYFUNCTION("""COMPUTED_VALUE"""),46.834924641328506)</f>
        <v>46.83492464</v>
      </c>
      <c r="AW410" s="32">
        <f>IFERROR(__xludf.DUMMYFUNCTION("""COMPUTED_VALUE"""),-2.224064214351045)</f>
        <v>-2.224064214</v>
      </c>
      <c r="AX410" s="32">
        <f>IFERROR(__xludf.DUMMYFUNCTION("""COMPUTED_VALUE"""),49.64557126698297)</f>
        <v>49.64557127</v>
      </c>
      <c r="AY410" s="32">
        <f>IFERROR(__xludf.DUMMYFUNCTION("""COMPUTED_VALUE"""),-2.0228815201621146)</f>
        <v>-2.02288152</v>
      </c>
      <c r="AZ410" s="30">
        <f>IFERROR(__xludf.DUMMYFUNCTION("""COMPUTED_VALUE"""),0.20118269418893053)</f>
        <v>0.2011826942</v>
      </c>
      <c r="BA410" s="30">
        <f>IFERROR(__xludf.DUMMYFUNCTION("""COMPUTED_VALUE"""),1200.0)</f>
        <v>1200</v>
      </c>
    </row>
    <row r="411">
      <c r="A411" s="71" t="str">
        <f>IFERROR(__xludf.DUMMYFUNCTION("""COMPUTED_VALUE"""),"Veteran")</f>
        <v>Veteran</v>
      </c>
      <c r="B411" s="71" t="str">
        <f>IFERROR(__xludf.DUMMYFUNCTION("""COMPUTED_VALUE"""),"RSC000278")</f>
        <v>RSC000278</v>
      </c>
      <c r="C411" s="30" t="str">
        <f>IFERROR(__xludf.DUMMYFUNCTION("""COMPUTED_VALUE"""),"Tinsel")</f>
        <v>Tinsel</v>
      </c>
      <c r="D411" s="30" t="str">
        <f>IFERROR(__xludf.DUMMYFUNCTION("""COMPUTED_VALUE"""),"Peppermint")</f>
        <v>Peppermint</v>
      </c>
      <c r="E411" s="30">
        <f>IFERROR(__xludf.DUMMYFUNCTION("""COMPUTED_VALUE"""),25.0)</f>
        <v>25</v>
      </c>
      <c r="F411" s="30">
        <f>IFERROR(__xludf.DUMMYFUNCTION("""COMPUTED_VALUE"""),8.0)</f>
        <v>8</v>
      </c>
      <c r="G411" s="42">
        <f>IFERROR(__xludf.DUMMYFUNCTION("""COMPUTED_VALUE"""),17.0)</f>
        <v>17</v>
      </c>
      <c r="H411" s="42">
        <f>IFERROR(__xludf.DUMMYFUNCTION("""COMPUTED_VALUE"""),0.32)</f>
        <v>0.32</v>
      </c>
      <c r="I411" s="42">
        <f>IFERROR(__xludf.DUMMYFUNCTION("""COMPUTED_VALUE"""),0.26865671641791045)</f>
        <v>0.2686567164</v>
      </c>
      <c r="J411" s="30">
        <f>IFERROR(__xludf.DUMMYFUNCTION("""COMPUTED_VALUE"""),362.04)</f>
        <v>362.04</v>
      </c>
      <c r="K411" s="30">
        <f>IFERROR(__xludf.DUMMYFUNCTION("""COMPUTED_VALUE"""),0.72)</f>
        <v>0.72</v>
      </c>
      <c r="L411" s="30">
        <f>IFERROR(__xludf.DUMMYFUNCTION("""COMPUTED_VALUE"""),0.72)</f>
        <v>0.72</v>
      </c>
      <c r="M411" s="30">
        <f>IFERROR(__xludf.DUMMYFUNCTION("""COMPUTED_VALUE"""),1.2)</f>
        <v>1.2</v>
      </c>
      <c r="N411" s="30">
        <f>IFERROR(__xludf.DUMMYFUNCTION("""COMPUTED_VALUE"""),2.68)</f>
        <v>2.68</v>
      </c>
      <c r="O411" s="30">
        <f>IFERROR(__xludf.DUMMYFUNCTION("""COMPUTED_VALUE"""),398.74666666666656)</f>
        <v>398.7466667</v>
      </c>
      <c r="P411" s="30">
        <f>IFERROR(__xludf.DUMMYFUNCTION("""COMPUTED_VALUE"""),1.0933333333333335)</f>
        <v>1.093333333</v>
      </c>
      <c r="Q411" s="30">
        <f>IFERROR(__xludf.DUMMYFUNCTION("""COMPUTED_VALUE"""),0.7733333333333334)</f>
        <v>0.7733333333</v>
      </c>
      <c r="R411" s="30">
        <f>IFERROR(__xludf.DUMMYFUNCTION("""COMPUTED_VALUE"""),1.2799999999999998)</f>
        <v>1.28</v>
      </c>
      <c r="S411" s="30">
        <f>IFERROR(__xludf.DUMMYFUNCTION("""COMPUTED_VALUE"""),3.213333333333333)</f>
        <v>3.213333333</v>
      </c>
      <c r="T411" s="30">
        <f>IFERROR(__xludf.DUMMYFUNCTION("""COMPUTED_VALUE"""),354.4165335845695)</f>
        <v>354.4165336</v>
      </c>
      <c r="U411" s="30">
        <f>IFERROR(__xludf.DUMMYFUNCTION("""COMPUTED_VALUE"""),0.7845030917886853)</f>
        <v>0.7845030918</v>
      </c>
      <c r="V411" s="30">
        <f>IFERROR(__xludf.DUMMYFUNCTION("""COMPUTED_VALUE"""),0.5616383347291399)</f>
        <v>0.5616383347</v>
      </c>
      <c r="W411" s="30">
        <f>IFERROR(__xludf.DUMMYFUNCTION("""COMPUTED_VALUE"""),1.3257437783201507)</f>
        <v>1.325743778</v>
      </c>
      <c r="X411" s="30">
        <f>IFERROR(__xludf.DUMMYFUNCTION("""COMPUTED_VALUE"""),2.6079561017137265)</f>
        <v>2.607956102</v>
      </c>
      <c r="Y411" s="30">
        <f>IFERROR(__xludf.DUMMYFUNCTION("""COMPUTED_VALUE"""),346.2411739307223)</f>
        <v>346.2411739</v>
      </c>
      <c r="Z411" s="30">
        <f>IFERROR(__xludf.DUMMYFUNCTION("""COMPUTED_VALUE"""),0.7621163516149003)</f>
        <v>0.7621163516</v>
      </c>
      <c r="AA411" s="30">
        <f>IFERROR(__xludf.DUMMYFUNCTION("""COMPUTED_VALUE"""),0.5561395804934298)</f>
        <v>0.5561395805</v>
      </c>
      <c r="AB411" s="30">
        <f>IFERROR(__xludf.DUMMYFUNCTION("""COMPUTED_VALUE"""),1.2926036046084532)</f>
        <v>1.292603605</v>
      </c>
      <c r="AC411" s="30">
        <f>IFERROR(__xludf.DUMMYFUNCTION("""COMPUTED_VALUE"""),2.5854616026043455)</f>
        <v>2.585461603</v>
      </c>
      <c r="AD411" s="30">
        <f>IFERROR(__xludf.DUMMYFUNCTION("""COMPUTED_VALUE"""),1.0456295416571075)</f>
        <v>1.045629542</v>
      </c>
      <c r="AE411" s="30">
        <f>IFERROR(__xludf.DUMMYFUNCTION("""COMPUTED_VALUE"""),0.9447376354992815)</f>
        <v>0.9447376355</v>
      </c>
      <c r="AF411" s="30">
        <f>IFERROR(__xludf.DUMMYFUNCTION("""COMPUTED_VALUE"""),1.2946390173509796)</f>
        <v>1.294639017</v>
      </c>
      <c r="AG411" s="30">
        <f>IFERROR(__xludf.DUMMYFUNCTION("""COMPUTED_VALUE"""),0.9283588531872429)</f>
        <v>0.9283588532</v>
      </c>
      <c r="AH411" s="30">
        <f>IFERROR(__xludf.DUMMYFUNCTION("""COMPUTED_VALUE"""),1.0365653844173999)</f>
        <v>1.036565384</v>
      </c>
      <c r="AI411" s="30">
        <f>IFERROR(__xludf.DUMMYFUNCTION("""COMPUTED_VALUE"""),1.125079190391436)</f>
        <v>1.12507919</v>
      </c>
      <c r="AJ411" s="30">
        <f>IFERROR(__xludf.DUMMYFUNCTION("""COMPUTED_VALUE"""),1.3936635110519553)</f>
        <v>1.393663511</v>
      </c>
      <c r="AK411" s="30">
        <f>IFERROR(__xludf.DUMMYFUNCTION("""COMPUTED_VALUE"""),1.3769240550616744)</f>
        <v>1.376924055</v>
      </c>
      <c r="AL411" s="30">
        <f>IFERROR(__xludf.DUMMYFUNCTION("""COMPUTED_VALUE"""),0.965495762402813)</f>
        <v>0.9654957624</v>
      </c>
      <c r="AM411" s="30">
        <f>IFERROR(__xludf.DUMMYFUNCTION("""COMPUTED_VALUE"""),1.2321270788345724)</f>
        <v>1.232127079</v>
      </c>
      <c r="AN411" s="30">
        <f>IFERROR(__xludf.DUMMYFUNCTION("""COMPUTED_VALUE"""),1.0472576603796635)</f>
        <v>1.04725766</v>
      </c>
      <c r="AO411" s="30">
        <f>IFERROR(__xludf.DUMMYFUNCTION("""COMPUTED_VALUE"""),0.9529318377687541)</f>
        <v>0.9529318378</v>
      </c>
      <c r="AP411" s="30">
        <f>IFERROR(__xludf.DUMMYFUNCTION("""COMPUTED_VALUE"""),1.295295825700723)</f>
        <v>1.295295826</v>
      </c>
      <c r="AQ411" s="30">
        <f>IFERROR(__xludf.DUMMYFUNCTION("""COMPUTED_VALUE"""),0.886937109444293)</f>
        <v>0.8869371094</v>
      </c>
      <c r="AR411" s="30">
        <f>IFERROR(__xludf.DUMMYFUNCTION("""COMPUTED_VALUE"""),1.0511811707936318)</f>
        <v>1.051181171</v>
      </c>
      <c r="AS411" s="30">
        <f>IFERROR(__xludf.DUMMYFUNCTION("""COMPUTED_VALUE"""),57.0)</f>
        <v>57</v>
      </c>
      <c r="AT411" s="30">
        <f>IFERROR(__xludf.DUMMYFUNCTION("""COMPUTED_VALUE"""),0.3554807358197448)</f>
        <v>0.3554807358</v>
      </c>
      <c r="AU411" s="30">
        <f>IFERROR(__xludf.DUMMYFUNCTION("""COMPUTED_VALUE"""),1.733290115157318)</f>
        <v>1.733290115</v>
      </c>
      <c r="AV411" s="32">
        <f>IFERROR(__xludf.DUMMYFUNCTION("""COMPUTED_VALUE"""),47.18274531188892)</f>
        <v>47.18274531</v>
      </c>
      <c r="AW411" s="32">
        <f>IFERROR(__xludf.DUMMYFUNCTION("""COMPUTED_VALUE"""),-2.1971353770794124)</f>
        <v>-2.197135377</v>
      </c>
      <c r="AX411" s="32">
        <f>IFERROR(__xludf.DUMMYFUNCTION("""COMPUTED_VALUE"""),45.12792225884921)</f>
        <v>45.12792226</v>
      </c>
      <c r="AY411" s="32">
        <f>IFERROR(__xludf.DUMMYFUNCTION("""COMPUTED_VALUE"""),-2.365507707346286)</f>
        <v>-2.365507707</v>
      </c>
      <c r="AZ411" s="30">
        <f>IFERROR(__xludf.DUMMYFUNCTION("""COMPUTED_VALUE"""),0.1683723302668736)</f>
        <v>0.1683723303</v>
      </c>
      <c r="BA411" s="30">
        <f>IFERROR(__xludf.DUMMYFUNCTION("""COMPUTED_VALUE"""),1200.0)</f>
        <v>1200</v>
      </c>
    </row>
    <row r="412">
      <c r="A412" s="71" t="str">
        <f>IFERROR(__xludf.DUMMYFUNCTION("""COMPUTED_VALUE"""),"Veteran")</f>
        <v>Veteran</v>
      </c>
      <c r="B412" s="71" t="str">
        <f>IFERROR(__xludf.DUMMYFUNCTION("""COMPUTED_VALUE"""),"RSC004229")</f>
        <v>RSC004229</v>
      </c>
      <c r="C412" s="30" t="str">
        <f>IFERROR(__xludf.DUMMYFUNCTION("""COMPUTED_VALUE"""),"doty")</f>
        <v>doty</v>
      </c>
      <c r="D412" s="30" t="str">
        <f>IFERROR(__xludf.DUMMYFUNCTION("""COMPUTED_VALUE"""),"Gouda Gangsters")</f>
        <v>Gouda Gangsters</v>
      </c>
      <c r="E412" s="30">
        <f>IFERROR(__xludf.DUMMYFUNCTION("""COMPUTED_VALUE"""),34.0)</f>
        <v>34</v>
      </c>
      <c r="F412" s="30">
        <f>IFERROR(__xludf.DUMMYFUNCTION("""COMPUTED_VALUE"""),13.0)</f>
        <v>13</v>
      </c>
      <c r="G412" s="42">
        <f>IFERROR(__xludf.DUMMYFUNCTION("""COMPUTED_VALUE"""),21.0)</f>
        <v>21</v>
      </c>
      <c r="H412" s="42">
        <f>IFERROR(__xludf.DUMMYFUNCTION("""COMPUTED_VALUE"""),0.38235294117647056)</f>
        <v>0.3823529412</v>
      </c>
      <c r="I412" s="42">
        <f>IFERROR(__xludf.DUMMYFUNCTION("""COMPUTED_VALUE"""),0.2823529411764706)</f>
        <v>0.2823529412</v>
      </c>
      <c r="J412" s="30">
        <f>IFERROR(__xludf.DUMMYFUNCTION("""COMPUTED_VALUE"""),325.3529411764706)</f>
        <v>325.3529412</v>
      </c>
      <c r="K412" s="30">
        <f>IFERROR(__xludf.DUMMYFUNCTION("""COMPUTED_VALUE"""),0.7058823529411765)</f>
        <v>0.7058823529</v>
      </c>
      <c r="L412" s="30">
        <f>IFERROR(__xludf.DUMMYFUNCTION("""COMPUTED_VALUE"""),0.6764705882352942)</f>
        <v>0.6764705882</v>
      </c>
      <c r="M412" s="30">
        <f>IFERROR(__xludf.DUMMYFUNCTION("""COMPUTED_VALUE"""),1.1764705882352942)</f>
        <v>1.176470588</v>
      </c>
      <c r="N412" s="30">
        <f>IFERROR(__xludf.DUMMYFUNCTION("""COMPUTED_VALUE"""),2.5)</f>
        <v>2.5</v>
      </c>
      <c r="O412" s="30">
        <f>IFERROR(__xludf.DUMMYFUNCTION("""COMPUTED_VALUE"""),402.32352941176464)</f>
        <v>402.3235294</v>
      </c>
      <c r="P412" s="30">
        <f>IFERROR(__xludf.DUMMYFUNCTION("""COMPUTED_VALUE"""),1.0784313725490196)</f>
        <v>1.078431373</v>
      </c>
      <c r="Q412" s="30">
        <f>IFERROR(__xludf.DUMMYFUNCTION("""COMPUTED_VALUE"""),0.784313725490196)</f>
        <v>0.7843137255</v>
      </c>
      <c r="R412" s="30">
        <f>IFERROR(__xludf.DUMMYFUNCTION("""COMPUTED_VALUE"""),1.4019607843137252)</f>
        <v>1.401960784</v>
      </c>
      <c r="S412" s="30">
        <f>IFERROR(__xludf.DUMMYFUNCTION("""COMPUTED_VALUE"""),2.823529411764706)</f>
        <v>2.823529412</v>
      </c>
      <c r="T412" s="30">
        <f>IFERROR(__xludf.DUMMYFUNCTION("""COMPUTED_VALUE"""),352.09568786008623)</f>
        <v>352.0956879</v>
      </c>
      <c r="U412" s="30">
        <f>IFERROR(__xludf.DUMMYFUNCTION("""COMPUTED_VALUE"""),0.7872322838711534)</f>
        <v>0.7872322839</v>
      </c>
      <c r="V412" s="30">
        <f>IFERROR(__xludf.DUMMYFUNCTION("""COMPUTED_VALUE"""),0.5713204844132346)</f>
        <v>0.5713204844</v>
      </c>
      <c r="W412" s="30">
        <f>IFERROR(__xludf.DUMMYFUNCTION("""COMPUTED_VALUE"""),1.3142664834161817)</f>
        <v>1.314266483</v>
      </c>
      <c r="X412" s="30">
        <f>IFERROR(__xludf.DUMMYFUNCTION("""COMPUTED_VALUE"""),2.6158596318067344)</f>
        <v>2.615859632</v>
      </c>
      <c r="Y412" s="30">
        <f>IFERROR(__xludf.DUMMYFUNCTION("""COMPUTED_VALUE"""),355.6327253437061)</f>
        <v>355.6327253</v>
      </c>
      <c r="Z412" s="30">
        <f>IFERROR(__xludf.DUMMYFUNCTION("""COMPUTED_VALUE"""),0.7948867744249716)</f>
        <v>0.7948867744</v>
      </c>
      <c r="AA412" s="30">
        <f>IFERROR(__xludf.DUMMYFUNCTION("""COMPUTED_VALUE"""),0.5959333406656714)</f>
        <v>0.5959333407</v>
      </c>
      <c r="AB412" s="30">
        <f>IFERROR(__xludf.DUMMYFUNCTION("""COMPUTED_VALUE"""),1.3294034317454322)</f>
        <v>1.329403432</v>
      </c>
      <c r="AC412" s="30">
        <f>IFERROR(__xludf.DUMMYFUNCTION("""COMPUTED_VALUE"""),2.613348399131197)</f>
        <v>2.613348399</v>
      </c>
      <c r="AD412" s="30">
        <f>IFERROR(__xludf.DUMMYFUNCTION("""COMPUTED_VALUE"""),0.9148565865585874)</f>
        <v>0.9148565866</v>
      </c>
      <c r="AE412" s="30">
        <f>IFERROR(__xludf.DUMMYFUNCTION("""COMPUTED_VALUE"""),0.8880288056771586)</f>
        <v>0.8880288057</v>
      </c>
      <c r="AF412" s="30">
        <f>IFERROR(__xludf.DUMMYFUNCTION("""COMPUTED_VALUE"""),1.1351447252131603)</f>
        <v>1.135144725</v>
      </c>
      <c r="AG412" s="30">
        <f>IFERROR(__xludf.DUMMYFUNCTION("""COMPUTED_VALUE"""),0.8849612992879476)</f>
        <v>0.8849612993</v>
      </c>
      <c r="AH412" s="30">
        <f>IFERROR(__xludf.DUMMYFUNCTION("""COMPUTED_VALUE"""),0.9566271381309589)</f>
        <v>0.9566271381</v>
      </c>
      <c r="AI412" s="30">
        <f>IFERROR(__xludf.DUMMYFUNCTION("""COMPUTED_VALUE"""),1.1426539525574584)</f>
        <v>1.142653953</v>
      </c>
      <c r="AJ412" s="30">
        <f>IFERROR(__xludf.DUMMYFUNCTION("""COMPUTED_VALUE"""),1.369902371439745)</f>
        <v>1.369902371</v>
      </c>
      <c r="AK412" s="30">
        <f>IFERROR(__xludf.DUMMYFUNCTION("""COMPUTED_VALUE"""),1.3728086894971263)</f>
        <v>1.372808689</v>
      </c>
      <c r="AL412" s="30">
        <f>IFERROR(__xludf.DUMMYFUNCTION("""COMPUTED_VALUE"""),1.0667249009269406)</f>
        <v>1.066724901</v>
      </c>
      <c r="AM412" s="30">
        <f>IFERROR(__xludf.DUMMYFUNCTION("""COMPUTED_VALUE"""),1.079388732267158)</f>
        <v>1.079388732</v>
      </c>
      <c r="AN412" s="30">
        <f>IFERROR(__xludf.DUMMYFUNCTION("""COMPUTED_VALUE"""),0.9411345706941576)</f>
        <v>0.9411345707</v>
      </c>
      <c r="AO412" s="30">
        <f>IFERROR(__xludf.DUMMYFUNCTION("""COMPUTED_VALUE"""),0.9342468997732885)</f>
        <v>0.9342468998</v>
      </c>
      <c r="AP412" s="30">
        <f>IFERROR(__xludf.DUMMYFUNCTION("""COMPUTED_VALUE"""),1.216985457153457)</f>
        <v>1.216985457</v>
      </c>
      <c r="AQ412" s="30">
        <f>IFERROR(__xludf.DUMMYFUNCTION("""COMPUTED_VALUE"""),0.8695461857296991)</f>
        <v>0.8695461857</v>
      </c>
      <c r="AR412" s="30">
        <f>IFERROR(__xludf.DUMMYFUNCTION("""COMPUTED_VALUE"""),0.9805794503671939)</f>
        <v>0.9805794504</v>
      </c>
      <c r="AS412" s="30">
        <f>IFERROR(__xludf.DUMMYFUNCTION("""COMPUTED_VALUE"""),75.0)</f>
        <v>75</v>
      </c>
      <c r="AT412" s="30">
        <f>IFERROR(__xludf.DUMMYFUNCTION("""COMPUTED_VALUE"""),0.34914971922294524)</f>
        <v>0.3491497192</v>
      </c>
      <c r="AU412" s="30">
        <f>IFERROR(__xludf.DUMMYFUNCTION("""COMPUTED_VALUE"""),1.510819280976038)</f>
        <v>1.510819281</v>
      </c>
      <c r="AV412" s="32">
        <f>IFERROR(__xludf.DUMMYFUNCTION("""COMPUTED_VALUE"""),39.228947194109736)</f>
        <v>39.22894719</v>
      </c>
      <c r="AW412" s="32">
        <f>IFERROR(__xludf.DUMMYFUNCTION("""COMPUTED_VALUE"""),-3.000375751398901)</f>
        <v>-3.000375751</v>
      </c>
      <c r="AX412" s="32">
        <f>IFERROR(__xludf.DUMMYFUNCTION("""COMPUTED_VALUE"""),38.03535585294169)</f>
        <v>38.03535585</v>
      </c>
      <c r="AY412" s="32">
        <f>IFERROR(__xludf.DUMMYFUNCTION("""COMPUTED_VALUE"""),-3.1633889779546367)</f>
        <v>-3.163388978</v>
      </c>
      <c r="AZ412" s="30">
        <f>IFERROR(__xludf.DUMMYFUNCTION("""COMPUTED_VALUE"""),0.1630132265557358)</f>
        <v>0.1630132266</v>
      </c>
      <c r="BA412" s="30">
        <f>IFERROR(__xludf.DUMMYFUNCTION("""COMPUTED_VALUE"""),1200.0)</f>
        <v>1200</v>
      </c>
    </row>
    <row r="413">
      <c r="A413" s="71" t="str">
        <f>IFERROR(__xludf.DUMMYFUNCTION("""COMPUTED_VALUE"""),"Veteran")</f>
        <v>Veteran</v>
      </c>
      <c r="B413" s="71" t="str">
        <f>IFERROR(__xludf.DUMMYFUNCTION("""COMPUTED_VALUE"""),"RSC007817")</f>
        <v>RSC007817</v>
      </c>
      <c r="C413" s="30" t="str">
        <f>IFERROR(__xludf.DUMMYFUNCTION("""COMPUTED_VALUE"""),"HiChew.RL")</f>
        <v>HiChew.RL</v>
      </c>
      <c r="D413" s="30" t="str">
        <f>IFERROR(__xludf.DUMMYFUNCTION("""COMPUTED_VALUE"""),"Dog Fighters")</f>
        <v>Dog Fighters</v>
      </c>
      <c r="E413" s="30">
        <f>IFERROR(__xludf.DUMMYFUNCTION("""COMPUTED_VALUE"""),32.0)</f>
        <v>32</v>
      </c>
      <c r="F413" s="30">
        <f>IFERROR(__xludf.DUMMYFUNCTION("""COMPUTED_VALUE"""),19.0)</f>
        <v>19</v>
      </c>
      <c r="G413" s="42">
        <f>IFERROR(__xludf.DUMMYFUNCTION("""COMPUTED_VALUE"""),13.0)</f>
        <v>13</v>
      </c>
      <c r="H413" s="42">
        <f>IFERROR(__xludf.DUMMYFUNCTION("""COMPUTED_VALUE"""),0.59375)</f>
        <v>0.59375</v>
      </c>
      <c r="I413" s="42">
        <f>IFERROR(__xludf.DUMMYFUNCTION("""COMPUTED_VALUE"""),0.18518518518518517)</f>
        <v>0.1851851852</v>
      </c>
      <c r="J413" s="30">
        <f>IFERROR(__xludf.DUMMYFUNCTION("""COMPUTED_VALUE"""),364.375)</f>
        <v>364.375</v>
      </c>
      <c r="K413" s="30">
        <f>IFERROR(__xludf.DUMMYFUNCTION("""COMPUTED_VALUE"""),0.46875)</f>
        <v>0.46875</v>
      </c>
      <c r="L413" s="30">
        <f>IFERROR(__xludf.DUMMYFUNCTION("""COMPUTED_VALUE"""),0.84375)</f>
        <v>0.84375</v>
      </c>
      <c r="M413" s="30">
        <f>IFERROR(__xludf.DUMMYFUNCTION("""COMPUTED_VALUE"""),1.59375)</f>
        <v>1.59375</v>
      </c>
      <c r="N413" s="30">
        <f>IFERROR(__xludf.DUMMYFUNCTION("""COMPUTED_VALUE"""),2.53125)</f>
        <v>2.53125</v>
      </c>
      <c r="O413" s="30">
        <f>IFERROR(__xludf.DUMMYFUNCTION("""COMPUTED_VALUE"""),342.88541666666674)</f>
        <v>342.8854167</v>
      </c>
      <c r="P413" s="30">
        <f>IFERROR(__xludf.DUMMYFUNCTION("""COMPUTED_VALUE"""),0.6145833333333335)</f>
        <v>0.6145833333</v>
      </c>
      <c r="Q413" s="30">
        <f>IFERROR(__xludf.DUMMYFUNCTION("""COMPUTED_VALUE"""),0.4791666666666666)</f>
        <v>0.4791666667</v>
      </c>
      <c r="R413" s="30">
        <f>IFERROR(__xludf.DUMMYFUNCTION("""COMPUTED_VALUE"""),1.46875)</f>
        <v>1.46875</v>
      </c>
      <c r="S413" s="30">
        <f>IFERROR(__xludf.DUMMYFUNCTION("""COMPUTED_VALUE"""),2.458333333333333)</f>
        <v>2.458333333</v>
      </c>
      <c r="T413" s="30">
        <f>IFERROR(__xludf.DUMMYFUNCTION("""COMPUTED_VALUE"""),355.2864934005379)</f>
        <v>355.2864934</v>
      </c>
      <c r="U413" s="30">
        <f>IFERROR(__xludf.DUMMYFUNCTION("""COMPUTED_VALUE"""),0.7448914777448928)</f>
        <v>0.7448914777</v>
      </c>
      <c r="V413" s="30">
        <f>IFERROR(__xludf.DUMMYFUNCTION("""COMPUTED_VALUE"""),0.5852619296131247)</f>
        <v>0.5852619296</v>
      </c>
      <c r="W413" s="30">
        <f>IFERROR(__xludf.DUMMYFUNCTION("""COMPUTED_VALUE"""),1.4213266064451184)</f>
        <v>1.421326606</v>
      </c>
      <c r="X413" s="30">
        <f>IFERROR(__xludf.DUMMYFUNCTION("""COMPUTED_VALUE"""),2.528603631443239)</f>
        <v>2.528603631</v>
      </c>
      <c r="Y413" s="30">
        <f>IFERROR(__xludf.DUMMYFUNCTION("""COMPUTED_VALUE"""),351.53244793534225)</f>
        <v>351.5324479</v>
      </c>
      <c r="Z413" s="30">
        <f>IFERROR(__xludf.DUMMYFUNCTION("""COMPUTED_VALUE"""),0.7607627441097339)</f>
        <v>0.7607627441</v>
      </c>
      <c r="AA413" s="30">
        <f>IFERROR(__xludf.DUMMYFUNCTION("""COMPUTED_VALUE"""),0.5519566072050202)</f>
        <v>0.5519566072</v>
      </c>
      <c r="AB413" s="30">
        <f>IFERROR(__xludf.DUMMYFUNCTION("""COMPUTED_VALUE"""),1.3577676982475637)</f>
        <v>1.357767698</v>
      </c>
      <c r="AC413" s="30">
        <f>IFERROR(__xludf.DUMMYFUNCTION("""COMPUTED_VALUE"""),2.6672921708251756)</f>
        <v>2.667292171</v>
      </c>
      <c r="AD413" s="30">
        <f>IFERROR(__xludf.DUMMYFUNCTION("""COMPUTED_VALUE"""),1.0365330487699955)</f>
        <v>1.036533049</v>
      </c>
      <c r="AE413" s="30">
        <f>IFERROR(__xludf.DUMMYFUNCTION("""COMPUTED_VALUE"""),0.6161579331129635)</f>
        <v>0.6161579331</v>
      </c>
      <c r="AF413" s="30">
        <f>IFERROR(__xludf.DUMMYFUNCTION("""COMPUTED_VALUE"""),1.5286527762980386)</f>
        <v>1.528652776</v>
      </c>
      <c r="AG413" s="30">
        <f>IFERROR(__xludf.DUMMYFUNCTION("""COMPUTED_VALUE"""),1.1738016761313534)</f>
        <v>1.173801676</v>
      </c>
      <c r="AH413" s="30">
        <f>IFERROR(__xludf.DUMMYFUNCTION("""COMPUTED_VALUE"""),0.9489961496107536)</f>
        <v>0.9489961496</v>
      </c>
      <c r="AI413" s="30">
        <f>IFERROR(__xludf.DUMMYFUNCTION("""COMPUTED_VALUE"""),0.9650955581925525)</f>
        <v>0.9650955582</v>
      </c>
      <c r="AJ413" s="30">
        <f>IFERROR(__xludf.DUMMYFUNCTION("""COMPUTED_VALUE"""),0.8250642566000913)</f>
        <v>0.8250642566</v>
      </c>
      <c r="AK413" s="30">
        <f>IFERROR(__xludf.DUMMYFUNCTION("""COMPUTED_VALUE"""),0.8187217422178985)</f>
        <v>0.8187217422</v>
      </c>
      <c r="AL413" s="30">
        <f>IFERROR(__xludf.DUMMYFUNCTION("""COMPUTED_VALUE"""),1.0333655848978247)</f>
        <v>1.033365585</v>
      </c>
      <c r="AM413" s="30">
        <f>IFERROR(__xludf.DUMMYFUNCTION("""COMPUTED_VALUE"""),0.9722098405475286)</f>
        <v>0.9722098405</v>
      </c>
      <c r="AN413" s="30">
        <f>IFERROR(__xludf.DUMMYFUNCTION("""COMPUTED_VALUE"""),1.0540120152492538)</f>
        <v>1.054012015</v>
      </c>
      <c r="AO413" s="30">
        <f>IFERROR(__xludf.DUMMYFUNCTION("""COMPUTED_VALUE"""),0.6203983318806994)</f>
        <v>0.6203983319</v>
      </c>
      <c r="AP413" s="30">
        <f>IFERROR(__xludf.DUMMYFUNCTION("""COMPUTED_VALUE"""),1.5179247957430348)</f>
        <v>1.517924796</v>
      </c>
      <c r="AQ413" s="30">
        <f>IFERROR(__xludf.DUMMYFUNCTION("""COMPUTED_VALUE"""),1.1779633484807017)</f>
        <v>1.177963348</v>
      </c>
      <c r="AR413" s="30">
        <f>IFERROR(__xludf.DUMMYFUNCTION("""COMPUTED_VALUE"""),0.9928366934967838)</f>
        <v>0.9928366935</v>
      </c>
      <c r="AS413" s="30">
        <f>IFERROR(__xludf.DUMMYFUNCTION("""COMPUTED_VALUE"""),78.0)</f>
        <v>78</v>
      </c>
      <c r="AT413" s="30">
        <f>IFERROR(__xludf.DUMMYFUNCTION("""COMPUTED_VALUE"""),0.6043853627758308)</f>
        <v>0.6043853628</v>
      </c>
      <c r="AU413" s="30">
        <f>IFERROR(__xludf.DUMMYFUNCTION("""COMPUTED_VALUE"""),2.03976873509607)</f>
        <v>2.039768735</v>
      </c>
      <c r="AV413" s="32">
        <f>IFERROR(__xludf.DUMMYFUNCTION("""COMPUTED_VALUE"""),58.1399976608511)</f>
        <v>58.13999766</v>
      </c>
      <c r="AW413" s="32">
        <f>IFERROR(__xludf.DUMMYFUNCTION("""COMPUTED_VALUE"""),2.6855475591893847)</f>
        <v>2.685547559</v>
      </c>
      <c r="AX413" s="32">
        <f>IFERROR(__xludf.DUMMYFUNCTION("""COMPUTED_VALUE"""),59.500702124827804)</f>
        <v>59.50070212</v>
      </c>
      <c r="AY413" s="32">
        <f>IFERROR(__xludf.DUMMYFUNCTION("""COMPUTED_VALUE"""),2.8412135222781196)</f>
        <v>2.841213522</v>
      </c>
      <c r="AZ413" s="30">
        <f>IFERROR(__xludf.DUMMYFUNCTION("""COMPUTED_VALUE"""),0.15566596308873493)</f>
        <v>0.1556659631</v>
      </c>
      <c r="BA413" s="30">
        <f>IFERROR(__xludf.DUMMYFUNCTION("""COMPUTED_VALUE"""),1200.0)</f>
        <v>1200</v>
      </c>
    </row>
    <row r="414">
      <c r="A414" s="71" t="str">
        <f>IFERROR(__xludf.DUMMYFUNCTION("""COMPUTED_VALUE"""),"Veteran")</f>
        <v>Veteran</v>
      </c>
      <c r="B414" s="71" t="str">
        <f>IFERROR(__xludf.DUMMYFUNCTION("""COMPUTED_VALUE"""),"RSC007936")</f>
        <v>RSC007936</v>
      </c>
      <c r="C414" s="30" t="str">
        <f>IFERROR(__xludf.DUMMYFUNCTION("""COMPUTED_VALUE"""),"Crazics")</f>
        <v>Crazics</v>
      </c>
      <c r="D414" s="30" t="str">
        <f>IFERROR(__xludf.DUMMYFUNCTION("""COMPUTED_VALUE"""),"Gouda Gangsters")</f>
        <v>Gouda Gangsters</v>
      </c>
      <c r="E414" s="30">
        <f>IFERROR(__xludf.DUMMYFUNCTION("""COMPUTED_VALUE"""),41.0)</f>
        <v>41</v>
      </c>
      <c r="F414" s="30">
        <f>IFERROR(__xludf.DUMMYFUNCTION("""COMPUTED_VALUE"""),17.0)</f>
        <v>17</v>
      </c>
      <c r="G414" s="42">
        <f>IFERROR(__xludf.DUMMYFUNCTION("""COMPUTED_VALUE"""),24.0)</f>
        <v>24</v>
      </c>
      <c r="H414" s="42">
        <f>IFERROR(__xludf.DUMMYFUNCTION("""COMPUTED_VALUE"""),0.4146341463414634)</f>
        <v>0.4146341463</v>
      </c>
      <c r="I414" s="42">
        <f>IFERROR(__xludf.DUMMYFUNCTION("""COMPUTED_VALUE"""),0.25862068965517243)</f>
        <v>0.2586206897</v>
      </c>
      <c r="J414" s="30">
        <f>IFERROR(__xludf.DUMMYFUNCTION("""COMPUTED_VALUE"""),338.0)</f>
        <v>338</v>
      </c>
      <c r="K414" s="30">
        <f>IFERROR(__xludf.DUMMYFUNCTION("""COMPUTED_VALUE"""),0.7317073170731707)</f>
        <v>0.7317073171</v>
      </c>
      <c r="L414" s="30">
        <f>IFERROR(__xludf.DUMMYFUNCTION("""COMPUTED_VALUE"""),0.6341463414634146)</f>
        <v>0.6341463415</v>
      </c>
      <c r="M414" s="30">
        <f>IFERROR(__xludf.DUMMYFUNCTION("""COMPUTED_VALUE"""),1.2926829268292683)</f>
        <v>1.292682927</v>
      </c>
      <c r="N414" s="30">
        <f>IFERROR(__xludf.DUMMYFUNCTION("""COMPUTED_VALUE"""),2.8292682926829267)</f>
        <v>2.829268293</v>
      </c>
      <c r="O414" s="30">
        <f>IFERROR(__xludf.DUMMYFUNCTION("""COMPUTED_VALUE"""),377.3170731707317)</f>
        <v>377.3170732</v>
      </c>
      <c r="P414" s="30">
        <f>IFERROR(__xludf.DUMMYFUNCTION("""COMPUTED_VALUE"""),0.926829268292683)</f>
        <v>0.9268292683</v>
      </c>
      <c r="Q414" s="30">
        <f>IFERROR(__xludf.DUMMYFUNCTION("""COMPUTED_VALUE"""),0.7479674796747967)</f>
        <v>0.7479674797</v>
      </c>
      <c r="R414" s="30">
        <f>IFERROR(__xludf.DUMMYFUNCTION("""COMPUTED_VALUE"""),1.3333333333333333)</f>
        <v>1.333333333</v>
      </c>
      <c r="S414" s="30">
        <f>IFERROR(__xludf.DUMMYFUNCTION("""COMPUTED_VALUE"""),2.512195121951219)</f>
        <v>2.512195122</v>
      </c>
      <c r="T414" s="30">
        <f>IFERROR(__xludf.DUMMYFUNCTION("""COMPUTED_VALUE"""),356.6740446619445)</f>
        <v>356.6740447</v>
      </c>
      <c r="U414" s="30">
        <f>IFERROR(__xludf.DUMMYFUNCTION("""COMPUTED_VALUE"""),0.8101966838276862)</f>
        <v>0.8101966838</v>
      </c>
      <c r="V414" s="30">
        <f>IFERROR(__xludf.DUMMYFUNCTION("""COMPUTED_VALUE"""),0.5598768455044331)</f>
        <v>0.5598768455</v>
      </c>
      <c r="W414" s="30">
        <f>IFERROR(__xludf.DUMMYFUNCTION("""COMPUTED_VALUE"""),1.3604878392859683)</f>
        <v>1.360487839</v>
      </c>
      <c r="X414" s="30">
        <f>IFERROR(__xludf.DUMMYFUNCTION("""COMPUTED_VALUE"""),2.6415736457330814)</f>
        <v>2.641573646</v>
      </c>
      <c r="Y414" s="30">
        <f>IFERROR(__xludf.DUMMYFUNCTION("""COMPUTED_VALUE"""),349.25168589840797)</f>
        <v>349.2516859</v>
      </c>
      <c r="Z414" s="30">
        <f>IFERROR(__xludf.DUMMYFUNCTION("""COMPUTED_VALUE"""),0.7615802147116301)</f>
        <v>0.7615802147</v>
      </c>
      <c r="AA414" s="30">
        <f>IFERROR(__xludf.DUMMYFUNCTION("""COMPUTED_VALUE"""),0.5632771526394658)</f>
        <v>0.5632771526</v>
      </c>
      <c r="AB414" s="30">
        <f>IFERROR(__xludf.DUMMYFUNCTION("""COMPUTED_VALUE"""),1.3421961657850139)</f>
        <v>1.342196166</v>
      </c>
      <c r="AC414" s="30">
        <f>IFERROR(__xludf.DUMMYFUNCTION("""COMPUTED_VALUE"""),2.608735095791454)</f>
        <v>2.608735096</v>
      </c>
      <c r="AD414" s="30">
        <f>IFERROR(__xludf.DUMMYFUNCTION("""COMPUTED_VALUE"""),0.9677834457134706)</f>
        <v>0.9677834457</v>
      </c>
      <c r="AE414" s="30">
        <f>IFERROR(__xludf.DUMMYFUNCTION("""COMPUTED_VALUE"""),0.9607751132954909)</f>
        <v>0.9607751133</v>
      </c>
      <c r="AF414" s="30">
        <f>IFERROR(__xludf.DUMMYFUNCTION("""COMPUTED_VALUE"""),1.1258158412636874)</f>
        <v>1.125815841</v>
      </c>
      <c r="AG414" s="30">
        <f>IFERROR(__xludf.DUMMYFUNCTION("""COMPUTED_VALUE"""),0.9631102813300121)</f>
        <v>0.9631102813</v>
      </c>
      <c r="AH414" s="30">
        <f>IFERROR(__xludf.DUMMYFUNCTION("""COMPUTED_VALUE"""),1.084536447279468)</f>
        <v>1.084536447</v>
      </c>
      <c r="AI414" s="30">
        <f>IFERROR(__xludf.DUMMYFUNCTION("""COMPUTED_VALUE"""),1.0578764527941826)</f>
        <v>1.057876453</v>
      </c>
      <c r="AJ414" s="30">
        <f>IFERROR(__xludf.DUMMYFUNCTION("""COMPUTED_VALUE"""),1.1439558897155426)</f>
        <v>1.14395589</v>
      </c>
      <c r="AK414" s="30">
        <f>IFERROR(__xludf.DUMMYFUNCTION("""COMPUTED_VALUE"""),1.3359500141515932)</f>
        <v>1.335950014</v>
      </c>
      <c r="AL414" s="30">
        <f>IFERROR(__xludf.DUMMYFUNCTION("""COMPUTED_VALUE"""),0.9800406110451626)</f>
        <v>0.980040611</v>
      </c>
      <c r="AM414" s="30">
        <f>IFERROR(__xludf.DUMMYFUNCTION("""COMPUTED_VALUE"""),0.9510221780146668)</f>
        <v>0.951022178</v>
      </c>
      <c r="AN414" s="30">
        <f>IFERROR(__xludf.DUMMYFUNCTION("""COMPUTED_VALUE"""),0.9777181781248653)</f>
        <v>0.9777181781</v>
      </c>
      <c r="AO414" s="30">
        <f>IFERROR(__xludf.DUMMYFUNCTION("""COMPUTED_VALUE"""),0.9684266643991404)</f>
        <v>0.9684266644</v>
      </c>
      <c r="AP414" s="30">
        <f>IFERROR(__xludf.DUMMYFUNCTION("""COMPUTED_VALUE"""),1.140843206917981)</f>
        <v>1.140843207</v>
      </c>
      <c r="AQ414" s="30">
        <f>IFERROR(__xludf.DUMMYFUNCTION("""COMPUTED_VALUE"""),0.9554403821249499)</f>
        <v>0.9554403821</v>
      </c>
      <c r="AR414" s="30">
        <f>IFERROR(__xludf.DUMMYFUNCTION("""COMPUTED_VALUE"""),1.1097289389521412)</f>
        <v>1.109728939</v>
      </c>
      <c r="AS414" s="30">
        <f>IFERROR(__xludf.DUMMYFUNCTION("""COMPUTED_VALUE"""),86.0)</f>
        <v>86</v>
      </c>
      <c r="AT414" s="30">
        <f>IFERROR(__xludf.DUMMYFUNCTION("""COMPUTED_VALUE"""),0.3907484649546639)</f>
        <v>0.390748465</v>
      </c>
      <c r="AU414" s="30">
        <f>IFERROR(__xludf.DUMMYFUNCTION("""COMPUTED_VALUE"""),1.8217728419797037)</f>
        <v>1.821772842</v>
      </c>
      <c r="AV414" s="32">
        <f>IFERROR(__xludf.DUMMYFUNCTION("""COMPUTED_VALUE"""),50.346188055499944)</f>
        <v>50.34618806</v>
      </c>
      <c r="AW414" s="32">
        <f>IFERROR(__xludf.DUMMYFUNCTION("""COMPUTED_VALUE"""),2.02234360259074)</f>
        <v>2.022343603</v>
      </c>
      <c r="AX414" s="32">
        <f>IFERROR(__xludf.DUMMYFUNCTION("""COMPUTED_VALUE"""),52.37254264118847)</f>
        <v>52.37254264</v>
      </c>
      <c r="AY414" s="32">
        <f>IFERROR(__xludf.DUMMYFUNCTION("""COMPUTED_VALUE"""),2.1635821697323223)</f>
        <v>2.16358217</v>
      </c>
      <c r="AZ414" s="30">
        <f>IFERROR(__xludf.DUMMYFUNCTION("""COMPUTED_VALUE"""),0.14123856714158212)</f>
        <v>0.1412385671</v>
      </c>
      <c r="BA414" s="30">
        <f>IFERROR(__xludf.DUMMYFUNCTION("""COMPUTED_VALUE"""),1200.0)</f>
        <v>1200</v>
      </c>
    </row>
    <row r="415">
      <c r="A415" s="71" t="str">
        <f>IFERROR(__xludf.DUMMYFUNCTION("""COMPUTED_VALUE"""),"Veteran")</f>
        <v>Veteran</v>
      </c>
      <c r="B415" s="71" t="str">
        <f>IFERROR(__xludf.DUMMYFUNCTION("""COMPUTED_VALUE"""),"RSC003238")</f>
        <v>RSC003238</v>
      </c>
      <c r="C415" s="30" t="str">
        <f>IFERROR(__xludf.DUMMYFUNCTION("""COMPUTED_VALUE"""),"BanThisOne2")</f>
        <v>BanThisOne2</v>
      </c>
      <c r="D415" s="30" t="str">
        <f>IFERROR(__xludf.DUMMYFUNCTION("""COMPUTED_VALUE"""),"Rulers")</f>
        <v>Rulers</v>
      </c>
      <c r="E415" s="30">
        <f>IFERROR(__xludf.DUMMYFUNCTION("""COMPUTED_VALUE"""),48.0)</f>
        <v>48</v>
      </c>
      <c r="F415" s="30">
        <f>IFERROR(__xludf.DUMMYFUNCTION("""COMPUTED_VALUE"""),25.0)</f>
        <v>25</v>
      </c>
      <c r="G415" s="42">
        <f>IFERROR(__xludf.DUMMYFUNCTION("""COMPUTED_VALUE"""),23.0)</f>
        <v>23</v>
      </c>
      <c r="H415" s="42">
        <f>IFERROR(__xludf.DUMMYFUNCTION("""COMPUTED_VALUE"""),0.5208333333333334)</f>
        <v>0.5208333333</v>
      </c>
      <c r="I415" s="42">
        <f>IFERROR(__xludf.DUMMYFUNCTION("""COMPUTED_VALUE"""),0.3305785123966942)</f>
        <v>0.3305785124</v>
      </c>
      <c r="J415" s="30">
        <f>IFERROR(__xludf.DUMMYFUNCTION("""COMPUTED_VALUE"""),416.1458333333333)</f>
        <v>416.1458333</v>
      </c>
      <c r="K415" s="30">
        <f>IFERROR(__xludf.DUMMYFUNCTION("""COMPUTED_VALUE"""),0.8333333333333334)</f>
        <v>0.8333333333</v>
      </c>
      <c r="L415" s="30">
        <f>IFERROR(__xludf.DUMMYFUNCTION("""COMPUTED_VALUE"""),0.625)</f>
        <v>0.625</v>
      </c>
      <c r="M415" s="30">
        <f>IFERROR(__xludf.DUMMYFUNCTION("""COMPUTED_VALUE"""),2.0)</f>
        <v>2</v>
      </c>
      <c r="N415" s="30">
        <f>IFERROR(__xludf.DUMMYFUNCTION("""COMPUTED_VALUE"""),2.5208333333333335)</f>
        <v>2.520833333</v>
      </c>
      <c r="O415" s="30">
        <f>IFERROR(__xludf.DUMMYFUNCTION("""COMPUTED_VALUE"""),337.5763888888889)</f>
        <v>337.5763889</v>
      </c>
      <c r="P415" s="30">
        <f>IFERROR(__xludf.DUMMYFUNCTION("""COMPUTED_VALUE"""),0.7083333333333334)</f>
        <v>0.7083333333</v>
      </c>
      <c r="Q415" s="30">
        <f>IFERROR(__xludf.DUMMYFUNCTION("""COMPUTED_VALUE"""),0.4930555555555556)</f>
        <v>0.4930555556</v>
      </c>
      <c r="R415" s="30">
        <f>IFERROR(__xludf.DUMMYFUNCTION("""COMPUTED_VALUE"""),1.2569444444444442)</f>
        <v>1.256944444</v>
      </c>
      <c r="S415" s="30">
        <f>IFERROR(__xludf.DUMMYFUNCTION("""COMPUTED_VALUE"""),2.9166666666666665)</f>
        <v>2.916666667</v>
      </c>
      <c r="T415" s="30">
        <f>IFERROR(__xludf.DUMMYFUNCTION("""COMPUTED_VALUE"""),357.96205552078703)</f>
        <v>357.9620555</v>
      </c>
      <c r="U415" s="30">
        <f>IFERROR(__xludf.DUMMYFUNCTION("""COMPUTED_VALUE"""),0.8385833698520714)</f>
        <v>0.8385833699</v>
      </c>
      <c r="V415" s="30">
        <f>IFERROR(__xludf.DUMMYFUNCTION("""COMPUTED_VALUE"""),0.5647598613616666)</f>
        <v>0.5647598614</v>
      </c>
      <c r="W415" s="30">
        <f>IFERROR(__xludf.DUMMYFUNCTION("""COMPUTED_VALUE"""),1.3241425111719407)</f>
        <v>1.324142511</v>
      </c>
      <c r="X415" s="30">
        <f>IFERROR(__xludf.DUMMYFUNCTION("""COMPUTED_VALUE"""),2.6827554152671333)</f>
        <v>2.682755415</v>
      </c>
      <c r="Y415" s="30">
        <f>IFERROR(__xludf.DUMMYFUNCTION("""COMPUTED_VALUE"""),356.40853870138454)</f>
        <v>356.4085387</v>
      </c>
      <c r="Z415" s="30">
        <f>IFERROR(__xludf.DUMMYFUNCTION("""COMPUTED_VALUE"""),0.8042211161306717)</f>
        <v>0.8042211161</v>
      </c>
      <c r="AA415" s="30">
        <f>IFERROR(__xludf.DUMMYFUNCTION("""COMPUTED_VALUE"""),0.5927417037679049)</f>
        <v>0.5927417038</v>
      </c>
      <c r="AB415" s="30">
        <f>IFERROR(__xludf.DUMMYFUNCTION("""COMPUTED_VALUE"""),1.3689246025525794)</f>
        <v>1.368924603</v>
      </c>
      <c r="AC415" s="30">
        <f>IFERROR(__xludf.DUMMYFUNCTION("""COMPUTED_VALUE"""),2.60538439272564)</f>
        <v>2.605384393</v>
      </c>
      <c r="AD415" s="30">
        <f>IFERROR(__xludf.DUMMYFUNCTION("""COMPUTED_VALUE"""),1.167609044524041)</f>
        <v>1.167609045</v>
      </c>
      <c r="AE415" s="30">
        <f>IFERROR(__xludf.DUMMYFUNCTION("""COMPUTED_VALUE"""),1.036199269850969)</f>
        <v>1.03619927</v>
      </c>
      <c r="AF415" s="30">
        <f>IFERROR(__xludf.DUMMYFUNCTION("""COMPUTED_VALUE"""),1.0544221809044942)</f>
        <v>1.054422181</v>
      </c>
      <c r="AG415" s="30">
        <f>IFERROR(__xludf.DUMMYFUNCTION("""COMPUTED_VALUE"""),1.4610008442179205)</f>
        <v>1.461000844</v>
      </c>
      <c r="AH415" s="30">
        <f>IFERROR(__xludf.DUMMYFUNCTION("""COMPUTED_VALUE"""),0.9675475681713696)</f>
        <v>0.9675475682</v>
      </c>
      <c r="AI415" s="30">
        <f>IFERROR(__xludf.DUMMYFUNCTION("""COMPUTED_VALUE"""),0.9430507610583482)</f>
        <v>0.9430507611</v>
      </c>
      <c r="AJ415" s="30">
        <f>IFERROR(__xludf.DUMMYFUNCTION("""COMPUTED_VALUE"""),0.8446784885064982)</f>
        <v>0.8446784885</v>
      </c>
      <c r="AK415" s="30">
        <f>IFERROR(__xludf.DUMMYFUNCTION("""COMPUTED_VALUE"""),0.8730357613708098)</f>
        <v>0.8730357614</v>
      </c>
      <c r="AL415" s="30">
        <f>IFERROR(__xludf.DUMMYFUNCTION("""COMPUTED_VALUE"""),0.9492516355599652)</f>
        <v>0.9492516356</v>
      </c>
      <c r="AM415" s="30">
        <f>IFERROR(__xludf.DUMMYFUNCTION("""COMPUTED_VALUE"""),1.0871906734651924)</f>
        <v>1.087190673</v>
      </c>
      <c r="AN415" s="30">
        <f>IFERROR(__xludf.DUMMYFUNCTION("""COMPUTED_VALUE"""),1.2037672958607115)</f>
        <v>1.203767296</v>
      </c>
      <c r="AO415" s="30">
        <f>IFERROR(__xludf.DUMMYFUNCTION("""COMPUTED_VALUE"""),1.10293036778791)</f>
        <v>1.102930368</v>
      </c>
      <c r="AP415" s="30">
        <f>IFERROR(__xludf.DUMMYFUNCTION("""COMPUTED_VALUE"""),1.1243887375874333)</f>
        <v>1.124388738</v>
      </c>
      <c r="AQ415" s="30">
        <f>IFERROR(__xludf.DUMMYFUNCTION("""COMPUTED_VALUE"""),1.4782285157404884)</f>
        <v>1.478228516</v>
      </c>
      <c r="AR415" s="30">
        <f>IFERROR(__xludf.DUMMYFUNCTION("""COMPUTED_VALUE"""),0.9887509457869206)</f>
        <v>0.9887509458</v>
      </c>
      <c r="AS415" s="30">
        <f>IFERROR(__xludf.DUMMYFUNCTION("""COMPUTED_VALUE"""),106.0)</f>
        <v>106</v>
      </c>
      <c r="AT415" s="30">
        <f>IFERROR(__xludf.DUMMYFUNCTION("""COMPUTED_VALUE"""),0.5146441417017589)</f>
        <v>0.5146441417</v>
      </c>
      <c r="AU415" s="30">
        <f>IFERROR(__xludf.DUMMYFUNCTION("""COMPUTED_VALUE"""),2.2871305041067487)</f>
        <v>2.287130504</v>
      </c>
      <c r="AV415" s="32">
        <f>IFERROR(__xludf.DUMMYFUNCTION("""COMPUTED_VALUE"""),66.98369881389519)</f>
        <v>66.98369881</v>
      </c>
      <c r="AW415" s="32">
        <f>IFERROR(__xludf.DUMMYFUNCTION("""COMPUTED_VALUE"""),4.024813623054543)</f>
        <v>4.024813623</v>
      </c>
      <c r="AX415" s="32">
        <f>IFERROR(__xludf.DUMMYFUNCTION("""COMPUTED_VALUE"""),67.61149118036667)</f>
        <v>67.61149118</v>
      </c>
      <c r="AY415" s="32">
        <f>IFERROR(__xludf.DUMMYFUNCTION("""COMPUTED_VALUE"""),4.156737506396758)</f>
        <v>4.156737506</v>
      </c>
      <c r="AZ415" s="30">
        <f>IFERROR(__xludf.DUMMYFUNCTION("""COMPUTED_VALUE"""),0.13192388334221494)</f>
        <v>0.1319238833</v>
      </c>
      <c r="BA415" s="30">
        <f>IFERROR(__xludf.DUMMYFUNCTION("""COMPUTED_VALUE"""),1200.0)</f>
        <v>1200</v>
      </c>
    </row>
    <row r="416">
      <c r="A416" s="71" t="str">
        <f>IFERROR(__xludf.DUMMYFUNCTION("""COMPUTED_VALUE"""),"Veteran")</f>
        <v>Veteran</v>
      </c>
      <c r="B416" s="71" t="str">
        <f>IFERROR(__xludf.DUMMYFUNCTION("""COMPUTED_VALUE"""),"RSC003904")</f>
        <v>RSC003904</v>
      </c>
      <c r="C416" s="30" t="str">
        <f>IFERROR(__xludf.DUMMYFUNCTION("""COMPUTED_VALUE"""),"Tyyphoon454")</f>
        <v>Tyyphoon454</v>
      </c>
      <c r="D416" s="30" t="str">
        <f>IFERROR(__xludf.DUMMYFUNCTION("""COMPUTED_VALUE"""),"Giraffes")</f>
        <v>Giraffes</v>
      </c>
      <c r="E416" s="30">
        <f>IFERROR(__xludf.DUMMYFUNCTION("""COMPUTED_VALUE"""),36.0)</f>
        <v>36</v>
      </c>
      <c r="F416" s="30">
        <f>IFERROR(__xludf.DUMMYFUNCTION("""COMPUTED_VALUE"""),19.0)</f>
        <v>19</v>
      </c>
      <c r="G416" s="42">
        <f>IFERROR(__xludf.DUMMYFUNCTION("""COMPUTED_VALUE"""),17.0)</f>
        <v>17</v>
      </c>
      <c r="H416" s="42">
        <f>IFERROR(__xludf.DUMMYFUNCTION("""COMPUTED_VALUE"""),0.5277777777777778)</f>
        <v>0.5277777778</v>
      </c>
      <c r="I416" s="42">
        <f>IFERROR(__xludf.DUMMYFUNCTION("""COMPUTED_VALUE"""),0.2452830188679245)</f>
        <v>0.2452830189</v>
      </c>
      <c r="J416" s="30">
        <f>IFERROR(__xludf.DUMMYFUNCTION("""COMPUTED_VALUE"""),328.1666666666667)</f>
        <v>328.1666667</v>
      </c>
      <c r="K416" s="30">
        <f>IFERROR(__xludf.DUMMYFUNCTION("""COMPUTED_VALUE"""),0.7222222222222222)</f>
        <v>0.7222222222</v>
      </c>
      <c r="L416" s="30">
        <f>IFERROR(__xludf.DUMMYFUNCTION("""COMPUTED_VALUE"""),0.3888888888888889)</f>
        <v>0.3888888889</v>
      </c>
      <c r="M416" s="30">
        <f>IFERROR(__xludf.DUMMYFUNCTION("""COMPUTED_VALUE"""),1.4166666666666667)</f>
        <v>1.416666667</v>
      </c>
      <c r="N416" s="30">
        <f>IFERROR(__xludf.DUMMYFUNCTION("""COMPUTED_VALUE"""),2.9444444444444446)</f>
        <v>2.944444444</v>
      </c>
      <c r="O416" s="30">
        <f>IFERROR(__xludf.DUMMYFUNCTION("""COMPUTED_VALUE"""),353.50000000000006)</f>
        <v>353.5</v>
      </c>
      <c r="P416" s="30">
        <f>IFERROR(__xludf.DUMMYFUNCTION("""COMPUTED_VALUE"""),0.7870370370370371)</f>
        <v>0.787037037</v>
      </c>
      <c r="Q416" s="30">
        <f>IFERROR(__xludf.DUMMYFUNCTION("""COMPUTED_VALUE"""),0.5648148148148149)</f>
        <v>0.5648148148</v>
      </c>
      <c r="R416" s="30">
        <f>IFERROR(__xludf.DUMMYFUNCTION("""COMPUTED_VALUE"""),1.4722222222222223)</f>
        <v>1.472222222</v>
      </c>
      <c r="S416" s="30">
        <f>IFERROR(__xludf.DUMMYFUNCTION("""COMPUTED_VALUE"""),2.518518518518518)</f>
        <v>2.518518519</v>
      </c>
      <c r="T416" s="30">
        <f>IFERROR(__xludf.DUMMYFUNCTION("""COMPUTED_VALUE"""),341.39843818967927)</f>
        <v>341.3984382</v>
      </c>
      <c r="U416" s="30">
        <f>IFERROR(__xludf.DUMMYFUNCTION("""COMPUTED_VALUE"""),0.716296269279755)</f>
        <v>0.7162962693</v>
      </c>
      <c r="V416" s="30">
        <f>IFERROR(__xludf.DUMMYFUNCTION("""COMPUTED_VALUE"""),0.5488378167643476)</f>
        <v>0.5488378168</v>
      </c>
      <c r="W416" s="30">
        <f>IFERROR(__xludf.DUMMYFUNCTION("""COMPUTED_VALUE"""),1.363385938154772)</f>
        <v>1.363385938</v>
      </c>
      <c r="X416" s="30">
        <f>IFERROR(__xludf.DUMMYFUNCTION("""COMPUTED_VALUE"""),2.5088085693046502)</f>
        <v>2.508808569</v>
      </c>
      <c r="Y416" s="30">
        <f>IFERROR(__xludf.DUMMYFUNCTION("""COMPUTED_VALUE"""),355.0240816731188)</f>
        <v>355.0240817</v>
      </c>
      <c r="Z416" s="30">
        <f>IFERROR(__xludf.DUMMYFUNCTION("""COMPUTED_VALUE"""),0.7990498429820116)</f>
        <v>0.799049843</v>
      </c>
      <c r="AA416" s="30">
        <f>IFERROR(__xludf.DUMMYFUNCTION("""COMPUTED_VALUE"""),0.5844591683313142)</f>
        <v>0.5844591683</v>
      </c>
      <c r="AB416" s="30">
        <f>IFERROR(__xludf.DUMMYFUNCTION("""COMPUTED_VALUE"""),1.362885477564656)</f>
        <v>1.362885478</v>
      </c>
      <c r="AC416" s="30">
        <f>IFERROR(__xludf.DUMMYFUNCTION("""COMPUTED_VALUE"""),2.648091734975227)</f>
        <v>2.648091735</v>
      </c>
      <c r="AD416" s="30">
        <f>IFERROR(__xludf.DUMMYFUNCTION("""COMPUTED_VALUE"""),0.9243504415816487)</f>
        <v>0.9243504416</v>
      </c>
      <c r="AE416" s="30">
        <f>IFERROR(__xludf.DUMMYFUNCTION("""COMPUTED_VALUE"""),0.9038512785722191)</f>
        <v>0.9038512786</v>
      </c>
      <c r="AF416" s="30">
        <f>IFERROR(__xludf.DUMMYFUNCTION("""COMPUTED_VALUE"""),0.665382476588062)</f>
        <v>0.6653824766</v>
      </c>
      <c r="AG416" s="30">
        <f>IFERROR(__xludf.DUMMYFUNCTION("""COMPUTED_VALUE"""),1.0394612680135917)</f>
        <v>1.039461268</v>
      </c>
      <c r="AH416" s="30">
        <f>IFERROR(__xludf.DUMMYFUNCTION("""COMPUTED_VALUE"""),1.1119117988078273)</f>
        <v>1.111911799</v>
      </c>
      <c r="AI416" s="30">
        <f>IFERROR(__xludf.DUMMYFUNCTION("""COMPUTED_VALUE"""),1.0354470333094998)</f>
        <v>1.035447033</v>
      </c>
      <c r="AJ416" s="30">
        <f>IFERROR(__xludf.DUMMYFUNCTION("""COMPUTED_VALUE"""),1.098759090045817)</f>
        <v>1.09875909</v>
      </c>
      <c r="AK416" s="30">
        <f>IFERROR(__xludf.DUMMYFUNCTION("""COMPUTED_VALUE"""),1.0291105998210164)</f>
        <v>1.0291106</v>
      </c>
      <c r="AL416" s="30">
        <f>IFERROR(__xludf.DUMMYFUNCTION("""COMPUTED_VALUE"""),1.079827935012115)</f>
        <v>1.079827935</v>
      </c>
      <c r="AM416" s="30">
        <f>IFERROR(__xludf.DUMMYFUNCTION("""COMPUTED_VALUE"""),1.003870342812389)</f>
        <v>1.003870343</v>
      </c>
      <c r="AN416" s="30">
        <f>IFERROR(__xludf.DUMMYFUNCTION("""COMPUTED_VALUE"""),0.94927371436285)</f>
        <v>0.9492737144</v>
      </c>
      <c r="AO416" s="30">
        <f>IFERROR(__xludf.DUMMYFUNCTION("""COMPUTED_VALUE"""),0.9558729854161886)</f>
        <v>0.9558729854</v>
      </c>
      <c r="AP416" s="30">
        <f>IFERROR(__xludf.DUMMYFUNCTION("""COMPUTED_VALUE"""),0.6996196589432918)</f>
        <v>0.6996196589</v>
      </c>
      <c r="AQ416" s="30">
        <f>IFERROR(__xludf.DUMMYFUNCTION("""COMPUTED_VALUE"""),1.047078531982846)</f>
        <v>1.047078532</v>
      </c>
      <c r="AR416" s="30">
        <f>IFERROR(__xludf.DUMMYFUNCTION("""COMPUTED_VALUE"""),1.1549046859880285)</f>
        <v>1.154904686</v>
      </c>
      <c r="AS416" s="30">
        <f>IFERROR(__xludf.DUMMYFUNCTION("""COMPUTED_VALUE"""),85.0)</f>
        <v>85</v>
      </c>
      <c r="AT416" s="30">
        <f>IFERROR(__xludf.DUMMYFUNCTION("""COMPUTED_VALUE"""),0.5)</f>
        <v>0.5</v>
      </c>
      <c r="AU416" s="30">
        <f>IFERROR(__xludf.DUMMYFUNCTION("""COMPUTED_VALUE"""),1.5937498402053136)</f>
        <v>1.59374984</v>
      </c>
      <c r="AV416" s="32">
        <f>IFERROR(__xludf.DUMMYFUNCTION("""COMPUTED_VALUE"""),42.19388832147884)</f>
        <v>42.19388832</v>
      </c>
      <c r="AW416" s="32">
        <f>IFERROR(__xludf.DUMMYFUNCTION("""COMPUTED_VALUE"""),-2.6495163813318516)</f>
        <v>-2.649516381</v>
      </c>
      <c r="AX416" s="32">
        <f>IFERROR(__xludf.DUMMYFUNCTION("""COMPUTED_VALUE"""),41.21706536294837)</f>
        <v>41.21706536</v>
      </c>
      <c r="AY416" s="32">
        <f>IFERROR(__xludf.DUMMYFUNCTION("""COMPUTED_VALUE"""),-2.7572886208558423)</f>
        <v>-2.757288621</v>
      </c>
      <c r="AZ416" s="30">
        <f>IFERROR(__xludf.DUMMYFUNCTION("""COMPUTED_VALUE"""),0.10777223952399062)</f>
        <v>0.1077722395</v>
      </c>
      <c r="BA416" s="30">
        <f>IFERROR(__xludf.DUMMYFUNCTION("""COMPUTED_VALUE"""),1200.0)</f>
        <v>1200</v>
      </c>
    </row>
    <row r="417">
      <c r="A417" s="71" t="str">
        <f>IFERROR(__xludf.DUMMYFUNCTION("""COMPUTED_VALUE"""),"Veteran")</f>
        <v>Veteran</v>
      </c>
      <c r="B417" s="71" t="str">
        <f>IFERROR(__xludf.DUMMYFUNCTION("""COMPUTED_VALUE"""),"RSC007512")</f>
        <v>RSC007512</v>
      </c>
      <c r="C417" s="30" t="str">
        <f>IFERROR(__xludf.DUMMYFUNCTION("""COMPUTED_VALUE"""),"BigGreenRL")</f>
        <v>BigGreenRL</v>
      </c>
      <c r="D417" s="30" t="str">
        <f>IFERROR(__xludf.DUMMYFUNCTION("""COMPUTED_VALUE"""),"Banshees")</f>
        <v>Banshees</v>
      </c>
      <c r="E417" s="30">
        <f>IFERROR(__xludf.DUMMYFUNCTION("""COMPUTED_VALUE"""),44.0)</f>
        <v>44</v>
      </c>
      <c r="F417" s="30">
        <f>IFERROR(__xludf.DUMMYFUNCTION("""COMPUTED_VALUE"""),22.0)</f>
        <v>22</v>
      </c>
      <c r="G417" s="42">
        <f>IFERROR(__xludf.DUMMYFUNCTION("""COMPUTED_VALUE"""),22.0)</f>
        <v>22</v>
      </c>
      <c r="H417" s="42">
        <f>IFERROR(__xludf.DUMMYFUNCTION("""COMPUTED_VALUE"""),0.5)</f>
        <v>0.5</v>
      </c>
      <c r="I417" s="42">
        <f>IFERROR(__xludf.DUMMYFUNCTION("""COMPUTED_VALUE"""),0.3490566037735849)</f>
        <v>0.3490566038</v>
      </c>
      <c r="J417" s="30">
        <f>IFERROR(__xludf.DUMMYFUNCTION("""COMPUTED_VALUE"""),370.59090909090907)</f>
        <v>370.5909091</v>
      </c>
      <c r="K417" s="30">
        <f>IFERROR(__xludf.DUMMYFUNCTION("""COMPUTED_VALUE"""),0.8409090909090909)</f>
        <v>0.8409090909</v>
      </c>
      <c r="L417" s="30">
        <f>IFERROR(__xludf.DUMMYFUNCTION("""COMPUTED_VALUE"""),0.4090909090909091)</f>
        <v>0.4090909091</v>
      </c>
      <c r="M417" s="30">
        <f>IFERROR(__xludf.DUMMYFUNCTION("""COMPUTED_VALUE"""),1.5)</f>
        <v>1.5</v>
      </c>
      <c r="N417" s="30">
        <f>IFERROR(__xludf.DUMMYFUNCTION("""COMPUTED_VALUE"""),2.409090909090909)</f>
        <v>2.409090909</v>
      </c>
      <c r="O417" s="30">
        <f>IFERROR(__xludf.DUMMYFUNCTION("""COMPUTED_VALUE"""),323.3030303030303)</f>
        <v>323.3030303</v>
      </c>
      <c r="P417" s="30">
        <f>IFERROR(__xludf.DUMMYFUNCTION("""COMPUTED_VALUE"""),0.6893939393939396)</f>
        <v>0.6893939394</v>
      </c>
      <c r="Q417" s="30">
        <f>IFERROR(__xludf.DUMMYFUNCTION("""COMPUTED_VALUE"""),0.5151515151515152)</f>
        <v>0.5151515152</v>
      </c>
      <c r="R417" s="30">
        <f>IFERROR(__xludf.DUMMYFUNCTION("""COMPUTED_VALUE"""),1.1969696969696972)</f>
        <v>1.196969697</v>
      </c>
      <c r="S417" s="30">
        <f>IFERROR(__xludf.DUMMYFUNCTION("""COMPUTED_VALUE"""),2.5681818181818183)</f>
        <v>2.568181818</v>
      </c>
      <c r="T417" s="30">
        <f>IFERROR(__xludf.DUMMYFUNCTION("""COMPUTED_VALUE"""),353.2913462869675)</f>
        <v>353.2913463</v>
      </c>
      <c r="U417" s="30">
        <f>IFERROR(__xludf.DUMMYFUNCTION("""COMPUTED_VALUE"""),0.7939142659146815)</f>
        <v>0.7939142659</v>
      </c>
      <c r="V417" s="30">
        <f>IFERROR(__xludf.DUMMYFUNCTION("""COMPUTED_VALUE"""),0.5601599545172417)</f>
        <v>0.5601599545</v>
      </c>
      <c r="W417" s="30">
        <f>IFERROR(__xludf.DUMMYFUNCTION("""COMPUTED_VALUE"""),1.3541231953301305)</f>
        <v>1.354123195</v>
      </c>
      <c r="X417" s="30">
        <f>IFERROR(__xludf.DUMMYFUNCTION("""COMPUTED_VALUE"""),2.637822193813639)</f>
        <v>2.637822194</v>
      </c>
      <c r="Y417" s="30">
        <f>IFERROR(__xludf.DUMMYFUNCTION("""COMPUTED_VALUE"""),356.69543585446115)</f>
        <v>356.6954359</v>
      </c>
      <c r="Z417" s="30">
        <f>IFERROR(__xludf.DUMMYFUNCTION("""COMPUTED_VALUE"""),0.7957710410087168)</f>
        <v>0.795771041</v>
      </c>
      <c r="AA417" s="30">
        <f>IFERROR(__xludf.DUMMYFUNCTION("""COMPUTED_VALUE"""),0.5888274584302232)</f>
        <v>0.5888274584</v>
      </c>
      <c r="AB417" s="30">
        <f>IFERROR(__xludf.DUMMYFUNCTION("""COMPUTED_VALUE"""),1.3681289277744666)</f>
        <v>1.368128928</v>
      </c>
      <c r="AC417" s="30">
        <f>IFERROR(__xludf.DUMMYFUNCTION("""COMPUTED_VALUE"""),2.623367487822806)</f>
        <v>2.623367488</v>
      </c>
      <c r="AD417" s="30">
        <f>IFERROR(__xludf.DUMMYFUNCTION("""COMPUTED_VALUE"""),1.0389561285054332)</f>
        <v>1.038956129</v>
      </c>
      <c r="AE417" s="30">
        <f>IFERROR(__xludf.DUMMYFUNCTION("""COMPUTED_VALUE"""),1.0567224082986952)</f>
        <v>1.056722408</v>
      </c>
      <c r="AF417" s="30">
        <f>IFERROR(__xludf.DUMMYFUNCTION("""COMPUTED_VALUE"""),0.6947551498048675)</f>
        <v>0.6947551498</v>
      </c>
      <c r="AG417" s="30">
        <f>IFERROR(__xludf.DUMMYFUNCTION("""COMPUTED_VALUE"""),1.0963878985002151)</f>
        <v>1.096387899</v>
      </c>
      <c r="AH417" s="30">
        <f>IFERROR(__xludf.DUMMYFUNCTION("""COMPUTED_VALUE"""),0.9183200296083069)</f>
        <v>0.9183200296</v>
      </c>
      <c r="AI417" s="30">
        <f>IFERROR(__xludf.DUMMYFUNCTION("""COMPUTED_VALUE"""),0.9151173208766381)</f>
        <v>0.9151173209</v>
      </c>
      <c r="AJ417" s="30">
        <f>IFERROR(__xludf.DUMMYFUNCTION("""COMPUTED_VALUE"""),0.8683480937323599)</f>
        <v>0.8683480937</v>
      </c>
      <c r="AK417" s="30">
        <f>IFERROR(__xludf.DUMMYFUNCTION("""COMPUTED_VALUE"""),0.9196507372532268)</f>
        <v>0.9196507373</v>
      </c>
      <c r="AL417" s="30">
        <f>IFERROR(__xludf.DUMMYFUNCTION("""COMPUTED_VALUE"""),0.883944460221642)</f>
        <v>0.8839444602</v>
      </c>
      <c r="AM417" s="30">
        <f>IFERROR(__xludf.DUMMYFUNCTION("""COMPUTED_VALUE"""),0.9735992911898517)</f>
        <v>0.9735992912</v>
      </c>
      <c r="AN417" s="30">
        <f>IFERROR(__xludf.DUMMYFUNCTION("""COMPUTED_VALUE"""),1.0719925102544414)</f>
        <v>1.07199251</v>
      </c>
      <c r="AO417" s="30">
        <f>IFERROR(__xludf.DUMMYFUNCTION("""COMPUTED_VALUE"""),1.1129570074950728)</f>
        <v>1.112957007</v>
      </c>
      <c r="AP417" s="30">
        <f>IFERROR(__xludf.DUMMYFUNCTION("""COMPUTED_VALUE"""),0.7359635373299563)</f>
        <v>0.7359635373</v>
      </c>
      <c r="AQ417" s="30">
        <f>IFERROR(__xludf.DUMMYFUNCTION("""COMPUTED_VALUE"""),1.1086713868053664)</f>
        <v>1.108671387</v>
      </c>
      <c r="AR417" s="30">
        <f>IFERROR(__xludf.DUMMYFUNCTION("""COMPUTED_VALUE"""),0.9449220158083869)</f>
        <v>0.9449220158</v>
      </c>
      <c r="AS417" s="30">
        <f>IFERROR(__xludf.DUMMYFUNCTION("""COMPUTED_VALUE"""),104.0)</f>
        <v>104</v>
      </c>
      <c r="AT417" s="30">
        <f>IFERROR(__xludf.DUMMYFUNCTION("""COMPUTED_VALUE"""),0.5510010797685)</f>
        <v>0.5510010798</v>
      </c>
      <c r="AU417" s="30">
        <f>IFERROR(__xludf.DUMMYFUNCTION("""COMPUTED_VALUE"""),1.9194357444947787)</f>
        <v>1.919435744</v>
      </c>
      <c r="AV417" s="32">
        <f>IFERROR(__xludf.DUMMYFUNCTION("""COMPUTED_VALUE"""),53.83784130101387)</f>
        <v>53.8378413</v>
      </c>
      <c r="AW417" s="32">
        <f>IFERROR(__xludf.DUMMYFUNCTION("""COMPUTED_VALUE"""),2.2779219050073327)</f>
        <v>2.277921905</v>
      </c>
      <c r="AX417" s="32">
        <f>IFERROR(__xludf.DUMMYFUNCTION("""COMPUTED_VALUE"""),52.470473801470185)</f>
        <v>52.4704738</v>
      </c>
      <c r="AY417" s="32">
        <f>IFERROR(__xludf.DUMMYFUNCTION("""COMPUTED_VALUE"""),2.1708879098122726)</f>
        <v>2.17088791</v>
      </c>
      <c r="AZ417" s="30">
        <f>IFERROR(__xludf.DUMMYFUNCTION("""COMPUTED_VALUE"""),0.10703399519506007)</f>
        <v>0.1070339952</v>
      </c>
      <c r="BA417" s="30">
        <f>IFERROR(__xludf.DUMMYFUNCTION("""COMPUTED_VALUE"""),1200.0)</f>
        <v>1200</v>
      </c>
    </row>
    <row r="418">
      <c r="A418" s="71" t="str">
        <f>IFERROR(__xludf.DUMMYFUNCTION("""COMPUTED_VALUE"""),"Veteran")</f>
        <v>Veteran</v>
      </c>
      <c r="B418" s="71" t="str">
        <f>IFERROR(__xludf.DUMMYFUNCTION("""COMPUTED_VALUE"""),"RSC006060")</f>
        <v>RSC006060</v>
      </c>
      <c r="C418" s="30" t="str">
        <f>IFERROR(__xludf.DUMMYFUNCTION("""COMPUTED_VALUE"""),"WP_Merciless")</f>
        <v>WP_Merciless</v>
      </c>
      <c r="D418" s="30" t="str">
        <f>IFERROR(__xludf.DUMMYFUNCTION("""COMPUTED_VALUE"""),"Rulers")</f>
        <v>Rulers</v>
      </c>
      <c r="E418" s="30">
        <f>IFERROR(__xludf.DUMMYFUNCTION("""COMPUTED_VALUE"""),37.0)</f>
        <v>37</v>
      </c>
      <c r="F418" s="30">
        <f>IFERROR(__xludf.DUMMYFUNCTION("""COMPUTED_VALUE"""),17.0)</f>
        <v>17</v>
      </c>
      <c r="G418" s="42">
        <f>IFERROR(__xludf.DUMMYFUNCTION("""COMPUTED_VALUE"""),20.0)</f>
        <v>20</v>
      </c>
      <c r="H418" s="42">
        <f>IFERROR(__xludf.DUMMYFUNCTION("""COMPUTED_VALUE"""),0.4594594594594595)</f>
        <v>0.4594594595</v>
      </c>
      <c r="I418" s="42">
        <f>IFERROR(__xludf.DUMMYFUNCTION("""COMPUTED_VALUE"""),0.29126213592233013)</f>
        <v>0.2912621359</v>
      </c>
      <c r="J418" s="30">
        <f>IFERROR(__xludf.DUMMYFUNCTION("""COMPUTED_VALUE"""),379.0810810810811)</f>
        <v>379.0810811</v>
      </c>
      <c r="K418" s="30">
        <f>IFERROR(__xludf.DUMMYFUNCTION("""COMPUTED_VALUE"""),0.8108108108108109)</f>
        <v>0.8108108108</v>
      </c>
      <c r="L418" s="30">
        <f>IFERROR(__xludf.DUMMYFUNCTION("""COMPUTED_VALUE"""),0.3783783783783784)</f>
        <v>0.3783783784</v>
      </c>
      <c r="M418" s="30">
        <f>IFERROR(__xludf.DUMMYFUNCTION("""COMPUTED_VALUE"""),1.7027027027027026)</f>
        <v>1.702702703</v>
      </c>
      <c r="N418" s="30">
        <f>IFERROR(__xludf.DUMMYFUNCTION("""COMPUTED_VALUE"""),2.7837837837837838)</f>
        <v>2.783783784</v>
      </c>
      <c r="O418" s="30">
        <f>IFERROR(__xludf.DUMMYFUNCTION("""COMPUTED_VALUE"""),342.64864864864865)</f>
        <v>342.6486486</v>
      </c>
      <c r="P418" s="30">
        <f>IFERROR(__xludf.DUMMYFUNCTION("""COMPUTED_VALUE"""),0.7477477477477477)</f>
        <v>0.7477477477</v>
      </c>
      <c r="Q418" s="30">
        <f>IFERROR(__xludf.DUMMYFUNCTION("""COMPUTED_VALUE"""),0.5315315315315315)</f>
        <v>0.5315315315</v>
      </c>
      <c r="R418" s="30">
        <f>IFERROR(__xludf.DUMMYFUNCTION("""COMPUTED_VALUE"""),1.2522522522522523)</f>
        <v>1.252252252</v>
      </c>
      <c r="S418" s="30">
        <f>IFERROR(__xludf.DUMMYFUNCTION("""COMPUTED_VALUE"""),2.9369369369369376)</f>
        <v>2.936936937</v>
      </c>
      <c r="T418" s="30">
        <f>IFERROR(__xludf.DUMMYFUNCTION("""COMPUTED_VALUE"""),360.2608687267358)</f>
        <v>360.2608687</v>
      </c>
      <c r="U418" s="30">
        <f>IFERROR(__xludf.DUMMYFUNCTION("""COMPUTED_VALUE"""),0.8534523179403982)</f>
        <v>0.8534523179</v>
      </c>
      <c r="V418" s="30">
        <f>IFERROR(__xludf.DUMMYFUNCTION("""COMPUTED_VALUE"""),0.5751723990969103)</f>
        <v>0.5751723991</v>
      </c>
      <c r="W418" s="30">
        <f>IFERROR(__xludf.DUMMYFUNCTION("""COMPUTED_VALUE"""),1.3129559321970796)</f>
        <v>1.312955932</v>
      </c>
      <c r="X418" s="30">
        <f>IFERROR(__xludf.DUMMYFUNCTION("""COMPUTED_VALUE"""),2.723097306655406)</f>
        <v>2.723097307</v>
      </c>
      <c r="Y418" s="30">
        <f>IFERROR(__xludf.DUMMYFUNCTION("""COMPUTED_VALUE"""),355.0338839764305)</f>
        <v>355.033884</v>
      </c>
      <c r="Z418" s="30">
        <f>IFERROR(__xludf.DUMMYFUNCTION("""COMPUTED_VALUE"""),0.7924778006641505)</f>
        <v>0.7924778007</v>
      </c>
      <c r="AA418" s="30">
        <f>IFERROR(__xludf.DUMMYFUNCTION("""COMPUTED_VALUE"""),0.5766859517514027)</f>
        <v>0.5766859518</v>
      </c>
      <c r="AB418" s="30">
        <f>IFERROR(__xludf.DUMMYFUNCTION("""COMPUTED_VALUE"""),1.3906804169577314)</f>
        <v>1.390680417</v>
      </c>
      <c r="AC418" s="30">
        <f>IFERROR(__xludf.DUMMYFUNCTION("""COMPUTED_VALUE"""),2.5874652543304237)</f>
        <v>2.587465254</v>
      </c>
      <c r="AD418" s="30">
        <f>IFERROR(__xludf.DUMMYFUNCTION("""COMPUTED_VALUE"""),1.067732118510263)</f>
        <v>1.067732119</v>
      </c>
      <c r="AE418" s="30">
        <f>IFERROR(__xludf.DUMMYFUNCTION("""COMPUTED_VALUE"""),1.0231337838502177)</f>
        <v>1.023133784</v>
      </c>
      <c r="AF418" s="30">
        <f>IFERROR(__xludf.DUMMYFUNCTION("""COMPUTED_VALUE"""),0.6561255345812368)</f>
        <v>0.6561255346</v>
      </c>
      <c r="AG418" s="30">
        <f>IFERROR(__xludf.DUMMYFUNCTION("""COMPUTED_VALUE"""),1.224366635166658)</f>
        <v>1.224366635</v>
      </c>
      <c r="AH418" s="30">
        <f>IFERROR(__xludf.DUMMYFUNCTION("""COMPUTED_VALUE"""),1.075872914283505)</f>
        <v>1.075872914</v>
      </c>
      <c r="AI418" s="30">
        <f>IFERROR(__xludf.DUMMYFUNCTION("""COMPUTED_VALUE"""),0.951112591993869)</f>
        <v>0.951112592</v>
      </c>
      <c r="AJ418" s="30">
        <f>IFERROR(__xludf.DUMMYFUNCTION("""COMPUTED_VALUE"""),0.8761447265762391)</f>
        <v>0.8761447266</v>
      </c>
      <c r="AK418" s="30">
        <f>IFERROR(__xludf.DUMMYFUNCTION("""COMPUTED_VALUE"""),0.9241255880256073)</f>
        <v>0.924125588</v>
      </c>
      <c r="AL418" s="30">
        <f>IFERROR(__xludf.DUMMYFUNCTION("""COMPUTED_VALUE"""),0.9537656379348188)</f>
        <v>0.9537656379</v>
      </c>
      <c r="AM418" s="30">
        <f>IFERROR(__xludf.DUMMYFUNCTION("""COMPUTED_VALUE"""),1.0785280899653844)</f>
        <v>1.07852809</v>
      </c>
      <c r="AN418" s="30">
        <f>IFERROR(__xludf.DUMMYFUNCTION("""COMPUTED_VALUE"""),1.0965516685094643)</f>
        <v>1.096551669</v>
      </c>
      <c r="AO418" s="30">
        <f>IFERROR(__xludf.DUMMYFUNCTION("""COMPUTED_VALUE"""),1.0731214389287773)</f>
        <v>1.073121439</v>
      </c>
      <c r="AP418" s="30">
        <f>IFERROR(__xludf.DUMMYFUNCTION("""COMPUTED_VALUE"""),0.680711019512392)</f>
        <v>0.6807110195</v>
      </c>
      <c r="AQ418" s="30">
        <f>IFERROR(__xludf.DUMMYFUNCTION("""COMPUTED_VALUE"""),1.2584918444817672)</f>
        <v>1.258491844</v>
      </c>
      <c r="AR418" s="30">
        <f>IFERROR(__xludf.DUMMYFUNCTION("""COMPUTED_VALUE"""),1.091888469057524)</f>
        <v>1.091888469</v>
      </c>
      <c r="AS418" s="30">
        <f>IFERROR(__xludf.DUMMYFUNCTION("""COMPUTED_VALUE"""),72.0)</f>
        <v>72</v>
      </c>
      <c r="AT418" s="30">
        <f>IFERROR(__xludf.DUMMYFUNCTION("""COMPUTED_VALUE"""),0.4465862967676571)</f>
        <v>0.4465862968</v>
      </c>
      <c r="AU418" s="30">
        <f>IFERROR(__xludf.DUMMYFUNCTION("""COMPUTED_VALUE"""),1.9291679813279838)</f>
        <v>1.929167981</v>
      </c>
      <c r="AV418" s="32">
        <f>IFERROR(__xludf.DUMMYFUNCTION("""COMPUTED_VALUE"""),54.18578914456199)</f>
        <v>54.18578914</v>
      </c>
      <c r="AW418" s="32">
        <f>IFERROR(__xludf.DUMMYFUNCTION("""COMPUTED_VALUE"""),2.306723954331884)</f>
        <v>2.306723954</v>
      </c>
      <c r="AX418" s="32">
        <f>IFERROR(__xludf.DUMMYFUNCTION("""COMPUTED_VALUE"""),55.28408015697411)</f>
        <v>55.28408016</v>
      </c>
      <c r="AY418" s="32">
        <f>IFERROR(__xludf.DUMMYFUNCTION("""COMPUTED_VALUE"""),2.402102708606409)</f>
        <v>2.402102709</v>
      </c>
      <c r="AZ418" s="30">
        <f>IFERROR(__xludf.DUMMYFUNCTION("""COMPUTED_VALUE"""),0.0953787542745248)</f>
        <v>0.09537875427</v>
      </c>
      <c r="BA418" s="30">
        <f>IFERROR(__xludf.DUMMYFUNCTION("""COMPUTED_VALUE"""),1200.0)</f>
        <v>1200</v>
      </c>
    </row>
    <row r="419">
      <c r="A419" s="71" t="str">
        <f>IFERROR(__xludf.DUMMYFUNCTION("""COMPUTED_VALUE"""),"Veteran")</f>
        <v>Veteran</v>
      </c>
      <c r="B419" s="71" t="str">
        <f>IFERROR(__xludf.DUMMYFUNCTION("""COMPUTED_VALUE"""),"RSC005758")</f>
        <v>RSC005758</v>
      </c>
      <c r="C419" s="30" t="str">
        <f>IFERROR(__xludf.DUMMYFUNCTION("""COMPUTED_VALUE"""),"ghostsynn.")</f>
        <v>ghostsynn.</v>
      </c>
      <c r="D419" s="30" t="str">
        <f>IFERROR(__xludf.DUMMYFUNCTION("""COMPUTED_VALUE"""),"Typhoons")</f>
        <v>Typhoons</v>
      </c>
      <c r="E419" s="30">
        <f>IFERROR(__xludf.DUMMYFUNCTION("""COMPUTED_VALUE"""),37.0)</f>
        <v>37</v>
      </c>
      <c r="F419" s="30">
        <f>IFERROR(__xludf.DUMMYFUNCTION("""COMPUTED_VALUE"""),25.0)</f>
        <v>25</v>
      </c>
      <c r="G419" s="42">
        <f>IFERROR(__xludf.DUMMYFUNCTION("""COMPUTED_VALUE"""),12.0)</f>
        <v>12</v>
      </c>
      <c r="H419" s="42">
        <f>IFERROR(__xludf.DUMMYFUNCTION("""COMPUTED_VALUE"""),0.6756756756756757)</f>
        <v>0.6756756757</v>
      </c>
      <c r="I419" s="42">
        <f>IFERROR(__xludf.DUMMYFUNCTION("""COMPUTED_VALUE"""),0.2777777777777778)</f>
        <v>0.2777777778</v>
      </c>
      <c r="J419" s="30">
        <f>IFERROR(__xludf.DUMMYFUNCTION("""COMPUTED_VALUE"""),377.6756756756757)</f>
        <v>377.6756757</v>
      </c>
      <c r="K419" s="30">
        <f>IFERROR(__xludf.DUMMYFUNCTION("""COMPUTED_VALUE"""),0.8108108108108109)</f>
        <v>0.8108108108</v>
      </c>
      <c r="L419" s="30">
        <f>IFERROR(__xludf.DUMMYFUNCTION("""COMPUTED_VALUE"""),0.5675675675675675)</f>
        <v>0.5675675676</v>
      </c>
      <c r="M419" s="30">
        <f>IFERROR(__xludf.DUMMYFUNCTION("""COMPUTED_VALUE"""),1.4864864864864864)</f>
        <v>1.486486486</v>
      </c>
      <c r="N419" s="30">
        <f>IFERROR(__xludf.DUMMYFUNCTION("""COMPUTED_VALUE"""),2.918918918918919)</f>
        <v>2.918918919</v>
      </c>
      <c r="O419" s="30">
        <f>IFERROR(__xludf.DUMMYFUNCTION("""COMPUTED_VALUE"""),332.8378378378378)</f>
        <v>332.8378378</v>
      </c>
      <c r="P419" s="30">
        <f>IFERROR(__xludf.DUMMYFUNCTION("""COMPUTED_VALUE"""),0.5945945945945946)</f>
        <v>0.5945945946</v>
      </c>
      <c r="Q419" s="30">
        <f>IFERROR(__xludf.DUMMYFUNCTION("""COMPUTED_VALUE"""),0.4864864864864865)</f>
        <v>0.4864864865</v>
      </c>
      <c r="R419" s="30">
        <f>IFERROR(__xludf.DUMMYFUNCTION("""COMPUTED_VALUE"""),1.4774774774774777)</f>
        <v>1.477477477</v>
      </c>
      <c r="S419" s="30">
        <f>IFERROR(__xludf.DUMMYFUNCTION("""COMPUTED_VALUE"""),2.18018018018018)</f>
        <v>2.18018018</v>
      </c>
      <c r="T419" s="30">
        <f>IFERROR(__xludf.DUMMYFUNCTION("""COMPUTED_VALUE"""),349.5655777387164)</f>
        <v>349.5655777</v>
      </c>
      <c r="U419" s="30">
        <f>IFERROR(__xludf.DUMMYFUNCTION("""COMPUTED_VALUE"""),0.7535720252555863)</f>
        <v>0.7535720253</v>
      </c>
      <c r="V419" s="30">
        <f>IFERROR(__xludf.DUMMYFUNCTION("""COMPUTED_VALUE"""),0.5789362356957336)</f>
        <v>0.5789362357</v>
      </c>
      <c r="W419" s="30">
        <f>IFERROR(__xludf.DUMMYFUNCTION("""COMPUTED_VALUE"""),1.3369754853172275)</f>
        <v>1.336975485</v>
      </c>
      <c r="X419" s="30">
        <f>IFERROR(__xludf.DUMMYFUNCTION("""COMPUTED_VALUE"""),2.6116447249875607)</f>
        <v>2.611644725</v>
      </c>
      <c r="Y419" s="30">
        <f>IFERROR(__xludf.DUMMYFUNCTION("""COMPUTED_VALUE"""),360.8119620913998)</f>
        <v>360.8119621</v>
      </c>
      <c r="Z419" s="30">
        <f>IFERROR(__xludf.DUMMYFUNCTION("""COMPUTED_VALUE"""),0.7902620549364591)</f>
        <v>0.7902620549</v>
      </c>
      <c r="AA419" s="30">
        <f>IFERROR(__xludf.DUMMYFUNCTION("""COMPUTED_VALUE"""),0.5859014119819415)</f>
        <v>0.585901412</v>
      </c>
      <c r="AB419" s="30">
        <f>IFERROR(__xludf.DUMMYFUNCTION("""COMPUTED_VALUE"""),1.4362396225773417)</f>
        <v>1.436239623</v>
      </c>
      <c r="AC419" s="30">
        <f>IFERROR(__xludf.DUMMYFUNCTION("""COMPUTED_VALUE"""),2.6102210125460568)</f>
        <v>2.610221013</v>
      </c>
      <c r="AD419" s="30">
        <f>IFERROR(__xludf.DUMMYFUNCTION("""COMPUTED_VALUE"""),1.0467382330855317)</f>
        <v>1.046738233</v>
      </c>
      <c r="AE419" s="30">
        <f>IFERROR(__xludf.DUMMYFUNCTION("""COMPUTED_VALUE"""),1.026002457977062)</f>
        <v>1.026002458</v>
      </c>
      <c r="AF419" s="30">
        <f>IFERROR(__xludf.DUMMYFUNCTION("""COMPUTED_VALUE"""),0.9687083116042414)</f>
        <v>0.9687083116</v>
      </c>
      <c r="AG419" s="30">
        <f>IFERROR(__xludf.DUMMYFUNCTION("""COMPUTED_VALUE"""),1.0349850144218806)</f>
        <v>1.034985014</v>
      </c>
      <c r="AH419" s="30">
        <f>IFERROR(__xludf.DUMMYFUNCTION("""COMPUTED_VALUE"""),1.1182650453310667)</f>
        <v>1.118265045</v>
      </c>
      <c r="AI419" s="30">
        <f>IFERROR(__xludf.DUMMYFUNCTION("""COMPUTED_VALUE"""),0.9521470620503093)</f>
        <v>0.9521470621</v>
      </c>
      <c r="AJ419" s="30">
        <f>IFERROR(__xludf.DUMMYFUNCTION("""COMPUTED_VALUE"""),0.7890348562142128)</f>
        <v>0.7890348562</v>
      </c>
      <c r="AK419" s="30">
        <f>IFERROR(__xludf.DUMMYFUNCTION("""COMPUTED_VALUE"""),0.8403109988474878)</f>
        <v>0.8403109988</v>
      </c>
      <c r="AL419" s="30">
        <f>IFERROR(__xludf.DUMMYFUNCTION("""COMPUTED_VALUE"""),1.1050894303622276)</f>
        <v>1.10508943</v>
      </c>
      <c r="AM419" s="30">
        <f>IFERROR(__xludf.DUMMYFUNCTION("""COMPUTED_VALUE"""),0.8347920217940686)</f>
        <v>0.8347920218</v>
      </c>
      <c r="AN419" s="30">
        <f>IFERROR(__xludf.DUMMYFUNCTION("""COMPUTED_VALUE"""),1.0924863122594648)</f>
        <v>1.092486312</v>
      </c>
      <c r="AO419" s="30">
        <f>IFERROR(__xludf.DUMMYFUNCTION("""COMPUTED_VALUE"""),1.0731214389287773)</f>
        <v>1.073121439</v>
      </c>
      <c r="AP419" s="30">
        <f>IFERROR(__xludf.DUMMYFUNCTION("""COMPUTED_VALUE"""),1.0210665292685879)</f>
        <v>1.021066529</v>
      </c>
      <c r="AQ419" s="30">
        <f>IFERROR(__xludf.DUMMYFUNCTION("""COMPUTED_VALUE"""),1.0986833562936063)</f>
        <v>1.098683356</v>
      </c>
      <c r="AR419" s="30">
        <f>IFERROR(__xludf.DUMMYFUNCTION("""COMPUTED_VALUE"""),1.1448927636719668)</f>
        <v>1.144892764</v>
      </c>
      <c r="AS419" s="30">
        <f>IFERROR(__xludf.DUMMYFUNCTION("""COMPUTED_VALUE"""),95.0)</f>
        <v>95</v>
      </c>
      <c r="AT419" s="30">
        <f>IFERROR(__xludf.DUMMYFUNCTION("""COMPUTED_VALUE"""),0.6354010358461346)</f>
        <v>0.6354010358</v>
      </c>
      <c r="AU419" s="30">
        <f>IFERROR(__xludf.DUMMYFUNCTION("""COMPUTED_VALUE"""),2.299750469467294)</f>
        <v>2.299750469</v>
      </c>
      <c r="AV419" s="32">
        <f>IFERROR(__xludf.DUMMYFUNCTION("""COMPUTED_VALUE"""),67.43488899844473)</f>
        <v>67.434889</v>
      </c>
      <c r="AW419" s="32">
        <f>IFERROR(__xludf.DUMMYFUNCTION("""COMPUTED_VALUE"""),4.118995477230054)</f>
        <v>4.118995477</v>
      </c>
      <c r="AX419" s="32">
        <f>IFERROR(__xludf.DUMMYFUNCTION("""COMPUTED_VALUE"""),67.06190759500885)</f>
        <v>67.0619076</v>
      </c>
      <c r="AY419" s="32">
        <f>IFERROR(__xludf.DUMMYFUNCTION("""COMPUTED_VALUE"""),4.040911632297035)</f>
        <v>4.040911632</v>
      </c>
      <c r="AZ419" s="30">
        <f>IFERROR(__xludf.DUMMYFUNCTION("""COMPUTED_VALUE"""),0.07808384493301901)</f>
        <v>0.07808384493</v>
      </c>
      <c r="BA419" s="30">
        <f>IFERROR(__xludf.DUMMYFUNCTION("""COMPUTED_VALUE"""),1200.0)</f>
        <v>1200</v>
      </c>
    </row>
    <row r="420">
      <c r="A420" s="71" t="str">
        <f>IFERROR(__xludf.DUMMYFUNCTION("""COMPUTED_VALUE"""),"Veteran")</f>
        <v>Veteran</v>
      </c>
      <c r="B420" s="71" t="str">
        <f>IFERROR(__xludf.DUMMYFUNCTION("""COMPUTED_VALUE"""),"RSC006290")</f>
        <v>RSC006290</v>
      </c>
      <c r="C420" s="30" t="str">
        <f>IFERROR(__xludf.DUMMYFUNCTION("""COMPUTED_VALUE"""),"Dirt D Dan")</f>
        <v>Dirt D Dan</v>
      </c>
      <c r="D420" s="30" t="str">
        <f>IFERROR(__xludf.DUMMYFUNCTION("""COMPUTED_VALUE"""),"Blacksmiths")</f>
        <v>Blacksmiths</v>
      </c>
      <c r="E420" s="30">
        <f>IFERROR(__xludf.DUMMYFUNCTION("""COMPUTED_VALUE"""),48.0)</f>
        <v>48</v>
      </c>
      <c r="F420" s="30">
        <f>IFERROR(__xludf.DUMMYFUNCTION("""COMPUTED_VALUE"""),23.0)</f>
        <v>23</v>
      </c>
      <c r="G420" s="42">
        <f>IFERROR(__xludf.DUMMYFUNCTION("""COMPUTED_VALUE"""),25.0)</f>
        <v>25</v>
      </c>
      <c r="H420" s="42">
        <f>IFERROR(__xludf.DUMMYFUNCTION("""COMPUTED_VALUE"""),0.4791666666666667)</f>
        <v>0.4791666667</v>
      </c>
      <c r="I420" s="42">
        <f>IFERROR(__xludf.DUMMYFUNCTION("""COMPUTED_VALUE"""),0.2713178294573643)</f>
        <v>0.2713178295</v>
      </c>
      <c r="J420" s="30">
        <f>IFERROR(__xludf.DUMMYFUNCTION("""COMPUTED_VALUE"""),352.9375)</f>
        <v>352.9375</v>
      </c>
      <c r="K420" s="30">
        <f>IFERROR(__xludf.DUMMYFUNCTION("""COMPUTED_VALUE"""),0.7291666666666666)</f>
        <v>0.7291666667</v>
      </c>
      <c r="L420" s="30">
        <f>IFERROR(__xludf.DUMMYFUNCTION("""COMPUTED_VALUE"""),0.5416666666666666)</f>
        <v>0.5416666667</v>
      </c>
      <c r="M420" s="30">
        <f>IFERROR(__xludf.DUMMYFUNCTION("""COMPUTED_VALUE"""),1.2708333333333333)</f>
        <v>1.270833333</v>
      </c>
      <c r="N420" s="30">
        <f>IFERROR(__xludf.DUMMYFUNCTION("""COMPUTED_VALUE"""),2.6875)</f>
        <v>2.6875</v>
      </c>
      <c r="O420" s="30">
        <f>IFERROR(__xludf.DUMMYFUNCTION("""COMPUTED_VALUE"""),373.4097222222222)</f>
        <v>373.4097222</v>
      </c>
      <c r="P420" s="30">
        <f>IFERROR(__xludf.DUMMYFUNCTION("""COMPUTED_VALUE"""),0.8055555555555555)</f>
        <v>0.8055555556</v>
      </c>
      <c r="Q420" s="30">
        <f>IFERROR(__xludf.DUMMYFUNCTION("""COMPUTED_VALUE"""),0.6666666666666669)</f>
        <v>0.6666666667</v>
      </c>
      <c r="R420" s="30">
        <f>IFERROR(__xludf.DUMMYFUNCTION("""COMPUTED_VALUE"""),1.5069444444444444)</f>
        <v>1.506944444</v>
      </c>
      <c r="S420" s="30">
        <f>IFERROR(__xludf.DUMMYFUNCTION("""COMPUTED_VALUE"""),2.611111111111111)</f>
        <v>2.611111111</v>
      </c>
      <c r="T420" s="30">
        <f>IFERROR(__xludf.DUMMYFUNCTION("""COMPUTED_VALUE"""),357.02123896102694)</f>
        <v>357.021239</v>
      </c>
      <c r="U420" s="30">
        <f>IFERROR(__xludf.DUMMYFUNCTION("""COMPUTED_VALUE"""),0.7919311933489458)</f>
        <v>0.7919311933</v>
      </c>
      <c r="V420" s="30">
        <f>IFERROR(__xludf.DUMMYFUNCTION("""COMPUTED_VALUE"""),0.6092822948703255)</f>
        <v>0.6092822949</v>
      </c>
      <c r="W420" s="30">
        <f>IFERROR(__xludf.DUMMYFUNCTION("""COMPUTED_VALUE"""),1.3943947876416338)</f>
        <v>1.394394788</v>
      </c>
      <c r="X420" s="30">
        <f>IFERROR(__xludf.DUMMYFUNCTION("""COMPUTED_VALUE"""),2.6457339781647913)</f>
        <v>2.645733978</v>
      </c>
      <c r="Y420" s="30">
        <f>IFERROR(__xludf.DUMMYFUNCTION("""COMPUTED_VALUE"""),352.06825424350615)</f>
        <v>352.0682542</v>
      </c>
      <c r="Z420" s="30">
        <f>IFERROR(__xludf.DUMMYFUNCTION("""COMPUTED_VALUE"""),0.7970016630555768)</f>
        <v>0.7970016631</v>
      </c>
      <c r="AA420" s="30">
        <f>IFERROR(__xludf.DUMMYFUNCTION("""COMPUTED_VALUE"""),0.5664475992793223)</f>
        <v>0.5664475993</v>
      </c>
      <c r="AB420" s="30">
        <f>IFERROR(__xludf.DUMMYFUNCTION("""COMPUTED_VALUE"""),1.3392497398649674)</f>
        <v>1.33924974</v>
      </c>
      <c r="AC420" s="30">
        <f>IFERROR(__xludf.DUMMYFUNCTION("""COMPUTED_VALUE"""),2.6258586041192054)</f>
        <v>2.625858604</v>
      </c>
      <c r="AD420" s="30">
        <f>IFERROR(__xludf.DUMMYFUNCTION("""COMPUTED_VALUE"""),1.0024689694285605)</f>
        <v>1.002468969</v>
      </c>
      <c r="AE420" s="30">
        <f>IFERROR(__xludf.DUMMYFUNCTION("""COMPUTED_VALUE"""),0.9148872586678908)</f>
        <v>0.9148872587</v>
      </c>
      <c r="AF420" s="30">
        <f>IFERROR(__xludf.DUMMYFUNCTION("""COMPUTED_VALUE"""),0.9562520299420743)</f>
        <v>0.9562520299</v>
      </c>
      <c r="AG420" s="30">
        <f>IFERROR(__xludf.DUMMYFUNCTION("""COMPUTED_VALUE"""),0.9489143775838759)</f>
        <v>0.9489143776</v>
      </c>
      <c r="AH420" s="30">
        <f>IFERROR(__xludf.DUMMYFUNCTION("""COMPUTED_VALUE"""),1.023474758231116)</f>
        <v>1.023474758</v>
      </c>
      <c r="AI420" s="30">
        <f>IFERROR(__xludf.DUMMYFUNCTION("""COMPUTED_VALUE"""),1.0459033846526544)</f>
        <v>1.045903385</v>
      </c>
      <c r="AJ420" s="30">
        <f>IFERROR(__xludf.DUMMYFUNCTION("""COMPUTED_VALUE"""),1.0172039721645443)</f>
        <v>1.017203972</v>
      </c>
      <c r="AK420" s="30">
        <f>IFERROR(__xludf.DUMMYFUNCTION("""COMPUTED_VALUE"""),1.0941835537967743)</f>
        <v>1.094183554</v>
      </c>
      <c r="AL420" s="30">
        <f>IFERROR(__xludf.DUMMYFUNCTION("""COMPUTED_VALUE"""),1.0807157756184445)</f>
        <v>1.080715776</v>
      </c>
      <c r="AM420" s="30">
        <f>IFERROR(__xludf.DUMMYFUNCTION("""COMPUTED_VALUE"""),0.9869137005687563)</f>
        <v>0.9869137006</v>
      </c>
      <c r="AN420" s="30">
        <f>IFERROR(__xludf.DUMMYFUNCTION("""COMPUTED_VALUE"""),1.0209272470175876)</f>
        <v>1.020927247</v>
      </c>
      <c r="AO420" s="30">
        <f>IFERROR(__xludf.DUMMYFUNCTION("""COMPUTED_VALUE"""),0.9650640718144211)</f>
        <v>0.9650640718</v>
      </c>
      <c r="AP420" s="30">
        <f>IFERROR(__xludf.DUMMYFUNCTION("""COMPUTED_VALUE"""),0.974470239242442)</f>
        <v>0.9744702392</v>
      </c>
      <c r="AQ420" s="30">
        <f>IFERROR(__xludf.DUMMYFUNCTION("""COMPUTED_VALUE"""),0.9392910360434353)</f>
        <v>0.939291036</v>
      </c>
      <c r="AR420" s="30">
        <f>IFERROR(__xludf.DUMMYFUNCTION("""COMPUTED_VALUE"""),1.0541229091447335)</f>
        <v>1.054122909</v>
      </c>
      <c r="AS420" s="30">
        <f>IFERROR(__xludf.DUMMYFUNCTION("""COMPUTED_VALUE"""),116.0)</f>
        <v>116</v>
      </c>
      <c r="AT420" s="30">
        <f>IFERROR(__xludf.DUMMYFUNCTION("""COMPUTED_VALUE"""),0.5)</f>
        <v>0.5</v>
      </c>
      <c r="AU420" s="30">
        <f>IFERROR(__xludf.DUMMYFUNCTION("""COMPUTED_VALUE"""),1.8078172681171207)</f>
        <v>1.807817268</v>
      </c>
      <c r="AV420" s="32">
        <f>IFERROR(__xludf.DUMMYFUNCTION("""COMPUTED_VALUE"""),49.84724707058732)</f>
        <v>49.84724707</v>
      </c>
      <c r="AW420" s="32">
        <f>IFERROR(__xludf.DUMMYFUNCTION("""COMPUTED_VALUE"""),-2.009798042458325)</f>
        <v>-2.009798042</v>
      </c>
      <c r="AX420" s="32">
        <f>IFERROR(__xludf.DUMMYFUNCTION("""COMPUTED_VALUE"""),49.05225599891442)</f>
        <v>49.052256</v>
      </c>
      <c r="AY420" s="32">
        <f>IFERROR(__xludf.DUMMYFUNCTION("""COMPUTED_VALUE"""),-2.0623667304153996)</f>
        <v>-2.06236673</v>
      </c>
      <c r="AZ420" s="30">
        <f>IFERROR(__xludf.DUMMYFUNCTION("""COMPUTED_VALUE"""),0.05256868795707481)</f>
        <v>0.05256868796</v>
      </c>
      <c r="BA420" s="30">
        <f>IFERROR(__xludf.DUMMYFUNCTION("""COMPUTED_VALUE"""),1200.0)</f>
        <v>1200</v>
      </c>
    </row>
    <row r="421">
      <c r="A421" s="71" t="str">
        <f>IFERROR(__xludf.DUMMYFUNCTION("""COMPUTED_VALUE"""),"Veteran")</f>
        <v>Veteran</v>
      </c>
      <c r="B421" s="71" t="str">
        <f>IFERROR(__xludf.DUMMYFUNCTION("""COMPUTED_VALUE"""),"RSC007954")</f>
        <v>RSC007954</v>
      </c>
      <c r="C421" s="30" t="str">
        <f>IFERROR(__xludf.DUMMYFUNCTION("""COMPUTED_VALUE"""),"Killer")</f>
        <v>Killer</v>
      </c>
      <c r="D421" s="30" t="str">
        <f>IFERROR(__xludf.DUMMYFUNCTION("""COMPUTED_VALUE"""),"Makos")</f>
        <v>Makos</v>
      </c>
      <c r="E421" s="30">
        <f>IFERROR(__xludf.DUMMYFUNCTION("""COMPUTED_VALUE"""),44.0)</f>
        <v>44</v>
      </c>
      <c r="F421" s="30">
        <f>IFERROR(__xludf.DUMMYFUNCTION("""COMPUTED_VALUE"""),23.0)</f>
        <v>23</v>
      </c>
      <c r="G421" s="42">
        <f>IFERROR(__xludf.DUMMYFUNCTION("""COMPUTED_VALUE"""),21.0)</f>
        <v>21</v>
      </c>
      <c r="H421" s="42">
        <f>IFERROR(__xludf.DUMMYFUNCTION("""COMPUTED_VALUE"""),0.5227272727272727)</f>
        <v>0.5227272727</v>
      </c>
      <c r="I421" s="42">
        <f>IFERROR(__xludf.DUMMYFUNCTION("""COMPUTED_VALUE"""),0.2248062015503876)</f>
        <v>0.2248062016</v>
      </c>
      <c r="J421" s="30">
        <f>IFERROR(__xludf.DUMMYFUNCTION("""COMPUTED_VALUE"""),386.45454545454544)</f>
        <v>386.4545455</v>
      </c>
      <c r="K421" s="30">
        <f>IFERROR(__xludf.DUMMYFUNCTION("""COMPUTED_VALUE"""),0.6590909090909091)</f>
        <v>0.6590909091</v>
      </c>
      <c r="L421" s="30">
        <f>IFERROR(__xludf.DUMMYFUNCTION("""COMPUTED_VALUE"""),0.6818181818181818)</f>
        <v>0.6818181818</v>
      </c>
      <c r="M421" s="30">
        <f>IFERROR(__xludf.DUMMYFUNCTION("""COMPUTED_VALUE"""),1.6363636363636365)</f>
        <v>1.636363636</v>
      </c>
      <c r="N421" s="30">
        <f>IFERROR(__xludf.DUMMYFUNCTION("""COMPUTED_VALUE"""),2.9318181818181817)</f>
        <v>2.931818182</v>
      </c>
      <c r="O421" s="30">
        <f>IFERROR(__xludf.DUMMYFUNCTION("""COMPUTED_VALUE"""),364.96969696969694)</f>
        <v>364.969697</v>
      </c>
      <c r="P421" s="30">
        <f>IFERROR(__xludf.DUMMYFUNCTION("""COMPUTED_VALUE"""),0.8030303030303031)</f>
        <v>0.803030303</v>
      </c>
      <c r="Q421" s="30">
        <f>IFERROR(__xludf.DUMMYFUNCTION("""COMPUTED_VALUE"""),0.5909090909090909)</f>
        <v>0.5909090909</v>
      </c>
      <c r="R421" s="30">
        <f>IFERROR(__xludf.DUMMYFUNCTION("""COMPUTED_VALUE"""),1.4696969696969702)</f>
        <v>1.46969697</v>
      </c>
      <c r="S421" s="30">
        <f>IFERROR(__xludf.DUMMYFUNCTION("""COMPUTED_VALUE"""),2.5909090909090904)</f>
        <v>2.590909091</v>
      </c>
      <c r="T421" s="30">
        <f>IFERROR(__xludf.DUMMYFUNCTION("""COMPUTED_VALUE"""),362.9186638165492)</f>
        <v>362.9186638</v>
      </c>
      <c r="U421" s="30">
        <f>IFERROR(__xludf.DUMMYFUNCTION("""COMPUTED_VALUE"""),0.8505726807520002)</f>
        <v>0.8505726808</v>
      </c>
      <c r="V421" s="30">
        <f>IFERROR(__xludf.DUMMYFUNCTION("""COMPUTED_VALUE"""),0.6112858781705214)</f>
        <v>0.6112858782</v>
      </c>
      <c r="W421" s="30">
        <f>IFERROR(__xludf.DUMMYFUNCTION("""COMPUTED_VALUE"""),1.3438405425280342)</f>
        <v>1.343840543</v>
      </c>
      <c r="X421" s="30">
        <f>IFERROR(__xludf.DUMMYFUNCTION("""COMPUTED_VALUE"""),2.791508077110549)</f>
        <v>2.791508077</v>
      </c>
      <c r="Y421" s="30">
        <f>IFERROR(__xludf.DUMMYFUNCTION("""COMPUTED_VALUE"""),357.21153191535416)</f>
        <v>357.2115319</v>
      </c>
      <c r="Z421" s="30">
        <f>IFERROR(__xludf.DUMMYFUNCTION("""COMPUTED_VALUE"""),0.7721194386467907)</f>
        <v>0.7721194386</v>
      </c>
      <c r="AA421" s="30">
        <f>IFERROR(__xludf.DUMMYFUNCTION("""COMPUTED_VALUE"""),0.5843762091295319)</f>
        <v>0.5843762091</v>
      </c>
      <c r="AB421" s="30">
        <f>IFERROR(__xludf.DUMMYFUNCTION("""COMPUTED_VALUE"""),1.4235980004565023)</f>
        <v>1.423598</v>
      </c>
      <c r="AC421" s="30">
        <f>IFERROR(__xludf.DUMMYFUNCTION("""COMPUTED_VALUE"""),2.5732043775147555)</f>
        <v>2.573204378</v>
      </c>
      <c r="AD421" s="30">
        <f>IFERROR(__xludf.DUMMYFUNCTION("""COMPUTED_VALUE"""),1.0818646961994518)</f>
        <v>1.081864696</v>
      </c>
      <c r="AE421" s="30">
        <f>IFERROR(__xludf.DUMMYFUNCTION("""COMPUTED_VALUE"""),0.8536126356901798)</f>
        <v>0.8536126357</v>
      </c>
      <c r="AF421" s="30">
        <f>IFERROR(__xludf.DUMMYFUNCTION("""COMPUTED_VALUE"""),1.1667452767007682)</f>
        <v>1.166745277</v>
      </c>
      <c r="AG421" s="30">
        <f>IFERROR(__xludf.DUMMYFUNCTION("""COMPUTED_VALUE"""),1.1494562621181732)</f>
        <v>1.149456262</v>
      </c>
      <c r="AH421" s="30">
        <f>IFERROR(__xludf.DUMMYFUNCTION("""COMPUTED_VALUE"""),1.1393646798665023)</f>
        <v>1.13936468</v>
      </c>
      <c r="AI421" s="30">
        <f>IFERROR(__xludf.DUMMYFUNCTION("""COMPUTED_VALUE"""),1.005651495383507)</f>
        <v>1.005651495</v>
      </c>
      <c r="AJ421" s="30">
        <f>IFERROR(__xludf.DUMMYFUNCTION("""COMPUTED_VALUE"""),0.9441054494253631)</f>
        <v>0.9441054494</v>
      </c>
      <c r="AK421" s="30">
        <f>IFERROR(__xludf.DUMMYFUNCTION("""COMPUTED_VALUE"""),0.9666656993248154)</f>
        <v>0.9666656993</v>
      </c>
      <c r="AL421" s="30">
        <f>IFERROR(__xludf.DUMMYFUNCTION("""COMPUTED_VALUE"""),1.0936542864915912)</f>
        <v>1.093654286</v>
      </c>
      <c r="AM421" s="30">
        <f>IFERROR(__xludf.DUMMYFUNCTION("""COMPUTED_VALUE"""),0.9281395644718694)</f>
        <v>0.9281395645</v>
      </c>
      <c r="AN421" s="30">
        <f>IFERROR(__xludf.DUMMYFUNCTION("""COMPUTED_VALUE"""),1.1178805742896185)</f>
        <v>1.117880574</v>
      </c>
      <c r="AO421" s="30">
        <f>IFERROR(__xludf.DUMMYFUNCTION("""COMPUTED_VALUE"""),0.8723176545231651)</f>
        <v>0.8723176545</v>
      </c>
      <c r="AP421" s="30">
        <f>IFERROR(__xludf.DUMMYFUNCTION("""COMPUTED_VALUE"""),1.226605895549927)</f>
        <v>1.226605896</v>
      </c>
      <c r="AQ421" s="30">
        <f>IFERROR(__xludf.DUMMYFUNCTION("""COMPUTED_VALUE"""),1.2094596946967633)</f>
        <v>1.209459695</v>
      </c>
      <c r="AR421" s="30">
        <f>IFERROR(__xludf.DUMMYFUNCTION("""COMPUTED_VALUE"""),1.1499522645215272)</f>
        <v>1.149952265</v>
      </c>
      <c r="AS421" s="30">
        <f>IFERROR(__xludf.DUMMYFUNCTION("""COMPUTED_VALUE"""),104.0)</f>
        <v>104</v>
      </c>
      <c r="AT421" s="30">
        <f>IFERROR(__xludf.DUMMYFUNCTION("""COMPUTED_VALUE"""),0.4925429397413972)</f>
        <v>0.4925429397</v>
      </c>
      <c r="AU421" s="30">
        <f>IFERROR(__xludf.DUMMYFUNCTION("""COMPUTED_VALUE"""),2.1370938893157643)</f>
        <v>2.137093889</v>
      </c>
      <c r="AV421" s="32">
        <f>IFERROR(__xludf.DUMMYFUNCTION("""COMPUTED_VALUE"""),61.619575697648486)</f>
        <v>61.6195757</v>
      </c>
      <c r="AW421" s="32">
        <f>IFERROR(__xludf.DUMMYFUNCTION("""COMPUTED_VALUE"""),3.1148434539988816)</f>
        <v>3.114843454</v>
      </c>
      <c r="AX421" s="32">
        <f>IFERROR(__xludf.DUMMYFUNCTION("""COMPUTED_VALUE"""),61.25517529821803)</f>
        <v>61.2551753</v>
      </c>
      <c r="AY421" s="32">
        <f>IFERROR(__xludf.DUMMYFUNCTION("""COMPUTED_VALUE"""),3.064846728476741)</f>
        <v>3.064846728</v>
      </c>
      <c r="AZ421" s="30">
        <f>IFERROR(__xludf.DUMMYFUNCTION("""COMPUTED_VALUE"""),0.04999672552214074)</f>
        <v>0.04999672552</v>
      </c>
      <c r="BA421" s="30">
        <f>IFERROR(__xludf.DUMMYFUNCTION("""COMPUTED_VALUE"""),1200.0)</f>
        <v>1200</v>
      </c>
    </row>
    <row r="422">
      <c r="A422" s="71" t="str">
        <f>IFERROR(__xludf.DUMMYFUNCTION("""COMPUTED_VALUE"""),"Veteran")</f>
        <v>Veteran</v>
      </c>
      <c r="B422" s="71" t="str">
        <f>IFERROR(__xludf.DUMMYFUNCTION("""COMPUTED_VALUE"""),"RSC007383")</f>
        <v>RSC007383</v>
      </c>
      <c r="C422" s="30" t="str">
        <f>IFERROR(__xludf.DUMMYFUNCTION("""COMPUTED_VALUE"""),"ttv. blestbb")</f>
        <v>ttv. blestbb</v>
      </c>
      <c r="D422" s="30" t="str">
        <f>IFERROR(__xludf.DUMMYFUNCTION("""COMPUTED_VALUE"""),"Gouda Gangsters")</f>
        <v>Gouda Gangsters</v>
      </c>
      <c r="E422" s="30">
        <f>IFERROR(__xludf.DUMMYFUNCTION("""COMPUTED_VALUE"""),34.0)</f>
        <v>34</v>
      </c>
      <c r="F422" s="30">
        <f>IFERROR(__xludf.DUMMYFUNCTION("""COMPUTED_VALUE"""),14.0)</f>
        <v>14</v>
      </c>
      <c r="G422" s="42">
        <f>IFERROR(__xludf.DUMMYFUNCTION("""COMPUTED_VALUE"""),20.0)</f>
        <v>20</v>
      </c>
      <c r="H422" s="42">
        <f>IFERROR(__xludf.DUMMYFUNCTION("""COMPUTED_VALUE"""),0.4117647058823529)</f>
        <v>0.4117647059</v>
      </c>
      <c r="I422" s="42">
        <f>IFERROR(__xludf.DUMMYFUNCTION("""COMPUTED_VALUE"""),0.25)</f>
        <v>0.25</v>
      </c>
      <c r="J422" s="30">
        <f>IFERROR(__xludf.DUMMYFUNCTION("""COMPUTED_VALUE"""),354.47058823529414)</f>
        <v>354.4705882</v>
      </c>
      <c r="K422" s="30">
        <f>IFERROR(__xludf.DUMMYFUNCTION("""COMPUTED_VALUE"""),0.7352941176470589)</f>
        <v>0.7352941176</v>
      </c>
      <c r="L422" s="30">
        <f>IFERROR(__xludf.DUMMYFUNCTION("""COMPUTED_VALUE"""),0.6470588235294118)</f>
        <v>0.6470588235</v>
      </c>
      <c r="M422" s="30">
        <f>IFERROR(__xludf.DUMMYFUNCTION("""COMPUTED_VALUE"""),1.3235294117647058)</f>
        <v>1.323529412</v>
      </c>
      <c r="N422" s="30">
        <f>IFERROR(__xludf.DUMMYFUNCTION("""COMPUTED_VALUE"""),2.9411764705882355)</f>
        <v>2.941176471</v>
      </c>
      <c r="O422" s="30">
        <f>IFERROR(__xludf.DUMMYFUNCTION("""COMPUTED_VALUE"""),371.9509803921569)</f>
        <v>371.9509804</v>
      </c>
      <c r="P422" s="30">
        <f>IFERROR(__xludf.DUMMYFUNCTION("""COMPUTED_VALUE"""),0.911764705882353)</f>
        <v>0.9117647059</v>
      </c>
      <c r="Q422" s="30">
        <f>IFERROR(__xludf.DUMMYFUNCTION("""COMPUTED_VALUE"""),0.6960784313725491)</f>
        <v>0.6960784314</v>
      </c>
      <c r="R422" s="30">
        <f>IFERROR(__xludf.DUMMYFUNCTION("""COMPUTED_VALUE"""),1.3137254901960784)</f>
        <v>1.31372549</v>
      </c>
      <c r="S422" s="30">
        <f>IFERROR(__xludf.DUMMYFUNCTION("""COMPUTED_VALUE"""),2.4901960784313726)</f>
        <v>2.490196078</v>
      </c>
      <c r="T422" s="30">
        <f>IFERROR(__xludf.DUMMYFUNCTION("""COMPUTED_VALUE"""),361.3508834419908)</f>
        <v>361.3508834</v>
      </c>
      <c r="U422" s="30">
        <f>IFERROR(__xludf.DUMMYFUNCTION("""COMPUTED_VALUE"""),0.8307367752654065)</f>
        <v>0.8307367753</v>
      </c>
      <c r="V422" s="30">
        <f>IFERROR(__xludf.DUMMYFUNCTION("""COMPUTED_VALUE"""),0.5855743707723404)</f>
        <v>0.5855743708</v>
      </c>
      <c r="W422" s="30">
        <f>IFERROR(__xludf.DUMMYFUNCTION("""COMPUTED_VALUE"""),1.3488045812542229)</f>
        <v>1.348804581</v>
      </c>
      <c r="X422" s="30">
        <f>IFERROR(__xludf.DUMMYFUNCTION("""COMPUTED_VALUE"""),2.7772592355051717)</f>
        <v>2.777259236</v>
      </c>
      <c r="Y422" s="30">
        <f>IFERROR(__xludf.DUMMYFUNCTION("""COMPUTED_VALUE"""),357.6616483651741)</f>
        <v>357.6616484</v>
      </c>
      <c r="Z422" s="30">
        <f>IFERROR(__xludf.DUMMYFUNCTION("""COMPUTED_VALUE"""),0.7950583952626149)</f>
        <v>0.7950583953</v>
      </c>
      <c r="AA422" s="30">
        <f>IFERROR(__xludf.DUMMYFUNCTION("""COMPUTED_VALUE"""),0.5842872948537124)</f>
        <v>0.5842872949</v>
      </c>
      <c r="AB422" s="30">
        <f>IFERROR(__xludf.DUMMYFUNCTION("""COMPUTED_VALUE"""),1.4157655287587168)</f>
        <v>1.415765529</v>
      </c>
      <c r="AC422" s="30">
        <f>IFERROR(__xludf.DUMMYFUNCTION("""COMPUTED_VALUE"""),2.580305113057196)</f>
        <v>2.580305113</v>
      </c>
      <c r="AD422" s="30">
        <f>IFERROR(__xludf.DUMMYFUNCTION("""COMPUTED_VALUE"""),0.9910779918829267)</f>
        <v>0.9910779919</v>
      </c>
      <c r="AE422" s="30">
        <f>IFERROR(__xludf.DUMMYFUNCTION("""COMPUTED_VALUE"""),0.9248303294806222)</f>
        <v>0.9248303295</v>
      </c>
      <c r="AF422" s="30">
        <f>IFERROR(__xludf.DUMMYFUNCTION("""COMPUTED_VALUE"""),1.1074326435446717)</f>
        <v>1.107432644</v>
      </c>
      <c r="AG422" s="30">
        <f>IFERROR(__xludf.DUMMYFUNCTION("""COMPUTED_VALUE"""),0.9348507114204994)</f>
        <v>0.9348507114</v>
      </c>
      <c r="AH422" s="30">
        <f>IFERROR(__xludf.DUMMYFUNCTION("""COMPUTED_VALUE"""),1.1398560796957349)</f>
        <v>1.13985608</v>
      </c>
      <c r="AI422" s="30">
        <f>IFERROR(__xludf.DUMMYFUNCTION("""COMPUTED_VALUE"""),1.0293346368748197)</f>
        <v>1.029334637</v>
      </c>
      <c r="AJ422" s="30">
        <f>IFERROR(__xludf.DUMMYFUNCTION("""COMPUTED_VALUE"""),1.0975374306633525)</f>
        <v>1.097537431</v>
      </c>
      <c r="AK422" s="30">
        <f>IFERROR(__xludf.DUMMYFUNCTION("""COMPUTED_VALUE"""),1.1887105483364306)</f>
        <v>1.188710548</v>
      </c>
      <c r="AL422" s="30">
        <f>IFERROR(__xludf.DUMMYFUNCTION("""COMPUTED_VALUE"""),0.9739924585476087)</f>
        <v>0.9739924585</v>
      </c>
      <c r="AM422" s="30">
        <f>IFERROR(__xludf.DUMMYFUNCTION("""COMPUTED_VALUE"""),0.8966379683236219)</f>
        <v>0.8966379683</v>
      </c>
      <c r="AN422" s="30">
        <f>IFERROR(__xludf.DUMMYFUNCTION("""COMPUTED_VALUE"""),1.0253619459416008)</f>
        <v>1.025361946</v>
      </c>
      <c r="AO422" s="30">
        <f>IFERROR(__xludf.DUMMYFUNCTION("""COMPUTED_VALUE"""),0.9731738539305088)</f>
        <v>0.9731738539</v>
      </c>
      <c r="AP422" s="30">
        <f>IFERROR(__xludf.DUMMYFUNCTION("""COMPUTED_VALUE"""),1.164073045972872)</f>
        <v>1.164073046</v>
      </c>
      <c r="AQ422" s="30">
        <f>IFERROR(__xludf.DUMMYFUNCTION("""COMPUTED_VALUE"""),0.9782394589459115)</f>
        <v>0.9782394589</v>
      </c>
      <c r="AR422" s="30">
        <f>IFERROR(__xludf.DUMMYFUNCTION("""COMPUTED_VALUE"""),1.153622882784934)</f>
        <v>1.153622883</v>
      </c>
      <c r="AS422" s="30">
        <f>IFERROR(__xludf.DUMMYFUNCTION("""COMPUTED_VALUE"""),82.0)</f>
        <v>82</v>
      </c>
      <c r="AT422" s="30">
        <f>IFERROR(__xludf.DUMMYFUNCTION("""COMPUTED_VALUE"""),0.44980623634902445)</f>
        <v>0.4498062363</v>
      </c>
      <c r="AU422" s="30">
        <f>IFERROR(__xludf.DUMMYFUNCTION("""COMPUTED_VALUE"""),1.9677764317425668)</f>
        <v>1.967776432</v>
      </c>
      <c r="AV422" s="32">
        <f>IFERROR(__xludf.DUMMYFUNCTION("""COMPUTED_VALUE"""),55.56612208289067)</f>
        <v>55.56612208</v>
      </c>
      <c r="AW422" s="32">
        <f>IFERROR(__xludf.DUMMYFUNCTION("""COMPUTED_VALUE"""),2.4277386584544143)</f>
        <v>2.427738658</v>
      </c>
      <c r="AX422" s="32">
        <f>IFERROR(__xludf.DUMMYFUNCTION("""COMPUTED_VALUE"""),56.02653190833201)</f>
        <v>56.02653191</v>
      </c>
      <c r="AY422" s="32">
        <f>IFERROR(__xludf.DUMMYFUNCTION("""COMPUTED_VALUE"""),2.4706376303441546)</f>
        <v>2.47063763</v>
      </c>
      <c r="AZ422" s="30">
        <f>IFERROR(__xludf.DUMMYFUNCTION("""COMPUTED_VALUE"""),0.042898971889740345)</f>
        <v>0.04289897189</v>
      </c>
      <c r="BA422" s="30">
        <f>IFERROR(__xludf.DUMMYFUNCTION("""COMPUTED_VALUE"""),1200.0)</f>
        <v>1200</v>
      </c>
    </row>
    <row r="423">
      <c r="A423" s="71" t="str">
        <f>IFERROR(__xludf.DUMMYFUNCTION("""COMPUTED_VALUE"""),"Veteran")</f>
        <v>Veteran</v>
      </c>
      <c r="B423" s="71" t="str">
        <f>IFERROR(__xludf.DUMMYFUNCTION("""COMPUTED_VALUE"""),"RSC007856")</f>
        <v>RSC007856</v>
      </c>
      <c r="C423" s="30" t="str">
        <f>IFERROR(__xludf.DUMMYFUNCTION("""COMPUTED_VALUE"""),"Captain Daddy")</f>
        <v>Captain Daddy</v>
      </c>
      <c r="D423" s="30" t="str">
        <f>IFERROR(__xludf.DUMMYFUNCTION("""COMPUTED_VALUE"""),"Repossessed")</f>
        <v>Repossessed</v>
      </c>
      <c r="E423" s="30">
        <f>IFERROR(__xludf.DUMMYFUNCTION("""COMPUTED_VALUE"""),36.0)</f>
        <v>36</v>
      </c>
      <c r="F423" s="30">
        <f>IFERROR(__xludf.DUMMYFUNCTION("""COMPUTED_VALUE"""),19.0)</f>
        <v>19</v>
      </c>
      <c r="G423" s="42">
        <f>IFERROR(__xludf.DUMMYFUNCTION("""COMPUTED_VALUE"""),17.0)</f>
        <v>17</v>
      </c>
      <c r="H423" s="42">
        <f>IFERROR(__xludf.DUMMYFUNCTION("""COMPUTED_VALUE"""),0.5277777777777778)</f>
        <v>0.5277777778</v>
      </c>
      <c r="I423" s="42">
        <f>IFERROR(__xludf.DUMMYFUNCTION("""COMPUTED_VALUE"""),0.3033707865168539)</f>
        <v>0.3033707865</v>
      </c>
      <c r="J423" s="30">
        <f>IFERROR(__xludf.DUMMYFUNCTION("""COMPUTED_VALUE"""),377.69444444444446)</f>
        <v>377.6944444</v>
      </c>
      <c r="K423" s="30">
        <f>IFERROR(__xludf.DUMMYFUNCTION("""COMPUTED_VALUE"""),0.75)</f>
        <v>0.75</v>
      </c>
      <c r="L423" s="30">
        <f>IFERROR(__xludf.DUMMYFUNCTION("""COMPUTED_VALUE"""),0.6388888888888888)</f>
        <v>0.6388888889</v>
      </c>
      <c r="M423" s="30">
        <f>IFERROR(__xludf.DUMMYFUNCTION("""COMPUTED_VALUE"""),1.6388888888888888)</f>
        <v>1.638888889</v>
      </c>
      <c r="N423" s="30">
        <f>IFERROR(__xludf.DUMMYFUNCTION("""COMPUTED_VALUE"""),2.4722222222222223)</f>
        <v>2.472222222</v>
      </c>
      <c r="O423" s="30">
        <f>IFERROR(__xludf.DUMMYFUNCTION("""COMPUTED_VALUE"""),329.47222222222223)</f>
        <v>329.4722222</v>
      </c>
      <c r="P423" s="30">
        <f>IFERROR(__xludf.DUMMYFUNCTION("""COMPUTED_VALUE"""),0.648148148148148)</f>
        <v>0.6481481481</v>
      </c>
      <c r="Q423" s="30">
        <f>IFERROR(__xludf.DUMMYFUNCTION("""COMPUTED_VALUE"""),0.45370370370370366)</f>
        <v>0.4537037037</v>
      </c>
      <c r="R423" s="30">
        <f>IFERROR(__xludf.DUMMYFUNCTION("""COMPUTED_VALUE"""),1.3518518518518516)</f>
        <v>1.351851852</v>
      </c>
      <c r="S423" s="30">
        <f>IFERROR(__xludf.DUMMYFUNCTION("""COMPUTED_VALUE"""),2.444444444444444)</f>
        <v>2.444444444</v>
      </c>
      <c r="T423" s="30">
        <f>IFERROR(__xludf.DUMMYFUNCTION("""COMPUTED_VALUE"""),347.30620823706545)</f>
        <v>347.3062082</v>
      </c>
      <c r="U423" s="30">
        <f>IFERROR(__xludf.DUMMYFUNCTION("""COMPUTED_VALUE"""),0.7569957123852785)</f>
        <v>0.7569957124</v>
      </c>
      <c r="V423" s="30">
        <f>IFERROR(__xludf.DUMMYFUNCTION("""COMPUTED_VALUE"""),0.5370473755064755)</f>
        <v>0.5370473755</v>
      </c>
      <c r="W423" s="30">
        <f>IFERROR(__xludf.DUMMYFUNCTION("""COMPUTED_VALUE"""),1.3564619627291263)</f>
        <v>1.356461963</v>
      </c>
      <c r="X423" s="30">
        <f>IFERROR(__xludf.DUMMYFUNCTION("""COMPUTED_VALUE"""),2.55983659473466)</f>
        <v>2.559836595</v>
      </c>
      <c r="Y423" s="30">
        <f>IFERROR(__xludf.DUMMYFUNCTION("""COMPUTED_VALUE"""),347.11683545198986)</f>
        <v>347.1168355</v>
      </c>
      <c r="Z423" s="30">
        <f>IFERROR(__xludf.DUMMYFUNCTION("""COMPUTED_VALUE"""),0.7314855498687801)</f>
        <v>0.7314855499</v>
      </c>
      <c r="AA423" s="30">
        <f>IFERROR(__xludf.DUMMYFUNCTION("""COMPUTED_VALUE"""),0.5435603931737301)</f>
        <v>0.5435603932</v>
      </c>
      <c r="AB423" s="30">
        <f>IFERROR(__xludf.DUMMYFUNCTION("""COMPUTED_VALUE"""),1.381239893412613)</f>
        <v>1.381239893</v>
      </c>
      <c r="AC423" s="30">
        <f>IFERROR(__xludf.DUMMYFUNCTION("""COMPUTED_VALUE"""),2.5083366647486995)</f>
        <v>2.508336665</v>
      </c>
      <c r="AD423" s="30">
        <f>IFERROR(__xludf.DUMMYFUNCTION("""COMPUTED_VALUE"""),1.088090250513602)</f>
        <v>1.088090251</v>
      </c>
      <c r="AE423" s="30">
        <f>IFERROR(__xludf.DUMMYFUNCTION("""COMPUTED_VALUE"""),1.0253107530757664)</f>
        <v>1.025310753</v>
      </c>
      <c r="AF423" s="30">
        <f>IFERROR(__xludf.DUMMYFUNCTION("""COMPUTED_VALUE"""),1.1753779284001113)</f>
        <v>1.175377928</v>
      </c>
      <c r="AG423" s="30">
        <f>IFERROR(__xludf.DUMMYFUNCTION("""COMPUTED_VALUE"""),1.1865345742655213)</f>
        <v>1.186534574</v>
      </c>
      <c r="AH423" s="30">
        <f>IFERROR(__xludf.DUMMYFUNCTION("""COMPUTED_VALUE"""),0.985602234726296)</f>
        <v>0.9856022347</v>
      </c>
      <c r="AI423" s="30">
        <f>IFERROR(__xludf.DUMMYFUNCTION("""COMPUTED_VALUE"""),0.9486505406702375)</f>
        <v>0.9486505407</v>
      </c>
      <c r="AJ423" s="30">
        <f>IFERROR(__xludf.DUMMYFUNCTION("""COMPUTED_VALUE"""),0.8562111218646749)</f>
        <v>0.8562111219</v>
      </c>
      <c r="AK423" s="30">
        <f>IFERROR(__xludf.DUMMYFUNCTION("""COMPUTED_VALUE"""),0.8448113227921976)</f>
        <v>0.8448113228</v>
      </c>
      <c r="AL423" s="30">
        <f>IFERROR(__xludf.DUMMYFUNCTION("""COMPUTED_VALUE"""),0.9966013710638819)</f>
        <v>0.9966013711</v>
      </c>
      <c r="AM423" s="30">
        <f>IFERROR(__xludf.DUMMYFUNCTION("""COMPUTED_VALUE"""),0.9549220639600331)</f>
        <v>0.954922064</v>
      </c>
      <c r="AN423" s="30">
        <f>IFERROR(__xludf.DUMMYFUNCTION("""COMPUTED_VALUE"""),1.0925406038760515)</f>
        <v>1.092540604</v>
      </c>
      <c r="AO423" s="30">
        <f>IFERROR(__xludf.DUMMYFUNCTION("""COMPUTED_VALUE"""),0.992637331009119)</f>
        <v>0.992637331</v>
      </c>
      <c r="AP423" s="30">
        <f>IFERROR(__xludf.DUMMYFUNCTION("""COMPUTED_VALUE"""),1.1493751539782648)</f>
        <v>1.149375154</v>
      </c>
      <c r="AQ423" s="30">
        <f>IFERROR(__xludf.DUMMYFUNCTION("""COMPUTED_VALUE"""),1.2113261448429002)</f>
        <v>1.211326145</v>
      </c>
      <c r="AR423" s="30">
        <f>IFERROR(__xludf.DUMMYFUNCTION("""COMPUTED_VALUE"""),0.9696841231408918)</f>
        <v>0.9696841231</v>
      </c>
      <c r="AS423" s="30">
        <f>IFERROR(__xludf.DUMMYFUNCTION("""COMPUTED_VALUE"""),82.0)</f>
        <v>82</v>
      </c>
      <c r="AT423" s="30">
        <f>IFERROR(__xludf.DUMMYFUNCTION("""COMPUTED_VALUE"""),0.5595221247758837)</f>
        <v>0.5595221248</v>
      </c>
      <c r="AU423" s="30">
        <f>IFERROR(__xludf.DUMMYFUNCTION("""COMPUTED_VALUE"""),2.221952647955513)</f>
        <v>2.221952648</v>
      </c>
      <c r="AV423" s="32">
        <f>IFERROR(__xludf.DUMMYFUNCTION("""COMPUTED_VALUE"""),64.65345399108776)</f>
        <v>64.65345399</v>
      </c>
      <c r="AW423" s="32">
        <f>IFERROR(__xludf.DUMMYFUNCTION("""COMPUTED_VALUE"""),3.5856258916182133)</f>
        <v>3.585625892</v>
      </c>
      <c r="AX423" s="32">
        <f>IFERROR(__xludf.DUMMYFUNCTION("""COMPUTED_VALUE"""),64.5551033773275)</f>
        <v>64.55510338</v>
      </c>
      <c r="AY423" s="32">
        <f>IFERROR(__xludf.DUMMYFUNCTION("""COMPUTED_VALUE"""),3.568693496730625)</f>
        <v>3.568693497</v>
      </c>
      <c r="AZ423" s="30">
        <f>IFERROR(__xludf.DUMMYFUNCTION("""COMPUTED_VALUE"""),0.01693239488758813)</f>
        <v>0.01693239489</v>
      </c>
      <c r="BA423" s="30">
        <f>IFERROR(__xludf.DUMMYFUNCTION("""COMPUTED_VALUE"""),1200.0)</f>
        <v>1200</v>
      </c>
    </row>
    <row r="424">
      <c r="A424" s="71" t="str">
        <f>IFERROR(__xludf.DUMMYFUNCTION("""COMPUTED_VALUE"""),"Rival")</f>
        <v>Rival</v>
      </c>
      <c r="B424" s="71" t="str">
        <f>IFERROR(__xludf.DUMMYFUNCTION("""COMPUTED_VALUE"""),"RSC007035")</f>
        <v>RSC007035</v>
      </c>
      <c r="C424" s="30" t="str">
        <f>IFERROR(__xludf.DUMMYFUNCTION("""COMPUTED_VALUE"""),"itzsmurfyy")</f>
        <v>itzsmurfyy</v>
      </c>
      <c r="D424" s="30" t="str">
        <f>IFERROR(__xludf.DUMMYFUNCTION("""COMPUTED_VALUE"""),"Hue Heroes")</f>
        <v>Hue Heroes</v>
      </c>
      <c r="E424" s="30">
        <f>IFERROR(__xludf.DUMMYFUNCTION("""COMPUTED_VALUE"""),3.0)</f>
        <v>3</v>
      </c>
      <c r="F424" s="30">
        <f>IFERROR(__xludf.DUMMYFUNCTION("""COMPUTED_VALUE"""),0.0)</f>
        <v>0</v>
      </c>
      <c r="G424" s="42">
        <f>IFERROR(__xludf.DUMMYFUNCTION("""COMPUTED_VALUE"""),3.0)</f>
        <v>3</v>
      </c>
      <c r="H424" s="42">
        <f>IFERROR(__xludf.DUMMYFUNCTION("""COMPUTED_VALUE"""),0.0)</f>
        <v>0</v>
      </c>
      <c r="I424" s="42">
        <f>IFERROR(__xludf.DUMMYFUNCTION("""COMPUTED_VALUE"""),0.0)</f>
        <v>0</v>
      </c>
      <c r="J424" s="30">
        <f>IFERROR(__xludf.DUMMYFUNCTION("""COMPUTED_VALUE"""),190.33333333333334)</f>
        <v>190.3333333</v>
      </c>
      <c r="K424" s="30">
        <f>IFERROR(__xludf.DUMMYFUNCTION("""COMPUTED_VALUE"""),0.0)</f>
        <v>0</v>
      </c>
      <c r="L424" s="30">
        <f>IFERROR(__xludf.DUMMYFUNCTION("""COMPUTED_VALUE"""),0.0)</f>
        <v>0</v>
      </c>
      <c r="M424" s="30">
        <f>IFERROR(__xludf.DUMMYFUNCTION("""COMPUTED_VALUE"""),1.3333333333333333)</f>
        <v>1.333333333</v>
      </c>
      <c r="N424" s="30">
        <f>IFERROR(__xludf.DUMMYFUNCTION("""COMPUTED_VALUE"""),2.0)</f>
        <v>2</v>
      </c>
      <c r="O424" s="30">
        <f>IFERROR(__xludf.DUMMYFUNCTION("""COMPUTED_VALUE"""),430.5555555555556)</f>
        <v>430.5555556</v>
      </c>
      <c r="P424" s="30">
        <f>IFERROR(__xludf.DUMMYFUNCTION("""COMPUTED_VALUE"""),1.111111111111111)</f>
        <v>1.111111111</v>
      </c>
      <c r="Q424" s="30">
        <f>IFERROR(__xludf.DUMMYFUNCTION("""COMPUTED_VALUE"""),0.8888888888888888)</f>
        <v>0.8888888889</v>
      </c>
      <c r="R424" s="30">
        <f>IFERROR(__xludf.DUMMYFUNCTION("""COMPUTED_VALUE"""),1.6666666666666667)</f>
        <v>1.666666667</v>
      </c>
      <c r="S424" s="30">
        <f>IFERROR(__xludf.DUMMYFUNCTION("""COMPUTED_VALUE"""),3.0)</f>
        <v>3</v>
      </c>
      <c r="T424" s="30">
        <f>IFERROR(__xludf.DUMMYFUNCTION("""COMPUTED_VALUE"""),373.99809218559216)</f>
        <v>373.9980922</v>
      </c>
      <c r="U424" s="30">
        <f>IFERROR(__xludf.DUMMYFUNCTION("""COMPUTED_VALUE"""),0.9286375661375662)</f>
        <v>0.9286375661</v>
      </c>
      <c r="V424" s="30">
        <f>IFERROR(__xludf.DUMMYFUNCTION("""COMPUTED_VALUE"""),0.7337962962962963)</f>
        <v>0.7337962963</v>
      </c>
      <c r="W424" s="30">
        <f>IFERROR(__xludf.DUMMYFUNCTION("""COMPUTED_VALUE"""),1.3162087912087912)</f>
        <v>1.316208791</v>
      </c>
      <c r="X424" s="30">
        <f>IFERROR(__xludf.DUMMYFUNCTION("""COMPUTED_VALUE"""),2.7800722425722424)</f>
        <v>2.780072243</v>
      </c>
      <c r="Y424" s="30">
        <f>IFERROR(__xludf.DUMMYFUNCTION("""COMPUTED_VALUE"""),333.1120709537376)</f>
        <v>333.112071</v>
      </c>
      <c r="Z424" s="30">
        <f>IFERROR(__xludf.DUMMYFUNCTION("""COMPUTED_VALUE"""),0.6651760276760276)</f>
        <v>0.6651760277</v>
      </c>
      <c r="AA424" s="30">
        <f>IFERROR(__xludf.DUMMYFUNCTION("""COMPUTED_VALUE"""),0.48218525301858634)</f>
        <v>0.482185253</v>
      </c>
      <c r="AB424" s="30">
        <f>IFERROR(__xludf.DUMMYFUNCTION("""COMPUTED_VALUE"""),1.3898419481752817)</f>
        <v>1.389841948</v>
      </c>
      <c r="AC424" s="30">
        <f>IFERROR(__xludf.DUMMYFUNCTION("""COMPUTED_VALUE"""),2.4779320987654327)</f>
        <v>2.477932099</v>
      </c>
      <c r="AD424" s="30">
        <f>IFERROR(__xludf.DUMMYFUNCTION("""COMPUTED_VALUE"""),0.5713792742135926)</f>
        <v>0.5713792742</v>
      </c>
      <c r="AE424" s="30">
        <f>IFERROR(__xludf.DUMMYFUNCTION("""COMPUTED_VALUE"""),0.0)</f>
        <v>0</v>
      </c>
      <c r="AF424" s="30">
        <f>IFERROR(__xludf.DUMMYFUNCTION("""COMPUTED_VALUE"""),0.0)</f>
        <v>0</v>
      </c>
      <c r="AG424" s="30">
        <f>IFERROR(__xludf.DUMMYFUNCTION("""COMPUTED_VALUE"""),0.9593416971504289)</f>
        <v>0.9593416972</v>
      </c>
      <c r="AH424" s="30">
        <f>IFERROR(__xludf.DUMMYFUNCTION("""COMPUTED_VALUE"""),0.8071246185464281)</f>
        <v>0.8071246185</v>
      </c>
      <c r="AI424" s="30">
        <f>IFERROR(__xludf.DUMMYFUNCTION("""COMPUTED_VALUE"""),1.151223935500445)</f>
        <v>1.151223936</v>
      </c>
      <c r="AJ424" s="30">
        <f>IFERROR(__xludf.DUMMYFUNCTION("""COMPUTED_VALUE"""),1.1964959760700802)</f>
        <v>1.196495976</v>
      </c>
      <c r="AK424" s="30">
        <f>IFERROR(__xludf.DUMMYFUNCTION("""COMPUTED_VALUE"""),1.2113564668769716)</f>
        <v>1.211356467</v>
      </c>
      <c r="AL424" s="30">
        <f>IFERROR(__xludf.DUMMYFUNCTION("""COMPUTED_VALUE"""),1.26626313226188)</f>
        <v>1.266263132</v>
      </c>
      <c r="AM424" s="30">
        <f>IFERROR(__xludf.DUMMYFUNCTION("""COMPUTED_VALUE"""),1.0791086483509043)</f>
        <v>1.079108648</v>
      </c>
      <c r="AN424" s="30">
        <f>IFERROR(__xludf.DUMMYFUNCTION("""COMPUTED_VALUE"""),0.5613281043702286)</f>
        <v>0.5613281044</v>
      </c>
      <c r="AO424" s="30">
        <f>IFERROR(__xludf.DUMMYFUNCTION("""COMPUTED_VALUE"""),0.0)</f>
        <v>0</v>
      </c>
      <c r="AP424" s="30">
        <f>IFERROR(__xludf.DUMMYFUNCTION("""COMPUTED_VALUE"""),0.0)</f>
        <v>0</v>
      </c>
      <c r="AQ424" s="30">
        <f>IFERROR(__xludf.DUMMYFUNCTION("""COMPUTED_VALUE"""),1.0194860227061384)</f>
        <v>1.019486023</v>
      </c>
      <c r="AR424" s="30">
        <f>IFERROR(__xludf.DUMMYFUNCTION("""COMPUTED_VALUE"""),0.7994567863253565)</f>
        <v>0.7994567863</v>
      </c>
      <c r="AS424" s="30">
        <f>IFERROR(__xludf.DUMMYFUNCTION("""COMPUTED_VALUE"""),1.0)</f>
        <v>1</v>
      </c>
      <c r="AT424" s="30">
        <f>IFERROR(__xludf.DUMMYFUNCTION("""COMPUTED_VALUE"""),0.034118741085508525)</f>
        <v>0.03411874109</v>
      </c>
      <c r="AU424" s="30">
        <f>IFERROR(__xludf.DUMMYFUNCTION("""COMPUTED_VALUE"""),-0.16833104372261154)</f>
        <v>-0.1683310437</v>
      </c>
      <c r="AV424" s="32">
        <f>IFERROR(__xludf.DUMMYFUNCTION("""COMPUTED_VALUE"""),-25.63160056153913)</f>
        <v>-25.63160056</v>
      </c>
      <c r="AW424" s="32">
        <f>IFERROR(__xludf.DUMMYFUNCTION("""COMPUTED_VALUE"""),-805.1005700955218)</f>
        <v>-805.1005701</v>
      </c>
      <c r="AX424" s="32">
        <f>IFERROR(__xludf.DUMMYFUNCTION("""COMPUTED_VALUE"""),-13.35925662208625)</f>
        <v>-13.35925662</v>
      </c>
      <c r="AY424" s="32">
        <f>IFERROR(__xludf.DUMMYFUNCTION("""COMPUTED_VALUE"""),-177.5416371257816)</f>
        <v>-177.5416371</v>
      </c>
      <c r="AZ424" s="30">
        <f>IFERROR(__xludf.DUMMYFUNCTION("""COMPUTED_VALUE"""),627.5589329697402)</f>
        <v>627.558933</v>
      </c>
      <c r="BA424" s="30">
        <f>IFERROR(__xludf.DUMMYFUNCTION("""COMPUTED_VALUE"""),1700.0)</f>
        <v>1700</v>
      </c>
    </row>
    <row r="425">
      <c r="A425" s="71" t="str">
        <f>IFERROR(__xludf.DUMMYFUNCTION("""COMPUTED_VALUE"""),"Rival")</f>
        <v>Rival</v>
      </c>
      <c r="B425" s="71" t="str">
        <f>IFERROR(__xludf.DUMMYFUNCTION("""COMPUTED_VALUE"""),"RSC007906")</f>
        <v>RSC007906</v>
      </c>
      <c r="C425" s="30" t="str">
        <f>IFERROR(__xludf.DUMMYFUNCTION("""COMPUTED_VALUE"""),"Vaz1fyy-")</f>
        <v>Vaz1fyy-</v>
      </c>
      <c r="D425" s="30"/>
      <c r="E425" s="30">
        <f>IFERROR(__xludf.DUMMYFUNCTION("""COMPUTED_VALUE"""),8.0)</f>
        <v>8</v>
      </c>
      <c r="F425" s="30">
        <f>IFERROR(__xludf.DUMMYFUNCTION("""COMPUTED_VALUE"""),1.0)</f>
        <v>1</v>
      </c>
      <c r="G425" s="42">
        <f>IFERROR(__xludf.DUMMYFUNCTION("""COMPUTED_VALUE"""),7.0)</f>
        <v>7</v>
      </c>
      <c r="H425" s="42">
        <f>IFERROR(__xludf.DUMMYFUNCTION("""COMPUTED_VALUE"""),0.125)</f>
        <v>0.125</v>
      </c>
      <c r="I425" s="42">
        <f>IFERROR(__xludf.DUMMYFUNCTION("""COMPUTED_VALUE"""),0.25)</f>
        <v>0.25</v>
      </c>
      <c r="J425" s="30">
        <f>IFERROR(__xludf.DUMMYFUNCTION("""COMPUTED_VALUE"""),209.625)</f>
        <v>209.625</v>
      </c>
      <c r="K425" s="30">
        <f>IFERROR(__xludf.DUMMYFUNCTION("""COMPUTED_VALUE"""),0.25)</f>
        <v>0.25</v>
      </c>
      <c r="L425" s="30">
        <f>IFERROR(__xludf.DUMMYFUNCTION("""COMPUTED_VALUE"""),0.0)</f>
        <v>0</v>
      </c>
      <c r="M425" s="30">
        <f>IFERROR(__xludf.DUMMYFUNCTION("""COMPUTED_VALUE"""),1.25)</f>
        <v>1.25</v>
      </c>
      <c r="N425" s="30">
        <f>IFERROR(__xludf.DUMMYFUNCTION("""COMPUTED_VALUE"""),1.0)</f>
        <v>1</v>
      </c>
      <c r="O425" s="30">
        <f>IFERROR(__xludf.DUMMYFUNCTION("""COMPUTED_VALUE"""),342.58333333333337)</f>
        <v>342.5833333</v>
      </c>
      <c r="P425" s="30">
        <f>IFERROR(__xludf.DUMMYFUNCTION("""COMPUTED_VALUE"""),1.0416666666666665)</f>
        <v>1.041666667</v>
      </c>
      <c r="Q425" s="30">
        <f>IFERROR(__xludf.DUMMYFUNCTION("""COMPUTED_VALUE"""),0.625)</f>
        <v>0.625</v>
      </c>
      <c r="R425" s="30">
        <f>IFERROR(__xludf.DUMMYFUNCTION("""COMPUTED_VALUE"""),0.75)</f>
        <v>0.75</v>
      </c>
      <c r="S425" s="30">
        <f>IFERROR(__xludf.DUMMYFUNCTION("""COMPUTED_VALUE"""),3.208333333333334)</f>
        <v>3.208333333</v>
      </c>
      <c r="T425" s="30">
        <f>IFERROR(__xludf.DUMMYFUNCTION("""COMPUTED_VALUE"""),345.15672827476914)</f>
        <v>345.1567283</v>
      </c>
      <c r="U425" s="30">
        <f>IFERROR(__xludf.DUMMYFUNCTION("""COMPUTED_VALUE"""),0.8181652216249248)</f>
        <v>0.8181652216</v>
      </c>
      <c r="V425" s="30">
        <f>IFERROR(__xludf.DUMMYFUNCTION("""COMPUTED_VALUE"""),0.6184077111569157)</f>
        <v>0.6184077112</v>
      </c>
      <c r="W425" s="30">
        <f>IFERROR(__xludf.DUMMYFUNCTION("""COMPUTED_VALUE"""),1.185072611689791)</f>
        <v>1.185072612</v>
      </c>
      <c r="X425" s="30">
        <f>IFERROR(__xludf.DUMMYFUNCTION("""COMPUTED_VALUE"""),2.6560685313468984)</f>
        <v>2.656068531</v>
      </c>
      <c r="Y425" s="30">
        <f>IFERROR(__xludf.DUMMYFUNCTION("""COMPUTED_VALUE"""),342.74201353449325)</f>
        <v>342.7420135</v>
      </c>
      <c r="Z425" s="30">
        <f>IFERROR(__xludf.DUMMYFUNCTION("""COMPUTED_VALUE"""),0.7449287859150001)</f>
        <v>0.7449287859</v>
      </c>
      <c r="AA425" s="30">
        <f>IFERROR(__xludf.DUMMYFUNCTION("""COMPUTED_VALUE"""),0.49660373959596305)</f>
        <v>0.4966037396</v>
      </c>
      <c r="AB425" s="30">
        <f>IFERROR(__xludf.DUMMYFUNCTION("""COMPUTED_VALUE"""),1.4031360160204274)</f>
        <v>1.403136016</v>
      </c>
      <c r="AC425" s="30">
        <f>IFERROR(__xludf.DUMMYFUNCTION("""COMPUTED_VALUE"""),2.374872946757889)</f>
        <v>2.374872947</v>
      </c>
      <c r="AD425" s="30">
        <f>IFERROR(__xludf.DUMMYFUNCTION("""COMPUTED_VALUE"""),0.6116116254271334)</f>
        <v>0.6116116254</v>
      </c>
      <c r="AE425" s="30">
        <f>IFERROR(__xludf.DUMMYFUNCTION("""COMPUTED_VALUE"""),0.33560254983692656)</f>
        <v>0.3356025498</v>
      </c>
      <c r="AF425" s="30">
        <f>IFERROR(__xludf.DUMMYFUNCTION("""COMPUTED_VALUE"""),0.0)</f>
        <v>0</v>
      </c>
      <c r="AG425" s="30">
        <f>IFERROR(__xludf.DUMMYFUNCTION("""COMPUTED_VALUE"""),0.8908616026728816)</f>
        <v>0.8908616027</v>
      </c>
      <c r="AH425" s="30">
        <f>IFERROR(__xludf.DUMMYFUNCTION("""COMPUTED_VALUE"""),0.42107515745849583)</f>
        <v>0.4210751575</v>
      </c>
      <c r="AI425" s="30">
        <f>IFERROR(__xludf.DUMMYFUNCTION("""COMPUTED_VALUE"""),0.992544271252371)</f>
        <v>0.9925442713</v>
      </c>
      <c r="AJ425" s="30">
        <f>IFERROR(__xludf.DUMMYFUNCTION("""COMPUTED_VALUE"""),1.2731739740756207)</f>
        <v>1.273173974</v>
      </c>
      <c r="AK425" s="30">
        <f>IFERROR(__xludf.DUMMYFUNCTION("""COMPUTED_VALUE"""),1.0106601012958771)</f>
        <v>1.010660101</v>
      </c>
      <c r="AL425" s="30">
        <f>IFERROR(__xludf.DUMMYFUNCTION("""COMPUTED_VALUE"""),0.6328726127005649)</f>
        <v>0.6328726127</v>
      </c>
      <c r="AM425" s="30">
        <f>IFERROR(__xludf.DUMMYFUNCTION("""COMPUTED_VALUE"""),1.2079256598497408)</f>
        <v>1.20792566</v>
      </c>
      <c r="AN425" s="30">
        <f>IFERROR(__xludf.DUMMYFUNCTION("""COMPUTED_VALUE"""),0.6182227874532881)</f>
        <v>0.6182227875</v>
      </c>
      <c r="AO425" s="30">
        <f>IFERROR(__xludf.DUMMYFUNCTION("""COMPUTED_VALUE"""),0.3361389841579919)</f>
        <v>0.3361389842</v>
      </c>
      <c r="AP425" s="30">
        <f>IFERROR(__xludf.DUMMYFUNCTION("""COMPUTED_VALUE"""),0.0)</f>
        <v>0</v>
      </c>
      <c r="AQ425" s="30">
        <f>IFERROR(__xludf.DUMMYFUNCTION("""COMPUTED_VALUE"""),0.9557681462870049)</f>
        <v>0.9557681463</v>
      </c>
      <c r="AR425" s="30">
        <f>IFERROR(__xludf.DUMMYFUNCTION("""COMPUTED_VALUE"""),0.3997283931626783)</f>
        <v>0.3997283932</v>
      </c>
      <c r="AS425" s="30">
        <f>IFERROR(__xludf.DUMMYFUNCTION("""COMPUTED_VALUE"""),10.0)</f>
        <v>10</v>
      </c>
      <c r="AT425" s="30">
        <f>IFERROR(__xludf.DUMMYFUNCTION("""COMPUTED_VALUE"""),0.19788467630491166)</f>
        <v>0.1978846763</v>
      </c>
      <c r="AU425" s="30">
        <f>IFERROR(__xludf.DUMMYFUNCTION("""COMPUTED_VALUE"""),-0.014961786658406057)</f>
        <v>-0.01496178666</v>
      </c>
      <c r="AV425" s="32">
        <f>IFERROR(__xludf.DUMMYFUNCTION("""COMPUTED_VALUE"""),-21.240642579287922)</f>
        <v>-21.24064258</v>
      </c>
      <c r="AW425" s="32">
        <f>IFERROR(__xludf.DUMMYFUNCTION("""COMPUTED_VALUE"""),-456.9266066377554)</f>
        <v>-456.9266066</v>
      </c>
      <c r="AX425" s="32">
        <f>IFERROR(__xludf.DUMMYFUNCTION("""COMPUTED_VALUE"""),-12.413754104076133)</f>
        <v>-12.4137541</v>
      </c>
      <c r="AY425" s="32">
        <f>IFERROR(__xludf.DUMMYFUNCTION("""COMPUTED_VALUE"""),-159.47954859873497)</f>
        <v>-159.4795486</v>
      </c>
      <c r="AZ425" s="30">
        <f>IFERROR(__xludf.DUMMYFUNCTION("""COMPUTED_VALUE"""),297.4470580390205)</f>
        <v>297.447058</v>
      </c>
      <c r="BA425" s="30">
        <f>IFERROR(__xludf.DUMMYFUNCTION("""COMPUTED_VALUE"""),1700.0)</f>
        <v>1700</v>
      </c>
    </row>
    <row r="426">
      <c r="A426" s="71" t="str">
        <f>IFERROR(__xludf.DUMMYFUNCTION("""COMPUTED_VALUE"""),"Rival")</f>
        <v>Rival</v>
      </c>
      <c r="B426" s="71" t="str">
        <f>IFERROR(__xludf.DUMMYFUNCTION("""COMPUTED_VALUE"""),"RSC005702")</f>
        <v>RSC005702</v>
      </c>
      <c r="C426" s="30" t="str">
        <f>IFERROR(__xludf.DUMMYFUNCTION("""COMPUTED_VALUE"""),"Jaegie")</f>
        <v>Jaegie</v>
      </c>
      <c r="D426" s="30" t="str">
        <f>IFERROR(__xludf.DUMMYFUNCTION("""COMPUTED_VALUE"""),"Iris")</f>
        <v>Iris</v>
      </c>
      <c r="E426" s="30">
        <f>IFERROR(__xludf.DUMMYFUNCTION("""COMPUTED_VALUE"""),42.0)</f>
        <v>42</v>
      </c>
      <c r="F426" s="30">
        <f>IFERROR(__xludf.DUMMYFUNCTION("""COMPUTED_VALUE"""),37.0)</f>
        <v>37</v>
      </c>
      <c r="G426" s="42">
        <f>IFERROR(__xludf.DUMMYFUNCTION("""COMPUTED_VALUE"""),5.0)</f>
        <v>5</v>
      </c>
      <c r="H426" s="42">
        <f>IFERROR(__xludf.DUMMYFUNCTION("""COMPUTED_VALUE"""),0.8809523809523809)</f>
        <v>0.880952381</v>
      </c>
      <c r="I426" s="42">
        <f>IFERROR(__xludf.DUMMYFUNCTION("""COMPUTED_VALUE"""),0.39473684210526316)</f>
        <v>0.3947368421</v>
      </c>
      <c r="J426" s="30">
        <f>IFERROR(__xludf.DUMMYFUNCTION("""COMPUTED_VALUE"""),436.7857142857143)</f>
        <v>436.7857143</v>
      </c>
      <c r="K426" s="30">
        <f>IFERROR(__xludf.DUMMYFUNCTION("""COMPUTED_VALUE"""),1.4285714285714286)</f>
        <v>1.428571429</v>
      </c>
      <c r="L426" s="30">
        <f>IFERROR(__xludf.DUMMYFUNCTION("""COMPUTED_VALUE"""),0.8333333333333334)</f>
        <v>0.8333333333</v>
      </c>
      <c r="M426" s="30">
        <f>IFERROR(__xludf.DUMMYFUNCTION("""COMPUTED_VALUE"""),1.0952380952380953)</f>
        <v>1.095238095</v>
      </c>
      <c r="N426" s="30">
        <f>IFERROR(__xludf.DUMMYFUNCTION("""COMPUTED_VALUE"""),3.619047619047619)</f>
        <v>3.619047619</v>
      </c>
      <c r="O426" s="30">
        <f>IFERROR(__xludf.DUMMYFUNCTION("""COMPUTED_VALUE"""),306.6349206349206)</f>
        <v>306.6349206</v>
      </c>
      <c r="P426" s="30">
        <f>IFERROR(__xludf.DUMMYFUNCTION("""COMPUTED_VALUE"""),0.4841269841269841)</f>
        <v>0.4841269841</v>
      </c>
      <c r="Q426" s="30">
        <f>IFERROR(__xludf.DUMMYFUNCTION("""COMPUTED_VALUE"""),0.3412698412698413)</f>
        <v>0.3412698413</v>
      </c>
      <c r="R426" s="30">
        <f>IFERROR(__xludf.DUMMYFUNCTION("""COMPUTED_VALUE"""),1.5079365079365081)</f>
        <v>1.507936508</v>
      </c>
      <c r="S426" s="30">
        <f>IFERROR(__xludf.DUMMYFUNCTION("""COMPUTED_VALUE"""),1.9444444444444449)</f>
        <v>1.944444444</v>
      </c>
      <c r="T426" s="30">
        <f>IFERROR(__xludf.DUMMYFUNCTION("""COMPUTED_VALUE"""),336.670574841133)</f>
        <v>336.6705748</v>
      </c>
      <c r="U426" s="30">
        <f>IFERROR(__xludf.DUMMYFUNCTION("""COMPUTED_VALUE"""),0.7427878918933953)</f>
        <v>0.7427878919</v>
      </c>
      <c r="V426" s="30">
        <f>IFERROR(__xludf.DUMMYFUNCTION("""COMPUTED_VALUE"""),0.5209508430938785)</f>
        <v>0.5209508431</v>
      </c>
      <c r="W426" s="30">
        <f>IFERROR(__xludf.DUMMYFUNCTION("""COMPUTED_VALUE"""),1.313103485294096)</f>
        <v>1.313103485</v>
      </c>
      <c r="X426" s="30">
        <f>IFERROR(__xludf.DUMMYFUNCTION("""COMPUTED_VALUE"""),2.3988391232654243)</f>
        <v>2.398839123</v>
      </c>
      <c r="Y426" s="30">
        <f>IFERROR(__xludf.DUMMYFUNCTION("""COMPUTED_VALUE"""),353.7795742297994)</f>
        <v>353.7795742</v>
      </c>
      <c r="Z426" s="30">
        <f>IFERROR(__xludf.DUMMYFUNCTION("""COMPUTED_VALUE"""),0.8445595429240346)</f>
        <v>0.8445595429</v>
      </c>
      <c r="AA426" s="30">
        <f>IFERROR(__xludf.DUMMYFUNCTION("""COMPUTED_VALUE"""),0.6122087554392968)</f>
        <v>0.6122087554</v>
      </c>
      <c r="AB426" s="30">
        <f>IFERROR(__xludf.DUMMYFUNCTION("""COMPUTED_VALUE"""),1.25149251899412)</f>
        <v>1.251492519</v>
      </c>
      <c r="AC426" s="30">
        <f>IFERROR(__xludf.DUMMYFUNCTION("""COMPUTED_VALUE"""),2.62808893681642)</f>
        <v>2.628088937</v>
      </c>
      <c r="AD426" s="30">
        <f>IFERROR(__xludf.DUMMYFUNCTION("""COMPUTED_VALUE"""),1.2346267170359526)</f>
        <v>1.234626717</v>
      </c>
      <c r="AE426" s="30">
        <f>IFERROR(__xludf.DUMMYFUNCTION("""COMPUTED_VALUE"""),1.6914987706200415)</f>
        <v>1.691498771</v>
      </c>
      <c r="AF426" s="30">
        <f>IFERROR(__xludf.DUMMYFUNCTION("""COMPUTED_VALUE"""),1.3611914660308417)</f>
        <v>1.361191466</v>
      </c>
      <c r="AG426" s="30">
        <f>IFERROR(__xludf.DUMMYFUNCTION("""COMPUTED_VALUE"""),0.8751455391186731)</f>
        <v>0.8751455391</v>
      </c>
      <c r="AH426" s="30">
        <f>IFERROR(__xludf.DUMMYFUNCTION("""COMPUTED_VALUE"""),1.3770643635186919)</f>
        <v>1.377064364</v>
      </c>
      <c r="AI426" s="30">
        <f>IFERROR(__xludf.DUMMYFUNCTION("""COMPUTED_VALUE"""),0.9107862211588122)</f>
        <v>0.9107862212</v>
      </c>
      <c r="AJ426" s="30">
        <f>IFERROR(__xludf.DUMMYFUNCTION("""COMPUTED_VALUE"""),0.6517701613214582)</f>
        <v>0.6517701613</v>
      </c>
      <c r="AK426" s="30">
        <f>IFERROR(__xludf.DUMMYFUNCTION("""COMPUTED_VALUE"""),0.6550902945910817)</f>
        <v>0.6550902946</v>
      </c>
      <c r="AL426" s="30">
        <f>IFERROR(__xludf.DUMMYFUNCTION("""COMPUTED_VALUE"""),1.1483759846991612)</f>
        <v>1.148375985</v>
      </c>
      <c r="AM426" s="30">
        <f>IFERROR(__xludf.DUMMYFUNCTION("""COMPUTED_VALUE"""),0.8105772603031279)</f>
        <v>0.8105772603</v>
      </c>
      <c r="AN426" s="30">
        <f>IFERROR(__xludf.DUMMYFUNCTION("""COMPUTED_VALUE"""),1.2881616305568981)</f>
        <v>1.288161631</v>
      </c>
      <c r="AO426" s="30">
        <f>IFERROR(__xludf.DUMMYFUNCTION("""COMPUTED_VALUE"""),1.9207941951885252)</f>
        <v>1.920794195</v>
      </c>
      <c r="AP426" s="30">
        <f>IFERROR(__xludf.DUMMYFUNCTION("""COMPUTED_VALUE"""),1.5268159143690647)</f>
        <v>1.526815914</v>
      </c>
      <c r="AQ426" s="30">
        <f>IFERROR(__xludf.DUMMYFUNCTION("""COMPUTED_VALUE"""),0.8374349472228997)</f>
        <v>0.8374349472</v>
      </c>
      <c r="AR426" s="30">
        <f>IFERROR(__xludf.DUMMYFUNCTION("""COMPUTED_VALUE"""),1.4466360895411214)</f>
        <v>1.44663609</v>
      </c>
      <c r="AS426" s="30">
        <f>IFERROR(__xludf.DUMMYFUNCTION("""COMPUTED_VALUE"""),152.0)</f>
        <v>152</v>
      </c>
      <c r="AT426" s="30">
        <f>IFERROR(__xludf.DUMMYFUNCTION("""COMPUTED_VALUE"""),0.8107581883465305)</f>
        <v>0.8107581883</v>
      </c>
      <c r="AU426" s="30">
        <f>IFERROR(__xludf.DUMMYFUNCTION("""COMPUTED_VALUE"""),4.789476939525808)</f>
        <v>4.78947694</v>
      </c>
      <c r="AV426" s="32">
        <f>IFERROR(__xludf.DUMMYFUNCTION("""COMPUTED_VALUE"""),116.3103176248415)</f>
        <v>116.3103176</v>
      </c>
      <c r="AW426" s="32">
        <f>IFERROR(__xludf.DUMMYFUNCTION("""COMPUTED_VALUE"""),250.25403758374244)</f>
        <v>250.2540376</v>
      </c>
      <c r="AX426" s="32">
        <f>IFERROR(__xludf.DUMMYFUNCTION("""COMPUTED_VALUE"""),90.68490717330994)</f>
        <v>90.68490717</v>
      </c>
      <c r="AY426" s="32">
        <f>IFERROR(__xludf.DUMMYFUNCTION("""COMPUTED_VALUE"""),19.295155750998774)</f>
        <v>19.29515575</v>
      </c>
      <c r="AZ426" s="30">
        <f>IFERROR(__xludf.DUMMYFUNCTION("""COMPUTED_VALUE"""),230.95888183274366)</f>
        <v>230.9588818</v>
      </c>
      <c r="BA426" s="30">
        <f>IFERROR(__xludf.DUMMYFUNCTION("""COMPUTED_VALUE"""),1700.0)</f>
        <v>1700</v>
      </c>
    </row>
    <row r="427">
      <c r="A427" s="71" t="str">
        <f>IFERROR(__xludf.DUMMYFUNCTION("""COMPUTED_VALUE"""),"Rival")</f>
        <v>Rival</v>
      </c>
      <c r="B427" s="71" t="str">
        <f>IFERROR(__xludf.DUMMYFUNCTION("""COMPUTED_VALUE"""),"RSC004640")</f>
        <v>RSC004640</v>
      </c>
      <c r="C427" s="30" t="str">
        <f>IFERROR(__xludf.DUMMYFUNCTION("""COMPUTED_VALUE"""),"tharealdub")</f>
        <v>tharealdub</v>
      </c>
      <c r="D427" s="30" t="str">
        <f>IFERROR(__xludf.DUMMYFUNCTION("""COMPUTED_VALUE"""),"Lacuna")</f>
        <v>Lacuna</v>
      </c>
      <c r="E427" s="30">
        <f>IFERROR(__xludf.DUMMYFUNCTION("""COMPUTED_VALUE"""),4.0)</f>
        <v>4</v>
      </c>
      <c r="F427" s="30">
        <f>IFERROR(__xludf.DUMMYFUNCTION("""COMPUTED_VALUE"""),2.0)</f>
        <v>2</v>
      </c>
      <c r="G427" s="42">
        <f>IFERROR(__xludf.DUMMYFUNCTION("""COMPUTED_VALUE"""),2.0)</f>
        <v>2</v>
      </c>
      <c r="H427" s="42">
        <f>IFERROR(__xludf.DUMMYFUNCTION("""COMPUTED_VALUE"""),0.5)</f>
        <v>0.5</v>
      </c>
      <c r="I427" s="42">
        <f>IFERROR(__xludf.DUMMYFUNCTION("""COMPUTED_VALUE"""),0.3125)</f>
        <v>0.3125</v>
      </c>
      <c r="J427" s="30">
        <f>IFERROR(__xludf.DUMMYFUNCTION("""COMPUTED_VALUE"""),485.0)</f>
        <v>485</v>
      </c>
      <c r="K427" s="30">
        <f>IFERROR(__xludf.DUMMYFUNCTION("""COMPUTED_VALUE"""),1.25)</f>
        <v>1.25</v>
      </c>
      <c r="L427" s="30">
        <f>IFERROR(__xludf.DUMMYFUNCTION("""COMPUTED_VALUE"""),1.5)</f>
        <v>1.5</v>
      </c>
      <c r="M427" s="30">
        <f>IFERROR(__xludf.DUMMYFUNCTION("""COMPUTED_VALUE"""),1.75)</f>
        <v>1.75</v>
      </c>
      <c r="N427" s="30">
        <f>IFERROR(__xludf.DUMMYFUNCTION("""COMPUTED_VALUE"""),4.0)</f>
        <v>4</v>
      </c>
      <c r="O427" s="30">
        <f>IFERROR(__xludf.DUMMYFUNCTION("""COMPUTED_VALUE"""),421.25)</f>
        <v>421.25</v>
      </c>
      <c r="P427" s="30">
        <f>IFERROR(__xludf.DUMMYFUNCTION("""COMPUTED_VALUE"""),1.0833333333333333)</f>
        <v>1.083333333</v>
      </c>
      <c r="Q427" s="30">
        <f>IFERROR(__xludf.DUMMYFUNCTION("""COMPUTED_VALUE"""),0.8333333333333333)</f>
        <v>0.8333333333</v>
      </c>
      <c r="R427" s="30">
        <f>IFERROR(__xludf.DUMMYFUNCTION("""COMPUTED_VALUE"""),1.4166666666666665)</f>
        <v>1.416666667</v>
      </c>
      <c r="S427" s="30">
        <f>IFERROR(__xludf.DUMMYFUNCTION("""COMPUTED_VALUE"""),3.5)</f>
        <v>3.5</v>
      </c>
      <c r="T427" s="30">
        <f>IFERROR(__xludf.DUMMYFUNCTION("""COMPUTED_VALUE"""),356.3063830338856)</f>
        <v>356.306383</v>
      </c>
      <c r="U427" s="30">
        <f>IFERROR(__xludf.DUMMYFUNCTION("""COMPUTED_VALUE"""),0.7575380467190377)</f>
        <v>0.7575380467</v>
      </c>
      <c r="V427" s="30">
        <f>IFERROR(__xludf.DUMMYFUNCTION("""COMPUTED_VALUE"""),0.6031863316999818)</f>
        <v>0.6031863317</v>
      </c>
      <c r="W427" s="30">
        <f>IFERROR(__xludf.DUMMYFUNCTION("""COMPUTED_VALUE"""),1.3426926965855177)</f>
        <v>1.342692697</v>
      </c>
      <c r="X427" s="30">
        <f>IFERROR(__xludf.DUMMYFUNCTION("""COMPUTED_VALUE"""),2.750550932047393)</f>
        <v>2.750550932</v>
      </c>
      <c r="Y427" s="30">
        <f>IFERROR(__xludf.DUMMYFUNCTION("""COMPUTED_VALUE"""),378.6999732095789)</f>
        <v>378.6999732</v>
      </c>
      <c r="Z427" s="30">
        <f>IFERROR(__xludf.DUMMYFUNCTION("""COMPUTED_VALUE"""),0.9109737021769376)</f>
        <v>0.9109737022</v>
      </c>
      <c r="AA427" s="30">
        <f>IFERROR(__xludf.DUMMYFUNCTION("""COMPUTED_VALUE"""),0.6481078184819338)</f>
        <v>0.6481078185</v>
      </c>
      <c r="AB427" s="30">
        <f>IFERROR(__xludf.DUMMYFUNCTION("""COMPUTED_VALUE"""),1.39270004234615)</f>
        <v>1.392700042</v>
      </c>
      <c r="AC427" s="30">
        <f>IFERROR(__xludf.DUMMYFUNCTION("""COMPUTED_VALUE"""),2.793415605852411)</f>
        <v>2.793415606</v>
      </c>
      <c r="AD427" s="30">
        <f>IFERROR(__xludf.DUMMYFUNCTION("""COMPUTED_VALUE"""),1.2806972123327638)</f>
        <v>1.280697212</v>
      </c>
      <c r="AE427" s="30">
        <f>IFERROR(__xludf.DUMMYFUNCTION("""COMPUTED_VALUE"""),1.372158161111454)</f>
        <v>1.372158161</v>
      </c>
      <c r="AF427" s="30">
        <f>IFERROR(__xludf.DUMMYFUNCTION("""COMPUTED_VALUE"""),2.3144297248464887)</f>
        <v>2.314429725</v>
      </c>
      <c r="AG427" s="30">
        <f>IFERROR(__xludf.DUMMYFUNCTION("""COMPUTED_VALUE"""),1.2565519830472185)</f>
        <v>1.256551983</v>
      </c>
      <c r="AH427" s="30">
        <f>IFERROR(__xludf.DUMMYFUNCTION("""COMPUTED_VALUE"""),1.4319387317876031)</f>
        <v>1.431938732</v>
      </c>
      <c r="AI427" s="30">
        <f>IFERROR(__xludf.DUMMYFUNCTION("""COMPUTED_VALUE"""),1.1822690248014391)</f>
        <v>1.182269025</v>
      </c>
      <c r="AJ427" s="30">
        <f>IFERROR(__xludf.DUMMYFUNCTION("""COMPUTED_VALUE"""),1.4300711865566924)</f>
        <v>1.430071187</v>
      </c>
      <c r="AK427" s="30">
        <f>IFERROR(__xludf.DUMMYFUNCTION("""COMPUTED_VALUE"""),1.3815520835571984)</f>
        <v>1.381552084</v>
      </c>
      <c r="AL427" s="30">
        <f>IFERROR(__xludf.DUMMYFUNCTION("""COMPUTED_VALUE"""),1.0550937457761298)</f>
        <v>1.055093746</v>
      </c>
      <c r="AM427" s="30">
        <f>IFERROR(__xludf.DUMMYFUNCTION("""COMPUTED_VALUE"""),1.2724723469835002)</f>
        <v>1.272472347</v>
      </c>
      <c r="AN427" s="30">
        <f>IFERROR(__xludf.DUMMYFUNCTION("""COMPUTED_VALUE"""),1.4303544515913882)</f>
        <v>1.430354452</v>
      </c>
      <c r="AO427" s="30">
        <f>IFERROR(__xludf.DUMMYFUNCTION("""COMPUTED_VALUE"""),1.6806949207899595)</f>
        <v>1.680694921</v>
      </c>
      <c r="AP427" s="30">
        <f>IFERROR(__xludf.DUMMYFUNCTION("""COMPUTED_VALUE"""),2.748268645864316)</f>
        <v>2.748268646</v>
      </c>
      <c r="AQ427" s="30">
        <f>IFERROR(__xludf.DUMMYFUNCTION("""COMPUTED_VALUE"""),1.3380754048018069)</f>
        <v>1.338075405</v>
      </c>
      <c r="AR427" s="30">
        <f>IFERROR(__xludf.DUMMYFUNCTION("""COMPUTED_VALUE"""),1.598913572650713)</f>
        <v>1.598913573</v>
      </c>
      <c r="AS427" s="30">
        <f>IFERROR(__xludf.DUMMYFUNCTION("""COMPUTED_VALUE"""),12.0)</f>
        <v>12</v>
      </c>
      <c r="AT427" s="30">
        <f>IFERROR(__xludf.DUMMYFUNCTION("""COMPUTED_VALUE"""),0.46619225635723227)</f>
        <v>0.4661922564</v>
      </c>
      <c r="AU427" s="30">
        <f>IFERROR(__xludf.DUMMYFUNCTION("""COMPUTED_VALUE"""),4.771126729365584)</f>
        <v>4.771126729</v>
      </c>
      <c r="AV427" s="32">
        <f>IFERROR(__xludf.DUMMYFUNCTION("""COMPUTED_VALUE"""),115.78495156829672)</f>
        <v>115.7849516</v>
      </c>
      <c r="AW427" s="32">
        <f>IFERROR(__xludf.DUMMYFUNCTION("""COMPUTED_VALUE"""),235.19900725492317)</f>
        <v>235.1990073</v>
      </c>
      <c r="AX427" s="32">
        <f>IFERROR(__xludf.DUMMYFUNCTION("""COMPUTED_VALUE"""),75.68600495398795)</f>
        <v>75.68600495</v>
      </c>
      <c r="AY427" s="32">
        <f>IFERROR(__xludf.DUMMYFUNCTION("""COMPUTED_VALUE"""),6.574336007476811)</f>
        <v>6.574336007</v>
      </c>
      <c r="AZ427" s="30">
        <f>IFERROR(__xludf.DUMMYFUNCTION("""COMPUTED_VALUE"""),228.62467124744637)</f>
        <v>228.6246712</v>
      </c>
      <c r="BA427" s="30">
        <f>IFERROR(__xludf.DUMMYFUNCTION("""COMPUTED_VALUE"""),1700.0)</f>
        <v>1700</v>
      </c>
    </row>
    <row r="428">
      <c r="A428" s="71" t="str">
        <f>IFERROR(__xludf.DUMMYFUNCTION("""COMPUTED_VALUE"""),"Rival")</f>
        <v>Rival</v>
      </c>
      <c r="B428" s="71" t="str">
        <f>IFERROR(__xludf.DUMMYFUNCTION("""COMPUTED_VALUE"""),"RSC007482")</f>
        <v>RSC007482</v>
      </c>
      <c r="C428" s="30" t="str">
        <f>IFERROR(__xludf.DUMMYFUNCTION("""COMPUTED_VALUE"""),"MyTyranosaur")</f>
        <v>MyTyranosaur</v>
      </c>
      <c r="D428" s="30" t="str">
        <f>IFERROR(__xludf.DUMMYFUNCTION("""COMPUTED_VALUE"""),"50 Cent")</f>
        <v>50 Cent</v>
      </c>
      <c r="E428" s="30">
        <f>IFERROR(__xludf.DUMMYFUNCTION("""COMPUTED_VALUE"""),42.0)</f>
        <v>42</v>
      </c>
      <c r="F428" s="30">
        <f>IFERROR(__xludf.DUMMYFUNCTION("""COMPUTED_VALUE"""),22.0)</f>
        <v>22</v>
      </c>
      <c r="G428" s="42">
        <f>IFERROR(__xludf.DUMMYFUNCTION("""COMPUTED_VALUE"""),20.0)</f>
        <v>20</v>
      </c>
      <c r="H428" s="42">
        <f>IFERROR(__xludf.DUMMYFUNCTION("""COMPUTED_VALUE"""),0.5238095238095238)</f>
        <v>0.5238095238</v>
      </c>
      <c r="I428" s="42">
        <f>IFERROR(__xludf.DUMMYFUNCTION("""COMPUTED_VALUE"""),0.3625730994152047)</f>
        <v>0.3625730994</v>
      </c>
      <c r="J428" s="30">
        <f>IFERROR(__xludf.DUMMYFUNCTION("""COMPUTED_VALUE"""),498.0952380952381)</f>
        <v>498.0952381</v>
      </c>
      <c r="K428" s="30">
        <f>IFERROR(__xludf.DUMMYFUNCTION("""COMPUTED_VALUE"""),1.4761904761904763)</f>
        <v>1.476190476</v>
      </c>
      <c r="L428" s="30">
        <f>IFERROR(__xludf.DUMMYFUNCTION("""COMPUTED_VALUE"""),0.7619047619047619)</f>
        <v>0.7619047619</v>
      </c>
      <c r="M428" s="30">
        <f>IFERROR(__xludf.DUMMYFUNCTION("""COMPUTED_VALUE"""),1.7142857142857142)</f>
        <v>1.714285714</v>
      </c>
      <c r="N428" s="30">
        <f>IFERROR(__xludf.DUMMYFUNCTION("""COMPUTED_VALUE"""),4.071428571428571)</f>
        <v>4.071428571</v>
      </c>
      <c r="O428" s="30">
        <f>IFERROR(__xludf.DUMMYFUNCTION("""COMPUTED_VALUE"""),360.5079365079365)</f>
        <v>360.5079365</v>
      </c>
      <c r="P428" s="30">
        <f>IFERROR(__xludf.DUMMYFUNCTION("""COMPUTED_VALUE"""),0.8333333333333334)</f>
        <v>0.8333333333</v>
      </c>
      <c r="Q428" s="30">
        <f>IFERROR(__xludf.DUMMYFUNCTION("""COMPUTED_VALUE"""),0.595238095238095)</f>
        <v>0.5952380952</v>
      </c>
      <c r="R428" s="30">
        <f>IFERROR(__xludf.DUMMYFUNCTION("""COMPUTED_VALUE"""),1.4285714285714284)</f>
        <v>1.428571429</v>
      </c>
      <c r="S428" s="30">
        <f>IFERROR(__xludf.DUMMYFUNCTION("""COMPUTED_VALUE"""),2.5317460317460316)</f>
        <v>2.531746032</v>
      </c>
      <c r="T428" s="30">
        <f>IFERROR(__xludf.DUMMYFUNCTION("""COMPUTED_VALUE"""),349.77008918626973)</f>
        <v>349.7700892</v>
      </c>
      <c r="U428" s="30">
        <f>IFERROR(__xludf.DUMMYFUNCTION("""COMPUTED_VALUE"""),0.7936079725222647)</f>
        <v>0.7936079725</v>
      </c>
      <c r="V428" s="30">
        <f>IFERROR(__xludf.DUMMYFUNCTION("""COMPUTED_VALUE"""),0.552937783140959)</f>
        <v>0.5529377831</v>
      </c>
      <c r="W428" s="30">
        <f>IFERROR(__xludf.DUMMYFUNCTION("""COMPUTED_VALUE"""),1.3644338871436514)</f>
        <v>1.364433887</v>
      </c>
      <c r="X428" s="30">
        <f>IFERROR(__xludf.DUMMYFUNCTION("""COMPUTED_VALUE"""),2.6237905796253242)</f>
        <v>2.62379058</v>
      </c>
      <c r="Y428" s="30">
        <f>IFERROR(__xludf.DUMMYFUNCTION("""COMPUTED_VALUE"""),355.26648650718994)</f>
        <v>355.2664865</v>
      </c>
      <c r="Z428" s="30">
        <f>IFERROR(__xludf.DUMMYFUNCTION("""COMPUTED_VALUE"""),0.8281539831944512)</f>
        <v>0.8281539832</v>
      </c>
      <c r="AA428" s="30">
        <f>IFERROR(__xludf.DUMMYFUNCTION("""COMPUTED_VALUE"""),0.596008842232299)</f>
        <v>0.5960088422</v>
      </c>
      <c r="AB428" s="30">
        <f>IFERROR(__xludf.DUMMYFUNCTION("""COMPUTED_VALUE"""),1.323916927609415)</f>
        <v>1.323916928</v>
      </c>
      <c r="AC428" s="30">
        <f>IFERROR(__xludf.DUMMYFUNCTION("""COMPUTED_VALUE"""),2.6752183077765155)</f>
        <v>2.675218308</v>
      </c>
      <c r="AD428" s="30">
        <f>IFERROR(__xludf.DUMMYFUNCTION("""COMPUTED_VALUE"""),1.4020327191350697)</f>
        <v>1.402032719</v>
      </c>
      <c r="AE428" s="30">
        <f>IFERROR(__xludf.DUMMYFUNCTION("""COMPUTED_VALUE"""),1.7825072464136968)</f>
        <v>1.782507246</v>
      </c>
      <c r="AF428" s="30">
        <f>IFERROR(__xludf.DUMMYFUNCTION("""COMPUTED_VALUE"""),1.2783447289995131)</f>
        <v>1.278344729</v>
      </c>
      <c r="AG428" s="30">
        <f>IFERROR(__xludf.DUMMYFUNCTION("""COMPUTED_VALUE"""),1.2948589738037302)</f>
        <v>1.294858974</v>
      </c>
      <c r="AH428" s="30">
        <f>IFERROR(__xludf.DUMMYFUNCTION("""COMPUTED_VALUE"""),1.5219051692317789)</f>
        <v>1.521905169</v>
      </c>
      <c r="AI428" s="30">
        <f>IFERROR(__xludf.DUMMYFUNCTION("""COMPUTED_VALUE"""),1.0306997300616758)</f>
        <v>1.03069973</v>
      </c>
      <c r="AJ428" s="30">
        <f>IFERROR(__xludf.DUMMYFUNCTION("""COMPUTED_VALUE"""),1.0500566554098651)</f>
        <v>1.050056655</v>
      </c>
      <c r="AK428" s="30">
        <f>IFERROR(__xludf.DUMMYFUNCTION("""COMPUTED_VALUE"""),1.0765010339080998)</f>
        <v>1.076501034</v>
      </c>
      <c r="AL428" s="30">
        <f>IFERROR(__xludf.DUMMYFUNCTION("""COMPUTED_VALUE"""),1.0470067051486418)</f>
        <v>1.047006705</v>
      </c>
      <c r="AM428" s="30">
        <f>IFERROR(__xludf.DUMMYFUNCTION("""COMPUTED_VALUE"""),0.9649192475214861)</f>
        <v>0.9649192475</v>
      </c>
      <c r="AN428" s="30">
        <f>IFERROR(__xludf.DUMMYFUNCTION("""COMPUTED_VALUE"""),1.4689747239711262)</f>
        <v>1.468974724</v>
      </c>
      <c r="AO428" s="30">
        <f>IFERROR(__xludf.DUMMYFUNCTION("""COMPUTED_VALUE"""),1.9848206683614762)</f>
        <v>1.984820668</v>
      </c>
      <c r="AP428" s="30">
        <f>IFERROR(__xludf.DUMMYFUNCTION("""COMPUTED_VALUE"""),1.3959459788517161)</f>
        <v>1.395945979</v>
      </c>
      <c r="AQ428" s="30">
        <f>IFERROR(__xludf.DUMMYFUNCTION("""COMPUTED_VALUE"""),1.310767743479321)</f>
        <v>1.310767743</v>
      </c>
      <c r="AR428" s="30">
        <f>IFERROR(__xludf.DUMMYFUNCTION("""COMPUTED_VALUE"""),1.6274656007337616)</f>
        <v>1.627465601</v>
      </c>
      <c r="AS428" s="30">
        <f>IFERROR(__xludf.DUMMYFUNCTION("""COMPUTED_VALUE"""),128.0)</f>
        <v>128</v>
      </c>
      <c r="AT428" s="30">
        <f>IFERROR(__xludf.DUMMYFUNCTION("""COMPUTED_VALUE"""),0.5802682715713031)</f>
        <v>0.5802682716</v>
      </c>
      <c r="AU428" s="30">
        <f>IFERROR(__xludf.DUMMYFUNCTION("""COMPUTED_VALUE"""),4.76851425905401)</f>
        <v>4.768514259</v>
      </c>
      <c r="AV428" s="32">
        <f>IFERROR(__xludf.DUMMYFUNCTION("""COMPUTED_VALUE"""),115.71015660881409)</f>
        <v>115.7101566</v>
      </c>
      <c r="AW428" s="32">
        <f>IFERROR(__xludf.DUMMYFUNCTION("""COMPUTED_VALUE"""),233.13828988058674)</f>
        <v>233.1382899</v>
      </c>
      <c r="AX428" s="32">
        <f>IFERROR(__xludf.DUMMYFUNCTION("""COMPUTED_VALUE"""),99.44231536122957)</f>
        <v>99.44231536</v>
      </c>
      <c r="AY428" s="32">
        <f>IFERROR(__xludf.DUMMYFUNCTION("""COMPUTED_VALUE"""),41.69846700034803)</f>
        <v>41.698467</v>
      </c>
      <c r="AZ428" s="30">
        <f>IFERROR(__xludf.DUMMYFUNCTION("""COMPUTED_VALUE"""),191.4398228802387)</f>
        <v>191.4398229</v>
      </c>
      <c r="BA428" s="30">
        <f>IFERROR(__xludf.DUMMYFUNCTION("""COMPUTED_VALUE"""),1700.0)</f>
        <v>1700</v>
      </c>
    </row>
    <row r="429">
      <c r="A429" s="71" t="str">
        <f>IFERROR(__xludf.DUMMYFUNCTION("""COMPUTED_VALUE"""),"Rival")</f>
        <v>Rival</v>
      </c>
      <c r="B429" s="71" t="str">
        <f>IFERROR(__xludf.DUMMYFUNCTION("""COMPUTED_VALUE"""),"RSC000111")</f>
        <v>RSC000111</v>
      </c>
      <c r="C429" s="30" t="str">
        <f>IFERROR(__xludf.DUMMYFUNCTION("""COMPUTED_VALUE"""),"Wheelchair {LFLegs}")</f>
        <v>Wheelchair {LFLegs}</v>
      </c>
      <c r="D429" s="30"/>
      <c r="E429" s="30">
        <f>IFERROR(__xludf.DUMMYFUNCTION("""COMPUTED_VALUE"""),2.0)</f>
        <v>2</v>
      </c>
      <c r="F429" s="30">
        <f>IFERROR(__xludf.DUMMYFUNCTION("""COMPUTED_VALUE"""),0.0)</f>
        <v>0</v>
      </c>
      <c r="G429" s="42">
        <f>IFERROR(__xludf.DUMMYFUNCTION("""COMPUTED_VALUE"""),2.0)</f>
        <v>2</v>
      </c>
      <c r="H429" s="42">
        <f>IFERROR(__xludf.DUMMYFUNCTION("""COMPUTED_VALUE"""),0.0)</f>
        <v>0</v>
      </c>
      <c r="I429" s="42">
        <f>IFERROR(__xludf.DUMMYFUNCTION("""COMPUTED_VALUE"""),0.0)</f>
        <v>0</v>
      </c>
      <c r="J429" s="30">
        <f>IFERROR(__xludf.DUMMYFUNCTION("""COMPUTED_VALUE"""),162.0)</f>
        <v>162</v>
      </c>
      <c r="K429" s="30">
        <f>IFERROR(__xludf.DUMMYFUNCTION("""COMPUTED_VALUE"""),0.0)</f>
        <v>0</v>
      </c>
      <c r="L429" s="30">
        <f>IFERROR(__xludf.DUMMYFUNCTION("""COMPUTED_VALUE"""),0.5)</f>
        <v>0.5</v>
      </c>
      <c r="M429" s="30">
        <f>IFERROR(__xludf.DUMMYFUNCTION("""COMPUTED_VALUE"""),0.5)</f>
        <v>0.5</v>
      </c>
      <c r="N429" s="30">
        <f>IFERROR(__xludf.DUMMYFUNCTION("""COMPUTED_VALUE"""),0.5)</f>
        <v>0.5</v>
      </c>
      <c r="O429" s="30">
        <f>IFERROR(__xludf.DUMMYFUNCTION("""COMPUTED_VALUE"""),406.3333333333333)</f>
        <v>406.3333333</v>
      </c>
      <c r="P429" s="30">
        <f>IFERROR(__xludf.DUMMYFUNCTION("""COMPUTED_VALUE"""),1.0)</f>
        <v>1</v>
      </c>
      <c r="Q429" s="30">
        <f>IFERROR(__xludf.DUMMYFUNCTION("""COMPUTED_VALUE"""),0.8333333333333333)</f>
        <v>0.8333333333</v>
      </c>
      <c r="R429" s="30">
        <f>IFERROR(__xludf.DUMMYFUNCTION("""COMPUTED_VALUE"""),2.0)</f>
        <v>2</v>
      </c>
      <c r="S429" s="30">
        <f>IFERROR(__xludf.DUMMYFUNCTION("""COMPUTED_VALUE"""),2.5)</f>
        <v>2.5</v>
      </c>
      <c r="T429" s="30">
        <f>IFERROR(__xludf.DUMMYFUNCTION("""COMPUTED_VALUE"""),340.70478831878614)</f>
        <v>340.7047883</v>
      </c>
      <c r="U429" s="30">
        <f>IFERROR(__xludf.DUMMYFUNCTION("""COMPUTED_VALUE"""),0.8513473094597167)</f>
        <v>0.8513473095</v>
      </c>
      <c r="V429" s="30">
        <f>IFERROR(__xludf.DUMMYFUNCTION("""COMPUTED_VALUE"""),0.48009625581205645)</f>
        <v>0.4800962558</v>
      </c>
      <c r="W429" s="30">
        <f>IFERROR(__xludf.DUMMYFUNCTION("""COMPUTED_VALUE"""),1.3576691954210511)</f>
        <v>1.357669195</v>
      </c>
      <c r="X429" s="30">
        <f>IFERROR(__xludf.DUMMYFUNCTION("""COMPUTED_VALUE"""),2.6478505587731465)</f>
        <v>2.647850559</v>
      </c>
      <c r="Y429" s="30">
        <f>IFERROR(__xludf.DUMMYFUNCTION("""COMPUTED_VALUE"""),356.05611296915646)</f>
        <v>356.056113</v>
      </c>
      <c r="Z429" s="30">
        <f>IFERROR(__xludf.DUMMYFUNCTION("""COMPUTED_VALUE"""),0.8390842102400957)</f>
        <v>0.8390842102</v>
      </c>
      <c r="AA429" s="30">
        <f>IFERROR(__xludf.DUMMYFUNCTION("""COMPUTED_VALUE"""),0.5997271845628155)</f>
        <v>0.5997271846</v>
      </c>
      <c r="AB429" s="30">
        <f>IFERROR(__xludf.DUMMYFUNCTION("""COMPUTED_VALUE"""),1.334461755988797)</f>
        <v>1.334461756</v>
      </c>
      <c r="AC429" s="30">
        <f>IFERROR(__xludf.DUMMYFUNCTION("""COMPUTED_VALUE"""),2.6811050384751343)</f>
        <v>2.681105038</v>
      </c>
      <c r="AD429" s="30">
        <f>IFERROR(__xludf.DUMMYFUNCTION("""COMPUTED_VALUE"""),0.45498446480550475)</f>
        <v>0.4549844648</v>
      </c>
      <c r="AE429" s="30">
        <f>IFERROR(__xludf.DUMMYFUNCTION("""COMPUTED_VALUE"""),0.0)</f>
        <v>0</v>
      </c>
      <c r="AF429" s="30">
        <f>IFERROR(__xludf.DUMMYFUNCTION("""COMPUTED_VALUE"""),0.8337124160287751)</f>
        <v>0.833712416</v>
      </c>
      <c r="AG429" s="30">
        <f>IFERROR(__xludf.DUMMYFUNCTION("""COMPUTED_VALUE"""),0.37468289949569566)</f>
        <v>0.3746828995</v>
      </c>
      <c r="AH429" s="30">
        <f>IFERROR(__xludf.DUMMYFUNCTION("""COMPUTED_VALUE"""),0.1864902690587507)</f>
        <v>0.1864902691</v>
      </c>
      <c r="AI429" s="30">
        <f>IFERROR(__xludf.DUMMYFUNCTION("""COMPUTED_VALUE"""),1.1926258369845413)</f>
        <v>1.192625837</v>
      </c>
      <c r="AJ429" s="30">
        <f>IFERROR(__xludf.DUMMYFUNCTION("""COMPUTED_VALUE"""),1.1746087511977004)</f>
        <v>1.174608751</v>
      </c>
      <c r="AK429" s="30">
        <f>IFERROR(__xludf.DUMMYFUNCTION("""COMPUTED_VALUE"""),1.7357630334437741)</f>
        <v>1.735763033</v>
      </c>
      <c r="AL429" s="30">
        <f>IFERROR(__xludf.DUMMYFUNCTION("""COMPUTED_VALUE"""),1.4731128957961988)</f>
        <v>1.473112896</v>
      </c>
      <c r="AM429" s="30">
        <f>IFERROR(__xludf.DUMMYFUNCTION("""COMPUTED_VALUE"""),0.9441620455945778)</f>
        <v>0.9441620456</v>
      </c>
      <c r="AN429" s="30">
        <f>IFERROR(__xludf.DUMMYFUNCTION("""COMPUTED_VALUE"""),0.4777678786758863)</f>
        <v>0.4777678787</v>
      </c>
      <c r="AO429" s="30">
        <f>IFERROR(__xludf.DUMMYFUNCTION("""COMPUTED_VALUE"""),0.0)</f>
        <v>0</v>
      </c>
      <c r="AP429" s="30">
        <f>IFERROR(__xludf.DUMMYFUNCTION("""COMPUTED_VALUE"""),0.9160895486214388)</f>
        <v>0.9160895486</v>
      </c>
      <c r="AQ429" s="30">
        <f>IFERROR(__xludf.DUMMYFUNCTION("""COMPUTED_VALUE"""),0.38230725851480196)</f>
        <v>0.3823072585</v>
      </c>
      <c r="AR429" s="30">
        <f>IFERROR(__xludf.DUMMYFUNCTION("""COMPUTED_VALUE"""),0.19986419658133914)</f>
        <v>0.1998641966</v>
      </c>
      <c r="AS429" s="30">
        <f>IFERROR(__xludf.DUMMYFUNCTION("""COMPUTED_VALUE"""),2.0)</f>
        <v>2</v>
      </c>
      <c r="AT429" s="30">
        <f>IFERROR(__xludf.DUMMYFUNCTION("""COMPUTED_VALUE"""),0.1630859559789061)</f>
        <v>0.163085956</v>
      </c>
      <c r="AU429" s="30">
        <f>IFERROR(__xludf.DUMMYFUNCTION("""COMPUTED_VALUE"""),-0.2621466985138378)</f>
        <v>-0.2621466985</v>
      </c>
      <c r="AV429" s="32">
        <f>IFERROR(__xludf.DUMMYFUNCTION("""COMPUTED_VALUE"""),-28.317540404706065)</f>
        <v>-28.3175404</v>
      </c>
      <c r="AW429" s="32">
        <f>IFERROR(__xludf.DUMMYFUNCTION("""COMPUTED_VALUE"""),-1154.6982481685116)</f>
        <v>-1154.698248</v>
      </c>
      <c r="AX429" s="32">
        <f>IFERROR(__xludf.DUMMYFUNCTION("""COMPUTED_VALUE"""),-27.440678086096426)</f>
        <v>-27.44067809</v>
      </c>
      <c r="AY429" s="32">
        <f>IFERROR(__xludf.DUMMYFUNCTION("""COMPUTED_VALUE"""),-1025.2377182182365)</f>
        <v>-1025.237718</v>
      </c>
      <c r="AZ429" s="30">
        <f>IFERROR(__xludf.DUMMYFUNCTION("""COMPUTED_VALUE"""),129.46052995027503)</f>
        <v>129.46053</v>
      </c>
      <c r="BA429" s="30">
        <f>IFERROR(__xludf.DUMMYFUNCTION("""COMPUTED_VALUE"""),1700.0)</f>
        <v>1700</v>
      </c>
    </row>
    <row r="430">
      <c r="A430" s="71" t="str">
        <f>IFERROR(__xludf.DUMMYFUNCTION("""COMPUTED_VALUE"""),"Rival")</f>
        <v>Rival</v>
      </c>
      <c r="B430" s="71" t="str">
        <f>IFERROR(__xludf.DUMMYFUNCTION("""COMPUTED_VALUE"""),"RSC007173")</f>
        <v>RSC007173</v>
      </c>
      <c r="C430" s="30" t="str">
        <f>IFERROR(__xludf.DUMMYFUNCTION("""COMPUTED_VALUE"""),"mr_marino_")</f>
        <v>mr_marino_</v>
      </c>
      <c r="D430" s="30"/>
      <c r="E430" s="30">
        <f>IFERROR(__xludf.DUMMYFUNCTION("""COMPUTED_VALUE"""),3.0)</f>
        <v>3</v>
      </c>
      <c r="F430" s="30">
        <f>IFERROR(__xludf.DUMMYFUNCTION("""COMPUTED_VALUE"""),1.0)</f>
        <v>1</v>
      </c>
      <c r="G430" s="42">
        <f>IFERROR(__xludf.DUMMYFUNCTION("""COMPUTED_VALUE"""),2.0)</f>
        <v>2</v>
      </c>
      <c r="H430" s="42">
        <f>IFERROR(__xludf.DUMMYFUNCTION("""COMPUTED_VALUE"""),0.3333333333333333)</f>
        <v>0.3333333333</v>
      </c>
      <c r="I430" s="42">
        <f>IFERROR(__xludf.DUMMYFUNCTION("""COMPUTED_VALUE"""),0.16666666666666666)</f>
        <v>0.1666666667</v>
      </c>
      <c r="J430" s="30">
        <f>IFERROR(__xludf.DUMMYFUNCTION("""COMPUTED_VALUE"""),236.66666666666666)</f>
        <v>236.6666667</v>
      </c>
      <c r="K430" s="30">
        <f>IFERROR(__xludf.DUMMYFUNCTION("""COMPUTED_VALUE"""),0.3333333333333333)</f>
        <v>0.3333333333</v>
      </c>
      <c r="L430" s="30">
        <f>IFERROR(__xludf.DUMMYFUNCTION("""COMPUTED_VALUE"""),0.0)</f>
        <v>0</v>
      </c>
      <c r="M430" s="30">
        <f>IFERROR(__xludf.DUMMYFUNCTION("""COMPUTED_VALUE"""),1.3333333333333333)</f>
        <v>1.333333333</v>
      </c>
      <c r="N430" s="30">
        <f>IFERROR(__xludf.DUMMYFUNCTION("""COMPUTED_VALUE"""),2.0)</f>
        <v>2</v>
      </c>
      <c r="O430" s="30">
        <f>IFERROR(__xludf.DUMMYFUNCTION("""COMPUTED_VALUE"""),337.8888888888889)</f>
        <v>337.8888889</v>
      </c>
      <c r="P430" s="30">
        <f>IFERROR(__xludf.DUMMYFUNCTION("""COMPUTED_VALUE"""),0.888888888888889)</f>
        <v>0.8888888889</v>
      </c>
      <c r="Q430" s="30">
        <f>IFERROR(__xludf.DUMMYFUNCTION("""COMPUTED_VALUE"""),0.7777777777777778)</f>
        <v>0.7777777778</v>
      </c>
      <c r="R430" s="30">
        <f>IFERROR(__xludf.DUMMYFUNCTION("""COMPUTED_VALUE"""),0.9999999999999999)</f>
        <v>1</v>
      </c>
      <c r="S430" s="30">
        <f>IFERROR(__xludf.DUMMYFUNCTION("""COMPUTED_VALUE"""),2.555555555555556)</f>
        <v>2.555555556</v>
      </c>
      <c r="T430" s="30">
        <f>IFERROR(__xludf.DUMMYFUNCTION("""COMPUTED_VALUE"""),387.27142857142854)</f>
        <v>387.2714286</v>
      </c>
      <c r="U430" s="30">
        <f>IFERROR(__xludf.DUMMYFUNCTION("""COMPUTED_VALUE"""),0.8957671957671959)</f>
        <v>0.8957671958</v>
      </c>
      <c r="V430" s="30">
        <f>IFERROR(__xludf.DUMMYFUNCTION("""COMPUTED_VALUE"""),0.7386243386243385)</f>
        <v>0.7386243386</v>
      </c>
      <c r="W430" s="30">
        <f>IFERROR(__xludf.DUMMYFUNCTION("""COMPUTED_VALUE"""),1.488888888888889)</f>
        <v>1.488888889</v>
      </c>
      <c r="X430" s="30">
        <f>IFERROR(__xludf.DUMMYFUNCTION("""COMPUTED_VALUE"""),2.8076719576719573)</f>
        <v>2.807671958</v>
      </c>
      <c r="Y430" s="30">
        <f>IFERROR(__xludf.DUMMYFUNCTION("""COMPUTED_VALUE"""),357.6440917107584)</f>
        <v>357.6440917</v>
      </c>
      <c r="Z430" s="30">
        <f>IFERROR(__xludf.DUMMYFUNCTION("""COMPUTED_VALUE"""),0.8476190476190476)</f>
        <v>0.8476190476</v>
      </c>
      <c r="AA430" s="30">
        <f>IFERROR(__xludf.DUMMYFUNCTION("""COMPUTED_VALUE"""),0.5888888888888887)</f>
        <v>0.5888888889</v>
      </c>
      <c r="AB430" s="30">
        <f>IFERROR(__xludf.DUMMYFUNCTION("""COMPUTED_VALUE"""),1.3509700176366843)</f>
        <v>1.350970018</v>
      </c>
      <c r="AC430" s="30">
        <f>IFERROR(__xludf.DUMMYFUNCTION("""COMPUTED_VALUE"""),2.6103174603174604)</f>
        <v>2.61031746</v>
      </c>
      <c r="AD430" s="30">
        <f>IFERROR(__xludf.DUMMYFUNCTION("""COMPUTED_VALUE"""),0.6617379460529962)</f>
        <v>0.6617379461</v>
      </c>
      <c r="AE430" s="30">
        <f>IFERROR(__xludf.DUMMYFUNCTION("""COMPUTED_VALUE"""),0.3932584269662921)</f>
        <v>0.393258427</v>
      </c>
      <c r="AF430" s="30">
        <f>IFERROR(__xludf.DUMMYFUNCTION("""COMPUTED_VALUE"""),0.0)</f>
        <v>0</v>
      </c>
      <c r="AG430" s="30">
        <f>IFERROR(__xludf.DUMMYFUNCTION("""COMPUTED_VALUE"""),0.9869451697127937)</f>
        <v>0.9869451697</v>
      </c>
      <c r="AH430" s="30">
        <f>IFERROR(__xludf.DUMMYFUNCTION("""COMPUTED_VALUE"""),0.7661903314077227)</f>
        <v>0.7661903314</v>
      </c>
      <c r="AI430" s="30">
        <f>IFERROR(__xludf.DUMMYFUNCTION("""COMPUTED_VALUE"""),0.8724859722683325)</f>
        <v>0.8724859723</v>
      </c>
      <c r="AJ430" s="30">
        <f>IFERROR(__xludf.DUMMYFUNCTION("""COMPUTED_VALUE"""),0.9923213230950974)</f>
        <v>0.9923213231</v>
      </c>
      <c r="AK430" s="30">
        <f>IFERROR(__xludf.DUMMYFUNCTION("""COMPUTED_VALUE"""),1.053008595988539)</f>
        <v>1.053008596</v>
      </c>
      <c r="AL430" s="30">
        <f>IFERROR(__xludf.DUMMYFUNCTION("""COMPUTED_VALUE"""),0.6716417910447761)</f>
        <v>0.671641791</v>
      </c>
      <c r="AM430" s="30">
        <f>IFERROR(__xludf.DUMMYFUNCTION("""COMPUTED_VALUE"""),0.910204466220673)</f>
        <v>0.9102044662</v>
      </c>
      <c r="AN430" s="30">
        <f>IFERROR(__xludf.DUMMYFUNCTION("""COMPUTED_VALUE"""),0.6979736499174471)</f>
        <v>0.6979736499</v>
      </c>
      <c r="AO430" s="30">
        <f>IFERROR(__xludf.DUMMYFUNCTION("""COMPUTED_VALUE"""),0.4481853122106559)</f>
        <v>0.4481853122</v>
      </c>
      <c r="AP430" s="30">
        <f>IFERROR(__xludf.DUMMYFUNCTION("""COMPUTED_VALUE"""),0.0)</f>
        <v>0</v>
      </c>
      <c r="AQ430" s="30">
        <f>IFERROR(__xludf.DUMMYFUNCTION("""COMPUTED_VALUE"""),1.0194860227061384)</f>
        <v>1.019486023</v>
      </c>
      <c r="AR430" s="30">
        <f>IFERROR(__xludf.DUMMYFUNCTION("""COMPUTED_VALUE"""),0.7994567863253565)</f>
        <v>0.7994567863</v>
      </c>
      <c r="AS430" s="30">
        <f>IFERROR(__xludf.DUMMYFUNCTION("""COMPUTED_VALUE"""),4.0)</f>
        <v>4</v>
      </c>
      <c r="AT430" s="30">
        <f>IFERROR(__xludf.DUMMYFUNCTION("""COMPUTED_VALUE"""),0.26272554966373574)</f>
        <v>0.2627255497</v>
      </c>
      <c r="AU430" s="30">
        <f>IFERROR(__xludf.DUMMYFUNCTION("""COMPUTED_VALUE"""),0.6778512058171158)</f>
        <v>0.6778512058</v>
      </c>
      <c r="AV430" s="32">
        <f>IFERROR(__xludf.DUMMYFUNCTION("""COMPUTED_VALUE"""),-1.4054239849629084)</f>
        <v>-1.405423985</v>
      </c>
      <c r="AW430" s="32">
        <f>IFERROR(__xludf.DUMMYFUNCTION("""COMPUTED_VALUE"""),-50.29977624692383)</f>
        <v>-50.29977625</v>
      </c>
      <c r="AX430" s="32">
        <f>IFERROR(__xludf.DUMMYFUNCTION("""COMPUTED_VALUE"""),12.769234340637531)</f>
        <v>12.76923434</v>
      </c>
      <c r="AY430" s="32">
        <f>IFERROR(__xludf.DUMMYFUNCTION("""COMPUTED_VALUE"""),-14.65989248129488)</f>
        <v>-14.65989248</v>
      </c>
      <c r="AZ430" s="30">
        <f>IFERROR(__xludf.DUMMYFUNCTION("""COMPUTED_VALUE"""),35.639883765628944)</f>
        <v>35.63988377</v>
      </c>
      <c r="BA430" s="30">
        <f>IFERROR(__xludf.DUMMYFUNCTION("""COMPUTED_VALUE"""),1700.0)</f>
        <v>1700</v>
      </c>
    </row>
    <row r="431">
      <c r="A431" s="71" t="str">
        <f>IFERROR(__xludf.DUMMYFUNCTION("""COMPUTED_VALUE"""),"Rival")</f>
        <v>Rival</v>
      </c>
      <c r="B431" s="71" t="str">
        <f>IFERROR(__xludf.DUMMYFUNCTION("""COMPUTED_VALUE"""),"RSC001091")</f>
        <v>RSC001091</v>
      </c>
      <c r="C431" s="30" t="str">
        <f>IFERROR(__xludf.DUMMYFUNCTION("""COMPUTED_VALUE"""),"stealthman777")</f>
        <v>stealthman777</v>
      </c>
      <c r="D431" s="30" t="str">
        <f>IFERROR(__xludf.DUMMYFUNCTION("""COMPUTED_VALUE"""),"Necrotic Nerds")</f>
        <v>Necrotic Nerds</v>
      </c>
      <c r="E431" s="30">
        <f>IFERROR(__xludf.DUMMYFUNCTION("""COMPUTED_VALUE"""),4.0)</f>
        <v>4</v>
      </c>
      <c r="F431" s="30">
        <f>IFERROR(__xludf.DUMMYFUNCTION("""COMPUTED_VALUE"""),0.0)</f>
        <v>0</v>
      </c>
      <c r="G431" s="42">
        <f>IFERROR(__xludf.DUMMYFUNCTION("""COMPUTED_VALUE"""),4.0)</f>
        <v>4</v>
      </c>
      <c r="H431" s="42">
        <f>IFERROR(__xludf.DUMMYFUNCTION("""COMPUTED_VALUE"""),0.0)</f>
        <v>0</v>
      </c>
      <c r="I431" s="42">
        <f>IFERROR(__xludf.DUMMYFUNCTION("""COMPUTED_VALUE"""),0.16666666666666666)</f>
        <v>0.1666666667</v>
      </c>
      <c r="J431" s="30">
        <f>IFERROR(__xludf.DUMMYFUNCTION("""COMPUTED_VALUE"""),280.25)</f>
        <v>280.25</v>
      </c>
      <c r="K431" s="30">
        <f>IFERROR(__xludf.DUMMYFUNCTION("""COMPUTED_VALUE"""),0.25)</f>
        <v>0.25</v>
      </c>
      <c r="L431" s="30">
        <f>IFERROR(__xludf.DUMMYFUNCTION("""COMPUTED_VALUE"""),0.5)</f>
        <v>0.5</v>
      </c>
      <c r="M431" s="30">
        <f>IFERROR(__xludf.DUMMYFUNCTION("""COMPUTED_VALUE"""),1.5)</f>
        <v>1.5</v>
      </c>
      <c r="N431" s="30">
        <f>IFERROR(__xludf.DUMMYFUNCTION("""COMPUTED_VALUE"""),1.5)</f>
        <v>1.5</v>
      </c>
      <c r="O431" s="30">
        <f>IFERROR(__xludf.DUMMYFUNCTION("""COMPUTED_VALUE"""),401.75)</f>
        <v>401.75</v>
      </c>
      <c r="P431" s="30">
        <f>IFERROR(__xludf.DUMMYFUNCTION("""COMPUTED_VALUE"""),1.25)</f>
        <v>1.25</v>
      </c>
      <c r="Q431" s="30">
        <f>IFERROR(__xludf.DUMMYFUNCTION("""COMPUTED_VALUE"""),0.9166666666666667)</f>
        <v>0.9166666667</v>
      </c>
      <c r="R431" s="30">
        <f>IFERROR(__xludf.DUMMYFUNCTION("""COMPUTED_VALUE"""),1.0833333333333333)</f>
        <v>1.083333333</v>
      </c>
      <c r="S431" s="30">
        <f>IFERROR(__xludf.DUMMYFUNCTION("""COMPUTED_VALUE"""),3.0833333333333335)</f>
        <v>3.083333333</v>
      </c>
      <c r="T431" s="30">
        <f>IFERROR(__xludf.DUMMYFUNCTION("""COMPUTED_VALUE"""),349.6207419047623)</f>
        <v>349.6207419</v>
      </c>
      <c r="U431" s="30">
        <f>IFERROR(__xludf.DUMMYFUNCTION("""COMPUTED_VALUE"""),0.8375969205767722)</f>
        <v>0.8375969206</v>
      </c>
      <c r="V431" s="30">
        <f>IFERROR(__xludf.DUMMYFUNCTION("""COMPUTED_VALUE"""),0.6114630140876164)</f>
        <v>0.6114630141</v>
      </c>
      <c r="W431" s="30">
        <f>IFERROR(__xludf.DUMMYFUNCTION("""COMPUTED_VALUE"""),1.2634733955319852)</f>
        <v>1.263473396</v>
      </c>
      <c r="X431" s="30">
        <f>IFERROR(__xludf.DUMMYFUNCTION("""COMPUTED_VALUE"""),2.5594652908544746)</f>
        <v>2.559465291</v>
      </c>
      <c r="Y431" s="30">
        <f>IFERROR(__xludf.DUMMYFUNCTION("""COMPUTED_VALUE"""),346.1447713868445)</f>
        <v>346.1447714</v>
      </c>
      <c r="Z431" s="30">
        <f>IFERROR(__xludf.DUMMYFUNCTION("""COMPUTED_VALUE"""),0.8067559084990156)</f>
        <v>0.8067559085</v>
      </c>
      <c r="AA431" s="30">
        <f>IFERROR(__xludf.DUMMYFUNCTION("""COMPUTED_VALUE"""),0.5665442734570518)</f>
        <v>0.5665442735</v>
      </c>
      <c r="AB431" s="30">
        <f>IFERROR(__xludf.DUMMYFUNCTION("""COMPUTED_VALUE"""),1.2880615632537689)</f>
        <v>1.288061563</v>
      </c>
      <c r="AC431" s="30">
        <f>IFERROR(__xludf.DUMMYFUNCTION("""COMPUTED_VALUE"""),2.5191183175607885)</f>
        <v>2.519118318</v>
      </c>
      <c r="AD431" s="30">
        <f>IFERROR(__xludf.DUMMYFUNCTION("""COMPUTED_VALUE"""),0.8096323364272291)</f>
        <v>0.8096323364</v>
      </c>
      <c r="AE431" s="30">
        <f>IFERROR(__xludf.DUMMYFUNCTION("""COMPUTED_VALUE"""),0.30988307289267913)</f>
        <v>0.3098830729</v>
      </c>
      <c r="AF431" s="30">
        <f>IFERROR(__xludf.DUMMYFUNCTION("""COMPUTED_VALUE"""),0.8825435600098844)</f>
        <v>0.88254356</v>
      </c>
      <c r="AG431" s="30">
        <f>IFERROR(__xludf.DUMMYFUNCTION("""COMPUTED_VALUE"""),1.1645406110953689)</f>
        <v>1.164540611</v>
      </c>
      <c r="AH431" s="30">
        <f>IFERROR(__xludf.DUMMYFUNCTION("""COMPUTED_VALUE"""),0.5954464264514656)</f>
        <v>0.5954464265</v>
      </c>
      <c r="AI431" s="30">
        <f>IFERROR(__xludf.DUMMYFUNCTION("""COMPUTED_VALUE"""),1.1491023038599861)</f>
        <v>1.149102304</v>
      </c>
      <c r="AJ431" s="30">
        <f>IFERROR(__xludf.DUMMYFUNCTION("""COMPUTED_VALUE"""),1.4923646079539614)</f>
        <v>1.492364608</v>
      </c>
      <c r="AK431" s="30">
        <f>IFERROR(__xludf.DUMMYFUNCTION("""COMPUTED_VALUE"""),1.4991367352520162)</f>
        <v>1.499136735</v>
      </c>
      <c r="AL431" s="30">
        <f>IFERROR(__xludf.DUMMYFUNCTION("""COMPUTED_VALUE"""),0.857424728660152)</f>
        <v>0.8574247287</v>
      </c>
      <c r="AM431" s="30">
        <f>IFERROR(__xludf.DUMMYFUNCTION("""COMPUTED_VALUE"""),1.2046787054900698)</f>
        <v>1.204678705</v>
      </c>
      <c r="AN431" s="30">
        <f>IFERROR(__xludf.DUMMYFUNCTION("""COMPUTED_VALUE"""),0.8265089382649207)</f>
        <v>0.8265089383</v>
      </c>
      <c r="AO431" s="30">
        <f>IFERROR(__xludf.DUMMYFUNCTION("""COMPUTED_VALUE"""),0.3361389841579919)</f>
        <v>0.3361389842</v>
      </c>
      <c r="AP431" s="30">
        <f>IFERROR(__xludf.DUMMYFUNCTION("""COMPUTED_VALUE"""),0.9160895486214388)</f>
        <v>0.9160895486</v>
      </c>
      <c r="AQ431" s="30">
        <f>IFERROR(__xludf.DUMMYFUNCTION("""COMPUTED_VALUE"""),1.1469217755444059)</f>
        <v>1.146921776</v>
      </c>
      <c r="AR431" s="30">
        <f>IFERROR(__xludf.DUMMYFUNCTION("""COMPUTED_VALUE"""),0.5995925897440174)</f>
        <v>0.5995925897</v>
      </c>
      <c r="AS431" s="30">
        <f>IFERROR(__xludf.DUMMYFUNCTION("""COMPUTED_VALUE"""),4.0)</f>
        <v>4</v>
      </c>
      <c r="AT431" s="30">
        <f>IFERROR(__xludf.DUMMYFUNCTION("""COMPUTED_VALUE"""),0.112335503852016)</f>
        <v>0.1123355039</v>
      </c>
      <c r="AU431" s="30">
        <f>IFERROR(__xludf.DUMMYFUNCTION("""COMPUTED_VALUE"""),0.7453558020801467)</f>
        <v>0.7453558021</v>
      </c>
      <c r="AV431" s="32">
        <f>IFERROR(__xludf.DUMMYFUNCTION("""COMPUTED_VALUE"""),0.5272309125939998)</f>
        <v>0.5272309126</v>
      </c>
      <c r="AW431" s="32">
        <f>IFERROR(__xludf.DUMMYFUNCTION("""COMPUTED_VALUE"""),-41.81821046502044)</f>
        <v>-41.81821047</v>
      </c>
      <c r="AX431" s="32">
        <f>IFERROR(__xludf.DUMMYFUNCTION("""COMPUTED_VALUE"""),25.322339257517612)</f>
        <v>25.32233926</v>
      </c>
      <c r="AY431" s="32">
        <f>IFERROR(__xludf.DUMMYFUNCTION("""COMPUTED_VALUE"""),-6.180651810788734)</f>
        <v>-6.180651811</v>
      </c>
      <c r="AZ431" s="30">
        <f>IFERROR(__xludf.DUMMYFUNCTION("""COMPUTED_VALUE"""),35.63755865423171)</f>
        <v>35.63755865</v>
      </c>
      <c r="BA431" s="30">
        <f>IFERROR(__xludf.DUMMYFUNCTION("""COMPUTED_VALUE"""),1700.0)</f>
        <v>1700</v>
      </c>
    </row>
    <row r="432">
      <c r="A432" s="71" t="str">
        <f>IFERROR(__xludf.DUMMYFUNCTION("""COMPUTED_VALUE"""),"Rival")</f>
        <v>Rival</v>
      </c>
      <c r="B432" s="71" t="str">
        <f>IFERROR(__xludf.DUMMYFUNCTION("""COMPUTED_VALUE"""),"RSC006448")</f>
        <v>RSC006448</v>
      </c>
      <c r="C432" s="30" t="str">
        <f>IFERROR(__xludf.DUMMYFUNCTION("""COMPUTED_VALUE"""),"Burger.101")</f>
        <v>Burger.101</v>
      </c>
      <c r="D432" s="30" t="str">
        <f>IFERROR(__xludf.DUMMYFUNCTION("""COMPUTED_VALUE"""),"Iris")</f>
        <v>Iris</v>
      </c>
      <c r="E432" s="30">
        <f>IFERROR(__xludf.DUMMYFUNCTION("""COMPUTED_VALUE"""),40.0)</f>
        <v>40</v>
      </c>
      <c r="F432" s="30">
        <f>IFERROR(__xludf.DUMMYFUNCTION("""COMPUTED_VALUE"""),34.0)</f>
        <v>34</v>
      </c>
      <c r="G432" s="42">
        <f>IFERROR(__xludf.DUMMYFUNCTION("""COMPUTED_VALUE"""),6.0)</f>
        <v>6</v>
      </c>
      <c r="H432" s="42">
        <f>IFERROR(__xludf.DUMMYFUNCTION("""COMPUTED_VALUE"""),0.85)</f>
        <v>0.85</v>
      </c>
      <c r="I432" s="42">
        <f>IFERROR(__xludf.DUMMYFUNCTION("""COMPUTED_VALUE"""),0.34285714285714286)</f>
        <v>0.3428571429</v>
      </c>
      <c r="J432" s="30">
        <f>IFERROR(__xludf.DUMMYFUNCTION("""COMPUTED_VALUE"""),404.65)</f>
        <v>404.65</v>
      </c>
      <c r="K432" s="30">
        <f>IFERROR(__xludf.DUMMYFUNCTION("""COMPUTED_VALUE"""),1.2)</f>
        <v>1.2</v>
      </c>
      <c r="L432" s="30">
        <f>IFERROR(__xludf.DUMMYFUNCTION("""COMPUTED_VALUE"""),0.775)</f>
        <v>0.775</v>
      </c>
      <c r="M432" s="30">
        <f>IFERROR(__xludf.DUMMYFUNCTION("""COMPUTED_VALUE"""),0.9)</f>
        <v>0.9</v>
      </c>
      <c r="N432" s="30">
        <f>IFERROR(__xludf.DUMMYFUNCTION("""COMPUTED_VALUE"""),3.5)</f>
        <v>3.5</v>
      </c>
      <c r="O432" s="30">
        <f>IFERROR(__xludf.DUMMYFUNCTION("""COMPUTED_VALUE"""),305.48333333333323)</f>
        <v>305.4833333</v>
      </c>
      <c r="P432" s="30">
        <f>IFERROR(__xludf.DUMMYFUNCTION("""COMPUTED_VALUE"""),0.4749999999999999)</f>
        <v>0.475</v>
      </c>
      <c r="Q432" s="30">
        <f>IFERROR(__xludf.DUMMYFUNCTION("""COMPUTED_VALUE"""),0.2916666666666667)</f>
        <v>0.2916666667</v>
      </c>
      <c r="R432" s="30">
        <f>IFERROR(__xludf.DUMMYFUNCTION("""COMPUTED_VALUE"""),1.5)</f>
        <v>1.5</v>
      </c>
      <c r="S432" s="30">
        <f>IFERROR(__xludf.DUMMYFUNCTION("""COMPUTED_VALUE"""),1.816666666666666)</f>
        <v>1.816666667</v>
      </c>
      <c r="T432" s="30">
        <f>IFERROR(__xludf.DUMMYFUNCTION("""COMPUTED_VALUE"""),328.7702700981817)</f>
        <v>328.7702701</v>
      </c>
      <c r="U432" s="30">
        <f>IFERROR(__xludf.DUMMYFUNCTION("""COMPUTED_VALUE"""),0.7029162339428726)</f>
        <v>0.7029162339</v>
      </c>
      <c r="V432" s="30">
        <f>IFERROR(__xludf.DUMMYFUNCTION("""COMPUTED_VALUE"""),0.4924144850209994)</f>
        <v>0.492414485</v>
      </c>
      <c r="W432" s="30">
        <f>IFERROR(__xludf.DUMMYFUNCTION("""COMPUTED_VALUE"""),1.3005162606903764)</f>
        <v>1.300516261</v>
      </c>
      <c r="X432" s="30">
        <f>IFERROR(__xludf.DUMMYFUNCTION("""COMPUTED_VALUE"""),2.2716394836934124)</f>
        <v>2.271639484</v>
      </c>
      <c r="Y432" s="30">
        <f>IFERROR(__xludf.DUMMYFUNCTION("""COMPUTED_VALUE"""),354.8358198590248)</f>
        <v>354.8358199</v>
      </c>
      <c r="Z432" s="30">
        <f>IFERROR(__xludf.DUMMYFUNCTION("""COMPUTED_VALUE"""),0.8564813097129026)</f>
        <v>0.8564813097</v>
      </c>
      <c r="AA432" s="30">
        <f>IFERROR(__xludf.DUMMYFUNCTION("""COMPUTED_VALUE"""),0.624117932951437)</f>
        <v>0.624117933</v>
      </c>
      <c r="AB432" s="30">
        <f>IFERROR(__xludf.DUMMYFUNCTION("""COMPUTED_VALUE"""),1.2003649246397907)</f>
        <v>1.200364925</v>
      </c>
      <c r="AC432" s="30">
        <f>IFERROR(__xludf.DUMMYFUNCTION("""COMPUTED_VALUE"""),2.6342715561424974)</f>
        <v>2.634271556</v>
      </c>
      <c r="AD432" s="30">
        <f>IFERROR(__xludf.DUMMYFUNCTION("""COMPUTED_VALUE"""),1.1403865600738003)</f>
        <v>1.14038656</v>
      </c>
      <c r="AE432" s="30">
        <f>IFERROR(__xludf.DUMMYFUNCTION("""COMPUTED_VALUE"""),1.4010813620699403)</f>
        <v>1.401081362</v>
      </c>
      <c r="AF432" s="30">
        <f>IFERROR(__xludf.DUMMYFUNCTION("""COMPUTED_VALUE"""),1.2417524943323544)</f>
        <v>1.241752494</v>
      </c>
      <c r="AG432" s="30">
        <f>IFERROR(__xludf.DUMMYFUNCTION("""COMPUTED_VALUE"""),0.749771991438416)</f>
        <v>0.7497719914</v>
      </c>
      <c r="AH432" s="30">
        <f>IFERROR(__xludf.DUMMYFUNCTION("""COMPUTED_VALUE"""),1.3286405465066153)</f>
        <v>1.328640547</v>
      </c>
      <c r="AI432" s="30">
        <f>IFERROR(__xludf.DUMMYFUNCTION("""COMPUTED_VALUE"""),0.9291695786304089)</f>
        <v>0.9291695786</v>
      </c>
      <c r="AJ432" s="30">
        <f>IFERROR(__xludf.DUMMYFUNCTION("""COMPUTED_VALUE"""),0.6757561954937067)</f>
        <v>0.6757561955</v>
      </c>
      <c r="AK432" s="30">
        <f>IFERROR(__xludf.DUMMYFUNCTION("""COMPUTED_VALUE"""),0.5923194291374844)</f>
        <v>0.5923194291</v>
      </c>
      <c r="AL432" s="30">
        <f>IFERROR(__xludf.DUMMYFUNCTION("""COMPUTED_VALUE"""),1.1533881161960466)</f>
        <v>1.153388116</v>
      </c>
      <c r="AM432" s="30">
        <f>IFERROR(__xludf.DUMMYFUNCTION("""COMPUTED_VALUE"""),0.7997160991906095)</f>
        <v>0.7997160992</v>
      </c>
      <c r="AN432" s="30">
        <f>IFERROR(__xludf.DUMMYFUNCTION("""COMPUTED_VALUE"""),1.193387482137021)</f>
        <v>1.193387482</v>
      </c>
      <c r="AO432" s="30">
        <f>IFERROR(__xludf.DUMMYFUNCTION("""COMPUTED_VALUE"""),1.6134671239583611)</f>
        <v>1.613467124</v>
      </c>
      <c r="AP432" s="30">
        <f>IFERROR(__xludf.DUMMYFUNCTION("""COMPUTED_VALUE"""),1.41993880036323)</f>
        <v>1.4199388</v>
      </c>
      <c r="AQ432" s="30">
        <f>IFERROR(__xludf.DUMMYFUNCTION("""COMPUTED_VALUE"""),0.6881530653266436)</f>
        <v>0.6881530653</v>
      </c>
      <c r="AR432" s="30">
        <f>IFERROR(__xludf.DUMMYFUNCTION("""COMPUTED_VALUE"""),1.399049376069374)</f>
        <v>1.399049376</v>
      </c>
      <c r="AS432" s="30">
        <f>IFERROR(__xludf.DUMMYFUNCTION("""COMPUTED_VALUE"""),133.0)</f>
        <v>133</v>
      </c>
      <c r="AT432" s="30">
        <f>IFERROR(__xludf.DUMMYFUNCTION("""COMPUTED_VALUE"""),0.7900282140098079)</f>
        <v>0.790028214</v>
      </c>
      <c r="AU432" s="30">
        <f>IFERROR(__xludf.DUMMYFUNCTION("""COMPUTED_VALUE"""),4.225748558692703)</f>
        <v>4.225748559</v>
      </c>
      <c r="AV432" s="32">
        <f>IFERROR(__xludf.DUMMYFUNCTION("""COMPUTED_VALUE"""),100.17078822355852)</f>
        <v>100.1707882</v>
      </c>
      <c r="AW432" s="32">
        <f>IFERROR(__xludf.DUMMYFUNCTION("""COMPUTED_VALUE"""),44.67516237556127)</f>
        <v>44.67516238</v>
      </c>
      <c r="AX432" s="32">
        <f>IFERROR(__xludf.DUMMYFUNCTION("""COMPUTED_VALUE"""),86.21152564766655)</f>
        <v>86.21152565</v>
      </c>
      <c r="AY432" s="32">
        <f>IFERROR(__xludf.DUMMYFUNCTION("""COMPUTED_VALUE"""),13.560410700154144)</f>
        <v>13.5604107</v>
      </c>
      <c r="AZ432" s="30">
        <f>IFERROR(__xludf.DUMMYFUNCTION("""COMPUTED_VALUE"""),31.114751675407128)</f>
        <v>31.11475168</v>
      </c>
      <c r="BA432" s="30">
        <f>IFERROR(__xludf.DUMMYFUNCTION("""COMPUTED_VALUE"""),1700.0)</f>
        <v>1700</v>
      </c>
    </row>
    <row r="433">
      <c r="A433" s="71" t="str">
        <f>IFERROR(__xludf.DUMMYFUNCTION("""COMPUTED_VALUE"""),"Rival")</f>
        <v>Rival</v>
      </c>
      <c r="B433" s="71" t="str">
        <f>IFERROR(__xludf.DUMMYFUNCTION("""COMPUTED_VALUE"""),"RSC005294")</f>
        <v>RSC005294</v>
      </c>
      <c r="C433" s="30" t="str">
        <f>IFERROR(__xludf.DUMMYFUNCTION("""COMPUTED_VALUE"""),"mogulmaniac5480")</f>
        <v>mogulmaniac5480</v>
      </c>
      <c r="D433" s="30"/>
      <c r="E433" s="30">
        <f>IFERROR(__xludf.DUMMYFUNCTION("""COMPUTED_VALUE"""),4.0)</f>
        <v>4</v>
      </c>
      <c r="F433" s="30">
        <f>IFERROR(__xludf.DUMMYFUNCTION("""COMPUTED_VALUE"""),1.0)</f>
        <v>1</v>
      </c>
      <c r="G433" s="42">
        <f>IFERROR(__xludf.DUMMYFUNCTION("""COMPUTED_VALUE"""),3.0)</f>
        <v>3</v>
      </c>
      <c r="H433" s="42">
        <f>IFERROR(__xludf.DUMMYFUNCTION("""COMPUTED_VALUE"""),0.25)</f>
        <v>0.25</v>
      </c>
      <c r="I433" s="42">
        <f>IFERROR(__xludf.DUMMYFUNCTION("""COMPUTED_VALUE"""),0.0625)</f>
        <v>0.0625</v>
      </c>
      <c r="J433" s="30">
        <f>IFERROR(__xludf.DUMMYFUNCTION("""COMPUTED_VALUE"""),274.0)</f>
        <v>274</v>
      </c>
      <c r="K433" s="30">
        <f>IFERROR(__xludf.DUMMYFUNCTION("""COMPUTED_VALUE"""),0.25)</f>
        <v>0.25</v>
      </c>
      <c r="L433" s="30">
        <f>IFERROR(__xludf.DUMMYFUNCTION("""COMPUTED_VALUE"""),0.25)</f>
        <v>0.25</v>
      </c>
      <c r="M433" s="30">
        <f>IFERROR(__xludf.DUMMYFUNCTION("""COMPUTED_VALUE"""),1.0)</f>
        <v>1</v>
      </c>
      <c r="N433" s="30">
        <f>IFERROR(__xludf.DUMMYFUNCTION("""COMPUTED_VALUE"""),4.0)</f>
        <v>4</v>
      </c>
      <c r="O433" s="30">
        <f>IFERROR(__xludf.DUMMYFUNCTION("""COMPUTED_VALUE"""),391.3333333333333)</f>
        <v>391.3333333</v>
      </c>
      <c r="P433" s="30">
        <f>IFERROR(__xludf.DUMMYFUNCTION("""COMPUTED_VALUE"""),0.8333333333333333)</f>
        <v>0.8333333333</v>
      </c>
      <c r="Q433" s="30">
        <f>IFERROR(__xludf.DUMMYFUNCTION("""COMPUTED_VALUE"""),0.7499999999999999)</f>
        <v>0.75</v>
      </c>
      <c r="R433" s="30">
        <f>IFERROR(__xludf.DUMMYFUNCTION("""COMPUTED_VALUE"""),1.9166666666666665)</f>
        <v>1.916666667</v>
      </c>
      <c r="S433" s="30">
        <f>IFERROR(__xludf.DUMMYFUNCTION("""COMPUTED_VALUE"""),2.416666666666667)</f>
        <v>2.416666667</v>
      </c>
      <c r="T433" s="30">
        <f>IFERROR(__xludf.DUMMYFUNCTION("""COMPUTED_VALUE"""),303.02720943449845)</f>
        <v>303.0272094</v>
      </c>
      <c r="U433" s="30">
        <f>IFERROR(__xludf.DUMMYFUNCTION("""COMPUTED_VALUE"""),0.5811842853083262)</f>
        <v>0.5811842853</v>
      </c>
      <c r="V433" s="30">
        <f>IFERROR(__xludf.DUMMYFUNCTION("""COMPUTED_VALUE"""),0.375355214549588)</f>
        <v>0.3753552145</v>
      </c>
      <c r="W433" s="30">
        <f>IFERROR(__xludf.DUMMYFUNCTION("""COMPUTED_VALUE"""),1.307136260301222)</f>
        <v>1.30713626</v>
      </c>
      <c r="X433" s="30">
        <f>IFERROR(__xludf.DUMMYFUNCTION("""COMPUTED_VALUE"""),2.0549694515487356)</f>
        <v>2.054969452</v>
      </c>
      <c r="Y433" s="30">
        <f>IFERROR(__xludf.DUMMYFUNCTION("""COMPUTED_VALUE"""),375.2674410343847)</f>
        <v>375.267441</v>
      </c>
      <c r="Z433" s="30">
        <f>IFERROR(__xludf.DUMMYFUNCTION("""COMPUTED_VALUE"""),1.0025161030595813)</f>
        <v>1.002516103</v>
      </c>
      <c r="AA433" s="30">
        <f>IFERROR(__xludf.DUMMYFUNCTION("""COMPUTED_VALUE"""),0.7273846736762338)</f>
        <v>0.7273846737</v>
      </c>
      <c r="AB433" s="30">
        <f>IFERROR(__xludf.DUMMYFUNCTION("""COMPUTED_VALUE"""),1.204692384200057)</f>
        <v>1.204692384</v>
      </c>
      <c r="AC433" s="30">
        <f>IFERROR(__xludf.DUMMYFUNCTION("""COMPUTED_VALUE"""),2.9621282087714307)</f>
        <v>2.962128209</v>
      </c>
      <c r="AD433" s="30">
        <f>IFERROR(__xludf.DUMMYFUNCTION("""COMPUTED_VALUE"""),0.7301459440359339)</f>
        <v>0.730145944</v>
      </c>
      <c r="AE433" s="30">
        <f>IFERROR(__xludf.DUMMYFUNCTION("""COMPUTED_VALUE"""),0.2493725529565305)</f>
        <v>0.249372553</v>
      </c>
      <c r="AF433" s="30">
        <f>IFERROR(__xludf.DUMMYFUNCTION("""COMPUTED_VALUE"""),0.34369709597603854)</f>
        <v>0.343697096</v>
      </c>
      <c r="AG433" s="30">
        <f>IFERROR(__xludf.DUMMYFUNCTION("""COMPUTED_VALUE"""),0.8300874257323563)</f>
        <v>0.8300874257</v>
      </c>
      <c r="AH433" s="30">
        <f>IFERROR(__xludf.DUMMYFUNCTION("""COMPUTED_VALUE"""),1.3503804420602834)</f>
        <v>1.350380442</v>
      </c>
      <c r="AI433" s="30">
        <f>IFERROR(__xludf.DUMMYFUNCTION("""COMPUTED_VALUE"""),1.291413183864345)</f>
        <v>1.291413184</v>
      </c>
      <c r="AJ433" s="30">
        <f>IFERROR(__xludf.DUMMYFUNCTION("""COMPUTED_VALUE"""),1.4338538642544998)</f>
        <v>1.433853864</v>
      </c>
      <c r="AK433" s="30">
        <f>IFERROR(__xludf.DUMMYFUNCTION("""COMPUTED_VALUE"""),1.9981073152266486)</f>
        <v>1.998107315</v>
      </c>
      <c r="AL433" s="30">
        <f>IFERROR(__xludf.DUMMYFUNCTION("""COMPUTED_VALUE"""),1.466309768061198)</f>
        <v>1.466309768</v>
      </c>
      <c r="AM433" s="30">
        <f>IFERROR(__xludf.DUMMYFUNCTION("""COMPUTED_VALUE"""),1.1760109936648142)</f>
        <v>1.176010994</v>
      </c>
      <c r="AN433" s="30">
        <f>IFERROR(__xludf.DUMMYFUNCTION("""COMPUTED_VALUE"""),0.8080765355382276)</f>
        <v>0.8080765355</v>
      </c>
      <c r="AO433" s="30">
        <f>IFERROR(__xludf.DUMMYFUNCTION("""COMPUTED_VALUE"""),0.3361389841579919)</f>
        <v>0.3361389842</v>
      </c>
      <c r="AP433" s="30">
        <f>IFERROR(__xludf.DUMMYFUNCTION("""COMPUTED_VALUE"""),0.4580447743107194)</f>
        <v>0.4580447743</v>
      </c>
      <c r="AQ433" s="30">
        <f>IFERROR(__xludf.DUMMYFUNCTION("""COMPUTED_VALUE"""),0.7646145170296039)</f>
        <v>0.764614517</v>
      </c>
      <c r="AR433" s="30">
        <f>IFERROR(__xludf.DUMMYFUNCTION("""COMPUTED_VALUE"""),1.598913572650713)</f>
        <v>1.598913573</v>
      </c>
      <c r="AS433" s="30">
        <f>IFERROR(__xludf.DUMMYFUNCTION("""COMPUTED_VALUE"""),7.0)</f>
        <v>7</v>
      </c>
      <c r="AT433" s="30">
        <f>IFERROR(__xludf.DUMMYFUNCTION("""COMPUTED_VALUE"""),0.3681220636841087)</f>
        <v>0.3681220637</v>
      </c>
      <c r="AU433" s="30">
        <f>IFERROR(__xludf.DUMMYFUNCTION("""COMPUTED_VALUE"""),0.8718742524732513)</f>
        <v>0.8718742525</v>
      </c>
      <c r="AV433" s="32">
        <f>IFERROR(__xludf.DUMMYFUNCTION("""COMPUTED_VALUE"""),4.149450973444203)</f>
        <v>4.149450973</v>
      </c>
      <c r="AW433" s="32">
        <f>IFERROR(__xludf.DUMMYFUNCTION("""COMPUTED_VALUE"""),-30.007171278962808)</f>
        <v>-30.00717128</v>
      </c>
      <c r="AX433" s="32">
        <f>IFERROR(__xludf.DUMMYFUNCTION("""COMPUTED_VALUE"""),26.643731933602048)</f>
        <v>26.64373193</v>
      </c>
      <c r="AY433" s="32">
        <f>IFERROR(__xludf.DUMMYFUNCTION("""COMPUTED_VALUE"""),-5.711436902619487)</f>
        <v>-5.711436903</v>
      </c>
      <c r="AZ433" s="30">
        <f>IFERROR(__xludf.DUMMYFUNCTION("""COMPUTED_VALUE"""),24.295734376343322)</f>
        <v>24.29573438</v>
      </c>
      <c r="BA433" s="30">
        <f>IFERROR(__xludf.DUMMYFUNCTION("""COMPUTED_VALUE"""),1700.0)</f>
        <v>1700</v>
      </c>
    </row>
    <row r="434">
      <c r="A434" s="71" t="str">
        <f>IFERROR(__xludf.DUMMYFUNCTION("""COMPUTED_VALUE"""),"Rival")</f>
        <v>Rival</v>
      </c>
      <c r="B434" s="71" t="str">
        <f>IFERROR(__xludf.DUMMYFUNCTION("""COMPUTED_VALUE"""),"RSC002480")</f>
        <v>RSC002480</v>
      </c>
      <c r="C434" s="30" t="str">
        <f>IFERROR(__xludf.DUMMYFUNCTION("""COMPUTED_VALUE"""),"blizzyy")</f>
        <v>blizzyy</v>
      </c>
      <c r="D434" s="30" t="str">
        <f>IFERROR(__xludf.DUMMYFUNCTION("""COMPUTED_VALUE"""),"Iris")</f>
        <v>Iris</v>
      </c>
      <c r="E434" s="30">
        <f>IFERROR(__xludf.DUMMYFUNCTION("""COMPUTED_VALUE"""),48.0)</f>
        <v>48</v>
      </c>
      <c r="F434" s="30">
        <f>IFERROR(__xludf.DUMMYFUNCTION("""COMPUTED_VALUE"""),42.0)</f>
        <v>42</v>
      </c>
      <c r="G434" s="42">
        <f>IFERROR(__xludf.DUMMYFUNCTION("""COMPUTED_VALUE"""),6.0)</f>
        <v>6</v>
      </c>
      <c r="H434" s="42">
        <f>IFERROR(__xludf.DUMMYFUNCTION("""COMPUTED_VALUE"""),0.875)</f>
        <v>0.875</v>
      </c>
      <c r="I434" s="42">
        <f>IFERROR(__xludf.DUMMYFUNCTION("""COMPUTED_VALUE"""),0.3308270676691729)</f>
        <v>0.3308270677</v>
      </c>
      <c r="J434" s="30">
        <f>IFERROR(__xludf.DUMMYFUNCTION("""COMPUTED_VALUE"""),397.8125)</f>
        <v>397.8125</v>
      </c>
      <c r="K434" s="30">
        <f>IFERROR(__xludf.DUMMYFUNCTION("""COMPUTED_VALUE"""),0.9166666666666666)</f>
        <v>0.9166666667</v>
      </c>
      <c r="L434" s="30">
        <f>IFERROR(__xludf.DUMMYFUNCTION("""COMPUTED_VALUE"""),1.1458333333333333)</f>
        <v>1.145833333</v>
      </c>
      <c r="M434" s="30">
        <f>IFERROR(__xludf.DUMMYFUNCTION("""COMPUTED_VALUE"""),1.2083333333333333)</f>
        <v>1.208333333</v>
      </c>
      <c r="N434" s="30">
        <f>IFERROR(__xludf.DUMMYFUNCTION("""COMPUTED_VALUE"""),2.7708333333333335)</f>
        <v>2.770833333</v>
      </c>
      <c r="O434" s="30">
        <f>IFERROR(__xludf.DUMMYFUNCTION("""COMPUTED_VALUE"""),301.5208333333332)</f>
        <v>301.5208333</v>
      </c>
      <c r="P434" s="30">
        <f>IFERROR(__xludf.DUMMYFUNCTION("""COMPUTED_VALUE"""),0.46527777777777773)</f>
        <v>0.4652777778</v>
      </c>
      <c r="Q434" s="30">
        <f>IFERROR(__xludf.DUMMYFUNCTION("""COMPUTED_VALUE"""),0.31250000000000006)</f>
        <v>0.3125</v>
      </c>
      <c r="R434" s="30">
        <f>IFERROR(__xludf.DUMMYFUNCTION("""COMPUTED_VALUE"""),1.458333333333334)</f>
        <v>1.458333333</v>
      </c>
      <c r="S434" s="30">
        <f>IFERROR(__xludf.DUMMYFUNCTION("""COMPUTED_VALUE"""),1.9027777777777783)</f>
        <v>1.902777778</v>
      </c>
      <c r="T434" s="30">
        <f>IFERROR(__xludf.DUMMYFUNCTION("""COMPUTED_VALUE"""),333.59065032873417)</f>
        <v>333.5906503</v>
      </c>
      <c r="U434" s="30">
        <f>IFERROR(__xludf.DUMMYFUNCTION("""COMPUTED_VALUE"""),0.724502841351021)</f>
        <v>0.7245028414</v>
      </c>
      <c r="V434" s="30">
        <f>IFERROR(__xludf.DUMMYFUNCTION("""COMPUTED_VALUE"""),0.5057712479641482)</f>
        <v>0.505771248</v>
      </c>
      <c r="W434" s="30">
        <f>IFERROR(__xludf.DUMMYFUNCTION("""COMPUTED_VALUE"""),1.3145191417746462)</f>
        <v>1.314519142</v>
      </c>
      <c r="X434" s="30">
        <f>IFERROR(__xludf.DUMMYFUNCTION("""COMPUTED_VALUE"""),2.356772266327012)</f>
        <v>2.356772266</v>
      </c>
      <c r="Y434" s="30">
        <f>IFERROR(__xludf.DUMMYFUNCTION("""COMPUTED_VALUE"""),353.1139091973402)</f>
        <v>353.1139092</v>
      </c>
      <c r="Z434" s="30">
        <f>IFERROR(__xludf.DUMMYFUNCTION("""COMPUTED_VALUE"""),0.8411773463403206)</f>
        <v>0.8411773463</v>
      </c>
      <c r="AA434" s="30">
        <f>IFERROR(__xludf.DUMMYFUNCTION("""COMPUTED_VALUE"""),0.6084476549533452)</f>
        <v>0.608447655</v>
      </c>
      <c r="AB434" s="30">
        <f>IFERROR(__xludf.DUMMYFUNCTION("""COMPUTED_VALUE"""),1.2375198541066388)</f>
        <v>1.237519854</v>
      </c>
      <c r="AC434" s="30">
        <f>IFERROR(__xludf.DUMMYFUNCTION("""COMPUTED_VALUE"""),2.626561978596092)</f>
        <v>2.626561979</v>
      </c>
      <c r="AD434" s="30">
        <f>IFERROR(__xludf.DUMMYFUNCTION("""COMPUTED_VALUE"""),1.1265840558483344)</f>
        <v>1.126584056</v>
      </c>
      <c r="AE434" s="30">
        <f>IFERROR(__xludf.DUMMYFUNCTION("""COMPUTED_VALUE"""),1.089742455208494)</f>
        <v>1.089742455</v>
      </c>
      <c r="AF434" s="30">
        <f>IFERROR(__xludf.DUMMYFUNCTION("""COMPUTED_VALUE"""),1.8832077402306595)</f>
        <v>1.88320774</v>
      </c>
      <c r="AG434" s="30">
        <f>IFERROR(__xludf.DUMMYFUNCTION("""COMPUTED_VALUE"""),0.9764153110946449)</f>
        <v>0.9764153111</v>
      </c>
      <c r="AH434" s="30">
        <f>IFERROR(__xludf.DUMMYFUNCTION("""COMPUTED_VALUE"""),1.054927831862683)</f>
        <v>1.054927832</v>
      </c>
      <c r="AI434" s="30">
        <f>IFERROR(__xludf.DUMMYFUNCTION("""COMPUTED_VALUE"""),0.9038647607065785)</f>
        <v>0.9038647607</v>
      </c>
      <c r="AJ434" s="30">
        <f>IFERROR(__xludf.DUMMYFUNCTION("""COMPUTED_VALUE"""),0.6422028337530715)</f>
        <v>0.6422028338</v>
      </c>
      <c r="AK434" s="30">
        <f>IFERROR(__xludf.DUMMYFUNCTION("""COMPUTED_VALUE"""),0.6178682581461249)</f>
        <v>0.6178682581</v>
      </c>
      <c r="AL434" s="30">
        <f>IFERROR(__xludf.DUMMYFUNCTION("""COMPUTED_VALUE"""),1.1094044103188436)</f>
        <v>1.10940441</v>
      </c>
      <c r="AM434" s="30">
        <f>IFERROR(__xludf.DUMMYFUNCTION("""COMPUTED_VALUE"""),0.8073659915996992)</f>
        <v>0.8073659916</v>
      </c>
      <c r="AN434" s="30">
        <f>IFERROR(__xludf.DUMMYFUNCTION("""COMPUTED_VALUE"""),1.1732224335540187)</f>
        <v>1.173222434</v>
      </c>
      <c r="AO434" s="30">
        <f>IFERROR(__xludf.DUMMYFUNCTION("""COMPUTED_VALUE"""),1.2325096085793037)</f>
        <v>1.232509609</v>
      </c>
      <c r="AP434" s="30">
        <f>IFERROR(__xludf.DUMMYFUNCTION("""COMPUTED_VALUE"""),2.0993718822574636)</f>
        <v>2.099371882</v>
      </c>
      <c r="AQ434" s="30">
        <f>IFERROR(__xludf.DUMMYFUNCTION("""COMPUTED_VALUE"""),0.923909208077438)</f>
        <v>0.9239092081</v>
      </c>
      <c r="AR434" s="30">
        <f>IFERROR(__xludf.DUMMYFUNCTION("""COMPUTED_VALUE"""),1.1075807560549211)</f>
        <v>1.107580756</v>
      </c>
      <c r="AS434" s="30">
        <f>IFERROR(__xludf.DUMMYFUNCTION("""COMPUTED_VALUE"""),164.0)</f>
        <v>164</v>
      </c>
      <c r="AT434" s="30">
        <f>IFERROR(__xludf.DUMMYFUNCTION("""COMPUTED_VALUE"""),0.8030126818779361)</f>
        <v>0.8030126819</v>
      </c>
      <c r="AU434" s="30">
        <f>IFERROR(__xludf.DUMMYFUNCTION("""COMPUTED_VALUE"""),4.068986232575617)</f>
        <v>4.068986233</v>
      </c>
      <c r="AV434" s="32">
        <f>IFERROR(__xludf.DUMMYFUNCTION("""COMPUTED_VALUE"""),95.68268675944354)</f>
        <v>95.68268676</v>
      </c>
      <c r="AW434" s="32">
        <f>IFERROR(__xludf.DUMMYFUNCTION("""COMPUTED_VALUE"""),29.562379526986177)</f>
        <v>29.56237953</v>
      </c>
      <c r="AX434" s="32">
        <f>IFERROR(__xludf.DUMMYFUNCTION("""COMPUTED_VALUE"""),82.58553740075745)</f>
        <v>82.5855374</v>
      </c>
      <c r="AY434" s="32">
        <f>IFERROR(__xludf.DUMMYFUNCTION("""COMPUTED_VALUE"""),10.39334110403102)</f>
        <v>10.3933411</v>
      </c>
      <c r="AZ434" s="30">
        <f>IFERROR(__xludf.DUMMYFUNCTION("""COMPUTED_VALUE"""),19.169038422955158)</f>
        <v>19.16903842</v>
      </c>
      <c r="BA434" s="30">
        <f>IFERROR(__xludf.DUMMYFUNCTION("""COMPUTED_VALUE"""),1700.0)</f>
        <v>1700</v>
      </c>
    </row>
    <row r="435">
      <c r="A435" s="71" t="str">
        <f>IFERROR(__xludf.DUMMYFUNCTION("""COMPUTED_VALUE"""),"Rival")</f>
        <v>Rival</v>
      </c>
      <c r="B435" s="71" t="str">
        <f>IFERROR(__xludf.DUMMYFUNCTION("""COMPUTED_VALUE"""),"RSC007920")</f>
        <v>RSC007920</v>
      </c>
      <c r="C435" s="30" t="str">
        <f>IFERROR(__xludf.DUMMYFUNCTION("""COMPUTED_VALUE"""),"EKA Luminousity")</f>
        <v>EKA Luminousity</v>
      </c>
      <c r="D435" s="30" t="str">
        <f>IFERROR(__xludf.DUMMYFUNCTION("""COMPUTED_VALUE"""),"Bulldozers")</f>
        <v>Bulldozers</v>
      </c>
      <c r="E435" s="30">
        <f>IFERROR(__xludf.DUMMYFUNCTION("""COMPUTED_VALUE"""),43.0)</f>
        <v>43</v>
      </c>
      <c r="F435" s="30">
        <f>IFERROR(__xludf.DUMMYFUNCTION("""COMPUTED_VALUE"""),33.0)</f>
        <v>33</v>
      </c>
      <c r="G435" s="42">
        <f>IFERROR(__xludf.DUMMYFUNCTION("""COMPUTED_VALUE"""),10.0)</f>
        <v>10</v>
      </c>
      <c r="H435" s="42">
        <f>IFERROR(__xludf.DUMMYFUNCTION("""COMPUTED_VALUE"""),0.7674418604651163)</f>
        <v>0.7674418605</v>
      </c>
      <c r="I435" s="42">
        <f>IFERROR(__xludf.DUMMYFUNCTION("""COMPUTED_VALUE"""),0.3548387096774194)</f>
        <v>0.3548387097</v>
      </c>
      <c r="J435" s="30">
        <f>IFERROR(__xludf.DUMMYFUNCTION("""COMPUTED_VALUE"""),452.5813953488372)</f>
        <v>452.5813953</v>
      </c>
      <c r="K435" s="30">
        <f>IFERROR(__xludf.DUMMYFUNCTION("""COMPUTED_VALUE"""),1.2790697674418605)</f>
        <v>1.279069767</v>
      </c>
      <c r="L435" s="30">
        <f>IFERROR(__xludf.DUMMYFUNCTION("""COMPUTED_VALUE"""),0.5348837209302325)</f>
        <v>0.5348837209</v>
      </c>
      <c r="M435" s="30">
        <f>IFERROR(__xludf.DUMMYFUNCTION("""COMPUTED_VALUE"""),1.813953488372093)</f>
        <v>1.813953488</v>
      </c>
      <c r="N435" s="30">
        <f>IFERROR(__xludf.DUMMYFUNCTION("""COMPUTED_VALUE"""),3.604651162790698)</f>
        <v>3.604651163</v>
      </c>
      <c r="O435" s="30">
        <f>IFERROR(__xludf.DUMMYFUNCTION("""COMPUTED_VALUE"""),329.9457364341086)</f>
        <v>329.9457364</v>
      </c>
      <c r="P435" s="30">
        <f>IFERROR(__xludf.DUMMYFUNCTION("""COMPUTED_VALUE"""),0.6434108527131781)</f>
        <v>0.6434108527</v>
      </c>
      <c r="Q435" s="30">
        <f>IFERROR(__xludf.DUMMYFUNCTION("""COMPUTED_VALUE"""),0.4806201550387597)</f>
        <v>0.480620155</v>
      </c>
      <c r="R435" s="30">
        <f>IFERROR(__xludf.DUMMYFUNCTION("""COMPUTED_VALUE"""),1.4186046511627908)</f>
        <v>1.418604651</v>
      </c>
      <c r="S435" s="30">
        <f>IFERROR(__xludf.DUMMYFUNCTION("""COMPUTED_VALUE"""),2.65891472868217)</f>
        <v>2.658914729</v>
      </c>
      <c r="T435" s="30">
        <f>IFERROR(__xludf.DUMMYFUNCTION("""COMPUTED_VALUE"""),339.39460747546013)</f>
        <v>339.3946075</v>
      </c>
      <c r="U435" s="30">
        <f>IFERROR(__xludf.DUMMYFUNCTION("""COMPUTED_VALUE"""),0.7386028967513455)</f>
        <v>0.7386028968</v>
      </c>
      <c r="V435" s="30">
        <f>IFERROR(__xludf.DUMMYFUNCTION("""COMPUTED_VALUE"""),0.5233906450436241)</f>
        <v>0.523390645</v>
      </c>
      <c r="W435" s="30">
        <f>IFERROR(__xludf.DUMMYFUNCTION("""COMPUTED_VALUE"""),1.3145454702249872)</f>
        <v>1.31454547</v>
      </c>
      <c r="X435" s="30">
        <f>IFERROR(__xludf.DUMMYFUNCTION("""COMPUTED_VALUE"""),2.499589230493229)</f>
        <v>2.49958923</v>
      </c>
      <c r="Y435" s="30">
        <f>IFERROR(__xludf.DUMMYFUNCTION("""COMPUTED_VALUE"""),359.23777555125554)</f>
        <v>359.2377756</v>
      </c>
      <c r="Z435" s="30">
        <f>IFERROR(__xludf.DUMMYFUNCTION("""COMPUTED_VALUE"""),0.846245386522531)</f>
        <v>0.8462453865</v>
      </c>
      <c r="AA435" s="30">
        <f>IFERROR(__xludf.DUMMYFUNCTION("""COMPUTED_VALUE"""),0.6167776106448861)</f>
        <v>0.6167776106</v>
      </c>
      <c r="AB435" s="30">
        <f>IFERROR(__xludf.DUMMYFUNCTION("""COMPUTED_VALUE"""),1.316602853611817)</f>
        <v>1.316602854</v>
      </c>
      <c r="AC435" s="30">
        <f>IFERROR(__xludf.DUMMYFUNCTION("""COMPUTED_VALUE"""),2.6585640339019294)</f>
        <v>2.658564034</v>
      </c>
      <c r="AD435" s="30">
        <f>IFERROR(__xludf.DUMMYFUNCTION("""COMPUTED_VALUE"""),1.2598379851738712)</f>
        <v>1.259837985</v>
      </c>
      <c r="AE435" s="30">
        <f>IFERROR(__xludf.DUMMYFUNCTION("""COMPUTED_VALUE"""),1.5114643906041616)</f>
        <v>1.511464391</v>
      </c>
      <c r="AF435" s="30">
        <f>IFERROR(__xludf.DUMMYFUNCTION("""COMPUTED_VALUE"""),0.8672229855603423)</f>
        <v>0.8672229856</v>
      </c>
      <c r="AG435" s="30">
        <f>IFERROR(__xludf.DUMMYFUNCTION("""COMPUTED_VALUE"""),1.3777529673400761)</f>
        <v>1.377752967</v>
      </c>
      <c r="AH435" s="30">
        <f>IFERROR(__xludf.DUMMYFUNCTION("""COMPUTED_VALUE"""),1.3558639614559942)</f>
        <v>1.355863961</v>
      </c>
      <c r="AI435" s="30">
        <f>IFERROR(__xludf.DUMMYFUNCTION("""COMPUTED_VALUE"""),0.9721596311985164)</f>
        <v>0.9721596312</v>
      </c>
      <c r="AJ435" s="30">
        <f>IFERROR(__xludf.DUMMYFUNCTION("""COMPUTED_VALUE"""),0.8711187778211297)</f>
        <v>0.8711187778</v>
      </c>
      <c r="AK435" s="30">
        <f>IFERROR(__xludf.DUMMYFUNCTION("""COMPUTED_VALUE"""),0.9182818982152432)</f>
        <v>0.9182818982</v>
      </c>
      <c r="AL435" s="30">
        <f>IFERROR(__xludf.DUMMYFUNCTION("""COMPUTED_VALUE"""),1.0791598185797207)</f>
        <v>1.079159819</v>
      </c>
      <c r="AM435" s="30">
        <f>IFERROR(__xludf.DUMMYFUNCTION("""COMPUTED_VALUE"""),1.063740672365396)</f>
        <v>1.063740672</v>
      </c>
      <c r="AN435" s="30">
        <f>IFERROR(__xludf.DUMMYFUNCTION("""COMPUTED_VALUE"""),1.3347460073085593)</f>
        <v>1.334746007</v>
      </c>
      <c r="AO435" s="30">
        <f>IFERROR(__xludf.DUMMYFUNCTION("""COMPUTED_VALUE"""),1.7197808491804238)</f>
        <v>1.719780849</v>
      </c>
      <c r="AP435" s="30">
        <f>IFERROR(__xludf.DUMMYFUNCTION("""COMPUTED_VALUE"""),0.9800027729438646)</f>
        <v>0.9800027729</v>
      </c>
      <c r="AQ435" s="30">
        <f>IFERROR(__xludf.DUMMYFUNCTION("""COMPUTED_VALUE"""),1.386975170425793)</f>
        <v>1.38697517</v>
      </c>
      <c r="AR435" s="30">
        <f>IFERROR(__xludf.DUMMYFUNCTION("""COMPUTED_VALUE"""),1.4408814172143056)</f>
        <v>1.440881417</v>
      </c>
      <c r="AS435" s="30">
        <f>IFERROR(__xludf.DUMMYFUNCTION("""COMPUTED_VALUE"""),133.0)</f>
        <v>133</v>
      </c>
      <c r="AT435" s="30">
        <f>IFERROR(__xludf.DUMMYFUNCTION("""COMPUTED_VALUE"""),0.6790323929237566)</f>
        <v>0.6790323929</v>
      </c>
      <c r="AU435" s="30">
        <f>IFERROR(__xludf.DUMMYFUNCTION("""COMPUTED_VALUE"""),3.953453850658307)</f>
        <v>3.953453851</v>
      </c>
      <c r="AV435" s="32">
        <f>IFERROR(__xludf.DUMMYFUNCTION("""COMPUTED_VALUE"""),92.37499756345338)</f>
        <v>92.37499756</v>
      </c>
      <c r="AW435" s="32">
        <f>IFERROR(__xludf.DUMMYFUNCTION("""COMPUTED_VALUE"""),22.20361084211913)</f>
        <v>22.20361084</v>
      </c>
      <c r="AX435" s="32">
        <f>IFERROR(__xludf.DUMMYFUNCTION("""COMPUTED_VALUE"""),73.23103462322649)</f>
        <v>73.23103462</v>
      </c>
      <c r="AY435" s="32">
        <f>IFERROR(__xludf.DUMMYFUNCTION("""COMPUTED_VALUE"""),5.6695126911963385)</f>
        <v>5.669512691</v>
      </c>
      <c r="AZ435" s="30">
        <f>IFERROR(__xludf.DUMMYFUNCTION("""COMPUTED_VALUE"""),16.53409815092279)</f>
        <v>16.53409815</v>
      </c>
      <c r="BA435" s="30">
        <f>IFERROR(__xludf.DUMMYFUNCTION("""COMPUTED_VALUE"""),1700.0)</f>
        <v>1700</v>
      </c>
    </row>
    <row r="436">
      <c r="A436" s="71" t="str">
        <f>IFERROR(__xludf.DUMMYFUNCTION("""COMPUTED_VALUE"""),"Rival")</f>
        <v>Rival</v>
      </c>
      <c r="B436" s="71" t="str">
        <f>IFERROR(__xludf.DUMMYFUNCTION("""COMPUTED_VALUE"""),"RSC006581")</f>
        <v>RSC006581</v>
      </c>
      <c r="C436" s="30" t="str">
        <f>IFERROR(__xludf.DUMMYFUNCTION("""COMPUTED_VALUE"""),"Light_Wigglebean")</f>
        <v>Light_Wigglebean</v>
      </c>
      <c r="D436" s="30" t="str">
        <f>IFERROR(__xludf.DUMMYFUNCTION("""COMPUTED_VALUE"""),"Mining Legion")</f>
        <v>Mining Legion</v>
      </c>
      <c r="E436" s="30">
        <f>IFERROR(__xludf.DUMMYFUNCTION("""COMPUTED_VALUE"""),46.0)</f>
        <v>46</v>
      </c>
      <c r="F436" s="30">
        <f>IFERROR(__xludf.DUMMYFUNCTION("""COMPUTED_VALUE"""),31.0)</f>
        <v>31</v>
      </c>
      <c r="G436" s="42">
        <f>IFERROR(__xludf.DUMMYFUNCTION("""COMPUTED_VALUE"""),15.0)</f>
        <v>15</v>
      </c>
      <c r="H436" s="42">
        <f>IFERROR(__xludf.DUMMYFUNCTION("""COMPUTED_VALUE"""),0.6739130434782609)</f>
        <v>0.6739130435</v>
      </c>
      <c r="I436" s="42">
        <f>IFERROR(__xludf.DUMMYFUNCTION("""COMPUTED_VALUE"""),0.3125)</f>
        <v>0.3125</v>
      </c>
      <c r="J436" s="30">
        <f>IFERROR(__xludf.DUMMYFUNCTION("""COMPUTED_VALUE"""),388.54347826086956)</f>
        <v>388.5434783</v>
      </c>
      <c r="K436" s="30">
        <f>IFERROR(__xludf.DUMMYFUNCTION("""COMPUTED_VALUE"""),1.0869565217391304)</f>
        <v>1.086956522</v>
      </c>
      <c r="L436" s="30">
        <f>IFERROR(__xludf.DUMMYFUNCTION("""COMPUTED_VALUE"""),0.8043478260869565)</f>
        <v>0.8043478261</v>
      </c>
      <c r="M436" s="30">
        <f>IFERROR(__xludf.DUMMYFUNCTION("""COMPUTED_VALUE"""),0.8260869565217391)</f>
        <v>0.8260869565</v>
      </c>
      <c r="N436" s="30">
        <f>IFERROR(__xludf.DUMMYFUNCTION("""COMPUTED_VALUE"""),3.4782608695652173)</f>
        <v>3.47826087</v>
      </c>
      <c r="O436" s="30">
        <f>IFERROR(__xludf.DUMMYFUNCTION("""COMPUTED_VALUE"""),320.3333333333333)</f>
        <v>320.3333333</v>
      </c>
      <c r="P436" s="30">
        <f>IFERROR(__xludf.DUMMYFUNCTION("""COMPUTED_VALUE"""),0.6086956521739131)</f>
        <v>0.6086956522</v>
      </c>
      <c r="Q436" s="30">
        <f>IFERROR(__xludf.DUMMYFUNCTION("""COMPUTED_VALUE"""),0.42028985507246375)</f>
        <v>0.4202898551</v>
      </c>
      <c r="R436" s="30">
        <f>IFERROR(__xludf.DUMMYFUNCTION("""COMPUTED_VALUE"""),1.3985507246376812)</f>
        <v>1.398550725</v>
      </c>
      <c r="S436" s="30">
        <f>IFERROR(__xludf.DUMMYFUNCTION("""COMPUTED_VALUE"""),2.195652173913044)</f>
        <v>2.195652174</v>
      </c>
      <c r="T436" s="30">
        <f>IFERROR(__xludf.DUMMYFUNCTION("""COMPUTED_VALUE"""),341.37846022841836)</f>
        <v>341.3784602</v>
      </c>
      <c r="U436" s="30">
        <f>IFERROR(__xludf.DUMMYFUNCTION("""COMPUTED_VALUE"""),0.7517812082664201)</f>
        <v>0.7517812083</v>
      </c>
      <c r="V436" s="30">
        <f>IFERROR(__xludf.DUMMYFUNCTION("""COMPUTED_VALUE"""),0.5280631274269484)</f>
        <v>0.5280631274</v>
      </c>
      <c r="W436" s="30">
        <f>IFERROR(__xludf.DUMMYFUNCTION("""COMPUTED_VALUE"""),1.2909266328309348)</f>
        <v>1.290926633</v>
      </c>
      <c r="X436" s="30">
        <f>IFERROR(__xludf.DUMMYFUNCTION("""COMPUTED_VALUE"""),2.474924669603219)</f>
        <v>2.47492467</v>
      </c>
      <c r="Y436" s="30">
        <f>IFERROR(__xludf.DUMMYFUNCTION("""COMPUTED_VALUE"""),346.8908798478698)</f>
        <v>346.8908798</v>
      </c>
      <c r="Z436" s="30">
        <f>IFERROR(__xludf.DUMMYFUNCTION("""COMPUTED_VALUE"""),0.8002584900260807)</f>
        <v>0.80025849</v>
      </c>
      <c r="AA436" s="30">
        <f>IFERROR(__xludf.DUMMYFUNCTION("""COMPUTED_VALUE"""),0.5710786371289939)</f>
        <v>0.5710786371</v>
      </c>
      <c r="AB436" s="30">
        <f>IFERROR(__xludf.DUMMYFUNCTION("""COMPUTED_VALUE"""),1.268239785725798)</f>
        <v>1.268239786</v>
      </c>
      <c r="AC436" s="30">
        <f>IFERROR(__xludf.DUMMYFUNCTION("""COMPUTED_VALUE"""),2.5548269456375987)</f>
        <v>2.554826946</v>
      </c>
      <c r="AD436" s="30">
        <f>IFERROR(__xludf.DUMMYFUNCTION("""COMPUTED_VALUE"""),1.120074066032715)</f>
        <v>1.120074066</v>
      </c>
      <c r="AE436" s="30">
        <f>IFERROR(__xludf.DUMMYFUNCTION("""COMPUTED_VALUE"""),1.3582567823850342)</f>
        <v>1.358256782</v>
      </c>
      <c r="AF436" s="30">
        <f>IFERROR(__xludf.DUMMYFUNCTION("""COMPUTED_VALUE"""),1.4084712223358347)</f>
        <v>1.408471222</v>
      </c>
      <c r="AG436" s="30">
        <f>IFERROR(__xludf.DUMMYFUNCTION("""COMPUTED_VALUE"""),0.6513649593865877)</f>
        <v>0.6513649594</v>
      </c>
      <c r="AH436" s="30">
        <f>IFERROR(__xludf.DUMMYFUNCTION("""COMPUTED_VALUE"""),1.3614467608087484)</f>
        <v>1.361446761</v>
      </c>
      <c r="AI436" s="30">
        <f>IFERROR(__xludf.DUMMYFUNCTION("""COMPUTED_VALUE"""),0.938352505073098)</f>
        <v>0.9383525051</v>
      </c>
      <c r="AJ436" s="30">
        <f>IFERROR(__xludf.DUMMYFUNCTION("""COMPUTED_VALUE"""),0.8096712786656943)</f>
        <v>0.8096712787</v>
      </c>
      <c r="AK436" s="30">
        <f>IFERROR(__xludf.DUMMYFUNCTION("""COMPUTED_VALUE"""),0.7959083549733477)</f>
        <v>0.795908355</v>
      </c>
      <c r="AL436" s="30">
        <f>IFERROR(__xludf.DUMMYFUNCTION("""COMPUTED_VALUE"""),1.0833696424487984)</f>
        <v>1.083369642</v>
      </c>
      <c r="AM436" s="30">
        <f>IFERROR(__xludf.DUMMYFUNCTION("""COMPUTED_VALUE"""),0.8871591935220604)</f>
        <v>0.8871591935</v>
      </c>
      <c r="AN436" s="30">
        <f>IFERROR(__xludf.DUMMYFUNCTION("""COMPUTED_VALUE"""),1.1458863789015186)</f>
        <v>1.145886379</v>
      </c>
      <c r="AO436" s="30">
        <f>IFERROR(__xludf.DUMMYFUNCTION("""COMPUTED_VALUE"""),1.4614738441651822)</f>
        <v>1.461473844</v>
      </c>
      <c r="AP436" s="30">
        <f>IFERROR(__xludf.DUMMYFUNCTION("""COMPUTED_VALUE"""),1.4737092738692712)</f>
        <v>1.473709274</v>
      </c>
      <c r="AQ436" s="30">
        <f>IFERROR(__xludf.DUMMYFUNCTION("""COMPUTED_VALUE"""),0.631638079285325)</f>
        <v>0.6316380793</v>
      </c>
      <c r="AR436" s="30">
        <f>IFERROR(__xludf.DUMMYFUNCTION("""COMPUTED_VALUE"""),1.3903596283919244)</f>
        <v>1.390359628</v>
      </c>
      <c r="AS436" s="30">
        <f>IFERROR(__xludf.DUMMYFUNCTION("""COMPUTED_VALUE"""),124.0)</f>
        <v>124</v>
      </c>
      <c r="AT436" s="30">
        <f>IFERROR(__xludf.DUMMYFUNCTION("""COMPUTED_VALUE"""),0.6457794967349091)</f>
        <v>0.6457794967</v>
      </c>
      <c r="AU436" s="30">
        <f>IFERROR(__xludf.DUMMYFUNCTION("""COMPUTED_VALUE"""),4.023757753634338)</f>
        <v>4.023757754</v>
      </c>
      <c r="AV436" s="32">
        <f>IFERROR(__xludf.DUMMYFUNCTION("""COMPUTED_VALUE"""),94.3877965419787)</f>
        <v>94.38779654</v>
      </c>
      <c r="AW436" s="32">
        <f>IFERROR(__xludf.DUMMYFUNCTION("""COMPUTED_VALUE"""),26.38055764680415)</f>
        <v>26.38055765</v>
      </c>
      <c r="AX436" s="32">
        <f>IFERROR(__xludf.DUMMYFUNCTION("""COMPUTED_VALUE"""),82.8337358069659)</f>
        <v>82.83373581</v>
      </c>
      <c r="AY436" s="32">
        <f>IFERROR(__xludf.DUMMYFUNCTION("""COMPUTED_VALUE"""),10.578359721812784)</f>
        <v>10.57835972</v>
      </c>
      <c r="AZ436" s="30">
        <f>IFERROR(__xludf.DUMMYFUNCTION("""COMPUTED_VALUE"""),15.802197924991365)</f>
        <v>15.80219792</v>
      </c>
      <c r="BA436" s="30">
        <f>IFERROR(__xludf.DUMMYFUNCTION("""COMPUTED_VALUE"""),1700.0)</f>
        <v>1700</v>
      </c>
    </row>
    <row r="437">
      <c r="A437" s="71" t="str">
        <f>IFERROR(__xludf.DUMMYFUNCTION("""COMPUTED_VALUE"""),"Rival")</f>
        <v>Rival</v>
      </c>
      <c r="B437" s="71" t="str">
        <f>IFERROR(__xludf.DUMMYFUNCTION("""COMPUTED_VALUE"""),"RSC005699")</f>
        <v>RSC005699</v>
      </c>
      <c r="C437" s="30" t="str">
        <f>IFERROR(__xludf.DUMMYFUNCTION("""COMPUTED_VALUE"""),"masdhapotatoes")</f>
        <v>masdhapotatoes</v>
      </c>
      <c r="D437" s="30" t="str">
        <f>IFERROR(__xludf.DUMMYFUNCTION("""COMPUTED_VALUE"""),"Bulldozers")</f>
        <v>Bulldozers</v>
      </c>
      <c r="E437" s="30">
        <f>IFERROR(__xludf.DUMMYFUNCTION("""COMPUTED_VALUE"""),4.0)</f>
        <v>4</v>
      </c>
      <c r="F437" s="30">
        <f>IFERROR(__xludf.DUMMYFUNCTION("""COMPUTED_VALUE"""),1.0)</f>
        <v>1</v>
      </c>
      <c r="G437" s="42">
        <f>IFERROR(__xludf.DUMMYFUNCTION("""COMPUTED_VALUE"""),3.0)</f>
        <v>3</v>
      </c>
      <c r="H437" s="42">
        <f>IFERROR(__xludf.DUMMYFUNCTION("""COMPUTED_VALUE"""),0.25)</f>
        <v>0.25</v>
      </c>
      <c r="I437" s="42">
        <f>IFERROR(__xludf.DUMMYFUNCTION("""COMPUTED_VALUE"""),0.16666666666666666)</f>
        <v>0.1666666667</v>
      </c>
      <c r="J437" s="30">
        <f>IFERROR(__xludf.DUMMYFUNCTION("""COMPUTED_VALUE"""),283.5)</f>
        <v>283.5</v>
      </c>
      <c r="K437" s="30">
        <f>IFERROR(__xludf.DUMMYFUNCTION("""COMPUTED_VALUE"""),0.25)</f>
        <v>0.25</v>
      </c>
      <c r="L437" s="30">
        <f>IFERROR(__xludf.DUMMYFUNCTION("""COMPUTED_VALUE"""),0.5)</f>
        <v>0.5</v>
      </c>
      <c r="M437" s="30">
        <f>IFERROR(__xludf.DUMMYFUNCTION("""COMPUTED_VALUE"""),1.75)</f>
        <v>1.75</v>
      </c>
      <c r="N437" s="30">
        <f>IFERROR(__xludf.DUMMYFUNCTION("""COMPUTED_VALUE"""),1.5)</f>
        <v>1.5</v>
      </c>
      <c r="O437" s="30">
        <f>IFERROR(__xludf.DUMMYFUNCTION("""COMPUTED_VALUE"""),389.41666666666663)</f>
        <v>389.4166667</v>
      </c>
      <c r="P437" s="30">
        <f>IFERROR(__xludf.DUMMYFUNCTION("""COMPUTED_VALUE"""),1.0833333333333333)</f>
        <v>1.083333333</v>
      </c>
      <c r="Q437" s="30">
        <f>IFERROR(__xludf.DUMMYFUNCTION("""COMPUTED_VALUE"""),0.6666666666666666)</f>
        <v>0.6666666667</v>
      </c>
      <c r="R437" s="30">
        <f>IFERROR(__xludf.DUMMYFUNCTION("""COMPUTED_VALUE"""),1.3333333333333333)</f>
        <v>1.333333333</v>
      </c>
      <c r="S437" s="30">
        <f>IFERROR(__xludf.DUMMYFUNCTION("""COMPUTED_VALUE"""),3.0000000000000004)</f>
        <v>3</v>
      </c>
      <c r="T437" s="30">
        <f>IFERROR(__xludf.DUMMYFUNCTION("""COMPUTED_VALUE"""),352.2751527042155)</f>
        <v>352.2751527</v>
      </c>
      <c r="U437" s="30">
        <f>IFERROR(__xludf.DUMMYFUNCTION("""COMPUTED_VALUE"""),0.8123171169931533)</f>
        <v>0.812317117</v>
      </c>
      <c r="V437" s="30">
        <f>IFERROR(__xludf.DUMMYFUNCTION("""COMPUTED_VALUE"""),0.5737781456726339)</f>
        <v>0.5737781457</v>
      </c>
      <c r="W437" s="30">
        <f>IFERROR(__xludf.DUMMYFUNCTION("""COMPUTED_VALUE"""),1.303915666936118)</f>
        <v>1.303915667</v>
      </c>
      <c r="X437" s="30">
        <f>IFERROR(__xludf.DUMMYFUNCTION("""COMPUTED_VALUE"""),2.6661398657455146)</f>
        <v>2.666139866</v>
      </c>
      <c r="Y437" s="30">
        <f>IFERROR(__xludf.DUMMYFUNCTION("""COMPUTED_VALUE"""),338.11506787064496)</f>
        <v>338.1150679</v>
      </c>
      <c r="Z437" s="30">
        <f>IFERROR(__xludf.DUMMYFUNCTION("""COMPUTED_VALUE"""),0.688955532445689)</f>
        <v>0.6889555324</v>
      </c>
      <c r="AA437" s="30">
        <f>IFERROR(__xludf.DUMMYFUNCTION("""COMPUTED_VALUE"""),0.5104140642532518)</f>
        <v>0.5104140643</v>
      </c>
      <c r="AB437" s="30">
        <f>IFERROR(__xludf.DUMMYFUNCTION("""COMPUTED_VALUE"""),1.3717274658729628)</f>
        <v>1.371727466</v>
      </c>
      <c r="AC437" s="30">
        <f>IFERROR(__xludf.DUMMYFUNCTION("""COMPUTED_VALUE"""),2.459302889445116)</f>
        <v>2.459302889</v>
      </c>
      <c r="AD437" s="30">
        <f>IFERROR(__xludf.DUMMYFUNCTION("""COMPUTED_VALUE"""),0.8384719491663133)</f>
        <v>0.8384719492</v>
      </c>
      <c r="AE437" s="30">
        <f>IFERROR(__xludf.DUMMYFUNCTION("""COMPUTED_VALUE"""),0.3628681217095934)</f>
        <v>0.3628681217</v>
      </c>
      <c r="AF437" s="30">
        <f>IFERROR(__xludf.DUMMYFUNCTION("""COMPUTED_VALUE"""),0.9795968313128522)</f>
        <v>0.9795968313</v>
      </c>
      <c r="AG437" s="30">
        <f>IFERROR(__xludf.DUMMYFUNCTION("""COMPUTED_VALUE"""),1.2757636218112072)</f>
        <v>1.275763622</v>
      </c>
      <c r="AH437" s="30">
        <f>IFERROR(__xludf.DUMMYFUNCTION("""COMPUTED_VALUE"""),0.6099289381709464)</f>
        <v>0.6099289382</v>
      </c>
      <c r="AI437" s="30">
        <f>IFERROR(__xludf.DUMMYFUNCTION("""COMPUTED_VALUE"""),1.105433249201191)</f>
        <v>1.105433249</v>
      </c>
      <c r="AJ437" s="30">
        <f>IFERROR(__xludf.DUMMYFUNCTION("""COMPUTED_VALUE"""),1.3336335166041615)</f>
        <v>1.333633517</v>
      </c>
      <c r="AK437" s="30">
        <f>IFERROR(__xludf.DUMMYFUNCTION("""COMPUTED_VALUE"""),1.1618892627657342)</f>
        <v>1.161889263</v>
      </c>
      <c r="AL437" s="30">
        <f>IFERROR(__xludf.DUMMYFUNCTION("""COMPUTED_VALUE"""),1.0225610192002215)</f>
        <v>1.022561019</v>
      </c>
      <c r="AM437" s="30">
        <f>IFERROR(__xludf.DUMMYFUNCTION("""COMPUTED_VALUE"""),1.1252222880516927)</f>
        <v>1.125222288</v>
      </c>
      <c r="AN437" s="30">
        <f>IFERROR(__xludf.DUMMYFUNCTION("""COMPUTED_VALUE"""),0.8360937876828011)</f>
        <v>0.8360937877</v>
      </c>
      <c r="AO437" s="30">
        <f>IFERROR(__xludf.DUMMYFUNCTION("""COMPUTED_VALUE"""),0.3361389841579919)</f>
        <v>0.3361389842</v>
      </c>
      <c r="AP437" s="30">
        <f>IFERROR(__xludf.DUMMYFUNCTION("""COMPUTED_VALUE"""),0.9160895486214388)</f>
        <v>0.9160895486</v>
      </c>
      <c r="AQ437" s="30">
        <f>IFERROR(__xludf.DUMMYFUNCTION("""COMPUTED_VALUE"""),1.3380754048018069)</f>
        <v>1.338075405</v>
      </c>
      <c r="AR437" s="30">
        <f>IFERROR(__xludf.DUMMYFUNCTION("""COMPUTED_VALUE"""),0.5995925897440174)</f>
        <v>0.5995925897</v>
      </c>
      <c r="AS437" s="30">
        <f>IFERROR(__xludf.DUMMYFUNCTION("""COMPUTED_VALUE"""),4.0)</f>
        <v>4</v>
      </c>
      <c r="AT437" s="30">
        <f>IFERROR(__xludf.DUMMYFUNCTION("""COMPUTED_VALUE"""),0.1436382332496091)</f>
        <v>0.1436382332</v>
      </c>
      <c r="AU437" s="30">
        <f>IFERROR(__xludf.DUMMYFUNCTION("""COMPUTED_VALUE"""),1.0296762141239664)</f>
        <v>1.029676214</v>
      </c>
      <c r="AV437" s="32">
        <f>IFERROR(__xludf.DUMMYFUNCTION("""COMPUTED_VALUE"""),8.667317176806165)</f>
        <v>8.667317177</v>
      </c>
      <c r="AW437" s="32">
        <f>IFERROR(__xludf.DUMMYFUNCTION("""COMPUTED_VALUE"""),-20.352435922200648)</f>
        <v>-20.35243592</v>
      </c>
      <c r="AX437" s="32">
        <f>IFERROR(__xludf.DUMMYFUNCTION("""COMPUTED_VALUE"""),17.48276185213185)</f>
        <v>17.48276185</v>
      </c>
      <c r="AY437" s="32">
        <f>IFERROR(__xludf.DUMMYFUNCTION("""COMPUTED_VALUE"""),-10.34314688329239)</f>
        <v>-10.34314688</v>
      </c>
      <c r="AZ437" s="30">
        <f>IFERROR(__xludf.DUMMYFUNCTION("""COMPUTED_VALUE"""),10.009289038908259)</f>
        <v>10.00928904</v>
      </c>
      <c r="BA437" s="30">
        <f>IFERROR(__xludf.DUMMYFUNCTION("""COMPUTED_VALUE"""),1700.0)</f>
        <v>1700</v>
      </c>
    </row>
    <row r="438">
      <c r="A438" s="71" t="str">
        <f>IFERROR(__xludf.DUMMYFUNCTION("""COMPUTED_VALUE"""),"Rival")</f>
        <v>Rival</v>
      </c>
      <c r="B438" s="71" t="str">
        <f>IFERROR(__xludf.DUMMYFUNCTION("""COMPUTED_VALUE"""),"RSC006338")</f>
        <v>RSC006338</v>
      </c>
      <c r="C438" s="30" t="str">
        <f>IFERROR(__xludf.DUMMYFUNCTION("""COMPUTED_VALUE"""),"mykul.457")</f>
        <v>mykul.457</v>
      </c>
      <c r="D438" s="30"/>
      <c r="E438" s="30">
        <f>IFERROR(__xludf.DUMMYFUNCTION("""COMPUTED_VALUE"""),2.0)</f>
        <v>2</v>
      </c>
      <c r="F438" s="30">
        <f>IFERROR(__xludf.DUMMYFUNCTION("""COMPUTED_VALUE"""),1.0)</f>
        <v>1</v>
      </c>
      <c r="G438" s="42">
        <f>IFERROR(__xludf.DUMMYFUNCTION("""COMPUTED_VALUE"""),1.0)</f>
        <v>1</v>
      </c>
      <c r="H438" s="42">
        <f>IFERROR(__xludf.DUMMYFUNCTION("""COMPUTED_VALUE"""),0.5)</f>
        <v>0.5</v>
      </c>
      <c r="I438" s="42">
        <f>IFERROR(__xludf.DUMMYFUNCTION("""COMPUTED_VALUE"""),0.2)</f>
        <v>0.2</v>
      </c>
      <c r="J438" s="30">
        <f>IFERROR(__xludf.DUMMYFUNCTION("""COMPUTED_VALUE"""),376.0)</f>
        <v>376</v>
      </c>
      <c r="K438" s="30">
        <f>IFERROR(__xludf.DUMMYFUNCTION("""COMPUTED_VALUE"""),0.5)</f>
        <v>0.5</v>
      </c>
      <c r="L438" s="30">
        <f>IFERROR(__xludf.DUMMYFUNCTION("""COMPUTED_VALUE"""),1.5)</f>
        <v>1.5</v>
      </c>
      <c r="M438" s="30">
        <f>IFERROR(__xludf.DUMMYFUNCTION("""COMPUTED_VALUE"""),1.0)</f>
        <v>1</v>
      </c>
      <c r="N438" s="30">
        <f>IFERROR(__xludf.DUMMYFUNCTION("""COMPUTED_VALUE"""),2.5)</f>
        <v>2.5</v>
      </c>
      <c r="O438" s="30">
        <f>IFERROR(__xludf.DUMMYFUNCTION("""COMPUTED_VALUE"""),253.66666666666666)</f>
        <v>253.6666667</v>
      </c>
      <c r="P438" s="30">
        <f>IFERROR(__xludf.DUMMYFUNCTION("""COMPUTED_VALUE"""),0.16666666666666666)</f>
        <v>0.1666666667</v>
      </c>
      <c r="Q438" s="30">
        <f>IFERROR(__xludf.DUMMYFUNCTION("""COMPUTED_VALUE"""),0.16666666666666666)</f>
        <v>0.1666666667</v>
      </c>
      <c r="R438" s="30">
        <f>IFERROR(__xludf.DUMMYFUNCTION("""COMPUTED_VALUE"""),1.5)</f>
        <v>1.5</v>
      </c>
      <c r="S438" s="30">
        <f>IFERROR(__xludf.DUMMYFUNCTION("""COMPUTED_VALUE"""),2.666666666666667)</f>
        <v>2.666666667</v>
      </c>
      <c r="T438" s="30">
        <f>IFERROR(__xludf.DUMMYFUNCTION("""COMPUTED_VALUE"""),307.29298245614035)</f>
        <v>307.2929825</v>
      </c>
      <c r="U438" s="30">
        <f>IFERROR(__xludf.DUMMYFUNCTION("""COMPUTED_VALUE"""),0.6538011695906433)</f>
        <v>0.6538011696</v>
      </c>
      <c r="V438" s="30">
        <f>IFERROR(__xludf.DUMMYFUNCTION("""COMPUTED_VALUE"""),0.4538011695906432)</f>
        <v>0.4538011696</v>
      </c>
      <c r="W438" s="30">
        <f>IFERROR(__xludf.DUMMYFUNCTION("""COMPUTED_VALUE"""),1.2140350877192982)</f>
        <v>1.214035088</v>
      </c>
      <c r="X438" s="30">
        <f>IFERROR(__xludf.DUMMYFUNCTION("""COMPUTED_VALUE"""),2.350877192982456)</f>
        <v>2.350877193</v>
      </c>
      <c r="Y438" s="30">
        <f>IFERROR(__xludf.DUMMYFUNCTION("""COMPUTED_VALUE"""),383.9467836257309)</f>
        <v>383.9467836</v>
      </c>
      <c r="Z438" s="30">
        <f>IFERROR(__xludf.DUMMYFUNCTION("""COMPUTED_VALUE"""),0.9709551656920077)</f>
        <v>0.9709551657</v>
      </c>
      <c r="AA438" s="30">
        <f>IFERROR(__xludf.DUMMYFUNCTION("""COMPUTED_VALUE"""),0.6532163742690059)</f>
        <v>0.6532163743</v>
      </c>
      <c r="AB438" s="30">
        <f>IFERROR(__xludf.DUMMYFUNCTION("""COMPUTED_VALUE"""),1.3631578947368421)</f>
        <v>1.363157895</v>
      </c>
      <c r="AC438" s="30">
        <f>IFERROR(__xludf.DUMMYFUNCTION("""COMPUTED_VALUE"""),2.915594541910331)</f>
        <v>2.915594542</v>
      </c>
      <c r="AD438" s="30">
        <f>IFERROR(__xludf.DUMMYFUNCTION("""COMPUTED_VALUE"""),0.979302382609676)</f>
        <v>0.9793023826</v>
      </c>
      <c r="AE438" s="30">
        <f>IFERROR(__xludf.DUMMYFUNCTION("""COMPUTED_VALUE"""),0.5149568359767116)</f>
        <v>0.514956836</v>
      </c>
      <c r="AF438" s="30">
        <f>IFERROR(__xludf.DUMMYFUNCTION("""COMPUTED_VALUE"""),2.2963294538943595)</f>
        <v>2.296329454</v>
      </c>
      <c r="AG438" s="30">
        <f>IFERROR(__xludf.DUMMYFUNCTION("""COMPUTED_VALUE"""),0.7335907335907336)</f>
        <v>0.7335907336</v>
      </c>
      <c r="AH438" s="30">
        <f>IFERROR(__xludf.DUMMYFUNCTION("""COMPUTED_VALUE"""),0.8574580463996793)</f>
        <v>0.8574580464</v>
      </c>
      <c r="AI438" s="30">
        <f>IFERROR(__xludf.DUMMYFUNCTION("""COMPUTED_VALUE"""),0.8254879907739913)</f>
        <v>0.8254879908</v>
      </c>
      <c r="AJ438" s="30">
        <f>IFERROR(__xludf.DUMMYFUNCTION("""COMPUTED_VALUE"""),0.2549194991055456)</f>
        <v>0.2549194991</v>
      </c>
      <c r="AK438" s="30">
        <f>IFERROR(__xludf.DUMMYFUNCTION("""COMPUTED_VALUE"""),0.36726804123711343)</f>
        <v>0.3672680412</v>
      </c>
      <c r="AL438" s="30">
        <f>IFERROR(__xludf.DUMMYFUNCTION("""COMPUTED_VALUE"""),1.2355491329479769)</f>
        <v>1.235549133</v>
      </c>
      <c r="AM438" s="30">
        <f>IFERROR(__xludf.DUMMYFUNCTION("""COMPUTED_VALUE"""),1.1343283582089554)</f>
        <v>1.134328358</v>
      </c>
      <c r="AN438" s="30">
        <f>IFERROR(__xludf.DUMMYFUNCTION("""COMPUTED_VALUE"""),1.1088933480378598)</f>
        <v>1.108893348</v>
      </c>
      <c r="AO438" s="30">
        <f>IFERROR(__xludf.DUMMYFUNCTION("""COMPUTED_VALUE"""),0.6722779683159839)</f>
        <v>0.6722779683</v>
      </c>
      <c r="AP438" s="30">
        <f>IFERROR(__xludf.DUMMYFUNCTION("""COMPUTED_VALUE"""),2.748268645864316)</f>
        <v>2.748268646</v>
      </c>
      <c r="AQ438" s="30">
        <f>IFERROR(__xludf.DUMMYFUNCTION("""COMPUTED_VALUE"""),0.7646145170296039)</f>
        <v>0.764614517</v>
      </c>
      <c r="AR438" s="30">
        <f>IFERROR(__xludf.DUMMYFUNCTION("""COMPUTED_VALUE"""),0.9993209829066958)</f>
        <v>0.9993209829</v>
      </c>
      <c r="AS438" s="30">
        <f>IFERROR(__xludf.DUMMYFUNCTION("""COMPUTED_VALUE"""),4.0)</f>
        <v>4</v>
      </c>
      <c r="AT438" s="30">
        <f>IFERROR(__xludf.DUMMYFUNCTION("""COMPUTED_VALUE"""),0.8585482796624491)</f>
        <v>0.8585482797</v>
      </c>
      <c r="AU438" s="30">
        <f>IFERROR(__xludf.DUMMYFUNCTION("""COMPUTED_VALUE"""),3.7244999494992035)</f>
        <v>3.724499949</v>
      </c>
      <c r="AV438" s="32">
        <f>IFERROR(__xludf.DUMMYFUNCTION("""COMPUTED_VALUE"""),85.82005311691898)</f>
        <v>85.82005312</v>
      </c>
      <c r="AW438" s="32">
        <f>IFERROR(__xludf.DUMMYFUNCTION("""COMPUTED_VALUE"""),13.165309405410552)</f>
        <v>13.16530941</v>
      </c>
      <c r="AX438" s="32">
        <f>IFERROR(__xludf.DUMMYFUNCTION("""COMPUTED_VALUE"""),66.88030958166516)</f>
        <v>66.88030958</v>
      </c>
      <c r="AY438" s="32">
        <f>IFERROR(__xludf.DUMMYFUNCTION("""COMPUTED_VALUE"""),4.003676654524921)</f>
        <v>4.003676655</v>
      </c>
      <c r="AZ438" s="30">
        <f>IFERROR(__xludf.DUMMYFUNCTION("""COMPUTED_VALUE"""),9.16163275088563)</f>
        <v>9.161632751</v>
      </c>
      <c r="BA438" s="30">
        <f>IFERROR(__xludf.DUMMYFUNCTION("""COMPUTED_VALUE"""),1700.0)</f>
        <v>1700</v>
      </c>
    </row>
    <row r="439">
      <c r="A439" s="71" t="str">
        <f>IFERROR(__xludf.DUMMYFUNCTION("""COMPUTED_VALUE"""),"Rival")</f>
        <v>Rival</v>
      </c>
      <c r="B439" s="71" t="str">
        <f>IFERROR(__xludf.DUMMYFUNCTION("""COMPUTED_VALUE"""),"RSC000331")</f>
        <v>RSC000331</v>
      </c>
      <c r="C439" s="30" t="str">
        <f>IFERROR(__xludf.DUMMYFUNCTION("""COMPUTED_VALUE"""),"Turtle_Supreme")</f>
        <v>Turtle_Supreme</v>
      </c>
      <c r="D439" s="30"/>
      <c r="E439" s="30">
        <f>IFERROR(__xludf.DUMMYFUNCTION("""COMPUTED_VALUE"""),20.0)</f>
        <v>20</v>
      </c>
      <c r="F439" s="30">
        <f>IFERROR(__xludf.DUMMYFUNCTION("""COMPUTED_VALUE"""),5.0)</f>
        <v>5</v>
      </c>
      <c r="G439" s="42">
        <f>IFERROR(__xludf.DUMMYFUNCTION("""COMPUTED_VALUE"""),15.0)</f>
        <v>15</v>
      </c>
      <c r="H439" s="42">
        <f>IFERROR(__xludf.DUMMYFUNCTION("""COMPUTED_VALUE"""),0.25)</f>
        <v>0.25</v>
      </c>
      <c r="I439" s="42">
        <f>IFERROR(__xludf.DUMMYFUNCTION("""COMPUTED_VALUE"""),0.13513513513513511)</f>
        <v>0.1351351351</v>
      </c>
      <c r="J439" s="30">
        <f>IFERROR(__xludf.DUMMYFUNCTION("""COMPUTED_VALUE"""),293.95)</f>
        <v>293.95</v>
      </c>
      <c r="K439" s="30">
        <f>IFERROR(__xludf.DUMMYFUNCTION("""COMPUTED_VALUE"""),0.25)</f>
        <v>0.25</v>
      </c>
      <c r="L439" s="30">
        <f>IFERROR(__xludf.DUMMYFUNCTION("""COMPUTED_VALUE"""),0.4)</f>
        <v>0.4</v>
      </c>
      <c r="M439" s="30">
        <f>IFERROR(__xludf.DUMMYFUNCTION("""COMPUTED_VALUE"""),1.5)</f>
        <v>1.5</v>
      </c>
      <c r="N439" s="30">
        <f>IFERROR(__xludf.DUMMYFUNCTION("""COMPUTED_VALUE"""),1.85)</f>
        <v>1.85</v>
      </c>
      <c r="O439" s="30">
        <f>IFERROR(__xludf.DUMMYFUNCTION("""COMPUTED_VALUE"""),375.6333333333333)</f>
        <v>375.6333333</v>
      </c>
      <c r="P439" s="30">
        <f>IFERROR(__xludf.DUMMYFUNCTION("""COMPUTED_VALUE"""),0.9)</f>
        <v>0.9</v>
      </c>
      <c r="Q439" s="30">
        <f>IFERROR(__xludf.DUMMYFUNCTION("""COMPUTED_VALUE"""),0.6666666666666666)</f>
        <v>0.6666666667</v>
      </c>
      <c r="R439" s="30">
        <f>IFERROR(__xludf.DUMMYFUNCTION("""COMPUTED_VALUE"""),1.2500000000000002)</f>
        <v>1.25</v>
      </c>
      <c r="S439" s="30">
        <f>IFERROR(__xludf.DUMMYFUNCTION("""COMPUTED_VALUE"""),3.1333333333333337)</f>
        <v>3.133333333</v>
      </c>
      <c r="T439" s="30">
        <f>IFERROR(__xludf.DUMMYFUNCTION("""COMPUTED_VALUE"""),358.8940374807888)</f>
        <v>358.8940375</v>
      </c>
      <c r="U439" s="30">
        <f>IFERROR(__xludf.DUMMYFUNCTION("""COMPUTED_VALUE"""),0.8635669025637001)</f>
        <v>0.8635669026</v>
      </c>
      <c r="V439" s="30">
        <f>IFERROR(__xludf.DUMMYFUNCTION("""COMPUTED_VALUE"""),0.5905769665648599)</f>
        <v>0.5905769666</v>
      </c>
      <c r="W439" s="30">
        <f>IFERROR(__xludf.DUMMYFUNCTION("""COMPUTED_VALUE"""),1.3310895715503397)</f>
        <v>1.331089572</v>
      </c>
      <c r="X439" s="30">
        <f>IFERROR(__xludf.DUMMYFUNCTION("""COMPUTED_VALUE"""),2.7181282506838356)</f>
        <v>2.718128251</v>
      </c>
      <c r="Y439" s="30">
        <f>IFERROR(__xludf.DUMMYFUNCTION("""COMPUTED_VALUE"""),343.4602361379403)</f>
        <v>343.4602361</v>
      </c>
      <c r="Z439" s="30">
        <f>IFERROR(__xludf.DUMMYFUNCTION("""COMPUTED_VALUE"""),0.7526982438468854)</f>
        <v>0.7526982438</v>
      </c>
      <c r="AA439" s="30">
        <f>IFERROR(__xludf.DUMMYFUNCTION("""COMPUTED_VALUE"""),0.540865017266708)</f>
        <v>0.5408650173</v>
      </c>
      <c r="AB439" s="30">
        <f>IFERROR(__xludf.DUMMYFUNCTION("""COMPUTED_VALUE"""),1.3325627546679804)</f>
        <v>1.332562755</v>
      </c>
      <c r="AC439" s="30">
        <f>IFERROR(__xludf.DUMMYFUNCTION("""COMPUTED_VALUE"""),2.602234347471191)</f>
        <v>2.602234347</v>
      </c>
      <c r="AD439" s="30">
        <f>IFERROR(__xludf.DUMMYFUNCTION("""COMPUTED_VALUE"""),0.8558487098982369)</f>
        <v>0.8558487099</v>
      </c>
      <c r="AE439" s="30">
        <f>IFERROR(__xludf.DUMMYFUNCTION("""COMPUTED_VALUE"""),0.3321384127619344)</f>
        <v>0.3321384128</v>
      </c>
      <c r="AF439" s="30">
        <f>IFERROR(__xludf.DUMMYFUNCTION("""COMPUTED_VALUE"""),0.7395560578523319)</f>
        <v>0.7395560579</v>
      </c>
      <c r="AG439" s="30">
        <f>IFERROR(__xludf.DUMMYFUNCTION("""COMPUTED_VALUE"""),1.1256505517248514)</f>
        <v>1.125650552</v>
      </c>
      <c r="AH439" s="30">
        <f>IFERROR(__xludf.DUMMYFUNCTION("""COMPUTED_VALUE"""),0.7109275157319325)</f>
        <v>0.7109275157</v>
      </c>
      <c r="AI439" s="30">
        <f>IFERROR(__xludf.DUMMYFUNCTION("""COMPUTED_VALUE"""),1.0466413317146306)</f>
        <v>1.046641332</v>
      </c>
      <c r="AJ439" s="30">
        <f>IFERROR(__xludf.DUMMYFUNCTION("""COMPUTED_VALUE"""),1.0421890849778284)</f>
        <v>1.042189085</v>
      </c>
      <c r="AK439" s="30">
        <f>IFERROR(__xludf.DUMMYFUNCTION("""COMPUTED_VALUE"""),1.1288395999329077)</f>
        <v>1.1288396</v>
      </c>
      <c r="AL439" s="30">
        <f>IFERROR(__xludf.DUMMYFUNCTION("""COMPUTED_VALUE"""),0.9390803043735868)</f>
        <v>0.9390803044</v>
      </c>
      <c r="AM439" s="30">
        <f>IFERROR(__xludf.DUMMYFUNCTION("""COMPUTED_VALUE"""),1.1527540440908333)</f>
        <v>1.152754044</v>
      </c>
      <c r="AN439" s="30">
        <f>IFERROR(__xludf.DUMMYFUNCTION("""COMPUTED_VALUE"""),0.866912765041832)</f>
        <v>0.866912765</v>
      </c>
      <c r="AO439" s="30">
        <f>IFERROR(__xludf.DUMMYFUNCTION("""COMPUTED_VALUE"""),0.3361389841579919)</f>
        <v>0.3361389842</v>
      </c>
      <c r="AP439" s="30">
        <f>IFERROR(__xludf.DUMMYFUNCTION("""COMPUTED_VALUE"""),0.7328716388971511)</f>
        <v>0.7328716389</v>
      </c>
      <c r="AQ439" s="30">
        <f>IFERROR(__xludf.DUMMYFUNCTION("""COMPUTED_VALUE"""),1.1469217755444059)</f>
        <v>1.146921776</v>
      </c>
      <c r="AR439" s="30">
        <f>IFERROR(__xludf.DUMMYFUNCTION("""COMPUTED_VALUE"""),0.7394975273509549)</f>
        <v>0.7394975274</v>
      </c>
      <c r="AS439" s="30">
        <f>IFERROR(__xludf.DUMMYFUNCTION("""COMPUTED_VALUE"""),28.0)</f>
        <v>28</v>
      </c>
      <c r="AT439" s="30">
        <f>IFERROR(__xludf.DUMMYFUNCTION("""COMPUTED_VALUE"""),0.2719670917600866)</f>
        <v>0.2719670918</v>
      </c>
      <c r="AU439" s="30">
        <f>IFERROR(__xludf.DUMMYFUNCTION("""COMPUTED_VALUE"""),1.107510060281886)</f>
        <v>1.10751006</v>
      </c>
      <c r="AV439" s="32">
        <f>IFERROR(__xludf.DUMMYFUNCTION("""COMPUTED_VALUE"""),10.895698239729072)</f>
        <v>10.89569824</v>
      </c>
      <c r="AW439" s="32">
        <f>IFERROR(__xludf.DUMMYFUNCTION("""COMPUTED_VALUE"""),-16.98122051574579)</f>
        <v>-16.98122052</v>
      </c>
      <c r="AX439" s="32">
        <f>IFERROR(__xludf.DUMMYFUNCTION("""COMPUTED_VALUE"""),21.265031933986073)</f>
        <v>21.26503193</v>
      </c>
      <c r="AY439" s="32">
        <f>IFERROR(__xludf.DUMMYFUNCTION("""COMPUTED_VALUE"""),-7.987488189806723)</f>
        <v>-7.98748819</v>
      </c>
      <c r="AZ439" s="30">
        <f>IFERROR(__xludf.DUMMYFUNCTION("""COMPUTED_VALUE"""),8.993732325939067)</f>
        <v>8.993732326</v>
      </c>
      <c r="BA439" s="30">
        <f>IFERROR(__xludf.DUMMYFUNCTION("""COMPUTED_VALUE"""),1700.0)</f>
        <v>1700</v>
      </c>
    </row>
    <row r="440">
      <c r="A440" s="71" t="str">
        <f>IFERROR(__xludf.DUMMYFUNCTION("""COMPUTED_VALUE"""),"Rival")</f>
        <v>Rival</v>
      </c>
      <c r="B440" s="71" t="str">
        <f>IFERROR(__xludf.DUMMYFUNCTION("""COMPUTED_VALUE"""),"RSC007930")</f>
        <v>RSC007930</v>
      </c>
      <c r="C440" s="30" t="str">
        <f>IFERROR(__xludf.DUMMYFUNCTION("""COMPUTED_VALUE"""),"Ziffy")</f>
        <v>Ziffy</v>
      </c>
      <c r="D440" s="30" t="str">
        <f>IFERROR(__xludf.DUMMYFUNCTION("""COMPUTED_VALUE"""),"50 Cent")</f>
        <v>50 Cent</v>
      </c>
      <c r="E440" s="30">
        <f>IFERROR(__xludf.DUMMYFUNCTION("""COMPUTED_VALUE"""),37.0)</f>
        <v>37</v>
      </c>
      <c r="F440" s="30">
        <f>IFERROR(__xludf.DUMMYFUNCTION("""COMPUTED_VALUE"""),23.0)</f>
        <v>23</v>
      </c>
      <c r="G440" s="42">
        <f>IFERROR(__xludf.DUMMYFUNCTION("""COMPUTED_VALUE"""),14.0)</f>
        <v>14</v>
      </c>
      <c r="H440" s="42">
        <f>IFERROR(__xludf.DUMMYFUNCTION("""COMPUTED_VALUE"""),0.6216216216216216)</f>
        <v>0.6216216216</v>
      </c>
      <c r="I440" s="42">
        <f>IFERROR(__xludf.DUMMYFUNCTION("""COMPUTED_VALUE"""),0.30327868852459017)</f>
        <v>0.3032786885</v>
      </c>
      <c r="J440" s="30">
        <f>IFERROR(__xludf.DUMMYFUNCTION("""COMPUTED_VALUE"""),361.8918918918919)</f>
        <v>361.8918919</v>
      </c>
      <c r="K440" s="30">
        <f>IFERROR(__xludf.DUMMYFUNCTION("""COMPUTED_VALUE"""),1.0)</f>
        <v>1</v>
      </c>
      <c r="L440" s="30">
        <f>IFERROR(__xludf.DUMMYFUNCTION("""COMPUTED_VALUE"""),0.8378378378378378)</f>
        <v>0.8378378378</v>
      </c>
      <c r="M440" s="30">
        <f>IFERROR(__xludf.DUMMYFUNCTION("""COMPUTED_VALUE"""),0.9459459459459459)</f>
        <v>0.9459459459</v>
      </c>
      <c r="N440" s="30">
        <f>IFERROR(__xludf.DUMMYFUNCTION("""COMPUTED_VALUE"""),3.2972972972972974)</f>
        <v>3.297297297</v>
      </c>
      <c r="O440" s="30">
        <f>IFERROR(__xludf.DUMMYFUNCTION("""COMPUTED_VALUE"""),338.6846846846847)</f>
        <v>338.6846847</v>
      </c>
      <c r="P440" s="30">
        <f>IFERROR(__xludf.DUMMYFUNCTION("""COMPUTED_VALUE"""),0.8108108108108106)</f>
        <v>0.8108108108</v>
      </c>
      <c r="Q440" s="30">
        <f>IFERROR(__xludf.DUMMYFUNCTION("""COMPUTED_VALUE"""),0.42342342342342354)</f>
        <v>0.4234234234</v>
      </c>
      <c r="R440" s="30">
        <f>IFERROR(__xludf.DUMMYFUNCTION("""COMPUTED_VALUE"""),1.3963963963963963)</f>
        <v>1.396396396</v>
      </c>
      <c r="S440" s="30">
        <f>IFERROR(__xludf.DUMMYFUNCTION("""COMPUTED_VALUE"""),2.3873873873873874)</f>
        <v>2.387387387</v>
      </c>
      <c r="T440" s="30">
        <f>IFERROR(__xludf.DUMMYFUNCTION("""COMPUTED_VALUE"""),347.2992053460329)</f>
        <v>347.2992053</v>
      </c>
      <c r="U440" s="30">
        <f>IFERROR(__xludf.DUMMYFUNCTION("""COMPUTED_VALUE"""),0.8125785319073091)</f>
        <v>0.8125785319</v>
      </c>
      <c r="V440" s="30">
        <f>IFERROR(__xludf.DUMMYFUNCTION("""COMPUTED_VALUE"""),0.5448318283046621)</f>
        <v>0.5448318283</v>
      </c>
      <c r="W440" s="30">
        <f>IFERROR(__xludf.DUMMYFUNCTION("""COMPUTED_VALUE"""),1.2818457295824173)</f>
        <v>1.28184573</v>
      </c>
      <c r="X440" s="30">
        <f>IFERROR(__xludf.DUMMYFUNCTION("""COMPUTED_VALUE"""),2.621213936560466)</f>
        <v>2.621213937</v>
      </c>
      <c r="Y440" s="30">
        <f>IFERROR(__xludf.DUMMYFUNCTION("""COMPUTED_VALUE"""),354.31385362508496)</f>
        <v>354.3138536</v>
      </c>
      <c r="Z440" s="30">
        <f>IFERROR(__xludf.DUMMYFUNCTION("""COMPUTED_VALUE"""),0.8302872758853491)</f>
        <v>0.8302872759</v>
      </c>
      <c r="AA440" s="30">
        <f>IFERROR(__xludf.DUMMYFUNCTION("""COMPUTED_VALUE"""),0.5966100259448194)</f>
        <v>0.5966100259</v>
      </c>
      <c r="AB440" s="30">
        <f>IFERROR(__xludf.DUMMYFUNCTION("""COMPUTED_VALUE"""),1.334350907105638)</f>
        <v>1.334350907</v>
      </c>
      <c r="AC440" s="30">
        <f>IFERROR(__xludf.DUMMYFUNCTION("""COMPUTED_VALUE"""),2.6172172713382613)</f>
        <v>2.617217271</v>
      </c>
      <c r="AD440" s="30">
        <f>IFERROR(__xludf.DUMMYFUNCTION("""COMPUTED_VALUE"""),1.0213879253923432)</f>
        <v>1.021387925</v>
      </c>
      <c r="AE440" s="30">
        <f>IFERROR(__xludf.DUMMYFUNCTION("""COMPUTED_VALUE"""),1.2044024147349282)</f>
        <v>1.204402415</v>
      </c>
      <c r="AF440" s="30">
        <f>IFERROR(__xludf.DUMMYFUNCTION("""COMPUTED_VALUE"""),1.4043308047178706)</f>
        <v>1.404330805</v>
      </c>
      <c r="AG440" s="30">
        <f>IFERROR(__xludf.DUMMYFUNCTION("""COMPUTED_VALUE"""),0.7089184268610514)</f>
        <v>0.7089184269</v>
      </c>
      <c r="AH440" s="30">
        <f>IFERROR(__xludf.DUMMYFUNCTION("""COMPUTED_VALUE"""),1.2598485167459141)</f>
        <v>1.259848517</v>
      </c>
      <c r="AI440" s="30">
        <f>IFERROR(__xludf.DUMMYFUNCTION("""COMPUTED_VALUE"""),0.9751956798957686)</f>
        <v>0.9751956799</v>
      </c>
      <c r="AJ440" s="30">
        <f>IFERROR(__xludf.DUMMYFUNCTION("""COMPUTED_VALUE"""),0.9978245535328761)</f>
        <v>0.9978245535</v>
      </c>
      <c r="AK440" s="30">
        <f>IFERROR(__xludf.DUMMYFUNCTION("""COMPUTED_VALUE"""),0.7771635235426283)</f>
        <v>0.7771635235</v>
      </c>
      <c r="AL440" s="30">
        <f>IFERROR(__xludf.DUMMYFUNCTION("""COMPUTED_VALUE"""),1.0893638479033634)</f>
        <v>1.089363848</v>
      </c>
      <c r="AM440" s="30">
        <f>IFERROR(__xludf.DUMMYFUNCTION("""COMPUTED_VALUE"""),0.9107945574713738)</f>
        <v>0.9107945575</v>
      </c>
      <c r="AN440" s="30">
        <f>IFERROR(__xludf.DUMMYFUNCTION("""COMPUTED_VALUE"""),1.0672859351801998)</f>
        <v>1.067285935</v>
      </c>
      <c r="AO440" s="30">
        <f>IFERROR(__xludf.DUMMYFUNCTION("""COMPUTED_VALUE"""),1.3445559366319677)</f>
        <v>1.344555937</v>
      </c>
      <c r="AP440" s="30">
        <f>IFERROR(__xludf.DUMMYFUNCTION("""COMPUTED_VALUE"""),1.5350689733656542)</f>
        <v>1.535068973</v>
      </c>
      <c r="AQ440" s="30">
        <f>IFERROR(__xludf.DUMMYFUNCTION("""COMPUTED_VALUE"""),0.7232840025955712)</f>
        <v>0.7232840026</v>
      </c>
      <c r="AR440" s="30">
        <f>IFERROR(__xludf.DUMMYFUNCTION("""COMPUTED_VALUE"""),1.3180233504282906)</f>
        <v>1.31802335</v>
      </c>
      <c r="AS440" s="30">
        <f>IFERROR(__xludf.DUMMYFUNCTION("""COMPUTED_VALUE"""),112.0)</f>
        <v>112</v>
      </c>
      <c r="AT440" s="30">
        <f>IFERROR(__xludf.DUMMYFUNCTION("""COMPUTED_VALUE"""),0.5880597482621837)</f>
        <v>0.5880597483</v>
      </c>
      <c r="AU440" s="30">
        <f>IFERROR(__xludf.DUMMYFUNCTION("""COMPUTED_VALUE"""),3.646746225590429)</f>
        <v>3.646746226</v>
      </c>
      <c r="AV440" s="32">
        <f>IFERROR(__xludf.DUMMYFUNCTION("""COMPUTED_VALUE"""),83.59396595197911)</f>
        <v>83.59396595</v>
      </c>
      <c r="AW440" s="32">
        <f>IFERROR(__xludf.DUMMYFUNCTION("""COMPUTED_VALUE"""),11.171533674861685)</f>
        <v>11.17153367</v>
      </c>
      <c r="AX440" s="32">
        <f>IFERROR(__xludf.DUMMYFUNCTION("""COMPUTED_VALUE"""),61.15211129967222)</f>
        <v>61.1521113</v>
      </c>
      <c r="AY440" s="32">
        <f>IFERROR(__xludf.DUMMYFUNCTION("""COMPUTED_VALUE"""),3.0509373357791336)</f>
        <v>3.050937336</v>
      </c>
      <c r="AZ440" s="30">
        <f>IFERROR(__xludf.DUMMYFUNCTION("""COMPUTED_VALUE"""),8.120596339082551)</f>
        <v>8.120596339</v>
      </c>
      <c r="BA440" s="30">
        <f>IFERROR(__xludf.DUMMYFUNCTION("""COMPUTED_VALUE"""),1700.0)</f>
        <v>1700</v>
      </c>
    </row>
    <row r="441">
      <c r="A441" s="71" t="str">
        <f>IFERROR(__xludf.DUMMYFUNCTION("""COMPUTED_VALUE"""),"Rival")</f>
        <v>Rival</v>
      </c>
      <c r="B441" s="71" t="str">
        <f>IFERROR(__xludf.DUMMYFUNCTION("""COMPUTED_VALUE"""),"RSC005834")</f>
        <v>RSC005834</v>
      </c>
      <c r="C441" s="30" t="str">
        <f>IFERROR(__xludf.DUMMYFUNCTION("""COMPUTED_VALUE"""),"IIIYummyIII")</f>
        <v>IIIYummyIII</v>
      </c>
      <c r="D441" s="30" t="str">
        <f>IFERROR(__xludf.DUMMYFUNCTION("""COMPUTED_VALUE"""),"Hot Wings")</f>
        <v>Hot Wings</v>
      </c>
      <c r="E441" s="30">
        <f>IFERROR(__xludf.DUMMYFUNCTION("""COMPUTED_VALUE"""),37.0)</f>
        <v>37</v>
      </c>
      <c r="F441" s="30">
        <f>IFERROR(__xludf.DUMMYFUNCTION("""COMPUTED_VALUE"""),23.0)</f>
        <v>23</v>
      </c>
      <c r="G441" s="42">
        <f>IFERROR(__xludf.DUMMYFUNCTION("""COMPUTED_VALUE"""),14.0)</f>
        <v>14</v>
      </c>
      <c r="H441" s="42">
        <f>IFERROR(__xludf.DUMMYFUNCTION("""COMPUTED_VALUE"""),0.6216216216216216)</f>
        <v>0.6216216216</v>
      </c>
      <c r="I441" s="42">
        <f>IFERROR(__xludf.DUMMYFUNCTION("""COMPUTED_VALUE"""),0.3425925925925926)</f>
        <v>0.3425925926</v>
      </c>
      <c r="J441" s="30">
        <f>IFERROR(__xludf.DUMMYFUNCTION("""COMPUTED_VALUE"""),357.8378378378378)</f>
        <v>357.8378378</v>
      </c>
      <c r="K441" s="30">
        <f>IFERROR(__xludf.DUMMYFUNCTION("""COMPUTED_VALUE"""),1.0)</f>
        <v>1</v>
      </c>
      <c r="L441" s="30">
        <f>IFERROR(__xludf.DUMMYFUNCTION("""COMPUTED_VALUE"""),0.8378378378378378)</f>
        <v>0.8378378378</v>
      </c>
      <c r="M441" s="30">
        <f>IFERROR(__xludf.DUMMYFUNCTION("""COMPUTED_VALUE"""),0.9459459459459459)</f>
        <v>0.9459459459</v>
      </c>
      <c r="N441" s="30">
        <f>IFERROR(__xludf.DUMMYFUNCTION("""COMPUTED_VALUE"""),2.918918918918919)</f>
        <v>2.918918919</v>
      </c>
      <c r="O441" s="30">
        <f>IFERROR(__xludf.DUMMYFUNCTION("""COMPUTED_VALUE"""),333.0720720720721)</f>
        <v>333.0720721</v>
      </c>
      <c r="P441" s="30">
        <f>IFERROR(__xludf.DUMMYFUNCTION("""COMPUTED_VALUE"""),0.7207207207207208)</f>
        <v>0.7207207207</v>
      </c>
      <c r="Q441" s="30">
        <f>IFERROR(__xludf.DUMMYFUNCTION("""COMPUTED_VALUE"""),0.46846846846846846)</f>
        <v>0.4684684685</v>
      </c>
      <c r="R441" s="30">
        <f>IFERROR(__xludf.DUMMYFUNCTION("""COMPUTED_VALUE"""),1.4504504504504505)</f>
        <v>1.45045045</v>
      </c>
      <c r="S441" s="30">
        <f>IFERROR(__xludf.DUMMYFUNCTION("""COMPUTED_VALUE"""),2.4054054054054057)</f>
        <v>2.405405405</v>
      </c>
      <c r="T441" s="30">
        <f>IFERROR(__xludf.DUMMYFUNCTION("""COMPUTED_VALUE"""),349.27098749472526)</f>
        <v>349.2709875</v>
      </c>
      <c r="U441" s="30">
        <f>IFERROR(__xludf.DUMMYFUNCTION("""COMPUTED_VALUE"""),0.813618636272294)</f>
        <v>0.8136186363</v>
      </c>
      <c r="V441" s="30">
        <f>IFERROR(__xludf.DUMMYFUNCTION("""COMPUTED_VALUE"""),0.5652598737438711)</f>
        <v>0.5652598737</v>
      </c>
      <c r="W441" s="30">
        <f>IFERROR(__xludf.DUMMYFUNCTION("""COMPUTED_VALUE"""),1.3221640774576466)</f>
        <v>1.322164077</v>
      </c>
      <c r="X441" s="30">
        <f>IFERROR(__xludf.DUMMYFUNCTION("""COMPUTED_VALUE"""),2.539348803553033)</f>
        <v>2.539348804</v>
      </c>
      <c r="Y441" s="30">
        <f>IFERROR(__xludf.DUMMYFUNCTION("""COMPUTED_VALUE"""),343.9692800367712)</f>
        <v>343.96928</v>
      </c>
      <c r="Z441" s="30">
        <f>IFERROR(__xludf.DUMMYFUNCTION("""COMPUTED_VALUE"""),0.7756233112910834)</f>
        <v>0.7756233113</v>
      </c>
      <c r="AA441" s="30">
        <f>IFERROR(__xludf.DUMMYFUNCTION("""COMPUTED_VALUE"""),0.5580825575706096)</f>
        <v>0.5580825576</v>
      </c>
      <c r="AB441" s="30">
        <f>IFERROR(__xludf.DUMMYFUNCTION("""COMPUTED_VALUE"""),1.2956805625265122)</f>
        <v>1.295680563</v>
      </c>
      <c r="AC441" s="30">
        <f>IFERROR(__xludf.DUMMYFUNCTION("""COMPUTED_VALUE"""),2.5619327788175825)</f>
        <v>2.561932779</v>
      </c>
      <c r="AD441" s="30">
        <f>IFERROR(__xludf.DUMMYFUNCTION("""COMPUTED_VALUE"""),1.040319175594937)</f>
        <v>1.040319176</v>
      </c>
      <c r="AE441" s="30">
        <f>IFERROR(__xludf.DUMMYFUNCTION("""COMPUTED_VALUE"""),1.2892856434851405)</f>
        <v>1.289285643</v>
      </c>
      <c r="AF441" s="30">
        <f>IFERROR(__xludf.DUMMYFUNCTION("""COMPUTED_VALUE"""),1.5012793832601246)</f>
        <v>1.501279383</v>
      </c>
      <c r="AG441" s="30">
        <f>IFERROR(__xludf.DUMMYFUNCTION("""COMPUTED_VALUE"""),0.7300765121469436)</f>
        <v>0.7300765121</v>
      </c>
      <c r="AH441" s="30">
        <f>IFERROR(__xludf.DUMMYFUNCTION("""COMPUTED_VALUE"""),1.1393425085361129)</f>
        <v>1.139342509</v>
      </c>
      <c r="AI441" s="30">
        <f>IFERROR(__xludf.DUMMYFUNCTION("""COMPUTED_VALUE"""),0.9536207815632044)</f>
        <v>0.9536207816</v>
      </c>
      <c r="AJ441" s="30">
        <f>IFERROR(__xludf.DUMMYFUNCTION("""COMPUTED_VALUE"""),0.8858213032371065)</f>
        <v>0.8858213032</v>
      </c>
      <c r="AK441" s="30">
        <f>IFERROR(__xludf.DUMMYFUNCTION("""COMPUTED_VALUE"""),0.8287665377088831)</f>
        <v>0.8287665377</v>
      </c>
      <c r="AL441" s="30">
        <f>IFERROR(__xludf.DUMMYFUNCTION("""COMPUTED_VALUE"""),1.0970275740961608)</f>
        <v>1.097027574</v>
      </c>
      <c r="AM441" s="30">
        <f>IFERROR(__xludf.DUMMYFUNCTION("""COMPUTED_VALUE"""),0.9472528555509133)</f>
        <v>0.9472528556</v>
      </c>
      <c r="AN441" s="30">
        <f>IFERROR(__xludf.DUMMYFUNCTION("""COMPUTED_VALUE"""),1.0553297820601826)</f>
        <v>1.055329782</v>
      </c>
      <c r="AO441" s="30">
        <f>IFERROR(__xludf.DUMMYFUNCTION("""COMPUTED_VALUE"""),1.3445559366319677)</f>
        <v>1.344555937</v>
      </c>
      <c r="AP441" s="30">
        <f>IFERROR(__xludf.DUMMYFUNCTION("""COMPUTED_VALUE"""),1.5350689733656542)</f>
        <v>1.535068973</v>
      </c>
      <c r="AQ441" s="30">
        <f>IFERROR(__xludf.DUMMYFUNCTION("""COMPUTED_VALUE"""),0.7232840025955712)</f>
        <v>0.7232840026</v>
      </c>
      <c r="AR441" s="30">
        <f>IFERROR(__xludf.DUMMYFUNCTION("""COMPUTED_VALUE"""),1.1667747692316015)</f>
        <v>1.166774769</v>
      </c>
      <c r="AS441" s="30">
        <f>IFERROR(__xludf.DUMMYFUNCTION("""COMPUTED_VALUE"""),106.0)</f>
        <v>106</v>
      </c>
      <c r="AT441" s="30">
        <f>IFERROR(__xludf.DUMMYFUNCTION("""COMPUTED_VALUE"""),0.6100021761731522)</f>
        <v>0.6100021762</v>
      </c>
      <c r="AU441" s="30">
        <f>IFERROR(__xludf.DUMMYFUNCTION("""COMPUTED_VALUE"""),3.633035931695014)</f>
        <v>3.633035932</v>
      </c>
      <c r="AV441" s="32">
        <f>IFERROR(__xludf.DUMMYFUNCTION("""COMPUTED_VALUE"""),83.2014405816966)</f>
        <v>83.20144058</v>
      </c>
      <c r="AW441" s="32">
        <f>IFERROR(__xludf.DUMMYFUNCTION("""COMPUTED_VALUE"""),10.860176392419525)</f>
        <v>10.86017639</v>
      </c>
      <c r="AX441" s="32">
        <f>IFERROR(__xludf.DUMMYFUNCTION("""COMPUTED_VALUE"""),60.12930975113957)</f>
        <v>60.12930975</v>
      </c>
      <c r="AY441" s="32">
        <f>IFERROR(__xludf.DUMMYFUNCTION("""COMPUTED_VALUE"""),2.9182135697181657)</f>
        <v>2.91821357</v>
      </c>
      <c r="AZ441" s="30">
        <f>IFERROR(__xludf.DUMMYFUNCTION("""COMPUTED_VALUE"""),7.94196282270136)</f>
        <v>7.941962823</v>
      </c>
      <c r="BA441" s="30">
        <f>IFERROR(__xludf.DUMMYFUNCTION("""COMPUTED_VALUE"""),1700.0)</f>
        <v>1700</v>
      </c>
    </row>
    <row r="442">
      <c r="A442" s="71" t="str">
        <f>IFERROR(__xludf.DUMMYFUNCTION("""COMPUTED_VALUE"""),"Rival")</f>
        <v>Rival</v>
      </c>
      <c r="B442" s="71" t="str">
        <f>IFERROR(__xludf.DUMMYFUNCTION("""COMPUTED_VALUE"""),"RSC000726")</f>
        <v>RSC000726</v>
      </c>
      <c r="C442" s="30" t="str">
        <f>IFERROR(__xludf.DUMMYFUNCTION("""COMPUTED_VALUE"""),"Way2Luckee")</f>
        <v>Way2Luckee</v>
      </c>
      <c r="D442" s="30"/>
      <c r="E442" s="30">
        <f>IFERROR(__xludf.DUMMYFUNCTION("""COMPUTED_VALUE"""),4.0)</f>
        <v>4</v>
      </c>
      <c r="F442" s="30">
        <f>IFERROR(__xludf.DUMMYFUNCTION("""COMPUTED_VALUE"""),0.0)</f>
        <v>0</v>
      </c>
      <c r="G442" s="42">
        <f>IFERROR(__xludf.DUMMYFUNCTION("""COMPUTED_VALUE"""),4.0)</f>
        <v>4</v>
      </c>
      <c r="H442" s="42">
        <f>IFERROR(__xludf.DUMMYFUNCTION("""COMPUTED_VALUE"""),0.0)</f>
        <v>0</v>
      </c>
      <c r="I442" s="42">
        <f>IFERROR(__xludf.DUMMYFUNCTION("""COMPUTED_VALUE"""),0.08333333333333333)</f>
        <v>0.08333333333</v>
      </c>
      <c r="J442" s="30">
        <f>IFERROR(__xludf.DUMMYFUNCTION("""COMPUTED_VALUE"""),280.75)</f>
        <v>280.75</v>
      </c>
      <c r="K442" s="30">
        <f>IFERROR(__xludf.DUMMYFUNCTION("""COMPUTED_VALUE"""),0.25)</f>
        <v>0.25</v>
      </c>
      <c r="L442" s="30">
        <f>IFERROR(__xludf.DUMMYFUNCTION("""COMPUTED_VALUE"""),0.5)</f>
        <v>0.5</v>
      </c>
      <c r="M442" s="30">
        <f>IFERROR(__xludf.DUMMYFUNCTION("""COMPUTED_VALUE"""),1.5)</f>
        <v>1.5</v>
      </c>
      <c r="N442" s="30">
        <f>IFERROR(__xludf.DUMMYFUNCTION("""COMPUTED_VALUE"""),3.0)</f>
        <v>3</v>
      </c>
      <c r="O442" s="30">
        <f>IFERROR(__xludf.DUMMYFUNCTION("""COMPUTED_VALUE"""),538.1666666666666)</f>
        <v>538.1666667</v>
      </c>
      <c r="P442" s="30">
        <f>IFERROR(__xludf.DUMMYFUNCTION("""COMPUTED_VALUE"""),1.8333333333333335)</f>
        <v>1.833333333</v>
      </c>
      <c r="Q442" s="30">
        <f>IFERROR(__xludf.DUMMYFUNCTION("""COMPUTED_VALUE"""),1.1666666666666667)</f>
        <v>1.166666667</v>
      </c>
      <c r="R442" s="30">
        <f>IFERROR(__xludf.DUMMYFUNCTION("""COMPUTED_VALUE"""),1.5833333333333333)</f>
        <v>1.583333333</v>
      </c>
      <c r="S442" s="30">
        <f>IFERROR(__xludf.DUMMYFUNCTION("""COMPUTED_VALUE"""),3.9166666666666665)</f>
        <v>3.916666667</v>
      </c>
      <c r="T442" s="30">
        <f>IFERROR(__xludf.DUMMYFUNCTION("""COMPUTED_VALUE"""),384.1804232804233)</f>
        <v>384.1804233</v>
      </c>
      <c r="U442" s="30">
        <f>IFERROR(__xludf.DUMMYFUNCTION("""COMPUTED_VALUE"""),0.8957671957671959)</f>
        <v>0.8957671958</v>
      </c>
      <c r="V442" s="30">
        <f>IFERROR(__xludf.DUMMYFUNCTION("""COMPUTED_VALUE"""),0.7227513227513227)</f>
        <v>0.7227513228</v>
      </c>
      <c r="W442" s="30">
        <f>IFERROR(__xludf.DUMMYFUNCTION("""COMPUTED_VALUE"""),1.5164021164021164)</f>
        <v>1.516402116</v>
      </c>
      <c r="X442" s="30">
        <f>IFERROR(__xludf.DUMMYFUNCTION("""COMPUTED_VALUE"""),2.793915343915344)</f>
        <v>2.793915344</v>
      </c>
      <c r="Y442" s="30">
        <f>IFERROR(__xludf.DUMMYFUNCTION("""COMPUTED_VALUE"""),358.28253968253966)</f>
        <v>358.2825397</v>
      </c>
      <c r="Z442" s="30">
        <f>IFERROR(__xludf.DUMMYFUNCTION("""COMPUTED_VALUE"""),0.8416225749559082)</f>
        <v>0.841622575</v>
      </c>
      <c r="AA442" s="30">
        <f>IFERROR(__xludf.DUMMYFUNCTION("""COMPUTED_VALUE"""),0.5772486772486771)</f>
        <v>0.5772486772</v>
      </c>
      <c r="AB442" s="30">
        <f>IFERROR(__xludf.DUMMYFUNCTION("""COMPUTED_VALUE"""),1.3746031746031748)</f>
        <v>1.374603175</v>
      </c>
      <c r="AC442" s="30">
        <f>IFERROR(__xludf.DUMMYFUNCTION("""COMPUTED_VALUE"""),2.618430335097002)</f>
        <v>2.618430335</v>
      </c>
      <c r="AD442" s="30">
        <f>IFERROR(__xludf.DUMMYFUNCTION("""COMPUTED_VALUE"""),0.783599447097706)</f>
        <v>0.7835994471</v>
      </c>
      <c r="AE442" s="30">
        <f>IFERROR(__xludf.DUMMYFUNCTION("""COMPUTED_VALUE"""),0.29704526404023474)</f>
        <v>0.297045264</v>
      </c>
      <c r="AF442" s="30">
        <f>IFERROR(__xludf.DUMMYFUNCTION("""COMPUTED_VALUE"""),0.8661778185151239)</f>
        <v>0.8661778185</v>
      </c>
      <c r="AG442" s="30">
        <f>IFERROR(__xludf.DUMMYFUNCTION("""COMPUTED_VALUE"""),1.0912240184757505)</f>
        <v>1.091224018</v>
      </c>
      <c r="AH442" s="30">
        <f>IFERROR(__xludf.DUMMYFUNCTION("""COMPUTED_VALUE"""),1.1457245815512072)</f>
        <v>1.145724582</v>
      </c>
      <c r="AI442" s="30">
        <f>IFERROR(__xludf.DUMMYFUNCTION("""COMPUTED_VALUE"""),1.4008175171222734)</f>
        <v>1.400817517</v>
      </c>
      <c r="AJ442" s="30">
        <f>IFERROR(__xludf.DUMMYFUNCTION("""COMPUTED_VALUE"""),2.0466627288836383)</f>
        <v>2.046662729</v>
      </c>
      <c r="AK442" s="30">
        <f>IFERROR(__xludf.DUMMYFUNCTION("""COMPUTED_VALUE"""),1.6142020497803808)</f>
        <v>1.61420205</v>
      </c>
      <c r="AL442" s="30">
        <f>IFERROR(__xludf.DUMMYFUNCTION("""COMPUTED_VALUE"""),1.0441381716678297)</f>
        <v>1.044138172</v>
      </c>
      <c r="AM442" s="30">
        <f>IFERROR(__xludf.DUMMYFUNCTION("""COMPUTED_VALUE"""),1.4018558848593883)</f>
        <v>1.401855885</v>
      </c>
      <c r="AN442" s="30">
        <f>IFERROR(__xludf.DUMMYFUNCTION("""COMPUTED_VALUE"""),0.8279835304830562)</f>
        <v>0.8279835305</v>
      </c>
      <c r="AO442" s="30">
        <f>IFERROR(__xludf.DUMMYFUNCTION("""COMPUTED_VALUE"""),0.3361389841579919)</f>
        <v>0.3361389842</v>
      </c>
      <c r="AP442" s="30">
        <f>IFERROR(__xludf.DUMMYFUNCTION("""COMPUTED_VALUE"""),0.9160895486214388)</f>
        <v>0.9160895486</v>
      </c>
      <c r="AQ442" s="30">
        <f>IFERROR(__xludf.DUMMYFUNCTION("""COMPUTED_VALUE"""),1.1469217755444059)</f>
        <v>1.146921776</v>
      </c>
      <c r="AR442" s="30">
        <f>IFERROR(__xludf.DUMMYFUNCTION("""COMPUTED_VALUE"""),1.1991851794880348)</f>
        <v>1.199185179</v>
      </c>
      <c r="AS442" s="30">
        <f>IFERROR(__xludf.DUMMYFUNCTION("""COMPUTED_VALUE"""),9.0)</f>
        <v>9</v>
      </c>
      <c r="AT442" s="30">
        <f>IFERROR(__xludf.DUMMYFUNCTION("""COMPUTED_VALUE"""),0.16676734579563535)</f>
        <v>0.1667673458</v>
      </c>
      <c r="AU442" s="30">
        <f>IFERROR(__xludf.DUMMYFUNCTION("""COMPUTED_VALUE"""),0.8484526588934224)</f>
        <v>0.8484526589</v>
      </c>
      <c r="AV442" s="32">
        <f>IFERROR(__xludf.DUMMYFUNCTION("""COMPUTED_VALUE"""),3.4788913368193803)</f>
        <v>3.478891337</v>
      </c>
      <c r="AW442" s="32">
        <f>IFERROR(__xludf.DUMMYFUNCTION("""COMPUTED_VALUE"""),-31.864303482918917)</f>
        <v>-31.86430348</v>
      </c>
      <c r="AX442" s="32">
        <f>IFERROR(__xludf.DUMMYFUNCTION("""COMPUTED_VALUE"""),6.6038541844094)</f>
        <v>6.603854184</v>
      </c>
      <c r="AY442" s="32">
        <f>IFERROR(__xludf.DUMMYFUNCTION("""COMPUTED_VALUE"""),-24.215684948215724)</f>
        <v>-24.21568495</v>
      </c>
      <c r="AZ442" s="30">
        <f>IFERROR(__xludf.DUMMYFUNCTION("""COMPUTED_VALUE"""),7.648618534703193)</f>
        <v>7.648618535</v>
      </c>
      <c r="BA442" s="30">
        <f>IFERROR(__xludf.DUMMYFUNCTION("""COMPUTED_VALUE"""),1700.0)</f>
        <v>1700</v>
      </c>
    </row>
    <row r="443">
      <c r="A443" s="71" t="str">
        <f>IFERROR(__xludf.DUMMYFUNCTION("""COMPUTED_VALUE"""),"Rival")</f>
        <v>Rival</v>
      </c>
      <c r="B443" s="71" t="str">
        <f>IFERROR(__xludf.DUMMYFUNCTION("""COMPUTED_VALUE"""),"RSC005455")</f>
        <v>RSC005455</v>
      </c>
      <c r="C443" s="30" t="str">
        <f>IFERROR(__xludf.DUMMYFUNCTION("""COMPUTED_VALUE"""),"Covi")</f>
        <v>Covi</v>
      </c>
      <c r="D443" s="30" t="str">
        <f>IFERROR(__xludf.DUMMYFUNCTION("""COMPUTED_VALUE"""),"Hammerheads")</f>
        <v>Hammerheads</v>
      </c>
      <c r="E443" s="30">
        <f>IFERROR(__xludf.DUMMYFUNCTION("""COMPUTED_VALUE"""),8.0)</f>
        <v>8</v>
      </c>
      <c r="F443" s="30">
        <f>IFERROR(__xludf.DUMMYFUNCTION("""COMPUTED_VALUE"""),4.0)</f>
        <v>4</v>
      </c>
      <c r="G443" s="42">
        <f>IFERROR(__xludf.DUMMYFUNCTION("""COMPUTED_VALUE"""),4.0)</f>
        <v>4</v>
      </c>
      <c r="H443" s="42">
        <f>IFERROR(__xludf.DUMMYFUNCTION("""COMPUTED_VALUE"""),0.5)</f>
        <v>0.5</v>
      </c>
      <c r="I443" s="42">
        <f>IFERROR(__xludf.DUMMYFUNCTION("""COMPUTED_VALUE"""),0.3448275862068966)</f>
        <v>0.3448275862</v>
      </c>
      <c r="J443" s="30">
        <f>IFERROR(__xludf.DUMMYFUNCTION("""COMPUTED_VALUE"""),355.125)</f>
        <v>355.125</v>
      </c>
      <c r="K443" s="30">
        <f>IFERROR(__xludf.DUMMYFUNCTION("""COMPUTED_VALUE"""),1.25)</f>
        <v>1.25</v>
      </c>
      <c r="L443" s="30">
        <f>IFERROR(__xludf.DUMMYFUNCTION("""COMPUTED_VALUE"""),0.25)</f>
        <v>0.25</v>
      </c>
      <c r="M443" s="30">
        <f>IFERROR(__xludf.DUMMYFUNCTION("""COMPUTED_VALUE"""),1.125)</f>
        <v>1.125</v>
      </c>
      <c r="N443" s="30">
        <f>IFERROR(__xludf.DUMMYFUNCTION("""COMPUTED_VALUE"""),3.625)</f>
        <v>3.625</v>
      </c>
      <c r="O443" s="30">
        <f>IFERROR(__xludf.DUMMYFUNCTION("""COMPUTED_VALUE"""),349.0416666666667)</f>
        <v>349.0416667</v>
      </c>
      <c r="P443" s="30">
        <f>IFERROR(__xludf.DUMMYFUNCTION("""COMPUTED_VALUE"""),0.7083333333333334)</f>
        <v>0.7083333333</v>
      </c>
      <c r="Q443" s="30">
        <f>IFERROR(__xludf.DUMMYFUNCTION("""COMPUTED_VALUE"""),0.5833333333333333)</f>
        <v>0.5833333333</v>
      </c>
      <c r="R443" s="30">
        <f>IFERROR(__xludf.DUMMYFUNCTION("""COMPUTED_VALUE"""),1.7916666666666667)</f>
        <v>1.791666667</v>
      </c>
      <c r="S443" s="30">
        <f>IFERROR(__xludf.DUMMYFUNCTION("""COMPUTED_VALUE"""),2.8333333333333335)</f>
        <v>2.833333333</v>
      </c>
      <c r="T443" s="30">
        <f>IFERROR(__xludf.DUMMYFUNCTION("""COMPUTED_VALUE"""),346.51403508771926)</f>
        <v>346.5140351</v>
      </c>
      <c r="U443" s="30">
        <f>IFERROR(__xludf.DUMMYFUNCTION("""COMPUTED_VALUE"""),0.8345942982456139)</f>
        <v>0.8345942982</v>
      </c>
      <c r="V443" s="30">
        <f>IFERROR(__xludf.DUMMYFUNCTION("""COMPUTED_VALUE"""),0.5213450292397661)</f>
        <v>0.5213450292</v>
      </c>
      <c r="W443" s="30">
        <f>IFERROR(__xludf.DUMMYFUNCTION("""COMPUTED_VALUE"""),1.3567982456140353)</f>
        <v>1.356798246</v>
      </c>
      <c r="X443" s="30">
        <f>IFERROR(__xludf.DUMMYFUNCTION("""COMPUTED_VALUE"""),2.5875730994152044)</f>
        <v>2.587573099</v>
      </c>
      <c r="Y443" s="30">
        <f>IFERROR(__xludf.DUMMYFUNCTION("""COMPUTED_VALUE"""),359.4421113547759)</f>
        <v>359.4421114</v>
      </c>
      <c r="Z443" s="30">
        <f>IFERROR(__xludf.DUMMYFUNCTION("""COMPUTED_VALUE"""),0.8475268031189084)</f>
        <v>0.8475268031</v>
      </c>
      <c r="AA443" s="30">
        <f>IFERROR(__xludf.DUMMYFUNCTION("""COMPUTED_VALUE"""),0.5902655945419104)</f>
        <v>0.5902655945</v>
      </c>
      <c r="AB443" s="30">
        <f>IFERROR(__xludf.DUMMYFUNCTION("""COMPUTED_VALUE"""),1.3869639376218326)</f>
        <v>1.386963938</v>
      </c>
      <c r="AC443" s="30">
        <f>IFERROR(__xludf.DUMMYFUNCTION("""COMPUTED_VALUE"""),2.725566520467837)</f>
        <v>2.72556652</v>
      </c>
      <c r="AD443" s="30">
        <f>IFERROR(__xludf.DUMMYFUNCTION("""COMPUTED_VALUE"""),0.9879894113171542)</f>
        <v>0.9879894113</v>
      </c>
      <c r="AE443" s="30">
        <f>IFERROR(__xludf.DUMMYFUNCTION("""COMPUTED_VALUE"""),1.4748796089987781)</f>
        <v>1.474879609</v>
      </c>
      <c r="AF443" s="30">
        <f>IFERROR(__xludf.DUMMYFUNCTION("""COMPUTED_VALUE"""),0.4235381535222605)</f>
        <v>0.4235381535</v>
      </c>
      <c r="AG443" s="30">
        <f>IFERROR(__xludf.DUMMYFUNCTION("""COMPUTED_VALUE"""),0.8111241896663796)</f>
        <v>0.8111241897</v>
      </c>
      <c r="AH443" s="30">
        <f>IFERROR(__xludf.DUMMYFUNCTION("""COMPUTED_VALUE"""),1.3299987260548598)</f>
        <v>1.329998726</v>
      </c>
      <c r="AI443" s="30">
        <f>IFERROR(__xludf.DUMMYFUNCTION("""COMPUTED_VALUE"""),1.007294456567416)</f>
        <v>1.007294457</v>
      </c>
      <c r="AJ443" s="30">
        <f>IFERROR(__xludf.DUMMYFUNCTION("""COMPUTED_VALUE"""),0.8487157590488079)</f>
        <v>0.848715759</v>
      </c>
      <c r="AK443" s="30">
        <f>IFERROR(__xludf.DUMMYFUNCTION("""COMPUTED_VALUE"""),1.1189007291082442)</f>
        <v>1.118900729</v>
      </c>
      <c r="AL443" s="30">
        <f>IFERROR(__xludf.DUMMYFUNCTION("""COMPUTED_VALUE"""),1.3205107483433003)</f>
        <v>1.320510748</v>
      </c>
      <c r="AM443" s="30">
        <f>IFERROR(__xludf.DUMMYFUNCTION("""COMPUTED_VALUE"""),1.094977117351263)</f>
        <v>1.094977117</v>
      </c>
      <c r="AN443" s="30">
        <f>IFERROR(__xludf.DUMMYFUNCTION("""COMPUTED_VALUE"""),1.0473291229307045)</f>
        <v>1.047329123</v>
      </c>
      <c r="AO443" s="30">
        <f>IFERROR(__xludf.DUMMYFUNCTION("""COMPUTED_VALUE"""),1.6806949207899595)</f>
        <v>1.680694921</v>
      </c>
      <c r="AP443" s="30">
        <f>IFERROR(__xludf.DUMMYFUNCTION("""COMPUTED_VALUE"""),0.4580447743107194)</f>
        <v>0.4580447743</v>
      </c>
      <c r="AQ443" s="30">
        <f>IFERROR(__xludf.DUMMYFUNCTION("""COMPUTED_VALUE"""),0.8601913316583044)</f>
        <v>0.8601913317</v>
      </c>
      <c r="AR443" s="30">
        <f>IFERROR(__xludf.DUMMYFUNCTION("""COMPUTED_VALUE"""),1.449015425214709)</f>
        <v>1.449015425</v>
      </c>
      <c r="AS443" s="30">
        <f>IFERROR(__xludf.DUMMYFUNCTION("""COMPUTED_VALUE"""),20.0)</f>
        <v>20</v>
      </c>
      <c r="AT443" s="30">
        <f>IFERROR(__xludf.DUMMYFUNCTION("""COMPUTED_VALUE"""),0.5627244863633817)</f>
        <v>0.5627244864</v>
      </c>
      <c r="AU443" s="30">
        <f>IFERROR(__xludf.DUMMYFUNCTION("""COMPUTED_VALUE"""),3.1693408152952536)</f>
        <v>3.169340815</v>
      </c>
      <c r="AV443" s="32">
        <f>IFERROR(__xludf.DUMMYFUNCTION("""COMPUTED_VALUE"""),69.92586103165635)</f>
        <v>69.92586103</v>
      </c>
      <c r="AW443" s="32">
        <f>IFERROR(__xludf.DUMMYFUNCTION("""COMPUTED_VALUE"""),4.701114548401399)</f>
        <v>4.701114548</v>
      </c>
      <c r="AX443" s="32">
        <f>IFERROR(__xludf.DUMMYFUNCTION("""COMPUTED_VALUE"""),40.380777413274345)</f>
        <v>40.38077741</v>
      </c>
      <c r="AY443" s="32">
        <f>IFERROR(__xludf.DUMMYFUNCTION("""COMPUTED_VALUE"""),-2.855475911367963)</f>
        <v>-2.855475911</v>
      </c>
      <c r="AZ443" s="30">
        <f>IFERROR(__xludf.DUMMYFUNCTION("""COMPUTED_VALUE"""),7.556590459769362)</f>
        <v>7.55659046</v>
      </c>
      <c r="BA443" s="30">
        <f>IFERROR(__xludf.DUMMYFUNCTION("""COMPUTED_VALUE"""),1700.0)</f>
        <v>1700</v>
      </c>
    </row>
    <row r="444">
      <c r="A444" s="71" t="str">
        <f>IFERROR(__xludf.DUMMYFUNCTION("""COMPUTED_VALUE"""),"Rival")</f>
        <v>Rival</v>
      </c>
      <c r="B444" s="71" t="str">
        <f>IFERROR(__xludf.DUMMYFUNCTION("""COMPUTED_VALUE"""),"RSC005287")</f>
        <v>RSC005287</v>
      </c>
      <c r="C444" s="30" t="str">
        <f>IFERROR(__xludf.DUMMYFUNCTION("""COMPUTED_VALUE"""),"the chosen one")</f>
        <v>the chosen one</v>
      </c>
      <c r="D444" s="30" t="str">
        <f>IFERROR(__xludf.DUMMYFUNCTION("""COMPUTED_VALUE"""),"Stolen")</f>
        <v>Stolen</v>
      </c>
      <c r="E444" s="30">
        <f>IFERROR(__xludf.DUMMYFUNCTION("""COMPUTED_VALUE"""),48.0)</f>
        <v>48</v>
      </c>
      <c r="F444" s="30">
        <f>IFERROR(__xludf.DUMMYFUNCTION("""COMPUTED_VALUE"""),26.0)</f>
        <v>26</v>
      </c>
      <c r="G444" s="42">
        <f>IFERROR(__xludf.DUMMYFUNCTION("""COMPUTED_VALUE"""),22.0)</f>
        <v>22</v>
      </c>
      <c r="H444" s="42">
        <f>IFERROR(__xludf.DUMMYFUNCTION("""COMPUTED_VALUE"""),0.5416666666666666)</f>
        <v>0.5416666667</v>
      </c>
      <c r="I444" s="42">
        <f>IFERROR(__xludf.DUMMYFUNCTION("""COMPUTED_VALUE"""),0.2706766917293233)</f>
        <v>0.2706766917</v>
      </c>
      <c r="J444" s="30">
        <f>IFERROR(__xludf.DUMMYFUNCTION("""COMPUTED_VALUE"""),408.4375)</f>
        <v>408.4375</v>
      </c>
      <c r="K444" s="30">
        <f>IFERROR(__xludf.DUMMYFUNCTION("""COMPUTED_VALUE"""),0.75)</f>
        <v>0.75</v>
      </c>
      <c r="L444" s="30">
        <f>IFERROR(__xludf.DUMMYFUNCTION("""COMPUTED_VALUE"""),0.75)</f>
        <v>0.75</v>
      </c>
      <c r="M444" s="30">
        <f>IFERROR(__xludf.DUMMYFUNCTION("""COMPUTED_VALUE"""),1.4375)</f>
        <v>1.4375</v>
      </c>
      <c r="N444" s="30">
        <f>IFERROR(__xludf.DUMMYFUNCTION("""COMPUTED_VALUE"""),2.7708333333333335)</f>
        <v>2.770833333</v>
      </c>
      <c r="O444" s="30">
        <f>IFERROR(__xludf.DUMMYFUNCTION("""COMPUTED_VALUE"""),323.5902777777777)</f>
        <v>323.5902778</v>
      </c>
      <c r="P444" s="30">
        <f>IFERROR(__xludf.DUMMYFUNCTION("""COMPUTED_VALUE"""),0.6527777777777778)</f>
        <v>0.6527777778</v>
      </c>
      <c r="Q444" s="30">
        <f>IFERROR(__xludf.DUMMYFUNCTION("""COMPUTED_VALUE"""),0.4652777777777777)</f>
        <v>0.4652777778</v>
      </c>
      <c r="R444" s="30">
        <f>IFERROR(__xludf.DUMMYFUNCTION("""COMPUTED_VALUE"""),1.2083333333333333)</f>
        <v>1.208333333</v>
      </c>
      <c r="S444" s="30">
        <f>IFERROR(__xludf.DUMMYFUNCTION("""COMPUTED_VALUE"""),2.2847222222222223)</f>
        <v>2.284722222</v>
      </c>
      <c r="T444" s="30">
        <f>IFERROR(__xludf.DUMMYFUNCTION("""COMPUTED_VALUE"""),340.7599488935177)</f>
        <v>340.7599489</v>
      </c>
      <c r="U444" s="30">
        <f>IFERROR(__xludf.DUMMYFUNCTION("""COMPUTED_VALUE"""),0.7365800424655885)</f>
        <v>0.7365800425</v>
      </c>
      <c r="V444" s="30">
        <f>IFERROR(__xludf.DUMMYFUNCTION("""COMPUTED_VALUE"""),0.5455453891660079)</f>
        <v>0.5455453892</v>
      </c>
      <c r="W444" s="30">
        <f>IFERROR(__xludf.DUMMYFUNCTION("""COMPUTED_VALUE"""),1.3058609963576524)</f>
        <v>1.305860996</v>
      </c>
      <c r="X444" s="30">
        <f>IFERROR(__xludf.DUMMYFUNCTION("""COMPUTED_VALUE"""),2.5398818622549353)</f>
        <v>2.539881862</v>
      </c>
      <c r="Y444" s="30">
        <f>IFERROR(__xludf.DUMMYFUNCTION("""COMPUTED_VALUE"""),352.2256805657567)</f>
        <v>352.2256806</v>
      </c>
      <c r="Z444" s="30">
        <f>IFERROR(__xludf.DUMMYFUNCTION("""COMPUTED_VALUE"""),0.7963597165226509)</f>
        <v>0.7963597165</v>
      </c>
      <c r="AA444" s="30">
        <f>IFERROR(__xludf.DUMMYFUNCTION("""COMPUTED_VALUE"""),0.5724519051704822)</f>
        <v>0.5724519052</v>
      </c>
      <c r="AB444" s="30">
        <f>IFERROR(__xludf.DUMMYFUNCTION("""COMPUTED_VALUE"""),1.3329207173117064)</f>
        <v>1.332920717</v>
      </c>
      <c r="AC444" s="30">
        <f>IFERROR(__xludf.DUMMYFUNCTION("""COMPUTED_VALUE"""),2.5968719965069433)</f>
        <v>2.596871997</v>
      </c>
      <c r="AD444" s="30">
        <f>IFERROR(__xludf.DUMMYFUNCTION("""COMPUTED_VALUE"""),1.1595903494144832)</f>
        <v>1.159590349</v>
      </c>
      <c r="AE444" s="30">
        <f>IFERROR(__xludf.DUMMYFUNCTION("""COMPUTED_VALUE"""),0.9417854575504105)</f>
        <v>0.9417854576</v>
      </c>
      <c r="AF444" s="30">
        <f>IFERROR(__xludf.DUMMYFUNCTION("""COMPUTED_VALUE"""),1.3101537320880121)</f>
        <v>1.310153732</v>
      </c>
      <c r="AG444" s="30">
        <f>IFERROR(__xludf.DUMMYFUNCTION("""COMPUTED_VALUE"""),1.0784587420167149)</f>
        <v>1.078458742</v>
      </c>
      <c r="AH444" s="30">
        <f>IFERROR(__xludf.DUMMYFUNCTION("""COMPUTED_VALUE"""),1.0669887992401572)</f>
        <v>1.066988799</v>
      </c>
      <c r="AI444" s="30">
        <f>IFERROR(__xludf.DUMMYFUNCTION("""COMPUTED_VALUE"""),0.9496135881828495)</f>
        <v>0.9496135882</v>
      </c>
      <c r="AJ444" s="30">
        <f>IFERROR(__xludf.DUMMYFUNCTION("""COMPUTED_VALUE"""),0.886227891259047)</f>
        <v>0.8862278913</v>
      </c>
      <c r="AK444" s="30">
        <f>IFERROR(__xludf.DUMMYFUNCTION("""COMPUTED_VALUE"""),0.8528672169497431)</f>
        <v>0.8528672169</v>
      </c>
      <c r="AL444" s="30">
        <f>IFERROR(__xludf.DUMMYFUNCTION("""COMPUTED_VALUE"""),0.9253154330389327)</f>
        <v>0.925315433</v>
      </c>
      <c r="AM444" s="30">
        <f>IFERROR(__xludf.DUMMYFUNCTION("""COMPUTED_VALUE"""),0.8995387762617513)</f>
        <v>0.8995387763</v>
      </c>
      <c r="AN444" s="30">
        <f>IFERROR(__xludf.DUMMYFUNCTION("""COMPUTED_VALUE"""),1.204557518189397)</f>
        <v>1.204557518</v>
      </c>
      <c r="AO444" s="30">
        <f>IFERROR(__xludf.DUMMYFUNCTION("""COMPUTED_VALUE"""),1.0084169524739757)</f>
        <v>1.008416952</v>
      </c>
      <c r="AP444" s="30">
        <f>IFERROR(__xludf.DUMMYFUNCTION("""COMPUTED_VALUE"""),1.374134322932158)</f>
        <v>1.374134323</v>
      </c>
      <c r="AQ444" s="30">
        <f>IFERROR(__xludf.DUMMYFUNCTION("""COMPUTED_VALUE"""),1.0991333682300557)</f>
        <v>1.099133368</v>
      </c>
      <c r="AR444" s="30">
        <f>IFERROR(__xludf.DUMMYFUNCTION("""COMPUTED_VALUE"""),1.1075807560549211)</f>
        <v>1.107580756</v>
      </c>
      <c r="AS444" s="30">
        <f>IFERROR(__xludf.DUMMYFUNCTION("""COMPUTED_VALUE"""),111.0)</f>
        <v>111</v>
      </c>
      <c r="AT444" s="30">
        <f>IFERROR(__xludf.DUMMYFUNCTION("""COMPUTED_VALUE"""),0.5627087203595379)</f>
        <v>0.5627087204</v>
      </c>
      <c r="AU444" s="30">
        <f>IFERROR(__xludf.DUMMYFUNCTION("""COMPUTED_VALUE"""),3.198390525746361)</f>
        <v>3.198390526</v>
      </c>
      <c r="AV444" s="32">
        <f>IFERROR(__xludf.DUMMYFUNCTION("""COMPUTED_VALUE"""),70.75755351311615)</f>
        <v>70.75755351</v>
      </c>
      <c r="AW444" s="32">
        <f>IFERROR(__xludf.DUMMYFUNCTION("""COMPUTED_VALUE"""),4.921647638339288)</f>
        <v>4.921647638</v>
      </c>
      <c r="AX444" s="32">
        <f>IFERROR(__xludf.DUMMYFUNCTION("""COMPUTED_VALUE"""),84.773391112106)</f>
        <v>84.77339111</v>
      </c>
      <c r="AY444" s="32">
        <f>IFERROR(__xludf.DUMMYFUNCTION("""COMPUTED_VALUE"""),12.176935047568334)</f>
        <v>12.17693505</v>
      </c>
      <c r="AZ444" s="30">
        <f>IFERROR(__xludf.DUMMYFUNCTION("""COMPUTED_VALUE"""),7.255287409229045)</f>
        <v>7.255287409</v>
      </c>
      <c r="BA444" s="30">
        <f>IFERROR(__xludf.DUMMYFUNCTION("""COMPUTED_VALUE"""),1700.0)</f>
        <v>1700</v>
      </c>
    </row>
    <row r="445">
      <c r="A445" s="71" t="str">
        <f>IFERROR(__xludf.DUMMYFUNCTION("""COMPUTED_VALUE"""),"Rival")</f>
        <v>Rival</v>
      </c>
      <c r="B445" s="71" t="str">
        <f>IFERROR(__xludf.DUMMYFUNCTION("""COMPUTED_VALUE"""),"RSC004347")</f>
        <v>RSC004347</v>
      </c>
      <c r="C445" s="30" t="str">
        <f>IFERROR(__xludf.DUMMYFUNCTION("""COMPUTED_VALUE"""),"Good job you")</f>
        <v>Good job you</v>
      </c>
      <c r="D445" s="30" t="str">
        <f>IFERROR(__xludf.DUMMYFUNCTION("""COMPUTED_VALUE"""),"Bulldozers")</f>
        <v>Bulldozers</v>
      </c>
      <c r="E445" s="30">
        <f>IFERROR(__xludf.DUMMYFUNCTION("""COMPUTED_VALUE"""),48.0)</f>
        <v>48</v>
      </c>
      <c r="F445" s="30">
        <f>IFERROR(__xludf.DUMMYFUNCTION("""COMPUTED_VALUE"""),35.0)</f>
        <v>35</v>
      </c>
      <c r="G445" s="42">
        <f>IFERROR(__xludf.DUMMYFUNCTION("""COMPUTED_VALUE"""),13.0)</f>
        <v>13</v>
      </c>
      <c r="H445" s="42">
        <f>IFERROR(__xludf.DUMMYFUNCTION("""COMPUTED_VALUE"""),0.7291666666666666)</f>
        <v>0.7291666667</v>
      </c>
      <c r="I445" s="42">
        <f>IFERROR(__xludf.DUMMYFUNCTION("""COMPUTED_VALUE"""),0.30935251798561153)</f>
        <v>0.309352518</v>
      </c>
      <c r="J445" s="30">
        <f>IFERROR(__xludf.DUMMYFUNCTION("""COMPUTED_VALUE"""),387.2083333333333)</f>
        <v>387.2083333</v>
      </c>
      <c r="K445" s="30">
        <f>IFERROR(__xludf.DUMMYFUNCTION("""COMPUTED_VALUE"""),0.8958333333333334)</f>
        <v>0.8958333333</v>
      </c>
      <c r="L445" s="30">
        <f>IFERROR(__xludf.DUMMYFUNCTION("""COMPUTED_VALUE"""),1.0)</f>
        <v>1</v>
      </c>
      <c r="M445" s="30">
        <f>IFERROR(__xludf.DUMMYFUNCTION("""COMPUTED_VALUE"""),1.1458333333333333)</f>
        <v>1.145833333</v>
      </c>
      <c r="N445" s="30">
        <f>IFERROR(__xludf.DUMMYFUNCTION("""COMPUTED_VALUE"""),2.8958333333333335)</f>
        <v>2.895833333</v>
      </c>
      <c r="O445" s="30">
        <f>IFERROR(__xludf.DUMMYFUNCTION("""COMPUTED_VALUE"""),336.9305555555556)</f>
        <v>336.9305556</v>
      </c>
      <c r="P445" s="30">
        <f>IFERROR(__xludf.DUMMYFUNCTION("""COMPUTED_VALUE"""),0.6666666666666664)</f>
        <v>0.6666666667</v>
      </c>
      <c r="Q445" s="30">
        <f>IFERROR(__xludf.DUMMYFUNCTION("""COMPUTED_VALUE"""),0.49999999999999994)</f>
        <v>0.5</v>
      </c>
      <c r="R445" s="30">
        <f>IFERROR(__xludf.DUMMYFUNCTION("""COMPUTED_VALUE"""),1.4375)</f>
        <v>1.4375</v>
      </c>
      <c r="S445" s="30">
        <f>IFERROR(__xludf.DUMMYFUNCTION("""COMPUTED_VALUE"""),2.743055555555555)</f>
        <v>2.743055556</v>
      </c>
      <c r="T445" s="30">
        <f>IFERROR(__xludf.DUMMYFUNCTION("""COMPUTED_VALUE"""),339.52088666888284)</f>
        <v>339.5208867</v>
      </c>
      <c r="U445" s="30">
        <f>IFERROR(__xludf.DUMMYFUNCTION("""COMPUTED_VALUE"""),0.7426879511280485)</f>
        <v>0.7426879511</v>
      </c>
      <c r="V445" s="30">
        <f>IFERROR(__xludf.DUMMYFUNCTION("""COMPUTED_VALUE"""),0.5258822181065465)</f>
        <v>0.5258822181</v>
      </c>
      <c r="W445" s="30">
        <f>IFERROR(__xludf.DUMMYFUNCTION("""COMPUTED_VALUE"""),1.3070280744543374)</f>
        <v>1.307028074</v>
      </c>
      <c r="X445" s="30">
        <f>IFERROR(__xludf.DUMMYFUNCTION("""COMPUTED_VALUE"""),2.511887875887363)</f>
        <v>2.511887876</v>
      </c>
      <c r="Y445" s="30">
        <f>IFERROR(__xludf.DUMMYFUNCTION("""COMPUTED_VALUE"""),357.0213127094212)</f>
        <v>357.0213127</v>
      </c>
      <c r="Z445" s="30">
        <f>IFERROR(__xludf.DUMMYFUNCTION("""COMPUTED_VALUE"""),0.8324156040695304)</f>
        <v>0.8324156041</v>
      </c>
      <c r="AA445" s="30">
        <f>IFERROR(__xludf.DUMMYFUNCTION("""COMPUTED_VALUE"""),0.608501919953064)</f>
        <v>0.60850192</v>
      </c>
      <c r="AB445" s="30">
        <f>IFERROR(__xludf.DUMMYFUNCTION("""COMPUTED_VALUE"""),1.325758401207523)</f>
        <v>1.325758401</v>
      </c>
      <c r="AC445" s="30">
        <f>IFERROR(__xludf.DUMMYFUNCTION("""COMPUTED_VALUE"""),2.6380657638773224)</f>
        <v>2.638065764</v>
      </c>
      <c r="AD445" s="30">
        <f>IFERROR(__xludf.DUMMYFUNCTION("""COMPUTED_VALUE"""),1.0845524330041363)</f>
        <v>1.084552433</v>
      </c>
      <c r="AE445" s="30">
        <f>IFERROR(__xludf.DUMMYFUNCTION("""COMPUTED_VALUE"""),1.076185175955094)</f>
        <v>1.076185176</v>
      </c>
      <c r="AF445" s="30">
        <f>IFERROR(__xludf.DUMMYFUNCTION("""COMPUTED_VALUE"""),1.6433801886395587)</f>
        <v>1.643380189</v>
      </c>
      <c r="AG445" s="30">
        <f>IFERROR(__xludf.DUMMYFUNCTION("""COMPUTED_VALUE"""),0.8642851761600674)</f>
        <v>0.8642851762</v>
      </c>
      <c r="AH445" s="30">
        <f>IFERROR(__xludf.DUMMYFUNCTION("""COMPUTED_VALUE"""),1.097710820171956)</f>
        <v>1.09771082</v>
      </c>
      <c r="AI445" s="30">
        <f>IFERROR(__xludf.DUMMYFUNCTION("""COMPUTED_VALUE"""),0.992370628096723)</f>
        <v>0.9923706281</v>
      </c>
      <c r="AJ445" s="30">
        <f>IFERROR(__xludf.DUMMYFUNCTION("""COMPUTED_VALUE"""),0.8976403422919202)</f>
        <v>0.8976403423</v>
      </c>
      <c r="AK445" s="30">
        <f>IFERROR(__xludf.DUMMYFUNCTION("""COMPUTED_VALUE"""),0.9507832415407843)</f>
        <v>0.9507832415</v>
      </c>
      <c r="AL445" s="30">
        <f>IFERROR(__xludf.DUMMYFUNCTION("""COMPUTED_VALUE"""),1.0998233535267652)</f>
        <v>1.099823354</v>
      </c>
      <c r="AM445" s="30">
        <f>IFERROR(__xludf.DUMMYFUNCTION("""COMPUTED_VALUE"""),1.0920294579576044)</f>
        <v>1.092029458</v>
      </c>
      <c r="AN445" s="30">
        <f>IFERROR(__xludf.DUMMYFUNCTION("""COMPUTED_VALUE"""),1.1419487902610626)</f>
        <v>1.14194879</v>
      </c>
      <c r="AO445" s="30">
        <f>IFERROR(__xludf.DUMMYFUNCTION("""COMPUTED_VALUE"""),1.2044980265661378)</f>
        <v>1.204498027</v>
      </c>
      <c r="AP445" s="30">
        <f>IFERROR(__xludf.DUMMYFUNCTION("""COMPUTED_VALUE"""),1.8321790972428775)</f>
        <v>1.832179097</v>
      </c>
      <c r="AQ445" s="30">
        <f>IFERROR(__xludf.DUMMYFUNCTION("""COMPUTED_VALUE"""),0.8761208007630877)</f>
        <v>0.8761208008</v>
      </c>
      <c r="AR445" s="30">
        <f>IFERROR(__xludf.DUMMYFUNCTION("""COMPUTED_VALUE"""),1.157546805200256)</f>
        <v>1.157546805</v>
      </c>
      <c r="AS445" s="30">
        <f>IFERROR(__xludf.DUMMYFUNCTION("""COMPUTED_VALUE"""),142.0)</f>
        <v>142</v>
      </c>
      <c r="AT445" s="30">
        <f>IFERROR(__xludf.DUMMYFUNCTION("""COMPUTED_VALUE"""),0.6501789361626574)</f>
        <v>0.6501789362</v>
      </c>
      <c r="AU445" s="30">
        <f>IFERROR(__xludf.DUMMYFUNCTION("""COMPUTED_VALUE"""),3.5543162678262714)</f>
        <v>3.554316268</v>
      </c>
      <c r="AV445" s="32">
        <f>IFERROR(__xludf.DUMMYFUNCTION("""COMPUTED_VALUE"""),80.9476985799349)</f>
        <v>80.94769858</v>
      </c>
      <c r="AW445" s="32">
        <f>IFERROR(__xludf.DUMMYFUNCTION("""COMPUTED_VALUE"""),9.269979960163827)</f>
        <v>9.26997996</v>
      </c>
      <c r="AX445" s="32">
        <f>IFERROR(__xludf.DUMMYFUNCTION("""COMPUTED_VALUE"""),58.151772115047045)</f>
        <v>58.15177212</v>
      </c>
      <c r="AY445" s="32">
        <f>IFERROR(__xludf.DUMMYFUNCTION("""COMPUTED_VALUE"""),2.686833231100436)</f>
        <v>2.686833231</v>
      </c>
      <c r="AZ445" s="30">
        <f>IFERROR(__xludf.DUMMYFUNCTION("""COMPUTED_VALUE"""),6.58314672906339)</f>
        <v>6.583146729</v>
      </c>
      <c r="BA445" s="30">
        <f>IFERROR(__xludf.DUMMYFUNCTION("""COMPUTED_VALUE"""),1700.0)</f>
        <v>1700</v>
      </c>
    </row>
    <row r="446">
      <c r="A446" s="71" t="str">
        <f>IFERROR(__xludf.DUMMYFUNCTION("""COMPUTED_VALUE"""),"Rival")</f>
        <v>Rival</v>
      </c>
      <c r="B446" s="71" t="str">
        <f>IFERROR(__xludf.DUMMYFUNCTION("""COMPUTED_VALUE"""),"RSC005253")</f>
        <v>RSC005253</v>
      </c>
      <c r="C446" s="30" t="str">
        <f>IFERROR(__xludf.DUMMYFUNCTION("""COMPUTED_VALUE"""),"dinnindu")</f>
        <v>dinnindu</v>
      </c>
      <c r="D446" s="30" t="str">
        <f>IFERROR(__xludf.DUMMYFUNCTION("""COMPUTED_VALUE"""),"Tyrants")</f>
        <v>Tyrants</v>
      </c>
      <c r="E446" s="30">
        <f>IFERROR(__xludf.DUMMYFUNCTION("""COMPUTED_VALUE"""),33.0)</f>
        <v>33</v>
      </c>
      <c r="F446" s="30">
        <f>IFERROR(__xludf.DUMMYFUNCTION("""COMPUTED_VALUE"""),15.0)</f>
        <v>15</v>
      </c>
      <c r="G446" s="42">
        <f>IFERROR(__xludf.DUMMYFUNCTION("""COMPUTED_VALUE"""),18.0)</f>
        <v>18</v>
      </c>
      <c r="H446" s="42">
        <f>IFERROR(__xludf.DUMMYFUNCTION("""COMPUTED_VALUE"""),0.45454545454545453)</f>
        <v>0.4545454545</v>
      </c>
      <c r="I446" s="42">
        <f>IFERROR(__xludf.DUMMYFUNCTION("""COMPUTED_VALUE"""),0.2641509433962264)</f>
        <v>0.2641509434</v>
      </c>
      <c r="J446" s="30">
        <f>IFERROR(__xludf.DUMMYFUNCTION("""COMPUTED_VALUE"""),270.6666666666667)</f>
        <v>270.6666667</v>
      </c>
      <c r="K446" s="30">
        <f>IFERROR(__xludf.DUMMYFUNCTION("""COMPUTED_VALUE"""),0.42424242424242425)</f>
        <v>0.4242424242</v>
      </c>
      <c r="L446" s="30">
        <f>IFERROR(__xludf.DUMMYFUNCTION("""COMPUTED_VALUE"""),0.2727272727272727)</f>
        <v>0.2727272727</v>
      </c>
      <c r="M446" s="30">
        <f>IFERROR(__xludf.DUMMYFUNCTION("""COMPUTED_VALUE"""),1.4848484848484849)</f>
        <v>1.484848485</v>
      </c>
      <c r="N446" s="30">
        <f>IFERROR(__xludf.DUMMYFUNCTION("""COMPUTED_VALUE"""),1.606060606060606)</f>
        <v>1.606060606</v>
      </c>
      <c r="O446" s="30">
        <f>IFERROR(__xludf.DUMMYFUNCTION("""COMPUTED_VALUE"""),323.64646464646466)</f>
        <v>323.6464646</v>
      </c>
      <c r="P446" s="30">
        <f>IFERROR(__xludf.DUMMYFUNCTION("""COMPUTED_VALUE"""),0.7070707070707072)</f>
        <v>0.7070707071</v>
      </c>
      <c r="Q446" s="30">
        <f>IFERROR(__xludf.DUMMYFUNCTION("""COMPUTED_VALUE"""),0.5454545454545454)</f>
        <v>0.5454545455</v>
      </c>
      <c r="R446" s="30">
        <f>IFERROR(__xludf.DUMMYFUNCTION("""COMPUTED_VALUE"""),0.9898989898989898)</f>
        <v>0.9898989899</v>
      </c>
      <c r="S446" s="30">
        <f>IFERROR(__xludf.DUMMYFUNCTION("""COMPUTED_VALUE"""),2.575757575757576)</f>
        <v>2.575757576</v>
      </c>
      <c r="T446" s="30">
        <f>IFERROR(__xludf.DUMMYFUNCTION("""COMPUTED_VALUE"""),350.24259174175336)</f>
        <v>350.2425917</v>
      </c>
      <c r="U446" s="30">
        <f>IFERROR(__xludf.DUMMYFUNCTION("""COMPUTED_VALUE"""),0.7722144809801147)</f>
        <v>0.772214481</v>
      </c>
      <c r="V446" s="30">
        <f>IFERROR(__xludf.DUMMYFUNCTION("""COMPUTED_VALUE"""),0.5615012801000554)</f>
        <v>0.5615012801</v>
      </c>
      <c r="W446" s="30">
        <f>IFERROR(__xludf.DUMMYFUNCTION("""COMPUTED_VALUE"""),1.3569330455053805)</f>
        <v>1.356933046</v>
      </c>
      <c r="X446" s="30">
        <f>IFERROR(__xludf.DUMMYFUNCTION("""COMPUTED_VALUE"""),2.5749710921614843)</f>
        <v>2.574971092</v>
      </c>
      <c r="Y446" s="30">
        <f>IFERROR(__xludf.DUMMYFUNCTION("""COMPUTED_VALUE"""),350.90945986703156)</f>
        <v>350.9094599</v>
      </c>
      <c r="Z446" s="30">
        <f>IFERROR(__xludf.DUMMYFUNCTION("""COMPUTED_VALUE"""),0.7911242934927972)</f>
        <v>0.7911242935</v>
      </c>
      <c r="AA446" s="30">
        <f>IFERROR(__xludf.DUMMYFUNCTION("""COMPUTED_VALUE"""),0.5714259072085444)</f>
        <v>0.5714259072</v>
      </c>
      <c r="AB446" s="30">
        <f>IFERROR(__xludf.DUMMYFUNCTION("""COMPUTED_VALUE"""),1.322261836588586)</f>
        <v>1.322261837</v>
      </c>
      <c r="AC446" s="30">
        <f>IFERROR(__xludf.DUMMYFUNCTION("""COMPUTED_VALUE"""),2.559144213798933)</f>
        <v>2.559144214</v>
      </c>
      <c r="AD446" s="30">
        <f>IFERROR(__xludf.DUMMYFUNCTION("""COMPUTED_VALUE"""),0.7713290680998715)</f>
        <v>0.7713290681</v>
      </c>
      <c r="AE446" s="30">
        <f>IFERROR(__xludf.DUMMYFUNCTION("""COMPUTED_VALUE"""),0.5362525556754209)</f>
        <v>0.5362525557</v>
      </c>
      <c r="AF446" s="30">
        <f>IFERROR(__xludf.DUMMYFUNCTION("""COMPUTED_VALUE"""),0.4772749525123293)</f>
        <v>0.4772749525</v>
      </c>
      <c r="AG446" s="30">
        <f>IFERROR(__xludf.DUMMYFUNCTION("""COMPUTED_VALUE"""),1.1229610079947325)</f>
        <v>1.122961008</v>
      </c>
      <c r="AH446" s="30">
        <f>IFERROR(__xludf.DUMMYFUNCTION("""COMPUTED_VALUE"""),0.6275772179624384)</f>
        <v>0.627577218</v>
      </c>
      <c r="AI446" s="30">
        <f>IFERROR(__xludf.DUMMYFUNCTION("""COMPUTED_VALUE"""),0.9240636983553988)</f>
        <v>0.9240636984</v>
      </c>
      <c r="AJ446" s="30">
        <f>IFERROR(__xludf.DUMMYFUNCTION("""COMPUTED_VALUE"""),0.9156403104138563)</f>
        <v>0.9156403104</v>
      </c>
      <c r="AK446" s="30">
        <f>IFERROR(__xludf.DUMMYFUNCTION("""COMPUTED_VALUE"""),0.9714217309662222)</f>
        <v>0.971421731</v>
      </c>
      <c r="AL446" s="30">
        <f>IFERROR(__xludf.DUMMYFUNCTION("""COMPUTED_VALUE"""),0.7295120368524216)</f>
        <v>0.7295120369</v>
      </c>
      <c r="AM446" s="30">
        <f>IFERROR(__xludf.DUMMYFUNCTION("""COMPUTED_VALUE"""),1.000305433951661)</f>
        <v>1.000305434</v>
      </c>
      <c r="AN446" s="30">
        <f>IFERROR(__xludf.DUMMYFUNCTION("""COMPUTED_VALUE"""),0.7982459207506579)</f>
        <v>0.7982459208</v>
      </c>
      <c r="AO446" s="30">
        <f>IFERROR(__xludf.DUMMYFUNCTION("""COMPUTED_VALUE"""),0.5704176700862893)</f>
        <v>0.5704176701</v>
      </c>
      <c r="AP446" s="30">
        <f>IFERROR(__xludf.DUMMYFUNCTION("""COMPUTED_VALUE"""),0.49968520833896657)</f>
        <v>0.4996852083</v>
      </c>
      <c r="AQ446" s="30">
        <f>IFERROR(__xludf.DUMMYFUNCTION("""COMPUTED_VALUE"""),1.1353367071045635)</f>
        <v>1.135336707</v>
      </c>
      <c r="AR446" s="30">
        <f>IFERROR(__xludf.DUMMYFUNCTION("""COMPUTED_VALUE"""),0.6419880253824833)</f>
        <v>0.6419880254</v>
      </c>
      <c r="AS446" s="30">
        <f>IFERROR(__xludf.DUMMYFUNCTION("""COMPUTED_VALUE"""),60.0)</f>
        <v>60</v>
      </c>
      <c r="AT446" s="30">
        <f>IFERROR(__xludf.DUMMYFUNCTION("""COMPUTED_VALUE"""),0.44312907939764284)</f>
        <v>0.4431290794</v>
      </c>
      <c r="AU446" s="30">
        <f>IFERROR(__xludf.DUMMYFUNCTION("""COMPUTED_VALUE"""),1.1938885780905806)</f>
        <v>1.193888578</v>
      </c>
      <c r="AV446" s="32">
        <f>IFERROR(__xludf.DUMMYFUNCTION("""COMPUTED_VALUE"""),13.368713037657805)</f>
        <v>13.36871304</v>
      </c>
      <c r="AW446" s="32">
        <f>IFERROR(__xludf.DUMMYFUNCTION("""COMPUTED_VALUE"""),-14.00047272055447)</f>
        <v>-14.00047272</v>
      </c>
      <c r="AX446" s="32">
        <f>IFERROR(__xludf.DUMMYFUNCTION("""COMPUTED_VALUE"""),22.227079679589796)</f>
        <v>22.22707968</v>
      </c>
      <c r="AY446" s="32">
        <f>IFERROR(__xludf.DUMMYFUNCTION("""COMPUTED_VALUE"""),-7.501758471596556)</f>
        <v>-7.501758472</v>
      </c>
      <c r="AZ446" s="30">
        <f>IFERROR(__xludf.DUMMYFUNCTION("""COMPUTED_VALUE"""),6.4987142489579135)</f>
        <v>6.498714249</v>
      </c>
      <c r="BA446" s="30">
        <f>IFERROR(__xludf.DUMMYFUNCTION("""COMPUTED_VALUE"""),1700.0)</f>
        <v>1700</v>
      </c>
    </row>
    <row r="447">
      <c r="A447" s="71" t="str">
        <f>IFERROR(__xludf.DUMMYFUNCTION("""COMPUTED_VALUE"""),"Rival")</f>
        <v>Rival</v>
      </c>
      <c r="B447" s="71" t="str">
        <f>IFERROR(__xludf.DUMMYFUNCTION("""COMPUTED_VALUE"""),"RSC004845")</f>
        <v>RSC004845</v>
      </c>
      <c r="C447" s="30" t="str">
        <f>IFERROR(__xludf.DUMMYFUNCTION("""COMPUTED_VALUE"""),"BinBoiz_")</f>
        <v>BinBoiz_</v>
      </c>
      <c r="D447" s="30"/>
      <c r="E447" s="30">
        <f>IFERROR(__xludf.DUMMYFUNCTION("""COMPUTED_VALUE"""),41.0)</f>
        <v>41</v>
      </c>
      <c r="F447" s="30">
        <f>IFERROR(__xludf.DUMMYFUNCTION("""COMPUTED_VALUE"""),16.0)</f>
        <v>16</v>
      </c>
      <c r="G447" s="42">
        <f>IFERROR(__xludf.DUMMYFUNCTION("""COMPUTED_VALUE"""),25.0)</f>
        <v>25</v>
      </c>
      <c r="H447" s="42">
        <f>IFERROR(__xludf.DUMMYFUNCTION("""COMPUTED_VALUE"""),0.3902439024390244)</f>
        <v>0.3902439024</v>
      </c>
      <c r="I447" s="42">
        <f>IFERROR(__xludf.DUMMYFUNCTION("""COMPUTED_VALUE"""),0.29870129870129875)</f>
        <v>0.2987012987</v>
      </c>
      <c r="J447" s="30">
        <f>IFERROR(__xludf.DUMMYFUNCTION("""COMPUTED_VALUE"""),242.2439024390244)</f>
        <v>242.2439024</v>
      </c>
      <c r="K447" s="30">
        <f>IFERROR(__xludf.DUMMYFUNCTION("""COMPUTED_VALUE"""),0.5609756097560976)</f>
        <v>0.5609756098</v>
      </c>
      <c r="L447" s="30">
        <f>IFERROR(__xludf.DUMMYFUNCTION("""COMPUTED_VALUE"""),0.4146341463414634)</f>
        <v>0.4146341463</v>
      </c>
      <c r="M447" s="30">
        <f>IFERROR(__xludf.DUMMYFUNCTION("""COMPUTED_VALUE"""),0.7317073170731707)</f>
        <v>0.7317073171</v>
      </c>
      <c r="N447" s="30">
        <f>IFERROR(__xludf.DUMMYFUNCTION("""COMPUTED_VALUE"""),1.8780487804878048)</f>
        <v>1.87804878</v>
      </c>
      <c r="O447" s="30">
        <f>IFERROR(__xludf.DUMMYFUNCTION("""COMPUTED_VALUE"""),327.2845528455285)</f>
        <v>327.2845528</v>
      </c>
      <c r="P447" s="30">
        <f>IFERROR(__xludf.DUMMYFUNCTION("""COMPUTED_VALUE"""),0.7235772357723576)</f>
        <v>0.7235772358</v>
      </c>
      <c r="Q447" s="30">
        <f>IFERROR(__xludf.DUMMYFUNCTION("""COMPUTED_VALUE"""),0.5447154471544714)</f>
        <v>0.5447154472</v>
      </c>
      <c r="R447" s="30">
        <f>IFERROR(__xludf.DUMMYFUNCTION("""COMPUTED_VALUE"""),1.2195121951219512)</f>
        <v>1.219512195</v>
      </c>
      <c r="S447" s="30">
        <f>IFERROR(__xludf.DUMMYFUNCTION("""COMPUTED_VALUE"""),2.5203252032520322)</f>
        <v>2.520325203</v>
      </c>
      <c r="T447" s="30">
        <f>IFERROR(__xludf.DUMMYFUNCTION("""COMPUTED_VALUE"""),349.9351538118441)</f>
        <v>349.9351538</v>
      </c>
      <c r="U447" s="30">
        <f>IFERROR(__xludf.DUMMYFUNCTION("""COMPUTED_VALUE"""),0.8023072874392847)</f>
        <v>0.8023072874</v>
      </c>
      <c r="V447" s="30">
        <f>IFERROR(__xludf.DUMMYFUNCTION("""COMPUTED_VALUE"""),0.5691065416683349)</f>
        <v>0.5691065417</v>
      </c>
      <c r="W447" s="30">
        <f>IFERROR(__xludf.DUMMYFUNCTION("""COMPUTED_VALUE"""),1.3162356626239282)</f>
        <v>1.316235663</v>
      </c>
      <c r="X447" s="30">
        <f>IFERROR(__xludf.DUMMYFUNCTION("""COMPUTED_VALUE"""),2.60102337971088)</f>
        <v>2.60102338</v>
      </c>
      <c r="Y447" s="30">
        <f>IFERROR(__xludf.DUMMYFUNCTION("""COMPUTED_VALUE"""),346.95367409016285)</f>
        <v>346.9536741</v>
      </c>
      <c r="Z447" s="30">
        <f>IFERROR(__xludf.DUMMYFUNCTION("""COMPUTED_VALUE"""),0.7601635101977807)</f>
        <v>0.7601635102</v>
      </c>
      <c r="AA447" s="30">
        <f>IFERROR(__xludf.DUMMYFUNCTION("""COMPUTED_VALUE"""),0.5490791935663131)</f>
        <v>0.5490791936</v>
      </c>
      <c r="AB447" s="30">
        <f>IFERROR(__xludf.DUMMYFUNCTION("""COMPUTED_VALUE"""),1.3551294787037182)</f>
        <v>1.355129479</v>
      </c>
      <c r="AC447" s="30">
        <f>IFERROR(__xludf.DUMMYFUNCTION("""COMPUTED_VALUE"""),2.5582000140863426)</f>
        <v>2.558200014</v>
      </c>
      <c r="AD447" s="30">
        <f>IFERROR(__xludf.DUMMYFUNCTION("""COMPUTED_VALUE"""),0.698202441793634)</f>
        <v>0.6982024418</v>
      </c>
      <c r="AE447" s="30">
        <f>IFERROR(__xludf.DUMMYFUNCTION("""COMPUTED_VALUE"""),0.7379670323956249)</f>
        <v>0.7379670324</v>
      </c>
      <c r="AF447" s="30">
        <f>IFERROR(__xludf.DUMMYFUNCTION("""COMPUTED_VALUE"""),0.7551445241411928)</f>
        <v>0.7551445241</v>
      </c>
      <c r="AG447" s="30">
        <f>IFERROR(__xludf.DUMMYFUNCTION("""COMPUTED_VALUE"""),0.5399538040992976)</f>
        <v>0.5399538041</v>
      </c>
      <c r="AH447" s="30">
        <f>IFERROR(__xludf.DUMMYFUNCTION("""COMPUTED_VALUE"""),0.7341289852812963)</f>
        <v>0.7341289853</v>
      </c>
      <c r="AI447" s="30">
        <f>IFERROR(__xludf.DUMMYFUNCTION("""COMPUTED_VALUE"""),0.9352720047712195)</f>
        <v>0.9352720048</v>
      </c>
      <c r="AJ447" s="30">
        <f>IFERROR(__xludf.DUMMYFUNCTION("""COMPUTED_VALUE"""),0.9018704517589402)</f>
        <v>0.9018704518</v>
      </c>
      <c r="AK447" s="30">
        <f>IFERROR(__xludf.DUMMYFUNCTION("""COMPUTED_VALUE"""),0.9571414265554548)</f>
        <v>0.9571414266</v>
      </c>
      <c r="AL447" s="30">
        <f>IFERROR(__xludf.DUMMYFUNCTION("""COMPUTED_VALUE"""),0.9265150836977339)</f>
        <v>0.9265150837</v>
      </c>
      <c r="AM447" s="30">
        <f>IFERROR(__xludf.DUMMYFUNCTION("""COMPUTED_VALUE"""),0.9689744517145332)</f>
        <v>0.9689744517</v>
      </c>
      <c r="AN447" s="30">
        <f>IFERROR(__xludf.DUMMYFUNCTION("""COMPUTED_VALUE"""),0.7144219468546978)</f>
        <v>0.7144219469</v>
      </c>
      <c r="AO447" s="30">
        <f>IFERROR(__xludf.DUMMYFUNCTION("""COMPUTED_VALUE"""),0.754263086403299)</f>
        <v>0.7542630864</v>
      </c>
      <c r="AP447" s="30">
        <f>IFERROR(__xludf.DUMMYFUNCTION("""COMPUTED_VALUE"""),0.7596840159299736)</f>
        <v>0.7596840159</v>
      </c>
      <c r="AQ447" s="30">
        <f>IFERROR(__xludf.DUMMYFUNCTION("""COMPUTED_VALUE"""),0.5594740368509297)</f>
        <v>0.5594740369</v>
      </c>
      <c r="AR447" s="30">
        <f>IFERROR(__xludf.DUMMYFUNCTION("""COMPUTED_VALUE"""),0.7507094213055178)</f>
        <v>0.7507094213</v>
      </c>
      <c r="AS447" s="30">
        <f>IFERROR(__xludf.DUMMYFUNCTION("""COMPUTED_VALUE"""),79.0)</f>
        <v>79</v>
      </c>
      <c r="AT447" s="30">
        <f>IFERROR(__xludf.DUMMYFUNCTION("""COMPUTED_VALUE"""),0.4554532363844056)</f>
        <v>0.4554532364</v>
      </c>
      <c r="AU447" s="30">
        <f>IFERROR(__xludf.DUMMYFUNCTION("""COMPUTED_VALUE"""),1.6421201523933604)</f>
        <v>1.642120152</v>
      </c>
      <c r="AV447" s="32">
        <f>IFERROR(__xludf.DUMMYFUNCTION("""COMPUTED_VALUE"""),26.201571765387563)</f>
        <v>26.20157177</v>
      </c>
      <c r="AW447" s="32">
        <f>IFERROR(__xludf.DUMMYFUNCTION("""COMPUTED_VALUE"""),-5.862886986723898)</f>
        <v>-5.862886987</v>
      </c>
      <c r="AX447" s="32">
        <f>IFERROR(__xludf.DUMMYFUNCTION("""COMPUTED_VALUE"""),15.145020548641583)</f>
        <v>15.14502055</v>
      </c>
      <c r="AY447" s="32">
        <f>IFERROR(__xludf.DUMMYFUNCTION("""COMPUTED_VALUE"""),-12.250588274950854)</f>
        <v>-12.25058827</v>
      </c>
      <c r="AZ447" s="30">
        <f>IFERROR(__xludf.DUMMYFUNCTION("""COMPUTED_VALUE"""),6.387701288226956)</f>
        <v>6.387701288</v>
      </c>
      <c r="BA447" s="30">
        <f>IFERROR(__xludf.DUMMYFUNCTION("""COMPUTED_VALUE"""),1700.0)</f>
        <v>1700</v>
      </c>
    </row>
    <row r="448">
      <c r="A448" s="71" t="str">
        <f>IFERROR(__xludf.DUMMYFUNCTION("""COMPUTED_VALUE"""),"Rival")</f>
        <v>Rival</v>
      </c>
      <c r="B448" s="71" t="str">
        <f>IFERROR(__xludf.DUMMYFUNCTION("""COMPUTED_VALUE"""),"RSC003720")</f>
        <v>RSC003720</v>
      </c>
      <c r="C448" s="30" t="str">
        <f>IFERROR(__xludf.DUMMYFUNCTION("""COMPUTED_VALUE"""),"AriseDaft")</f>
        <v>AriseDaft</v>
      </c>
      <c r="D448" s="30" t="str">
        <f>IFERROR(__xludf.DUMMYFUNCTION("""COMPUTED_VALUE"""),"Tyrants")</f>
        <v>Tyrants</v>
      </c>
      <c r="E448" s="30">
        <f>IFERROR(__xludf.DUMMYFUNCTION("""COMPUTED_VALUE"""),40.0)</f>
        <v>40</v>
      </c>
      <c r="F448" s="30">
        <f>IFERROR(__xludf.DUMMYFUNCTION("""COMPUTED_VALUE"""),17.0)</f>
        <v>17</v>
      </c>
      <c r="G448" s="42">
        <f>IFERROR(__xludf.DUMMYFUNCTION("""COMPUTED_VALUE"""),23.0)</f>
        <v>23</v>
      </c>
      <c r="H448" s="42">
        <f>IFERROR(__xludf.DUMMYFUNCTION("""COMPUTED_VALUE"""),0.425)</f>
        <v>0.425</v>
      </c>
      <c r="I448" s="42">
        <f>IFERROR(__xludf.DUMMYFUNCTION("""COMPUTED_VALUE"""),0.338235294117647)</f>
        <v>0.3382352941</v>
      </c>
      <c r="J448" s="30">
        <f>IFERROR(__xludf.DUMMYFUNCTION("""COMPUTED_VALUE"""),355.0)</f>
        <v>355</v>
      </c>
      <c r="K448" s="30">
        <f>IFERROR(__xludf.DUMMYFUNCTION("""COMPUTED_VALUE"""),0.575)</f>
        <v>0.575</v>
      </c>
      <c r="L448" s="30">
        <f>IFERROR(__xludf.DUMMYFUNCTION("""COMPUTED_VALUE"""),0.5)</f>
        <v>0.5</v>
      </c>
      <c r="M448" s="30">
        <f>IFERROR(__xludf.DUMMYFUNCTION("""COMPUTED_VALUE"""),1.625)</f>
        <v>1.625</v>
      </c>
      <c r="N448" s="30">
        <f>IFERROR(__xludf.DUMMYFUNCTION("""COMPUTED_VALUE"""),1.7)</f>
        <v>1.7</v>
      </c>
      <c r="O448" s="30">
        <f>IFERROR(__xludf.DUMMYFUNCTION("""COMPUTED_VALUE"""),345.32500000000005)</f>
        <v>345.325</v>
      </c>
      <c r="P448" s="30">
        <f>IFERROR(__xludf.DUMMYFUNCTION("""COMPUTED_VALUE"""),0.8083333333333332)</f>
        <v>0.8083333333</v>
      </c>
      <c r="Q448" s="30">
        <f>IFERROR(__xludf.DUMMYFUNCTION("""COMPUTED_VALUE"""),0.6083333333333333)</f>
        <v>0.6083333333</v>
      </c>
      <c r="R448" s="30">
        <f>IFERROR(__xludf.DUMMYFUNCTION("""COMPUTED_VALUE"""),1.0499999999999998)</f>
        <v>1.05</v>
      </c>
      <c r="S448" s="30">
        <f>IFERROR(__xludf.DUMMYFUNCTION("""COMPUTED_VALUE"""),2.6750000000000003)</f>
        <v>2.675</v>
      </c>
      <c r="T448" s="30">
        <f>IFERROR(__xludf.DUMMYFUNCTION("""COMPUTED_VALUE"""),350.4937033046479)</f>
        <v>350.4937033</v>
      </c>
      <c r="U448" s="30">
        <f>IFERROR(__xludf.DUMMYFUNCTION("""COMPUTED_VALUE"""),0.7753429335294845)</f>
        <v>0.7753429335</v>
      </c>
      <c r="V448" s="30">
        <f>IFERROR(__xludf.DUMMYFUNCTION("""COMPUTED_VALUE"""),0.5688918400418039)</f>
        <v>0.56889184</v>
      </c>
      <c r="W448" s="30">
        <f>IFERROR(__xludf.DUMMYFUNCTION("""COMPUTED_VALUE"""),1.3539865097326562)</f>
        <v>1.35398651</v>
      </c>
      <c r="X448" s="30">
        <f>IFERROR(__xludf.DUMMYFUNCTION("""COMPUTED_VALUE"""),2.5795201401856844)</f>
        <v>2.57952014</v>
      </c>
      <c r="Y448" s="30">
        <f>IFERROR(__xludf.DUMMYFUNCTION("""COMPUTED_VALUE"""),349.8743380986599)</f>
        <v>349.8743381</v>
      </c>
      <c r="Z448" s="30">
        <f>IFERROR(__xludf.DUMMYFUNCTION("""COMPUTED_VALUE"""),0.7835103369767077)</f>
        <v>0.783510337</v>
      </c>
      <c r="AA448" s="30">
        <f>IFERROR(__xludf.DUMMYFUNCTION("""COMPUTED_VALUE"""),0.5626814410055301)</f>
        <v>0.562681441</v>
      </c>
      <c r="AB448" s="30">
        <f>IFERROR(__xludf.DUMMYFUNCTION("""COMPUTED_VALUE"""),1.3185713096747373)</f>
        <v>1.31857131</v>
      </c>
      <c r="AC448" s="30">
        <f>IFERROR(__xludf.DUMMYFUNCTION("""COMPUTED_VALUE"""),2.538149549918365)</f>
        <v>2.53814955</v>
      </c>
      <c r="AD448" s="30">
        <f>IFERROR(__xludf.DUMMYFUNCTION("""COMPUTED_VALUE"""),1.014650008140622)</f>
        <v>1.014650008</v>
      </c>
      <c r="AE448" s="30">
        <f>IFERROR(__xludf.DUMMYFUNCTION("""COMPUTED_VALUE"""),0.7338767248671202)</f>
        <v>0.7338767249</v>
      </c>
      <c r="AF448" s="30">
        <f>IFERROR(__xludf.DUMMYFUNCTION("""COMPUTED_VALUE"""),0.8886022597555088)</f>
        <v>0.8886022598</v>
      </c>
      <c r="AG448" s="30">
        <f>IFERROR(__xludf.DUMMYFUNCTION("""COMPUTED_VALUE"""),1.2323944773232263)</f>
        <v>1.232394477</v>
      </c>
      <c r="AH448" s="30">
        <f>IFERROR(__xludf.DUMMYFUNCTION("""COMPUTED_VALUE"""),0.6697792886375342)</f>
        <v>0.6697792886</v>
      </c>
      <c r="AI448" s="30">
        <f>IFERROR(__xludf.DUMMYFUNCTION("""COMPUTED_VALUE"""),0.9852530779985076)</f>
        <v>0.985253078</v>
      </c>
      <c r="AJ448" s="30">
        <f>IFERROR(__xludf.DUMMYFUNCTION("""COMPUTED_VALUE"""),1.0425494299066753)</f>
        <v>1.04254943</v>
      </c>
      <c r="AK448" s="30">
        <f>IFERROR(__xludf.DUMMYFUNCTION("""COMPUTED_VALUE"""),1.0693303902700222)</f>
        <v>1.06933039</v>
      </c>
      <c r="AL448" s="30">
        <f>IFERROR(__xludf.DUMMYFUNCTION("""COMPUTED_VALUE"""),0.7754877854782479)</f>
        <v>0.7754877855</v>
      </c>
      <c r="AM448" s="30">
        <f>IFERROR(__xludf.DUMMYFUNCTION("""COMPUTED_VALUE"""),1.037014582025106)</f>
        <v>1.037014582</v>
      </c>
      <c r="AN448" s="30">
        <f>IFERROR(__xludf.DUMMYFUNCTION("""COMPUTED_VALUE"""),1.0469604748761707)</f>
        <v>1.046960475</v>
      </c>
      <c r="AO448" s="30">
        <f>IFERROR(__xludf.DUMMYFUNCTION("""COMPUTED_VALUE"""),0.7731196635633814)</f>
        <v>0.7731196636</v>
      </c>
      <c r="AP448" s="30">
        <f>IFERROR(__xludf.DUMMYFUNCTION("""COMPUTED_VALUE"""),0.9160895486214388)</f>
        <v>0.9160895486</v>
      </c>
      <c r="AQ448" s="30">
        <f>IFERROR(__xludf.DUMMYFUNCTION("""COMPUTED_VALUE"""),1.2424985901731065)</f>
        <v>1.24249859</v>
      </c>
      <c r="AR448" s="30">
        <f>IFERROR(__xludf.DUMMYFUNCTION("""COMPUTED_VALUE"""),0.6795382683765531)</f>
        <v>0.6795382684</v>
      </c>
      <c r="AS448" s="30">
        <f>IFERROR(__xludf.DUMMYFUNCTION("""COMPUTED_VALUE"""),72.0)</f>
        <v>72</v>
      </c>
      <c r="AT448" s="30">
        <f>IFERROR(__xludf.DUMMYFUNCTION("""COMPUTED_VALUE"""),0.38919278248697553)</f>
        <v>0.3891927825</v>
      </c>
      <c r="AU448" s="30">
        <f>IFERROR(__xludf.DUMMYFUNCTION("""COMPUTED_VALUE"""),1.9260397082626701)</f>
        <v>1.926039708</v>
      </c>
      <c r="AV448" s="32">
        <f>IFERROR(__xludf.DUMMYFUNCTION("""COMPUTED_VALUE"""),34.33018152737959)</f>
        <v>34.33018153</v>
      </c>
      <c r="AW448" s="32">
        <f>IFERROR(__xludf.DUMMYFUNCTION("""COMPUTED_VALUE"""),-3.7679322694116983)</f>
        <v>-3.767932269</v>
      </c>
      <c r="AX448" s="32">
        <f>IFERROR(__xludf.DUMMYFUNCTION("""COMPUTED_VALUE"""),50.41337265125088)</f>
        <v>50.41337265</v>
      </c>
      <c r="AY448" s="32">
        <f>IFERROR(__xludf.DUMMYFUNCTION("""COMPUTED_VALUE"""),2.02673741948697)</f>
        <v>2.026737419</v>
      </c>
      <c r="AZ448" s="30">
        <f>IFERROR(__xludf.DUMMYFUNCTION("""COMPUTED_VALUE"""),5.794669688898669)</f>
        <v>5.794669689</v>
      </c>
      <c r="BA448" s="30">
        <f>IFERROR(__xludf.DUMMYFUNCTION("""COMPUTED_VALUE"""),1700.0)</f>
        <v>1700</v>
      </c>
    </row>
    <row r="449">
      <c r="A449" s="71" t="str">
        <f>IFERROR(__xludf.DUMMYFUNCTION("""COMPUTED_VALUE"""),"Rival")</f>
        <v>Rival</v>
      </c>
      <c r="B449" s="71" t="str">
        <f>IFERROR(__xludf.DUMMYFUNCTION("""COMPUTED_VALUE"""),"RSC005828")</f>
        <v>RSC005828</v>
      </c>
      <c r="C449" s="30" t="str">
        <f>IFERROR(__xludf.DUMMYFUNCTION("""COMPUTED_VALUE"""),"Creme")</f>
        <v>Creme</v>
      </c>
      <c r="D449" s="30" t="str">
        <f>IFERROR(__xludf.DUMMYFUNCTION("""COMPUTED_VALUE"""),"Bulldozers")</f>
        <v>Bulldozers</v>
      </c>
      <c r="E449" s="30">
        <f>IFERROR(__xludf.DUMMYFUNCTION("""COMPUTED_VALUE"""),45.0)</f>
        <v>45</v>
      </c>
      <c r="F449" s="30">
        <f>IFERROR(__xludf.DUMMYFUNCTION("""COMPUTED_VALUE"""),34.0)</f>
        <v>34</v>
      </c>
      <c r="G449" s="42">
        <f>IFERROR(__xludf.DUMMYFUNCTION("""COMPUTED_VALUE"""),11.0)</f>
        <v>11</v>
      </c>
      <c r="H449" s="42">
        <f>IFERROR(__xludf.DUMMYFUNCTION("""COMPUTED_VALUE"""),0.7555555555555555)</f>
        <v>0.7555555556</v>
      </c>
      <c r="I449" s="42">
        <f>IFERROR(__xludf.DUMMYFUNCTION("""COMPUTED_VALUE"""),0.3275862068965517)</f>
        <v>0.3275862069</v>
      </c>
      <c r="J449" s="30">
        <f>IFERROR(__xludf.DUMMYFUNCTION("""COMPUTED_VALUE"""),353.02222222222224)</f>
        <v>353.0222222</v>
      </c>
      <c r="K449" s="30">
        <f>IFERROR(__xludf.DUMMYFUNCTION("""COMPUTED_VALUE"""),0.8444444444444444)</f>
        <v>0.8444444444</v>
      </c>
      <c r="L449" s="30">
        <f>IFERROR(__xludf.DUMMYFUNCTION("""COMPUTED_VALUE"""),0.5777777777777777)</f>
        <v>0.5777777778</v>
      </c>
      <c r="M449" s="30">
        <f>IFERROR(__xludf.DUMMYFUNCTION("""COMPUTED_VALUE"""),1.511111111111111)</f>
        <v>1.511111111</v>
      </c>
      <c r="N449" s="30">
        <f>IFERROR(__xludf.DUMMYFUNCTION("""COMPUTED_VALUE"""),2.577777777777778)</f>
        <v>2.577777778</v>
      </c>
      <c r="O449" s="30">
        <f>IFERROR(__xludf.DUMMYFUNCTION("""COMPUTED_VALUE"""),331.65925925925933)</f>
        <v>331.6592593</v>
      </c>
      <c r="P449" s="30">
        <f>IFERROR(__xludf.DUMMYFUNCTION("""COMPUTED_VALUE"""),0.6370370370370368)</f>
        <v>0.637037037</v>
      </c>
      <c r="Q449" s="30">
        <f>IFERROR(__xludf.DUMMYFUNCTION("""COMPUTED_VALUE"""),0.48148148148148145)</f>
        <v>0.4814814815</v>
      </c>
      <c r="R449" s="30">
        <f>IFERROR(__xludf.DUMMYFUNCTION("""COMPUTED_VALUE"""),1.414814814814815)</f>
        <v>1.414814815</v>
      </c>
      <c r="S449" s="30">
        <f>IFERROR(__xludf.DUMMYFUNCTION("""COMPUTED_VALUE"""),2.7333333333333325)</f>
        <v>2.733333333</v>
      </c>
      <c r="T449" s="30">
        <f>IFERROR(__xludf.DUMMYFUNCTION("""COMPUTED_VALUE"""),338.5069650572922)</f>
        <v>338.5069651</v>
      </c>
      <c r="U449" s="30">
        <f>IFERROR(__xludf.DUMMYFUNCTION("""COMPUTED_VALUE"""),0.7389795443386977)</f>
        <v>0.7389795443</v>
      </c>
      <c r="V449" s="30">
        <f>IFERROR(__xludf.DUMMYFUNCTION("""COMPUTED_VALUE"""),0.5216917591335248)</f>
        <v>0.5216917591</v>
      </c>
      <c r="W449" s="30">
        <f>IFERROR(__xludf.DUMMYFUNCTION("""COMPUTED_VALUE"""),1.3048064220646485)</f>
        <v>1.304806422</v>
      </c>
      <c r="X449" s="30">
        <f>IFERROR(__xludf.DUMMYFUNCTION("""COMPUTED_VALUE"""),2.4988986481576756)</f>
        <v>2.498898648</v>
      </c>
      <c r="Y449" s="30">
        <f>IFERROR(__xludf.DUMMYFUNCTION("""COMPUTED_VALUE"""),358.43979173549104)</f>
        <v>358.4397917</v>
      </c>
      <c r="Z449" s="30">
        <f>IFERROR(__xludf.DUMMYFUNCTION("""COMPUTED_VALUE"""),0.8436223263534176)</f>
        <v>0.8436223264</v>
      </c>
      <c r="AA449" s="30">
        <f>IFERROR(__xludf.DUMMYFUNCTION("""COMPUTED_VALUE"""),0.6158438146807088)</f>
        <v>0.6158438147</v>
      </c>
      <c r="AB449" s="30">
        <f>IFERROR(__xludf.DUMMYFUNCTION("""COMPUTED_VALUE"""),1.3212552384807559)</f>
        <v>1.321255238</v>
      </c>
      <c r="AC449" s="30">
        <f>IFERROR(__xludf.DUMMYFUNCTION("""COMPUTED_VALUE"""),2.650438305278554)</f>
        <v>2.650438305</v>
      </c>
      <c r="AD449" s="30">
        <f>IFERROR(__xludf.DUMMYFUNCTION("""COMPUTED_VALUE"""),0.9848856917167649)</f>
        <v>0.9848856917</v>
      </c>
      <c r="AE449" s="30">
        <f>IFERROR(__xludf.DUMMYFUNCTION("""COMPUTED_VALUE"""),1.00097450964175)</f>
        <v>1.00097451</v>
      </c>
      <c r="AF449" s="30">
        <f>IFERROR(__xludf.DUMMYFUNCTION("""COMPUTED_VALUE"""),0.9381888134694235)</f>
        <v>0.9381888135</v>
      </c>
      <c r="AG449" s="30">
        <f>IFERROR(__xludf.DUMMYFUNCTION("""COMPUTED_VALUE"""),1.1436935628339766)</f>
        <v>1.143693563</v>
      </c>
      <c r="AH449" s="30">
        <f>IFERROR(__xludf.DUMMYFUNCTION("""COMPUTED_VALUE"""),0.9725854673334343)</f>
        <v>0.9725854673</v>
      </c>
      <c r="AI449" s="30">
        <f>IFERROR(__xludf.DUMMYFUNCTION("""COMPUTED_VALUE"""),0.9797708570136101)</f>
        <v>0.979770857</v>
      </c>
      <c r="AJ449" s="30">
        <f>IFERROR(__xludf.DUMMYFUNCTION("""COMPUTED_VALUE"""),0.8620496222356361)</f>
        <v>0.8620496222</v>
      </c>
      <c r="AK449" s="30">
        <f>IFERROR(__xludf.DUMMYFUNCTION("""COMPUTED_VALUE"""),0.9229233029886682)</f>
        <v>0.922923303</v>
      </c>
      <c r="AL449" s="30">
        <f>IFERROR(__xludf.DUMMYFUNCTION("""COMPUTED_VALUE"""),1.084310125157183)</f>
        <v>1.084310125</v>
      </c>
      <c r="AM449" s="30">
        <f>IFERROR(__xludf.DUMMYFUNCTION("""COMPUTED_VALUE"""),1.093815203489143)</f>
        <v>1.093815203</v>
      </c>
      <c r="AN449" s="30">
        <f>IFERROR(__xludf.DUMMYFUNCTION("""COMPUTED_VALUE"""),1.041127643435546)</f>
        <v>1.041127643</v>
      </c>
      <c r="AO449" s="30">
        <f>IFERROR(__xludf.DUMMYFUNCTION("""COMPUTED_VALUE"""),1.1354027909336617)</f>
        <v>1.135402791</v>
      </c>
      <c r="AP449" s="30">
        <f>IFERROR(__xludf.DUMMYFUNCTION("""COMPUTED_VALUE"""),1.0585923672958848)</f>
        <v>1.058592367</v>
      </c>
      <c r="AQ449" s="30">
        <f>IFERROR(__xludf.DUMMYFUNCTION("""COMPUTED_VALUE"""),1.1554174924002905)</f>
        <v>1.155417492</v>
      </c>
      <c r="AR449" s="30">
        <f>IFERROR(__xludf.DUMMYFUNCTION("""COMPUTED_VALUE"""),1.0304109690415708)</f>
        <v>1.030410969</v>
      </c>
      <c r="AS449" s="30">
        <f>IFERROR(__xludf.DUMMYFUNCTION("""COMPUTED_VALUE"""),139.0)</f>
        <v>139</v>
      </c>
      <c r="AT449" s="30">
        <f>IFERROR(__xludf.DUMMYFUNCTION("""COMPUTED_VALUE"""),0.681789785171931)</f>
        <v>0.6817897852</v>
      </c>
      <c r="AU449" s="30">
        <f>IFERROR(__xludf.DUMMYFUNCTION("""COMPUTED_VALUE"""),2.725225676298947)</f>
        <v>2.725225676</v>
      </c>
      <c r="AV449" s="32">
        <f>IFERROR(__xludf.DUMMYFUNCTION("""COMPUTED_VALUE"""),57.21085574348398)</f>
        <v>57.21085574</v>
      </c>
      <c r="AW449" s="32">
        <f>IFERROR(__xludf.DUMMYFUNCTION("""COMPUTED_VALUE"""),2.5872740277949697)</f>
        <v>2.587274028</v>
      </c>
      <c r="AX449" s="32">
        <f>IFERROR(__xludf.DUMMYFUNCTION("""COMPUTED_VALUE"""),37.819010557142555)</f>
        <v>37.81901056</v>
      </c>
      <c r="AY449" s="32">
        <f>IFERROR(__xludf.DUMMYFUNCTION("""COMPUTED_VALUE"""),-3.194436257500168)</f>
        <v>-3.194436258</v>
      </c>
      <c r="AZ449" s="30">
        <f>IFERROR(__xludf.DUMMYFUNCTION("""COMPUTED_VALUE"""),5.781710285295137)</f>
        <v>5.781710285</v>
      </c>
      <c r="BA449" s="30">
        <f>IFERROR(__xludf.DUMMYFUNCTION("""COMPUTED_VALUE"""),1700.0)</f>
        <v>1700</v>
      </c>
    </row>
    <row r="450">
      <c r="A450" s="71" t="str">
        <f>IFERROR(__xludf.DUMMYFUNCTION("""COMPUTED_VALUE"""),"Rival")</f>
        <v>Rival</v>
      </c>
      <c r="B450" s="71" t="str">
        <f>IFERROR(__xludf.DUMMYFUNCTION("""COMPUTED_VALUE"""),"RSC006138")</f>
        <v>RSC006138</v>
      </c>
      <c r="C450" s="30" t="str">
        <f>IFERROR(__xludf.DUMMYFUNCTION("""COMPUTED_VALUE"""),"NekomancerKoral")</f>
        <v>NekomancerKoral</v>
      </c>
      <c r="D450" s="30" t="str">
        <f>IFERROR(__xludf.DUMMYFUNCTION("""COMPUTED_VALUE"""),"Jetstream")</f>
        <v>Jetstream</v>
      </c>
      <c r="E450" s="30">
        <f>IFERROR(__xludf.DUMMYFUNCTION("""COMPUTED_VALUE"""),24.0)</f>
        <v>24</v>
      </c>
      <c r="F450" s="30">
        <f>IFERROR(__xludf.DUMMYFUNCTION("""COMPUTED_VALUE"""),8.0)</f>
        <v>8</v>
      </c>
      <c r="G450" s="42">
        <f>IFERROR(__xludf.DUMMYFUNCTION("""COMPUTED_VALUE"""),16.0)</f>
        <v>16</v>
      </c>
      <c r="H450" s="42">
        <f>IFERROR(__xludf.DUMMYFUNCTION("""COMPUTED_VALUE"""),0.3333333333333333)</f>
        <v>0.3333333333</v>
      </c>
      <c r="I450" s="42">
        <f>IFERROR(__xludf.DUMMYFUNCTION("""COMPUTED_VALUE"""),0.42424242424242425)</f>
        <v>0.4242424242</v>
      </c>
      <c r="J450" s="30">
        <f>IFERROR(__xludf.DUMMYFUNCTION("""COMPUTED_VALUE"""),360.2083333333333)</f>
        <v>360.2083333</v>
      </c>
      <c r="K450" s="30">
        <f>IFERROR(__xludf.DUMMYFUNCTION("""COMPUTED_VALUE"""),1.1666666666666667)</f>
        <v>1.166666667</v>
      </c>
      <c r="L450" s="30">
        <f>IFERROR(__xludf.DUMMYFUNCTION("""COMPUTED_VALUE"""),0.4166666666666667)</f>
        <v>0.4166666667</v>
      </c>
      <c r="M450" s="30">
        <f>IFERROR(__xludf.DUMMYFUNCTION("""COMPUTED_VALUE"""),1.4583333333333333)</f>
        <v>1.458333333</v>
      </c>
      <c r="N450" s="30">
        <f>IFERROR(__xludf.DUMMYFUNCTION("""COMPUTED_VALUE"""),2.75)</f>
        <v>2.75</v>
      </c>
      <c r="O450" s="30">
        <f>IFERROR(__xludf.DUMMYFUNCTION("""COMPUTED_VALUE"""),376.25)</f>
        <v>376.25</v>
      </c>
      <c r="P450" s="30">
        <f>IFERROR(__xludf.DUMMYFUNCTION("""COMPUTED_VALUE"""),0.9305555555555557)</f>
        <v>0.9305555556</v>
      </c>
      <c r="Q450" s="30">
        <f>IFERROR(__xludf.DUMMYFUNCTION("""COMPUTED_VALUE"""),0.7083333333333335)</f>
        <v>0.7083333333</v>
      </c>
      <c r="R450" s="30">
        <f>IFERROR(__xludf.DUMMYFUNCTION("""COMPUTED_VALUE"""),1.3055555555555558)</f>
        <v>1.305555556</v>
      </c>
      <c r="S450" s="30">
        <f>IFERROR(__xludf.DUMMYFUNCTION("""COMPUTED_VALUE"""),3.0555555555555554)</f>
        <v>3.055555556</v>
      </c>
      <c r="T450" s="30">
        <f>IFERROR(__xludf.DUMMYFUNCTION("""COMPUTED_VALUE"""),346.9210680263675)</f>
        <v>346.921068</v>
      </c>
      <c r="U450" s="30">
        <f>IFERROR(__xludf.DUMMYFUNCTION("""COMPUTED_VALUE"""),0.7792391974876315)</f>
        <v>0.7792391975</v>
      </c>
      <c r="V450" s="30">
        <f>IFERROR(__xludf.DUMMYFUNCTION("""COMPUTED_VALUE"""),0.5465138778926742)</f>
        <v>0.5465138779</v>
      </c>
      <c r="W450" s="30">
        <f>IFERROR(__xludf.DUMMYFUNCTION("""COMPUTED_VALUE"""),1.299596466466794)</f>
        <v>1.299596466</v>
      </c>
      <c r="X450" s="30">
        <f>IFERROR(__xludf.DUMMYFUNCTION("""COMPUTED_VALUE"""),2.635260670366298)</f>
        <v>2.63526067</v>
      </c>
      <c r="Y450" s="30">
        <f>IFERROR(__xludf.DUMMYFUNCTION("""COMPUTED_VALUE"""),354.78820367183556)</f>
        <v>354.7882037</v>
      </c>
      <c r="Z450" s="30">
        <f>IFERROR(__xludf.DUMMYFUNCTION("""COMPUTED_VALUE"""),0.8149276255680972)</f>
        <v>0.8149276256</v>
      </c>
      <c r="AA450" s="30">
        <f>IFERROR(__xludf.DUMMYFUNCTION("""COMPUTED_VALUE"""),0.5927400191427765)</f>
        <v>0.5927400191</v>
      </c>
      <c r="AB450" s="30">
        <f>IFERROR(__xludf.DUMMYFUNCTION("""COMPUTED_VALUE"""),1.3590738349119125)</f>
        <v>1.359073835</v>
      </c>
      <c r="AC450" s="30">
        <f>IFERROR(__xludf.DUMMYFUNCTION("""COMPUTED_VALUE"""),2.629139069157379)</f>
        <v>2.629139069</v>
      </c>
      <c r="AD450" s="30">
        <f>IFERROR(__xludf.DUMMYFUNCTION("""COMPUTED_VALUE"""),1.0152770853297906)</f>
        <v>1.015277085</v>
      </c>
      <c r="AE450" s="30">
        <f>IFERROR(__xludf.DUMMYFUNCTION("""COMPUTED_VALUE"""),1.431619974661391)</f>
        <v>1.431619975</v>
      </c>
      <c r="AF450" s="30">
        <f>IFERROR(__xludf.DUMMYFUNCTION("""COMPUTED_VALUE"""),0.7029501184503318)</f>
        <v>0.7029501185</v>
      </c>
      <c r="AG450" s="30">
        <f>IFERROR(__xludf.DUMMYFUNCTION("""COMPUTED_VALUE"""),1.0730346621880587)</f>
        <v>1.073034662</v>
      </c>
      <c r="AH450" s="30">
        <f>IFERROR(__xludf.DUMMYFUNCTION("""COMPUTED_VALUE"""),1.0459697747678887)</f>
        <v>1.045969775</v>
      </c>
      <c r="AI450" s="30">
        <f>IFERROR(__xludf.DUMMYFUNCTION("""COMPUTED_VALUE"""),1.0845406482243487)</f>
        <v>1.084540648</v>
      </c>
      <c r="AJ450" s="30">
        <f>IFERROR(__xludf.DUMMYFUNCTION("""COMPUTED_VALUE"""),1.1941847362860953)</f>
        <v>1.194184736</v>
      </c>
      <c r="AK450" s="30">
        <f>IFERROR(__xludf.DUMMYFUNCTION("""COMPUTED_VALUE"""),1.2960939547676733)</f>
        <v>1.296093955</v>
      </c>
      <c r="AL450" s="30">
        <f>IFERROR(__xludf.DUMMYFUNCTION("""COMPUTED_VALUE"""),1.0045853380203185)</f>
        <v>1.004585338</v>
      </c>
      <c r="AM450" s="30">
        <f>IFERROR(__xludf.DUMMYFUNCTION("""COMPUTED_VALUE"""),1.159488922638851)</f>
        <v>1.159488923</v>
      </c>
      <c r="AN450" s="30">
        <f>IFERROR(__xludf.DUMMYFUNCTION("""COMPUTED_VALUE"""),1.0623208104817483)</f>
        <v>1.06232081</v>
      </c>
      <c r="AO450" s="30">
        <f>IFERROR(__xludf.DUMMYFUNCTION("""COMPUTED_VALUE"""),1.5686485927372957)</f>
        <v>1.568648593</v>
      </c>
      <c r="AP450" s="30">
        <f>IFERROR(__xludf.DUMMYFUNCTION("""COMPUTED_VALUE"""),0.7634079571845324)</f>
        <v>0.7634079572</v>
      </c>
      <c r="AQ450" s="30">
        <f>IFERROR(__xludf.DUMMYFUNCTION("""COMPUTED_VALUE"""),1.115062837334839)</f>
        <v>1.115062837</v>
      </c>
      <c r="AR450" s="30">
        <f>IFERROR(__xludf.DUMMYFUNCTION("""COMPUTED_VALUE"""),1.0992530811973653)</f>
        <v>1.099253081</v>
      </c>
      <c r="AS450" s="30">
        <f>IFERROR(__xludf.DUMMYFUNCTION("""COMPUTED_VALUE"""),63.0)</f>
        <v>63</v>
      </c>
      <c r="AT450" s="30">
        <f>IFERROR(__xludf.DUMMYFUNCTION("""COMPUTED_VALUE"""),0.4750285710646974)</f>
        <v>0.4750285711</v>
      </c>
      <c r="AU450" s="30">
        <f>IFERROR(__xludf.DUMMYFUNCTION("""COMPUTED_VALUE"""),2.8302131216858983)</f>
        <v>2.830213122</v>
      </c>
      <c r="AV450" s="32">
        <f>IFERROR(__xludf.DUMMYFUNCTION("""COMPUTED_VALUE"""),60.21664367114545)</f>
        <v>60.21664367</v>
      </c>
      <c r="AW450" s="32">
        <f>IFERROR(__xludf.DUMMYFUNCTION("""COMPUTED_VALUE"""),2.9291798671432847)</f>
        <v>2.929179867</v>
      </c>
      <c r="AX450" s="32">
        <f>IFERROR(__xludf.DUMMYFUNCTION("""COMPUTED_VALUE"""),40.63986105727044)</f>
        <v>40.63986106</v>
      </c>
      <c r="AY450" s="32">
        <f>IFERROR(__xludf.DUMMYFUNCTION("""COMPUTED_VALUE"""),-2.8244494165710923)</f>
        <v>-2.824449417</v>
      </c>
      <c r="AZ450" s="30">
        <f>IFERROR(__xludf.DUMMYFUNCTION("""COMPUTED_VALUE"""),5.7536292837143765)</f>
        <v>5.753629284</v>
      </c>
      <c r="BA450" s="30">
        <f>IFERROR(__xludf.DUMMYFUNCTION("""COMPUTED_VALUE"""),1700.0)</f>
        <v>1700</v>
      </c>
    </row>
    <row r="451">
      <c r="A451" s="71" t="str">
        <f>IFERROR(__xludf.DUMMYFUNCTION("""COMPUTED_VALUE"""),"Rival")</f>
        <v>Rival</v>
      </c>
      <c r="B451" s="71" t="str">
        <f>IFERROR(__xludf.DUMMYFUNCTION("""COMPUTED_VALUE"""),"RSC004790")</f>
        <v>RSC004790</v>
      </c>
      <c r="C451" s="30" t="str">
        <f>IFERROR(__xludf.DUMMYFUNCTION("""COMPUTED_VALUE"""),"TheFrostNL")</f>
        <v>TheFrostNL</v>
      </c>
      <c r="D451" s="30"/>
      <c r="E451" s="30">
        <f>IFERROR(__xludf.DUMMYFUNCTION("""COMPUTED_VALUE"""),13.0)</f>
        <v>13</v>
      </c>
      <c r="F451" s="30">
        <f>IFERROR(__xludf.DUMMYFUNCTION("""COMPUTED_VALUE"""),7.0)</f>
        <v>7</v>
      </c>
      <c r="G451" s="42">
        <f>IFERROR(__xludf.DUMMYFUNCTION("""COMPUTED_VALUE"""),6.0)</f>
        <v>6</v>
      </c>
      <c r="H451" s="42">
        <f>IFERROR(__xludf.DUMMYFUNCTION("""COMPUTED_VALUE"""),0.5384615384615384)</f>
        <v>0.5384615385</v>
      </c>
      <c r="I451" s="42">
        <f>IFERROR(__xludf.DUMMYFUNCTION("""COMPUTED_VALUE"""),0.19230769230769232)</f>
        <v>0.1923076923</v>
      </c>
      <c r="J451" s="30">
        <f>IFERROR(__xludf.DUMMYFUNCTION("""COMPUTED_VALUE"""),283.0)</f>
        <v>283</v>
      </c>
      <c r="K451" s="30">
        <f>IFERROR(__xludf.DUMMYFUNCTION("""COMPUTED_VALUE"""),0.38461538461538464)</f>
        <v>0.3846153846</v>
      </c>
      <c r="L451" s="30">
        <f>IFERROR(__xludf.DUMMYFUNCTION("""COMPUTED_VALUE"""),0.07692307692307693)</f>
        <v>0.07692307692</v>
      </c>
      <c r="M451" s="30">
        <f>IFERROR(__xludf.DUMMYFUNCTION("""COMPUTED_VALUE"""),1.5384615384615385)</f>
        <v>1.538461538</v>
      </c>
      <c r="N451" s="30">
        <f>IFERROR(__xludf.DUMMYFUNCTION("""COMPUTED_VALUE"""),2.0)</f>
        <v>2</v>
      </c>
      <c r="O451" s="30">
        <f>IFERROR(__xludf.DUMMYFUNCTION("""COMPUTED_VALUE"""),315.2307692307692)</f>
        <v>315.2307692</v>
      </c>
      <c r="P451" s="30">
        <f>IFERROR(__xludf.DUMMYFUNCTION("""COMPUTED_VALUE"""),0.5641025641025641)</f>
        <v>0.5641025641</v>
      </c>
      <c r="Q451" s="30">
        <f>IFERROR(__xludf.DUMMYFUNCTION("""COMPUTED_VALUE"""),0.46153846153846156)</f>
        <v>0.4615384615</v>
      </c>
      <c r="R451" s="30">
        <f>IFERROR(__xludf.DUMMYFUNCTION("""COMPUTED_VALUE"""),1.1538461538461537)</f>
        <v>1.153846154</v>
      </c>
      <c r="S451" s="30">
        <f>IFERROR(__xludf.DUMMYFUNCTION("""COMPUTED_VALUE"""),2.5384615384615383)</f>
        <v>2.538461538</v>
      </c>
      <c r="T451" s="30">
        <f>IFERROR(__xludf.DUMMYFUNCTION("""COMPUTED_VALUE"""),354.6325175426569)</f>
        <v>354.6325175</v>
      </c>
      <c r="U451" s="30">
        <f>IFERROR(__xludf.DUMMYFUNCTION("""COMPUTED_VALUE"""),0.8209787689663852)</f>
        <v>0.820978769</v>
      </c>
      <c r="V451" s="30">
        <f>IFERROR(__xludf.DUMMYFUNCTION("""COMPUTED_VALUE"""),0.5516461264913278)</f>
        <v>0.5516461265</v>
      </c>
      <c r="W451" s="30">
        <f>IFERROR(__xludf.DUMMYFUNCTION("""COMPUTED_VALUE"""),1.3058532254352682)</f>
        <v>1.305853225</v>
      </c>
      <c r="X451" s="30">
        <f>IFERROR(__xludf.DUMMYFUNCTION("""COMPUTED_VALUE"""),2.699983894101541)</f>
        <v>2.699983894</v>
      </c>
      <c r="Y451" s="30">
        <f>IFERROR(__xludf.DUMMYFUNCTION("""COMPUTED_VALUE"""),336.62010911440734)</f>
        <v>336.6201091</v>
      </c>
      <c r="Z451" s="30">
        <f>IFERROR(__xludf.DUMMYFUNCTION("""COMPUTED_VALUE"""),0.7119134954790269)</f>
        <v>0.7119134955</v>
      </c>
      <c r="AA451" s="30">
        <f>IFERROR(__xludf.DUMMYFUNCTION("""COMPUTED_VALUE"""),0.46740687359882416)</f>
        <v>0.4674068736</v>
      </c>
      <c r="AB451" s="30">
        <f>IFERROR(__xludf.DUMMYFUNCTION("""COMPUTED_VALUE"""),1.3640883330253812)</f>
        <v>1.364088333</v>
      </c>
      <c r="AC451" s="30">
        <f>IFERROR(__xludf.DUMMYFUNCTION("""COMPUTED_VALUE"""),2.442237368372559)</f>
        <v>2.442237368</v>
      </c>
      <c r="AD451" s="30">
        <f>IFERROR(__xludf.DUMMYFUNCTION("""COMPUTED_VALUE"""),0.8407103210337816)</f>
        <v>0.840710321</v>
      </c>
      <c r="AE451" s="30">
        <f>IFERROR(__xludf.DUMMYFUNCTION("""COMPUTED_VALUE"""),0.5402557853698048)</f>
        <v>0.5402557854</v>
      </c>
      <c r="AF451" s="30">
        <f>IFERROR(__xludf.DUMMYFUNCTION("""COMPUTED_VALUE"""),0.16457412431871957)</f>
        <v>0.1645741243</v>
      </c>
      <c r="AG451" s="30">
        <f>IFERROR(__xludf.DUMMYFUNCTION("""COMPUTED_VALUE"""),1.127831315036189)</f>
        <v>1.127831315</v>
      </c>
      <c r="AH451" s="30">
        <f>IFERROR(__xludf.DUMMYFUNCTION("""COMPUTED_VALUE"""),0.8189212178555543)</f>
        <v>0.8189212179</v>
      </c>
      <c r="AI451" s="30">
        <f>IFERROR(__xludf.DUMMYFUNCTION("""COMPUTED_VALUE"""),0.88889414714445)</f>
        <v>0.8888941471</v>
      </c>
      <c r="AJ451" s="30">
        <f>IFERROR(__xludf.DUMMYFUNCTION("""COMPUTED_VALUE"""),0.6871098077393292)</f>
        <v>0.6871098077</v>
      </c>
      <c r="AK451" s="30">
        <f>IFERROR(__xludf.DUMMYFUNCTION("""COMPUTED_VALUE"""),0.8366567612357144)</f>
        <v>0.8366567612</v>
      </c>
      <c r="AL451" s="30">
        <f>IFERROR(__xludf.DUMMYFUNCTION("""COMPUTED_VALUE"""),0.8835955920402561)</f>
        <v>0.883595592</v>
      </c>
      <c r="AM451" s="30">
        <f>IFERROR(__xludf.DUMMYFUNCTION("""COMPUTED_VALUE"""),0.9401765484628006)</f>
        <v>0.9401765485</v>
      </c>
      <c r="AN451" s="30">
        <f>IFERROR(__xludf.DUMMYFUNCTION("""COMPUTED_VALUE"""),0.8346191954646657)</f>
        <v>0.8346191955</v>
      </c>
      <c r="AO451" s="30">
        <f>IFERROR(__xludf.DUMMYFUNCTION("""COMPUTED_VALUE"""),0.517136898704603)</f>
        <v>0.5171368987</v>
      </c>
      <c r="AP451" s="30">
        <f>IFERROR(__xludf.DUMMYFUNCTION("""COMPUTED_VALUE"""),0.14093685363406752)</f>
        <v>0.1409368536</v>
      </c>
      <c r="AQ451" s="30">
        <f>IFERROR(__xludf.DUMMYFUNCTION("""COMPUTED_VALUE"""),1.1763300261993908)</f>
        <v>1.176330026</v>
      </c>
      <c r="AR451" s="30">
        <f>IFERROR(__xludf.DUMMYFUNCTION("""COMPUTED_VALUE"""),0.7994567863253565)</f>
        <v>0.7994567863</v>
      </c>
      <c r="AS451" s="30">
        <f>IFERROR(__xludf.DUMMYFUNCTION("""COMPUTED_VALUE"""),20.0)</f>
        <v>20</v>
      </c>
      <c r="AT451" s="30">
        <f>IFERROR(__xludf.DUMMYFUNCTION("""COMPUTED_VALUE"""),0.4666875733624595)</f>
        <v>0.4666875734</v>
      </c>
      <c r="AU451" s="30">
        <f>IFERROR(__xludf.DUMMYFUNCTION("""COMPUTED_VALUE"""),1.2627448031991604)</f>
        <v>1.262744803</v>
      </c>
      <c r="AV451" s="32">
        <f>IFERROR(__xludf.DUMMYFUNCTION("""COMPUTED_VALUE"""),15.340065035155142)</f>
        <v>15.34006504</v>
      </c>
      <c r="AW451" s="32">
        <f>IFERROR(__xludf.DUMMYFUNCTION("""COMPUTED_VALUE"""),-12.075428655761709)</f>
        <v>-12.07542866</v>
      </c>
      <c r="AX451" s="32">
        <f>IFERROR(__xludf.DUMMYFUNCTION("""COMPUTED_VALUE"""),24.63428917737172)</f>
        <v>24.63428918</v>
      </c>
      <c r="AY451" s="32">
        <f>IFERROR(__xludf.DUMMYFUNCTION("""COMPUTED_VALUE"""),-6.4457289803739535)</f>
        <v>-6.44572898</v>
      </c>
      <c r="AZ451" s="30">
        <f>IFERROR(__xludf.DUMMYFUNCTION("""COMPUTED_VALUE"""),5.629699675387755)</f>
        <v>5.629699675</v>
      </c>
      <c r="BA451" s="30">
        <f>IFERROR(__xludf.DUMMYFUNCTION("""COMPUTED_VALUE"""),1700.0)</f>
        <v>1700</v>
      </c>
    </row>
    <row r="452">
      <c r="A452" s="71" t="str">
        <f>IFERROR(__xludf.DUMMYFUNCTION("""COMPUTED_VALUE"""),"Rival")</f>
        <v>Rival</v>
      </c>
      <c r="B452" s="71" t="str">
        <f>IFERROR(__xludf.DUMMYFUNCTION("""COMPUTED_VALUE"""),"RSC007144")</f>
        <v>RSC007144</v>
      </c>
      <c r="C452" s="30" t="str">
        <f>IFERROR(__xludf.DUMMYFUNCTION("""COMPUTED_VALUE"""),"The_Killerwon")</f>
        <v>The_Killerwon</v>
      </c>
      <c r="D452" s="30" t="str">
        <f>IFERROR(__xludf.DUMMYFUNCTION("""COMPUTED_VALUE"""),"Wind")</f>
        <v>Wind</v>
      </c>
      <c r="E452" s="30">
        <f>IFERROR(__xludf.DUMMYFUNCTION("""COMPUTED_VALUE"""),40.0)</f>
        <v>40</v>
      </c>
      <c r="F452" s="30">
        <f>IFERROR(__xludf.DUMMYFUNCTION("""COMPUTED_VALUE"""),22.0)</f>
        <v>22</v>
      </c>
      <c r="G452" s="42">
        <f>IFERROR(__xludf.DUMMYFUNCTION("""COMPUTED_VALUE"""),18.0)</f>
        <v>18</v>
      </c>
      <c r="H452" s="42">
        <f>IFERROR(__xludf.DUMMYFUNCTION("""COMPUTED_VALUE"""),0.55)</f>
        <v>0.55</v>
      </c>
      <c r="I452" s="42">
        <f>IFERROR(__xludf.DUMMYFUNCTION("""COMPUTED_VALUE"""),0.38392857142857145)</f>
        <v>0.3839285714</v>
      </c>
      <c r="J452" s="30">
        <f>IFERROR(__xludf.DUMMYFUNCTION("""COMPUTED_VALUE"""),364.925)</f>
        <v>364.925</v>
      </c>
      <c r="K452" s="30">
        <f>IFERROR(__xludf.DUMMYFUNCTION("""COMPUTED_VALUE"""),1.075)</f>
        <v>1.075</v>
      </c>
      <c r="L452" s="30">
        <f>IFERROR(__xludf.DUMMYFUNCTION("""COMPUTED_VALUE"""),0.475)</f>
        <v>0.475</v>
      </c>
      <c r="M452" s="30">
        <f>IFERROR(__xludf.DUMMYFUNCTION("""COMPUTED_VALUE"""),1.25)</f>
        <v>1.25</v>
      </c>
      <c r="N452" s="30">
        <f>IFERROR(__xludf.DUMMYFUNCTION("""COMPUTED_VALUE"""),2.8)</f>
        <v>2.8</v>
      </c>
      <c r="O452" s="30">
        <f>IFERROR(__xludf.DUMMYFUNCTION("""COMPUTED_VALUE"""),369.0083333333333)</f>
        <v>369.0083333</v>
      </c>
      <c r="P452" s="30">
        <f>IFERROR(__xludf.DUMMYFUNCTION("""COMPUTED_VALUE"""),0.8500000000000002)</f>
        <v>0.85</v>
      </c>
      <c r="Q452" s="30">
        <f>IFERROR(__xludf.DUMMYFUNCTION("""COMPUTED_VALUE"""),0.6250000000000001)</f>
        <v>0.625</v>
      </c>
      <c r="R452" s="30">
        <f>IFERROR(__xludf.DUMMYFUNCTION("""COMPUTED_VALUE"""),1.4333333333333331)</f>
        <v>1.433333333</v>
      </c>
      <c r="S452" s="30">
        <f>IFERROR(__xludf.DUMMYFUNCTION("""COMPUTED_VALUE"""),2.7750000000000004)</f>
        <v>2.775</v>
      </c>
      <c r="T452" s="30">
        <f>IFERROR(__xludf.DUMMYFUNCTION("""COMPUTED_VALUE"""),347.9753112594432)</f>
        <v>347.9753113</v>
      </c>
      <c r="U452" s="30">
        <f>IFERROR(__xludf.DUMMYFUNCTION("""COMPUTED_VALUE"""),0.7928140942532125)</f>
        <v>0.7928140943</v>
      </c>
      <c r="V452" s="30">
        <f>IFERROR(__xludf.DUMMYFUNCTION("""COMPUTED_VALUE"""),0.5544284973297935)</f>
        <v>0.5544284973</v>
      </c>
      <c r="W452" s="30">
        <f>IFERROR(__xludf.DUMMYFUNCTION("""COMPUTED_VALUE"""),1.315614808253054)</f>
        <v>1.315614808</v>
      </c>
      <c r="X452" s="30">
        <f>IFERROR(__xludf.DUMMYFUNCTION("""COMPUTED_VALUE"""),2.6307494765850516)</f>
        <v>2.630749477</v>
      </c>
      <c r="Y452" s="30">
        <f>IFERROR(__xludf.DUMMYFUNCTION("""COMPUTED_VALUE"""),354.68109946898295)</f>
        <v>354.6810995</v>
      </c>
      <c r="Z452" s="30">
        <f>IFERROR(__xludf.DUMMYFUNCTION("""COMPUTED_VALUE"""),0.8304059399456085)</f>
        <v>0.8304059399</v>
      </c>
      <c r="AA452" s="30">
        <f>IFERROR(__xludf.DUMMYFUNCTION("""COMPUTED_VALUE"""),0.5784356040578921)</f>
        <v>0.5784356041</v>
      </c>
      <c r="AB452" s="30">
        <f>IFERROR(__xludf.DUMMYFUNCTION("""COMPUTED_VALUE"""),1.3452977266676496)</f>
        <v>1.345297727</v>
      </c>
      <c r="AC452" s="30">
        <f>IFERROR(__xludf.DUMMYFUNCTION("""COMPUTED_VALUE"""),2.6186452293061784)</f>
        <v>2.618645229</v>
      </c>
      <c r="AD452" s="30">
        <f>IFERROR(__xludf.DUMMYFUNCTION("""COMPUTED_VALUE"""),1.028882002864979)</f>
        <v>1.028882003</v>
      </c>
      <c r="AE452" s="30">
        <f>IFERROR(__xludf.DUMMYFUNCTION("""COMPUTED_VALUE"""),1.2945475800310535)</f>
        <v>1.29454758</v>
      </c>
      <c r="AF452" s="30">
        <f>IFERROR(__xludf.DUMMYFUNCTION("""COMPUTED_VALUE"""),0.8211804333407875)</f>
        <v>0.8211804333</v>
      </c>
      <c r="AG452" s="30">
        <f>IFERROR(__xludf.DUMMYFUNCTION("""COMPUTED_VALUE"""),0.9291623521109298)</f>
        <v>0.9291623521</v>
      </c>
      <c r="AH452" s="30">
        <f>IFERROR(__xludf.DUMMYFUNCTION("""COMPUTED_VALUE"""),1.0692551891582016)</f>
        <v>1.069255189</v>
      </c>
      <c r="AI452" s="30">
        <f>IFERROR(__xludf.DUMMYFUNCTION("""COMPUTED_VALUE"""),1.0604440067824477)</f>
        <v>1.060444007</v>
      </c>
      <c r="AJ452" s="30">
        <f>IFERROR(__xludf.DUMMYFUNCTION("""COMPUTED_VALUE"""),1.0721302839610258)</f>
        <v>1.072130284</v>
      </c>
      <c r="AK452" s="30">
        <f>IFERROR(__xludf.DUMMYFUNCTION("""COMPUTED_VALUE"""),1.1272869324179566)</f>
        <v>1.127286932</v>
      </c>
      <c r="AL452" s="30">
        <f>IFERROR(__xludf.DUMMYFUNCTION("""COMPUTED_VALUE"""),1.089477956877509)</f>
        <v>1.089477957</v>
      </c>
      <c r="AM452" s="30">
        <f>IFERROR(__xludf.DUMMYFUNCTION("""COMPUTED_VALUE"""),1.0548324820355752)</f>
        <v>1.054832482</v>
      </c>
      <c r="AN452" s="30">
        <f>IFERROR(__xludf.DUMMYFUNCTION("""COMPUTED_VALUE"""),1.0762311304061594)</f>
        <v>1.07623113</v>
      </c>
      <c r="AO452" s="30">
        <f>IFERROR(__xludf.DUMMYFUNCTION("""COMPUTED_VALUE"""),1.445397631879365)</f>
        <v>1.445397632</v>
      </c>
      <c r="AP452" s="30">
        <f>IFERROR(__xludf.DUMMYFUNCTION("""COMPUTED_VALUE"""),0.8702850711903668)</f>
        <v>0.8702850712</v>
      </c>
      <c r="AQ452" s="30">
        <f>IFERROR(__xludf.DUMMYFUNCTION("""COMPUTED_VALUE"""),0.9557681462870049)</f>
        <v>0.9557681463</v>
      </c>
      <c r="AR452" s="30">
        <f>IFERROR(__xludf.DUMMYFUNCTION("""COMPUTED_VALUE"""),1.1192395008554992)</f>
        <v>1.119239501</v>
      </c>
      <c r="AS452" s="30">
        <f>IFERROR(__xludf.DUMMYFUNCTION("""COMPUTED_VALUE"""),112.0)</f>
        <v>112</v>
      </c>
      <c r="AT452" s="30">
        <f>IFERROR(__xludf.DUMMYFUNCTION("""COMPUTED_VALUE"""),0.5377643749607768)</f>
        <v>0.537764375</v>
      </c>
      <c r="AU452" s="30">
        <f>IFERROR(__xludf.DUMMYFUNCTION("""COMPUTED_VALUE"""),2.9286848405468557)</f>
        <v>2.928684841</v>
      </c>
      <c r="AV452" s="32">
        <f>IFERROR(__xludf.DUMMYFUNCTION("""COMPUTED_VALUE"""),63.035886511824444)</f>
        <v>63.03588651</v>
      </c>
      <c r="AW452" s="32">
        <f>IFERROR(__xludf.DUMMYFUNCTION("""COMPUTED_VALUE"""),3.3219089877232464)</f>
        <v>3.321908988</v>
      </c>
      <c r="AX452" s="32">
        <f>IFERROR(__xludf.DUMMYFUNCTION("""COMPUTED_VALUE"""),46.272855987977536)</f>
        <v>46.27285599</v>
      </c>
      <c r="AY452" s="32">
        <f>IFERROR(__xludf.DUMMYFUNCTION("""COMPUTED_VALUE"""),-2.268896030857609)</f>
        <v>-2.268896031</v>
      </c>
      <c r="AZ452" s="30">
        <f>IFERROR(__xludf.DUMMYFUNCTION("""COMPUTED_VALUE"""),5.5908050185808555)</f>
        <v>5.590805019</v>
      </c>
      <c r="BA452" s="30">
        <f>IFERROR(__xludf.DUMMYFUNCTION("""COMPUTED_VALUE"""),1700.0)</f>
        <v>1700</v>
      </c>
    </row>
    <row r="453">
      <c r="A453" s="71" t="str">
        <f>IFERROR(__xludf.DUMMYFUNCTION("""COMPUTED_VALUE"""),"Rival")</f>
        <v>Rival</v>
      </c>
      <c r="B453" s="71" t="str">
        <f>IFERROR(__xludf.DUMMYFUNCTION("""COMPUTED_VALUE"""),"RSC005077")</f>
        <v>RSC005077</v>
      </c>
      <c r="C453" s="30" t="str">
        <f>IFERROR(__xludf.DUMMYFUNCTION("""COMPUTED_VALUE"""),"kbm grifter")</f>
        <v>kbm grifter</v>
      </c>
      <c r="D453" s="30" t="str">
        <f>IFERROR(__xludf.DUMMYFUNCTION("""COMPUTED_VALUE"""),"Blizzards")</f>
        <v>Blizzards</v>
      </c>
      <c r="E453" s="30">
        <f>IFERROR(__xludf.DUMMYFUNCTION("""COMPUTED_VALUE"""),12.0)</f>
        <v>12</v>
      </c>
      <c r="F453" s="30">
        <f>IFERROR(__xludf.DUMMYFUNCTION("""COMPUTED_VALUE"""),5.0)</f>
        <v>5</v>
      </c>
      <c r="G453" s="42">
        <f>IFERROR(__xludf.DUMMYFUNCTION("""COMPUTED_VALUE"""),7.0)</f>
        <v>7</v>
      </c>
      <c r="H453" s="42">
        <f>IFERROR(__xludf.DUMMYFUNCTION("""COMPUTED_VALUE"""),0.4166666666666667)</f>
        <v>0.4166666667</v>
      </c>
      <c r="I453" s="42">
        <f>IFERROR(__xludf.DUMMYFUNCTION("""COMPUTED_VALUE"""),0.24390243902439027)</f>
        <v>0.243902439</v>
      </c>
      <c r="J453" s="30">
        <f>IFERROR(__xludf.DUMMYFUNCTION("""COMPUTED_VALUE"""),376.25)</f>
        <v>376.25</v>
      </c>
      <c r="K453" s="30">
        <f>IFERROR(__xludf.DUMMYFUNCTION("""COMPUTED_VALUE"""),0.8333333333333334)</f>
        <v>0.8333333333</v>
      </c>
      <c r="L453" s="30">
        <f>IFERROR(__xludf.DUMMYFUNCTION("""COMPUTED_VALUE"""),0.3333333333333333)</f>
        <v>0.3333333333</v>
      </c>
      <c r="M453" s="30">
        <f>IFERROR(__xludf.DUMMYFUNCTION("""COMPUTED_VALUE"""),1.5833333333333333)</f>
        <v>1.583333333</v>
      </c>
      <c r="N453" s="30">
        <f>IFERROR(__xludf.DUMMYFUNCTION("""COMPUTED_VALUE"""),3.4166666666666665)</f>
        <v>3.416666667</v>
      </c>
      <c r="O453" s="30">
        <f>IFERROR(__xludf.DUMMYFUNCTION("""COMPUTED_VALUE"""),408.2777777777778)</f>
        <v>408.2777778</v>
      </c>
      <c r="P453" s="30">
        <f>IFERROR(__xludf.DUMMYFUNCTION("""COMPUTED_VALUE"""),0.9444444444444445)</f>
        <v>0.9444444444</v>
      </c>
      <c r="Q453" s="30">
        <f>IFERROR(__xludf.DUMMYFUNCTION("""COMPUTED_VALUE"""),0.611111111111111)</f>
        <v>0.6111111111</v>
      </c>
      <c r="R453" s="30">
        <f>IFERROR(__xludf.DUMMYFUNCTION("""COMPUTED_VALUE"""),1.75)</f>
        <v>1.75</v>
      </c>
      <c r="S453" s="30">
        <f>IFERROR(__xludf.DUMMYFUNCTION("""COMPUTED_VALUE"""),3.083333333333334)</f>
        <v>3.083333333</v>
      </c>
      <c r="T453" s="30">
        <f>IFERROR(__xludf.DUMMYFUNCTION("""COMPUTED_VALUE"""),360.7527344121673)</f>
        <v>360.7527344</v>
      </c>
      <c r="U453" s="30">
        <f>IFERROR(__xludf.DUMMYFUNCTION("""COMPUTED_VALUE"""),0.8372335103217182)</f>
        <v>0.8372335103</v>
      </c>
      <c r="V453" s="30">
        <f>IFERROR(__xludf.DUMMYFUNCTION("""COMPUTED_VALUE"""),0.5378802913683413)</f>
        <v>0.5378802914</v>
      </c>
      <c r="W453" s="30">
        <f>IFERROR(__xludf.DUMMYFUNCTION("""COMPUTED_VALUE"""),1.4174078262220238)</f>
        <v>1.417407826</v>
      </c>
      <c r="X453" s="30">
        <f>IFERROR(__xludf.DUMMYFUNCTION("""COMPUTED_VALUE"""),2.6354704249498733)</f>
        <v>2.635470425</v>
      </c>
      <c r="Y453" s="30">
        <f>IFERROR(__xludf.DUMMYFUNCTION("""COMPUTED_VALUE"""),340.72489667085364)</f>
        <v>340.7248967</v>
      </c>
      <c r="Z453" s="30">
        <f>IFERROR(__xludf.DUMMYFUNCTION("""COMPUTED_VALUE"""),0.7337501066399214)</f>
        <v>0.7337501066</v>
      </c>
      <c r="AA453" s="30">
        <f>IFERROR(__xludf.DUMMYFUNCTION("""COMPUTED_VALUE"""),0.4925638213547901)</f>
        <v>0.4925638214</v>
      </c>
      <c r="AB453" s="30">
        <f>IFERROR(__xludf.DUMMYFUNCTION("""COMPUTED_VALUE"""),1.3274856916139604)</f>
        <v>1.327485692</v>
      </c>
      <c r="AC453" s="30">
        <f>IFERROR(__xludf.DUMMYFUNCTION("""COMPUTED_VALUE"""),2.559081194551839)</f>
        <v>2.559081195</v>
      </c>
      <c r="AD453" s="30">
        <f>IFERROR(__xludf.DUMMYFUNCTION("""COMPUTED_VALUE"""),1.104263303551499)</f>
        <v>1.104263304</v>
      </c>
      <c r="AE453" s="30">
        <f>IFERROR(__xludf.DUMMYFUNCTION("""COMPUTED_VALUE"""),1.1357181767910547)</f>
        <v>1.135718177</v>
      </c>
      <c r="AF453" s="30">
        <f>IFERROR(__xludf.DUMMYFUNCTION("""COMPUTED_VALUE"""),0.6767312556908961)</f>
        <v>0.6767312557</v>
      </c>
      <c r="AG453" s="30">
        <f>IFERROR(__xludf.DUMMYFUNCTION("""COMPUTED_VALUE"""),1.1927309976564138)</f>
        <v>1.192730998</v>
      </c>
      <c r="AH453" s="30">
        <f>IFERROR(__xludf.DUMMYFUNCTION("""COMPUTED_VALUE"""),1.3351146004826209)</f>
        <v>1.3351146</v>
      </c>
      <c r="AI453" s="30">
        <f>IFERROR(__xludf.DUMMYFUNCTION("""COMPUTED_VALUE"""),1.1317385533973867)</f>
        <v>1.131738553</v>
      </c>
      <c r="AJ453" s="30">
        <f>IFERROR(__xludf.DUMMYFUNCTION("""COMPUTED_VALUE"""),1.1280538019572688)</f>
        <v>1.128053802</v>
      </c>
      <c r="AK453" s="30">
        <f>IFERROR(__xludf.DUMMYFUNCTION("""COMPUTED_VALUE"""),1.136147058960785)</f>
        <v>1.136147059</v>
      </c>
      <c r="AL453" s="30">
        <f>IFERROR(__xludf.DUMMYFUNCTION("""COMPUTED_VALUE"""),1.2346481849648534)</f>
        <v>1.234648185</v>
      </c>
      <c r="AM453" s="30">
        <f>IFERROR(__xludf.DUMMYFUNCTION("""COMPUTED_VALUE"""),1.1699366094734223)</f>
        <v>1.169936609</v>
      </c>
      <c r="AN453" s="30">
        <f>IFERROR(__xludf.DUMMYFUNCTION("""COMPUTED_VALUE"""),1.1096306441469275)</f>
        <v>1.109630644</v>
      </c>
      <c r="AO453" s="30">
        <f>IFERROR(__xludf.DUMMYFUNCTION("""COMPUTED_VALUE"""),1.1204632805266397)</f>
        <v>1.120463281</v>
      </c>
      <c r="AP453" s="30">
        <f>IFERROR(__xludf.DUMMYFUNCTION("""COMPUTED_VALUE"""),0.6107263657476258)</f>
        <v>0.6107263657</v>
      </c>
      <c r="AQ453" s="30">
        <f>IFERROR(__xludf.DUMMYFUNCTION("""COMPUTED_VALUE"""),1.2106396519635396)</f>
        <v>1.210639652</v>
      </c>
      <c r="AR453" s="30">
        <f>IFERROR(__xludf.DUMMYFUNCTION("""COMPUTED_VALUE"""),1.3657386766391508)</f>
        <v>1.365738677</v>
      </c>
      <c r="AS453" s="30">
        <f>IFERROR(__xludf.DUMMYFUNCTION("""COMPUTED_VALUE"""),27.0)</f>
        <v>27</v>
      </c>
      <c r="AT453" s="30">
        <f>IFERROR(__xludf.DUMMYFUNCTION("""COMPUTED_VALUE"""),0.40912012258607006)</f>
        <v>0.4091201226</v>
      </c>
      <c r="AU453" s="30">
        <f>IFERROR(__xludf.DUMMYFUNCTION("""COMPUTED_VALUE"""),2.6849357652160317)</f>
        <v>2.684935765</v>
      </c>
      <c r="AV453" s="32">
        <f>IFERROR(__xludf.DUMMYFUNCTION("""COMPUTED_VALUE"""),56.05735659991274)</f>
        <v>56.0573566</v>
      </c>
      <c r="AW453" s="32">
        <f>IFERROR(__xludf.DUMMYFUNCTION("""COMPUTED_VALUE"""),2.4735571850050007)</f>
        <v>2.473557185</v>
      </c>
      <c r="AX453" s="32">
        <f>IFERROR(__xludf.DUMMYFUNCTION("""COMPUTED_VALUE"""),39.18395877024582)</f>
        <v>39.18395877</v>
      </c>
      <c r="AY453" s="32">
        <f>IFERROR(__xludf.DUMMYFUNCTION("""COMPUTED_VALUE"""),-3.006275026780081)</f>
        <v>-3.006275027</v>
      </c>
      <c r="AZ453" s="30">
        <f>IFERROR(__xludf.DUMMYFUNCTION("""COMPUTED_VALUE"""),5.479832211785082)</f>
        <v>5.479832212</v>
      </c>
      <c r="BA453" s="30">
        <f>IFERROR(__xludf.DUMMYFUNCTION("""COMPUTED_VALUE"""),1700.0)</f>
        <v>1700</v>
      </c>
    </row>
    <row r="454">
      <c r="A454" s="71" t="str">
        <f>IFERROR(__xludf.DUMMYFUNCTION("""COMPUTED_VALUE"""),"Rival")</f>
        <v>Rival</v>
      </c>
      <c r="B454" s="71" t="str">
        <f>IFERROR(__xludf.DUMMYFUNCTION("""COMPUTED_VALUE"""),"RSC002762")</f>
        <v>RSC002762</v>
      </c>
      <c r="C454" s="30" t="str">
        <f>IFERROR(__xludf.DUMMYFUNCTION("""COMPUTED_VALUE"""),"OnwardFlame")</f>
        <v>OnwardFlame</v>
      </c>
      <c r="D454" s="30" t="str">
        <f>IFERROR(__xludf.DUMMYFUNCTION("""COMPUTED_VALUE"""),"Stolen")</f>
        <v>Stolen</v>
      </c>
      <c r="E454" s="30">
        <f>IFERROR(__xludf.DUMMYFUNCTION("""COMPUTED_VALUE"""),23.0)</f>
        <v>23</v>
      </c>
      <c r="F454" s="30">
        <f>IFERROR(__xludf.DUMMYFUNCTION("""COMPUTED_VALUE"""),13.0)</f>
        <v>13</v>
      </c>
      <c r="G454" s="42">
        <f>IFERROR(__xludf.DUMMYFUNCTION("""COMPUTED_VALUE"""),10.0)</f>
        <v>10</v>
      </c>
      <c r="H454" s="42">
        <f>IFERROR(__xludf.DUMMYFUNCTION("""COMPUTED_VALUE"""),0.5652173913043478)</f>
        <v>0.5652173913</v>
      </c>
      <c r="I454" s="42">
        <f>IFERROR(__xludf.DUMMYFUNCTION("""COMPUTED_VALUE"""),0.34328358208955223)</f>
        <v>0.3432835821</v>
      </c>
      <c r="J454" s="30">
        <f>IFERROR(__xludf.DUMMYFUNCTION("""COMPUTED_VALUE"""),344.2608695652174)</f>
        <v>344.2608696</v>
      </c>
      <c r="K454" s="30">
        <f>IFERROR(__xludf.DUMMYFUNCTION("""COMPUTED_VALUE"""),1.0)</f>
        <v>1</v>
      </c>
      <c r="L454" s="30">
        <f>IFERROR(__xludf.DUMMYFUNCTION("""COMPUTED_VALUE"""),0.43478260869565216)</f>
        <v>0.4347826087</v>
      </c>
      <c r="M454" s="30">
        <f>IFERROR(__xludf.DUMMYFUNCTION("""COMPUTED_VALUE"""),1.0869565217391304)</f>
        <v>1.086956522</v>
      </c>
      <c r="N454" s="30">
        <f>IFERROR(__xludf.DUMMYFUNCTION("""COMPUTED_VALUE"""),2.9130434782608696)</f>
        <v>2.913043478</v>
      </c>
      <c r="O454" s="30">
        <f>IFERROR(__xludf.DUMMYFUNCTION("""COMPUTED_VALUE"""),365.2608695652174)</f>
        <v>365.2608696</v>
      </c>
      <c r="P454" s="30">
        <f>IFERROR(__xludf.DUMMYFUNCTION("""COMPUTED_VALUE"""),0.8550724637681159)</f>
        <v>0.8550724638</v>
      </c>
      <c r="Q454" s="30">
        <f>IFERROR(__xludf.DUMMYFUNCTION("""COMPUTED_VALUE"""),0.7101449275362318)</f>
        <v>0.7101449275</v>
      </c>
      <c r="R454" s="30">
        <f>IFERROR(__xludf.DUMMYFUNCTION("""COMPUTED_VALUE"""),1.4492753623188406)</f>
        <v>1.449275362</v>
      </c>
      <c r="S454" s="30">
        <f>IFERROR(__xludf.DUMMYFUNCTION("""COMPUTED_VALUE"""),2.7536231884057973)</f>
        <v>2.753623188</v>
      </c>
      <c r="T454" s="30">
        <f>IFERROR(__xludf.DUMMYFUNCTION("""COMPUTED_VALUE"""),356.6965759223585)</f>
        <v>356.6965759</v>
      </c>
      <c r="U454" s="30">
        <f>IFERROR(__xludf.DUMMYFUNCTION("""COMPUTED_VALUE"""),0.8471622952230288)</f>
        <v>0.8471622952</v>
      </c>
      <c r="V454" s="30">
        <f>IFERROR(__xludf.DUMMYFUNCTION("""COMPUTED_VALUE"""),0.5826993439084212)</f>
        <v>0.5826993439</v>
      </c>
      <c r="W454" s="30">
        <f>IFERROR(__xludf.DUMMYFUNCTION("""COMPUTED_VALUE"""),1.354424172028141)</f>
        <v>1.354424172</v>
      </c>
      <c r="X454" s="30">
        <f>IFERROR(__xludf.DUMMYFUNCTION("""COMPUTED_VALUE"""),2.6454842789861113)</f>
        <v>2.645484279</v>
      </c>
      <c r="Y454" s="30">
        <f>IFERROR(__xludf.DUMMYFUNCTION("""COMPUTED_VALUE"""),353.095131521919)</f>
        <v>353.0951315</v>
      </c>
      <c r="Z454" s="30">
        <f>IFERROR(__xludf.DUMMYFUNCTION("""COMPUTED_VALUE"""),0.8334637394397005)</f>
        <v>0.8334637394</v>
      </c>
      <c r="AA454" s="30">
        <f>IFERROR(__xludf.DUMMYFUNCTION("""COMPUTED_VALUE"""),0.5824483959754534)</f>
        <v>0.582448396</v>
      </c>
      <c r="AB454" s="30">
        <f>IFERROR(__xludf.DUMMYFUNCTION("""COMPUTED_VALUE"""),1.281449168785543)</f>
        <v>1.281449169</v>
      </c>
      <c r="AC454" s="30">
        <f>IFERROR(__xludf.DUMMYFUNCTION("""COMPUTED_VALUE"""),2.669892884986888)</f>
        <v>2.669892885</v>
      </c>
      <c r="AD454" s="30">
        <f>IFERROR(__xludf.DUMMYFUNCTION("""COMPUTED_VALUE"""),0.9749805047760813)</f>
        <v>0.9749805048</v>
      </c>
      <c r="AE454" s="30">
        <f>IFERROR(__xludf.DUMMYFUNCTION("""COMPUTED_VALUE"""),1.1998122445881738)</f>
        <v>1.199812245</v>
      </c>
      <c r="AF454" s="30">
        <f>IFERROR(__xludf.DUMMYFUNCTION("""COMPUTED_VALUE"""),0.7464740425072363)</f>
        <v>0.7464740425</v>
      </c>
      <c r="AG454" s="30">
        <f>IFERROR(__xludf.DUMMYFUNCTION("""COMPUTED_VALUE"""),0.848224454169542)</f>
        <v>0.8482244542</v>
      </c>
      <c r="AH454" s="30">
        <f>IFERROR(__xludf.DUMMYFUNCTION("""COMPUTED_VALUE"""),1.0910712915268044)</f>
        <v>1.091071292</v>
      </c>
      <c r="AI454" s="30">
        <f>IFERROR(__xludf.DUMMYFUNCTION("""COMPUTED_VALUE"""),1.0240100248249175)</f>
        <v>1.024010025</v>
      </c>
      <c r="AJ454" s="30">
        <f>IFERROR(__xludf.DUMMYFUNCTION("""COMPUTED_VALUE"""),1.0093372528377276)</f>
        <v>1.009337253</v>
      </c>
      <c r="AK454" s="30">
        <f>IFERROR(__xludf.DUMMYFUNCTION("""COMPUTED_VALUE"""),1.2187158522832324)</f>
        <v>1.218715852</v>
      </c>
      <c r="AL454" s="30">
        <f>IFERROR(__xludf.DUMMYFUNCTION("""COMPUTED_VALUE"""),1.070030639034349)</f>
        <v>1.070030639</v>
      </c>
      <c r="AM454" s="30">
        <f>IFERROR(__xludf.DUMMYFUNCTION("""COMPUTED_VALUE"""),1.0408767915495345)</f>
        <v>1.040876792</v>
      </c>
      <c r="AN454" s="30">
        <f>IFERROR(__xludf.DUMMYFUNCTION("""COMPUTED_VALUE"""),1.0152887985388266)</f>
        <v>1.015288799</v>
      </c>
      <c r="AO454" s="30">
        <f>IFERROR(__xludf.DUMMYFUNCTION("""COMPUTED_VALUE"""),1.3445559366319677)</f>
        <v>1.344555937</v>
      </c>
      <c r="AP454" s="30">
        <f>IFERROR(__xludf.DUMMYFUNCTION("""COMPUTED_VALUE"""),0.7965996074969033)</f>
        <v>0.7965996075</v>
      </c>
      <c r="AQ454" s="30">
        <f>IFERROR(__xludf.DUMMYFUNCTION("""COMPUTED_VALUE"""),0.8311027359017433)</f>
        <v>0.8311027359</v>
      </c>
      <c r="AR454" s="30">
        <f>IFERROR(__xludf.DUMMYFUNCTION("""COMPUTED_VALUE"""),1.1644261887782368)</f>
        <v>1.164426189</v>
      </c>
      <c r="AS454" s="30">
        <f>IFERROR(__xludf.DUMMYFUNCTION("""COMPUTED_VALUE"""),61.0)</f>
        <v>61</v>
      </c>
      <c r="AT454" s="30">
        <f>IFERROR(__xludf.DUMMYFUNCTION("""COMPUTED_VALUE"""),0.5133864155488694)</f>
        <v>0.5133864155</v>
      </c>
      <c r="AU454" s="30">
        <f>IFERROR(__xludf.DUMMYFUNCTION("""COMPUTED_VALUE"""),2.73617283382184)</f>
        <v>2.736172834</v>
      </c>
      <c r="AV454" s="32">
        <f>IFERROR(__xludf.DUMMYFUNCTION("""COMPUTED_VALUE"""),57.5242725887386)</f>
        <v>57.52427259</v>
      </c>
      <c r="AW454" s="32">
        <f>IFERROR(__xludf.DUMMYFUNCTION("""COMPUTED_VALUE"""),2.619732647271097)</f>
        <v>2.619732647</v>
      </c>
      <c r="AX454" s="32">
        <f>IFERROR(__xludf.DUMMYFUNCTION("""COMPUTED_VALUE"""),40.825794090150026)</f>
        <v>40.82579409</v>
      </c>
      <c r="AY454" s="32">
        <f>IFERROR(__xludf.DUMMYFUNCTION("""COMPUTED_VALUE"""),-2.802522842868858)</f>
        <v>-2.802522843</v>
      </c>
      <c r="AZ454" s="30">
        <f>IFERROR(__xludf.DUMMYFUNCTION("""COMPUTED_VALUE"""),5.422255490139955)</f>
        <v>5.42225549</v>
      </c>
      <c r="BA454" s="30">
        <f>IFERROR(__xludf.DUMMYFUNCTION("""COMPUTED_VALUE"""),1700.0)</f>
        <v>1700</v>
      </c>
    </row>
    <row r="455">
      <c r="A455" s="71" t="str">
        <f>IFERROR(__xludf.DUMMYFUNCTION("""COMPUTED_VALUE"""),"Rival")</f>
        <v>Rival</v>
      </c>
      <c r="B455" s="71" t="str">
        <f>IFERROR(__xludf.DUMMYFUNCTION("""COMPUTED_VALUE"""),"RSC000763")</f>
        <v>RSC000763</v>
      </c>
      <c r="C455" s="30" t="str">
        <f>IFERROR(__xludf.DUMMYFUNCTION("""COMPUTED_VALUE"""),"Tenched")</f>
        <v>Tenched</v>
      </c>
      <c r="D455" s="30"/>
      <c r="E455" s="30">
        <f>IFERROR(__xludf.DUMMYFUNCTION("""COMPUTED_VALUE"""),13.0)</f>
        <v>13</v>
      </c>
      <c r="F455" s="30">
        <f>IFERROR(__xludf.DUMMYFUNCTION("""COMPUTED_VALUE"""),5.0)</f>
        <v>5</v>
      </c>
      <c r="G455" s="42">
        <f>IFERROR(__xludf.DUMMYFUNCTION("""COMPUTED_VALUE"""),8.0)</f>
        <v>8</v>
      </c>
      <c r="H455" s="42">
        <f>IFERROR(__xludf.DUMMYFUNCTION("""COMPUTED_VALUE"""),0.38461538461538464)</f>
        <v>0.3846153846</v>
      </c>
      <c r="I455" s="42">
        <f>IFERROR(__xludf.DUMMYFUNCTION("""COMPUTED_VALUE"""),0.3488372093023256)</f>
        <v>0.3488372093</v>
      </c>
      <c r="J455" s="30">
        <f>IFERROR(__xludf.DUMMYFUNCTION("""COMPUTED_VALUE"""),394.15384615384613)</f>
        <v>394.1538462</v>
      </c>
      <c r="K455" s="30">
        <f>IFERROR(__xludf.DUMMYFUNCTION("""COMPUTED_VALUE"""),1.1538461538461537)</f>
        <v>1.153846154</v>
      </c>
      <c r="L455" s="30">
        <f>IFERROR(__xludf.DUMMYFUNCTION("""COMPUTED_VALUE"""),0.3076923076923077)</f>
        <v>0.3076923077</v>
      </c>
      <c r="M455" s="30">
        <f>IFERROR(__xludf.DUMMYFUNCTION("""COMPUTED_VALUE"""),1.4615384615384615)</f>
        <v>1.461538462</v>
      </c>
      <c r="N455" s="30">
        <f>IFERROR(__xludf.DUMMYFUNCTION("""COMPUTED_VALUE"""),3.3076923076923075)</f>
        <v>3.307692308</v>
      </c>
      <c r="O455" s="30">
        <f>IFERROR(__xludf.DUMMYFUNCTION("""COMPUTED_VALUE"""),429.15384615384613)</f>
        <v>429.1538462</v>
      </c>
      <c r="P455" s="30">
        <f>IFERROR(__xludf.DUMMYFUNCTION("""COMPUTED_VALUE"""),1.1025641025641026)</f>
        <v>1.102564103</v>
      </c>
      <c r="Q455" s="30">
        <f>IFERROR(__xludf.DUMMYFUNCTION("""COMPUTED_VALUE"""),0.8205128205128206)</f>
        <v>0.8205128205</v>
      </c>
      <c r="R455" s="30">
        <f>IFERROR(__xludf.DUMMYFUNCTION("""COMPUTED_VALUE"""),1.6153846153846154)</f>
        <v>1.615384615</v>
      </c>
      <c r="S455" s="30">
        <f>IFERROR(__xludf.DUMMYFUNCTION("""COMPUTED_VALUE"""),3.0512820512820515)</f>
        <v>3.051282051</v>
      </c>
      <c r="T455" s="30">
        <f>IFERROR(__xludf.DUMMYFUNCTION("""COMPUTED_VALUE"""),348.06146394429703)</f>
        <v>348.0614639</v>
      </c>
      <c r="U455" s="30">
        <f>IFERROR(__xludf.DUMMYFUNCTION("""COMPUTED_VALUE"""),0.7738584551436334)</f>
        <v>0.7738584551</v>
      </c>
      <c r="V455" s="30">
        <f>IFERROR(__xludf.DUMMYFUNCTION("""COMPUTED_VALUE"""),0.5616019481873141)</f>
        <v>0.5616019482</v>
      </c>
      <c r="W455" s="30">
        <f>IFERROR(__xludf.DUMMYFUNCTION("""COMPUTED_VALUE"""),1.2971346456337076)</f>
        <v>1.297134646</v>
      </c>
      <c r="X455" s="30">
        <f>IFERROR(__xludf.DUMMYFUNCTION("""COMPUTED_VALUE"""),2.588963503316224)</f>
        <v>2.588963503</v>
      </c>
      <c r="Y455" s="30">
        <f>IFERROR(__xludf.DUMMYFUNCTION("""COMPUTED_VALUE"""),339.9304797425029)</f>
        <v>339.9304797</v>
      </c>
      <c r="Z455" s="30">
        <f>IFERROR(__xludf.DUMMYFUNCTION("""COMPUTED_VALUE"""),0.7517998979224744)</f>
        <v>0.7517998979</v>
      </c>
      <c r="AA455" s="30">
        <f>IFERROR(__xludf.DUMMYFUNCTION("""COMPUTED_VALUE"""),0.5493304867601302)</f>
        <v>0.5493304868</v>
      </c>
      <c r="AB455" s="30">
        <f>IFERROR(__xludf.DUMMYFUNCTION("""COMPUTED_VALUE"""),1.299455577082219)</f>
        <v>1.299455577</v>
      </c>
      <c r="AC455" s="30">
        <f>IFERROR(__xludf.DUMMYFUNCTION("""COMPUTED_VALUE"""),2.540476775905169)</f>
        <v>2.540476776</v>
      </c>
      <c r="AD455" s="30">
        <f>IFERROR(__xludf.DUMMYFUNCTION("""COMPUTED_VALUE"""),1.1595131053044063)</f>
        <v>1.159513105</v>
      </c>
      <c r="AE455" s="30">
        <f>IFERROR(__xludf.DUMMYFUNCTION("""COMPUTED_VALUE"""),1.5347782794792804)</f>
        <v>1.534778279</v>
      </c>
      <c r="AF455" s="30">
        <f>IFERROR(__xludf.DUMMYFUNCTION("""COMPUTED_VALUE"""),0.5601223946390294)</f>
        <v>0.5601223946</v>
      </c>
      <c r="AG455" s="30">
        <f>IFERROR(__xludf.DUMMYFUNCTION("""COMPUTED_VALUE"""),1.1247313777514283)</f>
        <v>1.124731378</v>
      </c>
      <c r="AH455" s="30">
        <f>IFERROR(__xludf.DUMMYFUNCTION("""COMPUTED_VALUE"""),1.3019966720671086)</f>
        <v>1.301996672</v>
      </c>
      <c r="AI455" s="30">
        <f>IFERROR(__xludf.DUMMYFUNCTION("""COMPUTED_VALUE"""),1.2329829372392886)</f>
        <v>1.232982937</v>
      </c>
      <c r="AJ455" s="30">
        <f>IFERROR(__xludf.DUMMYFUNCTION("""COMPUTED_VALUE"""),1.4247619771233995)</f>
        <v>1.424761977</v>
      </c>
      <c r="AK455" s="30">
        <f>IFERROR(__xludf.DUMMYFUNCTION("""COMPUTED_VALUE"""),1.4610220337753361)</f>
        <v>1.461022034</v>
      </c>
      <c r="AL455" s="30">
        <f>IFERROR(__xludf.DUMMYFUNCTION("""COMPUTED_VALUE"""),1.2453484461479545)</f>
        <v>1.245348446</v>
      </c>
      <c r="AM455" s="30">
        <f>IFERROR(__xludf.DUMMYFUNCTION("""COMPUTED_VALUE"""),1.1785728332491516)</f>
        <v>1.178572833</v>
      </c>
      <c r="AN455" s="30">
        <f>IFERROR(__xludf.DUMMYFUNCTION("""COMPUTED_VALUE"""),1.162432388573239)</f>
        <v>1.162432389</v>
      </c>
      <c r="AO455" s="30">
        <f>IFERROR(__xludf.DUMMYFUNCTION("""COMPUTED_VALUE"""),1.5514106961138088)</f>
        <v>1.551410696</v>
      </c>
      <c r="AP455" s="30">
        <f>IFERROR(__xludf.DUMMYFUNCTION("""COMPUTED_VALUE"""),0.5637474145362701)</f>
        <v>0.5637474145</v>
      </c>
      <c r="AQ455" s="30">
        <f>IFERROR(__xludf.DUMMYFUNCTION("""COMPUTED_VALUE"""),1.117513524889421)</f>
        <v>1.117513525</v>
      </c>
      <c r="AR455" s="30">
        <f>IFERROR(__xludf.DUMMYFUNCTION("""COMPUTED_VALUE"""),1.3221785312303973)</f>
        <v>1.322178531</v>
      </c>
      <c r="AS455" s="30">
        <f>IFERROR(__xludf.DUMMYFUNCTION("""COMPUTED_VALUE"""),32.0)</f>
        <v>32</v>
      </c>
      <c r="AT455" s="30">
        <f>IFERROR(__xludf.DUMMYFUNCTION("""COMPUTED_VALUE"""),0.38022547830195996)</f>
        <v>0.3802254783</v>
      </c>
      <c r="AU455" s="30">
        <f>IFERROR(__xludf.DUMMYFUNCTION("""COMPUTED_VALUE"""),2.894218116372903)</f>
        <v>2.894218116</v>
      </c>
      <c r="AV455" s="32">
        <f>IFERROR(__xludf.DUMMYFUNCTION("""COMPUTED_VALUE"""),62.04910506337345)</f>
        <v>62.04910506</v>
      </c>
      <c r="AW455" s="32">
        <f>IFERROR(__xludf.DUMMYFUNCTION("""COMPUTED_VALUE"""),3.175453105592315)</f>
        <v>3.175453106</v>
      </c>
      <c r="AX455" s="32">
        <f>IFERROR(__xludf.DUMMYFUNCTION("""COMPUTED_VALUE"""),46.8959853782363)</f>
        <v>46.89598538</v>
      </c>
      <c r="AY455" s="32">
        <f>IFERROR(__xludf.DUMMYFUNCTION("""COMPUTED_VALUE"""),-2.219292437086584)</f>
        <v>-2.219292437</v>
      </c>
      <c r="AZ455" s="30">
        <f>IFERROR(__xludf.DUMMYFUNCTION("""COMPUTED_VALUE"""),5.3947455426788995)</f>
        <v>5.394745543</v>
      </c>
      <c r="BA455" s="30">
        <f>IFERROR(__xludf.DUMMYFUNCTION("""COMPUTED_VALUE"""),1700.0)</f>
        <v>1700</v>
      </c>
    </row>
    <row r="456">
      <c r="A456" s="71" t="str">
        <f>IFERROR(__xludf.DUMMYFUNCTION("""COMPUTED_VALUE"""),"Rival")</f>
        <v>Rival</v>
      </c>
      <c r="B456" s="71" t="str">
        <f>IFERROR(__xludf.DUMMYFUNCTION("""COMPUTED_VALUE"""),"RSC001032")</f>
        <v>RSC001032</v>
      </c>
      <c r="C456" s="30" t="str">
        <f>IFERROR(__xludf.DUMMYFUNCTION("""COMPUTED_VALUE"""),"JmE")</f>
        <v>JmE</v>
      </c>
      <c r="D456" s="30" t="str">
        <f>IFERROR(__xludf.DUMMYFUNCTION("""COMPUTED_VALUE"""),"Blizzards")</f>
        <v>Blizzards</v>
      </c>
      <c r="E456" s="30">
        <f>IFERROR(__xludf.DUMMYFUNCTION("""COMPUTED_VALUE"""),7.0)</f>
        <v>7</v>
      </c>
      <c r="F456" s="30">
        <f>IFERROR(__xludf.DUMMYFUNCTION("""COMPUTED_VALUE"""),2.0)</f>
        <v>2</v>
      </c>
      <c r="G456" s="42">
        <f>IFERROR(__xludf.DUMMYFUNCTION("""COMPUTED_VALUE"""),5.0)</f>
        <v>5</v>
      </c>
      <c r="H456" s="42">
        <f>IFERROR(__xludf.DUMMYFUNCTION("""COMPUTED_VALUE"""),0.2857142857142857)</f>
        <v>0.2857142857</v>
      </c>
      <c r="I456" s="42">
        <f>IFERROR(__xludf.DUMMYFUNCTION("""COMPUTED_VALUE"""),0.2727272727272727)</f>
        <v>0.2727272727</v>
      </c>
      <c r="J456" s="30">
        <f>IFERROR(__xludf.DUMMYFUNCTION("""COMPUTED_VALUE"""),353.7142857142857)</f>
        <v>353.7142857</v>
      </c>
      <c r="K456" s="30">
        <f>IFERROR(__xludf.DUMMYFUNCTION("""COMPUTED_VALUE"""),0.8571428571428571)</f>
        <v>0.8571428571</v>
      </c>
      <c r="L456" s="30">
        <f>IFERROR(__xludf.DUMMYFUNCTION("""COMPUTED_VALUE"""),0.8571428571428571)</f>
        <v>0.8571428571</v>
      </c>
      <c r="M456" s="30">
        <f>IFERROR(__xludf.DUMMYFUNCTION("""COMPUTED_VALUE"""),1.1428571428571428)</f>
        <v>1.142857143</v>
      </c>
      <c r="N456" s="30">
        <f>IFERROR(__xludf.DUMMYFUNCTION("""COMPUTED_VALUE"""),3.142857142857143)</f>
        <v>3.142857143</v>
      </c>
      <c r="O456" s="30">
        <f>IFERROR(__xludf.DUMMYFUNCTION("""COMPUTED_VALUE"""),490.00000000000006)</f>
        <v>490</v>
      </c>
      <c r="P456" s="30">
        <f>IFERROR(__xludf.DUMMYFUNCTION("""COMPUTED_VALUE"""),1.5714285714285716)</f>
        <v>1.571428571</v>
      </c>
      <c r="Q456" s="30">
        <f>IFERROR(__xludf.DUMMYFUNCTION("""COMPUTED_VALUE"""),1.2380952380952384)</f>
        <v>1.238095238</v>
      </c>
      <c r="R456" s="30">
        <f>IFERROR(__xludf.DUMMYFUNCTION("""COMPUTED_VALUE"""),1.4285714285714286)</f>
        <v>1.428571429</v>
      </c>
      <c r="S456" s="30">
        <f>IFERROR(__xludf.DUMMYFUNCTION("""COMPUTED_VALUE"""),2.9999999999999996)</f>
        <v>3</v>
      </c>
      <c r="T456" s="30">
        <f>IFERROR(__xludf.DUMMYFUNCTION("""COMPUTED_VALUE"""),367.3463725711759)</f>
        <v>367.3463726</v>
      </c>
      <c r="U456" s="30">
        <f>IFERROR(__xludf.DUMMYFUNCTION("""COMPUTED_VALUE"""),0.8761643967956138)</f>
        <v>0.8761643968</v>
      </c>
      <c r="V456" s="30">
        <f>IFERROR(__xludf.DUMMYFUNCTION("""COMPUTED_VALUE"""),0.6424539421050196)</f>
        <v>0.6424539421</v>
      </c>
      <c r="W456" s="30">
        <f>IFERROR(__xludf.DUMMYFUNCTION("""COMPUTED_VALUE"""),1.2613063728579264)</f>
        <v>1.261306373</v>
      </c>
      <c r="X456" s="30">
        <f>IFERROR(__xludf.DUMMYFUNCTION("""COMPUTED_VALUE"""),2.8226737214251933)</f>
        <v>2.822673721</v>
      </c>
      <c r="Y456" s="30">
        <f>IFERROR(__xludf.DUMMYFUNCTION("""COMPUTED_VALUE"""),336.78867205321995)</f>
        <v>336.7886721</v>
      </c>
      <c r="Z456" s="30">
        <f>IFERROR(__xludf.DUMMYFUNCTION("""COMPUTED_VALUE"""),0.680874017680367)</f>
        <v>0.6808740177</v>
      </c>
      <c r="AA456" s="30">
        <f>IFERROR(__xludf.DUMMYFUNCTION("""COMPUTED_VALUE"""),0.4988826768379965)</f>
        <v>0.4988826768</v>
      </c>
      <c r="AB456" s="30">
        <f>IFERROR(__xludf.DUMMYFUNCTION("""COMPUTED_VALUE"""),1.4197983644435268)</f>
        <v>1.419798364</v>
      </c>
      <c r="AC456" s="30">
        <f>IFERROR(__xludf.DUMMYFUNCTION("""COMPUTED_VALUE"""),2.5004849100615103)</f>
        <v>2.50048491</v>
      </c>
      <c r="AD456" s="30">
        <f>IFERROR(__xludf.DUMMYFUNCTION("""COMPUTED_VALUE"""),1.050255887639805)</f>
        <v>1.050255888</v>
      </c>
      <c r="AE456" s="30">
        <f>IFERROR(__xludf.DUMMYFUNCTION("""COMPUTED_VALUE"""),1.2588861300112624)</f>
        <v>1.25888613</v>
      </c>
      <c r="AF456" s="30">
        <f>IFERROR(__xludf.DUMMYFUNCTION("""COMPUTED_VALUE"""),1.718125116260951)</f>
        <v>1.718125116</v>
      </c>
      <c r="AG456" s="30">
        <f>IFERROR(__xludf.DUMMYFUNCTION("""COMPUTED_VALUE"""),0.8049432732689984)</f>
        <v>0.8049432733</v>
      </c>
      <c r="AH456" s="30">
        <f>IFERROR(__xludf.DUMMYFUNCTION("""COMPUTED_VALUE"""),1.2568990639418938)</f>
        <v>1.256899064</v>
      </c>
      <c r="AI456" s="30">
        <f>IFERROR(__xludf.DUMMYFUNCTION("""COMPUTED_VALUE"""),1.3338909448603828)</f>
        <v>1.333890945</v>
      </c>
      <c r="AJ456" s="30">
        <f>IFERROR(__xludf.DUMMYFUNCTION("""COMPUTED_VALUE"""),1.793531644490166)</f>
        <v>1.793531644</v>
      </c>
      <c r="AK456" s="30">
        <f>IFERROR(__xludf.DUMMYFUNCTION("""COMPUTED_VALUE"""),1.927134627018681)</f>
        <v>1.927134627</v>
      </c>
      <c r="AL456" s="30">
        <f>IFERROR(__xludf.DUMMYFUNCTION("""COMPUTED_VALUE"""),1.1326125510128877)</f>
        <v>1.132612551</v>
      </c>
      <c r="AM456" s="30">
        <f>IFERROR(__xludf.DUMMYFUNCTION("""COMPUTED_VALUE"""),1.0628220956707928)</f>
        <v>1.062822096</v>
      </c>
      <c r="AN456" s="30">
        <f>IFERROR(__xludf.DUMMYFUNCTION("""COMPUTED_VALUE"""),1.043168666315251)</f>
        <v>1.043168666</v>
      </c>
      <c r="AO456" s="30">
        <f>IFERROR(__xludf.DUMMYFUNCTION("""COMPUTED_VALUE"""),1.152476517113115)</f>
        <v>1.152476517</v>
      </c>
      <c r="AP456" s="30">
        <f>IFERROR(__xludf.DUMMYFUNCTION("""COMPUTED_VALUE"""),1.5704392262081808)</f>
        <v>1.570439226</v>
      </c>
      <c r="AQ456" s="30">
        <f>IFERROR(__xludf.DUMMYFUNCTION("""COMPUTED_VALUE"""),0.8738451623195473)</f>
        <v>0.8738451623</v>
      </c>
      <c r="AR456" s="30">
        <f>IFERROR(__xludf.DUMMYFUNCTION("""COMPUTED_VALUE"""),1.2562892356541318)</f>
        <v>1.256289236</v>
      </c>
      <c r="AS456" s="30">
        <f>IFERROR(__xludf.DUMMYFUNCTION("""COMPUTED_VALUE"""),20.0)</f>
        <v>20</v>
      </c>
      <c r="AT456" s="30">
        <f>IFERROR(__xludf.DUMMYFUNCTION("""COMPUTED_VALUE"""),0.29001800941539785)</f>
        <v>0.2900180094</v>
      </c>
      <c r="AU456" s="30">
        <f>IFERROR(__xludf.DUMMYFUNCTION("""COMPUTED_VALUE"""),2.8655145933397015)</f>
        <v>2.865514593</v>
      </c>
      <c r="AV456" s="32">
        <f>IFERROR(__xludf.DUMMYFUNCTION("""COMPUTED_VALUE"""),61.227323919003666)</f>
        <v>61.22732392</v>
      </c>
      <c r="AW456" s="32">
        <f>IFERROR(__xludf.DUMMYFUNCTION("""COMPUTED_VALUE"""),3.061077990338724)</f>
        <v>3.06107799</v>
      </c>
      <c r="AX456" s="32">
        <f>IFERROR(__xludf.DUMMYFUNCTION("""COMPUTED_VALUE"""),46.96601076161615)</f>
        <v>46.96601076</v>
      </c>
      <c r="AY456" s="32">
        <f>IFERROR(__xludf.DUMMYFUNCTION("""COMPUTED_VALUE"""),-2.213843466808586)</f>
        <v>-2.213843467</v>
      </c>
      <c r="AZ456" s="30">
        <f>IFERROR(__xludf.DUMMYFUNCTION("""COMPUTED_VALUE"""),5.274921457147309)</f>
        <v>5.274921457</v>
      </c>
      <c r="BA456" s="30">
        <f>IFERROR(__xludf.DUMMYFUNCTION("""COMPUTED_VALUE"""),1700.0)</f>
        <v>1700</v>
      </c>
    </row>
    <row r="457">
      <c r="A457" s="71" t="str">
        <f>IFERROR(__xludf.DUMMYFUNCTION("""COMPUTED_VALUE"""),"Rival")</f>
        <v>Rival</v>
      </c>
      <c r="B457" s="71" t="str">
        <f>IFERROR(__xludf.DUMMYFUNCTION("""COMPUTED_VALUE"""),"RSC005691")</f>
        <v>RSC005691</v>
      </c>
      <c r="C457" s="30" t="str">
        <f>IFERROR(__xludf.DUMMYFUNCTION("""COMPUTED_VALUE"""),"Dr.Ukulele")</f>
        <v>Dr.Ukulele</v>
      </c>
      <c r="D457" s="30" t="str">
        <f>IFERROR(__xludf.DUMMYFUNCTION("""COMPUTED_VALUE"""),"Hot Wings")</f>
        <v>Hot Wings</v>
      </c>
      <c r="E457" s="30">
        <f>IFERROR(__xludf.DUMMYFUNCTION("""COMPUTED_VALUE"""),43.0)</f>
        <v>43</v>
      </c>
      <c r="F457" s="30">
        <f>IFERROR(__xludf.DUMMYFUNCTION("""COMPUTED_VALUE"""),27.0)</f>
        <v>27</v>
      </c>
      <c r="G457" s="42">
        <f>IFERROR(__xludf.DUMMYFUNCTION("""COMPUTED_VALUE"""),16.0)</f>
        <v>16</v>
      </c>
      <c r="H457" s="42">
        <f>IFERROR(__xludf.DUMMYFUNCTION("""COMPUTED_VALUE"""),0.627906976744186)</f>
        <v>0.6279069767</v>
      </c>
      <c r="I457" s="42">
        <f>IFERROR(__xludf.DUMMYFUNCTION("""COMPUTED_VALUE"""),0.3333333333333333)</f>
        <v>0.3333333333</v>
      </c>
      <c r="J457" s="30">
        <f>IFERROR(__xludf.DUMMYFUNCTION("""COMPUTED_VALUE"""),381.1860465116279)</f>
        <v>381.1860465</v>
      </c>
      <c r="K457" s="30">
        <f>IFERROR(__xludf.DUMMYFUNCTION("""COMPUTED_VALUE"""),1.0)</f>
        <v>1</v>
      </c>
      <c r="L457" s="30">
        <f>IFERROR(__xludf.DUMMYFUNCTION("""COMPUTED_VALUE"""),0.627906976744186)</f>
        <v>0.6279069767</v>
      </c>
      <c r="M457" s="30">
        <f>IFERROR(__xludf.DUMMYFUNCTION("""COMPUTED_VALUE"""),1.4883720930232558)</f>
        <v>1.488372093</v>
      </c>
      <c r="N457" s="30">
        <f>IFERROR(__xludf.DUMMYFUNCTION("""COMPUTED_VALUE"""),3.0)</f>
        <v>3</v>
      </c>
      <c r="O457" s="30">
        <f>IFERROR(__xludf.DUMMYFUNCTION("""COMPUTED_VALUE"""),336.5348837209302)</f>
        <v>336.5348837</v>
      </c>
      <c r="P457" s="30">
        <f>IFERROR(__xludf.DUMMYFUNCTION("""COMPUTED_VALUE"""),0.7286821705426358)</f>
        <v>0.7286821705</v>
      </c>
      <c r="Q457" s="30">
        <f>IFERROR(__xludf.DUMMYFUNCTION("""COMPUTED_VALUE"""),0.434108527131783)</f>
        <v>0.4341085271</v>
      </c>
      <c r="R457" s="30">
        <f>IFERROR(__xludf.DUMMYFUNCTION("""COMPUTED_VALUE"""),1.5116279069767442)</f>
        <v>1.511627907</v>
      </c>
      <c r="S457" s="30">
        <f>IFERROR(__xludf.DUMMYFUNCTION("""COMPUTED_VALUE"""),2.550387596899226)</f>
        <v>2.550387597</v>
      </c>
      <c r="T457" s="30">
        <f>IFERROR(__xludf.DUMMYFUNCTION("""COMPUTED_VALUE"""),349.39904873184327)</f>
        <v>349.3990487</v>
      </c>
      <c r="U457" s="30">
        <f>IFERROR(__xludf.DUMMYFUNCTION("""COMPUTED_VALUE"""),0.824908556692861)</f>
        <v>0.8249085567</v>
      </c>
      <c r="V457" s="30">
        <f>IFERROR(__xludf.DUMMYFUNCTION("""COMPUTED_VALUE"""),0.5672321679478456)</f>
        <v>0.5672321679</v>
      </c>
      <c r="W457" s="30">
        <f>IFERROR(__xludf.DUMMYFUNCTION("""COMPUTED_VALUE"""),1.29595538476032)</f>
        <v>1.295955385</v>
      </c>
      <c r="X457" s="30">
        <f>IFERROR(__xludf.DUMMYFUNCTION("""COMPUTED_VALUE"""),2.629466899993262)</f>
        <v>2.6294669</v>
      </c>
      <c r="Y457" s="30">
        <f>IFERROR(__xludf.DUMMYFUNCTION("""COMPUTED_VALUE"""),346.2062799243471)</f>
        <v>346.2062799</v>
      </c>
      <c r="Z457" s="30">
        <f>IFERROR(__xludf.DUMMYFUNCTION("""COMPUTED_VALUE"""),0.7755519095153633)</f>
        <v>0.7755519095</v>
      </c>
      <c r="AA457" s="30">
        <f>IFERROR(__xludf.DUMMYFUNCTION("""COMPUTED_VALUE"""),0.5642240045563873)</f>
        <v>0.5642240046</v>
      </c>
      <c r="AB457" s="30">
        <f>IFERROR(__xludf.DUMMYFUNCTION("""COMPUTED_VALUE"""),1.3418428473017392)</f>
        <v>1.341842847</v>
      </c>
      <c r="AC457" s="30">
        <f>IFERROR(__xludf.DUMMYFUNCTION("""COMPUTED_VALUE"""),2.5498237695986923)</f>
        <v>2.54982377</v>
      </c>
      <c r="AD457" s="30">
        <f>IFERROR(__xludf.DUMMYFUNCTION("""COMPUTED_VALUE"""),1.1010373543626204)</f>
        <v>1.101037354</v>
      </c>
      <c r="AE457" s="30">
        <f>IFERROR(__xludf.DUMMYFUNCTION("""COMPUTED_VALUE"""),1.2894043425473514)</f>
        <v>1.289404343</v>
      </c>
      <c r="AF457" s="30">
        <f>IFERROR(__xludf.DUMMYFUNCTION("""COMPUTED_VALUE"""),1.1128682432394357)</f>
        <v>1.112868243</v>
      </c>
      <c r="AG457" s="30">
        <f>IFERROR(__xludf.DUMMYFUNCTION("""COMPUTED_VALUE"""),1.1092000050648008)</f>
        <v>1.109200005</v>
      </c>
      <c r="AH457" s="30">
        <f>IFERROR(__xludf.DUMMYFUNCTION("""COMPUTED_VALUE"""),1.1765518996915458)</f>
        <v>1.1765519</v>
      </c>
      <c r="AI457" s="30">
        <f>IFERROR(__xludf.DUMMYFUNCTION("""COMPUTED_VALUE"""),0.9631820262315997)</f>
        <v>0.9631820262</v>
      </c>
      <c r="AJ457" s="30">
        <f>IFERROR(__xludf.DUMMYFUNCTION("""COMPUTED_VALUE"""),0.8833490265442194)</f>
        <v>0.8833490265</v>
      </c>
      <c r="AK457" s="30">
        <f>IFERROR(__xludf.DUMMYFUNCTION("""COMPUTED_VALUE"""),0.7653101351820676)</f>
        <v>0.7653101352</v>
      </c>
      <c r="AL457" s="30">
        <f>IFERROR(__xludf.DUMMYFUNCTION("""COMPUTED_VALUE"""),1.1664197122467388)</f>
        <v>1.166419712</v>
      </c>
      <c r="AM457" s="30">
        <f>IFERROR(__xludf.DUMMYFUNCTION("""COMPUTED_VALUE"""),0.9699257278750157)</f>
        <v>0.9699257279</v>
      </c>
      <c r="AN457" s="30">
        <f>IFERROR(__xludf.DUMMYFUNCTION("""COMPUTED_VALUE"""),1.1241879556957297)</f>
        <v>1.124187956</v>
      </c>
      <c r="AO457" s="30">
        <f>IFERROR(__xludf.DUMMYFUNCTION("""COMPUTED_VALUE"""),1.3445559366319677)</f>
        <v>1.344555937</v>
      </c>
      <c r="AP457" s="30">
        <f>IFERROR(__xludf.DUMMYFUNCTION("""COMPUTED_VALUE"""),1.1504380378036674)</f>
        <v>1.150438038</v>
      </c>
      <c r="AQ457" s="30">
        <f>IFERROR(__xludf.DUMMYFUNCTION("""COMPUTED_VALUE"""),1.1380309090673175)</f>
        <v>1.138030909</v>
      </c>
      <c r="AR457" s="30">
        <f>IFERROR(__xludf.DUMMYFUNCTION("""COMPUTED_VALUE"""),1.1991851794880348)</f>
        <v>1.199185179</v>
      </c>
      <c r="AS457" s="30">
        <f>IFERROR(__xludf.DUMMYFUNCTION("""COMPUTED_VALUE"""),123.0)</f>
        <v>123</v>
      </c>
      <c r="AT457" s="30">
        <f>IFERROR(__xludf.DUMMYFUNCTION("""COMPUTED_VALUE"""),0.6053697832119177)</f>
        <v>0.6053697832</v>
      </c>
      <c r="AU457" s="30">
        <f>IFERROR(__xludf.DUMMYFUNCTION("""COMPUTED_VALUE"""),3.452338835973371)</f>
        <v>3.452338836</v>
      </c>
      <c r="AV457" s="32">
        <f>IFERROR(__xludf.DUMMYFUNCTION("""COMPUTED_VALUE"""),78.02808726424263)</f>
        <v>78.02808726</v>
      </c>
      <c r="AW457" s="32">
        <f>IFERROR(__xludf.DUMMYFUNCTION("""COMPUTED_VALUE"""),7.626738249863317)</f>
        <v>7.62673825</v>
      </c>
      <c r="AX457" s="32">
        <f>IFERROR(__xludf.DUMMYFUNCTION("""COMPUTED_VALUE"""),55.0388779304132)</f>
        <v>55.03887793</v>
      </c>
      <c r="AY457" s="32">
        <f>IFERROR(__xludf.DUMMYFUNCTION("""COMPUTED_VALUE"""),2.3802027976281845)</f>
        <v>2.380202798</v>
      </c>
      <c r="AZ457" s="30">
        <f>IFERROR(__xludf.DUMMYFUNCTION("""COMPUTED_VALUE"""),5.246535452235133)</f>
        <v>5.246535452</v>
      </c>
      <c r="BA457" s="30">
        <f>IFERROR(__xludf.DUMMYFUNCTION("""COMPUTED_VALUE"""),1700.0)</f>
        <v>1700</v>
      </c>
    </row>
    <row r="458">
      <c r="A458" s="71" t="str">
        <f>IFERROR(__xludf.DUMMYFUNCTION("""COMPUTED_VALUE"""),"Rival")</f>
        <v>Rival</v>
      </c>
      <c r="B458" s="71" t="str">
        <f>IFERROR(__xludf.DUMMYFUNCTION("""COMPUTED_VALUE"""),"RSC007697")</f>
        <v>RSC007697</v>
      </c>
      <c r="C458" s="30" t="str">
        <f>IFERROR(__xludf.DUMMYFUNCTION("""COMPUTED_VALUE"""),"Commander Lucas")</f>
        <v>Commander Lucas</v>
      </c>
      <c r="D458" s="30" t="str">
        <f>IFERROR(__xludf.DUMMYFUNCTION("""COMPUTED_VALUE"""),"Blizzards")</f>
        <v>Blizzards</v>
      </c>
      <c r="E458" s="30">
        <f>IFERROR(__xludf.DUMMYFUNCTION("""COMPUTED_VALUE"""),19.0)</f>
        <v>19</v>
      </c>
      <c r="F458" s="30">
        <f>IFERROR(__xludf.DUMMYFUNCTION("""COMPUTED_VALUE"""),7.0)</f>
        <v>7</v>
      </c>
      <c r="G458" s="42">
        <f>IFERROR(__xludf.DUMMYFUNCTION("""COMPUTED_VALUE"""),12.0)</f>
        <v>12</v>
      </c>
      <c r="H458" s="42">
        <f>IFERROR(__xludf.DUMMYFUNCTION("""COMPUTED_VALUE"""),0.3684210526315789)</f>
        <v>0.3684210526</v>
      </c>
      <c r="I458" s="42">
        <f>IFERROR(__xludf.DUMMYFUNCTION("""COMPUTED_VALUE"""),0.31746031746031744)</f>
        <v>0.3174603175</v>
      </c>
      <c r="J458" s="30">
        <f>IFERROR(__xludf.DUMMYFUNCTION("""COMPUTED_VALUE"""),384.4736842105263)</f>
        <v>384.4736842</v>
      </c>
      <c r="K458" s="30">
        <f>IFERROR(__xludf.DUMMYFUNCTION("""COMPUTED_VALUE"""),1.0526315789473684)</f>
        <v>1.052631579</v>
      </c>
      <c r="L458" s="30">
        <f>IFERROR(__xludf.DUMMYFUNCTION("""COMPUTED_VALUE"""),0.3157894736842105)</f>
        <v>0.3157894737</v>
      </c>
      <c r="M458" s="30">
        <f>IFERROR(__xludf.DUMMYFUNCTION("""COMPUTED_VALUE"""),1.5789473684210527)</f>
        <v>1.578947368</v>
      </c>
      <c r="N458" s="30">
        <f>IFERROR(__xludf.DUMMYFUNCTION("""COMPUTED_VALUE"""),3.3157894736842106)</f>
        <v>3.315789474</v>
      </c>
      <c r="O458" s="30">
        <f>IFERROR(__xludf.DUMMYFUNCTION("""COMPUTED_VALUE"""),401.859649122807)</f>
        <v>401.8596491</v>
      </c>
      <c r="P458" s="30">
        <f>IFERROR(__xludf.DUMMYFUNCTION("""COMPUTED_VALUE"""),0.9999999999999998)</f>
        <v>1</v>
      </c>
      <c r="Q458" s="30">
        <f>IFERROR(__xludf.DUMMYFUNCTION("""COMPUTED_VALUE"""),0.6842105263157894)</f>
        <v>0.6842105263</v>
      </c>
      <c r="R458" s="30">
        <f>IFERROR(__xludf.DUMMYFUNCTION("""COMPUTED_VALUE"""),1.6491228070175439)</f>
        <v>1.649122807</v>
      </c>
      <c r="S458" s="30">
        <f>IFERROR(__xludf.DUMMYFUNCTION("""COMPUTED_VALUE"""),2.8596491228070176)</f>
        <v>2.859649123</v>
      </c>
      <c r="T458" s="30">
        <f>IFERROR(__xludf.DUMMYFUNCTION("""COMPUTED_VALUE"""),351.14582251223055)</f>
        <v>351.1458225</v>
      </c>
      <c r="U458" s="30">
        <f>IFERROR(__xludf.DUMMYFUNCTION("""COMPUTED_VALUE"""),0.7838241099861905)</f>
        <v>0.78382411</v>
      </c>
      <c r="V458" s="30">
        <f>IFERROR(__xludf.DUMMYFUNCTION("""COMPUTED_VALUE"""),0.5232510797168647)</f>
        <v>0.5232510797</v>
      </c>
      <c r="W458" s="30">
        <f>IFERROR(__xludf.DUMMYFUNCTION("""COMPUTED_VALUE"""),1.3907763448988324)</f>
        <v>1.390776345</v>
      </c>
      <c r="X458" s="30">
        <f>IFERROR(__xludf.DUMMYFUNCTION("""COMPUTED_VALUE"""),2.490037801780765)</f>
        <v>2.490037802</v>
      </c>
      <c r="Y458" s="30">
        <f>IFERROR(__xludf.DUMMYFUNCTION("""COMPUTED_VALUE"""),338.369005912369)</f>
        <v>338.3690059</v>
      </c>
      <c r="Z458" s="30">
        <f>IFERROR(__xludf.DUMMYFUNCTION("""COMPUTED_VALUE"""),0.7439086231466575)</f>
        <v>0.7439086231</v>
      </c>
      <c r="AA458" s="30">
        <f>IFERROR(__xludf.DUMMYFUNCTION("""COMPUTED_VALUE"""),0.5224433763608238)</f>
        <v>0.5224433764</v>
      </c>
      <c r="AB458" s="30">
        <f>IFERROR(__xludf.DUMMYFUNCTION("""COMPUTED_VALUE"""),1.2664145278071102)</f>
        <v>1.266414528</v>
      </c>
      <c r="AC458" s="30">
        <f>IFERROR(__xludf.DUMMYFUNCTION("""COMPUTED_VALUE"""),2.579554200519502)</f>
        <v>2.579554201</v>
      </c>
      <c r="AD458" s="30">
        <f>IFERROR(__xludf.DUMMYFUNCTION("""COMPUTED_VALUE"""),1.1362556188438178)</f>
        <v>1.136255619</v>
      </c>
      <c r="AE458" s="30">
        <f>IFERROR(__xludf.DUMMYFUNCTION("""COMPUTED_VALUE"""),1.415001179170157)</f>
        <v>1.415001179</v>
      </c>
      <c r="AF458" s="30">
        <f>IFERROR(__xludf.DUMMYFUNCTION("""COMPUTED_VALUE"""),0.6044472721310022)</f>
        <v>0.6044472721</v>
      </c>
      <c r="AG458" s="30">
        <f>IFERROR(__xludf.DUMMYFUNCTION("""COMPUTED_VALUE"""),1.246785577511588)</f>
        <v>1.246785578</v>
      </c>
      <c r="AH458" s="30">
        <f>IFERROR(__xludf.DUMMYFUNCTION("""COMPUTED_VALUE"""),1.2854118254295401)</f>
        <v>1.285411825</v>
      </c>
      <c r="AI458" s="30">
        <f>IFERROR(__xludf.DUMMYFUNCTION("""COMPUTED_VALUE"""),1.1444238357949141)</f>
        <v>1.144423836</v>
      </c>
      <c r="AJ458" s="30">
        <f>IFERROR(__xludf.DUMMYFUNCTION("""COMPUTED_VALUE"""),1.2757964283818954)</f>
        <v>1.275796428</v>
      </c>
      <c r="AK458" s="30">
        <f>IFERROR(__xludf.DUMMYFUNCTION("""COMPUTED_VALUE"""),1.307614170019527)</f>
        <v>1.30761417</v>
      </c>
      <c r="AL458" s="30">
        <f>IFERROR(__xludf.DUMMYFUNCTION("""COMPUTED_VALUE"""),1.1857570148257763)</f>
        <v>1.185757015</v>
      </c>
      <c r="AM458" s="30">
        <f>IFERROR(__xludf.DUMMYFUNCTION("""COMPUTED_VALUE"""),1.148436028064282)</f>
        <v>1.148436028</v>
      </c>
      <c r="AN458" s="30">
        <f>IFERROR(__xludf.DUMMYFUNCTION("""COMPUTED_VALUE"""),1.1338838056294183)</f>
        <v>1.133883806</v>
      </c>
      <c r="AO458" s="30">
        <f>IFERROR(__xludf.DUMMYFUNCTION("""COMPUTED_VALUE"""),1.4153220385599659)</f>
        <v>1.415322039</v>
      </c>
      <c r="AP458" s="30">
        <f>IFERROR(__xludf.DUMMYFUNCTION("""COMPUTED_VALUE"""),0.5785828728135403)</f>
        <v>0.5785828728</v>
      </c>
      <c r="AQ458" s="30">
        <f>IFERROR(__xludf.DUMMYFUNCTION("""COMPUTED_VALUE"""),1.2072860795204272)</f>
        <v>1.20728608</v>
      </c>
      <c r="AR458" s="30">
        <f>IFERROR(__xludf.DUMMYFUNCTION("""COMPUTED_VALUE"""),1.3254151983815123)</f>
        <v>1.325415198</v>
      </c>
      <c r="AS458" s="30">
        <f>IFERROR(__xludf.DUMMYFUNCTION("""COMPUTED_VALUE"""),45.0)</f>
        <v>45</v>
      </c>
      <c r="AT458" s="30">
        <f>IFERROR(__xludf.DUMMYFUNCTION("""COMPUTED_VALUE"""),0.40542605871875265)</f>
        <v>0.4054260587</v>
      </c>
      <c r="AU458" s="30">
        <f>IFERROR(__xludf.DUMMYFUNCTION("""COMPUTED_VALUE"""),2.8688770389285136)</f>
        <v>2.868877039</v>
      </c>
      <c r="AV458" s="32">
        <f>IFERROR(__xludf.DUMMYFUNCTION("""COMPUTED_VALUE"""),61.323590651859384)</f>
        <v>61.32359065</v>
      </c>
      <c r="AW458" s="32">
        <f>IFERROR(__xludf.DUMMYFUNCTION("""COMPUTED_VALUE"""),3.0741358494289215)</f>
        <v>3.074135849</v>
      </c>
      <c r="AX458" s="32">
        <f>IFERROR(__xludf.DUMMYFUNCTION("""COMPUTED_VALUE"""),48.00837266986734)</f>
        <v>48.00837267</v>
      </c>
      <c r="AY458" s="32">
        <f>IFERROR(__xludf.DUMMYFUNCTION("""COMPUTED_VALUE"""),-2.1356030573458393)</f>
        <v>-2.135603057</v>
      </c>
      <c r="AZ458" s="30">
        <f>IFERROR(__xludf.DUMMYFUNCTION("""COMPUTED_VALUE"""),5.209738906774761)</f>
        <v>5.209738907</v>
      </c>
      <c r="BA458" s="30">
        <f>IFERROR(__xludf.DUMMYFUNCTION("""COMPUTED_VALUE"""),1700.0)</f>
        <v>1700</v>
      </c>
    </row>
    <row r="459">
      <c r="A459" s="71" t="str">
        <f>IFERROR(__xludf.DUMMYFUNCTION("""COMPUTED_VALUE"""),"Rival")</f>
        <v>Rival</v>
      </c>
      <c r="B459" s="71" t="str">
        <f>IFERROR(__xludf.DUMMYFUNCTION("""COMPUTED_VALUE"""),"RSC007847")</f>
        <v>RSC007847</v>
      </c>
      <c r="C459" s="30" t="str">
        <f>IFERROR(__xludf.DUMMYFUNCTION("""COMPUTED_VALUE"""),"GoodGuyGlaz")</f>
        <v>GoodGuyGlaz</v>
      </c>
      <c r="D459" s="30"/>
      <c r="E459" s="30">
        <f>IFERROR(__xludf.DUMMYFUNCTION("""COMPUTED_VALUE"""),14.0)</f>
        <v>14</v>
      </c>
      <c r="F459" s="30">
        <f>IFERROR(__xludf.DUMMYFUNCTION("""COMPUTED_VALUE"""),5.0)</f>
        <v>5</v>
      </c>
      <c r="G459" s="42">
        <f>IFERROR(__xludf.DUMMYFUNCTION("""COMPUTED_VALUE"""),9.0)</f>
        <v>9</v>
      </c>
      <c r="H459" s="42">
        <f>IFERROR(__xludf.DUMMYFUNCTION("""COMPUTED_VALUE"""),0.35714285714285715)</f>
        <v>0.3571428571</v>
      </c>
      <c r="I459" s="42">
        <f>IFERROR(__xludf.DUMMYFUNCTION("""COMPUTED_VALUE"""),0.26666666666666666)</f>
        <v>0.2666666667</v>
      </c>
      <c r="J459" s="30">
        <f>IFERROR(__xludf.DUMMYFUNCTION("""COMPUTED_VALUE"""),287.5)</f>
        <v>287.5</v>
      </c>
      <c r="K459" s="30">
        <f>IFERROR(__xludf.DUMMYFUNCTION("""COMPUTED_VALUE"""),0.5714285714285714)</f>
        <v>0.5714285714</v>
      </c>
      <c r="L459" s="30">
        <f>IFERROR(__xludf.DUMMYFUNCTION("""COMPUTED_VALUE"""),0.2857142857142857)</f>
        <v>0.2857142857</v>
      </c>
      <c r="M459" s="30">
        <f>IFERROR(__xludf.DUMMYFUNCTION("""COMPUTED_VALUE"""),1.2142857142857142)</f>
        <v>1.214285714</v>
      </c>
      <c r="N459" s="30">
        <f>IFERROR(__xludf.DUMMYFUNCTION("""COMPUTED_VALUE"""),2.142857142857143)</f>
        <v>2.142857143</v>
      </c>
      <c r="O459" s="30">
        <f>IFERROR(__xludf.DUMMYFUNCTION("""COMPUTED_VALUE"""),358.6904761904762)</f>
        <v>358.6904762</v>
      </c>
      <c r="P459" s="30">
        <f>IFERROR(__xludf.DUMMYFUNCTION("""COMPUTED_VALUE"""),0.7619047619047619)</f>
        <v>0.7619047619</v>
      </c>
      <c r="Q459" s="30">
        <f>IFERROR(__xludf.DUMMYFUNCTION("""COMPUTED_VALUE"""),0.6190476190476192)</f>
        <v>0.619047619</v>
      </c>
      <c r="R459" s="30">
        <f>IFERROR(__xludf.DUMMYFUNCTION("""COMPUTED_VALUE"""),1.380952380952381)</f>
        <v>1.380952381</v>
      </c>
      <c r="S459" s="30">
        <f>IFERROR(__xludf.DUMMYFUNCTION("""COMPUTED_VALUE"""),2.9047619047619047)</f>
        <v>2.904761905</v>
      </c>
      <c r="T459" s="30">
        <f>IFERROR(__xludf.DUMMYFUNCTION("""COMPUTED_VALUE"""),357.7658330967792)</f>
        <v>357.7658331</v>
      </c>
      <c r="U459" s="30">
        <f>IFERROR(__xludf.DUMMYFUNCTION("""COMPUTED_VALUE"""),0.8780112973511701)</f>
        <v>0.8780112974</v>
      </c>
      <c r="V459" s="30">
        <f>IFERROR(__xludf.DUMMYFUNCTION("""COMPUTED_VALUE"""),0.6445541396609417)</f>
        <v>0.6445541397</v>
      </c>
      <c r="W459" s="30">
        <f>IFERROR(__xludf.DUMMYFUNCTION("""COMPUTED_VALUE"""),1.177386026293389)</f>
        <v>1.177386026</v>
      </c>
      <c r="X459" s="30">
        <f>IFERROR(__xludf.DUMMYFUNCTION("""COMPUTED_VALUE"""),2.7520808825573257)</f>
        <v>2.752080883</v>
      </c>
      <c r="Y459" s="30">
        <f>IFERROR(__xludf.DUMMYFUNCTION("""COMPUTED_VALUE"""),323.7434381062864)</f>
        <v>323.7434381</v>
      </c>
      <c r="Z459" s="30">
        <f>IFERROR(__xludf.DUMMYFUNCTION("""COMPUTED_VALUE"""),0.6302648853304057)</f>
        <v>0.6302648853</v>
      </c>
      <c r="AA459" s="30">
        <f>IFERROR(__xludf.DUMMYFUNCTION("""COMPUTED_VALUE"""),0.4583125356663456)</f>
        <v>0.4583125357</v>
      </c>
      <c r="AB459" s="30">
        <f>IFERROR(__xludf.DUMMYFUNCTION("""COMPUTED_VALUE"""),1.3575699238061)</f>
        <v>1.357569924</v>
      </c>
      <c r="AC459" s="30">
        <f>IFERROR(__xludf.DUMMYFUNCTION("""COMPUTED_VALUE"""),2.2573878417671027)</f>
        <v>2.257387842</v>
      </c>
      <c r="AD459" s="30">
        <f>IFERROR(__xludf.DUMMYFUNCTION("""COMPUTED_VALUE"""),0.8880488873587994)</f>
        <v>0.8880488874</v>
      </c>
      <c r="AE459" s="30">
        <f>IFERROR(__xludf.DUMMYFUNCTION("""COMPUTED_VALUE"""),0.9066482755564109)</f>
        <v>0.9066482756</v>
      </c>
      <c r="AF459" s="30">
        <f>IFERROR(__xludf.DUMMYFUNCTION("""COMPUTED_VALUE"""),0.6234049114517074)</f>
        <v>0.6234049115</v>
      </c>
      <c r="AG459" s="30">
        <f>IFERROR(__xludf.DUMMYFUNCTION("""COMPUTED_VALUE"""),0.8944553742626586)</f>
        <v>0.8944553743</v>
      </c>
      <c r="AH459" s="30">
        <f>IFERROR(__xludf.DUMMYFUNCTION("""COMPUTED_VALUE"""),0.9492640578677414)</f>
        <v>0.9492640579</v>
      </c>
      <c r="AI459" s="30">
        <f>IFERROR(__xludf.DUMMYFUNCTION("""COMPUTED_VALUE"""),1.0025844924477372)</f>
        <v>1.002584492</v>
      </c>
      <c r="AJ459" s="30">
        <f>IFERROR(__xludf.DUMMYFUNCTION("""COMPUTED_VALUE"""),0.8677619117240468)</f>
        <v>0.8677619117</v>
      </c>
      <c r="AK459" s="30">
        <f>IFERROR(__xludf.DUMMYFUNCTION("""COMPUTED_VALUE"""),0.9604276521647355)</f>
        <v>0.9604276522</v>
      </c>
      <c r="AL459" s="30">
        <f>IFERROR(__xludf.DUMMYFUNCTION("""COMPUTED_VALUE"""),1.1728968665441473)</f>
        <v>1.172896867</v>
      </c>
      <c r="AM459" s="30">
        <f>IFERROR(__xludf.DUMMYFUNCTION("""COMPUTED_VALUE"""),1.055478392067715)</f>
        <v>1.055478392</v>
      </c>
      <c r="AN459" s="30">
        <f>IFERROR(__xludf.DUMMYFUNCTION("""COMPUTED_VALUE"""),0.8478905254278847)</f>
        <v>0.8478905254</v>
      </c>
      <c r="AO459" s="30">
        <f>IFERROR(__xludf.DUMMYFUNCTION("""COMPUTED_VALUE"""),0.7683176780754101)</f>
        <v>0.7683176781</v>
      </c>
      <c r="AP459" s="30">
        <f>IFERROR(__xludf.DUMMYFUNCTION("""COMPUTED_VALUE"""),0.5234797420693935)</f>
        <v>0.5234797421</v>
      </c>
      <c r="AQ459" s="30">
        <f>IFERROR(__xludf.DUMMYFUNCTION("""COMPUTED_VALUE"""),0.9284604849645189)</f>
        <v>0.928460485</v>
      </c>
      <c r="AR459" s="30">
        <f>IFERROR(__xludf.DUMMYFUNCTION("""COMPUTED_VALUE"""),0.8565608424914535)</f>
        <v>0.8565608425</v>
      </c>
      <c r="AS459" s="30">
        <f>IFERROR(__xludf.DUMMYFUNCTION("""COMPUTED_VALUE"""),21.0)</f>
        <v>21</v>
      </c>
      <c r="AT459" s="30">
        <f>IFERROR(__xludf.DUMMYFUNCTION("""COMPUTED_VALUE"""),0.35041699643189256)</f>
        <v>0.3504169964</v>
      </c>
      <c r="AU459" s="30">
        <f>IFERROR(__xludf.DUMMYFUNCTION("""COMPUTED_VALUE"""),1.8719979582435216)</f>
        <v>1.871997958</v>
      </c>
      <c r="AV459" s="32">
        <f>IFERROR(__xludf.DUMMYFUNCTION("""COMPUTED_VALUE"""),32.782967580049416)</f>
        <v>32.78296758</v>
      </c>
      <c r="AW459" s="32">
        <f>IFERROR(__xludf.DUMMYFUNCTION("""COMPUTED_VALUE"""),-4.073121918234503)</f>
        <v>-4.073121918</v>
      </c>
      <c r="AX459" s="32">
        <f>IFERROR(__xludf.DUMMYFUNCTION("""COMPUTED_VALUE"""),19.31742303754371)</f>
        <v>19.31742304</v>
      </c>
      <c r="AY459" s="32">
        <f>IFERROR(__xludf.DUMMYFUNCTION("""COMPUTED_VALUE"""),-9.102962282484764)</f>
        <v>-9.102962282</v>
      </c>
      <c r="AZ459" s="30">
        <f>IFERROR(__xludf.DUMMYFUNCTION("""COMPUTED_VALUE"""),5.029840364250261)</f>
        <v>5.029840364</v>
      </c>
      <c r="BA459" s="30">
        <f>IFERROR(__xludf.DUMMYFUNCTION("""COMPUTED_VALUE"""),1700.0)</f>
        <v>1700</v>
      </c>
    </row>
    <row r="460">
      <c r="A460" s="71" t="str">
        <f>IFERROR(__xludf.DUMMYFUNCTION("""COMPUTED_VALUE"""),"Rival")</f>
        <v>Rival</v>
      </c>
      <c r="B460" s="71" t="str">
        <f>IFERROR(__xludf.DUMMYFUNCTION("""COMPUTED_VALUE"""),"RSC007186")</f>
        <v>RSC007186</v>
      </c>
      <c r="C460" s="30" t="str">
        <f>IFERROR(__xludf.DUMMYFUNCTION("""COMPUTED_VALUE"""),"Bushier Brow")</f>
        <v>Bushier Brow</v>
      </c>
      <c r="D460" s="30" t="str">
        <f>IFERROR(__xludf.DUMMYFUNCTION("""COMPUTED_VALUE"""),"Hot Wings")</f>
        <v>Hot Wings</v>
      </c>
      <c r="E460" s="30">
        <f>IFERROR(__xludf.DUMMYFUNCTION("""COMPUTED_VALUE"""),34.0)</f>
        <v>34</v>
      </c>
      <c r="F460" s="30">
        <f>IFERROR(__xludf.DUMMYFUNCTION("""COMPUTED_VALUE"""),21.0)</f>
        <v>21</v>
      </c>
      <c r="G460" s="42">
        <f>IFERROR(__xludf.DUMMYFUNCTION("""COMPUTED_VALUE"""),13.0)</f>
        <v>13</v>
      </c>
      <c r="H460" s="42">
        <f>IFERROR(__xludf.DUMMYFUNCTION("""COMPUTED_VALUE"""),0.6176470588235294)</f>
        <v>0.6176470588</v>
      </c>
      <c r="I460" s="42">
        <f>IFERROR(__xludf.DUMMYFUNCTION("""COMPUTED_VALUE"""),0.30107526881720426)</f>
        <v>0.3010752688</v>
      </c>
      <c r="J460" s="30">
        <f>IFERROR(__xludf.DUMMYFUNCTION("""COMPUTED_VALUE"""),348.05882352941177)</f>
        <v>348.0588235</v>
      </c>
      <c r="K460" s="30">
        <f>IFERROR(__xludf.DUMMYFUNCTION("""COMPUTED_VALUE"""),0.8235294117647058)</f>
        <v>0.8235294118</v>
      </c>
      <c r="L460" s="30">
        <f>IFERROR(__xludf.DUMMYFUNCTION("""COMPUTED_VALUE"""),0.4411764705882353)</f>
        <v>0.4411764706</v>
      </c>
      <c r="M460" s="30">
        <f>IFERROR(__xludf.DUMMYFUNCTION("""COMPUTED_VALUE"""),1.3823529411764706)</f>
        <v>1.382352941</v>
      </c>
      <c r="N460" s="30">
        <f>IFERROR(__xludf.DUMMYFUNCTION("""COMPUTED_VALUE"""),2.735294117647059)</f>
        <v>2.735294118</v>
      </c>
      <c r="O460" s="30">
        <f>IFERROR(__xludf.DUMMYFUNCTION("""COMPUTED_VALUE"""),337.21568627450984)</f>
        <v>337.2156863</v>
      </c>
      <c r="P460" s="30">
        <f>IFERROR(__xludf.DUMMYFUNCTION("""COMPUTED_VALUE"""),0.7058823529411765)</f>
        <v>0.7058823529</v>
      </c>
      <c r="Q460" s="30">
        <f>IFERROR(__xludf.DUMMYFUNCTION("""COMPUTED_VALUE"""),0.4509803921568627)</f>
        <v>0.4509803922</v>
      </c>
      <c r="R460" s="30">
        <f>IFERROR(__xludf.DUMMYFUNCTION("""COMPUTED_VALUE"""),1.5196078431372548)</f>
        <v>1.519607843</v>
      </c>
      <c r="S460" s="30">
        <f>IFERROR(__xludf.DUMMYFUNCTION("""COMPUTED_VALUE"""),2.3921568627450984)</f>
        <v>2.392156863</v>
      </c>
      <c r="T460" s="30">
        <f>IFERROR(__xludf.DUMMYFUNCTION("""COMPUTED_VALUE"""),348.65924927769316)</f>
        <v>348.6592493</v>
      </c>
      <c r="U460" s="30">
        <f>IFERROR(__xludf.DUMMYFUNCTION("""COMPUTED_VALUE"""),0.8055042183674928)</f>
        <v>0.8055042184</v>
      </c>
      <c r="V460" s="30">
        <f>IFERROR(__xludf.DUMMYFUNCTION("""COMPUTED_VALUE"""),0.5617005622781477)</f>
        <v>0.5617005623</v>
      </c>
      <c r="W460" s="30">
        <f>IFERROR(__xludf.DUMMYFUNCTION("""COMPUTED_VALUE"""),1.3284383580988746)</f>
        <v>1.328438358</v>
      </c>
      <c r="X460" s="30">
        <f>IFERROR(__xludf.DUMMYFUNCTION("""COMPUTED_VALUE"""),2.545477101887632)</f>
        <v>2.545477102</v>
      </c>
      <c r="Y460" s="30">
        <f>IFERROR(__xludf.DUMMYFUNCTION("""COMPUTED_VALUE"""),342.49073661320875)</f>
        <v>342.4907366</v>
      </c>
      <c r="Z460" s="30">
        <f>IFERROR(__xludf.DUMMYFUNCTION("""COMPUTED_VALUE"""),0.7566595610198384)</f>
        <v>0.756659561</v>
      </c>
      <c r="AA460" s="30">
        <f>IFERROR(__xludf.DUMMYFUNCTION("""COMPUTED_VALUE"""),0.5505102427584597)</f>
        <v>0.5505102428</v>
      </c>
      <c r="AB460" s="30">
        <f>IFERROR(__xludf.DUMMYFUNCTION("""COMPUTED_VALUE"""),1.3290873200732494)</f>
        <v>1.32908732</v>
      </c>
      <c r="AC460" s="30">
        <f>IFERROR(__xludf.DUMMYFUNCTION("""COMPUTED_VALUE"""),2.5381336538220656)</f>
        <v>2.538133654</v>
      </c>
      <c r="AD460" s="30">
        <f>IFERROR(__xludf.DUMMYFUNCTION("""COMPUTED_VALUE"""),1.016257627786562)</f>
        <v>1.016257628</v>
      </c>
      <c r="AE460" s="30">
        <f>IFERROR(__xludf.DUMMYFUNCTION("""COMPUTED_VALUE"""),1.0883750819916147)</f>
        <v>1.088375082</v>
      </c>
      <c r="AF460" s="30">
        <f>IFERROR(__xludf.DUMMYFUNCTION("""COMPUTED_VALUE"""),0.801395571456796)</f>
        <v>0.8013955715</v>
      </c>
      <c r="AG460" s="30">
        <f>IFERROR(__xludf.DUMMYFUNCTION("""COMPUTED_VALUE"""),1.0400768409259111)</f>
        <v>1.040076841</v>
      </c>
      <c r="AH460" s="30">
        <f>IFERROR(__xludf.DUMMYFUNCTION("""COMPUTED_VALUE"""),1.0776793072059456)</f>
        <v>1.077679307</v>
      </c>
      <c r="AI460" s="30">
        <f>IFERROR(__xludf.DUMMYFUNCTION("""COMPUTED_VALUE"""),0.9671783753711092)</f>
        <v>0.9671783754</v>
      </c>
      <c r="AJ460" s="30">
        <f>IFERROR(__xludf.DUMMYFUNCTION("""COMPUTED_VALUE"""),0.8763235956377499)</f>
        <v>0.8763235956</v>
      </c>
      <c r="AK460" s="30">
        <f>IFERROR(__xludf.DUMMYFUNCTION("""COMPUTED_VALUE"""),0.8028839962840243)</f>
        <v>0.8028839963</v>
      </c>
      <c r="AL460" s="30">
        <f>IFERROR(__xludf.DUMMYFUNCTION("""COMPUTED_VALUE"""),1.1439054238933317)</f>
        <v>1.143905424</v>
      </c>
      <c r="AM460" s="30">
        <f>IFERROR(__xludf.DUMMYFUNCTION("""COMPUTED_VALUE"""),0.9397675826551977)</f>
        <v>0.9397675827</v>
      </c>
      <c r="AN460" s="30">
        <f>IFERROR(__xludf.DUMMYFUNCTION("""COMPUTED_VALUE"""),1.026489665259702)</f>
        <v>1.026489665</v>
      </c>
      <c r="AO460" s="30">
        <f>IFERROR(__xludf.DUMMYFUNCTION("""COMPUTED_VALUE"""),1.1072813595792674)</f>
        <v>1.10728136</v>
      </c>
      <c r="AP460" s="30">
        <f>IFERROR(__xludf.DUMMYFUNCTION("""COMPUTED_VALUE"""),0.8083143076071518)</f>
        <v>0.8083143076</v>
      </c>
      <c r="AQ460" s="30">
        <f>IFERROR(__xludf.DUMMYFUNCTION("""COMPUTED_VALUE"""),1.0569671264820995)</f>
        <v>1.056967126</v>
      </c>
      <c r="AR460" s="30">
        <f>IFERROR(__xludf.DUMMYFUNCTION("""COMPUTED_VALUE"""),1.0933747224743848)</f>
        <v>1.093374722</v>
      </c>
      <c r="AS460" s="30">
        <f>IFERROR(__xludf.DUMMYFUNCTION("""COMPUTED_VALUE"""),90.0)</f>
        <v>90</v>
      </c>
      <c r="AT460" s="30">
        <f>IFERROR(__xludf.DUMMYFUNCTION("""COMPUTED_VALUE"""),0.5864443318104476)</f>
        <v>0.5864443318</v>
      </c>
      <c r="AU460" s="30">
        <f>IFERROR(__xludf.DUMMYFUNCTION("""COMPUTED_VALUE"""),2.7650676348607295)</f>
        <v>2.765067635</v>
      </c>
      <c r="AV460" s="32">
        <f>IFERROR(__xludf.DUMMYFUNCTION("""COMPUTED_VALUE"""),58.351530017612745)</f>
        <v>58.35153002</v>
      </c>
      <c r="AW460" s="32">
        <f>IFERROR(__xludf.DUMMYFUNCTION("""COMPUTED_VALUE"""),2.7088034508891385)</f>
        <v>2.708803451</v>
      </c>
      <c r="AX460" s="32">
        <f>IFERROR(__xludf.DUMMYFUNCTION("""COMPUTED_VALUE"""),46.21915857185293)</f>
        <v>46.21915857</v>
      </c>
      <c r="AY460" s="32">
        <f>IFERROR(__xludf.DUMMYFUNCTION("""COMPUTED_VALUE"""),-2.2732661373423637)</f>
        <v>-2.273266137</v>
      </c>
      <c r="AZ460" s="30">
        <f>IFERROR(__xludf.DUMMYFUNCTION("""COMPUTED_VALUE"""),4.982069588231502)</f>
        <v>4.982069588</v>
      </c>
      <c r="BA460" s="30">
        <f>IFERROR(__xludf.DUMMYFUNCTION("""COMPUTED_VALUE"""),1700.0)</f>
        <v>1700</v>
      </c>
    </row>
    <row r="461">
      <c r="A461" s="71" t="str">
        <f>IFERROR(__xludf.DUMMYFUNCTION("""COMPUTED_VALUE"""),"Rival")</f>
        <v>Rival</v>
      </c>
      <c r="B461" s="71" t="str">
        <f>IFERROR(__xludf.DUMMYFUNCTION("""COMPUTED_VALUE"""),"RSC007999")</f>
        <v>RSC007999</v>
      </c>
      <c r="C461" s="30" t="str">
        <f>IFERROR(__xludf.DUMMYFUNCTION("""COMPUTED_VALUE"""),"MerzR")</f>
        <v>MerzR</v>
      </c>
      <c r="D461" s="30"/>
      <c r="E461" s="30">
        <f>IFERROR(__xludf.DUMMYFUNCTION("""COMPUTED_VALUE"""),21.0)</f>
        <v>21</v>
      </c>
      <c r="F461" s="30">
        <f>IFERROR(__xludf.DUMMYFUNCTION("""COMPUTED_VALUE"""),5.0)</f>
        <v>5</v>
      </c>
      <c r="G461" s="42">
        <f>IFERROR(__xludf.DUMMYFUNCTION("""COMPUTED_VALUE"""),16.0)</f>
        <v>16</v>
      </c>
      <c r="H461" s="42">
        <f>IFERROR(__xludf.DUMMYFUNCTION("""COMPUTED_VALUE"""),0.23809523809523808)</f>
        <v>0.2380952381</v>
      </c>
      <c r="I461" s="42">
        <f>IFERROR(__xludf.DUMMYFUNCTION("""COMPUTED_VALUE"""),0.3877551020408163)</f>
        <v>0.387755102</v>
      </c>
      <c r="J461" s="30">
        <f>IFERROR(__xludf.DUMMYFUNCTION("""COMPUTED_VALUE"""),383.5238095238095)</f>
        <v>383.5238095</v>
      </c>
      <c r="K461" s="30">
        <f>IFERROR(__xludf.DUMMYFUNCTION("""COMPUTED_VALUE"""),0.9047619047619048)</f>
        <v>0.9047619048</v>
      </c>
      <c r="L461" s="30">
        <f>IFERROR(__xludf.DUMMYFUNCTION("""COMPUTED_VALUE"""),0.3333333333333333)</f>
        <v>0.3333333333</v>
      </c>
      <c r="M461" s="30">
        <f>IFERROR(__xludf.DUMMYFUNCTION("""COMPUTED_VALUE"""),1.8571428571428572)</f>
        <v>1.857142857</v>
      </c>
      <c r="N461" s="30">
        <f>IFERROR(__xludf.DUMMYFUNCTION("""COMPUTED_VALUE"""),2.3333333333333335)</f>
        <v>2.333333333</v>
      </c>
      <c r="O461" s="30">
        <f>IFERROR(__xludf.DUMMYFUNCTION("""COMPUTED_VALUE"""),360.69841269841277)</f>
        <v>360.6984127</v>
      </c>
      <c r="P461" s="30">
        <f>IFERROR(__xludf.DUMMYFUNCTION("""COMPUTED_VALUE"""),0.8888888888888887)</f>
        <v>0.8888888889</v>
      </c>
      <c r="Q461" s="30">
        <f>IFERROR(__xludf.DUMMYFUNCTION("""COMPUTED_VALUE"""),0.7619047619047619)</f>
        <v>0.7619047619</v>
      </c>
      <c r="R461" s="30">
        <f>IFERROR(__xludf.DUMMYFUNCTION("""COMPUTED_VALUE"""),1.0158730158730163)</f>
        <v>1.015873016</v>
      </c>
      <c r="S461" s="30">
        <f>IFERROR(__xludf.DUMMYFUNCTION("""COMPUTED_VALUE"""),2.73015873015873)</f>
        <v>2.73015873</v>
      </c>
      <c r="T461" s="30">
        <f>IFERROR(__xludf.DUMMYFUNCTION("""COMPUTED_VALUE"""),340.15074882271)</f>
        <v>340.1507488</v>
      </c>
      <c r="U461" s="30">
        <f>IFERROR(__xludf.DUMMYFUNCTION("""COMPUTED_VALUE"""),0.7894407897069949)</f>
        <v>0.7894407897</v>
      </c>
      <c r="V461" s="30">
        <f>IFERROR(__xludf.DUMMYFUNCTION("""COMPUTED_VALUE"""),0.5342995337832156)</f>
        <v>0.5342995338</v>
      </c>
      <c r="W461" s="30">
        <f>IFERROR(__xludf.DUMMYFUNCTION("""COMPUTED_VALUE"""),1.241610687201358)</f>
        <v>1.241610687</v>
      </c>
      <c r="X461" s="30">
        <f>IFERROR(__xludf.DUMMYFUNCTION("""COMPUTED_VALUE"""),2.536283158881387)</f>
        <v>2.536283159</v>
      </c>
      <c r="Y461" s="30">
        <f>IFERROR(__xludf.DUMMYFUNCTION("""COMPUTED_VALUE"""),346.7696550145755)</f>
        <v>346.769655</v>
      </c>
      <c r="Z461" s="30">
        <f>IFERROR(__xludf.DUMMYFUNCTION("""COMPUTED_VALUE"""),0.7851717984765524)</f>
        <v>0.7851717985</v>
      </c>
      <c r="AA461" s="30">
        <f>IFERROR(__xludf.DUMMYFUNCTION("""COMPUTED_VALUE"""),0.572657764910982)</f>
        <v>0.5726577649</v>
      </c>
      <c r="AB461" s="30">
        <f>IFERROR(__xludf.DUMMYFUNCTION("""COMPUTED_VALUE"""),1.2798710685989456)</f>
        <v>1.279871069</v>
      </c>
      <c r="AC461" s="30">
        <f>IFERROR(__xludf.DUMMYFUNCTION("""COMPUTED_VALUE"""),2.486800127501127)</f>
        <v>2.486800128</v>
      </c>
      <c r="AD461" s="30">
        <f>IFERROR(__xludf.DUMMYFUNCTION("""COMPUTED_VALUE"""),1.1059901118155484)</f>
        <v>1.105990112</v>
      </c>
      <c r="AE461" s="30">
        <f>IFERROR(__xludf.DUMMYFUNCTION("""COMPUTED_VALUE"""),1.1523107509941006)</f>
        <v>1.152310751</v>
      </c>
      <c r="AF461" s="30">
        <f>IFERROR(__xludf.DUMMYFUNCTION("""COMPUTED_VALUE"""),0.5820812250492212)</f>
        <v>0.582081225</v>
      </c>
      <c r="AG461" s="30">
        <f>IFERROR(__xludf.DUMMYFUNCTION("""COMPUTED_VALUE"""),1.4510390169033525)</f>
        <v>1.451039017</v>
      </c>
      <c r="AH461" s="30">
        <f>IFERROR(__xludf.DUMMYFUNCTION("""COMPUTED_VALUE"""),0.9382874431802425)</f>
        <v>0.9382874432</v>
      </c>
      <c r="AI461" s="30">
        <f>IFERROR(__xludf.DUMMYFUNCTION("""COMPUTED_VALUE"""),1.0604075220966585)</f>
        <v>1.060407522</v>
      </c>
      <c r="AJ461" s="30">
        <f>IFERROR(__xludf.DUMMYFUNCTION("""COMPUTED_VALUE"""),1.1259728411282175)</f>
        <v>1.125972841</v>
      </c>
      <c r="AK461" s="30">
        <f>IFERROR(__xludf.DUMMYFUNCTION("""COMPUTED_VALUE"""),1.4259880717281215)</f>
        <v>1.425988072</v>
      </c>
      <c r="AL461" s="30">
        <f>IFERROR(__xludf.DUMMYFUNCTION("""COMPUTED_VALUE"""),0.8181896518326821)</f>
        <v>0.8181896518</v>
      </c>
      <c r="AM461" s="30">
        <f>IFERROR(__xludf.DUMMYFUNCTION("""COMPUTED_VALUE"""),1.0764408227048476)</f>
        <v>1.076440823</v>
      </c>
      <c r="AN461" s="30">
        <f>IFERROR(__xludf.DUMMYFUNCTION("""COMPUTED_VALUE"""),1.1310824499869454)</f>
        <v>1.13108245</v>
      </c>
      <c r="AO461" s="30">
        <f>IFERROR(__xludf.DUMMYFUNCTION("""COMPUTED_VALUE"""),1.216502990286066)</f>
        <v>1.21650299</v>
      </c>
      <c r="AP461" s="30">
        <f>IFERROR(__xludf.DUMMYFUNCTION("""COMPUTED_VALUE"""),0.6107263657476258)</f>
        <v>0.6107263657</v>
      </c>
      <c r="AQ461" s="30">
        <f>IFERROR(__xludf.DUMMYFUNCTION("""COMPUTED_VALUE"""),1.4199983887692644)</f>
        <v>1.419998389</v>
      </c>
      <c r="AR461" s="30">
        <f>IFERROR(__xludf.DUMMYFUNCTION("""COMPUTED_VALUE"""),0.9326995840462494)</f>
        <v>0.932699584</v>
      </c>
      <c r="AS461" s="30">
        <f>IFERROR(__xludf.DUMMYFUNCTION("""COMPUTED_VALUE"""),40.0)</f>
        <v>40</v>
      </c>
      <c r="AT461" s="30">
        <f>IFERROR(__xludf.DUMMYFUNCTION("""COMPUTED_VALUE"""),0.3727455777108814)</f>
        <v>0.3727455777</v>
      </c>
      <c r="AU461" s="30">
        <f>IFERROR(__xludf.DUMMYFUNCTION("""COMPUTED_VALUE"""),2.3376126424050456)</f>
        <v>2.337612642</v>
      </c>
      <c r="AV461" s="32">
        <f>IFERROR(__xludf.DUMMYFUNCTION("""COMPUTED_VALUE"""),46.11350430695374)</f>
        <v>46.11350431</v>
      </c>
      <c r="AW461" s="32">
        <f>IFERROR(__xludf.DUMMYFUNCTION("""COMPUTED_VALUE"""),-2.2819098290802846)</f>
        <v>-2.281909829</v>
      </c>
      <c r="AX461" s="32">
        <f>IFERROR(__xludf.DUMMYFUNCTION("""COMPUTED_VALUE"""),58.21544254144812)</f>
        <v>58.21544254</v>
      </c>
      <c r="AY461" s="32">
        <f>IFERROR(__xludf.DUMMYFUNCTION("""COMPUTED_VALUE"""),2.693803444394211)</f>
        <v>2.693803444</v>
      </c>
      <c r="AZ461" s="30">
        <f>IFERROR(__xludf.DUMMYFUNCTION("""COMPUTED_VALUE"""),4.975713273474495)</f>
        <v>4.975713273</v>
      </c>
      <c r="BA461" s="30">
        <f>IFERROR(__xludf.DUMMYFUNCTION("""COMPUTED_VALUE"""),1700.0)</f>
        <v>1700</v>
      </c>
    </row>
    <row r="462">
      <c r="A462" s="71" t="str">
        <f>IFERROR(__xludf.DUMMYFUNCTION("""COMPUTED_VALUE"""),"Rival")</f>
        <v>Rival</v>
      </c>
      <c r="B462" s="71" t="str">
        <f>IFERROR(__xludf.DUMMYFUNCTION("""COMPUTED_VALUE"""),"RSC007561")</f>
        <v>RSC007561</v>
      </c>
      <c r="C462" s="30" t="str">
        <f>IFERROR(__xludf.DUMMYFUNCTION("""COMPUTED_VALUE"""),"Grabbitzz")</f>
        <v>Grabbitzz</v>
      </c>
      <c r="D462" s="30" t="str">
        <f>IFERROR(__xludf.DUMMYFUNCTION("""COMPUTED_VALUE"""),"Polar Bears")</f>
        <v>Polar Bears</v>
      </c>
      <c r="E462" s="30">
        <f>IFERROR(__xludf.DUMMYFUNCTION("""COMPUTED_VALUE"""),29.0)</f>
        <v>29</v>
      </c>
      <c r="F462" s="30">
        <f>IFERROR(__xludf.DUMMYFUNCTION("""COMPUTED_VALUE"""),15.0)</f>
        <v>15</v>
      </c>
      <c r="G462" s="42">
        <f>IFERROR(__xludf.DUMMYFUNCTION("""COMPUTED_VALUE"""),14.0)</f>
        <v>14</v>
      </c>
      <c r="H462" s="42">
        <f>IFERROR(__xludf.DUMMYFUNCTION("""COMPUTED_VALUE"""),0.5172413793103449)</f>
        <v>0.5172413793</v>
      </c>
      <c r="I462" s="42">
        <f>IFERROR(__xludf.DUMMYFUNCTION("""COMPUTED_VALUE"""),0.2894736842105263)</f>
        <v>0.2894736842</v>
      </c>
      <c r="J462" s="30">
        <f>IFERROR(__xludf.DUMMYFUNCTION("""COMPUTED_VALUE"""),318.41379310344826)</f>
        <v>318.4137931</v>
      </c>
      <c r="K462" s="30">
        <f>IFERROR(__xludf.DUMMYFUNCTION("""COMPUTED_VALUE"""),0.7586206896551724)</f>
        <v>0.7586206897</v>
      </c>
      <c r="L462" s="30">
        <f>IFERROR(__xludf.DUMMYFUNCTION("""COMPUTED_VALUE"""),0.5517241379310345)</f>
        <v>0.5517241379</v>
      </c>
      <c r="M462" s="30">
        <f>IFERROR(__xludf.DUMMYFUNCTION("""COMPUTED_VALUE"""),1.2413793103448276)</f>
        <v>1.24137931</v>
      </c>
      <c r="N462" s="30">
        <f>IFERROR(__xludf.DUMMYFUNCTION("""COMPUTED_VALUE"""),2.6206896551724137)</f>
        <v>2.620689655</v>
      </c>
      <c r="O462" s="30">
        <f>IFERROR(__xludf.DUMMYFUNCTION("""COMPUTED_VALUE"""),348.47126436781605)</f>
        <v>348.4712644</v>
      </c>
      <c r="P462" s="30">
        <f>IFERROR(__xludf.DUMMYFUNCTION("""COMPUTED_VALUE"""),0.7011494252873562)</f>
        <v>0.7011494253</v>
      </c>
      <c r="Q462" s="30">
        <f>IFERROR(__xludf.DUMMYFUNCTION("""COMPUTED_VALUE"""),0.5402298850574714)</f>
        <v>0.5402298851</v>
      </c>
      <c r="R462" s="30">
        <f>IFERROR(__xludf.DUMMYFUNCTION("""COMPUTED_VALUE"""),1.517241379310345)</f>
        <v>1.517241379</v>
      </c>
      <c r="S462" s="30">
        <f>IFERROR(__xludf.DUMMYFUNCTION("""COMPUTED_VALUE"""),2.494252873563218)</f>
        <v>2.494252874</v>
      </c>
      <c r="T462" s="30">
        <f>IFERROR(__xludf.DUMMYFUNCTION("""COMPUTED_VALUE"""),347.81770263127504)</f>
        <v>347.8177026</v>
      </c>
      <c r="U462" s="30">
        <f>IFERROR(__xludf.DUMMYFUNCTION("""COMPUTED_VALUE"""),0.7935024521394269)</f>
        <v>0.7935024521</v>
      </c>
      <c r="V462" s="30">
        <f>IFERROR(__xludf.DUMMYFUNCTION("""COMPUTED_VALUE"""),0.555074516964706)</f>
        <v>0.555074517</v>
      </c>
      <c r="W462" s="30">
        <f>IFERROR(__xludf.DUMMYFUNCTION("""COMPUTED_VALUE"""),1.3187914346704264)</f>
        <v>1.318791435</v>
      </c>
      <c r="X462" s="30">
        <f>IFERROR(__xludf.DUMMYFUNCTION("""COMPUTED_VALUE"""),2.523594686995209)</f>
        <v>2.523594687</v>
      </c>
      <c r="Y462" s="30">
        <f>IFERROR(__xludf.DUMMYFUNCTION("""COMPUTED_VALUE"""),345.1998533927785)</f>
        <v>345.1998534</v>
      </c>
      <c r="Z462" s="30">
        <f>IFERROR(__xludf.DUMMYFUNCTION("""COMPUTED_VALUE"""),0.7913040409074739)</f>
        <v>0.7913040409</v>
      </c>
      <c r="AA462" s="30">
        <f>IFERROR(__xludf.DUMMYFUNCTION("""COMPUTED_VALUE"""),0.5457613001620797)</f>
        <v>0.5457613002</v>
      </c>
      <c r="AB462" s="30">
        <f>IFERROR(__xludf.DUMMYFUNCTION("""COMPUTED_VALUE"""),1.2928128175388147)</f>
        <v>1.292812818</v>
      </c>
      <c r="AC462" s="30">
        <f>IFERROR(__xludf.DUMMYFUNCTION("""COMPUTED_VALUE"""),2.524001642495899)</f>
        <v>2.524001642</v>
      </c>
      <c r="AD462" s="30">
        <f>IFERROR(__xludf.DUMMYFUNCTION("""COMPUTED_VALUE"""),0.9224041956389469)</f>
        <v>0.9224041956</v>
      </c>
      <c r="AE462" s="30">
        <f>IFERROR(__xludf.DUMMYFUNCTION("""COMPUTED_VALUE"""),0.9586968477820232)</f>
        <v>0.9586968478</v>
      </c>
      <c r="AF462" s="30">
        <f>IFERROR(__xludf.DUMMYFUNCTION("""COMPUTED_VALUE"""),1.0109257247943084)</f>
        <v>1.010925725</v>
      </c>
      <c r="AG462" s="30">
        <f>IFERROR(__xludf.DUMMYFUNCTION("""COMPUTED_VALUE"""),0.9602158127640602)</f>
        <v>0.9602158128</v>
      </c>
      <c r="AH462" s="30">
        <f>IFERROR(__xludf.DUMMYFUNCTION("""COMPUTED_VALUE"""),1.038307428588241)</f>
        <v>1.038307429</v>
      </c>
      <c r="AI462" s="30">
        <f>IFERROR(__xludf.DUMMYFUNCTION("""COMPUTED_VALUE"""),1.001879035286579)</f>
        <v>1.001879035</v>
      </c>
      <c r="AJ462" s="30">
        <f>IFERROR(__xludf.DUMMYFUNCTION("""COMPUTED_VALUE"""),0.8836134323176064)</f>
        <v>0.8836134323</v>
      </c>
      <c r="AK462" s="30">
        <f>IFERROR(__xludf.DUMMYFUNCTION("""COMPUTED_VALUE"""),0.9732565061923416)</f>
        <v>0.9732565062</v>
      </c>
      <c r="AL462" s="30">
        <f>IFERROR(__xludf.DUMMYFUNCTION("""COMPUTED_VALUE"""),1.1504786423559934)</f>
        <v>1.150478642</v>
      </c>
      <c r="AM462" s="30">
        <f>IFERROR(__xludf.DUMMYFUNCTION("""COMPUTED_VALUE"""),0.9883730087152278)</f>
        <v>0.9883730087</v>
      </c>
      <c r="AN462" s="30">
        <f>IFERROR(__xludf.DUMMYFUNCTION("""COMPUTED_VALUE"""),0.9390610029146731)</f>
        <v>0.9390610029</v>
      </c>
      <c r="AO462" s="30">
        <f>IFERROR(__xludf.DUMMYFUNCTION("""COMPUTED_VALUE"""),1.0200079519276997)</f>
        <v>1.020007952</v>
      </c>
      <c r="AP462" s="30">
        <f>IFERROR(__xludf.DUMMYFUNCTION("""COMPUTED_VALUE"""),1.0108574329615876)</f>
        <v>1.010857433</v>
      </c>
      <c r="AQ462" s="30">
        <f>IFERROR(__xludf.DUMMYFUNCTION("""COMPUTED_VALUE"""),0.9491766418298532)</f>
        <v>0.9491766418</v>
      </c>
      <c r="AR462" s="30">
        <f>IFERROR(__xludf.DUMMYFUNCTION("""COMPUTED_VALUE"""),1.0475640648401223)</f>
        <v>1.047564065</v>
      </c>
      <c r="AS462" s="30">
        <f>IFERROR(__xludf.DUMMYFUNCTION("""COMPUTED_VALUE"""),71.0)</f>
        <v>71</v>
      </c>
      <c r="AT462" s="30">
        <f>IFERROR(__xludf.DUMMYFUNCTION("""COMPUTED_VALUE"""),0.5583634939372826)</f>
        <v>0.5583634939</v>
      </c>
      <c r="AU462" s="30">
        <f>IFERROR(__xludf.DUMMYFUNCTION("""COMPUTED_VALUE"""),2.5838078200210894)</f>
        <v>2.58380782</v>
      </c>
      <c r="AV462" s="32">
        <f>IFERROR(__xludf.DUMMYFUNCTION("""COMPUTED_VALUE"""),53.16206606592716)</f>
        <v>53.16206607</v>
      </c>
      <c r="AW462" s="32">
        <f>IFERROR(__xludf.DUMMYFUNCTION("""COMPUTED_VALUE"""),2.2238285977263605)</f>
        <v>2.223828598</v>
      </c>
      <c r="AX462" s="32">
        <f>IFERROR(__xludf.DUMMYFUNCTION("""COMPUTED_VALUE"""),41.39069158430372)</f>
        <v>41.39069158</v>
      </c>
      <c r="AY462" s="32">
        <f>IFERROR(__xludf.DUMMYFUNCTION("""COMPUTED_VALUE"""),-2.73760235975422)</f>
        <v>-2.73760236</v>
      </c>
      <c r="AZ462" s="30">
        <f>IFERROR(__xludf.DUMMYFUNCTION("""COMPUTED_VALUE"""),4.96143095748058)</f>
        <v>4.961430957</v>
      </c>
      <c r="BA462" s="30">
        <f>IFERROR(__xludf.DUMMYFUNCTION("""COMPUTED_VALUE"""),1700.0)</f>
        <v>1700</v>
      </c>
    </row>
    <row r="463">
      <c r="A463" s="71" t="str">
        <f>IFERROR(__xludf.DUMMYFUNCTION("""COMPUTED_VALUE"""),"Rival")</f>
        <v>Rival</v>
      </c>
      <c r="B463" s="71" t="str">
        <f>IFERROR(__xludf.DUMMYFUNCTION("""COMPUTED_VALUE"""),"RSC006748")</f>
        <v>RSC006748</v>
      </c>
      <c r="C463" s="30" t="str">
        <f>IFERROR(__xludf.DUMMYFUNCTION("""COMPUTED_VALUE"""),"Llamaboy101")</f>
        <v>Llamaboy101</v>
      </c>
      <c r="D463" s="30" t="str">
        <f>IFERROR(__xludf.DUMMYFUNCTION("""COMPUTED_VALUE"""),"Wind")</f>
        <v>Wind</v>
      </c>
      <c r="E463" s="30">
        <f>IFERROR(__xludf.DUMMYFUNCTION("""COMPUTED_VALUE"""),32.0)</f>
        <v>32</v>
      </c>
      <c r="F463" s="30">
        <f>IFERROR(__xludf.DUMMYFUNCTION("""COMPUTED_VALUE"""),17.0)</f>
        <v>17</v>
      </c>
      <c r="G463" s="42">
        <f>IFERROR(__xludf.DUMMYFUNCTION("""COMPUTED_VALUE"""),15.0)</f>
        <v>15</v>
      </c>
      <c r="H463" s="42">
        <f>IFERROR(__xludf.DUMMYFUNCTION("""COMPUTED_VALUE"""),0.53125)</f>
        <v>0.53125</v>
      </c>
      <c r="I463" s="42">
        <f>IFERROR(__xludf.DUMMYFUNCTION("""COMPUTED_VALUE"""),0.36764705882352944)</f>
        <v>0.3676470588</v>
      </c>
      <c r="J463" s="30">
        <f>IFERROR(__xludf.DUMMYFUNCTION("""COMPUTED_VALUE"""),335.5)</f>
        <v>335.5</v>
      </c>
      <c r="K463" s="30">
        <f>IFERROR(__xludf.DUMMYFUNCTION("""COMPUTED_VALUE"""),0.78125)</f>
        <v>0.78125</v>
      </c>
      <c r="L463" s="30">
        <f>IFERROR(__xludf.DUMMYFUNCTION("""COMPUTED_VALUE"""),0.875)</f>
        <v>0.875</v>
      </c>
      <c r="M463" s="30">
        <f>IFERROR(__xludf.DUMMYFUNCTION("""COMPUTED_VALUE"""),1.125)</f>
        <v>1.125</v>
      </c>
      <c r="N463" s="30">
        <f>IFERROR(__xludf.DUMMYFUNCTION("""COMPUTED_VALUE"""),2.125)</f>
        <v>2.125</v>
      </c>
      <c r="O463" s="30">
        <f>IFERROR(__xludf.DUMMYFUNCTION("""COMPUTED_VALUE"""),337.4270833333333)</f>
        <v>337.4270833</v>
      </c>
      <c r="P463" s="30">
        <f>IFERROR(__xludf.DUMMYFUNCTION("""COMPUTED_VALUE"""),0.7291666666666665)</f>
        <v>0.7291666667</v>
      </c>
      <c r="Q463" s="30">
        <f>IFERROR(__xludf.DUMMYFUNCTION("""COMPUTED_VALUE"""),0.5208333333333334)</f>
        <v>0.5208333333</v>
      </c>
      <c r="R463" s="30">
        <f>IFERROR(__xludf.DUMMYFUNCTION("""COMPUTED_VALUE"""),1.2916666666666667)</f>
        <v>1.291666667</v>
      </c>
      <c r="S463" s="30">
        <f>IFERROR(__xludf.DUMMYFUNCTION("""COMPUTED_VALUE"""),2.635416666666667)</f>
        <v>2.635416667</v>
      </c>
      <c r="T463" s="30">
        <f>IFERROR(__xludf.DUMMYFUNCTION("""COMPUTED_VALUE"""),339.4520236192229)</f>
        <v>339.4520236</v>
      </c>
      <c r="U463" s="30">
        <f>IFERROR(__xludf.DUMMYFUNCTION("""COMPUTED_VALUE"""),0.7514993469742468)</f>
        <v>0.751499347</v>
      </c>
      <c r="V463" s="30">
        <f>IFERROR(__xludf.DUMMYFUNCTION("""COMPUTED_VALUE"""),0.5210756740825533)</f>
        <v>0.5210756741</v>
      </c>
      <c r="W463" s="30">
        <f>IFERROR(__xludf.DUMMYFUNCTION("""COMPUTED_VALUE"""),1.3143820687356877)</f>
        <v>1.314382069</v>
      </c>
      <c r="X463" s="30">
        <f>IFERROR(__xludf.DUMMYFUNCTION("""COMPUTED_VALUE"""),2.5670546898563793)</f>
        <v>2.56705469</v>
      </c>
      <c r="Y463" s="30">
        <f>IFERROR(__xludf.DUMMYFUNCTION("""COMPUTED_VALUE"""),356.94854942199305)</f>
        <v>356.9485494</v>
      </c>
      <c r="Z463" s="30">
        <f>IFERROR(__xludf.DUMMYFUNCTION("""COMPUTED_VALUE"""),0.8486662508450689)</f>
        <v>0.8486662508</v>
      </c>
      <c r="AA463" s="30">
        <f>IFERROR(__xludf.DUMMYFUNCTION("""COMPUTED_VALUE"""),0.5920803200841358)</f>
        <v>0.5920803201</v>
      </c>
      <c r="AB463" s="30">
        <f>IFERROR(__xludf.DUMMYFUNCTION("""COMPUTED_VALUE"""),1.3402445217626087)</f>
        <v>1.340244522</v>
      </c>
      <c r="AC463" s="30">
        <f>IFERROR(__xludf.DUMMYFUNCTION("""COMPUTED_VALUE"""),2.615253074827285)</f>
        <v>2.615253075</v>
      </c>
      <c r="AD463" s="30">
        <f>IFERROR(__xludf.DUMMYFUNCTION("""COMPUTED_VALUE"""),0.9399113697009703)</f>
        <v>0.9399113697</v>
      </c>
      <c r="AE463" s="30">
        <f>IFERROR(__xludf.DUMMYFUNCTION("""COMPUTED_VALUE"""),0.9205621164056679)</f>
        <v>0.9205621164</v>
      </c>
      <c r="AF463" s="30">
        <f>IFERROR(__xludf.DUMMYFUNCTION("""COMPUTED_VALUE"""),1.4778400333854378)</f>
        <v>1.477840033</v>
      </c>
      <c r="AG463" s="30">
        <f>IFERROR(__xludf.DUMMYFUNCTION("""COMPUTED_VALUE"""),0.8393990661647831)</f>
        <v>0.8393990662</v>
      </c>
      <c r="AH463" s="30">
        <f>IFERROR(__xludf.DUMMYFUNCTION("""COMPUTED_VALUE"""),0.8125408666770569)</f>
        <v>0.8125408667</v>
      </c>
      <c r="AI463" s="30">
        <f>IFERROR(__xludf.DUMMYFUNCTION("""COMPUTED_VALUE"""),0.9940346789973447)</f>
        <v>0.994034679</v>
      </c>
      <c r="AJ463" s="30">
        <f>IFERROR(__xludf.DUMMYFUNCTION("""COMPUTED_VALUE"""),0.9702825020440828)</f>
        <v>0.970282502</v>
      </c>
      <c r="AK463" s="30">
        <f>IFERROR(__xludf.DUMMYFUNCTION("""COMPUTED_VALUE"""),0.9995349221595374)</f>
        <v>0.9995349222</v>
      </c>
      <c r="AL463" s="30">
        <f>IFERROR(__xludf.DUMMYFUNCTION("""COMPUTED_VALUE"""),0.982717808916192)</f>
        <v>0.9827178089</v>
      </c>
      <c r="AM463" s="30">
        <f>IFERROR(__xludf.DUMMYFUNCTION("""COMPUTED_VALUE"""),1.026630510475845)</f>
        <v>1.02663051</v>
      </c>
      <c r="AN463" s="30">
        <f>IFERROR(__xludf.DUMMYFUNCTION("""COMPUTED_VALUE"""),0.9894513783688881)</f>
        <v>0.9894513784</v>
      </c>
      <c r="AO463" s="30">
        <f>IFERROR(__xludf.DUMMYFUNCTION("""COMPUTED_VALUE"""),1.0504343254937247)</f>
        <v>1.050434325</v>
      </c>
      <c r="AP463" s="30">
        <f>IFERROR(__xludf.DUMMYFUNCTION("""COMPUTED_VALUE"""),1.603156710087518)</f>
        <v>1.60315671</v>
      </c>
      <c r="AQ463" s="30">
        <f>IFERROR(__xludf.DUMMYFUNCTION("""COMPUTED_VALUE"""),0.8601913316583044)</f>
        <v>0.8601913317</v>
      </c>
      <c r="AR463" s="30">
        <f>IFERROR(__xludf.DUMMYFUNCTION("""COMPUTED_VALUE"""),0.8494228354706914)</f>
        <v>0.8494228355</v>
      </c>
      <c r="AS463" s="30">
        <f>IFERROR(__xludf.DUMMYFUNCTION("""COMPUTED_VALUE"""),85.0)</f>
        <v>85</v>
      </c>
      <c r="AT463" s="30">
        <f>IFERROR(__xludf.DUMMYFUNCTION("""COMPUTED_VALUE"""),0.575749858330669)</f>
        <v>0.5757498583</v>
      </c>
      <c r="AU463" s="30">
        <f>IFERROR(__xludf.DUMMYFUNCTION("""COMPUTED_VALUE"""),2.792321640716116)</f>
        <v>2.792321641</v>
      </c>
      <c r="AV463" s="32">
        <f>IFERROR(__xludf.DUMMYFUNCTION("""COMPUTED_VALUE"""),59.131811521545)</f>
        <v>59.13181152</v>
      </c>
      <c r="AW463" s="32">
        <f>IFERROR(__xludf.DUMMYFUNCTION("""COMPUTED_VALUE"""),2.797562632950032)</f>
        <v>2.797562633</v>
      </c>
      <c r="AX463" s="32">
        <f>IFERROR(__xludf.DUMMYFUNCTION("""COMPUTED_VALUE"""),48.12923129715946)</f>
        <v>48.1292313</v>
      </c>
      <c r="AY463" s="32">
        <f>IFERROR(__xludf.DUMMYFUNCTION("""COMPUTED_VALUE"""),-2.1268690648894806)</f>
        <v>-2.126869065</v>
      </c>
      <c r="AZ463" s="30">
        <f>IFERROR(__xludf.DUMMYFUNCTION("""COMPUTED_VALUE"""),4.924431697839513)</f>
        <v>4.924431698</v>
      </c>
      <c r="BA463" s="30">
        <f>IFERROR(__xludf.DUMMYFUNCTION("""COMPUTED_VALUE"""),1700.0)</f>
        <v>1700</v>
      </c>
    </row>
    <row r="464">
      <c r="A464" s="71" t="str">
        <f>IFERROR(__xludf.DUMMYFUNCTION("""COMPUTED_VALUE"""),"Rival")</f>
        <v>Rival</v>
      </c>
      <c r="B464" s="71" t="str">
        <f>IFERROR(__xludf.DUMMYFUNCTION("""COMPUTED_VALUE"""),"RSC003320")</f>
        <v>RSC003320</v>
      </c>
      <c r="C464" s="30" t="str">
        <f>IFERROR(__xludf.DUMMYFUNCTION("""COMPUTED_VALUE"""),"jojomojo13")</f>
        <v>jojomojo13</v>
      </c>
      <c r="D464" s="30"/>
      <c r="E464" s="30">
        <f>IFERROR(__xludf.DUMMYFUNCTION("""COMPUTED_VALUE"""),4.0)</f>
        <v>4</v>
      </c>
      <c r="F464" s="30">
        <f>IFERROR(__xludf.DUMMYFUNCTION("""COMPUTED_VALUE"""),0.0)</f>
        <v>0</v>
      </c>
      <c r="G464" s="42">
        <f>IFERROR(__xludf.DUMMYFUNCTION("""COMPUTED_VALUE"""),4.0)</f>
        <v>4</v>
      </c>
      <c r="H464" s="42">
        <f>IFERROR(__xludf.DUMMYFUNCTION("""COMPUTED_VALUE"""),0.0)</f>
        <v>0</v>
      </c>
      <c r="I464" s="42">
        <f>IFERROR(__xludf.DUMMYFUNCTION("""COMPUTED_VALUE"""),0.2727272727272727)</f>
        <v>0.2727272727</v>
      </c>
      <c r="J464" s="30">
        <f>IFERROR(__xludf.DUMMYFUNCTION("""COMPUTED_VALUE"""),404.25)</f>
        <v>404.25</v>
      </c>
      <c r="K464" s="30">
        <f>IFERROR(__xludf.DUMMYFUNCTION("""COMPUTED_VALUE"""),0.75)</f>
        <v>0.75</v>
      </c>
      <c r="L464" s="30">
        <f>IFERROR(__xludf.DUMMYFUNCTION("""COMPUTED_VALUE"""),0.5)</f>
        <v>0.5</v>
      </c>
      <c r="M464" s="30">
        <f>IFERROR(__xludf.DUMMYFUNCTION("""COMPUTED_VALUE"""),1.75)</f>
        <v>1.75</v>
      </c>
      <c r="N464" s="30">
        <f>IFERROR(__xludf.DUMMYFUNCTION("""COMPUTED_VALUE"""),2.75)</f>
        <v>2.75</v>
      </c>
      <c r="O464" s="30">
        <f>IFERROR(__xludf.DUMMYFUNCTION("""COMPUTED_VALUE"""),434.1666666666667)</f>
        <v>434.1666667</v>
      </c>
      <c r="P464" s="30">
        <f>IFERROR(__xludf.DUMMYFUNCTION("""COMPUTED_VALUE"""),1.0833333333333333)</f>
        <v>1.083333333</v>
      </c>
      <c r="Q464" s="30">
        <f>IFERROR(__xludf.DUMMYFUNCTION("""COMPUTED_VALUE"""),0.75)</f>
        <v>0.75</v>
      </c>
      <c r="R464" s="30">
        <f>IFERROR(__xludf.DUMMYFUNCTION("""COMPUTED_VALUE"""),1.5833333333333333)</f>
        <v>1.583333333</v>
      </c>
      <c r="S464" s="30">
        <f>IFERROR(__xludf.DUMMYFUNCTION("""COMPUTED_VALUE"""),3.666666666666667)</f>
        <v>3.666666667</v>
      </c>
      <c r="T464" s="30">
        <f>IFERROR(__xludf.DUMMYFUNCTION("""COMPUTED_VALUE"""),397.60398363479754)</f>
        <v>397.6039836</v>
      </c>
      <c r="U464" s="30">
        <f>IFERROR(__xludf.DUMMYFUNCTION("""COMPUTED_VALUE"""),1.0064491817398795)</f>
        <v>1.006449182</v>
      </c>
      <c r="V464" s="30">
        <f>IFERROR(__xludf.DUMMYFUNCTION("""COMPUTED_VALUE"""),0.7042204995693367)</f>
        <v>0.7042204996</v>
      </c>
      <c r="W464" s="30">
        <f>IFERROR(__xludf.DUMMYFUNCTION("""COMPUTED_VALUE"""),1.4902993109388456)</f>
        <v>1.490299311</v>
      </c>
      <c r="X464" s="30">
        <f>IFERROR(__xludf.DUMMYFUNCTION("""COMPUTED_VALUE"""),3.026087424633937)</f>
        <v>3.026087425</v>
      </c>
      <c r="Y464" s="30">
        <f>IFERROR(__xludf.DUMMYFUNCTION("""COMPUTED_VALUE"""),332.8451837496412)</f>
        <v>332.8451837</v>
      </c>
      <c r="Z464" s="30">
        <f>IFERROR(__xludf.DUMMYFUNCTION("""COMPUTED_VALUE"""),0.6490381854722939)</f>
        <v>0.6490381855</v>
      </c>
      <c r="AA464" s="30">
        <f>IFERROR(__xludf.DUMMYFUNCTION("""COMPUTED_VALUE"""),0.48736721217341367)</f>
        <v>0.4873672122</v>
      </c>
      <c r="AB464" s="30">
        <f>IFERROR(__xludf.DUMMYFUNCTION("""COMPUTED_VALUE"""),1.4236398219925352)</f>
        <v>1.423639822</v>
      </c>
      <c r="AC464" s="30">
        <f>IFERROR(__xludf.DUMMYFUNCTION("""COMPUTED_VALUE"""),2.711767872523686)</f>
        <v>2.711767873</v>
      </c>
      <c r="AD464" s="30">
        <f>IFERROR(__xludf.DUMMYFUNCTION("""COMPUTED_VALUE"""),1.2145286149132564)</f>
        <v>1.214528615</v>
      </c>
      <c r="AE464" s="30">
        <f>IFERROR(__xludf.DUMMYFUNCTION("""COMPUTED_VALUE"""),1.1555560470671506)</f>
        <v>1.155556047</v>
      </c>
      <c r="AF464" s="30">
        <f>IFERROR(__xludf.DUMMYFUNCTION("""COMPUTED_VALUE"""),1.0259204712812962)</f>
        <v>1.025920471</v>
      </c>
      <c r="AG464" s="30">
        <f>IFERROR(__xludf.DUMMYFUNCTION("""COMPUTED_VALUE"""),1.2292435017381635)</f>
        <v>1.229243502</v>
      </c>
      <c r="AH464" s="30">
        <f>IFERROR(__xludf.DUMMYFUNCTION("""COMPUTED_VALUE"""),1.0140985988748121)</f>
        <v>1.014098599</v>
      </c>
      <c r="AI464" s="30">
        <f>IFERROR(__xludf.DUMMYFUNCTION("""COMPUTED_VALUE"""),1.0919575369884933)</f>
        <v>1.091957537</v>
      </c>
      <c r="AJ464" s="30">
        <f>IFERROR(__xludf.DUMMYFUNCTION("""COMPUTED_VALUE"""),1.0763914889975286)</f>
        <v>1.076391489</v>
      </c>
      <c r="AK464" s="30">
        <f>IFERROR(__xludf.DUMMYFUNCTION("""COMPUTED_VALUE"""),1.0650073385518593)</f>
        <v>1.065007339</v>
      </c>
      <c r="AL464" s="30">
        <f>IFERROR(__xludf.DUMMYFUNCTION("""COMPUTED_VALUE"""),1.0624264009998627)</f>
        <v>1.062426401</v>
      </c>
      <c r="AM464" s="30">
        <f>IFERROR(__xludf.DUMMYFUNCTION("""COMPUTED_VALUE"""),1.2116856363164128)</f>
        <v>1.211685636</v>
      </c>
      <c r="AN464" s="30">
        <f>IFERROR(__xludf.DUMMYFUNCTION("""COMPUTED_VALUE"""),1.1922078083625127)</f>
        <v>1.192207808</v>
      </c>
      <c r="AO464" s="30">
        <f>IFERROR(__xludf.DUMMYFUNCTION("""COMPUTED_VALUE"""),1.0084169524739757)</f>
        <v>1.008416952</v>
      </c>
      <c r="AP464" s="30">
        <f>IFERROR(__xludf.DUMMYFUNCTION("""COMPUTED_VALUE"""),0.9160895486214388)</f>
        <v>0.9160895486</v>
      </c>
      <c r="AQ464" s="30">
        <f>IFERROR(__xludf.DUMMYFUNCTION("""COMPUTED_VALUE"""),1.3380754048018069)</f>
        <v>1.338075405</v>
      </c>
      <c r="AR464" s="30">
        <f>IFERROR(__xludf.DUMMYFUNCTION("""COMPUTED_VALUE"""),1.0992530811973653)</f>
        <v>1.099253081</v>
      </c>
      <c r="AS464" s="30">
        <f>IFERROR(__xludf.DUMMYFUNCTION("""COMPUTED_VALUE"""),6.0)</f>
        <v>6</v>
      </c>
      <c r="AT464" s="30">
        <f>IFERROR(__xludf.DUMMYFUNCTION("""COMPUTED_VALUE"""),0.2298430792925465)</f>
        <v>0.2298430793</v>
      </c>
      <c r="AU464" s="30">
        <f>IFERROR(__xludf.DUMMYFUNCTION("""COMPUTED_VALUE"""),2.7632298661786168)</f>
        <v>2.763229866</v>
      </c>
      <c r="AV464" s="32">
        <f>IFERROR(__xludf.DUMMYFUNCTION("""COMPUTED_VALUE"""),58.29891474634704)</f>
        <v>58.29891475</v>
      </c>
      <c r="AW464" s="32">
        <f>IFERROR(__xludf.DUMMYFUNCTION("""COMPUTED_VALUE"""),2.702987472290926)</f>
        <v>2.702987472</v>
      </c>
      <c r="AX464" s="32">
        <f>IFERROR(__xludf.DUMMYFUNCTION("""COMPUTED_VALUE"""),46.923569280993604)</f>
        <v>46.92356928</v>
      </c>
      <c r="AY464" s="32">
        <f>IFERROR(__xludf.DUMMYFUNCTION("""COMPUTED_VALUE"""),-2.217143042419047)</f>
        <v>-2.217143042</v>
      </c>
      <c r="AZ464" s="30">
        <f>IFERROR(__xludf.DUMMYFUNCTION("""COMPUTED_VALUE"""),4.920130514709973)</f>
        <v>4.920130515</v>
      </c>
      <c r="BA464" s="30">
        <f>IFERROR(__xludf.DUMMYFUNCTION("""COMPUTED_VALUE"""),1700.0)</f>
        <v>1700</v>
      </c>
    </row>
    <row r="465">
      <c r="A465" s="71" t="str">
        <f>IFERROR(__xludf.DUMMYFUNCTION("""COMPUTED_VALUE"""),"Rival")</f>
        <v>Rival</v>
      </c>
      <c r="B465" s="71" t="str">
        <f>IFERROR(__xludf.DUMMYFUNCTION("""COMPUTED_VALUE"""),"RSC006086")</f>
        <v>RSC006086</v>
      </c>
      <c r="C465" s="30" t="str">
        <f>IFERROR(__xludf.DUMMYFUNCTION("""COMPUTED_VALUE"""),"13o0k")</f>
        <v>13o0k</v>
      </c>
      <c r="D465" s="30" t="str">
        <f>IFERROR(__xludf.DUMMYFUNCTION("""COMPUTED_VALUE"""),"Kitsune")</f>
        <v>Kitsune</v>
      </c>
      <c r="E465" s="30">
        <f>IFERROR(__xludf.DUMMYFUNCTION("""COMPUTED_VALUE"""),36.0)</f>
        <v>36</v>
      </c>
      <c r="F465" s="30">
        <f>IFERROR(__xludf.DUMMYFUNCTION("""COMPUTED_VALUE"""),19.0)</f>
        <v>19</v>
      </c>
      <c r="G465" s="42">
        <f>IFERROR(__xludf.DUMMYFUNCTION("""COMPUTED_VALUE"""),17.0)</f>
        <v>17</v>
      </c>
      <c r="H465" s="42">
        <f>IFERROR(__xludf.DUMMYFUNCTION("""COMPUTED_VALUE"""),0.5277777777777778)</f>
        <v>0.5277777778</v>
      </c>
      <c r="I465" s="42">
        <f>IFERROR(__xludf.DUMMYFUNCTION("""COMPUTED_VALUE"""),0.23157894736842108)</f>
        <v>0.2315789474</v>
      </c>
      <c r="J465" s="30">
        <f>IFERROR(__xludf.DUMMYFUNCTION("""COMPUTED_VALUE"""),345.3333333333333)</f>
        <v>345.3333333</v>
      </c>
      <c r="K465" s="30">
        <f>IFERROR(__xludf.DUMMYFUNCTION("""COMPUTED_VALUE"""),0.6111111111111112)</f>
        <v>0.6111111111</v>
      </c>
      <c r="L465" s="30">
        <f>IFERROR(__xludf.DUMMYFUNCTION("""COMPUTED_VALUE"""),0.5277777777777778)</f>
        <v>0.5277777778</v>
      </c>
      <c r="M465" s="30">
        <f>IFERROR(__xludf.DUMMYFUNCTION("""COMPUTED_VALUE"""),1.3333333333333333)</f>
        <v>1.333333333</v>
      </c>
      <c r="N465" s="30">
        <f>IFERROR(__xludf.DUMMYFUNCTION("""COMPUTED_VALUE"""),2.638888888888889)</f>
        <v>2.638888889</v>
      </c>
      <c r="O465" s="30">
        <f>IFERROR(__xludf.DUMMYFUNCTION("""COMPUTED_VALUE"""),334.1481481481481)</f>
        <v>334.1481481</v>
      </c>
      <c r="P465" s="30">
        <f>IFERROR(__xludf.DUMMYFUNCTION("""COMPUTED_VALUE"""),0.7037037037037037)</f>
        <v>0.7037037037</v>
      </c>
      <c r="Q465" s="30">
        <f>IFERROR(__xludf.DUMMYFUNCTION("""COMPUTED_VALUE"""),0.4907407407407406)</f>
        <v>0.4907407407</v>
      </c>
      <c r="R465" s="30">
        <f>IFERROR(__xludf.DUMMYFUNCTION("""COMPUTED_VALUE"""),1.2962962962962965)</f>
        <v>1.296296296</v>
      </c>
      <c r="S465" s="30">
        <f>IFERROR(__xludf.DUMMYFUNCTION("""COMPUTED_VALUE"""),2.3425925925925926)</f>
        <v>2.342592593</v>
      </c>
      <c r="T465" s="30">
        <f>IFERROR(__xludf.DUMMYFUNCTION("""COMPUTED_VALUE"""),340.06032237769404)</f>
        <v>340.0603224</v>
      </c>
      <c r="U465" s="30">
        <f>IFERROR(__xludf.DUMMYFUNCTION("""COMPUTED_VALUE"""),0.7841606586864249)</f>
        <v>0.7841606587</v>
      </c>
      <c r="V465" s="30">
        <f>IFERROR(__xludf.DUMMYFUNCTION("""COMPUTED_VALUE"""),0.5370295768103985)</f>
        <v>0.5370295768</v>
      </c>
      <c r="W465" s="30">
        <f>IFERROR(__xludf.DUMMYFUNCTION("""COMPUTED_VALUE"""),1.2857391625407333)</f>
        <v>1.285739163</v>
      </c>
      <c r="X465" s="30">
        <f>IFERROR(__xludf.DUMMYFUNCTION("""COMPUTED_VALUE"""),2.4641228614818607)</f>
        <v>2.464122861</v>
      </c>
      <c r="Y465" s="30">
        <f>IFERROR(__xludf.DUMMYFUNCTION("""COMPUTED_VALUE"""),344.02465449594195)</f>
        <v>344.0246545</v>
      </c>
      <c r="Z465" s="30">
        <f>IFERROR(__xludf.DUMMYFUNCTION("""COMPUTED_VALUE"""),0.779928117276818)</f>
        <v>0.7799281173</v>
      </c>
      <c r="AA465" s="30">
        <f>IFERROR(__xludf.DUMMYFUNCTION("""COMPUTED_VALUE"""),0.5456188371870633)</f>
        <v>0.5456188372</v>
      </c>
      <c r="AB465" s="30">
        <f>IFERROR(__xludf.DUMMYFUNCTION("""COMPUTED_VALUE"""),1.3096235061765762)</f>
        <v>1.309623506</v>
      </c>
      <c r="AC465" s="30">
        <f>IFERROR(__xludf.DUMMYFUNCTION("""COMPUTED_VALUE"""),2.532471837755004)</f>
        <v>2.532471838</v>
      </c>
      <c r="AD465" s="30">
        <f>IFERROR(__xludf.DUMMYFUNCTION("""COMPUTED_VALUE"""),1.0038040263111632)</f>
        <v>1.003804026</v>
      </c>
      <c r="AE465" s="30">
        <f>IFERROR(__xludf.DUMMYFUNCTION("""COMPUTED_VALUE"""),0.7835479931725695)</f>
        <v>0.7835479932</v>
      </c>
      <c r="AF465" s="30">
        <f>IFERROR(__xludf.DUMMYFUNCTION("""COMPUTED_VALUE"""),0.9673012399988515)</f>
        <v>0.96730124</v>
      </c>
      <c r="AG465" s="30">
        <f>IFERROR(__xludf.DUMMYFUNCTION("""COMPUTED_VALUE"""),1.0181043078754577)</f>
        <v>1.018104308</v>
      </c>
      <c r="AH465" s="30">
        <f>IFERROR(__xludf.DUMMYFUNCTION("""COMPUTED_VALUE"""),1.042021020548928)</f>
        <v>1.042021021</v>
      </c>
      <c r="AI465" s="30">
        <f>IFERROR(__xludf.DUMMYFUNCTION("""COMPUTED_VALUE"""),0.9826143368088104)</f>
        <v>0.9826143368</v>
      </c>
      <c r="AJ465" s="30">
        <f>IFERROR(__xludf.DUMMYFUNCTION("""COMPUTED_VALUE"""),0.8973973584475693)</f>
        <v>0.8973973584</v>
      </c>
      <c r="AK465" s="30">
        <f>IFERROR(__xludf.DUMMYFUNCTION("""COMPUTED_VALUE"""),0.913805797541761)</f>
        <v>0.9138057975</v>
      </c>
      <c r="AL465" s="30">
        <f>IFERROR(__xludf.DUMMYFUNCTION("""COMPUTED_VALUE"""),1.0082109451614598)</f>
        <v>1.008210945</v>
      </c>
      <c r="AM465" s="30">
        <f>IFERROR(__xludf.DUMMYFUNCTION("""COMPUTED_VALUE"""),0.950680109831787)</f>
        <v>0.9506801098</v>
      </c>
      <c r="AN465" s="30">
        <f>IFERROR(__xludf.DUMMYFUNCTION("""COMPUTED_VALUE"""),1.0184516919922186)</f>
        <v>1.018451692</v>
      </c>
      <c r="AO465" s="30">
        <f>IFERROR(__xludf.DUMMYFUNCTION("""COMPUTED_VALUE"""),0.8216730723862026)</f>
        <v>0.8216730724</v>
      </c>
      <c r="AP465" s="30">
        <f>IFERROR(__xludf.DUMMYFUNCTION("""COMPUTED_VALUE"""),0.966983412433741)</f>
        <v>0.9669834124</v>
      </c>
      <c r="AQ465" s="30">
        <f>IFERROR(__xludf.DUMMYFUNCTION("""COMPUTED_VALUE"""),1.0194860227061384)</f>
        <v>1.019486023</v>
      </c>
      <c r="AR465" s="30">
        <f>IFERROR(__xludf.DUMMYFUNCTION("""COMPUTED_VALUE"""),1.0548388152904011)</f>
        <v>1.054838815</v>
      </c>
      <c r="AS465" s="30">
        <f>IFERROR(__xludf.DUMMYFUNCTION("""COMPUTED_VALUE"""),75.0)</f>
        <v>75</v>
      </c>
      <c r="AT465" s="30">
        <f>IFERROR(__xludf.DUMMYFUNCTION("""COMPUTED_VALUE"""),0.49500319370800416)</f>
        <v>0.4950031937</v>
      </c>
      <c r="AU465" s="30">
        <f>IFERROR(__xludf.DUMMYFUNCTION("""COMPUTED_VALUE"""),2.452572742263932)</f>
        <v>2.452572742</v>
      </c>
      <c r="AV465" s="32">
        <f>IFERROR(__xludf.DUMMYFUNCTION("""COMPUTED_VALUE"""),49.40480908196777)</f>
        <v>49.40480908</v>
      </c>
      <c r="AW465" s="32">
        <f>IFERROR(__xludf.DUMMYFUNCTION("""COMPUTED_VALUE"""),-2.038723413527556)</f>
        <v>-2.038723414</v>
      </c>
      <c r="AX465" s="32">
        <f>IFERROR(__xludf.DUMMYFUNCTION("""COMPUTED_VALUE"""),59.39716976960167)</f>
        <v>59.39716977</v>
      </c>
      <c r="AY465" s="32">
        <f>IFERROR(__xludf.DUMMYFUNCTION("""COMPUTED_VALUE"""),2.8288500685347224)</f>
        <v>2.828850069</v>
      </c>
      <c r="AZ465" s="30">
        <f>IFERROR(__xludf.DUMMYFUNCTION("""COMPUTED_VALUE"""),4.867573482062278)</f>
        <v>4.867573482</v>
      </c>
      <c r="BA465" s="30">
        <f>IFERROR(__xludf.DUMMYFUNCTION("""COMPUTED_VALUE"""),1700.0)</f>
        <v>1700</v>
      </c>
    </row>
    <row r="466">
      <c r="A466" s="71" t="str">
        <f>IFERROR(__xludf.DUMMYFUNCTION("""COMPUTED_VALUE"""),"Rival")</f>
        <v>Rival</v>
      </c>
      <c r="B466" s="71" t="str">
        <f>IFERROR(__xludf.DUMMYFUNCTION("""COMPUTED_VALUE"""),"RSC002204")</f>
        <v>RSC002204</v>
      </c>
      <c r="C466" s="30" t="str">
        <f>IFERROR(__xludf.DUMMYFUNCTION("""COMPUTED_VALUE"""),"Mr.Numb3rz")</f>
        <v>Mr.Numb3rz</v>
      </c>
      <c r="D466" s="30"/>
      <c r="E466" s="30">
        <f>IFERROR(__xludf.DUMMYFUNCTION("""COMPUTED_VALUE"""),6.0)</f>
        <v>6</v>
      </c>
      <c r="F466" s="30">
        <f>IFERROR(__xludf.DUMMYFUNCTION("""COMPUTED_VALUE"""),2.0)</f>
        <v>2</v>
      </c>
      <c r="G466" s="42">
        <f>IFERROR(__xludf.DUMMYFUNCTION("""COMPUTED_VALUE"""),4.0)</f>
        <v>4</v>
      </c>
      <c r="H466" s="42">
        <f>IFERROR(__xludf.DUMMYFUNCTION("""COMPUTED_VALUE"""),0.3333333333333333)</f>
        <v>0.3333333333</v>
      </c>
      <c r="I466" s="42">
        <f>IFERROR(__xludf.DUMMYFUNCTION("""COMPUTED_VALUE"""),0.2)</f>
        <v>0.2</v>
      </c>
      <c r="J466" s="30">
        <f>IFERROR(__xludf.DUMMYFUNCTION("""COMPUTED_VALUE"""),286.3333333333333)</f>
        <v>286.3333333</v>
      </c>
      <c r="K466" s="30">
        <f>IFERROR(__xludf.DUMMYFUNCTION("""COMPUTED_VALUE"""),0.5)</f>
        <v>0.5</v>
      </c>
      <c r="L466" s="30">
        <f>IFERROR(__xludf.DUMMYFUNCTION("""COMPUTED_VALUE"""),0.3333333333333333)</f>
        <v>0.3333333333</v>
      </c>
      <c r="M466" s="30">
        <f>IFERROR(__xludf.DUMMYFUNCTION("""COMPUTED_VALUE"""),1.3333333333333333)</f>
        <v>1.333333333</v>
      </c>
      <c r="N466" s="30">
        <f>IFERROR(__xludf.DUMMYFUNCTION("""COMPUTED_VALUE"""),2.5)</f>
        <v>2.5</v>
      </c>
      <c r="O466" s="30">
        <f>IFERROR(__xludf.DUMMYFUNCTION("""COMPUTED_VALUE"""),420.8888888888889)</f>
        <v>420.8888889</v>
      </c>
      <c r="P466" s="30">
        <f>IFERROR(__xludf.DUMMYFUNCTION("""COMPUTED_VALUE"""),1.0555555555555556)</f>
        <v>1.055555556</v>
      </c>
      <c r="Q466" s="30">
        <f>IFERROR(__xludf.DUMMYFUNCTION("""COMPUTED_VALUE"""),0.7777777777777778)</f>
        <v>0.7777777778</v>
      </c>
      <c r="R466" s="30">
        <f>IFERROR(__xludf.DUMMYFUNCTION("""COMPUTED_VALUE"""),1.5555555555555556)</f>
        <v>1.555555556</v>
      </c>
      <c r="S466" s="30">
        <f>IFERROR(__xludf.DUMMYFUNCTION("""COMPUTED_VALUE"""),3.222222222222222)</f>
        <v>3.222222222</v>
      </c>
      <c r="T466" s="30">
        <f>IFERROR(__xludf.DUMMYFUNCTION("""COMPUTED_VALUE"""),376.67577233103543)</f>
        <v>376.6757723</v>
      </c>
      <c r="U466" s="30">
        <f>IFERROR(__xludf.DUMMYFUNCTION("""COMPUTED_VALUE"""),0.8494866323813692)</f>
        <v>0.8494866324</v>
      </c>
      <c r="V466" s="30">
        <f>IFERROR(__xludf.DUMMYFUNCTION("""COMPUTED_VALUE"""),0.6904575628259838)</f>
        <v>0.6904575628</v>
      </c>
      <c r="W466" s="30">
        <f>IFERROR(__xludf.DUMMYFUNCTION("""COMPUTED_VALUE"""),1.38325977799662)</f>
        <v>1.383259778</v>
      </c>
      <c r="X466" s="30">
        <f>IFERROR(__xludf.DUMMYFUNCTION("""COMPUTED_VALUE"""),2.728502389028705)</f>
        <v>2.728502389</v>
      </c>
      <c r="Y466" s="30">
        <f>IFERROR(__xludf.DUMMYFUNCTION("""COMPUTED_VALUE"""),352.5918688931847)</f>
        <v>352.5918689</v>
      </c>
      <c r="Z466" s="30">
        <f>IFERROR(__xludf.DUMMYFUNCTION("""COMPUTED_VALUE"""),0.8628763378763379)</f>
        <v>0.8628763379</v>
      </c>
      <c r="AA466" s="30">
        <f>IFERROR(__xludf.DUMMYFUNCTION("""COMPUTED_VALUE"""),0.5875356125356125)</f>
        <v>0.5875356125</v>
      </c>
      <c r="AB466" s="30">
        <f>IFERROR(__xludf.DUMMYFUNCTION("""COMPUTED_VALUE"""),1.233075484391274)</f>
        <v>1.233075484</v>
      </c>
      <c r="AC466" s="30">
        <f>IFERROR(__xludf.DUMMYFUNCTION("""COMPUTED_VALUE"""),2.7109900386216172)</f>
        <v>2.710990039</v>
      </c>
      <c r="AD466" s="30">
        <f>IFERROR(__xludf.DUMMYFUNCTION("""COMPUTED_VALUE"""),0.8120814987372157)</f>
        <v>0.8120814987</v>
      </c>
      <c r="AE466" s="30">
        <f>IFERROR(__xludf.DUMMYFUNCTION("""COMPUTED_VALUE"""),0.5794573081359161)</f>
        <v>0.5794573081</v>
      </c>
      <c r="AF466" s="30">
        <f>IFERROR(__xludf.DUMMYFUNCTION("""COMPUTED_VALUE"""),0.5673414959389017)</f>
        <v>0.5673414959</v>
      </c>
      <c r="AG466" s="30">
        <f>IFERROR(__xludf.DUMMYFUNCTION("""COMPUTED_VALUE"""),1.08130714640844)</f>
        <v>1.081307146</v>
      </c>
      <c r="AH466" s="30">
        <f>IFERROR(__xludf.DUMMYFUNCTION("""COMPUTED_VALUE"""),0.9221723298072708)</f>
        <v>0.9221723298</v>
      </c>
      <c r="AI466" s="30">
        <f>IFERROR(__xludf.DUMMYFUNCTION("""COMPUTED_VALUE"""),1.1173771179501226)</f>
        <v>1.117377118</v>
      </c>
      <c r="AJ466" s="30">
        <f>IFERROR(__xludf.DUMMYFUNCTION("""COMPUTED_VALUE"""),1.242580536666613)</f>
        <v>1.242580537</v>
      </c>
      <c r="AK466" s="30">
        <f>IFERROR(__xludf.DUMMYFUNCTION("""COMPUTED_VALUE"""),1.1264671714136925)</f>
        <v>1.126467171</v>
      </c>
      <c r="AL466" s="30">
        <f>IFERROR(__xludf.DUMMYFUNCTION("""COMPUTED_VALUE"""),1.12455778755345)</f>
        <v>1.124557788</v>
      </c>
      <c r="AM466" s="30">
        <f>IFERROR(__xludf.DUMMYFUNCTION("""COMPUTED_VALUE"""),1.180949019938103)</f>
        <v>1.18094902</v>
      </c>
      <c r="AN466" s="30">
        <f>IFERROR(__xludf.DUMMYFUNCTION("""COMPUTED_VALUE"""),0.8444498102522353)</f>
        <v>0.8444498103</v>
      </c>
      <c r="AO466" s="30">
        <f>IFERROR(__xludf.DUMMYFUNCTION("""COMPUTED_VALUE"""),0.6722779683159839)</f>
        <v>0.6722779683</v>
      </c>
      <c r="AP466" s="30">
        <f>IFERROR(__xludf.DUMMYFUNCTION("""COMPUTED_VALUE"""),0.6107263657476258)</f>
        <v>0.6107263657</v>
      </c>
      <c r="AQ466" s="30">
        <f>IFERROR(__xludf.DUMMYFUNCTION("""COMPUTED_VALUE"""),1.0194860227061384)</f>
        <v>1.019486023</v>
      </c>
      <c r="AR466" s="30">
        <f>IFERROR(__xludf.DUMMYFUNCTION("""COMPUTED_VALUE"""),0.9993209829066958)</f>
        <v>0.9993209829</v>
      </c>
      <c r="AS466" s="30">
        <f>IFERROR(__xludf.DUMMYFUNCTION("""COMPUTED_VALUE"""),9.0)</f>
        <v>9</v>
      </c>
      <c r="AT466" s="30">
        <f>IFERROR(__xludf.DUMMYFUNCTION("""COMPUTED_VALUE"""),0.23818552466457016)</f>
        <v>0.2381855247</v>
      </c>
      <c r="AU466" s="30">
        <f>IFERROR(__xludf.DUMMYFUNCTION("""COMPUTED_VALUE"""),1.4080764632737361)</f>
        <v>1.408076463</v>
      </c>
      <c r="AV466" s="32">
        <f>IFERROR(__xludf.DUMMYFUNCTION("""COMPUTED_VALUE"""),19.50090681722839)</f>
        <v>19.50090682</v>
      </c>
      <c r="AW466" s="32">
        <f>IFERROR(__xludf.DUMMYFUNCTION("""COMPUTED_VALUE"""),-8.989627627763637)</f>
        <v>-8.989627628</v>
      </c>
      <c r="AX466" s="32">
        <f>IFERROR(__xludf.DUMMYFUNCTION("""COMPUTED_VALUE"""),13.530343077141737)</f>
        <v>13.53034308</v>
      </c>
      <c r="AY466" s="32">
        <f>IFERROR(__xludf.DUMMYFUNCTION("""COMPUTED_VALUE"""),-13.828969039067246)</f>
        <v>-13.82896904</v>
      </c>
      <c r="AZ466" s="30">
        <f>IFERROR(__xludf.DUMMYFUNCTION("""COMPUTED_VALUE"""),4.839341411303609)</f>
        <v>4.839341411</v>
      </c>
      <c r="BA466" s="30">
        <f>IFERROR(__xludf.DUMMYFUNCTION("""COMPUTED_VALUE"""),1700.0)</f>
        <v>1700</v>
      </c>
    </row>
    <row r="467">
      <c r="A467" s="71" t="str">
        <f>IFERROR(__xludf.DUMMYFUNCTION("""COMPUTED_VALUE"""),"Rival")</f>
        <v>Rival</v>
      </c>
      <c r="B467" s="71" t="str">
        <f>IFERROR(__xludf.DUMMYFUNCTION("""COMPUTED_VALUE"""),"RSC004365")</f>
        <v>RSC004365</v>
      </c>
      <c r="C467" s="30" t="str">
        <f>IFERROR(__xludf.DUMMYFUNCTION("""COMPUTED_VALUE"""),"Mattixbigs")</f>
        <v>Mattixbigs</v>
      </c>
      <c r="D467" s="30" t="str">
        <f>IFERROR(__xludf.DUMMYFUNCTION("""COMPUTED_VALUE"""),"Ostriches")</f>
        <v>Ostriches</v>
      </c>
      <c r="E467" s="30">
        <f>IFERROR(__xludf.DUMMYFUNCTION("""COMPUTED_VALUE"""),19.0)</f>
        <v>19</v>
      </c>
      <c r="F467" s="30">
        <f>IFERROR(__xludf.DUMMYFUNCTION("""COMPUTED_VALUE"""),6.0)</f>
        <v>6</v>
      </c>
      <c r="G467" s="42">
        <f>IFERROR(__xludf.DUMMYFUNCTION("""COMPUTED_VALUE"""),13.0)</f>
        <v>13</v>
      </c>
      <c r="H467" s="42">
        <f>IFERROR(__xludf.DUMMYFUNCTION("""COMPUTED_VALUE"""),0.3157894736842105)</f>
        <v>0.3157894737</v>
      </c>
      <c r="I467" s="42">
        <f>IFERROR(__xludf.DUMMYFUNCTION("""COMPUTED_VALUE"""),0.2653061224489796)</f>
        <v>0.2653061224</v>
      </c>
      <c r="J467" s="30">
        <f>IFERROR(__xludf.DUMMYFUNCTION("""COMPUTED_VALUE"""),340.3157894736842)</f>
        <v>340.3157895</v>
      </c>
      <c r="K467" s="30">
        <f>IFERROR(__xludf.DUMMYFUNCTION("""COMPUTED_VALUE"""),0.6842105263157895)</f>
        <v>0.6842105263</v>
      </c>
      <c r="L467" s="30">
        <f>IFERROR(__xludf.DUMMYFUNCTION("""COMPUTED_VALUE"""),0.47368421052631576)</f>
        <v>0.4736842105</v>
      </c>
      <c r="M467" s="30">
        <f>IFERROR(__xludf.DUMMYFUNCTION("""COMPUTED_VALUE"""),1.368421052631579)</f>
        <v>1.368421053</v>
      </c>
      <c r="N467" s="30">
        <f>IFERROR(__xludf.DUMMYFUNCTION("""COMPUTED_VALUE"""),2.5789473684210527)</f>
        <v>2.578947368</v>
      </c>
      <c r="O467" s="30">
        <f>IFERROR(__xludf.DUMMYFUNCTION("""COMPUTED_VALUE"""),362.8771929824561)</f>
        <v>362.877193</v>
      </c>
      <c r="P467" s="30">
        <f>IFERROR(__xludf.DUMMYFUNCTION("""COMPUTED_VALUE"""),0.8947368421052629)</f>
        <v>0.8947368421</v>
      </c>
      <c r="Q467" s="30">
        <f>IFERROR(__xludf.DUMMYFUNCTION("""COMPUTED_VALUE"""),0.6140350877192983)</f>
        <v>0.6140350877</v>
      </c>
      <c r="R467" s="30">
        <f>IFERROR(__xludf.DUMMYFUNCTION("""COMPUTED_VALUE"""),1.1578947368421055)</f>
        <v>1.157894737</v>
      </c>
      <c r="S467" s="30">
        <f>IFERROR(__xludf.DUMMYFUNCTION("""COMPUTED_VALUE"""),2.6140350877192984)</f>
        <v>2.614035088</v>
      </c>
      <c r="T467" s="30">
        <f>IFERROR(__xludf.DUMMYFUNCTION("""COMPUTED_VALUE"""),342.6153791373123)</f>
        <v>342.6153791</v>
      </c>
      <c r="U467" s="30">
        <f>IFERROR(__xludf.DUMMYFUNCTION("""COMPUTED_VALUE"""),0.7309376187488921)</f>
        <v>0.7309376187</v>
      </c>
      <c r="V467" s="30">
        <f>IFERROR(__xludf.DUMMYFUNCTION("""COMPUTED_VALUE"""),0.592840614980593)</f>
        <v>0.592840615</v>
      </c>
      <c r="W467" s="30">
        <f>IFERROR(__xludf.DUMMYFUNCTION("""COMPUTED_VALUE"""),1.3605842784798599)</f>
        <v>1.360584278</v>
      </c>
      <c r="X467" s="30">
        <f>IFERROR(__xludf.DUMMYFUNCTION("""COMPUTED_VALUE"""),2.3653844308958685)</f>
        <v>2.365384431</v>
      </c>
      <c r="Y467" s="30">
        <f>IFERROR(__xludf.DUMMYFUNCTION("""COMPUTED_VALUE"""),344.1208487617278)</f>
        <v>344.1208488</v>
      </c>
      <c r="Z467" s="30">
        <f>IFERROR(__xludf.DUMMYFUNCTION("""COMPUTED_VALUE"""),0.7585070941565125)</f>
        <v>0.7585070942</v>
      </c>
      <c r="AA467" s="30">
        <f>IFERROR(__xludf.DUMMYFUNCTION("""COMPUTED_VALUE"""),0.5776165379838757)</f>
        <v>0.577616538</v>
      </c>
      <c r="AB467" s="30">
        <f>IFERROR(__xludf.DUMMYFUNCTION("""COMPUTED_VALUE"""),1.2683798668349309)</f>
        <v>1.268379867</v>
      </c>
      <c r="AC467" s="30">
        <f>IFERROR(__xludf.DUMMYFUNCTION("""COMPUTED_VALUE"""),2.604831696178649)</f>
        <v>2.604831696</v>
      </c>
      <c r="AD467" s="30">
        <f>IFERROR(__xludf.DUMMYFUNCTION("""COMPUTED_VALUE"""),0.9889426656311712)</f>
        <v>0.9889426656</v>
      </c>
      <c r="AE467" s="30">
        <f>IFERROR(__xludf.DUMMYFUNCTION("""COMPUTED_VALUE"""),0.9020489479754391)</f>
        <v>0.902048948</v>
      </c>
      <c r="AF467" s="30">
        <f>IFERROR(__xludf.DUMMYFUNCTION("""COMPUTED_VALUE"""),0.8200669118299012)</f>
        <v>0.8200669118</v>
      </c>
      <c r="AG467" s="30">
        <f>IFERROR(__xludf.DUMMYFUNCTION("""COMPUTED_VALUE"""),1.078873205427241)</f>
        <v>1.078873205</v>
      </c>
      <c r="AH467" s="30">
        <f>IFERROR(__xludf.DUMMYFUNCTION("""COMPUTED_VALUE"""),0.9900629557773083)</f>
        <v>0.9900629558</v>
      </c>
      <c r="AI467" s="30">
        <f>IFERROR(__xludf.DUMMYFUNCTION("""COMPUTED_VALUE"""),1.059138658329238)</f>
        <v>1.059138658</v>
      </c>
      <c r="AJ467" s="30">
        <f>IFERROR(__xludf.DUMMYFUNCTION("""COMPUTED_VALUE"""),1.2240946684844836)</f>
        <v>1.224094668</v>
      </c>
      <c r="AK467" s="30">
        <f>IFERROR(__xludf.DUMMYFUNCTION("""COMPUTED_VALUE"""),1.0357507097238927)</f>
        <v>1.03575071</v>
      </c>
      <c r="AL467" s="30">
        <f>IFERROR(__xludf.DUMMYFUNCTION("""COMPUTED_VALUE"""),0.8510275733420841)</f>
        <v>0.8510275733</v>
      </c>
      <c r="AM467" s="30">
        <f>IFERROR(__xludf.DUMMYFUNCTION("""COMPUTED_VALUE"""),1.1051206110836096)</f>
        <v>1.105120611</v>
      </c>
      <c r="AN467" s="30">
        <f>IFERROR(__xludf.DUMMYFUNCTION("""COMPUTED_VALUE"""),1.0036540297330347)</f>
        <v>1.00365403</v>
      </c>
      <c r="AO467" s="30">
        <f>IFERROR(__xludf.DUMMYFUNCTION("""COMPUTED_VALUE"""),0.9199593250639779)</f>
        <v>0.9199593251</v>
      </c>
      <c r="AP467" s="30">
        <f>IFERROR(__xludf.DUMMYFUNCTION("""COMPUTED_VALUE"""),0.8678743092203104)</f>
        <v>0.8678743092</v>
      </c>
      <c r="AQ467" s="30">
        <f>IFERROR(__xludf.DUMMYFUNCTION("""COMPUTED_VALUE"""),1.046314602251037)</f>
        <v>1.046314602</v>
      </c>
      <c r="AR467" s="30">
        <f>IFERROR(__xludf.DUMMYFUNCTION("""COMPUTED_VALUE"""),1.0308784876300652)</f>
        <v>1.030878488</v>
      </c>
      <c r="AS467" s="30">
        <f>IFERROR(__xludf.DUMMYFUNCTION("""COMPUTED_VALUE"""),34.0)</f>
        <v>34</v>
      </c>
      <c r="AT467" s="30">
        <f>IFERROR(__xludf.DUMMYFUNCTION("""COMPUTED_VALUE"""),0.3490321681033682)</f>
        <v>0.3490321681</v>
      </c>
      <c r="AU467" s="30">
        <f>IFERROR(__xludf.DUMMYFUNCTION("""COMPUTED_VALUE"""),2.219806810927655)</f>
        <v>2.219806811</v>
      </c>
      <c r="AV467" s="32">
        <f>IFERROR(__xludf.DUMMYFUNCTION("""COMPUTED_VALUE"""),42.740726307091364)</f>
        <v>42.74072631</v>
      </c>
      <c r="AW467" s="32">
        <f>IFERROR(__xludf.DUMMYFUNCTION("""COMPUTED_VALUE"""),-2.5922434704825217)</f>
        <v>-2.59224347</v>
      </c>
      <c r="AX467" s="32">
        <f>IFERROR(__xludf.DUMMYFUNCTION("""COMPUTED_VALUE"""),52.94442676984408)</f>
        <v>52.94442677</v>
      </c>
      <c r="AY467" s="32">
        <f>IFERROR(__xludf.DUMMYFUNCTION("""COMPUTED_VALUE"""),2.2069104374600137)</f>
        <v>2.206910437</v>
      </c>
      <c r="AZ467" s="30">
        <f>IFERROR(__xludf.DUMMYFUNCTION("""COMPUTED_VALUE"""),4.799153907942536)</f>
        <v>4.799153908</v>
      </c>
      <c r="BA467" s="30">
        <f>IFERROR(__xludf.DUMMYFUNCTION("""COMPUTED_VALUE"""),1700.0)</f>
        <v>1700</v>
      </c>
    </row>
    <row r="468">
      <c r="A468" s="71" t="str">
        <f>IFERROR(__xludf.DUMMYFUNCTION("""COMPUTED_VALUE"""),"Rival")</f>
        <v>Rival</v>
      </c>
      <c r="B468" s="71" t="str">
        <f>IFERROR(__xludf.DUMMYFUNCTION("""COMPUTED_VALUE"""),"RSC007618")</f>
        <v>RSC007618</v>
      </c>
      <c r="C468" s="30" t="str">
        <f>IFERROR(__xludf.DUMMYFUNCTION("""COMPUTED_VALUE"""),"Robbie")</f>
        <v>Robbie</v>
      </c>
      <c r="D468" s="30" t="str">
        <f>IFERROR(__xludf.DUMMYFUNCTION("""COMPUTED_VALUE"""),"Mining Legion")</f>
        <v>Mining Legion</v>
      </c>
      <c r="E468" s="30">
        <f>IFERROR(__xludf.DUMMYFUNCTION("""COMPUTED_VALUE"""),44.0)</f>
        <v>44</v>
      </c>
      <c r="F468" s="30">
        <f>IFERROR(__xludf.DUMMYFUNCTION("""COMPUTED_VALUE"""),29.0)</f>
        <v>29</v>
      </c>
      <c r="G468" s="42">
        <f>IFERROR(__xludf.DUMMYFUNCTION("""COMPUTED_VALUE"""),15.0)</f>
        <v>15</v>
      </c>
      <c r="H468" s="42">
        <f>IFERROR(__xludf.DUMMYFUNCTION("""COMPUTED_VALUE"""),0.6590909090909091)</f>
        <v>0.6590909091</v>
      </c>
      <c r="I468" s="42">
        <f>IFERROR(__xludf.DUMMYFUNCTION("""COMPUTED_VALUE"""),0.3297872340425532)</f>
        <v>0.329787234</v>
      </c>
      <c r="J468" s="30">
        <f>IFERROR(__xludf.DUMMYFUNCTION("""COMPUTED_VALUE"""),312.97727272727275)</f>
        <v>312.9772727</v>
      </c>
      <c r="K468" s="30">
        <f>IFERROR(__xludf.DUMMYFUNCTION("""COMPUTED_VALUE"""),0.7045454545454546)</f>
        <v>0.7045454545</v>
      </c>
      <c r="L468" s="30">
        <f>IFERROR(__xludf.DUMMYFUNCTION("""COMPUTED_VALUE"""),0.6363636363636364)</f>
        <v>0.6363636364</v>
      </c>
      <c r="M468" s="30">
        <f>IFERROR(__xludf.DUMMYFUNCTION("""COMPUTED_VALUE"""),1.1136363636363635)</f>
        <v>1.113636364</v>
      </c>
      <c r="N468" s="30">
        <f>IFERROR(__xludf.DUMMYFUNCTION("""COMPUTED_VALUE"""),2.1363636363636362)</f>
        <v>2.136363636</v>
      </c>
      <c r="O468" s="30">
        <f>IFERROR(__xludf.DUMMYFUNCTION("""COMPUTED_VALUE"""),324.4621212121212)</f>
        <v>324.4621212</v>
      </c>
      <c r="P468" s="30">
        <f>IFERROR(__xludf.DUMMYFUNCTION("""COMPUTED_VALUE"""),0.643939393939394)</f>
        <v>0.6439393939</v>
      </c>
      <c r="Q468" s="30">
        <f>IFERROR(__xludf.DUMMYFUNCTION("""COMPUTED_VALUE"""),0.446969696969697)</f>
        <v>0.446969697</v>
      </c>
      <c r="R468" s="30">
        <f>IFERROR(__xludf.DUMMYFUNCTION("""COMPUTED_VALUE"""),1.3939393939393938)</f>
        <v>1.393939394</v>
      </c>
      <c r="S468" s="30">
        <f>IFERROR(__xludf.DUMMYFUNCTION("""COMPUTED_VALUE"""),2.181818181818182)</f>
        <v>2.181818182</v>
      </c>
      <c r="T468" s="30">
        <f>IFERROR(__xludf.DUMMYFUNCTION("""COMPUTED_VALUE"""),340.8451646696961)</f>
        <v>340.8451647</v>
      </c>
      <c r="U468" s="30">
        <f>IFERROR(__xludf.DUMMYFUNCTION("""COMPUTED_VALUE"""),0.7535943921635435)</f>
        <v>0.7535943922</v>
      </c>
      <c r="V468" s="30">
        <f>IFERROR(__xludf.DUMMYFUNCTION("""COMPUTED_VALUE"""),0.5286749498883718)</f>
        <v>0.5286749499</v>
      </c>
      <c r="W468" s="30">
        <f>IFERROR(__xludf.DUMMYFUNCTION("""COMPUTED_VALUE"""),1.2864623037946017)</f>
        <v>1.286462304</v>
      </c>
      <c r="X468" s="30">
        <f>IFERROR(__xludf.DUMMYFUNCTION("""COMPUTED_VALUE"""),2.472978018624929)</f>
        <v>2.472978019</v>
      </c>
      <c r="Y468" s="30">
        <f>IFERROR(__xludf.DUMMYFUNCTION("""COMPUTED_VALUE"""),346.78795280618056)</f>
        <v>346.7879528</v>
      </c>
      <c r="Z468" s="30">
        <f>IFERROR(__xludf.DUMMYFUNCTION("""COMPUTED_VALUE"""),0.7995697866141994)</f>
        <v>0.7995697866</v>
      </c>
      <c r="AA468" s="30">
        <f>IFERROR(__xludf.DUMMYFUNCTION("""COMPUTED_VALUE"""),0.5681414716227692)</f>
        <v>0.5681414716</v>
      </c>
      <c r="AB468" s="30">
        <f>IFERROR(__xludf.DUMMYFUNCTION("""COMPUTED_VALUE"""),1.2716814253971005)</f>
        <v>1.271681425</v>
      </c>
      <c r="AC468" s="30">
        <f>IFERROR(__xludf.DUMMYFUNCTION("""COMPUTED_VALUE"""),2.549005189462058)</f>
        <v>2.549005189</v>
      </c>
      <c r="AD468" s="30">
        <f>IFERROR(__xludf.DUMMYFUNCTION("""COMPUTED_VALUE"""),0.9025033026513336)</f>
        <v>0.9025033027</v>
      </c>
      <c r="AE468" s="30">
        <f>IFERROR(__xludf.DUMMYFUNCTION("""COMPUTED_VALUE"""),0.8811556743894389)</f>
        <v>0.8811556744</v>
      </c>
      <c r="AF468" s="30">
        <f>IFERROR(__xludf.DUMMYFUNCTION("""COMPUTED_VALUE"""),1.1200795367851)</f>
        <v>1.120079537</v>
      </c>
      <c r="AG468" s="30">
        <f>IFERROR(__xludf.DUMMYFUNCTION("""COMPUTED_VALUE"""),0.8757196113709177)</f>
        <v>0.8757196114</v>
      </c>
      <c r="AH468" s="30">
        <f>IFERROR(__xludf.DUMMYFUNCTION("""COMPUTED_VALUE"""),0.8381166288698276)</f>
        <v>0.8381166289</v>
      </c>
      <c r="AI468" s="30">
        <f>IFERROR(__xludf.DUMMYFUNCTION("""COMPUTED_VALUE"""),0.9519340593449485)</f>
        <v>0.9519340593</v>
      </c>
      <c r="AJ468" s="30">
        <f>IFERROR(__xludf.DUMMYFUNCTION("""COMPUTED_VALUE"""),0.854490692387806)</f>
        <v>0.8544906924</v>
      </c>
      <c r="AK468" s="30">
        <f>IFERROR(__xludf.DUMMYFUNCTION("""COMPUTED_VALUE"""),0.845452762730811)</f>
        <v>0.8454527627</v>
      </c>
      <c r="AL468" s="30">
        <f>IFERROR(__xludf.DUMMYFUNCTION("""COMPUTED_VALUE"""),1.08354468671781)</f>
        <v>1.083544687</v>
      </c>
      <c r="AM468" s="30">
        <f>IFERROR(__xludf.DUMMYFUNCTION("""COMPUTED_VALUE"""),0.882263475609604)</f>
        <v>0.8822634756</v>
      </c>
      <c r="AN468" s="30">
        <f>IFERROR(__xludf.DUMMYFUNCTION("""COMPUTED_VALUE"""),0.9230277016337867)</f>
        <v>0.9230277016</v>
      </c>
      <c r="AO468" s="30">
        <f>IFERROR(__xludf.DUMMYFUNCTION("""COMPUTED_VALUE"""),0.9473007735361592)</f>
        <v>0.9473007735</v>
      </c>
      <c r="AP468" s="30">
        <f>IFERROR(__xludf.DUMMYFUNCTION("""COMPUTED_VALUE"""),1.165932152790922)</f>
        <v>1.165932153</v>
      </c>
      <c r="AQ468" s="30">
        <f>IFERROR(__xludf.DUMMYFUNCTION("""COMPUTED_VALUE"""),0.8515025303284225)</f>
        <v>0.8515025303</v>
      </c>
      <c r="AR468" s="30">
        <f>IFERROR(__xludf.DUMMYFUNCTION("""COMPUTED_VALUE"""),0.8539652035748126)</f>
        <v>0.8539652036</v>
      </c>
      <c r="AS468" s="30">
        <f>IFERROR(__xludf.DUMMYFUNCTION("""COMPUTED_VALUE"""),124.0)</f>
        <v>124</v>
      </c>
      <c r="AT468" s="30">
        <f>IFERROR(__xludf.DUMMYFUNCTION("""COMPUTED_VALUE"""),0.6434979560498437)</f>
        <v>0.643497956</v>
      </c>
      <c r="AU468" s="30">
        <f>IFERROR(__xludf.DUMMYFUNCTION("""COMPUTED_VALUE"""),2.505856765336726)</f>
        <v>2.505856765</v>
      </c>
      <c r="AV468" s="32">
        <f>IFERROR(__xludf.DUMMYFUNCTION("""COMPUTED_VALUE"""),50.930329325832524)</f>
        <v>50.93032933</v>
      </c>
      <c r="AW468" s="32">
        <f>IFERROR(__xludf.DUMMYFUNCTION("""COMPUTED_VALUE"""),2.061186240742272)</f>
        <v>2.061186241</v>
      </c>
      <c r="AX468" s="32">
        <f>IFERROR(__xludf.DUMMYFUNCTION("""COMPUTED_VALUE"""),41.4155842932277)</f>
        <v>41.41558429</v>
      </c>
      <c r="AY468" s="32">
        <f>IFERROR(__xludf.DUMMYFUNCTION("""COMPUTED_VALUE"""),-2.7347991189079037)</f>
        <v>-2.734799119</v>
      </c>
      <c r="AZ468" s="30">
        <f>IFERROR(__xludf.DUMMYFUNCTION("""COMPUTED_VALUE"""),4.795985359650176)</f>
        <v>4.79598536</v>
      </c>
      <c r="BA468" s="30">
        <f>IFERROR(__xludf.DUMMYFUNCTION("""COMPUTED_VALUE"""),1700.0)</f>
        <v>1700</v>
      </c>
    </row>
    <row r="469">
      <c r="A469" s="71" t="str">
        <f>IFERROR(__xludf.DUMMYFUNCTION("""COMPUTED_VALUE"""),"Rival")</f>
        <v>Rival</v>
      </c>
      <c r="B469" s="71" t="str">
        <f>IFERROR(__xludf.DUMMYFUNCTION("""COMPUTED_VALUE"""),"RSC004545")</f>
        <v>RSC004545</v>
      </c>
      <c r="C469" s="30" t="str">
        <f>IFERROR(__xludf.DUMMYFUNCTION("""COMPUTED_VALUE"""),"Vires")</f>
        <v>Vires</v>
      </c>
      <c r="D469" s="30" t="str">
        <f>IFERROR(__xludf.DUMMYFUNCTION("""COMPUTED_VALUE"""),"Nightfall")</f>
        <v>Nightfall</v>
      </c>
      <c r="E469" s="30">
        <f>IFERROR(__xludf.DUMMYFUNCTION("""COMPUTED_VALUE"""),39.0)</f>
        <v>39</v>
      </c>
      <c r="F469" s="30">
        <f>IFERROR(__xludf.DUMMYFUNCTION("""COMPUTED_VALUE"""),18.0)</f>
        <v>18</v>
      </c>
      <c r="G469" s="42">
        <f>IFERROR(__xludf.DUMMYFUNCTION("""COMPUTED_VALUE"""),21.0)</f>
        <v>21</v>
      </c>
      <c r="H469" s="42">
        <f>IFERROR(__xludf.DUMMYFUNCTION("""COMPUTED_VALUE"""),0.46153846153846156)</f>
        <v>0.4615384615</v>
      </c>
      <c r="I469" s="42">
        <f>IFERROR(__xludf.DUMMYFUNCTION("""COMPUTED_VALUE"""),0.3267326732673267)</f>
        <v>0.3267326733</v>
      </c>
      <c r="J469" s="30">
        <f>IFERROR(__xludf.DUMMYFUNCTION("""COMPUTED_VALUE"""),332.79487179487177)</f>
        <v>332.7948718</v>
      </c>
      <c r="K469" s="30">
        <f>IFERROR(__xludf.DUMMYFUNCTION("""COMPUTED_VALUE"""),0.8461538461538461)</f>
        <v>0.8461538462</v>
      </c>
      <c r="L469" s="30">
        <f>IFERROR(__xludf.DUMMYFUNCTION("""COMPUTED_VALUE"""),0.48717948717948717)</f>
        <v>0.4871794872</v>
      </c>
      <c r="M469" s="30">
        <f>IFERROR(__xludf.DUMMYFUNCTION("""COMPUTED_VALUE"""),1.2307692307692308)</f>
        <v>1.230769231</v>
      </c>
      <c r="N469" s="30">
        <f>IFERROR(__xludf.DUMMYFUNCTION("""COMPUTED_VALUE"""),2.58974358974359)</f>
        <v>2.58974359</v>
      </c>
      <c r="O469" s="30">
        <f>IFERROR(__xludf.DUMMYFUNCTION("""COMPUTED_VALUE"""),339.23931623931634)</f>
        <v>339.2393162</v>
      </c>
      <c r="P469" s="30">
        <f>IFERROR(__xludf.DUMMYFUNCTION("""COMPUTED_VALUE"""),0.7264957264957264)</f>
        <v>0.7264957265</v>
      </c>
      <c r="Q469" s="30">
        <f>IFERROR(__xludf.DUMMYFUNCTION("""COMPUTED_VALUE"""),0.5470085470085471)</f>
        <v>0.547008547</v>
      </c>
      <c r="R469" s="30">
        <f>IFERROR(__xludf.DUMMYFUNCTION("""COMPUTED_VALUE"""),1.4444444444444444)</f>
        <v>1.444444444</v>
      </c>
      <c r="S469" s="30">
        <f>IFERROR(__xludf.DUMMYFUNCTION("""COMPUTED_VALUE"""),2.444444444444444)</f>
        <v>2.444444444</v>
      </c>
      <c r="T469" s="30">
        <f>IFERROR(__xludf.DUMMYFUNCTION("""COMPUTED_VALUE"""),350.0375263690722)</f>
        <v>350.0375264</v>
      </c>
      <c r="U469" s="30">
        <f>IFERROR(__xludf.DUMMYFUNCTION("""COMPUTED_VALUE"""),0.7812030152328147)</f>
        <v>0.7812030152</v>
      </c>
      <c r="V469" s="30">
        <f>IFERROR(__xludf.DUMMYFUNCTION("""COMPUTED_VALUE"""),0.5812547433238289)</f>
        <v>0.5812547433</v>
      </c>
      <c r="W469" s="30">
        <f>IFERROR(__xludf.DUMMYFUNCTION("""COMPUTED_VALUE"""),1.3349224967132216)</f>
        <v>1.334922497</v>
      </c>
      <c r="X469" s="30">
        <f>IFERROR(__xludf.DUMMYFUNCTION("""COMPUTED_VALUE"""),2.5369122644353177)</f>
        <v>2.536912264</v>
      </c>
      <c r="Y469" s="30">
        <f>IFERROR(__xludf.DUMMYFUNCTION("""COMPUTED_VALUE"""),348.21090611409426)</f>
        <v>348.2109061</v>
      </c>
      <c r="Z469" s="30">
        <f>IFERROR(__xludf.DUMMYFUNCTION("""COMPUTED_VALUE"""),0.7930545881014489)</f>
        <v>0.7930545881</v>
      </c>
      <c r="AA469" s="30">
        <f>IFERROR(__xludf.DUMMYFUNCTION("""COMPUTED_VALUE"""),0.5694597377216188)</f>
        <v>0.5694597377</v>
      </c>
      <c r="AB469" s="30">
        <f>IFERROR(__xludf.DUMMYFUNCTION("""COMPUTED_VALUE"""),1.3098971938126556)</f>
        <v>1.309897194</v>
      </c>
      <c r="AC469" s="30">
        <f>IFERROR(__xludf.DUMMYFUNCTION("""COMPUTED_VALUE"""),2.617940568587095)</f>
        <v>2.617940569</v>
      </c>
      <c r="AD469" s="30">
        <f>IFERROR(__xludf.DUMMYFUNCTION("""COMPUTED_VALUE"""),0.955727882014783)</f>
        <v>0.955727882</v>
      </c>
      <c r="AE469" s="30">
        <f>IFERROR(__xludf.DUMMYFUNCTION("""COMPUTED_VALUE"""),1.0669553632865494)</f>
        <v>1.066955363</v>
      </c>
      <c r="AF469" s="30">
        <f>IFERROR(__xludf.DUMMYFUNCTION("""COMPUTED_VALUE"""),0.8555117331537239)</f>
        <v>0.8555117332</v>
      </c>
      <c r="AG469" s="30">
        <f>IFERROR(__xludf.DUMMYFUNCTION("""COMPUTED_VALUE"""),0.9395922340950202)</f>
        <v>0.9395922341</v>
      </c>
      <c r="AH469" s="30">
        <f>IFERROR(__xludf.DUMMYFUNCTION("""COMPUTED_VALUE"""),0.9892293281284368)</f>
        <v>0.9892293281</v>
      </c>
      <c r="AI469" s="30">
        <f>IFERROR(__xludf.DUMMYFUNCTION("""COMPUTED_VALUE"""),0.9691512786021391)</f>
        <v>0.9691512786</v>
      </c>
      <c r="AJ469" s="30">
        <f>IFERROR(__xludf.DUMMYFUNCTION("""COMPUTED_VALUE"""),0.9299704588047648)</f>
        <v>0.9299704588</v>
      </c>
      <c r="AK469" s="30">
        <f>IFERROR(__xludf.DUMMYFUNCTION("""COMPUTED_VALUE"""),0.9410822935922218)</f>
        <v>0.9410822936</v>
      </c>
      <c r="AL469" s="30">
        <f>IFERROR(__xludf.DUMMYFUNCTION("""COMPUTED_VALUE"""),1.0820436751952882)</f>
        <v>1.082043675</v>
      </c>
      <c r="AM469" s="30">
        <f>IFERROR(__xludf.DUMMYFUNCTION("""COMPUTED_VALUE"""),0.9635510375005201)</f>
        <v>0.9635510375</v>
      </c>
      <c r="AN469" s="30">
        <f>IFERROR(__xludf.DUMMYFUNCTION("""COMPUTED_VALUE"""),0.9814734563682065)</f>
        <v>0.9814734564</v>
      </c>
      <c r="AO469" s="30">
        <f>IFERROR(__xludf.DUMMYFUNCTION("""COMPUTED_VALUE"""),1.1377011771501264)</f>
        <v>1.137701177</v>
      </c>
      <c r="AP469" s="30">
        <f>IFERROR(__xludf.DUMMYFUNCTION("""COMPUTED_VALUE"""),0.8926000730157608)</f>
        <v>0.892600073</v>
      </c>
      <c r="AQ469" s="30">
        <f>IFERROR(__xludf.DUMMYFUNCTION("""COMPUTED_VALUE"""),0.9410640209595126)</f>
        <v>0.941064021</v>
      </c>
      <c r="AR469" s="30">
        <f>IFERROR(__xludf.DUMMYFUNCTION("""COMPUTED_VALUE"""),1.0351940438315514)</f>
        <v>1.035194044</v>
      </c>
      <c r="AS469" s="30">
        <f>IFERROR(__xludf.DUMMYFUNCTION("""COMPUTED_VALUE"""),90.0)</f>
        <v>90</v>
      </c>
      <c r="AT469" s="30">
        <f>IFERROR(__xludf.DUMMYFUNCTION("""COMPUTED_VALUE"""),0.5219713521806452)</f>
        <v>0.5219713522</v>
      </c>
      <c r="AU469" s="30">
        <f>IFERROR(__xludf.DUMMYFUNCTION("""COMPUTED_VALUE"""),2.638598325374102)</f>
        <v>2.638598325</v>
      </c>
      <c r="AV469" s="32">
        <f>IFERROR(__xludf.DUMMYFUNCTION("""COMPUTED_VALUE"""),54.730716859682204)</f>
        <v>54.73071686</v>
      </c>
      <c r="AW469" s="32">
        <f>IFERROR(__xludf.DUMMYFUNCTION("""COMPUTED_VALUE"""),2.353180384942917)</f>
        <v>2.353180385</v>
      </c>
      <c r="AX469" s="32">
        <f>IFERROR(__xludf.DUMMYFUNCTION("""COMPUTED_VALUE"""),44.98521861768663)</f>
        <v>44.98521862</v>
      </c>
      <c r="AY469" s="32">
        <f>IFERROR(__xludf.DUMMYFUNCTION("""COMPUTED_VALUE"""),-2.378069830889056)</f>
        <v>-2.378069831</v>
      </c>
      <c r="AZ469" s="30">
        <f>IFERROR(__xludf.DUMMYFUNCTION("""COMPUTED_VALUE"""),4.731250215831974)</f>
        <v>4.731250216</v>
      </c>
      <c r="BA469" s="30">
        <f>IFERROR(__xludf.DUMMYFUNCTION("""COMPUTED_VALUE"""),1700.0)</f>
        <v>1700</v>
      </c>
    </row>
    <row r="470">
      <c r="A470" s="71" t="str">
        <f>IFERROR(__xludf.DUMMYFUNCTION("""COMPUTED_VALUE"""),"Rival")</f>
        <v>Rival</v>
      </c>
      <c r="B470" s="71" t="str">
        <f>IFERROR(__xludf.DUMMYFUNCTION("""COMPUTED_VALUE"""),"RSC005276")</f>
        <v>RSC005276</v>
      </c>
      <c r="C470" s="30" t="str">
        <f>IFERROR(__xludf.DUMMYFUNCTION("""COMPUTED_VALUE"""),"Dc")</f>
        <v>Dc</v>
      </c>
      <c r="D470" s="30" t="str">
        <f>IFERROR(__xludf.DUMMYFUNCTION("""COMPUTED_VALUE"""),"Hippos")</f>
        <v>Hippos</v>
      </c>
      <c r="E470" s="30">
        <f>IFERROR(__xludf.DUMMYFUNCTION("""COMPUTED_VALUE"""),36.0)</f>
        <v>36</v>
      </c>
      <c r="F470" s="30">
        <f>IFERROR(__xludf.DUMMYFUNCTION("""COMPUTED_VALUE"""),16.0)</f>
        <v>16</v>
      </c>
      <c r="G470" s="42">
        <f>IFERROR(__xludf.DUMMYFUNCTION("""COMPUTED_VALUE"""),20.0)</f>
        <v>20</v>
      </c>
      <c r="H470" s="42">
        <f>IFERROR(__xludf.DUMMYFUNCTION("""COMPUTED_VALUE"""),0.4444444444444444)</f>
        <v>0.4444444444</v>
      </c>
      <c r="I470" s="42">
        <f>IFERROR(__xludf.DUMMYFUNCTION("""COMPUTED_VALUE"""),0.3548387096774193)</f>
        <v>0.3548387097</v>
      </c>
      <c r="J470" s="30">
        <f>IFERROR(__xludf.DUMMYFUNCTION("""COMPUTED_VALUE"""),343.1111111111111)</f>
        <v>343.1111111</v>
      </c>
      <c r="K470" s="30">
        <f>IFERROR(__xludf.DUMMYFUNCTION("""COMPUTED_VALUE"""),0.9166666666666666)</f>
        <v>0.9166666667</v>
      </c>
      <c r="L470" s="30">
        <f>IFERROR(__xludf.DUMMYFUNCTION("""COMPUTED_VALUE"""),0.4444444444444444)</f>
        <v>0.4444444444</v>
      </c>
      <c r="M470" s="30">
        <f>IFERROR(__xludf.DUMMYFUNCTION("""COMPUTED_VALUE"""),1.0277777777777777)</f>
        <v>1.027777778</v>
      </c>
      <c r="N470" s="30">
        <f>IFERROR(__xludf.DUMMYFUNCTION("""COMPUTED_VALUE"""),2.5833333333333335)</f>
        <v>2.583333333</v>
      </c>
      <c r="O470" s="30">
        <f>IFERROR(__xludf.DUMMYFUNCTION("""COMPUTED_VALUE"""),377.7685185185184)</f>
        <v>377.7685185</v>
      </c>
      <c r="P470" s="30">
        <f>IFERROR(__xludf.DUMMYFUNCTION("""COMPUTED_VALUE"""),0.9351851851851849)</f>
        <v>0.9351851852</v>
      </c>
      <c r="Q470" s="30">
        <f>IFERROR(__xludf.DUMMYFUNCTION("""COMPUTED_VALUE"""),0.6944444444444444)</f>
        <v>0.6944444444</v>
      </c>
      <c r="R470" s="30">
        <f>IFERROR(__xludf.DUMMYFUNCTION("""COMPUTED_VALUE"""),1.2500000000000002)</f>
        <v>1.25</v>
      </c>
      <c r="S470" s="30">
        <f>IFERROR(__xludf.DUMMYFUNCTION("""COMPUTED_VALUE"""),2.7037037037037033)</f>
        <v>2.703703704</v>
      </c>
      <c r="T470" s="30">
        <f>IFERROR(__xludf.DUMMYFUNCTION("""COMPUTED_VALUE"""),357.43958935894113)</f>
        <v>357.4395894</v>
      </c>
      <c r="U470" s="30">
        <f>IFERROR(__xludf.DUMMYFUNCTION("""COMPUTED_VALUE"""),0.8217585574763441)</f>
        <v>0.8217585575</v>
      </c>
      <c r="V470" s="30">
        <f>IFERROR(__xludf.DUMMYFUNCTION("""COMPUTED_VALUE"""),0.6361428471021473)</f>
        <v>0.6361428471</v>
      </c>
      <c r="W470" s="30">
        <f>IFERROR(__xludf.DUMMYFUNCTION("""COMPUTED_VALUE"""),1.2863226492413664)</f>
        <v>1.286322649</v>
      </c>
      <c r="X470" s="30">
        <f>IFERROR(__xludf.DUMMYFUNCTION("""COMPUTED_VALUE"""),2.5743641041093115)</f>
        <v>2.574364104</v>
      </c>
      <c r="Y470" s="30">
        <f>IFERROR(__xludf.DUMMYFUNCTION("""COMPUTED_VALUE"""),341.42977022515856)</f>
        <v>341.4297702</v>
      </c>
      <c r="Z470" s="30">
        <f>IFERROR(__xludf.DUMMYFUNCTION("""COMPUTED_VALUE"""),0.7448856839919155)</f>
        <v>0.744885684</v>
      </c>
      <c r="AA470" s="30">
        <f>IFERROR(__xludf.DUMMYFUNCTION("""COMPUTED_VALUE"""),0.5254414156326049)</f>
        <v>0.5254414156</v>
      </c>
      <c r="AB470" s="30">
        <f>IFERROR(__xludf.DUMMYFUNCTION("""COMPUTED_VALUE"""),1.330174272567212)</f>
        <v>1.330174273</v>
      </c>
      <c r="AC470" s="30">
        <f>IFERROR(__xludf.DUMMYFUNCTION("""COMPUTED_VALUE"""),2.4538323773637427)</f>
        <v>2.453832377</v>
      </c>
      <c r="AD470" s="30">
        <f>IFERROR(__xludf.DUMMYFUNCTION("""COMPUTED_VALUE"""),1.0049244120828824)</f>
        <v>1.004924412</v>
      </c>
      <c r="AE470" s="30">
        <f>IFERROR(__xludf.DUMMYFUNCTION("""COMPUTED_VALUE"""),1.2306138866223875)</f>
        <v>1.230613887</v>
      </c>
      <c r="AF470" s="30">
        <f>IFERROR(__xludf.DUMMYFUNCTION("""COMPUTED_VALUE"""),0.8458496632005221)</f>
        <v>0.8458496632</v>
      </c>
      <c r="AG470" s="30">
        <f>IFERROR(__xludf.DUMMYFUNCTION("""COMPUTED_VALUE"""),0.7726640027356606)</f>
        <v>0.7726640027</v>
      </c>
      <c r="AH470" s="30">
        <f>IFERROR(__xludf.DUMMYFUNCTION("""COMPUTED_VALUE"""),1.0527749805423625)</f>
        <v>1.052774981</v>
      </c>
      <c r="AI470" s="30">
        <f>IFERROR(__xludf.DUMMYFUNCTION("""COMPUTED_VALUE"""),1.0568737480815618)</f>
        <v>1.056873748</v>
      </c>
      <c r="AJ470" s="30">
        <f>IFERROR(__xludf.DUMMYFUNCTION("""COMPUTED_VALUE"""),1.1380291408916736)</f>
        <v>1.138029141</v>
      </c>
      <c r="AK470" s="30">
        <f>IFERROR(__xludf.DUMMYFUNCTION("""COMPUTED_VALUE"""),1.0916485937205476)</f>
        <v>1.091648594</v>
      </c>
      <c r="AL470" s="30">
        <f>IFERROR(__xludf.DUMMYFUNCTION("""COMPUTED_VALUE"""),0.9717624118157383)</f>
        <v>0.9717624118</v>
      </c>
      <c r="AM470" s="30">
        <f>IFERROR(__xludf.DUMMYFUNCTION("""COMPUTED_VALUE"""),1.0502413778175101)</f>
        <v>1.050241378</v>
      </c>
      <c r="AN470" s="30">
        <f>IFERROR(__xludf.DUMMYFUNCTION("""COMPUTED_VALUE"""),1.0118979488005055)</f>
        <v>1.011897949</v>
      </c>
      <c r="AO470" s="30">
        <f>IFERROR(__xludf.DUMMYFUNCTION("""COMPUTED_VALUE"""),1.2325096085793037)</f>
        <v>1.232509609</v>
      </c>
      <c r="AP470" s="30">
        <f>IFERROR(__xludf.DUMMYFUNCTION("""COMPUTED_VALUE"""),0.8143018209968345)</f>
        <v>0.814301821</v>
      </c>
      <c r="AQ470" s="30">
        <f>IFERROR(__xludf.DUMMYFUNCTION("""COMPUTED_VALUE"""),0.7858538091693151)</f>
        <v>0.7858538092</v>
      </c>
      <c r="AR470" s="30">
        <f>IFERROR(__xludf.DUMMYFUNCTION("""COMPUTED_VALUE"""),1.032631682336919)</f>
        <v>1.032631682</v>
      </c>
      <c r="AS470" s="30">
        <f>IFERROR(__xludf.DUMMYFUNCTION("""COMPUTED_VALUE"""),87.0)</f>
        <v>87</v>
      </c>
      <c r="AT470" s="30">
        <f>IFERROR(__xludf.DUMMYFUNCTION("""COMPUTED_VALUE"""),0.4403383301051572)</f>
        <v>0.4403383301</v>
      </c>
      <c r="AU470" s="30">
        <f>IFERROR(__xludf.DUMMYFUNCTION("""COMPUTED_VALUE"""),2.6467938613496527)</f>
        <v>2.646793861</v>
      </c>
      <c r="AV470" s="32">
        <f>IFERROR(__xludf.DUMMYFUNCTION("""COMPUTED_VALUE"""),54.96535484906496)</f>
        <v>54.96535485</v>
      </c>
      <c r="AW470" s="32">
        <f>IFERROR(__xludf.DUMMYFUNCTION("""COMPUTED_VALUE"""),2.3737053746931167)</f>
        <v>2.373705375</v>
      </c>
      <c r="AX470" s="32">
        <f>IFERROR(__xludf.DUMMYFUNCTION("""COMPUTED_VALUE"""),45.27678753478579)</f>
        <v>45.27678753</v>
      </c>
      <c r="AY470" s="32">
        <f>IFERROR(__xludf.DUMMYFUNCTION("""COMPUTED_VALUE"""),-2.3525291873572187)</f>
        <v>-2.352529187</v>
      </c>
      <c r="AZ470" s="30">
        <f>IFERROR(__xludf.DUMMYFUNCTION("""COMPUTED_VALUE"""),4.726234562050335)</f>
        <v>4.726234562</v>
      </c>
      <c r="BA470" s="30">
        <f>IFERROR(__xludf.DUMMYFUNCTION("""COMPUTED_VALUE"""),1700.0)</f>
        <v>1700</v>
      </c>
    </row>
    <row r="471">
      <c r="A471" s="71" t="str">
        <f>IFERROR(__xludf.DUMMYFUNCTION("""COMPUTED_VALUE"""),"Rival")</f>
        <v>Rival</v>
      </c>
      <c r="B471" s="71" t="str">
        <f>IFERROR(__xludf.DUMMYFUNCTION("""COMPUTED_VALUE"""),"RSC006312")</f>
        <v>RSC006312</v>
      </c>
      <c r="C471" s="30" t="str">
        <f>IFERROR(__xludf.DUMMYFUNCTION("""COMPUTED_VALUE"""),"Cognitixn")</f>
        <v>Cognitixn</v>
      </c>
      <c r="D471" s="30" t="str">
        <f>IFERROR(__xludf.DUMMYFUNCTION("""COMPUTED_VALUE"""),"Hippos")</f>
        <v>Hippos</v>
      </c>
      <c r="E471" s="30">
        <f>IFERROR(__xludf.DUMMYFUNCTION("""COMPUTED_VALUE"""),45.0)</f>
        <v>45</v>
      </c>
      <c r="F471" s="30">
        <f>IFERROR(__xludf.DUMMYFUNCTION("""COMPUTED_VALUE"""),23.0)</f>
        <v>23</v>
      </c>
      <c r="G471" s="42">
        <f>IFERROR(__xludf.DUMMYFUNCTION("""COMPUTED_VALUE"""),22.0)</f>
        <v>22</v>
      </c>
      <c r="H471" s="42">
        <f>IFERROR(__xludf.DUMMYFUNCTION("""COMPUTED_VALUE"""),0.5111111111111111)</f>
        <v>0.5111111111</v>
      </c>
      <c r="I471" s="42">
        <f>IFERROR(__xludf.DUMMYFUNCTION("""COMPUTED_VALUE"""),0.2803738317757009)</f>
        <v>0.2803738318</v>
      </c>
      <c r="J471" s="30">
        <f>IFERROR(__xludf.DUMMYFUNCTION("""COMPUTED_VALUE"""),337.4)</f>
        <v>337.4</v>
      </c>
      <c r="K471" s="30">
        <f>IFERROR(__xludf.DUMMYFUNCTION("""COMPUTED_VALUE"""),0.6666666666666666)</f>
        <v>0.6666666667</v>
      </c>
      <c r="L471" s="30">
        <f>IFERROR(__xludf.DUMMYFUNCTION("""COMPUTED_VALUE"""),0.7111111111111111)</f>
        <v>0.7111111111</v>
      </c>
      <c r="M471" s="30">
        <f>IFERROR(__xludf.DUMMYFUNCTION("""COMPUTED_VALUE"""),1.4666666666666666)</f>
        <v>1.466666667</v>
      </c>
      <c r="N471" s="30">
        <f>IFERROR(__xludf.DUMMYFUNCTION("""COMPUTED_VALUE"""),2.3777777777777778)</f>
        <v>2.377777778</v>
      </c>
      <c r="O471" s="30">
        <f>IFERROR(__xludf.DUMMYFUNCTION("""COMPUTED_VALUE"""),363.65925925925916)</f>
        <v>363.6592593</v>
      </c>
      <c r="P471" s="30">
        <f>IFERROR(__xludf.DUMMYFUNCTION("""COMPUTED_VALUE"""),0.8888888888888888)</f>
        <v>0.8888888889</v>
      </c>
      <c r="Q471" s="30">
        <f>IFERROR(__xludf.DUMMYFUNCTION("""COMPUTED_VALUE"""),0.6370370370370368)</f>
        <v>0.637037037</v>
      </c>
      <c r="R471" s="30">
        <f>IFERROR(__xludf.DUMMYFUNCTION("""COMPUTED_VALUE"""),1.2296296296296296)</f>
        <v>1.22962963</v>
      </c>
      <c r="S471" s="30">
        <f>IFERROR(__xludf.DUMMYFUNCTION("""COMPUTED_VALUE"""),2.7777777777777772)</f>
        <v>2.777777778</v>
      </c>
      <c r="T471" s="30">
        <f>IFERROR(__xludf.DUMMYFUNCTION("""COMPUTED_VALUE"""),352.1204782607605)</f>
        <v>352.1204783</v>
      </c>
      <c r="U471" s="30">
        <f>IFERROR(__xludf.DUMMYFUNCTION("""COMPUTED_VALUE"""),0.7932060951191792)</f>
        <v>0.7932060951</v>
      </c>
      <c r="V471" s="30">
        <f>IFERROR(__xludf.DUMMYFUNCTION("""COMPUTED_VALUE"""),0.5988077140693743)</f>
        <v>0.5988077141</v>
      </c>
      <c r="W471" s="30">
        <f>IFERROR(__xludf.DUMMYFUNCTION("""COMPUTED_VALUE"""),1.2949226742163165)</f>
        <v>1.294922674</v>
      </c>
      <c r="X471" s="30">
        <f>IFERROR(__xludf.DUMMYFUNCTION("""COMPUTED_VALUE"""),2.554256114271053)</f>
        <v>2.554256114</v>
      </c>
      <c r="Y471" s="30">
        <f>IFERROR(__xludf.DUMMYFUNCTION("""COMPUTED_VALUE"""),343.8334609942567)</f>
        <v>343.833461</v>
      </c>
      <c r="Z471" s="30">
        <f>IFERROR(__xludf.DUMMYFUNCTION("""COMPUTED_VALUE"""),0.7545044616022963)</f>
        <v>0.7545044616</v>
      </c>
      <c r="AA471" s="30">
        <f>IFERROR(__xludf.DUMMYFUNCTION("""COMPUTED_VALUE"""),0.5391239645199644)</f>
        <v>0.5391239645</v>
      </c>
      <c r="AB471" s="30">
        <f>IFERROR(__xludf.DUMMYFUNCTION("""COMPUTED_VALUE"""),1.342114305511469)</f>
        <v>1.342114306</v>
      </c>
      <c r="AC471" s="30">
        <f>IFERROR(__xludf.DUMMYFUNCTION("""COMPUTED_VALUE"""),2.484453064553736)</f>
        <v>2.484453065</v>
      </c>
      <c r="AD471" s="30">
        <f>IFERROR(__xludf.DUMMYFUNCTION("""COMPUTED_VALUE"""),0.9812890200515877)</f>
        <v>0.9812890201</v>
      </c>
      <c r="AE471" s="30">
        <f>IFERROR(__xludf.DUMMYFUNCTION("""COMPUTED_VALUE"""),0.8835821397939864)</f>
        <v>0.8835821398</v>
      </c>
      <c r="AF471" s="30">
        <f>IFERROR(__xludf.DUMMYFUNCTION("""COMPUTED_VALUE"""),1.3190122456238502)</f>
        <v>1.319012246</v>
      </c>
      <c r="AG471" s="30">
        <f>IFERROR(__xludf.DUMMYFUNCTION("""COMPUTED_VALUE"""),1.092803094821146)</f>
        <v>1.092803095</v>
      </c>
      <c r="AH471" s="30">
        <f>IFERROR(__xludf.DUMMYFUNCTION("""COMPUTED_VALUE"""),0.9570628689678549)</f>
        <v>0.957062869</v>
      </c>
      <c r="AI471" s="30">
        <f>IFERROR(__xludf.DUMMYFUNCTION("""COMPUTED_VALUE"""),1.0327694119225685)</f>
        <v>1.032769412</v>
      </c>
      <c r="AJ471" s="30">
        <f>IFERROR(__xludf.DUMMYFUNCTION("""COMPUTED_VALUE"""),1.120627910398663)</f>
        <v>1.12062791</v>
      </c>
      <c r="AK471" s="30">
        <f>IFERROR(__xludf.DUMMYFUNCTION("""COMPUTED_VALUE"""),1.0638424022761228)</f>
        <v>1.063842402</v>
      </c>
      <c r="AL471" s="30">
        <f>IFERROR(__xludf.DUMMYFUNCTION("""COMPUTED_VALUE"""),0.9495776497803609)</f>
        <v>0.9495776498</v>
      </c>
      <c r="AM471" s="30">
        <f>IFERROR(__xludf.DUMMYFUNCTION("""COMPUTED_VALUE"""),1.087509495331291)</f>
        <v>1.087509495</v>
      </c>
      <c r="AN471" s="30">
        <f>IFERROR(__xludf.DUMMYFUNCTION("""COMPUTED_VALUE"""),0.9950548287978027)</f>
        <v>0.9950548288</v>
      </c>
      <c r="AO471" s="30">
        <f>IFERROR(__xludf.DUMMYFUNCTION("""COMPUTED_VALUE"""),0.8963706244213118)</f>
        <v>0.8963706244</v>
      </c>
      <c r="AP471" s="30">
        <f>IFERROR(__xludf.DUMMYFUNCTION("""COMPUTED_VALUE"""),1.3028829135949351)</f>
        <v>1.302882914</v>
      </c>
      <c r="AQ471" s="30">
        <f>IFERROR(__xludf.DUMMYFUNCTION("""COMPUTED_VALUE"""),1.1214346249767524)</f>
        <v>1.121434625</v>
      </c>
      <c r="AR471" s="30">
        <f>IFERROR(__xludf.DUMMYFUNCTION("""COMPUTED_VALUE"""),0.950465290409035)</f>
        <v>0.9504652904</v>
      </c>
      <c r="AS471" s="30">
        <f>IFERROR(__xludf.DUMMYFUNCTION("""COMPUTED_VALUE"""),120.0)</f>
        <v>120</v>
      </c>
      <c r="AT471" s="30">
        <f>IFERROR(__xludf.DUMMYFUNCTION("""COMPUTED_VALUE"""),0.5)</f>
        <v>0.5</v>
      </c>
      <c r="AU471" s="30">
        <f>IFERROR(__xludf.DUMMYFUNCTION("""COMPUTED_VALUE"""),2.5267990768545516)</f>
        <v>2.526799077</v>
      </c>
      <c r="AV471" s="32">
        <f>IFERROR(__xludf.DUMMYFUNCTION("""COMPUTED_VALUE"""),51.52990717921869)</f>
        <v>51.52990718</v>
      </c>
      <c r="AW471" s="32">
        <f>IFERROR(__xludf.DUMMYFUNCTION("""COMPUTED_VALUE"""),2.1026008522141737)</f>
        <v>2.102600852</v>
      </c>
      <c r="AX471" s="32">
        <f>IFERROR(__xludf.DUMMYFUNCTION("""COMPUTED_VALUE"""),43.21956543766399)</f>
        <v>43.21956544</v>
      </c>
      <c r="AY471" s="32">
        <f>IFERROR(__xludf.DUMMYFUNCTION("""COMPUTED_VALUE"""),-2.5438048131440834)</f>
        <v>-2.543804813</v>
      </c>
      <c r="AZ471" s="30">
        <f>IFERROR(__xludf.DUMMYFUNCTION("""COMPUTED_VALUE"""),4.646405665358257)</f>
        <v>4.646405665</v>
      </c>
      <c r="BA471" s="30">
        <f>IFERROR(__xludf.DUMMYFUNCTION("""COMPUTED_VALUE"""),1700.0)</f>
        <v>1700</v>
      </c>
    </row>
    <row r="472">
      <c r="A472" s="71" t="str">
        <f>IFERROR(__xludf.DUMMYFUNCTION("""COMPUTED_VALUE"""),"Rival")</f>
        <v>Rival</v>
      </c>
      <c r="B472" s="71" t="str">
        <f>IFERROR(__xludf.DUMMYFUNCTION("""COMPUTED_VALUE"""),"RSC000182")</f>
        <v>RSC000182</v>
      </c>
      <c r="C472" s="30" t="str">
        <f>IFERROR(__xludf.DUMMYFUNCTION("""COMPUTED_VALUE"""),"Goose")</f>
        <v>Goose</v>
      </c>
      <c r="D472" s="30" t="str">
        <f>IFERROR(__xludf.DUMMYFUNCTION("""COMPUTED_VALUE"""),"Dice")</f>
        <v>Dice</v>
      </c>
      <c r="E472" s="30">
        <f>IFERROR(__xludf.DUMMYFUNCTION("""COMPUTED_VALUE"""),40.0)</f>
        <v>40</v>
      </c>
      <c r="F472" s="30">
        <f>IFERROR(__xludf.DUMMYFUNCTION("""COMPUTED_VALUE"""),18.0)</f>
        <v>18</v>
      </c>
      <c r="G472" s="42">
        <f>IFERROR(__xludf.DUMMYFUNCTION("""COMPUTED_VALUE"""),22.0)</f>
        <v>22</v>
      </c>
      <c r="H472" s="42">
        <f>IFERROR(__xludf.DUMMYFUNCTION("""COMPUTED_VALUE"""),0.45)</f>
        <v>0.45</v>
      </c>
      <c r="I472" s="42">
        <f>IFERROR(__xludf.DUMMYFUNCTION("""COMPUTED_VALUE"""),0.3027522935779816)</f>
        <v>0.3027522936</v>
      </c>
      <c r="J472" s="30">
        <f>IFERROR(__xludf.DUMMYFUNCTION("""COMPUTED_VALUE"""),331.875)</f>
        <v>331.875</v>
      </c>
      <c r="K472" s="30">
        <f>IFERROR(__xludf.DUMMYFUNCTION("""COMPUTED_VALUE"""),0.825)</f>
        <v>0.825</v>
      </c>
      <c r="L472" s="30">
        <f>IFERROR(__xludf.DUMMYFUNCTION("""COMPUTED_VALUE"""),0.575)</f>
        <v>0.575</v>
      </c>
      <c r="M472" s="30">
        <f>IFERROR(__xludf.DUMMYFUNCTION("""COMPUTED_VALUE"""),1.15)</f>
        <v>1.15</v>
      </c>
      <c r="N472" s="30">
        <f>IFERROR(__xludf.DUMMYFUNCTION("""COMPUTED_VALUE"""),2.725)</f>
        <v>2.725</v>
      </c>
      <c r="O472" s="30">
        <f>IFERROR(__xludf.DUMMYFUNCTION("""COMPUTED_VALUE"""),355.71666666666664)</f>
        <v>355.7166667</v>
      </c>
      <c r="P472" s="30">
        <f>IFERROR(__xludf.DUMMYFUNCTION("""COMPUTED_VALUE"""),0.8666666666666666)</f>
        <v>0.8666666667</v>
      </c>
      <c r="Q472" s="30">
        <f>IFERROR(__xludf.DUMMYFUNCTION("""COMPUTED_VALUE"""),0.55)</f>
        <v>0.55</v>
      </c>
      <c r="R472" s="30">
        <f>IFERROR(__xludf.DUMMYFUNCTION("""COMPUTED_VALUE"""),1.3499999999999999)</f>
        <v>1.35</v>
      </c>
      <c r="S472" s="30">
        <f>IFERROR(__xludf.DUMMYFUNCTION("""COMPUTED_VALUE"""),2.5083333333333337)</f>
        <v>2.508333333</v>
      </c>
      <c r="T472" s="30">
        <f>IFERROR(__xludf.DUMMYFUNCTION("""COMPUTED_VALUE"""),340.81562716312754)</f>
        <v>340.8156272</v>
      </c>
      <c r="U472" s="30">
        <f>IFERROR(__xludf.DUMMYFUNCTION("""COMPUTED_VALUE"""),0.737413193453595)</f>
        <v>0.7374131935</v>
      </c>
      <c r="V472" s="30">
        <f>IFERROR(__xludf.DUMMYFUNCTION("""COMPUTED_VALUE"""),0.5496035219638916)</f>
        <v>0.549603522</v>
      </c>
      <c r="W472" s="30">
        <f>IFERROR(__xludf.DUMMYFUNCTION("""COMPUTED_VALUE"""),1.3525457432868708)</f>
        <v>1.352545743</v>
      </c>
      <c r="X472" s="30">
        <f>IFERROR(__xludf.DUMMYFUNCTION("""COMPUTED_VALUE"""),2.4619071122826868)</f>
        <v>2.461907112</v>
      </c>
      <c r="Y472" s="30">
        <f>IFERROR(__xludf.DUMMYFUNCTION("""COMPUTED_VALUE"""),343.96473126726653)</f>
        <v>343.9647313</v>
      </c>
      <c r="Z472" s="30">
        <f>IFERROR(__xludf.DUMMYFUNCTION("""COMPUTED_VALUE"""),0.7842723932002571)</f>
        <v>0.7842723932</v>
      </c>
      <c r="AA472" s="30">
        <f>IFERROR(__xludf.DUMMYFUNCTION("""COMPUTED_VALUE"""),0.574101268193542)</f>
        <v>0.5741012682</v>
      </c>
      <c r="AB472" s="30">
        <f>IFERROR(__xludf.DUMMYFUNCTION("""COMPUTED_VALUE"""),1.2633058087174533)</f>
        <v>1.263305809</v>
      </c>
      <c r="AC472" s="30">
        <f>IFERROR(__xludf.DUMMYFUNCTION("""COMPUTED_VALUE"""),2.5834565937857645)</f>
        <v>2.583456594</v>
      </c>
      <c r="AD472" s="30">
        <f>IFERROR(__xludf.DUMMYFUNCTION("""COMPUTED_VALUE"""),0.9648518287827812)</f>
        <v>0.9648518288</v>
      </c>
      <c r="AE472" s="30">
        <f>IFERROR(__xludf.DUMMYFUNCTION("""COMPUTED_VALUE"""),1.0519304353345298)</f>
        <v>1.051930435</v>
      </c>
      <c r="AF472" s="30">
        <f>IFERROR(__xludf.DUMMYFUNCTION("""COMPUTED_VALUE"""),1.0015654586677467)</f>
        <v>1.001565459</v>
      </c>
      <c r="AG472" s="30">
        <f>IFERROR(__xludf.DUMMYFUNCTION("""COMPUTED_VALUE"""),0.9103100706609709)</f>
        <v>0.9103100707</v>
      </c>
      <c r="AH472" s="30">
        <f>IFERROR(__xludf.DUMMYFUNCTION("""COMPUTED_VALUE"""),1.0547883817961965)</f>
        <v>1.054788382</v>
      </c>
      <c r="AI472" s="30">
        <f>IFERROR(__xludf.DUMMYFUNCTION("""COMPUTED_VALUE"""),1.043721702633098)</f>
        <v>1.043721703</v>
      </c>
      <c r="AJ472" s="30">
        <f>IFERROR(__xludf.DUMMYFUNCTION("""COMPUTED_VALUE"""),1.1752795778005094)</f>
        <v>1.175279578</v>
      </c>
      <c r="AK472" s="30">
        <f>IFERROR(__xludf.DUMMYFUNCTION("""COMPUTED_VALUE"""),1.0007213891837732)</f>
        <v>1.000721389</v>
      </c>
      <c r="AL472" s="30">
        <f>IFERROR(__xludf.DUMMYFUNCTION("""COMPUTED_VALUE"""),0.9981178135382804)</f>
        <v>0.9981178135</v>
      </c>
      <c r="AM472" s="30">
        <f>IFERROR(__xludf.DUMMYFUNCTION("""COMPUTED_VALUE"""),1.018857828071182)</f>
        <v>1.018857828</v>
      </c>
      <c r="AN472" s="30">
        <f>IFERROR(__xludf.DUMMYFUNCTION("""COMPUTED_VALUE"""),0.978760584787406)</f>
        <v>0.9787605848</v>
      </c>
      <c r="AO472" s="30">
        <f>IFERROR(__xludf.DUMMYFUNCTION("""COMPUTED_VALUE"""),1.1092586477213733)</f>
        <v>1.109258648</v>
      </c>
      <c r="AP472" s="30">
        <f>IFERROR(__xludf.DUMMYFUNCTION("""COMPUTED_VALUE"""),1.0535029809146546)</f>
        <v>1.053502981</v>
      </c>
      <c r="AQ472" s="30">
        <f>IFERROR(__xludf.DUMMYFUNCTION("""COMPUTED_VALUE"""),0.8793066945840444)</f>
        <v>0.8793066946</v>
      </c>
      <c r="AR472" s="30">
        <f>IFERROR(__xludf.DUMMYFUNCTION("""COMPUTED_VALUE"""),1.0892598713682984)</f>
        <v>1.089259871</v>
      </c>
      <c r="AS472" s="30">
        <f>IFERROR(__xludf.DUMMYFUNCTION("""COMPUTED_VALUE"""),95.0)</f>
        <v>95</v>
      </c>
      <c r="AT472" s="30">
        <f>IFERROR(__xludf.DUMMYFUNCTION("""COMPUTED_VALUE"""),0.46419929416740363)</f>
        <v>0.4641992942</v>
      </c>
      <c r="AU472" s="30">
        <f>IFERROR(__xludf.DUMMYFUNCTION("""COMPUTED_VALUE"""),2.6394644231649296)</f>
        <v>2.639464423</v>
      </c>
      <c r="AV472" s="32">
        <f>IFERROR(__xludf.DUMMYFUNCTION("""COMPUTED_VALUE"""),54.755513217706245)</f>
        <v>54.75551322</v>
      </c>
      <c r="AW472" s="32">
        <f>IFERROR(__xludf.DUMMYFUNCTION("""COMPUTED_VALUE"""),2.355334403430926)</f>
        <v>2.355334403</v>
      </c>
      <c r="AX472" s="32">
        <f>IFERROR(__xludf.DUMMYFUNCTION("""COMPUTED_VALUE"""),46.603315545151304)</f>
        <v>46.60331555</v>
      </c>
      <c r="AY472" s="32">
        <f>IFERROR(__xludf.DUMMYFUNCTION("""COMPUTED_VALUE"""),-2.242338176418681)</f>
        <v>-2.242338176</v>
      </c>
      <c r="AZ472" s="30">
        <f>IFERROR(__xludf.DUMMYFUNCTION("""COMPUTED_VALUE"""),4.597672579849608)</f>
        <v>4.59767258</v>
      </c>
      <c r="BA472" s="30">
        <f>IFERROR(__xludf.DUMMYFUNCTION("""COMPUTED_VALUE"""),1700.0)</f>
        <v>1700</v>
      </c>
    </row>
    <row r="473">
      <c r="A473" s="71" t="str">
        <f>IFERROR(__xludf.DUMMYFUNCTION("""COMPUTED_VALUE"""),"Rival")</f>
        <v>Rival</v>
      </c>
      <c r="B473" s="71" t="str">
        <f>IFERROR(__xludf.DUMMYFUNCTION("""COMPUTED_VALUE"""),"RSC005523")</f>
        <v>RSC005523</v>
      </c>
      <c r="C473" s="30" t="str">
        <f>IFERROR(__xludf.DUMMYFUNCTION("""COMPUTED_VALUE"""),"Laguna")</f>
        <v>Laguna</v>
      </c>
      <c r="D473" s="30" t="str">
        <f>IFERROR(__xludf.DUMMYFUNCTION("""COMPUTED_VALUE"""),"Quasars")</f>
        <v>Quasars</v>
      </c>
      <c r="E473" s="30">
        <f>IFERROR(__xludf.DUMMYFUNCTION("""COMPUTED_VALUE"""),37.0)</f>
        <v>37</v>
      </c>
      <c r="F473" s="30">
        <f>IFERROR(__xludf.DUMMYFUNCTION("""COMPUTED_VALUE"""),19.0)</f>
        <v>19</v>
      </c>
      <c r="G473" s="42">
        <f>IFERROR(__xludf.DUMMYFUNCTION("""COMPUTED_VALUE"""),18.0)</f>
        <v>18</v>
      </c>
      <c r="H473" s="42">
        <f>IFERROR(__xludf.DUMMYFUNCTION("""COMPUTED_VALUE"""),0.5135135135135135)</f>
        <v>0.5135135135</v>
      </c>
      <c r="I473" s="42">
        <f>IFERROR(__xludf.DUMMYFUNCTION("""COMPUTED_VALUE"""),0.36633663366336633)</f>
        <v>0.3663366337</v>
      </c>
      <c r="J473" s="30">
        <f>IFERROR(__xludf.DUMMYFUNCTION("""COMPUTED_VALUE"""),377.3243243243243)</f>
        <v>377.3243243</v>
      </c>
      <c r="K473" s="30">
        <f>IFERROR(__xludf.DUMMYFUNCTION("""COMPUTED_VALUE"""),1.0)</f>
        <v>1</v>
      </c>
      <c r="L473" s="30">
        <f>IFERROR(__xludf.DUMMYFUNCTION("""COMPUTED_VALUE"""),0.8918918918918919)</f>
        <v>0.8918918919</v>
      </c>
      <c r="M473" s="30">
        <f>IFERROR(__xludf.DUMMYFUNCTION("""COMPUTED_VALUE"""),1.1081081081081081)</f>
        <v>1.108108108</v>
      </c>
      <c r="N473" s="30">
        <f>IFERROR(__xludf.DUMMYFUNCTION("""COMPUTED_VALUE"""),2.72972972972973)</f>
        <v>2.72972973</v>
      </c>
      <c r="O473" s="30">
        <f>IFERROR(__xludf.DUMMYFUNCTION("""COMPUTED_VALUE"""),360.5045045045044)</f>
        <v>360.5045045</v>
      </c>
      <c r="P473" s="30">
        <f>IFERROR(__xludf.DUMMYFUNCTION("""COMPUTED_VALUE"""),0.837837837837838)</f>
        <v>0.8378378378</v>
      </c>
      <c r="Q473" s="30">
        <f>IFERROR(__xludf.DUMMYFUNCTION("""COMPUTED_VALUE"""),0.5585585585585586)</f>
        <v>0.5585585586</v>
      </c>
      <c r="R473" s="30">
        <f>IFERROR(__xludf.DUMMYFUNCTION("""COMPUTED_VALUE"""),1.3963963963963968)</f>
        <v>1.396396396</v>
      </c>
      <c r="S473" s="30">
        <f>IFERROR(__xludf.DUMMYFUNCTION("""COMPUTED_VALUE"""),2.522522522522523)</f>
        <v>2.522522523</v>
      </c>
      <c r="T473" s="30">
        <f>IFERROR(__xludf.DUMMYFUNCTION("""COMPUTED_VALUE"""),346.0560725633594)</f>
        <v>346.0560726</v>
      </c>
      <c r="U473" s="30">
        <f>IFERROR(__xludf.DUMMYFUNCTION("""COMPUTED_VALUE"""),0.7784437827453204)</f>
        <v>0.7784437827</v>
      </c>
      <c r="V473" s="30">
        <f>IFERROR(__xludf.DUMMYFUNCTION("""COMPUTED_VALUE"""),0.5223504330335895)</f>
        <v>0.522350433</v>
      </c>
      <c r="W473" s="30">
        <f>IFERROR(__xludf.DUMMYFUNCTION("""COMPUTED_VALUE"""),1.330897909480263)</f>
        <v>1.330897909</v>
      </c>
      <c r="X473" s="30">
        <f>IFERROR(__xludf.DUMMYFUNCTION("""COMPUTED_VALUE"""),2.565826565033432)</f>
        <v>2.565826565</v>
      </c>
      <c r="Y473" s="30">
        <f>IFERROR(__xludf.DUMMYFUNCTION("""COMPUTED_VALUE"""),353.12227468318895)</f>
        <v>353.1222747</v>
      </c>
      <c r="Z473" s="30">
        <f>IFERROR(__xludf.DUMMYFUNCTION("""COMPUTED_VALUE"""),0.8134007865809457)</f>
        <v>0.8134007866</v>
      </c>
      <c r="AA473" s="30">
        <f>IFERROR(__xludf.DUMMYFUNCTION("""COMPUTED_VALUE"""),0.5946837188303276)</f>
        <v>0.5946837188</v>
      </c>
      <c r="AB473" s="30">
        <f>IFERROR(__xludf.DUMMYFUNCTION("""COMPUTED_VALUE"""),1.3256524594095995)</f>
        <v>1.325652459</v>
      </c>
      <c r="AC473" s="30">
        <f>IFERROR(__xludf.DUMMYFUNCTION("""COMPUTED_VALUE"""),2.6634154167769752)</f>
        <v>2.663415417</v>
      </c>
      <c r="AD473" s="30">
        <f>IFERROR(__xludf.DUMMYFUNCTION("""COMPUTED_VALUE"""),1.068537306695956)</f>
        <v>1.068537307</v>
      </c>
      <c r="AE473" s="30">
        <f>IFERROR(__xludf.DUMMYFUNCTION("""COMPUTED_VALUE"""),1.2294062367500365)</f>
        <v>1.229406237</v>
      </c>
      <c r="AF473" s="30">
        <f>IFERROR(__xludf.DUMMYFUNCTION("""COMPUTED_VALUE"""),1.4997751975556648)</f>
        <v>1.499775198</v>
      </c>
      <c r="AG473" s="30">
        <f>IFERROR(__xludf.DUMMYFUNCTION("""COMPUTED_VALUE"""),0.8358963921823234)</f>
        <v>0.8358963922</v>
      </c>
      <c r="AH473" s="30">
        <f>IFERROR(__xludf.DUMMYFUNCTION("""COMPUTED_VALUE"""),1.0248982237374755)</f>
        <v>1.024898224</v>
      </c>
      <c r="AI473" s="30">
        <f>IFERROR(__xludf.DUMMYFUNCTION("""COMPUTED_VALUE"""),1.0417517075603393)</f>
        <v>1.041751708</v>
      </c>
      <c r="AJ473" s="30">
        <f>IFERROR(__xludf.DUMMYFUNCTION("""COMPUTED_VALUE"""),1.0762984513577254)</f>
        <v>1.076298451</v>
      </c>
      <c r="AK473" s="30">
        <f>IFERROR(__xludf.DUMMYFUNCTION("""COMPUTED_VALUE"""),1.0693176902614738)</f>
        <v>1.06931769</v>
      </c>
      <c r="AL473" s="30">
        <f>IFERROR(__xludf.DUMMYFUNCTION("""COMPUTED_VALUE"""),1.0492137574562064)</f>
        <v>1.049213757</v>
      </c>
      <c r="AM473" s="30">
        <f>IFERROR(__xludf.DUMMYFUNCTION("""COMPUTED_VALUE"""),0.9831227710005627)</f>
        <v>0.983122771</v>
      </c>
      <c r="AN473" s="30">
        <f>IFERROR(__xludf.DUMMYFUNCTION("""COMPUTED_VALUE"""),1.112799024723732)</f>
        <v>1.112799025</v>
      </c>
      <c r="AO473" s="30">
        <f>IFERROR(__xludf.DUMMYFUNCTION("""COMPUTED_VALUE"""),1.3445559366319677)</f>
        <v>1.344555937</v>
      </c>
      <c r="AP473" s="30">
        <f>IFERROR(__xludf.DUMMYFUNCTION("""COMPUTED_VALUE"""),1.6341056813247286)</f>
        <v>1.634105681</v>
      </c>
      <c r="AQ473" s="30">
        <f>IFERROR(__xludf.DUMMYFUNCTION("""COMPUTED_VALUE"""),0.8472755458976692)</f>
        <v>0.8472755459</v>
      </c>
      <c r="AR473" s="30">
        <f>IFERROR(__xludf.DUMMYFUNCTION("""COMPUTED_VALUE"""),1.091150478633257)</f>
        <v>1.091150479</v>
      </c>
      <c r="AS473" s="30">
        <f>IFERROR(__xludf.DUMMYFUNCTION("""COMPUTED_VALUE"""),103.0)</f>
        <v>103</v>
      </c>
      <c r="AT473" s="30">
        <f>IFERROR(__xludf.DUMMYFUNCTION("""COMPUTED_VALUE"""),0.5411067780288175)</f>
        <v>0.541106778</v>
      </c>
      <c r="AU473" s="30">
        <f>IFERROR(__xludf.DUMMYFUNCTION("""COMPUTED_VALUE"""),3.42694255914799)</f>
        <v>3.426942559</v>
      </c>
      <c r="AV473" s="32">
        <f>IFERROR(__xludf.DUMMYFUNCTION("""COMPUTED_VALUE"""),77.30099249583552)</f>
        <v>77.3009925</v>
      </c>
      <c r="AW473" s="32">
        <f>IFERROR(__xludf.DUMMYFUNCTION("""COMPUTED_VALUE"""),7.2776058664394325)</f>
        <v>7.277605866</v>
      </c>
      <c r="AX473" s="32">
        <f>IFERROR(__xludf.DUMMYFUNCTION("""COMPUTED_VALUE"""),58.896752394467335)</f>
        <v>58.89675239</v>
      </c>
      <c r="AY473" s="32">
        <f>IFERROR(__xludf.DUMMYFUNCTION("""COMPUTED_VALUE"""),2.7703215658886786)</f>
        <v>2.770321566</v>
      </c>
      <c r="AZ473" s="30">
        <f>IFERROR(__xludf.DUMMYFUNCTION("""COMPUTED_VALUE"""),4.507284300550754)</f>
        <v>4.507284301</v>
      </c>
      <c r="BA473" s="30">
        <f>IFERROR(__xludf.DUMMYFUNCTION("""COMPUTED_VALUE"""),1700.0)</f>
        <v>1700</v>
      </c>
    </row>
    <row r="474">
      <c r="A474" s="71" t="str">
        <f>IFERROR(__xludf.DUMMYFUNCTION("""COMPUTED_VALUE"""),"Rival")</f>
        <v>Rival</v>
      </c>
      <c r="B474" s="71" t="str">
        <f>IFERROR(__xludf.DUMMYFUNCTION("""COMPUTED_VALUE"""),"RSC007132")</f>
        <v>RSC007132</v>
      </c>
      <c r="C474" s="30" t="str">
        <f>IFERROR(__xludf.DUMMYFUNCTION("""COMPUTED_VALUE"""),"yoyo")</f>
        <v>yoyo</v>
      </c>
      <c r="D474" s="30"/>
      <c r="E474" s="30">
        <f>IFERROR(__xludf.DUMMYFUNCTION("""COMPUTED_VALUE"""),15.0)</f>
        <v>15</v>
      </c>
      <c r="F474" s="30">
        <f>IFERROR(__xludf.DUMMYFUNCTION("""COMPUTED_VALUE"""),8.0)</f>
        <v>8</v>
      </c>
      <c r="G474" s="42">
        <f>IFERROR(__xludf.DUMMYFUNCTION("""COMPUTED_VALUE"""),7.0)</f>
        <v>7</v>
      </c>
      <c r="H474" s="42">
        <f>IFERROR(__xludf.DUMMYFUNCTION("""COMPUTED_VALUE"""),0.5333333333333333)</f>
        <v>0.5333333333</v>
      </c>
      <c r="I474" s="42">
        <f>IFERROR(__xludf.DUMMYFUNCTION("""COMPUTED_VALUE"""),0.25)</f>
        <v>0.25</v>
      </c>
      <c r="J474" s="30">
        <f>IFERROR(__xludf.DUMMYFUNCTION("""COMPUTED_VALUE"""),358.1333333333333)</f>
        <v>358.1333333</v>
      </c>
      <c r="K474" s="30">
        <f>IFERROR(__xludf.DUMMYFUNCTION("""COMPUTED_VALUE"""),1.0)</f>
        <v>1</v>
      </c>
      <c r="L474" s="30">
        <f>IFERROR(__xludf.DUMMYFUNCTION("""COMPUTED_VALUE"""),0.5333333333333333)</f>
        <v>0.5333333333</v>
      </c>
      <c r="M474" s="30">
        <f>IFERROR(__xludf.DUMMYFUNCTION("""COMPUTED_VALUE"""),0.9333333333333333)</f>
        <v>0.9333333333</v>
      </c>
      <c r="N474" s="30">
        <f>IFERROR(__xludf.DUMMYFUNCTION("""COMPUTED_VALUE"""),4.0)</f>
        <v>4</v>
      </c>
      <c r="O474" s="30">
        <f>IFERROR(__xludf.DUMMYFUNCTION("""COMPUTED_VALUE"""),361.2)</f>
        <v>361.2</v>
      </c>
      <c r="P474" s="30">
        <f>IFERROR(__xludf.DUMMYFUNCTION("""COMPUTED_VALUE"""),0.8444444444444446)</f>
        <v>0.8444444444</v>
      </c>
      <c r="Q474" s="30">
        <f>IFERROR(__xludf.DUMMYFUNCTION("""COMPUTED_VALUE"""),0.6222222222222221)</f>
        <v>0.6222222222</v>
      </c>
      <c r="R474" s="30">
        <f>IFERROR(__xludf.DUMMYFUNCTION("""COMPUTED_VALUE"""),1.3999999999999997)</f>
        <v>1.4</v>
      </c>
      <c r="S474" s="30">
        <f>IFERROR(__xludf.DUMMYFUNCTION("""COMPUTED_VALUE"""),2.7111111111111112)</f>
        <v>2.711111111</v>
      </c>
      <c r="T474" s="30">
        <f>IFERROR(__xludf.DUMMYFUNCTION("""COMPUTED_VALUE"""),348.64340780778207)</f>
        <v>348.6434078</v>
      </c>
      <c r="U474" s="30">
        <f>IFERROR(__xludf.DUMMYFUNCTION("""COMPUTED_VALUE"""),0.7696934867525572)</f>
        <v>0.7696934868</v>
      </c>
      <c r="V474" s="30">
        <f>IFERROR(__xludf.DUMMYFUNCTION("""COMPUTED_VALUE"""),0.5645585382020901)</f>
        <v>0.5645585382</v>
      </c>
      <c r="W474" s="30">
        <f>IFERROR(__xludf.DUMMYFUNCTION("""COMPUTED_VALUE"""),1.3686431417565044)</f>
        <v>1.368643142</v>
      </c>
      <c r="X474" s="30">
        <f>IFERROR(__xludf.DUMMYFUNCTION("""COMPUTED_VALUE"""),2.5841620407045935)</f>
        <v>2.584162041</v>
      </c>
      <c r="Y474" s="30">
        <f>IFERROR(__xludf.DUMMYFUNCTION("""COMPUTED_VALUE"""),346.1347240177249)</f>
        <v>346.134724</v>
      </c>
      <c r="Z474" s="30">
        <f>IFERROR(__xludf.DUMMYFUNCTION("""COMPUTED_VALUE"""),0.7621538553887487)</f>
        <v>0.7621538554</v>
      </c>
      <c r="AA474" s="30">
        <f>IFERROR(__xludf.DUMMYFUNCTION("""COMPUTED_VALUE"""),0.5332652072546449)</f>
        <v>0.5332652073</v>
      </c>
      <c r="AB474" s="30">
        <f>IFERROR(__xludf.DUMMYFUNCTION("""COMPUTED_VALUE"""),1.3438978587888826)</f>
        <v>1.343897859</v>
      </c>
      <c r="AC474" s="30">
        <f>IFERROR(__xludf.DUMMYFUNCTION("""COMPUTED_VALUE"""),2.627283197128561)</f>
        <v>2.627283197</v>
      </c>
      <c r="AD474" s="30">
        <f>IFERROR(__xludf.DUMMYFUNCTION("""COMPUTED_VALUE"""),1.0346645640643497)</f>
        <v>1.034664564</v>
      </c>
      <c r="AE474" s="30">
        <f>IFERROR(__xludf.DUMMYFUNCTION("""COMPUTED_VALUE"""),1.312071037795819)</f>
        <v>1.312071038</v>
      </c>
      <c r="AF474" s="30">
        <f>IFERROR(__xludf.DUMMYFUNCTION("""COMPUTED_VALUE"""),1.0001277527162127)</f>
        <v>1.000127753</v>
      </c>
      <c r="AG474" s="30">
        <f>IFERROR(__xludf.DUMMYFUNCTION("""COMPUTED_VALUE"""),0.6944972247924043)</f>
        <v>0.6944972248</v>
      </c>
      <c r="AH474" s="30">
        <f>IFERROR(__xludf.DUMMYFUNCTION("""COMPUTED_VALUE"""),1.5224852822762784)</f>
        <v>1.522485282</v>
      </c>
      <c r="AI474" s="30">
        <f>IFERROR(__xludf.DUMMYFUNCTION("""COMPUTED_VALUE"""),1.0360155732505367)</f>
        <v>1.036015573</v>
      </c>
      <c r="AJ474" s="30">
        <f>IFERROR(__xludf.DUMMYFUNCTION("""COMPUTED_VALUE"""),1.0971178254440894)</f>
        <v>1.097117825</v>
      </c>
      <c r="AK474" s="30">
        <f>IFERROR(__xludf.DUMMYFUNCTION("""COMPUTED_VALUE"""),1.1021394242017302)</f>
        <v>1.102139424</v>
      </c>
      <c r="AL474" s="30">
        <f>IFERROR(__xludf.DUMMYFUNCTION("""COMPUTED_VALUE"""),1.0229109088313935)</f>
        <v>1.022910909</v>
      </c>
      <c r="AM474" s="30">
        <f>IFERROR(__xludf.DUMMYFUNCTION("""COMPUTED_VALUE"""),1.0491258165729824)</f>
        <v>1.049125817</v>
      </c>
      <c r="AN474" s="30">
        <f>IFERROR(__xludf.DUMMYFUNCTION("""COMPUTED_VALUE"""),1.0562012527764861)</f>
        <v>1.056201253</v>
      </c>
      <c r="AO474" s="30">
        <f>IFERROR(__xludf.DUMMYFUNCTION("""COMPUTED_VALUE"""),1.3445559366319677)</f>
        <v>1.344555937</v>
      </c>
      <c r="AP474" s="30">
        <f>IFERROR(__xludf.DUMMYFUNCTION("""COMPUTED_VALUE"""),0.9771621851962013)</f>
        <v>0.9771621852</v>
      </c>
      <c r="AQ474" s="30">
        <f>IFERROR(__xludf.DUMMYFUNCTION("""COMPUTED_VALUE"""),0.713640215894297)</f>
        <v>0.7136402159</v>
      </c>
      <c r="AR474" s="30">
        <f>IFERROR(__xludf.DUMMYFUNCTION("""COMPUTED_VALUE"""),1.598913572650713)</f>
        <v>1.598913573</v>
      </c>
      <c r="AS474" s="30">
        <f>IFERROR(__xludf.DUMMYFUNCTION("""COMPUTED_VALUE"""),41.0)</f>
        <v>41</v>
      </c>
      <c r="AT474" s="30">
        <f>IFERROR(__xludf.DUMMYFUNCTION("""COMPUTED_VALUE"""),0.5305641293317706)</f>
        <v>0.5305641293</v>
      </c>
      <c r="AU474" s="30">
        <f>IFERROR(__xludf.DUMMYFUNCTION("""COMPUTED_VALUE"""),3.3787959270251586)</f>
        <v>3.378795927</v>
      </c>
      <c r="AV474" s="32">
        <f>IFERROR(__xludf.DUMMYFUNCTION("""COMPUTED_VALUE"""),75.92255562598906)</f>
        <v>75.92255563</v>
      </c>
      <c r="AW474" s="32">
        <f>IFERROR(__xludf.DUMMYFUNCTION("""COMPUTED_VALUE"""),6.671527388673092)</f>
        <v>6.671527389</v>
      </c>
      <c r="AX474" s="32">
        <f>IFERROR(__xludf.DUMMYFUNCTION("""COMPUTED_VALUE"""),53.14051924947121)</f>
        <v>53.14051925</v>
      </c>
      <c r="AY474" s="32">
        <f>IFERROR(__xludf.DUMMYFUNCTION("""COMPUTED_VALUE"""),2.2221429136132254)</f>
        <v>2.222142914</v>
      </c>
      <c r="AZ474" s="30">
        <f>IFERROR(__xludf.DUMMYFUNCTION("""COMPUTED_VALUE"""),4.449384475059867)</f>
        <v>4.449384475</v>
      </c>
      <c r="BA474" s="30">
        <f>IFERROR(__xludf.DUMMYFUNCTION("""COMPUTED_VALUE"""),1700.0)</f>
        <v>1700</v>
      </c>
    </row>
    <row r="475">
      <c r="A475" s="71" t="str">
        <f>IFERROR(__xludf.DUMMYFUNCTION("""COMPUTED_VALUE"""),"Rival")</f>
        <v>Rival</v>
      </c>
      <c r="B475" s="71" t="str">
        <f>IFERROR(__xludf.DUMMYFUNCTION("""COMPUTED_VALUE"""),"RSC007527")</f>
        <v>RSC007527</v>
      </c>
      <c r="C475" s="30" t="str">
        <f>IFERROR(__xludf.DUMMYFUNCTION("""COMPUTED_VALUE"""),"Yort")</f>
        <v>Yort</v>
      </c>
      <c r="D475" s="30" t="str">
        <f>IFERROR(__xludf.DUMMYFUNCTION("""COMPUTED_VALUE"""),"Dracos")</f>
        <v>Dracos</v>
      </c>
      <c r="E475" s="30">
        <f>IFERROR(__xludf.DUMMYFUNCTION("""COMPUTED_VALUE"""),38.0)</f>
        <v>38</v>
      </c>
      <c r="F475" s="30">
        <f>IFERROR(__xludf.DUMMYFUNCTION("""COMPUTED_VALUE"""),19.0)</f>
        <v>19</v>
      </c>
      <c r="G475" s="42">
        <f>IFERROR(__xludf.DUMMYFUNCTION("""COMPUTED_VALUE"""),19.0)</f>
        <v>19</v>
      </c>
      <c r="H475" s="42">
        <f>IFERROR(__xludf.DUMMYFUNCTION("""COMPUTED_VALUE"""),0.5)</f>
        <v>0.5</v>
      </c>
      <c r="I475" s="42">
        <f>IFERROR(__xludf.DUMMYFUNCTION("""COMPUTED_VALUE"""),0.35051546391752575)</f>
        <v>0.3505154639</v>
      </c>
      <c r="J475" s="30">
        <f>IFERROR(__xludf.DUMMYFUNCTION("""COMPUTED_VALUE"""),356.07894736842104)</f>
        <v>356.0789474</v>
      </c>
      <c r="K475" s="30">
        <f>IFERROR(__xludf.DUMMYFUNCTION("""COMPUTED_VALUE"""),0.8947368421052632)</f>
        <v>0.8947368421</v>
      </c>
      <c r="L475" s="30">
        <f>IFERROR(__xludf.DUMMYFUNCTION("""COMPUTED_VALUE"""),0.39473684210526316)</f>
        <v>0.3947368421</v>
      </c>
      <c r="M475" s="30">
        <f>IFERROR(__xludf.DUMMYFUNCTION("""COMPUTED_VALUE"""),1.3421052631578947)</f>
        <v>1.342105263</v>
      </c>
      <c r="N475" s="30">
        <f>IFERROR(__xludf.DUMMYFUNCTION("""COMPUTED_VALUE"""),2.5526315789473686)</f>
        <v>2.552631579</v>
      </c>
      <c r="O475" s="30">
        <f>IFERROR(__xludf.DUMMYFUNCTION("""COMPUTED_VALUE"""),353.80701754385956)</f>
        <v>353.8070175</v>
      </c>
      <c r="P475" s="30">
        <f>IFERROR(__xludf.DUMMYFUNCTION("""COMPUTED_VALUE"""),0.868421052631579)</f>
        <v>0.8684210526</v>
      </c>
      <c r="Q475" s="30">
        <f>IFERROR(__xludf.DUMMYFUNCTION("""COMPUTED_VALUE"""),0.5263157894736843)</f>
        <v>0.5263157895</v>
      </c>
      <c r="R475" s="30">
        <f>IFERROR(__xludf.DUMMYFUNCTION("""COMPUTED_VALUE"""),1.2894736842105268)</f>
        <v>1.289473684</v>
      </c>
      <c r="S475" s="30">
        <f>IFERROR(__xludf.DUMMYFUNCTION("""COMPUTED_VALUE"""),2.657894736842105)</f>
        <v>2.657894737</v>
      </c>
      <c r="T475" s="30">
        <f>IFERROR(__xludf.DUMMYFUNCTION("""COMPUTED_VALUE"""),352.36384334079617)</f>
        <v>352.3638433</v>
      </c>
      <c r="U475" s="30">
        <f>IFERROR(__xludf.DUMMYFUNCTION("""COMPUTED_VALUE"""),0.7831401130120429)</f>
        <v>0.783140113</v>
      </c>
      <c r="V475" s="30">
        <f>IFERROR(__xludf.DUMMYFUNCTION("""COMPUTED_VALUE"""),0.553934457865033)</f>
        <v>0.5539344579</v>
      </c>
      <c r="W475" s="30">
        <f>IFERROR(__xludf.DUMMYFUNCTION("""COMPUTED_VALUE"""),1.3174215167848364)</f>
        <v>1.317421517</v>
      </c>
      <c r="X475" s="30">
        <f>IFERROR(__xludf.DUMMYFUNCTION("""COMPUTED_VALUE"""),2.723816545141763)</f>
        <v>2.723816545</v>
      </c>
      <c r="Y475" s="30">
        <f>IFERROR(__xludf.DUMMYFUNCTION("""COMPUTED_VALUE"""),348.0926614523507)</f>
        <v>348.0926615</v>
      </c>
      <c r="Z475" s="30">
        <f>IFERROR(__xludf.DUMMYFUNCTION("""COMPUTED_VALUE"""),0.7681816516333109)</f>
        <v>0.7681816516</v>
      </c>
      <c r="AA475" s="30">
        <f>IFERROR(__xludf.DUMMYFUNCTION("""COMPUTED_VALUE"""),0.5469278269645921)</f>
        <v>0.546927827</v>
      </c>
      <c r="AB475" s="30">
        <f>IFERROR(__xludf.DUMMYFUNCTION("""COMPUTED_VALUE"""),1.3616300004357933)</f>
        <v>1.36163</v>
      </c>
      <c r="AC475" s="30">
        <f>IFERROR(__xludf.DUMMYFUNCTION("""COMPUTED_VALUE"""),2.5465729314557315)</f>
        <v>2.546572931</v>
      </c>
      <c r="AD475" s="30">
        <f>IFERROR(__xludf.DUMMYFUNCTION("""COMPUTED_VALUE"""),1.0229429884639023)</f>
        <v>1.022942988</v>
      </c>
      <c r="AE475" s="30">
        <f>IFERROR(__xludf.DUMMYFUNCTION("""COMPUTED_VALUE"""),1.16474643751627)</f>
        <v>1.164746438</v>
      </c>
      <c r="AF475" s="30">
        <f>IFERROR(__xludf.DUMMYFUNCTION("""COMPUTED_VALUE"""),0.7217347932286106)</f>
        <v>0.7217347932</v>
      </c>
      <c r="AG475" s="30">
        <f>IFERROR(__xludf.DUMMYFUNCTION("""COMPUTED_VALUE"""),0.9856607615345948)</f>
        <v>0.9856607615</v>
      </c>
      <c r="AH475" s="30">
        <f>IFERROR(__xludf.DUMMYFUNCTION("""COMPUTED_VALUE"""),1.0023791376311275)</f>
        <v>1.002379138</v>
      </c>
      <c r="AI475" s="30">
        <f>IFERROR(__xludf.DUMMYFUNCTION("""COMPUTED_VALUE"""),1.0040956932169331)</f>
        <v>1.004095693</v>
      </c>
      <c r="AJ475" s="30">
        <f>IFERROR(__xludf.DUMMYFUNCTION("""COMPUTED_VALUE"""),1.1088961454056239)</f>
        <v>1.108896145</v>
      </c>
      <c r="AK475" s="30">
        <f>IFERROR(__xludf.DUMMYFUNCTION("""COMPUTED_VALUE"""),0.9501409092732808)</f>
        <v>0.9501409093</v>
      </c>
      <c r="AL475" s="30">
        <f>IFERROR(__xludf.DUMMYFUNCTION("""COMPUTED_VALUE"""),0.9787859601363456)</f>
        <v>0.9787859601</v>
      </c>
      <c r="AM475" s="30">
        <f>IFERROR(__xludf.DUMMYFUNCTION("""COMPUTED_VALUE"""),0.9757979998993555)</f>
        <v>0.9757979999</v>
      </c>
      <c r="AN475" s="30">
        <f>IFERROR(__xludf.DUMMYFUNCTION("""COMPUTED_VALUE"""),1.0501424896626734)</f>
        <v>1.05014249</v>
      </c>
      <c r="AO475" s="30">
        <f>IFERROR(__xludf.DUMMYFUNCTION("""COMPUTED_VALUE"""),1.2030237327759712)</f>
        <v>1.203023733</v>
      </c>
      <c r="AP475" s="30">
        <f>IFERROR(__xludf.DUMMYFUNCTION("""COMPUTED_VALUE"""),0.7232285910169254)</f>
        <v>0.723228591</v>
      </c>
      <c r="AQ475" s="30">
        <f>IFERROR(__xludf.DUMMYFUNCTION("""COMPUTED_VALUE"""),1.0261931675923632)</f>
        <v>1.026193168</v>
      </c>
      <c r="AR475" s="30">
        <f>IFERROR(__xludf.DUMMYFUNCTION("""COMPUTED_VALUE"""),1.020359319388942)</f>
        <v>1.020359319</v>
      </c>
      <c r="AS475" s="30">
        <f>IFERROR(__xludf.DUMMYFUNCTION("""COMPUTED_VALUE"""),89.0)</f>
        <v>89</v>
      </c>
      <c r="AT475" s="30">
        <f>IFERROR(__xludf.DUMMYFUNCTION("""COMPUTED_VALUE"""),0.45797749306388547)</f>
        <v>0.4579774931</v>
      </c>
      <c r="AU475" s="30">
        <f>IFERROR(__xludf.DUMMYFUNCTION("""COMPUTED_VALUE"""),2.607851201218745)</f>
        <v>2.607851201</v>
      </c>
      <c r="AV475" s="32">
        <f>IFERROR(__xludf.DUMMYFUNCTION("""COMPUTED_VALUE"""),53.85042746645189)</f>
        <v>53.85042747</v>
      </c>
      <c r="AW475" s="32">
        <f>IFERROR(__xludf.DUMMYFUNCTION("""COMPUTED_VALUE"""),2.278952299124949)</f>
        <v>2.278952299</v>
      </c>
      <c r="AX475" s="32">
        <f>IFERROR(__xludf.DUMMYFUNCTION("""COMPUTED_VALUE"""),47.7076947693033)</f>
        <v>47.70769477</v>
      </c>
      <c r="AY475" s="32">
        <f>IFERROR(__xludf.DUMMYFUNCTION("""COMPUTED_VALUE"""),-2.157630933215088)</f>
        <v>-2.157630933</v>
      </c>
      <c r="AZ475" s="30">
        <f>IFERROR(__xludf.DUMMYFUNCTION("""COMPUTED_VALUE"""),4.436583232340038)</f>
        <v>4.436583232</v>
      </c>
      <c r="BA475" s="30">
        <f>IFERROR(__xludf.DUMMYFUNCTION("""COMPUTED_VALUE"""),1700.0)</f>
        <v>1700</v>
      </c>
    </row>
    <row r="476">
      <c r="A476" s="71" t="str">
        <f>IFERROR(__xludf.DUMMYFUNCTION("""COMPUTED_VALUE"""),"Rival")</f>
        <v>Rival</v>
      </c>
      <c r="B476" s="71" t="str">
        <f>IFERROR(__xludf.DUMMYFUNCTION("""COMPUTED_VALUE"""),"RSC006654")</f>
        <v>RSC006654</v>
      </c>
      <c r="C476" s="30" t="str">
        <f>IFERROR(__xludf.DUMMYFUNCTION("""COMPUTED_VALUE"""),"Chicken")</f>
        <v>Chicken</v>
      </c>
      <c r="D476" s="30" t="str">
        <f>IFERROR(__xludf.DUMMYFUNCTION("""COMPUTED_VALUE"""),"Ocelots")</f>
        <v>Ocelots</v>
      </c>
      <c r="E476" s="30">
        <f>IFERROR(__xludf.DUMMYFUNCTION("""COMPUTED_VALUE"""),34.0)</f>
        <v>34</v>
      </c>
      <c r="F476" s="30">
        <f>IFERROR(__xludf.DUMMYFUNCTION("""COMPUTED_VALUE"""),21.0)</f>
        <v>21</v>
      </c>
      <c r="G476" s="42">
        <f>IFERROR(__xludf.DUMMYFUNCTION("""COMPUTED_VALUE"""),13.0)</f>
        <v>13</v>
      </c>
      <c r="H476" s="42">
        <f>IFERROR(__xludf.DUMMYFUNCTION("""COMPUTED_VALUE"""),0.6176470588235294)</f>
        <v>0.6176470588</v>
      </c>
      <c r="I476" s="42">
        <f>IFERROR(__xludf.DUMMYFUNCTION("""COMPUTED_VALUE"""),0.32467532467532473)</f>
        <v>0.3246753247</v>
      </c>
      <c r="J476" s="30">
        <f>IFERROR(__xludf.DUMMYFUNCTION("""COMPUTED_VALUE"""),339.8529411764706)</f>
        <v>339.8529412</v>
      </c>
      <c r="K476" s="30">
        <f>IFERROR(__xludf.DUMMYFUNCTION("""COMPUTED_VALUE"""),0.7352941176470589)</f>
        <v>0.7352941176</v>
      </c>
      <c r="L476" s="30">
        <f>IFERROR(__xludf.DUMMYFUNCTION("""COMPUTED_VALUE"""),0.4411764705882353)</f>
        <v>0.4411764706</v>
      </c>
      <c r="M476" s="30">
        <f>IFERROR(__xludf.DUMMYFUNCTION("""COMPUTED_VALUE"""),1.4411764705882353)</f>
        <v>1.441176471</v>
      </c>
      <c r="N476" s="30">
        <f>IFERROR(__xludf.DUMMYFUNCTION("""COMPUTED_VALUE"""),2.264705882352941)</f>
        <v>2.264705882</v>
      </c>
      <c r="O476" s="30">
        <f>IFERROR(__xludf.DUMMYFUNCTION("""COMPUTED_VALUE"""),317.33333333333337)</f>
        <v>317.3333333</v>
      </c>
      <c r="P476" s="30">
        <f>IFERROR(__xludf.DUMMYFUNCTION("""COMPUTED_VALUE"""),0.588235294117647)</f>
        <v>0.5882352941</v>
      </c>
      <c r="Q476" s="30">
        <f>IFERROR(__xludf.DUMMYFUNCTION("""COMPUTED_VALUE"""),0.3529411764705883)</f>
        <v>0.3529411765</v>
      </c>
      <c r="R476" s="30">
        <f>IFERROR(__xludf.DUMMYFUNCTION("""COMPUTED_VALUE"""),1.3627450980392155)</f>
        <v>1.362745098</v>
      </c>
      <c r="S476" s="30">
        <f>IFERROR(__xludf.DUMMYFUNCTION("""COMPUTED_VALUE"""),2.2647058823529416)</f>
        <v>2.264705882</v>
      </c>
      <c r="T476" s="30">
        <f>IFERROR(__xludf.DUMMYFUNCTION("""COMPUTED_VALUE"""),344.24822425259663)</f>
        <v>344.2482243</v>
      </c>
      <c r="U476" s="30">
        <f>IFERROR(__xludf.DUMMYFUNCTION("""COMPUTED_VALUE"""),0.7549973626342548)</f>
        <v>0.7549973626</v>
      </c>
      <c r="V476" s="30">
        <f>IFERROR(__xludf.DUMMYFUNCTION("""COMPUTED_VALUE"""),0.5133690839835829)</f>
        <v>0.513369084</v>
      </c>
      <c r="W476" s="30">
        <f>IFERROR(__xludf.DUMMYFUNCTION("""COMPUTED_VALUE"""),1.357151132860156)</f>
        <v>1.357151133</v>
      </c>
      <c r="X476" s="30">
        <f>IFERROR(__xludf.DUMMYFUNCTION("""COMPUTED_VALUE"""),2.588530129311655)</f>
        <v>2.588530129</v>
      </c>
      <c r="Y476" s="30">
        <f>IFERROR(__xludf.DUMMYFUNCTION("""COMPUTED_VALUE"""),348.4687680044662)</f>
        <v>348.468768</v>
      </c>
      <c r="Z476" s="30">
        <f>IFERROR(__xludf.DUMMYFUNCTION("""COMPUTED_VALUE"""),0.7716920084748399)</f>
        <v>0.7716920085</v>
      </c>
      <c r="AA476" s="30">
        <f>IFERROR(__xludf.DUMMYFUNCTION("""COMPUTED_VALUE"""),0.5636321625747879)</f>
        <v>0.5636321626</v>
      </c>
      <c r="AB476" s="30">
        <f>IFERROR(__xludf.DUMMYFUNCTION("""COMPUTED_VALUE"""),1.363547303956654)</f>
        <v>1.363547304</v>
      </c>
      <c r="AC476" s="30">
        <f>IFERROR(__xludf.DUMMYFUNCTION("""COMPUTED_VALUE"""),2.5840177225948096)</f>
        <v>2.584017723</v>
      </c>
      <c r="AD476" s="30">
        <f>IFERROR(__xludf.DUMMYFUNCTION("""COMPUTED_VALUE"""),0.9752751821136373)</f>
        <v>0.9752751821</v>
      </c>
      <c r="AE476" s="30">
        <f>IFERROR(__xludf.DUMMYFUNCTION("""COMPUTED_VALUE"""),0.9528336558781823)</f>
        <v>0.9528336559</v>
      </c>
      <c r="AF476" s="30">
        <f>IFERROR(__xludf.DUMMYFUNCTION("""COMPUTED_VALUE"""),0.7827382819547597)</f>
        <v>0.782738282</v>
      </c>
      <c r="AG476" s="30">
        <f>IFERROR(__xludf.DUMMYFUNCTION("""COMPUTED_VALUE"""),1.0569317737685535)</f>
        <v>1.056931774</v>
      </c>
      <c r="AH476" s="30">
        <f>IFERROR(__xludf.DUMMYFUNCTION("""COMPUTED_VALUE"""),0.8764281539364897)</f>
        <v>0.8764281539</v>
      </c>
      <c r="AI476" s="30">
        <f>IFERROR(__xludf.DUMMYFUNCTION("""COMPUTED_VALUE"""),0.9218154545961751)</f>
        <v>0.9218154546</v>
      </c>
      <c r="AJ476" s="30">
        <f>IFERROR(__xludf.DUMMYFUNCTION("""COMPUTED_VALUE"""),0.7791223164876236)</f>
        <v>0.7791223165</v>
      </c>
      <c r="AK476" s="30">
        <f>IFERROR(__xludf.DUMMYFUNCTION("""COMPUTED_VALUE"""),0.6874998660454493)</f>
        <v>0.687499866</v>
      </c>
      <c r="AL476" s="30">
        <f>IFERROR(__xludf.DUMMYFUNCTION("""COMPUTED_VALUE"""),1.0041218439447275)</f>
        <v>1.004121844</v>
      </c>
      <c r="AM476" s="30">
        <f>IFERROR(__xludf.DUMMYFUNCTION("""COMPUTED_VALUE"""),0.8749003369550018)</f>
        <v>0.874900337</v>
      </c>
      <c r="AN476" s="30">
        <f>IFERROR(__xludf.DUMMYFUNCTION("""COMPUTED_VALUE"""),1.002289004738538)</f>
        <v>1.002289005</v>
      </c>
      <c r="AO476" s="30">
        <f>IFERROR(__xludf.DUMMYFUNCTION("""COMPUTED_VALUE"""),0.9886440710529175)</f>
        <v>0.9886440711</v>
      </c>
      <c r="AP476" s="30">
        <f>IFERROR(__xludf.DUMMYFUNCTION("""COMPUTED_VALUE"""),0.8083143076071518)</f>
        <v>0.8083143076</v>
      </c>
      <c r="AQ476" s="30">
        <f>IFERROR(__xludf.DUMMYFUNCTION("""COMPUTED_VALUE"""),1.1019444510132528)</f>
        <v>1.101944451</v>
      </c>
      <c r="AR476" s="30">
        <f>IFERROR(__xludf.DUMMYFUNCTION("""COMPUTED_VALUE"""),0.9052672433390068)</f>
        <v>0.9052672433</v>
      </c>
      <c r="AS476" s="30">
        <f>IFERROR(__xludf.DUMMYFUNCTION("""COMPUTED_VALUE"""),79.0)</f>
        <v>79</v>
      </c>
      <c r="AT476" s="30">
        <f>IFERROR(__xludf.DUMMYFUNCTION("""COMPUTED_VALUE"""),0.6015922149719143)</f>
        <v>0.601592215</v>
      </c>
      <c r="AU476" s="30">
        <f>IFERROR(__xludf.DUMMYFUNCTION("""COMPUTED_VALUE"""),2.514221567483093)</f>
        <v>2.514221567</v>
      </c>
      <c r="AV476" s="32">
        <f>IFERROR(__xludf.DUMMYFUNCTION("""COMPUTED_VALUE"""),51.16981340143945)</f>
        <v>51.1698134</v>
      </c>
      <c r="AW476" s="32">
        <f>IFERROR(__xludf.DUMMYFUNCTION("""COMPUTED_VALUE"""),2.077536621205118)</f>
        <v>2.077536621</v>
      </c>
      <c r="AX476" s="32">
        <f>IFERROR(__xludf.DUMMYFUNCTION("""COMPUTED_VALUE"""),45.519385270421395)</f>
        <v>45.51938527</v>
      </c>
      <c r="AY476" s="32">
        <f>IFERROR(__xludf.DUMMYFUNCTION("""COMPUTED_VALUE"""),-2.3316508534964733)</f>
        <v>-2.331650853</v>
      </c>
      <c r="AZ476" s="30">
        <f>IFERROR(__xludf.DUMMYFUNCTION("""COMPUTED_VALUE"""),4.409187474701591)</f>
        <v>4.409187475</v>
      </c>
      <c r="BA476" s="30">
        <f>IFERROR(__xludf.DUMMYFUNCTION("""COMPUTED_VALUE"""),1700.0)</f>
        <v>1700</v>
      </c>
    </row>
    <row r="477">
      <c r="A477" s="71" t="str">
        <f>IFERROR(__xludf.DUMMYFUNCTION("""COMPUTED_VALUE"""),"Rival")</f>
        <v>Rival</v>
      </c>
      <c r="B477" s="71" t="str">
        <f>IFERROR(__xludf.DUMMYFUNCTION("""COMPUTED_VALUE"""),"RSC007799")</f>
        <v>RSC007799</v>
      </c>
      <c r="C477" s="30" t="str">
        <f>IFERROR(__xludf.DUMMYFUNCTION("""COMPUTED_VALUE"""),"DJstriker211")</f>
        <v>DJstriker211</v>
      </c>
      <c r="D477" s="30" t="str">
        <f>IFERROR(__xludf.DUMMYFUNCTION("""COMPUTED_VALUE"""),"Asiago Arsonists")</f>
        <v>Asiago Arsonists</v>
      </c>
      <c r="E477" s="30">
        <f>IFERROR(__xludf.DUMMYFUNCTION("""COMPUTED_VALUE"""),36.0)</f>
        <v>36</v>
      </c>
      <c r="F477" s="30">
        <f>IFERROR(__xludf.DUMMYFUNCTION("""COMPUTED_VALUE"""),18.0)</f>
        <v>18</v>
      </c>
      <c r="G477" s="42">
        <f>IFERROR(__xludf.DUMMYFUNCTION("""COMPUTED_VALUE"""),18.0)</f>
        <v>18</v>
      </c>
      <c r="H477" s="42">
        <f>IFERROR(__xludf.DUMMYFUNCTION("""COMPUTED_VALUE"""),0.5)</f>
        <v>0.5</v>
      </c>
      <c r="I477" s="42">
        <f>IFERROR(__xludf.DUMMYFUNCTION("""COMPUTED_VALUE"""),0.28571428571428575)</f>
        <v>0.2857142857</v>
      </c>
      <c r="J477" s="30">
        <f>IFERROR(__xludf.DUMMYFUNCTION("""COMPUTED_VALUE"""),354.3888888888889)</f>
        <v>354.3888889</v>
      </c>
      <c r="K477" s="30">
        <f>IFERROR(__xludf.DUMMYFUNCTION("""COMPUTED_VALUE"""),0.6111111111111112)</f>
        <v>0.6111111111</v>
      </c>
      <c r="L477" s="30">
        <f>IFERROR(__xludf.DUMMYFUNCTION("""COMPUTED_VALUE"""),0.7777777777777778)</f>
        <v>0.7777777778</v>
      </c>
      <c r="M477" s="30">
        <f>IFERROR(__xludf.DUMMYFUNCTION("""COMPUTED_VALUE"""),1.7777777777777777)</f>
        <v>1.777777778</v>
      </c>
      <c r="N477" s="30">
        <f>IFERROR(__xludf.DUMMYFUNCTION("""COMPUTED_VALUE"""),2.138888888888889)</f>
        <v>2.138888889</v>
      </c>
      <c r="O477" s="30">
        <f>IFERROR(__xludf.DUMMYFUNCTION("""COMPUTED_VALUE"""),351.1111111111111)</f>
        <v>351.1111111</v>
      </c>
      <c r="P477" s="30">
        <f>IFERROR(__xludf.DUMMYFUNCTION("""COMPUTED_VALUE"""),0.7962962962962962)</f>
        <v>0.7962962963</v>
      </c>
      <c r="Q477" s="30">
        <f>IFERROR(__xludf.DUMMYFUNCTION("""COMPUTED_VALUE"""),0.5555555555555558)</f>
        <v>0.5555555556</v>
      </c>
      <c r="R477" s="30">
        <f>IFERROR(__xludf.DUMMYFUNCTION("""COMPUTED_VALUE"""),1.3333333333333335)</f>
        <v>1.333333333</v>
      </c>
      <c r="S477" s="30">
        <f>IFERROR(__xludf.DUMMYFUNCTION("""COMPUTED_VALUE"""),2.6759259259259265)</f>
        <v>2.675925926</v>
      </c>
      <c r="T477" s="30">
        <f>IFERROR(__xludf.DUMMYFUNCTION("""COMPUTED_VALUE"""),357.23761723932677)</f>
        <v>357.2376172</v>
      </c>
      <c r="U477" s="30">
        <f>IFERROR(__xludf.DUMMYFUNCTION("""COMPUTED_VALUE"""),0.7957075428893787)</f>
        <v>0.7957075429</v>
      </c>
      <c r="V477" s="30">
        <f>IFERROR(__xludf.DUMMYFUNCTION("""COMPUTED_VALUE"""),0.5862901258494475)</f>
        <v>0.5862901258</v>
      </c>
      <c r="W477" s="30">
        <f>IFERROR(__xludf.DUMMYFUNCTION("""COMPUTED_VALUE"""),1.4010213707760188)</f>
        <v>1.401021371</v>
      </c>
      <c r="X477" s="30">
        <f>IFERROR(__xludf.DUMMYFUNCTION("""COMPUTED_VALUE"""),2.6929148392296)</f>
        <v>2.692914839</v>
      </c>
      <c r="Y477" s="30">
        <f>IFERROR(__xludf.DUMMYFUNCTION("""COMPUTED_VALUE"""),347.49220029971667)</f>
        <v>347.4922003</v>
      </c>
      <c r="Z477" s="30">
        <f>IFERROR(__xludf.DUMMYFUNCTION("""COMPUTED_VALUE"""),0.77412429292037)</f>
        <v>0.7741242929</v>
      </c>
      <c r="AA477" s="30">
        <f>IFERROR(__xludf.DUMMYFUNCTION("""COMPUTED_VALUE"""),0.5642112520096388)</f>
        <v>0.564211252</v>
      </c>
      <c r="AB477" s="30">
        <f>IFERROR(__xludf.DUMMYFUNCTION("""COMPUTED_VALUE"""),1.3409827764132873)</f>
        <v>1.340982776</v>
      </c>
      <c r="AC477" s="30">
        <f>IFERROR(__xludf.DUMMYFUNCTION("""COMPUTED_VALUE"""),2.618433342844659)</f>
        <v>2.618433343</v>
      </c>
      <c r="AD477" s="30">
        <f>IFERROR(__xludf.DUMMYFUNCTION("""COMPUTED_VALUE"""),1.0198470313383257)</f>
        <v>1.019847031</v>
      </c>
      <c r="AE477" s="30">
        <f>IFERROR(__xludf.DUMMYFUNCTION("""COMPUTED_VALUE"""),0.7894224696213905)</f>
        <v>0.7894224696</v>
      </c>
      <c r="AF477" s="30">
        <f>IFERROR(__xludf.DUMMYFUNCTION("""COMPUTED_VALUE"""),1.3785222733638258)</f>
        <v>1.378522273</v>
      </c>
      <c r="AG477" s="30">
        <f>IFERROR(__xludf.DUMMYFUNCTION("""COMPUTED_VALUE"""),1.3257275253995293)</f>
        <v>1.325727525</v>
      </c>
      <c r="AH477" s="30">
        <f>IFERROR(__xludf.DUMMYFUNCTION("""COMPUTED_VALUE"""),0.8168582540906716)</f>
        <v>0.8168582541</v>
      </c>
      <c r="AI477" s="30">
        <f>IFERROR(__xludf.DUMMYFUNCTION("""COMPUTED_VALUE"""),0.9828503331324391)</f>
        <v>0.9828503331</v>
      </c>
      <c r="AJ477" s="30">
        <f>IFERROR(__xludf.DUMMYFUNCTION("""COMPUTED_VALUE"""),1.0007399118082752)</f>
        <v>1.000739912</v>
      </c>
      <c r="AK477" s="30">
        <f>IFERROR(__xludf.DUMMYFUNCTION("""COMPUTED_VALUE"""),0.9475778817708009)</f>
        <v>0.9475778818</v>
      </c>
      <c r="AL477" s="30">
        <f>IFERROR(__xludf.DUMMYFUNCTION("""COMPUTED_VALUE"""),0.9516866488587584)</f>
        <v>0.9516866489</v>
      </c>
      <c r="AM477" s="30">
        <f>IFERROR(__xludf.DUMMYFUNCTION("""COMPUTED_VALUE"""),0.9936912548974131)</f>
        <v>0.9936912549</v>
      </c>
      <c r="AN477" s="30">
        <f>IFERROR(__xludf.DUMMYFUNCTION("""COMPUTED_VALUE"""),1.0451581954984497)</f>
        <v>1.045158195</v>
      </c>
      <c r="AO477" s="30">
        <f>IFERROR(__xludf.DUMMYFUNCTION("""COMPUTED_VALUE"""),0.8216730723862026)</f>
        <v>0.8216730724</v>
      </c>
      <c r="AP477" s="30">
        <f>IFERROR(__xludf.DUMMYFUNCTION("""COMPUTED_VALUE"""),1.4250281867444603)</f>
        <v>1.425028187</v>
      </c>
      <c r="AQ477" s="30">
        <f>IFERROR(__xludf.DUMMYFUNCTION("""COMPUTED_VALUE"""),1.359314696941518)</f>
        <v>1.359314697</v>
      </c>
      <c r="AR477" s="30">
        <f>IFERROR(__xludf.DUMMYFUNCTION("""COMPUTED_VALUE"""),0.8549746187090619)</f>
        <v>0.8549746187</v>
      </c>
      <c r="AS477" s="30">
        <f>IFERROR(__xludf.DUMMYFUNCTION("""COMPUTED_VALUE"""),91.0)</f>
        <v>91</v>
      </c>
      <c r="AT477" s="30">
        <f>IFERROR(__xludf.DUMMYFUNCTION("""COMPUTED_VALUE"""),0.5222999353807544)</f>
        <v>0.5222999354</v>
      </c>
      <c r="AU477" s="30">
        <f>IFERROR(__xludf.DUMMYFUNCTION("""COMPUTED_VALUE"""),2.5665328388193527)</f>
        <v>2.566532839</v>
      </c>
      <c r="AV477" s="32">
        <f>IFERROR(__xludf.DUMMYFUNCTION("""COMPUTED_VALUE"""),52.667483787490156)</f>
        <v>52.66748379</v>
      </c>
      <c r="AW477" s="32">
        <f>IFERROR(__xludf.DUMMYFUNCTION("""COMPUTED_VALUE"""),2.1857266654175547)</f>
        <v>2.185726665</v>
      </c>
      <c r="AX477" s="32">
        <f>IFERROR(__xludf.DUMMYFUNCTION("""COMPUTED_VALUE"""),48.44566929827329)</f>
        <v>48.4456693</v>
      </c>
      <c r="AY477" s="32">
        <f>IFERROR(__xludf.DUMMYFUNCTION("""COMPUTED_VALUE"""),-2.104322011750691)</f>
        <v>-2.104322012</v>
      </c>
      <c r="AZ477" s="30">
        <f>IFERROR(__xludf.DUMMYFUNCTION("""COMPUTED_VALUE"""),4.290048677168246)</f>
        <v>4.290048677</v>
      </c>
      <c r="BA477" s="30">
        <f>IFERROR(__xludf.DUMMYFUNCTION("""COMPUTED_VALUE"""),1700.0)</f>
        <v>1700</v>
      </c>
    </row>
    <row r="478">
      <c r="A478" s="71" t="str">
        <f>IFERROR(__xludf.DUMMYFUNCTION("""COMPUTED_VALUE"""),"Rival")</f>
        <v>Rival</v>
      </c>
      <c r="B478" s="71" t="str">
        <f>IFERROR(__xludf.DUMMYFUNCTION("""COMPUTED_VALUE"""),"RSC006177")</f>
        <v>RSC006177</v>
      </c>
      <c r="C478" s="30" t="str">
        <f>IFERROR(__xludf.DUMMYFUNCTION("""COMPUTED_VALUE"""),"Flyerrr85")</f>
        <v>Flyerrr85</v>
      </c>
      <c r="D478" s="30" t="str">
        <f>IFERROR(__xludf.DUMMYFUNCTION("""COMPUTED_VALUE"""),"Asiago Arsonists")</f>
        <v>Asiago Arsonists</v>
      </c>
      <c r="E478" s="30">
        <f>IFERROR(__xludf.DUMMYFUNCTION("""COMPUTED_VALUE"""),7.0)</f>
        <v>7</v>
      </c>
      <c r="F478" s="30">
        <f>IFERROR(__xludf.DUMMYFUNCTION("""COMPUTED_VALUE"""),4.0)</f>
        <v>4</v>
      </c>
      <c r="G478" s="42">
        <f>IFERROR(__xludf.DUMMYFUNCTION("""COMPUTED_VALUE"""),3.0)</f>
        <v>3</v>
      </c>
      <c r="H478" s="42">
        <f>IFERROR(__xludf.DUMMYFUNCTION("""COMPUTED_VALUE"""),0.5714285714285714)</f>
        <v>0.5714285714</v>
      </c>
      <c r="I478" s="42">
        <f>IFERROR(__xludf.DUMMYFUNCTION("""COMPUTED_VALUE"""),0.23529411764705882)</f>
        <v>0.2352941176</v>
      </c>
      <c r="J478" s="30">
        <f>IFERROR(__xludf.DUMMYFUNCTION("""COMPUTED_VALUE"""),368.0)</f>
        <v>368</v>
      </c>
      <c r="K478" s="30">
        <f>IFERROR(__xludf.DUMMYFUNCTION("""COMPUTED_VALUE"""),0.5714285714285714)</f>
        <v>0.5714285714</v>
      </c>
      <c r="L478" s="30">
        <f>IFERROR(__xludf.DUMMYFUNCTION("""COMPUTED_VALUE"""),0.7142857142857143)</f>
        <v>0.7142857143</v>
      </c>
      <c r="M478" s="30">
        <f>IFERROR(__xludf.DUMMYFUNCTION("""COMPUTED_VALUE"""),1.7142857142857142)</f>
        <v>1.714285714</v>
      </c>
      <c r="N478" s="30">
        <f>IFERROR(__xludf.DUMMYFUNCTION("""COMPUTED_VALUE"""),2.4285714285714284)</f>
        <v>2.428571429</v>
      </c>
      <c r="O478" s="30">
        <f>IFERROR(__xludf.DUMMYFUNCTION("""COMPUTED_VALUE"""),363.85714285714283)</f>
        <v>363.8571429</v>
      </c>
      <c r="P478" s="30">
        <f>IFERROR(__xludf.DUMMYFUNCTION("""COMPUTED_VALUE"""),0.6666666666666666)</f>
        <v>0.6666666667</v>
      </c>
      <c r="Q478" s="30">
        <f>IFERROR(__xludf.DUMMYFUNCTION("""COMPUTED_VALUE"""),0.4285714285714285)</f>
        <v>0.4285714286</v>
      </c>
      <c r="R478" s="30">
        <f>IFERROR(__xludf.DUMMYFUNCTION("""COMPUTED_VALUE"""),1.380952380952381)</f>
        <v>1.380952381</v>
      </c>
      <c r="S478" s="30">
        <f>IFERROR(__xludf.DUMMYFUNCTION("""COMPUTED_VALUE"""),2.523809523809524)</f>
        <v>2.523809524</v>
      </c>
      <c r="T478" s="30">
        <f>IFERROR(__xludf.DUMMYFUNCTION("""COMPUTED_VALUE"""),336.04144873616764)</f>
        <v>336.0414487</v>
      </c>
      <c r="U478" s="30">
        <f>IFERROR(__xludf.DUMMYFUNCTION("""COMPUTED_VALUE"""),0.6153973053289163)</f>
        <v>0.6153973053</v>
      </c>
      <c r="V478" s="30">
        <f>IFERROR(__xludf.DUMMYFUNCTION("""COMPUTED_VALUE"""),0.5130846230770243)</f>
        <v>0.5130846231</v>
      </c>
      <c r="W478" s="30">
        <f>IFERROR(__xludf.DUMMYFUNCTION("""COMPUTED_VALUE"""),1.3872599664772916)</f>
        <v>1.387259966</v>
      </c>
      <c r="X478" s="30">
        <f>IFERROR(__xludf.DUMMYFUNCTION("""COMPUTED_VALUE"""),2.2242179848182886)</f>
        <v>2.224217985</v>
      </c>
      <c r="Y478" s="30">
        <f>IFERROR(__xludf.DUMMYFUNCTION("""COMPUTED_VALUE"""),338.5412661075275)</f>
        <v>338.5412661</v>
      </c>
      <c r="Z478" s="30">
        <f>IFERROR(__xludf.DUMMYFUNCTION("""COMPUTED_VALUE"""),0.7326515317396776)</f>
        <v>0.7326515317</v>
      </c>
      <c r="AA478" s="30">
        <f>IFERROR(__xludf.DUMMYFUNCTION("""COMPUTED_VALUE"""),0.5593894932040828)</f>
        <v>0.5593894932</v>
      </c>
      <c r="AB478" s="30">
        <f>IFERROR(__xludf.DUMMYFUNCTION("""COMPUTED_VALUE"""),1.1608435791946428)</f>
        <v>1.160843579</v>
      </c>
      <c r="AC478" s="30">
        <f>IFERROR(__xludf.DUMMYFUNCTION("""COMPUTED_VALUE"""),2.5522335904554754)</f>
        <v>2.55223359</v>
      </c>
      <c r="AD478" s="30">
        <f>IFERROR(__xludf.DUMMYFUNCTION("""COMPUTED_VALUE"""),1.0870166707627182)</f>
        <v>1.087016671</v>
      </c>
      <c r="AE478" s="30">
        <f>IFERROR(__xludf.DUMMYFUNCTION("""COMPUTED_VALUE"""),0.7799459179068622)</f>
        <v>0.7799459179</v>
      </c>
      <c r="AF478" s="30">
        <f>IFERROR(__xludf.DUMMYFUNCTION("""COMPUTED_VALUE"""),1.2769022710712954)</f>
        <v>1.276902271</v>
      </c>
      <c r="AG478" s="30">
        <f>IFERROR(__xludf.DUMMYFUNCTION("""COMPUTED_VALUE"""),1.4767585788561042)</f>
        <v>1.476758579</v>
      </c>
      <c r="AH478" s="30">
        <f>IFERROR(__xludf.DUMMYFUNCTION("""COMPUTED_VALUE"""),0.9515474749856349)</f>
        <v>0.951547475</v>
      </c>
      <c r="AI478" s="30">
        <f>IFERROR(__xludf.DUMMYFUNCTION("""COMPUTED_VALUE"""),1.0827745929128338)</f>
        <v>1.082774593</v>
      </c>
      <c r="AJ478" s="30">
        <f>IFERROR(__xludf.DUMMYFUNCTION("""COMPUTED_VALUE"""),1.0833109942045456)</f>
        <v>1.083310994</v>
      </c>
      <c r="AK478" s="30">
        <f>IFERROR(__xludf.DUMMYFUNCTION("""COMPUTED_VALUE"""),0.8352841018723949)</f>
        <v>0.8352841019</v>
      </c>
      <c r="AL478" s="30">
        <f>IFERROR(__xludf.DUMMYFUNCTION("""COMPUTED_VALUE"""),0.9954532058321213)</f>
        <v>0.9954532058</v>
      </c>
      <c r="AM478" s="30">
        <f>IFERROR(__xludf.DUMMYFUNCTION("""COMPUTED_VALUE"""),1.1346952236858705)</f>
        <v>1.134695224</v>
      </c>
      <c r="AN478" s="30">
        <f>IFERROR(__xludf.DUMMYFUNCTION("""COMPUTED_VALUE"""),1.0852998725476923)</f>
        <v>1.085299873</v>
      </c>
      <c r="AO478" s="30">
        <f>IFERROR(__xludf.DUMMYFUNCTION("""COMPUTED_VALUE"""),0.7683176780754101)</f>
        <v>0.7683176781</v>
      </c>
      <c r="AP478" s="30">
        <f>IFERROR(__xludf.DUMMYFUNCTION("""COMPUTED_VALUE"""),1.308699355173484)</f>
        <v>1.308699355</v>
      </c>
      <c r="AQ478" s="30">
        <f>IFERROR(__xludf.DUMMYFUNCTION("""COMPUTED_VALUE"""),1.310767743479321)</f>
        <v>1.310767743</v>
      </c>
      <c r="AR478" s="30">
        <f>IFERROR(__xludf.DUMMYFUNCTION("""COMPUTED_VALUE"""),0.9707689548236472)</f>
        <v>0.9707689548</v>
      </c>
      <c r="AS478" s="30">
        <f>IFERROR(__xludf.DUMMYFUNCTION("""COMPUTED_VALUE"""),14.0)</f>
        <v>14</v>
      </c>
      <c r="AT478" s="30">
        <f>IFERROR(__xludf.DUMMYFUNCTION("""COMPUTED_VALUE"""),0.5)</f>
        <v>0.5</v>
      </c>
      <c r="AU478" s="30">
        <f>IFERROR(__xludf.DUMMYFUNCTION("""COMPUTED_VALUE"""),2.544630787172705)</f>
        <v>2.544630787</v>
      </c>
      <c r="AV478" s="32">
        <f>IFERROR(__xludf.DUMMYFUNCTION("""COMPUTED_VALUE"""),52.04042859829232)</f>
        <v>52.0404286</v>
      </c>
      <c r="AW478" s="32">
        <f>IFERROR(__xludf.DUMMYFUNCTION("""COMPUTED_VALUE"""),2.139149154183661)</f>
        <v>2.139149154</v>
      </c>
      <c r="AX478" s="32">
        <f>IFERROR(__xludf.DUMMYFUNCTION("""COMPUTED_VALUE"""),48.78878752256822)</f>
        <v>48.78878752</v>
      </c>
      <c r="AY478" s="32">
        <f>IFERROR(__xludf.DUMMYFUNCTION("""COMPUTED_VALUE"""),-2.080388699225766)</f>
        <v>-2.080388699</v>
      </c>
      <c r="AZ478" s="30">
        <f>IFERROR(__xludf.DUMMYFUNCTION("""COMPUTED_VALUE"""),4.219537853409427)</f>
        <v>4.219537853</v>
      </c>
      <c r="BA478" s="30">
        <f>IFERROR(__xludf.DUMMYFUNCTION("""COMPUTED_VALUE"""),1700.0)</f>
        <v>1700</v>
      </c>
    </row>
    <row r="479">
      <c r="A479" s="71" t="str">
        <f>IFERROR(__xludf.DUMMYFUNCTION("""COMPUTED_VALUE"""),"Rival")</f>
        <v>Rival</v>
      </c>
      <c r="B479" s="71" t="str">
        <f>IFERROR(__xludf.DUMMYFUNCTION("""COMPUTED_VALUE"""),"RSC000291")</f>
        <v>RSC000291</v>
      </c>
      <c r="C479" s="30" t="str">
        <f>IFERROR(__xludf.DUMMYFUNCTION("""COMPUTED_VALUE"""),"Suckiest Sucker")</f>
        <v>Suckiest Sucker</v>
      </c>
      <c r="D479" s="30" t="str">
        <f>IFERROR(__xludf.DUMMYFUNCTION("""COMPUTED_VALUE"""),"Hue Heroes")</f>
        <v>Hue Heroes</v>
      </c>
      <c r="E479" s="30">
        <f>IFERROR(__xludf.DUMMYFUNCTION("""COMPUTED_VALUE"""),24.0)</f>
        <v>24</v>
      </c>
      <c r="F479" s="30">
        <f>IFERROR(__xludf.DUMMYFUNCTION("""COMPUTED_VALUE"""),13.0)</f>
        <v>13</v>
      </c>
      <c r="G479" s="42">
        <f>IFERROR(__xludf.DUMMYFUNCTION("""COMPUTED_VALUE"""),11.0)</f>
        <v>11</v>
      </c>
      <c r="H479" s="42">
        <f>IFERROR(__xludf.DUMMYFUNCTION("""COMPUTED_VALUE"""),0.5416666666666666)</f>
        <v>0.5416666667</v>
      </c>
      <c r="I479" s="42">
        <f>IFERROR(__xludf.DUMMYFUNCTION("""COMPUTED_VALUE"""),0.3148148148148148)</f>
        <v>0.3148148148</v>
      </c>
      <c r="J479" s="30">
        <f>IFERROR(__xludf.DUMMYFUNCTION("""COMPUTED_VALUE"""),349.9583333333333)</f>
        <v>349.9583333</v>
      </c>
      <c r="K479" s="30">
        <f>IFERROR(__xludf.DUMMYFUNCTION("""COMPUTED_VALUE"""),0.7083333333333334)</f>
        <v>0.7083333333</v>
      </c>
      <c r="L479" s="30">
        <f>IFERROR(__xludf.DUMMYFUNCTION("""COMPUTED_VALUE"""),0.75)</f>
        <v>0.75</v>
      </c>
      <c r="M479" s="30">
        <f>IFERROR(__xludf.DUMMYFUNCTION("""COMPUTED_VALUE"""),1.2916666666666667)</f>
        <v>1.291666667</v>
      </c>
      <c r="N479" s="30">
        <f>IFERROR(__xludf.DUMMYFUNCTION("""COMPUTED_VALUE"""),2.25)</f>
        <v>2.25</v>
      </c>
      <c r="O479" s="30">
        <f>IFERROR(__xludf.DUMMYFUNCTION("""COMPUTED_VALUE"""),345.4027777777778)</f>
        <v>345.4027778</v>
      </c>
      <c r="P479" s="30">
        <f>IFERROR(__xludf.DUMMYFUNCTION("""COMPUTED_VALUE"""),0.7916666666666666)</f>
        <v>0.7916666667</v>
      </c>
      <c r="Q479" s="30">
        <f>IFERROR(__xludf.DUMMYFUNCTION("""COMPUTED_VALUE"""),0.5416666666666666)</f>
        <v>0.5416666667</v>
      </c>
      <c r="R479" s="30">
        <f>IFERROR(__xludf.DUMMYFUNCTION("""COMPUTED_VALUE"""),1.222222222222222)</f>
        <v>1.222222222</v>
      </c>
      <c r="S479" s="30">
        <f>IFERROR(__xludf.DUMMYFUNCTION("""COMPUTED_VALUE"""),2.513888888888889)</f>
        <v>2.513888889</v>
      </c>
      <c r="T479" s="30">
        <f>IFERROR(__xludf.DUMMYFUNCTION("""COMPUTED_VALUE"""),344.6394920319677)</f>
        <v>344.639492</v>
      </c>
      <c r="U479" s="30">
        <f>IFERROR(__xludf.DUMMYFUNCTION("""COMPUTED_VALUE"""),0.7200612919543589)</f>
        <v>0.720061292</v>
      </c>
      <c r="V479" s="30">
        <f>IFERROR(__xludf.DUMMYFUNCTION("""COMPUTED_VALUE"""),0.488694935413085)</f>
        <v>0.4886949354</v>
      </c>
      <c r="W479" s="30">
        <f>IFERROR(__xludf.DUMMYFUNCTION("""COMPUTED_VALUE"""),1.414790410449957)</f>
        <v>1.41479041</v>
      </c>
      <c r="X479" s="30">
        <f>IFERROR(__xludf.DUMMYFUNCTION("""COMPUTED_VALUE"""),2.4719681178521014)</f>
        <v>2.471968118</v>
      </c>
      <c r="Y479" s="30">
        <f>IFERROR(__xludf.DUMMYFUNCTION("""COMPUTED_VALUE"""),352.7336877871791)</f>
        <v>352.7336878</v>
      </c>
      <c r="Z479" s="30">
        <f>IFERROR(__xludf.DUMMYFUNCTION("""COMPUTED_VALUE"""),0.8007243169618307)</f>
        <v>0.800724317</v>
      </c>
      <c r="AA479" s="30">
        <f>IFERROR(__xludf.DUMMYFUNCTION("""COMPUTED_VALUE"""),0.5982870193400137)</f>
        <v>0.5982870193</v>
      </c>
      <c r="AB479" s="30">
        <f>IFERROR(__xludf.DUMMYFUNCTION("""COMPUTED_VALUE"""),1.2714269116562233)</f>
        <v>1.271426912</v>
      </c>
      <c r="AC479" s="30">
        <f>IFERROR(__xludf.DUMMYFUNCTION("""COMPUTED_VALUE"""),2.643853531494228)</f>
        <v>2.643853531</v>
      </c>
      <c r="AD479" s="30">
        <f>IFERROR(__xludf.DUMMYFUNCTION("""COMPUTED_VALUE"""),0.9921318701617172)</f>
        <v>0.9921318702</v>
      </c>
      <c r="AE479" s="30">
        <f>IFERROR(__xludf.DUMMYFUNCTION("""COMPUTED_VALUE"""),0.8846157389361494)</f>
        <v>0.8846157389</v>
      </c>
      <c r="AF479" s="30">
        <f>IFERROR(__xludf.DUMMYFUNCTION("""COMPUTED_VALUE"""),1.2535789274307587)</f>
        <v>1.253578927</v>
      </c>
      <c r="AG479" s="30">
        <f>IFERROR(__xludf.DUMMYFUNCTION("""COMPUTED_VALUE"""),1.01591892921637)</f>
        <v>1.015918929</v>
      </c>
      <c r="AH479" s="30">
        <f>IFERROR(__xludf.DUMMYFUNCTION("""COMPUTED_VALUE"""),0.8510305027103245)</f>
        <v>0.8510305027</v>
      </c>
      <c r="AI479" s="30">
        <f>IFERROR(__xludf.DUMMYFUNCTION("""COMPUTED_VALUE"""),1.002214736742182)</f>
        <v>1.002214737</v>
      </c>
      <c r="AJ479" s="30">
        <f>IFERROR(__xludf.DUMMYFUNCTION("""COMPUTED_VALUE"""),1.099443443929557)</f>
        <v>1.099443444</v>
      </c>
      <c r="AK479" s="30">
        <f>IFERROR(__xludf.DUMMYFUNCTION("""COMPUTED_VALUE"""),1.1083942709756252)</f>
        <v>1.108394271</v>
      </c>
      <c r="AL479" s="30">
        <f>IFERROR(__xludf.DUMMYFUNCTION("""COMPUTED_VALUE"""),0.8638892469122046)</f>
        <v>0.8638892469</v>
      </c>
      <c r="AM479" s="30">
        <f>IFERROR(__xludf.DUMMYFUNCTION("""COMPUTED_VALUE"""),1.0169584594291663)</f>
        <v>1.016958459</v>
      </c>
      <c r="AN479" s="30">
        <f>IFERROR(__xludf.DUMMYFUNCTION("""COMPUTED_VALUE"""),1.0320916700099716)</f>
        <v>1.03209167</v>
      </c>
      <c r="AO479" s="30">
        <f>IFERROR(__xludf.DUMMYFUNCTION("""COMPUTED_VALUE"""),0.9523937884476438)</f>
        <v>0.9523937884</v>
      </c>
      <c r="AP479" s="30">
        <f>IFERROR(__xludf.DUMMYFUNCTION("""COMPUTED_VALUE"""),1.374134322932158)</f>
        <v>1.374134323</v>
      </c>
      <c r="AQ479" s="30">
        <f>IFERROR(__xludf.DUMMYFUNCTION("""COMPUTED_VALUE"""),0.9876270844965718)</f>
        <v>0.9876270845</v>
      </c>
      <c r="AR479" s="30">
        <f>IFERROR(__xludf.DUMMYFUNCTION("""COMPUTED_VALUE"""),0.8993888846160262)</f>
        <v>0.8993888846</v>
      </c>
      <c r="AS479" s="30">
        <f>IFERROR(__xludf.DUMMYFUNCTION("""COMPUTED_VALUE"""),65.0)</f>
        <v>65</v>
      </c>
      <c r="AT479" s="30">
        <f>IFERROR(__xludf.DUMMYFUNCTION("""COMPUTED_VALUE"""),0.5521681030875403)</f>
        <v>0.5521681031</v>
      </c>
      <c r="AU479" s="30">
        <f>IFERROR(__xludf.DUMMYFUNCTION("""COMPUTED_VALUE"""),2.550592542139318)</f>
        <v>2.550592542</v>
      </c>
      <c r="AV479" s="32">
        <f>IFERROR(__xludf.DUMMYFUNCTION("""COMPUTED_VALUE"""),52.21111349342692)</f>
        <v>52.21111349</v>
      </c>
      <c r="AW479" s="32">
        <f>IFERROR(__xludf.DUMMYFUNCTION("""COMPUTED_VALUE"""),2.1516403792940317)</f>
        <v>2.151640379</v>
      </c>
      <c r="AX479" s="32">
        <f>IFERROR(__xludf.DUMMYFUNCTION("""COMPUTED_VALUE"""),49.42627488400471)</f>
        <v>49.42627488</v>
      </c>
      <c r="AY479" s="32">
        <f>IFERROR(__xludf.DUMMYFUNCTION("""COMPUTED_VALUE"""),-2.0373010454350386)</f>
        <v>-2.037301045</v>
      </c>
      <c r="AZ479" s="30">
        <f>IFERROR(__xludf.DUMMYFUNCTION("""COMPUTED_VALUE"""),4.18894142472907)</f>
        <v>4.188941425</v>
      </c>
      <c r="BA479" s="30">
        <f>IFERROR(__xludf.DUMMYFUNCTION("""COMPUTED_VALUE"""),1700.0)</f>
        <v>1700</v>
      </c>
    </row>
    <row r="480">
      <c r="A480" s="71" t="str">
        <f>IFERROR(__xludf.DUMMYFUNCTION("""COMPUTED_VALUE"""),"Rival")</f>
        <v>Rival</v>
      </c>
      <c r="B480" s="71" t="str">
        <f>IFERROR(__xludf.DUMMYFUNCTION("""COMPUTED_VALUE"""),"RSC002424")</f>
        <v>RSC002424</v>
      </c>
      <c r="C480" s="30" t="str">
        <f>IFERROR(__xludf.DUMMYFUNCTION("""COMPUTED_VALUE"""),"HufflePuffler")</f>
        <v>HufflePuffler</v>
      </c>
      <c r="D480" s="30" t="str">
        <f>IFERROR(__xludf.DUMMYFUNCTION("""COMPUTED_VALUE"""),"Centuriones")</f>
        <v>Centuriones</v>
      </c>
      <c r="E480" s="30">
        <f>IFERROR(__xludf.DUMMYFUNCTION("""COMPUTED_VALUE"""),48.0)</f>
        <v>48</v>
      </c>
      <c r="F480" s="30">
        <f>IFERROR(__xludf.DUMMYFUNCTION("""COMPUTED_VALUE"""),18.0)</f>
        <v>18</v>
      </c>
      <c r="G480" s="42">
        <f>IFERROR(__xludf.DUMMYFUNCTION("""COMPUTED_VALUE"""),30.0)</f>
        <v>30</v>
      </c>
      <c r="H480" s="42">
        <f>IFERROR(__xludf.DUMMYFUNCTION("""COMPUTED_VALUE"""),0.375)</f>
        <v>0.375</v>
      </c>
      <c r="I480" s="42">
        <f>IFERROR(__xludf.DUMMYFUNCTION("""COMPUTED_VALUE"""),0.3490566037735849)</f>
        <v>0.3490566038</v>
      </c>
      <c r="J480" s="30">
        <f>IFERROR(__xludf.DUMMYFUNCTION("""COMPUTED_VALUE"""),378.1666666666667)</f>
        <v>378.1666667</v>
      </c>
      <c r="K480" s="30">
        <f>IFERROR(__xludf.DUMMYFUNCTION("""COMPUTED_VALUE"""),0.7708333333333334)</f>
        <v>0.7708333333</v>
      </c>
      <c r="L480" s="30">
        <f>IFERROR(__xludf.DUMMYFUNCTION("""COMPUTED_VALUE"""),0.5)</f>
        <v>0.5</v>
      </c>
      <c r="M480" s="30">
        <f>IFERROR(__xludf.DUMMYFUNCTION("""COMPUTED_VALUE"""),1.7291666666666667)</f>
        <v>1.729166667</v>
      </c>
      <c r="N480" s="30">
        <f>IFERROR(__xludf.DUMMYFUNCTION("""COMPUTED_VALUE"""),2.2083333333333335)</f>
        <v>2.208333333</v>
      </c>
      <c r="O480" s="30">
        <f>IFERROR(__xludf.DUMMYFUNCTION("""COMPUTED_VALUE"""),358.03472222222223)</f>
        <v>358.0347222</v>
      </c>
      <c r="P480" s="30">
        <f>IFERROR(__xludf.DUMMYFUNCTION("""COMPUTED_VALUE"""),0.8611111111111108)</f>
        <v>0.8611111111</v>
      </c>
      <c r="Q480" s="30">
        <f>IFERROR(__xludf.DUMMYFUNCTION("""COMPUTED_VALUE"""),0.6319444444444443)</f>
        <v>0.6319444444</v>
      </c>
      <c r="R480" s="30">
        <f>IFERROR(__xludf.DUMMYFUNCTION("""COMPUTED_VALUE"""),1.2152777777777775)</f>
        <v>1.215277778</v>
      </c>
      <c r="S480" s="30">
        <f>IFERROR(__xludf.DUMMYFUNCTION("""COMPUTED_VALUE"""),2.756944444444444)</f>
        <v>2.756944444</v>
      </c>
      <c r="T480" s="30">
        <f>IFERROR(__xludf.DUMMYFUNCTION("""COMPUTED_VALUE"""),346.1604078882474)</f>
        <v>346.1604079</v>
      </c>
      <c r="U480" s="30">
        <f>IFERROR(__xludf.DUMMYFUNCTION("""COMPUTED_VALUE"""),0.7972937184788763)</f>
        <v>0.7972937185</v>
      </c>
      <c r="V480" s="30">
        <f>IFERROR(__xludf.DUMMYFUNCTION("""COMPUTED_VALUE"""),0.5526952605649331)</f>
        <v>0.5526952606</v>
      </c>
      <c r="W480" s="30">
        <f>IFERROR(__xludf.DUMMYFUNCTION("""COMPUTED_VALUE"""),1.2845819065370694)</f>
        <v>1.284581907</v>
      </c>
      <c r="X480" s="30">
        <f>IFERROR(__xludf.DUMMYFUNCTION("""COMPUTED_VALUE"""),2.5687665766245646)</f>
        <v>2.568766577</v>
      </c>
      <c r="Y480" s="30">
        <f>IFERROR(__xludf.DUMMYFUNCTION("""COMPUTED_VALUE"""),345.95298709408786)</f>
        <v>345.9529871</v>
      </c>
      <c r="Z480" s="30">
        <f>IFERROR(__xludf.DUMMYFUNCTION("""COMPUTED_VALUE"""),0.7646393652457611)</f>
        <v>0.7646393652</v>
      </c>
      <c r="AA480" s="30">
        <f>IFERROR(__xludf.DUMMYFUNCTION("""COMPUTED_VALUE"""),0.5448291967287312)</f>
        <v>0.5448291967</v>
      </c>
      <c r="AB480" s="30">
        <f>IFERROR(__xludf.DUMMYFUNCTION("""COMPUTED_VALUE"""),1.337558766598497)</f>
        <v>1.337558767</v>
      </c>
      <c r="AC480" s="30">
        <f>IFERROR(__xludf.DUMMYFUNCTION("""COMPUTED_VALUE"""),2.5352853497340493)</f>
        <v>2.53528535</v>
      </c>
      <c r="AD480" s="30">
        <f>IFERROR(__xludf.DUMMYFUNCTION("""COMPUTED_VALUE"""),1.0931157722994822)</f>
        <v>1.093115772</v>
      </c>
      <c r="AE480" s="30">
        <f>IFERROR(__xludf.DUMMYFUNCTION("""COMPUTED_VALUE"""),1.008100509036154)</f>
        <v>1.008100509</v>
      </c>
      <c r="AF480" s="30">
        <f>IFERROR(__xludf.DUMMYFUNCTION("""COMPUTED_VALUE"""),0.917718806191197)</f>
        <v>0.9177188062</v>
      </c>
      <c r="AG480" s="30">
        <f>IFERROR(__xludf.DUMMYFUNCTION("""COMPUTED_VALUE"""),1.2927780893426128)</f>
        <v>1.292778089</v>
      </c>
      <c r="AH480" s="30">
        <f>IFERROR(__xludf.DUMMYFUNCTION("""COMPUTED_VALUE"""),0.871039361926257)</f>
        <v>0.8710393619</v>
      </c>
      <c r="AI480" s="30">
        <f>IFERROR(__xludf.DUMMYFUNCTION("""COMPUTED_VALUE"""),1.034302924492186)</f>
        <v>1.034302924</v>
      </c>
      <c r="AJ480" s="30">
        <f>IFERROR(__xludf.DUMMYFUNCTION("""COMPUTED_VALUE"""),1.0800425127567657)</f>
        <v>1.080042513</v>
      </c>
      <c r="AK480" s="30">
        <f>IFERROR(__xludf.DUMMYFUNCTION("""COMPUTED_VALUE"""),1.1433867621707254)</f>
        <v>1.143386762</v>
      </c>
      <c r="AL480" s="30">
        <f>IFERROR(__xludf.DUMMYFUNCTION("""COMPUTED_VALUE"""),0.9460492722133075)</f>
        <v>0.9460492722</v>
      </c>
      <c r="AM480" s="30">
        <f>IFERROR(__xludf.DUMMYFUNCTION("""COMPUTED_VALUE"""),1.0732561181433429)</f>
        <v>1.073256118</v>
      </c>
      <c r="AN480" s="30">
        <f>IFERROR(__xludf.DUMMYFUNCTION("""COMPUTED_VALUE"""),1.11528324764978)</f>
        <v>1.115283248</v>
      </c>
      <c r="AO480" s="30">
        <f>IFERROR(__xludf.DUMMYFUNCTION("""COMPUTED_VALUE"""),1.0364285344871418)</f>
        <v>1.036428534</v>
      </c>
      <c r="AP480" s="30">
        <f>IFERROR(__xludf.DUMMYFUNCTION("""COMPUTED_VALUE"""),0.9160895486214388)</f>
        <v>0.9160895486</v>
      </c>
      <c r="AQ480" s="30">
        <f>IFERROR(__xludf.DUMMYFUNCTION("""COMPUTED_VALUE"""),1.3221459356970235)</f>
        <v>1.322145936</v>
      </c>
      <c r="AR480" s="30">
        <f>IFERROR(__xludf.DUMMYFUNCTION("""COMPUTED_VALUE"""),0.8827335349009147)</f>
        <v>0.8827335349</v>
      </c>
      <c r="AS480" s="30">
        <f>IFERROR(__xludf.DUMMYFUNCTION("""COMPUTED_VALUE"""),107.0)</f>
        <v>107</v>
      </c>
      <c r="AT480" s="30">
        <f>IFERROR(__xludf.DUMMYFUNCTION("""COMPUTED_VALUE"""),0.44238968921237004)</f>
        <v>0.4423896892</v>
      </c>
      <c r="AU480" s="30">
        <f>IFERROR(__xludf.DUMMYFUNCTION("""COMPUTED_VALUE"""),2.4357294283008706)</f>
        <v>2.435729428</v>
      </c>
      <c r="AV480" s="32">
        <f>IFERROR(__xludf.DUMMYFUNCTION("""COMPUTED_VALUE"""),48.92258542574502)</f>
        <v>48.92258543</v>
      </c>
      <c r="AW480" s="32">
        <f>IFERROR(__xludf.DUMMYFUNCTION("""COMPUTED_VALUE"""),-2.0711983908820484)</f>
        <v>-2.071198391</v>
      </c>
      <c r="AX480" s="32">
        <f>IFERROR(__xludf.DUMMYFUNCTION("""COMPUTED_VALUE"""),50.309414761471515)</f>
        <v>50.30941476</v>
      </c>
      <c r="AY480" s="32">
        <f>IFERROR(__xludf.DUMMYFUNCTION("""COMPUTED_VALUE"""),2.0199466465849016)</f>
        <v>2.019946647</v>
      </c>
      <c r="AZ480" s="30">
        <f>IFERROR(__xludf.DUMMYFUNCTION("""COMPUTED_VALUE"""),4.09114503746695)</f>
        <v>4.091145037</v>
      </c>
      <c r="BA480" s="30">
        <f>IFERROR(__xludf.DUMMYFUNCTION("""COMPUTED_VALUE"""),1700.0)</f>
        <v>1700</v>
      </c>
    </row>
    <row r="481">
      <c r="A481" s="71" t="str">
        <f>IFERROR(__xludf.DUMMYFUNCTION("""COMPUTED_VALUE"""),"Rival")</f>
        <v>Rival</v>
      </c>
      <c r="B481" s="71" t="str">
        <f>IFERROR(__xludf.DUMMYFUNCTION("""COMPUTED_VALUE"""),"RSC006089")</f>
        <v>RSC006089</v>
      </c>
      <c r="C481" s="30" t="str">
        <f>IFERROR(__xludf.DUMMYFUNCTION("""COMPUTED_VALUE"""),"ZeroPop11")</f>
        <v>ZeroPop11</v>
      </c>
      <c r="D481" s="30" t="str">
        <f>IFERROR(__xludf.DUMMYFUNCTION("""COMPUTED_VALUE"""),"Wind")</f>
        <v>Wind</v>
      </c>
      <c r="E481" s="30">
        <f>IFERROR(__xludf.DUMMYFUNCTION("""COMPUTED_VALUE"""),40.0)</f>
        <v>40</v>
      </c>
      <c r="F481" s="30">
        <f>IFERROR(__xludf.DUMMYFUNCTION("""COMPUTED_VALUE"""),22.0)</f>
        <v>22</v>
      </c>
      <c r="G481" s="42">
        <f>IFERROR(__xludf.DUMMYFUNCTION("""COMPUTED_VALUE"""),18.0)</f>
        <v>18</v>
      </c>
      <c r="H481" s="42">
        <f>IFERROR(__xludf.DUMMYFUNCTION("""COMPUTED_VALUE"""),0.55)</f>
        <v>0.55</v>
      </c>
      <c r="I481" s="42">
        <f>IFERROR(__xludf.DUMMYFUNCTION("""COMPUTED_VALUE"""),0.3383458646616541)</f>
        <v>0.3383458647</v>
      </c>
      <c r="J481" s="30">
        <f>IFERROR(__xludf.DUMMYFUNCTION("""COMPUTED_VALUE"""),433.175)</f>
        <v>433.175</v>
      </c>
      <c r="K481" s="30">
        <f>IFERROR(__xludf.DUMMYFUNCTION("""COMPUTED_VALUE"""),1.125)</f>
        <v>1.125</v>
      </c>
      <c r="L481" s="30">
        <f>IFERROR(__xludf.DUMMYFUNCTION("""COMPUTED_VALUE"""),0.55)</f>
        <v>0.55</v>
      </c>
      <c r="M481" s="30">
        <f>IFERROR(__xludf.DUMMYFUNCTION("""COMPUTED_VALUE"""),1.85)</f>
        <v>1.85</v>
      </c>
      <c r="N481" s="30">
        <f>IFERROR(__xludf.DUMMYFUNCTION("""COMPUTED_VALUE"""),3.325)</f>
        <v>3.325</v>
      </c>
      <c r="O481" s="30">
        <f>IFERROR(__xludf.DUMMYFUNCTION("""COMPUTED_VALUE"""),361.45)</f>
        <v>361.45</v>
      </c>
      <c r="P481" s="30">
        <f>IFERROR(__xludf.DUMMYFUNCTION("""COMPUTED_VALUE"""),0.8083333333333332)</f>
        <v>0.8083333333</v>
      </c>
      <c r="Q481" s="30">
        <f>IFERROR(__xludf.DUMMYFUNCTION("""COMPUTED_VALUE"""),0.625)</f>
        <v>0.625</v>
      </c>
      <c r="R481" s="30">
        <f>IFERROR(__xludf.DUMMYFUNCTION("""COMPUTED_VALUE"""),1.3833333333333333)</f>
        <v>1.383333333</v>
      </c>
      <c r="S481" s="30">
        <f>IFERROR(__xludf.DUMMYFUNCTION("""COMPUTED_VALUE"""),2.8500000000000005)</f>
        <v>2.85</v>
      </c>
      <c r="T481" s="30">
        <f>IFERROR(__xludf.DUMMYFUNCTION("""COMPUTED_VALUE"""),347.40878183370444)</f>
        <v>347.4087818</v>
      </c>
      <c r="U481" s="30">
        <f>IFERROR(__xludf.DUMMYFUNCTION("""COMPUTED_VALUE"""),0.7902390935474816)</f>
        <v>0.7902390935</v>
      </c>
      <c r="V481" s="30">
        <f>IFERROR(__xludf.DUMMYFUNCTION("""COMPUTED_VALUE"""),0.5654766188301361)</f>
        <v>0.5654766188</v>
      </c>
      <c r="W481" s="30">
        <f>IFERROR(__xludf.DUMMYFUNCTION("""COMPUTED_VALUE"""),1.3058985633735527)</f>
        <v>1.305898563</v>
      </c>
      <c r="X481" s="30">
        <f>IFERROR(__xludf.DUMMYFUNCTION("""COMPUTED_VALUE"""),2.6319546995872023)</f>
        <v>2.6319547</v>
      </c>
      <c r="Y481" s="30">
        <f>IFERROR(__xludf.DUMMYFUNCTION("""COMPUTED_VALUE"""),355.7549801000899)</f>
        <v>355.7549801</v>
      </c>
      <c r="Z481" s="30">
        <f>IFERROR(__xludf.DUMMYFUNCTION("""COMPUTED_VALUE"""),0.832867078790842)</f>
        <v>0.8328670788</v>
      </c>
      <c r="AA481" s="30">
        <f>IFERROR(__xludf.DUMMYFUNCTION("""COMPUTED_VALUE"""),0.5851810287127035)</f>
        <v>0.5851810287</v>
      </c>
      <c r="AB481" s="30">
        <f>IFERROR(__xludf.DUMMYFUNCTION("""COMPUTED_VALUE"""),1.3547293845202155)</f>
        <v>1.354729385</v>
      </c>
      <c r="AC481" s="30">
        <f>IFERROR(__xludf.DUMMYFUNCTION("""COMPUTED_VALUE"""),2.6135462170284436)</f>
        <v>2.613546217</v>
      </c>
      <c r="AD481" s="30">
        <f>IFERROR(__xludf.DUMMYFUNCTION("""COMPUTED_VALUE"""),1.2176217459503402)</f>
        <v>1.217621746</v>
      </c>
      <c r="AE481" s="30">
        <f>IFERROR(__xludf.DUMMYFUNCTION("""COMPUTED_VALUE"""),1.3507557552079945)</f>
        <v>1.350755755</v>
      </c>
      <c r="AF481" s="30">
        <f>IFERROR(__xludf.DUMMYFUNCTION("""COMPUTED_VALUE"""),0.939880093532602)</f>
        <v>0.9398800935</v>
      </c>
      <c r="AG481" s="30">
        <f>IFERROR(__xludf.DUMMYFUNCTION("""COMPUTED_VALUE"""),1.3655863828887032)</f>
        <v>1.365586383</v>
      </c>
      <c r="AH481" s="30">
        <f>IFERROR(__xludf.DUMMYFUNCTION("""COMPUTED_VALUE"""),1.2722177929497138)</f>
        <v>1.272217793</v>
      </c>
      <c r="AI481" s="30">
        <f>IFERROR(__xludf.DUMMYFUNCTION("""COMPUTED_VALUE"""),1.0404169926050306)</f>
        <v>1.040416993</v>
      </c>
      <c r="AJ481" s="30">
        <f>IFERROR(__xludf.DUMMYFUNCTION("""COMPUTED_VALUE"""),1.0228971711645198)</f>
        <v>1.022897171</v>
      </c>
      <c r="AK481" s="30">
        <f>IFERROR(__xludf.DUMMYFUNCTION("""COMPUTED_VALUE"""),1.1052623206473267)</f>
        <v>1.105262321</v>
      </c>
      <c r="AL481" s="30">
        <f>IFERROR(__xludf.DUMMYFUNCTION("""COMPUTED_VALUE"""),1.0592961598485429)</f>
        <v>1.05929616</v>
      </c>
      <c r="AM481" s="30">
        <f>IFERROR(__xludf.DUMMYFUNCTION("""COMPUTED_VALUE"""),1.082845385008715)</f>
        <v>1.082845385</v>
      </c>
      <c r="AN481" s="30">
        <f>IFERROR(__xludf.DUMMYFUNCTION("""COMPUTED_VALUE"""),1.2775129681816486)</f>
        <v>1.277512968</v>
      </c>
      <c r="AO481" s="30">
        <f>IFERROR(__xludf.DUMMYFUNCTION("""COMPUTED_VALUE"""),1.5126254287109637)</f>
        <v>1.512625429</v>
      </c>
      <c r="AP481" s="30">
        <f>IFERROR(__xludf.DUMMYFUNCTION("""COMPUTED_VALUE"""),1.0076985034835828)</f>
        <v>1.007698503</v>
      </c>
      <c r="AQ481" s="30">
        <f>IFERROR(__xludf.DUMMYFUNCTION("""COMPUTED_VALUE"""),1.4145368565047673)</f>
        <v>1.414536857</v>
      </c>
      <c r="AR481" s="30">
        <f>IFERROR(__xludf.DUMMYFUNCTION("""COMPUTED_VALUE"""),1.3290969072659053)</f>
        <v>1.329096907</v>
      </c>
      <c r="AS481" s="30">
        <f>IFERROR(__xludf.DUMMYFUNCTION("""COMPUTED_VALUE"""),111.0)</f>
        <v>111</v>
      </c>
      <c r="AT481" s="30">
        <f>IFERROR(__xludf.DUMMYFUNCTION("""COMPUTED_VALUE"""),0.5538883271792823)</f>
        <v>0.5538883272</v>
      </c>
      <c r="AU481" s="30">
        <f>IFERROR(__xludf.DUMMYFUNCTION("""COMPUTED_VALUE"""),3.5008953479746383)</f>
        <v>3.500895348</v>
      </c>
      <c r="AV481" s="32">
        <f>IFERROR(__xludf.DUMMYFUNCTION("""COMPUTED_VALUE"""),79.41825898472624)</f>
        <v>79.41825898</v>
      </c>
      <c r="AW481" s="32">
        <f>IFERROR(__xludf.DUMMYFUNCTION("""COMPUTED_VALUE"""),8.357600102082849)</f>
        <v>8.357600102</v>
      </c>
      <c r="AX481" s="32">
        <f>IFERROR(__xludf.DUMMYFUNCTION("""COMPUTED_VALUE"""),68.311316103141)</f>
        <v>68.3113161</v>
      </c>
      <c r="AY481" s="32">
        <f>IFERROR(__xludf.DUMMYFUNCTION("""COMPUTED_VALUE"""),4.311345200381041)</f>
        <v>4.3113452</v>
      </c>
      <c r="AZ481" s="30">
        <f>IFERROR(__xludf.DUMMYFUNCTION("""COMPUTED_VALUE"""),4.046254901701808)</f>
        <v>4.046254902</v>
      </c>
      <c r="BA481" s="30">
        <f>IFERROR(__xludf.DUMMYFUNCTION("""COMPUTED_VALUE"""),1700.0)</f>
        <v>1700</v>
      </c>
    </row>
    <row r="482">
      <c r="A482" s="71" t="str">
        <f>IFERROR(__xludf.DUMMYFUNCTION("""COMPUTED_VALUE"""),"Rival")</f>
        <v>Rival</v>
      </c>
      <c r="B482" s="71" t="str">
        <f>IFERROR(__xludf.DUMMYFUNCTION("""COMPUTED_VALUE"""),"RSC005513")</f>
        <v>RSC005513</v>
      </c>
      <c r="C482" s="30" t="str">
        <f>IFERROR(__xludf.DUMMYFUNCTION("""COMPUTED_VALUE"""),"TV_ImpactReapz")</f>
        <v>TV_ImpactReapz</v>
      </c>
      <c r="D482" s="30" t="str">
        <f>IFERROR(__xludf.DUMMYFUNCTION("""COMPUTED_VALUE"""),"Nightfall")</f>
        <v>Nightfall</v>
      </c>
      <c r="E482" s="30">
        <f>IFERROR(__xludf.DUMMYFUNCTION("""COMPUTED_VALUE"""),12.0)</f>
        <v>12</v>
      </c>
      <c r="F482" s="30">
        <f>IFERROR(__xludf.DUMMYFUNCTION("""COMPUTED_VALUE"""),4.0)</f>
        <v>4</v>
      </c>
      <c r="G482" s="42">
        <f>IFERROR(__xludf.DUMMYFUNCTION("""COMPUTED_VALUE"""),8.0)</f>
        <v>8</v>
      </c>
      <c r="H482" s="42">
        <f>IFERROR(__xludf.DUMMYFUNCTION("""COMPUTED_VALUE"""),0.3333333333333333)</f>
        <v>0.3333333333</v>
      </c>
      <c r="I482" s="42">
        <f>IFERROR(__xludf.DUMMYFUNCTION("""COMPUTED_VALUE"""),0.2608695652173913)</f>
        <v>0.2608695652</v>
      </c>
      <c r="J482" s="30">
        <f>IFERROR(__xludf.DUMMYFUNCTION("""COMPUTED_VALUE"""),267.5833333333333)</f>
        <v>267.5833333</v>
      </c>
      <c r="K482" s="30">
        <f>IFERROR(__xludf.DUMMYFUNCTION("""COMPUTED_VALUE"""),0.5)</f>
        <v>0.5</v>
      </c>
      <c r="L482" s="30">
        <f>IFERROR(__xludf.DUMMYFUNCTION("""COMPUTED_VALUE"""),0.3333333333333333)</f>
        <v>0.3333333333</v>
      </c>
      <c r="M482" s="30">
        <f>IFERROR(__xludf.DUMMYFUNCTION("""COMPUTED_VALUE"""),1.3333333333333333)</f>
        <v>1.333333333</v>
      </c>
      <c r="N482" s="30">
        <f>IFERROR(__xludf.DUMMYFUNCTION("""COMPUTED_VALUE"""),1.9166666666666667)</f>
        <v>1.916666667</v>
      </c>
      <c r="O482" s="30">
        <f>IFERROR(__xludf.DUMMYFUNCTION("""COMPUTED_VALUE"""),334.27777777777777)</f>
        <v>334.2777778</v>
      </c>
      <c r="P482" s="30">
        <f>IFERROR(__xludf.DUMMYFUNCTION("""COMPUTED_VALUE"""),0.7777777777777777)</f>
        <v>0.7777777778</v>
      </c>
      <c r="Q482" s="30">
        <f>IFERROR(__xludf.DUMMYFUNCTION("""COMPUTED_VALUE"""),0.5833333333333334)</f>
        <v>0.5833333333</v>
      </c>
      <c r="R482" s="30">
        <f>IFERROR(__xludf.DUMMYFUNCTION("""COMPUTED_VALUE"""),1.0833333333333333)</f>
        <v>1.083333333</v>
      </c>
      <c r="S482" s="30">
        <f>IFERROR(__xludf.DUMMYFUNCTION("""COMPUTED_VALUE"""),2.0833333333333335)</f>
        <v>2.083333333</v>
      </c>
      <c r="T482" s="30">
        <f>IFERROR(__xludf.DUMMYFUNCTION("""COMPUTED_VALUE"""),347.13196801601043)</f>
        <v>347.131968</v>
      </c>
      <c r="U482" s="30">
        <f>IFERROR(__xludf.DUMMYFUNCTION("""COMPUTED_VALUE"""),0.787843045881524)</f>
        <v>0.7878430459</v>
      </c>
      <c r="V482" s="30">
        <f>IFERROR(__xludf.DUMMYFUNCTION("""COMPUTED_VALUE"""),0.5825833050745132)</f>
        <v>0.5825833051</v>
      </c>
      <c r="W482" s="30">
        <f>IFERROR(__xludf.DUMMYFUNCTION("""COMPUTED_VALUE"""),1.2351020149391598)</f>
        <v>1.235102015</v>
      </c>
      <c r="X482" s="30">
        <f>IFERROR(__xludf.DUMMYFUNCTION("""COMPUTED_VALUE"""),2.6017359515437053)</f>
        <v>2.601735952</v>
      </c>
      <c r="Y482" s="30">
        <f>IFERROR(__xludf.DUMMYFUNCTION("""COMPUTED_VALUE"""),354.0253953680165)</f>
        <v>354.0253954</v>
      </c>
      <c r="Z482" s="30">
        <f>IFERROR(__xludf.DUMMYFUNCTION("""COMPUTED_VALUE"""),0.8078612784698995)</f>
        <v>0.8078612785</v>
      </c>
      <c r="AA482" s="30">
        <f>IFERROR(__xludf.DUMMYFUNCTION("""COMPUTED_VALUE"""),0.5503720868189083)</f>
        <v>0.5503720868</v>
      </c>
      <c r="AB482" s="30">
        <f>IFERROR(__xludf.DUMMYFUNCTION("""COMPUTED_VALUE"""),1.3656016429778914)</f>
        <v>1.365601643</v>
      </c>
      <c r="AC482" s="30">
        <f>IFERROR(__xludf.DUMMYFUNCTION("""COMPUTED_VALUE"""),2.6036598987988797)</f>
        <v>2.603659899</v>
      </c>
      <c r="AD482" s="30">
        <f>IFERROR(__xludf.DUMMYFUNCTION("""COMPUTED_VALUE"""),0.755830900365707)</f>
        <v>0.7558309004</v>
      </c>
      <c r="AE482" s="30">
        <f>IFERROR(__xludf.DUMMYFUNCTION("""COMPUTED_VALUE"""),0.6189181401873932)</f>
        <v>0.6189181402</v>
      </c>
      <c r="AF482" s="30">
        <f>IFERROR(__xludf.DUMMYFUNCTION("""COMPUTED_VALUE"""),0.6056508702321084)</f>
        <v>0.6056508702</v>
      </c>
      <c r="AG482" s="30">
        <f>IFERROR(__xludf.DUMMYFUNCTION("""COMPUTED_VALUE"""),0.9763706276933056)</f>
        <v>0.9763706277</v>
      </c>
      <c r="AH482" s="30">
        <f>IFERROR(__xludf.DUMMYFUNCTION("""COMPUTED_VALUE"""),0.7361432526386658)</f>
        <v>0.7361432526</v>
      </c>
      <c r="AI482" s="30">
        <f>IFERROR(__xludf.DUMMYFUNCTION("""COMPUTED_VALUE"""),0.9629703069074877)</f>
        <v>0.9629703069</v>
      </c>
      <c r="AJ482" s="30">
        <f>IFERROR(__xludf.DUMMYFUNCTION("""COMPUTED_VALUE"""),0.9872242724532979)</f>
        <v>0.9872242725</v>
      </c>
      <c r="AK482" s="30">
        <f>IFERROR(__xludf.DUMMYFUNCTION("""COMPUTED_VALUE"""),1.0012874180435436)</f>
        <v>1.001287418</v>
      </c>
      <c r="AL482" s="30">
        <f>IFERROR(__xludf.DUMMYFUNCTION("""COMPUTED_VALUE"""),0.877120529502737)</f>
        <v>0.8771205295</v>
      </c>
      <c r="AM482" s="30">
        <f>IFERROR(__xludf.DUMMYFUNCTION("""COMPUTED_VALUE"""),0.8007474133173336)</f>
        <v>0.8007474133</v>
      </c>
      <c r="AN482" s="30">
        <f>IFERROR(__xludf.DUMMYFUNCTION("""COMPUTED_VALUE"""),0.7891526020721559)</f>
        <v>0.7891526021</v>
      </c>
      <c r="AO482" s="30">
        <f>IFERROR(__xludf.DUMMYFUNCTION("""COMPUTED_VALUE"""),0.6722779683159839)</f>
        <v>0.6722779683</v>
      </c>
      <c r="AP482" s="30">
        <f>IFERROR(__xludf.DUMMYFUNCTION("""COMPUTED_VALUE"""),0.6107263657476258)</f>
        <v>0.6107263657</v>
      </c>
      <c r="AQ482" s="30">
        <f>IFERROR(__xludf.DUMMYFUNCTION("""COMPUTED_VALUE"""),1.0194860227061384)</f>
        <v>1.019486023</v>
      </c>
      <c r="AR482" s="30">
        <f>IFERROR(__xludf.DUMMYFUNCTION("""COMPUTED_VALUE"""),0.7661460868951334)</f>
        <v>0.7661460869</v>
      </c>
      <c r="AS482" s="30">
        <f>IFERROR(__xludf.DUMMYFUNCTION("""COMPUTED_VALUE"""),27.0)</f>
        <v>27</v>
      </c>
      <c r="AT482" s="30">
        <f>IFERROR(__xludf.DUMMYFUNCTION("""COMPUTED_VALUE"""),0.4859298224934414)</f>
        <v>0.4859298225</v>
      </c>
      <c r="AU482" s="30">
        <f>IFERROR(__xludf.DUMMYFUNCTION("""COMPUTED_VALUE"""),1.4874398284592383)</f>
        <v>1.487439828</v>
      </c>
      <c r="AV482" s="32">
        <f>IFERROR(__xludf.DUMMYFUNCTION("""COMPUTED_VALUE"""),21.77307797154071)</f>
        <v>21.77307797</v>
      </c>
      <c r="AW482" s="32">
        <f>IFERROR(__xludf.DUMMYFUNCTION("""COMPUTED_VALUE"""),-7.726022778433976)</f>
        <v>-7.726022778</v>
      </c>
      <c r="AX482" s="32">
        <f>IFERROR(__xludf.DUMMYFUNCTION("""COMPUTED_VALUE"""),34.14523500771572)</f>
        <v>34.14523501</v>
      </c>
      <c r="AY482" s="32">
        <f>IFERROR(__xludf.DUMMYFUNCTION("""COMPUTED_VALUE"""),-3.8025962643412674)</f>
        <v>-3.802596264</v>
      </c>
      <c r="AZ482" s="30">
        <f>IFERROR(__xludf.DUMMYFUNCTION("""COMPUTED_VALUE"""),3.923426514092709)</f>
        <v>3.923426514</v>
      </c>
      <c r="BA482" s="30">
        <f>IFERROR(__xludf.DUMMYFUNCTION("""COMPUTED_VALUE"""),1700.0)</f>
        <v>1700</v>
      </c>
    </row>
    <row r="483">
      <c r="A483" s="71" t="str">
        <f>IFERROR(__xludf.DUMMYFUNCTION("""COMPUTED_VALUE"""),"Rival")</f>
        <v>Rival</v>
      </c>
      <c r="B483" s="71" t="str">
        <f>IFERROR(__xludf.DUMMYFUNCTION("""COMPUTED_VALUE"""),"RSC006678")</f>
        <v>RSC006678</v>
      </c>
      <c r="C483" s="30" t="str">
        <f>IFERROR(__xludf.DUMMYFUNCTION("""COMPUTED_VALUE"""),"EyeSucka")</f>
        <v>EyeSucka</v>
      </c>
      <c r="D483" s="30" t="str">
        <f>IFERROR(__xludf.DUMMYFUNCTION("""COMPUTED_VALUE"""),"Mining Legion")</f>
        <v>Mining Legion</v>
      </c>
      <c r="E483" s="30">
        <f>IFERROR(__xludf.DUMMYFUNCTION("""COMPUTED_VALUE"""),13.0)</f>
        <v>13</v>
      </c>
      <c r="F483" s="30">
        <f>IFERROR(__xludf.DUMMYFUNCTION("""COMPUTED_VALUE"""),7.0)</f>
        <v>7</v>
      </c>
      <c r="G483" s="42">
        <f>IFERROR(__xludf.DUMMYFUNCTION("""COMPUTED_VALUE"""),6.0)</f>
        <v>6</v>
      </c>
      <c r="H483" s="42">
        <f>IFERROR(__xludf.DUMMYFUNCTION("""COMPUTED_VALUE"""),0.5384615384615384)</f>
        <v>0.5384615385</v>
      </c>
      <c r="I483" s="42">
        <f>IFERROR(__xludf.DUMMYFUNCTION("""COMPUTED_VALUE"""),0.40625)</f>
        <v>0.40625</v>
      </c>
      <c r="J483" s="30">
        <f>IFERROR(__xludf.DUMMYFUNCTION("""COMPUTED_VALUE"""),401.2307692307692)</f>
        <v>401.2307692</v>
      </c>
      <c r="K483" s="30">
        <f>IFERROR(__xludf.DUMMYFUNCTION("""COMPUTED_VALUE"""),1.0)</f>
        <v>1</v>
      </c>
      <c r="L483" s="30">
        <f>IFERROR(__xludf.DUMMYFUNCTION("""COMPUTED_VALUE"""),0.8461538461538461)</f>
        <v>0.8461538462</v>
      </c>
      <c r="M483" s="30">
        <f>IFERROR(__xludf.DUMMYFUNCTION("""COMPUTED_VALUE"""),1.7692307692307692)</f>
        <v>1.769230769</v>
      </c>
      <c r="N483" s="30">
        <f>IFERROR(__xludf.DUMMYFUNCTION("""COMPUTED_VALUE"""),2.4615384615384617)</f>
        <v>2.461538462</v>
      </c>
      <c r="O483" s="30">
        <f>IFERROR(__xludf.DUMMYFUNCTION("""COMPUTED_VALUE"""),362.2051282051283)</f>
        <v>362.2051282</v>
      </c>
      <c r="P483" s="30">
        <f>IFERROR(__xludf.DUMMYFUNCTION("""COMPUTED_VALUE"""),0.8717948717948717)</f>
        <v>0.8717948718</v>
      </c>
      <c r="Q483" s="30">
        <f>IFERROR(__xludf.DUMMYFUNCTION("""COMPUTED_VALUE"""),0.7692307692307694)</f>
        <v>0.7692307692</v>
      </c>
      <c r="R483" s="30">
        <f>IFERROR(__xludf.DUMMYFUNCTION("""COMPUTED_VALUE"""),1.1025641025641024)</f>
        <v>1.102564103</v>
      </c>
      <c r="S483" s="30">
        <f>IFERROR(__xludf.DUMMYFUNCTION("""COMPUTED_VALUE"""),2.769230769230769)</f>
        <v>2.769230769</v>
      </c>
      <c r="T483" s="30">
        <f>IFERROR(__xludf.DUMMYFUNCTION("""COMPUTED_VALUE"""),355.7210927746145)</f>
        <v>355.7210928</v>
      </c>
      <c r="U483" s="30">
        <f>IFERROR(__xludf.DUMMYFUNCTION("""COMPUTED_VALUE"""),0.8059080620851281)</f>
        <v>0.8059080621</v>
      </c>
      <c r="V483" s="30">
        <f>IFERROR(__xludf.DUMMYFUNCTION("""COMPUTED_VALUE"""),0.5997882953973689)</f>
        <v>0.5997882954</v>
      </c>
      <c r="W483" s="30">
        <f>IFERROR(__xludf.DUMMYFUNCTION("""COMPUTED_VALUE"""),1.2639752967301194)</f>
        <v>1.263975297</v>
      </c>
      <c r="X483" s="30">
        <f>IFERROR(__xludf.DUMMYFUNCTION("""COMPUTED_VALUE"""),2.6928870343314264)</f>
        <v>2.692887034</v>
      </c>
      <c r="Y483" s="30">
        <f>IFERROR(__xludf.DUMMYFUNCTION("""COMPUTED_VALUE"""),339.53650940639807)</f>
        <v>339.5365094</v>
      </c>
      <c r="Z483" s="30">
        <f>IFERROR(__xludf.DUMMYFUNCTION("""COMPUTED_VALUE"""),0.7291681712893112)</f>
        <v>0.7291681713</v>
      </c>
      <c r="AA483" s="30">
        <f>IFERROR(__xludf.DUMMYFUNCTION("""COMPUTED_VALUE"""),0.5109194265699782)</f>
        <v>0.5109194266</v>
      </c>
      <c r="AB483" s="30">
        <f>IFERROR(__xludf.DUMMYFUNCTION("""COMPUTED_VALUE"""),1.3385805439389626)</f>
        <v>1.338580544</v>
      </c>
      <c r="AC483" s="30">
        <f>IFERROR(__xludf.DUMMYFUNCTION("""COMPUTED_VALUE"""),2.405389936038106)</f>
        <v>2.405389936</v>
      </c>
      <c r="AD483" s="30">
        <f>IFERROR(__xludf.DUMMYFUNCTION("""COMPUTED_VALUE"""),1.1817014021032066)</f>
        <v>1.181701402</v>
      </c>
      <c r="AE483" s="30">
        <f>IFERROR(__xludf.DUMMYFUNCTION("""COMPUTED_VALUE"""),1.3714257415155757)</f>
        <v>1.371425742</v>
      </c>
      <c r="AF483" s="30">
        <f>IFERROR(__xludf.DUMMYFUNCTION("""COMPUTED_VALUE"""),1.6561395048813092)</f>
        <v>1.656139505</v>
      </c>
      <c r="AG483" s="30">
        <f>IFERROR(__xludf.DUMMYFUNCTION("""COMPUTED_VALUE"""),1.3217215633693264)</f>
        <v>1.321721563</v>
      </c>
      <c r="AH483" s="30">
        <f>IFERROR(__xludf.DUMMYFUNCTION("""COMPUTED_VALUE"""),1.023342795552241)</f>
        <v>1.023342796</v>
      </c>
      <c r="AI483" s="30">
        <f>IFERROR(__xludf.DUMMYFUNCTION("""COMPUTED_VALUE"""),1.0182278632395356)</f>
        <v>1.018227863</v>
      </c>
      <c r="AJ483" s="30">
        <f>IFERROR(__xludf.DUMMYFUNCTION("""COMPUTED_VALUE"""),1.0817547469859954)</f>
        <v>1.081754747</v>
      </c>
      <c r="AK483" s="30">
        <f>IFERROR(__xludf.DUMMYFUNCTION("""COMPUTED_VALUE"""),1.282503801980901)</f>
        <v>1.282503802</v>
      </c>
      <c r="AL483" s="30">
        <f>IFERROR(__xludf.DUMMYFUNCTION("""COMPUTED_VALUE"""),0.8722987746804983)</f>
        <v>0.8722987747</v>
      </c>
      <c r="AM483" s="30">
        <f>IFERROR(__xludf.DUMMYFUNCTION("""COMPUTED_VALUE"""),1.028350143888712)</f>
        <v>1.028350144</v>
      </c>
      <c r="AN483" s="30">
        <f>IFERROR(__xludf.DUMMYFUNCTION("""COMPUTED_VALUE"""),1.183303539968387)</f>
        <v>1.18330354</v>
      </c>
      <c r="AO483" s="30">
        <f>IFERROR(__xludf.DUMMYFUNCTION("""COMPUTED_VALUE"""),1.3445559366319677)</f>
        <v>1.344555937</v>
      </c>
      <c r="AP483" s="30">
        <f>IFERROR(__xludf.DUMMYFUNCTION("""COMPUTED_VALUE"""),1.5503053899747425)</f>
        <v>1.55030539</v>
      </c>
      <c r="AQ483" s="30">
        <f>IFERROR(__xludf.DUMMYFUNCTION("""COMPUTED_VALUE"""),1.3527795301292993)</f>
        <v>1.35277953</v>
      </c>
      <c r="AR483" s="30">
        <f>IFERROR(__xludf.DUMMYFUNCTION("""COMPUTED_VALUE"""),0.9839468139389005)</f>
        <v>0.9839468139</v>
      </c>
      <c r="AS483" s="30">
        <f>IFERROR(__xludf.DUMMYFUNCTION("""COMPUTED_VALUE"""),37.0)</f>
        <v>37</v>
      </c>
      <c r="AT483" s="30">
        <f>IFERROR(__xludf.DUMMYFUNCTION("""COMPUTED_VALUE"""),0.5343570639363521)</f>
        <v>0.5343570639</v>
      </c>
      <c r="AU483" s="30">
        <f>IFERROR(__xludf.DUMMYFUNCTION("""COMPUTED_VALUE"""),3.4982170700855413)</f>
        <v>3.49821707</v>
      </c>
      <c r="AV483" s="32">
        <f>IFERROR(__xludf.DUMMYFUNCTION("""COMPUTED_VALUE"""),79.34157995595)</f>
        <v>79.34157996</v>
      </c>
      <c r="AW483" s="32">
        <f>IFERROR(__xludf.DUMMYFUNCTION("""COMPUTED_VALUE"""),8.314972608084387)</f>
        <v>8.314972608</v>
      </c>
      <c r="AX483" s="32">
        <f>IFERROR(__xludf.DUMMYFUNCTION("""COMPUTED_VALUE"""),68.66038681816445)</f>
        <v>68.66038682</v>
      </c>
      <c r="AY483" s="32">
        <f>IFERROR(__xludf.DUMMYFUNCTION("""COMPUTED_VALUE"""),4.391584644503293)</f>
        <v>4.391584645</v>
      </c>
      <c r="AZ483" s="30">
        <f>IFERROR(__xludf.DUMMYFUNCTION("""COMPUTED_VALUE"""),3.923387963581094)</f>
        <v>3.923387964</v>
      </c>
      <c r="BA483" s="30">
        <f>IFERROR(__xludf.DUMMYFUNCTION("""COMPUTED_VALUE"""),1700.0)</f>
        <v>1700</v>
      </c>
    </row>
    <row r="484">
      <c r="A484" s="71" t="str">
        <f>IFERROR(__xludf.DUMMYFUNCTION("""COMPUTED_VALUE"""),"Rival")</f>
        <v>Rival</v>
      </c>
      <c r="B484" s="71" t="str">
        <f>IFERROR(__xludf.DUMMYFUNCTION("""COMPUTED_VALUE"""),"RSC007154")</f>
        <v>RSC007154</v>
      </c>
      <c r="C484" s="30" t="str">
        <f>IFERROR(__xludf.DUMMYFUNCTION("""COMPUTED_VALUE"""),"TheBannGG")</f>
        <v>TheBannGG</v>
      </c>
      <c r="D484" s="30"/>
      <c r="E484" s="30">
        <f>IFERROR(__xludf.DUMMYFUNCTION("""COMPUTED_VALUE"""),4.0)</f>
        <v>4</v>
      </c>
      <c r="F484" s="30">
        <f>IFERROR(__xludf.DUMMYFUNCTION("""COMPUTED_VALUE"""),2.0)</f>
        <v>2</v>
      </c>
      <c r="G484" s="42">
        <f>IFERROR(__xludf.DUMMYFUNCTION("""COMPUTED_VALUE"""),2.0)</f>
        <v>2</v>
      </c>
      <c r="H484" s="42">
        <f>IFERROR(__xludf.DUMMYFUNCTION("""COMPUTED_VALUE"""),0.5)</f>
        <v>0.5</v>
      </c>
      <c r="I484" s="42">
        <f>IFERROR(__xludf.DUMMYFUNCTION("""COMPUTED_VALUE"""),0.375)</f>
        <v>0.375</v>
      </c>
      <c r="J484" s="30">
        <f>IFERROR(__xludf.DUMMYFUNCTION("""COMPUTED_VALUE"""),324.75)</f>
        <v>324.75</v>
      </c>
      <c r="K484" s="30">
        <f>IFERROR(__xludf.DUMMYFUNCTION("""COMPUTED_VALUE"""),0.75)</f>
        <v>0.75</v>
      </c>
      <c r="L484" s="30">
        <f>IFERROR(__xludf.DUMMYFUNCTION("""COMPUTED_VALUE"""),0.25)</f>
        <v>0.25</v>
      </c>
      <c r="M484" s="30">
        <f>IFERROR(__xludf.DUMMYFUNCTION("""COMPUTED_VALUE"""),1.75)</f>
        <v>1.75</v>
      </c>
      <c r="N484" s="30">
        <f>IFERROR(__xludf.DUMMYFUNCTION("""COMPUTED_VALUE"""),2.0)</f>
        <v>2</v>
      </c>
      <c r="O484" s="30">
        <f>IFERROR(__xludf.DUMMYFUNCTION("""COMPUTED_VALUE"""),398.99999999999994)</f>
        <v>399</v>
      </c>
      <c r="P484" s="30">
        <f>IFERROR(__xludf.DUMMYFUNCTION("""COMPUTED_VALUE"""),1.0833333333333333)</f>
        <v>1.083333333</v>
      </c>
      <c r="Q484" s="30">
        <f>IFERROR(__xludf.DUMMYFUNCTION("""COMPUTED_VALUE"""),0.8333333333333334)</f>
        <v>0.8333333333</v>
      </c>
      <c r="R484" s="30">
        <f>IFERROR(__xludf.DUMMYFUNCTION("""COMPUTED_VALUE"""),1.25)</f>
        <v>1.25</v>
      </c>
      <c r="S484" s="30">
        <f>IFERROR(__xludf.DUMMYFUNCTION("""COMPUTED_VALUE"""),3.0000000000000004)</f>
        <v>3</v>
      </c>
      <c r="T484" s="30">
        <f>IFERROR(__xludf.DUMMYFUNCTION("""COMPUTED_VALUE"""),354.7309343434343)</f>
        <v>354.7309343</v>
      </c>
      <c r="U484" s="30">
        <f>IFERROR(__xludf.DUMMYFUNCTION("""COMPUTED_VALUE"""),0.8150252525252526)</f>
        <v>0.8150252525</v>
      </c>
      <c r="V484" s="30">
        <f>IFERROR(__xludf.DUMMYFUNCTION("""COMPUTED_VALUE"""),0.6191919191919192)</f>
        <v>0.6191919192</v>
      </c>
      <c r="W484" s="30">
        <f>IFERROR(__xludf.DUMMYFUNCTION("""COMPUTED_VALUE"""),1.1534090909090908)</f>
        <v>1.153409091</v>
      </c>
      <c r="X484" s="30">
        <f>IFERROR(__xludf.DUMMYFUNCTION("""COMPUTED_VALUE"""),2.74709595959596)</f>
        <v>2.74709596</v>
      </c>
      <c r="Y484" s="30">
        <f>IFERROR(__xludf.DUMMYFUNCTION("""COMPUTED_VALUE"""),336.83186026936033)</f>
        <v>336.8318603</v>
      </c>
      <c r="Z484" s="30">
        <f>IFERROR(__xludf.DUMMYFUNCTION("""COMPUTED_VALUE"""),0.6825757575757576)</f>
        <v>0.6825757576</v>
      </c>
      <c r="AA484" s="30">
        <f>IFERROR(__xludf.DUMMYFUNCTION("""COMPUTED_VALUE"""),0.48657407407407405)</f>
        <v>0.4865740741</v>
      </c>
      <c r="AB484" s="30">
        <f>IFERROR(__xludf.DUMMYFUNCTION("""COMPUTED_VALUE"""),1.4258838383838384)</f>
        <v>1.425883838</v>
      </c>
      <c r="AC484" s="30">
        <f>IFERROR(__xludf.DUMMYFUNCTION("""COMPUTED_VALUE"""),2.4114478114478115)</f>
        <v>2.411447811</v>
      </c>
      <c r="AD484" s="30">
        <f>IFERROR(__xludf.DUMMYFUNCTION("""COMPUTED_VALUE"""),0.9641308863725105)</f>
        <v>0.9641308864</v>
      </c>
      <c r="AE484" s="30">
        <f>IFERROR(__xludf.DUMMYFUNCTION("""COMPUTED_VALUE"""),1.0987791342952276)</f>
        <v>1.098779134</v>
      </c>
      <c r="AF484" s="30">
        <f>IFERROR(__xludf.DUMMYFUNCTION("""COMPUTED_VALUE"""),0.5137963843958135)</f>
        <v>0.5137963844</v>
      </c>
      <c r="AG484" s="30">
        <f>IFERROR(__xludf.DUMMYFUNCTION("""COMPUTED_VALUE"""),1.2273089524484193)</f>
        <v>1.227308952</v>
      </c>
      <c r="AH484" s="30">
        <f>IFERROR(__xludf.DUMMYFUNCTION("""COMPUTED_VALUE"""),0.8293772689192963)</f>
        <v>0.8293772689</v>
      </c>
      <c r="AI484" s="30">
        <f>IFERROR(__xludf.DUMMYFUNCTION("""COMPUTED_VALUE"""),1.1247961803458233)</f>
        <v>1.12479618</v>
      </c>
      <c r="AJ484" s="30">
        <f>IFERROR(__xludf.DUMMYFUNCTION("""COMPUTED_VALUE"""),1.3292021688613476)</f>
        <v>1.329202169</v>
      </c>
      <c r="AK484" s="30">
        <f>IFERROR(__xludf.DUMMYFUNCTION("""COMPUTED_VALUE"""),1.3458401305057097)</f>
        <v>1.345840131</v>
      </c>
      <c r="AL484" s="30">
        <f>IFERROR(__xludf.DUMMYFUNCTION("""COMPUTED_VALUE"""),1.083743842364532)</f>
        <v>1.083743842</v>
      </c>
      <c r="AM484" s="30">
        <f>IFERROR(__xludf.DUMMYFUNCTION("""COMPUTED_VALUE"""),1.09206232476904)</f>
        <v>1.092062325</v>
      </c>
      <c r="AN484" s="30">
        <f>IFERROR(__xludf.DUMMYFUNCTION("""COMPUTED_VALUE"""),0.9577476456789759)</f>
        <v>0.9577476457</v>
      </c>
      <c r="AO484" s="30">
        <f>IFERROR(__xludf.DUMMYFUNCTION("""COMPUTED_VALUE"""),1.0084169524739757)</f>
        <v>1.008416952</v>
      </c>
      <c r="AP484" s="30">
        <f>IFERROR(__xludf.DUMMYFUNCTION("""COMPUTED_VALUE"""),0.4580447743107194)</f>
        <v>0.4580447743</v>
      </c>
      <c r="AQ484" s="30">
        <f>IFERROR(__xludf.DUMMYFUNCTION("""COMPUTED_VALUE"""),1.3380754048018069)</f>
        <v>1.338075405</v>
      </c>
      <c r="AR484" s="30">
        <f>IFERROR(__xludf.DUMMYFUNCTION("""COMPUTED_VALUE"""),0.7994567863253565)</f>
        <v>0.7994567863</v>
      </c>
      <c r="AS484" s="30">
        <f>IFERROR(__xludf.DUMMYFUNCTION("""COMPUTED_VALUE"""),10.0)</f>
        <v>10</v>
      </c>
      <c r="AT484" s="30">
        <f>IFERROR(__xludf.DUMMYFUNCTION("""COMPUTED_VALUE"""),0.39330510427136167)</f>
        <v>0.3933051043</v>
      </c>
      <c r="AU484" s="30">
        <f>IFERROR(__xludf.DUMMYFUNCTION("""COMPUTED_VALUE"""),1.754801430726859)</f>
        <v>1.754801431</v>
      </c>
      <c r="AV484" s="32">
        <f>IFERROR(__xludf.DUMMYFUNCTION("""COMPUTED_VALUE"""),29.427633937297383)</f>
        <v>29.42763394</v>
      </c>
      <c r="AW484" s="32">
        <f>IFERROR(__xludf.DUMMYFUNCTION("""COMPUTED_VALUE"""),-4.871301319851781)</f>
        <v>-4.87130132</v>
      </c>
      <c r="AX484" s="32">
        <f>IFERROR(__xludf.DUMMYFUNCTION("""COMPUTED_VALUE"""),19.836845736953894)</f>
        <v>19.83684574</v>
      </c>
      <c r="AY484" s="32">
        <f>IFERROR(__xludf.DUMMYFUNCTION("""COMPUTED_VALUE"""),-8.786779693137134)</f>
        <v>-8.786779693</v>
      </c>
      <c r="AZ484" s="30">
        <f>IFERROR(__xludf.DUMMYFUNCTION("""COMPUTED_VALUE"""),3.915478373285353)</f>
        <v>3.915478373</v>
      </c>
      <c r="BA484" s="30">
        <f>IFERROR(__xludf.DUMMYFUNCTION("""COMPUTED_VALUE"""),1700.0)</f>
        <v>1700</v>
      </c>
    </row>
    <row r="485">
      <c r="A485" s="71" t="str">
        <f>IFERROR(__xludf.DUMMYFUNCTION("""COMPUTED_VALUE"""),"Rival")</f>
        <v>Rival</v>
      </c>
      <c r="B485" s="71" t="str">
        <f>IFERROR(__xludf.DUMMYFUNCTION("""COMPUTED_VALUE"""),"RSC005628")</f>
        <v>RSC005628</v>
      </c>
      <c r="C485" s="30" t="str">
        <f>IFERROR(__xludf.DUMMYFUNCTION("""COMPUTED_VALUE"""),"I love sand")</f>
        <v>I love sand</v>
      </c>
      <c r="D485" s="30" t="str">
        <f>IFERROR(__xludf.DUMMYFUNCTION("""COMPUTED_VALUE"""),"Tyrants")</f>
        <v>Tyrants</v>
      </c>
      <c r="E485" s="30">
        <f>IFERROR(__xludf.DUMMYFUNCTION("""COMPUTED_VALUE"""),26.0)</f>
        <v>26</v>
      </c>
      <c r="F485" s="30">
        <f>IFERROR(__xludf.DUMMYFUNCTION("""COMPUTED_VALUE"""),12.0)</f>
        <v>12</v>
      </c>
      <c r="G485" s="42">
        <f>IFERROR(__xludf.DUMMYFUNCTION("""COMPUTED_VALUE"""),14.0)</f>
        <v>14</v>
      </c>
      <c r="H485" s="42">
        <f>IFERROR(__xludf.DUMMYFUNCTION("""COMPUTED_VALUE"""),0.46153846153846156)</f>
        <v>0.4615384615</v>
      </c>
      <c r="I485" s="42">
        <f>IFERROR(__xludf.DUMMYFUNCTION("""COMPUTED_VALUE"""),0.18518518518518517)</f>
        <v>0.1851851852</v>
      </c>
      <c r="J485" s="30">
        <f>IFERROR(__xludf.DUMMYFUNCTION("""COMPUTED_VALUE"""),296.5)</f>
        <v>296.5</v>
      </c>
      <c r="K485" s="30">
        <f>IFERROR(__xludf.DUMMYFUNCTION("""COMPUTED_VALUE"""),0.38461538461538464)</f>
        <v>0.3846153846</v>
      </c>
      <c r="L485" s="30">
        <f>IFERROR(__xludf.DUMMYFUNCTION("""COMPUTED_VALUE"""),0.46153846153846156)</f>
        <v>0.4615384615</v>
      </c>
      <c r="M485" s="30">
        <f>IFERROR(__xludf.DUMMYFUNCTION("""COMPUTED_VALUE"""),1.1153846153846154)</f>
        <v>1.115384615</v>
      </c>
      <c r="N485" s="30">
        <f>IFERROR(__xludf.DUMMYFUNCTION("""COMPUTED_VALUE"""),2.076923076923077)</f>
        <v>2.076923077</v>
      </c>
      <c r="O485" s="30">
        <f>IFERROR(__xludf.DUMMYFUNCTION("""COMPUTED_VALUE"""),338.2435897435898)</f>
        <v>338.2435897</v>
      </c>
      <c r="P485" s="30">
        <f>IFERROR(__xludf.DUMMYFUNCTION("""COMPUTED_VALUE"""),0.7564102564102565)</f>
        <v>0.7564102564</v>
      </c>
      <c r="Q485" s="30">
        <f>IFERROR(__xludf.DUMMYFUNCTION("""COMPUTED_VALUE"""),0.5897435897435896)</f>
        <v>0.5897435897</v>
      </c>
      <c r="R485" s="30">
        <f>IFERROR(__xludf.DUMMYFUNCTION("""COMPUTED_VALUE"""),1.0384615384615383)</f>
        <v>1.038461538</v>
      </c>
      <c r="S485" s="30">
        <f>IFERROR(__xludf.DUMMYFUNCTION("""COMPUTED_VALUE"""),2.5512820512820515)</f>
        <v>2.551282051</v>
      </c>
      <c r="T485" s="30">
        <f>IFERROR(__xludf.DUMMYFUNCTION("""COMPUTED_VALUE"""),345.5599286623669)</f>
        <v>345.5599287</v>
      </c>
      <c r="U485" s="30">
        <f>IFERROR(__xludf.DUMMYFUNCTION("""COMPUTED_VALUE"""),0.7691713028029951)</f>
        <v>0.7691713028</v>
      </c>
      <c r="V485" s="30">
        <f>IFERROR(__xludf.DUMMYFUNCTION("""COMPUTED_VALUE"""),0.5627220731348699)</f>
        <v>0.5627220731</v>
      </c>
      <c r="W485" s="30">
        <f>IFERROR(__xludf.DUMMYFUNCTION("""COMPUTED_VALUE"""),1.3196457819424325)</f>
        <v>1.319645782</v>
      </c>
      <c r="X485" s="30">
        <f>IFERROR(__xludf.DUMMYFUNCTION("""COMPUTED_VALUE"""),2.510375969421553)</f>
        <v>2.510375969</v>
      </c>
      <c r="Y485" s="30">
        <f>IFERROR(__xludf.DUMMYFUNCTION("""COMPUTED_VALUE"""),347.38719442295076)</f>
        <v>347.3871944</v>
      </c>
      <c r="Z485" s="30">
        <f>IFERROR(__xludf.DUMMYFUNCTION("""COMPUTED_VALUE"""),0.7792044887750833)</f>
        <v>0.7792044888</v>
      </c>
      <c r="AA485" s="30">
        <f>IFERROR(__xludf.DUMMYFUNCTION("""COMPUTED_VALUE"""),0.5519386226173414)</f>
        <v>0.5519386226</v>
      </c>
      <c r="AB485" s="30">
        <f>IFERROR(__xludf.DUMMYFUNCTION("""COMPUTED_VALUE"""),1.2852052912483591)</f>
        <v>1.285205291</v>
      </c>
      <c r="AC485" s="30">
        <f>IFERROR(__xludf.DUMMYFUNCTION("""COMPUTED_VALUE"""),2.5136871476342484)</f>
        <v>2.513687148</v>
      </c>
      <c r="AD485" s="30">
        <f>IFERROR(__xludf.DUMMYFUNCTION("""COMPUTED_VALUE"""),0.8535144782539261)</f>
        <v>0.8535144783</v>
      </c>
      <c r="AE485" s="30">
        <f>IFERROR(__xludf.DUMMYFUNCTION("""COMPUTED_VALUE"""),0.4936000628281847)</f>
        <v>0.4936000628</v>
      </c>
      <c r="AF485" s="30">
        <f>IFERROR(__xludf.DUMMYFUNCTION("""COMPUTED_VALUE"""),0.836213380665056)</f>
        <v>0.8362133807</v>
      </c>
      <c r="AG485" s="30">
        <f>IFERROR(__xludf.DUMMYFUNCTION("""COMPUTED_VALUE"""),0.8678649418733783)</f>
        <v>0.8678649419</v>
      </c>
      <c r="AH485" s="30">
        <f>IFERROR(__xludf.DUMMYFUNCTION("""COMPUTED_VALUE"""),0.8262456522792699)</f>
        <v>0.8262456523</v>
      </c>
      <c r="AI485" s="30">
        <f>IFERROR(__xludf.DUMMYFUNCTION("""COMPUTED_VALUE"""),0.9788275829691885)</f>
        <v>0.978827583</v>
      </c>
      <c r="AJ485" s="30">
        <f>IFERROR(__xludf.DUMMYFUNCTION("""COMPUTED_VALUE"""),0.9834093571272939)</f>
        <v>0.9834093571</v>
      </c>
      <c r="AK485" s="30">
        <f>IFERROR(__xludf.DUMMYFUNCTION("""COMPUTED_VALUE"""),1.0480192938908288)</f>
        <v>1.048019294</v>
      </c>
      <c r="AL485" s="30">
        <f>IFERROR(__xludf.DUMMYFUNCTION("""COMPUTED_VALUE"""),0.7869244555406305)</f>
        <v>0.7869244555</v>
      </c>
      <c r="AM485" s="30">
        <f>IFERROR(__xludf.DUMMYFUNCTION("""COMPUTED_VALUE"""),1.0162948029931644)</f>
        <v>1.016294803</v>
      </c>
      <c r="AN485" s="30">
        <f>IFERROR(__xludf.DUMMYFUNCTION("""COMPUTED_VALUE"""),0.8744331853543228)</f>
        <v>0.8744331854</v>
      </c>
      <c r="AO485" s="30">
        <f>IFERROR(__xludf.DUMMYFUNCTION("""COMPUTED_VALUE"""),0.517136898704603)</f>
        <v>0.5171368987</v>
      </c>
      <c r="AP485" s="30">
        <f>IFERROR(__xludf.DUMMYFUNCTION("""COMPUTED_VALUE"""),0.8456211218044051)</f>
        <v>0.8456211218</v>
      </c>
      <c r="AQ485" s="30">
        <f>IFERROR(__xludf.DUMMYFUNCTION("""COMPUTED_VALUE"""),0.8528392689945583)</f>
        <v>0.852839269</v>
      </c>
      <c r="AR485" s="30">
        <f>IFERROR(__xludf.DUMMYFUNCTION("""COMPUTED_VALUE"""),0.8302051242609473)</f>
        <v>0.8302051243</v>
      </c>
      <c r="AS485" s="30">
        <f>IFERROR(__xludf.DUMMYFUNCTION("""COMPUTED_VALUE"""),46.0)</f>
        <v>46</v>
      </c>
      <c r="AT485" s="30">
        <f>IFERROR(__xludf.DUMMYFUNCTION("""COMPUTED_VALUE"""),0.4081696995080047)</f>
        <v>0.4081696995</v>
      </c>
      <c r="AU485" s="30">
        <f>IFERROR(__xludf.DUMMYFUNCTION("""COMPUTED_VALUE"""),1.5809951993086402)</f>
        <v>1.580995199</v>
      </c>
      <c r="AV485" s="32">
        <f>IFERROR(__xludf.DUMMYFUNCTION("""COMPUTED_VALUE"""),24.451565891982813)</f>
        <v>24.45156589</v>
      </c>
      <c r="AW485" s="32">
        <f>IFERROR(__xludf.DUMMYFUNCTION("""COMPUTED_VALUE"""),-6.5186807368433115)</f>
        <v>-6.518680737</v>
      </c>
      <c r="AX485" s="32">
        <f>IFERROR(__xludf.DUMMYFUNCTION("""COMPUTED_VALUE"""),41.2715137533993)</f>
        <v>41.27151375</v>
      </c>
      <c r="AY485" s="32">
        <f>IFERROR(__xludf.DUMMYFUNCTION("""COMPUTED_VALUE"""),-2.7510898331950777)</f>
        <v>-2.751089833</v>
      </c>
      <c r="AZ485" s="30">
        <f>IFERROR(__xludf.DUMMYFUNCTION("""COMPUTED_VALUE"""),3.767590903648234)</f>
        <v>3.767590904</v>
      </c>
      <c r="BA485" s="30">
        <f>IFERROR(__xludf.DUMMYFUNCTION("""COMPUTED_VALUE"""),1700.0)</f>
        <v>1700</v>
      </c>
    </row>
    <row r="486">
      <c r="A486" s="71" t="str">
        <f>IFERROR(__xludf.DUMMYFUNCTION("""COMPUTED_VALUE"""),"Rival")</f>
        <v>Rival</v>
      </c>
      <c r="B486" s="71" t="str">
        <f>IFERROR(__xludf.DUMMYFUNCTION("""COMPUTED_VALUE"""),"RSC004283")</f>
        <v>RSC004283</v>
      </c>
      <c r="C486" s="30" t="str">
        <f>IFERROR(__xludf.DUMMYFUNCTION("""COMPUTED_VALUE"""),"Tragic Event")</f>
        <v>Tragic Event</v>
      </c>
      <c r="D486" s="30" t="str">
        <f>IFERROR(__xludf.DUMMYFUNCTION("""COMPUTED_VALUE"""),"Quasars")</f>
        <v>Quasars</v>
      </c>
      <c r="E486" s="30">
        <f>IFERROR(__xludf.DUMMYFUNCTION("""COMPUTED_VALUE"""),8.0)</f>
        <v>8</v>
      </c>
      <c r="F486" s="30">
        <f>IFERROR(__xludf.DUMMYFUNCTION("""COMPUTED_VALUE"""),3.0)</f>
        <v>3</v>
      </c>
      <c r="G486" s="42">
        <f>IFERROR(__xludf.DUMMYFUNCTION("""COMPUTED_VALUE"""),5.0)</f>
        <v>5</v>
      </c>
      <c r="H486" s="42">
        <f>IFERROR(__xludf.DUMMYFUNCTION("""COMPUTED_VALUE"""),0.375)</f>
        <v>0.375</v>
      </c>
      <c r="I486" s="42">
        <f>IFERROR(__xludf.DUMMYFUNCTION("""COMPUTED_VALUE"""),0.35714285714285715)</f>
        <v>0.3571428571</v>
      </c>
      <c r="J486" s="30">
        <f>IFERROR(__xludf.DUMMYFUNCTION("""COMPUTED_VALUE"""),246.125)</f>
        <v>246.125</v>
      </c>
      <c r="K486" s="30">
        <f>IFERROR(__xludf.DUMMYFUNCTION("""COMPUTED_VALUE"""),0.625)</f>
        <v>0.625</v>
      </c>
      <c r="L486" s="30">
        <f>IFERROR(__xludf.DUMMYFUNCTION("""COMPUTED_VALUE"""),0.25)</f>
        <v>0.25</v>
      </c>
      <c r="M486" s="30">
        <f>IFERROR(__xludf.DUMMYFUNCTION("""COMPUTED_VALUE"""),1.0)</f>
        <v>1</v>
      </c>
      <c r="N486" s="30">
        <f>IFERROR(__xludf.DUMMYFUNCTION("""COMPUTED_VALUE"""),1.75)</f>
        <v>1.75</v>
      </c>
      <c r="O486" s="30">
        <f>IFERROR(__xludf.DUMMYFUNCTION("""COMPUTED_VALUE"""),313.7083333333333)</f>
        <v>313.7083333</v>
      </c>
      <c r="P486" s="30">
        <f>IFERROR(__xludf.DUMMYFUNCTION("""COMPUTED_VALUE"""),0.7083333333333333)</f>
        <v>0.7083333333</v>
      </c>
      <c r="Q486" s="30">
        <f>IFERROR(__xludf.DUMMYFUNCTION("""COMPUTED_VALUE"""),0.5416666666666666)</f>
        <v>0.5416666667</v>
      </c>
      <c r="R486" s="30">
        <f>IFERROR(__xludf.DUMMYFUNCTION("""COMPUTED_VALUE"""),1.0833333333333333)</f>
        <v>1.083333333</v>
      </c>
      <c r="S486" s="30">
        <f>IFERROR(__xludf.DUMMYFUNCTION("""COMPUTED_VALUE"""),2.416666666666667)</f>
        <v>2.416666667</v>
      </c>
      <c r="T486" s="30">
        <f>IFERROR(__xludf.DUMMYFUNCTION("""COMPUTED_VALUE"""),359.9397426647427)</f>
        <v>359.9397427</v>
      </c>
      <c r="U486" s="30">
        <f>IFERROR(__xludf.DUMMYFUNCTION("""COMPUTED_VALUE"""),0.8135401635401638)</f>
        <v>0.8135401635</v>
      </c>
      <c r="V486" s="30">
        <f>IFERROR(__xludf.DUMMYFUNCTION("""COMPUTED_VALUE"""),0.6133718133718133)</f>
        <v>0.6133718134</v>
      </c>
      <c r="W486" s="30">
        <f>IFERROR(__xludf.DUMMYFUNCTION("""COMPUTED_VALUE"""),1.2806277056277058)</f>
        <v>1.280627706</v>
      </c>
      <c r="X486" s="30">
        <f>IFERROR(__xludf.DUMMYFUNCTION("""COMPUTED_VALUE"""),2.6814514189514194)</f>
        <v>2.681451419</v>
      </c>
      <c r="Y486" s="30">
        <f>IFERROR(__xludf.DUMMYFUNCTION("""COMPUTED_VALUE"""),348.1828843995511)</f>
        <v>348.1828844</v>
      </c>
      <c r="Z486" s="30">
        <f>IFERROR(__xludf.DUMMYFUNCTION("""COMPUTED_VALUE"""),0.7855459355459355)</f>
        <v>0.7855459355</v>
      </c>
      <c r="AA486" s="30">
        <f>IFERROR(__xludf.DUMMYFUNCTION("""COMPUTED_VALUE"""),0.5454024370691036)</f>
        <v>0.5454024371</v>
      </c>
      <c r="AB486" s="30">
        <f>IFERROR(__xludf.DUMMYFUNCTION("""COMPUTED_VALUE"""),1.3387646304312972)</f>
        <v>1.33876463</v>
      </c>
      <c r="AC486" s="30">
        <f>IFERROR(__xludf.DUMMYFUNCTION("""COMPUTED_VALUE"""),2.507982603815937)</f>
        <v>2.507982604</v>
      </c>
      <c r="AD486" s="30">
        <f>IFERROR(__xludf.DUMMYFUNCTION("""COMPUTED_VALUE"""),0.7068842583243226)</f>
        <v>0.7068842583</v>
      </c>
      <c r="AE486" s="30">
        <f>IFERROR(__xludf.DUMMYFUNCTION("""COMPUTED_VALUE"""),0.7956250191348009)</f>
        <v>0.7956250191</v>
      </c>
      <c r="AF486" s="30">
        <f>IFERROR(__xludf.DUMMYFUNCTION("""COMPUTED_VALUE"""),0.4583771230349755)</f>
        <v>0.458377123</v>
      </c>
      <c r="AG486" s="30">
        <f>IFERROR(__xludf.DUMMYFUNCTION("""COMPUTED_VALUE"""),0.746957289779787)</f>
        <v>0.7469572898</v>
      </c>
      <c r="AH486" s="30">
        <f>IFERROR(__xludf.DUMMYFUNCTION("""COMPUTED_VALUE"""),0.6977719850757123)</f>
        <v>0.6977719851</v>
      </c>
      <c r="AI486" s="30">
        <f>IFERROR(__xludf.DUMMYFUNCTION("""COMPUTED_VALUE"""),0.8715579196974907)</f>
        <v>0.8715579197</v>
      </c>
      <c r="AJ486" s="30">
        <f>IFERROR(__xludf.DUMMYFUNCTION("""COMPUTED_VALUE"""),0.8706802258550859)</f>
        <v>0.8706802259</v>
      </c>
      <c r="AK486" s="30">
        <f>IFERROR(__xludf.DUMMYFUNCTION("""COMPUTED_VALUE"""),0.8830967691342534)</f>
        <v>0.8830967691</v>
      </c>
      <c r="AL486" s="30">
        <f>IFERROR(__xludf.DUMMYFUNCTION("""COMPUTED_VALUE"""),0.845939322234429)</f>
        <v>0.8459393222</v>
      </c>
      <c r="AM486" s="30">
        <f>IFERROR(__xludf.DUMMYFUNCTION("""COMPUTED_VALUE"""),0.9012531980205346)</f>
        <v>0.901253198</v>
      </c>
      <c r="AN486" s="30">
        <f>IFERROR(__xludf.DUMMYFUNCTION("""COMPUTED_VALUE"""),0.725868019377176)</f>
        <v>0.7258680194</v>
      </c>
      <c r="AO486" s="30">
        <f>IFERROR(__xludf.DUMMYFUNCTION("""COMPUTED_VALUE"""),0.8403474603949798)</f>
        <v>0.8403474604</v>
      </c>
      <c r="AP486" s="30">
        <f>IFERROR(__xludf.DUMMYFUNCTION("""COMPUTED_VALUE"""),0.4580447743107194)</f>
        <v>0.4580447743</v>
      </c>
      <c r="AQ486" s="30">
        <f>IFERROR(__xludf.DUMMYFUNCTION("""COMPUTED_VALUE"""),0.7646145170296039)</f>
        <v>0.764614517</v>
      </c>
      <c r="AR486" s="30">
        <f>IFERROR(__xludf.DUMMYFUNCTION("""COMPUTED_VALUE"""),0.699524688034687)</f>
        <v>0.699524688</v>
      </c>
      <c r="AS486" s="30">
        <f>IFERROR(__xludf.DUMMYFUNCTION("""COMPUTED_VALUE"""),17.0)</f>
        <v>17</v>
      </c>
      <c r="AT486" s="30">
        <f>IFERROR(__xludf.DUMMYFUNCTION("""COMPUTED_VALUE"""),0.5)</f>
        <v>0.5</v>
      </c>
      <c r="AU486" s="30">
        <f>IFERROR(__xludf.DUMMYFUNCTION("""COMPUTED_VALUE"""),1.5470957152226001)</f>
        <v>1.547095715</v>
      </c>
      <c r="AV486" s="32">
        <f>IFERROR(__xludf.DUMMYFUNCTION("""COMPUTED_VALUE"""),23.4810245130187)</f>
        <v>23.48102451</v>
      </c>
      <c r="AW486" s="32">
        <f>IFERROR(__xludf.DUMMYFUNCTION("""COMPUTED_VALUE"""),-6.925221413155836)</f>
        <v>-6.925221413</v>
      </c>
      <c r="AX486" s="32">
        <f>IFERROR(__xludf.DUMMYFUNCTION("""COMPUTED_VALUE"""),17.055400261763232)</f>
        <v>17.05540026</v>
      </c>
      <c r="AY486" s="32">
        <f>IFERROR(__xludf.DUMMYFUNCTION("""COMPUTED_VALUE"""),-10.662346624559353)</f>
        <v>-10.66234662</v>
      </c>
      <c r="AZ486" s="30">
        <f>IFERROR(__xludf.DUMMYFUNCTION("""COMPUTED_VALUE"""),3.7371252114035167)</f>
        <v>3.737125211</v>
      </c>
      <c r="BA486" s="30">
        <f>IFERROR(__xludf.DUMMYFUNCTION("""COMPUTED_VALUE"""),1700.0)</f>
        <v>1700</v>
      </c>
    </row>
    <row r="487">
      <c r="A487" s="71" t="str">
        <f>IFERROR(__xludf.DUMMYFUNCTION("""COMPUTED_VALUE"""),"Rival")</f>
        <v>Rival</v>
      </c>
      <c r="B487" s="71" t="str">
        <f>IFERROR(__xludf.DUMMYFUNCTION("""COMPUTED_VALUE"""),"RSC007937")</f>
        <v>RSC007937</v>
      </c>
      <c r="C487" s="30" t="str">
        <f>IFERROR(__xludf.DUMMYFUNCTION("""COMPUTED_VALUE"""),"Spidey")</f>
        <v>Spidey</v>
      </c>
      <c r="D487" s="30" t="str">
        <f>IFERROR(__xludf.DUMMYFUNCTION("""COMPUTED_VALUE"""),"Ocelots")</f>
        <v>Ocelots</v>
      </c>
      <c r="E487" s="30">
        <f>IFERROR(__xludf.DUMMYFUNCTION("""COMPUTED_VALUE"""),32.0)</f>
        <v>32</v>
      </c>
      <c r="F487" s="30">
        <f>IFERROR(__xludf.DUMMYFUNCTION("""COMPUTED_VALUE"""),19.0)</f>
        <v>19</v>
      </c>
      <c r="G487" s="42">
        <f>IFERROR(__xludf.DUMMYFUNCTION("""COMPUTED_VALUE"""),13.0)</f>
        <v>13</v>
      </c>
      <c r="H487" s="42">
        <f>IFERROR(__xludf.DUMMYFUNCTION("""COMPUTED_VALUE"""),0.59375)</f>
        <v>0.59375</v>
      </c>
      <c r="I487" s="42">
        <f>IFERROR(__xludf.DUMMYFUNCTION("""COMPUTED_VALUE"""),0.30357142857142855)</f>
        <v>0.3035714286</v>
      </c>
      <c r="J487" s="30">
        <f>IFERROR(__xludf.DUMMYFUNCTION("""COMPUTED_VALUE"""),381.59375)</f>
        <v>381.59375</v>
      </c>
      <c r="K487" s="30">
        <f>IFERROR(__xludf.DUMMYFUNCTION("""COMPUTED_VALUE"""),1.0625)</f>
        <v>1.0625</v>
      </c>
      <c r="L487" s="30">
        <f>IFERROR(__xludf.DUMMYFUNCTION("""COMPUTED_VALUE"""),0.53125)</f>
        <v>0.53125</v>
      </c>
      <c r="M487" s="30">
        <f>IFERROR(__xludf.DUMMYFUNCTION("""COMPUTED_VALUE"""),1.21875)</f>
        <v>1.21875</v>
      </c>
      <c r="N487" s="30">
        <f>IFERROR(__xludf.DUMMYFUNCTION("""COMPUTED_VALUE"""),3.5)</f>
        <v>3.5</v>
      </c>
      <c r="O487" s="30">
        <f>IFERROR(__xludf.DUMMYFUNCTION("""COMPUTED_VALUE"""),329.13541666666663)</f>
        <v>329.1354167</v>
      </c>
      <c r="P487" s="30">
        <f>IFERROR(__xludf.DUMMYFUNCTION("""COMPUTED_VALUE"""),0.6562500000000002)</f>
        <v>0.65625</v>
      </c>
      <c r="Q487" s="30">
        <f>IFERROR(__xludf.DUMMYFUNCTION("""COMPUTED_VALUE"""),0.45833333333333337)</f>
        <v>0.4583333333</v>
      </c>
      <c r="R487" s="30">
        <f>IFERROR(__xludf.DUMMYFUNCTION("""COMPUTED_VALUE"""),1.375)</f>
        <v>1.375</v>
      </c>
      <c r="S487" s="30">
        <f>IFERROR(__xludf.DUMMYFUNCTION("""COMPUTED_VALUE"""),2.1354166666666665)</f>
        <v>2.135416667</v>
      </c>
      <c r="T487" s="30">
        <f>IFERROR(__xludf.DUMMYFUNCTION("""COMPUTED_VALUE"""),345.18376257935165)</f>
        <v>345.1837626</v>
      </c>
      <c r="U487" s="30">
        <f>IFERROR(__xludf.DUMMYFUNCTION("""COMPUTED_VALUE"""),0.7530685762243299)</f>
        <v>0.7530685762</v>
      </c>
      <c r="V487" s="30">
        <f>IFERROR(__xludf.DUMMYFUNCTION("""COMPUTED_VALUE"""),0.5524735920566182)</f>
        <v>0.5524735921</v>
      </c>
      <c r="W487" s="30">
        <f>IFERROR(__xludf.DUMMYFUNCTION("""COMPUTED_VALUE"""),1.338992723277898)</f>
        <v>1.338992723</v>
      </c>
      <c r="X487" s="30">
        <f>IFERROR(__xludf.DUMMYFUNCTION("""COMPUTED_VALUE"""),2.5479027910104355)</f>
        <v>2.547902791</v>
      </c>
      <c r="Y487" s="30">
        <f>IFERROR(__xludf.DUMMYFUNCTION("""COMPUTED_VALUE"""),347.306632085397)</f>
        <v>347.3066321</v>
      </c>
      <c r="Z487" s="30">
        <f>IFERROR(__xludf.DUMMYFUNCTION("""COMPUTED_VALUE"""),0.7772790179691683)</f>
        <v>0.777279018</v>
      </c>
      <c r="AA487" s="30">
        <f>IFERROR(__xludf.DUMMYFUNCTION("""COMPUTED_VALUE"""),0.5568006701933299)</f>
        <v>0.5568006702</v>
      </c>
      <c r="AB487" s="30">
        <f>IFERROR(__xludf.DUMMYFUNCTION("""COMPUTED_VALUE"""),1.3383362954344908)</f>
        <v>1.338336295</v>
      </c>
      <c r="AC487" s="30">
        <f>IFERROR(__xludf.DUMMYFUNCTION("""COMPUTED_VALUE"""),2.55725789947596)</f>
        <v>2.557257899</v>
      </c>
      <c r="AD487" s="30">
        <f>IFERROR(__xludf.DUMMYFUNCTION("""COMPUTED_VALUE"""),1.0987229000169867)</f>
        <v>1.0987229</v>
      </c>
      <c r="AE487" s="30">
        <f>IFERROR(__xludf.DUMMYFUNCTION("""COMPUTED_VALUE"""),1.3669480012158843)</f>
        <v>1.366948001</v>
      </c>
      <c r="AF487" s="30">
        <f>IFERROR(__xludf.DUMMYFUNCTION("""COMPUTED_VALUE"""),0.9541116389381171)</f>
        <v>0.9541116389</v>
      </c>
      <c r="AG487" s="30">
        <f>IFERROR(__xludf.DUMMYFUNCTION("""COMPUTED_VALUE"""),0.9106455560964465)</f>
        <v>0.9106455561</v>
      </c>
      <c r="AH487" s="30">
        <f>IFERROR(__xludf.DUMMYFUNCTION("""COMPUTED_VALUE"""),1.368653509963633)</f>
        <v>1.36865351</v>
      </c>
      <c r="AI487" s="30">
        <f>IFERROR(__xludf.DUMMYFUNCTION("""COMPUTED_VALUE"""),0.9535078191605383)</f>
        <v>0.9535078192</v>
      </c>
      <c r="AJ487" s="30">
        <f>IFERROR(__xludf.DUMMYFUNCTION("""COMPUTED_VALUE"""),0.8714345820804923)</f>
        <v>0.8714345821</v>
      </c>
      <c r="AK487" s="30">
        <f>IFERROR(__xludf.DUMMYFUNCTION("""COMPUTED_VALUE"""),0.829602246918551)</f>
        <v>0.8296022469</v>
      </c>
      <c r="AL487" s="30">
        <f>IFERROR(__xludf.DUMMYFUNCTION("""COMPUTED_VALUE"""),1.026891316208168)</f>
        <v>1.026891316</v>
      </c>
      <c r="AM487" s="30">
        <f>IFERROR(__xludf.DUMMYFUNCTION("""COMPUTED_VALUE"""),0.8381075895834366)</f>
        <v>0.8381075896</v>
      </c>
      <c r="AN487" s="30">
        <f>IFERROR(__xludf.DUMMYFUNCTION("""COMPUTED_VALUE"""),1.12539034847825)</f>
        <v>1.125390348</v>
      </c>
      <c r="AO487" s="30">
        <f>IFERROR(__xludf.DUMMYFUNCTION("""COMPUTED_VALUE"""),1.4285906826714656)</f>
        <v>1.428590683</v>
      </c>
      <c r="AP487" s="30">
        <f>IFERROR(__xludf.DUMMYFUNCTION("""COMPUTED_VALUE"""),0.9733451454102787)</f>
        <v>0.9733451454</v>
      </c>
      <c r="AQ487" s="30">
        <f>IFERROR(__xludf.DUMMYFUNCTION("""COMPUTED_VALUE"""),0.9318739426298298)</f>
        <v>0.9318739426</v>
      </c>
      <c r="AR487" s="30">
        <f>IFERROR(__xludf.DUMMYFUNCTION("""COMPUTED_VALUE"""),1.399049376069374)</f>
        <v>1.399049376</v>
      </c>
      <c r="AS487" s="30">
        <f>IFERROR(__xludf.DUMMYFUNCTION("""COMPUTED_VALUE"""),80.0)</f>
        <v>80</v>
      </c>
      <c r="AT487" s="30">
        <f>IFERROR(__xludf.DUMMYFUNCTION("""COMPUTED_VALUE"""),0.590762230809681)</f>
        <v>0.5907622308</v>
      </c>
      <c r="AU487" s="30">
        <f>IFERROR(__xludf.DUMMYFUNCTION("""COMPUTED_VALUE"""),3.6104329282590046)</f>
        <v>3.610432928</v>
      </c>
      <c r="AV487" s="32">
        <f>IFERROR(__xludf.DUMMYFUNCTION("""COMPUTED_VALUE"""),82.55431716035378)</f>
        <v>82.55431716</v>
      </c>
      <c r="AW487" s="32">
        <f>IFERROR(__xludf.DUMMYFUNCTION("""COMPUTED_VALUE"""),10.3703586948271)</f>
        <v>10.37035869</v>
      </c>
      <c r="AX487" s="32">
        <f>IFERROR(__xludf.DUMMYFUNCTION("""COMPUTED_VALUE"""),75.86883948466313)</f>
        <v>75.86883948</v>
      </c>
      <c r="AY487" s="32">
        <f>IFERROR(__xludf.DUMMYFUNCTION("""COMPUTED_VALUE"""),6.649289704406265)</f>
        <v>6.649289704</v>
      </c>
      <c r="AZ487" s="30">
        <f>IFERROR(__xludf.DUMMYFUNCTION("""COMPUTED_VALUE"""),3.721068990420835)</f>
        <v>3.72106899</v>
      </c>
      <c r="BA487" s="30">
        <f>IFERROR(__xludf.DUMMYFUNCTION("""COMPUTED_VALUE"""),1700.0)</f>
        <v>1700</v>
      </c>
    </row>
    <row r="488">
      <c r="A488" s="71" t="str">
        <f>IFERROR(__xludf.DUMMYFUNCTION("""COMPUTED_VALUE"""),"Rival")</f>
        <v>Rival</v>
      </c>
      <c r="B488" s="71" t="str">
        <f>IFERROR(__xludf.DUMMYFUNCTION("""COMPUTED_VALUE"""),"RSC006774")</f>
        <v>RSC006774</v>
      </c>
      <c r="C488" s="30" t="str">
        <f>IFERROR(__xludf.DUMMYFUNCTION("""COMPUTED_VALUE"""),"JazzMagic.")</f>
        <v>JazzMagic.</v>
      </c>
      <c r="D488" s="30"/>
      <c r="E488" s="30">
        <f>IFERROR(__xludf.DUMMYFUNCTION("""COMPUTED_VALUE"""),19.0)</f>
        <v>19</v>
      </c>
      <c r="F488" s="30">
        <f>IFERROR(__xludf.DUMMYFUNCTION("""COMPUTED_VALUE"""),10.0)</f>
        <v>10</v>
      </c>
      <c r="G488" s="42">
        <f>IFERROR(__xludf.DUMMYFUNCTION("""COMPUTED_VALUE"""),9.0)</f>
        <v>9</v>
      </c>
      <c r="H488" s="42">
        <f>IFERROR(__xludf.DUMMYFUNCTION("""COMPUTED_VALUE"""),0.5263157894736842)</f>
        <v>0.5263157895</v>
      </c>
      <c r="I488" s="42">
        <f>IFERROR(__xludf.DUMMYFUNCTION("""COMPUTED_VALUE"""),0.3962264150943397)</f>
        <v>0.3962264151</v>
      </c>
      <c r="J488" s="30">
        <f>IFERROR(__xludf.DUMMYFUNCTION("""COMPUTED_VALUE"""),395.7368421052632)</f>
        <v>395.7368421</v>
      </c>
      <c r="K488" s="30">
        <f>IFERROR(__xludf.DUMMYFUNCTION("""COMPUTED_VALUE"""),1.105263157894737)</f>
        <v>1.105263158</v>
      </c>
      <c r="L488" s="30">
        <f>IFERROR(__xludf.DUMMYFUNCTION("""COMPUTED_VALUE"""),0.47368421052631576)</f>
        <v>0.4736842105</v>
      </c>
      <c r="M488" s="30">
        <f>IFERROR(__xludf.DUMMYFUNCTION("""COMPUTED_VALUE"""),1.4736842105263157)</f>
        <v>1.473684211</v>
      </c>
      <c r="N488" s="30">
        <f>IFERROR(__xludf.DUMMYFUNCTION("""COMPUTED_VALUE"""),2.789473684210526)</f>
        <v>2.789473684</v>
      </c>
      <c r="O488" s="30">
        <f>IFERROR(__xludf.DUMMYFUNCTION("""COMPUTED_VALUE"""),325.2105263157894)</f>
        <v>325.2105263</v>
      </c>
      <c r="P488" s="30">
        <f>IFERROR(__xludf.DUMMYFUNCTION("""COMPUTED_VALUE"""),0.6140350877192983)</f>
        <v>0.6140350877</v>
      </c>
      <c r="Q488" s="30">
        <f>IFERROR(__xludf.DUMMYFUNCTION("""COMPUTED_VALUE"""),0.45614035087719296)</f>
        <v>0.4561403509</v>
      </c>
      <c r="R488" s="30">
        <f>IFERROR(__xludf.DUMMYFUNCTION("""COMPUTED_VALUE"""),1.4035087719298247)</f>
        <v>1.403508772</v>
      </c>
      <c r="S488" s="30">
        <f>IFERROR(__xludf.DUMMYFUNCTION("""COMPUTED_VALUE"""),2.6491228070175445)</f>
        <v>2.649122807</v>
      </c>
      <c r="T488" s="30">
        <f>IFERROR(__xludf.DUMMYFUNCTION("""COMPUTED_VALUE"""),340.26711825784696)</f>
        <v>340.2671183</v>
      </c>
      <c r="U488" s="30">
        <f>IFERROR(__xludf.DUMMYFUNCTION("""COMPUTED_VALUE"""),0.7264459756128647)</f>
        <v>0.7264459756</v>
      </c>
      <c r="V488" s="30">
        <f>IFERROR(__xludf.DUMMYFUNCTION("""COMPUTED_VALUE"""),0.5406470998516696)</f>
        <v>0.5406470999</v>
      </c>
      <c r="W488" s="30">
        <f>IFERROR(__xludf.DUMMYFUNCTION("""COMPUTED_VALUE"""),1.3084406505996768)</f>
        <v>1.308440651</v>
      </c>
      <c r="X488" s="30">
        <f>IFERROR(__xludf.DUMMYFUNCTION("""COMPUTED_VALUE"""),2.5634041249099027)</f>
        <v>2.563404125</v>
      </c>
      <c r="Y488" s="30">
        <f>IFERROR(__xludf.DUMMYFUNCTION("""COMPUTED_VALUE"""),350.1375887806956)</f>
        <v>350.1375888</v>
      </c>
      <c r="Z488" s="30">
        <f>IFERROR(__xludf.DUMMYFUNCTION("""COMPUTED_VALUE"""),0.7923638436027908)</f>
        <v>0.7923638436</v>
      </c>
      <c r="AA488" s="30">
        <f>IFERROR(__xludf.DUMMYFUNCTION("""COMPUTED_VALUE"""),0.571294615036226)</f>
        <v>0.571294615</v>
      </c>
      <c r="AB488" s="30">
        <f>IFERROR(__xludf.DUMMYFUNCTION("""COMPUTED_VALUE"""),1.3603073483209163)</f>
        <v>1.360307348</v>
      </c>
      <c r="AC488" s="30">
        <f>IFERROR(__xludf.DUMMYFUNCTION("""COMPUTED_VALUE"""),2.594162618726684)</f>
        <v>2.594162619</v>
      </c>
      <c r="AD488" s="30">
        <f>IFERROR(__xludf.DUMMYFUNCTION("""COMPUTED_VALUE"""),1.1302323851699572)</f>
        <v>1.130232385</v>
      </c>
      <c r="AE488" s="30">
        <f>IFERROR(__xludf.DUMMYFUNCTION("""COMPUTED_VALUE"""),1.394893478315754)</f>
        <v>1.394893478</v>
      </c>
      <c r="AF488" s="30">
        <f>IFERROR(__xludf.DUMMYFUNCTION("""COMPUTED_VALUE"""),0.8291417388841994)</f>
        <v>0.8291417389</v>
      </c>
      <c r="AG488" s="30">
        <f>IFERROR(__xludf.DUMMYFUNCTION("""COMPUTED_VALUE"""),1.0833465042626913)</f>
        <v>1.083346504</v>
      </c>
      <c r="AH488" s="30">
        <f>IFERROR(__xludf.DUMMYFUNCTION("""COMPUTED_VALUE"""),1.0752886746859796)</f>
        <v>1.075288675</v>
      </c>
      <c r="AI488" s="30">
        <f>IFERROR(__xludf.DUMMYFUNCTION("""COMPUTED_VALUE"""),0.9557506701818658)</f>
        <v>0.9557506702</v>
      </c>
      <c r="AJ488" s="30">
        <f>IFERROR(__xludf.DUMMYFUNCTION("""COMPUTED_VALUE"""),0.8452591222647613)</f>
        <v>0.8452591223</v>
      </c>
      <c r="AK488" s="30">
        <f>IFERROR(__xludf.DUMMYFUNCTION("""COMPUTED_VALUE"""),0.8436933278701363)</f>
        <v>0.8436933279</v>
      </c>
      <c r="AL488" s="30">
        <f>IFERROR(__xludf.DUMMYFUNCTION("""COMPUTED_VALUE"""),1.072657572421475)</f>
        <v>1.072657572</v>
      </c>
      <c r="AM488" s="30">
        <f>IFERROR(__xludf.DUMMYFUNCTION("""COMPUTED_VALUE"""),1.0334393946216556)</f>
        <v>1.033439395</v>
      </c>
      <c r="AN488" s="30">
        <f>IFERROR(__xludf.DUMMYFUNCTION("""COMPUTED_VALUE"""),1.1671009355958382)</f>
        <v>1.167100936</v>
      </c>
      <c r="AO488" s="30">
        <f>IFERROR(__xludf.DUMMYFUNCTION("""COMPUTED_VALUE"""),1.4860881404879644)</f>
        <v>1.48608814</v>
      </c>
      <c r="AP488" s="30">
        <f>IFERROR(__xludf.DUMMYFUNCTION("""COMPUTED_VALUE"""),0.8678743092203104)</f>
        <v>0.8678743092</v>
      </c>
      <c r="AQ488" s="30">
        <f>IFERROR(__xludf.DUMMYFUNCTION("""COMPUTED_VALUE"""),1.126800340885732)</f>
        <v>1.126800341</v>
      </c>
      <c r="AR488" s="30">
        <f>IFERROR(__xludf.DUMMYFUNCTION("""COMPUTED_VALUE"""),1.11503183355905)</f>
        <v>1.115031834</v>
      </c>
      <c r="AS488" s="30">
        <f>IFERROR(__xludf.DUMMYFUNCTION("""COMPUTED_VALUE"""),45.0)</f>
        <v>45</v>
      </c>
      <c r="AT488" s="30">
        <f>IFERROR(__xludf.DUMMYFUNCTION("""COMPUTED_VALUE"""),0.5937925982269511)</f>
        <v>0.5937925982</v>
      </c>
      <c r="AU488" s="30">
        <f>IFERROR(__xludf.DUMMYFUNCTION("""COMPUTED_VALUE"""),3.317382776067994)</f>
        <v>3.317382776</v>
      </c>
      <c r="AV488" s="32">
        <f>IFERROR(__xludf.DUMMYFUNCTION("""COMPUTED_VALUE"""),74.16429865472611)</f>
        <v>74.16429865</v>
      </c>
      <c r="AW488" s="32">
        <f>IFERROR(__xludf.DUMMYFUNCTION("""COMPUTED_VALUE"""),5.99236456839649)</f>
        <v>5.992364568</v>
      </c>
      <c r="AX488" s="32">
        <f>IFERROR(__xludf.DUMMYFUNCTION("""COMPUTED_VALUE"""),55.955039733688004)</f>
        <v>55.95503973</v>
      </c>
      <c r="AY488" s="32">
        <f>IFERROR(__xludf.DUMMYFUNCTION("""COMPUTED_VALUE"""),2.463889407850925)</f>
        <v>2.463889408</v>
      </c>
      <c r="AZ488" s="30">
        <f>IFERROR(__xludf.DUMMYFUNCTION("""COMPUTED_VALUE"""),3.528475160545565)</f>
        <v>3.528475161</v>
      </c>
      <c r="BA488" s="30">
        <f>IFERROR(__xludf.DUMMYFUNCTION("""COMPUTED_VALUE"""),1700.0)</f>
        <v>1700</v>
      </c>
    </row>
    <row r="489">
      <c r="A489" s="71" t="str">
        <f>IFERROR(__xludf.DUMMYFUNCTION("""COMPUTED_VALUE"""),"Rival")</f>
        <v>Rival</v>
      </c>
      <c r="B489" s="71" t="str">
        <f>IFERROR(__xludf.DUMMYFUNCTION("""COMPUTED_VALUE"""),"RSC007774")</f>
        <v>RSC007774</v>
      </c>
      <c r="C489" s="30" t="str">
        <f>IFERROR(__xludf.DUMMYFUNCTION("""COMPUTED_VALUE"""),"Il Rogue lI")</f>
        <v>Il Rogue lI</v>
      </c>
      <c r="D489" s="30"/>
      <c r="E489" s="30">
        <f>IFERROR(__xludf.DUMMYFUNCTION("""COMPUTED_VALUE"""),4.0)</f>
        <v>4</v>
      </c>
      <c r="F489" s="30">
        <f>IFERROR(__xludf.DUMMYFUNCTION("""COMPUTED_VALUE"""),1.0)</f>
        <v>1</v>
      </c>
      <c r="G489" s="42">
        <f>IFERROR(__xludf.DUMMYFUNCTION("""COMPUTED_VALUE"""),3.0)</f>
        <v>3</v>
      </c>
      <c r="H489" s="42">
        <f>IFERROR(__xludf.DUMMYFUNCTION("""COMPUTED_VALUE"""),0.25)</f>
        <v>0.25</v>
      </c>
      <c r="I489" s="42">
        <f>IFERROR(__xludf.DUMMYFUNCTION("""COMPUTED_VALUE"""),0.0)</f>
        <v>0</v>
      </c>
      <c r="J489" s="30">
        <f>IFERROR(__xludf.DUMMYFUNCTION("""COMPUTED_VALUE"""),305.75)</f>
        <v>305.75</v>
      </c>
      <c r="K489" s="30">
        <f>IFERROR(__xludf.DUMMYFUNCTION("""COMPUTED_VALUE"""),0.0)</f>
        <v>0</v>
      </c>
      <c r="L489" s="30">
        <f>IFERROR(__xludf.DUMMYFUNCTION("""COMPUTED_VALUE"""),1.25)</f>
        <v>1.25</v>
      </c>
      <c r="M489" s="30">
        <f>IFERROR(__xludf.DUMMYFUNCTION("""COMPUTED_VALUE"""),1.75)</f>
        <v>1.75</v>
      </c>
      <c r="N489" s="30">
        <f>IFERROR(__xludf.DUMMYFUNCTION("""COMPUTED_VALUE"""),2.0)</f>
        <v>2</v>
      </c>
      <c r="O489" s="30">
        <f>IFERROR(__xludf.DUMMYFUNCTION("""COMPUTED_VALUE"""),356.75000000000006)</f>
        <v>356.75</v>
      </c>
      <c r="P489" s="30">
        <f>IFERROR(__xludf.DUMMYFUNCTION("""COMPUTED_VALUE"""),0.75)</f>
        <v>0.75</v>
      </c>
      <c r="Q489" s="30">
        <f>IFERROR(__xludf.DUMMYFUNCTION("""COMPUTED_VALUE"""),0.6666666666666666)</f>
        <v>0.6666666667</v>
      </c>
      <c r="R489" s="30">
        <f>IFERROR(__xludf.DUMMYFUNCTION("""COMPUTED_VALUE"""),1.1666666666666665)</f>
        <v>1.166666667</v>
      </c>
      <c r="S489" s="30">
        <f>IFERROR(__xludf.DUMMYFUNCTION("""COMPUTED_VALUE"""),3.333333333333333)</f>
        <v>3.333333333</v>
      </c>
      <c r="T489" s="30">
        <f>IFERROR(__xludf.DUMMYFUNCTION("""COMPUTED_VALUE"""),309.1881435926773)</f>
        <v>309.1881436</v>
      </c>
      <c r="U489" s="30">
        <f>IFERROR(__xludf.DUMMYFUNCTION("""COMPUTED_VALUE"""),0.6021643783371472)</f>
        <v>0.6021643783</v>
      </c>
      <c r="V489" s="30">
        <f>IFERROR(__xludf.DUMMYFUNCTION("""COMPUTED_VALUE"""),0.41106502669717776)</f>
        <v>0.4110650267</v>
      </c>
      <c r="W489" s="30">
        <f>IFERROR(__xludf.DUMMYFUNCTION("""COMPUTED_VALUE"""),1.2532418001525552)</f>
        <v>1.2532418</v>
      </c>
      <c r="X489" s="30">
        <f>IFERROR(__xludf.DUMMYFUNCTION("""COMPUTED_VALUE"""),2.2509534706331045)</f>
        <v>2.250953471</v>
      </c>
      <c r="Y489" s="30">
        <f>IFERROR(__xludf.DUMMYFUNCTION("""COMPUTED_VALUE"""),352.6723795448767)</f>
        <v>352.6723795</v>
      </c>
      <c r="Z489" s="30">
        <f>IFERROR(__xludf.DUMMYFUNCTION("""COMPUTED_VALUE"""),0.8300994787693873)</f>
        <v>0.8300994788</v>
      </c>
      <c r="AA489" s="30">
        <f>IFERROR(__xludf.DUMMYFUNCTION("""COMPUTED_VALUE"""),0.5765080727180271)</f>
        <v>0.5765080727</v>
      </c>
      <c r="AB489" s="30">
        <f>IFERROR(__xludf.DUMMYFUNCTION("""COMPUTED_VALUE"""),1.1580059750826344)</f>
        <v>1.158005975</v>
      </c>
      <c r="AC489" s="30">
        <f>IFERROR(__xludf.DUMMYFUNCTION("""COMPUTED_VALUE"""),2.56080758962624)</f>
        <v>2.56080759</v>
      </c>
      <c r="AD489" s="30">
        <f>IFERROR(__xludf.DUMMYFUNCTION("""COMPUTED_VALUE"""),0.8669519297047589)</f>
        <v>0.8669519297</v>
      </c>
      <c r="AE489" s="30">
        <f>IFERROR(__xludf.DUMMYFUNCTION("""COMPUTED_VALUE"""),0.0)</f>
        <v>0</v>
      </c>
      <c r="AF489" s="30">
        <f>IFERROR(__xludf.DUMMYFUNCTION("""COMPUTED_VALUE"""),2.1682263599652685)</f>
        <v>2.16822636</v>
      </c>
      <c r="AG489" s="30">
        <f>IFERROR(__xludf.DUMMYFUNCTION("""COMPUTED_VALUE"""),1.5112184545292362)</f>
        <v>1.511218455</v>
      </c>
      <c r="AH489" s="30">
        <f>IFERROR(__xludf.DUMMYFUNCTION("""COMPUTED_VALUE"""),0.7810036209287821)</f>
        <v>0.7810036209</v>
      </c>
      <c r="AI489" s="30">
        <f>IFERROR(__xludf.DUMMYFUNCTION("""COMPUTED_VALUE"""),1.153828202642791)</f>
        <v>1.153828203</v>
      </c>
      <c r="AJ489" s="30">
        <f>IFERROR(__xludf.DUMMYFUNCTION("""COMPUTED_VALUE"""),1.2455070857414299)</f>
        <v>1.245507086</v>
      </c>
      <c r="AK489" s="30">
        <f>IFERROR(__xludf.DUMMYFUNCTION("""COMPUTED_VALUE"""),1.6218034212815307)</f>
        <v>1.621803421</v>
      </c>
      <c r="AL489" s="30">
        <f>IFERROR(__xludf.DUMMYFUNCTION("""COMPUTED_VALUE"""),0.9309190505173464)</f>
        <v>0.9309190505</v>
      </c>
      <c r="AM489" s="30">
        <f>IFERROR(__xludf.DUMMYFUNCTION("""COMPUTED_VALUE"""),1.4808539478143001)</f>
        <v>1.480853948</v>
      </c>
      <c r="AN489" s="30">
        <f>IFERROR(__xludf.DUMMYFUNCTION("""COMPUTED_VALUE"""),0.9017131413898287)</f>
        <v>0.9017131414</v>
      </c>
      <c r="AO489" s="30">
        <f>IFERROR(__xludf.DUMMYFUNCTION("""COMPUTED_VALUE"""),0.0)</f>
        <v>0</v>
      </c>
      <c r="AP489" s="30">
        <f>IFERROR(__xludf.DUMMYFUNCTION("""COMPUTED_VALUE"""),2.290223871553597)</f>
        <v>2.290223872</v>
      </c>
      <c r="AQ489" s="30">
        <f>IFERROR(__xludf.DUMMYFUNCTION("""COMPUTED_VALUE"""),1.3380754048018069)</f>
        <v>1.338075405</v>
      </c>
      <c r="AR489" s="30">
        <f>IFERROR(__xludf.DUMMYFUNCTION("""COMPUTED_VALUE"""),0.7994567863253565)</f>
        <v>0.7994567863</v>
      </c>
      <c r="AS489" s="30">
        <f>IFERROR(__xludf.DUMMYFUNCTION("""COMPUTED_VALUE"""),7.0)</f>
        <v>7</v>
      </c>
      <c r="AT489" s="30">
        <f>IFERROR(__xludf.DUMMYFUNCTION("""COMPUTED_VALUE"""),0.4075463360783245)</f>
        <v>0.4075463361</v>
      </c>
      <c r="AU489" s="30">
        <f>IFERROR(__xludf.DUMMYFUNCTION("""COMPUTED_VALUE"""),1.5746674973348627)</f>
        <v>1.574667497</v>
      </c>
      <c r="AV489" s="32">
        <f>IFERROR(__xludf.DUMMYFUNCTION("""COMPUTED_VALUE"""),24.27040394321342)</f>
        <v>24.27040394</v>
      </c>
      <c r="AW489" s="32">
        <f>IFERROR(__xludf.DUMMYFUNCTION("""COMPUTED_VALUE"""),-6.592103526063366)</f>
        <v>-6.592103526</v>
      </c>
      <c r="AX489" s="32">
        <f>IFERROR(__xludf.DUMMYFUNCTION("""COMPUTED_VALUE"""),35.64341769411723)</f>
        <v>35.64341769</v>
      </c>
      <c r="AY489" s="32">
        <f>IFERROR(__xludf.DUMMYFUNCTION("""COMPUTED_VALUE"""),-3.534882648975665)</f>
        <v>-3.534882649</v>
      </c>
      <c r="AZ489" s="30">
        <f>IFERROR(__xludf.DUMMYFUNCTION("""COMPUTED_VALUE"""),3.057220877087701)</f>
        <v>3.057220877</v>
      </c>
      <c r="BA489" s="30">
        <f>IFERROR(__xludf.DUMMYFUNCTION("""COMPUTED_VALUE"""),1700.0)</f>
        <v>1700</v>
      </c>
    </row>
    <row r="490">
      <c r="A490" s="71" t="str">
        <f>IFERROR(__xludf.DUMMYFUNCTION("""COMPUTED_VALUE"""),"Rival")</f>
        <v>Rival</v>
      </c>
      <c r="B490" s="71" t="str">
        <f>IFERROR(__xludf.DUMMYFUNCTION("""COMPUTED_VALUE"""),"RSC004670")</f>
        <v>RSC004670</v>
      </c>
      <c r="C490" s="30" t="str">
        <f>IFERROR(__xludf.DUMMYFUNCTION("""COMPUTED_VALUE"""),"CarnageWolfBite")</f>
        <v>CarnageWolfBite</v>
      </c>
      <c r="D490" s="30" t="str">
        <f>IFERROR(__xludf.DUMMYFUNCTION("""COMPUTED_VALUE"""),"50 Cent")</f>
        <v>50 Cent</v>
      </c>
      <c r="E490" s="30">
        <f>IFERROR(__xludf.DUMMYFUNCTION("""COMPUTED_VALUE"""),35.0)</f>
        <v>35</v>
      </c>
      <c r="F490" s="30">
        <f>IFERROR(__xludf.DUMMYFUNCTION("""COMPUTED_VALUE"""),17.0)</f>
        <v>17</v>
      </c>
      <c r="G490" s="42">
        <f>IFERROR(__xludf.DUMMYFUNCTION("""COMPUTED_VALUE"""),18.0)</f>
        <v>18</v>
      </c>
      <c r="H490" s="42">
        <f>IFERROR(__xludf.DUMMYFUNCTION("""COMPUTED_VALUE"""),0.4857142857142857)</f>
        <v>0.4857142857</v>
      </c>
      <c r="I490" s="42">
        <f>IFERROR(__xludf.DUMMYFUNCTION("""COMPUTED_VALUE"""),0.27631578947368424)</f>
        <v>0.2763157895</v>
      </c>
      <c r="J490" s="30">
        <f>IFERROR(__xludf.DUMMYFUNCTION("""COMPUTED_VALUE"""),300.0571428571429)</f>
        <v>300.0571429</v>
      </c>
      <c r="K490" s="30">
        <f>IFERROR(__xludf.DUMMYFUNCTION("""COMPUTED_VALUE"""),0.6)</f>
        <v>0.6</v>
      </c>
      <c r="L490" s="30">
        <f>IFERROR(__xludf.DUMMYFUNCTION("""COMPUTED_VALUE"""),0.6285714285714286)</f>
        <v>0.6285714286</v>
      </c>
      <c r="M490" s="30">
        <f>IFERROR(__xludf.DUMMYFUNCTION("""COMPUTED_VALUE"""),1.0571428571428572)</f>
        <v>1.057142857</v>
      </c>
      <c r="N490" s="30">
        <f>IFERROR(__xludf.DUMMYFUNCTION("""COMPUTED_VALUE"""),2.1714285714285713)</f>
        <v>2.171428571</v>
      </c>
      <c r="O490" s="30">
        <f>IFERROR(__xludf.DUMMYFUNCTION("""COMPUTED_VALUE"""),363.22857142857146)</f>
        <v>363.2285714</v>
      </c>
      <c r="P490" s="30">
        <f>IFERROR(__xludf.DUMMYFUNCTION("""COMPUTED_VALUE"""),0.895238095238095)</f>
        <v>0.8952380952</v>
      </c>
      <c r="Q490" s="30">
        <f>IFERROR(__xludf.DUMMYFUNCTION("""COMPUTED_VALUE"""),0.5809523809523808)</f>
        <v>0.580952381</v>
      </c>
      <c r="R490" s="30">
        <f>IFERROR(__xludf.DUMMYFUNCTION("""COMPUTED_VALUE"""),1.3619047619047622)</f>
        <v>1.361904762</v>
      </c>
      <c r="S490" s="30">
        <f>IFERROR(__xludf.DUMMYFUNCTION("""COMPUTED_VALUE"""),2.6476190476190475)</f>
        <v>2.647619048</v>
      </c>
      <c r="T490" s="30">
        <f>IFERROR(__xludf.DUMMYFUNCTION("""COMPUTED_VALUE"""),353.02063171316763)</f>
        <v>353.0206317</v>
      </c>
      <c r="U490" s="30">
        <f>IFERROR(__xludf.DUMMYFUNCTION("""COMPUTED_VALUE"""),0.8158704304926517)</f>
        <v>0.8158704305</v>
      </c>
      <c r="V490" s="30">
        <f>IFERROR(__xludf.DUMMYFUNCTION("""COMPUTED_VALUE"""),0.5672838586225042)</f>
        <v>0.5672838586</v>
      </c>
      <c r="W490" s="30">
        <f>IFERROR(__xludf.DUMMYFUNCTION("""COMPUTED_VALUE"""),1.361853559994771)</f>
        <v>1.36185356</v>
      </c>
      <c r="X490" s="30">
        <f>IFERROR(__xludf.DUMMYFUNCTION("""COMPUTED_VALUE"""),2.670190424581315)</f>
        <v>2.670190425</v>
      </c>
      <c r="Y490" s="30">
        <f>IFERROR(__xludf.DUMMYFUNCTION("""COMPUTED_VALUE"""),358.0597013214332)</f>
        <v>358.0597013</v>
      </c>
      <c r="Z490" s="30">
        <f>IFERROR(__xludf.DUMMYFUNCTION("""COMPUTED_VALUE"""),0.8303222390760211)</f>
        <v>0.8303222391</v>
      </c>
      <c r="AA490" s="30">
        <f>IFERROR(__xludf.DUMMYFUNCTION("""COMPUTED_VALUE"""),0.5931658696393155)</f>
        <v>0.5931658696</v>
      </c>
      <c r="AB490" s="30">
        <f>IFERROR(__xludf.DUMMYFUNCTION("""COMPUTED_VALUE"""),1.3502777118278457)</f>
        <v>1.350277712</v>
      </c>
      <c r="AC490" s="30">
        <f>IFERROR(__xludf.DUMMYFUNCTION("""COMPUTED_VALUE"""),2.6979095555646797)</f>
        <v>2.697909556</v>
      </c>
      <c r="AD490" s="30">
        <f>IFERROR(__xludf.DUMMYFUNCTION("""COMPUTED_VALUE"""),0.8380086944991866)</f>
        <v>0.8380086945</v>
      </c>
      <c r="AE490" s="30">
        <f>IFERROR(__xludf.DUMMYFUNCTION("""COMPUTED_VALUE"""),0.7226110198706436)</f>
        <v>0.7226110199</v>
      </c>
      <c r="AF490" s="30">
        <f>IFERROR(__xludf.DUMMYFUNCTION("""COMPUTED_VALUE"""),1.0596891371272625)</f>
        <v>1.059689137</v>
      </c>
      <c r="AG490" s="30">
        <f>IFERROR(__xludf.DUMMYFUNCTION("""COMPUTED_VALUE"""),0.7829077291898884)</f>
        <v>0.7829077292</v>
      </c>
      <c r="AH490" s="30">
        <f>IFERROR(__xludf.DUMMYFUNCTION("""COMPUTED_VALUE"""),0.8048559548446707)</f>
        <v>0.8048559548</v>
      </c>
      <c r="AI490" s="30">
        <f>IFERROR(__xludf.DUMMYFUNCTION("""COMPUTED_VALUE"""),1.028915986201333)</f>
        <v>1.028915986</v>
      </c>
      <c r="AJ490" s="30">
        <f>IFERROR(__xludf.DUMMYFUNCTION("""COMPUTED_VALUE"""),1.097279741707906)</f>
        <v>1.097279742</v>
      </c>
      <c r="AK490" s="30">
        <f>IFERROR(__xludf.DUMMYFUNCTION("""COMPUTED_VALUE"""),1.02409467874349)</f>
        <v>1.024094679</v>
      </c>
      <c r="AL490" s="30">
        <f>IFERROR(__xludf.DUMMYFUNCTION("""COMPUTED_VALUE"""),1.0000375972215334)</f>
        <v>1.000037597</v>
      </c>
      <c r="AM490" s="30">
        <f>IFERROR(__xludf.DUMMYFUNCTION("""COMPUTED_VALUE"""),0.9915469036386023)</f>
        <v>0.9915469036</v>
      </c>
      <c r="AN490" s="30">
        <f>IFERROR(__xludf.DUMMYFUNCTION("""COMPUTED_VALUE"""),0.8849238557062008)</f>
        <v>0.8849238557</v>
      </c>
      <c r="AO490" s="30">
        <f>IFERROR(__xludf.DUMMYFUNCTION("""COMPUTED_VALUE"""),0.8067335619791806)</f>
        <v>0.806733562</v>
      </c>
      <c r="AP490" s="30">
        <f>IFERROR(__xludf.DUMMYFUNCTION("""COMPUTED_VALUE"""),1.1516554325526658)</f>
        <v>1.151655433</v>
      </c>
      <c r="AQ490" s="30">
        <f>IFERROR(__xludf.DUMMYFUNCTION("""COMPUTED_VALUE"""),0.8083067751455814)</f>
        <v>0.8083067751</v>
      </c>
      <c r="AR490" s="30">
        <f>IFERROR(__xludf.DUMMYFUNCTION("""COMPUTED_VALUE"""),0.8679816537246728)</f>
        <v>0.8679816537</v>
      </c>
      <c r="AS490" s="30">
        <f>IFERROR(__xludf.DUMMYFUNCTION("""COMPUTED_VALUE"""),102.0)</f>
        <v>102</v>
      </c>
      <c r="AT490" s="30">
        <f>IFERROR(__xludf.DUMMYFUNCTION("""COMPUTED_VALUE"""),0.5334292680262543)</f>
        <v>0.533429268</v>
      </c>
      <c r="AU490" s="30">
        <f>IFERROR(__xludf.DUMMYFUNCTION("""COMPUTED_VALUE"""),2.0504237981447417)</f>
        <v>2.050423798</v>
      </c>
      <c r="AV490" s="32">
        <f>IFERROR(__xludf.DUMMYFUNCTION("""COMPUTED_VALUE"""),37.89129490034254)</f>
        <v>37.8912949</v>
      </c>
      <c r="AW490" s="32">
        <f>IFERROR(__xludf.DUMMYFUNCTION("""COMPUTED_VALUE"""),-3.1840097949816424)</f>
        <v>-3.184009795</v>
      </c>
      <c r="AX490" s="32">
        <f>IFERROR(__xludf.DUMMYFUNCTION("""COMPUTED_VALUE"""),25.589109913955582)</f>
        <v>25.58910991</v>
      </c>
      <c r="AY490" s="32">
        <f>IFERROR(__xludf.DUMMYFUNCTION("""COMPUTED_VALUE"""),-6.081825267352169)</f>
        <v>-6.081825267</v>
      </c>
      <c r="AZ490" s="30">
        <f>IFERROR(__xludf.DUMMYFUNCTION("""COMPUTED_VALUE"""),2.8978154723705267)</f>
        <v>2.897815472</v>
      </c>
      <c r="BA490" s="30">
        <f>IFERROR(__xludf.DUMMYFUNCTION("""COMPUTED_VALUE"""),1700.0)</f>
        <v>1700</v>
      </c>
    </row>
    <row r="491">
      <c r="A491" s="71" t="str">
        <f>IFERROR(__xludf.DUMMYFUNCTION("""COMPUTED_VALUE"""),"Rival")</f>
        <v>Rival</v>
      </c>
      <c r="B491" s="71" t="str">
        <f>IFERROR(__xludf.DUMMYFUNCTION("""COMPUTED_VALUE"""),"RSC002413")</f>
        <v>RSC002413</v>
      </c>
      <c r="C491" s="30" t="str">
        <f>IFERROR(__xludf.DUMMYFUNCTION("""COMPUTED_VALUE"""),"dafiya711")</f>
        <v>dafiya711</v>
      </c>
      <c r="D491" s="30" t="str">
        <f>IFERROR(__xludf.DUMMYFUNCTION("""COMPUTED_VALUE"""),"Hippos")</f>
        <v>Hippos</v>
      </c>
      <c r="E491" s="30">
        <f>IFERROR(__xludf.DUMMYFUNCTION("""COMPUTED_VALUE"""),4.0)</f>
        <v>4</v>
      </c>
      <c r="F491" s="30">
        <f>IFERROR(__xludf.DUMMYFUNCTION("""COMPUTED_VALUE"""),1.0)</f>
        <v>1</v>
      </c>
      <c r="G491" s="42">
        <f>IFERROR(__xludf.DUMMYFUNCTION("""COMPUTED_VALUE"""),3.0)</f>
        <v>3</v>
      </c>
      <c r="H491" s="42">
        <f>IFERROR(__xludf.DUMMYFUNCTION("""COMPUTED_VALUE"""),0.25)</f>
        <v>0.25</v>
      </c>
      <c r="I491" s="42">
        <f>IFERROR(__xludf.DUMMYFUNCTION("""COMPUTED_VALUE"""),0.125)</f>
        <v>0.125</v>
      </c>
      <c r="J491" s="30">
        <f>IFERROR(__xludf.DUMMYFUNCTION("""COMPUTED_VALUE"""),265.25)</f>
        <v>265.25</v>
      </c>
      <c r="K491" s="30">
        <f>IFERROR(__xludf.DUMMYFUNCTION("""COMPUTED_VALUE"""),0.25)</f>
        <v>0.25</v>
      </c>
      <c r="L491" s="30">
        <f>IFERROR(__xludf.DUMMYFUNCTION("""COMPUTED_VALUE"""),0.25)</f>
        <v>0.25</v>
      </c>
      <c r="M491" s="30">
        <f>IFERROR(__xludf.DUMMYFUNCTION("""COMPUTED_VALUE"""),1.0)</f>
        <v>1</v>
      </c>
      <c r="N491" s="30">
        <f>IFERROR(__xludf.DUMMYFUNCTION("""COMPUTED_VALUE"""),2.0)</f>
        <v>2</v>
      </c>
      <c r="O491" s="30">
        <f>IFERROR(__xludf.DUMMYFUNCTION("""COMPUTED_VALUE"""),364.58333333333337)</f>
        <v>364.5833333</v>
      </c>
      <c r="P491" s="30">
        <f>IFERROR(__xludf.DUMMYFUNCTION("""COMPUTED_VALUE"""),1.0)</f>
        <v>1</v>
      </c>
      <c r="Q491" s="30">
        <f>IFERROR(__xludf.DUMMYFUNCTION("""COMPUTED_VALUE"""),0.41666666666666663)</f>
        <v>0.4166666667</v>
      </c>
      <c r="R491" s="30">
        <f>IFERROR(__xludf.DUMMYFUNCTION("""COMPUTED_VALUE"""),1.25)</f>
        <v>1.25</v>
      </c>
      <c r="S491" s="30">
        <f>IFERROR(__xludf.DUMMYFUNCTION("""COMPUTED_VALUE"""),3.1666666666666665)</f>
        <v>3.166666667</v>
      </c>
      <c r="T491" s="30">
        <f>IFERROR(__xludf.DUMMYFUNCTION("""COMPUTED_VALUE"""),361.9639479905438)</f>
        <v>361.963948</v>
      </c>
      <c r="U491" s="30">
        <f>IFERROR(__xludf.DUMMYFUNCTION("""COMPUTED_VALUE"""),0.8202772404900065)</f>
        <v>0.8202772405</v>
      </c>
      <c r="V491" s="30">
        <f>IFERROR(__xludf.DUMMYFUNCTION("""COMPUTED_VALUE"""),0.516387277025575)</f>
        <v>0.516387277</v>
      </c>
      <c r="W491" s="30">
        <f>IFERROR(__xludf.DUMMYFUNCTION("""COMPUTED_VALUE"""),1.3639587362991616)</f>
        <v>1.363958736</v>
      </c>
      <c r="X491" s="30">
        <f>IFERROR(__xludf.DUMMYFUNCTION("""COMPUTED_VALUE"""),2.5953148506339994)</f>
        <v>2.595314851</v>
      </c>
      <c r="Y491" s="30">
        <f>IFERROR(__xludf.DUMMYFUNCTION("""COMPUTED_VALUE"""),334.9195501110395)</f>
        <v>334.9195501</v>
      </c>
      <c r="Z491" s="30">
        <f>IFERROR(__xludf.DUMMYFUNCTION("""COMPUTED_VALUE"""),0.6182033096926713)</f>
        <v>0.6182033097</v>
      </c>
      <c r="AA491" s="30">
        <f>IFERROR(__xludf.DUMMYFUNCTION("""COMPUTED_VALUE"""),0.4218962676409485)</f>
        <v>0.4218962676</v>
      </c>
      <c r="AB491" s="30">
        <f>IFERROR(__xludf.DUMMYFUNCTION("""COMPUTED_VALUE"""),1.5114621391217136)</f>
        <v>1.511462139</v>
      </c>
      <c r="AC491" s="30">
        <f>IFERROR(__xludf.DUMMYFUNCTION("""COMPUTED_VALUE"""),2.341124006017623)</f>
        <v>2.341124006</v>
      </c>
      <c r="AD491" s="30">
        <f>IFERROR(__xludf.DUMMYFUNCTION("""COMPUTED_VALUE"""),0.7919812382169354)</f>
        <v>0.7919812382</v>
      </c>
      <c r="AE491" s="30">
        <f>IFERROR(__xludf.DUMMYFUNCTION("""COMPUTED_VALUE"""),0.4043977055449331)</f>
        <v>0.4043977055</v>
      </c>
      <c r="AF491" s="30">
        <f>IFERROR(__xludf.DUMMYFUNCTION("""COMPUTED_VALUE"""),0.5925627202105531)</f>
        <v>0.5925627202</v>
      </c>
      <c r="AG491" s="30">
        <f>IFERROR(__xludf.DUMMYFUNCTION("""COMPUTED_VALUE"""),0.6616110150010664)</f>
        <v>0.661611015</v>
      </c>
      <c r="AH491" s="30">
        <f>IFERROR(__xludf.DUMMYFUNCTION("""COMPUTED_VALUE"""),0.8542905009983246)</f>
        <v>0.854290501</v>
      </c>
      <c r="AI491" s="30">
        <f>IFERROR(__xludf.DUMMYFUNCTION("""COMPUTED_VALUE"""),1.0072365918134423)</f>
        <v>1.007236592</v>
      </c>
      <c r="AJ491" s="30">
        <f>IFERROR(__xludf.DUMMYFUNCTION("""COMPUTED_VALUE"""),1.219100019650226)</f>
        <v>1.21910002</v>
      </c>
      <c r="AK491" s="30">
        <f>IFERROR(__xludf.DUMMYFUNCTION("""COMPUTED_VALUE"""),0.8068879409010506)</f>
        <v>0.8068879409</v>
      </c>
      <c r="AL491" s="30">
        <f>IFERROR(__xludf.DUMMYFUNCTION("""COMPUTED_VALUE"""),0.9164500118175374)</f>
        <v>0.9164500118</v>
      </c>
      <c r="AM491" s="30">
        <f>IFERROR(__xludf.DUMMYFUNCTION("""COMPUTED_VALUE"""),1.2201473998012586)</f>
        <v>1.2201474</v>
      </c>
      <c r="AN491" s="30">
        <f>IFERROR(__xludf.DUMMYFUNCTION("""COMPUTED_VALUE"""),0.7822711717208571)</f>
        <v>0.7822711717</v>
      </c>
      <c r="AO491" s="30">
        <f>IFERROR(__xludf.DUMMYFUNCTION("""COMPUTED_VALUE"""),0.3361389841579919)</f>
        <v>0.3361389842</v>
      </c>
      <c r="AP491" s="30">
        <f>IFERROR(__xludf.DUMMYFUNCTION("""COMPUTED_VALUE"""),0.4580447743107194)</f>
        <v>0.4580447743</v>
      </c>
      <c r="AQ491" s="30">
        <f>IFERROR(__xludf.DUMMYFUNCTION("""COMPUTED_VALUE"""),0.7646145170296039)</f>
        <v>0.764614517</v>
      </c>
      <c r="AR491" s="30">
        <f>IFERROR(__xludf.DUMMYFUNCTION("""COMPUTED_VALUE"""),0.7994567863253565)</f>
        <v>0.7994567863</v>
      </c>
      <c r="AS491" s="30">
        <f>IFERROR(__xludf.DUMMYFUNCTION("""COMPUTED_VALUE"""),6.0)</f>
        <v>6</v>
      </c>
      <c r="AT491" s="30">
        <f>IFERROR(__xludf.DUMMYFUNCTION("""COMPUTED_VALUE"""),0.25591176740996385)</f>
        <v>0.2559117674</v>
      </c>
      <c r="AU491" s="30">
        <f>IFERROR(__xludf.DUMMYFUNCTION("""COMPUTED_VALUE"""),1.0220641542664488)</f>
        <v>1.022064154</v>
      </c>
      <c r="AV491" s="32">
        <f>IFERROR(__xludf.DUMMYFUNCTION("""COMPUTED_VALUE"""),8.449384094045335)</f>
        <v>8.449384094</v>
      </c>
      <c r="AW491" s="32">
        <f>IFERROR(__xludf.DUMMYFUNCTION("""COMPUTED_VALUE"""),-20.723706033484802)</f>
        <v>-20.72370603</v>
      </c>
      <c r="AX491" s="32">
        <f>IFERROR(__xludf.DUMMYFUNCTION("""COMPUTED_VALUE"""),10.287245332596449)</f>
        <v>10.28724533</v>
      </c>
      <c r="AY491" s="32">
        <f>IFERROR(__xludf.DUMMYFUNCTION("""COMPUTED_VALUE"""),-17.829917302063613)</f>
        <v>-17.8299173</v>
      </c>
      <c r="AZ491" s="30">
        <f>IFERROR(__xludf.DUMMYFUNCTION("""COMPUTED_VALUE"""),2.893788731421189)</f>
        <v>2.893788731</v>
      </c>
      <c r="BA491" s="30">
        <f>IFERROR(__xludf.DUMMYFUNCTION("""COMPUTED_VALUE"""),1700.0)</f>
        <v>1700</v>
      </c>
    </row>
    <row r="492">
      <c r="A492" s="71" t="str">
        <f>IFERROR(__xludf.DUMMYFUNCTION("""COMPUTED_VALUE"""),"Rival")</f>
        <v>Rival</v>
      </c>
      <c r="B492" s="71" t="str">
        <f>IFERROR(__xludf.DUMMYFUNCTION("""COMPUTED_VALUE"""),"RSC008045")</f>
        <v>RSC008045</v>
      </c>
      <c r="C492" s="30" t="str">
        <f>IFERROR(__xludf.DUMMYFUNCTION("""COMPUTED_VALUE"""),"Uncaringfool230")</f>
        <v>Uncaringfool230</v>
      </c>
      <c r="D492" s="30"/>
      <c r="E492" s="30">
        <f>IFERROR(__xludf.DUMMYFUNCTION("""COMPUTED_VALUE"""),4.0)</f>
        <v>4</v>
      </c>
      <c r="F492" s="30">
        <f>IFERROR(__xludf.DUMMYFUNCTION("""COMPUTED_VALUE"""),3.0)</f>
        <v>3</v>
      </c>
      <c r="G492" s="42">
        <f>IFERROR(__xludf.DUMMYFUNCTION("""COMPUTED_VALUE"""),1.0)</f>
        <v>1</v>
      </c>
      <c r="H492" s="42">
        <f>IFERROR(__xludf.DUMMYFUNCTION("""COMPUTED_VALUE"""),0.75)</f>
        <v>0.75</v>
      </c>
      <c r="I492" s="42">
        <f>IFERROR(__xludf.DUMMYFUNCTION("""COMPUTED_VALUE"""),0.4166666666666667)</f>
        <v>0.4166666667</v>
      </c>
      <c r="J492" s="30">
        <f>IFERROR(__xludf.DUMMYFUNCTION("""COMPUTED_VALUE"""),433.75)</f>
        <v>433.75</v>
      </c>
      <c r="K492" s="30">
        <f>IFERROR(__xludf.DUMMYFUNCTION("""COMPUTED_VALUE"""),1.25)</f>
        <v>1.25</v>
      </c>
      <c r="L492" s="30">
        <f>IFERROR(__xludf.DUMMYFUNCTION("""COMPUTED_VALUE"""),0.25)</f>
        <v>0.25</v>
      </c>
      <c r="M492" s="30">
        <f>IFERROR(__xludf.DUMMYFUNCTION("""COMPUTED_VALUE"""),1.5)</f>
        <v>1.5</v>
      </c>
      <c r="N492" s="30">
        <f>IFERROR(__xludf.DUMMYFUNCTION("""COMPUTED_VALUE"""),3.0)</f>
        <v>3</v>
      </c>
      <c r="O492" s="30">
        <f>IFERROR(__xludf.DUMMYFUNCTION("""COMPUTED_VALUE"""),324.6666666666667)</f>
        <v>324.6666667</v>
      </c>
      <c r="P492" s="30">
        <f>IFERROR(__xludf.DUMMYFUNCTION("""COMPUTED_VALUE"""),0.5)</f>
        <v>0.5</v>
      </c>
      <c r="Q492" s="30">
        <f>IFERROR(__xludf.DUMMYFUNCTION("""COMPUTED_VALUE"""),0.25)</f>
        <v>0.25</v>
      </c>
      <c r="R492" s="30">
        <f>IFERROR(__xludf.DUMMYFUNCTION("""COMPUTED_VALUE"""),1.8333333333333333)</f>
        <v>1.833333333</v>
      </c>
      <c r="S492" s="30">
        <f>IFERROR(__xludf.DUMMYFUNCTION("""COMPUTED_VALUE"""),2.0833333333333335)</f>
        <v>2.083333333</v>
      </c>
      <c r="T492" s="30">
        <f>IFERROR(__xludf.DUMMYFUNCTION("""COMPUTED_VALUE"""),335.4136363636364)</f>
        <v>335.4136364</v>
      </c>
      <c r="U492" s="30">
        <f>IFERROR(__xludf.DUMMYFUNCTION("""COMPUTED_VALUE"""),0.6237373737373737)</f>
        <v>0.6237373737</v>
      </c>
      <c r="V492" s="30">
        <f>IFERROR(__xludf.DUMMYFUNCTION("""COMPUTED_VALUE"""),0.5627946127946127)</f>
        <v>0.5627946128</v>
      </c>
      <c r="W492" s="30">
        <f>IFERROR(__xludf.DUMMYFUNCTION("""COMPUTED_VALUE"""),1.4055555555555557)</f>
        <v>1.405555556</v>
      </c>
      <c r="X492" s="30">
        <f>IFERROR(__xludf.DUMMYFUNCTION("""COMPUTED_VALUE"""),2.375925925925926)</f>
        <v>2.375925926</v>
      </c>
      <c r="Y492" s="30">
        <f>IFERROR(__xludf.DUMMYFUNCTION("""COMPUTED_VALUE"""),364.532884399551)</f>
        <v>364.5328844</v>
      </c>
      <c r="Z492" s="30">
        <f>IFERROR(__xludf.DUMMYFUNCTION("""COMPUTED_VALUE"""),0.9250841750841751)</f>
        <v>0.9250841751</v>
      </c>
      <c r="AA492" s="30">
        <f>IFERROR(__xludf.DUMMYFUNCTION("""COMPUTED_VALUE"""),0.5557800224466889)</f>
        <v>0.5557800224</v>
      </c>
      <c r="AB492" s="30">
        <f>IFERROR(__xludf.DUMMYFUNCTION("""COMPUTED_VALUE"""),1.2432098765432098)</f>
        <v>1.243209877</v>
      </c>
      <c r="AC492" s="30">
        <f>IFERROR(__xludf.DUMMYFUNCTION("""COMPUTED_VALUE"""),2.888047138047138)</f>
        <v>2.888047138</v>
      </c>
      <c r="AD492" s="30">
        <f>IFERROR(__xludf.DUMMYFUNCTION("""COMPUTED_VALUE"""),1.189878934281777)</f>
        <v>1.189878934</v>
      </c>
      <c r="AE492" s="30">
        <f>IFERROR(__xludf.DUMMYFUNCTION("""COMPUTED_VALUE"""),1.35122838944495)</f>
        <v>1.351228389</v>
      </c>
      <c r="AF492" s="30">
        <f>IFERROR(__xludf.DUMMYFUNCTION("""COMPUTED_VALUE"""),0.44981825525040403)</f>
        <v>0.4498182553</v>
      </c>
      <c r="AG492" s="30">
        <f>IFERROR(__xludf.DUMMYFUNCTION("""COMPUTED_VALUE"""),1.2065541211519366)</f>
        <v>1.206554121</v>
      </c>
      <c r="AH492" s="30">
        <f>IFERROR(__xludf.DUMMYFUNCTION("""COMPUTED_VALUE"""),1.0387642086855144)</f>
        <v>1.038764209</v>
      </c>
      <c r="AI492" s="30">
        <f>IFERROR(__xludf.DUMMYFUNCTION("""COMPUTED_VALUE"""),0.9679590555307106)</f>
        <v>0.9679590555</v>
      </c>
      <c r="AJ492" s="30">
        <f>IFERROR(__xludf.DUMMYFUNCTION("""COMPUTED_VALUE"""),0.8016194331983806)</f>
        <v>0.8016194332</v>
      </c>
      <c r="AK492" s="30">
        <f>IFERROR(__xludf.DUMMYFUNCTION("""COMPUTED_VALUE"""),0.4442117858211188)</f>
        <v>0.4442117858</v>
      </c>
      <c r="AL492" s="30">
        <f>IFERROR(__xludf.DUMMYFUNCTION("""COMPUTED_VALUE"""),1.3043478260869563)</f>
        <v>1.304347826</v>
      </c>
      <c r="AM492" s="30">
        <f>IFERROR(__xludf.DUMMYFUNCTION("""COMPUTED_VALUE"""),0.8768511301636789)</f>
        <v>0.8768511302</v>
      </c>
      <c r="AN492" s="30">
        <f>IFERROR(__xludf.DUMMYFUNCTION("""COMPUTED_VALUE"""),1.2792087492325044)</f>
        <v>1.279208749</v>
      </c>
      <c r="AO492" s="30">
        <f>IFERROR(__xludf.DUMMYFUNCTION("""COMPUTED_VALUE"""),1.6806949207899595)</f>
        <v>1.680694921</v>
      </c>
      <c r="AP492" s="30">
        <f>IFERROR(__xludf.DUMMYFUNCTION("""COMPUTED_VALUE"""),0.4580447743107194)</f>
        <v>0.4580447743</v>
      </c>
      <c r="AQ492" s="30">
        <f>IFERROR(__xludf.DUMMYFUNCTION("""COMPUTED_VALUE"""),1.1469217755444059)</f>
        <v>1.146921776</v>
      </c>
      <c r="AR492" s="30">
        <f>IFERROR(__xludf.DUMMYFUNCTION("""COMPUTED_VALUE"""),1.1991851794880348)</f>
        <v>1.199185179</v>
      </c>
      <c r="AS492" s="30">
        <f>IFERROR(__xludf.DUMMYFUNCTION("""COMPUTED_VALUE"""),12.0)</f>
        <v>12</v>
      </c>
      <c r="AT492" s="30">
        <f>IFERROR(__xludf.DUMMYFUNCTION("""COMPUTED_VALUE"""),0.7440882325900361)</f>
        <v>0.7440882326</v>
      </c>
      <c r="AU492" s="30">
        <f>IFERROR(__xludf.DUMMYFUNCTION("""COMPUTED_VALUE"""),3.408985389802481)</f>
        <v>3.40898539</v>
      </c>
      <c r="AV492" s="32">
        <f>IFERROR(__xludf.DUMMYFUNCTION("""COMPUTED_VALUE"""),76.78687918795602)</f>
        <v>76.78687919</v>
      </c>
      <c r="AW492" s="32">
        <f>IFERROR(__xludf.DUMMYFUNCTION("""COMPUTED_VALUE"""),7.043348947775969)</f>
        <v>7.043348948</v>
      </c>
      <c r="AX492" s="32">
        <f>IFERROR(__xludf.DUMMYFUNCTION("""COMPUTED_VALUE"""),67.95050961177901)</f>
        <v>67.95050961</v>
      </c>
      <c r="AY492" s="32">
        <f>IFERROR(__xludf.DUMMYFUNCTION("""COMPUTED_VALUE"""),4.23061310581547)</f>
        <v>4.230613106</v>
      </c>
      <c r="AZ492" s="30">
        <f>IFERROR(__xludf.DUMMYFUNCTION("""COMPUTED_VALUE"""),2.8127358419604986)</f>
        <v>2.812735842</v>
      </c>
      <c r="BA492" s="30">
        <f>IFERROR(__xludf.DUMMYFUNCTION("""COMPUTED_VALUE"""),1700.0)</f>
        <v>1700</v>
      </c>
    </row>
    <row r="493">
      <c r="A493" s="71" t="str">
        <f>IFERROR(__xludf.DUMMYFUNCTION("""COMPUTED_VALUE"""),"Rival")</f>
        <v>Rival</v>
      </c>
      <c r="B493" s="71" t="str">
        <f>IFERROR(__xludf.DUMMYFUNCTION("""COMPUTED_VALUE"""),"RSC005518")</f>
        <v>RSC005518</v>
      </c>
      <c r="C493" s="30" t="str">
        <f>IFERROR(__xludf.DUMMYFUNCTION("""COMPUTED_VALUE"""),"PublicEnemy#1")</f>
        <v>PublicEnemy#1</v>
      </c>
      <c r="D493" s="30" t="str">
        <f>IFERROR(__xludf.DUMMYFUNCTION("""COMPUTED_VALUE"""),"Jetstream")</f>
        <v>Jetstream</v>
      </c>
      <c r="E493" s="30">
        <f>IFERROR(__xludf.DUMMYFUNCTION("""COMPUTED_VALUE"""),32.0)</f>
        <v>32</v>
      </c>
      <c r="F493" s="30">
        <f>IFERROR(__xludf.DUMMYFUNCTION("""COMPUTED_VALUE"""),16.0)</f>
        <v>16</v>
      </c>
      <c r="G493" s="42">
        <f>IFERROR(__xludf.DUMMYFUNCTION("""COMPUTED_VALUE"""),16.0)</f>
        <v>16</v>
      </c>
      <c r="H493" s="42">
        <f>IFERROR(__xludf.DUMMYFUNCTION("""COMPUTED_VALUE"""),0.5)</f>
        <v>0.5</v>
      </c>
      <c r="I493" s="42">
        <f>IFERROR(__xludf.DUMMYFUNCTION("""COMPUTED_VALUE"""),0.3235294117647059)</f>
        <v>0.3235294118</v>
      </c>
      <c r="J493" s="30">
        <f>IFERROR(__xludf.DUMMYFUNCTION("""COMPUTED_VALUE"""),428.875)</f>
        <v>428.875</v>
      </c>
      <c r="K493" s="30">
        <f>IFERROR(__xludf.DUMMYFUNCTION("""COMPUTED_VALUE"""),1.03125)</f>
        <v>1.03125</v>
      </c>
      <c r="L493" s="30">
        <f>IFERROR(__xludf.DUMMYFUNCTION("""COMPUTED_VALUE"""),0.53125)</f>
        <v>0.53125</v>
      </c>
      <c r="M493" s="30">
        <f>IFERROR(__xludf.DUMMYFUNCTION("""COMPUTED_VALUE"""),1.625)</f>
        <v>1.625</v>
      </c>
      <c r="N493" s="30">
        <f>IFERROR(__xludf.DUMMYFUNCTION("""COMPUTED_VALUE"""),3.1875)</f>
        <v>3.1875</v>
      </c>
      <c r="O493" s="30">
        <f>IFERROR(__xludf.DUMMYFUNCTION("""COMPUTED_VALUE"""),345.88541666666663)</f>
        <v>345.8854167</v>
      </c>
      <c r="P493" s="30">
        <f>IFERROR(__xludf.DUMMYFUNCTION("""COMPUTED_VALUE"""),0.6874999999999999)</f>
        <v>0.6875</v>
      </c>
      <c r="Q493" s="30">
        <f>IFERROR(__xludf.DUMMYFUNCTION("""COMPUTED_VALUE"""),0.5104166666666667)</f>
        <v>0.5104166667</v>
      </c>
      <c r="R493" s="30">
        <f>IFERROR(__xludf.DUMMYFUNCTION("""COMPUTED_VALUE"""),1.3020833333333335)</f>
        <v>1.302083333</v>
      </c>
      <c r="S493" s="30">
        <f>IFERROR(__xludf.DUMMYFUNCTION("""COMPUTED_VALUE"""),2.6562500000000004)</f>
        <v>2.65625</v>
      </c>
      <c r="T493" s="30">
        <f>IFERROR(__xludf.DUMMYFUNCTION("""COMPUTED_VALUE"""),352.96059216845924)</f>
        <v>352.9605922</v>
      </c>
      <c r="U493" s="30">
        <f>IFERROR(__xludf.DUMMYFUNCTION("""COMPUTED_VALUE"""),0.7935806422539475)</f>
        <v>0.7935806423</v>
      </c>
      <c r="V493" s="30">
        <f>IFERROR(__xludf.DUMMYFUNCTION("""COMPUTED_VALUE"""),0.5604532851812096)</f>
        <v>0.5604532852</v>
      </c>
      <c r="W493" s="30">
        <f>IFERROR(__xludf.DUMMYFUNCTION("""COMPUTED_VALUE"""),1.3203365933041966)</f>
        <v>1.320336593</v>
      </c>
      <c r="X493" s="30">
        <f>IFERROR(__xludf.DUMMYFUNCTION("""COMPUTED_VALUE"""),2.59689832612951)</f>
        <v>2.596898326</v>
      </c>
      <c r="Y493" s="30">
        <f>IFERROR(__xludf.DUMMYFUNCTION("""COMPUTED_VALUE"""),353.98346916410566)</f>
        <v>353.9834692</v>
      </c>
      <c r="Z493" s="30">
        <f>IFERROR(__xludf.DUMMYFUNCTION("""COMPUTED_VALUE"""),0.8201036039541404)</f>
        <v>0.820103604</v>
      </c>
      <c r="AA493" s="30">
        <f>IFERROR(__xludf.DUMMYFUNCTION("""COMPUTED_VALUE"""),0.5945136003447756)</f>
        <v>0.5945136003</v>
      </c>
      <c r="AB493" s="30">
        <f>IFERROR(__xludf.DUMMYFUNCTION("""COMPUTED_VALUE"""),1.2978521187903067)</f>
        <v>1.297852119</v>
      </c>
      <c r="AC493" s="30">
        <f>IFERROR(__xludf.DUMMYFUNCTION("""COMPUTED_VALUE"""),2.655111574084404)</f>
        <v>2.655111574</v>
      </c>
      <c r="AD493" s="30">
        <f>IFERROR(__xludf.DUMMYFUNCTION("""COMPUTED_VALUE"""),1.2115678763551947)</f>
        <v>1.211567876</v>
      </c>
      <c r="AE493" s="30">
        <f>IFERROR(__xludf.DUMMYFUNCTION("""COMPUTED_VALUE"""),1.2574630754307314)</f>
        <v>1.257463075</v>
      </c>
      <c r="AF493" s="30">
        <f>IFERROR(__xludf.DUMMYFUNCTION("""COMPUTED_VALUE"""),0.8935876314552145)</f>
        <v>0.8935876315</v>
      </c>
      <c r="AG493" s="30">
        <f>IFERROR(__xludf.DUMMYFUNCTION("""COMPUTED_VALUE"""),1.25206868831452)</f>
        <v>1.252068688</v>
      </c>
      <c r="AH493" s="30">
        <f>IFERROR(__xludf.DUMMYFUNCTION("""COMPUTED_VALUE"""),1.2005145211644022)</f>
        <v>1.200514521</v>
      </c>
      <c r="AI493" s="30">
        <f>IFERROR(__xludf.DUMMYFUNCTION("""COMPUTED_VALUE"""),0.9799547721225043)</f>
        <v>0.9799547721</v>
      </c>
      <c r="AJ493" s="30">
        <f>IFERROR(__xludf.DUMMYFUNCTION("""COMPUTED_VALUE"""),0.8663265752644183)</f>
        <v>0.8663265753</v>
      </c>
      <c r="AK493" s="30">
        <f>IFERROR(__xludf.DUMMYFUNCTION("""COMPUTED_VALUE"""),0.9107211611787328)</f>
        <v>0.9107211612</v>
      </c>
      <c r="AL493" s="30">
        <f>IFERROR(__xludf.DUMMYFUNCTION("""COMPUTED_VALUE"""),0.9861752979782348)</f>
        <v>0.986175298</v>
      </c>
      <c r="AM493" s="30">
        <f>IFERROR(__xludf.DUMMYFUNCTION("""COMPUTED_VALUE"""),1.0228548315786201)</f>
        <v>1.022854832</v>
      </c>
      <c r="AN493" s="30">
        <f>IFERROR(__xludf.DUMMYFUNCTION("""COMPUTED_VALUE"""),1.2648314751056837)</f>
        <v>1.264831475</v>
      </c>
      <c r="AO493" s="30">
        <f>IFERROR(__xludf.DUMMYFUNCTION("""COMPUTED_VALUE"""),1.3865733096517168)</f>
        <v>1.38657331</v>
      </c>
      <c r="AP493" s="30">
        <f>IFERROR(__xludf.DUMMYFUNCTION("""COMPUTED_VALUE"""),0.9733451454102787)</f>
        <v>0.9733451454</v>
      </c>
      <c r="AQ493" s="30">
        <f>IFERROR(__xludf.DUMMYFUNCTION("""COMPUTED_VALUE"""),1.2424985901731065)</f>
        <v>1.24249859</v>
      </c>
      <c r="AR493" s="30">
        <f>IFERROR(__xludf.DUMMYFUNCTION("""COMPUTED_VALUE"""),1.2741342532060371)</f>
        <v>1.274134253</v>
      </c>
      <c r="AS493" s="30">
        <f>IFERROR(__xludf.DUMMYFUNCTION("""COMPUTED_VALUE"""),81.0)</f>
        <v>81</v>
      </c>
      <c r="AT493" s="30">
        <f>IFERROR(__xludf.DUMMYFUNCTION("""COMPUTED_VALUE"""),0.5786465200186878)</f>
        <v>0.57864652</v>
      </c>
      <c r="AU493" s="30">
        <f>IFERROR(__xludf.DUMMYFUNCTION("""COMPUTED_VALUE"""),3.429616359486804)</f>
        <v>3.429616359</v>
      </c>
      <c r="AV493" s="32">
        <f>IFERROR(__xludf.DUMMYFUNCTION("""COMPUTED_VALUE"""),77.37754333245948)</f>
        <v>77.37754333</v>
      </c>
      <c r="AW493" s="32">
        <f>IFERROR(__xludf.DUMMYFUNCTION("""COMPUTED_VALUE"""),7.313361120420858)</f>
        <v>7.31336112</v>
      </c>
      <c r="AX493" s="32">
        <f>IFERROR(__xludf.DUMMYFUNCTION("""COMPUTED_VALUE"""),69.78090623800512)</f>
        <v>69.78090624</v>
      </c>
      <c r="AY493" s="32">
        <f>IFERROR(__xludf.DUMMYFUNCTION("""COMPUTED_VALUE"""),4.664112298384981)</f>
        <v>4.664112298</v>
      </c>
      <c r="AZ493" s="30">
        <f>IFERROR(__xludf.DUMMYFUNCTION("""COMPUTED_VALUE"""),2.6492488220358767)</f>
        <v>2.649248822</v>
      </c>
      <c r="BA493" s="30">
        <f>IFERROR(__xludf.DUMMYFUNCTION("""COMPUTED_VALUE"""),1700.0)</f>
        <v>1700</v>
      </c>
    </row>
    <row r="494">
      <c r="A494" s="71" t="str">
        <f>IFERROR(__xludf.DUMMYFUNCTION("""COMPUTED_VALUE"""),"Rival")</f>
        <v>Rival</v>
      </c>
      <c r="B494" s="71" t="str">
        <f>IFERROR(__xludf.DUMMYFUNCTION("""COMPUTED_VALUE"""),"RSC007861")</f>
        <v>RSC007861</v>
      </c>
      <c r="C494" s="30" t="str">
        <f>IFERROR(__xludf.DUMMYFUNCTION("""COMPUTED_VALUE"""),"xmanyaknow")</f>
        <v>xmanyaknow</v>
      </c>
      <c r="D494" s="30" t="str">
        <f>IFERROR(__xludf.DUMMYFUNCTION("""COMPUTED_VALUE"""),"Phantoms")</f>
        <v>Phantoms</v>
      </c>
      <c r="E494" s="30">
        <f>IFERROR(__xludf.DUMMYFUNCTION("""COMPUTED_VALUE"""),31.0)</f>
        <v>31</v>
      </c>
      <c r="F494" s="30">
        <f>IFERROR(__xludf.DUMMYFUNCTION("""COMPUTED_VALUE"""),10.0)</f>
        <v>10</v>
      </c>
      <c r="G494" s="42">
        <f>IFERROR(__xludf.DUMMYFUNCTION("""COMPUTED_VALUE"""),21.0)</f>
        <v>21</v>
      </c>
      <c r="H494" s="42">
        <f>IFERROR(__xludf.DUMMYFUNCTION("""COMPUTED_VALUE"""),0.3225806451612903)</f>
        <v>0.3225806452</v>
      </c>
      <c r="I494" s="42">
        <f>IFERROR(__xludf.DUMMYFUNCTION("""COMPUTED_VALUE"""),0.19480519480519481)</f>
        <v>0.1948051948</v>
      </c>
      <c r="J494" s="30">
        <f>IFERROR(__xludf.DUMMYFUNCTION("""COMPUTED_VALUE"""),308.06451612903226)</f>
        <v>308.0645161</v>
      </c>
      <c r="K494" s="30">
        <f>IFERROR(__xludf.DUMMYFUNCTION("""COMPUTED_VALUE"""),0.4838709677419355)</f>
        <v>0.4838709677</v>
      </c>
      <c r="L494" s="30">
        <f>IFERROR(__xludf.DUMMYFUNCTION("""COMPUTED_VALUE"""),0.3870967741935484)</f>
        <v>0.3870967742</v>
      </c>
      <c r="M494" s="30">
        <f>IFERROR(__xludf.DUMMYFUNCTION("""COMPUTED_VALUE"""),1.4516129032258065)</f>
        <v>1.451612903</v>
      </c>
      <c r="N494" s="30">
        <f>IFERROR(__xludf.DUMMYFUNCTION("""COMPUTED_VALUE"""),2.4838709677419355)</f>
        <v>2.483870968</v>
      </c>
      <c r="O494" s="30">
        <f>IFERROR(__xludf.DUMMYFUNCTION("""COMPUTED_VALUE"""),373.13978494623655)</f>
        <v>373.1397849</v>
      </c>
      <c r="P494" s="30">
        <f>IFERROR(__xludf.DUMMYFUNCTION("""COMPUTED_VALUE"""),1.0000000000000002)</f>
        <v>1</v>
      </c>
      <c r="Q494" s="30">
        <f>IFERROR(__xludf.DUMMYFUNCTION("""COMPUTED_VALUE"""),0.7419354838709676)</f>
        <v>0.7419354839</v>
      </c>
      <c r="R494" s="30">
        <f>IFERROR(__xludf.DUMMYFUNCTION("""COMPUTED_VALUE"""),1.2365591397849458)</f>
        <v>1.23655914</v>
      </c>
      <c r="S494" s="30">
        <f>IFERROR(__xludf.DUMMYFUNCTION("""COMPUTED_VALUE"""),2.7311827956989245)</f>
        <v>2.731182796</v>
      </c>
      <c r="T494" s="30">
        <f>IFERROR(__xludf.DUMMYFUNCTION("""COMPUTED_VALUE"""),356.94046741349126)</f>
        <v>356.9404674</v>
      </c>
      <c r="U494" s="30">
        <f>IFERROR(__xludf.DUMMYFUNCTION("""COMPUTED_VALUE"""),0.827160783238393)</f>
        <v>0.8271607832</v>
      </c>
      <c r="V494" s="30">
        <f>IFERROR(__xludf.DUMMYFUNCTION("""COMPUTED_VALUE"""),0.5650524810279968)</f>
        <v>0.565052481</v>
      </c>
      <c r="W494" s="30">
        <f>IFERROR(__xludf.DUMMYFUNCTION("""COMPUTED_VALUE"""),1.3706523251554181)</f>
        <v>1.370652325</v>
      </c>
      <c r="X494" s="30">
        <f>IFERROR(__xludf.DUMMYFUNCTION("""COMPUTED_VALUE"""),2.544198655174465)</f>
        <v>2.544198655</v>
      </c>
      <c r="Y494" s="30">
        <f>IFERROR(__xludf.DUMMYFUNCTION("""COMPUTED_VALUE"""),341.27590995511025)</f>
        <v>341.27591</v>
      </c>
      <c r="Z494" s="30">
        <f>IFERROR(__xludf.DUMMYFUNCTION("""COMPUTED_VALUE"""),0.7622401934534766)</f>
        <v>0.7622401935</v>
      </c>
      <c r="AA494" s="30">
        <f>IFERROR(__xludf.DUMMYFUNCTION("""COMPUTED_VALUE"""),0.5407212806767273)</f>
        <v>0.5407212807</v>
      </c>
      <c r="AB494" s="30">
        <f>IFERROR(__xludf.DUMMYFUNCTION("""COMPUTED_VALUE"""),1.2671615927150564)</f>
        <v>1.267161593</v>
      </c>
      <c r="AC494" s="30">
        <f>IFERROR(__xludf.DUMMYFUNCTION("""COMPUTED_VALUE"""),2.5688553460660453)</f>
        <v>2.568855346</v>
      </c>
      <c r="AD494" s="30">
        <f>IFERROR(__xludf.DUMMYFUNCTION("""COMPUTED_VALUE"""),0.9026846230358115)</f>
        <v>0.902684623</v>
      </c>
      <c r="AE494" s="30">
        <f>IFERROR(__xludf.DUMMYFUNCTION("""COMPUTED_VALUE"""),0.634801171464948)</f>
        <v>0.6348011715</v>
      </c>
      <c r="AF494" s="30">
        <f>IFERROR(__xludf.DUMMYFUNCTION("""COMPUTED_VALUE"""),0.7158896607677181)</f>
        <v>0.7158896608</v>
      </c>
      <c r="AG494" s="30">
        <f>IFERROR(__xludf.DUMMYFUNCTION("""COMPUTED_VALUE"""),1.1455625798407758)</f>
        <v>1.14556258</v>
      </c>
      <c r="AH494" s="30">
        <f>IFERROR(__xludf.DUMMYFUNCTION("""COMPUTED_VALUE"""),0.9669174138379356)</f>
        <v>0.9669174138</v>
      </c>
      <c r="AI494" s="30">
        <f>IFERROR(__xludf.DUMMYFUNCTION("""COMPUTED_VALUE"""),1.0453838076980482)</f>
        <v>1.045383808</v>
      </c>
      <c r="AJ494" s="30">
        <f>IFERROR(__xludf.DUMMYFUNCTION("""COMPUTED_VALUE"""),1.2089548008851791)</f>
        <v>1.208954801</v>
      </c>
      <c r="AK494" s="30">
        <f>IFERROR(__xludf.DUMMYFUNCTION("""COMPUTED_VALUE"""),1.3130381845614918)</f>
        <v>1.313038185</v>
      </c>
      <c r="AL494" s="30">
        <f>IFERROR(__xludf.DUMMYFUNCTION("""COMPUTED_VALUE"""),0.9021683450212165)</f>
        <v>0.902168345</v>
      </c>
      <c r="AM494" s="30">
        <f>IFERROR(__xludf.DUMMYFUNCTION("""COMPUTED_VALUE"""),1.0734943162335873)</f>
        <v>1.073494316</v>
      </c>
      <c r="AN494" s="30">
        <f>IFERROR(__xludf.DUMMYFUNCTION("""COMPUTED_VALUE"""),0.9085390763350686)</f>
        <v>0.9085390763</v>
      </c>
      <c r="AO494" s="30">
        <f>IFERROR(__xludf.DUMMYFUNCTION("""COMPUTED_VALUE"""),0.6505915822412747)</f>
        <v>0.6505915822</v>
      </c>
      <c r="AP494" s="30">
        <f>IFERROR(__xludf.DUMMYFUNCTION("""COMPUTED_VALUE"""),0.7092306182875655)</f>
        <v>0.7092306183</v>
      </c>
      <c r="AQ494" s="30">
        <f>IFERROR(__xludf.DUMMYFUNCTION("""COMPUTED_VALUE"""),1.1099242989139413)</f>
        <v>1.109924299</v>
      </c>
      <c r="AR494" s="30">
        <f>IFERROR(__xludf.DUMMYFUNCTION("""COMPUTED_VALUE"""),0.9928737507589106)</f>
        <v>0.9928737508</v>
      </c>
      <c r="AS494" s="30">
        <f>IFERROR(__xludf.DUMMYFUNCTION("""COMPUTED_VALUE"""),55.0)</f>
        <v>55</v>
      </c>
      <c r="AT494" s="30">
        <f>IFERROR(__xludf.DUMMYFUNCTION("""COMPUTED_VALUE"""),0.3051979138966453)</f>
        <v>0.3051979139</v>
      </c>
      <c r="AU494" s="30">
        <f>IFERROR(__xludf.DUMMYFUNCTION("""COMPUTED_VALUE"""),1.618202358159695)</f>
        <v>1.618202358</v>
      </c>
      <c r="AV494" s="32">
        <f>IFERROR(__xludf.DUMMYFUNCTION("""COMPUTED_VALUE"""),25.516805916491332)</f>
        <v>25.51680592</v>
      </c>
      <c r="AW494" s="32">
        <f>IFERROR(__xludf.DUMMYFUNCTION("""COMPUTED_VALUE"""),-6.108398601956799)</f>
        <v>-6.108398602</v>
      </c>
      <c r="AX494" s="32">
        <f>IFERROR(__xludf.DUMMYFUNCTION("""COMPUTED_VALUE"""),35.95272654565308)</f>
        <v>35.95272655</v>
      </c>
      <c r="AY494" s="32">
        <f>IFERROR(__xludf.DUMMYFUNCTION("""COMPUTED_VALUE"""),-3.4831656021538855)</f>
        <v>-3.483165602</v>
      </c>
      <c r="AZ494" s="30">
        <f>IFERROR(__xludf.DUMMYFUNCTION("""COMPUTED_VALUE"""),2.625232999802914)</f>
        <v>2.625233</v>
      </c>
      <c r="BA494" s="30">
        <f>IFERROR(__xludf.DUMMYFUNCTION("""COMPUTED_VALUE"""),1700.0)</f>
        <v>1700</v>
      </c>
    </row>
    <row r="495">
      <c r="A495" s="71" t="str">
        <f>IFERROR(__xludf.DUMMYFUNCTION("""COMPUTED_VALUE"""),"Rival")</f>
        <v>Rival</v>
      </c>
      <c r="B495" s="71" t="str">
        <f>IFERROR(__xludf.DUMMYFUNCTION("""COMPUTED_VALUE"""),"RSC001720")</f>
        <v>RSC001720</v>
      </c>
      <c r="C495" s="30" t="str">
        <f>IFERROR(__xludf.DUMMYFUNCTION("""COMPUTED_VALUE"""),"SUPERDUPERBAM")</f>
        <v>SUPERDUPERBAM</v>
      </c>
      <c r="D495" s="30"/>
      <c r="E495" s="30">
        <f>IFERROR(__xludf.DUMMYFUNCTION("""COMPUTED_VALUE"""),4.0)</f>
        <v>4</v>
      </c>
      <c r="F495" s="30">
        <f>IFERROR(__xludf.DUMMYFUNCTION("""COMPUTED_VALUE"""),3.0)</f>
        <v>3</v>
      </c>
      <c r="G495" s="42">
        <f>IFERROR(__xludf.DUMMYFUNCTION("""COMPUTED_VALUE"""),1.0)</f>
        <v>1</v>
      </c>
      <c r="H495" s="42">
        <f>IFERROR(__xludf.DUMMYFUNCTION("""COMPUTED_VALUE"""),0.75)</f>
        <v>0.75</v>
      </c>
      <c r="I495" s="42">
        <f>IFERROR(__xludf.DUMMYFUNCTION("""COMPUTED_VALUE"""),0.45454545454545453)</f>
        <v>0.4545454545</v>
      </c>
      <c r="J495" s="30">
        <f>IFERROR(__xludf.DUMMYFUNCTION("""COMPUTED_VALUE"""),343.0)</f>
        <v>343</v>
      </c>
      <c r="K495" s="30">
        <f>IFERROR(__xludf.DUMMYFUNCTION("""COMPUTED_VALUE"""),1.25)</f>
        <v>1.25</v>
      </c>
      <c r="L495" s="30">
        <f>IFERROR(__xludf.DUMMYFUNCTION("""COMPUTED_VALUE"""),0.5)</f>
        <v>0.5</v>
      </c>
      <c r="M495" s="30">
        <f>IFERROR(__xludf.DUMMYFUNCTION("""COMPUTED_VALUE"""),0.75)</f>
        <v>0.75</v>
      </c>
      <c r="N495" s="30">
        <f>IFERROR(__xludf.DUMMYFUNCTION("""COMPUTED_VALUE"""),2.75)</f>
        <v>2.75</v>
      </c>
      <c r="O495" s="30">
        <f>IFERROR(__xludf.DUMMYFUNCTION("""COMPUTED_VALUE"""),328.91666666666663)</f>
        <v>328.9166667</v>
      </c>
      <c r="P495" s="30">
        <f>IFERROR(__xludf.DUMMYFUNCTION("""COMPUTED_VALUE"""),0.5)</f>
        <v>0.5</v>
      </c>
      <c r="Q495" s="30">
        <f>IFERROR(__xludf.DUMMYFUNCTION("""COMPUTED_VALUE"""),0.5)</f>
        <v>0.5</v>
      </c>
      <c r="R495" s="30">
        <f>IFERROR(__xludf.DUMMYFUNCTION("""COMPUTED_VALUE"""),1.75)</f>
        <v>1.75</v>
      </c>
      <c r="S495" s="30">
        <f>IFERROR(__xludf.DUMMYFUNCTION("""COMPUTED_VALUE"""),2.25)</f>
        <v>2.25</v>
      </c>
      <c r="T495" s="30">
        <f>IFERROR(__xludf.DUMMYFUNCTION("""COMPUTED_VALUE"""),340.767094017094)</f>
        <v>340.767094</v>
      </c>
      <c r="U495" s="30">
        <f>IFERROR(__xludf.DUMMYFUNCTION("""COMPUTED_VALUE"""),0.7172008547008547)</f>
        <v>0.7172008547</v>
      </c>
      <c r="V495" s="30">
        <f>IFERROR(__xludf.DUMMYFUNCTION("""COMPUTED_VALUE"""),0.4743589743589744)</f>
        <v>0.4743589744</v>
      </c>
      <c r="W495" s="30">
        <f>IFERROR(__xludf.DUMMYFUNCTION("""COMPUTED_VALUE"""),1.4943376068376069)</f>
        <v>1.494337607</v>
      </c>
      <c r="X495" s="30">
        <f>IFERROR(__xludf.DUMMYFUNCTION("""COMPUTED_VALUE"""),2.104059829059829)</f>
        <v>2.104059829</v>
      </c>
      <c r="Y495" s="30">
        <f>IFERROR(__xludf.DUMMYFUNCTION("""COMPUTED_VALUE"""),361.7855056980057)</f>
        <v>361.7855057</v>
      </c>
      <c r="Z495" s="30">
        <f>IFERROR(__xludf.DUMMYFUNCTION("""COMPUTED_VALUE"""),0.9131054131054132)</f>
        <v>0.9131054131</v>
      </c>
      <c r="AA495" s="30">
        <f>IFERROR(__xludf.DUMMYFUNCTION("""COMPUTED_VALUE"""),0.6593660968660968)</f>
        <v>0.6593660969</v>
      </c>
      <c r="AB495" s="30">
        <f>IFERROR(__xludf.DUMMYFUNCTION("""COMPUTED_VALUE"""),1.1627849002849002)</f>
        <v>1.1627849</v>
      </c>
      <c r="AC495" s="30">
        <f>IFERROR(__xludf.DUMMYFUNCTION("""COMPUTED_VALUE"""),2.8232549857549856)</f>
        <v>2.823254986</v>
      </c>
      <c r="AD495" s="30">
        <f>IFERROR(__xludf.DUMMYFUNCTION("""COMPUTED_VALUE"""),0.9480755712925476)</f>
        <v>0.9480755713</v>
      </c>
      <c r="AE495" s="30">
        <f>IFERROR(__xludf.DUMMYFUNCTION("""COMPUTED_VALUE"""),1.3689547581903276)</f>
        <v>1.368954758</v>
      </c>
      <c r="AF495" s="30">
        <f>IFERROR(__xludf.DUMMYFUNCTION("""COMPUTED_VALUE"""),0.7583040777747773)</f>
        <v>0.7583040778</v>
      </c>
      <c r="AG495" s="30">
        <f>IFERROR(__xludf.DUMMYFUNCTION("""COMPUTED_VALUE"""),0.6450032158279991)</f>
        <v>0.6450032158</v>
      </c>
      <c r="AH495" s="30">
        <f>IFERROR(__xludf.DUMMYFUNCTION("""COMPUTED_VALUE"""),0.9740530040238657)</f>
        <v>0.974053004</v>
      </c>
      <c r="AI495" s="30">
        <f>IFERROR(__xludf.DUMMYFUNCTION("""COMPUTED_VALUE"""),0.9652242615015143)</f>
        <v>0.9652242615</v>
      </c>
      <c r="AJ495" s="30">
        <f>IFERROR(__xludf.DUMMYFUNCTION("""COMPUTED_VALUE"""),0.6971547743184865)</f>
        <v>0.6971547743</v>
      </c>
      <c r="AK495" s="30">
        <f>IFERROR(__xludf.DUMMYFUNCTION("""COMPUTED_VALUE"""),1.054054054054054)</f>
        <v>1.054054054</v>
      </c>
      <c r="AL495" s="30">
        <f>IFERROR(__xludf.DUMMYFUNCTION("""COMPUTED_VALUE"""),1.1710874383355974)</f>
        <v>1.171087438</v>
      </c>
      <c r="AM495" s="30">
        <f>IFERROR(__xludf.DUMMYFUNCTION("""COMPUTED_VALUE"""),1.0693612267695745)</f>
        <v>1.069361227</v>
      </c>
      <c r="AN495" s="30">
        <f>IFERROR(__xludf.DUMMYFUNCTION("""COMPUTED_VALUE"""),1.01157026164092)</f>
        <v>1.011570262</v>
      </c>
      <c r="AO495" s="30">
        <f>IFERROR(__xludf.DUMMYFUNCTION("""COMPUTED_VALUE"""),1.6806949207899595)</f>
        <v>1.680694921</v>
      </c>
      <c r="AP495" s="30">
        <f>IFERROR(__xludf.DUMMYFUNCTION("""COMPUTED_VALUE"""),0.9160895486214388)</f>
        <v>0.9160895486</v>
      </c>
      <c r="AQ495" s="30">
        <f>IFERROR(__xludf.DUMMYFUNCTION("""COMPUTED_VALUE"""),0.5734608877722029)</f>
        <v>0.5734608878</v>
      </c>
      <c r="AR495" s="30">
        <f>IFERROR(__xludf.DUMMYFUNCTION("""COMPUTED_VALUE"""),1.0992530811973653)</f>
        <v>1.099253081</v>
      </c>
      <c r="AS495" s="30">
        <f>IFERROR(__xludf.DUMMYFUNCTION("""COMPUTED_VALUE"""),10.0)</f>
        <v>10</v>
      </c>
      <c r="AT495" s="30">
        <f>IFERROR(__xludf.DUMMYFUNCTION("""COMPUTED_VALUE"""),0.6814488513907807)</f>
        <v>0.6814488514</v>
      </c>
      <c r="AU495" s="30">
        <f>IFERROR(__xludf.DUMMYFUNCTION("""COMPUTED_VALUE"""),3.1661377156865944)</f>
        <v>3.166137716</v>
      </c>
      <c r="AV495" s="32">
        <f>IFERROR(__xludf.DUMMYFUNCTION("""COMPUTED_VALUE"""),69.83415637021497)</f>
        <v>69.83415637</v>
      </c>
      <c r="AW495" s="32">
        <f>IFERROR(__xludf.DUMMYFUNCTION("""COMPUTED_VALUE"""),4.677657198949583)</f>
        <v>4.677657199</v>
      </c>
      <c r="AX495" s="32">
        <f>IFERROR(__xludf.DUMMYFUNCTION("""COMPUTED_VALUE"""),50.82434384205804)</f>
        <v>50.82434384</v>
      </c>
      <c r="AY495" s="32">
        <f>IFERROR(__xludf.DUMMYFUNCTION("""COMPUTED_VALUE"""),2.0540302008910816)</f>
        <v>2.054030201</v>
      </c>
      <c r="AZ495" s="30">
        <f>IFERROR(__xludf.DUMMYFUNCTION("""COMPUTED_VALUE"""),2.6236269980585014)</f>
        <v>2.623626998</v>
      </c>
      <c r="BA495" s="30">
        <f>IFERROR(__xludf.DUMMYFUNCTION("""COMPUTED_VALUE"""),1700.0)</f>
        <v>1700</v>
      </c>
    </row>
    <row r="496">
      <c r="A496" s="71" t="str">
        <f>IFERROR(__xludf.DUMMYFUNCTION("""COMPUTED_VALUE"""),"Rival")</f>
        <v>Rival</v>
      </c>
      <c r="B496" s="71" t="str">
        <f>IFERROR(__xludf.DUMMYFUNCTION("""COMPUTED_VALUE"""),"RSC000731")</f>
        <v>RSC000731</v>
      </c>
      <c r="C496" s="30" t="str">
        <f>IFERROR(__xludf.DUMMYFUNCTION("""COMPUTED_VALUE"""),"mm2")</f>
        <v>mm2</v>
      </c>
      <c r="D496" s="30" t="str">
        <f>IFERROR(__xludf.DUMMYFUNCTION("""COMPUTED_VALUE"""),"Cursed")</f>
        <v>Cursed</v>
      </c>
      <c r="E496" s="30">
        <f>IFERROR(__xludf.DUMMYFUNCTION("""COMPUTED_VALUE"""),48.0)</f>
        <v>48</v>
      </c>
      <c r="F496" s="30">
        <f>IFERROR(__xludf.DUMMYFUNCTION("""COMPUTED_VALUE"""),32.0)</f>
        <v>32</v>
      </c>
      <c r="G496" s="42">
        <f>IFERROR(__xludf.DUMMYFUNCTION("""COMPUTED_VALUE"""),16.0)</f>
        <v>16</v>
      </c>
      <c r="H496" s="42">
        <f>IFERROR(__xludf.DUMMYFUNCTION("""COMPUTED_VALUE"""),0.6666666666666666)</f>
        <v>0.6666666667</v>
      </c>
      <c r="I496" s="42">
        <f>IFERROR(__xludf.DUMMYFUNCTION("""COMPUTED_VALUE"""),0.3082706766917293)</f>
        <v>0.3082706767</v>
      </c>
      <c r="J496" s="30">
        <f>IFERROR(__xludf.DUMMYFUNCTION("""COMPUTED_VALUE"""),381.9791666666667)</f>
        <v>381.9791667</v>
      </c>
      <c r="K496" s="30">
        <f>IFERROR(__xludf.DUMMYFUNCTION("""COMPUTED_VALUE"""),0.8541666666666666)</f>
        <v>0.8541666667</v>
      </c>
      <c r="L496" s="30">
        <f>IFERROR(__xludf.DUMMYFUNCTION("""COMPUTED_VALUE"""),0.7291666666666666)</f>
        <v>0.7291666667</v>
      </c>
      <c r="M496" s="30">
        <f>IFERROR(__xludf.DUMMYFUNCTION("""COMPUTED_VALUE"""),1.5208333333333333)</f>
        <v>1.520833333</v>
      </c>
      <c r="N496" s="30">
        <f>IFERROR(__xludf.DUMMYFUNCTION("""COMPUTED_VALUE"""),2.7708333333333335)</f>
        <v>2.770833333</v>
      </c>
      <c r="O496" s="30">
        <f>IFERROR(__xludf.DUMMYFUNCTION("""COMPUTED_VALUE"""),329.09722222222223)</f>
        <v>329.0972222</v>
      </c>
      <c r="P496" s="30">
        <f>IFERROR(__xludf.DUMMYFUNCTION("""COMPUTED_VALUE"""),0.611111111111111)</f>
        <v>0.6111111111</v>
      </c>
      <c r="Q496" s="30">
        <f>IFERROR(__xludf.DUMMYFUNCTION("""COMPUTED_VALUE"""),0.45138888888888884)</f>
        <v>0.4513888889</v>
      </c>
      <c r="R496" s="30">
        <f>IFERROR(__xludf.DUMMYFUNCTION("""COMPUTED_VALUE"""),1.4166666666666663)</f>
        <v>1.416666667</v>
      </c>
      <c r="S496" s="30">
        <f>IFERROR(__xludf.DUMMYFUNCTION("""COMPUTED_VALUE"""),2.3680555555555554)</f>
        <v>2.368055556</v>
      </c>
      <c r="T496" s="30">
        <f>IFERROR(__xludf.DUMMYFUNCTION("""COMPUTED_VALUE"""),353.7926791864886)</f>
        <v>353.7926792</v>
      </c>
      <c r="U496" s="30">
        <f>IFERROR(__xludf.DUMMYFUNCTION("""COMPUTED_VALUE"""),0.7879360361520665)</f>
        <v>0.7879360362</v>
      </c>
      <c r="V496" s="30">
        <f>IFERROR(__xludf.DUMMYFUNCTION("""COMPUTED_VALUE"""),0.5911942182685163)</f>
        <v>0.5911942183</v>
      </c>
      <c r="W496" s="30">
        <f>IFERROR(__xludf.DUMMYFUNCTION("""COMPUTED_VALUE"""),1.3436541438861402)</f>
        <v>1.343654144</v>
      </c>
      <c r="X496" s="30">
        <f>IFERROR(__xludf.DUMMYFUNCTION("""COMPUTED_VALUE"""),2.5847118799272497)</f>
        <v>2.58471188</v>
      </c>
      <c r="Y496" s="30">
        <f>IFERROR(__xludf.DUMMYFUNCTION("""COMPUTED_VALUE"""),350.9929923553593)</f>
        <v>350.9929924</v>
      </c>
      <c r="Z496" s="30">
        <f>IFERROR(__xludf.DUMMYFUNCTION("""COMPUTED_VALUE"""),0.8108053901232837)</f>
        <v>0.8108053901</v>
      </c>
      <c r="AA496" s="30">
        <f>IFERROR(__xludf.DUMMYFUNCTION("""COMPUTED_VALUE"""),0.5666236361812251)</f>
        <v>0.5666236362</v>
      </c>
      <c r="AB496" s="30">
        <f>IFERROR(__xludf.DUMMYFUNCTION("""COMPUTED_VALUE"""),1.3096615619216687)</f>
        <v>1.309661562</v>
      </c>
      <c r="AC496" s="30">
        <f>IFERROR(__xludf.DUMMYFUNCTION("""COMPUTED_VALUE"""),2.6197658659854866)</f>
        <v>2.619765866</v>
      </c>
      <c r="AD496" s="30">
        <f>IFERROR(__xludf.DUMMYFUNCTION("""COMPUTED_VALUE"""),1.0882814614142944)</f>
        <v>1.088281461</v>
      </c>
      <c r="AE496" s="30">
        <f>IFERROR(__xludf.DUMMYFUNCTION("""COMPUTED_VALUE"""),1.0534792652732488)</f>
        <v>1.053479265</v>
      </c>
      <c r="AF496" s="30">
        <f>IFERROR(__xludf.DUMMYFUNCTION("""COMPUTED_VALUE"""),1.2868624252615095)</f>
        <v>1.286862425</v>
      </c>
      <c r="AG496" s="30">
        <f>IFERROR(__xludf.DUMMYFUNCTION("""COMPUTED_VALUE"""),1.16124148219011)</f>
        <v>1.161241482</v>
      </c>
      <c r="AH496" s="30">
        <f>IFERROR(__xludf.DUMMYFUNCTION("""COMPUTED_VALUE"""),1.0576644918193936)</f>
        <v>1.057664492</v>
      </c>
      <c r="AI496" s="30">
        <f>IFERROR(__xludf.DUMMYFUNCTION("""COMPUTED_VALUE"""),0.9301979424191277)</f>
        <v>0.9301979424</v>
      </c>
      <c r="AJ496" s="30">
        <f>IFERROR(__xludf.DUMMYFUNCTION("""COMPUTED_VALUE"""),0.7755846706739157)</f>
        <v>0.7755846707</v>
      </c>
      <c r="AK496" s="30">
        <f>IFERROR(__xludf.DUMMYFUNCTION("""COMPUTED_VALUE"""),0.7635204725291667)</f>
        <v>0.7635204725</v>
      </c>
      <c r="AL496" s="30">
        <f>IFERROR(__xludf.DUMMYFUNCTION("""COMPUTED_VALUE"""),1.0543387769187076)</f>
        <v>1.054338777</v>
      </c>
      <c r="AM496" s="30">
        <f>IFERROR(__xludf.DUMMYFUNCTION("""COMPUTED_VALUE"""),0.9161777658646455)</f>
        <v>0.9161777659</v>
      </c>
      <c r="AN496" s="30">
        <f>IFERROR(__xludf.DUMMYFUNCTION("""COMPUTED_VALUE"""),1.126527013313063)</f>
        <v>1.126527013</v>
      </c>
      <c r="AO496" s="30">
        <f>IFERROR(__xludf.DUMMYFUNCTION("""COMPUTED_VALUE"""),1.1484748625398056)</f>
        <v>1.148474863</v>
      </c>
      <c r="AP496" s="30">
        <f>IFERROR(__xludf.DUMMYFUNCTION("""COMPUTED_VALUE"""),1.3359639250729316)</f>
        <v>1.335963925</v>
      </c>
      <c r="AQ496" s="30">
        <f>IFERROR(__xludf.DUMMYFUNCTION("""COMPUTED_VALUE"""),1.1628512446491892)</f>
        <v>1.162851245</v>
      </c>
      <c r="AR496" s="30">
        <f>IFERROR(__xludf.DUMMYFUNCTION("""COMPUTED_VALUE"""),1.1075807560549211)</f>
        <v>1.107580756</v>
      </c>
      <c r="AS496" s="30">
        <f>IFERROR(__xludf.DUMMYFUNCTION("""COMPUTED_VALUE"""),128.0)</f>
        <v>128</v>
      </c>
      <c r="AT496" s="30">
        <f>IFERROR(__xludf.DUMMYFUNCTION("""COMPUTED_VALUE"""),0.6403683331218046)</f>
        <v>0.6403683331</v>
      </c>
      <c r="AU496" s="30">
        <f>IFERROR(__xludf.DUMMYFUNCTION("""COMPUTED_VALUE"""),3.3073448659359324)</f>
        <v>3.307344866</v>
      </c>
      <c r="AV496" s="32">
        <f>IFERROR(__xludf.DUMMYFUNCTION("""COMPUTED_VALUE"""),73.87691353946116)</f>
        <v>73.87691354</v>
      </c>
      <c r="AW496" s="32">
        <f>IFERROR(__xludf.DUMMYFUNCTION("""COMPUTED_VALUE"""),5.890339704816572)</f>
        <v>5.890339705</v>
      </c>
      <c r="AX496" s="32">
        <f>IFERROR(__xludf.DUMMYFUNCTION("""COMPUTED_VALUE"""),63.72963092313796)</f>
        <v>63.72963092</v>
      </c>
      <c r="AY496" s="32">
        <f>IFERROR(__xludf.DUMMYFUNCTION("""COMPUTED_VALUE"""),3.431247793660792)</f>
        <v>3.431247794</v>
      </c>
      <c r="AZ496" s="30">
        <f>IFERROR(__xludf.DUMMYFUNCTION("""COMPUTED_VALUE"""),2.45909191115578)</f>
        <v>2.459091911</v>
      </c>
      <c r="BA496" s="30">
        <f>IFERROR(__xludf.DUMMYFUNCTION("""COMPUTED_VALUE"""),1700.0)</f>
        <v>1700</v>
      </c>
    </row>
    <row r="497">
      <c r="A497" s="71" t="str">
        <f>IFERROR(__xludf.DUMMYFUNCTION("""COMPUTED_VALUE"""),"Rival")</f>
        <v>Rival</v>
      </c>
      <c r="B497" s="71" t="str">
        <f>IFERROR(__xludf.DUMMYFUNCTION("""COMPUTED_VALUE"""),"RSC002930")</f>
        <v>RSC002930</v>
      </c>
      <c r="C497" s="30" t="str">
        <f>IFERROR(__xludf.DUMMYFUNCTION("""COMPUTED_VALUE"""),"voakes")</f>
        <v>voakes</v>
      </c>
      <c r="D497" s="30" t="str">
        <f>IFERROR(__xludf.DUMMYFUNCTION("""COMPUTED_VALUE"""),"Hippos")</f>
        <v>Hippos</v>
      </c>
      <c r="E497" s="30">
        <f>IFERROR(__xludf.DUMMYFUNCTION("""COMPUTED_VALUE"""),44.0)</f>
        <v>44</v>
      </c>
      <c r="F497" s="30">
        <f>IFERROR(__xludf.DUMMYFUNCTION("""COMPUTED_VALUE"""),21.0)</f>
        <v>21</v>
      </c>
      <c r="G497" s="42">
        <f>IFERROR(__xludf.DUMMYFUNCTION("""COMPUTED_VALUE"""),23.0)</f>
        <v>23</v>
      </c>
      <c r="H497" s="42">
        <f>IFERROR(__xludf.DUMMYFUNCTION("""COMPUTED_VALUE"""),0.4772727272727273)</f>
        <v>0.4772727273</v>
      </c>
      <c r="I497" s="42">
        <f>IFERROR(__xludf.DUMMYFUNCTION("""COMPUTED_VALUE"""),0.34710743801652894)</f>
        <v>0.347107438</v>
      </c>
      <c r="J497" s="30">
        <f>IFERROR(__xludf.DUMMYFUNCTION("""COMPUTED_VALUE"""),403.59090909090907)</f>
        <v>403.5909091</v>
      </c>
      <c r="K497" s="30">
        <f>IFERROR(__xludf.DUMMYFUNCTION("""COMPUTED_VALUE"""),0.9545454545454546)</f>
        <v>0.9545454545</v>
      </c>
      <c r="L497" s="30">
        <f>IFERROR(__xludf.DUMMYFUNCTION("""COMPUTED_VALUE"""),0.7272727272727273)</f>
        <v>0.7272727273</v>
      </c>
      <c r="M497" s="30">
        <f>IFERROR(__xludf.DUMMYFUNCTION("""COMPUTED_VALUE"""),1.75)</f>
        <v>1.75</v>
      </c>
      <c r="N497" s="30">
        <f>IFERROR(__xludf.DUMMYFUNCTION("""COMPUTED_VALUE"""),2.75)</f>
        <v>2.75</v>
      </c>
      <c r="O497" s="30">
        <f>IFERROR(__xludf.DUMMYFUNCTION("""COMPUTED_VALUE"""),365.3560606060605)</f>
        <v>365.3560606</v>
      </c>
      <c r="P497" s="30">
        <f>IFERROR(__xludf.DUMMYFUNCTION("""COMPUTED_VALUE"""),0.8863636363636364)</f>
        <v>0.8863636364</v>
      </c>
      <c r="Q497" s="30">
        <f>IFERROR(__xludf.DUMMYFUNCTION("""COMPUTED_VALUE"""),0.6136363636363634)</f>
        <v>0.6136363636</v>
      </c>
      <c r="R497" s="30">
        <f>IFERROR(__xludf.DUMMYFUNCTION("""COMPUTED_VALUE"""),1.2499999999999998)</f>
        <v>1.25</v>
      </c>
      <c r="S497" s="30">
        <f>IFERROR(__xludf.DUMMYFUNCTION("""COMPUTED_VALUE"""),2.7196969696969693)</f>
        <v>2.71969697</v>
      </c>
      <c r="T497" s="30">
        <f>IFERROR(__xludf.DUMMYFUNCTION("""COMPUTED_VALUE"""),349.55948601811747)</f>
        <v>349.559486</v>
      </c>
      <c r="U497" s="30">
        <f>IFERROR(__xludf.DUMMYFUNCTION("""COMPUTED_VALUE"""),0.7806531359574449)</f>
        <v>0.780653136</v>
      </c>
      <c r="V497" s="30">
        <f>IFERROR(__xludf.DUMMYFUNCTION("""COMPUTED_VALUE"""),0.5884916050437158)</f>
        <v>0.588491605</v>
      </c>
      <c r="W497" s="30">
        <f>IFERROR(__xludf.DUMMYFUNCTION("""COMPUTED_VALUE"""),1.300116284513524)</f>
        <v>1.300116285</v>
      </c>
      <c r="X497" s="30">
        <f>IFERROR(__xludf.DUMMYFUNCTION("""COMPUTED_VALUE"""),2.5201545631480693)</f>
        <v>2.520154563</v>
      </c>
      <c r="Y497" s="30">
        <f>IFERROR(__xludf.DUMMYFUNCTION("""COMPUTED_VALUE"""),340.80943306499563)</f>
        <v>340.8094331</v>
      </c>
      <c r="Z497" s="30">
        <f>IFERROR(__xludf.DUMMYFUNCTION("""COMPUTED_VALUE"""),0.7421740958364313)</f>
        <v>0.7421740958</v>
      </c>
      <c r="AA497" s="30">
        <f>IFERROR(__xludf.DUMMYFUNCTION("""COMPUTED_VALUE"""),0.5300446364001223)</f>
        <v>0.5300446364</v>
      </c>
      <c r="AB497" s="30">
        <f>IFERROR(__xludf.DUMMYFUNCTION("""COMPUTED_VALUE"""),1.3339818256427458)</f>
        <v>1.333981826</v>
      </c>
      <c r="AC497" s="30">
        <f>IFERROR(__xludf.DUMMYFUNCTION("""COMPUTED_VALUE"""),2.4652441013657995)</f>
        <v>2.465244101</v>
      </c>
      <c r="AD497" s="30">
        <f>IFERROR(__xludf.DUMMYFUNCTION("""COMPUTED_VALUE"""),1.184212847224626)</f>
        <v>1.184212847</v>
      </c>
      <c r="AE497" s="30">
        <f>IFERROR(__xludf.DUMMYFUNCTION("""COMPUTED_VALUE"""),1.286147630185988)</f>
        <v>1.28614763</v>
      </c>
      <c r="AF497" s="30">
        <f>IFERROR(__xludf.DUMMYFUNCTION("""COMPUTED_VALUE"""),1.372097135464117)</f>
        <v>1.372097135</v>
      </c>
      <c r="AG497" s="30">
        <f>IFERROR(__xludf.DUMMYFUNCTION("""COMPUTED_VALUE"""),1.311861950710465)</f>
        <v>1.311861951</v>
      </c>
      <c r="AH497" s="30">
        <f>IFERROR(__xludf.DUMMYFUNCTION("""COMPUTED_VALUE"""),1.1155081959131103)</f>
        <v>1.115508196</v>
      </c>
      <c r="AI497" s="30">
        <f>IFERROR(__xludf.DUMMYFUNCTION("""COMPUTED_VALUE"""),1.0451899468324666)</f>
        <v>1.045189947</v>
      </c>
      <c r="AJ497" s="30">
        <f>IFERROR(__xludf.DUMMYFUNCTION("""COMPUTED_VALUE"""),1.1354128940717583)</f>
        <v>1.135412894</v>
      </c>
      <c r="AK497" s="30">
        <f>IFERROR(__xludf.DUMMYFUNCTION("""COMPUTED_VALUE"""),1.0427274720270305)</f>
        <v>1.042727472</v>
      </c>
      <c r="AL497" s="30">
        <f>IFERROR(__xludf.DUMMYFUNCTION("""COMPUTED_VALUE"""),0.9614524599757039)</f>
        <v>0.96145246</v>
      </c>
      <c r="AM497" s="30">
        <f>IFERROR(__xludf.DUMMYFUNCTION("""COMPUTED_VALUE"""),1.079178638273535)</f>
        <v>1.079178638</v>
      </c>
      <c r="AN497" s="30">
        <f>IFERROR(__xludf.DUMMYFUNCTION("""COMPUTED_VALUE"""),1.190264027711334)</f>
        <v>1.190264028</v>
      </c>
      <c r="AO497" s="30">
        <f>IFERROR(__xludf.DUMMYFUNCTION("""COMPUTED_VALUE"""),1.283439757694151)</f>
        <v>1.283439758</v>
      </c>
      <c r="AP497" s="30">
        <f>IFERROR(__xludf.DUMMYFUNCTION("""COMPUTED_VALUE"""),1.332493888903911)</f>
        <v>1.332493889</v>
      </c>
      <c r="AQ497" s="30">
        <f>IFERROR(__xludf.DUMMYFUNCTION("""COMPUTED_VALUE"""),1.3380754048018069)</f>
        <v>1.338075405</v>
      </c>
      <c r="AR497" s="30">
        <f>IFERROR(__xludf.DUMMYFUNCTION("""COMPUTED_VALUE"""),1.0992530811973653)</f>
        <v>1.099253081</v>
      </c>
      <c r="AS497" s="30">
        <f>IFERROR(__xludf.DUMMYFUNCTION("""COMPUTED_VALUE"""),116.0)</f>
        <v>116</v>
      </c>
      <c r="AT497" s="30">
        <f>IFERROR(__xludf.DUMMYFUNCTION("""COMPUTED_VALUE"""),0.4965376573998618)</f>
        <v>0.4965376574</v>
      </c>
      <c r="AU497" s="30">
        <f>IFERROR(__xludf.DUMMYFUNCTION("""COMPUTED_VALUE"""),3.354726694418574)</f>
        <v>3.354726694</v>
      </c>
      <c r="AV497" s="32">
        <f>IFERROR(__xludf.DUMMYFUNCTION("""COMPUTED_VALUE"""),75.23345410027521)</f>
        <v>75.2334541</v>
      </c>
      <c r="AW497" s="32">
        <f>IFERROR(__xludf.DUMMYFUNCTION("""COMPUTED_VALUE"""),6.393606739079517)</f>
        <v>6.393606739</v>
      </c>
      <c r="AX497" s="32">
        <f>IFERROR(__xludf.DUMMYFUNCTION("""COMPUTED_VALUE"""),66.57615325452244)</f>
        <v>66.57615325</v>
      </c>
      <c r="AY497" s="32">
        <f>IFERROR(__xludf.DUMMYFUNCTION("""COMPUTED_VALUE"""),3.9424325198615353)</f>
        <v>3.94243252</v>
      </c>
      <c r="AZ497" s="30">
        <f>IFERROR(__xludf.DUMMYFUNCTION("""COMPUTED_VALUE"""),2.4511742192179815)</f>
        <v>2.451174219</v>
      </c>
      <c r="BA497" s="30">
        <f>IFERROR(__xludf.DUMMYFUNCTION("""COMPUTED_VALUE"""),1700.0)</f>
        <v>1700</v>
      </c>
    </row>
    <row r="498">
      <c r="A498" s="71" t="str">
        <f>IFERROR(__xludf.DUMMYFUNCTION("""COMPUTED_VALUE"""),"Rival")</f>
        <v>Rival</v>
      </c>
      <c r="B498" s="71" t="str">
        <f>IFERROR(__xludf.DUMMYFUNCTION("""COMPUTED_VALUE"""),"RSC002177")</f>
        <v>RSC002177</v>
      </c>
      <c r="C498" s="30" t="str">
        <f>IFERROR(__xludf.DUMMYFUNCTION("""COMPUTED_VALUE"""),"Slygo21")</f>
        <v>Slygo21</v>
      </c>
      <c r="D498" s="30" t="str">
        <f>IFERROR(__xludf.DUMMYFUNCTION("""COMPUTED_VALUE"""),"Ruthless Racket")</f>
        <v>Ruthless Racket</v>
      </c>
      <c r="E498" s="30">
        <f>IFERROR(__xludf.DUMMYFUNCTION("""COMPUTED_VALUE"""),43.0)</f>
        <v>43</v>
      </c>
      <c r="F498" s="30">
        <f>IFERROR(__xludf.DUMMYFUNCTION("""COMPUTED_VALUE"""),15.0)</f>
        <v>15</v>
      </c>
      <c r="G498" s="42">
        <f>IFERROR(__xludf.DUMMYFUNCTION("""COMPUTED_VALUE"""),28.0)</f>
        <v>28</v>
      </c>
      <c r="H498" s="42">
        <f>IFERROR(__xludf.DUMMYFUNCTION("""COMPUTED_VALUE"""),0.3488372093023256)</f>
        <v>0.3488372093</v>
      </c>
      <c r="I498" s="42">
        <f>IFERROR(__xludf.DUMMYFUNCTION("""COMPUTED_VALUE"""),0.2876712328767123)</f>
        <v>0.2876712329</v>
      </c>
      <c r="J498" s="30">
        <f>IFERROR(__xludf.DUMMYFUNCTION("""COMPUTED_VALUE"""),311.3255813953488)</f>
        <v>311.3255814</v>
      </c>
      <c r="K498" s="30">
        <f>IFERROR(__xludf.DUMMYFUNCTION("""COMPUTED_VALUE"""),0.4883720930232558)</f>
        <v>0.488372093</v>
      </c>
      <c r="L498" s="30">
        <f>IFERROR(__xludf.DUMMYFUNCTION("""COMPUTED_VALUE"""),0.37209302325581395)</f>
        <v>0.3720930233</v>
      </c>
      <c r="M498" s="30">
        <f>IFERROR(__xludf.DUMMYFUNCTION("""COMPUTED_VALUE"""),1.5348837209302326)</f>
        <v>1.534883721</v>
      </c>
      <c r="N498" s="30">
        <f>IFERROR(__xludf.DUMMYFUNCTION("""COMPUTED_VALUE"""),1.697674418604651)</f>
        <v>1.697674419</v>
      </c>
      <c r="O498" s="30">
        <f>IFERROR(__xludf.DUMMYFUNCTION("""COMPUTED_VALUE"""),347.51162790697674)</f>
        <v>347.5116279</v>
      </c>
      <c r="P498" s="30">
        <f>IFERROR(__xludf.DUMMYFUNCTION("""COMPUTED_VALUE"""),0.8372093023255812)</f>
        <v>0.8372093023</v>
      </c>
      <c r="Q498" s="30">
        <f>IFERROR(__xludf.DUMMYFUNCTION("""COMPUTED_VALUE"""),0.5968992248062015)</f>
        <v>0.5968992248</v>
      </c>
      <c r="R498" s="30">
        <f>IFERROR(__xludf.DUMMYFUNCTION("""COMPUTED_VALUE"""),1.0930232558139534)</f>
        <v>1.093023256</v>
      </c>
      <c r="S498" s="30">
        <f>IFERROR(__xludf.DUMMYFUNCTION("""COMPUTED_VALUE"""),2.8294573643410854)</f>
        <v>2.829457364</v>
      </c>
      <c r="T498" s="30">
        <f>IFERROR(__xludf.DUMMYFUNCTION("""COMPUTED_VALUE"""),344.6528009233798)</f>
        <v>344.6528009</v>
      </c>
      <c r="U498" s="30">
        <f>IFERROR(__xludf.DUMMYFUNCTION("""COMPUTED_VALUE"""),0.8076916538635617)</f>
        <v>0.8076916539</v>
      </c>
      <c r="V498" s="30">
        <f>IFERROR(__xludf.DUMMYFUNCTION("""COMPUTED_VALUE"""),0.5652401454997349)</f>
        <v>0.5652401455</v>
      </c>
      <c r="W498" s="30">
        <f>IFERROR(__xludf.DUMMYFUNCTION("""COMPUTED_VALUE"""),1.215838603390145)</f>
        <v>1.215838603</v>
      </c>
      <c r="X498" s="30">
        <f>IFERROR(__xludf.DUMMYFUNCTION("""COMPUTED_VALUE"""),2.6331908791292453)</f>
        <v>2.633190879</v>
      </c>
      <c r="Y498" s="30">
        <f>IFERROR(__xludf.DUMMYFUNCTION("""COMPUTED_VALUE"""),342.78884370429785)</f>
        <v>342.7888437</v>
      </c>
      <c r="Z498" s="30">
        <f>IFERROR(__xludf.DUMMYFUNCTION("""COMPUTED_VALUE"""),0.7567029492049845)</f>
        <v>0.7567029492</v>
      </c>
      <c r="AA498" s="30">
        <f>IFERROR(__xludf.DUMMYFUNCTION("""COMPUTED_VALUE"""),0.5462352956181158)</f>
        <v>0.5462352956</v>
      </c>
      <c r="AB498" s="30">
        <f>IFERROR(__xludf.DUMMYFUNCTION("""COMPUTED_VALUE"""),1.3347612437811562)</f>
        <v>1.334761244</v>
      </c>
      <c r="AC498" s="30">
        <f>IFERROR(__xludf.DUMMYFUNCTION("""COMPUTED_VALUE"""),2.441176451977841)</f>
        <v>2.441176452</v>
      </c>
      <c r="AD498" s="30">
        <f>IFERROR(__xludf.DUMMYFUNCTION("""COMPUTED_VALUE"""),0.9082138672631646)</f>
        <v>0.9082138673</v>
      </c>
      <c r="AE498" s="30">
        <f>IFERROR(__xludf.DUMMYFUNCTION("""COMPUTED_VALUE"""),0.645394726604878)</f>
        <v>0.6453947266</v>
      </c>
      <c r="AF498" s="30">
        <f>IFERROR(__xludf.DUMMYFUNCTION("""COMPUTED_VALUE"""),0.6811954962279694)</f>
        <v>0.6811954962</v>
      </c>
      <c r="AG498" s="30">
        <f>IFERROR(__xludf.DUMMYFUNCTION("""COMPUTED_VALUE"""),1.149931291518596)</f>
        <v>1.149931292</v>
      </c>
      <c r="AH498" s="30">
        <f>IFERROR(__xludf.DUMMYFUNCTION("""COMPUTED_VALUE"""),0.6954328996698274)</f>
        <v>0.6954328997</v>
      </c>
      <c r="AI498" s="30">
        <f>IFERROR(__xludf.DUMMYFUNCTION("""COMPUTED_VALUE"""),1.0082948026998118)</f>
        <v>1.008294803</v>
      </c>
      <c r="AJ498" s="30">
        <f>IFERROR(__xludf.DUMMYFUNCTION("""COMPUTED_VALUE"""),1.0365456895844138)</f>
        <v>1.03654569</v>
      </c>
      <c r="AK498" s="30">
        <f>IFERROR(__xludf.DUMMYFUNCTION("""COMPUTED_VALUE"""),1.0560099624177905)</f>
        <v>1.056009962</v>
      </c>
      <c r="AL498" s="30">
        <f>IFERROR(__xludf.DUMMYFUNCTION("""COMPUTED_VALUE"""),0.8989871293494521)</f>
        <v>0.8989871293</v>
      </c>
      <c r="AM498" s="30">
        <f>IFERROR(__xludf.DUMMYFUNCTION("""COMPUTED_VALUE"""),1.074535608780759)</f>
        <v>1.074535609</v>
      </c>
      <c r="AN498" s="30">
        <f>IFERROR(__xludf.DUMMYFUNCTION("""COMPUTED_VALUE"""),0.9181565592641531)</f>
        <v>0.9181565593</v>
      </c>
      <c r="AO498" s="30">
        <f>IFERROR(__xludf.DUMMYFUNCTION("""COMPUTED_VALUE"""),0.6566435969597981)</f>
        <v>0.656643597</v>
      </c>
      <c r="AP498" s="30">
        <f>IFERROR(__xludf.DUMMYFUNCTION("""COMPUTED_VALUE"""),0.6817410594392103)</f>
        <v>0.6817410594</v>
      </c>
      <c r="AQ498" s="30">
        <f>IFERROR(__xludf.DUMMYFUNCTION("""COMPUTED_VALUE"""),1.1735943749756712)</f>
        <v>1.173594375</v>
      </c>
      <c r="AR498" s="30">
        <f>IFERROR(__xludf.DUMMYFUNCTION("""COMPUTED_VALUE"""),0.6786086674622213)</f>
        <v>0.6786086675</v>
      </c>
      <c r="AS498" s="30">
        <f>IFERROR(__xludf.DUMMYFUNCTION("""COMPUTED_VALUE"""),75.0)</f>
        <v>75</v>
      </c>
      <c r="AT498" s="30">
        <f>IFERROR(__xludf.DUMMYFUNCTION("""COMPUTED_VALUE"""),0.3652687299132805)</f>
        <v>0.3652687299</v>
      </c>
      <c r="AU498" s="30">
        <f>IFERROR(__xludf.DUMMYFUNCTION("""COMPUTED_VALUE"""),1.5142518247541523)</f>
        <v>1.514251825</v>
      </c>
      <c r="AV498" s="32">
        <f>IFERROR(__xludf.DUMMYFUNCTION("""COMPUTED_VALUE"""),22.54070475284511)</f>
        <v>22.54070475</v>
      </c>
      <c r="AW498" s="32">
        <f>IFERROR(__xludf.DUMMYFUNCTION("""COMPUTED_VALUE"""),-7.351801464539678)</f>
        <v>-7.351801465</v>
      </c>
      <c r="AX498" s="32">
        <f>IFERROR(__xludf.DUMMYFUNCTION("""COMPUTED_VALUE"""),29.1168004861272)</f>
        <v>29.11680049</v>
      </c>
      <c r="AY498" s="32">
        <f>IFERROR(__xludf.DUMMYFUNCTION("""COMPUTED_VALUE"""),-4.956223322880738)</f>
        <v>-4.956223323</v>
      </c>
      <c r="AZ498" s="30">
        <f>IFERROR(__xludf.DUMMYFUNCTION("""COMPUTED_VALUE"""),2.39557814165894)</f>
        <v>2.395578142</v>
      </c>
      <c r="BA498" s="30">
        <f>IFERROR(__xludf.DUMMYFUNCTION("""COMPUTED_VALUE"""),1700.0)</f>
        <v>1700</v>
      </c>
    </row>
    <row r="499">
      <c r="A499" s="71" t="str">
        <f>IFERROR(__xludf.DUMMYFUNCTION("""COMPUTED_VALUE"""),"Rival")</f>
        <v>Rival</v>
      </c>
      <c r="B499" s="71" t="str">
        <f>IFERROR(__xludf.DUMMYFUNCTION("""COMPUTED_VALUE"""),"RSC006910")</f>
        <v>RSC006910</v>
      </c>
      <c r="C499" s="30" t="str">
        <f>IFERROR(__xludf.DUMMYFUNCTION("""COMPUTED_VALUE"""),"Swanny2.0")</f>
        <v>Swanny2.0</v>
      </c>
      <c r="D499" s="30" t="str">
        <f>IFERROR(__xludf.DUMMYFUNCTION("""COMPUTED_VALUE"""),"Hue Heroes")</f>
        <v>Hue Heroes</v>
      </c>
      <c r="E499" s="30">
        <f>IFERROR(__xludf.DUMMYFUNCTION("""COMPUTED_VALUE"""),21.0)</f>
        <v>21</v>
      </c>
      <c r="F499" s="30">
        <f>IFERROR(__xludf.DUMMYFUNCTION("""COMPUTED_VALUE"""),5.0)</f>
        <v>5</v>
      </c>
      <c r="G499" s="42">
        <f>IFERROR(__xludf.DUMMYFUNCTION("""COMPUTED_VALUE"""),16.0)</f>
        <v>16</v>
      </c>
      <c r="H499" s="42">
        <f>IFERROR(__xludf.DUMMYFUNCTION("""COMPUTED_VALUE"""),0.23809523809523808)</f>
        <v>0.2380952381</v>
      </c>
      <c r="I499" s="42">
        <f>IFERROR(__xludf.DUMMYFUNCTION("""COMPUTED_VALUE"""),0.393939393939394)</f>
        <v>0.3939393939</v>
      </c>
      <c r="J499" s="30">
        <f>IFERROR(__xludf.DUMMYFUNCTION("""COMPUTED_VALUE"""),277.9047619047619)</f>
        <v>277.9047619</v>
      </c>
      <c r="K499" s="30">
        <f>IFERROR(__xludf.DUMMYFUNCTION("""COMPUTED_VALUE"""),0.6190476190476191)</f>
        <v>0.619047619</v>
      </c>
      <c r="L499" s="30">
        <f>IFERROR(__xludf.DUMMYFUNCTION("""COMPUTED_VALUE"""),0.2857142857142857)</f>
        <v>0.2857142857</v>
      </c>
      <c r="M499" s="30">
        <f>IFERROR(__xludf.DUMMYFUNCTION("""COMPUTED_VALUE"""),1.2380952380952381)</f>
        <v>1.238095238</v>
      </c>
      <c r="N499" s="30">
        <f>IFERROR(__xludf.DUMMYFUNCTION("""COMPUTED_VALUE"""),1.5714285714285714)</f>
        <v>1.571428571</v>
      </c>
      <c r="O499" s="30">
        <f>IFERROR(__xludf.DUMMYFUNCTION("""COMPUTED_VALUE"""),375.25396825396825)</f>
        <v>375.2539683</v>
      </c>
      <c r="P499" s="30">
        <f>IFERROR(__xludf.DUMMYFUNCTION("""COMPUTED_VALUE"""),1.126984126984127)</f>
        <v>1.126984127</v>
      </c>
      <c r="Q499" s="30">
        <f>IFERROR(__xludf.DUMMYFUNCTION("""COMPUTED_VALUE"""),0.7936507936507938)</f>
        <v>0.7936507937</v>
      </c>
      <c r="R499" s="30">
        <f>IFERROR(__xludf.DUMMYFUNCTION("""COMPUTED_VALUE"""),0.9523809523809522)</f>
        <v>0.9523809524</v>
      </c>
      <c r="S499" s="30">
        <f>IFERROR(__xludf.DUMMYFUNCTION("""COMPUTED_VALUE"""),2.6666666666666665)</f>
        <v>2.666666667</v>
      </c>
      <c r="T499" s="30">
        <f>IFERROR(__xludf.DUMMYFUNCTION("""COMPUTED_VALUE"""),366.9723372959296)</f>
        <v>366.9723373</v>
      </c>
      <c r="U499" s="30">
        <f>IFERROR(__xludf.DUMMYFUNCTION("""COMPUTED_VALUE"""),0.9182678851534527)</f>
        <v>0.9182678852</v>
      </c>
      <c r="V499" s="30">
        <f>IFERROR(__xludf.DUMMYFUNCTION("""COMPUTED_VALUE"""),0.7028288200896826)</f>
        <v>0.7028288201</v>
      </c>
      <c r="W499" s="30">
        <f>IFERROR(__xludf.DUMMYFUNCTION("""COMPUTED_VALUE"""),1.2179542840220137)</f>
        <v>1.217954284</v>
      </c>
      <c r="X499" s="30">
        <f>IFERROR(__xludf.DUMMYFUNCTION("""COMPUTED_VALUE"""),2.76758213389093)</f>
        <v>2.767582134</v>
      </c>
      <c r="Y499" s="30">
        <f>IFERROR(__xludf.DUMMYFUNCTION("""COMPUTED_VALUE"""),333.14184395622294)</f>
        <v>333.141844</v>
      </c>
      <c r="Z499" s="30">
        <f>IFERROR(__xludf.DUMMYFUNCTION("""COMPUTED_VALUE"""),0.6922740780652257)</f>
        <v>0.6922740781</v>
      </c>
      <c r="AA499" s="30">
        <f>IFERROR(__xludf.DUMMYFUNCTION("""COMPUTED_VALUE"""),0.49513665675998386)</f>
        <v>0.4951366568</v>
      </c>
      <c r="AB499" s="30">
        <f>IFERROR(__xludf.DUMMYFUNCTION("""COMPUTED_VALUE"""),1.3727022673742781)</f>
        <v>1.372702267</v>
      </c>
      <c r="AC499" s="30">
        <f>IFERROR(__xludf.DUMMYFUNCTION("""COMPUTED_VALUE"""),2.370729239039127)</f>
        <v>2.370729239</v>
      </c>
      <c r="AD499" s="30">
        <f>IFERROR(__xludf.DUMMYFUNCTION("""COMPUTED_VALUE"""),0.8341935032972936)</f>
        <v>0.8341935033</v>
      </c>
      <c r="AE499" s="30">
        <f>IFERROR(__xludf.DUMMYFUNCTION("""COMPUTED_VALUE"""),0.8942233122143464)</f>
        <v>0.8942233122</v>
      </c>
      <c r="AF499" s="30">
        <f>IFERROR(__xludf.DUMMYFUNCTION("""COMPUTED_VALUE"""),0.5770412709572116)</f>
        <v>0.577041271</v>
      </c>
      <c r="AG499" s="30">
        <f>IFERROR(__xludf.DUMMYFUNCTION("""COMPUTED_VALUE"""),0.9019401129594417)</f>
        <v>0.901940113</v>
      </c>
      <c r="AH499" s="30">
        <f>IFERROR(__xludf.DUMMYFUNCTION("""COMPUTED_VALUE"""),0.6628460751871784)</f>
        <v>0.6628460752</v>
      </c>
      <c r="AI499" s="30">
        <f>IFERROR(__xludf.DUMMYFUNCTION("""COMPUTED_VALUE"""),1.0225674529558892)</f>
        <v>1.022567453</v>
      </c>
      <c r="AJ499" s="30">
        <f>IFERROR(__xludf.DUMMYFUNCTION("""COMPUTED_VALUE"""),1.2272934131806161)</f>
        <v>1.227293413</v>
      </c>
      <c r="AK499" s="30">
        <f>IFERROR(__xludf.DUMMYFUNCTION("""COMPUTED_VALUE"""),1.1292234623354263)</f>
        <v>1.129223462</v>
      </c>
      <c r="AL499" s="30">
        <f>IFERROR(__xludf.DUMMYFUNCTION("""COMPUTED_VALUE"""),0.7819513136699461)</f>
        <v>0.7819513137</v>
      </c>
      <c r="AM499" s="30">
        <f>IFERROR(__xludf.DUMMYFUNCTION("""COMPUTED_VALUE"""),0.9635365953593628)</f>
        <v>0.9635365954</v>
      </c>
      <c r="AN499" s="30">
        <f>IFERROR(__xludf.DUMMYFUNCTION("""COMPUTED_VALUE"""),0.8195923985750949)</f>
        <v>0.8195923986</v>
      </c>
      <c r="AO499" s="30">
        <f>IFERROR(__xludf.DUMMYFUNCTION("""COMPUTED_VALUE"""),0.832344151248361)</f>
        <v>0.8323441512</v>
      </c>
      <c r="AP499" s="30">
        <f>IFERROR(__xludf.DUMMYFUNCTION("""COMPUTED_VALUE"""),0.5234797420693935)</f>
        <v>0.5234797421</v>
      </c>
      <c r="AQ499" s="30">
        <f>IFERROR(__xludf.DUMMYFUNCTION("""COMPUTED_VALUE"""),0.946665592512843)</f>
        <v>0.9466655925</v>
      </c>
      <c r="AR499" s="30">
        <f>IFERROR(__xludf.DUMMYFUNCTION("""COMPUTED_VALUE"""),0.6281446178270659)</f>
        <v>0.6281446178</v>
      </c>
      <c r="AS499" s="30">
        <f>IFERROR(__xludf.DUMMYFUNCTION("""COMPUTED_VALUE"""),40.0)</f>
        <v>40</v>
      </c>
      <c r="AT499" s="30">
        <f>IFERROR(__xludf.DUMMYFUNCTION("""COMPUTED_VALUE"""),0.28387529086754076)</f>
        <v>0.2838752909</v>
      </c>
      <c r="AU499" s="30">
        <f>IFERROR(__xludf.DUMMYFUNCTION("""COMPUTED_VALUE"""),1.4681678065509807)</f>
        <v>1.468167807</v>
      </c>
      <c r="AV499" s="32">
        <f>IFERROR(__xludf.DUMMYFUNCTION("""COMPUTED_VALUE"""),21.221320467774763)</f>
        <v>21.22132047</v>
      </c>
      <c r="AW499" s="32">
        <f>IFERROR(__xludf.DUMMYFUNCTION("""COMPUTED_VALUE"""),-8.010519720747112)</f>
        <v>-8.010519721</v>
      </c>
      <c r="AX499" s="32">
        <f>IFERROR(__xludf.DUMMYFUNCTION("""COMPUTED_VALUE"""),26.850280314204667)</f>
        <v>26.85028031</v>
      </c>
      <c r="AY499" s="32">
        <f>IFERROR(__xludf.DUMMYFUNCTION("""COMPUTED_VALUE"""),-5.642516017132952)</f>
        <v>-5.642516017</v>
      </c>
      <c r="AZ499" s="30">
        <f>IFERROR(__xludf.DUMMYFUNCTION("""COMPUTED_VALUE"""),2.3680037036141606)</f>
        <v>2.368003704</v>
      </c>
      <c r="BA499" s="30">
        <f>IFERROR(__xludf.DUMMYFUNCTION("""COMPUTED_VALUE"""),1700.0)</f>
        <v>1700</v>
      </c>
    </row>
    <row r="500">
      <c r="A500" s="71" t="str">
        <f>IFERROR(__xludf.DUMMYFUNCTION("""COMPUTED_VALUE"""),"Rival")</f>
        <v>Rival</v>
      </c>
      <c r="B500" s="71" t="str">
        <f>IFERROR(__xludf.DUMMYFUNCTION("""COMPUTED_VALUE"""),"RSC003186")</f>
        <v>RSC003186</v>
      </c>
      <c r="C500" s="30" t="str">
        <f>IFERROR(__xludf.DUMMYFUNCTION("""COMPUTED_VALUE"""),"xBlaniac")</f>
        <v>xBlaniac</v>
      </c>
      <c r="D500" s="30" t="str">
        <f>IFERROR(__xludf.DUMMYFUNCTION("""COMPUTED_VALUE"""),"Dracos")</f>
        <v>Dracos</v>
      </c>
      <c r="E500" s="30">
        <f>IFERROR(__xludf.DUMMYFUNCTION("""COMPUTED_VALUE"""),30.0)</f>
        <v>30</v>
      </c>
      <c r="F500" s="30">
        <f>IFERROR(__xludf.DUMMYFUNCTION("""COMPUTED_VALUE"""),11.0)</f>
        <v>11</v>
      </c>
      <c r="G500" s="42">
        <f>IFERROR(__xludf.DUMMYFUNCTION("""COMPUTED_VALUE"""),19.0)</f>
        <v>19</v>
      </c>
      <c r="H500" s="42">
        <f>IFERROR(__xludf.DUMMYFUNCTION("""COMPUTED_VALUE"""),0.36666666666666664)</f>
        <v>0.3666666667</v>
      </c>
      <c r="I500" s="42">
        <f>IFERROR(__xludf.DUMMYFUNCTION("""COMPUTED_VALUE"""),0.2833333333333333)</f>
        <v>0.2833333333</v>
      </c>
      <c r="J500" s="30">
        <f>IFERROR(__xludf.DUMMYFUNCTION("""COMPUTED_VALUE"""),279.46666666666664)</f>
        <v>279.4666667</v>
      </c>
      <c r="K500" s="30">
        <f>IFERROR(__xludf.DUMMYFUNCTION("""COMPUTED_VALUE"""),0.5666666666666667)</f>
        <v>0.5666666667</v>
      </c>
      <c r="L500" s="30">
        <f>IFERROR(__xludf.DUMMYFUNCTION("""COMPUTED_VALUE"""),0.6333333333333333)</f>
        <v>0.6333333333</v>
      </c>
      <c r="M500" s="30">
        <f>IFERROR(__xludf.DUMMYFUNCTION("""COMPUTED_VALUE"""),0.9666666666666667)</f>
        <v>0.9666666667</v>
      </c>
      <c r="N500" s="30">
        <f>IFERROR(__xludf.DUMMYFUNCTION("""COMPUTED_VALUE"""),2.0)</f>
        <v>2</v>
      </c>
      <c r="O500" s="30">
        <f>IFERROR(__xludf.DUMMYFUNCTION("""COMPUTED_VALUE"""),377.1444444444444)</f>
        <v>377.1444444</v>
      </c>
      <c r="P500" s="30">
        <f>IFERROR(__xludf.DUMMYFUNCTION("""COMPUTED_VALUE"""),0.9888888888888887)</f>
        <v>0.9888888889</v>
      </c>
      <c r="Q500" s="30">
        <f>IFERROR(__xludf.DUMMYFUNCTION("""COMPUTED_VALUE"""),0.6555555555555556)</f>
        <v>0.6555555556</v>
      </c>
      <c r="R500" s="30">
        <f>IFERROR(__xludf.DUMMYFUNCTION("""COMPUTED_VALUE"""),1.2444444444444445)</f>
        <v>1.244444444</v>
      </c>
      <c r="S500" s="30">
        <f>IFERROR(__xludf.DUMMYFUNCTION("""COMPUTED_VALUE"""),2.8666666666666663)</f>
        <v>2.866666667</v>
      </c>
      <c r="T500" s="30">
        <f>IFERROR(__xludf.DUMMYFUNCTION("""COMPUTED_VALUE"""),364.2590238653005)</f>
        <v>364.2590239</v>
      </c>
      <c r="U500" s="30">
        <f>IFERROR(__xludf.DUMMYFUNCTION("""COMPUTED_VALUE"""),0.8498441983139444)</f>
        <v>0.8498441983</v>
      </c>
      <c r="V500" s="30">
        <f>IFERROR(__xludf.DUMMYFUNCTION("""COMPUTED_VALUE"""),0.6181024178472206)</f>
        <v>0.6181024178</v>
      </c>
      <c r="W500" s="30">
        <f>IFERROR(__xludf.DUMMYFUNCTION("""COMPUTED_VALUE"""),1.3202739863851347)</f>
        <v>1.320273986</v>
      </c>
      <c r="X500" s="30">
        <f>IFERROR(__xludf.DUMMYFUNCTION("""COMPUTED_VALUE"""),2.7496659596988198)</f>
        <v>2.74966596</v>
      </c>
      <c r="Y500" s="30">
        <f>IFERROR(__xludf.DUMMYFUNCTION("""COMPUTED_VALUE"""),349.3770074989388)</f>
        <v>349.3770075</v>
      </c>
      <c r="Z500" s="30">
        <f>IFERROR(__xludf.DUMMYFUNCTION("""COMPUTED_VALUE"""),0.7913053820111348)</f>
        <v>0.791305382</v>
      </c>
      <c r="AA500" s="30">
        <f>IFERROR(__xludf.DUMMYFUNCTION("""COMPUTED_VALUE"""),0.5550802231037896)</f>
        <v>0.5550802231</v>
      </c>
      <c r="AB500" s="30">
        <f>IFERROR(__xludf.DUMMYFUNCTION("""COMPUTED_VALUE"""),1.3136335745074412)</f>
        <v>1.313633575</v>
      </c>
      <c r="AC500" s="30">
        <f>IFERROR(__xludf.DUMMYFUNCTION("""COMPUTED_VALUE"""),2.5458736596006144)</f>
        <v>2.54587366</v>
      </c>
      <c r="AD500" s="30">
        <f>IFERROR(__xludf.DUMMYFUNCTION("""COMPUTED_VALUE"""),0.7998999953295882)</f>
        <v>0.7998999953</v>
      </c>
      <c r="AE500" s="30">
        <f>IFERROR(__xludf.DUMMYFUNCTION("""COMPUTED_VALUE"""),0.716116280198247)</f>
        <v>0.7161162802</v>
      </c>
      <c r="AF500" s="30">
        <f>IFERROR(__xludf.DUMMYFUNCTION("""COMPUTED_VALUE"""),1.1409762174411173)</f>
        <v>1.140976217</v>
      </c>
      <c r="AG500" s="30">
        <f>IFERROR(__xludf.DUMMYFUNCTION("""COMPUTED_VALUE"""),0.7358723813291138)</f>
        <v>0.7358723813</v>
      </c>
      <c r="AH500" s="30">
        <f>IFERROR(__xludf.DUMMYFUNCTION("""COMPUTED_VALUE"""),0.785584937594174)</f>
        <v>0.7855849376</v>
      </c>
      <c r="AI500" s="30">
        <f>IFERROR(__xludf.DUMMYFUNCTION("""COMPUTED_VALUE"""),1.0353743345666813)</f>
        <v>1.035374335</v>
      </c>
      <c r="AJ500" s="30">
        <f>IFERROR(__xludf.DUMMYFUNCTION("""COMPUTED_VALUE"""),1.1636119783494472)</f>
        <v>1.163611978</v>
      </c>
      <c r="AK500" s="30">
        <f>IFERROR(__xludf.DUMMYFUNCTION("""COMPUTED_VALUE"""),1.0605937408217556)</f>
        <v>1.060593741</v>
      </c>
      <c r="AL500" s="30">
        <f>IFERROR(__xludf.DUMMYFUNCTION("""COMPUTED_VALUE"""),0.9425652987768781)</f>
        <v>0.9425652988</v>
      </c>
      <c r="AM500" s="30">
        <f>IFERROR(__xludf.DUMMYFUNCTION("""COMPUTED_VALUE"""),1.0425508802460726)</f>
        <v>1.04255088</v>
      </c>
      <c r="AN500" s="30">
        <f>IFERROR(__xludf.DUMMYFUNCTION("""COMPUTED_VALUE"""),0.8241987437898417)</f>
        <v>0.8241987438</v>
      </c>
      <c r="AO500" s="30">
        <f>IFERROR(__xludf.DUMMYFUNCTION("""COMPUTED_VALUE"""),0.761915030758115)</f>
        <v>0.7619150308</v>
      </c>
      <c r="AP500" s="30">
        <f>IFERROR(__xludf.DUMMYFUNCTION("""COMPUTED_VALUE"""),1.160380094920489)</f>
        <v>1.160380095</v>
      </c>
      <c r="AQ500" s="30">
        <f>IFERROR(__xludf.DUMMYFUNCTION("""COMPUTED_VALUE"""),0.7391273664619504)</f>
        <v>0.7391273665</v>
      </c>
      <c r="AR500" s="30">
        <f>IFERROR(__xludf.DUMMYFUNCTION("""COMPUTED_VALUE"""),0.7994567863253565)</f>
        <v>0.7994567863</v>
      </c>
      <c r="AS500" s="30">
        <f>IFERROR(__xludf.DUMMYFUNCTION("""COMPUTED_VALUE"""),65.0)</f>
        <v>65</v>
      </c>
      <c r="AT500" s="30">
        <f>IFERROR(__xludf.DUMMYFUNCTION("""COMPUTED_VALUE"""),0.37694719182629677)</f>
        <v>0.3769471918</v>
      </c>
      <c r="AU500" s="30">
        <f>IFERROR(__xludf.DUMMYFUNCTION("""COMPUTED_VALUE"""),1.9092512026490012)</f>
        <v>1.909251203</v>
      </c>
      <c r="AV500" s="32">
        <f>IFERROR(__xludf.DUMMYFUNCTION("""COMPUTED_VALUE"""),33.849527032824994)</f>
        <v>33.84952703</v>
      </c>
      <c r="AW500" s="32">
        <f>IFERROR(__xludf.DUMMYFUNCTION("""COMPUTED_VALUE"""),-3.859013985447421)</f>
        <v>-3.859013985</v>
      </c>
      <c r="AX500" s="32">
        <f>IFERROR(__xludf.DUMMYFUNCTION("""COMPUTED_VALUE"""),25.52133742085391)</f>
        <v>25.52133742</v>
      </c>
      <c r="AY500" s="32">
        <f>IFERROR(__xludf.DUMMYFUNCTION("""COMPUTED_VALUE"""),-6.1067285699612075)</f>
        <v>-6.10672857</v>
      </c>
      <c r="AZ500" s="30">
        <f>IFERROR(__xludf.DUMMYFUNCTION("""COMPUTED_VALUE"""),2.2477145845137865)</f>
        <v>2.247714585</v>
      </c>
      <c r="BA500" s="30">
        <f>IFERROR(__xludf.DUMMYFUNCTION("""COMPUTED_VALUE"""),1700.0)</f>
        <v>1700</v>
      </c>
    </row>
    <row r="501">
      <c r="A501" s="71" t="str">
        <f>IFERROR(__xludf.DUMMYFUNCTION("""COMPUTED_VALUE"""),"Rival")</f>
        <v>Rival</v>
      </c>
      <c r="B501" s="71" t="str">
        <f>IFERROR(__xludf.DUMMYFUNCTION("""COMPUTED_VALUE"""),"RSC006938")</f>
        <v>RSC006938</v>
      </c>
      <c r="C501" s="30" t="str">
        <f>IFERROR(__xludf.DUMMYFUNCTION("""COMPUTED_VALUE"""),"Soda. .")</f>
        <v>Soda. .</v>
      </c>
      <c r="D501" s="30" t="str">
        <f>IFERROR(__xludf.DUMMYFUNCTION("""COMPUTED_VALUE"""),"Cursed")</f>
        <v>Cursed</v>
      </c>
      <c r="E501" s="30">
        <f>IFERROR(__xludf.DUMMYFUNCTION("""COMPUTED_VALUE"""),48.0)</f>
        <v>48</v>
      </c>
      <c r="F501" s="30">
        <f>IFERROR(__xludf.DUMMYFUNCTION("""COMPUTED_VALUE"""),32.0)</f>
        <v>32</v>
      </c>
      <c r="G501" s="42">
        <f>IFERROR(__xludf.DUMMYFUNCTION("""COMPUTED_VALUE"""),16.0)</f>
        <v>16</v>
      </c>
      <c r="H501" s="42">
        <f>IFERROR(__xludf.DUMMYFUNCTION("""COMPUTED_VALUE"""),0.6666666666666666)</f>
        <v>0.6666666667</v>
      </c>
      <c r="I501" s="42">
        <f>IFERROR(__xludf.DUMMYFUNCTION("""COMPUTED_VALUE"""),0.3404255319148936)</f>
        <v>0.3404255319</v>
      </c>
      <c r="J501" s="30">
        <f>IFERROR(__xludf.DUMMYFUNCTION("""COMPUTED_VALUE"""),357.1666666666667)</f>
        <v>357.1666667</v>
      </c>
      <c r="K501" s="30">
        <f>IFERROR(__xludf.DUMMYFUNCTION("""COMPUTED_VALUE"""),1.0)</f>
        <v>1</v>
      </c>
      <c r="L501" s="30">
        <f>IFERROR(__xludf.DUMMYFUNCTION("""COMPUTED_VALUE"""),0.4583333333333333)</f>
        <v>0.4583333333</v>
      </c>
      <c r="M501" s="30">
        <f>IFERROR(__xludf.DUMMYFUNCTION("""COMPUTED_VALUE"""),1.2083333333333333)</f>
        <v>1.208333333</v>
      </c>
      <c r="N501" s="30">
        <f>IFERROR(__xludf.DUMMYFUNCTION("""COMPUTED_VALUE"""),2.9375)</f>
        <v>2.9375</v>
      </c>
      <c r="O501" s="30">
        <f>IFERROR(__xludf.DUMMYFUNCTION("""COMPUTED_VALUE"""),329.09722222222223)</f>
        <v>329.0972222</v>
      </c>
      <c r="P501" s="30">
        <f>IFERROR(__xludf.DUMMYFUNCTION("""COMPUTED_VALUE"""),0.611111111111111)</f>
        <v>0.6111111111</v>
      </c>
      <c r="Q501" s="30">
        <f>IFERROR(__xludf.DUMMYFUNCTION("""COMPUTED_VALUE"""),0.45138888888888884)</f>
        <v>0.4513888889</v>
      </c>
      <c r="R501" s="30">
        <f>IFERROR(__xludf.DUMMYFUNCTION("""COMPUTED_VALUE"""),1.4166666666666663)</f>
        <v>1.416666667</v>
      </c>
      <c r="S501" s="30">
        <f>IFERROR(__xludf.DUMMYFUNCTION("""COMPUTED_VALUE"""),2.3680555555555554)</f>
        <v>2.368055556</v>
      </c>
      <c r="T501" s="30">
        <f>IFERROR(__xludf.DUMMYFUNCTION("""COMPUTED_VALUE"""),353.7926791864886)</f>
        <v>353.7926792</v>
      </c>
      <c r="U501" s="30">
        <f>IFERROR(__xludf.DUMMYFUNCTION("""COMPUTED_VALUE"""),0.7879360361520665)</f>
        <v>0.7879360362</v>
      </c>
      <c r="V501" s="30">
        <f>IFERROR(__xludf.DUMMYFUNCTION("""COMPUTED_VALUE"""),0.5911942182685163)</f>
        <v>0.5911942183</v>
      </c>
      <c r="W501" s="30">
        <f>IFERROR(__xludf.DUMMYFUNCTION("""COMPUTED_VALUE"""),1.3436541438861402)</f>
        <v>1.343654144</v>
      </c>
      <c r="X501" s="30">
        <f>IFERROR(__xludf.DUMMYFUNCTION("""COMPUTED_VALUE"""),2.5847118799272497)</f>
        <v>2.58471188</v>
      </c>
      <c r="Y501" s="30">
        <f>IFERROR(__xludf.DUMMYFUNCTION("""COMPUTED_VALUE"""),350.9929923553593)</f>
        <v>350.9929924</v>
      </c>
      <c r="Z501" s="30">
        <f>IFERROR(__xludf.DUMMYFUNCTION("""COMPUTED_VALUE"""),0.8108053901232837)</f>
        <v>0.8108053901</v>
      </c>
      <c r="AA501" s="30">
        <f>IFERROR(__xludf.DUMMYFUNCTION("""COMPUTED_VALUE"""),0.5666236361812251)</f>
        <v>0.5666236362</v>
      </c>
      <c r="AB501" s="30">
        <f>IFERROR(__xludf.DUMMYFUNCTION("""COMPUTED_VALUE"""),1.3096615619216687)</f>
        <v>1.309661562</v>
      </c>
      <c r="AC501" s="30">
        <f>IFERROR(__xludf.DUMMYFUNCTION("""COMPUTED_VALUE"""),2.6197658659854866)</f>
        <v>2.619765866</v>
      </c>
      <c r="AD501" s="30">
        <f>IFERROR(__xludf.DUMMYFUNCTION("""COMPUTED_VALUE"""),1.0175891668659212)</f>
        <v>1.017589167</v>
      </c>
      <c r="AE501" s="30">
        <f>IFERROR(__xludf.DUMMYFUNCTION("""COMPUTED_VALUE"""),1.2333415788564863)</f>
        <v>1.233341579</v>
      </c>
      <c r="AF501" s="30">
        <f>IFERROR(__xludf.DUMMYFUNCTION("""COMPUTED_VALUE"""),0.8088849530215203)</f>
        <v>0.808884953</v>
      </c>
      <c r="AG501" s="30">
        <f>IFERROR(__xludf.DUMMYFUNCTION("""COMPUTED_VALUE"""),0.9226302187263888)</f>
        <v>0.9226302187</v>
      </c>
      <c r="AH501" s="30">
        <f>IFERROR(__xludf.DUMMYFUNCTION("""COMPUTED_VALUE"""),1.12128340862056)</f>
        <v>1.121283409</v>
      </c>
      <c r="AI501" s="30">
        <f>IFERROR(__xludf.DUMMYFUNCTION("""COMPUTED_VALUE"""),0.9301979424191277)</f>
        <v>0.9301979424</v>
      </c>
      <c r="AJ501" s="30">
        <f>IFERROR(__xludf.DUMMYFUNCTION("""COMPUTED_VALUE"""),0.7755846706739157)</f>
        <v>0.7755846707</v>
      </c>
      <c r="AK501" s="30">
        <f>IFERROR(__xludf.DUMMYFUNCTION("""COMPUTED_VALUE"""),0.7635204725291667)</f>
        <v>0.7635204725</v>
      </c>
      <c r="AL501" s="30">
        <f>IFERROR(__xludf.DUMMYFUNCTION("""COMPUTED_VALUE"""),1.0543387769187076)</f>
        <v>1.054338777</v>
      </c>
      <c r="AM501" s="30">
        <f>IFERROR(__xludf.DUMMYFUNCTION("""COMPUTED_VALUE"""),0.9161777658646455)</f>
        <v>0.9161777659</v>
      </c>
      <c r="AN501" s="30">
        <f>IFERROR(__xludf.DUMMYFUNCTION("""COMPUTED_VALUE"""),1.053350374488091)</f>
        <v>1.053350374</v>
      </c>
      <c r="AO501" s="30">
        <f>IFERROR(__xludf.DUMMYFUNCTION("""COMPUTED_VALUE"""),1.3445559366319677)</f>
        <v>1.344555937</v>
      </c>
      <c r="AP501" s="30">
        <f>IFERROR(__xludf.DUMMYFUNCTION("""COMPUTED_VALUE"""),0.8397487529029856)</f>
        <v>0.8397487529</v>
      </c>
      <c r="AQ501" s="30">
        <f>IFERROR(__xludf.DUMMYFUNCTION("""COMPUTED_VALUE"""),0.923909208077438)</f>
        <v>0.9239092081</v>
      </c>
      <c r="AR501" s="30">
        <f>IFERROR(__xludf.DUMMYFUNCTION("""COMPUTED_VALUE"""),1.1742021549153676)</f>
        <v>1.174202155</v>
      </c>
      <c r="AS501" s="30">
        <f>IFERROR(__xludf.DUMMYFUNCTION("""COMPUTED_VALUE"""),128.0)</f>
        <v>128</v>
      </c>
      <c r="AT501" s="30">
        <f>IFERROR(__xludf.DUMMYFUNCTION("""COMPUTED_VALUE"""),0.6403683331218046)</f>
        <v>0.6403683331</v>
      </c>
      <c r="AU501" s="30">
        <f>IFERROR(__xludf.DUMMYFUNCTION("""COMPUTED_VALUE"""),3.139745765923455)</f>
        <v>3.139745766</v>
      </c>
      <c r="AV501" s="32">
        <f>IFERROR(__xludf.DUMMYFUNCTION("""COMPUTED_VALUE"""),69.07855551057779)</f>
        <v>69.07855551</v>
      </c>
      <c r="AW501" s="32">
        <f>IFERROR(__xludf.DUMMYFUNCTION("""COMPUTED_VALUE"""),4.490561685397949)</f>
        <v>4.490561685</v>
      </c>
      <c r="AX501" s="32">
        <f>IFERROR(__xludf.DUMMYFUNCTION("""COMPUTED_VALUE"""),53.460593204574)</f>
        <v>53.4605932</v>
      </c>
      <c r="AY501" s="32">
        <f>IFERROR(__xludf.DUMMYFUNCTION("""COMPUTED_VALUE"""),2.2474295287819617)</f>
        <v>2.247429529</v>
      </c>
      <c r="AZ501" s="30">
        <f>IFERROR(__xludf.DUMMYFUNCTION("""COMPUTED_VALUE"""),2.243132156615987)</f>
        <v>2.243132157</v>
      </c>
      <c r="BA501" s="30">
        <f>IFERROR(__xludf.DUMMYFUNCTION("""COMPUTED_VALUE"""),1700.0)</f>
        <v>1700</v>
      </c>
    </row>
    <row r="502">
      <c r="A502" s="71" t="str">
        <f>IFERROR(__xludf.DUMMYFUNCTION("""COMPUTED_VALUE"""),"Rival")</f>
        <v>Rival</v>
      </c>
      <c r="B502" s="71" t="str">
        <f>IFERROR(__xludf.DUMMYFUNCTION("""COMPUTED_VALUE"""),"RSC003900")</f>
        <v>RSC003900</v>
      </c>
      <c r="C502" s="30" t="str">
        <f>IFERROR(__xludf.DUMMYFUNCTION("""COMPUTED_VALUE"""),"Tryhard goblin")</f>
        <v>Tryhard goblin</v>
      </c>
      <c r="D502" s="30" t="str">
        <f>IFERROR(__xludf.DUMMYFUNCTION("""COMPUTED_VALUE"""),"Phantoms")</f>
        <v>Phantoms</v>
      </c>
      <c r="E502" s="30">
        <f>IFERROR(__xludf.DUMMYFUNCTION("""COMPUTED_VALUE"""),23.0)</f>
        <v>23</v>
      </c>
      <c r="F502" s="30">
        <f>IFERROR(__xludf.DUMMYFUNCTION("""COMPUTED_VALUE"""),6.0)</f>
        <v>6</v>
      </c>
      <c r="G502" s="42">
        <f>IFERROR(__xludf.DUMMYFUNCTION("""COMPUTED_VALUE"""),17.0)</f>
        <v>17</v>
      </c>
      <c r="H502" s="42">
        <f>IFERROR(__xludf.DUMMYFUNCTION("""COMPUTED_VALUE"""),0.2608695652173913)</f>
        <v>0.2608695652</v>
      </c>
      <c r="I502" s="42">
        <f>IFERROR(__xludf.DUMMYFUNCTION("""COMPUTED_VALUE"""),0.27906976744186046)</f>
        <v>0.2790697674</v>
      </c>
      <c r="J502" s="30">
        <f>IFERROR(__xludf.DUMMYFUNCTION("""COMPUTED_VALUE"""),289.7826086956522)</f>
        <v>289.7826087</v>
      </c>
      <c r="K502" s="30">
        <f>IFERROR(__xludf.DUMMYFUNCTION("""COMPUTED_VALUE"""),0.5217391304347826)</f>
        <v>0.5217391304</v>
      </c>
      <c r="L502" s="30">
        <f>IFERROR(__xludf.DUMMYFUNCTION("""COMPUTED_VALUE"""),0.2608695652173913)</f>
        <v>0.2608695652</v>
      </c>
      <c r="M502" s="30">
        <f>IFERROR(__xludf.DUMMYFUNCTION("""COMPUTED_VALUE"""),1.2608695652173914)</f>
        <v>1.260869565</v>
      </c>
      <c r="N502" s="30">
        <f>IFERROR(__xludf.DUMMYFUNCTION("""COMPUTED_VALUE"""),1.8695652173913044)</f>
        <v>1.869565217</v>
      </c>
      <c r="O502" s="30">
        <f>IFERROR(__xludf.DUMMYFUNCTION("""COMPUTED_VALUE"""),379.9420289855072)</f>
        <v>379.942029</v>
      </c>
      <c r="P502" s="30">
        <f>IFERROR(__xludf.DUMMYFUNCTION("""COMPUTED_VALUE"""),1.0144927536231882)</f>
        <v>1.014492754</v>
      </c>
      <c r="Q502" s="30">
        <f>IFERROR(__xludf.DUMMYFUNCTION("""COMPUTED_VALUE"""),0.7246376811594203)</f>
        <v>0.7246376812</v>
      </c>
      <c r="R502" s="30">
        <f>IFERROR(__xludf.DUMMYFUNCTION("""COMPUTED_VALUE"""),1.1594202898550723)</f>
        <v>1.15942029</v>
      </c>
      <c r="S502" s="30">
        <f>IFERROR(__xludf.DUMMYFUNCTION("""COMPUTED_VALUE"""),3.0869565217391313)</f>
        <v>3.086956522</v>
      </c>
      <c r="T502" s="30">
        <f>IFERROR(__xludf.DUMMYFUNCTION("""COMPUTED_VALUE"""),359.60935493057207)</f>
        <v>359.6093549</v>
      </c>
      <c r="U502" s="30">
        <f>IFERROR(__xludf.DUMMYFUNCTION("""COMPUTED_VALUE"""),0.8485395170128787)</f>
        <v>0.848539517</v>
      </c>
      <c r="V502" s="30">
        <f>IFERROR(__xludf.DUMMYFUNCTION("""COMPUTED_VALUE"""),0.5847762510095728)</f>
        <v>0.584776251</v>
      </c>
      <c r="W502" s="30">
        <f>IFERROR(__xludf.DUMMYFUNCTION("""COMPUTED_VALUE"""),1.3509774422143825)</f>
        <v>1.350977442</v>
      </c>
      <c r="X502" s="30">
        <f>IFERROR(__xludf.DUMMYFUNCTION("""COMPUTED_VALUE"""),2.750093543192224)</f>
        <v>2.750093543</v>
      </c>
      <c r="Y502" s="30">
        <f>IFERROR(__xludf.DUMMYFUNCTION("""COMPUTED_VALUE"""),348.4877568191183)</f>
        <v>348.4877568</v>
      </c>
      <c r="Z502" s="30">
        <f>IFERROR(__xludf.DUMMYFUNCTION("""COMPUTED_VALUE"""),0.7739122642816024)</f>
        <v>0.7739122643</v>
      </c>
      <c r="AA502" s="30">
        <f>IFERROR(__xludf.DUMMYFUNCTION("""COMPUTED_VALUE"""),0.5558965336365095)</f>
        <v>0.5558965336</v>
      </c>
      <c r="AB502" s="30">
        <f>IFERROR(__xludf.DUMMYFUNCTION("""COMPUTED_VALUE"""),1.357459755993889)</f>
        <v>1.357459756</v>
      </c>
      <c r="AC502" s="30">
        <f>IFERROR(__xludf.DUMMYFUNCTION("""COMPUTED_VALUE"""),2.5868082823757637)</f>
        <v>2.586808282</v>
      </c>
      <c r="AD502" s="30">
        <f>IFERROR(__xludf.DUMMYFUNCTION("""COMPUTED_VALUE"""),0.8315431547457867)</f>
        <v>0.8315431547</v>
      </c>
      <c r="AE502" s="30">
        <f>IFERROR(__xludf.DUMMYFUNCTION("""COMPUTED_VALUE"""),0.6741579821313415)</f>
        <v>0.6741579821</v>
      </c>
      <c r="AF502" s="30">
        <f>IFERROR(__xludf.DUMMYFUNCTION("""COMPUTED_VALUE"""),0.4692771935648894)</f>
        <v>0.4692771936</v>
      </c>
      <c r="AG502" s="30">
        <f>IFERROR(__xludf.DUMMYFUNCTION("""COMPUTED_VALUE"""),0.9288448955116335)</f>
        <v>0.9288448955</v>
      </c>
      <c r="AH502" s="30">
        <f>IFERROR(__xludf.DUMMYFUNCTION("""COMPUTED_VALUE"""),0.7227304899744127)</f>
        <v>0.72273049</v>
      </c>
      <c r="AI502" s="30">
        <f>IFERROR(__xludf.DUMMYFUNCTION("""COMPUTED_VALUE"""),1.0565410042207068)</f>
        <v>1.056541004</v>
      </c>
      <c r="AJ502" s="30">
        <f>IFERROR(__xludf.DUMMYFUNCTION("""COMPUTED_VALUE"""),1.19557514209181)</f>
        <v>1.195575142</v>
      </c>
      <c r="AK502" s="30">
        <f>IFERROR(__xludf.DUMMYFUNCTION("""COMPUTED_VALUE"""),1.239170845102528)</f>
        <v>1.239170845</v>
      </c>
      <c r="AL502" s="30">
        <f>IFERROR(__xludf.DUMMYFUNCTION("""COMPUTED_VALUE"""),0.858208474565401)</f>
        <v>0.8582084746</v>
      </c>
      <c r="AM502" s="30">
        <f>IFERROR(__xludf.DUMMYFUNCTION("""COMPUTED_VALUE"""),1.122491461928923)</f>
        <v>1.122491462</v>
      </c>
      <c r="AN502" s="30">
        <f>IFERROR(__xludf.DUMMYFUNCTION("""COMPUTED_VALUE"""),0.8546223594671988)</f>
        <v>0.8546223595</v>
      </c>
      <c r="AO502" s="30">
        <f>IFERROR(__xludf.DUMMYFUNCTION("""COMPUTED_VALUE"""),0.7015074451992874)</f>
        <v>0.7015074452</v>
      </c>
      <c r="AP502" s="30">
        <f>IFERROR(__xludf.DUMMYFUNCTION("""COMPUTED_VALUE"""),0.477959764498142)</f>
        <v>0.4779597645</v>
      </c>
      <c r="AQ502" s="30">
        <f>IFERROR(__xludf.DUMMYFUNCTION("""COMPUTED_VALUE"""),0.9640791736460224)</f>
        <v>0.9640791736</v>
      </c>
      <c r="AR502" s="30">
        <f>IFERROR(__xludf.DUMMYFUNCTION("""COMPUTED_VALUE"""),0.7473183002606595)</f>
        <v>0.7473183003</v>
      </c>
      <c r="AS502" s="30">
        <f>IFERROR(__xludf.DUMMYFUNCTION("""COMPUTED_VALUE"""),38.0)</f>
        <v>38</v>
      </c>
      <c r="AT502" s="30">
        <f>IFERROR(__xludf.DUMMYFUNCTION("""COMPUTED_VALUE"""),0.2784315278792608)</f>
        <v>0.2784315279</v>
      </c>
      <c r="AU502" s="30">
        <f>IFERROR(__xludf.DUMMYFUNCTION("""COMPUTED_VALUE"""),1.22886098493901)</f>
        <v>1.228860985</v>
      </c>
      <c r="AV502" s="32">
        <f>IFERROR(__xludf.DUMMYFUNCTION("""COMPUTED_VALUE"""),14.369972168393254)</f>
        <v>14.36997217</v>
      </c>
      <c r="AW502" s="32">
        <f>IFERROR(__xludf.DUMMYFUNCTION("""COMPUTED_VALUE"""),-12.978663270436158)</f>
        <v>-12.97866327</v>
      </c>
      <c r="AX502" s="32">
        <f>IFERROR(__xludf.DUMMYFUNCTION("""COMPUTED_VALUE"""),16.898081042484456)</f>
        <v>16.89808104</v>
      </c>
      <c r="AY502" s="32">
        <f>IFERROR(__xludf.DUMMYFUNCTION("""COMPUTED_VALUE"""),-10.782975953604808)</f>
        <v>-10.78297595</v>
      </c>
      <c r="AZ502" s="30">
        <f>IFERROR(__xludf.DUMMYFUNCTION("""COMPUTED_VALUE"""),2.19568731683135)</f>
        <v>2.195687317</v>
      </c>
      <c r="BA502" s="30">
        <f>IFERROR(__xludf.DUMMYFUNCTION("""COMPUTED_VALUE"""),1700.0)</f>
        <v>1700</v>
      </c>
    </row>
    <row r="503">
      <c r="A503" s="71" t="str">
        <f>IFERROR(__xludf.DUMMYFUNCTION("""COMPUTED_VALUE"""),"Rival")</f>
        <v>Rival</v>
      </c>
      <c r="B503" s="71" t="str">
        <f>IFERROR(__xludf.DUMMYFUNCTION("""COMPUTED_VALUE"""),"RSC005493")</f>
        <v>RSC005493</v>
      </c>
      <c r="C503" s="30" t="str">
        <f>IFERROR(__xludf.DUMMYFUNCTION("""COMPUTED_VALUE"""),"NJ111_")</f>
        <v>NJ111_</v>
      </c>
      <c r="D503" s="30" t="str">
        <f>IFERROR(__xludf.DUMMYFUNCTION("""COMPUTED_VALUE"""),"Hammerheads")</f>
        <v>Hammerheads</v>
      </c>
      <c r="E503" s="30">
        <f>IFERROR(__xludf.DUMMYFUNCTION("""COMPUTED_VALUE"""),24.0)</f>
        <v>24</v>
      </c>
      <c r="F503" s="30">
        <f>IFERROR(__xludf.DUMMYFUNCTION("""COMPUTED_VALUE"""),17.0)</f>
        <v>17</v>
      </c>
      <c r="G503" s="42">
        <f>IFERROR(__xludf.DUMMYFUNCTION("""COMPUTED_VALUE"""),7.0)</f>
        <v>7</v>
      </c>
      <c r="H503" s="42">
        <f>IFERROR(__xludf.DUMMYFUNCTION("""COMPUTED_VALUE"""),0.7083333333333334)</f>
        <v>0.7083333333</v>
      </c>
      <c r="I503" s="42">
        <f>IFERROR(__xludf.DUMMYFUNCTION("""COMPUTED_VALUE"""),0.4385964912280702)</f>
        <v>0.4385964912</v>
      </c>
      <c r="J503" s="30">
        <f>IFERROR(__xludf.DUMMYFUNCTION("""COMPUTED_VALUE"""),347.8333333333333)</f>
        <v>347.8333333</v>
      </c>
      <c r="K503" s="30">
        <f>IFERROR(__xludf.DUMMYFUNCTION("""COMPUTED_VALUE"""),1.0416666666666667)</f>
        <v>1.041666667</v>
      </c>
      <c r="L503" s="30">
        <f>IFERROR(__xludf.DUMMYFUNCTION("""COMPUTED_VALUE"""),0.625)</f>
        <v>0.625</v>
      </c>
      <c r="M503" s="30">
        <f>IFERROR(__xludf.DUMMYFUNCTION("""COMPUTED_VALUE"""),1.1666666666666667)</f>
        <v>1.166666667</v>
      </c>
      <c r="N503" s="30">
        <f>IFERROR(__xludf.DUMMYFUNCTION("""COMPUTED_VALUE"""),2.375)</f>
        <v>2.375</v>
      </c>
      <c r="O503" s="30">
        <f>IFERROR(__xludf.DUMMYFUNCTION("""COMPUTED_VALUE"""),301.02777777777777)</f>
        <v>301.0277778</v>
      </c>
      <c r="P503" s="30">
        <f>IFERROR(__xludf.DUMMYFUNCTION("""COMPUTED_VALUE"""),0.5833333333333334)</f>
        <v>0.5833333333</v>
      </c>
      <c r="Q503" s="30">
        <f>IFERROR(__xludf.DUMMYFUNCTION("""COMPUTED_VALUE"""),0.40277777777777773)</f>
        <v>0.4027777778</v>
      </c>
      <c r="R503" s="30">
        <f>IFERROR(__xludf.DUMMYFUNCTION("""COMPUTED_VALUE"""),1.3055555555555556)</f>
        <v>1.305555556</v>
      </c>
      <c r="S503" s="30">
        <f>IFERROR(__xludf.DUMMYFUNCTION("""COMPUTED_VALUE"""),2.055555555555556)</f>
        <v>2.055555556</v>
      </c>
      <c r="T503" s="30">
        <f>IFERROR(__xludf.DUMMYFUNCTION("""COMPUTED_VALUE"""),339.156850957559)</f>
        <v>339.156851</v>
      </c>
      <c r="U503" s="30">
        <f>IFERROR(__xludf.DUMMYFUNCTION("""COMPUTED_VALUE"""),0.777119174839807)</f>
        <v>0.7771191748</v>
      </c>
      <c r="V503" s="30">
        <f>IFERROR(__xludf.DUMMYFUNCTION("""COMPUTED_VALUE"""),0.5595406672421684)</f>
        <v>0.5595406672</v>
      </c>
      <c r="W503" s="30">
        <f>IFERROR(__xludf.DUMMYFUNCTION("""COMPUTED_VALUE"""),1.2349913594475999)</f>
        <v>1.234991359</v>
      </c>
      <c r="X503" s="30">
        <f>IFERROR(__xludf.DUMMYFUNCTION("""COMPUTED_VALUE"""),2.5573212081244763)</f>
        <v>2.557321208</v>
      </c>
      <c r="Y503" s="30">
        <f>IFERROR(__xludf.DUMMYFUNCTION("""COMPUTED_VALUE"""),346.76822547181774)</f>
        <v>346.7682255</v>
      </c>
      <c r="Z503" s="30">
        <f>IFERROR(__xludf.DUMMYFUNCTION("""COMPUTED_VALUE"""),0.8096754977740268)</f>
        <v>0.8096754978</v>
      </c>
      <c r="AA503" s="30">
        <f>IFERROR(__xludf.DUMMYFUNCTION("""COMPUTED_VALUE"""),0.5589880398603372)</f>
        <v>0.5589880399</v>
      </c>
      <c r="AB503" s="30">
        <f>IFERROR(__xludf.DUMMYFUNCTION("""COMPUTED_VALUE"""),1.2733132317673082)</f>
        <v>1.273313232</v>
      </c>
      <c r="AC503" s="30">
        <f>IFERROR(__xludf.DUMMYFUNCTION("""COMPUTED_VALUE"""),2.5138316326036465)</f>
        <v>2.513831633</v>
      </c>
      <c r="AD503" s="30">
        <f>IFERROR(__xludf.DUMMYFUNCTION("""COMPUTED_VALUE"""),1.0030715266950032)</f>
        <v>1.003071527</v>
      </c>
      <c r="AE503" s="30">
        <f>IFERROR(__xludf.DUMMYFUNCTION("""COMPUTED_VALUE"""),1.286523637593621)</f>
        <v>1.286523638</v>
      </c>
      <c r="AF503" s="30">
        <f>IFERROR(__xludf.DUMMYFUNCTION("""COMPUTED_VALUE"""),1.1180919007786927)</f>
        <v>1.118091901</v>
      </c>
      <c r="AG503" s="30">
        <f>IFERROR(__xludf.DUMMYFUNCTION("""COMPUTED_VALUE"""),0.9162448308554682)</f>
        <v>0.9162448309</v>
      </c>
      <c r="AH503" s="30">
        <f>IFERROR(__xludf.DUMMYFUNCTION("""COMPUTED_VALUE"""),0.9447728993449515)</f>
        <v>0.9447728993</v>
      </c>
      <c r="AI503" s="30">
        <f>IFERROR(__xludf.DUMMYFUNCTION("""COMPUTED_VALUE"""),0.8875768746167755)</f>
        <v>0.8875768746</v>
      </c>
      <c r="AJ503" s="30">
        <f>IFERROR(__xludf.DUMMYFUNCTION("""COMPUTED_VALUE"""),0.7506356196314162)</f>
        <v>0.7506356196</v>
      </c>
      <c r="AK503" s="30">
        <f>IFERROR(__xludf.DUMMYFUNCTION("""COMPUTED_VALUE"""),0.7198364682999101)</f>
        <v>0.7198364683</v>
      </c>
      <c r="AL503" s="30">
        <f>IFERROR(__xludf.DUMMYFUNCTION("""COMPUTED_VALUE"""),1.057137400653166)</f>
        <v>1.057137401</v>
      </c>
      <c r="AM503" s="30">
        <f>IFERROR(__xludf.DUMMYFUNCTION("""COMPUTED_VALUE"""),0.8037924798125331)</f>
        <v>0.8037924798</v>
      </c>
      <c r="AN503" s="30">
        <f>IFERROR(__xludf.DUMMYFUNCTION("""COMPUTED_VALUE"""),1.0258246530828958)</f>
        <v>1.025824653</v>
      </c>
      <c r="AO503" s="30">
        <f>IFERROR(__xludf.DUMMYFUNCTION("""COMPUTED_VALUE"""),1.4005791006582997)</f>
        <v>1.400579101</v>
      </c>
      <c r="AP503" s="30">
        <f>IFERROR(__xludf.DUMMYFUNCTION("""COMPUTED_VALUE"""),1.1451119357767985)</f>
        <v>1.145111936</v>
      </c>
      <c r="AQ503" s="30">
        <f>IFERROR(__xludf.DUMMYFUNCTION("""COMPUTED_VALUE"""),0.8920502698678713)</f>
        <v>0.8920502699</v>
      </c>
      <c r="AR503" s="30">
        <f>IFERROR(__xludf.DUMMYFUNCTION("""COMPUTED_VALUE"""),0.9493549337613609)</f>
        <v>0.9493549338</v>
      </c>
      <c r="AS503" s="30">
        <f>IFERROR(__xludf.DUMMYFUNCTION("""COMPUTED_VALUE"""),65.0)</f>
        <v>65</v>
      </c>
      <c r="AT503" s="30">
        <f>IFERROR(__xludf.DUMMYFUNCTION("""COMPUTED_VALUE"""),0.6616546826493795)</f>
        <v>0.6616546826</v>
      </c>
      <c r="AU503" s="30">
        <f>IFERROR(__xludf.DUMMYFUNCTION("""COMPUTED_VALUE"""),3.3065873493806097)</f>
        <v>3.306587349</v>
      </c>
      <c r="AV503" s="32">
        <f>IFERROR(__xludf.DUMMYFUNCTION("""COMPUTED_VALUE"""),73.8552258594857)</f>
        <v>73.85522586</v>
      </c>
      <c r="AW503" s="32">
        <f>IFERROR(__xludf.DUMMYFUNCTION("""COMPUTED_VALUE"""),5.882736314415808)</f>
        <v>5.882736314</v>
      </c>
      <c r="AX503" s="32">
        <f>IFERROR(__xludf.DUMMYFUNCTION("""COMPUTED_VALUE"""),65.7639608919676)</f>
        <v>65.76396089</v>
      </c>
      <c r="AY503" s="32">
        <f>IFERROR(__xludf.DUMMYFUNCTION("""COMPUTED_VALUE"""),3.7855179792647626)</f>
        <v>3.785517979</v>
      </c>
      <c r="AZ503" s="30">
        <f>IFERROR(__xludf.DUMMYFUNCTION("""COMPUTED_VALUE"""),2.097218335151045)</f>
        <v>2.097218335</v>
      </c>
      <c r="BA503" s="30">
        <f>IFERROR(__xludf.DUMMYFUNCTION("""COMPUTED_VALUE"""),1700.0)</f>
        <v>1700</v>
      </c>
    </row>
    <row r="504">
      <c r="A504" s="71" t="str">
        <f>IFERROR(__xludf.DUMMYFUNCTION("""COMPUTED_VALUE"""),"Rival")</f>
        <v>Rival</v>
      </c>
      <c r="B504" s="71" t="str">
        <f>IFERROR(__xludf.DUMMYFUNCTION("""COMPUTED_VALUE"""),"RSC007129")</f>
        <v>RSC007129</v>
      </c>
      <c r="C504" s="30" t="str">
        <f>IFERROR(__xludf.DUMMYFUNCTION("""COMPUTED_VALUE"""),"EKA Luminous")</f>
        <v>EKA Luminous</v>
      </c>
      <c r="D504" s="30"/>
      <c r="E504" s="30">
        <f>IFERROR(__xludf.DUMMYFUNCTION("""COMPUTED_VALUE"""),20.0)</f>
        <v>20</v>
      </c>
      <c r="F504" s="30">
        <f>IFERROR(__xludf.DUMMYFUNCTION("""COMPUTED_VALUE"""),12.0)</f>
        <v>12</v>
      </c>
      <c r="G504" s="42">
        <f>IFERROR(__xludf.DUMMYFUNCTION("""COMPUTED_VALUE"""),8.0)</f>
        <v>8</v>
      </c>
      <c r="H504" s="42">
        <f>IFERROR(__xludf.DUMMYFUNCTION("""COMPUTED_VALUE"""),0.6)</f>
        <v>0.6</v>
      </c>
      <c r="I504" s="42">
        <f>IFERROR(__xludf.DUMMYFUNCTION("""COMPUTED_VALUE"""),0.3478260869565218)</f>
        <v>0.347826087</v>
      </c>
      <c r="J504" s="30">
        <f>IFERROR(__xludf.DUMMYFUNCTION("""COMPUTED_VALUE"""),274.1)</f>
        <v>274.1</v>
      </c>
      <c r="K504" s="30">
        <f>IFERROR(__xludf.DUMMYFUNCTION("""COMPUTED_VALUE"""),0.4)</f>
        <v>0.4</v>
      </c>
      <c r="L504" s="30">
        <f>IFERROR(__xludf.DUMMYFUNCTION("""COMPUTED_VALUE"""),0.75)</f>
        <v>0.75</v>
      </c>
      <c r="M504" s="30">
        <f>IFERROR(__xludf.DUMMYFUNCTION("""COMPUTED_VALUE"""),1.45)</f>
        <v>1.45</v>
      </c>
      <c r="N504" s="30">
        <f>IFERROR(__xludf.DUMMYFUNCTION("""COMPUTED_VALUE"""),1.15)</f>
        <v>1.15</v>
      </c>
      <c r="O504" s="30">
        <f>IFERROR(__xludf.DUMMYFUNCTION("""COMPUTED_VALUE"""),313.9)</f>
        <v>313.9</v>
      </c>
      <c r="P504" s="30">
        <f>IFERROR(__xludf.DUMMYFUNCTION("""COMPUTED_VALUE"""),0.6333333333333333)</f>
        <v>0.6333333333</v>
      </c>
      <c r="Q504" s="30">
        <f>IFERROR(__xludf.DUMMYFUNCTION("""COMPUTED_VALUE"""),0.4833333333333333)</f>
        <v>0.4833333333</v>
      </c>
      <c r="R504" s="30">
        <f>IFERROR(__xludf.DUMMYFUNCTION("""COMPUTED_VALUE"""),1.15)</f>
        <v>1.15</v>
      </c>
      <c r="S504" s="30">
        <f>IFERROR(__xludf.DUMMYFUNCTION("""COMPUTED_VALUE"""),2.2833333333333337)</f>
        <v>2.283333333</v>
      </c>
      <c r="T504" s="30">
        <f>IFERROR(__xludf.DUMMYFUNCTION("""COMPUTED_VALUE"""),328.2561433696019)</f>
        <v>328.2561434</v>
      </c>
      <c r="U504" s="30">
        <f>IFERROR(__xludf.DUMMYFUNCTION("""COMPUTED_VALUE"""),0.6668804674138381)</f>
        <v>0.6668804674</v>
      </c>
      <c r="V504" s="30">
        <f>IFERROR(__xludf.DUMMYFUNCTION("""COMPUTED_VALUE"""),0.5076213508141048)</f>
        <v>0.5076213508</v>
      </c>
      <c r="W504" s="30">
        <f>IFERROR(__xludf.DUMMYFUNCTION("""COMPUTED_VALUE"""),1.3384201987399595)</f>
        <v>1.338420199</v>
      </c>
      <c r="X504" s="30">
        <f>IFERROR(__xludf.DUMMYFUNCTION("""COMPUTED_VALUE"""),2.410156458248981)</f>
        <v>2.410156458</v>
      </c>
      <c r="Y504" s="30">
        <f>IFERROR(__xludf.DUMMYFUNCTION("""COMPUTED_VALUE"""),363.086451820901)</f>
        <v>363.0864518</v>
      </c>
      <c r="Z504" s="30">
        <f>IFERROR(__xludf.DUMMYFUNCTION("""COMPUTED_VALUE"""),0.8712131616917294)</f>
        <v>0.8712131617</v>
      </c>
      <c r="AA504" s="30">
        <f>IFERROR(__xludf.DUMMYFUNCTION("""COMPUTED_VALUE"""),0.6374082062802601)</f>
        <v>0.6374082063</v>
      </c>
      <c r="AB504" s="30">
        <f>IFERROR(__xludf.DUMMYFUNCTION("""COMPUTED_VALUE"""),1.2959597260316005)</f>
        <v>1.295959726</v>
      </c>
      <c r="AC504" s="30">
        <f>IFERROR(__xludf.DUMMYFUNCTION("""COMPUTED_VALUE"""),2.714802101112089)</f>
        <v>2.714802101</v>
      </c>
      <c r="AD504" s="30">
        <f>IFERROR(__xludf.DUMMYFUNCTION("""COMPUTED_VALUE"""),0.7549166283274178)</f>
        <v>0.7549166283</v>
      </c>
      <c r="AE504" s="30">
        <f>IFERROR(__xludf.DUMMYFUNCTION("""COMPUTED_VALUE"""),0.45912988644854325)</f>
        <v>0.4591298864</v>
      </c>
      <c r="AF504" s="30">
        <f>IFERROR(__xludf.DUMMYFUNCTION("""COMPUTED_VALUE"""),1.1766400128056005)</f>
        <v>1.176640013</v>
      </c>
      <c r="AG504" s="30">
        <f>IFERROR(__xludf.DUMMYFUNCTION("""COMPUTED_VALUE"""),1.1188619297916695)</f>
        <v>1.11886193</v>
      </c>
      <c r="AH504" s="30">
        <f>IFERROR(__xludf.DUMMYFUNCTION("""COMPUTED_VALUE"""),0.42360362087863235)</f>
        <v>0.4236036209</v>
      </c>
      <c r="AI504" s="30">
        <f>IFERROR(__xludf.DUMMYFUNCTION("""COMPUTED_VALUE"""),0.9562654236346233)</f>
        <v>0.9562654236</v>
      </c>
      <c r="AJ504" s="30">
        <f>IFERROR(__xludf.DUMMYFUNCTION("""COMPUTED_VALUE"""),0.9496954316107045)</f>
        <v>0.9496954316</v>
      </c>
      <c r="AK504" s="30">
        <f>IFERROR(__xludf.DUMMYFUNCTION("""COMPUTED_VALUE"""),0.9521532783405993)</f>
        <v>0.9521532783</v>
      </c>
      <c r="AL504" s="30">
        <f>IFERROR(__xludf.DUMMYFUNCTION("""COMPUTED_VALUE"""),0.8592219402267347)</f>
        <v>0.8592219402</v>
      </c>
      <c r="AM504" s="30">
        <f>IFERROR(__xludf.DUMMYFUNCTION("""COMPUTED_VALUE"""),0.9473797128474445)</f>
        <v>0.9473797128</v>
      </c>
      <c r="AN504" s="30">
        <f>IFERROR(__xludf.DUMMYFUNCTION("""COMPUTED_VALUE"""),0.8083714539818547)</f>
        <v>0.808371454</v>
      </c>
      <c r="AO504" s="30">
        <f>IFERROR(__xludf.DUMMYFUNCTION("""COMPUTED_VALUE"""),0.5378223746527871)</f>
        <v>0.5378223747</v>
      </c>
      <c r="AP504" s="30">
        <f>IFERROR(__xludf.DUMMYFUNCTION("""COMPUTED_VALUE"""),1.374134322932158)</f>
        <v>1.374134323</v>
      </c>
      <c r="AQ504" s="30">
        <f>IFERROR(__xludf.DUMMYFUNCTION("""COMPUTED_VALUE"""),1.1086910496929256)</f>
        <v>1.10869105</v>
      </c>
      <c r="AR504" s="30">
        <f>IFERROR(__xludf.DUMMYFUNCTION("""COMPUTED_VALUE"""),0.45968765213708)</f>
        <v>0.4596876521</v>
      </c>
      <c r="AS504" s="30">
        <f>IFERROR(__xludf.DUMMYFUNCTION("""COMPUTED_VALUE"""),48.0)</f>
        <v>48</v>
      </c>
      <c r="AT504" s="30">
        <f>IFERROR(__xludf.DUMMYFUNCTION("""COMPUTED_VALUE"""),0.5878448968012117)</f>
        <v>0.5878448968</v>
      </c>
      <c r="AU504" s="30">
        <f>IFERROR(__xludf.DUMMYFUNCTION("""COMPUTED_VALUE"""),1.5603129768194646)</f>
        <v>1.560312977</v>
      </c>
      <c r="AV504" s="32">
        <f>IFERROR(__xludf.DUMMYFUNCTION("""COMPUTED_VALUE"""),23.85943438096217)</f>
        <v>23.85943438</v>
      </c>
      <c r="AW504" s="32">
        <f>IFERROR(__xludf.DUMMYFUNCTION("""COMPUTED_VALUE"""),-6.76280445661389)</f>
        <v>-6.762804457</v>
      </c>
      <c r="AX504" s="32">
        <f>IFERROR(__xludf.DUMMYFUNCTION("""COMPUTED_VALUE"""),29.87269575280689)</f>
        <v>29.87269575</v>
      </c>
      <c r="AY504" s="32">
        <f>IFERROR(__xludf.DUMMYFUNCTION("""COMPUTED_VALUE"""),-4.753230185517781)</f>
        <v>-4.753230186</v>
      </c>
      <c r="AZ504" s="30">
        <f>IFERROR(__xludf.DUMMYFUNCTION("""COMPUTED_VALUE"""),2.009574271096109)</f>
        <v>2.009574271</v>
      </c>
      <c r="BA504" s="30">
        <f>IFERROR(__xludf.DUMMYFUNCTION("""COMPUTED_VALUE"""),1700.0)</f>
        <v>1700</v>
      </c>
    </row>
    <row r="505">
      <c r="A505" s="71" t="str">
        <f>IFERROR(__xludf.DUMMYFUNCTION("""COMPUTED_VALUE"""),"Rival")</f>
        <v>Rival</v>
      </c>
      <c r="B505" s="71" t="str">
        <f>IFERROR(__xludf.DUMMYFUNCTION("""COMPUTED_VALUE"""),"RSC007213")</f>
        <v>RSC007213</v>
      </c>
      <c r="C505" s="30" t="str">
        <f>IFERROR(__xludf.DUMMYFUNCTION("""COMPUTED_VALUE"""),"Pythronex")</f>
        <v>Pythronex</v>
      </c>
      <c r="D505" s="30" t="str">
        <f>IFERROR(__xludf.DUMMYFUNCTION("""COMPUTED_VALUE"""),"Ruthless Racket")</f>
        <v>Ruthless Racket</v>
      </c>
      <c r="E505" s="30">
        <f>IFERROR(__xludf.DUMMYFUNCTION("""COMPUTED_VALUE"""),12.0)</f>
        <v>12</v>
      </c>
      <c r="F505" s="30">
        <f>IFERROR(__xludf.DUMMYFUNCTION("""COMPUTED_VALUE"""),3.0)</f>
        <v>3</v>
      </c>
      <c r="G505" s="42">
        <f>IFERROR(__xludf.DUMMYFUNCTION("""COMPUTED_VALUE"""),9.0)</f>
        <v>9</v>
      </c>
      <c r="H505" s="42">
        <f>IFERROR(__xludf.DUMMYFUNCTION("""COMPUTED_VALUE"""),0.25)</f>
        <v>0.25</v>
      </c>
      <c r="I505" s="42">
        <f>IFERROR(__xludf.DUMMYFUNCTION("""COMPUTED_VALUE"""),0.42857142857142855)</f>
        <v>0.4285714286</v>
      </c>
      <c r="J505" s="30">
        <f>IFERROR(__xludf.DUMMYFUNCTION("""COMPUTED_VALUE"""),330.9166666666667)</f>
        <v>330.9166667</v>
      </c>
      <c r="K505" s="30">
        <f>IFERROR(__xludf.DUMMYFUNCTION("""COMPUTED_VALUE"""),0.75)</f>
        <v>0.75</v>
      </c>
      <c r="L505" s="30">
        <f>IFERROR(__xludf.DUMMYFUNCTION("""COMPUTED_VALUE"""),0.25)</f>
        <v>0.25</v>
      </c>
      <c r="M505" s="30">
        <f>IFERROR(__xludf.DUMMYFUNCTION("""COMPUTED_VALUE"""),1.75)</f>
        <v>1.75</v>
      </c>
      <c r="N505" s="30">
        <f>IFERROR(__xludf.DUMMYFUNCTION("""COMPUTED_VALUE"""),1.75)</f>
        <v>1.75</v>
      </c>
      <c r="O505" s="30">
        <f>IFERROR(__xludf.DUMMYFUNCTION("""COMPUTED_VALUE"""),367.1666666666667)</f>
        <v>367.1666667</v>
      </c>
      <c r="P505" s="30">
        <f>IFERROR(__xludf.DUMMYFUNCTION("""COMPUTED_VALUE"""),1.1388888888888888)</f>
        <v>1.138888889</v>
      </c>
      <c r="Q505" s="30">
        <f>IFERROR(__xludf.DUMMYFUNCTION("""COMPUTED_VALUE"""),0.7222222222222222)</f>
        <v>0.7222222222</v>
      </c>
      <c r="R505" s="30">
        <f>IFERROR(__xludf.DUMMYFUNCTION("""COMPUTED_VALUE"""),0.8611111111111112)</f>
        <v>0.8611111111</v>
      </c>
      <c r="S505" s="30">
        <f>IFERROR(__xludf.DUMMYFUNCTION("""COMPUTED_VALUE"""),3.0555555555555554)</f>
        <v>3.055555556</v>
      </c>
      <c r="T505" s="30">
        <f>IFERROR(__xludf.DUMMYFUNCTION("""COMPUTED_VALUE"""),352.6785204795312)</f>
        <v>352.6785205</v>
      </c>
      <c r="U505" s="30">
        <f>IFERROR(__xludf.DUMMYFUNCTION("""COMPUTED_VALUE"""),0.9048967165685103)</f>
        <v>0.9048967166</v>
      </c>
      <c r="V505" s="30">
        <f>IFERROR(__xludf.DUMMYFUNCTION("""COMPUTED_VALUE"""),0.6312897344022073)</f>
        <v>0.6312897344</v>
      </c>
      <c r="W505" s="30">
        <f>IFERROR(__xludf.DUMMYFUNCTION("""COMPUTED_VALUE"""),1.143933005202043)</f>
        <v>1.143933005</v>
      </c>
      <c r="X505" s="30">
        <f>IFERROR(__xludf.DUMMYFUNCTION("""COMPUTED_VALUE"""),2.8064167081502736)</f>
        <v>2.806416708</v>
      </c>
      <c r="Y505" s="30">
        <f>IFERROR(__xludf.DUMMYFUNCTION("""COMPUTED_VALUE"""),335.85184995936646)</f>
        <v>335.85185</v>
      </c>
      <c r="Z505" s="30">
        <f>IFERROR(__xludf.DUMMYFUNCTION("""COMPUTED_VALUE"""),0.7255636702510743)</f>
        <v>0.7255636703</v>
      </c>
      <c r="AA505" s="30">
        <f>IFERROR(__xludf.DUMMYFUNCTION("""COMPUTED_VALUE"""),0.4711010560920877)</f>
        <v>0.4711010561</v>
      </c>
      <c r="AB505" s="30">
        <f>IFERROR(__xludf.DUMMYFUNCTION("""COMPUTED_VALUE"""),1.4207029281057453)</f>
        <v>1.420702928</v>
      </c>
      <c r="AC505" s="30">
        <f>IFERROR(__xludf.DUMMYFUNCTION("""COMPUTED_VALUE"""),2.3160651200771665)</f>
        <v>2.31606512</v>
      </c>
      <c r="AD505" s="30">
        <f>IFERROR(__xludf.DUMMYFUNCTION("""COMPUTED_VALUE"""),0.9853054753359349)</f>
        <v>0.9853054753</v>
      </c>
      <c r="AE505" s="30">
        <f>IFERROR(__xludf.DUMMYFUNCTION("""COMPUTED_VALUE"""),1.0336790977151182)</f>
        <v>1.033679098</v>
      </c>
      <c r="AF505" s="30">
        <f>IFERROR(__xludf.DUMMYFUNCTION("""COMPUTED_VALUE"""),0.5306717035911965)</f>
        <v>0.5306717036</v>
      </c>
      <c r="AG505" s="30">
        <f>IFERROR(__xludf.DUMMYFUNCTION("""COMPUTED_VALUE"""),1.2317846084355677)</f>
        <v>1.231784608</v>
      </c>
      <c r="AH505" s="30">
        <f>IFERROR(__xludf.DUMMYFUNCTION("""COMPUTED_VALUE"""),0.7555918807419775)</f>
        <v>0.7555918807</v>
      </c>
      <c r="AI505" s="30">
        <f>IFERROR(__xludf.DUMMYFUNCTION("""COMPUTED_VALUE"""),1.0410803191740632)</f>
        <v>1.041080319</v>
      </c>
      <c r="AJ505" s="30">
        <f>IFERROR(__xludf.DUMMYFUNCTION("""COMPUTED_VALUE"""),1.2585843975738007)</f>
        <v>1.258584398</v>
      </c>
      <c r="AK505" s="30">
        <f>IFERROR(__xludf.DUMMYFUNCTION("""COMPUTED_VALUE"""),1.1440423990200355)</f>
        <v>1.144042399</v>
      </c>
      <c r="AL505" s="30">
        <f>IFERROR(__xludf.DUMMYFUNCTION("""COMPUTED_VALUE"""),0.752763585975055)</f>
        <v>0.752763586</v>
      </c>
      <c r="AM505" s="30">
        <f>IFERROR(__xludf.DUMMYFUNCTION("""COMPUTED_VALUE"""),1.0887747164139037)</f>
        <v>1.088774716</v>
      </c>
      <c r="AN505" s="30">
        <f>IFERROR(__xludf.DUMMYFUNCTION("""COMPUTED_VALUE"""),0.9759342830359798)</f>
        <v>0.975934283</v>
      </c>
      <c r="AO505" s="30">
        <f>IFERROR(__xludf.DUMMYFUNCTION("""COMPUTED_VALUE"""),1.0084169524739757)</f>
        <v>1.008416952</v>
      </c>
      <c r="AP505" s="30">
        <f>IFERROR(__xludf.DUMMYFUNCTION("""COMPUTED_VALUE"""),0.4580447743107194)</f>
        <v>0.4580447743</v>
      </c>
      <c r="AQ505" s="30">
        <f>IFERROR(__xludf.DUMMYFUNCTION("""COMPUTED_VALUE"""),1.3380754048018069)</f>
        <v>1.338075405</v>
      </c>
      <c r="AR505" s="30">
        <f>IFERROR(__xludf.DUMMYFUNCTION("""COMPUTED_VALUE"""),0.699524688034687)</f>
        <v>0.699524688</v>
      </c>
      <c r="AS505" s="30">
        <f>IFERROR(__xludf.DUMMYFUNCTION("""COMPUTED_VALUE"""),19.0)</f>
        <v>19</v>
      </c>
      <c r="AT505" s="30">
        <f>IFERROR(__xludf.DUMMYFUNCTION("""COMPUTED_VALUE"""),0.22781479934419857)</f>
        <v>0.2278147993</v>
      </c>
      <c r="AU505" s="30">
        <f>IFERROR(__xludf.DUMMYFUNCTION("""COMPUTED_VALUE"""),1.7848107530751205)</f>
        <v>1.784810753</v>
      </c>
      <c r="AV505" s="32">
        <f>IFERROR(__xludf.DUMMYFUNCTION("""COMPUTED_VALUE"""),30.28680008329942)</f>
        <v>30.28680008</v>
      </c>
      <c r="AW505" s="32">
        <f>IFERROR(__xludf.DUMMYFUNCTION("""COMPUTED_VALUE"""),-4.6469704762934025)</f>
        <v>-4.646970476</v>
      </c>
      <c r="AX505" s="32">
        <f>IFERROR(__xludf.DUMMYFUNCTION("""COMPUTED_VALUE"""),42.23856652064855)</f>
        <v>42.23856652</v>
      </c>
      <c r="AY505" s="32">
        <f>IFERROR(__xludf.DUMMYFUNCTION("""COMPUTED_VALUE"""),-2.644756809366691)</f>
        <v>-2.644756809</v>
      </c>
      <c r="AZ505" s="30">
        <f>IFERROR(__xludf.DUMMYFUNCTION("""COMPUTED_VALUE"""),2.0022136669267114)</f>
        <v>2.002213667</v>
      </c>
      <c r="BA505" s="30">
        <f>IFERROR(__xludf.DUMMYFUNCTION("""COMPUTED_VALUE"""),1700.0)</f>
        <v>1700</v>
      </c>
    </row>
    <row r="506">
      <c r="A506" s="71" t="str">
        <f>IFERROR(__xludf.DUMMYFUNCTION("""COMPUTED_VALUE"""),"Rival")</f>
        <v>Rival</v>
      </c>
      <c r="B506" s="71" t="str">
        <f>IFERROR(__xludf.DUMMYFUNCTION("""COMPUTED_VALUE"""),"RSC006664")</f>
        <v>RSC006664</v>
      </c>
      <c r="C506" s="30" t="str">
        <f>IFERROR(__xludf.DUMMYFUNCTION("""COMPUTED_VALUE"""),"Godless")</f>
        <v>Godless</v>
      </c>
      <c r="D506" s="30" t="str">
        <f>IFERROR(__xludf.DUMMYFUNCTION("""COMPUTED_VALUE"""),"Iris")</f>
        <v>Iris</v>
      </c>
      <c r="E506" s="30">
        <f>IFERROR(__xludf.DUMMYFUNCTION("""COMPUTED_VALUE"""),14.0)</f>
        <v>14</v>
      </c>
      <c r="F506" s="30">
        <f>IFERROR(__xludf.DUMMYFUNCTION("""COMPUTED_VALUE"""),13.0)</f>
        <v>13</v>
      </c>
      <c r="G506" s="42">
        <f>IFERROR(__xludf.DUMMYFUNCTION("""COMPUTED_VALUE"""),1.0)</f>
        <v>1</v>
      </c>
      <c r="H506" s="42">
        <f>IFERROR(__xludf.DUMMYFUNCTION("""COMPUTED_VALUE"""),0.9285714285714286)</f>
        <v>0.9285714286</v>
      </c>
      <c r="I506" s="42">
        <f>IFERROR(__xludf.DUMMYFUNCTION("""COMPUTED_VALUE"""),0.42857142857142855)</f>
        <v>0.4285714286</v>
      </c>
      <c r="J506" s="30">
        <f>IFERROR(__xludf.DUMMYFUNCTION("""COMPUTED_VALUE"""),357.5)</f>
        <v>357.5</v>
      </c>
      <c r="K506" s="30">
        <f>IFERROR(__xludf.DUMMYFUNCTION("""COMPUTED_VALUE"""),0.8571428571428571)</f>
        <v>0.8571428571</v>
      </c>
      <c r="L506" s="30">
        <f>IFERROR(__xludf.DUMMYFUNCTION("""COMPUTED_VALUE"""),0.7857142857142857)</f>
        <v>0.7857142857</v>
      </c>
      <c r="M506" s="30">
        <f>IFERROR(__xludf.DUMMYFUNCTION("""COMPUTED_VALUE"""),1.3571428571428572)</f>
        <v>1.357142857</v>
      </c>
      <c r="N506" s="30">
        <f>IFERROR(__xludf.DUMMYFUNCTION("""COMPUTED_VALUE"""),2.0)</f>
        <v>2</v>
      </c>
      <c r="O506" s="30">
        <f>IFERROR(__xludf.DUMMYFUNCTION("""COMPUTED_VALUE"""),274.85714285714283)</f>
        <v>274.8571429</v>
      </c>
      <c r="P506" s="30">
        <f>IFERROR(__xludf.DUMMYFUNCTION("""COMPUTED_VALUE"""),0.38095238095238093)</f>
        <v>0.380952381</v>
      </c>
      <c r="Q506" s="30">
        <f>IFERROR(__xludf.DUMMYFUNCTION("""COMPUTED_VALUE"""),0.2857142857142857)</f>
        <v>0.2857142857</v>
      </c>
      <c r="R506" s="30">
        <f>IFERROR(__xludf.DUMMYFUNCTION("""COMPUTED_VALUE"""),1.190476190476191)</f>
        <v>1.19047619</v>
      </c>
      <c r="S506" s="30">
        <f>IFERROR(__xludf.DUMMYFUNCTION("""COMPUTED_VALUE"""),2.023809523809524)</f>
        <v>2.023809524</v>
      </c>
      <c r="T506" s="30">
        <f>IFERROR(__xludf.DUMMYFUNCTION("""COMPUTED_VALUE"""),338.1233917359737)</f>
        <v>338.1233917</v>
      </c>
      <c r="U506" s="30">
        <f>IFERROR(__xludf.DUMMYFUNCTION("""COMPUTED_VALUE"""),0.731323710890034)</f>
        <v>0.7313237109</v>
      </c>
      <c r="V506" s="30">
        <f>IFERROR(__xludf.DUMMYFUNCTION("""COMPUTED_VALUE"""),0.4983946424125244)</f>
        <v>0.4983946424</v>
      </c>
      <c r="W506" s="30">
        <f>IFERROR(__xludf.DUMMYFUNCTION("""COMPUTED_VALUE"""),1.3587743428856405)</f>
        <v>1.358774343</v>
      </c>
      <c r="X506" s="30">
        <f>IFERROR(__xludf.DUMMYFUNCTION("""COMPUTED_VALUE"""),2.4738082173220532)</f>
        <v>2.473808217</v>
      </c>
      <c r="Y506" s="30">
        <f>IFERROR(__xludf.DUMMYFUNCTION("""COMPUTED_VALUE"""),346.1971693522927)</f>
        <v>346.1971694</v>
      </c>
      <c r="Z506" s="30">
        <f>IFERROR(__xludf.DUMMYFUNCTION("""COMPUTED_VALUE"""),0.7873051469532301)</f>
        <v>0.787305147</v>
      </c>
      <c r="AA506" s="30">
        <f>IFERROR(__xludf.DUMMYFUNCTION("""COMPUTED_VALUE"""),0.552392130643799)</f>
        <v>0.5523921306</v>
      </c>
      <c r="AB506" s="30">
        <f>IFERROR(__xludf.DUMMYFUNCTION("""COMPUTED_VALUE"""),1.3017588007780432)</f>
        <v>1.301758801</v>
      </c>
      <c r="AC506" s="30">
        <f>IFERROR(__xludf.DUMMYFUNCTION("""COMPUTED_VALUE"""),2.599953739516809)</f>
        <v>2.59995374</v>
      </c>
      <c r="AD506" s="30">
        <f>IFERROR(__xludf.DUMMYFUNCTION("""COMPUTED_VALUE"""),1.0326485357140673)</f>
        <v>1.032648536</v>
      </c>
      <c r="AE506" s="30">
        <f>IFERROR(__xludf.DUMMYFUNCTION("""COMPUTED_VALUE"""),1.088704755024008)</f>
        <v>1.088704755</v>
      </c>
      <c r="AF506" s="30">
        <f>IFERROR(__xludf.DUMMYFUNCTION("""COMPUTED_VALUE"""),1.4223850089945265)</f>
        <v>1.422385009</v>
      </c>
      <c r="AG506" s="30">
        <f>IFERROR(__xludf.DUMMYFUNCTION("""COMPUTED_VALUE"""),1.0425455593860489)</f>
        <v>1.042545559</v>
      </c>
      <c r="AH506" s="30">
        <f>IFERROR(__xludf.DUMMYFUNCTION("""COMPUTED_VALUE"""),0.7692444560077796)</f>
        <v>0.769244456</v>
      </c>
      <c r="AI506" s="30">
        <f>IFERROR(__xludf.DUMMYFUNCTION("""COMPUTED_VALUE"""),0.8128900560413377)</f>
        <v>0.812890056</v>
      </c>
      <c r="AJ506" s="30">
        <f>IFERROR(__xludf.DUMMYFUNCTION("""COMPUTED_VALUE"""),0.5209080127988126)</f>
        <v>0.5209080128</v>
      </c>
      <c r="AK506" s="30">
        <f>IFERROR(__xludf.DUMMYFUNCTION("""COMPUTED_VALUE"""),0.5732691754695833)</f>
        <v>0.5732691755</v>
      </c>
      <c r="AL506" s="30">
        <f>IFERROR(__xludf.DUMMYFUNCTION("""COMPUTED_VALUE"""),0.876139733362912)</f>
        <v>0.8761397334</v>
      </c>
      <c r="AM506" s="30">
        <f>IFERROR(__xludf.DUMMYFUNCTION("""COMPUTED_VALUE"""),0.818094753521491)</f>
        <v>0.8180947535</v>
      </c>
      <c r="AN506" s="30">
        <f>IFERROR(__xludf.DUMMYFUNCTION("""COMPUTED_VALUE"""),1.054333435966848)</f>
        <v>1.054333436</v>
      </c>
      <c r="AO506" s="30">
        <f>IFERROR(__xludf.DUMMYFUNCTION("""COMPUTED_VALUE"""),1.152476517113115)</f>
        <v>1.152476517</v>
      </c>
      <c r="AP506" s="30">
        <f>IFERROR(__xludf.DUMMYFUNCTION("""COMPUTED_VALUE"""),1.4395692906908324)</f>
        <v>1.439569291</v>
      </c>
      <c r="AQ506" s="30">
        <f>IFERROR(__xludf.DUMMYFUNCTION("""COMPUTED_VALUE"""),1.0376911302544625)</f>
        <v>1.03769113</v>
      </c>
      <c r="AR506" s="30">
        <f>IFERROR(__xludf.DUMMYFUNCTION("""COMPUTED_VALUE"""),0.7994567863253565)</f>
        <v>0.7994567863</v>
      </c>
      <c r="AS506" s="30">
        <f>IFERROR(__xludf.DUMMYFUNCTION("""COMPUTED_VALUE"""),43.0)</f>
        <v>43</v>
      </c>
      <c r="AT506" s="30">
        <f>IFERROR(__xludf.DUMMYFUNCTION("""COMPUTED_VALUE"""),0.8166628503178086)</f>
        <v>0.8166628503</v>
      </c>
      <c r="AU506" s="30">
        <f>IFERROR(__xludf.DUMMYFUNCTION("""COMPUTED_VALUE"""),3.30773757957211)</f>
        <v>3.30773758</v>
      </c>
      <c r="AV506" s="32">
        <f>IFERROR(__xludf.DUMMYFUNCTION("""COMPUTED_VALUE"""),73.8881569210131)</f>
        <v>73.88815692</v>
      </c>
      <c r="AW506" s="32">
        <f>IFERROR(__xludf.DUMMYFUNCTION("""COMPUTED_VALUE"""),5.894286729698651)</f>
        <v>5.89428673</v>
      </c>
      <c r="AX506" s="32">
        <f>IFERROR(__xludf.DUMMYFUNCTION("""COMPUTED_VALUE"""),66.6799254598503)</f>
        <v>66.67992546</v>
      </c>
      <c r="AY506" s="32">
        <f>IFERROR(__xludf.DUMMYFUNCTION("""COMPUTED_VALUE"""),3.96317186557517)</f>
        <v>3.963171866</v>
      </c>
      <c r="AZ506" s="30">
        <f>IFERROR(__xludf.DUMMYFUNCTION("""COMPUTED_VALUE"""),1.9311148641234808)</f>
        <v>1.931114864</v>
      </c>
      <c r="BA506" s="30">
        <f>IFERROR(__xludf.DUMMYFUNCTION("""COMPUTED_VALUE"""),1700.0)</f>
        <v>1700</v>
      </c>
    </row>
    <row r="507">
      <c r="A507" s="71" t="str">
        <f>IFERROR(__xludf.DUMMYFUNCTION("""COMPUTED_VALUE"""),"Rival")</f>
        <v>Rival</v>
      </c>
      <c r="B507" s="71" t="str">
        <f>IFERROR(__xludf.DUMMYFUNCTION("""COMPUTED_VALUE"""),"RSC007549")</f>
        <v>RSC007549</v>
      </c>
      <c r="C507" s="30" t="str">
        <f>IFERROR(__xludf.DUMMYFUNCTION("""COMPUTED_VALUE"""),"Whiffy_RL")</f>
        <v>Whiffy_RL</v>
      </c>
      <c r="D507" s="30" t="str">
        <f>IFERROR(__xludf.DUMMYFUNCTION("""COMPUTED_VALUE"""),"Apple Associates")</f>
        <v>Apple Associates</v>
      </c>
      <c r="E507" s="30">
        <f>IFERROR(__xludf.DUMMYFUNCTION("""COMPUTED_VALUE"""),4.0)</f>
        <v>4</v>
      </c>
      <c r="F507" s="30">
        <f>IFERROR(__xludf.DUMMYFUNCTION("""COMPUTED_VALUE"""),2.0)</f>
        <v>2</v>
      </c>
      <c r="G507" s="42">
        <f>IFERROR(__xludf.DUMMYFUNCTION("""COMPUTED_VALUE"""),2.0)</f>
        <v>2</v>
      </c>
      <c r="H507" s="42">
        <f>IFERROR(__xludf.DUMMYFUNCTION("""COMPUTED_VALUE"""),0.5)</f>
        <v>0.5</v>
      </c>
      <c r="I507" s="42">
        <f>IFERROR(__xludf.DUMMYFUNCTION("""COMPUTED_VALUE"""),0.375)</f>
        <v>0.375</v>
      </c>
      <c r="J507" s="30">
        <f>IFERROR(__xludf.DUMMYFUNCTION("""COMPUTED_VALUE"""),275.0)</f>
        <v>275</v>
      </c>
      <c r="K507" s="30">
        <f>IFERROR(__xludf.DUMMYFUNCTION("""COMPUTED_VALUE"""),0.75)</f>
        <v>0.75</v>
      </c>
      <c r="L507" s="30">
        <f>IFERROR(__xludf.DUMMYFUNCTION("""COMPUTED_VALUE"""),0.75)</f>
        <v>0.75</v>
      </c>
      <c r="M507" s="30">
        <f>IFERROR(__xludf.DUMMYFUNCTION("""COMPUTED_VALUE"""),0.75)</f>
        <v>0.75</v>
      </c>
      <c r="N507" s="30">
        <f>IFERROR(__xludf.DUMMYFUNCTION("""COMPUTED_VALUE"""),2.0)</f>
        <v>2</v>
      </c>
      <c r="O507" s="30">
        <f>IFERROR(__xludf.DUMMYFUNCTION("""COMPUTED_VALUE"""),306.9166666666667)</f>
        <v>306.9166667</v>
      </c>
      <c r="P507" s="30">
        <f>IFERROR(__xludf.DUMMYFUNCTION("""COMPUTED_VALUE"""),0.8333333333333333)</f>
        <v>0.8333333333</v>
      </c>
      <c r="Q507" s="30">
        <f>IFERROR(__xludf.DUMMYFUNCTION("""COMPUTED_VALUE"""),0.41666666666666663)</f>
        <v>0.4166666667</v>
      </c>
      <c r="R507" s="30">
        <f>IFERROR(__xludf.DUMMYFUNCTION("""COMPUTED_VALUE"""),0.9166666666666665)</f>
        <v>0.9166666667</v>
      </c>
      <c r="S507" s="30">
        <f>IFERROR(__xludf.DUMMYFUNCTION("""COMPUTED_VALUE"""),2.8333333333333335)</f>
        <v>2.833333333</v>
      </c>
      <c r="T507" s="30">
        <f>IFERROR(__xludf.DUMMYFUNCTION("""COMPUTED_VALUE"""),353.0242003367003)</f>
        <v>353.0242003</v>
      </c>
      <c r="U507" s="30">
        <f>IFERROR(__xludf.DUMMYFUNCTION("""COMPUTED_VALUE"""),0.7236952861952862)</f>
        <v>0.7236952862</v>
      </c>
      <c r="V507" s="30">
        <f>IFERROR(__xludf.DUMMYFUNCTION("""COMPUTED_VALUE"""),0.5094696969696969)</f>
        <v>0.509469697</v>
      </c>
      <c r="W507" s="30">
        <f>IFERROR(__xludf.DUMMYFUNCTION("""COMPUTED_VALUE"""),1.4968434343434343)</f>
        <v>1.496843434</v>
      </c>
      <c r="X507" s="30">
        <f>IFERROR(__xludf.DUMMYFUNCTION("""COMPUTED_VALUE"""),2.6801346801346804)</f>
        <v>2.68013468</v>
      </c>
      <c r="Y507" s="30">
        <f>IFERROR(__xludf.DUMMYFUNCTION("""COMPUTED_VALUE"""),353.40116442199786)</f>
        <v>353.4011644</v>
      </c>
      <c r="Z507" s="30">
        <f>IFERROR(__xludf.DUMMYFUNCTION("""COMPUTED_VALUE"""),0.8108866442199774)</f>
        <v>0.8108866442</v>
      </c>
      <c r="AA507" s="30">
        <f>IFERROR(__xludf.DUMMYFUNCTION("""COMPUTED_VALUE"""),0.609006734006734)</f>
        <v>0.609006734</v>
      </c>
      <c r="AB507" s="30">
        <f>IFERROR(__xludf.DUMMYFUNCTION("""COMPUTED_VALUE"""),1.3526936026936027)</f>
        <v>1.352693603</v>
      </c>
      <c r="AC507" s="30">
        <f>IFERROR(__xludf.DUMMYFUNCTION("""COMPUTED_VALUE"""),2.7267115600448935)</f>
        <v>2.72671156</v>
      </c>
      <c r="AD507" s="30">
        <f>IFERROR(__xludf.DUMMYFUNCTION("""COMPUTED_VALUE"""),0.7781525011378324)</f>
        <v>0.7781525011</v>
      </c>
      <c r="AE507" s="30">
        <f>IFERROR(__xludf.DUMMYFUNCTION("""COMPUTED_VALUE"""),0.9249134948096888)</f>
        <v>0.9249134948</v>
      </c>
      <c r="AF507" s="30">
        <f>IFERROR(__xludf.DUMMYFUNCTION("""COMPUTED_VALUE"""),1.2315134761575675)</f>
        <v>1.231513476</v>
      </c>
      <c r="AG507" s="30">
        <f>IFERROR(__xludf.DUMMYFUNCTION("""COMPUTED_VALUE"""),0.5544492843808339)</f>
        <v>0.5544492844</v>
      </c>
      <c r="AH507" s="30">
        <f>IFERROR(__xludf.DUMMYFUNCTION("""COMPUTED_VALUE"""),0.7334842560197571)</f>
        <v>0.733484256</v>
      </c>
      <c r="AI507" s="30">
        <f>IFERROR(__xludf.DUMMYFUNCTION("""COMPUTED_VALUE"""),0.8693927112473929)</f>
        <v>0.8693927112</v>
      </c>
      <c r="AJ507" s="30">
        <f>IFERROR(__xludf.DUMMYFUNCTION("""COMPUTED_VALUE"""),1.1514975283512647)</f>
        <v>1.151497528</v>
      </c>
      <c r="AK507" s="30">
        <f>IFERROR(__xludf.DUMMYFUNCTION("""COMPUTED_VALUE"""),0.8178438661710038)</f>
        <v>0.8178438662</v>
      </c>
      <c r="AL507" s="30">
        <f>IFERROR(__xludf.DUMMYFUNCTION("""COMPUTED_VALUE"""),0.6123998312948122)</f>
        <v>0.6123998313</v>
      </c>
      <c r="AM507" s="30">
        <f>IFERROR(__xludf.DUMMYFUNCTION("""COMPUTED_VALUE"""),1.0571608040201004)</f>
        <v>1.057160804</v>
      </c>
      <c r="AN507" s="30">
        <f>IFERROR(__xludf.DUMMYFUNCTION("""COMPUTED_VALUE"""),0.8110257199744985)</f>
        <v>0.81102572</v>
      </c>
      <c r="AO507" s="30">
        <f>IFERROR(__xludf.DUMMYFUNCTION("""COMPUTED_VALUE"""),1.0084169524739757)</f>
        <v>1.008416952</v>
      </c>
      <c r="AP507" s="30">
        <f>IFERROR(__xludf.DUMMYFUNCTION("""COMPUTED_VALUE"""),1.374134322932158)</f>
        <v>1.374134323</v>
      </c>
      <c r="AQ507" s="30">
        <f>IFERROR(__xludf.DUMMYFUNCTION("""COMPUTED_VALUE"""),0.5734608877722029)</f>
        <v>0.5734608878</v>
      </c>
      <c r="AR507" s="30">
        <f>IFERROR(__xludf.DUMMYFUNCTION("""COMPUTED_VALUE"""),0.7994567863253565)</f>
        <v>0.7994567863</v>
      </c>
      <c r="AS507" s="30">
        <f>IFERROR(__xludf.DUMMYFUNCTION("""COMPUTED_VALUE"""),9.0)</f>
        <v>9</v>
      </c>
      <c r="AT507" s="30">
        <f>IFERROR(__xludf.DUMMYFUNCTION("""COMPUTED_VALUE"""),0.4588994242296676)</f>
        <v>0.4588994242</v>
      </c>
      <c r="AU507" s="30">
        <f>IFERROR(__xludf.DUMMYFUNCTION("""COMPUTED_VALUE"""),2.3786796453400703)</f>
        <v>2.378679645</v>
      </c>
      <c r="AV507" s="32">
        <f>IFERROR(__xludf.DUMMYFUNCTION("""COMPUTED_VALUE"""),47.28925157075636)</f>
        <v>47.28925157</v>
      </c>
      <c r="AW507" s="32">
        <f>IFERROR(__xludf.DUMMYFUNCTION("""COMPUTED_VALUE"""),-2.18901090222419)</f>
        <v>-2.189010902</v>
      </c>
      <c r="AX507" s="32">
        <f>IFERROR(__xludf.DUMMYFUNCTION("""COMPUTED_VALUE"""),32.872054787191544)</f>
        <v>32.87205479</v>
      </c>
      <c r="AY507" s="32">
        <f>IFERROR(__xludf.DUMMYFUNCTION("""COMPUTED_VALUE"""),-4.0545779980147305)</f>
        <v>-4.054577998</v>
      </c>
      <c r="AZ507" s="30">
        <f>IFERROR(__xludf.DUMMYFUNCTION("""COMPUTED_VALUE"""),1.8655670957905404)</f>
        <v>1.865567096</v>
      </c>
      <c r="BA507" s="30">
        <f>IFERROR(__xludf.DUMMYFUNCTION("""COMPUTED_VALUE"""),1700.0)</f>
        <v>1700</v>
      </c>
    </row>
    <row r="508">
      <c r="A508" s="71" t="str">
        <f>IFERROR(__xludf.DUMMYFUNCTION("""COMPUTED_VALUE"""),"Rival")</f>
        <v>Rival</v>
      </c>
      <c r="B508" s="71" t="str">
        <f>IFERROR(__xludf.DUMMYFUNCTION("""COMPUTED_VALUE"""),"RSC001015")</f>
        <v>RSC001015</v>
      </c>
      <c r="C508" s="30" t="str">
        <f>IFERROR(__xludf.DUMMYFUNCTION("""COMPUTED_VALUE"""),"LatFips")</f>
        <v>LatFips</v>
      </c>
      <c r="D508" s="30" t="str">
        <f>IFERROR(__xludf.DUMMYFUNCTION("""COMPUTED_VALUE"""),"Heavy Metal")</f>
        <v>Heavy Metal</v>
      </c>
      <c r="E508" s="30">
        <f>IFERROR(__xludf.DUMMYFUNCTION("""COMPUTED_VALUE"""),40.0)</f>
        <v>40</v>
      </c>
      <c r="F508" s="30">
        <f>IFERROR(__xludf.DUMMYFUNCTION("""COMPUTED_VALUE"""),19.0)</f>
        <v>19</v>
      </c>
      <c r="G508" s="42">
        <f>IFERROR(__xludf.DUMMYFUNCTION("""COMPUTED_VALUE"""),21.0)</f>
        <v>21</v>
      </c>
      <c r="H508" s="42">
        <f>IFERROR(__xludf.DUMMYFUNCTION("""COMPUTED_VALUE"""),0.475)</f>
        <v>0.475</v>
      </c>
      <c r="I508" s="42">
        <f>IFERROR(__xludf.DUMMYFUNCTION("""COMPUTED_VALUE"""),0.22784810126582278)</f>
        <v>0.2278481013</v>
      </c>
      <c r="J508" s="30">
        <f>IFERROR(__xludf.DUMMYFUNCTION("""COMPUTED_VALUE"""),289.6)</f>
        <v>289.6</v>
      </c>
      <c r="K508" s="30">
        <f>IFERROR(__xludf.DUMMYFUNCTION("""COMPUTED_VALUE"""),0.45)</f>
        <v>0.45</v>
      </c>
      <c r="L508" s="30">
        <f>IFERROR(__xludf.DUMMYFUNCTION("""COMPUTED_VALUE"""),0.525)</f>
        <v>0.525</v>
      </c>
      <c r="M508" s="30">
        <f>IFERROR(__xludf.DUMMYFUNCTION("""COMPUTED_VALUE"""),1.075)</f>
        <v>1.075</v>
      </c>
      <c r="N508" s="30">
        <f>IFERROR(__xludf.DUMMYFUNCTION("""COMPUTED_VALUE"""),1.975)</f>
        <v>1.975</v>
      </c>
      <c r="O508" s="30">
        <f>IFERROR(__xludf.DUMMYFUNCTION("""COMPUTED_VALUE"""),357.1416666666667)</f>
        <v>357.1416667</v>
      </c>
      <c r="P508" s="30">
        <f>IFERROR(__xludf.DUMMYFUNCTION("""COMPUTED_VALUE"""),0.85)</f>
        <v>0.85</v>
      </c>
      <c r="Q508" s="30">
        <f>IFERROR(__xludf.DUMMYFUNCTION("""COMPUTED_VALUE"""),0.6333333333333333)</f>
        <v>0.6333333333</v>
      </c>
      <c r="R508" s="30">
        <f>IFERROR(__xludf.DUMMYFUNCTION("""COMPUTED_VALUE"""),1.325)</f>
        <v>1.325</v>
      </c>
      <c r="S508" s="30">
        <f>IFERROR(__xludf.DUMMYFUNCTION("""COMPUTED_VALUE"""),2.425)</f>
        <v>2.425</v>
      </c>
      <c r="T508" s="30">
        <f>IFERROR(__xludf.DUMMYFUNCTION("""COMPUTED_VALUE"""),345.11697952894093)</f>
        <v>345.1169795</v>
      </c>
      <c r="U508" s="30">
        <f>IFERROR(__xludf.DUMMYFUNCTION("""COMPUTED_VALUE"""),0.7909889232922823)</f>
        <v>0.7909889233</v>
      </c>
      <c r="V508" s="30">
        <f>IFERROR(__xludf.DUMMYFUNCTION("""COMPUTED_VALUE"""),0.5592768179008362)</f>
        <v>0.5592768179</v>
      </c>
      <c r="W508" s="30">
        <f>IFERROR(__xludf.DUMMYFUNCTION("""COMPUTED_VALUE"""),1.3007617700752163)</f>
        <v>1.30076177</v>
      </c>
      <c r="X508" s="30">
        <f>IFERROR(__xludf.DUMMYFUNCTION("""COMPUTED_VALUE"""),2.425397552582711)</f>
        <v>2.425397553</v>
      </c>
      <c r="Y508" s="30">
        <f>IFERROR(__xludf.DUMMYFUNCTION("""COMPUTED_VALUE"""),346.727705333909)</f>
        <v>346.7277053</v>
      </c>
      <c r="Z508" s="30">
        <f>IFERROR(__xludf.DUMMYFUNCTION("""COMPUTED_VALUE"""),0.8033932989372904)</f>
        <v>0.8033932989</v>
      </c>
      <c r="AA508" s="30">
        <f>IFERROR(__xludf.DUMMYFUNCTION("""COMPUTED_VALUE"""),0.5786636700742196)</f>
        <v>0.5786636701</v>
      </c>
      <c r="AB508" s="30">
        <f>IFERROR(__xludf.DUMMYFUNCTION("""COMPUTED_VALUE"""),1.2323585534005495)</f>
        <v>1.232358553</v>
      </c>
      <c r="AC508" s="30">
        <f>IFERROR(__xludf.DUMMYFUNCTION("""COMPUTED_VALUE"""),2.587025671841382)</f>
        <v>2.587025672</v>
      </c>
      <c r="AD508" s="30">
        <f>IFERROR(__xludf.DUMMYFUNCTION("""COMPUTED_VALUE"""),0.8352375525373915)</f>
        <v>0.8352375525</v>
      </c>
      <c r="AE508" s="30">
        <f>IFERROR(__xludf.DUMMYFUNCTION("""COMPUTED_VALUE"""),0.560124164086568)</f>
        <v>0.5601241641</v>
      </c>
      <c r="AF508" s="30">
        <f>IFERROR(__xludf.DUMMYFUNCTION("""COMPUTED_VALUE"""),0.9072627627247851)</f>
        <v>0.9072627627</v>
      </c>
      <c r="AG508" s="30">
        <f>IFERROR(__xludf.DUMMYFUNCTION("""COMPUTED_VALUE"""),0.8723110632320951)</f>
        <v>0.8723110632</v>
      </c>
      <c r="AH508" s="30">
        <f>IFERROR(__xludf.DUMMYFUNCTION("""COMPUTED_VALUE"""),0.7634249715791351)</f>
        <v>0.7634249716</v>
      </c>
      <c r="AI508" s="30">
        <f>IFERROR(__xludf.DUMMYFUNCTION("""COMPUTED_VALUE"""),1.0348423515821754)</f>
        <v>1.034842352</v>
      </c>
      <c r="AJ508" s="30">
        <f>IFERROR(__xludf.DUMMYFUNCTION("""COMPUTED_VALUE"""),1.074604175823474)</f>
        <v>1.074604176</v>
      </c>
      <c r="AK508" s="30">
        <f>IFERROR(__xludf.DUMMYFUNCTION("""COMPUTED_VALUE"""),1.1324147775522995)</f>
        <v>1.132414778</v>
      </c>
      <c r="AL508" s="30">
        <f>IFERROR(__xludf.DUMMYFUNCTION("""COMPUTED_VALUE"""),1.0186338732290556)</f>
        <v>1.018633873</v>
      </c>
      <c r="AM508" s="30">
        <f>IFERROR(__xludf.DUMMYFUNCTION("""COMPUTED_VALUE"""),0.9998360876622936)</f>
        <v>0.9998360877</v>
      </c>
      <c r="AN508" s="30">
        <f>IFERROR(__xludf.DUMMYFUNCTION("""COMPUTED_VALUE"""),0.8540838127440536)</f>
        <v>0.8540838127</v>
      </c>
      <c r="AO508" s="30">
        <f>IFERROR(__xludf.DUMMYFUNCTION("""COMPUTED_VALUE"""),0.6050501714843854)</f>
        <v>0.6050501715</v>
      </c>
      <c r="AP508" s="30">
        <f>IFERROR(__xludf.DUMMYFUNCTION("""COMPUTED_VALUE"""),0.9618940260525107)</f>
        <v>0.9618940261</v>
      </c>
      <c r="AQ508" s="30">
        <f>IFERROR(__xludf.DUMMYFUNCTION("""COMPUTED_VALUE"""),0.8219606058068242)</f>
        <v>0.8219606058</v>
      </c>
      <c r="AR508" s="30">
        <f>IFERROR(__xludf.DUMMYFUNCTION("""COMPUTED_VALUE"""),0.7894635764962897)</f>
        <v>0.7894635765</v>
      </c>
      <c r="AS508" s="30">
        <f>IFERROR(__xludf.DUMMYFUNCTION("""COMPUTED_VALUE"""),90.0)</f>
        <v>90</v>
      </c>
      <c r="AT508" s="30">
        <f>IFERROR(__xludf.DUMMYFUNCTION("""COMPUTED_VALUE"""),0.45107387883529837)</f>
        <v>0.4510738788</v>
      </c>
      <c r="AU508" s="30">
        <f>IFERROR(__xludf.DUMMYFUNCTION("""COMPUTED_VALUE"""),1.608405659430905)</f>
        <v>1.608405659</v>
      </c>
      <c r="AV508" s="32">
        <f>IFERROR(__xludf.DUMMYFUNCTION("""COMPUTED_VALUE"""),25.236326677650904)</f>
        <v>25.23632668</v>
      </c>
      <c r="AW508" s="32">
        <f>IFERROR(__xludf.DUMMYFUNCTION("""COMPUTED_VALUE"""),-6.212977234584832)</f>
        <v>-6.212977235</v>
      </c>
      <c r="AX508" s="32">
        <f>IFERROR(__xludf.DUMMYFUNCTION("""COMPUTED_VALUE"""),31.408967624634602)</f>
        <v>31.40896762</v>
      </c>
      <c r="AY508" s="32">
        <f>IFERROR(__xludf.DUMMYFUNCTION("""COMPUTED_VALUE"""),-4.375472284901044)</f>
        <v>-4.375472285</v>
      </c>
      <c r="AZ508" s="30">
        <f>IFERROR(__xludf.DUMMYFUNCTION("""COMPUTED_VALUE"""),1.8375049496837876)</f>
        <v>1.83750495</v>
      </c>
      <c r="BA508" s="30">
        <f>IFERROR(__xludf.DUMMYFUNCTION("""COMPUTED_VALUE"""),1700.0)</f>
        <v>1700</v>
      </c>
    </row>
    <row r="509">
      <c r="A509" s="71" t="str">
        <f>IFERROR(__xludf.DUMMYFUNCTION("""COMPUTED_VALUE"""),"Rival")</f>
        <v>Rival</v>
      </c>
      <c r="B509" s="71" t="str">
        <f>IFERROR(__xludf.DUMMYFUNCTION("""COMPUTED_VALUE"""),"RSC005885")</f>
        <v>RSC005885</v>
      </c>
      <c r="C509" s="30" t="str">
        <f>IFERROR(__xludf.DUMMYFUNCTION("""COMPUTED_VALUE"""),"noot")</f>
        <v>noot</v>
      </c>
      <c r="D509" s="30" t="str">
        <f>IFERROR(__xludf.DUMMYFUNCTION("""COMPUTED_VALUE"""),"Quasars")</f>
        <v>Quasars</v>
      </c>
      <c r="E509" s="30">
        <f>IFERROR(__xludf.DUMMYFUNCTION("""COMPUTED_VALUE"""),44.0)</f>
        <v>44</v>
      </c>
      <c r="F509" s="30">
        <f>IFERROR(__xludf.DUMMYFUNCTION("""COMPUTED_VALUE"""),25.0)</f>
        <v>25</v>
      </c>
      <c r="G509" s="42">
        <f>IFERROR(__xludf.DUMMYFUNCTION("""COMPUTED_VALUE"""),19.0)</f>
        <v>19</v>
      </c>
      <c r="H509" s="42">
        <f>IFERROR(__xludf.DUMMYFUNCTION("""COMPUTED_VALUE"""),0.5681818181818182)</f>
        <v>0.5681818182</v>
      </c>
      <c r="I509" s="42">
        <f>IFERROR(__xludf.DUMMYFUNCTION("""COMPUTED_VALUE"""),0.28888888888888886)</f>
        <v>0.2888888889</v>
      </c>
      <c r="J509" s="30">
        <f>IFERROR(__xludf.DUMMYFUNCTION("""COMPUTED_VALUE"""),362.95454545454544)</f>
        <v>362.9545455</v>
      </c>
      <c r="K509" s="30">
        <f>IFERROR(__xludf.DUMMYFUNCTION("""COMPUTED_VALUE"""),0.8863636363636364)</f>
        <v>0.8863636364</v>
      </c>
      <c r="L509" s="30">
        <f>IFERROR(__xludf.DUMMYFUNCTION("""COMPUTED_VALUE"""),0.5909090909090909)</f>
        <v>0.5909090909</v>
      </c>
      <c r="M509" s="30">
        <f>IFERROR(__xludf.DUMMYFUNCTION("""COMPUTED_VALUE"""),1.3863636363636365)</f>
        <v>1.386363636</v>
      </c>
      <c r="N509" s="30">
        <f>IFERROR(__xludf.DUMMYFUNCTION("""COMPUTED_VALUE"""),3.0681818181818183)</f>
        <v>3.068181818</v>
      </c>
      <c r="O509" s="30">
        <f>IFERROR(__xludf.DUMMYFUNCTION("""COMPUTED_VALUE"""),350.469696969697)</f>
        <v>350.469697</v>
      </c>
      <c r="P509" s="30">
        <f>IFERROR(__xludf.DUMMYFUNCTION("""COMPUTED_VALUE"""),0.8030303030303029)</f>
        <v>0.803030303</v>
      </c>
      <c r="Q509" s="30">
        <f>IFERROR(__xludf.DUMMYFUNCTION("""COMPUTED_VALUE"""),0.5909090909090908)</f>
        <v>0.5909090909</v>
      </c>
      <c r="R509" s="30">
        <f>IFERROR(__xludf.DUMMYFUNCTION("""COMPUTED_VALUE"""),1.3636363636363635)</f>
        <v>1.363636364</v>
      </c>
      <c r="S509" s="30">
        <f>IFERROR(__xludf.DUMMYFUNCTION("""COMPUTED_VALUE"""),2.6893939393939394)</f>
        <v>2.689393939</v>
      </c>
      <c r="T509" s="30">
        <f>IFERROR(__xludf.DUMMYFUNCTION("""COMPUTED_VALUE"""),353.46458024733846)</f>
        <v>353.4645802</v>
      </c>
      <c r="U509" s="30">
        <f>IFERROR(__xludf.DUMMYFUNCTION("""COMPUTED_VALUE"""),0.8236175788393368)</f>
        <v>0.8236175788</v>
      </c>
      <c r="V509" s="30">
        <f>IFERROR(__xludf.DUMMYFUNCTION("""COMPUTED_VALUE"""),0.5927902731866992)</f>
        <v>0.5927902732</v>
      </c>
      <c r="W509" s="30">
        <f>IFERROR(__xludf.DUMMYFUNCTION("""COMPUTED_VALUE"""),1.313863227480067)</f>
        <v>1.313863227</v>
      </c>
      <c r="X509" s="30">
        <f>IFERROR(__xludf.DUMMYFUNCTION("""COMPUTED_VALUE"""),2.5551210027330367)</f>
        <v>2.555121003</v>
      </c>
      <c r="Y509" s="30">
        <f>IFERROR(__xludf.DUMMYFUNCTION("""COMPUTED_VALUE"""),348.1334713137915)</f>
        <v>348.1334713</v>
      </c>
      <c r="Z509" s="30">
        <f>IFERROR(__xludf.DUMMYFUNCTION("""COMPUTED_VALUE"""),0.7970723576719727)</f>
        <v>0.7970723577</v>
      </c>
      <c r="AA509" s="30">
        <f>IFERROR(__xludf.DUMMYFUNCTION("""COMPUTED_VALUE"""),0.5632481967999116)</f>
        <v>0.5632481968</v>
      </c>
      <c r="AB509" s="30">
        <f>IFERROR(__xludf.DUMMYFUNCTION("""COMPUTED_VALUE"""),1.2815738454046255)</f>
        <v>1.281573845</v>
      </c>
      <c r="AC509" s="30">
        <f>IFERROR(__xludf.DUMMYFUNCTION("""COMPUTED_VALUE"""),2.5840071355312717)</f>
        <v>2.584007136</v>
      </c>
      <c r="AD509" s="30">
        <f>IFERROR(__xludf.DUMMYFUNCTION("""COMPUTED_VALUE"""),1.0425729651470224)</f>
        <v>1.042572965</v>
      </c>
      <c r="AE509" s="30">
        <f>IFERROR(__xludf.DUMMYFUNCTION("""COMPUTED_VALUE"""),1.1120240563259007)</f>
        <v>1.112024056</v>
      </c>
      <c r="AF509" s="30">
        <f>IFERROR(__xludf.DUMMYFUNCTION("""COMPUTED_VALUE"""),1.0491096008231087)</f>
        <v>1.049109601</v>
      </c>
      <c r="AG509" s="30">
        <f>IFERROR(__xludf.DUMMYFUNCTION("""COMPUTED_VALUE"""),1.0817664868355097)</f>
        <v>1.081766487</v>
      </c>
      <c r="AH509" s="30">
        <f>IFERROR(__xludf.DUMMYFUNCTION("""COMPUTED_VALUE"""),1.187373585774174)</f>
        <v>1.187373586</v>
      </c>
      <c r="AI509" s="30">
        <f>IFERROR(__xludf.DUMMYFUNCTION("""COMPUTED_VALUE"""),0.9915270625544834)</f>
        <v>0.9915270626</v>
      </c>
      <c r="AJ509" s="30">
        <f>IFERROR(__xludf.DUMMYFUNCTION("""COMPUTED_VALUE"""),0.9750038411782734)</f>
        <v>0.9750038412</v>
      </c>
      <c r="AK509" s="30">
        <f>IFERROR(__xludf.DUMMYFUNCTION("""COMPUTED_VALUE"""),0.9968265635205255)</f>
        <v>0.9968265635</v>
      </c>
      <c r="AL509" s="30">
        <f>IFERROR(__xludf.DUMMYFUNCTION("""COMPUTED_VALUE"""),1.0378830422491991)</f>
        <v>1.037883042</v>
      </c>
      <c r="AM509" s="30">
        <f>IFERROR(__xludf.DUMMYFUNCTION("""COMPUTED_VALUE"""),1.052550519727747)</f>
        <v>1.05255052</v>
      </c>
      <c r="AN509" s="30">
        <f>IFERROR(__xludf.DUMMYFUNCTION("""COMPUTED_VALUE"""),1.0704198965283256)</f>
        <v>1.070419897</v>
      </c>
      <c r="AO509" s="30">
        <f>IFERROR(__xludf.DUMMYFUNCTION("""COMPUTED_VALUE"""),1.1917654892874259)</f>
        <v>1.191765489</v>
      </c>
      <c r="AP509" s="30">
        <f>IFERROR(__xludf.DUMMYFUNCTION("""COMPUTED_VALUE"""),1.0826512847344276)</f>
        <v>1.082651285</v>
      </c>
      <c r="AQ509" s="30">
        <f>IFERROR(__xludf.DUMMYFUNCTION("""COMPUTED_VALUE"""),1.0600337622455873)</f>
        <v>1.060033762</v>
      </c>
      <c r="AR509" s="30">
        <f>IFERROR(__xludf.DUMMYFUNCTION("""COMPUTED_VALUE"""),1.226439388112763)</f>
        <v>1.226439388</v>
      </c>
      <c r="AS509" s="30">
        <f>IFERROR(__xludf.DUMMYFUNCTION("""COMPUTED_VALUE"""),105.0)</f>
        <v>105</v>
      </c>
      <c r="AT509" s="30">
        <f>IFERROR(__xludf.DUMMYFUNCTION("""COMPUTED_VALUE"""),0.4962839551174457)</f>
        <v>0.4962839551</v>
      </c>
      <c r="AU509" s="30">
        <f>IFERROR(__xludf.DUMMYFUNCTION("""COMPUTED_VALUE"""),3.033457865613074)</f>
        <v>3.033457866</v>
      </c>
      <c r="AV509" s="32">
        <f>IFERROR(__xludf.DUMMYFUNCTION("""COMPUTED_VALUE"""),66.03553559108238)</f>
        <v>66.03553559</v>
      </c>
      <c r="AW509" s="32">
        <f>IFERROR(__xludf.DUMMYFUNCTION("""COMPUTED_VALUE"""),3.8369384237553006)</f>
        <v>3.836938424</v>
      </c>
      <c r="AX509" s="32">
        <f>IFERROR(__xludf.DUMMYFUNCTION("""COMPUTED_VALUE"""),52.16575559114917)</f>
        <v>52.16575559</v>
      </c>
      <c r="AY509" s="32">
        <f>IFERROR(__xludf.DUMMYFUNCTION("""COMPUTED_VALUE"""),2.1483074574734955)</f>
        <v>2.148307457</v>
      </c>
      <c r="AZ509" s="30">
        <f>IFERROR(__xludf.DUMMYFUNCTION("""COMPUTED_VALUE"""),1.688630966281805)</f>
        <v>1.688630966</v>
      </c>
      <c r="BA509" s="30">
        <f>IFERROR(__xludf.DUMMYFUNCTION("""COMPUTED_VALUE"""),1700.0)</f>
        <v>1700</v>
      </c>
    </row>
    <row r="510">
      <c r="A510" s="71" t="str">
        <f>IFERROR(__xludf.DUMMYFUNCTION("""COMPUTED_VALUE"""),"Rival")</f>
        <v>Rival</v>
      </c>
      <c r="B510" s="71" t="str">
        <f>IFERROR(__xludf.DUMMYFUNCTION("""COMPUTED_VALUE"""),"RSC006199")</f>
        <v>RSC006199</v>
      </c>
      <c r="C510" s="30" t="str">
        <f>IFERROR(__xludf.DUMMYFUNCTION("""COMPUTED_VALUE"""),"Irozuh-")</f>
        <v>Irozuh-</v>
      </c>
      <c r="D510" s="30" t="str">
        <f>IFERROR(__xludf.DUMMYFUNCTION("""COMPUTED_VALUE"""),"Ostriches")</f>
        <v>Ostriches</v>
      </c>
      <c r="E510" s="30">
        <f>IFERROR(__xludf.DUMMYFUNCTION("""COMPUTED_VALUE"""),32.0)</f>
        <v>32</v>
      </c>
      <c r="F510" s="30">
        <f>IFERROR(__xludf.DUMMYFUNCTION("""COMPUTED_VALUE"""),10.0)</f>
        <v>10</v>
      </c>
      <c r="G510" s="42">
        <f>IFERROR(__xludf.DUMMYFUNCTION("""COMPUTED_VALUE"""),22.0)</f>
        <v>22</v>
      </c>
      <c r="H510" s="42">
        <f>IFERROR(__xludf.DUMMYFUNCTION("""COMPUTED_VALUE"""),0.3125)</f>
        <v>0.3125</v>
      </c>
      <c r="I510" s="42">
        <f>IFERROR(__xludf.DUMMYFUNCTION("""COMPUTED_VALUE"""),0.34375)</f>
        <v>0.34375</v>
      </c>
      <c r="J510" s="30">
        <f>IFERROR(__xludf.DUMMYFUNCTION("""COMPUTED_VALUE"""),287.03125)</f>
        <v>287.03125</v>
      </c>
      <c r="K510" s="30">
        <f>IFERROR(__xludf.DUMMYFUNCTION("""COMPUTED_VALUE"""),0.6875)</f>
        <v>0.6875</v>
      </c>
      <c r="L510" s="30">
        <f>IFERROR(__xludf.DUMMYFUNCTION("""COMPUTED_VALUE"""),0.28125)</f>
        <v>0.28125</v>
      </c>
      <c r="M510" s="30">
        <f>IFERROR(__xludf.DUMMYFUNCTION("""COMPUTED_VALUE"""),1.0)</f>
        <v>1</v>
      </c>
      <c r="N510" s="30">
        <f>IFERROR(__xludf.DUMMYFUNCTION("""COMPUTED_VALUE"""),2.0)</f>
        <v>2</v>
      </c>
      <c r="O510" s="30">
        <f>IFERROR(__xludf.DUMMYFUNCTION("""COMPUTED_VALUE"""),361.8645833333334)</f>
        <v>361.8645833</v>
      </c>
      <c r="P510" s="30">
        <f>IFERROR(__xludf.DUMMYFUNCTION("""COMPUTED_VALUE"""),0.8854166666666667)</f>
        <v>0.8854166667</v>
      </c>
      <c r="Q510" s="30">
        <f>IFERROR(__xludf.DUMMYFUNCTION("""COMPUTED_VALUE"""),0.59375)</f>
        <v>0.59375</v>
      </c>
      <c r="R510" s="30">
        <f>IFERROR(__xludf.DUMMYFUNCTION("""COMPUTED_VALUE"""),1.2291666666666665)</f>
        <v>1.229166667</v>
      </c>
      <c r="S510" s="30">
        <f>IFERROR(__xludf.DUMMYFUNCTION("""COMPUTED_VALUE"""),2.6770833333333335)</f>
        <v>2.677083333</v>
      </c>
      <c r="T510" s="30">
        <f>IFERROR(__xludf.DUMMYFUNCTION("""COMPUTED_VALUE"""),349.09266759772925)</f>
        <v>349.0926676</v>
      </c>
      <c r="U510" s="30">
        <f>IFERROR(__xludf.DUMMYFUNCTION("""COMPUTED_VALUE"""),0.7702533528532114)</f>
        <v>0.7702533529</v>
      </c>
      <c r="V510" s="30">
        <f>IFERROR(__xludf.DUMMYFUNCTION("""COMPUTED_VALUE"""),0.6094408715645621)</f>
        <v>0.6094408716</v>
      </c>
      <c r="W510" s="30">
        <f>IFERROR(__xludf.DUMMYFUNCTION("""COMPUTED_VALUE"""),1.3239923003422183)</f>
        <v>1.3239923</v>
      </c>
      <c r="X510" s="30">
        <f>IFERROR(__xludf.DUMMYFUNCTION("""COMPUTED_VALUE"""),2.523365655482434)</f>
        <v>2.523365655</v>
      </c>
      <c r="Y510" s="30">
        <f>IFERROR(__xludf.DUMMYFUNCTION("""COMPUTED_VALUE"""),335.2475348008192)</f>
        <v>335.2475348</v>
      </c>
      <c r="Z510" s="30">
        <f>IFERROR(__xludf.DUMMYFUNCTION("""COMPUTED_VALUE"""),0.7052545048907153)</f>
        <v>0.7052545049</v>
      </c>
      <c r="AA510" s="30">
        <f>IFERROR(__xludf.DUMMYFUNCTION("""COMPUTED_VALUE"""),0.5199245873998963)</f>
        <v>0.5199245874</v>
      </c>
      <c r="AB510" s="30">
        <f>IFERROR(__xludf.DUMMYFUNCTION("""COMPUTED_VALUE"""),1.3151329416681923)</f>
        <v>1.315132942</v>
      </c>
      <c r="AC510" s="30">
        <f>IFERROR(__xludf.DUMMYFUNCTION("""COMPUTED_VALUE"""),2.4599317901830253)</f>
        <v>2.45993179</v>
      </c>
      <c r="AD510" s="30">
        <f>IFERROR(__xludf.DUMMYFUNCTION("""COMPUTED_VALUE"""),0.856177063824001)</f>
        <v>0.8561770638</v>
      </c>
      <c r="AE510" s="30">
        <f>IFERROR(__xludf.DUMMYFUNCTION("""COMPUTED_VALUE"""),0.9748253931487237)</f>
        <v>0.9748253931</v>
      </c>
      <c r="AF510" s="30">
        <f>IFERROR(__xludf.DUMMYFUNCTION("""COMPUTED_VALUE"""),0.5409438345789916)</f>
        <v>0.5409438346</v>
      </c>
      <c r="AG510" s="30">
        <f>IFERROR(__xludf.DUMMYFUNCTION("""COMPUTED_VALUE"""),0.7603794022006178)</f>
        <v>0.7603794022</v>
      </c>
      <c r="AH510" s="30">
        <f>IFERROR(__xludf.DUMMYFUNCTION("""COMPUTED_VALUE"""),0.8130306734444839)</f>
        <v>0.8130306734</v>
      </c>
      <c r="AI510" s="30">
        <f>IFERROR(__xludf.DUMMYFUNCTION("""COMPUTED_VALUE"""),1.036586032652859)</f>
        <v>1.036586033</v>
      </c>
      <c r="AJ510" s="30">
        <f>IFERROR(__xludf.DUMMYFUNCTION("""COMPUTED_VALUE"""),1.1495135508165744)</f>
        <v>1.149513551</v>
      </c>
      <c r="AK510" s="30">
        <f>IFERROR(__xludf.DUMMYFUNCTION("""COMPUTED_VALUE"""),0.9742536605326776)</f>
        <v>0.9742536605</v>
      </c>
      <c r="AL510" s="30">
        <f>IFERROR(__xludf.DUMMYFUNCTION("""COMPUTED_VALUE"""),0.9283790142502779)</f>
        <v>0.9283790143</v>
      </c>
      <c r="AM510" s="30">
        <f>IFERROR(__xludf.DUMMYFUNCTION("""COMPUTED_VALUE"""),1.0609177181741067)</f>
        <v>1.060917718</v>
      </c>
      <c r="AN510" s="30">
        <f>IFERROR(__xludf.DUMMYFUNCTION("""COMPUTED_VALUE"""),0.8465080952233828)</f>
        <v>0.8465080952</v>
      </c>
      <c r="AO510" s="30">
        <f>IFERROR(__xludf.DUMMYFUNCTION("""COMPUTED_VALUE"""),0.9243822064344778)</f>
        <v>0.9243822064</v>
      </c>
      <c r="AP510" s="30">
        <f>IFERROR(__xludf.DUMMYFUNCTION("""COMPUTED_VALUE"""),0.5153003710995593)</f>
        <v>0.5153003711</v>
      </c>
      <c r="AQ510" s="30">
        <f>IFERROR(__xludf.DUMMYFUNCTION("""COMPUTED_VALUE"""),0.7646145170296039)</f>
        <v>0.764614517</v>
      </c>
      <c r="AR510" s="30">
        <f>IFERROR(__xludf.DUMMYFUNCTION("""COMPUTED_VALUE"""),0.7994567863253565)</f>
        <v>0.7994567863</v>
      </c>
      <c r="AS510" s="30">
        <f>IFERROR(__xludf.DUMMYFUNCTION("""COMPUTED_VALUE"""),60.0)</f>
        <v>60</v>
      </c>
      <c r="AT510" s="30">
        <f>IFERROR(__xludf.DUMMYFUNCTION("""COMPUTED_VALUE"""),0.3687929807259404)</f>
        <v>0.3687929807</v>
      </c>
      <c r="AU510" s="30">
        <f>IFERROR(__xludf.DUMMYFUNCTION("""COMPUTED_VALUE"""),1.7600179896631623)</f>
        <v>1.76001799</v>
      </c>
      <c r="AV510" s="32">
        <f>IFERROR(__xludf.DUMMYFUNCTION("""COMPUTED_VALUE"""),29.57698388877857)</f>
        <v>29.57698389</v>
      </c>
      <c r="AW510" s="32">
        <f>IFERROR(__xludf.DUMMYFUNCTION("""COMPUTED_VALUE"""),-4.831223861581473)</f>
        <v>-4.831223862</v>
      </c>
      <c r="AX510" s="32">
        <f>IFERROR(__xludf.DUMMYFUNCTION("""COMPUTED_VALUE"""),24.608411228146593)</f>
        <v>24.60841123</v>
      </c>
      <c r="AY510" s="32">
        <f>IFERROR(__xludf.DUMMYFUNCTION("""COMPUTED_VALUE"""),-6.455994009795584)</f>
        <v>-6.45599401</v>
      </c>
      <c r="AZ510" s="30">
        <f>IFERROR(__xludf.DUMMYFUNCTION("""COMPUTED_VALUE"""),1.624770148214111)</f>
        <v>1.624770148</v>
      </c>
      <c r="BA510" s="30">
        <f>IFERROR(__xludf.DUMMYFUNCTION("""COMPUTED_VALUE"""),1700.0)</f>
        <v>1700</v>
      </c>
    </row>
    <row r="511">
      <c r="A511" s="71" t="str">
        <f>IFERROR(__xludf.DUMMYFUNCTION("""COMPUTED_VALUE"""),"Rival")</f>
        <v>Rival</v>
      </c>
      <c r="B511" s="71" t="str">
        <f>IFERROR(__xludf.DUMMYFUNCTION("""COMPUTED_VALUE"""),"RSC007222")</f>
        <v>RSC007222</v>
      </c>
      <c r="C511" s="30" t="str">
        <f>IFERROR(__xludf.DUMMYFUNCTION("""COMPUTED_VALUE"""),"S3EZ")</f>
        <v>S3EZ</v>
      </c>
      <c r="D511" s="30" t="str">
        <f>IFERROR(__xludf.DUMMYFUNCTION("""COMPUTED_VALUE"""),"Ostriches")</f>
        <v>Ostriches</v>
      </c>
      <c r="E511" s="30">
        <f>IFERROR(__xludf.DUMMYFUNCTION("""COMPUTED_VALUE"""),23.0)</f>
        <v>23</v>
      </c>
      <c r="F511" s="30">
        <f>IFERROR(__xludf.DUMMYFUNCTION("""COMPUTED_VALUE"""),10.0)</f>
        <v>10</v>
      </c>
      <c r="G511" s="42">
        <f>IFERROR(__xludf.DUMMYFUNCTION("""COMPUTED_VALUE"""),13.0)</f>
        <v>13</v>
      </c>
      <c r="H511" s="42">
        <f>IFERROR(__xludf.DUMMYFUNCTION("""COMPUTED_VALUE"""),0.43478260869565216)</f>
        <v>0.4347826087</v>
      </c>
      <c r="I511" s="42">
        <f>IFERROR(__xludf.DUMMYFUNCTION("""COMPUTED_VALUE"""),0.2)</f>
        <v>0.2</v>
      </c>
      <c r="J511" s="30">
        <f>IFERROR(__xludf.DUMMYFUNCTION("""COMPUTED_VALUE"""),300.2173913043478)</f>
        <v>300.2173913</v>
      </c>
      <c r="K511" s="30">
        <f>IFERROR(__xludf.DUMMYFUNCTION("""COMPUTED_VALUE"""),0.43478260869565216)</f>
        <v>0.4347826087</v>
      </c>
      <c r="L511" s="30">
        <f>IFERROR(__xludf.DUMMYFUNCTION("""COMPUTED_VALUE"""),0.4782608695652174)</f>
        <v>0.4782608696</v>
      </c>
      <c r="M511" s="30">
        <f>IFERROR(__xludf.DUMMYFUNCTION("""COMPUTED_VALUE"""),1.391304347826087)</f>
        <v>1.391304348</v>
      </c>
      <c r="N511" s="30">
        <f>IFERROR(__xludf.DUMMYFUNCTION("""COMPUTED_VALUE"""),2.1739130434782608)</f>
        <v>2.173913043</v>
      </c>
      <c r="O511" s="30">
        <f>IFERROR(__xludf.DUMMYFUNCTION("""COMPUTED_VALUE"""),333.2753623188405)</f>
        <v>333.2753623</v>
      </c>
      <c r="P511" s="30">
        <f>IFERROR(__xludf.DUMMYFUNCTION("""COMPUTED_VALUE"""),0.7101449275362318)</f>
        <v>0.7101449275</v>
      </c>
      <c r="Q511" s="30">
        <f>IFERROR(__xludf.DUMMYFUNCTION("""COMPUTED_VALUE"""),0.5217391304347827)</f>
        <v>0.5217391304</v>
      </c>
      <c r="R511" s="30">
        <f>IFERROR(__xludf.DUMMYFUNCTION("""COMPUTED_VALUE"""),1.0869565217391308)</f>
        <v>1.086956522</v>
      </c>
      <c r="S511" s="30">
        <f>IFERROR(__xludf.DUMMYFUNCTION("""COMPUTED_VALUE"""),2.3913043478260874)</f>
        <v>2.391304348</v>
      </c>
      <c r="T511" s="30">
        <f>IFERROR(__xludf.DUMMYFUNCTION("""COMPUTED_VALUE"""),347.04263138278907)</f>
        <v>347.0426314</v>
      </c>
      <c r="U511" s="30">
        <f>IFERROR(__xludf.DUMMYFUNCTION("""COMPUTED_VALUE"""),0.7493637169278271)</f>
        <v>0.7493637169</v>
      </c>
      <c r="V511" s="30">
        <f>IFERROR(__xludf.DUMMYFUNCTION("""COMPUTED_VALUE"""),0.611429668887132)</f>
        <v>0.6114296689</v>
      </c>
      <c r="W511" s="30">
        <f>IFERROR(__xludf.DUMMYFUNCTION("""COMPUTED_VALUE"""),1.3327891386893864)</f>
        <v>1.332789139</v>
      </c>
      <c r="X511" s="30">
        <f>IFERROR(__xludf.DUMMYFUNCTION("""COMPUTED_VALUE"""),2.414159985032252)</f>
        <v>2.414159985</v>
      </c>
      <c r="Y511" s="30">
        <f>IFERROR(__xludf.DUMMYFUNCTION("""COMPUTED_VALUE"""),335.983422736767)</f>
        <v>335.9834227</v>
      </c>
      <c r="Z511" s="30">
        <f>IFERROR(__xludf.DUMMYFUNCTION("""COMPUTED_VALUE"""),0.7119749168117425)</f>
        <v>0.7119749168</v>
      </c>
      <c r="AA511" s="30">
        <f>IFERROR(__xludf.DUMMYFUNCTION("""COMPUTED_VALUE"""),0.531936001519814)</f>
        <v>0.5319360015</v>
      </c>
      <c r="AB511" s="30">
        <f>IFERROR(__xludf.DUMMYFUNCTION("""COMPUTED_VALUE"""),1.2778813905669084)</f>
        <v>1.277881391</v>
      </c>
      <c r="AC511" s="30">
        <f>IFERROR(__xludf.DUMMYFUNCTION("""COMPUTED_VALUE"""),2.495686232887764)</f>
        <v>2.495686233</v>
      </c>
      <c r="AD511" s="30">
        <f>IFERROR(__xludf.DUMMYFUNCTION("""COMPUTED_VALUE"""),0.8935482258586287)</f>
        <v>0.8935482259</v>
      </c>
      <c r="AE511" s="30">
        <f>IFERROR(__xludf.DUMMYFUNCTION("""COMPUTED_VALUE"""),0.6106712447716969)</f>
        <v>0.6106712448</v>
      </c>
      <c r="AF511" s="30">
        <f>IFERROR(__xludf.DUMMYFUNCTION("""COMPUTED_VALUE"""),0.8990947561337466)</f>
        <v>0.8990947561</v>
      </c>
      <c r="AG511" s="30">
        <f>IFERROR(__xludf.DUMMYFUNCTION("""COMPUTED_VALUE"""),1.0887585953566947)</f>
        <v>1.088758595</v>
      </c>
      <c r="AH511" s="30">
        <f>IFERROR(__xludf.DUMMYFUNCTION("""COMPUTED_VALUE"""),0.8710682516218481)</f>
        <v>0.8710682516</v>
      </c>
      <c r="AI511" s="30">
        <f>IFERROR(__xludf.DUMMYFUNCTION("""COMPUTED_VALUE"""),0.9603297467832901)</f>
        <v>0.9603297468</v>
      </c>
      <c r="AJ511" s="30">
        <f>IFERROR(__xludf.DUMMYFUNCTION("""COMPUTED_VALUE"""),0.9476638800282713)</f>
        <v>0.94766388</v>
      </c>
      <c r="AK511" s="30">
        <f>IFERROR(__xludf.DUMMYFUNCTION("""COMPUTED_VALUE"""),0.8533101303121325)</f>
        <v>0.8533101303</v>
      </c>
      <c r="AL511" s="30">
        <f>IFERROR(__xludf.DUMMYFUNCTION("""COMPUTED_VALUE"""),0.8155502548647733)</f>
        <v>0.8155502549</v>
      </c>
      <c r="AM511" s="30">
        <f>IFERROR(__xludf.DUMMYFUNCTION("""COMPUTED_VALUE"""),0.9905326749892844)</f>
        <v>0.990532675</v>
      </c>
      <c r="AN511" s="30">
        <f>IFERROR(__xludf.DUMMYFUNCTION("""COMPUTED_VALUE"""),0.8853964579326342)</f>
        <v>0.8853964579</v>
      </c>
      <c r="AO511" s="30">
        <f>IFERROR(__xludf.DUMMYFUNCTION("""COMPUTED_VALUE"""),0.5845895376660729)</f>
        <v>0.5845895377</v>
      </c>
      <c r="AP511" s="30">
        <f>IFERROR(__xludf.DUMMYFUNCTION("""COMPUTED_VALUE"""),0.8762595682465937)</f>
        <v>0.8762595682</v>
      </c>
      <c r="AQ511" s="30">
        <f>IFERROR(__xludf.DUMMYFUNCTION("""COMPUTED_VALUE"""),1.0638115019542316)</f>
        <v>1.063811502</v>
      </c>
      <c r="AR511" s="30">
        <f>IFERROR(__xludf.DUMMYFUNCTION("""COMPUTED_VALUE"""),0.8689747677449527)</f>
        <v>0.8689747677</v>
      </c>
      <c r="AS511" s="30">
        <f>IFERROR(__xludf.DUMMYFUNCTION("""COMPUTED_VALUE"""),44.0)</f>
        <v>44</v>
      </c>
      <c r="AT511" s="30">
        <f>IFERROR(__xludf.DUMMYFUNCTION("""COMPUTED_VALUE"""),0.45990582518532797)</f>
        <v>0.4599058252</v>
      </c>
      <c r="AU511" s="30">
        <f>IFERROR(__xludf.DUMMYFUNCTION("""COMPUTED_VALUE"""),1.8681035246064097)</f>
        <v>1.868103525</v>
      </c>
      <c r="AV511" s="32">
        <f>IFERROR(__xludf.DUMMYFUNCTION("""COMPUTED_VALUE"""),32.67147004271659)</f>
        <v>32.67147004</v>
      </c>
      <c r="AW511" s="32">
        <f>IFERROR(__xludf.DUMMYFUNCTION("""COMPUTED_VALUE"""),-4.096505933891192)</f>
        <v>-4.096505934</v>
      </c>
      <c r="AX511" s="32">
        <f>IFERROR(__xludf.DUMMYFUNCTION("""COMPUTED_VALUE"""),43.68243190036603)</f>
        <v>43.6824319</v>
      </c>
      <c r="AY511" s="32">
        <f>IFERROR(__xludf.DUMMYFUNCTION("""COMPUTED_VALUE"""),-2.4984448968265838)</f>
        <v>-2.498444897</v>
      </c>
      <c r="AZ511" s="30">
        <f>IFERROR(__xludf.DUMMYFUNCTION("""COMPUTED_VALUE"""),1.5980610370646087)</f>
        <v>1.598061037</v>
      </c>
      <c r="BA511" s="30">
        <f>IFERROR(__xludf.DUMMYFUNCTION("""COMPUTED_VALUE"""),1700.0)</f>
        <v>1700</v>
      </c>
    </row>
    <row r="512">
      <c r="A512" s="71" t="str">
        <f>IFERROR(__xludf.DUMMYFUNCTION("""COMPUTED_VALUE"""),"Rival")</f>
        <v>Rival</v>
      </c>
      <c r="B512" s="71" t="str">
        <f>IFERROR(__xludf.DUMMYFUNCTION("""COMPUTED_VALUE"""),"RSC005934")</f>
        <v>RSC005934</v>
      </c>
      <c r="C512" s="30" t="str">
        <f>IFERROR(__xludf.DUMMYFUNCTION("""COMPUTED_VALUE"""),"TheodoreThe2")</f>
        <v>TheodoreThe2</v>
      </c>
      <c r="D512" s="30" t="str">
        <f>IFERROR(__xludf.DUMMYFUNCTION("""COMPUTED_VALUE"""),"Ruthless Racket")</f>
        <v>Ruthless Racket</v>
      </c>
      <c r="E512" s="30">
        <f>IFERROR(__xludf.DUMMYFUNCTION("""COMPUTED_VALUE"""),19.0)</f>
        <v>19</v>
      </c>
      <c r="F512" s="30">
        <f>IFERROR(__xludf.DUMMYFUNCTION("""COMPUTED_VALUE"""),6.0)</f>
        <v>6</v>
      </c>
      <c r="G512" s="42">
        <f>IFERROR(__xludf.DUMMYFUNCTION("""COMPUTED_VALUE"""),13.0)</f>
        <v>13</v>
      </c>
      <c r="H512" s="42">
        <f>IFERROR(__xludf.DUMMYFUNCTION("""COMPUTED_VALUE"""),0.3157894736842105)</f>
        <v>0.3157894737</v>
      </c>
      <c r="I512" s="42">
        <f>IFERROR(__xludf.DUMMYFUNCTION("""COMPUTED_VALUE"""),0.2631578947368421)</f>
        <v>0.2631578947</v>
      </c>
      <c r="J512" s="30">
        <f>IFERROR(__xludf.DUMMYFUNCTION("""COMPUTED_VALUE"""),334.10526315789474)</f>
        <v>334.1052632</v>
      </c>
      <c r="K512" s="30">
        <f>IFERROR(__xludf.DUMMYFUNCTION("""COMPUTED_VALUE"""),0.5263157894736842)</f>
        <v>0.5263157895</v>
      </c>
      <c r="L512" s="30">
        <f>IFERROR(__xludf.DUMMYFUNCTION("""COMPUTED_VALUE"""),0.47368421052631576)</f>
        <v>0.4736842105</v>
      </c>
      <c r="M512" s="30">
        <f>IFERROR(__xludf.DUMMYFUNCTION("""COMPUTED_VALUE"""),1.4210526315789473)</f>
        <v>1.421052632</v>
      </c>
      <c r="N512" s="30">
        <f>IFERROR(__xludf.DUMMYFUNCTION("""COMPUTED_VALUE"""),2.0)</f>
        <v>2</v>
      </c>
      <c r="O512" s="30">
        <f>IFERROR(__xludf.DUMMYFUNCTION("""COMPUTED_VALUE"""),361.50877192982455)</f>
        <v>361.5087719</v>
      </c>
      <c r="P512" s="30">
        <f>IFERROR(__xludf.DUMMYFUNCTION("""COMPUTED_VALUE"""),0.8771929824561404)</f>
        <v>0.8771929825</v>
      </c>
      <c r="Q512" s="30">
        <f>IFERROR(__xludf.DUMMYFUNCTION("""COMPUTED_VALUE"""),0.6140350877192983)</f>
        <v>0.6140350877</v>
      </c>
      <c r="R512" s="30">
        <f>IFERROR(__xludf.DUMMYFUNCTION("""COMPUTED_VALUE"""),1.0350877192982455)</f>
        <v>1.035087719</v>
      </c>
      <c r="S512" s="30">
        <f>IFERROR(__xludf.DUMMYFUNCTION("""COMPUTED_VALUE"""),2.912280701754386)</f>
        <v>2.912280702</v>
      </c>
      <c r="T512" s="30">
        <f>IFERROR(__xludf.DUMMYFUNCTION("""COMPUTED_VALUE"""),349.31866430640383)</f>
        <v>349.3186643</v>
      </c>
      <c r="U512" s="30">
        <f>IFERROR(__xludf.DUMMYFUNCTION("""COMPUTED_VALUE"""),0.8100870311073239)</f>
        <v>0.8100870311</v>
      </c>
      <c r="V512" s="30">
        <f>IFERROR(__xludf.DUMMYFUNCTION("""COMPUTED_VALUE"""),0.5796421168273894)</f>
        <v>0.5796421168</v>
      </c>
      <c r="W512" s="30">
        <f>IFERROR(__xludf.DUMMYFUNCTION("""COMPUTED_VALUE"""),1.2497385481407397)</f>
        <v>1.249738548</v>
      </c>
      <c r="X512" s="30">
        <f>IFERROR(__xludf.DUMMYFUNCTION("""COMPUTED_VALUE"""),2.6064760205732957)</f>
        <v>2.606476021</v>
      </c>
      <c r="Y512" s="30">
        <f>IFERROR(__xludf.DUMMYFUNCTION("""COMPUTED_VALUE"""),344.91273634937323)</f>
        <v>344.9127363</v>
      </c>
      <c r="Z512" s="30">
        <f>IFERROR(__xludf.DUMMYFUNCTION("""COMPUTED_VALUE"""),0.7810268268418432)</f>
        <v>0.7810268268</v>
      </c>
      <c r="AA512" s="30">
        <f>IFERROR(__xludf.DUMMYFUNCTION("""COMPUTED_VALUE"""),0.5574032452082874)</f>
        <v>0.5574032452</v>
      </c>
      <c r="AB512" s="30">
        <f>IFERROR(__xludf.DUMMYFUNCTION("""COMPUTED_VALUE"""),1.279764435816443)</f>
        <v>1.279764436</v>
      </c>
      <c r="AC512" s="30">
        <f>IFERROR(__xludf.DUMMYFUNCTION("""COMPUTED_VALUE"""),2.5106453611142716)</f>
        <v>2.510645361</v>
      </c>
      <c r="AD512" s="30">
        <f>IFERROR(__xludf.DUMMYFUNCTION("""COMPUTED_VALUE"""),0.9686660652028481)</f>
        <v>0.9686660652</v>
      </c>
      <c r="AE512" s="30">
        <f>IFERROR(__xludf.DUMMYFUNCTION("""COMPUTED_VALUE"""),0.6738767112544553)</f>
        <v>0.6738767113</v>
      </c>
      <c r="AF512" s="30">
        <f>IFERROR(__xludf.DUMMYFUNCTION("""COMPUTED_VALUE"""),0.8498052614482214)</f>
        <v>0.8498052614</v>
      </c>
      <c r="AG512" s="30">
        <f>IFERROR(__xludf.DUMMYFUNCTION("""COMPUTED_VALUE"""),1.1104017206669503)</f>
        <v>1.110401721</v>
      </c>
      <c r="AH512" s="30">
        <f>IFERROR(__xludf.DUMMYFUNCTION("""COMPUTED_VALUE"""),0.7966079283743851)</f>
        <v>0.7966079284</v>
      </c>
      <c r="AI512" s="30">
        <f>IFERROR(__xludf.DUMMYFUNCTION("""COMPUTED_VALUE"""),1.034896811619342)</f>
        <v>1.034896812</v>
      </c>
      <c r="AJ512" s="30">
        <f>IFERROR(__xludf.DUMMYFUNCTION("""COMPUTED_VALUE"""),1.0828379529259813)</f>
        <v>1.082837953</v>
      </c>
      <c r="AK512" s="30">
        <f>IFERROR(__xludf.DUMMYFUNCTION("""COMPUTED_VALUE"""),1.059334837641121)</f>
        <v>1.059334838</v>
      </c>
      <c r="AL512" s="30">
        <f>IFERROR(__xludf.DUMMYFUNCTION("""COMPUTED_VALUE"""),0.8282434120625994)</f>
        <v>0.8282434121</v>
      </c>
      <c r="AM512" s="30">
        <f>IFERROR(__xludf.DUMMYFUNCTION("""COMPUTED_VALUE"""),1.1173249547539779)</f>
        <v>1.117324955</v>
      </c>
      <c r="AN512" s="30">
        <f>IFERROR(__xludf.DUMMYFUNCTION("""COMPUTED_VALUE"""),0.9853380421814576)</f>
        <v>0.9853380422</v>
      </c>
      <c r="AO512" s="30">
        <f>IFERROR(__xludf.DUMMYFUNCTION("""COMPUTED_VALUE"""),0.7076610192799829)</f>
        <v>0.7076610193</v>
      </c>
      <c r="AP512" s="30">
        <f>IFERROR(__xludf.DUMMYFUNCTION("""COMPUTED_VALUE"""),0.8678743092203104)</f>
        <v>0.8678743092</v>
      </c>
      <c r="AQ512" s="30">
        <f>IFERROR(__xludf.DUMMYFUNCTION("""COMPUTED_VALUE"""),1.0865574715683846)</f>
        <v>1.086557472</v>
      </c>
      <c r="AR512" s="30">
        <f>IFERROR(__xludf.DUMMYFUNCTION("""COMPUTED_VALUE"""),0.7994567863253565)</f>
        <v>0.7994567863</v>
      </c>
      <c r="AS512" s="30">
        <f>IFERROR(__xludf.DUMMYFUNCTION("""COMPUTED_VALUE"""),32.0)</f>
        <v>32</v>
      </c>
      <c r="AT512" s="30">
        <f>IFERROR(__xludf.DUMMYFUNCTION("""COMPUTED_VALUE"""),0.33648213624855194)</f>
        <v>0.3364821362</v>
      </c>
      <c r="AU512" s="30">
        <f>IFERROR(__xludf.DUMMYFUNCTION("""COMPUTED_VALUE"""),1.819483378220077)</f>
        <v>1.819483378</v>
      </c>
      <c r="AV512" s="32">
        <f>IFERROR(__xludf.DUMMYFUNCTION("""COMPUTED_VALUE"""),31.27947647138491)</f>
        <v>31.27947647</v>
      </c>
      <c r="AW512" s="32">
        <f>IFERROR(__xludf.DUMMYFUNCTION("""COMPUTED_VALUE"""),-4.405624662882057)</f>
        <v>-4.405624663</v>
      </c>
      <c r="AX512" s="32">
        <f>IFERROR(__xludf.DUMMYFUNCTION("""COMPUTED_VALUE"""),40.604718993536366)</f>
        <v>40.60471899</v>
      </c>
      <c r="AY512" s="32">
        <f>IFERROR(__xludf.DUMMYFUNCTION("""COMPUTED_VALUE"""),-2.828625340033822)</f>
        <v>-2.82862534</v>
      </c>
      <c r="AZ512" s="30">
        <f>IFERROR(__xludf.DUMMYFUNCTION("""COMPUTED_VALUE"""),1.576999322848235)</f>
        <v>1.576999323</v>
      </c>
      <c r="BA512" s="30">
        <f>IFERROR(__xludf.DUMMYFUNCTION("""COMPUTED_VALUE"""),1700.0)</f>
        <v>1700</v>
      </c>
    </row>
    <row r="513">
      <c r="A513" s="71" t="str">
        <f>IFERROR(__xludf.DUMMYFUNCTION("""COMPUTED_VALUE"""),"Rival")</f>
        <v>Rival</v>
      </c>
      <c r="B513" s="71" t="str">
        <f>IFERROR(__xludf.DUMMYFUNCTION("""COMPUTED_VALUE"""),"RSC007959")</f>
        <v>RSC007959</v>
      </c>
      <c r="C513" s="30" t="str">
        <f>IFERROR(__xludf.DUMMYFUNCTION("""COMPUTED_VALUE"""),"Cam")</f>
        <v>Cam</v>
      </c>
      <c r="D513" s="30" t="str">
        <f>IFERROR(__xludf.DUMMYFUNCTION("""COMPUTED_VALUE"""),"Mining Legion")</f>
        <v>Mining Legion</v>
      </c>
      <c r="E513" s="30">
        <f>IFERROR(__xludf.DUMMYFUNCTION("""COMPUTED_VALUE"""),41.0)</f>
        <v>41</v>
      </c>
      <c r="F513" s="30">
        <f>IFERROR(__xludf.DUMMYFUNCTION("""COMPUTED_VALUE"""),29.0)</f>
        <v>29</v>
      </c>
      <c r="G513" s="42">
        <f>IFERROR(__xludf.DUMMYFUNCTION("""COMPUTED_VALUE"""),12.0)</f>
        <v>12</v>
      </c>
      <c r="H513" s="42">
        <f>IFERROR(__xludf.DUMMYFUNCTION("""COMPUTED_VALUE"""),0.7073170731707317)</f>
        <v>0.7073170732</v>
      </c>
      <c r="I513" s="42">
        <f>IFERROR(__xludf.DUMMYFUNCTION("""COMPUTED_VALUE"""),0.3482142857142857)</f>
        <v>0.3482142857</v>
      </c>
      <c r="J513" s="30">
        <f>IFERROR(__xludf.DUMMYFUNCTION("""COMPUTED_VALUE"""),360.7073170731707)</f>
        <v>360.7073171</v>
      </c>
      <c r="K513" s="30">
        <f>IFERROR(__xludf.DUMMYFUNCTION("""COMPUTED_VALUE"""),0.9512195121951219)</f>
        <v>0.9512195122</v>
      </c>
      <c r="L513" s="30">
        <f>IFERROR(__xludf.DUMMYFUNCTION("""COMPUTED_VALUE"""),0.5121951219512195)</f>
        <v>0.512195122</v>
      </c>
      <c r="M513" s="30">
        <f>IFERROR(__xludf.DUMMYFUNCTION("""COMPUTED_VALUE"""),1.5365853658536586)</f>
        <v>1.536585366</v>
      </c>
      <c r="N513" s="30">
        <f>IFERROR(__xludf.DUMMYFUNCTION("""COMPUTED_VALUE"""),2.731707317073171)</f>
        <v>2.731707317</v>
      </c>
      <c r="O513" s="30">
        <f>IFERROR(__xludf.DUMMYFUNCTION("""COMPUTED_VALUE"""),311.0894308943089)</f>
        <v>311.0894309</v>
      </c>
      <c r="P513" s="30">
        <f>IFERROR(__xludf.DUMMYFUNCTION("""COMPUTED_VALUE"""),0.5447154471544715)</f>
        <v>0.5447154472</v>
      </c>
      <c r="Q513" s="30">
        <f>IFERROR(__xludf.DUMMYFUNCTION("""COMPUTED_VALUE"""),0.34146341463414637)</f>
        <v>0.3414634146</v>
      </c>
      <c r="R513" s="30">
        <f>IFERROR(__xludf.DUMMYFUNCTION("""COMPUTED_VALUE"""),1.4390243902439024)</f>
        <v>1.43902439</v>
      </c>
      <c r="S513" s="30">
        <f>IFERROR(__xludf.DUMMYFUNCTION("""COMPUTED_VALUE"""),2.0975609756097557)</f>
        <v>2.097560976</v>
      </c>
      <c r="T513" s="30">
        <f>IFERROR(__xludf.DUMMYFUNCTION("""COMPUTED_VALUE"""),339.26052539465024)</f>
        <v>339.2605254</v>
      </c>
      <c r="U513" s="30">
        <f>IFERROR(__xludf.DUMMYFUNCTION("""COMPUTED_VALUE"""),0.7386969667538481)</f>
        <v>0.7386969668</v>
      </c>
      <c r="V513" s="30">
        <f>IFERROR(__xludf.DUMMYFUNCTION("""COMPUTED_VALUE"""),0.5057178852550105)</f>
        <v>0.5057178853</v>
      </c>
      <c r="W513" s="30">
        <f>IFERROR(__xludf.DUMMYFUNCTION("""COMPUTED_VALUE"""),1.3129656262708906)</f>
        <v>1.312965626</v>
      </c>
      <c r="X513" s="30">
        <f>IFERROR(__xludf.DUMMYFUNCTION("""COMPUTED_VALUE"""),2.4513414803348272)</f>
        <v>2.45134148</v>
      </c>
      <c r="Y513" s="30">
        <f>IFERROR(__xludf.DUMMYFUNCTION("""COMPUTED_VALUE"""),345.9982765572047)</f>
        <v>345.9982766</v>
      </c>
      <c r="Z513" s="30">
        <f>IFERROR(__xludf.DUMMYFUNCTION("""COMPUTED_VALUE"""),0.7993208359895939)</f>
        <v>0.799320836</v>
      </c>
      <c r="AA513" s="30">
        <f>IFERROR(__xludf.DUMMYFUNCTION("""COMPUTED_VALUE"""),0.5742250381878513)</f>
        <v>0.5742250382</v>
      </c>
      <c r="AB513" s="30">
        <f>IFERROR(__xludf.DUMMYFUNCTION("""COMPUTED_VALUE"""),1.25449752202808)</f>
        <v>1.254497522</v>
      </c>
      <c r="AC513" s="30">
        <f>IFERROR(__xludf.DUMMYFUNCTION("""COMPUTED_VALUE"""),2.569635977938642)</f>
        <v>2.569635978</v>
      </c>
      <c r="AD513" s="30">
        <f>IFERROR(__xludf.DUMMYFUNCTION("""COMPUTED_VALUE"""),1.0425118895455947)</f>
        <v>1.04251189</v>
      </c>
      <c r="AE513" s="30">
        <f>IFERROR(__xludf.DUMMYFUNCTION("""COMPUTED_VALUE"""),1.190034676147871)</f>
        <v>1.190034676</v>
      </c>
      <c r="AF513" s="30">
        <f>IFERROR(__xludf.DUMMYFUNCTION("""COMPUTED_VALUE"""),0.891976294812245)</f>
        <v>0.8919762948</v>
      </c>
      <c r="AG513" s="30">
        <f>IFERROR(__xludf.DUMMYFUNCTION("""COMPUTED_VALUE"""),1.2248612204267586)</f>
        <v>1.22486122</v>
      </c>
      <c r="AH513" s="30">
        <f>IFERROR(__xludf.DUMMYFUNCTION("""COMPUTED_VALUE"""),1.0630717115287833)</f>
        <v>1.063071712</v>
      </c>
      <c r="AI513" s="30">
        <f>IFERROR(__xludf.DUMMYFUNCTION("""COMPUTED_VALUE"""),0.9169632409559856)</f>
        <v>0.916963241</v>
      </c>
      <c r="AJ513" s="30">
        <f>IFERROR(__xludf.DUMMYFUNCTION("""COMPUTED_VALUE"""),0.7374004113597288)</f>
        <v>0.7374004114</v>
      </c>
      <c r="AK513" s="30">
        <f>IFERROR(__xludf.DUMMYFUNCTION("""COMPUTED_VALUE"""),0.6752053359986704)</f>
        <v>0.675205336</v>
      </c>
      <c r="AL513" s="30">
        <f>IFERROR(__xludf.DUMMYFUNCTION("""COMPUTED_VALUE"""),1.0960107115150046)</f>
        <v>1.096010712</v>
      </c>
      <c r="AM513" s="30">
        <f>IFERROR(__xludf.DUMMYFUNCTION("""COMPUTED_VALUE"""),0.8556788160429004)</f>
        <v>0.855678816</v>
      </c>
      <c r="AN513" s="30">
        <f>IFERROR(__xludf.DUMMYFUNCTION("""COMPUTED_VALUE"""),1.063792405561229)</f>
        <v>1.063792406</v>
      </c>
      <c r="AO513" s="30">
        <f>IFERROR(__xludf.DUMMYFUNCTION("""COMPUTED_VALUE"""),1.2789678421621156)</f>
        <v>1.278967842</v>
      </c>
      <c r="AP513" s="30">
        <f>IFERROR(__xludf.DUMMYFUNCTION("""COMPUTED_VALUE"""),0.938433196148791)</f>
        <v>0.9384331961</v>
      </c>
      <c r="AQ513" s="30">
        <f>IFERROR(__xludf.DUMMYFUNCTION("""COMPUTED_VALUE"""),1.1748954773869524)</f>
        <v>1.174895477</v>
      </c>
      <c r="AR513" s="30">
        <f>IFERROR(__xludf.DUMMYFUNCTION("""COMPUTED_VALUE"""),1.0919409764443895)</f>
        <v>1.091940976</v>
      </c>
      <c r="AS513" s="30">
        <f>IFERROR(__xludf.DUMMYFUNCTION("""COMPUTED_VALUE"""),114.0)</f>
        <v>114</v>
      </c>
      <c r="AT513" s="30">
        <f>IFERROR(__xludf.DUMMYFUNCTION("""COMPUTED_VALUE"""),0.6929486274188414)</f>
        <v>0.6929486274</v>
      </c>
      <c r="AU513" s="30">
        <f>IFERROR(__xludf.DUMMYFUNCTION("""COMPUTED_VALUE"""),3.164541341824653)</f>
        <v>3.164541342</v>
      </c>
      <c r="AV513" s="32">
        <f>IFERROR(__xludf.DUMMYFUNCTION("""COMPUTED_VALUE"""),69.78845222659501)</f>
        <v>69.78845223</v>
      </c>
      <c r="AW513" s="32">
        <f>IFERROR(__xludf.DUMMYFUNCTION("""COMPUTED_VALUE"""),4.666028338655971)</f>
        <v>4.666028339</v>
      </c>
      <c r="AX513" s="32">
        <f>IFERROR(__xludf.DUMMYFUNCTION("""COMPUTED_VALUE"""),61.5162182172774)</f>
        <v>61.51621822</v>
      </c>
      <c r="AY513" s="32">
        <f>IFERROR(__xludf.DUMMYFUNCTION("""COMPUTED_VALUE"""),3.100531741263787)</f>
        <v>3.100531741</v>
      </c>
      <c r="AZ513" s="30">
        <f>IFERROR(__xludf.DUMMYFUNCTION("""COMPUTED_VALUE"""),1.5654965973921837)</f>
        <v>1.565496597</v>
      </c>
      <c r="BA513" s="30">
        <f>IFERROR(__xludf.DUMMYFUNCTION("""COMPUTED_VALUE"""),1700.0)</f>
        <v>1700</v>
      </c>
    </row>
    <row r="514">
      <c r="A514" s="71" t="str">
        <f>IFERROR(__xludf.DUMMYFUNCTION("""COMPUTED_VALUE"""),"Rival")</f>
        <v>Rival</v>
      </c>
      <c r="B514" s="71" t="str">
        <f>IFERROR(__xludf.DUMMYFUNCTION("""COMPUTED_VALUE"""),"RSC007318")</f>
        <v>RSC007318</v>
      </c>
      <c r="C514" s="30" t="str">
        <f>IFERROR(__xludf.DUMMYFUNCTION("""COMPUTED_VALUE"""),"xd Dylan591")</f>
        <v>xd Dylan591</v>
      </c>
      <c r="D514" s="30" t="str">
        <f>IFERROR(__xludf.DUMMYFUNCTION("""COMPUTED_VALUE"""),"Wind")</f>
        <v>Wind</v>
      </c>
      <c r="E514" s="30">
        <f>IFERROR(__xludf.DUMMYFUNCTION("""COMPUTED_VALUE"""),26.0)</f>
        <v>26</v>
      </c>
      <c r="F514" s="30">
        <f>IFERROR(__xludf.DUMMYFUNCTION("""COMPUTED_VALUE"""),17.0)</f>
        <v>17</v>
      </c>
      <c r="G514" s="42">
        <f>IFERROR(__xludf.DUMMYFUNCTION("""COMPUTED_VALUE"""),9.0)</f>
        <v>9</v>
      </c>
      <c r="H514" s="42">
        <f>IFERROR(__xludf.DUMMYFUNCTION("""COMPUTED_VALUE"""),0.6538461538461539)</f>
        <v>0.6538461538</v>
      </c>
      <c r="I514" s="42">
        <f>IFERROR(__xludf.DUMMYFUNCTION("""COMPUTED_VALUE"""),0.23636363636363636)</f>
        <v>0.2363636364</v>
      </c>
      <c r="J514" s="30">
        <f>IFERROR(__xludf.DUMMYFUNCTION("""COMPUTED_VALUE"""),294.6923076923077)</f>
        <v>294.6923077</v>
      </c>
      <c r="K514" s="30">
        <f>IFERROR(__xludf.DUMMYFUNCTION("""COMPUTED_VALUE"""),0.5)</f>
        <v>0.5</v>
      </c>
      <c r="L514" s="30">
        <f>IFERROR(__xludf.DUMMYFUNCTION("""COMPUTED_VALUE"""),0.5)</f>
        <v>0.5</v>
      </c>
      <c r="M514" s="30">
        <f>IFERROR(__xludf.DUMMYFUNCTION("""COMPUTED_VALUE"""),1.3461538461538463)</f>
        <v>1.346153846</v>
      </c>
      <c r="N514" s="30">
        <f>IFERROR(__xludf.DUMMYFUNCTION("""COMPUTED_VALUE"""),2.1153846153846154)</f>
        <v>2.115384615</v>
      </c>
      <c r="O514" s="30">
        <f>IFERROR(__xludf.DUMMYFUNCTION("""COMPUTED_VALUE"""),343.3076923076923)</f>
        <v>343.3076923</v>
      </c>
      <c r="P514" s="30">
        <f>IFERROR(__xludf.DUMMYFUNCTION("""COMPUTED_VALUE"""),0.7435897435897434)</f>
        <v>0.7435897436</v>
      </c>
      <c r="Q514" s="30">
        <f>IFERROR(__xludf.DUMMYFUNCTION("""COMPUTED_VALUE"""),0.5512820512820513)</f>
        <v>0.5512820513</v>
      </c>
      <c r="R514" s="30">
        <f>IFERROR(__xludf.DUMMYFUNCTION("""COMPUTED_VALUE"""),1.3461538461538458)</f>
        <v>1.346153846</v>
      </c>
      <c r="S514" s="30">
        <f>IFERROR(__xludf.DUMMYFUNCTION("""COMPUTED_VALUE"""),2.833333333333333)</f>
        <v>2.833333333</v>
      </c>
      <c r="T514" s="30">
        <f>IFERROR(__xludf.DUMMYFUNCTION("""COMPUTED_VALUE"""),339.9979571883327)</f>
        <v>339.9979572</v>
      </c>
      <c r="U514" s="30">
        <f>IFERROR(__xludf.DUMMYFUNCTION("""COMPUTED_VALUE"""),0.7456134838371208)</f>
        <v>0.7456134838</v>
      </c>
      <c r="V514" s="30">
        <f>IFERROR(__xludf.DUMMYFUNCTION("""COMPUTED_VALUE"""),0.5499047207346675)</f>
        <v>0.5499047207</v>
      </c>
      <c r="W514" s="30">
        <f>IFERROR(__xludf.DUMMYFUNCTION("""COMPUTED_VALUE"""),1.2939416251313887)</f>
        <v>1.293941625</v>
      </c>
      <c r="X514" s="30">
        <f>IFERROR(__xludf.DUMMYFUNCTION("""COMPUTED_VALUE"""),2.537672131592006)</f>
        <v>2.537672132</v>
      </c>
      <c r="Y514" s="30">
        <f>IFERROR(__xludf.DUMMYFUNCTION("""COMPUTED_VALUE"""),359.38701363636613)</f>
        <v>359.3870136</v>
      </c>
      <c r="Z514" s="30">
        <f>IFERROR(__xludf.DUMMYFUNCTION("""COMPUTED_VALUE"""),0.8603763798781413)</f>
        <v>0.8603763799</v>
      </c>
      <c r="AA514" s="30">
        <f>IFERROR(__xludf.DUMMYFUNCTION("""COMPUTED_VALUE"""),0.6035314643980064)</f>
        <v>0.6035314644</v>
      </c>
      <c r="AB514" s="30">
        <f>IFERROR(__xludf.DUMMYFUNCTION("""COMPUTED_VALUE"""),1.3143609331102535)</f>
        <v>1.314360933</v>
      </c>
      <c r="AC514" s="30">
        <f>IFERROR(__xludf.DUMMYFUNCTION("""COMPUTED_VALUE"""),2.6462952170161063)</f>
        <v>2.646295217</v>
      </c>
      <c r="AD514" s="30">
        <f>IFERROR(__xludf.DUMMYFUNCTION("""COMPUTED_VALUE"""),0.8199859664113582)</f>
        <v>0.8199859664</v>
      </c>
      <c r="AE514" s="30">
        <f>IFERROR(__xludf.DUMMYFUNCTION("""COMPUTED_VALUE"""),0.5811410118799601)</f>
        <v>0.5811410119</v>
      </c>
      <c r="AF514" s="30">
        <f>IFERROR(__xludf.DUMMYFUNCTION("""COMPUTED_VALUE"""),0.8284572213624785)</f>
        <v>0.8284572214</v>
      </c>
      <c r="AG514" s="30">
        <f>IFERROR(__xludf.DUMMYFUNCTION("""COMPUTED_VALUE"""),1.0241888755536572)</f>
        <v>1.024188876</v>
      </c>
      <c r="AH514" s="30">
        <f>IFERROR(__xludf.DUMMYFUNCTION("""COMPUTED_VALUE"""),0.7993758979657107)</f>
        <v>0.799375898</v>
      </c>
      <c r="AI514" s="30">
        <f>IFERROR(__xludf.DUMMYFUNCTION("""COMPUTED_VALUE"""),1.0097345735448824)</f>
        <v>1.009734574</v>
      </c>
      <c r="AJ514" s="30">
        <f>IFERROR(__xludf.DUMMYFUNCTION("""COMPUTED_VALUE"""),0.9972858051909648)</f>
        <v>0.9972858052</v>
      </c>
      <c r="AK514" s="30">
        <f>IFERROR(__xludf.DUMMYFUNCTION("""COMPUTED_VALUE"""),1.0025046712556747)</f>
        <v>1.002504671</v>
      </c>
      <c r="AL514" s="30">
        <f>IFERROR(__xludf.DUMMYFUNCTION("""COMPUTED_VALUE"""),1.0403512956136298)</f>
        <v>1.040351296</v>
      </c>
      <c r="AM514" s="30">
        <f>IFERROR(__xludf.DUMMYFUNCTION("""COMPUTED_VALUE"""),1.116508826361207)</f>
        <v>1.116508826</v>
      </c>
      <c r="AN514" s="30">
        <f>IFERROR(__xludf.DUMMYFUNCTION("""COMPUTED_VALUE"""),0.8691019673349101)</f>
        <v>0.8691019673</v>
      </c>
      <c r="AO514" s="30">
        <f>IFERROR(__xludf.DUMMYFUNCTION("""COMPUTED_VALUE"""),0.6722779683159839)</f>
        <v>0.6722779683</v>
      </c>
      <c r="AP514" s="30">
        <f>IFERROR(__xludf.DUMMYFUNCTION("""COMPUTED_VALUE"""),0.9160895486214388)</f>
        <v>0.9160895486</v>
      </c>
      <c r="AQ514" s="30">
        <f>IFERROR(__xludf.DUMMYFUNCTION("""COMPUTED_VALUE"""),1.0292887729244669)</f>
        <v>1.029288773</v>
      </c>
      <c r="AR514" s="30">
        <f>IFERROR(__xludf.DUMMYFUNCTION("""COMPUTED_VALUE"""),0.8455792932287426)</f>
        <v>0.8455792932</v>
      </c>
      <c r="AS514" s="30">
        <f>IFERROR(__xludf.DUMMYFUNCTION("""COMPUTED_VALUE"""),70.0)</f>
        <v>70</v>
      </c>
      <c r="AT514" s="30">
        <f>IFERROR(__xludf.DUMMYFUNCTION("""COMPUTED_VALUE"""),0.5737414243615027)</f>
        <v>0.5737414244</v>
      </c>
      <c r="AU514" s="30">
        <f>IFERROR(__xludf.DUMMYFUNCTION("""COMPUTED_VALUE"""),1.6978452978748408)</f>
        <v>1.697845298</v>
      </c>
      <c r="AV514" s="32">
        <f>IFERROR(__xludf.DUMMYFUNCTION("""COMPUTED_VALUE"""),27.796981282573807)</f>
        <v>27.79698128</v>
      </c>
      <c r="AW514" s="32">
        <f>IFERROR(__xludf.DUMMYFUNCTION("""COMPUTED_VALUE"""),-5.340799018107138)</f>
        <v>-5.340799018</v>
      </c>
      <c r="AX514" s="32">
        <f>IFERROR(__xludf.DUMMYFUNCTION("""COMPUTED_VALUE"""),23.55386037926013)</f>
        <v>23.55386038</v>
      </c>
      <c r="AY514" s="32">
        <f>IFERROR(__xludf.DUMMYFUNCTION("""COMPUTED_VALUE"""),-6.893560236951694)</f>
        <v>-6.893560237</v>
      </c>
      <c r="AZ514" s="30">
        <f>IFERROR(__xludf.DUMMYFUNCTION("""COMPUTED_VALUE"""),1.552761218844556)</f>
        <v>1.552761219</v>
      </c>
      <c r="BA514" s="30">
        <f>IFERROR(__xludf.DUMMYFUNCTION("""COMPUTED_VALUE"""),1700.0)</f>
        <v>1700</v>
      </c>
    </row>
    <row r="515">
      <c r="A515" s="71" t="str">
        <f>IFERROR(__xludf.DUMMYFUNCTION("""COMPUTED_VALUE"""),"Rival")</f>
        <v>Rival</v>
      </c>
      <c r="B515" s="71" t="str">
        <f>IFERROR(__xludf.DUMMYFUNCTION("""COMPUTED_VALUE"""),"RSC006372")</f>
        <v>RSC006372</v>
      </c>
      <c r="C515" s="30" t="str">
        <f>IFERROR(__xludf.DUMMYFUNCTION("""COMPUTED_VALUE"""),"x ARC Fives x")</f>
        <v>x ARC Fives x</v>
      </c>
      <c r="D515" s="30" t="str">
        <f>IFERROR(__xludf.DUMMYFUNCTION("""COMPUTED_VALUE"""),"Heavy Metal")</f>
        <v>Heavy Metal</v>
      </c>
      <c r="E515" s="30">
        <f>IFERROR(__xludf.DUMMYFUNCTION("""COMPUTED_VALUE"""),13.0)</f>
        <v>13</v>
      </c>
      <c r="F515" s="30">
        <f>IFERROR(__xludf.DUMMYFUNCTION("""COMPUTED_VALUE"""),4.0)</f>
        <v>4</v>
      </c>
      <c r="G515" s="42">
        <f>IFERROR(__xludf.DUMMYFUNCTION("""COMPUTED_VALUE"""),9.0)</f>
        <v>9</v>
      </c>
      <c r="H515" s="42">
        <f>IFERROR(__xludf.DUMMYFUNCTION("""COMPUTED_VALUE"""),0.3076923076923077)</f>
        <v>0.3076923077</v>
      </c>
      <c r="I515" s="42">
        <f>IFERROR(__xludf.DUMMYFUNCTION("""COMPUTED_VALUE"""),0.3636363636363637)</f>
        <v>0.3636363636</v>
      </c>
      <c r="J515" s="30">
        <f>IFERROR(__xludf.DUMMYFUNCTION("""COMPUTED_VALUE"""),337.6923076923077)</f>
        <v>337.6923077</v>
      </c>
      <c r="K515" s="30">
        <f>IFERROR(__xludf.DUMMYFUNCTION("""COMPUTED_VALUE"""),0.9230769230769231)</f>
        <v>0.9230769231</v>
      </c>
      <c r="L515" s="30">
        <f>IFERROR(__xludf.DUMMYFUNCTION("""COMPUTED_VALUE"""),0.38461538461538464)</f>
        <v>0.3846153846</v>
      </c>
      <c r="M515" s="30">
        <f>IFERROR(__xludf.DUMMYFUNCTION("""COMPUTED_VALUE"""),1.6923076923076923)</f>
        <v>1.692307692</v>
      </c>
      <c r="N515" s="30">
        <f>IFERROR(__xludf.DUMMYFUNCTION("""COMPUTED_VALUE"""),2.5384615384615383)</f>
        <v>2.538461538</v>
      </c>
      <c r="O515" s="30">
        <f>IFERROR(__xludf.DUMMYFUNCTION("""COMPUTED_VALUE"""),360.48717948717945)</f>
        <v>360.4871795</v>
      </c>
      <c r="P515" s="30">
        <f>IFERROR(__xludf.DUMMYFUNCTION("""COMPUTED_VALUE"""),0.8717948717948717)</f>
        <v>0.8717948718</v>
      </c>
      <c r="Q515" s="30">
        <f>IFERROR(__xludf.DUMMYFUNCTION("""COMPUTED_VALUE"""),0.5897435897435896)</f>
        <v>0.5897435897</v>
      </c>
      <c r="R515" s="30">
        <f>IFERROR(__xludf.DUMMYFUNCTION("""COMPUTED_VALUE"""),1.3846153846153844)</f>
        <v>1.384615385</v>
      </c>
      <c r="S515" s="30">
        <f>IFERROR(__xludf.DUMMYFUNCTION("""COMPUTED_VALUE"""),3.025641025641026)</f>
        <v>3.025641026</v>
      </c>
      <c r="T515" s="30">
        <f>IFERROR(__xludf.DUMMYFUNCTION("""COMPUTED_VALUE"""),334.3028160627997)</f>
        <v>334.3028161</v>
      </c>
      <c r="U515" s="30">
        <f>IFERROR(__xludf.DUMMYFUNCTION("""COMPUTED_VALUE"""),0.7234051153942794)</f>
        <v>0.7234051154</v>
      </c>
      <c r="V515" s="30">
        <f>IFERROR(__xludf.DUMMYFUNCTION("""COMPUTED_VALUE"""),0.5693406007278496)</f>
        <v>0.5693406007</v>
      </c>
      <c r="W515" s="30">
        <f>IFERROR(__xludf.DUMMYFUNCTION("""COMPUTED_VALUE"""),1.264294943776908)</f>
        <v>1.264294944</v>
      </c>
      <c r="X515" s="30">
        <f>IFERROR(__xludf.DUMMYFUNCTION("""COMPUTED_VALUE"""),2.4459660823050915)</f>
        <v>2.445966082</v>
      </c>
      <c r="Y515" s="30">
        <f>IFERROR(__xludf.DUMMYFUNCTION("""COMPUTED_VALUE"""),347.7191086428532)</f>
        <v>347.7191086</v>
      </c>
      <c r="Z515" s="30">
        <f>IFERROR(__xludf.DUMMYFUNCTION("""COMPUTED_VALUE"""),0.7888474369250523)</f>
        <v>0.7888474369</v>
      </c>
      <c r="AA515" s="30">
        <f>IFERROR(__xludf.DUMMYFUNCTION("""COMPUTED_VALUE"""),0.5441581117385711)</f>
        <v>0.5441581117</v>
      </c>
      <c r="AB515" s="30">
        <f>IFERROR(__xludf.DUMMYFUNCTION("""COMPUTED_VALUE"""),1.3463133650125154)</f>
        <v>1.346313365</v>
      </c>
      <c r="AC515" s="30">
        <f>IFERROR(__xludf.DUMMYFUNCTION("""COMPUTED_VALUE"""),2.5834404468359398)</f>
        <v>2.583440447</v>
      </c>
      <c r="AD515" s="30">
        <f>IFERROR(__xludf.DUMMYFUNCTION("""COMPUTED_VALUE"""),0.9711640784146718)</f>
        <v>0.9711640784</v>
      </c>
      <c r="AE515" s="30">
        <f>IFERROR(__xludf.DUMMYFUNCTION("""COMPUTED_VALUE"""),1.1701589938291501)</f>
        <v>1.170158994</v>
      </c>
      <c r="AF515" s="30">
        <f>IFERROR(__xludf.DUMMYFUNCTION("""COMPUTED_VALUE"""),0.7068081432923023)</f>
        <v>0.7068081433</v>
      </c>
      <c r="AG515" s="30">
        <f>IFERROR(__xludf.DUMMYFUNCTION("""COMPUTED_VALUE"""),1.2569939037127218)</f>
        <v>1.256993904</v>
      </c>
      <c r="AH515" s="30">
        <f>IFERROR(__xludf.DUMMYFUNCTION("""COMPUTED_VALUE"""),0.9825895315568473)</f>
        <v>0.9825895316</v>
      </c>
      <c r="AI515" s="30">
        <f>IFERROR(__xludf.DUMMYFUNCTION("""COMPUTED_VALUE"""),1.0783252852391796)</f>
        <v>1.078325285</v>
      </c>
      <c r="AJ515" s="30">
        <f>IFERROR(__xludf.DUMMYFUNCTION("""COMPUTED_VALUE"""),1.2051267723199814)</f>
        <v>1.205126772</v>
      </c>
      <c r="AK515" s="30">
        <f>IFERROR(__xludf.DUMMYFUNCTION("""COMPUTED_VALUE"""),1.0358361743210596)</f>
        <v>1.035836174</v>
      </c>
      <c r="AL515" s="30">
        <f>IFERROR(__xludf.DUMMYFUNCTION("""COMPUTED_VALUE"""),1.0951680155257408)</f>
        <v>1.095168016</v>
      </c>
      <c r="AM515" s="30">
        <f>IFERROR(__xludf.DUMMYFUNCTION("""COMPUTED_VALUE"""),1.2369922246794387)</f>
        <v>1.236992225</v>
      </c>
      <c r="AN515" s="30">
        <f>IFERROR(__xludf.DUMMYFUNCTION("""COMPUTED_VALUE"""),0.9959168980945589)</f>
        <v>0.9959168981</v>
      </c>
      <c r="AO515" s="30">
        <f>IFERROR(__xludf.DUMMYFUNCTION("""COMPUTED_VALUE"""),1.241128556891047)</f>
        <v>1.241128557</v>
      </c>
      <c r="AP515" s="30">
        <f>IFERROR(__xludf.DUMMYFUNCTION("""COMPUTED_VALUE"""),0.7046842681703376)</f>
        <v>0.7046842682</v>
      </c>
      <c r="AQ515" s="30">
        <f>IFERROR(__xludf.DUMMYFUNCTION("""COMPUTED_VALUE"""),1.2939630288193298)</f>
        <v>1.293963029</v>
      </c>
      <c r="AR515" s="30">
        <f>IFERROR(__xludf.DUMMYFUNCTION("""COMPUTED_VALUE"""),1.014695151874491)</f>
        <v>1.014695152</v>
      </c>
      <c r="AS515" s="30">
        <f>IFERROR(__xludf.DUMMYFUNCTION("""COMPUTED_VALUE"""),28.0)</f>
        <v>28</v>
      </c>
      <c r="AT515" s="30">
        <f>IFERROR(__xludf.DUMMYFUNCTION("""COMPUTED_VALUE"""),0.4245813211131374)</f>
        <v>0.4245813211</v>
      </c>
      <c r="AU515" s="30">
        <f>IFERROR(__xludf.DUMMYFUNCTION("""COMPUTED_VALUE"""),2.39870917106362)</f>
        <v>2.398709171</v>
      </c>
      <c r="AV515" s="32">
        <f>IFERROR(__xludf.DUMMYFUNCTION("""COMPUTED_VALUE"""),47.86269638975101)</f>
        <v>47.86269639</v>
      </c>
      <c r="AW515" s="32">
        <f>IFERROR(__xludf.DUMMYFUNCTION("""COMPUTED_VALUE"""),-2.1462217890261943)</f>
        <v>-2.146221789</v>
      </c>
      <c r="AX515" s="32">
        <f>IFERROR(__xludf.DUMMYFUNCTION("""COMPUTED_VALUE"""),35.14704249818884)</f>
        <v>35.1470425</v>
      </c>
      <c r="AY515" s="32">
        <f>IFERROR(__xludf.DUMMYFUNCTION("""COMPUTED_VALUE"""),-3.6203485843617056)</f>
        <v>-3.620348584</v>
      </c>
      <c r="AZ515" s="30">
        <f>IFERROR(__xludf.DUMMYFUNCTION("""COMPUTED_VALUE"""),1.4741267953355113)</f>
        <v>1.474126795</v>
      </c>
      <c r="BA515" s="30">
        <f>IFERROR(__xludf.DUMMYFUNCTION("""COMPUTED_VALUE"""),1700.0)</f>
        <v>1700</v>
      </c>
    </row>
    <row r="516">
      <c r="A516" s="71" t="str">
        <f>IFERROR(__xludf.DUMMYFUNCTION("""COMPUTED_VALUE"""),"Rival")</f>
        <v>Rival</v>
      </c>
      <c r="B516" s="71" t="str">
        <f>IFERROR(__xludf.DUMMYFUNCTION("""COMPUTED_VALUE"""),"RSC003945")</f>
        <v>RSC003945</v>
      </c>
      <c r="C516" s="30" t="str">
        <f>IFERROR(__xludf.DUMMYFUNCTION("""COMPUTED_VALUE"""),"Gaw1f3d")</f>
        <v>Gaw1f3d</v>
      </c>
      <c r="D516" s="30" t="str">
        <f>IFERROR(__xludf.DUMMYFUNCTION("""COMPUTED_VALUE"""),"Cursed")</f>
        <v>Cursed</v>
      </c>
      <c r="E516" s="30">
        <f>IFERROR(__xludf.DUMMYFUNCTION("""COMPUTED_VALUE"""),48.0)</f>
        <v>48</v>
      </c>
      <c r="F516" s="30">
        <f>IFERROR(__xludf.DUMMYFUNCTION("""COMPUTED_VALUE"""),32.0)</f>
        <v>32</v>
      </c>
      <c r="G516" s="42">
        <f>IFERROR(__xludf.DUMMYFUNCTION("""COMPUTED_VALUE"""),16.0)</f>
        <v>16</v>
      </c>
      <c r="H516" s="42">
        <f>IFERROR(__xludf.DUMMYFUNCTION("""COMPUTED_VALUE"""),0.6666666666666666)</f>
        <v>0.6666666667</v>
      </c>
      <c r="I516" s="42">
        <f>IFERROR(__xludf.DUMMYFUNCTION("""COMPUTED_VALUE"""),0.2932330827067669)</f>
        <v>0.2932330827</v>
      </c>
      <c r="J516" s="30">
        <f>IFERROR(__xludf.DUMMYFUNCTION("""COMPUTED_VALUE"""),353.8125)</f>
        <v>353.8125</v>
      </c>
      <c r="K516" s="30">
        <f>IFERROR(__xludf.DUMMYFUNCTION("""COMPUTED_VALUE"""),0.8125)</f>
        <v>0.8125</v>
      </c>
      <c r="L516" s="30">
        <f>IFERROR(__xludf.DUMMYFUNCTION("""COMPUTED_VALUE"""),0.625)</f>
        <v>0.625</v>
      </c>
      <c r="M516" s="30">
        <f>IFERROR(__xludf.DUMMYFUNCTION("""COMPUTED_VALUE"""),1.3541666666666667)</f>
        <v>1.354166667</v>
      </c>
      <c r="N516" s="30">
        <f>IFERROR(__xludf.DUMMYFUNCTION("""COMPUTED_VALUE"""),2.7708333333333335)</f>
        <v>2.770833333</v>
      </c>
      <c r="O516" s="30">
        <f>IFERROR(__xludf.DUMMYFUNCTION("""COMPUTED_VALUE"""),329.09722222222223)</f>
        <v>329.0972222</v>
      </c>
      <c r="P516" s="30">
        <f>IFERROR(__xludf.DUMMYFUNCTION("""COMPUTED_VALUE"""),0.611111111111111)</f>
        <v>0.6111111111</v>
      </c>
      <c r="Q516" s="30">
        <f>IFERROR(__xludf.DUMMYFUNCTION("""COMPUTED_VALUE"""),0.45138888888888884)</f>
        <v>0.4513888889</v>
      </c>
      <c r="R516" s="30">
        <f>IFERROR(__xludf.DUMMYFUNCTION("""COMPUTED_VALUE"""),1.4166666666666663)</f>
        <v>1.416666667</v>
      </c>
      <c r="S516" s="30">
        <f>IFERROR(__xludf.DUMMYFUNCTION("""COMPUTED_VALUE"""),2.3680555555555554)</f>
        <v>2.368055556</v>
      </c>
      <c r="T516" s="30">
        <f>IFERROR(__xludf.DUMMYFUNCTION("""COMPUTED_VALUE"""),353.7926791864886)</f>
        <v>353.7926792</v>
      </c>
      <c r="U516" s="30">
        <f>IFERROR(__xludf.DUMMYFUNCTION("""COMPUTED_VALUE"""),0.7879360361520665)</f>
        <v>0.7879360362</v>
      </c>
      <c r="V516" s="30">
        <f>IFERROR(__xludf.DUMMYFUNCTION("""COMPUTED_VALUE"""),0.5911942182685163)</f>
        <v>0.5911942183</v>
      </c>
      <c r="W516" s="30">
        <f>IFERROR(__xludf.DUMMYFUNCTION("""COMPUTED_VALUE"""),1.3436541438861402)</f>
        <v>1.343654144</v>
      </c>
      <c r="X516" s="30">
        <f>IFERROR(__xludf.DUMMYFUNCTION("""COMPUTED_VALUE"""),2.5847118799272497)</f>
        <v>2.58471188</v>
      </c>
      <c r="Y516" s="30">
        <f>IFERROR(__xludf.DUMMYFUNCTION("""COMPUTED_VALUE"""),350.9929923553593)</f>
        <v>350.9929924</v>
      </c>
      <c r="Z516" s="30">
        <f>IFERROR(__xludf.DUMMYFUNCTION("""COMPUTED_VALUE"""),0.8108053901232837)</f>
        <v>0.8108053901</v>
      </c>
      <c r="AA516" s="30">
        <f>IFERROR(__xludf.DUMMYFUNCTION("""COMPUTED_VALUE"""),0.5666236361812251)</f>
        <v>0.5666236362</v>
      </c>
      <c r="AB516" s="30">
        <f>IFERROR(__xludf.DUMMYFUNCTION("""COMPUTED_VALUE"""),1.3096615619216687)</f>
        <v>1.309661562</v>
      </c>
      <c r="AC516" s="30">
        <f>IFERROR(__xludf.DUMMYFUNCTION("""COMPUTED_VALUE"""),2.6197658659854866)</f>
        <v>2.619765866</v>
      </c>
      <c r="AD516" s="30">
        <f>IFERROR(__xludf.DUMMYFUNCTION("""COMPUTED_VALUE"""),1.008032945688517)</f>
        <v>1.008032946</v>
      </c>
      <c r="AE516" s="30">
        <f>IFERROR(__xludf.DUMMYFUNCTION("""COMPUTED_VALUE"""),1.002090032820895)</f>
        <v>1.002090033</v>
      </c>
      <c r="AF516" s="30">
        <f>IFERROR(__xludf.DUMMYFUNCTION("""COMPUTED_VALUE"""),1.1030249359384368)</f>
        <v>1.103024936</v>
      </c>
      <c r="AG516" s="30">
        <f>IFERROR(__xludf.DUMMYFUNCTION("""COMPUTED_VALUE"""),1.0339821416761255)</f>
        <v>1.033982142</v>
      </c>
      <c r="AH516" s="30">
        <f>IFERROR(__xludf.DUMMYFUNCTION("""COMPUTED_VALUE"""),1.0576644918193936)</f>
        <v>1.057664492</v>
      </c>
      <c r="AI516" s="30">
        <f>IFERROR(__xludf.DUMMYFUNCTION("""COMPUTED_VALUE"""),0.9301979424191277)</f>
        <v>0.9301979424</v>
      </c>
      <c r="AJ516" s="30">
        <f>IFERROR(__xludf.DUMMYFUNCTION("""COMPUTED_VALUE"""),0.7755846706739157)</f>
        <v>0.7755846707</v>
      </c>
      <c r="AK516" s="30">
        <f>IFERROR(__xludf.DUMMYFUNCTION("""COMPUTED_VALUE"""),0.7635204725291667)</f>
        <v>0.7635204725</v>
      </c>
      <c r="AL516" s="30">
        <f>IFERROR(__xludf.DUMMYFUNCTION("""COMPUTED_VALUE"""),1.0543387769187076)</f>
        <v>1.054338777</v>
      </c>
      <c r="AM516" s="30">
        <f>IFERROR(__xludf.DUMMYFUNCTION("""COMPUTED_VALUE"""),0.9161777658646455)</f>
        <v>0.9161777659</v>
      </c>
      <c r="AN516" s="30">
        <f>IFERROR(__xludf.DUMMYFUNCTION("""COMPUTED_VALUE"""),1.043458318358099)</f>
        <v>1.043458318</v>
      </c>
      <c r="AO516" s="30">
        <f>IFERROR(__xludf.DUMMYFUNCTION("""COMPUTED_VALUE"""),1.0924516985134738)</f>
        <v>1.092451699</v>
      </c>
      <c r="AP516" s="30">
        <f>IFERROR(__xludf.DUMMYFUNCTION("""COMPUTED_VALUE"""),1.1451119357767985)</f>
        <v>1.145111936</v>
      </c>
      <c r="AQ516" s="30">
        <f>IFERROR(__xludf.DUMMYFUNCTION("""COMPUTED_VALUE"""),1.035415491810922)</f>
        <v>1.035415492</v>
      </c>
      <c r="AR516" s="30">
        <f>IFERROR(__xludf.DUMMYFUNCTION("""COMPUTED_VALUE"""),1.1075807560549211)</f>
        <v>1.107580756</v>
      </c>
      <c r="AS516" s="30">
        <f>IFERROR(__xludf.DUMMYFUNCTION("""COMPUTED_VALUE"""),128.0)</f>
        <v>128</v>
      </c>
      <c r="AT516" s="30">
        <f>IFERROR(__xludf.DUMMYFUNCTION("""COMPUTED_VALUE"""),0.6403683331218046)</f>
        <v>0.6403683331</v>
      </c>
      <c r="AU516" s="30">
        <f>IFERROR(__xludf.DUMMYFUNCTION("""COMPUTED_VALUE"""),3.0180843599804787)</f>
        <v>3.01808436</v>
      </c>
      <c r="AV516" s="32">
        <f>IFERROR(__xludf.DUMMYFUNCTION("""COMPUTED_VALUE"""),65.59539251048854)</f>
        <v>65.59539251</v>
      </c>
      <c r="AW516" s="32">
        <f>IFERROR(__xludf.DUMMYFUNCTION("""COMPUTED_VALUE"""),3.7541157254202355)</f>
        <v>3.754115725</v>
      </c>
      <c r="AX516" s="32">
        <f>IFERROR(__xludf.DUMMYFUNCTION("""COMPUTED_VALUE"""),53.913889501518256)</f>
        <v>53.9138895</v>
      </c>
      <c r="AY516" s="32">
        <f>IFERROR(__xludf.DUMMYFUNCTION("""COMPUTED_VALUE"""),2.284160762139362)</f>
        <v>2.284160762</v>
      </c>
      <c r="AZ516" s="30">
        <f>IFERROR(__xludf.DUMMYFUNCTION("""COMPUTED_VALUE"""),1.4699549632808737)</f>
        <v>1.469954963</v>
      </c>
      <c r="BA516" s="30">
        <f>IFERROR(__xludf.DUMMYFUNCTION("""COMPUTED_VALUE"""),1700.0)</f>
        <v>1700</v>
      </c>
    </row>
    <row r="517">
      <c r="A517" s="71" t="str">
        <f>IFERROR(__xludf.DUMMYFUNCTION("""COMPUTED_VALUE"""),"Rival")</f>
        <v>Rival</v>
      </c>
      <c r="B517" s="71" t="str">
        <f>IFERROR(__xludf.DUMMYFUNCTION("""COMPUTED_VALUE"""),"RSC000190")</f>
        <v>RSC000190</v>
      </c>
      <c r="C517" s="30" t="str">
        <f>IFERROR(__xludf.DUMMYFUNCTION("""COMPUTED_VALUE"""),"leaf.")</f>
        <v>leaf.</v>
      </c>
      <c r="D517" s="30" t="str">
        <f>IFERROR(__xludf.DUMMYFUNCTION("""COMPUTED_VALUE"""),"Hue Heroes")</f>
        <v>Hue Heroes</v>
      </c>
      <c r="E517" s="30">
        <f>IFERROR(__xludf.DUMMYFUNCTION("""COMPUTED_VALUE"""),26.0)</f>
        <v>26</v>
      </c>
      <c r="F517" s="30">
        <f>IFERROR(__xludf.DUMMYFUNCTION("""COMPUTED_VALUE"""),14.0)</f>
        <v>14</v>
      </c>
      <c r="G517" s="42">
        <f>IFERROR(__xludf.DUMMYFUNCTION("""COMPUTED_VALUE"""),12.0)</f>
        <v>12</v>
      </c>
      <c r="H517" s="42">
        <f>IFERROR(__xludf.DUMMYFUNCTION("""COMPUTED_VALUE"""),0.5384615384615384)</f>
        <v>0.5384615385</v>
      </c>
      <c r="I517" s="42">
        <f>IFERROR(__xludf.DUMMYFUNCTION("""COMPUTED_VALUE"""),0.3733333333333333)</f>
        <v>0.3733333333</v>
      </c>
      <c r="J517" s="30">
        <f>IFERROR(__xludf.DUMMYFUNCTION("""COMPUTED_VALUE"""),376.96153846153845)</f>
        <v>376.9615385</v>
      </c>
      <c r="K517" s="30">
        <f>IFERROR(__xludf.DUMMYFUNCTION("""COMPUTED_VALUE"""),1.0769230769230769)</f>
        <v>1.076923077</v>
      </c>
      <c r="L517" s="30">
        <f>IFERROR(__xludf.DUMMYFUNCTION("""COMPUTED_VALUE"""),0.5)</f>
        <v>0.5</v>
      </c>
      <c r="M517" s="30">
        <f>IFERROR(__xludf.DUMMYFUNCTION("""COMPUTED_VALUE"""),1.3846153846153846)</f>
        <v>1.384615385</v>
      </c>
      <c r="N517" s="30">
        <f>IFERROR(__xludf.DUMMYFUNCTION("""COMPUTED_VALUE"""),2.8846153846153846)</f>
        <v>2.884615385</v>
      </c>
      <c r="O517" s="30">
        <f>IFERROR(__xludf.DUMMYFUNCTION("""COMPUTED_VALUE"""),338.34615384615387)</f>
        <v>338.3461538</v>
      </c>
      <c r="P517" s="30">
        <f>IFERROR(__xludf.DUMMYFUNCTION("""COMPUTED_VALUE"""),0.7435897435897435)</f>
        <v>0.7435897436</v>
      </c>
      <c r="Q517" s="30">
        <f>IFERROR(__xludf.DUMMYFUNCTION("""COMPUTED_VALUE"""),0.5128205128205127)</f>
        <v>0.5128205128</v>
      </c>
      <c r="R517" s="30">
        <f>IFERROR(__xludf.DUMMYFUNCTION("""COMPUTED_VALUE"""),1.2435897435897434)</f>
        <v>1.243589744</v>
      </c>
      <c r="S517" s="30">
        <f>IFERROR(__xludf.DUMMYFUNCTION("""COMPUTED_VALUE"""),2.525641025641025)</f>
        <v>2.525641026</v>
      </c>
      <c r="T517" s="30">
        <f>IFERROR(__xludf.DUMMYFUNCTION("""COMPUTED_VALUE"""),341.76668360305786)</f>
        <v>341.7666836</v>
      </c>
      <c r="U517" s="30">
        <f>IFERROR(__xludf.DUMMYFUNCTION("""COMPUTED_VALUE"""),0.7149643594648423)</f>
        <v>0.7149643595</v>
      </c>
      <c r="V517" s="30">
        <f>IFERROR(__xludf.DUMMYFUNCTION("""COMPUTED_VALUE"""),0.4860107995805895)</f>
        <v>0.4860107996</v>
      </c>
      <c r="W517" s="30">
        <f>IFERROR(__xludf.DUMMYFUNCTION("""COMPUTED_VALUE"""),1.3993476933168294)</f>
        <v>1.399347693</v>
      </c>
      <c r="X517" s="30">
        <f>IFERROR(__xludf.DUMMYFUNCTION("""COMPUTED_VALUE"""),2.4626534313236665)</f>
        <v>2.462653431</v>
      </c>
      <c r="Y517" s="30">
        <f>IFERROR(__xludf.DUMMYFUNCTION("""COMPUTED_VALUE"""),355.13469515937544)</f>
        <v>355.1346952</v>
      </c>
      <c r="Z517" s="30">
        <f>IFERROR(__xludf.DUMMYFUNCTION("""COMPUTED_VALUE"""),0.8138189976333827)</f>
        <v>0.8138189976</v>
      </c>
      <c r="AA517" s="30">
        <f>IFERROR(__xludf.DUMMYFUNCTION("""COMPUTED_VALUE"""),0.6025123543345516)</f>
        <v>0.6025123543</v>
      </c>
      <c r="AB517" s="30">
        <f>IFERROR(__xludf.DUMMYFUNCTION("""COMPUTED_VALUE"""),1.2784831411239632)</f>
        <v>1.278483141</v>
      </c>
      <c r="AC517" s="30">
        <f>IFERROR(__xludf.DUMMYFUNCTION("""COMPUTED_VALUE"""),2.66475668614162)</f>
        <v>2.664756686</v>
      </c>
      <c r="AD517" s="30">
        <f>IFERROR(__xludf.DUMMYFUNCTION("""COMPUTED_VALUE"""),1.0614607460202323)</f>
        <v>1.061460746</v>
      </c>
      <c r="AE517" s="30">
        <f>IFERROR(__xludf.DUMMYFUNCTION("""COMPUTED_VALUE"""),1.3232955731616134)</f>
        <v>1.323295573</v>
      </c>
      <c r="AF517" s="30">
        <f>IFERROR(__xludf.DUMMYFUNCTION("""COMPUTED_VALUE"""),0.8298585023243681)</f>
        <v>0.8298585023</v>
      </c>
      <c r="AG517" s="30">
        <f>IFERROR(__xludf.DUMMYFUNCTION("""COMPUTED_VALUE"""),1.0830141908622404)</f>
        <v>1.083014191</v>
      </c>
      <c r="AH517" s="30">
        <f>IFERROR(__xludf.DUMMYFUNCTION("""COMPUTED_VALUE"""),1.082506106323765)</f>
        <v>1.082506106</v>
      </c>
      <c r="AI517" s="30">
        <f>IFERROR(__xludf.DUMMYFUNCTION("""COMPUTED_VALUE"""),0.9899916231715647)</f>
        <v>0.9899916232</v>
      </c>
      <c r="AJ517" s="30">
        <f>IFERROR(__xludf.DUMMYFUNCTION("""COMPUTED_VALUE"""),1.040037498017842)</f>
        <v>1.040037498</v>
      </c>
      <c r="AK517" s="30">
        <f>IFERROR(__xludf.DUMMYFUNCTION("""COMPUTED_VALUE"""),1.0551627932199428)</f>
        <v>1.055162793</v>
      </c>
      <c r="AL517" s="30">
        <f>IFERROR(__xludf.DUMMYFUNCTION("""COMPUTED_VALUE"""),0.8886924597289342)</f>
        <v>0.8886924597</v>
      </c>
      <c r="AM517" s="30">
        <f>IFERROR(__xludf.DUMMYFUNCTION("""COMPUTED_VALUE"""),1.0255771248671004)</f>
        <v>1.025577125</v>
      </c>
      <c r="AN517" s="30">
        <f>IFERROR(__xludf.DUMMYFUNCTION("""COMPUTED_VALUE"""),1.1117291023035047)</f>
        <v>1.111729102</v>
      </c>
      <c r="AO517" s="30">
        <f>IFERROR(__xludf.DUMMYFUNCTION("""COMPUTED_VALUE"""),1.4479833163728881)</f>
        <v>1.447983316</v>
      </c>
      <c r="AP517" s="30">
        <f>IFERROR(__xludf.DUMMYFUNCTION("""COMPUTED_VALUE"""),0.9160895486214388)</f>
        <v>0.9160895486</v>
      </c>
      <c r="AQ517" s="30">
        <f>IFERROR(__xludf.DUMMYFUNCTION("""COMPUTED_VALUE"""),1.0586970235794515)</f>
        <v>1.058697024</v>
      </c>
      <c r="AR517" s="30">
        <f>IFERROR(__xludf.DUMMYFUNCTION("""COMPUTED_VALUE"""),1.153062672584649)</f>
        <v>1.153062673</v>
      </c>
      <c r="AS517" s="30">
        <f>IFERROR(__xludf.DUMMYFUNCTION("""COMPUTED_VALUE"""),69.0)</f>
        <v>69</v>
      </c>
      <c r="AT517" s="30">
        <f>IFERROR(__xludf.DUMMYFUNCTION("""COMPUTED_VALUE"""),0.5680208282457416)</f>
        <v>0.5680208282</v>
      </c>
      <c r="AU517" s="30">
        <f>IFERROR(__xludf.DUMMYFUNCTION("""COMPUTED_VALUE"""),3.086939939121205)</f>
        <v>3.086939939</v>
      </c>
      <c r="AV517" s="32">
        <f>IFERROR(__xludf.DUMMYFUNCTION("""COMPUTED_VALUE"""),67.56672601394244)</f>
        <v>67.56672601</v>
      </c>
      <c r="AW517" s="32">
        <f>IFERROR(__xludf.DUMMYFUNCTION("""COMPUTED_VALUE"""),4.1471231266508575)</f>
        <v>4.147123127</v>
      </c>
      <c r="AX517" s="32">
        <f>IFERROR(__xludf.DUMMYFUNCTION("""COMPUTED_VALUE"""),58.3370231320716)</f>
        <v>58.33702313</v>
      </c>
      <c r="AY517" s="32">
        <f>IFERROR(__xludf.DUMMYFUNCTION("""COMPUTED_VALUE"""),2.7071978010571924)</f>
        <v>2.707197801</v>
      </c>
      <c r="AZ517" s="30">
        <f>IFERROR(__xludf.DUMMYFUNCTION("""COMPUTED_VALUE"""),1.439925325593665)</f>
        <v>1.439925326</v>
      </c>
      <c r="BA517" s="30">
        <f>IFERROR(__xludf.DUMMYFUNCTION("""COMPUTED_VALUE"""),1700.0)</f>
        <v>1700</v>
      </c>
    </row>
    <row r="518">
      <c r="A518" s="71" t="str">
        <f>IFERROR(__xludf.DUMMYFUNCTION("""COMPUTED_VALUE"""),"Rival")</f>
        <v>Rival</v>
      </c>
      <c r="B518" s="71" t="str">
        <f>IFERROR(__xludf.DUMMYFUNCTION("""COMPUTED_VALUE"""),"RSC006480")</f>
        <v>RSC006480</v>
      </c>
      <c r="C518" s="30" t="str">
        <f>IFERROR(__xludf.DUMMYFUNCTION("""COMPUTED_VALUE"""),"Lazyz.")</f>
        <v>Lazyz.</v>
      </c>
      <c r="D518" s="30" t="str">
        <f>IFERROR(__xludf.DUMMYFUNCTION("""COMPUTED_VALUE"""),"Dracos")</f>
        <v>Dracos</v>
      </c>
      <c r="E518" s="30">
        <f>IFERROR(__xludf.DUMMYFUNCTION("""COMPUTED_VALUE"""),28.0)</f>
        <v>28</v>
      </c>
      <c r="F518" s="30">
        <f>IFERROR(__xludf.DUMMYFUNCTION("""COMPUTED_VALUE"""),16.0)</f>
        <v>16</v>
      </c>
      <c r="G518" s="42">
        <f>IFERROR(__xludf.DUMMYFUNCTION("""COMPUTED_VALUE"""),12.0)</f>
        <v>12</v>
      </c>
      <c r="H518" s="42">
        <f>IFERROR(__xludf.DUMMYFUNCTION("""COMPUTED_VALUE"""),0.5714285714285714)</f>
        <v>0.5714285714</v>
      </c>
      <c r="I518" s="42">
        <f>IFERROR(__xludf.DUMMYFUNCTION("""COMPUTED_VALUE"""),0.2804878048780488)</f>
        <v>0.2804878049</v>
      </c>
      <c r="J518" s="30">
        <f>IFERROR(__xludf.DUMMYFUNCTION("""COMPUTED_VALUE"""),356.25)</f>
        <v>356.25</v>
      </c>
      <c r="K518" s="30">
        <f>IFERROR(__xludf.DUMMYFUNCTION("""COMPUTED_VALUE"""),0.8214285714285714)</f>
        <v>0.8214285714</v>
      </c>
      <c r="L518" s="30">
        <f>IFERROR(__xludf.DUMMYFUNCTION("""COMPUTED_VALUE"""),0.6785714285714286)</f>
        <v>0.6785714286</v>
      </c>
      <c r="M518" s="30">
        <f>IFERROR(__xludf.DUMMYFUNCTION("""COMPUTED_VALUE"""),1.25)</f>
        <v>1.25</v>
      </c>
      <c r="N518" s="30">
        <f>IFERROR(__xludf.DUMMYFUNCTION("""COMPUTED_VALUE"""),2.9285714285714284)</f>
        <v>2.928571429</v>
      </c>
      <c r="O518" s="30">
        <f>IFERROR(__xludf.DUMMYFUNCTION("""COMPUTED_VALUE"""),341.5238095238096)</f>
        <v>341.5238095</v>
      </c>
      <c r="P518" s="30">
        <f>IFERROR(__xludf.DUMMYFUNCTION("""COMPUTED_VALUE"""),0.761904761904762)</f>
        <v>0.7619047619</v>
      </c>
      <c r="Q518" s="30">
        <f>IFERROR(__xludf.DUMMYFUNCTION("""COMPUTED_VALUE"""),0.42857142857142855)</f>
        <v>0.4285714286</v>
      </c>
      <c r="R518" s="30">
        <f>IFERROR(__xludf.DUMMYFUNCTION("""COMPUTED_VALUE"""),1.404761904761905)</f>
        <v>1.404761905</v>
      </c>
      <c r="S518" s="30">
        <f>IFERROR(__xludf.DUMMYFUNCTION("""COMPUTED_VALUE"""),2.4642857142857144)</f>
        <v>2.464285714</v>
      </c>
      <c r="T518" s="30">
        <f>IFERROR(__xludf.DUMMYFUNCTION("""COMPUTED_VALUE"""),349.53299433669685)</f>
        <v>349.5329943</v>
      </c>
      <c r="U518" s="30">
        <f>IFERROR(__xludf.DUMMYFUNCTION("""COMPUTED_VALUE"""),0.7724486496850747)</f>
        <v>0.7724486497</v>
      </c>
      <c r="V518" s="30">
        <f>IFERROR(__xludf.DUMMYFUNCTION("""COMPUTED_VALUE"""),0.5187947639467148)</f>
        <v>0.5187947639</v>
      </c>
      <c r="W518" s="30">
        <f>IFERROR(__xludf.DUMMYFUNCTION("""COMPUTED_VALUE"""),1.3553462656742017)</f>
        <v>1.355346266</v>
      </c>
      <c r="X518" s="30">
        <f>IFERROR(__xludf.DUMMYFUNCTION("""COMPUTED_VALUE"""),2.68550076285617)</f>
        <v>2.685500763</v>
      </c>
      <c r="Y518" s="30">
        <f>IFERROR(__xludf.DUMMYFUNCTION("""COMPUTED_VALUE"""),349.98647035366764)</f>
        <v>349.9864704</v>
      </c>
      <c r="Z518" s="30">
        <f>IFERROR(__xludf.DUMMYFUNCTION("""COMPUTED_VALUE"""),0.7705240865090218)</f>
        <v>0.7705240865</v>
      </c>
      <c r="AA518" s="30">
        <f>IFERROR(__xludf.DUMMYFUNCTION("""COMPUTED_VALUE"""),0.5560746289846132)</f>
        <v>0.556074629</v>
      </c>
      <c r="AB518" s="30">
        <f>IFERROR(__xludf.DUMMYFUNCTION("""COMPUTED_VALUE"""),1.371769700895037)</f>
        <v>1.371769701</v>
      </c>
      <c r="AC518" s="30">
        <f>IFERROR(__xludf.DUMMYFUNCTION("""COMPUTED_VALUE"""),2.5748694854086795)</f>
        <v>2.574869485</v>
      </c>
      <c r="AD518" s="30">
        <f>IFERROR(__xludf.DUMMYFUNCTION("""COMPUTED_VALUE"""),1.0178964907986385)</f>
        <v>1.017896491</v>
      </c>
      <c r="AE518" s="30">
        <f>IFERROR(__xludf.DUMMYFUNCTION("""COMPUTED_VALUE"""),1.0660647548997204)</f>
        <v>1.066064755</v>
      </c>
      <c r="AF518" s="30">
        <f>IFERROR(__xludf.DUMMYFUNCTION("""COMPUTED_VALUE"""),1.2202884167013577)</f>
        <v>1.220288417</v>
      </c>
      <c r="AG518" s="30">
        <f>IFERROR(__xludf.DUMMYFUNCTION("""COMPUTED_VALUE"""),0.9112316733518855)</f>
        <v>0.9112316734</v>
      </c>
      <c r="AH518" s="30">
        <f>IFERROR(__xludf.DUMMYFUNCTION("""COMPUTED_VALUE"""),1.1373669404088689)</f>
        <v>1.13736694</v>
      </c>
      <c r="AI518" s="30">
        <f>IFERROR(__xludf.DUMMYFUNCTION("""COMPUTED_VALUE"""),0.9770860406809773)</f>
        <v>0.9770860407</v>
      </c>
      <c r="AJ518" s="30">
        <f>IFERROR(__xludf.DUMMYFUNCTION("""COMPUTED_VALUE"""),0.9863500469777358)</f>
        <v>0.986350047</v>
      </c>
      <c r="AK518" s="30">
        <f>IFERROR(__xludf.DUMMYFUNCTION("""COMPUTED_VALUE"""),0.8260905050603922)</f>
        <v>0.8260905051</v>
      </c>
      <c r="AL518" s="30">
        <f>IFERROR(__xludf.DUMMYFUNCTION("""COMPUTED_VALUE"""),1.036459789161792)</f>
        <v>1.036459789</v>
      </c>
      <c r="AM518" s="30">
        <f>IFERROR(__xludf.DUMMYFUNCTION("""COMPUTED_VALUE"""),0.9176261456968712)</f>
        <v>0.9176261457</v>
      </c>
      <c r="AN518" s="30">
        <f>IFERROR(__xludf.DUMMYFUNCTION("""COMPUTED_VALUE"""),1.0506469554215094)</f>
        <v>1.050646955</v>
      </c>
      <c r="AO518" s="30">
        <f>IFERROR(__xludf.DUMMYFUNCTION("""COMPUTED_VALUE"""),1.104456662233402)</f>
        <v>1.104456662</v>
      </c>
      <c r="AP518" s="30">
        <f>IFERROR(__xludf.DUMMYFUNCTION("""COMPUTED_VALUE"""),1.24326438741481)</f>
        <v>1.243264387</v>
      </c>
      <c r="AQ518" s="30">
        <f>IFERROR(__xludf.DUMMYFUNCTION("""COMPUTED_VALUE"""),0.9557681462870049)</f>
        <v>0.9557681463</v>
      </c>
      <c r="AR518" s="30">
        <f>IFERROR(__xludf.DUMMYFUNCTION("""COMPUTED_VALUE"""),1.1706331514049864)</f>
        <v>1.170633151</v>
      </c>
      <c r="AS518" s="30">
        <f>IFERROR(__xludf.DUMMYFUNCTION("""COMPUTED_VALUE"""),72.0)</f>
        <v>72</v>
      </c>
      <c r="AT518" s="30">
        <f>IFERROR(__xludf.DUMMYFUNCTION("""COMPUTED_VALUE"""),0.5462139137473337)</f>
        <v>0.5462139137</v>
      </c>
      <c r="AU518" s="30">
        <f>IFERROR(__xludf.DUMMYFUNCTION("""COMPUTED_VALUE"""),3.101951289020855)</f>
        <v>3.101951289</v>
      </c>
      <c r="AV518" s="32">
        <f>IFERROR(__xludf.DUMMYFUNCTION("""COMPUTED_VALUE"""),67.99650058498727)</f>
        <v>67.99650058</v>
      </c>
      <c r="AW518" s="32">
        <f>IFERROR(__xludf.DUMMYFUNCTION("""COMPUTED_VALUE"""),4.240781534664245)</f>
        <v>4.240781535</v>
      </c>
      <c r="AX518" s="32">
        <f>IFERROR(__xludf.DUMMYFUNCTION("""COMPUTED_VALUE"""),59.91059568239085)</f>
        <v>59.91059568</v>
      </c>
      <c r="AY518" s="32">
        <f>IFERROR(__xludf.DUMMYFUNCTION("""COMPUTED_VALUE"""),2.8910407592753353)</f>
        <v>2.891040759</v>
      </c>
      <c r="AZ518" s="30">
        <f>IFERROR(__xludf.DUMMYFUNCTION("""COMPUTED_VALUE"""),1.3497407753889092)</f>
        <v>1.349740775</v>
      </c>
      <c r="BA518" s="30">
        <f>IFERROR(__xludf.DUMMYFUNCTION("""COMPUTED_VALUE"""),1700.0)</f>
        <v>1700</v>
      </c>
    </row>
    <row r="519">
      <c r="A519" s="71" t="str">
        <f>IFERROR(__xludf.DUMMYFUNCTION("""COMPUTED_VALUE"""),"Rival")</f>
        <v>Rival</v>
      </c>
      <c r="B519" s="71" t="str">
        <f>IFERROR(__xludf.DUMMYFUNCTION("""COMPUTED_VALUE"""),"RSC005475")</f>
        <v>RSC005475</v>
      </c>
      <c r="C519" s="30" t="str">
        <f>IFERROR(__xludf.DUMMYFUNCTION("""COMPUTED_VALUE"""),"Envy")</f>
        <v>Envy</v>
      </c>
      <c r="D519" s="30" t="str">
        <f>IFERROR(__xludf.DUMMYFUNCTION("""COMPUTED_VALUE"""),"Funk Hunks")</f>
        <v>Funk Hunks</v>
      </c>
      <c r="E519" s="30">
        <f>IFERROR(__xludf.DUMMYFUNCTION("""COMPUTED_VALUE"""),36.0)</f>
        <v>36</v>
      </c>
      <c r="F519" s="30">
        <f>IFERROR(__xludf.DUMMYFUNCTION("""COMPUTED_VALUE"""),13.0)</f>
        <v>13</v>
      </c>
      <c r="G519" s="42">
        <f>IFERROR(__xludf.DUMMYFUNCTION("""COMPUTED_VALUE"""),23.0)</f>
        <v>23</v>
      </c>
      <c r="H519" s="42">
        <f>IFERROR(__xludf.DUMMYFUNCTION("""COMPUTED_VALUE"""),0.3611111111111111)</f>
        <v>0.3611111111</v>
      </c>
      <c r="I519" s="42">
        <f>IFERROR(__xludf.DUMMYFUNCTION("""COMPUTED_VALUE"""),0.35443037974683544)</f>
        <v>0.3544303797</v>
      </c>
      <c r="J519" s="30">
        <f>IFERROR(__xludf.DUMMYFUNCTION("""COMPUTED_VALUE"""),286.19444444444446)</f>
        <v>286.1944444</v>
      </c>
      <c r="K519" s="30">
        <f>IFERROR(__xludf.DUMMYFUNCTION("""COMPUTED_VALUE"""),0.7777777777777778)</f>
        <v>0.7777777778</v>
      </c>
      <c r="L519" s="30">
        <f>IFERROR(__xludf.DUMMYFUNCTION("""COMPUTED_VALUE"""),0.3333333333333333)</f>
        <v>0.3333333333</v>
      </c>
      <c r="M519" s="30">
        <f>IFERROR(__xludf.DUMMYFUNCTION("""COMPUTED_VALUE"""),1.0833333333333333)</f>
        <v>1.083333333</v>
      </c>
      <c r="N519" s="30">
        <f>IFERROR(__xludf.DUMMYFUNCTION("""COMPUTED_VALUE"""),2.1944444444444446)</f>
        <v>2.194444444</v>
      </c>
      <c r="O519" s="30">
        <f>IFERROR(__xludf.DUMMYFUNCTION("""COMPUTED_VALUE"""),356.27777777777777)</f>
        <v>356.2777778</v>
      </c>
      <c r="P519" s="30">
        <f>IFERROR(__xludf.DUMMYFUNCTION("""COMPUTED_VALUE"""),0.9814814814814815)</f>
        <v>0.9814814815</v>
      </c>
      <c r="Q519" s="30">
        <f>IFERROR(__xludf.DUMMYFUNCTION("""COMPUTED_VALUE"""),0.6851851851851852)</f>
        <v>0.6851851852</v>
      </c>
      <c r="R519" s="30">
        <f>IFERROR(__xludf.DUMMYFUNCTION("""COMPUTED_VALUE"""),1.0462962962962963)</f>
        <v>1.046296296</v>
      </c>
      <c r="S519" s="30">
        <f>IFERROR(__xludf.DUMMYFUNCTION("""COMPUTED_VALUE"""),2.8981481481481475)</f>
        <v>2.898148148</v>
      </c>
      <c r="T519" s="30">
        <f>IFERROR(__xludf.DUMMYFUNCTION("""COMPUTED_VALUE"""),353.36774576798405)</f>
        <v>353.3677458</v>
      </c>
      <c r="U519" s="30">
        <f>IFERROR(__xludf.DUMMYFUNCTION("""COMPUTED_VALUE"""),0.8189182054727105)</f>
        <v>0.8189182055</v>
      </c>
      <c r="V519" s="30">
        <f>IFERROR(__xludf.DUMMYFUNCTION("""COMPUTED_VALUE"""),0.5945678392442975)</f>
        <v>0.5945678392</v>
      </c>
      <c r="W519" s="30">
        <f>IFERROR(__xludf.DUMMYFUNCTION("""COMPUTED_VALUE"""),1.2818524206582254)</f>
        <v>1.281852421</v>
      </c>
      <c r="X519" s="30">
        <f>IFERROR(__xludf.DUMMYFUNCTION("""COMPUTED_VALUE"""),2.6974717121705893)</f>
        <v>2.697471712</v>
      </c>
      <c r="Y519" s="30">
        <f>IFERROR(__xludf.DUMMYFUNCTION("""COMPUTED_VALUE"""),339.6663798574275)</f>
        <v>339.6663799</v>
      </c>
      <c r="Z519" s="30">
        <f>IFERROR(__xludf.DUMMYFUNCTION("""COMPUTED_VALUE"""),0.7186382753615344)</f>
        <v>0.7186382754</v>
      </c>
      <c r="AA519" s="30">
        <f>IFERROR(__xludf.DUMMYFUNCTION("""COMPUTED_VALUE"""),0.5353415393874424)</f>
        <v>0.5353415394</v>
      </c>
      <c r="AB519" s="30">
        <f>IFERROR(__xludf.DUMMYFUNCTION("""COMPUTED_VALUE"""),1.360446097977681)</f>
        <v>1.360446098</v>
      </c>
      <c r="AC519" s="30">
        <f>IFERROR(__xludf.DUMMYFUNCTION("""COMPUTED_VALUE"""),2.4922631838233595)</f>
        <v>2.492263184</v>
      </c>
      <c r="AD519" s="30">
        <f>IFERROR(__xludf.DUMMYFUNCTION("""COMPUTED_VALUE"""),0.8425751308226987)</f>
        <v>0.8425751308</v>
      </c>
      <c r="AE519" s="30">
        <f>IFERROR(__xludf.DUMMYFUNCTION("""COMPUTED_VALUE"""),1.0822938388391452)</f>
        <v>1.082293839</v>
      </c>
      <c r="AF519" s="30">
        <f>IFERROR(__xludf.DUMMYFUNCTION("""COMPUTED_VALUE"""),0.6226554616231456)</f>
        <v>0.6226554616</v>
      </c>
      <c r="AG519" s="30">
        <f>IFERROR(__xludf.DUMMYFUNCTION("""COMPUTED_VALUE"""),0.7963074280882726)</f>
        <v>0.7963074281</v>
      </c>
      <c r="AH519" s="30">
        <f>IFERROR(__xludf.DUMMYFUNCTION("""COMPUTED_VALUE"""),0.8805026927685728)</f>
        <v>0.8805026928</v>
      </c>
      <c r="AI519" s="30">
        <f>IFERROR(__xludf.DUMMYFUNCTION("""COMPUTED_VALUE"""),1.008235137599979)</f>
        <v>1.008235138</v>
      </c>
      <c r="AJ519" s="30">
        <f>IFERROR(__xludf.DUMMYFUNCTION("""COMPUTED_VALUE"""),1.1985097839105108)</f>
        <v>1.198509784</v>
      </c>
      <c r="AK519" s="30">
        <f>IFERROR(__xludf.DUMMYFUNCTION("""COMPUTED_VALUE"""),1.152408758025095)</f>
        <v>1.152408758</v>
      </c>
      <c r="AL519" s="30">
        <f>IFERROR(__xludf.DUMMYFUNCTION("""COMPUTED_VALUE"""),0.8162377192836504)</f>
        <v>0.8162377193</v>
      </c>
      <c r="AM519" s="30">
        <f>IFERROR(__xludf.DUMMYFUNCTION("""COMPUTED_VALUE"""),1.0743942689267643)</f>
        <v>1.074394269</v>
      </c>
      <c r="AN519" s="30">
        <f>IFERROR(__xludf.DUMMYFUNCTION("""COMPUTED_VALUE"""),0.8440402013027533)</f>
        <v>0.8440402013</v>
      </c>
      <c r="AO519" s="30">
        <f>IFERROR(__xludf.DUMMYFUNCTION("""COMPUTED_VALUE"""),1.0457657284915305)</f>
        <v>1.045765728</v>
      </c>
      <c r="AP519" s="30">
        <f>IFERROR(__xludf.DUMMYFUNCTION("""COMPUTED_VALUE"""),0.6107263657476258)</f>
        <v>0.6107263657</v>
      </c>
      <c r="AQ519" s="30">
        <f>IFERROR(__xludf.DUMMYFUNCTION("""COMPUTED_VALUE"""),0.8283323934487375)</f>
        <v>0.8283323934</v>
      </c>
      <c r="AR519" s="30">
        <f>IFERROR(__xludf.DUMMYFUNCTION("""COMPUTED_VALUE"""),0.8771817516625441)</f>
        <v>0.8771817517</v>
      </c>
      <c r="AS519" s="30">
        <f>IFERROR(__xludf.DUMMYFUNCTION("""COMPUTED_VALUE"""),74.0)</f>
        <v>74</v>
      </c>
      <c r="AT519" s="30">
        <f>IFERROR(__xludf.DUMMYFUNCTION("""COMPUTED_VALUE"""),0.3611531592398327)</f>
        <v>0.3611531592</v>
      </c>
      <c r="AU519" s="30">
        <f>IFERROR(__xludf.DUMMYFUNCTION("""COMPUTED_VALUE"""),1.94607610796449)</f>
        <v>1.946076108</v>
      </c>
      <c r="AV519" s="32">
        <f>IFERROR(__xludf.DUMMYFUNCTION("""COMPUTED_VALUE"""),34.90382314819966)</f>
        <v>34.90382315</v>
      </c>
      <c r="AW519" s="32">
        <f>IFERROR(__xludf.DUMMYFUNCTION("""COMPUTED_VALUE"""),-3.663370542797779)</f>
        <v>-3.663370543</v>
      </c>
      <c r="AX519" s="32">
        <f>IFERROR(__xludf.DUMMYFUNCTION("""COMPUTED_VALUE"""),29.029720850227985)</f>
        <v>29.02972085</v>
      </c>
      <c r="AY519" s="32">
        <f>IFERROR(__xludf.DUMMYFUNCTION("""COMPUTED_VALUE"""),-4.980386195643079)</f>
        <v>-4.980386196</v>
      </c>
      <c r="AZ519" s="30">
        <f>IFERROR(__xludf.DUMMYFUNCTION("""COMPUTED_VALUE"""),1.3170156528452996)</f>
        <v>1.317015653</v>
      </c>
      <c r="BA519" s="30">
        <f>IFERROR(__xludf.DUMMYFUNCTION("""COMPUTED_VALUE"""),1700.0)</f>
        <v>1700</v>
      </c>
    </row>
    <row r="520">
      <c r="A520" s="71" t="str">
        <f>IFERROR(__xludf.DUMMYFUNCTION("""COMPUTED_VALUE"""),"Rival")</f>
        <v>Rival</v>
      </c>
      <c r="B520" s="71" t="str">
        <f>IFERROR(__xludf.DUMMYFUNCTION("""COMPUTED_VALUE"""),"RSC007346")</f>
        <v>RSC007346</v>
      </c>
      <c r="C520" s="30" t="str">
        <f>IFERROR(__xludf.DUMMYFUNCTION("""COMPUTED_VALUE"""),"Mai")</f>
        <v>Mai</v>
      </c>
      <c r="D520" s="30" t="str">
        <f>IFERROR(__xludf.DUMMYFUNCTION("""COMPUTED_VALUE"""),"Funk Hunks")</f>
        <v>Funk Hunks</v>
      </c>
      <c r="E520" s="30">
        <f>IFERROR(__xludf.DUMMYFUNCTION("""COMPUTED_VALUE"""),37.0)</f>
        <v>37</v>
      </c>
      <c r="F520" s="30">
        <f>IFERROR(__xludf.DUMMYFUNCTION("""COMPUTED_VALUE"""),13.0)</f>
        <v>13</v>
      </c>
      <c r="G520" s="42">
        <f>IFERROR(__xludf.DUMMYFUNCTION("""COMPUTED_VALUE"""),24.0)</f>
        <v>24</v>
      </c>
      <c r="H520" s="42">
        <f>IFERROR(__xludf.DUMMYFUNCTION("""COMPUTED_VALUE"""),0.35135135135135137)</f>
        <v>0.3513513514</v>
      </c>
      <c r="I520" s="42">
        <f>IFERROR(__xludf.DUMMYFUNCTION("""COMPUTED_VALUE"""),0.35185185185185186)</f>
        <v>0.3518518519</v>
      </c>
      <c r="J520" s="30">
        <f>IFERROR(__xludf.DUMMYFUNCTION("""COMPUTED_VALUE"""),429.9189189189189)</f>
        <v>429.9189189</v>
      </c>
      <c r="K520" s="30">
        <f>IFERROR(__xludf.DUMMYFUNCTION("""COMPUTED_VALUE"""),1.027027027027027)</f>
        <v>1.027027027</v>
      </c>
      <c r="L520" s="30">
        <f>IFERROR(__xludf.DUMMYFUNCTION("""COMPUTED_VALUE"""),0.5405405405405406)</f>
        <v>0.5405405405</v>
      </c>
      <c r="M520" s="30">
        <f>IFERROR(__xludf.DUMMYFUNCTION("""COMPUTED_VALUE"""),1.7297297297297298)</f>
        <v>1.72972973</v>
      </c>
      <c r="N520" s="30">
        <f>IFERROR(__xludf.DUMMYFUNCTION("""COMPUTED_VALUE"""),2.918918918918919)</f>
        <v>2.918918919</v>
      </c>
      <c r="O520" s="30">
        <f>IFERROR(__xludf.DUMMYFUNCTION("""COMPUTED_VALUE"""),365.73873873873873)</f>
        <v>365.7387387</v>
      </c>
      <c r="P520" s="30">
        <f>IFERROR(__xludf.DUMMYFUNCTION("""COMPUTED_VALUE"""),0.9729729729729731)</f>
        <v>0.972972973</v>
      </c>
      <c r="Q520" s="30">
        <f>IFERROR(__xludf.DUMMYFUNCTION("""COMPUTED_VALUE"""),0.6846846846846847)</f>
        <v>0.6846846847</v>
      </c>
      <c r="R520" s="30">
        <f>IFERROR(__xludf.DUMMYFUNCTION("""COMPUTED_VALUE"""),1.1801801801801801)</f>
        <v>1.18018018</v>
      </c>
      <c r="S520" s="30">
        <f>IFERROR(__xludf.DUMMYFUNCTION("""COMPUTED_VALUE"""),2.729729729729729)</f>
        <v>2.72972973</v>
      </c>
      <c r="T520" s="30">
        <f>IFERROR(__xludf.DUMMYFUNCTION("""COMPUTED_VALUE"""),347.41616798159885)</f>
        <v>347.416168</v>
      </c>
      <c r="U520" s="30">
        <f>IFERROR(__xludf.DUMMYFUNCTION("""COMPUTED_VALUE"""),0.7880209893502939)</f>
        <v>0.7880209894</v>
      </c>
      <c r="V520" s="30">
        <f>IFERROR(__xludf.DUMMYFUNCTION("""COMPUTED_VALUE"""),0.569325396021832)</f>
        <v>0.569325396</v>
      </c>
      <c r="W520" s="30">
        <f>IFERROR(__xludf.DUMMYFUNCTION("""COMPUTED_VALUE"""),1.3437806655435156)</f>
        <v>1.343780666</v>
      </c>
      <c r="X520" s="30">
        <f>IFERROR(__xludf.DUMMYFUNCTION("""COMPUTED_VALUE"""),2.5824264698491235)</f>
        <v>2.58242647</v>
      </c>
      <c r="Y520" s="30">
        <f>IFERROR(__xludf.DUMMYFUNCTION("""COMPUTED_VALUE"""),351.97222841594004)</f>
        <v>351.9722284</v>
      </c>
      <c r="Z520" s="30">
        <f>IFERROR(__xludf.DUMMYFUNCTION("""COMPUTED_VALUE"""),0.7936813768335503)</f>
        <v>0.7936813768</v>
      </c>
      <c r="AA520" s="30">
        <f>IFERROR(__xludf.DUMMYFUNCTION("""COMPUTED_VALUE"""),0.5708465481895892)</f>
        <v>0.5708465482</v>
      </c>
      <c r="AB520" s="30">
        <f>IFERROR(__xludf.DUMMYFUNCTION("""COMPUTED_VALUE"""),1.3457451474763027)</f>
        <v>1.345745147</v>
      </c>
      <c r="AC520" s="30">
        <f>IFERROR(__xludf.DUMMYFUNCTION("""COMPUTED_VALUE"""),2.6091043185249516)</f>
        <v>2.609104319</v>
      </c>
      <c r="AD520" s="30">
        <f>IFERROR(__xludf.DUMMYFUNCTION("""COMPUTED_VALUE"""),1.2214569338432748)</f>
        <v>1.221456934</v>
      </c>
      <c r="AE520" s="30">
        <f>IFERROR(__xludf.DUMMYFUNCTION("""COMPUTED_VALUE"""),1.2940041898481052)</f>
        <v>1.29400419</v>
      </c>
      <c r="AF520" s="30">
        <f>IFERROR(__xludf.DUMMYFUNCTION("""COMPUTED_VALUE"""),0.9469104127104515)</f>
        <v>0.9469104127</v>
      </c>
      <c r="AG520" s="30">
        <f>IFERROR(__xludf.DUMMYFUNCTION("""COMPUTED_VALUE"""),1.2853323179158547)</f>
        <v>1.285332318</v>
      </c>
      <c r="AH520" s="30">
        <f>IFERROR(__xludf.DUMMYFUNCTION("""COMPUTED_VALUE"""),1.1187436616444373)</f>
        <v>1.118743662</v>
      </c>
      <c r="AI520" s="30">
        <f>IFERROR(__xludf.DUMMYFUNCTION("""COMPUTED_VALUE"""),1.0527395453803703)</f>
        <v>1.052739545</v>
      </c>
      <c r="AJ520" s="30">
        <f>IFERROR(__xludf.DUMMYFUNCTION("""COMPUTED_VALUE"""),1.2347043874747146)</f>
        <v>1.234704387</v>
      </c>
      <c r="AK520" s="30">
        <f>IFERROR(__xludf.DUMMYFUNCTION("""COMPUTED_VALUE"""),1.2026245262707884)</f>
        <v>1.202624526</v>
      </c>
      <c r="AL520" s="30">
        <f>IFERROR(__xludf.DUMMYFUNCTION("""COMPUTED_VALUE"""),0.8782535799492514)</f>
        <v>0.8782535799</v>
      </c>
      <c r="AM520" s="30">
        <f>IFERROR(__xludf.DUMMYFUNCTION("""COMPUTED_VALUE"""),1.0570406404985508)</f>
        <v>1.05704064</v>
      </c>
      <c r="AN520" s="30">
        <f>IFERROR(__xludf.DUMMYFUNCTION("""COMPUTED_VALUE"""),1.267910184534088)</f>
        <v>1.267910185</v>
      </c>
      <c r="AO520" s="30">
        <f>IFERROR(__xludf.DUMMYFUNCTION("""COMPUTED_VALUE"""),1.3808952862706694)</f>
        <v>1.380895286</v>
      </c>
      <c r="AP520" s="30">
        <f>IFERROR(__xludf.DUMMYFUNCTION("""COMPUTED_VALUE"""),0.9903670795907447)</f>
        <v>0.9903670796</v>
      </c>
      <c r="AQ520" s="30">
        <f>IFERROR(__xludf.DUMMYFUNCTION("""COMPUTED_VALUE"""),1.3225764618890448)</f>
        <v>1.322576462</v>
      </c>
      <c r="AR520" s="30">
        <f>IFERROR(__xludf.DUMMYFUNCTION("""COMPUTED_VALUE"""),1.1667747692316015)</f>
        <v>1.166774769</v>
      </c>
      <c r="AS520" s="30">
        <f>IFERROR(__xludf.DUMMYFUNCTION("""COMPUTED_VALUE"""),87.0)</f>
        <v>87</v>
      </c>
      <c r="AT520" s="30">
        <f>IFERROR(__xludf.DUMMYFUNCTION("""COMPUTED_VALUE"""),0.41377241670907744)</f>
        <v>0.4137724167</v>
      </c>
      <c r="AU520" s="30">
        <f>IFERROR(__xludf.DUMMYFUNCTION("""COMPUTED_VALUE"""),3.145085246879079)</f>
        <v>3.145085247</v>
      </c>
      <c r="AV520" s="32">
        <f>IFERROR(__xludf.DUMMYFUNCTION("""COMPUTED_VALUE"""),69.23142471638843)</f>
        <v>69.23142472</v>
      </c>
      <c r="AW520" s="32">
        <f>IFERROR(__xludf.DUMMYFUNCTION("""COMPUTED_VALUE"""),4.527542298966088)</f>
        <v>4.527542299</v>
      </c>
      <c r="AX520" s="32">
        <f>IFERROR(__xludf.DUMMYFUNCTION("""COMPUTED_VALUE"""),73.56645406799296)</f>
        <v>73.56645407</v>
      </c>
      <c r="AY520" s="32">
        <f>IFERROR(__xludf.DUMMYFUNCTION("""COMPUTED_VALUE"""),5.782757203599431)</f>
        <v>5.782757204</v>
      </c>
      <c r="AZ520" s="30">
        <f>IFERROR(__xludf.DUMMYFUNCTION("""COMPUTED_VALUE"""),1.255214904633343)</f>
        <v>1.255214905</v>
      </c>
      <c r="BA520" s="30">
        <f>IFERROR(__xludf.DUMMYFUNCTION("""COMPUTED_VALUE"""),1700.0)</f>
        <v>1700</v>
      </c>
    </row>
    <row r="521">
      <c r="A521" s="71" t="str">
        <f>IFERROR(__xludf.DUMMYFUNCTION("""COMPUTED_VALUE"""),"Rival")</f>
        <v>Rival</v>
      </c>
      <c r="B521" s="71" t="str">
        <f>IFERROR(__xludf.DUMMYFUNCTION("""COMPUTED_VALUE"""),"RSC006211")</f>
        <v>RSC006211</v>
      </c>
      <c r="C521" s="30" t="str">
        <f>IFERROR(__xludf.DUMMYFUNCTION("""COMPUTED_VALUE"""),"Chase")</f>
        <v>Chase</v>
      </c>
      <c r="D521" s="30" t="str">
        <f>IFERROR(__xludf.DUMMYFUNCTION("""COMPUTED_VALUE"""),"Ion Imperial")</f>
        <v>Ion Imperial</v>
      </c>
      <c r="E521" s="30">
        <f>IFERROR(__xludf.DUMMYFUNCTION("""COMPUTED_VALUE"""),22.0)</f>
        <v>22</v>
      </c>
      <c r="F521" s="30">
        <f>IFERROR(__xludf.DUMMYFUNCTION("""COMPUTED_VALUE"""),14.0)</f>
        <v>14</v>
      </c>
      <c r="G521" s="42">
        <f>IFERROR(__xludf.DUMMYFUNCTION("""COMPUTED_VALUE"""),8.0)</f>
        <v>8</v>
      </c>
      <c r="H521" s="42">
        <f>IFERROR(__xludf.DUMMYFUNCTION("""COMPUTED_VALUE"""),0.6363636363636364)</f>
        <v>0.6363636364</v>
      </c>
      <c r="I521" s="42">
        <f>IFERROR(__xludf.DUMMYFUNCTION("""COMPUTED_VALUE"""),0.39285714285714285)</f>
        <v>0.3928571429</v>
      </c>
      <c r="J521" s="30">
        <f>IFERROR(__xludf.DUMMYFUNCTION("""COMPUTED_VALUE"""),376.27272727272725)</f>
        <v>376.2727273</v>
      </c>
      <c r="K521" s="30">
        <f>IFERROR(__xludf.DUMMYFUNCTION("""COMPUTED_VALUE"""),1.0)</f>
        <v>1</v>
      </c>
      <c r="L521" s="30">
        <f>IFERROR(__xludf.DUMMYFUNCTION("""COMPUTED_VALUE"""),0.5909090909090909)</f>
        <v>0.5909090909</v>
      </c>
      <c r="M521" s="30">
        <f>IFERROR(__xludf.DUMMYFUNCTION("""COMPUTED_VALUE"""),1.3636363636363635)</f>
        <v>1.363636364</v>
      </c>
      <c r="N521" s="30">
        <f>IFERROR(__xludf.DUMMYFUNCTION("""COMPUTED_VALUE"""),2.5454545454545454)</f>
        <v>2.545454545</v>
      </c>
      <c r="O521" s="30">
        <f>IFERROR(__xludf.DUMMYFUNCTION("""COMPUTED_VALUE"""),332.80303030303025)</f>
        <v>332.8030303</v>
      </c>
      <c r="P521" s="30">
        <f>IFERROR(__xludf.DUMMYFUNCTION("""COMPUTED_VALUE"""),0.6666666666666666)</f>
        <v>0.6666666667</v>
      </c>
      <c r="Q521" s="30">
        <f>IFERROR(__xludf.DUMMYFUNCTION("""COMPUTED_VALUE"""),0.5151515151515151)</f>
        <v>0.5151515152</v>
      </c>
      <c r="R521" s="30">
        <f>IFERROR(__xludf.DUMMYFUNCTION("""COMPUTED_VALUE"""),1.4090909090909092)</f>
        <v>1.409090909</v>
      </c>
      <c r="S521" s="30">
        <f>IFERROR(__xludf.DUMMYFUNCTION("""COMPUTED_VALUE"""),2.3030303030303028)</f>
        <v>2.303030303</v>
      </c>
      <c r="T521" s="30">
        <f>IFERROR(__xludf.DUMMYFUNCTION("""COMPUTED_VALUE"""),337.75776046811217)</f>
        <v>337.7577605</v>
      </c>
      <c r="U521" s="30">
        <f>IFERROR(__xludf.DUMMYFUNCTION("""COMPUTED_VALUE"""),0.7275710037378342)</f>
        <v>0.7275710037</v>
      </c>
      <c r="V521" s="30">
        <f>IFERROR(__xludf.DUMMYFUNCTION("""COMPUTED_VALUE"""),0.5218428194541339)</f>
        <v>0.5218428195</v>
      </c>
      <c r="W521" s="30">
        <f>IFERROR(__xludf.DUMMYFUNCTION("""COMPUTED_VALUE"""),1.304006218168829)</f>
        <v>1.304006218</v>
      </c>
      <c r="X521" s="30">
        <f>IFERROR(__xludf.DUMMYFUNCTION("""COMPUTED_VALUE"""),2.5080105293508446)</f>
        <v>2.508010529</v>
      </c>
      <c r="Y521" s="30">
        <f>IFERROR(__xludf.DUMMYFUNCTION("""COMPUTED_VALUE"""),352.7067636012154)</f>
        <v>352.7067636</v>
      </c>
      <c r="Z521" s="30">
        <f>IFERROR(__xludf.DUMMYFUNCTION("""COMPUTED_VALUE"""),0.8305512275901205)</f>
        <v>0.8305512276</v>
      </c>
      <c r="AA521" s="30">
        <f>IFERROR(__xludf.DUMMYFUNCTION("""COMPUTED_VALUE"""),0.5890298128464215)</f>
        <v>0.5890298128</v>
      </c>
      <c r="AB521" s="30">
        <f>IFERROR(__xludf.DUMMYFUNCTION("""COMPUTED_VALUE"""),1.2855049424709564)</f>
        <v>1.285504942</v>
      </c>
      <c r="AC521" s="30">
        <f>IFERROR(__xludf.DUMMYFUNCTION("""COMPUTED_VALUE"""),2.6269614161445856)</f>
        <v>2.626961416</v>
      </c>
      <c r="AD521" s="30">
        <f>IFERROR(__xludf.DUMMYFUNCTION("""COMPUTED_VALUE"""),1.0668146066463202)</f>
        <v>1.066814607</v>
      </c>
      <c r="AE521" s="30">
        <f>IFERROR(__xludf.DUMMYFUNCTION("""COMPUTED_VALUE"""),1.2040196519864792)</f>
        <v>1.204019652</v>
      </c>
      <c r="AF521" s="30">
        <f>IFERROR(__xludf.DUMMYFUNCTION("""COMPUTED_VALUE"""),1.0031904634055584)</f>
        <v>1.003190463</v>
      </c>
      <c r="AG521" s="30">
        <f>IFERROR(__xludf.DUMMYFUNCTION("""COMPUTED_VALUE"""),1.0607787792828127)</f>
        <v>1.060778779</v>
      </c>
      <c r="AH521" s="30">
        <f>IFERROR(__xludf.DUMMYFUNCTION("""COMPUTED_VALUE"""),0.9689729471513662)</f>
        <v>0.9689729472</v>
      </c>
      <c r="AI521" s="30">
        <f>IFERROR(__xludf.DUMMYFUNCTION("""COMPUTED_VALUE"""),0.9853305216193554)</f>
        <v>0.9853305216</v>
      </c>
      <c r="AJ521" s="30">
        <f>IFERROR(__xludf.DUMMYFUNCTION("""COMPUTED_VALUE"""),0.9162908681650633)</f>
        <v>0.9162908682</v>
      </c>
      <c r="AK521" s="30">
        <f>IFERROR(__xludf.DUMMYFUNCTION("""COMPUTED_VALUE"""),0.987177548385895)</f>
        <v>0.9871775484</v>
      </c>
      <c r="AL521" s="30">
        <f>IFERROR(__xludf.DUMMYFUNCTION("""COMPUTED_VALUE"""),1.0805860351414942)</f>
        <v>1.080586035</v>
      </c>
      <c r="AM521" s="30">
        <f>IFERROR(__xludf.DUMMYFUNCTION("""COMPUTED_VALUE"""),0.9182697903690231)</f>
        <v>0.9182697904</v>
      </c>
      <c r="AN521" s="30">
        <f>IFERROR(__xludf.DUMMYFUNCTION("""COMPUTED_VALUE"""),1.1096976710659334)</f>
        <v>1.109697671</v>
      </c>
      <c r="AO521" s="30">
        <f>IFERROR(__xludf.DUMMYFUNCTION("""COMPUTED_VALUE"""),1.3445559366319677)</f>
        <v>1.344555937</v>
      </c>
      <c r="AP521" s="30">
        <f>IFERROR(__xludf.DUMMYFUNCTION("""COMPUTED_VALUE"""),1.0826512847344276)</f>
        <v>1.082651285</v>
      </c>
      <c r="AQ521" s="30">
        <f>IFERROR(__xludf.DUMMYFUNCTION("""COMPUTED_VALUE"""),1.0426561595858235)</f>
        <v>1.04265616</v>
      </c>
      <c r="AR521" s="30">
        <f>IFERROR(__xludf.DUMMYFUNCTION("""COMPUTED_VALUE"""),1.0174904553231812)</f>
        <v>1.017490455</v>
      </c>
      <c r="AS521" s="30">
        <f>IFERROR(__xludf.DUMMYFUNCTION("""COMPUTED_VALUE"""),62.0)</f>
        <v>62</v>
      </c>
      <c r="AT521" s="30">
        <f>IFERROR(__xludf.DUMMYFUNCTION("""COMPUTED_VALUE"""),0.6314708920178647)</f>
        <v>0.631470892</v>
      </c>
      <c r="AU521" s="30">
        <f>IFERROR(__xludf.DUMMYFUNCTION("""COMPUTED_VALUE"""),3.0770903340909332)</f>
        <v>3.077090334</v>
      </c>
      <c r="AV521" s="32">
        <f>IFERROR(__xludf.DUMMYFUNCTION("""COMPUTED_VALUE"""),67.28473206901782)</f>
        <v>67.28473207</v>
      </c>
      <c r="AW521" s="32">
        <f>IFERROR(__xludf.DUMMYFUNCTION("""COMPUTED_VALUE"""),4.087297002027606)</f>
        <v>4.087297002</v>
      </c>
      <c r="AX521" s="32">
        <f>IFERROR(__xludf.DUMMYFUNCTION("""COMPUTED_VALUE"""),59.72140210804893)</f>
        <v>59.72140211</v>
      </c>
      <c r="AY521" s="32">
        <f>IFERROR(__xludf.DUMMYFUNCTION("""COMPUTED_VALUE"""),2.867866177324126)</f>
        <v>2.867866177</v>
      </c>
      <c r="AZ521" s="30">
        <f>IFERROR(__xludf.DUMMYFUNCTION("""COMPUTED_VALUE"""),1.2194308247034802)</f>
        <v>1.219430825</v>
      </c>
      <c r="BA521" s="30">
        <f>IFERROR(__xludf.DUMMYFUNCTION("""COMPUTED_VALUE"""),1700.0)</f>
        <v>1700</v>
      </c>
    </row>
    <row r="522">
      <c r="A522" s="71" t="str">
        <f>IFERROR(__xludf.DUMMYFUNCTION("""COMPUTED_VALUE"""),"Rival")</f>
        <v>Rival</v>
      </c>
      <c r="B522" s="71" t="str">
        <f>IFERROR(__xludf.DUMMYFUNCTION("""COMPUTED_VALUE"""),"RSC005507")</f>
        <v>RSC005507</v>
      </c>
      <c r="C522" s="30" t="str">
        <f>IFERROR(__xludf.DUMMYFUNCTION("""COMPUTED_VALUE"""),"T Sant")</f>
        <v>T Sant</v>
      </c>
      <c r="D522" s="30" t="str">
        <f>IFERROR(__xludf.DUMMYFUNCTION("""COMPUTED_VALUE"""),"Quasars")</f>
        <v>Quasars</v>
      </c>
      <c r="E522" s="30">
        <f>IFERROR(__xludf.DUMMYFUNCTION("""COMPUTED_VALUE"""),48.0)</f>
        <v>48</v>
      </c>
      <c r="F522" s="30">
        <f>IFERROR(__xludf.DUMMYFUNCTION("""COMPUTED_VALUE"""),26.0)</f>
        <v>26</v>
      </c>
      <c r="G522" s="42">
        <f>IFERROR(__xludf.DUMMYFUNCTION("""COMPUTED_VALUE"""),22.0)</f>
        <v>22</v>
      </c>
      <c r="H522" s="42">
        <f>IFERROR(__xludf.DUMMYFUNCTION("""COMPUTED_VALUE"""),0.5416666666666666)</f>
        <v>0.5416666667</v>
      </c>
      <c r="I522" s="42">
        <f>IFERROR(__xludf.DUMMYFUNCTION("""COMPUTED_VALUE"""),0.32407407407407407)</f>
        <v>0.3240740741</v>
      </c>
      <c r="J522" s="30">
        <f>IFERROR(__xludf.DUMMYFUNCTION("""COMPUTED_VALUE"""),333.6458333333333)</f>
        <v>333.6458333</v>
      </c>
      <c r="K522" s="30">
        <f>IFERROR(__xludf.DUMMYFUNCTION("""COMPUTED_VALUE"""),0.7291666666666666)</f>
        <v>0.7291666667</v>
      </c>
      <c r="L522" s="30">
        <f>IFERROR(__xludf.DUMMYFUNCTION("""COMPUTED_VALUE"""),0.4375)</f>
        <v>0.4375</v>
      </c>
      <c r="M522" s="30">
        <f>IFERROR(__xludf.DUMMYFUNCTION("""COMPUTED_VALUE"""),1.3541666666666667)</f>
        <v>1.354166667</v>
      </c>
      <c r="N522" s="30">
        <f>IFERROR(__xludf.DUMMYFUNCTION("""COMPUTED_VALUE"""),2.25)</f>
        <v>2.25</v>
      </c>
      <c r="O522" s="30">
        <f>IFERROR(__xludf.DUMMYFUNCTION("""COMPUTED_VALUE"""),348.9930555555556)</f>
        <v>348.9930556</v>
      </c>
      <c r="P522" s="30">
        <f>IFERROR(__xludf.DUMMYFUNCTION("""COMPUTED_VALUE"""),0.8055555555555554)</f>
        <v>0.8055555556</v>
      </c>
      <c r="Q522" s="30">
        <f>IFERROR(__xludf.DUMMYFUNCTION("""COMPUTED_VALUE"""),0.5972222222222222)</f>
        <v>0.5972222222</v>
      </c>
      <c r="R522" s="30">
        <f>IFERROR(__xludf.DUMMYFUNCTION("""COMPUTED_VALUE"""),1.3333333333333333)</f>
        <v>1.333333333</v>
      </c>
      <c r="S522" s="30">
        <f>IFERROR(__xludf.DUMMYFUNCTION("""COMPUTED_VALUE"""),2.6666666666666665)</f>
        <v>2.666666667</v>
      </c>
      <c r="T522" s="30">
        <f>IFERROR(__xludf.DUMMYFUNCTION("""COMPUTED_VALUE"""),352.3523523198807)</f>
        <v>352.3523523</v>
      </c>
      <c r="U522" s="30">
        <f>IFERROR(__xludf.DUMMYFUNCTION("""COMPUTED_VALUE"""),0.8160798625331407)</f>
        <v>0.8160798625</v>
      </c>
      <c r="V522" s="30">
        <f>IFERROR(__xludf.DUMMYFUNCTION("""COMPUTED_VALUE"""),0.5854786258420164)</f>
        <v>0.5854786258</v>
      </c>
      <c r="W522" s="30">
        <f>IFERROR(__xludf.DUMMYFUNCTION("""COMPUTED_VALUE"""),1.3048937048758076)</f>
        <v>1.304893705</v>
      </c>
      <c r="X522" s="30">
        <f>IFERROR(__xludf.DUMMYFUNCTION("""COMPUTED_VALUE"""),2.5541050269160572)</f>
        <v>2.554105027</v>
      </c>
      <c r="Y522" s="30">
        <f>IFERROR(__xludf.DUMMYFUNCTION("""COMPUTED_VALUE"""),347.207459067197)</f>
        <v>347.2074591</v>
      </c>
      <c r="Z522" s="30">
        <f>IFERROR(__xludf.DUMMYFUNCTION("""COMPUTED_VALUE"""),0.789315018475777)</f>
        <v>0.7893150185</v>
      </c>
      <c r="AA522" s="30">
        <f>IFERROR(__xludf.DUMMYFUNCTION("""COMPUTED_VALUE"""),0.5572994366662863)</f>
        <v>0.5572994367</v>
      </c>
      <c r="AB522" s="30">
        <f>IFERROR(__xludf.DUMMYFUNCTION("""COMPUTED_VALUE"""),1.2859105180331776)</f>
        <v>1.285910518</v>
      </c>
      <c r="AC522" s="30">
        <f>IFERROR(__xludf.DUMMYFUNCTION("""COMPUTED_VALUE"""),2.5698750407166098)</f>
        <v>2.569875041</v>
      </c>
      <c r="AD522" s="30">
        <f>IFERROR(__xludf.DUMMYFUNCTION("""COMPUTED_VALUE"""),0.9609408571742721)</f>
        <v>0.9609408572</v>
      </c>
      <c r="AE522" s="30">
        <f>IFERROR(__xludf.DUMMYFUNCTION("""COMPUTED_VALUE"""),0.923796772643119)</f>
        <v>0.9237967726</v>
      </c>
      <c r="AF522" s="30">
        <f>IFERROR(__xludf.DUMMYFUNCTION("""COMPUTED_VALUE"""),0.7850357836661105)</f>
        <v>0.7850357837</v>
      </c>
      <c r="AG522" s="30">
        <f>IFERROR(__xludf.DUMMYFUNCTION("""COMPUTED_VALUE"""),1.053080014259381)</f>
        <v>1.053080014</v>
      </c>
      <c r="AH522" s="30">
        <f>IFERROR(__xludf.DUMMYFUNCTION("""COMPUTED_VALUE"""),0.875528951544892)</f>
        <v>0.8755289515</v>
      </c>
      <c r="AI522" s="30">
        <f>IFERROR(__xludf.DUMMYFUNCTION("""COMPUTED_VALUE"""),0.9904660867390055)</f>
        <v>0.9904660867</v>
      </c>
      <c r="AJ522" s="30">
        <f>IFERROR(__xludf.DUMMYFUNCTION("""COMPUTED_VALUE"""),0.9871038271365776)</f>
        <v>0.9871038271</v>
      </c>
      <c r="AK522" s="30">
        <f>IFERROR(__xludf.DUMMYFUNCTION("""COMPUTED_VALUE"""),1.020058112904321)</f>
        <v>1.020058113</v>
      </c>
      <c r="AL522" s="30">
        <f>IFERROR(__xludf.DUMMYFUNCTION("""COMPUTED_VALUE"""),1.0217945939590785)</f>
        <v>1.021794594</v>
      </c>
      <c r="AM522" s="30">
        <f>IFERROR(__xludf.DUMMYFUNCTION("""COMPUTED_VALUE"""),1.0440708735797453)</f>
        <v>1.044070874</v>
      </c>
      <c r="AN522" s="30">
        <f>IFERROR(__xludf.DUMMYFUNCTION("""COMPUTED_VALUE"""),0.9839830988933024)</f>
        <v>0.9839830989</v>
      </c>
      <c r="AO522" s="30">
        <f>IFERROR(__xludf.DUMMYFUNCTION("""COMPUTED_VALUE"""),0.9804053704608097)</f>
        <v>0.9804053705</v>
      </c>
      <c r="AP522" s="30">
        <f>IFERROR(__xludf.DUMMYFUNCTION("""COMPUTED_VALUE"""),0.801578355043759)</f>
        <v>0.801578355</v>
      </c>
      <c r="AQ522" s="30">
        <f>IFERROR(__xludf.DUMMYFUNCTION("""COMPUTED_VALUE"""),1.035415491810922)</f>
        <v>1.035415492</v>
      </c>
      <c r="AR522" s="30">
        <f>IFERROR(__xludf.DUMMYFUNCTION("""COMPUTED_VALUE"""),0.8993888846160262)</f>
        <v>0.8993888846</v>
      </c>
      <c r="AS522" s="30">
        <f>IFERROR(__xludf.DUMMYFUNCTION("""COMPUTED_VALUE"""),113.0)</f>
        <v>113</v>
      </c>
      <c r="AT522" s="30">
        <f>IFERROR(__xludf.DUMMYFUNCTION("""COMPUTED_VALUE"""),0.4897440415589899)</f>
        <v>0.4897440416</v>
      </c>
      <c r="AU522" s="30">
        <f>IFERROR(__xludf.DUMMYFUNCTION("""COMPUTED_VALUE"""),2.226153515768544)</f>
        <v>2.226153516</v>
      </c>
      <c r="AV522" s="32">
        <f>IFERROR(__xludf.DUMMYFUNCTION("""COMPUTED_VALUE"""),42.92243230746944)</f>
        <v>42.92243231</v>
      </c>
      <c r="AW522" s="32">
        <f>IFERROR(__xludf.DUMMYFUNCTION("""COMPUTED_VALUE"""),-2.5736776148295757)</f>
        <v>-2.573677615</v>
      </c>
      <c r="AX522" s="32">
        <f>IFERROR(__xludf.DUMMYFUNCTION("""COMPUTED_VALUE"""),34.227948275993185)</f>
        <v>34.22794828</v>
      </c>
      <c r="AY522" s="32">
        <f>IFERROR(__xludf.DUMMYFUNCTION("""COMPUTED_VALUE"""),-3.7870350469634846)</f>
        <v>-3.787035047</v>
      </c>
      <c r="AZ522" s="30">
        <f>IFERROR(__xludf.DUMMYFUNCTION("""COMPUTED_VALUE"""),1.213357432133909)</f>
        <v>1.213357432</v>
      </c>
      <c r="BA522" s="30">
        <f>IFERROR(__xludf.DUMMYFUNCTION("""COMPUTED_VALUE"""),1700.0)</f>
        <v>1700</v>
      </c>
    </row>
    <row r="523">
      <c r="A523" s="71" t="str">
        <f>IFERROR(__xludf.DUMMYFUNCTION("""COMPUTED_VALUE"""),"Rival")</f>
        <v>Rival</v>
      </c>
      <c r="B523" s="71" t="str">
        <f>IFERROR(__xludf.DUMMYFUNCTION("""COMPUTED_VALUE"""),"RSC005165")</f>
        <v>RSC005165</v>
      </c>
      <c r="C523" s="30" t="str">
        <f>IFERROR(__xludf.DUMMYFUNCTION("""COMPUTED_VALUE"""),"Lucas")</f>
        <v>Lucas</v>
      </c>
      <c r="D523" s="30" t="str">
        <f>IFERROR(__xludf.DUMMYFUNCTION("""COMPUTED_VALUE"""),"Stolen")</f>
        <v>Stolen</v>
      </c>
      <c r="E523" s="30">
        <f>IFERROR(__xludf.DUMMYFUNCTION("""COMPUTED_VALUE"""),47.0)</f>
        <v>47</v>
      </c>
      <c r="F523" s="30">
        <f>IFERROR(__xludf.DUMMYFUNCTION("""COMPUTED_VALUE"""),32.0)</f>
        <v>32</v>
      </c>
      <c r="G523" s="42">
        <f>IFERROR(__xludf.DUMMYFUNCTION("""COMPUTED_VALUE"""),15.0)</f>
        <v>15</v>
      </c>
      <c r="H523" s="42">
        <f>IFERROR(__xludf.DUMMYFUNCTION("""COMPUTED_VALUE"""),0.6808510638297872)</f>
        <v>0.6808510638</v>
      </c>
      <c r="I523" s="42">
        <f>IFERROR(__xludf.DUMMYFUNCTION("""COMPUTED_VALUE"""),0.28148148148148144)</f>
        <v>0.2814814815</v>
      </c>
      <c r="J523" s="30">
        <f>IFERROR(__xludf.DUMMYFUNCTION("""COMPUTED_VALUE"""),357.3191489361702)</f>
        <v>357.3191489</v>
      </c>
      <c r="K523" s="30">
        <f>IFERROR(__xludf.DUMMYFUNCTION("""COMPUTED_VALUE"""),0.8085106382978723)</f>
        <v>0.8085106383</v>
      </c>
      <c r="L523" s="30">
        <f>IFERROR(__xludf.DUMMYFUNCTION("""COMPUTED_VALUE"""),0.6595744680851063)</f>
        <v>0.6595744681</v>
      </c>
      <c r="M523" s="30">
        <f>IFERROR(__xludf.DUMMYFUNCTION("""COMPUTED_VALUE"""),1.3191489361702127)</f>
        <v>1.319148936</v>
      </c>
      <c r="N523" s="30">
        <f>IFERROR(__xludf.DUMMYFUNCTION("""COMPUTED_VALUE"""),2.872340425531915)</f>
        <v>2.872340426</v>
      </c>
      <c r="O523" s="30">
        <f>IFERROR(__xludf.DUMMYFUNCTION("""COMPUTED_VALUE"""),342.29787234042556)</f>
        <v>342.2978723</v>
      </c>
      <c r="P523" s="30">
        <f>IFERROR(__xludf.DUMMYFUNCTION("""COMPUTED_VALUE"""),0.7234042553191488)</f>
        <v>0.7234042553</v>
      </c>
      <c r="Q523" s="30">
        <f>IFERROR(__xludf.DUMMYFUNCTION("""COMPUTED_VALUE"""),0.5744680851063829)</f>
        <v>0.5744680851</v>
      </c>
      <c r="R523" s="30">
        <f>IFERROR(__xludf.DUMMYFUNCTION("""COMPUTED_VALUE"""),1.3900709219858158)</f>
        <v>1.390070922</v>
      </c>
      <c r="S523" s="30">
        <f>IFERROR(__xludf.DUMMYFUNCTION("""COMPUTED_VALUE"""),2.4680851063829783)</f>
        <v>2.468085106</v>
      </c>
      <c r="T523" s="30">
        <f>IFERROR(__xludf.DUMMYFUNCTION("""COMPUTED_VALUE"""),352.4198959618145)</f>
        <v>352.419896</v>
      </c>
      <c r="U523" s="30">
        <f>IFERROR(__xludf.DUMMYFUNCTION("""COMPUTED_VALUE"""),0.8252250890665445)</f>
        <v>0.8252250891</v>
      </c>
      <c r="V523" s="30">
        <f>IFERROR(__xludf.DUMMYFUNCTION("""COMPUTED_VALUE"""),0.5814892503840797)</f>
        <v>0.5814892504</v>
      </c>
      <c r="W523" s="30">
        <f>IFERROR(__xludf.DUMMYFUNCTION("""COMPUTED_VALUE"""),1.3197349958121078)</f>
        <v>1.319734996</v>
      </c>
      <c r="X523" s="30">
        <f>IFERROR(__xludf.DUMMYFUNCTION("""COMPUTED_VALUE"""),2.641388689016673)</f>
        <v>2.641388689</v>
      </c>
      <c r="Y523" s="30">
        <f>IFERROR(__xludf.DUMMYFUNCTION("""COMPUTED_VALUE"""),348.6438344672942)</f>
        <v>348.6438345</v>
      </c>
      <c r="Z523" s="30">
        <f>IFERROR(__xludf.DUMMYFUNCTION("""COMPUTED_VALUE"""),0.7917585313429122)</f>
        <v>0.7917585313</v>
      </c>
      <c r="AA523" s="30">
        <f>IFERROR(__xludf.DUMMYFUNCTION("""COMPUTED_VALUE"""),0.5637514338725982)</f>
        <v>0.5637514339</v>
      </c>
      <c r="AB523" s="30">
        <f>IFERROR(__xludf.DUMMYFUNCTION("""COMPUTED_VALUE"""),1.3214418971383086)</f>
        <v>1.321441897</v>
      </c>
      <c r="AC523" s="30">
        <f>IFERROR(__xludf.DUMMYFUNCTION("""COMPUTED_VALUE"""),2.603818005275803)</f>
        <v>2.603818005</v>
      </c>
      <c r="AD523" s="30">
        <f>IFERROR(__xludf.DUMMYFUNCTION("""COMPUTED_VALUE"""),1.0248830284985)</f>
        <v>1.024883028</v>
      </c>
      <c r="AE523" s="30">
        <f>IFERROR(__xludf.DUMMYFUNCTION("""COMPUTED_VALUE"""),1.0211581009762492)</f>
        <v>1.021158101</v>
      </c>
      <c r="AF523" s="30">
        <f>IFERROR(__xludf.DUMMYFUNCTION("""COMPUTED_VALUE"""),1.1699739077455955)</f>
        <v>1.169973908</v>
      </c>
      <c r="AG523" s="30">
        <f>IFERROR(__xludf.DUMMYFUNCTION("""COMPUTED_VALUE"""),0.9982648037926892)</f>
        <v>0.9982648038</v>
      </c>
      <c r="AH523" s="30">
        <f>IFERROR(__xludf.DUMMYFUNCTION("""COMPUTED_VALUE"""),1.1031264165590826)</f>
        <v>1.103126417</v>
      </c>
      <c r="AI523" s="30">
        <f>IFERROR(__xludf.DUMMYFUNCTION("""COMPUTED_VALUE"""),0.9712785125432143)</f>
        <v>0.9712785125</v>
      </c>
      <c r="AJ523" s="30">
        <f>IFERROR(__xludf.DUMMYFUNCTION("""COMPUTED_VALUE"""),0.8766144714982301)</f>
        <v>0.8766144715</v>
      </c>
      <c r="AK523" s="30">
        <f>IFERROR(__xludf.DUMMYFUNCTION("""COMPUTED_VALUE"""),0.9879255458754237)</f>
        <v>0.9879255459</v>
      </c>
      <c r="AL523" s="30">
        <f>IFERROR(__xludf.DUMMYFUNCTION("""COMPUTED_VALUE"""),1.0532954921987396)</f>
        <v>1.053295492</v>
      </c>
      <c r="AM523" s="30">
        <f>IFERROR(__xludf.DUMMYFUNCTION("""COMPUTED_VALUE"""),0.934389216038397)</f>
        <v>0.934389216</v>
      </c>
      <c r="AN523" s="30">
        <f>IFERROR(__xludf.DUMMYFUNCTION("""COMPUTED_VALUE"""),1.0538000728241181)</f>
        <v>1.053800073</v>
      </c>
      <c r="AO523" s="30">
        <f>IFERROR(__xludf.DUMMYFUNCTION("""COMPUTED_VALUE"""),1.0870877785535058)</f>
        <v>1.087087779</v>
      </c>
      <c r="AP523" s="30">
        <f>IFERROR(__xludf.DUMMYFUNCTION("""COMPUTED_VALUE"""),1.2084585535006214)</f>
        <v>1.208458554</v>
      </c>
      <c r="AQ523" s="30">
        <f>IFERROR(__xludf.DUMMYFUNCTION("""COMPUTED_VALUE"""),1.008640426719903)</f>
        <v>1.008640427</v>
      </c>
      <c r="AR523" s="30">
        <f>IFERROR(__xludf.DUMMYFUNCTION("""COMPUTED_VALUE"""),1.148156022914076)</f>
        <v>1.148156023</v>
      </c>
      <c r="AS523" s="30">
        <f>IFERROR(__xludf.DUMMYFUNCTION("""COMPUTED_VALUE"""),124.0)</f>
        <v>124</v>
      </c>
      <c r="AT523" s="30">
        <f>IFERROR(__xludf.DUMMYFUNCTION("""COMPUTED_VALUE"""),0.5760355933015728)</f>
        <v>0.5760355933</v>
      </c>
      <c r="AU523" s="30">
        <f>IFERROR(__xludf.DUMMYFUNCTION("""COMPUTED_VALUE"""),3.001911315425323)</f>
        <v>3.001911315</v>
      </c>
      <c r="AV523" s="32">
        <f>IFERROR(__xludf.DUMMYFUNCTION("""COMPUTED_VALUE"""),65.13235865059941)</f>
        <v>65.13235865</v>
      </c>
      <c r="AW523" s="32">
        <f>IFERROR(__xludf.DUMMYFUNCTION("""COMPUTED_VALUE"""),3.6698362966063756)</f>
        <v>3.669836297</v>
      </c>
      <c r="AX523" s="32">
        <f>IFERROR(__xludf.DUMMYFUNCTION("""COMPUTED_VALUE"""),56.1707869881743)</f>
        <v>56.17078699</v>
      </c>
      <c r="AY523" s="32">
        <f>IFERROR(__xludf.DUMMYFUNCTION("""COMPUTED_VALUE"""),2.484352779253339)</f>
        <v>2.484352779</v>
      </c>
      <c r="AZ523" s="30">
        <f>IFERROR(__xludf.DUMMYFUNCTION("""COMPUTED_VALUE"""),1.1854835173530365)</f>
        <v>1.185483517</v>
      </c>
      <c r="BA523" s="30">
        <f>IFERROR(__xludf.DUMMYFUNCTION("""COMPUTED_VALUE"""),1700.0)</f>
        <v>1700</v>
      </c>
    </row>
    <row r="524">
      <c r="A524" s="71" t="str">
        <f>IFERROR(__xludf.DUMMYFUNCTION("""COMPUTED_VALUE"""),"Rival")</f>
        <v>Rival</v>
      </c>
      <c r="B524" s="71" t="str">
        <f>IFERROR(__xludf.DUMMYFUNCTION("""COMPUTED_VALUE"""),"RSC007555")</f>
        <v>RSC007555</v>
      </c>
      <c r="C524" s="30" t="str">
        <f>IFERROR(__xludf.DUMMYFUNCTION("""COMPUTED_VALUE"""),"cjAstr0-")</f>
        <v>cjAstr0-</v>
      </c>
      <c r="D524" s="30" t="str">
        <f>IFERROR(__xludf.DUMMYFUNCTION("""COMPUTED_VALUE"""),"Asiago Arsonists")</f>
        <v>Asiago Arsonists</v>
      </c>
      <c r="E524" s="30">
        <f>IFERROR(__xludf.DUMMYFUNCTION("""COMPUTED_VALUE"""),29.0)</f>
        <v>29</v>
      </c>
      <c r="F524" s="30">
        <f>IFERROR(__xludf.DUMMYFUNCTION("""COMPUTED_VALUE"""),17.0)</f>
        <v>17</v>
      </c>
      <c r="G524" s="42">
        <f>IFERROR(__xludf.DUMMYFUNCTION("""COMPUTED_VALUE"""),12.0)</f>
        <v>12</v>
      </c>
      <c r="H524" s="42">
        <f>IFERROR(__xludf.DUMMYFUNCTION("""COMPUTED_VALUE"""),0.5862068965517241)</f>
        <v>0.5862068966</v>
      </c>
      <c r="I524" s="42">
        <f>IFERROR(__xludf.DUMMYFUNCTION("""COMPUTED_VALUE"""),0.32926829268292684)</f>
        <v>0.3292682927</v>
      </c>
      <c r="J524" s="30">
        <f>IFERROR(__xludf.DUMMYFUNCTION("""COMPUTED_VALUE"""),344.2413793103448)</f>
        <v>344.2413793</v>
      </c>
      <c r="K524" s="30">
        <f>IFERROR(__xludf.DUMMYFUNCTION("""COMPUTED_VALUE"""),0.9310344827586207)</f>
        <v>0.9310344828</v>
      </c>
      <c r="L524" s="30">
        <f>IFERROR(__xludf.DUMMYFUNCTION("""COMPUTED_VALUE"""),0.5172413793103449)</f>
        <v>0.5172413793</v>
      </c>
      <c r="M524" s="30">
        <f>IFERROR(__xludf.DUMMYFUNCTION("""COMPUTED_VALUE"""),0.9310344827586207)</f>
        <v>0.9310344828</v>
      </c>
      <c r="N524" s="30">
        <f>IFERROR(__xludf.DUMMYFUNCTION("""COMPUTED_VALUE"""),2.8275862068965516)</f>
        <v>2.827586207</v>
      </c>
      <c r="O524" s="30">
        <f>IFERROR(__xludf.DUMMYFUNCTION("""COMPUTED_VALUE"""),349.55172413793105)</f>
        <v>349.5517241</v>
      </c>
      <c r="P524" s="30">
        <f>IFERROR(__xludf.DUMMYFUNCTION("""COMPUTED_VALUE"""),0.7701149425287355)</f>
        <v>0.7701149425</v>
      </c>
      <c r="Q524" s="30">
        <f>IFERROR(__xludf.DUMMYFUNCTION("""COMPUTED_VALUE"""),0.5632183908045977)</f>
        <v>0.5632183908</v>
      </c>
      <c r="R524" s="30">
        <f>IFERROR(__xludf.DUMMYFUNCTION("""COMPUTED_VALUE"""),1.3793103448275863)</f>
        <v>1.379310345</v>
      </c>
      <c r="S524" s="30">
        <f>IFERROR(__xludf.DUMMYFUNCTION("""COMPUTED_VALUE"""),2.4022988505747125)</f>
        <v>2.402298851</v>
      </c>
      <c r="T524" s="30">
        <f>IFERROR(__xludf.DUMMYFUNCTION("""COMPUTED_VALUE"""),357.23434750942675)</f>
        <v>357.2343475</v>
      </c>
      <c r="U524" s="30">
        <f>IFERROR(__xludf.DUMMYFUNCTION("""COMPUTED_VALUE"""),0.8196430089495865)</f>
        <v>0.8196430089</v>
      </c>
      <c r="V524" s="30">
        <f>IFERROR(__xludf.DUMMYFUNCTION("""COMPUTED_VALUE"""),0.6092750954713178)</f>
        <v>0.6092750955</v>
      </c>
      <c r="W524" s="30">
        <f>IFERROR(__xludf.DUMMYFUNCTION("""COMPUTED_VALUE"""),1.3428539142243936)</f>
        <v>1.342853914</v>
      </c>
      <c r="X524" s="30">
        <f>IFERROR(__xludf.DUMMYFUNCTION("""COMPUTED_VALUE"""),2.6591677729477055)</f>
        <v>2.659167773</v>
      </c>
      <c r="Y524" s="30">
        <f>IFERROR(__xludf.DUMMYFUNCTION("""COMPUTED_VALUE"""),345.95748241866005)</f>
        <v>345.9574824</v>
      </c>
      <c r="Z524" s="30">
        <f>IFERROR(__xludf.DUMMYFUNCTION("""COMPUTED_VALUE"""),0.7728641722918904)</f>
        <v>0.7728641723</v>
      </c>
      <c r="AA524" s="30">
        <f>IFERROR(__xludf.DUMMYFUNCTION("""COMPUTED_VALUE"""),0.559579932427472)</f>
        <v>0.5595799324</v>
      </c>
      <c r="AB524" s="30">
        <f>IFERROR(__xludf.DUMMYFUNCTION("""COMPUTED_VALUE"""),1.3280831929477164)</f>
        <v>1.328083193</v>
      </c>
      <c r="AC524" s="30">
        <f>IFERROR(__xludf.DUMMYFUNCTION("""COMPUTED_VALUE"""),2.606461369961136)</f>
        <v>2.60646137</v>
      </c>
      <c r="AD524" s="30">
        <f>IFERROR(__xludf.DUMMYFUNCTION("""COMPUTED_VALUE"""),0.9950395548715478)</f>
        <v>0.9950395549</v>
      </c>
      <c r="AE524" s="30">
        <f>IFERROR(__xludf.DUMMYFUNCTION("""COMPUTED_VALUE"""),1.2046547325355812)</f>
        <v>1.204654733</v>
      </c>
      <c r="AF524" s="30">
        <f>IFERROR(__xludf.DUMMYFUNCTION("""COMPUTED_VALUE"""),0.9243386857468935)</f>
        <v>0.9243386857</v>
      </c>
      <c r="AG524" s="30">
        <f>IFERROR(__xludf.DUMMYFUNCTION("""COMPUTED_VALUE"""),0.7010362661786003)</f>
        <v>0.7010362662</v>
      </c>
      <c r="AH524" s="30">
        <f>IFERROR(__xludf.DUMMYFUNCTION("""COMPUTED_VALUE"""),1.0848371817375957)</f>
        <v>1.084837182</v>
      </c>
      <c r="AI524" s="30">
        <f>IFERROR(__xludf.DUMMYFUNCTION("""COMPUTED_VALUE"""),0.9784941637749629)</f>
        <v>0.9784941638</v>
      </c>
      <c r="AJ524" s="30">
        <f>IFERROR(__xludf.DUMMYFUNCTION("""COMPUTED_VALUE"""),0.9395736120725)</f>
        <v>0.9395736121</v>
      </c>
      <c r="AK524" s="30">
        <f>IFERROR(__xludf.DUMMYFUNCTION("""COMPUTED_VALUE"""),0.9244073736001109)</f>
        <v>0.9244073736</v>
      </c>
      <c r="AL524" s="30">
        <f>IFERROR(__xludf.DUMMYFUNCTION("""COMPUTED_VALUE"""),1.0271484710414307)</f>
        <v>1.027148471</v>
      </c>
      <c r="AM524" s="30">
        <f>IFERROR(__xludf.DUMMYFUNCTION("""COMPUTED_VALUE"""),0.9034025137540487)</f>
        <v>0.9034025138</v>
      </c>
      <c r="AN524" s="30">
        <f>IFERROR(__xludf.DUMMYFUNCTION("""COMPUTED_VALUE"""),1.0152313181824975)</f>
        <v>1.015231318</v>
      </c>
      <c r="AO524" s="30">
        <f>IFERROR(__xludf.DUMMYFUNCTION("""COMPUTED_VALUE"""),1.2518279410021769)</f>
        <v>1.251827941</v>
      </c>
      <c r="AP524" s="30">
        <f>IFERROR(__xludf.DUMMYFUNCTION("""COMPUTED_VALUE"""),0.9476788434014884)</f>
        <v>0.9476788434</v>
      </c>
      <c r="AQ524" s="30">
        <f>IFERROR(__xludf.DUMMYFUNCTION("""COMPUTED_VALUE"""),0.7118824813723899)</f>
        <v>0.7118824814</v>
      </c>
      <c r="AR524" s="30">
        <f>IFERROR(__xludf.DUMMYFUNCTION("""COMPUTED_VALUE"""),1.130266491011711)</f>
        <v>1.130266491</v>
      </c>
      <c r="AS524" s="30">
        <f>IFERROR(__xludf.DUMMYFUNCTION("""COMPUTED_VALUE"""),64.0)</f>
        <v>64</v>
      </c>
      <c r="AT524" s="30">
        <f>IFERROR(__xludf.DUMMYFUNCTION("""COMPUTED_VALUE"""),0.48235327500137326)</f>
        <v>0.482353275</v>
      </c>
      <c r="AU524" s="30">
        <f>IFERROR(__xludf.DUMMYFUNCTION("""COMPUTED_VALUE"""),2.965473398506959)</f>
        <v>2.965473399</v>
      </c>
      <c r="AV524" s="32">
        <f>IFERROR(__xludf.DUMMYFUNCTION("""COMPUTED_VALUE"""),64.08914200332624)</f>
        <v>64.089142</v>
      </c>
      <c r="AW524" s="32">
        <f>IFERROR(__xludf.DUMMYFUNCTION("""COMPUTED_VALUE"""),3.490098378580814)</f>
        <v>3.490098379</v>
      </c>
      <c r="AX524" s="32">
        <f>IFERROR(__xludf.DUMMYFUNCTION("""COMPUTED_VALUE"""),54.21393670005835)</f>
        <v>54.2139367</v>
      </c>
      <c r="AY524" s="32">
        <f>IFERROR(__xludf.DUMMYFUNCTION("""COMPUTED_VALUE"""),2.309082897649769)</f>
        <v>2.309082898</v>
      </c>
      <c r="AZ524" s="30">
        <f>IFERROR(__xludf.DUMMYFUNCTION("""COMPUTED_VALUE"""),1.1810154809310451)</f>
        <v>1.181015481</v>
      </c>
      <c r="BA524" s="30">
        <f>IFERROR(__xludf.DUMMYFUNCTION("""COMPUTED_VALUE"""),1700.0)</f>
        <v>1700</v>
      </c>
    </row>
    <row r="525">
      <c r="A525" s="71" t="str">
        <f>IFERROR(__xludf.DUMMYFUNCTION("""COMPUTED_VALUE"""),"Rival")</f>
        <v>Rival</v>
      </c>
      <c r="B525" s="71" t="str">
        <f>IFERROR(__xludf.DUMMYFUNCTION("""COMPUTED_VALUE"""),"RSC000813")</f>
        <v>RSC000813</v>
      </c>
      <c r="C525" s="30" t="str">
        <f>IFERROR(__xludf.DUMMYFUNCTION("""COMPUTED_VALUE"""),"Ziggy.")</f>
        <v>Ziggy.</v>
      </c>
      <c r="D525" s="30"/>
      <c r="E525" s="30">
        <f>IFERROR(__xludf.DUMMYFUNCTION("""COMPUTED_VALUE"""),19.0)</f>
        <v>19</v>
      </c>
      <c r="F525" s="30">
        <f>IFERROR(__xludf.DUMMYFUNCTION("""COMPUTED_VALUE"""),6.0)</f>
        <v>6</v>
      </c>
      <c r="G525" s="42">
        <f>IFERROR(__xludf.DUMMYFUNCTION("""COMPUTED_VALUE"""),13.0)</f>
        <v>13</v>
      </c>
      <c r="H525" s="42">
        <f>IFERROR(__xludf.DUMMYFUNCTION("""COMPUTED_VALUE"""),0.3157894736842105)</f>
        <v>0.3157894737</v>
      </c>
      <c r="I525" s="42">
        <f>IFERROR(__xludf.DUMMYFUNCTION("""COMPUTED_VALUE"""),0.3414634146341463)</f>
        <v>0.3414634146</v>
      </c>
      <c r="J525" s="30">
        <f>IFERROR(__xludf.DUMMYFUNCTION("""COMPUTED_VALUE"""),283.7368421052632)</f>
        <v>283.7368421</v>
      </c>
      <c r="K525" s="30">
        <f>IFERROR(__xludf.DUMMYFUNCTION("""COMPUTED_VALUE"""),0.7368421052631579)</f>
        <v>0.7368421053</v>
      </c>
      <c r="L525" s="30">
        <f>IFERROR(__xludf.DUMMYFUNCTION("""COMPUTED_VALUE"""),0.3157894736842105)</f>
        <v>0.3157894737</v>
      </c>
      <c r="M525" s="30">
        <f>IFERROR(__xludf.DUMMYFUNCTION("""COMPUTED_VALUE"""),0.8947368421052632)</f>
        <v>0.8947368421</v>
      </c>
      <c r="N525" s="30">
        <f>IFERROR(__xludf.DUMMYFUNCTION("""COMPUTED_VALUE"""),2.1578947368421053)</f>
        <v>2.157894737</v>
      </c>
      <c r="O525" s="30">
        <f>IFERROR(__xludf.DUMMYFUNCTION("""COMPUTED_VALUE"""),368.578947368421)</f>
        <v>368.5789474</v>
      </c>
      <c r="P525" s="30">
        <f>IFERROR(__xludf.DUMMYFUNCTION("""COMPUTED_VALUE"""),1.0175438596491226)</f>
        <v>1.01754386</v>
      </c>
      <c r="Q525" s="30">
        <f>IFERROR(__xludf.DUMMYFUNCTION("""COMPUTED_VALUE"""),0.6842105263157896)</f>
        <v>0.6842105263</v>
      </c>
      <c r="R525" s="30">
        <f>IFERROR(__xludf.DUMMYFUNCTION("""COMPUTED_VALUE"""),1.3157894736842106)</f>
        <v>1.315789474</v>
      </c>
      <c r="S525" s="30">
        <f>IFERROR(__xludf.DUMMYFUNCTION("""COMPUTED_VALUE"""),2.701754385964912)</f>
        <v>2.701754386</v>
      </c>
      <c r="T525" s="30">
        <f>IFERROR(__xludf.DUMMYFUNCTION("""COMPUTED_VALUE"""),343.2481300543478)</f>
        <v>343.2481301</v>
      </c>
      <c r="U525" s="30">
        <f>IFERROR(__xludf.DUMMYFUNCTION("""COMPUTED_VALUE"""),0.8209079638035152)</f>
        <v>0.8209079638</v>
      </c>
      <c r="V525" s="30">
        <f>IFERROR(__xludf.DUMMYFUNCTION("""COMPUTED_VALUE"""),0.5625281654339105)</f>
        <v>0.5625281654</v>
      </c>
      <c r="W525" s="30">
        <f>IFERROR(__xludf.DUMMYFUNCTION("""COMPUTED_VALUE"""),1.2688706751717616)</f>
        <v>1.268870675</v>
      </c>
      <c r="X525" s="30">
        <f>IFERROR(__xludf.DUMMYFUNCTION("""COMPUTED_VALUE"""),2.6081459115474113)</f>
        <v>2.608145912</v>
      </c>
      <c r="Y525" s="30">
        <f>IFERROR(__xludf.DUMMYFUNCTION("""COMPUTED_VALUE"""),345.58945924170774)</f>
        <v>345.5894592</v>
      </c>
      <c r="Z525" s="30">
        <f>IFERROR(__xludf.DUMMYFUNCTION("""COMPUTED_VALUE"""),0.7756310340639665)</f>
        <v>0.7756310341</v>
      </c>
      <c r="AA525" s="30">
        <f>IFERROR(__xludf.DUMMYFUNCTION("""COMPUTED_VALUE"""),0.5269062551834293)</f>
        <v>0.5269062552</v>
      </c>
      <c r="AB525" s="30">
        <f>IFERROR(__xludf.DUMMYFUNCTION("""COMPUTED_VALUE"""),1.3851596728648867)</f>
        <v>1.385159673</v>
      </c>
      <c r="AC525" s="30">
        <f>IFERROR(__xludf.DUMMYFUNCTION("""COMPUTED_VALUE"""),2.5616002096838564)</f>
        <v>2.56160021</v>
      </c>
      <c r="AD525" s="30">
        <f>IFERROR(__xludf.DUMMYFUNCTION("""COMPUTED_VALUE"""),0.8210228481153287)</f>
        <v>0.8210228481</v>
      </c>
      <c r="AE525" s="30">
        <f>IFERROR(__xludf.DUMMYFUNCTION("""COMPUTED_VALUE"""),0.949990488908661)</f>
        <v>0.9499904889</v>
      </c>
      <c r="AF525" s="30">
        <f>IFERROR(__xludf.DUMMYFUNCTION("""COMPUTED_VALUE"""),0.5993276234199882)</f>
        <v>0.5993276234</v>
      </c>
      <c r="AG525" s="30">
        <f>IFERROR(__xludf.DUMMYFUNCTION("""COMPUTED_VALUE"""),0.6459449113579117)</f>
        <v>0.6459449114</v>
      </c>
      <c r="AH525" s="30">
        <f>IFERROR(__xludf.DUMMYFUNCTION("""COMPUTED_VALUE"""),0.8424010619160689)</f>
        <v>0.8424010619</v>
      </c>
      <c r="AI525" s="30">
        <f>IFERROR(__xludf.DUMMYFUNCTION("""COMPUTED_VALUE"""),1.073797393477606)</f>
        <v>1.073797393</v>
      </c>
      <c r="AJ525" s="30">
        <f>IFERROR(__xludf.DUMMYFUNCTION("""COMPUTED_VALUE"""),1.2395346427564593)</f>
        <v>1.239534643</v>
      </c>
      <c r="AK525" s="30">
        <f>IFERROR(__xludf.DUMMYFUNCTION("""COMPUTED_VALUE"""),1.2163133659058982)</f>
        <v>1.216313366</v>
      </c>
      <c r="AL525" s="30">
        <f>IFERROR(__xludf.DUMMYFUNCTION("""COMPUTED_VALUE"""),1.036976816810821)</f>
        <v>1.036976817</v>
      </c>
      <c r="AM525" s="30">
        <f>IFERROR(__xludf.DUMMYFUNCTION("""COMPUTED_VALUE"""),1.0358908119377273)</f>
        <v>1.035890812</v>
      </c>
      <c r="AN525" s="30">
        <f>IFERROR(__xludf.DUMMYFUNCTION("""COMPUTED_VALUE"""),0.8367922787334969)</f>
        <v>0.8367922787</v>
      </c>
      <c r="AO525" s="30">
        <f>IFERROR(__xludf.DUMMYFUNCTION("""COMPUTED_VALUE"""),0.9907254269919762)</f>
        <v>0.990725427</v>
      </c>
      <c r="AP525" s="30">
        <f>IFERROR(__xludf.DUMMYFUNCTION("""COMPUTED_VALUE"""),0.5785828728135403)</f>
        <v>0.5785828728</v>
      </c>
      <c r="AQ525" s="30">
        <f>IFERROR(__xludf.DUMMYFUNCTION("""COMPUTED_VALUE"""),0.6841287783949088)</f>
        <v>0.6841287784</v>
      </c>
      <c r="AR525" s="30">
        <f>IFERROR(__xludf.DUMMYFUNCTION("""COMPUTED_VALUE"""),0.8625717957720953)</f>
        <v>0.8625717958</v>
      </c>
      <c r="AS525" s="30">
        <f>IFERROR(__xludf.DUMMYFUNCTION("""COMPUTED_VALUE"""),38.0)</f>
        <v>38</v>
      </c>
      <c r="AT525" s="30">
        <f>IFERROR(__xludf.DUMMYFUNCTION("""COMPUTED_VALUE"""),0.3377949545104446)</f>
        <v>0.3377949545</v>
      </c>
      <c r="AU525" s="30">
        <f>IFERROR(__xludf.DUMMYFUNCTION("""COMPUTED_VALUE"""),1.7386403815942633)</f>
        <v>1.738640382</v>
      </c>
      <c r="AV525" s="32">
        <f>IFERROR(__xludf.DUMMYFUNCTION("""COMPUTED_VALUE"""),28.964943506055235)</f>
        <v>28.96494351</v>
      </c>
      <c r="AW525" s="32">
        <f>IFERROR(__xludf.DUMMYFUNCTION("""COMPUTED_VALUE"""),-4.9984677202542445)</f>
        <v>-4.99846772</v>
      </c>
      <c r="AX525" s="32">
        <f>IFERROR(__xludf.DUMMYFUNCTION("""COMPUTED_VALUE"""),25.558024535228903)</f>
        <v>25.55802454</v>
      </c>
      <c r="AY525" s="32">
        <f>IFERROR(__xludf.DUMMYFUNCTION("""COMPUTED_VALUE"""),-6.093230656793317)</f>
        <v>-6.093230657</v>
      </c>
      <c r="AZ525" s="30">
        <f>IFERROR(__xludf.DUMMYFUNCTION("""COMPUTED_VALUE"""),1.0947629365390723)</f>
        <v>1.094762937</v>
      </c>
      <c r="BA525" s="30">
        <f>IFERROR(__xludf.DUMMYFUNCTION("""COMPUTED_VALUE"""),1700.0)</f>
        <v>1700</v>
      </c>
    </row>
    <row r="526">
      <c r="A526" s="71" t="str">
        <f>IFERROR(__xludf.DUMMYFUNCTION("""COMPUTED_VALUE"""),"Rival")</f>
        <v>Rival</v>
      </c>
      <c r="B526" s="71" t="str">
        <f>IFERROR(__xludf.DUMMYFUNCTION("""COMPUTED_VALUE"""),"RSC006881")</f>
        <v>RSC006881</v>
      </c>
      <c r="C526" s="30" t="str">
        <f>IFERROR(__xludf.DUMMYFUNCTION("""COMPUTED_VALUE"""),"Cyroic")</f>
        <v>Cyroic</v>
      </c>
      <c r="D526" s="30"/>
      <c r="E526" s="30">
        <f>IFERROR(__xludf.DUMMYFUNCTION("""COMPUTED_VALUE"""),20.0)</f>
        <v>20</v>
      </c>
      <c r="F526" s="30">
        <f>IFERROR(__xludf.DUMMYFUNCTION("""COMPUTED_VALUE"""),9.0)</f>
        <v>9</v>
      </c>
      <c r="G526" s="42">
        <f>IFERROR(__xludf.DUMMYFUNCTION("""COMPUTED_VALUE"""),11.0)</f>
        <v>11</v>
      </c>
      <c r="H526" s="42">
        <f>IFERROR(__xludf.DUMMYFUNCTION("""COMPUTED_VALUE"""),0.45)</f>
        <v>0.45</v>
      </c>
      <c r="I526" s="42">
        <f>IFERROR(__xludf.DUMMYFUNCTION("""COMPUTED_VALUE"""),0.19607843137254904)</f>
        <v>0.1960784314</v>
      </c>
      <c r="J526" s="30">
        <f>IFERROR(__xludf.DUMMYFUNCTION("""COMPUTED_VALUE"""),292.9)</f>
        <v>292.9</v>
      </c>
      <c r="K526" s="30">
        <f>IFERROR(__xludf.DUMMYFUNCTION("""COMPUTED_VALUE"""),0.5)</f>
        <v>0.5</v>
      </c>
      <c r="L526" s="30">
        <f>IFERROR(__xludf.DUMMYFUNCTION("""COMPUTED_VALUE"""),0.45)</f>
        <v>0.45</v>
      </c>
      <c r="M526" s="30">
        <f>IFERROR(__xludf.DUMMYFUNCTION("""COMPUTED_VALUE"""),1.5)</f>
        <v>1.5</v>
      </c>
      <c r="N526" s="30">
        <f>IFERROR(__xludf.DUMMYFUNCTION("""COMPUTED_VALUE"""),2.55)</f>
        <v>2.55</v>
      </c>
      <c r="O526" s="30">
        <f>IFERROR(__xludf.DUMMYFUNCTION("""COMPUTED_VALUE"""),368.4)</f>
        <v>368.4</v>
      </c>
      <c r="P526" s="30">
        <f>IFERROR(__xludf.DUMMYFUNCTION("""COMPUTED_VALUE"""),0.8499999999999999)</f>
        <v>0.85</v>
      </c>
      <c r="Q526" s="30">
        <f>IFERROR(__xludf.DUMMYFUNCTION("""COMPUTED_VALUE"""),0.6333333333333333)</f>
        <v>0.6333333333</v>
      </c>
      <c r="R526" s="30">
        <f>IFERROR(__xludf.DUMMYFUNCTION("""COMPUTED_VALUE"""),1.5500000000000003)</f>
        <v>1.55</v>
      </c>
      <c r="S526" s="30">
        <f>IFERROR(__xludf.DUMMYFUNCTION("""COMPUTED_VALUE"""),2.7333333333333334)</f>
        <v>2.733333333</v>
      </c>
      <c r="T526" s="30">
        <f>IFERROR(__xludf.DUMMYFUNCTION("""COMPUTED_VALUE"""),352.5511837142217)</f>
        <v>352.5511837</v>
      </c>
      <c r="U526" s="30">
        <f>IFERROR(__xludf.DUMMYFUNCTION("""COMPUTED_VALUE"""),0.8176809392018372)</f>
        <v>0.8176809392</v>
      </c>
      <c r="V526" s="30">
        <f>IFERROR(__xludf.DUMMYFUNCTION("""COMPUTED_VALUE"""),0.564129530147332)</f>
        <v>0.5641295301</v>
      </c>
      <c r="W526" s="30">
        <f>IFERROR(__xludf.DUMMYFUNCTION("""COMPUTED_VALUE"""),1.3166106048652486)</f>
        <v>1.316610605</v>
      </c>
      <c r="X526" s="30">
        <f>IFERROR(__xludf.DUMMYFUNCTION("""COMPUTED_VALUE"""),2.567430167290848)</f>
        <v>2.567430167</v>
      </c>
      <c r="Y526" s="30">
        <f>IFERROR(__xludf.DUMMYFUNCTION("""COMPUTED_VALUE"""),350.01497955177774)</f>
        <v>350.0149796</v>
      </c>
      <c r="Z526" s="30">
        <f>IFERROR(__xludf.DUMMYFUNCTION("""COMPUTED_VALUE"""),0.7958004902058049)</f>
        <v>0.7958004902</v>
      </c>
      <c r="AA526" s="30">
        <f>IFERROR(__xludf.DUMMYFUNCTION("""COMPUTED_VALUE"""),0.5462417989069175)</f>
        <v>0.5462417989</v>
      </c>
      <c r="AB526" s="30">
        <f>IFERROR(__xludf.DUMMYFUNCTION("""COMPUTED_VALUE"""),1.3284867292607228)</f>
        <v>1.328486729</v>
      </c>
      <c r="AC526" s="30">
        <f>IFERROR(__xludf.DUMMYFUNCTION("""COMPUTED_VALUE"""),2.5454757322223784)</f>
        <v>2.545475732</v>
      </c>
      <c r="AD526" s="30">
        <f>IFERROR(__xludf.DUMMYFUNCTION("""COMPUTED_VALUE"""),0.8368213279759681)</f>
        <v>0.836821328</v>
      </c>
      <c r="AE526" s="30">
        <f>IFERROR(__xludf.DUMMYFUNCTION("""COMPUTED_VALUE"""),0.6282981804531097)</f>
        <v>0.6282981805</v>
      </c>
      <c r="AF526" s="30">
        <f>IFERROR(__xludf.DUMMYFUNCTION("""COMPUTED_VALUE"""),0.8238109952414726)</f>
        <v>0.8238109952</v>
      </c>
      <c r="AG526" s="30">
        <f>IFERROR(__xludf.DUMMYFUNCTION("""COMPUTED_VALUE"""),1.1291042409092946)</f>
        <v>1.129104241</v>
      </c>
      <c r="AH526" s="30">
        <f>IFERROR(__xludf.DUMMYFUNCTION("""COMPUTED_VALUE"""),1.0017773761188724)</f>
        <v>1.001777376</v>
      </c>
      <c r="AI526" s="30">
        <f>IFERROR(__xludf.DUMMYFUNCTION("""COMPUTED_VALUE"""),1.044954653445797)</f>
        <v>1.044954653</v>
      </c>
      <c r="AJ526" s="30">
        <f>IFERROR(__xludf.DUMMYFUNCTION("""COMPUTED_VALUE"""),1.0395252711035559)</f>
        <v>1.039525271</v>
      </c>
      <c r="AK526" s="30">
        <f>IFERROR(__xludf.DUMMYFUNCTION("""COMPUTED_VALUE"""),1.122673605063588)</f>
        <v>1.122673605</v>
      </c>
      <c r="AL526" s="30">
        <f>IFERROR(__xludf.DUMMYFUNCTION("""COMPUTED_VALUE"""),1.1772653161628137)</f>
        <v>1.177265316</v>
      </c>
      <c r="AM526" s="30">
        <f>IFERROR(__xludf.DUMMYFUNCTION("""COMPUTED_VALUE"""),1.0646183752750502)</f>
        <v>1.064618375</v>
      </c>
      <c r="AN526" s="30">
        <f>IFERROR(__xludf.DUMMYFUNCTION("""COMPUTED_VALUE"""),0.8638161213837475)</f>
        <v>0.8638161214</v>
      </c>
      <c r="AO526" s="30">
        <f>IFERROR(__xludf.DUMMYFUNCTION("""COMPUTED_VALUE"""),0.6722779683159839)</f>
        <v>0.6722779683</v>
      </c>
      <c r="AP526" s="30">
        <f>IFERROR(__xludf.DUMMYFUNCTION("""COMPUTED_VALUE"""),0.8244805937592949)</f>
        <v>0.8244805938</v>
      </c>
      <c r="AQ526" s="30">
        <f>IFERROR(__xludf.DUMMYFUNCTION("""COMPUTED_VALUE"""),1.1469217755444059)</f>
        <v>1.146921776</v>
      </c>
      <c r="AR526" s="30">
        <f>IFERROR(__xludf.DUMMYFUNCTION("""COMPUTED_VALUE"""),1.0193074025648297)</f>
        <v>1.019307403</v>
      </c>
      <c r="AS526" s="30">
        <f>IFERROR(__xludf.DUMMYFUNCTION("""COMPUTED_VALUE"""),43.0)</f>
        <v>43</v>
      </c>
      <c r="AT526" s="30">
        <f>IFERROR(__xludf.DUMMYFUNCTION("""COMPUTED_VALUE"""),0.4338811624413912)</f>
        <v>0.4338811624</v>
      </c>
      <c r="AU526" s="30">
        <f>IFERROR(__xludf.DUMMYFUNCTION("""COMPUTED_VALUE"""),1.8018548329055408)</f>
        <v>1.801854833</v>
      </c>
      <c r="AV526" s="32">
        <f>IFERROR(__xludf.DUMMYFUNCTION("""COMPUTED_VALUE"""),30.77477166126814)</f>
        <v>30.77477166</v>
      </c>
      <c r="AW526" s="32">
        <f>IFERROR(__xludf.DUMMYFUNCTION("""COMPUTED_VALUE"""),-4.526034888599571)</f>
        <v>-4.526034889</v>
      </c>
      <c r="AX526" s="32">
        <f>IFERROR(__xludf.DUMMYFUNCTION("""COMPUTED_VALUE"""),27.254865515710627)</f>
        <v>27.25486552</v>
      </c>
      <c r="AY526" s="32">
        <f>IFERROR(__xludf.DUMMYFUNCTION("""COMPUTED_VALUE"""),-5.510778078256803)</f>
        <v>-5.510778078</v>
      </c>
      <c r="AZ526" s="30">
        <f>IFERROR(__xludf.DUMMYFUNCTION("""COMPUTED_VALUE"""),0.9847431896572321)</f>
        <v>0.9847431897</v>
      </c>
      <c r="BA526" s="30">
        <f>IFERROR(__xludf.DUMMYFUNCTION("""COMPUTED_VALUE"""),1700.0)</f>
        <v>1700</v>
      </c>
    </row>
    <row r="527">
      <c r="A527" s="71" t="str">
        <f>IFERROR(__xludf.DUMMYFUNCTION("""COMPUTED_VALUE"""),"Rival")</f>
        <v>Rival</v>
      </c>
      <c r="B527" s="71" t="str">
        <f>IFERROR(__xludf.DUMMYFUNCTION("""COMPUTED_VALUE"""),"RSC006490")</f>
        <v>RSC006490</v>
      </c>
      <c r="C527" s="30" t="str">
        <f>IFERROR(__xludf.DUMMYFUNCTION("""COMPUTED_VALUE"""),"Dayz")</f>
        <v>Dayz</v>
      </c>
      <c r="D527" s="30" t="str">
        <f>IFERROR(__xludf.DUMMYFUNCTION("""COMPUTED_VALUE"""),"Stolen")</f>
        <v>Stolen</v>
      </c>
      <c r="E527" s="30">
        <f>IFERROR(__xludf.DUMMYFUNCTION("""COMPUTED_VALUE"""),44.0)</f>
        <v>44</v>
      </c>
      <c r="F527" s="30">
        <f>IFERROR(__xludf.DUMMYFUNCTION("""COMPUTED_VALUE"""),30.0)</f>
        <v>30</v>
      </c>
      <c r="G527" s="42">
        <f>IFERROR(__xludf.DUMMYFUNCTION("""COMPUTED_VALUE"""),14.0)</f>
        <v>14</v>
      </c>
      <c r="H527" s="42">
        <f>IFERROR(__xludf.DUMMYFUNCTION("""COMPUTED_VALUE"""),0.6818181818181818)</f>
        <v>0.6818181818</v>
      </c>
      <c r="I527" s="42">
        <f>IFERROR(__xludf.DUMMYFUNCTION("""COMPUTED_VALUE"""),0.3425925925925926)</f>
        <v>0.3425925926</v>
      </c>
      <c r="J527" s="30">
        <f>IFERROR(__xludf.DUMMYFUNCTION("""COMPUTED_VALUE"""),370.3181818181818)</f>
        <v>370.3181818</v>
      </c>
      <c r="K527" s="30">
        <f>IFERROR(__xludf.DUMMYFUNCTION("""COMPUTED_VALUE"""),0.8409090909090909)</f>
        <v>0.8409090909</v>
      </c>
      <c r="L527" s="30">
        <f>IFERROR(__xludf.DUMMYFUNCTION("""COMPUTED_VALUE"""),0.6590909090909091)</f>
        <v>0.6590909091</v>
      </c>
      <c r="M527" s="30">
        <f>IFERROR(__xludf.DUMMYFUNCTION("""COMPUTED_VALUE"""),1.4545454545454546)</f>
        <v>1.454545455</v>
      </c>
      <c r="N527" s="30">
        <f>IFERROR(__xludf.DUMMYFUNCTION("""COMPUTED_VALUE"""),2.4545454545454546)</f>
        <v>2.454545455</v>
      </c>
      <c r="O527" s="30">
        <f>IFERROR(__xludf.DUMMYFUNCTION("""COMPUTED_VALUE"""),341.65909090909093)</f>
        <v>341.6590909</v>
      </c>
      <c r="P527" s="30">
        <f>IFERROR(__xludf.DUMMYFUNCTION("""COMPUTED_VALUE"""),0.7196969696969696)</f>
        <v>0.7196969697</v>
      </c>
      <c r="Q527" s="30">
        <f>IFERROR(__xludf.DUMMYFUNCTION("""COMPUTED_VALUE"""),0.5757575757575757)</f>
        <v>0.5757575758</v>
      </c>
      <c r="R527" s="30">
        <f>IFERROR(__xludf.DUMMYFUNCTION("""COMPUTED_VALUE"""),1.3939393939393943)</f>
        <v>1.393939394</v>
      </c>
      <c r="S527" s="30">
        <f>IFERROR(__xludf.DUMMYFUNCTION("""COMPUTED_VALUE"""),2.4318181818181817)</f>
        <v>2.431818182</v>
      </c>
      <c r="T527" s="30">
        <f>IFERROR(__xludf.DUMMYFUNCTION("""COMPUTED_VALUE"""),352.653941864879)</f>
        <v>352.6539419</v>
      </c>
      <c r="U527" s="30">
        <f>IFERROR(__xludf.DUMMYFUNCTION("""COMPUTED_VALUE"""),0.8197648689626057)</f>
        <v>0.819764869</v>
      </c>
      <c r="V527" s="30">
        <f>IFERROR(__xludf.DUMMYFUNCTION("""COMPUTED_VALUE"""),0.5753623192608195)</f>
        <v>0.5753623193</v>
      </c>
      <c r="W527" s="30">
        <f>IFERROR(__xludf.DUMMYFUNCTION("""COMPUTED_VALUE"""),1.3349901156497037)</f>
        <v>1.334990116</v>
      </c>
      <c r="X527" s="30">
        <f>IFERROR(__xludf.DUMMYFUNCTION("""COMPUTED_VALUE"""),2.6314508264980394)</f>
        <v>2.631450826</v>
      </c>
      <c r="Y527" s="30">
        <f>IFERROR(__xludf.DUMMYFUNCTION("""COMPUTED_VALUE"""),347.8761978352203)</f>
        <v>347.8761978</v>
      </c>
      <c r="Z527" s="30">
        <f>IFERROR(__xludf.DUMMYFUNCTION("""COMPUTED_VALUE"""),0.7825301382594574)</f>
        <v>0.7825301383</v>
      </c>
      <c r="AA527" s="30">
        <f>IFERROR(__xludf.DUMMYFUNCTION("""COMPUTED_VALUE"""),0.5613393594388858)</f>
        <v>0.5613393594</v>
      </c>
      <c r="AB527" s="30">
        <f>IFERROR(__xludf.DUMMYFUNCTION("""COMPUTED_VALUE"""),1.3219315117828374)</f>
        <v>1.321931512</v>
      </c>
      <c r="AC527" s="30">
        <f>IFERROR(__xludf.DUMMYFUNCTION("""COMPUTED_VALUE"""),2.6013802215682778)</f>
        <v>2.601380222</v>
      </c>
      <c r="AD527" s="30">
        <f>IFERROR(__xludf.DUMMYFUNCTION("""COMPUTED_VALUE"""),1.0645114098711395)</f>
        <v>1.06451141</v>
      </c>
      <c r="AE527" s="30">
        <f>IFERROR(__xludf.DUMMYFUNCTION("""COMPUTED_VALUE"""),1.0746028169336492)</f>
        <v>1.074602817</v>
      </c>
      <c r="AF527" s="30">
        <f>IFERROR(__xludf.DUMMYFUNCTION("""COMPUTED_VALUE"""),1.1741398460812291)</f>
        <v>1.174139846</v>
      </c>
      <c r="AG527" s="30">
        <f>IFERROR(__xludf.DUMMYFUNCTION("""COMPUTED_VALUE"""),1.100318315722549)</f>
        <v>1.100318316</v>
      </c>
      <c r="AH527" s="30">
        <f>IFERROR(__xludf.DUMMYFUNCTION("""COMPUTED_VALUE"""),0.943555053657515)</f>
        <v>0.9435550537</v>
      </c>
      <c r="AI527" s="30">
        <f>IFERROR(__xludf.DUMMYFUNCTION("""COMPUTED_VALUE"""),0.9688225491039575)</f>
        <v>0.9688225491</v>
      </c>
      <c r="AJ527" s="30">
        <f>IFERROR(__xludf.DUMMYFUNCTION("""COMPUTED_VALUE"""),0.8779309738019515)</f>
        <v>0.8779309738</v>
      </c>
      <c r="AK527" s="30">
        <f>IFERROR(__xludf.DUMMYFUNCTION("""COMPUTED_VALUE"""),1.0006869697293768)</f>
        <v>1.00068697</v>
      </c>
      <c r="AL527" s="30">
        <f>IFERROR(__xludf.DUMMYFUNCTION("""COMPUTED_VALUE"""),1.044157089703246)</f>
        <v>1.04415709</v>
      </c>
      <c r="AM527" s="30">
        <f>IFERROR(__xludf.DUMMYFUNCTION("""COMPUTED_VALUE"""),0.9241359015074088)</f>
        <v>0.9241359015</v>
      </c>
      <c r="AN527" s="30">
        <f>IFERROR(__xludf.DUMMYFUNCTION("""COMPUTED_VALUE"""),1.0921366182863204)</f>
        <v>1.092136618</v>
      </c>
      <c r="AO527" s="30">
        <f>IFERROR(__xludf.DUMMYFUNCTION("""COMPUTED_VALUE"""),1.1306493103496091)</f>
        <v>1.13064931</v>
      </c>
      <c r="AP527" s="30">
        <f>IFERROR(__xludf.DUMMYFUNCTION("""COMPUTED_VALUE"""),1.2075725868191693)</f>
        <v>1.207572587</v>
      </c>
      <c r="AQ527" s="30">
        <f>IFERROR(__xludf.DUMMYFUNCTION("""COMPUTED_VALUE"""),1.1121665702248784)</f>
        <v>1.11216657</v>
      </c>
      <c r="AR527" s="30">
        <f>IFERROR(__xludf.DUMMYFUNCTION("""COMPUTED_VALUE"""),0.9811515104902104)</f>
        <v>0.9811515105</v>
      </c>
      <c r="AS527" s="30">
        <f>IFERROR(__xludf.DUMMYFUNCTION("""COMPUTED_VALUE"""),119.0)</f>
        <v>119</v>
      </c>
      <c r="AT527" s="30">
        <f>IFERROR(__xludf.DUMMYFUNCTION("""COMPUTED_VALUE"""),0.5877479249906852)</f>
        <v>0.587747925</v>
      </c>
      <c r="AU527" s="30">
        <f>IFERROR(__xludf.DUMMYFUNCTION("""COMPUTED_VALUE"""),2.9599885270561956)</f>
        <v>2.959988527</v>
      </c>
      <c r="AV527" s="32">
        <f>IFERROR(__xludf.DUMMYFUNCTION("""COMPUTED_VALUE"""),63.932110271287094)</f>
        <v>63.93211027</v>
      </c>
      <c r="AW527" s="32">
        <f>IFERROR(__xludf.DUMMYFUNCTION("""COMPUTED_VALUE"""),3.4642044831635297)</f>
        <v>3.464204483</v>
      </c>
      <c r="AX527" s="32">
        <f>IFERROR(__xludf.DUMMYFUNCTION("""COMPUTED_VALUE"""),56.18774402751485)</f>
        <v>56.18774403</v>
      </c>
      <c r="AY527" s="32">
        <f>IFERROR(__xludf.DUMMYFUNCTION("""COMPUTED_VALUE"""),2.4859737068976107)</f>
        <v>2.485973707</v>
      </c>
      <c r="AZ527" s="30">
        <f>IFERROR(__xludf.DUMMYFUNCTION("""COMPUTED_VALUE"""),0.978230776265919)</f>
        <v>0.9782307763</v>
      </c>
      <c r="BA527" s="30">
        <f>IFERROR(__xludf.DUMMYFUNCTION("""COMPUTED_VALUE"""),1700.0)</f>
        <v>1700</v>
      </c>
    </row>
    <row r="528">
      <c r="A528" s="71" t="str">
        <f>IFERROR(__xludf.DUMMYFUNCTION("""COMPUTED_VALUE"""),"Rival")</f>
        <v>Rival</v>
      </c>
      <c r="B528" s="71" t="str">
        <f>IFERROR(__xludf.DUMMYFUNCTION("""COMPUTED_VALUE"""),"RSC004665")</f>
        <v>RSC004665</v>
      </c>
      <c r="C528" s="30" t="str">
        <f>IFERROR(__xludf.DUMMYFUNCTION("""COMPUTED_VALUE"""),"xPrism")</f>
        <v>xPrism</v>
      </c>
      <c r="D528" s="30" t="str">
        <f>IFERROR(__xludf.DUMMYFUNCTION("""COMPUTED_VALUE"""),"Polar Ice")</f>
        <v>Polar Ice</v>
      </c>
      <c r="E528" s="30">
        <f>IFERROR(__xludf.DUMMYFUNCTION("""COMPUTED_VALUE"""),43.0)</f>
        <v>43</v>
      </c>
      <c r="F528" s="30">
        <f>IFERROR(__xludf.DUMMYFUNCTION("""COMPUTED_VALUE"""),20.0)</f>
        <v>20</v>
      </c>
      <c r="G528" s="42">
        <f>IFERROR(__xludf.DUMMYFUNCTION("""COMPUTED_VALUE"""),23.0)</f>
        <v>23</v>
      </c>
      <c r="H528" s="42">
        <f>IFERROR(__xludf.DUMMYFUNCTION("""COMPUTED_VALUE"""),0.46511627906976744)</f>
        <v>0.4651162791</v>
      </c>
      <c r="I528" s="42">
        <f>IFERROR(__xludf.DUMMYFUNCTION("""COMPUTED_VALUE"""),0.2831858407079646)</f>
        <v>0.2831858407</v>
      </c>
      <c r="J528" s="30">
        <f>IFERROR(__xludf.DUMMYFUNCTION("""COMPUTED_VALUE"""),370.83720930232556)</f>
        <v>370.8372093</v>
      </c>
      <c r="K528" s="30">
        <f>IFERROR(__xludf.DUMMYFUNCTION("""COMPUTED_VALUE"""),0.7441860465116279)</f>
        <v>0.7441860465</v>
      </c>
      <c r="L528" s="30">
        <f>IFERROR(__xludf.DUMMYFUNCTION("""COMPUTED_VALUE"""),0.7209302325581395)</f>
        <v>0.7209302326</v>
      </c>
      <c r="M528" s="30">
        <f>IFERROR(__xludf.DUMMYFUNCTION("""COMPUTED_VALUE"""),1.302325581395349)</f>
        <v>1.302325581</v>
      </c>
      <c r="N528" s="30">
        <f>IFERROR(__xludf.DUMMYFUNCTION("""COMPUTED_VALUE"""),2.627906976744186)</f>
        <v>2.627906977</v>
      </c>
      <c r="O528" s="30">
        <f>IFERROR(__xludf.DUMMYFUNCTION("""COMPUTED_VALUE"""),372.062015503876)</f>
        <v>372.0620155</v>
      </c>
      <c r="P528" s="30">
        <f>IFERROR(__xludf.DUMMYFUNCTION("""COMPUTED_VALUE"""),0.8449612403100774)</f>
        <v>0.8449612403</v>
      </c>
      <c r="Q528" s="30">
        <f>IFERROR(__xludf.DUMMYFUNCTION("""COMPUTED_VALUE"""),0.5736434108527132)</f>
        <v>0.5736434109</v>
      </c>
      <c r="R528" s="30">
        <f>IFERROR(__xludf.DUMMYFUNCTION("""COMPUTED_VALUE"""),1.4573643410852717)</f>
        <v>1.457364341</v>
      </c>
      <c r="S528" s="30">
        <f>IFERROR(__xludf.DUMMYFUNCTION("""COMPUTED_VALUE"""),2.7364341085271318)</f>
        <v>2.736434109</v>
      </c>
      <c r="T528" s="30">
        <f>IFERROR(__xludf.DUMMYFUNCTION("""COMPUTED_VALUE"""),356.6162712204604)</f>
        <v>356.6162712</v>
      </c>
      <c r="U528" s="30">
        <f>IFERROR(__xludf.DUMMYFUNCTION("""COMPUTED_VALUE"""),0.8187924203976604)</f>
        <v>0.8187924204</v>
      </c>
      <c r="V528" s="30">
        <f>IFERROR(__xludf.DUMMYFUNCTION("""COMPUTED_VALUE"""),0.5773131884640563)</f>
        <v>0.5773131885</v>
      </c>
      <c r="W528" s="30">
        <f>IFERROR(__xludf.DUMMYFUNCTION("""COMPUTED_VALUE"""),1.3479572796352415)</f>
        <v>1.34795728</v>
      </c>
      <c r="X528" s="30">
        <f>IFERROR(__xludf.DUMMYFUNCTION("""COMPUTED_VALUE"""),2.6780585884991357)</f>
        <v>2.678058588</v>
      </c>
      <c r="Y528" s="30">
        <f>IFERROR(__xludf.DUMMYFUNCTION("""COMPUTED_VALUE"""),348.47292637753407)</f>
        <v>348.4729264</v>
      </c>
      <c r="Z528" s="30">
        <f>IFERROR(__xludf.DUMMYFUNCTION("""COMPUTED_VALUE"""),0.7861101417351747)</f>
        <v>0.7861101417</v>
      </c>
      <c r="AA528" s="30">
        <f>IFERROR(__xludf.DUMMYFUNCTION("""COMPUTED_VALUE"""),0.5637294429828899)</f>
        <v>0.563729443</v>
      </c>
      <c r="AB528" s="30">
        <f>IFERROR(__xludf.DUMMYFUNCTION("""COMPUTED_VALUE"""),1.3200246919927903)</f>
        <v>1.320024692</v>
      </c>
      <c r="AC528" s="30">
        <f>IFERROR(__xludf.DUMMYFUNCTION("""COMPUTED_VALUE"""),2.6025445015049375)</f>
        <v>2.602544502</v>
      </c>
      <c r="AD528" s="30">
        <f>IFERROR(__xludf.DUMMYFUNCTION("""COMPUTED_VALUE"""),1.0641779640021793)</f>
        <v>1.064177964</v>
      </c>
      <c r="AE528" s="30">
        <f>IFERROR(__xludf.DUMMYFUNCTION("""COMPUTED_VALUE"""),0.9466689297112895)</f>
        <v>0.9466689297</v>
      </c>
      <c r="AF528" s="30">
        <f>IFERROR(__xludf.DUMMYFUNCTION("""COMPUTED_VALUE"""),1.2788585757441464)</f>
        <v>1.278858576</v>
      </c>
      <c r="AG528" s="30">
        <f>IFERROR(__xludf.DUMMYFUNCTION("""COMPUTED_VALUE"""),0.9865918336946246)</f>
        <v>0.9865918337</v>
      </c>
      <c r="AH528" s="30">
        <f>IFERROR(__xludf.DUMMYFUNCTION("""COMPUTED_VALUE"""),1.0097452609262136)</f>
        <v>1.009745261</v>
      </c>
      <c r="AI528" s="30">
        <f>IFERROR(__xludf.DUMMYFUNCTION("""COMPUTED_VALUE"""),1.043311944882815)</f>
        <v>1.043311945</v>
      </c>
      <c r="AJ528" s="30">
        <f>IFERROR(__xludf.DUMMYFUNCTION("""COMPUTED_VALUE"""),1.031960261551649)</f>
        <v>1.031960262</v>
      </c>
      <c r="AK528" s="30">
        <f>IFERROR(__xludf.DUMMYFUNCTION("""COMPUTED_VALUE"""),0.9936433504644047)</f>
        <v>0.9936433505</v>
      </c>
      <c r="AL528" s="30">
        <f>IFERROR(__xludf.DUMMYFUNCTION("""COMPUTED_VALUE"""),1.081165080750657)</f>
        <v>1.081165081</v>
      </c>
      <c r="AM528" s="30">
        <f>IFERROR(__xludf.DUMMYFUNCTION("""COMPUTED_VALUE"""),1.0217977008713284)</f>
        <v>1.021797701</v>
      </c>
      <c r="AN528" s="30">
        <f>IFERROR(__xludf.DUMMYFUNCTION("""COMPUTED_VALUE"""),1.093667326064554)</f>
        <v>1.093667326</v>
      </c>
      <c r="AO528" s="30">
        <f>IFERROR(__xludf.DUMMYFUNCTION("""COMPUTED_VALUE"""),1.0005997667958828)</f>
        <v>1.000599767</v>
      </c>
      <c r="AP528" s="30">
        <f>IFERROR(__xludf.DUMMYFUNCTION("""COMPUTED_VALUE"""),1.3208733026634698)</f>
        <v>1.320873303</v>
      </c>
      <c r="AQ528" s="30">
        <f>IFERROR(__xludf.DUMMYFUNCTION("""COMPUTED_VALUE"""),0.9957770454339029)</f>
        <v>0.9957770454</v>
      </c>
      <c r="AR528" s="30">
        <f>IFERROR(__xludf.DUMMYFUNCTION("""COMPUTED_VALUE"""),1.0504490331949452)</f>
        <v>1.050449033</v>
      </c>
      <c r="AS528" s="30">
        <f>IFERROR(__xludf.DUMMYFUNCTION("""COMPUTED_VALUE"""),104.0)</f>
        <v>104</v>
      </c>
      <c r="AT528" s="30">
        <f>IFERROR(__xludf.DUMMYFUNCTION("""COMPUTED_VALUE"""),0.4814270954481573)</f>
        <v>0.4814270954</v>
      </c>
      <c r="AU528" s="30">
        <f>IFERROR(__xludf.DUMMYFUNCTION("""COMPUTED_VALUE"""),2.8486774899266076)</f>
        <v>2.84867749</v>
      </c>
      <c r="AV528" s="32">
        <f>IFERROR(__xludf.DUMMYFUNCTION("""COMPUTED_VALUE"""),60.745278070670686)</f>
        <v>60.74527807</v>
      </c>
      <c r="AW528" s="32">
        <f>IFERROR(__xludf.DUMMYFUNCTION("""COMPUTED_VALUE"""),2.9970043091444403)</f>
        <v>2.997004309</v>
      </c>
      <c r="AX528" s="32">
        <f>IFERROR(__xludf.DUMMYFUNCTION("""COMPUTED_VALUE"""),50.31086933937734)</f>
        <v>50.31086934</v>
      </c>
      <c r="AY528" s="32">
        <f>IFERROR(__xludf.DUMMYFUNCTION("""COMPUTED_VALUE"""),2.02004135177559)</f>
        <v>2.020041352</v>
      </c>
      <c r="AZ528" s="30">
        <f>IFERROR(__xludf.DUMMYFUNCTION("""COMPUTED_VALUE"""),0.9769629573688503)</f>
        <v>0.9769629574</v>
      </c>
      <c r="BA528" s="30">
        <f>IFERROR(__xludf.DUMMYFUNCTION("""COMPUTED_VALUE"""),1700.0)</f>
        <v>1700</v>
      </c>
    </row>
    <row r="529">
      <c r="A529" s="71" t="str">
        <f>IFERROR(__xludf.DUMMYFUNCTION("""COMPUTED_VALUE"""),"Rival")</f>
        <v>Rival</v>
      </c>
      <c r="B529" s="71" t="str">
        <f>IFERROR(__xludf.DUMMYFUNCTION("""COMPUTED_VALUE"""),"RSC002036")</f>
        <v>RSC002036</v>
      </c>
      <c r="C529" s="30" t="str">
        <f>IFERROR(__xludf.DUMMYFUNCTION("""COMPUTED_VALUE"""),"Reno")</f>
        <v>Reno</v>
      </c>
      <c r="D529" s="30" t="str">
        <f>IFERROR(__xludf.DUMMYFUNCTION("""COMPUTED_VALUE"""),"Polar Ice")</f>
        <v>Polar Ice</v>
      </c>
      <c r="E529" s="30">
        <f>IFERROR(__xludf.DUMMYFUNCTION("""COMPUTED_VALUE"""),46.0)</f>
        <v>46</v>
      </c>
      <c r="F529" s="30">
        <f>IFERROR(__xludf.DUMMYFUNCTION("""COMPUTED_VALUE"""),20.0)</f>
        <v>20</v>
      </c>
      <c r="G529" s="42">
        <f>IFERROR(__xludf.DUMMYFUNCTION("""COMPUTED_VALUE"""),26.0)</f>
        <v>26</v>
      </c>
      <c r="H529" s="42">
        <f>IFERROR(__xludf.DUMMYFUNCTION("""COMPUTED_VALUE"""),0.43478260869565216)</f>
        <v>0.4347826087</v>
      </c>
      <c r="I529" s="42">
        <f>IFERROR(__xludf.DUMMYFUNCTION("""COMPUTED_VALUE"""),0.28187919463087246)</f>
        <v>0.2818791946</v>
      </c>
      <c r="J529" s="30">
        <f>IFERROR(__xludf.DUMMYFUNCTION("""COMPUTED_VALUE"""),378.54347826086956)</f>
        <v>378.5434783</v>
      </c>
      <c r="K529" s="30">
        <f>IFERROR(__xludf.DUMMYFUNCTION("""COMPUTED_VALUE"""),0.9130434782608695)</f>
        <v>0.9130434783</v>
      </c>
      <c r="L529" s="30">
        <f>IFERROR(__xludf.DUMMYFUNCTION("""COMPUTED_VALUE"""),0.43478260869565216)</f>
        <v>0.4347826087</v>
      </c>
      <c r="M529" s="30">
        <f>IFERROR(__xludf.DUMMYFUNCTION("""COMPUTED_VALUE"""),1.4565217391304348)</f>
        <v>1.456521739</v>
      </c>
      <c r="N529" s="30">
        <f>IFERROR(__xludf.DUMMYFUNCTION("""COMPUTED_VALUE"""),3.239130434782609)</f>
        <v>3.239130435</v>
      </c>
      <c r="O529" s="30">
        <f>IFERROR(__xludf.DUMMYFUNCTION("""COMPUTED_VALUE"""),372.5507246376811)</f>
        <v>372.5507246</v>
      </c>
      <c r="P529" s="30">
        <f>IFERROR(__xludf.DUMMYFUNCTION("""COMPUTED_VALUE"""),0.8623188405797101)</f>
        <v>0.8623188406</v>
      </c>
      <c r="Q529" s="30">
        <f>IFERROR(__xludf.DUMMYFUNCTION("""COMPUTED_VALUE"""),0.601449275362319)</f>
        <v>0.6014492754</v>
      </c>
      <c r="R529" s="30">
        <f>IFERROR(__xludf.DUMMYFUNCTION("""COMPUTED_VALUE"""),1.4130434782608698)</f>
        <v>1.413043478</v>
      </c>
      <c r="S529" s="30">
        <f>IFERROR(__xludf.DUMMYFUNCTION("""COMPUTED_VALUE"""),2.746376811594203)</f>
        <v>2.746376812</v>
      </c>
      <c r="T529" s="30">
        <f>IFERROR(__xludf.DUMMYFUNCTION("""COMPUTED_VALUE"""),355.5488613663643)</f>
        <v>355.5488614</v>
      </c>
      <c r="U529" s="30">
        <f>IFERROR(__xludf.DUMMYFUNCTION("""COMPUTED_VALUE"""),0.81491087863969)</f>
        <v>0.8149108786</v>
      </c>
      <c r="V529" s="30">
        <f>IFERROR(__xludf.DUMMYFUNCTION("""COMPUTED_VALUE"""),0.5776910267016208)</f>
        <v>0.5776910267</v>
      </c>
      <c r="W529" s="30">
        <f>IFERROR(__xludf.DUMMYFUNCTION("""COMPUTED_VALUE"""),1.342699424213606)</f>
        <v>1.342699424</v>
      </c>
      <c r="X529" s="30">
        <f>IFERROR(__xludf.DUMMYFUNCTION("""COMPUTED_VALUE"""),2.679326760010315)</f>
        <v>2.67932676</v>
      </c>
      <c r="Y529" s="30">
        <f>IFERROR(__xludf.DUMMYFUNCTION("""COMPUTED_VALUE"""),347.7813835454734)</f>
        <v>347.7813835</v>
      </c>
      <c r="Z529" s="30">
        <f>IFERROR(__xludf.DUMMYFUNCTION("""COMPUTED_VALUE"""),0.7802100664465104)</f>
        <v>0.7802100664</v>
      </c>
      <c r="AA529" s="30">
        <f>IFERROR(__xludf.DUMMYFUNCTION("""COMPUTED_VALUE"""),0.5621160226138098)</f>
        <v>0.5621160226</v>
      </c>
      <c r="AB529" s="30">
        <f>IFERROR(__xludf.DUMMYFUNCTION("""COMPUTED_VALUE"""),1.332823550098077)</f>
        <v>1.33282355</v>
      </c>
      <c r="AC529" s="30">
        <f>IFERROR(__xludf.DUMMYFUNCTION("""COMPUTED_VALUE"""),2.5977278823539423)</f>
        <v>2.597727882</v>
      </c>
      <c r="AD529" s="30">
        <f>IFERROR(__xludf.DUMMYFUNCTION("""COMPUTED_VALUE"""),1.0884523904120187)</f>
        <v>1.08845239</v>
      </c>
      <c r="AE529" s="30">
        <f>IFERROR(__xludf.DUMMYFUNCTION("""COMPUTED_VALUE"""),1.1702533939601072)</f>
        <v>1.170253394</v>
      </c>
      <c r="AF529" s="30">
        <f>IFERROR(__xludf.DUMMYFUNCTION("""COMPUTED_VALUE"""),0.7734748543084327)</f>
        <v>0.7734748543</v>
      </c>
      <c r="AG529" s="30">
        <f>IFERROR(__xludf.DUMMYFUNCTION("""COMPUTED_VALUE"""),1.0928091261767212)</f>
        <v>1.092809126</v>
      </c>
      <c r="AH529" s="30">
        <f>IFERROR(__xludf.DUMMYFUNCTION("""COMPUTED_VALUE"""),1.2469090611012947)</f>
        <v>1.246909061</v>
      </c>
      <c r="AI529" s="30">
        <f>IFERROR(__xludf.DUMMYFUNCTION("""COMPUTED_VALUE"""),1.047818640751595)</f>
        <v>1.047818641</v>
      </c>
      <c r="AJ529" s="30">
        <f>IFERROR(__xludf.DUMMYFUNCTION("""COMPUTED_VALUE"""),1.058175640039506)</f>
        <v>1.05817564</v>
      </c>
      <c r="AK529" s="30">
        <f>IFERROR(__xludf.DUMMYFUNCTION("""COMPUTED_VALUE"""),1.0411262207002732)</f>
        <v>1.041126221</v>
      </c>
      <c r="AL529" s="30">
        <f>IFERROR(__xludf.DUMMYFUNCTION("""COMPUTED_VALUE"""),1.05239002324624)</f>
        <v>1.052390023</v>
      </c>
      <c r="AM529" s="30">
        <f>IFERROR(__xludf.DUMMYFUNCTION("""COMPUTED_VALUE"""),1.0250249624587149)</f>
        <v>1.025024962</v>
      </c>
      <c r="AN529" s="30">
        <f>IFERROR(__xludf.DUMMYFUNCTION("""COMPUTED_VALUE"""),1.1163945345388095)</f>
        <v>1.116394535</v>
      </c>
      <c r="AO529" s="30">
        <f>IFERROR(__xludf.DUMMYFUNCTION("""COMPUTED_VALUE"""),1.227638029098753)</f>
        <v>1.227638029</v>
      </c>
      <c r="AP529" s="30">
        <f>IFERROR(__xludf.DUMMYFUNCTION("""COMPUTED_VALUE"""),0.7965996074969033)</f>
        <v>0.7965996075</v>
      </c>
      <c r="AQ529" s="30">
        <f>IFERROR(__xludf.DUMMYFUNCTION("""COMPUTED_VALUE"""),1.1136776661083363)</f>
        <v>1.113677666</v>
      </c>
      <c r="AR529" s="30">
        <f>IFERROR(__xludf.DUMMYFUNCTION("""COMPUTED_VALUE"""),1.2947724039399797)</f>
        <v>1.294772404</v>
      </c>
      <c r="AS529" s="30">
        <f>IFERROR(__xludf.DUMMYFUNCTION("""COMPUTED_VALUE"""),107.0)</f>
        <v>107</v>
      </c>
      <c r="AT529" s="30">
        <f>IFERROR(__xludf.DUMMYFUNCTION("""COMPUTED_VALUE"""),0.45813500212499003)</f>
        <v>0.4581350021</v>
      </c>
      <c r="AU529" s="30">
        <f>IFERROR(__xludf.DUMMYFUNCTION("""COMPUTED_VALUE"""),2.926862280062494)</f>
        <v>2.92686228</v>
      </c>
      <c r="AV529" s="32">
        <f>IFERROR(__xludf.DUMMYFUNCTION("""COMPUTED_VALUE"""),62.98370665087882)</f>
        <v>62.98370665</v>
      </c>
      <c r="AW529" s="32">
        <f>IFERROR(__xludf.DUMMYFUNCTION("""COMPUTED_VALUE"""),3.313903360875606)</f>
        <v>3.313903361</v>
      </c>
      <c r="AX529" s="32">
        <f>IFERROR(__xludf.DUMMYFUNCTION("""COMPUTED_VALUE"""),54.84024209315975)</f>
        <v>54.84024209</v>
      </c>
      <c r="AY529" s="32">
        <f>IFERROR(__xludf.DUMMYFUNCTION("""COMPUTED_VALUE"""),2.3627214111578687)</f>
        <v>2.362721411</v>
      </c>
      <c r="AZ529" s="30">
        <f>IFERROR(__xludf.DUMMYFUNCTION("""COMPUTED_VALUE"""),0.9511819497177374)</f>
        <v>0.9511819497</v>
      </c>
      <c r="BA529" s="30">
        <f>IFERROR(__xludf.DUMMYFUNCTION("""COMPUTED_VALUE"""),1700.0)</f>
        <v>1700</v>
      </c>
    </row>
    <row r="530">
      <c r="A530" s="71" t="str">
        <f>IFERROR(__xludf.DUMMYFUNCTION("""COMPUTED_VALUE"""),"Rival")</f>
        <v>Rival</v>
      </c>
      <c r="B530" s="71" t="str">
        <f>IFERROR(__xludf.DUMMYFUNCTION("""COMPUTED_VALUE"""),"RSC006044")</f>
        <v>RSC006044</v>
      </c>
      <c r="C530" s="30" t="str">
        <f>IFERROR(__xludf.DUMMYFUNCTION("""COMPUTED_VALUE"""),"HybridParagon")</f>
        <v>HybridParagon</v>
      </c>
      <c r="D530" s="30" t="str">
        <f>IFERROR(__xludf.DUMMYFUNCTION("""COMPUTED_VALUE"""),"Polar Bears")</f>
        <v>Polar Bears</v>
      </c>
      <c r="E530" s="30">
        <f>IFERROR(__xludf.DUMMYFUNCTION("""COMPUTED_VALUE"""),18.0)</f>
        <v>18</v>
      </c>
      <c r="F530" s="30">
        <f>IFERROR(__xludf.DUMMYFUNCTION("""COMPUTED_VALUE"""),7.0)</f>
        <v>7</v>
      </c>
      <c r="G530" s="42">
        <f>IFERROR(__xludf.DUMMYFUNCTION("""COMPUTED_VALUE"""),11.0)</f>
        <v>11</v>
      </c>
      <c r="H530" s="42">
        <f>IFERROR(__xludf.DUMMYFUNCTION("""COMPUTED_VALUE"""),0.3888888888888889)</f>
        <v>0.3888888889</v>
      </c>
      <c r="I530" s="42">
        <f>IFERROR(__xludf.DUMMYFUNCTION("""COMPUTED_VALUE"""),0.25)</f>
        <v>0.25</v>
      </c>
      <c r="J530" s="30">
        <f>IFERROR(__xludf.DUMMYFUNCTION("""COMPUTED_VALUE"""),261.27777777777777)</f>
        <v>261.2777778</v>
      </c>
      <c r="K530" s="30">
        <f>IFERROR(__xludf.DUMMYFUNCTION("""COMPUTED_VALUE"""),0.3888888888888889)</f>
        <v>0.3888888889</v>
      </c>
      <c r="L530" s="30">
        <f>IFERROR(__xludf.DUMMYFUNCTION("""COMPUTED_VALUE"""),0.3888888888888889)</f>
        <v>0.3888888889</v>
      </c>
      <c r="M530" s="30">
        <f>IFERROR(__xludf.DUMMYFUNCTION("""COMPUTED_VALUE"""),1.1666666666666667)</f>
        <v>1.166666667</v>
      </c>
      <c r="N530" s="30">
        <f>IFERROR(__xludf.DUMMYFUNCTION("""COMPUTED_VALUE"""),1.5555555555555556)</f>
        <v>1.555555556</v>
      </c>
      <c r="O530" s="30">
        <f>IFERROR(__xludf.DUMMYFUNCTION("""COMPUTED_VALUE"""),342.8888888888889)</f>
        <v>342.8888889</v>
      </c>
      <c r="P530" s="30">
        <f>IFERROR(__xludf.DUMMYFUNCTION("""COMPUTED_VALUE"""),0.7962962962962963)</f>
        <v>0.7962962963</v>
      </c>
      <c r="Q530" s="30">
        <f>IFERROR(__xludf.DUMMYFUNCTION("""COMPUTED_VALUE"""),0.44444444444444436)</f>
        <v>0.4444444444</v>
      </c>
      <c r="R530" s="30">
        <f>IFERROR(__xludf.DUMMYFUNCTION("""COMPUTED_VALUE"""),1.2222222222222223)</f>
        <v>1.222222222</v>
      </c>
      <c r="S530" s="30">
        <f>IFERROR(__xludf.DUMMYFUNCTION("""COMPUTED_VALUE"""),2.3703703703703707)</f>
        <v>2.37037037</v>
      </c>
      <c r="T530" s="30">
        <f>IFERROR(__xludf.DUMMYFUNCTION("""COMPUTED_VALUE"""),336.245959990843)</f>
        <v>336.24596</v>
      </c>
      <c r="U530" s="30">
        <f>IFERROR(__xludf.DUMMYFUNCTION("""COMPUTED_VALUE"""),0.7455036955950701)</f>
        <v>0.7455036956</v>
      </c>
      <c r="V530" s="30">
        <f>IFERROR(__xludf.DUMMYFUNCTION("""COMPUTED_VALUE"""),0.5122229405855135)</f>
        <v>0.5122229406</v>
      </c>
      <c r="W530" s="30">
        <f>IFERROR(__xludf.DUMMYFUNCTION("""COMPUTED_VALUE"""),1.319761230214447)</f>
        <v>1.31976123</v>
      </c>
      <c r="X530" s="30">
        <f>IFERROR(__xludf.DUMMYFUNCTION("""COMPUTED_VALUE"""),2.5016438699918226)</f>
        <v>2.50164387</v>
      </c>
      <c r="Y530" s="30">
        <f>IFERROR(__xludf.DUMMYFUNCTION("""COMPUTED_VALUE"""),348.3506125207819)</f>
        <v>348.3506125</v>
      </c>
      <c r="Z530" s="30">
        <f>IFERROR(__xludf.DUMMYFUNCTION("""COMPUTED_VALUE"""),0.7962442438075966)</f>
        <v>0.7962442438</v>
      </c>
      <c r="AA530" s="30">
        <f>IFERROR(__xludf.DUMMYFUNCTION("""COMPUTED_VALUE"""),0.567203086062735)</f>
        <v>0.5672030861</v>
      </c>
      <c r="AB530" s="30">
        <f>IFERROR(__xludf.DUMMYFUNCTION("""COMPUTED_VALUE"""),1.3238036181384132)</f>
        <v>1.323803618</v>
      </c>
      <c r="AC530" s="30">
        <f>IFERROR(__xludf.DUMMYFUNCTION("""COMPUTED_VALUE"""),2.5825607139142712)</f>
        <v>2.582560714</v>
      </c>
      <c r="AD530" s="30">
        <f>IFERROR(__xludf.DUMMYFUNCTION("""COMPUTED_VALUE"""),0.7500425387143261)</f>
        <v>0.7500425387</v>
      </c>
      <c r="AE530" s="30">
        <f>IFERROR(__xludf.DUMMYFUNCTION("""COMPUTED_VALUE"""),0.4884040191351882)</f>
        <v>0.4884040191</v>
      </c>
      <c r="AF530" s="30">
        <f>IFERROR(__xludf.DUMMYFUNCTION("""COMPUTED_VALUE"""),0.6856254813216517)</f>
        <v>0.6856254813</v>
      </c>
      <c r="AG530" s="30">
        <f>IFERROR(__xludf.DUMMYFUNCTION("""COMPUTED_VALUE"""),0.8812988956075533)</f>
        <v>0.8812988956</v>
      </c>
      <c r="AH530" s="30">
        <f>IFERROR(__xludf.DUMMYFUNCTION("""COMPUTED_VALUE"""),0.6023306817820635)</f>
        <v>0.6023306818</v>
      </c>
      <c r="AI530" s="30">
        <f>IFERROR(__xludf.DUMMYFUNCTION("""COMPUTED_VALUE"""),1.0197561597415976)</f>
        <v>1.01975616</v>
      </c>
      <c r="AJ530" s="30">
        <f>IFERROR(__xludf.DUMMYFUNCTION("""COMPUTED_VALUE"""),1.0681319234248503)</f>
        <v>1.068131923</v>
      </c>
      <c r="AK530" s="30">
        <f>IFERROR(__xludf.DUMMYFUNCTION("""COMPUTED_VALUE"""),0.8676777419152826)</f>
        <v>0.8676777419</v>
      </c>
      <c r="AL530" s="30">
        <f>IFERROR(__xludf.DUMMYFUNCTION("""COMPUTED_VALUE"""),0.9260934434508463)</f>
        <v>0.9260934435</v>
      </c>
      <c r="AM530" s="30">
        <f>IFERROR(__xludf.DUMMYFUNCTION("""COMPUTED_VALUE"""),0.9475251049135619)</f>
        <v>0.9475251049</v>
      </c>
      <c r="AN530" s="30">
        <f>IFERROR(__xludf.DUMMYFUNCTION("""COMPUTED_VALUE"""),0.7705563557656699)</f>
        <v>0.7705563558</v>
      </c>
      <c r="AO530" s="30">
        <f>IFERROR(__xludf.DUMMYFUNCTION("""COMPUTED_VALUE"""),0.5228828642457652)</f>
        <v>0.5228828642</v>
      </c>
      <c r="AP530" s="30">
        <f>IFERROR(__xludf.DUMMYFUNCTION("""COMPUTED_VALUE"""),0.7125140933722302)</f>
        <v>0.7125140934</v>
      </c>
      <c r="AQ530" s="30">
        <f>IFERROR(__xludf.DUMMYFUNCTION("""COMPUTED_VALUE"""),0.8920502698678713)</f>
        <v>0.8920502699</v>
      </c>
      <c r="AR530" s="30">
        <f>IFERROR(__xludf.DUMMYFUNCTION("""COMPUTED_VALUE"""),0.6217997226974996)</f>
        <v>0.6217997227</v>
      </c>
      <c r="AS530" s="30">
        <f>IFERROR(__xludf.DUMMYFUNCTION("""COMPUTED_VALUE"""),38.0)</f>
        <v>38</v>
      </c>
      <c r="AT530" s="30">
        <f>IFERROR(__xludf.DUMMYFUNCTION("""COMPUTED_VALUE"""),0.45255712162517575)</f>
        <v>0.4525571216</v>
      </c>
      <c r="AU530" s="30">
        <f>IFERROR(__xludf.DUMMYFUNCTION("""COMPUTED_VALUE"""),1.216193421626584)</f>
        <v>1.216193422</v>
      </c>
      <c r="AV530" s="32">
        <f>IFERROR(__xludf.DUMMYFUNCTION("""COMPUTED_VALUE"""),14.007300148543251)</f>
        <v>14.00730015</v>
      </c>
      <c r="AW530" s="32">
        <f>IFERROR(__xludf.DUMMYFUNCTION("""COMPUTED_VALUE"""),-13.337776525502507)</f>
        <v>-13.33777653</v>
      </c>
      <c r="AX530" s="32">
        <f>IFERROR(__xludf.DUMMYFUNCTION("""COMPUTED_VALUE"""),14.894370442003762)</f>
        <v>14.89437044</v>
      </c>
      <c r="AY530" s="32">
        <f>IFERROR(__xludf.DUMMYFUNCTION("""COMPUTED_VALUE"""),-12.48035862143581)</f>
        <v>-12.48035862</v>
      </c>
      <c r="AZ530" s="30">
        <f>IFERROR(__xludf.DUMMYFUNCTION("""COMPUTED_VALUE"""),0.8574179040666969)</f>
        <v>0.8574179041</v>
      </c>
      <c r="BA530" s="30">
        <f>IFERROR(__xludf.DUMMYFUNCTION("""COMPUTED_VALUE"""),1700.0)</f>
        <v>1700</v>
      </c>
    </row>
    <row r="531">
      <c r="A531" s="71" t="str">
        <f>IFERROR(__xludf.DUMMYFUNCTION("""COMPUTED_VALUE"""),"Rival")</f>
        <v>Rival</v>
      </c>
      <c r="B531" s="71" t="str">
        <f>IFERROR(__xludf.DUMMYFUNCTION("""COMPUTED_VALUE"""),"RSC002616")</f>
        <v>RSC002616</v>
      </c>
      <c r="C531" s="30" t="str">
        <f>IFERROR(__xludf.DUMMYFUNCTION("""COMPUTED_VALUE"""),"Ruthle")</f>
        <v>Ruthle</v>
      </c>
      <c r="D531" s="30" t="str">
        <f>IFERROR(__xludf.DUMMYFUNCTION("""COMPUTED_VALUE"""),"50 Cent")</f>
        <v>50 Cent</v>
      </c>
      <c r="E531" s="30">
        <f>IFERROR(__xludf.DUMMYFUNCTION("""COMPUTED_VALUE"""),30.0)</f>
        <v>30</v>
      </c>
      <c r="F531" s="30">
        <f>IFERROR(__xludf.DUMMYFUNCTION("""COMPUTED_VALUE"""),13.0)</f>
        <v>13</v>
      </c>
      <c r="G531" s="42">
        <f>IFERROR(__xludf.DUMMYFUNCTION("""COMPUTED_VALUE"""),17.0)</f>
        <v>17</v>
      </c>
      <c r="H531" s="42">
        <f>IFERROR(__xludf.DUMMYFUNCTION("""COMPUTED_VALUE"""),0.43333333333333335)</f>
        <v>0.4333333333</v>
      </c>
      <c r="I531" s="42">
        <f>IFERROR(__xludf.DUMMYFUNCTION("""COMPUTED_VALUE"""),0.26865671641791045)</f>
        <v>0.2686567164</v>
      </c>
      <c r="J531" s="30">
        <f>IFERROR(__xludf.DUMMYFUNCTION("""COMPUTED_VALUE"""),313.96666666666664)</f>
        <v>313.9666667</v>
      </c>
      <c r="K531" s="30">
        <f>IFERROR(__xludf.DUMMYFUNCTION("""COMPUTED_VALUE"""),0.6)</f>
        <v>0.6</v>
      </c>
      <c r="L531" s="30">
        <f>IFERROR(__xludf.DUMMYFUNCTION("""COMPUTED_VALUE"""),0.7)</f>
        <v>0.7</v>
      </c>
      <c r="M531" s="30">
        <f>IFERROR(__xludf.DUMMYFUNCTION("""COMPUTED_VALUE"""),0.9333333333333333)</f>
        <v>0.9333333333</v>
      </c>
      <c r="N531" s="30">
        <f>IFERROR(__xludf.DUMMYFUNCTION("""COMPUTED_VALUE"""),2.2333333333333334)</f>
        <v>2.233333333</v>
      </c>
      <c r="O531" s="30">
        <f>IFERROR(__xludf.DUMMYFUNCTION("""COMPUTED_VALUE"""),360.3555555555555)</f>
        <v>360.3555556</v>
      </c>
      <c r="P531" s="30">
        <f>IFERROR(__xludf.DUMMYFUNCTION("""COMPUTED_VALUE"""),0.9222222222222223)</f>
        <v>0.9222222222</v>
      </c>
      <c r="Q531" s="30">
        <f>IFERROR(__xludf.DUMMYFUNCTION("""COMPUTED_VALUE"""),0.6333333333333333)</f>
        <v>0.6333333333</v>
      </c>
      <c r="R531" s="30">
        <f>IFERROR(__xludf.DUMMYFUNCTION("""COMPUTED_VALUE"""),1.2555555555555555)</f>
        <v>1.255555556</v>
      </c>
      <c r="S531" s="30">
        <f>IFERROR(__xludf.DUMMYFUNCTION("""COMPUTED_VALUE"""),2.611111111111111)</f>
        <v>2.611111111</v>
      </c>
      <c r="T531" s="30">
        <f>IFERROR(__xludf.DUMMYFUNCTION("""COMPUTED_VALUE"""),355.6704665491724)</f>
        <v>355.6704665</v>
      </c>
      <c r="U531" s="30">
        <f>IFERROR(__xludf.DUMMYFUNCTION("""COMPUTED_VALUE"""),0.8231779965977085)</f>
        <v>0.8231779966</v>
      </c>
      <c r="V531" s="30">
        <f>IFERROR(__xludf.DUMMYFUNCTION("""COMPUTED_VALUE"""),0.5644141942569877)</f>
        <v>0.5644141943</v>
      </c>
      <c r="W531" s="30">
        <f>IFERROR(__xludf.DUMMYFUNCTION("""COMPUTED_VALUE"""),1.3832533333329258)</f>
        <v>1.383253333</v>
      </c>
      <c r="X531" s="30">
        <f>IFERROR(__xludf.DUMMYFUNCTION("""COMPUTED_VALUE"""),2.605615705507063)</f>
        <v>2.605615706</v>
      </c>
      <c r="Y531" s="30">
        <f>IFERROR(__xludf.DUMMYFUNCTION("""COMPUTED_VALUE"""),344.30789842891113)</f>
        <v>344.3078984</v>
      </c>
      <c r="Z531" s="30">
        <f>IFERROR(__xludf.DUMMYFUNCTION("""COMPUTED_VALUE"""),0.7671337437982981)</f>
        <v>0.7671337438</v>
      </c>
      <c r="AA531" s="30">
        <f>IFERROR(__xludf.DUMMYFUNCTION("""COMPUTED_VALUE"""),0.5678163050855846)</f>
        <v>0.5678163051</v>
      </c>
      <c r="AB531" s="30">
        <f>IFERROR(__xludf.DUMMYFUNCTION("""COMPUTED_VALUE"""),1.3098806069047548)</f>
        <v>1.309880607</v>
      </c>
      <c r="AC531" s="30">
        <f>IFERROR(__xludf.DUMMYFUNCTION("""COMPUTED_VALUE"""),2.6224576263047266)</f>
        <v>2.622457626</v>
      </c>
      <c r="AD531" s="30">
        <f>IFERROR(__xludf.DUMMYFUNCTION("""COMPUTED_VALUE"""),0.9118776191290047)</f>
        <v>0.9118776191</v>
      </c>
      <c r="AE531" s="30">
        <f>IFERROR(__xludf.DUMMYFUNCTION("""COMPUTED_VALUE"""),0.7821321964397352)</f>
        <v>0.7821321964</v>
      </c>
      <c r="AF531" s="30">
        <f>IFERROR(__xludf.DUMMYFUNCTION("""COMPUTED_VALUE"""),1.232793059534442)</f>
        <v>1.23279306</v>
      </c>
      <c r="AG531" s="30">
        <f>IFERROR(__xludf.DUMMYFUNCTION("""COMPUTED_VALUE"""),0.7125331334882483)</f>
        <v>0.7125331335</v>
      </c>
      <c r="AH531" s="30">
        <f>IFERROR(__xludf.DUMMYFUNCTION("""COMPUTED_VALUE"""),0.8516184631285335)</f>
        <v>0.8516184631</v>
      </c>
      <c r="AI531" s="30">
        <f>IFERROR(__xludf.DUMMYFUNCTION("""COMPUTED_VALUE"""),1.0131725556294828)</f>
        <v>1.013172556</v>
      </c>
      <c r="AJ531" s="30">
        <f>IFERROR(__xludf.DUMMYFUNCTION("""COMPUTED_VALUE"""),1.120319330732691)</f>
        <v>1.120319331</v>
      </c>
      <c r="AK531" s="30">
        <f>IFERROR(__xludf.DUMMYFUNCTION("""COMPUTED_VALUE"""),1.122107381029056)</f>
        <v>1.122107381</v>
      </c>
      <c r="AL531" s="30">
        <f>IFERROR(__xludf.DUMMYFUNCTION("""COMPUTED_VALUE"""),0.9076830146003085)</f>
        <v>0.9076830146</v>
      </c>
      <c r="AM531" s="30">
        <f>IFERROR(__xludf.DUMMYFUNCTION("""COMPUTED_VALUE"""),1.002109062204543)</f>
        <v>1.002109062</v>
      </c>
      <c r="AN531" s="30">
        <f>IFERROR(__xludf.DUMMYFUNCTION("""COMPUTED_VALUE"""),0.9259456068411879)</f>
        <v>0.9259456068</v>
      </c>
      <c r="AO531" s="30">
        <f>IFERROR(__xludf.DUMMYFUNCTION("""COMPUTED_VALUE"""),0.8067335619791806)</f>
        <v>0.806733562</v>
      </c>
      <c r="AP531" s="30">
        <f>IFERROR(__xludf.DUMMYFUNCTION("""COMPUTED_VALUE"""),1.2825253680700142)</f>
        <v>1.282525368</v>
      </c>
      <c r="AQ531" s="30">
        <f>IFERROR(__xludf.DUMMYFUNCTION("""COMPUTED_VALUE"""),0.713640215894297)</f>
        <v>0.7136402159</v>
      </c>
      <c r="AR531" s="30">
        <f>IFERROR(__xludf.DUMMYFUNCTION("""COMPUTED_VALUE"""),0.8927267447299816)</f>
        <v>0.8927267447</v>
      </c>
      <c r="AS531" s="30">
        <f>IFERROR(__xludf.DUMMYFUNCTION("""COMPUTED_VALUE"""),69.0)</f>
        <v>69</v>
      </c>
      <c r="AT531" s="30">
        <f>IFERROR(__xludf.DUMMYFUNCTION("""COMPUTED_VALUE"""),0.4269494731240797)</f>
        <v>0.4269494731</v>
      </c>
      <c r="AU531" s="30">
        <f>IFERROR(__xludf.DUMMYFUNCTION("""COMPUTED_VALUE"""),2.2486560995565177)</f>
        <v>2.2486561</v>
      </c>
      <c r="AV531" s="32">
        <f>IFERROR(__xludf.DUMMYFUNCTION("""COMPUTED_VALUE"""),43.566680716808186)</f>
        <v>43.56668072</v>
      </c>
      <c r="AW531" s="32">
        <f>IFERROR(__xludf.DUMMYFUNCTION("""COMPUTED_VALUE"""),-2.509656228001211)</f>
        <v>-2.509656228</v>
      </c>
      <c r="AX531" s="32">
        <f>IFERROR(__xludf.DUMMYFUNCTION("""COMPUTED_VALUE"""),37.00151293796633)</f>
        <v>37.00151294</v>
      </c>
      <c r="AY531" s="32">
        <f>IFERROR(__xludf.DUMMYFUNCTION("""COMPUTED_VALUE"""),-3.3161679880450183)</f>
        <v>-3.316167988</v>
      </c>
      <c r="AZ531" s="30">
        <f>IFERROR(__xludf.DUMMYFUNCTION("""COMPUTED_VALUE"""),0.8065117600438074)</f>
        <v>0.80651176</v>
      </c>
      <c r="BA531" s="30">
        <f>IFERROR(__xludf.DUMMYFUNCTION("""COMPUTED_VALUE"""),1700.0)</f>
        <v>1700</v>
      </c>
    </row>
    <row r="532">
      <c r="A532" s="71" t="str">
        <f>IFERROR(__xludf.DUMMYFUNCTION("""COMPUTED_VALUE"""),"Rival")</f>
        <v>Rival</v>
      </c>
      <c r="B532" s="71" t="str">
        <f>IFERROR(__xludf.DUMMYFUNCTION("""COMPUTED_VALUE"""),"RSC007293")</f>
        <v>RSC007293</v>
      </c>
      <c r="C532" s="30" t="str">
        <f>IFERROR(__xludf.DUMMYFUNCTION("""COMPUTED_VALUE"""),"YtExplixiit")</f>
        <v>YtExplixiit</v>
      </c>
      <c r="D532" s="30" t="str">
        <f>IFERROR(__xludf.DUMMYFUNCTION("""COMPUTED_VALUE"""),"Ion Imperial")</f>
        <v>Ion Imperial</v>
      </c>
      <c r="E532" s="30">
        <f>IFERROR(__xludf.DUMMYFUNCTION("""COMPUTED_VALUE"""),44.0)</f>
        <v>44</v>
      </c>
      <c r="F532" s="30">
        <f>IFERROR(__xludf.DUMMYFUNCTION("""COMPUTED_VALUE"""),27.0)</f>
        <v>27</v>
      </c>
      <c r="G532" s="42">
        <f>IFERROR(__xludf.DUMMYFUNCTION("""COMPUTED_VALUE"""),17.0)</f>
        <v>17</v>
      </c>
      <c r="H532" s="42">
        <f>IFERROR(__xludf.DUMMYFUNCTION("""COMPUTED_VALUE"""),0.6136363636363636)</f>
        <v>0.6136363636</v>
      </c>
      <c r="I532" s="42">
        <f>IFERROR(__xludf.DUMMYFUNCTION("""COMPUTED_VALUE"""),0.27611940298507465)</f>
        <v>0.276119403</v>
      </c>
      <c r="J532" s="30">
        <f>IFERROR(__xludf.DUMMYFUNCTION("""COMPUTED_VALUE"""),320.8636363636364)</f>
        <v>320.8636364</v>
      </c>
      <c r="K532" s="30">
        <f>IFERROR(__xludf.DUMMYFUNCTION("""COMPUTED_VALUE"""),0.8409090909090909)</f>
        <v>0.8409090909</v>
      </c>
      <c r="L532" s="30">
        <f>IFERROR(__xludf.DUMMYFUNCTION("""COMPUTED_VALUE"""),0.5909090909090909)</f>
        <v>0.5909090909</v>
      </c>
      <c r="M532" s="30">
        <f>IFERROR(__xludf.DUMMYFUNCTION("""COMPUTED_VALUE"""),0.7727272727272727)</f>
        <v>0.7727272727</v>
      </c>
      <c r="N532" s="30">
        <f>IFERROR(__xludf.DUMMYFUNCTION("""COMPUTED_VALUE"""),3.0454545454545454)</f>
        <v>3.045454545</v>
      </c>
      <c r="O532" s="30">
        <f>IFERROR(__xludf.DUMMYFUNCTION("""COMPUTED_VALUE"""),339.6136363636365)</f>
        <v>339.6136364</v>
      </c>
      <c r="P532" s="30">
        <f>IFERROR(__xludf.DUMMYFUNCTION("""COMPUTED_VALUE"""),0.6893939393939394)</f>
        <v>0.6893939394</v>
      </c>
      <c r="Q532" s="30">
        <f>IFERROR(__xludf.DUMMYFUNCTION("""COMPUTED_VALUE"""),0.5)</f>
        <v>0.5</v>
      </c>
      <c r="R532" s="30">
        <f>IFERROR(__xludf.DUMMYFUNCTION("""COMPUTED_VALUE"""),1.4318181818181819)</f>
        <v>1.431818182</v>
      </c>
      <c r="S532" s="30">
        <f>IFERROR(__xludf.DUMMYFUNCTION("""COMPUTED_VALUE"""),2.3787878787878785)</f>
        <v>2.378787879</v>
      </c>
      <c r="T532" s="30">
        <f>IFERROR(__xludf.DUMMYFUNCTION("""COMPUTED_VALUE"""),339.8298771651112)</f>
        <v>339.8298772</v>
      </c>
      <c r="U532" s="30">
        <f>IFERROR(__xludf.DUMMYFUNCTION("""COMPUTED_VALUE"""),0.7407750209379703)</f>
        <v>0.7407750209</v>
      </c>
      <c r="V532" s="30">
        <f>IFERROR(__xludf.DUMMYFUNCTION("""COMPUTED_VALUE"""),0.5051883581970404)</f>
        <v>0.5051883582</v>
      </c>
      <c r="W532" s="30">
        <f>IFERROR(__xludf.DUMMYFUNCTION("""COMPUTED_VALUE"""),1.3324136998479303)</f>
        <v>1.3324137</v>
      </c>
      <c r="X532" s="30">
        <f>IFERROR(__xludf.DUMMYFUNCTION("""COMPUTED_VALUE"""),2.527730857157588)</f>
        <v>2.527730857</v>
      </c>
      <c r="Y532" s="30">
        <f>IFERROR(__xludf.DUMMYFUNCTION("""COMPUTED_VALUE"""),356.9694349385843)</f>
        <v>356.9694349</v>
      </c>
      <c r="Z532" s="30">
        <f>IFERROR(__xludf.DUMMYFUNCTION("""COMPUTED_VALUE"""),0.8383961892331601)</f>
        <v>0.8383961892</v>
      </c>
      <c r="AA532" s="30">
        <f>IFERROR(__xludf.DUMMYFUNCTION("""COMPUTED_VALUE"""),0.5966852185984505)</f>
        <v>0.5966852186</v>
      </c>
      <c r="AB532" s="30">
        <f>IFERROR(__xludf.DUMMYFUNCTION("""COMPUTED_VALUE"""),1.3055477685761898)</f>
        <v>1.305547769</v>
      </c>
      <c r="AC532" s="30">
        <f>IFERROR(__xludf.DUMMYFUNCTION("""COMPUTED_VALUE"""),2.614661106327905)</f>
        <v>2.614661106</v>
      </c>
      <c r="AD532" s="30">
        <f>IFERROR(__xludf.DUMMYFUNCTION("""COMPUTED_VALUE"""),0.89885464961122)</f>
        <v>0.8988546496</v>
      </c>
      <c r="AE532" s="30">
        <f>IFERROR(__xludf.DUMMYFUNCTION("""COMPUTED_VALUE"""),1.0029972723018092)</f>
        <v>1.002997272</v>
      </c>
      <c r="AF532" s="30">
        <f>IFERROR(__xludf.DUMMYFUNCTION("""COMPUTED_VALUE"""),0.9903196400558958)</f>
        <v>0.9903196401</v>
      </c>
      <c r="AG532" s="30">
        <f>IFERROR(__xludf.DUMMYFUNCTION("""COMPUTED_VALUE"""),0.5918797391611317)</f>
        <v>0.5918797392</v>
      </c>
      <c r="AH532" s="30">
        <f>IFERROR(__xludf.DUMMYFUNCTION("""COMPUTED_VALUE"""),1.1647607172050138)</f>
        <v>1.164760717</v>
      </c>
      <c r="AI532" s="30">
        <f>IFERROR(__xludf.DUMMYFUNCTION("""COMPUTED_VALUE"""),0.9993636792524583)</f>
        <v>0.9993636793</v>
      </c>
      <c r="AJ532" s="30">
        <f>IFERROR(__xludf.DUMMYFUNCTION("""COMPUTED_VALUE"""),0.9306387498339617)</f>
        <v>0.9306387498</v>
      </c>
      <c r="AK532" s="30">
        <f>IFERROR(__xludf.DUMMYFUNCTION("""COMPUTED_VALUE"""),0.9897298539983045)</f>
        <v>0.989729854</v>
      </c>
      <c r="AL532" s="30">
        <f>IFERROR(__xludf.DUMMYFUNCTION("""COMPUTED_VALUE"""),1.0746048182944956)</f>
        <v>1.074604818</v>
      </c>
      <c r="AM532" s="30">
        <f>IFERROR(__xludf.DUMMYFUNCTION("""COMPUTED_VALUE"""),0.9410764093226307)</f>
        <v>0.9410764093</v>
      </c>
      <c r="AN532" s="30">
        <f>IFERROR(__xludf.DUMMYFUNCTION("""COMPUTED_VALUE"""),0.9462860425289231)</f>
        <v>0.9462860425</v>
      </c>
      <c r="AO532" s="30">
        <f>IFERROR(__xludf.DUMMYFUNCTION("""COMPUTED_VALUE"""),1.1306493103496091)</f>
        <v>1.13064931</v>
      </c>
      <c r="AP532" s="30">
        <f>IFERROR(__xludf.DUMMYFUNCTION("""COMPUTED_VALUE"""),1.0826512847344276)</f>
        <v>1.082651285</v>
      </c>
      <c r="AQ532" s="30">
        <f>IFERROR(__xludf.DUMMYFUNCTION("""COMPUTED_VALUE"""),0.5908384904319667)</f>
        <v>0.5908384904</v>
      </c>
      <c r="AR532" s="30">
        <f>IFERROR(__xludf.DUMMYFUNCTION("""COMPUTED_VALUE"""),1.2173546519045202)</f>
        <v>1.217354652</v>
      </c>
      <c r="AS532" s="30">
        <f>IFERROR(__xludf.DUMMYFUNCTION("""COMPUTED_VALUE"""),110.0)</f>
        <v>110</v>
      </c>
      <c r="AT532" s="30">
        <f>IFERROR(__xludf.DUMMYFUNCTION("""COMPUTED_VALUE"""),0.5727906812047173)</f>
        <v>0.5727906812</v>
      </c>
      <c r="AU532" s="30">
        <f>IFERROR(__xludf.DUMMYFUNCTION("""COMPUTED_VALUE"""),2.8093246912502736)</f>
        <v>2.809324691</v>
      </c>
      <c r="AV532" s="32">
        <f>IFERROR(__xludf.DUMMYFUNCTION("""COMPUTED_VALUE"""),59.618608431791)</f>
        <v>59.61860843</v>
      </c>
      <c r="AW532" s="32">
        <f>IFERROR(__xludf.DUMMYFUNCTION("""COMPUTED_VALUE"""),2.8554017038767636)</f>
        <v>2.855401704</v>
      </c>
      <c r="AX532" s="32">
        <f>IFERROR(__xludf.DUMMYFUNCTION("""COMPUTED_VALUE"""),50.9895091363499)</f>
        <v>50.98950914</v>
      </c>
      <c r="AY532" s="32">
        <f>IFERROR(__xludf.DUMMYFUNCTION("""COMPUTED_VALUE"""),2.0652032554246955)</f>
        <v>2.065203255</v>
      </c>
      <c r="AZ532" s="30">
        <f>IFERROR(__xludf.DUMMYFUNCTION("""COMPUTED_VALUE"""),0.7901984484520681)</f>
        <v>0.7901984485</v>
      </c>
      <c r="BA532" s="30">
        <f>IFERROR(__xludf.DUMMYFUNCTION("""COMPUTED_VALUE"""),1700.0)</f>
        <v>1700</v>
      </c>
    </row>
    <row r="533">
      <c r="A533" s="71" t="str">
        <f>IFERROR(__xludf.DUMMYFUNCTION("""COMPUTED_VALUE"""),"Rival")</f>
        <v>Rival</v>
      </c>
      <c r="B533" s="71" t="str">
        <f>IFERROR(__xludf.DUMMYFUNCTION("""COMPUTED_VALUE"""),"RSC003255")</f>
        <v>RSC003255</v>
      </c>
      <c r="C533" s="30" t="str">
        <f>IFERROR(__xludf.DUMMYFUNCTION("""COMPUTED_VALUE"""),"cozyboy")</f>
        <v>cozyboy</v>
      </c>
      <c r="D533" s="30" t="str">
        <f>IFERROR(__xludf.DUMMYFUNCTION("""COMPUTED_VALUE"""),"Funk Hunks")</f>
        <v>Funk Hunks</v>
      </c>
      <c r="E533" s="30">
        <f>IFERROR(__xludf.DUMMYFUNCTION("""COMPUTED_VALUE"""),37.0)</f>
        <v>37</v>
      </c>
      <c r="F533" s="30">
        <f>IFERROR(__xludf.DUMMYFUNCTION("""COMPUTED_VALUE"""),14.0)</f>
        <v>14</v>
      </c>
      <c r="G533" s="42">
        <f>IFERROR(__xludf.DUMMYFUNCTION("""COMPUTED_VALUE"""),23.0)</f>
        <v>23</v>
      </c>
      <c r="H533" s="42">
        <f>IFERROR(__xludf.DUMMYFUNCTION("""COMPUTED_VALUE"""),0.3783783783783784)</f>
        <v>0.3783783784</v>
      </c>
      <c r="I533" s="42">
        <f>IFERROR(__xludf.DUMMYFUNCTION("""COMPUTED_VALUE"""),0.2463768115942029)</f>
        <v>0.2463768116</v>
      </c>
      <c r="J533" s="30">
        <f>IFERROR(__xludf.DUMMYFUNCTION("""COMPUTED_VALUE"""),314.1621621621622)</f>
        <v>314.1621622</v>
      </c>
      <c r="K533" s="30">
        <f>IFERROR(__xludf.DUMMYFUNCTION("""COMPUTED_VALUE"""),0.4594594594594595)</f>
        <v>0.4594594595</v>
      </c>
      <c r="L533" s="30">
        <f>IFERROR(__xludf.DUMMYFUNCTION("""COMPUTED_VALUE"""),0.6756756756756757)</f>
        <v>0.6756756757</v>
      </c>
      <c r="M533" s="30">
        <f>IFERROR(__xludf.DUMMYFUNCTION("""COMPUTED_VALUE"""),1.3783783783783783)</f>
        <v>1.378378378</v>
      </c>
      <c r="N533" s="30">
        <f>IFERROR(__xludf.DUMMYFUNCTION("""COMPUTED_VALUE"""),1.864864864864865)</f>
        <v>1.864864865</v>
      </c>
      <c r="O533" s="30">
        <f>IFERROR(__xludf.DUMMYFUNCTION("""COMPUTED_VALUE"""),361.4864864864865)</f>
        <v>361.4864865</v>
      </c>
      <c r="P533" s="30">
        <f>IFERROR(__xludf.DUMMYFUNCTION("""COMPUTED_VALUE"""),0.936936936936937)</f>
        <v>0.9369369369</v>
      </c>
      <c r="Q533" s="30">
        <f>IFERROR(__xludf.DUMMYFUNCTION("""COMPUTED_VALUE"""),0.6576576576576575)</f>
        <v>0.6576576577</v>
      </c>
      <c r="R533" s="30">
        <f>IFERROR(__xludf.DUMMYFUNCTION("""COMPUTED_VALUE"""),1.189189189189189)</f>
        <v>1.189189189</v>
      </c>
      <c r="S533" s="30">
        <f>IFERROR(__xludf.DUMMYFUNCTION("""COMPUTED_VALUE"""),2.765765765765765)</f>
        <v>2.765765766</v>
      </c>
      <c r="T533" s="30">
        <f>IFERROR(__xludf.DUMMYFUNCTION("""COMPUTED_VALUE"""),355.06454387210334)</f>
        <v>355.0645439</v>
      </c>
      <c r="U533" s="30">
        <f>IFERROR(__xludf.DUMMYFUNCTION("""COMPUTED_VALUE"""),0.8198874317031345)</f>
        <v>0.8198874317</v>
      </c>
      <c r="V533" s="30">
        <f>IFERROR(__xludf.DUMMYFUNCTION("""COMPUTED_VALUE"""),0.6096380797896002)</f>
        <v>0.6096380798</v>
      </c>
      <c r="W533" s="30">
        <f>IFERROR(__xludf.DUMMYFUNCTION("""COMPUTED_VALUE"""),1.2903895104398142)</f>
        <v>1.29038951</v>
      </c>
      <c r="X533" s="30">
        <f>IFERROR(__xludf.DUMMYFUNCTION("""COMPUTED_VALUE"""),2.686822812553533)</f>
        <v>2.686822813</v>
      </c>
      <c r="Y533" s="30">
        <f>IFERROR(__xludf.DUMMYFUNCTION("""COMPUTED_VALUE"""),345.7305704262936)</f>
        <v>345.7305704</v>
      </c>
      <c r="Z533" s="30">
        <f>IFERROR(__xludf.DUMMYFUNCTION("""COMPUTED_VALUE"""),0.7554242818105732)</f>
        <v>0.7554242818</v>
      </c>
      <c r="AA533" s="30">
        <f>IFERROR(__xludf.DUMMYFUNCTION("""COMPUTED_VALUE"""),0.5508679276211743)</f>
        <v>0.5508679276</v>
      </c>
      <c r="AB533" s="30">
        <f>IFERROR(__xludf.DUMMYFUNCTION("""COMPUTED_VALUE"""),1.3561663457782023)</f>
        <v>1.356166346</v>
      </c>
      <c r="AC533" s="30">
        <f>IFERROR(__xludf.DUMMYFUNCTION("""COMPUTED_VALUE"""),2.5123969323454514)</f>
        <v>2.512396932</v>
      </c>
      <c r="AD533" s="30">
        <f>IFERROR(__xludf.DUMMYFUNCTION("""COMPUTED_VALUE"""),0.9086907234578451)</f>
        <v>0.9086907235</v>
      </c>
      <c r="AE533" s="30">
        <f>IFERROR(__xludf.DUMMYFUNCTION("""COMPUTED_VALUE"""),0.6082137820063764)</f>
        <v>0.608213782</v>
      </c>
      <c r="AF533" s="30">
        <f>IFERROR(__xludf.DUMMYFUNCTION("""COMPUTED_VALUE"""),1.2265656463128314)</f>
        <v>1.226565646</v>
      </c>
      <c r="AG533" s="30">
        <f>IFERROR(__xludf.DUMMYFUNCTION("""COMPUTED_VALUE"""),1.0163785457951549)</f>
        <v>1.016378546</v>
      </c>
      <c r="AH533" s="30">
        <f>IFERROR(__xludf.DUMMYFUNCTION("""COMPUTED_VALUE"""),0.7422652212538399)</f>
        <v>0.7422652213</v>
      </c>
      <c r="AI533" s="30">
        <f>IFERROR(__xludf.DUMMYFUNCTION("""COMPUTED_VALUE"""),1.0180866907868344)</f>
        <v>1.018086691</v>
      </c>
      <c r="AJ533" s="30">
        <f>IFERROR(__xludf.DUMMYFUNCTION("""COMPUTED_VALUE"""),1.1427628973292812)</f>
        <v>1.142762897</v>
      </c>
      <c r="AK533" s="30">
        <f>IFERROR(__xludf.DUMMYFUNCTION("""COMPUTED_VALUE"""),1.0787673530574566)</f>
        <v>1.078767353</v>
      </c>
      <c r="AL533" s="30">
        <f>IFERROR(__xludf.DUMMYFUNCTION("""COMPUTED_VALUE"""),0.9215738190431103)</f>
        <v>0.921573819</v>
      </c>
      <c r="AM533" s="30">
        <f>IFERROR(__xludf.DUMMYFUNCTION("""COMPUTED_VALUE"""),1.0293815255860528)</f>
        <v>1.029381526</v>
      </c>
      <c r="AN533" s="30">
        <f>IFERROR(__xludf.DUMMYFUNCTION("""COMPUTED_VALUE"""),0.9265221591138644)</f>
        <v>0.9265221591</v>
      </c>
      <c r="AO533" s="30">
        <f>IFERROR(__xludf.DUMMYFUNCTION("""COMPUTED_VALUE"""),0.6177689438579311)</f>
        <v>0.6177689439</v>
      </c>
      <c r="AP533" s="30">
        <f>IFERROR(__xludf.DUMMYFUNCTION("""COMPUTED_VALUE"""),1.2379588494884308)</f>
        <v>1.237958849</v>
      </c>
      <c r="AQ533" s="30">
        <f>IFERROR(__xludf.DUMMYFUNCTION("""COMPUTED_VALUE"""),1.0539281180678324)</f>
        <v>1.053928118</v>
      </c>
      <c r="AR533" s="30">
        <f>IFERROR(__xludf.DUMMYFUNCTION("""COMPUTED_VALUE"""),0.7454394358979677)</f>
        <v>0.7454394359</v>
      </c>
      <c r="AS533" s="30">
        <f>IFERROR(__xludf.DUMMYFUNCTION("""COMPUTED_VALUE"""),73.0)</f>
        <v>73</v>
      </c>
      <c r="AT533" s="30">
        <f>IFERROR(__xludf.DUMMYFUNCTION("""COMPUTED_VALUE"""),0.36478785168576605)</f>
        <v>0.3647878517</v>
      </c>
      <c r="AU533" s="30">
        <f>IFERROR(__xludf.DUMMYFUNCTION("""COMPUTED_VALUE"""),1.9025453663213931)</f>
        <v>1.902545366</v>
      </c>
      <c r="AV533" s="32">
        <f>IFERROR(__xludf.DUMMYFUNCTION("""COMPUTED_VALUE"""),33.65753910699151)</f>
        <v>33.65753911</v>
      </c>
      <c r="AW533" s="32">
        <f>IFERROR(__xludf.DUMMYFUNCTION("""COMPUTED_VALUE"""),-3.8963105174625188)</f>
        <v>-3.896310517</v>
      </c>
      <c r="AX533" s="32">
        <f>IFERROR(__xludf.DUMMYFUNCTION("""COMPUTED_VALUE"""),38.43836464950469)</f>
        <v>38.43836465</v>
      </c>
      <c r="AY533" s="32">
        <f>IFERROR(__xludf.DUMMYFUNCTION("""COMPUTED_VALUE"""),-3.1068077037001305)</f>
        <v>-3.106807704</v>
      </c>
      <c r="AZ533" s="30">
        <f>IFERROR(__xludf.DUMMYFUNCTION("""COMPUTED_VALUE"""),0.7895028137623883)</f>
        <v>0.7895028138</v>
      </c>
      <c r="BA533" s="30">
        <f>IFERROR(__xludf.DUMMYFUNCTION("""COMPUTED_VALUE"""),1700.0)</f>
        <v>1700</v>
      </c>
    </row>
    <row r="534">
      <c r="A534" s="71" t="str">
        <f>IFERROR(__xludf.DUMMYFUNCTION("""COMPUTED_VALUE"""),"Rival")</f>
        <v>Rival</v>
      </c>
      <c r="B534" s="71" t="str">
        <f>IFERROR(__xludf.DUMMYFUNCTION("""COMPUTED_VALUE"""),"RSC000828")</f>
        <v>RSC000828</v>
      </c>
      <c r="C534" s="30" t="str">
        <f>IFERROR(__xludf.DUMMYFUNCTION("""COMPUTED_VALUE"""),"MattViaAirwaves")</f>
        <v>MattViaAirwaves</v>
      </c>
      <c r="D534" s="30" t="str">
        <f>IFERROR(__xludf.DUMMYFUNCTION("""COMPUTED_VALUE"""),"Polar Ice")</f>
        <v>Polar Ice</v>
      </c>
      <c r="E534" s="30">
        <f>IFERROR(__xludf.DUMMYFUNCTION("""COMPUTED_VALUE"""),26.0)</f>
        <v>26</v>
      </c>
      <c r="F534" s="30">
        <f>IFERROR(__xludf.DUMMYFUNCTION("""COMPUTED_VALUE"""),10.0)</f>
        <v>10</v>
      </c>
      <c r="G534" s="42">
        <f>IFERROR(__xludf.DUMMYFUNCTION("""COMPUTED_VALUE"""),16.0)</f>
        <v>16</v>
      </c>
      <c r="H534" s="42">
        <f>IFERROR(__xludf.DUMMYFUNCTION("""COMPUTED_VALUE"""),0.38461538461538464)</f>
        <v>0.3846153846</v>
      </c>
      <c r="I534" s="42">
        <f>IFERROR(__xludf.DUMMYFUNCTION("""COMPUTED_VALUE"""),0.25806451612903225)</f>
        <v>0.2580645161</v>
      </c>
      <c r="J534" s="30">
        <f>IFERROR(__xludf.DUMMYFUNCTION("""COMPUTED_VALUE"""),319.53846153846155)</f>
        <v>319.5384615</v>
      </c>
      <c r="K534" s="30">
        <f>IFERROR(__xludf.DUMMYFUNCTION("""COMPUTED_VALUE"""),0.6153846153846154)</f>
        <v>0.6153846154</v>
      </c>
      <c r="L534" s="30">
        <f>IFERROR(__xludf.DUMMYFUNCTION("""COMPUTED_VALUE"""),0.6538461538461539)</f>
        <v>0.6538461538</v>
      </c>
      <c r="M534" s="30">
        <f>IFERROR(__xludf.DUMMYFUNCTION("""COMPUTED_VALUE"""),1.2692307692307692)</f>
        <v>1.269230769</v>
      </c>
      <c r="N534" s="30">
        <f>IFERROR(__xludf.DUMMYFUNCTION("""COMPUTED_VALUE"""),2.3846153846153846)</f>
        <v>2.384615385</v>
      </c>
      <c r="O534" s="30">
        <f>IFERROR(__xludf.DUMMYFUNCTION("""COMPUTED_VALUE"""),391.48717948717956)</f>
        <v>391.4871795</v>
      </c>
      <c r="P534" s="30">
        <f>IFERROR(__xludf.DUMMYFUNCTION("""COMPUTED_VALUE"""),1.0256410256410255)</f>
        <v>1.025641026</v>
      </c>
      <c r="Q534" s="30">
        <f>IFERROR(__xludf.DUMMYFUNCTION("""COMPUTED_VALUE"""),0.769230769230769)</f>
        <v>0.7692307692</v>
      </c>
      <c r="R534" s="30">
        <f>IFERROR(__xludf.DUMMYFUNCTION("""COMPUTED_VALUE"""),1.3076923076923075)</f>
        <v>1.307692308</v>
      </c>
      <c r="S534" s="30">
        <f>IFERROR(__xludf.DUMMYFUNCTION("""COMPUTED_VALUE"""),2.897435897435897)</f>
        <v>2.897435897</v>
      </c>
      <c r="T534" s="30">
        <f>IFERROR(__xludf.DUMMYFUNCTION("""COMPUTED_VALUE"""),361.5192281352705)</f>
        <v>361.5192281</v>
      </c>
      <c r="U534" s="30">
        <f>IFERROR(__xludf.DUMMYFUNCTION("""COMPUTED_VALUE"""),0.840594669238394)</f>
        <v>0.8405946692</v>
      </c>
      <c r="V534" s="30">
        <f>IFERROR(__xludf.DUMMYFUNCTION("""COMPUTED_VALUE"""),0.615475131568249)</f>
        <v>0.6154751316</v>
      </c>
      <c r="W534" s="30">
        <f>IFERROR(__xludf.DUMMYFUNCTION("""COMPUTED_VALUE"""),1.3244606854424665)</f>
        <v>1.324460685</v>
      </c>
      <c r="X534" s="30">
        <f>IFERROR(__xludf.DUMMYFUNCTION("""COMPUTED_VALUE"""),2.7611483978386815)</f>
        <v>2.761148398</v>
      </c>
      <c r="Y534" s="30">
        <f>IFERROR(__xludf.DUMMYFUNCTION("""COMPUTED_VALUE"""),343.30770662638065)</f>
        <v>343.3077066</v>
      </c>
      <c r="Z534" s="30">
        <f>IFERROR(__xludf.DUMMYFUNCTION("""COMPUTED_VALUE"""),0.7634211977498075)</f>
        <v>0.7634211977</v>
      </c>
      <c r="AA534" s="30">
        <f>IFERROR(__xludf.DUMMYFUNCTION("""COMPUTED_VALUE"""),0.5371994178843031)</f>
        <v>0.5371994179</v>
      </c>
      <c r="AB534" s="30">
        <f>IFERROR(__xludf.DUMMYFUNCTION("""COMPUTED_VALUE"""),1.3227605780237361)</f>
        <v>1.322760578</v>
      </c>
      <c r="AC534" s="30">
        <f>IFERROR(__xludf.DUMMYFUNCTION("""COMPUTED_VALUE"""),2.5136394816219383)</f>
        <v>2.513639482</v>
      </c>
      <c r="AD534" s="30">
        <f>IFERROR(__xludf.DUMMYFUNCTION("""COMPUTED_VALUE"""),0.9307640212289583)</f>
        <v>0.9307640212</v>
      </c>
      <c r="AE534" s="30">
        <f>IFERROR(__xludf.DUMMYFUNCTION("""COMPUTED_VALUE"""),0.8060879331075276)</f>
        <v>0.8060879331</v>
      </c>
      <c r="AF534" s="30">
        <f>IFERROR(__xludf.DUMMYFUNCTION("""COMPUTED_VALUE"""),1.217138611991149)</f>
        <v>1.217138612</v>
      </c>
      <c r="AG534" s="30">
        <f>IFERROR(__xludf.DUMMYFUNCTION("""COMPUTED_VALUE"""),0.9595317477083094)</f>
        <v>0.9595317477</v>
      </c>
      <c r="AH534" s="30">
        <f>IFERROR(__xludf.DUMMYFUNCTION("""COMPUTED_VALUE"""),0.9486704048253968)</f>
        <v>0.9486704048</v>
      </c>
      <c r="AI534" s="30">
        <f>IFERROR(__xludf.DUMMYFUNCTION("""COMPUTED_VALUE"""),1.0828944880926108)</f>
        <v>1.082894488</v>
      </c>
      <c r="AJ534" s="30">
        <f>IFERROR(__xludf.DUMMYFUNCTION("""COMPUTED_VALUE"""),1.2201374374290161)</f>
        <v>1.220137437</v>
      </c>
      <c r="AK534" s="30">
        <f>IFERROR(__xludf.DUMMYFUNCTION("""COMPUTED_VALUE"""),1.24981616604191)</f>
        <v>1.249816166</v>
      </c>
      <c r="AL534" s="30">
        <f>IFERROR(__xludf.DUMMYFUNCTION("""COMPUTED_VALUE"""),0.9873394673511526)</f>
        <v>0.9873394674</v>
      </c>
      <c r="AM534" s="30">
        <f>IFERROR(__xludf.DUMMYFUNCTION("""COMPUTED_VALUE"""),1.0493589912457788)</f>
        <v>1.049358991</v>
      </c>
      <c r="AN534" s="30">
        <f>IFERROR(__xludf.DUMMYFUNCTION("""COMPUTED_VALUE"""),0.9423778575591795)</f>
        <v>0.9423778576</v>
      </c>
      <c r="AO534" s="30">
        <f>IFERROR(__xludf.DUMMYFUNCTION("""COMPUTED_VALUE"""),0.8274190379273648)</f>
        <v>0.8274190379</v>
      </c>
      <c r="AP534" s="30">
        <f>IFERROR(__xludf.DUMMYFUNCTION("""COMPUTED_VALUE"""),1.1979632558895739)</f>
        <v>1.197963256</v>
      </c>
      <c r="AQ534" s="30">
        <f>IFERROR(__xludf.DUMMYFUNCTION("""COMPUTED_VALUE"""),0.9704722716144972)</f>
        <v>0.9704722716</v>
      </c>
      <c r="AR534" s="30">
        <f>IFERROR(__xludf.DUMMYFUNCTION("""COMPUTED_VALUE"""),0.9531984760033098)</f>
        <v>0.953198476</v>
      </c>
      <c r="AS534" s="30">
        <f>IFERROR(__xludf.DUMMYFUNCTION("""COMPUTED_VALUE"""),59.0)</f>
        <v>59</v>
      </c>
      <c r="AT534" s="30">
        <f>IFERROR(__xludf.DUMMYFUNCTION("""COMPUTED_VALUE"""),0.37927449102088395)</f>
        <v>0.379274491</v>
      </c>
      <c r="AU534" s="30">
        <f>IFERROR(__xludf.DUMMYFUNCTION("""COMPUTED_VALUE"""),2.2106079540839088)</f>
        <v>2.210607954</v>
      </c>
      <c r="AV534" s="32">
        <f>IFERROR(__xludf.DUMMYFUNCTION("""COMPUTED_VALUE"""),42.47736326642198)</f>
        <v>42.47736327</v>
      </c>
      <c r="AW534" s="32">
        <f>IFERROR(__xludf.DUMMYFUNCTION("""COMPUTED_VALUE"""),-2.6195614350393264)</f>
        <v>-2.619561435</v>
      </c>
      <c r="AX534" s="32">
        <f>IFERROR(__xludf.DUMMYFUNCTION("""COMPUTED_VALUE"""),36.73086997900777)</f>
        <v>36.73086998</v>
      </c>
      <c r="AY534" s="32">
        <f>IFERROR(__xludf.DUMMYFUNCTION("""COMPUTED_VALUE"""),-3.3580626803217806)</f>
        <v>-3.35806268</v>
      </c>
      <c r="AZ534" s="30">
        <f>IFERROR(__xludf.DUMMYFUNCTION("""COMPUTED_VALUE"""),0.7385012452824542)</f>
        <v>0.7385012453</v>
      </c>
      <c r="BA534" s="30">
        <f>IFERROR(__xludf.DUMMYFUNCTION("""COMPUTED_VALUE"""),1700.0)</f>
        <v>1700</v>
      </c>
    </row>
    <row r="535">
      <c r="A535" s="71" t="str">
        <f>IFERROR(__xludf.DUMMYFUNCTION("""COMPUTED_VALUE"""),"Rival")</f>
        <v>Rival</v>
      </c>
      <c r="B535" s="71" t="str">
        <f>IFERROR(__xludf.DUMMYFUNCTION("""COMPUTED_VALUE"""),"RSC007057")</f>
        <v>RSC007057</v>
      </c>
      <c r="C535" s="30" t="str">
        <f>IFERROR(__xludf.DUMMYFUNCTION("""COMPUTED_VALUE"""),"sinoda_20")</f>
        <v>sinoda_20</v>
      </c>
      <c r="D535" s="30" t="str">
        <f>IFERROR(__xludf.DUMMYFUNCTION("""COMPUTED_VALUE"""),"Nightfall")</f>
        <v>Nightfall</v>
      </c>
      <c r="E535" s="30">
        <f>IFERROR(__xludf.DUMMYFUNCTION("""COMPUTED_VALUE"""),44.0)</f>
        <v>44</v>
      </c>
      <c r="F535" s="30">
        <f>IFERROR(__xludf.DUMMYFUNCTION("""COMPUTED_VALUE"""),21.0)</f>
        <v>21</v>
      </c>
      <c r="G535" s="42">
        <f>IFERROR(__xludf.DUMMYFUNCTION("""COMPUTED_VALUE"""),23.0)</f>
        <v>23</v>
      </c>
      <c r="H535" s="42">
        <f>IFERROR(__xludf.DUMMYFUNCTION("""COMPUTED_VALUE"""),0.4772727272727273)</f>
        <v>0.4772727273</v>
      </c>
      <c r="I535" s="42">
        <f>IFERROR(__xludf.DUMMYFUNCTION("""COMPUTED_VALUE"""),0.2566371681415929)</f>
        <v>0.2566371681</v>
      </c>
      <c r="J535" s="30">
        <f>IFERROR(__xludf.DUMMYFUNCTION("""COMPUTED_VALUE"""),331.0681818181818)</f>
        <v>331.0681818</v>
      </c>
      <c r="K535" s="30">
        <f>IFERROR(__xludf.DUMMYFUNCTION("""COMPUTED_VALUE"""),0.6590909090909091)</f>
        <v>0.6590909091</v>
      </c>
      <c r="L535" s="30">
        <f>IFERROR(__xludf.DUMMYFUNCTION("""COMPUTED_VALUE"""),0.7727272727272727)</f>
        <v>0.7727272727</v>
      </c>
      <c r="M535" s="30">
        <f>IFERROR(__xludf.DUMMYFUNCTION("""COMPUTED_VALUE"""),0.8863636363636364)</f>
        <v>0.8863636364</v>
      </c>
      <c r="N535" s="30">
        <f>IFERROR(__xludf.DUMMYFUNCTION("""COMPUTED_VALUE"""),2.5681818181818183)</f>
        <v>2.568181818</v>
      </c>
      <c r="O535" s="30">
        <f>IFERROR(__xludf.DUMMYFUNCTION("""COMPUTED_VALUE"""),335.09848484848493)</f>
        <v>335.0984848</v>
      </c>
      <c r="P535" s="30">
        <f>IFERROR(__xludf.DUMMYFUNCTION("""COMPUTED_VALUE"""),0.6893939393939393)</f>
        <v>0.6893939394</v>
      </c>
      <c r="Q535" s="30">
        <f>IFERROR(__xludf.DUMMYFUNCTION("""COMPUTED_VALUE"""),0.5303030303030303)</f>
        <v>0.5303030303</v>
      </c>
      <c r="R535" s="30">
        <f>IFERROR(__xludf.DUMMYFUNCTION("""COMPUTED_VALUE"""),1.4393939393939394)</f>
        <v>1.439393939</v>
      </c>
      <c r="S535" s="30">
        <f>IFERROR(__xludf.DUMMYFUNCTION("""COMPUTED_VALUE"""),2.4621212121212124)</f>
        <v>2.462121212</v>
      </c>
      <c r="T535" s="30">
        <f>IFERROR(__xludf.DUMMYFUNCTION("""COMPUTED_VALUE"""),350.5417904932018)</f>
        <v>350.5417905</v>
      </c>
      <c r="U535" s="30">
        <f>IFERROR(__xludf.DUMMYFUNCTION("""COMPUTED_VALUE"""),0.7868054447827447)</f>
        <v>0.7868054448</v>
      </c>
      <c r="V535" s="30">
        <f>IFERROR(__xludf.DUMMYFUNCTION("""COMPUTED_VALUE"""),0.5656090745563916)</f>
        <v>0.5656090746</v>
      </c>
      <c r="W535" s="30">
        <f>IFERROR(__xludf.DUMMYFUNCTION("""COMPUTED_VALUE"""),1.3593362858000324)</f>
        <v>1.359336286</v>
      </c>
      <c r="X535" s="30">
        <f>IFERROR(__xludf.DUMMYFUNCTION("""COMPUTED_VALUE"""),2.5468773013529487)</f>
        <v>2.546877301</v>
      </c>
      <c r="Y535" s="30">
        <f>IFERROR(__xludf.DUMMYFUNCTION("""COMPUTED_VALUE"""),346.85526988141106)</f>
        <v>346.8552699</v>
      </c>
      <c r="Z535" s="30">
        <f>IFERROR(__xludf.DUMMYFUNCTION("""COMPUTED_VALUE"""),0.789168143558586)</f>
        <v>0.7891681436</v>
      </c>
      <c r="AA535" s="30">
        <f>IFERROR(__xludf.DUMMYFUNCTION("""COMPUTED_VALUE"""),0.554377875803074)</f>
        <v>0.5543778758</v>
      </c>
      <c r="AB535" s="30">
        <f>IFERROR(__xludf.DUMMYFUNCTION("""COMPUTED_VALUE"""),1.3048197313852916)</f>
        <v>1.304819731</v>
      </c>
      <c r="AC535" s="30">
        <f>IFERROR(__xludf.DUMMYFUNCTION("""COMPUTED_VALUE"""),2.6035723970944886)</f>
        <v>2.603572397</v>
      </c>
      <c r="AD535" s="30">
        <f>IFERROR(__xludf.DUMMYFUNCTION("""COMPUTED_VALUE"""),0.9544850851808397)</f>
        <v>0.9544850852</v>
      </c>
      <c r="AE535" s="30">
        <f>IFERROR(__xludf.DUMMYFUNCTION("""COMPUTED_VALUE"""),0.8351717114668095)</f>
        <v>0.8351717115</v>
      </c>
      <c r="AF535" s="30">
        <f>IFERROR(__xludf.DUMMYFUNCTION("""COMPUTED_VALUE"""),1.3938638363010012)</f>
        <v>1.393863836</v>
      </c>
      <c r="AG535" s="30">
        <f>IFERROR(__xludf.DUMMYFUNCTION("""COMPUTED_VALUE"""),0.6792996879519964)</f>
        <v>0.679299688</v>
      </c>
      <c r="AH535" s="30">
        <f>IFERROR(__xludf.DUMMYFUNCTION("""COMPUTED_VALUE"""),0.9864069157622944)</f>
        <v>0.9864069158</v>
      </c>
      <c r="AI535" s="30">
        <f>IFERROR(__xludf.DUMMYFUNCTION("""COMPUTED_VALUE"""),0.9559444663559554)</f>
        <v>0.9559444664</v>
      </c>
      <c r="AJ535" s="30">
        <f>IFERROR(__xludf.DUMMYFUNCTION("""COMPUTED_VALUE"""),0.8761936562148436)</f>
        <v>0.8761936562</v>
      </c>
      <c r="AK535" s="30">
        <f>IFERROR(__xludf.DUMMYFUNCTION("""COMPUTED_VALUE"""),0.9375787167469829)</f>
        <v>0.9375787167</v>
      </c>
      <c r="AL535" s="30">
        <f>IFERROR(__xludf.DUMMYFUNCTION("""COMPUTED_VALUE"""),1.0588946638372045)</f>
        <v>1.058894664</v>
      </c>
      <c r="AM535" s="30">
        <f>IFERROR(__xludf.DUMMYFUNCTION("""COMPUTED_VALUE"""),0.9667215655867237)</f>
        <v>0.9667215656</v>
      </c>
      <c r="AN535" s="30">
        <f>IFERROR(__xludf.DUMMYFUNCTION("""COMPUTED_VALUE"""),0.9763811291626875)</f>
        <v>0.9763811292</v>
      </c>
      <c r="AO535" s="30">
        <f>IFERROR(__xludf.DUMMYFUNCTION("""COMPUTED_VALUE"""),0.8861845945983423)</f>
        <v>0.8861845946</v>
      </c>
      <c r="AP535" s="30">
        <f>IFERROR(__xludf.DUMMYFUNCTION("""COMPUTED_VALUE"""),1.4157747569604053)</f>
        <v>1.415774757</v>
      </c>
      <c r="AQ535" s="30">
        <f>IFERROR(__xludf.DUMMYFUNCTION("""COMPUTED_VALUE"""),0.6777265037307852)</f>
        <v>0.6777265037</v>
      </c>
      <c r="AR535" s="30">
        <f>IFERROR(__xludf.DUMMYFUNCTION("""COMPUTED_VALUE"""),1.0265751915314238)</f>
        <v>1.026575192</v>
      </c>
      <c r="AS535" s="30">
        <f>IFERROR(__xludf.DUMMYFUNCTION("""COMPUTED_VALUE"""),98.0)</f>
        <v>98</v>
      </c>
      <c r="AT535" s="30">
        <f>IFERROR(__xludf.DUMMYFUNCTION("""COMPUTED_VALUE"""),0.5281203056629106)</f>
        <v>0.5281203057</v>
      </c>
      <c r="AU535" s="30">
        <f>IFERROR(__xludf.DUMMYFUNCTION("""COMPUTED_VALUE"""),2.770012962078497)</f>
        <v>2.770012962</v>
      </c>
      <c r="AV535" s="32">
        <f>IFERROR(__xludf.DUMMYFUNCTION("""COMPUTED_VALUE"""),58.4931146117965)</f>
        <v>58.49311461</v>
      </c>
      <c r="AW535" s="32">
        <f>IFERROR(__xludf.DUMMYFUNCTION("""COMPUTED_VALUE"""),2.7245582771098045)</f>
        <v>2.724558277</v>
      </c>
      <c r="AX535" s="32">
        <f>IFERROR(__xludf.DUMMYFUNCTION("""COMPUTED_VALUE"""),51.05526039388043)</f>
        <v>51.05526039</v>
      </c>
      <c r="AY535" s="32">
        <f>IFERROR(__xludf.DUMMYFUNCTION("""COMPUTED_VALUE"""),2.069684284215243)</f>
        <v>2.069684284</v>
      </c>
      <c r="AZ535" s="30">
        <f>IFERROR(__xludf.DUMMYFUNCTION("""COMPUTED_VALUE"""),0.6548739928945615)</f>
        <v>0.6548739929</v>
      </c>
      <c r="BA535" s="30">
        <f>IFERROR(__xludf.DUMMYFUNCTION("""COMPUTED_VALUE"""),1700.0)</f>
        <v>1700</v>
      </c>
    </row>
    <row r="536">
      <c r="A536" s="71" t="str">
        <f>IFERROR(__xludf.DUMMYFUNCTION("""COMPUTED_VALUE"""),"Rival")</f>
        <v>Rival</v>
      </c>
      <c r="B536" s="71" t="str">
        <f>IFERROR(__xludf.DUMMYFUNCTION("""COMPUTED_VALUE"""),"RSC006212")</f>
        <v>RSC006212</v>
      </c>
      <c r="C536" s="30" t="str">
        <f>IFERROR(__xludf.DUMMYFUNCTION("""COMPUTED_VALUE"""),"Kingtutt97")</f>
        <v>Kingtutt97</v>
      </c>
      <c r="D536" s="30" t="str">
        <f>IFERROR(__xludf.DUMMYFUNCTION("""COMPUTED_VALUE"""),"Dice")</f>
        <v>Dice</v>
      </c>
      <c r="E536" s="30">
        <f>IFERROR(__xludf.DUMMYFUNCTION("""COMPUTED_VALUE"""),30.0)</f>
        <v>30</v>
      </c>
      <c r="F536" s="30">
        <f>IFERROR(__xludf.DUMMYFUNCTION("""COMPUTED_VALUE"""),10.0)</f>
        <v>10</v>
      </c>
      <c r="G536" s="42">
        <f>IFERROR(__xludf.DUMMYFUNCTION("""COMPUTED_VALUE"""),20.0)</f>
        <v>20</v>
      </c>
      <c r="H536" s="42">
        <f>IFERROR(__xludf.DUMMYFUNCTION("""COMPUTED_VALUE"""),0.3333333333333333)</f>
        <v>0.3333333333</v>
      </c>
      <c r="I536" s="42">
        <f>IFERROR(__xludf.DUMMYFUNCTION("""COMPUTED_VALUE"""),0.20547945205479454)</f>
        <v>0.2054794521</v>
      </c>
      <c r="J536" s="30">
        <f>IFERROR(__xludf.DUMMYFUNCTION("""COMPUTED_VALUE"""),307.8)</f>
        <v>307.8</v>
      </c>
      <c r="K536" s="30">
        <f>IFERROR(__xludf.DUMMYFUNCTION("""COMPUTED_VALUE"""),0.5)</f>
        <v>0.5</v>
      </c>
      <c r="L536" s="30">
        <f>IFERROR(__xludf.DUMMYFUNCTION("""COMPUTED_VALUE"""),0.3333333333333333)</f>
        <v>0.3333333333</v>
      </c>
      <c r="M536" s="30">
        <f>IFERROR(__xludf.DUMMYFUNCTION("""COMPUTED_VALUE"""),1.6)</f>
        <v>1.6</v>
      </c>
      <c r="N536" s="30">
        <f>IFERROR(__xludf.DUMMYFUNCTION("""COMPUTED_VALUE"""),2.433333333333333)</f>
        <v>2.433333333</v>
      </c>
      <c r="O536" s="30">
        <f>IFERROR(__xludf.DUMMYFUNCTION("""COMPUTED_VALUE"""),368.9777777777779)</f>
        <v>368.9777778</v>
      </c>
      <c r="P536" s="30">
        <f>IFERROR(__xludf.DUMMYFUNCTION("""COMPUTED_VALUE"""),0.8555555555555554)</f>
        <v>0.8555555556</v>
      </c>
      <c r="Q536" s="30">
        <f>IFERROR(__xludf.DUMMYFUNCTION("""COMPUTED_VALUE"""),0.5777777777777777)</f>
        <v>0.5777777778</v>
      </c>
      <c r="R536" s="30">
        <f>IFERROR(__xludf.DUMMYFUNCTION("""COMPUTED_VALUE"""),1.388888888888889)</f>
        <v>1.388888889</v>
      </c>
      <c r="S536" s="30">
        <f>IFERROR(__xludf.DUMMYFUNCTION("""COMPUTED_VALUE"""),2.900000000000001)</f>
        <v>2.9</v>
      </c>
      <c r="T536" s="30">
        <f>IFERROR(__xludf.DUMMYFUNCTION("""COMPUTED_VALUE"""),349.70927901270113)</f>
        <v>349.709279</v>
      </c>
      <c r="U536" s="30">
        <f>IFERROR(__xludf.DUMMYFUNCTION("""COMPUTED_VALUE"""),0.8240572646058106)</f>
        <v>0.8240572646</v>
      </c>
      <c r="V536" s="30">
        <f>IFERROR(__xludf.DUMMYFUNCTION("""COMPUTED_VALUE"""),0.560134578382759)</f>
        <v>0.5601345784</v>
      </c>
      <c r="W536" s="30">
        <f>IFERROR(__xludf.DUMMYFUNCTION("""COMPUTED_VALUE"""),1.3131303098314437)</f>
        <v>1.31313031</v>
      </c>
      <c r="X536" s="30">
        <f>IFERROR(__xludf.DUMMYFUNCTION("""COMPUTED_VALUE"""),2.636740699501756)</f>
        <v>2.6367407</v>
      </c>
      <c r="Y536" s="30">
        <f>IFERROR(__xludf.DUMMYFUNCTION("""COMPUTED_VALUE"""),345.0833889913787)</f>
        <v>345.083389</v>
      </c>
      <c r="Z536" s="30">
        <f>IFERROR(__xludf.DUMMYFUNCTION("""COMPUTED_VALUE"""),0.7724844088043076)</f>
        <v>0.7724844088</v>
      </c>
      <c r="AA536" s="30">
        <f>IFERROR(__xludf.DUMMYFUNCTION("""COMPUTED_VALUE"""),0.5468846993419745)</f>
        <v>0.5468846993</v>
      </c>
      <c r="AB536" s="30">
        <f>IFERROR(__xludf.DUMMYFUNCTION("""COMPUTED_VALUE"""),1.3335670867579614)</f>
        <v>1.333567087</v>
      </c>
      <c r="AC536" s="30">
        <f>IFERROR(__xludf.DUMMYFUNCTION("""COMPUTED_VALUE"""),2.5967241725114274)</f>
        <v>2.596724173</v>
      </c>
      <c r="AD536" s="30">
        <f>IFERROR(__xludf.DUMMYFUNCTION("""COMPUTED_VALUE"""),0.8919583202762909)</f>
        <v>0.8919583203</v>
      </c>
      <c r="AE536" s="30">
        <f>IFERROR(__xludf.DUMMYFUNCTION("""COMPUTED_VALUE"""),0.6472622544886395)</f>
        <v>0.6472622545</v>
      </c>
      <c r="AF536" s="30">
        <f>IFERROR(__xludf.DUMMYFUNCTION("""COMPUTED_VALUE"""),0.6095129992380632)</f>
        <v>0.6095129992</v>
      </c>
      <c r="AG536" s="30">
        <f>IFERROR(__xludf.DUMMYFUNCTION("""COMPUTED_VALUE"""),1.1997896587938177)</f>
        <v>1.199789659</v>
      </c>
      <c r="AH536" s="30">
        <f>IFERROR(__xludf.DUMMYFUNCTION("""COMPUTED_VALUE"""),0.9370780921178584)</f>
        <v>0.9370780921</v>
      </c>
      <c r="AI536" s="30">
        <f>IFERROR(__xludf.DUMMYFUNCTION("""COMPUTED_VALUE"""),1.055098620258163)</f>
        <v>1.05509862</v>
      </c>
      <c r="AJ536" s="30">
        <f>IFERROR(__xludf.DUMMYFUNCTION("""COMPUTED_VALUE"""),1.0382234248791096)</f>
        <v>1.038223425</v>
      </c>
      <c r="AK536" s="30">
        <f>IFERROR(__xludf.DUMMYFUNCTION("""COMPUTED_VALUE"""),1.0314981436174835)</f>
        <v>1.031498144</v>
      </c>
      <c r="AL536" s="30">
        <f>IFERROR(__xludf.DUMMYFUNCTION("""COMPUTED_VALUE"""),1.057693115824255)</f>
        <v>1.057693116</v>
      </c>
      <c r="AM536" s="30">
        <f>IFERROR(__xludf.DUMMYFUNCTION("""COMPUTED_VALUE"""),1.0998426961543812)</f>
        <v>1.099842696</v>
      </c>
      <c r="AN536" s="30">
        <f>IFERROR(__xludf.DUMMYFUNCTION("""COMPUTED_VALUE"""),0.9077589694841841)</f>
        <v>0.9077589695</v>
      </c>
      <c r="AO536" s="30">
        <f>IFERROR(__xludf.DUMMYFUNCTION("""COMPUTED_VALUE"""),0.6722779683159839)</f>
        <v>0.6722779683</v>
      </c>
      <c r="AP536" s="30">
        <f>IFERROR(__xludf.DUMMYFUNCTION("""COMPUTED_VALUE"""),0.6107263657476258)</f>
        <v>0.6107263657</v>
      </c>
      <c r="AQ536" s="30">
        <f>IFERROR(__xludf.DUMMYFUNCTION("""COMPUTED_VALUE"""),1.2233832272473664)</f>
        <v>1.223383227</v>
      </c>
      <c r="AR536" s="30">
        <f>IFERROR(__xludf.DUMMYFUNCTION("""COMPUTED_VALUE"""),0.9726724233625171)</f>
        <v>0.9726724234</v>
      </c>
      <c r="AS536" s="30">
        <f>IFERROR(__xludf.DUMMYFUNCTION("""COMPUTED_VALUE"""),53.0)</f>
        <v>53</v>
      </c>
      <c r="AT536" s="30">
        <f>IFERROR(__xludf.DUMMYFUNCTION("""COMPUTED_VALUE"""),0.3614790958430867)</f>
        <v>0.3614790958</v>
      </c>
      <c r="AU536" s="30">
        <f>IFERROR(__xludf.DUMMYFUNCTION("""COMPUTED_VALUE"""),1.6721230967690606)</f>
        <v>1.672123097</v>
      </c>
      <c r="AV536" s="32">
        <f>IFERROR(__xludf.DUMMYFUNCTION("""COMPUTED_VALUE"""),27.060555310195166)</f>
        <v>27.06055531</v>
      </c>
      <c r="AW536" s="32">
        <f>IFERROR(__xludf.DUMMYFUNCTION("""COMPUTED_VALUE"""),-5.573515415756479)</f>
        <v>-5.573515416</v>
      </c>
      <c r="AX536" s="32">
        <f>IFERROR(__xludf.DUMMYFUNCTION("""COMPUTED_VALUE"""),29.148526710814515)</f>
        <v>29.14852671</v>
      </c>
      <c r="AY536" s="32">
        <f>IFERROR(__xludf.DUMMYFUNCTION("""COMPUTED_VALUE"""),-4.947460736230179)</f>
        <v>-4.947460736</v>
      </c>
      <c r="AZ536" s="30">
        <f>IFERROR(__xludf.DUMMYFUNCTION("""COMPUTED_VALUE"""),0.6260546795263)</f>
        <v>0.6260546795</v>
      </c>
      <c r="BA536" s="30">
        <f>IFERROR(__xludf.DUMMYFUNCTION("""COMPUTED_VALUE"""),1700.0)</f>
        <v>1700</v>
      </c>
    </row>
    <row r="537">
      <c r="A537" s="71" t="str">
        <f>IFERROR(__xludf.DUMMYFUNCTION("""COMPUTED_VALUE"""),"Rival")</f>
        <v>Rival</v>
      </c>
      <c r="B537" s="71" t="str">
        <f>IFERROR(__xludf.DUMMYFUNCTION("""COMPUTED_VALUE"""),"RSC006528")</f>
        <v>RSC006528</v>
      </c>
      <c r="C537" s="30" t="str">
        <f>IFERROR(__xludf.DUMMYFUNCTION("""COMPUTED_VALUE"""),"mxWEBBY")</f>
        <v>mxWEBBY</v>
      </c>
      <c r="D537" s="30" t="str">
        <f>IFERROR(__xludf.DUMMYFUNCTION("""COMPUTED_VALUE"""),"Lacuna")</f>
        <v>Lacuna</v>
      </c>
      <c r="E537" s="30">
        <f>IFERROR(__xludf.DUMMYFUNCTION("""COMPUTED_VALUE"""),48.0)</f>
        <v>48</v>
      </c>
      <c r="F537" s="30">
        <f>IFERROR(__xludf.DUMMYFUNCTION("""COMPUTED_VALUE"""),19.0)</f>
        <v>19</v>
      </c>
      <c r="G537" s="42">
        <f>IFERROR(__xludf.DUMMYFUNCTION("""COMPUTED_VALUE"""),29.0)</f>
        <v>29</v>
      </c>
      <c r="H537" s="42">
        <f>IFERROR(__xludf.DUMMYFUNCTION("""COMPUTED_VALUE"""),0.3958333333333333)</f>
        <v>0.3958333333</v>
      </c>
      <c r="I537" s="42">
        <f>IFERROR(__xludf.DUMMYFUNCTION("""COMPUTED_VALUE"""),0.24193548387096772)</f>
        <v>0.2419354839</v>
      </c>
      <c r="J537" s="30">
        <f>IFERROR(__xludf.DUMMYFUNCTION("""COMPUTED_VALUE"""),372.3541666666667)</f>
        <v>372.3541667</v>
      </c>
      <c r="K537" s="30">
        <f>IFERROR(__xludf.DUMMYFUNCTION("""COMPUTED_VALUE"""),0.625)</f>
        <v>0.625</v>
      </c>
      <c r="L537" s="30">
        <f>IFERROR(__xludf.DUMMYFUNCTION("""COMPUTED_VALUE"""),0.5625)</f>
        <v>0.5625</v>
      </c>
      <c r="M537" s="30">
        <f>IFERROR(__xludf.DUMMYFUNCTION("""COMPUTED_VALUE"""),1.6041666666666667)</f>
        <v>1.604166667</v>
      </c>
      <c r="N537" s="30">
        <f>IFERROR(__xludf.DUMMYFUNCTION("""COMPUTED_VALUE"""),2.5833333333333335)</f>
        <v>2.583333333</v>
      </c>
      <c r="O537" s="30">
        <f>IFERROR(__xludf.DUMMYFUNCTION("""COMPUTED_VALUE"""),335.77777777777777)</f>
        <v>335.7777778</v>
      </c>
      <c r="P537" s="30">
        <f>IFERROR(__xludf.DUMMYFUNCTION("""COMPUTED_VALUE"""),0.7638888888888888)</f>
        <v>0.7638888889</v>
      </c>
      <c r="Q537" s="30">
        <f>IFERROR(__xludf.DUMMYFUNCTION("""COMPUTED_VALUE"""),0.5833333333333331)</f>
        <v>0.5833333333</v>
      </c>
      <c r="R537" s="30">
        <f>IFERROR(__xludf.DUMMYFUNCTION("""COMPUTED_VALUE"""),1.2222222222222225)</f>
        <v>1.222222222</v>
      </c>
      <c r="S537" s="30">
        <f>IFERROR(__xludf.DUMMYFUNCTION("""COMPUTED_VALUE"""),2.6041666666666665)</f>
        <v>2.604166667</v>
      </c>
      <c r="T537" s="30">
        <f>IFERROR(__xludf.DUMMYFUNCTION("""COMPUTED_VALUE"""),352.7996067528216)</f>
        <v>352.7996068</v>
      </c>
      <c r="U537" s="30">
        <f>IFERROR(__xludf.DUMMYFUNCTION("""COMPUTED_VALUE"""),0.8044177616497582)</f>
        <v>0.8044177616</v>
      </c>
      <c r="V537" s="30">
        <f>IFERROR(__xludf.DUMMYFUNCTION("""COMPUTED_VALUE"""),0.5825413864807224)</f>
        <v>0.5825413865</v>
      </c>
      <c r="W537" s="30">
        <f>IFERROR(__xludf.DUMMYFUNCTION("""COMPUTED_VALUE"""),1.3292312420956205)</f>
        <v>1.329231242</v>
      </c>
      <c r="X537" s="30">
        <f>IFERROR(__xludf.DUMMYFUNCTION("""COMPUTED_VALUE"""),2.626399545194824)</f>
        <v>2.626399545</v>
      </c>
      <c r="Y537" s="30">
        <f>IFERROR(__xludf.DUMMYFUNCTION("""COMPUTED_VALUE"""),350.2673501180681)</f>
        <v>350.2673501</v>
      </c>
      <c r="Z537" s="30">
        <f>IFERROR(__xludf.DUMMYFUNCTION("""COMPUTED_VALUE"""),0.7781969972848729)</f>
        <v>0.7781969973</v>
      </c>
      <c r="AA537" s="30">
        <f>IFERROR(__xludf.DUMMYFUNCTION("""COMPUTED_VALUE"""),0.5598196849336091)</f>
        <v>0.5598196849</v>
      </c>
      <c r="AB537" s="30">
        <f>IFERROR(__xludf.DUMMYFUNCTION("""COMPUTED_VALUE"""),1.3580003926905648)</f>
        <v>1.358000393</v>
      </c>
      <c r="AC537" s="30">
        <f>IFERROR(__xludf.DUMMYFUNCTION("""COMPUTED_VALUE"""),2.5810586537896265)</f>
        <v>2.581058654</v>
      </c>
      <c r="AD537" s="30">
        <f>IFERROR(__xludf.DUMMYFUNCTION("""COMPUTED_VALUE"""),1.063057023559728)</f>
        <v>1.063057024</v>
      </c>
      <c r="AE537" s="30">
        <f>IFERROR(__xludf.DUMMYFUNCTION("""COMPUTED_VALUE"""),0.8031385397021875)</f>
        <v>0.8031385397</v>
      </c>
      <c r="AF537" s="30">
        <f>IFERROR(__xludf.DUMMYFUNCTION("""COMPUTED_VALUE"""),1.0047878185396584)</f>
        <v>1.004787819</v>
      </c>
      <c r="AG537" s="30">
        <f>IFERROR(__xludf.DUMMYFUNCTION("""COMPUTED_VALUE"""),1.1812711360770523)</f>
        <v>1.181271136</v>
      </c>
      <c r="AH537" s="30">
        <f>IFERROR(__xludf.DUMMYFUNCTION("""COMPUTED_VALUE"""),1.0008812971144097)</f>
        <v>1.000881297</v>
      </c>
      <c r="AI537" s="30">
        <f>IFERROR(__xludf.DUMMYFUNCTION("""COMPUTED_VALUE"""),0.9517521316655841)</f>
        <v>0.9517521317</v>
      </c>
      <c r="AJ537" s="30">
        <f>IFERROR(__xludf.DUMMYFUNCTION("""COMPUTED_VALUE"""),0.9496171334186483)</f>
        <v>0.9496171334</v>
      </c>
      <c r="AK537" s="30">
        <f>IFERROR(__xludf.DUMMYFUNCTION("""COMPUTED_VALUE"""),1.0013594688222842)</f>
        <v>1.001359469</v>
      </c>
      <c r="AL537" s="30">
        <f>IFERROR(__xludf.DUMMYFUNCTION("""COMPUTED_VALUE"""),0.9194955576693403)</f>
        <v>0.9194955577</v>
      </c>
      <c r="AM537" s="30">
        <f>IFERROR(__xludf.DUMMYFUNCTION("""COMPUTED_VALUE"""),0.9915348452717965)</f>
        <v>0.9915348453</v>
      </c>
      <c r="AN537" s="30">
        <f>IFERROR(__xludf.DUMMYFUNCTION("""COMPUTED_VALUE"""),1.0981411131139553)</f>
        <v>1.098141113</v>
      </c>
      <c r="AO537" s="30">
        <f>IFERROR(__xludf.DUMMYFUNCTION("""COMPUTED_VALUE"""),0.8403474603949798)</f>
        <v>0.8403474604</v>
      </c>
      <c r="AP537" s="30">
        <f>IFERROR(__xludf.DUMMYFUNCTION("""COMPUTED_VALUE"""),1.0306007421991186)</f>
        <v>1.030600742</v>
      </c>
      <c r="AQ537" s="30">
        <f>IFERROR(__xludf.DUMMYFUNCTION("""COMPUTED_VALUE"""),1.226569121068323)</f>
        <v>1.226569121</v>
      </c>
      <c r="AR537" s="30">
        <f>IFERROR(__xludf.DUMMYFUNCTION("""COMPUTED_VALUE"""),1.032631682336919)</f>
        <v>1.032631682</v>
      </c>
      <c r="AS537" s="30">
        <f>IFERROR(__xludf.DUMMYFUNCTION("""COMPUTED_VALUE"""),95.0)</f>
        <v>95</v>
      </c>
      <c r="AT537" s="30">
        <f>IFERROR(__xludf.DUMMYFUNCTION("""COMPUTED_VALUE"""),0.44463226802982553)</f>
        <v>0.444632268</v>
      </c>
      <c r="AU537" s="30">
        <f>IFERROR(__xludf.DUMMYFUNCTION("""COMPUTED_VALUE"""),2.5124834645005385)</f>
        <v>2.512483465</v>
      </c>
      <c r="AV537" s="32">
        <f>IFERROR(__xludf.DUMMYFUNCTION("""COMPUTED_VALUE"""),51.12005155665182)</f>
        <v>51.12005156</v>
      </c>
      <c r="AW537" s="32">
        <f>IFERROR(__xludf.DUMMYFUNCTION("""COMPUTED_VALUE"""),2.074118454351699)</f>
        <v>2.074118454</v>
      </c>
      <c r="AX537" s="32">
        <f>IFERROR(__xludf.DUMMYFUNCTION("""COMPUTED_VALUE"""),58.22791124280033)</f>
        <v>58.22791124</v>
      </c>
      <c r="AY537" s="32">
        <f>IFERROR(__xludf.DUMMYFUNCTION("""COMPUTED_VALUE"""),2.695171987301848)</f>
        <v>2.695171987</v>
      </c>
      <c r="AZ537" s="30">
        <f>IFERROR(__xludf.DUMMYFUNCTION("""COMPUTED_VALUE"""),0.6210535329501492)</f>
        <v>0.621053533</v>
      </c>
      <c r="BA537" s="30">
        <f>IFERROR(__xludf.DUMMYFUNCTION("""COMPUTED_VALUE"""),1700.0)</f>
        <v>1700</v>
      </c>
    </row>
    <row r="538">
      <c r="A538" s="71" t="str">
        <f>IFERROR(__xludf.DUMMYFUNCTION("""COMPUTED_VALUE"""),"Rival")</f>
        <v>Rival</v>
      </c>
      <c r="B538" s="71" t="str">
        <f>IFERROR(__xludf.DUMMYFUNCTION("""COMPUTED_VALUE"""),"RSC004399")</f>
        <v>RSC004399</v>
      </c>
      <c r="C538" s="30" t="str">
        <f>IFERROR(__xludf.DUMMYFUNCTION("""COMPUTED_VALUE"""),"zippythegnome")</f>
        <v>zippythegnome</v>
      </c>
      <c r="D538" s="30" t="str">
        <f>IFERROR(__xludf.DUMMYFUNCTION("""COMPUTED_VALUE"""),"Kitsune")</f>
        <v>Kitsune</v>
      </c>
      <c r="E538" s="30">
        <f>IFERROR(__xludf.DUMMYFUNCTION("""COMPUTED_VALUE"""),28.0)</f>
        <v>28</v>
      </c>
      <c r="F538" s="30">
        <f>IFERROR(__xludf.DUMMYFUNCTION("""COMPUTED_VALUE"""),13.0)</f>
        <v>13</v>
      </c>
      <c r="G538" s="42">
        <f>IFERROR(__xludf.DUMMYFUNCTION("""COMPUTED_VALUE"""),15.0)</f>
        <v>15</v>
      </c>
      <c r="H538" s="42">
        <f>IFERROR(__xludf.DUMMYFUNCTION("""COMPUTED_VALUE"""),0.4642857142857143)</f>
        <v>0.4642857143</v>
      </c>
      <c r="I538" s="42">
        <f>IFERROR(__xludf.DUMMYFUNCTION("""COMPUTED_VALUE"""),0.30769230769230765)</f>
        <v>0.3076923077</v>
      </c>
      <c r="J538" s="30">
        <f>IFERROR(__xludf.DUMMYFUNCTION("""COMPUTED_VALUE"""),314.5)</f>
        <v>314.5</v>
      </c>
      <c r="K538" s="30">
        <f>IFERROR(__xludf.DUMMYFUNCTION("""COMPUTED_VALUE"""),0.5714285714285714)</f>
        <v>0.5714285714</v>
      </c>
      <c r="L538" s="30">
        <f>IFERROR(__xludf.DUMMYFUNCTION("""COMPUTED_VALUE"""),0.5714285714285714)</f>
        <v>0.5714285714</v>
      </c>
      <c r="M538" s="30">
        <f>IFERROR(__xludf.DUMMYFUNCTION("""COMPUTED_VALUE"""),1.4285714285714286)</f>
        <v>1.428571429</v>
      </c>
      <c r="N538" s="30">
        <f>IFERROR(__xludf.DUMMYFUNCTION("""COMPUTED_VALUE"""),1.8571428571428572)</f>
        <v>1.857142857</v>
      </c>
      <c r="O538" s="30">
        <f>IFERROR(__xludf.DUMMYFUNCTION("""COMPUTED_VALUE"""),337.9166666666666)</f>
        <v>337.9166667</v>
      </c>
      <c r="P538" s="30">
        <f>IFERROR(__xludf.DUMMYFUNCTION("""COMPUTED_VALUE"""),0.7261904761904762)</f>
        <v>0.7261904762</v>
      </c>
      <c r="Q538" s="30">
        <f>IFERROR(__xludf.DUMMYFUNCTION("""COMPUTED_VALUE"""),0.5357142857142857)</f>
        <v>0.5357142857</v>
      </c>
      <c r="R538" s="30">
        <f>IFERROR(__xludf.DUMMYFUNCTION("""COMPUTED_VALUE"""),1.2380952380952384)</f>
        <v>1.238095238</v>
      </c>
      <c r="S538" s="30">
        <f>IFERROR(__xludf.DUMMYFUNCTION("""COMPUTED_VALUE"""),2.488095238095238)</f>
        <v>2.488095238</v>
      </c>
      <c r="T538" s="30">
        <f>IFERROR(__xludf.DUMMYFUNCTION("""COMPUTED_VALUE"""),341.86260900789)</f>
        <v>341.862609</v>
      </c>
      <c r="U538" s="30">
        <f>IFERROR(__xludf.DUMMYFUNCTION("""COMPUTED_VALUE"""),0.7783553536625886)</f>
        <v>0.7783553537</v>
      </c>
      <c r="V538" s="30">
        <f>IFERROR(__xludf.DUMMYFUNCTION("""COMPUTED_VALUE"""),0.5436455416771673)</f>
        <v>0.5436455417</v>
      </c>
      <c r="W538" s="30">
        <f>IFERROR(__xludf.DUMMYFUNCTION("""COMPUTED_VALUE"""),1.291356454974103)</f>
        <v>1.291356455</v>
      </c>
      <c r="X538" s="30">
        <f>IFERROR(__xludf.DUMMYFUNCTION("""COMPUTED_VALUE"""),2.568819931467135)</f>
        <v>2.568819931</v>
      </c>
      <c r="Y538" s="30">
        <f>IFERROR(__xludf.DUMMYFUNCTION("""COMPUTED_VALUE"""),347.9915993326109)</f>
        <v>347.9915993</v>
      </c>
      <c r="Z538" s="30">
        <f>IFERROR(__xludf.DUMMYFUNCTION("""COMPUTED_VALUE"""),0.8042923794338047)</f>
        <v>0.8042923794</v>
      </c>
      <c r="AA538" s="30">
        <f>IFERROR(__xludf.DUMMYFUNCTION("""COMPUTED_VALUE"""),0.5594762754002697)</f>
        <v>0.5594762754</v>
      </c>
      <c r="AB538" s="30">
        <f>IFERROR(__xludf.DUMMYFUNCTION("""COMPUTED_VALUE"""),1.3518425655650204)</f>
        <v>1.351842566</v>
      </c>
      <c r="AC538" s="30">
        <f>IFERROR(__xludf.DUMMYFUNCTION("""COMPUTED_VALUE"""),2.535208235779641)</f>
        <v>2.535208236</v>
      </c>
      <c r="AD538" s="30">
        <f>IFERROR(__xludf.DUMMYFUNCTION("""COMPUTED_VALUE"""),0.9037574487520902)</f>
        <v>0.9037574488</v>
      </c>
      <c r="AE538" s="30">
        <f>IFERROR(__xludf.DUMMYFUNCTION("""COMPUTED_VALUE"""),0.7104736859882201)</f>
        <v>0.710473686</v>
      </c>
      <c r="AF538" s="30">
        <f>IFERROR(__xludf.DUMMYFUNCTION("""COMPUTED_VALUE"""),1.0213633652646854)</f>
        <v>1.021363365</v>
      </c>
      <c r="AG538" s="30">
        <f>IFERROR(__xludf.DUMMYFUNCTION("""COMPUTED_VALUE"""),1.0567587269116197)</f>
        <v>1.056758727</v>
      </c>
      <c r="AH538" s="30">
        <f>IFERROR(__xludf.DUMMYFUNCTION("""COMPUTED_VALUE"""),0.7325405585753545)</f>
        <v>0.7325405586</v>
      </c>
      <c r="AI538" s="30">
        <f>IFERROR(__xludf.DUMMYFUNCTION("""COMPUTED_VALUE"""),0.988457519959042)</f>
        <v>0.98845752</v>
      </c>
      <c r="AJ538" s="30">
        <f>IFERROR(__xludf.DUMMYFUNCTION("""COMPUTED_VALUE"""),0.9329806402350186)</f>
        <v>0.9329806402</v>
      </c>
      <c r="AK538" s="30">
        <f>IFERROR(__xludf.DUMMYFUNCTION("""COMPUTED_VALUE"""),0.9854109794804656)</f>
        <v>0.9854109795</v>
      </c>
      <c r="AL538" s="30">
        <f>IFERROR(__xludf.DUMMYFUNCTION("""COMPUTED_VALUE"""),0.9587556040985347)</f>
        <v>0.9587556041</v>
      </c>
      <c r="AM538" s="30">
        <f>IFERROR(__xludf.DUMMYFUNCTION("""COMPUTED_VALUE"""),0.9685751841212972)</f>
        <v>0.9685751841</v>
      </c>
      <c r="AN538" s="30">
        <f>IFERROR(__xludf.DUMMYFUNCTION("""COMPUTED_VALUE"""),0.9275185052071991)</f>
        <v>0.9275185052</v>
      </c>
      <c r="AO538" s="30">
        <f>IFERROR(__xludf.DUMMYFUNCTION("""COMPUTED_VALUE"""),0.7683176780754101)</f>
        <v>0.7683176781</v>
      </c>
      <c r="AP538" s="30">
        <f>IFERROR(__xludf.DUMMYFUNCTION("""COMPUTED_VALUE"""),1.046959484138787)</f>
        <v>1.046959484</v>
      </c>
      <c r="AQ538" s="30">
        <f>IFERROR(__xludf.DUMMYFUNCTION("""COMPUTED_VALUE"""),1.0923064528994342)</f>
        <v>1.092306453</v>
      </c>
      <c r="AR538" s="30">
        <f>IFERROR(__xludf.DUMMYFUNCTION("""COMPUTED_VALUE"""),0.7423527301592597)</f>
        <v>0.7423527302</v>
      </c>
      <c r="AS538" s="30">
        <f>IFERROR(__xludf.DUMMYFUNCTION("""COMPUTED_VALUE"""),56.0)</f>
        <v>56</v>
      </c>
      <c r="AT538" s="30">
        <f>IFERROR(__xludf.DUMMYFUNCTION("""COMPUTED_VALUE"""),0.46781505176550026)</f>
        <v>0.4678150518</v>
      </c>
      <c r="AU538" s="30">
        <f>IFERROR(__xludf.DUMMYFUNCTION("""COMPUTED_VALUE"""),2.0243624611742015)</f>
        <v>2.024362461</v>
      </c>
      <c r="AV538" s="32">
        <f>IFERROR(__xludf.DUMMYFUNCTION("""COMPUTED_VALUE"""),37.14515947666355)</f>
        <v>37.14515948</v>
      </c>
      <c r="AW538" s="32">
        <f>IFERROR(__xludf.DUMMYFUNCTION("""COMPUTED_VALUE"""),-3.2942599662882373)</f>
        <v>-3.294259966</v>
      </c>
      <c r="AX538" s="32">
        <f>IFERROR(__xludf.DUMMYFUNCTION("""COMPUTED_VALUE"""),41.96566172367061)</f>
        <v>41.96566172</v>
      </c>
      <c r="AY538" s="32">
        <f>IFERROR(__xludf.DUMMYFUNCTION("""COMPUTED_VALUE"""),-2.6740565493136894)</f>
        <v>-2.674056549</v>
      </c>
      <c r="AZ538" s="30">
        <f>IFERROR(__xludf.DUMMYFUNCTION("""COMPUTED_VALUE"""),0.6202034169745478)</f>
        <v>0.620203417</v>
      </c>
      <c r="BA538" s="30">
        <f>IFERROR(__xludf.DUMMYFUNCTION("""COMPUTED_VALUE"""),1700.0)</f>
        <v>1700</v>
      </c>
    </row>
    <row r="539">
      <c r="A539" s="71" t="str">
        <f>IFERROR(__xludf.DUMMYFUNCTION("""COMPUTED_VALUE"""),"Rival")</f>
        <v>Rival</v>
      </c>
      <c r="B539" s="71" t="str">
        <f>IFERROR(__xludf.DUMMYFUNCTION("""COMPUTED_VALUE"""),"RSC004456")</f>
        <v>RSC004456</v>
      </c>
      <c r="C539" s="30" t="str">
        <f>IFERROR(__xludf.DUMMYFUNCTION("""COMPUTED_VALUE"""),"ShazamPoof")</f>
        <v>ShazamPoof</v>
      </c>
      <c r="D539" s="30" t="str">
        <f>IFERROR(__xludf.DUMMYFUNCTION("""COMPUTED_VALUE"""),"Centuriones")</f>
        <v>Centuriones</v>
      </c>
      <c r="E539" s="30">
        <f>IFERROR(__xludf.DUMMYFUNCTION("""COMPUTED_VALUE"""),26.0)</f>
        <v>26</v>
      </c>
      <c r="F539" s="30">
        <f>IFERROR(__xludf.DUMMYFUNCTION("""COMPUTED_VALUE"""),7.0)</f>
        <v>7</v>
      </c>
      <c r="G539" s="42">
        <f>IFERROR(__xludf.DUMMYFUNCTION("""COMPUTED_VALUE"""),19.0)</f>
        <v>19</v>
      </c>
      <c r="H539" s="42">
        <f>IFERROR(__xludf.DUMMYFUNCTION("""COMPUTED_VALUE"""),0.2692307692307692)</f>
        <v>0.2692307692</v>
      </c>
      <c r="I539" s="42">
        <f>IFERROR(__xludf.DUMMYFUNCTION("""COMPUTED_VALUE"""),0.3392857142857143)</f>
        <v>0.3392857143</v>
      </c>
      <c r="J539" s="30">
        <f>IFERROR(__xludf.DUMMYFUNCTION("""COMPUTED_VALUE"""),290.38461538461536)</f>
        <v>290.3846154</v>
      </c>
      <c r="K539" s="30">
        <f>IFERROR(__xludf.DUMMYFUNCTION("""COMPUTED_VALUE"""),0.7307692307692307)</f>
        <v>0.7307692308</v>
      </c>
      <c r="L539" s="30">
        <f>IFERROR(__xludf.DUMMYFUNCTION("""COMPUTED_VALUE"""),0.4230769230769231)</f>
        <v>0.4230769231</v>
      </c>
      <c r="M539" s="30">
        <f>IFERROR(__xludf.DUMMYFUNCTION("""COMPUTED_VALUE"""),1.1538461538461537)</f>
        <v>1.153846154</v>
      </c>
      <c r="N539" s="30">
        <f>IFERROR(__xludf.DUMMYFUNCTION("""COMPUTED_VALUE"""),2.1538461538461537)</f>
        <v>2.153846154</v>
      </c>
      <c r="O539" s="30">
        <f>IFERROR(__xludf.DUMMYFUNCTION("""COMPUTED_VALUE"""),356.70512820512823)</f>
        <v>356.7051282</v>
      </c>
      <c r="P539" s="30">
        <f>IFERROR(__xludf.DUMMYFUNCTION("""COMPUTED_VALUE"""),0.9615384615384616)</f>
        <v>0.9615384615</v>
      </c>
      <c r="Q539" s="30">
        <f>IFERROR(__xludf.DUMMYFUNCTION("""COMPUTED_VALUE"""),0.6794871794871795)</f>
        <v>0.6794871795</v>
      </c>
      <c r="R539" s="30">
        <f>IFERROR(__xludf.DUMMYFUNCTION("""COMPUTED_VALUE"""),1.0897435897435899)</f>
        <v>1.08974359</v>
      </c>
      <c r="S539" s="30">
        <f>IFERROR(__xludf.DUMMYFUNCTION("""COMPUTED_VALUE"""),2.846153846153846)</f>
        <v>2.846153846</v>
      </c>
      <c r="T539" s="30">
        <f>IFERROR(__xludf.DUMMYFUNCTION("""COMPUTED_VALUE"""),338.5964190334397)</f>
        <v>338.596419</v>
      </c>
      <c r="U539" s="30">
        <f>IFERROR(__xludf.DUMMYFUNCTION("""COMPUTED_VALUE"""),0.7861731769809279)</f>
        <v>0.786173177</v>
      </c>
      <c r="V539" s="30">
        <f>IFERROR(__xludf.DUMMYFUNCTION("""COMPUTED_VALUE"""),0.5213637113394838)</f>
        <v>0.5213637113</v>
      </c>
      <c r="W539" s="30">
        <f>IFERROR(__xludf.DUMMYFUNCTION("""COMPUTED_VALUE"""),1.251297270221543)</f>
        <v>1.25129727</v>
      </c>
      <c r="X539" s="30">
        <f>IFERROR(__xludf.DUMMYFUNCTION("""COMPUTED_VALUE"""),2.546465407197913)</f>
        <v>2.546465407</v>
      </c>
      <c r="Y539" s="30">
        <f>IFERROR(__xludf.DUMMYFUNCTION("""COMPUTED_VALUE"""),352.8950858171316)</f>
        <v>352.8950858</v>
      </c>
      <c r="Z539" s="30">
        <f>IFERROR(__xludf.DUMMYFUNCTION("""COMPUTED_VALUE"""),0.8071948300616424)</f>
        <v>0.8071948301</v>
      </c>
      <c r="AA539" s="30">
        <f>IFERROR(__xludf.DUMMYFUNCTION("""COMPUTED_VALUE"""),0.5735911439377017)</f>
        <v>0.5735911439</v>
      </c>
      <c r="AB539" s="30">
        <f>IFERROR(__xludf.DUMMYFUNCTION("""COMPUTED_VALUE"""),1.361488120551889)</f>
        <v>1.361488121</v>
      </c>
      <c r="AC539" s="30">
        <f>IFERROR(__xludf.DUMMYFUNCTION("""COMPUTED_VALUE"""),2.5668360281704277)</f>
        <v>2.566836028</v>
      </c>
      <c r="AD539" s="30">
        <f>IFERROR(__xludf.DUMMYFUNCTION("""COMPUTED_VALUE"""),0.8228638682010188)</f>
        <v>0.8228638682</v>
      </c>
      <c r="AE539" s="30">
        <f>IFERROR(__xludf.DUMMYFUNCTION("""COMPUTED_VALUE"""),0.9053195133985492)</f>
        <v>0.9053195134</v>
      </c>
      <c r="AF539" s="30">
        <f>IFERROR(__xludf.DUMMYFUNCTION("""COMPUTED_VALUE"""),0.7375931925526275)</f>
        <v>0.7375931926</v>
      </c>
      <c r="AG539" s="30">
        <f>IFERROR(__xludf.DUMMYFUNCTION("""COMPUTED_VALUE"""),0.8474889618415723)</f>
        <v>0.8474889618</v>
      </c>
      <c r="AH539" s="30">
        <f>IFERROR(__xludf.DUMMYFUNCTION("""COMPUTED_VALUE"""),0.8391054707851198)</f>
        <v>0.8391054708</v>
      </c>
      <c r="AI539" s="30">
        <f>IFERROR(__xludf.DUMMYFUNCTION("""COMPUTED_VALUE"""),1.053481691340333)</f>
        <v>1.053481691</v>
      </c>
      <c r="AJ539" s="30">
        <f>IFERROR(__xludf.DUMMYFUNCTION("""COMPUTED_VALUE"""),1.2230619025072487)</f>
        <v>1.223061903</v>
      </c>
      <c r="AK539" s="30">
        <f>IFERROR(__xludf.DUMMYFUNCTION("""COMPUTED_VALUE"""),1.3032882126403582)</f>
        <v>1.303288213</v>
      </c>
      <c r="AL539" s="30">
        <f>IFERROR(__xludf.DUMMYFUNCTION("""COMPUTED_VALUE"""),0.8708910469777098)</f>
        <v>0.870891047</v>
      </c>
      <c r="AM539" s="30">
        <f>IFERROR(__xludf.DUMMYFUNCTION("""COMPUTED_VALUE"""),1.117688007113242)</f>
        <v>1.117688007</v>
      </c>
      <c r="AN539" s="30">
        <f>IFERROR(__xludf.DUMMYFUNCTION("""COMPUTED_VALUE"""),0.8563977882248199)</f>
        <v>0.8563977882</v>
      </c>
      <c r="AO539" s="30">
        <f>IFERROR(__xludf.DUMMYFUNCTION("""COMPUTED_VALUE"""),0.9825601075387456)</f>
        <v>0.9825601075</v>
      </c>
      <c r="AP539" s="30">
        <f>IFERROR(__xludf.DUMMYFUNCTION("""COMPUTED_VALUE"""),0.7751526949873713)</f>
        <v>0.775152695</v>
      </c>
      <c r="AQ539" s="30">
        <f>IFERROR(__xludf.DUMMYFUNCTION("""COMPUTED_VALUE"""),0.882247519649543)</f>
        <v>0.8822475196</v>
      </c>
      <c r="AR539" s="30">
        <f>IFERROR(__xludf.DUMMYFUNCTION("""COMPUTED_VALUE"""),0.8609534621965378)</f>
        <v>0.8609534622</v>
      </c>
      <c r="AS539" s="30">
        <f>IFERROR(__xludf.DUMMYFUNCTION("""COMPUTED_VALUE"""),56.0)</f>
        <v>56</v>
      </c>
      <c r="AT539" s="30">
        <f>IFERROR(__xludf.DUMMYFUNCTION("""COMPUTED_VALUE"""),0.3858784084972792)</f>
        <v>0.3858784085</v>
      </c>
      <c r="AU539" s="30">
        <f>IFERROR(__xludf.DUMMYFUNCTION("""COMPUTED_VALUE"""),1.8081493091373304)</f>
        <v>1.808149309</v>
      </c>
      <c r="AV539" s="32">
        <f>IFERROR(__xludf.DUMMYFUNCTION("""COMPUTED_VALUE"""),30.954982357877935)</f>
        <v>30.95498236</v>
      </c>
      <c r="AW539" s="32">
        <f>IFERROR(__xludf.DUMMYFUNCTION("""COMPUTED_VALUE"""),-4.482506310387311)</f>
        <v>-4.48250631</v>
      </c>
      <c r="AX539" s="32">
        <f>IFERROR(__xludf.DUMMYFUNCTION("""COMPUTED_VALUE"""),28.69860065527727)</f>
        <v>28.69860066</v>
      </c>
      <c r="AY539" s="32">
        <f>IFERROR(__xludf.DUMMYFUNCTION("""COMPUTED_VALUE"""),-5.073785191589598)</f>
        <v>-5.073785192</v>
      </c>
      <c r="AZ539" s="30">
        <f>IFERROR(__xludf.DUMMYFUNCTION("""COMPUTED_VALUE"""),0.5912788812022871)</f>
        <v>0.5912788812</v>
      </c>
      <c r="BA539" s="30">
        <f>IFERROR(__xludf.DUMMYFUNCTION("""COMPUTED_VALUE"""),1700.0)</f>
        <v>1700</v>
      </c>
    </row>
    <row r="540">
      <c r="A540" s="71" t="str">
        <f>IFERROR(__xludf.DUMMYFUNCTION("""COMPUTED_VALUE"""),"Rival")</f>
        <v>Rival</v>
      </c>
      <c r="B540" s="71" t="str">
        <f>IFERROR(__xludf.DUMMYFUNCTION("""COMPUTED_VALUE"""),"RSC007582")</f>
        <v>RSC007582</v>
      </c>
      <c r="C540" s="30" t="str">
        <f>IFERROR(__xludf.DUMMYFUNCTION("""COMPUTED_VALUE"""),"Wavy")</f>
        <v>Wavy</v>
      </c>
      <c r="D540" s="30" t="str">
        <f>IFERROR(__xludf.DUMMYFUNCTION("""COMPUTED_VALUE"""),"Ocelots")</f>
        <v>Ocelots</v>
      </c>
      <c r="E540" s="30">
        <f>IFERROR(__xludf.DUMMYFUNCTION("""COMPUTED_VALUE"""),40.0)</f>
        <v>40</v>
      </c>
      <c r="F540" s="30">
        <f>IFERROR(__xludf.DUMMYFUNCTION("""COMPUTED_VALUE"""),25.0)</f>
        <v>25</v>
      </c>
      <c r="G540" s="42">
        <f>IFERROR(__xludf.DUMMYFUNCTION("""COMPUTED_VALUE"""),15.0)</f>
        <v>15</v>
      </c>
      <c r="H540" s="42">
        <f>IFERROR(__xludf.DUMMYFUNCTION("""COMPUTED_VALUE"""),0.625)</f>
        <v>0.625</v>
      </c>
      <c r="I540" s="42">
        <f>IFERROR(__xludf.DUMMYFUNCTION("""COMPUTED_VALUE"""),0.2087912087912088)</f>
        <v>0.2087912088</v>
      </c>
      <c r="J540" s="30">
        <f>IFERROR(__xludf.DUMMYFUNCTION("""COMPUTED_VALUE"""),307.1)</f>
        <v>307.1</v>
      </c>
      <c r="K540" s="30">
        <f>IFERROR(__xludf.DUMMYFUNCTION("""COMPUTED_VALUE"""),0.475)</f>
        <v>0.475</v>
      </c>
      <c r="L540" s="30">
        <f>IFERROR(__xludf.DUMMYFUNCTION("""COMPUTED_VALUE"""),0.525)</f>
        <v>0.525</v>
      </c>
      <c r="M540" s="30">
        <f>IFERROR(__xludf.DUMMYFUNCTION("""COMPUTED_VALUE"""),1.375)</f>
        <v>1.375</v>
      </c>
      <c r="N540" s="30">
        <f>IFERROR(__xludf.DUMMYFUNCTION("""COMPUTED_VALUE"""),2.275)</f>
        <v>2.275</v>
      </c>
      <c r="O540" s="30">
        <f>IFERROR(__xludf.DUMMYFUNCTION("""COMPUTED_VALUE"""),322.58333333333326)</f>
        <v>322.5833333</v>
      </c>
      <c r="P540" s="30">
        <f>IFERROR(__xludf.DUMMYFUNCTION("""COMPUTED_VALUE"""),0.6249999999999998)</f>
        <v>0.625</v>
      </c>
      <c r="Q540" s="30">
        <f>IFERROR(__xludf.DUMMYFUNCTION("""COMPUTED_VALUE"""),0.4416666666666666)</f>
        <v>0.4416666667</v>
      </c>
      <c r="R540" s="30">
        <f>IFERROR(__xludf.DUMMYFUNCTION("""COMPUTED_VALUE"""),1.3416666666666666)</f>
        <v>1.341666667</v>
      </c>
      <c r="S540" s="30">
        <f>IFERROR(__xludf.DUMMYFUNCTION("""COMPUTED_VALUE"""),2.416666666666666)</f>
        <v>2.416666667</v>
      </c>
      <c r="T540" s="30">
        <f>IFERROR(__xludf.DUMMYFUNCTION("""COMPUTED_VALUE"""),354.31603683104385)</f>
        <v>354.3160368</v>
      </c>
      <c r="U540" s="30">
        <f>IFERROR(__xludf.DUMMYFUNCTION("""COMPUTED_VALUE"""),0.8050452965349756)</f>
        <v>0.8050452965</v>
      </c>
      <c r="V540" s="30">
        <f>IFERROR(__xludf.DUMMYFUNCTION("""COMPUTED_VALUE"""),0.5548793752646466)</f>
        <v>0.5548793753</v>
      </c>
      <c r="W540" s="30">
        <f>IFERROR(__xludf.DUMMYFUNCTION("""COMPUTED_VALUE"""),1.3480483837309625)</f>
        <v>1.348048384</v>
      </c>
      <c r="X540" s="30">
        <f>IFERROR(__xludf.DUMMYFUNCTION("""COMPUTED_VALUE"""),2.655448572849418)</f>
        <v>2.655448573</v>
      </c>
      <c r="Y540" s="30">
        <f>IFERROR(__xludf.DUMMYFUNCTION("""COMPUTED_VALUE"""),347.8657620727556)</f>
        <v>347.8657621</v>
      </c>
      <c r="Z540" s="30">
        <f>IFERROR(__xludf.DUMMYFUNCTION("""COMPUTED_VALUE"""),0.7628568255580126)</f>
        <v>0.7628568256</v>
      </c>
      <c r="AA540" s="30">
        <f>IFERROR(__xludf.DUMMYFUNCTION("""COMPUTED_VALUE"""),0.5439581041832706)</f>
        <v>0.5439581042</v>
      </c>
      <c r="AB540" s="30">
        <f>IFERROR(__xludf.DUMMYFUNCTION("""COMPUTED_VALUE"""),1.354542289564062)</f>
        <v>1.35454229</v>
      </c>
      <c r="AC540" s="30">
        <f>IFERROR(__xludf.DUMMYFUNCTION("""COMPUTED_VALUE"""),2.559799031331335)</f>
        <v>2.559799031</v>
      </c>
      <c r="AD540" s="30">
        <f>IFERROR(__xludf.DUMMYFUNCTION("""COMPUTED_VALUE"""),0.8828118012251246)</f>
        <v>0.8828118012</v>
      </c>
      <c r="AE540" s="30">
        <f>IFERROR(__xludf.DUMMYFUNCTION("""COMPUTED_VALUE"""),0.6226594350159326)</f>
        <v>0.622659435</v>
      </c>
      <c r="AF540" s="30">
        <f>IFERROR(__xludf.DUMMYFUNCTION("""COMPUTED_VALUE"""),0.9651478596651568)</f>
        <v>0.9651478597</v>
      </c>
      <c r="AG540" s="30">
        <f>IFERROR(__xludf.DUMMYFUNCTION("""COMPUTED_VALUE"""),1.0151030429936019)</f>
        <v>1.015103043</v>
      </c>
      <c r="AH540" s="30">
        <f>IFERROR(__xludf.DUMMYFUNCTION("""COMPUTED_VALUE"""),0.8887416442285265)</f>
        <v>0.8887416442</v>
      </c>
      <c r="AI540" s="30">
        <f>IFERROR(__xludf.DUMMYFUNCTION("""COMPUTED_VALUE"""),0.9104395505732009)</f>
        <v>0.9104395506</v>
      </c>
      <c r="AJ540" s="30">
        <f>IFERROR(__xludf.DUMMYFUNCTION("""COMPUTED_VALUE"""),0.7763538308839077)</f>
        <v>0.7763538309</v>
      </c>
      <c r="AK540" s="30">
        <f>IFERROR(__xludf.DUMMYFUNCTION("""COMPUTED_VALUE"""),0.7959687931381774)</f>
        <v>0.7959687931</v>
      </c>
      <c r="AL540" s="30">
        <f>IFERROR(__xludf.DUMMYFUNCTION("""COMPUTED_VALUE"""),0.9952659584468079)</f>
        <v>0.9952659584</v>
      </c>
      <c r="AM540" s="30">
        <f>IFERROR(__xludf.DUMMYFUNCTION("""COMPUTED_VALUE"""),0.9100785047678299)</f>
        <v>0.9100785048</v>
      </c>
      <c r="AN540" s="30">
        <f>IFERROR(__xludf.DUMMYFUNCTION("""COMPUTED_VALUE"""),0.9056945403787945)</f>
        <v>0.9056945404</v>
      </c>
      <c r="AO540" s="30">
        <f>IFERROR(__xludf.DUMMYFUNCTION("""COMPUTED_VALUE"""),0.6386640699001846)</f>
        <v>0.6386640699</v>
      </c>
      <c r="AP540" s="30">
        <f>IFERROR(__xludf.DUMMYFUNCTION("""COMPUTED_VALUE"""),0.9618940260525107)</f>
        <v>0.9618940261</v>
      </c>
      <c r="AQ540" s="30">
        <f>IFERROR(__xludf.DUMMYFUNCTION("""COMPUTED_VALUE"""),1.0513449609157055)</f>
        <v>1.051344961</v>
      </c>
      <c r="AR540" s="30">
        <f>IFERROR(__xludf.DUMMYFUNCTION("""COMPUTED_VALUE"""),0.9093820944450931)</f>
        <v>0.9093820944</v>
      </c>
      <c r="AS540" s="30">
        <f>IFERROR(__xludf.DUMMYFUNCTION("""COMPUTED_VALUE"""),88.0)</f>
        <v>88</v>
      </c>
      <c r="AT540" s="30">
        <f>IFERROR(__xludf.DUMMYFUNCTION("""COMPUTED_VALUE"""),0.5595238991722131)</f>
        <v>0.5595238992</v>
      </c>
      <c r="AU540" s="30">
        <f>IFERROR(__xludf.DUMMYFUNCTION("""COMPUTED_VALUE"""),2.1120510658756513)</f>
        <v>2.112051066</v>
      </c>
      <c r="AV540" s="32">
        <f>IFERROR(__xludf.DUMMYFUNCTION("""COMPUTED_VALUE"""),39.65568202946638)</f>
        <v>39.65568203</v>
      </c>
      <c r="AW540" s="32">
        <f>IFERROR(__xludf.DUMMYFUNCTION("""COMPUTED_VALUE"""),-2.9453321381830766)</f>
        <v>-2.945332138</v>
      </c>
      <c r="AX540" s="32">
        <f>IFERROR(__xludf.DUMMYFUNCTION("""COMPUTED_VALUE"""),35.67685337383261)</f>
        <v>35.67685337</v>
      </c>
      <c r="AY540" s="32">
        <f>IFERROR(__xludf.DUMMYFUNCTION("""COMPUTED_VALUE"""),-3.529235982762204)</f>
        <v>-3.529235983</v>
      </c>
      <c r="AZ540" s="30">
        <f>IFERROR(__xludf.DUMMYFUNCTION("""COMPUTED_VALUE"""),0.5839038445791274)</f>
        <v>0.5839038446</v>
      </c>
      <c r="BA540" s="30">
        <f>IFERROR(__xludf.DUMMYFUNCTION("""COMPUTED_VALUE"""),1700.0)</f>
        <v>1700</v>
      </c>
    </row>
    <row r="541">
      <c r="A541" s="71" t="str">
        <f>IFERROR(__xludf.DUMMYFUNCTION("""COMPUTED_VALUE"""),"Rival")</f>
        <v>Rival</v>
      </c>
      <c r="B541" s="71" t="str">
        <f>IFERROR(__xludf.DUMMYFUNCTION("""COMPUTED_VALUE"""),"RSC005035")</f>
        <v>RSC005035</v>
      </c>
      <c r="C541" s="30" t="str">
        <f>IFERROR(__xludf.DUMMYFUNCTION("""COMPUTED_VALUE"""),"Broskijazz")</f>
        <v>Broskijazz</v>
      </c>
      <c r="D541" s="30" t="str">
        <f>IFERROR(__xludf.DUMMYFUNCTION("""COMPUTED_VALUE"""),"Hot Wings")</f>
        <v>Hot Wings</v>
      </c>
      <c r="E541" s="30">
        <f>IFERROR(__xludf.DUMMYFUNCTION("""COMPUTED_VALUE"""),8.0)</f>
        <v>8</v>
      </c>
      <c r="F541" s="30">
        <f>IFERROR(__xludf.DUMMYFUNCTION("""COMPUTED_VALUE"""),4.0)</f>
        <v>4</v>
      </c>
      <c r="G541" s="42">
        <f>IFERROR(__xludf.DUMMYFUNCTION("""COMPUTED_VALUE"""),4.0)</f>
        <v>4</v>
      </c>
      <c r="H541" s="42">
        <f>IFERROR(__xludf.DUMMYFUNCTION("""COMPUTED_VALUE"""),0.5)</f>
        <v>0.5</v>
      </c>
      <c r="I541" s="42">
        <f>IFERROR(__xludf.DUMMYFUNCTION("""COMPUTED_VALUE"""),0.38095238095238093)</f>
        <v>0.380952381</v>
      </c>
      <c r="J541" s="30">
        <f>IFERROR(__xludf.DUMMYFUNCTION("""COMPUTED_VALUE"""),350.125)</f>
        <v>350.125</v>
      </c>
      <c r="K541" s="30">
        <f>IFERROR(__xludf.DUMMYFUNCTION("""COMPUTED_VALUE"""),1.0)</f>
        <v>1</v>
      </c>
      <c r="L541" s="30">
        <f>IFERROR(__xludf.DUMMYFUNCTION("""COMPUTED_VALUE"""),0.75)</f>
        <v>0.75</v>
      </c>
      <c r="M541" s="30">
        <f>IFERROR(__xludf.DUMMYFUNCTION("""COMPUTED_VALUE"""),0.625)</f>
        <v>0.625</v>
      </c>
      <c r="N541" s="30">
        <f>IFERROR(__xludf.DUMMYFUNCTION("""COMPUTED_VALUE"""),2.625)</f>
        <v>2.625</v>
      </c>
      <c r="O541" s="30">
        <f>IFERROR(__xludf.DUMMYFUNCTION("""COMPUTED_VALUE"""),326.62500000000006)</f>
        <v>326.625</v>
      </c>
      <c r="P541" s="30">
        <f>IFERROR(__xludf.DUMMYFUNCTION("""COMPUTED_VALUE"""),0.6666666666666667)</f>
        <v>0.6666666667</v>
      </c>
      <c r="Q541" s="30">
        <f>IFERROR(__xludf.DUMMYFUNCTION("""COMPUTED_VALUE"""),0.41666666666666663)</f>
        <v>0.4166666667</v>
      </c>
      <c r="R541" s="30">
        <f>IFERROR(__xludf.DUMMYFUNCTION("""COMPUTED_VALUE"""),1.4583333333333333)</f>
        <v>1.458333333</v>
      </c>
      <c r="S541" s="30">
        <f>IFERROR(__xludf.DUMMYFUNCTION("""COMPUTED_VALUE"""),1.958333333333333)</f>
        <v>1.958333333</v>
      </c>
      <c r="T541" s="30">
        <f>IFERROR(__xludf.DUMMYFUNCTION("""COMPUTED_VALUE"""),336.4686992966069)</f>
        <v>336.4686993</v>
      </c>
      <c r="U541" s="30">
        <f>IFERROR(__xludf.DUMMYFUNCTION("""COMPUTED_VALUE"""),0.6782170384115438)</f>
        <v>0.6782170384</v>
      </c>
      <c r="V541" s="30">
        <f>IFERROR(__xludf.DUMMYFUNCTION("""COMPUTED_VALUE"""),0.4389421340129483)</f>
        <v>0.438942134</v>
      </c>
      <c r="W541" s="30">
        <f>IFERROR(__xludf.DUMMYFUNCTION("""COMPUTED_VALUE"""),1.4749662461909725)</f>
        <v>1.474966246</v>
      </c>
      <c r="X541" s="30">
        <f>IFERROR(__xludf.DUMMYFUNCTION("""COMPUTED_VALUE"""),2.344390329438836)</f>
        <v>2.344390329</v>
      </c>
      <c r="Y541" s="30">
        <f>IFERROR(__xludf.DUMMYFUNCTION("""COMPUTED_VALUE"""),357.3513755257637)</f>
        <v>357.3513755</v>
      </c>
      <c r="Z541" s="30">
        <f>IFERROR(__xludf.DUMMYFUNCTION("""COMPUTED_VALUE"""),0.865361598155571)</f>
        <v>0.8653615982</v>
      </c>
      <c r="AA541" s="30">
        <f>IFERROR(__xludf.DUMMYFUNCTION("""COMPUTED_VALUE"""),0.6182627393710458)</f>
        <v>0.6182627394</v>
      </c>
      <c r="AB541" s="30">
        <f>IFERROR(__xludf.DUMMYFUNCTION("""COMPUTED_VALUE"""),1.2247798629732043)</f>
        <v>1.224779863</v>
      </c>
      <c r="AC541" s="30">
        <f>IFERROR(__xludf.DUMMYFUNCTION("""COMPUTED_VALUE"""),2.7661458530001912)</f>
        <v>2.766145853</v>
      </c>
      <c r="AD541" s="30">
        <f>IFERROR(__xludf.DUMMYFUNCTION("""COMPUTED_VALUE"""),0.9797779551984888)</f>
        <v>0.9797779552</v>
      </c>
      <c r="AE541" s="30">
        <f>IFERROR(__xludf.DUMMYFUNCTION("""COMPUTED_VALUE"""),1.1555862914779174)</f>
        <v>1.155586291</v>
      </c>
      <c r="AF541" s="30">
        <f>IFERROR(__xludf.DUMMYFUNCTION("""COMPUTED_VALUE"""),1.2130765000701313)</f>
        <v>1.2130765</v>
      </c>
      <c r="AG541" s="30">
        <f>IFERROR(__xludf.DUMMYFUNCTION("""COMPUTED_VALUE"""),0.5102957836706968)</f>
        <v>0.5102957837</v>
      </c>
      <c r="AH541" s="30">
        <f>IFERROR(__xludf.DUMMYFUNCTION("""COMPUTED_VALUE"""),0.9489738211572962)</f>
        <v>0.9489738212</v>
      </c>
      <c r="AI541" s="30">
        <f>IFERROR(__xludf.DUMMYFUNCTION("""COMPUTED_VALUE"""),0.9707440861001773)</f>
        <v>0.9707440861</v>
      </c>
      <c r="AJ541" s="30">
        <f>IFERROR(__xludf.DUMMYFUNCTION("""COMPUTED_VALUE"""),0.9829695052015661)</f>
        <v>0.9829695052</v>
      </c>
      <c r="AK541" s="30">
        <f>IFERROR(__xludf.DUMMYFUNCTION("""COMPUTED_VALUE"""),0.9492519272583102)</f>
        <v>0.9492519273</v>
      </c>
      <c r="AL541" s="30">
        <f>IFERROR(__xludf.DUMMYFUNCTION("""COMPUTED_VALUE"""),0.9887231908522701)</f>
        <v>0.9887231909</v>
      </c>
      <c r="AM541" s="30">
        <f>IFERROR(__xludf.DUMMYFUNCTION("""COMPUTED_VALUE"""),0.835327338089681)</f>
        <v>0.8353273381</v>
      </c>
      <c r="AN541" s="30">
        <f>IFERROR(__xludf.DUMMYFUNCTION("""COMPUTED_VALUE"""),1.03258320074935)</f>
        <v>1.032583201</v>
      </c>
      <c r="AO541" s="30">
        <f>IFERROR(__xludf.DUMMYFUNCTION("""COMPUTED_VALUE"""),1.3445559366319677)</f>
        <v>1.344555937</v>
      </c>
      <c r="AP541" s="30">
        <f>IFERROR(__xludf.DUMMYFUNCTION("""COMPUTED_VALUE"""),1.374134322932158)</f>
        <v>1.374134323</v>
      </c>
      <c r="AQ541" s="30">
        <f>IFERROR(__xludf.DUMMYFUNCTION("""COMPUTED_VALUE"""),0.47788407314350245)</f>
        <v>0.4778840731</v>
      </c>
      <c r="AR541" s="30">
        <f>IFERROR(__xludf.DUMMYFUNCTION("""COMPUTED_VALUE"""),1.0492870320520304)</f>
        <v>1.049287032</v>
      </c>
      <c r="AS541" s="30">
        <f>IFERROR(__xludf.DUMMYFUNCTION("""COMPUTED_VALUE"""),19.0)</f>
        <v>19</v>
      </c>
      <c r="AT541" s="30">
        <f>IFERROR(__xludf.DUMMYFUNCTION("""COMPUTED_VALUE"""),0.5652480117053107)</f>
        <v>0.5652480117</v>
      </c>
      <c r="AU541" s="30">
        <f>IFERROR(__xludf.DUMMYFUNCTION("""COMPUTED_VALUE"""),3.1769884665460726)</f>
        <v>3.176988467</v>
      </c>
      <c r="AV541" s="32">
        <f>IFERROR(__xludf.DUMMYFUNCTION("""COMPUTED_VALUE"""),70.14481309511453)</f>
        <v>70.1448131</v>
      </c>
      <c r="AW541" s="32">
        <f>IFERROR(__xludf.DUMMYFUNCTION("""COMPUTED_VALUE"""),4.757798447272468)</f>
        <v>4.757798447</v>
      </c>
      <c r="AX541" s="32">
        <f>IFERROR(__xludf.DUMMYFUNCTION("""COMPUTED_VALUE"""),72.19483588906387)</f>
        <v>72.19483589</v>
      </c>
      <c r="AY541" s="32">
        <f>IFERROR(__xludf.DUMMYFUNCTION("""COMPUTED_VALUE"""),5.338289049945877)</f>
        <v>5.33828905</v>
      </c>
      <c r="AZ541" s="30">
        <f>IFERROR(__xludf.DUMMYFUNCTION("""COMPUTED_VALUE"""),0.5804906026734091)</f>
        <v>0.5804906027</v>
      </c>
      <c r="BA541" s="30">
        <f>IFERROR(__xludf.DUMMYFUNCTION("""COMPUTED_VALUE"""),1700.0)</f>
        <v>1700</v>
      </c>
    </row>
    <row r="542">
      <c r="A542" s="71" t="str">
        <f>IFERROR(__xludf.DUMMYFUNCTION("""COMPUTED_VALUE"""),"Rival")</f>
        <v>Rival</v>
      </c>
      <c r="B542" s="71" t="str">
        <f>IFERROR(__xludf.DUMMYFUNCTION("""COMPUTED_VALUE"""),"RSC007823")</f>
        <v>RSC007823</v>
      </c>
      <c r="C542" s="30" t="str">
        <f>IFERROR(__xludf.DUMMYFUNCTION("""COMPUTED_VALUE"""),"watz")</f>
        <v>watz</v>
      </c>
      <c r="D542" s="30" t="str">
        <f>IFERROR(__xludf.DUMMYFUNCTION("""COMPUTED_VALUE"""),"Hue Heroes")</f>
        <v>Hue Heroes</v>
      </c>
      <c r="E542" s="30">
        <f>IFERROR(__xludf.DUMMYFUNCTION("""COMPUTED_VALUE"""),12.0)</f>
        <v>12</v>
      </c>
      <c r="F542" s="30">
        <f>IFERROR(__xludf.DUMMYFUNCTION("""COMPUTED_VALUE"""),5.0)</f>
        <v>5</v>
      </c>
      <c r="G542" s="42">
        <f>IFERROR(__xludf.DUMMYFUNCTION("""COMPUTED_VALUE"""),7.0)</f>
        <v>7</v>
      </c>
      <c r="H542" s="42">
        <f>IFERROR(__xludf.DUMMYFUNCTION("""COMPUTED_VALUE"""),0.4166666666666667)</f>
        <v>0.4166666667</v>
      </c>
      <c r="I542" s="42">
        <f>IFERROR(__xludf.DUMMYFUNCTION("""COMPUTED_VALUE"""),0.33333333333333337)</f>
        <v>0.3333333333</v>
      </c>
      <c r="J542" s="30">
        <f>IFERROR(__xludf.DUMMYFUNCTION("""COMPUTED_VALUE"""),316.9166666666667)</f>
        <v>316.9166667</v>
      </c>
      <c r="K542" s="30">
        <f>IFERROR(__xludf.DUMMYFUNCTION("""COMPUTED_VALUE"""),0.5833333333333334)</f>
        <v>0.5833333333</v>
      </c>
      <c r="L542" s="30">
        <f>IFERROR(__xludf.DUMMYFUNCTION("""COMPUTED_VALUE"""),0.5833333333333334)</f>
        <v>0.5833333333</v>
      </c>
      <c r="M542" s="30">
        <f>IFERROR(__xludf.DUMMYFUNCTION("""COMPUTED_VALUE"""),1.25)</f>
        <v>1.25</v>
      </c>
      <c r="N542" s="30">
        <f>IFERROR(__xludf.DUMMYFUNCTION("""COMPUTED_VALUE"""),1.75)</f>
        <v>1.75</v>
      </c>
      <c r="O542" s="30">
        <f>IFERROR(__xludf.DUMMYFUNCTION("""COMPUTED_VALUE"""),352.1388888888889)</f>
        <v>352.1388889</v>
      </c>
      <c r="P542" s="30">
        <f>IFERROR(__xludf.DUMMYFUNCTION("""COMPUTED_VALUE"""),0.972222222222222)</f>
        <v>0.9722222222</v>
      </c>
      <c r="Q542" s="30">
        <f>IFERROR(__xludf.DUMMYFUNCTION("""COMPUTED_VALUE"""),0.6944444444444443)</f>
        <v>0.6944444444</v>
      </c>
      <c r="R542" s="30">
        <f>IFERROR(__xludf.DUMMYFUNCTION("""COMPUTED_VALUE"""),0.9444444444444445)</f>
        <v>0.9444444444</v>
      </c>
      <c r="S542" s="30">
        <f>IFERROR(__xludf.DUMMYFUNCTION("""COMPUTED_VALUE"""),2.638888888888889)</f>
        <v>2.638888889</v>
      </c>
      <c r="T542" s="30">
        <f>IFERROR(__xludf.DUMMYFUNCTION("""COMPUTED_VALUE"""),360.7651732901733)</f>
        <v>360.7651733</v>
      </c>
      <c r="U542" s="30">
        <f>IFERROR(__xludf.DUMMYFUNCTION("""COMPUTED_VALUE"""),0.9091091091091091)</f>
        <v>0.9091091091</v>
      </c>
      <c r="V542" s="30">
        <f>IFERROR(__xludf.DUMMYFUNCTION("""COMPUTED_VALUE"""),0.7061264186264187)</f>
        <v>0.7061264186</v>
      </c>
      <c r="W542" s="30">
        <f>IFERROR(__xludf.DUMMYFUNCTION("""COMPUTED_VALUE"""),1.1488215488215487)</f>
        <v>1.148821549</v>
      </c>
      <c r="X542" s="30">
        <f>IFERROR(__xludf.DUMMYFUNCTION("""COMPUTED_VALUE"""),2.7070048945048946)</f>
        <v>2.707004895</v>
      </c>
      <c r="Y542" s="30">
        <f>IFERROR(__xludf.DUMMYFUNCTION("""COMPUTED_VALUE"""),331.9732260398927)</f>
        <v>331.973226</v>
      </c>
      <c r="Z542" s="30">
        <f>IFERROR(__xludf.DUMMYFUNCTION("""COMPUTED_VALUE"""),0.7047227422227421)</f>
        <v>0.7047227422</v>
      </c>
      <c r="AA542" s="30">
        <f>IFERROR(__xludf.DUMMYFUNCTION("""COMPUTED_VALUE"""),0.4954627246293913)</f>
        <v>0.4954627246</v>
      </c>
      <c r="AB542" s="30">
        <f>IFERROR(__xludf.DUMMYFUNCTION("""COMPUTED_VALUE"""),1.355697147363814)</f>
        <v>1.355697147</v>
      </c>
      <c r="AC542" s="30">
        <f>IFERROR(__xludf.DUMMYFUNCTION("""COMPUTED_VALUE"""),2.280539034705702)</f>
        <v>2.280539035</v>
      </c>
      <c r="AD542" s="30">
        <f>IFERROR(__xludf.DUMMYFUNCTION("""COMPUTED_VALUE"""),0.9546452599420873)</f>
        <v>0.9546452599</v>
      </c>
      <c r="AE542" s="30">
        <f>IFERROR(__xludf.DUMMYFUNCTION("""COMPUTED_VALUE"""),0.8277486994295962)</f>
        <v>0.8277486994</v>
      </c>
      <c r="AF542" s="30">
        <f>IFERROR(__xludf.DUMMYFUNCTION("""COMPUTED_VALUE"""),1.17735059437553)</f>
        <v>1.177350594</v>
      </c>
      <c r="AG542" s="30">
        <f>IFERROR(__xludf.DUMMYFUNCTION("""COMPUTED_VALUE"""),0.9220348382606361)</f>
        <v>0.9220348383</v>
      </c>
      <c r="AH542" s="30">
        <f>IFERROR(__xludf.DUMMYFUNCTION("""COMPUTED_VALUE"""),0.7673624407949822)</f>
        <v>0.7673624408</v>
      </c>
      <c r="AI542" s="30">
        <f>IFERROR(__xludf.DUMMYFUNCTION("""COMPUTED_VALUE"""),0.976088921437142)</f>
        <v>0.9760889214</v>
      </c>
      <c r="AJ542" s="30">
        <f>IFERROR(__xludf.DUMMYFUNCTION("""COMPUTED_VALUE"""),1.0694230345738822)</f>
        <v>1.069423035</v>
      </c>
      <c r="AK542" s="30">
        <f>IFERROR(__xludf.DUMMYFUNCTION("""COMPUTED_VALUE"""),0.9834562567355878)</f>
        <v>0.9834562567</v>
      </c>
      <c r="AL542" s="30">
        <f>IFERROR(__xludf.DUMMYFUNCTION("""COMPUTED_VALUE"""),0.8220984759671748)</f>
        <v>0.822098476</v>
      </c>
      <c r="AM542" s="30">
        <f>IFERROR(__xludf.DUMMYFUNCTION("""COMPUTED_VALUE"""),0.9748371324505994)</f>
        <v>0.9748371325</v>
      </c>
      <c r="AN542" s="30">
        <f>IFERROR(__xludf.DUMMYFUNCTION("""COMPUTED_VALUE"""),0.9346457009281872)</f>
        <v>0.9346457009</v>
      </c>
      <c r="AO542" s="30">
        <f>IFERROR(__xludf.DUMMYFUNCTION("""COMPUTED_VALUE"""),0.7843242963686479)</f>
        <v>0.7843242964</v>
      </c>
      <c r="AP542" s="30">
        <f>IFERROR(__xludf.DUMMYFUNCTION("""COMPUTED_VALUE"""),1.0687711400583453)</f>
        <v>1.06877114</v>
      </c>
      <c r="AQ542" s="30">
        <f>IFERROR(__xludf.DUMMYFUNCTION("""COMPUTED_VALUE"""),0.9557681462870049)</f>
        <v>0.9557681463</v>
      </c>
      <c r="AR542" s="30">
        <f>IFERROR(__xludf.DUMMYFUNCTION("""COMPUTED_VALUE"""),0.699524688034687)</f>
        <v>0.699524688</v>
      </c>
      <c r="AS542" s="30">
        <f>IFERROR(__xludf.DUMMYFUNCTION("""COMPUTED_VALUE"""),26.0)</f>
        <v>26</v>
      </c>
      <c r="AT542" s="30">
        <f>IFERROR(__xludf.DUMMYFUNCTION("""COMPUTED_VALUE"""),0.3836672530801786)</f>
        <v>0.3836672531</v>
      </c>
      <c r="AU542" s="30">
        <f>IFERROR(__xludf.DUMMYFUNCTION("""COMPUTED_VALUE"""),2.140259225354796)</f>
        <v>2.140259225</v>
      </c>
      <c r="AV542" s="32">
        <f>IFERROR(__xludf.DUMMYFUNCTION("""COMPUTED_VALUE"""),40.463280927710464)</f>
        <v>40.46328093</v>
      </c>
      <c r="AW542" s="32">
        <f>IFERROR(__xludf.DUMMYFUNCTION("""COMPUTED_VALUE"""),-2.845535326455145)</f>
        <v>-2.845535326</v>
      </c>
      <c r="AX542" s="32">
        <f>IFERROR(__xludf.DUMMYFUNCTION("""COMPUTED_VALUE"""),46.060971141777955)</f>
        <v>46.06097114</v>
      </c>
      <c r="AY542" s="32">
        <f>IFERROR(__xludf.DUMMYFUNCTION("""COMPUTED_VALUE"""),-2.286230018726722)</f>
        <v>-2.286230019</v>
      </c>
      <c r="AZ542" s="30">
        <f>IFERROR(__xludf.DUMMYFUNCTION("""COMPUTED_VALUE"""),0.5593053077284229)</f>
        <v>0.5593053077</v>
      </c>
      <c r="BA542" s="30">
        <f>IFERROR(__xludf.DUMMYFUNCTION("""COMPUTED_VALUE"""),1700.0)</f>
        <v>1700</v>
      </c>
    </row>
    <row r="543">
      <c r="A543" s="71" t="str">
        <f>IFERROR(__xludf.DUMMYFUNCTION("""COMPUTED_VALUE"""),"Rival")</f>
        <v>Rival</v>
      </c>
      <c r="B543" s="71" t="str">
        <f>IFERROR(__xludf.DUMMYFUNCTION("""COMPUTED_VALUE"""),"RSC005386")</f>
        <v>RSC005386</v>
      </c>
      <c r="C543" s="30" t="str">
        <f>IFERROR(__xludf.DUMMYFUNCTION("""COMPUTED_VALUE"""),"danub")</f>
        <v>danub</v>
      </c>
      <c r="D543" s="30" t="str">
        <f>IFERROR(__xludf.DUMMYFUNCTION("""COMPUTED_VALUE"""),"Phantoms")</f>
        <v>Phantoms</v>
      </c>
      <c r="E543" s="30">
        <f>IFERROR(__xludf.DUMMYFUNCTION("""COMPUTED_VALUE"""),34.0)</f>
        <v>34</v>
      </c>
      <c r="F543" s="30">
        <f>IFERROR(__xludf.DUMMYFUNCTION("""COMPUTED_VALUE"""),11.0)</f>
        <v>11</v>
      </c>
      <c r="G543" s="42">
        <f>IFERROR(__xludf.DUMMYFUNCTION("""COMPUTED_VALUE"""),23.0)</f>
        <v>23</v>
      </c>
      <c r="H543" s="42">
        <f>IFERROR(__xludf.DUMMYFUNCTION("""COMPUTED_VALUE"""),0.3235294117647059)</f>
        <v>0.3235294118</v>
      </c>
      <c r="I543" s="42">
        <f>IFERROR(__xludf.DUMMYFUNCTION("""COMPUTED_VALUE"""),0.3181818181818182)</f>
        <v>0.3181818182</v>
      </c>
      <c r="J543" s="30">
        <f>IFERROR(__xludf.DUMMYFUNCTION("""COMPUTED_VALUE"""),297.88235294117646)</f>
        <v>297.8823529</v>
      </c>
      <c r="K543" s="30">
        <f>IFERROR(__xludf.DUMMYFUNCTION("""COMPUTED_VALUE"""),0.6176470588235294)</f>
        <v>0.6176470588</v>
      </c>
      <c r="L543" s="30">
        <f>IFERROR(__xludf.DUMMYFUNCTION("""COMPUTED_VALUE"""),0.3235294117647059)</f>
        <v>0.3235294118</v>
      </c>
      <c r="M543" s="30">
        <f>IFERROR(__xludf.DUMMYFUNCTION("""COMPUTED_VALUE"""),1.2647058823529411)</f>
        <v>1.264705882</v>
      </c>
      <c r="N543" s="30">
        <f>IFERROR(__xludf.DUMMYFUNCTION("""COMPUTED_VALUE"""),1.9411764705882353)</f>
        <v>1.941176471</v>
      </c>
      <c r="O543" s="30">
        <f>IFERROR(__xludf.DUMMYFUNCTION("""COMPUTED_VALUE"""),372.9019607843136)</f>
        <v>372.9019608</v>
      </c>
      <c r="P543" s="30">
        <f>IFERROR(__xludf.DUMMYFUNCTION("""COMPUTED_VALUE"""),1.0000000000000002)</f>
        <v>1</v>
      </c>
      <c r="Q543" s="30">
        <f>IFERROR(__xludf.DUMMYFUNCTION("""COMPUTED_VALUE"""),0.7352941176470589)</f>
        <v>0.7352941176</v>
      </c>
      <c r="R543" s="30">
        <f>IFERROR(__xludf.DUMMYFUNCTION("""COMPUTED_VALUE"""),1.2254901960784315)</f>
        <v>1.225490196</v>
      </c>
      <c r="S543" s="30">
        <f>IFERROR(__xludf.DUMMYFUNCTION("""COMPUTED_VALUE"""),2.9313725490196076)</f>
        <v>2.931372549</v>
      </c>
      <c r="T543" s="30">
        <f>IFERROR(__xludf.DUMMYFUNCTION("""COMPUTED_VALUE"""),353.1209988819091)</f>
        <v>353.1209989</v>
      </c>
      <c r="U543" s="30">
        <f>IFERROR(__xludf.DUMMYFUNCTION("""COMPUTED_VALUE"""),0.8122499101128603)</f>
        <v>0.8122499101</v>
      </c>
      <c r="V543" s="30">
        <f>IFERROR(__xludf.DUMMYFUNCTION("""COMPUTED_VALUE"""),0.5737612450007585)</f>
        <v>0.573761245</v>
      </c>
      <c r="W543" s="30">
        <f>IFERROR(__xludf.DUMMYFUNCTION("""COMPUTED_VALUE"""),1.3070167461562983)</f>
        <v>1.307016746</v>
      </c>
      <c r="X543" s="30">
        <f>IFERROR(__xludf.DUMMYFUNCTION("""COMPUTED_VALUE"""),2.6690535363154053)</f>
        <v>2.669053536</v>
      </c>
      <c r="Y543" s="30">
        <f>IFERROR(__xludf.DUMMYFUNCTION("""COMPUTED_VALUE"""),344.38457718861514)</f>
        <v>344.3845772</v>
      </c>
      <c r="Z543" s="30">
        <f>IFERROR(__xludf.DUMMYFUNCTION("""COMPUTED_VALUE"""),0.7529101589945231)</f>
        <v>0.752910159</v>
      </c>
      <c r="AA543" s="30">
        <f>IFERROR(__xludf.DUMMYFUNCTION("""COMPUTED_VALUE"""),0.5444088166763329)</f>
        <v>0.5444088167</v>
      </c>
      <c r="AB543" s="30">
        <f>IFERROR(__xludf.DUMMYFUNCTION("""COMPUTED_VALUE"""),1.3460746239227894)</f>
        <v>1.346074624</v>
      </c>
      <c r="AC543" s="30">
        <f>IFERROR(__xludf.DUMMYFUNCTION("""COMPUTED_VALUE"""),2.534163526929716)</f>
        <v>2.534163527</v>
      </c>
      <c r="AD543" s="30">
        <f>IFERROR(__xludf.DUMMYFUNCTION("""COMPUTED_VALUE"""),0.8649700732040332)</f>
        <v>0.8649700732</v>
      </c>
      <c r="AE543" s="30">
        <f>IFERROR(__xludf.DUMMYFUNCTION("""COMPUTED_VALUE"""),0.8203462942356479)</f>
        <v>0.8203462942</v>
      </c>
      <c r="AF543" s="30">
        <f>IFERROR(__xludf.DUMMYFUNCTION("""COMPUTED_VALUE"""),0.5942765837994385)</f>
        <v>0.5942765838</v>
      </c>
      <c r="AG543" s="30">
        <f>IFERROR(__xludf.DUMMYFUNCTION("""COMPUTED_VALUE"""),0.939551091652913)</f>
        <v>0.9395510917</v>
      </c>
      <c r="AH543" s="30">
        <f>IFERROR(__xludf.DUMMYFUNCTION("""COMPUTED_VALUE"""),0.7660028447098999)</f>
        <v>0.7660028447</v>
      </c>
      <c r="AI543" s="30">
        <f>IFERROR(__xludf.DUMMYFUNCTION("""COMPUTED_VALUE"""),1.0560175179755302)</f>
        <v>1.056017518</v>
      </c>
      <c r="AJ543" s="30">
        <f>IFERROR(__xludf.DUMMYFUNCTION("""COMPUTED_VALUE"""),1.2311481817967238)</f>
        <v>1.231148182</v>
      </c>
      <c r="AK543" s="30">
        <f>IFERROR(__xludf.DUMMYFUNCTION("""COMPUTED_VALUE"""),1.2815332580472332)</f>
        <v>1.281533258</v>
      </c>
      <c r="AL543" s="30">
        <f>IFERROR(__xludf.DUMMYFUNCTION("""COMPUTED_VALUE"""),0.9376239437500539)</f>
        <v>0.9376239438</v>
      </c>
      <c r="AM543" s="30">
        <f>IFERROR(__xludf.DUMMYFUNCTION("""COMPUTED_VALUE"""),1.0982816601971688)</f>
        <v>1.09828166</v>
      </c>
      <c r="AN543" s="30">
        <f>IFERROR(__xludf.DUMMYFUNCTION("""COMPUTED_VALUE"""),0.8785099991338737)</f>
        <v>0.8785099991</v>
      </c>
      <c r="AO543" s="30">
        <f>IFERROR(__xludf.DUMMYFUNCTION("""COMPUTED_VALUE"""),0.8304610196844506)</f>
        <v>0.8304610197</v>
      </c>
      <c r="AP543" s="30">
        <f>IFERROR(__xludf.DUMMYFUNCTION("""COMPUTED_VALUE"""),0.5927638255785781)</f>
        <v>0.5927638256</v>
      </c>
      <c r="AQ543" s="30">
        <f>IFERROR(__xludf.DUMMYFUNCTION("""COMPUTED_VALUE"""),0.9670124774197931)</f>
        <v>0.9670124774</v>
      </c>
      <c r="AR543" s="30">
        <f>IFERROR(__xludf.DUMMYFUNCTION("""COMPUTED_VALUE"""),0.7759433514334343)</f>
        <v>0.7759433514</v>
      </c>
      <c r="AS543" s="30">
        <f>IFERROR(__xludf.DUMMYFUNCTION("""COMPUTED_VALUE"""),60.0)</f>
        <v>60</v>
      </c>
      <c r="AT543" s="30">
        <f>IFERROR(__xludf.DUMMYFUNCTION("""COMPUTED_VALUE"""),0.3035203199574521)</f>
        <v>0.30352032</v>
      </c>
      <c r="AU543" s="30">
        <f>IFERROR(__xludf.DUMMYFUNCTION("""COMPUTED_VALUE"""),1.5192683608852902)</f>
        <v>1.519268361</v>
      </c>
      <c r="AV543" s="32">
        <f>IFERROR(__xludf.DUMMYFUNCTION("""COMPUTED_VALUE"""),22.68432805643228)</f>
        <v>22.68432806</v>
      </c>
      <c r="AW543" s="32">
        <f>IFERROR(__xludf.DUMMYFUNCTION("""COMPUTED_VALUE"""),-7.284444453644162)</f>
        <v>-7.284444454</v>
      </c>
      <c r="AX543" s="32">
        <f>IFERROR(__xludf.DUMMYFUNCTION("""COMPUTED_VALUE"""),23.921701298584807)</f>
        <v>23.9217013</v>
      </c>
      <c r="AY543" s="32">
        <f>IFERROR(__xludf.DUMMYFUNCTION("""COMPUTED_VALUE"""),-6.736565587184367)</f>
        <v>-6.736565587</v>
      </c>
      <c r="AZ543" s="30">
        <f>IFERROR(__xludf.DUMMYFUNCTION("""COMPUTED_VALUE"""),0.5478788664597953)</f>
        <v>0.5478788665</v>
      </c>
      <c r="BA543" s="30">
        <f>IFERROR(__xludf.DUMMYFUNCTION("""COMPUTED_VALUE"""),1700.0)</f>
        <v>1700</v>
      </c>
    </row>
    <row r="544">
      <c r="A544" s="71" t="str">
        <f>IFERROR(__xludf.DUMMYFUNCTION("""COMPUTED_VALUE"""),"Rival")</f>
        <v>Rival</v>
      </c>
      <c r="B544" s="71" t="str">
        <f>IFERROR(__xludf.DUMMYFUNCTION("""COMPUTED_VALUE"""),"RSC007767")</f>
        <v>RSC007767</v>
      </c>
      <c r="C544" s="30" t="str">
        <f>IFERROR(__xludf.DUMMYFUNCTION("""COMPUTED_VALUE"""),"SNOWIS")</f>
        <v>SNOWIS</v>
      </c>
      <c r="D544" s="30" t="str">
        <f>IFERROR(__xludf.DUMMYFUNCTION("""COMPUTED_VALUE"""),"Centuriones")</f>
        <v>Centuriones</v>
      </c>
      <c r="E544" s="30">
        <f>IFERROR(__xludf.DUMMYFUNCTION("""COMPUTED_VALUE"""),20.0)</f>
        <v>20</v>
      </c>
      <c r="F544" s="30">
        <f>IFERROR(__xludf.DUMMYFUNCTION("""COMPUTED_VALUE"""),5.0)</f>
        <v>5</v>
      </c>
      <c r="G544" s="42">
        <f>IFERROR(__xludf.DUMMYFUNCTION("""COMPUTED_VALUE"""),15.0)</f>
        <v>15</v>
      </c>
      <c r="H544" s="42">
        <f>IFERROR(__xludf.DUMMYFUNCTION("""COMPUTED_VALUE"""),0.25)</f>
        <v>0.25</v>
      </c>
      <c r="I544" s="42">
        <f>IFERROR(__xludf.DUMMYFUNCTION("""COMPUTED_VALUE"""),0.33333333333333337)</f>
        <v>0.3333333333</v>
      </c>
      <c r="J544" s="30">
        <f>IFERROR(__xludf.DUMMYFUNCTION("""COMPUTED_VALUE"""),353.75)</f>
        <v>353.75</v>
      </c>
      <c r="K544" s="30">
        <f>IFERROR(__xludf.DUMMYFUNCTION("""COMPUTED_VALUE"""),0.65)</f>
        <v>0.65</v>
      </c>
      <c r="L544" s="30">
        <f>IFERROR(__xludf.DUMMYFUNCTION("""COMPUTED_VALUE"""),0.5)</f>
        <v>0.5</v>
      </c>
      <c r="M544" s="30">
        <f>IFERROR(__xludf.DUMMYFUNCTION("""COMPUTED_VALUE"""),1.6)</f>
        <v>1.6</v>
      </c>
      <c r="N544" s="30">
        <f>IFERROR(__xludf.DUMMYFUNCTION("""COMPUTED_VALUE"""),1.95)</f>
        <v>1.95</v>
      </c>
      <c r="O544" s="30">
        <f>IFERROR(__xludf.DUMMYFUNCTION("""COMPUTED_VALUE"""),370.6166666666667)</f>
        <v>370.6166667</v>
      </c>
      <c r="P544" s="30">
        <f>IFERROR(__xludf.DUMMYFUNCTION("""COMPUTED_VALUE"""),0.9166666666666667)</f>
        <v>0.9166666667</v>
      </c>
      <c r="Q544" s="30">
        <f>IFERROR(__xludf.DUMMYFUNCTION("""COMPUTED_VALUE"""),0.6666666666666667)</f>
        <v>0.6666666667</v>
      </c>
      <c r="R544" s="30">
        <f>IFERROR(__xludf.DUMMYFUNCTION("""COMPUTED_VALUE"""),1.1833333333333333)</f>
        <v>1.183333333</v>
      </c>
      <c r="S544" s="30">
        <f>IFERROR(__xludf.DUMMYFUNCTION("""COMPUTED_VALUE"""),2.8666666666666667)</f>
        <v>2.866666667</v>
      </c>
      <c r="T544" s="30">
        <f>IFERROR(__xludf.DUMMYFUNCTION("""COMPUTED_VALUE"""),356.91289043970073)</f>
        <v>356.9128904</v>
      </c>
      <c r="U544" s="30">
        <f>IFERROR(__xludf.DUMMYFUNCTION("""COMPUTED_VALUE"""),0.873201900270866)</f>
        <v>0.8732019003</v>
      </c>
      <c r="V544" s="30">
        <f>IFERROR(__xludf.DUMMYFUNCTION("""COMPUTED_VALUE"""),0.5855020554158485)</f>
        <v>0.5855020554</v>
      </c>
      <c r="W544" s="30">
        <f>IFERROR(__xludf.DUMMYFUNCTION("""COMPUTED_VALUE"""),1.2409106538416885)</f>
        <v>1.240910654</v>
      </c>
      <c r="X544" s="30">
        <f>IFERROR(__xludf.DUMMYFUNCTION("""COMPUTED_VALUE"""),2.6182301446956635)</f>
        <v>2.618230145</v>
      </c>
      <c r="Y544" s="30">
        <f>IFERROR(__xludf.DUMMYFUNCTION("""COMPUTED_VALUE"""),338.98852338912695)</f>
        <v>338.9885234</v>
      </c>
      <c r="Z544" s="30">
        <f>IFERROR(__xludf.DUMMYFUNCTION("""COMPUTED_VALUE"""),0.7072325280083901)</f>
        <v>0.707232528</v>
      </c>
      <c r="AA544" s="30">
        <f>IFERROR(__xludf.DUMMYFUNCTION("""COMPUTED_VALUE"""),0.5224561379446439)</f>
        <v>0.5224561379</v>
      </c>
      <c r="AB544" s="30">
        <f>IFERROR(__xludf.DUMMYFUNCTION("""COMPUTED_VALUE"""),1.3309446917492893)</f>
        <v>1.330944692</v>
      </c>
      <c r="AC544" s="30">
        <f>IFERROR(__xludf.DUMMYFUNCTION("""COMPUTED_VALUE"""),2.4199560869101107)</f>
        <v>2.419956087</v>
      </c>
      <c r="AD544" s="30">
        <f>IFERROR(__xludf.DUMMYFUNCTION("""COMPUTED_VALUE"""),1.0435456530011438)</f>
        <v>1.043545653</v>
      </c>
      <c r="AE544" s="30">
        <f>IFERROR(__xludf.DUMMYFUNCTION("""COMPUTED_VALUE"""),0.9190753737394399)</f>
        <v>0.9190753737</v>
      </c>
      <c r="AF544" s="30">
        <f>IFERROR(__xludf.DUMMYFUNCTION("""COMPUTED_VALUE"""),0.9570181373828109)</f>
        <v>0.9570181374</v>
      </c>
      <c r="AG544" s="30">
        <f>IFERROR(__xludf.DUMMYFUNCTION("""COMPUTED_VALUE"""),1.2021536356233449)</f>
        <v>1.202153636</v>
      </c>
      <c r="AH544" s="30">
        <f>IFERROR(__xludf.DUMMYFUNCTION("""COMPUTED_VALUE"""),0.8057997459325107)</f>
        <v>0.8057997459</v>
      </c>
      <c r="AI544" s="30">
        <f>IFERROR(__xludf.DUMMYFUNCTION("""COMPUTED_VALUE"""),1.0383952964267653)</f>
        <v>1.038395296</v>
      </c>
      <c r="AJ544" s="30">
        <f>IFERROR(__xludf.DUMMYFUNCTION("""COMPUTED_VALUE"""),1.049776307612613)</f>
        <v>1.049776308</v>
      </c>
      <c r="AK544" s="30">
        <f>IFERROR(__xludf.DUMMYFUNCTION("""COMPUTED_VALUE"""),1.1386239561416598)</f>
        <v>1.138623956</v>
      </c>
      <c r="AL544" s="30">
        <f>IFERROR(__xludf.DUMMYFUNCTION("""COMPUTED_VALUE"""),0.9536007525359672)</f>
        <v>0.9536007525</v>
      </c>
      <c r="AM544" s="30">
        <f>IFERROR(__xludf.DUMMYFUNCTION("""COMPUTED_VALUE"""),1.0948871979318995)</f>
        <v>1.094887198</v>
      </c>
      <c r="AN544" s="30">
        <f>IFERROR(__xludf.DUMMYFUNCTION("""COMPUTED_VALUE"""),1.043273994330832)</f>
        <v>1.043273994</v>
      </c>
      <c r="AO544" s="30">
        <f>IFERROR(__xludf.DUMMYFUNCTION("""COMPUTED_VALUE"""),0.8739613588107791)</f>
        <v>0.8739613588</v>
      </c>
      <c r="AP544" s="30">
        <f>IFERROR(__xludf.DUMMYFUNCTION("""COMPUTED_VALUE"""),0.9160895486214388)</f>
        <v>0.9160895486</v>
      </c>
      <c r="AQ544" s="30">
        <f>IFERROR(__xludf.DUMMYFUNCTION("""COMPUTED_VALUE"""),1.2233832272473664)</f>
        <v>1.223383227</v>
      </c>
      <c r="AR544" s="30">
        <f>IFERROR(__xludf.DUMMYFUNCTION("""COMPUTED_VALUE"""),0.7794703666672227)</f>
        <v>0.7794703667</v>
      </c>
      <c r="AS544" s="30">
        <f>IFERROR(__xludf.DUMMYFUNCTION("""COMPUTED_VALUE"""),36.0)</f>
        <v>36</v>
      </c>
      <c r="AT544" s="30">
        <f>IFERROR(__xludf.DUMMYFUNCTION("""COMPUTED_VALUE"""),0.3419371283338566)</f>
        <v>0.3419371283</v>
      </c>
      <c r="AU544" s="30">
        <f>IFERROR(__xludf.DUMMYFUNCTION("""COMPUTED_VALUE"""),2.168980263643385)</f>
        <v>2.168980264</v>
      </c>
      <c r="AV544" s="32">
        <f>IFERROR(__xludf.DUMMYFUNCTION("""COMPUTED_VALUE"""),41.285563533402595)</f>
        <v>41.28556353</v>
      </c>
      <c r="AW544" s="32">
        <f>IFERROR(__xludf.DUMMYFUNCTION("""COMPUTED_VALUE"""),-2.7494940648970014)</f>
        <v>-2.749494065</v>
      </c>
      <c r="AX544" s="32">
        <f>IFERROR(__xludf.DUMMYFUNCTION("""COMPUTED_VALUE"""),46.583864336601685)</f>
        <v>46.58386434</v>
      </c>
      <c r="AY544" s="32">
        <f>IFERROR(__xludf.DUMMYFUNCTION("""COMPUTED_VALUE"""),-2.243885520613654)</f>
        <v>-2.243885521</v>
      </c>
      <c r="AZ544" s="30">
        <f>IFERROR(__xludf.DUMMYFUNCTION("""COMPUTED_VALUE"""),0.5056085442833473)</f>
        <v>0.5056085443</v>
      </c>
      <c r="BA544" s="30">
        <f>IFERROR(__xludf.DUMMYFUNCTION("""COMPUTED_VALUE"""),1700.0)</f>
        <v>1700</v>
      </c>
    </row>
    <row r="545">
      <c r="A545" s="71" t="str">
        <f>IFERROR(__xludf.DUMMYFUNCTION("""COMPUTED_VALUE"""),"Rival")</f>
        <v>Rival</v>
      </c>
      <c r="B545" s="71" t="str">
        <f>IFERROR(__xludf.DUMMYFUNCTION("""COMPUTED_VALUE"""),"RSC000136")</f>
        <v>RSC000136</v>
      </c>
      <c r="C545" s="30" t="str">
        <f>IFERROR(__xludf.DUMMYFUNCTION("""COMPUTED_VALUE"""),"Blun")</f>
        <v>Blun</v>
      </c>
      <c r="D545" s="30" t="str">
        <f>IFERROR(__xludf.DUMMYFUNCTION("""COMPUTED_VALUE"""),"Tyrants")</f>
        <v>Tyrants</v>
      </c>
      <c r="E545" s="30">
        <f>IFERROR(__xludf.DUMMYFUNCTION("""COMPUTED_VALUE"""),42.0)</f>
        <v>42</v>
      </c>
      <c r="F545" s="30">
        <f>IFERROR(__xludf.DUMMYFUNCTION("""COMPUTED_VALUE"""),19.0)</f>
        <v>19</v>
      </c>
      <c r="G545" s="42">
        <f>IFERROR(__xludf.DUMMYFUNCTION("""COMPUTED_VALUE"""),23.0)</f>
        <v>23</v>
      </c>
      <c r="H545" s="42">
        <f>IFERROR(__xludf.DUMMYFUNCTION("""COMPUTED_VALUE"""),0.4523809523809524)</f>
        <v>0.4523809524</v>
      </c>
      <c r="I545" s="42">
        <f>IFERROR(__xludf.DUMMYFUNCTION("""COMPUTED_VALUE"""),0.3391304347826087)</f>
        <v>0.3391304348</v>
      </c>
      <c r="J545" s="30">
        <f>IFERROR(__xludf.DUMMYFUNCTION("""COMPUTED_VALUE"""),340.76190476190476)</f>
        <v>340.7619048</v>
      </c>
      <c r="K545" s="30">
        <f>IFERROR(__xludf.DUMMYFUNCTION("""COMPUTED_VALUE"""),0.9285714285714286)</f>
        <v>0.9285714286</v>
      </c>
      <c r="L545" s="30">
        <f>IFERROR(__xludf.DUMMYFUNCTION("""COMPUTED_VALUE"""),0.38095238095238093)</f>
        <v>0.380952381</v>
      </c>
      <c r="M545" s="30">
        <f>IFERROR(__xludf.DUMMYFUNCTION("""COMPUTED_VALUE"""),1.0714285714285714)</f>
        <v>1.071428571</v>
      </c>
      <c r="N545" s="30">
        <f>IFERROR(__xludf.DUMMYFUNCTION("""COMPUTED_VALUE"""),2.738095238095238)</f>
        <v>2.738095238</v>
      </c>
      <c r="O545" s="30">
        <f>IFERROR(__xludf.DUMMYFUNCTION("""COMPUTED_VALUE"""),344.6507936507937)</f>
        <v>344.6507937</v>
      </c>
      <c r="P545" s="30">
        <f>IFERROR(__xludf.DUMMYFUNCTION("""COMPUTED_VALUE"""),0.8253968253968255)</f>
        <v>0.8253968254</v>
      </c>
      <c r="Q545" s="30">
        <f>IFERROR(__xludf.DUMMYFUNCTION("""COMPUTED_VALUE"""),0.6507936507936508)</f>
        <v>0.6507936508</v>
      </c>
      <c r="R545" s="30">
        <f>IFERROR(__xludf.DUMMYFUNCTION("""COMPUTED_VALUE"""),1.0555555555555554)</f>
        <v>1.055555556</v>
      </c>
      <c r="S545" s="30">
        <f>IFERROR(__xludf.DUMMYFUNCTION("""COMPUTED_VALUE"""),2.5873015873015874)</f>
        <v>2.587301587</v>
      </c>
      <c r="T545" s="30">
        <f>IFERROR(__xludf.DUMMYFUNCTION("""COMPUTED_VALUE"""),349.10056117851957)</f>
        <v>349.1005612</v>
      </c>
      <c r="U545" s="30">
        <f>IFERROR(__xludf.DUMMYFUNCTION("""COMPUTED_VALUE"""),0.772317727271917)</f>
        <v>0.7723177273</v>
      </c>
      <c r="V545" s="30">
        <f>IFERROR(__xludf.DUMMYFUNCTION("""COMPUTED_VALUE"""),0.5621681250311114)</f>
        <v>0.562168125</v>
      </c>
      <c r="W545" s="30">
        <f>IFERROR(__xludf.DUMMYFUNCTION("""COMPUTED_VALUE"""),1.346952435612505)</f>
        <v>1.346952436</v>
      </c>
      <c r="X545" s="30">
        <f>IFERROR(__xludf.DUMMYFUNCTION("""COMPUTED_VALUE"""),2.5761269330208605)</f>
        <v>2.576126933</v>
      </c>
      <c r="Y545" s="30">
        <f>IFERROR(__xludf.DUMMYFUNCTION("""COMPUTED_VALUE"""),348.7755273264488)</f>
        <v>348.7755273</v>
      </c>
      <c r="Z545" s="30">
        <f>IFERROR(__xludf.DUMMYFUNCTION("""COMPUTED_VALUE"""),0.784648693465966)</f>
        <v>0.7846486935</v>
      </c>
      <c r="AA545" s="30">
        <f>IFERROR(__xludf.DUMMYFUNCTION("""COMPUTED_VALUE"""),0.5637392039348859)</f>
        <v>0.5637392039</v>
      </c>
      <c r="AB545" s="30">
        <f>IFERROR(__xludf.DUMMYFUNCTION("""COMPUTED_VALUE"""),1.3145464023325881)</f>
        <v>1.314546402</v>
      </c>
      <c r="AC545" s="30">
        <f>IFERROR(__xludf.DUMMYFUNCTION("""COMPUTED_VALUE"""),2.5440694968311988)</f>
        <v>2.544069497</v>
      </c>
      <c r="AD545" s="30">
        <f>IFERROR(__xludf.DUMMYFUNCTION("""COMPUTED_VALUE"""),0.9770235525813042)</f>
        <v>0.9770235526</v>
      </c>
      <c r="AE545" s="30">
        <f>IFERROR(__xludf.DUMMYFUNCTION("""COMPUTED_VALUE"""),1.1834231501357941)</f>
        <v>1.18342315</v>
      </c>
      <c r="AF545" s="30">
        <f>IFERROR(__xludf.DUMMYFUNCTION("""COMPUTED_VALUE"""),0.675759958316439)</f>
        <v>0.6757599583</v>
      </c>
      <c r="AG545" s="30">
        <f>IFERROR(__xludf.DUMMYFUNCTION("""COMPUTED_VALUE"""),0.8150557253265325)</f>
        <v>0.8150557253</v>
      </c>
      <c r="AH545" s="30">
        <f>IFERROR(__xludf.DUMMYFUNCTION("""COMPUTED_VALUE"""),1.0762658966296756)</f>
        <v>1.076265897</v>
      </c>
      <c r="AI545" s="30">
        <f>IFERROR(__xludf.DUMMYFUNCTION("""COMPUTED_VALUE"""),0.987253622530127)</f>
        <v>0.9872536225</v>
      </c>
      <c r="AJ545" s="30">
        <f>IFERROR(__xludf.DUMMYFUNCTION("""COMPUTED_VALUE"""),1.0687270228956176)</f>
        <v>1.068727023</v>
      </c>
      <c r="AK545" s="30">
        <f>IFERROR(__xludf.DUMMYFUNCTION("""COMPUTED_VALUE"""),1.1576495034428265)</f>
        <v>1.157649503</v>
      </c>
      <c r="AL545" s="30">
        <f>IFERROR(__xludf.DUMMYFUNCTION("""COMPUTED_VALUE"""),0.7836620860895941)</f>
        <v>0.7836620861</v>
      </c>
      <c r="AM545" s="30">
        <f>IFERROR(__xludf.DUMMYFUNCTION("""COMPUTED_VALUE"""),1.004337773165402)</f>
        <v>1.004337773</v>
      </c>
      <c r="AN545" s="30">
        <f>IFERROR(__xludf.DUMMYFUNCTION("""COMPUTED_VALUE"""),1.0049697059978373)</f>
        <v>1.004969706</v>
      </c>
      <c r="AO545" s="30">
        <f>IFERROR(__xludf.DUMMYFUNCTION("""COMPUTED_VALUE"""),1.2485162268725414)</f>
        <v>1.248516227</v>
      </c>
      <c r="AP545" s="30">
        <f>IFERROR(__xludf.DUMMYFUNCTION("""COMPUTED_VALUE"""),0.6979729894258581)</f>
        <v>0.6979729894</v>
      </c>
      <c r="AQ545" s="30">
        <f>IFERROR(__xludf.DUMMYFUNCTION("""COMPUTED_VALUE"""),0.8192298396745756)</f>
        <v>0.8192298397</v>
      </c>
      <c r="AR545" s="30">
        <f>IFERROR(__xludf.DUMMYFUNCTION("""COMPUTED_VALUE"""),1.0944944098501905)</f>
        <v>1.09449441</v>
      </c>
      <c r="AS545" s="30">
        <f>IFERROR(__xludf.DUMMYFUNCTION("""COMPUTED_VALUE"""),80.0)</f>
        <v>80</v>
      </c>
      <c r="AT545" s="30">
        <f>IFERROR(__xludf.DUMMYFUNCTION("""COMPUTED_VALUE"""),0.4010963918797235)</f>
        <v>0.4010963919</v>
      </c>
      <c r="AU545" s="30">
        <f>IFERROR(__xludf.DUMMYFUNCTION("""COMPUTED_VALUE"""),2.5817435702943965)</f>
        <v>2.58174357</v>
      </c>
      <c r="AV545" s="32">
        <f>IFERROR(__xludf.DUMMYFUNCTION("""COMPUTED_VALUE"""),53.10296664803673)</f>
        <v>53.10296665</v>
      </c>
      <c r="AW545" s="32">
        <f>IFERROR(__xludf.DUMMYFUNCTION("""COMPUTED_VALUE"""),2.2192107060241035)</f>
        <v>2.219210706</v>
      </c>
      <c r="AX545" s="32">
        <f>IFERROR(__xludf.DUMMYFUNCTION("""COMPUTED_VALUE"""),58.490114035847355)</f>
        <v>58.49011404</v>
      </c>
      <c r="AY545" s="32">
        <f>IFERROR(__xludf.DUMMYFUNCTION("""COMPUTED_VALUE"""),2.724222801701698)</f>
        <v>2.724222802</v>
      </c>
      <c r="AZ545" s="30">
        <f>IFERROR(__xludf.DUMMYFUNCTION("""COMPUTED_VALUE"""),0.5050120956775945)</f>
        <v>0.5050120957</v>
      </c>
      <c r="BA545" s="30">
        <f>IFERROR(__xludf.DUMMYFUNCTION("""COMPUTED_VALUE"""),1700.0)</f>
        <v>1700</v>
      </c>
    </row>
    <row r="546">
      <c r="A546" s="71" t="str">
        <f>IFERROR(__xludf.DUMMYFUNCTION("""COMPUTED_VALUE"""),"Rival")</f>
        <v>Rival</v>
      </c>
      <c r="B546" s="71" t="str">
        <f>IFERROR(__xludf.DUMMYFUNCTION("""COMPUTED_VALUE"""),"RSC006209")</f>
        <v>RSC006209</v>
      </c>
      <c r="C546" s="30" t="str">
        <f>IFERROR(__xludf.DUMMYFUNCTION("""COMPUTED_VALUE"""),"Celiscy")</f>
        <v>Celiscy</v>
      </c>
      <c r="D546" s="30" t="str">
        <f>IFERROR(__xludf.DUMMYFUNCTION("""COMPUTED_VALUE"""),"Jetstream")</f>
        <v>Jetstream</v>
      </c>
      <c r="E546" s="30">
        <f>IFERROR(__xludf.DUMMYFUNCTION("""COMPUTED_VALUE"""),47.0)</f>
        <v>47</v>
      </c>
      <c r="F546" s="30">
        <f>IFERROR(__xludf.DUMMYFUNCTION("""COMPUTED_VALUE"""),21.0)</f>
        <v>21</v>
      </c>
      <c r="G546" s="42">
        <f>IFERROR(__xludf.DUMMYFUNCTION("""COMPUTED_VALUE"""),26.0)</f>
        <v>26</v>
      </c>
      <c r="H546" s="42">
        <f>IFERROR(__xludf.DUMMYFUNCTION("""COMPUTED_VALUE"""),0.44680851063829785)</f>
        <v>0.4468085106</v>
      </c>
      <c r="I546" s="42">
        <f>IFERROR(__xludf.DUMMYFUNCTION("""COMPUTED_VALUE"""),0.24324324324324326)</f>
        <v>0.2432432432</v>
      </c>
      <c r="J546" s="30">
        <f>IFERROR(__xludf.DUMMYFUNCTION("""COMPUTED_VALUE"""),322.8085106382979)</f>
        <v>322.8085106</v>
      </c>
      <c r="K546" s="30">
        <f>IFERROR(__xludf.DUMMYFUNCTION("""COMPUTED_VALUE"""),0.574468085106383)</f>
        <v>0.5744680851</v>
      </c>
      <c r="L546" s="30">
        <f>IFERROR(__xludf.DUMMYFUNCTION("""COMPUTED_VALUE"""),0.723404255319149)</f>
        <v>0.7234042553</v>
      </c>
      <c r="M546" s="30">
        <f>IFERROR(__xludf.DUMMYFUNCTION("""COMPUTED_VALUE"""),1.3191489361702127)</f>
        <v>1.319148936</v>
      </c>
      <c r="N546" s="30">
        <f>IFERROR(__xludf.DUMMYFUNCTION("""COMPUTED_VALUE"""),2.3617021276595747)</f>
        <v>2.361702128</v>
      </c>
      <c r="O546" s="30">
        <f>IFERROR(__xludf.DUMMYFUNCTION("""COMPUTED_VALUE"""),341.68794326241135)</f>
        <v>341.6879433</v>
      </c>
      <c r="P546" s="30">
        <f>IFERROR(__xludf.DUMMYFUNCTION("""COMPUTED_VALUE"""),0.6879432624113474)</f>
        <v>0.6879432624</v>
      </c>
      <c r="Q546" s="30">
        <f>IFERROR(__xludf.DUMMYFUNCTION("""COMPUTED_VALUE"""),0.5106382978723405)</f>
        <v>0.5106382979</v>
      </c>
      <c r="R546" s="30">
        <f>IFERROR(__xludf.DUMMYFUNCTION("""COMPUTED_VALUE"""),1.3475177304964538)</f>
        <v>1.34751773</v>
      </c>
      <c r="S546" s="30">
        <f>IFERROR(__xludf.DUMMYFUNCTION("""COMPUTED_VALUE"""),2.546099290780142)</f>
        <v>2.546099291</v>
      </c>
      <c r="T546" s="30">
        <f>IFERROR(__xludf.DUMMYFUNCTION("""COMPUTED_VALUE"""),345.41823453222884)</f>
        <v>345.4182345</v>
      </c>
      <c r="U546" s="30">
        <f>IFERROR(__xludf.DUMMYFUNCTION("""COMPUTED_VALUE"""),0.7559590754962932)</f>
        <v>0.7559590755</v>
      </c>
      <c r="V546" s="30">
        <f>IFERROR(__xludf.DUMMYFUNCTION("""COMPUTED_VALUE"""),0.541466474949046)</f>
        <v>0.5414664749</v>
      </c>
      <c r="W546" s="30">
        <f>IFERROR(__xludf.DUMMYFUNCTION("""COMPUTED_VALUE"""),1.3265937109684125)</f>
        <v>1.326593711</v>
      </c>
      <c r="X546" s="30">
        <f>IFERROR(__xludf.DUMMYFUNCTION("""COMPUTED_VALUE"""),2.5253767920427572)</f>
        <v>2.525376792</v>
      </c>
      <c r="Y546" s="30">
        <f>IFERROR(__xludf.DUMMYFUNCTION("""COMPUTED_VALUE"""),352.6771649870999)</f>
        <v>352.677165</v>
      </c>
      <c r="Z546" s="30">
        <f>IFERROR(__xludf.DUMMYFUNCTION("""COMPUTED_VALUE"""),0.8204424208321635)</f>
        <v>0.8204424208</v>
      </c>
      <c r="AA546" s="30">
        <f>IFERROR(__xludf.DUMMYFUNCTION("""COMPUTED_VALUE"""),0.5877480342909257)</f>
        <v>0.5877480343</v>
      </c>
      <c r="AB546" s="30">
        <f>IFERROR(__xludf.DUMMYFUNCTION("""COMPUTED_VALUE"""),1.2889054967359734)</f>
        <v>1.288905497</v>
      </c>
      <c r="AC546" s="30">
        <f>IFERROR(__xludf.DUMMYFUNCTION("""COMPUTED_VALUE"""),2.6687191054234867)</f>
        <v>2.668719105</v>
      </c>
      <c r="AD546" s="30">
        <f>IFERROR(__xludf.DUMMYFUNCTION("""COMPUTED_VALUE"""),0.9153087942342552)</f>
        <v>0.9153087942</v>
      </c>
      <c r="AE546" s="30">
        <f>IFERROR(__xludf.DUMMYFUNCTION("""COMPUTED_VALUE"""),0.7001930550150101)</f>
        <v>0.700193055</v>
      </c>
      <c r="AF546" s="30">
        <f>IFERROR(__xludf.DUMMYFUNCTION("""COMPUTED_VALUE"""),1.2308067626153483)</f>
        <v>1.230806763</v>
      </c>
      <c r="AG546" s="30">
        <f>IFERROR(__xludf.DUMMYFUNCTION("""COMPUTED_VALUE"""),1.0234644351434825)</f>
        <v>1.023464435</v>
      </c>
      <c r="AH546" s="30">
        <f>IFERROR(__xludf.DUMMYFUNCTION("""COMPUTED_VALUE"""),0.8849571777187121)</f>
        <v>0.8849571777</v>
      </c>
      <c r="AI546" s="30">
        <f>IFERROR(__xludf.DUMMYFUNCTION("""COMPUTED_VALUE"""),0.9892006533040472)</f>
        <v>0.9892006533</v>
      </c>
      <c r="AJ546" s="30">
        <f>IFERROR(__xludf.DUMMYFUNCTION("""COMPUTED_VALUE"""),0.91002712277739)</f>
        <v>0.9100271228</v>
      </c>
      <c r="AK546" s="30">
        <f>IFERROR(__xludf.DUMMYFUNCTION("""COMPUTED_VALUE"""),0.9430654001623895)</f>
        <v>0.9430654002</v>
      </c>
      <c r="AL546" s="30">
        <f>IFERROR(__xludf.DUMMYFUNCTION("""COMPUTED_VALUE"""),1.0157727413864843)</f>
        <v>1.015772741</v>
      </c>
      <c r="AM546" s="30">
        <f>IFERROR(__xludf.DUMMYFUNCTION("""COMPUTED_VALUE"""),1.0082057057001077)</f>
        <v>1.008205706</v>
      </c>
      <c r="AN546" s="30">
        <f>IFERROR(__xludf.DUMMYFUNCTION("""COMPUTED_VALUE"""),0.9520218354702584)</f>
        <v>0.9520218355</v>
      </c>
      <c r="AO546" s="30">
        <f>IFERROR(__xludf.DUMMYFUNCTION("""COMPUTED_VALUE"""),0.7724044742353857)</f>
        <v>0.7724044742</v>
      </c>
      <c r="AP546" s="30">
        <f>IFERROR(__xludf.DUMMYFUNCTION("""COMPUTED_VALUE"""),1.3254061554522945)</f>
        <v>1.325406155</v>
      </c>
      <c r="AQ546" s="30">
        <f>IFERROR(__xludf.DUMMYFUNCTION("""COMPUTED_VALUE"""),1.008640426719903)</f>
        <v>1.008640427</v>
      </c>
      <c r="AR546" s="30">
        <f>IFERROR(__xludf.DUMMYFUNCTION("""COMPUTED_VALUE"""),0.9440393966182403)</f>
        <v>0.9440393966</v>
      </c>
      <c r="AS546" s="30">
        <f>IFERROR(__xludf.DUMMYFUNCTION("""COMPUTED_VALUE"""),113.0)</f>
        <v>113</v>
      </c>
      <c r="AT546" s="30">
        <f>IFERROR(__xludf.DUMMYFUNCTION("""COMPUTED_VALUE"""),0.5583864754856063)</f>
        <v>0.5583864755</v>
      </c>
      <c r="AU546" s="30">
        <f>IFERROR(__xludf.DUMMYFUNCTION("""COMPUTED_VALUE"""),2.38712322829358)</f>
        <v>2.387123228</v>
      </c>
      <c r="AV546" s="32">
        <f>IFERROR(__xludf.DUMMYFUNCTION("""COMPUTED_VALUE"""),47.530991138895445)</f>
        <v>47.53099114</v>
      </c>
      <c r="AW546" s="32">
        <f>IFERROR(__xludf.DUMMYFUNCTION("""COMPUTED_VALUE"""),-2.1707782812685905)</f>
        <v>-2.170778281</v>
      </c>
      <c r="AX546" s="32">
        <f>IFERROR(__xludf.DUMMYFUNCTION("""COMPUTED_VALUE"""),42.10336016490609)</f>
        <v>42.10336016</v>
      </c>
      <c r="AY546" s="32">
        <f>IFERROR(__xludf.DUMMYFUNCTION("""COMPUTED_VALUE"""),-2.659204837233914)</f>
        <v>-2.659204837</v>
      </c>
      <c r="AZ546" s="30">
        <f>IFERROR(__xludf.DUMMYFUNCTION("""COMPUTED_VALUE"""),0.4884265559653236)</f>
        <v>0.488426556</v>
      </c>
      <c r="BA546" s="30">
        <f>IFERROR(__xludf.DUMMYFUNCTION("""COMPUTED_VALUE"""),1700.0)</f>
        <v>1700</v>
      </c>
    </row>
    <row r="547">
      <c r="A547" s="71" t="str">
        <f>IFERROR(__xludf.DUMMYFUNCTION("""COMPUTED_VALUE"""),"Rival")</f>
        <v>Rival</v>
      </c>
      <c r="B547" s="71" t="str">
        <f>IFERROR(__xludf.DUMMYFUNCTION("""COMPUTED_VALUE"""),"RSC003118")</f>
        <v>RSC003118</v>
      </c>
      <c r="C547" s="30" t="str">
        <f>IFERROR(__xludf.DUMMYFUNCTION("""COMPUTED_VALUE"""),"Mysty")</f>
        <v>Mysty</v>
      </c>
      <c r="D547" s="30" t="str">
        <f>IFERROR(__xludf.DUMMYFUNCTION("""COMPUTED_VALUE"""),"Necrotic Nerds")</f>
        <v>Necrotic Nerds</v>
      </c>
      <c r="E547" s="30">
        <f>IFERROR(__xludf.DUMMYFUNCTION("""COMPUTED_VALUE"""),37.0)</f>
        <v>37</v>
      </c>
      <c r="F547" s="30">
        <f>IFERROR(__xludf.DUMMYFUNCTION("""COMPUTED_VALUE"""),14.0)</f>
        <v>14</v>
      </c>
      <c r="G547" s="42">
        <f>IFERROR(__xludf.DUMMYFUNCTION("""COMPUTED_VALUE"""),23.0)</f>
        <v>23</v>
      </c>
      <c r="H547" s="42">
        <f>IFERROR(__xludf.DUMMYFUNCTION("""COMPUTED_VALUE"""),0.3783783783783784)</f>
        <v>0.3783783784</v>
      </c>
      <c r="I547" s="42">
        <f>IFERROR(__xludf.DUMMYFUNCTION("""COMPUTED_VALUE"""),0.2823529411764706)</f>
        <v>0.2823529412</v>
      </c>
      <c r="J547" s="30">
        <f>IFERROR(__xludf.DUMMYFUNCTION("""COMPUTED_VALUE"""),305.9189189189189)</f>
        <v>305.9189189</v>
      </c>
      <c r="K547" s="30">
        <f>IFERROR(__xludf.DUMMYFUNCTION("""COMPUTED_VALUE"""),0.6486486486486487)</f>
        <v>0.6486486486</v>
      </c>
      <c r="L547" s="30">
        <f>IFERROR(__xludf.DUMMYFUNCTION("""COMPUTED_VALUE"""),0.7027027027027027)</f>
        <v>0.7027027027</v>
      </c>
      <c r="M547" s="30">
        <f>IFERROR(__xludf.DUMMYFUNCTION("""COMPUTED_VALUE"""),1.0)</f>
        <v>1</v>
      </c>
      <c r="N547" s="30">
        <f>IFERROR(__xludf.DUMMYFUNCTION("""COMPUTED_VALUE"""),2.2972972972972974)</f>
        <v>2.297297297</v>
      </c>
      <c r="O547" s="30">
        <f>IFERROR(__xludf.DUMMYFUNCTION("""COMPUTED_VALUE"""),372.2522522522523)</f>
        <v>372.2522523</v>
      </c>
      <c r="P547" s="30">
        <f>IFERROR(__xludf.DUMMYFUNCTION("""COMPUTED_VALUE"""),1.009009009009009)</f>
        <v>1.009009009</v>
      </c>
      <c r="Q547" s="30">
        <f>IFERROR(__xludf.DUMMYFUNCTION("""COMPUTED_VALUE"""),0.6486486486486488)</f>
        <v>0.6486486486</v>
      </c>
      <c r="R547" s="30">
        <f>IFERROR(__xludf.DUMMYFUNCTION("""COMPUTED_VALUE"""),1.1891891891891893)</f>
        <v>1.189189189</v>
      </c>
      <c r="S547" s="30">
        <f>IFERROR(__xludf.DUMMYFUNCTION("""COMPUTED_VALUE"""),2.720720720720722)</f>
        <v>2.720720721</v>
      </c>
      <c r="T547" s="30">
        <f>IFERROR(__xludf.DUMMYFUNCTION("""COMPUTED_VALUE"""),338.6682056485938)</f>
        <v>338.6682056</v>
      </c>
      <c r="U547" s="30">
        <f>IFERROR(__xludf.DUMMYFUNCTION("""COMPUTED_VALUE"""),0.7844915540557249)</f>
        <v>0.7844915541</v>
      </c>
      <c r="V547" s="30">
        <f>IFERROR(__xludf.DUMMYFUNCTION("""COMPUTED_VALUE"""),0.5565965652687431)</f>
        <v>0.5565965653</v>
      </c>
      <c r="W547" s="30">
        <f>IFERROR(__xludf.DUMMYFUNCTION("""COMPUTED_VALUE"""),1.2663980821539877)</f>
        <v>1.266398082</v>
      </c>
      <c r="X547" s="30">
        <f>IFERROR(__xludf.DUMMYFUNCTION("""COMPUTED_VALUE"""),2.54096175975065)</f>
        <v>2.54096176</v>
      </c>
      <c r="Y547" s="30">
        <f>IFERROR(__xludf.DUMMYFUNCTION("""COMPUTED_VALUE"""),352.48951021431054)</f>
        <v>352.4895102</v>
      </c>
      <c r="Z547" s="30">
        <f>IFERROR(__xludf.DUMMYFUNCTION("""COMPUTED_VALUE"""),0.8333504336470119)</f>
        <v>0.8333504336</v>
      </c>
      <c r="AA547" s="30">
        <f>IFERROR(__xludf.DUMMYFUNCTION("""COMPUTED_VALUE"""),0.5781894549404295)</f>
        <v>0.5781894549</v>
      </c>
      <c r="AB547" s="30">
        <f>IFERROR(__xludf.DUMMYFUNCTION("""COMPUTED_VALUE"""),1.316859310420422)</f>
        <v>1.31685931</v>
      </c>
      <c r="AC547" s="30">
        <f>IFERROR(__xludf.DUMMYFUNCTION("""COMPUTED_VALUE"""),2.601773832542419)</f>
        <v>2.601773833</v>
      </c>
      <c r="AD547" s="30">
        <f>IFERROR(__xludf.DUMMYFUNCTION("""COMPUTED_VALUE"""),0.8678809157552599)</f>
        <v>0.8678809158</v>
      </c>
      <c r="AE547" s="30">
        <f>IFERROR(__xludf.DUMMYFUNCTION("""COMPUTED_VALUE"""),0.7783624060888188)</f>
        <v>0.7783624061</v>
      </c>
      <c r="AF547" s="30">
        <f>IFERROR(__xludf.DUMMYFUNCTION("""COMPUTED_VALUE"""),1.2153502570798387)</f>
        <v>1.215350257</v>
      </c>
      <c r="AG547" s="30">
        <f>IFERROR(__xludf.DUMMYFUNCTION("""COMPUTED_VALUE"""),0.7593825643232448)</f>
        <v>0.7593825643</v>
      </c>
      <c r="AH547" s="30">
        <f>IFERROR(__xludf.DUMMYFUNCTION("""COMPUTED_VALUE"""),0.8829734808472606)</f>
        <v>0.8829734808</v>
      </c>
      <c r="AI547" s="30">
        <f>IFERROR(__xludf.DUMMYFUNCTION("""COMPUTED_VALUE"""),1.09916504131039)</f>
        <v>1.099165041</v>
      </c>
      <c r="AJ547" s="30">
        <f>IFERROR(__xludf.DUMMYFUNCTION("""COMPUTED_VALUE"""),1.2861948656968407)</f>
        <v>1.286194866</v>
      </c>
      <c r="AK547" s="30">
        <f>IFERROR(__xludf.DUMMYFUNCTION("""COMPUTED_VALUE"""),1.1653838509324252)</f>
        <v>1.165383851</v>
      </c>
      <c r="AL547" s="30">
        <f>IFERROR(__xludf.DUMMYFUNCTION("""COMPUTED_VALUE"""),0.9390326832827514)</f>
        <v>0.9390326833</v>
      </c>
      <c r="AM547" s="30">
        <f>IFERROR(__xludf.DUMMYFUNCTION("""COMPUTED_VALUE"""),1.07074445740093)</f>
        <v>1.070744457</v>
      </c>
      <c r="AN547" s="30">
        <f>IFERROR(__xludf.DUMMYFUNCTION("""COMPUTED_VALUE"""),0.902211314436496)</f>
        <v>0.9022113144</v>
      </c>
      <c r="AO547" s="30">
        <f>IFERROR(__xludf.DUMMYFUNCTION("""COMPUTED_VALUE"""),0.8721443913288439)</f>
        <v>0.8721443913</v>
      </c>
      <c r="AP547" s="30">
        <f>IFERROR(__xludf.DUMMYFUNCTION("""COMPUTED_VALUE"""),1.287477203467968)</f>
        <v>1.287477203</v>
      </c>
      <c r="AQ547" s="30">
        <f>IFERROR(__xludf.DUMMYFUNCTION("""COMPUTED_VALUE"""),0.7646145170296039)</f>
        <v>0.764614517</v>
      </c>
      <c r="AR547" s="30">
        <f>IFERROR(__xludf.DUMMYFUNCTION("""COMPUTED_VALUE"""),0.9182949572656124)</f>
        <v>0.9182949573</v>
      </c>
      <c r="AS547" s="30">
        <f>IFERROR(__xludf.DUMMYFUNCTION("""COMPUTED_VALUE"""),92.0)</f>
        <v>92</v>
      </c>
      <c r="AT547" s="30">
        <f>IFERROR(__xludf.DUMMYFUNCTION("""COMPUTED_VALUE"""),0.4204118821394743)</f>
        <v>0.4204118821</v>
      </c>
      <c r="AU547" s="30">
        <f>IFERROR(__xludf.DUMMYFUNCTION("""COMPUTED_VALUE"""),2.1546931657016266)</f>
        <v>2.154693166</v>
      </c>
      <c r="AV547" s="32">
        <f>IFERROR(__xludf.DUMMYFUNCTION("""COMPUTED_VALUE"""),40.87652427774326)</f>
        <v>40.87652428</v>
      </c>
      <c r="AW547" s="32">
        <f>IFERROR(__xludf.DUMMYFUNCTION("""COMPUTED_VALUE"""),-2.7965890351869014)</f>
        <v>-2.796589035</v>
      </c>
      <c r="AX547" s="32">
        <f>IFERROR(__xludf.DUMMYFUNCTION("""COMPUTED_VALUE"""),37.251464024409394)</f>
        <v>37.25146402</v>
      </c>
      <c r="AY547" s="32">
        <f>IFERROR(__xludf.DUMMYFUNCTION("""COMPUTED_VALUE"""),-3.278191479412686)</f>
        <v>-3.278191479</v>
      </c>
      <c r="AZ547" s="30">
        <f>IFERROR(__xludf.DUMMYFUNCTION("""COMPUTED_VALUE"""),0.4816024442257847)</f>
        <v>0.4816024442</v>
      </c>
      <c r="BA547" s="30">
        <f>IFERROR(__xludf.DUMMYFUNCTION("""COMPUTED_VALUE"""),1700.0)</f>
        <v>1700</v>
      </c>
    </row>
    <row r="548">
      <c r="A548" s="71" t="str">
        <f>IFERROR(__xludf.DUMMYFUNCTION("""COMPUTED_VALUE"""),"Rival")</f>
        <v>Rival</v>
      </c>
      <c r="B548" s="71" t="str">
        <f>IFERROR(__xludf.DUMMYFUNCTION("""COMPUTED_VALUE"""),"RSC002330")</f>
        <v>RSC002330</v>
      </c>
      <c r="C548" s="30" t="str">
        <f>IFERROR(__xludf.DUMMYFUNCTION("""COMPUTED_VALUE"""),"JesterGG")</f>
        <v>JesterGG</v>
      </c>
      <c r="D548" s="30" t="str">
        <f>IFERROR(__xludf.DUMMYFUNCTION("""COMPUTED_VALUE"""),"Polar Bears")</f>
        <v>Polar Bears</v>
      </c>
      <c r="E548" s="30">
        <f>IFERROR(__xludf.DUMMYFUNCTION("""COMPUTED_VALUE"""),26.0)</f>
        <v>26</v>
      </c>
      <c r="F548" s="30">
        <f>IFERROR(__xludf.DUMMYFUNCTION("""COMPUTED_VALUE"""),11.0)</f>
        <v>11</v>
      </c>
      <c r="G548" s="42">
        <f>IFERROR(__xludf.DUMMYFUNCTION("""COMPUTED_VALUE"""),15.0)</f>
        <v>15</v>
      </c>
      <c r="H548" s="42">
        <f>IFERROR(__xludf.DUMMYFUNCTION("""COMPUTED_VALUE"""),0.4230769230769231)</f>
        <v>0.4230769231</v>
      </c>
      <c r="I548" s="42">
        <f>IFERROR(__xludf.DUMMYFUNCTION("""COMPUTED_VALUE"""),0.1904761904761905)</f>
        <v>0.1904761905</v>
      </c>
      <c r="J548" s="30">
        <f>IFERROR(__xludf.DUMMYFUNCTION("""COMPUTED_VALUE"""),348.5)</f>
        <v>348.5</v>
      </c>
      <c r="K548" s="30">
        <f>IFERROR(__xludf.DUMMYFUNCTION("""COMPUTED_VALUE"""),0.6153846153846154)</f>
        <v>0.6153846154</v>
      </c>
      <c r="L548" s="30">
        <f>IFERROR(__xludf.DUMMYFUNCTION("""COMPUTED_VALUE"""),0.5769230769230769)</f>
        <v>0.5769230769</v>
      </c>
      <c r="M548" s="30">
        <f>IFERROR(__xludf.DUMMYFUNCTION("""COMPUTED_VALUE"""),1.5)</f>
        <v>1.5</v>
      </c>
      <c r="N548" s="30">
        <f>IFERROR(__xludf.DUMMYFUNCTION("""COMPUTED_VALUE"""),3.230769230769231)</f>
        <v>3.230769231</v>
      </c>
      <c r="O548" s="30">
        <f>IFERROR(__xludf.DUMMYFUNCTION("""COMPUTED_VALUE"""),365.8846153846153)</f>
        <v>365.8846154</v>
      </c>
      <c r="P548" s="30">
        <f>IFERROR(__xludf.DUMMYFUNCTION("""COMPUTED_VALUE"""),0.8461538461538459)</f>
        <v>0.8461538462</v>
      </c>
      <c r="Q548" s="30">
        <f>IFERROR(__xludf.DUMMYFUNCTION("""COMPUTED_VALUE"""),0.6153846153846155)</f>
        <v>0.6153846154</v>
      </c>
      <c r="R548" s="30">
        <f>IFERROR(__xludf.DUMMYFUNCTION("""COMPUTED_VALUE"""),1.41025641025641)</f>
        <v>1.41025641</v>
      </c>
      <c r="S548" s="30">
        <f>IFERROR(__xludf.DUMMYFUNCTION("""COMPUTED_VALUE"""),2.756410256410256)</f>
        <v>2.756410256</v>
      </c>
      <c r="T548" s="30">
        <f>IFERROR(__xludf.DUMMYFUNCTION("""COMPUTED_VALUE"""),353.0463194911566)</f>
        <v>353.0463195</v>
      </c>
      <c r="U548" s="30">
        <f>IFERROR(__xludf.DUMMYFUNCTION("""COMPUTED_VALUE"""),0.844653361920132)</f>
        <v>0.8446533619</v>
      </c>
      <c r="V548" s="30">
        <f>IFERROR(__xludf.DUMMYFUNCTION("""COMPUTED_VALUE"""),0.5943135689198389)</f>
        <v>0.5943135689</v>
      </c>
      <c r="W548" s="30">
        <f>IFERROR(__xludf.DUMMYFUNCTION("""COMPUTED_VALUE"""),1.2500060467042038)</f>
        <v>1.250006047</v>
      </c>
      <c r="X548" s="30">
        <f>IFERROR(__xludf.DUMMYFUNCTION("""COMPUTED_VALUE"""),2.703128459306879)</f>
        <v>2.703128459</v>
      </c>
      <c r="Y548" s="30">
        <f>IFERROR(__xludf.DUMMYFUNCTION("""COMPUTED_VALUE"""),338.1303797570479)</f>
        <v>338.1303798</v>
      </c>
      <c r="Z548" s="30">
        <f>IFERROR(__xludf.DUMMYFUNCTION("""COMPUTED_VALUE"""),0.7420910415379317)</f>
        <v>0.7420910415</v>
      </c>
      <c r="AA548" s="30">
        <f>IFERROR(__xludf.DUMMYFUNCTION("""COMPUTED_VALUE"""),0.5109921792152872)</f>
        <v>0.5109921792</v>
      </c>
      <c r="AB548" s="30">
        <f>IFERROR(__xludf.DUMMYFUNCTION("""COMPUTED_VALUE"""),1.3554741926262313)</f>
        <v>1.355474193</v>
      </c>
      <c r="AC548" s="30">
        <f>IFERROR(__xludf.DUMMYFUNCTION("""COMPUTED_VALUE"""),2.4406735967062456)</f>
        <v>2.440673597</v>
      </c>
      <c r="AD548" s="30">
        <f>IFERROR(__xludf.DUMMYFUNCTION("""COMPUTED_VALUE"""),1.0306675201749185)</f>
        <v>1.03066752</v>
      </c>
      <c r="AE548" s="30">
        <f>IFERROR(__xludf.DUMMYFUNCTION("""COMPUTED_VALUE"""),0.8292575721023042)</f>
        <v>0.8292575721</v>
      </c>
      <c r="AF548" s="30">
        <f>IFERROR(__xludf.DUMMYFUNCTION("""COMPUTED_VALUE"""),1.1290252578993234)</f>
        <v>1.129025258</v>
      </c>
      <c r="AG548" s="30">
        <f>IFERROR(__xludf.DUMMYFUNCTION("""COMPUTED_VALUE"""),1.1066237986381355)</f>
        <v>1.106623799</v>
      </c>
      <c r="AH548" s="30">
        <f>IFERROR(__xludf.DUMMYFUNCTION("""COMPUTED_VALUE"""),1.3237203184929114)</f>
        <v>1.323720318</v>
      </c>
      <c r="AI548" s="30">
        <f>IFERROR(__xludf.DUMMYFUNCTION("""COMPUTED_VALUE"""),1.0363643385716708)</f>
        <v>1.036364339</v>
      </c>
      <c r="AJ548" s="30">
        <f>IFERROR(__xludf.DUMMYFUNCTION("""COMPUTED_VALUE"""),1.0017764497264332)</f>
        <v>1.00177645</v>
      </c>
      <c r="AK548" s="30">
        <f>IFERROR(__xludf.DUMMYFUNCTION("""COMPUTED_VALUE"""),1.0354544260247551)</f>
        <v>1.035454426</v>
      </c>
      <c r="AL548" s="30">
        <f>IFERROR(__xludf.DUMMYFUNCTION("""COMPUTED_VALUE"""),1.1281996706933748)</f>
        <v>1.128199671</v>
      </c>
      <c r="AM548" s="30">
        <f>IFERROR(__xludf.DUMMYFUNCTION("""COMPUTED_VALUE"""),1.019711159830354)</f>
        <v>1.01971116</v>
      </c>
      <c r="AN548" s="30">
        <f>IFERROR(__xludf.DUMMYFUNCTION("""COMPUTED_VALUE"""),1.02779077604041)</f>
        <v>1.027790776</v>
      </c>
      <c r="AO548" s="30">
        <f>IFERROR(__xludf.DUMMYFUNCTION("""COMPUTED_VALUE"""),0.8274190379273648)</f>
        <v>0.8274190379</v>
      </c>
      <c r="AP548" s="30">
        <f>IFERROR(__xludf.DUMMYFUNCTION("""COMPUTED_VALUE"""),1.0570264022555063)</f>
        <v>1.057026402</v>
      </c>
      <c r="AQ548" s="30">
        <f>IFERROR(__xludf.DUMMYFUNCTION("""COMPUTED_VALUE"""),1.1469217755444059)</f>
        <v>1.146921776</v>
      </c>
      <c r="AR548" s="30">
        <f>IFERROR(__xludf.DUMMYFUNCTION("""COMPUTED_VALUE"""),1.291430193294807)</f>
        <v>1.291430193</v>
      </c>
      <c r="AS548" s="30">
        <f>IFERROR(__xludf.DUMMYFUNCTION("""COMPUTED_VALUE"""),58.0)</f>
        <v>58</v>
      </c>
      <c r="AT548" s="30">
        <f>IFERROR(__xludf.DUMMYFUNCTION("""COMPUTED_VALUE"""),0.4495943897482627)</f>
        <v>0.4495943897</v>
      </c>
      <c r="AU548" s="30">
        <f>IFERROR(__xludf.DUMMYFUNCTION("""COMPUTED_VALUE"""),2.7017997516174592)</f>
        <v>2.701799752</v>
      </c>
      <c r="AV548" s="32">
        <f>IFERROR(__xludf.DUMMYFUNCTION("""COMPUTED_VALUE"""),56.54017210752731)</f>
        <v>56.54017211</v>
      </c>
      <c r="AW548" s="32">
        <f>IFERROR(__xludf.DUMMYFUNCTION("""COMPUTED_VALUE"""),2.520083376317771)</f>
        <v>2.520083376</v>
      </c>
      <c r="AX548" s="32">
        <f>IFERROR(__xludf.DUMMYFUNCTION("""COMPUTED_VALUE"""),50.750037234209074)</f>
        <v>50.75003723</v>
      </c>
      <c r="AY548" s="32">
        <f>IFERROR(__xludf.DUMMYFUNCTION("""COMPUTED_VALUE"""),2.049042048261158)</f>
        <v>2.049042048</v>
      </c>
      <c r="AZ548" s="30">
        <f>IFERROR(__xludf.DUMMYFUNCTION("""COMPUTED_VALUE"""),0.4710413280566126)</f>
        <v>0.4710413281</v>
      </c>
      <c r="BA548" s="30">
        <f>IFERROR(__xludf.DUMMYFUNCTION("""COMPUTED_VALUE"""),1700.0)</f>
        <v>1700</v>
      </c>
    </row>
    <row r="549">
      <c r="A549" s="71" t="str">
        <f>IFERROR(__xludf.DUMMYFUNCTION("""COMPUTED_VALUE"""),"Rival")</f>
        <v>Rival</v>
      </c>
      <c r="B549" s="71" t="str">
        <f>IFERROR(__xludf.DUMMYFUNCTION("""COMPUTED_VALUE"""),"RSC004639")</f>
        <v>RSC004639</v>
      </c>
      <c r="C549" s="30" t="str">
        <f>IFERROR(__xludf.DUMMYFUNCTION("""COMPUTED_VALUE"""),"Tydizzle")</f>
        <v>Tydizzle</v>
      </c>
      <c r="D549" s="30" t="str">
        <f>IFERROR(__xludf.DUMMYFUNCTION("""COMPUTED_VALUE"""),"Blizzards")</f>
        <v>Blizzards</v>
      </c>
      <c r="E549" s="30">
        <f>IFERROR(__xludf.DUMMYFUNCTION("""COMPUTED_VALUE"""),36.0)</f>
        <v>36</v>
      </c>
      <c r="F549" s="30">
        <f>IFERROR(__xludf.DUMMYFUNCTION("""COMPUTED_VALUE"""),15.0)</f>
        <v>15</v>
      </c>
      <c r="G549" s="42">
        <f>IFERROR(__xludf.DUMMYFUNCTION("""COMPUTED_VALUE"""),21.0)</f>
        <v>21</v>
      </c>
      <c r="H549" s="42">
        <f>IFERROR(__xludf.DUMMYFUNCTION("""COMPUTED_VALUE"""),0.4166666666666667)</f>
        <v>0.4166666667</v>
      </c>
      <c r="I549" s="42">
        <f>IFERROR(__xludf.DUMMYFUNCTION("""COMPUTED_VALUE"""),0.3023255813953488)</f>
        <v>0.3023255814</v>
      </c>
      <c r="J549" s="30">
        <f>IFERROR(__xludf.DUMMYFUNCTION("""COMPUTED_VALUE"""),341.19444444444446)</f>
        <v>341.1944444</v>
      </c>
      <c r="K549" s="30">
        <f>IFERROR(__xludf.DUMMYFUNCTION("""COMPUTED_VALUE"""),0.7222222222222222)</f>
        <v>0.7222222222</v>
      </c>
      <c r="L549" s="30">
        <f>IFERROR(__xludf.DUMMYFUNCTION("""COMPUTED_VALUE"""),0.6111111111111112)</f>
        <v>0.6111111111</v>
      </c>
      <c r="M549" s="30">
        <f>IFERROR(__xludf.DUMMYFUNCTION("""COMPUTED_VALUE"""),1.2222222222222223)</f>
        <v>1.222222222</v>
      </c>
      <c r="N549" s="30">
        <f>IFERROR(__xludf.DUMMYFUNCTION("""COMPUTED_VALUE"""),2.388888888888889)</f>
        <v>2.388888889</v>
      </c>
      <c r="O549" s="30">
        <f>IFERROR(__xludf.DUMMYFUNCTION("""COMPUTED_VALUE"""),382.7314814814815)</f>
        <v>382.7314815</v>
      </c>
      <c r="P549" s="30">
        <f>IFERROR(__xludf.DUMMYFUNCTION("""COMPUTED_VALUE"""),0.9722222222222222)</f>
        <v>0.9722222222</v>
      </c>
      <c r="Q549" s="30">
        <f>IFERROR(__xludf.DUMMYFUNCTION("""COMPUTED_VALUE"""),0.6574074074074074)</f>
        <v>0.6574074074</v>
      </c>
      <c r="R549" s="30">
        <f>IFERROR(__xludf.DUMMYFUNCTION("""COMPUTED_VALUE"""),1.416666666666667)</f>
        <v>1.416666667</v>
      </c>
      <c r="S549" s="30">
        <f>IFERROR(__xludf.DUMMYFUNCTION("""COMPUTED_VALUE"""),2.6388888888888897)</f>
        <v>2.638888889</v>
      </c>
      <c r="T549" s="30">
        <f>IFERROR(__xludf.DUMMYFUNCTION("""COMPUTED_VALUE"""),354.08900641953977)</f>
        <v>354.0890064</v>
      </c>
      <c r="U549" s="30">
        <f>IFERROR(__xludf.DUMMYFUNCTION("""COMPUTED_VALUE"""),0.8144554700288744)</f>
        <v>0.81445547</v>
      </c>
      <c r="V549" s="30">
        <f>IFERROR(__xludf.DUMMYFUNCTION("""COMPUTED_VALUE"""),0.6065974155190642)</f>
        <v>0.6065974155</v>
      </c>
      <c r="W549" s="30">
        <f>IFERROR(__xludf.DUMMYFUNCTION("""COMPUTED_VALUE"""),1.3674963869228813)</f>
        <v>1.367496387</v>
      </c>
      <c r="X549" s="30">
        <f>IFERROR(__xludf.DUMMYFUNCTION("""COMPUTED_VALUE"""),2.609044059792028)</f>
        <v>2.60904406</v>
      </c>
      <c r="Y549" s="30">
        <f>IFERROR(__xludf.DUMMYFUNCTION("""COMPUTED_VALUE"""),341.6640242558)</f>
        <v>341.6640243</v>
      </c>
      <c r="Z549" s="30">
        <f>IFERROR(__xludf.DUMMYFUNCTION("""COMPUTED_VALUE"""),0.7505718052975833)</f>
        <v>0.7505718053</v>
      </c>
      <c r="AA549" s="30">
        <f>IFERROR(__xludf.DUMMYFUNCTION("""COMPUTED_VALUE"""),0.5511677695488794)</f>
        <v>0.5511677695</v>
      </c>
      <c r="AB549" s="30">
        <f>IFERROR(__xludf.DUMMYFUNCTION("""COMPUTED_VALUE"""),1.3193791803934887)</f>
        <v>1.31937918</v>
      </c>
      <c r="AC549" s="30">
        <f>IFERROR(__xludf.DUMMYFUNCTION("""COMPUTED_VALUE"""),2.5778505622760854)</f>
        <v>2.577850562</v>
      </c>
      <c r="AD549" s="30">
        <f>IFERROR(__xludf.DUMMYFUNCTION("""COMPUTED_VALUE"""),0.9986256094349462)</f>
        <v>0.9986256094</v>
      </c>
      <c r="AE549" s="30">
        <f>IFERROR(__xludf.DUMMYFUNCTION("""COMPUTED_VALUE"""),0.9622293525079574)</f>
        <v>0.9622293525</v>
      </c>
      <c r="AF549" s="30">
        <f>IFERROR(__xludf.DUMMYFUNCTION("""COMPUTED_VALUE"""),1.1087569790434124)</f>
        <v>1.108756979</v>
      </c>
      <c r="AG549" s="30">
        <f>IFERROR(__xludf.DUMMYFUNCTION("""COMPUTED_VALUE"""),0.9263616103580697)</f>
        <v>0.9263616104</v>
      </c>
      <c r="AH549" s="30">
        <f>IFERROR(__xludf.DUMMYFUNCTION("""COMPUTED_VALUE"""),0.9266979722748727)</f>
        <v>0.9266979723</v>
      </c>
      <c r="AI549" s="30">
        <f>IFERROR(__xludf.DUMMYFUNCTION("""COMPUTED_VALUE"""),1.080890608131462)</f>
        <v>1.080890608</v>
      </c>
      <c r="AJ549" s="30">
        <f>IFERROR(__xludf.DUMMYFUNCTION("""COMPUTED_VALUE"""),1.1937082603027451)</f>
        <v>1.19370826</v>
      </c>
      <c r="AK549" s="30">
        <f>IFERROR(__xludf.DUMMYFUNCTION("""COMPUTED_VALUE"""),1.0837622953682802)</f>
        <v>1.083762295</v>
      </c>
      <c r="AL549" s="30">
        <f>IFERROR(__xludf.DUMMYFUNCTION("""COMPUTED_VALUE"""),1.0359564238808907)</f>
        <v>1.035956424</v>
      </c>
      <c r="AM549" s="30">
        <f>IFERROR(__xludf.DUMMYFUNCTION("""COMPUTED_VALUE"""),1.0114389900718046)</f>
        <v>1.01143899</v>
      </c>
      <c r="AN549" s="30">
        <f>IFERROR(__xludf.DUMMYFUNCTION("""COMPUTED_VALUE"""),1.006245345297653)</f>
        <v>1.006245345</v>
      </c>
      <c r="AO549" s="30">
        <f>IFERROR(__xludf.DUMMYFUNCTION("""COMPUTED_VALUE"""),0.9710681764564211)</f>
        <v>0.9710681765</v>
      </c>
      <c r="AP549" s="30">
        <f>IFERROR(__xludf.DUMMYFUNCTION("""COMPUTED_VALUE"""),1.1196650038706475)</f>
        <v>1.119665004</v>
      </c>
      <c r="AQ549" s="30">
        <f>IFERROR(__xludf.DUMMYFUNCTION("""COMPUTED_VALUE"""),0.9345288541472938)</f>
        <v>0.9345288541</v>
      </c>
      <c r="AR549" s="30">
        <f>IFERROR(__xludf.DUMMYFUNCTION("""COMPUTED_VALUE"""),0.9549067169997315)</f>
        <v>0.954906717</v>
      </c>
      <c r="AS549" s="30">
        <f>IFERROR(__xludf.DUMMYFUNCTION("""COMPUTED_VALUE"""),76.0)</f>
        <v>76</v>
      </c>
      <c r="AT549" s="30">
        <f>IFERROR(__xludf.DUMMYFUNCTION("""COMPUTED_VALUE"""),0.3743007911196614)</f>
        <v>0.3743007911</v>
      </c>
      <c r="AU549" s="30">
        <f>IFERROR(__xludf.DUMMYFUNCTION("""COMPUTED_VALUE"""),2.448214655683345)</f>
        <v>2.448214656</v>
      </c>
      <c r="AV549" s="32">
        <f>IFERROR(__xludf.DUMMYFUNCTION("""COMPUTED_VALUE"""),49.28003717249468)</f>
        <v>49.28003717</v>
      </c>
      <c r="AW549" s="32">
        <f>IFERROR(__xludf.DUMMYFUNCTION("""COMPUTED_VALUE"""),-2.04702992552534)</f>
        <v>-2.047029926</v>
      </c>
      <c r="AX549" s="32">
        <f>IFERROR(__xludf.DUMMYFUNCTION("""COMPUTED_VALUE"""),43.73166525601792)</f>
        <v>43.73166526</v>
      </c>
      <c r="AY549" s="32">
        <f>IFERROR(__xludf.DUMMYFUNCTION("""COMPUTED_VALUE"""),-2.4937026408728573)</f>
        <v>-2.493702641</v>
      </c>
      <c r="AZ549" s="30">
        <f>IFERROR(__xludf.DUMMYFUNCTION("""COMPUTED_VALUE"""),0.4466727153475172)</f>
        <v>0.4466727153</v>
      </c>
      <c r="BA549" s="30">
        <f>IFERROR(__xludf.DUMMYFUNCTION("""COMPUTED_VALUE"""),1700.0)</f>
        <v>1700</v>
      </c>
    </row>
    <row r="550">
      <c r="A550" s="71" t="str">
        <f>IFERROR(__xludf.DUMMYFUNCTION("""COMPUTED_VALUE"""),"Rival")</f>
        <v>Rival</v>
      </c>
      <c r="B550" s="71" t="str">
        <f>IFERROR(__xludf.DUMMYFUNCTION("""COMPUTED_VALUE"""),"RSC006069")</f>
        <v>RSC006069</v>
      </c>
      <c r="C550" s="30" t="str">
        <f>IFERROR(__xludf.DUMMYFUNCTION("""COMPUTED_VALUE"""),"PoupSoup")</f>
        <v>PoupSoup</v>
      </c>
      <c r="D550" s="30" t="str">
        <f>IFERROR(__xludf.DUMMYFUNCTION("""COMPUTED_VALUE"""),"Blizzards")</f>
        <v>Blizzards</v>
      </c>
      <c r="E550" s="30">
        <f>IFERROR(__xludf.DUMMYFUNCTION("""COMPUTED_VALUE"""),42.0)</f>
        <v>42</v>
      </c>
      <c r="F550" s="30">
        <f>IFERROR(__xludf.DUMMYFUNCTION("""COMPUTED_VALUE"""),19.0)</f>
        <v>19</v>
      </c>
      <c r="G550" s="42">
        <f>IFERROR(__xludf.DUMMYFUNCTION("""COMPUTED_VALUE"""),23.0)</f>
        <v>23</v>
      </c>
      <c r="H550" s="42">
        <f>IFERROR(__xludf.DUMMYFUNCTION("""COMPUTED_VALUE"""),0.4523809523809524)</f>
        <v>0.4523809524</v>
      </c>
      <c r="I550" s="42">
        <f>IFERROR(__xludf.DUMMYFUNCTION("""COMPUTED_VALUE"""),0.25)</f>
        <v>0.25</v>
      </c>
      <c r="J550" s="30">
        <f>IFERROR(__xludf.DUMMYFUNCTION("""COMPUTED_VALUE"""),335.64285714285717)</f>
        <v>335.6428571</v>
      </c>
      <c r="K550" s="30">
        <f>IFERROR(__xludf.DUMMYFUNCTION("""COMPUTED_VALUE"""),0.6190476190476191)</f>
        <v>0.619047619</v>
      </c>
      <c r="L550" s="30">
        <f>IFERROR(__xludf.DUMMYFUNCTION("""COMPUTED_VALUE"""),0.5714285714285714)</f>
        <v>0.5714285714</v>
      </c>
      <c r="M550" s="30">
        <f>IFERROR(__xludf.DUMMYFUNCTION("""COMPUTED_VALUE"""),1.2619047619047619)</f>
        <v>1.261904762</v>
      </c>
      <c r="N550" s="30">
        <f>IFERROR(__xludf.DUMMYFUNCTION("""COMPUTED_VALUE"""),2.4761904761904763)</f>
        <v>2.476190476</v>
      </c>
      <c r="O550" s="30">
        <f>IFERROR(__xludf.DUMMYFUNCTION("""COMPUTED_VALUE"""),362.1190476190477)</f>
        <v>362.1190476</v>
      </c>
      <c r="P550" s="30">
        <f>IFERROR(__xludf.DUMMYFUNCTION("""COMPUTED_VALUE"""),0.8333333333333334)</f>
        <v>0.8333333333</v>
      </c>
      <c r="Q550" s="30">
        <f>IFERROR(__xludf.DUMMYFUNCTION("""COMPUTED_VALUE"""),0.5634920634920636)</f>
        <v>0.5634920635</v>
      </c>
      <c r="R550" s="30">
        <f>IFERROR(__xludf.DUMMYFUNCTION("""COMPUTED_VALUE"""),1.420634920634921)</f>
        <v>1.420634921</v>
      </c>
      <c r="S550" s="30">
        <f>IFERROR(__xludf.DUMMYFUNCTION("""COMPUTED_VALUE"""),2.626984126984127)</f>
        <v>2.626984127</v>
      </c>
      <c r="T550" s="30">
        <f>IFERROR(__xludf.DUMMYFUNCTION("""COMPUTED_VALUE"""),350.5004700638797)</f>
        <v>350.5004701</v>
      </c>
      <c r="U550" s="30">
        <f>IFERROR(__xludf.DUMMYFUNCTION("""COMPUTED_VALUE"""),0.7971694686628537)</f>
        <v>0.7971694687</v>
      </c>
      <c r="V550" s="30">
        <f>IFERROR(__xludf.DUMMYFUNCTION("""COMPUTED_VALUE"""),0.5793622744402283)</f>
        <v>0.5793622744</v>
      </c>
      <c r="W550" s="30">
        <f>IFERROR(__xludf.DUMMYFUNCTION("""COMPUTED_VALUE"""),1.337895391598752)</f>
        <v>1.337895392</v>
      </c>
      <c r="X550" s="30">
        <f>IFERROR(__xludf.DUMMYFUNCTION("""COMPUTED_VALUE"""),2.584621573590379)</f>
        <v>2.584621574</v>
      </c>
      <c r="Y550" s="30">
        <f>IFERROR(__xludf.DUMMYFUNCTION("""COMPUTED_VALUE"""),338.2624211783039)</f>
        <v>338.2624212</v>
      </c>
      <c r="Z550" s="30">
        <f>IFERROR(__xludf.DUMMYFUNCTION("""COMPUTED_VALUE"""),0.731618023863373)</f>
        <v>0.7316180239</v>
      </c>
      <c r="AA550" s="30">
        <f>IFERROR(__xludf.DUMMYFUNCTION("""COMPUTED_VALUE"""),0.5244224012879206)</f>
        <v>0.5244224013</v>
      </c>
      <c r="AB550" s="30">
        <f>IFERROR(__xludf.DUMMYFUNCTION("""COMPUTED_VALUE"""),1.3225629979499647)</f>
        <v>1.322562998</v>
      </c>
      <c r="AC550" s="30">
        <f>IFERROR(__xludf.DUMMYFUNCTION("""COMPUTED_VALUE"""),2.536364034160346)</f>
        <v>2.536364034</v>
      </c>
      <c r="AD550" s="30">
        <f>IFERROR(__xludf.DUMMYFUNCTION("""COMPUTED_VALUE"""),0.9922558230786567)</f>
        <v>0.9922558231</v>
      </c>
      <c r="AE550" s="30">
        <f>IFERROR(__xludf.DUMMYFUNCTION("""COMPUTED_VALUE"""),0.846135003315916)</f>
        <v>0.8461350033</v>
      </c>
      <c r="AF550" s="30">
        <f>IFERROR(__xludf.DUMMYFUNCTION("""COMPUTED_VALUE"""),1.089634176620238)</f>
        <v>1.089634177</v>
      </c>
      <c r="AG550" s="30">
        <f>IFERROR(__xludf.DUMMYFUNCTION("""COMPUTED_VALUE"""),0.9541358437070855)</f>
        <v>0.9541358437</v>
      </c>
      <c r="AH550" s="30">
        <f>IFERROR(__xludf.DUMMYFUNCTION("""COMPUTED_VALUE"""),0.9762756618689439)</f>
        <v>0.9762756619</v>
      </c>
      <c r="AI550" s="30">
        <f>IFERROR(__xludf.DUMMYFUNCTION("""COMPUTED_VALUE"""),1.0331485363002524)</f>
        <v>1.033148536</v>
      </c>
      <c r="AJ550" s="30">
        <f>IFERROR(__xludf.DUMMYFUNCTION("""COMPUTED_VALUE"""),1.0453653408617616)</f>
        <v>1.045365341</v>
      </c>
      <c r="AK550" s="30">
        <f>IFERROR(__xludf.DUMMYFUNCTION("""COMPUTED_VALUE"""),0.9726074484854952)</f>
        <v>0.9726074485</v>
      </c>
      <c r="AL550" s="30">
        <f>IFERROR(__xludf.DUMMYFUNCTION("""COMPUTED_VALUE"""),1.0618430480856185)</f>
        <v>1.061843048</v>
      </c>
      <c r="AM550" s="30">
        <f>IFERROR(__xludf.DUMMYFUNCTION("""COMPUTED_VALUE"""),1.01639023438735)</f>
        <v>1.016390234</v>
      </c>
      <c r="AN550" s="30">
        <f>IFERROR(__xludf.DUMMYFUNCTION("""COMPUTED_VALUE"""),0.9898726904312125)</f>
        <v>0.9898726904</v>
      </c>
      <c r="AO550" s="30">
        <f>IFERROR(__xludf.DUMMYFUNCTION("""COMPUTED_VALUE"""),0.832344151248361)</f>
        <v>0.8323441512</v>
      </c>
      <c r="AP550" s="30">
        <f>IFERROR(__xludf.DUMMYFUNCTION("""COMPUTED_VALUE"""),1.046959484138787)</f>
        <v>1.046959484</v>
      </c>
      <c r="AQ550" s="30">
        <f>IFERROR(__xludf.DUMMYFUNCTION("""COMPUTED_VALUE"""),0.9648707000611668)</f>
        <v>0.9648707001</v>
      </c>
      <c r="AR550" s="30">
        <f>IFERROR(__xludf.DUMMYFUNCTION("""COMPUTED_VALUE"""),0.9898036402123463)</f>
        <v>0.9898036402</v>
      </c>
      <c r="AS550" s="30">
        <f>IFERROR(__xludf.DUMMYFUNCTION("""COMPUTED_VALUE"""),87.0)</f>
        <v>87</v>
      </c>
      <c r="AT550" s="30">
        <f>IFERROR(__xludf.DUMMYFUNCTION("""COMPUTED_VALUE"""),0.42778851822573033)</f>
        <v>0.4277885182</v>
      </c>
      <c r="AU550" s="30">
        <f>IFERROR(__xludf.DUMMYFUNCTION("""COMPUTED_VALUE"""),2.386711776121277)</f>
        <v>2.386711776</v>
      </c>
      <c r="AV550" s="32">
        <f>IFERROR(__xludf.DUMMYFUNCTION("""COMPUTED_VALUE"""),47.519211273524306)</f>
        <v>47.51921127</v>
      </c>
      <c r="AW550" s="32">
        <f>IFERROR(__xludf.DUMMYFUNCTION("""COMPUTED_VALUE"""),-2.1716601209108988)</f>
        <v>-2.171660121</v>
      </c>
      <c r="AX550" s="32">
        <f>IFERROR(__xludf.DUMMYFUNCTION("""COMPUTED_VALUE"""),42.56552606909355)</f>
        <v>42.56552607</v>
      </c>
      <c r="AY550" s="32">
        <f>IFERROR(__xludf.DUMMYFUNCTION("""COMPUTED_VALUE"""),-2.6103621739715654)</f>
        <v>-2.610362174</v>
      </c>
      <c r="AZ550" s="30">
        <f>IFERROR(__xludf.DUMMYFUNCTION("""COMPUTED_VALUE"""),0.4387020530606667)</f>
        <v>0.4387020531</v>
      </c>
      <c r="BA550" s="30">
        <f>IFERROR(__xludf.DUMMYFUNCTION("""COMPUTED_VALUE"""),1700.0)</f>
        <v>1700</v>
      </c>
    </row>
    <row r="551">
      <c r="A551" s="71" t="str">
        <f>IFERROR(__xludf.DUMMYFUNCTION("""COMPUTED_VALUE"""),"Rival")</f>
        <v>Rival</v>
      </c>
      <c r="B551" s="71" t="str">
        <f>IFERROR(__xludf.DUMMYFUNCTION("""COMPUTED_VALUE"""),"RSC004888")</f>
        <v>RSC004888</v>
      </c>
      <c r="C551" s="30" t="str">
        <f>IFERROR(__xludf.DUMMYFUNCTION("""COMPUTED_VALUE"""),"AgentAnime07")</f>
        <v>AgentAnime07</v>
      </c>
      <c r="D551" s="30" t="str">
        <f>IFERROR(__xludf.DUMMYFUNCTION("""COMPUTED_VALUE"""),"Phantoms")</f>
        <v>Phantoms</v>
      </c>
      <c r="E551" s="30">
        <f>IFERROR(__xludf.DUMMYFUNCTION("""COMPUTED_VALUE"""),48.0)</f>
        <v>48</v>
      </c>
      <c r="F551" s="30">
        <f>IFERROR(__xludf.DUMMYFUNCTION("""COMPUTED_VALUE"""),16.0)</f>
        <v>16</v>
      </c>
      <c r="G551" s="42">
        <f>IFERROR(__xludf.DUMMYFUNCTION("""COMPUTED_VALUE"""),32.0)</f>
        <v>32</v>
      </c>
      <c r="H551" s="42">
        <f>IFERROR(__xludf.DUMMYFUNCTION("""COMPUTED_VALUE"""),0.3333333333333333)</f>
        <v>0.3333333333</v>
      </c>
      <c r="I551" s="42">
        <f>IFERROR(__xludf.DUMMYFUNCTION("""COMPUTED_VALUE"""),0.25663716814159293)</f>
        <v>0.2566371681</v>
      </c>
      <c r="J551" s="30">
        <f>IFERROR(__xludf.DUMMYFUNCTION("""COMPUTED_VALUE"""),321.4166666666667)</f>
        <v>321.4166667</v>
      </c>
      <c r="K551" s="30">
        <f>IFERROR(__xludf.DUMMYFUNCTION("""COMPUTED_VALUE"""),0.6041666666666666)</f>
        <v>0.6041666667</v>
      </c>
      <c r="L551" s="30">
        <f>IFERROR(__xludf.DUMMYFUNCTION("""COMPUTED_VALUE"""),0.5416666666666666)</f>
        <v>0.5416666667</v>
      </c>
      <c r="M551" s="30">
        <f>IFERROR(__xludf.DUMMYFUNCTION("""COMPUTED_VALUE"""),1.3958333333333333)</f>
        <v>1.395833333</v>
      </c>
      <c r="N551" s="30">
        <f>IFERROR(__xludf.DUMMYFUNCTION("""COMPUTED_VALUE"""),2.3541666666666665)</f>
        <v>2.354166667</v>
      </c>
      <c r="O551" s="30">
        <f>IFERROR(__xludf.DUMMYFUNCTION("""COMPUTED_VALUE"""),372.9583333333333)</f>
        <v>372.9583333</v>
      </c>
      <c r="P551" s="30">
        <f>IFERROR(__xludf.DUMMYFUNCTION("""COMPUTED_VALUE"""),0.9930555555555555)</f>
        <v>0.9930555556</v>
      </c>
      <c r="Q551" s="30">
        <f>IFERROR(__xludf.DUMMYFUNCTION("""COMPUTED_VALUE"""),0.7222222222222222)</f>
        <v>0.7222222222</v>
      </c>
      <c r="R551" s="30">
        <f>IFERROR(__xludf.DUMMYFUNCTION("""COMPUTED_VALUE"""),1.229166666666667)</f>
        <v>1.229166667</v>
      </c>
      <c r="S551" s="30">
        <f>IFERROR(__xludf.DUMMYFUNCTION("""COMPUTED_VALUE"""),2.868055555555554)</f>
        <v>2.868055556</v>
      </c>
      <c r="T551" s="30">
        <f>IFERROR(__xludf.DUMMYFUNCTION("""COMPUTED_VALUE"""),353.9034576845533)</f>
        <v>353.9034577</v>
      </c>
      <c r="U551" s="30">
        <f>IFERROR(__xludf.DUMMYFUNCTION("""COMPUTED_VALUE"""),0.8156032451931784)</f>
        <v>0.8156032452</v>
      </c>
      <c r="V551" s="30">
        <f>IFERROR(__xludf.DUMMYFUNCTION("""COMPUTED_VALUE"""),0.5633055878186174)</f>
        <v>0.5633055878</v>
      </c>
      <c r="W551" s="30">
        <f>IFERROR(__xludf.DUMMYFUNCTION("""COMPUTED_VALUE"""),1.3418354967187291)</f>
        <v>1.341835497</v>
      </c>
      <c r="X551" s="30">
        <f>IFERROR(__xludf.DUMMYFUNCTION("""COMPUTED_VALUE"""),2.6098181639163234)</f>
        <v>2.609818164</v>
      </c>
      <c r="Y551" s="30">
        <f>IFERROR(__xludf.DUMMYFUNCTION("""COMPUTED_VALUE"""),344.41724153613546)</f>
        <v>344.4172415</v>
      </c>
      <c r="Z551" s="30">
        <f>IFERROR(__xludf.DUMMYFUNCTION("""COMPUTED_VALUE"""),0.7654706934964738)</f>
        <v>0.7654706935</v>
      </c>
      <c r="AA551" s="30">
        <f>IFERROR(__xludf.DUMMYFUNCTION("""COMPUTED_VALUE"""),0.5512217444116801)</f>
        <v>0.5512217444</v>
      </c>
      <c r="AB551" s="30">
        <f>IFERROR(__xludf.DUMMYFUNCTION("""COMPUTED_VALUE"""),1.3062999103913693)</f>
        <v>1.30629991</v>
      </c>
      <c r="AC551" s="30">
        <f>IFERROR(__xludf.DUMMYFUNCTION("""COMPUTED_VALUE"""),2.5674006019905415)</f>
        <v>2.567400602</v>
      </c>
      <c r="AD551" s="30">
        <f>IFERROR(__xludf.DUMMYFUNCTION("""COMPUTED_VALUE"""),0.9332188633563061)</f>
        <v>0.9332188634</v>
      </c>
      <c r="AE551" s="30">
        <f>IFERROR(__xludf.DUMMYFUNCTION("""COMPUTED_VALUE"""),0.7892747192018394)</f>
        <v>0.7892747192</v>
      </c>
      <c r="AF551" s="30">
        <f>IFERROR(__xludf.DUMMYFUNCTION("""COMPUTED_VALUE"""),0.9826656371199368)</f>
        <v>0.9826656371</v>
      </c>
      <c r="AG551" s="30">
        <f>IFERROR(__xludf.DUMMYFUNCTION("""COMPUTED_VALUE"""),1.0685397145247753)</f>
        <v>1.068539715</v>
      </c>
      <c r="AH551" s="30">
        <f>IFERROR(__xludf.DUMMYFUNCTION("""COMPUTED_VALUE"""),0.9169455926906959)</f>
        <v>0.9169455927</v>
      </c>
      <c r="AI551" s="30">
        <f>IFERROR(__xludf.DUMMYFUNCTION("""COMPUTED_VALUE"""),1.0538420160499373)</f>
        <v>1.053842016</v>
      </c>
      <c r="AJ551" s="30">
        <f>IFERROR(__xludf.DUMMYFUNCTION("""COMPUTED_VALUE"""),1.2175718542173615)</f>
        <v>1.217571854</v>
      </c>
      <c r="AK551" s="30">
        <f>IFERROR(__xludf.DUMMYFUNCTION("""COMPUTED_VALUE"""),1.2821144292550057)</f>
        <v>1.282114429</v>
      </c>
      <c r="AL551" s="30">
        <f>IFERROR(__xludf.DUMMYFUNCTION("""COMPUTED_VALUE"""),0.9160337982356421)</f>
        <v>0.9160337982</v>
      </c>
      <c r="AM551" s="30">
        <f>IFERROR(__xludf.DUMMYFUNCTION("""COMPUTED_VALUE"""),1.0989484230011322)</f>
        <v>1.098948423</v>
      </c>
      <c r="AN551" s="30">
        <f>IFERROR(__xludf.DUMMYFUNCTION("""COMPUTED_VALUE"""),0.9479170308914062)</f>
        <v>0.9479170309</v>
      </c>
      <c r="AO551" s="30">
        <f>IFERROR(__xludf.DUMMYFUNCTION("""COMPUTED_VALUE"""),0.8123358783818138)</f>
        <v>0.8123358784</v>
      </c>
      <c r="AP551" s="30">
        <f>IFERROR(__xludf.DUMMYFUNCTION("""COMPUTED_VALUE"""),0.992430344339892)</f>
        <v>0.9924303443</v>
      </c>
      <c r="AQ551" s="30">
        <f>IFERROR(__xludf.DUMMYFUNCTION("""COMPUTED_VALUE"""),1.0672744300204888)</f>
        <v>1.06727443</v>
      </c>
      <c r="AR551" s="30">
        <f>IFERROR(__xludf.DUMMYFUNCTION("""COMPUTED_VALUE"""),0.9410272589038051)</f>
        <v>0.9410272589</v>
      </c>
      <c r="AS551" s="30">
        <f>IFERROR(__xludf.DUMMYFUNCTION("""COMPUTED_VALUE"""),88.0)</f>
        <v>88</v>
      </c>
      <c r="AT551" s="30">
        <f>IFERROR(__xludf.DUMMYFUNCTION("""COMPUTED_VALUE"""),0.3181811163652297)</f>
        <v>0.3181811164</v>
      </c>
      <c r="AU551" s="30">
        <f>IFERROR(__xludf.DUMMYFUNCTION("""COMPUTED_VALUE"""),1.9994163589682377)</f>
        <v>1.999416359</v>
      </c>
      <c r="AV551" s="32">
        <f>IFERROR(__xludf.DUMMYFUNCTION("""COMPUTED_VALUE"""),36.43095319631706)</f>
        <v>36.4309532</v>
      </c>
      <c r="AW551" s="32">
        <f>IFERROR(__xludf.DUMMYFUNCTION("""COMPUTED_VALUE"""),-3.40545074532692)</f>
        <v>-3.405450745</v>
      </c>
      <c r="AX551" s="32">
        <f>IFERROR(__xludf.DUMMYFUNCTION("""COMPUTED_VALUE"""),39.423024371817476)</f>
        <v>39.42302437</v>
      </c>
      <c r="AY551" s="32">
        <f>IFERROR(__xludf.DUMMYFUNCTION("""COMPUTED_VALUE"""),-2.975138529556837)</f>
        <v>-2.97513853</v>
      </c>
      <c r="AZ551" s="30">
        <f>IFERROR(__xludf.DUMMYFUNCTION("""COMPUTED_VALUE"""),0.43031221577008294)</f>
        <v>0.4303122158</v>
      </c>
      <c r="BA551" s="30">
        <f>IFERROR(__xludf.DUMMYFUNCTION("""COMPUTED_VALUE"""),1700.0)</f>
        <v>1700</v>
      </c>
    </row>
    <row r="552">
      <c r="A552" s="71" t="str">
        <f>IFERROR(__xludf.DUMMYFUNCTION("""COMPUTED_VALUE"""),"Rival")</f>
        <v>Rival</v>
      </c>
      <c r="B552" s="71" t="str">
        <f>IFERROR(__xludf.DUMMYFUNCTION("""COMPUTED_VALUE"""),"RSC005978")</f>
        <v>RSC005978</v>
      </c>
      <c r="C552" s="30" t="str">
        <f>IFERROR(__xludf.DUMMYFUNCTION("""COMPUTED_VALUE"""),"xDraco0")</f>
        <v>xDraco0</v>
      </c>
      <c r="D552" s="30" t="str">
        <f>IFERROR(__xludf.DUMMYFUNCTION("""COMPUTED_VALUE"""),"Funk Hunks")</f>
        <v>Funk Hunks</v>
      </c>
      <c r="E552" s="30">
        <f>IFERROR(__xludf.DUMMYFUNCTION("""COMPUTED_VALUE"""),17.0)</f>
        <v>17</v>
      </c>
      <c r="F552" s="30">
        <f>IFERROR(__xludf.DUMMYFUNCTION("""COMPUTED_VALUE"""),7.0)</f>
        <v>7</v>
      </c>
      <c r="G552" s="42">
        <f>IFERROR(__xludf.DUMMYFUNCTION("""COMPUTED_VALUE"""),10.0)</f>
        <v>10</v>
      </c>
      <c r="H552" s="42">
        <f>IFERROR(__xludf.DUMMYFUNCTION("""COMPUTED_VALUE"""),0.4117647058823529)</f>
        <v>0.4117647059</v>
      </c>
      <c r="I552" s="42">
        <f>IFERROR(__xludf.DUMMYFUNCTION("""COMPUTED_VALUE"""),0.3421052631578947)</f>
        <v>0.3421052632</v>
      </c>
      <c r="J552" s="30">
        <f>IFERROR(__xludf.DUMMYFUNCTION("""COMPUTED_VALUE"""),343.11764705882354)</f>
        <v>343.1176471</v>
      </c>
      <c r="K552" s="30">
        <f>IFERROR(__xludf.DUMMYFUNCTION("""COMPUTED_VALUE"""),0.7647058823529411)</f>
        <v>0.7647058824</v>
      </c>
      <c r="L552" s="30">
        <f>IFERROR(__xludf.DUMMYFUNCTION("""COMPUTED_VALUE"""),0.7647058823529411)</f>
        <v>0.7647058824</v>
      </c>
      <c r="M552" s="30">
        <f>IFERROR(__xludf.DUMMYFUNCTION("""COMPUTED_VALUE"""),1.3529411764705883)</f>
        <v>1.352941176</v>
      </c>
      <c r="N552" s="30">
        <f>IFERROR(__xludf.DUMMYFUNCTION("""COMPUTED_VALUE"""),2.235294117647059)</f>
        <v>2.235294118</v>
      </c>
      <c r="O552" s="30">
        <f>IFERROR(__xludf.DUMMYFUNCTION("""COMPUTED_VALUE"""),334.078431372549)</f>
        <v>334.0784314</v>
      </c>
      <c r="P552" s="30">
        <f>IFERROR(__xludf.DUMMYFUNCTION("""COMPUTED_VALUE"""),0.8823529411764706)</f>
        <v>0.8823529412</v>
      </c>
      <c r="Q552" s="30">
        <f>IFERROR(__xludf.DUMMYFUNCTION("""COMPUTED_VALUE"""),0.6274509803921569)</f>
        <v>0.6274509804</v>
      </c>
      <c r="R552" s="30">
        <f>IFERROR(__xludf.DUMMYFUNCTION("""COMPUTED_VALUE"""),0.9803921568627452)</f>
        <v>0.9803921569</v>
      </c>
      <c r="S552" s="30">
        <f>IFERROR(__xludf.DUMMYFUNCTION("""COMPUTED_VALUE"""),2.686274509803922)</f>
        <v>2.68627451</v>
      </c>
      <c r="T552" s="30">
        <f>IFERROR(__xludf.DUMMYFUNCTION("""COMPUTED_VALUE"""),345.5286654313679)</f>
        <v>345.5286654</v>
      </c>
      <c r="U552" s="30">
        <f>IFERROR(__xludf.DUMMYFUNCTION("""COMPUTED_VALUE"""),0.7546754472745217)</f>
        <v>0.7546754473</v>
      </c>
      <c r="V552" s="30">
        <f>IFERROR(__xludf.DUMMYFUNCTION("""COMPUTED_VALUE"""),0.5810814494795747)</f>
        <v>0.5810814495</v>
      </c>
      <c r="W552" s="30">
        <f>IFERROR(__xludf.DUMMYFUNCTION("""COMPUTED_VALUE"""),1.3291718015380032)</f>
        <v>1.329171802</v>
      </c>
      <c r="X552" s="30">
        <f>IFERROR(__xludf.DUMMYFUNCTION("""COMPUTED_VALUE"""),2.5355234905022104)</f>
        <v>2.535523491</v>
      </c>
      <c r="Y552" s="30">
        <f>IFERROR(__xludf.DUMMYFUNCTION("""COMPUTED_VALUE"""),365.6244754019655)</f>
        <v>365.6244754</v>
      </c>
      <c r="Z552" s="30">
        <f>IFERROR(__xludf.DUMMYFUNCTION("""COMPUTED_VALUE"""),0.9030396251943567)</f>
        <v>0.9030396252</v>
      </c>
      <c r="AA552" s="30">
        <f>IFERROR(__xludf.DUMMYFUNCTION("""COMPUTED_VALUE"""),0.6356011142300858)</f>
        <v>0.6356011142</v>
      </c>
      <c r="AB552" s="30">
        <f>IFERROR(__xludf.DUMMYFUNCTION("""COMPUTED_VALUE"""),1.3066060883150732)</f>
        <v>1.306606088</v>
      </c>
      <c r="AC552" s="30">
        <f>IFERROR(__xludf.DUMMYFUNCTION("""COMPUTED_VALUE"""),2.6917899299407204)</f>
        <v>2.69178993</v>
      </c>
      <c r="AD552" s="30">
        <f>IFERROR(__xludf.DUMMYFUNCTION("""COMPUTED_VALUE"""),0.9384427743290487)</f>
        <v>0.9384427743</v>
      </c>
      <c r="AE552" s="30">
        <f>IFERROR(__xludf.DUMMYFUNCTION("""COMPUTED_VALUE"""),0.8468132084329714)</f>
        <v>0.8468132084</v>
      </c>
      <c r="AF552" s="30">
        <f>IFERROR(__xludf.DUMMYFUNCTION("""COMPUTED_VALUE"""),1.203122312457306)</f>
        <v>1.203122312</v>
      </c>
      <c r="AG552" s="30">
        <f>IFERROR(__xludf.DUMMYFUNCTION("""COMPUTED_VALUE"""),1.0354621707107352)</f>
        <v>1.035462171</v>
      </c>
      <c r="AH552" s="30">
        <f>IFERROR(__xludf.DUMMYFUNCTION("""COMPUTED_VALUE"""),0.8304117987752058)</f>
        <v>0.8304117988</v>
      </c>
      <c r="AI552" s="30">
        <f>IFERROR(__xludf.DUMMYFUNCTION("""COMPUTED_VALUE"""),0.9668616957017904)</f>
        <v>0.9668616957</v>
      </c>
      <c r="AJ552" s="30">
        <f>IFERROR(__xludf.DUMMYFUNCTION("""COMPUTED_VALUE"""),1.169181989904469)</f>
        <v>1.16918199</v>
      </c>
      <c r="AK552" s="30">
        <f>IFERROR(__xludf.DUMMYFUNCTION("""COMPUTED_VALUE"""),1.0797986770255896)</f>
        <v>1.079798677</v>
      </c>
      <c r="AL552" s="30">
        <f>IFERROR(__xludf.DUMMYFUNCTION("""COMPUTED_VALUE"""),0.7375962653799304)</f>
        <v>0.7375962654</v>
      </c>
      <c r="AM552" s="30">
        <f>IFERROR(__xludf.DUMMYFUNCTION("""COMPUTED_VALUE"""),1.0594555798305194)</f>
        <v>1.05945558</v>
      </c>
      <c r="AN552" s="30">
        <f>IFERROR(__xludf.DUMMYFUNCTION("""COMPUTED_VALUE"""),1.0119172245157753)</f>
        <v>1.011917225</v>
      </c>
      <c r="AO552" s="30">
        <f>IFERROR(__xludf.DUMMYFUNCTION("""COMPUTED_VALUE"""),1.028189833895034)</f>
        <v>1.028189834</v>
      </c>
      <c r="AP552" s="30">
        <f>IFERROR(__xludf.DUMMYFUNCTION("""COMPUTED_VALUE"""),1.4010781331857298)</f>
        <v>1.401078133</v>
      </c>
      <c r="AQ552" s="30">
        <f>IFERROR(__xludf.DUMMYFUNCTION("""COMPUTED_VALUE"""),1.034478464216523)</f>
        <v>1.034478464</v>
      </c>
      <c r="AR552" s="30">
        <f>IFERROR(__xludf.DUMMYFUNCTION("""COMPUTED_VALUE"""),0.8935105258930456)</f>
        <v>0.8935105259</v>
      </c>
      <c r="AS552" s="30">
        <f>IFERROR(__xludf.DUMMYFUNCTION("""COMPUTED_VALUE"""),41.0)</f>
        <v>41</v>
      </c>
      <c r="AT552" s="30">
        <f>IFERROR(__xludf.DUMMYFUNCTION("""COMPUTED_VALUE"""),0.46300756377370755)</f>
        <v>0.4630075638</v>
      </c>
      <c r="AU552" s="30">
        <f>IFERROR(__xludf.DUMMYFUNCTION("""COMPUTED_VALUE"""),2.5037922202145344)</f>
        <v>2.50379222</v>
      </c>
      <c r="AV552" s="32">
        <f>IFERROR(__xludf.DUMMYFUNCTION("""COMPUTED_VALUE"""),50.871221450776375)</f>
        <v>50.87122145</v>
      </c>
      <c r="AW552" s="32">
        <f>IFERROR(__xludf.DUMMYFUNCTION("""COMPUTED_VALUE"""),2.057189325932967)</f>
        <v>2.057189326</v>
      </c>
      <c r="AX552" s="32">
        <f>IFERROR(__xludf.DUMMYFUNCTION("""COMPUTED_VALUE"""),55.98598501083218)</f>
        <v>55.98598501</v>
      </c>
      <c r="AY552" s="32">
        <f>IFERROR(__xludf.DUMMYFUNCTION("""COMPUTED_VALUE"""),2.466806402567489)</f>
        <v>2.466806403</v>
      </c>
      <c r="AZ552" s="30">
        <f>IFERROR(__xludf.DUMMYFUNCTION("""COMPUTED_VALUE"""),0.4096170766345222)</f>
        <v>0.4096170766</v>
      </c>
      <c r="BA552" s="30">
        <f>IFERROR(__xludf.DUMMYFUNCTION("""COMPUTED_VALUE"""),1700.0)</f>
        <v>1700</v>
      </c>
    </row>
    <row r="553">
      <c r="A553" s="71" t="str">
        <f>IFERROR(__xludf.DUMMYFUNCTION("""COMPUTED_VALUE"""),"Rival")</f>
        <v>Rival</v>
      </c>
      <c r="B553" s="71" t="str">
        <f>IFERROR(__xludf.DUMMYFUNCTION("""COMPUTED_VALUE"""),"RSC003094")</f>
        <v>RSC003094</v>
      </c>
      <c r="C553" s="30" t="str">
        <f>IFERROR(__xludf.DUMMYFUNCTION("""COMPUTED_VALUE"""),"Galvarino")</f>
        <v>Galvarino</v>
      </c>
      <c r="D553" s="30" t="str">
        <f>IFERROR(__xludf.DUMMYFUNCTION("""COMPUTED_VALUE"""),"Polar Bears")</f>
        <v>Polar Bears</v>
      </c>
      <c r="E553" s="30">
        <f>IFERROR(__xludf.DUMMYFUNCTION("""COMPUTED_VALUE"""),22.0)</f>
        <v>22</v>
      </c>
      <c r="F553" s="30">
        <f>IFERROR(__xludf.DUMMYFUNCTION("""COMPUTED_VALUE"""),9.0)</f>
        <v>9</v>
      </c>
      <c r="G553" s="42">
        <f>IFERROR(__xludf.DUMMYFUNCTION("""COMPUTED_VALUE"""),13.0)</f>
        <v>13</v>
      </c>
      <c r="H553" s="42">
        <f>IFERROR(__xludf.DUMMYFUNCTION("""COMPUTED_VALUE"""),0.4090909090909091)</f>
        <v>0.4090909091</v>
      </c>
      <c r="I553" s="42">
        <f>IFERROR(__xludf.DUMMYFUNCTION("""COMPUTED_VALUE"""),0.30434782608695654)</f>
        <v>0.3043478261</v>
      </c>
      <c r="J553" s="30">
        <f>IFERROR(__xludf.DUMMYFUNCTION("""COMPUTED_VALUE"""),271.40909090909093)</f>
        <v>271.4090909</v>
      </c>
      <c r="K553" s="30">
        <f>IFERROR(__xludf.DUMMYFUNCTION("""COMPUTED_VALUE"""),0.6363636363636364)</f>
        <v>0.6363636364</v>
      </c>
      <c r="L553" s="30">
        <f>IFERROR(__xludf.DUMMYFUNCTION("""COMPUTED_VALUE"""),0.36363636363636365)</f>
        <v>0.3636363636</v>
      </c>
      <c r="M553" s="30">
        <f>IFERROR(__xludf.DUMMYFUNCTION("""COMPUTED_VALUE"""),0.9545454545454546)</f>
        <v>0.9545454545</v>
      </c>
      <c r="N553" s="30">
        <f>IFERROR(__xludf.DUMMYFUNCTION("""COMPUTED_VALUE"""),2.090909090909091)</f>
        <v>2.090909091</v>
      </c>
      <c r="O553" s="30">
        <f>IFERROR(__xludf.DUMMYFUNCTION("""COMPUTED_VALUE"""),355.8333333333333)</f>
        <v>355.8333333</v>
      </c>
      <c r="P553" s="30">
        <f>IFERROR(__xludf.DUMMYFUNCTION("""COMPUTED_VALUE"""),0.8787878787878789)</f>
        <v>0.8787878788</v>
      </c>
      <c r="Q553" s="30">
        <f>IFERROR(__xludf.DUMMYFUNCTION("""COMPUTED_VALUE"""),0.6666666666666666)</f>
        <v>0.6666666667</v>
      </c>
      <c r="R553" s="30">
        <f>IFERROR(__xludf.DUMMYFUNCTION("""COMPUTED_VALUE"""),1.212121212121212)</f>
        <v>1.212121212</v>
      </c>
      <c r="S553" s="30">
        <f>IFERROR(__xludf.DUMMYFUNCTION("""COMPUTED_VALUE"""),2.333333333333333)</f>
        <v>2.333333333</v>
      </c>
      <c r="T553" s="30">
        <f>IFERROR(__xludf.DUMMYFUNCTION("""COMPUTED_VALUE"""),361.8989411371076)</f>
        <v>361.8989411</v>
      </c>
      <c r="U553" s="30">
        <f>IFERROR(__xludf.DUMMYFUNCTION("""COMPUTED_VALUE"""),0.8382035454358028)</f>
        <v>0.8382035454</v>
      </c>
      <c r="V553" s="30">
        <f>IFERROR(__xludf.DUMMYFUNCTION("""COMPUTED_VALUE"""),0.6146577749441514)</f>
        <v>0.6146577749</v>
      </c>
      <c r="W553" s="30">
        <f>IFERROR(__xludf.DUMMYFUNCTION("""COMPUTED_VALUE"""),1.33010690829406)</f>
        <v>1.330106908</v>
      </c>
      <c r="X553" s="30">
        <f>IFERROR(__xludf.DUMMYFUNCTION("""COMPUTED_VALUE"""),2.5801095156571496)</f>
        <v>2.580109516</v>
      </c>
      <c r="Y553" s="30">
        <f>IFERROR(__xludf.DUMMYFUNCTION("""COMPUTED_VALUE"""),330.2941179353429)</f>
        <v>330.2941179</v>
      </c>
      <c r="Z553" s="30">
        <f>IFERROR(__xludf.DUMMYFUNCTION("""COMPUTED_VALUE"""),0.6824523442483044)</f>
        <v>0.6824523442</v>
      </c>
      <c r="AA553" s="30">
        <f>IFERROR(__xludf.DUMMYFUNCTION("""COMPUTED_VALUE"""),0.5027266460871668)</f>
        <v>0.5027266461</v>
      </c>
      <c r="AB553" s="30">
        <f>IFERROR(__xludf.DUMMYFUNCTION("""COMPUTED_VALUE"""),1.2574967992933033)</f>
        <v>1.257496799</v>
      </c>
      <c r="AC553" s="30">
        <f>IFERROR(__xludf.DUMMYFUNCTION("""COMPUTED_VALUE"""),2.4417871056702105)</f>
        <v>2.441787106</v>
      </c>
      <c r="AD553" s="30">
        <f>IFERROR(__xludf.DUMMYFUNCTION("""COMPUTED_VALUE"""),0.8217194196665074)</f>
        <v>0.8217194197</v>
      </c>
      <c r="AE553" s="30">
        <f>IFERROR(__xludf.DUMMYFUNCTION("""COMPUTED_VALUE"""),0.9324660421008107)</f>
        <v>0.9324660421</v>
      </c>
      <c r="AF553" s="30">
        <f>IFERROR(__xludf.DUMMYFUNCTION("""COMPUTED_VALUE"""),0.7233282072208153)</f>
        <v>0.7233282072</v>
      </c>
      <c r="AG553" s="30">
        <f>IFERROR(__xludf.DUMMYFUNCTION("""COMPUTED_VALUE"""),0.7590838044930982)</f>
        <v>0.7590838045</v>
      </c>
      <c r="AH553" s="30">
        <f>IFERROR(__xludf.DUMMYFUNCTION("""COMPUTED_VALUE"""),0.8563027817018419)</f>
        <v>0.8563027817</v>
      </c>
      <c r="AI553" s="30">
        <f>IFERROR(__xludf.DUMMYFUNCTION("""COMPUTED_VALUE"""),0.9832394983397414)</f>
        <v>0.9832394983</v>
      </c>
      <c r="AJ553" s="30">
        <f>IFERROR(__xludf.DUMMYFUNCTION("""COMPUTED_VALUE"""),1.0484182315537396)</f>
        <v>1.048418232</v>
      </c>
      <c r="AK553" s="30">
        <f>IFERROR(__xludf.DUMMYFUNCTION("""COMPUTED_VALUE"""),1.0846143884330444)</f>
        <v>1.084614388</v>
      </c>
      <c r="AL553" s="30">
        <f>IFERROR(__xludf.DUMMYFUNCTION("""COMPUTED_VALUE"""),0.91129608046005)</f>
        <v>0.9112960805</v>
      </c>
      <c r="AM553" s="30">
        <f>IFERROR(__xludf.DUMMYFUNCTION("""COMPUTED_VALUE"""),0.9043543768873845)</f>
        <v>0.9043543769</v>
      </c>
      <c r="AN553" s="30">
        <f>IFERROR(__xludf.DUMMYFUNCTION("""COMPUTED_VALUE"""),0.8004354667715257)</f>
        <v>0.8004354668</v>
      </c>
      <c r="AO553" s="30">
        <f>IFERROR(__xludf.DUMMYFUNCTION("""COMPUTED_VALUE"""),0.855626505129434)</f>
        <v>0.8556265051</v>
      </c>
      <c r="AP553" s="30">
        <f>IFERROR(__xludf.DUMMYFUNCTION("""COMPUTED_VALUE"""),0.6662469444519555)</f>
        <v>0.6662469445</v>
      </c>
      <c r="AQ553" s="30">
        <f>IFERROR(__xludf.DUMMYFUNCTION("""COMPUTED_VALUE"""),0.7298593117100766)</f>
        <v>0.7298593117</v>
      </c>
      <c r="AR553" s="30">
        <f>IFERROR(__xludf.DUMMYFUNCTION("""COMPUTED_VALUE"""),0.8357957311583273)</f>
        <v>0.8357957312</v>
      </c>
      <c r="AS553" s="30">
        <f>IFERROR(__xludf.DUMMYFUNCTION("""COMPUTED_VALUE"""),48.0)</f>
        <v>48</v>
      </c>
      <c r="AT553" s="30">
        <f>IFERROR(__xludf.DUMMYFUNCTION("""COMPUTED_VALUE"""),0.4262494391550251)</f>
        <v>0.4262494392</v>
      </c>
      <c r="AU553" s="30">
        <f>IFERROR(__xludf.DUMMYFUNCTION("""COMPUTED_VALUE"""),1.8713501577864897)</f>
        <v>1.871350158</v>
      </c>
      <c r="AV553" s="32">
        <f>IFERROR(__xludf.DUMMYFUNCTION("""COMPUTED_VALUE"""),32.764421069215636)</f>
        <v>32.76442107</v>
      </c>
      <c r="AW553" s="32">
        <f>IFERROR(__xludf.DUMMYFUNCTION("""COMPUTED_VALUE"""),-4.076998064893168)</f>
        <v>-4.076998065</v>
      </c>
      <c r="AX553" s="32">
        <f>IFERROR(__xludf.DUMMYFUNCTION("""COMPUTED_VALUE"""),31.03092992050343)</f>
        <v>31.03092992</v>
      </c>
      <c r="AY553" s="32">
        <f>IFERROR(__xludf.DUMMYFUNCTION("""COMPUTED_VALUE"""),-4.464340916126817)</f>
        <v>-4.464340916</v>
      </c>
      <c r="AZ553" s="30">
        <f>IFERROR(__xludf.DUMMYFUNCTION("""COMPUTED_VALUE"""),0.3873428512336492)</f>
        <v>0.3873428512</v>
      </c>
      <c r="BA553" s="30">
        <f>IFERROR(__xludf.DUMMYFUNCTION("""COMPUTED_VALUE"""),1700.0)</f>
        <v>1700</v>
      </c>
    </row>
    <row r="554">
      <c r="A554" s="71" t="str">
        <f>IFERROR(__xludf.DUMMYFUNCTION("""COMPUTED_VALUE"""),"Rival")</f>
        <v>Rival</v>
      </c>
      <c r="B554" s="71" t="str">
        <f>IFERROR(__xludf.DUMMYFUNCTION("""COMPUTED_VALUE"""),"RSC006401")</f>
        <v>RSC006401</v>
      </c>
      <c r="C554" s="30" t="str">
        <f>IFERROR(__xludf.DUMMYFUNCTION("""COMPUTED_VALUE"""),"Shadohkamii")</f>
        <v>Shadohkamii</v>
      </c>
      <c r="D554" s="30" t="str">
        <f>IFERROR(__xludf.DUMMYFUNCTION("""COMPUTED_VALUE"""),"Hue Heroes")</f>
        <v>Hue Heroes</v>
      </c>
      <c r="E554" s="30">
        <f>IFERROR(__xludf.DUMMYFUNCTION("""COMPUTED_VALUE"""),40.0)</f>
        <v>40</v>
      </c>
      <c r="F554" s="30">
        <f>IFERROR(__xludf.DUMMYFUNCTION("""COMPUTED_VALUE"""),17.0)</f>
        <v>17</v>
      </c>
      <c r="G554" s="42">
        <f>IFERROR(__xludf.DUMMYFUNCTION("""COMPUTED_VALUE"""),23.0)</f>
        <v>23</v>
      </c>
      <c r="H554" s="42">
        <f>IFERROR(__xludf.DUMMYFUNCTION("""COMPUTED_VALUE"""),0.425)</f>
        <v>0.425</v>
      </c>
      <c r="I554" s="42">
        <f>IFERROR(__xludf.DUMMYFUNCTION("""COMPUTED_VALUE"""),0.2966101694915254)</f>
        <v>0.2966101695</v>
      </c>
      <c r="J554" s="30">
        <f>IFERROR(__xludf.DUMMYFUNCTION("""COMPUTED_VALUE"""),390.55)</f>
        <v>390.55</v>
      </c>
      <c r="K554" s="30">
        <f>IFERROR(__xludf.DUMMYFUNCTION("""COMPUTED_VALUE"""),0.875)</f>
        <v>0.875</v>
      </c>
      <c r="L554" s="30">
        <f>IFERROR(__xludf.DUMMYFUNCTION("""COMPUTED_VALUE"""),0.675)</f>
        <v>0.675</v>
      </c>
      <c r="M554" s="30">
        <f>IFERROR(__xludf.DUMMYFUNCTION("""COMPUTED_VALUE"""),1.5)</f>
        <v>1.5</v>
      </c>
      <c r="N554" s="30">
        <f>IFERROR(__xludf.DUMMYFUNCTION("""COMPUTED_VALUE"""),2.95)</f>
        <v>2.95</v>
      </c>
      <c r="O554" s="30">
        <f>IFERROR(__xludf.DUMMYFUNCTION("""COMPUTED_VALUE"""),350.525)</f>
        <v>350.525</v>
      </c>
      <c r="P554" s="30">
        <f>IFERROR(__xludf.DUMMYFUNCTION("""COMPUTED_VALUE"""),0.8916666666666666)</f>
        <v>0.8916666667</v>
      </c>
      <c r="Q554" s="30">
        <f>IFERROR(__xludf.DUMMYFUNCTION("""COMPUTED_VALUE"""),0.608333333333333)</f>
        <v>0.6083333333</v>
      </c>
      <c r="R554" s="30">
        <f>IFERROR(__xludf.DUMMYFUNCTION("""COMPUTED_VALUE"""),1.1416666666666668)</f>
        <v>1.141666667</v>
      </c>
      <c r="S554" s="30">
        <f>IFERROR(__xludf.DUMMYFUNCTION("""COMPUTED_VALUE"""),2.6916666666666655)</f>
        <v>2.691666667</v>
      </c>
      <c r="T554" s="30">
        <f>IFERROR(__xludf.DUMMYFUNCTION("""COMPUTED_VALUE"""),352.1852711862727)</f>
        <v>352.1852712</v>
      </c>
      <c r="U554" s="30">
        <f>IFERROR(__xludf.DUMMYFUNCTION("""COMPUTED_VALUE"""),0.8186564473362017)</f>
        <v>0.8186564473</v>
      </c>
      <c r="V554" s="30">
        <f>IFERROR(__xludf.DUMMYFUNCTION("""COMPUTED_VALUE"""),0.5828810977513019)</f>
        <v>0.5828810978</v>
      </c>
      <c r="W554" s="30">
        <f>IFERROR(__xludf.DUMMYFUNCTION("""COMPUTED_VALUE"""),1.3047227148760894)</f>
        <v>1.304722715</v>
      </c>
      <c r="X554" s="30">
        <f>IFERROR(__xludf.DUMMYFUNCTION("""COMPUTED_VALUE"""),2.6282605917019186)</f>
        <v>2.628260592</v>
      </c>
      <c r="Y554" s="30">
        <f>IFERROR(__xludf.DUMMYFUNCTION("""COMPUTED_VALUE"""),345.91322421953316)</f>
        <v>345.9132242</v>
      </c>
      <c r="Z554" s="30">
        <f>IFERROR(__xludf.DUMMYFUNCTION("""COMPUTED_VALUE"""),0.7616158224174153)</f>
        <v>0.7616158224</v>
      </c>
      <c r="AA554" s="30">
        <f>IFERROR(__xludf.DUMMYFUNCTION("""COMPUTED_VALUE"""),0.5498523281768677)</f>
        <v>0.5498523282</v>
      </c>
      <c r="AB554" s="30">
        <f>IFERROR(__xludf.DUMMYFUNCTION("""COMPUTED_VALUE"""),1.3426337446771615)</f>
        <v>1.342633745</v>
      </c>
      <c r="AC554" s="30">
        <f>IFERROR(__xludf.DUMMYFUNCTION("""COMPUTED_VALUE"""),2.510569579784275)</f>
        <v>2.51056958</v>
      </c>
      <c r="AD554" s="30">
        <f>IFERROR(__xludf.DUMMYFUNCTION("""COMPUTED_VALUE"""),1.1290403854353317)</f>
        <v>1.129040385</v>
      </c>
      <c r="AE554" s="30">
        <f>IFERROR(__xludf.DUMMYFUNCTION("""COMPUTED_VALUE"""),1.1488731907153613)</f>
        <v>1.148873191</v>
      </c>
      <c r="AF554" s="30">
        <f>IFERROR(__xludf.DUMMYFUNCTION("""COMPUTED_VALUE"""),1.2276023314079283)</f>
        <v>1.227602331</v>
      </c>
      <c r="AG554" s="30">
        <f>IFERROR(__xludf.DUMMYFUNCTION("""COMPUTED_VALUE"""),1.1172071355622584)</f>
        <v>1.117207136</v>
      </c>
      <c r="AH554" s="30">
        <f>IFERROR(__xludf.DUMMYFUNCTION("""COMPUTED_VALUE"""),1.175032161527857)</f>
        <v>1.175032162</v>
      </c>
      <c r="AI554" s="30">
        <f>IFERROR(__xludf.DUMMYFUNCTION("""COMPUTED_VALUE"""),0.9952858017580338)</f>
        <v>0.9952858018</v>
      </c>
      <c r="AJ554" s="30">
        <f>IFERROR(__xludf.DUMMYFUNCTION("""COMPUTED_VALUE"""),1.089182977264798)</f>
        <v>1.089182977</v>
      </c>
      <c r="AK554" s="30">
        <f>IFERROR(__xludf.DUMMYFUNCTION("""COMPUTED_VALUE"""),1.0436662566005712)</f>
        <v>1.043666257</v>
      </c>
      <c r="AL554" s="30">
        <f>IFERROR(__xludf.DUMMYFUNCTION("""COMPUTED_VALUE"""),0.8750262823278062)</f>
        <v>0.8750262823</v>
      </c>
      <c r="AM554" s="30">
        <f>IFERROR(__xludf.DUMMYFUNCTION("""COMPUTED_VALUE"""),1.0241247291706674)</f>
        <v>1.024124729</v>
      </c>
      <c r="AN554" s="30">
        <f>IFERROR(__xludf.DUMMYFUNCTION("""COMPUTED_VALUE"""),1.1518039815856014)</f>
        <v>1.151803982</v>
      </c>
      <c r="AO554" s="30">
        <f>IFERROR(__xludf.DUMMYFUNCTION("""COMPUTED_VALUE"""),1.1764864445529717)</f>
        <v>1.176486445</v>
      </c>
      <c r="AP554" s="30">
        <f>IFERROR(__xludf.DUMMYFUNCTION("""COMPUTED_VALUE"""),1.2367208906389424)</f>
        <v>1.236720891</v>
      </c>
      <c r="AQ554" s="30">
        <f>IFERROR(__xludf.DUMMYFUNCTION("""COMPUTED_VALUE"""),1.1469217755444059)</f>
        <v>1.146921776</v>
      </c>
      <c r="AR554" s="30">
        <f>IFERROR(__xludf.DUMMYFUNCTION("""COMPUTED_VALUE"""),1.179198759829901)</f>
        <v>1.17919876</v>
      </c>
      <c r="AS554" s="30">
        <f>IFERROR(__xludf.DUMMYFUNCTION("""COMPUTED_VALUE"""),94.0)</f>
        <v>94</v>
      </c>
      <c r="AT554" s="30">
        <f>IFERROR(__xludf.DUMMYFUNCTION("""COMPUTED_VALUE"""),0.4487115232383115)</f>
        <v>0.4487115232</v>
      </c>
      <c r="AU554" s="30">
        <f>IFERROR(__xludf.DUMMYFUNCTION("""COMPUTED_VALUE"""),3.182626872795531)</f>
        <v>3.182626873</v>
      </c>
      <c r="AV554" s="32">
        <f>IFERROR(__xludf.DUMMYFUNCTION("""COMPUTED_VALUE"""),70.30624052458867)</f>
        <v>70.30624052</v>
      </c>
      <c r="AW554" s="32">
        <f>IFERROR(__xludf.DUMMYFUNCTION("""COMPUTED_VALUE"""),4.800210304001312)</f>
        <v>4.800210304</v>
      </c>
      <c r="AX554" s="32">
        <f>IFERROR(__xludf.DUMMYFUNCTION("""COMPUTED_VALUE"""),71.62712288851446)</f>
        <v>71.62712289</v>
      </c>
      <c r="AY554" s="32">
        <f>IFERROR(__xludf.DUMMYFUNCTION("""COMPUTED_VALUE"""),5.1680630407748795)</f>
        <v>5.168063041</v>
      </c>
      <c r="AZ554" s="30">
        <f>IFERROR(__xludf.DUMMYFUNCTION("""COMPUTED_VALUE"""),0.36785273677356756)</f>
        <v>0.3678527368</v>
      </c>
      <c r="BA554" s="30">
        <f>IFERROR(__xludf.DUMMYFUNCTION("""COMPUTED_VALUE"""),1700.0)</f>
        <v>1700</v>
      </c>
    </row>
    <row r="555">
      <c r="A555" s="71" t="str">
        <f>IFERROR(__xludf.DUMMYFUNCTION("""COMPUTED_VALUE"""),"Rival")</f>
        <v>Rival</v>
      </c>
      <c r="B555" s="71" t="str">
        <f>IFERROR(__xludf.DUMMYFUNCTION("""COMPUTED_VALUE"""),"RSC002960")</f>
        <v>RSC002960</v>
      </c>
      <c r="C555" s="30" t="str">
        <f>IFERROR(__xludf.DUMMYFUNCTION("""COMPUTED_VALUE"""),"Shrek is The Best Anime")</f>
        <v>Shrek is The Best Anime</v>
      </c>
      <c r="D555" s="30" t="str">
        <f>IFERROR(__xludf.DUMMYFUNCTION("""COMPUTED_VALUE"""),"Centuriones")</f>
        <v>Centuriones</v>
      </c>
      <c r="E555" s="30">
        <f>IFERROR(__xludf.DUMMYFUNCTION("""COMPUTED_VALUE"""),39.0)</f>
        <v>39</v>
      </c>
      <c r="F555" s="30">
        <f>IFERROR(__xludf.DUMMYFUNCTION("""COMPUTED_VALUE"""),17.0)</f>
        <v>17</v>
      </c>
      <c r="G555" s="42">
        <f>IFERROR(__xludf.DUMMYFUNCTION("""COMPUTED_VALUE"""),22.0)</f>
        <v>22</v>
      </c>
      <c r="H555" s="42">
        <f>IFERROR(__xludf.DUMMYFUNCTION("""COMPUTED_VALUE"""),0.4358974358974359)</f>
        <v>0.4358974359</v>
      </c>
      <c r="I555" s="42">
        <f>IFERROR(__xludf.DUMMYFUNCTION("""COMPUTED_VALUE"""),0.2647058823529412)</f>
        <v>0.2647058824</v>
      </c>
      <c r="J555" s="30">
        <f>IFERROR(__xludf.DUMMYFUNCTION("""COMPUTED_VALUE"""),335.79487179487177)</f>
        <v>335.7948718</v>
      </c>
      <c r="K555" s="30">
        <f>IFERROR(__xludf.DUMMYFUNCTION("""COMPUTED_VALUE"""),0.6923076923076923)</f>
        <v>0.6923076923</v>
      </c>
      <c r="L555" s="30">
        <f>IFERROR(__xludf.DUMMYFUNCTION("""COMPUTED_VALUE"""),0.5897435897435898)</f>
        <v>0.5897435897</v>
      </c>
      <c r="M555" s="30">
        <f>IFERROR(__xludf.DUMMYFUNCTION("""COMPUTED_VALUE"""),1.1025641025641026)</f>
        <v>1.102564103</v>
      </c>
      <c r="N555" s="30">
        <f>IFERROR(__xludf.DUMMYFUNCTION("""COMPUTED_VALUE"""),2.6153846153846154)</f>
        <v>2.615384615</v>
      </c>
      <c r="O555" s="30">
        <f>IFERROR(__xludf.DUMMYFUNCTION("""COMPUTED_VALUE"""),357.8290598290599)</f>
        <v>357.8290598</v>
      </c>
      <c r="P555" s="30">
        <f>IFERROR(__xludf.DUMMYFUNCTION("""COMPUTED_VALUE"""),0.8119658119658119)</f>
        <v>0.811965812</v>
      </c>
      <c r="Q555" s="30">
        <f>IFERROR(__xludf.DUMMYFUNCTION("""COMPUTED_VALUE"""),0.606837606837607)</f>
        <v>0.6068376068</v>
      </c>
      <c r="R555" s="30">
        <f>IFERROR(__xludf.DUMMYFUNCTION("""COMPUTED_VALUE"""),1.2735042735042734)</f>
        <v>1.273504274</v>
      </c>
      <c r="S555" s="30">
        <f>IFERROR(__xludf.DUMMYFUNCTION("""COMPUTED_VALUE"""),2.666666666666667)</f>
        <v>2.666666667</v>
      </c>
      <c r="T555" s="30">
        <f>IFERROR(__xludf.DUMMYFUNCTION("""COMPUTED_VALUE"""),346.2936588913057)</f>
        <v>346.2936589</v>
      </c>
      <c r="U555" s="30">
        <f>IFERROR(__xludf.DUMMYFUNCTION("""COMPUTED_VALUE"""),0.7813869858871981)</f>
        <v>0.7813869859</v>
      </c>
      <c r="V555" s="30">
        <f>IFERROR(__xludf.DUMMYFUNCTION("""COMPUTED_VALUE"""),0.5598796679101641)</f>
        <v>0.5598796679</v>
      </c>
      <c r="W555" s="30">
        <f>IFERROR(__xludf.DUMMYFUNCTION("""COMPUTED_VALUE"""),1.3101931553301658)</f>
        <v>1.310193155</v>
      </c>
      <c r="X555" s="30">
        <f>IFERROR(__xludf.DUMMYFUNCTION("""COMPUTED_VALUE"""),2.5525112498926115)</f>
        <v>2.55251125</v>
      </c>
      <c r="Y555" s="30">
        <f>IFERROR(__xludf.DUMMYFUNCTION("""COMPUTED_VALUE"""),347.1829483653952)</f>
        <v>347.1829484</v>
      </c>
      <c r="Z555" s="30">
        <f>IFERROR(__xludf.DUMMYFUNCTION("""COMPUTED_VALUE"""),0.780904411236966)</f>
        <v>0.7809044112</v>
      </c>
      <c r="AA555" s="30">
        <f>IFERROR(__xludf.DUMMYFUNCTION("""COMPUTED_VALUE"""),0.5521954547698085)</f>
        <v>0.5521954548</v>
      </c>
      <c r="AB555" s="30">
        <f>IFERROR(__xludf.DUMMYFUNCTION("""COMPUTED_VALUE"""),1.3128827756015486)</f>
        <v>1.312882776</v>
      </c>
      <c r="AC555" s="30">
        <f>IFERROR(__xludf.DUMMYFUNCTION("""COMPUTED_VALUE"""),2.558363890986624)</f>
        <v>2.558363891</v>
      </c>
      <c r="AD555" s="30">
        <f>IFERROR(__xludf.DUMMYFUNCTION("""COMPUTED_VALUE"""),0.9671986293562495)</f>
        <v>0.9671986294</v>
      </c>
      <c r="AE555" s="30">
        <f>IFERROR(__xludf.DUMMYFUNCTION("""COMPUTED_VALUE"""),0.8865460129890482)</f>
        <v>0.886546013</v>
      </c>
      <c r="AF555" s="30">
        <f>IFERROR(__xludf.DUMMYFUNCTION("""COMPUTED_VALUE"""),1.0679979066278875)</f>
        <v>1.067997907</v>
      </c>
      <c r="AG555" s="30">
        <f>IFERROR(__xludf.DUMMYFUNCTION("""COMPUTED_VALUE"""),0.8398039208480892)</f>
        <v>0.8398039208</v>
      </c>
      <c r="AH555" s="30">
        <f>IFERROR(__xludf.DUMMYFUNCTION("""COMPUTED_VALUE"""),1.022287964819579)</f>
        <v>1.022287965</v>
      </c>
      <c r="AI555" s="30">
        <f>IFERROR(__xludf.DUMMYFUNCTION("""COMPUTED_VALUE"""),1.0333110371546679)</f>
        <v>1.033311037</v>
      </c>
      <c r="AJ555" s="30">
        <f>IFERROR(__xludf.DUMMYFUNCTION("""COMPUTED_VALUE"""),1.0391340355430851)</f>
        <v>1.039134036</v>
      </c>
      <c r="AK555" s="30">
        <f>IFERROR(__xludf.DUMMYFUNCTION("""COMPUTED_VALUE"""),1.0838714845686763)</f>
        <v>1.083871485</v>
      </c>
      <c r="AL555" s="30">
        <f>IFERROR(__xludf.DUMMYFUNCTION("""COMPUTED_VALUE"""),0.9719973488820075)</f>
        <v>0.9719973489</v>
      </c>
      <c r="AM555" s="30">
        <f>IFERROR(__xludf.DUMMYFUNCTION("""COMPUTED_VALUE"""),1.0447227869334006)</f>
        <v>1.044722787</v>
      </c>
      <c r="AN555" s="30">
        <f>IFERROR(__xludf.DUMMYFUNCTION("""COMPUTED_VALUE"""),0.9903210096770192)</f>
        <v>0.9903210097</v>
      </c>
      <c r="AO555" s="30">
        <f>IFERROR(__xludf.DUMMYFUNCTION("""COMPUTED_VALUE"""),0.9308464176682852)</f>
        <v>0.9308464177</v>
      </c>
      <c r="AP555" s="30">
        <f>IFERROR(__xludf.DUMMYFUNCTION("""COMPUTED_VALUE"""),1.0805158778611843)</f>
        <v>1.080515878</v>
      </c>
      <c r="AQ555" s="30">
        <f>IFERROR(__xludf.DUMMYFUNCTION("""COMPUTED_VALUE"""),0.8430365187762301)</f>
        <v>0.8430365188</v>
      </c>
      <c r="AR555" s="30">
        <f>IFERROR(__xludf.DUMMYFUNCTION("""COMPUTED_VALUE"""),1.0454434898100817)</f>
        <v>1.04544349</v>
      </c>
      <c r="AS555" s="30">
        <f>IFERROR(__xludf.DUMMYFUNCTION("""COMPUTED_VALUE"""),92.0)</f>
        <v>92</v>
      </c>
      <c r="AT555" s="30">
        <f>IFERROR(__xludf.DUMMYFUNCTION("""COMPUTED_VALUE"""),0.4874229643484471)</f>
        <v>0.4874229643</v>
      </c>
      <c r="AU555" s="30">
        <f>IFERROR(__xludf.DUMMYFUNCTION("""COMPUTED_VALUE"""),2.4661673393409758)</f>
        <v>2.466167339</v>
      </c>
      <c r="AV555" s="32">
        <f>IFERROR(__xludf.DUMMYFUNCTION("""COMPUTED_VALUE"""),49.79402205524275)</f>
        <v>49.79402206</v>
      </c>
      <c r="AW555" s="32">
        <f>IFERROR(__xludf.DUMMYFUNCTION("""COMPUTED_VALUE"""),-2.0132345823811626)</f>
        <v>-2.013234582</v>
      </c>
      <c r="AX555" s="32">
        <f>IFERROR(__xludf.DUMMYFUNCTION("""COMPUTED_VALUE"""),45.0028875511344)</f>
        <v>45.00288755</v>
      </c>
      <c r="AY555" s="32">
        <f>IFERROR(__xludf.DUMMYFUNCTION("""COMPUTED_VALUE"""),-2.3765079867174497)</f>
        <v>-2.376507987</v>
      </c>
      <c r="AZ555" s="30">
        <f>IFERROR(__xludf.DUMMYFUNCTION("""COMPUTED_VALUE"""),0.3632734043362871)</f>
        <v>0.3632734043</v>
      </c>
      <c r="BA555" s="30">
        <f>IFERROR(__xludf.DUMMYFUNCTION("""COMPUTED_VALUE"""),1700.0)</f>
        <v>1700</v>
      </c>
    </row>
    <row r="556">
      <c r="A556" s="71" t="str">
        <f>IFERROR(__xludf.DUMMYFUNCTION("""COMPUTED_VALUE"""),"Rival")</f>
        <v>Rival</v>
      </c>
      <c r="B556" s="71" t="str">
        <f>IFERROR(__xludf.DUMMYFUNCTION("""COMPUTED_VALUE"""),"RSC005328")</f>
        <v>RSC005328</v>
      </c>
      <c r="C556" s="30" t="str">
        <f>IFERROR(__xludf.DUMMYFUNCTION("""COMPUTED_VALUE"""),"Razor")</f>
        <v>Razor</v>
      </c>
      <c r="D556" s="30" t="str">
        <f>IFERROR(__xludf.DUMMYFUNCTION("""COMPUTED_VALUE"""),"Dice")</f>
        <v>Dice</v>
      </c>
      <c r="E556" s="30">
        <f>IFERROR(__xludf.DUMMYFUNCTION("""COMPUTED_VALUE"""),19.0)</f>
        <v>19</v>
      </c>
      <c r="F556" s="30">
        <f>IFERROR(__xludf.DUMMYFUNCTION("""COMPUTED_VALUE"""),9.0)</f>
        <v>9</v>
      </c>
      <c r="G556" s="42">
        <f>IFERROR(__xludf.DUMMYFUNCTION("""COMPUTED_VALUE"""),10.0)</f>
        <v>10</v>
      </c>
      <c r="H556" s="42">
        <f>IFERROR(__xludf.DUMMYFUNCTION("""COMPUTED_VALUE"""),0.47368421052631576)</f>
        <v>0.4736842105</v>
      </c>
      <c r="I556" s="42">
        <f>IFERROR(__xludf.DUMMYFUNCTION("""COMPUTED_VALUE"""),0.29411764705882354)</f>
        <v>0.2941176471</v>
      </c>
      <c r="J556" s="30">
        <f>IFERROR(__xludf.DUMMYFUNCTION("""COMPUTED_VALUE"""),353.94736842105266)</f>
        <v>353.9473684</v>
      </c>
      <c r="K556" s="30">
        <f>IFERROR(__xludf.DUMMYFUNCTION("""COMPUTED_VALUE"""),0.7894736842105263)</f>
        <v>0.7894736842</v>
      </c>
      <c r="L556" s="30">
        <f>IFERROR(__xludf.DUMMYFUNCTION("""COMPUTED_VALUE"""),0.5789473684210527)</f>
        <v>0.5789473684</v>
      </c>
      <c r="M556" s="30">
        <f>IFERROR(__xludf.DUMMYFUNCTION("""COMPUTED_VALUE"""),1.4210526315789473)</f>
        <v>1.421052632</v>
      </c>
      <c r="N556" s="30">
        <f>IFERROR(__xludf.DUMMYFUNCTION("""COMPUTED_VALUE"""),2.6842105263157894)</f>
        <v>2.684210526</v>
      </c>
      <c r="O556" s="30">
        <f>IFERROR(__xludf.DUMMYFUNCTION("""COMPUTED_VALUE"""),351.2105263157894)</f>
        <v>351.2105263</v>
      </c>
      <c r="P556" s="30">
        <f>IFERROR(__xludf.DUMMYFUNCTION("""COMPUTED_VALUE"""),0.8245614035087719)</f>
        <v>0.8245614035</v>
      </c>
      <c r="Q556" s="30">
        <f>IFERROR(__xludf.DUMMYFUNCTION("""COMPUTED_VALUE"""),0.5087719298245614)</f>
        <v>0.5087719298</v>
      </c>
      <c r="R556" s="30">
        <f>IFERROR(__xludf.DUMMYFUNCTION("""COMPUTED_VALUE"""),1.5087719298245614)</f>
        <v>1.50877193</v>
      </c>
      <c r="S556" s="30">
        <f>IFERROR(__xludf.DUMMYFUNCTION("""COMPUTED_VALUE"""),2.491228070175438)</f>
        <v>2.49122807</v>
      </c>
      <c r="T556" s="30">
        <f>IFERROR(__xludf.DUMMYFUNCTION("""COMPUTED_VALUE"""),336.513488696088)</f>
        <v>336.5134887</v>
      </c>
      <c r="U556" s="30">
        <f>IFERROR(__xludf.DUMMYFUNCTION("""COMPUTED_VALUE"""),0.7281424536074721)</f>
        <v>0.7281424536</v>
      </c>
      <c r="V556" s="30">
        <f>IFERROR(__xludf.DUMMYFUNCTION("""COMPUTED_VALUE"""),0.46643343373379925)</f>
        <v>0.4664334337</v>
      </c>
      <c r="W556" s="30">
        <f>IFERROR(__xludf.DUMMYFUNCTION("""COMPUTED_VALUE"""),1.33827145294585)</f>
        <v>1.338271453</v>
      </c>
      <c r="X556" s="30">
        <f>IFERROR(__xludf.DUMMYFUNCTION("""COMPUTED_VALUE"""),2.4660525955261043)</f>
        <v>2.466052596</v>
      </c>
      <c r="Y556" s="30">
        <f>IFERROR(__xludf.DUMMYFUNCTION("""COMPUTED_VALUE"""),344.53860923660346)</f>
        <v>344.5386092</v>
      </c>
      <c r="Z556" s="30">
        <f>IFERROR(__xludf.DUMMYFUNCTION("""COMPUTED_VALUE"""),0.7724181420877712)</f>
        <v>0.7724181421</v>
      </c>
      <c r="AA556" s="30">
        <f>IFERROR(__xludf.DUMMYFUNCTION("""COMPUTED_VALUE"""),0.5721350662661241)</f>
        <v>0.5721350663</v>
      </c>
      <c r="AB556" s="30">
        <f>IFERROR(__xludf.DUMMYFUNCTION("""COMPUTED_VALUE"""),1.2845599373637744)</f>
        <v>1.284559937</v>
      </c>
      <c r="AC556" s="30">
        <f>IFERROR(__xludf.DUMMYFUNCTION("""COMPUTED_VALUE"""),2.5948427815982775)</f>
        <v>2.594842782</v>
      </c>
      <c r="AD556" s="30">
        <f>IFERROR(__xludf.DUMMYFUNCTION("""COMPUTED_VALUE"""),1.0273082868863268)</f>
        <v>1.027308287</v>
      </c>
      <c r="AE556" s="30">
        <f>IFERROR(__xludf.DUMMYFUNCTION("""COMPUTED_VALUE"""),1.022080711461095)</f>
        <v>1.022080711</v>
      </c>
      <c r="AF556" s="30">
        <f>IFERROR(__xludf.DUMMYFUNCTION("""COMPUTED_VALUE"""),1.0119068075994486)</f>
        <v>1.011906808</v>
      </c>
      <c r="AG556" s="30">
        <f>IFERROR(__xludf.DUMMYFUNCTION("""COMPUTED_VALUE"""),1.1062563841865478)</f>
        <v>1.106256384</v>
      </c>
      <c r="AH556" s="30">
        <f>IFERROR(__xludf.DUMMYFUNCTION("""COMPUTED_VALUE"""),1.0344405238541914)</f>
        <v>1.034440524</v>
      </c>
      <c r="AI556" s="30">
        <f>IFERROR(__xludf.DUMMYFUNCTION("""COMPUTED_VALUE"""),1.043674438360997)</f>
        <v>1.043674438</v>
      </c>
      <c r="AJ556" s="30">
        <f>IFERROR(__xludf.DUMMYFUNCTION("""COMPUTED_VALUE"""),1.1324177012665677)</f>
        <v>1.132417701</v>
      </c>
      <c r="AK556" s="30">
        <f>IFERROR(__xludf.DUMMYFUNCTION("""COMPUTED_VALUE"""),1.0907707145944547)</f>
        <v>1.090770715</v>
      </c>
      <c r="AL556" s="30">
        <f>IFERROR(__xludf.DUMMYFUNCTION("""COMPUTED_VALUE"""),1.1274035073403081)</f>
        <v>1.127403507</v>
      </c>
      <c r="AM556" s="30">
        <f>IFERROR(__xludf.DUMMYFUNCTION("""COMPUTED_VALUE"""),1.0102088149681019)</f>
        <v>1.010208815</v>
      </c>
      <c r="AN556" s="30">
        <f>IFERROR(__xludf.DUMMYFUNCTION("""COMPUTED_VALUE"""),1.043856070206412)</f>
        <v>1.04385607</v>
      </c>
      <c r="AO556" s="30">
        <f>IFERROR(__xludf.DUMMYFUNCTION("""COMPUTED_VALUE"""),1.0614915289199744)</f>
        <v>1.061491529</v>
      </c>
      <c r="AP556" s="30">
        <f>IFERROR(__xludf.DUMMYFUNCTION("""COMPUTED_VALUE"""),1.060735266824824)</f>
        <v>1.060735267</v>
      </c>
      <c r="AQ556" s="30">
        <f>IFERROR(__xludf.DUMMYFUNCTION("""COMPUTED_VALUE"""),1.0865574715683846)</f>
        <v>1.086557472</v>
      </c>
      <c r="AR556" s="30">
        <f>IFERROR(__xludf.DUMMYFUNCTION("""COMPUTED_VALUE"""),1.0729551605945575)</f>
        <v>1.072955161</v>
      </c>
      <c r="AS556" s="30">
        <f>IFERROR(__xludf.DUMMYFUNCTION("""COMPUTED_VALUE"""),44.0)</f>
        <v>44</v>
      </c>
      <c r="AT556" s="30">
        <f>IFERROR(__xludf.DUMMYFUNCTION("""COMPUTED_VALUE"""),0.4741736405774122)</f>
        <v>0.4741736406</v>
      </c>
      <c r="AU556" s="30">
        <f>IFERROR(__xludf.DUMMYFUNCTION("""COMPUTED_VALUE"""),2.6414659612280125)</f>
        <v>2.641465961</v>
      </c>
      <c r="AV556" s="32">
        <f>IFERROR(__xludf.DUMMYFUNCTION("""COMPUTED_VALUE"""),54.81281720224074)</f>
        <v>54.8128172</v>
      </c>
      <c r="AW556" s="32">
        <f>IFERROR(__xludf.DUMMYFUNCTION("""COMPUTED_VALUE"""),2.360325858182487)</f>
        <v>2.360325858</v>
      </c>
      <c r="AX556" s="32">
        <f>IFERROR(__xludf.DUMMYFUNCTION("""COMPUTED_VALUE"""),50.0406071879419)</f>
        <v>50.04060719</v>
      </c>
      <c r="AY556" s="32">
        <f>IFERROR(__xludf.DUMMYFUNCTION("""COMPUTED_VALUE"""),2.002595350282313)</f>
        <v>2.00259535</v>
      </c>
      <c r="AZ556" s="30">
        <f>IFERROR(__xludf.DUMMYFUNCTION("""COMPUTED_VALUE"""),0.357730507900174)</f>
        <v>0.3577305079</v>
      </c>
      <c r="BA556" s="30">
        <f>IFERROR(__xludf.DUMMYFUNCTION("""COMPUTED_VALUE"""),1700.0)</f>
        <v>1700</v>
      </c>
    </row>
    <row r="557">
      <c r="A557" s="71" t="str">
        <f>IFERROR(__xludf.DUMMYFUNCTION("""COMPUTED_VALUE"""),"Rival")</f>
        <v>Rival</v>
      </c>
      <c r="B557" s="71" t="str">
        <f>IFERROR(__xludf.DUMMYFUNCTION("""COMPUTED_VALUE"""),"RSC005752")</f>
        <v>RSC005752</v>
      </c>
      <c r="C557" s="30" t="str">
        <f>IFERROR(__xludf.DUMMYFUNCTION("""COMPUTED_VALUE"""),"surge85")</f>
        <v>surge85</v>
      </c>
      <c r="D557" s="30" t="str">
        <f>IFERROR(__xludf.DUMMYFUNCTION("""COMPUTED_VALUE"""),"Polar Bears")</f>
        <v>Polar Bears</v>
      </c>
      <c r="E557" s="30">
        <f>IFERROR(__xludf.DUMMYFUNCTION("""COMPUTED_VALUE"""),45.0)</f>
        <v>45</v>
      </c>
      <c r="F557" s="30">
        <f>IFERROR(__xludf.DUMMYFUNCTION("""COMPUTED_VALUE"""),22.0)</f>
        <v>22</v>
      </c>
      <c r="G557" s="42">
        <f>IFERROR(__xludf.DUMMYFUNCTION("""COMPUTED_VALUE"""),23.0)</f>
        <v>23</v>
      </c>
      <c r="H557" s="42">
        <f>IFERROR(__xludf.DUMMYFUNCTION("""COMPUTED_VALUE"""),0.4888888888888889)</f>
        <v>0.4888888889</v>
      </c>
      <c r="I557" s="42">
        <f>IFERROR(__xludf.DUMMYFUNCTION("""COMPUTED_VALUE"""),0.35398230088495575)</f>
        <v>0.3539823009</v>
      </c>
      <c r="J557" s="30">
        <f>IFERROR(__xludf.DUMMYFUNCTION("""COMPUTED_VALUE"""),375.68888888888887)</f>
        <v>375.6888889</v>
      </c>
      <c r="K557" s="30">
        <f>IFERROR(__xludf.DUMMYFUNCTION("""COMPUTED_VALUE"""),0.8888888888888888)</f>
        <v>0.8888888889</v>
      </c>
      <c r="L557" s="30">
        <f>IFERROR(__xludf.DUMMYFUNCTION("""COMPUTED_VALUE"""),0.37777777777777777)</f>
        <v>0.3777777778</v>
      </c>
      <c r="M557" s="30">
        <f>IFERROR(__xludf.DUMMYFUNCTION("""COMPUTED_VALUE"""),1.4666666666666666)</f>
        <v>1.466666667</v>
      </c>
      <c r="N557" s="30">
        <f>IFERROR(__xludf.DUMMYFUNCTION("""COMPUTED_VALUE"""),2.511111111111111)</f>
        <v>2.511111111</v>
      </c>
      <c r="O557" s="30">
        <f>IFERROR(__xludf.DUMMYFUNCTION("""COMPUTED_VALUE"""),358.6814814814815)</f>
        <v>358.6814815</v>
      </c>
      <c r="P557" s="30">
        <f>IFERROR(__xludf.DUMMYFUNCTION("""COMPUTED_VALUE"""),0.8074074074074075)</f>
        <v>0.8074074074</v>
      </c>
      <c r="Q557" s="30">
        <f>IFERROR(__xludf.DUMMYFUNCTION("""COMPUTED_VALUE"""),0.6148148148148146)</f>
        <v>0.6148148148</v>
      </c>
      <c r="R557" s="30">
        <f>IFERROR(__xludf.DUMMYFUNCTION("""COMPUTED_VALUE"""),1.3925925925925926)</f>
        <v>1.392592593</v>
      </c>
      <c r="S557" s="30">
        <f>IFERROR(__xludf.DUMMYFUNCTION("""COMPUTED_VALUE"""),2.6148148148148147)</f>
        <v>2.614814815</v>
      </c>
      <c r="T557" s="30">
        <f>IFERROR(__xludf.DUMMYFUNCTION("""COMPUTED_VALUE"""),355.80459439977795)</f>
        <v>355.8045944</v>
      </c>
      <c r="U557" s="30">
        <f>IFERROR(__xludf.DUMMYFUNCTION("""COMPUTED_VALUE"""),0.8246751654436526)</f>
        <v>0.8246751654</v>
      </c>
      <c r="V557" s="30">
        <f>IFERROR(__xludf.DUMMYFUNCTION("""COMPUTED_VALUE"""),0.5785844157203214)</f>
        <v>0.5785844157</v>
      </c>
      <c r="W557" s="30">
        <f>IFERROR(__xludf.DUMMYFUNCTION("""COMPUTED_VALUE"""),1.3329400797313702)</f>
        <v>1.33294008</v>
      </c>
      <c r="X557" s="30">
        <f>IFERROR(__xludf.DUMMYFUNCTION("""COMPUTED_VALUE"""),2.5949256726070753)</f>
        <v>2.594925673</v>
      </c>
      <c r="Y557" s="30">
        <f>IFERROR(__xludf.DUMMYFUNCTION("""COMPUTED_VALUE"""),340.7165360165755)</f>
        <v>340.716536</v>
      </c>
      <c r="Z557" s="30">
        <f>IFERROR(__xludf.DUMMYFUNCTION("""COMPUTED_VALUE"""),0.7543356020691726)</f>
        <v>0.7543356021</v>
      </c>
      <c r="AA557" s="30">
        <f>IFERROR(__xludf.DUMMYFUNCTION("""COMPUTED_VALUE"""),0.5321816673273131)</f>
        <v>0.5321816673</v>
      </c>
      <c r="AB557" s="30">
        <f>IFERROR(__xludf.DUMMYFUNCTION("""COMPUTED_VALUE"""),1.2894037324387762)</f>
        <v>1.289403732</v>
      </c>
      <c r="AC557" s="30">
        <f>IFERROR(__xludf.DUMMYFUNCTION("""COMPUTED_VALUE"""),2.5123784583064968)</f>
        <v>2.512378458</v>
      </c>
      <c r="AD557" s="30">
        <f>IFERROR(__xludf.DUMMYFUNCTION("""COMPUTED_VALUE"""),1.1026435443409532)</f>
        <v>1.102643544</v>
      </c>
      <c r="AE557" s="30">
        <f>IFERROR(__xludf.DUMMYFUNCTION("""COMPUTED_VALUE"""),1.1783732418974144)</f>
        <v>1.178373242</v>
      </c>
      <c r="AF557" s="30">
        <f>IFERROR(__xludf.DUMMYFUNCTION("""COMPUTED_VALUE"""),0.7098661997791617)</f>
        <v>0.7098661998</v>
      </c>
      <c r="AG557" s="30">
        <f>IFERROR(__xludf.DUMMYFUNCTION("""COMPUTED_VALUE"""),1.1374766721766933)</f>
        <v>1.137476672</v>
      </c>
      <c r="AH557" s="30">
        <f>IFERROR(__xludf.DUMMYFUNCTION("""COMPUTED_VALUE"""),0.999495558803573)</f>
        <v>0.9994955588</v>
      </c>
      <c r="AI557" s="30">
        <f>IFERROR(__xludf.DUMMYFUNCTION("""COMPUTED_VALUE"""),1.0080855816000822)</f>
        <v>1.008085582</v>
      </c>
      <c r="AJ557" s="30">
        <f>IFERROR(__xludf.DUMMYFUNCTION("""COMPUTED_VALUE"""),0.9790611397556084)</f>
        <v>0.9790611398</v>
      </c>
      <c r="AK557" s="30">
        <f>IFERROR(__xludf.DUMMYFUNCTION("""COMPUTED_VALUE"""),1.0626190372745996)</f>
        <v>1.062619037</v>
      </c>
      <c r="AL557" s="30">
        <f>IFERROR(__xludf.DUMMYFUNCTION("""COMPUTED_VALUE"""),1.0447525839820528)</f>
        <v>1.044752584</v>
      </c>
      <c r="AM557" s="30">
        <f>IFERROR(__xludf.DUMMYFUNCTION("""COMPUTED_VALUE"""),1.0076646288630522)</f>
        <v>1.007664629</v>
      </c>
      <c r="AN557" s="30">
        <f>IFERROR(__xludf.DUMMYFUNCTION("""COMPUTED_VALUE"""),1.1079758239910198)</f>
        <v>1.107975824</v>
      </c>
      <c r="AO557" s="30">
        <f>IFERROR(__xludf.DUMMYFUNCTION("""COMPUTED_VALUE"""),1.1951608325617489)</f>
        <v>1.195160833</v>
      </c>
      <c r="AP557" s="30">
        <f>IFERROR(__xludf.DUMMYFUNCTION("""COMPUTED_VALUE"""),0.6921565478473093)</f>
        <v>0.6921565478</v>
      </c>
      <c r="AQ557" s="30">
        <f>IFERROR(__xludf.DUMMYFUNCTION("""COMPUTED_VALUE"""),1.1214346249767524)</f>
        <v>1.121434625</v>
      </c>
      <c r="AR557" s="30">
        <f>IFERROR(__xludf.DUMMYFUNCTION("""COMPUTED_VALUE"""),1.0037624094973923)</f>
        <v>1.003762409</v>
      </c>
      <c r="AS557" s="30">
        <f>IFERROR(__xludf.DUMMYFUNCTION("""COMPUTED_VALUE"""),109.0)</f>
        <v>109</v>
      </c>
      <c r="AT557" s="30">
        <f>IFERROR(__xludf.DUMMYFUNCTION("""COMPUTED_VALUE"""),0.4999999999999999)</f>
        <v>0.5</v>
      </c>
      <c r="AU557" s="30">
        <f>IFERROR(__xludf.DUMMYFUNCTION("""COMPUTED_VALUE"""),2.6577151529808707)</f>
        <v>2.657715153</v>
      </c>
      <c r="AV557" s="32">
        <f>IFERROR(__xludf.DUMMYFUNCTION("""COMPUTED_VALUE"""),55.27803115448981)</f>
        <v>55.27803115</v>
      </c>
      <c r="AW557" s="32">
        <f>IFERROR(__xludf.DUMMYFUNCTION("""COMPUTED_VALUE"""),2.4015581449217396)</f>
        <v>2.401558145</v>
      </c>
      <c r="AX557" s="32">
        <f>IFERROR(__xludf.DUMMYFUNCTION("""COMPUTED_VALUE"""),50.88676454957294)</f>
        <v>50.88676455</v>
      </c>
      <c r="AY557" s="32">
        <f>IFERROR(__xludf.DUMMYFUNCTION("""COMPUTED_VALUE"""),2.0582388907431106)</f>
        <v>2.058238891</v>
      </c>
      <c r="AZ557" s="30">
        <f>IFERROR(__xludf.DUMMYFUNCTION("""COMPUTED_VALUE"""),0.34331925417862896)</f>
        <v>0.3433192542</v>
      </c>
      <c r="BA557" s="30">
        <f>IFERROR(__xludf.DUMMYFUNCTION("""COMPUTED_VALUE"""),1700.0)</f>
        <v>1700</v>
      </c>
    </row>
    <row r="558">
      <c r="A558" s="71" t="str">
        <f>IFERROR(__xludf.DUMMYFUNCTION("""COMPUTED_VALUE"""),"Rival")</f>
        <v>Rival</v>
      </c>
      <c r="B558" s="71" t="str">
        <f>IFERROR(__xludf.DUMMYFUNCTION("""COMPUTED_VALUE"""),"RSC001082")</f>
        <v>RSC001082</v>
      </c>
      <c r="C558" s="30" t="str">
        <f>IFERROR(__xludf.DUMMYFUNCTION("""COMPUTED_VALUE"""),"Tuxedo Marx")</f>
        <v>Tuxedo Marx</v>
      </c>
      <c r="D558" s="30" t="str">
        <f>IFERROR(__xludf.DUMMYFUNCTION("""COMPUTED_VALUE"""),"Asiago Arsonists")</f>
        <v>Asiago Arsonists</v>
      </c>
      <c r="E558" s="30">
        <f>IFERROR(__xludf.DUMMYFUNCTION("""COMPUTED_VALUE"""),48.0)</f>
        <v>48</v>
      </c>
      <c r="F558" s="30">
        <f>IFERROR(__xludf.DUMMYFUNCTION("""COMPUTED_VALUE"""),23.0)</f>
        <v>23</v>
      </c>
      <c r="G558" s="42">
        <f>IFERROR(__xludf.DUMMYFUNCTION("""COMPUTED_VALUE"""),25.0)</f>
        <v>25</v>
      </c>
      <c r="H558" s="42">
        <f>IFERROR(__xludf.DUMMYFUNCTION("""COMPUTED_VALUE"""),0.4791666666666667)</f>
        <v>0.4791666667</v>
      </c>
      <c r="I558" s="42">
        <f>IFERROR(__xludf.DUMMYFUNCTION("""COMPUTED_VALUE"""),0.3828125)</f>
        <v>0.3828125</v>
      </c>
      <c r="J558" s="30">
        <f>IFERROR(__xludf.DUMMYFUNCTION("""COMPUTED_VALUE"""),336.1041666666667)</f>
        <v>336.1041667</v>
      </c>
      <c r="K558" s="30">
        <f>IFERROR(__xludf.DUMMYFUNCTION("""COMPUTED_VALUE"""),1.0208333333333333)</f>
        <v>1.020833333</v>
      </c>
      <c r="L558" s="30">
        <f>IFERROR(__xludf.DUMMYFUNCTION("""COMPUTED_VALUE"""),0.2916666666666667)</f>
        <v>0.2916666667</v>
      </c>
      <c r="M558" s="30">
        <f>IFERROR(__xludf.DUMMYFUNCTION("""COMPUTED_VALUE"""),0.875)</f>
        <v>0.875</v>
      </c>
      <c r="N558" s="30">
        <f>IFERROR(__xludf.DUMMYFUNCTION("""COMPUTED_VALUE"""),2.6666666666666665)</f>
        <v>2.666666667</v>
      </c>
      <c r="O558" s="30">
        <f>IFERROR(__xludf.DUMMYFUNCTION("""COMPUTED_VALUE"""),335.0208333333333)</f>
        <v>335.0208333</v>
      </c>
      <c r="P558" s="30">
        <f>IFERROR(__xludf.DUMMYFUNCTION("""COMPUTED_VALUE"""),0.7222222222222222)</f>
        <v>0.7222222222</v>
      </c>
      <c r="Q558" s="30">
        <f>IFERROR(__xludf.DUMMYFUNCTION("""COMPUTED_VALUE"""),0.5208333333333334)</f>
        <v>0.5208333333</v>
      </c>
      <c r="R558" s="30">
        <f>IFERROR(__xludf.DUMMYFUNCTION("""COMPUTED_VALUE"""),1.2083333333333333)</f>
        <v>1.208333333</v>
      </c>
      <c r="S558" s="30">
        <f>IFERROR(__xludf.DUMMYFUNCTION("""COMPUTED_VALUE"""),2.3611111111111116)</f>
        <v>2.361111111</v>
      </c>
      <c r="T558" s="30">
        <f>IFERROR(__xludf.DUMMYFUNCTION("""COMPUTED_VALUE"""),347.0752300741706)</f>
        <v>347.0752301</v>
      </c>
      <c r="U558" s="30">
        <f>IFERROR(__xludf.DUMMYFUNCTION("""COMPUTED_VALUE"""),0.7480340506494075)</f>
        <v>0.7480340506</v>
      </c>
      <c r="V558" s="30">
        <f>IFERROR(__xludf.DUMMYFUNCTION("""COMPUTED_VALUE"""),0.5700153598580285)</f>
        <v>0.5700153599</v>
      </c>
      <c r="W558" s="30">
        <f>IFERROR(__xludf.DUMMYFUNCTION("""COMPUTED_VALUE"""),1.3370696819841745)</f>
        <v>1.337069682</v>
      </c>
      <c r="X558" s="30">
        <f>IFERROR(__xludf.DUMMYFUNCTION("""COMPUTED_VALUE"""),2.573451451722119)</f>
        <v>2.573451452</v>
      </c>
      <c r="Y558" s="30">
        <f>IFERROR(__xludf.DUMMYFUNCTION("""COMPUTED_VALUE"""),351.4829700853846)</f>
        <v>351.4829701</v>
      </c>
      <c r="Z558" s="30">
        <f>IFERROR(__xludf.DUMMYFUNCTION("""COMPUTED_VALUE"""),0.7904378587836072)</f>
        <v>0.7904378588</v>
      </c>
      <c r="AA558" s="30">
        <f>IFERROR(__xludf.DUMMYFUNCTION("""COMPUTED_VALUE"""),0.5700375109717155)</f>
        <v>0.570037511</v>
      </c>
      <c r="AB558" s="30">
        <f>IFERROR(__xludf.DUMMYFUNCTION("""COMPUTED_VALUE"""),1.3338635396349614)</f>
        <v>1.33386354</v>
      </c>
      <c r="AC558" s="30">
        <f>IFERROR(__xludf.DUMMYFUNCTION("""COMPUTED_VALUE"""),2.6125287591613877)</f>
        <v>2.612528759</v>
      </c>
      <c r="AD558" s="30">
        <f>IFERROR(__xludf.DUMMYFUNCTION("""COMPUTED_VALUE"""),0.9562459500812174)</f>
        <v>0.9562459501</v>
      </c>
      <c r="AE558" s="30">
        <f>IFERROR(__xludf.DUMMYFUNCTION("""COMPUTED_VALUE"""),1.2914782888869698)</f>
        <v>1.291478289</v>
      </c>
      <c r="AF558" s="30">
        <f>IFERROR(__xludf.DUMMYFUNCTION("""COMPUTED_VALUE"""),0.5116622345948366)</f>
        <v>0.5116622346</v>
      </c>
      <c r="AG558" s="30">
        <f>IFERROR(__xludf.DUMMYFUNCTION("""COMPUTED_VALUE"""),0.6559891428170092)</f>
        <v>0.6559891428</v>
      </c>
      <c r="AH558" s="30">
        <f>IFERROR(__xludf.DUMMYFUNCTION("""COMPUTED_VALUE"""),1.0207224159027657)</f>
        <v>1.020722416</v>
      </c>
      <c r="AI558" s="30">
        <f>IFERROR(__xludf.DUMMYFUNCTION("""COMPUTED_VALUE"""),0.9652686343008079)</f>
        <v>0.9652686343</v>
      </c>
      <c r="AJ558" s="30">
        <f>IFERROR(__xludf.DUMMYFUNCTION("""COMPUTED_VALUE"""),0.9654937787861706)</f>
        <v>0.9654937788</v>
      </c>
      <c r="AK558" s="30">
        <f>IFERROR(__xludf.DUMMYFUNCTION("""COMPUTED_VALUE"""),0.9137180679886509)</f>
        <v>0.913718068</v>
      </c>
      <c r="AL558" s="30">
        <f>IFERROR(__xludf.DUMMYFUNCTION("""COMPUTED_VALUE"""),0.903717547121553)</f>
        <v>0.9037175471</v>
      </c>
      <c r="AM558" s="30">
        <f>IFERROR(__xludf.DUMMYFUNCTION("""COMPUTED_VALUE"""),0.9174881109690598)</f>
        <v>0.917488111</v>
      </c>
      <c r="AN558" s="30">
        <f>IFERROR(__xludf.DUMMYFUNCTION("""COMPUTED_VALUE"""),0.9912331772991352)</f>
        <v>0.9912331773</v>
      </c>
      <c r="AO558" s="30">
        <f>IFERROR(__xludf.DUMMYFUNCTION("""COMPUTED_VALUE"""),1.3725675186451336)</f>
        <v>1.372567519</v>
      </c>
      <c r="AP558" s="30">
        <f>IFERROR(__xludf.DUMMYFUNCTION("""COMPUTED_VALUE"""),0.5343855700291726)</f>
        <v>0.53438557</v>
      </c>
      <c r="AQ558" s="30">
        <f>IFERROR(__xludf.DUMMYFUNCTION("""COMPUTED_VALUE"""),0.6690377024009034)</f>
        <v>0.6690377024</v>
      </c>
      <c r="AR558" s="30">
        <f>IFERROR(__xludf.DUMMYFUNCTION("""COMPUTED_VALUE"""),1.065942381767142)</f>
        <v>1.065942382</v>
      </c>
      <c r="AS558" s="30">
        <f>IFERROR(__xludf.DUMMYFUNCTION("""COMPUTED_VALUE"""),107.0)</f>
        <v>107</v>
      </c>
      <c r="AT558" s="30">
        <f>IFERROR(__xludf.DUMMYFUNCTION("""COMPUTED_VALUE"""),0.5108723252791456)</f>
        <v>0.5108723253</v>
      </c>
      <c r="AU558" s="30">
        <f>IFERROR(__xludf.DUMMYFUNCTION("""COMPUTED_VALUE"""),2.6839260811417094)</f>
        <v>2.683926081</v>
      </c>
      <c r="AV558" s="32">
        <f>IFERROR(__xludf.DUMMYFUNCTION("""COMPUTED_VALUE"""),56.02844937019432)</f>
        <v>56.02844937</v>
      </c>
      <c r="AW558" s="32">
        <f>IFERROR(__xludf.DUMMYFUNCTION("""COMPUTED_VALUE"""),2.47081906666442)</f>
        <v>2.470819067</v>
      </c>
      <c r="AX558" s="32">
        <f>IFERROR(__xludf.DUMMYFUNCTION("""COMPUTED_VALUE"""),52.32838773087141)</f>
        <v>52.32838773</v>
      </c>
      <c r="AY558" s="32">
        <f>IFERROR(__xludf.DUMMYFUNCTION("""COMPUTED_VALUE"""),2.1603033490331276)</f>
        <v>2.160303349</v>
      </c>
      <c r="AZ558" s="30">
        <f>IFERROR(__xludf.DUMMYFUNCTION("""COMPUTED_VALUE"""),0.31051571763129227)</f>
        <v>0.3105157176</v>
      </c>
      <c r="BA558" s="30">
        <f>IFERROR(__xludf.DUMMYFUNCTION("""COMPUTED_VALUE"""),1700.0)</f>
        <v>1700</v>
      </c>
    </row>
    <row r="559">
      <c r="A559" s="71" t="str">
        <f>IFERROR(__xludf.DUMMYFUNCTION("""COMPUTED_VALUE"""),"Rival")</f>
        <v>Rival</v>
      </c>
      <c r="B559" s="71" t="str">
        <f>IFERROR(__xludf.DUMMYFUNCTION("""COMPUTED_VALUE"""),"RSC006944")</f>
        <v>RSC006944</v>
      </c>
      <c r="C559" s="30" t="str">
        <f>IFERROR(__xludf.DUMMYFUNCTION("""COMPUTED_VALUE"""),"Pr9xk")</f>
        <v>Pr9xk</v>
      </c>
      <c r="D559" s="30" t="str">
        <f>IFERROR(__xludf.DUMMYFUNCTION("""COMPUTED_VALUE"""),"Kitsune")</f>
        <v>Kitsune</v>
      </c>
      <c r="E559" s="30">
        <f>IFERROR(__xludf.DUMMYFUNCTION("""COMPUTED_VALUE"""),36.0)</f>
        <v>36</v>
      </c>
      <c r="F559" s="30">
        <f>IFERROR(__xludf.DUMMYFUNCTION("""COMPUTED_VALUE"""),21.0)</f>
        <v>21</v>
      </c>
      <c r="G559" s="42">
        <f>IFERROR(__xludf.DUMMYFUNCTION("""COMPUTED_VALUE"""),15.0)</f>
        <v>15</v>
      </c>
      <c r="H559" s="42">
        <f>IFERROR(__xludf.DUMMYFUNCTION("""COMPUTED_VALUE"""),0.5833333333333334)</f>
        <v>0.5833333333</v>
      </c>
      <c r="I559" s="42">
        <f>IFERROR(__xludf.DUMMYFUNCTION("""COMPUTED_VALUE"""),0.31958762886597936)</f>
        <v>0.3195876289</v>
      </c>
      <c r="J559" s="30">
        <f>IFERROR(__xludf.DUMMYFUNCTION("""COMPUTED_VALUE"""),359.3611111111111)</f>
        <v>359.3611111</v>
      </c>
      <c r="K559" s="30">
        <f>IFERROR(__xludf.DUMMYFUNCTION("""COMPUTED_VALUE"""),0.8611111111111112)</f>
        <v>0.8611111111</v>
      </c>
      <c r="L559" s="30">
        <f>IFERROR(__xludf.DUMMYFUNCTION("""COMPUTED_VALUE"""),0.5555555555555556)</f>
        <v>0.5555555556</v>
      </c>
      <c r="M559" s="30">
        <f>IFERROR(__xludf.DUMMYFUNCTION("""COMPUTED_VALUE"""),1.1944444444444444)</f>
        <v>1.194444444</v>
      </c>
      <c r="N559" s="30">
        <f>IFERROR(__xludf.DUMMYFUNCTION("""COMPUTED_VALUE"""),2.6944444444444446)</f>
        <v>2.694444444</v>
      </c>
      <c r="O559" s="30">
        <f>IFERROR(__xludf.DUMMYFUNCTION("""COMPUTED_VALUE"""),345.53703703703707)</f>
        <v>345.537037</v>
      </c>
      <c r="P559" s="30">
        <f>IFERROR(__xludf.DUMMYFUNCTION("""COMPUTED_VALUE"""),0.7037037037037037)</f>
        <v>0.7037037037</v>
      </c>
      <c r="Q559" s="30">
        <f>IFERROR(__xludf.DUMMYFUNCTION("""COMPUTED_VALUE"""),0.4999999999999998)</f>
        <v>0.5</v>
      </c>
      <c r="R559" s="30">
        <f>IFERROR(__xludf.DUMMYFUNCTION("""COMPUTED_VALUE"""),1.4166666666666665)</f>
        <v>1.416666667</v>
      </c>
      <c r="S559" s="30">
        <f>IFERROR(__xludf.DUMMYFUNCTION("""COMPUTED_VALUE"""),2.4537037037037037)</f>
        <v>2.453703704</v>
      </c>
      <c r="T559" s="30">
        <f>IFERROR(__xludf.DUMMYFUNCTION("""COMPUTED_VALUE"""),337.4489881075255)</f>
        <v>337.4489881</v>
      </c>
      <c r="U559" s="30">
        <f>IFERROR(__xludf.DUMMYFUNCTION("""COMPUTED_VALUE"""),0.7696699119358211)</f>
        <v>0.7696699119</v>
      </c>
      <c r="V559" s="30">
        <f>IFERROR(__xludf.DUMMYFUNCTION("""COMPUTED_VALUE"""),0.5318639919809742)</f>
        <v>0.531863992</v>
      </c>
      <c r="W559" s="30">
        <f>IFERROR(__xludf.DUMMYFUNCTION("""COMPUTED_VALUE"""),1.2919230008082616)</f>
        <v>1.291923001</v>
      </c>
      <c r="X559" s="30">
        <f>IFERROR(__xludf.DUMMYFUNCTION("""COMPUTED_VALUE"""),2.457198549498421)</f>
        <v>2.457198549</v>
      </c>
      <c r="Y559" s="30">
        <f>IFERROR(__xludf.DUMMYFUNCTION("""COMPUTED_VALUE"""),346.7930374107782)</f>
        <v>346.7930374</v>
      </c>
      <c r="Z559" s="30">
        <f>IFERROR(__xludf.DUMMYFUNCTION("""COMPUTED_VALUE"""),0.793003332333266)</f>
        <v>0.7930033323</v>
      </c>
      <c r="AA559" s="30">
        <f>IFERROR(__xludf.DUMMYFUNCTION("""COMPUTED_VALUE"""),0.5635547444160502)</f>
        <v>0.5635547444</v>
      </c>
      <c r="AB559" s="30">
        <f>IFERROR(__xludf.DUMMYFUNCTION("""COMPUTED_VALUE"""),1.317143297015648)</f>
        <v>1.317143297</v>
      </c>
      <c r="AC559" s="30">
        <f>IFERROR(__xludf.DUMMYFUNCTION("""COMPUTED_VALUE"""),2.5478111389748515)</f>
        <v>2.547811139</v>
      </c>
      <c r="AD559" s="30">
        <f>IFERROR(__xludf.DUMMYFUNCTION("""COMPUTED_VALUE"""),1.036240847838724)</f>
        <v>1.036240848</v>
      </c>
      <c r="AE559" s="30">
        <f>IFERROR(__xludf.DUMMYFUNCTION("""COMPUTED_VALUE"""),1.0858858670586549)</f>
        <v>1.085885867</v>
      </c>
      <c r="AF559" s="30">
        <f>IFERROR(__xludf.DUMMYFUNCTION("""COMPUTED_VALUE"""),0.9858058352986038)</f>
        <v>0.9858058353</v>
      </c>
      <c r="AG559" s="30">
        <f>IFERROR(__xludf.DUMMYFUNCTION("""COMPUTED_VALUE"""),0.9068447200473846)</f>
        <v>0.90684472</v>
      </c>
      <c r="AH559" s="30">
        <f>IFERROR(__xludf.DUMMYFUNCTION("""COMPUTED_VALUE"""),1.0575526589182718)</f>
        <v>1.057552659</v>
      </c>
      <c r="AI559" s="30">
        <f>IFERROR(__xludf.DUMMYFUNCTION("""COMPUTED_VALUE"""),1.023968212128508)</f>
        <v>1.023968212</v>
      </c>
      <c r="AJ559" s="30">
        <f>IFERROR(__xludf.DUMMYFUNCTION("""COMPUTED_VALUE"""),0.9142928582641308)</f>
        <v>0.9142928583</v>
      </c>
      <c r="AK559" s="30">
        <f>IFERROR(__xludf.DUMMYFUNCTION("""COMPUTED_VALUE"""),0.9400899619801404)</f>
        <v>0.940089962</v>
      </c>
      <c r="AL559" s="30">
        <f>IFERROR(__xludf.DUMMYFUNCTION("""COMPUTED_VALUE"""),1.0965565794403862)</f>
        <v>1.096556579</v>
      </c>
      <c r="AM559" s="30">
        <f>IFERROR(__xludf.DUMMYFUNCTION("""COMPUTED_VALUE"""),0.9985777112739096)</f>
        <v>0.9985777113</v>
      </c>
      <c r="AN559" s="30">
        <f>IFERROR(__xludf.DUMMYFUNCTION("""COMPUTED_VALUE"""),1.0598221958899077)</f>
        <v>1.059822196</v>
      </c>
      <c r="AO559" s="30">
        <f>IFERROR(__xludf.DUMMYFUNCTION("""COMPUTED_VALUE"""),1.1578120565441945)</f>
        <v>1.157812057</v>
      </c>
      <c r="AP559" s="30">
        <f>IFERROR(__xludf.DUMMYFUNCTION("""COMPUTED_VALUE"""),1.017877276246043)</f>
        <v>1.017877276</v>
      </c>
      <c r="AQ559" s="30">
        <f>IFERROR(__xludf.DUMMYFUNCTION("""COMPUTED_VALUE"""),0.9132895620075825)</f>
        <v>0.913289562</v>
      </c>
      <c r="AR559" s="30">
        <f>IFERROR(__xludf.DUMMYFUNCTION("""COMPUTED_VALUE"""),1.0770459482438832)</f>
        <v>1.077045948</v>
      </c>
      <c r="AS559" s="30">
        <f>IFERROR(__xludf.DUMMYFUNCTION("""COMPUTED_VALUE"""),79.0)</f>
        <v>79</v>
      </c>
      <c r="AT559" s="30">
        <f>IFERROR(__xludf.DUMMYFUNCTION("""COMPUTED_VALUE"""),0.5147114272708754)</f>
        <v>0.5147114273</v>
      </c>
      <c r="AU559" s="30">
        <f>IFERROR(__xludf.DUMMYFUNCTION("""COMPUTED_VALUE"""),2.866593444001733)</f>
        <v>2.866593444</v>
      </c>
      <c r="AV559" s="32">
        <f>IFERROR(__xludf.DUMMYFUNCTION("""COMPUTED_VALUE"""),61.25821138639305)</f>
        <v>61.25821139</v>
      </c>
      <c r="AW559" s="32">
        <f>IFERROR(__xludf.DUMMYFUNCTION("""COMPUTED_VALUE"""),3.0652580065701427)</f>
        <v>3.065258007</v>
      </c>
      <c r="AX559" s="32">
        <f>IFERROR(__xludf.DUMMYFUNCTION("""COMPUTED_VALUE"""),58.80432228957861)</f>
        <v>58.80432229</v>
      </c>
      <c r="AY559" s="32">
        <f>IFERROR(__xludf.DUMMYFUNCTION("""COMPUTED_VALUE"""),2.759729889124638)</f>
        <v>2.759729889</v>
      </c>
      <c r="AZ559" s="30">
        <f>IFERROR(__xludf.DUMMYFUNCTION("""COMPUTED_VALUE"""),0.3055281174455047)</f>
        <v>0.3055281174</v>
      </c>
      <c r="BA559" s="30">
        <f>IFERROR(__xludf.DUMMYFUNCTION("""COMPUTED_VALUE"""),1700.0)</f>
        <v>1700</v>
      </c>
    </row>
    <row r="560">
      <c r="A560" s="71" t="str">
        <f>IFERROR(__xludf.DUMMYFUNCTION("""COMPUTED_VALUE"""),"Rival")</f>
        <v>Rival</v>
      </c>
      <c r="B560" s="71" t="str">
        <f>IFERROR(__xludf.DUMMYFUNCTION("""COMPUTED_VALUE"""),"RSC002267")</f>
        <v>RSC002267</v>
      </c>
      <c r="C560" s="30" t="str">
        <f>IFERROR(__xludf.DUMMYFUNCTION("""COMPUTED_VALUE"""),"Dooqal")</f>
        <v>Dooqal</v>
      </c>
      <c r="D560" s="30" t="str">
        <f>IFERROR(__xludf.DUMMYFUNCTION("""COMPUTED_VALUE"""),"Dracos")</f>
        <v>Dracos</v>
      </c>
      <c r="E560" s="30">
        <f>IFERROR(__xludf.DUMMYFUNCTION("""COMPUTED_VALUE"""),36.0)</f>
        <v>36</v>
      </c>
      <c r="F560" s="30">
        <f>IFERROR(__xludf.DUMMYFUNCTION("""COMPUTED_VALUE"""),21.0)</f>
        <v>21</v>
      </c>
      <c r="G560" s="42">
        <f>IFERROR(__xludf.DUMMYFUNCTION("""COMPUTED_VALUE"""),15.0)</f>
        <v>15</v>
      </c>
      <c r="H560" s="42">
        <f>IFERROR(__xludf.DUMMYFUNCTION("""COMPUTED_VALUE"""),0.5833333333333334)</f>
        <v>0.5833333333</v>
      </c>
      <c r="I560" s="42">
        <f>IFERROR(__xludf.DUMMYFUNCTION("""COMPUTED_VALUE"""),0.3440860215053763)</f>
        <v>0.3440860215</v>
      </c>
      <c r="J560" s="30">
        <f>IFERROR(__xludf.DUMMYFUNCTION("""COMPUTED_VALUE"""),368.4166666666667)</f>
        <v>368.4166667</v>
      </c>
      <c r="K560" s="30">
        <f>IFERROR(__xludf.DUMMYFUNCTION("""COMPUTED_VALUE"""),0.8888888888888888)</f>
        <v>0.8888888889</v>
      </c>
      <c r="L560" s="30">
        <f>IFERROR(__xludf.DUMMYFUNCTION("""COMPUTED_VALUE"""),0.4722222222222222)</f>
        <v>0.4722222222</v>
      </c>
      <c r="M560" s="30">
        <f>IFERROR(__xludf.DUMMYFUNCTION("""COMPUTED_VALUE"""),1.4722222222222223)</f>
        <v>1.472222222</v>
      </c>
      <c r="N560" s="30">
        <f>IFERROR(__xludf.DUMMYFUNCTION("""COMPUTED_VALUE"""),2.5833333333333335)</f>
        <v>2.583333333</v>
      </c>
      <c r="O560" s="30">
        <f>IFERROR(__xludf.DUMMYFUNCTION("""COMPUTED_VALUE"""),343.61111111111114)</f>
        <v>343.6111111</v>
      </c>
      <c r="P560" s="30">
        <f>IFERROR(__xludf.DUMMYFUNCTION("""COMPUTED_VALUE"""),0.7962962962962963)</f>
        <v>0.7962962963</v>
      </c>
      <c r="Q560" s="30">
        <f>IFERROR(__xludf.DUMMYFUNCTION("""COMPUTED_VALUE"""),0.462962962962963)</f>
        <v>0.462962963</v>
      </c>
      <c r="R560" s="30">
        <f>IFERROR(__xludf.DUMMYFUNCTION("""COMPUTED_VALUE"""),1.2777777777777781)</f>
        <v>1.277777778</v>
      </c>
      <c r="S560" s="30">
        <f>IFERROR(__xludf.DUMMYFUNCTION("""COMPUTED_VALUE"""),2.6018518518518516)</f>
        <v>2.601851852</v>
      </c>
      <c r="T560" s="30">
        <f>IFERROR(__xludf.DUMMYFUNCTION("""COMPUTED_VALUE"""),352.5774625132409)</f>
        <v>352.5774625</v>
      </c>
      <c r="U560" s="30">
        <f>IFERROR(__xludf.DUMMYFUNCTION("""COMPUTED_VALUE"""),0.7854129312718982)</f>
        <v>0.7854129313</v>
      </c>
      <c r="V560" s="30">
        <f>IFERROR(__xludf.DUMMYFUNCTION("""COMPUTED_VALUE"""),0.5349741626793896)</f>
        <v>0.5349741627</v>
      </c>
      <c r="W560" s="30">
        <f>IFERROR(__xludf.DUMMYFUNCTION("""COMPUTED_VALUE"""),1.3439111703772764)</f>
        <v>1.34391117</v>
      </c>
      <c r="X560" s="30">
        <f>IFERROR(__xludf.DUMMYFUNCTION("""COMPUTED_VALUE"""),2.6848609869396527)</f>
        <v>2.684860987</v>
      </c>
      <c r="Y560" s="30">
        <f>IFERROR(__xludf.DUMMYFUNCTION("""COMPUTED_VALUE"""),358.578452272007)</f>
        <v>358.5784523</v>
      </c>
      <c r="Z560" s="30">
        <f>IFERROR(__xludf.DUMMYFUNCTION("""COMPUTED_VALUE"""),0.8440426828554479)</f>
        <v>0.8440426829</v>
      </c>
      <c r="AA560" s="30">
        <f>IFERROR(__xludf.DUMMYFUNCTION("""COMPUTED_VALUE"""),0.5949549878812225)</f>
        <v>0.5949549879</v>
      </c>
      <c r="AB560" s="30">
        <f>IFERROR(__xludf.DUMMYFUNCTION("""COMPUTED_VALUE"""),1.3273364396065899)</f>
        <v>1.32733644</v>
      </c>
      <c r="AC560" s="30">
        <f>IFERROR(__xludf.DUMMYFUNCTION("""COMPUTED_VALUE"""),2.625193833073289)</f>
        <v>2.625193833</v>
      </c>
      <c r="AD560" s="30">
        <f>IFERROR(__xludf.DUMMYFUNCTION("""COMPUTED_VALUE"""),1.0274367138692335)</f>
        <v>1.027436714</v>
      </c>
      <c r="AE560" s="30">
        <f>IFERROR(__xludf.DUMMYFUNCTION("""COMPUTED_VALUE"""),1.0531326281767215)</f>
        <v>1.053132628</v>
      </c>
      <c r="AF560" s="30">
        <f>IFERROR(__xludf.DUMMYFUNCTION("""COMPUTED_VALUE"""),0.7937108383676534)</f>
        <v>0.7937108384</v>
      </c>
      <c r="AG560" s="30">
        <f>IFERROR(__xludf.DUMMYFUNCTION("""COMPUTED_VALUE"""),1.1091552814285541)</f>
        <v>1.109155281</v>
      </c>
      <c r="AH560" s="30">
        <f>IFERROR(__xludf.DUMMYFUNCTION("""COMPUTED_VALUE"""),0.9840543204038577)</f>
        <v>0.9840543204</v>
      </c>
      <c r="AI560" s="30">
        <f>IFERROR(__xludf.DUMMYFUNCTION("""COMPUTED_VALUE"""),0.9745691306012135)</f>
        <v>0.9745691306</v>
      </c>
      <c r="AJ560" s="30">
        <f>IFERROR(__xludf.DUMMYFUNCTION("""COMPUTED_VALUE"""),1.013856870177543)</f>
        <v>1.01385687</v>
      </c>
      <c r="AK560" s="30">
        <f>IFERROR(__xludf.DUMMYFUNCTION("""COMPUTED_VALUE"""),0.8653931259861929)</f>
        <v>0.865393126</v>
      </c>
      <c r="AL560" s="30">
        <f>IFERROR(__xludf.DUMMYFUNCTION("""COMPUTED_VALUE"""),0.9507903542605926)</f>
        <v>0.9507903543</v>
      </c>
      <c r="AM560" s="30">
        <f>IFERROR(__xludf.DUMMYFUNCTION("""COMPUTED_VALUE"""),0.9690825202900284)</f>
        <v>0.9690825203</v>
      </c>
      <c r="AN560" s="30">
        <f>IFERROR(__xludf.DUMMYFUNCTION("""COMPUTED_VALUE"""),1.0865286993961387)</f>
        <v>1.086528699</v>
      </c>
      <c r="AO560" s="30">
        <f>IFERROR(__xludf.DUMMYFUNCTION("""COMPUTED_VALUE"""),1.1951608325617489)</f>
        <v>1.195160833</v>
      </c>
      <c r="AP560" s="30">
        <f>IFERROR(__xludf.DUMMYFUNCTION("""COMPUTED_VALUE"""),0.8651956848091366)</f>
        <v>0.8651956848</v>
      </c>
      <c r="AQ560" s="30">
        <f>IFERROR(__xludf.DUMMYFUNCTION("""COMPUTED_VALUE"""),1.1256824834046948)</f>
        <v>1.125682483</v>
      </c>
      <c r="AR560" s="30">
        <f>IFERROR(__xludf.DUMMYFUNCTION("""COMPUTED_VALUE"""),1.032631682336919)</f>
        <v>1.032631682</v>
      </c>
      <c r="AS560" s="30">
        <f>IFERROR(__xludf.DUMMYFUNCTION("""COMPUTED_VALUE"""),92.0)</f>
        <v>92</v>
      </c>
      <c r="AT560" s="30">
        <f>IFERROR(__xludf.DUMMYFUNCTION("""COMPUTED_VALUE"""),0.5266480744220372)</f>
        <v>0.5266480744</v>
      </c>
      <c r="AU560" s="30">
        <f>IFERROR(__xludf.DUMMYFUNCTION("""COMPUTED_VALUE"""),2.715070822225433)</f>
        <v>2.715070822</v>
      </c>
      <c r="AV560" s="32">
        <f>IFERROR(__xludf.DUMMYFUNCTION("""COMPUTED_VALUE"""),56.92012252610896)</f>
        <v>56.92012253</v>
      </c>
      <c r="AW560" s="32">
        <f>IFERROR(__xludf.DUMMYFUNCTION("""COMPUTED_VALUE"""),2.557773983042607)</f>
        <v>2.557773983</v>
      </c>
      <c r="AX560" s="32">
        <f>IFERROR(__xludf.DUMMYFUNCTION("""COMPUTED_VALUE"""),53.52722624456795)</f>
        <v>53.52722624</v>
      </c>
      <c r="AY560" s="32">
        <f>IFERROR(__xludf.DUMMYFUNCTION("""COMPUTED_VALUE"""),2.2527606604383807)</f>
        <v>2.25276066</v>
      </c>
      <c r="AZ560" s="30">
        <f>IFERROR(__xludf.DUMMYFUNCTION("""COMPUTED_VALUE"""),0.3050133226042262)</f>
        <v>0.3050133226</v>
      </c>
      <c r="BA560" s="30">
        <f>IFERROR(__xludf.DUMMYFUNCTION("""COMPUTED_VALUE"""),1700.0)</f>
        <v>1700</v>
      </c>
    </row>
    <row r="561">
      <c r="A561" s="71" t="str">
        <f>IFERROR(__xludf.DUMMYFUNCTION("""COMPUTED_VALUE"""),"Rival")</f>
        <v>Rival</v>
      </c>
      <c r="B561" s="71" t="str">
        <f>IFERROR(__xludf.DUMMYFUNCTION("""COMPUTED_VALUE"""),"RSC000737")</f>
        <v>RSC000737</v>
      </c>
      <c r="C561" s="30" t="str">
        <f>IFERROR(__xludf.DUMMYFUNCTION("""COMPUTED_VALUE"""),"AlienHealer")</f>
        <v>AlienHealer</v>
      </c>
      <c r="D561" s="30"/>
      <c r="E561" s="30">
        <f>IFERROR(__xludf.DUMMYFUNCTION("""COMPUTED_VALUE"""),2.0)</f>
        <v>2</v>
      </c>
      <c r="F561" s="30">
        <f>IFERROR(__xludf.DUMMYFUNCTION("""COMPUTED_VALUE"""),0.0)</f>
        <v>0</v>
      </c>
      <c r="G561" s="42">
        <f>IFERROR(__xludf.DUMMYFUNCTION("""COMPUTED_VALUE"""),2.0)</f>
        <v>2</v>
      </c>
      <c r="H561" s="42">
        <f>IFERROR(__xludf.DUMMYFUNCTION("""COMPUTED_VALUE"""),0.0)</f>
        <v>0</v>
      </c>
      <c r="I561" s="42">
        <f>IFERROR(__xludf.DUMMYFUNCTION("""COMPUTED_VALUE"""),0.0)</f>
        <v>0</v>
      </c>
      <c r="J561" s="30">
        <f>IFERROR(__xludf.DUMMYFUNCTION("""COMPUTED_VALUE"""),251.0)</f>
        <v>251</v>
      </c>
      <c r="K561" s="30">
        <f>IFERROR(__xludf.DUMMYFUNCTION("""COMPUTED_VALUE"""),0.0)</f>
        <v>0</v>
      </c>
      <c r="L561" s="30">
        <f>IFERROR(__xludf.DUMMYFUNCTION("""COMPUTED_VALUE"""),1.0)</f>
        <v>1</v>
      </c>
      <c r="M561" s="30">
        <f>IFERROR(__xludf.DUMMYFUNCTION("""COMPUTED_VALUE"""),0.0)</f>
        <v>0</v>
      </c>
      <c r="N561" s="30">
        <f>IFERROR(__xludf.DUMMYFUNCTION("""COMPUTED_VALUE"""),1.0)</f>
        <v>1</v>
      </c>
      <c r="O561" s="30">
        <f>IFERROR(__xludf.DUMMYFUNCTION("""COMPUTED_VALUE"""),335.5)</f>
        <v>335.5</v>
      </c>
      <c r="P561" s="30">
        <f>IFERROR(__xludf.DUMMYFUNCTION("""COMPUTED_VALUE"""),0.6666666666666666)</f>
        <v>0.6666666667</v>
      </c>
      <c r="Q561" s="30">
        <f>IFERROR(__xludf.DUMMYFUNCTION("""COMPUTED_VALUE"""),0.3333333333333333)</f>
        <v>0.3333333333</v>
      </c>
      <c r="R561" s="30">
        <f>IFERROR(__xludf.DUMMYFUNCTION("""COMPUTED_VALUE"""),1.1666666666666665)</f>
        <v>1.166666667</v>
      </c>
      <c r="S561" s="30">
        <f>IFERROR(__xludf.DUMMYFUNCTION("""COMPUTED_VALUE"""),2.5)</f>
        <v>2.5</v>
      </c>
      <c r="T561" s="30">
        <f>IFERROR(__xludf.DUMMYFUNCTION("""COMPUTED_VALUE"""),364.3194444444445)</f>
        <v>364.3194444</v>
      </c>
      <c r="U561" s="30">
        <f>IFERROR(__xludf.DUMMYFUNCTION("""COMPUTED_VALUE"""),0.8888888888888888)</f>
        <v>0.8888888889</v>
      </c>
      <c r="V561" s="30">
        <f>IFERROR(__xludf.DUMMYFUNCTION("""COMPUTED_VALUE"""),0.6041666666666666)</f>
        <v>0.6041666667</v>
      </c>
      <c r="W561" s="30">
        <f>IFERROR(__xludf.DUMMYFUNCTION("""COMPUTED_VALUE"""),1.361111111111111)</f>
        <v>1.361111111</v>
      </c>
      <c r="X561" s="30">
        <f>IFERROR(__xludf.DUMMYFUNCTION("""COMPUTED_VALUE"""),2.8263888888888893)</f>
        <v>2.826388889</v>
      </c>
      <c r="Y561" s="30">
        <f>IFERROR(__xludf.DUMMYFUNCTION("""COMPUTED_VALUE"""),329.09722222222223)</f>
        <v>329.0972222</v>
      </c>
      <c r="Z561" s="30">
        <f>IFERROR(__xludf.DUMMYFUNCTION("""COMPUTED_VALUE"""),0.611111111111111)</f>
        <v>0.6111111111</v>
      </c>
      <c r="AA561" s="30">
        <f>IFERROR(__xludf.DUMMYFUNCTION("""COMPUTED_VALUE"""),0.45138888888888884)</f>
        <v>0.4513888889</v>
      </c>
      <c r="AB561" s="30">
        <f>IFERROR(__xludf.DUMMYFUNCTION("""COMPUTED_VALUE"""),1.4166666666666663)</f>
        <v>1.416666667</v>
      </c>
      <c r="AC561" s="30">
        <f>IFERROR(__xludf.DUMMYFUNCTION("""COMPUTED_VALUE"""),2.3680555555555554)</f>
        <v>2.368055556</v>
      </c>
      <c r="AD561" s="30">
        <f>IFERROR(__xludf.DUMMYFUNCTION("""COMPUTED_VALUE"""),0.7626925511711331)</f>
        <v>0.7626925512</v>
      </c>
      <c r="AE561" s="30">
        <f>IFERROR(__xludf.DUMMYFUNCTION("""COMPUTED_VALUE"""),0.0)</f>
        <v>0</v>
      </c>
      <c r="AF561" s="30">
        <f>IFERROR(__xludf.DUMMYFUNCTION("""COMPUTED_VALUE"""),2.2153846153846155)</f>
        <v>2.215384615</v>
      </c>
      <c r="AG561" s="30">
        <f>IFERROR(__xludf.DUMMYFUNCTION("""COMPUTED_VALUE"""),0.0)</f>
        <v>0</v>
      </c>
      <c r="AH561" s="30">
        <f>IFERROR(__xludf.DUMMYFUNCTION("""COMPUTED_VALUE"""),0.4222873900293255)</f>
        <v>0.42228739</v>
      </c>
      <c r="AI561" s="30">
        <f>IFERROR(__xludf.DUMMYFUNCTION("""COMPUTED_VALUE"""),0.9208951240898172)</f>
        <v>0.9208951241</v>
      </c>
      <c r="AJ561" s="30">
        <f>IFERROR(__xludf.DUMMYFUNCTION("""COMPUTED_VALUE"""),0.75)</f>
        <v>0.75</v>
      </c>
      <c r="AK561" s="30">
        <f>IFERROR(__xludf.DUMMYFUNCTION("""COMPUTED_VALUE"""),0.5517241379310345)</f>
        <v>0.5517241379</v>
      </c>
      <c r="AL561" s="30">
        <f>IFERROR(__xludf.DUMMYFUNCTION("""COMPUTED_VALUE"""),0.8571428571428571)</f>
        <v>0.8571428571</v>
      </c>
      <c r="AM561" s="30">
        <f>IFERROR(__xludf.DUMMYFUNCTION("""COMPUTED_VALUE"""),0.8845208845208844)</f>
        <v>0.8845208845</v>
      </c>
      <c r="AN561" s="30">
        <f>IFERROR(__xludf.DUMMYFUNCTION("""COMPUTED_VALUE"""),0.7402452935039967)</f>
        <v>0.7402452935</v>
      </c>
      <c r="AO561" s="30">
        <f>IFERROR(__xludf.DUMMYFUNCTION("""COMPUTED_VALUE"""),0.0)</f>
        <v>0</v>
      </c>
      <c r="AP561" s="30">
        <f>IFERROR(__xludf.DUMMYFUNCTION("""COMPUTED_VALUE"""),1.8321790972428775)</f>
        <v>1.832179097</v>
      </c>
      <c r="AQ561" s="30">
        <f>IFERROR(__xludf.DUMMYFUNCTION("""COMPUTED_VALUE"""),0.0)</f>
        <v>0</v>
      </c>
      <c r="AR561" s="30">
        <f>IFERROR(__xludf.DUMMYFUNCTION("""COMPUTED_VALUE"""),0.3997283931626783)</f>
        <v>0.3997283932</v>
      </c>
      <c r="AS561" s="30">
        <f>IFERROR(__xludf.DUMMYFUNCTION("""COMPUTED_VALUE"""),2.0)</f>
        <v>2</v>
      </c>
      <c r="AT561" s="30">
        <f>IFERROR(__xludf.DUMMYFUNCTION("""COMPUTED_VALUE"""),0.2788691360543353)</f>
        <v>0.2788691361</v>
      </c>
      <c r="AU561" s="30">
        <f>IFERROR(__xludf.DUMMYFUNCTION("""COMPUTED_VALUE"""),1.6847313717524126)</f>
        <v>1.684731372</v>
      </c>
      <c r="AV561" s="32">
        <f>IFERROR(__xludf.DUMMYFUNCTION("""COMPUTED_VALUE"""),27.42152990667112)</f>
        <v>27.42152991</v>
      </c>
      <c r="AW561" s="32">
        <f>IFERROR(__xludf.DUMMYFUNCTION("""COMPUTED_VALUE"""),-5.4577372612770825)</f>
        <v>-5.457737261</v>
      </c>
      <c r="AX561" s="32">
        <f>IFERROR(__xludf.DUMMYFUNCTION("""COMPUTED_VALUE"""),28.204091554363377)</f>
        <v>28.20409155</v>
      </c>
      <c r="AY561" s="32">
        <f>IFERROR(__xludf.DUMMYFUNCTION("""COMPUTED_VALUE"""),-5.217876778199746)</f>
        <v>-5.217876778</v>
      </c>
      <c r="AZ561" s="30">
        <f>IFERROR(__xludf.DUMMYFUNCTION("""COMPUTED_VALUE"""),0.23986048307733654)</f>
        <v>0.2398604831</v>
      </c>
      <c r="BA561" s="30">
        <f>IFERROR(__xludf.DUMMYFUNCTION("""COMPUTED_VALUE"""),1700.0)</f>
        <v>1700</v>
      </c>
    </row>
    <row r="562">
      <c r="A562" s="71" t="str">
        <f>IFERROR(__xludf.DUMMYFUNCTION("""COMPUTED_VALUE"""),"Rival")</f>
        <v>Rival</v>
      </c>
      <c r="B562" s="71" t="str">
        <f>IFERROR(__xludf.DUMMYFUNCTION("""COMPUTED_VALUE"""),"RSC000848")</f>
        <v>RSC000848</v>
      </c>
      <c r="C562" s="30" t="str">
        <f>IFERROR(__xludf.DUMMYFUNCTION("""COMPUTED_VALUE"""),"WittingHalo64")</f>
        <v>WittingHalo64</v>
      </c>
      <c r="D562" s="30" t="str">
        <f>IFERROR(__xludf.DUMMYFUNCTION("""COMPUTED_VALUE"""),"Ruthless Racket")</f>
        <v>Ruthless Racket</v>
      </c>
      <c r="E562" s="30">
        <f>IFERROR(__xludf.DUMMYFUNCTION("""COMPUTED_VALUE"""),41.0)</f>
        <v>41</v>
      </c>
      <c r="F562" s="30">
        <f>IFERROR(__xludf.DUMMYFUNCTION("""COMPUTED_VALUE"""),15.0)</f>
        <v>15</v>
      </c>
      <c r="G562" s="42">
        <f>IFERROR(__xludf.DUMMYFUNCTION("""COMPUTED_VALUE"""),26.0)</f>
        <v>26</v>
      </c>
      <c r="H562" s="42">
        <f>IFERROR(__xludf.DUMMYFUNCTION("""COMPUTED_VALUE"""),0.36585365853658536)</f>
        <v>0.3658536585</v>
      </c>
      <c r="I562" s="42">
        <f>IFERROR(__xludf.DUMMYFUNCTION("""COMPUTED_VALUE"""),0.24271844660194175)</f>
        <v>0.2427184466</v>
      </c>
      <c r="J562" s="30">
        <f>IFERROR(__xludf.DUMMYFUNCTION("""COMPUTED_VALUE"""),333.8292682926829)</f>
        <v>333.8292683</v>
      </c>
      <c r="K562" s="30">
        <f>IFERROR(__xludf.DUMMYFUNCTION("""COMPUTED_VALUE"""),0.6097560975609756)</f>
        <v>0.6097560976</v>
      </c>
      <c r="L562" s="30">
        <f>IFERROR(__xludf.DUMMYFUNCTION("""COMPUTED_VALUE"""),0.5365853658536586)</f>
        <v>0.5365853659</v>
      </c>
      <c r="M562" s="30">
        <f>IFERROR(__xludf.DUMMYFUNCTION("""COMPUTED_VALUE"""),1.2926829268292683)</f>
        <v>1.292682927</v>
      </c>
      <c r="N562" s="30">
        <f>IFERROR(__xludf.DUMMYFUNCTION("""COMPUTED_VALUE"""),2.5121951219512195)</f>
        <v>2.512195122</v>
      </c>
      <c r="O562" s="30">
        <f>IFERROR(__xludf.DUMMYFUNCTION("""COMPUTED_VALUE"""),351.2764227642277)</f>
        <v>351.2764228</v>
      </c>
      <c r="P562" s="30">
        <f>IFERROR(__xludf.DUMMYFUNCTION("""COMPUTED_VALUE"""),0.8455284552845528)</f>
        <v>0.8455284553</v>
      </c>
      <c r="Q562" s="30">
        <f>IFERROR(__xludf.DUMMYFUNCTION("""COMPUTED_VALUE"""),0.6260162601626016)</f>
        <v>0.6260162602</v>
      </c>
      <c r="R562" s="30">
        <f>IFERROR(__xludf.DUMMYFUNCTION("""COMPUTED_VALUE"""),1.1138211382113818)</f>
        <v>1.113821138</v>
      </c>
      <c r="S562" s="30">
        <f>IFERROR(__xludf.DUMMYFUNCTION("""COMPUTED_VALUE"""),2.7804878048780486)</f>
        <v>2.780487805</v>
      </c>
      <c r="T562" s="30">
        <f>IFERROR(__xludf.DUMMYFUNCTION("""COMPUTED_VALUE"""),349.571594739689)</f>
        <v>349.5715947</v>
      </c>
      <c r="U562" s="30">
        <f>IFERROR(__xludf.DUMMYFUNCTION("""COMPUTED_VALUE"""),0.830285754327614)</f>
        <v>0.8302857543</v>
      </c>
      <c r="V562" s="30">
        <f>IFERROR(__xludf.DUMMYFUNCTION("""COMPUTED_VALUE"""),0.5827722195207409)</f>
        <v>0.5827722195</v>
      </c>
      <c r="W562" s="30">
        <f>IFERROR(__xludf.DUMMYFUNCTION("""COMPUTED_VALUE"""),1.229291560453991)</f>
        <v>1.22929156</v>
      </c>
      <c r="X562" s="30">
        <f>IFERROR(__xludf.DUMMYFUNCTION("""COMPUTED_VALUE"""),2.6745825211559207)</f>
        <v>2.674582521</v>
      </c>
      <c r="Y562" s="30">
        <f>IFERROR(__xludf.DUMMYFUNCTION("""COMPUTED_VALUE"""),341.2535317134156)</f>
        <v>341.2535317</v>
      </c>
      <c r="Z562" s="30">
        <f>IFERROR(__xludf.DUMMYFUNCTION("""COMPUTED_VALUE"""),0.7472804419669508)</f>
        <v>0.747280442</v>
      </c>
      <c r="AA562" s="30">
        <f>IFERROR(__xludf.DUMMYFUNCTION("""COMPUTED_VALUE"""),0.5416025379392703)</f>
        <v>0.5416025379</v>
      </c>
      <c r="AB562" s="30">
        <f>IFERROR(__xludf.DUMMYFUNCTION("""COMPUTED_VALUE"""),1.3423522908580057)</f>
        <v>1.342352291</v>
      </c>
      <c r="AC562" s="30">
        <f>IFERROR(__xludf.DUMMYFUNCTION("""COMPUTED_VALUE"""),2.4315669581441792)</f>
        <v>2.431566958</v>
      </c>
      <c r="AD562" s="30">
        <f>IFERROR(__xludf.DUMMYFUNCTION("""COMPUTED_VALUE"""),0.978244141874647)</f>
        <v>0.9782441419</v>
      </c>
      <c r="AE562" s="30">
        <f>IFERROR(__xludf.DUMMYFUNCTION("""COMPUTED_VALUE"""),0.8159668891587861)</f>
        <v>0.8159668892</v>
      </c>
      <c r="AF562" s="30">
        <f>IFERROR(__xludf.DUMMYFUNCTION("""COMPUTED_VALUE"""),0.9907364317296197)</f>
        <v>0.9907364317</v>
      </c>
      <c r="AG562" s="30">
        <f>IFERROR(__xludf.DUMMYFUNCTION("""COMPUTED_VALUE"""),0.9629982647871151)</f>
        <v>0.9629982648</v>
      </c>
      <c r="AH562" s="30">
        <f>IFERROR(__xludf.DUMMYFUNCTION("""COMPUTED_VALUE"""),1.0331589321597696)</f>
        <v>1.033158932</v>
      </c>
      <c r="AI562" s="30">
        <f>IFERROR(__xludf.DUMMYFUNCTION("""COMPUTED_VALUE"""),1.0048769066199679)</f>
        <v>1.004876907</v>
      </c>
      <c r="AJ562" s="30">
        <f>IFERROR(__xludf.DUMMYFUNCTION("""COMPUTED_VALUE"""),1.0183583794825948)</f>
        <v>1.018358379</v>
      </c>
      <c r="AK562" s="30">
        <f>IFERROR(__xludf.DUMMYFUNCTION("""COMPUTED_VALUE"""),1.0742040186428647)</f>
        <v>1.074204019</v>
      </c>
      <c r="AL562" s="30">
        <f>IFERROR(__xludf.DUMMYFUNCTION("""COMPUTED_VALUE"""),0.9060675059056253)</f>
        <v>0.9060675059</v>
      </c>
      <c r="AM562" s="30">
        <f>IFERROR(__xludf.DUMMYFUNCTION("""COMPUTED_VALUE"""),1.039596940039957)</f>
        <v>1.03959694</v>
      </c>
      <c r="AN562" s="30">
        <f>IFERROR(__xludf.DUMMYFUNCTION("""COMPUTED_VALUE"""),0.9845240824204842)</f>
        <v>0.9845240824</v>
      </c>
      <c r="AO562" s="30">
        <f>IFERROR(__xludf.DUMMYFUNCTION("""COMPUTED_VALUE"""),0.819851180873151)</f>
        <v>0.8198511809</v>
      </c>
      <c r="AP562" s="30">
        <f>IFERROR(__xludf.DUMMYFUNCTION("""COMPUTED_VALUE"""),0.9831204912034953)</f>
        <v>0.9831204912</v>
      </c>
      <c r="AQ562" s="30">
        <f>IFERROR(__xludf.DUMMYFUNCTION("""COMPUTED_VALUE"""),0.9884041317699759)</f>
        <v>0.9884041318</v>
      </c>
      <c r="AR562" s="30">
        <f>IFERROR(__xludf.DUMMYFUNCTION("""COMPUTED_VALUE"""),1.0041957194086797)</f>
        <v>1.004195719</v>
      </c>
      <c r="AS562" s="30">
        <f>IFERROR(__xludf.DUMMYFUNCTION("""COMPUTED_VALUE"""),77.0)</f>
        <v>77</v>
      </c>
      <c r="AT562" s="30">
        <f>IFERROR(__xludf.DUMMYFUNCTION("""COMPUTED_VALUE"""),0.38691169040096385)</f>
        <v>0.3869116904</v>
      </c>
      <c r="AU562" s="30">
        <f>IFERROR(__xludf.DUMMYFUNCTION("""COMPUTED_VALUE"""),2.3022499851599494)</f>
        <v>2.302249985</v>
      </c>
      <c r="AV562" s="32">
        <f>IFERROR(__xludf.DUMMYFUNCTION("""COMPUTED_VALUE"""),45.10107231715173)</f>
        <v>45.10107232</v>
      </c>
      <c r="AW562" s="32">
        <f>IFERROR(__xludf.DUMMYFUNCTION("""COMPUTED_VALUE"""),-2.3678622227726214)</f>
        <v>-2.367862223</v>
      </c>
      <c r="AX562" s="32">
        <f>IFERROR(__xludf.DUMMYFUNCTION("""COMPUTED_VALUE"""),48.016226112163146)</f>
        <v>48.01622611</v>
      </c>
      <c r="AY562" s="32">
        <f>IFERROR(__xludf.DUMMYFUNCTION("""COMPUTED_VALUE"""),-2.1350334407603357)</f>
        <v>-2.135033441</v>
      </c>
      <c r="AZ562" s="30">
        <f>IFERROR(__xludf.DUMMYFUNCTION("""COMPUTED_VALUE"""),0.23282878201228563)</f>
        <v>0.232828782</v>
      </c>
      <c r="BA562" s="30">
        <f>IFERROR(__xludf.DUMMYFUNCTION("""COMPUTED_VALUE"""),1700.0)</f>
        <v>1700</v>
      </c>
    </row>
    <row r="563">
      <c r="A563" s="71" t="str">
        <f>IFERROR(__xludf.DUMMYFUNCTION("""COMPUTED_VALUE"""),"Rival")</f>
        <v>Rival</v>
      </c>
      <c r="B563" s="71" t="str">
        <f>IFERROR(__xludf.DUMMYFUNCTION("""COMPUTED_VALUE"""),"RSC000724")</f>
        <v>RSC000724</v>
      </c>
      <c r="C563" s="30" t="str">
        <f>IFERROR(__xludf.DUMMYFUNCTION("""COMPUTED_VALUE"""),"dunnie14")</f>
        <v>dunnie14</v>
      </c>
      <c r="D563" s="30" t="str">
        <f>IFERROR(__xludf.DUMMYFUNCTION("""COMPUTED_VALUE"""),"Ion Imperial")</f>
        <v>Ion Imperial</v>
      </c>
      <c r="E563" s="30">
        <f>IFERROR(__xludf.DUMMYFUNCTION("""COMPUTED_VALUE"""),48.0)</f>
        <v>48</v>
      </c>
      <c r="F563" s="30">
        <f>IFERROR(__xludf.DUMMYFUNCTION("""COMPUTED_VALUE"""),29.0)</f>
        <v>29</v>
      </c>
      <c r="G563" s="42">
        <f>IFERROR(__xludf.DUMMYFUNCTION("""COMPUTED_VALUE"""),19.0)</f>
        <v>19</v>
      </c>
      <c r="H563" s="42">
        <f>IFERROR(__xludf.DUMMYFUNCTION("""COMPUTED_VALUE"""),0.6041666666666666)</f>
        <v>0.6041666667</v>
      </c>
      <c r="I563" s="42">
        <f>IFERROR(__xludf.DUMMYFUNCTION("""COMPUTED_VALUE"""),0.3457943925233645)</f>
        <v>0.3457943925</v>
      </c>
      <c r="J563" s="30">
        <f>IFERROR(__xludf.DUMMYFUNCTION("""COMPUTED_VALUE"""),361.2291666666667)</f>
        <v>361.2291667</v>
      </c>
      <c r="K563" s="30">
        <f>IFERROR(__xludf.DUMMYFUNCTION("""COMPUTED_VALUE"""),0.7708333333333334)</f>
        <v>0.7708333333</v>
      </c>
      <c r="L563" s="30">
        <f>IFERROR(__xludf.DUMMYFUNCTION("""COMPUTED_VALUE"""),0.6666666666666666)</f>
        <v>0.6666666667</v>
      </c>
      <c r="M563" s="30">
        <f>IFERROR(__xludf.DUMMYFUNCTION("""COMPUTED_VALUE"""),1.3541666666666667)</f>
        <v>1.354166667</v>
      </c>
      <c r="N563" s="30">
        <f>IFERROR(__xludf.DUMMYFUNCTION("""COMPUTED_VALUE"""),2.2291666666666665)</f>
        <v>2.229166667</v>
      </c>
      <c r="O563" s="30">
        <f>IFERROR(__xludf.DUMMYFUNCTION("""COMPUTED_VALUE"""),336.4375000000001)</f>
        <v>336.4375</v>
      </c>
      <c r="P563" s="30">
        <f>IFERROR(__xludf.DUMMYFUNCTION("""COMPUTED_VALUE"""),0.6805555555555557)</f>
        <v>0.6805555556</v>
      </c>
      <c r="Q563" s="30">
        <f>IFERROR(__xludf.DUMMYFUNCTION("""COMPUTED_VALUE"""),0.4930555555555555)</f>
        <v>0.4930555556</v>
      </c>
      <c r="R563" s="30">
        <f>IFERROR(__xludf.DUMMYFUNCTION("""COMPUTED_VALUE"""),1.4236111111111116)</f>
        <v>1.423611111</v>
      </c>
      <c r="S563" s="30">
        <f>IFERROR(__xludf.DUMMYFUNCTION("""COMPUTED_VALUE"""),2.388888888888889)</f>
        <v>2.388888889</v>
      </c>
      <c r="T563" s="30">
        <f>IFERROR(__xludf.DUMMYFUNCTION("""COMPUTED_VALUE"""),341.7355123034337)</f>
        <v>341.7355123</v>
      </c>
      <c r="U563" s="30">
        <f>IFERROR(__xludf.DUMMYFUNCTION("""COMPUTED_VALUE"""),0.7528297071794451)</f>
        <v>0.7528297072</v>
      </c>
      <c r="V563" s="30">
        <f>IFERROR(__xludf.DUMMYFUNCTION("""COMPUTED_VALUE"""),0.5204735015173059)</f>
        <v>0.5204735015</v>
      </c>
      <c r="W563" s="30">
        <f>IFERROR(__xludf.DUMMYFUNCTION("""COMPUTED_VALUE"""),1.3197019928754663)</f>
        <v>1.319701993</v>
      </c>
      <c r="X563" s="30">
        <f>IFERROR(__xludf.DUMMYFUNCTION("""COMPUTED_VALUE"""),2.559766365509251)</f>
        <v>2.559766366</v>
      </c>
      <c r="Y563" s="30">
        <f>IFERROR(__xludf.DUMMYFUNCTION("""COMPUTED_VALUE"""),356.0443240304974)</f>
        <v>356.044324</v>
      </c>
      <c r="Z563" s="30">
        <f>IFERROR(__xludf.DUMMYFUNCTION("""COMPUTED_VALUE"""),0.8354082370409627)</f>
        <v>0.835408237</v>
      </c>
      <c r="AA563" s="30">
        <f>IFERROR(__xludf.DUMMYFUNCTION("""COMPUTED_VALUE"""),0.5899797838414229)</f>
        <v>0.5899797838</v>
      </c>
      <c r="AB563" s="30">
        <f>IFERROR(__xludf.DUMMYFUNCTION("""COMPUTED_VALUE"""),1.3096293103587946)</f>
        <v>1.30962931</v>
      </c>
      <c r="AC563" s="30">
        <f>IFERROR(__xludf.DUMMYFUNCTION("""COMPUTED_VALUE"""),2.6017962628998355)</f>
        <v>2.601796263</v>
      </c>
      <c r="AD563" s="30">
        <f>IFERROR(__xludf.DUMMYFUNCTION("""COMPUTED_VALUE"""),1.0145623516125064)</f>
        <v>1.014562352</v>
      </c>
      <c r="AE563" s="30">
        <f>IFERROR(__xludf.DUMMYFUNCTION("""COMPUTED_VALUE"""),0.9227025772018298)</f>
        <v>0.9227025772</v>
      </c>
      <c r="AF563" s="30">
        <f>IFERROR(__xludf.DUMMYFUNCTION("""COMPUTED_VALUE"""),1.1299822212990538)</f>
        <v>1.129982221</v>
      </c>
      <c r="AG563" s="30">
        <f>IFERROR(__xludf.DUMMYFUNCTION("""COMPUTED_VALUE"""),1.0340076050189122)</f>
        <v>1.034007605</v>
      </c>
      <c r="AH563" s="30">
        <f>IFERROR(__xludf.DUMMYFUNCTION("""COMPUTED_VALUE"""),0.8567798710657482)</f>
        <v>0.8567798711</v>
      </c>
      <c r="AI563" s="30">
        <f>IFERROR(__xludf.DUMMYFUNCTION("""COMPUTED_VALUE"""),0.9844967464232123)</f>
        <v>0.9844967464</v>
      </c>
      <c r="AJ563" s="30">
        <f>IFERROR(__xludf.DUMMYFUNCTION("""COMPUTED_VALUE"""),0.9039966795483244)</f>
        <v>0.9039966795</v>
      </c>
      <c r="AK563" s="30">
        <f>IFERROR(__xludf.DUMMYFUNCTION("""COMPUTED_VALUE"""),0.9473211491424243)</f>
        <v>0.9473211491</v>
      </c>
      <c r="AL563" s="30">
        <f>IFERROR(__xludf.DUMMYFUNCTION("""COMPUTED_VALUE"""),1.0787368048215493)</f>
        <v>1.078736805</v>
      </c>
      <c r="AM563" s="30">
        <f>IFERROR(__xludf.DUMMYFUNCTION("""COMPUTED_VALUE"""),0.9332448933923049)</f>
        <v>0.9332448934</v>
      </c>
      <c r="AN563" s="30">
        <f>IFERROR(__xludf.DUMMYFUNCTION("""COMPUTED_VALUE"""),1.0653314362604416)</f>
        <v>1.065331436</v>
      </c>
      <c r="AO563" s="30">
        <f>IFERROR(__xludf.DUMMYFUNCTION("""COMPUTED_VALUE"""),1.0364285344871418)</f>
        <v>1.036428534</v>
      </c>
      <c r="AP563" s="30">
        <f>IFERROR(__xludf.DUMMYFUNCTION("""COMPUTED_VALUE"""),1.2214527314952517)</f>
        <v>1.221452731</v>
      </c>
      <c r="AQ563" s="30">
        <f>IFERROR(__xludf.DUMMYFUNCTION("""COMPUTED_VALUE"""),1.035415491810922)</f>
        <v>1.035415492</v>
      </c>
      <c r="AR563" s="30">
        <f>IFERROR(__xludf.DUMMYFUNCTION("""COMPUTED_VALUE"""),0.8910612097584704)</f>
        <v>0.8910612098</v>
      </c>
      <c r="AS563" s="30">
        <f>IFERROR(__xludf.DUMMYFUNCTION("""COMPUTED_VALUE"""),121.0)</f>
        <v>121</v>
      </c>
      <c r="AT563" s="30">
        <f>IFERROR(__xludf.DUMMYFUNCTION("""COMPUTED_VALUE"""),0.5807660169900348)</f>
        <v>0.580766017</v>
      </c>
      <c r="AU563" s="30">
        <f>IFERROR(__xludf.DUMMYFUNCTION("""COMPUTED_VALUE"""),2.6944682783894054)</f>
        <v>2.694468278</v>
      </c>
      <c r="AV563" s="32">
        <f>IFERROR(__xludf.DUMMYFUNCTION("""COMPUTED_VALUE"""),56.33027221292909)</f>
        <v>56.33027221</v>
      </c>
      <c r="AW563" s="32">
        <f>IFERROR(__xludf.DUMMYFUNCTION("""COMPUTED_VALUE"""),2.499671128213647)</f>
        <v>2.499671128</v>
      </c>
      <c r="AX563" s="32">
        <f>IFERROR(__xludf.DUMMYFUNCTION("""COMPUTED_VALUE"""),54.025296776497875)</f>
        <v>54.02529678</v>
      </c>
      <c r="AY563" s="32">
        <f>IFERROR(__xludf.DUMMYFUNCTION("""COMPUTED_VALUE"""),2.2933569281312187)</f>
        <v>2.293356928</v>
      </c>
      <c r="AZ563" s="30">
        <f>IFERROR(__xludf.DUMMYFUNCTION("""COMPUTED_VALUE"""),0.2063142000824283)</f>
        <v>0.2063142001</v>
      </c>
      <c r="BA563" s="30">
        <f>IFERROR(__xludf.DUMMYFUNCTION("""COMPUTED_VALUE"""),1700.0)</f>
        <v>1700</v>
      </c>
    </row>
    <row r="564">
      <c r="A564" s="71" t="str">
        <f>IFERROR(__xludf.DUMMYFUNCTION("""COMPUTED_VALUE"""),"Rival")</f>
        <v>Rival</v>
      </c>
      <c r="B564" s="71" t="str">
        <f>IFERROR(__xludf.DUMMYFUNCTION("""COMPUTED_VALUE"""),"RSC005314")</f>
        <v>RSC005314</v>
      </c>
      <c r="C564" s="30" t="str">
        <f>IFERROR(__xludf.DUMMYFUNCTION("""COMPUTED_VALUE"""),"daggumbigfeet")</f>
        <v>daggumbigfeet</v>
      </c>
      <c r="D564" s="30" t="str">
        <f>IFERROR(__xludf.DUMMYFUNCTION("""COMPUTED_VALUE"""),"Dice")</f>
        <v>Dice</v>
      </c>
      <c r="E564" s="30">
        <f>IFERROR(__xludf.DUMMYFUNCTION("""COMPUTED_VALUE"""),28.0)</f>
        <v>28</v>
      </c>
      <c r="F564" s="30">
        <f>IFERROR(__xludf.DUMMYFUNCTION("""COMPUTED_VALUE"""),11.0)</f>
        <v>11</v>
      </c>
      <c r="G564" s="42">
        <f>IFERROR(__xludf.DUMMYFUNCTION("""COMPUTED_VALUE"""),17.0)</f>
        <v>17</v>
      </c>
      <c r="H564" s="42">
        <f>IFERROR(__xludf.DUMMYFUNCTION("""COMPUTED_VALUE"""),0.39285714285714285)</f>
        <v>0.3928571429</v>
      </c>
      <c r="I564" s="42">
        <f>IFERROR(__xludf.DUMMYFUNCTION("""COMPUTED_VALUE"""),0.3152173913043479)</f>
        <v>0.3152173913</v>
      </c>
      <c r="J564" s="30">
        <f>IFERROR(__xludf.DUMMYFUNCTION("""COMPUTED_VALUE"""),381.57142857142856)</f>
        <v>381.5714286</v>
      </c>
      <c r="K564" s="30">
        <f>IFERROR(__xludf.DUMMYFUNCTION("""COMPUTED_VALUE"""),1.0357142857142858)</f>
        <v>1.035714286</v>
      </c>
      <c r="L564" s="30">
        <f>IFERROR(__xludf.DUMMYFUNCTION("""COMPUTED_VALUE"""),0.6071428571428571)</f>
        <v>0.6071428571</v>
      </c>
      <c r="M564" s="30">
        <f>IFERROR(__xludf.DUMMYFUNCTION("""COMPUTED_VALUE"""),1.25)</f>
        <v>1.25</v>
      </c>
      <c r="N564" s="30">
        <f>IFERROR(__xludf.DUMMYFUNCTION("""COMPUTED_VALUE"""),3.2857142857142856)</f>
        <v>3.285714286</v>
      </c>
      <c r="O564" s="30">
        <f>IFERROR(__xludf.DUMMYFUNCTION("""COMPUTED_VALUE"""),358.5)</f>
        <v>358.5</v>
      </c>
      <c r="P564" s="30">
        <f>IFERROR(__xludf.DUMMYFUNCTION("""COMPUTED_VALUE"""),0.9404761904761906)</f>
        <v>0.9404761905</v>
      </c>
      <c r="Q564" s="30">
        <f>IFERROR(__xludf.DUMMYFUNCTION("""COMPUTED_VALUE"""),0.6190476190476188)</f>
        <v>0.619047619</v>
      </c>
      <c r="R564" s="30">
        <f>IFERROR(__xludf.DUMMYFUNCTION("""COMPUTED_VALUE"""),1.2976190476190474)</f>
        <v>1.297619048</v>
      </c>
      <c r="S564" s="30">
        <f>IFERROR(__xludf.DUMMYFUNCTION("""COMPUTED_VALUE"""),2.511904761904762)</f>
        <v>2.511904762</v>
      </c>
      <c r="T564" s="30">
        <f>IFERROR(__xludf.DUMMYFUNCTION("""COMPUTED_VALUE"""),335.6497889283099)</f>
        <v>335.6497889</v>
      </c>
      <c r="U564" s="30">
        <f>IFERROR(__xludf.DUMMYFUNCTION("""COMPUTED_VALUE"""),0.7295324567825581)</f>
        <v>0.7295324568</v>
      </c>
      <c r="V564" s="30">
        <f>IFERROR(__xludf.DUMMYFUNCTION("""COMPUTED_VALUE"""),0.5184794587434991)</f>
        <v>0.5184794587</v>
      </c>
      <c r="W564" s="30">
        <f>IFERROR(__xludf.DUMMYFUNCTION("""COMPUTED_VALUE"""),1.3212177023581237)</f>
        <v>1.321217702</v>
      </c>
      <c r="X564" s="30">
        <f>IFERROR(__xludf.DUMMYFUNCTION("""COMPUTED_VALUE"""),2.4253436545646285)</f>
        <v>2.425343655</v>
      </c>
      <c r="Y564" s="30">
        <f>IFERROR(__xludf.DUMMYFUNCTION("""COMPUTED_VALUE"""),349.1356169760571)</f>
        <v>349.135617</v>
      </c>
      <c r="Z564" s="30">
        <f>IFERROR(__xludf.DUMMYFUNCTION("""COMPUTED_VALUE"""),0.8114041968413207)</f>
        <v>0.8114041968</v>
      </c>
      <c r="AA564" s="30">
        <f>IFERROR(__xludf.DUMMYFUNCTION("""COMPUTED_VALUE"""),0.5638249559597481)</f>
        <v>0.563824956</v>
      </c>
      <c r="AB564" s="30">
        <f>IFERROR(__xludf.DUMMYFUNCTION("""COMPUTED_VALUE"""),1.2669141097259764)</f>
        <v>1.26691411</v>
      </c>
      <c r="AC564" s="30">
        <f>IFERROR(__xludf.DUMMYFUNCTION("""COMPUTED_VALUE"""),2.6241656348216473)</f>
        <v>2.624165635</v>
      </c>
      <c r="AD564" s="30">
        <f>IFERROR(__xludf.DUMMYFUNCTION("""COMPUTED_VALUE"""),1.0929031872379718)</f>
        <v>1.092903187</v>
      </c>
      <c r="AE564" s="30">
        <f>IFERROR(__xludf.DUMMYFUNCTION("""COMPUTED_VALUE"""),1.2764467940222295)</f>
        <v>1.276446794</v>
      </c>
      <c r="AF564" s="30">
        <f>IFERROR(__xludf.DUMMYFUNCTION("""COMPUTED_VALUE"""),1.0768286340028579)</f>
        <v>1.076828634</v>
      </c>
      <c r="AG564" s="30">
        <f>IFERROR(__xludf.DUMMYFUNCTION("""COMPUTED_VALUE"""),0.9866493635234398)</f>
        <v>0.9866493635</v>
      </c>
      <c r="AH564" s="30">
        <f>IFERROR(__xludf.DUMMYFUNCTION("""COMPUTED_VALUE"""),1.2520986640912248)</f>
        <v>1.252098664</v>
      </c>
      <c r="AI564" s="30">
        <f>IFERROR(__xludf.DUMMYFUNCTION("""COMPUTED_VALUE"""),1.0680775374376017)</f>
        <v>1.068077537</v>
      </c>
      <c r="AJ564" s="30">
        <f>IFERROR(__xludf.DUMMYFUNCTION("""COMPUTED_VALUE"""),1.2891492101995754)</f>
        <v>1.28914921</v>
      </c>
      <c r="AK564" s="30">
        <f>IFERROR(__xludf.DUMMYFUNCTION("""COMPUTED_VALUE"""),1.1939674920735337)</f>
        <v>1.193967492</v>
      </c>
      <c r="AL564" s="30">
        <f>IFERROR(__xludf.DUMMYFUNCTION("""COMPUTED_VALUE"""),0.9821387083317479)</f>
        <v>0.9821387083</v>
      </c>
      <c r="AM564" s="30">
        <f>IFERROR(__xludf.DUMMYFUNCTION("""COMPUTED_VALUE"""),1.0356902442164106)</f>
        <v>1.035690244</v>
      </c>
      <c r="AN564" s="30">
        <f>IFERROR(__xludf.DUMMYFUNCTION("""COMPUTED_VALUE"""),1.125324518468512)</f>
        <v>1.125324518</v>
      </c>
      <c r="AO564" s="30">
        <f>IFERROR(__xludf.DUMMYFUNCTION("""COMPUTED_VALUE"""),1.392575791511681)</f>
        <v>1.392575792</v>
      </c>
      <c r="AP564" s="30">
        <f>IFERROR(__xludf.DUMMYFUNCTION("""COMPUTED_VALUE"""),1.1123944518974613)</f>
        <v>1.112394452</v>
      </c>
      <c r="AQ564" s="30">
        <f>IFERROR(__xludf.DUMMYFUNCTION("""COMPUTED_VALUE"""),0.9557681462870049)</f>
        <v>0.9557681463</v>
      </c>
      <c r="AR564" s="30">
        <f>IFERROR(__xludf.DUMMYFUNCTION("""COMPUTED_VALUE"""),1.3133932918202287)</f>
        <v>1.313393292</v>
      </c>
      <c r="AS564" s="30">
        <f>IFERROR(__xludf.DUMMYFUNCTION("""COMPUTED_VALUE"""),71.0)</f>
        <v>71</v>
      </c>
      <c r="AT564" s="30">
        <f>IFERROR(__xludf.DUMMYFUNCTION("""COMPUTED_VALUE"""),0.45689719181157995)</f>
        <v>0.4568971918</v>
      </c>
      <c r="AU564" s="30">
        <f>IFERROR(__xludf.DUMMYFUNCTION("""COMPUTED_VALUE"""),3.1983158017790343)</f>
        <v>3.198315802</v>
      </c>
      <c r="AV564" s="32">
        <f>IFERROR(__xludf.DUMMYFUNCTION("""COMPUTED_VALUE"""),70.75541416780615)</f>
        <v>70.75541417</v>
      </c>
      <c r="AW564" s="32">
        <f>IFERROR(__xludf.DUMMYFUNCTION("""COMPUTED_VALUE"""),4.921061858997684)</f>
        <v>4.921061859</v>
      </c>
      <c r="AX564" s="32">
        <f>IFERROR(__xludf.DUMMYFUNCTION("""COMPUTED_VALUE"""),69.9941877359267)</f>
        <v>69.99418774</v>
      </c>
      <c r="AY564" s="32">
        <f>IFERROR(__xludf.DUMMYFUNCTION("""COMPUTED_VALUE"""),4.718700444030364)</f>
        <v>4.718700444</v>
      </c>
      <c r="AZ564" s="30">
        <f>IFERROR(__xludf.DUMMYFUNCTION("""COMPUTED_VALUE"""),0.20236141496731985)</f>
        <v>0.202361415</v>
      </c>
      <c r="BA564" s="30">
        <f>IFERROR(__xludf.DUMMYFUNCTION("""COMPUTED_VALUE"""),1700.0)</f>
        <v>1700</v>
      </c>
    </row>
    <row r="565">
      <c r="A565" s="71" t="str">
        <f>IFERROR(__xludf.DUMMYFUNCTION("""COMPUTED_VALUE"""),"Rival")</f>
        <v>Rival</v>
      </c>
      <c r="B565" s="71" t="str">
        <f>IFERROR(__xludf.DUMMYFUNCTION("""COMPUTED_VALUE"""),"RSC007227")</f>
        <v>RSC007227</v>
      </c>
      <c r="C565" s="30" t="str">
        <f>IFERROR(__xludf.DUMMYFUNCTION("""COMPUTED_VALUE"""),"Trickyzekie")</f>
        <v>Trickyzekie</v>
      </c>
      <c r="D565" s="30" t="str">
        <f>IFERROR(__xludf.DUMMYFUNCTION("""COMPUTED_VALUE"""),"Ostriches")</f>
        <v>Ostriches</v>
      </c>
      <c r="E565" s="30">
        <f>IFERROR(__xludf.DUMMYFUNCTION("""COMPUTED_VALUE"""),36.0)</f>
        <v>36</v>
      </c>
      <c r="F565" s="30">
        <f>IFERROR(__xludf.DUMMYFUNCTION("""COMPUTED_VALUE"""),12.0)</f>
        <v>12</v>
      </c>
      <c r="G565" s="42">
        <f>IFERROR(__xludf.DUMMYFUNCTION("""COMPUTED_VALUE"""),24.0)</f>
        <v>24</v>
      </c>
      <c r="H565" s="42">
        <f>IFERROR(__xludf.DUMMYFUNCTION("""COMPUTED_VALUE"""),0.3333333333333333)</f>
        <v>0.3333333333</v>
      </c>
      <c r="I565" s="42">
        <f>IFERROR(__xludf.DUMMYFUNCTION("""COMPUTED_VALUE"""),0.3088235294117647)</f>
        <v>0.3088235294</v>
      </c>
      <c r="J565" s="30">
        <f>IFERROR(__xludf.DUMMYFUNCTION("""COMPUTED_VALUE"""),338.27777777777777)</f>
        <v>338.2777778</v>
      </c>
      <c r="K565" s="30">
        <f>IFERROR(__xludf.DUMMYFUNCTION("""COMPUTED_VALUE"""),0.5833333333333334)</f>
        <v>0.5833333333</v>
      </c>
      <c r="L565" s="30">
        <f>IFERROR(__xludf.DUMMYFUNCTION("""COMPUTED_VALUE"""),0.4722222222222222)</f>
        <v>0.4722222222</v>
      </c>
      <c r="M565" s="30">
        <f>IFERROR(__xludf.DUMMYFUNCTION("""COMPUTED_VALUE"""),1.6111111111111112)</f>
        <v>1.611111111</v>
      </c>
      <c r="N565" s="30">
        <f>IFERROR(__xludf.DUMMYFUNCTION("""COMPUTED_VALUE"""),1.8888888888888888)</f>
        <v>1.888888889</v>
      </c>
      <c r="O565" s="30">
        <f>IFERROR(__xludf.DUMMYFUNCTION("""COMPUTED_VALUE"""),360.46296296296305)</f>
        <v>360.462963</v>
      </c>
      <c r="P565" s="30">
        <f>IFERROR(__xludf.DUMMYFUNCTION("""COMPUTED_VALUE"""),0.8796296296296298)</f>
        <v>0.8796296296</v>
      </c>
      <c r="Q565" s="30">
        <f>IFERROR(__xludf.DUMMYFUNCTION("""COMPUTED_VALUE"""),0.5833333333333334)</f>
        <v>0.5833333333</v>
      </c>
      <c r="R565" s="30">
        <f>IFERROR(__xludf.DUMMYFUNCTION("""COMPUTED_VALUE"""),1.2499999999999996)</f>
        <v>1.25</v>
      </c>
      <c r="S565" s="30">
        <f>IFERROR(__xludf.DUMMYFUNCTION("""COMPUTED_VALUE"""),2.759259259259258)</f>
        <v>2.759259259</v>
      </c>
      <c r="T565" s="30">
        <f>IFERROR(__xludf.DUMMYFUNCTION("""COMPUTED_VALUE"""),352.9452796883589)</f>
        <v>352.9452797</v>
      </c>
      <c r="U565" s="30">
        <f>IFERROR(__xludf.DUMMYFUNCTION("""COMPUTED_VALUE"""),0.820823541357456)</f>
        <v>0.8208235414</v>
      </c>
      <c r="V565" s="30">
        <f>IFERROR(__xludf.DUMMYFUNCTION("""COMPUTED_VALUE"""),0.6095040610022956)</f>
        <v>0.609504061</v>
      </c>
      <c r="W565" s="30">
        <f>IFERROR(__xludf.DUMMYFUNCTION("""COMPUTED_VALUE"""),1.2689231135756602)</f>
        <v>1.268923114</v>
      </c>
      <c r="X565" s="30">
        <f>IFERROR(__xludf.DUMMYFUNCTION("""COMPUTED_VALUE"""),2.596013870602058)</f>
        <v>2.596013871</v>
      </c>
      <c r="Y565" s="30">
        <f>IFERROR(__xludf.DUMMYFUNCTION("""COMPUTED_VALUE"""),334.7510072450771)</f>
        <v>334.7510072</v>
      </c>
      <c r="Z565" s="30">
        <f>IFERROR(__xludf.DUMMYFUNCTION("""COMPUTED_VALUE"""),0.7027764218165626)</f>
        <v>0.7027764218</v>
      </c>
      <c r="AA565" s="30">
        <f>IFERROR(__xludf.DUMMYFUNCTION("""COMPUTED_VALUE"""),0.5063741839329485)</f>
        <v>0.5063741839</v>
      </c>
      <c r="AB565" s="30">
        <f>IFERROR(__xludf.DUMMYFUNCTION("""COMPUTED_VALUE"""),1.332167343367189)</f>
        <v>1.332167343</v>
      </c>
      <c r="AC565" s="30">
        <f>IFERROR(__xludf.DUMMYFUNCTION("""COMPUTED_VALUE"""),2.434719161336874)</f>
        <v>2.434719161</v>
      </c>
      <c r="AD565" s="30">
        <f>IFERROR(__xludf.DUMMYFUNCTION("""COMPUTED_VALUE"""),1.0105355038711463)</f>
        <v>1.010535504</v>
      </c>
      <c r="AE565" s="30">
        <f>IFERROR(__xludf.DUMMYFUNCTION("""COMPUTED_VALUE"""),0.8300411271987636)</f>
        <v>0.8300411272</v>
      </c>
      <c r="AF565" s="30">
        <f>IFERROR(__xludf.DUMMYFUNCTION("""COMPUTED_VALUE"""),0.9325558790429005)</f>
        <v>0.932555879</v>
      </c>
      <c r="AG565" s="30">
        <f>IFERROR(__xludf.DUMMYFUNCTION("""COMPUTED_VALUE"""),1.209390936606255)</f>
        <v>1.209390937</v>
      </c>
      <c r="AH565" s="30">
        <f>IFERROR(__xludf.DUMMYFUNCTION("""COMPUTED_VALUE"""),0.775813867522907)</f>
        <v>0.7758138675</v>
      </c>
      <c r="AI565" s="30">
        <f>IFERROR(__xludf.DUMMYFUNCTION("""COMPUTED_VALUE"""),1.0212998549838719)</f>
        <v>1.021299855</v>
      </c>
      <c r="AJ565" s="30">
        <f>IFERROR(__xludf.DUMMYFUNCTION("""COMPUTED_VALUE"""),1.071642789599969)</f>
        <v>1.07164279</v>
      </c>
      <c r="AK565" s="30">
        <f>IFERROR(__xludf.DUMMYFUNCTION("""COMPUTED_VALUE"""),0.9570622587388082)</f>
        <v>0.9570622587</v>
      </c>
      <c r="AL565" s="30">
        <f>IFERROR(__xludf.DUMMYFUNCTION("""COMPUTED_VALUE"""),0.9850872654353834)</f>
        <v>0.9850872654</v>
      </c>
      <c r="AM565" s="30">
        <f>IFERROR(__xludf.DUMMYFUNCTION("""COMPUTED_VALUE"""),1.062883095697536)</f>
        <v>1.062883096</v>
      </c>
      <c r="AN565" s="30">
        <f>IFERROR(__xludf.DUMMYFUNCTION("""COMPUTED_VALUE"""),0.9976435573585295)</f>
        <v>0.9976435574</v>
      </c>
      <c r="AO565" s="30">
        <f>IFERROR(__xludf.DUMMYFUNCTION("""COMPUTED_VALUE"""),0.7843242963686479)</f>
        <v>0.7843242964</v>
      </c>
      <c r="AP565" s="30">
        <f>IFERROR(__xludf.DUMMYFUNCTION("""COMPUTED_VALUE"""),0.8651956848091366)</f>
        <v>0.8651956848</v>
      </c>
      <c r="AQ565" s="30">
        <f>IFERROR(__xludf.DUMMYFUNCTION("""COMPUTED_VALUE"""),1.2318789441032507)</f>
        <v>1.231878944</v>
      </c>
      <c r="AR565" s="30">
        <f>IFERROR(__xludf.DUMMYFUNCTION("""COMPUTED_VALUE"""),0.7550425204183924)</f>
        <v>0.7550425204</v>
      </c>
      <c r="AS565" s="30">
        <f>IFERROR(__xludf.DUMMYFUNCTION("""COMPUTED_VALUE"""),70.0)</f>
        <v>70</v>
      </c>
      <c r="AT565" s="30">
        <f>IFERROR(__xludf.DUMMYFUNCTION("""COMPUTED_VALUE"""),0.3839731646585946)</f>
        <v>0.3839731647</v>
      </c>
      <c r="AU565" s="30">
        <f>IFERROR(__xludf.DUMMYFUNCTION("""COMPUTED_VALUE"""),2.0342087363535493)</f>
        <v>2.034208736</v>
      </c>
      <c r="AV565" s="32">
        <f>IFERROR(__xludf.DUMMYFUNCTION("""COMPUTED_VALUE"""),37.42705808803975)</f>
        <v>37.42705809</v>
      </c>
      <c r="AW565" s="32">
        <f>IFERROR(__xludf.DUMMYFUNCTION("""COMPUTED_VALUE"""),-3.2519153840760615)</f>
        <v>-3.251915384</v>
      </c>
      <c r="AX565" s="32">
        <f>IFERROR(__xludf.DUMMYFUNCTION("""COMPUTED_VALUE"""),38.82599862065207)</f>
        <v>38.82599862</v>
      </c>
      <c r="AY565" s="32">
        <f>IFERROR(__xludf.DUMMYFUNCTION("""COMPUTED_VALUE"""),-3.0538831666984256)</f>
        <v>-3.053883167</v>
      </c>
      <c r="AZ565" s="30">
        <f>IFERROR(__xludf.DUMMYFUNCTION("""COMPUTED_VALUE"""),0.19803221737763588)</f>
        <v>0.1980322174</v>
      </c>
      <c r="BA565" s="30">
        <f>IFERROR(__xludf.DUMMYFUNCTION("""COMPUTED_VALUE"""),1700.0)</f>
        <v>1700</v>
      </c>
    </row>
    <row r="566">
      <c r="A566" s="71" t="str">
        <f>IFERROR(__xludf.DUMMYFUNCTION("""COMPUTED_VALUE"""),"Rival")</f>
        <v>Rival</v>
      </c>
      <c r="B566" s="71" t="str">
        <f>IFERROR(__xludf.DUMMYFUNCTION("""COMPUTED_VALUE"""),"RSC002453")</f>
        <v>RSC002453</v>
      </c>
      <c r="C566" s="30" t="str">
        <f>IFERROR(__xludf.DUMMYFUNCTION("""COMPUTED_VALUE"""),"Ghostie")</f>
        <v>Ghostie</v>
      </c>
      <c r="D566" s="30" t="str">
        <f>IFERROR(__xludf.DUMMYFUNCTION("""COMPUTED_VALUE"""),"Necrotic Nerds")</f>
        <v>Necrotic Nerds</v>
      </c>
      <c r="E566" s="30">
        <f>IFERROR(__xludf.DUMMYFUNCTION("""COMPUTED_VALUE"""),42.0)</f>
        <v>42</v>
      </c>
      <c r="F566" s="30">
        <f>IFERROR(__xludf.DUMMYFUNCTION("""COMPUTED_VALUE"""),13.0)</f>
        <v>13</v>
      </c>
      <c r="G566" s="42">
        <f>IFERROR(__xludf.DUMMYFUNCTION("""COMPUTED_VALUE"""),29.0)</f>
        <v>29</v>
      </c>
      <c r="H566" s="42">
        <f>IFERROR(__xludf.DUMMYFUNCTION("""COMPUTED_VALUE"""),0.30952380952380953)</f>
        <v>0.3095238095</v>
      </c>
      <c r="I566" s="42">
        <f>IFERROR(__xludf.DUMMYFUNCTION("""COMPUTED_VALUE"""),0.3440860215053763)</f>
        <v>0.3440860215</v>
      </c>
      <c r="J566" s="30">
        <f>IFERROR(__xludf.DUMMYFUNCTION("""COMPUTED_VALUE"""),324.3809523809524)</f>
        <v>324.3809524</v>
      </c>
      <c r="K566" s="30">
        <f>IFERROR(__xludf.DUMMYFUNCTION("""COMPUTED_VALUE"""),0.7619047619047619)</f>
        <v>0.7619047619</v>
      </c>
      <c r="L566" s="30">
        <f>IFERROR(__xludf.DUMMYFUNCTION("""COMPUTED_VALUE"""),0.40476190476190477)</f>
        <v>0.4047619048</v>
      </c>
      <c r="M566" s="30">
        <f>IFERROR(__xludf.DUMMYFUNCTION("""COMPUTED_VALUE"""),1.0952380952380953)</f>
        <v>1.095238095</v>
      </c>
      <c r="N566" s="30">
        <f>IFERROR(__xludf.DUMMYFUNCTION("""COMPUTED_VALUE"""),2.2142857142857144)</f>
        <v>2.214285714</v>
      </c>
      <c r="O566" s="30">
        <f>IFERROR(__xludf.DUMMYFUNCTION("""COMPUTED_VALUE"""),369.1190476190476)</f>
        <v>369.1190476</v>
      </c>
      <c r="P566" s="30">
        <f>IFERROR(__xludf.DUMMYFUNCTION("""COMPUTED_VALUE"""),0.9999999999999998)</f>
        <v>1</v>
      </c>
      <c r="Q566" s="30">
        <f>IFERROR(__xludf.DUMMYFUNCTION("""COMPUTED_VALUE"""),0.7460317460317462)</f>
        <v>0.746031746</v>
      </c>
      <c r="R566" s="30">
        <f>IFERROR(__xludf.DUMMYFUNCTION("""COMPUTED_VALUE"""),1.103174603174603)</f>
        <v>1.103174603</v>
      </c>
      <c r="S566" s="30">
        <f>IFERROR(__xludf.DUMMYFUNCTION("""COMPUTED_VALUE"""),2.817460317460318)</f>
        <v>2.817460317</v>
      </c>
      <c r="T566" s="30">
        <f>IFERROR(__xludf.DUMMYFUNCTION("""COMPUTED_VALUE"""),353.93431149895866)</f>
        <v>353.9343115</v>
      </c>
      <c r="U566" s="30">
        <f>IFERROR(__xludf.DUMMYFUNCTION("""COMPUTED_VALUE"""),0.845588555610625)</f>
        <v>0.8455885556</v>
      </c>
      <c r="V566" s="30">
        <f>IFERROR(__xludf.DUMMYFUNCTION("""COMPUTED_VALUE"""),0.6216802339761157)</f>
        <v>0.621680234</v>
      </c>
      <c r="W566" s="30">
        <f>IFERROR(__xludf.DUMMYFUNCTION("""COMPUTED_VALUE"""),1.2414529825798508)</f>
        <v>1.241452983</v>
      </c>
      <c r="X566" s="30">
        <f>IFERROR(__xludf.DUMMYFUNCTION("""COMPUTED_VALUE"""),2.701317879234639)</f>
        <v>2.701317879</v>
      </c>
      <c r="Y566" s="30">
        <f>IFERROR(__xludf.DUMMYFUNCTION("""COMPUTED_VALUE"""),340.3412244929088)</f>
        <v>340.3412245</v>
      </c>
      <c r="Z566" s="30">
        <f>IFERROR(__xludf.DUMMYFUNCTION("""COMPUTED_VALUE"""),0.741488518326908)</f>
        <v>0.7414885183</v>
      </c>
      <c r="AA566" s="30">
        <f>IFERROR(__xludf.DUMMYFUNCTION("""COMPUTED_VALUE"""),0.532024242327976)</f>
        <v>0.5320242423</v>
      </c>
      <c r="AB566" s="30">
        <f>IFERROR(__xludf.DUMMYFUNCTION("""COMPUTED_VALUE"""),1.3447806692232382)</f>
        <v>1.344780669</v>
      </c>
      <c r="AC566" s="30">
        <f>IFERROR(__xludf.DUMMYFUNCTION("""COMPUTED_VALUE"""),2.475083758784864)</f>
        <v>2.475083759</v>
      </c>
      <c r="AD566" s="30">
        <f>IFERROR(__xludf.DUMMYFUNCTION("""COMPUTED_VALUE"""),0.9531050870027973)</f>
        <v>0.953105087</v>
      </c>
      <c r="AE566" s="30">
        <f>IFERROR(__xludf.DUMMYFUNCTION("""COMPUTED_VALUE"""),1.0275341331298304)</f>
        <v>1.027534133</v>
      </c>
      <c r="AF566" s="30">
        <f>IFERROR(__xludf.DUMMYFUNCTION("""COMPUTED_VALUE"""),0.7607959798801461)</f>
        <v>0.7607959799</v>
      </c>
      <c r="AG566" s="30">
        <f>IFERROR(__xludf.DUMMYFUNCTION("""COMPUTED_VALUE"""),0.8144362276345913)</f>
        <v>0.8144362276</v>
      </c>
      <c r="AH566" s="30">
        <f>IFERROR(__xludf.DUMMYFUNCTION("""COMPUTED_VALUE"""),0.8946306186311902)</f>
        <v>0.8946306186</v>
      </c>
      <c r="AI566" s="30">
        <f>IFERROR(__xludf.DUMMYFUNCTION("""COMPUTED_VALUE"""),1.0429026958583913)</f>
        <v>1.042902696</v>
      </c>
      <c r="AJ566" s="30">
        <f>IFERROR(__xludf.DUMMYFUNCTION("""COMPUTED_VALUE"""),1.182608247669423)</f>
        <v>1.182608248</v>
      </c>
      <c r="AK566" s="30">
        <f>IFERROR(__xludf.DUMMYFUNCTION("""COMPUTED_VALUE"""),1.2000248765515809)</f>
        <v>1.200024877</v>
      </c>
      <c r="AL566" s="30">
        <f>IFERROR(__xludf.DUMMYFUNCTION("""COMPUTED_VALUE"""),0.888615693590028)</f>
        <v>0.8886156936</v>
      </c>
      <c r="AM566" s="30">
        <f>IFERROR(__xludf.DUMMYFUNCTION("""COMPUTED_VALUE"""),1.0429947319856283)</f>
        <v>1.042994732</v>
      </c>
      <c r="AN566" s="30">
        <f>IFERROR(__xludf.DUMMYFUNCTION("""COMPUTED_VALUE"""),0.9566592561846379)</f>
        <v>0.9566592562</v>
      </c>
      <c r="AO566" s="30">
        <f>IFERROR(__xludf.DUMMYFUNCTION("""COMPUTED_VALUE"""),1.0244235707672134)</f>
        <v>1.024423571</v>
      </c>
      <c r="AP566" s="30">
        <f>IFERROR(__xludf.DUMMYFUNCTION("""COMPUTED_VALUE"""),0.7415963012649742)</f>
        <v>0.7415963013</v>
      </c>
      <c r="AQ566" s="30">
        <f>IFERROR(__xludf.DUMMYFUNCTION("""COMPUTED_VALUE"""),0.8374349472228997)</f>
        <v>0.8374349472</v>
      </c>
      <c r="AR566" s="30">
        <f>IFERROR(__xludf.DUMMYFUNCTION("""COMPUTED_VALUE"""),0.885112870574502)</f>
        <v>0.8851128706</v>
      </c>
      <c r="AS566" s="30">
        <f>IFERROR(__xludf.DUMMYFUNCTION("""COMPUTED_VALUE"""),82.0)</f>
        <v>82</v>
      </c>
      <c r="AT566" s="30">
        <f>IFERROR(__xludf.DUMMYFUNCTION("""COMPUTED_VALUE"""),0.3362860286116585)</f>
        <v>0.3362860286</v>
      </c>
      <c r="AU566" s="30">
        <f>IFERROR(__xludf.DUMMYFUNCTION("""COMPUTED_VALUE"""),2.1195913514759104)</f>
        <v>2.119591351</v>
      </c>
      <c r="AV566" s="32">
        <f>IFERROR(__xludf.DUMMYFUNCTION("""COMPUTED_VALUE"""),39.871560217042465)</f>
        <v>39.87156022</v>
      </c>
      <c r="AW566" s="32">
        <f>IFERROR(__xludf.DUMMYFUNCTION("""COMPUTED_VALUE"""),-2.9181046650437077)</f>
        <v>-2.918104665</v>
      </c>
      <c r="AX566" s="32">
        <f>IFERROR(__xludf.DUMMYFUNCTION("""COMPUTED_VALUE"""),41.496292533072086)</f>
        <v>41.49629253</v>
      </c>
      <c r="AY566" s="32">
        <f>IFERROR(__xludf.DUMMYFUNCTION("""COMPUTED_VALUE"""),-2.725743148685388)</f>
        <v>-2.725743149</v>
      </c>
      <c r="AZ566" s="30">
        <f>IFERROR(__xludf.DUMMYFUNCTION("""COMPUTED_VALUE"""),0.19236151635831966)</f>
        <v>0.1923615164</v>
      </c>
      <c r="BA566" s="30">
        <f>IFERROR(__xludf.DUMMYFUNCTION("""COMPUTED_VALUE"""),1700.0)</f>
        <v>1700</v>
      </c>
    </row>
    <row r="567">
      <c r="A567" s="71" t="str">
        <f>IFERROR(__xludf.DUMMYFUNCTION("""COMPUTED_VALUE"""),"Rival")</f>
        <v>Rival</v>
      </c>
      <c r="B567" s="71" t="str">
        <f>IFERROR(__xludf.DUMMYFUNCTION("""COMPUTED_VALUE"""),"RSC007660")</f>
        <v>RSC007660</v>
      </c>
      <c r="C567" s="30" t="str">
        <f>IFERROR(__xludf.DUMMYFUNCTION("""COMPUTED_VALUE"""),"Shraxl")</f>
        <v>Shraxl</v>
      </c>
      <c r="D567" s="30" t="str">
        <f>IFERROR(__xludf.DUMMYFUNCTION("""COMPUTED_VALUE"""),"Rockin Revenants")</f>
        <v>Rockin Revenants</v>
      </c>
      <c r="E567" s="30">
        <f>IFERROR(__xludf.DUMMYFUNCTION("""COMPUTED_VALUE"""),38.0)</f>
        <v>38</v>
      </c>
      <c r="F567" s="30">
        <f>IFERROR(__xludf.DUMMYFUNCTION("""COMPUTED_VALUE"""),13.0)</f>
        <v>13</v>
      </c>
      <c r="G567" s="42">
        <f>IFERROR(__xludf.DUMMYFUNCTION("""COMPUTED_VALUE"""),25.0)</f>
        <v>25</v>
      </c>
      <c r="H567" s="42">
        <f>IFERROR(__xludf.DUMMYFUNCTION("""COMPUTED_VALUE"""),0.34210526315789475)</f>
        <v>0.3421052632</v>
      </c>
      <c r="I567" s="42">
        <f>IFERROR(__xludf.DUMMYFUNCTION("""COMPUTED_VALUE"""),0.3181818181818182)</f>
        <v>0.3181818182</v>
      </c>
      <c r="J567" s="30">
        <f>IFERROR(__xludf.DUMMYFUNCTION("""COMPUTED_VALUE"""),387.44736842105266)</f>
        <v>387.4473684</v>
      </c>
      <c r="K567" s="30">
        <f>IFERROR(__xludf.DUMMYFUNCTION("""COMPUTED_VALUE"""),0.9210526315789473)</f>
        <v>0.9210526316</v>
      </c>
      <c r="L567" s="30">
        <f>IFERROR(__xludf.DUMMYFUNCTION("""COMPUTED_VALUE"""),0.5263157894736842)</f>
        <v>0.5263157895</v>
      </c>
      <c r="M567" s="30">
        <f>IFERROR(__xludf.DUMMYFUNCTION("""COMPUTED_VALUE"""),1.5526315789473684)</f>
        <v>1.552631579</v>
      </c>
      <c r="N567" s="30">
        <f>IFERROR(__xludf.DUMMYFUNCTION("""COMPUTED_VALUE"""),2.8947368421052633)</f>
        <v>2.894736842</v>
      </c>
      <c r="O567" s="30">
        <f>IFERROR(__xludf.DUMMYFUNCTION("""COMPUTED_VALUE"""),377.40350877192986)</f>
        <v>377.4035088</v>
      </c>
      <c r="P567" s="30">
        <f>IFERROR(__xludf.DUMMYFUNCTION("""COMPUTED_VALUE"""),1.0000000000000002)</f>
        <v>1</v>
      </c>
      <c r="Q567" s="30">
        <f>IFERROR(__xludf.DUMMYFUNCTION("""COMPUTED_VALUE"""),0.6666666666666667)</f>
        <v>0.6666666667</v>
      </c>
      <c r="R567" s="30">
        <f>IFERROR(__xludf.DUMMYFUNCTION("""COMPUTED_VALUE"""),1.2368421052631577)</f>
        <v>1.236842105</v>
      </c>
      <c r="S567" s="30">
        <f>IFERROR(__xludf.DUMMYFUNCTION("""COMPUTED_VALUE"""),2.807017543859649)</f>
        <v>2.807017544</v>
      </c>
      <c r="T567" s="30">
        <f>IFERROR(__xludf.DUMMYFUNCTION("""COMPUTED_VALUE"""),343.0459579266451)</f>
        <v>343.0459579</v>
      </c>
      <c r="U567" s="30">
        <f>IFERROR(__xludf.DUMMYFUNCTION("""COMPUTED_VALUE"""),0.8002837850697351)</f>
        <v>0.8002837851</v>
      </c>
      <c r="V567" s="30">
        <f>IFERROR(__xludf.DUMMYFUNCTION("""COMPUTED_VALUE"""),0.5644363049461828)</f>
        <v>0.5644363049</v>
      </c>
      <c r="W567" s="30">
        <f>IFERROR(__xludf.DUMMYFUNCTION("""COMPUTED_VALUE"""),1.2878127357934044)</f>
        <v>1.287812736</v>
      </c>
      <c r="X567" s="30">
        <f>IFERROR(__xludf.DUMMYFUNCTION("""COMPUTED_VALUE"""),2.6129469252763653)</f>
        <v>2.612946925</v>
      </c>
      <c r="Y567" s="30">
        <f>IFERROR(__xludf.DUMMYFUNCTION("""COMPUTED_VALUE"""),351.7152639095135)</f>
        <v>351.7152639</v>
      </c>
      <c r="Z567" s="30">
        <f>IFERROR(__xludf.DUMMYFUNCTION("""COMPUTED_VALUE"""),0.8067035261786868)</f>
        <v>0.8067035262</v>
      </c>
      <c r="AA567" s="30">
        <f>IFERROR(__xludf.DUMMYFUNCTION("""COMPUTED_VALUE"""),0.5655392001488329)</f>
        <v>0.5655392001</v>
      </c>
      <c r="AB567" s="30">
        <f>IFERROR(__xludf.DUMMYFUNCTION("""COMPUTED_VALUE"""),1.3585877738585108)</f>
        <v>1.358587774</v>
      </c>
      <c r="AC567" s="30">
        <f>IFERROR(__xludf.DUMMYFUNCTION("""COMPUTED_VALUE"""),2.6062931109214817)</f>
        <v>2.606293111</v>
      </c>
      <c r="AD567" s="30">
        <f>IFERROR(__xludf.DUMMYFUNCTION("""COMPUTED_VALUE"""),1.1015938407516257)</f>
        <v>1.101593841</v>
      </c>
      <c r="AE567" s="30">
        <f>IFERROR(__xludf.DUMMYFUNCTION("""COMPUTED_VALUE"""),1.1417486123333642)</f>
        <v>1.141748612</v>
      </c>
      <c r="AF567" s="30">
        <f>IFERROR(__xludf.DUMMYFUNCTION("""COMPUTED_VALUE"""),0.9306442229560281)</f>
        <v>0.930644223</v>
      </c>
      <c r="AG567" s="30">
        <f>IFERROR(__xludf.DUMMYFUNCTION("""COMPUTED_VALUE"""),1.1428275808325257)</f>
        <v>1.142827581</v>
      </c>
      <c r="AH567" s="30">
        <f>IFERROR(__xludf.DUMMYFUNCTION("""COMPUTED_VALUE"""),1.1106720230257598)</f>
        <v>1.110672023</v>
      </c>
      <c r="AI567" s="30">
        <f>IFERROR(__xludf.DUMMYFUNCTION("""COMPUTED_VALUE"""),1.100154367225139)</f>
        <v>1.100154367</v>
      </c>
      <c r="AJ567" s="30">
        <f>IFERROR(__xludf.DUMMYFUNCTION("""COMPUTED_VALUE"""),1.2495567430656642)</f>
        <v>1.249556743</v>
      </c>
      <c r="AK567" s="30">
        <f>IFERROR(__xludf.DUMMYFUNCTION("""COMPUTED_VALUE"""),1.1811193943845113)</f>
        <v>1.181119394</v>
      </c>
      <c r="AL567" s="30">
        <f>IFERROR(__xludf.DUMMYFUNCTION("""COMPUTED_VALUE"""),0.9604207746098703)</f>
        <v>0.9604207746</v>
      </c>
      <c r="AM567" s="30">
        <f>IFERROR(__xludf.DUMMYFUNCTION("""COMPUTED_VALUE"""),1.0742726982725672)</f>
        <v>1.074272698</v>
      </c>
      <c r="AN567" s="30">
        <f>IFERROR(__xludf.DUMMYFUNCTION("""COMPUTED_VALUE"""),1.1426537488214872)</f>
        <v>1.142653749</v>
      </c>
      <c r="AO567" s="30">
        <f>IFERROR(__xludf.DUMMYFUNCTION("""COMPUTED_VALUE"""),1.2384067837399702)</f>
        <v>1.238406784</v>
      </c>
      <c r="AP567" s="30">
        <f>IFERROR(__xludf.DUMMYFUNCTION("""COMPUTED_VALUE"""),0.9643047880225671)</f>
        <v>0.964304788</v>
      </c>
      <c r="AQ567" s="30">
        <f>IFERROR(__xludf.DUMMYFUNCTION("""COMPUTED_VALUE"""),1.1871646448617534)</f>
        <v>1.187164645</v>
      </c>
      <c r="AR567" s="30">
        <f>IFERROR(__xludf.DUMMYFUNCTION("""COMPUTED_VALUE"""),1.1571085065235425)</f>
        <v>1.157108507</v>
      </c>
      <c r="AS567" s="30">
        <f>IFERROR(__xludf.DUMMYFUNCTION("""COMPUTED_VALUE"""),90.0)</f>
        <v>90</v>
      </c>
      <c r="AT567" s="30">
        <f>IFERROR(__xludf.DUMMYFUNCTION("""COMPUTED_VALUE"""),0.4054260587187525)</f>
        <v>0.4054260587</v>
      </c>
      <c r="AU567" s="30">
        <f>IFERROR(__xludf.DUMMYFUNCTION("""COMPUTED_VALUE"""),2.803921056398597)</f>
        <v>2.803921056</v>
      </c>
      <c r="AV567" s="32">
        <f>IFERROR(__xludf.DUMMYFUNCTION("""COMPUTED_VALUE"""),59.463902501545746)</f>
        <v>59.4639025</v>
      </c>
      <c r="AW567" s="32">
        <f>IFERROR(__xludf.DUMMYFUNCTION("""COMPUTED_VALUE"""),2.8368089067241624)</f>
        <v>2.836808907</v>
      </c>
      <c r="AX567" s="32">
        <f>IFERROR(__xludf.DUMMYFUNCTION("""COMPUTED_VALUE"""),57.860051818262356)</f>
        <v>57.86005182</v>
      </c>
      <c r="AY567" s="32">
        <f>IFERROR(__xludf.DUMMYFUNCTION("""COMPUTED_VALUE"""),2.6552819431815466)</f>
        <v>2.655281943</v>
      </c>
      <c r="AZ567" s="30">
        <f>IFERROR(__xludf.DUMMYFUNCTION("""COMPUTED_VALUE"""),0.18152696354261577)</f>
        <v>0.1815269635</v>
      </c>
      <c r="BA567" s="30">
        <f>IFERROR(__xludf.DUMMYFUNCTION("""COMPUTED_VALUE"""),1700.0)</f>
        <v>1700</v>
      </c>
    </row>
    <row r="568">
      <c r="A568" s="71" t="str">
        <f>IFERROR(__xludf.DUMMYFUNCTION("""COMPUTED_VALUE"""),"Rival")</f>
        <v>Rival</v>
      </c>
      <c r="B568" s="71" t="str">
        <f>IFERROR(__xludf.DUMMYFUNCTION("""COMPUTED_VALUE"""),"RSC003718")</f>
        <v>RSC003718</v>
      </c>
      <c r="C568" s="30" t="str">
        <f>IFERROR(__xludf.DUMMYFUNCTION("""COMPUTED_VALUE"""),"Tbonelul")</f>
        <v>Tbonelul</v>
      </c>
      <c r="D568" s="30" t="str">
        <f>IFERROR(__xludf.DUMMYFUNCTION("""COMPUTED_VALUE"""),"Heavy Metal")</f>
        <v>Heavy Metal</v>
      </c>
      <c r="E568" s="30">
        <f>IFERROR(__xludf.DUMMYFUNCTION("""COMPUTED_VALUE"""),41.0)</f>
        <v>41</v>
      </c>
      <c r="F568" s="30">
        <f>IFERROR(__xludf.DUMMYFUNCTION("""COMPUTED_VALUE"""),19.0)</f>
        <v>19</v>
      </c>
      <c r="G568" s="42">
        <f>IFERROR(__xludf.DUMMYFUNCTION("""COMPUTED_VALUE"""),22.0)</f>
        <v>22</v>
      </c>
      <c r="H568" s="42">
        <f>IFERROR(__xludf.DUMMYFUNCTION("""COMPUTED_VALUE"""),0.4634146341463415)</f>
        <v>0.4634146341</v>
      </c>
      <c r="I568" s="42">
        <f>IFERROR(__xludf.DUMMYFUNCTION("""COMPUTED_VALUE"""),0.275)</f>
        <v>0.275</v>
      </c>
      <c r="J568" s="30">
        <f>IFERROR(__xludf.DUMMYFUNCTION("""COMPUTED_VALUE"""),338.6829268292683)</f>
        <v>338.6829268</v>
      </c>
      <c r="K568" s="30">
        <f>IFERROR(__xludf.DUMMYFUNCTION("""COMPUTED_VALUE"""),0.8048780487804879)</f>
        <v>0.8048780488</v>
      </c>
      <c r="L568" s="30">
        <f>IFERROR(__xludf.DUMMYFUNCTION("""COMPUTED_VALUE"""),0.5121951219512195)</f>
        <v>0.512195122</v>
      </c>
      <c r="M568" s="30">
        <f>IFERROR(__xludf.DUMMYFUNCTION("""COMPUTED_VALUE"""),0.9024390243902439)</f>
        <v>0.9024390244</v>
      </c>
      <c r="N568" s="30">
        <f>IFERROR(__xludf.DUMMYFUNCTION("""COMPUTED_VALUE"""),2.926829268292683)</f>
        <v>2.926829268</v>
      </c>
      <c r="O568" s="30">
        <f>IFERROR(__xludf.DUMMYFUNCTION("""COMPUTED_VALUE"""),350.00000000000006)</f>
        <v>350</v>
      </c>
      <c r="P568" s="30">
        <f>IFERROR(__xludf.DUMMYFUNCTION("""COMPUTED_VALUE"""),0.804878048780488)</f>
        <v>0.8048780488</v>
      </c>
      <c r="Q568" s="30">
        <f>IFERROR(__xludf.DUMMYFUNCTION("""COMPUTED_VALUE"""),0.5934959349593496)</f>
        <v>0.593495935</v>
      </c>
      <c r="R568" s="30">
        <f>IFERROR(__xludf.DUMMYFUNCTION("""COMPUTED_VALUE"""),1.292682926829268)</f>
        <v>1.292682927</v>
      </c>
      <c r="S568" s="30">
        <f>IFERROR(__xludf.DUMMYFUNCTION("""COMPUTED_VALUE"""),2.4959349593495936)</f>
        <v>2.495934959</v>
      </c>
      <c r="T568" s="30">
        <f>IFERROR(__xludf.DUMMYFUNCTION("""COMPUTED_VALUE"""),338.98020055642854)</f>
        <v>338.9802006</v>
      </c>
      <c r="U568" s="30">
        <f>IFERROR(__xludf.DUMMYFUNCTION("""COMPUTED_VALUE"""),0.7580687059626422)</f>
        <v>0.758068706</v>
      </c>
      <c r="V568" s="30">
        <f>IFERROR(__xludf.DUMMYFUNCTION("""COMPUTED_VALUE"""),0.5546239840616018)</f>
        <v>0.5546239841</v>
      </c>
      <c r="W568" s="30">
        <f>IFERROR(__xludf.DUMMYFUNCTION("""COMPUTED_VALUE"""),1.2824965633184686)</f>
        <v>1.282496563</v>
      </c>
      <c r="X568" s="30">
        <f>IFERROR(__xludf.DUMMYFUNCTION("""COMPUTED_VALUE"""),2.4118801971002934)</f>
        <v>2.411880197</v>
      </c>
      <c r="Y568" s="30">
        <f>IFERROR(__xludf.DUMMYFUNCTION("""COMPUTED_VALUE"""),347.846600822024)</f>
        <v>347.8466008</v>
      </c>
      <c r="Z568" s="30">
        <f>IFERROR(__xludf.DUMMYFUNCTION("""COMPUTED_VALUE"""),0.8062762038599918)</f>
        <v>0.8062762039</v>
      </c>
      <c r="AA568" s="30">
        <f>IFERROR(__xludf.DUMMYFUNCTION("""COMPUTED_VALUE"""),0.5716149815125736)</f>
        <v>0.5716149815</v>
      </c>
      <c r="AB568" s="30">
        <f>IFERROR(__xludf.DUMMYFUNCTION("""COMPUTED_VALUE"""),1.2722778082402908)</f>
        <v>1.272277808</v>
      </c>
      <c r="AC568" s="30">
        <f>IFERROR(__xludf.DUMMYFUNCTION("""COMPUTED_VALUE"""),2.606778417660268)</f>
        <v>2.606778418</v>
      </c>
      <c r="AD568" s="30">
        <f>IFERROR(__xludf.DUMMYFUNCTION("""COMPUTED_VALUE"""),0.9736559909710191)</f>
        <v>0.973655991</v>
      </c>
      <c r="AE568" s="30">
        <f>IFERROR(__xludf.DUMMYFUNCTION("""COMPUTED_VALUE"""),0.9982659105244451)</f>
        <v>0.9982659105</v>
      </c>
      <c r="AF568" s="30">
        <f>IFERROR(__xludf.DUMMYFUNCTION("""COMPUTED_VALUE"""),0.8960491563672442)</f>
        <v>0.8960491564</v>
      </c>
      <c r="AG568" s="30">
        <f>IFERROR(__xludf.DUMMYFUNCTION("""COMPUTED_VALUE"""),0.7093097266535072)</f>
        <v>0.7093097267</v>
      </c>
      <c r="AH568" s="30">
        <f>IFERROR(__xludf.DUMMYFUNCTION("""COMPUTED_VALUE"""),1.1227763926784688)</f>
        <v>1.122776393</v>
      </c>
      <c r="AI568" s="30">
        <f>IFERROR(__xludf.DUMMYFUNCTION("""COMPUTED_VALUE"""),1.0325086817031872)</f>
        <v>1.032508682</v>
      </c>
      <c r="AJ568" s="30">
        <f>IFERROR(__xludf.DUMMYFUNCTION("""COMPUTED_VALUE"""),1.0617481534980453)</f>
        <v>1.061748153</v>
      </c>
      <c r="AK568" s="30">
        <f>IFERROR(__xludf.DUMMYFUNCTION("""COMPUTED_VALUE"""),1.0700870355679213)</f>
        <v>1.070087036</v>
      </c>
      <c r="AL568" s="30">
        <f>IFERROR(__xludf.DUMMYFUNCTION("""COMPUTED_VALUE"""),1.0079426049177411)</f>
        <v>1.007942605</v>
      </c>
      <c r="AM568" s="30">
        <f>IFERROR(__xludf.DUMMYFUNCTION("""COMPUTED_VALUE"""),1.0348503057284337)</f>
        <v>1.034850306</v>
      </c>
      <c r="AN568" s="30">
        <f>IFERROR(__xludf.DUMMYFUNCTION("""COMPUTED_VALUE"""),0.9988384166355553)</f>
        <v>0.9988384166</v>
      </c>
      <c r="AO568" s="30">
        <f>IFERROR(__xludf.DUMMYFUNCTION("""COMPUTED_VALUE"""),1.0822035587525594)</f>
        <v>1.082203559</v>
      </c>
      <c r="AP568" s="30">
        <f>IFERROR(__xludf.DUMMYFUNCTION("""COMPUTED_VALUE"""),0.938433196148791)</f>
        <v>0.9384331961</v>
      </c>
      <c r="AQ568" s="30">
        <f>IFERROR(__xludf.DUMMYFUNCTION("""COMPUTED_VALUE"""),0.6900179787828133)</f>
        <v>0.6900179788</v>
      </c>
      <c r="AR568" s="30">
        <f>IFERROR(__xludf.DUMMYFUNCTION("""COMPUTED_VALUE"""),1.1699367604761315)</f>
        <v>1.16993676</v>
      </c>
      <c r="AS568" s="30">
        <f>IFERROR(__xludf.DUMMYFUNCTION("""COMPUTED_VALUE"""),87.0)</f>
        <v>87</v>
      </c>
      <c r="AT568" s="30">
        <f>IFERROR(__xludf.DUMMYFUNCTION("""COMPUTED_VALUE"""),0.4503079203252037)</f>
        <v>0.4503079203</v>
      </c>
      <c r="AU568" s="30">
        <f>IFERROR(__xludf.DUMMYFUNCTION("""COMPUTED_VALUE"""),2.6066352705592846)</f>
        <v>2.606635271</v>
      </c>
      <c r="AV568" s="32">
        <f>IFERROR(__xludf.DUMMYFUNCTION("""COMPUTED_VALUE"""),53.81561540217498)</f>
        <v>53.8156154</v>
      </c>
      <c r="AW568" s="32">
        <f>IFERROR(__xludf.DUMMYFUNCTION("""COMPUTED_VALUE"""),2.2761044126487993)</f>
        <v>2.276104413</v>
      </c>
      <c r="AX568" s="32">
        <f>IFERROR(__xludf.DUMMYFUNCTION("""COMPUTED_VALUE"""),55.54525769274025)</f>
        <v>55.54525769</v>
      </c>
      <c r="AY568" s="32">
        <f>IFERROR(__xludf.DUMMYFUNCTION("""COMPUTED_VALUE"""),2.425825665274518)</f>
        <v>2.425825665</v>
      </c>
      <c r="AZ568" s="30">
        <f>IFERROR(__xludf.DUMMYFUNCTION("""COMPUTED_VALUE"""),0.14972125262571856)</f>
        <v>0.1497212526</v>
      </c>
      <c r="BA568" s="30">
        <f>IFERROR(__xludf.DUMMYFUNCTION("""COMPUTED_VALUE"""),1700.0)</f>
        <v>1700</v>
      </c>
    </row>
    <row r="569">
      <c r="A569" s="71" t="str">
        <f>IFERROR(__xludf.DUMMYFUNCTION("""COMPUTED_VALUE"""),"Rival")</f>
        <v>Rival</v>
      </c>
      <c r="B569" s="71" t="str">
        <f>IFERROR(__xludf.DUMMYFUNCTION("""COMPUTED_VALUE"""),"RSC003239")</f>
        <v>RSC003239</v>
      </c>
      <c r="C569" s="30" t="str">
        <f>IFERROR(__xludf.DUMMYFUNCTION("""COMPUTED_VALUE"""),"Wallaby Gangsta")</f>
        <v>Wallaby Gangsta</v>
      </c>
      <c r="D569" s="30" t="str">
        <f>IFERROR(__xludf.DUMMYFUNCTION("""COMPUTED_VALUE"""),"Necrotic Nerds")</f>
        <v>Necrotic Nerds</v>
      </c>
      <c r="E569" s="30">
        <f>IFERROR(__xludf.DUMMYFUNCTION("""COMPUTED_VALUE"""),44.0)</f>
        <v>44</v>
      </c>
      <c r="F569" s="30">
        <f>IFERROR(__xludf.DUMMYFUNCTION("""COMPUTED_VALUE"""),15.0)</f>
        <v>15</v>
      </c>
      <c r="G569" s="42">
        <f>IFERROR(__xludf.DUMMYFUNCTION("""COMPUTED_VALUE"""),29.0)</f>
        <v>29</v>
      </c>
      <c r="H569" s="42">
        <f>IFERROR(__xludf.DUMMYFUNCTION("""COMPUTED_VALUE"""),0.3409090909090909)</f>
        <v>0.3409090909</v>
      </c>
      <c r="I569" s="42">
        <f>IFERROR(__xludf.DUMMYFUNCTION("""COMPUTED_VALUE"""),0.29203539823008845)</f>
        <v>0.2920353982</v>
      </c>
      <c r="J569" s="30">
        <f>IFERROR(__xludf.DUMMYFUNCTION("""COMPUTED_VALUE"""),329.45454545454544)</f>
        <v>329.4545455</v>
      </c>
      <c r="K569" s="30">
        <f>IFERROR(__xludf.DUMMYFUNCTION("""COMPUTED_VALUE"""),0.75)</f>
        <v>0.75</v>
      </c>
      <c r="L569" s="30">
        <f>IFERROR(__xludf.DUMMYFUNCTION("""COMPUTED_VALUE"""),0.6590909090909091)</f>
        <v>0.6590909091</v>
      </c>
      <c r="M569" s="30">
        <f>IFERROR(__xludf.DUMMYFUNCTION("""COMPUTED_VALUE"""),1.0454545454545454)</f>
        <v>1.045454545</v>
      </c>
      <c r="N569" s="30">
        <f>IFERROR(__xludf.DUMMYFUNCTION("""COMPUTED_VALUE"""),2.5681818181818183)</f>
        <v>2.568181818</v>
      </c>
      <c r="O569" s="30">
        <f>IFERROR(__xludf.DUMMYFUNCTION("""COMPUTED_VALUE"""),369.03030303030295)</f>
        <v>369.030303</v>
      </c>
      <c r="P569" s="30">
        <f>IFERROR(__xludf.DUMMYFUNCTION("""COMPUTED_VALUE"""),0.909090909090909)</f>
        <v>0.9090909091</v>
      </c>
      <c r="Q569" s="30">
        <f>IFERROR(__xludf.DUMMYFUNCTION("""COMPUTED_VALUE"""),0.6742424242424243)</f>
        <v>0.6742424242</v>
      </c>
      <c r="R569" s="30">
        <f>IFERROR(__xludf.DUMMYFUNCTION("""COMPUTED_VALUE"""),1.3106060606060608)</f>
        <v>1.310606061</v>
      </c>
      <c r="S569" s="30">
        <f>IFERROR(__xludf.DUMMYFUNCTION("""COMPUTED_VALUE"""),2.522727272727273)</f>
        <v>2.522727273</v>
      </c>
      <c r="T569" s="30">
        <f>IFERROR(__xludf.DUMMYFUNCTION("""COMPUTED_VALUE"""),352.98412439282856)</f>
        <v>352.9841244</v>
      </c>
      <c r="U569" s="30">
        <f>IFERROR(__xludf.DUMMYFUNCTION("""COMPUTED_VALUE"""),0.8064114145979709)</f>
        <v>0.8064114146</v>
      </c>
      <c r="V569" s="30">
        <f>IFERROR(__xludf.DUMMYFUNCTION("""COMPUTED_VALUE"""),0.5838034029158975)</f>
        <v>0.5838034029</v>
      </c>
      <c r="W569" s="30">
        <f>IFERROR(__xludf.DUMMYFUNCTION("""COMPUTED_VALUE"""),1.320676299319906)</f>
        <v>1.320676299</v>
      </c>
      <c r="X569" s="30">
        <f>IFERROR(__xludf.DUMMYFUNCTION("""COMPUTED_VALUE"""),2.5370855220528723)</f>
        <v>2.537085522</v>
      </c>
      <c r="Y569" s="30">
        <f>IFERROR(__xludf.DUMMYFUNCTION("""COMPUTED_VALUE"""),336.734720907699)</f>
        <v>336.7347209</v>
      </c>
      <c r="Z569" s="30">
        <f>IFERROR(__xludf.DUMMYFUNCTION("""COMPUTED_VALUE"""),0.7356769332397618)</f>
        <v>0.7356769332</v>
      </c>
      <c r="AA569" s="30">
        <f>IFERROR(__xludf.DUMMYFUNCTION("""COMPUTED_VALUE"""),0.527464263613071)</f>
        <v>0.5274642636</v>
      </c>
      <c r="AB569" s="30">
        <f>IFERROR(__xludf.DUMMYFUNCTION("""COMPUTED_VALUE"""),1.2528896099559945)</f>
        <v>1.25288961</v>
      </c>
      <c r="AC569" s="30">
        <f>IFERROR(__xludf.DUMMYFUNCTION("""COMPUTED_VALUE"""),2.4720145596995824)</f>
        <v>2.47201456</v>
      </c>
      <c r="AD569" s="30">
        <f>IFERROR(__xludf.DUMMYFUNCTION("""COMPUTED_VALUE"""),0.9783800867533672)</f>
        <v>0.9783800868</v>
      </c>
      <c r="AE569" s="30">
        <f>IFERROR(__xludf.DUMMYFUNCTION("""COMPUTED_VALUE"""),1.0194692345418015)</f>
        <v>1.019469235</v>
      </c>
      <c r="AF569" s="30">
        <f>IFERROR(__xludf.DUMMYFUNCTION("""COMPUTED_VALUE"""),1.249546091665453)</f>
        <v>1.249546092</v>
      </c>
      <c r="AG569" s="30">
        <f>IFERROR(__xludf.DUMMYFUNCTION("""COMPUTED_VALUE"""),0.8344346837478085)</f>
        <v>0.8344346837</v>
      </c>
      <c r="AH569" s="30">
        <f>IFERROR(__xludf.DUMMYFUNCTION("""COMPUTED_VALUE"""),1.038902383525574)</f>
        <v>1.038902384</v>
      </c>
      <c r="AI569" s="30">
        <f>IFERROR(__xludf.DUMMYFUNCTION("""COMPUTED_VALUE"""),1.0454586411359876)</f>
        <v>1.045458641</v>
      </c>
      <c r="AJ569" s="30">
        <f>IFERROR(__xludf.DUMMYFUNCTION("""COMPUTED_VALUE"""),1.1273289199956673)</f>
        <v>1.12732892</v>
      </c>
      <c r="AK569" s="30">
        <f>IFERROR(__xludf.DUMMYFUNCTION("""COMPUTED_VALUE"""),1.154913487785126)</f>
        <v>1.154913488</v>
      </c>
      <c r="AL569" s="30">
        <f>IFERROR(__xludf.DUMMYFUNCTION("""COMPUTED_VALUE"""),0.9923749379624432)</f>
        <v>0.992374938</v>
      </c>
      <c r="AM569" s="30">
        <f>IFERROR(__xludf.DUMMYFUNCTION("""COMPUTED_VALUE"""),0.9943406522165712)</f>
        <v>0.9943406522</v>
      </c>
      <c r="AN569" s="30">
        <f>IFERROR(__xludf.DUMMYFUNCTION("""COMPUTED_VALUE"""),0.9716222179132503)</f>
        <v>0.9716222179</v>
      </c>
      <c r="AO569" s="30">
        <f>IFERROR(__xludf.DUMMYFUNCTION("""COMPUTED_VALUE"""),1.0084169524739757)</f>
        <v>1.008416952</v>
      </c>
      <c r="AP569" s="30">
        <f>IFERROR(__xludf.DUMMYFUNCTION("""COMPUTED_VALUE"""),1.2075725868191693)</f>
        <v>1.207572587</v>
      </c>
      <c r="AQ569" s="30">
        <f>IFERROR(__xludf.DUMMYFUNCTION("""COMPUTED_VALUE"""),0.7993697223491314)</f>
        <v>0.7993697223</v>
      </c>
      <c r="AR569" s="30">
        <f>IFERROR(__xludf.DUMMYFUNCTION("""COMPUTED_VALUE"""),1.0265751915314238)</f>
        <v>1.026575192</v>
      </c>
      <c r="AS569" s="30">
        <f>IFERROR(__xludf.DUMMYFUNCTION("""COMPUTED_VALUE"""),98.0)</f>
        <v>98</v>
      </c>
      <c r="AT569" s="30">
        <f>IFERROR(__xludf.DUMMYFUNCTION("""COMPUTED_VALUE"""),0.42053319264239974)</f>
        <v>0.4205331926</v>
      </c>
      <c r="AU569" s="30">
        <f>IFERROR(__xludf.DUMMYFUNCTION("""COMPUTED_VALUE"""),2.651876525789929)</f>
        <v>2.651876526</v>
      </c>
      <c r="AV569" s="32">
        <f>IFERROR(__xludf.DUMMYFUNCTION("""COMPUTED_VALUE"""),55.11087140448384)</f>
        <v>55.1108714</v>
      </c>
      <c r="AW569" s="32">
        <f>IFERROR(__xludf.DUMMYFUNCTION("""COMPUTED_VALUE"""),2.386595844773917)</f>
        <v>2.386595845</v>
      </c>
      <c r="AX569" s="32">
        <f>IFERROR(__xludf.DUMMYFUNCTION("""COMPUTED_VALUE"""),53.34766175915842)</f>
        <v>53.34766176</v>
      </c>
      <c r="AY569" s="32">
        <f>IFERROR(__xludf.DUMMYFUNCTION("""COMPUTED_VALUE"""),2.2384471493509674)</f>
        <v>2.238447149</v>
      </c>
      <c r="AZ569" s="30">
        <f>IFERROR(__xludf.DUMMYFUNCTION("""COMPUTED_VALUE"""),0.1481486954229494)</f>
        <v>0.1481486954</v>
      </c>
      <c r="BA569" s="30">
        <f>IFERROR(__xludf.DUMMYFUNCTION("""COMPUTED_VALUE"""),1700.0)</f>
        <v>1700</v>
      </c>
    </row>
    <row r="570">
      <c r="A570" s="71" t="str">
        <f>IFERROR(__xludf.DUMMYFUNCTION("""COMPUTED_VALUE"""),"Rival")</f>
        <v>Rival</v>
      </c>
      <c r="B570" s="71" t="str">
        <f>IFERROR(__xludf.DUMMYFUNCTION("""COMPUTED_VALUE"""),"RSC007131")</f>
        <v>RSC007131</v>
      </c>
      <c r="C570" s="30" t="str">
        <f>IFERROR(__xludf.DUMMYFUNCTION("""COMPUTED_VALUE"""),"BankShark")</f>
        <v>BankShark</v>
      </c>
      <c r="D570" s="30" t="str">
        <f>IFERROR(__xludf.DUMMYFUNCTION("""COMPUTED_VALUE"""),"Hammerheads")</f>
        <v>Hammerheads</v>
      </c>
      <c r="E570" s="30">
        <f>IFERROR(__xludf.DUMMYFUNCTION("""COMPUTED_VALUE"""),44.0)</f>
        <v>44</v>
      </c>
      <c r="F570" s="30">
        <f>IFERROR(__xludf.DUMMYFUNCTION("""COMPUTED_VALUE"""),26.0)</f>
        <v>26</v>
      </c>
      <c r="G570" s="42">
        <f>IFERROR(__xludf.DUMMYFUNCTION("""COMPUTED_VALUE"""),18.0)</f>
        <v>18</v>
      </c>
      <c r="H570" s="42">
        <f>IFERROR(__xludf.DUMMYFUNCTION("""COMPUTED_VALUE"""),0.5909090909090909)</f>
        <v>0.5909090909</v>
      </c>
      <c r="I570" s="42">
        <f>IFERROR(__xludf.DUMMYFUNCTION("""COMPUTED_VALUE"""),0.3173076923076923)</f>
        <v>0.3173076923</v>
      </c>
      <c r="J570" s="30">
        <f>IFERROR(__xludf.DUMMYFUNCTION("""COMPUTED_VALUE"""),328.25)</f>
        <v>328.25</v>
      </c>
      <c r="K570" s="30">
        <f>IFERROR(__xludf.DUMMYFUNCTION("""COMPUTED_VALUE"""),0.75)</f>
        <v>0.75</v>
      </c>
      <c r="L570" s="30">
        <f>IFERROR(__xludf.DUMMYFUNCTION("""COMPUTED_VALUE"""),0.4772727272727273)</f>
        <v>0.4772727273</v>
      </c>
      <c r="M570" s="30">
        <f>IFERROR(__xludf.DUMMYFUNCTION("""COMPUTED_VALUE"""),1.2272727272727273)</f>
        <v>1.227272727</v>
      </c>
      <c r="N570" s="30">
        <f>IFERROR(__xludf.DUMMYFUNCTION("""COMPUTED_VALUE"""),2.3636363636363638)</f>
        <v>2.363636364</v>
      </c>
      <c r="O570" s="30">
        <f>IFERROR(__xludf.DUMMYFUNCTION("""COMPUTED_VALUE"""),324.64393939393943)</f>
        <v>324.6439394</v>
      </c>
      <c r="P570" s="30">
        <f>IFERROR(__xludf.DUMMYFUNCTION("""COMPUTED_VALUE"""),0.6666666666666666)</f>
        <v>0.6666666667</v>
      </c>
      <c r="Q570" s="30">
        <f>IFERROR(__xludf.DUMMYFUNCTION("""COMPUTED_VALUE"""),0.49242424242424243)</f>
        <v>0.4924242424</v>
      </c>
      <c r="R570" s="30">
        <f>IFERROR(__xludf.DUMMYFUNCTION("""COMPUTED_VALUE"""),1.3939393939393945)</f>
        <v>1.393939394</v>
      </c>
      <c r="S570" s="30">
        <f>IFERROR(__xludf.DUMMYFUNCTION("""COMPUTED_VALUE"""),2.303030303030303)</f>
        <v>2.303030303</v>
      </c>
      <c r="T570" s="30">
        <f>IFERROR(__xludf.DUMMYFUNCTION("""COMPUTED_VALUE"""),339.5447055598699)</f>
        <v>339.5447056</v>
      </c>
      <c r="U570" s="30">
        <f>IFERROR(__xludf.DUMMYFUNCTION("""COMPUTED_VALUE"""),0.7666189401399323)</f>
        <v>0.7666189401</v>
      </c>
      <c r="V570" s="30">
        <f>IFERROR(__xludf.DUMMYFUNCTION("""COMPUTED_VALUE"""),0.5412650041820485)</f>
        <v>0.5412650042</v>
      </c>
      <c r="W570" s="30">
        <f>IFERROR(__xludf.DUMMYFUNCTION("""COMPUTED_VALUE"""),1.262721000506659)</f>
        <v>1.262721001</v>
      </c>
      <c r="X570" s="30">
        <f>IFERROR(__xludf.DUMMYFUNCTION("""COMPUTED_VALUE"""),2.5323840258210457)</f>
        <v>2.532384026</v>
      </c>
      <c r="Y570" s="30">
        <f>IFERROR(__xludf.DUMMYFUNCTION("""COMPUTED_VALUE"""),348.87680565347586)</f>
        <v>348.8768057</v>
      </c>
      <c r="Z570" s="30">
        <f>IFERROR(__xludf.DUMMYFUNCTION("""COMPUTED_VALUE"""),0.8127674888403938)</f>
        <v>0.8127674888</v>
      </c>
      <c r="AA570" s="30">
        <f>IFERROR(__xludf.DUMMYFUNCTION("""COMPUTED_VALUE"""),0.5531920788386254)</f>
        <v>0.5531920788</v>
      </c>
      <c r="AB570" s="30">
        <f>IFERROR(__xludf.DUMMYFUNCTION("""COMPUTED_VALUE"""),1.3015774566602027)</f>
        <v>1.301577457</v>
      </c>
      <c r="AC570" s="30">
        <f>IFERROR(__xludf.DUMMYFUNCTION("""COMPUTED_VALUE"""),2.5231415502931807)</f>
        <v>2.52314155</v>
      </c>
      <c r="AD570" s="30">
        <f>IFERROR(__xludf.DUMMYFUNCTION("""COMPUTED_VALUE"""),0.9408765348706971)</f>
        <v>0.9408765349</v>
      </c>
      <c r="AE570" s="30">
        <f>IFERROR(__xludf.DUMMYFUNCTION("""COMPUTED_VALUE"""),0.9227731304435582)</f>
        <v>0.9227731304</v>
      </c>
      <c r="AF570" s="30">
        <f>IFERROR(__xludf.DUMMYFUNCTION("""COMPUTED_VALUE"""),0.8627613184099027)</f>
        <v>0.8627613184</v>
      </c>
      <c r="AG570" s="30">
        <f>IFERROR(__xludf.DUMMYFUNCTION("""COMPUTED_VALUE"""),0.9429117883017593)</f>
        <v>0.9429117883</v>
      </c>
      <c r="AH570" s="30">
        <f>IFERROR(__xludf.DUMMYFUNCTION("""COMPUTED_VALUE"""),0.9367831001640463)</f>
        <v>0.9367831002</v>
      </c>
      <c r="AI570" s="30">
        <f>IFERROR(__xludf.DUMMYFUNCTION("""COMPUTED_VALUE"""),0.9561154513030594)</f>
        <v>0.9561154513</v>
      </c>
      <c r="AJ570" s="30">
        <f>IFERROR(__xludf.DUMMYFUNCTION("""COMPUTED_VALUE"""),0.8696193529277777)</f>
        <v>0.8696193529</v>
      </c>
      <c r="AK570" s="30">
        <f>IFERROR(__xludf.DUMMYFUNCTION("""COMPUTED_VALUE"""),0.9097655281970178)</f>
        <v>0.9097655282</v>
      </c>
      <c r="AL570" s="30">
        <f>IFERROR(__xludf.DUMMYFUNCTION("""COMPUTED_VALUE"""),1.1039171704438946)</f>
        <v>1.10391717</v>
      </c>
      <c r="AM570" s="30">
        <f>IFERROR(__xludf.DUMMYFUNCTION("""COMPUTED_VALUE"""),0.9094316973838983)</f>
        <v>0.9094316974</v>
      </c>
      <c r="AN570" s="30">
        <f>IFERROR(__xludf.DUMMYFUNCTION("""COMPUTED_VALUE"""),0.9680697912059241)</f>
        <v>0.9680697912</v>
      </c>
      <c r="AO570" s="30">
        <f>IFERROR(__xludf.DUMMYFUNCTION("""COMPUTED_VALUE"""),1.0084169524739757)</f>
        <v>1.008416952</v>
      </c>
      <c r="AP570" s="30">
        <f>IFERROR(__xludf.DUMMYFUNCTION("""COMPUTED_VALUE"""),0.8744491145931916)</f>
        <v>0.8744491146</v>
      </c>
      <c r="AQ570" s="30">
        <f>IFERROR(__xludf.DUMMYFUNCTION("""COMPUTED_VALUE"""),0.9383905436272412)</f>
        <v>0.9383905436</v>
      </c>
      <c r="AR570" s="30">
        <f>IFERROR(__xludf.DUMMYFUNCTION("""COMPUTED_VALUE"""),0.9448125656572397)</f>
        <v>0.9448125657</v>
      </c>
      <c r="AS570" s="30">
        <f>IFERROR(__xludf.DUMMYFUNCTION("""COMPUTED_VALUE"""),106.0)</f>
        <v>106</v>
      </c>
      <c r="AT570" s="30">
        <f>IFERROR(__xludf.DUMMYFUNCTION("""COMPUTED_VALUE"""),0.5707450911124456)</f>
        <v>0.5707450911</v>
      </c>
      <c r="AU570" s="30">
        <f>IFERROR(__xludf.DUMMYFUNCTION("""COMPUTED_VALUE"""),2.4494224173669394)</f>
        <v>2.449422417</v>
      </c>
      <c r="AV570" s="32">
        <f>IFERROR(__xludf.DUMMYFUNCTION("""COMPUTED_VALUE"""),49.31461535919748)</f>
        <v>49.31461536</v>
      </c>
      <c r="AW570" s="32">
        <f>IFERROR(__xludf.DUMMYFUNCTION("""COMPUTED_VALUE"""),-2.0447212707393545)</f>
        <v>-2.044721271</v>
      </c>
      <c r="AX570" s="32">
        <f>IFERROR(__xludf.DUMMYFUNCTION("""COMPUTED_VALUE"""),47.3806763126857)</f>
        <v>47.38067631</v>
      </c>
      <c r="AY570" s="32">
        <f>IFERROR(__xludf.DUMMYFUNCTION("""COMPUTED_VALUE"""),-2.1820816741699005)</f>
        <v>-2.182081674</v>
      </c>
      <c r="AZ570" s="30">
        <f>IFERROR(__xludf.DUMMYFUNCTION("""COMPUTED_VALUE"""),0.137360403430546)</f>
        <v>0.1373604034</v>
      </c>
      <c r="BA570" s="30">
        <f>IFERROR(__xludf.DUMMYFUNCTION("""COMPUTED_VALUE"""),1700.0)</f>
        <v>1700</v>
      </c>
    </row>
    <row r="571">
      <c r="A571" s="71" t="str">
        <f>IFERROR(__xludf.DUMMYFUNCTION("""COMPUTED_VALUE"""),"Rival")</f>
        <v>Rival</v>
      </c>
      <c r="B571" s="71" t="str">
        <f>IFERROR(__xludf.DUMMYFUNCTION("""COMPUTED_VALUE"""),"RSC007601")</f>
        <v>RSC007601</v>
      </c>
      <c r="C571" s="30" t="str">
        <f>IFERROR(__xludf.DUMMYFUNCTION("""COMPUTED_VALUE"""),"Bricked Up Barry")</f>
        <v>Bricked Up Barry</v>
      </c>
      <c r="D571" s="30" t="str">
        <f>IFERROR(__xludf.DUMMYFUNCTION("""COMPUTED_VALUE"""),"Kitsune")</f>
        <v>Kitsune</v>
      </c>
      <c r="E571" s="30">
        <f>IFERROR(__xludf.DUMMYFUNCTION("""COMPUTED_VALUE"""),44.0)</f>
        <v>44</v>
      </c>
      <c r="F571" s="30">
        <f>IFERROR(__xludf.DUMMYFUNCTION("""COMPUTED_VALUE"""),25.0)</f>
        <v>25</v>
      </c>
      <c r="G571" s="42">
        <f>IFERROR(__xludf.DUMMYFUNCTION("""COMPUTED_VALUE"""),19.0)</f>
        <v>19</v>
      </c>
      <c r="H571" s="42">
        <f>IFERROR(__xludf.DUMMYFUNCTION("""COMPUTED_VALUE"""),0.5681818181818182)</f>
        <v>0.5681818182</v>
      </c>
      <c r="I571" s="42">
        <f>IFERROR(__xludf.DUMMYFUNCTION("""COMPUTED_VALUE"""),0.31683168316831684)</f>
        <v>0.3168316832</v>
      </c>
      <c r="J571" s="30">
        <f>IFERROR(__xludf.DUMMYFUNCTION("""COMPUTED_VALUE"""),315.65909090909093)</f>
        <v>315.6590909</v>
      </c>
      <c r="K571" s="30">
        <f>IFERROR(__xludf.DUMMYFUNCTION("""COMPUTED_VALUE"""),0.7272727272727273)</f>
        <v>0.7272727273</v>
      </c>
      <c r="L571" s="30">
        <f>IFERROR(__xludf.DUMMYFUNCTION("""COMPUTED_VALUE"""),0.4318181818181818)</f>
        <v>0.4318181818</v>
      </c>
      <c r="M571" s="30">
        <f>IFERROR(__xludf.DUMMYFUNCTION("""COMPUTED_VALUE"""),1.0909090909090908)</f>
        <v>1.090909091</v>
      </c>
      <c r="N571" s="30">
        <f>IFERROR(__xludf.DUMMYFUNCTION("""COMPUTED_VALUE"""),2.2954545454545454)</f>
        <v>2.295454545</v>
      </c>
      <c r="O571" s="30">
        <f>IFERROR(__xludf.DUMMYFUNCTION("""COMPUTED_VALUE"""),331.37878787878793)</f>
        <v>331.3787879</v>
      </c>
      <c r="P571" s="30">
        <f>IFERROR(__xludf.DUMMYFUNCTION("""COMPUTED_VALUE"""),0.7045454545454546)</f>
        <v>0.7045454545</v>
      </c>
      <c r="Q571" s="30">
        <f>IFERROR(__xludf.DUMMYFUNCTION("""COMPUTED_VALUE"""),0.48484848484848475)</f>
        <v>0.4848484848</v>
      </c>
      <c r="R571" s="30">
        <f>IFERROR(__xludf.DUMMYFUNCTION("""COMPUTED_VALUE"""),1.2878787878787876)</f>
        <v>1.287878788</v>
      </c>
      <c r="S571" s="30">
        <f>IFERROR(__xludf.DUMMYFUNCTION("""COMPUTED_VALUE"""),2.446969696969697)</f>
        <v>2.446969697</v>
      </c>
      <c r="T571" s="30">
        <f>IFERROR(__xludf.DUMMYFUNCTION("""COMPUTED_VALUE"""),341.01938604633466)</f>
        <v>341.019386</v>
      </c>
      <c r="U571" s="30">
        <f>IFERROR(__xludf.DUMMYFUNCTION("""COMPUTED_VALUE"""),0.7863981914551761)</f>
        <v>0.7863981915</v>
      </c>
      <c r="V571" s="30">
        <f>IFERROR(__xludf.DUMMYFUNCTION("""COMPUTED_VALUE"""),0.545847422126998)</f>
        <v>0.5458474221</v>
      </c>
      <c r="W571" s="30">
        <f>IFERROR(__xludf.DUMMYFUNCTION("""COMPUTED_VALUE"""),1.2877312924836952)</f>
        <v>1.287731292</v>
      </c>
      <c r="X571" s="30">
        <f>IFERROR(__xludf.DUMMYFUNCTION("""COMPUTED_VALUE"""),2.492870459878176)</f>
        <v>2.49287046</v>
      </c>
      <c r="Y571" s="30">
        <f>IFERROR(__xludf.DUMMYFUNCTION("""COMPUTED_VALUE"""),345.4747828995571)</f>
        <v>345.4747829</v>
      </c>
      <c r="Z571" s="30">
        <f>IFERROR(__xludf.DUMMYFUNCTION("""COMPUTED_VALUE"""),0.7842727041994574)</f>
        <v>0.7842727042</v>
      </c>
      <c r="AA571" s="30">
        <f>IFERROR(__xludf.DUMMYFUNCTION("""COMPUTED_VALUE"""),0.5530426439715055)</f>
        <v>0.553042644</v>
      </c>
      <c r="AB571" s="30">
        <f>IFERROR(__xludf.DUMMYFUNCTION("""COMPUTED_VALUE"""),1.3280415523330467)</f>
        <v>1.328041552</v>
      </c>
      <c r="AC571" s="30">
        <f>IFERROR(__xludf.DUMMYFUNCTION("""COMPUTED_VALUE"""),2.530814684511084)</f>
        <v>2.530814685</v>
      </c>
      <c r="AD571" s="30">
        <f>IFERROR(__xludf.DUMMYFUNCTION("""COMPUTED_VALUE"""),0.9136964737622116)</f>
        <v>0.9136964738</v>
      </c>
      <c r="AE571" s="30">
        <f>IFERROR(__xludf.DUMMYFUNCTION("""COMPUTED_VALUE"""),0.9273212281627058)</f>
        <v>0.9273212282</v>
      </c>
      <c r="AF571" s="30">
        <f>IFERROR(__xludf.DUMMYFUNCTION("""COMPUTED_VALUE"""),0.7808044940571174)</f>
        <v>0.7808044941</v>
      </c>
      <c r="AG571" s="30">
        <f>IFERROR(__xludf.DUMMYFUNCTION("""COMPUTED_VALUE"""),0.8214419865045851)</f>
        <v>0.8214419865</v>
      </c>
      <c r="AH571" s="30">
        <f>IFERROR(__xludf.DUMMYFUNCTION("""COMPUTED_VALUE"""),0.9070022232378477)</f>
        <v>0.9070022232</v>
      </c>
      <c r="AI571" s="30">
        <f>IFERROR(__xludf.DUMMYFUNCTION("""COMPUTED_VALUE"""),0.9717300582840271)</f>
        <v>0.9717300583</v>
      </c>
      <c r="AJ571" s="30">
        <f>IFERROR(__xludf.DUMMYFUNCTION("""COMPUTED_VALUE"""),0.8959143881571515)</f>
        <v>0.8959143882</v>
      </c>
      <c r="AK571" s="30">
        <f>IFERROR(__xludf.DUMMYFUNCTION("""COMPUTED_VALUE"""),0.8882491062414121)</f>
        <v>0.8882491062</v>
      </c>
      <c r="AL571" s="30">
        <f>IFERROR(__xludf.DUMMYFUNCTION("""COMPUTED_VALUE"""),1.0001145389538588)</f>
        <v>1.000114539</v>
      </c>
      <c r="AM571" s="30">
        <f>IFERROR(__xludf.DUMMYFUNCTION("""COMPUTED_VALUE"""),0.9815871848749324)</f>
        <v>0.9815871849</v>
      </c>
      <c r="AN571" s="30">
        <f>IFERROR(__xludf.DUMMYFUNCTION("""COMPUTED_VALUE"""),0.9309368780765132)</f>
        <v>0.9309368781</v>
      </c>
      <c r="AO571" s="30">
        <f>IFERROR(__xludf.DUMMYFUNCTION("""COMPUTED_VALUE"""),0.9778588630050674)</f>
        <v>0.977858863</v>
      </c>
      <c r="AP571" s="30">
        <f>IFERROR(__xludf.DUMMYFUNCTION("""COMPUTED_VALUE"""),0.7911682465366972)</f>
        <v>0.7911682465</v>
      </c>
      <c r="AQ571" s="30">
        <f>IFERROR(__xludf.DUMMYFUNCTION("""COMPUTED_VALUE"""),0.8341249276686588)</f>
        <v>0.8341249277</v>
      </c>
      <c r="AR571" s="30">
        <f>IFERROR(__xludf.DUMMYFUNCTION("""COMPUTED_VALUE"""),0.9175583570325115)</f>
        <v>0.917558357</v>
      </c>
      <c r="AS571" s="30">
        <f>IFERROR(__xludf.DUMMYFUNCTION("""COMPUTED_VALUE"""),93.0)</f>
        <v>93</v>
      </c>
      <c r="AT571" s="30">
        <f>IFERROR(__xludf.DUMMYFUNCTION("""COMPUTED_VALUE"""),0.5)</f>
        <v>0.5</v>
      </c>
      <c r="AU571" s="30">
        <f>IFERROR(__xludf.DUMMYFUNCTION("""COMPUTED_VALUE"""),2.285268307592212)</f>
        <v>2.285268308</v>
      </c>
      <c r="AV571" s="32">
        <f>IFERROR(__xludf.DUMMYFUNCTION("""COMPUTED_VALUE"""),44.61488731439817)</f>
        <v>44.61488731</v>
      </c>
      <c r="AW571" s="32">
        <f>IFERROR(__xludf.DUMMYFUNCTION("""COMPUTED_VALUE"""),-2.411230675091809)</f>
        <v>-2.411230675</v>
      </c>
      <c r="AX571" s="32">
        <f>IFERROR(__xludf.DUMMYFUNCTION("""COMPUTED_VALUE"""),43.670204120288545)</f>
        <v>43.67020412</v>
      </c>
      <c r="AY571" s="32">
        <f>IFERROR(__xludf.DUMMYFUNCTION("""COMPUTED_VALUE"""),-2.4996251325201904)</f>
        <v>-2.499625133</v>
      </c>
      <c r="AZ571" s="30">
        <f>IFERROR(__xludf.DUMMYFUNCTION("""COMPUTED_VALUE"""),0.08839445742838148)</f>
        <v>0.08839445743</v>
      </c>
      <c r="BA571" s="30">
        <f>IFERROR(__xludf.DUMMYFUNCTION("""COMPUTED_VALUE"""),1700.0)</f>
        <v>1700</v>
      </c>
    </row>
    <row r="572">
      <c r="A572" s="71" t="str">
        <f>IFERROR(__xludf.DUMMYFUNCTION("""COMPUTED_VALUE"""),"Rival")</f>
        <v>Rival</v>
      </c>
      <c r="B572" s="71" t="str">
        <f>IFERROR(__xludf.DUMMYFUNCTION("""COMPUTED_VALUE"""),"RSC005959")</f>
        <v>RSC005959</v>
      </c>
      <c r="C572" s="30" t="str">
        <f>IFERROR(__xludf.DUMMYFUNCTION("""COMPUTED_VALUE"""),"Yurrbo?")</f>
        <v>Yurrbo?</v>
      </c>
      <c r="D572" s="30" t="str">
        <f>IFERROR(__xludf.DUMMYFUNCTION("""COMPUTED_VALUE"""),"Nightfall")</f>
        <v>Nightfall</v>
      </c>
      <c r="E572" s="30">
        <f>IFERROR(__xludf.DUMMYFUNCTION("""COMPUTED_VALUE"""),48.0)</f>
        <v>48</v>
      </c>
      <c r="F572" s="30">
        <f>IFERROR(__xludf.DUMMYFUNCTION("""COMPUTED_VALUE"""),23.0)</f>
        <v>23</v>
      </c>
      <c r="G572" s="42">
        <f>IFERROR(__xludf.DUMMYFUNCTION("""COMPUTED_VALUE"""),25.0)</f>
        <v>25</v>
      </c>
      <c r="H572" s="42">
        <f>IFERROR(__xludf.DUMMYFUNCTION("""COMPUTED_VALUE"""),0.4791666666666667)</f>
        <v>0.4791666667</v>
      </c>
      <c r="I572" s="42">
        <f>IFERROR(__xludf.DUMMYFUNCTION("""COMPUTED_VALUE"""),0.28030303030303033)</f>
        <v>0.2803030303</v>
      </c>
      <c r="J572" s="30">
        <f>IFERROR(__xludf.DUMMYFUNCTION("""COMPUTED_VALUE"""),354.7291666666667)</f>
        <v>354.7291667</v>
      </c>
      <c r="K572" s="30">
        <f>IFERROR(__xludf.DUMMYFUNCTION("""COMPUTED_VALUE"""),0.7708333333333334)</f>
        <v>0.7708333333</v>
      </c>
      <c r="L572" s="30">
        <f>IFERROR(__xludf.DUMMYFUNCTION("""COMPUTED_VALUE"""),0.3958333333333333)</f>
        <v>0.3958333333</v>
      </c>
      <c r="M572" s="30">
        <f>IFERROR(__xludf.DUMMYFUNCTION("""COMPUTED_VALUE"""),1.6458333333333333)</f>
        <v>1.645833333</v>
      </c>
      <c r="N572" s="30">
        <f>IFERROR(__xludf.DUMMYFUNCTION("""COMPUTED_VALUE"""),2.75)</f>
        <v>2.75</v>
      </c>
      <c r="O572" s="30">
        <f>IFERROR(__xludf.DUMMYFUNCTION("""COMPUTED_VALUE"""),334.09027777777777)</f>
        <v>334.0902778</v>
      </c>
      <c r="P572" s="30">
        <f>IFERROR(__xludf.DUMMYFUNCTION("""COMPUTED_VALUE"""),0.6875)</f>
        <v>0.6875</v>
      </c>
      <c r="Q572" s="30">
        <f>IFERROR(__xludf.DUMMYFUNCTION("""COMPUTED_VALUE"""),0.5277777777777778)</f>
        <v>0.5277777778</v>
      </c>
      <c r="R572" s="30">
        <f>IFERROR(__xludf.DUMMYFUNCTION("""COMPUTED_VALUE"""),1.4027777777777777)</f>
        <v>1.402777778</v>
      </c>
      <c r="S572" s="30">
        <f>IFERROR(__xludf.DUMMYFUNCTION("""COMPUTED_VALUE"""),2.465277777777778)</f>
        <v>2.465277778</v>
      </c>
      <c r="T572" s="30">
        <f>IFERROR(__xludf.DUMMYFUNCTION("""COMPUTED_VALUE"""),350.89088581405446)</f>
        <v>350.8908858</v>
      </c>
      <c r="U572" s="30">
        <f>IFERROR(__xludf.DUMMYFUNCTION("""COMPUTED_VALUE"""),0.7891570954279535)</f>
        <v>0.7891570954</v>
      </c>
      <c r="V572" s="30">
        <f>IFERROR(__xludf.DUMMYFUNCTION("""COMPUTED_VALUE"""),0.5700743116093524)</f>
        <v>0.5700743116</v>
      </c>
      <c r="W572" s="30">
        <f>IFERROR(__xludf.DUMMYFUNCTION("""COMPUTED_VALUE"""),1.3421756862257874)</f>
        <v>1.342175686</v>
      </c>
      <c r="X572" s="30">
        <f>IFERROR(__xludf.DUMMYFUNCTION("""COMPUTED_VALUE"""),2.563562189539866)</f>
        <v>2.56356219</v>
      </c>
      <c r="Y572" s="30">
        <f>IFERROR(__xludf.DUMMYFUNCTION("""COMPUTED_VALUE"""),346.01998574707346)</f>
        <v>346.0199857</v>
      </c>
      <c r="Z572" s="30">
        <f>IFERROR(__xludf.DUMMYFUNCTION("""COMPUTED_VALUE"""),0.7802854447266837)</f>
        <v>0.7802854447</v>
      </c>
      <c r="AA572" s="30">
        <f>IFERROR(__xludf.DUMMYFUNCTION("""COMPUTED_VALUE"""),0.548727558992324)</f>
        <v>0.548727559</v>
      </c>
      <c r="AB572" s="30">
        <f>IFERROR(__xludf.DUMMYFUNCTION("""COMPUTED_VALUE"""),1.314908406968504)</f>
        <v>1.314908407</v>
      </c>
      <c r="AC572" s="30">
        <f>IFERROR(__xludf.DUMMYFUNCTION("""COMPUTED_VALUE"""),2.587562014957266)</f>
        <v>2.587562015</v>
      </c>
      <c r="AD572" s="30">
        <f>IFERROR(__xludf.DUMMYFUNCTION("""COMPUTED_VALUE"""),1.0251695892674804)</f>
        <v>1.025169589</v>
      </c>
      <c r="AE572" s="30">
        <f>IFERROR(__xludf.DUMMYFUNCTION("""COMPUTED_VALUE"""),0.9878863415212606)</f>
        <v>0.9878863415</v>
      </c>
      <c r="AF572" s="30">
        <f>IFERROR(__xludf.DUMMYFUNCTION("""COMPUTED_VALUE"""),0.721365870633938)</f>
        <v>0.7213658706</v>
      </c>
      <c r="AG572" s="30">
        <f>IFERROR(__xludf.DUMMYFUNCTION("""COMPUTED_VALUE"""),1.2516714659447423)</f>
        <v>1.251671466</v>
      </c>
      <c r="AH572" s="30">
        <f>IFERROR(__xludf.DUMMYFUNCTION("""COMPUTED_VALUE"""),1.0627764606621097)</f>
        <v>1.062776461</v>
      </c>
      <c r="AI572" s="30">
        <f>IFERROR(__xludf.DUMMYFUNCTION("""COMPUTED_VALUE"""),0.9521201355877345)</f>
        <v>0.9521201356</v>
      </c>
      <c r="AJ572" s="30">
        <f>IFERROR(__xludf.DUMMYFUNCTION("""COMPUTED_VALUE"""),0.8711826884445286)</f>
        <v>0.8711826884</v>
      </c>
      <c r="AK572" s="30">
        <f>IFERROR(__xludf.DUMMYFUNCTION("""COMPUTED_VALUE"""),0.9258052275462666)</f>
        <v>0.9258052275</v>
      </c>
      <c r="AL572" s="30">
        <f>IFERROR(__xludf.DUMMYFUNCTION("""COMPUTED_VALUE"""),1.0451521303611184)</f>
        <v>1.04515213</v>
      </c>
      <c r="AM572" s="30">
        <f>IFERROR(__xludf.DUMMYFUNCTION("""COMPUTED_VALUE"""),0.9616609996187652)</f>
        <v>0.9616609996</v>
      </c>
      <c r="AN572" s="30">
        <f>IFERROR(__xludf.DUMMYFUNCTION("""COMPUTED_VALUE"""),1.0461617374246808)</f>
        <v>1.046161737</v>
      </c>
      <c r="AO572" s="30">
        <f>IFERROR(__xludf.DUMMYFUNCTION("""COMPUTED_VALUE"""),1.0364285344871418)</f>
        <v>1.036428534</v>
      </c>
      <c r="AP572" s="30">
        <f>IFERROR(__xludf.DUMMYFUNCTION("""COMPUTED_VALUE"""),0.7252375593253056)</f>
        <v>0.7252375593</v>
      </c>
      <c r="AQ572" s="30">
        <f>IFERROR(__xludf.DUMMYFUNCTION("""COMPUTED_VALUE"""),1.2584280592778898)</f>
        <v>1.258428059</v>
      </c>
      <c r="AR572" s="30">
        <f>IFERROR(__xludf.DUMMYFUNCTION("""COMPUTED_VALUE"""),1.0992530811973653)</f>
        <v>1.099253081</v>
      </c>
      <c r="AS572" s="30">
        <f>IFERROR(__xludf.DUMMYFUNCTION("""COMPUTED_VALUE"""),104.0)</f>
        <v>104</v>
      </c>
      <c r="AT572" s="30">
        <f>IFERROR(__xludf.DUMMYFUNCTION("""COMPUTED_VALUE"""),0.5186237006390354)</f>
        <v>0.5186237006</v>
      </c>
      <c r="AU572" s="30">
        <f>IFERROR(__xludf.DUMMYFUNCTION("""COMPUTED_VALUE"""),2.5789199130921547)</f>
        <v>2.578919913</v>
      </c>
      <c r="AV572" s="32">
        <f>IFERROR(__xludf.DUMMYFUNCTION("""COMPUTED_VALUE"""),53.02212541317221)</f>
        <v>53.02212541</v>
      </c>
      <c r="AW572" s="32">
        <f>IFERROR(__xludf.DUMMYFUNCTION("""COMPUTED_VALUE"""),2.21292275804764)</f>
        <v>2.212922758</v>
      </c>
      <c r="AX572" s="32">
        <f>IFERROR(__xludf.DUMMYFUNCTION("""COMPUTED_VALUE"""),52.10724919472005)</f>
        <v>52.10724919</v>
      </c>
      <c r="AY572" s="32">
        <f>IFERROR(__xludf.DUMMYFUNCTION("""COMPUTED_VALUE"""),2.144022828401104)</f>
        <v>2.144022828</v>
      </c>
      <c r="AZ572" s="30">
        <f>IFERROR(__xludf.DUMMYFUNCTION("""COMPUTED_VALUE"""),0.06889992964653624)</f>
        <v>0.06889992965</v>
      </c>
      <c r="BA572" s="30">
        <f>IFERROR(__xludf.DUMMYFUNCTION("""COMPUTED_VALUE"""),1700.0)</f>
        <v>1700</v>
      </c>
    </row>
    <row r="573">
      <c r="A573" s="71" t="str">
        <f>IFERROR(__xludf.DUMMYFUNCTION("""COMPUTED_VALUE"""),"Rival")</f>
        <v>Rival</v>
      </c>
      <c r="B573" s="71" t="str">
        <f>IFERROR(__xludf.DUMMYFUNCTION("""COMPUTED_VALUE"""),"RSC001358")</f>
        <v>RSC001358</v>
      </c>
      <c r="C573" s="30" t="str">
        <f>IFERROR(__xludf.DUMMYFUNCTION("""COMPUTED_VALUE"""),"Cob")</f>
        <v>Cob</v>
      </c>
      <c r="D573" s="30" t="str">
        <f>IFERROR(__xludf.DUMMYFUNCTION("""COMPUTED_VALUE"""),"Heavy Metal")</f>
        <v>Heavy Metal</v>
      </c>
      <c r="E573" s="30">
        <f>IFERROR(__xludf.DUMMYFUNCTION("""COMPUTED_VALUE"""),46.0)</f>
        <v>46</v>
      </c>
      <c r="F573" s="30">
        <f>IFERROR(__xludf.DUMMYFUNCTION("""COMPUTED_VALUE"""),20.0)</f>
        <v>20</v>
      </c>
      <c r="G573" s="42">
        <f>IFERROR(__xludf.DUMMYFUNCTION("""COMPUTED_VALUE"""),26.0)</f>
        <v>26</v>
      </c>
      <c r="H573" s="42">
        <f>IFERROR(__xludf.DUMMYFUNCTION("""COMPUTED_VALUE"""),0.43478260869565216)</f>
        <v>0.4347826087</v>
      </c>
      <c r="I573" s="42">
        <f>IFERROR(__xludf.DUMMYFUNCTION("""COMPUTED_VALUE"""),0.33333333333333337)</f>
        <v>0.3333333333</v>
      </c>
      <c r="J573" s="30">
        <f>IFERROR(__xludf.DUMMYFUNCTION("""COMPUTED_VALUE"""),345.7391304347826)</f>
        <v>345.7391304</v>
      </c>
      <c r="K573" s="30">
        <f>IFERROR(__xludf.DUMMYFUNCTION("""COMPUTED_VALUE"""),0.8260869565217391)</f>
        <v>0.8260869565</v>
      </c>
      <c r="L573" s="30">
        <f>IFERROR(__xludf.DUMMYFUNCTION("""COMPUTED_VALUE"""),0.5434782608695652)</f>
        <v>0.5434782609</v>
      </c>
      <c r="M573" s="30">
        <f>IFERROR(__xludf.DUMMYFUNCTION("""COMPUTED_VALUE"""),1.4782608695652173)</f>
        <v>1.47826087</v>
      </c>
      <c r="N573" s="30">
        <f>IFERROR(__xludf.DUMMYFUNCTION("""COMPUTED_VALUE"""),2.4782608695652173)</f>
        <v>2.47826087</v>
      </c>
      <c r="O573" s="30">
        <f>IFERROR(__xludf.DUMMYFUNCTION("""COMPUTED_VALUE"""),357.68115942028993)</f>
        <v>357.6811594</v>
      </c>
      <c r="P573" s="30">
        <f>IFERROR(__xludf.DUMMYFUNCTION("""COMPUTED_VALUE"""),0.8405797101449276)</f>
        <v>0.8405797101</v>
      </c>
      <c r="Q573" s="30">
        <f>IFERROR(__xludf.DUMMYFUNCTION("""COMPUTED_VALUE"""),0.6159420289855071)</f>
        <v>0.615942029</v>
      </c>
      <c r="R573" s="30">
        <f>IFERROR(__xludf.DUMMYFUNCTION("""COMPUTED_VALUE"""),1.326086956521739)</f>
        <v>1.326086957</v>
      </c>
      <c r="S573" s="30">
        <f>IFERROR(__xludf.DUMMYFUNCTION("""COMPUTED_VALUE"""),2.5217391304347827)</f>
        <v>2.52173913</v>
      </c>
      <c r="T573" s="30">
        <f>IFERROR(__xludf.DUMMYFUNCTION("""COMPUTED_VALUE"""),341.4957550724931)</f>
        <v>341.4957551</v>
      </c>
      <c r="U573" s="30">
        <f>IFERROR(__xludf.DUMMYFUNCTION("""COMPUTED_VALUE"""),0.7670946309926591)</f>
        <v>0.767094631</v>
      </c>
      <c r="V573" s="30">
        <f>IFERROR(__xludf.DUMMYFUNCTION("""COMPUTED_VALUE"""),0.5606319035316797)</f>
        <v>0.5606319035</v>
      </c>
      <c r="W573" s="30">
        <f>IFERROR(__xludf.DUMMYFUNCTION("""COMPUTED_VALUE"""),1.2952838517315224)</f>
        <v>1.295283852</v>
      </c>
      <c r="X573" s="30">
        <f>IFERROR(__xludf.DUMMYFUNCTION("""COMPUTED_VALUE"""),2.423953708534893)</f>
        <v>2.423953709</v>
      </c>
      <c r="Y573" s="30">
        <f>IFERROR(__xludf.DUMMYFUNCTION("""COMPUTED_VALUE"""),348.3972133611345)</f>
        <v>348.3972134</v>
      </c>
      <c r="Z573" s="30">
        <f>IFERROR(__xludf.DUMMYFUNCTION("""COMPUTED_VALUE"""),0.8056030536306326)</f>
        <v>0.8056030536</v>
      </c>
      <c r="AA573" s="30">
        <f>IFERROR(__xludf.DUMMYFUNCTION("""COMPUTED_VALUE"""),0.5737697112146665)</f>
        <v>0.5737697112</v>
      </c>
      <c r="AB573" s="30">
        <f>IFERROR(__xludf.DUMMYFUNCTION("""COMPUTED_VALUE"""),1.2637657030226908)</f>
        <v>1.263765703</v>
      </c>
      <c r="AC573" s="30">
        <f>IFERROR(__xludf.DUMMYFUNCTION("""COMPUTED_VALUE"""),2.606519434429763)</f>
        <v>2.606519434</v>
      </c>
      <c r="AD573" s="30">
        <f>IFERROR(__xludf.DUMMYFUNCTION("""COMPUTED_VALUE"""),0.9923705390731796)</f>
        <v>0.9923705391</v>
      </c>
      <c r="AE573" s="30">
        <f>IFERROR(__xludf.DUMMYFUNCTION("""COMPUTED_VALUE"""),1.025426794000831)</f>
        <v>1.025426794</v>
      </c>
      <c r="AF573" s="30">
        <f>IFERROR(__xludf.DUMMYFUNCTION("""COMPUTED_VALUE"""),0.9472062575750566)</f>
        <v>0.9472062576</v>
      </c>
      <c r="AG573" s="30">
        <f>IFERROR(__xludf.DUMMYFUNCTION("""COMPUTED_VALUE"""),1.1697270040083334)</f>
        <v>1.169727004</v>
      </c>
      <c r="AH573" s="30">
        <f>IFERROR(__xludf.DUMMYFUNCTION("""COMPUTED_VALUE"""),0.9507931676355963)</f>
        <v>0.9507931676</v>
      </c>
      <c r="AI573" s="30">
        <f>IFERROR(__xludf.DUMMYFUNCTION("""COMPUTED_VALUE"""),1.047395623832457)</f>
        <v>1.047395624</v>
      </c>
      <c r="AJ573" s="30">
        <f>IFERROR(__xludf.DUMMYFUNCTION("""COMPUTED_VALUE"""),1.0957966281906772)</f>
        <v>1.095796628</v>
      </c>
      <c r="AK573" s="30">
        <f>IFERROR(__xludf.DUMMYFUNCTION("""COMPUTED_VALUE"""),1.0986567569654944)</f>
        <v>1.098656757</v>
      </c>
      <c r="AL573" s="30">
        <f>IFERROR(__xludf.DUMMYFUNCTION("""COMPUTED_VALUE"""),1.0237809687421326)</f>
        <v>1.023780969</v>
      </c>
      <c r="AM573" s="30">
        <f>IFERROR(__xludf.DUMMYFUNCTION("""COMPUTED_VALUE"""),1.0403412909890073)</f>
        <v>1.040341291</v>
      </c>
      <c r="AN573" s="30">
        <f>IFERROR(__xludf.DUMMYFUNCTION("""COMPUTED_VALUE"""),1.0196484624880968)</f>
        <v>1.019648462</v>
      </c>
      <c r="AO573" s="30">
        <f>IFERROR(__xludf.DUMMYFUNCTION("""COMPUTED_VALUE"""),1.1107201215655385)</f>
        <v>1.110720122</v>
      </c>
      <c r="AP573" s="30">
        <f>IFERROR(__xludf.DUMMYFUNCTION("""COMPUTED_VALUE"""),0.995749509371129)</f>
        <v>0.9957495094</v>
      </c>
      <c r="AQ573" s="30">
        <f>IFERROR(__xludf.DUMMYFUNCTION("""COMPUTED_VALUE"""),1.130299720826371)</f>
        <v>1.130299721</v>
      </c>
      <c r="AR573" s="30">
        <f>IFERROR(__xludf.DUMMYFUNCTION("""COMPUTED_VALUE"""),0.9906312352292462)</f>
        <v>0.9906312352</v>
      </c>
      <c r="AS573" s="30">
        <f>IFERROR(__xludf.DUMMYFUNCTION("""COMPUTED_VALUE"""),99.0)</f>
        <v>99</v>
      </c>
      <c r="AT573" s="30">
        <f>IFERROR(__xludf.DUMMYFUNCTION("""COMPUTED_VALUE"""),0.4386390989149729)</f>
        <v>0.4386390989</v>
      </c>
      <c r="AU573" s="30">
        <f>IFERROR(__xludf.DUMMYFUNCTION("""COMPUTED_VALUE"""),2.5241877325245996)</f>
        <v>2.524187733</v>
      </c>
      <c r="AV573" s="32">
        <f>IFERROR(__xludf.DUMMYFUNCTION("""COMPUTED_VALUE"""),51.45514445656164)</f>
        <v>51.45514446</v>
      </c>
      <c r="AW573" s="32">
        <f>IFERROR(__xludf.DUMMYFUNCTION("""COMPUTED_VALUE"""),2.0973490471839025)</f>
        <v>2.097349047</v>
      </c>
      <c r="AX573" s="32">
        <f>IFERROR(__xludf.DUMMYFUNCTION("""COMPUTED_VALUE"""),52.23317910040958)</f>
        <v>52.2331791</v>
      </c>
      <c r="AY573" s="32">
        <f>IFERROR(__xludf.DUMMYFUNCTION("""COMPUTED_VALUE"""),2.1532653200795666)</f>
        <v>2.15326532</v>
      </c>
      <c r="AZ573" s="30">
        <f>IFERROR(__xludf.DUMMYFUNCTION("""COMPUTED_VALUE"""),0.05591627289566414)</f>
        <v>0.0559162729</v>
      </c>
      <c r="BA573" s="30">
        <f>IFERROR(__xludf.DUMMYFUNCTION("""COMPUTED_VALUE"""),1700.0)</f>
        <v>1700</v>
      </c>
    </row>
    <row r="574">
      <c r="A574" s="71" t="str">
        <f>IFERROR(__xludf.DUMMYFUNCTION("""COMPUTED_VALUE"""),"Rival")</f>
        <v>Rival</v>
      </c>
      <c r="B574" s="71" t="str">
        <f>IFERROR(__xludf.DUMMYFUNCTION("""COMPUTED_VALUE"""),"RSC004586")</f>
        <v>RSC004586</v>
      </c>
      <c r="C574" s="30" t="str">
        <f>IFERROR(__xludf.DUMMYFUNCTION("""COMPUTED_VALUE"""),"Jaybeauh")</f>
        <v>Jaybeauh</v>
      </c>
      <c r="D574" s="30" t="str">
        <f>IFERROR(__xludf.DUMMYFUNCTION("""COMPUTED_VALUE"""),"Ion Imperial")</f>
        <v>Ion Imperial</v>
      </c>
      <c r="E574" s="30">
        <f>IFERROR(__xludf.DUMMYFUNCTION("""COMPUTED_VALUE"""),30.0)</f>
        <v>30</v>
      </c>
      <c r="F574" s="30">
        <f>IFERROR(__xludf.DUMMYFUNCTION("""COMPUTED_VALUE"""),17.0)</f>
        <v>17</v>
      </c>
      <c r="G574" s="42">
        <f>IFERROR(__xludf.DUMMYFUNCTION("""COMPUTED_VALUE"""),13.0)</f>
        <v>13</v>
      </c>
      <c r="H574" s="42">
        <f>IFERROR(__xludf.DUMMYFUNCTION("""COMPUTED_VALUE"""),0.5666666666666667)</f>
        <v>0.5666666667</v>
      </c>
      <c r="I574" s="42">
        <f>IFERROR(__xludf.DUMMYFUNCTION("""COMPUTED_VALUE"""),0.2808988764044944)</f>
        <v>0.2808988764</v>
      </c>
      <c r="J574" s="30">
        <f>IFERROR(__xludf.DUMMYFUNCTION("""COMPUTED_VALUE"""),382.1)</f>
        <v>382.1</v>
      </c>
      <c r="K574" s="30">
        <f>IFERROR(__xludf.DUMMYFUNCTION("""COMPUTED_VALUE"""),0.8333333333333334)</f>
        <v>0.8333333333</v>
      </c>
      <c r="L574" s="30">
        <f>IFERROR(__xludf.DUMMYFUNCTION("""COMPUTED_VALUE"""),0.6)</f>
        <v>0.6</v>
      </c>
      <c r="M574" s="30">
        <f>IFERROR(__xludf.DUMMYFUNCTION("""COMPUTED_VALUE"""),1.3333333333333333)</f>
        <v>1.333333333</v>
      </c>
      <c r="N574" s="30">
        <f>IFERROR(__xludf.DUMMYFUNCTION("""COMPUTED_VALUE"""),2.966666666666667)</f>
        <v>2.966666667</v>
      </c>
      <c r="O574" s="30">
        <f>IFERROR(__xludf.DUMMYFUNCTION("""COMPUTED_VALUE"""),334.44444444444446)</f>
        <v>334.4444444</v>
      </c>
      <c r="P574" s="30">
        <f>IFERROR(__xludf.DUMMYFUNCTION("""COMPUTED_VALUE"""),0.6777777777777778)</f>
        <v>0.6777777778</v>
      </c>
      <c r="Q574" s="30">
        <f>IFERROR(__xludf.DUMMYFUNCTION("""COMPUTED_VALUE"""),0.46666666666666673)</f>
        <v>0.4666666667</v>
      </c>
      <c r="R574" s="30">
        <f>IFERROR(__xludf.DUMMYFUNCTION("""COMPUTED_VALUE"""),1.4222222222222218)</f>
        <v>1.422222222</v>
      </c>
      <c r="S574" s="30">
        <f>IFERROR(__xludf.DUMMYFUNCTION("""COMPUTED_VALUE"""),2.466666666666667)</f>
        <v>2.466666667</v>
      </c>
      <c r="T574" s="30">
        <f>IFERROR(__xludf.DUMMYFUNCTION("""COMPUTED_VALUE"""),347.4474618522092)</f>
        <v>347.4474619</v>
      </c>
      <c r="U574" s="30">
        <f>IFERROR(__xludf.DUMMYFUNCTION("""COMPUTED_VALUE"""),0.7890329628574565)</f>
        <v>0.7890329629</v>
      </c>
      <c r="V574" s="30">
        <f>IFERROR(__xludf.DUMMYFUNCTION("""COMPUTED_VALUE"""),0.5418875452333541)</f>
        <v>0.5418875452</v>
      </c>
      <c r="W574" s="30">
        <f>IFERROR(__xludf.DUMMYFUNCTION("""COMPUTED_VALUE"""),1.3125683907673873)</f>
        <v>1.312568391</v>
      </c>
      <c r="X574" s="30">
        <f>IFERROR(__xludf.DUMMYFUNCTION("""COMPUTED_VALUE"""),2.644706057607856)</f>
        <v>2.644706058</v>
      </c>
      <c r="Y574" s="30">
        <f>IFERROR(__xludf.DUMMYFUNCTION("""COMPUTED_VALUE"""),357.13503901344313)</f>
        <v>357.135039</v>
      </c>
      <c r="Z574" s="30">
        <f>IFERROR(__xludf.DUMMYFUNCTION("""COMPUTED_VALUE"""),0.8345877140896913)</f>
        <v>0.8345877141</v>
      </c>
      <c r="AA574" s="30">
        <f>IFERROR(__xludf.DUMMYFUNCTION("""COMPUTED_VALUE"""),0.5808417915941161)</f>
        <v>0.5808417916</v>
      </c>
      <c r="AB574" s="30">
        <f>IFERROR(__xludf.DUMMYFUNCTION("""COMPUTED_VALUE"""),1.3333067747576974)</f>
        <v>1.333306775</v>
      </c>
      <c r="AC574" s="30">
        <f>IFERROR(__xludf.DUMMYFUNCTION("""COMPUTED_VALUE"""),2.5644733801591837)</f>
        <v>2.56447338</v>
      </c>
      <c r="AD574" s="30">
        <f>IFERROR(__xludf.DUMMYFUNCTION("""COMPUTED_VALUE"""),1.0699034210015366)</f>
        <v>1.069903421</v>
      </c>
      <c r="AE574" s="30">
        <f>IFERROR(__xludf.DUMMYFUNCTION("""COMPUTED_VALUE"""),0.9984970054852459)</f>
        <v>0.9984970055</v>
      </c>
      <c r="AF574" s="30">
        <f>IFERROR(__xludf.DUMMYFUNCTION("""COMPUTED_VALUE"""),1.0329835226788766)</f>
        <v>1.032983523</v>
      </c>
      <c r="AG574" s="30">
        <f>IFERROR(__xludf.DUMMYFUNCTION("""COMPUTED_VALUE"""),1.0000199193284987)</f>
        <v>1.000019919</v>
      </c>
      <c r="AH574" s="30">
        <f>IFERROR(__xludf.DUMMYFUNCTION("""COMPUTED_VALUE"""),1.1568327008652817)</f>
        <v>1.156832701</v>
      </c>
      <c r="AI574" s="30">
        <f>IFERROR(__xludf.DUMMYFUNCTION("""COMPUTED_VALUE"""),0.962575586713321)</f>
        <v>0.9625755867</v>
      </c>
      <c r="AJ574" s="30">
        <f>IFERROR(__xludf.DUMMYFUNCTION("""COMPUTED_VALUE"""),0.8589980516444183)</f>
        <v>0.8589980516</v>
      </c>
      <c r="AK574" s="30">
        <f>IFERROR(__xludf.DUMMYFUNCTION("""COMPUTED_VALUE"""),0.8611872901889729)</f>
        <v>0.8611872902</v>
      </c>
      <c r="AL574" s="30">
        <f>IFERROR(__xludf.DUMMYFUNCTION("""COMPUTED_VALUE"""),1.0835414232326026)</f>
        <v>1.083541423</v>
      </c>
      <c r="AM574" s="30">
        <f>IFERROR(__xludf.DUMMYFUNCTION("""COMPUTED_VALUE"""),0.9326808397367886)</f>
        <v>0.9326808397</v>
      </c>
      <c r="AN574" s="30">
        <f>IFERROR(__xludf.DUMMYFUNCTION("""COMPUTED_VALUE"""),1.1268833730991124)</f>
        <v>1.126883373</v>
      </c>
      <c r="AO574" s="30">
        <f>IFERROR(__xludf.DUMMYFUNCTION("""COMPUTED_VALUE"""),1.1204632805266397)</f>
        <v>1.120463281</v>
      </c>
      <c r="AP574" s="30">
        <f>IFERROR(__xludf.DUMMYFUNCTION("""COMPUTED_VALUE"""),1.0993074583457265)</f>
        <v>1.099307458</v>
      </c>
      <c r="AQ574" s="30">
        <f>IFERROR(__xludf.DUMMYFUNCTION("""COMPUTED_VALUE"""),1.0194860227061384)</f>
        <v>1.019486023</v>
      </c>
      <c r="AR574" s="30">
        <f>IFERROR(__xludf.DUMMYFUNCTION("""COMPUTED_VALUE"""),1.1858608997159457)</f>
        <v>1.1858609</v>
      </c>
      <c r="AS574" s="30">
        <f>IFERROR(__xludf.DUMMYFUNCTION("""COMPUTED_VALUE"""),70.0)</f>
        <v>70</v>
      </c>
      <c r="AT574" s="30">
        <f>IFERROR(__xludf.DUMMYFUNCTION("""COMPUTED_VALUE"""),0.5523305917220438)</f>
        <v>0.5523305917</v>
      </c>
      <c r="AU574" s="30">
        <f>IFERROR(__xludf.DUMMYFUNCTION("""COMPUTED_VALUE"""),3.0686091863116505)</f>
        <v>3.068609186</v>
      </c>
      <c r="AV574" s="32">
        <f>IFERROR(__xludf.DUMMYFUNCTION("""COMPUTED_VALUE"""),67.04191702085922)</f>
        <v>67.04191702</v>
      </c>
      <c r="AW574" s="32">
        <f>IFERROR(__xludf.DUMMYFUNCTION("""COMPUTED_VALUE"""),4.036787927617748)</f>
        <v>4.036787928</v>
      </c>
      <c r="AX574" s="32">
        <f>IFERROR(__xludf.DUMMYFUNCTION("""COMPUTED_VALUE"""),66.84692512983621)</f>
        <v>66.84692513</v>
      </c>
      <c r="AY574" s="32">
        <f>IFERROR(__xludf.DUMMYFUNCTION("""COMPUTED_VALUE"""),3.996886325832538)</f>
        <v>3.996886326</v>
      </c>
      <c r="AZ574" s="30">
        <f>IFERROR(__xludf.DUMMYFUNCTION("""COMPUTED_VALUE"""),0.039901601785210516)</f>
        <v>0.03990160179</v>
      </c>
      <c r="BA574" s="30">
        <f>IFERROR(__xludf.DUMMYFUNCTION("""COMPUTED_VALUE"""),1700.0)</f>
        <v>1700</v>
      </c>
    </row>
    <row r="575">
      <c r="A575" s="71" t="str">
        <f>IFERROR(__xludf.DUMMYFUNCTION("""COMPUTED_VALUE"""),"Rival")</f>
        <v>Rival</v>
      </c>
      <c r="B575" s="71" t="str">
        <f>IFERROR(__xludf.DUMMYFUNCTION("""COMPUTED_VALUE"""),"RSC005703")</f>
        <v>RSC005703</v>
      </c>
      <c r="C575" s="30" t="str">
        <f>IFERROR(__xludf.DUMMYFUNCTION("""COMPUTED_VALUE"""),"Shoddy-")</f>
        <v>Shoddy-</v>
      </c>
      <c r="D575" s="30" t="str">
        <f>IFERROR(__xludf.DUMMYFUNCTION("""COMPUTED_VALUE"""),"Jetstream")</f>
        <v>Jetstream</v>
      </c>
      <c r="E575" s="30">
        <f>IFERROR(__xludf.DUMMYFUNCTION("""COMPUTED_VALUE"""),33.0)</f>
        <v>33</v>
      </c>
      <c r="F575" s="30">
        <f>IFERROR(__xludf.DUMMYFUNCTION("""COMPUTED_VALUE"""),14.0)</f>
        <v>14</v>
      </c>
      <c r="G575" s="42">
        <f>IFERROR(__xludf.DUMMYFUNCTION("""COMPUTED_VALUE"""),19.0)</f>
        <v>19</v>
      </c>
      <c r="H575" s="42">
        <f>IFERROR(__xludf.DUMMYFUNCTION("""COMPUTED_VALUE"""),0.42424242424242425)</f>
        <v>0.4242424242</v>
      </c>
      <c r="I575" s="42">
        <f>IFERROR(__xludf.DUMMYFUNCTION("""COMPUTED_VALUE"""),0.2625)</f>
        <v>0.2625</v>
      </c>
      <c r="J575" s="30">
        <f>IFERROR(__xludf.DUMMYFUNCTION("""COMPUTED_VALUE"""),329.3333333333333)</f>
        <v>329.3333333</v>
      </c>
      <c r="K575" s="30">
        <f>IFERROR(__xludf.DUMMYFUNCTION("""COMPUTED_VALUE"""),0.6363636363636364)</f>
        <v>0.6363636364</v>
      </c>
      <c r="L575" s="30">
        <f>IFERROR(__xludf.DUMMYFUNCTION("""COMPUTED_VALUE"""),0.5757575757575758)</f>
        <v>0.5757575758</v>
      </c>
      <c r="M575" s="30">
        <f>IFERROR(__xludf.DUMMYFUNCTION("""COMPUTED_VALUE"""),1.2727272727272727)</f>
        <v>1.272727273</v>
      </c>
      <c r="N575" s="30">
        <f>IFERROR(__xludf.DUMMYFUNCTION("""COMPUTED_VALUE"""),2.4242424242424243)</f>
        <v>2.424242424</v>
      </c>
      <c r="O575" s="30">
        <f>IFERROR(__xludf.DUMMYFUNCTION("""COMPUTED_VALUE"""),338.4040404040404)</f>
        <v>338.4040404</v>
      </c>
      <c r="P575" s="30">
        <f>IFERROR(__xludf.DUMMYFUNCTION("""COMPUTED_VALUE"""),0.6666666666666665)</f>
        <v>0.6666666667</v>
      </c>
      <c r="Q575" s="30">
        <f>IFERROR(__xludf.DUMMYFUNCTION("""COMPUTED_VALUE"""),0.5050505050505051)</f>
        <v>0.5050505051</v>
      </c>
      <c r="R575" s="30">
        <f>IFERROR(__xludf.DUMMYFUNCTION("""COMPUTED_VALUE"""),1.3535353535353536)</f>
        <v>1.353535354</v>
      </c>
      <c r="S575" s="30">
        <f>IFERROR(__xludf.DUMMYFUNCTION("""COMPUTED_VALUE"""),2.3939393939393936)</f>
        <v>2.393939394</v>
      </c>
      <c r="T575" s="30">
        <f>IFERROR(__xludf.DUMMYFUNCTION("""COMPUTED_VALUE"""),344.44851371540403)</f>
        <v>344.4485137</v>
      </c>
      <c r="U575" s="30">
        <f>IFERROR(__xludf.DUMMYFUNCTION("""COMPUTED_VALUE"""),0.7456753392206164)</f>
        <v>0.7456753392</v>
      </c>
      <c r="V575" s="30">
        <f>IFERROR(__xludf.DUMMYFUNCTION("""COMPUTED_VALUE"""),0.5368935776875009)</f>
        <v>0.5368935777</v>
      </c>
      <c r="W575" s="30">
        <f>IFERROR(__xludf.DUMMYFUNCTION("""COMPUTED_VALUE"""),1.338576348158497)</f>
        <v>1.338576348</v>
      </c>
      <c r="X575" s="30">
        <f>IFERROR(__xludf.DUMMYFUNCTION("""COMPUTED_VALUE"""),2.4890470413910015)</f>
        <v>2.489047041</v>
      </c>
      <c r="Y575" s="30">
        <f>IFERROR(__xludf.DUMMYFUNCTION("""COMPUTED_VALUE"""),346.27660871901503)</f>
        <v>346.2766087</v>
      </c>
      <c r="Z575" s="30">
        <f>IFERROR(__xludf.DUMMYFUNCTION("""COMPUTED_VALUE"""),0.7917311961516026)</f>
        <v>0.7917311962</v>
      </c>
      <c r="AA575" s="30">
        <f>IFERROR(__xludf.DUMMYFUNCTION("""COMPUTED_VALUE"""),0.5674686376333368)</f>
        <v>0.5674686376</v>
      </c>
      <c r="AB575" s="30">
        <f>IFERROR(__xludf.DUMMYFUNCTION("""COMPUTED_VALUE"""),1.245613632191356)</f>
        <v>1.245613632</v>
      </c>
      <c r="AC575" s="30">
        <f>IFERROR(__xludf.DUMMYFUNCTION("""COMPUTED_VALUE"""),2.6524457186144743)</f>
        <v>2.652445719</v>
      </c>
      <c r="AD575" s="30">
        <f>IFERROR(__xludf.DUMMYFUNCTION("""COMPUTED_VALUE"""),0.951070112854691)</f>
        <v>0.9510701129</v>
      </c>
      <c r="AE575" s="30">
        <f>IFERROR(__xludf.DUMMYFUNCTION("""COMPUTED_VALUE"""),0.8037622357901683)</f>
        <v>0.8037622358</v>
      </c>
      <c r="AF575" s="30">
        <f>IFERROR(__xludf.DUMMYFUNCTION("""COMPUTED_VALUE"""),1.0146068656037248)</f>
        <v>1.014606866</v>
      </c>
      <c r="AG575" s="30">
        <f>IFERROR(__xludf.DUMMYFUNCTION("""COMPUTED_VALUE"""),1.0217672959216229)</f>
        <v>1.021767296</v>
      </c>
      <c r="AH575" s="30">
        <f>IFERROR(__xludf.DUMMYFUNCTION("""COMPUTED_VALUE"""),0.9139649521305742)</f>
        <v>0.9139649521</v>
      </c>
      <c r="AI575" s="30">
        <f>IFERROR(__xludf.DUMMYFUNCTION("""COMPUTED_VALUE"""),0.9824517364114459)</f>
        <v>0.9824517364</v>
      </c>
      <c r="AJ575" s="30">
        <f>IFERROR(__xludf.DUMMYFUNCTION("""COMPUTED_VALUE"""),0.8940441390531567)</f>
        <v>0.8940441391</v>
      </c>
      <c r="AK575" s="30">
        <f>IFERROR(__xludf.DUMMYFUNCTION("""COMPUTED_VALUE"""),0.940690159166832)</f>
        <v>0.9406901592</v>
      </c>
      <c r="AL575" s="30">
        <f>IFERROR(__xludf.DUMMYFUNCTION("""COMPUTED_VALUE"""),1.0111753097964387)</f>
        <v>1.01117531</v>
      </c>
      <c r="AM575" s="30">
        <f>IFERROR(__xludf.DUMMYFUNCTION("""COMPUTED_VALUE"""),0.9617895339581621)</f>
        <v>0.961789534</v>
      </c>
      <c r="AN575" s="30">
        <f>IFERROR(__xludf.DUMMYFUNCTION("""COMPUTED_VALUE"""),0.9712647410118841)</f>
        <v>0.971264741</v>
      </c>
      <c r="AO575" s="30">
        <f>IFERROR(__xludf.DUMMYFUNCTION("""COMPUTED_VALUE"""),0.855626505129434)</f>
        <v>0.8556265051</v>
      </c>
      <c r="AP575" s="30">
        <f>IFERROR(__xludf.DUMMYFUNCTION("""COMPUTED_VALUE"""),1.054890995382263)</f>
        <v>1.054890995</v>
      </c>
      <c r="AQ575" s="30">
        <f>IFERROR(__xludf.DUMMYFUNCTION("""COMPUTED_VALUE"""),0.9731457489467686)</f>
        <v>0.9731457489</v>
      </c>
      <c r="AR575" s="30">
        <f>IFERROR(__xludf.DUMMYFUNCTION("""COMPUTED_VALUE"""),0.9690385288792202)</f>
        <v>0.9690385289</v>
      </c>
      <c r="AS575" s="30">
        <f>IFERROR(__xludf.DUMMYFUNCTION("""COMPUTED_VALUE"""),69.0)</f>
        <v>69</v>
      </c>
      <c r="AT575" s="30">
        <f>IFERROR(__xludf.DUMMYFUNCTION("""COMPUTED_VALUE"""),0.5166441182844909)</f>
        <v>0.5166441183</v>
      </c>
      <c r="AU575" s="30">
        <f>IFERROR(__xludf.DUMMYFUNCTION("""COMPUTED_VALUE"""),2.38341521460835)</f>
        <v>2.383415215</v>
      </c>
      <c r="AV575" s="32">
        <f>IFERROR(__xludf.DUMMYFUNCTION("""COMPUTED_VALUE"""),47.42483080010838)</f>
        <v>47.4248308</v>
      </c>
      <c r="AW575" s="32">
        <f>IFERROR(__xludf.DUMMYFUNCTION("""COMPUTED_VALUE"""),-2.17874986950073)</f>
        <v>-2.17874987</v>
      </c>
      <c r="AX575" s="32">
        <f>IFERROR(__xludf.DUMMYFUNCTION("""COMPUTED_VALUE"""),47.86301682289243)</f>
        <v>47.86301682</v>
      </c>
      <c r="AY575" s="32">
        <f>IFERROR(__xludf.DUMMYFUNCTION("""COMPUTED_VALUE"""),-2.146198321621425)</f>
        <v>-2.146198322</v>
      </c>
      <c r="AZ575" s="30">
        <f>IFERROR(__xludf.DUMMYFUNCTION("""COMPUTED_VALUE"""),0.03255154787930481)</f>
        <v>0.03255154788</v>
      </c>
      <c r="BA575" s="30">
        <f>IFERROR(__xludf.DUMMYFUNCTION("""COMPUTED_VALUE"""),1700.0)</f>
        <v>1700</v>
      </c>
    </row>
    <row r="576">
      <c r="A576" s="71" t="str">
        <f>IFERROR(__xludf.DUMMYFUNCTION("""COMPUTED_VALUE"""),"Rival")</f>
        <v>Rival</v>
      </c>
      <c r="B576" s="71" t="str">
        <f>IFERROR(__xludf.DUMMYFUNCTION("""COMPUTED_VALUE"""),"RSC005832")</f>
        <v>RSC005832</v>
      </c>
      <c r="C576" s="30" t="str">
        <f>IFERROR(__xludf.DUMMYFUNCTION("""COMPUTED_VALUE"""),"TH4NA70S")</f>
        <v>TH4NA70S</v>
      </c>
      <c r="D576" s="30" t="str">
        <f>IFERROR(__xludf.DUMMYFUNCTION("""COMPUTED_VALUE"""),"Polar Ice")</f>
        <v>Polar Ice</v>
      </c>
      <c r="E576" s="30">
        <f>IFERROR(__xludf.DUMMYFUNCTION("""COMPUTED_VALUE"""),36.0)</f>
        <v>36</v>
      </c>
      <c r="F576" s="30">
        <f>IFERROR(__xludf.DUMMYFUNCTION("""COMPUTED_VALUE"""),18.0)</f>
        <v>18</v>
      </c>
      <c r="G576" s="42">
        <f>IFERROR(__xludf.DUMMYFUNCTION("""COMPUTED_VALUE"""),18.0)</f>
        <v>18</v>
      </c>
      <c r="H576" s="42">
        <f>IFERROR(__xludf.DUMMYFUNCTION("""COMPUTED_VALUE"""),0.5)</f>
        <v>0.5</v>
      </c>
      <c r="I576" s="42">
        <f>IFERROR(__xludf.DUMMYFUNCTION("""COMPUTED_VALUE"""),0.20408163265306123)</f>
        <v>0.2040816327</v>
      </c>
      <c r="J576" s="30">
        <f>IFERROR(__xludf.DUMMYFUNCTION("""COMPUTED_VALUE"""),362.47222222222223)</f>
        <v>362.4722222</v>
      </c>
      <c r="K576" s="30">
        <f>IFERROR(__xludf.DUMMYFUNCTION("""COMPUTED_VALUE"""),0.5555555555555556)</f>
        <v>0.5555555556</v>
      </c>
      <c r="L576" s="30">
        <f>IFERROR(__xludf.DUMMYFUNCTION("""COMPUTED_VALUE"""),0.5)</f>
        <v>0.5</v>
      </c>
      <c r="M576" s="30">
        <f>IFERROR(__xludf.DUMMYFUNCTION("""COMPUTED_VALUE"""),1.75)</f>
        <v>1.75</v>
      </c>
      <c r="N576" s="30">
        <f>IFERROR(__xludf.DUMMYFUNCTION("""COMPUTED_VALUE"""),2.7222222222222223)</f>
        <v>2.722222222</v>
      </c>
      <c r="O576" s="30">
        <f>IFERROR(__xludf.DUMMYFUNCTION("""COMPUTED_VALUE"""),360.7407407407408)</f>
        <v>360.7407407</v>
      </c>
      <c r="P576" s="30">
        <f>IFERROR(__xludf.DUMMYFUNCTION("""COMPUTED_VALUE"""),0.824074074074074)</f>
        <v>0.8240740741</v>
      </c>
      <c r="Q576" s="30">
        <f>IFERROR(__xludf.DUMMYFUNCTION("""COMPUTED_VALUE"""),0.6388888888888888)</f>
        <v>0.6388888889</v>
      </c>
      <c r="R576" s="30">
        <f>IFERROR(__xludf.DUMMYFUNCTION("""COMPUTED_VALUE"""),1.361111111111111)</f>
        <v>1.361111111</v>
      </c>
      <c r="S576" s="30">
        <f>IFERROR(__xludf.DUMMYFUNCTION("""COMPUTED_VALUE"""),2.824074074074074)</f>
        <v>2.824074074</v>
      </c>
      <c r="T576" s="30">
        <f>IFERROR(__xludf.DUMMYFUNCTION("""COMPUTED_VALUE"""),353.8460163948992)</f>
        <v>353.8460164</v>
      </c>
      <c r="U576" s="30">
        <f>IFERROR(__xludf.DUMMYFUNCTION("""COMPUTED_VALUE"""),0.8346955897619495)</f>
        <v>0.8346955898</v>
      </c>
      <c r="V576" s="30">
        <f>IFERROR(__xludf.DUMMYFUNCTION("""COMPUTED_VALUE"""),0.605925096987103)</f>
        <v>0.605925097</v>
      </c>
      <c r="W576" s="30">
        <f>IFERROR(__xludf.DUMMYFUNCTION("""COMPUTED_VALUE"""),1.2906939832139805)</f>
        <v>1.290693983</v>
      </c>
      <c r="X576" s="30">
        <f>IFERROR(__xludf.DUMMYFUNCTION("""COMPUTED_VALUE"""),2.578543599565032)</f>
        <v>2.5785436</v>
      </c>
      <c r="Y576" s="30">
        <f>IFERROR(__xludf.DUMMYFUNCTION("""COMPUTED_VALUE"""),341.775479315096)</f>
        <v>341.7754793</v>
      </c>
      <c r="Z576" s="30">
        <f>IFERROR(__xludf.DUMMYFUNCTION("""COMPUTED_VALUE"""),0.7539627872882425)</f>
        <v>0.7539627873</v>
      </c>
      <c r="AA576" s="30">
        <f>IFERROR(__xludf.DUMMYFUNCTION("""COMPUTED_VALUE"""),0.528541379965698)</f>
        <v>0.52854138</v>
      </c>
      <c r="AB576" s="30">
        <f>IFERROR(__xludf.DUMMYFUNCTION("""COMPUTED_VALUE"""),1.290352913982347)</f>
        <v>1.290352914</v>
      </c>
      <c r="AC576" s="30">
        <f>IFERROR(__xludf.DUMMYFUNCTION("""COMPUTED_VALUE"""),2.511786192145615)</f>
        <v>2.511786192</v>
      </c>
      <c r="AD576" s="30">
        <f>IFERROR(__xludf.DUMMYFUNCTION("""COMPUTED_VALUE"""),1.0605565470893397)</f>
        <v>1.060556547</v>
      </c>
      <c r="AE576" s="30">
        <f>IFERROR(__xludf.DUMMYFUNCTION("""COMPUTED_VALUE"""),0.7368474478080107)</f>
        <v>0.7368474478</v>
      </c>
      <c r="AF576" s="30">
        <f>IFERROR(__xludf.DUMMYFUNCTION("""COMPUTED_VALUE"""),0.9459997248133147)</f>
        <v>0.9459997248</v>
      </c>
      <c r="AG576" s="30">
        <f>IFERROR(__xludf.DUMMYFUNCTION("""COMPUTED_VALUE"""),1.3562181175683703)</f>
        <v>1.356218118</v>
      </c>
      <c r="AH576" s="30">
        <f>IFERROR(__xludf.DUMMYFUNCTION("""COMPUTED_VALUE"""),1.083779435819276)</f>
        <v>1.083779436</v>
      </c>
      <c r="AI576" s="30">
        <f>IFERROR(__xludf.DUMMYFUNCTION("""COMPUTED_VALUE"""),1.0194850981115666)</f>
        <v>1.019485098</v>
      </c>
      <c r="AJ576" s="30">
        <f>IFERROR(__xludf.DUMMYFUNCTION("""COMPUTED_VALUE"""),0.9872749828582361)</f>
        <v>0.9872749829</v>
      </c>
      <c r="AK576" s="30">
        <f>IFERROR(__xludf.DUMMYFUNCTION("""COMPUTED_VALUE"""),1.054402420473578)</f>
        <v>1.05440242</v>
      </c>
      <c r="AL576" s="30">
        <f>IFERROR(__xludf.DUMMYFUNCTION("""COMPUTED_VALUE"""),1.0545575704333752)</f>
        <v>1.05455757</v>
      </c>
      <c r="AM576" s="30">
        <f>IFERROR(__xludf.DUMMYFUNCTION("""COMPUTED_VALUE"""),1.095220602261858)</f>
        <v>1.095220602</v>
      </c>
      <c r="AN576" s="30">
        <f>IFERROR(__xludf.DUMMYFUNCTION("""COMPUTED_VALUE"""),1.0689974363583061)</f>
        <v>1.068997436</v>
      </c>
      <c r="AO576" s="30">
        <f>IFERROR(__xludf.DUMMYFUNCTION("""COMPUTED_VALUE"""),0.7469755203510932)</f>
        <v>0.7469755204</v>
      </c>
      <c r="AP576" s="30">
        <f>IFERROR(__xludf.DUMMYFUNCTION("""COMPUTED_VALUE"""),0.9160895486214388)</f>
        <v>0.9160895486</v>
      </c>
      <c r="AQ576" s="30">
        <f>IFERROR(__xludf.DUMMYFUNCTION("""COMPUTED_VALUE"""),1.3380754048018069)</f>
        <v>1.338075405</v>
      </c>
      <c r="AR576" s="30">
        <f>IFERROR(__xludf.DUMMYFUNCTION("""COMPUTED_VALUE"""),1.0881495147206244)</f>
        <v>1.088149515</v>
      </c>
      <c r="AS576" s="30">
        <f>IFERROR(__xludf.DUMMYFUNCTION("""COMPUTED_VALUE"""),70.0)</f>
        <v>70</v>
      </c>
      <c r="AT576" s="30">
        <f>IFERROR(__xludf.DUMMYFUNCTION("""COMPUTED_VALUE"""),0.40907334460957623)</f>
        <v>0.4090733446</v>
      </c>
      <c r="AU576" s="30">
        <f>IFERROR(__xludf.DUMMYFUNCTION("""COMPUTED_VALUE"""),2.31409237579977)</f>
        <v>2.314092376</v>
      </c>
      <c r="AV576" s="32">
        <f>IFERROR(__xludf.DUMMYFUNCTION("""COMPUTED_VALUE"""),45.440119664085735)</f>
        <v>45.44011966</v>
      </c>
      <c r="AW576" s="32">
        <f>IFERROR(__xludf.DUMMYFUNCTION("""COMPUTED_VALUE"""),-2.3384357715453805)</f>
        <v>-2.338435772</v>
      </c>
      <c r="AX576" s="32">
        <f>IFERROR(__xludf.DUMMYFUNCTION("""COMPUTED_VALUE"""),45.08037751834206)</f>
        <v>45.08037752</v>
      </c>
      <c r="AY576" s="32">
        <f>IFERROR(__xludf.DUMMYFUNCTION("""COMPUTED_VALUE"""),-2.3696798458111665)</f>
        <v>-2.369679846</v>
      </c>
      <c r="AZ576" s="30">
        <f>IFERROR(__xludf.DUMMYFUNCTION("""COMPUTED_VALUE"""),0.031244074265786015)</f>
        <v>0.03124407427</v>
      </c>
      <c r="BA576" s="30">
        <f>IFERROR(__xludf.DUMMYFUNCTION("""COMPUTED_VALUE"""),1700.0)</f>
        <v>1700</v>
      </c>
    </row>
    <row r="577">
      <c r="A577" s="71" t="str">
        <f>IFERROR(__xludf.DUMMYFUNCTION("""COMPUTED_VALUE"""),"Rival")</f>
        <v>Rival</v>
      </c>
      <c r="B577" s="71" t="str">
        <f>IFERROR(__xludf.DUMMYFUNCTION("""COMPUTED_VALUE"""),"RSC006935")</f>
        <v>RSC006935</v>
      </c>
      <c r="C577" s="30" t="str">
        <f>IFERROR(__xludf.DUMMYFUNCTION("""COMPUTED_VALUE"""),"Bazzinga")</f>
        <v>Bazzinga</v>
      </c>
      <c r="D577" s="30" t="str">
        <f>IFERROR(__xludf.DUMMYFUNCTION("""COMPUTED_VALUE"""),"Lacuna")</f>
        <v>Lacuna</v>
      </c>
      <c r="E577" s="30">
        <f>IFERROR(__xludf.DUMMYFUNCTION("""COMPUTED_VALUE"""),48.0)</f>
        <v>48</v>
      </c>
      <c r="F577" s="30">
        <f>IFERROR(__xludf.DUMMYFUNCTION("""COMPUTED_VALUE"""),19.0)</f>
        <v>19</v>
      </c>
      <c r="G577" s="42">
        <f>IFERROR(__xludf.DUMMYFUNCTION("""COMPUTED_VALUE"""),29.0)</f>
        <v>29</v>
      </c>
      <c r="H577" s="42">
        <f>IFERROR(__xludf.DUMMYFUNCTION("""COMPUTED_VALUE"""),0.3958333333333333)</f>
        <v>0.3958333333</v>
      </c>
      <c r="I577" s="42">
        <f>IFERROR(__xludf.DUMMYFUNCTION("""COMPUTED_VALUE"""),0.28125)</f>
        <v>0.28125</v>
      </c>
      <c r="J577" s="30">
        <f>IFERROR(__xludf.DUMMYFUNCTION("""COMPUTED_VALUE"""),350.0833333333333)</f>
        <v>350.0833333</v>
      </c>
      <c r="K577" s="30">
        <f>IFERROR(__xludf.DUMMYFUNCTION("""COMPUTED_VALUE"""),0.75)</f>
        <v>0.75</v>
      </c>
      <c r="L577" s="30">
        <f>IFERROR(__xludf.DUMMYFUNCTION("""COMPUTED_VALUE"""),0.4375)</f>
        <v>0.4375</v>
      </c>
      <c r="M577" s="30">
        <f>IFERROR(__xludf.DUMMYFUNCTION("""COMPUTED_VALUE"""),1.4583333333333333)</f>
        <v>1.458333333</v>
      </c>
      <c r="N577" s="30">
        <f>IFERROR(__xludf.DUMMYFUNCTION("""COMPUTED_VALUE"""),2.6666666666666665)</f>
        <v>2.666666667</v>
      </c>
      <c r="O577" s="30">
        <f>IFERROR(__xludf.DUMMYFUNCTION("""COMPUTED_VALUE"""),335.77777777777777)</f>
        <v>335.7777778</v>
      </c>
      <c r="P577" s="30">
        <f>IFERROR(__xludf.DUMMYFUNCTION("""COMPUTED_VALUE"""),0.7638888888888888)</f>
        <v>0.7638888889</v>
      </c>
      <c r="Q577" s="30">
        <f>IFERROR(__xludf.DUMMYFUNCTION("""COMPUTED_VALUE"""),0.5833333333333331)</f>
        <v>0.5833333333</v>
      </c>
      <c r="R577" s="30">
        <f>IFERROR(__xludf.DUMMYFUNCTION("""COMPUTED_VALUE"""),1.2222222222222225)</f>
        <v>1.222222222</v>
      </c>
      <c r="S577" s="30">
        <f>IFERROR(__xludf.DUMMYFUNCTION("""COMPUTED_VALUE"""),2.6041666666666665)</f>
        <v>2.604166667</v>
      </c>
      <c r="T577" s="30">
        <f>IFERROR(__xludf.DUMMYFUNCTION("""COMPUTED_VALUE"""),352.7996067528216)</f>
        <v>352.7996068</v>
      </c>
      <c r="U577" s="30">
        <f>IFERROR(__xludf.DUMMYFUNCTION("""COMPUTED_VALUE"""),0.8044177616497582)</f>
        <v>0.8044177616</v>
      </c>
      <c r="V577" s="30">
        <f>IFERROR(__xludf.DUMMYFUNCTION("""COMPUTED_VALUE"""),0.5825413864807224)</f>
        <v>0.5825413865</v>
      </c>
      <c r="W577" s="30">
        <f>IFERROR(__xludf.DUMMYFUNCTION("""COMPUTED_VALUE"""),1.3292312420956205)</f>
        <v>1.329231242</v>
      </c>
      <c r="X577" s="30">
        <f>IFERROR(__xludf.DUMMYFUNCTION("""COMPUTED_VALUE"""),2.626399545194824)</f>
        <v>2.626399545</v>
      </c>
      <c r="Y577" s="30">
        <f>IFERROR(__xludf.DUMMYFUNCTION("""COMPUTED_VALUE"""),350.2673501180681)</f>
        <v>350.2673501</v>
      </c>
      <c r="Z577" s="30">
        <f>IFERROR(__xludf.DUMMYFUNCTION("""COMPUTED_VALUE"""),0.7781969972848729)</f>
        <v>0.7781969973</v>
      </c>
      <c r="AA577" s="30">
        <f>IFERROR(__xludf.DUMMYFUNCTION("""COMPUTED_VALUE"""),0.5598196849336091)</f>
        <v>0.5598196849</v>
      </c>
      <c r="AB577" s="30">
        <f>IFERROR(__xludf.DUMMYFUNCTION("""COMPUTED_VALUE"""),1.3580003926905648)</f>
        <v>1.358000393</v>
      </c>
      <c r="AC577" s="30">
        <f>IFERROR(__xludf.DUMMYFUNCTION("""COMPUTED_VALUE"""),2.5810586537896265)</f>
        <v>2.581058654</v>
      </c>
      <c r="AD577" s="30">
        <f>IFERROR(__xludf.DUMMYFUNCTION("""COMPUTED_VALUE"""),0.9994746390587853)</f>
        <v>0.9994746391</v>
      </c>
      <c r="AE577" s="30">
        <f>IFERROR(__xludf.DUMMYFUNCTION("""COMPUTED_VALUE"""),0.963766247642625)</f>
        <v>0.9637662476</v>
      </c>
      <c r="AF577" s="30">
        <f>IFERROR(__xludf.DUMMYFUNCTION("""COMPUTED_VALUE"""),0.7815016366419566)</f>
        <v>0.7815016366</v>
      </c>
      <c r="AG577" s="30">
        <f>IFERROR(__xludf.DUMMYFUNCTION("""COMPUTED_VALUE"""),1.0738828509791385)</f>
        <v>1.073882851</v>
      </c>
      <c r="AH577" s="30">
        <f>IFERROR(__xludf.DUMMYFUNCTION("""COMPUTED_VALUE"""),1.0331677905697132)</f>
        <v>1.033167791</v>
      </c>
      <c r="AI577" s="30">
        <f>IFERROR(__xludf.DUMMYFUNCTION("""COMPUTED_VALUE"""),0.9517521316655841)</f>
        <v>0.9517521317</v>
      </c>
      <c r="AJ577" s="30">
        <f>IFERROR(__xludf.DUMMYFUNCTION("""COMPUTED_VALUE"""),0.9496171334186483)</f>
        <v>0.9496171334</v>
      </c>
      <c r="AK577" s="30">
        <f>IFERROR(__xludf.DUMMYFUNCTION("""COMPUTED_VALUE"""),1.0013594688222842)</f>
        <v>1.001359469</v>
      </c>
      <c r="AL577" s="30">
        <f>IFERROR(__xludf.DUMMYFUNCTION("""COMPUTED_VALUE"""),0.9194955576693403)</f>
        <v>0.9194955577</v>
      </c>
      <c r="AM577" s="30">
        <f>IFERROR(__xludf.DUMMYFUNCTION("""COMPUTED_VALUE"""),0.9915348452717965)</f>
        <v>0.9915348453</v>
      </c>
      <c r="AN577" s="30">
        <f>IFERROR(__xludf.DUMMYFUNCTION("""COMPUTED_VALUE"""),1.0324603180645053)</f>
        <v>1.032460318</v>
      </c>
      <c r="AO577" s="30">
        <f>IFERROR(__xludf.DUMMYFUNCTION("""COMPUTED_VALUE"""),1.0084169524739757)</f>
        <v>1.008416952</v>
      </c>
      <c r="AP577" s="30">
        <f>IFERROR(__xludf.DUMMYFUNCTION("""COMPUTED_VALUE"""),0.801578355043759)</f>
        <v>0.801578355</v>
      </c>
      <c r="AQ577" s="30">
        <f>IFERROR(__xludf.DUMMYFUNCTION("""COMPUTED_VALUE"""),1.115062837334839)</f>
        <v>1.115062837</v>
      </c>
      <c r="AR577" s="30">
        <f>IFERROR(__xludf.DUMMYFUNCTION("""COMPUTED_VALUE"""),1.065942381767142)</f>
        <v>1.065942382</v>
      </c>
      <c r="AS577" s="30">
        <f>IFERROR(__xludf.DUMMYFUNCTION("""COMPUTED_VALUE"""),95.0)</f>
        <v>95</v>
      </c>
      <c r="AT577" s="30">
        <f>IFERROR(__xludf.DUMMYFUNCTION("""COMPUTED_VALUE"""),0.44463226802982553)</f>
        <v>0.444632268</v>
      </c>
      <c r="AU577" s="30">
        <f>IFERROR(__xludf.DUMMYFUNCTION("""COMPUTED_VALUE"""),2.4935718967507734)</f>
        <v>2.493571897</v>
      </c>
      <c r="AV577" s="32">
        <f>IFERROR(__xludf.DUMMYFUNCTION("""COMPUTED_VALUE"""),50.578613846400984)</f>
        <v>50.57861385</v>
      </c>
      <c r="AW577" s="32">
        <f>IFERROR(__xludf.DUMMYFUNCTION("""COMPUTED_VALUE"""),2.03762481068542)</f>
        <v>2.037624811</v>
      </c>
      <c r="AX577" s="32">
        <f>IFERROR(__xludf.DUMMYFUNCTION("""COMPUTED_VALUE"""),50.99788040891894)</f>
        <v>50.99788041</v>
      </c>
      <c r="AY577" s="32">
        <f>IFERROR(__xludf.DUMMYFUNCTION("""COMPUTED_VALUE"""),2.0657727161907093)</f>
        <v>2.065772716</v>
      </c>
      <c r="AZ577" s="30">
        <f>IFERROR(__xludf.DUMMYFUNCTION("""COMPUTED_VALUE"""),0.02814790550528956)</f>
        <v>0.02814790551</v>
      </c>
      <c r="BA577" s="30">
        <f>IFERROR(__xludf.DUMMYFUNCTION("""COMPUTED_VALUE"""),1700.0)</f>
        <v>1700</v>
      </c>
    </row>
    <row r="578">
      <c r="A578" s="71" t="str">
        <f>IFERROR(__xludf.DUMMYFUNCTION("""COMPUTED_VALUE"""),"Rival")</f>
        <v>Rival</v>
      </c>
      <c r="B578" s="71" t="str">
        <f>IFERROR(__xludf.DUMMYFUNCTION("""COMPUTED_VALUE"""),"RSC005677")</f>
        <v>RSC005677</v>
      </c>
      <c r="C578" s="30" t="str">
        <f>IFERROR(__xludf.DUMMYFUNCTION("""COMPUTED_VALUE"""),"z2kay")</f>
        <v>z2kay</v>
      </c>
      <c r="D578" s="30" t="str">
        <f>IFERROR(__xludf.DUMMYFUNCTION("""COMPUTED_VALUE"""),"Hammerheads")</f>
        <v>Hammerheads</v>
      </c>
      <c r="E578" s="30">
        <f>IFERROR(__xludf.DUMMYFUNCTION("""COMPUTED_VALUE"""),48.0)</f>
        <v>48</v>
      </c>
      <c r="F578" s="30">
        <f>IFERROR(__xludf.DUMMYFUNCTION("""COMPUTED_VALUE"""),28.0)</f>
        <v>28</v>
      </c>
      <c r="G578" s="42">
        <f>IFERROR(__xludf.DUMMYFUNCTION("""COMPUTED_VALUE"""),20.0)</f>
        <v>20</v>
      </c>
      <c r="H578" s="42">
        <f>IFERROR(__xludf.DUMMYFUNCTION("""COMPUTED_VALUE"""),0.5833333333333334)</f>
        <v>0.5833333333</v>
      </c>
      <c r="I578" s="42">
        <f>IFERROR(__xludf.DUMMYFUNCTION("""COMPUTED_VALUE"""),0.2867647058823529)</f>
        <v>0.2867647059</v>
      </c>
      <c r="J578" s="30">
        <f>IFERROR(__xludf.DUMMYFUNCTION("""COMPUTED_VALUE"""),382.8333333333333)</f>
        <v>382.8333333</v>
      </c>
      <c r="K578" s="30">
        <f>IFERROR(__xludf.DUMMYFUNCTION("""COMPUTED_VALUE"""),0.8125)</f>
        <v>0.8125</v>
      </c>
      <c r="L578" s="30">
        <f>IFERROR(__xludf.DUMMYFUNCTION("""COMPUTED_VALUE"""),0.7083333333333334)</f>
        <v>0.7083333333</v>
      </c>
      <c r="M578" s="30">
        <f>IFERROR(__xludf.DUMMYFUNCTION("""COMPUTED_VALUE"""),1.5)</f>
        <v>1.5</v>
      </c>
      <c r="N578" s="30">
        <f>IFERROR(__xludf.DUMMYFUNCTION("""COMPUTED_VALUE"""),2.8333333333333335)</f>
        <v>2.833333333</v>
      </c>
      <c r="O578" s="30">
        <f>IFERROR(__xludf.DUMMYFUNCTION("""COMPUTED_VALUE"""),329.8888888888889)</f>
        <v>329.8888889</v>
      </c>
      <c r="P578" s="30">
        <f>IFERROR(__xludf.DUMMYFUNCTION("""COMPUTED_VALUE"""),0.6874999999999999)</f>
        <v>0.6875</v>
      </c>
      <c r="Q578" s="30">
        <f>IFERROR(__xludf.DUMMYFUNCTION("""COMPUTED_VALUE"""),0.5069444444444445)</f>
        <v>0.5069444444</v>
      </c>
      <c r="R578" s="30">
        <f>IFERROR(__xludf.DUMMYFUNCTION("""COMPUTED_VALUE"""),1.4375)</f>
        <v>1.4375</v>
      </c>
      <c r="S578" s="30">
        <f>IFERROR(__xludf.DUMMYFUNCTION("""COMPUTED_VALUE"""),2.375)</f>
        <v>2.375</v>
      </c>
      <c r="T578" s="30">
        <f>IFERROR(__xludf.DUMMYFUNCTION("""COMPUTED_VALUE"""),342.73820231876965)</f>
        <v>342.7382023</v>
      </c>
      <c r="U578" s="30">
        <f>IFERROR(__xludf.DUMMYFUNCTION("""COMPUTED_VALUE"""),0.7855465284616049)</f>
        <v>0.7855465285</v>
      </c>
      <c r="V578" s="30">
        <f>IFERROR(__xludf.DUMMYFUNCTION("""COMPUTED_VALUE"""),0.5489373649446556)</f>
        <v>0.5489373649</v>
      </c>
      <c r="W578" s="30">
        <f>IFERROR(__xludf.DUMMYFUNCTION("""COMPUTED_VALUE"""),1.2748553615755482)</f>
        <v>1.274855362</v>
      </c>
      <c r="X578" s="30">
        <f>IFERROR(__xludf.DUMMYFUNCTION("""COMPUTED_VALUE"""),2.550518690335959)</f>
        <v>2.55051869</v>
      </c>
      <c r="Y578" s="30">
        <f>IFERROR(__xludf.DUMMYFUNCTION("""COMPUTED_VALUE"""),349.46722231198254)</f>
        <v>349.4672223</v>
      </c>
      <c r="Z578" s="30">
        <f>IFERROR(__xludf.DUMMYFUNCTION("""COMPUTED_VALUE"""),0.8113563092148058)</f>
        <v>0.8113563092</v>
      </c>
      <c r="AA578" s="30">
        <f>IFERROR(__xludf.DUMMYFUNCTION("""COMPUTED_VALUE"""),0.5562825537502214)</f>
        <v>0.5562825538</v>
      </c>
      <c r="AB578" s="30">
        <f>IFERROR(__xludf.DUMMYFUNCTION("""COMPUTED_VALUE"""),1.3072330389755562)</f>
        <v>1.307233039</v>
      </c>
      <c r="AC578" s="30">
        <f>IFERROR(__xludf.DUMMYFUNCTION("""COMPUTED_VALUE"""),2.542335772953935)</f>
        <v>2.542335773</v>
      </c>
      <c r="AD578" s="30">
        <f>IFERROR(__xludf.DUMMYFUNCTION("""COMPUTED_VALUE"""),1.0954770830883922)</f>
        <v>1.095477083</v>
      </c>
      <c r="AE578" s="30">
        <f>IFERROR(__xludf.DUMMYFUNCTION("""COMPUTED_VALUE"""),1.001409603613363)</f>
        <v>1.001409604</v>
      </c>
      <c r="AF578" s="30">
        <f>IFERROR(__xludf.DUMMYFUNCTION("""COMPUTED_VALUE"""),1.2733337196323165)</f>
        <v>1.27333372</v>
      </c>
      <c r="AG578" s="30">
        <f>IFERROR(__xludf.DUMMYFUNCTION("""COMPUTED_VALUE"""),1.1474618184187804)</f>
        <v>1.147461818</v>
      </c>
      <c r="AH578" s="30">
        <f>IFERROR(__xludf.DUMMYFUNCTION("""COMPUTED_VALUE"""),1.114460711081168)</f>
        <v>1.114460711</v>
      </c>
      <c r="AI578" s="30">
        <f>IFERROR(__xludf.DUMMYFUNCTION("""COMPUTED_VALUE"""),0.9625098301182954)</f>
        <v>0.9625098301</v>
      </c>
      <c r="AJ578" s="30">
        <f>IFERROR(__xludf.DUMMYFUNCTION("""COMPUTED_VALUE"""),0.8751868604732849)</f>
        <v>0.8751868605</v>
      </c>
      <c r="AK578" s="30">
        <f>IFERROR(__xludf.DUMMYFUNCTION("""COMPUTED_VALUE"""),0.9235014353514724)</f>
        <v>0.9235014354</v>
      </c>
      <c r="AL578" s="30">
        <f>IFERROR(__xludf.DUMMYFUNCTION("""COMPUTED_VALUE"""),1.1275788950861414)</f>
        <v>1.127578895</v>
      </c>
      <c r="AM578" s="30">
        <f>IFERROR(__xludf.DUMMYFUNCTION("""COMPUTED_VALUE"""),0.9311831389430676)</f>
        <v>0.9311831389</v>
      </c>
      <c r="AN578" s="30">
        <f>IFERROR(__xludf.DUMMYFUNCTION("""COMPUTED_VALUE"""),1.1290461083523775)</f>
        <v>1.129046108</v>
      </c>
      <c r="AO578" s="30">
        <f>IFERROR(__xludf.DUMMYFUNCTION("""COMPUTED_VALUE"""),1.0924516985134738)</f>
        <v>1.092451699</v>
      </c>
      <c r="AP578" s="30">
        <f>IFERROR(__xludf.DUMMYFUNCTION("""COMPUTED_VALUE"""),1.2977935272137051)</f>
        <v>1.297793527</v>
      </c>
      <c r="AQ578" s="30">
        <f>IFERROR(__xludf.DUMMYFUNCTION("""COMPUTED_VALUE"""),1.1469217755444059)</f>
        <v>1.146921776</v>
      </c>
      <c r="AR578" s="30">
        <f>IFERROR(__xludf.DUMMYFUNCTION("""COMPUTED_VALUE"""),1.1325637806275886)</f>
        <v>1.132563781</v>
      </c>
      <c r="AS578" s="30">
        <f>IFERROR(__xludf.DUMMYFUNCTION("""COMPUTED_VALUE"""),117.0)</f>
        <v>117</v>
      </c>
      <c r="AT578" s="30">
        <f>IFERROR(__xludf.DUMMYFUNCTION("""COMPUTED_VALUE"""),0.5639563313789343)</f>
        <v>0.5639563314</v>
      </c>
      <c r="AU578" s="30">
        <f>IFERROR(__xludf.DUMMYFUNCTION("""COMPUTED_VALUE"""),3.164869980149583)</f>
        <v>3.16486998</v>
      </c>
      <c r="AV578" s="32">
        <f>IFERROR(__xludf.DUMMYFUNCTION("""COMPUTED_VALUE"""),69.79786113359339)</f>
        <v>69.79786113</v>
      </c>
      <c r="AW578" s="32">
        <f>IFERROR(__xludf.DUMMYFUNCTION("""COMPUTED_VALUE"""),4.668418966200776)</f>
        <v>4.668418966</v>
      </c>
      <c r="AX578" s="32">
        <f>IFERROR(__xludf.DUMMYFUNCTION("""COMPUTED_VALUE"""),69.81055411394304)</f>
        <v>69.81055411</v>
      </c>
      <c r="AY578" s="32">
        <f>IFERROR(__xludf.DUMMYFUNCTION("""COMPUTED_VALUE"""),4.671646768614406)</f>
        <v>4.671646769</v>
      </c>
      <c r="AZ578" s="30">
        <f>IFERROR(__xludf.DUMMYFUNCTION("""COMPUTED_VALUE"""),0.0032278024136296324)</f>
        <v>0.003227802414</v>
      </c>
      <c r="BA578" s="30">
        <f>IFERROR(__xludf.DUMMYFUNCTION("""COMPUTED_VALUE"""),1700.0)</f>
        <v>1700</v>
      </c>
    </row>
    <row r="579">
      <c r="A579" s="71" t="str">
        <f>IFERROR(__xludf.DUMMYFUNCTION("""COMPUTED_VALUE"""),"Rival")</f>
        <v>Rival</v>
      </c>
      <c r="B579" s="71" t="str">
        <f>IFERROR(__xludf.DUMMYFUNCTION("""COMPUTED_VALUE"""),"RSC005482")</f>
        <v>RSC005482</v>
      </c>
      <c r="C579" s="30" t="str">
        <f>IFERROR(__xludf.DUMMYFUNCTION("""COMPUTED_VALUE"""),"Benny!")</f>
        <v>Benny!</v>
      </c>
      <c r="D579" s="30" t="str">
        <f>IFERROR(__xludf.DUMMYFUNCTION("""COMPUTED_VALUE"""),"Ocelots")</f>
        <v>Ocelots</v>
      </c>
      <c r="E579" s="30">
        <f>IFERROR(__xludf.DUMMYFUNCTION("""COMPUTED_VALUE"""),38.0)</f>
        <v>38</v>
      </c>
      <c r="F579" s="30">
        <f>IFERROR(__xludf.DUMMYFUNCTION("""COMPUTED_VALUE"""),25.0)</f>
        <v>25</v>
      </c>
      <c r="G579" s="42">
        <f>IFERROR(__xludf.DUMMYFUNCTION("""COMPUTED_VALUE"""),13.0)</f>
        <v>13</v>
      </c>
      <c r="H579" s="42">
        <f>IFERROR(__xludf.DUMMYFUNCTION("""COMPUTED_VALUE"""),0.6578947368421053)</f>
        <v>0.6578947368</v>
      </c>
      <c r="I579" s="42">
        <f>IFERROR(__xludf.DUMMYFUNCTION("""COMPUTED_VALUE"""),0.3364485981308411)</f>
        <v>0.3364485981</v>
      </c>
      <c r="J579" s="30">
        <f>IFERROR(__xludf.DUMMYFUNCTION("""COMPUTED_VALUE"""),407.1842105263158)</f>
        <v>407.1842105</v>
      </c>
      <c r="K579" s="30">
        <f>IFERROR(__xludf.DUMMYFUNCTION("""COMPUTED_VALUE"""),0.9473684210526315)</f>
        <v>0.9473684211</v>
      </c>
      <c r="L579" s="30">
        <f>IFERROR(__xludf.DUMMYFUNCTION("""COMPUTED_VALUE"""),0.6578947368421053)</f>
        <v>0.6578947368</v>
      </c>
      <c r="M579" s="30">
        <f>IFERROR(__xludf.DUMMYFUNCTION("""COMPUTED_VALUE"""),1.4736842105263157)</f>
        <v>1.473684211</v>
      </c>
      <c r="N579" s="30">
        <f>IFERROR(__xludf.DUMMYFUNCTION("""COMPUTED_VALUE"""),2.8157894736842106)</f>
        <v>2.815789474</v>
      </c>
      <c r="O579" s="30">
        <f>IFERROR(__xludf.DUMMYFUNCTION("""COMPUTED_VALUE"""),323.84210526315786)</f>
        <v>323.8421053</v>
      </c>
      <c r="P579" s="30">
        <f>IFERROR(__xludf.DUMMYFUNCTION("""COMPUTED_VALUE"""),0.6578947368421051)</f>
        <v>0.6578947368</v>
      </c>
      <c r="Q579" s="30">
        <f>IFERROR(__xludf.DUMMYFUNCTION("""COMPUTED_VALUE"""),0.4912280701754385)</f>
        <v>0.4912280702</v>
      </c>
      <c r="R579" s="30">
        <f>IFERROR(__xludf.DUMMYFUNCTION("""COMPUTED_VALUE"""),1.3157894736842104)</f>
        <v>1.315789474</v>
      </c>
      <c r="S579" s="30">
        <f>IFERROR(__xludf.DUMMYFUNCTION("""COMPUTED_VALUE"""),2.3684210526315788)</f>
        <v>2.368421053</v>
      </c>
      <c r="T579" s="30">
        <f>IFERROR(__xludf.DUMMYFUNCTION("""COMPUTED_VALUE"""),349.573331072896)</f>
        <v>349.5733311</v>
      </c>
      <c r="U579" s="30">
        <f>IFERROR(__xludf.DUMMYFUNCTION("""COMPUTED_VALUE"""),0.7837893171676066)</f>
        <v>0.7837893172</v>
      </c>
      <c r="V579" s="30">
        <f>IFERROR(__xludf.DUMMYFUNCTION("""COMPUTED_VALUE"""),0.5409417751286771)</f>
        <v>0.5409417751</v>
      </c>
      <c r="W579" s="30">
        <f>IFERROR(__xludf.DUMMYFUNCTION("""COMPUTED_VALUE"""),1.363925730133194)</f>
        <v>1.36392573</v>
      </c>
      <c r="X579" s="30">
        <f>IFERROR(__xludf.DUMMYFUNCTION("""COMPUTED_VALUE"""),2.625502521741791)</f>
        <v>2.625502522</v>
      </c>
      <c r="Y579" s="30">
        <f>IFERROR(__xludf.DUMMYFUNCTION("""COMPUTED_VALUE"""),353.91701958950745)</f>
        <v>353.9170196</v>
      </c>
      <c r="Z579" s="30">
        <f>IFERROR(__xludf.DUMMYFUNCTION("""COMPUTED_VALUE"""),0.8088411467794301)</f>
        <v>0.8088411468</v>
      </c>
      <c r="AA579" s="30">
        <f>IFERROR(__xludf.DUMMYFUNCTION("""COMPUTED_VALUE"""),0.5744619245073231)</f>
        <v>0.5744619245</v>
      </c>
      <c r="AB579" s="30">
        <f>IFERROR(__xludf.DUMMYFUNCTION("""COMPUTED_VALUE"""),1.350325191124027)</f>
        <v>1.350325191</v>
      </c>
      <c r="AC579" s="30">
        <f>IFERROR(__xludf.DUMMYFUNCTION("""COMPUTED_VALUE"""),2.6203819145706277)</f>
        <v>2.620381915</v>
      </c>
      <c r="AD579" s="30">
        <f>IFERROR(__xludf.DUMMYFUNCTION("""COMPUTED_VALUE"""),1.1505075709514918)</f>
        <v>1.150507571</v>
      </c>
      <c r="AE579" s="30">
        <f>IFERROR(__xludf.DUMMYFUNCTION("""COMPUTED_VALUE"""),1.1712663541225328)</f>
        <v>1.171266354</v>
      </c>
      <c r="AF579" s="30">
        <f>IFERROR(__xludf.DUMMYFUNCTION("""COMPUTED_VALUE"""),1.1452364530622927)</f>
        <v>1.145236453</v>
      </c>
      <c r="AG579" s="30">
        <f>IFERROR(__xludf.DUMMYFUNCTION("""COMPUTED_VALUE"""),1.0913550455943157)</f>
        <v>1.091355046</v>
      </c>
      <c r="AH579" s="30">
        <f>IFERROR(__xludf.DUMMYFUNCTION("""COMPUTED_VALUE"""),1.074572167525283)</f>
        <v>1.074572168</v>
      </c>
      <c r="AI579" s="30">
        <f>IFERROR(__xludf.DUMMYFUNCTION("""COMPUTED_VALUE"""),0.926392480425309)</f>
        <v>0.9263924804</v>
      </c>
      <c r="AJ579" s="30">
        <f>IFERROR(__xludf.DUMMYFUNCTION("""COMPUTED_VALUE"""),0.8393770142460617)</f>
        <v>0.8393770142</v>
      </c>
      <c r="AK579" s="30">
        <f>IFERROR(__xludf.DUMMYFUNCTION("""COMPUTED_VALUE"""),0.9080978633210331)</f>
        <v>0.9080978633</v>
      </c>
      <c r="AL579" s="30">
        <f>IFERROR(__xludf.DUMMYFUNCTION("""COMPUTED_VALUE"""),0.964707567732238)</f>
        <v>0.9647075677</v>
      </c>
      <c r="AM579" s="30">
        <f>IFERROR(__xludf.DUMMYFUNCTION("""COMPUTED_VALUE"""),0.9020829471762757)</f>
        <v>0.9020829472</v>
      </c>
      <c r="AN579" s="30">
        <f>IFERROR(__xludf.DUMMYFUNCTION("""COMPUTED_VALUE"""),1.2008613363794653)</f>
        <v>1.200861336</v>
      </c>
      <c r="AO579" s="30">
        <f>IFERROR(__xludf.DUMMYFUNCTION("""COMPUTED_VALUE"""),1.2737898347039693)</f>
        <v>1.273789835</v>
      </c>
      <c r="AP579" s="30">
        <f>IFERROR(__xludf.DUMMYFUNCTION("""COMPUTED_VALUE"""),1.2053809850282091)</f>
        <v>1.205380985</v>
      </c>
      <c r="AQ579" s="30">
        <f>IFERROR(__xludf.DUMMYFUNCTION("""COMPUTED_VALUE"""),1.126800340885732)</f>
        <v>1.126800341</v>
      </c>
      <c r="AR579" s="30">
        <f>IFERROR(__xludf.DUMMYFUNCTION("""COMPUTED_VALUE"""),1.125551001800173)</f>
        <v>1.125551002</v>
      </c>
      <c r="AS579" s="30">
        <f>IFERROR(__xludf.DUMMYFUNCTION("""COMPUTED_VALUE"""),95.0)</f>
        <v>95</v>
      </c>
      <c r="AT579" s="30">
        <f>IFERROR(__xludf.DUMMYFUNCTION("""COMPUTED_VALUE"""),0.5898597629065081)</f>
        <v>0.5898597629</v>
      </c>
      <c r="AU579" s="30">
        <f>IFERROR(__xludf.DUMMYFUNCTION("""COMPUTED_VALUE"""),3.3715326201503237)</f>
        <v>3.37153262</v>
      </c>
      <c r="AV579" s="32">
        <f>IFERROR(__xludf.DUMMYFUNCTION("""COMPUTED_VALUE"""),75.71460733237345)</f>
        <v>75.71460733</v>
      </c>
      <c r="AW579" s="32">
        <f>IFERROR(__xludf.DUMMYFUNCTION("""COMPUTED_VALUE"""),6.585986969129879)</f>
        <v>6.585986969</v>
      </c>
      <c r="AX579" s="32">
        <f>IFERROR(__xludf.DUMMYFUNCTION("""COMPUTED_VALUE"""),75.71273159011419)</f>
        <v>75.71273159</v>
      </c>
      <c r="AY579" s="32">
        <f>IFERROR(__xludf.DUMMYFUNCTION("""COMPUTED_VALUE"""),6.585222055139023)</f>
        <v>6.585222055</v>
      </c>
      <c r="AZ579" s="30">
        <f>IFERROR(__xludf.DUMMYFUNCTION("""COMPUTED_VALUE"""),7.649139908556535E-4)</f>
        <v>0.0007649139909</v>
      </c>
      <c r="BA579" s="30">
        <f>IFERROR(__xludf.DUMMYFUNCTION("""COMPUTED_VALUE"""),1700.0)</f>
        <v>1700</v>
      </c>
    </row>
    <row r="580">
      <c r="A580" s="71" t="str">
        <f>IFERROR(__xludf.DUMMYFUNCTION("""COMPUTED_VALUE"""),"Challenger")</f>
        <v>Challenger</v>
      </c>
      <c r="B580" s="71" t="str">
        <f>IFERROR(__xludf.DUMMYFUNCTION("""COMPUTED_VALUE"""),"RSC007874")</f>
        <v>RSC007874</v>
      </c>
      <c r="C580" s="30" t="str">
        <f>IFERROR(__xludf.DUMMYFUNCTION("""COMPUTED_VALUE"""),"SALTY NUM NUM")</f>
        <v>SALTY NUM NUM</v>
      </c>
      <c r="D580" s="30" t="str">
        <f>IFERROR(__xludf.DUMMYFUNCTION("""COMPUTED_VALUE"""),"Apple Associates")</f>
        <v>Apple Associates</v>
      </c>
      <c r="E580" s="30">
        <f>IFERROR(__xludf.DUMMYFUNCTION("""COMPUTED_VALUE"""),6.0)</f>
        <v>6</v>
      </c>
      <c r="F580" s="30">
        <f>IFERROR(__xludf.DUMMYFUNCTION("""COMPUTED_VALUE"""),1.0)</f>
        <v>1</v>
      </c>
      <c r="G580" s="42">
        <f>IFERROR(__xludf.DUMMYFUNCTION("""COMPUTED_VALUE"""),5.0)</f>
        <v>5</v>
      </c>
      <c r="H580" s="42">
        <f>IFERROR(__xludf.DUMMYFUNCTION("""COMPUTED_VALUE"""),0.16666666666666666)</f>
        <v>0.1666666667</v>
      </c>
      <c r="I580" s="42">
        <f>IFERROR(__xludf.DUMMYFUNCTION("""COMPUTED_VALUE"""),0.5)</f>
        <v>0.5</v>
      </c>
      <c r="J580" s="30">
        <f>IFERROR(__xludf.DUMMYFUNCTION("""COMPUTED_VALUE"""),185.0)</f>
        <v>185</v>
      </c>
      <c r="K580" s="30">
        <f>IFERROR(__xludf.DUMMYFUNCTION("""COMPUTED_VALUE"""),0.3333333333333333)</f>
        <v>0.3333333333</v>
      </c>
      <c r="L580" s="30">
        <f>IFERROR(__xludf.DUMMYFUNCTION("""COMPUTED_VALUE"""),0.0)</f>
        <v>0</v>
      </c>
      <c r="M580" s="30">
        <f>IFERROR(__xludf.DUMMYFUNCTION("""COMPUTED_VALUE"""),0.8333333333333334)</f>
        <v>0.8333333333</v>
      </c>
      <c r="N580" s="30">
        <f>IFERROR(__xludf.DUMMYFUNCTION("""COMPUTED_VALUE"""),0.6666666666666666)</f>
        <v>0.6666666667</v>
      </c>
      <c r="O580" s="30">
        <f>IFERROR(__xludf.DUMMYFUNCTION("""COMPUTED_VALUE"""),381.7222222222222)</f>
        <v>381.7222222</v>
      </c>
      <c r="P580" s="30">
        <f>IFERROR(__xludf.DUMMYFUNCTION("""COMPUTED_VALUE"""),1.388888888888889)</f>
        <v>1.388888889</v>
      </c>
      <c r="Q580" s="30">
        <f>IFERROR(__xludf.DUMMYFUNCTION("""COMPUTED_VALUE"""),0.9444444444444443)</f>
        <v>0.9444444444</v>
      </c>
      <c r="R580" s="30">
        <f>IFERROR(__xludf.DUMMYFUNCTION("""COMPUTED_VALUE"""),0.4444444444444445)</f>
        <v>0.4444444444</v>
      </c>
      <c r="S580" s="30">
        <f>IFERROR(__xludf.DUMMYFUNCTION("""COMPUTED_VALUE"""),3.2222222222222228)</f>
        <v>3.222222222</v>
      </c>
      <c r="T580" s="30">
        <f>IFERROR(__xludf.DUMMYFUNCTION("""COMPUTED_VALUE"""),328.05512965158937)</f>
        <v>328.0551297</v>
      </c>
      <c r="U580" s="30">
        <f>IFERROR(__xludf.DUMMYFUNCTION("""COMPUTED_VALUE"""),0.7472515020470539)</f>
        <v>0.747251502</v>
      </c>
      <c r="V580" s="30">
        <f>IFERROR(__xludf.DUMMYFUNCTION("""COMPUTED_VALUE"""),0.572189580081606)</f>
        <v>0.5721895801</v>
      </c>
      <c r="W580" s="30">
        <f>IFERROR(__xludf.DUMMYFUNCTION("""COMPUTED_VALUE"""),1.0502283992827255)</f>
        <v>1.050228399</v>
      </c>
      <c r="X580" s="30">
        <f>IFERROR(__xludf.DUMMYFUNCTION("""COMPUTED_VALUE"""),2.4294162494198965)</f>
        <v>2.429416249</v>
      </c>
      <c r="Y580" s="30">
        <f>IFERROR(__xludf.DUMMYFUNCTION("""COMPUTED_VALUE"""),311.94741505413646)</f>
        <v>311.9474151</v>
      </c>
      <c r="Z580" s="30">
        <f>IFERROR(__xludf.DUMMYFUNCTION("""COMPUTED_VALUE"""),0.6812485623494812)</f>
        <v>0.6812485623</v>
      </c>
      <c r="AA580" s="30">
        <f>IFERROR(__xludf.DUMMYFUNCTION("""COMPUTED_VALUE"""),0.47495139108749357)</f>
        <v>0.4749513911</v>
      </c>
      <c r="AB580" s="30">
        <f>IFERROR(__xludf.DUMMYFUNCTION("""COMPUTED_VALUE"""),1.17221632872603)</f>
        <v>1.172216329</v>
      </c>
      <c r="AC580" s="30">
        <f>IFERROR(__xludf.DUMMYFUNCTION("""COMPUTED_VALUE"""),2.1686461857531647)</f>
        <v>2.168646186</v>
      </c>
      <c r="AD580" s="30">
        <f>IFERROR(__xludf.DUMMYFUNCTION("""COMPUTED_VALUE"""),0.5930486712572837)</f>
        <v>0.5930486713</v>
      </c>
      <c r="AE580" s="30">
        <f>IFERROR(__xludf.DUMMYFUNCTION("""COMPUTED_VALUE"""),0.4892976686567054)</f>
        <v>0.4892976687</v>
      </c>
      <c r="AF580" s="30">
        <f>IFERROR(__xludf.DUMMYFUNCTION("""COMPUTED_VALUE"""),0.0)</f>
        <v>0</v>
      </c>
      <c r="AG580" s="30">
        <f>IFERROR(__xludf.DUMMYFUNCTION("""COMPUTED_VALUE"""),0.7109040480940951)</f>
        <v>0.7109040481</v>
      </c>
      <c r="AH580" s="30">
        <f>IFERROR(__xludf.DUMMYFUNCTION("""COMPUTED_VALUE"""),0.30741144915491836)</f>
        <v>0.3074114492</v>
      </c>
      <c r="AI580" s="30">
        <f>IFERROR(__xludf.DUMMYFUNCTION("""COMPUTED_VALUE"""),1.1635916884690385)</f>
        <v>1.163591688</v>
      </c>
      <c r="AJ580" s="30">
        <f>IFERROR(__xludf.DUMMYFUNCTION("""COMPUTED_VALUE"""),1.858663227954852)</f>
        <v>1.858663228</v>
      </c>
      <c r="AK580" s="30">
        <f>IFERROR(__xludf.DUMMYFUNCTION("""COMPUTED_VALUE"""),1.65057959340984)</f>
        <v>1.650579593</v>
      </c>
      <c r="AL580" s="30">
        <f>IFERROR(__xludf.DUMMYFUNCTION("""COMPUTED_VALUE"""),0.42318837002311754)</f>
        <v>0.42318837</v>
      </c>
      <c r="AM580" s="30">
        <f>IFERROR(__xludf.DUMMYFUNCTION("""COMPUTED_VALUE"""),1.326335996555401)</f>
        <v>1.326335997</v>
      </c>
      <c r="AN580" s="30">
        <f>IFERROR(__xludf.DUMMYFUNCTION("""COMPUTED_VALUE"""),0.5686717874436902)</f>
        <v>0.5686717874</v>
      </c>
      <c r="AO580" s="30">
        <f>IFERROR(__xludf.DUMMYFUNCTION("""COMPUTED_VALUE"""),0.4560937713313752)</f>
        <v>0.4560937713</v>
      </c>
      <c r="AP580" s="30">
        <f>IFERROR(__xludf.DUMMYFUNCTION("""COMPUTED_VALUE"""),0.0)</f>
        <v>0</v>
      </c>
      <c r="AQ580" s="30">
        <f>IFERROR(__xludf.DUMMYFUNCTION("""COMPUTED_VALUE"""),0.6911533235741307)</f>
        <v>0.6911533236</v>
      </c>
      <c r="AR580" s="30">
        <f>IFERROR(__xludf.DUMMYFUNCTION("""COMPUTED_VALUE"""),0.28016172764001873)</f>
        <v>0.2801617276</v>
      </c>
      <c r="AS580" s="30">
        <f>IFERROR(__xludf.DUMMYFUNCTION("""COMPUTED_VALUE"""),7.0)</f>
        <v>7</v>
      </c>
      <c r="AT580" s="30">
        <f>IFERROR(__xludf.DUMMYFUNCTION("""COMPUTED_VALUE"""),0.11323702096194349)</f>
        <v>0.113237021</v>
      </c>
      <c r="AU580" s="30">
        <f>IFERROR(__xludf.DUMMYFUNCTION("""COMPUTED_VALUE"""),-0.5566528537509658)</f>
        <v>-0.5566528538</v>
      </c>
      <c r="AV580" s="32">
        <f>IFERROR(__xludf.DUMMYFUNCTION("""COMPUTED_VALUE"""),-38.7337930364221)</f>
        <v>-38.73379304</v>
      </c>
      <c r="AW580" s="32">
        <f>IFERROR(__xludf.DUMMYFUNCTION("""COMPUTED_VALUE"""),-5178.920190366019)</f>
        <v>-5178.92019</v>
      </c>
      <c r="AX580" s="32">
        <f>IFERROR(__xludf.DUMMYFUNCTION("""COMPUTED_VALUE"""),-31.95601502870487)</f>
        <v>-31.95601503</v>
      </c>
      <c r="AY580" s="32">
        <f>IFERROR(__xludf.DUMMYFUNCTION("""COMPUTED_VALUE"""),-1914.6759099152066)</f>
        <v>-1914.67591</v>
      </c>
      <c r="AZ580" s="30">
        <f>IFERROR(__xludf.DUMMYFUNCTION("""COMPUTED_VALUE"""),3264.244280450812)</f>
        <v>3264.24428</v>
      </c>
      <c r="BA580" s="30">
        <f>IFERROR(__xludf.DUMMYFUNCTION("""COMPUTED_VALUE"""),2300.0)</f>
        <v>2300</v>
      </c>
    </row>
    <row r="581">
      <c r="A581" s="71" t="str">
        <f>IFERROR(__xludf.DUMMYFUNCTION("""COMPUTED_VALUE"""),"Challenger")</f>
        <v>Challenger</v>
      </c>
      <c r="B581" s="71" t="str">
        <f>IFERROR(__xludf.DUMMYFUNCTION("""COMPUTED_VALUE"""),"RSC006868")</f>
        <v>RSC006868</v>
      </c>
      <c r="C581" s="30" t="str">
        <f>IFERROR(__xludf.DUMMYFUNCTION("""COMPUTED_VALUE"""),"TraxStar_19")</f>
        <v>TraxStar_19</v>
      </c>
      <c r="D581" s="30" t="str">
        <f>IFERROR(__xludf.DUMMYFUNCTION("""COMPUTED_VALUE"""),"Warbirds")</f>
        <v>Warbirds</v>
      </c>
      <c r="E581" s="30">
        <f>IFERROR(__xludf.DUMMYFUNCTION("""COMPUTED_VALUE"""),6.0)</f>
        <v>6</v>
      </c>
      <c r="F581" s="30">
        <f>IFERROR(__xludf.DUMMYFUNCTION("""COMPUTED_VALUE"""),2.0)</f>
        <v>2</v>
      </c>
      <c r="G581" s="42">
        <f>IFERROR(__xludf.DUMMYFUNCTION("""COMPUTED_VALUE"""),4.0)</f>
        <v>4</v>
      </c>
      <c r="H581" s="42">
        <f>IFERROR(__xludf.DUMMYFUNCTION("""COMPUTED_VALUE"""),0.3333333333333333)</f>
        <v>0.3333333333</v>
      </c>
      <c r="I581" s="42">
        <f>IFERROR(__xludf.DUMMYFUNCTION("""COMPUTED_VALUE"""),0.375)</f>
        <v>0.375</v>
      </c>
      <c r="J581" s="30">
        <f>IFERROR(__xludf.DUMMYFUNCTION("""COMPUTED_VALUE"""),194.5)</f>
        <v>194.5</v>
      </c>
      <c r="K581" s="30">
        <f>IFERROR(__xludf.DUMMYFUNCTION("""COMPUTED_VALUE"""),0.5)</f>
        <v>0.5</v>
      </c>
      <c r="L581" s="30">
        <f>IFERROR(__xludf.DUMMYFUNCTION("""COMPUTED_VALUE"""),0.0)</f>
        <v>0</v>
      </c>
      <c r="M581" s="30">
        <f>IFERROR(__xludf.DUMMYFUNCTION("""COMPUTED_VALUE"""),1.3333333333333333)</f>
        <v>1.333333333</v>
      </c>
      <c r="N581" s="30">
        <f>IFERROR(__xludf.DUMMYFUNCTION("""COMPUTED_VALUE"""),1.3333333333333333)</f>
        <v>1.333333333</v>
      </c>
      <c r="O581" s="30">
        <f>IFERROR(__xludf.DUMMYFUNCTION("""COMPUTED_VALUE"""),424.6666666666667)</f>
        <v>424.6666667</v>
      </c>
      <c r="P581" s="30">
        <f>IFERROR(__xludf.DUMMYFUNCTION("""COMPUTED_VALUE"""),1.2777777777777777)</f>
        <v>1.277777778</v>
      </c>
      <c r="Q581" s="30">
        <f>IFERROR(__xludf.DUMMYFUNCTION("""COMPUTED_VALUE"""),1.0)</f>
        <v>1</v>
      </c>
      <c r="R581" s="30">
        <f>IFERROR(__xludf.DUMMYFUNCTION("""COMPUTED_VALUE"""),1.0)</f>
        <v>1</v>
      </c>
      <c r="S581" s="30">
        <f>IFERROR(__xludf.DUMMYFUNCTION("""COMPUTED_VALUE"""),3.944444444444444)</f>
        <v>3.944444444</v>
      </c>
      <c r="T581" s="30">
        <f>IFERROR(__xludf.DUMMYFUNCTION("""COMPUTED_VALUE"""),341.1624183441061)</f>
        <v>341.1624183</v>
      </c>
      <c r="U581" s="30">
        <f>IFERROR(__xludf.DUMMYFUNCTION("""COMPUTED_VALUE"""),0.8279099643642)</f>
        <v>0.8279099644</v>
      </c>
      <c r="V581" s="30">
        <f>IFERROR(__xludf.DUMMYFUNCTION("""COMPUTED_VALUE"""),0.5646959263599705)</f>
        <v>0.5646959264</v>
      </c>
      <c r="W581" s="30">
        <f>IFERROR(__xludf.DUMMYFUNCTION("""COMPUTED_VALUE"""),1.168132719870197)</f>
        <v>1.16813272</v>
      </c>
      <c r="X581" s="30">
        <f>IFERROR(__xludf.DUMMYFUNCTION("""COMPUTED_VALUE"""),2.4908340908734297)</f>
        <v>2.490834091</v>
      </c>
      <c r="Y581" s="30">
        <f>IFERROR(__xludf.DUMMYFUNCTION("""COMPUTED_VALUE"""),324.0376427798645)</f>
        <v>324.0376428</v>
      </c>
      <c r="Z581" s="30">
        <f>IFERROR(__xludf.DUMMYFUNCTION("""COMPUTED_VALUE"""),0.6987340533083167)</f>
        <v>0.6987340533</v>
      </c>
      <c r="AA581" s="30">
        <f>IFERROR(__xludf.DUMMYFUNCTION("""COMPUTED_VALUE"""),0.5205670443759437)</f>
        <v>0.5205670444</v>
      </c>
      <c r="AB581" s="30">
        <f>IFERROR(__xludf.DUMMYFUNCTION("""COMPUTED_VALUE"""),1.253590208540379)</f>
        <v>1.253590209</v>
      </c>
      <c r="AC581" s="30">
        <f>IFERROR(__xludf.DUMMYFUNCTION("""COMPUTED_VALUE"""),2.239791435394198)</f>
        <v>2.239791435</v>
      </c>
      <c r="AD581" s="30">
        <f>IFERROR(__xludf.DUMMYFUNCTION("""COMPUTED_VALUE"""),0.600238905367343)</f>
        <v>0.6002389054</v>
      </c>
      <c r="AE581" s="30">
        <f>IFERROR(__xludf.DUMMYFUNCTION("""COMPUTED_VALUE"""),0.7155798370390498)</f>
        <v>0.715579837</v>
      </c>
      <c r="AF581" s="30">
        <f>IFERROR(__xludf.DUMMYFUNCTION("""COMPUTED_VALUE"""),0.0)</f>
        <v>0</v>
      </c>
      <c r="AG581" s="30">
        <f>IFERROR(__xludf.DUMMYFUNCTION("""COMPUTED_VALUE"""),1.0636117961433373)</f>
        <v>1.063611796</v>
      </c>
      <c r="AH581" s="30">
        <f>IFERROR(__xludf.DUMMYFUNCTION("""COMPUTED_VALUE"""),0.5952935225411601)</f>
        <v>0.5952935225</v>
      </c>
      <c r="AI581" s="30">
        <f>IFERROR(__xludf.DUMMYFUNCTION("""COMPUTED_VALUE"""),1.24476391253135)</f>
        <v>1.244763913</v>
      </c>
      <c r="AJ581" s="30">
        <f>IFERROR(__xludf.DUMMYFUNCTION("""COMPUTED_VALUE"""),1.5433777014135315)</f>
        <v>1.543377701</v>
      </c>
      <c r="AK581" s="30">
        <f>IFERROR(__xludf.DUMMYFUNCTION("""COMPUTED_VALUE"""),1.7708645543912442)</f>
        <v>1.770864554</v>
      </c>
      <c r="AL581" s="30">
        <f>IFERROR(__xludf.DUMMYFUNCTION("""COMPUTED_VALUE"""),0.8560671086339574)</f>
        <v>0.8560671086</v>
      </c>
      <c r="AM581" s="30">
        <f>IFERROR(__xludf.DUMMYFUNCTION("""COMPUTED_VALUE"""),1.5835837717562695)</f>
        <v>1.583583772</v>
      </c>
      <c r="AN581" s="30">
        <f>IFERROR(__xludf.DUMMYFUNCTION("""COMPUTED_VALUE"""),0.5978738522043121)</f>
        <v>0.5978738522</v>
      </c>
      <c r="AO581" s="30">
        <f>IFERROR(__xludf.DUMMYFUNCTION("""COMPUTED_VALUE"""),0.6841406569970628)</f>
        <v>0.684140657</v>
      </c>
      <c r="AP581" s="30">
        <f>IFERROR(__xludf.DUMMYFUNCTION("""COMPUTED_VALUE"""),0.0)</f>
        <v>0</v>
      </c>
      <c r="AQ581" s="30">
        <f>IFERROR(__xludf.DUMMYFUNCTION("""COMPUTED_VALUE"""),1.105845317718609)</f>
        <v>1.105845318</v>
      </c>
      <c r="AR581" s="30">
        <f>IFERROR(__xludf.DUMMYFUNCTION("""COMPUTED_VALUE"""),0.5603234552800375)</f>
        <v>0.5603234553</v>
      </c>
      <c r="AS581" s="30">
        <f>IFERROR(__xludf.DUMMYFUNCTION("""COMPUTED_VALUE"""),14.0)</f>
        <v>14</v>
      </c>
      <c r="AT581" s="30">
        <f>IFERROR(__xludf.DUMMYFUNCTION("""COMPUTED_VALUE"""),0.3022145087535711)</f>
        <v>0.3022145088</v>
      </c>
      <c r="AU581" s="30">
        <f>IFERROR(__xludf.DUMMYFUNCTION("""COMPUTED_VALUE"""),0.04469387958893689)</f>
        <v>0.04469387959</v>
      </c>
      <c r="AV581" s="32">
        <f>IFERROR(__xludf.DUMMYFUNCTION("""COMPUTED_VALUE"""),-23.039689213670115)</f>
        <v>-23.03968921</v>
      </c>
      <c r="AW581" s="32">
        <f>IFERROR(__xludf.DUMMYFUNCTION("""COMPUTED_VALUE"""),-574.2961776261999)</f>
        <v>-574.2961776</v>
      </c>
      <c r="AX581" s="32">
        <f>IFERROR(__xludf.DUMMYFUNCTION("""COMPUTED_VALUE"""),-36.069858261311424)</f>
        <v>-36.06985826</v>
      </c>
      <c r="AY581" s="32">
        <f>IFERROR(__xludf.DUMMYFUNCTION("""COMPUTED_VALUE"""),-3473.8084533581664)</f>
        <v>-3473.808453</v>
      </c>
      <c r="AZ581" s="30">
        <f>IFERROR(__xludf.DUMMYFUNCTION("""COMPUTED_VALUE"""),2899.5122757319664)</f>
        <v>2899.512276</v>
      </c>
      <c r="BA581" s="30">
        <f>IFERROR(__xludf.DUMMYFUNCTION("""COMPUTED_VALUE"""),2300.0)</f>
        <v>2300</v>
      </c>
    </row>
    <row r="582">
      <c r="A582" s="71" t="str">
        <f>IFERROR(__xludf.DUMMYFUNCTION("""COMPUTED_VALUE"""),"Challenger")</f>
        <v>Challenger</v>
      </c>
      <c r="B582" s="71" t="str">
        <f>IFERROR(__xludf.DUMMYFUNCTION("""COMPUTED_VALUE"""),"RSC005509")</f>
        <v>RSC005509</v>
      </c>
      <c r="C582" s="30" t="str">
        <f>IFERROR(__xludf.DUMMYFUNCTION("""COMPUTED_VALUE"""),"Benjamen A")</f>
        <v>Benjamen A</v>
      </c>
      <c r="D582" s="30"/>
      <c r="E582" s="30">
        <f>IFERROR(__xludf.DUMMYFUNCTION("""COMPUTED_VALUE"""),3.0)</f>
        <v>3</v>
      </c>
      <c r="F582" s="30">
        <f>IFERROR(__xludf.DUMMYFUNCTION("""COMPUTED_VALUE"""),0.0)</f>
        <v>0</v>
      </c>
      <c r="G582" s="42">
        <f>IFERROR(__xludf.DUMMYFUNCTION("""COMPUTED_VALUE"""),3.0)</f>
        <v>3</v>
      </c>
      <c r="H582" s="42">
        <f>IFERROR(__xludf.DUMMYFUNCTION("""COMPUTED_VALUE"""),0.0)</f>
        <v>0</v>
      </c>
      <c r="I582" s="42">
        <f>IFERROR(__xludf.DUMMYFUNCTION("""COMPUTED_VALUE"""),0.0)</f>
        <v>0</v>
      </c>
      <c r="J582" s="30">
        <f>IFERROR(__xludf.DUMMYFUNCTION("""COMPUTED_VALUE"""),248.66666666666666)</f>
        <v>248.6666667</v>
      </c>
      <c r="K582" s="30">
        <f>IFERROR(__xludf.DUMMYFUNCTION("""COMPUTED_VALUE"""),0.0)</f>
        <v>0</v>
      </c>
      <c r="L582" s="30">
        <f>IFERROR(__xludf.DUMMYFUNCTION("""COMPUTED_VALUE"""),0.6666666666666666)</f>
        <v>0.6666666667</v>
      </c>
      <c r="M582" s="30">
        <f>IFERROR(__xludf.DUMMYFUNCTION("""COMPUTED_VALUE"""),2.0)</f>
        <v>2</v>
      </c>
      <c r="N582" s="30">
        <f>IFERROR(__xludf.DUMMYFUNCTION("""COMPUTED_VALUE"""),0.6666666666666666)</f>
        <v>0.6666666667</v>
      </c>
      <c r="O582" s="30">
        <f>IFERROR(__xludf.DUMMYFUNCTION("""COMPUTED_VALUE"""),446.22222222222223)</f>
        <v>446.2222222</v>
      </c>
      <c r="P582" s="30">
        <f>IFERROR(__xludf.DUMMYFUNCTION("""COMPUTED_VALUE"""),1.3333333333333333)</f>
        <v>1.333333333</v>
      </c>
      <c r="Q582" s="30">
        <f>IFERROR(__xludf.DUMMYFUNCTION("""COMPUTED_VALUE"""),1.2222222222222223)</f>
        <v>1.222222222</v>
      </c>
      <c r="R582" s="30">
        <f>IFERROR(__xludf.DUMMYFUNCTION("""COMPUTED_VALUE"""),1.222222222222222)</f>
        <v>1.222222222</v>
      </c>
      <c r="S582" s="30">
        <f>IFERROR(__xludf.DUMMYFUNCTION("""COMPUTED_VALUE"""),3.4444444444444446)</f>
        <v>3.444444444</v>
      </c>
      <c r="T582" s="30">
        <f>IFERROR(__xludf.DUMMYFUNCTION("""COMPUTED_VALUE"""),348.53942652329744)</f>
        <v>348.5394265</v>
      </c>
      <c r="U582" s="30">
        <f>IFERROR(__xludf.DUMMYFUNCTION("""COMPUTED_VALUE"""),0.8608649415101027)</f>
        <v>0.8608649415</v>
      </c>
      <c r="V582" s="30">
        <f>IFERROR(__xludf.DUMMYFUNCTION("""COMPUTED_VALUE"""),0.5922446728898342)</f>
        <v>0.5922446729</v>
      </c>
      <c r="W582" s="30">
        <f>IFERROR(__xludf.DUMMYFUNCTION("""COMPUTED_VALUE"""),1.1199338296112489)</f>
        <v>1.11993383</v>
      </c>
      <c r="X582" s="30">
        <f>IFERROR(__xludf.DUMMYFUNCTION("""COMPUTED_VALUE"""),2.7935326322423095)</f>
        <v>2.793532632</v>
      </c>
      <c r="Y582" s="30">
        <f>IFERROR(__xludf.DUMMYFUNCTION("""COMPUTED_VALUE"""),322.2991256055772)</f>
        <v>322.2991256</v>
      </c>
      <c r="Z582" s="30">
        <f>IFERROR(__xludf.DUMMYFUNCTION("""COMPUTED_VALUE"""),0.6127259836937256)</f>
        <v>0.6127259837</v>
      </c>
      <c r="AA582" s="30">
        <f>IFERROR(__xludf.DUMMYFUNCTION("""COMPUTED_VALUE"""),0.4184226764871926)</f>
        <v>0.4184226765</v>
      </c>
      <c r="AB582" s="30">
        <f>IFERROR(__xludf.DUMMYFUNCTION("""COMPUTED_VALUE"""),1.4503984665274985)</f>
        <v>1.450398467</v>
      </c>
      <c r="AC582" s="30">
        <f>IFERROR(__xludf.DUMMYFUNCTION("""COMPUTED_VALUE"""),2.1533538146441376)</f>
        <v>2.153353815</v>
      </c>
      <c r="AD582" s="30">
        <f>IFERROR(__xludf.DUMMYFUNCTION("""COMPUTED_VALUE"""),0.771539997818609)</f>
        <v>0.7715399978</v>
      </c>
      <c r="AE582" s="30">
        <f>IFERROR(__xludf.DUMMYFUNCTION("""COMPUTED_VALUE"""),0.0)</f>
        <v>0</v>
      </c>
      <c r="AF582" s="30">
        <f>IFERROR(__xludf.DUMMYFUNCTION("""COMPUTED_VALUE"""),1.5932852212111703)</f>
        <v>1.593285221</v>
      </c>
      <c r="AG582" s="30">
        <f>IFERROR(__xludf.DUMMYFUNCTION("""COMPUTED_VALUE"""),1.3789314082690265)</f>
        <v>1.378931408</v>
      </c>
      <c r="AH582" s="30">
        <f>IFERROR(__xludf.DUMMYFUNCTION("""COMPUTED_VALUE"""),0.3095945785281179)</f>
        <v>0.3095945785</v>
      </c>
      <c r="AI582" s="30">
        <f>IFERROR(__xludf.DUMMYFUNCTION("""COMPUTED_VALUE"""),1.28026325937733)</f>
        <v>1.280263259</v>
      </c>
      <c r="AJ582" s="30">
        <f>IFERROR(__xludf.DUMMYFUNCTION("""COMPUTED_VALUE"""),1.548829867545124)</f>
        <v>1.548829868</v>
      </c>
      <c r="AK582" s="30">
        <f>IFERROR(__xludf.DUMMYFUNCTION("""COMPUTED_VALUE"""),2.063711635021448)</f>
        <v>2.063711635</v>
      </c>
      <c r="AL582" s="30">
        <f>IFERROR(__xludf.DUMMYFUNCTION("""COMPUTED_VALUE"""),1.0913343180699162)</f>
        <v>1.091334318</v>
      </c>
      <c r="AM582" s="30">
        <f>IFERROR(__xludf.DUMMYFUNCTION("""COMPUTED_VALUE"""),1.2330066972153684)</f>
        <v>1.233006697</v>
      </c>
      <c r="AN582" s="30">
        <f>IFERROR(__xludf.DUMMYFUNCTION("""COMPUTED_VALUE"""),0.7643768530324195)</f>
        <v>0.764376853</v>
      </c>
      <c r="AO582" s="30">
        <f>IFERROR(__xludf.DUMMYFUNCTION("""COMPUTED_VALUE"""),0.0)</f>
        <v>0</v>
      </c>
      <c r="AP582" s="30">
        <f>IFERROR(__xludf.DUMMYFUNCTION("""COMPUTED_VALUE"""),1.2931142720891025)</f>
        <v>1.293114272</v>
      </c>
      <c r="AQ582" s="30">
        <f>IFERROR(__xludf.DUMMYFUNCTION("""COMPUTED_VALUE"""),1.6587679765779135)</f>
        <v>1.658767977</v>
      </c>
      <c r="AR582" s="30">
        <f>IFERROR(__xludf.DUMMYFUNCTION("""COMPUTED_VALUE"""),0.28016172764001873)</f>
        <v>0.2801617276</v>
      </c>
      <c r="AS582" s="30">
        <f>IFERROR(__xludf.DUMMYFUNCTION("""COMPUTED_VALUE"""),5.0)</f>
        <v>5</v>
      </c>
      <c r="AT582" s="30">
        <f>IFERROR(__xludf.DUMMYFUNCTION("""COMPUTED_VALUE"""),0.19150263325287462)</f>
        <v>0.1915026333</v>
      </c>
      <c r="AU582" s="30">
        <f>IFERROR(__xludf.DUMMYFUNCTION("""COMPUTED_VALUE"""),0.1908209914192074)</f>
        <v>0.1908209914</v>
      </c>
      <c r="AV582" s="32">
        <f>IFERROR(__xludf.DUMMYFUNCTION("""COMPUTED_VALUE"""),-19.226025752581876)</f>
        <v>-19.22602575</v>
      </c>
      <c r="AW582" s="32">
        <f>IFERROR(__xludf.DUMMYFUNCTION("""COMPUTED_VALUE"""),-355.73544957069396)</f>
        <v>-355.7354496</v>
      </c>
      <c r="AX582" s="32">
        <f>IFERROR(__xludf.DUMMYFUNCTION("""COMPUTED_VALUE"""),-7.955444700396207)</f>
        <v>-7.9554447</v>
      </c>
      <c r="AY582" s="32">
        <f>IFERROR(__xludf.DUMMYFUNCTION("""COMPUTED_VALUE"""),-97.8593857668382)</f>
        <v>-97.85938577</v>
      </c>
      <c r="AZ582" s="30">
        <f>IFERROR(__xludf.DUMMYFUNCTION("""COMPUTED_VALUE"""),257.87606380385574)</f>
        <v>257.8760638</v>
      </c>
      <c r="BA582" s="30">
        <f>IFERROR(__xludf.DUMMYFUNCTION("""COMPUTED_VALUE"""),2300.0)</f>
        <v>2300</v>
      </c>
    </row>
    <row r="583">
      <c r="A583" s="71" t="str">
        <f>IFERROR(__xludf.DUMMYFUNCTION("""COMPUTED_VALUE"""),"Challenger")</f>
        <v>Challenger</v>
      </c>
      <c r="B583" s="71" t="str">
        <f>IFERROR(__xludf.DUMMYFUNCTION("""COMPUTED_VALUE"""),"RSC004902")</f>
        <v>RSC004902</v>
      </c>
      <c r="C583" s="30" t="str">
        <f>IFERROR(__xludf.DUMMYFUNCTION("""COMPUTED_VALUE"""),"cuse42")</f>
        <v>cuse42</v>
      </c>
      <c r="D583" s="30" t="str">
        <f>IFERROR(__xludf.DUMMYFUNCTION("""COMPUTED_VALUE"""),"Hydras")</f>
        <v>Hydras</v>
      </c>
      <c r="E583" s="30">
        <f>IFERROR(__xludf.DUMMYFUNCTION("""COMPUTED_VALUE"""),3.0)</f>
        <v>3</v>
      </c>
      <c r="F583" s="30">
        <f>IFERROR(__xludf.DUMMYFUNCTION("""COMPUTED_VALUE"""),0.0)</f>
        <v>0</v>
      </c>
      <c r="G583" s="42">
        <f>IFERROR(__xludf.DUMMYFUNCTION("""COMPUTED_VALUE"""),3.0)</f>
        <v>3</v>
      </c>
      <c r="H583" s="42">
        <f>IFERROR(__xludf.DUMMYFUNCTION("""COMPUTED_VALUE"""),0.0)</f>
        <v>0</v>
      </c>
      <c r="I583" s="42">
        <f>IFERROR(__xludf.DUMMYFUNCTION("""COMPUTED_VALUE"""),0.19999999999999998)</f>
        <v>0.2</v>
      </c>
      <c r="J583" s="30">
        <f>IFERROR(__xludf.DUMMYFUNCTION("""COMPUTED_VALUE"""),232.0)</f>
        <v>232</v>
      </c>
      <c r="K583" s="30">
        <f>IFERROR(__xludf.DUMMYFUNCTION("""COMPUTED_VALUE"""),0.3333333333333333)</f>
        <v>0.3333333333</v>
      </c>
      <c r="L583" s="30">
        <f>IFERROR(__xludf.DUMMYFUNCTION("""COMPUTED_VALUE"""),0.6666666666666666)</f>
        <v>0.6666666667</v>
      </c>
      <c r="M583" s="30">
        <f>IFERROR(__xludf.DUMMYFUNCTION("""COMPUTED_VALUE"""),1.0)</f>
        <v>1</v>
      </c>
      <c r="N583" s="30">
        <f>IFERROR(__xludf.DUMMYFUNCTION("""COMPUTED_VALUE"""),1.6666666666666667)</f>
        <v>1.666666667</v>
      </c>
      <c r="O583" s="30">
        <f>IFERROR(__xludf.DUMMYFUNCTION("""COMPUTED_VALUE"""),457.5555555555555)</f>
        <v>457.5555556</v>
      </c>
      <c r="P583" s="30">
        <f>IFERROR(__xludf.DUMMYFUNCTION("""COMPUTED_VALUE"""),1.4444444444444446)</f>
        <v>1.444444444</v>
      </c>
      <c r="Q583" s="30">
        <f>IFERROR(__xludf.DUMMYFUNCTION("""COMPUTED_VALUE"""),1.222222222222222)</f>
        <v>1.222222222</v>
      </c>
      <c r="R583" s="30">
        <f>IFERROR(__xludf.DUMMYFUNCTION("""COMPUTED_VALUE"""),1.1111111111111112)</f>
        <v>1.111111111</v>
      </c>
      <c r="S583" s="30">
        <f>IFERROR(__xludf.DUMMYFUNCTION("""COMPUTED_VALUE"""),4.0)</f>
        <v>4</v>
      </c>
      <c r="T583" s="30">
        <f>IFERROR(__xludf.DUMMYFUNCTION("""COMPUTED_VALUE"""),381.52956152530356)</f>
        <v>381.5295615</v>
      </c>
      <c r="U583" s="30">
        <f>IFERROR(__xludf.DUMMYFUNCTION("""COMPUTED_VALUE"""),0.9940452654799836)</f>
        <v>0.9940452655</v>
      </c>
      <c r="V583" s="30">
        <f>IFERROR(__xludf.DUMMYFUNCTION("""COMPUTED_VALUE"""),0.7286032463499494)</f>
        <v>0.7286032463</v>
      </c>
      <c r="W583" s="30">
        <f>IFERROR(__xludf.DUMMYFUNCTION("""COMPUTED_VALUE"""),1.2784642957742802)</f>
        <v>1.278464296</v>
      </c>
      <c r="X583" s="30">
        <f>IFERROR(__xludf.DUMMYFUNCTION("""COMPUTED_VALUE"""),3.056283456070045)</f>
        <v>3.056283456</v>
      </c>
      <c r="Y583" s="30">
        <f>IFERROR(__xludf.DUMMYFUNCTION("""COMPUTED_VALUE"""),326.8209332615072)</f>
        <v>326.8209333</v>
      </c>
      <c r="Z583" s="30">
        <f>IFERROR(__xludf.DUMMYFUNCTION("""COMPUTED_VALUE"""),0.6151010198973252)</f>
        <v>0.6151010199</v>
      </c>
      <c r="AA583" s="30">
        <f>IFERROR(__xludf.DUMMYFUNCTION("""COMPUTED_VALUE"""),0.4365192826971685)</f>
        <v>0.4365192827</v>
      </c>
      <c r="AB583" s="30">
        <f>IFERROR(__xludf.DUMMYFUNCTION("""COMPUTED_VALUE"""),1.4324879936237493)</f>
        <v>1.432487994</v>
      </c>
      <c r="AC583" s="30">
        <f>IFERROR(__xludf.DUMMYFUNCTION("""COMPUTED_VALUE"""),2.2535501444549197)</f>
        <v>2.253550144</v>
      </c>
      <c r="AD583" s="30">
        <f>IFERROR(__xludf.DUMMYFUNCTION("""COMPUTED_VALUE"""),0.7098688498461762)</f>
        <v>0.7098688498</v>
      </c>
      <c r="AE583" s="30">
        <f>IFERROR(__xludf.DUMMYFUNCTION("""COMPUTED_VALUE"""),0.5419164048678938)</f>
        <v>0.5419164049</v>
      </c>
      <c r="AF583" s="30">
        <f>IFERROR(__xludf.DUMMYFUNCTION("""COMPUTED_VALUE"""),1.5272330297700982)</f>
        <v>1.52723303</v>
      </c>
      <c r="AG583" s="30">
        <f>IFERROR(__xludf.DUMMYFUNCTION("""COMPUTED_VALUE"""),0.6980861301813154)</f>
        <v>0.6980861302</v>
      </c>
      <c r="AH583" s="30">
        <f>IFERROR(__xludf.DUMMYFUNCTION("""COMPUTED_VALUE"""),0.7395738101358263)</f>
        <v>0.7395738101</v>
      </c>
      <c r="AI583" s="30">
        <f>IFERROR(__xludf.DUMMYFUNCTION("""COMPUTED_VALUE"""),1.1992663261171959)</f>
        <v>1.199266326</v>
      </c>
      <c r="AJ583" s="30">
        <f>IFERROR(__xludf.DUMMYFUNCTION("""COMPUTED_VALUE"""),1.4530972528167334)</f>
        <v>1.453097253</v>
      </c>
      <c r="AK583" s="30">
        <f>IFERROR(__xludf.DUMMYFUNCTION("""COMPUTED_VALUE"""),1.677486654561496)</f>
        <v>1.677486655</v>
      </c>
      <c r="AL583" s="30">
        <f>IFERROR(__xludf.DUMMYFUNCTION("""COMPUTED_VALUE"""),0.8690982726570283)</f>
        <v>0.8690982727</v>
      </c>
      <c r="AM583" s="30">
        <f>IFERROR(__xludf.DUMMYFUNCTION("""COMPUTED_VALUE"""),1.3087791291268)</f>
        <v>1.308779129</v>
      </c>
      <c r="AN583" s="30">
        <f>IFERROR(__xludf.DUMMYFUNCTION("""COMPUTED_VALUE"""),0.7131451604699249)</f>
        <v>0.7131451605</v>
      </c>
      <c r="AO583" s="30">
        <f>IFERROR(__xludf.DUMMYFUNCTION("""COMPUTED_VALUE"""),0.4560937713313752)</f>
        <v>0.4560937713</v>
      </c>
      <c r="AP583" s="30">
        <f>IFERROR(__xludf.DUMMYFUNCTION("""COMPUTED_VALUE"""),1.2931142720891025)</f>
        <v>1.293114272</v>
      </c>
      <c r="AQ583" s="30">
        <f>IFERROR(__xludf.DUMMYFUNCTION("""COMPUTED_VALUE"""),0.8293839882889568)</f>
        <v>0.8293839883</v>
      </c>
      <c r="AR583" s="30">
        <f>IFERROR(__xludf.DUMMYFUNCTION("""COMPUTED_VALUE"""),0.7004043191000469)</f>
        <v>0.7004043191</v>
      </c>
      <c r="AS583" s="30">
        <f>IFERROR(__xludf.DUMMYFUNCTION("""COMPUTED_VALUE"""),3.0)</f>
        <v>3</v>
      </c>
      <c r="AT583" s="30">
        <f>IFERROR(__xludf.DUMMYFUNCTION("""COMPUTED_VALUE"""),0.08543193415905717)</f>
        <v>0.08543193416</v>
      </c>
      <c r="AU583" s="30">
        <f>IFERROR(__xludf.DUMMYFUNCTION("""COMPUTED_VALUE"""),1.385595919235235)</f>
        <v>1.385595919</v>
      </c>
      <c r="AV583" s="32">
        <f>IFERROR(__xludf.DUMMYFUNCTION("""COMPUTED_VALUE"""),11.955521801226901)</f>
        <v>11.9555218</v>
      </c>
      <c r="AW583" s="32">
        <f>IFERROR(__xludf.DUMMYFUNCTION("""COMPUTED_VALUE"""),-15.6171386011936)</f>
        <v>-15.6171386</v>
      </c>
      <c r="AX583" s="32">
        <f>IFERROR(__xludf.DUMMYFUNCTION("""COMPUTED_VALUE"""),-9.40796810291802)</f>
        <v>-9.407968103</v>
      </c>
      <c r="AY583" s="32">
        <f>IFERROR(__xludf.DUMMYFUNCTION("""COMPUTED_VALUE"""),-114.37491932346835)</f>
        <v>-114.3749193</v>
      </c>
      <c r="AZ583" s="30">
        <f>IFERROR(__xludf.DUMMYFUNCTION("""COMPUTED_VALUE"""),98.75778072227475)</f>
        <v>98.75778072</v>
      </c>
      <c r="BA583" s="30">
        <f>IFERROR(__xludf.DUMMYFUNCTION("""COMPUTED_VALUE"""),2300.0)</f>
        <v>2300</v>
      </c>
    </row>
    <row r="584">
      <c r="A584" s="71" t="str">
        <f>IFERROR(__xludf.DUMMYFUNCTION("""COMPUTED_VALUE"""),"Challenger")</f>
        <v>Challenger</v>
      </c>
      <c r="B584" s="71" t="str">
        <f>IFERROR(__xludf.DUMMYFUNCTION("""COMPUTED_VALUE"""),"RSC004997")</f>
        <v>RSC004997</v>
      </c>
      <c r="C584" s="30" t="str">
        <f>IFERROR(__xludf.DUMMYFUNCTION("""COMPUTED_VALUE"""),"evelynnx")</f>
        <v>evelynnx</v>
      </c>
      <c r="D584" s="30" t="str">
        <f>IFERROR(__xludf.DUMMYFUNCTION("""COMPUTED_VALUE"""),"Deceased")</f>
        <v>Deceased</v>
      </c>
      <c r="E584" s="30">
        <f>IFERROR(__xludf.DUMMYFUNCTION("""COMPUTED_VALUE"""),25.0)</f>
        <v>25</v>
      </c>
      <c r="F584" s="30">
        <f>IFERROR(__xludf.DUMMYFUNCTION("""COMPUTED_VALUE"""),18.0)</f>
        <v>18</v>
      </c>
      <c r="G584" s="42">
        <f>IFERROR(__xludf.DUMMYFUNCTION("""COMPUTED_VALUE"""),7.0)</f>
        <v>7</v>
      </c>
      <c r="H584" s="42">
        <f>IFERROR(__xludf.DUMMYFUNCTION("""COMPUTED_VALUE"""),0.72)</f>
        <v>0.72</v>
      </c>
      <c r="I584" s="42">
        <f>IFERROR(__xludf.DUMMYFUNCTION("""COMPUTED_VALUE"""),0.33707865168539325)</f>
        <v>0.3370786517</v>
      </c>
      <c r="J584" s="30">
        <f>IFERROR(__xludf.DUMMYFUNCTION("""COMPUTED_VALUE"""),421.16)</f>
        <v>421.16</v>
      </c>
      <c r="K584" s="30">
        <f>IFERROR(__xludf.DUMMYFUNCTION("""COMPUTED_VALUE"""),1.2)</f>
        <v>1.2</v>
      </c>
      <c r="L584" s="30">
        <f>IFERROR(__xludf.DUMMYFUNCTION("""COMPUTED_VALUE"""),0.84)</f>
        <v>0.84</v>
      </c>
      <c r="M584" s="30">
        <f>IFERROR(__xludf.DUMMYFUNCTION("""COMPUTED_VALUE"""),1.24)</f>
        <v>1.24</v>
      </c>
      <c r="N584" s="30">
        <f>IFERROR(__xludf.DUMMYFUNCTION("""COMPUTED_VALUE"""),3.56)</f>
        <v>3.56</v>
      </c>
      <c r="O584" s="30">
        <f>IFERROR(__xludf.DUMMYFUNCTION("""COMPUTED_VALUE"""),342.4)</f>
        <v>342.4</v>
      </c>
      <c r="P584" s="30">
        <f>IFERROR(__xludf.DUMMYFUNCTION("""COMPUTED_VALUE"""),0.6266666666666667)</f>
        <v>0.6266666667</v>
      </c>
      <c r="Q584" s="30">
        <f>IFERROR(__xludf.DUMMYFUNCTION("""COMPUTED_VALUE"""),0.44)</f>
        <v>0.44</v>
      </c>
      <c r="R584" s="30">
        <f>IFERROR(__xludf.DUMMYFUNCTION("""COMPUTED_VALUE"""),1.5466666666666669)</f>
        <v>1.546666667</v>
      </c>
      <c r="S584" s="30">
        <f>IFERROR(__xludf.DUMMYFUNCTION("""COMPUTED_VALUE"""),2.186666666666666)</f>
        <v>2.186666667</v>
      </c>
      <c r="T584" s="30">
        <f>IFERROR(__xludf.DUMMYFUNCTION("""COMPUTED_VALUE"""),330.1015004690037)</f>
        <v>330.1015005</v>
      </c>
      <c r="U584" s="30">
        <f>IFERROR(__xludf.DUMMYFUNCTION("""COMPUTED_VALUE"""),0.7367610649765334)</f>
        <v>0.736761065</v>
      </c>
      <c r="V584" s="30">
        <f>IFERROR(__xludf.DUMMYFUNCTION("""COMPUTED_VALUE"""),0.5032767298299617)</f>
        <v>0.5032767298</v>
      </c>
      <c r="W584" s="30">
        <f>IFERROR(__xludf.DUMMYFUNCTION("""COMPUTED_VALUE"""),1.2572508022664002)</f>
        <v>1.257250802</v>
      </c>
      <c r="X584" s="30">
        <f>IFERROR(__xludf.DUMMYFUNCTION("""COMPUTED_VALUE"""),2.344534896473068)</f>
        <v>2.344534896</v>
      </c>
      <c r="Y584" s="30">
        <f>IFERROR(__xludf.DUMMYFUNCTION("""COMPUTED_VALUE"""),345.945355836709)</f>
        <v>345.9453558</v>
      </c>
      <c r="Z584" s="30">
        <f>IFERROR(__xludf.DUMMYFUNCTION("""COMPUTED_VALUE"""),0.8462216224759257)</f>
        <v>0.8462216225</v>
      </c>
      <c r="AA584" s="30">
        <f>IFERROR(__xludf.DUMMYFUNCTION("""COMPUTED_VALUE"""),0.5841802744849393)</f>
        <v>0.5841802745</v>
      </c>
      <c r="AB584" s="30">
        <f>IFERROR(__xludf.DUMMYFUNCTION("""COMPUTED_VALUE"""),1.1748695471719626)</f>
        <v>1.174869547</v>
      </c>
      <c r="AC584" s="30">
        <f>IFERROR(__xludf.DUMMYFUNCTION("""COMPUTED_VALUE"""),2.594040218720413)</f>
        <v>2.594040219</v>
      </c>
      <c r="AD584" s="30">
        <f>IFERROR(__xludf.DUMMYFUNCTION("""COMPUTED_VALUE"""),1.2174177016522616)</f>
        <v>1.217417702</v>
      </c>
      <c r="AE584" s="30">
        <f>IFERROR(__xludf.DUMMYFUNCTION("""COMPUTED_VALUE"""),1.418068231923652)</f>
        <v>1.418068232</v>
      </c>
      <c r="AF584" s="30">
        <f>IFERROR(__xludf.DUMMYFUNCTION("""COMPUTED_VALUE"""),1.4379122964064683)</f>
        <v>1.437912296</v>
      </c>
      <c r="AG584" s="30">
        <f>IFERROR(__xludf.DUMMYFUNCTION("""COMPUTED_VALUE"""),1.0554363273648666)</f>
        <v>1.055436327</v>
      </c>
      <c r="AH584" s="30">
        <f>IFERROR(__xludf.DUMMYFUNCTION("""COMPUTED_VALUE"""),1.3723765631344278)</f>
        <v>1.372376563</v>
      </c>
      <c r="AI584" s="30">
        <f>IFERROR(__xludf.DUMMYFUNCTION("""COMPUTED_VALUE"""),1.0372567210797974)</f>
        <v>1.037256721</v>
      </c>
      <c r="AJ584" s="30">
        <f>IFERROR(__xludf.DUMMYFUNCTION("""COMPUTED_VALUE"""),0.8505697388971372)</f>
        <v>0.8505697389</v>
      </c>
      <c r="AK584" s="30">
        <f>IFERROR(__xludf.DUMMYFUNCTION("""COMPUTED_VALUE"""),0.874270503523299)</f>
        <v>0.8742705035</v>
      </c>
      <c r="AL584" s="30">
        <f>IFERROR(__xludf.DUMMYFUNCTION("""COMPUTED_VALUE"""),1.2301973988630965)</f>
        <v>1.230197399</v>
      </c>
      <c r="AM584" s="30">
        <f>IFERROR(__xludf.DUMMYFUNCTION("""COMPUTED_VALUE"""),0.932665438230889)</f>
        <v>0.9326654382</v>
      </c>
      <c r="AN584" s="30">
        <f>IFERROR(__xludf.DUMMYFUNCTION("""COMPUTED_VALUE"""),1.2946043783772139)</f>
        <v>1.294604378</v>
      </c>
      <c r="AO584" s="30">
        <f>IFERROR(__xludf.DUMMYFUNCTION("""COMPUTED_VALUE"""),1.6419375767929507)</f>
        <v>1.641937577</v>
      </c>
      <c r="AP584" s="30">
        <f>IFERROR(__xludf.DUMMYFUNCTION("""COMPUTED_VALUE"""),1.6293239828322692)</f>
        <v>1.629323983</v>
      </c>
      <c r="AQ584" s="30">
        <f>IFERROR(__xludf.DUMMYFUNCTION("""COMPUTED_VALUE"""),1.0284361454783064)</f>
        <v>1.028436145</v>
      </c>
      <c r="AR584" s="30">
        <f>IFERROR(__xludf.DUMMYFUNCTION("""COMPUTED_VALUE"""),1.4960636255977)</f>
        <v>1.496063626</v>
      </c>
      <c r="AS584" s="30">
        <f>IFERROR(__xludf.DUMMYFUNCTION("""COMPUTED_VALUE"""),81.0)</f>
        <v>81</v>
      </c>
      <c r="AT584" s="30">
        <f>IFERROR(__xludf.DUMMYFUNCTION("""COMPUTED_VALUE"""),0.7046960155534193)</f>
        <v>0.7046960156</v>
      </c>
      <c r="AU584" s="30">
        <f>IFERROR(__xludf.DUMMYFUNCTION("""COMPUTED_VALUE"""),4.9384034280039435)</f>
        <v>4.938403428</v>
      </c>
      <c r="AV584" s="32">
        <f>IFERROR(__xludf.DUMMYFUNCTION("""COMPUTED_VALUE"""),104.6776184112578)</f>
        <v>104.6776184</v>
      </c>
      <c r="AW584" s="32">
        <f>IFERROR(__xludf.DUMMYFUNCTION("""COMPUTED_VALUE"""),69.60182442122748)</f>
        <v>69.60182442</v>
      </c>
      <c r="AX584" s="32">
        <f>IFERROR(__xludf.DUMMYFUNCTION("""COMPUTED_VALUE"""),81.80307464092058)</f>
        <v>81.80307464</v>
      </c>
      <c r="AY584" s="32">
        <f>IFERROR(__xludf.DUMMYFUNCTION("""COMPUTED_VALUE"""),9.836254616327915)</f>
        <v>9.836254616</v>
      </c>
      <c r="AZ584" s="30">
        <f>IFERROR(__xludf.DUMMYFUNCTION("""COMPUTED_VALUE"""),59.76556980489956)</f>
        <v>59.7655698</v>
      </c>
      <c r="BA584" s="30">
        <f>IFERROR(__xludf.DUMMYFUNCTION("""COMPUTED_VALUE"""),2300.0)</f>
        <v>2300</v>
      </c>
    </row>
    <row r="585">
      <c r="A585" s="71" t="str">
        <f>IFERROR(__xludf.DUMMYFUNCTION("""COMPUTED_VALUE"""),"Challenger")</f>
        <v>Challenger</v>
      </c>
      <c r="B585" s="71" t="str">
        <f>IFERROR(__xludf.DUMMYFUNCTION("""COMPUTED_VALUE"""),"RSC007647")</f>
        <v>RSC007647</v>
      </c>
      <c r="C585" s="30" t="str">
        <f>IFERROR(__xludf.DUMMYFUNCTION("""COMPUTED_VALUE"""),"I'm Pale")</f>
        <v>I'm Pale</v>
      </c>
      <c r="D585" s="30" t="str">
        <f>IFERROR(__xludf.DUMMYFUNCTION("""COMPUTED_VALUE"""),"Cassowaries")</f>
        <v>Cassowaries</v>
      </c>
      <c r="E585" s="30">
        <f>IFERROR(__xludf.DUMMYFUNCTION("""COMPUTED_VALUE"""),47.0)</f>
        <v>47</v>
      </c>
      <c r="F585" s="30">
        <f>IFERROR(__xludf.DUMMYFUNCTION("""COMPUTED_VALUE"""),35.0)</f>
        <v>35</v>
      </c>
      <c r="G585" s="42">
        <f>IFERROR(__xludf.DUMMYFUNCTION("""COMPUTED_VALUE"""),12.0)</f>
        <v>12</v>
      </c>
      <c r="H585" s="42">
        <f>IFERROR(__xludf.DUMMYFUNCTION("""COMPUTED_VALUE"""),0.7446808510638298)</f>
        <v>0.7446808511</v>
      </c>
      <c r="I585" s="42">
        <f>IFERROR(__xludf.DUMMYFUNCTION("""COMPUTED_VALUE"""),0.3157894736842105)</f>
        <v>0.3157894737</v>
      </c>
      <c r="J585" s="30">
        <f>IFERROR(__xludf.DUMMYFUNCTION("""COMPUTED_VALUE"""),421.6170212765957)</f>
        <v>421.6170213</v>
      </c>
      <c r="K585" s="30">
        <f>IFERROR(__xludf.DUMMYFUNCTION("""COMPUTED_VALUE"""),1.0212765957446808)</f>
        <v>1.021276596</v>
      </c>
      <c r="L585" s="30">
        <f>IFERROR(__xludf.DUMMYFUNCTION("""COMPUTED_VALUE"""),1.0)</f>
        <v>1</v>
      </c>
      <c r="M585" s="30">
        <f>IFERROR(__xludf.DUMMYFUNCTION("""COMPUTED_VALUE"""),1.3617021276595744)</f>
        <v>1.361702128</v>
      </c>
      <c r="N585" s="30">
        <f>IFERROR(__xludf.DUMMYFUNCTION("""COMPUTED_VALUE"""),3.234042553191489)</f>
        <v>3.234042553</v>
      </c>
      <c r="O585" s="30">
        <f>IFERROR(__xludf.DUMMYFUNCTION("""COMPUTED_VALUE"""),317.43262411347513)</f>
        <v>317.4326241</v>
      </c>
      <c r="P585" s="30">
        <f>IFERROR(__xludf.DUMMYFUNCTION("""COMPUTED_VALUE"""),0.6808510638297872)</f>
        <v>0.6808510638</v>
      </c>
      <c r="Q585" s="30">
        <f>IFERROR(__xludf.DUMMYFUNCTION("""COMPUTED_VALUE"""),0.43262411347517726)</f>
        <v>0.4326241135</v>
      </c>
      <c r="R585" s="30">
        <f>IFERROR(__xludf.DUMMYFUNCTION("""COMPUTED_VALUE"""),1.283687943262411)</f>
        <v>1.283687943</v>
      </c>
      <c r="S585" s="30">
        <f>IFERROR(__xludf.DUMMYFUNCTION("""COMPUTED_VALUE"""),2.446808510638297)</f>
        <v>2.446808511</v>
      </c>
      <c r="T585" s="30">
        <f>IFERROR(__xludf.DUMMYFUNCTION("""COMPUTED_VALUE"""),321.431347794347)</f>
        <v>321.4313478</v>
      </c>
      <c r="U585" s="30">
        <f>IFERROR(__xludf.DUMMYFUNCTION("""COMPUTED_VALUE"""),0.7077868144839647)</f>
        <v>0.7077868145</v>
      </c>
      <c r="V585" s="30">
        <f>IFERROR(__xludf.DUMMYFUNCTION("""COMPUTED_VALUE"""),0.48821960092979527)</f>
        <v>0.4882196009</v>
      </c>
      <c r="W585" s="30">
        <f>IFERROR(__xludf.DUMMYFUNCTION("""COMPUTED_VALUE"""),1.1783848939667994)</f>
        <v>1.178384894</v>
      </c>
      <c r="X585" s="30">
        <f>IFERROR(__xludf.DUMMYFUNCTION("""COMPUTED_VALUE"""),2.374119922206647)</f>
        <v>2.374119922</v>
      </c>
      <c r="Y585" s="30">
        <f>IFERROR(__xludf.DUMMYFUNCTION("""COMPUTED_VALUE"""),339.3592113826068)</f>
        <v>339.3592114</v>
      </c>
      <c r="Z585" s="30">
        <f>IFERROR(__xludf.DUMMYFUNCTION("""COMPUTED_VALUE"""),0.8026760987075838)</f>
        <v>0.8026760987</v>
      </c>
      <c r="AA585" s="30">
        <f>IFERROR(__xludf.DUMMYFUNCTION("""COMPUTED_VALUE"""),0.5546903915670031)</f>
        <v>0.5546903916</v>
      </c>
      <c r="AB585" s="30">
        <f>IFERROR(__xludf.DUMMYFUNCTION("""COMPUTED_VALUE"""),1.2155782886468833)</f>
        <v>1.215578289</v>
      </c>
      <c r="AC585" s="30">
        <f>IFERROR(__xludf.DUMMYFUNCTION("""COMPUTED_VALUE"""),2.463082905911722)</f>
        <v>2.463082906</v>
      </c>
      <c r="AD585" s="30">
        <f>IFERROR(__xludf.DUMMYFUNCTION("""COMPUTED_VALUE"""),1.2423915636733616)</f>
        <v>1.242391564</v>
      </c>
      <c r="AE585" s="30">
        <f>IFERROR(__xludf.DUMMYFUNCTION("""COMPUTED_VALUE"""),1.2723396116927774)</f>
        <v>1.272339612</v>
      </c>
      <c r="AF585" s="30">
        <f>IFERROR(__xludf.DUMMYFUNCTION("""COMPUTED_VALUE"""),1.8028075034344748)</f>
        <v>1.802807503</v>
      </c>
      <c r="AG585" s="30">
        <f>IFERROR(__xludf.DUMMYFUNCTION("""COMPUTED_VALUE"""),1.1202093196114487)</f>
        <v>1.12020932</v>
      </c>
      <c r="AH585" s="30">
        <f>IFERROR(__xludf.DUMMYFUNCTION("""COMPUTED_VALUE"""),1.3130059672085592)</f>
        <v>1.313005967</v>
      </c>
      <c r="AI585" s="30">
        <f>IFERROR(__xludf.DUMMYFUNCTION("""COMPUTED_VALUE"""),0.9875596337808649)</f>
        <v>0.9875596338</v>
      </c>
      <c r="AJ585" s="30">
        <f>IFERROR(__xludf.DUMMYFUNCTION("""COMPUTED_VALUE"""),0.9619436953289163)</f>
        <v>0.9619436953</v>
      </c>
      <c r="AK585" s="30">
        <f>IFERROR(__xludf.DUMMYFUNCTION("""COMPUTED_VALUE"""),0.8861260642777583)</f>
        <v>0.8861260643</v>
      </c>
      <c r="AL585" s="30">
        <f>IFERROR(__xludf.DUMMYFUNCTION("""COMPUTED_VALUE"""),1.0893621853392315)</f>
        <v>1.089362185</v>
      </c>
      <c r="AM585" s="30">
        <f>IFERROR(__xludf.DUMMYFUNCTION("""COMPUTED_VALUE"""),1.0306170668767602)</f>
        <v>1.030617067</v>
      </c>
      <c r="AN585" s="30">
        <f>IFERROR(__xludf.DUMMYFUNCTION("""COMPUTED_VALUE"""),1.296009216789438)</f>
        <v>1.296009217</v>
      </c>
      <c r="AO585" s="30">
        <f>IFERROR(__xludf.DUMMYFUNCTION("""COMPUTED_VALUE"""),1.3973936823769793)</f>
        <v>1.397393682</v>
      </c>
      <c r="AP585" s="30">
        <f>IFERROR(__xludf.DUMMYFUNCTION("""COMPUTED_VALUE"""),1.939671408133654)</f>
        <v>1.939671408</v>
      </c>
      <c r="AQ585" s="30">
        <f>IFERROR(__xludf.DUMMYFUNCTION("""COMPUTED_VALUE"""),1.129373941499856)</f>
        <v>1.129373941</v>
      </c>
      <c r="AR585" s="30">
        <f>IFERROR(__xludf.DUMMYFUNCTION("""COMPUTED_VALUE"""),1.3590824234451973)</f>
        <v>1.359082423</v>
      </c>
      <c r="AS585" s="30">
        <f>IFERROR(__xludf.DUMMYFUNCTION("""COMPUTED_VALUE"""),151.0)</f>
        <v>151</v>
      </c>
      <c r="AT585" s="30">
        <f>IFERROR(__xludf.DUMMYFUNCTION("""COMPUTED_VALUE"""),0.6746289362800548)</f>
        <v>0.6746289363</v>
      </c>
      <c r="AU585" s="30">
        <f>IFERROR(__xludf.DUMMYFUNCTION("""COMPUTED_VALUE"""),4.804937149189559)</f>
        <v>4.804937149</v>
      </c>
      <c r="AV585" s="32">
        <f>IFERROR(__xludf.DUMMYFUNCTION("""COMPUTED_VALUE"""),101.19438067100164)</f>
        <v>101.1943807</v>
      </c>
      <c r="AW585" s="32">
        <f>IFERROR(__xludf.DUMMYFUNCTION("""COMPUTED_VALUE"""),49.28289833266544)</f>
        <v>49.28289833</v>
      </c>
      <c r="AX585" s="32">
        <f>IFERROR(__xludf.DUMMYFUNCTION("""COMPUTED_VALUE"""),83.87736823584166)</f>
        <v>83.87736824</v>
      </c>
      <c r="AY585" s="32">
        <f>IFERROR(__xludf.DUMMYFUNCTION("""COMPUTED_VALUE"""),11.403329168033647)</f>
        <v>11.40332917</v>
      </c>
      <c r="AZ585" s="30">
        <f>IFERROR(__xludf.DUMMYFUNCTION("""COMPUTED_VALUE"""),37.87956916463179)</f>
        <v>37.87956916</v>
      </c>
      <c r="BA585" s="30">
        <f>IFERROR(__xludf.DUMMYFUNCTION("""COMPUTED_VALUE"""),2300.0)</f>
        <v>2300</v>
      </c>
    </row>
    <row r="586">
      <c r="A586" s="71" t="str">
        <f>IFERROR(__xludf.DUMMYFUNCTION("""COMPUTED_VALUE"""),"Challenger")</f>
        <v>Challenger</v>
      </c>
      <c r="B586" s="71" t="str">
        <f>IFERROR(__xludf.DUMMYFUNCTION("""COMPUTED_VALUE"""),"RSC006066")</f>
        <v>RSC006066</v>
      </c>
      <c r="C586" s="30" t="str">
        <f>IFERROR(__xludf.DUMMYFUNCTION("""COMPUTED_VALUE"""),"GoldenTiger5")</f>
        <v>GoldenTiger5</v>
      </c>
      <c r="D586" s="30"/>
      <c r="E586" s="30">
        <f>IFERROR(__xludf.DUMMYFUNCTION("""COMPUTED_VALUE"""),4.0)</f>
        <v>4</v>
      </c>
      <c r="F586" s="30">
        <f>IFERROR(__xludf.DUMMYFUNCTION("""COMPUTED_VALUE"""),0.0)</f>
        <v>0</v>
      </c>
      <c r="G586" s="42">
        <f>IFERROR(__xludf.DUMMYFUNCTION("""COMPUTED_VALUE"""),4.0)</f>
        <v>4</v>
      </c>
      <c r="H586" s="42">
        <f>IFERROR(__xludf.DUMMYFUNCTION("""COMPUTED_VALUE"""),0.0)</f>
        <v>0</v>
      </c>
      <c r="I586" s="42">
        <f>IFERROR(__xludf.DUMMYFUNCTION("""COMPUTED_VALUE"""),0.08333333333333333)</f>
        <v>0.08333333333</v>
      </c>
      <c r="J586" s="30">
        <f>IFERROR(__xludf.DUMMYFUNCTION("""COMPUTED_VALUE"""),286.25)</f>
        <v>286.25</v>
      </c>
      <c r="K586" s="30">
        <f>IFERROR(__xludf.DUMMYFUNCTION("""COMPUTED_VALUE"""),0.25)</f>
        <v>0.25</v>
      </c>
      <c r="L586" s="30">
        <f>IFERROR(__xludf.DUMMYFUNCTION("""COMPUTED_VALUE"""),0.25)</f>
        <v>0.25</v>
      </c>
      <c r="M586" s="30">
        <f>IFERROR(__xludf.DUMMYFUNCTION("""COMPUTED_VALUE"""),1.5)</f>
        <v>1.5</v>
      </c>
      <c r="N586" s="30">
        <f>IFERROR(__xludf.DUMMYFUNCTION("""COMPUTED_VALUE"""),3.0)</f>
        <v>3</v>
      </c>
      <c r="O586" s="30">
        <f>IFERROR(__xludf.DUMMYFUNCTION("""COMPUTED_VALUE"""),483.1666666666667)</f>
        <v>483.1666667</v>
      </c>
      <c r="P586" s="30">
        <f>IFERROR(__xludf.DUMMYFUNCTION("""COMPUTED_VALUE"""),0.8333333333333333)</f>
        <v>0.8333333333</v>
      </c>
      <c r="Q586" s="30">
        <f>IFERROR(__xludf.DUMMYFUNCTION("""COMPUTED_VALUE"""),0.41666666666666663)</f>
        <v>0.4166666667</v>
      </c>
      <c r="R586" s="30">
        <f>IFERROR(__xludf.DUMMYFUNCTION("""COMPUTED_VALUE"""),2.4166666666666665)</f>
        <v>2.416666667</v>
      </c>
      <c r="S586" s="30">
        <f>IFERROR(__xludf.DUMMYFUNCTION("""COMPUTED_VALUE"""),3.666666666666667)</f>
        <v>3.666666667</v>
      </c>
      <c r="T586" s="30">
        <f>IFERROR(__xludf.DUMMYFUNCTION("""COMPUTED_VALUE"""),353.7858809257186)</f>
        <v>353.7858809</v>
      </c>
      <c r="U586" s="30">
        <f>IFERROR(__xludf.DUMMYFUNCTION("""COMPUTED_VALUE"""),0.7863864003981584)</f>
        <v>0.7863864004</v>
      </c>
      <c r="V586" s="30">
        <f>IFERROR(__xludf.DUMMYFUNCTION("""COMPUTED_VALUE"""),0.4734975737215379)</f>
        <v>0.4734975737</v>
      </c>
      <c r="W586" s="30">
        <f>IFERROR(__xludf.DUMMYFUNCTION("""COMPUTED_VALUE"""),1.4058184023889513)</f>
        <v>1.405818402</v>
      </c>
      <c r="X586" s="30">
        <f>IFERROR(__xludf.DUMMYFUNCTION("""COMPUTED_VALUE"""),2.5670492721164613)</f>
        <v>2.567049272</v>
      </c>
      <c r="Y586" s="30">
        <f>IFERROR(__xludf.DUMMYFUNCTION("""COMPUTED_VALUE"""),335.188614636473)</f>
        <v>335.1886146</v>
      </c>
      <c r="Z586" s="30">
        <f>IFERROR(__xludf.DUMMYFUNCTION("""COMPUTED_VALUE"""),0.7390636016755837)</f>
        <v>0.7390636017</v>
      </c>
      <c r="AA586" s="30">
        <f>IFERROR(__xludf.DUMMYFUNCTION("""COMPUTED_VALUE"""),0.5080772261623326)</f>
        <v>0.5080772262</v>
      </c>
      <c r="AB586" s="30">
        <f>IFERROR(__xludf.DUMMYFUNCTION("""COMPUTED_VALUE"""),1.271997221185351)</f>
        <v>1.271997221</v>
      </c>
      <c r="AC586" s="30">
        <f>IFERROR(__xludf.DUMMYFUNCTION("""COMPUTED_VALUE"""),2.591656816390859)</f>
        <v>2.591656816</v>
      </c>
      <c r="AD586" s="30">
        <f>IFERROR(__xludf.DUMMYFUNCTION("""COMPUTED_VALUE"""),0.8539967871833919)</f>
        <v>0.8539967872</v>
      </c>
      <c r="AE586" s="30">
        <f>IFERROR(__xludf.DUMMYFUNCTION("""COMPUTED_VALUE"""),0.33826588054560824)</f>
        <v>0.3382658805</v>
      </c>
      <c r="AF586" s="30">
        <f>IFERROR(__xludf.DUMMYFUNCTION("""COMPUTED_VALUE"""),0.49205118262892583)</f>
        <v>0.4920511826</v>
      </c>
      <c r="AG586" s="30">
        <f>IFERROR(__xludf.DUMMYFUNCTION("""COMPUTED_VALUE"""),1.1792478592069386)</f>
        <v>1.179247859</v>
      </c>
      <c r="AH586" s="30">
        <f>IFERROR(__xludf.DUMMYFUNCTION("""COMPUTED_VALUE"""),1.1575606696946086)</f>
        <v>1.15756067</v>
      </c>
      <c r="AI586" s="30">
        <f>IFERROR(__xludf.DUMMYFUNCTION("""COMPUTED_VALUE"""),1.3657036436909507)</f>
        <v>1.365703644</v>
      </c>
      <c r="AJ586" s="30">
        <f>IFERROR(__xludf.DUMMYFUNCTION("""COMPUTED_VALUE"""),1.059699573786379)</f>
        <v>1.059699574</v>
      </c>
      <c r="AK586" s="30">
        <f>IFERROR(__xludf.DUMMYFUNCTION("""COMPUTED_VALUE"""),0.8799763500197082)</f>
        <v>0.87997635</v>
      </c>
      <c r="AL586" s="30">
        <f>IFERROR(__xludf.DUMMYFUNCTION("""COMPUTED_VALUE"""),1.7190461175923926)</f>
        <v>1.719046118</v>
      </c>
      <c r="AM586" s="30">
        <f>IFERROR(__xludf.DUMMYFUNCTION("""COMPUTED_VALUE"""),1.4283585073704492)</f>
        <v>1.428358507</v>
      </c>
      <c r="AN586" s="30">
        <f>IFERROR(__xludf.DUMMYFUNCTION("""COMPUTED_VALUE"""),0.8799043197608448)</f>
        <v>0.8799043198</v>
      </c>
      <c r="AO586" s="30">
        <f>IFERROR(__xludf.DUMMYFUNCTION("""COMPUTED_VALUE"""),0.3420703284985314)</f>
        <v>0.3420703285</v>
      </c>
      <c r="AP586" s="30">
        <f>IFERROR(__xludf.DUMMYFUNCTION("""COMPUTED_VALUE"""),0.4849178520334135)</f>
        <v>0.484917852</v>
      </c>
      <c r="AQ586" s="30">
        <f>IFERROR(__xludf.DUMMYFUNCTION("""COMPUTED_VALUE"""),1.244075982433435)</f>
        <v>1.244075982</v>
      </c>
      <c r="AR586" s="30">
        <f>IFERROR(__xludf.DUMMYFUNCTION("""COMPUTED_VALUE"""),1.2607277743800842)</f>
        <v>1.260727774</v>
      </c>
      <c r="AS586" s="30">
        <f>IFERROR(__xludf.DUMMYFUNCTION("""COMPUTED_VALUE"""),5.0)</f>
        <v>5</v>
      </c>
      <c r="AT586" s="30">
        <f>IFERROR(__xludf.DUMMYFUNCTION("""COMPUTED_VALUE"""),0.26641002694967897)</f>
        <v>0.2664100269</v>
      </c>
      <c r="AU586" s="30">
        <f>IFERROR(__xludf.DUMMYFUNCTION("""COMPUTED_VALUE"""),1.5428293539131626)</f>
        <v>1.542829354</v>
      </c>
      <c r="AV586" s="32">
        <f>IFERROR(__xludf.DUMMYFUNCTION("""COMPUTED_VALUE"""),16.05904097150315)</f>
        <v>16.05904097</v>
      </c>
      <c r="AW586" s="32">
        <f>IFERROR(__xludf.DUMMYFUNCTION("""COMPUTED_VALUE"""),-11.45616676325387)</f>
        <v>-11.45616676</v>
      </c>
      <c r="AX586" s="32">
        <f>IFERROR(__xludf.DUMMYFUNCTION("""COMPUTED_VALUE"""),-0.06667857252455889)</f>
        <v>-0.06667857252</v>
      </c>
      <c r="AY586" s="32">
        <f>IFERROR(__xludf.DUMMYFUNCTION("""COMPUTED_VALUE"""),-44.23503796470324)</f>
        <v>-44.23503796</v>
      </c>
      <c r="AZ586" s="30">
        <f>IFERROR(__xludf.DUMMYFUNCTION("""COMPUTED_VALUE"""),32.77887120144937)</f>
        <v>32.7788712</v>
      </c>
      <c r="BA586" s="30">
        <f>IFERROR(__xludf.DUMMYFUNCTION("""COMPUTED_VALUE"""),2300.0)</f>
        <v>2300</v>
      </c>
    </row>
    <row r="587">
      <c r="A587" s="71" t="str">
        <f>IFERROR(__xludf.DUMMYFUNCTION("""COMPUTED_VALUE"""),"Challenger")</f>
        <v>Challenger</v>
      </c>
      <c r="B587" s="71" t="str">
        <f>IFERROR(__xludf.DUMMYFUNCTION("""COMPUTED_VALUE"""),"RSC007946")</f>
        <v>RSC007946</v>
      </c>
      <c r="C587" s="30" t="str">
        <f>IFERROR(__xludf.DUMMYFUNCTION("""COMPUTED_VALUE"""),"hagerity_tv")</f>
        <v>hagerity_tv</v>
      </c>
      <c r="D587" s="30"/>
      <c r="E587" s="30">
        <f>IFERROR(__xludf.DUMMYFUNCTION("""COMPUTED_VALUE"""),3.0)</f>
        <v>3</v>
      </c>
      <c r="F587" s="30">
        <f>IFERROR(__xludf.DUMMYFUNCTION("""COMPUTED_VALUE"""),1.0)</f>
        <v>1</v>
      </c>
      <c r="G587" s="42">
        <f>IFERROR(__xludf.DUMMYFUNCTION("""COMPUTED_VALUE"""),2.0)</f>
        <v>2</v>
      </c>
      <c r="H587" s="42">
        <f>IFERROR(__xludf.DUMMYFUNCTION("""COMPUTED_VALUE"""),0.3333333333333333)</f>
        <v>0.3333333333</v>
      </c>
      <c r="I587" s="42">
        <f>IFERROR(__xludf.DUMMYFUNCTION("""COMPUTED_VALUE"""),0.5)</f>
        <v>0.5</v>
      </c>
      <c r="J587" s="30">
        <f>IFERROR(__xludf.DUMMYFUNCTION("""COMPUTED_VALUE"""),253.0)</f>
        <v>253</v>
      </c>
      <c r="K587" s="30">
        <f>IFERROR(__xludf.DUMMYFUNCTION("""COMPUTED_VALUE"""),0.3333333333333333)</f>
        <v>0.3333333333</v>
      </c>
      <c r="L587" s="30">
        <f>IFERROR(__xludf.DUMMYFUNCTION("""COMPUTED_VALUE"""),0.6666666666666666)</f>
        <v>0.6666666667</v>
      </c>
      <c r="M587" s="30">
        <f>IFERROR(__xludf.DUMMYFUNCTION("""COMPUTED_VALUE"""),1.3333333333333333)</f>
        <v>1.333333333</v>
      </c>
      <c r="N587" s="30">
        <f>IFERROR(__xludf.DUMMYFUNCTION("""COMPUTED_VALUE"""),0.6666666666666666)</f>
        <v>0.6666666667</v>
      </c>
      <c r="O587" s="30">
        <f>IFERROR(__xludf.DUMMYFUNCTION("""COMPUTED_VALUE"""),417.0)</f>
        <v>417</v>
      </c>
      <c r="P587" s="30">
        <f>IFERROR(__xludf.DUMMYFUNCTION("""COMPUTED_VALUE"""),1.4444444444444446)</f>
        <v>1.444444444</v>
      </c>
      <c r="Q587" s="30">
        <f>IFERROR(__xludf.DUMMYFUNCTION("""COMPUTED_VALUE"""),1.2222222222222223)</f>
        <v>1.222222222</v>
      </c>
      <c r="R587" s="30">
        <f>IFERROR(__xludf.DUMMYFUNCTION("""COMPUTED_VALUE"""),0.7777777777777777)</f>
        <v>0.7777777778</v>
      </c>
      <c r="S587" s="30">
        <f>IFERROR(__xludf.DUMMYFUNCTION("""COMPUTED_VALUE"""),3.3333333333333335)</f>
        <v>3.333333333</v>
      </c>
      <c r="T587" s="30">
        <f>IFERROR(__xludf.DUMMYFUNCTION("""COMPUTED_VALUE"""),378.98967608723706)</f>
        <v>378.9896761</v>
      </c>
      <c r="U587" s="30">
        <f>IFERROR(__xludf.DUMMYFUNCTION("""COMPUTED_VALUE"""),0.9953542392566783)</f>
        <v>0.9953542393</v>
      </c>
      <c r="V587" s="30">
        <f>IFERROR(__xludf.DUMMYFUNCTION("""COMPUTED_VALUE"""),0.7514518002322882)</f>
        <v>0.7514518002</v>
      </c>
      <c r="W587" s="30">
        <f>IFERROR(__xludf.DUMMYFUNCTION("""COMPUTED_VALUE"""),1.240805265195509)</f>
        <v>1.240805265</v>
      </c>
      <c r="X587" s="30">
        <f>IFERROR(__xludf.DUMMYFUNCTION("""COMPUTED_VALUE"""),2.8559814169570266)</f>
        <v>2.855981417</v>
      </c>
      <c r="Y587" s="30">
        <f>IFERROR(__xludf.DUMMYFUNCTION("""COMPUTED_VALUE"""),341.598959005463)</f>
        <v>341.598959</v>
      </c>
      <c r="Z587" s="30">
        <f>IFERROR(__xludf.DUMMYFUNCTION("""COMPUTED_VALUE"""),0.6916161225104315)</f>
        <v>0.6916161225</v>
      </c>
      <c r="AA587" s="30">
        <f>IFERROR(__xludf.DUMMYFUNCTION("""COMPUTED_VALUE"""),0.5199380565234225)</f>
        <v>0.5199380565</v>
      </c>
      <c r="AB587" s="30">
        <f>IFERROR(__xludf.DUMMYFUNCTION("""COMPUTED_VALUE"""),1.3943304512410204)</f>
        <v>1.394330451</v>
      </c>
      <c r="AC587" s="30">
        <f>IFERROR(__xludf.DUMMYFUNCTION("""COMPUTED_VALUE"""),2.3051576547511505)</f>
        <v>2.305157655</v>
      </c>
      <c r="AD587" s="30">
        <f>IFERROR(__xludf.DUMMYFUNCTION("""COMPUTED_VALUE"""),0.7406345755168239)</f>
        <v>0.7406345755</v>
      </c>
      <c r="AE587" s="30">
        <f>IFERROR(__xludf.DUMMYFUNCTION("""COMPUTED_VALUE"""),0.4819629307127752)</f>
        <v>0.4819629307</v>
      </c>
      <c r="AF587" s="30">
        <f>IFERROR(__xludf.DUMMYFUNCTION("""COMPUTED_VALUE"""),1.2822040208488454)</f>
        <v>1.282204021</v>
      </c>
      <c r="AG587" s="30">
        <f>IFERROR(__xludf.DUMMYFUNCTION("""COMPUTED_VALUE"""),0.9562534707225272)</f>
        <v>0.9562534707</v>
      </c>
      <c r="AH587" s="30">
        <f>IFERROR(__xludf.DUMMYFUNCTION("""COMPUTED_VALUE"""),0.2892065387773382)</f>
        <v>0.2892065388</v>
      </c>
      <c r="AI587" s="30">
        <f>IFERROR(__xludf.DUMMYFUNCTION("""COMPUTED_VALUE"""),1.1002938241093765)</f>
        <v>1.100293824</v>
      </c>
      <c r="AJ587" s="30">
        <f>IFERROR(__xludf.DUMMYFUNCTION("""COMPUTED_VALUE"""),1.4511863088292494)</f>
        <v>1.451186309</v>
      </c>
      <c r="AK587" s="30">
        <f>IFERROR(__xludf.DUMMYFUNCTION("""COMPUTED_VALUE"""),1.626481195260175)</f>
        <v>1.626481195</v>
      </c>
      <c r="AL587" s="30">
        <f>IFERROR(__xludf.DUMMYFUNCTION("""COMPUTED_VALUE"""),0.6268330733229328)</f>
        <v>0.6268330733</v>
      </c>
      <c r="AM587" s="30">
        <f>IFERROR(__xludf.DUMMYFUNCTION("""COMPUTED_VALUE"""),1.1671411142740953)</f>
        <v>1.167141114</v>
      </c>
      <c r="AN587" s="30">
        <f>IFERROR(__xludf.DUMMYFUNCTION("""COMPUTED_VALUE"""),0.7776970930986681)</f>
        <v>0.7776970931</v>
      </c>
      <c r="AO587" s="30">
        <f>IFERROR(__xludf.DUMMYFUNCTION("""COMPUTED_VALUE"""),0.4560937713313752)</f>
        <v>0.4560937713</v>
      </c>
      <c r="AP587" s="30">
        <f>IFERROR(__xludf.DUMMYFUNCTION("""COMPUTED_VALUE"""),1.2931142720891025)</f>
        <v>1.293114272</v>
      </c>
      <c r="AQ587" s="30">
        <f>IFERROR(__xludf.DUMMYFUNCTION("""COMPUTED_VALUE"""),1.105845317718609)</f>
        <v>1.105845318</v>
      </c>
      <c r="AR587" s="30">
        <f>IFERROR(__xludf.DUMMYFUNCTION("""COMPUTED_VALUE"""),0.28016172764001873)</f>
        <v>0.2801617276</v>
      </c>
      <c r="AS587" s="30">
        <f>IFERROR(__xludf.DUMMYFUNCTION("""COMPUTED_VALUE"""),7.0)</f>
        <v>7</v>
      </c>
      <c r="AT587" s="30">
        <f>IFERROR(__xludf.DUMMYFUNCTION("""COMPUTED_VALUE"""),0.2559667453991127)</f>
        <v>0.2559667454</v>
      </c>
      <c r="AU587" s="30">
        <f>IFERROR(__xludf.DUMMYFUNCTION("""COMPUTED_VALUE"""),0.9229783496765248)</f>
        <v>0.9229783497</v>
      </c>
      <c r="AV587" s="32">
        <f>IFERROR(__xludf.DUMMYFUNCTION("""COMPUTED_VALUE"""),-0.11799213732769687)</f>
        <v>-0.1179921373</v>
      </c>
      <c r="AW587" s="32">
        <f>IFERROR(__xludf.DUMMYFUNCTION("""COMPUTED_VALUE"""),-44.45133656896826)</f>
        <v>-44.45133657</v>
      </c>
      <c r="AX587" s="32">
        <f>IFERROR(__xludf.DUMMYFUNCTION("""COMPUTED_VALUE"""),-5.268138601174421)</f>
        <v>-5.268138601</v>
      </c>
      <c r="AY587" s="32">
        <f>IFERROR(__xludf.DUMMYFUNCTION("""COMPUTED_VALUE"""),-73.92390306818693)</f>
        <v>-73.92390307</v>
      </c>
      <c r="AZ587" s="30">
        <f>IFERROR(__xludf.DUMMYFUNCTION("""COMPUTED_VALUE"""),29.472566499218672)</f>
        <v>29.4725665</v>
      </c>
      <c r="BA587" s="30">
        <f>IFERROR(__xludf.DUMMYFUNCTION("""COMPUTED_VALUE"""),2300.0)</f>
        <v>2300</v>
      </c>
    </row>
    <row r="588">
      <c r="A588" s="71" t="str">
        <f>IFERROR(__xludf.DUMMYFUNCTION("""COMPUTED_VALUE"""),"Challenger")</f>
        <v>Challenger</v>
      </c>
      <c r="B588" s="71" t="str">
        <f>IFERROR(__xludf.DUMMYFUNCTION("""COMPUTED_VALUE"""),"RSC006355")</f>
        <v>RSC006355</v>
      </c>
      <c r="C588" s="30" t="str">
        <f>IFERROR(__xludf.DUMMYFUNCTION("""COMPUTED_VALUE"""),"Heartlesswins")</f>
        <v>Heartlesswins</v>
      </c>
      <c r="D588" s="30" t="str">
        <f>IFERROR(__xludf.DUMMYFUNCTION("""COMPUTED_VALUE"""),"Lilac")</f>
        <v>Lilac</v>
      </c>
      <c r="E588" s="30">
        <f>IFERROR(__xludf.DUMMYFUNCTION("""COMPUTED_VALUE"""),41.0)</f>
        <v>41</v>
      </c>
      <c r="F588" s="30">
        <f>IFERROR(__xludf.DUMMYFUNCTION("""COMPUTED_VALUE"""),24.0)</f>
        <v>24</v>
      </c>
      <c r="G588" s="42">
        <f>IFERROR(__xludf.DUMMYFUNCTION("""COMPUTED_VALUE"""),17.0)</f>
        <v>17</v>
      </c>
      <c r="H588" s="42">
        <f>IFERROR(__xludf.DUMMYFUNCTION("""COMPUTED_VALUE"""),0.5853658536585366)</f>
        <v>0.5853658537</v>
      </c>
      <c r="I588" s="42">
        <f>IFERROR(__xludf.DUMMYFUNCTION("""COMPUTED_VALUE"""),0.37984496124031003)</f>
        <v>0.3798449612</v>
      </c>
      <c r="J588" s="30">
        <f>IFERROR(__xludf.DUMMYFUNCTION("""COMPUTED_VALUE"""),390.7560975609756)</f>
        <v>390.7560976</v>
      </c>
      <c r="K588" s="30">
        <f>IFERROR(__xludf.DUMMYFUNCTION("""COMPUTED_VALUE"""),1.1951219512195121)</f>
        <v>1.195121951</v>
      </c>
      <c r="L588" s="30">
        <f>IFERROR(__xludf.DUMMYFUNCTION("""COMPUTED_VALUE"""),0.7560975609756098)</f>
        <v>0.756097561</v>
      </c>
      <c r="M588" s="30">
        <f>IFERROR(__xludf.DUMMYFUNCTION("""COMPUTED_VALUE"""),1.1219512195121952)</f>
        <v>1.12195122</v>
      </c>
      <c r="N588" s="30">
        <f>IFERROR(__xludf.DUMMYFUNCTION("""COMPUTED_VALUE"""),3.1463414634146343)</f>
        <v>3.146341463</v>
      </c>
      <c r="O588" s="30">
        <f>IFERROR(__xludf.DUMMYFUNCTION("""COMPUTED_VALUE"""),338.99186991869914)</f>
        <v>338.9918699</v>
      </c>
      <c r="P588" s="30">
        <f>IFERROR(__xludf.DUMMYFUNCTION("""COMPUTED_VALUE"""),0.6910569105691057)</f>
        <v>0.6910569106</v>
      </c>
      <c r="Q588" s="30">
        <f>IFERROR(__xludf.DUMMYFUNCTION("""COMPUTED_VALUE"""),0.5121951219512196)</f>
        <v>0.512195122</v>
      </c>
      <c r="R588" s="30">
        <f>IFERROR(__xludf.DUMMYFUNCTION("""COMPUTED_VALUE"""),1.3739837398373989)</f>
        <v>1.37398374</v>
      </c>
      <c r="S588" s="30">
        <f>IFERROR(__xludf.DUMMYFUNCTION("""COMPUTED_VALUE"""),2.3983739837398375)</f>
        <v>2.398373984</v>
      </c>
      <c r="T588" s="30">
        <f>IFERROR(__xludf.DUMMYFUNCTION("""COMPUTED_VALUE"""),330.30979721668996)</f>
        <v>330.3097972</v>
      </c>
      <c r="U588" s="30">
        <f>IFERROR(__xludf.DUMMYFUNCTION("""COMPUTED_VALUE"""),0.7659884007425932)</f>
        <v>0.7659884007</v>
      </c>
      <c r="V588" s="30">
        <f>IFERROR(__xludf.DUMMYFUNCTION("""COMPUTED_VALUE"""),0.5234111628127969)</f>
        <v>0.5234111628</v>
      </c>
      <c r="W588" s="30">
        <f>IFERROR(__xludf.DUMMYFUNCTION("""COMPUTED_VALUE"""),1.2043110726128907)</f>
        <v>1.204311073</v>
      </c>
      <c r="X588" s="30">
        <f>IFERROR(__xludf.DUMMYFUNCTION("""COMPUTED_VALUE"""),2.4113771518337153)</f>
        <v>2.411377152</v>
      </c>
      <c r="Y588" s="30">
        <f>IFERROR(__xludf.DUMMYFUNCTION("""COMPUTED_VALUE"""),334.4636834624381)</f>
        <v>334.4636835</v>
      </c>
      <c r="Z588" s="30">
        <f>IFERROR(__xludf.DUMMYFUNCTION("""COMPUTED_VALUE"""),0.7844286176339974)</f>
        <v>0.7844286176</v>
      </c>
      <c r="AA588" s="30">
        <f>IFERROR(__xludf.DUMMYFUNCTION("""COMPUTED_VALUE"""),0.5579608569458324)</f>
        <v>0.5579608569</v>
      </c>
      <c r="AB588" s="30">
        <f>IFERROR(__xludf.DUMMYFUNCTION("""COMPUTED_VALUE"""),1.2102622150834148)</f>
        <v>1.210262215</v>
      </c>
      <c r="AC588" s="30">
        <f>IFERROR(__xludf.DUMMYFUNCTION("""COMPUTED_VALUE"""),2.43151874481853)</f>
        <v>2.431518745</v>
      </c>
      <c r="AD588" s="30">
        <f>IFERROR(__xludf.DUMMYFUNCTION("""COMPUTED_VALUE"""),1.168306506451722)</f>
        <v>1.168306506</v>
      </c>
      <c r="AE588" s="30">
        <f>IFERROR(__xludf.DUMMYFUNCTION("""COMPUTED_VALUE"""),1.5235573057294272)</f>
        <v>1.523557306</v>
      </c>
      <c r="AF588" s="30">
        <f>IFERROR(__xludf.DUMMYFUNCTION("""COMPUTED_VALUE"""),1.3551086094360427)</f>
        <v>1.355108609</v>
      </c>
      <c r="AG588" s="30">
        <f>IFERROR(__xludf.DUMMYFUNCTION("""COMPUTED_VALUE"""),0.9270315188968096)</f>
        <v>0.9270315189</v>
      </c>
      <c r="AH588" s="30">
        <f>IFERROR(__xludf.DUMMYFUNCTION("""COMPUTED_VALUE"""),1.2939819897006195)</f>
        <v>1.29398199</v>
      </c>
      <c r="AI588" s="30">
        <f>IFERROR(__xludf.DUMMYFUNCTION("""COMPUTED_VALUE"""),1.026284635742468)</f>
        <v>1.026284636</v>
      </c>
      <c r="AJ588" s="30">
        <f>IFERROR(__xludf.DUMMYFUNCTION("""COMPUTED_VALUE"""),0.902176729959821)</f>
        <v>0.90217673</v>
      </c>
      <c r="AK588" s="30">
        <f>IFERROR(__xludf.DUMMYFUNCTION("""COMPUTED_VALUE"""),0.9785712616419899)</f>
        <v>0.9785712616</v>
      </c>
      <c r="AL588" s="30">
        <f>IFERROR(__xludf.DUMMYFUNCTION("""COMPUTED_VALUE"""),1.1408877416167766)</f>
        <v>1.140887742</v>
      </c>
      <c r="AM588" s="30">
        <f>IFERROR(__xludf.DUMMYFUNCTION("""COMPUTED_VALUE"""),0.9946075759720997)</f>
        <v>0.994607576</v>
      </c>
      <c r="AN588" s="30">
        <f>IFERROR(__xludf.DUMMYFUNCTION("""COMPUTED_VALUE"""),1.2011457754298431)</f>
        <v>1.201145775</v>
      </c>
      <c r="AO588" s="30">
        <f>IFERROR(__xludf.DUMMYFUNCTION("""COMPUTED_VALUE"""),1.6352630337978573)</f>
        <v>1.635263034</v>
      </c>
      <c r="AP588" s="30">
        <f>IFERROR(__xludf.DUMMYFUNCTION("""COMPUTED_VALUE"""),1.4665808207839823)</f>
        <v>1.466580821</v>
      </c>
      <c r="AQ588" s="30">
        <f>IFERROR(__xludf.DUMMYFUNCTION("""COMPUTED_VALUE"""),0.9305283771046833)</f>
        <v>0.9305283771</v>
      </c>
      <c r="AR588" s="30">
        <f>IFERROR(__xludf.DUMMYFUNCTION("""COMPUTED_VALUE"""),1.3222266902035031)</f>
        <v>1.32222669</v>
      </c>
      <c r="AS588" s="30">
        <f>IFERROR(__xludf.DUMMYFUNCTION("""COMPUTED_VALUE"""),118.0)</f>
        <v>118</v>
      </c>
      <c r="AT588" s="30">
        <f>IFERROR(__xludf.DUMMYFUNCTION("""COMPUTED_VALUE"""),0.6269511002367666)</f>
        <v>0.6269511002</v>
      </c>
      <c r="AU588" s="30">
        <f>IFERROR(__xludf.DUMMYFUNCTION("""COMPUTED_VALUE"""),4.593321249524264)</f>
        <v>4.59332125</v>
      </c>
      <c r="AV588" s="32">
        <f>IFERROR(__xludf.DUMMYFUNCTION("""COMPUTED_VALUE"""),95.67157375152846)</f>
        <v>95.67157375</v>
      </c>
      <c r="AW588" s="32">
        <f>IFERROR(__xludf.DUMMYFUNCTION("""COMPUTED_VALUE"""),29.53320780850924)</f>
        <v>29.53320781</v>
      </c>
      <c r="AX588" s="32">
        <f>IFERROR(__xludf.DUMMYFUNCTION("""COMPUTED_VALUE"""),75.69748839452286)</f>
        <v>75.69748839</v>
      </c>
      <c r="AY588" s="32">
        <f>IFERROR(__xludf.DUMMYFUNCTION("""COMPUTED_VALUE"""),6.579010389337161)</f>
        <v>6.579010389</v>
      </c>
      <c r="AZ588" s="30">
        <f>IFERROR(__xludf.DUMMYFUNCTION("""COMPUTED_VALUE"""),22.95419741917208)</f>
        <v>22.95419742</v>
      </c>
      <c r="BA588" s="30">
        <f>IFERROR(__xludf.DUMMYFUNCTION("""COMPUTED_VALUE"""),2300.0)</f>
        <v>2300</v>
      </c>
    </row>
    <row r="589">
      <c r="A589" s="71" t="str">
        <f>IFERROR(__xludf.DUMMYFUNCTION("""COMPUTED_VALUE"""),"Challenger")</f>
        <v>Challenger</v>
      </c>
      <c r="B589" s="71" t="str">
        <f>IFERROR(__xludf.DUMMYFUNCTION("""COMPUTED_VALUE"""),"RSC005219")</f>
        <v>RSC005219</v>
      </c>
      <c r="C589" s="30" t="str">
        <f>IFERROR(__xludf.DUMMYFUNCTION("""COMPUTED_VALUE"""),"iargue")</f>
        <v>iargue</v>
      </c>
      <c r="D589" s="30" t="str">
        <f>IFERROR(__xludf.DUMMYFUNCTION("""COMPUTED_VALUE"""),"Shade")</f>
        <v>Shade</v>
      </c>
      <c r="E589" s="30">
        <f>IFERROR(__xludf.DUMMYFUNCTION("""COMPUTED_VALUE"""),31.0)</f>
        <v>31</v>
      </c>
      <c r="F589" s="30">
        <f>IFERROR(__xludf.DUMMYFUNCTION("""COMPUTED_VALUE"""),5.0)</f>
        <v>5</v>
      </c>
      <c r="G589" s="42">
        <f>IFERROR(__xludf.DUMMYFUNCTION("""COMPUTED_VALUE"""),26.0)</f>
        <v>26</v>
      </c>
      <c r="H589" s="42">
        <f>IFERROR(__xludf.DUMMYFUNCTION("""COMPUTED_VALUE"""),0.16129032258064516)</f>
        <v>0.1612903226</v>
      </c>
      <c r="I589" s="42">
        <f>IFERROR(__xludf.DUMMYFUNCTION("""COMPUTED_VALUE"""),0.18000000000000002)</f>
        <v>0.18</v>
      </c>
      <c r="J589" s="30">
        <f>IFERROR(__xludf.DUMMYFUNCTION("""COMPUTED_VALUE"""),221.19354838709677)</f>
        <v>221.1935484</v>
      </c>
      <c r="K589" s="30">
        <f>IFERROR(__xludf.DUMMYFUNCTION("""COMPUTED_VALUE"""),0.2903225806451613)</f>
        <v>0.2903225806</v>
      </c>
      <c r="L589" s="30">
        <f>IFERROR(__xludf.DUMMYFUNCTION("""COMPUTED_VALUE"""),0.22580645161290322)</f>
        <v>0.2258064516</v>
      </c>
      <c r="M589" s="30">
        <f>IFERROR(__xludf.DUMMYFUNCTION("""COMPUTED_VALUE"""),0.9032258064516129)</f>
        <v>0.9032258065</v>
      </c>
      <c r="N589" s="30">
        <f>IFERROR(__xludf.DUMMYFUNCTION("""COMPUTED_VALUE"""),1.6129032258064515)</f>
        <v>1.612903226</v>
      </c>
      <c r="O589" s="30">
        <f>IFERROR(__xludf.DUMMYFUNCTION("""COMPUTED_VALUE"""),376.53763440860206)</f>
        <v>376.5376344</v>
      </c>
      <c r="P589" s="30">
        <f>IFERROR(__xludf.DUMMYFUNCTION("""COMPUTED_VALUE"""),0.9892473118279569)</f>
        <v>0.9892473118</v>
      </c>
      <c r="Q589" s="30">
        <f>IFERROR(__xludf.DUMMYFUNCTION("""COMPUTED_VALUE"""),0.7204301075268815)</f>
        <v>0.7204301075</v>
      </c>
      <c r="R589" s="30">
        <f>IFERROR(__xludf.DUMMYFUNCTION("""COMPUTED_VALUE"""),1.290322580645161)</f>
        <v>1.290322581</v>
      </c>
      <c r="S589" s="30">
        <f>IFERROR(__xludf.DUMMYFUNCTION("""COMPUTED_VALUE"""),2.602150537634409)</f>
        <v>2.602150538</v>
      </c>
      <c r="T589" s="30">
        <f>IFERROR(__xludf.DUMMYFUNCTION("""COMPUTED_VALUE"""),346.168484441428)</f>
        <v>346.1684844</v>
      </c>
      <c r="U589" s="30">
        <f>IFERROR(__xludf.DUMMYFUNCTION("""COMPUTED_VALUE"""),0.8271496905806961)</f>
        <v>0.8271496906</v>
      </c>
      <c r="V589" s="30">
        <f>IFERROR(__xludf.DUMMYFUNCTION("""COMPUTED_VALUE"""),0.5907472736845677)</f>
        <v>0.5907472737</v>
      </c>
      <c r="W589" s="30">
        <f>IFERROR(__xludf.DUMMYFUNCTION("""COMPUTED_VALUE"""),1.238290606764215)</f>
        <v>1.238290607</v>
      </c>
      <c r="X589" s="30">
        <f>IFERROR(__xludf.DUMMYFUNCTION("""COMPUTED_VALUE"""),2.5314845903439203)</f>
        <v>2.53148459</v>
      </c>
      <c r="Y589" s="30">
        <f>IFERROR(__xludf.DUMMYFUNCTION("""COMPUTED_VALUE"""),331.27685371643565)</f>
        <v>331.2768537</v>
      </c>
      <c r="Z589" s="30">
        <f>IFERROR(__xludf.DUMMYFUNCTION("""COMPUTED_VALUE"""),0.7430439533977105)</f>
        <v>0.7430439534</v>
      </c>
      <c r="AA589" s="30">
        <f>IFERROR(__xludf.DUMMYFUNCTION("""COMPUTED_VALUE"""),0.5247256245239705)</f>
        <v>0.5247256245</v>
      </c>
      <c r="AB589" s="30">
        <f>IFERROR(__xludf.DUMMYFUNCTION("""COMPUTED_VALUE"""),1.2111920044413222)</f>
        <v>1.211192004</v>
      </c>
      <c r="AC589" s="30">
        <f>IFERROR(__xludf.DUMMYFUNCTION("""COMPUTED_VALUE"""),2.45177265779502)</f>
        <v>2.451772658</v>
      </c>
      <c r="AD589" s="30">
        <f>IFERROR(__xludf.DUMMYFUNCTION("""COMPUTED_VALUE"""),0.6676999793545271)</f>
        <v>0.6676999794</v>
      </c>
      <c r="AE589" s="30">
        <f>IFERROR(__xludf.DUMMYFUNCTION("""COMPUTED_VALUE"""),0.39072060181313073)</f>
        <v>0.3907206018</v>
      </c>
      <c r="AF589" s="30">
        <f>IFERROR(__xludf.DUMMYFUNCTION("""COMPUTED_VALUE"""),0.43033242719517295)</f>
        <v>0.4303324272</v>
      </c>
      <c r="AG589" s="30">
        <f>IFERROR(__xludf.DUMMYFUNCTION("""COMPUTED_VALUE"""),0.7457329664822526)</f>
        <v>0.7457329665</v>
      </c>
      <c r="AH589" s="30">
        <f>IFERROR(__xludf.DUMMYFUNCTION("""COMPUTED_VALUE"""),0.6578518692091957)</f>
        <v>0.6578518692</v>
      </c>
      <c r="AI589" s="30">
        <f>IFERROR(__xludf.DUMMYFUNCTION("""COMPUTED_VALUE"""),1.0877293899708325)</f>
        <v>1.08772939</v>
      </c>
      <c r="AJ589" s="30">
        <f>IFERROR(__xludf.DUMMYFUNCTION("""COMPUTED_VALUE"""),1.1959713254966715)</f>
        <v>1.195971325</v>
      </c>
      <c r="AK589" s="30">
        <f>IFERROR(__xludf.DUMMYFUNCTION("""COMPUTED_VALUE"""),1.2195233725472232)</f>
        <v>1.219523373</v>
      </c>
      <c r="AL589" s="30">
        <f>IFERROR(__xludf.DUMMYFUNCTION("""COMPUTED_VALUE"""),1.0420191945224482)</f>
        <v>1.042019195</v>
      </c>
      <c r="AM589" s="30">
        <f>IFERROR(__xludf.DUMMYFUNCTION("""COMPUTED_VALUE"""),1.027914824194481)</f>
        <v>1.027914824</v>
      </c>
      <c r="AN589" s="30">
        <f>IFERROR(__xludf.DUMMYFUNCTION("""COMPUTED_VALUE"""),0.679927192066501)</f>
        <v>0.6799271921</v>
      </c>
      <c r="AO589" s="30">
        <f>IFERROR(__xludf.DUMMYFUNCTION("""COMPUTED_VALUE"""),0.3972429621273268)</f>
        <v>0.3972429621</v>
      </c>
      <c r="AP589" s="30">
        <f>IFERROR(__xludf.DUMMYFUNCTION("""COMPUTED_VALUE"""),0.4379903179656638)</f>
        <v>0.437990318</v>
      </c>
      <c r="AQ589" s="30">
        <f>IFERROR(__xludf.DUMMYFUNCTION("""COMPUTED_VALUE"""),0.749121021680348)</f>
        <v>0.7491210217</v>
      </c>
      <c r="AR589" s="30">
        <f>IFERROR(__xludf.DUMMYFUNCTION("""COMPUTED_VALUE"""),0.677810631387142)</f>
        <v>0.6778106314</v>
      </c>
      <c r="AS589" s="30">
        <f>IFERROR(__xludf.DUMMYFUNCTION("""COMPUTED_VALUE"""),34.0)</f>
        <v>34</v>
      </c>
      <c r="AT589" s="30">
        <f>IFERROR(__xludf.DUMMYFUNCTION("""COMPUTED_VALUE"""),0.18412299244063093)</f>
        <v>0.1841229924</v>
      </c>
      <c r="AU589" s="30">
        <f>IFERROR(__xludf.DUMMYFUNCTION("""COMPUTED_VALUE"""),0.7678252119958925)</f>
        <v>0.767825212</v>
      </c>
      <c r="AV589" s="32">
        <f>IFERROR(__xludf.DUMMYFUNCTION("""COMPUTED_VALUE"""),-4.167219174217948)</f>
        <v>-4.167219174</v>
      </c>
      <c r="AW589" s="32">
        <f>IFERROR(__xludf.DUMMYFUNCTION("""COMPUTED_VALUE"""),-66.09692507089035)</f>
        <v>-66.09692507</v>
      </c>
      <c r="AX589" s="32">
        <f>IFERROR(__xludf.DUMMYFUNCTION("""COMPUTED_VALUE"""),-0.7586001480905935)</f>
        <v>-0.7586001481</v>
      </c>
      <c r="AY589" s="32">
        <f>IFERROR(__xludf.DUMMYFUNCTION("""COMPUTED_VALUE"""),-47.25721035896713)</f>
        <v>-47.25721036</v>
      </c>
      <c r="AZ589" s="30">
        <f>IFERROR(__xludf.DUMMYFUNCTION("""COMPUTED_VALUE"""),18.83971471192322)</f>
        <v>18.83971471</v>
      </c>
      <c r="BA589" s="30">
        <f>IFERROR(__xludf.DUMMYFUNCTION("""COMPUTED_VALUE"""),2300.0)</f>
        <v>2300</v>
      </c>
    </row>
    <row r="590">
      <c r="A590" s="71" t="str">
        <f>IFERROR(__xludf.DUMMYFUNCTION("""COMPUTED_VALUE"""),"Challenger")</f>
        <v>Challenger</v>
      </c>
      <c r="B590" s="71" t="str">
        <f>IFERROR(__xludf.DUMMYFUNCTION("""COMPUTED_VALUE"""),"RSC007568")</f>
        <v>RSC007568</v>
      </c>
      <c r="C590" s="30" t="str">
        <f>IFERROR(__xludf.DUMMYFUNCTION("""COMPUTED_VALUE"""),"Chills1912")</f>
        <v>Chills1912</v>
      </c>
      <c r="D590" s="30" t="str">
        <f>IFERROR(__xludf.DUMMYFUNCTION("""COMPUTED_VALUE"""),"Threshers")</f>
        <v>Threshers</v>
      </c>
      <c r="E590" s="30">
        <f>IFERROR(__xludf.DUMMYFUNCTION("""COMPUTED_VALUE"""),11.0)</f>
        <v>11</v>
      </c>
      <c r="F590" s="30">
        <f>IFERROR(__xludf.DUMMYFUNCTION("""COMPUTED_VALUE"""),4.0)</f>
        <v>4</v>
      </c>
      <c r="G590" s="42">
        <f>IFERROR(__xludf.DUMMYFUNCTION("""COMPUTED_VALUE"""),7.0)</f>
        <v>7</v>
      </c>
      <c r="H590" s="42">
        <f>IFERROR(__xludf.DUMMYFUNCTION("""COMPUTED_VALUE"""),0.36363636363636365)</f>
        <v>0.3636363636</v>
      </c>
      <c r="I590" s="42">
        <f>IFERROR(__xludf.DUMMYFUNCTION("""COMPUTED_VALUE"""),0.3157894736842105)</f>
        <v>0.3157894737</v>
      </c>
      <c r="J590" s="30">
        <f>IFERROR(__xludf.DUMMYFUNCTION("""COMPUTED_VALUE"""),300.3636363636364)</f>
        <v>300.3636364</v>
      </c>
      <c r="K590" s="30">
        <f>IFERROR(__xludf.DUMMYFUNCTION("""COMPUTED_VALUE"""),0.5454545454545454)</f>
        <v>0.5454545455</v>
      </c>
      <c r="L590" s="30">
        <f>IFERROR(__xludf.DUMMYFUNCTION("""COMPUTED_VALUE"""),0.09090909090909091)</f>
        <v>0.09090909091</v>
      </c>
      <c r="M590" s="30">
        <f>IFERROR(__xludf.DUMMYFUNCTION("""COMPUTED_VALUE"""),2.1818181818181817)</f>
        <v>2.181818182</v>
      </c>
      <c r="N590" s="30">
        <f>IFERROR(__xludf.DUMMYFUNCTION("""COMPUTED_VALUE"""),1.7272727272727273)</f>
        <v>1.727272727</v>
      </c>
      <c r="O590" s="30">
        <f>IFERROR(__xludf.DUMMYFUNCTION("""COMPUTED_VALUE"""),333.45454545454544)</f>
        <v>333.4545455</v>
      </c>
      <c r="P590" s="30">
        <f>IFERROR(__xludf.DUMMYFUNCTION("""COMPUTED_VALUE"""),0.7272727272727273)</f>
        <v>0.7272727273</v>
      </c>
      <c r="Q590" s="30">
        <f>IFERROR(__xludf.DUMMYFUNCTION("""COMPUTED_VALUE"""),0.6363636363636362)</f>
        <v>0.6363636364</v>
      </c>
      <c r="R590" s="30">
        <f>IFERROR(__xludf.DUMMYFUNCTION("""COMPUTED_VALUE"""),1.0909090909090908)</f>
        <v>1.090909091</v>
      </c>
      <c r="S590" s="30">
        <f>IFERROR(__xludf.DUMMYFUNCTION("""COMPUTED_VALUE"""),3.303030303030303)</f>
        <v>3.303030303</v>
      </c>
      <c r="T590" s="30">
        <f>IFERROR(__xludf.DUMMYFUNCTION("""COMPUTED_VALUE"""),359.8331997236733)</f>
        <v>359.8331997</v>
      </c>
      <c r="U590" s="30">
        <f>IFERROR(__xludf.DUMMYFUNCTION("""COMPUTED_VALUE"""),0.8933127086810355)</f>
        <v>0.8933127087</v>
      </c>
      <c r="V590" s="30">
        <f>IFERROR(__xludf.DUMMYFUNCTION("""COMPUTED_VALUE"""),0.5942898896789447)</f>
        <v>0.5942898897</v>
      </c>
      <c r="W590" s="30">
        <f>IFERROR(__xludf.DUMMYFUNCTION("""COMPUTED_VALUE"""),1.2368674758686053)</f>
        <v>1.236867476</v>
      </c>
      <c r="X590" s="30">
        <f>IFERROR(__xludf.DUMMYFUNCTION("""COMPUTED_VALUE"""),2.8432468978387964)</f>
        <v>2.843246898</v>
      </c>
      <c r="Y590" s="30">
        <f>IFERROR(__xludf.DUMMYFUNCTION("""COMPUTED_VALUE"""),323.94122701770584)</f>
        <v>323.941227</v>
      </c>
      <c r="Z590" s="30">
        <f>IFERROR(__xludf.DUMMYFUNCTION("""COMPUTED_VALUE"""),0.6375189190754086)</f>
        <v>0.6375189191</v>
      </c>
      <c r="AA590" s="30">
        <f>IFERROR(__xludf.DUMMYFUNCTION("""COMPUTED_VALUE"""),0.4546027041797412)</f>
        <v>0.4546027042</v>
      </c>
      <c r="AB590" s="30">
        <f>IFERROR(__xludf.DUMMYFUNCTION("""COMPUTED_VALUE"""),1.352056239352198)</f>
        <v>1.352056239</v>
      </c>
      <c r="AC590" s="30">
        <f>IFERROR(__xludf.DUMMYFUNCTION("""COMPUTED_VALUE"""),2.2740504878611474)</f>
        <v>2.274050488</v>
      </c>
      <c r="AD590" s="30">
        <f>IFERROR(__xludf.DUMMYFUNCTION("""COMPUTED_VALUE"""),0.9272164556789162)</f>
        <v>0.9272164557</v>
      </c>
      <c r="AE590" s="30">
        <f>IFERROR(__xludf.DUMMYFUNCTION("""COMPUTED_VALUE"""),0.8555895819462365)</f>
        <v>0.8555895819</v>
      </c>
      <c r="AF590" s="30">
        <f>IFERROR(__xludf.DUMMYFUNCTION("""COMPUTED_VALUE"""),0.1999748133331543)</f>
        <v>0.1999748133</v>
      </c>
      <c r="AG590" s="30">
        <f>IFERROR(__xludf.DUMMYFUNCTION("""COMPUTED_VALUE"""),1.613703719057975)</f>
        <v>1.613703719</v>
      </c>
      <c r="AH590" s="30">
        <f>IFERROR(__xludf.DUMMYFUNCTION("""COMPUTED_VALUE"""),0.7595577743295002)</f>
        <v>0.7595577743</v>
      </c>
      <c r="AI590" s="30">
        <f>IFERROR(__xludf.DUMMYFUNCTION("""COMPUTED_VALUE"""),0.9266919942646069)</f>
        <v>0.9266919943</v>
      </c>
      <c r="AJ590" s="30">
        <f>IFERROR(__xludf.DUMMYFUNCTION("""COMPUTED_VALUE"""),0.8141300579351837)</f>
        <v>0.8141300579</v>
      </c>
      <c r="AK590" s="30">
        <f>IFERROR(__xludf.DUMMYFUNCTION("""COMPUTED_VALUE"""),1.0707966724916373)</f>
        <v>1.070796672</v>
      </c>
      <c r="AL590" s="30">
        <f>IFERROR(__xludf.DUMMYFUNCTION("""COMPUTED_VALUE"""),0.8819935136082275)</f>
        <v>0.8819935136</v>
      </c>
      <c r="AM590" s="30">
        <f>IFERROR(__xludf.DUMMYFUNCTION("""COMPUTED_VALUE"""),1.161710685604193)</f>
        <v>1.161710686</v>
      </c>
      <c r="AN590" s="30">
        <f>IFERROR(__xludf.DUMMYFUNCTION("""COMPUTED_VALUE"""),0.9232882485080847)</f>
        <v>0.9232882485</v>
      </c>
      <c r="AO590" s="30">
        <f>IFERROR(__xludf.DUMMYFUNCTION("""COMPUTED_VALUE"""),0.7463352621786139)</f>
        <v>0.7463352622</v>
      </c>
      <c r="AP590" s="30">
        <f>IFERROR(__xludf.DUMMYFUNCTION("""COMPUTED_VALUE"""),0.1763337643757867)</f>
        <v>0.1763337644</v>
      </c>
      <c r="AQ590" s="30">
        <f>IFERROR(__xludf.DUMMYFUNCTION("""COMPUTED_VALUE"""),1.8095650653577238)</f>
        <v>1.809565065</v>
      </c>
      <c r="AR590" s="30">
        <f>IFERROR(__xludf.DUMMYFUNCTION("""COMPUTED_VALUE"""),0.7258735670673213)</f>
        <v>0.7258735671</v>
      </c>
      <c r="AS590" s="30">
        <f>IFERROR(__xludf.DUMMYFUNCTION("""COMPUTED_VALUE"""),16.0)</f>
        <v>16</v>
      </c>
      <c r="AT590" s="30">
        <f>IFERROR(__xludf.DUMMYFUNCTION("""COMPUTED_VALUE"""),0.3572530455218765)</f>
        <v>0.3572530455</v>
      </c>
      <c r="AU590" s="30">
        <f>IFERROR(__xludf.DUMMYFUNCTION("""COMPUTED_VALUE"""),1.665133144872296)</f>
        <v>1.665133145</v>
      </c>
      <c r="AV590" s="32">
        <f>IFERROR(__xludf.DUMMYFUNCTION("""COMPUTED_VALUE"""),19.250957193560435)</f>
        <v>19.25095719</v>
      </c>
      <c r="AW590" s="32">
        <f>IFERROR(__xludf.DUMMYFUNCTION("""COMPUTED_VALUE"""),-9.144468959207684)</f>
        <v>-9.144468959</v>
      </c>
      <c r="AX590" s="32">
        <f>IFERROR(__xludf.DUMMYFUNCTION("""COMPUTED_VALUE"""),5.569782377872379)</f>
        <v>5.569782378</v>
      </c>
      <c r="AY590" s="32">
        <f>IFERROR(__xludf.DUMMYFUNCTION("""COMPUTED_VALUE"""),-26.47817462793539)</f>
        <v>-26.47817463</v>
      </c>
      <c r="AZ590" s="30">
        <f>IFERROR(__xludf.DUMMYFUNCTION("""COMPUTED_VALUE"""),17.333705668727703)</f>
        <v>17.33370567</v>
      </c>
      <c r="BA590" s="30">
        <f>IFERROR(__xludf.DUMMYFUNCTION("""COMPUTED_VALUE"""),2300.0)</f>
        <v>2300</v>
      </c>
    </row>
    <row r="591">
      <c r="A591" s="71" t="str">
        <f>IFERROR(__xludf.DUMMYFUNCTION("""COMPUTED_VALUE"""),"Challenger")</f>
        <v>Challenger</v>
      </c>
      <c r="B591" s="71" t="str">
        <f>IFERROR(__xludf.DUMMYFUNCTION("""COMPUTED_VALUE"""),"RSC006976")</f>
        <v>RSC006976</v>
      </c>
      <c r="C591" s="30" t="str">
        <f>IFERROR(__xludf.DUMMYFUNCTION("""COMPUTED_VALUE"""),"Slendda")</f>
        <v>Slendda</v>
      </c>
      <c r="D591" s="30" t="str">
        <f>IFERROR(__xludf.DUMMYFUNCTION("""COMPUTED_VALUE"""),"Meat Lovers")</f>
        <v>Meat Lovers</v>
      </c>
      <c r="E591" s="30">
        <f>IFERROR(__xludf.DUMMYFUNCTION("""COMPUTED_VALUE"""),48.0)</f>
        <v>48</v>
      </c>
      <c r="F591" s="30">
        <f>IFERROR(__xludf.DUMMYFUNCTION("""COMPUTED_VALUE"""),35.0)</f>
        <v>35</v>
      </c>
      <c r="G591" s="42">
        <f>IFERROR(__xludf.DUMMYFUNCTION("""COMPUTED_VALUE"""),13.0)</f>
        <v>13</v>
      </c>
      <c r="H591" s="42">
        <f>IFERROR(__xludf.DUMMYFUNCTION("""COMPUTED_VALUE"""),0.7291666666666666)</f>
        <v>0.7291666667</v>
      </c>
      <c r="I591" s="42">
        <f>IFERROR(__xludf.DUMMYFUNCTION("""COMPUTED_VALUE"""),0.4057971014492754)</f>
        <v>0.4057971014</v>
      </c>
      <c r="J591" s="30">
        <f>IFERROR(__xludf.DUMMYFUNCTION("""COMPUTED_VALUE"""),394.0625)</f>
        <v>394.0625</v>
      </c>
      <c r="K591" s="30">
        <f>IFERROR(__xludf.DUMMYFUNCTION("""COMPUTED_VALUE"""),1.1666666666666667)</f>
        <v>1.166666667</v>
      </c>
      <c r="L591" s="30">
        <f>IFERROR(__xludf.DUMMYFUNCTION("""COMPUTED_VALUE"""),0.7291666666666666)</f>
        <v>0.7291666667</v>
      </c>
      <c r="M591" s="30">
        <f>IFERROR(__xludf.DUMMYFUNCTION("""COMPUTED_VALUE"""),1.0625)</f>
        <v>1.0625</v>
      </c>
      <c r="N591" s="30">
        <f>IFERROR(__xludf.DUMMYFUNCTION("""COMPUTED_VALUE"""),2.875)</f>
        <v>2.875</v>
      </c>
      <c r="O591" s="30">
        <f>IFERROR(__xludf.DUMMYFUNCTION("""COMPUTED_VALUE"""),311.46527777777777)</f>
        <v>311.4652778</v>
      </c>
      <c r="P591" s="30">
        <f>IFERROR(__xludf.DUMMYFUNCTION("""COMPUTED_VALUE"""),0.6180555555555555)</f>
        <v>0.6180555556</v>
      </c>
      <c r="Q591" s="30">
        <f>IFERROR(__xludf.DUMMYFUNCTION("""COMPUTED_VALUE"""),0.47222222222222215)</f>
        <v>0.4722222222</v>
      </c>
      <c r="R591" s="30">
        <f>IFERROR(__xludf.DUMMYFUNCTION("""COMPUTED_VALUE"""),1.2430555555555556)</f>
        <v>1.243055556</v>
      </c>
      <c r="S591" s="30">
        <f>IFERROR(__xludf.DUMMYFUNCTION("""COMPUTED_VALUE"""),2.1944444444444446)</f>
        <v>2.194444444</v>
      </c>
      <c r="T591" s="30">
        <f>IFERROR(__xludf.DUMMYFUNCTION("""COMPUTED_VALUE"""),320.7985271859124)</f>
        <v>320.7985272</v>
      </c>
      <c r="U591" s="30">
        <f>IFERROR(__xludf.DUMMYFUNCTION("""COMPUTED_VALUE"""),0.6927744006948034)</f>
        <v>0.6927744007</v>
      </c>
      <c r="V591" s="30">
        <f>IFERROR(__xludf.DUMMYFUNCTION("""COMPUTED_VALUE"""),0.5001332104731209)</f>
        <v>0.5001332105</v>
      </c>
      <c r="W591" s="30">
        <f>IFERROR(__xludf.DUMMYFUNCTION("""COMPUTED_VALUE"""),1.2206984387092092)</f>
        <v>1.220698439</v>
      </c>
      <c r="X591" s="30">
        <f>IFERROR(__xludf.DUMMYFUNCTION("""COMPUTED_VALUE"""),2.3544470245117237)</f>
        <v>2.354447025</v>
      </c>
      <c r="Y591" s="30">
        <f>IFERROR(__xludf.DUMMYFUNCTION("""COMPUTED_VALUE"""),340.9583795718825)</f>
        <v>340.9583796</v>
      </c>
      <c r="Z591" s="30">
        <f>IFERROR(__xludf.DUMMYFUNCTION("""COMPUTED_VALUE"""),0.7885206256756102)</f>
        <v>0.7885206257</v>
      </c>
      <c r="AA591" s="30">
        <f>IFERROR(__xludf.DUMMYFUNCTION("""COMPUTED_VALUE"""),0.5656940376172195)</f>
        <v>0.5656940376</v>
      </c>
      <c r="AB591" s="30">
        <f>IFERROR(__xludf.DUMMYFUNCTION("""COMPUTED_VALUE"""),1.238478731049337)</f>
        <v>1.238478731</v>
      </c>
      <c r="AC591" s="30">
        <f>IFERROR(__xludf.DUMMYFUNCTION("""COMPUTED_VALUE"""),2.4809156416832656)</f>
        <v>2.480915642</v>
      </c>
      <c r="AD591" s="30">
        <f>IFERROR(__xludf.DUMMYFUNCTION("""COMPUTED_VALUE"""),1.1557495683044852)</f>
        <v>1.155749568</v>
      </c>
      <c r="AE591" s="30">
        <f>IFERROR(__xludf.DUMMYFUNCTION("""COMPUTED_VALUE"""),1.4795639184036034)</f>
        <v>1.479563918</v>
      </c>
      <c r="AF591" s="30">
        <f>IFERROR(__xludf.DUMMYFUNCTION("""COMPUTED_VALUE"""),1.2889771116167605)</f>
        <v>1.288977112</v>
      </c>
      <c r="AG591" s="30">
        <f>IFERROR(__xludf.DUMMYFUNCTION("""COMPUTED_VALUE"""),0.8579073450052437)</f>
        <v>0.857907345</v>
      </c>
      <c r="AH591" s="30">
        <f>IFERROR(__xludf.DUMMYFUNCTION("""COMPUTED_VALUE"""),1.158846335480135)</f>
        <v>1.158846335</v>
      </c>
      <c r="AI591" s="30">
        <f>IFERROR(__xludf.DUMMYFUNCTION("""COMPUTED_VALUE"""),0.9709061962035576)</f>
        <v>0.9709061962</v>
      </c>
      <c r="AJ591" s="30">
        <f>IFERROR(__xludf.DUMMYFUNCTION("""COMPUTED_VALUE"""),0.8921454876734616)</f>
        <v>0.8921454877</v>
      </c>
      <c r="AK591" s="30">
        <f>IFERROR(__xludf.DUMMYFUNCTION("""COMPUTED_VALUE"""),0.944192891680808)</f>
        <v>0.9441928917</v>
      </c>
      <c r="AL591" s="30">
        <f>IFERROR(__xludf.DUMMYFUNCTION("""COMPUTED_VALUE"""),1.0183150204320628)</f>
        <v>1.01831502</v>
      </c>
      <c r="AM591" s="30">
        <f>IFERROR(__xludf.DUMMYFUNCTION("""COMPUTED_VALUE"""),0.9320423953473911)</f>
        <v>0.9320423953</v>
      </c>
      <c r="AN591" s="30">
        <f>IFERROR(__xludf.DUMMYFUNCTION("""COMPUTED_VALUE"""),1.2113093310244818)</f>
        <v>1.211309331</v>
      </c>
      <c r="AO591" s="30">
        <f>IFERROR(__xludf.DUMMYFUNCTION("""COMPUTED_VALUE"""),1.5963281996598133)</f>
        <v>1.5963282</v>
      </c>
      <c r="AP591" s="30">
        <f>IFERROR(__xludf.DUMMYFUNCTION("""COMPUTED_VALUE"""),1.414343735097456)</f>
        <v>1.414343735</v>
      </c>
      <c r="AQ591" s="30">
        <f>IFERROR(__xludf.DUMMYFUNCTION("""COMPUTED_VALUE"""),0.8812204875570165)</f>
        <v>0.8812204876</v>
      </c>
      <c r="AR591" s="30">
        <f>IFERROR(__xludf.DUMMYFUNCTION("""COMPUTED_VALUE"""),1.2081974504475808)</f>
        <v>1.20819745</v>
      </c>
      <c r="AS591" s="30">
        <f>IFERROR(__xludf.DUMMYFUNCTION("""COMPUTED_VALUE"""),142.0)</f>
        <v>142</v>
      </c>
      <c r="AT591" s="30">
        <f>IFERROR(__xludf.DUMMYFUNCTION("""COMPUTED_VALUE"""),0.6755485942734717)</f>
        <v>0.6755485943</v>
      </c>
      <c r="AU591" s="30">
        <f>IFERROR(__xludf.DUMMYFUNCTION("""COMPUTED_VALUE"""),4.4077613806711)</f>
        <v>4.407761381</v>
      </c>
      <c r="AV591" s="32">
        <f>IFERROR(__xludf.DUMMYFUNCTION("""COMPUTED_VALUE"""),90.82878391721215)</f>
        <v>90.82878392</v>
      </c>
      <c r="AW591" s="32">
        <f>IFERROR(__xludf.DUMMYFUNCTION("""COMPUTED_VALUE"""),19.52416341392447)</f>
        <v>19.52416341</v>
      </c>
      <c r="AX591" s="32">
        <f>IFERROR(__xludf.DUMMYFUNCTION("""COMPUTED_VALUE"""),82.61429350846385)</f>
        <v>82.61429351</v>
      </c>
      <c r="AY591" s="32">
        <f>IFERROR(__xludf.DUMMYFUNCTION("""COMPUTED_VALUE"""),10.41456659917782)</f>
        <v>10.4145666</v>
      </c>
      <c r="AZ591" s="30">
        <f>IFERROR(__xludf.DUMMYFUNCTION("""COMPUTED_VALUE"""),9.10959681474665)</f>
        <v>9.109596815</v>
      </c>
      <c r="BA591" s="30">
        <f>IFERROR(__xludf.DUMMYFUNCTION("""COMPUTED_VALUE"""),2300.0)</f>
        <v>2300</v>
      </c>
    </row>
    <row r="592">
      <c r="A592" s="71" t="str">
        <f>IFERROR(__xludf.DUMMYFUNCTION("""COMPUTED_VALUE"""),"Challenger")</f>
        <v>Challenger</v>
      </c>
      <c r="B592" s="71" t="str">
        <f>IFERROR(__xludf.DUMMYFUNCTION("""COMPUTED_VALUE"""),"RSC007967")</f>
        <v>RSC007967</v>
      </c>
      <c r="C592" s="30" t="str">
        <f>IFERROR(__xludf.DUMMYFUNCTION("""COMPUTED_VALUE"""),"davisino1605")</f>
        <v>davisino1605</v>
      </c>
      <c r="D592" s="30" t="str">
        <f>IFERROR(__xludf.DUMMYFUNCTION("""COMPUTED_VALUE"""),"Threshers")</f>
        <v>Threshers</v>
      </c>
      <c r="E592" s="30">
        <f>IFERROR(__xludf.DUMMYFUNCTION("""COMPUTED_VALUE"""),12.0)</f>
        <v>12</v>
      </c>
      <c r="F592" s="30">
        <f>IFERROR(__xludf.DUMMYFUNCTION("""COMPUTED_VALUE"""),3.0)</f>
        <v>3</v>
      </c>
      <c r="G592" s="42">
        <f>IFERROR(__xludf.DUMMYFUNCTION("""COMPUTED_VALUE"""),9.0)</f>
        <v>9</v>
      </c>
      <c r="H592" s="42">
        <f>IFERROR(__xludf.DUMMYFUNCTION("""COMPUTED_VALUE"""),0.25)</f>
        <v>0.25</v>
      </c>
      <c r="I592" s="42">
        <f>IFERROR(__xludf.DUMMYFUNCTION("""COMPUTED_VALUE"""),0.2962962962962963)</f>
        <v>0.2962962963</v>
      </c>
      <c r="J592" s="30">
        <f>IFERROR(__xludf.DUMMYFUNCTION("""COMPUTED_VALUE"""),255.25)</f>
        <v>255.25</v>
      </c>
      <c r="K592" s="30">
        <f>IFERROR(__xludf.DUMMYFUNCTION("""COMPUTED_VALUE"""),0.6666666666666666)</f>
        <v>0.6666666667</v>
      </c>
      <c r="L592" s="30">
        <f>IFERROR(__xludf.DUMMYFUNCTION("""COMPUTED_VALUE"""),0.3333333333333333)</f>
        <v>0.3333333333</v>
      </c>
      <c r="M592" s="30">
        <f>IFERROR(__xludf.DUMMYFUNCTION("""COMPUTED_VALUE"""),0.9166666666666666)</f>
        <v>0.9166666667</v>
      </c>
      <c r="N592" s="30">
        <f>IFERROR(__xludf.DUMMYFUNCTION("""COMPUTED_VALUE"""),2.25)</f>
        <v>2.25</v>
      </c>
      <c r="O592" s="30">
        <f>IFERROR(__xludf.DUMMYFUNCTION("""COMPUTED_VALUE"""),373.4166666666667)</f>
        <v>373.4166667</v>
      </c>
      <c r="P592" s="30">
        <f>IFERROR(__xludf.DUMMYFUNCTION("""COMPUTED_VALUE"""),0.9999999999999997)</f>
        <v>1</v>
      </c>
      <c r="Q592" s="30">
        <f>IFERROR(__xludf.DUMMYFUNCTION("""COMPUTED_VALUE"""),0.8055555555555557)</f>
        <v>0.8055555556</v>
      </c>
      <c r="R592" s="30">
        <f>IFERROR(__xludf.DUMMYFUNCTION("""COMPUTED_VALUE"""),1.4166666666666667)</f>
        <v>1.416666667</v>
      </c>
      <c r="S592" s="30">
        <f>IFERROR(__xludf.DUMMYFUNCTION("""COMPUTED_VALUE"""),2.5277777777777777)</f>
        <v>2.527777778</v>
      </c>
      <c r="T592" s="30">
        <f>IFERROR(__xludf.DUMMYFUNCTION("""COMPUTED_VALUE"""),336.65291132163543)</f>
        <v>336.6529113</v>
      </c>
      <c r="U592" s="30">
        <f>IFERROR(__xludf.DUMMYFUNCTION("""COMPUTED_VALUE"""),0.7765995017534374)</f>
        <v>0.7765995018</v>
      </c>
      <c r="V592" s="30">
        <f>IFERROR(__xludf.DUMMYFUNCTION("""COMPUTED_VALUE"""),0.5516668900256513)</f>
        <v>0.55166689</v>
      </c>
      <c r="W592" s="30">
        <f>IFERROR(__xludf.DUMMYFUNCTION("""COMPUTED_VALUE"""),1.1810932831930971)</f>
        <v>1.181093283</v>
      </c>
      <c r="X592" s="30">
        <f>IFERROR(__xludf.DUMMYFUNCTION("""COMPUTED_VALUE"""),2.4449347018065106)</f>
        <v>2.444934702</v>
      </c>
      <c r="Y592" s="30">
        <f>IFERROR(__xludf.DUMMYFUNCTION("""COMPUTED_VALUE"""),333.98347127448534)</f>
        <v>333.9834713</v>
      </c>
      <c r="Z592" s="30">
        <f>IFERROR(__xludf.DUMMYFUNCTION("""COMPUTED_VALUE"""),0.7792634559351272)</f>
        <v>0.7792634559</v>
      </c>
      <c r="AA592" s="30">
        <f>IFERROR(__xludf.DUMMYFUNCTION("""COMPUTED_VALUE"""),0.5366778875736641)</f>
        <v>0.5366778876</v>
      </c>
      <c r="AB592" s="30">
        <f>IFERROR(__xludf.DUMMYFUNCTION("""COMPUTED_VALUE"""),1.1941794409726934)</f>
        <v>1.194179441</v>
      </c>
      <c r="AC592" s="30">
        <f>IFERROR(__xludf.DUMMYFUNCTION("""COMPUTED_VALUE"""),2.378658657817134)</f>
        <v>2.378658658</v>
      </c>
      <c r="AD592" s="30">
        <f>IFERROR(__xludf.DUMMYFUNCTION("""COMPUTED_VALUE"""),0.764259377944551)</f>
        <v>0.7642593779</v>
      </c>
      <c r="AE592" s="30">
        <f>IFERROR(__xludf.DUMMYFUNCTION("""COMPUTED_VALUE"""),0.8555087006699899)</f>
        <v>0.8555087007</v>
      </c>
      <c r="AF592" s="30">
        <f>IFERROR(__xludf.DUMMYFUNCTION("""COMPUTED_VALUE"""),0.6211050260340383)</f>
        <v>0.621105026</v>
      </c>
      <c r="AG592" s="30">
        <f>IFERROR(__xludf.DUMMYFUNCTION("""COMPUTED_VALUE"""),0.7676121654883084)</f>
        <v>0.7676121655</v>
      </c>
      <c r="AH592" s="30">
        <f>IFERROR(__xludf.DUMMYFUNCTION("""COMPUTED_VALUE"""),0.9459112565839092)</f>
        <v>0.9459112566</v>
      </c>
      <c r="AI592" s="30">
        <f>IFERROR(__xludf.DUMMYFUNCTION("""COMPUTED_VALUE"""),1.1092037350893647)</f>
        <v>1.109203735</v>
      </c>
      <c r="AJ592" s="30">
        <f>IFERROR(__xludf.DUMMYFUNCTION("""COMPUTED_VALUE"""),1.2876650033152992)</f>
        <v>1.287665003</v>
      </c>
      <c r="AK592" s="30">
        <f>IFERROR(__xludf.DUMMYFUNCTION("""COMPUTED_VALUE"""),1.4602209596412414)</f>
        <v>1.46022096</v>
      </c>
      <c r="AL592" s="30">
        <f>IFERROR(__xludf.DUMMYFUNCTION("""COMPUTED_VALUE"""),1.1994536645206335)</f>
        <v>1.199453665</v>
      </c>
      <c r="AM592" s="30">
        <f>IFERROR(__xludf.DUMMYFUNCTION("""COMPUTED_VALUE"""),1.033883553581229)</f>
        <v>1.033883554</v>
      </c>
      <c r="AN592" s="30">
        <f>IFERROR(__xludf.DUMMYFUNCTION("""COMPUTED_VALUE"""),0.7846133715946049)</f>
        <v>0.7846133716</v>
      </c>
      <c r="AO592" s="30">
        <f>IFERROR(__xludf.DUMMYFUNCTION("""COMPUTED_VALUE"""),0.9121875426627504)</f>
        <v>0.9121875427</v>
      </c>
      <c r="AP592" s="30">
        <f>IFERROR(__xludf.DUMMYFUNCTION("""COMPUTED_VALUE"""),0.6465571360445512)</f>
        <v>0.646557136</v>
      </c>
      <c r="AQ592" s="30">
        <f>IFERROR(__xludf.DUMMYFUNCTION("""COMPUTED_VALUE"""),0.7602686559315437)</f>
        <v>0.7602686559</v>
      </c>
      <c r="AR592" s="30">
        <f>IFERROR(__xludf.DUMMYFUNCTION("""COMPUTED_VALUE"""),0.9455458307850633)</f>
        <v>0.9455458308</v>
      </c>
      <c r="AS592" s="30">
        <f>IFERROR(__xludf.DUMMYFUNCTION("""COMPUTED_VALUE"""),22.0)</f>
        <v>22</v>
      </c>
      <c r="AT592" s="30">
        <f>IFERROR(__xludf.DUMMYFUNCTION("""COMPUTED_VALUE"""),0.3156054711659159)</f>
        <v>0.3156054712</v>
      </c>
      <c r="AU592" s="30">
        <f>IFERROR(__xludf.DUMMYFUNCTION("""COMPUTED_VALUE"""),1.8367963245558583)</f>
        <v>1.836796325</v>
      </c>
      <c r="AV592" s="32">
        <f>IFERROR(__xludf.DUMMYFUNCTION("""COMPUTED_VALUE"""),23.731067610947132)</f>
        <v>23.73106761</v>
      </c>
      <c r="AW592" s="32">
        <f>IFERROR(__xludf.DUMMYFUNCTION("""COMPUTED_VALUE"""),-6.817327938710223)</f>
        <v>-6.817327939</v>
      </c>
      <c r="AX592" s="32">
        <f>IFERROR(__xludf.DUMMYFUNCTION("""COMPUTED_VALUE"""),11.757303991891867)</f>
        <v>11.75730399</v>
      </c>
      <c r="AY592" s="32">
        <f>IFERROR(__xludf.DUMMYFUNCTION("""COMPUTED_VALUE"""),-15.861804084544849)</f>
        <v>-15.86180408</v>
      </c>
      <c r="AZ592" s="30">
        <f>IFERROR(__xludf.DUMMYFUNCTION("""COMPUTED_VALUE"""),9.044476145834626)</f>
        <v>9.044476146</v>
      </c>
      <c r="BA592" s="30">
        <f>IFERROR(__xludf.DUMMYFUNCTION("""COMPUTED_VALUE"""),2300.0)</f>
        <v>2300</v>
      </c>
    </row>
    <row r="593">
      <c r="A593" s="71" t="str">
        <f>IFERROR(__xludf.DUMMYFUNCTION("""COMPUTED_VALUE"""),"Challenger")</f>
        <v>Challenger</v>
      </c>
      <c r="B593" s="71" t="str">
        <f>IFERROR(__xludf.DUMMYFUNCTION("""COMPUTED_VALUE"""),"RSC004679")</f>
        <v>RSC004679</v>
      </c>
      <c r="C593" s="30" t="str">
        <f>IFERROR(__xludf.DUMMYFUNCTION("""COMPUTED_VALUE"""),"master_ibk810")</f>
        <v>master_ibk810</v>
      </c>
      <c r="D593" s="30" t="str">
        <f>IFERROR(__xludf.DUMMYFUNCTION("""COMPUTED_VALUE"""),"Squalls")</f>
        <v>Squalls</v>
      </c>
      <c r="E593" s="30">
        <f>IFERROR(__xludf.DUMMYFUNCTION("""COMPUTED_VALUE"""),39.0)</f>
        <v>39</v>
      </c>
      <c r="F593" s="30">
        <f>IFERROR(__xludf.DUMMYFUNCTION("""COMPUTED_VALUE"""),27.0)</f>
        <v>27</v>
      </c>
      <c r="G593" s="42">
        <f>IFERROR(__xludf.DUMMYFUNCTION("""COMPUTED_VALUE"""),12.0)</f>
        <v>12</v>
      </c>
      <c r="H593" s="42">
        <f>IFERROR(__xludf.DUMMYFUNCTION("""COMPUTED_VALUE"""),0.6923076923076923)</f>
        <v>0.6923076923</v>
      </c>
      <c r="I593" s="42">
        <f>IFERROR(__xludf.DUMMYFUNCTION("""COMPUTED_VALUE"""),0.3553719008264463)</f>
        <v>0.3553719008</v>
      </c>
      <c r="J593" s="30">
        <f>IFERROR(__xludf.DUMMYFUNCTION("""COMPUTED_VALUE"""),360.0)</f>
        <v>360</v>
      </c>
      <c r="K593" s="30">
        <f>IFERROR(__xludf.DUMMYFUNCTION("""COMPUTED_VALUE"""),1.1025641025641026)</f>
        <v>1.102564103</v>
      </c>
      <c r="L593" s="30">
        <f>IFERROR(__xludf.DUMMYFUNCTION("""COMPUTED_VALUE"""),0.48717948717948717)</f>
        <v>0.4871794872</v>
      </c>
      <c r="M593" s="30">
        <f>IFERROR(__xludf.DUMMYFUNCTION("""COMPUTED_VALUE"""),0.8974358974358975)</f>
        <v>0.8974358974</v>
      </c>
      <c r="N593" s="30">
        <f>IFERROR(__xludf.DUMMYFUNCTION("""COMPUTED_VALUE"""),3.1025641025641026)</f>
        <v>3.102564103</v>
      </c>
      <c r="O593" s="30">
        <f>IFERROR(__xludf.DUMMYFUNCTION("""COMPUTED_VALUE"""),305.47008547008545)</f>
        <v>305.4700855</v>
      </c>
      <c r="P593" s="30">
        <f>IFERROR(__xludf.DUMMYFUNCTION("""COMPUTED_VALUE"""),0.5982905982905982)</f>
        <v>0.5982905983</v>
      </c>
      <c r="Q593" s="30">
        <f>IFERROR(__xludf.DUMMYFUNCTION("""COMPUTED_VALUE"""),0.4017094017094017)</f>
        <v>0.4017094017</v>
      </c>
      <c r="R593" s="30">
        <f>IFERROR(__xludf.DUMMYFUNCTION("""COMPUTED_VALUE"""),1.3504273504273505)</f>
        <v>1.35042735</v>
      </c>
      <c r="S593" s="30">
        <f>IFERROR(__xludf.DUMMYFUNCTION("""COMPUTED_VALUE"""),2.111111111111111)</f>
        <v>2.111111111</v>
      </c>
      <c r="T593" s="30">
        <f>IFERROR(__xludf.DUMMYFUNCTION("""COMPUTED_VALUE"""),340.12042778953673)</f>
        <v>340.1204278</v>
      </c>
      <c r="U593" s="30">
        <f>IFERROR(__xludf.DUMMYFUNCTION("""COMPUTED_VALUE"""),0.8050092786830941)</f>
        <v>0.8050092787</v>
      </c>
      <c r="V593" s="30">
        <f>IFERROR(__xludf.DUMMYFUNCTION("""COMPUTED_VALUE"""),0.564903857856575)</f>
        <v>0.5649038579</v>
      </c>
      <c r="W593" s="30">
        <f>IFERROR(__xludf.DUMMYFUNCTION("""COMPUTED_VALUE"""),1.224876559584944)</f>
        <v>1.22487656</v>
      </c>
      <c r="X593" s="30">
        <f>IFERROR(__xludf.DUMMYFUNCTION("""COMPUTED_VALUE"""),2.422130717290888)</f>
        <v>2.422130717</v>
      </c>
      <c r="Y593" s="30">
        <f>IFERROR(__xludf.DUMMYFUNCTION("""COMPUTED_VALUE"""),328.27473736781997)</f>
        <v>328.2747374</v>
      </c>
      <c r="Z593" s="30">
        <f>IFERROR(__xludf.DUMMYFUNCTION("""COMPUTED_VALUE"""),0.7474292136332656)</f>
        <v>0.7474292136</v>
      </c>
      <c r="AA593" s="30">
        <f>IFERROR(__xludf.DUMMYFUNCTION("""COMPUTED_VALUE"""),0.5078977840761604)</f>
        <v>0.5078977841</v>
      </c>
      <c r="AB593" s="30">
        <f>IFERROR(__xludf.DUMMYFUNCTION("""COMPUTED_VALUE"""),1.192059667964729)</f>
        <v>1.192059668</v>
      </c>
      <c r="AC593" s="30">
        <f>IFERROR(__xludf.DUMMYFUNCTION("""COMPUTED_VALUE"""),2.4034983571655166)</f>
        <v>2.403498357</v>
      </c>
      <c r="AD593" s="30">
        <f>IFERROR(__xludf.DUMMYFUNCTION("""COMPUTED_VALUE"""),1.0966424126527685)</f>
        <v>1.096642413</v>
      </c>
      <c r="AE593" s="30">
        <f>IFERROR(__xludf.DUMMYFUNCTION("""COMPUTED_VALUE"""),1.4751418361138449)</f>
        <v>1.475141836</v>
      </c>
      <c r="AF593" s="30">
        <f>IFERROR(__xludf.DUMMYFUNCTION("""COMPUTED_VALUE"""),0.9592077430809061)</f>
        <v>0.9592077431</v>
      </c>
      <c r="AG593" s="30">
        <f>IFERROR(__xludf.DUMMYFUNCTION("""COMPUTED_VALUE"""),0.7528447791276595)</f>
        <v>0.7528447791</v>
      </c>
      <c r="AH593" s="30">
        <f>IFERROR(__xludf.DUMMYFUNCTION("""COMPUTED_VALUE"""),1.2908534317547882)</f>
        <v>1.290853432</v>
      </c>
      <c r="AI593" s="30">
        <f>IFERROR(__xludf.DUMMYFUNCTION("""COMPUTED_VALUE"""),0.8981233131316282)</f>
        <v>0.8981233131</v>
      </c>
      <c r="AJ593" s="30">
        <f>IFERROR(__xludf.DUMMYFUNCTION("""COMPUTED_VALUE"""),0.7432095680553338)</f>
        <v>0.7432095681</v>
      </c>
      <c r="AK593" s="30">
        <f>IFERROR(__xludf.DUMMYFUNCTION("""COMPUTED_VALUE"""),0.7111110963795061)</f>
        <v>0.7111110964</v>
      </c>
      <c r="AL593" s="30">
        <f>IFERROR(__xludf.DUMMYFUNCTION("""COMPUTED_VALUE"""),1.102500770269414)</f>
        <v>1.10250077</v>
      </c>
      <c r="AM593" s="30">
        <f>IFERROR(__xludf.DUMMYFUNCTION("""COMPUTED_VALUE"""),0.871592559410812)</f>
        <v>0.8715925594</v>
      </c>
      <c r="AN593" s="30">
        <f>IFERROR(__xludf.DUMMYFUNCTION("""COMPUTED_VALUE"""),1.1066045593498834)</f>
        <v>1.106604559</v>
      </c>
      <c r="AO593" s="30">
        <f>IFERROR(__xludf.DUMMYFUNCTION("""COMPUTED_VALUE"""),1.5086178590191641)</f>
        <v>1.508617859</v>
      </c>
      <c r="AP593" s="30">
        <f>IFERROR(__xludf.DUMMYFUNCTION("""COMPUTED_VALUE"""),0.9449681219112672)</f>
        <v>0.9449681219</v>
      </c>
      <c r="AQ593" s="30">
        <f>IFERROR(__xludf.DUMMYFUNCTION("""COMPUTED_VALUE"""),0.7443189638490638)</f>
        <v>0.7443189638</v>
      </c>
      <c r="AR593" s="30">
        <f>IFERROR(__xludf.DUMMYFUNCTION("""COMPUTED_VALUE"""),1.303829578632395)</f>
        <v>1.303829579</v>
      </c>
      <c r="AS593" s="30">
        <f>IFERROR(__xludf.DUMMYFUNCTION("""COMPUTED_VALUE"""),101.0)</f>
        <v>101</v>
      </c>
      <c r="AT593" s="30">
        <f>IFERROR(__xludf.DUMMYFUNCTION("""COMPUTED_VALUE"""),0.636532733590989)</f>
        <v>0.6365327336</v>
      </c>
      <c r="AU593" s="30">
        <f>IFERROR(__xludf.DUMMYFUNCTION("""COMPUTED_VALUE"""),4.23791322458901)</f>
        <v>4.237913225</v>
      </c>
      <c r="AV593" s="32">
        <f>IFERROR(__xludf.DUMMYFUNCTION("""COMPUTED_VALUE"""),86.39604245896828)</f>
        <v>86.39604246</v>
      </c>
      <c r="AW593" s="32">
        <f>IFERROR(__xludf.DUMMYFUNCTION("""COMPUTED_VALUE"""),13.751716883166392)</f>
        <v>13.75171688</v>
      </c>
      <c r="AX593" s="32">
        <f>IFERROR(__xludf.DUMMYFUNCTION("""COMPUTED_VALUE"""),72.15423900995421)</f>
        <v>72.15423901</v>
      </c>
      <c r="AY593" s="32">
        <f>IFERROR(__xludf.DUMMYFUNCTION("""COMPUTED_VALUE"""),5.32586059948508)</f>
        <v>5.325860599</v>
      </c>
      <c r="AZ593" s="30">
        <f>IFERROR(__xludf.DUMMYFUNCTION("""COMPUTED_VALUE"""),8.425856283681313)</f>
        <v>8.425856284</v>
      </c>
      <c r="BA593" s="30">
        <f>IFERROR(__xludf.DUMMYFUNCTION("""COMPUTED_VALUE"""),2300.0)</f>
        <v>2300</v>
      </c>
    </row>
    <row r="594">
      <c r="A594" s="71" t="str">
        <f>IFERROR(__xludf.DUMMYFUNCTION("""COMPUTED_VALUE"""),"Challenger")</f>
        <v>Challenger</v>
      </c>
      <c r="B594" s="71" t="str">
        <f>IFERROR(__xludf.DUMMYFUNCTION("""COMPUTED_VALUE"""),"RSC006413")</f>
        <v>RSC006413</v>
      </c>
      <c r="C594" s="30" t="str">
        <f>IFERROR(__xludf.DUMMYFUNCTION("""COMPUTED_VALUE"""),"BlueFlre")</f>
        <v>BlueFlre</v>
      </c>
      <c r="D594" s="30" t="str">
        <f>IFERROR(__xludf.DUMMYFUNCTION("""COMPUTED_VALUE"""),"Shade")</f>
        <v>Shade</v>
      </c>
      <c r="E594" s="30">
        <f>IFERROR(__xludf.DUMMYFUNCTION("""COMPUTED_VALUE"""),26.0)</f>
        <v>26</v>
      </c>
      <c r="F594" s="30">
        <f>IFERROR(__xludf.DUMMYFUNCTION("""COMPUTED_VALUE"""),10.0)</f>
        <v>10</v>
      </c>
      <c r="G594" s="42">
        <f>IFERROR(__xludf.DUMMYFUNCTION("""COMPUTED_VALUE"""),16.0)</f>
        <v>16</v>
      </c>
      <c r="H594" s="42">
        <f>IFERROR(__xludf.DUMMYFUNCTION("""COMPUTED_VALUE"""),0.38461538461538464)</f>
        <v>0.3846153846</v>
      </c>
      <c r="I594" s="42">
        <f>IFERROR(__xludf.DUMMYFUNCTION("""COMPUTED_VALUE"""),0.23404255319148937)</f>
        <v>0.2340425532</v>
      </c>
      <c r="J594" s="30">
        <f>IFERROR(__xludf.DUMMYFUNCTION("""COMPUTED_VALUE"""),262.8076923076923)</f>
        <v>262.8076923</v>
      </c>
      <c r="K594" s="30">
        <f>IFERROR(__xludf.DUMMYFUNCTION("""COMPUTED_VALUE"""),0.4230769230769231)</f>
        <v>0.4230769231</v>
      </c>
      <c r="L594" s="30">
        <f>IFERROR(__xludf.DUMMYFUNCTION("""COMPUTED_VALUE"""),0.2692307692307692)</f>
        <v>0.2692307692</v>
      </c>
      <c r="M594" s="30">
        <f>IFERROR(__xludf.DUMMYFUNCTION("""COMPUTED_VALUE"""),0.9615384615384616)</f>
        <v>0.9615384615</v>
      </c>
      <c r="N594" s="30">
        <f>IFERROR(__xludf.DUMMYFUNCTION("""COMPUTED_VALUE"""),1.8076923076923077)</f>
        <v>1.807692308</v>
      </c>
      <c r="O594" s="30">
        <f>IFERROR(__xludf.DUMMYFUNCTION("""COMPUTED_VALUE"""),333.43589743589746)</f>
        <v>333.4358974</v>
      </c>
      <c r="P594" s="30">
        <f>IFERROR(__xludf.DUMMYFUNCTION("""COMPUTED_VALUE"""),0.7948717948717949)</f>
        <v>0.7948717949</v>
      </c>
      <c r="Q594" s="30">
        <f>IFERROR(__xludf.DUMMYFUNCTION("""COMPUTED_VALUE"""),0.5128205128205129)</f>
        <v>0.5128205128</v>
      </c>
      <c r="R594" s="30">
        <f>IFERROR(__xludf.DUMMYFUNCTION("""COMPUTED_VALUE"""),1.2564102564102564)</f>
        <v>1.256410256</v>
      </c>
      <c r="S594" s="30">
        <f>IFERROR(__xludf.DUMMYFUNCTION("""COMPUTED_VALUE"""),2.141025641025641)</f>
        <v>2.141025641</v>
      </c>
      <c r="T594" s="30">
        <f>IFERROR(__xludf.DUMMYFUNCTION("""COMPUTED_VALUE"""),330.02939590066336)</f>
        <v>330.0293959</v>
      </c>
      <c r="U594" s="30">
        <f>IFERROR(__xludf.DUMMYFUNCTION("""COMPUTED_VALUE"""),0.755809324587456)</f>
        <v>0.7558093246</v>
      </c>
      <c r="V594" s="30">
        <f>IFERROR(__xludf.DUMMYFUNCTION("""COMPUTED_VALUE"""),0.5002876845083198)</f>
        <v>0.5002876845</v>
      </c>
      <c r="W594" s="30">
        <f>IFERROR(__xludf.DUMMYFUNCTION("""COMPUTED_VALUE"""),1.2220749694279975)</f>
        <v>1.222074969</v>
      </c>
      <c r="X594" s="30">
        <f>IFERROR(__xludf.DUMMYFUNCTION("""COMPUTED_VALUE"""),2.3800743067676216)</f>
        <v>2.380074307</v>
      </c>
      <c r="Y594" s="30">
        <f>IFERROR(__xludf.DUMMYFUNCTION("""COMPUTED_VALUE"""),331.69969027449855)</f>
        <v>331.6996903</v>
      </c>
      <c r="Z594" s="30">
        <f>IFERROR(__xludf.DUMMYFUNCTION("""COMPUTED_VALUE"""),0.7559471569202731)</f>
        <v>0.7559471569</v>
      </c>
      <c r="AA594" s="30">
        <f>IFERROR(__xludf.DUMMYFUNCTION("""COMPUTED_VALUE"""),0.5386659317697002)</f>
        <v>0.5386659318</v>
      </c>
      <c r="AB594" s="30">
        <f>IFERROR(__xludf.DUMMYFUNCTION("""COMPUTED_VALUE"""),1.1896878251146328)</f>
        <v>1.189687825</v>
      </c>
      <c r="AC594" s="30">
        <f>IFERROR(__xludf.DUMMYFUNCTION("""COMPUTED_VALUE"""),2.4512045806694336)</f>
        <v>2.451204581</v>
      </c>
      <c r="AD594" s="30">
        <f>IFERROR(__xludf.DUMMYFUNCTION("""COMPUTED_VALUE"""),0.7923061130693413)</f>
        <v>0.7923061131</v>
      </c>
      <c r="AE594" s="30">
        <f>IFERROR(__xludf.DUMMYFUNCTION("""COMPUTED_VALUE"""),0.5596646792092418)</f>
        <v>0.5596646792</v>
      </c>
      <c r="AF594" s="30">
        <f>IFERROR(__xludf.DUMMYFUNCTION("""COMPUTED_VALUE"""),0.4998102782298759)</f>
        <v>0.4998102782</v>
      </c>
      <c r="AG594" s="30">
        <f>IFERROR(__xludf.DUMMYFUNCTION("""COMPUTED_VALUE"""),0.8082275377120988)</f>
        <v>0.8082275377</v>
      </c>
      <c r="AH594" s="30">
        <f>IFERROR(__xludf.DUMMYFUNCTION("""COMPUTED_VALUE"""),0.7374710058670908)</f>
        <v>0.7374710059</v>
      </c>
      <c r="AI594" s="30">
        <f>IFERROR(__xludf.DUMMYFUNCTION("""COMPUTED_VALUE"""),1.010321812473515)</f>
        <v>1.010321812</v>
      </c>
      <c r="AJ594" s="30">
        <f>IFERROR(__xludf.DUMMYFUNCTION("""COMPUTED_VALUE"""),1.051682969518351)</f>
        <v>1.05168297</v>
      </c>
      <c r="AK594" s="30">
        <f>IFERROR(__xludf.DUMMYFUNCTION("""COMPUTED_VALUE"""),1.0250512429153842)</f>
        <v>1.025051243</v>
      </c>
      <c r="AL594" s="30">
        <f>IFERROR(__xludf.DUMMYFUNCTION("""COMPUTED_VALUE"""),1.028095892511676)</f>
        <v>1.028095893</v>
      </c>
      <c r="AM594" s="30">
        <f>IFERROR(__xludf.DUMMYFUNCTION("""COMPUTED_VALUE"""),0.8995625199338282)</f>
        <v>0.8995625199</v>
      </c>
      <c r="AN594" s="30">
        <f>IFERROR(__xludf.DUMMYFUNCTION("""COMPUTED_VALUE"""),0.8078449737219823)</f>
        <v>0.8078449737</v>
      </c>
      <c r="AO594" s="30">
        <f>IFERROR(__xludf.DUMMYFUNCTION("""COMPUTED_VALUE"""),0.5788882482282839)</f>
        <v>0.5788882482</v>
      </c>
      <c r="AP594" s="30">
        <f>IFERROR(__xludf.DUMMYFUNCTION("""COMPUTED_VALUE"""),0.5222192252667529)</f>
        <v>0.5222192253</v>
      </c>
      <c r="AQ594" s="30">
        <f>IFERROR(__xludf.DUMMYFUNCTION("""COMPUTED_VALUE"""),0.7974846041239969)</f>
        <v>0.7974846041</v>
      </c>
      <c r="AR594" s="30">
        <f>IFERROR(__xludf.DUMMYFUNCTION("""COMPUTED_VALUE"""),0.7596692999469739)</f>
        <v>0.7596692999</v>
      </c>
      <c r="AS594" s="30">
        <f>IFERROR(__xludf.DUMMYFUNCTION("""COMPUTED_VALUE"""),37.0)</f>
        <v>37</v>
      </c>
      <c r="AT594" s="30">
        <f>IFERROR(__xludf.DUMMYFUNCTION("""COMPUTED_VALUE"""),0.31915169713744124)</f>
        <v>0.3191516971</v>
      </c>
      <c r="AU594" s="30">
        <f>IFERROR(__xludf.DUMMYFUNCTION("""COMPUTED_VALUE"""),1.4802466268828698)</f>
        <v>1.480246627</v>
      </c>
      <c r="AV594" s="32">
        <f>IFERROR(__xludf.DUMMYFUNCTION("""COMPUTED_VALUE"""),14.425740645634086)</f>
        <v>14.42574065</v>
      </c>
      <c r="AW594" s="32">
        <f>IFERROR(__xludf.DUMMYFUNCTION("""COMPUTED_VALUE"""),-12.924510086205405)</f>
        <v>-12.92451009</v>
      </c>
      <c r="AX594" s="32">
        <f>IFERROR(__xludf.DUMMYFUNCTION("""COMPUTED_VALUE"""),25.748159859337722)</f>
        <v>25.74815986</v>
      </c>
      <c r="AY594" s="32">
        <f>IFERROR(__xludf.DUMMYFUNCTION("""COMPUTED_VALUE"""),-6.023918492664172)</f>
        <v>-6.023918493</v>
      </c>
      <c r="AZ594" s="30">
        <f>IFERROR(__xludf.DUMMYFUNCTION("""COMPUTED_VALUE"""),6.900591593541233)</f>
        <v>6.900591594</v>
      </c>
      <c r="BA594" s="30">
        <f>IFERROR(__xludf.DUMMYFUNCTION("""COMPUTED_VALUE"""),2300.0)</f>
        <v>2300</v>
      </c>
    </row>
    <row r="595">
      <c r="A595" s="71" t="str">
        <f>IFERROR(__xludf.DUMMYFUNCTION("""COMPUTED_VALUE"""),"Challenger")</f>
        <v>Challenger</v>
      </c>
      <c r="B595" s="71" t="str">
        <f>IFERROR(__xludf.DUMMYFUNCTION("""COMPUTED_VALUE"""),"RSC002911")</f>
        <v>RSC002911</v>
      </c>
      <c r="C595" s="30" t="str">
        <f>IFERROR(__xludf.DUMMYFUNCTION("""COMPUTED_VALUE"""),"Alextross")</f>
        <v>Alextross</v>
      </c>
      <c r="D595" s="30" t="str">
        <f>IFERROR(__xludf.DUMMYFUNCTION("""COMPUTED_VALUE"""),"Meat Lovers")</f>
        <v>Meat Lovers</v>
      </c>
      <c r="E595" s="30">
        <f>IFERROR(__xludf.DUMMYFUNCTION("""COMPUTED_VALUE"""),11.0)</f>
        <v>11</v>
      </c>
      <c r="F595" s="30">
        <f>IFERROR(__xludf.DUMMYFUNCTION("""COMPUTED_VALUE"""),8.0)</f>
        <v>8</v>
      </c>
      <c r="G595" s="42">
        <f>IFERROR(__xludf.DUMMYFUNCTION("""COMPUTED_VALUE"""),3.0)</f>
        <v>3</v>
      </c>
      <c r="H595" s="42">
        <f>IFERROR(__xludf.DUMMYFUNCTION("""COMPUTED_VALUE"""),0.7272727272727273)</f>
        <v>0.7272727273</v>
      </c>
      <c r="I595" s="42">
        <f>IFERROR(__xludf.DUMMYFUNCTION("""COMPUTED_VALUE"""),0.3)</f>
        <v>0.3</v>
      </c>
      <c r="J595" s="30">
        <f>IFERROR(__xludf.DUMMYFUNCTION("""COMPUTED_VALUE"""),258.45454545454544)</f>
        <v>258.4545455</v>
      </c>
      <c r="K595" s="30">
        <f>IFERROR(__xludf.DUMMYFUNCTION("""COMPUTED_VALUE"""),0.5454545454545454)</f>
        <v>0.5454545455</v>
      </c>
      <c r="L595" s="30">
        <f>IFERROR(__xludf.DUMMYFUNCTION("""COMPUTED_VALUE"""),0.45454545454545453)</f>
        <v>0.4545454545</v>
      </c>
      <c r="M595" s="30">
        <f>IFERROR(__xludf.DUMMYFUNCTION("""COMPUTED_VALUE"""),1.0)</f>
        <v>1</v>
      </c>
      <c r="N595" s="30">
        <f>IFERROR(__xludf.DUMMYFUNCTION("""COMPUTED_VALUE"""),1.8181818181818181)</f>
        <v>1.818181818</v>
      </c>
      <c r="O595" s="30">
        <f>IFERROR(__xludf.DUMMYFUNCTION("""COMPUTED_VALUE"""),316.0)</f>
        <v>316</v>
      </c>
      <c r="P595" s="30">
        <f>IFERROR(__xludf.DUMMYFUNCTION("""COMPUTED_VALUE"""),0.6363636363636364)</f>
        <v>0.6363636364</v>
      </c>
      <c r="Q595" s="30">
        <f>IFERROR(__xludf.DUMMYFUNCTION("""COMPUTED_VALUE"""),0.42424242424242425)</f>
        <v>0.4242424242</v>
      </c>
      <c r="R595" s="30">
        <f>IFERROR(__xludf.DUMMYFUNCTION("""COMPUTED_VALUE"""),1.1212121212121213)</f>
        <v>1.121212121</v>
      </c>
      <c r="S595" s="30">
        <f>IFERROR(__xludf.DUMMYFUNCTION("""COMPUTED_VALUE"""),2.272727272727273)</f>
        <v>2.272727273</v>
      </c>
      <c r="T595" s="30">
        <f>IFERROR(__xludf.DUMMYFUNCTION("""COMPUTED_VALUE"""),346.06325314902125)</f>
        <v>346.0632531</v>
      </c>
      <c r="U595" s="30">
        <f>IFERROR(__xludf.DUMMYFUNCTION("""COMPUTED_VALUE"""),0.7588921875054496)</f>
        <v>0.7588921875</v>
      </c>
      <c r="V595" s="30">
        <f>IFERROR(__xludf.DUMMYFUNCTION("""COMPUTED_VALUE"""),0.5099092836737212)</f>
        <v>0.5099092837</v>
      </c>
      <c r="W595" s="30">
        <f>IFERROR(__xludf.DUMMYFUNCTION("""COMPUTED_VALUE"""),1.3896378368188005)</f>
        <v>1.389637837</v>
      </c>
      <c r="X595" s="30">
        <f>IFERROR(__xludf.DUMMYFUNCTION("""COMPUTED_VALUE"""),2.3648905249269583)</f>
        <v>2.364890525</v>
      </c>
      <c r="Y595" s="30">
        <f>IFERROR(__xludf.DUMMYFUNCTION("""COMPUTED_VALUE"""),343.95996859951714)</f>
        <v>343.9599686</v>
      </c>
      <c r="Z595" s="30">
        <f>IFERROR(__xludf.DUMMYFUNCTION("""COMPUTED_VALUE"""),0.780573865059525)</f>
        <v>0.7805738651</v>
      </c>
      <c r="AA595" s="30">
        <f>IFERROR(__xludf.DUMMYFUNCTION("""COMPUTED_VALUE"""),0.5444270063974992)</f>
        <v>0.5444270064</v>
      </c>
      <c r="AB595" s="30">
        <f>IFERROR(__xludf.DUMMYFUNCTION("""COMPUTED_VALUE"""),1.1923502218444797)</f>
        <v>1.192350222</v>
      </c>
      <c r="AC595" s="30">
        <f>IFERROR(__xludf.DUMMYFUNCTION("""COMPUTED_VALUE"""),2.6785637636148967)</f>
        <v>2.678563764</v>
      </c>
      <c r="AD595" s="30">
        <f>IFERROR(__xludf.DUMMYFUNCTION("""COMPUTED_VALUE"""),0.7514087947701605)</f>
        <v>0.7514087948</v>
      </c>
      <c r="AE595" s="30">
        <f>IFERROR(__xludf.DUMMYFUNCTION("""COMPUTED_VALUE"""),0.6987865849351107)</f>
        <v>0.6987865849</v>
      </c>
      <c r="AF595" s="30">
        <f>IFERROR(__xludf.DUMMYFUNCTION("""COMPUTED_VALUE"""),0.8349061475719299)</f>
        <v>0.8349061476</v>
      </c>
      <c r="AG595" s="30">
        <f>IFERROR(__xludf.DUMMYFUNCTION("""COMPUTED_VALUE"""),0.8386797617675386)</f>
        <v>0.8386797618</v>
      </c>
      <c r="AH595" s="30">
        <f>IFERROR(__xludf.DUMMYFUNCTION("""COMPUTED_VALUE"""),0.6787898212018156)</f>
        <v>0.6787898212</v>
      </c>
      <c r="AI595" s="30">
        <f>IFERROR(__xludf.DUMMYFUNCTION("""COMPUTED_VALUE"""),0.913127866436384)</f>
        <v>0.9131278664</v>
      </c>
      <c r="AJ595" s="30">
        <f>IFERROR(__xludf.DUMMYFUNCTION("""COMPUTED_VALUE"""),0.8385428745226958)</f>
        <v>0.8385428745</v>
      </c>
      <c r="AK595" s="30">
        <f>IFERROR(__xludf.DUMMYFUNCTION("""COMPUTED_VALUE"""),0.8319958820633806)</f>
        <v>0.8319958821</v>
      </c>
      <c r="AL595" s="30">
        <f>IFERROR(__xludf.DUMMYFUNCTION("""COMPUTED_VALUE"""),0.8068376461156476)</f>
        <v>0.8068376461</v>
      </c>
      <c r="AM595" s="30">
        <f>IFERROR(__xludf.DUMMYFUNCTION("""COMPUTED_VALUE"""),0.9610285333598976)</f>
        <v>0.9610285334</v>
      </c>
      <c r="AN595" s="30">
        <f>IFERROR(__xludf.DUMMYFUNCTION("""COMPUTED_VALUE"""),0.7944638288463935)</f>
        <v>0.7944638288</v>
      </c>
      <c r="AO595" s="30">
        <f>IFERROR(__xludf.DUMMYFUNCTION("""COMPUTED_VALUE"""),0.7463352621786139)</f>
        <v>0.7463352622</v>
      </c>
      <c r="AP595" s="30">
        <f>IFERROR(__xludf.DUMMYFUNCTION("""COMPUTED_VALUE"""),0.8816688218789336)</f>
        <v>0.8816688219</v>
      </c>
      <c r="AQ595" s="30">
        <f>IFERROR(__xludf.DUMMYFUNCTION("""COMPUTED_VALUE"""),0.8293839882889568)</f>
        <v>0.8293839883</v>
      </c>
      <c r="AR595" s="30">
        <f>IFERROR(__xludf.DUMMYFUNCTION("""COMPUTED_VALUE"""),0.7640774390182329)</f>
        <v>0.764077439</v>
      </c>
      <c r="AS595" s="30">
        <f>IFERROR(__xludf.DUMMYFUNCTION("""COMPUTED_VALUE"""),32.0)</f>
        <v>32</v>
      </c>
      <c r="AT595" s="30">
        <f>IFERROR(__xludf.DUMMYFUNCTION("""COMPUTED_VALUE"""),0.6595835388946111)</f>
        <v>0.6595835389</v>
      </c>
      <c r="AU595" s="30">
        <f>IFERROR(__xludf.DUMMYFUNCTION("""COMPUTED_VALUE"""),2.06651795298272)</f>
        <v>2.066517953</v>
      </c>
      <c r="AV595" s="32">
        <f>IFERROR(__xludf.DUMMYFUNCTION("""COMPUTED_VALUE"""),29.726402559952323)</f>
        <v>29.72640256</v>
      </c>
      <c r="AW595" s="32">
        <f>IFERROR(__xludf.DUMMYFUNCTION("""COMPUTED_VALUE"""),-4.791591069750093)</f>
        <v>-4.79159107</v>
      </c>
      <c r="AX595" s="32">
        <f>IFERROR(__xludf.DUMMYFUNCTION("""COMPUTED_VALUE"""),15.932408371736322)</f>
        <v>15.93240837</v>
      </c>
      <c r="AY595" s="32">
        <f>IFERROR(__xludf.DUMMYFUNCTION("""COMPUTED_VALUE"""),-11.562302855119436)</f>
        <v>-11.56230286</v>
      </c>
      <c r="AZ595" s="30">
        <f>IFERROR(__xludf.DUMMYFUNCTION("""COMPUTED_VALUE"""),6.770711785369342)</f>
        <v>6.770711785</v>
      </c>
      <c r="BA595" s="30">
        <f>IFERROR(__xludf.DUMMYFUNCTION("""COMPUTED_VALUE"""),2300.0)</f>
        <v>2300</v>
      </c>
    </row>
    <row r="596">
      <c r="A596" s="71" t="str">
        <f>IFERROR(__xludf.DUMMYFUNCTION("""COMPUTED_VALUE"""),"Challenger")</f>
        <v>Challenger</v>
      </c>
      <c r="B596" s="71" t="str">
        <f>IFERROR(__xludf.DUMMYFUNCTION("""COMPUTED_VALUE"""),"RSC007447")</f>
        <v>RSC007447</v>
      </c>
      <c r="C596" s="30" t="str">
        <f>IFERROR(__xludf.DUMMYFUNCTION("""COMPUTED_VALUE"""),"1R3IGN")</f>
        <v>1R3IGN</v>
      </c>
      <c r="D596" s="30"/>
      <c r="E596" s="30">
        <f>IFERROR(__xludf.DUMMYFUNCTION("""COMPUTED_VALUE"""),10.0)</f>
        <v>10</v>
      </c>
      <c r="F596" s="30">
        <f>IFERROR(__xludf.DUMMYFUNCTION("""COMPUTED_VALUE"""),3.0)</f>
        <v>3</v>
      </c>
      <c r="G596" s="42">
        <f>IFERROR(__xludf.DUMMYFUNCTION("""COMPUTED_VALUE"""),7.0)</f>
        <v>7</v>
      </c>
      <c r="H596" s="42">
        <f>IFERROR(__xludf.DUMMYFUNCTION("""COMPUTED_VALUE"""),0.3)</f>
        <v>0.3</v>
      </c>
      <c r="I596" s="42">
        <f>IFERROR(__xludf.DUMMYFUNCTION("""COMPUTED_VALUE"""),0.35714285714285715)</f>
        <v>0.3571428571</v>
      </c>
      <c r="J596" s="30">
        <f>IFERROR(__xludf.DUMMYFUNCTION("""COMPUTED_VALUE"""),228.9)</f>
        <v>228.9</v>
      </c>
      <c r="K596" s="30">
        <f>IFERROR(__xludf.DUMMYFUNCTION("""COMPUTED_VALUE"""),0.5)</f>
        <v>0.5</v>
      </c>
      <c r="L596" s="30">
        <f>IFERROR(__xludf.DUMMYFUNCTION("""COMPUTED_VALUE"""),0.4)</f>
        <v>0.4</v>
      </c>
      <c r="M596" s="30">
        <f>IFERROR(__xludf.DUMMYFUNCTION("""COMPUTED_VALUE"""),0.7)</f>
        <v>0.7</v>
      </c>
      <c r="N596" s="30">
        <f>IFERROR(__xludf.DUMMYFUNCTION("""COMPUTED_VALUE"""),1.4)</f>
        <v>1.4</v>
      </c>
      <c r="O596" s="30">
        <f>IFERROR(__xludf.DUMMYFUNCTION("""COMPUTED_VALUE"""),331.49999999999994)</f>
        <v>331.5</v>
      </c>
      <c r="P596" s="30">
        <f>IFERROR(__xludf.DUMMYFUNCTION("""COMPUTED_VALUE"""),0.8666666666666666)</f>
        <v>0.8666666667</v>
      </c>
      <c r="Q596" s="30">
        <f>IFERROR(__xludf.DUMMYFUNCTION("""COMPUTED_VALUE"""),0.5666666666666667)</f>
        <v>0.5666666667</v>
      </c>
      <c r="R596" s="30">
        <f>IFERROR(__xludf.DUMMYFUNCTION("""COMPUTED_VALUE"""),0.9333333333333333)</f>
        <v>0.9333333333</v>
      </c>
      <c r="S596" s="30">
        <f>IFERROR(__xludf.DUMMYFUNCTION("""COMPUTED_VALUE"""),2.2)</f>
        <v>2.2</v>
      </c>
      <c r="T596" s="30">
        <f>IFERROR(__xludf.DUMMYFUNCTION("""COMPUTED_VALUE"""),323.34887677711384)</f>
        <v>323.3488768</v>
      </c>
      <c r="U596" s="30">
        <f>IFERROR(__xludf.DUMMYFUNCTION("""COMPUTED_VALUE"""),0.7884025469691001)</f>
        <v>0.788402547</v>
      </c>
      <c r="V596" s="30">
        <f>IFERROR(__xludf.DUMMYFUNCTION("""COMPUTED_VALUE"""),0.4916109228533491)</f>
        <v>0.4916109229</v>
      </c>
      <c r="W596" s="30">
        <f>IFERROR(__xludf.DUMMYFUNCTION("""COMPUTED_VALUE"""),1.0907781893846464)</f>
        <v>1.090778189</v>
      </c>
      <c r="X596" s="30">
        <f>IFERROR(__xludf.DUMMYFUNCTION("""COMPUTED_VALUE"""),2.3659040095041224)</f>
        <v>2.36590401</v>
      </c>
      <c r="Y596" s="30">
        <f>IFERROR(__xludf.DUMMYFUNCTION("""COMPUTED_VALUE"""),333.64172264041935)</f>
        <v>333.6417226</v>
      </c>
      <c r="Z596" s="30">
        <f>IFERROR(__xludf.DUMMYFUNCTION("""COMPUTED_VALUE"""),0.7990501842135196)</f>
        <v>0.7990501842</v>
      </c>
      <c r="AA596" s="30">
        <f>IFERROR(__xludf.DUMMYFUNCTION("""COMPUTED_VALUE"""),0.5427952965500058)</f>
        <v>0.5427952966</v>
      </c>
      <c r="AB596" s="30">
        <f>IFERROR(__xludf.DUMMYFUNCTION("""COMPUTED_VALUE"""),1.179030402463605)</f>
        <v>1.179030402</v>
      </c>
      <c r="AC596" s="30">
        <f>IFERROR(__xludf.DUMMYFUNCTION("""COMPUTED_VALUE"""),2.4025933895133194)</f>
        <v>2.40259339</v>
      </c>
      <c r="AD596" s="30">
        <f>IFERROR(__xludf.DUMMYFUNCTION("""COMPUTED_VALUE"""),0.686065274416221)</f>
        <v>0.6860652744</v>
      </c>
      <c r="AE596" s="30">
        <f>IFERROR(__xludf.DUMMYFUNCTION("""COMPUTED_VALUE"""),0.6257429256363097)</f>
        <v>0.6257429256</v>
      </c>
      <c r="AF596" s="30">
        <f>IFERROR(__xludf.DUMMYFUNCTION("""COMPUTED_VALUE"""),0.7369260613391285)</f>
        <v>0.7369260613</v>
      </c>
      <c r="AG596" s="30">
        <f>IFERROR(__xludf.DUMMYFUNCTION("""COMPUTED_VALUE"""),0.5937081847400522)</f>
        <v>0.5937081847</v>
      </c>
      <c r="AH596" s="30">
        <f>IFERROR(__xludf.DUMMYFUNCTION("""COMPUTED_VALUE"""),0.5827036759988716)</f>
        <v>0.582703676</v>
      </c>
      <c r="AI596" s="30">
        <f>IFERROR(__xludf.DUMMYFUNCTION("""COMPUTED_VALUE"""),1.025208447618962)</f>
        <v>1.025208448</v>
      </c>
      <c r="AJ596" s="30">
        <f>IFERROR(__xludf.DUMMYFUNCTION("""COMPUTED_VALUE"""),1.099269237521418)</f>
        <v>1.099269238</v>
      </c>
      <c r="AK596" s="30">
        <f>IFERROR(__xludf.DUMMYFUNCTION("""COMPUTED_VALUE"""),1.1526730597800554)</f>
        <v>1.15267306</v>
      </c>
      <c r="AL596" s="30">
        <f>IFERROR(__xludf.DUMMYFUNCTION("""COMPUTED_VALUE"""),0.8556582286082065)</f>
        <v>0.8556582286</v>
      </c>
      <c r="AM596" s="30">
        <f>IFERROR(__xludf.DUMMYFUNCTION("""COMPUTED_VALUE"""),0.92987711722975)</f>
        <v>0.9298771172</v>
      </c>
      <c r="AN596" s="30">
        <f>IFERROR(__xludf.DUMMYFUNCTION("""COMPUTED_VALUE"""),0.7036160656533009)</f>
        <v>0.7036160657</v>
      </c>
      <c r="AO596" s="30">
        <f>IFERROR(__xludf.DUMMYFUNCTION("""COMPUTED_VALUE"""),0.6841406569970628)</f>
        <v>0.684140657</v>
      </c>
      <c r="AP596" s="30">
        <f>IFERROR(__xludf.DUMMYFUNCTION("""COMPUTED_VALUE"""),0.7758685632534617)</f>
        <v>0.7758685633</v>
      </c>
      <c r="AQ596" s="30">
        <f>IFERROR(__xludf.DUMMYFUNCTION("""COMPUTED_VALUE"""),0.5805687918022697)</f>
        <v>0.5805687918</v>
      </c>
      <c r="AR596" s="30">
        <f>IFERROR(__xludf.DUMMYFUNCTION("""COMPUTED_VALUE"""),0.5883396280440393)</f>
        <v>0.588339628</v>
      </c>
      <c r="AS596" s="30">
        <f>IFERROR(__xludf.DUMMYFUNCTION("""COMPUTED_VALUE"""),14.0)</f>
        <v>14</v>
      </c>
      <c r="AT596" s="30">
        <f>IFERROR(__xludf.DUMMYFUNCTION("""COMPUTED_VALUE"""),0.2846462935742301)</f>
        <v>0.2846462936</v>
      </c>
      <c r="AU596" s="30">
        <f>IFERROR(__xludf.DUMMYFUNCTION("""COMPUTED_VALUE"""),1.4035355524080997)</f>
        <v>1.403535552</v>
      </c>
      <c r="AV596" s="32">
        <f>IFERROR(__xludf.DUMMYFUNCTION("""COMPUTED_VALUE"""),12.423715024782481)</f>
        <v>12.42371502</v>
      </c>
      <c r="AW596" s="32">
        <f>IFERROR(__xludf.DUMMYFUNCTION("""COMPUTED_VALUE"""),-15.057316783972642)</f>
        <v>-15.05731678</v>
      </c>
      <c r="AX596" s="32">
        <f>IFERROR(__xludf.DUMMYFUNCTION("""COMPUTED_VALUE"""),20.622399750707388)</f>
        <v>20.62239975</v>
      </c>
      <c r="AY596" s="32">
        <f>IFERROR(__xludf.DUMMYFUNCTION("""COMPUTED_VALUE"""),-8.334961895412254)</f>
        <v>-8.334961895</v>
      </c>
      <c r="AZ596" s="30">
        <f>IFERROR(__xludf.DUMMYFUNCTION("""COMPUTED_VALUE"""),6.722354888560387)</f>
        <v>6.722354889</v>
      </c>
      <c r="BA596" s="30">
        <f>IFERROR(__xludf.DUMMYFUNCTION("""COMPUTED_VALUE"""),2300.0)</f>
        <v>2300</v>
      </c>
    </row>
    <row r="597">
      <c r="A597" s="71" t="str">
        <f>IFERROR(__xludf.DUMMYFUNCTION("""COMPUTED_VALUE"""),"Challenger")</f>
        <v>Challenger</v>
      </c>
      <c r="B597" s="71" t="str">
        <f>IFERROR(__xludf.DUMMYFUNCTION("""COMPUTED_VALUE"""),"RSC007291")</f>
        <v>RSC007291</v>
      </c>
      <c r="C597" s="30" t="str">
        <f>IFERROR(__xludf.DUMMYFUNCTION("""COMPUTED_VALUE"""),"brdtrd999")</f>
        <v>brdtrd999</v>
      </c>
      <c r="D597" s="30" t="str">
        <f>IFERROR(__xludf.DUMMYFUNCTION("""COMPUTED_VALUE"""),"Hydras")</f>
        <v>Hydras</v>
      </c>
      <c r="E597" s="30">
        <f>IFERROR(__xludf.DUMMYFUNCTION("""COMPUTED_VALUE"""),38.0)</f>
        <v>38</v>
      </c>
      <c r="F597" s="30">
        <f>IFERROR(__xludf.DUMMYFUNCTION("""COMPUTED_VALUE"""),23.0)</f>
        <v>23</v>
      </c>
      <c r="G597" s="42">
        <f>IFERROR(__xludf.DUMMYFUNCTION("""COMPUTED_VALUE"""),15.0)</f>
        <v>15</v>
      </c>
      <c r="H597" s="42">
        <f>IFERROR(__xludf.DUMMYFUNCTION("""COMPUTED_VALUE"""),0.6052631578947368)</f>
        <v>0.6052631579</v>
      </c>
      <c r="I597" s="42">
        <f>IFERROR(__xludf.DUMMYFUNCTION("""COMPUTED_VALUE"""),0.3333333333333333)</f>
        <v>0.3333333333</v>
      </c>
      <c r="J597" s="30">
        <f>IFERROR(__xludf.DUMMYFUNCTION("""COMPUTED_VALUE"""),347.63157894736844)</f>
        <v>347.6315789</v>
      </c>
      <c r="K597" s="30">
        <f>IFERROR(__xludf.DUMMYFUNCTION("""COMPUTED_VALUE"""),0.9473684210526315)</f>
        <v>0.9473684211</v>
      </c>
      <c r="L597" s="30">
        <f>IFERROR(__xludf.DUMMYFUNCTION("""COMPUTED_VALUE"""),0.47368421052631576)</f>
        <v>0.4736842105</v>
      </c>
      <c r="M597" s="30">
        <f>IFERROR(__xludf.DUMMYFUNCTION("""COMPUTED_VALUE"""),1.1842105263157894)</f>
        <v>1.184210526</v>
      </c>
      <c r="N597" s="30">
        <f>IFERROR(__xludf.DUMMYFUNCTION("""COMPUTED_VALUE"""),2.8421052631578947)</f>
        <v>2.842105263</v>
      </c>
      <c r="O597" s="30">
        <f>IFERROR(__xludf.DUMMYFUNCTION("""COMPUTED_VALUE"""),337.65789473684214)</f>
        <v>337.6578947</v>
      </c>
      <c r="P597" s="30">
        <f>IFERROR(__xludf.DUMMYFUNCTION("""COMPUTED_VALUE"""),0.7368421052631579)</f>
        <v>0.7368421053</v>
      </c>
      <c r="Q597" s="30">
        <f>IFERROR(__xludf.DUMMYFUNCTION("""COMPUTED_VALUE"""),0.5000000000000001)</f>
        <v>0.5</v>
      </c>
      <c r="R597" s="30">
        <f>IFERROR(__xludf.DUMMYFUNCTION("""COMPUTED_VALUE"""),1.3245614035087723)</f>
        <v>1.324561404</v>
      </c>
      <c r="S597" s="30">
        <f>IFERROR(__xludf.DUMMYFUNCTION("""COMPUTED_VALUE"""),2.6666666666666665)</f>
        <v>2.666666667</v>
      </c>
      <c r="T597" s="30">
        <f>IFERROR(__xludf.DUMMYFUNCTION("""COMPUTED_VALUE"""),336.1706303045186)</f>
        <v>336.1706303</v>
      </c>
      <c r="U597" s="30">
        <f>IFERROR(__xludf.DUMMYFUNCTION("""COMPUTED_VALUE"""),0.7459783683692034)</f>
        <v>0.7459783684</v>
      </c>
      <c r="V597" s="30">
        <f>IFERROR(__xludf.DUMMYFUNCTION("""COMPUTED_VALUE"""),0.5314375567082117)</f>
        <v>0.5314375567</v>
      </c>
      <c r="W597" s="30">
        <f>IFERROR(__xludf.DUMMYFUNCTION("""COMPUTED_VALUE"""),1.2937676262329745)</f>
        <v>1.293767626</v>
      </c>
      <c r="X597" s="30">
        <f>IFERROR(__xludf.DUMMYFUNCTION("""COMPUTED_VALUE"""),2.4375358526739537)</f>
        <v>2.437535853</v>
      </c>
      <c r="Y597" s="30">
        <f>IFERROR(__xludf.DUMMYFUNCTION("""COMPUTED_VALUE"""),337.60510761268426)</f>
        <v>337.6051076</v>
      </c>
      <c r="Z597" s="30">
        <f>IFERROR(__xludf.DUMMYFUNCTION("""COMPUTED_VALUE"""),0.7446646210114402)</f>
        <v>0.744664621</v>
      </c>
      <c r="AA597" s="30">
        <f>IFERROR(__xludf.DUMMYFUNCTION("""COMPUTED_VALUE"""),0.5079594282021682)</f>
        <v>0.5079594282</v>
      </c>
      <c r="AB597" s="30">
        <f>IFERROR(__xludf.DUMMYFUNCTION("""COMPUTED_VALUE"""),1.2679664024985193)</f>
        <v>1.267966402</v>
      </c>
      <c r="AC597" s="30">
        <f>IFERROR(__xludf.DUMMYFUNCTION("""COMPUTED_VALUE"""),2.5160537780199537)</f>
        <v>2.516053778</v>
      </c>
      <c r="AD597" s="30">
        <f>IFERROR(__xludf.DUMMYFUNCTION("""COMPUTED_VALUE"""),1.0296988141132835)</f>
        <v>1.029698814</v>
      </c>
      <c r="AE597" s="30">
        <f>IFERROR(__xludf.DUMMYFUNCTION("""COMPUTED_VALUE"""),1.2722081784493389)</f>
        <v>1.272208178</v>
      </c>
      <c r="AF597" s="30">
        <f>IFERROR(__xludf.DUMMYFUNCTION("""COMPUTED_VALUE"""),0.9325237100191969)</f>
        <v>0.93252371</v>
      </c>
      <c r="AG597" s="30">
        <f>IFERROR(__xludf.DUMMYFUNCTION("""COMPUTED_VALUE"""),0.933944719656854)</f>
        <v>0.9339447197</v>
      </c>
      <c r="AH597" s="30">
        <f>IFERROR(__xludf.DUMMYFUNCTION("""COMPUTED_VALUE"""),1.1295884404325143)</f>
        <v>1.12958844</v>
      </c>
      <c r="AI597" s="30">
        <f>IFERROR(__xludf.DUMMYFUNCTION("""COMPUTED_VALUE"""),1.0044241355378853)</f>
        <v>1.004424136</v>
      </c>
      <c r="AJ597" s="30">
        <f>IFERROR(__xludf.DUMMYFUNCTION("""COMPUTED_VALUE"""),0.9877526433829195)</f>
        <v>0.9877526434</v>
      </c>
      <c r="AK597" s="30">
        <f>IFERROR(__xludf.DUMMYFUNCTION("""COMPUTED_VALUE"""),0.9408443074611821)</f>
        <v>0.9408443075</v>
      </c>
      <c r="AL597" s="30">
        <f>IFERROR(__xludf.DUMMYFUNCTION("""COMPUTED_VALUE"""),1.02380162917313)</f>
        <v>1.023801629</v>
      </c>
      <c r="AM597" s="30">
        <f>IFERROR(__xludf.DUMMYFUNCTION("""COMPUTED_VALUE"""),1.0940010025868372)</f>
        <v>1.094001003</v>
      </c>
      <c r="AN597" s="30">
        <f>IFERROR(__xludf.DUMMYFUNCTION("""COMPUTED_VALUE"""),1.0685852506587692)</f>
        <v>1.068585251</v>
      </c>
      <c r="AO597" s="30">
        <f>IFERROR(__xludf.DUMMYFUNCTION("""COMPUTED_VALUE"""),1.2962665079944347)</f>
        <v>1.296266508</v>
      </c>
      <c r="AP597" s="30">
        <f>IFERROR(__xludf.DUMMYFUNCTION("""COMPUTED_VALUE"""),0.918791719642257)</f>
        <v>0.9187917196</v>
      </c>
      <c r="AQ597" s="30">
        <f>IFERROR(__xludf.DUMMYFUNCTION("""COMPUTED_VALUE"""),0.982165249289554)</f>
        <v>0.9821652493</v>
      </c>
      <c r="AR597" s="30">
        <f>IFERROR(__xludf.DUMMYFUNCTION("""COMPUTED_VALUE"""),1.1943736809916587)</f>
        <v>1.194373681</v>
      </c>
      <c r="AS597" s="30">
        <f>IFERROR(__xludf.DUMMYFUNCTION("""COMPUTED_VALUE"""),96.0)</f>
        <v>96</v>
      </c>
      <c r="AT597" s="30">
        <f>IFERROR(__xludf.DUMMYFUNCTION("""COMPUTED_VALUE"""),0.5519776806192137)</f>
        <v>0.5519776806</v>
      </c>
      <c r="AU597" s="30">
        <f>IFERROR(__xludf.DUMMYFUNCTION("""COMPUTED_VALUE"""),3.460818843679266)</f>
        <v>3.460818844</v>
      </c>
      <c r="AV597" s="32">
        <f>IFERROR(__xludf.DUMMYFUNCTION("""COMPUTED_VALUE"""),66.11523071107908)</f>
        <v>66.11523071</v>
      </c>
      <c r="AW597" s="32">
        <f>IFERROR(__xludf.DUMMYFUNCTION("""COMPUTED_VALUE"""),3.852225153260538)</f>
        <v>3.852225153</v>
      </c>
      <c r="AX597" s="32">
        <f>IFERROR(__xludf.DUMMYFUNCTION("""COMPUTED_VALUE"""),46.41144196088785)</f>
        <v>46.41144196</v>
      </c>
      <c r="AY597" s="32">
        <f>IFERROR(__xludf.DUMMYFUNCTION("""COMPUTED_VALUE"""),-2.2576882735995585)</f>
        <v>-2.257688274</v>
      </c>
      <c r="AZ597" s="30">
        <f>IFERROR(__xludf.DUMMYFUNCTION("""COMPUTED_VALUE"""),6.109913426860096)</f>
        <v>6.109913427</v>
      </c>
      <c r="BA597" s="30">
        <f>IFERROR(__xludf.DUMMYFUNCTION("""COMPUTED_VALUE"""),2300.0)</f>
        <v>2300</v>
      </c>
    </row>
    <row r="598">
      <c r="A598" s="71" t="str">
        <f>IFERROR(__xludf.DUMMYFUNCTION("""COMPUTED_VALUE"""),"Challenger")</f>
        <v>Challenger</v>
      </c>
      <c r="B598" s="71" t="str">
        <f>IFERROR(__xludf.DUMMYFUNCTION("""COMPUTED_VALUE"""),"RSC007256")</f>
        <v>RSC007256</v>
      </c>
      <c r="C598" s="30" t="str">
        <f>IFERROR(__xludf.DUMMYFUNCTION("""COMPUTED_VALUE"""),"Dark Odst RW7")</f>
        <v>Dark Odst RW7</v>
      </c>
      <c r="D598" s="30" t="str">
        <f>IFERROR(__xludf.DUMMYFUNCTION("""COMPUTED_VALUE"""),"Deceased")</f>
        <v>Deceased</v>
      </c>
      <c r="E598" s="30">
        <f>IFERROR(__xludf.DUMMYFUNCTION("""COMPUTED_VALUE"""),43.0)</f>
        <v>43</v>
      </c>
      <c r="F598" s="30">
        <f>IFERROR(__xludf.DUMMYFUNCTION("""COMPUTED_VALUE"""),27.0)</f>
        <v>27</v>
      </c>
      <c r="G598" s="42">
        <f>IFERROR(__xludf.DUMMYFUNCTION("""COMPUTED_VALUE"""),16.0)</f>
        <v>16</v>
      </c>
      <c r="H598" s="42">
        <f>IFERROR(__xludf.DUMMYFUNCTION("""COMPUTED_VALUE"""),0.627906976744186)</f>
        <v>0.6279069767</v>
      </c>
      <c r="I598" s="42">
        <f>IFERROR(__xludf.DUMMYFUNCTION("""COMPUTED_VALUE"""),0.3165467625899281)</f>
        <v>0.3165467626</v>
      </c>
      <c r="J598" s="30">
        <f>IFERROR(__xludf.DUMMYFUNCTION("""COMPUTED_VALUE"""),383.93023255813955)</f>
        <v>383.9302326</v>
      </c>
      <c r="K598" s="30">
        <f>IFERROR(__xludf.DUMMYFUNCTION("""COMPUTED_VALUE"""),1.0232558139534884)</f>
        <v>1.023255814</v>
      </c>
      <c r="L598" s="30">
        <f>IFERROR(__xludf.DUMMYFUNCTION("""COMPUTED_VALUE"""),0.6046511627906976)</f>
        <v>0.6046511628</v>
      </c>
      <c r="M598" s="30">
        <f>IFERROR(__xludf.DUMMYFUNCTION("""COMPUTED_VALUE"""),1.302325581395349)</f>
        <v>1.302325581</v>
      </c>
      <c r="N598" s="30">
        <f>IFERROR(__xludf.DUMMYFUNCTION("""COMPUTED_VALUE"""),3.2325581395348837)</f>
        <v>3.23255814</v>
      </c>
      <c r="O598" s="30">
        <f>IFERROR(__xludf.DUMMYFUNCTION("""COMPUTED_VALUE"""),341.8449612403101)</f>
        <v>341.8449612</v>
      </c>
      <c r="P598" s="30">
        <f>IFERROR(__xludf.DUMMYFUNCTION("""COMPUTED_VALUE"""),0.6201550387596898)</f>
        <v>0.6201550388</v>
      </c>
      <c r="Q598" s="30">
        <f>IFERROR(__xludf.DUMMYFUNCTION("""COMPUTED_VALUE"""),0.4573643410852712)</f>
        <v>0.4573643411</v>
      </c>
      <c r="R598" s="30">
        <f>IFERROR(__xludf.DUMMYFUNCTION("""COMPUTED_VALUE"""),1.5271317829457365)</f>
        <v>1.527131783</v>
      </c>
      <c r="S598" s="30">
        <f>IFERROR(__xludf.DUMMYFUNCTION("""COMPUTED_VALUE"""),2.2015503875969)</f>
        <v>2.201550388</v>
      </c>
      <c r="T598" s="30">
        <f>IFERROR(__xludf.DUMMYFUNCTION("""COMPUTED_VALUE"""),328.5208076008868)</f>
        <v>328.5208076</v>
      </c>
      <c r="U598" s="30">
        <f>IFERROR(__xludf.DUMMYFUNCTION("""COMPUTED_VALUE"""),0.7384603253814702)</f>
        <v>0.7384603254</v>
      </c>
      <c r="V598" s="30">
        <f>IFERROR(__xludf.DUMMYFUNCTION("""COMPUTED_VALUE"""),0.49640384155032385)</f>
        <v>0.4964038416</v>
      </c>
      <c r="W598" s="30">
        <f>IFERROR(__xludf.DUMMYFUNCTION("""COMPUTED_VALUE"""),1.253598883975486)</f>
        <v>1.253598884</v>
      </c>
      <c r="X598" s="30">
        <f>IFERROR(__xludf.DUMMYFUNCTION("""COMPUTED_VALUE"""),2.3286871967585294)</f>
        <v>2.328687197</v>
      </c>
      <c r="Y598" s="30">
        <f>IFERROR(__xludf.DUMMYFUNCTION("""COMPUTED_VALUE"""),344.774096291704)</f>
        <v>344.7740963</v>
      </c>
      <c r="Z598" s="30">
        <f>IFERROR(__xludf.DUMMYFUNCTION("""COMPUTED_VALUE"""),0.8412538187139801)</f>
        <v>0.8412538187</v>
      </c>
      <c r="AA598" s="30">
        <f>IFERROR(__xludf.DUMMYFUNCTION("""COMPUTED_VALUE"""),0.5871208854770756)</f>
        <v>0.5871208855</v>
      </c>
      <c r="AB598" s="30">
        <f>IFERROR(__xludf.DUMMYFUNCTION("""COMPUTED_VALUE"""),1.171081000310064)</f>
        <v>1.171081</v>
      </c>
      <c r="AC598" s="30">
        <f>IFERROR(__xludf.DUMMYFUNCTION("""COMPUTED_VALUE"""),2.598430194010124)</f>
        <v>2.598430194</v>
      </c>
      <c r="AD598" s="30">
        <f>IFERROR(__xludf.DUMMYFUNCTION("""COMPUTED_VALUE"""),1.113570412300658)</f>
        <v>1.113570412</v>
      </c>
      <c r="AE598" s="30">
        <f>IFERROR(__xludf.DUMMYFUNCTION("""COMPUTED_VALUE"""),1.2163461148000894)</f>
        <v>1.216346115</v>
      </c>
      <c r="AF598" s="30">
        <f>IFERROR(__xludf.DUMMYFUNCTION("""COMPUTED_VALUE"""),1.029858037326295)</f>
        <v>1.029858037</v>
      </c>
      <c r="AG598" s="30">
        <f>IFERROR(__xludf.DUMMYFUNCTION("""COMPUTED_VALUE"""),1.1120713093718844)</f>
        <v>1.112071309</v>
      </c>
      <c r="AH598" s="30">
        <f>IFERROR(__xludf.DUMMYFUNCTION("""COMPUTED_VALUE"""),1.2440427097047075)</f>
        <v>1.24404271</v>
      </c>
      <c r="AI598" s="30">
        <f>IFERROR(__xludf.DUMMYFUNCTION("""COMPUTED_VALUE"""),1.0405580204697735)</f>
        <v>1.04055802</v>
      </c>
      <c r="AJ598" s="30">
        <f>IFERROR(__xludf.DUMMYFUNCTION("""COMPUTED_VALUE"""),0.8397946611950116)</f>
        <v>0.8397946612</v>
      </c>
      <c r="AK598" s="30">
        <f>IFERROR(__xludf.DUMMYFUNCTION("""COMPUTED_VALUE"""),0.9213553619103189)</f>
        <v>0.9213553619</v>
      </c>
      <c r="AL598" s="30">
        <f>IFERROR(__xludf.DUMMYFUNCTION("""COMPUTED_VALUE"""),1.2181981034498108)</f>
        <v>1.218198103</v>
      </c>
      <c r="AM598" s="30">
        <f>IFERROR(__xludf.DUMMYFUNCTION("""COMPUTED_VALUE"""),0.9454040846110201)</f>
        <v>0.9454040846</v>
      </c>
      <c r="AN598" s="30">
        <f>IFERROR(__xludf.DUMMYFUNCTION("""COMPUTED_VALUE"""),1.1801637383919397)</f>
        <v>1.180163738</v>
      </c>
      <c r="AO598" s="30">
        <f>IFERROR(__xludf.DUMMYFUNCTION("""COMPUTED_VALUE"""),1.4001018096684077)</f>
        <v>1.40010181</v>
      </c>
      <c r="AP598" s="30">
        <f>IFERROR(__xludf.DUMMYFUNCTION("""COMPUTED_VALUE"""),1.1728245723598836)</f>
        <v>1.172824572</v>
      </c>
      <c r="AQ598" s="30">
        <f>IFERROR(__xludf.DUMMYFUNCTION("""COMPUTED_VALUE"""),1.0801279847484089)</f>
        <v>1.080127985</v>
      </c>
      <c r="AR598" s="30">
        <f>IFERROR(__xludf.DUMMYFUNCTION("""COMPUTED_VALUE"""),1.3584586096033466)</f>
        <v>1.35845861</v>
      </c>
      <c r="AS598" s="30">
        <f>IFERROR(__xludf.DUMMYFUNCTION("""COMPUTED_VALUE"""),124.0)</f>
        <v>124</v>
      </c>
      <c r="AT598" s="30">
        <f>IFERROR(__xludf.DUMMYFUNCTION("""COMPUTED_VALUE"""),0.6648869985423563)</f>
        <v>0.6648869985</v>
      </c>
      <c r="AU598" s="30">
        <f>IFERROR(__xludf.DUMMYFUNCTION("""COMPUTED_VALUE"""),4.01390614241529)</f>
        <v>4.013906142</v>
      </c>
      <c r="AV598" s="32">
        <f>IFERROR(__xludf.DUMMYFUNCTION("""COMPUTED_VALUE"""),80.54984722790687)</f>
        <v>80.54984723</v>
      </c>
      <c r="AW598" s="32">
        <f>IFERROR(__xludf.DUMMYFUNCTION("""COMPUTED_VALUE"""),9.020795454485505)</f>
        <v>9.020795454</v>
      </c>
      <c r="AX598" s="32">
        <f>IFERROR(__xludf.DUMMYFUNCTION("""COMPUTED_VALUE"""),60.13647706628417)</f>
        <v>60.13647707</v>
      </c>
      <c r="AY598" s="32">
        <f>IFERROR(__xludf.DUMMYFUNCTION("""COMPUTED_VALUE"""),2.919111042140621)</f>
        <v>2.919111042</v>
      </c>
      <c r="AZ598" s="30">
        <f>IFERROR(__xludf.DUMMYFUNCTION("""COMPUTED_VALUE"""),6.101684412344884)</f>
        <v>6.101684412</v>
      </c>
      <c r="BA598" s="30">
        <f>IFERROR(__xludf.DUMMYFUNCTION("""COMPUTED_VALUE"""),2300.0)</f>
        <v>2300</v>
      </c>
    </row>
    <row r="599">
      <c r="A599" s="71" t="str">
        <f>IFERROR(__xludf.DUMMYFUNCTION("""COMPUTED_VALUE"""),"Challenger")</f>
        <v>Challenger</v>
      </c>
      <c r="B599" s="71" t="str">
        <f>IFERROR(__xludf.DUMMYFUNCTION("""COMPUTED_VALUE"""),"RSC006067")</f>
        <v>RSC006067</v>
      </c>
      <c r="C599" s="30" t="str">
        <f>IFERROR(__xludf.DUMMYFUNCTION("""COMPUTED_VALUE"""),"ShinxX403")</f>
        <v>ShinxX403</v>
      </c>
      <c r="D599" s="30" t="str">
        <f>IFERROR(__xludf.DUMMYFUNCTION("""COMPUTED_VALUE"""),"Panda Bears")</f>
        <v>Panda Bears</v>
      </c>
      <c r="E599" s="30">
        <f>IFERROR(__xludf.DUMMYFUNCTION("""COMPUTED_VALUE"""),32.0)</f>
        <v>32</v>
      </c>
      <c r="F599" s="30">
        <f>IFERROR(__xludf.DUMMYFUNCTION("""COMPUTED_VALUE"""),19.0)</f>
        <v>19</v>
      </c>
      <c r="G599" s="42">
        <f>IFERROR(__xludf.DUMMYFUNCTION("""COMPUTED_VALUE"""),13.0)</f>
        <v>13</v>
      </c>
      <c r="H599" s="42">
        <f>IFERROR(__xludf.DUMMYFUNCTION("""COMPUTED_VALUE"""),0.59375)</f>
        <v>0.59375</v>
      </c>
      <c r="I599" s="42">
        <f>IFERROR(__xludf.DUMMYFUNCTION("""COMPUTED_VALUE"""),0.31)</f>
        <v>0.31</v>
      </c>
      <c r="J599" s="30">
        <f>IFERROR(__xludf.DUMMYFUNCTION("""COMPUTED_VALUE"""),368.9375)</f>
        <v>368.9375</v>
      </c>
      <c r="K599" s="30">
        <f>IFERROR(__xludf.DUMMYFUNCTION("""COMPUTED_VALUE"""),0.96875)</f>
        <v>0.96875</v>
      </c>
      <c r="L599" s="30">
        <f>IFERROR(__xludf.DUMMYFUNCTION("""COMPUTED_VALUE"""),0.59375)</f>
        <v>0.59375</v>
      </c>
      <c r="M599" s="30">
        <f>IFERROR(__xludf.DUMMYFUNCTION("""COMPUTED_VALUE"""),1.34375)</f>
        <v>1.34375</v>
      </c>
      <c r="N599" s="30">
        <f>IFERROR(__xludf.DUMMYFUNCTION("""COMPUTED_VALUE"""),3.125)</f>
        <v>3.125</v>
      </c>
      <c r="O599" s="30">
        <f>IFERROR(__xludf.DUMMYFUNCTION("""COMPUTED_VALUE"""),351.3229166666667)</f>
        <v>351.3229167</v>
      </c>
      <c r="P599" s="30">
        <f>IFERROR(__xludf.DUMMYFUNCTION("""COMPUTED_VALUE"""),0.65625)</f>
        <v>0.65625</v>
      </c>
      <c r="Q599" s="30">
        <f>IFERROR(__xludf.DUMMYFUNCTION("""COMPUTED_VALUE"""),0.4583333333333333)</f>
        <v>0.4583333333</v>
      </c>
      <c r="R599" s="30">
        <f>IFERROR(__xludf.DUMMYFUNCTION("""COMPUTED_VALUE"""),1.5520833333333328)</f>
        <v>1.552083333</v>
      </c>
      <c r="S599" s="30">
        <f>IFERROR(__xludf.DUMMYFUNCTION("""COMPUTED_VALUE"""),2.6666666666666665)</f>
        <v>2.666666667</v>
      </c>
      <c r="T599" s="30">
        <f>IFERROR(__xludf.DUMMYFUNCTION("""COMPUTED_VALUE"""),338.3990514549338)</f>
        <v>338.3990515</v>
      </c>
      <c r="U599" s="30">
        <f>IFERROR(__xludf.DUMMYFUNCTION("""COMPUTED_VALUE"""),0.7593677832877703)</f>
        <v>0.7593677833</v>
      </c>
      <c r="V599" s="30">
        <f>IFERROR(__xludf.DUMMYFUNCTION("""COMPUTED_VALUE"""),0.5449948594267433)</f>
        <v>0.5449948594</v>
      </c>
      <c r="W599" s="30">
        <f>IFERROR(__xludf.DUMMYFUNCTION("""COMPUTED_VALUE"""),1.287883386320552)</f>
        <v>1.287883386</v>
      </c>
      <c r="X599" s="30">
        <f>IFERROR(__xludf.DUMMYFUNCTION("""COMPUTED_VALUE"""),2.423461268349626)</f>
        <v>2.423461268</v>
      </c>
      <c r="Y599" s="30">
        <f>IFERROR(__xludf.DUMMYFUNCTION("""COMPUTED_VALUE"""),331.34114699476544)</f>
        <v>331.341147</v>
      </c>
      <c r="Z599" s="30">
        <f>IFERROR(__xludf.DUMMYFUNCTION("""COMPUTED_VALUE"""),0.7606862532655859)</f>
        <v>0.7606862533</v>
      </c>
      <c r="AA599" s="30">
        <f>IFERROR(__xludf.DUMMYFUNCTION("""COMPUTED_VALUE"""),0.5273161520274764)</f>
        <v>0.527316152</v>
      </c>
      <c r="AB599" s="30">
        <f>IFERROR(__xludf.DUMMYFUNCTION("""COMPUTED_VALUE"""),1.2036602140256623)</f>
        <v>1.203660214</v>
      </c>
      <c r="AC599" s="30">
        <f>IFERROR(__xludf.DUMMYFUNCTION("""COMPUTED_VALUE"""),2.4875881588012905)</f>
        <v>2.487588159</v>
      </c>
      <c r="AD599" s="30">
        <f>IFERROR(__xludf.DUMMYFUNCTION("""COMPUTED_VALUE"""),1.1134672024474779)</f>
        <v>1.113467202</v>
      </c>
      <c r="AE599" s="30">
        <f>IFERROR(__xludf.DUMMYFUNCTION("""COMPUTED_VALUE"""),1.2735211078696471)</f>
        <v>1.273521108</v>
      </c>
      <c r="AF599" s="30">
        <f>IFERROR(__xludf.DUMMYFUNCTION("""COMPUTED_VALUE"""),1.1259848531418815)</f>
        <v>1.125984853</v>
      </c>
      <c r="AG599" s="30">
        <f>IFERROR(__xludf.DUMMYFUNCTION("""COMPUTED_VALUE"""),1.1163864887631412)</f>
        <v>1.116386489</v>
      </c>
      <c r="AH599" s="30">
        <f>IFERROR(__xludf.DUMMYFUNCTION("""COMPUTED_VALUE"""),1.2562368850902808)</f>
        <v>1.256236885</v>
      </c>
      <c r="AI599" s="30">
        <f>IFERROR(__xludf.DUMMYFUNCTION("""COMPUTED_VALUE"""),1.038191198102262)</f>
        <v>1.038191198</v>
      </c>
      <c r="AJ599" s="30">
        <f>IFERROR(__xludf.DUMMYFUNCTION("""COMPUTED_VALUE"""),0.8642057438342854)</f>
        <v>0.8642057438</v>
      </c>
      <c r="AK599" s="30">
        <f>IFERROR(__xludf.DUMMYFUNCTION("""COMPUTED_VALUE"""),0.8409865256627089)</f>
        <v>0.8409865257</v>
      </c>
      <c r="AL599" s="30">
        <f>IFERROR(__xludf.DUMMYFUNCTION("""COMPUTED_VALUE"""),1.2051427557952998)</f>
        <v>1.205142756</v>
      </c>
      <c r="AM599" s="30">
        <f>IFERROR(__xludf.DUMMYFUNCTION("""COMPUTED_VALUE"""),1.1003545637362973)</f>
        <v>1.100354564</v>
      </c>
      <c r="AN599" s="30">
        <f>IFERROR(__xludf.DUMMYFUNCTION("""COMPUTED_VALUE"""),1.1340775544865211)</f>
        <v>1.134077554</v>
      </c>
      <c r="AO599" s="30">
        <f>IFERROR(__xludf.DUMMYFUNCTION("""COMPUTED_VALUE"""),1.325522522931809)</f>
        <v>1.325522523</v>
      </c>
      <c r="AP599" s="30">
        <f>IFERROR(__xludf.DUMMYFUNCTION("""COMPUTED_VALUE"""),1.151679898579357)</f>
        <v>1.151679899</v>
      </c>
      <c r="AQ599" s="30">
        <f>IFERROR(__xludf.DUMMYFUNCTION("""COMPUTED_VALUE"""),1.1144847342632858)</f>
        <v>1.114484734</v>
      </c>
      <c r="AR599" s="30">
        <f>IFERROR(__xludf.DUMMYFUNCTION("""COMPUTED_VALUE"""),1.3132580983125879)</f>
        <v>1.313258098</v>
      </c>
      <c r="AS599" s="30">
        <f>IFERROR(__xludf.DUMMYFUNCTION("""COMPUTED_VALUE"""),82.0)</f>
        <v>82</v>
      </c>
      <c r="AT599" s="30">
        <f>IFERROR(__xludf.DUMMYFUNCTION("""COMPUTED_VALUE"""),0.6002919116890097)</f>
        <v>0.6002919117</v>
      </c>
      <c r="AU599" s="30">
        <f>IFERROR(__xludf.DUMMYFUNCTION("""COMPUTED_VALUE"""),3.9519417230575273)</f>
        <v>3.951941723</v>
      </c>
      <c r="AV599" s="32">
        <f>IFERROR(__xludf.DUMMYFUNCTION("""COMPUTED_VALUE"""),78.9326836568734)</f>
        <v>78.93268366</v>
      </c>
      <c r="AW599" s="32">
        <f>IFERROR(__xludf.DUMMYFUNCTION("""COMPUTED_VALUE"""),8.092356013470399)</f>
        <v>8.092356013</v>
      </c>
      <c r="AX599" s="32">
        <f>IFERROR(__xludf.DUMMYFUNCTION("""COMPUTED_VALUE"""),51.71874485427782)</f>
        <v>51.71874485</v>
      </c>
      <c r="AY599" s="32">
        <f>IFERROR(__xludf.DUMMYFUNCTION("""COMPUTED_VALUE"""),2.1159794088322)</f>
        <v>2.115979409</v>
      </c>
      <c r="AZ599" s="30">
        <f>IFERROR(__xludf.DUMMYFUNCTION("""COMPUTED_VALUE"""),5.976376604638199)</f>
        <v>5.976376605</v>
      </c>
      <c r="BA599" s="30">
        <f>IFERROR(__xludf.DUMMYFUNCTION("""COMPUTED_VALUE"""),2300.0)</f>
        <v>2300</v>
      </c>
    </row>
    <row r="600">
      <c r="A600" s="71" t="str">
        <f>IFERROR(__xludf.DUMMYFUNCTION("""COMPUTED_VALUE"""),"Challenger")</f>
        <v>Challenger</v>
      </c>
      <c r="B600" s="71" t="str">
        <f>IFERROR(__xludf.DUMMYFUNCTION("""COMPUTED_VALUE"""),"RSC003109")</f>
        <v>RSC003109</v>
      </c>
      <c r="C600" s="30" t="str">
        <f>IFERROR(__xludf.DUMMYFUNCTION("""COMPUTED_VALUE"""),"Kflip11")</f>
        <v>Kflip11</v>
      </c>
      <c r="D600" s="30" t="str">
        <f>IFERROR(__xludf.DUMMYFUNCTION("""COMPUTED_VALUE"""),"Cassowaries")</f>
        <v>Cassowaries</v>
      </c>
      <c r="E600" s="30">
        <f>IFERROR(__xludf.DUMMYFUNCTION("""COMPUTED_VALUE"""),47.0)</f>
        <v>47</v>
      </c>
      <c r="F600" s="30">
        <f>IFERROR(__xludf.DUMMYFUNCTION("""COMPUTED_VALUE"""),34.0)</f>
        <v>34</v>
      </c>
      <c r="G600" s="42">
        <f>IFERROR(__xludf.DUMMYFUNCTION("""COMPUTED_VALUE"""),13.0)</f>
        <v>13</v>
      </c>
      <c r="H600" s="42">
        <f>IFERROR(__xludf.DUMMYFUNCTION("""COMPUTED_VALUE"""),0.723404255319149)</f>
        <v>0.7234042553</v>
      </c>
      <c r="I600" s="42">
        <f>IFERROR(__xludf.DUMMYFUNCTION("""COMPUTED_VALUE"""),0.39568345323741005)</f>
        <v>0.3956834532</v>
      </c>
      <c r="J600" s="30">
        <f>IFERROR(__xludf.DUMMYFUNCTION("""COMPUTED_VALUE"""),344.5744680851064)</f>
        <v>344.5744681</v>
      </c>
      <c r="K600" s="30">
        <f>IFERROR(__xludf.DUMMYFUNCTION("""COMPUTED_VALUE"""),1.1702127659574468)</f>
        <v>1.170212766</v>
      </c>
      <c r="L600" s="30">
        <f>IFERROR(__xludf.DUMMYFUNCTION("""COMPUTED_VALUE"""),0.5319148936170213)</f>
        <v>0.5319148936</v>
      </c>
      <c r="M600" s="30">
        <f>IFERROR(__xludf.DUMMYFUNCTION("""COMPUTED_VALUE"""),0.9148936170212766)</f>
        <v>0.914893617</v>
      </c>
      <c r="N600" s="30">
        <f>IFERROR(__xludf.DUMMYFUNCTION("""COMPUTED_VALUE"""),2.9574468085106385)</f>
        <v>2.957446809</v>
      </c>
      <c r="O600" s="30">
        <f>IFERROR(__xludf.DUMMYFUNCTION("""COMPUTED_VALUE"""),316.9219858156028)</f>
        <v>316.9219858</v>
      </c>
      <c r="P600" s="30">
        <f>IFERROR(__xludf.DUMMYFUNCTION("""COMPUTED_VALUE"""),0.6808510638297872)</f>
        <v>0.6808510638</v>
      </c>
      <c r="Q600" s="30">
        <f>IFERROR(__xludf.DUMMYFUNCTION("""COMPUTED_VALUE"""),0.44680851063829785)</f>
        <v>0.4468085106</v>
      </c>
      <c r="R600" s="30">
        <f>IFERROR(__xludf.DUMMYFUNCTION("""COMPUTED_VALUE"""),1.2624113475177303)</f>
        <v>1.262411348</v>
      </c>
      <c r="S600" s="30">
        <f>IFERROR(__xludf.DUMMYFUNCTION("""COMPUTED_VALUE"""),2.4184397163120557)</f>
        <v>2.418439716</v>
      </c>
      <c r="T600" s="30">
        <f>IFERROR(__xludf.DUMMYFUNCTION("""COMPUTED_VALUE"""),321.3446565829674)</f>
        <v>321.3446566</v>
      </c>
      <c r="U600" s="30">
        <f>IFERROR(__xludf.DUMMYFUNCTION("""COMPUTED_VALUE"""),0.7081616607586655)</f>
        <v>0.7081616608</v>
      </c>
      <c r="V600" s="30">
        <f>IFERROR(__xludf.DUMMYFUNCTION("""COMPUTED_VALUE"""),0.48794707061208653)</f>
        <v>0.4879470706</v>
      </c>
      <c r="W600" s="30">
        <f>IFERROR(__xludf.DUMMYFUNCTION("""COMPUTED_VALUE"""),1.174478622078192)</f>
        <v>1.174478622</v>
      </c>
      <c r="X600" s="30">
        <f>IFERROR(__xludf.DUMMYFUNCTION("""COMPUTED_VALUE"""),2.3801041039466004)</f>
        <v>2.380104104</v>
      </c>
      <c r="Y600" s="30">
        <f>IFERROR(__xludf.DUMMYFUNCTION("""COMPUTED_VALUE"""),339.1402232514267)</f>
        <v>339.1402233</v>
      </c>
      <c r="Z600" s="30">
        <f>IFERROR(__xludf.DUMMYFUNCTION("""COMPUTED_VALUE"""),0.8020930583805884)</f>
        <v>0.8020930584</v>
      </c>
      <c r="AA600" s="30">
        <f>IFERROR(__xludf.DUMMYFUNCTION("""COMPUTED_VALUE"""),0.554072481280503)</f>
        <v>0.5540724813</v>
      </c>
      <c r="AB600" s="30">
        <f>IFERROR(__xludf.DUMMYFUNCTION("""COMPUTED_VALUE"""),1.21770032938681)</f>
        <v>1.217700329</v>
      </c>
      <c r="AC600" s="30">
        <f>IFERROR(__xludf.DUMMYFUNCTION("""COMPUTED_VALUE"""),2.457721271167492)</f>
        <v>2.457721271</v>
      </c>
      <c r="AD600" s="30">
        <f>IFERROR(__xludf.DUMMYFUNCTION("""COMPUTED_VALUE"""),1.0160235927828913)</f>
        <v>1.016023593</v>
      </c>
      <c r="AE600" s="30">
        <f>IFERROR(__xludf.DUMMYFUNCTION("""COMPUTED_VALUE"""),1.458948875982153)</f>
        <v>1.458948876</v>
      </c>
      <c r="AF600" s="30">
        <f>IFERROR(__xludf.DUMMYFUNCTION("""COMPUTED_VALUE"""),0.9600095864492785)</f>
        <v>0.9600095864</v>
      </c>
      <c r="AG600" s="30">
        <f>IFERROR(__xludf.DUMMYFUNCTION("""COMPUTED_VALUE"""),0.7513290379760216)</f>
        <v>0.751329038</v>
      </c>
      <c r="AH600" s="30">
        <f>IFERROR(__xludf.DUMMYFUNCTION("""COMPUTED_VALUE"""),1.2033288083582243)</f>
        <v>1.203328808</v>
      </c>
      <c r="AI600" s="30">
        <f>IFERROR(__xludf.DUMMYFUNCTION("""COMPUTED_VALUE"""),0.986236986746899)</f>
        <v>0.9862369867</v>
      </c>
      <c r="AJ600" s="30">
        <f>IFERROR(__xludf.DUMMYFUNCTION("""COMPUTED_VALUE"""),0.9614345163791839)</f>
        <v>0.9614345164</v>
      </c>
      <c r="AK600" s="30">
        <f>IFERROR(__xludf.DUMMYFUNCTION("""COMPUTED_VALUE"""),0.9156905278226509)</f>
        <v>0.9156905278</v>
      </c>
      <c r="AL600" s="30">
        <f>IFERROR(__xludf.DUMMYFUNCTION("""COMPUTED_VALUE"""),1.0748695836489088)</f>
        <v>1.074869584</v>
      </c>
      <c r="AM600" s="30">
        <f>IFERROR(__xludf.DUMMYFUNCTION("""COMPUTED_VALUE"""),1.0161066956280982)</f>
        <v>1.016106696</v>
      </c>
      <c r="AN600" s="30">
        <f>IFERROR(__xludf.DUMMYFUNCTION("""COMPUTED_VALUE"""),1.059187992829277)</f>
        <v>1.059187993</v>
      </c>
      <c r="AO600" s="30">
        <f>IFERROR(__xludf.DUMMYFUNCTION("""COMPUTED_VALUE"""),1.6011802610569554)</f>
        <v>1.601180261</v>
      </c>
      <c r="AP600" s="30">
        <f>IFERROR(__xludf.DUMMYFUNCTION("""COMPUTED_VALUE"""),1.0317401107093904)</f>
        <v>1.031740111</v>
      </c>
      <c r="AQ600" s="30">
        <f>IFERROR(__xludf.DUMMYFUNCTION("""COMPUTED_VALUE"""),0.7587981169452157)</f>
        <v>0.7587981169</v>
      </c>
      <c r="AR600" s="30">
        <f>IFERROR(__xludf.DUMMYFUNCTION("""COMPUTED_VALUE"""),1.2428451109137002)</f>
        <v>1.242845111</v>
      </c>
      <c r="AS600" s="30">
        <f>IFERROR(__xludf.DUMMYFUNCTION("""COMPUTED_VALUE"""),148.0)</f>
        <v>148</v>
      </c>
      <c r="AT600" s="30">
        <f>IFERROR(__xludf.DUMMYFUNCTION("""COMPUTED_VALUE"""),0.666955893165868)</f>
        <v>0.6669558932</v>
      </c>
      <c r="AU600" s="30">
        <f>IFERROR(__xludf.DUMMYFUNCTION("""COMPUTED_VALUE"""),3.9358841492683867)</f>
        <v>3.935884149</v>
      </c>
      <c r="AV600" s="32">
        <f>IFERROR(__xludf.DUMMYFUNCTION("""COMPUTED_VALUE"""),78.51360890978265)</f>
        <v>78.51360891</v>
      </c>
      <c r="AW600" s="32">
        <f>IFERROR(__xludf.DUMMYFUNCTION("""COMPUTED_VALUE"""),7.872169069296646)</f>
        <v>7.872169069</v>
      </c>
      <c r="AX600" s="32">
        <f>IFERROR(__xludf.DUMMYFUNCTION("""COMPUTED_VALUE"""),50.19925806328918)</f>
        <v>50.19925806</v>
      </c>
      <c r="AY600" s="32">
        <f>IFERROR(__xludf.DUMMYFUNCTION("""COMPUTED_VALUE"""),2.01280005972729)</f>
        <v>2.01280006</v>
      </c>
      <c r="AZ600" s="30">
        <f>IFERROR(__xludf.DUMMYFUNCTION("""COMPUTED_VALUE"""),5.859369009569356)</f>
        <v>5.85936901</v>
      </c>
      <c r="BA600" s="30">
        <f>IFERROR(__xludf.DUMMYFUNCTION("""COMPUTED_VALUE"""),2300.0)</f>
        <v>2300</v>
      </c>
    </row>
    <row r="601">
      <c r="A601" s="71" t="str">
        <f>IFERROR(__xludf.DUMMYFUNCTION("""COMPUTED_VALUE"""),"Challenger")</f>
        <v>Challenger</v>
      </c>
      <c r="B601" s="71" t="str">
        <f>IFERROR(__xludf.DUMMYFUNCTION("""COMPUTED_VALUE"""),"RSC007848")</f>
        <v>RSC007848</v>
      </c>
      <c r="C601" s="30" t="str">
        <f>IFERROR(__xludf.DUMMYFUNCTION("""COMPUTED_VALUE"""),"Ninji &lt;3")</f>
        <v>Ninji &lt;3</v>
      </c>
      <c r="D601" s="30" t="str">
        <f>IFERROR(__xludf.DUMMYFUNCTION("""COMPUTED_VALUE"""),"Squalls")</f>
        <v>Squalls</v>
      </c>
      <c r="E601" s="30">
        <f>IFERROR(__xludf.DUMMYFUNCTION("""COMPUTED_VALUE"""),31.0)</f>
        <v>31</v>
      </c>
      <c r="F601" s="30">
        <f>IFERROR(__xludf.DUMMYFUNCTION("""COMPUTED_VALUE"""),20.0)</f>
        <v>20</v>
      </c>
      <c r="G601" s="42">
        <f>IFERROR(__xludf.DUMMYFUNCTION("""COMPUTED_VALUE"""),11.0)</f>
        <v>11</v>
      </c>
      <c r="H601" s="42">
        <f>IFERROR(__xludf.DUMMYFUNCTION("""COMPUTED_VALUE"""),0.6451612903225806)</f>
        <v>0.6451612903</v>
      </c>
      <c r="I601" s="42">
        <f>IFERROR(__xludf.DUMMYFUNCTION("""COMPUTED_VALUE"""),0.2948717948717949)</f>
        <v>0.2948717949</v>
      </c>
      <c r="J601" s="30">
        <f>IFERROR(__xludf.DUMMYFUNCTION("""COMPUTED_VALUE"""),324.4516129032258)</f>
        <v>324.4516129</v>
      </c>
      <c r="K601" s="30">
        <f>IFERROR(__xludf.DUMMYFUNCTION("""COMPUTED_VALUE"""),0.7419354838709677)</f>
        <v>0.7419354839</v>
      </c>
      <c r="L601" s="30">
        <f>IFERROR(__xludf.DUMMYFUNCTION("""COMPUTED_VALUE"""),0.7419354838709677)</f>
        <v>0.7419354839</v>
      </c>
      <c r="M601" s="30">
        <f>IFERROR(__xludf.DUMMYFUNCTION("""COMPUTED_VALUE"""),1.1290322580645162)</f>
        <v>1.129032258</v>
      </c>
      <c r="N601" s="30">
        <f>IFERROR(__xludf.DUMMYFUNCTION("""COMPUTED_VALUE"""),2.5161290322580645)</f>
        <v>2.516129032</v>
      </c>
      <c r="O601" s="30">
        <f>IFERROR(__xludf.DUMMYFUNCTION("""COMPUTED_VALUE"""),336.0860215053764)</f>
        <v>336.0860215</v>
      </c>
      <c r="P601" s="30">
        <f>IFERROR(__xludf.DUMMYFUNCTION("""COMPUTED_VALUE"""),0.6129032258064516)</f>
        <v>0.6129032258</v>
      </c>
      <c r="Q601" s="30">
        <f>IFERROR(__xludf.DUMMYFUNCTION("""COMPUTED_VALUE"""),0.44086021505376344)</f>
        <v>0.4408602151</v>
      </c>
      <c r="R601" s="30">
        <f>IFERROR(__xludf.DUMMYFUNCTION("""COMPUTED_VALUE"""),1.5483870967741935)</f>
        <v>1.548387097</v>
      </c>
      <c r="S601" s="30">
        <f>IFERROR(__xludf.DUMMYFUNCTION("""COMPUTED_VALUE"""),2.150537634408602)</f>
        <v>2.150537634</v>
      </c>
      <c r="T601" s="30">
        <f>IFERROR(__xludf.DUMMYFUNCTION("""COMPUTED_VALUE"""),347.99458535990897)</f>
        <v>347.9945854</v>
      </c>
      <c r="U601" s="30">
        <f>IFERROR(__xludf.DUMMYFUNCTION("""COMPUTED_VALUE"""),0.7763166294089987)</f>
        <v>0.7763166294</v>
      </c>
      <c r="V601" s="30">
        <f>IFERROR(__xludf.DUMMYFUNCTION("""COMPUTED_VALUE"""),0.5634753745112068)</f>
        <v>0.5634753745</v>
      </c>
      <c r="W601" s="30">
        <f>IFERROR(__xludf.DUMMYFUNCTION("""COMPUTED_VALUE"""),1.351790233149866)</f>
        <v>1.351790233</v>
      </c>
      <c r="X601" s="30">
        <f>IFERROR(__xludf.DUMMYFUNCTION("""COMPUTED_VALUE"""),2.438190272487066)</f>
        <v>2.438190272</v>
      </c>
      <c r="Y601" s="30">
        <f>IFERROR(__xludf.DUMMYFUNCTION("""COMPUTED_VALUE"""),340.3661130610711)</f>
        <v>340.3661131</v>
      </c>
      <c r="Z601" s="30">
        <f>IFERROR(__xludf.DUMMYFUNCTION("""COMPUTED_VALUE"""),0.7969005923550638)</f>
        <v>0.7969005924</v>
      </c>
      <c r="AA601" s="30">
        <f>IFERROR(__xludf.DUMMYFUNCTION("""COMPUTED_VALUE"""),0.5433046862985978)</f>
        <v>0.5433046863</v>
      </c>
      <c r="AB601" s="30">
        <f>IFERROR(__xludf.DUMMYFUNCTION("""COMPUTED_VALUE"""),1.1990803034830644)</f>
        <v>1.199080303</v>
      </c>
      <c r="AC601" s="30">
        <f>IFERROR(__xludf.DUMMYFUNCTION("""COMPUTED_VALUE"""),2.5843682023746752)</f>
        <v>2.584368202</v>
      </c>
      <c r="AD601" s="30">
        <f>IFERROR(__xludf.DUMMYFUNCTION("""COMPUTED_VALUE"""),0.9532429946838163)</f>
        <v>0.9532429947</v>
      </c>
      <c r="AE601" s="30">
        <f>IFERROR(__xludf.DUMMYFUNCTION("""COMPUTED_VALUE"""),0.9310263927378208)</f>
        <v>0.9310263927</v>
      </c>
      <c r="AF601" s="30">
        <f>IFERROR(__xludf.DUMMYFUNCTION("""COMPUTED_VALUE"""),1.3655974310208752)</f>
        <v>1.365597431</v>
      </c>
      <c r="AG601" s="30">
        <f>IFERROR(__xludf.DUMMYFUNCTION("""COMPUTED_VALUE"""),0.9415818563485081)</f>
        <v>0.9415818563</v>
      </c>
      <c r="AH601" s="30">
        <f>IFERROR(__xludf.DUMMYFUNCTION("""COMPUTED_VALUE"""),0.973595414904924)</f>
        <v>0.9735954149</v>
      </c>
      <c r="AI601" s="30">
        <f>IFERROR(__xludf.DUMMYFUNCTION("""COMPUTED_VALUE"""),0.9657794564756911)</f>
        <v>0.9657794565</v>
      </c>
      <c r="AJ601" s="30">
        <f>IFERROR(__xludf.DUMMYFUNCTION("""COMPUTED_VALUE"""),0.7895016061591366)</f>
        <v>0.7895016062</v>
      </c>
      <c r="AK601" s="30">
        <f>IFERROR(__xludf.DUMMYFUNCTION("""COMPUTED_VALUE"""),0.7823948214883263)</f>
        <v>0.7823948215</v>
      </c>
      <c r="AL601" s="30">
        <f>IFERROR(__xludf.DUMMYFUNCTION("""COMPUTED_VALUE"""),1.145434445968905)</f>
        <v>1.145434446</v>
      </c>
      <c r="AM601" s="30">
        <f>IFERROR(__xludf.DUMMYFUNCTION("""COMPUTED_VALUE"""),0.8820220713188864)</f>
        <v>0.8820220713</v>
      </c>
      <c r="AN601" s="30">
        <f>IFERROR(__xludf.DUMMYFUNCTION("""COMPUTED_VALUE"""),0.9973323170198143)</f>
        <v>0.997332317</v>
      </c>
      <c r="AO601" s="30">
        <f>IFERROR(__xludf.DUMMYFUNCTION("""COMPUTED_VALUE"""),1.015176458769835)</f>
        <v>1.015176459</v>
      </c>
      <c r="AP601" s="30">
        <f>IFERROR(__xludf.DUMMYFUNCTION("""COMPUTED_VALUE"""),1.4391110447443238)</f>
        <v>1.439111045</v>
      </c>
      <c r="AQ601" s="30">
        <f>IFERROR(__xludf.DUMMYFUNCTION("""COMPUTED_VALUE"""),0.9364012771004352)</f>
        <v>0.9364012771</v>
      </c>
      <c r="AR601" s="30">
        <f>IFERROR(__xludf.DUMMYFUNCTION("""COMPUTED_VALUE"""),1.0573845849639416)</f>
        <v>1.057384585</v>
      </c>
      <c r="AS601" s="30">
        <f>IFERROR(__xludf.DUMMYFUNCTION("""COMPUTED_VALUE"""),78.0)</f>
        <v>78</v>
      </c>
      <c r="AT601" s="30">
        <f>IFERROR(__xludf.DUMMYFUNCTION("""COMPUTED_VALUE"""),0.6173828871007525)</f>
        <v>0.6173828871</v>
      </c>
      <c r="AU601" s="30">
        <f>IFERROR(__xludf.DUMMYFUNCTION("""COMPUTED_VALUE"""),3.430567697015031)</f>
        <v>3.430567697</v>
      </c>
      <c r="AV601" s="32">
        <f>IFERROR(__xludf.DUMMYFUNCTION("""COMPUTED_VALUE"""),65.32572839871273)</f>
        <v>65.3257284</v>
      </c>
      <c r="AW601" s="32">
        <f>IFERROR(__xludf.DUMMYFUNCTION("""COMPUTED_VALUE"""),3.704684246081727)</f>
        <v>3.704684246</v>
      </c>
      <c r="AX601" s="32">
        <f>IFERROR(__xludf.DUMMYFUNCTION("""COMPUTED_VALUE"""),49.45450972116786)</f>
        <v>49.45450972</v>
      </c>
      <c r="AY601" s="32">
        <f>IFERROR(__xludf.DUMMYFUNCTION("""COMPUTED_VALUE"""),-2.0354331241790593)</f>
        <v>-2.035433124</v>
      </c>
      <c r="AZ601" s="30">
        <f>IFERROR(__xludf.DUMMYFUNCTION("""COMPUTED_VALUE"""),5.740117370260786)</f>
        <v>5.74011737</v>
      </c>
      <c r="BA601" s="30">
        <f>IFERROR(__xludf.DUMMYFUNCTION("""COMPUTED_VALUE"""),2300.0)</f>
        <v>2300</v>
      </c>
    </row>
    <row r="602">
      <c r="A602" s="71" t="str">
        <f>IFERROR(__xludf.DUMMYFUNCTION("""COMPUTED_VALUE"""),"Challenger")</f>
        <v>Challenger</v>
      </c>
      <c r="B602" s="71" t="str">
        <f>IFERROR(__xludf.DUMMYFUNCTION("""COMPUTED_VALUE"""),"RSC006659")</f>
        <v>RSC006659</v>
      </c>
      <c r="C602" s="30" t="str">
        <f>IFERROR(__xludf.DUMMYFUNCTION("""COMPUTED_VALUE"""),"Zalama")</f>
        <v>Zalama</v>
      </c>
      <c r="D602" s="30" t="str">
        <f>IFERROR(__xludf.DUMMYFUNCTION("""COMPUTED_VALUE"""),"Solstice Sake")</f>
        <v>Solstice Sake</v>
      </c>
      <c r="E602" s="30">
        <f>IFERROR(__xludf.DUMMYFUNCTION("""COMPUTED_VALUE"""),32.0)</f>
        <v>32</v>
      </c>
      <c r="F602" s="30">
        <f>IFERROR(__xludf.DUMMYFUNCTION("""COMPUTED_VALUE"""),16.0)</f>
        <v>16</v>
      </c>
      <c r="G602" s="42">
        <f>IFERROR(__xludf.DUMMYFUNCTION("""COMPUTED_VALUE"""),16.0)</f>
        <v>16</v>
      </c>
      <c r="H602" s="42">
        <f>IFERROR(__xludf.DUMMYFUNCTION("""COMPUTED_VALUE"""),0.5)</f>
        <v>0.5</v>
      </c>
      <c r="I602" s="42">
        <f>IFERROR(__xludf.DUMMYFUNCTION("""COMPUTED_VALUE"""),0.36470588235294116)</f>
        <v>0.3647058824</v>
      </c>
      <c r="J602" s="30">
        <f>IFERROR(__xludf.DUMMYFUNCTION("""COMPUTED_VALUE"""),322.59375)</f>
        <v>322.59375</v>
      </c>
      <c r="K602" s="30">
        <f>IFERROR(__xludf.DUMMYFUNCTION("""COMPUTED_VALUE"""),0.96875)</f>
        <v>0.96875</v>
      </c>
      <c r="L602" s="30">
        <f>IFERROR(__xludf.DUMMYFUNCTION("""COMPUTED_VALUE"""),0.40625)</f>
        <v>0.40625</v>
      </c>
      <c r="M602" s="30">
        <f>IFERROR(__xludf.DUMMYFUNCTION("""COMPUTED_VALUE"""),0.90625)</f>
        <v>0.90625</v>
      </c>
      <c r="N602" s="30">
        <f>IFERROR(__xludf.DUMMYFUNCTION("""COMPUTED_VALUE"""),2.65625)</f>
        <v>2.65625</v>
      </c>
      <c r="O602" s="30">
        <f>IFERROR(__xludf.DUMMYFUNCTION("""COMPUTED_VALUE"""),336.94791666666663)</f>
        <v>336.9479167</v>
      </c>
      <c r="P602" s="30">
        <f>IFERROR(__xludf.DUMMYFUNCTION("""COMPUTED_VALUE"""),0.7812499999999998)</f>
        <v>0.78125</v>
      </c>
      <c r="Q602" s="30">
        <f>IFERROR(__xludf.DUMMYFUNCTION("""COMPUTED_VALUE"""),0.4791666666666667)</f>
        <v>0.4791666667</v>
      </c>
      <c r="R602" s="30">
        <f>IFERROR(__xludf.DUMMYFUNCTION("""COMPUTED_VALUE"""),1.2395833333333333)</f>
        <v>1.239583333</v>
      </c>
      <c r="S602" s="30">
        <f>IFERROR(__xludf.DUMMYFUNCTION("""COMPUTED_VALUE"""),2.489583333333334)</f>
        <v>2.489583333</v>
      </c>
      <c r="T602" s="30">
        <f>IFERROR(__xludf.DUMMYFUNCTION("""COMPUTED_VALUE"""),336.30918259699257)</f>
        <v>336.3091826</v>
      </c>
      <c r="U602" s="30">
        <f>IFERROR(__xludf.DUMMYFUNCTION("""COMPUTED_VALUE"""),0.7949602914891069)</f>
        <v>0.7949602915</v>
      </c>
      <c r="V602" s="30">
        <f>IFERROR(__xludf.DUMMYFUNCTION("""COMPUTED_VALUE"""),0.5607030638648293)</f>
        <v>0.5607030639</v>
      </c>
      <c r="W602" s="30">
        <f>IFERROR(__xludf.DUMMYFUNCTION("""COMPUTED_VALUE"""),1.1859079769763392)</f>
        <v>1.185907977</v>
      </c>
      <c r="X602" s="30">
        <f>IFERROR(__xludf.DUMMYFUNCTION("""COMPUTED_VALUE"""),2.5192209230328557)</f>
        <v>2.519220923</v>
      </c>
      <c r="Y602" s="30">
        <f>IFERROR(__xludf.DUMMYFUNCTION("""COMPUTED_VALUE"""),338.0882627183142)</f>
        <v>338.0882627</v>
      </c>
      <c r="Z602" s="30">
        <f>IFERROR(__xludf.DUMMYFUNCTION("""COMPUTED_VALUE"""),0.7759102533465626)</f>
        <v>0.7759102533</v>
      </c>
      <c r="AA602" s="30">
        <f>IFERROR(__xludf.DUMMYFUNCTION("""COMPUTED_VALUE"""),0.5326077601660273)</f>
        <v>0.5326077602</v>
      </c>
      <c r="AB602" s="30">
        <f>IFERROR(__xludf.DUMMYFUNCTION("""COMPUTED_VALUE"""),1.2512077381188615)</f>
        <v>1.251207738</v>
      </c>
      <c r="AC602" s="30">
        <f>IFERROR(__xludf.DUMMYFUNCTION("""COMPUTED_VALUE"""),2.424374707638672)</f>
        <v>2.424374708</v>
      </c>
      <c r="AD602" s="30">
        <f>IFERROR(__xludf.DUMMYFUNCTION("""COMPUTED_VALUE"""),0.9541702140330621)</f>
        <v>0.954170214</v>
      </c>
      <c r="AE602" s="30">
        <f>IFERROR(__xludf.DUMMYFUNCTION("""COMPUTED_VALUE"""),1.2485335717909438)</f>
        <v>1.248533572</v>
      </c>
      <c r="AF602" s="30">
        <f>IFERROR(__xludf.DUMMYFUNCTION("""COMPUTED_VALUE"""),0.7627564417637506)</f>
        <v>0.7627564418</v>
      </c>
      <c r="AG602" s="30">
        <f>IFERROR(__xludf.DUMMYFUNCTION("""COMPUTED_VALUE"""),0.7243001880427218)</f>
        <v>0.724300188</v>
      </c>
      <c r="AH602" s="30">
        <f>IFERROR(__xludf.DUMMYFUNCTION("""COMPUTED_VALUE"""),1.0956433391384344)</f>
        <v>1.095643339</v>
      </c>
      <c r="AI602" s="30">
        <f>IFERROR(__xludf.DUMMYFUNCTION("""COMPUTED_VALUE"""),1.0018992465942849)</f>
        <v>1.001899247</v>
      </c>
      <c r="AJ602" s="30">
        <f>IFERROR(__xludf.DUMMYFUNCTION("""COMPUTED_VALUE"""),0.9827534889026656)</f>
        <v>0.9827534889</v>
      </c>
      <c r="AK602" s="30">
        <f>IFERROR(__xludf.DUMMYFUNCTION("""COMPUTED_VALUE"""),0.8545818590036832)</f>
        <v>0.854581859</v>
      </c>
      <c r="AL602" s="30">
        <f>IFERROR(__xludf.DUMMYFUNCTION("""COMPUTED_VALUE"""),1.0452609792657335)</f>
        <v>1.045260979</v>
      </c>
      <c r="AM602" s="30">
        <f>IFERROR(__xludf.DUMMYFUNCTION("""COMPUTED_VALUE"""),0.9882354145964136)</f>
        <v>0.9882354146</v>
      </c>
      <c r="AN602" s="30">
        <f>IFERROR(__xludf.DUMMYFUNCTION("""COMPUTED_VALUE"""),0.9916214293549347)</f>
        <v>0.9916214294</v>
      </c>
      <c r="AO602" s="30">
        <f>IFERROR(__xludf.DUMMYFUNCTION("""COMPUTED_VALUE"""),1.325522522931809)</f>
        <v>1.325522523</v>
      </c>
      <c r="AP602" s="30">
        <f>IFERROR(__xludf.DUMMYFUNCTION("""COMPUTED_VALUE"""),0.7879915095542969)</f>
        <v>0.7879915096</v>
      </c>
      <c r="AQ602" s="30">
        <f>IFERROR(__xludf.DUMMYFUNCTION("""COMPUTED_VALUE"""),0.7516292393868671)</f>
        <v>0.7516292394</v>
      </c>
      <c r="AR602" s="30">
        <f>IFERROR(__xludf.DUMMYFUNCTION("""COMPUTED_VALUE"""),1.1162693835656996)</f>
        <v>1.116269384</v>
      </c>
      <c r="AS602" s="30">
        <f>IFERROR(__xludf.DUMMYFUNCTION("""COMPUTED_VALUE"""),77.0)</f>
        <v>77</v>
      </c>
      <c r="AT602" s="30">
        <f>IFERROR(__xludf.DUMMYFUNCTION("""COMPUTED_VALUE"""),0.5102880067942528)</f>
        <v>0.5102880068</v>
      </c>
      <c r="AU602" s="30">
        <f>IFERROR(__xludf.DUMMYFUNCTION("""COMPUTED_VALUE"""),3.260199449578442)</f>
        <v>3.26019945</v>
      </c>
      <c r="AV602" s="32">
        <f>IFERROR(__xludf.DUMMYFUNCTION("""COMPUTED_VALUE"""),60.87941346070705)</f>
        <v>60.87941346</v>
      </c>
      <c r="AW602" s="32">
        <f>IFERROR(__xludf.DUMMYFUNCTION("""COMPUTED_VALUE"""),3.014616560228071)</f>
        <v>3.01461656</v>
      </c>
      <c r="AX602" s="32">
        <f>IFERROR(__xludf.DUMMYFUNCTION("""COMPUTED_VALUE"""),42.62511092768837)</f>
        <v>42.62511093</v>
      </c>
      <c r="AY602" s="32">
        <f>IFERROR(__xludf.DUMMYFUNCTION("""COMPUTED_VALUE"""),-2.6041759261905475)</f>
        <v>-2.604175926</v>
      </c>
      <c r="AZ602" s="30">
        <f>IFERROR(__xludf.DUMMYFUNCTION("""COMPUTED_VALUE"""),5.618792486418618)</f>
        <v>5.618792486</v>
      </c>
      <c r="BA602" s="30">
        <f>IFERROR(__xludf.DUMMYFUNCTION("""COMPUTED_VALUE"""),2300.0)</f>
        <v>2300</v>
      </c>
    </row>
    <row r="603">
      <c r="A603" s="71" t="str">
        <f>IFERROR(__xludf.DUMMYFUNCTION("""COMPUTED_VALUE"""),"Challenger")</f>
        <v>Challenger</v>
      </c>
      <c r="B603" s="71" t="str">
        <f>IFERROR(__xludf.DUMMYFUNCTION("""COMPUTED_VALUE"""),"RSC002897")</f>
        <v>RSC002897</v>
      </c>
      <c r="C603" s="30" t="str">
        <f>IFERROR(__xludf.DUMMYFUNCTION("""COMPUTED_VALUE"""),"VickyViksta")</f>
        <v>VickyViksta</v>
      </c>
      <c r="D603" s="30" t="str">
        <f>IFERROR(__xludf.DUMMYFUNCTION("""COMPUTED_VALUE"""),"Panda Bears")</f>
        <v>Panda Bears</v>
      </c>
      <c r="E603" s="30">
        <f>IFERROR(__xludf.DUMMYFUNCTION("""COMPUTED_VALUE"""),43.0)</f>
        <v>43</v>
      </c>
      <c r="F603" s="30">
        <f>IFERROR(__xludf.DUMMYFUNCTION("""COMPUTED_VALUE"""),25.0)</f>
        <v>25</v>
      </c>
      <c r="G603" s="42">
        <f>IFERROR(__xludf.DUMMYFUNCTION("""COMPUTED_VALUE"""),18.0)</f>
        <v>18</v>
      </c>
      <c r="H603" s="42">
        <f>IFERROR(__xludf.DUMMYFUNCTION("""COMPUTED_VALUE"""),0.5813953488372093)</f>
        <v>0.5813953488</v>
      </c>
      <c r="I603" s="42">
        <f>IFERROR(__xludf.DUMMYFUNCTION("""COMPUTED_VALUE"""),0.2543859649122807)</f>
        <v>0.2543859649</v>
      </c>
      <c r="J603" s="30">
        <f>IFERROR(__xludf.DUMMYFUNCTION("""COMPUTED_VALUE"""),351.51162790697674)</f>
        <v>351.5116279</v>
      </c>
      <c r="K603" s="30">
        <f>IFERROR(__xludf.DUMMYFUNCTION("""COMPUTED_VALUE"""),0.6744186046511628)</f>
        <v>0.6744186047</v>
      </c>
      <c r="L603" s="30">
        <f>IFERROR(__xludf.DUMMYFUNCTION("""COMPUTED_VALUE"""),0.5116279069767442)</f>
        <v>0.511627907</v>
      </c>
      <c r="M603" s="30">
        <f>IFERROR(__xludf.DUMMYFUNCTION("""COMPUTED_VALUE"""),1.5813953488372092)</f>
        <v>1.581395349</v>
      </c>
      <c r="N603" s="30">
        <f>IFERROR(__xludf.DUMMYFUNCTION("""COMPUTED_VALUE"""),2.6511627906976742)</f>
        <v>2.651162791</v>
      </c>
      <c r="O603" s="30">
        <f>IFERROR(__xludf.DUMMYFUNCTION("""COMPUTED_VALUE"""),341.1937984496125)</f>
        <v>341.1937984</v>
      </c>
      <c r="P603" s="30">
        <f>IFERROR(__xludf.DUMMYFUNCTION("""COMPUTED_VALUE"""),0.62015503875969)</f>
        <v>0.6201550388</v>
      </c>
      <c r="Q603" s="30">
        <f>IFERROR(__xludf.DUMMYFUNCTION("""COMPUTED_VALUE"""),0.4108527131782946)</f>
        <v>0.4108527132</v>
      </c>
      <c r="R603" s="30">
        <f>IFERROR(__xludf.DUMMYFUNCTION("""COMPUTED_VALUE"""),1.4883720930232556)</f>
        <v>1.488372093</v>
      </c>
      <c r="S603" s="30">
        <f>IFERROR(__xludf.DUMMYFUNCTION("""COMPUTED_VALUE"""),2.759689922480621)</f>
        <v>2.759689922</v>
      </c>
      <c r="T603" s="30">
        <f>IFERROR(__xludf.DUMMYFUNCTION("""COMPUTED_VALUE"""),337.6042051669243)</f>
        <v>337.6042052</v>
      </c>
      <c r="U603" s="30">
        <f>IFERROR(__xludf.DUMMYFUNCTION("""COMPUTED_VALUE"""),0.7631138820017591)</f>
        <v>0.763113882</v>
      </c>
      <c r="V603" s="30">
        <f>IFERROR(__xludf.DUMMYFUNCTION("""COMPUTED_VALUE"""),0.5450765870602737)</f>
        <v>0.5450765871</v>
      </c>
      <c r="W603" s="30">
        <f>IFERROR(__xludf.DUMMYFUNCTION("""COMPUTED_VALUE"""),1.270958146134844)</f>
        <v>1.270958146</v>
      </c>
      <c r="X603" s="30">
        <f>IFERROR(__xludf.DUMMYFUNCTION("""COMPUTED_VALUE"""),2.4158615977502023)</f>
        <v>2.415861598</v>
      </c>
      <c r="Y603" s="30">
        <f>IFERROR(__xludf.DUMMYFUNCTION("""COMPUTED_VALUE"""),328.83045806175704)</f>
        <v>328.8304581</v>
      </c>
      <c r="Z603" s="30">
        <f>IFERROR(__xludf.DUMMYFUNCTION("""COMPUTED_VALUE"""),0.7574733480497439)</f>
        <v>0.757473348</v>
      </c>
      <c r="AA603" s="30">
        <f>IFERROR(__xludf.DUMMYFUNCTION("""COMPUTED_VALUE"""),0.5222276334806176)</f>
        <v>0.5222276335</v>
      </c>
      <c r="AB603" s="30">
        <f>IFERROR(__xludf.DUMMYFUNCTION("""COMPUTED_VALUE"""),1.1922830084902583)</f>
        <v>1.192283008</v>
      </c>
      <c r="AC603" s="30">
        <f>IFERROR(__xludf.DUMMYFUNCTION("""COMPUTED_VALUE"""),2.464160149612994)</f>
        <v>2.46416015</v>
      </c>
      <c r="AD603" s="30">
        <f>IFERROR(__xludf.DUMMYFUNCTION("""COMPUTED_VALUE"""),1.06897527065744)</f>
        <v>1.068975271</v>
      </c>
      <c r="AE603" s="30">
        <f>IFERROR(__xludf.DUMMYFUNCTION("""COMPUTED_VALUE"""),0.8903529165581587)</f>
        <v>0.8903529166</v>
      </c>
      <c r="AF603" s="30">
        <f>IFERROR(__xludf.DUMMYFUNCTION("""COMPUTED_VALUE"""),0.9797028616941872)</f>
        <v>0.9797028617</v>
      </c>
      <c r="AG603" s="30">
        <f>IFERROR(__xludf.DUMMYFUNCTION("""COMPUTED_VALUE"""),1.326359041918805)</f>
        <v>1.326359042</v>
      </c>
      <c r="AH603" s="30">
        <f>IFERROR(__xludf.DUMMYFUNCTION("""COMPUTED_VALUE"""),1.0758889965467746)</f>
        <v>1.075888997</v>
      </c>
      <c r="AI603" s="30">
        <f>IFERROR(__xludf.DUMMYFUNCTION("""COMPUTED_VALUE"""),1.0106325490848471)</f>
        <v>1.010632549</v>
      </c>
      <c r="AJ603" s="30">
        <f>IFERROR(__xludf.DUMMYFUNCTION("""COMPUTED_VALUE"""),0.8126638151738674)</f>
        <v>0.8126638152</v>
      </c>
      <c r="AK603" s="30">
        <f>IFERROR(__xludf.DUMMYFUNCTION("""COMPUTED_VALUE"""),0.7537522669871402)</f>
        <v>0.753752267</v>
      </c>
      <c r="AL603" s="30">
        <f>IFERROR(__xludf.DUMMYFUNCTION("""COMPUTED_VALUE"""),1.1710630263865076)</f>
        <v>1.171063026</v>
      </c>
      <c r="AM603" s="30">
        <f>IFERROR(__xludf.DUMMYFUNCTION("""COMPUTED_VALUE"""),1.1423212012851285)</f>
        <v>1.142321201</v>
      </c>
      <c r="AN603" s="30">
        <f>IFERROR(__xludf.DUMMYFUNCTION("""COMPUTED_VALUE"""),1.080512139184334)</f>
        <v>1.080512139</v>
      </c>
      <c r="AO603" s="30">
        <f>IFERROR(__xludf.DUMMYFUNCTION("""COMPUTED_VALUE"""),0.9227943745541777)</f>
        <v>0.9227943746</v>
      </c>
      <c r="AP603" s="30">
        <f>IFERROR(__xludf.DUMMYFUNCTION("""COMPUTED_VALUE"""),0.9923900227660555)</f>
        <v>0.9923900228</v>
      </c>
      <c r="AQ603" s="30">
        <f>IFERROR(__xludf.DUMMYFUNCTION("""COMPUTED_VALUE"""),1.3115839814802106)</f>
        <v>1.311583981</v>
      </c>
      <c r="AR603" s="30">
        <f>IFERROR(__xludf.DUMMYFUNCTION("""COMPUTED_VALUE"""),1.1141315215451908)</f>
        <v>1.114131522</v>
      </c>
      <c r="AS603" s="30">
        <f>IFERROR(__xludf.DUMMYFUNCTION("""COMPUTED_VALUE"""),106.0)</f>
        <v>106</v>
      </c>
      <c r="AT603" s="30">
        <f>IFERROR(__xludf.DUMMYFUNCTION("""COMPUTED_VALUE"""),0.6055006407796887)</f>
        <v>0.6055006408</v>
      </c>
      <c r="AU603" s="30">
        <f>IFERROR(__xludf.DUMMYFUNCTION("""COMPUTED_VALUE"""),3.115428393255739)</f>
        <v>3.115428393</v>
      </c>
      <c r="AV603" s="32">
        <f>IFERROR(__xludf.DUMMYFUNCTION("""COMPUTED_VALUE"""),57.10114068979016)</f>
        <v>57.10114069</v>
      </c>
      <c r="AW603" s="32">
        <f>IFERROR(__xludf.DUMMYFUNCTION("""COMPUTED_VALUE"""),2.5760733315816124)</f>
        <v>2.576073332</v>
      </c>
      <c r="AX603" s="32">
        <f>IFERROR(__xludf.DUMMYFUNCTION("""COMPUTED_VALUE"""),39.04398929353359)</f>
        <v>39.04398929</v>
      </c>
      <c r="AY603" s="32">
        <f>IFERROR(__xludf.DUMMYFUNCTION("""COMPUTED_VALUE"""),-3.024748470519646)</f>
        <v>-3.024748471</v>
      </c>
      <c r="AZ603" s="30">
        <f>IFERROR(__xludf.DUMMYFUNCTION("""COMPUTED_VALUE"""),5.600821802101258)</f>
        <v>5.600821802</v>
      </c>
      <c r="BA603" s="30">
        <f>IFERROR(__xludf.DUMMYFUNCTION("""COMPUTED_VALUE"""),2300.0)</f>
        <v>2300</v>
      </c>
    </row>
    <row r="604">
      <c r="A604" s="71" t="str">
        <f>IFERROR(__xludf.DUMMYFUNCTION("""COMPUTED_VALUE"""),"Challenger")</f>
        <v>Challenger</v>
      </c>
      <c r="B604" s="71" t="str">
        <f>IFERROR(__xludf.DUMMYFUNCTION("""COMPUTED_VALUE"""),"RSC007911")</f>
        <v>RSC007911</v>
      </c>
      <c r="C604" s="30" t="str">
        <f>IFERROR(__xludf.DUMMYFUNCTION("""COMPUTED_VALUE"""),"Redhood913011")</f>
        <v>Redhood913011</v>
      </c>
      <c r="D604" s="30" t="str">
        <f>IFERROR(__xludf.DUMMYFUNCTION("""COMPUTED_VALUE"""),"Lions")</f>
        <v>Lions</v>
      </c>
      <c r="E604" s="30">
        <f>IFERROR(__xludf.DUMMYFUNCTION("""COMPUTED_VALUE"""),15.0)</f>
        <v>15</v>
      </c>
      <c r="F604" s="30">
        <f>IFERROR(__xludf.DUMMYFUNCTION("""COMPUTED_VALUE"""),8.0)</f>
        <v>8</v>
      </c>
      <c r="G604" s="42">
        <f>IFERROR(__xludf.DUMMYFUNCTION("""COMPUTED_VALUE"""),7.0)</f>
        <v>7</v>
      </c>
      <c r="H604" s="42">
        <f>IFERROR(__xludf.DUMMYFUNCTION("""COMPUTED_VALUE"""),0.5333333333333333)</f>
        <v>0.5333333333</v>
      </c>
      <c r="I604" s="42">
        <f>IFERROR(__xludf.DUMMYFUNCTION("""COMPUTED_VALUE"""),0.31578947368421056)</f>
        <v>0.3157894737</v>
      </c>
      <c r="J604" s="30">
        <f>IFERROR(__xludf.DUMMYFUNCTION("""COMPUTED_VALUE"""),303.73333333333335)</f>
        <v>303.7333333</v>
      </c>
      <c r="K604" s="30">
        <f>IFERROR(__xludf.DUMMYFUNCTION("""COMPUTED_VALUE"""),0.8)</f>
        <v>0.8</v>
      </c>
      <c r="L604" s="30">
        <f>IFERROR(__xludf.DUMMYFUNCTION("""COMPUTED_VALUE"""),0.4666666666666667)</f>
        <v>0.4666666667</v>
      </c>
      <c r="M604" s="30">
        <f>IFERROR(__xludf.DUMMYFUNCTION("""COMPUTED_VALUE"""),0.8666666666666667)</f>
        <v>0.8666666667</v>
      </c>
      <c r="N604" s="30">
        <f>IFERROR(__xludf.DUMMYFUNCTION("""COMPUTED_VALUE"""),2.533333333333333)</f>
        <v>2.533333333</v>
      </c>
      <c r="O604" s="30">
        <f>IFERROR(__xludf.DUMMYFUNCTION("""COMPUTED_VALUE"""),314.8444444444445)</f>
        <v>314.8444444</v>
      </c>
      <c r="P604" s="30">
        <f>IFERROR(__xludf.DUMMYFUNCTION("""COMPUTED_VALUE"""),0.6444444444444444)</f>
        <v>0.6444444444</v>
      </c>
      <c r="Q604" s="30">
        <f>IFERROR(__xludf.DUMMYFUNCTION("""COMPUTED_VALUE"""),0.4666666666666666)</f>
        <v>0.4666666667</v>
      </c>
      <c r="R604" s="30">
        <f>IFERROR(__xludf.DUMMYFUNCTION("""COMPUTED_VALUE"""),1.3555555555555556)</f>
        <v>1.355555556</v>
      </c>
      <c r="S604" s="30">
        <f>IFERROR(__xludf.DUMMYFUNCTION("""COMPUTED_VALUE"""),2.3111111111111113)</f>
        <v>2.311111111</v>
      </c>
      <c r="T604" s="30">
        <f>IFERROR(__xludf.DUMMYFUNCTION("""COMPUTED_VALUE"""),354.894830424385)</f>
        <v>354.8948304</v>
      </c>
      <c r="U604" s="30">
        <f>IFERROR(__xludf.DUMMYFUNCTION("""COMPUTED_VALUE"""),0.8117007076466414)</f>
        <v>0.8117007076</v>
      </c>
      <c r="V604" s="30">
        <f>IFERROR(__xludf.DUMMYFUNCTION("""COMPUTED_VALUE"""),0.5804051747120215)</f>
        <v>0.5804051747</v>
      </c>
      <c r="W604" s="30">
        <f>IFERROR(__xludf.DUMMYFUNCTION("""COMPUTED_VALUE"""),1.3626642714676125)</f>
        <v>1.362664271</v>
      </c>
      <c r="X604" s="30">
        <f>IFERROR(__xludf.DUMMYFUNCTION("""COMPUTED_VALUE"""),2.554283719207977)</f>
        <v>2.554283719</v>
      </c>
      <c r="Y604" s="30">
        <f>IFERROR(__xludf.DUMMYFUNCTION("""COMPUTED_VALUE"""),337.8315676638206)</f>
        <v>337.8315677</v>
      </c>
      <c r="Z604" s="30">
        <f>IFERROR(__xludf.DUMMYFUNCTION("""COMPUTED_VALUE"""),0.7150727494832226)</f>
        <v>0.7150727495</v>
      </c>
      <c r="AA604" s="30">
        <f>IFERROR(__xludf.DUMMYFUNCTION("""COMPUTED_VALUE"""),0.5114571049667612)</f>
        <v>0.511457105</v>
      </c>
      <c r="AB604" s="30">
        <f>IFERROR(__xludf.DUMMYFUNCTION("""COMPUTED_VALUE"""),1.2779084755102519)</f>
        <v>1.277908476</v>
      </c>
      <c r="AC604" s="30">
        <f>IFERROR(__xludf.DUMMYFUNCTION("""COMPUTED_VALUE"""),2.542012192525574)</f>
        <v>2.542012193</v>
      </c>
      <c r="AD604" s="30">
        <f>IFERROR(__xludf.DUMMYFUNCTION("""COMPUTED_VALUE"""),0.8990673531005879)</f>
        <v>0.8990673531</v>
      </c>
      <c r="AE604" s="30">
        <f>IFERROR(__xludf.DUMMYFUNCTION("""COMPUTED_VALUE"""),1.1187672870741525)</f>
        <v>1.118767287</v>
      </c>
      <c r="AF604" s="30">
        <f>IFERROR(__xludf.DUMMYFUNCTION("""COMPUTED_VALUE"""),0.9124258166224802)</f>
        <v>0.9124258166</v>
      </c>
      <c r="AG604" s="30">
        <f>IFERROR(__xludf.DUMMYFUNCTION("""COMPUTED_VALUE"""),0.6781915006241884)</f>
        <v>0.6781915006</v>
      </c>
      <c r="AH604" s="30">
        <f>IFERROR(__xludf.DUMMYFUNCTION("""COMPUTED_VALUE"""),0.996585831013022)</f>
        <v>0.996585831</v>
      </c>
      <c r="AI604" s="30">
        <f>IFERROR(__xludf.DUMMYFUNCTION("""COMPUTED_VALUE"""),0.8871485788281331)</f>
        <v>0.8871485788</v>
      </c>
      <c r="AJ604" s="30">
        <f>IFERROR(__xludf.DUMMYFUNCTION("""COMPUTED_VALUE"""),0.7939434305938675)</f>
        <v>0.7939434306</v>
      </c>
      <c r="AK604" s="30">
        <f>IFERROR(__xludf.DUMMYFUNCTION("""COMPUTED_VALUE"""),0.8040360200065614)</f>
        <v>0.80403602</v>
      </c>
      <c r="AL604" s="30">
        <f>IFERROR(__xludf.DUMMYFUNCTION("""COMPUTED_VALUE"""),0.9947832227930944)</f>
        <v>0.9947832228</v>
      </c>
      <c r="AM604" s="30">
        <f>IFERROR(__xludf.DUMMYFUNCTION("""COMPUTED_VALUE"""),0.9047981215758335)</f>
        <v>0.9047981216</v>
      </c>
      <c r="AN604" s="30">
        <f>IFERROR(__xludf.DUMMYFUNCTION("""COMPUTED_VALUE"""),0.9336463652589018)</f>
        <v>0.9336463653</v>
      </c>
      <c r="AO604" s="30">
        <f>IFERROR(__xludf.DUMMYFUNCTION("""COMPUTED_VALUE"""),1.0946250511953006)</f>
        <v>1.094625051</v>
      </c>
      <c r="AP604" s="30">
        <f>IFERROR(__xludf.DUMMYFUNCTION("""COMPUTED_VALUE"""),0.9051799904623719)</f>
        <v>0.9051799905</v>
      </c>
      <c r="AQ604" s="30">
        <f>IFERROR(__xludf.DUMMYFUNCTION("""COMPUTED_VALUE"""),0.7187994565170959)</f>
        <v>0.7187994565</v>
      </c>
      <c r="AR604" s="30">
        <f>IFERROR(__xludf.DUMMYFUNCTION("""COMPUTED_VALUE"""),1.064614565032071)</f>
        <v>1.064614565</v>
      </c>
      <c r="AS604" s="30">
        <f>IFERROR(__xludf.DUMMYFUNCTION("""COMPUTED_VALUE"""),36.0)</f>
        <v>36</v>
      </c>
      <c r="AT604" s="30">
        <f>IFERROR(__xludf.DUMMYFUNCTION("""COMPUTED_VALUE"""),0.5816034982047734)</f>
        <v>0.5816034982</v>
      </c>
      <c r="AU604" s="30">
        <f>IFERROR(__xludf.DUMMYFUNCTION("""COMPUTED_VALUE"""),3.148523090820315)</f>
        <v>3.148523091</v>
      </c>
      <c r="AV604" s="32">
        <f>IFERROR(__xludf.DUMMYFUNCTION("""COMPUTED_VALUE"""),57.964854734890736)</f>
        <v>57.96485473</v>
      </c>
      <c r="AW604" s="32">
        <f>IFERROR(__xludf.DUMMYFUNCTION("""COMPUTED_VALUE"""),2.666544858152164)</f>
        <v>2.666544858</v>
      </c>
      <c r="AX604" s="32">
        <f>IFERROR(__xludf.DUMMYFUNCTION("""COMPUTED_VALUE"""),40.48021604346053)</f>
        <v>40.48021604</v>
      </c>
      <c r="AY604" s="32">
        <f>IFERROR(__xludf.DUMMYFUNCTION("""COMPUTED_VALUE"""),-2.843501879322598)</f>
        <v>-2.843501879</v>
      </c>
      <c r="AZ604" s="30">
        <f>IFERROR(__xludf.DUMMYFUNCTION("""COMPUTED_VALUE"""),5.510046737474762)</f>
        <v>5.510046737</v>
      </c>
      <c r="BA604" s="30">
        <f>IFERROR(__xludf.DUMMYFUNCTION("""COMPUTED_VALUE"""),2300.0)</f>
        <v>2300</v>
      </c>
    </row>
    <row r="605">
      <c r="A605" s="71" t="str">
        <f>IFERROR(__xludf.DUMMYFUNCTION("""COMPUTED_VALUE"""),"Challenger")</f>
        <v>Challenger</v>
      </c>
      <c r="B605" s="71" t="str">
        <f>IFERROR(__xludf.DUMMYFUNCTION("""COMPUTED_VALUE"""),"RSC002841")</f>
        <v>RSC002841</v>
      </c>
      <c r="C605" s="30" t="str">
        <f>IFERROR(__xludf.DUMMYFUNCTION("""COMPUTED_VALUE"""),"dyl")</f>
        <v>dyl</v>
      </c>
      <c r="D605" s="30" t="str">
        <f>IFERROR(__xludf.DUMMYFUNCTION("""COMPUTED_VALUE"""),"Cassowaries")</f>
        <v>Cassowaries</v>
      </c>
      <c r="E605" s="30">
        <f>IFERROR(__xludf.DUMMYFUNCTION("""COMPUTED_VALUE"""),46.0)</f>
        <v>46</v>
      </c>
      <c r="F605" s="30">
        <f>IFERROR(__xludf.DUMMYFUNCTION("""COMPUTED_VALUE"""),35.0)</f>
        <v>35</v>
      </c>
      <c r="G605" s="42">
        <f>IFERROR(__xludf.DUMMYFUNCTION("""COMPUTED_VALUE"""),11.0)</f>
        <v>11</v>
      </c>
      <c r="H605" s="42">
        <f>IFERROR(__xludf.DUMMYFUNCTION("""COMPUTED_VALUE"""),0.7608695652173914)</f>
        <v>0.7608695652</v>
      </c>
      <c r="I605" s="42">
        <f>IFERROR(__xludf.DUMMYFUNCTION("""COMPUTED_VALUE"""),0.40178571428571425)</f>
        <v>0.4017857143</v>
      </c>
      <c r="J605" s="30">
        <f>IFERROR(__xludf.DUMMYFUNCTION("""COMPUTED_VALUE"""),407.7391304347826)</f>
        <v>407.7391304</v>
      </c>
      <c r="K605" s="30">
        <f>IFERROR(__xludf.DUMMYFUNCTION("""COMPUTED_VALUE"""),0.9782608695652174)</f>
        <v>0.9782608696</v>
      </c>
      <c r="L605" s="30">
        <f>IFERROR(__xludf.DUMMYFUNCTION("""COMPUTED_VALUE"""),0.8043478260869565)</f>
        <v>0.8043478261</v>
      </c>
      <c r="M605" s="30">
        <f>IFERROR(__xludf.DUMMYFUNCTION("""COMPUTED_VALUE"""),1.673913043478261)</f>
        <v>1.673913043</v>
      </c>
      <c r="N605" s="30">
        <f>IFERROR(__xludf.DUMMYFUNCTION("""COMPUTED_VALUE"""),2.4347826086956523)</f>
        <v>2.434782609</v>
      </c>
      <c r="O605" s="30">
        <f>IFERROR(__xludf.DUMMYFUNCTION("""COMPUTED_VALUE"""),314.66666666666663)</f>
        <v>314.6666667</v>
      </c>
      <c r="P605" s="30">
        <f>IFERROR(__xludf.DUMMYFUNCTION("""COMPUTED_VALUE"""),0.6666666666666666)</f>
        <v>0.6666666667</v>
      </c>
      <c r="Q605" s="30">
        <f>IFERROR(__xludf.DUMMYFUNCTION("""COMPUTED_VALUE"""),0.44202898550724645)</f>
        <v>0.4420289855</v>
      </c>
      <c r="R605" s="30">
        <f>IFERROR(__xludf.DUMMYFUNCTION("""COMPUTED_VALUE"""),1.2681159420289854)</f>
        <v>1.268115942</v>
      </c>
      <c r="S605" s="30">
        <f>IFERROR(__xludf.DUMMYFUNCTION("""COMPUTED_VALUE"""),2.427536231884057)</f>
        <v>2.427536232</v>
      </c>
      <c r="T605" s="30">
        <f>IFERROR(__xludf.DUMMYFUNCTION("""COMPUTED_VALUE"""),320.8942274080723)</f>
        <v>320.8942274</v>
      </c>
      <c r="U605" s="30">
        <f>IFERROR(__xludf.DUMMYFUNCTION("""COMPUTED_VALUE"""),0.7047648774661497)</f>
        <v>0.7047648775</v>
      </c>
      <c r="V605" s="30">
        <f>IFERROR(__xludf.DUMMYFUNCTION("""COMPUTED_VALUE"""),0.48219022195168154)</f>
        <v>0.482190222</v>
      </c>
      <c r="W605" s="30">
        <f>IFERROR(__xludf.DUMMYFUNCTION("""COMPUTED_VALUE"""),1.181006617417308)</f>
        <v>1.181006617</v>
      </c>
      <c r="X605" s="30">
        <f>IFERROR(__xludf.DUMMYFUNCTION("""COMPUTED_VALUE"""),2.3723366581002345)</f>
        <v>2.372336658</v>
      </c>
      <c r="Y605" s="30">
        <f>IFERROR(__xludf.DUMMYFUNCTION("""COMPUTED_VALUE"""),339.8819164034656)</f>
        <v>339.8819164</v>
      </c>
      <c r="Z605" s="30">
        <f>IFERROR(__xludf.DUMMYFUNCTION("""COMPUTED_VALUE"""),0.8046269538749056)</f>
        <v>0.8046269539</v>
      </c>
      <c r="AA605" s="30">
        <f>IFERROR(__xludf.DUMMYFUNCTION("""COMPUTED_VALUE"""),0.5577828657727778)</f>
        <v>0.5577828658</v>
      </c>
      <c r="AB605" s="30">
        <f>IFERROR(__xludf.DUMMYFUNCTION("""COMPUTED_VALUE"""),1.2147871765848302)</f>
        <v>1.214787177</v>
      </c>
      <c r="AC605" s="30">
        <f>IFERROR(__xludf.DUMMYFUNCTION("""COMPUTED_VALUE"""),2.4662682651504517)</f>
        <v>2.466268265</v>
      </c>
      <c r="AD605" s="30">
        <f>IFERROR(__xludf.DUMMYFUNCTION("""COMPUTED_VALUE"""),1.1996493804358963)</f>
        <v>1.19964938</v>
      </c>
      <c r="AE605" s="30">
        <f>IFERROR(__xludf.DUMMYFUNCTION("""COMPUTED_VALUE"""),1.2157943067332373)</f>
        <v>1.215794307</v>
      </c>
      <c r="AF605" s="30">
        <f>IFERROR(__xludf.DUMMYFUNCTION("""COMPUTED_VALUE"""),1.4420447013419395)</f>
        <v>1.442044701</v>
      </c>
      <c r="AG605" s="30">
        <f>IFERROR(__xludf.DUMMYFUNCTION("""COMPUTED_VALUE"""),1.3779475744748855)</f>
        <v>1.377947574</v>
      </c>
      <c r="AH605" s="30">
        <f>IFERROR(__xludf.DUMMYFUNCTION("""COMPUTED_VALUE"""),0.9872334827075762)</f>
        <v>0.9872334827</v>
      </c>
      <c r="AI605" s="30">
        <f>IFERROR(__xludf.DUMMYFUNCTION("""COMPUTED_VALUE"""),0.9805931044889559)</f>
        <v>0.9805931045</v>
      </c>
      <c r="AJ605" s="30">
        <f>IFERROR(__xludf.DUMMYFUNCTION("""COMPUTED_VALUE"""),0.9459419559379036)</f>
        <v>0.9459419559</v>
      </c>
      <c r="AK605" s="30">
        <f>IFERROR(__xludf.DUMMYFUNCTION("""COMPUTED_VALUE"""),0.9167108028821466)</f>
        <v>0.9167108029</v>
      </c>
      <c r="AL605" s="30">
        <f>IFERROR(__xludf.DUMMYFUNCTION("""COMPUTED_VALUE"""),1.073758540660994)</f>
        <v>1.073758541</v>
      </c>
      <c r="AM605" s="30">
        <f>IFERROR(__xludf.DUMMYFUNCTION("""COMPUTED_VALUE"""),1.0232680187254817)</f>
        <v>1.023268019</v>
      </c>
      <c r="AN605" s="30">
        <f>IFERROR(__xludf.DUMMYFUNCTION("""COMPUTED_VALUE"""),1.2533499465680202)</f>
        <v>1.253349947</v>
      </c>
      <c r="AO605" s="30">
        <f>IFERROR(__xludf.DUMMYFUNCTION("""COMPUTED_VALUE"""),1.3385360680377316)</f>
        <v>1.338536068</v>
      </c>
      <c r="AP605" s="30">
        <f>IFERROR(__xludf.DUMMYFUNCTION("""COMPUTED_VALUE"""),1.5601704804553302)</f>
        <v>1.56017048</v>
      </c>
      <c r="AQ605" s="30">
        <f>IFERROR(__xludf.DUMMYFUNCTION("""COMPUTED_VALUE"""),1.388316676048906)</f>
        <v>1.388316676</v>
      </c>
      <c r="AR605" s="30">
        <f>IFERROR(__xludf.DUMMYFUNCTION("""COMPUTED_VALUE"""),1.0231993531200685)</f>
        <v>1.023199353</v>
      </c>
      <c r="AS605" s="30">
        <f>IFERROR(__xludf.DUMMYFUNCTION("""COMPUTED_VALUE"""),148.0)</f>
        <v>148</v>
      </c>
      <c r="AT605" s="30">
        <f>IFERROR(__xludf.DUMMYFUNCTION("""COMPUTED_VALUE"""),0.6821821129951607)</f>
        <v>0.682182113</v>
      </c>
      <c r="AU605" s="30">
        <f>IFERROR(__xludf.DUMMYFUNCTION("""COMPUTED_VALUE"""),4.010026491108811)</f>
        <v>4.010026491</v>
      </c>
      <c r="AV605" s="32">
        <f>IFERROR(__xludf.DUMMYFUNCTION("""COMPUTED_VALUE"""),80.44859507665333)</f>
        <v>80.44859508</v>
      </c>
      <c r="AW605" s="32">
        <f>IFERROR(__xludf.DUMMYFUNCTION("""COMPUTED_VALUE"""),8.958754072324439)</f>
        <v>8.958754072</v>
      </c>
      <c r="AX605" s="32">
        <f>IFERROR(__xludf.DUMMYFUNCTION("""COMPUTED_VALUE"""),66.09206717725027)</f>
        <v>66.09206718</v>
      </c>
      <c r="AY605" s="32">
        <f>IFERROR(__xludf.DUMMYFUNCTION("""COMPUTED_VALUE"""),3.8477727311143144)</f>
        <v>3.847772731</v>
      </c>
      <c r="AZ605" s="30">
        <f>IFERROR(__xludf.DUMMYFUNCTION("""COMPUTED_VALUE"""),5.110981341210124)</f>
        <v>5.110981341</v>
      </c>
      <c r="BA605" s="30">
        <f>IFERROR(__xludf.DUMMYFUNCTION("""COMPUTED_VALUE"""),2300.0)</f>
        <v>2300</v>
      </c>
    </row>
    <row r="606">
      <c r="A606" s="71" t="str">
        <f>IFERROR(__xludf.DUMMYFUNCTION("""COMPUTED_VALUE"""),"Challenger")</f>
        <v>Challenger</v>
      </c>
      <c r="B606" s="71" t="str">
        <f>IFERROR(__xludf.DUMMYFUNCTION("""COMPUTED_VALUE"""),"RSC006908")</f>
        <v>RSC006908</v>
      </c>
      <c r="C606" s="30" t="str">
        <f>IFERROR(__xludf.DUMMYFUNCTION("""COMPUTED_VALUE"""),"OvrSizedFrog")</f>
        <v>OvrSizedFrog</v>
      </c>
      <c r="D606" s="30" t="str">
        <f>IFERROR(__xludf.DUMMYFUNCTION("""COMPUTED_VALUE"""),"Toucans")</f>
        <v>Toucans</v>
      </c>
      <c r="E606" s="30">
        <f>IFERROR(__xludf.DUMMYFUNCTION("""COMPUTED_VALUE"""),21.0)</f>
        <v>21</v>
      </c>
      <c r="F606" s="30">
        <f>IFERROR(__xludf.DUMMYFUNCTION("""COMPUTED_VALUE"""),12.0)</f>
        <v>12</v>
      </c>
      <c r="G606" s="42">
        <f>IFERROR(__xludf.DUMMYFUNCTION("""COMPUTED_VALUE"""),9.0)</f>
        <v>9</v>
      </c>
      <c r="H606" s="42">
        <f>IFERROR(__xludf.DUMMYFUNCTION("""COMPUTED_VALUE"""),0.5714285714285714)</f>
        <v>0.5714285714</v>
      </c>
      <c r="I606" s="42">
        <f>IFERROR(__xludf.DUMMYFUNCTION("""COMPUTED_VALUE"""),0.4347826086956521)</f>
        <v>0.4347826087</v>
      </c>
      <c r="J606" s="30">
        <f>IFERROR(__xludf.DUMMYFUNCTION("""COMPUTED_VALUE"""),305.4761904761905)</f>
        <v>305.4761905</v>
      </c>
      <c r="K606" s="30">
        <f>IFERROR(__xludf.DUMMYFUNCTION("""COMPUTED_VALUE"""),0.9523809523809523)</f>
        <v>0.9523809524</v>
      </c>
      <c r="L606" s="30">
        <f>IFERROR(__xludf.DUMMYFUNCTION("""COMPUTED_VALUE"""),0.2857142857142857)</f>
        <v>0.2857142857</v>
      </c>
      <c r="M606" s="30">
        <f>IFERROR(__xludf.DUMMYFUNCTION("""COMPUTED_VALUE"""),1.0)</f>
        <v>1</v>
      </c>
      <c r="N606" s="30">
        <f>IFERROR(__xludf.DUMMYFUNCTION("""COMPUTED_VALUE"""),2.1904761904761907)</f>
        <v>2.19047619</v>
      </c>
      <c r="O606" s="30">
        <f>IFERROR(__xludf.DUMMYFUNCTION("""COMPUTED_VALUE"""),322.9206349206349)</f>
        <v>322.9206349</v>
      </c>
      <c r="P606" s="30">
        <f>IFERROR(__xludf.DUMMYFUNCTION("""COMPUTED_VALUE"""),0.73015873015873)</f>
        <v>0.7301587302</v>
      </c>
      <c r="Q606" s="30">
        <f>IFERROR(__xludf.DUMMYFUNCTION("""COMPUTED_VALUE"""),0.5238095238095238)</f>
        <v>0.5238095238</v>
      </c>
      <c r="R606" s="30">
        <f>IFERROR(__xludf.DUMMYFUNCTION("""COMPUTED_VALUE"""),1.1904761904761902)</f>
        <v>1.19047619</v>
      </c>
      <c r="S606" s="30">
        <f>IFERROR(__xludf.DUMMYFUNCTION("""COMPUTED_VALUE"""),2.3333333333333335)</f>
        <v>2.333333333</v>
      </c>
      <c r="T606" s="30">
        <f>IFERROR(__xludf.DUMMYFUNCTION("""COMPUTED_VALUE"""),336.46092845315496)</f>
        <v>336.4609285</v>
      </c>
      <c r="U606" s="30">
        <f>IFERROR(__xludf.DUMMYFUNCTION("""COMPUTED_VALUE"""),0.7710244934244134)</f>
        <v>0.7710244934</v>
      </c>
      <c r="V606" s="30">
        <f>IFERROR(__xludf.DUMMYFUNCTION("""COMPUTED_VALUE"""),0.5312441511509336)</f>
        <v>0.5312441512</v>
      </c>
      <c r="W606" s="30">
        <f>IFERROR(__xludf.DUMMYFUNCTION("""COMPUTED_VALUE"""),1.169710042991068)</f>
        <v>1.169710043</v>
      </c>
      <c r="X606" s="30">
        <f>IFERROR(__xludf.DUMMYFUNCTION("""COMPUTED_VALUE"""),2.5459024388707356)</f>
        <v>2.545902439</v>
      </c>
      <c r="Y606" s="30">
        <f>IFERROR(__xludf.DUMMYFUNCTION("""COMPUTED_VALUE"""),328.83678950527997)</f>
        <v>328.8367895</v>
      </c>
      <c r="Z606" s="30">
        <f>IFERROR(__xludf.DUMMYFUNCTION("""COMPUTED_VALUE"""),0.7123406589411062)</f>
        <v>0.7123406589</v>
      </c>
      <c r="AA606" s="30">
        <f>IFERROR(__xludf.DUMMYFUNCTION("""COMPUTED_VALUE"""),0.4973195419529544)</f>
        <v>0.497319542</v>
      </c>
      <c r="AB606" s="30">
        <f>IFERROR(__xludf.DUMMYFUNCTION("""COMPUTED_VALUE"""),1.2446645788744821)</f>
        <v>1.244664579</v>
      </c>
      <c r="AC606" s="30">
        <f>IFERROR(__xludf.DUMMYFUNCTION("""COMPUTED_VALUE"""),2.3153948635455714)</f>
        <v>2.315394864</v>
      </c>
      <c r="AD606" s="30">
        <f>IFERROR(__xludf.DUMMYFUNCTION("""COMPUTED_VALUE"""),0.9289598981177427)</f>
        <v>0.9289598981</v>
      </c>
      <c r="AE606" s="30">
        <f>IFERROR(__xludf.DUMMYFUNCTION("""COMPUTED_VALUE"""),1.3369740171741227)</f>
        <v>1.336974017</v>
      </c>
      <c r="AF606" s="30">
        <f>IFERROR(__xludf.DUMMYFUNCTION("""COMPUTED_VALUE"""),0.5745084630945666)</f>
        <v>0.5745084631</v>
      </c>
      <c r="AG606" s="30">
        <f>IFERROR(__xludf.DUMMYFUNCTION("""COMPUTED_VALUE"""),0.8034293069577622)</f>
        <v>0.803429307</v>
      </c>
      <c r="AH606" s="30">
        <f>IFERROR(__xludf.DUMMYFUNCTION("""COMPUTED_VALUE"""),0.9460486524194441)</f>
        <v>0.9460486524</v>
      </c>
      <c r="AI606" s="30">
        <f>IFERROR(__xludf.DUMMYFUNCTION("""COMPUTED_VALUE"""),0.9597567135216258)</f>
        <v>0.9597567135</v>
      </c>
      <c r="AJ606" s="30">
        <f>IFERROR(__xludf.DUMMYFUNCTION("""COMPUTED_VALUE"""),0.9469980997825596)</f>
        <v>0.9469980998</v>
      </c>
      <c r="AK606" s="30">
        <f>IFERROR(__xludf.DUMMYFUNCTION("""COMPUTED_VALUE"""),0.9860052532808075)</f>
        <v>0.9860052533</v>
      </c>
      <c r="AL606" s="30">
        <f>IFERROR(__xludf.DUMMYFUNCTION("""COMPUTED_VALUE"""),1.0177532437286945)</f>
        <v>1.017753244</v>
      </c>
      <c r="AM606" s="30">
        <f>IFERROR(__xludf.DUMMYFUNCTION("""COMPUTED_VALUE"""),0.9165054000923579)</f>
        <v>0.9165054001</v>
      </c>
      <c r="AN606" s="30">
        <f>IFERROR(__xludf.DUMMYFUNCTION("""COMPUTED_VALUE"""),0.939003736538294)</f>
        <v>0.9390037365</v>
      </c>
      <c r="AO606" s="30">
        <f>IFERROR(__xludf.DUMMYFUNCTION("""COMPUTED_VALUE"""),1.3031250609467862)</f>
        <v>1.303125061</v>
      </c>
      <c r="AP606" s="30">
        <f>IFERROR(__xludf.DUMMYFUNCTION("""COMPUTED_VALUE"""),0.5541918308953296)</f>
        <v>0.5541918309</v>
      </c>
      <c r="AQ606" s="30">
        <f>IFERROR(__xludf.DUMMYFUNCTION("""COMPUTED_VALUE"""),0.8293839882889568)</f>
        <v>0.8293839883</v>
      </c>
      <c r="AR606" s="30">
        <f>IFERROR(__xludf.DUMMYFUNCTION("""COMPUTED_VALUE"""),0.9205313908172045)</f>
        <v>0.9205313908</v>
      </c>
      <c r="AS606" s="30">
        <f>IFERROR(__xludf.DUMMYFUNCTION("""COMPUTED_VALUE"""),48.0)</f>
        <v>48</v>
      </c>
      <c r="AT606" s="30">
        <f>IFERROR(__xludf.DUMMYFUNCTION("""COMPUTED_VALUE"""),0.5163528528322511)</f>
        <v>0.5163528528</v>
      </c>
      <c r="AU606" s="30">
        <f>IFERROR(__xludf.DUMMYFUNCTION("""COMPUTED_VALUE"""),2.8863980544930463)</f>
        <v>2.886398054</v>
      </c>
      <c r="AV606" s="32">
        <f>IFERROR(__xludf.DUMMYFUNCTION("""COMPUTED_VALUE"""),51.12384719866536)</f>
        <v>51.1238472</v>
      </c>
      <c r="AW606" s="32">
        <f>IFERROR(__xludf.DUMMYFUNCTION("""COMPUTED_VALUE"""),2.0743787935600198)</f>
        <v>2.074378794</v>
      </c>
      <c r="AX606" s="32">
        <f>IFERROR(__xludf.DUMMYFUNCTION("""COMPUTED_VALUE"""),39.323382985016565)</f>
        <v>39.32338299</v>
      </c>
      <c r="AY606" s="32">
        <f>IFERROR(__xludf.DUMMYFUNCTION("""COMPUTED_VALUE"""),-2.9880527905629948)</f>
        <v>-2.988052791</v>
      </c>
      <c r="AZ606" s="30">
        <f>IFERROR(__xludf.DUMMYFUNCTION("""COMPUTED_VALUE"""),5.062431584123015)</f>
        <v>5.062431584</v>
      </c>
      <c r="BA606" s="30">
        <f>IFERROR(__xludf.DUMMYFUNCTION("""COMPUTED_VALUE"""),2300.0)</f>
        <v>2300</v>
      </c>
    </row>
    <row r="607">
      <c r="A607" s="71" t="str">
        <f>IFERROR(__xludf.DUMMYFUNCTION("""COMPUTED_VALUE"""),"Challenger")</f>
        <v>Challenger</v>
      </c>
      <c r="B607" s="71" t="str">
        <f>IFERROR(__xludf.DUMMYFUNCTION("""COMPUTED_VALUE"""),"RSC006777")</f>
        <v>RSC006777</v>
      </c>
      <c r="C607" s="30" t="str">
        <f>IFERROR(__xludf.DUMMYFUNCTION("""COMPUTED_VALUE"""),"AlteredSp4rky")</f>
        <v>AlteredSp4rky</v>
      </c>
      <c r="D607" s="30" t="str">
        <f>IFERROR(__xludf.DUMMYFUNCTION("""COMPUTED_VALUE"""),"Toucans")</f>
        <v>Toucans</v>
      </c>
      <c r="E607" s="30">
        <f>IFERROR(__xludf.DUMMYFUNCTION("""COMPUTED_VALUE"""),29.0)</f>
        <v>29</v>
      </c>
      <c r="F607" s="30">
        <f>IFERROR(__xludf.DUMMYFUNCTION("""COMPUTED_VALUE"""),16.0)</f>
        <v>16</v>
      </c>
      <c r="G607" s="42">
        <f>IFERROR(__xludf.DUMMYFUNCTION("""COMPUTED_VALUE"""),13.0)</f>
        <v>13</v>
      </c>
      <c r="H607" s="42">
        <f>IFERROR(__xludf.DUMMYFUNCTION("""COMPUTED_VALUE"""),0.5517241379310345)</f>
        <v>0.5517241379</v>
      </c>
      <c r="I607" s="42">
        <f>IFERROR(__xludf.DUMMYFUNCTION("""COMPUTED_VALUE"""),0.2698412698412698)</f>
        <v>0.2698412698</v>
      </c>
      <c r="J607" s="30">
        <f>IFERROR(__xludf.DUMMYFUNCTION("""COMPUTED_VALUE"""),320.2758620689655)</f>
        <v>320.2758621</v>
      </c>
      <c r="K607" s="30">
        <f>IFERROR(__xludf.DUMMYFUNCTION("""COMPUTED_VALUE"""),0.5862068965517241)</f>
        <v>0.5862068966</v>
      </c>
      <c r="L607" s="30">
        <f>IFERROR(__xludf.DUMMYFUNCTION("""COMPUTED_VALUE"""),0.6206896551724138)</f>
        <v>0.6206896552</v>
      </c>
      <c r="M607" s="30">
        <f>IFERROR(__xludf.DUMMYFUNCTION("""COMPUTED_VALUE"""),1.2758620689655173)</f>
        <v>1.275862069</v>
      </c>
      <c r="N607" s="30">
        <f>IFERROR(__xludf.DUMMYFUNCTION("""COMPUTED_VALUE"""),2.1724137931034484)</f>
        <v>2.172413793</v>
      </c>
      <c r="O607" s="30">
        <f>IFERROR(__xludf.DUMMYFUNCTION("""COMPUTED_VALUE"""),308.0114942528736)</f>
        <v>308.0114943</v>
      </c>
      <c r="P607" s="30">
        <f>IFERROR(__xludf.DUMMYFUNCTION("""COMPUTED_VALUE"""),0.724137931034483)</f>
        <v>0.724137931</v>
      </c>
      <c r="Q607" s="30">
        <f>IFERROR(__xludf.DUMMYFUNCTION("""COMPUTED_VALUE"""),0.471264367816092)</f>
        <v>0.4712643678</v>
      </c>
      <c r="R607" s="30">
        <f>IFERROR(__xludf.DUMMYFUNCTION("""COMPUTED_VALUE"""),1.0804597701149423)</f>
        <v>1.08045977</v>
      </c>
      <c r="S607" s="30">
        <f>IFERROR(__xludf.DUMMYFUNCTION("""COMPUTED_VALUE"""),2.172413793103448)</f>
        <v>2.172413793</v>
      </c>
      <c r="T607" s="30">
        <f>IFERROR(__xludf.DUMMYFUNCTION("""COMPUTED_VALUE"""),315.5043603795483)</f>
        <v>315.5043604</v>
      </c>
      <c r="U607" s="30">
        <f>IFERROR(__xludf.DUMMYFUNCTION("""COMPUTED_VALUE"""),0.7093278595070628)</f>
        <v>0.7093278595</v>
      </c>
      <c r="V607" s="30">
        <f>IFERROR(__xludf.DUMMYFUNCTION("""COMPUTED_VALUE"""),0.47849989732392895)</f>
        <v>0.4784998973</v>
      </c>
      <c r="W607" s="30">
        <f>IFERROR(__xludf.DUMMYFUNCTION("""COMPUTED_VALUE"""),1.1233219651216986)</f>
        <v>1.123321965</v>
      </c>
      <c r="X607" s="30">
        <f>IFERROR(__xludf.DUMMYFUNCTION("""COMPUTED_VALUE"""),2.3151517767067316)</f>
        <v>2.315151777</v>
      </c>
      <c r="Y607" s="30">
        <f>IFERROR(__xludf.DUMMYFUNCTION("""COMPUTED_VALUE"""),332.58544265247184)</f>
        <v>332.5854427</v>
      </c>
      <c r="Z607" s="30">
        <f>IFERROR(__xludf.DUMMYFUNCTION("""COMPUTED_VALUE"""),0.8086392431067876)</f>
        <v>0.8086392431</v>
      </c>
      <c r="AA607" s="30">
        <f>IFERROR(__xludf.DUMMYFUNCTION("""COMPUTED_VALUE"""),0.5567763701610061)</f>
        <v>0.5567763702</v>
      </c>
      <c r="AB607" s="30">
        <f>IFERROR(__xludf.DUMMYFUNCTION("""COMPUTED_VALUE"""),1.144781827219216)</f>
        <v>1.144781827</v>
      </c>
      <c r="AC607" s="30">
        <f>IFERROR(__xludf.DUMMYFUNCTION("""COMPUTED_VALUE"""),2.423368449845545)</f>
        <v>2.42336845</v>
      </c>
      <c r="AD607" s="30">
        <f>IFERROR(__xludf.DUMMYFUNCTION("""COMPUTED_VALUE"""),0.9629882159443492)</f>
        <v>0.9629882159</v>
      </c>
      <c r="AE607" s="30">
        <f>IFERROR(__xludf.DUMMYFUNCTION("""COMPUTED_VALUE"""),0.7249300618895521)</f>
        <v>0.7249300619</v>
      </c>
      <c r="AF607" s="30">
        <f>IFERROR(__xludf.DUMMYFUNCTION("""COMPUTED_VALUE"""),1.1147916622124705)</f>
        <v>1.114791662</v>
      </c>
      <c r="AG607" s="30">
        <f>IFERROR(__xludf.DUMMYFUNCTION("""COMPUTED_VALUE"""),1.1145023782083505)</f>
        <v>1.114502378</v>
      </c>
      <c r="AH607" s="30">
        <f>IFERROR(__xludf.DUMMYFUNCTION("""COMPUTED_VALUE"""),0.8964438706140244)</f>
        <v>0.8964438706</v>
      </c>
      <c r="AI607" s="30">
        <f>IFERROR(__xludf.DUMMYFUNCTION("""COMPUTED_VALUE"""),0.9762511487395583)</f>
        <v>0.9762511487</v>
      </c>
      <c r="AJ607" s="30">
        <f>IFERROR(__xludf.DUMMYFUNCTION("""COMPUTED_VALUE"""),1.0208790213565166)</f>
        <v>1.020879021</v>
      </c>
      <c r="AK607" s="30">
        <f>IFERROR(__xludf.DUMMYFUNCTION("""COMPUTED_VALUE"""),0.9848787229667079)</f>
        <v>0.984878723</v>
      </c>
      <c r="AL607" s="30">
        <f>IFERROR(__xludf.DUMMYFUNCTION("""COMPUTED_VALUE"""),0.9618433571695425)</f>
        <v>0.9618433572</v>
      </c>
      <c r="AM607" s="30">
        <f>IFERROR(__xludf.DUMMYFUNCTION("""COMPUTED_VALUE"""),0.9383461658801799)</f>
        <v>0.9383461659</v>
      </c>
      <c r="AN607" s="30">
        <f>IFERROR(__xludf.DUMMYFUNCTION("""COMPUTED_VALUE"""),0.9844964700423102)</f>
        <v>0.98449647</v>
      </c>
      <c r="AO607" s="30">
        <f>IFERROR(__xludf.DUMMYFUNCTION("""COMPUTED_VALUE"""),0.8020959426862114)</f>
        <v>0.8020959427</v>
      </c>
      <c r="AP607" s="30">
        <f>IFERROR(__xludf.DUMMYFUNCTION("""COMPUTED_VALUE"""),1.203933977462268)</f>
        <v>1.203933977</v>
      </c>
      <c r="AQ607" s="30">
        <f>IFERROR(__xludf.DUMMYFUNCTION("""COMPUTED_VALUE"""),1.0581795712652209)</f>
        <v>1.058179571</v>
      </c>
      <c r="AR607" s="30">
        <f>IFERROR(__xludf.DUMMYFUNCTION("""COMPUTED_VALUE"""),0.9129408021373024)</f>
        <v>0.9129408021</v>
      </c>
      <c r="AS607" s="30">
        <f>IFERROR(__xludf.DUMMYFUNCTION("""COMPUTED_VALUE"""),68.0)</f>
        <v>68</v>
      </c>
      <c r="AT607" s="30">
        <f>IFERROR(__xludf.DUMMYFUNCTION("""COMPUTED_VALUE"""),0.5293986341938026)</f>
        <v>0.5293986342</v>
      </c>
      <c r="AU607" s="30">
        <f>IFERROR(__xludf.DUMMYFUNCTION("""COMPUTED_VALUE"""),2.655829599637241)</f>
        <v>2.6558296</v>
      </c>
      <c r="AV607" s="32">
        <f>IFERROR(__xludf.DUMMYFUNCTION("""COMPUTED_VALUE"""),45.10641155274297)</f>
        <v>45.10641155</v>
      </c>
      <c r="AW607" s="32">
        <f>IFERROR(__xludf.DUMMYFUNCTION("""COMPUTED_VALUE"""),-2.3673936825696655)</f>
        <v>-2.367393683</v>
      </c>
      <c r="AX607" s="32">
        <f>IFERROR(__xludf.DUMMYFUNCTION("""COMPUTED_VALUE"""),57.0468227554717)</f>
        <v>57.04682276</v>
      </c>
      <c r="AY607" s="32">
        <f>IFERROR(__xludf.DUMMYFUNCTION("""COMPUTED_VALUE"""),2.5705587460177064)</f>
        <v>2.570558746</v>
      </c>
      <c r="AZ607" s="30">
        <f>IFERROR(__xludf.DUMMYFUNCTION("""COMPUTED_VALUE"""),4.937952428587372)</f>
        <v>4.937952429</v>
      </c>
      <c r="BA607" s="30">
        <f>IFERROR(__xludf.DUMMYFUNCTION("""COMPUTED_VALUE"""),2300.0)</f>
        <v>2300</v>
      </c>
    </row>
    <row r="608">
      <c r="A608" s="71" t="str">
        <f>IFERROR(__xludf.DUMMYFUNCTION("""COMPUTED_VALUE"""),"Challenger")</f>
        <v>Challenger</v>
      </c>
      <c r="B608" s="71" t="str">
        <f>IFERROR(__xludf.DUMMYFUNCTION("""COMPUTED_VALUE"""),"RSC004681")</f>
        <v>RSC004681</v>
      </c>
      <c r="C608" s="30" t="str">
        <f>IFERROR(__xludf.DUMMYFUNCTION("""COMPUTED_VALUE"""),"Speciial_Eddy")</f>
        <v>Speciial_Eddy</v>
      </c>
      <c r="D608" s="30" t="str">
        <f>IFERROR(__xludf.DUMMYFUNCTION("""COMPUTED_VALUE"""),"Jock O Lanterns")</f>
        <v>Jock O Lanterns</v>
      </c>
      <c r="E608" s="30">
        <f>IFERROR(__xludf.DUMMYFUNCTION("""COMPUTED_VALUE"""),23.0)</f>
        <v>23</v>
      </c>
      <c r="F608" s="30">
        <f>IFERROR(__xludf.DUMMYFUNCTION("""COMPUTED_VALUE"""),10.0)</f>
        <v>10</v>
      </c>
      <c r="G608" s="42">
        <f>IFERROR(__xludf.DUMMYFUNCTION("""COMPUTED_VALUE"""),13.0)</f>
        <v>13</v>
      </c>
      <c r="H608" s="42">
        <f>IFERROR(__xludf.DUMMYFUNCTION("""COMPUTED_VALUE"""),0.43478260869565216)</f>
        <v>0.4347826087</v>
      </c>
      <c r="I608" s="42">
        <f>IFERROR(__xludf.DUMMYFUNCTION("""COMPUTED_VALUE"""),0.2857142857142857)</f>
        <v>0.2857142857</v>
      </c>
      <c r="J608" s="30">
        <f>IFERROR(__xludf.DUMMYFUNCTION("""COMPUTED_VALUE"""),358.69565217391306)</f>
        <v>358.6956522</v>
      </c>
      <c r="K608" s="30">
        <f>IFERROR(__xludf.DUMMYFUNCTION("""COMPUTED_VALUE"""),0.782608695652174)</f>
        <v>0.7826086957</v>
      </c>
      <c r="L608" s="30">
        <f>IFERROR(__xludf.DUMMYFUNCTION("""COMPUTED_VALUE"""),0.43478260869565216)</f>
        <v>0.4347826087</v>
      </c>
      <c r="M608" s="30">
        <f>IFERROR(__xludf.DUMMYFUNCTION("""COMPUTED_VALUE"""),1.6521739130434783)</f>
        <v>1.652173913</v>
      </c>
      <c r="N608" s="30">
        <f>IFERROR(__xludf.DUMMYFUNCTION("""COMPUTED_VALUE"""),2.739130434782609)</f>
        <v>2.739130435</v>
      </c>
      <c r="O608" s="30">
        <f>IFERROR(__xludf.DUMMYFUNCTION("""COMPUTED_VALUE"""),377.50724637681157)</f>
        <v>377.5072464</v>
      </c>
      <c r="P608" s="30">
        <f>IFERROR(__xludf.DUMMYFUNCTION("""COMPUTED_VALUE"""),0.8695652173913043)</f>
        <v>0.8695652174</v>
      </c>
      <c r="Q608" s="30">
        <f>IFERROR(__xludf.DUMMYFUNCTION("""COMPUTED_VALUE"""),0.6376811594202898)</f>
        <v>0.6376811594</v>
      </c>
      <c r="R608" s="30">
        <f>IFERROR(__xludf.DUMMYFUNCTION("""COMPUTED_VALUE"""),1.3478260869565215)</f>
        <v>1.347826087</v>
      </c>
      <c r="S608" s="30">
        <f>IFERROR(__xludf.DUMMYFUNCTION("""COMPUTED_VALUE"""),2.724637681159421)</f>
        <v>2.724637681</v>
      </c>
      <c r="T608" s="30">
        <f>IFERROR(__xludf.DUMMYFUNCTION("""COMPUTED_VALUE"""),342.08666438825065)</f>
        <v>342.0866644</v>
      </c>
      <c r="U608" s="30">
        <f>IFERROR(__xludf.DUMMYFUNCTION("""COMPUTED_VALUE"""),0.8095820651717814)</f>
        <v>0.8095820652</v>
      </c>
      <c r="V608" s="30">
        <f>IFERROR(__xludf.DUMMYFUNCTION("""COMPUTED_VALUE"""),0.6108538022810694)</f>
        <v>0.6108538023</v>
      </c>
      <c r="W608" s="30">
        <f>IFERROR(__xludf.DUMMYFUNCTION("""COMPUTED_VALUE"""),1.172406872204973)</f>
        <v>1.172406872</v>
      </c>
      <c r="X608" s="30">
        <f>IFERROR(__xludf.DUMMYFUNCTION("""COMPUTED_VALUE"""),2.5818592523377033)</f>
        <v>2.581859252</v>
      </c>
      <c r="Y608" s="30">
        <f>IFERROR(__xludf.DUMMYFUNCTION("""COMPUTED_VALUE"""),325.3976024089386)</f>
        <v>325.3976024</v>
      </c>
      <c r="Z608" s="30">
        <f>IFERROR(__xludf.DUMMYFUNCTION("""COMPUTED_VALUE"""),0.7025711566084882)</f>
        <v>0.7025711566</v>
      </c>
      <c r="AA608" s="30">
        <f>IFERROR(__xludf.DUMMYFUNCTION("""COMPUTED_VALUE"""),0.4724339700684229)</f>
        <v>0.4724339701</v>
      </c>
      <c r="AB608" s="30">
        <f>IFERROR(__xludf.DUMMYFUNCTION("""COMPUTED_VALUE"""),1.2597944434021224)</f>
        <v>1.259794443</v>
      </c>
      <c r="AC608" s="30">
        <f>IFERROR(__xludf.DUMMYFUNCTION("""COMPUTED_VALUE"""),2.2740248663173617)</f>
        <v>2.274024866</v>
      </c>
      <c r="AD608" s="30">
        <f>IFERROR(__xludf.DUMMYFUNCTION("""COMPUTED_VALUE"""),1.102330347606949)</f>
        <v>1.102330348</v>
      </c>
      <c r="AE608" s="30">
        <f>IFERROR(__xludf.DUMMYFUNCTION("""COMPUTED_VALUE"""),1.113920900809606)</f>
        <v>1.113920901</v>
      </c>
      <c r="AF608" s="30">
        <f>IFERROR(__xludf.DUMMYFUNCTION("""COMPUTED_VALUE"""),0.9203034418390411)</f>
        <v>0.9203034418</v>
      </c>
      <c r="AG608" s="30">
        <f>IFERROR(__xludf.DUMMYFUNCTION("""COMPUTED_VALUE"""),1.3114630896304957)</f>
        <v>1.31146309</v>
      </c>
      <c r="AH608" s="30">
        <f>IFERROR(__xludf.DUMMYFUNCTION("""COMPUTED_VALUE"""),1.2045296757103874)</f>
        <v>1.204529676</v>
      </c>
      <c r="AI608" s="30">
        <f>IFERROR(__xludf.DUMMYFUNCTION("""COMPUTED_VALUE"""),1.103542714978098)</f>
        <v>1.103542715</v>
      </c>
      <c r="AJ608" s="30">
        <f>IFERROR(__xludf.DUMMYFUNCTION("""COMPUTED_VALUE"""),1.0740915032582834)</f>
        <v>1.074091503</v>
      </c>
      <c r="AK608" s="30">
        <f>IFERROR(__xludf.DUMMYFUNCTION("""COMPUTED_VALUE"""),1.04391780330914)</f>
        <v>1.043917803</v>
      </c>
      <c r="AL608" s="30">
        <f>IFERROR(__xludf.DUMMYFUNCTION("""COMPUTED_VALUE"""),1.1496231546490627)</f>
        <v>1.149623155</v>
      </c>
      <c r="AM608" s="30">
        <f>IFERROR(__xludf.DUMMYFUNCTION("""COMPUTED_VALUE"""),1.0553006244211187)</f>
        <v>1.055300624</v>
      </c>
      <c r="AN608" s="30">
        <f>IFERROR(__xludf.DUMMYFUNCTION("""COMPUTED_VALUE"""),1.102595122540645)</f>
        <v>1.102595123</v>
      </c>
      <c r="AO608" s="30">
        <f>IFERROR(__xludf.DUMMYFUNCTION("""COMPUTED_VALUE"""),1.0708288544301854)</f>
        <v>1.070828854</v>
      </c>
      <c r="AP608" s="30">
        <f>IFERROR(__xludf.DUMMYFUNCTION("""COMPUTED_VALUE"""),0.8433353948407191)</f>
        <v>0.8433353948</v>
      </c>
      <c r="AQ608" s="30">
        <f>IFERROR(__xludf.DUMMYFUNCTION("""COMPUTED_VALUE"""),1.370286589346972)</f>
        <v>1.370286589</v>
      </c>
      <c r="AR608" s="30">
        <f>IFERROR(__xludf.DUMMYFUNCTION("""COMPUTED_VALUE"""),1.151099272260077)</f>
        <v>1.151099272</v>
      </c>
      <c r="AS608" s="30">
        <f>IFERROR(__xludf.DUMMYFUNCTION("""COMPUTED_VALUE"""),48.0)</f>
        <v>48</v>
      </c>
      <c r="AT608" s="30">
        <f>IFERROR(__xludf.DUMMYFUNCTION("""COMPUTED_VALUE"""),0.41390989853655513)</f>
        <v>0.4139098985</v>
      </c>
      <c r="AU608" s="30">
        <f>IFERROR(__xludf.DUMMYFUNCTION("""COMPUTED_VALUE"""),3.1627410206648707)</f>
        <v>3.162741021</v>
      </c>
      <c r="AV608" s="32">
        <f>IFERROR(__xludf.DUMMYFUNCTION("""COMPUTED_VALUE"""),58.33591797470539)</f>
        <v>58.33591797</v>
      </c>
      <c r="AW608" s="32">
        <f>IFERROR(__xludf.DUMMYFUNCTION("""COMPUTED_VALUE"""),2.7070755454173043)</f>
        <v>2.707075545</v>
      </c>
      <c r="AX608" s="32">
        <f>IFERROR(__xludf.DUMMYFUNCTION("""COMPUTED_VALUE"""),47.52448318416298)</f>
        <v>47.52448318</v>
      </c>
      <c r="AY608" s="32">
        <f>IFERROR(__xludf.DUMMYFUNCTION("""COMPUTED_VALUE"""),-2.171265382693654)</f>
        <v>-2.171265383</v>
      </c>
      <c r="AZ608" s="30">
        <f>IFERROR(__xludf.DUMMYFUNCTION("""COMPUTED_VALUE"""),4.878340928110958)</f>
        <v>4.878340928</v>
      </c>
      <c r="BA608" s="30">
        <f>IFERROR(__xludf.DUMMYFUNCTION("""COMPUTED_VALUE"""),2300.0)</f>
        <v>2300</v>
      </c>
    </row>
    <row r="609">
      <c r="A609" s="71" t="str">
        <f>IFERROR(__xludf.DUMMYFUNCTION("""COMPUTED_VALUE"""),"Challenger")</f>
        <v>Challenger</v>
      </c>
      <c r="B609" s="71" t="str">
        <f>IFERROR(__xludf.DUMMYFUNCTION("""COMPUTED_VALUE"""),"RSC007457")</f>
        <v>RSC007457</v>
      </c>
      <c r="C609" s="30" t="str">
        <f>IFERROR(__xludf.DUMMYFUNCTION("""COMPUTED_VALUE"""),"Fyooze")</f>
        <v>Fyooze</v>
      </c>
      <c r="D609" s="30" t="str">
        <f>IFERROR(__xludf.DUMMYFUNCTION("""COMPUTED_VALUE"""),"Threshers")</f>
        <v>Threshers</v>
      </c>
      <c r="E609" s="30">
        <f>IFERROR(__xludf.DUMMYFUNCTION("""COMPUTED_VALUE"""),41.0)</f>
        <v>41</v>
      </c>
      <c r="F609" s="30">
        <f>IFERROR(__xludf.DUMMYFUNCTION("""COMPUTED_VALUE"""),13.0)</f>
        <v>13</v>
      </c>
      <c r="G609" s="42">
        <f>IFERROR(__xludf.DUMMYFUNCTION("""COMPUTED_VALUE"""),28.0)</f>
        <v>28</v>
      </c>
      <c r="H609" s="42">
        <f>IFERROR(__xludf.DUMMYFUNCTION("""COMPUTED_VALUE"""),0.3170731707317073)</f>
        <v>0.3170731707</v>
      </c>
      <c r="I609" s="42">
        <f>IFERROR(__xludf.DUMMYFUNCTION("""COMPUTED_VALUE"""),0.3333333333333333)</f>
        <v>0.3333333333</v>
      </c>
      <c r="J609" s="30">
        <f>IFERROR(__xludf.DUMMYFUNCTION("""COMPUTED_VALUE"""),257.6829268292683)</f>
        <v>257.6829268</v>
      </c>
      <c r="K609" s="30">
        <f>IFERROR(__xludf.DUMMYFUNCTION("""COMPUTED_VALUE"""),0.5853658536585366)</f>
        <v>0.5853658537</v>
      </c>
      <c r="L609" s="30">
        <f>IFERROR(__xludf.DUMMYFUNCTION("""COMPUTED_VALUE"""),0.4146341463414634)</f>
        <v>0.4146341463</v>
      </c>
      <c r="M609" s="30">
        <f>IFERROR(__xludf.DUMMYFUNCTION("""COMPUTED_VALUE"""),0.8292682926829268)</f>
        <v>0.8292682927</v>
      </c>
      <c r="N609" s="30">
        <f>IFERROR(__xludf.DUMMYFUNCTION("""COMPUTED_VALUE"""),1.7560975609756098)</f>
        <v>1.756097561</v>
      </c>
      <c r="O609" s="30">
        <f>IFERROR(__xludf.DUMMYFUNCTION("""COMPUTED_VALUE"""),350.11382113821134)</f>
        <v>350.1138211</v>
      </c>
      <c r="P609" s="30">
        <f>IFERROR(__xludf.DUMMYFUNCTION("""COMPUTED_VALUE"""),0.9186991869918697)</f>
        <v>0.918699187</v>
      </c>
      <c r="Q609" s="30">
        <f>IFERROR(__xludf.DUMMYFUNCTION("""COMPUTED_VALUE"""),0.6666666666666666)</f>
        <v>0.6666666667</v>
      </c>
      <c r="R609" s="30">
        <f>IFERROR(__xludf.DUMMYFUNCTION("""COMPUTED_VALUE"""),1.1626016260162604)</f>
        <v>1.162601626</v>
      </c>
      <c r="S609" s="30">
        <f>IFERROR(__xludf.DUMMYFUNCTION("""COMPUTED_VALUE"""),2.56910569105691)</f>
        <v>2.569105691</v>
      </c>
      <c r="T609" s="30">
        <f>IFERROR(__xludf.DUMMYFUNCTION("""COMPUTED_VALUE"""),340.5975615644885)</f>
        <v>340.5975616</v>
      </c>
      <c r="U609" s="30">
        <f>IFERROR(__xludf.DUMMYFUNCTION("""COMPUTED_VALUE"""),0.826283037960415)</f>
        <v>0.826283038</v>
      </c>
      <c r="V609" s="30">
        <f>IFERROR(__xludf.DUMMYFUNCTION("""COMPUTED_VALUE"""),0.5446163349204062)</f>
        <v>0.5446163349</v>
      </c>
      <c r="W609" s="30">
        <f>IFERROR(__xludf.DUMMYFUNCTION("""COMPUTED_VALUE"""),1.163445676714835)</f>
        <v>1.163445677</v>
      </c>
      <c r="X609" s="30">
        <f>IFERROR(__xludf.DUMMYFUNCTION("""COMPUTED_VALUE"""),2.5076845949122157)</f>
        <v>2.507684595</v>
      </c>
      <c r="Y609" s="30">
        <f>IFERROR(__xludf.DUMMYFUNCTION("""COMPUTED_VALUE"""),324.39386409235095)</f>
        <v>324.3938641</v>
      </c>
      <c r="Z609" s="30">
        <f>IFERROR(__xludf.DUMMYFUNCTION("""COMPUTED_VALUE"""),0.741733600849169)</f>
        <v>0.7417336008</v>
      </c>
      <c r="AA609" s="30">
        <f>IFERROR(__xludf.DUMMYFUNCTION("""COMPUTED_VALUE"""),0.49517073562262376)</f>
        <v>0.4951707356</v>
      </c>
      <c r="AB609" s="30">
        <f>IFERROR(__xludf.DUMMYFUNCTION("""COMPUTED_VALUE"""),1.185417362400741)</f>
        <v>1.185417362</v>
      </c>
      <c r="AC609" s="30">
        <f>IFERROR(__xludf.DUMMYFUNCTION("""COMPUTED_VALUE"""),2.340409778465195)</f>
        <v>2.340409778</v>
      </c>
      <c r="AD609" s="30">
        <f>IFERROR(__xludf.DUMMYFUNCTION("""COMPUTED_VALUE"""),0.7943520372996609)</f>
        <v>0.7943520373</v>
      </c>
      <c r="AE609" s="30">
        <f>IFERROR(__xludf.DUMMYFUNCTION("""COMPUTED_VALUE"""),0.7891861080425427)</f>
        <v>0.789186108</v>
      </c>
      <c r="AF609" s="30">
        <f>IFERROR(__xludf.DUMMYFUNCTION("""COMPUTED_VALUE"""),0.8373559189036196)</f>
        <v>0.8373559189</v>
      </c>
      <c r="AG609" s="30">
        <f>IFERROR(__xludf.DUMMYFUNCTION("""COMPUTED_VALUE"""),0.6995580788554244)</f>
        <v>0.6995580789</v>
      </c>
      <c r="AH609" s="30">
        <f>IFERROR(__xludf.DUMMYFUNCTION("""COMPUTED_VALUE"""),0.7503376447722893)</f>
        <v>0.7503376448</v>
      </c>
      <c r="AI609" s="30">
        <f>IFERROR(__xludf.DUMMYFUNCTION("""COMPUTED_VALUE"""),1.0279398934332096)</f>
        <v>1.027939893</v>
      </c>
      <c r="AJ609" s="30">
        <f>IFERROR(__xludf.DUMMYFUNCTION("""COMPUTED_VALUE"""),1.1118456325323745)</f>
        <v>1.111845633</v>
      </c>
      <c r="AK609" s="30">
        <f>IFERROR(__xludf.DUMMYFUNCTION("""COMPUTED_VALUE"""),1.2241033254430345)</f>
        <v>1.224103325</v>
      </c>
      <c r="AL609" s="30">
        <f>IFERROR(__xludf.DUMMYFUNCTION("""COMPUTED_VALUE"""),0.9992745250461905)</f>
        <v>0.999274525</v>
      </c>
      <c r="AM609" s="30">
        <f>IFERROR(__xludf.DUMMYFUNCTION("""COMPUTED_VALUE"""),1.0244931504820463)</f>
        <v>1.02449315</v>
      </c>
      <c r="AN609" s="30">
        <f>IFERROR(__xludf.DUMMYFUNCTION("""COMPUTED_VALUE"""),0.7920919491552519)</f>
        <v>0.7920919492</v>
      </c>
      <c r="AO609" s="30">
        <f>IFERROR(__xludf.DUMMYFUNCTION("""COMPUTED_VALUE"""),0.8009451594111954)</f>
        <v>0.8009451594</v>
      </c>
      <c r="AP609" s="30">
        <f>IFERROR(__xludf.DUMMYFUNCTION("""COMPUTED_VALUE"""),0.8042539984944418)</f>
        <v>0.8042539985</v>
      </c>
      <c r="AQ609" s="30">
        <f>IFERROR(__xludf.DUMMYFUNCTION("""COMPUTED_VALUE"""),0.6877818439469398)</f>
        <v>0.6877818439</v>
      </c>
      <c r="AR609" s="30">
        <f>IFERROR(__xludf.DUMMYFUNCTION("""COMPUTED_VALUE"""),0.737986989881025)</f>
        <v>0.7379869899</v>
      </c>
      <c r="AS609" s="30">
        <f>IFERROR(__xludf.DUMMYFUNCTION("""COMPUTED_VALUE"""),74.0)</f>
        <v>74</v>
      </c>
      <c r="AT609" s="30">
        <f>IFERROR(__xludf.DUMMYFUNCTION("""COMPUTED_VALUE"""),0.3420061982961061)</f>
        <v>0.3420061983</v>
      </c>
      <c r="AU609" s="30">
        <f>IFERROR(__xludf.DUMMYFUNCTION("""COMPUTED_VALUE"""),1.8563332264848023)</f>
        <v>1.856333226</v>
      </c>
      <c r="AV609" s="32">
        <f>IFERROR(__xludf.DUMMYFUNCTION("""COMPUTED_VALUE"""),24.24094677091999)</f>
        <v>24.24094677</v>
      </c>
      <c r="AW609" s="32">
        <f>IFERROR(__xludf.DUMMYFUNCTION("""COMPUTED_VALUE"""),-6.604146447622752)</f>
        <v>-6.604146448</v>
      </c>
      <c r="AX609" s="32">
        <f>IFERROR(__xludf.DUMMYFUNCTION("""COMPUTED_VALUE"""),16.100512154103562)</f>
        <v>16.10051215</v>
      </c>
      <c r="AY609" s="32">
        <f>IFERROR(__xludf.DUMMYFUNCTION("""COMPUTED_VALUE"""),-11.421673632487488)</f>
        <v>-11.42167363</v>
      </c>
      <c r="AZ609" s="30">
        <f>IFERROR(__xludf.DUMMYFUNCTION("""COMPUTED_VALUE"""),4.817527184864736)</f>
        <v>4.817527185</v>
      </c>
      <c r="BA609" s="30">
        <f>IFERROR(__xludf.DUMMYFUNCTION("""COMPUTED_VALUE"""),2300.0)</f>
        <v>2300</v>
      </c>
    </row>
    <row r="610">
      <c r="A610" s="71" t="str">
        <f>IFERROR(__xludf.DUMMYFUNCTION("""COMPUTED_VALUE"""),"Challenger")</f>
        <v>Challenger</v>
      </c>
      <c r="B610" s="71" t="str">
        <f>IFERROR(__xludf.DUMMYFUNCTION("""COMPUTED_VALUE"""),"RSC005859")</f>
        <v>RSC005859</v>
      </c>
      <c r="C610" s="30" t="str">
        <f>IFERROR(__xludf.DUMMYFUNCTION("""COMPUTED_VALUE"""),"LedTasso")</f>
        <v>LedTasso</v>
      </c>
      <c r="D610" s="30" t="str">
        <f>IFERROR(__xludf.DUMMYFUNCTION("""COMPUTED_VALUE"""),"Jock O Lanterns")</f>
        <v>Jock O Lanterns</v>
      </c>
      <c r="E610" s="30">
        <f>IFERROR(__xludf.DUMMYFUNCTION("""COMPUTED_VALUE"""),39.0)</f>
        <v>39</v>
      </c>
      <c r="F610" s="30">
        <f>IFERROR(__xludf.DUMMYFUNCTION("""COMPUTED_VALUE"""),15.0)</f>
        <v>15</v>
      </c>
      <c r="G610" s="42">
        <f>IFERROR(__xludf.DUMMYFUNCTION("""COMPUTED_VALUE"""),24.0)</f>
        <v>24</v>
      </c>
      <c r="H610" s="42">
        <f>IFERROR(__xludf.DUMMYFUNCTION("""COMPUTED_VALUE"""),0.38461538461538464)</f>
        <v>0.3846153846</v>
      </c>
      <c r="I610" s="42">
        <f>IFERROR(__xludf.DUMMYFUNCTION("""COMPUTED_VALUE"""),0.38709677419354843)</f>
        <v>0.3870967742</v>
      </c>
      <c r="J610" s="30">
        <f>IFERROR(__xludf.DUMMYFUNCTION("""COMPUTED_VALUE"""),320.38461538461536)</f>
        <v>320.3846154</v>
      </c>
      <c r="K610" s="30">
        <f>IFERROR(__xludf.DUMMYFUNCTION("""COMPUTED_VALUE"""),0.9230769230769231)</f>
        <v>0.9230769231</v>
      </c>
      <c r="L610" s="30">
        <f>IFERROR(__xludf.DUMMYFUNCTION("""COMPUTED_VALUE"""),0.4358974358974359)</f>
        <v>0.4358974359</v>
      </c>
      <c r="M610" s="30">
        <f>IFERROR(__xludf.DUMMYFUNCTION("""COMPUTED_VALUE"""),0.9743589743589743)</f>
        <v>0.9743589744</v>
      </c>
      <c r="N610" s="30">
        <f>IFERROR(__xludf.DUMMYFUNCTION("""COMPUTED_VALUE"""),2.3846153846153846)</f>
        <v>2.384615385</v>
      </c>
      <c r="O610" s="30">
        <f>IFERROR(__xludf.DUMMYFUNCTION("""COMPUTED_VALUE"""),374.25641025641033)</f>
        <v>374.2564103</v>
      </c>
      <c r="P610" s="30">
        <f>IFERROR(__xludf.DUMMYFUNCTION("""COMPUTED_VALUE"""),0.9316239316239316)</f>
        <v>0.9316239316</v>
      </c>
      <c r="Q610" s="30">
        <f>IFERROR(__xludf.DUMMYFUNCTION("""COMPUTED_VALUE"""),0.623931623931624)</f>
        <v>0.6239316239</v>
      </c>
      <c r="R610" s="30">
        <f>IFERROR(__xludf.DUMMYFUNCTION("""COMPUTED_VALUE"""),1.3675213675213673)</f>
        <v>1.367521368</v>
      </c>
      <c r="S610" s="30">
        <f>IFERROR(__xludf.DUMMYFUNCTION("""COMPUTED_VALUE"""),2.504273504273504)</f>
        <v>2.504273504</v>
      </c>
      <c r="T610" s="30">
        <f>IFERROR(__xludf.DUMMYFUNCTION("""COMPUTED_VALUE"""),342.287851352064)</f>
        <v>342.2878514</v>
      </c>
      <c r="U610" s="30">
        <f>IFERROR(__xludf.DUMMYFUNCTION("""COMPUTED_VALUE"""),0.7976834286161854)</f>
        <v>0.7976834286</v>
      </c>
      <c r="V610" s="30">
        <f>IFERROR(__xludf.DUMMYFUNCTION("""COMPUTED_VALUE"""),0.575590863704169)</f>
        <v>0.5755908637</v>
      </c>
      <c r="W610" s="30">
        <f>IFERROR(__xludf.DUMMYFUNCTION("""COMPUTED_VALUE"""),1.2408235815875073)</f>
        <v>1.240823582</v>
      </c>
      <c r="X610" s="30">
        <f>IFERROR(__xludf.DUMMYFUNCTION("""COMPUTED_VALUE"""),2.4458563627188514)</f>
        <v>2.445856363</v>
      </c>
      <c r="Y610" s="30">
        <f>IFERROR(__xludf.DUMMYFUNCTION("""COMPUTED_VALUE"""),332.87272040333426)</f>
        <v>332.8727204</v>
      </c>
      <c r="Z610" s="30">
        <f>IFERROR(__xludf.DUMMYFUNCTION("""COMPUTED_VALUE"""),0.776724063201233)</f>
        <v>0.7767240632</v>
      </c>
      <c r="AA610" s="30">
        <f>IFERROR(__xludf.DUMMYFUNCTION("""COMPUTED_VALUE"""),0.5216198066135457)</f>
        <v>0.5216198066</v>
      </c>
      <c r="AB610" s="30">
        <f>IFERROR(__xludf.DUMMYFUNCTION("""COMPUTED_VALUE"""),1.1866407882749865)</f>
        <v>1.186640788</v>
      </c>
      <c r="AC610" s="30">
        <f>IFERROR(__xludf.DUMMYFUNCTION("""COMPUTED_VALUE"""),2.470478193475927)</f>
        <v>2.470478193</v>
      </c>
      <c r="AD610" s="30">
        <f>IFERROR(__xludf.DUMMYFUNCTION("""COMPUTED_VALUE"""),0.9624838436637663)</f>
        <v>0.9624838437</v>
      </c>
      <c r="AE610" s="30">
        <f>IFERROR(__xludf.DUMMYFUNCTION("""COMPUTED_VALUE"""),1.188423233950682)</f>
        <v>1.188423234</v>
      </c>
      <c r="AF610" s="30">
        <f>IFERROR(__xludf.DUMMYFUNCTION("""COMPUTED_VALUE"""),0.8356612045224364)</f>
        <v>0.8356612045</v>
      </c>
      <c r="AG610" s="30">
        <f>IFERROR(__xludf.DUMMYFUNCTION("""COMPUTED_VALUE"""),0.8211069297351516)</f>
        <v>0.8211069297</v>
      </c>
      <c r="AH610" s="30">
        <f>IFERROR(__xludf.DUMMYFUNCTION("""COMPUTED_VALUE"""),0.9652444578999767)</f>
        <v>0.9652444579</v>
      </c>
      <c r="AI610" s="30">
        <f>IFERROR(__xludf.DUMMYFUNCTION("""COMPUTED_VALUE"""),1.0933967091676435)</f>
        <v>1.093396709</v>
      </c>
      <c r="AJ610" s="30">
        <f>IFERROR(__xludf.DUMMYFUNCTION("""COMPUTED_VALUE"""),1.167911853503219)</f>
        <v>1.167911854</v>
      </c>
      <c r="AK610" s="30">
        <f>IFERROR(__xludf.DUMMYFUNCTION("""COMPUTED_VALUE"""),1.0839845857113888)</f>
        <v>1.083984586</v>
      </c>
      <c r="AL610" s="30">
        <f>IFERROR(__xludf.DUMMYFUNCTION("""COMPUTED_VALUE"""),1.1021078159811915)</f>
        <v>1.102107816</v>
      </c>
      <c r="AM610" s="30">
        <f>IFERROR(__xludf.DUMMYFUNCTION("""COMPUTED_VALUE"""),1.0238841260039142)</f>
        <v>1.023884126</v>
      </c>
      <c r="AN610" s="30">
        <f>IFERROR(__xludf.DUMMYFUNCTION("""COMPUTED_VALUE"""),0.9848307670282617)</f>
        <v>0.984830767</v>
      </c>
      <c r="AO610" s="30">
        <f>IFERROR(__xludf.DUMMYFUNCTION("""COMPUTED_VALUE"""),1.2630289052253467)</f>
        <v>1.263028905</v>
      </c>
      <c r="AP610" s="30">
        <f>IFERROR(__xludf.DUMMYFUNCTION("""COMPUTED_VALUE"""),0.8454977932890286)</f>
        <v>0.8454977933</v>
      </c>
      <c r="AQ610" s="30">
        <f>IFERROR(__xludf.DUMMYFUNCTION("""COMPUTED_VALUE"""),0.8081177321789835)</f>
        <v>0.8081177322</v>
      </c>
      <c r="AR610" s="30">
        <f>IFERROR(__xludf.DUMMYFUNCTION("""COMPUTED_VALUE"""),1.002116948866221)</f>
        <v>1.002116949</v>
      </c>
      <c r="AS610" s="30">
        <f>IFERROR(__xludf.DUMMYFUNCTION("""COMPUTED_VALUE"""),80.0)</f>
        <v>80</v>
      </c>
      <c r="AT610" s="30">
        <f>IFERROR(__xludf.DUMMYFUNCTION("""COMPUTED_VALUE"""),0.38070894101956815)</f>
        <v>0.380708941</v>
      </c>
      <c r="AU610" s="30">
        <f>IFERROR(__xludf.DUMMYFUNCTION("""COMPUTED_VALUE"""),2.899253581302507)</f>
        <v>2.899253581</v>
      </c>
      <c r="AV610" s="32">
        <f>IFERROR(__xludf.DUMMYFUNCTION("""COMPUTED_VALUE"""),51.4593540888804)</f>
        <v>51.45935409</v>
      </c>
      <c r="AW610" s="32">
        <f>IFERROR(__xludf.DUMMYFUNCTION("""COMPUTED_VALUE"""),2.0976440858466563)</f>
        <v>2.097644086</v>
      </c>
      <c r="AX610" s="32">
        <f>IFERROR(__xludf.DUMMYFUNCTION("""COMPUTED_VALUE"""),41.90246664227186)</f>
        <v>41.90246664</v>
      </c>
      <c r="AY610" s="32">
        <f>IFERROR(__xludf.DUMMYFUNCTION("""COMPUTED_VALUE"""),-2.6809193857808227)</f>
        <v>-2.680919386</v>
      </c>
      <c r="AZ610" s="30">
        <f>IFERROR(__xludf.DUMMYFUNCTION("""COMPUTED_VALUE"""),4.7785634716274785)</f>
        <v>4.778563472</v>
      </c>
      <c r="BA610" s="30">
        <f>IFERROR(__xludf.DUMMYFUNCTION("""COMPUTED_VALUE"""),2300.0)</f>
        <v>2300</v>
      </c>
    </row>
    <row r="611">
      <c r="A611" s="71" t="str">
        <f>IFERROR(__xludf.DUMMYFUNCTION("""COMPUTED_VALUE"""),"Challenger")</f>
        <v>Challenger</v>
      </c>
      <c r="B611" s="71" t="str">
        <f>IFERROR(__xludf.DUMMYFUNCTION("""COMPUTED_VALUE"""),"RSC006092")</f>
        <v>RSC006092</v>
      </c>
      <c r="C611" s="30" t="str">
        <f>IFERROR(__xludf.DUMMYFUNCTION("""COMPUTED_VALUE"""),"Mickstery")</f>
        <v>Mickstery</v>
      </c>
      <c r="D611" s="30" t="str">
        <f>IFERROR(__xludf.DUMMYFUNCTION("""COMPUTED_VALUE"""),"Void")</f>
        <v>Void</v>
      </c>
      <c r="E611" s="30">
        <f>IFERROR(__xludf.DUMMYFUNCTION("""COMPUTED_VALUE"""),31.0)</f>
        <v>31</v>
      </c>
      <c r="F611" s="30">
        <f>IFERROR(__xludf.DUMMYFUNCTION("""COMPUTED_VALUE"""),17.0)</f>
        <v>17</v>
      </c>
      <c r="G611" s="42">
        <f>IFERROR(__xludf.DUMMYFUNCTION("""COMPUTED_VALUE"""),14.0)</f>
        <v>14</v>
      </c>
      <c r="H611" s="42">
        <f>IFERROR(__xludf.DUMMYFUNCTION("""COMPUTED_VALUE"""),0.5483870967741935)</f>
        <v>0.5483870968</v>
      </c>
      <c r="I611" s="42">
        <f>IFERROR(__xludf.DUMMYFUNCTION("""COMPUTED_VALUE"""),0.3428571428571428)</f>
        <v>0.3428571429</v>
      </c>
      <c r="J611" s="30">
        <f>IFERROR(__xludf.DUMMYFUNCTION("""COMPUTED_VALUE"""),334.06451612903226)</f>
        <v>334.0645161</v>
      </c>
      <c r="K611" s="30">
        <f>IFERROR(__xludf.DUMMYFUNCTION("""COMPUTED_VALUE"""),0.7741935483870968)</f>
        <v>0.7741935484</v>
      </c>
      <c r="L611" s="30">
        <f>IFERROR(__xludf.DUMMYFUNCTION("""COMPUTED_VALUE"""),0.6451612903225806)</f>
        <v>0.6451612903</v>
      </c>
      <c r="M611" s="30">
        <f>IFERROR(__xludf.DUMMYFUNCTION("""COMPUTED_VALUE"""),1.2580645161290323)</f>
        <v>1.258064516</v>
      </c>
      <c r="N611" s="30">
        <f>IFERROR(__xludf.DUMMYFUNCTION("""COMPUTED_VALUE"""),2.2580645161290325)</f>
        <v>2.258064516</v>
      </c>
      <c r="O611" s="30">
        <f>IFERROR(__xludf.DUMMYFUNCTION("""COMPUTED_VALUE"""),348.7849462365593)</f>
        <v>348.7849462</v>
      </c>
      <c r="P611" s="30">
        <f>IFERROR(__xludf.DUMMYFUNCTION("""COMPUTED_VALUE"""),0.8387096774193549)</f>
        <v>0.8387096774</v>
      </c>
      <c r="Q611" s="30">
        <f>IFERROR(__xludf.DUMMYFUNCTION("""COMPUTED_VALUE"""),0.5698924731182795)</f>
        <v>0.5698924731</v>
      </c>
      <c r="R611" s="30">
        <f>IFERROR(__xludf.DUMMYFUNCTION("""COMPUTED_VALUE"""),1.075268817204301)</f>
        <v>1.075268817</v>
      </c>
      <c r="S611" s="30">
        <f>IFERROR(__xludf.DUMMYFUNCTION("""COMPUTED_VALUE"""),2.6666666666666665)</f>
        <v>2.666666667</v>
      </c>
      <c r="T611" s="30">
        <f>IFERROR(__xludf.DUMMYFUNCTION("""COMPUTED_VALUE"""),339.5026756859896)</f>
        <v>339.5026757</v>
      </c>
      <c r="U611" s="30">
        <f>IFERROR(__xludf.DUMMYFUNCTION("""COMPUTED_VALUE"""),0.7913458553819617)</f>
        <v>0.7913458554</v>
      </c>
      <c r="V611" s="30">
        <f>IFERROR(__xludf.DUMMYFUNCTION("""COMPUTED_VALUE"""),0.5494506884384112)</f>
        <v>0.5494506884</v>
      </c>
      <c r="W611" s="30">
        <f>IFERROR(__xludf.DUMMYFUNCTION("""COMPUTED_VALUE"""),1.2196210145547959)</f>
        <v>1.219621015</v>
      </c>
      <c r="X611" s="30">
        <f>IFERROR(__xludf.DUMMYFUNCTION("""COMPUTED_VALUE"""),2.4820859345093447)</f>
        <v>2.482085935</v>
      </c>
      <c r="Y611" s="30">
        <f>IFERROR(__xludf.DUMMYFUNCTION("""COMPUTED_VALUE"""),334.8087386414041)</f>
        <v>334.8087386</v>
      </c>
      <c r="Z611" s="30">
        <f>IFERROR(__xludf.DUMMYFUNCTION("""COMPUTED_VALUE"""),0.754792622175645)</f>
        <v>0.7547926222</v>
      </c>
      <c r="AA611" s="30">
        <f>IFERROR(__xludf.DUMMYFUNCTION("""COMPUTED_VALUE"""),0.5185499138884022)</f>
        <v>0.5185499139</v>
      </c>
      <c r="AB611" s="30">
        <f>IFERROR(__xludf.DUMMYFUNCTION("""COMPUTED_VALUE"""),1.2337091819616253)</f>
        <v>1.233709182</v>
      </c>
      <c r="AC611" s="30">
        <f>IFERROR(__xludf.DUMMYFUNCTION("""COMPUTED_VALUE"""),2.4287361317244023)</f>
        <v>2.428736132</v>
      </c>
      <c r="AD611" s="30">
        <f>IFERROR(__xludf.DUMMYFUNCTION("""COMPUTED_VALUE"""),0.9977771711831902)</f>
        <v>0.9977771712</v>
      </c>
      <c r="AE611" s="30">
        <f>IFERROR(__xludf.DUMMYFUNCTION("""COMPUTED_VALUE"""),1.0257036510976083)</f>
        <v>1.025703651</v>
      </c>
      <c r="AF611" s="30">
        <f>IFERROR(__xludf.DUMMYFUNCTION("""COMPUTED_VALUE"""),1.2441642994109658)</f>
        <v>1.244164299</v>
      </c>
      <c r="AG611" s="30">
        <f>IFERROR(__xludf.DUMMYFUNCTION("""COMPUTED_VALUE"""),1.0197415521611677)</f>
        <v>1.019741552</v>
      </c>
      <c r="AH611" s="30">
        <f>IFERROR(__xludf.DUMMYFUNCTION("""COMPUTED_VALUE"""),0.9297282181600383)</f>
        <v>0.9297282182</v>
      </c>
      <c r="AI611" s="30">
        <f>IFERROR(__xludf.DUMMYFUNCTION("""COMPUTED_VALUE"""),1.0273407876147491)</f>
        <v>1.027340788</v>
      </c>
      <c r="AJ611" s="30">
        <f>IFERROR(__xludf.DUMMYFUNCTION("""COMPUTED_VALUE"""),1.0598522399722836)</f>
        <v>1.05985224</v>
      </c>
      <c r="AK611" s="30">
        <f>IFERROR(__xludf.DUMMYFUNCTION("""COMPUTED_VALUE"""),1.0372040387063046)</f>
        <v>1.037204039</v>
      </c>
      <c r="AL611" s="30">
        <f>IFERROR(__xludf.DUMMYFUNCTION("""COMPUTED_VALUE"""),0.8816417595074085)</f>
        <v>0.8816417595</v>
      </c>
      <c r="AM611" s="30">
        <f>IFERROR(__xludf.DUMMYFUNCTION("""COMPUTED_VALUE"""),1.0743651658433855)</f>
        <v>1.074365166</v>
      </c>
      <c r="AN611" s="30">
        <f>IFERROR(__xludf.DUMMYFUNCTION("""COMPUTED_VALUE"""),1.0268814351816662)</f>
        <v>1.026881435</v>
      </c>
      <c r="AO611" s="30">
        <f>IFERROR(__xludf.DUMMYFUNCTION("""COMPUTED_VALUE"""),1.0593145656728713)</f>
        <v>1.059314566</v>
      </c>
      <c r="AP611" s="30">
        <f>IFERROR(__xludf.DUMMYFUNCTION("""COMPUTED_VALUE"""),1.251400908473325)</f>
        <v>1.251400908</v>
      </c>
      <c r="AQ611" s="30">
        <f>IFERROR(__xludf.DUMMYFUNCTION("""COMPUTED_VALUE"""),1.0434185659119133)</f>
        <v>1.043418566</v>
      </c>
      <c r="AR611" s="30">
        <f>IFERROR(__xludf.DUMMYFUNCTION("""COMPUTED_VALUE"""),0.948934883941999)</f>
        <v>0.9489348839</v>
      </c>
      <c r="AS611" s="30">
        <f>IFERROR(__xludf.DUMMYFUNCTION("""COMPUTED_VALUE"""),78.0)</f>
        <v>78</v>
      </c>
      <c r="AT611" s="30">
        <f>IFERROR(__xludf.DUMMYFUNCTION("""COMPUTED_VALUE"""),0.5)</f>
        <v>0.5</v>
      </c>
      <c r="AU611" s="30">
        <f>IFERROR(__xludf.DUMMYFUNCTION("""COMPUTED_VALUE"""),3.0619222263837025)</f>
        <v>3.061922226</v>
      </c>
      <c r="AV611" s="32">
        <f>IFERROR(__xludf.DUMMYFUNCTION("""COMPUTED_VALUE"""),55.70472279726526)</f>
        <v>55.7047228</v>
      </c>
      <c r="AW611" s="32">
        <f>IFERROR(__xludf.DUMMYFUNCTION("""COMPUTED_VALUE"""),2.440514350747396)</f>
        <v>2.440514351</v>
      </c>
      <c r="AX611" s="32">
        <f>IFERROR(__xludf.DUMMYFUNCTION("""COMPUTED_VALUE"""),45.62810755526354)</f>
        <v>45.62810756</v>
      </c>
      <c r="AY611" s="32">
        <f>IFERROR(__xludf.DUMMYFUNCTION("""COMPUTED_VALUE"""),-2.322402117709535)</f>
        <v>-2.322402118</v>
      </c>
      <c r="AZ611" s="30">
        <f>IFERROR(__xludf.DUMMYFUNCTION("""COMPUTED_VALUE"""),4.762916468456931)</f>
        <v>4.762916468</v>
      </c>
      <c r="BA611" s="30">
        <f>IFERROR(__xludf.DUMMYFUNCTION("""COMPUTED_VALUE"""),2300.0)</f>
        <v>2300</v>
      </c>
    </row>
    <row r="612">
      <c r="A612" s="71" t="str">
        <f>IFERROR(__xludf.DUMMYFUNCTION("""COMPUTED_VALUE"""),"Challenger")</f>
        <v>Challenger</v>
      </c>
      <c r="B612" s="71" t="str">
        <f>IFERROR(__xludf.DUMMYFUNCTION("""COMPUTED_VALUE"""),"RSC006244")</f>
        <v>RSC006244</v>
      </c>
      <c r="C612" s="30" t="str">
        <f>IFERROR(__xludf.DUMMYFUNCTION("""COMPUTED_VALUE"""),"Whiite Bear")</f>
        <v>Whiite Bear</v>
      </c>
      <c r="D612" s="30" t="str">
        <f>IFERROR(__xludf.DUMMYFUNCTION("""COMPUTED_VALUE"""),"Panda Bears")</f>
        <v>Panda Bears</v>
      </c>
      <c r="E612" s="30">
        <f>IFERROR(__xludf.DUMMYFUNCTION("""COMPUTED_VALUE"""),22.0)</f>
        <v>22</v>
      </c>
      <c r="F612" s="30">
        <f>IFERROR(__xludf.DUMMYFUNCTION("""COMPUTED_VALUE"""),8.0)</f>
        <v>8</v>
      </c>
      <c r="G612" s="42">
        <f>IFERROR(__xludf.DUMMYFUNCTION("""COMPUTED_VALUE"""),14.0)</f>
        <v>14</v>
      </c>
      <c r="H612" s="42">
        <f>IFERROR(__xludf.DUMMYFUNCTION("""COMPUTED_VALUE"""),0.36363636363636365)</f>
        <v>0.3636363636</v>
      </c>
      <c r="I612" s="42">
        <f>IFERROR(__xludf.DUMMYFUNCTION("""COMPUTED_VALUE"""),0.37037037037037035)</f>
        <v>0.3703703704</v>
      </c>
      <c r="J612" s="30">
        <f>IFERROR(__xludf.DUMMYFUNCTION("""COMPUTED_VALUE"""),368.90909090909093)</f>
        <v>368.9090909</v>
      </c>
      <c r="K612" s="30">
        <f>IFERROR(__xludf.DUMMYFUNCTION("""COMPUTED_VALUE"""),0.9090909090909091)</f>
        <v>0.9090909091</v>
      </c>
      <c r="L612" s="30">
        <f>IFERROR(__xludf.DUMMYFUNCTION("""COMPUTED_VALUE"""),0.3181818181818182)</f>
        <v>0.3181818182</v>
      </c>
      <c r="M612" s="30">
        <f>IFERROR(__xludf.DUMMYFUNCTION("""COMPUTED_VALUE"""),1.4545454545454546)</f>
        <v>1.454545455</v>
      </c>
      <c r="N612" s="30">
        <f>IFERROR(__xludf.DUMMYFUNCTION("""COMPUTED_VALUE"""),2.4545454545454546)</f>
        <v>2.454545455</v>
      </c>
      <c r="O612" s="30">
        <f>IFERROR(__xludf.DUMMYFUNCTION("""COMPUTED_VALUE"""),345.8030303030303)</f>
        <v>345.8030303</v>
      </c>
      <c r="P612" s="30">
        <f>IFERROR(__xludf.DUMMYFUNCTION("""COMPUTED_VALUE"""),0.7575757575757577)</f>
        <v>0.7575757576</v>
      </c>
      <c r="Q612" s="30">
        <f>IFERROR(__xludf.DUMMYFUNCTION("""COMPUTED_VALUE"""),0.5)</f>
        <v>0.5</v>
      </c>
      <c r="R612" s="30">
        <f>IFERROR(__xludf.DUMMYFUNCTION("""COMPUTED_VALUE"""),1.303030303030303)</f>
        <v>1.303030303</v>
      </c>
      <c r="S612" s="30">
        <f>IFERROR(__xludf.DUMMYFUNCTION("""COMPUTED_VALUE"""),2.6969696969696972)</f>
        <v>2.696969697</v>
      </c>
      <c r="T612" s="30">
        <f>IFERROR(__xludf.DUMMYFUNCTION("""COMPUTED_VALUE"""),344.0416591931353)</f>
        <v>344.0416592</v>
      </c>
      <c r="U612" s="30">
        <f>IFERROR(__xludf.DUMMYFUNCTION("""COMPUTED_VALUE"""),0.7739017134430708)</f>
        <v>0.7739017134</v>
      </c>
      <c r="V612" s="30">
        <f>IFERROR(__xludf.DUMMYFUNCTION("""COMPUTED_VALUE"""),0.5730354636758279)</f>
        <v>0.5730354637</v>
      </c>
      <c r="W612" s="30">
        <f>IFERROR(__xludf.DUMMYFUNCTION("""COMPUTED_VALUE"""),1.3083849676554296)</f>
        <v>1.308384968</v>
      </c>
      <c r="X612" s="30">
        <f>IFERROR(__xludf.DUMMYFUNCTION("""COMPUTED_VALUE"""),2.3847461124912197)</f>
        <v>2.384746112</v>
      </c>
      <c r="Y612" s="30">
        <f>IFERROR(__xludf.DUMMYFUNCTION("""COMPUTED_VALUE"""),327.62087182368924)</f>
        <v>327.6208718</v>
      </c>
      <c r="Z612" s="30">
        <f>IFERROR(__xludf.DUMMYFUNCTION("""COMPUTED_VALUE"""),0.7280672088104847)</f>
        <v>0.7280672088</v>
      </c>
      <c r="AA612" s="30">
        <f>IFERROR(__xludf.DUMMYFUNCTION("""COMPUTED_VALUE"""),0.5138926540638518)</f>
        <v>0.5138926541</v>
      </c>
      <c r="AB612" s="30">
        <f>IFERROR(__xludf.DUMMYFUNCTION("""COMPUTED_VALUE"""),1.175945356191749)</f>
        <v>1.175945356</v>
      </c>
      <c r="AC612" s="30">
        <f>IFERROR(__xludf.DUMMYFUNCTION("""COMPUTED_VALUE"""),2.460250133186282)</f>
        <v>2.460250133</v>
      </c>
      <c r="AD612" s="30">
        <f>IFERROR(__xludf.DUMMYFUNCTION("""COMPUTED_VALUE"""),1.1260243856124683)</f>
        <v>1.126024386</v>
      </c>
      <c r="AE612" s="30">
        <f>IFERROR(__xludf.DUMMYFUNCTION("""COMPUTED_VALUE"""),1.2486359749344853)</f>
        <v>1.248635975</v>
      </c>
      <c r="AF612" s="30">
        <f>IFERROR(__xludf.DUMMYFUNCTION("""COMPUTED_VALUE"""),0.619160082685836)</f>
        <v>0.6191600827</v>
      </c>
      <c r="AG612" s="30">
        <f>IFERROR(__xludf.DUMMYFUNCTION("""COMPUTED_VALUE"""),1.2369158540290857)</f>
        <v>1.236915854</v>
      </c>
      <c r="AH612" s="30">
        <f>IFERROR(__xludf.DUMMYFUNCTION("""COMPUTED_VALUE"""),0.997681260712528)</f>
        <v>0.9976812607</v>
      </c>
      <c r="AI612" s="30">
        <f>IFERROR(__xludf.DUMMYFUNCTION("""COMPUTED_VALUE"""),1.0051196448535502)</f>
        <v>1.005119645</v>
      </c>
      <c r="AJ612" s="30">
        <f>IFERROR(__xludf.DUMMYFUNCTION("""COMPUTED_VALUE"""),0.9789043549281222)</f>
        <v>0.9789043549</v>
      </c>
      <c r="AK612" s="30">
        <f>IFERROR(__xludf.DUMMYFUNCTION("""COMPUTED_VALUE"""),0.8725463460719687)</f>
        <v>0.8725463461</v>
      </c>
      <c r="AL612" s="30">
        <f>IFERROR(__xludf.DUMMYFUNCTION("""COMPUTED_VALUE"""),0.9959074242233752)</f>
        <v>0.9959074242</v>
      </c>
      <c r="AM612" s="30">
        <f>IFERROR(__xludf.DUMMYFUNCTION("""COMPUTED_VALUE"""),1.1309252934067324)</f>
        <v>1.130925293</v>
      </c>
      <c r="AN612" s="30">
        <f>IFERROR(__xludf.DUMMYFUNCTION("""COMPUTED_VALUE"""),1.1339902277378353)</f>
        <v>1.133990228</v>
      </c>
      <c r="AO612" s="30">
        <f>IFERROR(__xludf.DUMMYFUNCTION("""COMPUTED_VALUE"""),1.2438921036310233)</f>
        <v>1.243892104</v>
      </c>
      <c r="AP612" s="30">
        <f>IFERROR(__xludf.DUMMYFUNCTION("""COMPUTED_VALUE"""),0.6171681753152535)</f>
        <v>0.6171681753</v>
      </c>
      <c r="AQ612" s="30">
        <f>IFERROR(__xludf.DUMMYFUNCTION("""COMPUTED_VALUE"""),1.2063767102384826)</f>
        <v>1.20637671</v>
      </c>
      <c r="AR612" s="30">
        <f>IFERROR(__xludf.DUMMYFUNCTION("""COMPUTED_VALUE"""),1.0315045426746143)</f>
        <v>1.031504543</v>
      </c>
      <c r="AS612" s="30">
        <f>IFERROR(__xludf.DUMMYFUNCTION("""COMPUTED_VALUE"""),41.0)</f>
        <v>41</v>
      </c>
      <c r="AT612" s="30">
        <f>IFERROR(__xludf.DUMMYFUNCTION("""COMPUTED_VALUE"""),0.4259782414574266)</f>
        <v>0.4259782415</v>
      </c>
      <c r="AU612" s="30">
        <f>IFERROR(__xludf.DUMMYFUNCTION("""COMPUTED_VALUE"""),3.106944608336565)</f>
        <v>3.106944608</v>
      </c>
      <c r="AV612" s="32">
        <f>IFERROR(__xludf.DUMMYFUNCTION("""COMPUTED_VALUE"""),56.87972865917693)</f>
        <v>56.87972866</v>
      </c>
      <c r="AW612" s="32">
        <f>IFERROR(__xludf.DUMMYFUNCTION("""COMPUTED_VALUE"""),2.5537209513698467)</f>
        <v>2.553720951</v>
      </c>
      <c r="AX612" s="32">
        <f>IFERROR(__xludf.DUMMYFUNCTION("""COMPUTED_VALUE"""),48.09118182741014)</f>
        <v>48.09118183</v>
      </c>
      <c r="AY612" s="32">
        <f>IFERROR(__xludf.DUMMYFUNCTION("""COMPUTED_VALUE"""),-2.1296113899750595)</f>
        <v>-2.12961139</v>
      </c>
      <c r="AZ612" s="30">
        <f>IFERROR(__xludf.DUMMYFUNCTION("""COMPUTED_VALUE"""),4.683332341344906)</f>
        <v>4.683332341</v>
      </c>
      <c r="BA612" s="30">
        <f>IFERROR(__xludf.DUMMYFUNCTION("""COMPUTED_VALUE"""),2300.0)</f>
        <v>2300</v>
      </c>
    </row>
    <row r="613">
      <c r="A613" s="71" t="str">
        <f>IFERROR(__xludf.DUMMYFUNCTION("""COMPUTED_VALUE"""),"Challenger")</f>
        <v>Challenger</v>
      </c>
      <c r="B613" s="71" t="str">
        <f>IFERROR(__xludf.DUMMYFUNCTION("""COMPUTED_VALUE"""),"RSC006187")</f>
        <v>RSC006187</v>
      </c>
      <c r="C613" s="30" t="str">
        <f>IFERROR(__xludf.DUMMYFUNCTION("""COMPUTED_VALUE"""),"1985 Fiat Panda")</f>
        <v>1985 Fiat Panda</v>
      </c>
      <c r="D613" s="30" t="str">
        <f>IFERROR(__xludf.DUMMYFUNCTION("""COMPUTED_VALUE"""),"Quarter")</f>
        <v>Quarter</v>
      </c>
      <c r="E613" s="30">
        <f>IFERROR(__xludf.DUMMYFUNCTION("""COMPUTED_VALUE"""),41.0)</f>
        <v>41</v>
      </c>
      <c r="F613" s="30">
        <f>IFERROR(__xludf.DUMMYFUNCTION("""COMPUTED_VALUE"""),11.0)</f>
        <v>11</v>
      </c>
      <c r="G613" s="42">
        <f>IFERROR(__xludf.DUMMYFUNCTION("""COMPUTED_VALUE"""),30.0)</f>
        <v>30</v>
      </c>
      <c r="H613" s="42">
        <f>IFERROR(__xludf.DUMMYFUNCTION("""COMPUTED_VALUE"""),0.2682926829268293)</f>
        <v>0.2682926829</v>
      </c>
      <c r="I613" s="42">
        <f>IFERROR(__xludf.DUMMYFUNCTION("""COMPUTED_VALUE"""),0.3235294117647059)</f>
        <v>0.3235294118</v>
      </c>
      <c r="J613" s="30">
        <f>IFERROR(__xludf.DUMMYFUNCTION("""COMPUTED_VALUE"""),300.4878048780488)</f>
        <v>300.4878049</v>
      </c>
      <c r="K613" s="30">
        <f>IFERROR(__xludf.DUMMYFUNCTION("""COMPUTED_VALUE"""),0.5365853658536586)</f>
        <v>0.5365853659</v>
      </c>
      <c r="L613" s="30">
        <f>IFERROR(__xludf.DUMMYFUNCTION("""COMPUTED_VALUE"""),0.2682926829268293)</f>
        <v>0.2682926829</v>
      </c>
      <c r="M613" s="30">
        <f>IFERROR(__xludf.DUMMYFUNCTION("""COMPUTED_VALUE"""),1.2926829268292683)</f>
        <v>1.292682927</v>
      </c>
      <c r="N613" s="30">
        <f>IFERROR(__xludf.DUMMYFUNCTION("""COMPUTED_VALUE"""),1.6585365853658536)</f>
        <v>1.658536585</v>
      </c>
      <c r="O613" s="30">
        <f>IFERROR(__xludf.DUMMYFUNCTION("""COMPUTED_VALUE"""),350.34959349593487)</f>
        <v>350.3495935</v>
      </c>
      <c r="P613" s="30">
        <f>IFERROR(__xludf.DUMMYFUNCTION("""COMPUTED_VALUE"""),0.934959349593496)</f>
        <v>0.9349593496</v>
      </c>
      <c r="Q613" s="30">
        <f>IFERROR(__xludf.DUMMYFUNCTION("""COMPUTED_VALUE"""),0.6260162601626015)</f>
        <v>0.6260162602</v>
      </c>
      <c r="R613" s="30">
        <f>IFERROR(__xludf.DUMMYFUNCTION("""COMPUTED_VALUE"""),0.9837398373983742)</f>
        <v>0.9837398374</v>
      </c>
      <c r="S613" s="30">
        <f>IFERROR(__xludf.DUMMYFUNCTION("""COMPUTED_VALUE"""),2.7804878048780486)</f>
        <v>2.780487805</v>
      </c>
      <c r="T613" s="30">
        <f>IFERROR(__xludf.DUMMYFUNCTION("""COMPUTED_VALUE"""),340.7332221446508)</f>
        <v>340.7332221</v>
      </c>
      <c r="U613" s="30">
        <f>IFERROR(__xludf.DUMMYFUNCTION("""COMPUTED_VALUE"""),0.7952265061594369)</f>
        <v>0.7952265062</v>
      </c>
      <c r="V613" s="30">
        <f>IFERROR(__xludf.DUMMYFUNCTION("""COMPUTED_VALUE"""),0.5501033571000937)</f>
        <v>0.5501033571</v>
      </c>
      <c r="W613" s="30">
        <f>IFERROR(__xludf.DUMMYFUNCTION("""COMPUTED_VALUE"""),1.2232293378153183)</f>
        <v>1.223229338</v>
      </c>
      <c r="X613" s="30">
        <f>IFERROR(__xludf.DUMMYFUNCTION("""COMPUTED_VALUE"""),2.5082316296268052)</f>
        <v>2.50823163</v>
      </c>
      <c r="Y613" s="30">
        <f>IFERROR(__xludf.DUMMYFUNCTION("""COMPUTED_VALUE"""),335.3943726963004)</f>
        <v>335.3943727</v>
      </c>
      <c r="Z613" s="30">
        <f>IFERROR(__xludf.DUMMYFUNCTION("""COMPUTED_VALUE"""),0.7719683087952075)</f>
        <v>0.7719683088</v>
      </c>
      <c r="AA613" s="30">
        <f>IFERROR(__xludf.DUMMYFUNCTION("""COMPUTED_VALUE"""),0.5112243621455581)</f>
        <v>0.5112243621</v>
      </c>
      <c r="AB613" s="30">
        <f>IFERROR(__xludf.DUMMYFUNCTION("""COMPUTED_VALUE"""),1.2445846393085678)</f>
        <v>1.244584639</v>
      </c>
      <c r="AC613" s="30">
        <f>IFERROR(__xludf.DUMMYFUNCTION("""COMPUTED_VALUE"""),2.4399323069060475)</f>
        <v>2.439932307</v>
      </c>
      <c r="AD613" s="30">
        <f>IFERROR(__xludf.DUMMYFUNCTION("""COMPUTED_VALUE"""),0.8959238119064701)</f>
        <v>0.8959238119</v>
      </c>
      <c r="AE613" s="30">
        <f>IFERROR(__xludf.DUMMYFUNCTION("""COMPUTED_VALUE"""),0.6950872979372619)</f>
        <v>0.6950872979</v>
      </c>
      <c r="AF613" s="30">
        <f>IFERROR(__xludf.DUMMYFUNCTION("""COMPUTED_VALUE"""),0.5248041814768596)</f>
        <v>0.5248041815</v>
      </c>
      <c r="AG613" s="30">
        <f>IFERROR(__xludf.DUMMYFUNCTION("""COMPUTED_VALUE"""),1.0386460558820827)</f>
        <v>1.038646056</v>
      </c>
      <c r="AH613" s="30">
        <f>IFERROR(__xludf.DUMMYFUNCTION("""COMPUTED_VALUE"""),0.6797469670250641)</f>
        <v>0.679746967</v>
      </c>
      <c r="AI613" s="30">
        <f>IFERROR(__xludf.DUMMYFUNCTION("""COMPUTED_VALUE"""),1.028222582144343)</f>
        <v>1.028222582</v>
      </c>
      <c r="AJ613" s="30">
        <f>IFERROR(__xludf.DUMMYFUNCTION("""COMPUTED_VALUE"""),1.1757145195133167)</f>
        <v>1.17571452</v>
      </c>
      <c r="AK613" s="30">
        <f>IFERROR(__xludf.DUMMYFUNCTION("""COMPUTED_VALUE"""),1.1379975273422938)</f>
        <v>1.137997527</v>
      </c>
      <c r="AL613" s="30">
        <f>IFERROR(__xludf.DUMMYFUNCTION("""COMPUTED_VALUE"""),0.8042153723645387)</f>
        <v>0.8042153724</v>
      </c>
      <c r="AM613" s="30">
        <f>IFERROR(__xludf.DUMMYFUNCTION("""COMPUTED_VALUE"""),1.1085450689782395)</f>
        <v>1.108545069</v>
      </c>
      <c r="AN613" s="30">
        <f>IFERROR(__xludf.DUMMYFUNCTION("""COMPUTED_VALUE"""),0.9236699302974638)</f>
        <v>0.9236699303</v>
      </c>
      <c r="AO613" s="30">
        <f>IFERROR(__xludf.DUMMYFUNCTION("""COMPUTED_VALUE"""),0.7341997294602626)</f>
        <v>0.7341997295</v>
      </c>
      <c r="AP613" s="30">
        <f>IFERROR(__xludf.DUMMYFUNCTION("""COMPUTED_VALUE"""),0.5203996460846388)</f>
        <v>0.5203996461</v>
      </c>
      <c r="AQ613" s="30">
        <f>IFERROR(__xludf.DUMMYFUNCTION("""COMPUTED_VALUE"""),1.0721305214467003)</f>
        <v>1.072130521</v>
      </c>
      <c r="AR613" s="30">
        <f>IFERROR(__xludf.DUMMYFUNCTION("""COMPUTED_VALUE"""),0.6969877126654124)</f>
        <v>0.6969877127</v>
      </c>
      <c r="AS613" s="30">
        <f>IFERROR(__xludf.DUMMYFUNCTION("""COMPUTED_VALUE"""),76.0)</f>
        <v>76</v>
      </c>
      <c r="AT613" s="30">
        <f>IFERROR(__xludf.DUMMYFUNCTION("""COMPUTED_VALUE"""),0.34430587460104833)</f>
        <v>0.3443058746</v>
      </c>
      <c r="AU613" s="30">
        <f>IFERROR(__xludf.DUMMYFUNCTION("""COMPUTED_VALUE"""),1.5689008647689375)</f>
        <v>1.568900865</v>
      </c>
      <c r="AV613" s="32">
        <f>IFERROR(__xludf.DUMMYFUNCTION("""COMPUTED_VALUE"""),16.73946205887482)</f>
        <v>16.73946206</v>
      </c>
      <c r="AW613" s="32">
        <f>IFERROR(__xludf.DUMMYFUNCTION("""COMPUTED_VALUE"""),-10.906348725826268)</f>
        <v>-10.90634873</v>
      </c>
      <c r="AX613" s="32">
        <f>IFERROR(__xludf.DUMMYFUNCTION("""COMPUTED_VALUE"""),24.897879720847264)</f>
        <v>24.89787972</v>
      </c>
      <c r="AY613" s="32">
        <f>IFERROR(__xludf.DUMMYFUNCTION("""COMPUTED_VALUE"""),-6.342406165006022)</f>
        <v>-6.342406165</v>
      </c>
      <c r="AZ613" s="30">
        <f>IFERROR(__xludf.DUMMYFUNCTION("""COMPUTED_VALUE"""),4.563942560820246)</f>
        <v>4.563942561</v>
      </c>
      <c r="BA613" s="30">
        <f>IFERROR(__xludf.DUMMYFUNCTION("""COMPUTED_VALUE"""),2300.0)</f>
        <v>2300</v>
      </c>
    </row>
    <row r="614">
      <c r="A614" s="71" t="str">
        <f>IFERROR(__xludf.DUMMYFUNCTION("""COMPUTED_VALUE"""),"Challenger")</f>
        <v>Challenger</v>
      </c>
      <c r="B614" s="71" t="str">
        <f>IFERROR(__xludf.DUMMYFUNCTION("""COMPUTED_VALUE"""),"RSC006643")</f>
        <v>RSC006643</v>
      </c>
      <c r="C614" s="30" t="str">
        <f>IFERROR(__xludf.DUMMYFUNCTION("""COMPUTED_VALUE"""),"Napkhan")</f>
        <v>Napkhan</v>
      </c>
      <c r="D614" s="30" t="str">
        <f>IFERROR(__xludf.DUMMYFUNCTION("""COMPUTED_VALUE"""),"Void")</f>
        <v>Void</v>
      </c>
      <c r="E614" s="30">
        <f>IFERROR(__xludf.DUMMYFUNCTION("""COMPUTED_VALUE"""),48.0)</f>
        <v>48</v>
      </c>
      <c r="F614" s="30">
        <f>IFERROR(__xludf.DUMMYFUNCTION("""COMPUTED_VALUE"""),28.0)</f>
        <v>28</v>
      </c>
      <c r="G614" s="42">
        <f>IFERROR(__xludf.DUMMYFUNCTION("""COMPUTED_VALUE"""),20.0)</f>
        <v>20</v>
      </c>
      <c r="H614" s="42">
        <f>IFERROR(__xludf.DUMMYFUNCTION("""COMPUTED_VALUE"""),0.5833333333333334)</f>
        <v>0.5833333333</v>
      </c>
      <c r="I614" s="42">
        <f>IFERROR(__xludf.DUMMYFUNCTION("""COMPUTED_VALUE"""),0.3445378151260504)</f>
        <v>0.3445378151</v>
      </c>
      <c r="J614" s="30">
        <f>IFERROR(__xludf.DUMMYFUNCTION("""COMPUTED_VALUE"""),333.0)</f>
        <v>333</v>
      </c>
      <c r="K614" s="30">
        <f>IFERROR(__xludf.DUMMYFUNCTION("""COMPUTED_VALUE"""),0.8541666666666666)</f>
        <v>0.8541666667</v>
      </c>
      <c r="L614" s="30">
        <f>IFERROR(__xludf.DUMMYFUNCTION("""COMPUTED_VALUE"""),0.2916666666666667)</f>
        <v>0.2916666667</v>
      </c>
      <c r="M614" s="30">
        <f>IFERROR(__xludf.DUMMYFUNCTION("""COMPUTED_VALUE"""),1.375)</f>
        <v>1.375</v>
      </c>
      <c r="N614" s="30">
        <f>IFERROR(__xludf.DUMMYFUNCTION("""COMPUTED_VALUE"""),2.4791666666666665)</f>
        <v>2.479166667</v>
      </c>
      <c r="O614" s="30">
        <f>IFERROR(__xludf.DUMMYFUNCTION("""COMPUTED_VALUE"""),333.35416666666663)</f>
        <v>333.3541667</v>
      </c>
      <c r="P614" s="30">
        <f>IFERROR(__xludf.DUMMYFUNCTION("""COMPUTED_VALUE"""),0.7430555555555557)</f>
        <v>0.7430555556</v>
      </c>
      <c r="Q614" s="30">
        <f>IFERROR(__xludf.DUMMYFUNCTION("""COMPUTED_VALUE"""),0.5208333333333334)</f>
        <v>0.5208333333</v>
      </c>
      <c r="R614" s="30">
        <f>IFERROR(__xludf.DUMMYFUNCTION("""COMPUTED_VALUE"""),1.138888888888889)</f>
        <v>1.138888889</v>
      </c>
      <c r="S614" s="30">
        <f>IFERROR(__xludf.DUMMYFUNCTION("""COMPUTED_VALUE"""),2.4791666666666665)</f>
        <v>2.479166667</v>
      </c>
      <c r="T614" s="30">
        <f>IFERROR(__xludf.DUMMYFUNCTION("""COMPUTED_VALUE"""),335.59700130051965)</f>
        <v>335.5970013</v>
      </c>
      <c r="U614" s="30">
        <f>IFERROR(__xludf.DUMMYFUNCTION("""COMPUTED_VALUE"""),0.8031219584729485)</f>
        <v>0.8031219585</v>
      </c>
      <c r="V614" s="30">
        <f>IFERROR(__xludf.DUMMYFUNCTION("""COMPUTED_VALUE"""),0.5201012236904362)</f>
        <v>0.5201012237</v>
      </c>
      <c r="W614" s="30">
        <f>IFERROR(__xludf.DUMMYFUNCTION("""COMPUTED_VALUE"""),1.189227780660233)</f>
        <v>1.189227781</v>
      </c>
      <c r="X614" s="30">
        <f>IFERROR(__xludf.DUMMYFUNCTION("""COMPUTED_VALUE"""),2.457057193792099)</f>
        <v>2.457057194</v>
      </c>
      <c r="Y614" s="30">
        <f>IFERROR(__xludf.DUMMYFUNCTION("""COMPUTED_VALUE"""),331.3015852115299)</f>
        <v>331.3015852</v>
      </c>
      <c r="Z614" s="30">
        <f>IFERROR(__xludf.DUMMYFUNCTION("""COMPUTED_VALUE"""),0.7557185205711376)</f>
        <v>0.7557185206</v>
      </c>
      <c r="AA614" s="30">
        <f>IFERROR(__xludf.DUMMYFUNCTION("""COMPUTED_VALUE"""),0.509071788380287)</f>
        <v>0.5090717884</v>
      </c>
      <c r="AB614" s="30">
        <f>IFERROR(__xludf.DUMMYFUNCTION("""COMPUTED_VALUE"""),1.217419755884196)</f>
        <v>1.217419756</v>
      </c>
      <c r="AC614" s="30">
        <f>IFERROR(__xludf.DUMMYFUNCTION("""COMPUTED_VALUE"""),2.4054686553216196)</f>
        <v>2.405468655</v>
      </c>
      <c r="AD614" s="30">
        <f>IFERROR(__xludf.DUMMYFUNCTION("""COMPUTED_VALUE"""),1.005126491584354)</f>
        <v>1.005126492</v>
      </c>
      <c r="AE614" s="30">
        <f>IFERROR(__xludf.DUMMYFUNCTION("""COMPUTED_VALUE"""),1.1302709188880622)</f>
        <v>1.130270919</v>
      </c>
      <c r="AF614" s="30">
        <f>IFERROR(__xludf.DUMMYFUNCTION("""COMPUTED_VALUE"""),0.5729381853876879)</f>
        <v>0.5729381854</v>
      </c>
      <c r="AG614" s="30">
        <f>IFERROR(__xludf.DUMMYFUNCTION("""COMPUTED_VALUE"""),1.1294378897288024)</f>
        <v>1.12943789</v>
      </c>
      <c r="AH614" s="30">
        <f>IFERROR(__xludf.DUMMYFUNCTION("""COMPUTED_VALUE"""),1.030637693483141)</f>
        <v>1.030637693</v>
      </c>
      <c r="AI614" s="30">
        <f>IFERROR(__xludf.DUMMYFUNCTION("""COMPUTED_VALUE"""),0.9933168811843923)</f>
        <v>0.9933168812</v>
      </c>
      <c r="AJ614" s="30">
        <f>IFERROR(__xludf.DUMMYFUNCTION("""COMPUTED_VALUE"""),0.9252088648757621)</f>
        <v>0.9252088649</v>
      </c>
      <c r="AK614" s="30">
        <f>IFERROR(__xludf.DUMMYFUNCTION("""COMPUTED_VALUE"""),1.001407629149)</f>
        <v>1.001407629</v>
      </c>
      <c r="AL614" s="30">
        <f>IFERROR(__xludf.DUMMYFUNCTION("""COMPUTED_VALUE"""),0.9576709419423445)</f>
        <v>0.9576709419</v>
      </c>
      <c r="AM614" s="30">
        <f>IFERROR(__xludf.DUMMYFUNCTION("""COMPUTED_VALUE"""),1.0089983549957358)</f>
        <v>1.008998355</v>
      </c>
      <c r="AN614" s="30">
        <f>IFERROR(__xludf.DUMMYFUNCTION("""COMPUTED_VALUE"""),1.0236092173986422)</f>
        <v>1.023609217</v>
      </c>
      <c r="AO614" s="30">
        <f>IFERROR(__xludf.DUMMYFUNCTION("""COMPUTED_VALUE"""),1.168740289036649)</f>
        <v>1.168740289</v>
      </c>
      <c r="AP614" s="30">
        <f>IFERROR(__xludf.DUMMYFUNCTION("""COMPUTED_VALUE"""),0.5657374940389824)</f>
        <v>0.565737494</v>
      </c>
      <c r="AQ614" s="30">
        <f>IFERROR(__xludf.DUMMYFUNCTION("""COMPUTED_VALUE"""),1.1404029838973155)</f>
        <v>1.140402984</v>
      </c>
      <c r="AR614" s="30">
        <f>IFERROR(__xludf.DUMMYFUNCTION("""COMPUTED_VALUE"""),1.0418514246613195)</f>
        <v>1.041851425</v>
      </c>
      <c r="AS614" s="30">
        <f>IFERROR(__xludf.DUMMYFUNCTION("""COMPUTED_VALUE"""),117.0)</f>
        <v>117</v>
      </c>
      <c r="AT614" s="30">
        <f>IFERROR(__xludf.DUMMYFUNCTION("""COMPUTED_VALUE"""),0.534699006219537)</f>
        <v>0.5346990062</v>
      </c>
      <c r="AU614" s="30">
        <f>IFERROR(__xludf.DUMMYFUNCTION("""COMPUTED_VALUE"""),2.8529949155592385)</f>
        <v>2.852994916</v>
      </c>
      <c r="AV614" s="32">
        <f>IFERROR(__xludf.DUMMYFUNCTION("""COMPUTED_VALUE"""),50.25208337029735)</f>
        <v>50.25208337</v>
      </c>
      <c r="AW614" s="32">
        <f>IFERROR(__xludf.DUMMYFUNCTION("""COMPUTED_VALUE"""),2.0162209020886066)</f>
        <v>2.016220902</v>
      </c>
      <c r="AX614" s="32">
        <f>IFERROR(__xludf.DUMMYFUNCTION("""COMPUTED_VALUE"""),43.40812626373272)</f>
        <v>43.40812626</v>
      </c>
      <c r="AY614" s="32">
        <f>IFERROR(__xludf.DUMMYFUNCTION("""COMPUTED_VALUE"""),-2.5251555999438837)</f>
        <v>-2.5251556</v>
      </c>
      <c r="AZ614" s="30">
        <f>IFERROR(__xludf.DUMMYFUNCTION("""COMPUTED_VALUE"""),4.54137650203249)</f>
        <v>4.541376502</v>
      </c>
      <c r="BA614" s="30">
        <f>IFERROR(__xludf.DUMMYFUNCTION("""COMPUTED_VALUE"""),2300.0)</f>
        <v>2300</v>
      </c>
    </row>
    <row r="615">
      <c r="A615" s="71" t="str">
        <f>IFERROR(__xludf.DUMMYFUNCTION("""COMPUTED_VALUE"""),"Challenger")</f>
        <v>Challenger</v>
      </c>
      <c r="B615" s="71" t="str">
        <f>IFERROR(__xludf.DUMMYFUNCTION("""COMPUTED_VALUE"""),"RSC007118")</f>
        <v>RSC007118</v>
      </c>
      <c r="C615" s="30" t="str">
        <f>IFERROR(__xludf.DUMMYFUNCTION("""COMPUTED_VALUE"""),"Vampress Maru")</f>
        <v>Vampress Maru</v>
      </c>
      <c r="D615" s="30" t="str">
        <f>IFERROR(__xludf.DUMMYFUNCTION("""COMPUTED_VALUE"""),"Bingo")</f>
        <v>Bingo</v>
      </c>
      <c r="E615" s="30">
        <f>IFERROR(__xludf.DUMMYFUNCTION("""COMPUTED_VALUE"""),17.0)</f>
        <v>17</v>
      </c>
      <c r="F615" s="30">
        <f>IFERROR(__xludf.DUMMYFUNCTION("""COMPUTED_VALUE"""),1.0)</f>
        <v>1</v>
      </c>
      <c r="G615" s="42">
        <f>IFERROR(__xludf.DUMMYFUNCTION("""COMPUTED_VALUE"""),16.0)</f>
        <v>16</v>
      </c>
      <c r="H615" s="42">
        <f>IFERROR(__xludf.DUMMYFUNCTION("""COMPUTED_VALUE"""),0.058823529411764705)</f>
        <v>0.05882352941</v>
      </c>
      <c r="I615" s="42">
        <f>IFERROR(__xludf.DUMMYFUNCTION("""COMPUTED_VALUE"""),0.3076923076923077)</f>
        <v>0.3076923077</v>
      </c>
      <c r="J615" s="30">
        <f>IFERROR(__xludf.DUMMYFUNCTION("""COMPUTED_VALUE"""),248.05882352941177)</f>
        <v>248.0588235</v>
      </c>
      <c r="K615" s="30">
        <f>IFERROR(__xludf.DUMMYFUNCTION("""COMPUTED_VALUE"""),0.47058823529411764)</f>
        <v>0.4705882353</v>
      </c>
      <c r="L615" s="30">
        <f>IFERROR(__xludf.DUMMYFUNCTION("""COMPUTED_VALUE"""),0.23529411764705882)</f>
        <v>0.2352941176</v>
      </c>
      <c r="M615" s="30">
        <f>IFERROR(__xludf.DUMMYFUNCTION("""COMPUTED_VALUE"""),1.2352941176470589)</f>
        <v>1.235294118</v>
      </c>
      <c r="N615" s="30">
        <f>IFERROR(__xludf.DUMMYFUNCTION("""COMPUTED_VALUE"""),1.5294117647058822)</f>
        <v>1.529411765</v>
      </c>
      <c r="O615" s="30">
        <f>IFERROR(__xludf.DUMMYFUNCTION("""COMPUTED_VALUE"""),369.54901960784315)</f>
        <v>369.5490196</v>
      </c>
      <c r="P615" s="30">
        <f>IFERROR(__xludf.DUMMYFUNCTION("""COMPUTED_VALUE"""),1.1568627450980395)</f>
        <v>1.156862745</v>
      </c>
      <c r="Q615" s="30">
        <f>IFERROR(__xludf.DUMMYFUNCTION("""COMPUTED_VALUE"""),0.784313725490196)</f>
        <v>0.7843137255</v>
      </c>
      <c r="R615" s="30">
        <f>IFERROR(__xludf.DUMMYFUNCTION("""COMPUTED_VALUE"""),0.9215686274509803)</f>
        <v>0.9215686275</v>
      </c>
      <c r="S615" s="30">
        <f>IFERROR(__xludf.DUMMYFUNCTION("""COMPUTED_VALUE"""),3.0588235294117654)</f>
        <v>3.058823529</v>
      </c>
      <c r="T615" s="30">
        <f>IFERROR(__xludf.DUMMYFUNCTION("""COMPUTED_VALUE"""),348.11341037152994)</f>
        <v>348.1134104</v>
      </c>
      <c r="U615" s="30">
        <f>IFERROR(__xludf.DUMMYFUNCTION("""COMPUTED_VALUE"""),0.8048016494735957)</f>
        <v>0.8048016495</v>
      </c>
      <c r="V615" s="30">
        <f>IFERROR(__xludf.DUMMYFUNCTION("""COMPUTED_VALUE"""),0.5769073626793507)</f>
        <v>0.5769073627</v>
      </c>
      <c r="W615" s="30">
        <f>IFERROR(__xludf.DUMMYFUNCTION("""COMPUTED_VALUE"""),1.253069295392509)</f>
        <v>1.253069295</v>
      </c>
      <c r="X615" s="30">
        <f>IFERROR(__xludf.DUMMYFUNCTION("""COMPUTED_VALUE"""),2.5967587483595005)</f>
        <v>2.596758748</v>
      </c>
      <c r="Y615" s="30">
        <f>IFERROR(__xludf.DUMMYFUNCTION("""COMPUTED_VALUE"""),333.14083195938184)</f>
        <v>333.140832</v>
      </c>
      <c r="Z615" s="30">
        <f>IFERROR(__xludf.DUMMYFUNCTION("""COMPUTED_VALUE"""),0.7216234470773822)</f>
        <v>0.7216234471</v>
      </c>
      <c r="AA615" s="30">
        <f>IFERROR(__xludf.DUMMYFUNCTION("""COMPUTED_VALUE"""),0.5125616864778232)</f>
        <v>0.5125616865</v>
      </c>
      <c r="AB615" s="30">
        <f>IFERROR(__xludf.DUMMYFUNCTION("""COMPUTED_VALUE"""),1.2182132454004013)</f>
        <v>1.218213245</v>
      </c>
      <c r="AC615" s="30">
        <f>IFERROR(__xludf.DUMMYFUNCTION("""COMPUTED_VALUE"""),2.492191887270108)</f>
        <v>2.492191887</v>
      </c>
      <c r="AD615" s="30">
        <f>IFERROR(__xludf.DUMMYFUNCTION("""COMPUTED_VALUE"""),0.7446064839018481)</f>
        <v>0.7446064839</v>
      </c>
      <c r="AE615" s="30">
        <f>IFERROR(__xludf.DUMMYFUNCTION("""COMPUTED_VALUE"""),0.6521243692954101)</f>
        <v>0.6521243693</v>
      </c>
      <c r="AF615" s="30">
        <f>IFERROR(__xludf.DUMMYFUNCTION("""COMPUTED_VALUE"""),0.4590552197998498)</f>
        <v>0.4590552198</v>
      </c>
      <c r="AG615" s="30">
        <f>IFERROR(__xludf.DUMMYFUNCTION("""COMPUTED_VALUE"""),1.0140212498190688)</f>
        <v>1.01402125</v>
      </c>
      <c r="AH615" s="30">
        <f>IFERROR(__xludf.DUMMYFUNCTION("""COMPUTED_VALUE"""),0.6136813832506156)</f>
        <v>0.6136813833</v>
      </c>
      <c r="AI615" s="30">
        <f>IFERROR(__xludf.DUMMYFUNCTION("""COMPUTED_VALUE"""),1.06157651098082)</f>
        <v>1.061576511</v>
      </c>
      <c r="AJ615" s="30">
        <f>IFERROR(__xludf.DUMMYFUNCTION("""COMPUTED_VALUE"""),1.4374507629982118)</f>
        <v>1.437450763</v>
      </c>
      <c r="AK615" s="30">
        <f>IFERROR(__xludf.DUMMYFUNCTION("""COMPUTED_VALUE"""),1.359514154660084)</f>
        <v>1.359514155</v>
      </c>
      <c r="AL615" s="30">
        <f>IFERROR(__xludf.DUMMYFUNCTION("""COMPUTED_VALUE"""),0.7354490536473562)</f>
        <v>0.7354490536</v>
      </c>
      <c r="AM615" s="30">
        <f>IFERROR(__xludf.DUMMYFUNCTION("""COMPUTED_VALUE"""),1.1779390485712906)</f>
        <v>1.177939049</v>
      </c>
      <c r="AN615" s="30">
        <f>IFERROR(__xludf.DUMMYFUNCTION("""COMPUTED_VALUE"""),0.7625084030683756)</f>
        <v>0.7625084031</v>
      </c>
      <c r="AO615" s="30">
        <f>IFERROR(__xludf.DUMMYFUNCTION("""COMPUTED_VALUE"""),0.643897088938412)</f>
        <v>0.6438970889</v>
      </c>
      <c r="AP615" s="30">
        <f>IFERROR(__xludf.DUMMYFUNCTION("""COMPUTED_VALUE"""),0.4563932725020362)</f>
        <v>0.4563932725</v>
      </c>
      <c r="AQ615" s="30">
        <f>IFERROR(__xludf.DUMMYFUNCTION("""COMPUTED_VALUE"""),1.0245331620040055)</f>
        <v>1.024533162</v>
      </c>
      <c r="AR615" s="30">
        <f>IFERROR(__xludf.DUMMYFUNCTION("""COMPUTED_VALUE"""),0.6427239634094547)</f>
        <v>0.6427239634</v>
      </c>
      <c r="AS615" s="30">
        <f>IFERROR(__xludf.DUMMYFUNCTION("""COMPUTED_VALUE"""),22.0)</f>
        <v>22</v>
      </c>
      <c r="AT615" s="30">
        <f>IFERROR(__xludf.DUMMYFUNCTION("""COMPUTED_VALUE"""),0.17593189007752116)</f>
        <v>0.1759318901</v>
      </c>
      <c r="AU615" s="30">
        <f>IFERROR(__xludf.DUMMYFUNCTION("""COMPUTED_VALUE"""),0.9659444636368288)</f>
        <v>0.9659444636</v>
      </c>
      <c r="AV615" s="32">
        <f>IFERROR(__xludf.DUMMYFUNCTION("""COMPUTED_VALUE"""),1.0033487064281843)</f>
        <v>1.003348706</v>
      </c>
      <c r="AW615" s="32">
        <f>IFERROR(__xludf.DUMMYFUNCTION("""COMPUTED_VALUE"""),-39.99084331498668)</f>
        <v>-39.99084331</v>
      </c>
      <c r="AX615" s="32">
        <f>IFERROR(__xludf.DUMMYFUNCTION("""COMPUTED_VALUE"""),2.2859248856881536)</f>
        <v>2.285924886</v>
      </c>
      <c r="AY615" s="32">
        <f>IFERROR(__xludf.DUMMYFUNCTION("""COMPUTED_VALUE"""),-35.51231688450295)</f>
        <v>-35.51231688</v>
      </c>
      <c r="AZ615" s="30">
        <f>IFERROR(__xludf.DUMMYFUNCTION("""COMPUTED_VALUE"""),4.478526430483726)</f>
        <v>4.47852643</v>
      </c>
      <c r="BA615" s="30">
        <f>IFERROR(__xludf.DUMMYFUNCTION("""COMPUTED_VALUE"""),2300.0)</f>
        <v>2300</v>
      </c>
    </row>
    <row r="616">
      <c r="A616" s="71" t="str">
        <f>IFERROR(__xludf.DUMMYFUNCTION("""COMPUTED_VALUE"""),"Challenger")</f>
        <v>Challenger</v>
      </c>
      <c r="B616" s="71" t="str">
        <f>IFERROR(__xludf.DUMMYFUNCTION("""COMPUTED_VALUE"""),"RSC003387")</f>
        <v>RSC003387</v>
      </c>
      <c r="C616" s="30" t="str">
        <f>IFERROR(__xludf.DUMMYFUNCTION("""COMPUTED_VALUE"""),"Redline")</f>
        <v>Redline</v>
      </c>
      <c r="D616" s="30" t="str">
        <f>IFERROR(__xludf.DUMMYFUNCTION("""COMPUTED_VALUE"""),"Havarti Hustlers")</f>
        <v>Havarti Hustlers</v>
      </c>
      <c r="E616" s="30">
        <f>IFERROR(__xludf.DUMMYFUNCTION("""COMPUTED_VALUE"""),31.0)</f>
        <v>31</v>
      </c>
      <c r="F616" s="30">
        <f>IFERROR(__xludf.DUMMYFUNCTION("""COMPUTED_VALUE"""),18.0)</f>
        <v>18</v>
      </c>
      <c r="G616" s="42">
        <f>IFERROR(__xludf.DUMMYFUNCTION("""COMPUTED_VALUE"""),13.0)</f>
        <v>13</v>
      </c>
      <c r="H616" s="42">
        <f>IFERROR(__xludf.DUMMYFUNCTION("""COMPUTED_VALUE"""),0.5806451612903226)</f>
        <v>0.5806451613</v>
      </c>
      <c r="I616" s="42">
        <f>IFERROR(__xludf.DUMMYFUNCTION("""COMPUTED_VALUE"""),0.2151898734177215)</f>
        <v>0.2151898734</v>
      </c>
      <c r="J616" s="30">
        <f>IFERROR(__xludf.DUMMYFUNCTION("""COMPUTED_VALUE"""),297.7741935483871)</f>
        <v>297.7741935</v>
      </c>
      <c r="K616" s="30">
        <f>IFERROR(__xludf.DUMMYFUNCTION("""COMPUTED_VALUE"""),0.5483870967741935)</f>
        <v>0.5483870968</v>
      </c>
      <c r="L616" s="30">
        <f>IFERROR(__xludf.DUMMYFUNCTION("""COMPUTED_VALUE"""),0.7096774193548387)</f>
        <v>0.7096774194</v>
      </c>
      <c r="M616" s="30">
        <f>IFERROR(__xludf.DUMMYFUNCTION("""COMPUTED_VALUE"""),1.064516129032258)</f>
        <v>1.064516129</v>
      </c>
      <c r="N616" s="30">
        <f>IFERROR(__xludf.DUMMYFUNCTION("""COMPUTED_VALUE"""),2.5483870967741935)</f>
        <v>2.548387097</v>
      </c>
      <c r="O616" s="30">
        <f>IFERROR(__xludf.DUMMYFUNCTION("""COMPUTED_VALUE"""),322.91397849462356)</f>
        <v>322.9139785</v>
      </c>
      <c r="P616" s="30">
        <f>IFERROR(__xludf.DUMMYFUNCTION("""COMPUTED_VALUE"""),0.6451612903225806)</f>
        <v>0.6451612903</v>
      </c>
      <c r="Q616" s="30">
        <f>IFERROR(__xludf.DUMMYFUNCTION("""COMPUTED_VALUE"""),0.4731182795698924)</f>
        <v>0.4731182796</v>
      </c>
      <c r="R616" s="30">
        <f>IFERROR(__xludf.DUMMYFUNCTION("""COMPUTED_VALUE"""),1.376344086021506)</f>
        <v>1.376344086</v>
      </c>
      <c r="S616" s="30">
        <f>IFERROR(__xludf.DUMMYFUNCTION("""COMPUTED_VALUE"""),2.096774193548387)</f>
        <v>2.096774194</v>
      </c>
      <c r="T616" s="30">
        <f>IFERROR(__xludf.DUMMYFUNCTION("""COMPUTED_VALUE"""),333.46786726185206)</f>
        <v>333.4678673</v>
      </c>
      <c r="U616" s="30">
        <f>IFERROR(__xludf.DUMMYFUNCTION("""COMPUTED_VALUE"""),0.7566252433256595)</f>
        <v>0.7566252433</v>
      </c>
      <c r="V616" s="30">
        <f>IFERROR(__xludf.DUMMYFUNCTION("""COMPUTED_VALUE"""),0.491886819289552)</f>
        <v>0.4918868193</v>
      </c>
      <c r="W616" s="30">
        <f>IFERROR(__xludf.DUMMYFUNCTION("""COMPUTED_VALUE"""),1.2334652234889751)</f>
        <v>1.233465223</v>
      </c>
      <c r="X616" s="30">
        <f>IFERROR(__xludf.DUMMYFUNCTION("""COMPUTED_VALUE"""),2.4055102102964567)</f>
        <v>2.40551021</v>
      </c>
      <c r="Y616" s="30">
        <f>IFERROR(__xludf.DUMMYFUNCTION("""COMPUTED_VALUE"""),332.5449835825918)</f>
        <v>332.5449836</v>
      </c>
      <c r="Z616" s="30">
        <f>IFERROR(__xludf.DUMMYFUNCTION("""COMPUTED_VALUE"""),0.7734746742631661)</f>
        <v>0.7734746743</v>
      </c>
      <c r="AA616" s="30">
        <f>IFERROR(__xludf.DUMMYFUNCTION("""COMPUTED_VALUE"""),0.5496725748078961)</f>
        <v>0.5496725748</v>
      </c>
      <c r="AB616" s="30">
        <f>IFERROR(__xludf.DUMMYFUNCTION("""COMPUTED_VALUE"""),1.202012751174749)</f>
        <v>1.202012751</v>
      </c>
      <c r="AC616" s="30">
        <f>IFERROR(__xludf.DUMMYFUNCTION("""COMPUTED_VALUE"""),2.450758178222226)</f>
        <v>2.450758178</v>
      </c>
      <c r="AD616" s="30">
        <f>IFERROR(__xludf.DUMMYFUNCTION("""COMPUTED_VALUE"""),0.8954403411544203)</f>
        <v>0.8954403412</v>
      </c>
      <c r="AE616" s="30">
        <f>IFERROR(__xludf.DUMMYFUNCTION("""COMPUTED_VALUE"""),0.708991664525542)</f>
        <v>0.7089916645</v>
      </c>
      <c r="AF616" s="30">
        <f>IFERROR(__xludf.DUMMYFUNCTION("""COMPUTED_VALUE"""),1.2910911911565943)</f>
        <v>1.291091191</v>
      </c>
      <c r="AG616" s="30">
        <f>IFERROR(__xludf.DUMMYFUNCTION("""COMPUTED_VALUE"""),0.8856113447980373)</f>
        <v>0.8856113448</v>
      </c>
      <c r="AH616" s="30">
        <f>IFERROR(__xludf.DUMMYFUNCTION("""COMPUTED_VALUE"""),1.0398362104509173)</f>
        <v>1.03983621</v>
      </c>
      <c r="AI616" s="30">
        <f>IFERROR(__xludf.DUMMYFUNCTION("""COMPUTED_VALUE"""),0.9683511072479402)</f>
        <v>0.9683511072</v>
      </c>
      <c r="AJ616" s="30">
        <f>IFERROR(__xludf.DUMMYFUNCTION("""COMPUTED_VALUE"""),0.8526827461992256)</f>
        <v>0.8526827462</v>
      </c>
      <c r="AK616" s="30">
        <f>IFERROR(__xludf.DUMMYFUNCTION("""COMPUTED_VALUE"""),0.9618437840095662)</f>
        <v>0.961843784</v>
      </c>
      <c r="AL616" s="30">
        <f>IFERROR(__xludf.DUMMYFUNCTION("""COMPUTED_VALUE"""),1.1158353391823923)</f>
        <v>1.115835339</v>
      </c>
      <c r="AM616" s="30">
        <f>IFERROR(__xludf.DUMMYFUNCTION("""COMPUTED_VALUE"""),0.8716546637688056)</f>
        <v>0.8716546638</v>
      </c>
      <c r="AN616" s="30">
        <f>IFERROR(__xludf.DUMMYFUNCTION("""COMPUTED_VALUE"""),0.9153285562149439)</f>
        <v>0.9153285562</v>
      </c>
      <c r="AO616" s="30">
        <f>IFERROR(__xludf.DUMMYFUNCTION("""COMPUTED_VALUE"""),0.7503478173516172)</f>
        <v>0.7503478174</v>
      </c>
      <c r="AP616" s="30">
        <f>IFERROR(__xludf.DUMMYFUNCTION("""COMPUTED_VALUE"""),1.3765409993206577)</f>
        <v>1.376540999</v>
      </c>
      <c r="AQ616" s="30">
        <f>IFERROR(__xludf.DUMMYFUNCTION("""COMPUTED_VALUE"""),0.8828926326946959)</f>
        <v>0.8828926327</v>
      </c>
      <c r="AR616" s="30">
        <f>IFERROR(__xludf.DUMMYFUNCTION("""COMPUTED_VALUE"""),1.0709407975916845)</f>
        <v>1.070940798</v>
      </c>
      <c r="AS616" s="30">
        <f>IFERROR(__xludf.DUMMYFUNCTION("""COMPUTED_VALUE"""),80.0)</f>
        <v>80</v>
      </c>
      <c r="AT616" s="30">
        <f>IFERROR(__xludf.DUMMYFUNCTION("""COMPUTED_VALUE"""),0.6090774046535569)</f>
        <v>0.6090774047</v>
      </c>
      <c r="AU616" s="30">
        <f>IFERROR(__xludf.DUMMYFUNCTION("""COMPUTED_VALUE"""),2.943819513286501)</f>
        <v>2.943819513</v>
      </c>
      <c r="AV616" s="32">
        <f>IFERROR(__xludf.DUMMYFUNCTION("""COMPUTED_VALUE"""),52.62244740050427)</f>
        <v>52.6224474</v>
      </c>
      <c r="AW616" s="32">
        <f>IFERROR(__xludf.DUMMYFUNCTION("""COMPUTED_VALUE"""),2.1823177457164267)</f>
        <v>2.182317746</v>
      </c>
      <c r="AX616" s="32">
        <f>IFERROR(__xludf.DUMMYFUNCTION("""COMPUTED_VALUE"""),46.18508339927814)</f>
        <v>46.1850834</v>
      </c>
      <c r="AY616" s="32">
        <f>IFERROR(__xludf.DUMMYFUNCTION("""COMPUTED_VALUE"""),-2.276047312142127)</f>
        <v>-2.276047312</v>
      </c>
      <c r="AZ616" s="30">
        <f>IFERROR(__xludf.DUMMYFUNCTION("""COMPUTED_VALUE"""),4.458365057858554)</f>
        <v>4.458365058</v>
      </c>
      <c r="BA616" s="30">
        <f>IFERROR(__xludf.DUMMYFUNCTION("""COMPUTED_VALUE"""),2300.0)</f>
        <v>2300</v>
      </c>
    </row>
    <row r="617">
      <c r="A617" s="71" t="str">
        <f>IFERROR(__xludf.DUMMYFUNCTION("""COMPUTED_VALUE"""),"Challenger")</f>
        <v>Challenger</v>
      </c>
      <c r="B617" s="71" t="str">
        <f>IFERROR(__xludf.DUMMYFUNCTION("""COMPUTED_VALUE"""),"RSC007197")</f>
        <v>RSC007197</v>
      </c>
      <c r="C617" s="30" t="str">
        <f>IFERROR(__xludf.DUMMYFUNCTION("""COMPUTED_VALUE"""),"xMaster P")</f>
        <v>xMaster P</v>
      </c>
      <c r="D617" s="30" t="str">
        <f>IFERROR(__xludf.DUMMYFUNCTION("""COMPUTED_VALUE"""),"Mugged")</f>
        <v>Mugged</v>
      </c>
      <c r="E617" s="30">
        <f>IFERROR(__xludf.DUMMYFUNCTION("""COMPUTED_VALUE"""),35.0)</f>
        <v>35</v>
      </c>
      <c r="F617" s="30">
        <f>IFERROR(__xludf.DUMMYFUNCTION("""COMPUTED_VALUE"""),23.0)</f>
        <v>23</v>
      </c>
      <c r="G617" s="42">
        <f>IFERROR(__xludf.DUMMYFUNCTION("""COMPUTED_VALUE"""),12.0)</f>
        <v>12</v>
      </c>
      <c r="H617" s="42">
        <f>IFERROR(__xludf.DUMMYFUNCTION("""COMPUTED_VALUE"""),0.6571428571428571)</f>
        <v>0.6571428571</v>
      </c>
      <c r="I617" s="42">
        <f>IFERROR(__xludf.DUMMYFUNCTION("""COMPUTED_VALUE"""),0.3698630136986301)</f>
        <v>0.3698630137</v>
      </c>
      <c r="J617" s="30">
        <f>IFERROR(__xludf.DUMMYFUNCTION("""COMPUTED_VALUE"""),340.7142857142857)</f>
        <v>340.7142857</v>
      </c>
      <c r="K617" s="30">
        <f>IFERROR(__xludf.DUMMYFUNCTION("""COMPUTED_VALUE"""),0.7714285714285715)</f>
        <v>0.7714285714</v>
      </c>
      <c r="L617" s="30">
        <f>IFERROR(__xludf.DUMMYFUNCTION("""COMPUTED_VALUE"""),0.6)</f>
        <v>0.6</v>
      </c>
      <c r="M617" s="30">
        <f>IFERROR(__xludf.DUMMYFUNCTION("""COMPUTED_VALUE"""),1.2857142857142858)</f>
        <v>1.285714286</v>
      </c>
      <c r="N617" s="30">
        <f>IFERROR(__xludf.DUMMYFUNCTION("""COMPUTED_VALUE"""),2.085714285714286)</f>
        <v>2.085714286</v>
      </c>
      <c r="O617" s="30">
        <f>IFERROR(__xludf.DUMMYFUNCTION("""COMPUTED_VALUE"""),309.70476190476194)</f>
        <v>309.7047619</v>
      </c>
      <c r="P617" s="30">
        <f>IFERROR(__xludf.DUMMYFUNCTION("""COMPUTED_VALUE"""),0.6857142857142856)</f>
        <v>0.6857142857</v>
      </c>
      <c r="Q617" s="30">
        <f>IFERROR(__xludf.DUMMYFUNCTION("""COMPUTED_VALUE"""),0.4095238095238095)</f>
        <v>0.4095238095</v>
      </c>
      <c r="R617" s="30">
        <f>IFERROR(__xludf.DUMMYFUNCTION("""COMPUTED_VALUE"""),1.1238095238095238)</f>
        <v>1.123809524</v>
      </c>
      <c r="S617" s="30">
        <f>IFERROR(__xludf.DUMMYFUNCTION("""COMPUTED_VALUE"""),2.5047619047619043)</f>
        <v>2.504761905</v>
      </c>
      <c r="T617" s="30">
        <f>IFERROR(__xludf.DUMMYFUNCTION("""COMPUTED_VALUE"""),323.03358586762903)</f>
        <v>323.0335859</v>
      </c>
      <c r="U617" s="30">
        <f>IFERROR(__xludf.DUMMYFUNCTION("""COMPUTED_VALUE"""),0.7140984013988648)</f>
        <v>0.7140984014</v>
      </c>
      <c r="V617" s="30">
        <f>IFERROR(__xludf.DUMMYFUNCTION("""COMPUTED_VALUE"""),0.4618646135907381)</f>
        <v>0.4618646136</v>
      </c>
      <c r="W617" s="30">
        <f>IFERROR(__xludf.DUMMYFUNCTION("""COMPUTED_VALUE"""),1.2167803731283287)</f>
        <v>1.216780373</v>
      </c>
      <c r="X617" s="30">
        <f>IFERROR(__xludf.DUMMYFUNCTION("""COMPUTED_VALUE"""),2.357402763392232)</f>
        <v>2.357402763</v>
      </c>
      <c r="Y617" s="30">
        <f>IFERROR(__xludf.DUMMYFUNCTION("""COMPUTED_VALUE"""),340.7122343600133)</f>
        <v>340.7122344</v>
      </c>
      <c r="Z617" s="30">
        <f>IFERROR(__xludf.DUMMYFUNCTION("""COMPUTED_VALUE"""),0.7980272015149881)</f>
        <v>0.7980272015</v>
      </c>
      <c r="AA617" s="30">
        <f>IFERROR(__xludf.DUMMYFUNCTION("""COMPUTED_VALUE"""),0.5665996085446231)</f>
        <v>0.5665996085</v>
      </c>
      <c r="AB617" s="30">
        <f>IFERROR(__xludf.DUMMYFUNCTION("""COMPUTED_VALUE"""),1.2039577055835489)</f>
        <v>1.203957706</v>
      </c>
      <c r="AC617" s="30">
        <f>IFERROR(__xludf.DUMMYFUNCTION("""COMPUTED_VALUE"""),2.5342666454516216)</f>
        <v>2.534266645</v>
      </c>
      <c r="AD617" s="30">
        <f>IFERROR(__xludf.DUMMYFUNCTION("""COMPUTED_VALUE"""),1.0000060207825419)</f>
        <v>1.000006021</v>
      </c>
      <c r="AE617" s="30">
        <f>IFERROR(__xludf.DUMMYFUNCTION("""COMPUTED_VALUE"""),0.9666695194901611)</f>
        <v>0.9666695195</v>
      </c>
      <c r="AF617" s="30">
        <f>IFERROR(__xludf.DUMMYFUNCTION("""COMPUTED_VALUE"""),1.0589488431542862)</f>
        <v>1.058948843</v>
      </c>
      <c r="AG617" s="30">
        <f>IFERROR(__xludf.DUMMYFUNCTION("""COMPUTED_VALUE"""),1.0679065217586776)</f>
        <v>1.067906522</v>
      </c>
      <c r="AH617" s="30">
        <f>IFERROR(__xludf.DUMMYFUNCTION("""COMPUTED_VALUE"""),0.8230050651763989)</f>
        <v>0.8230050652</v>
      </c>
      <c r="AI617" s="30">
        <f>IFERROR(__xludf.DUMMYFUNCTION("""COMPUTED_VALUE"""),0.9587385815407785)</f>
        <v>0.9587385815</v>
      </c>
      <c r="AJ617" s="30">
        <f>IFERROR(__xludf.DUMMYFUNCTION("""COMPUTED_VALUE"""),0.9602518145552813)</f>
        <v>0.9602518146</v>
      </c>
      <c r="AK617" s="30">
        <f>IFERROR(__xludf.DUMMYFUNCTION("""COMPUTED_VALUE"""),0.8866750070761901)</f>
        <v>0.8866750071</v>
      </c>
      <c r="AL617" s="30">
        <f>IFERROR(__xludf.DUMMYFUNCTION("""COMPUTED_VALUE"""),0.9235927441204711)</f>
        <v>0.9235927441</v>
      </c>
      <c r="AM617" s="30">
        <f>IFERROR(__xludf.DUMMYFUNCTION("""COMPUTED_VALUE"""),1.0625091069112123)</f>
        <v>1.062509107</v>
      </c>
      <c r="AN617" s="30">
        <f>IFERROR(__xludf.DUMMYFUNCTION("""COMPUTED_VALUE"""),1.047322172241854)</f>
        <v>1.047322172</v>
      </c>
      <c r="AO617" s="30">
        <f>IFERROR(__xludf.DUMMYFUNCTION("""COMPUTED_VALUE"""),1.0555312993668968)</f>
        <v>1.055531299</v>
      </c>
      <c r="AP617" s="30">
        <f>IFERROR(__xludf.DUMMYFUNCTION("""COMPUTED_VALUE"""),1.1638028448801923)</f>
        <v>1.163802845</v>
      </c>
      <c r="AQ617" s="30">
        <f>IFERROR(__xludf.DUMMYFUNCTION("""COMPUTED_VALUE"""),1.0663508420858017)</f>
        <v>1.066350842</v>
      </c>
      <c r="AR617" s="30">
        <f>IFERROR(__xludf.DUMMYFUNCTION("""COMPUTED_VALUE"""),0.8765059764737729)</f>
        <v>0.8765059765</v>
      </c>
      <c r="AS617" s="30">
        <f>IFERROR(__xludf.DUMMYFUNCTION("""COMPUTED_VALUE"""),95.0)</f>
        <v>95</v>
      </c>
      <c r="AT617" s="30">
        <f>IFERROR(__xludf.DUMMYFUNCTION("""COMPUTED_VALUE"""),0.60685047578785)</f>
        <v>0.6068504758</v>
      </c>
      <c r="AU617" s="30">
        <f>IFERROR(__xludf.DUMMYFUNCTION("""COMPUTED_VALUE"""),2.953013537385815)</f>
        <v>2.953013537</v>
      </c>
      <c r="AV617" s="32">
        <f>IFERROR(__xludf.DUMMYFUNCTION("""COMPUTED_VALUE"""),52.86239543840599)</f>
        <v>52.86239544</v>
      </c>
      <c r="AW617" s="32">
        <f>IFERROR(__xludf.DUMMYFUNCTION("""COMPUTED_VALUE"""),2.2005958379686614)</f>
        <v>2.200595838</v>
      </c>
      <c r="AX617" s="32">
        <f>IFERROR(__xludf.DUMMYFUNCTION("""COMPUTED_VALUE"""),47.53126918147441)</f>
        <v>47.53126918</v>
      </c>
      <c r="AY617" s="32">
        <f>IFERROR(__xludf.DUMMYFUNCTION("""COMPUTED_VALUE"""),-2.1707574751817025)</f>
        <v>-2.170757475</v>
      </c>
      <c r="AZ617" s="30">
        <f>IFERROR(__xludf.DUMMYFUNCTION("""COMPUTED_VALUE"""),4.3713533131503635)</f>
        <v>4.371353313</v>
      </c>
      <c r="BA617" s="30">
        <f>IFERROR(__xludf.DUMMYFUNCTION("""COMPUTED_VALUE"""),2300.0)</f>
        <v>2300</v>
      </c>
    </row>
    <row r="618">
      <c r="A618" s="71" t="str">
        <f>IFERROR(__xludf.DUMMYFUNCTION("""COMPUTED_VALUE"""),"Challenger")</f>
        <v>Challenger</v>
      </c>
      <c r="B618" s="71" t="str">
        <f>IFERROR(__xludf.DUMMYFUNCTION("""COMPUTED_VALUE"""),"RSC004890")</f>
        <v>RSC004890</v>
      </c>
      <c r="C618" s="30" t="str">
        <f>IFERROR(__xludf.DUMMYFUNCTION("""COMPUTED_VALUE"""),"kamikaze7200")</f>
        <v>kamikaze7200</v>
      </c>
      <c r="D618" s="30" t="str">
        <f>IFERROR(__xludf.DUMMYFUNCTION("""COMPUTED_VALUE"""),"Lilac")</f>
        <v>Lilac</v>
      </c>
      <c r="E618" s="30">
        <f>IFERROR(__xludf.DUMMYFUNCTION("""COMPUTED_VALUE"""),41.0)</f>
        <v>41</v>
      </c>
      <c r="F618" s="30">
        <f>IFERROR(__xludf.DUMMYFUNCTION("""COMPUTED_VALUE"""),24.0)</f>
        <v>24</v>
      </c>
      <c r="G618" s="42">
        <f>IFERROR(__xludf.DUMMYFUNCTION("""COMPUTED_VALUE"""),17.0)</f>
        <v>17</v>
      </c>
      <c r="H618" s="42">
        <f>IFERROR(__xludf.DUMMYFUNCTION("""COMPUTED_VALUE"""),0.5853658536585366)</f>
        <v>0.5853658537</v>
      </c>
      <c r="I618" s="42">
        <f>IFERROR(__xludf.DUMMYFUNCTION("""COMPUTED_VALUE"""),0.3333333333333333)</f>
        <v>0.3333333333</v>
      </c>
      <c r="J618" s="30">
        <f>IFERROR(__xludf.DUMMYFUNCTION("""COMPUTED_VALUE"""),366.8292682926829)</f>
        <v>366.8292683</v>
      </c>
      <c r="K618" s="30">
        <f>IFERROR(__xludf.DUMMYFUNCTION("""COMPUTED_VALUE"""),0.9512195121951219)</f>
        <v>0.9512195122</v>
      </c>
      <c r="L618" s="30">
        <f>IFERROR(__xludf.DUMMYFUNCTION("""COMPUTED_VALUE"""),0.6829268292682927)</f>
        <v>0.6829268293</v>
      </c>
      <c r="M618" s="30">
        <f>IFERROR(__xludf.DUMMYFUNCTION("""COMPUTED_VALUE"""),1.0731707317073171)</f>
        <v>1.073170732</v>
      </c>
      <c r="N618" s="30">
        <f>IFERROR(__xludf.DUMMYFUNCTION("""COMPUTED_VALUE"""),2.8536585365853657)</f>
        <v>2.853658537</v>
      </c>
      <c r="O618" s="30">
        <f>IFERROR(__xludf.DUMMYFUNCTION("""COMPUTED_VALUE"""),337.69918699186985)</f>
        <v>337.699187</v>
      </c>
      <c r="P618" s="30">
        <f>IFERROR(__xludf.DUMMYFUNCTION("""COMPUTED_VALUE"""),0.6829268292682927)</f>
        <v>0.6829268293</v>
      </c>
      <c r="Q618" s="30">
        <f>IFERROR(__xludf.DUMMYFUNCTION("""COMPUTED_VALUE"""),0.5121951219512195)</f>
        <v>0.512195122</v>
      </c>
      <c r="R618" s="30">
        <f>IFERROR(__xludf.DUMMYFUNCTION("""COMPUTED_VALUE"""),1.3983739837398377)</f>
        <v>1.398373984</v>
      </c>
      <c r="S618" s="30">
        <f>IFERROR(__xludf.DUMMYFUNCTION("""COMPUTED_VALUE"""),2.203252032520325)</f>
        <v>2.203252033</v>
      </c>
      <c r="T618" s="30">
        <f>IFERROR(__xludf.DUMMYFUNCTION("""COMPUTED_VALUE"""),333.80624543994566)</f>
        <v>333.8062454</v>
      </c>
      <c r="U618" s="30">
        <f>IFERROR(__xludf.DUMMYFUNCTION("""COMPUTED_VALUE"""),0.7818943444494689)</f>
        <v>0.7818943444</v>
      </c>
      <c r="V618" s="30">
        <f>IFERROR(__xludf.DUMMYFUNCTION("""COMPUTED_VALUE"""),0.52371164277862)</f>
        <v>0.5237116428</v>
      </c>
      <c r="W618" s="30">
        <f>IFERROR(__xludf.DUMMYFUNCTION("""COMPUTED_VALUE"""),1.2133917600432294)</f>
        <v>1.21339176</v>
      </c>
      <c r="X618" s="30">
        <f>IFERROR(__xludf.DUMMYFUNCTION("""COMPUTED_VALUE"""),2.434006767238738)</f>
        <v>2.434006767</v>
      </c>
      <c r="Y618" s="30">
        <f>IFERROR(__xludf.DUMMYFUNCTION("""COMPUTED_VALUE"""),329.1489632496145)</f>
        <v>329.1489632</v>
      </c>
      <c r="Z618" s="30">
        <f>IFERROR(__xludf.DUMMYFUNCTION("""COMPUTED_VALUE"""),0.7512581292470836)</f>
        <v>0.7512581292</v>
      </c>
      <c r="AA618" s="30">
        <f>IFERROR(__xludf.DUMMYFUNCTION("""COMPUTED_VALUE"""),0.5304074724983201)</f>
        <v>0.5304074725</v>
      </c>
      <c r="AB618" s="30">
        <f>IFERROR(__xludf.DUMMYFUNCTION("""COMPUTED_VALUE"""),1.2168463024257614)</f>
        <v>1.216846302</v>
      </c>
      <c r="AC618" s="30">
        <f>IFERROR(__xludf.DUMMYFUNCTION("""COMPUTED_VALUE"""),2.41868335601569)</f>
        <v>2.418683356</v>
      </c>
      <c r="AD618" s="30">
        <f>IFERROR(__xludf.DUMMYFUNCTION("""COMPUTED_VALUE"""),1.114477969704231)</f>
        <v>1.11447797</v>
      </c>
      <c r="AE618" s="30">
        <f>IFERROR(__xludf.DUMMYFUNCTION("""COMPUTED_VALUE"""),1.2661686777997878)</f>
        <v>1.266168678</v>
      </c>
      <c r="AF618" s="30">
        <f>IFERROR(__xludf.DUMMYFUNCTION("""COMPUTED_VALUE"""),1.2875512972160392)</f>
        <v>1.287551297</v>
      </c>
      <c r="AG618" s="30">
        <f>IFERROR(__xludf.DUMMYFUNCTION("""COMPUTED_VALUE"""),0.8819279226702422)</f>
        <v>0.8819279227</v>
      </c>
      <c r="AH618" s="30">
        <f>IFERROR(__xludf.DUMMYFUNCTION("""COMPUTED_VALUE"""),1.179839655111454)</f>
        <v>1.179839655</v>
      </c>
      <c r="AI618" s="30">
        <f>IFERROR(__xludf.DUMMYFUNCTION("""COMPUTED_VALUE"""),1.0116622789570442)</f>
        <v>1.011662279</v>
      </c>
      <c r="AJ618" s="30">
        <f>IFERROR(__xludf.DUMMYFUNCTION("""COMPUTED_VALUE"""),0.8734259738752055)</f>
        <v>0.8734259739</v>
      </c>
      <c r="AK618" s="30">
        <f>IFERROR(__xludf.DUMMYFUNCTION("""COMPUTED_VALUE"""),0.9780098056130696)</f>
        <v>0.9780098056</v>
      </c>
      <c r="AL618" s="30">
        <f>IFERROR(__xludf.DUMMYFUNCTION("""COMPUTED_VALUE"""),1.1524505355879604)</f>
        <v>1.152450536</v>
      </c>
      <c r="AM618" s="30">
        <f>IFERROR(__xludf.DUMMYFUNCTION("""COMPUTED_VALUE"""),0.9051955245875537)</f>
        <v>0.9051955246</v>
      </c>
      <c r="AN618" s="30">
        <f>IFERROR(__xludf.DUMMYFUNCTION("""COMPUTED_VALUE"""),1.1275970577657348)</f>
        <v>1.127597058</v>
      </c>
      <c r="AO618" s="30">
        <f>IFERROR(__xludf.DUMMYFUNCTION("""COMPUTED_VALUE"""),1.3015358840431925)</f>
        <v>1.301535884</v>
      </c>
      <c r="AP618" s="30">
        <f>IFERROR(__xludf.DUMMYFUNCTION("""COMPUTED_VALUE"""),1.3246536445790809)</f>
        <v>1.324653645</v>
      </c>
      <c r="AQ618" s="30">
        <f>IFERROR(__xludf.DUMMYFUNCTION("""COMPUTED_VALUE"""),0.8900706215783927)</f>
        <v>0.8900706216</v>
      </c>
      <c r="AR618" s="30">
        <f>IFERROR(__xludf.DUMMYFUNCTION("""COMPUTED_VALUE"""),1.1992288585566655)</f>
        <v>1.199228859</v>
      </c>
      <c r="AS618" s="30">
        <f>IFERROR(__xludf.DUMMYFUNCTION("""COMPUTED_VALUE"""),117.0)</f>
        <v>117</v>
      </c>
      <c r="AT618" s="30">
        <f>IFERROR(__xludf.DUMMYFUNCTION("""COMPUTED_VALUE"""),0.6278329442162802)</f>
        <v>0.6278329442</v>
      </c>
      <c r="AU618" s="30">
        <f>IFERROR(__xludf.DUMMYFUNCTION("""COMPUTED_VALUE"""),3.970516258813759)</f>
        <v>3.970516259</v>
      </c>
      <c r="AV618" s="32">
        <f>IFERROR(__xludf.DUMMYFUNCTION("""COMPUTED_VALUE"""),79.41744673357401)</f>
        <v>79.41744673</v>
      </c>
      <c r="AW618" s="32">
        <f>IFERROR(__xludf.DUMMYFUNCTION("""COMPUTED_VALUE"""),8.357147073324345)</f>
        <v>8.357147073</v>
      </c>
      <c r="AX618" s="32">
        <f>IFERROR(__xludf.DUMMYFUNCTION("""COMPUTED_VALUE"""),66.82429336591969)</f>
        <v>66.82429337</v>
      </c>
      <c r="AY618" s="32">
        <f>IFERROR(__xludf.DUMMYFUNCTION("""COMPUTED_VALUE"""),3.992292693127995)</f>
        <v>3.992292693</v>
      </c>
      <c r="AZ618" s="30">
        <f>IFERROR(__xludf.DUMMYFUNCTION("""COMPUTED_VALUE"""),4.36485438019635)</f>
        <v>4.36485438</v>
      </c>
      <c r="BA618" s="30">
        <f>IFERROR(__xludf.DUMMYFUNCTION("""COMPUTED_VALUE"""),2300.0)</f>
        <v>2300</v>
      </c>
    </row>
    <row r="619">
      <c r="A619" s="71" t="str">
        <f>IFERROR(__xludf.DUMMYFUNCTION("""COMPUTED_VALUE"""),"Challenger")</f>
        <v>Challenger</v>
      </c>
      <c r="B619" s="71" t="str">
        <f>IFERROR(__xludf.DUMMYFUNCTION("""COMPUTED_VALUE"""),"RSC006322")</f>
        <v>RSC006322</v>
      </c>
      <c r="C619" s="30" t="str">
        <f>IFERROR(__xludf.DUMMYFUNCTION("""COMPUTED_VALUE"""),"Lorak")</f>
        <v>Lorak</v>
      </c>
      <c r="D619" s="30" t="str">
        <f>IFERROR(__xludf.DUMMYFUNCTION("""COMPUTED_VALUE"""),"Deceased")</f>
        <v>Deceased</v>
      </c>
      <c r="E619" s="30">
        <f>IFERROR(__xludf.DUMMYFUNCTION("""COMPUTED_VALUE"""),37.0)</f>
        <v>37</v>
      </c>
      <c r="F619" s="30">
        <f>IFERROR(__xludf.DUMMYFUNCTION("""COMPUTED_VALUE"""),24.0)</f>
        <v>24</v>
      </c>
      <c r="G619" s="42">
        <f>IFERROR(__xludf.DUMMYFUNCTION("""COMPUTED_VALUE"""),13.0)</f>
        <v>13</v>
      </c>
      <c r="H619" s="42">
        <f>IFERROR(__xludf.DUMMYFUNCTION("""COMPUTED_VALUE"""),0.6486486486486487)</f>
        <v>0.6486486486</v>
      </c>
      <c r="I619" s="42">
        <f>IFERROR(__xludf.DUMMYFUNCTION("""COMPUTED_VALUE"""),0.3238095238095238)</f>
        <v>0.3238095238</v>
      </c>
      <c r="J619" s="30">
        <f>IFERROR(__xludf.DUMMYFUNCTION("""COMPUTED_VALUE"""),367.94594594594594)</f>
        <v>367.9459459</v>
      </c>
      <c r="K619" s="30">
        <f>IFERROR(__xludf.DUMMYFUNCTION("""COMPUTED_VALUE"""),0.918918918918919)</f>
        <v>0.9189189189</v>
      </c>
      <c r="L619" s="30">
        <f>IFERROR(__xludf.DUMMYFUNCTION("""COMPUTED_VALUE"""),0.6756756756756757)</f>
        <v>0.6756756757</v>
      </c>
      <c r="M619" s="30">
        <f>IFERROR(__xludf.DUMMYFUNCTION("""COMPUTED_VALUE"""),1.4324324324324325)</f>
        <v>1.432432432</v>
      </c>
      <c r="N619" s="30">
        <f>IFERROR(__xludf.DUMMYFUNCTION("""COMPUTED_VALUE"""),2.8378378378378377)</f>
        <v>2.837837838</v>
      </c>
      <c r="O619" s="30">
        <f>IFERROR(__xludf.DUMMYFUNCTION("""COMPUTED_VALUE"""),313.36936936936945)</f>
        <v>313.3693694</v>
      </c>
      <c r="P619" s="30">
        <f>IFERROR(__xludf.DUMMYFUNCTION("""COMPUTED_VALUE"""),0.4954954954954954)</f>
        <v>0.4954954955</v>
      </c>
      <c r="Q619" s="30">
        <f>IFERROR(__xludf.DUMMYFUNCTION("""COMPUTED_VALUE"""),0.3783783783783784)</f>
        <v>0.3783783784</v>
      </c>
      <c r="R619" s="30">
        <f>IFERROR(__xludf.DUMMYFUNCTION("""COMPUTED_VALUE"""),1.4864864864864868)</f>
        <v>1.486486486</v>
      </c>
      <c r="S619" s="30">
        <f>IFERROR(__xludf.DUMMYFUNCTION("""COMPUTED_VALUE"""),2.144144144144145)</f>
        <v>2.144144144</v>
      </c>
      <c r="T619" s="30">
        <f>IFERROR(__xludf.DUMMYFUNCTION("""COMPUTED_VALUE"""),329.19667723824625)</f>
        <v>329.1966772</v>
      </c>
      <c r="U619" s="30">
        <f>IFERROR(__xludf.DUMMYFUNCTION("""COMPUTED_VALUE"""),0.7431072787336026)</f>
        <v>0.7431072787</v>
      </c>
      <c r="V619" s="30">
        <f>IFERROR(__xludf.DUMMYFUNCTION("""COMPUTED_VALUE"""),0.4985735174491364)</f>
        <v>0.4985735174</v>
      </c>
      <c r="W619" s="30">
        <f>IFERROR(__xludf.DUMMYFUNCTION("""COMPUTED_VALUE"""),1.2532759658631427)</f>
        <v>1.253275966</v>
      </c>
      <c r="X619" s="30">
        <f>IFERROR(__xludf.DUMMYFUNCTION("""COMPUTED_VALUE"""),2.326080110511184)</f>
        <v>2.326080111</v>
      </c>
      <c r="Y619" s="30">
        <f>IFERROR(__xludf.DUMMYFUNCTION("""COMPUTED_VALUE"""),342.8303772004042)</f>
        <v>342.8303772</v>
      </c>
      <c r="Z619" s="30">
        <f>IFERROR(__xludf.DUMMYFUNCTION("""COMPUTED_VALUE"""),0.8323346597168242)</f>
        <v>0.8323346597</v>
      </c>
      <c r="AA619" s="30">
        <f>IFERROR(__xludf.DUMMYFUNCTION("""COMPUTED_VALUE"""),0.5808918209134352)</f>
        <v>0.5808918209</v>
      </c>
      <c r="AB619" s="30">
        <f>IFERROR(__xludf.DUMMYFUNCTION("""COMPUTED_VALUE"""),1.1665813554163316)</f>
        <v>1.166581355</v>
      </c>
      <c r="AC619" s="30">
        <f>IFERROR(__xludf.DUMMYFUNCTION("""COMPUTED_VALUE"""),2.5874289903878607)</f>
        <v>2.58742899</v>
      </c>
      <c r="AD619" s="30">
        <f>IFERROR(__xludf.DUMMYFUNCTION("""COMPUTED_VALUE"""),1.0732594612841446)</f>
        <v>1.073259461</v>
      </c>
      <c r="AE619" s="30">
        <f>IFERROR(__xludf.DUMMYFUNCTION("""COMPUTED_VALUE"""),1.1040257764005075)</f>
        <v>1.104025776</v>
      </c>
      <c r="AF619" s="30">
        <f>IFERROR(__xludf.DUMMYFUNCTION("""COMPUTED_VALUE"""),1.1631695461182354)</f>
        <v>1.163169546</v>
      </c>
      <c r="AG619" s="30">
        <f>IFERROR(__xludf.DUMMYFUNCTION("""COMPUTED_VALUE"""),1.2278890158682705)</f>
        <v>1.227889016</v>
      </c>
      <c r="AH619" s="30">
        <f>IFERROR(__xludf.DUMMYFUNCTION("""COMPUTED_VALUE"""),1.0967790221027245)</f>
        <v>1.096779022</v>
      </c>
      <c r="AI619" s="30">
        <f>IFERROR(__xludf.DUMMYFUNCTION("""COMPUTED_VALUE"""),0.9519214227748044)</f>
        <v>0.9519214228</v>
      </c>
      <c r="AJ619" s="30">
        <f>IFERROR(__xludf.DUMMYFUNCTION("""COMPUTED_VALUE"""),0.6667886450256748)</f>
        <v>0.666788645</v>
      </c>
      <c r="AK619" s="30">
        <f>IFERROR(__xludf.DUMMYFUNCTION("""COMPUTED_VALUE"""),0.758921934550966)</f>
        <v>0.7589219346</v>
      </c>
      <c r="AL619" s="30">
        <f>IFERROR(__xludf.DUMMYFUNCTION("""COMPUTED_VALUE"""),1.186080741173976)</f>
        <v>1.186080741</v>
      </c>
      <c r="AM619" s="30">
        <f>IFERROR(__xludf.DUMMYFUNCTION("""COMPUTED_VALUE"""),0.9217843076234136)</f>
        <v>0.9217843076</v>
      </c>
      <c r="AN619" s="30">
        <f>IFERROR(__xludf.DUMMYFUNCTION("""COMPUTED_VALUE"""),1.1310296149391377)</f>
        <v>1.131029615</v>
      </c>
      <c r="AO619" s="30">
        <f>IFERROR(__xludf.DUMMYFUNCTION("""COMPUTED_VALUE"""),1.2573395858324399)</f>
        <v>1.257339586</v>
      </c>
      <c r="AP619" s="30">
        <f>IFERROR(__xludf.DUMMYFUNCTION("""COMPUTED_VALUE"""),1.3105887892794958)</f>
        <v>1.310588789</v>
      </c>
      <c r="AQ619" s="30">
        <f>IFERROR(__xludf.DUMMYFUNCTION("""COMPUTED_VALUE"""),1.1880365237652624)</f>
        <v>1.188036524</v>
      </c>
      <c r="AR619" s="30">
        <f>IFERROR(__xludf.DUMMYFUNCTION("""COMPUTED_VALUE"""),1.1925803271162958)</f>
        <v>1.192580327</v>
      </c>
      <c r="AS619" s="30">
        <f>IFERROR(__xludf.DUMMYFUNCTION("""COMPUTED_VALUE"""),95.0)</f>
        <v>95</v>
      </c>
      <c r="AT619" s="30">
        <f>IFERROR(__xludf.DUMMYFUNCTION("""COMPUTED_VALUE"""),0.6935460405369869)</f>
        <v>0.6935460405</v>
      </c>
      <c r="AU619" s="30">
        <f>IFERROR(__xludf.DUMMYFUNCTION("""COMPUTED_VALUE"""),3.902353322274015)</f>
        <v>3.902353322</v>
      </c>
      <c r="AV619" s="32">
        <f>IFERROR(__xludf.DUMMYFUNCTION("""COMPUTED_VALUE"""),77.63851264512071)</f>
        <v>77.63851265</v>
      </c>
      <c r="AW619" s="32">
        <f>IFERROR(__xludf.DUMMYFUNCTION("""COMPUTED_VALUE"""),7.437005229445242)</f>
        <v>7.437005229</v>
      </c>
      <c r="AX619" s="32">
        <f>IFERROR(__xludf.DUMMYFUNCTION("""COMPUTED_VALUE"""),62.1962313367521)</f>
        <v>62.19623134</v>
      </c>
      <c r="AY619" s="32">
        <f>IFERROR(__xludf.DUMMYFUNCTION("""COMPUTED_VALUE"""),3.196641626980291)</f>
        <v>3.196641627</v>
      </c>
      <c r="AZ619" s="30">
        <f>IFERROR(__xludf.DUMMYFUNCTION("""COMPUTED_VALUE"""),4.240363602464951)</f>
        <v>4.240363602</v>
      </c>
      <c r="BA619" s="30">
        <f>IFERROR(__xludf.DUMMYFUNCTION("""COMPUTED_VALUE"""),2300.0)</f>
        <v>2300</v>
      </c>
    </row>
    <row r="620">
      <c r="A620" s="71" t="str">
        <f>IFERROR(__xludf.DUMMYFUNCTION("""COMPUTED_VALUE"""),"Challenger")</f>
        <v>Challenger</v>
      </c>
      <c r="B620" s="71" t="str">
        <f>IFERROR(__xludf.DUMMYFUNCTION("""COMPUTED_VALUE"""),"RSC007589")</f>
        <v>RSC007589</v>
      </c>
      <c r="C620" s="30" t="str">
        <f>IFERROR(__xludf.DUMMYFUNCTION("""COMPUTED_VALUE"""),"LilBoneSamaTTV")</f>
        <v>LilBoneSamaTTV</v>
      </c>
      <c r="D620" s="30" t="str">
        <f>IFERROR(__xludf.DUMMYFUNCTION("""COMPUTED_VALUE"""),"Hydras")</f>
        <v>Hydras</v>
      </c>
      <c r="E620" s="30">
        <f>IFERROR(__xludf.DUMMYFUNCTION("""COMPUTED_VALUE"""),47.0)</f>
        <v>47</v>
      </c>
      <c r="F620" s="30">
        <f>IFERROR(__xludf.DUMMYFUNCTION("""COMPUTED_VALUE"""),25.0)</f>
        <v>25</v>
      </c>
      <c r="G620" s="42">
        <f>IFERROR(__xludf.DUMMYFUNCTION("""COMPUTED_VALUE"""),22.0)</f>
        <v>22</v>
      </c>
      <c r="H620" s="42">
        <f>IFERROR(__xludf.DUMMYFUNCTION("""COMPUTED_VALUE"""),0.5319148936170213)</f>
        <v>0.5319148936</v>
      </c>
      <c r="I620" s="42">
        <f>IFERROR(__xludf.DUMMYFUNCTION("""COMPUTED_VALUE"""),0.3428571428571429)</f>
        <v>0.3428571429</v>
      </c>
      <c r="J620" s="30">
        <f>IFERROR(__xludf.DUMMYFUNCTION("""COMPUTED_VALUE"""),364.8510638297872)</f>
        <v>364.8510638</v>
      </c>
      <c r="K620" s="30">
        <f>IFERROR(__xludf.DUMMYFUNCTION("""COMPUTED_VALUE"""),0.7659574468085106)</f>
        <v>0.7659574468</v>
      </c>
      <c r="L620" s="30">
        <f>IFERROR(__xludf.DUMMYFUNCTION("""COMPUTED_VALUE"""),0.44680851063829785)</f>
        <v>0.4468085106</v>
      </c>
      <c r="M620" s="30">
        <f>IFERROR(__xludf.DUMMYFUNCTION("""COMPUTED_VALUE"""),1.5957446808510638)</f>
        <v>1.595744681</v>
      </c>
      <c r="N620" s="30">
        <f>IFERROR(__xludf.DUMMYFUNCTION("""COMPUTED_VALUE"""),2.234042553191489)</f>
        <v>2.234042553</v>
      </c>
      <c r="O620" s="30">
        <f>IFERROR(__xludf.DUMMYFUNCTION("""COMPUTED_VALUE"""),331.58156028368796)</f>
        <v>331.5815603</v>
      </c>
      <c r="P620" s="30">
        <f>IFERROR(__xludf.DUMMYFUNCTION("""COMPUTED_VALUE"""),0.7234042553191488)</f>
        <v>0.7234042553</v>
      </c>
      <c r="Q620" s="30">
        <f>IFERROR(__xludf.DUMMYFUNCTION("""COMPUTED_VALUE"""),0.4964539007092199)</f>
        <v>0.4964539007</v>
      </c>
      <c r="R620" s="30">
        <f>IFERROR(__xludf.DUMMYFUNCTION("""COMPUTED_VALUE"""),1.2553191489361701)</f>
        <v>1.255319149</v>
      </c>
      <c r="S620" s="30">
        <f>IFERROR(__xludf.DUMMYFUNCTION("""COMPUTED_VALUE"""),2.5319148936170217)</f>
        <v>2.531914894</v>
      </c>
      <c r="T620" s="30">
        <f>IFERROR(__xludf.DUMMYFUNCTION("""COMPUTED_VALUE"""),334.6211330122683)</f>
        <v>334.621133</v>
      </c>
      <c r="U620" s="30">
        <f>IFERROR(__xludf.DUMMYFUNCTION("""COMPUTED_VALUE"""),0.7587468686770936)</f>
        <v>0.7587468687</v>
      </c>
      <c r="V620" s="30">
        <f>IFERROR(__xludf.DUMMYFUNCTION("""COMPUTED_VALUE"""),0.5283042921080591)</f>
        <v>0.5283042921</v>
      </c>
      <c r="W620" s="30">
        <f>IFERROR(__xludf.DUMMYFUNCTION("""COMPUTED_VALUE"""),1.250641680468533)</f>
        <v>1.25064168</v>
      </c>
      <c r="X620" s="30">
        <f>IFERROR(__xludf.DUMMYFUNCTION("""COMPUTED_VALUE"""),2.4542568756522325)</f>
        <v>2.454256876</v>
      </c>
      <c r="Y620" s="30">
        <f>IFERROR(__xludf.DUMMYFUNCTION("""COMPUTED_VALUE"""),336.20356734986433)</f>
        <v>336.2035673</v>
      </c>
      <c r="Z620" s="30">
        <f>IFERROR(__xludf.DUMMYFUNCTION("""COMPUTED_VALUE"""),0.7420015823447631)</f>
        <v>0.7420015823</v>
      </c>
      <c r="AA620" s="30">
        <f>IFERROR(__xludf.DUMMYFUNCTION("""COMPUTED_VALUE"""),0.5088407397540972)</f>
        <v>0.5088407398</v>
      </c>
      <c r="AB620" s="30">
        <f>IFERROR(__xludf.DUMMYFUNCTION("""COMPUTED_VALUE"""),1.2674611085890013)</f>
        <v>1.267461109</v>
      </c>
      <c r="AC620" s="30">
        <f>IFERROR(__xludf.DUMMYFUNCTION("""COMPUTED_VALUE"""),2.4667770491651915)</f>
        <v>2.466777049</v>
      </c>
      <c r="AD620" s="30">
        <f>IFERROR(__xludf.DUMMYFUNCTION("""COMPUTED_VALUE"""),1.085208782005907)</f>
        <v>1.085208782</v>
      </c>
      <c r="AE620" s="30">
        <f>IFERROR(__xludf.DUMMYFUNCTION("""COMPUTED_VALUE"""),1.0322854627722569)</f>
        <v>1.032285463</v>
      </c>
      <c r="AF620" s="30">
        <f>IFERROR(__xludf.DUMMYFUNCTION("""COMPUTED_VALUE"""),0.8780910719810346)</f>
        <v>0.878091072</v>
      </c>
      <c r="AG620" s="30">
        <f>IFERROR(__xludf.DUMMYFUNCTION("""COMPUTED_VALUE"""),1.2590087932777074)</f>
        <v>1.259008793</v>
      </c>
      <c r="AH620" s="30">
        <f>IFERROR(__xludf.DUMMYFUNCTION("""COMPUTED_VALUE"""),0.9056523993311578)</f>
        <v>0.9056523993</v>
      </c>
      <c r="AI620" s="30">
        <f>IFERROR(__xludf.DUMMYFUNCTION("""COMPUTED_VALUE"""),0.9909163754804785)</f>
        <v>0.9909163755</v>
      </c>
      <c r="AJ620" s="30">
        <f>IFERROR(__xludf.DUMMYFUNCTION("""COMPUTED_VALUE"""),0.9534197572115637)</f>
        <v>0.9534197572</v>
      </c>
      <c r="AK620" s="30">
        <f>IFERROR(__xludf.DUMMYFUNCTION("""COMPUTED_VALUE"""),0.9397120336241287)</f>
        <v>0.9397120336</v>
      </c>
      <c r="AL620" s="30">
        <f>IFERROR(__xludf.DUMMYFUNCTION("""COMPUTED_VALUE"""),1.003740054837997)</f>
        <v>1.003740055</v>
      </c>
      <c r="AM620" s="30">
        <f>IFERROR(__xludf.DUMMYFUNCTION("""COMPUTED_VALUE"""),1.0316421719075968)</f>
        <v>1.031642172</v>
      </c>
      <c r="AN620" s="30">
        <f>IFERROR(__xludf.DUMMYFUNCTION("""COMPUTED_VALUE"""),1.1215162519936053)</f>
        <v>1.121516252</v>
      </c>
      <c r="AO620" s="30">
        <f>IFERROR(__xludf.DUMMYFUNCTION("""COMPUTED_VALUE"""),1.0480452617827345)</f>
        <v>1.048045262</v>
      </c>
      <c r="AP620" s="30">
        <f>IFERROR(__xludf.DUMMYFUNCTION("""COMPUTED_VALUE"""),0.8666616929958879)</f>
        <v>0.866661693</v>
      </c>
      <c r="AQ620" s="30">
        <f>IFERROR(__xludf.DUMMYFUNCTION("""COMPUTED_VALUE"""),1.3234850876951438)</f>
        <v>1.323485088</v>
      </c>
      <c r="AR620" s="30">
        <f>IFERROR(__xludf.DUMMYFUNCTION("""COMPUTED_VALUE"""),0.9388398319851691)</f>
        <v>0.938839832</v>
      </c>
      <c r="AS620" s="30">
        <f>IFERROR(__xludf.DUMMYFUNCTION("""COMPUTED_VALUE"""),105.0)</f>
        <v>105</v>
      </c>
      <c r="AT620" s="30">
        <f>IFERROR(__xludf.DUMMYFUNCTION("""COMPUTED_VALUE"""),0.5110884671392482)</f>
        <v>0.5110884671</v>
      </c>
      <c r="AU620" s="30">
        <f>IFERROR(__xludf.DUMMYFUNCTION("""COMPUTED_VALUE"""),2.9423395700536368)</f>
        <v>2.94233957</v>
      </c>
      <c r="AV620" s="32">
        <f>IFERROR(__xludf.DUMMYFUNCTION("""COMPUTED_VALUE"""),52.583823456179594)</f>
        <v>52.58382346</v>
      </c>
      <c r="AW620" s="32">
        <f>IFERROR(__xludf.DUMMYFUNCTION("""COMPUTED_VALUE"""),2.179402147587326)</f>
        <v>2.179402148</v>
      </c>
      <c r="AX620" s="32">
        <f>IFERROR(__xludf.DUMMYFUNCTION("""COMPUTED_VALUE"""),49.87701077566731)</f>
        <v>49.87701078</v>
      </c>
      <c r="AY620" s="32">
        <f>IFERROR(__xludf.DUMMYFUNCTION("""COMPUTED_VALUE"""),-2.007881400922277)</f>
        <v>-2.007881401</v>
      </c>
      <c r="AZ620" s="30">
        <f>IFERROR(__xludf.DUMMYFUNCTION("""COMPUTED_VALUE"""),4.187283548509603)</f>
        <v>4.187283549</v>
      </c>
      <c r="BA620" s="30">
        <f>IFERROR(__xludf.DUMMYFUNCTION("""COMPUTED_VALUE"""),2300.0)</f>
        <v>2300</v>
      </c>
    </row>
    <row r="621">
      <c r="A621" s="71" t="str">
        <f>IFERROR(__xludf.DUMMYFUNCTION("""COMPUTED_VALUE"""),"Challenger")</f>
        <v>Challenger</v>
      </c>
      <c r="B621" s="71" t="str">
        <f>IFERROR(__xludf.DUMMYFUNCTION("""COMPUTED_VALUE"""),"RSC005696")</f>
        <v>RSC005696</v>
      </c>
      <c r="C621" s="30" t="str">
        <f>IFERROR(__xludf.DUMMYFUNCTION("""COMPUTED_VALUE"""),"Jack.flv")</f>
        <v>Jack.flv</v>
      </c>
      <c r="D621" s="30"/>
      <c r="E621" s="30">
        <f>IFERROR(__xludf.DUMMYFUNCTION("""COMPUTED_VALUE"""),2.0)</f>
        <v>2</v>
      </c>
      <c r="F621" s="30">
        <f>IFERROR(__xludf.DUMMYFUNCTION("""COMPUTED_VALUE"""),1.0)</f>
        <v>1</v>
      </c>
      <c r="G621" s="42">
        <f>IFERROR(__xludf.DUMMYFUNCTION("""COMPUTED_VALUE"""),1.0)</f>
        <v>1</v>
      </c>
      <c r="H621" s="42">
        <f>IFERROR(__xludf.DUMMYFUNCTION("""COMPUTED_VALUE"""),0.5)</f>
        <v>0.5</v>
      </c>
      <c r="I621" s="42">
        <f>IFERROR(__xludf.DUMMYFUNCTION("""COMPUTED_VALUE"""),0.3333333333333333)</f>
        <v>0.3333333333</v>
      </c>
      <c r="J621" s="30">
        <f>IFERROR(__xludf.DUMMYFUNCTION("""COMPUTED_VALUE"""),330.0)</f>
        <v>330</v>
      </c>
      <c r="K621" s="30">
        <f>IFERROR(__xludf.DUMMYFUNCTION("""COMPUTED_VALUE"""),1.0)</f>
        <v>1</v>
      </c>
      <c r="L621" s="30">
        <f>IFERROR(__xludf.DUMMYFUNCTION("""COMPUTED_VALUE"""),0.5)</f>
        <v>0.5</v>
      </c>
      <c r="M621" s="30">
        <f>IFERROR(__xludf.DUMMYFUNCTION("""COMPUTED_VALUE"""),0.5)</f>
        <v>0.5</v>
      </c>
      <c r="N621" s="30">
        <f>IFERROR(__xludf.DUMMYFUNCTION("""COMPUTED_VALUE"""),3.0)</f>
        <v>3</v>
      </c>
      <c r="O621" s="30">
        <f>IFERROR(__xludf.DUMMYFUNCTION("""COMPUTED_VALUE"""),336.0)</f>
        <v>336</v>
      </c>
      <c r="P621" s="30">
        <f>IFERROR(__xludf.DUMMYFUNCTION("""COMPUTED_VALUE"""),0.6666666666666666)</f>
        <v>0.6666666667</v>
      </c>
      <c r="Q621" s="30">
        <f>IFERROR(__xludf.DUMMYFUNCTION("""COMPUTED_VALUE"""),0.3333333333333333)</f>
        <v>0.3333333333</v>
      </c>
      <c r="R621" s="30">
        <f>IFERROR(__xludf.DUMMYFUNCTION("""COMPUTED_VALUE"""),1.5)</f>
        <v>1.5</v>
      </c>
      <c r="S621" s="30">
        <f>IFERROR(__xludf.DUMMYFUNCTION("""COMPUTED_VALUE"""),1.8333333333333335)</f>
        <v>1.833333333</v>
      </c>
      <c r="T621" s="30">
        <f>IFERROR(__xludf.DUMMYFUNCTION("""COMPUTED_VALUE"""),349.4618055555556)</f>
        <v>349.4618056</v>
      </c>
      <c r="U621" s="30">
        <f>IFERROR(__xludf.DUMMYFUNCTION("""COMPUTED_VALUE"""),0.821886446886447)</f>
        <v>0.8218864469</v>
      </c>
      <c r="V621" s="30">
        <f>IFERROR(__xludf.DUMMYFUNCTION("""COMPUTED_VALUE"""),0.5220161782661783)</f>
        <v>0.5220161783</v>
      </c>
      <c r="W621" s="30">
        <f>IFERROR(__xludf.DUMMYFUNCTION("""COMPUTED_VALUE"""),1.1602564102564101)</f>
        <v>1.16025641</v>
      </c>
      <c r="X621" s="30">
        <f>IFERROR(__xludf.DUMMYFUNCTION("""COMPUTED_VALUE"""),2.7256562881562885)</f>
        <v>2.725656288</v>
      </c>
      <c r="Y621" s="30">
        <f>IFERROR(__xludf.DUMMYFUNCTION("""COMPUTED_VALUE"""),316.5898962148961)</f>
        <v>316.5898962</v>
      </c>
      <c r="Z621" s="30">
        <f>IFERROR(__xludf.DUMMYFUNCTION("""COMPUTED_VALUE"""),0.6202304639804638)</f>
        <v>0.620230464</v>
      </c>
      <c r="AA621" s="30">
        <f>IFERROR(__xludf.DUMMYFUNCTION("""COMPUTED_VALUE"""),0.41035816035816036)</f>
        <v>0.4103581604</v>
      </c>
      <c r="AB621" s="30">
        <f>IFERROR(__xludf.DUMMYFUNCTION("""COMPUTED_VALUE"""),1.3856583231583233)</f>
        <v>1.385658323</v>
      </c>
      <c r="AC621" s="30">
        <f>IFERROR(__xludf.DUMMYFUNCTION("""COMPUTED_VALUE"""),2.1517857142857144)</f>
        <v>2.151785714</v>
      </c>
      <c r="AD621" s="30">
        <f>IFERROR(__xludf.DUMMYFUNCTION("""COMPUTED_VALUE"""),1.0423579651322838)</f>
        <v>1.042357965</v>
      </c>
      <c r="AE621" s="30">
        <f>IFERROR(__xludf.DUMMYFUNCTION("""COMPUTED_VALUE"""),1.6123039064903113)</f>
        <v>1.612303906</v>
      </c>
      <c r="AF621" s="30">
        <f>IFERROR(__xludf.DUMMYFUNCTION("""COMPUTED_VALUE"""),1.2184478056037689)</f>
        <v>1.218447806</v>
      </c>
      <c r="AG621" s="30">
        <f>IFERROR(__xludf.DUMMYFUNCTION("""COMPUTED_VALUE"""),0.3608393148899455)</f>
        <v>0.3608393149</v>
      </c>
      <c r="AH621" s="30">
        <f>IFERROR(__xludf.DUMMYFUNCTION("""COMPUTED_VALUE"""),1.3941908713692945)</f>
        <v>1.394190871</v>
      </c>
      <c r="AI621" s="30">
        <f>IFERROR(__xludf.DUMMYFUNCTION("""COMPUTED_VALUE"""),0.9614784639077946)</f>
        <v>0.9614784639</v>
      </c>
      <c r="AJ621" s="30">
        <f>IFERROR(__xludf.DUMMYFUNCTION("""COMPUTED_VALUE"""),0.8111420612813369)</f>
        <v>0.8111420613</v>
      </c>
      <c r="AK621" s="30">
        <f>IFERROR(__xludf.DUMMYFUNCTION("""COMPUTED_VALUE"""),0.6385498136101161)</f>
        <v>0.6385498136</v>
      </c>
      <c r="AL621" s="30">
        <f>IFERROR(__xludf.DUMMYFUNCTION("""COMPUTED_VALUE"""),1.292817679558011)</f>
        <v>1.29281768</v>
      </c>
      <c r="AM621" s="30">
        <f>IFERROR(__xludf.DUMMYFUNCTION("""COMPUTED_VALUE"""),0.6726208808130582)</f>
        <v>0.6726208808</v>
      </c>
      <c r="AN621" s="30">
        <f>IFERROR(__xludf.DUMMYFUNCTION("""COMPUTED_VALUE"""),1.0143875127373931)</f>
        <v>1.014387513</v>
      </c>
      <c r="AO621" s="30">
        <f>IFERROR(__xludf.DUMMYFUNCTION("""COMPUTED_VALUE"""),1.3682813139941257)</f>
        <v>1.368281314</v>
      </c>
      <c r="AP621" s="30">
        <f>IFERROR(__xludf.DUMMYFUNCTION("""COMPUTED_VALUE"""),0.969835704066827)</f>
        <v>0.9698357041</v>
      </c>
      <c r="AQ621" s="30">
        <f>IFERROR(__xludf.DUMMYFUNCTION("""COMPUTED_VALUE"""),0.4146919941444784)</f>
        <v>0.4146919941</v>
      </c>
      <c r="AR621" s="30">
        <f>IFERROR(__xludf.DUMMYFUNCTION("""COMPUTED_VALUE"""),1.2607277743800842)</f>
        <v>1.260727774</v>
      </c>
      <c r="AS621" s="30">
        <f>IFERROR(__xludf.DUMMYFUNCTION("""COMPUTED_VALUE"""),4.0)</f>
        <v>4</v>
      </c>
      <c r="AT621" s="30">
        <f>IFERROR(__xludf.DUMMYFUNCTION("""COMPUTED_VALUE"""),0.5)</f>
        <v>0.5</v>
      </c>
      <c r="AU621" s="30">
        <f>IFERROR(__xludf.DUMMYFUNCTION("""COMPUTED_VALUE"""),4.317883658254794)</f>
        <v>4.317883658</v>
      </c>
      <c r="AV621" s="32">
        <f>IFERROR(__xludf.DUMMYFUNCTION("""COMPUTED_VALUE"""),88.48313168572875)</f>
        <v>88.48313169</v>
      </c>
      <c r="AW621" s="32">
        <f>IFERROR(__xludf.DUMMYFUNCTION("""COMPUTED_VALUE"""),16.164893764924273)</f>
        <v>16.16489376</v>
      </c>
      <c r="AX621" s="32">
        <f>IFERROR(__xludf.DUMMYFUNCTION("""COMPUTED_VALUE"""),84.71624214982134)</f>
        <v>84.71624215</v>
      </c>
      <c r="AY621" s="32">
        <f>IFERROR(__xludf.DUMMYFUNCTION("""COMPUTED_VALUE"""),12.125672840790148)</f>
        <v>12.12567284</v>
      </c>
      <c r="AZ621" s="30">
        <f>IFERROR(__xludf.DUMMYFUNCTION("""COMPUTED_VALUE"""),4.039220924134124)</f>
        <v>4.039220924</v>
      </c>
      <c r="BA621" s="30">
        <f>IFERROR(__xludf.DUMMYFUNCTION("""COMPUTED_VALUE"""),2300.0)</f>
        <v>2300</v>
      </c>
    </row>
    <row r="622">
      <c r="A622" s="71" t="str">
        <f>IFERROR(__xludf.DUMMYFUNCTION("""COMPUTED_VALUE"""),"Challenger")</f>
        <v>Challenger</v>
      </c>
      <c r="B622" s="71" t="str">
        <f>IFERROR(__xludf.DUMMYFUNCTION("""COMPUTED_VALUE"""),"RSC001995")</f>
        <v>RSC001995</v>
      </c>
      <c r="C622" s="30" t="str">
        <f>IFERROR(__xludf.DUMMYFUNCTION("""COMPUTED_VALUE"""),"Tvveedle")</f>
        <v>Tvveedle</v>
      </c>
      <c r="D622" s="30"/>
      <c r="E622" s="30">
        <f>IFERROR(__xludf.DUMMYFUNCTION("""COMPUTED_VALUE"""),8.0)</f>
        <v>8</v>
      </c>
      <c r="F622" s="30">
        <f>IFERROR(__xludf.DUMMYFUNCTION("""COMPUTED_VALUE"""),5.0)</f>
        <v>5</v>
      </c>
      <c r="G622" s="42">
        <f>IFERROR(__xludf.DUMMYFUNCTION("""COMPUTED_VALUE"""),3.0)</f>
        <v>3</v>
      </c>
      <c r="H622" s="42">
        <f>IFERROR(__xludf.DUMMYFUNCTION("""COMPUTED_VALUE"""),0.625)</f>
        <v>0.625</v>
      </c>
      <c r="I622" s="42">
        <f>IFERROR(__xludf.DUMMYFUNCTION("""COMPUTED_VALUE"""),0.3181818181818182)</f>
        <v>0.3181818182</v>
      </c>
      <c r="J622" s="30">
        <f>IFERROR(__xludf.DUMMYFUNCTION("""COMPUTED_VALUE"""),322.625)</f>
        <v>322.625</v>
      </c>
      <c r="K622" s="30">
        <f>IFERROR(__xludf.DUMMYFUNCTION("""COMPUTED_VALUE"""),0.875)</f>
        <v>0.875</v>
      </c>
      <c r="L622" s="30">
        <f>IFERROR(__xludf.DUMMYFUNCTION("""COMPUTED_VALUE"""),0.375)</f>
        <v>0.375</v>
      </c>
      <c r="M622" s="30">
        <f>IFERROR(__xludf.DUMMYFUNCTION("""COMPUTED_VALUE"""),0.875)</f>
        <v>0.875</v>
      </c>
      <c r="N622" s="30">
        <f>IFERROR(__xludf.DUMMYFUNCTION("""COMPUTED_VALUE"""),2.75)</f>
        <v>2.75</v>
      </c>
      <c r="O622" s="30">
        <f>IFERROR(__xludf.DUMMYFUNCTION("""COMPUTED_VALUE"""),265.8333333333333)</f>
        <v>265.8333333</v>
      </c>
      <c r="P622" s="30">
        <f>IFERROR(__xludf.DUMMYFUNCTION("""COMPUTED_VALUE"""),0.41666666666666674)</f>
        <v>0.4166666667</v>
      </c>
      <c r="Q622" s="30">
        <f>IFERROR(__xludf.DUMMYFUNCTION("""COMPUTED_VALUE"""),0.29166666666666663)</f>
        <v>0.2916666667</v>
      </c>
      <c r="R622" s="30">
        <f>IFERROR(__xludf.DUMMYFUNCTION("""COMPUTED_VALUE"""),1.0416666666666667)</f>
        <v>1.041666667</v>
      </c>
      <c r="S622" s="30">
        <f>IFERROR(__xludf.DUMMYFUNCTION("""COMPUTED_VALUE"""),1.6666666666666667)</f>
        <v>1.666666667</v>
      </c>
      <c r="T622" s="30">
        <f>IFERROR(__xludf.DUMMYFUNCTION("""COMPUTED_VALUE"""),318.7239201776583)</f>
        <v>318.7239202</v>
      </c>
      <c r="U622" s="30">
        <f>IFERROR(__xludf.DUMMYFUNCTION("""COMPUTED_VALUE"""),0.6302161223953376)</f>
        <v>0.6302161224</v>
      </c>
      <c r="V622" s="30">
        <f>IFERROR(__xludf.DUMMYFUNCTION("""COMPUTED_VALUE"""),0.4417183843217778)</f>
        <v>0.4417183843</v>
      </c>
      <c r="W622" s="30">
        <f>IFERROR(__xludf.DUMMYFUNCTION("""COMPUTED_VALUE"""),1.298916819993172)</f>
        <v>1.29891682</v>
      </c>
      <c r="X622" s="30">
        <f>IFERROR(__xludf.DUMMYFUNCTION("""COMPUTED_VALUE"""),2.1431693968809555)</f>
        <v>2.143169397</v>
      </c>
      <c r="Y622" s="30">
        <f>IFERROR(__xludf.DUMMYFUNCTION("""COMPUTED_VALUE"""),345.4750508776667)</f>
        <v>345.4750509</v>
      </c>
      <c r="Z622" s="30">
        <f>IFERROR(__xludf.DUMMYFUNCTION("""COMPUTED_VALUE"""),0.8438500461741889)</f>
        <v>0.8438500462</v>
      </c>
      <c r="AA622" s="30">
        <f>IFERROR(__xludf.DUMMYFUNCTION("""COMPUTED_VALUE"""),0.6152865518807548)</f>
        <v>0.6152865519</v>
      </c>
      <c r="AB622" s="30">
        <f>IFERROR(__xludf.DUMMYFUNCTION("""COMPUTED_VALUE"""),1.0962486481221014)</f>
        <v>1.096248648</v>
      </c>
      <c r="AC622" s="30">
        <f>IFERROR(__xludf.DUMMYFUNCTION("""COMPUTED_VALUE"""),2.780288565106522)</f>
        <v>2.780288565</v>
      </c>
      <c r="AD622" s="30">
        <f>IFERROR(__xludf.DUMMYFUNCTION("""COMPUTED_VALUE"""),0.9338590418624528)</f>
        <v>0.9338590419</v>
      </c>
      <c r="AE622" s="30">
        <f>IFERROR(__xludf.DUMMYFUNCTION("""COMPUTED_VALUE"""),1.0369140867705553)</f>
        <v>1.036914087</v>
      </c>
      <c r="AF622" s="30">
        <f>IFERROR(__xludf.DUMMYFUNCTION("""COMPUTED_VALUE"""),0.6094721213290497)</f>
        <v>0.6094721213</v>
      </c>
      <c r="AG622" s="30">
        <f>IFERROR(__xludf.DUMMYFUNCTION("""COMPUTED_VALUE"""),0.7981765829302455)</f>
        <v>0.7981765829</v>
      </c>
      <c r="AH622" s="30">
        <f>IFERROR(__xludf.DUMMYFUNCTION("""COMPUTED_VALUE"""),0.9891059635008204)</f>
        <v>0.9891059635</v>
      </c>
      <c r="AI622" s="30">
        <f>IFERROR(__xludf.DUMMYFUNCTION("""COMPUTED_VALUE"""),0.8340551697066116)</f>
        <v>0.8340551697</v>
      </c>
      <c r="AJ622" s="30">
        <f>IFERROR(__xludf.DUMMYFUNCTION("""COMPUTED_VALUE"""),0.661148853321924)</f>
        <v>0.6611488533</v>
      </c>
      <c r="AK622" s="30">
        <f>IFERROR(__xludf.DUMMYFUNCTION("""COMPUTED_VALUE"""),0.6603000396157311)</f>
        <v>0.6603000396</v>
      </c>
      <c r="AL622" s="30">
        <f>IFERROR(__xludf.DUMMYFUNCTION("""COMPUTED_VALUE"""),0.801950248571069)</f>
        <v>0.8019502486</v>
      </c>
      <c r="AM622" s="30">
        <f>IFERROR(__xludf.DUMMYFUNCTION("""COMPUTED_VALUE"""),0.7776644576449425)</f>
        <v>0.7776644576</v>
      </c>
      <c r="AN622" s="30">
        <f>IFERROR(__xludf.DUMMYFUNCTION("""COMPUTED_VALUE"""),0.9917174887784893)</f>
        <v>0.9917174888</v>
      </c>
      <c r="AO622" s="30">
        <f>IFERROR(__xludf.DUMMYFUNCTION("""COMPUTED_VALUE"""),1.1972461497448599)</f>
        <v>1.19724615</v>
      </c>
      <c r="AP622" s="30">
        <f>IFERROR(__xludf.DUMMYFUNCTION("""COMPUTED_VALUE"""),0.7273767780501202)</f>
        <v>0.7273767781</v>
      </c>
      <c r="AQ622" s="30">
        <f>IFERROR(__xludf.DUMMYFUNCTION("""COMPUTED_VALUE"""),0.7257109897528372)</f>
        <v>0.7257109898</v>
      </c>
      <c r="AR622" s="30">
        <f>IFERROR(__xludf.DUMMYFUNCTION("""COMPUTED_VALUE"""),1.1556671265150773)</f>
        <v>1.155667127</v>
      </c>
      <c r="AS622" s="30">
        <f>IFERROR(__xludf.DUMMYFUNCTION("""COMPUTED_VALUE"""),17.0)</f>
        <v>17</v>
      </c>
      <c r="AT622" s="30">
        <f>IFERROR(__xludf.DUMMYFUNCTION("""COMPUTED_VALUE"""),0.6796848859231691)</f>
        <v>0.6796848859</v>
      </c>
      <c r="AU622" s="30">
        <f>IFERROR(__xludf.DUMMYFUNCTION("""COMPUTED_VALUE"""),3.241677807255903)</f>
        <v>3.241677807</v>
      </c>
      <c r="AV622" s="32">
        <f>IFERROR(__xludf.DUMMYFUNCTION("""COMPUTED_VALUE"""),60.396030810628694)</f>
        <v>60.39603081</v>
      </c>
      <c r="AW622" s="32">
        <f>IFERROR(__xludf.DUMMYFUNCTION("""COMPUTED_VALUE"""),2.951915430936409)</f>
        <v>2.951915431</v>
      </c>
      <c r="AX622" s="32">
        <f>IFERROR(__xludf.DUMMYFUNCTION("""COMPUTED_VALUE"""),76.61828394826139)</f>
        <v>76.61828395</v>
      </c>
      <c r="AY622" s="32">
        <f>IFERROR(__xludf.DUMMYFUNCTION("""COMPUTED_VALUE"""),6.968701443542849)</f>
        <v>6.968701444</v>
      </c>
      <c r="AZ622" s="30">
        <f>IFERROR(__xludf.DUMMYFUNCTION("""COMPUTED_VALUE"""),4.01678601260644)</f>
        <v>4.016786013</v>
      </c>
      <c r="BA622" s="30">
        <f>IFERROR(__xludf.DUMMYFUNCTION("""COMPUTED_VALUE"""),2300.0)</f>
        <v>2300</v>
      </c>
    </row>
    <row r="623">
      <c r="A623" s="71" t="str">
        <f>IFERROR(__xludf.DUMMYFUNCTION("""COMPUTED_VALUE"""),"Challenger")</f>
        <v>Challenger</v>
      </c>
      <c r="B623" s="71" t="str">
        <f>IFERROR(__xludf.DUMMYFUNCTION("""COMPUTED_VALUE"""),"RSC005154")</f>
        <v>RSC005154</v>
      </c>
      <c r="C623" s="30" t="str">
        <f>IFERROR(__xludf.DUMMYFUNCTION("""COMPUTED_VALUE"""),"TacoBae")</f>
        <v>TacoBae</v>
      </c>
      <c r="D623" s="30" t="str">
        <f>IFERROR(__xludf.DUMMYFUNCTION("""COMPUTED_VALUE"""),"Jock O Lanterns")</f>
        <v>Jock O Lanterns</v>
      </c>
      <c r="E623" s="30">
        <f>IFERROR(__xludf.DUMMYFUNCTION("""COMPUTED_VALUE"""),35.0)</f>
        <v>35</v>
      </c>
      <c r="F623" s="30">
        <f>IFERROR(__xludf.DUMMYFUNCTION("""COMPUTED_VALUE"""),10.0)</f>
        <v>10</v>
      </c>
      <c r="G623" s="42">
        <f>IFERROR(__xludf.DUMMYFUNCTION("""COMPUTED_VALUE"""),25.0)</f>
        <v>25</v>
      </c>
      <c r="H623" s="42">
        <f>IFERROR(__xludf.DUMMYFUNCTION("""COMPUTED_VALUE"""),0.2857142857142857)</f>
        <v>0.2857142857</v>
      </c>
      <c r="I623" s="42">
        <f>IFERROR(__xludf.DUMMYFUNCTION("""COMPUTED_VALUE"""),0.23076923076923075)</f>
        <v>0.2307692308</v>
      </c>
      <c r="J623" s="30">
        <f>IFERROR(__xludf.DUMMYFUNCTION("""COMPUTED_VALUE"""),249.94285714285715)</f>
        <v>249.9428571</v>
      </c>
      <c r="K623" s="30">
        <f>IFERROR(__xludf.DUMMYFUNCTION("""COMPUTED_VALUE"""),0.42857142857142855)</f>
        <v>0.4285714286</v>
      </c>
      <c r="L623" s="30">
        <f>IFERROR(__xludf.DUMMYFUNCTION("""COMPUTED_VALUE"""),0.45714285714285713)</f>
        <v>0.4571428571</v>
      </c>
      <c r="M623" s="30">
        <f>IFERROR(__xludf.DUMMYFUNCTION("""COMPUTED_VALUE"""),0.8571428571428571)</f>
        <v>0.8571428571</v>
      </c>
      <c r="N623" s="30">
        <f>IFERROR(__xludf.DUMMYFUNCTION("""COMPUTED_VALUE"""),1.8571428571428572)</f>
        <v>1.857142857</v>
      </c>
      <c r="O623" s="30">
        <f>IFERROR(__xludf.DUMMYFUNCTION("""COMPUTED_VALUE"""),376.86666666666673)</f>
        <v>376.8666667</v>
      </c>
      <c r="P623" s="30">
        <f>IFERROR(__xludf.DUMMYFUNCTION("""COMPUTED_VALUE"""),1.0952380952380953)</f>
        <v>1.095238095</v>
      </c>
      <c r="Q623" s="30">
        <f>IFERROR(__xludf.DUMMYFUNCTION("""COMPUTED_VALUE"""),0.7047619047619047)</f>
        <v>0.7047619048</v>
      </c>
      <c r="R623" s="30">
        <f>IFERROR(__xludf.DUMMYFUNCTION("""COMPUTED_VALUE"""),1.1238095238095238)</f>
        <v>1.123809524</v>
      </c>
      <c r="S623" s="30">
        <f>IFERROR(__xludf.DUMMYFUNCTION("""COMPUTED_VALUE"""),2.5999999999999996)</f>
        <v>2.6</v>
      </c>
      <c r="T623" s="30">
        <f>IFERROR(__xludf.DUMMYFUNCTION("""COMPUTED_VALUE"""),338.3675415026173)</f>
        <v>338.3675415</v>
      </c>
      <c r="U623" s="30">
        <f>IFERROR(__xludf.DUMMYFUNCTION("""COMPUTED_VALUE"""),0.7678268543833644)</f>
        <v>0.7678268544</v>
      </c>
      <c r="V623" s="30">
        <f>IFERROR(__xludf.DUMMYFUNCTION("""COMPUTED_VALUE"""),0.5155834138774298)</f>
        <v>0.5155834139</v>
      </c>
      <c r="W623" s="30">
        <f>IFERROR(__xludf.DUMMYFUNCTION("""COMPUTED_VALUE"""),1.262774397718004)</f>
        <v>1.262774398</v>
      </c>
      <c r="X623" s="30">
        <f>IFERROR(__xludf.DUMMYFUNCTION("""COMPUTED_VALUE"""),2.4633153854027703)</f>
        <v>2.463315385</v>
      </c>
      <c r="Y623" s="30">
        <f>IFERROR(__xludf.DUMMYFUNCTION("""COMPUTED_VALUE"""),336.72790525952615)</f>
        <v>336.7279053</v>
      </c>
      <c r="Z623" s="30">
        <f>IFERROR(__xludf.DUMMYFUNCTION("""COMPUTED_VALUE"""),0.7620304020458091)</f>
        <v>0.762030402</v>
      </c>
      <c r="AA623" s="30">
        <f>IFERROR(__xludf.DUMMYFUNCTION("""COMPUTED_VALUE"""),0.5161809612339935)</f>
        <v>0.5161809612</v>
      </c>
      <c r="AB623" s="30">
        <f>IFERROR(__xludf.DUMMYFUNCTION("""COMPUTED_VALUE"""),1.223715138423004)</f>
        <v>1.223715138</v>
      </c>
      <c r="AC623" s="30">
        <f>IFERROR(__xludf.DUMMYFUNCTION("""COMPUTED_VALUE"""),2.451979395506687)</f>
        <v>2.451979396</v>
      </c>
      <c r="AD623" s="30">
        <f>IFERROR(__xludf.DUMMYFUNCTION("""COMPUTED_VALUE"""),0.7422695097105741)</f>
        <v>0.7422695097</v>
      </c>
      <c r="AE623" s="30">
        <f>IFERROR(__xludf.DUMMYFUNCTION("""COMPUTED_VALUE"""),0.5624072575330993)</f>
        <v>0.5624072575</v>
      </c>
      <c r="AF623" s="30">
        <f>IFERROR(__xludf.DUMMYFUNCTION("""COMPUTED_VALUE"""),0.8856251808474327)</f>
        <v>0.8856251808</v>
      </c>
      <c r="AG623" s="30">
        <f>IFERROR(__xludf.DUMMYFUNCTION("""COMPUTED_VALUE"""),0.7004431262061962)</f>
        <v>0.7004431262</v>
      </c>
      <c r="AH623" s="30">
        <f>IFERROR(__xludf.DUMMYFUNCTION("""COMPUTED_VALUE"""),0.7574055722271229)</f>
        <v>0.7574055722</v>
      </c>
      <c r="AI623" s="30">
        <f>IFERROR(__xludf.DUMMYFUNCTION("""COMPUTED_VALUE"""),1.1137790137703016)</f>
        <v>1.113779014</v>
      </c>
      <c r="AJ623" s="30">
        <f>IFERROR(__xludf.DUMMYFUNCTION("""COMPUTED_VALUE"""),1.4264128546502484)</f>
        <v>1.426412855</v>
      </c>
      <c r="AK623" s="30">
        <f>IFERROR(__xludf.DUMMYFUNCTION("""COMPUTED_VALUE"""),1.3669212115683933)</f>
        <v>1.366921212</v>
      </c>
      <c r="AL623" s="30">
        <f>IFERROR(__xludf.DUMMYFUNCTION("""COMPUTED_VALUE"""),0.889952730939424)</f>
        <v>0.8899527309</v>
      </c>
      <c r="AM623" s="30">
        <f>IFERROR(__xludf.DUMMYFUNCTION("""COMPUTED_VALUE"""),1.0554880692124124)</f>
        <v>1.055488069</v>
      </c>
      <c r="AN623" s="30">
        <f>IFERROR(__xludf.DUMMYFUNCTION("""COMPUTED_VALUE"""),0.768299736920062)</f>
        <v>0.7682997369</v>
      </c>
      <c r="AO623" s="30">
        <f>IFERROR(__xludf.DUMMYFUNCTION("""COMPUTED_VALUE"""),0.5864062774260538)</f>
        <v>0.5864062774</v>
      </c>
      <c r="AP623" s="30">
        <f>IFERROR(__xludf.DUMMYFUNCTION("""COMPUTED_VALUE"""),0.8867069294325275)</f>
        <v>0.8867069294</v>
      </c>
      <c r="AQ623" s="30">
        <f>IFERROR(__xludf.DUMMYFUNCTION("""COMPUTED_VALUE"""),0.7109005613905344)</f>
        <v>0.7109005614</v>
      </c>
      <c r="AR623" s="30">
        <f>IFERROR(__xludf.DUMMYFUNCTION("""COMPUTED_VALUE"""),0.7804505269971951)</f>
        <v>0.780450527</v>
      </c>
      <c r="AS623" s="30">
        <f>IFERROR(__xludf.DUMMYFUNCTION("""COMPUTED_VALUE"""),69.0)</f>
        <v>69</v>
      </c>
      <c r="AT623" s="30">
        <f>IFERROR(__xludf.DUMMYFUNCTION("""COMPUTED_VALUE"""),0.30523646865678283)</f>
        <v>0.3052364687</v>
      </c>
      <c r="AU623" s="30">
        <f>IFERROR(__xludf.DUMMYFUNCTION("""COMPUTED_VALUE"""),1.404235761209629)</f>
        <v>1.404235761</v>
      </c>
      <c r="AV623" s="32">
        <f>IFERROR(__xludf.DUMMYFUNCTION("""COMPUTED_VALUE"""),12.441989256634997)</f>
        <v>12.44198926</v>
      </c>
      <c r="AW623" s="32">
        <f>IFERROR(__xludf.DUMMYFUNCTION("""COMPUTED_VALUE"""),-15.035968860873728)</f>
        <v>-15.03596886</v>
      </c>
      <c r="AX623" s="32">
        <f>IFERROR(__xludf.DUMMYFUNCTION("""COMPUTED_VALUE"""),16.31024516970229)</f>
        <v>16.31024517</v>
      </c>
      <c r="AY623" s="32">
        <f>IFERROR(__xludf.DUMMYFUNCTION("""COMPUTED_VALUE"""),-11.249212284145957)</f>
        <v>-11.24921228</v>
      </c>
      <c r="AZ623" s="30">
        <f>IFERROR(__xludf.DUMMYFUNCTION("""COMPUTED_VALUE"""),3.7867565767277718)</f>
        <v>3.786756577</v>
      </c>
      <c r="BA623" s="30">
        <f>IFERROR(__xludf.DUMMYFUNCTION("""COMPUTED_VALUE"""),2300.0)</f>
        <v>2300</v>
      </c>
    </row>
    <row r="624">
      <c r="A624" s="71" t="str">
        <f>IFERROR(__xludf.DUMMYFUNCTION("""COMPUTED_VALUE"""),"Challenger")</f>
        <v>Challenger</v>
      </c>
      <c r="B624" s="71" t="str">
        <f>IFERROR(__xludf.DUMMYFUNCTION("""COMPUTED_VALUE"""),"RSC004597")</f>
        <v>RSC004597</v>
      </c>
      <c r="C624" s="30" t="str">
        <f>IFERROR(__xludf.DUMMYFUNCTION("""COMPUTED_VALUE"""),"xXBlindBeastXx")</f>
        <v>xXBlindBeastXx</v>
      </c>
      <c r="D624" s="30" t="str">
        <f>IFERROR(__xludf.DUMMYFUNCTION("""COMPUTED_VALUE"""),"Warbirds")</f>
        <v>Warbirds</v>
      </c>
      <c r="E624" s="30">
        <f>IFERROR(__xludf.DUMMYFUNCTION("""COMPUTED_VALUE"""),46.0)</f>
        <v>46</v>
      </c>
      <c r="F624" s="30">
        <f>IFERROR(__xludf.DUMMYFUNCTION("""COMPUTED_VALUE"""),23.0)</f>
        <v>23</v>
      </c>
      <c r="G624" s="42">
        <f>IFERROR(__xludf.DUMMYFUNCTION("""COMPUTED_VALUE"""),23.0)</f>
        <v>23</v>
      </c>
      <c r="H624" s="42">
        <f>IFERROR(__xludf.DUMMYFUNCTION("""COMPUTED_VALUE"""),0.5)</f>
        <v>0.5</v>
      </c>
      <c r="I624" s="42">
        <f>IFERROR(__xludf.DUMMYFUNCTION("""COMPUTED_VALUE"""),0.38202247191011235)</f>
        <v>0.3820224719</v>
      </c>
      <c r="J624" s="30">
        <f>IFERROR(__xludf.DUMMYFUNCTION("""COMPUTED_VALUE"""),304.3478260869565)</f>
        <v>304.3478261</v>
      </c>
      <c r="K624" s="30">
        <f>IFERROR(__xludf.DUMMYFUNCTION("""COMPUTED_VALUE"""),0.7391304347826086)</f>
        <v>0.7391304348</v>
      </c>
      <c r="L624" s="30">
        <f>IFERROR(__xludf.DUMMYFUNCTION("""COMPUTED_VALUE"""),0.5434782608695652)</f>
        <v>0.5434782609</v>
      </c>
      <c r="M624" s="30">
        <f>IFERROR(__xludf.DUMMYFUNCTION("""COMPUTED_VALUE"""),1.173913043478261)</f>
        <v>1.173913043</v>
      </c>
      <c r="N624" s="30">
        <f>IFERROR(__xludf.DUMMYFUNCTION("""COMPUTED_VALUE"""),1.934782608695652)</f>
        <v>1.934782609</v>
      </c>
      <c r="O624" s="30">
        <f>IFERROR(__xludf.DUMMYFUNCTION("""COMPUTED_VALUE"""),369.59420289855063)</f>
        <v>369.5942029</v>
      </c>
      <c r="P624" s="30">
        <f>IFERROR(__xludf.DUMMYFUNCTION("""COMPUTED_VALUE"""),0.9057971014492753)</f>
        <v>0.9057971014</v>
      </c>
      <c r="Q624" s="30">
        <f>IFERROR(__xludf.DUMMYFUNCTION("""COMPUTED_VALUE"""),0.7101449275362318)</f>
        <v>0.7101449275</v>
      </c>
      <c r="R624" s="30">
        <f>IFERROR(__xludf.DUMMYFUNCTION("""COMPUTED_VALUE"""),1.3043478260869565)</f>
        <v>1.304347826</v>
      </c>
      <c r="S624" s="30">
        <f>IFERROR(__xludf.DUMMYFUNCTION("""COMPUTED_VALUE"""),2.7101449275362315)</f>
        <v>2.710144928</v>
      </c>
      <c r="T624" s="30">
        <f>IFERROR(__xludf.DUMMYFUNCTION("""COMPUTED_VALUE"""),343.2741477054404)</f>
        <v>343.2741477</v>
      </c>
      <c r="U624" s="30">
        <f>IFERROR(__xludf.DUMMYFUNCTION("""COMPUTED_VALUE"""),0.8064808202462083)</f>
        <v>0.8064808202</v>
      </c>
      <c r="V624" s="30">
        <f>IFERROR(__xludf.DUMMYFUNCTION("""COMPUTED_VALUE"""),0.5702116746403376)</f>
        <v>0.5702116746</v>
      </c>
      <c r="W624" s="30">
        <f>IFERROR(__xludf.DUMMYFUNCTION("""COMPUTED_VALUE"""),1.229728092941983)</f>
        <v>1.229728093</v>
      </c>
      <c r="X624" s="30">
        <f>IFERROR(__xludf.DUMMYFUNCTION("""COMPUTED_VALUE"""),2.5458866843467485)</f>
        <v>2.545886684</v>
      </c>
      <c r="Y624" s="30">
        <f>IFERROR(__xludf.DUMMYFUNCTION("""COMPUTED_VALUE"""),330.23599712442615)</f>
        <v>330.2359971</v>
      </c>
      <c r="Z624" s="30">
        <f>IFERROR(__xludf.DUMMYFUNCTION("""COMPUTED_VALUE"""),0.728765625734576)</f>
        <v>0.7287656257</v>
      </c>
      <c r="AA624" s="30">
        <f>IFERROR(__xludf.DUMMYFUNCTION("""COMPUTED_VALUE"""),0.5126474781919199)</f>
        <v>0.5126474782</v>
      </c>
      <c r="AB624" s="30">
        <f>IFERROR(__xludf.DUMMYFUNCTION("""COMPUTED_VALUE"""),1.256956434740175)</f>
        <v>1.256956435</v>
      </c>
      <c r="AC624" s="30">
        <f>IFERROR(__xludf.DUMMYFUNCTION("""COMPUTED_VALUE"""),2.3636113546748057)</f>
        <v>2.363611355</v>
      </c>
      <c r="AD624" s="30">
        <f>IFERROR(__xludf.DUMMYFUNCTION("""COMPUTED_VALUE"""),0.9216070590035782)</f>
        <v>0.921607059</v>
      </c>
      <c r="AE624" s="30">
        <f>IFERROR(__xludf.DUMMYFUNCTION("""COMPUTED_VALUE"""),1.0142224175812151)</f>
        <v>1.014222418</v>
      </c>
      <c r="AF624" s="30">
        <f>IFERROR(__xludf.DUMMYFUNCTION("""COMPUTED_VALUE"""),1.060140318618915)</f>
        <v>1.060140319</v>
      </c>
      <c r="AG624" s="30">
        <f>IFERROR(__xludf.DUMMYFUNCTION("""COMPUTED_VALUE"""),0.9339329598331864)</f>
        <v>0.9339329598</v>
      </c>
      <c r="AH624" s="30">
        <f>IFERROR(__xludf.DUMMYFUNCTION("""COMPUTED_VALUE"""),0.8185705339708214)</f>
        <v>0.818570534</v>
      </c>
      <c r="AI624" s="30">
        <f>IFERROR(__xludf.DUMMYFUNCTION("""COMPUTED_VALUE"""),1.0766735723299943)</f>
        <v>1.076673572</v>
      </c>
      <c r="AJ624" s="30">
        <f>IFERROR(__xludf.DUMMYFUNCTION("""COMPUTED_VALUE"""),1.1231477286375477)</f>
        <v>1.123147729</v>
      </c>
      <c r="AK624" s="30">
        <f>IFERROR(__xludf.DUMMYFUNCTION("""COMPUTED_VALUE"""),1.2454058012476812)</f>
        <v>1.245405801</v>
      </c>
      <c r="AL624" s="30">
        <f>IFERROR(__xludf.DUMMYFUNCTION("""COMPUTED_VALUE"""),1.0606798637627726)</f>
        <v>1.060679864</v>
      </c>
      <c r="AM624" s="30">
        <f>IFERROR(__xludf.DUMMYFUNCTION("""COMPUTED_VALUE"""),1.0645190707816716)</f>
        <v>1.064519071</v>
      </c>
      <c r="AN624" s="30">
        <f>IFERROR(__xludf.DUMMYFUNCTION("""COMPUTED_VALUE"""),0.9355352554890319)</f>
        <v>0.9355352555</v>
      </c>
      <c r="AO624" s="30">
        <f>IFERROR(__xludf.DUMMYFUNCTION("""COMPUTED_VALUE"""),1.011338362517397)</f>
        <v>1.011338363</v>
      </c>
      <c r="AP624" s="30">
        <f>IFERROR(__xludf.DUMMYFUNCTION("""COMPUTED_VALUE"""),1.0541692435508987)</f>
        <v>1.054169244</v>
      </c>
      <c r="AQ624" s="30">
        <f>IFERROR(__xludf.DUMMYFUNCTION("""COMPUTED_VALUE"""),0.9736246819044276)</f>
        <v>0.9736246819</v>
      </c>
      <c r="AR624" s="30">
        <f>IFERROR(__xludf.DUMMYFUNCTION("""COMPUTED_VALUE"""),0.8130780573900543)</f>
        <v>0.8130780574</v>
      </c>
      <c r="AS624" s="30">
        <f>IFERROR(__xludf.DUMMYFUNCTION("""COMPUTED_VALUE"""),109.0)</f>
        <v>109</v>
      </c>
      <c r="AT624" s="30">
        <f>IFERROR(__xludf.DUMMYFUNCTION("""COMPUTED_VALUE"""),0.44560194156008814)</f>
        <v>0.4456019416</v>
      </c>
      <c r="AU624" s="30">
        <f>IFERROR(__xludf.DUMMYFUNCTION("""COMPUTED_VALUE"""),2.5167621315791817)</f>
        <v>2.516762132</v>
      </c>
      <c r="AV624" s="32">
        <f>IFERROR(__xludf.DUMMYFUNCTION("""COMPUTED_VALUE"""),41.4769925153292)</f>
        <v>41.47699252</v>
      </c>
      <c r="AW624" s="32">
        <f>IFERROR(__xludf.DUMMYFUNCTION("""COMPUTED_VALUE"""),-2.7279041778012685)</f>
        <v>-2.727904178</v>
      </c>
      <c r="AX624" s="32">
        <f>IFERROR(__xludf.DUMMYFUNCTION("""COMPUTED_VALUE"""),24.827607894396525)</f>
        <v>24.82760789</v>
      </c>
      <c r="AY624" s="32">
        <f>IFERROR(__xludf.DUMMYFUNCTION("""COMPUTED_VALUE"""),-6.369732941494428)</f>
        <v>-6.369732941</v>
      </c>
      <c r="AZ624" s="30">
        <f>IFERROR(__xludf.DUMMYFUNCTION("""COMPUTED_VALUE"""),3.6418287636931597)</f>
        <v>3.641828764</v>
      </c>
      <c r="BA624" s="30">
        <f>IFERROR(__xludf.DUMMYFUNCTION("""COMPUTED_VALUE"""),2300.0)</f>
        <v>2300</v>
      </c>
    </row>
    <row r="625">
      <c r="A625" s="71" t="str">
        <f>IFERROR(__xludf.DUMMYFUNCTION("""COMPUTED_VALUE"""),"Challenger")</f>
        <v>Challenger</v>
      </c>
      <c r="B625" s="71" t="str">
        <f>IFERROR(__xludf.DUMMYFUNCTION("""COMPUTED_VALUE"""),"RSC007616")</f>
        <v>RSC007616</v>
      </c>
      <c r="C625" s="30" t="str">
        <f>IFERROR(__xludf.DUMMYFUNCTION("""COMPUTED_VALUE"""),"VforVenDEADa")</f>
        <v>VforVenDEADa</v>
      </c>
      <c r="D625" s="30" t="str">
        <f>IFERROR(__xludf.DUMMYFUNCTION("""COMPUTED_VALUE"""),"Cassowaries")</f>
        <v>Cassowaries</v>
      </c>
      <c r="E625" s="30">
        <f>IFERROR(__xludf.DUMMYFUNCTION("""COMPUTED_VALUE"""),2.0)</f>
        <v>2</v>
      </c>
      <c r="F625" s="30">
        <f>IFERROR(__xludf.DUMMYFUNCTION("""COMPUTED_VALUE"""),0.0)</f>
        <v>0</v>
      </c>
      <c r="G625" s="42">
        <f>IFERROR(__xludf.DUMMYFUNCTION("""COMPUTED_VALUE"""),2.0)</f>
        <v>2</v>
      </c>
      <c r="H625" s="42">
        <f>IFERROR(__xludf.DUMMYFUNCTION("""COMPUTED_VALUE"""),0.0)</f>
        <v>0</v>
      </c>
      <c r="I625" s="42">
        <f>IFERROR(__xludf.DUMMYFUNCTION("""COMPUTED_VALUE"""),0.14285714285714285)</f>
        <v>0.1428571429</v>
      </c>
      <c r="J625" s="30">
        <f>IFERROR(__xludf.DUMMYFUNCTION("""COMPUTED_VALUE"""),297.0)</f>
        <v>297</v>
      </c>
      <c r="K625" s="30">
        <f>IFERROR(__xludf.DUMMYFUNCTION("""COMPUTED_VALUE"""),0.5)</f>
        <v>0.5</v>
      </c>
      <c r="L625" s="30">
        <f>IFERROR(__xludf.DUMMYFUNCTION("""COMPUTED_VALUE"""),1.0)</f>
        <v>1</v>
      </c>
      <c r="M625" s="30">
        <f>IFERROR(__xludf.DUMMYFUNCTION("""COMPUTED_VALUE"""),1.0)</f>
        <v>1</v>
      </c>
      <c r="N625" s="30">
        <f>IFERROR(__xludf.DUMMYFUNCTION("""COMPUTED_VALUE"""),3.5)</f>
        <v>3.5</v>
      </c>
      <c r="O625" s="30">
        <f>IFERROR(__xludf.DUMMYFUNCTION("""COMPUTED_VALUE"""),384.5)</f>
        <v>384.5</v>
      </c>
      <c r="P625" s="30">
        <f>IFERROR(__xludf.DUMMYFUNCTION("""COMPUTED_VALUE"""),1.0)</f>
        <v>1</v>
      </c>
      <c r="Q625" s="30">
        <f>IFERROR(__xludf.DUMMYFUNCTION("""COMPUTED_VALUE"""),0.6666666666666666)</f>
        <v>0.6666666667</v>
      </c>
      <c r="R625" s="30">
        <f>IFERROR(__xludf.DUMMYFUNCTION("""COMPUTED_VALUE"""),1.3333333333333335)</f>
        <v>1.333333333</v>
      </c>
      <c r="S625" s="30">
        <f>IFERROR(__xludf.DUMMYFUNCTION("""COMPUTED_VALUE"""),2.3333333333333335)</f>
        <v>2.333333333</v>
      </c>
      <c r="T625" s="30">
        <f>IFERROR(__xludf.DUMMYFUNCTION("""COMPUTED_VALUE"""),314.0223246207676)</f>
        <v>314.0223246</v>
      </c>
      <c r="U625" s="30">
        <f>IFERROR(__xludf.DUMMYFUNCTION("""COMPUTED_VALUE"""),0.6837890527587502)</f>
        <v>0.6837890528</v>
      </c>
      <c r="V625" s="30">
        <f>IFERROR(__xludf.DUMMYFUNCTION("""COMPUTED_VALUE"""),0.453712505643165)</f>
        <v>0.4537125056</v>
      </c>
      <c r="W625" s="30">
        <f>IFERROR(__xludf.DUMMYFUNCTION("""COMPUTED_VALUE"""),1.0822555438634507)</f>
        <v>1.082255544</v>
      </c>
      <c r="X625" s="30">
        <f>IFERROR(__xludf.DUMMYFUNCTION("""COMPUTED_VALUE"""),2.2821077507145686)</f>
        <v>2.282107751</v>
      </c>
      <c r="Y625" s="30">
        <f>IFERROR(__xludf.DUMMYFUNCTION("""COMPUTED_VALUE"""),328.62141120688204)</f>
        <v>328.6214112</v>
      </c>
      <c r="Z625" s="30">
        <f>IFERROR(__xludf.DUMMYFUNCTION("""COMPUTED_VALUE"""),0.8175958757672741)</f>
        <v>0.8175958758</v>
      </c>
      <c r="AA625" s="30">
        <f>IFERROR(__xludf.DUMMYFUNCTION("""COMPUTED_VALUE"""),0.5515206135336245)</f>
        <v>0.5515206135</v>
      </c>
      <c r="AB625" s="30">
        <f>IFERROR(__xludf.DUMMYFUNCTION("""COMPUTED_VALUE"""),1.092914863274295)</f>
        <v>1.092914863</v>
      </c>
      <c r="AC625" s="30">
        <f>IFERROR(__xludf.DUMMYFUNCTION("""COMPUTED_VALUE"""),2.4028402760641496)</f>
        <v>2.402840276</v>
      </c>
      <c r="AD625" s="30">
        <f>IFERROR(__xludf.DUMMYFUNCTION("""COMPUTED_VALUE"""),0.9037755601780465)</f>
        <v>0.9037755602</v>
      </c>
      <c r="AE625" s="30">
        <f>IFERROR(__xludf.DUMMYFUNCTION("""COMPUTED_VALUE"""),0.6115490731050646)</f>
        <v>0.6115490731</v>
      </c>
      <c r="AF625" s="30">
        <f>IFERROR(__xludf.DUMMYFUNCTION("""COMPUTED_VALUE"""),1.8131688561791774)</f>
        <v>1.813168856</v>
      </c>
      <c r="AG625" s="30">
        <f>IFERROR(__xludf.DUMMYFUNCTION("""COMPUTED_VALUE"""),0.9149843538627256)</f>
        <v>0.9149843539</v>
      </c>
      <c r="AH625" s="30">
        <f>IFERROR(__xludf.DUMMYFUNCTION("""COMPUTED_VALUE"""),1.456609511196057)</f>
        <v>1.456609511</v>
      </c>
      <c r="AI625" s="30">
        <f>IFERROR(__xludf.DUMMYFUNCTION("""COMPUTED_VALUE"""),1.2244352386867574)</f>
        <v>1.224435239</v>
      </c>
      <c r="AJ625" s="30">
        <f>IFERROR(__xludf.DUMMYFUNCTION("""COMPUTED_VALUE"""),1.4624393238901605)</f>
        <v>1.462439324</v>
      </c>
      <c r="AK625" s="30">
        <f>IFERROR(__xludf.DUMMYFUNCTION("""COMPUTED_VALUE"""),1.4693592492488745)</f>
        <v>1.469359249</v>
      </c>
      <c r="AL625" s="30">
        <f>IFERROR(__xludf.DUMMYFUNCTION("""COMPUTED_VALUE"""),1.2319949210641896)</f>
        <v>1.231994921</v>
      </c>
      <c r="AM625" s="30">
        <f>IFERROR(__xludf.DUMMYFUNCTION("""COMPUTED_VALUE"""),1.0224466099826905)</f>
        <v>1.02244661</v>
      </c>
      <c r="AN625" s="30">
        <f>IFERROR(__xludf.DUMMYFUNCTION("""COMPUTED_VALUE"""),0.9129487614636539)</f>
        <v>0.9129487615</v>
      </c>
      <c r="AO625" s="30">
        <f>IFERROR(__xludf.DUMMYFUNCTION("""COMPUTED_VALUE"""),0.6841406569970628)</f>
        <v>0.684140657</v>
      </c>
      <c r="AP625" s="30">
        <f>IFERROR(__xludf.DUMMYFUNCTION("""COMPUTED_VALUE"""),1.939671408133654)</f>
        <v>1.939671408</v>
      </c>
      <c r="AQ625" s="30">
        <f>IFERROR(__xludf.DUMMYFUNCTION("""COMPUTED_VALUE"""),0.8293839882889568)</f>
        <v>0.8293839883</v>
      </c>
      <c r="AR625" s="30">
        <f>IFERROR(__xludf.DUMMYFUNCTION("""COMPUTED_VALUE"""),1.4708490701100982)</f>
        <v>1.47084907</v>
      </c>
      <c r="AS625" s="30">
        <f>IFERROR(__xludf.DUMMYFUNCTION("""COMPUTED_VALUE"""),3.0)</f>
        <v>3</v>
      </c>
      <c r="AT625" s="30">
        <f>IFERROR(__xludf.DUMMYFUNCTION("""COMPUTED_VALUE"""),0.25591176740996385)</f>
        <v>0.2559117674</v>
      </c>
      <c r="AU625" s="30">
        <f>IFERROR(__xludf.DUMMYFUNCTION("""COMPUTED_VALUE"""),3.1837453982702106)</f>
        <v>3.183745398</v>
      </c>
      <c r="AV625" s="32">
        <f>IFERROR(__xludf.DUMMYFUNCTION("""COMPUTED_VALUE"""),58.88409569746383)</f>
        <v>58.8840957</v>
      </c>
      <c r="AW625" s="32">
        <f>IFERROR(__xludf.DUMMYFUNCTION("""COMPUTED_VALUE"""),2.768867240556783)</f>
        <v>2.768867241</v>
      </c>
      <c r="AX625" s="32">
        <f>IFERROR(__xludf.DUMMYFUNCTION("""COMPUTED_VALUE"""),75.04978969374662)</f>
        <v>75.04978969</v>
      </c>
      <c r="AY625" s="32">
        <f>IFERROR(__xludf.DUMMYFUNCTION("""COMPUTED_VALUE"""),6.322158434218698)</f>
        <v>6.322158434</v>
      </c>
      <c r="AZ625" s="30">
        <f>IFERROR(__xludf.DUMMYFUNCTION("""COMPUTED_VALUE"""),3.553291193661915)</f>
        <v>3.553291194</v>
      </c>
      <c r="BA625" s="30">
        <f>IFERROR(__xludf.DUMMYFUNCTION("""COMPUTED_VALUE"""),2300.0)</f>
        <v>2300</v>
      </c>
    </row>
    <row r="626">
      <c r="A626" s="71" t="str">
        <f>IFERROR(__xludf.DUMMYFUNCTION("""COMPUTED_VALUE"""),"Challenger")</f>
        <v>Challenger</v>
      </c>
      <c r="B626" s="71" t="str">
        <f>IFERROR(__xludf.DUMMYFUNCTION("""COMPUTED_VALUE"""),"RSC007870")</f>
        <v>RSC007870</v>
      </c>
      <c r="C626" s="30" t="str">
        <f>IFERROR(__xludf.DUMMYFUNCTION("""COMPUTED_VALUE"""),"King_OaF")</f>
        <v>King_OaF</v>
      </c>
      <c r="D626" s="30" t="str">
        <f>IFERROR(__xludf.DUMMYFUNCTION("""COMPUTED_VALUE"""),"Metal")</f>
        <v>Metal</v>
      </c>
      <c r="E626" s="30">
        <f>IFERROR(__xludf.DUMMYFUNCTION("""COMPUTED_VALUE"""),21.0)</f>
        <v>21</v>
      </c>
      <c r="F626" s="30">
        <f>IFERROR(__xludf.DUMMYFUNCTION("""COMPUTED_VALUE"""),12.0)</f>
        <v>12</v>
      </c>
      <c r="G626" s="42">
        <f>IFERROR(__xludf.DUMMYFUNCTION("""COMPUTED_VALUE"""),9.0)</f>
        <v>9</v>
      </c>
      <c r="H626" s="42">
        <f>IFERROR(__xludf.DUMMYFUNCTION("""COMPUTED_VALUE"""),0.5714285714285714)</f>
        <v>0.5714285714</v>
      </c>
      <c r="I626" s="42">
        <f>IFERROR(__xludf.DUMMYFUNCTION("""COMPUTED_VALUE"""),0.3508771929824561)</f>
        <v>0.350877193</v>
      </c>
      <c r="J626" s="30">
        <f>IFERROR(__xludf.DUMMYFUNCTION("""COMPUTED_VALUE"""),374.5238095238095)</f>
        <v>374.5238095</v>
      </c>
      <c r="K626" s="30">
        <f>IFERROR(__xludf.DUMMYFUNCTION("""COMPUTED_VALUE"""),0.9523809523809523)</f>
        <v>0.9523809524</v>
      </c>
      <c r="L626" s="30">
        <f>IFERROR(__xludf.DUMMYFUNCTION("""COMPUTED_VALUE"""),0.5714285714285714)</f>
        <v>0.5714285714</v>
      </c>
      <c r="M626" s="30">
        <f>IFERROR(__xludf.DUMMYFUNCTION("""COMPUTED_VALUE"""),1.0952380952380953)</f>
        <v>1.095238095</v>
      </c>
      <c r="N626" s="30">
        <f>IFERROR(__xludf.DUMMYFUNCTION("""COMPUTED_VALUE"""),2.7142857142857144)</f>
        <v>2.714285714</v>
      </c>
      <c r="O626" s="30">
        <f>IFERROR(__xludf.DUMMYFUNCTION("""COMPUTED_VALUE"""),315.04761904761904)</f>
        <v>315.047619</v>
      </c>
      <c r="P626" s="30">
        <f>IFERROR(__xludf.DUMMYFUNCTION("""COMPUTED_VALUE"""),0.6984126984126986)</f>
        <v>0.6984126984</v>
      </c>
      <c r="Q626" s="30">
        <f>IFERROR(__xludf.DUMMYFUNCTION("""COMPUTED_VALUE"""),0.4444444444444445)</f>
        <v>0.4444444444</v>
      </c>
      <c r="R626" s="30">
        <f>IFERROR(__xludf.DUMMYFUNCTION("""COMPUTED_VALUE"""),1.0634920634920637)</f>
        <v>1.063492063</v>
      </c>
      <c r="S626" s="30">
        <f>IFERROR(__xludf.DUMMYFUNCTION("""COMPUTED_VALUE"""),2.253968253968254)</f>
        <v>2.253968254</v>
      </c>
      <c r="T626" s="30">
        <f>IFERROR(__xludf.DUMMYFUNCTION("""COMPUTED_VALUE"""),320.9931862064597)</f>
        <v>320.9931862</v>
      </c>
      <c r="U626" s="30">
        <f>IFERROR(__xludf.DUMMYFUNCTION("""COMPUTED_VALUE"""),0.7052640971620426)</f>
        <v>0.7052640972</v>
      </c>
      <c r="V626" s="30">
        <f>IFERROR(__xludf.DUMMYFUNCTION("""COMPUTED_VALUE"""),0.47783664845607504)</f>
        <v>0.4778366485</v>
      </c>
      <c r="W626" s="30">
        <f>IFERROR(__xludf.DUMMYFUNCTION("""COMPUTED_VALUE"""),1.201775758986007)</f>
        <v>1.201775759</v>
      </c>
      <c r="X626" s="30">
        <f>IFERROR(__xludf.DUMMYFUNCTION("""COMPUTED_VALUE"""),2.2889645711741657)</f>
        <v>2.288964571</v>
      </c>
      <c r="Y626" s="30">
        <f>IFERROR(__xludf.DUMMYFUNCTION("""COMPUTED_VALUE"""),339.7308928193563)</f>
        <v>339.7308928</v>
      </c>
      <c r="Z626" s="30">
        <f>IFERROR(__xludf.DUMMYFUNCTION("""COMPUTED_VALUE"""),0.8143379631762875)</f>
        <v>0.8143379632</v>
      </c>
      <c r="AA626" s="30">
        <f>IFERROR(__xludf.DUMMYFUNCTION("""COMPUTED_VALUE"""),0.5677012089301459)</f>
        <v>0.5677012089</v>
      </c>
      <c r="AB626" s="30">
        <f>IFERROR(__xludf.DUMMYFUNCTION("""COMPUTED_VALUE"""),1.1601066322712783)</f>
        <v>1.160106632</v>
      </c>
      <c r="AC626" s="30">
        <f>IFERROR(__xludf.DUMMYFUNCTION("""COMPUTED_VALUE"""),2.5141576406846022)</f>
        <v>2.514157641</v>
      </c>
      <c r="AD626" s="30">
        <f>IFERROR(__xludf.DUMMYFUNCTION("""COMPUTED_VALUE"""),1.102413167126822)</f>
        <v>1.102413167</v>
      </c>
      <c r="AE626" s="30">
        <f>IFERROR(__xludf.DUMMYFUNCTION("""COMPUTED_VALUE"""),1.1695156009505372)</f>
        <v>1.169515601</v>
      </c>
      <c r="AF626" s="30">
        <f>IFERROR(__xludf.DUMMYFUNCTION("""COMPUTED_VALUE"""),1.0065657117508167)</f>
        <v>1.006565712</v>
      </c>
      <c r="AG626" s="30">
        <f>IFERROR(__xludf.DUMMYFUNCTION("""COMPUTED_VALUE"""),0.9440839874295157)</f>
        <v>0.9440839874</v>
      </c>
      <c r="AH626" s="30">
        <f>IFERROR(__xludf.DUMMYFUNCTION("""COMPUTED_VALUE"""),1.0796004476261152)</f>
        <v>1.079600448</v>
      </c>
      <c r="AI626" s="30">
        <f>IFERROR(__xludf.DUMMYFUNCTION("""COMPUTED_VALUE"""),0.9814775907579031)</f>
        <v>0.9814775908</v>
      </c>
      <c r="AJ626" s="30">
        <f>IFERROR(__xludf.DUMMYFUNCTION("""COMPUTED_VALUE"""),0.9902853430694774)</f>
        <v>0.9902853431</v>
      </c>
      <c r="AK626" s="30">
        <f>IFERROR(__xludf.DUMMYFUNCTION("""COMPUTED_VALUE"""),0.9301179511460178)</f>
        <v>0.9301179511</v>
      </c>
      <c r="AL626" s="30">
        <f>IFERROR(__xludf.DUMMYFUNCTION("""COMPUTED_VALUE"""),0.8849338618623664)</f>
        <v>0.8849338619</v>
      </c>
      <c r="AM626" s="30">
        <f>IFERROR(__xludf.DUMMYFUNCTION("""COMPUTED_VALUE"""),0.9847108523886152)</f>
        <v>0.9847108524</v>
      </c>
      <c r="AN626" s="30">
        <f>IFERROR(__xludf.DUMMYFUNCTION("""COMPUTED_VALUE"""),1.151249320011486)</f>
        <v>1.15124932</v>
      </c>
      <c r="AO626" s="30">
        <f>IFERROR(__xludf.DUMMYFUNCTION("""COMPUTED_VALUE"""),1.3031250609467862)</f>
        <v>1.303125061</v>
      </c>
      <c r="AP626" s="30">
        <f>IFERROR(__xludf.DUMMYFUNCTION("""COMPUTED_VALUE"""),1.1083836617906593)</f>
        <v>1.108383662</v>
      </c>
      <c r="AQ626" s="30">
        <f>IFERROR(__xludf.DUMMYFUNCTION("""COMPUTED_VALUE"""),0.9083729395545718)</f>
        <v>0.9083729396</v>
      </c>
      <c r="AR626" s="30">
        <f>IFERROR(__xludf.DUMMYFUNCTION("""COMPUTED_VALUE"""),1.140658462534362)</f>
        <v>1.140658463</v>
      </c>
      <c r="AS626" s="30">
        <f>IFERROR(__xludf.DUMMYFUNCTION("""COMPUTED_VALUE"""),53.0)</f>
        <v>53</v>
      </c>
      <c r="AT626" s="30">
        <f>IFERROR(__xludf.DUMMYFUNCTION("""COMPUTED_VALUE"""),0.5716829625812315)</f>
        <v>0.5716829626</v>
      </c>
      <c r="AU626" s="30">
        <f>IFERROR(__xludf.DUMMYFUNCTION("""COMPUTED_VALUE"""),3.5905486963282605)</f>
        <v>3.590548696</v>
      </c>
      <c r="AV626" s="32">
        <f>IFERROR(__xludf.DUMMYFUNCTION("""COMPUTED_VALUE"""),69.50095422715381)</f>
        <v>69.50095423</v>
      </c>
      <c r="AW626" s="32">
        <f>IFERROR(__xludf.DUMMYFUNCTION("""COMPUTED_VALUE"""),4.5938105741813695)</f>
        <v>4.593810574</v>
      </c>
      <c r="AX626" s="32">
        <f>IFERROR(__xludf.DUMMYFUNCTION("""COMPUTED_VALUE"""),79.02387761552475)</f>
        <v>79.02387762</v>
      </c>
      <c r="AY626" s="32">
        <f>IFERROR(__xludf.DUMMYFUNCTION("""COMPUTED_VALUE"""),8.141328329120334)</f>
        <v>8.141328329</v>
      </c>
      <c r="AZ626" s="30">
        <f>IFERROR(__xludf.DUMMYFUNCTION("""COMPUTED_VALUE"""),3.5475177549389647)</f>
        <v>3.547517755</v>
      </c>
      <c r="BA626" s="30">
        <f>IFERROR(__xludf.DUMMYFUNCTION("""COMPUTED_VALUE"""),2300.0)</f>
        <v>2300</v>
      </c>
    </row>
    <row r="627">
      <c r="A627" s="71" t="str">
        <f>IFERROR(__xludf.DUMMYFUNCTION("""COMPUTED_VALUE"""),"Challenger")</f>
        <v>Challenger</v>
      </c>
      <c r="B627" s="71" t="str">
        <f>IFERROR(__xludf.DUMMYFUNCTION("""COMPUTED_VALUE"""),"RSC007560")</f>
        <v>RSC007560</v>
      </c>
      <c r="C627" s="30" t="str">
        <f>IFERROR(__xludf.DUMMYFUNCTION("""COMPUTED_VALUE"""),"ObiWan_Can_O_Bee")</f>
        <v>ObiWan_Can_O_Bee</v>
      </c>
      <c r="D627" s="30" t="str">
        <f>IFERROR(__xludf.DUMMYFUNCTION("""COMPUTED_VALUE"""),"Shade")</f>
        <v>Shade</v>
      </c>
      <c r="E627" s="30">
        <f>IFERROR(__xludf.DUMMYFUNCTION("""COMPUTED_VALUE"""),45.0)</f>
        <v>45</v>
      </c>
      <c r="F627" s="30">
        <f>IFERROR(__xludf.DUMMYFUNCTION("""COMPUTED_VALUE"""),14.0)</f>
        <v>14</v>
      </c>
      <c r="G627" s="42">
        <f>IFERROR(__xludf.DUMMYFUNCTION("""COMPUTED_VALUE"""),31.0)</f>
        <v>31</v>
      </c>
      <c r="H627" s="42">
        <f>IFERROR(__xludf.DUMMYFUNCTION("""COMPUTED_VALUE"""),0.3111111111111111)</f>
        <v>0.3111111111</v>
      </c>
      <c r="I627" s="42">
        <f>IFERROR(__xludf.DUMMYFUNCTION("""COMPUTED_VALUE"""),0.2549019607843137)</f>
        <v>0.2549019608</v>
      </c>
      <c r="J627" s="30">
        <f>IFERROR(__xludf.DUMMYFUNCTION("""COMPUTED_VALUE"""),288.26666666666665)</f>
        <v>288.2666667</v>
      </c>
      <c r="K627" s="30">
        <f>IFERROR(__xludf.DUMMYFUNCTION("""COMPUTED_VALUE"""),0.5777777777777777)</f>
        <v>0.5777777778</v>
      </c>
      <c r="L627" s="30">
        <f>IFERROR(__xludf.DUMMYFUNCTION("""COMPUTED_VALUE"""),0.2)</f>
        <v>0.2</v>
      </c>
      <c r="M627" s="30">
        <f>IFERROR(__xludf.DUMMYFUNCTION("""COMPUTED_VALUE"""),1.2444444444444445)</f>
        <v>1.244444444</v>
      </c>
      <c r="N627" s="30">
        <f>IFERROR(__xludf.DUMMYFUNCTION("""COMPUTED_VALUE"""),2.2666666666666666)</f>
        <v>2.266666667</v>
      </c>
      <c r="O627" s="30">
        <f>IFERROR(__xludf.DUMMYFUNCTION("""COMPUTED_VALUE"""),357.65185185185186)</f>
        <v>357.6518519</v>
      </c>
      <c r="P627" s="30">
        <f>IFERROR(__xludf.DUMMYFUNCTION("""COMPUTED_VALUE"""),0.8962962962962964)</f>
        <v>0.8962962963</v>
      </c>
      <c r="Q627" s="30">
        <f>IFERROR(__xludf.DUMMYFUNCTION("""COMPUTED_VALUE"""),0.6814814814814815)</f>
        <v>0.6814814815</v>
      </c>
      <c r="R627" s="30">
        <f>IFERROR(__xludf.DUMMYFUNCTION("""COMPUTED_VALUE"""),1.2444444444444445)</f>
        <v>1.244444444</v>
      </c>
      <c r="S627" s="30">
        <f>IFERROR(__xludf.DUMMYFUNCTION("""COMPUTED_VALUE"""),2.4370370370370367)</f>
        <v>2.437037037</v>
      </c>
      <c r="T627" s="30">
        <f>IFERROR(__xludf.DUMMYFUNCTION("""COMPUTED_VALUE"""),337.71030997144686)</f>
        <v>337.71031</v>
      </c>
      <c r="U627" s="30">
        <f>IFERROR(__xludf.DUMMYFUNCTION("""COMPUTED_VALUE"""),0.793295275281391)</f>
        <v>0.7932952753</v>
      </c>
      <c r="V627" s="30">
        <f>IFERROR(__xludf.DUMMYFUNCTION("""COMPUTED_VALUE"""),0.5584601278303987)</f>
        <v>0.5584601278</v>
      </c>
      <c r="W627" s="30">
        <f>IFERROR(__xludf.DUMMYFUNCTION("""COMPUTED_VALUE"""),1.2139544033397112)</f>
        <v>1.213954403</v>
      </c>
      <c r="X627" s="30">
        <f>IFERROR(__xludf.DUMMYFUNCTION("""COMPUTED_VALUE"""),2.47609238392263)</f>
        <v>2.476092384</v>
      </c>
      <c r="Y627" s="30">
        <f>IFERROR(__xludf.DUMMYFUNCTION("""COMPUTED_VALUE"""),329.25485951791)</f>
        <v>329.2548595</v>
      </c>
      <c r="Z627" s="30">
        <f>IFERROR(__xludf.DUMMYFUNCTION("""COMPUTED_VALUE"""),0.7487142032930939)</f>
        <v>0.7487142033</v>
      </c>
      <c r="AA627" s="30">
        <f>IFERROR(__xludf.DUMMYFUNCTION("""COMPUTED_VALUE"""),0.5251162417899365)</f>
        <v>0.5251162418</v>
      </c>
      <c r="AB627" s="30">
        <f>IFERROR(__xludf.DUMMYFUNCTION("""COMPUTED_VALUE"""),1.2089858042727555)</f>
        <v>1.208985804</v>
      </c>
      <c r="AC627" s="30">
        <f>IFERROR(__xludf.DUMMYFUNCTION("""COMPUTED_VALUE"""),2.413047930573464)</f>
        <v>2.413047931</v>
      </c>
      <c r="AD627" s="30">
        <f>IFERROR(__xludf.DUMMYFUNCTION("""COMPUTED_VALUE"""),0.8755122615008396)</f>
        <v>0.8755122615</v>
      </c>
      <c r="AE627" s="30">
        <f>IFERROR(__xludf.DUMMYFUNCTION("""COMPUTED_VALUE"""),0.7716933580751093)</f>
        <v>0.7716933581</v>
      </c>
      <c r="AF627" s="30">
        <f>IFERROR(__xludf.DUMMYFUNCTION("""COMPUTED_VALUE"""),0.38086805183985617)</f>
        <v>0.3808680518</v>
      </c>
      <c r="AG627" s="30">
        <f>IFERROR(__xludf.DUMMYFUNCTION("""COMPUTED_VALUE"""),1.0293292444347752)</f>
        <v>1.029329244</v>
      </c>
      <c r="AH627" s="30">
        <f>IFERROR(__xludf.DUMMYFUNCTION("""COMPUTED_VALUE"""),0.9393376061651583)</f>
        <v>0.9393376062</v>
      </c>
      <c r="AI627" s="30">
        <f>IFERROR(__xludf.DUMMYFUNCTION("""COMPUTED_VALUE"""),1.059049254025117)</f>
        <v>1.059049254</v>
      </c>
      <c r="AJ627" s="30">
        <f>IFERROR(__xludf.DUMMYFUNCTION("""COMPUTED_VALUE"""),1.1298394484681251)</f>
        <v>1.129839448</v>
      </c>
      <c r="AK627" s="30">
        <f>IFERROR(__xludf.DUMMYFUNCTION("""COMPUTED_VALUE"""),1.2202867268770237)</f>
        <v>1.220286727</v>
      </c>
      <c r="AL627" s="30">
        <f>IFERROR(__xludf.DUMMYFUNCTION("""COMPUTED_VALUE"""),1.025116298454746)</f>
        <v>1.025116298</v>
      </c>
      <c r="AM627" s="30">
        <f>IFERROR(__xludf.DUMMYFUNCTION("""COMPUTED_VALUE"""),0.9842270235395167)</f>
        <v>0.9842270235</v>
      </c>
      <c r="AN627" s="30">
        <f>IFERROR(__xludf.DUMMYFUNCTION("""COMPUTED_VALUE"""),0.8861033545609067)</f>
        <v>0.8861033546</v>
      </c>
      <c r="AO627" s="30">
        <f>IFERROR(__xludf.DUMMYFUNCTION("""COMPUTED_VALUE"""),0.7905625369743836)</f>
        <v>0.790562537</v>
      </c>
      <c r="AP627" s="30">
        <f>IFERROR(__xludf.DUMMYFUNCTION("""COMPUTED_VALUE"""),0.3879342816267308)</f>
        <v>0.3879342816</v>
      </c>
      <c r="AQ627" s="30">
        <f>IFERROR(__xludf.DUMMYFUNCTION("""COMPUTED_VALUE"""),1.0321222965373684)</f>
        <v>1.032122297</v>
      </c>
      <c r="AR627" s="30">
        <f>IFERROR(__xludf.DUMMYFUNCTION("""COMPUTED_VALUE"""),0.9525498739760637)</f>
        <v>0.952549874</v>
      </c>
      <c r="AS627" s="30">
        <f>IFERROR(__xludf.DUMMYFUNCTION("""COMPUTED_VALUE"""),63.0)</f>
        <v>63</v>
      </c>
      <c r="AT627" s="30">
        <f>IFERROR(__xludf.DUMMYFUNCTION("""COMPUTED_VALUE"""),0.273344223249311)</f>
        <v>0.2733442232</v>
      </c>
      <c r="AU627" s="30">
        <f>IFERROR(__xludf.DUMMYFUNCTION("""COMPUTED_VALUE"""),1.81034792756966)</f>
        <v>1.810347928</v>
      </c>
      <c r="AV627" s="32">
        <f>IFERROR(__xludf.DUMMYFUNCTION("""COMPUTED_VALUE"""),23.040810451086358)</f>
        <v>23.04081045</v>
      </c>
      <c r="AW627" s="32">
        <f>IFERROR(__xludf.DUMMYFUNCTION("""COMPUTED_VALUE"""),-7.120738395017124)</f>
        <v>-7.120738395</v>
      </c>
      <c r="AX627" s="32">
        <f>IFERROR(__xludf.DUMMYFUNCTION("""COMPUTED_VALUE"""),33.75496981610426)</f>
        <v>33.75496982</v>
      </c>
      <c r="AY627" s="32">
        <f>IFERROR(__xludf.DUMMYFUNCTION("""COMPUTED_VALUE"""),-3.877316743293594)</f>
        <v>-3.877316743</v>
      </c>
      <c r="AZ627" s="30">
        <f>IFERROR(__xludf.DUMMYFUNCTION("""COMPUTED_VALUE"""),3.24342165172353)</f>
        <v>3.243421652</v>
      </c>
      <c r="BA627" s="30">
        <f>IFERROR(__xludf.DUMMYFUNCTION("""COMPUTED_VALUE"""),2300.0)</f>
        <v>2300</v>
      </c>
    </row>
    <row r="628">
      <c r="A628" s="71" t="str">
        <f>IFERROR(__xludf.DUMMYFUNCTION("""COMPUTED_VALUE"""),"Challenger")</f>
        <v>Challenger</v>
      </c>
      <c r="B628" s="71" t="str">
        <f>IFERROR(__xludf.DUMMYFUNCTION("""COMPUTED_VALUE"""),"RSC006217")</f>
        <v>RSC006217</v>
      </c>
      <c r="C628" s="30" t="str">
        <f>IFERROR(__xludf.DUMMYFUNCTION("""COMPUTED_VALUE"""),"Subj3ct_Teonligas")</f>
        <v>Subj3ct_Teonligas</v>
      </c>
      <c r="D628" s="30" t="str">
        <f>IFERROR(__xludf.DUMMYFUNCTION("""COMPUTED_VALUE"""),"Lions")</f>
        <v>Lions</v>
      </c>
      <c r="E628" s="30">
        <f>IFERROR(__xludf.DUMMYFUNCTION("""COMPUTED_VALUE"""),3.0)</f>
        <v>3</v>
      </c>
      <c r="F628" s="30">
        <f>IFERROR(__xludf.DUMMYFUNCTION("""COMPUTED_VALUE"""),1.0)</f>
        <v>1</v>
      </c>
      <c r="G628" s="42">
        <f>IFERROR(__xludf.DUMMYFUNCTION("""COMPUTED_VALUE"""),2.0)</f>
        <v>2</v>
      </c>
      <c r="H628" s="42">
        <f>IFERROR(__xludf.DUMMYFUNCTION("""COMPUTED_VALUE"""),0.3333333333333333)</f>
        <v>0.3333333333</v>
      </c>
      <c r="I628" s="42">
        <f>IFERROR(__xludf.DUMMYFUNCTION("""COMPUTED_VALUE"""),0.0)</f>
        <v>0</v>
      </c>
      <c r="J628" s="30">
        <f>IFERROR(__xludf.DUMMYFUNCTION("""COMPUTED_VALUE"""),189.0)</f>
        <v>189</v>
      </c>
      <c r="K628" s="30">
        <f>IFERROR(__xludf.DUMMYFUNCTION("""COMPUTED_VALUE"""),0.0)</f>
        <v>0</v>
      </c>
      <c r="L628" s="30">
        <f>IFERROR(__xludf.DUMMYFUNCTION("""COMPUTED_VALUE"""),0.3333333333333333)</f>
        <v>0.3333333333</v>
      </c>
      <c r="M628" s="30">
        <f>IFERROR(__xludf.DUMMYFUNCTION("""COMPUTED_VALUE"""),0.6666666666666666)</f>
        <v>0.6666666667</v>
      </c>
      <c r="N628" s="30">
        <f>IFERROR(__xludf.DUMMYFUNCTION("""COMPUTED_VALUE"""),2.3333333333333335)</f>
        <v>2.333333333</v>
      </c>
      <c r="O628" s="30">
        <f>IFERROR(__xludf.DUMMYFUNCTION("""COMPUTED_VALUE"""),328.77777777777777)</f>
        <v>328.7777778</v>
      </c>
      <c r="P628" s="30">
        <f>IFERROR(__xludf.DUMMYFUNCTION("""COMPUTED_VALUE"""),0.6666666666666666)</f>
        <v>0.6666666667</v>
      </c>
      <c r="Q628" s="30">
        <f>IFERROR(__xludf.DUMMYFUNCTION("""COMPUTED_VALUE"""),0.6666666666666666)</f>
        <v>0.6666666667</v>
      </c>
      <c r="R628" s="30">
        <f>IFERROR(__xludf.DUMMYFUNCTION("""COMPUTED_VALUE"""),1.3333333333333333)</f>
        <v>1.333333333</v>
      </c>
      <c r="S628" s="30">
        <f>IFERROR(__xludf.DUMMYFUNCTION("""COMPUTED_VALUE"""),1.888888888888889)</f>
        <v>1.888888889</v>
      </c>
      <c r="T628" s="30">
        <f>IFERROR(__xludf.DUMMYFUNCTION("""COMPUTED_VALUE"""),375.326893939394)</f>
        <v>375.3268939</v>
      </c>
      <c r="U628" s="30">
        <f>IFERROR(__xludf.DUMMYFUNCTION("""COMPUTED_VALUE"""),0.9919191919191919)</f>
        <v>0.9919191919</v>
      </c>
      <c r="V628" s="30">
        <f>IFERROR(__xludf.DUMMYFUNCTION("""COMPUTED_VALUE"""),0.7256313131313131)</f>
        <v>0.7256313131</v>
      </c>
      <c r="W628" s="30">
        <f>IFERROR(__xludf.DUMMYFUNCTION("""COMPUTED_VALUE"""),1.2178030303030303)</f>
        <v>1.21780303</v>
      </c>
      <c r="X628" s="30">
        <f>IFERROR(__xludf.DUMMYFUNCTION("""COMPUTED_VALUE"""),2.70530303030303)</f>
        <v>2.70530303</v>
      </c>
      <c r="Y628" s="30">
        <f>IFERROR(__xludf.DUMMYFUNCTION("""COMPUTED_VALUE"""),310.60408249158246)</f>
        <v>310.6040825</v>
      </c>
      <c r="Z628" s="30">
        <f>IFERROR(__xludf.DUMMYFUNCTION("""COMPUTED_VALUE"""),0.6133417508417507)</f>
        <v>0.6133417508</v>
      </c>
      <c r="AA628" s="30">
        <f>IFERROR(__xludf.DUMMYFUNCTION("""COMPUTED_VALUE"""),0.4723063973063973)</f>
        <v>0.4723063973</v>
      </c>
      <c r="AB628" s="30">
        <f>IFERROR(__xludf.DUMMYFUNCTION("""COMPUTED_VALUE"""),1.2537457912457912)</f>
        <v>1.253745791</v>
      </c>
      <c r="AC628" s="30">
        <f>IFERROR(__xludf.DUMMYFUNCTION("""COMPUTED_VALUE"""),2.17996632996633)</f>
        <v>2.17996633</v>
      </c>
      <c r="AD628" s="30">
        <f>IFERROR(__xludf.DUMMYFUNCTION("""COMPUTED_VALUE"""),0.6084916800960657)</f>
        <v>0.6084916801</v>
      </c>
      <c r="AE628" s="30">
        <f>IFERROR(__xludf.DUMMYFUNCTION("""COMPUTED_VALUE"""),0.0)</f>
        <v>0</v>
      </c>
      <c r="AF628" s="30">
        <f>IFERROR(__xludf.DUMMYFUNCTION("""COMPUTED_VALUE"""),0.7057565496346462)</f>
        <v>0.7057565496</v>
      </c>
      <c r="AG628" s="30">
        <f>IFERROR(__xludf.DUMMYFUNCTION("""COMPUTED_VALUE"""),0.5317399039914062)</f>
        <v>0.531739904</v>
      </c>
      <c r="AH628" s="30">
        <f>IFERROR(__xludf.DUMMYFUNCTION("""COMPUTED_VALUE"""),1.0703529230056374)</f>
        <v>1.070352923</v>
      </c>
      <c r="AI628" s="30">
        <f>IFERROR(__xludf.DUMMYFUNCTION("""COMPUTED_VALUE"""),0.875977136428884)</f>
        <v>0.8759771364</v>
      </c>
      <c r="AJ628" s="30">
        <f>IFERROR(__xludf.DUMMYFUNCTION("""COMPUTED_VALUE"""),0.6720977596741344)</f>
        <v>0.6720977597</v>
      </c>
      <c r="AK628" s="30">
        <f>IFERROR(__xludf.DUMMYFUNCTION("""COMPUTED_VALUE"""),0.9187402122846702)</f>
        <v>0.9187402123</v>
      </c>
      <c r="AL628" s="30">
        <f>IFERROR(__xludf.DUMMYFUNCTION("""COMPUTED_VALUE"""),1.0948678071539657)</f>
        <v>1.094867807</v>
      </c>
      <c r="AM628" s="30">
        <f>IFERROR(__xludf.DUMMYFUNCTION("""COMPUTED_VALUE"""),0.69821711938766)</f>
        <v>0.6982171194</v>
      </c>
      <c r="AN628" s="30">
        <f>IFERROR(__xludf.DUMMYFUNCTION("""COMPUTED_VALUE"""),0.5809673936586889)</f>
        <v>0.5809673937</v>
      </c>
      <c r="AO628" s="30">
        <f>IFERROR(__xludf.DUMMYFUNCTION("""COMPUTED_VALUE"""),0.0)</f>
        <v>0</v>
      </c>
      <c r="AP628" s="30">
        <f>IFERROR(__xludf.DUMMYFUNCTION("""COMPUTED_VALUE"""),0.6465571360445512)</f>
        <v>0.646557136</v>
      </c>
      <c r="AQ628" s="30">
        <f>IFERROR(__xludf.DUMMYFUNCTION("""COMPUTED_VALUE"""),0.5529226588593045)</f>
        <v>0.5529226589</v>
      </c>
      <c r="AR628" s="30">
        <f>IFERROR(__xludf.DUMMYFUNCTION("""COMPUTED_VALUE"""),0.9805660467400656)</f>
        <v>0.9805660467</v>
      </c>
      <c r="AS628" s="30">
        <f>IFERROR(__xludf.DUMMYFUNCTION("""COMPUTED_VALUE"""),5.0)</f>
        <v>5</v>
      </c>
      <c r="AT628" s="30">
        <f>IFERROR(__xludf.DUMMYFUNCTION("""COMPUTED_VALUE"""),0.43420420792280556)</f>
        <v>0.4342042079</v>
      </c>
      <c r="AU628" s="30">
        <f>IFERROR(__xludf.DUMMYFUNCTION("""COMPUTED_VALUE"""),1.26823894700751)</f>
        <v>1.268238947</v>
      </c>
      <c r="AV628" s="32">
        <f>IFERROR(__xludf.DUMMYFUNCTION("""COMPUTED_VALUE"""),8.892708944098302)</f>
        <v>8.892708944</v>
      </c>
      <c r="AW628" s="32">
        <f>IFERROR(__xludf.DUMMYFUNCTION("""COMPUTED_VALUE"""),-19.97683189014419)</f>
        <v>-19.97683189</v>
      </c>
      <c r="AX628" s="32">
        <f>IFERROR(__xludf.DUMMYFUNCTION("""COMPUTED_VALUE"""),7.117583003417472)</f>
        <v>7.117583003</v>
      </c>
      <c r="AY628" s="32">
        <f>IFERROR(__xludf.DUMMYFUNCTION("""COMPUTED_VALUE"""),-23.17742923920041)</f>
        <v>-23.17742924</v>
      </c>
      <c r="AZ628" s="30">
        <f>IFERROR(__xludf.DUMMYFUNCTION("""COMPUTED_VALUE"""),3.2005973490562205)</f>
        <v>3.200597349</v>
      </c>
      <c r="BA628" s="30">
        <f>IFERROR(__xludf.DUMMYFUNCTION("""COMPUTED_VALUE"""),2300.0)</f>
        <v>2300</v>
      </c>
    </row>
    <row r="629">
      <c r="A629" s="71" t="str">
        <f>IFERROR(__xludf.DUMMYFUNCTION("""COMPUTED_VALUE"""),"Challenger")</f>
        <v>Challenger</v>
      </c>
      <c r="B629" s="71" t="str">
        <f>IFERROR(__xludf.DUMMYFUNCTION("""COMPUTED_VALUE"""),"RSC003193")</f>
        <v>RSC003193</v>
      </c>
      <c r="C629" s="30" t="str">
        <f>IFERROR(__xludf.DUMMYFUNCTION("""COMPUTED_VALUE"""),"ShiftDrink")</f>
        <v>ShiftDrink</v>
      </c>
      <c r="D629" s="30" t="str">
        <f>IFERROR(__xludf.DUMMYFUNCTION("""COMPUTED_VALUE"""),"Mugged")</f>
        <v>Mugged</v>
      </c>
      <c r="E629" s="30">
        <f>IFERROR(__xludf.DUMMYFUNCTION("""COMPUTED_VALUE"""),10.0)</f>
        <v>10</v>
      </c>
      <c r="F629" s="30">
        <f>IFERROR(__xludf.DUMMYFUNCTION("""COMPUTED_VALUE"""),4.0)</f>
        <v>4</v>
      </c>
      <c r="G629" s="42">
        <f>IFERROR(__xludf.DUMMYFUNCTION("""COMPUTED_VALUE"""),6.0)</f>
        <v>6</v>
      </c>
      <c r="H629" s="42">
        <f>IFERROR(__xludf.DUMMYFUNCTION("""COMPUTED_VALUE"""),0.4)</f>
        <v>0.4</v>
      </c>
      <c r="I629" s="42">
        <f>IFERROR(__xludf.DUMMYFUNCTION("""COMPUTED_VALUE"""),0.3928571428571429)</f>
        <v>0.3928571429</v>
      </c>
      <c r="J629" s="30">
        <f>IFERROR(__xludf.DUMMYFUNCTION("""COMPUTED_VALUE"""),372.0)</f>
        <v>372</v>
      </c>
      <c r="K629" s="30">
        <f>IFERROR(__xludf.DUMMYFUNCTION("""COMPUTED_VALUE"""),1.1)</f>
        <v>1.1</v>
      </c>
      <c r="L629" s="30">
        <f>IFERROR(__xludf.DUMMYFUNCTION("""COMPUTED_VALUE"""),0.6)</f>
        <v>0.6</v>
      </c>
      <c r="M629" s="30">
        <f>IFERROR(__xludf.DUMMYFUNCTION("""COMPUTED_VALUE"""),1.1)</f>
        <v>1.1</v>
      </c>
      <c r="N629" s="30">
        <f>IFERROR(__xludf.DUMMYFUNCTION("""COMPUTED_VALUE"""),2.8)</f>
        <v>2.8</v>
      </c>
      <c r="O629" s="30">
        <f>IFERROR(__xludf.DUMMYFUNCTION("""COMPUTED_VALUE"""),353.6333333333333)</f>
        <v>353.6333333</v>
      </c>
      <c r="P629" s="30">
        <f>IFERROR(__xludf.DUMMYFUNCTION("""COMPUTED_VALUE"""),0.9)</f>
        <v>0.9</v>
      </c>
      <c r="Q629" s="30">
        <f>IFERROR(__xludf.DUMMYFUNCTION("""COMPUTED_VALUE"""),0.6333333333333333)</f>
        <v>0.6333333333</v>
      </c>
      <c r="R629" s="30">
        <f>IFERROR(__xludf.DUMMYFUNCTION("""COMPUTED_VALUE"""),1.2)</f>
        <v>1.2</v>
      </c>
      <c r="S629" s="30">
        <f>IFERROR(__xludf.DUMMYFUNCTION("""COMPUTED_VALUE"""),2.666666666666667)</f>
        <v>2.666666667</v>
      </c>
      <c r="T629" s="30">
        <f>IFERROR(__xludf.DUMMYFUNCTION("""COMPUTED_VALUE"""),342.58080132340035)</f>
        <v>342.5808013</v>
      </c>
      <c r="U629" s="30">
        <f>IFERROR(__xludf.DUMMYFUNCTION("""COMPUTED_VALUE"""),0.7648009780833276)</f>
        <v>0.7648009781</v>
      </c>
      <c r="V629" s="30">
        <f>IFERROR(__xludf.DUMMYFUNCTION("""COMPUTED_VALUE"""),0.5772150494525059)</f>
        <v>0.5772150495</v>
      </c>
      <c r="W629" s="30">
        <f>IFERROR(__xludf.DUMMYFUNCTION("""COMPUTED_VALUE"""),1.3095633172083214)</f>
        <v>1.309563317</v>
      </c>
      <c r="X629" s="30">
        <f>IFERROR(__xludf.DUMMYFUNCTION("""COMPUTED_VALUE"""),2.5892813261447563)</f>
        <v>2.589281326</v>
      </c>
      <c r="Y629" s="30">
        <f>IFERROR(__xludf.DUMMYFUNCTION("""COMPUTED_VALUE"""),349.34753030329534)</f>
        <v>349.3475303</v>
      </c>
      <c r="Z629" s="30">
        <f>IFERROR(__xludf.DUMMYFUNCTION("""COMPUTED_VALUE"""),0.7860327297147285)</f>
        <v>0.7860327297</v>
      </c>
      <c r="AA629" s="30">
        <f>IFERROR(__xludf.DUMMYFUNCTION("""COMPUTED_VALUE"""),0.5720188680742262)</f>
        <v>0.5720188681</v>
      </c>
      <c r="AB629" s="30">
        <f>IFERROR(__xludf.DUMMYFUNCTION("""COMPUTED_VALUE"""),1.3346449696805998)</f>
        <v>1.33464497</v>
      </c>
      <c r="AC629" s="30">
        <f>IFERROR(__xludf.DUMMYFUNCTION("""COMPUTED_VALUE"""),2.500760113950541)</f>
        <v>2.500760114</v>
      </c>
      <c r="AD629" s="30">
        <f>IFERROR(__xludf.DUMMYFUNCTION("""COMPUTED_VALUE"""),1.064842220802415)</f>
        <v>1.064842221</v>
      </c>
      <c r="AE629" s="30">
        <f>IFERROR(__xludf.DUMMYFUNCTION("""COMPUTED_VALUE"""),1.399432820563615)</f>
        <v>1.399432821</v>
      </c>
      <c r="AF629" s="30">
        <f>IFERROR(__xludf.DUMMYFUNCTION("""COMPUTED_VALUE"""),1.0489164492422702)</f>
        <v>1.048916449</v>
      </c>
      <c r="AG629" s="30">
        <f>IFERROR(__xludf.DUMMYFUNCTION("""COMPUTED_VALUE"""),0.8241892225939654)</f>
        <v>0.8241892226</v>
      </c>
      <c r="AH629" s="30">
        <f>IFERROR(__xludf.DUMMYFUNCTION("""COMPUTED_VALUE"""),1.1196595724556477)</f>
        <v>1.119659572</v>
      </c>
      <c r="AI629" s="30">
        <f>IFERROR(__xludf.DUMMYFUNCTION("""COMPUTED_VALUE"""),1.0322625551905906)</f>
        <v>1.032262555</v>
      </c>
      <c r="AJ629" s="30">
        <f>IFERROR(__xludf.DUMMYFUNCTION("""COMPUTED_VALUE"""),1.176776737727893)</f>
        <v>1.176776738</v>
      </c>
      <c r="AK629" s="30">
        <f>IFERROR(__xludf.DUMMYFUNCTION("""COMPUTED_VALUE"""),1.0972224891469067)</f>
        <v>1.097222489</v>
      </c>
      <c r="AL629" s="30">
        <f>IFERROR(__xludf.DUMMYFUNCTION("""COMPUTED_VALUE"""),0.9163359909608002)</f>
        <v>0.916335991</v>
      </c>
      <c r="AM629" s="30">
        <f>IFERROR(__xludf.DUMMYFUNCTION("""COMPUTED_VALUE"""),1.029886802851636)</f>
        <v>1.029886803</v>
      </c>
      <c r="AN629" s="30">
        <f>IFERROR(__xludf.DUMMYFUNCTION("""COMPUTED_VALUE"""),1.1434913779948797)</f>
        <v>1.143491378</v>
      </c>
      <c r="AO629" s="30">
        <f>IFERROR(__xludf.DUMMYFUNCTION("""COMPUTED_VALUE"""),1.5051094453935383)</f>
        <v>1.505109445</v>
      </c>
      <c r="AP629" s="30">
        <f>IFERROR(__xludf.DUMMYFUNCTION("""COMPUTED_VALUE"""),1.1638028448801923)</f>
        <v>1.163802845</v>
      </c>
      <c r="AQ629" s="30">
        <f>IFERROR(__xludf.DUMMYFUNCTION("""COMPUTED_VALUE"""),0.9123223871178525)</f>
        <v>0.9123223871</v>
      </c>
      <c r="AR629" s="30">
        <f>IFERROR(__xludf.DUMMYFUNCTION("""COMPUTED_VALUE"""),1.1766792560880786)</f>
        <v>1.176679256</v>
      </c>
      <c r="AS629" s="30">
        <f>IFERROR(__xludf.DUMMYFUNCTION("""COMPUTED_VALUE"""),28.0)</f>
        <v>28</v>
      </c>
      <c r="AT629" s="30">
        <f>IFERROR(__xludf.DUMMYFUNCTION("""COMPUTED_VALUE"""),0.5148255886173724)</f>
        <v>0.5148255886</v>
      </c>
      <c r="AU629" s="30">
        <f>IFERROR(__xludf.DUMMYFUNCTION("""COMPUTED_VALUE"""),3.749779387045345)</f>
        <v>3.749779387</v>
      </c>
      <c r="AV629" s="32">
        <f>IFERROR(__xludf.DUMMYFUNCTION("""COMPUTED_VALUE"""),73.65659830624108)</f>
        <v>73.65659831</v>
      </c>
      <c r="AW629" s="32">
        <f>IFERROR(__xludf.DUMMYFUNCTION("""COMPUTED_VALUE"""),5.813717140987151)</f>
        <v>5.813717141</v>
      </c>
      <c r="AX629" s="32">
        <f>IFERROR(__xludf.DUMMYFUNCTION("""COMPUTED_VALUE"""),57.890089398920935)</f>
        <v>57.8900894</v>
      </c>
      <c r="AY629" s="32">
        <f>IFERROR(__xludf.DUMMYFUNCTION("""COMPUTED_VALUE"""),2.6585017940860993)</f>
        <v>2.658501794</v>
      </c>
      <c r="AZ629" s="30">
        <f>IFERROR(__xludf.DUMMYFUNCTION("""COMPUTED_VALUE"""),3.155215346901052)</f>
        <v>3.155215347</v>
      </c>
      <c r="BA629" s="30">
        <f>IFERROR(__xludf.DUMMYFUNCTION("""COMPUTED_VALUE"""),2300.0)</f>
        <v>2300</v>
      </c>
    </row>
    <row r="630">
      <c r="A630" s="71" t="str">
        <f>IFERROR(__xludf.DUMMYFUNCTION("""COMPUTED_VALUE"""),"Challenger")</f>
        <v>Challenger</v>
      </c>
      <c r="B630" s="71" t="str">
        <f>IFERROR(__xludf.DUMMYFUNCTION("""COMPUTED_VALUE"""),"RSC003331")</f>
        <v>RSC003331</v>
      </c>
      <c r="C630" s="30" t="str">
        <f>IFERROR(__xludf.DUMMYFUNCTION("""COMPUTED_VALUE"""),"Frostii")</f>
        <v>Frostii</v>
      </c>
      <c r="D630" s="30" t="str">
        <f>IFERROR(__xludf.DUMMYFUNCTION("""COMPUTED_VALUE"""),"Spearmint")</f>
        <v>Spearmint</v>
      </c>
      <c r="E630" s="30">
        <f>IFERROR(__xludf.DUMMYFUNCTION("""COMPUTED_VALUE"""),34.0)</f>
        <v>34</v>
      </c>
      <c r="F630" s="30">
        <f>IFERROR(__xludf.DUMMYFUNCTION("""COMPUTED_VALUE"""),11.0)</f>
        <v>11</v>
      </c>
      <c r="G630" s="42">
        <f>IFERROR(__xludf.DUMMYFUNCTION("""COMPUTED_VALUE"""),23.0)</f>
        <v>23</v>
      </c>
      <c r="H630" s="42">
        <f>IFERROR(__xludf.DUMMYFUNCTION("""COMPUTED_VALUE"""),0.3235294117647059)</f>
        <v>0.3235294118</v>
      </c>
      <c r="I630" s="42">
        <f>IFERROR(__xludf.DUMMYFUNCTION("""COMPUTED_VALUE"""),0.2571428571428572)</f>
        <v>0.2571428571</v>
      </c>
      <c r="J630" s="30">
        <f>IFERROR(__xludf.DUMMYFUNCTION("""COMPUTED_VALUE"""),286.7352941176471)</f>
        <v>286.7352941</v>
      </c>
      <c r="K630" s="30">
        <f>IFERROR(__xludf.DUMMYFUNCTION("""COMPUTED_VALUE"""),0.5294117647058824)</f>
        <v>0.5294117647</v>
      </c>
      <c r="L630" s="30">
        <f>IFERROR(__xludf.DUMMYFUNCTION("""COMPUTED_VALUE"""),0.4117647058823529)</f>
        <v>0.4117647059</v>
      </c>
      <c r="M630" s="30">
        <f>IFERROR(__xludf.DUMMYFUNCTION("""COMPUTED_VALUE"""),1.0588235294117647)</f>
        <v>1.058823529</v>
      </c>
      <c r="N630" s="30">
        <f>IFERROR(__xludf.DUMMYFUNCTION("""COMPUTED_VALUE"""),2.0588235294117645)</f>
        <v>2.058823529</v>
      </c>
      <c r="O630" s="30">
        <f>IFERROR(__xludf.DUMMYFUNCTION("""COMPUTED_VALUE"""),343.656862745098)</f>
        <v>343.6568627</v>
      </c>
      <c r="P630" s="30">
        <f>IFERROR(__xludf.DUMMYFUNCTION("""COMPUTED_VALUE"""),0.9313725490196078)</f>
        <v>0.931372549</v>
      </c>
      <c r="Q630" s="30">
        <f>IFERROR(__xludf.DUMMYFUNCTION("""COMPUTED_VALUE"""),0.6078431372549018)</f>
        <v>0.6078431373</v>
      </c>
      <c r="R630" s="30">
        <f>IFERROR(__xludf.DUMMYFUNCTION("""COMPUTED_VALUE"""),1.0)</f>
        <v>1</v>
      </c>
      <c r="S630" s="30">
        <f>IFERROR(__xludf.DUMMYFUNCTION("""COMPUTED_VALUE"""),2.6078431372549016)</f>
        <v>2.607843137</v>
      </c>
      <c r="T630" s="30">
        <f>IFERROR(__xludf.DUMMYFUNCTION("""COMPUTED_VALUE"""),329.0784787107932)</f>
        <v>329.0784787</v>
      </c>
      <c r="U630" s="30">
        <f>IFERROR(__xludf.DUMMYFUNCTION("""COMPUTED_VALUE"""),0.746375775303707)</f>
        <v>0.7463757753</v>
      </c>
      <c r="V630" s="30">
        <f>IFERROR(__xludf.DUMMYFUNCTION("""COMPUTED_VALUE"""),0.502528228167499)</f>
        <v>0.5025282282</v>
      </c>
      <c r="W630" s="30">
        <f>IFERROR(__xludf.DUMMYFUNCTION("""COMPUTED_VALUE"""),1.206203373176798)</f>
        <v>1.206203373</v>
      </c>
      <c r="X630" s="30">
        <f>IFERROR(__xludf.DUMMYFUNCTION("""COMPUTED_VALUE"""),2.374245837695761)</f>
        <v>2.374245838</v>
      </c>
      <c r="Y630" s="30">
        <f>IFERROR(__xludf.DUMMYFUNCTION("""COMPUTED_VALUE"""),332.4585277170555)</f>
        <v>332.4585277</v>
      </c>
      <c r="Z630" s="30">
        <f>IFERROR(__xludf.DUMMYFUNCTION("""COMPUTED_VALUE"""),0.7711044155280748)</f>
        <v>0.7711044155</v>
      </c>
      <c r="AA630" s="30">
        <f>IFERROR(__xludf.DUMMYFUNCTION("""COMPUTED_VALUE"""),0.5296992570146952)</f>
        <v>0.529699257</v>
      </c>
      <c r="AB630" s="30">
        <f>IFERROR(__xludf.DUMMYFUNCTION("""COMPUTED_VALUE"""),1.1832841913605645)</f>
        <v>1.183284191</v>
      </c>
      <c r="AC630" s="30">
        <f>IFERROR(__xludf.DUMMYFUNCTION("""COMPUTED_VALUE"""),2.4418724930886637)</f>
        <v>2.441872493</v>
      </c>
      <c r="AD630" s="30">
        <f>IFERROR(__xludf.DUMMYFUNCTION("""COMPUTED_VALUE"""),0.8624693614768035)</f>
        <v>0.8624693615</v>
      </c>
      <c r="AE630" s="30">
        <f>IFERROR(__xludf.DUMMYFUNCTION("""COMPUTED_VALUE"""),0.6865630050157678)</f>
        <v>0.686563005</v>
      </c>
      <c r="AF630" s="30">
        <f>IFERROR(__xludf.DUMMYFUNCTION("""COMPUTED_VALUE"""),0.7773556417711371)</f>
        <v>0.7773556418</v>
      </c>
      <c r="AG630" s="30">
        <f>IFERROR(__xludf.DUMMYFUNCTION("""COMPUTED_VALUE"""),0.894817607758545)</f>
        <v>0.8948176078</v>
      </c>
      <c r="AH630" s="30">
        <f>IFERROR(__xludf.DUMMYFUNCTION("""COMPUTED_VALUE"""),0.8431331018466119)</f>
        <v>0.8431331018</v>
      </c>
      <c r="AI630" s="30">
        <f>IFERROR(__xludf.DUMMYFUNCTION("""COMPUTED_VALUE"""),1.0443006303281135)</f>
        <v>1.04430063</v>
      </c>
      <c r="AJ630" s="30">
        <f>IFERROR(__xludf.DUMMYFUNCTION("""COMPUTED_VALUE"""),1.2478600992115854)</f>
        <v>1.247860099</v>
      </c>
      <c r="AK630" s="30">
        <f>IFERROR(__xludf.DUMMYFUNCTION("""COMPUTED_VALUE"""),1.209570135933339)</f>
        <v>1.209570136</v>
      </c>
      <c r="AL630" s="30">
        <f>IFERROR(__xludf.DUMMYFUNCTION("""COMPUTED_VALUE"""),0.8290475903464631)</f>
        <v>0.8290475903</v>
      </c>
      <c r="AM630" s="30">
        <f>IFERROR(__xludf.DUMMYFUNCTION("""COMPUTED_VALUE"""),1.0983880000336654)</f>
        <v>1.098388</v>
      </c>
      <c r="AN630" s="30">
        <f>IFERROR(__xludf.DUMMYFUNCTION("""COMPUTED_VALUE"""),0.8813960661031058)</f>
        <v>0.8813960661</v>
      </c>
      <c r="AO630" s="30">
        <f>IFERROR(__xludf.DUMMYFUNCTION("""COMPUTED_VALUE"""),0.7243842250557135)</f>
        <v>0.7243842251</v>
      </c>
      <c r="AP630" s="30">
        <f>IFERROR(__xludf.DUMMYFUNCTION("""COMPUTED_VALUE"""),0.7986882268785633)</f>
        <v>0.7986882269</v>
      </c>
      <c r="AQ630" s="30">
        <f>IFERROR(__xludf.DUMMYFUNCTION("""COMPUTED_VALUE"""),0.878171281717719)</f>
        <v>0.8781712817</v>
      </c>
      <c r="AR630" s="30">
        <f>IFERROR(__xludf.DUMMYFUNCTION("""COMPUTED_VALUE"""),0.8652053353588813)</f>
        <v>0.8652053354</v>
      </c>
      <c r="AS630" s="30">
        <f>IFERROR(__xludf.DUMMYFUNCTION("""COMPUTED_VALUE"""),65.0)</f>
        <v>65</v>
      </c>
      <c r="AT630" s="30">
        <f>IFERROR(__xludf.DUMMYFUNCTION("""COMPUTED_VALUE"""),0.3561991658360154)</f>
        <v>0.3561991658</v>
      </c>
      <c r="AU630" s="30">
        <f>IFERROR(__xludf.DUMMYFUNCTION("""COMPUTED_VALUE"""),1.8591581884934048)</f>
        <v>1.859158188</v>
      </c>
      <c r="AV630" s="32">
        <f>IFERROR(__xludf.DUMMYFUNCTION("""COMPUTED_VALUE"""),24.314673365911364)</f>
        <v>24.31467337</v>
      </c>
      <c r="AW630" s="32">
        <f>IFERROR(__xludf.DUMMYFUNCTION("""COMPUTED_VALUE"""),-6.574060033355685)</f>
        <v>-6.574060033</v>
      </c>
      <c r="AX630" s="32">
        <f>IFERROR(__xludf.DUMMYFUNCTION("""COMPUTED_VALUE"""),33.24046903484518)</f>
        <v>33.24046903</v>
      </c>
      <c r="AY630" s="32">
        <f>IFERROR(__xludf.DUMMYFUNCTION("""COMPUTED_VALUE"""),-3.9791904936172404)</f>
        <v>-3.979190494</v>
      </c>
      <c r="AZ630" s="30">
        <f>IFERROR(__xludf.DUMMYFUNCTION("""COMPUTED_VALUE"""),2.5948695397384443)</f>
        <v>2.59486954</v>
      </c>
      <c r="BA630" s="30">
        <f>IFERROR(__xludf.DUMMYFUNCTION("""COMPUTED_VALUE"""),2300.0)</f>
        <v>2300</v>
      </c>
    </row>
    <row r="631">
      <c r="A631" s="71" t="str">
        <f>IFERROR(__xludf.DUMMYFUNCTION("""COMPUTED_VALUE"""),"Challenger")</f>
        <v>Challenger</v>
      </c>
      <c r="B631" s="71" t="str">
        <f>IFERROR(__xludf.DUMMYFUNCTION("""COMPUTED_VALUE"""),"RSC005059")</f>
        <v>RSC005059</v>
      </c>
      <c r="C631" s="30" t="str">
        <f>IFERROR(__xludf.DUMMYFUNCTION("""COMPUTED_VALUE"""),"Jacobim Mugatu")</f>
        <v>Jacobim Mugatu</v>
      </c>
      <c r="D631" s="30" t="str">
        <f>IFERROR(__xludf.DUMMYFUNCTION("""COMPUTED_VALUE"""),"Lilac")</f>
        <v>Lilac</v>
      </c>
      <c r="E631" s="30">
        <f>IFERROR(__xludf.DUMMYFUNCTION("""COMPUTED_VALUE"""),41.0)</f>
        <v>41</v>
      </c>
      <c r="F631" s="30">
        <f>IFERROR(__xludf.DUMMYFUNCTION("""COMPUTED_VALUE"""),27.0)</f>
        <v>27</v>
      </c>
      <c r="G631" s="42">
        <f>IFERROR(__xludf.DUMMYFUNCTION("""COMPUTED_VALUE"""),14.0)</f>
        <v>14</v>
      </c>
      <c r="H631" s="42">
        <f>IFERROR(__xludf.DUMMYFUNCTION("""COMPUTED_VALUE"""),0.6585365853658537)</f>
        <v>0.6585365854</v>
      </c>
      <c r="I631" s="42">
        <f>IFERROR(__xludf.DUMMYFUNCTION("""COMPUTED_VALUE"""),0.3142857142857143)</f>
        <v>0.3142857143</v>
      </c>
      <c r="J631" s="30">
        <f>IFERROR(__xludf.DUMMYFUNCTION("""COMPUTED_VALUE"""),366.3414634146341)</f>
        <v>366.3414634</v>
      </c>
      <c r="K631" s="30">
        <f>IFERROR(__xludf.DUMMYFUNCTION("""COMPUTED_VALUE"""),0.8048780487804879)</f>
        <v>0.8048780488</v>
      </c>
      <c r="L631" s="30">
        <f>IFERROR(__xludf.DUMMYFUNCTION("""COMPUTED_VALUE"""),0.7317073170731707)</f>
        <v>0.7317073171</v>
      </c>
      <c r="M631" s="30">
        <f>IFERROR(__xludf.DUMMYFUNCTION("""COMPUTED_VALUE"""),1.4390243902439024)</f>
        <v>1.43902439</v>
      </c>
      <c r="N631" s="30">
        <f>IFERROR(__xludf.DUMMYFUNCTION("""COMPUTED_VALUE"""),2.5609756097560976)</f>
        <v>2.56097561</v>
      </c>
      <c r="O631" s="30">
        <f>IFERROR(__xludf.DUMMYFUNCTION("""COMPUTED_VALUE"""),332.66666666666663)</f>
        <v>332.6666667</v>
      </c>
      <c r="P631" s="30">
        <f>IFERROR(__xludf.DUMMYFUNCTION("""COMPUTED_VALUE"""),0.6422764227642277)</f>
        <v>0.6422764228</v>
      </c>
      <c r="Q631" s="30">
        <f>IFERROR(__xludf.DUMMYFUNCTION("""COMPUTED_VALUE"""),0.4634146341463415)</f>
        <v>0.4634146341</v>
      </c>
      <c r="R631" s="30">
        <f>IFERROR(__xludf.DUMMYFUNCTION("""COMPUTED_VALUE"""),1.4065040650406508)</f>
        <v>1.406504065</v>
      </c>
      <c r="S631" s="30">
        <f>IFERROR(__xludf.DUMMYFUNCTION("""COMPUTED_VALUE"""),2.2113821138211383)</f>
        <v>2.211382114</v>
      </c>
      <c r="T631" s="30">
        <f>IFERROR(__xludf.DUMMYFUNCTION("""COMPUTED_VALUE"""),336.6036089782496)</f>
        <v>336.603609</v>
      </c>
      <c r="U631" s="30">
        <f>IFERROR(__xludf.DUMMYFUNCTION("""COMPUTED_VALUE"""),0.7936216247940527)</f>
        <v>0.7936216248</v>
      </c>
      <c r="V631" s="30">
        <f>IFERROR(__xludf.DUMMYFUNCTION("""COMPUTED_VALUE"""),0.526958285724841)</f>
        <v>0.5269582857</v>
      </c>
      <c r="W631" s="30">
        <f>IFERROR(__xludf.DUMMYFUNCTION("""COMPUTED_VALUE"""),1.2243950065838056)</f>
        <v>1.224395007</v>
      </c>
      <c r="X631" s="30">
        <f>IFERROR(__xludf.DUMMYFUNCTION("""COMPUTED_VALUE"""),2.482454406167751)</f>
        <v>2.482454406</v>
      </c>
      <c r="Y631" s="30">
        <f>IFERROR(__xludf.DUMMYFUNCTION("""COMPUTED_VALUE"""),331.34883112544543)</f>
        <v>331.3488311</v>
      </c>
      <c r="Z631" s="30">
        <f>IFERROR(__xludf.DUMMYFUNCTION("""COMPUTED_VALUE"""),0.7487271032524814)</f>
        <v>0.7487271033</v>
      </c>
      <c r="AA631" s="30">
        <f>IFERROR(__xludf.DUMMYFUNCTION("""COMPUTED_VALUE"""),0.5283533724705355)</f>
        <v>0.5283533725</v>
      </c>
      <c r="AB631" s="30">
        <f>IFERROR(__xludf.DUMMYFUNCTION("""COMPUTED_VALUE"""),1.2435864461978994)</f>
        <v>1.243586446</v>
      </c>
      <c r="AC631" s="30">
        <f>IFERROR(__xludf.DUMMYFUNCTION("""COMPUTED_VALUE"""),2.4102337408315884)</f>
        <v>2.410233741</v>
      </c>
      <c r="AD631" s="30">
        <f>IFERROR(__xludf.DUMMYFUNCTION("""COMPUTED_VALUE"""),1.1056066266186428)</f>
        <v>1.105606627</v>
      </c>
      <c r="AE631" s="30">
        <f>IFERROR(__xludf.DUMMYFUNCTION("""COMPUTED_VALUE"""),1.074995208914017)</f>
        <v>1.074995209</v>
      </c>
      <c r="AF631" s="30">
        <f>IFERROR(__xludf.DUMMYFUNCTION("""COMPUTED_VALUE"""),1.3848824578364465)</f>
        <v>1.384882458</v>
      </c>
      <c r="AG631" s="30">
        <f>IFERROR(__xludf.DUMMYFUNCTION("""COMPUTED_VALUE"""),1.1571567016056894)</f>
        <v>1.157156702</v>
      </c>
      <c r="AH631" s="30">
        <f>IFERROR(__xludf.DUMMYFUNCTION("""COMPUTED_VALUE"""),1.0625424274711628)</f>
        <v>1.062542427</v>
      </c>
      <c r="AI631" s="30">
        <f>IFERROR(__xludf.DUMMYFUNCTION("""COMPUTED_VALUE"""),0.9883039212694913)</f>
        <v>0.9883039213</v>
      </c>
      <c r="AJ631" s="30">
        <f>IFERROR(__xludf.DUMMYFUNCTION("""COMPUTED_VALUE"""),0.8092980366190253)</f>
        <v>0.8092980366</v>
      </c>
      <c r="AK631" s="30">
        <f>IFERROR(__xludf.DUMMYFUNCTION("""COMPUTED_VALUE"""),0.8794142661765075)</f>
        <v>0.8794142662</v>
      </c>
      <c r="AL631" s="30">
        <f>IFERROR(__xludf.DUMMYFUNCTION("""COMPUTED_VALUE"""),1.148733911423691)</f>
        <v>1.148733911</v>
      </c>
      <c r="AM631" s="30">
        <f>IFERROR(__xludf.DUMMYFUNCTION("""COMPUTED_VALUE"""),0.8908047246817007)</f>
        <v>0.8908047247</v>
      </c>
      <c r="AN631" s="30">
        <f>IFERROR(__xludf.DUMMYFUNCTION("""COMPUTED_VALUE"""),1.126097593593174)</f>
        <v>1.126097594</v>
      </c>
      <c r="AO631" s="30">
        <f>IFERROR(__xludf.DUMMYFUNCTION("""COMPUTED_VALUE"""),1.1012995941903938)</f>
        <v>1.101299594</v>
      </c>
      <c r="AP631" s="30">
        <f>IFERROR(__xludf.DUMMYFUNCTION("""COMPUTED_VALUE"""),1.419271762049015)</f>
        <v>1.419271762</v>
      </c>
      <c r="AQ631" s="30">
        <f>IFERROR(__xludf.DUMMYFUNCTION("""COMPUTED_VALUE"""),1.1935037880255719)</f>
        <v>1.193503788</v>
      </c>
      <c r="AR631" s="30">
        <f>IFERROR(__xludf.DUMMYFUNCTION("""COMPUTED_VALUE"""),1.076231026909828)</f>
        <v>1.076231027</v>
      </c>
      <c r="AS631" s="30">
        <f>IFERROR(__xludf.DUMMYFUNCTION("""COMPUTED_VALUE"""),120.0)</f>
        <v>120</v>
      </c>
      <c r="AT631" s="30">
        <f>IFERROR(__xludf.DUMMYFUNCTION("""COMPUTED_VALUE"""),0.6587761889655626)</f>
        <v>0.658776189</v>
      </c>
      <c r="AU631" s="30">
        <f>IFERROR(__xludf.DUMMYFUNCTION("""COMPUTED_VALUE"""),3.7370508732921133)</f>
        <v>3.737050873</v>
      </c>
      <c r="AV631" s="32">
        <f>IFERROR(__xludf.DUMMYFUNCTION("""COMPUTED_VALUE"""),73.32440623588084)</f>
        <v>73.32440624</v>
      </c>
      <c r="AW631" s="32">
        <f>IFERROR(__xludf.DUMMYFUNCTION("""COMPUTED_VALUE"""),5.700730496307914)</f>
        <v>5.700730496</v>
      </c>
      <c r="AX631" s="32">
        <f>IFERROR(__xludf.DUMMYFUNCTION("""COMPUTED_VALUE"""),61.93611146825888)</f>
        <v>61.93611147</v>
      </c>
      <c r="AY631" s="32">
        <f>IFERROR(__xludf.DUMMYFUNCTION("""COMPUTED_VALUE"""),3.159329760339359)</f>
        <v>3.15932976</v>
      </c>
      <c r="AZ631" s="30">
        <f>IFERROR(__xludf.DUMMYFUNCTION("""COMPUTED_VALUE"""),2.541400735968555)</f>
        <v>2.541400736</v>
      </c>
      <c r="BA631" s="30">
        <f>IFERROR(__xludf.DUMMYFUNCTION("""COMPUTED_VALUE"""),2300.0)</f>
        <v>2300</v>
      </c>
    </row>
    <row r="632">
      <c r="A632" s="71" t="str">
        <f>IFERROR(__xludf.DUMMYFUNCTION("""COMPUTED_VALUE"""),"Challenger")</f>
        <v>Challenger</v>
      </c>
      <c r="B632" s="71" t="str">
        <f>IFERROR(__xludf.DUMMYFUNCTION("""COMPUTED_VALUE"""),"RSC003450")</f>
        <v>RSC003450</v>
      </c>
      <c r="C632" s="30" t="str">
        <f>IFERROR(__xludf.DUMMYFUNCTION("""COMPUTED_VALUE"""),"ChronoElevated")</f>
        <v>ChronoElevated</v>
      </c>
      <c r="D632" s="30" t="str">
        <f>IFERROR(__xludf.DUMMYFUNCTION("""COMPUTED_VALUE"""),"Mugged")</f>
        <v>Mugged</v>
      </c>
      <c r="E632" s="30">
        <f>IFERROR(__xludf.DUMMYFUNCTION("""COMPUTED_VALUE"""),30.0)</f>
        <v>30</v>
      </c>
      <c r="F632" s="30">
        <f>IFERROR(__xludf.DUMMYFUNCTION("""COMPUTED_VALUE"""),19.0)</f>
        <v>19</v>
      </c>
      <c r="G632" s="42">
        <f>IFERROR(__xludf.DUMMYFUNCTION("""COMPUTED_VALUE"""),11.0)</f>
        <v>11</v>
      </c>
      <c r="H632" s="42">
        <f>IFERROR(__xludf.DUMMYFUNCTION("""COMPUTED_VALUE"""),0.6333333333333333)</f>
        <v>0.6333333333</v>
      </c>
      <c r="I632" s="42">
        <f>IFERROR(__xludf.DUMMYFUNCTION("""COMPUTED_VALUE"""),0.33333333333333337)</f>
        <v>0.3333333333</v>
      </c>
      <c r="J632" s="30">
        <f>IFERROR(__xludf.DUMMYFUNCTION("""COMPUTED_VALUE"""),345.8666666666667)</f>
        <v>345.8666667</v>
      </c>
      <c r="K632" s="30">
        <f>IFERROR(__xludf.DUMMYFUNCTION("""COMPUTED_VALUE"""),0.9666666666666667)</f>
        <v>0.9666666667</v>
      </c>
      <c r="L632" s="30">
        <f>IFERROR(__xludf.DUMMYFUNCTION("""COMPUTED_VALUE"""),0.7333333333333333)</f>
        <v>0.7333333333</v>
      </c>
      <c r="M632" s="30">
        <f>IFERROR(__xludf.DUMMYFUNCTION("""COMPUTED_VALUE"""),1.0333333333333334)</f>
        <v>1.033333333</v>
      </c>
      <c r="N632" s="30">
        <f>IFERROR(__xludf.DUMMYFUNCTION("""COMPUTED_VALUE"""),2.9)</f>
        <v>2.9</v>
      </c>
      <c r="O632" s="30">
        <f>IFERROR(__xludf.DUMMYFUNCTION("""COMPUTED_VALUE"""),339.22222222222234)</f>
        <v>339.2222222</v>
      </c>
      <c r="P632" s="30">
        <f>IFERROR(__xludf.DUMMYFUNCTION("""COMPUTED_VALUE"""),0.8222222222222223)</f>
        <v>0.8222222222</v>
      </c>
      <c r="Q632" s="30">
        <f>IFERROR(__xludf.DUMMYFUNCTION("""COMPUTED_VALUE"""),0.5666666666666667)</f>
        <v>0.5666666667</v>
      </c>
      <c r="R632" s="30">
        <f>IFERROR(__xludf.DUMMYFUNCTION("""COMPUTED_VALUE"""),1.1888888888888889)</f>
        <v>1.188888889</v>
      </c>
      <c r="S632" s="30">
        <f>IFERROR(__xludf.DUMMYFUNCTION("""COMPUTED_VALUE"""),2.566666666666666)</f>
        <v>2.566666667</v>
      </c>
      <c r="T632" s="30">
        <f>IFERROR(__xludf.DUMMYFUNCTION("""COMPUTED_VALUE"""),334.94076865356357)</f>
        <v>334.9407687</v>
      </c>
      <c r="U632" s="30">
        <f>IFERROR(__xludf.DUMMYFUNCTION("""COMPUTED_VALUE"""),0.7586452123684547)</f>
        <v>0.7586452124</v>
      </c>
      <c r="V632" s="30">
        <f>IFERROR(__xludf.DUMMYFUNCTION("""COMPUTED_VALUE"""),0.516996709658761)</f>
        <v>0.5169967097</v>
      </c>
      <c r="W632" s="30">
        <f>IFERROR(__xludf.DUMMYFUNCTION("""COMPUTED_VALUE"""),1.281226716327597)</f>
        <v>1.281226716</v>
      </c>
      <c r="X632" s="30">
        <f>IFERROR(__xludf.DUMMYFUNCTION("""COMPUTED_VALUE"""),2.424253996588108)</f>
        <v>2.424253997</v>
      </c>
      <c r="Y632" s="30">
        <f>IFERROR(__xludf.DUMMYFUNCTION("""COMPUTED_VALUE"""),345.0126379816886)</f>
        <v>345.012638</v>
      </c>
      <c r="Z632" s="30">
        <f>IFERROR(__xludf.DUMMYFUNCTION("""COMPUTED_VALUE"""),0.8020631723141096)</f>
        <v>0.8020631723</v>
      </c>
      <c r="AA632" s="30">
        <f>IFERROR(__xludf.DUMMYFUNCTION("""COMPUTED_VALUE"""),0.5751279718202282)</f>
        <v>0.5751279718</v>
      </c>
      <c r="AB632" s="30">
        <f>IFERROR(__xludf.DUMMYFUNCTION("""COMPUTED_VALUE"""),1.250421247538128)</f>
        <v>1.250421248</v>
      </c>
      <c r="AC632" s="30">
        <f>IFERROR(__xludf.DUMMYFUNCTION("""COMPUTED_VALUE"""),2.5417560222309104)</f>
        <v>2.541756022</v>
      </c>
      <c r="AD632" s="30">
        <f>IFERROR(__xludf.DUMMYFUNCTION("""COMPUTED_VALUE"""),1.0024753547869263)</f>
        <v>1.002475355</v>
      </c>
      <c r="AE632" s="30">
        <f>IFERROR(__xludf.DUMMYFUNCTION("""COMPUTED_VALUE"""),1.205225099511356)</f>
        <v>1.2052251</v>
      </c>
      <c r="AF632" s="30">
        <f>IFERROR(__xludf.DUMMYFUNCTION("""COMPUTED_VALUE"""),1.2750785377598648)</f>
        <v>1.275078538</v>
      </c>
      <c r="AG632" s="30">
        <f>IFERROR(__xludf.DUMMYFUNCTION("""COMPUTED_VALUE"""),0.8263881754790998)</f>
        <v>0.8263881755</v>
      </c>
      <c r="AH632" s="30">
        <f>IFERROR(__xludf.DUMMYFUNCTION("""COMPUTED_VALUE"""),1.1409434952197566)</f>
        <v>1.140943495</v>
      </c>
      <c r="AI632" s="30">
        <f>IFERROR(__xludf.DUMMYFUNCTION("""COMPUTED_VALUE"""),1.0127827185262335)</f>
        <v>1.012782719</v>
      </c>
      <c r="AJ632" s="30">
        <f>IFERROR(__xludf.DUMMYFUNCTION("""COMPUTED_VALUE"""),1.0838033494672472)</f>
        <v>1.083803349</v>
      </c>
      <c r="AK632" s="30">
        <f>IFERROR(__xludf.DUMMYFUNCTION("""COMPUTED_VALUE"""),1.0960740292538609)</f>
        <v>1.096074029</v>
      </c>
      <c r="AL632" s="30">
        <f>IFERROR(__xludf.DUMMYFUNCTION("""COMPUTED_VALUE"""),0.9279301420568424)</f>
        <v>0.9279301421</v>
      </c>
      <c r="AM632" s="30">
        <f>IFERROR(__xludf.DUMMYFUNCTION("""COMPUTED_VALUE"""),1.058744945982966)</f>
        <v>1.058744946</v>
      </c>
      <c r="AN632" s="30">
        <f>IFERROR(__xludf.DUMMYFUNCTION("""COMPUTED_VALUE"""),1.063160084056888)</f>
        <v>1.063160084</v>
      </c>
      <c r="AO632" s="30">
        <f>IFERROR(__xludf.DUMMYFUNCTION("""COMPUTED_VALUE"""),1.322671936860988)</f>
        <v>1.322671937</v>
      </c>
      <c r="AP632" s="30">
        <f>IFERROR(__xludf.DUMMYFUNCTION("""COMPUTED_VALUE"""),1.4224256992980127)</f>
        <v>1.422425699</v>
      </c>
      <c r="AQ632" s="30">
        <f>IFERROR(__xludf.DUMMYFUNCTION("""COMPUTED_VALUE"""),0.8570301212319221)</f>
        <v>0.8570301212</v>
      </c>
      <c r="AR632" s="30">
        <f>IFERROR(__xludf.DUMMYFUNCTION("""COMPUTED_VALUE"""),1.2187035152340815)</f>
        <v>1.218703515</v>
      </c>
      <c r="AS632" s="30">
        <f>IFERROR(__xludf.DUMMYFUNCTION("""COMPUTED_VALUE"""),82.0)</f>
        <v>82</v>
      </c>
      <c r="AT632" s="30">
        <f>IFERROR(__xludf.DUMMYFUNCTION("""COMPUTED_VALUE"""),0.5410987419652857)</f>
        <v>0.541098742</v>
      </c>
      <c r="AU632" s="30">
        <f>IFERROR(__xludf.DUMMYFUNCTION("""COMPUTED_VALUE"""),3.7024605990085178)</f>
        <v>3.702460599</v>
      </c>
      <c r="AV632" s="32">
        <f>IFERROR(__xludf.DUMMYFUNCTION("""COMPUTED_VALUE"""),72.42166023965811)</f>
        <v>72.42166024</v>
      </c>
      <c r="AW632" s="32">
        <f>IFERROR(__xludf.DUMMYFUNCTION("""COMPUTED_VALUE"""),5.408472066624103)</f>
        <v>5.408472067</v>
      </c>
      <c r="AX632" s="32">
        <f>IFERROR(__xludf.DUMMYFUNCTION("""COMPUTED_VALUE"""),59.98112650640138)</f>
        <v>59.98112651</v>
      </c>
      <c r="AY632" s="32">
        <f>IFERROR(__xludf.DUMMYFUNCTION("""COMPUTED_VALUE"""),2.8997583511853784)</f>
        <v>2.899758351</v>
      </c>
      <c r="AZ632" s="30">
        <f>IFERROR(__xludf.DUMMYFUNCTION("""COMPUTED_VALUE"""),2.508713715438725)</f>
        <v>2.508713715</v>
      </c>
      <c r="BA632" s="30">
        <f>IFERROR(__xludf.DUMMYFUNCTION("""COMPUTED_VALUE"""),2300.0)</f>
        <v>2300</v>
      </c>
    </row>
    <row r="633">
      <c r="A633" s="71" t="str">
        <f>IFERROR(__xludf.DUMMYFUNCTION("""COMPUTED_VALUE"""),"Challenger")</f>
        <v>Challenger</v>
      </c>
      <c r="B633" s="71" t="str">
        <f>IFERROR(__xludf.DUMMYFUNCTION("""COMPUTED_VALUE"""),"RSC007613")</f>
        <v>RSC007613</v>
      </c>
      <c r="C633" s="30" t="str">
        <f>IFERROR(__xludf.DUMMYFUNCTION("""COMPUTED_VALUE"""),"Squatch70")</f>
        <v>Squatch70</v>
      </c>
      <c r="D633" s="30" t="str">
        <f>IFERROR(__xludf.DUMMYFUNCTION("""COMPUTED_VALUE"""),"Panda Bears")</f>
        <v>Panda Bears</v>
      </c>
      <c r="E633" s="30">
        <f>IFERROR(__xludf.DUMMYFUNCTION("""COMPUTED_VALUE"""),43.0)</f>
        <v>43</v>
      </c>
      <c r="F633" s="30">
        <f>IFERROR(__xludf.DUMMYFUNCTION("""COMPUTED_VALUE"""),26.0)</f>
        <v>26</v>
      </c>
      <c r="G633" s="42">
        <f>IFERROR(__xludf.DUMMYFUNCTION("""COMPUTED_VALUE"""),17.0)</f>
        <v>17</v>
      </c>
      <c r="H633" s="42">
        <f>IFERROR(__xludf.DUMMYFUNCTION("""COMPUTED_VALUE"""),0.6046511627906976)</f>
        <v>0.6046511628</v>
      </c>
      <c r="I633" s="42">
        <f>IFERROR(__xludf.DUMMYFUNCTION("""COMPUTED_VALUE"""),0.2920353982300885)</f>
        <v>0.2920353982</v>
      </c>
      <c r="J633" s="30">
        <f>IFERROR(__xludf.DUMMYFUNCTION("""COMPUTED_VALUE"""),375.4418604651163)</f>
        <v>375.4418605</v>
      </c>
      <c r="K633" s="30">
        <f>IFERROR(__xludf.DUMMYFUNCTION("""COMPUTED_VALUE"""),0.7674418604651163)</f>
        <v>0.7674418605</v>
      </c>
      <c r="L633" s="30">
        <f>IFERROR(__xludf.DUMMYFUNCTION("""COMPUTED_VALUE"""),0.6511627906976745)</f>
        <v>0.6511627907</v>
      </c>
      <c r="M633" s="30">
        <f>IFERROR(__xludf.DUMMYFUNCTION("""COMPUTED_VALUE"""),1.6046511627906976)</f>
        <v>1.604651163</v>
      </c>
      <c r="N633" s="30">
        <f>IFERROR(__xludf.DUMMYFUNCTION("""COMPUTED_VALUE"""),2.627906976744186)</f>
        <v>2.627906977</v>
      </c>
      <c r="O633" s="30">
        <f>IFERROR(__xludf.DUMMYFUNCTION("""COMPUTED_VALUE"""),332.90697674418607)</f>
        <v>332.9069767</v>
      </c>
      <c r="P633" s="30">
        <f>IFERROR(__xludf.DUMMYFUNCTION("""COMPUTED_VALUE"""),0.6356589147286823)</f>
        <v>0.6356589147</v>
      </c>
      <c r="Q633" s="30">
        <f>IFERROR(__xludf.DUMMYFUNCTION("""COMPUTED_VALUE"""),0.44186046511627913)</f>
        <v>0.4418604651</v>
      </c>
      <c r="R633" s="30">
        <f>IFERROR(__xludf.DUMMYFUNCTION("""COMPUTED_VALUE"""),1.395348837209302)</f>
        <v>1.395348837</v>
      </c>
      <c r="S633" s="30">
        <f>IFERROR(__xludf.DUMMYFUNCTION("""COMPUTED_VALUE"""),2.6511627906976742)</f>
        <v>2.651162791</v>
      </c>
      <c r="T633" s="30">
        <f>IFERROR(__xludf.DUMMYFUNCTION("""COMPUTED_VALUE"""),337.97036294651343)</f>
        <v>337.9703629</v>
      </c>
      <c r="U633" s="30">
        <f>IFERROR(__xludf.DUMMYFUNCTION("""COMPUTED_VALUE"""),0.7660519042546264)</f>
        <v>0.7660519043</v>
      </c>
      <c r="V633" s="30">
        <f>IFERROR(__xludf.DUMMYFUNCTION("""COMPUTED_VALUE"""),0.5619992121086899)</f>
        <v>0.5619992121</v>
      </c>
      <c r="W633" s="30">
        <f>IFERROR(__xludf.DUMMYFUNCTION("""COMPUTED_VALUE"""),1.2653759405384186)</f>
        <v>1.265375941</v>
      </c>
      <c r="X633" s="30">
        <f>IFERROR(__xludf.DUMMYFUNCTION("""COMPUTED_VALUE"""),2.4079469803596805)</f>
        <v>2.40794698</v>
      </c>
      <c r="Y633" s="30">
        <f>IFERROR(__xludf.DUMMYFUNCTION("""COMPUTED_VALUE"""),328.6311029129722)</f>
        <v>328.6311029</v>
      </c>
      <c r="Z633" s="30">
        <f>IFERROR(__xludf.DUMMYFUNCTION("""COMPUTED_VALUE"""),0.7527551723223802)</f>
        <v>0.7527551723</v>
      </c>
      <c r="AA633" s="30">
        <f>IFERROR(__xludf.DUMMYFUNCTION("""COMPUTED_VALUE"""),0.5223330323763601)</f>
        <v>0.5223330324</v>
      </c>
      <c r="AB633" s="30">
        <f>IFERROR(__xludf.DUMMYFUNCTION("""COMPUTED_VALUE"""),1.1909531479359579)</f>
        <v>1.190953148</v>
      </c>
      <c r="AC633" s="30">
        <f>IFERROR(__xludf.DUMMYFUNCTION("""COMPUTED_VALUE"""),2.4463695505557768)</f>
        <v>2.446369551</v>
      </c>
      <c r="AD633" s="30">
        <f>IFERROR(__xludf.DUMMYFUNCTION("""COMPUTED_VALUE"""),1.142441653079138)</f>
        <v>1.142441653</v>
      </c>
      <c r="AE633" s="30">
        <f>IFERROR(__xludf.DUMMYFUNCTION("""COMPUTED_VALUE"""),1.0195105775194147)</f>
        <v>1.019510578</v>
      </c>
      <c r="AF633" s="30">
        <f>IFERROR(__xludf.DUMMYFUNCTION("""COMPUTED_VALUE"""),1.2466429468096283)</f>
        <v>1.246642947</v>
      </c>
      <c r="AG633" s="30">
        <f>IFERROR(__xludf.DUMMYFUNCTION("""COMPUTED_VALUE"""),1.3473671618163319)</f>
        <v>1.347367162</v>
      </c>
      <c r="AH633" s="30">
        <f>IFERROR(__xludf.DUMMYFUNCTION("""COMPUTED_VALUE"""),1.0742068695823845)</f>
        <v>1.07420687</v>
      </c>
      <c r="AI633" s="30">
        <f>IFERROR(__xludf.DUMMYFUNCTION("""COMPUTED_VALUE"""),0.985018253795441)</f>
        <v>0.9850182538</v>
      </c>
      <c r="AJ633" s="30">
        <f>IFERROR(__xludf.DUMMYFUNCTION("""COMPUTED_VALUE"""),0.8297856988518064)</f>
        <v>0.8297856989</v>
      </c>
      <c r="AK633" s="30">
        <f>IFERROR(__xludf.DUMMYFUNCTION("""COMPUTED_VALUE"""),0.7862296878644448)</f>
        <v>0.7862296879</v>
      </c>
      <c r="AL633" s="30">
        <f>IFERROR(__xludf.DUMMYFUNCTION("""COMPUTED_VALUE"""),1.1027148474275397)</f>
        <v>1.102714847</v>
      </c>
      <c r="AM633" s="30">
        <f>IFERROR(__xludf.DUMMYFUNCTION("""COMPUTED_VALUE"""),1.1010054674466563)</f>
        <v>1.101005467</v>
      </c>
      <c r="AN633" s="30">
        <f>IFERROR(__xludf.DUMMYFUNCTION("""COMPUTED_VALUE"""),1.1540713182263902)</f>
        <v>1.154071318</v>
      </c>
      <c r="AO633" s="30">
        <f>IFERROR(__xludf.DUMMYFUNCTION("""COMPUTED_VALUE"""),1.0500763572513057)</f>
        <v>1.050076357</v>
      </c>
      <c r="AP633" s="30">
        <f>IFERROR(__xludf.DUMMYFUNCTION("""COMPUTED_VALUE"""),1.263041847156798)</f>
        <v>1.263041847</v>
      </c>
      <c r="AQ633" s="30">
        <f>IFERROR(__xludf.DUMMYFUNCTION("""COMPUTED_VALUE"""),1.3308719812078609)</f>
        <v>1.330871981</v>
      </c>
      <c r="AR633" s="30">
        <f>IFERROR(__xludf.DUMMYFUNCTION("""COMPUTED_VALUE"""),1.1043584380228644)</f>
        <v>1.104358438</v>
      </c>
      <c r="AS633" s="30">
        <f>IFERROR(__xludf.DUMMYFUNCTION("""COMPUTED_VALUE"""),108.0)</f>
        <v>108</v>
      </c>
      <c r="AT633" s="30">
        <f>IFERROR(__xludf.DUMMYFUNCTION("""COMPUTED_VALUE"""),0.6039308749760763)</f>
        <v>0.603930875</v>
      </c>
      <c r="AU633" s="30">
        <f>IFERROR(__xludf.DUMMYFUNCTION("""COMPUTED_VALUE"""),3.5740595534215913)</f>
        <v>3.574059553</v>
      </c>
      <c r="AV633" s="32">
        <f>IFERROR(__xludf.DUMMYFUNCTION("""COMPUTED_VALUE"""),69.07061627672016)</f>
        <v>69.07061628</v>
      </c>
      <c r="AW633" s="32">
        <f>IFERROR(__xludf.DUMMYFUNCTION("""COMPUTED_VALUE"""),4.488652911713825)</f>
        <v>4.488652912</v>
      </c>
      <c r="AX633" s="32">
        <f>IFERROR(__xludf.DUMMYFUNCTION("""COMPUTED_VALUE"""),52.2229339461367)</f>
        <v>52.22293395</v>
      </c>
      <c r="AY633" s="32">
        <f>IFERROR(__xludf.DUMMYFUNCTION("""COMPUTED_VALUE"""),2.15251056396213)</f>
        <v>2.152510564</v>
      </c>
      <c r="AZ633" s="30">
        <f>IFERROR(__xludf.DUMMYFUNCTION("""COMPUTED_VALUE"""),2.3361423477516956)</f>
        <v>2.336142348</v>
      </c>
      <c r="BA633" s="30">
        <f>IFERROR(__xludf.DUMMYFUNCTION("""COMPUTED_VALUE"""),2300.0)</f>
        <v>2300</v>
      </c>
    </row>
    <row r="634">
      <c r="A634" s="71" t="str">
        <f>IFERROR(__xludf.DUMMYFUNCTION("""COMPUTED_VALUE"""),"Challenger")</f>
        <v>Challenger</v>
      </c>
      <c r="B634" s="71" t="str">
        <f>IFERROR(__xludf.DUMMYFUNCTION("""COMPUTED_VALUE"""),"RSC006159")</f>
        <v>RSC006159</v>
      </c>
      <c r="C634" s="30" t="str">
        <f>IFERROR(__xludf.DUMMYFUNCTION("""COMPUTED_VALUE"""),"Peter Potamus")</f>
        <v>Peter Potamus</v>
      </c>
      <c r="D634" s="30" t="str">
        <f>IFERROR(__xludf.DUMMYFUNCTION("""COMPUTED_VALUE"""),"Lions")</f>
        <v>Lions</v>
      </c>
      <c r="E634" s="30">
        <f>IFERROR(__xludf.DUMMYFUNCTION("""COMPUTED_VALUE"""),36.0)</f>
        <v>36</v>
      </c>
      <c r="F634" s="30">
        <f>IFERROR(__xludf.DUMMYFUNCTION("""COMPUTED_VALUE"""),19.0)</f>
        <v>19</v>
      </c>
      <c r="G634" s="42">
        <f>IFERROR(__xludf.DUMMYFUNCTION("""COMPUTED_VALUE"""),17.0)</f>
        <v>17</v>
      </c>
      <c r="H634" s="42">
        <f>IFERROR(__xludf.DUMMYFUNCTION("""COMPUTED_VALUE"""),0.5277777777777778)</f>
        <v>0.5277777778</v>
      </c>
      <c r="I634" s="42">
        <f>IFERROR(__xludf.DUMMYFUNCTION("""COMPUTED_VALUE"""),0.3703703703703704)</f>
        <v>0.3703703704</v>
      </c>
      <c r="J634" s="30">
        <f>IFERROR(__xludf.DUMMYFUNCTION("""COMPUTED_VALUE"""),347.55555555555554)</f>
        <v>347.5555556</v>
      </c>
      <c r="K634" s="30">
        <f>IFERROR(__xludf.DUMMYFUNCTION("""COMPUTED_VALUE"""),1.1111111111111112)</f>
        <v>1.111111111</v>
      </c>
      <c r="L634" s="30">
        <f>IFERROR(__xludf.DUMMYFUNCTION("""COMPUTED_VALUE"""),0.3888888888888889)</f>
        <v>0.3888888889</v>
      </c>
      <c r="M634" s="30">
        <f>IFERROR(__xludf.DUMMYFUNCTION("""COMPUTED_VALUE"""),0.9722222222222222)</f>
        <v>0.9722222222</v>
      </c>
      <c r="N634" s="30">
        <f>IFERROR(__xludf.DUMMYFUNCTION("""COMPUTED_VALUE"""),3.0)</f>
        <v>3</v>
      </c>
      <c r="O634" s="30">
        <f>IFERROR(__xludf.DUMMYFUNCTION("""COMPUTED_VALUE"""),325.81481481481484)</f>
        <v>325.8148148</v>
      </c>
      <c r="P634" s="30">
        <f>IFERROR(__xludf.DUMMYFUNCTION("""COMPUTED_VALUE"""),0.685185185185185)</f>
        <v>0.6851851852</v>
      </c>
      <c r="Q634" s="30">
        <f>IFERROR(__xludf.DUMMYFUNCTION("""COMPUTED_VALUE"""),0.4444444444444444)</f>
        <v>0.4444444444</v>
      </c>
      <c r="R634" s="30">
        <f>IFERROR(__xludf.DUMMYFUNCTION("""COMPUTED_VALUE"""),1.3796296296296293)</f>
        <v>1.37962963</v>
      </c>
      <c r="S634" s="30">
        <f>IFERROR(__xludf.DUMMYFUNCTION("""COMPUTED_VALUE"""),2.0925925925925926)</f>
        <v>2.092592593</v>
      </c>
      <c r="T634" s="30">
        <f>IFERROR(__xludf.DUMMYFUNCTION("""COMPUTED_VALUE"""),339.0777634674157)</f>
        <v>339.0777635</v>
      </c>
      <c r="U634" s="30">
        <f>IFERROR(__xludf.DUMMYFUNCTION("""COMPUTED_VALUE"""),0.759986054994028)</f>
        <v>0.759986055</v>
      </c>
      <c r="V634" s="30">
        <f>IFERROR(__xludf.DUMMYFUNCTION("""COMPUTED_VALUE"""),0.5095504178644883)</f>
        <v>0.5095504179</v>
      </c>
      <c r="W634" s="30">
        <f>IFERROR(__xludf.DUMMYFUNCTION("""COMPUTED_VALUE"""),1.2952470500231197)</f>
        <v>1.29524705</v>
      </c>
      <c r="X634" s="30">
        <f>IFERROR(__xludf.DUMMYFUNCTION("""COMPUTED_VALUE"""),2.3614647745878616)</f>
        <v>2.361464775</v>
      </c>
      <c r="Y634" s="30">
        <f>IFERROR(__xludf.DUMMYFUNCTION("""COMPUTED_VALUE"""),338.860145643706)</f>
        <v>338.8601456</v>
      </c>
      <c r="Z634" s="30">
        <f>IFERROR(__xludf.DUMMYFUNCTION("""COMPUTED_VALUE"""),0.7981446748527552)</f>
        <v>0.7981446749</v>
      </c>
      <c r="AA634" s="30">
        <f>IFERROR(__xludf.DUMMYFUNCTION("""COMPUTED_VALUE"""),0.5617634971614431)</f>
        <v>0.5617634972</v>
      </c>
      <c r="AB634" s="30">
        <f>IFERROR(__xludf.DUMMYFUNCTION("""COMPUTED_VALUE"""),1.1844905990154988)</f>
        <v>1.184490599</v>
      </c>
      <c r="AC634" s="30">
        <f>IFERROR(__xludf.DUMMYFUNCTION("""COMPUTED_VALUE"""),2.5674100298805502)</f>
        <v>2.56741003</v>
      </c>
      <c r="AD634" s="30">
        <f>IFERROR(__xludf.DUMMYFUNCTION("""COMPUTED_VALUE"""),1.0256607630718317)</f>
        <v>1.025660763</v>
      </c>
      <c r="AE634" s="30">
        <f>IFERROR(__xludf.DUMMYFUNCTION("""COMPUTED_VALUE"""),1.3921174269766232)</f>
        <v>1.392117427</v>
      </c>
      <c r="AF634" s="30">
        <f>IFERROR(__xludf.DUMMYFUNCTION("""COMPUTED_VALUE"""),0.6922644330824641)</f>
        <v>0.6922644331</v>
      </c>
      <c r="AG634" s="30">
        <f>IFERROR(__xludf.DUMMYFUNCTION("""COMPUTED_VALUE"""),0.8207935318611177)</f>
        <v>0.8207935319</v>
      </c>
      <c r="AH634" s="30">
        <f>IFERROR(__xludf.DUMMYFUNCTION("""COMPUTED_VALUE"""),1.1684927475879558)</f>
        <v>1.168492748</v>
      </c>
      <c r="AI634" s="30">
        <f>IFERROR(__xludf.DUMMYFUNCTION("""COMPUTED_VALUE"""),0.9608852302286836)</f>
        <v>0.9608852302</v>
      </c>
      <c r="AJ634" s="30">
        <f>IFERROR(__xludf.DUMMYFUNCTION("""COMPUTED_VALUE"""),0.9015759969313768)</f>
        <v>0.9015759969</v>
      </c>
      <c r="AK634" s="30">
        <f>IFERROR(__xludf.DUMMYFUNCTION("""COMPUTED_VALUE"""),0.8722285938005876)</f>
        <v>0.8722285938</v>
      </c>
      <c r="AL634" s="30">
        <f>IFERROR(__xludf.DUMMYFUNCTION("""COMPUTED_VALUE"""),1.0651478647297468)</f>
        <v>1.065147865</v>
      </c>
      <c r="AM634" s="30">
        <f>IFERROR(__xludf.DUMMYFUNCTION("""COMPUTED_VALUE"""),0.8861417773880644)</f>
        <v>0.8861417774</v>
      </c>
      <c r="AN634" s="30">
        <f>IFERROR(__xludf.DUMMYFUNCTION("""COMPUTED_VALUE"""),1.0683515622365543)</f>
        <v>1.068351562</v>
      </c>
      <c r="AO634" s="30">
        <f>IFERROR(__xludf.DUMMYFUNCTION("""COMPUTED_VALUE"""),1.520312571104584)</f>
        <v>1.520312571</v>
      </c>
      <c r="AP634" s="30">
        <f>IFERROR(__xludf.DUMMYFUNCTION("""COMPUTED_VALUE"""),0.7543166587186432)</f>
        <v>0.7543166587</v>
      </c>
      <c r="AQ634" s="30">
        <f>IFERROR(__xludf.DUMMYFUNCTION("""COMPUTED_VALUE"""),0.8063455441698191)</f>
        <v>0.8063455442</v>
      </c>
      <c r="AR634" s="30">
        <f>IFERROR(__xludf.DUMMYFUNCTION("""COMPUTED_VALUE"""),1.2607277743800842)</f>
        <v>1.260727774</v>
      </c>
      <c r="AS634" s="30">
        <f>IFERROR(__xludf.DUMMYFUNCTION("""COMPUTED_VALUE"""),92.0)</f>
        <v>92</v>
      </c>
      <c r="AT634" s="30">
        <f>IFERROR(__xludf.DUMMYFUNCTION("""COMPUTED_VALUE"""),0.5836102579705201)</f>
        <v>0.583610258</v>
      </c>
      <c r="AU634" s="30">
        <f>IFERROR(__xludf.DUMMYFUNCTION("""COMPUTED_VALUE"""),3.7115004016728737)</f>
        <v>3.711500402</v>
      </c>
      <c r="AV634" s="32">
        <f>IFERROR(__xludf.DUMMYFUNCTION("""COMPUTED_VALUE"""),72.65758336634349)</f>
        <v>72.65758337</v>
      </c>
      <c r="AW634" s="32">
        <f>IFERROR(__xludf.DUMMYFUNCTION("""COMPUTED_VALUE"""),5.482827057991643)</f>
        <v>5.482827058</v>
      </c>
      <c r="AX634" s="32">
        <f>IFERROR(__xludf.DUMMYFUNCTION("""COMPUTED_VALUE"""),62.59022506672559)</f>
        <v>62.59022507</v>
      </c>
      <c r="AY634" s="32">
        <f>IFERROR(__xludf.DUMMYFUNCTION("""COMPUTED_VALUE"""),3.2544870651462676)</f>
        <v>3.254487065</v>
      </c>
      <c r="AZ634" s="30">
        <f>IFERROR(__xludf.DUMMYFUNCTION("""COMPUTED_VALUE"""),2.2283399928453753)</f>
        <v>2.228339993</v>
      </c>
      <c r="BA634" s="30">
        <f>IFERROR(__xludf.DUMMYFUNCTION("""COMPUTED_VALUE"""),2300.0)</f>
        <v>2300</v>
      </c>
    </row>
    <row r="635">
      <c r="A635" s="71" t="str">
        <f>IFERROR(__xludf.DUMMYFUNCTION("""COMPUTED_VALUE"""),"Challenger")</f>
        <v>Challenger</v>
      </c>
      <c r="B635" s="71" t="str">
        <f>IFERROR(__xludf.DUMMYFUNCTION("""COMPUTED_VALUE"""),"RSC006017")</f>
        <v>RSC006017</v>
      </c>
      <c r="C635" s="30" t="str">
        <f>IFERROR(__xludf.DUMMYFUNCTION("""COMPUTED_VALUE"""),"Dondo RF")</f>
        <v>Dondo RF</v>
      </c>
      <c r="D635" s="30" t="str">
        <f>IFERROR(__xludf.DUMMYFUNCTION("""COMPUTED_VALUE"""),"Ryujin")</f>
        <v>Ryujin</v>
      </c>
      <c r="E635" s="30">
        <f>IFERROR(__xludf.DUMMYFUNCTION("""COMPUTED_VALUE"""),43.0)</f>
        <v>43</v>
      </c>
      <c r="F635" s="30">
        <f>IFERROR(__xludf.DUMMYFUNCTION("""COMPUTED_VALUE"""),30.0)</f>
        <v>30</v>
      </c>
      <c r="G635" s="42">
        <f>IFERROR(__xludf.DUMMYFUNCTION("""COMPUTED_VALUE"""),13.0)</f>
        <v>13</v>
      </c>
      <c r="H635" s="42">
        <f>IFERROR(__xludf.DUMMYFUNCTION("""COMPUTED_VALUE"""),0.6976744186046512)</f>
        <v>0.6976744186</v>
      </c>
      <c r="I635" s="42">
        <f>IFERROR(__xludf.DUMMYFUNCTION("""COMPUTED_VALUE"""),0.36134453781512604)</f>
        <v>0.3613445378</v>
      </c>
      <c r="J635" s="30">
        <f>IFERROR(__xludf.DUMMYFUNCTION("""COMPUTED_VALUE"""),347.8837209302326)</f>
        <v>347.8837209</v>
      </c>
      <c r="K635" s="30">
        <f>IFERROR(__xludf.DUMMYFUNCTION("""COMPUTED_VALUE"""),1.0)</f>
        <v>1</v>
      </c>
      <c r="L635" s="30">
        <f>IFERROR(__xludf.DUMMYFUNCTION("""COMPUTED_VALUE"""),0.5348837209302325)</f>
        <v>0.5348837209</v>
      </c>
      <c r="M635" s="30">
        <f>IFERROR(__xludf.DUMMYFUNCTION("""COMPUTED_VALUE"""),1.0465116279069768)</f>
        <v>1.046511628</v>
      </c>
      <c r="N635" s="30">
        <f>IFERROR(__xludf.DUMMYFUNCTION("""COMPUTED_VALUE"""),2.7674418604651163)</f>
        <v>2.76744186</v>
      </c>
      <c r="O635" s="30">
        <f>IFERROR(__xludf.DUMMYFUNCTION("""COMPUTED_VALUE"""),290.5116279069768)</f>
        <v>290.5116279</v>
      </c>
      <c r="P635" s="30">
        <f>IFERROR(__xludf.DUMMYFUNCTION("""COMPUTED_VALUE"""),0.503875968992248)</f>
        <v>0.503875969</v>
      </c>
      <c r="Q635" s="30">
        <f>IFERROR(__xludf.DUMMYFUNCTION("""COMPUTED_VALUE"""),0.3643410852713178)</f>
        <v>0.3643410853</v>
      </c>
      <c r="R635" s="30">
        <f>IFERROR(__xludf.DUMMYFUNCTION("""COMPUTED_VALUE"""),1.232558139534884)</f>
        <v>1.23255814</v>
      </c>
      <c r="S635" s="30">
        <f>IFERROR(__xludf.DUMMYFUNCTION("""COMPUTED_VALUE"""),1.914728682170543)</f>
        <v>1.914728682</v>
      </c>
      <c r="T635" s="30">
        <f>IFERROR(__xludf.DUMMYFUNCTION("""COMPUTED_VALUE"""),334.84215868748265)</f>
        <v>334.8421587</v>
      </c>
      <c r="U635" s="30">
        <f>IFERROR(__xludf.DUMMYFUNCTION("""COMPUTED_VALUE"""),0.7600066054097838)</f>
        <v>0.7600066054</v>
      </c>
      <c r="V635" s="30">
        <f>IFERROR(__xludf.DUMMYFUNCTION("""COMPUTED_VALUE"""),0.5170282675005121)</f>
        <v>0.5170282675</v>
      </c>
      <c r="W635" s="30">
        <f>IFERROR(__xludf.DUMMYFUNCTION("""COMPUTED_VALUE"""),1.2219432098967848)</f>
        <v>1.22194321</v>
      </c>
      <c r="X635" s="30">
        <f>IFERROR(__xludf.DUMMYFUNCTION("""COMPUTED_VALUE"""),2.4535697601197595)</f>
        <v>2.45356976</v>
      </c>
      <c r="Y635" s="30">
        <f>IFERROR(__xludf.DUMMYFUNCTION("""COMPUTED_VALUE"""),331.1628366824917)</f>
        <v>331.1628367</v>
      </c>
      <c r="Z635" s="30">
        <f>IFERROR(__xludf.DUMMYFUNCTION("""COMPUTED_VALUE"""),0.7652158749289033)</f>
        <v>0.7652158749</v>
      </c>
      <c r="AA635" s="30">
        <f>IFERROR(__xludf.DUMMYFUNCTION("""COMPUTED_VALUE"""),0.5259333074408734)</f>
        <v>0.5259333074</v>
      </c>
      <c r="AB635" s="30">
        <f>IFERROR(__xludf.DUMMYFUNCTION("""COMPUTED_VALUE"""),1.2088117940343919)</f>
        <v>1.208811794</v>
      </c>
      <c r="AC635" s="30">
        <f>IFERROR(__xludf.DUMMYFUNCTION("""COMPUTED_VALUE"""),2.4278274027836972)</f>
        <v>2.427827403</v>
      </c>
      <c r="AD635" s="30">
        <f>IFERROR(__xludf.DUMMYFUNCTION("""COMPUTED_VALUE"""),1.050491427163889)</f>
        <v>1.050491427</v>
      </c>
      <c r="AE635" s="30">
        <f>IFERROR(__xludf.DUMMYFUNCTION("""COMPUTED_VALUE"""),1.3068207714495084)</f>
        <v>1.306820771</v>
      </c>
      <c r="AF635" s="30">
        <f>IFERROR(__xludf.DUMMYFUNCTION("""COMPUTED_VALUE"""),1.017018152991509)</f>
        <v>1.017018153</v>
      </c>
      <c r="AG635" s="30">
        <f>IFERROR(__xludf.DUMMYFUNCTION("""COMPUTED_VALUE"""),0.8657357853982045)</f>
        <v>0.8657357854</v>
      </c>
      <c r="AH635" s="30">
        <f>IFERROR(__xludf.DUMMYFUNCTION("""COMPUTED_VALUE"""),1.139884102672218)</f>
        <v>1.139884103</v>
      </c>
      <c r="AI635" s="30">
        <f>IFERROR(__xludf.DUMMYFUNCTION("""COMPUTED_VALUE"""),0.8676076783333584)</f>
        <v>0.8676076783</v>
      </c>
      <c r="AJ635" s="30">
        <f>IFERROR(__xludf.DUMMYFUNCTION("""COMPUTED_VALUE"""),0.6629889337877081)</f>
        <v>0.6629889338</v>
      </c>
      <c r="AK635" s="30">
        <f>IFERROR(__xludf.DUMMYFUNCTION("""COMPUTED_VALUE"""),0.7046831056891042)</f>
        <v>0.7046831057</v>
      </c>
      <c r="AL635" s="30">
        <f>IFERROR(__xludf.DUMMYFUNCTION("""COMPUTED_VALUE"""),1.008686925506952)</f>
        <v>1.008686926</v>
      </c>
      <c r="AM635" s="30">
        <f>IFERROR(__xludf.DUMMYFUNCTION("""COMPUTED_VALUE"""),0.7803848552800408)</f>
        <v>0.7803848553</v>
      </c>
      <c r="AN635" s="30">
        <f>IFERROR(__xludf.DUMMYFUNCTION("""COMPUTED_VALUE"""),1.0693603102916607)</f>
        <v>1.06936031</v>
      </c>
      <c r="AO635" s="30">
        <f>IFERROR(__xludf.DUMMYFUNCTION("""COMPUTED_VALUE"""),1.3682813139941257)</f>
        <v>1.368281314</v>
      </c>
      <c r="AP635" s="30">
        <f>IFERROR(__xludf.DUMMYFUNCTION("""COMPUTED_VALUE"""),1.0374986601645124)</f>
        <v>1.03749866</v>
      </c>
      <c r="AQ635" s="30">
        <f>IFERROR(__xludf.DUMMYFUNCTION("""COMPUTED_VALUE"""),0.8679599877442572)</f>
        <v>0.8679599877</v>
      </c>
      <c r="AR635" s="30">
        <f>IFERROR(__xludf.DUMMYFUNCTION("""COMPUTED_VALUE"""),1.162996939156822)</f>
        <v>1.162996939</v>
      </c>
      <c r="AS635" s="30">
        <f>IFERROR(__xludf.DUMMYFUNCTION("""COMPUTED_VALUE"""),112.0)</f>
        <v>112</v>
      </c>
      <c r="AT635" s="30">
        <f>IFERROR(__xludf.DUMMYFUNCTION("""COMPUTED_VALUE"""),0.6935307210775329)</f>
        <v>0.6935307211</v>
      </c>
      <c r="AU635" s="30">
        <f>IFERROR(__xludf.DUMMYFUNCTION("""COMPUTED_VALUE"""),3.9691895440996805)</f>
        <v>3.969189544</v>
      </c>
      <c r="AV635" s="32">
        <f>IFERROR(__xludf.DUMMYFUNCTION("""COMPUTED_VALUE"""),79.38282178708054)</f>
        <v>79.38282179</v>
      </c>
      <c r="AW635" s="32">
        <f>IFERROR(__xludf.DUMMYFUNCTION("""COMPUTED_VALUE"""),8.33786472580062)</f>
        <v>8.337864726</v>
      </c>
      <c r="AX635" s="32">
        <f>IFERROR(__xludf.DUMMYFUNCTION("""COMPUTED_VALUE"""),74.67739410713975)</f>
        <v>74.67739411</v>
      </c>
      <c r="AY635" s="32">
        <f>IFERROR(__xludf.DUMMYFUNCTION("""COMPUTED_VALUE"""),6.180551956237576)</f>
        <v>6.180551956</v>
      </c>
      <c r="AZ635" s="30">
        <f>IFERROR(__xludf.DUMMYFUNCTION("""COMPUTED_VALUE"""),2.1573127695630436)</f>
        <v>2.15731277</v>
      </c>
      <c r="BA635" s="30">
        <f>IFERROR(__xludf.DUMMYFUNCTION("""COMPUTED_VALUE"""),2300.0)</f>
        <v>2300</v>
      </c>
    </row>
    <row r="636">
      <c r="A636" s="71" t="str">
        <f>IFERROR(__xludf.DUMMYFUNCTION("""COMPUTED_VALUE"""),"Challenger")</f>
        <v>Challenger</v>
      </c>
      <c r="B636" s="71" t="str">
        <f>IFERROR(__xludf.DUMMYFUNCTION("""COMPUTED_VALUE"""),"RSC006769")</f>
        <v>RSC006769</v>
      </c>
      <c r="C636" s="30" t="str">
        <f>IFERROR(__xludf.DUMMYFUNCTION("""COMPUTED_VALUE"""),"baltostorm")</f>
        <v>baltostorm</v>
      </c>
      <c r="D636" s="30" t="str">
        <f>IFERROR(__xludf.DUMMYFUNCTION("""COMPUTED_VALUE"""),"Decuriones")</f>
        <v>Decuriones</v>
      </c>
      <c r="E636" s="30">
        <f>IFERROR(__xludf.DUMMYFUNCTION("""COMPUTED_VALUE"""),20.0)</f>
        <v>20</v>
      </c>
      <c r="F636" s="30">
        <f>IFERROR(__xludf.DUMMYFUNCTION("""COMPUTED_VALUE"""),12.0)</f>
        <v>12</v>
      </c>
      <c r="G636" s="42">
        <f>IFERROR(__xludf.DUMMYFUNCTION("""COMPUTED_VALUE"""),8.0)</f>
        <v>8</v>
      </c>
      <c r="H636" s="42">
        <f>IFERROR(__xludf.DUMMYFUNCTION("""COMPUTED_VALUE"""),0.6)</f>
        <v>0.6</v>
      </c>
      <c r="I636" s="42">
        <f>IFERROR(__xludf.DUMMYFUNCTION("""COMPUTED_VALUE"""),0.36363636363636365)</f>
        <v>0.3636363636</v>
      </c>
      <c r="J636" s="30">
        <f>IFERROR(__xludf.DUMMYFUNCTION("""COMPUTED_VALUE"""),355.25)</f>
        <v>355.25</v>
      </c>
      <c r="K636" s="30">
        <f>IFERROR(__xludf.DUMMYFUNCTION("""COMPUTED_VALUE"""),1.0)</f>
        <v>1</v>
      </c>
      <c r="L636" s="30">
        <f>IFERROR(__xludf.DUMMYFUNCTION("""COMPUTED_VALUE"""),0.55)</f>
        <v>0.55</v>
      </c>
      <c r="M636" s="30">
        <f>IFERROR(__xludf.DUMMYFUNCTION("""COMPUTED_VALUE"""),1.15)</f>
        <v>1.15</v>
      </c>
      <c r="N636" s="30">
        <f>IFERROR(__xludf.DUMMYFUNCTION("""COMPUTED_VALUE"""),2.75)</f>
        <v>2.75</v>
      </c>
      <c r="O636" s="30">
        <f>IFERROR(__xludf.DUMMYFUNCTION("""COMPUTED_VALUE"""),315.08333333333337)</f>
        <v>315.0833333</v>
      </c>
      <c r="P636" s="30">
        <f>IFERROR(__xludf.DUMMYFUNCTION("""COMPUTED_VALUE"""),0.65)</f>
        <v>0.65</v>
      </c>
      <c r="Q636" s="30">
        <f>IFERROR(__xludf.DUMMYFUNCTION("""COMPUTED_VALUE"""),0.5333333333333333)</f>
        <v>0.5333333333</v>
      </c>
      <c r="R636" s="30">
        <f>IFERROR(__xludf.DUMMYFUNCTION("""COMPUTED_VALUE"""),1.2166666666666666)</f>
        <v>1.216666667</v>
      </c>
      <c r="S636" s="30">
        <f>IFERROR(__xludf.DUMMYFUNCTION("""COMPUTED_VALUE"""),2.1166666666666667)</f>
        <v>2.116666667</v>
      </c>
      <c r="T636" s="30">
        <f>IFERROR(__xludf.DUMMYFUNCTION("""COMPUTED_VALUE"""),335.132293937553)</f>
        <v>335.1322939</v>
      </c>
      <c r="U636" s="30">
        <f>IFERROR(__xludf.DUMMYFUNCTION("""COMPUTED_VALUE"""),0.7433845772269099)</f>
        <v>0.7433845772</v>
      </c>
      <c r="V636" s="30">
        <f>IFERROR(__xludf.DUMMYFUNCTION("""COMPUTED_VALUE"""),0.5003728301479341)</f>
        <v>0.5003728301</v>
      </c>
      <c r="W636" s="30">
        <f>IFERROR(__xludf.DUMMYFUNCTION("""COMPUTED_VALUE"""),1.2739258471372676)</f>
        <v>1.273925847</v>
      </c>
      <c r="X636" s="30">
        <f>IFERROR(__xludf.DUMMYFUNCTION("""COMPUTED_VALUE"""),2.3560279138608777)</f>
        <v>2.356027914</v>
      </c>
      <c r="Y636" s="30">
        <f>IFERROR(__xludf.DUMMYFUNCTION("""COMPUTED_VALUE"""),336.82826391101605)</f>
        <v>336.8282639</v>
      </c>
      <c r="Z636" s="30">
        <f>IFERROR(__xludf.DUMMYFUNCTION("""COMPUTED_VALUE"""),0.7765195961560487)</f>
        <v>0.7765195962</v>
      </c>
      <c r="AA636" s="30">
        <f>IFERROR(__xludf.DUMMYFUNCTION("""COMPUTED_VALUE"""),0.5272332044104979)</f>
        <v>0.5272332044</v>
      </c>
      <c r="AB636" s="30">
        <f>IFERROR(__xludf.DUMMYFUNCTION("""COMPUTED_VALUE"""),1.239773273832513)</f>
        <v>1.239773274</v>
      </c>
      <c r="AC636" s="30">
        <f>IFERROR(__xludf.DUMMYFUNCTION("""COMPUTED_VALUE"""),2.4953760543501113)</f>
        <v>2.495376054</v>
      </c>
      <c r="AD636" s="30">
        <f>IFERROR(__xludf.DUMMYFUNCTION("""COMPUTED_VALUE"""),1.0546917763820753)</f>
        <v>1.054691776</v>
      </c>
      <c r="AE636" s="30">
        <f>IFERROR(__xludf.DUMMYFUNCTION("""COMPUTED_VALUE"""),1.287797506914482)</f>
        <v>1.287797507</v>
      </c>
      <c r="AF636" s="30">
        <f>IFERROR(__xludf.DUMMYFUNCTION("""COMPUTED_VALUE"""),1.043181642201306)</f>
        <v>1.043181642</v>
      </c>
      <c r="AG636" s="30">
        <f>IFERROR(__xludf.DUMMYFUNCTION("""COMPUTED_VALUE"""),0.9275889586206382)</f>
        <v>0.9275889586</v>
      </c>
      <c r="AH636" s="30">
        <f>IFERROR(__xludf.DUMMYFUNCTION("""COMPUTED_VALUE"""),1.102038306092587)</f>
        <v>1.102038306</v>
      </c>
      <c r="AI636" s="30">
        <f>IFERROR(__xludf.DUMMYFUNCTION("""COMPUTED_VALUE"""),0.9401759813455773)</f>
        <v>0.9401759813</v>
      </c>
      <c r="AJ636" s="30">
        <f>IFERROR(__xludf.DUMMYFUNCTION("""COMPUTED_VALUE"""),0.8743791839544645)</f>
        <v>0.874379184</v>
      </c>
      <c r="AK636" s="30">
        <f>IFERROR(__xludf.DUMMYFUNCTION("""COMPUTED_VALUE"""),1.065871888319065)</f>
        <v>1.065871888</v>
      </c>
      <c r="AL636" s="30">
        <f>IFERROR(__xludf.DUMMYFUNCTION("""COMPUTED_VALUE"""),0.9550529721967158)</f>
        <v>0.9550529722</v>
      </c>
      <c r="AM636" s="30">
        <f>IFERROR(__xludf.DUMMYFUNCTION("""COMPUTED_VALUE"""),0.8984047490328906)</f>
        <v>0.898404749</v>
      </c>
      <c r="AN636" s="30">
        <f>IFERROR(__xludf.DUMMYFUNCTION("""COMPUTED_VALUE"""),1.0920035269695725)</f>
        <v>1.092003527</v>
      </c>
      <c r="AO636" s="30">
        <f>IFERROR(__xludf.DUMMYFUNCTION("""COMPUTED_VALUE"""),1.3682813139941257)</f>
        <v>1.368281314</v>
      </c>
      <c r="AP636" s="30">
        <f>IFERROR(__xludf.DUMMYFUNCTION("""COMPUTED_VALUE"""),1.0668192744735097)</f>
        <v>1.066819274</v>
      </c>
      <c r="AQ636" s="30">
        <f>IFERROR(__xludf.DUMMYFUNCTION("""COMPUTED_VALUE"""),0.9537915865323002)</f>
        <v>0.9537915865</v>
      </c>
      <c r="AR636" s="30">
        <f>IFERROR(__xludf.DUMMYFUNCTION("""COMPUTED_VALUE"""),1.1556671265150773)</f>
        <v>1.155667127</v>
      </c>
      <c r="AS636" s="30">
        <f>IFERROR(__xludf.DUMMYFUNCTION("""COMPUTED_VALUE"""),52.0)</f>
        <v>52</v>
      </c>
      <c r="AT636" s="30">
        <f>IFERROR(__xludf.DUMMYFUNCTION("""COMPUTED_VALUE"""),0.609304043444959)</f>
        <v>0.6093040434</v>
      </c>
      <c r="AU636" s="30">
        <f>IFERROR(__xludf.DUMMYFUNCTION("""COMPUTED_VALUE"""),3.693637438380237)</f>
        <v>3.693637438</v>
      </c>
      <c r="AV636" s="32">
        <f>IFERROR(__xludf.DUMMYFUNCTION("""COMPUTED_VALUE"""),72.19139109331057)</f>
        <v>72.19139109</v>
      </c>
      <c r="AW636" s="32">
        <f>IFERROR(__xludf.DUMMYFUNCTION("""COMPUTED_VALUE"""),5.337232894517332)</f>
        <v>5.337232895</v>
      </c>
      <c r="AX636" s="32">
        <f>IFERROR(__xludf.DUMMYFUNCTION("""COMPUTED_VALUE"""),62.92417641724172)</f>
        <v>62.92417642</v>
      </c>
      <c r="AY636" s="32">
        <f>IFERROR(__xludf.DUMMYFUNCTION("""COMPUTED_VALUE"""),3.3048064874236474)</f>
        <v>3.304806487</v>
      </c>
      <c r="AZ636" s="30">
        <f>IFERROR(__xludf.DUMMYFUNCTION("""COMPUTED_VALUE"""),2.032426407093685)</f>
        <v>2.032426407</v>
      </c>
      <c r="BA636" s="30">
        <f>IFERROR(__xludf.DUMMYFUNCTION("""COMPUTED_VALUE"""),2300.0)</f>
        <v>2300</v>
      </c>
    </row>
    <row r="637">
      <c r="A637" s="71" t="str">
        <f>IFERROR(__xludf.DUMMYFUNCTION("""COMPUTED_VALUE"""),"Challenger")</f>
        <v>Challenger</v>
      </c>
      <c r="B637" s="71" t="str">
        <f>IFERROR(__xludf.DUMMYFUNCTION("""COMPUTED_VALUE"""),"RSC006225")</f>
        <v>RSC006225</v>
      </c>
      <c r="C637" s="30" t="str">
        <f>IFERROR(__xludf.DUMMYFUNCTION("""COMPUTED_VALUE"""),"renightly")</f>
        <v>renightly</v>
      </c>
      <c r="D637" s="30" t="str">
        <f>IFERROR(__xludf.DUMMYFUNCTION("""COMPUTED_VALUE"""),"Quarter")</f>
        <v>Quarter</v>
      </c>
      <c r="E637" s="30">
        <f>IFERROR(__xludf.DUMMYFUNCTION("""COMPUTED_VALUE"""),37.0)</f>
        <v>37</v>
      </c>
      <c r="F637" s="30">
        <f>IFERROR(__xludf.DUMMYFUNCTION("""COMPUTED_VALUE"""),9.0)</f>
        <v>9</v>
      </c>
      <c r="G637" s="42">
        <f>IFERROR(__xludf.DUMMYFUNCTION("""COMPUTED_VALUE"""),28.0)</f>
        <v>28</v>
      </c>
      <c r="H637" s="42">
        <f>IFERROR(__xludf.DUMMYFUNCTION("""COMPUTED_VALUE"""),0.24324324324324326)</f>
        <v>0.2432432432</v>
      </c>
      <c r="I637" s="42">
        <f>IFERROR(__xludf.DUMMYFUNCTION("""COMPUTED_VALUE"""),0.23943661971830987)</f>
        <v>0.2394366197</v>
      </c>
      <c r="J637" s="30">
        <f>IFERROR(__xludf.DUMMYFUNCTION("""COMPUTED_VALUE"""),299.2432432432432)</f>
        <v>299.2432432</v>
      </c>
      <c r="K637" s="30">
        <f>IFERROR(__xludf.DUMMYFUNCTION("""COMPUTED_VALUE"""),0.4594594594594595)</f>
        <v>0.4594594595</v>
      </c>
      <c r="L637" s="30">
        <f>IFERROR(__xludf.DUMMYFUNCTION("""COMPUTED_VALUE"""),0.4864864864864865)</f>
        <v>0.4864864865</v>
      </c>
      <c r="M637" s="30">
        <f>IFERROR(__xludf.DUMMYFUNCTION("""COMPUTED_VALUE"""),1.4594594594594594)</f>
        <v>1.459459459</v>
      </c>
      <c r="N637" s="30">
        <f>IFERROR(__xludf.DUMMYFUNCTION("""COMPUTED_VALUE"""),1.9189189189189189)</f>
        <v>1.918918919</v>
      </c>
      <c r="O637" s="30">
        <f>IFERROR(__xludf.DUMMYFUNCTION("""COMPUTED_VALUE"""),357.6936936936936)</f>
        <v>357.6936937</v>
      </c>
      <c r="P637" s="30">
        <f>IFERROR(__xludf.DUMMYFUNCTION("""COMPUTED_VALUE"""),0.936936936936937)</f>
        <v>0.9369369369</v>
      </c>
      <c r="Q637" s="30">
        <f>IFERROR(__xludf.DUMMYFUNCTION("""COMPUTED_VALUE"""),0.6756756756756755)</f>
        <v>0.6756756757</v>
      </c>
      <c r="R637" s="30">
        <f>IFERROR(__xludf.DUMMYFUNCTION("""COMPUTED_VALUE"""),0.990990990990991)</f>
        <v>0.990990991</v>
      </c>
      <c r="S637" s="30">
        <f>IFERROR(__xludf.DUMMYFUNCTION("""COMPUTED_VALUE"""),2.9279279279279273)</f>
        <v>2.927927928</v>
      </c>
      <c r="T637" s="30">
        <f>IFERROR(__xludf.DUMMYFUNCTION("""COMPUTED_VALUE"""),343.3889772517252)</f>
        <v>343.3889773</v>
      </c>
      <c r="U637" s="30">
        <f>IFERROR(__xludf.DUMMYFUNCTION("""COMPUTED_VALUE"""),0.8057923301016764)</f>
        <v>0.8057923301</v>
      </c>
      <c r="V637" s="30">
        <f>IFERROR(__xludf.DUMMYFUNCTION("""COMPUTED_VALUE"""),0.5639414875195907)</f>
        <v>0.5639414875</v>
      </c>
      <c r="W637" s="30">
        <f>IFERROR(__xludf.DUMMYFUNCTION("""COMPUTED_VALUE"""),1.2207600222654615)</f>
        <v>1.220760022</v>
      </c>
      <c r="X637" s="30">
        <f>IFERROR(__xludf.DUMMYFUNCTION("""COMPUTED_VALUE"""),2.552390558247705)</f>
        <v>2.552390558</v>
      </c>
      <c r="Y637" s="30">
        <f>IFERROR(__xludf.DUMMYFUNCTION("""COMPUTED_VALUE"""),330.2436265640511)</f>
        <v>330.2436266</v>
      </c>
      <c r="Z637" s="30">
        <f>IFERROR(__xludf.DUMMYFUNCTION("""COMPUTED_VALUE"""),0.7412095694123114)</f>
        <v>0.7412095694</v>
      </c>
      <c r="AA637" s="30">
        <f>IFERROR(__xludf.DUMMYFUNCTION("""COMPUTED_VALUE"""),0.4973832821566566)</f>
        <v>0.4973832822</v>
      </c>
      <c r="AB637" s="30">
        <f>IFERROR(__xludf.DUMMYFUNCTION("""COMPUTED_VALUE"""),1.2369006023068148)</f>
        <v>1.236900602</v>
      </c>
      <c r="AC637" s="30">
        <f>IFERROR(__xludf.DUMMYFUNCTION("""COMPUTED_VALUE"""),2.3978689919520924)</f>
        <v>2.397868992</v>
      </c>
      <c r="AD637" s="30">
        <f>IFERROR(__xludf.DUMMYFUNCTION("""COMPUTED_VALUE"""),0.9061287460916514)</f>
        <v>0.9061287461</v>
      </c>
      <c r="AE637" s="30">
        <f>IFERROR(__xludf.DUMMYFUNCTION("""COMPUTED_VALUE"""),0.6198779379275347)</f>
        <v>0.6198779379</v>
      </c>
      <c r="AF637" s="30">
        <f>IFERROR(__xludf.DUMMYFUNCTION("""COMPUTED_VALUE"""),0.9780917532593345)</f>
        <v>0.9780917533</v>
      </c>
      <c r="AG637" s="30">
        <f>IFERROR(__xludf.DUMMYFUNCTION("""COMPUTED_VALUE"""),1.1799326936518368)</f>
        <v>1.179932694</v>
      </c>
      <c r="AH637" s="30">
        <f>IFERROR(__xludf.DUMMYFUNCTION("""COMPUTED_VALUE"""),0.8002601165281916)</f>
        <v>0.8002601165</v>
      </c>
      <c r="AI637" s="30">
        <f>IFERROR(__xludf.DUMMYFUNCTION("""COMPUTED_VALUE"""),1.0416574712340931)</f>
        <v>1.041657471</v>
      </c>
      <c r="AJ637" s="30">
        <f>IFERROR(__xludf.DUMMYFUNCTION("""COMPUTED_VALUE"""),1.1627523642707205)</f>
        <v>1.162752364</v>
      </c>
      <c r="AK637" s="30">
        <f>IFERROR(__xludf.DUMMYFUNCTION("""COMPUTED_VALUE"""),1.1981308178753267)</f>
        <v>1.198130818</v>
      </c>
      <c r="AL637" s="30">
        <f>IFERROR(__xludf.DUMMYFUNCTION("""COMPUTED_VALUE"""),0.811781982466898)</f>
        <v>0.8117819825</v>
      </c>
      <c r="AM637" s="30">
        <f>IFERROR(__xludf.DUMMYFUNCTION("""COMPUTED_VALUE"""),1.1471316246907137)</f>
        <v>1.147131625</v>
      </c>
      <c r="AN637" s="30">
        <f>IFERROR(__xludf.DUMMYFUNCTION("""COMPUTED_VALUE"""),0.9198442703544977)</f>
        <v>0.9198442704</v>
      </c>
      <c r="AO637" s="30">
        <f>IFERROR(__xludf.DUMMYFUNCTION("""COMPUTED_VALUE"""),0.6286697929162199)</f>
        <v>0.6286697929</v>
      </c>
      <c r="AP637" s="30">
        <f>IFERROR(__xludf.DUMMYFUNCTION("""COMPUTED_VALUE"""),0.9436239282812371)</f>
        <v>0.9436239283</v>
      </c>
      <c r="AQ637" s="30">
        <f>IFERROR(__xludf.DUMMYFUNCTION("""COMPUTED_VALUE"""),1.2104523072325315)</f>
        <v>1.210452307</v>
      </c>
      <c r="AR637" s="30">
        <f>IFERROR(__xludf.DUMMYFUNCTION("""COMPUTED_VALUE"""),0.806411459288162)</f>
        <v>0.8064114593</v>
      </c>
      <c r="AS637" s="30">
        <f>IFERROR(__xludf.DUMMYFUNCTION("""COMPUTED_VALUE"""),62.0)</f>
        <v>62</v>
      </c>
      <c r="AT637" s="30">
        <f>IFERROR(__xludf.DUMMYFUNCTION("""COMPUTED_VALUE"""),0.3109249853376844)</f>
        <v>0.3109249853</v>
      </c>
      <c r="AU637" s="30">
        <f>IFERROR(__xludf.DUMMYFUNCTION("""COMPUTED_VALUE"""),1.9092298058633859)</f>
        <v>1.909229806</v>
      </c>
      <c r="AV637" s="32">
        <f>IFERROR(__xludf.DUMMYFUNCTION("""COMPUTED_VALUE"""),25.621455490116265)</f>
        <v>25.62145549</v>
      </c>
      <c r="AW637" s="32">
        <f>IFERROR(__xludf.DUMMYFUNCTION("""COMPUTED_VALUE"""),-6.0699881205292066)</f>
        <v>-6.069988121</v>
      </c>
      <c r="AX637" s="32">
        <f>IFERROR(__xludf.DUMMYFUNCTION("""COMPUTED_VALUE"""),32.77444627765968)</f>
        <v>32.77444628</v>
      </c>
      <c r="AY637" s="32">
        <f>IFERROR(__xludf.DUMMYFUNCTION("""COMPUTED_VALUE"""),-4.074902166772953)</f>
        <v>-4.074902167</v>
      </c>
      <c r="AZ637" s="30">
        <f>IFERROR(__xludf.DUMMYFUNCTION("""COMPUTED_VALUE"""),1.995085953756254)</f>
        <v>1.995085954</v>
      </c>
      <c r="BA637" s="30">
        <f>IFERROR(__xludf.DUMMYFUNCTION("""COMPUTED_VALUE"""),2300.0)</f>
        <v>2300</v>
      </c>
    </row>
    <row r="638">
      <c r="A638" s="71" t="str">
        <f>IFERROR(__xludf.DUMMYFUNCTION("""COMPUTED_VALUE"""),"Challenger")</f>
        <v>Challenger</v>
      </c>
      <c r="B638" s="71" t="str">
        <f>IFERROR(__xludf.DUMMYFUNCTION("""COMPUTED_VALUE"""),"RSC007960")</f>
        <v>RSC007960</v>
      </c>
      <c r="C638" s="30" t="str">
        <f>IFERROR(__xludf.DUMMYFUNCTION("""COMPUTED_VALUE"""),"Kayo")</f>
        <v>Kayo</v>
      </c>
      <c r="D638" s="30" t="str">
        <f>IFERROR(__xludf.DUMMYFUNCTION("""COMPUTED_VALUE"""),"Warbirds")</f>
        <v>Warbirds</v>
      </c>
      <c r="E638" s="30">
        <f>IFERROR(__xludf.DUMMYFUNCTION("""COMPUTED_VALUE"""),44.0)</f>
        <v>44</v>
      </c>
      <c r="F638" s="30">
        <f>IFERROR(__xludf.DUMMYFUNCTION("""COMPUTED_VALUE"""),25.0)</f>
        <v>25</v>
      </c>
      <c r="G638" s="42">
        <f>IFERROR(__xludf.DUMMYFUNCTION("""COMPUTED_VALUE"""),19.0)</f>
        <v>19</v>
      </c>
      <c r="H638" s="42">
        <f>IFERROR(__xludf.DUMMYFUNCTION("""COMPUTED_VALUE"""),0.5681818181818182)</f>
        <v>0.5681818182</v>
      </c>
      <c r="I638" s="42">
        <f>IFERROR(__xludf.DUMMYFUNCTION("""COMPUTED_VALUE"""),0.34108527131782945)</f>
        <v>0.3410852713</v>
      </c>
      <c r="J638" s="30">
        <f>IFERROR(__xludf.DUMMYFUNCTION("""COMPUTED_VALUE"""),390.3636363636364)</f>
        <v>390.3636364</v>
      </c>
      <c r="K638" s="30">
        <f>IFERROR(__xludf.DUMMYFUNCTION("""COMPUTED_VALUE"""),1.0)</f>
        <v>1</v>
      </c>
      <c r="L638" s="30">
        <f>IFERROR(__xludf.DUMMYFUNCTION("""COMPUTED_VALUE"""),0.5227272727272727)</f>
        <v>0.5227272727</v>
      </c>
      <c r="M638" s="30">
        <f>IFERROR(__xludf.DUMMYFUNCTION("""COMPUTED_VALUE"""),1.5227272727272727)</f>
        <v>1.522727273</v>
      </c>
      <c r="N638" s="30">
        <f>IFERROR(__xludf.DUMMYFUNCTION("""COMPUTED_VALUE"""),2.9318181818181817)</f>
        <v>2.931818182</v>
      </c>
      <c r="O638" s="30">
        <f>IFERROR(__xludf.DUMMYFUNCTION("""COMPUTED_VALUE"""),353.87878787878776)</f>
        <v>353.8787879</v>
      </c>
      <c r="P638" s="30">
        <f>IFERROR(__xludf.DUMMYFUNCTION("""COMPUTED_VALUE"""),0.8030303030303028)</f>
        <v>0.803030303</v>
      </c>
      <c r="Q638" s="30">
        <f>IFERROR(__xludf.DUMMYFUNCTION("""COMPUTED_VALUE"""),0.6212121212121212)</f>
        <v>0.6212121212</v>
      </c>
      <c r="R638" s="30">
        <f>IFERROR(__xludf.DUMMYFUNCTION("""COMPUTED_VALUE"""),1.3181818181818183)</f>
        <v>1.318181818</v>
      </c>
      <c r="S638" s="30">
        <f>IFERROR(__xludf.DUMMYFUNCTION("""COMPUTED_VALUE"""),2.583333333333333)</f>
        <v>2.583333333</v>
      </c>
      <c r="T638" s="30">
        <f>IFERROR(__xludf.DUMMYFUNCTION("""COMPUTED_VALUE"""),337.158412568176)</f>
        <v>337.1584126</v>
      </c>
      <c r="U638" s="30">
        <f>IFERROR(__xludf.DUMMYFUNCTION("""COMPUTED_VALUE"""),0.775686908685392)</f>
        <v>0.7756869087</v>
      </c>
      <c r="V638" s="30">
        <f>IFERROR(__xludf.DUMMYFUNCTION("""COMPUTED_VALUE"""),0.5412014110582919)</f>
        <v>0.5412014111</v>
      </c>
      <c r="W638" s="30">
        <f>IFERROR(__xludf.DUMMYFUNCTION("""COMPUTED_VALUE"""),1.223496917093822)</f>
        <v>1.223496917</v>
      </c>
      <c r="X638" s="30">
        <f>IFERROR(__xludf.DUMMYFUNCTION("""COMPUTED_VALUE"""),2.5093947223356086)</f>
        <v>2.509394722</v>
      </c>
      <c r="Y638" s="30">
        <f>IFERROR(__xludf.DUMMYFUNCTION("""COMPUTED_VALUE"""),332.96020601068483)</f>
        <v>332.960206</v>
      </c>
      <c r="Z638" s="30">
        <f>IFERROR(__xludf.DUMMYFUNCTION("""COMPUTED_VALUE"""),0.7456565703842363)</f>
        <v>0.7456565704</v>
      </c>
      <c r="AA638" s="30">
        <f>IFERROR(__xludf.DUMMYFUNCTION("""COMPUTED_VALUE"""),0.5210621610143819)</f>
        <v>0.521062161</v>
      </c>
      <c r="AB638" s="30">
        <f>IFERROR(__xludf.DUMMYFUNCTION("""COMPUTED_VALUE"""),1.2570811572573637)</f>
        <v>1.257081157</v>
      </c>
      <c r="AC638" s="30">
        <f>IFERROR(__xludf.DUMMYFUNCTION("""COMPUTED_VALUE"""),2.3801168247199005)</f>
        <v>2.380116825</v>
      </c>
      <c r="AD638" s="30">
        <f>IFERROR(__xludf.DUMMYFUNCTION("""COMPUTED_VALUE"""),1.1724032761774223)</f>
        <v>1.172403276</v>
      </c>
      <c r="AE638" s="30">
        <f>IFERROR(__xludf.DUMMYFUNCTION("""COMPUTED_VALUE"""),1.3410999644041235)</f>
        <v>1.341099964</v>
      </c>
      <c r="AF638" s="30">
        <f>IFERROR(__xludf.DUMMYFUNCTION("""COMPUTED_VALUE"""),1.003195610500001)</f>
        <v>1.003195611</v>
      </c>
      <c r="AG638" s="30">
        <f>IFERROR(__xludf.DUMMYFUNCTION("""COMPUTED_VALUE"""),1.2113197814924554)</f>
        <v>1.211319781</v>
      </c>
      <c r="AH638" s="30">
        <f>IFERROR(__xludf.DUMMYFUNCTION("""COMPUTED_VALUE"""),1.2317959149602697)</f>
        <v>1.231795915</v>
      </c>
      <c r="AI638" s="30">
        <f>IFERROR(__xludf.DUMMYFUNCTION("""COMPUTED_VALUE"""),1.04959204542236)</f>
        <v>1.049592045</v>
      </c>
      <c r="AJ638" s="30">
        <f>IFERROR(__xludf.DUMMYFUNCTION("""COMPUTED_VALUE"""),1.035250555396444)</f>
        <v>1.035250555</v>
      </c>
      <c r="AK638" s="30">
        <f>IFERROR(__xludf.DUMMYFUNCTION("""COMPUTED_VALUE"""),1.1478390641986178)</f>
        <v>1.147839064</v>
      </c>
      <c r="AL638" s="30">
        <f>IFERROR(__xludf.DUMMYFUNCTION("""COMPUTED_VALUE"""),1.0773887533063033)</f>
        <v>1.077388753</v>
      </c>
      <c r="AM638" s="30">
        <f>IFERROR(__xludf.DUMMYFUNCTION("""COMPUTED_VALUE"""),1.0294647192566446)</f>
        <v>1.029464719</v>
      </c>
      <c r="AN638" s="30">
        <f>IFERROR(__xludf.DUMMYFUNCTION("""COMPUTED_VALUE"""),1.1999393883455556)</f>
        <v>1.199939388</v>
      </c>
      <c r="AO638" s="30">
        <f>IFERROR(__xludf.DUMMYFUNCTION("""COMPUTED_VALUE"""),1.3682813139941257)</f>
        <v>1.368281314</v>
      </c>
      <c r="AP638" s="30">
        <f>IFERROR(__xludf.DUMMYFUNCTION("""COMPUTED_VALUE"""),1.0139191451607736)</f>
        <v>1.013919145</v>
      </c>
      <c r="AQ638" s="30">
        <f>IFERROR(__xludf.DUMMYFUNCTION("""COMPUTED_VALUE"""),1.2629256185309115)</f>
        <v>1.262925619</v>
      </c>
      <c r="AR638" s="30">
        <f>IFERROR(__xludf.DUMMYFUNCTION("""COMPUTED_VALUE"""),1.2320748704169004)</f>
        <v>1.23207487</v>
      </c>
      <c r="AS638" s="30">
        <f>IFERROR(__xludf.DUMMYFUNCTION("""COMPUTED_VALUE"""),103.0)</f>
        <v>103</v>
      </c>
      <c r="AT638" s="30">
        <f>IFERROR(__xludf.DUMMYFUNCTION("""COMPUTED_VALUE"""),0.48877689785179995)</f>
        <v>0.4887768979</v>
      </c>
      <c r="AU638" s="30">
        <f>IFERROR(__xludf.DUMMYFUNCTION("""COMPUTED_VALUE"""),3.76058428258756)</f>
        <v>3.760584283</v>
      </c>
      <c r="AV638" s="32">
        <f>IFERROR(__xludf.DUMMYFUNCTION("""COMPUTED_VALUE"""),73.93858728702709)</f>
        <v>73.93858729</v>
      </c>
      <c r="AW638" s="32">
        <f>IFERROR(__xludf.DUMMYFUNCTION("""COMPUTED_VALUE"""),5.912034736543962)</f>
        <v>5.912034737</v>
      </c>
      <c r="AX638" s="32">
        <f>IFERROR(__xludf.DUMMYFUNCTION("""COMPUTED_VALUE"""),66.64191910520498)</f>
        <v>66.64191911</v>
      </c>
      <c r="AY638" s="32">
        <f>IFERROR(__xludf.DUMMYFUNCTION("""COMPUTED_VALUE"""),3.955557504110264)</f>
        <v>3.955557504</v>
      </c>
      <c r="AZ638" s="30">
        <f>IFERROR(__xludf.DUMMYFUNCTION("""COMPUTED_VALUE"""),1.956477232433698)</f>
        <v>1.956477232</v>
      </c>
      <c r="BA638" s="30">
        <f>IFERROR(__xludf.DUMMYFUNCTION("""COMPUTED_VALUE"""),2300.0)</f>
        <v>2300</v>
      </c>
    </row>
    <row r="639">
      <c r="A639" s="71" t="str">
        <f>IFERROR(__xludf.DUMMYFUNCTION("""COMPUTED_VALUE"""),"Challenger")</f>
        <v>Challenger</v>
      </c>
      <c r="B639" s="71" t="str">
        <f>IFERROR(__xludf.DUMMYFUNCTION("""COMPUTED_VALUE"""),"RSC006535")</f>
        <v>RSC006535</v>
      </c>
      <c r="C639" s="30" t="str">
        <f>IFERROR(__xludf.DUMMYFUNCTION("""COMPUTED_VALUE"""),"Westandalone0")</f>
        <v>Westandalone0</v>
      </c>
      <c r="D639" s="30" t="str">
        <f>IFERROR(__xludf.DUMMYFUNCTION("""COMPUTED_VALUE"""),"Deceased")</f>
        <v>Deceased</v>
      </c>
      <c r="E639" s="30">
        <f>IFERROR(__xludf.DUMMYFUNCTION("""COMPUTED_VALUE"""),39.0)</f>
        <v>39</v>
      </c>
      <c r="F639" s="30">
        <f>IFERROR(__xludf.DUMMYFUNCTION("""COMPUTED_VALUE"""),24.0)</f>
        <v>24</v>
      </c>
      <c r="G639" s="42">
        <f>IFERROR(__xludf.DUMMYFUNCTION("""COMPUTED_VALUE"""),15.0)</f>
        <v>15</v>
      </c>
      <c r="H639" s="42">
        <f>IFERROR(__xludf.DUMMYFUNCTION("""COMPUTED_VALUE"""),0.6153846153846154)</f>
        <v>0.6153846154</v>
      </c>
      <c r="I639" s="42">
        <f>IFERROR(__xludf.DUMMYFUNCTION("""COMPUTED_VALUE"""),0.21774193548387097)</f>
        <v>0.2177419355</v>
      </c>
      <c r="J639" s="30">
        <f>IFERROR(__xludf.DUMMYFUNCTION("""COMPUTED_VALUE"""),334.9230769230769)</f>
        <v>334.9230769</v>
      </c>
      <c r="K639" s="30">
        <f>IFERROR(__xludf.DUMMYFUNCTION("""COMPUTED_VALUE"""),0.6923076923076923)</f>
        <v>0.6923076923</v>
      </c>
      <c r="L639" s="30">
        <f>IFERROR(__xludf.DUMMYFUNCTION("""COMPUTED_VALUE"""),0.8205128205128205)</f>
        <v>0.8205128205</v>
      </c>
      <c r="M639" s="30">
        <f>IFERROR(__xludf.DUMMYFUNCTION("""COMPUTED_VALUE"""),0.8461538461538461)</f>
        <v>0.8461538462</v>
      </c>
      <c r="N639" s="30">
        <f>IFERROR(__xludf.DUMMYFUNCTION("""COMPUTED_VALUE"""),3.1794871794871793)</f>
        <v>3.179487179</v>
      </c>
      <c r="O639" s="30">
        <f>IFERROR(__xludf.DUMMYFUNCTION("""COMPUTED_VALUE"""),339.53846153846155)</f>
        <v>339.5384615</v>
      </c>
      <c r="P639" s="30">
        <f>IFERROR(__xludf.DUMMYFUNCTION("""COMPUTED_VALUE"""),0.6495726495726495)</f>
        <v>0.6495726496</v>
      </c>
      <c r="Q639" s="30">
        <f>IFERROR(__xludf.DUMMYFUNCTION("""COMPUTED_VALUE"""),0.4957264957264955)</f>
        <v>0.4957264957</v>
      </c>
      <c r="R639" s="30">
        <f>IFERROR(__xludf.DUMMYFUNCTION("""COMPUTED_VALUE"""),1.5042735042735045)</f>
        <v>1.504273504</v>
      </c>
      <c r="S639" s="30">
        <f>IFERROR(__xludf.DUMMYFUNCTION("""COMPUTED_VALUE"""),2.1111111111111116)</f>
        <v>2.111111111</v>
      </c>
      <c r="T639" s="30">
        <f>IFERROR(__xludf.DUMMYFUNCTION("""COMPUTED_VALUE"""),328.19028159332845)</f>
        <v>328.1902816</v>
      </c>
      <c r="U639" s="30">
        <f>IFERROR(__xludf.DUMMYFUNCTION("""COMPUTED_VALUE"""),0.7388767172684398)</f>
        <v>0.7388767173</v>
      </c>
      <c r="V639" s="30">
        <f>IFERROR(__xludf.DUMMYFUNCTION("""COMPUTED_VALUE"""),0.49195412995150806)</f>
        <v>0.49195413</v>
      </c>
      <c r="W639" s="30">
        <f>IFERROR(__xludf.DUMMYFUNCTION("""COMPUTED_VALUE"""),1.2583449969042884)</f>
        <v>1.258344997</v>
      </c>
      <c r="X639" s="30">
        <f>IFERROR(__xludf.DUMMYFUNCTION("""COMPUTED_VALUE"""),2.3279795505686858)</f>
        <v>2.327979551</v>
      </c>
      <c r="Y639" s="30">
        <f>IFERROR(__xludf.DUMMYFUNCTION("""COMPUTED_VALUE"""),346.3430151868166)</f>
        <v>346.3430152</v>
      </c>
      <c r="Z639" s="30">
        <f>IFERROR(__xludf.DUMMYFUNCTION("""COMPUTED_VALUE"""),0.8481447499853323)</f>
        <v>0.84814475</v>
      </c>
      <c r="AA639" s="30">
        <f>IFERROR(__xludf.DUMMYFUNCTION("""COMPUTED_VALUE"""),0.5963001673984072)</f>
        <v>0.5963001674</v>
      </c>
      <c r="AB639" s="30">
        <f>IFERROR(__xludf.DUMMYFUNCTION("""COMPUTED_VALUE"""),1.1701622080545968)</f>
        <v>1.170162208</v>
      </c>
      <c r="AC639" s="30">
        <f>IFERROR(__xludf.DUMMYFUNCTION("""COMPUTED_VALUE"""),2.613938676633726)</f>
        <v>2.613938677</v>
      </c>
      <c r="AD639" s="30">
        <f>IFERROR(__xludf.DUMMYFUNCTION("""COMPUTED_VALUE"""),0.9670270865500786)</f>
        <v>0.9670270866</v>
      </c>
      <c r="AE639" s="30">
        <f>IFERROR(__xludf.DUMMYFUNCTION("""COMPUTED_VALUE"""),0.8162612482358288)</f>
        <v>0.8162612482</v>
      </c>
      <c r="AF639" s="30">
        <f>IFERROR(__xludf.DUMMYFUNCTION("""COMPUTED_VALUE"""),1.3760063561488314)</f>
        <v>1.376006356</v>
      </c>
      <c r="AG639" s="30">
        <f>IFERROR(__xludf.DUMMYFUNCTION("""COMPUTED_VALUE"""),0.7231081642609045)</f>
        <v>0.7231081643</v>
      </c>
      <c r="AH639" s="30">
        <f>IFERROR(__xludf.DUMMYFUNCTION("""COMPUTED_VALUE"""),1.2163587493115087)</f>
        <v>1.216358749</v>
      </c>
      <c r="AI639" s="30">
        <f>IFERROR(__xludf.DUMMYFUNCTION("""COMPUTED_VALUE"""),1.0345780499350525)</f>
        <v>1.03457805</v>
      </c>
      <c r="AJ639" s="30">
        <f>IFERROR(__xludf.DUMMYFUNCTION("""COMPUTED_VALUE"""),0.8791353610032003)</f>
        <v>0.879135361</v>
      </c>
      <c r="AK639" s="30">
        <f>IFERROR(__xludf.DUMMYFUNCTION("""COMPUTED_VALUE"""),1.0076681250249069)</f>
        <v>1.007668125</v>
      </c>
      <c r="AL639" s="30">
        <f>IFERROR(__xludf.DUMMYFUNCTION("""COMPUTED_VALUE"""),1.1954380618782894)</f>
        <v>1.195438062</v>
      </c>
      <c r="AM639" s="30">
        <f>IFERROR(__xludf.DUMMYFUNCTION("""COMPUTED_VALUE"""),0.9068426355357817)</f>
        <v>0.9068426355</v>
      </c>
      <c r="AN639" s="30">
        <f>IFERROR(__xludf.DUMMYFUNCTION("""COMPUTED_VALUE"""),1.0295205665404685)</f>
        <v>1.029520567</v>
      </c>
      <c r="AO639" s="30">
        <f>IFERROR(__xludf.DUMMYFUNCTION("""COMPUTED_VALUE"""),0.94727167891901)</f>
        <v>0.9472716789</v>
      </c>
      <c r="AP639" s="30">
        <f>IFERROR(__xludf.DUMMYFUNCTION("""COMPUTED_VALUE"""),1.5915252579558186)</f>
        <v>1.591525258</v>
      </c>
      <c r="AQ639" s="30">
        <f>IFERROR(__xludf.DUMMYFUNCTION("""COMPUTED_VALUE"""),0.7017864516291172)</f>
        <v>0.7017864516</v>
      </c>
      <c r="AR639" s="30">
        <f>IFERROR(__xludf.DUMMYFUNCTION("""COMPUTED_VALUE"""),1.3361559318216276)</f>
        <v>1.336155932</v>
      </c>
      <c r="AS639" s="30">
        <f>IFERROR(__xludf.DUMMYFUNCTION("""COMPUTED_VALUE"""),105.0)</f>
        <v>105</v>
      </c>
      <c r="AT639" s="30">
        <f>IFERROR(__xludf.DUMMYFUNCTION("""COMPUTED_VALUE"""),0.6229623883194485)</f>
        <v>0.6229623883</v>
      </c>
      <c r="AU639" s="30">
        <f>IFERROR(__xludf.DUMMYFUNCTION("""COMPUTED_VALUE"""),3.5608234774144356)</f>
        <v>3.560823477</v>
      </c>
      <c r="AV639" s="32">
        <f>IFERROR(__xludf.DUMMYFUNCTION("""COMPUTED_VALUE"""),68.72517771433137)</f>
        <v>68.72517771</v>
      </c>
      <c r="AW639" s="32">
        <f>IFERROR(__xludf.DUMMYFUNCTION("""COMPUTED_VALUE"""),4.406713954763942)</f>
        <v>4.406713955</v>
      </c>
      <c r="AX639" s="32">
        <f>IFERROR(__xludf.DUMMYFUNCTION("""COMPUTED_VALUE"""),56.51010499994448)</f>
        <v>56.510105</v>
      </c>
      <c r="AY639" s="32">
        <f>IFERROR(__xludf.DUMMYFUNCTION("""COMPUTED_VALUE"""),2.5171417239590728)</f>
        <v>2.517141724</v>
      </c>
      <c r="AZ639" s="30">
        <f>IFERROR(__xludf.DUMMYFUNCTION("""COMPUTED_VALUE"""),1.8895722308048688)</f>
        <v>1.889572231</v>
      </c>
      <c r="BA639" s="30">
        <f>IFERROR(__xludf.DUMMYFUNCTION("""COMPUTED_VALUE"""),2300.0)</f>
        <v>2300</v>
      </c>
    </row>
    <row r="640">
      <c r="A640" s="71" t="str">
        <f>IFERROR(__xludf.DUMMYFUNCTION("""COMPUTED_VALUE"""),"Challenger")</f>
        <v>Challenger</v>
      </c>
      <c r="B640" s="71" t="str">
        <f>IFERROR(__xludf.DUMMYFUNCTION("""COMPUTED_VALUE"""),"RSC004618")</f>
        <v>RSC004618</v>
      </c>
      <c r="C640" s="30" t="str">
        <f>IFERROR(__xludf.DUMMYFUNCTION("""COMPUTED_VALUE"""),"Squirrel")</f>
        <v>Squirrel</v>
      </c>
      <c r="D640" s="30" t="str">
        <f>IFERROR(__xludf.DUMMYFUNCTION("""COMPUTED_VALUE"""),"Mugged")</f>
        <v>Mugged</v>
      </c>
      <c r="E640" s="30">
        <f>IFERROR(__xludf.DUMMYFUNCTION("""COMPUTED_VALUE"""),11.0)</f>
        <v>11</v>
      </c>
      <c r="F640" s="30">
        <f>IFERROR(__xludf.DUMMYFUNCTION("""COMPUTED_VALUE"""),6.0)</f>
        <v>6</v>
      </c>
      <c r="G640" s="42">
        <f>IFERROR(__xludf.DUMMYFUNCTION("""COMPUTED_VALUE"""),5.0)</f>
        <v>5</v>
      </c>
      <c r="H640" s="42">
        <f>IFERROR(__xludf.DUMMYFUNCTION("""COMPUTED_VALUE"""),0.5454545454545454)</f>
        <v>0.5454545455</v>
      </c>
      <c r="I640" s="42">
        <f>IFERROR(__xludf.DUMMYFUNCTION("""COMPUTED_VALUE"""),0.43478260869565216)</f>
        <v>0.4347826087</v>
      </c>
      <c r="J640" s="30">
        <f>IFERROR(__xludf.DUMMYFUNCTION("""COMPUTED_VALUE"""),441.3636363636364)</f>
        <v>441.3636364</v>
      </c>
      <c r="K640" s="30">
        <f>IFERROR(__xludf.DUMMYFUNCTION("""COMPUTED_VALUE"""),0.9090909090909091)</f>
        <v>0.9090909091</v>
      </c>
      <c r="L640" s="30">
        <f>IFERROR(__xludf.DUMMYFUNCTION("""COMPUTED_VALUE"""),0.5454545454545454)</f>
        <v>0.5454545455</v>
      </c>
      <c r="M640" s="30">
        <f>IFERROR(__xludf.DUMMYFUNCTION("""COMPUTED_VALUE"""),2.0)</f>
        <v>2</v>
      </c>
      <c r="N640" s="30">
        <f>IFERROR(__xludf.DUMMYFUNCTION("""COMPUTED_VALUE"""),2.090909090909091)</f>
        <v>2.090909091</v>
      </c>
      <c r="O640" s="30">
        <f>IFERROR(__xludf.DUMMYFUNCTION("""COMPUTED_VALUE"""),332.09090909090907)</f>
        <v>332.0909091</v>
      </c>
      <c r="P640" s="30">
        <f>IFERROR(__xludf.DUMMYFUNCTION("""COMPUTED_VALUE"""),0.7575757575757575)</f>
        <v>0.7575757576</v>
      </c>
      <c r="Q640" s="30">
        <f>IFERROR(__xludf.DUMMYFUNCTION("""COMPUTED_VALUE"""),0.42424242424242425)</f>
        <v>0.4242424242</v>
      </c>
      <c r="R640" s="30">
        <f>IFERROR(__xludf.DUMMYFUNCTION("""COMPUTED_VALUE"""),1.1818181818181819)</f>
        <v>1.181818182</v>
      </c>
      <c r="S640" s="30">
        <f>IFERROR(__xludf.DUMMYFUNCTION("""COMPUTED_VALUE"""),2.96969696969697)</f>
        <v>2.96969697</v>
      </c>
      <c r="T640" s="30">
        <f>IFERROR(__xludf.DUMMYFUNCTION("""COMPUTED_VALUE"""),331.35152359437785)</f>
        <v>331.3515236</v>
      </c>
      <c r="U640" s="30">
        <f>IFERROR(__xludf.DUMMYFUNCTION("""COMPUTED_VALUE"""),0.7802961851353133)</f>
        <v>0.7802961851</v>
      </c>
      <c r="V640" s="30">
        <f>IFERROR(__xludf.DUMMYFUNCTION("""COMPUTED_VALUE"""),0.5087540981025319)</f>
        <v>0.5087540981</v>
      </c>
      <c r="W640" s="30">
        <f>IFERROR(__xludf.DUMMYFUNCTION("""COMPUTED_VALUE"""),1.1623345858750633)</f>
        <v>1.162334586</v>
      </c>
      <c r="X640" s="30">
        <f>IFERROR(__xludf.DUMMYFUNCTION("""COMPUTED_VALUE"""),2.5261331396707276)</f>
        <v>2.52613314</v>
      </c>
      <c r="Y640" s="30">
        <f>IFERROR(__xludf.DUMMYFUNCTION("""COMPUTED_VALUE"""),329.26751297252434)</f>
        <v>329.267513</v>
      </c>
      <c r="Z640" s="30">
        <f>IFERROR(__xludf.DUMMYFUNCTION("""COMPUTED_VALUE"""),0.7052548691787145)</f>
        <v>0.7052548692</v>
      </c>
      <c r="AA640" s="30">
        <f>IFERROR(__xludf.DUMMYFUNCTION("""COMPUTED_VALUE"""),0.5039172050977968)</f>
        <v>0.5039172051</v>
      </c>
      <c r="AB640" s="30">
        <f>IFERROR(__xludf.DUMMYFUNCTION("""COMPUTED_VALUE"""),1.2252705919813882)</f>
        <v>1.225270592</v>
      </c>
      <c r="AC640" s="30">
        <f>IFERROR(__xludf.DUMMYFUNCTION("""COMPUTED_VALUE"""),2.34489241055412)</f>
        <v>2.344892411</v>
      </c>
      <c r="AD640" s="30">
        <f>IFERROR(__xludf.DUMMYFUNCTION("""COMPUTED_VALUE"""),1.340440884614286)</f>
        <v>1.340440885</v>
      </c>
      <c r="AE640" s="30">
        <f>IFERROR(__xludf.DUMMYFUNCTION("""COMPUTED_VALUE"""),1.2890246474293277)</f>
        <v>1.289024647</v>
      </c>
      <c r="AF640" s="30">
        <f>IFERROR(__xludf.DUMMYFUNCTION("""COMPUTED_VALUE"""),1.0824288989074848)</f>
        <v>1.082428899</v>
      </c>
      <c r="AG640" s="30">
        <f>IFERROR(__xludf.DUMMYFUNCTION("""COMPUTED_VALUE"""),1.6322925018267147)</f>
        <v>1.632292502</v>
      </c>
      <c r="AH640" s="30">
        <f>IFERROR(__xludf.DUMMYFUNCTION("""COMPUTED_VALUE"""),0.891686578666946)</f>
        <v>0.8916865787</v>
      </c>
      <c r="AI640" s="30">
        <f>IFERROR(__xludf.DUMMYFUNCTION("""COMPUTED_VALUE"""),1.0022314232586307)</f>
        <v>1.002231423</v>
      </c>
      <c r="AJ640" s="30">
        <f>IFERROR(__xludf.DUMMYFUNCTION("""COMPUTED_VALUE"""),0.9708823034222372)</f>
        <v>0.9708823034</v>
      </c>
      <c r="AK640" s="30">
        <f>IFERROR(__xludf.DUMMYFUNCTION("""COMPUTED_VALUE"""),0.8338850258399775)</f>
        <v>0.8338850258</v>
      </c>
      <c r="AL640" s="30">
        <f>IFERROR(__xludf.DUMMYFUNCTION("""COMPUTED_VALUE"""),1.0167624676920806)</f>
        <v>1.016762468</v>
      </c>
      <c r="AM640" s="30">
        <f>IFERROR(__xludf.DUMMYFUNCTION("""COMPUTED_VALUE"""),1.1755900443489924)</f>
        <v>1.175590044</v>
      </c>
      <c r="AN640" s="30">
        <f>IFERROR(__xludf.DUMMYFUNCTION("""COMPUTED_VALUE"""),1.356708367586789)</f>
        <v>1.356708368</v>
      </c>
      <c r="AO640" s="30">
        <f>IFERROR(__xludf.DUMMYFUNCTION("""COMPUTED_VALUE"""),1.2438921036310233)</f>
        <v>1.243892104</v>
      </c>
      <c r="AP640" s="30">
        <f>IFERROR(__xludf.DUMMYFUNCTION("""COMPUTED_VALUE"""),1.0580025862547202)</f>
        <v>1.058002586</v>
      </c>
      <c r="AQ640" s="30">
        <f>IFERROR(__xludf.DUMMYFUNCTION("""COMPUTED_VALUE"""),1.6587679765779135)</f>
        <v>1.658767977</v>
      </c>
      <c r="AR640" s="30">
        <f>IFERROR(__xludf.DUMMYFUNCTION("""COMPUTED_VALUE"""),0.8786890548709678)</f>
        <v>0.8786890549</v>
      </c>
      <c r="AS640" s="30">
        <f>IFERROR(__xludf.DUMMYFUNCTION("""COMPUTED_VALUE"""),29.0)</f>
        <v>29</v>
      </c>
      <c r="AT640" s="30">
        <f>IFERROR(__xludf.DUMMYFUNCTION("""COMPUTED_VALUE"""),0.558313483557868)</f>
        <v>0.5583134836</v>
      </c>
      <c r="AU640" s="30">
        <f>IFERROR(__xludf.DUMMYFUNCTION("""COMPUTED_VALUE"""),3.6073762002741345)</f>
        <v>3.6073762</v>
      </c>
      <c r="AV640" s="32">
        <f>IFERROR(__xludf.DUMMYFUNCTION("""COMPUTED_VALUE"""),69.94012281220213)</f>
        <v>69.94012281</v>
      </c>
      <c r="AW640" s="32">
        <f>IFERROR(__xludf.DUMMYFUNCTION("""COMPUTED_VALUE"""),4.70477756746544)</f>
        <v>4.704777567</v>
      </c>
      <c r="AX640" s="32">
        <f>IFERROR(__xludf.DUMMYFUNCTION("""COMPUTED_VALUE"""),59.49640740787067)</f>
        <v>59.49640741</v>
      </c>
      <c r="AY640" s="32">
        <f>IFERROR(__xludf.DUMMYFUNCTION("""COMPUTED_VALUE"""),2.8406989016884956)</f>
        <v>2.840698902</v>
      </c>
      <c r="AZ640" s="30">
        <f>IFERROR(__xludf.DUMMYFUNCTION("""COMPUTED_VALUE"""),1.8640786657769444)</f>
        <v>1.864078666</v>
      </c>
      <c r="BA640" s="30">
        <f>IFERROR(__xludf.DUMMYFUNCTION("""COMPUTED_VALUE"""),2300.0)</f>
        <v>2300</v>
      </c>
    </row>
    <row r="641">
      <c r="A641" s="71" t="str">
        <f>IFERROR(__xludf.DUMMYFUNCTION("""COMPUTED_VALUE"""),"Challenger")</f>
        <v>Challenger</v>
      </c>
      <c r="B641" s="71" t="str">
        <f>IFERROR(__xludf.DUMMYFUNCTION("""COMPUTED_VALUE"""),"RSC007406")</f>
        <v>RSC007406</v>
      </c>
      <c r="C641" s="30" t="str">
        <f>IFERROR(__xludf.DUMMYFUNCTION("""COMPUTED_VALUE"""),"junior1000gsxr")</f>
        <v>junior1000gsxr</v>
      </c>
      <c r="D641" s="30" t="str">
        <f>IFERROR(__xludf.DUMMYFUNCTION("""COMPUTED_VALUE"""),"Chromatic Chaos")</f>
        <v>Chromatic Chaos</v>
      </c>
      <c r="E641" s="30">
        <f>IFERROR(__xludf.DUMMYFUNCTION("""COMPUTED_VALUE"""),19.0)</f>
        <v>19</v>
      </c>
      <c r="F641" s="30">
        <f>IFERROR(__xludf.DUMMYFUNCTION("""COMPUTED_VALUE"""),6.0)</f>
        <v>6</v>
      </c>
      <c r="G641" s="42">
        <f>IFERROR(__xludf.DUMMYFUNCTION("""COMPUTED_VALUE"""),13.0)</f>
        <v>13</v>
      </c>
      <c r="H641" s="42">
        <f>IFERROR(__xludf.DUMMYFUNCTION("""COMPUTED_VALUE"""),0.3157894736842105)</f>
        <v>0.3157894737</v>
      </c>
      <c r="I641" s="42">
        <f>IFERROR(__xludf.DUMMYFUNCTION("""COMPUTED_VALUE"""),0.34375000000000006)</f>
        <v>0.34375</v>
      </c>
      <c r="J641" s="30">
        <f>IFERROR(__xludf.DUMMYFUNCTION("""COMPUTED_VALUE"""),311.2105263157895)</f>
        <v>311.2105263</v>
      </c>
      <c r="K641" s="30">
        <f>IFERROR(__xludf.DUMMYFUNCTION("""COMPUTED_VALUE"""),0.5789473684210527)</f>
        <v>0.5789473684</v>
      </c>
      <c r="L641" s="30">
        <f>IFERROR(__xludf.DUMMYFUNCTION("""COMPUTED_VALUE"""),0.5789473684210527)</f>
        <v>0.5789473684</v>
      </c>
      <c r="M641" s="30">
        <f>IFERROR(__xludf.DUMMYFUNCTION("""COMPUTED_VALUE"""),1.2105263157894737)</f>
        <v>1.210526316</v>
      </c>
      <c r="N641" s="30">
        <f>IFERROR(__xludf.DUMMYFUNCTION("""COMPUTED_VALUE"""),1.6842105263157894)</f>
        <v>1.684210526</v>
      </c>
      <c r="O641" s="30">
        <f>IFERROR(__xludf.DUMMYFUNCTION("""COMPUTED_VALUE"""),342.9122807017543)</f>
        <v>342.9122807</v>
      </c>
      <c r="P641" s="30">
        <f>IFERROR(__xludf.DUMMYFUNCTION("""COMPUTED_VALUE"""),0.9473684210526315)</f>
        <v>0.9473684211</v>
      </c>
      <c r="Q641" s="30">
        <f>IFERROR(__xludf.DUMMYFUNCTION("""COMPUTED_VALUE"""),0.6315789473684209)</f>
        <v>0.6315789474</v>
      </c>
      <c r="R641" s="30">
        <f>IFERROR(__xludf.DUMMYFUNCTION("""COMPUTED_VALUE"""),0.9824561403508772)</f>
        <v>0.9824561404</v>
      </c>
      <c r="S641" s="30">
        <f>IFERROR(__xludf.DUMMYFUNCTION("""COMPUTED_VALUE"""),2.789473684210526)</f>
        <v>2.789473684</v>
      </c>
      <c r="T641" s="30">
        <f>IFERROR(__xludf.DUMMYFUNCTION("""COMPUTED_VALUE"""),322.38633800517636)</f>
        <v>322.386338</v>
      </c>
      <c r="U641" s="30">
        <f>IFERROR(__xludf.DUMMYFUNCTION("""COMPUTED_VALUE"""),0.7305421449013844)</f>
        <v>0.7305421449</v>
      </c>
      <c r="V641" s="30">
        <f>IFERROR(__xludf.DUMMYFUNCTION("""COMPUTED_VALUE"""),0.5047362766058341)</f>
        <v>0.5047362766</v>
      </c>
      <c r="W641" s="30">
        <f>IFERROR(__xludf.DUMMYFUNCTION("""COMPUTED_VALUE"""),1.144743819200034)</f>
        <v>1.144743819</v>
      </c>
      <c r="X641" s="30">
        <f>IFERROR(__xludf.DUMMYFUNCTION("""COMPUTED_VALUE"""),2.3920824614009244)</f>
        <v>2.392082461</v>
      </c>
      <c r="Y641" s="30">
        <f>IFERROR(__xludf.DUMMYFUNCTION("""COMPUTED_VALUE"""),340.8795633918256)</f>
        <v>340.8795634</v>
      </c>
      <c r="Z641" s="30">
        <f>IFERROR(__xludf.DUMMYFUNCTION("""COMPUTED_VALUE"""),0.8181454600443585)</f>
        <v>0.81814546</v>
      </c>
      <c r="AA641" s="30">
        <f>IFERROR(__xludf.DUMMYFUNCTION("""COMPUTED_VALUE"""),0.5376266957690374)</f>
        <v>0.5376266958</v>
      </c>
      <c r="AB641" s="30">
        <f>IFERROR(__xludf.DUMMYFUNCTION("""COMPUTED_VALUE"""),1.222150964412427)</f>
        <v>1.222150964</v>
      </c>
      <c r="AC641" s="30">
        <f>IFERROR(__xludf.DUMMYFUNCTION("""COMPUTED_VALUE"""),2.3770411865667156)</f>
        <v>2.377041187</v>
      </c>
      <c r="AD641" s="30">
        <f>IFERROR(__xludf.DUMMYFUNCTION("""COMPUTED_VALUE"""),0.9129632859746041)</f>
        <v>0.912963286</v>
      </c>
      <c r="AE641" s="30">
        <f>IFERROR(__xludf.DUMMYFUNCTION("""COMPUTED_VALUE"""),0.7076337848157992)</f>
        <v>0.7076337848</v>
      </c>
      <c r="AF641" s="30">
        <f>IFERROR(__xludf.DUMMYFUNCTION("""COMPUTED_VALUE"""),1.076857553721191)</f>
        <v>1.076857554</v>
      </c>
      <c r="AG641" s="30">
        <f>IFERROR(__xludf.DUMMYFUNCTION("""COMPUTED_VALUE"""),0.9904883693083348)</f>
        <v>0.9904883693</v>
      </c>
      <c r="AH641" s="30">
        <f>IFERROR(__xludf.DUMMYFUNCTION("""COMPUTED_VALUE"""),0.708532328271679)</f>
        <v>0.7085323283</v>
      </c>
      <c r="AI641" s="30">
        <f>IFERROR(__xludf.DUMMYFUNCTION("""COMPUTED_VALUE"""),1.063668773384089)</f>
        <v>1.063668773</v>
      </c>
      <c r="AJ641" s="30">
        <f>IFERROR(__xludf.DUMMYFUNCTION("""COMPUTED_VALUE"""),1.2968018719584158)</f>
        <v>1.296801872</v>
      </c>
      <c r="AK641" s="30">
        <f>IFERROR(__xludf.DUMMYFUNCTION("""COMPUTED_VALUE"""),1.2513048430272482)</f>
        <v>1.251304843</v>
      </c>
      <c r="AL641" s="30">
        <f>IFERROR(__xludf.DUMMYFUNCTION("""COMPUTED_VALUE"""),0.858232317023938)</f>
        <v>0.858232317</v>
      </c>
      <c r="AM641" s="30">
        <f>IFERROR(__xludf.DUMMYFUNCTION("""COMPUTED_VALUE"""),1.1661277272928414)</f>
        <v>1.166127727</v>
      </c>
      <c r="AN641" s="30">
        <f>IFERROR(__xludf.DUMMYFUNCTION("""COMPUTED_VALUE"""),0.9566305203853598)</f>
        <v>0.9566305204</v>
      </c>
      <c r="AO641" s="30">
        <f>IFERROR(__xludf.DUMMYFUNCTION("""COMPUTED_VALUE"""),0.792162865996599)</f>
        <v>0.792162866</v>
      </c>
      <c r="AP641" s="30">
        <f>IFERROR(__xludf.DUMMYFUNCTION("""COMPUTED_VALUE"""),1.1229676573405365)</f>
        <v>1.122967657</v>
      </c>
      <c r="AQ641" s="30">
        <f>IFERROR(__xludf.DUMMYFUNCTION("""COMPUTED_VALUE"""),1.0039911437182107)</f>
        <v>1.003991144</v>
      </c>
      <c r="AR641" s="30">
        <f>IFERROR(__xludf.DUMMYFUNCTION("""COMPUTED_VALUE"""),0.7077769961432052)</f>
        <v>0.7077769961</v>
      </c>
      <c r="AS641" s="30">
        <f>IFERROR(__xludf.DUMMYFUNCTION("""COMPUTED_VALUE"""),40.0)</f>
        <v>40</v>
      </c>
      <c r="AT641" s="30">
        <f>IFERROR(__xludf.DUMMYFUNCTION("""COMPUTED_VALUE"""),0.3834685418618609)</f>
        <v>0.3834685419</v>
      </c>
      <c r="AU641" s="30">
        <f>IFERROR(__xludf.DUMMYFUNCTION("""COMPUTED_VALUE"""),2.0165579121787354)</f>
        <v>2.016557912</v>
      </c>
      <c r="AV641" s="32">
        <f>IFERROR(__xludf.DUMMYFUNCTION("""COMPUTED_VALUE"""),28.42253239005573)</f>
        <v>28.42253239</v>
      </c>
      <c r="AW641" s="32">
        <f>IFERROR(__xludf.DUMMYFUNCTION("""COMPUTED_VALUE"""),-5.1535340844397854)</f>
        <v>-5.153534084</v>
      </c>
      <c r="AX641" s="32">
        <f>IFERROR(__xludf.DUMMYFUNCTION("""COMPUTED_VALUE"""),36.408533933171014)</f>
        <v>36.40853393</v>
      </c>
      <c r="AY641" s="32">
        <f>IFERROR(__xludf.DUMMYFUNCTION("""COMPUTED_VALUE"""),-3.4090343667514658)</f>
        <v>-3.409034367</v>
      </c>
      <c r="AZ641" s="30">
        <f>IFERROR(__xludf.DUMMYFUNCTION("""COMPUTED_VALUE"""),1.7444997176883197)</f>
        <v>1.744499718</v>
      </c>
      <c r="BA641" s="30">
        <f>IFERROR(__xludf.DUMMYFUNCTION("""COMPUTED_VALUE"""),2300.0)</f>
        <v>2300</v>
      </c>
    </row>
    <row r="642">
      <c r="A642" s="71" t="str">
        <f>IFERROR(__xludf.DUMMYFUNCTION("""COMPUTED_VALUE"""),"Challenger")</f>
        <v>Challenger</v>
      </c>
      <c r="B642" s="71" t="str">
        <f>IFERROR(__xludf.DUMMYFUNCTION("""COMPUTED_VALUE"""),"RSC004817")</f>
        <v>RSC004817</v>
      </c>
      <c r="C642" s="30" t="str">
        <f>IFERROR(__xludf.DUMMYFUNCTION("""COMPUTED_VALUE"""),"crybound")</f>
        <v>crybound</v>
      </c>
      <c r="D642" s="30" t="str">
        <f>IFERROR(__xludf.DUMMYFUNCTION("""COMPUTED_VALUE"""),"Chromatic Chaos")</f>
        <v>Chromatic Chaos</v>
      </c>
      <c r="E642" s="30">
        <f>IFERROR(__xludf.DUMMYFUNCTION("""COMPUTED_VALUE"""),27.0)</f>
        <v>27</v>
      </c>
      <c r="F642" s="30">
        <f>IFERROR(__xludf.DUMMYFUNCTION("""COMPUTED_VALUE"""),12.0)</f>
        <v>12</v>
      </c>
      <c r="G642" s="42">
        <f>IFERROR(__xludf.DUMMYFUNCTION("""COMPUTED_VALUE"""),15.0)</f>
        <v>15</v>
      </c>
      <c r="H642" s="42">
        <f>IFERROR(__xludf.DUMMYFUNCTION("""COMPUTED_VALUE"""),0.4444444444444444)</f>
        <v>0.4444444444</v>
      </c>
      <c r="I642" s="42">
        <f>IFERROR(__xludf.DUMMYFUNCTION("""COMPUTED_VALUE"""),0.30158730158730157)</f>
        <v>0.3015873016</v>
      </c>
      <c r="J642" s="30">
        <f>IFERROR(__xludf.DUMMYFUNCTION("""COMPUTED_VALUE"""),306.51851851851853)</f>
        <v>306.5185185</v>
      </c>
      <c r="K642" s="30">
        <f>IFERROR(__xludf.DUMMYFUNCTION("""COMPUTED_VALUE"""),0.7037037037037037)</f>
        <v>0.7037037037</v>
      </c>
      <c r="L642" s="30">
        <f>IFERROR(__xludf.DUMMYFUNCTION("""COMPUTED_VALUE"""),0.5555555555555556)</f>
        <v>0.5555555556</v>
      </c>
      <c r="M642" s="30">
        <f>IFERROR(__xludf.DUMMYFUNCTION("""COMPUTED_VALUE"""),1.0)</f>
        <v>1</v>
      </c>
      <c r="N642" s="30">
        <f>IFERROR(__xludf.DUMMYFUNCTION("""COMPUTED_VALUE"""),2.3333333333333335)</f>
        <v>2.333333333</v>
      </c>
      <c r="O642" s="30">
        <f>IFERROR(__xludf.DUMMYFUNCTION("""COMPUTED_VALUE"""),352.71604938271605)</f>
        <v>352.7160494</v>
      </c>
      <c r="P642" s="30">
        <f>IFERROR(__xludf.DUMMYFUNCTION("""COMPUTED_VALUE"""),0.9382716049382716)</f>
        <v>0.9382716049</v>
      </c>
      <c r="Q642" s="30">
        <f>IFERROR(__xludf.DUMMYFUNCTION("""COMPUTED_VALUE"""),0.5679012345679012)</f>
        <v>0.5679012346</v>
      </c>
      <c r="R642" s="30">
        <f>IFERROR(__xludf.DUMMYFUNCTION("""COMPUTED_VALUE"""),1.2222222222222225)</f>
        <v>1.222222222</v>
      </c>
      <c r="S642" s="30">
        <f>IFERROR(__xludf.DUMMYFUNCTION("""COMPUTED_VALUE"""),2.790123456790123)</f>
        <v>2.790123457</v>
      </c>
      <c r="T642" s="30">
        <f>IFERROR(__xludf.DUMMYFUNCTION("""COMPUTED_VALUE"""),334.90309273373896)</f>
        <v>334.9030927</v>
      </c>
      <c r="U642" s="30">
        <f>IFERROR(__xludf.DUMMYFUNCTION("""COMPUTED_VALUE"""),0.7805611679787086)</f>
        <v>0.780561168</v>
      </c>
      <c r="V642" s="30">
        <f>IFERROR(__xludf.DUMMYFUNCTION("""COMPUTED_VALUE"""),0.5441162324814793)</f>
        <v>0.5441162325</v>
      </c>
      <c r="W642" s="30">
        <f>IFERROR(__xludf.DUMMYFUNCTION("""COMPUTED_VALUE"""),1.1857126492880279)</f>
        <v>1.185712649</v>
      </c>
      <c r="X642" s="30">
        <f>IFERROR(__xludf.DUMMYFUNCTION("""COMPUTED_VALUE"""),2.5073715409650004)</f>
        <v>2.507371541</v>
      </c>
      <c r="Y642" s="30">
        <f>IFERROR(__xludf.DUMMYFUNCTION("""COMPUTED_VALUE"""),339.6991870976616)</f>
        <v>339.6991871</v>
      </c>
      <c r="Z642" s="30">
        <f>IFERROR(__xludf.DUMMYFUNCTION("""COMPUTED_VALUE"""),0.7873918600532095)</f>
        <v>0.7873918601</v>
      </c>
      <c r="AA642" s="30">
        <f>IFERROR(__xludf.DUMMYFUNCTION("""COMPUTED_VALUE"""),0.540620254980256)</f>
        <v>0.540620255</v>
      </c>
      <c r="AB642" s="30">
        <f>IFERROR(__xludf.DUMMYFUNCTION("""COMPUTED_VALUE"""),1.2441186119315317)</f>
        <v>1.244118612</v>
      </c>
      <c r="AC642" s="30">
        <f>IFERROR(__xludf.DUMMYFUNCTION("""COMPUTED_VALUE"""),2.4945425021817473)</f>
        <v>2.494542502</v>
      </c>
      <c r="AD642" s="30">
        <f>IFERROR(__xludf.DUMMYFUNCTION("""COMPUTED_VALUE"""),0.9023233795092839)</f>
        <v>0.9023233795</v>
      </c>
      <c r="AE642" s="30">
        <f>IFERROR(__xludf.DUMMYFUNCTION("""COMPUTED_VALUE"""),0.8937147301169073)</f>
        <v>0.8937147301</v>
      </c>
      <c r="AF642" s="30">
        <f>IFERROR(__xludf.DUMMYFUNCTION("""COMPUTED_VALUE"""),1.027626231976538)</f>
        <v>1.027626232</v>
      </c>
      <c r="AG642" s="30">
        <f>IFERROR(__xludf.DUMMYFUNCTION("""COMPUTED_VALUE"""),0.8037818825388922)</f>
        <v>0.8037818825</v>
      </c>
      <c r="AH642" s="30">
        <f>IFERROR(__xludf.DUMMYFUNCTION("""COMPUTED_VALUE"""),0.9353752567024137)</f>
        <v>0.9353752567</v>
      </c>
      <c r="AI642" s="30">
        <f>IFERROR(__xludf.DUMMYFUNCTION("""COMPUTED_VALUE"""),1.0531883910165591)</f>
        <v>1.053188391</v>
      </c>
      <c r="AJ642" s="30">
        <f>IFERROR(__xludf.DUMMYFUNCTION("""COMPUTED_VALUE"""),1.2020475056015916)</f>
        <v>1.202047506</v>
      </c>
      <c r="AK642" s="30">
        <f>IFERROR(__xludf.DUMMYFUNCTION("""COMPUTED_VALUE"""),1.0437130904511867)</f>
        <v>1.04371309</v>
      </c>
      <c r="AL642" s="30">
        <f>IFERROR(__xludf.DUMMYFUNCTION("""COMPUTED_VALUE"""),1.0307912485846527)</f>
        <v>1.030791249</v>
      </c>
      <c r="AM642" s="30">
        <f>IFERROR(__xludf.DUMMYFUNCTION("""COMPUTED_VALUE"""),1.1127682560025791)</f>
        <v>1.112768256</v>
      </c>
      <c r="AN642" s="30">
        <f>IFERROR(__xludf.DUMMYFUNCTION("""COMPUTED_VALUE"""),0.9422077503271231)</f>
        <v>0.9422077503</v>
      </c>
      <c r="AO642" s="30">
        <f>IFERROR(__xludf.DUMMYFUNCTION("""COMPUTED_VALUE"""),0.9628646283662365)</f>
        <v>0.9628646284</v>
      </c>
      <c r="AP642" s="30">
        <f>IFERROR(__xludf.DUMMYFUNCTION("""COMPUTED_VALUE"""),1.0775952267409188)</f>
        <v>1.077595227</v>
      </c>
      <c r="AQ642" s="30">
        <f>IFERROR(__xludf.DUMMYFUNCTION("""COMPUTED_VALUE"""),0.8293839882889568)</f>
        <v>0.8293839883</v>
      </c>
      <c r="AR642" s="30">
        <f>IFERROR(__xludf.DUMMYFUNCTION("""COMPUTED_VALUE"""),0.9805660467400656)</f>
        <v>0.9805660467</v>
      </c>
      <c r="AS642" s="30">
        <f>IFERROR(__xludf.DUMMYFUNCTION("""COMPUTED_VALUE"""),69.0)</f>
        <v>69</v>
      </c>
      <c r="AT642" s="30">
        <f>IFERROR(__xludf.DUMMYFUNCTION("""COMPUTED_VALUE"""),0.46094618564430345)</f>
        <v>0.4609461856</v>
      </c>
      <c r="AU642" s="30">
        <f>IFERROR(__xludf.DUMMYFUNCTION("""COMPUTED_VALUE"""),2.6020526514674565)</f>
        <v>2.602052651</v>
      </c>
      <c r="AV642" s="32">
        <f>IFERROR(__xludf.DUMMYFUNCTION("""COMPUTED_VALUE"""),43.70292673931454)</f>
        <v>43.70292674</v>
      </c>
      <c r="AW642" s="32">
        <f>IFERROR(__xludf.DUMMYFUNCTION("""COMPUTED_VALUE"""),-2.496468888798277)</f>
        <v>-2.496468889</v>
      </c>
      <c r="AX642" s="32">
        <f>IFERROR(__xludf.DUMMYFUNCTION("""COMPUTED_VALUE"""),32.12844335443835)</f>
        <v>32.12844335</v>
      </c>
      <c r="AY642" s="32">
        <f>IFERROR(__xludf.DUMMYFUNCTION("""COMPUTED_VALUE"""),-4.213239149262895)</f>
        <v>-4.213239149</v>
      </c>
      <c r="AZ642" s="30">
        <f>IFERROR(__xludf.DUMMYFUNCTION("""COMPUTED_VALUE"""),1.7167702604646182)</f>
        <v>1.71677026</v>
      </c>
      <c r="BA642" s="30">
        <f>IFERROR(__xludf.DUMMYFUNCTION("""COMPUTED_VALUE"""),2300.0)</f>
        <v>2300</v>
      </c>
    </row>
    <row r="643">
      <c r="A643" s="71" t="str">
        <f>IFERROR(__xludf.DUMMYFUNCTION("""COMPUTED_VALUE"""),"Challenger")</f>
        <v>Challenger</v>
      </c>
      <c r="B643" s="71" t="str">
        <f>IFERROR(__xludf.DUMMYFUNCTION("""COMPUTED_VALUE"""),"RSC007890")</f>
        <v>RSC007890</v>
      </c>
      <c r="C643" s="30" t="str">
        <f>IFERROR(__xludf.DUMMYFUNCTION("""COMPUTED_VALUE"""),"Ghost-Bacon")</f>
        <v>Ghost-Bacon</v>
      </c>
      <c r="D643" s="30"/>
      <c r="E643" s="30">
        <f>IFERROR(__xludf.DUMMYFUNCTION("""COMPUTED_VALUE"""),15.0)</f>
        <v>15</v>
      </c>
      <c r="F643" s="30">
        <f>IFERROR(__xludf.DUMMYFUNCTION("""COMPUTED_VALUE"""),10.0)</f>
        <v>10</v>
      </c>
      <c r="G643" s="42">
        <f>IFERROR(__xludf.DUMMYFUNCTION("""COMPUTED_VALUE"""),5.0)</f>
        <v>5</v>
      </c>
      <c r="H643" s="42">
        <f>IFERROR(__xludf.DUMMYFUNCTION("""COMPUTED_VALUE"""),0.6666666666666666)</f>
        <v>0.6666666667</v>
      </c>
      <c r="I643" s="42">
        <f>IFERROR(__xludf.DUMMYFUNCTION("""COMPUTED_VALUE"""),0.25)</f>
        <v>0.25</v>
      </c>
      <c r="J643" s="30">
        <f>IFERROR(__xludf.DUMMYFUNCTION("""COMPUTED_VALUE"""),333.6666666666667)</f>
        <v>333.6666667</v>
      </c>
      <c r="K643" s="30">
        <f>IFERROR(__xludf.DUMMYFUNCTION("""COMPUTED_VALUE"""),0.8)</f>
        <v>0.8</v>
      </c>
      <c r="L643" s="30">
        <f>IFERROR(__xludf.DUMMYFUNCTION("""COMPUTED_VALUE"""),0.6666666666666666)</f>
        <v>0.6666666667</v>
      </c>
      <c r="M643" s="30">
        <f>IFERROR(__xludf.DUMMYFUNCTION("""COMPUTED_VALUE"""),0.8666666666666667)</f>
        <v>0.8666666667</v>
      </c>
      <c r="N643" s="30">
        <f>IFERROR(__xludf.DUMMYFUNCTION("""COMPUTED_VALUE"""),3.2)</f>
        <v>3.2</v>
      </c>
      <c r="O643" s="30">
        <f>IFERROR(__xludf.DUMMYFUNCTION("""COMPUTED_VALUE"""),301.1111111111111)</f>
        <v>301.1111111</v>
      </c>
      <c r="P643" s="30">
        <f>IFERROR(__xludf.DUMMYFUNCTION("""COMPUTED_VALUE"""),0.5555555555555556)</f>
        <v>0.5555555556</v>
      </c>
      <c r="Q643" s="30">
        <f>IFERROR(__xludf.DUMMYFUNCTION("""COMPUTED_VALUE"""),0.44444444444444436)</f>
        <v>0.4444444444</v>
      </c>
      <c r="R643" s="30">
        <f>IFERROR(__xludf.DUMMYFUNCTION("""COMPUTED_VALUE"""),1.2222222222222223)</f>
        <v>1.222222222</v>
      </c>
      <c r="S643" s="30">
        <f>IFERROR(__xludf.DUMMYFUNCTION("""COMPUTED_VALUE"""),2.177777777777778)</f>
        <v>2.177777778</v>
      </c>
      <c r="T643" s="30">
        <f>IFERROR(__xludf.DUMMYFUNCTION("""COMPUTED_VALUE"""),325.6766336698773)</f>
        <v>325.6766337</v>
      </c>
      <c r="U643" s="30">
        <f>IFERROR(__xludf.DUMMYFUNCTION("""COMPUTED_VALUE"""),0.8249573064058547)</f>
        <v>0.8249573064</v>
      </c>
      <c r="V643" s="30">
        <f>IFERROR(__xludf.DUMMYFUNCTION("""COMPUTED_VALUE"""),0.4591903359345218)</f>
        <v>0.4591903359</v>
      </c>
      <c r="W643" s="30">
        <f>IFERROR(__xludf.DUMMYFUNCTION("""COMPUTED_VALUE"""),1.1302779466653157)</f>
        <v>1.130277947</v>
      </c>
      <c r="X643" s="30">
        <f>IFERROR(__xludf.DUMMYFUNCTION("""COMPUTED_VALUE"""),2.369517917061237)</f>
        <v>2.369517917</v>
      </c>
      <c r="Y643" s="30">
        <f>IFERROR(__xludf.DUMMYFUNCTION("""COMPUTED_VALUE"""),326.01502665600816)</f>
        <v>326.0150267</v>
      </c>
      <c r="Z643" s="30">
        <f>IFERROR(__xludf.DUMMYFUNCTION("""COMPUTED_VALUE"""),0.7756971181339121)</f>
        <v>0.7756971181</v>
      </c>
      <c r="AA643" s="30">
        <f>IFERROR(__xludf.DUMMYFUNCTION("""COMPUTED_VALUE"""),0.5026454793997989)</f>
        <v>0.5026454794</v>
      </c>
      <c r="AB643" s="30">
        <f>IFERROR(__xludf.DUMMYFUNCTION("""COMPUTED_VALUE"""),1.1613231330209595)</f>
        <v>1.161323133</v>
      </c>
      <c r="AC643" s="30">
        <f>IFERROR(__xludf.DUMMYFUNCTION("""COMPUTED_VALUE"""),2.391206929560657)</f>
        <v>2.39120693</v>
      </c>
      <c r="AD643" s="30">
        <f>IFERROR(__xludf.DUMMYFUNCTION("""COMPUTED_VALUE"""),1.0234702065396883)</f>
        <v>1.023470207</v>
      </c>
      <c r="AE643" s="30">
        <f>IFERROR(__xludf.DUMMYFUNCTION("""COMPUTED_VALUE"""),1.031330375346183)</f>
        <v>1.031330375</v>
      </c>
      <c r="AF643" s="30">
        <f>IFERROR(__xludf.DUMMYFUNCTION("""COMPUTED_VALUE"""),1.3263158508114365)</f>
        <v>1.326315851</v>
      </c>
      <c r="AG643" s="30">
        <f>IFERROR(__xludf.DUMMYFUNCTION("""COMPUTED_VALUE"""),0.7462752114583299)</f>
        <v>0.7462752115</v>
      </c>
      <c r="AH643" s="30">
        <f>IFERROR(__xludf.DUMMYFUNCTION("""COMPUTED_VALUE"""),1.3382363359861729)</f>
        <v>1.338236336</v>
      </c>
      <c r="AI643" s="30">
        <f>IFERROR(__xludf.DUMMYFUNCTION("""COMPUTED_VALUE"""),0.9245708165122246)</f>
        <v>0.9245708165</v>
      </c>
      <c r="AJ643" s="30">
        <f>IFERROR(__xludf.DUMMYFUNCTION("""COMPUTED_VALUE"""),0.6734355235617958)</f>
        <v>0.6734355236</v>
      </c>
      <c r="AK643" s="30">
        <f>IFERROR(__xludf.DUMMYFUNCTION("""COMPUTED_VALUE"""),0.9678871911359648)</f>
        <v>0.9678871911</v>
      </c>
      <c r="AL643" s="30">
        <f>IFERROR(__xludf.DUMMYFUNCTION("""COMPUTED_VALUE"""),1.0813466066715465)</f>
        <v>1.081346607</v>
      </c>
      <c r="AM643" s="30">
        <f>IFERROR(__xludf.DUMMYFUNCTION("""COMPUTED_VALUE"""),0.9190805277719689)</f>
        <v>0.9190805278</v>
      </c>
      <c r="AN643" s="30">
        <f>IFERROR(__xludf.DUMMYFUNCTION("""COMPUTED_VALUE"""),1.025658485101142)</f>
        <v>1.025658485</v>
      </c>
      <c r="AO643" s="30">
        <f>IFERROR(__xludf.DUMMYFUNCTION("""COMPUTED_VALUE"""),1.0946250511953006)</f>
        <v>1.094625051</v>
      </c>
      <c r="AP643" s="30">
        <f>IFERROR(__xludf.DUMMYFUNCTION("""COMPUTED_VALUE"""),1.2931142720891025)</f>
        <v>1.293114272</v>
      </c>
      <c r="AQ643" s="30">
        <f>IFERROR(__xludf.DUMMYFUNCTION("""COMPUTED_VALUE"""),0.7187994565170959)</f>
        <v>0.7187994565</v>
      </c>
      <c r="AR643" s="30">
        <f>IFERROR(__xludf.DUMMYFUNCTION("""COMPUTED_VALUE"""),1.34477629267209)</f>
        <v>1.344776293</v>
      </c>
      <c r="AS643" s="30">
        <f>IFERROR(__xludf.DUMMYFUNCTION("""COMPUTED_VALUE"""),35.0)</f>
        <v>35</v>
      </c>
      <c r="AT643" s="30">
        <f>IFERROR(__xludf.DUMMYFUNCTION("""COMPUTED_VALUE"""),0.6226679444608085)</f>
        <v>0.6226679445</v>
      </c>
      <c r="AU643" s="30">
        <f>IFERROR(__xludf.DUMMYFUNCTION("""COMPUTED_VALUE"""),3.863608536936523)</f>
        <v>3.863608537</v>
      </c>
      <c r="AV643" s="32">
        <f>IFERROR(__xludf.DUMMYFUNCTION("""COMPUTED_VALUE"""),76.62734113629813)</f>
        <v>76.62734114</v>
      </c>
      <c r="AW643" s="32">
        <f>IFERROR(__xludf.DUMMYFUNCTION("""COMPUTED_VALUE"""),6.972684917480428)</f>
        <v>6.972684917</v>
      </c>
      <c r="AX643" s="32">
        <f>IFERROR(__xludf.DUMMYFUNCTION("""COMPUTED_VALUE"""),72.02379755765116)</f>
        <v>72.02379756</v>
      </c>
      <c r="AY643" s="32">
        <f>IFERROR(__xludf.DUMMYFUNCTION("""COMPUTED_VALUE"""),5.286196621490693)</f>
        <v>5.286196621</v>
      </c>
      <c r="AZ643" s="30">
        <f>IFERROR(__xludf.DUMMYFUNCTION("""COMPUTED_VALUE"""),1.6864882959897347)</f>
        <v>1.686488296</v>
      </c>
      <c r="BA643" s="30">
        <f>IFERROR(__xludf.DUMMYFUNCTION("""COMPUTED_VALUE"""),2300.0)</f>
        <v>2300</v>
      </c>
    </row>
    <row r="644">
      <c r="A644" s="71" t="str">
        <f>IFERROR(__xludf.DUMMYFUNCTION("""COMPUTED_VALUE"""),"Challenger")</f>
        <v>Challenger</v>
      </c>
      <c r="B644" s="71" t="str">
        <f>IFERROR(__xludf.DUMMYFUNCTION("""COMPUTED_VALUE"""),"RSC004901")</f>
        <v>RSC004901</v>
      </c>
      <c r="C644" s="30" t="str">
        <f>IFERROR(__xludf.DUMMYFUNCTION("""COMPUTED_VALUE"""),"Dofri9976")</f>
        <v>Dofri9976</v>
      </c>
      <c r="D644" s="30" t="str">
        <f>IFERROR(__xludf.DUMMYFUNCTION("""COMPUTED_VALUE"""),"Lilac")</f>
        <v>Lilac</v>
      </c>
      <c r="E644" s="30">
        <f>IFERROR(__xludf.DUMMYFUNCTION("""COMPUTED_VALUE"""),21.0)</f>
        <v>21</v>
      </c>
      <c r="F644" s="30">
        <f>IFERROR(__xludf.DUMMYFUNCTION("""COMPUTED_VALUE"""),12.0)</f>
        <v>12</v>
      </c>
      <c r="G644" s="42">
        <f>IFERROR(__xludf.DUMMYFUNCTION("""COMPUTED_VALUE"""),9.0)</f>
        <v>9</v>
      </c>
      <c r="H644" s="42">
        <f>IFERROR(__xludf.DUMMYFUNCTION("""COMPUTED_VALUE"""),0.5714285714285714)</f>
        <v>0.5714285714</v>
      </c>
      <c r="I644" s="42">
        <f>IFERROR(__xludf.DUMMYFUNCTION("""COMPUTED_VALUE"""),0.3333333333333333)</f>
        <v>0.3333333333</v>
      </c>
      <c r="J644" s="30">
        <f>IFERROR(__xludf.DUMMYFUNCTION("""COMPUTED_VALUE"""),385.9047619047619)</f>
        <v>385.9047619</v>
      </c>
      <c r="K644" s="30">
        <f>IFERROR(__xludf.DUMMYFUNCTION("""COMPUTED_VALUE"""),0.8571428571428571)</f>
        <v>0.8571428571</v>
      </c>
      <c r="L644" s="30">
        <f>IFERROR(__xludf.DUMMYFUNCTION("""COMPUTED_VALUE"""),0.8571428571428571)</f>
        <v>0.8571428571</v>
      </c>
      <c r="M644" s="30">
        <f>IFERROR(__xludf.DUMMYFUNCTION("""COMPUTED_VALUE"""),1.5714285714285714)</f>
        <v>1.571428571</v>
      </c>
      <c r="N644" s="30">
        <f>IFERROR(__xludf.DUMMYFUNCTION("""COMPUTED_VALUE"""),2.5714285714285716)</f>
        <v>2.571428571</v>
      </c>
      <c r="O644" s="30">
        <f>IFERROR(__xludf.DUMMYFUNCTION("""COMPUTED_VALUE"""),355.82539682539675)</f>
        <v>355.8253968</v>
      </c>
      <c r="P644" s="30">
        <f>IFERROR(__xludf.DUMMYFUNCTION("""COMPUTED_VALUE"""),0.7301587301587302)</f>
        <v>0.7301587302</v>
      </c>
      <c r="Q644" s="30">
        <f>IFERROR(__xludf.DUMMYFUNCTION("""COMPUTED_VALUE"""),0.5714285714285715)</f>
        <v>0.5714285714</v>
      </c>
      <c r="R644" s="30">
        <f>IFERROR(__xludf.DUMMYFUNCTION("""COMPUTED_VALUE"""),1.4126984126984126)</f>
        <v>1.412698413</v>
      </c>
      <c r="S644" s="30">
        <f>IFERROR(__xludf.DUMMYFUNCTION("""COMPUTED_VALUE"""),2.365079365079365)</f>
        <v>2.365079365</v>
      </c>
      <c r="T644" s="30">
        <f>IFERROR(__xludf.DUMMYFUNCTION("""COMPUTED_VALUE"""),337.6025859987505)</f>
        <v>337.602586</v>
      </c>
      <c r="U644" s="30">
        <f>IFERROR(__xludf.DUMMYFUNCTION("""COMPUTED_VALUE"""),0.7791565072313766)</f>
        <v>0.7791565072</v>
      </c>
      <c r="V644" s="30">
        <f>IFERROR(__xludf.DUMMYFUNCTION("""COMPUTED_VALUE"""),0.5339443822108758)</f>
        <v>0.5339443822</v>
      </c>
      <c r="W644" s="30">
        <f>IFERROR(__xludf.DUMMYFUNCTION("""COMPUTED_VALUE"""),1.2760059842555056)</f>
        <v>1.276005984</v>
      </c>
      <c r="X644" s="30">
        <f>IFERROR(__xludf.DUMMYFUNCTION("""COMPUTED_VALUE"""),2.4729738870024027)</f>
        <v>2.472973887</v>
      </c>
      <c r="Y644" s="30">
        <f>IFERROR(__xludf.DUMMYFUNCTION("""COMPUTED_VALUE"""),351.85436661700726)</f>
        <v>351.8543666</v>
      </c>
      <c r="Z644" s="30">
        <f>IFERROR(__xludf.DUMMYFUNCTION("""COMPUTED_VALUE"""),0.8303213502376303)</f>
        <v>0.8303213502</v>
      </c>
      <c r="AA644" s="30">
        <f>IFERROR(__xludf.DUMMYFUNCTION("""COMPUTED_VALUE"""),0.5975368197946286)</f>
        <v>0.5975368198</v>
      </c>
      <c r="AB644" s="30">
        <f>IFERROR(__xludf.DUMMYFUNCTION("""COMPUTED_VALUE"""),1.2792494545473194)</f>
        <v>1.279249455</v>
      </c>
      <c r="AC644" s="30">
        <f>IFERROR(__xludf.DUMMYFUNCTION("""COMPUTED_VALUE"""),2.595626299872292)</f>
        <v>2.5956263</v>
      </c>
      <c r="AD644" s="30">
        <f>IFERROR(__xludf.DUMMYFUNCTION("""COMPUTED_VALUE"""),1.0967741159933322)</f>
        <v>1.096774116</v>
      </c>
      <c r="AE644" s="30">
        <f>IFERROR(__xludf.DUMMYFUNCTION("""COMPUTED_VALUE"""),1.0323025620111428)</f>
        <v>1.032302562</v>
      </c>
      <c r="AF644" s="30">
        <f>IFERROR(__xludf.DUMMYFUNCTION("""COMPUTED_VALUE"""),1.4344603190100558)</f>
        <v>1.434460319</v>
      </c>
      <c r="AG644" s="30">
        <f>IFERROR(__xludf.DUMMYFUNCTION("""COMPUTED_VALUE"""),1.2283988598491478)</f>
        <v>1.22839886</v>
      </c>
      <c r="AH644" s="30">
        <f>IFERROR(__xludf.DUMMYFUNCTION("""COMPUTED_VALUE"""),0.9906774991280867)</f>
        <v>0.9906774991</v>
      </c>
      <c r="AI644" s="30">
        <f>IFERROR(__xludf.DUMMYFUNCTION("""COMPUTED_VALUE"""),1.0539771067592287)</f>
        <v>1.053977107</v>
      </c>
      <c r="AJ644" s="30">
        <f>IFERROR(__xludf.DUMMYFUNCTION("""COMPUTED_VALUE"""),0.9371143324635084)</f>
        <v>0.9371143325</v>
      </c>
      <c r="AK644" s="30">
        <f>IFERROR(__xludf.DUMMYFUNCTION("""COMPUTED_VALUE"""),1.0702024226989464)</f>
        <v>1.070202423</v>
      </c>
      <c r="AL644" s="30">
        <f>IFERROR(__xludf.DUMMYFUNCTION("""COMPUTED_VALUE"""),1.1071252252180157)</f>
        <v>1.107125225</v>
      </c>
      <c r="AM644" s="30">
        <f>IFERROR(__xludf.DUMMYFUNCTION("""COMPUTED_VALUE"""),0.9563705373153693)</f>
        <v>0.9563705373</v>
      </c>
      <c r="AN644" s="30">
        <f>IFERROR(__xludf.DUMMYFUNCTION("""COMPUTED_VALUE"""),1.1862332472184467)</f>
        <v>1.186233247</v>
      </c>
      <c r="AO644" s="30">
        <f>IFERROR(__xludf.DUMMYFUNCTION("""COMPUTED_VALUE"""),1.1728125548521076)</f>
        <v>1.172812555</v>
      </c>
      <c r="AP644" s="30">
        <f>IFERROR(__xludf.DUMMYFUNCTION("""COMPUTED_VALUE"""),1.662575492685989)</f>
        <v>1.662575493</v>
      </c>
      <c r="AQ644" s="30">
        <f>IFERROR(__xludf.DUMMYFUNCTION("""COMPUTED_VALUE"""),1.3033176958826462)</f>
        <v>1.303317696</v>
      </c>
      <c r="AR644" s="30">
        <f>IFERROR(__xludf.DUMMYFUNCTION("""COMPUTED_VALUE"""),1.0806238066115008)</f>
        <v>1.080623807</v>
      </c>
      <c r="AS644" s="30">
        <f>IFERROR(__xludf.DUMMYFUNCTION("""COMPUTED_VALUE"""),62.0)</f>
        <v>62</v>
      </c>
      <c r="AT644" s="30">
        <f>IFERROR(__xludf.DUMMYFUNCTION("""COMPUTED_VALUE"""),0.617177221392091)</f>
        <v>0.6171772214</v>
      </c>
      <c r="AU644" s="30">
        <f>IFERROR(__xludf.DUMMYFUNCTION("""COMPUTED_VALUE"""),3.7163488707211636)</f>
        <v>3.716348871</v>
      </c>
      <c r="AV644" s="32">
        <f>IFERROR(__xludf.DUMMYFUNCTION("""COMPUTED_VALUE"""),72.78411997560158)</f>
        <v>72.78411998</v>
      </c>
      <c r="AW644" s="32">
        <f>IFERROR(__xludf.DUMMYFUNCTION("""COMPUTED_VALUE"""),5.52328736899983)</f>
        <v>5.523287369</v>
      </c>
      <c r="AX644" s="32">
        <f>IFERROR(__xludf.DUMMYFUNCTION("""COMPUTED_VALUE"""),66.36360135310044)</f>
        <v>66.36360135</v>
      </c>
      <c r="AY644" s="32">
        <f>IFERROR(__xludf.DUMMYFUNCTION("""COMPUTED_VALUE"""),3.9004499514913213)</f>
        <v>3.900449951</v>
      </c>
      <c r="AZ644" s="30">
        <f>IFERROR(__xludf.DUMMYFUNCTION("""COMPUTED_VALUE"""),1.6228374175085083)</f>
        <v>1.622837418</v>
      </c>
      <c r="BA644" s="30">
        <f>IFERROR(__xludf.DUMMYFUNCTION("""COMPUTED_VALUE"""),2300.0)</f>
        <v>2300</v>
      </c>
    </row>
    <row r="645">
      <c r="A645" s="71" t="str">
        <f>IFERROR(__xludf.DUMMYFUNCTION("""COMPUTED_VALUE"""),"Challenger")</f>
        <v>Challenger</v>
      </c>
      <c r="B645" s="71" t="str">
        <f>IFERROR(__xludf.DUMMYFUNCTION("""COMPUTED_VALUE"""),"RSC000347")</f>
        <v>RSC000347</v>
      </c>
      <c r="C645" s="30" t="str">
        <f>IFERROR(__xludf.DUMMYFUNCTION("""COMPUTED_VALUE"""),"Chris.")</f>
        <v>Chris.</v>
      </c>
      <c r="D645" s="30" t="str">
        <f>IFERROR(__xludf.DUMMYFUNCTION("""COMPUTED_VALUE"""),"Zombies")</f>
        <v>Zombies</v>
      </c>
      <c r="E645" s="30">
        <f>IFERROR(__xludf.DUMMYFUNCTION("""COMPUTED_VALUE"""),15.0)</f>
        <v>15</v>
      </c>
      <c r="F645" s="30">
        <f>IFERROR(__xludf.DUMMYFUNCTION("""COMPUTED_VALUE"""),8.0)</f>
        <v>8</v>
      </c>
      <c r="G645" s="42">
        <f>IFERROR(__xludf.DUMMYFUNCTION("""COMPUTED_VALUE"""),7.0)</f>
        <v>7</v>
      </c>
      <c r="H645" s="42">
        <f>IFERROR(__xludf.DUMMYFUNCTION("""COMPUTED_VALUE"""),0.5333333333333333)</f>
        <v>0.5333333333</v>
      </c>
      <c r="I645" s="42">
        <f>IFERROR(__xludf.DUMMYFUNCTION("""COMPUTED_VALUE"""),0.3333333333333333)</f>
        <v>0.3333333333</v>
      </c>
      <c r="J645" s="30">
        <f>IFERROR(__xludf.DUMMYFUNCTION("""COMPUTED_VALUE"""),245.86666666666667)</f>
        <v>245.8666667</v>
      </c>
      <c r="K645" s="30">
        <f>IFERROR(__xludf.DUMMYFUNCTION("""COMPUTED_VALUE"""),0.6666666666666666)</f>
        <v>0.6666666667</v>
      </c>
      <c r="L645" s="30">
        <f>IFERROR(__xludf.DUMMYFUNCTION("""COMPUTED_VALUE"""),0.6)</f>
        <v>0.6</v>
      </c>
      <c r="M645" s="30">
        <f>IFERROR(__xludf.DUMMYFUNCTION("""COMPUTED_VALUE"""),0.3333333333333333)</f>
        <v>0.3333333333</v>
      </c>
      <c r="N645" s="30">
        <f>IFERROR(__xludf.DUMMYFUNCTION("""COMPUTED_VALUE"""),2.0)</f>
        <v>2</v>
      </c>
      <c r="O645" s="30">
        <f>IFERROR(__xludf.DUMMYFUNCTION("""COMPUTED_VALUE"""),309.2)</f>
        <v>309.2</v>
      </c>
      <c r="P645" s="30">
        <f>IFERROR(__xludf.DUMMYFUNCTION("""COMPUTED_VALUE"""),0.7333333333333335)</f>
        <v>0.7333333333</v>
      </c>
      <c r="Q645" s="30">
        <f>IFERROR(__xludf.DUMMYFUNCTION("""COMPUTED_VALUE"""),0.4888888888888889)</f>
        <v>0.4888888889</v>
      </c>
      <c r="R645" s="30">
        <f>IFERROR(__xludf.DUMMYFUNCTION("""COMPUTED_VALUE"""),1.0666666666666667)</f>
        <v>1.066666667</v>
      </c>
      <c r="S645" s="30">
        <f>IFERROR(__xludf.DUMMYFUNCTION("""COMPUTED_VALUE"""),2.3333333333333335)</f>
        <v>2.333333333</v>
      </c>
      <c r="T645" s="30">
        <f>IFERROR(__xludf.DUMMYFUNCTION("""COMPUTED_VALUE"""),329.4770509905214)</f>
        <v>329.477051</v>
      </c>
      <c r="U645" s="30">
        <f>IFERROR(__xludf.DUMMYFUNCTION("""COMPUTED_VALUE"""),0.7573672219628382)</f>
        <v>0.757367222</v>
      </c>
      <c r="V645" s="30">
        <f>IFERROR(__xludf.DUMMYFUNCTION("""COMPUTED_VALUE"""),0.5314313471682789)</f>
        <v>0.5314313472</v>
      </c>
      <c r="W645" s="30">
        <f>IFERROR(__xludf.DUMMYFUNCTION("""COMPUTED_VALUE"""),1.1419826403548385)</f>
        <v>1.14198264</v>
      </c>
      <c r="X645" s="30">
        <f>IFERROR(__xludf.DUMMYFUNCTION("""COMPUTED_VALUE"""),2.543987940131731)</f>
        <v>2.54398794</v>
      </c>
      <c r="Y645" s="30">
        <f>IFERROR(__xludf.DUMMYFUNCTION("""COMPUTED_VALUE"""),326.22991062252066)</f>
        <v>326.2299106</v>
      </c>
      <c r="Z645" s="30">
        <f>IFERROR(__xludf.DUMMYFUNCTION("""COMPUTED_VALUE"""),0.7000058142169698)</f>
        <v>0.7000058142</v>
      </c>
      <c r="AA645" s="30">
        <f>IFERROR(__xludf.DUMMYFUNCTION("""COMPUTED_VALUE"""),0.4848738316842395)</f>
        <v>0.4848738317</v>
      </c>
      <c r="AB645" s="30">
        <f>IFERROR(__xludf.DUMMYFUNCTION("""COMPUTED_VALUE"""),1.3189705189848968)</f>
        <v>1.318970519</v>
      </c>
      <c r="AC645" s="30">
        <f>IFERROR(__xludf.DUMMYFUNCTION("""COMPUTED_VALUE"""),2.207686992295396)</f>
        <v>2.207686992</v>
      </c>
      <c r="AD645" s="30">
        <f>IFERROR(__xludf.DUMMYFUNCTION("""COMPUTED_VALUE"""),0.7536607118504165)</f>
        <v>0.7536607119</v>
      </c>
      <c r="AE645" s="30">
        <f>IFERROR(__xludf.DUMMYFUNCTION("""COMPUTED_VALUE"""),0.9523730419473779)</f>
        <v>0.9523730419</v>
      </c>
      <c r="AF645" s="30">
        <f>IFERROR(__xludf.DUMMYFUNCTION("""COMPUTED_VALUE"""),1.2374353095440571)</f>
        <v>1.23743531</v>
      </c>
      <c r="AG645" s="30">
        <f>IFERROR(__xludf.DUMMYFUNCTION("""COMPUTED_VALUE"""),0.2527223531803217)</f>
        <v>0.2527223532</v>
      </c>
      <c r="AH645" s="30">
        <f>IFERROR(__xludf.DUMMYFUNCTION("""COMPUTED_VALUE"""),0.9059255261184206)</f>
        <v>0.9059255261</v>
      </c>
      <c r="AI645" s="30">
        <f>IFERROR(__xludf.DUMMYFUNCTION("""COMPUTED_VALUE"""),0.9384568639012593)</f>
        <v>0.9384568639</v>
      </c>
      <c r="AJ645" s="30">
        <f>IFERROR(__xludf.DUMMYFUNCTION("""COMPUTED_VALUE"""),0.9682665318321843)</f>
        <v>0.9682665318</v>
      </c>
      <c r="AK645" s="30">
        <f>IFERROR(__xludf.DUMMYFUNCTION("""COMPUTED_VALUE"""),0.9199474052366752)</f>
        <v>0.9199474052</v>
      </c>
      <c r="AL645" s="30">
        <f>IFERROR(__xludf.DUMMYFUNCTION("""COMPUTED_VALUE"""),0.9340480572762738)</f>
        <v>0.9340480573</v>
      </c>
      <c r="AM645" s="30">
        <f>IFERROR(__xludf.DUMMYFUNCTION("""COMPUTED_VALUE"""),0.9171951236579016)</f>
        <v>0.9171951237</v>
      </c>
      <c r="AN645" s="30">
        <f>IFERROR(__xludf.DUMMYFUNCTION("""COMPUTED_VALUE"""),0.7557699286819205)</f>
        <v>0.7557699287</v>
      </c>
      <c r="AO645" s="30">
        <f>IFERROR(__xludf.DUMMYFUNCTION("""COMPUTED_VALUE"""),0.9121875426627504)</f>
        <v>0.9121875427</v>
      </c>
      <c r="AP645" s="30">
        <f>IFERROR(__xludf.DUMMYFUNCTION("""COMPUTED_VALUE"""),1.1638028448801923)</f>
        <v>1.163802845</v>
      </c>
      <c r="AQ645" s="30">
        <f>IFERROR(__xludf.DUMMYFUNCTION("""COMPUTED_VALUE"""),0.27646132942965224)</f>
        <v>0.2764613294</v>
      </c>
      <c r="AR645" s="30">
        <f>IFERROR(__xludf.DUMMYFUNCTION("""COMPUTED_VALUE"""),0.8404851829200563)</f>
        <v>0.8404851829</v>
      </c>
      <c r="AS645" s="30">
        <f>IFERROR(__xludf.DUMMYFUNCTION("""COMPUTED_VALUE"""),33.0)</f>
        <v>33</v>
      </c>
      <c r="AT645" s="30">
        <f>IFERROR(__xludf.DUMMYFUNCTION("""COMPUTED_VALUE"""),0.4999999999999999)</f>
        <v>0.5</v>
      </c>
      <c r="AU645" s="30">
        <f>IFERROR(__xludf.DUMMYFUNCTION("""COMPUTED_VALUE"""),2.664795858522612)</f>
        <v>2.664795859</v>
      </c>
      <c r="AV645" s="32">
        <f>IFERROR(__xludf.DUMMYFUNCTION("""COMPUTED_VALUE"""),45.34041531471094)</f>
        <v>45.34041531</v>
      </c>
      <c r="AW645" s="32">
        <f>IFERROR(__xludf.DUMMYFUNCTION("""COMPUTED_VALUE"""),-2.347020832724502)</f>
        <v>-2.347020833</v>
      </c>
      <c r="AX645" s="32">
        <f>IFERROR(__xludf.DUMMYFUNCTION("""COMPUTED_VALUE"""),34.16232296823328)</f>
        <v>34.16232297</v>
      </c>
      <c r="AY645" s="32">
        <f>IFERROR(__xludf.DUMMYFUNCTION("""COMPUTED_VALUE"""),-3.799373634048776)</f>
        <v>-3.799373634</v>
      </c>
      <c r="AZ645" s="30">
        <f>IFERROR(__xludf.DUMMYFUNCTION("""COMPUTED_VALUE"""),1.452352801324274)</f>
        <v>1.452352801</v>
      </c>
      <c r="BA645" s="30">
        <f>IFERROR(__xludf.DUMMYFUNCTION("""COMPUTED_VALUE"""),2300.0)</f>
        <v>2300</v>
      </c>
    </row>
    <row r="646">
      <c r="A646" s="71" t="str">
        <f>IFERROR(__xludf.DUMMYFUNCTION("""COMPUTED_VALUE"""),"Challenger")</f>
        <v>Challenger</v>
      </c>
      <c r="B646" s="71" t="str">
        <f>IFERROR(__xludf.DUMMYFUNCTION("""COMPUTED_VALUE"""),"RSC007969")</f>
        <v>RSC007969</v>
      </c>
      <c r="C646" s="30" t="str">
        <f>IFERROR(__xludf.DUMMYFUNCTION("""COMPUTED_VALUE"""),"EcHo.rll")</f>
        <v>EcHo.rll</v>
      </c>
      <c r="D646" s="30" t="str">
        <f>IFERROR(__xludf.DUMMYFUNCTION("""COMPUTED_VALUE"""),"Shade")</f>
        <v>Shade</v>
      </c>
      <c r="E646" s="30">
        <f>IFERROR(__xludf.DUMMYFUNCTION("""COMPUTED_VALUE"""),20.0)</f>
        <v>20</v>
      </c>
      <c r="F646" s="30">
        <f>IFERROR(__xludf.DUMMYFUNCTION("""COMPUTED_VALUE"""),8.0)</f>
        <v>8</v>
      </c>
      <c r="G646" s="42">
        <f>IFERROR(__xludf.DUMMYFUNCTION("""COMPUTED_VALUE"""),12.0)</f>
        <v>12</v>
      </c>
      <c r="H646" s="42">
        <f>IFERROR(__xludf.DUMMYFUNCTION("""COMPUTED_VALUE"""),0.4)</f>
        <v>0.4</v>
      </c>
      <c r="I646" s="42">
        <f>IFERROR(__xludf.DUMMYFUNCTION("""COMPUTED_VALUE"""),0.2631578947368421)</f>
        <v>0.2631578947</v>
      </c>
      <c r="J646" s="30">
        <f>IFERROR(__xludf.DUMMYFUNCTION("""COMPUTED_VALUE"""),281.65)</f>
        <v>281.65</v>
      </c>
      <c r="K646" s="30">
        <f>IFERROR(__xludf.DUMMYFUNCTION("""COMPUTED_VALUE"""),0.5)</f>
        <v>0.5</v>
      </c>
      <c r="L646" s="30">
        <f>IFERROR(__xludf.DUMMYFUNCTION("""COMPUTED_VALUE"""),0.5)</f>
        <v>0.5</v>
      </c>
      <c r="M646" s="30">
        <f>IFERROR(__xludf.DUMMYFUNCTION("""COMPUTED_VALUE"""),1.0)</f>
        <v>1</v>
      </c>
      <c r="N646" s="30">
        <f>IFERROR(__xludf.DUMMYFUNCTION("""COMPUTED_VALUE"""),1.9)</f>
        <v>1.9</v>
      </c>
      <c r="O646" s="30">
        <f>IFERROR(__xludf.DUMMYFUNCTION("""COMPUTED_VALUE"""),336.03333333333336)</f>
        <v>336.0333333</v>
      </c>
      <c r="P646" s="30">
        <f>IFERROR(__xludf.DUMMYFUNCTION("""COMPUTED_VALUE"""),0.9)</f>
        <v>0.9</v>
      </c>
      <c r="Q646" s="30">
        <f>IFERROR(__xludf.DUMMYFUNCTION("""COMPUTED_VALUE"""),0.6166666666666667)</f>
        <v>0.6166666667</v>
      </c>
      <c r="R646" s="30">
        <f>IFERROR(__xludf.DUMMYFUNCTION("""COMPUTED_VALUE"""),0.9666666666666666)</f>
        <v>0.9666666667</v>
      </c>
      <c r="S646" s="30">
        <f>IFERROR(__xludf.DUMMYFUNCTION("""COMPUTED_VALUE"""),2.4999999999999996)</f>
        <v>2.5</v>
      </c>
      <c r="T646" s="30">
        <f>IFERROR(__xludf.DUMMYFUNCTION("""COMPUTED_VALUE"""),342.2238714317294)</f>
        <v>342.2238714</v>
      </c>
      <c r="U646" s="30">
        <f>IFERROR(__xludf.DUMMYFUNCTION("""COMPUTED_VALUE"""),0.8245608939241785)</f>
        <v>0.8245608939</v>
      </c>
      <c r="V646" s="30">
        <f>IFERROR(__xludf.DUMMYFUNCTION("""COMPUTED_VALUE"""),0.5607656037099324)</f>
        <v>0.5607656037</v>
      </c>
      <c r="W646" s="30">
        <f>IFERROR(__xludf.DUMMYFUNCTION("""COMPUTED_VALUE"""),1.1980089442415889)</f>
        <v>1.198008944</v>
      </c>
      <c r="X646" s="30">
        <f>IFERROR(__xludf.DUMMYFUNCTION("""COMPUTED_VALUE"""),2.455235003203243)</f>
        <v>2.455235003</v>
      </c>
      <c r="Y646" s="30">
        <f>IFERROR(__xludf.DUMMYFUNCTION("""COMPUTED_VALUE"""),316.9501423281804)</f>
        <v>316.9501423</v>
      </c>
      <c r="Z646" s="30">
        <f>IFERROR(__xludf.DUMMYFUNCTION("""COMPUTED_VALUE"""),0.7145657131147901)</f>
        <v>0.7145657131</v>
      </c>
      <c r="AA646" s="30">
        <f>IFERROR(__xludf.DUMMYFUNCTION("""COMPUTED_VALUE"""),0.4849126505058662)</f>
        <v>0.4849126505</v>
      </c>
      <c r="AB646" s="30">
        <f>IFERROR(__xludf.DUMMYFUNCTION("""COMPUTED_VALUE"""),1.1735592727702073)</f>
        <v>1.173559273</v>
      </c>
      <c r="AC646" s="30">
        <f>IFERROR(__xludf.DUMMYFUNCTION("""COMPUTED_VALUE"""),2.3422722208114406)</f>
        <v>2.342272221</v>
      </c>
      <c r="AD646" s="30">
        <f>IFERROR(__xludf.DUMMYFUNCTION("""COMPUTED_VALUE"""),0.8886255671984223)</f>
        <v>0.8886255672</v>
      </c>
      <c r="AE646" s="30">
        <f>IFERROR(__xludf.DUMMYFUNCTION("""COMPUTED_VALUE"""),0.6997257086692577)</f>
        <v>0.6997257087</v>
      </c>
      <c r="AF646" s="30">
        <f>IFERROR(__xludf.DUMMYFUNCTION("""COMPUTED_VALUE"""),1.0311135407137646)</f>
        <v>1.031113541</v>
      </c>
      <c r="AG646" s="30">
        <f>IFERROR(__xludf.DUMMYFUNCTION("""COMPUTED_VALUE"""),0.8521086435110196)</f>
        <v>0.8521086435</v>
      </c>
      <c r="AH646" s="30">
        <f>IFERROR(__xludf.DUMMYFUNCTION("""COMPUTED_VALUE"""),0.8111781299877164)</f>
        <v>0.81117813</v>
      </c>
      <c r="AI646" s="30">
        <f>IFERROR(__xludf.DUMMYFUNCTION("""COMPUTED_VALUE"""),0.9819108524706437)</f>
        <v>0.9819108525</v>
      </c>
      <c r="AJ646" s="30">
        <f>IFERROR(__xludf.DUMMYFUNCTION("""COMPUTED_VALUE"""),1.0914900362504438)</f>
        <v>1.091490036</v>
      </c>
      <c r="AK646" s="30">
        <f>IFERROR(__xludf.DUMMYFUNCTION("""COMPUTED_VALUE"""),1.0996870396238678)</f>
        <v>1.09968704</v>
      </c>
      <c r="AL646" s="30">
        <f>IFERROR(__xludf.DUMMYFUNCTION("""COMPUTED_VALUE"""),0.8068943652825766)</f>
        <v>0.8068943653</v>
      </c>
      <c r="AM646" s="30">
        <f>IFERROR(__xludf.DUMMYFUNCTION("""COMPUTED_VALUE"""),1.0182324692904563)</f>
        <v>1.018232469</v>
      </c>
      <c r="AN646" s="30">
        <f>IFERROR(__xludf.DUMMYFUNCTION("""COMPUTED_VALUE"""),0.8657643726135963)</f>
        <v>0.8657643726</v>
      </c>
      <c r="AO646" s="30">
        <f>IFERROR(__xludf.DUMMYFUNCTION("""COMPUTED_VALUE"""),0.6841406569970628)</f>
        <v>0.684140657</v>
      </c>
      <c r="AP646" s="30">
        <f>IFERROR(__xludf.DUMMYFUNCTION("""COMPUTED_VALUE"""),0.969835704066827)</f>
        <v>0.9698357041</v>
      </c>
      <c r="AQ646" s="30">
        <f>IFERROR(__xludf.DUMMYFUNCTION("""COMPUTED_VALUE"""),0.8293839882889568)</f>
        <v>0.8293839883</v>
      </c>
      <c r="AR646" s="30">
        <f>IFERROR(__xludf.DUMMYFUNCTION("""COMPUTED_VALUE"""),0.7984609237740533)</f>
        <v>0.7984609238</v>
      </c>
      <c r="AS646" s="30">
        <f>IFERROR(__xludf.DUMMYFUNCTION("""COMPUTED_VALUE"""),37.0)</f>
        <v>37</v>
      </c>
      <c r="AT646" s="30">
        <f>IFERROR(__xludf.DUMMYFUNCTION("""COMPUTED_VALUE"""),0.3580114159219156)</f>
        <v>0.3580114159</v>
      </c>
      <c r="AU646" s="30">
        <f>IFERROR(__xludf.DUMMYFUNCTION("""COMPUTED_VALUE"""),2.1072942607938883)</f>
        <v>2.107294261</v>
      </c>
      <c r="AV646" s="32">
        <f>IFERROR(__xludf.DUMMYFUNCTION("""COMPUTED_VALUE"""),30.79059327192755)</f>
        <v>30.79059327</v>
      </c>
      <c r="AW646" s="32">
        <f>IFERROR(__xludf.DUMMYFUNCTION("""COMPUTED_VALUE"""),-4.522189169409179)</f>
        <v>-4.522189169</v>
      </c>
      <c r="AX646" s="32">
        <f>IFERROR(__xludf.DUMMYFUNCTION("""COMPUTED_VALUE"""),38.349390033875615)</f>
        <v>38.34939003</v>
      </c>
      <c r="AY646" s="32">
        <f>IFERROR(__xludf.DUMMYFUNCTION("""COMPUTED_VALUE"""),-3.1191611430135042)</f>
        <v>-3.119161143</v>
      </c>
      <c r="AZ646" s="30">
        <f>IFERROR(__xludf.DUMMYFUNCTION("""COMPUTED_VALUE"""),1.403028026395675)</f>
        <v>1.403028026</v>
      </c>
      <c r="BA646" s="30">
        <f>IFERROR(__xludf.DUMMYFUNCTION("""COMPUTED_VALUE"""),2300.0)</f>
        <v>2300</v>
      </c>
    </row>
    <row r="647">
      <c r="A647" s="71" t="str">
        <f>IFERROR(__xludf.DUMMYFUNCTION("""COMPUTED_VALUE"""),"Challenger")</f>
        <v>Challenger</v>
      </c>
      <c r="B647" s="71" t="str">
        <f>IFERROR(__xludf.DUMMYFUNCTION("""COMPUTED_VALUE"""),"RSC007525")</f>
        <v>RSC007525</v>
      </c>
      <c r="C647" s="30" t="str">
        <f>IFERROR(__xludf.DUMMYFUNCTION("""COMPUTED_VALUE"""),"BulletNote")</f>
        <v>BulletNote</v>
      </c>
      <c r="D647" s="30" t="str">
        <f>IFERROR(__xludf.DUMMYFUNCTION("""COMPUTED_VALUE"""),"Quarter")</f>
        <v>Quarter</v>
      </c>
      <c r="E647" s="30">
        <f>IFERROR(__xludf.DUMMYFUNCTION("""COMPUTED_VALUE"""),30.0)</f>
        <v>30</v>
      </c>
      <c r="F647" s="30">
        <f>IFERROR(__xludf.DUMMYFUNCTION("""COMPUTED_VALUE"""),6.0)</f>
        <v>6</v>
      </c>
      <c r="G647" s="42">
        <f>IFERROR(__xludf.DUMMYFUNCTION("""COMPUTED_VALUE"""),24.0)</f>
        <v>24</v>
      </c>
      <c r="H647" s="42">
        <f>IFERROR(__xludf.DUMMYFUNCTION("""COMPUTED_VALUE"""),0.2)</f>
        <v>0.2</v>
      </c>
      <c r="I647" s="42">
        <f>IFERROR(__xludf.DUMMYFUNCTION("""COMPUTED_VALUE"""),0.41860465116279066)</f>
        <v>0.4186046512</v>
      </c>
      <c r="J647" s="30">
        <f>IFERROR(__xludf.DUMMYFUNCTION("""COMPUTED_VALUE"""),343.6333333333333)</f>
        <v>343.6333333</v>
      </c>
      <c r="K647" s="30">
        <f>IFERROR(__xludf.DUMMYFUNCTION("""COMPUTED_VALUE"""),0.6)</f>
        <v>0.6</v>
      </c>
      <c r="L647" s="30">
        <f>IFERROR(__xludf.DUMMYFUNCTION("""COMPUTED_VALUE"""),0.5666666666666667)</f>
        <v>0.5666666667</v>
      </c>
      <c r="M647" s="30">
        <f>IFERROR(__xludf.DUMMYFUNCTION("""COMPUTED_VALUE"""),1.7)</f>
        <v>1.7</v>
      </c>
      <c r="N647" s="30">
        <f>IFERROR(__xludf.DUMMYFUNCTION("""COMPUTED_VALUE"""),1.4333333333333333)</f>
        <v>1.433333333</v>
      </c>
      <c r="O647" s="30">
        <f>IFERROR(__xludf.DUMMYFUNCTION("""COMPUTED_VALUE"""),346.0444444444445)</f>
        <v>346.0444444</v>
      </c>
      <c r="P647" s="30">
        <f>IFERROR(__xludf.DUMMYFUNCTION("""COMPUTED_VALUE"""),1.0)</f>
        <v>1</v>
      </c>
      <c r="Q647" s="30">
        <f>IFERROR(__xludf.DUMMYFUNCTION("""COMPUTED_VALUE"""),0.6444444444444444)</f>
        <v>0.6444444444</v>
      </c>
      <c r="R647" s="30">
        <f>IFERROR(__xludf.DUMMYFUNCTION("""COMPUTED_VALUE"""),0.9111111111111108)</f>
        <v>0.9111111111</v>
      </c>
      <c r="S647" s="30">
        <f>IFERROR(__xludf.DUMMYFUNCTION("""COMPUTED_VALUE"""),3.0444444444444447)</f>
        <v>3.044444444</v>
      </c>
      <c r="T647" s="30">
        <f>IFERROR(__xludf.DUMMYFUNCTION("""COMPUTED_VALUE"""),333.44711213910017)</f>
        <v>333.4471121</v>
      </c>
      <c r="U647" s="30">
        <f>IFERROR(__xludf.DUMMYFUNCTION("""COMPUTED_VALUE"""),0.7685213169020076)</f>
        <v>0.7685213169</v>
      </c>
      <c r="V647" s="30">
        <f>IFERROR(__xludf.DUMMYFUNCTION("""COMPUTED_VALUE"""),0.5461287926737998)</f>
        <v>0.5461287927</v>
      </c>
      <c r="W647" s="30">
        <f>IFERROR(__xludf.DUMMYFUNCTION("""COMPUTED_VALUE"""),1.175470626777687)</f>
        <v>1.175470627</v>
      </c>
      <c r="X647" s="30">
        <f>IFERROR(__xludf.DUMMYFUNCTION("""COMPUTED_VALUE"""),2.5433481152424178)</f>
        <v>2.543348115</v>
      </c>
      <c r="Y647" s="30">
        <f>IFERROR(__xludf.DUMMYFUNCTION("""COMPUTED_VALUE"""),325.6287433032736)</f>
        <v>325.6287433</v>
      </c>
      <c r="Z647" s="30">
        <f>IFERROR(__xludf.DUMMYFUNCTION("""COMPUTED_VALUE"""),0.7019384087490494)</f>
        <v>0.7019384087</v>
      </c>
      <c r="AA647" s="30">
        <f>IFERROR(__xludf.DUMMYFUNCTION("""COMPUTED_VALUE"""),0.4820982464451414)</f>
        <v>0.4820982464</v>
      </c>
      <c r="AB647" s="30">
        <f>IFERROR(__xludf.DUMMYFUNCTION("""COMPUTED_VALUE"""),1.2978075817566799)</f>
        <v>1.297807582</v>
      </c>
      <c r="AC647" s="30">
        <f>IFERROR(__xludf.DUMMYFUNCTION("""COMPUTED_VALUE"""),2.2940961354480303)</f>
        <v>2.294096135</v>
      </c>
      <c r="AD647" s="30">
        <f>IFERROR(__xludf.DUMMYFUNCTION("""COMPUTED_VALUE"""),1.0552917713817762)</f>
        <v>1.055291771</v>
      </c>
      <c r="AE647" s="30">
        <f>IFERROR(__xludf.DUMMYFUNCTION("""COMPUTED_VALUE"""),0.8547758500197792)</f>
        <v>0.85477585</v>
      </c>
      <c r="AF647" s="30">
        <f>IFERROR(__xludf.DUMMYFUNCTION("""COMPUTED_VALUE"""),1.17541739851806)</f>
        <v>1.175417399</v>
      </c>
      <c r="AG647" s="30">
        <f>IFERROR(__xludf.DUMMYFUNCTION("""COMPUTED_VALUE"""),1.309901424446082)</f>
        <v>1.309901424</v>
      </c>
      <c r="AH647" s="30">
        <f>IFERROR(__xludf.DUMMYFUNCTION("""COMPUTED_VALUE"""),0.62479218337265)</f>
        <v>0.6247921834</v>
      </c>
      <c r="AI647" s="30">
        <f>IFERROR(__xludf.DUMMYFUNCTION("""COMPUTED_VALUE"""),1.0377791015328668)</f>
        <v>1.037779102</v>
      </c>
      <c r="AJ647" s="30">
        <f>IFERROR(__xludf.DUMMYFUNCTION("""COMPUTED_VALUE"""),1.3012000812561815)</f>
        <v>1.301200081</v>
      </c>
      <c r="AK647" s="30">
        <f>IFERROR(__xludf.DUMMYFUNCTION("""COMPUTED_VALUE"""),1.1800228317743504)</f>
        <v>1.180022832</v>
      </c>
      <c r="AL647" s="30">
        <f>IFERROR(__xludf.DUMMYFUNCTION("""COMPUTED_VALUE"""),0.7751032568195566)</f>
        <v>0.7751032568</v>
      </c>
      <c r="AM647" s="30">
        <f>IFERROR(__xludf.DUMMYFUNCTION("""COMPUTED_VALUE"""),1.1970223133038418)</f>
        <v>1.197022313</v>
      </c>
      <c r="AN647" s="30">
        <f>IFERROR(__xludf.DUMMYFUNCTION("""COMPUTED_VALUE"""),1.0562950372535138)</f>
        <v>1.056295037</v>
      </c>
      <c r="AO647" s="30">
        <f>IFERROR(__xludf.DUMMYFUNCTION("""COMPUTED_VALUE"""),0.8209687883964754)</f>
        <v>0.8209687884</v>
      </c>
      <c r="AP647" s="30">
        <f>IFERROR(__xludf.DUMMYFUNCTION("""COMPUTED_VALUE"""),1.0991471312757373)</f>
        <v>1.099147131</v>
      </c>
      <c r="AQ647" s="30">
        <f>IFERROR(__xludf.DUMMYFUNCTION("""COMPUTED_VALUE"""),1.4099527800912264)</f>
        <v>1.40995278</v>
      </c>
      <c r="AR647" s="30">
        <f>IFERROR(__xludf.DUMMYFUNCTION("""COMPUTED_VALUE"""),0.6023477144260403)</f>
        <v>0.6023477144</v>
      </c>
      <c r="AS647" s="30">
        <f>IFERROR(__xludf.DUMMYFUNCTION("""COMPUTED_VALUE"""),51.0)</f>
        <v>51</v>
      </c>
      <c r="AT647" s="30">
        <f>IFERROR(__xludf.DUMMYFUNCTION("""COMPUTED_VALUE"""),0.2920226263420287)</f>
        <v>0.2920226263</v>
      </c>
      <c r="AU647" s="30">
        <f>IFERROR(__xludf.DUMMYFUNCTION("""COMPUTED_VALUE"""),2.2039942806673594)</f>
        <v>2.203994281</v>
      </c>
      <c r="AV647" s="32">
        <f>IFERROR(__xludf.DUMMYFUNCTION("""COMPUTED_VALUE"""),33.31429560107718)</f>
        <v>33.3142956</v>
      </c>
      <c r="AW647" s="32">
        <f>IFERROR(__xludf.DUMMYFUNCTION("""COMPUTED_VALUE"""),-3.9643315345919574)</f>
        <v>-3.964331535</v>
      </c>
      <c r="AX647" s="32">
        <f>IFERROR(__xludf.DUMMYFUNCTION("""COMPUTED_VALUE"""),42.97097458953356)</f>
        <v>42.97097459</v>
      </c>
      <c r="AY647" s="32">
        <f>IFERROR(__xludf.DUMMYFUNCTION("""COMPUTED_VALUE"""),-2.568756282873984)</f>
        <v>-2.568756283</v>
      </c>
      <c r="AZ647" s="30">
        <f>IFERROR(__xludf.DUMMYFUNCTION("""COMPUTED_VALUE"""),1.3955752517179736)</f>
        <v>1.395575252</v>
      </c>
      <c r="BA647" s="30">
        <f>IFERROR(__xludf.DUMMYFUNCTION("""COMPUTED_VALUE"""),2300.0)</f>
        <v>2300</v>
      </c>
    </row>
    <row r="648">
      <c r="A648" s="71" t="str">
        <f>IFERROR(__xludf.DUMMYFUNCTION("""COMPUTED_VALUE"""),"Challenger")</f>
        <v>Challenger</v>
      </c>
      <c r="B648" s="71" t="str">
        <f>IFERROR(__xludf.DUMMYFUNCTION("""COMPUTED_VALUE"""),"RSC002427")</f>
        <v>RSC002427</v>
      </c>
      <c r="C648" s="30" t="str">
        <f>IFERROR(__xludf.DUMMYFUNCTION("""COMPUTED_VALUE"""),"Free.")</f>
        <v>Free.</v>
      </c>
      <c r="D648" s="30" t="str">
        <f>IFERROR(__xludf.DUMMYFUNCTION("""COMPUTED_VALUE"""),"Ryujin")</f>
        <v>Ryujin</v>
      </c>
      <c r="E648" s="30">
        <f>IFERROR(__xludf.DUMMYFUNCTION("""COMPUTED_VALUE"""),17.0)</f>
        <v>17</v>
      </c>
      <c r="F648" s="30">
        <f>IFERROR(__xludf.DUMMYFUNCTION("""COMPUTED_VALUE"""),11.0)</f>
        <v>11</v>
      </c>
      <c r="G648" s="42">
        <f>IFERROR(__xludf.DUMMYFUNCTION("""COMPUTED_VALUE"""),6.0)</f>
        <v>6</v>
      </c>
      <c r="H648" s="42">
        <f>IFERROR(__xludf.DUMMYFUNCTION("""COMPUTED_VALUE"""),0.6470588235294118)</f>
        <v>0.6470588235</v>
      </c>
      <c r="I648" s="42">
        <f>IFERROR(__xludf.DUMMYFUNCTION("""COMPUTED_VALUE"""),0.4285714285714286)</f>
        <v>0.4285714286</v>
      </c>
      <c r="J648" s="30">
        <f>IFERROR(__xludf.DUMMYFUNCTION("""COMPUTED_VALUE"""),343.3529411764706)</f>
        <v>343.3529412</v>
      </c>
      <c r="K648" s="30">
        <f>IFERROR(__xludf.DUMMYFUNCTION("""COMPUTED_VALUE"""),1.2352941176470589)</f>
        <v>1.235294118</v>
      </c>
      <c r="L648" s="30">
        <f>IFERROR(__xludf.DUMMYFUNCTION("""COMPUTED_VALUE"""),0.35294117647058826)</f>
        <v>0.3529411765</v>
      </c>
      <c r="M648" s="30">
        <f>IFERROR(__xludf.DUMMYFUNCTION("""COMPUTED_VALUE"""),0.8235294117647058)</f>
        <v>0.8235294118</v>
      </c>
      <c r="N648" s="30">
        <f>IFERROR(__xludf.DUMMYFUNCTION("""COMPUTED_VALUE"""),2.8823529411764706)</f>
        <v>2.882352941</v>
      </c>
      <c r="O648" s="30">
        <f>IFERROR(__xludf.DUMMYFUNCTION("""COMPUTED_VALUE"""),275.64705882352945)</f>
        <v>275.6470588</v>
      </c>
      <c r="P648" s="30">
        <f>IFERROR(__xludf.DUMMYFUNCTION("""COMPUTED_VALUE"""),0.47058823529411753)</f>
        <v>0.4705882353</v>
      </c>
      <c r="Q648" s="30">
        <f>IFERROR(__xludf.DUMMYFUNCTION("""COMPUTED_VALUE"""),0.37254901960784315)</f>
        <v>0.3725490196</v>
      </c>
      <c r="R648" s="30">
        <f>IFERROR(__xludf.DUMMYFUNCTION("""COMPUTED_VALUE"""),1.2352941176470589)</f>
        <v>1.235294118</v>
      </c>
      <c r="S648" s="30">
        <f>IFERROR(__xludf.DUMMYFUNCTION("""COMPUTED_VALUE"""),1.607843137254902)</f>
        <v>1.607843137</v>
      </c>
      <c r="T648" s="30">
        <f>IFERROR(__xludf.DUMMYFUNCTION("""COMPUTED_VALUE"""),318.0484756977053)</f>
        <v>318.0484757</v>
      </c>
      <c r="U648" s="30">
        <f>IFERROR(__xludf.DUMMYFUNCTION("""COMPUTED_VALUE"""),0.6937543789778332)</f>
        <v>0.693754379</v>
      </c>
      <c r="V648" s="30">
        <f>IFERROR(__xludf.DUMMYFUNCTION("""COMPUTED_VALUE"""),0.44809804881377874)</f>
        <v>0.4480980488</v>
      </c>
      <c r="W648" s="30">
        <f>IFERROR(__xludf.DUMMYFUNCTION("""COMPUTED_VALUE"""),1.2271959958184682)</f>
        <v>1.227195996</v>
      </c>
      <c r="X648" s="30">
        <f>IFERROR(__xludf.DUMMYFUNCTION("""COMPUTED_VALUE"""),2.2325431086603666)</f>
        <v>2.232543109</v>
      </c>
      <c r="Y648" s="30">
        <f>IFERROR(__xludf.DUMMYFUNCTION("""COMPUTED_VALUE"""),341.08426483074356)</f>
        <v>341.0842648</v>
      </c>
      <c r="Z648" s="30">
        <f>IFERROR(__xludf.DUMMYFUNCTION("""COMPUTED_VALUE"""),0.8536039276886404)</f>
        <v>0.8536039277</v>
      </c>
      <c r="AA648" s="30">
        <f>IFERROR(__xludf.DUMMYFUNCTION("""COMPUTED_VALUE"""),0.5734253464274771)</f>
        <v>0.5734253464</v>
      </c>
      <c r="AB648" s="30">
        <f>IFERROR(__xludf.DUMMYFUNCTION("""COMPUTED_VALUE"""),1.1389633956696135)</f>
        <v>1.138963396</v>
      </c>
      <c r="AC648" s="30">
        <f>IFERROR(__xludf.DUMMYFUNCTION("""COMPUTED_VALUE"""),2.6087002247508644)</f>
        <v>2.608700225</v>
      </c>
      <c r="AD648" s="30">
        <f>IFERROR(__xludf.DUMMYFUNCTION("""COMPUTED_VALUE"""),1.0066513661861618)</f>
        <v>1.006651366</v>
      </c>
      <c r="AE648" s="30">
        <f>IFERROR(__xludf.DUMMYFUNCTION("""COMPUTED_VALUE"""),1.4471513984148905)</f>
        <v>1.447151398</v>
      </c>
      <c r="AF648" s="30">
        <f>IFERROR(__xludf.DUMMYFUNCTION("""COMPUTED_VALUE"""),0.615496295497684)</f>
        <v>0.6154962955</v>
      </c>
      <c r="AG648" s="30">
        <f>IFERROR(__xludf.DUMMYFUNCTION("""COMPUTED_VALUE"""),0.7230516932289476)</f>
        <v>0.7230516932</v>
      </c>
      <c r="AH648" s="30">
        <f>IFERROR(__xludf.DUMMYFUNCTION("""COMPUTED_VALUE"""),1.1049000240921667)</f>
        <v>1.104900024</v>
      </c>
      <c r="AI648" s="30">
        <f>IFERROR(__xludf.DUMMYFUNCTION("""COMPUTED_VALUE"""),0.866682533908834)</f>
        <v>0.8666825339</v>
      </c>
      <c r="AJ648" s="30">
        <f>IFERROR(__xludf.DUMMYFUNCTION("""COMPUTED_VALUE"""),0.678321102617723)</f>
        <v>0.6783211026</v>
      </c>
      <c r="AK648" s="30">
        <f>IFERROR(__xludf.DUMMYFUNCTION("""COMPUTED_VALUE"""),0.8314006735670202)</f>
        <v>0.8314006736</v>
      </c>
      <c r="AL648" s="30">
        <f>IFERROR(__xludf.DUMMYFUNCTION("""COMPUTED_VALUE"""),1.0065988822129344)</f>
        <v>1.006598882</v>
      </c>
      <c r="AM648" s="30">
        <f>IFERROR(__xludf.DUMMYFUNCTION("""COMPUTED_VALUE"""),0.7201845872618716)</f>
        <v>0.7201845873</v>
      </c>
      <c r="AN648" s="30">
        <f>IFERROR(__xludf.DUMMYFUNCTION("""COMPUTED_VALUE"""),1.0554331393668743)</f>
        <v>1.055433139</v>
      </c>
      <c r="AO648" s="30">
        <f>IFERROR(__xludf.DUMMYFUNCTION("""COMPUTED_VALUE"""),1.6902298584633317)</f>
        <v>1.690229858</v>
      </c>
      <c r="AP648" s="30">
        <f>IFERROR(__xludf.DUMMYFUNCTION("""COMPUTED_VALUE"""),0.6845899087530544)</f>
        <v>0.6845899088</v>
      </c>
      <c r="AQ648" s="30">
        <f>IFERROR(__xludf.DUMMYFUNCTION("""COMPUTED_VALUE"""),0.6830221080026703)</f>
        <v>0.683022108</v>
      </c>
      <c r="AR648" s="30">
        <f>IFERROR(__xludf.DUMMYFUNCTION("""COMPUTED_VALUE"""),1.2112874695024338)</f>
        <v>1.21128747</v>
      </c>
      <c r="AS648" s="30">
        <f>IFERROR(__xludf.DUMMYFUNCTION("""COMPUTED_VALUE"""),45.0)</f>
        <v>45</v>
      </c>
      <c r="AT648" s="30">
        <f>IFERROR(__xludf.DUMMYFUNCTION("""COMPUTED_VALUE"""),0.7190399208222331)</f>
        <v>0.7190399208</v>
      </c>
      <c r="AU648" s="30">
        <f>IFERROR(__xludf.DUMMYFUNCTION("""COMPUTED_VALUE"""),3.9004011007896597)</f>
        <v>3.900401101</v>
      </c>
      <c r="AV648" s="32">
        <f>IFERROR(__xludf.DUMMYFUNCTION("""COMPUTED_VALUE"""),77.58756305986178)</f>
        <v>77.58756306</v>
      </c>
      <c r="AW648" s="32">
        <f>IFERROR(__xludf.DUMMYFUNCTION("""COMPUTED_VALUE"""),7.412651260618609)</f>
        <v>7.412651261</v>
      </c>
      <c r="AX648" s="32">
        <f>IFERROR(__xludf.DUMMYFUNCTION("""COMPUTED_VALUE"""),74.25058871046934)</f>
        <v>74.25058871</v>
      </c>
      <c r="AY648" s="32">
        <f>IFERROR(__xludf.DUMMYFUNCTION("""COMPUTED_VALUE"""),6.023465837039611)</f>
        <v>6.023465837</v>
      </c>
      <c r="AZ648" s="30">
        <f>IFERROR(__xludf.DUMMYFUNCTION("""COMPUTED_VALUE"""),1.389185423578998)</f>
        <v>1.389185424</v>
      </c>
      <c r="BA648" s="30">
        <f>IFERROR(__xludf.DUMMYFUNCTION("""COMPUTED_VALUE"""),2300.0)</f>
        <v>2300</v>
      </c>
    </row>
    <row r="649">
      <c r="A649" s="71" t="str">
        <f>IFERROR(__xludf.DUMMYFUNCTION("""COMPUTED_VALUE"""),"Challenger")</f>
        <v>Challenger</v>
      </c>
      <c r="B649" s="71" t="str">
        <f>IFERROR(__xludf.DUMMYFUNCTION("""COMPUTED_VALUE"""),"RSC005663")</f>
        <v>RSC005663</v>
      </c>
      <c r="C649" s="30" t="str">
        <f>IFERROR(__xludf.DUMMYFUNCTION("""COMPUTED_VALUE"""),"Pure_Pusher")</f>
        <v>Pure_Pusher</v>
      </c>
      <c r="D649" s="30" t="str">
        <f>IFERROR(__xludf.DUMMYFUNCTION("""COMPUTED_VALUE"""),"Chromatic Chaos")</f>
        <v>Chromatic Chaos</v>
      </c>
      <c r="E649" s="30">
        <f>IFERROR(__xludf.DUMMYFUNCTION("""COMPUTED_VALUE"""),36.0)</f>
        <v>36</v>
      </c>
      <c r="F649" s="30">
        <f>IFERROR(__xludf.DUMMYFUNCTION("""COMPUTED_VALUE"""),17.0)</f>
        <v>17</v>
      </c>
      <c r="G649" s="42">
        <f>IFERROR(__xludf.DUMMYFUNCTION("""COMPUTED_VALUE"""),19.0)</f>
        <v>19</v>
      </c>
      <c r="H649" s="42">
        <f>IFERROR(__xludf.DUMMYFUNCTION("""COMPUTED_VALUE"""),0.4722222222222222)</f>
        <v>0.4722222222</v>
      </c>
      <c r="I649" s="42">
        <f>IFERROR(__xludf.DUMMYFUNCTION("""COMPUTED_VALUE"""),0.40506329113924044)</f>
        <v>0.4050632911</v>
      </c>
      <c r="J649" s="30">
        <f>IFERROR(__xludf.DUMMYFUNCTION("""COMPUTED_VALUE"""),321.3888888888889)</f>
        <v>321.3888889</v>
      </c>
      <c r="K649" s="30">
        <f>IFERROR(__xludf.DUMMYFUNCTION("""COMPUTED_VALUE"""),0.8888888888888888)</f>
        <v>0.8888888889</v>
      </c>
      <c r="L649" s="30">
        <f>IFERROR(__xludf.DUMMYFUNCTION("""COMPUTED_VALUE"""),0.3611111111111111)</f>
        <v>0.3611111111</v>
      </c>
      <c r="M649" s="30">
        <f>IFERROR(__xludf.DUMMYFUNCTION("""COMPUTED_VALUE"""),1.1111111111111112)</f>
        <v>1.111111111</v>
      </c>
      <c r="N649" s="30">
        <f>IFERROR(__xludf.DUMMYFUNCTION("""COMPUTED_VALUE"""),2.1944444444444446)</f>
        <v>2.194444444</v>
      </c>
      <c r="O649" s="30">
        <f>IFERROR(__xludf.DUMMYFUNCTION("""COMPUTED_VALUE"""),356.0555555555556)</f>
        <v>356.0555556</v>
      </c>
      <c r="P649" s="30">
        <f>IFERROR(__xludf.DUMMYFUNCTION("""COMPUTED_VALUE"""),0.9537037037037037)</f>
        <v>0.9537037037</v>
      </c>
      <c r="Q649" s="30">
        <f>IFERROR(__xludf.DUMMYFUNCTION("""COMPUTED_VALUE"""),0.5370370370370369)</f>
        <v>0.537037037</v>
      </c>
      <c r="R649" s="30">
        <f>IFERROR(__xludf.DUMMYFUNCTION("""COMPUTED_VALUE"""),1.2129629629629628)</f>
        <v>1.212962963</v>
      </c>
      <c r="S649" s="30">
        <f>IFERROR(__xludf.DUMMYFUNCTION("""COMPUTED_VALUE"""),2.62037037037037)</f>
        <v>2.62037037</v>
      </c>
      <c r="T649" s="30">
        <f>IFERROR(__xludf.DUMMYFUNCTION("""COMPUTED_VALUE"""),334.8440601056725)</f>
        <v>334.8440601</v>
      </c>
      <c r="U649" s="30">
        <f>IFERROR(__xludf.DUMMYFUNCTION("""COMPUTED_VALUE"""),0.7847631055853707)</f>
        <v>0.7847631056</v>
      </c>
      <c r="V649" s="30">
        <f>IFERROR(__xludf.DUMMYFUNCTION("""COMPUTED_VALUE"""),0.5214389176210393)</f>
        <v>0.5214389176</v>
      </c>
      <c r="W649" s="30">
        <f>IFERROR(__xludf.DUMMYFUNCTION("""COMPUTED_VALUE"""),1.196525756742707)</f>
        <v>1.196525757</v>
      </c>
      <c r="X649" s="30">
        <f>IFERROR(__xludf.DUMMYFUNCTION("""COMPUTED_VALUE"""),2.454014623449273)</f>
        <v>2.454014623</v>
      </c>
      <c r="Y649" s="30">
        <f>IFERROR(__xludf.DUMMYFUNCTION("""COMPUTED_VALUE"""),334.4402228889063)</f>
        <v>334.4402229</v>
      </c>
      <c r="Z649" s="30">
        <f>IFERROR(__xludf.DUMMYFUNCTION("""COMPUTED_VALUE"""),0.7749664339855419)</f>
        <v>0.774966434</v>
      </c>
      <c r="AA649" s="30">
        <f>IFERROR(__xludf.DUMMYFUNCTION("""COMPUTED_VALUE"""),0.5235167972101775)</f>
        <v>0.5235167972</v>
      </c>
      <c r="AB649" s="30">
        <f>IFERROR(__xludf.DUMMYFUNCTION("""COMPUTED_VALUE"""),1.2073805086323766)</f>
        <v>1.207380509</v>
      </c>
      <c r="AC649" s="30">
        <f>IFERROR(__xludf.DUMMYFUNCTION("""COMPUTED_VALUE"""),2.4487377053179746)</f>
        <v>2.448737705</v>
      </c>
      <c r="AD649" s="30">
        <f>IFERROR(__xludf.DUMMYFUNCTION("""COMPUTED_VALUE"""),0.960975585151572)</f>
        <v>0.9609755852</v>
      </c>
      <c r="AE649" s="30">
        <f>IFERROR(__xludf.DUMMYFUNCTION("""COMPUTED_VALUE"""),1.1470030828528406)</f>
        <v>1.147003083</v>
      </c>
      <c r="AF649" s="30">
        <f>IFERROR(__xludf.DUMMYFUNCTION("""COMPUTED_VALUE"""),0.689779416888767)</f>
        <v>0.6897794169</v>
      </c>
      <c r="AG649" s="30">
        <f>IFERROR(__xludf.DUMMYFUNCTION("""COMPUTED_VALUE"""),0.9202659005732073)</f>
        <v>0.9202659006</v>
      </c>
      <c r="AH649" s="30">
        <f>IFERROR(__xludf.DUMMYFUNCTION("""COMPUTED_VALUE"""),0.8961533281734193)</f>
        <v>0.8961533282</v>
      </c>
      <c r="AI649" s="30">
        <f>IFERROR(__xludf.DUMMYFUNCTION("""COMPUTED_VALUE"""),1.0633473845801207)</f>
        <v>1.063347385</v>
      </c>
      <c r="AJ649" s="30">
        <f>IFERROR(__xludf.DUMMYFUNCTION("""COMPUTED_VALUE"""),1.2152759181923019)</f>
        <v>1.215275918</v>
      </c>
      <c r="AK649" s="30">
        <f>IFERROR(__xludf.DUMMYFUNCTION("""COMPUTED_VALUE"""),1.0299136080735225)</f>
        <v>1.029913608</v>
      </c>
      <c r="AL649" s="30">
        <f>IFERROR(__xludf.DUMMYFUNCTION("""COMPUTED_VALUE"""),1.0137374445369256)</f>
        <v>1.013737445</v>
      </c>
      <c r="AM649" s="30">
        <f>IFERROR(__xludf.DUMMYFUNCTION("""COMPUTED_VALUE"""),1.067789223964474)</f>
        <v>1.067789224</v>
      </c>
      <c r="AN649" s="30">
        <f>IFERROR(__xludf.DUMMYFUNCTION("""COMPUTED_VALUE"""),0.9879178049134377)</f>
        <v>0.9879178049</v>
      </c>
      <c r="AO649" s="30">
        <f>IFERROR(__xludf.DUMMYFUNCTION("""COMPUTED_VALUE"""),1.2162500568836672)</f>
        <v>1.216250057</v>
      </c>
      <c r="AP649" s="30">
        <f>IFERROR(__xludf.DUMMYFUNCTION("""COMPUTED_VALUE"""),0.7004368973815972)</f>
        <v>0.7004368974</v>
      </c>
      <c r="AQ649" s="30">
        <f>IFERROR(__xludf.DUMMYFUNCTION("""COMPUTED_VALUE"""),0.9215377647655075)</f>
        <v>0.9215377648</v>
      </c>
      <c r="AR649" s="30">
        <f>IFERROR(__xludf.DUMMYFUNCTION("""COMPUTED_VALUE"""),0.922199020148395)</f>
        <v>0.9221990201</v>
      </c>
      <c r="AS649" s="30">
        <f>IFERROR(__xludf.DUMMYFUNCTION("""COMPUTED_VALUE"""),85.0)</f>
        <v>85</v>
      </c>
      <c r="AT649" s="30">
        <f>IFERROR(__xludf.DUMMYFUNCTION("""COMPUTED_VALUE"""),0.42343818114433196)</f>
        <v>0.4234381811</v>
      </c>
      <c r="AU649" s="30">
        <f>IFERROR(__xludf.DUMMYFUNCTION("""COMPUTED_VALUE"""),2.6407663812063347)</f>
        <v>2.640766381</v>
      </c>
      <c r="AV649" s="32">
        <f>IFERROR(__xludf.DUMMYFUNCTION("""COMPUTED_VALUE"""),44.71328775102805)</f>
        <v>44.71328775</v>
      </c>
      <c r="AW649" s="32">
        <f>IFERROR(__xludf.DUMMYFUNCTION("""COMPUTED_VALUE"""),-2.402339732082076)</f>
        <v>-2.402339732</v>
      </c>
      <c r="AX649" s="32">
        <f>IFERROR(__xludf.DUMMYFUNCTION("""COMPUTED_VALUE"""),35.3932549472464)</f>
        <v>35.39325495</v>
      </c>
      <c r="AY649" s="32">
        <f>IFERROR(__xludf.DUMMYFUNCTION("""COMPUTED_VALUE"""),-3.5775691770142726)</f>
        <v>-3.577569177</v>
      </c>
      <c r="AZ649" s="30">
        <f>IFERROR(__xludf.DUMMYFUNCTION("""COMPUTED_VALUE"""),1.1752294449321967)</f>
        <v>1.175229445</v>
      </c>
      <c r="BA649" s="30">
        <f>IFERROR(__xludf.DUMMYFUNCTION("""COMPUTED_VALUE"""),2300.0)</f>
        <v>2300</v>
      </c>
    </row>
    <row r="650">
      <c r="A650" s="71" t="str">
        <f>IFERROR(__xludf.DUMMYFUNCTION("""COMPUTED_VALUE"""),"Challenger")</f>
        <v>Challenger</v>
      </c>
      <c r="B650" s="71" t="str">
        <f>IFERROR(__xludf.DUMMYFUNCTION("""COMPUTED_VALUE"""),"RSC004028")</f>
        <v>RSC004028</v>
      </c>
      <c r="C650" s="30" t="str">
        <f>IFERROR(__xludf.DUMMYFUNCTION("""COMPUTED_VALUE"""),"parker on 3 legs")</f>
        <v>parker on 3 legs</v>
      </c>
      <c r="D650" s="30" t="str">
        <f>IFERROR(__xludf.DUMMYFUNCTION("""COMPUTED_VALUE"""),"Solstice Sake")</f>
        <v>Solstice Sake</v>
      </c>
      <c r="E650" s="30">
        <f>IFERROR(__xludf.DUMMYFUNCTION("""COMPUTED_VALUE"""),33.0)</f>
        <v>33</v>
      </c>
      <c r="F650" s="30">
        <f>IFERROR(__xludf.DUMMYFUNCTION("""COMPUTED_VALUE"""),17.0)</f>
        <v>17</v>
      </c>
      <c r="G650" s="42">
        <f>IFERROR(__xludf.DUMMYFUNCTION("""COMPUTED_VALUE"""),16.0)</f>
        <v>16</v>
      </c>
      <c r="H650" s="42">
        <f>IFERROR(__xludf.DUMMYFUNCTION("""COMPUTED_VALUE"""),0.5151515151515151)</f>
        <v>0.5151515152</v>
      </c>
      <c r="I650" s="42">
        <f>IFERROR(__xludf.DUMMYFUNCTION("""COMPUTED_VALUE"""),0.28205128205128205)</f>
        <v>0.2820512821</v>
      </c>
      <c r="J650" s="30">
        <f>IFERROR(__xludf.DUMMYFUNCTION("""COMPUTED_VALUE"""),378.0)</f>
        <v>378</v>
      </c>
      <c r="K650" s="30">
        <f>IFERROR(__xludf.DUMMYFUNCTION("""COMPUTED_VALUE"""),0.6666666666666666)</f>
        <v>0.6666666667</v>
      </c>
      <c r="L650" s="30">
        <f>IFERROR(__xludf.DUMMYFUNCTION("""COMPUTED_VALUE"""),0.6363636363636364)</f>
        <v>0.6363636364</v>
      </c>
      <c r="M650" s="30">
        <f>IFERROR(__xludf.DUMMYFUNCTION("""COMPUTED_VALUE"""),1.6666666666666667)</f>
        <v>1.666666667</v>
      </c>
      <c r="N650" s="30">
        <f>IFERROR(__xludf.DUMMYFUNCTION("""COMPUTED_VALUE"""),2.3636363636363638)</f>
        <v>2.363636364</v>
      </c>
      <c r="O650" s="30">
        <f>IFERROR(__xludf.DUMMYFUNCTION("""COMPUTED_VALUE"""),323.2424242424243)</f>
        <v>323.2424242</v>
      </c>
      <c r="P650" s="30">
        <f>IFERROR(__xludf.DUMMYFUNCTION("""COMPUTED_VALUE"""),0.7575757575757575)</f>
        <v>0.7575757576</v>
      </c>
      <c r="Q650" s="30">
        <f>IFERROR(__xludf.DUMMYFUNCTION("""COMPUTED_VALUE"""),0.48484848484848486)</f>
        <v>0.4848484848</v>
      </c>
      <c r="R650" s="30">
        <f>IFERROR(__xludf.DUMMYFUNCTION("""COMPUTED_VALUE"""),1.1111111111111112)</f>
        <v>1.111111111</v>
      </c>
      <c r="S650" s="30">
        <f>IFERROR(__xludf.DUMMYFUNCTION("""COMPUTED_VALUE"""),2.3939393939393945)</f>
        <v>2.393939394</v>
      </c>
      <c r="T650" s="30">
        <f>IFERROR(__xludf.DUMMYFUNCTION("""COMPUTED_VALUE"""),329.6342140017796)</f>
        <v>329.634214</v>
      </c>
      <c r="U650" s="30">
        <f>IFERROR(__xludf.DUMMYFUNCTION("""COMPUTED_VALUE"""),0.7524082484143165)</f>
        <v>0.7524082484</v>
      </c>
      <c r="V650" s="30">
        <f>IFERROR(__xludf.DUMMYFUNCTION("""COMPUTED_VALUE"""),0.5217853289449836)</f>
        <v>0.5217853289</v>
      </c>
      <c r="W650" s="30">
        <f>IFERROR(__xludf.DUMMYFUNCTION("""COMPUTED_VALUE"""),1.200569138430247)</f>
        <v>1.200569138</v>
      </c>
      <c r="X650" s="30">
        <f>IFERROR(__xludf.DUMMYFUNCTION("""COMPUTED_VALUE"""),2.4484669840777658)</f>
        <v>2.448466984</v>
      </c>
      <c r="Y650" s="30">
        <f>IFERROR(__xludf.DUMMYFUNCTION("""COMPUTED_VALUE"""),344.40411487788396)</f>
        <v>344.4041149</v>
      </c>
      <c r="Z650" s="30">
        <f>IFERROR(__xludf.DUMMYFUNCTION("""COMPUTED_VALUE"""),0.8196803139276483)</f>
        <v>0.8196803139</v>
      </c>
      <c r="AA650" s="30">
        <f>IFERROR(__xludf.DUMMYFUNCTION("""COMPUTED_VALUE"""),0.5629885804885392)</f>
        <v>0.5629885805</v>
      </c>
      <c r="AB650" s="30">
        <f>IFERROR(__xludf.DUMMYFUNCTION("""COMPUTED_VALUE"""),1.230125598385319)</f>
        <v>1.230125598</v>
      </c>
      <c r="AC650" s="30">
        <f>IFERROR(__xludf.DUMMYFUNCTION("""COMPUTED_VALUE"""),2.5040694798523573)</f>
        <v>2.50406948</v>
      </c>
      <c r="AD650" s="30">
        <f>IFERROR(__xludf.DUMMYFUNCTION("""COMPUTED_VALUE"""),1.0975478621503352)</f>
        <v>1.097547862</v>
      </c>
      <c r="AE650" s="30">
        <f>IFERROR(__xludf.DUMMYFUNCTION("""COMPUTED_VALUE"""),0.8133252139144482)</f>
        <v>0.8133252139</v>
      </c>
      <c r="AF650" s="30">
        <f>IFERROR(__xludf.DUMMYFUNCTION("""COMPUTED_VALUE"""),1.1303313396009298)</f>
        <v>1.13033134</v>
      </c>
      <c r="AG650" s="30">
        <f>IFERROR(__xludf.DUMMYFUNCTION("""COMPUTED_VALUE"""),1.354875200430231)</f>
        <v>1.3548752</v>
      </c>
      <c r="AH650" s="30">
        <f>IFERROR(__xludf.DUMMYFUNCTION("""COMPUTED_VALUE"""),0.9439180432707986)</f>
        <v>0.9439180433</v>
      </c>
      <c r="AI650" s="30">
        <f>IFERROR(__xludf.DUMMYFUNCTION("""COMPUTED_VALUE"""),0.9806094468114868)</f>
        <v>0.9806094468</v>
      </c>
      <c r="AJ650" s="30">
        <f>IFERROR(__xludf.DUMMYFUNCTION("""COMPUTED_VALUE"""),1.006867959212743)</f>
        <v>1.006867959</v>
      </c>
      <c r="AK650" s="30">
        <f>IFERROR(__xludf.DUMMYFUNCTION("""COMPUTED_VALUE"""),0.9292106503431542)</f>
        <v>0.9292106503</v>
      </c>
      <c r="AL650" s="30">
        <f>IFERROR(__xludf.DUMMYFUNCTION("""COMPUTED_VALUE"""),0.9254869840848126)</f>
        <v>0.9254869841</v>
      </c>
      <c r="AM650" s="30">
        <f>IFERROR(__xludf.DUMMYFUNCTION("""COMPUTED_VALUE"""),0.9777299058990948)</f>
        <v>0.9777299059</v>
      </c>
      <c r="AN650" s="30">
        <f>IFERROR(__xludf.DUMMYFUNCTION("""COMPUTED_VALUE"""),1.1619347873173778)</f>
        <v>1.161934787</v>
      </c>
      <c r="AO650" s="30">
        <f>IFERROR(__xludf.DUMMYFUNCTION("""COMPUTED_VALUE"""),0.9121875426627504)</f>
        <v>0.9121875427</v>
      </c>
      <c r="AP650" s="30">
        <f>IFERROR(__xludf.DUMMYFUNCTION("""COMPUTED_VALUE"""),1.234336350630507)</f>
        <v>1.234336351</v>
      </c>
      <c r="AQ650" s="30">
        <f>IFERROR(__xludf.DUMMYFUNCTION("""COMPUTED_VALUE"""),1.3823066471482615)</f>
        <v>1.382306647</v>
      </c>
      <c r="AR650" s="30">
        <f>IFERROR(__xludf.DUMMYFUNCTION("""COMPUTED_VALUE"""),0.9933006707237029)</f>
        <v>0.9933006707</v>
      </c>
      <c r="AS650" s="30">
        <f>IFERROR(__xludf.DUMMYFUNCTION("""COMPUTED_VALUE"""),77.0)</f>
        <v>77</v>
      </c>
      <c r="AT650" s="30">
        <f>IFERROR(__xludf.DUMMYFUNCTION("""COMPUTED_VALUE"""),0.510197573836775)</f>
        <v>0.5101975738</v>
      </c>
      <c r="AU650" s="30">
        <f>IFERROR(__xludf.DUMMYFUNCTION("""COMPUTED_VALUE"""),3.0650803729475715)</f>
        <v>3.065080373</v>
      </c>
      <c r="AV650" s="32">
        <f>IFERROR(__xludf.DUMMYFUNCTION("""COMPUTED_VALUE"""),55.787144929643944)</f>
        <v>55.78714493</v>
      </c>
      <c r="AW650" s="32">
        <f>IFERROR(__xludf.DUMMYFUNCTION("""COMPUTED_VALUE"""),2.448167945117323)</f>
        <v>2.448167945</v>
      </c>
      <c r="AX650" s="32">
        <f>IFERROR(__xludf.DUMMYFUNCTION("""COMPUTED_VALUE"""),64.70401068800342)</f>
        <v>64.70401069</v>
      </c>
      <c r="AY650" s="32">
        <f>IFERROR(__xludf.DUMMYFUNCTION("""COMPUTED_VALUE"""),3.5943772821438102)</f>
        <v>3.594377282</v>
      </c>
      <c r="AZ650" s="30">
        <f>IFERROR(__xludf.DUMMYFUNCTION("""COMPUTED_VALUE"""),1.1462093370264874)</f>
        <v>1.146209337</v>
      </c>
      <c r="BA650" s="30">
        <f>IFERROR(__xludf.DUMMYFUNCTION("""COMPUTED_VALUE"""),2300.0)</f>
        <v>2300</v>
      </c>
    </row>
    <row r="651">
      <c r="A651" s="71" t="str">
        <f>IFERROR(__xludf.DUMMYFUNCTION("""COMPUTED_VALUE"""),"Challenger")</f>
        <v>Challenger</v>
      </c>
      <c r="B651" s="71" t="str">
        <f>IFERROR(__xludf.DUMMYFUNCTION("""COMPUTED_VALUE"""),"RSC006240")</f>
        <v>RSC006240</v>
      </c>
      <c r="C651" s="30" t="str">
        <f>IFERROR(__xludf.DUMMYFUNCTION("""COMPUTED_VALUE"""),"Canadian Gamer")</f>
        <v>Canadian Gamer</v>
      </c>
      <c r="D651" s="30" t="str">
        <f>IFERROR(__xludf.DUMMYFUNCTION("""COMPUTED_VALUE"""),"Meat Lovers")</f>
        <v>Meat Lovers</v>
      </c>
      <c r="E651" s="30">
        <f>IFERROR(__xludf.DUMMYFUNCTION("""COMPUTED_VALUE"""),40.0)</f>
        <v>40</v>
      </c>
      <c r="F651" s="30">
        <f>IFERROR(__xludf.DUMMYFUNCTION("""COMPUTED_VALUE"""),28.0)</f>
        <v>28</v>
      </c>
      <c r="G651" s="42">
        <f>IFERROR(__xludf.DUMMYFUNCTION("""COMPUTED_VALUE"""),12.0)</f>
        <v>12</v>
      </c>
      <c r="H651" s="42">
        <f>IFERROR(__xludf.DUMMYFUNCTION("""COMPUTED_VALUE"""),0.7)</f>
        <v>0.7</v>
      </c>
      <c r="I651" s="42">
        <f>IFERROR(__xludf.DUMMYFUNCTION("""COMPUTED_VALUE"""),0.375)</f>
        <v>0.375</v>
      </c>
      <c r="J651" s="30">
        <f>IFERROR(__xludf.DUMMYFUNCTION("""COMPUTED_VALUE"""),348.85)</f>
        <v>348.85</v>
      </c>
      <c r="K651" s="30">
        <f>IFERROR(__xludf.DUMMYFUNCTION("""COMPUTED_VALUE"""),0.9)</f>
        <v>0.9</v>
      </c>
      <c r="L651" s="30">
        <f>IFERROR(__xludf.DUMMYFUNCTION("""COMPUTED_VALUE"""),0.675)</f>
        <v>0.675</v>
      </c>
      <c r="M651" s="30">
        <f>IFERROR(__xludf.DUMMYFUNCTION("""COMPUTED_VALUE"""),1.25)</f>
        <v>1.25</v>
      </c>
      <c r="N651" s="30">
        <f>IFERROR(__xludf.DUMMYFUNCTION("""COMPUTED_VALUE"""),2.4)</f>
        <v>2.4</v>
      </c>
      <c r="O651" s="30">
        <f>IFERROR(__xludf.DUMMYFUNCTION("""COMPUTED_VALUE"""),310.15000000000003)</f>
        <v>310.15</v>
      </c>
      <c r="P651" s="30">
        <f>IFERROR(__xludf.DUMMYFUNCTION("""COMPUTED_VALUE"""),0.6083333333333332)</f>
        <v>0.6083333333</v>
      </c>
      <c r="Q651" s="30">
        <f>IFERROR(__xludf.DUMMYFUNCTION("""COMPUTED_VALUE"""),0.4750000000000001)</f>
        <v>0.475</v>
      </c>
      <c r="R651" s="30">
        <f>IFERROR(__xludf.DUMMYFUNCTION("""COMPUTED_VALUE"""),1.2833333333333337)</f>
        <v>1.283333333</v>
      </c>
      <c r="S651" s="30">
        <f>IFERROR(__xludf.DUMMYFUNCTION("""COMPUTED_VALUE"""),2.1333333333333337)</f>
        <v>2.133333333</v>
      </c>
      <c r="T651" s="30">
        <f>IFERROR(__xludf.DUMMYFUNCTION("""COMPUTED_VALUE"""),315.4191289230257)</f>
        <v>315.4191289</v>
      </c>
      <c r="U651" s="30">
        <f>IFERROR(__xludf.DUMMYFUNCTION("""COMPUTED_VALUE"""),0.6877331816937396)</f>
        <v>0.6877331817</v>
      </c>
      <c r="V651" s="30">
        <f>IFERROR(__xludf.DUMMYFUNCTION("""COMPUTED_VALUE"""),0.4997961086931979)</f>
        <v>0.4997961087</v>
      </c>
      <c r="W651" s="30">
        <f>IFERROR(__xludf.DUMMYFUNCTION("""COMPUTED_VALUE"""),1.1767667030804019)</f>
        <v>1.176766703</v>
      </c>
      <c r="X651" s="30">
        <f>IFERROR(__xludf.DUMMYFUNCTION("""COMPUTED_VALUE"""),2.352968481193833)</f>
        <v>2.352968481</v>
      </c>
      <c r="Y651" s="30">
        <f>IFERROR(__xludf.DUMMYFUNCTION("""COMPUTED_VALUE"""),339.57879215462185)</f>
        <v>339.5787922</v>
      </c>
      <c r="Z651" s="30">
        <f>IFERROR(__xludf.DUMMYFUNCTION("""COMPUTED_VALUE"""),0.7861196045475046)</f>
        <v>0.7861196045</v>
      </c>
      <c r="AA651" s="30">
        <f>IFERROR(__xludf.DUMMYFUNCTION("""COMPUTED_VALUE"""),0.5667540729133015)</f>
        <v>0.5667540729</v>
      </c>
      <c r="AB651" s="30">
        <f>IFERROR(__xludf.DUMMYFUNCTION("""COMPUTED_VALUE"""),1.2442511890591696)</f>
        <v>1.244251189</v>
      </c>
      <c r="AC651" s="30">
        <f>IFERROR(__xludf.DUMMYFUNCTION("""COMPUTED_VALUE"""),2.423591954901333)</f>
        <v>2.423591955</v>
      </c>
      <c r="AD651" s="30">
        <f>IFERROR(__xludf.DUMMYFUNCTION("""COMPUTED_VALUE"""),1.0273020814596592)</f>
        <v>1.027302081</v>
      </c>
      <c r="AE651" s="30">
        <f>IFERROR(__xludf.DUMMYFUNCTION("""COMPUTED_VALUE"""),1.1448639555529794)</f>
        <v>1.144863956</v>
      </c>
      <c r="AF651" s="30">
        <f>IFERROR(__xludf.DUMMYFUNCTION("""COMPUTED_VALUE"""),1.1909927643400586)</f>
        <v>1.190992764</v>
      </c>
      <c r="AG651" s="30">
        <f>IFERROR(__xludf.DUMMYFUNCTION("""COMPUTED_VALUE"""),1.0046202977271634)</f>
        <v>1.004620298</v>
      </c>
      <c r="AH651" s="30">
        <f>IFERROR(__xludf.DUMMYFUNCTION("""COMPUTED_VALUE"""),0.9902657067112216)</f>
        <v>0.9902657067</v>
      </c>
      <c r="AI651" s="30">
        <f>IFERROR(__xludf.DUMMYFUNCTION("""COMPUTED_VALUE"""),0.9832948339531065)</f>
        <v>0.983294834</v>
      </c>
      <c r="AJ651" s="30">
        <f>IFERROR(__xludf.DUMMYFUNCTION("""COMPUTED_VALUE"""),0.8845484695607363)</f>
        <v>0.8845484696</v>
      </c>
      <c r="AK651" s="30">
        <f>IFERROR(__xludf.DUMMYFUNCTION("""COMPUTED_VALUE"""),0.9503875515196958)</f>
        <v>0.9503875515</v>
      </c>
      <c r="AL651" s="30">
        <f>IFERROR(__xludf.DUMMYFUNCTION("""COMPUTED_VALUE"""),1.090558842270073)</f>
        <v>1.090558842</v>
      </c>
      <c r="AM651" s="30">
        <f>IFERROR(__xludf.DUMMYFUNCTION("""COMPUTED_VALUE"""),0.9066561453687377)</f>
        <v>0.9066561454</v>
      </c>
      <c r="AN651" s="30">
        <f>IFERROR(__xludf.DUMMYFUNCTION("""COMPUTED_VALUE"""),1.0723305570255748)</f>
        <v>1.072330557</v>
      </c>
      <c r="AO651" s="30">
        <f>IFERROR(__xludf.DUMMYFUNCTION("""COMPUTED_VALUE"""),1.231453182594713)</f>
        <v>1.231453183</v>
      </c>
      <c r="AP651" s="30">
        <f>IFERROR(__xludf.DUMMYFUNCTION("""COMPUTED_VALUE"""),1.3092782004902164)</f>
        <v>1.3092782</v>
      </c>
      <c r="AQ651" s="30">
        <f>IFERROR(__xludf.DUMMYFUNCTION("""COMPUTED_VALUE"""),1.036729985361196)</f>
        <v>1.036729985</v>
      </c>
      <c r="AR651" s="30">
        <f>IFERROR(__xludf.DUMMYFUNCTION("""COMPUTED_VALUE"""),1.0085822195040675)</f>
        <v>1.00858222</v>
      </c>
      <c r="AS651" s="30">
        <f>IFERROR(__xludf.DUMMYFUNCTION("""COMPUTED_VALUE"""),113.0)</f>
        <v>113</v>
      </c>
      <c r="AT651" s="30">
        <f>IFERROR(__xludf.DUMMYFUNCTION("""COMPUTED_VALUE"""),0.6635501973055563)</f>
        <v>0.6635501973</v>
      </c>
      <c r="AU651" s="30">
        <f>IFERROR(__xludf.DUMMYFUNCTION("""COMPUTED_VALUE"""),3.5302185288299572)</f>
        <v>3.530218529</v>
      </c>
      <c r="AV651" s="32">
        <f>IFERROR(__xludf.DUMMYFUNCTION("""COMPUTED_VALUE"""),67.92644178721143)</f>
        <v>67.92644179</v>
      </c>
      <c r="AW651" s="32">
        <f>IFERROR(__xludf.DUMMYFUNCTION("""COMPUTED_VALUE"""),4.22530588164121)</f>
        <v>4.225305882</v>
      </c>
      <c r="AX651" s="32">
        <f>IFERROR(__xludf.DUMMYFUNCTION("""COMPUTED_VALUE"""),61.588265006678505)</f>
        <v>61.58826501</v>
      </c>
      <c r="AY651" s="32">
        <f>IFERROR(__xludf.DUMMYFUNCTION("""COMPUTED_VALUE"""),3.1104968893346414)</f>
        <v>3.110496889</v>
      </c>
      <c r="AZ651" s="30">
        <f>IFERROR(__xludf.DUMMYFUNCTION("""COMPUTED_VALUE"""),1.114808992306569)</f>
        <v>1.114808992</v>
      </c>
      <c r="BA651" s="30">
        <f>IFERROR(__xludf.DUMMYFUNCTION("""COMPUTED_VALUE"""),2300.0)</f>
        <v>2300</v>
      </c>
    </row>
    <row r="652">
      <c r="A652" s="71" t="str">
        <f>IFERROR(__xludf.DUMMYFUNCTION("""COMPUTED_VALUE"""),"Challenger")</f>
        <v>Challenger</v>
      </c>
      <c r="B652" s="71" t="str">
        <f>IFERROR(__xludf.DUMMYFUNCTION("""COMPUTED_VALUE"""),"RSC001933")</f>
        <v>RSC001933</v>
      </c>
      <c r="C652" s="30" t="str">
        <f>IFERROR(__xludf.DUMMYFUNCTION("""COMPUTED_VALUE"""),"Ducky")</f>
        <v>Ducky</v>
      </c>
      <c r="D652" s="30" t="str">
        <f>IFERROR(__xludf.DUMMYFUNCTION("""COMPUTED_VALUE"""),"Spearmint")</f>
        <v>Spearmint</v>
      </c>
      <c r="E652" s="30">
        <f>IFERROR(__xludf.DUMMYFUNCTION("""COMPUTED_VALUE"""),27.0)</f>
        <v>27</v>
      </c>
      <c r="F652" s="30">
        <f>IFERROR(__xludf.DUMMYFUNCTION("""COMPUTED_VALUE"""),8.0)</f>
        <v>8</v>
      </c>
      <c r="G652" s="42">
        <f>IFERROR(__xludf.DUMMYFUNCTION("""COMPUTED_VALUE"""),19.0)</f>
        <v>19</v>
      </c>
      <c r="H652" s="42">
        <f>IFERROR(__xludf.DUMMYFUNCTION("""COMPUTED_VALUE"""),0.2962962962962963)</f>
        <v>0.2962962963</v>
      </c>
      <c r="I652" s="42">
        <f>IFERROR(__xludf.DUMMYFUNCTION("""COMPUTED_VALUE"""),0.35714285714285715)</f>
        <v>0.3571428571</v>
      </c>
      <c r="J652" s="30">
        <f>IFERROR(__xludf.DUMMYFUNCTION("""COMPUTED_VALUE"""),320.18518518518516)</f>
        <v>320.1851852</v>
      </c>
      <c r="K652" s="30">
        <f>IFERROR(__xludf.DUMMYFUNCTION("""COMPUTED_VALUE"""),0.7407407407407407)</f>
        <v>0.7407407407</v>
      </c>
      <c r="L652" s="30">
        <f>IFERROR(__xludf.DUMMYFUNCTION("""COMPUTED_VALUE"""),0.3333333333333333)</f>
        <v>0.3333333333</v>
      </c>
      <c r="M652" s="30">
        <f>IFERROR(__xludf.DUMMYFUNCTION("""COMPUTED_VALUE"""),1.2592592592592593)</f>
        <v>1.259259259</v>
      </c>
      <c r="N652" s="30">
        <f>IFERROR(__xludf.DUMMYFUNCTION("""COMPUTED_VALUE"""),2.074074074074074)</f>
        <v>2.074074074</v>
      </c>
      <c r="O652" s="30">
        <f>IFERROR(__xludf.DUMMYFUNCTION("""COMPUTED_VALUE"""),352.8888888888889)</f>
        <v>352.8888889</v>
      </c>
      <c r="P652" s="30">
        <f>IFERROR(__xludf.DUMMYFUNCTION("""COMPUTED_VALUE"""),1.0246913580246915)</f>
        <v>1.024691358</v>
      </c>
      <c r="Q652" s="30">
        <f>IFERROR(__xludf.DUMMYFUNCTION("""COMPUTED_VALUE"""),0.7037037037037036)</f>
        <v>0.7037037037</v>
      </c>
      <c r="R652" s="30">
        <f>IFERROR(__xludf.DUMMYFUNCTION("""COMPUTED_VALUE"""),0.9629629629629629)</f>
        <v>0.962962963</v>
      </c>
      <c r="S652" s="30">
        <f>IFERROR(__xludf.DUMMYFUNCTION("""COMPUTED_VALUE"""),2.82716049382716)</f>
        <v>2.827160494</v>
      </c>
      <c r="T652" s="30">
        <f>IFERROR(__xludf.DUMMYFUNCTION("""COMPUTED_VALUE"""),339.6298813798267)</f>
        <v>339.6298814</v>
      </c>
      <c r="U652" s="30">
        <f>IFERROR(__xludf.DUMMYFUNCTION("""COMPUTED_VALUE"""),0.8189701121099205)</f>
        <v>0.8189701121</v>
      </c>
      <c r="V652" s="30">
        <f>IFERROR(__xludf.DUMMYFUNCTION("""COMPUTED_VALUE"""),0.5478746778865438)</f>
        <v>0.5478746779</v>
      </c>
      <c r="W652" s="30">
        <f>IFERROR(__xludf.DUMMYFUNCTION("""COMPUTED_VALUE"""),1.2155231185966484)</f>
        <v>1.215523119</v>
      </c>
      <c r="X652" s="30">
        <f>IFERROR(__xludf.DUMMYFUNCTION("""COMPUTED_VALUE"""),2.523776204918502)</f>
        <v>2.523776205</v>
      </c>
      <c r="Y652" s="30">
        <f>IFERROR(__xludf.DUMMYFUNCTION("""COMPUTED_VALUE"""),329.5139420248197)</f>
        <v>329.513942</v>
      </c>
      <c r="Z652" s="30">
        <f>IFERROR(__xludf.DUMMYFUNCTION("""COMPUTED_VALUE"""),0.7448448008833218)</f>
        <v>0.7448448009</v>
      </c>
      <c r="AA652" s="30">
        <f>IFERROR(__xludf.DUMMYFUNCTION("""COMPUTED_VALUE"""),0.5018878276881101)</f>
        <v>0.5018878277</v>
      </c>
      <c r="AB652" s="30">
        <f>IFERROR(__xludf.DUMMYFUNCTION("""COMPUTED_VALUE"""),1.2281428107580932)</f>
        <v>1.228142811</v>
      </c>
      <c r="AC652" s="30">
        <f>IFERROR(__xludf.DUMMYFUNCTION("""COMPUTED_VALUE"""),2.3764102055106013)</f>
        <v>2.376410206</v>
      </c>
      <c r="AD652" s="30">
        <f>IFERROR(__xludf.DUMMYFUNCTION("""COMPUTED_VALUE"""),0.9716893410266328)</f>
        <v>0.971689341</v>
      </c>
      <c r="AE652" s="30">
        <f>IFERROR(__xludf.DUMMYFUNCTION("""COMPUTED_VALUE"""),0.9944900466006957)</f>
        <v>0.9944900466</v>
      </c>
      <c r="AF652" s="30">
        <f>IFERROR(__xludf.DUMMYFUNCTION("""COMPUTED_VALUE"""),0.6641590310504158)</f>
        <v>0.6641590311</v>
      </c>
      <c r="AG652" s="30">
        <f>IFERROR(__xludf.DUMMYFUNCTION("""COMPUTED_VALUE"""),1.0253361809625046)</f>
        <v>1.025336181</v>
      </c>
      <c r="AH652" s="30">
        <f>IFERROR(__xludf.DUMMYFUNCTION("""COMPUTED_VALUE"""),0.8727761180559453)</f>
        <v>0.8727761181</v>
      </c>
      <c r="AI652" s="30">
        <f>IFERROR(__xludf.DUMMYFUNCTION("""COMPUTED_VALUE"""),1.0390395787767388)</f>
        <v>1.039039579</v>
      </c>
      <c r="AJ652" s="30">
        <f>IFERROR(__xludf.DUMMYFUNCTION("""COMPUTED_VALUE"""),1.2511950593468781)</f>
        <v>1.251195059</v>
      </c>
      <c r="AK652" s="30">
        <f>IFERROR(__xludf.DUMMYFUNCTION("""COMPUTED_VALUE"""),1.2844245812167825)</f>
        <v>1.284424581</v>
      </c>
      <c r="AL652" s="30">
        <f>IFERROR(__xludf.DUMMYFUNCTION("""COMPUTED_VALUE"""),0.7922210184490177)</f>
        <v>0.7922210184</v>
      </c>
      <c r="AM652" s="30">
        <f>IFERROR(__xludf.DUMMYFUNCTION("""COMPUTED_VALUE"""),1.120210456187598)</f>
        <v>1.120210456</v>
      </c>
      <c r="AN652" s="30">
        <f>IFERROR(__xludf.DUMMYFUNCTION("""COMPUTED_VALUE"""),0.9842177382283686)</f>
        <v>0.9842177382</v>
      </c>
      <c r="AO652" s="30">
        <f>IFERROR(__xludf.DUMMYFUNCTION("""COMPUTED_VALUE"""),1.0135417140697225)</f>
        <v>1.013541714</v>
      </c>
      <c r="AP652" s="30">
        <f>IFERROR(__xludf.DUMMYFUNCTION("""COMPUTED_VALUE"""),0.6465571360445512)</f>
        <v>0.646557136</v>
      </c>
      <c r="AQ652" s="30">
        <f>IFERROR(__xludf.DUMMYFUNCTION("""COMPUTED_VALUE"""),1.0444094667342418)</f>
        <v>1.044409467</v>
      </c>
      <c r="AR652" s="30">
        <f>IFERROR(__xludf.DUMMYFUNCTION("""COMPUTED_VALUE"""),0.8716142637689471)</f>
        <v>0.8716142638</v>
      </c>
      <c r="AS652" s="30">
        <f>IFERROR(__xludf.DUMMYFUNCTION("""COMPUTED_VALUE"""),47.0)</f>
        <v>47</v>
      </c>
      <c r="AT652" s="30">
        <f>IFERROR(__xludf.DUMMYFUNCTION("""COMPUTED_VALUE"""),0.29052215388882563)</f>
        <v>0.2905221539</v>
      </c>
      <c r="AU652" s="30">
        <f>IFERROR(__xludf.DUMMYFUNCTION("""COMPUTED_VALUE"""),2.229767329162753)</f>
        <v>2.229767329</v>
      </c>
      <c r="AV652" s="32">
        <f>IFERROR(__xludf.DUMMYFUNCTION("""COMPUTED_VALUE"""),33.98692733995602)</f>
        <v>33.98692734</v>
      </c>
      <c r="AW652" s="32">
        <f>IFERROR(__xludf.DUMMYFUNCTION("""COMPUTED_VALUE"""),-3.832645965513744)</f>
        <v>-3.832645966</v>
      </c>
      <c r="AX652" s="32">
        <f>IFERROR(__xludf.DUMMYFUNCTION("""COMPUTED_VALUE"""),41.317171174611104)</f>
        <v>41.31717117</v>
      </c>
      <c r="AY652" s="32">
        <f>IFERROR(__xludf.DUMMYFUNCTION("""COMPUTED_VALUE"""),-2.7459097015912834)</f>
        <v>-2.745909702</v>
      </c>
      <c r="AZ652" s="30">
        <f>IFERROR(__xludf.DUMMYFUNCTION("""COMPUTED_VALUE"""),1.0867362639224605)</f>
        <v>1.086736264</v>
      </c>
      <c r="BA652" s="30">
        <f>IFERROR(__xludf.DUMMYFUNCTION("""COMPUTED_VALUE"""),2300.0)</f>
        <v>2300</v>
      </c>
    </row>
    <row r="653">
      <c r="A653" s="71" t="str">
        <f>IFERROR(__xludf.DUMMYFUNCTION("""COMPUTED_VALUE"""),"Challenger")</f>
        <v>Challenger</v>
      </c>
      <c r="B653" s="71" t="str">
        <f>IFERROR(__xludf.DUMMYFUNCTION("""COMPUTED_VALUE"""),"RSC007590")</f>
        <v>RSC007590</v>
      </c>
      <c r="C653" s="30" t="str">
        <f>IFERROR(__xludf.DUMMYFUNCTION("""COMPUTED_VALUE"""),"DonkeyPancakes2")</f>
        <v>DonkeyPancakes2</v>
      </c>
      <c r="D653" s="30" t="str">
        <f>IFERROR(__xludf.DUMMYFUNCTION("""COMPUTED_VALUE"""),"Lions")</f>
        <v>Lions</v>
      </c>
      <c r="E653" s="30">
        <f>IFERROR(__xludf.DUMMYFUNCTION("""COMPUTED_VALUE"""),48.0)</f>
        <v>48</v>
      </c>
      <c r="F653" s="30">
        <f>IFERROR(__xludf.DUMMYFUNCTION("""COMPUTED_VALUE"""),25.0)</f>
        <v>25</v>
      </c>
      <c r="G653" s="42">
        <f>IFERROR(__xludf.DUMMYFUNCTION("""COMPUTED_VALUE"""),23.0)</f>
        <v>23</v>
      </c>
      <c r="H653" s="42">
        <f>IFERROR(__xludf.DUMMYFUNCTION("""COMPUTED_VALUE"""),0.5208333333333334)</f>
        <v>0.5208333333</v>
      </c>
      <c r="I653" s="42">
        <f>IFERROR(__xludf.DUMMYFUNCTION("""COMPUTED_VALUE"""),0.312)</f>
        <v>0.312</v>
      </c>
      <c r="J653" s="30">
        <f>IFERROR(__xludf.DUMMYFUNCTION("""COMPUTED_VALUE"""),318.1666666666667)</f>
        <v>318.1666667</v>
      </c>
      <c r="K653" s="30">
        <f>IFERROR(__xludf.DUMMYFUNCTION("""COMPUTED_VALUE"""),0.8125)</f>
        <v>0.8125</v>
      </c>
      <c r="L653" s="30">
        <f>IFERROR(__xludf.DUMMYFUNCTION("""COMPUTED_VALUE"""),0.5833333333333334)</f>
        <v>0.5833333333</v>
      </c>
      <c r="M653" s="30">
        <f>IFERROR(__xludf.DUMMYFUNCTION("""COMPUTED_VALUE"""),1.0625)</f>
        <v>1.0625</v>
      </c>
      <c r="N653" s="30">
        <f>IFERROR(__xludf.DUMMYFUNCTION("""COMPUTED_VALUE"""),2.6041666666666665)</f>
        <v>2.604166667</v>
      </c>
      <c r="O653" s="30">
        <f>IFERROR(__xludf.DUMMYFUNCTION("""COMPUTED_VALUE"""),322.1527777777778)</f>
        <v>322.1527778</v>
      </c>
      <c r="P653" s="30">
        <f>IFERROR(__xludf.DUMMYFUNCTION("""COMPUTED_VALUE"""),0.6805555555555555)</f>
        <v>0.6805555556</v>
      </c>
      <c r="Q653" s="30">
        <f>IFERROR(__xludf.DUMMYFUNCTION("""COMPUTED_VALUE"""),0.4652777777777776)</f>
        <v>0.4652777778</v>
      </c>
      <c r="R653" s="30">
        <f>IFERROR(__xludf.DUMMYFUNCTION("""COMPUTED_VALUE"""),1.361111111111111)</f>
        <v>1.361111111</v>
      </c>
      <c r="S653" s="30">
        <f>IFERROR(__xludf.DUMMYFUNCTION("""COMPUTED_VALUE"""),2.166666666666667)</f>
        <v>2.166666667</v>
      </c>
      <c r="T653" s="30">
        <f>IFERROR(__xludf.DUMMYFUNCTION("""COMPUTED_VALUE"""),343.0297460597001)</f>
        <v>343.0297461</v>
      </c>
      <c r="U653" s="30">
        <f>IFERROR(__xludf.DUMMYFUNCTION("""COMPUTED_VALUE"""),0.7791886771398664)</f>
        <v>0.7791886771</v>
      </c>
      <c r="V653" s="30">
        <f>IFERROR(__xludf.DUMMYFUNCTION("""COMPUTED_VALUE"""),0.531764880794607)</f>
        <v>0.5317648808</v>
      </c>
      <c r="W653" s="30">
        <f>IFERROR(__xludf.DUMMYFUNCTION("""COMPUTED_VALUE"""),1.2990697415341876)</f>
        <v>1.299069742</v>
      </c>
      <c r="X653" s="30">
        <f>IFERROR(__xludf.DUMMYFUNCTION("""COMPUTED_VALUE"""),2.435765403557669)</f>
        <v>2.435765404</v>
      </c>
      <c r="Y653" s="30">
        <f>IFERROR(__xludf.DUMMYFUNCTION("""COMPUTED_VALUE"""),339.6658037196977)</f>
        <v>339.6658037</v>
      </c>
      <c r="Z653" s="30">
        <f>IFERROR(__xludf.DUMMYFUNCTION("""COMPUTED_VALUE"""),0.7795040864195206)</f>
        <v>0.7795040864</v>
      </c>
      <c r="AA653" s="30">
        <f>IFERROR(__xludf.DUMMYFUNCTION("""COMPUTED_VALUE"""),0.5487451318616736)</f>
        <v>0.5487451319</v>
      </c>
      <c r="AB653" s="30">
        <f>IFERROR(__xludf.DUMMYFUNCTION("""COMPUTED_VALUE"""),1.228255471366558)</f>
        <v>1.228255471</v>
      </c>
      <c r="AC653" s="30">
        <f>IFERROR(__xludf.DUMMYFUNCTION("""COMPUTED_VALUE"""),2.5413127626263887)</f>
        <v>2.541312763</v>
      </c>
      <c r="AD653" s="30">
        <f>IFERROR(__xludf.DUMMYFUNCTION("""COMPUTED_VALUE"""),0.9367050294212934)</f>
        <v>0.9367050294</v>
      </c>
      <c r="AE653" s="30">
        <f>IFERROR(__xludf.DUMMYFUNCTION("""COMPUTED_VALUE"""),1.0423293657536021)</f>
        <v>1.042329366</v>
      </c>
      <c r="AF653" s="30">
        <f>IFERROR(__xludf.DUMMYFUNCTION("""COMPUTED_VALUE"""),1.0630314502368627)</f>
        <v>1.06303145</v>
      </c>
      <c r="AG653" s="30">
        <f>IFERROR(__xludf.DUMMYFUNCTION("""COMPUTED_VALUE"""),0.8650480496682514)</f>
        <v>0.8650480497</v>
      </c>
      <c r="AH653" s="30">
        <f>IFERROR(__xludf.DUMMYFUNCTION("""COMPUTED_VALUE"""),1.0247328486932556)</f>
        <v>1.024732849</v>
      </c>
      <c r="AI653" s="30">
        <f>IFERROR(__xludf.DUMMYFUNCTION("""COMPUTED_VALUE"""),0.9391394812790117)</f>
        <v>0.9391394813</v>
      </c>
      <c r="AJ653" s="30">
        <f>IFERROR(__xludf.DUMMYFUNCTION("""COMPUTED_VALUE"""),0.8734156123182395)</f>
        <v>0.8734156123</v>
      </c>
      <c r="AK653" s="30">
        <f>IFERROR(__xludf.DUMMYFUNCTION("""COMPUTED_VALUE"""),0.8749689845679939)</f>
        <v>0.8749689846</v>
      </c>
      <c r="AL653" s="30">
        <f>IFERROR(__xludf.DUMMYFUNCTION("""COMPUTED_VALUE"""),1.0477583054960953)</f>
        <v>1.047758305</v>
      </c>
      <c r="AM653" s="30">
        <f>IFERROR(__xludf.DUMMYFUNCTION("""COMPUTED_VALUE"""),0.8895218987436321)</f>
        <v>0.8895218987</v>
      </c>
      <c r="AN653" s="30">
        <f>IFERROR(__xludf.DUMMYFUNCTION("""COMPUTED_VALUE"""),0.9780130110180221)</f>
        <v>0.978013011</v>
      </c>
      <c r="AO653" s="30">
        <f>IFERROR(__xludf.DUMMYFUNCTION("""COMPUTED_VALUE"""),1.111728567620227)</f>
        <v>1.111728568</v>
      </c>
      <c r="AP653" s="30">
        <f>IFERROR(__xludf.DUMMYFUNCTION("""COMPUTED_VALUE"""),1.1314749880779649)</f>
        <v>1.131474988</v>
      </c>
      <c r="AQ653" s="30">
        <f>IFERROR(__xludf.DUMMYFUNCTION("""COMPUTED_VALUE"""),0.8812204875570165)</f>
        <v>0.8812204876</v>
      </c>
      <c r="AR653" s="30">
        <f>IFERROR(__xludf.DUMMYFUNCTION("""COMPUTED_VALUE"""),1.0943817485938232)</f>
        <v>1.094381749</v>
      </c>
      <c r="AS653" s="30">
        <f>IFERROR(__xludf.DUMMYFUNCTION("""COMPUTED_VALUE"""),120.0)</f>
        <v>120</v>
      </c>
      <c r="AT653" s="30">
        <f>IFERROR(__xludf.DUMMYFUNCTION("""COMPUTED_VALUE"""),0.5775388862352242)</f>
        <v>0.5775388862</v>
      </c>
      <c r="AU653" s="30">
        <f>IFERROR(__xludf.DUMMYFUNCTION("""COMPUTED_VALUE"""),3.2792501162293872)</f>
        <v>3.279250116</v>
      </c>
      <c r="AV653" s="32">
        <f>IFERROR(__xludf.DUMMYFUNCTION("""COMPUTED_VALUE"""),61.37660272562914)</f>
        <v>61.37660273</v>
      </c>
      <c r="AW653" s="32">
        <f>IFERROR(__xludf.DUMMYFUNCTION("""COMPUTED_VALUE"""),3.081364423281346)</f>
        <v>3.081364423</v>
      </c>
      <c r="AX653" s="32">
        <f>IFERROR(__xludf.DUMMYFUNCTION("""COMPUTED_VALUE"""),50.1867125416017)</f>
        <v>50.18671254</v>
      </c>
      <c r="AY653" s="32">
        <f>IFERROR(__xludf.DUMMYFUNCTION("""COMPUTED_VALUE"""),2.0119893373695703)</f>
        <v>2.011989337</v>
      </c>
      <c r="AZ653" s="30">
        <f>IFERROR(__xludf.DUMMYFUNCTION("""COMPUTED_VALUE"""),1.0693750859117759)</f>
        <v>1.069375086</v>
      </c>
      <c r="BA653" s="30">
        <f>IFERROR(__xludf.DUMMYFUNCTION("""COMPUTED_VALUE"""),2300.0)</f>
        <v>2300</v>
      </c>
    </row>
    <row r="654">
      <c r="A654" s="71" t="str">
        <f>IFERROR(__xludf.DUMMYFUNCTION("""COMPUTED_VALUE"""),"Challenger")</f>
        <v>Challenger</v>
      </c>
      <c r="B654" s="71" t="str">
        <f>IFERROR(__xludf.DUMMYFUNCTION("""COMPUTED_VALUE"""),"RSC005150")</f>
        <v>RSC005150</v>
      </c>
      <c r="C654" s="30" t="str">
        <f>IFERROR(__xludf.DUMMYFUNCTION("""COMPUTED_VALUE"""),"Galatiq")</f>
        <v>Galatiq</v>
      </c>
      <c r="D654" s="30" t="str">
        <f>IFERROR(__xludf.DUMMYFUNCTION("""COMPUTED_VALUE"""),"Lions")</f>
        <v>Lions</v>
      </c>
      <c r="E654" s="30">
        <f>IFERROR(__xludf.DUMMYFUNCTION("""COMPUTED_VALUE"""),37.0)</f>
        <v>37</v>
      </c>
      <c r="F654" s="30">
        <f>IFERROR(__xludf.DUMMYFUNCTION("""COMPUTED_VALUE"""),18.0)</f>
        <v>18</v>
      </c>
      <c r="G654" s="42">
        <f>IFERROR(__xludf.DUMMYFUNCTION("""COMPUTED_VALUE"""),19.0)</f>
        <v>19</v>
      </c>
      <c r="H654" s="42">
        <f>IFERROR(__xludf.DUMMYFUNCTION("""COMPUTED_VALUE"""),0.4864864864864865)</f>
        <v>0.4864864865</v>
      </c>
      <c r="I654" s="42">
        <f>IFERROR(__xludf.DUMMYFUNCTION("""COMPUTED_VALUE"""),0.2708333333333333)</f>
        <v>0.2708333333</v>
      </c>
      <c r="J654" s="30">
        <f>IFERROR(__xludf.DUMMYFUNCTION("""COMPUTED_VALUE"""),347.8918918918919)</f>
        <v>347.8918919</v>
      </c>
      <c r="K654" s="30">
        <f>IFERROR(__xludf.DUMMYFUNCTION("""COMPUTED_VALUE"""),0.7027027027027027)</f>
        <v>0.7027027027</v>
      </c>
      <c r="L654" s="30">
        <f>IFERROR(__xludf.DUMMYFUNCTION("""COMPUTED_VALUE"""),0.918918918918919)</f>
        <v>0.9189189189</v>
      </c>
      <c r="M654" s="30">
        <f>IFERROR(__xludf.DUMMYFUNCTION("""COMPUTED_VALUE"""),1.2702702702702702)</f>
        <v>1.27027027</v>
      </c>
      <c r="N654" s="30">
        <f>IFERROR(__xludf.DUMMYFUNCTION("""COMPUTED_VALUE"""),2.5945945945945947)</f>
        <v>2.594594595</v>
      </c>
      <c r="O654" s="30">
        <f>IFERROR(__xludf.DUMMYFUNCTION("""COMPUTED_VALUE"""),329.43243243243245)</f>
        <v>329.4324324</v>
      </c>
      <c r="P654" s="30">
        <f>IFERROR(__xludf.DUMMYFUNCTION("""COMPUTED_VALUE"""),0.7297297297297298)</f>
        <v>0.7297297297</v>
      </c>
      <c r="Q654" s="30">
        <f>IFERROR(__xludf.DUMMYFUNCTION("""COMPUTED_VALUE"""),0.4954954954954955)</f>
        <v>0.4954954955</v>
      </c>
      <c r="R654" s="30">
        <f>IFERROR(__xludf.DUMMYFUNCTION("""COMPUTED_VALUE"""),1.36036036036036)</f>
        <v>1.36036036</v>
      </c>
      <c r="S654" s="30">
        <f>IFERROR(__xludf.DUMMYFUNCTION("""COMPUTED_VALUE"""),2.18018018018018)</f>
        <v>2.18018018</v>
      </c>
      <c r="T654" s="30">
        <f>IFERROR(__xludf.DUMMYFUNCTION("""COMPUTED_VALUE"""),340.8979253192247)</f>
        <v>340.8979253</v>
      </c>
      <c r="U654" s="30">
        <f>IFERROR(__xludf.DUMMYFUNCTION("""COMPUTED_VALUE"""),0.7737317714878229)</f>
        <v>0.7737317715</v>
      </c>
      <c r="V654" s="30">
        <f>IFERROR(__xludf.DUMMYFUNCTION("""COMPUTED_VALUE"""),0.5216434775207176)</f>
        <v>0.5216434775</v>
      </c>
      <c r="W654" s="30">
        <f>IFERROR(__xludf.DUMMYFUNCTION("""COMPUTED_VALUE"""),1.2881887314475073)</f>
        <v>1.288188731</v>
      </c>
      <c r="X654" s="30">
        <f>IFERROR(__xludf.DUMMYFUNCTION("""COMPUTED_VALUE"""),2.4246447670376576)</f>
        <v>2.424644767</v>
      </c>
      <c r="Y654" s="30">
        <f>IFERROR(__xludf.DUMMYFUNCTION("""COMPUTED_VALUE"""),339.7976442686548)</f>
        <v>339.7976443</v>
      </c>
      <c r="Z654" s="30">
        <f>IFERROR(__xludf.DUMMYFUNCTION("""COMPUTED_VALUE"""),0.7896083948707776)</f>
        <v>0.7896083949</v>
      </c>
      <c r="AA654" s="30">
        <f>IFERROR(__xludf.DUMMYFUNCTION("""COMPUTED_VALUE"""),0.552736828751168)</f>
        <v>0.5527368288</v>
      </c>
      <c r="AB654" s="30">
        <f>IFERROR(__xludf.DUMMYFUNCTION("""COMPUTED_VALUE"""),1.229113122912235)</f>
        <v>1.229113123</v>
      </c>
      <c r="AC654" s="30">
        <f>IFERROR(__xludf.DUMMYFUNCTION("""COMPUTED_VALUE"""),2.5435220385944417)</f>
        <v>2.543522039</v>
      </c>
      <c r="AD654" s="30">
        <f>IFERROR(__xludf.DUMMYFUNCTION("""COMPUTED_VALUE"""),1.0238207879299996)</f>
        <v>1.023820788</v>
      </c>
      <c r="AE654" s="30">
        <f>IFERROR(__xludf.DUMMYFUNCTION("""COMPUTED_VALUE"""),0.8899382368113028)</f>
        <v>0.8899382368</v>
      </c>
      <c r="AF654" s="30">
        <f>IFERROR(__xludf.DUMMYFUNCTION("""COMPUTED_VALUE"""),1.6624890384002247)</f>
        <v>1.662489038</v>
      </c>
      <c r="AG654" s="30">
        <f>IFERROR(__xludf.DUMMYFUNCTION("""COMPUTED_VALUE"""),1.0334852395526608)</f>
        <v>1.03348524</v>
      </c>
      <c r="AH654" s="30">
        <f>IFERROR(__xludf.DUMMYFUNCTION("""COMPUTED_VALUE"""),1.0200794627391456)</f>
        <v>1.020079463</v>
      </c>
      <c r="AI654" s="30">
        <f>IFERROR(__xludf.DUMMYFUNCTION("""COMPUTED_VALUE"""),0.9663667859636995)</f>
        <v>0.966366786</v>
      </c>
      <c r="AJ654" s="30">
        <f>IFERROR(__xludf.DUMMYFUNCTION("""COMPUTED_VALUE"""),0.9431301086764464)</f>
        <v>0.9431301087</v>
      </c>
      <c r="AK654" s="30">
        <f>IFERROR(__xludf.DUMMYFUNCTION("""COMPUTED_VALUE"""),0.949873844585388)</f>
        <v>0.9498738446</v>
      </c>
      <c r="AL654" s="30">
        <f>IFERROR(__xludf.DUMMYFUNCTION("""COMPUTED_VALUE"""),1.056025663903887)</f>
        <v>1.056025664</v>
      </c>
      <c r="AM654" s="30">
        <f>IFERROR(__xludf.DUMMYFUNCTION("""COMPUTED_VALUE"""),0.8991750914686957)</f>
        <v>0.8991750915</v>
      </c>
      <c r="AN654" s="30">
        <f>IFERROR(__xludf.DUMMYFUNCTION("""COMPUTED_VALUE"""),1.069385427023401)</f>
        <v>1.069385427</v>
      </c>
      <c r="AO654" s="30">
        <f>IFERROR(__xludf.DUMMYFUNCTION("""COMPUTED_VALUE"""),0.9614949774012775)</f>
        <v>0.9614949774</v>
      </c>
      <c r="AP654" s="30">
        <f>IFERROR(__xludf.DUMMYFUNCTION("""COMPUTED_VALUE"""),1.7824007534201145)</f>
        <v>1.782400753</v>
      </c>
      <c r="AQ654" s="30">
        <f>IFERROR(__xludf.DUMMYFUNCTION("""COMPUTED_VALUE"""),1.0535418229616478)</f>
        <v>1.053541823</v>
      </c>
      <c r="AR654" s="30">
        <f>IFERROR(__xludf.DUMMYFUNCTION("""COMPUTED_VALUE"""),1.0903591562206134)</f>
        <v>1.090359156</v>
      </c>
      <c r="AS654" s="30">
        <f>IFERROR(__xludf.DUMMYFUNCTION("""COMPUTED_VALUE"""),95.0)</f>
        <v>95</v>
      </c>
      <c r="AT654" s="30">
        <f>IFERROR(__xludf.DUMMYFUNCTION("""COMPUTED_VALUE"""),0.5620366851769675)</f>
        <v>0.5620366852</v>
      </c>
      <c r="AU654" s="30">
        <f>IFERROR(__xludf.DUMMYFUNCTION("""COMPUTED_VALUE"""),3.630627577632633)</f>
        <v>3.630627578</v>
      </c>
      <c r="AV654" s="32">
        <f>IFERROR(__xludf.DUMMYFUNCTION("""COMPUTED_VALUE"""),70.54694332032985)</f>
        <v>70.54694332</v>
      </c>
      <c r="AW654" s="32">
        <f>IFERROR(__xludf.DUMMYFUNCTION("""COMPUTED_VALUE"""),4.864446279123677)</f>
        <v>4.864446279</v>
      </c>
      <c r="AX654" s="32">
        <f>IFERROR(__xludf.DUMMYFUNCTION("""COMPUTED_VALUE"""),65.91129441382822)</f>
        <v>65.91129441</v>
      </c>
      <c r="AY654" s="32">
        <f>IFERROR(__xludf.DUMMYFUNCTION("""COMPUTED_VALUE"""),3.813286231500947)</f>
        <v>3.813286232</v>
      </c>
      <c r="AZ654" s="30">
        <f>IFERROR(__xludf.DUMMYFUNCTION("""COMPUTED_VALUE"""),1.05116004762273)</f>
        <v>1.051160048</v>
      </c>
      <c r="BA654" s="30">
        <f>IFERROR(__xludf.DUMMYFUNCTION("""COMPUTED_VALUE"""),2300.0)</f>
        <v>2300</v>
      </c>
    </row>
    <row r="655">
      <c r="A655" s="71" t="str">
        <f>IFERROR(__xludf.DUMMYFUNCTION("""COMPUTED_VALUE"""),"Challenger")</f>
        <v>Challenger</v>
      </c>
      <c r="B655" s="71" t="str">
        <f>IFERROR(__xludf.DUMMYFUNCTION("""COMPUTED_VALUE"""),"RSC007961")</f>
        <v>RSC007961</v>
      </c>
      <c r="C655" s="30" t="str">
        <f>IFERROR(__xludf.DUMMYFUNCTION("""COMPUTED_VALUE"""),"Skrilpp")</f>
        <v>Skrilpp</v>
      </c>
      <c r="D655" s="30" t="str">
        <f>IFERROR(__xludf.DUMMYFUNCTION("""COMPUTED_VALUE"""),"Chromatic Chaos")</f>
        <v>Chromatic Chaos</v>
      </c>
      <c r="E655" s="30">
        <f>IFERROR(__xludf.DUMMYFUNCTION("""COMPUTED_VALUE"""),11.0)</f>
        <v>11</v>
      </c>
      <c r="F655" s="30">
        <f>IFERROR(__xludf.DUMMYFUNCTION("""COMPUTED_VALUE"""),5.0)</f>
        <v>5</v>
      </c>
      <c r="G655" s="42">
        <f>IFERROR(__xludf.DUMMYFUNCTION("""COMPUTED_VALUE"""),6.0)</f>
        <v>6</v>
      </c>
      <c r="H655" s="42">
        <f>IFERROR(__xludf.DUMMYFUNCTION("""COMPUTED_VALUE"""),0.45454545454545453)</f>
        <v>0.4545454545</v>
      </c>
      <c r="I655" s="42">
        <f>IFERROR(__xludf.DUMMYFUNCTION("""COMPUTED_VALUE"""),0.20833333333333334)</f>
        <v>0.2083333333</v>
      </c>
      <c r="J655" s="30">
        <f>IFERROR(__xludf.DUMMYFUNCTION("""COMPUTED_VALUE"""),309.3636363636364)</f>
        <v>309.3636364</v>
      </c>
      <c r="K655" s="30">
        <f>IFERROR(__xludf.DUMMYFUNCTION("""COMPUTED_VALUE"""),0.45454545454545453)</f>
        <v>0.4545454545</v>
      </c>
      <c r="L655" s="30">
        <f>IFERROR(__xludf.DUMMYFUNCTION("""COMPUTED_VALUE"""),0.45454545454545453)</f>
        <v>0.4545454545</v>
      </c>
      <c r="M655" s="30">
        <f>IFERROR(__xludf.DUMMYFUNCTION("""COMPUTED_VALUE"""),1.2727272727272727)</f>
        <v>1.272727273</v>
      </c>
      <c r="N655" s="30">
        <f>IFERROR(__xludf.DUMMYFUNCTION("""COMPUTED_VALUE"""),2.1818181818181817)</f>
        <v>2.181818182</v>
      </c>
      <c r="O655" s="30">
        <f>IFERROR(__xludf.DUMMYFUNCTION("""COMPUTED_VALUE"""),313.69696969696975)</f>
        <v>313.6969697</v>
      </c>
      <c r="P655" s="30">
        <f>IFERROR(__xludf.DUMMYFUNCTION("""COMPUTED_VALUE"""),0.696969696969697)</f>
        <v>0.696969697</v>
      </c>
      <c r="Q655" s="30">
        <f>IFERROR(__xludf.DUMMYFUNCTION("""COMPUTED_VALUE"""),0.3333333333333333)</f>
        <v>0.3333333333</v>
      </c>
      <c r="R655" s="30">
        <f>IFERROR(__xludf.DUMMYFUNCTION("""COMPUTED_VALUE"""),1.2424242424242424)</f>
        <v>1.242424242</v>
      </c>
      <c r="S655" s="30">
        <f>IFERROR(__xludf.DUMMYFUNCTION("""COMPUTED_VALUE"""),2.545454545454545)</f>
        <v>2.545454545</v>
      </c>
      <c r="T655" s="30">
        <f>IFERROR(__xludf.DUMMYFUNCTION("""COMPUTED_VALUE"""),324.02239013642304)</f>
        <v>324.0223901</v>
      </c>
      <c r="U655" s="30">
        <f>IFERROR(__xludf.DUMMYFUNCTION("""COMPUTED_VALUE"""),0.7491807632783073)</f>
        <v>0.7491807633</v>
      </c>
      <c r="V655" s="30">
        <f>IFERROR(__xludf.DUMMYFUNCTION("""COMPUTED_VALUE"""),0.45327193969469454)</f>
        <v>0.4532719397</v>
      </c>
      <c r="W655" s="30">
        <f>IFERROR(__xludf.DUMMYFUNCTION("""COMPUTED_VALUE"""),1.2081238592005372)</f>
        <v>1.208123859</v>
      </c>
      <c r="X655" s="30">
        <f>IFERROR(__xludf.DUMMYFUNCTION("""COMPUTED_VALUE"""),2.2843241710693842)</f>
        <v>2.284324171</v>
      </c>
      <c r="Y655" s="30">
        <f>IFERROR(__xludf.DUMMYFUNCTION("""COMPUTED_VALUE"""),343.51589983495757)</f>
        <v>343.5158998</v>
      </c>
      <c r="Z655" s="30">
        <f>IFERROR(__xludf.DUMMYFUNCTION("""COMPUTED_VALUE"""),0.8224690769632107)</f>
        <v>0.822469077</v>
      </c>
      <c r="AA655" s="30">
        <f>IFERROR(__xludf.DUMMYFUNCTION("""COMPUTED_VALUE"""),0.5636280142716535)</f>
        <v>0.5636280143</v>
      </c>
      <c r="AB655" s="30">
        <f>IFERROR(__xludf.DUMMYFUNCTION("""COMPUTED_VALUE"""),1.1726637806926847)</f>
        <v>1.172663781</v>
      </c>
      <c r="AC655" s="30">
        <f>IFERROR(__xludf.DUMMYFUNCTION("""COMPUTED_VALUE"""),2.4552375222478178)</f>
        <v>2.455237522</v>
      </c>
      <c r="AD655" s="30">
        <f>IFERROR(__xludf.DUMMYFUNCTION("""COMPUTED_VALUE"""),0.9005802541083843)</f>
        <v>0.9005802541</v>
      </c>
      <c r="AE655" s="30">
        <f>IFERROR(__xludf.DUMMYFUNCTION("""COMPUTED_VALUE"""),0.5526596285221632)</f>
        <v>0.5526596285</v>
      </c>
      <c r="AF655" s="30">
        <f>IFERROR(__xludf.DUMMYFUNCTION("""COMPUTED_VALUE"""),0.8064635593616464)</f>
        <v>0.8064635594</v>
      </c>
      <c r="AG655" s="30">
        <f>IFERROR(__xludf.DUMMYFUNCTION("""COMPUTED_VALUE"""),1.0853300781367028)</f>
        <v>1.085330078</v>
      </c>
      <c r="AH655" s="30">
        <f>IFERROR(__xludf.DUMMYFUNCTION("""COMPUTED_VALUE"""),0.8886383341928908)</f>
        <v>0.8886383342</v>
      </c>
      <c r="AI655" s="30">
        <f>IFERROR(__xludf.DUMMYFUNCTION("""COMPUTED_VALUE"""),0.9681336205343526)</f>
        <v>0.9681336205</v>
      </c>
      <c r="AJ655" s="30">
        <f>IFERROR(__xludf.DUMMYFUNCTION("""COMPUTED_VALUE"""),0.9303091204849653)</f>
        <v>0.9303091205</v>
      </c>
      <c r="AK655" s="30">
        <f>IFERROR(__xludf.DUMMYFUNCTION("""COMPUTED_VALUE"""),0.7353937099169497)</f>
        <v>0.7353937099</v>
      </c>
      <c r="AL655" s="30">
        <f>IFERROR(__xludf.DUMMYFUNCTION("""COMPUTED_VALUE"""),1.0283914459287338)</f>
        <v>1.028391446</v>
      </c>
      <c r="AM655" s="30">
        <f>IFERROR(__xludf.DUMMYFUNCTION("""COMPUTED_VALUE"""),1.1143140617659861)</f>
        <v>1.114314062</v>
      </c>
      <c r="AN655" s="30">
        <f>IFERROR(__xludf.DUMMYFUNCTION("""COMPUTED_VALUE"""),0.9509533624918317)</f>
        <v>0.9509533625</v>
      </c>
      <c r="AO655" s="30">
        <f>IFERROR(__xludf.DUMMYFUNCTION("""COMPUTED_VALUE"""),0.6219460518155117)</f>
        <v>0.6219460518</v>
      </c>
      <c r="AP655" s="30">
        <f>IFERROR(__xludf.DUMMYFUNCTION("""COMPUTED_VALUE"""),0.8816688218789336)</f>
        <v>0.8816688219</v>
      </c>
      <c r="AQ655" s="30">
        <f>IFERROR(__xludf.DUMMYFUNCTION("""COMPUTED_VALUE"""),1.0555796214586723)</f>
        <v>1.055579621</v>
      </c>
      <c r="AR655" s="30">
        <f>IFERROR(__xludf.DUMMYFUNCTION("""COMPUTED_VALUE"""),0.9168929268218794)</f>
        <v>0.9168929268</v>
      </c>
      <c r="AS655" s="30">
        <f>IFERROR(__xludf.DUMMYFUNCTION("""COMPUTED_VALUE"""),20.0)</f>
        <v>20</v>
      </c>
      <c r="AT655" s="30">
        <f>IFERROR(__xludf.DUMMYFUNCTION("""COMPUTED_VALUE"""),0.4485112388947876)</f>
        <v>0.4485112389</v>
      </c>
      <c r="AU655" s="30">
        <f>IFERROR(__xludf.DUMMYFUNCTION("""COMPUTED_VALUE"""),2.2004727321484134)</f>
        <v>2.200472732</v>
      </c>
      <c r="AV655" s="32">
        <f>IFERROR(__xludf.DUMMYFUNCTION("""COMPUTED_VALUE"""),33.22238930973302)</f>
        <v>33.22238931</v>
      </c>
      <c r="AW655" s="32">
        <f>IFERROR(__xludf.DUMMYFUNCTION("""COMPUTED_VALUE"""),-3.9828418649794237)</f>
        <v>-3.982841865</v>
      </c>
      <c r="AX655" s="32">
        <f>IFERROR(__xludf.DUMMYFUNCTION("""COMPUTED_VALUE"""),38.96177365186657)</f>
        <v>38.96177365</v>
      </c>
      <c r="AY655" s="32">
        <f>IFERROR(__xludf.DUMMYFUNCTION("""COMPUTED_VALUE"""),-3.0356843203841493)</f>
        <v>-3.03568432</v>
      </c>
      <c r="AZ655" s="30">
        <f>IFERROR(__xludf.DUMMYFUNCTION("""COMPUTED_VALUE"""),0.9471575445952745)</f>
        <v>0.9471575446</v>
      </c>
      <c r="BA655" s="30">
        <f>IFERROR(__xludf.DUMMYFUNCTION("""COMPUTED_VALUE"""),2300.0)</f>
        <v>2300</v>
      </c>
    </row>
    <row r="656">
      <c r="A656" s="71" t="str">
        <f>IFERROR(__xludf.DUMMYFUNCTION("""COMPUTED_VALUE"""),"Challenger")</f>
        <v>Challenger</v>
      </c>
      <c r="B656" s="71" t="str">
        <f>IFERROR(__xludf.DUMMYFUNCTION("""COMPUTED_VALUE"""),"RSC001066")</f>
        <v>RSC001066</v>
      </c>
      <c r="C656" s="30" t="str">
        <f>IFERROR(__xludf.DUMMYFUNCTION("""COMPUTED_VALUE"""),"risu")</f>
        <v>risu</v>
      </c>
      <c r="D656" s="30" t="str">
        <f>IFERROR(__xludf.DUMMYFUNCTION("""COMPUTED_VALUE"""),"Trippy Hippies")</f>
        <v>Trippy Hippies</v>
      </c>
      <c r="E656" s="30">
        <f>IFERROR(__xludf.DUMMYFUNCTION("""COMPUTED_VALUE"""),43.0)</f>
        <v>43</v>
      </c>
      <c r="F656" s="30">
        <f>IFERROR(__xludf.DUMMYFUNCTION("""COMPUTED_VALUE"""),24.0)</f>
        <v>24</v>
      </c>
      <c r="G656" s="42">
        <f>IFERROR(__xludf.DUMMYFUNCTION("""COMPUTED_VALUE"""),19.0)</f>
        <v>19</v>
      </c>
      <c r="H656" s="42">
        <f>IFERROR(__xludf.DUMMYFUNCTION("""COMPUTED_VALUE"""),0.5581395348837209)</f>
        <v>0.5581395349</v>
      </c>
      <c r="I656" s="42">
        <f>IFERROR(__xludf.DUMMYFUNCTION("""COMPUTED_VALUE"""),0.3076923076923077)</f>
        <v>0.3076923077</v>
      </c>
      <c r="J656" s="30">
        <f>IFERROR(__xludf.DUMMYFUNCTION("""COMPUTED_VALUE"""),317.0769230769231)</f>
        <v>317.0769231</v>
      </c>
      <c r="K656" s="30">
        <f>IFERROR(__xludf.DUMMYFUNCTION("""COMPUTED_VALUE"""),0.8205128205128205)</f>
        <v>0.8205128205</v>
      </c>
      <c r="L656" s="30">
        <f>IFERROR(__xludf.DUMMYFUNCTION("""COMPUTED_VALUE"""),0.6153846153846154)</f>
        <v>0.6153846154</v>
      </c>
      <c r="M656" s="30">
        <f>IFERROR(__xludf.DUMMYFUNCTION("""COMPUTED_VALUE"""),0.8461538461538461)</f>
        <v>0.8461538462</v>
      </c>
      <c r="N656" s="30">
        <f>IFERROR(__xludf.DUMMYFUNCTION("""COMPUTED_VALUE"""),2.6666666666666665)</f>
        <v>2.666666667</v>
      </c>
      <c r="O656" s="30">
        <f>IFERROR(__xludf.DUMMYFUNCTION("""COMPUTED_VALUE"""),317.965811965812)</f>
        <v>317.965812</v>
      </c>
      <c r="P656" s="30">
        <f>IFERROR(__xludf.DUMMYFUNCTION("""COMPUTED_VALUE"""),0.7264957264957266)</f>
        <v>0.7264957265</v>
      </c>
      <c r="Q656" s="30">
        <f>IFERROR(__xludf.DUMMYFUNCTION("""COMPUTED_VALUE"""),0.5213675213675213)</f>
        <v>0.5213675214</v>
      </c>
      <c r="R656" s="30">
        <f>IFERROR(__xludf.DUMMYFUNCTION("""COMPUTED_VALUE"""),1.2393162393162391)</f>
        <v>1.239316239</v>
      </c>
      <c r="S656" s="30">
        <f>IFERROR(__xludf.DUMMYFUNCTION("""COMPUTED_VALUE"""),2.4017094017094016)</f>
        <v>2.401709402</v>
      </c>
      <c r="T656" s="30">
        <f>IFERROR(__xludf.DUMMYFUNCTION("""COMPUTED_VALUE"""),340.83685490969094)</f>
        <v>340.8368549</v>
      </c>
      <c r="U656" s="30">
        <f>IFERROR(__xludf.DUMMYFUNCTION("""COMPUTED_VALUE"""),0.7599168749434412)</f>
        <v>0.7599168749</v>
      </c>
      <c r="V656" s="30">
        <f>IFERROR(__xludf.DUMMYFUNCTION("""COMPUTED_VALUE"""),0.543706590890794)</f>
        <v>0.5437065909</v>
      </c>
      <c r="W656" s="30">
        <f>IFERROR(__xludf.DUMMYFUNCTION("""COMPUTED_VALUE"""),1.3175869288609776)</f>
        <v>1.317586929</v>
      </c>
      <c r="X656" s="30">
        <f>IFERROR(__xludf.DUMMYFUNCTION("""COMPUTED_VALUE"""),2.4046332927514493)</f>
        <v>2.404633293</v>
      </c>
      <c r="Y656" s="30">
        <f>IFERROR(__xludf.DUMMYFUNCTION("""COMPUTED_VALUE"""),339.9022224110539)</f>
        <v>339.9022224</v>
      </c>
      <c r="Z656" s="30">
        <f>IFERROR(__xludf.DUMMYFUNCTION("""COMPUTED_VALUE"""),0.7856987788918756)</f>
        <v>0.7856987789</v>
      </c>
      <c r="AA656" s="30">
        <f>IFERROR(__xludf.DUMMYFUNCTION("""COMPUTED_VALUE"""),0.5483987452693021)</f>
        <v>0.5483987453</v>
      </c>
      <c r="AB656" s="30">
        <f>IFERROR(__xludf.DUMMYFUNCTION("""COMPUTED_VALUE"""),1.2151499152367078)</f>
        <v>1.215149915</v>
      </c>
      <c r="AC656" s="30">
        <f>IFERROR(__xludf.DUMMYFUNCTION("""COMPUTED_VALUE"""),2.5647588808029744)</f>
        <v>2.564758881</v>
      </c>
      <c r="AD656" s="30">
        <f>IFERROR(__xludf.DUMMYFUNCTION("""COMPUTED_VALUE"""),0.9328474548585696)</f>
        <v>0.9328474549</v>
      </c>
      <c r="AE656" s="30">
        <f>IFERROR(__xludf.DUMMYFUNCTION("""COMPUTED_VALUE"""),1.0443096547382262)</f>
        <v>1.044309655</v>
      </c>
      <c r="AF656" s="30">
        <f>IFERROR(__xludf.DUMMYFUNCTION("""COMPUTED_VALUE"""),1.1221481097343113)</f>
        <v>1.12214811</v>
      </c>
      <c r="AG656" s="30">
        <f>IFERROR(__xludf.DUMMYFUNCTION("""COMPUTED_VALUE"""),0.6963369996935874)</f>
        <v>0.6963369997</v>
      </c>
      <c r="AH656" s="30">
        <f>IFERROR(__xludf.DUMMYFUNCTION("""COMPUTED_VALUE"""),1.03973386606689)</f>
        <v>1.039733866</v>
      </c>
      <c r="AI656" s="30">
        <f>IFERROR(__xludf.DUMMYFUNCTION("""COMPUTED_VALUE"""),0.932897388840362)</f>
        <v>0.9328973888</v>
      </c>
      <c r="AJ656" s="30">
        <f>IFERROR(__xludf.DUMMYFUNCTION("""COMPUTED_VALUE"""),0.9560199943576696)</f>
        <v>0.9560199944</v>
      </c>
      <c r="AK656" s="30">
        <f>IFERROR(__xludf.DUMMYFUNCTION("""COMPUTED_VALUE"""),0.958913373688053)</f>
        <v>0.9589133737</v>
      </c>
      <c r="AL656" s="30">
        <f>IFERROR(__xludf.DUMMYFUNCTION("""COMPUTED_VALUE"""),0.9405954265101873)</f>
        <v>0.9405954265</v>
      </c>
      <c r="AM656" s="30">
        <f>IFERROR(__xludf.DUMMYFUNCTION("""COMPUTED_VALUE"""),0.9987840594859676)</f>
        <v>0.9987840595</v>
      </c>
      <c r="AN656" s="30">
        <f>IFERROR(__xludf.DUMMYFUNCTION("""COMPUTED_VALUE"""),0.9746632465043206)</f>
        <v>0.9746632465</v>
      </c>
      <c r="AO656" s="30">
        <f>IFERROR(__xludf.DUMMYFUNCTION("""COMPUTED_VALUE"""),1.122692360200308)</f>
        <v>1.12269236</v>
      </c>
      <c r="AP656" s="30">
        <f>IFERROR(__xludf.DUMMYFUNCTION("""COMPUTED_VALUE"""),1.193643943466864)</f>
        <v>1.193643943</v>
      </c>
      <c r="AQ656" s="30">
        <f>IFERROR(__xludf.DUMMYFUNCTION("""COMPUTED_VALUE"""),0.7017864516291172)</f>
        <v>0.7017864516</v>
      </c>
      <c r="AR656" s="30">
        <f>IFERROR(__xludf.DUMMYFUNCTION("""COMPUTED_VALUE"""),1.120646910560075)</f>
        <v>1.120646911</v>
      </c>
      <c r="AS656" s="30">
        <f>IFERROR(__xludf.DUMMYFUNCTION("""COMPUTED_VALUE"""),91.0)</f>
        <v>91</v>
      </c>
      <c r="AT656" s="30">
        <f>IFERROR(__xludf.DUMMYFUNCTION("""COMPUTED_VALUE"""),0.48882252226274797)</f>
        <v>0.4888225223</v>
      </c>
      <c r="AU656" s="30">
        <f>IFERROR(__xludf.DUMMYFUNCTION("""COMPUTED_VALUE"""),3.261379523665776)</f>
        <v>3.261379524</v>
      </c>
      <c r="AV656" s="32">
        <f>IFERROR(__xludf.DUMMYFUNCTION("""COMPUTED_VALUE"""),60.910211341893316)</f>
        <v>60.91021134</v>
      </c>
      <c r="AW656" s="32">
        <f>IFERROR(__xludf.DUMMYFUNCTION("""COMPUTED_VALUE"""),3.018683811845469)</f>
        <v>3.018683812</v>
      </c>
      <c r="AX656" s="32">
        <f>IFERROR(__xludf.DUMMYFUNCTION("""COMPUTED_VALUE"""),51.10110090151408)</f>
        <v>51.1011009</v>
      </c>
      <c r="AY656" s="32">
        <f>IFERROR(__xludf.DUMMYFUNCTION("""COMPUTED_VALUE"""),2.0728195989130276)</f>
        <v>2.072819599</v>
      </c>
      <c r="AZ656" s="30">
        <f>IFERROR(__xludf.DUMMYFUNCTION("""COMPUTED_VALUE"""),0.9458642129324413)</f>
        <v>0.9458642129</v>
      </c>
      <c r="BA656" s="30">
        <f>IFERROR(__xludf.DUMMYFUNCTION("""COMPUTED_VALUE"""),2300.0)</f>
        <v>2300</v>
      </c>
    </row>
    <row r="657">
      <c r="A657" s="71" t="str">
        <f>IFERROR(__xludf.DUMMYFUNCTION("""COMPUTED_VALUE"""),"Challenger")</f>
        <v>Challenger</v>
      </c>
      <c r="B657" s="71" t="str">
        <f>IFERROR(__xludf.DUMMYFUNCTION("""COMPUTED_VALUE"""),"RSC006299")</f>
        <v>RSC006299</v>
      </c>
      <c r="C657" s="30" t="str">
        <f>IFERROR(__xludf.DUMMYFUNCTION("""COMPUTED_VALUE"""),"dr_zachattack")</f>
        <v>dr_zachattack</v>
      </c>
      <c r="D657" s="30" t="str">
        <f>IFERROR(__xludf.DUMMYFUNCTION("""COMPUTED_VALUE"""),"Trippy Hippies")</f>
        <v>Trippy Hippies</v>
      </c>
      <c r="E657" s="30">
        <f>IFERROR(__xludf.DUMMYFUNCTION("""COMPUTED_VALUE"""),40.0)</f>
        <v>40</v>
      </c>
      <c r="F657" s="30">
        <f>IFERROR(__xludf.DUMMYFUNCTION("""COMPUTED_VALUE"""),23.0)</f>
        <v>23</v>
      </c>
      <c r="G657" s="42">
        <f>IFERROR(__xludf.DUMMYFUNCTION("""COMPUTED_VALUE"""),17.0)</f>
        <v>17</v>
      </c>
      <c r="H657" s="42">
        <f>IFERROR(__xludf.DUMMYFUNCTION("""COMPUTED_VALUE"""),0.575)</f>
        <v>0.575</v>
      </c>
      <c r="I657" s="42">
        <f>IFERROR(__xludf.DUMMYFUNCTION("""COMPUTED_VALUE"""),0.32222222222222224)</f>
        <v>0.3222222222</v>
      </c>
      <c r="J657" s="30">
        <f>IFERROR(__xludf.DUMMYFUNCTION("""COMPUTED_VALUE"""),376.94444444444446)</f>
        <v>376.9444444</v>
      </c>
      <c r="K657" s="30">
        <f>IFERROR(__xludf.DUMMYFUNCTION("""COMPUTED_VALUE"""),0.8055555555555556)</f>
        <v>0.8055555556</v>
      </c>
      <c r="L657" s="30">
        <f>IFERROR(__xludf.DUMMYFUNCTION("""COMPUTED_VALUE"""),0.5555555555555556)</f>
        <v>0.5555555556</v>
      </c>
      <c r="M657" s="30">
        <f>IFERROR(__xludf.DUMMYFUNCTION("""COMPUTED_VALUE"""),1.3888888888888888)</f>
        <v>1.388888889</v>
      </c>
      <c r="N657" s="30">
        <f>IFERROR(__xludf.DUMMYFUNCTION("""COMPUTED_VALUE"""),2.5)</f>
        <v>2.5</v>
      </c>
      <c r="O657" s="30">
        <f>IFERROR(__xludf.DUMMYFUNCTION("""COMPUTED_VALUE"""),313.7777777777778)</f>
        <v>313.7777778</v>
      </c>
      <c r="P657" s="30">
        <f>IFERROR(__xludf.DUMMYFUNCTION("""COMPUTED_VALUE"""),0.6851851851851852)</f>
        <v>0.6851851852</v>
      </c>
      <c r="Q657" s="30">
        <f>IFERROR(__xludf.DUMMYFUNCTION("""COMPUTED_VALUE"""),0.48148148148148134)</f>
        <v>0.4814814815</v>
      </c>
      <c r="R657" s="30">
        <f>IFERROR(__xludf.DUMMYFUNCTION("""COMPUTED_VALUE"""),1.259259259259259)</f>
        <v>1.259259259</v>
      </c>
      <c r="S657" s="30">
        <f>IFERROR(__xludf.DUMMYFUNCTION("""COMPUTED_VALUE"""),2.2777777777777777)</f>
        <v>2.277777778</v>
      </c>
      <c r="T657" s="30">
        <f>IFERROR(__xludf.DUMMYFUNCTION("""COMPUTED_VALUE"""),340.2410220040961)</f>
        <v>340.241022</v>
      </c>
      <c r="U657" s="30">
        <f>IFERROR(__xludf.DUMMYFUNCTION("""COMPUTED_VALUE"""),0.7803183625490826)</f>
        <v>0.7803183625</v>
      </c>
      <c r="V657" s="30">
        <f>IFERROR(__xludf.DUMMYFUNCTION("""COMPUTED_VALUE"""),0.5552331554288104)</f>
        <v>0.5552331554</v>
      </c>
      <c r="W657" s="30">
        <f>IFERROR(__xludf.DUMMYFUNCTION("""COMPUTED_VALUE"""),1.2704047232570734)</f>
        <v>1.270404723</v>
      </c>
      <c r="X657" s="30">
        <f>IFERROR(__xludf.DUMMYFUNCTION("""COMPUTED_VALUE"""),2.3923158646616893)</f>
        <v>2.392315865</v>
      </c>
      <c r="Y657" s="30">
        <f>IFERROR(__xludf.DUMMYFUNCTION("""COMPUTED_VALUE"""),335.14220293977246)</f>
        <v>335.1422029</v>
      </c>
      <c r="Z657" s="30">
        <f>IFERROR(__xludf.DUMMYFUNCTION("""COMPUTED_VALUE"""),0.7653883509711655)</f>
        <v>0.765388351</v>
      </c>
      <c r="AA657" s="30">
        <f>IFERROR(__xludf.DUMMYFUNCTION("""COMPUTED_VALUE"""),0.5357951348438796)</f>
        <v>0.5357951348</v>
      </c>
      <c r="AB657" s="30">
        <f>IFERROR(__xludf.DUMMYFUNCTION("""COMPUTED_VALUE"""),1.2003636021961406)</f>
        <v>1.200363602</v>
      </c>
      <c r="AC657" s="30">
        <f>IFERROR(__xludf.DUMMYFUNCTION("""COMPUTED_VALUE"""),2.489212662489302)</f>
        <v>2.489212662</v>
      </c>
      <c r="AD657" s="30">
        <f>IFERROR(__xludf.DUMMYFUNCTION("""COMPUTED_VALUE"""),1.1247298643321986)</f>
        <v>1.124729864</v>
      </c>
      <c r="AE657" s="30">
        <f>IFERROR(__xludf.DUMMYFUNCTION("""COMPUTED_VALUE"""),1.0524795086486798)</f>
        <v>1.052479509</v>
      </c>
      <c r="AF657" s="30">
        <f>IFERROR(__xludf.DUMMYFUNCTION("""COMPUTED_VALUE"""),1.0368805527087022)</f>
        <v>1.036880553</v>
      </c>
      <c r="AG657" s="30">
        <f>IFERROR(__xludf.DUMMYFUNCTION("""COMPUTED_VALUE"""),1.1570568170742843)</f>
        <v>1.157056817</v>
      </c>
      <c r="AH657" s="30">
        <f>IFERROR(__xludf.DUMMYFUNCTION("""COMPUTED_VALUE"""),1.0043336343548528)</f>
        <v>1.004333634</v>
      </c>
      <c r="AI657" s="30">
        <f>IFERROR(__xludf.DUMMYFUNCTION("""COMPUTED_VALUE"""),0.9222220646104228)</f>
        <v>0.9222220646</v>
      </c>
      <c r="AJ657" s="30">
        <f>IFERROR(__xludf.DUMMYFUNCTION("""COMPUTED_VALUE"""),0.8780841488169985)</f>
        <v>0.8780841488</v>
      </c>
      <c r="AK657" s="30">
        <f>IFERROR(__xludf.DUMMYFUNCTION("""COMPUTED_VALUE"""),0.8671699029025561)</f>
        <v>0.8671699029</v>
      </c>
      <c r="AL657" s="30">
        <f>IFERROR(__xludf.DUMMYFUNCTION("""COMPUTED_VALUE"""),0.9912268399244931)</f>
        <v>0.9912268399</v>
      </c>
      <c r="AM657" s="30">
        <f>IFERROR(__xludf.DUMMYFUNCTION("""COMPUTED_VALUE"""),0.9521225066573268)</f>
        <v>0.9521225067</v>
      </c>
      <c r="AN657" s="30">
        <f>IFERROR(__xludf.DUMMYFUNCTION("""COMPUTED_VALUE"""),1.1586901134550864)</f>
        <v>1.158690113</v>
      </c>
      <c r="AO657" s="30">
        <f>IFERROR(__xludf.DUMMYFUNCTION("""COMPUTED_VALUE"""),1.1022266140508234)</f>
        <v>1.102226614</v>
      </c>
      <c r="AP657" s="30">
        <f>IFERROR(__xludf.DUMMYFUNCTION("""COMPUTED_VALUE"""),1.0775952267409188)</f>
        <v>1.077595227</v>
      </c>
      <c r="AQ657" s="30">
        <f>IFERROR(__xludf.DUMMYFUNCTION("""COMPUTED_VALUE"""),1.1519222059568843)</f>
        <v>1.151922206</v>
      </c>
      <c r="AR657" s="30">
        <f>IFERROR(__xludf.DUMMYFUNCTION("""COMPUTED_VALUE"""),1.0506064786500702)</f>
        <v>1.050606479</v>
      </c>
      <c r="AS657" s="30">
        <f>IFERROR(__xludf.DUMMYFUNCTION("""COMPUTED_VALUE"""),85.0)</f>
        <v>85</v>
      </c>
      <c r="AT657" s="30">
        <f>IFERROR(__xludf.DUMMYFUNCTION("""COMPUTED_VALUE"""),0.5125203602089423)</f>
        <v>0.5125203602</v>
      </c>
      <c r="AU657" s="30">
        <f>IFERROR(__xludf.DUMMYFUNCTION("""COMPUTED_VALUE"""),3.408523650062814)</f>
        <v>3.40852365</v>
      </c>
      <c r="AV657" s="32">
        <f>IFERROR(__xludf.DUMMYFUNCTION("""COMPUTED_VALUE"""),64.75041711428912)</f>
        <v>64.75041711</v>
      </c>
      <c r="AW657" s="32">
        <f>IFERROR(__xludf.DUMMYFUNCTION("""COMPUTED_VALUE"""),3.602438725607136)</f>
        <v>3.602438726</v>
      </c>
      <c r="AX657" s="32">
        <f>IFERROR(__xludf.DUMMYFUNCTION("""COMPUTED_VALUE"""),68.90463772029455)</f>
        <v>68.90463772</v>
      </c>
      <c r="AY657" s="32">
        <f>IFERROR(__xludf.DUMMYFUNCTION("""COMPUTED_VALUE"""),4.449012296232682)</f>
        <v>4.449012296</v>
      </c>
      <c r="AZ657" s="30">
        <f>IFERROR(__xludf.DUMMYFUNCTION("""COMPUTED_VALUE"""),0.8465735706255457)</f>
        <v>0.8465735706</v>
      </c>
      <c r="BA657" s="30">
        <f>IFERROR(__xludf.DUMMYFUNCTION("""COMPUTED_VALUE"""),2300.0)</f>
        <v>2300</v>
      </c>
    </row>
    <row r="658">
      <c r="A658" s="71" t="str">
        <f>IFERROR(__xludf.DUMMYFUNCTION("""COMPUTED_VALUE"""),"Challenger")</f>
        <v>Challenger</v>
      </c>
      <c r="B658" s="71" t="str">
        <f>IFERROR(__xludf.DUMMYFUNCTION("""COMPUTED_VALUE"""),"RSC007934")</f>
        <v>RSC007934</v>
      </c>
      <c r="C658" s="30" t="str">
        <f>IFERROR(__xludf.DUMMYFUNCTION("""COMPUTED_VALUE"""),"Chicknn.")</f>
        <v>Chicknn.</v>
      </c>
      <c r="D658" s="30" t="str">
        <f>IFERROR(__xludf.DUMMYFUNCTION("""COMPUTED_VALUE"""),"Void")</f>
        <v>Void</v>
      </c>
      <c r="E658" s="30">
        <f>IFERROR(__xludf.DUMMYFUNCTION("""COMPUTED_VALUE"""),30.0)</f>
        <v>30</v>
      </c>
      <c r="F658" s="30">
        <f>IFERROR(__xludf.DUMMYFUNCTION("""COMPUTED_VALUE"""),13.0)</f>
        <v>13</v>
      </c>
      <c r="G658" s="42">
        <f>IFERROR(__xludf.DUMMYFUNCTION("""COMPUTED_VALUE"""),17.0)</f>
        <v>17</v>
      </c>
      <c r="H658" s="42">
        <f>IFERROR(__xludf.DUMMYFUNCTION("""COMPUTED_VALUE"""),0.43333333333333335)</f>
        <v>0.4333333333</v>
      </c>
      <c r="I658" s="42">
        <f>IFERROR(__xludf.DUMMYFUNCTION("""COMPUTED_VALUE"""),0.3037974683544304)</f>
        <v>0.3037974684</v>
      </c>
      <c r="J658" s="30">
        <f>IFERROR(__xludf.DUMMYFUNCTION("""COMPUTED_VALUE"""),367.53333333333336)</f>
        <v>367.5333333</v>
      </c>
      <c r="K658" s="30">
        <f>IFERROR(__xludf.DUMMYFUNCTION("""COMPUTED_VALUE"""),0.8)</f>
        <v>0.8</v>
      </c>
      <c r="L658" s="30">
        <f>IFERROR(__xludf.DUMMYFUNCTION("""COMPUTED_VALUE"""),0.7333333333333333)</f>
        <v>0.7333333333</v>
      </c>
      <c r="M658" s="30">
        <f>IFERROR(__xludf.DUMMYFUNCTION("""COMPUTED_VALUE"""),1.4)</f>
        <v>1.4</v>
      </c>
      <c r="N658" s="30">
        <f>IFERROR(__xludf.DUMMYFUNCTION("""COMPUTED_VALUE"""),2.6333333333333333)</f>
        <v>2.633333333</v>
      </c>
      <c r="O658" s="30">
        <f>IFERROR(__xludf.DUMMYFUNCTION("""COMPUTED_VALUE"""),351.96666666666675)</f>
        <v>351.9666667</v>
      </c>
      <c r="P658" s="30">
        <f>IFERROR(__xludf.DUMMYFUNCTION("""COMPUTED_VALUE"""),0.9444444444444445)</f>
        <v>0.9444444444</v>
      </c>
      <c r="Q658" s="30">
        <f>IFERROR(__xludf.DUMMYFUNCTION("""COMPUTED_VALUE"""),0.6333333333333333)</f>
        <v>0.6333333333</v>
      </c>
      <c r="R658" s="30">
        <f>IFERROR(__xludf.DUMMYFUNCTION("""COMPUTED_VALUE"""),1.1444444444444444)</f>
        <v>1.144444444</v>
      </c>
      <c r="S658" s="30">
        <f>IFERROR(__xludf.DUMMYFUNCTION("""COMPUTED_VALUE"""),2.788888888888889)</f>
        <v>2.788888889</v>
      </c>
      <c r="T658" s="30">
        <f>IFERROR(__xludf.DUMMYFUNCTION("""COMPUTED_VALUE"""),337.62013753067004)</f>
        <v>337.6201375</v>
      </c>
      <c r="U658" s="30">
        <f>IFERROR(__xludf.DUMMYFUNCTION("""COMPUTED_VALUE"""),0.7802590159584336)</f>
        <v>0.780259016</v>
      </c>
      <c r="V658" s="30">
        <f>IFERROR(__xludf.DUMMYFUNCTION("""COMPUTED_VALUE"""),0.5474691769285068)</f>
        <v>0.5474691769</v>
      </c>
      <c r="W658" s="30">
        <f>IFERROR(__xludf.DUMMYFUNCTION("""COMPUTED_VALUE"""),1.2069679083095932)</f>
        <v>1.206967908</v>
      </c>
      <c r="X658" s="30">
        <f>IFERROR(__xludf.DUMMYFUNCTION("""COMPUTED_VALUE"""),2.5518711249039074)</f>
        <v>2.551871125</v>
      </c>
      <c r="Y658" s="30">
        <f>IFERROR(__xludf.DUMMYFUNCTION("""COMPUTED_VALUE"""),341.23002704900676)</f>
        <v>341.230027</v>
      </c>
      <c r="Z658" s="30">
        <f>IFERROR(__xludf.DUMMYFUNCTION("""COMPUTED_VALUE"""),0.7748972540255896)</f>
        <v>0.774897254</v>
      </c>
      <c r="AA658" s="30">
        <f>IFERROR(__xludf.DUMMYFUNCTION("""COMPUTED_VALUE"""),0.516135159742144)</f>
        <v>0.5161351597</v>
      </c>
      <c r="AB658" s="30">
        <f>IFERROR(__xludf.DUMMYFUNCTION("""COMPUTED_VALUE"""),1.307508283881976)</f>
        <v>1.307508284</v>
      </c>
      <c r="AC658" s="30">
        <f>IFERROR(__xludf.DUMMYFUNCTION("""COMPUTED_VALUE"""),2.4542242808364634)</f>
        <v>2.454224281</v>
      </c>
      <c r="AD658" s="30">
        <f>IFERROR(__xludf.DUMMYFUNCTION("""COMPUTED_VALUE"""),1.0770837974365866)</f>
        <v>1.077083797</v>
      </c>
      <c r="AE658" s="30">
        <f>IFERROR(__xludf.DUMMYFUNCTION("""COMPUTED_VALUE"""),1.0323949347400596)</f>
        <v>1.032394935</v>
      </c>
      <c r="AF658" s="30">
        <f>IFERROR(__xludf.DUMMYFUNCTION("""COMPUTED_VALUE"""),1.420816465399682)</f>
        <v>1.420816465</v>
      </c>
      <c r="AG658" s="30">
        <f>IFERROR(__xludf.DUMMYFUNCTION("""COMPUTED_VALUE"""),1.070738914053697)</f>
        <v>1.070738914</v>
      </c>
      <c r="AH658" s="30">
        <f>IFERROR(__xludf.DUMMYFUNCTION("""COMPUTED_VALUE"""),1.072979904035431)</f>
        <v>1.072979904</v>
      </c>
      <c r="AI658" s="30">
        <f>IFERROR(__xludf.DUMMYFUNCTION("""COMPUTED_VALUE"""),1.0424931085003586)</f>
        <v>1.042493109</v>
      </c>
      <c r="AJ658" s="30">
        <f>IFERROR(__xludf.DUMMYFUNCTION("""COMPUTED_VALUE"""),1.2104242631330997)</f>
        <v>1.210424263</v>
      </c>
      <c r="AK658" s="30">
        <f>IFERROR(__xludf.DUMMYFUNCTION("""COMPUTED_VALUE"""),1.1568383390761)</f>
        <v>1.156838339</v>
      </c>
      <c r="AL658" s="30">
        <f>IFERROR(__xludf.DUMMYFUNCTION("""COMPUTED_VALUE"""),0.9481979069744154)</f>
        <v>0.948197907</v>
      </c>
      <c r="AM658" s="30">
        <f>IFERROR(__xludf.DUMMYFUNCTION("""COMPUTED_VALUE"""),1.0928799897737418)</f>
        <v>1.09287999</v>
      </c>
      <c r="AN658" s="30">
        <f>IFERROR(__xludf.DUMMYFUNCTION("""COMPUTED_VALUE"""),1.129761284388131)</f>
        <v>1.129761284</v>
      </c>
      <c r="AO658" s="30">
        <f>IFERROR(__xludf.DUMMYFUNCTION("""COMPUTED_VALUE"""),1.0946250511953006)</f>
        <v>1.094625051</v>
      </c>
      <c r="AP658" s="30">
        <f>IFERROR(__xludf.DUMMYFUNCTION("""COMPUTED_VALUE"""),1.4224256992980127)</f>
        <v>1.422425699</v>
      </c>
      <c r="AQ658" s="30">
        <f>IFERROR(__xludf.DUMMYFUNCTION("""COMPUTED_VALUE"""),1.1611375836045394)</f>
        <v>1.161137584</v>
      </c>
      <c r="AR658" s="30">
        <f>IFERROR(__xludf.DUMMYFUNCTION("""COMPUTED_VALUE"""),1.106638824178074)</f>
        <v>1.106638824</v>
      </c>
      <c r="AS658" s="30">
        <f>IFERROR(__xludf.DUMMYFUNCTION("""COMPUTED_VALUE"""),74.0)</f>
        <v>74</v>
      </c>
      <c r="AT658" s="30">
        <f>IFERROR(__xludf.DUMMYFUNCTION("""COMPUTED_VALUE"""),0.44431709194911095)</f>
        <v>0.4443170919</v>
      </c>
      <c r="AU658" s="30">
        <f>IFERROR(__xludf.DUMMYFUNCTION("""COMPUTED_VALUE"""),3.38919622584861)</f>
        <v>3.389196226</v>
      </c>
      <c r="AV658" s="32">
        <f>IFERROR(__xludf.DUMMYFUNCTION("""COMPUTED_VALUE"""),64.24600495832813)</f>
        <v>64.24600496</v>
      </c>
      <c r="AW658" s="32">
        <f>IFERROR(__xludf.DUMMYFUNCTION("""COMPUTED_VALUE"""),3.516260402947078)</f>
        <v>3.516260403</v>
      </c>
      <c r="AX658" s="32">
        <f>IFERROR(__xludf.DUMMYFUNCTION("""COMPUTED_VALUE"""),58.03115578525937)</f>
        <v>58.03115579</v>
      </c>
      <c r="AY658" s="32">
        <f>IFERROR(__xludf.DUMMYFUNCTION("""COMPUTED_VALUE"""),2.6737117200397)</f>
        <v>2.67371172</v>
      </c>
      <c r="AZ658" s="30">
        <f>IFERROR(__xludf.DUMMYFUNCTION("""COMPUTED_VALUE"""),0.842548682907378)</f>
        <v>0.8425486829</v>
      </c>
      <c r="BA658" s="30">
        <f>IFERROR(__xludf.DUMMYFUNCTION("""COMPUTED_VALUE"""),2300.0)</f>
        <v>2300</v>
      </c>
    </row>
    <row r="659">
      <c r="A659" s="71" t="str">
        <f>IFERROR(__xludf.DUMMYFUNCTION("""COMPUTED_VALUE"""),"Challenger")</f>
        <v>Challenger</v>
      </c>
      <c r="B659" s="71" t="str">
        <f>IFERROR(__xludf.DUMMYFUNCTION("""COMPUTED_VALUE"""),"RSC007626")</f>
        <v>RSC007626</v>
      </c>
      <c r="C659" s="30" t="str">
        <f>IFERROR(__xludf.DUMMYFUNCTION("""COMPUTED_VALUE"""),"ACDye2")</f>
        <v>ACDye2</v>
      </c>
      <c r="D659" s="30" t="str">
        <f>IFERROR(__xludf.DUMMYFUNCTION("""COMPUTED_VALUE"""),"Squalls")</f>
        <v>Squalls</v>
      </c>
      <c r="E659" s="30">
        <f>IFERROR(__xludf.DUMMYFUNCTION("""COMPUTED_VALUE"""),42.0)</f>
        <v>42</v>
      </c>
      <c r="F659" s="30">
        <f>IFERROR(__xludf.DUMMYFUNCTION("""COMPUTED_VALUE"""),26.0)</f>
        <v>26</v>
      </c>
      <c r="G659" s="42">
        <f>IFERROR(__xludf.DUMMYFUNCTION("""COMPUTED_VALUE"""),16.0)</f>
        <v>16</v>
      </c>
      <c r="H659" s="42">
        <f>IFERROR(__xludf.DUMMYFUNCTION("""COMPUTED_VALUE"""),0.6190476190476191)</f>
        <v>0.619047619</v>
      </c>
      <c r="I659" s="42">
        <f>IFERROR(__xludf.DUMMYFUNCTION("""COMPUTED_VALUE"""),0.26724137931034486)</f>
        <v>0.2672413793</v>
      </c>
      <c r="J659" s="30">
        <f>IFERROR(__xludf.DUMMYFUNCTION("""COMPUTED_VALUE"""),361.1666666666667)</f>
        <v>361.1666667</v>
      </c>
      <c r="K659" s="30">
        <f>IFERROR(__xludf.DUMMYFUNCTION("""COMPUTED_VALUE"""),0.7380952380952381)</f>
        <v>0.7380952381</v>
      </c>
      <c r="L659" s="30">
        <f>IFERROR(__xludf.DUMMYFUNCTION("""COMPUTED_VALUE"""),0.5476190476190477)</f>
        <v>0.5476190476</v>
      </c>
      <c r="M659" s="30">
        <f>IFERROR(__xludf.DUMMYFUNCTION("""COMPUTED_VALUE"""),1.3333333333333333)</f>
        <v>1.333333333</v>
      </c>
      <c r="N659" s="30">
        <f>IFERROR(__xludf.DUMMYFUNCTION("""COMPUTED_VALUE"""),2.761904761904762)</f>
        <v>2.761904762</v>
      </c>
      <c r="O659" s="30">
        <f>IFERROR(__xludf.DUMMYFUNCTION("""COMPUTED_VALUE"""),325.34126984126976)</f>
        <v>325.3412698</v>
      </c>
      <c r="P659" s="30">
        <f>IFERROR(__xludf.DUMMYFUNCTION("""COMPUTED_VALUE"""),0.6269841269841268)</f>
        <v>0.626984127</v>
      </c>
      <c r="Q659" s="30">
        <f>IFERROR(__xludf.DUMMYFUNCTION("""COMPUTED_VALUE"""),0.41269841269841273)</f>
        <v>0.4126984127</v>
      </c>
      <c r="R659" s="30">
        <f>IFERROR(__xludf.DUMMYFUNCTION("""COMPUTED_VALUE"""),1.452380952380952)</f>
        <v>1.452380952</v>
      </c>
      <c r="S659" s="30">
        <f>IFERROR(__xludf.DUMMYFUNCTION("""COMPUTED_VALUE"""),2.1984126984126986)</f>
        <v>2.198412698</v>
      </c>
      <c r="T659" s="30">
        <f>IFERROR(__xludf.DUMMYFUNCTION("""COMPUTED_VALUE"""),339.09972078562396)</f>
        <v>339.0997208</v>
      </c>
      <c r="U659" s="30">
        <f>IFERROR(__xludf.DUMMYFUNCTION("""COMPUTED_VALUE"""),0.7858417000319978)</f>
        <v>0.7858417</v>
      </c>
      <c r="V659" s="30">
        <f>IFERROR(__xludf.DUMMYFUNCTION("""COMPUTED_VALUE"""),0.5394604157949832)</f>
        <v>0.5394604158</v>
      </c>
      <c r="W659" s="30">
        <f>IFERROR(__xludf.DUMMYFUNCTION("""COMPUTED_VALUE"""),1.2392300682755253)</f>
        <v>1.239230068</v>
      </c>
      <c r="X659" s="30">
        <f>IFERROR(__xludf.DUMMYFUNCTION("""COMPUTED_VALUE"""),2.398062511193831)</f>
        <v>2.398062511</v>
      </c>
      <c r="Y659" s="30">
        <f>IFERROR(__xludf.DUMMYFUNCTION("""COMPUTED_VALUE"""),328.7825864653773)</f>
        <v>328.7825865</v>
      </c>
      <c r="Z659" s="30">
        <f>IFERROR(__xludf.DUMMYFUNCTION("""COMPUTED_VALUE"""),0.7352364179656605)</f>
        <v>0.735236418</v>
      </c>
      <c r="AA659" s="30">
        <f>IFERROR(__xludf.DUMMYFUNCTION("""COMPUTED_VALUE"""),0.5082133156463156)</f>
        <v>0.5082133156</v>
      </c>
      <c r="AB659" s="30">
        <f>IFERROR(__xludf.DUMMYFUNCTION("""COMPUTED_VALUE"""),1.1872773916515957)</f>
        <v>1.187277392</v>
      </c>
      <c r="AC659" s="30">
        <f>IFERROR(__xludf.DUMMYFUNCTION("""COMPUTED_VALUE"""),2.4331534455544994)</f>
        <v>2.433153446</v>
      </c>
      <c r="AD659" s="30">
        <f>IFERROR(__xludf.DUMMYFUNCTION("""COMPUTED_VALUE"""),1.098496944590159)</f>
        <v>1.098496945</v>
      </c>
      <c r="AE659" s="30">
        <f>IFERROR(__xludf.DUMMYFUNCTION("""COMPUTED_VALUE"""),1.0038883004972574)</f>
        <v>1.0038883</v>
      </c>
      <c r="AF659" s="30">
        <f>IFERROR(__xludf.DUMMYFUNCTION("""COMPUTED_VALUE"""),1.0775377794314938)</f>
        <v>1.077537779</v>
      </c>
      <c r="AG659" s="30">
        <f>IFERROR(__xludf.DUMMYFUNCTION("""COMPUTED_VALUE"""),1.1230175380317504)</f>
        <v>1.123017538</v>
      </c>
      <c r="AH659" s="30">
        <f>IFERROR(__xludf.DUMMYFUNCTION("""COMPUTED_VALUE"""),1.1351132691408792)</f>
        <v>1.135113269</v>
      </c>
      <c r="AI659" s="30">
        <f>IFERROR(__xludf.DUMMYFUNCTION("""COMPUTED_VALUE"""),0.9594265341402266)</f>
        <v>0.9594265341</v>
      </c>
      <c r="AJ659" s="30">
        <f>IFERROR(__xludf.DUMMYFUNCTION("""COMPUTED_VALUE"""),0.797850415622634)</f>
        <v>0.7978504156</v>
      </c>
      <c r="AK659" s="30">
        <f>IFERROR(__xludf.DUMMYFUNCTION("""COMPUTED_VALUE"""),0.7650207515045087)</f>
        <v>0.7650207515</v>
      </c>
      <c r="AL659" s="30">
        <f>IFERROR(__xludf.DUMMYFUNCTION("""COMPUTED_VALUE"""),1.1720026729193564)</f>
        <v>1.172002673</v>
      </c>
      <c r="AM659" s="30">
        <f>IFERROR(__xludf.DUMMYFUNCTION("""COMPUTED_VALUE"""),0.9167453676252415)</f>
        <v>0.9167453676</v>
      </c>
      <c r="AN659" s="30">
        <f>IFERROR(__xludf.DUMMYFUNCTION("""COMPUTED_VALUE"""),1.1101907778292581)</f>
        <v>1.110190778</v>
      </c>
      <c r="AO659" s="30">
        <f>IFERROR(__xludf.DUMMYFUNCTION("""COMPUTED_VALUE"""),1.0099219222337594)</f>
        <v>1.009921922</v>
      </c>
      <c r="AP659" s="30">
        <f>IFERROR(__xludf.DUMMYFUNCTION("""COMPUTED_VALUE"""),1.0622010092160488)</f>
        <v>1.062201009</v>
      </c>
      <c r="AQ659" s="30">
        <f>IFERROR(__xludf.DUMMYFUNCTION("""COMPUTED_VALUE"""),1.105845317718609)</f>
        <v>1.105845318</v>
      </c>
      <c r="AR659" s="30">
        <f>IFERROR(__xludf.DUMMYFUNCTION("""COMPUTED_VALUE"""),1.160670014508649)</f>
        <v>1.160670015</v>
      </c>
      <c r="AS659" s="30">
        <f>IFERROR(__xludf.DUMMYFUNCTION("""COMPUTED_VALUE"""),103.0)</f>
        <v>103</v>
      </c>
      <c r="AT659" s="30">
        <f>IFERROR(__xludf.DUMMYFUNCTION("""COMPUTED_VALUE"""),0.5996690815119258)</f>
        <v>0.5996690815</v>
      </c>
      <c r="AU659" s="30">
        <f>IFERROR(__xludf.DUMMYFUNCTION("""COMPUTED_VALUE"""),3.4868302027722855)</f>
        <v>3.486830203</v>
      </c>
      <c r="AV659" s="32">
        <f>IFERROR(__xludf.DUMMYFUNCTION("""COMPUTED_VALUE"""),66.79408194206428)</f>
        <v>66.79408194</v>
      </c>
      <c r="AW659" s="32">
        <f>IFERROR(__xludf.DUMMYFUNCTION("""COMPUTED_VALUE"""),3.986172681957415)</f>
        <v>3.986172682</v>
      </c>
      <c r="AX659" s="32">
        <f>IFERROR(__xludf.DUMMYFUNCTION("""COMPUTED_VALUE"""),62.061015765854584)</f>
        <v>62.06101577</v>
      </c>
      <c r="AY659" s="32">
        <f>IFERROR(__xludf.DUMMYFUNCTION("""COMPUTED_VALUE"""),3.177160214990478)</f>
        <v>3.177160215</v>
      </c>
      <c r="AZ659" s="30">
        <f>IFERROR(__xludf.DUMMYFUNCTION("""COMPUTED_VALUE"""),0.8090124669669367)</f>
        <v>0.809012467</v>
      </c>
      <c r="BA659" s="30">
        <f>IFERROR(__xludf.DUMMYFUNCTION("""COMPUTED_VALUE"""),2300.0)</f>
        <v>2300</v>
      </c>
    </row>
    <row r="660">
      <c r="A660" s="71" t="str">
        <f>IFERROR(__xludf.DUMMYFUNCTION("""COMPUTED_VALUE"""),"Challenger")</f>
        <v>Challenger</v>
      </c>
      <c r="B660" s="71" t="str">
        <f>IFERROR(__xludf.DUMMYFUNCTION("""COMPUTED_VALUE"""),"RSC000938")</f>
        <v>RSC000938</v>
      </c>
      <c r="C660" s="30" t="str">
        <f>IFERROR(__xludf.DUMMYFUNCTION("""COMPUTED_VALUE"""),"Nukem_IV")</f>
        <v>Nukem_IV</v>
      </c>
      <c r="D660" s="30" t="str">
        <f>IFERROR(__xludf.DUMMYFUNCTION("""COMPUTED_VALUE"""),"Spearmint")</f>
        <v>Spearmint</v>
      </c>
      <c r="E660" s="30">
        <f>IFERROR(__xludf.DUMMYFUNCTION("""COMPUTED_VALUE"""),41.0)</f>
        <v>41</v>
      </c>
      <c r="F660" s="30">
        <f>IFERROR(__xludf.DUMMYFUNCTION("""COMPUTED_VALUE"""),15.0)</f>
        <v>15</v>
      </c>
      <c r="G660" s="42">
        <f>IFERROR(__xludf.DUMMYFUNCTION("""COMPUTED_VALUE"""),26.0)</f>
        <v>26</v>
      </c>
      <c r="H660" s="42">
        <f>IFERROR(__xludf.DUMMYFUNCTION("""COMPUTED_VALUE"""),0.36585365853658536)</f>
        <v>0.3658536585</v>
      </c>
      <c r="I660" s="42">
        <f>IFERROR(__xludf.DUMMYFUNCTION("""COMPUTED_VALUE"""),0.27102803738317754)</f>
        <v>0.2710280374</v>
      </c>
      <c r="J660" s="30">
        <f>IFERROR(__xludf.DUMMYFUNCTION("""COMPUTED_VALUE"""),313.6585365853659)</f>
        <v>313.6585366</v>
      </c>
      <c r="K660" s="30">
        <f>IFERROR(__xludf.DUMMYFUNCTION("""COMPUTED_VALUE"""),0.7073170731707317)</f>
        <v>0.7073170732</v>
      </c>
      <c r="L660" s="30">
        <f>IFERROR(__xludf.DUMMYFUNCTION("""COMPUTED_VALUE"""),0.2926829268292683)</f>
        <v>0.2926829268</v>
      </c>
      <c r="M660" s="30">
        <f>IFERROR(__xludf.DUMMYFUNCTION("""COMPUTED_VALUE"""),1.0975609756097562)</f>
        <v>1.097560976</v>
      </c>
      <c r="N660" s="30">
        <f>IFERROR(__xludf.DUMMYFUNCTION("""COMPUTED_VALUE"""),2.6097560975609757)</f>
        <v>2.609756098</v>
      </c>
      <c r="O660" s="30">
        <f>IFERROR(__xludf.DUMMYFUNCTION("""COMPUTED_VALUE"""),346.7154471544716)</f>
        <v>346.7154472</v>
      </c>
      <c r="P660" s="30">
        <f>IFERROR(__xludf.DUMMYFUNCTION("""COMPUTED_VALUE"""),0.8455284552845528)</f>
        <v>0.8455284553</v>
      </c>
      <c r="Q660" s="30">
        <f>IFERROR(__xludf.DUMMYFUNCTION("""COMPUTED_VALUE"""),0.5934959349593495)</f>
        <v>0.593495935</v>
      </c>
      <c r="R660" s="30">
        <f>IFERROR(__xludf.DUMMYFUNCTION("""COMPUTED_VALUE"""),1.2276422764227644)</f>
        <v>1.227642276</v>
      </c>
      <c r="S660" s="30">
        <f>IFERROR(__xludf.DUMMYFUNCTION("""COMPUTED_VALUE"""),2.398373983739838)</f>
        <v>2.398373984</v>
      </c>
      <c r="T660" s="30">
        <f>IFERROR(__xludf.DUMMYFUNCTION("""COMPUTED_VALUE"""),326.5154120997448)</f>
        <v>326.5154121</v>
      </c>
      <c r="U660" s="30">
        <f>IFERROR(__xludf.DUMMYFUNCTION("""COMPUTED_VALUE"""),0.7538888030266172)</f>
        <v>0.753888803</v>
      </c>
      <c r="V660" s="30">
        <f>IFERROR(__xludf.DUMMYFUNCTION("""COMPUTED_VALUE"""),0.5441084431770649)</f>
        <v>0.5441084432</v>
      </c>
      <c r="W660" s="30">
        <f>IFERROR(__xludf.DUMMYFUNCTION("""COMPUTED_VALUE"""),1.153961083449574)</f>
        <v>1.153961083</v>
      </c>
      <c r="X660" s="30">
        <f>IFERROR(__xludf.DUMMYFUNCTION("""COMPUTED_VALUE"""),2.4677852895784205)</f>
        <v>2.46778529</v>
      </c>
      <c r="Y660" s="30">
        <f>IFERROR(__xludf.DUMMYFUNCTION("""COMPUTED_VALUE"""),335.82897166816184)</f>
        <v>335.8289717</v>
      </c>
      <c r="Z660" s="30">
        <f>IFERROR(__xludf.DUMMYFUNCTION("""COMPUTED_VALUE"""),0.7809975981461448)</f>
        <v>0.7809975981</v>
      </c>
      <c r="AA660" s="30">
        <f>IFERROR(__xludf.DUMMYFUNCTION("""COMPUTED_VALUE"""),0.5501019526239024)</f>
        <v>0.5501019526</v>
      </c>
      <c r="AB660" s="30">
        <f>IFERROR(__xludf.DUMMYFUNCTION("""COMPUTED_VALUE"""),1.2332381483938066)</f>
        <v>1.233238148</v>
      </c>
      <c r="AC660" s="30">
        <f>IFERROR(__xludf.DUMMYFUNCTION("""COMPUTED_VALUE"""),2.423288579068437)</f>
        <v>2.423288579</v>
      </c>
      <c r="AD660" s="30">
        <f>IFERROR(__xludf.DUMMYFUNCTION("""COMPUTED_VALUE"""),0.9339829587284597)</f>
        <v>0.9339829587</v>
      </c>
      <c r="AE660" s="30">
        <f>IFERROR(__xludf.DUMMYFUNCTION("""COMPUTED_VALUE"""),0.9056584486939413)</f>
        <v>0.9056584487</v>
      </c>
      <c r="AF660" s="30">
        <f>IFERROR(__xludf.DUMMYFUNCTION("""COMPUTED_VALUE"""),0.532052150393605)</f>
        <v>0.5320521504</v>
      </c>
      <c r="AG660" s="30">
        <f>IFERROR(__xludf.DUMMYFUNCTION("""COMPUTED_VALUE"""),0.8899829907461434)</f>
        <v>0.8899829907</v>
      </c>
      <c r="AH660" s="30">
        <f>IFERROR(__xludf.DUMMYFUNCTION("""COMPUTED_VALUE"""),1.0769481274756887)</f>
        <v>1.076948127</v>
      </c>
      <c r="AI660" s="30">
        <f>IFERROR(__xludf.DUMMYFUNCTION("""COMPUTED_VALUE"""),1.061865487221032)</f>
        <v>1.061865487</v>
      </c>
      <c r="AJ660" s="30">
        <f>IFERROR(__xludf.DUMMYFUNCTION("""COMPUTED_VALUE"""),1.1215559269351558)</f>
        <v>1.121555927</v>
      </c>
      <c r="AK660" s="30">
        <f>IFERROR(__xludf.DUMMYFUNCTION("""COMPUTED_VALUE"""),1.09076773647163)</f>
        <v>1.090767736</v>
      </c>
      <c r="AL660" s="30">
        <f>IFERROR(__xludf.DUMMYFUNCTION("""COMPUTED_VALUE"""),1.0638506740218074)</f>
        <v>1.063850674</v>
      </c>
      <c r="AM660" s="30">
        <f>IFERROR(__xludf.DUMMYFUNCTION("""COMPUTED_VALUE"""),0.9718730368757322)</f>
        <v>0.9718730369</v>
      </c>
      <c r="AN660" s="30">
        <f>IFERROR(__xludf.DUMMYFUNCTION("""COMPUTED_VALUE"""),0.9641554629566059)</f>
        <v>0.964155463</v>
      </c>
      <c r="AO660" s="30">
        <f>IFERROR(__xludf.DUMMYFUNCTION("""COMPUTED_VALUE"""),0.9678087342885278)</f>
        <v>0.9678087343</v>
      </c>
      <c r="AP660" s="30">
        <f>IFERROR(__xludf.DUMMYFUNCTION("""COMPUTED_VALUE"""),0.567708704819606)</f>
        <v>0.5677087048</v>
      </c>
      <c r="AQ660" s="30">
        <f>IFERROR(__xludf.DUMMYFUNCTION("""COMPUTED_VALUE"""),0.910299499341538)</f>
        <v>0.9102994993</v>
      </c>
      <c r="AR660" s="30">
        <f>IFERROR(__xludf.DUMMYFUNCTION("""COMPUTED_VALUE"""),1.0967306655176343)</f>
        <v>1.096730666</v>
      </c>
      <c r="AS660" s="30">
        <f>IFERROR(__xludf.DUMMYFUNCTION("""COMPUTED_VALUE"""),69.0)</f>
        <v>69</v>
      </c>
      <c r="AT660" s="30">
        <f>IFERROR(__xludf.DUMMYFUNCTION("""COMPUTED_VALUE"""),0.3497348287569421)</f>
        <v>0.3497348288</v>
      </c>
      <c r="AU660" s="30">
        <f>IFERROR(__xludf.DUMMYFUNCTION("""COMPUTED_VALUE"""),2.4326132355874126)</f>
        <v>2.432613236</v>
      </c>
      <c r="AV660" s="32">
        <f>IFERROR(__xludf.DUMMYFUNCTION("""COMPUTED_VALUE"""),39.280852689425615)</f>
        <v>39.28085269</v>
      </c>
      <c r="AW660" s="32">
        <f>IFERROR(__xludf.DUMMYFUNCTION("""COMPUTED_VALUE"""),-2.993592502837486)</f>
        <v>-2.993592503</v>
      </c>
      <c r="AX660" s="32">
        <f>IFERROR(__xludf.DUMMYFUNCTION("""COMPUTED_VALUE"""),47.104301468150844)</f>
        <v>47.10430147</v>
      </c>
      <c r="AY660" s="32">
        <f>IFERROR(__xludf.DUMMYFUNCTION("""COMPUTED_VALUE"""),-2.2031553675351163)</f>
        <v>-2.203155368</v>
      </c>
      <c r="AZ660" s="30">
        <f>IFERROR(__xludf.DUMMYFUNCTION("""COMPUTED_VALUE"""),0.7904371353023696)</f>
        <v>0.7904371353</v>
      </c>
      <c r="BA660" s="30">
        <f>IFERROR(__xludf.DUMMYFUNCTION("""COMPUTED_VALUE"""),2300.0)</f>
        <v>2300</v>
      </c>
    </row>
    <row r="661">
      <c r="A661" s="71" t="str">
        <f>IFERROR(__xludf.DUMMYFUNCTION("""COMPUTED_VALUE"""),"Challenger")</f>
        <v>Challenger</v>
      </c>
      <c r="B661" s="71" t="str">
        <f>IFERROR(__xludf.DUMMYFUNCTION("""COMPUTED_VALUE"""),"RSC004073")</f>
        <v>RSC004073</v>
      </c>
      <c r="C661" s="30" t="str">
        <f>IFERROR(__xludf.DUMMYFUNCTION("""COMPUTED_VALUE"""),"BusterChugs")</f>
        <v>BusterChugs</v>
      </c>
      <c r="D661" s="30" t="str">
        <f>IFERROR(__xludf.DUMMYFUNCTION("""COMPUTED_VALUE"""),"Spearmint")</f>
        <v>Spearmint</v>
      </c>
      <c r="E661" s="30">
        <f>IFERROR(__xludf.DUMMYFUNCTION("""COMPUTED_VALUE"""),41.0)</f>
        <v>41</v>
      </c>
      <c r="F661" s="30">
        <f>IFERROR(__xludf.DUMMYFUNCTION("""COMPUTED_VALUE"""),13.0)</f>
        <v>13</v>
      </c>
      <c r="G661" s="42">
        <f>IFERROR(__xludf.DUMMYFUNCTION("""COMPUTED_VALUE"""),28.0)</f>
        <v>28</v>
      </c>
      <c r="H661" s="42">
        <f>IFERROR(__xludf.DUMMYFUNCTION("""COMPUTED_VALUE"""),0.3170731707317073)</f>
        <v>0.3170731707</v>
      </c>
      <c r="I661" s="42">
        <f>IFERROR(__xludf.DUMMYFUNCTION("""COMPUTED_VALUE"""),0.34567901234567905)</f>
        <v>0.3456790123</v>
      </c>
      <c r="J661" s="30">
        <f>IFERROR(__xludf.DUMMYFUNCTION("""COMPUTED_VALUE"""),306.0)</f>
        <v>306</v>
      </c>
      <c r="K661" s="30">
        <f>IFERROR(__xludf.DUMMYFUNCTION("""COMPUTED_VALUE"""),0.6829268292682927)</f>
        <v>0.6829268293</v>
      </c>
      <c r="L661" s="30">
        <f>IFERROR(__xludf.DUMMYFUNCTION("""COMPUTED_VALUE"""),0.4634146341463415)</f>
        <v>0.4634146341</v>
      </c>
      <c r="M661" s="30">
        <f>IFERROR(__xludf.DUMMYFUNCTION("""COMPUTED_VALUE"""),1.0731707317073171)</f>
        <v>1.073170732</v>
      </c>
      <c r="N661" s="30">
        <f>IFERROR(__xludf.DUMMYFUNCTION("""COMPUTED_VALUE"""),1.975609756097561)</f>
        <v>1.975609756</v>
      </c>
      <c r="O661" s="30">
        <f>IFERROR(__xludf.DUMMYFUNCTION("""COMPUTED_VALUE"""),346.8048780487805)</f>
        <v>346.804878</v>
      </c>
      <c r="P661" s="30">
        <f>IFERROR(__xludf.DUMMYFUNCTION("""COMPUTED_VALUE"""),0.9593495934959348)</f>
        <v>0.9593495935</v>
      </c>
      <c r="Q661" s="30">
        <f>IFERROR(__xludf.DUMMYFUNCTION("""COMPUTED_VALUE"""),0.6097560975609756)</f>
        <v>0.6097560976</v>
      </c>
      <c r="R661" s="30">
        <f>IFERROR(__xludf.DUMMYFUNCTION("""COMPUTED_VALUE"""),1.0813008130081303)</f>
        <v>1.081300813</v>
      </c>
      <c r="S661" s="30">
        <f>IFERROR(__xludf.DUMMYFUNCTION("""COMPUTED_VALUE"""),2.577235772357724)</f>
        <v>2.577235772</v>
      </c>
      <c r="T661" s="30">
        <f>IFERROR(__xludf.DUMMYFUNCTION("""COMPUTED_VALUE"""),332.89373874788606)</f>
        <v>332.8937387</v>
      </c>
      <c r="U661" s="30">
        <f>IFERROR(__xludf.DUMMYFUNCTION("""COMPUTED_VALUE"""),0.7629837490336033)</f>
        <v>0.762983749</v>
      </c>
      <c r="V661" s="30">
        <f>IFERROR(__xludf.DUMMYFUNCTION("""COMPUTED_VALUE"""),0.5108360518369366)</f>
        <v>0.5108360518</v>
      </c>
      <c r="W661" s="30">
        <f>IFERROR(__xludf.DUMMYFUNCTION("""COMPUTED_VALUE"""),1.22442787480391)</f>
        <v>1.224427875</v>
      </c>
      <c r="X661" s="30">
        <f>IFERROR(__xludf.DUMMYFUNCTION("""COMPUTED_VALUE"""),2.395760512428349)</f>
        <v>2.395760512</v>
      </c>
      <c r="Y661" s="30">
        <f>IFERROR(__xludf.DUMMYFUNCTION("""COMPUTED_VALUE"""),331.9969688463923)</f>
        <v>331.9969688</v>
      </c>
      <c r="Z661" s="30">
        <f>IFERROR(__xludf.DUMMYFUNCTION("""COMPUTED_VALUE"""),0.757755919286062)</f>
        <v>0.7577559193</v>
      </c>
      <c r="AA661" s="30">
        <f>IFERROR(__xludf.DUMMYFUNCTION("""COMPUTED_VALUE"""),0.5178722744764507)</f>
        <v>0.5178722745</v>
      </c>
      <c r="AB661" s="30">
        <f>IFERROR(__xludf.DUMMYFUNCTION("""COMPUTED_VALUE"""),1.2005184037667367)</f>
        <v>1.200518404</v>
      </c>
      <c r="AC661" s="30">
        <f>IFERROR(__xludf.DUMMYFUNCTION("""COMPUTED_VALUE"""),2.4270123566212893)</f>
        <v>2.427012357</v>
      </c>
      <c r="AD661" s="30">
        <f>IFERROR(__xludf.DUMMYFUNCTION("""COMPUTED_VALUE"""),0.921695162047035)</f>
        <v>0.921695162</v>
      </c>
      <c r="AE661" s="30">
        <f>IFERROR(__xludf.DUMMYFUNCTION("""COMPUTED_VALUE"""),0.9012490854729696)</f>
        <v>0.9012490855</v>
      </c>
      <c r="AF661" s="30">
        <f>IFERROR(__xludf.DUMMYFUNCTION("""COMPUTED_VALUE"""),0.8948434913122858)</f>
        <v>0.8948434913</v>
      </c>
      <c r="AG661" s="30">
        <f>IFERROR(__xludf.DUMMYFUNCTION("""COMPUTED_VALUE"""),0.8939227656486943)</f>
        <v>0.8939227656</v>
      </c>
      <c r="AH661" s="30">
        <f>IFERROR(__xludf.DUMMYFUNCTION("""COMPUTED_VALUE"""),0.814008940130763)</f>
        <v>0.8140089401</v>
      </c>
      <c r="AI661" s="30">
        <f>IFERROR(__xludf.DUMMYFUNCTION("""COMPUTED_VALUE"""),1.0417885279345247)</f>
        <v>1.041788528</v>
      </c>
      <c r="AJ661" s="30">
        <f>IFERROR(__xludf.DUMMYFUNCTION("""COMPUTED_VALUE"""),1.2573656971213985)</f>
        <v>1.257365697</v>
      </c>
      <c r="AK661" s="30">
        <f>IFERROR(__xludf.DUMMYFUNCTION("""COMPUTED_VALUE"""),1.1936434309370458)</f>
        <v>1.193643431</v>
      </c>
      <c r="AL661" s="30">
        <f>IFERROR(__xludf.DUMMYFUNCTION("""COMPUTED_VALUE"""),0.8831069883812461)</f>
        <v>0.8831069884</v>
      </c>
      <c r="AM661" s="30">
        <f>IFERROR(__xludf.DUMMYFUNCTION("""COMPUTED_VALUE"""),1.0757484978101717)</f>
        <v>1.075748498</v>
      </c>
      <c r="AN661" s="30">
        <f>IFERROR(__xludf.DUMMYFUNCTION("""COMPUTED_VALUE"""),0.9406138754474009)</f>
        <v>0.9406138754</v>
      </c>
      <c r="AO661" s="30">
        <f>IFERROR(__xludf.DUMMYFUNCTION("""COMPUTED_VALUE"""),0.9344360193130614)</f>
        <v>0.9344360193</v>
      </c>
      <c r="AP661" s="30">
        <f>IFERROR(__xludf.DUMMYFUNCTION("""COMPUTED_VALUE"""),0.8988721159643762)</f>
        <v>0.898872116</v>
      </c>
      <c r="AQ661" s="30">
        <f>IFERROR(__xludf.DUMMYFUNCTION("""COMPUTED_VALUE"""),0.8900706215783927)</f>
        <v>0.8900706216</v>
      </c>
      <c r="AR661" s="30">
        <f>IFERROR(__xludf.DUMMYFUNCTION("""COMPUTED_VALUE"""),0.830235363616153)</f>
        <v>0.8302353636</v>
      </c>
      <c r="AS661" s="30">
        <f>IFERROR(__xludf.DUMMYFUNCTION("""COMPUTED_VALUE"""),78.0)</f>
        <v>78</v>
      </c>
      <c r="AT661" s="30">
        <f>IFERROR(__xludf.DUMMYFUNCTION("""COMPUTED_VALUE"""),0.34330289379371076)</f>
        <v>0.3433028938</v>
      </c>
      <c r="AU661" s="30">
        <f>IFERROR(__xludf.DUMMYFUNCTION("""COMPUTED_VALUE"""),2.253585805887014)</f>
        <v>2.253585806</v>
      </c>
      <c r="AV661" s="32">
        <f>IFERROR(__xludf.DUMMYFUNCTION("""COMPUTED_VALUE"""),34.60854815517889)</f>
        <v>34.60854816</v>
      </c>
      <c r="AW661" s="32">
        <f>IFERROR(__xludf.DUMMYFUNCTION("""COMPUTED_VALUE"""),-3.7166416500794397)</f>
        <v>-3.71664165</v>
      </c>
      <c r="AX661" s="32">
        <f>IFERROR(__xludf.DUMMYFUNCTION("""COMPUTED_VALUE"""),39.80688192205466)</f>
        <v>39.80688192</v>
      </c>
      <c r="AY661" s="32">
        <f>IFERROR(__xludf.DUMMYFUNCTION("""COMPUTED_VALUE"""),-2.92621925354135)</f>
        <v>-2.926219254</v>
      </c>
      <c r="AZ661" s="30">
        <f>IFERROR(__xludf.DUMMYFUNCTION("""COMPUTED_VALUE"""),0.7904223965380899)</f>
        <v>0.7904223965</v>
      </c>
      <c r="BA661" s="30">
        <f>IFERROR(__xludf.DUMMYFUNCTION("""COMPUTED_VALUE"""),2300.0)</f>
        <v>2300</v>
      </c>
    </row>
    <row r="662">
      <c r="A662" s="71" t="str">
        <f>IFERROR(__xludf.DUMMYFUNCTION("""COMPUTED_VALUE"""),"Challenger")</f>
        <v>Challenger</v>
      </c>
      <c r="B662" s="71" t="str">
        <f>IFERROR(__xludf.DUMMYFUNCTION("""COMPUTED_VALUE"""),"RSC000967")</f>
        <v>RSC000967</v>
      </c>
      <c r="C662" s="30" t="str">
        <f>IFERROR(__xludf.DUMMYFUNCTION("""COMPUTED_VALUE"""),"tr1ppn")</f>
        <v>tr1ppn</v>
      </c>
      <c r="D662" s="30" t="str">
        <f>IFERROR(__xludf.DUMMYFUNCTION("""COMPUTED_VALUE"""),"Bingo")</f>
        <v>Bingo</v>
      </c>
      <c r="E662" s="30">
        <f>IFERROR(__xludf.DUMMYFUNCTION("""COMPUTED_VALUE"""),46.0)</f>
        <v>46</v>
      </c>
      <c r="F662" s="30">
        <f>IFERROR(__xludf.DUMMYFUNCTION("""COMPUTED_VALUE"""),16.0)</f>
        <v>16</v>
      </c>
      <c r="G662" s="42">
        <f>IFERROR(__xludf.DUMMYFUNCTION("""COMPUTED_VALUE"""),30.0)</f>
        <v>30</v>
      </c>
      <c r="H662" s="42">
        <f>IFERROR(__xludf.DUMMYFUNCTION("""COMPUTED_VALUE"""),0.34782608695652173)</f>
        <v>0.347826087</v>
      </c>
      <c r="I662" s="42">
        <f>IFERROR(__xludf.DUMMYFUNCTION("""COMPUTED_VALUE"""),0.3)</f>
        <v>0.3</v>
      </c>
      <c r="J662" s="30">
        <f>IFERROR(__xludf.DUMMYFUNCTION("""COMPUTED_VALUE"""),307.8695652173913)</f>
        <v>307.8695652</v>
      </c>
      <c r="K662" s="30">
        <f>IFERROR(__xludf.DUMMYFUNCTION("""COMPUTED_VALUE"""),0.717391304347826)</f>
        <v>0.7173913043</v>
      </c>
      <c r="L662" s="30">
        <f>IFERROR(__xludf.DUMMYFUNCTION("""COMPUTED_VALUE"""),0.45652173913043476)</f>
        <v>0.4565217391</v>
      </c>
      <c r="M662" s="30">
        <f>IFERROR(__xludf.DUMMYFUNCTION("""COMPUTED_VALUE"""),1.065217391304348)</f>
        <v>1.065217391</v>
      </c>
      <c r="N662" s="30">
        <f>IFERROR(__xludf.DUMMYFUNCTION("""COMPUTED_VALUE"""),2.391304347826087)</f>
        <v>2.391304348</v>
      </c>
      <c r="O662" s="30">
        <f>IFERROR(__xludf.DUMMYFUNCTION("""COMPUTED_VALUE"""),360.4710144927536)</f>
        <v>360.4710145</v>
      </c>
      <c r="P662" s="30">
        <f>IFERROR(__xludf.DUMMYFUNCTION("""COMPUTED_VALUE"""),0.9710144927536233)</f>
        <v>0.9710144928</v>
      </c>
      <c r="Q662" s="30">
        <f>IFERROR(__xludf.DUMMYFUNCTION("""COMPUTED_VALUE"""),0.6956521739130433)</f>
        <v>0.6956521739</v>
      </c>
      <c r="R662" s="30">
        <f>IFERROR(__xludf.DUMMYFUNCTION("""COMPUTED_VALUE"""),1.0144927536231882)</f>
        <v>1.014492754</v>
      </c>
      <c r="S662" s="30">
        <f>IFERROR(__xludf.DUMMYFUNCTION("""COMPUTED_VALUE"""),2.898550724637681)</f>
        <v>2.898550725</v>
      </c>
      <c r="T662" s="30">
        <f>IFERROR(__xludf.DUMMYFUNCTION("""COMPUTED_VALUE"""),343.7385225290139)</f>
        <v>343.7385225</v>
      </c>
      <c r="U662" s="30">
        <f>IFERROR(__xludf.DUMMYFUNCTION("""COMPUTED_VALUE"""),0.8037256753369837)</f>
        <v>0.8037256753</v>
      </c>
      <c r="V662" s="30">
        <f>IFERROR(__xludf.DUMMYFUNCTION("""COMPUTED_VALUE"""),0.579200325670981)</f>
        <v>0.5792003257</v>
      </c>
      <c r="W662" s="30">
        <f>IFERROR(__xludf.DUMMYFUNCTION("""COMPUTED_VALUE"""),1.2158796954918318)</f>
        <v>1.215879695</v>
      </c>
      <c r="X662" s="30">
        <f>IFERROR(__xludf.DUMMYFUNCTION("""COMPUTED_VALUE"""),2.607186991794338)</f>
        <v>2.607186992</v>
      </c>
      <c r="Y662" s="30">
        <f>IFERROR(__xludf.DUMMYFUNCTION("""COMPUTED_VALUE"""),332.97895418962815)</f>
        <v>332.9789542</v>
      </c>
      <c r="Z662" s="30">
        <f>IFERROR(__xludf.DUMMYFUNCTION("""COMPUTED_VALUE"""),0.7179966170978205)</f>
        <v>0.7179966171</v>
      </c>
      <c r="AA662" s="30">
        <f>IFERROR(__xludf.DUMMYFUNCTION("""COMPUTED_VALUE"""),0.5016594781031449)</f>
        <v>0.5016594781</v>
      </c>
      <c r="AB662" s="30">
        <f>IFERROR(__xludf.DUMMYFUNCTION("""COMPUTED_VALUE"""),1.2914406969282641)</f>
        <v>1.291440697</v>
      </c>
      <c r="AC662" s="30">
        <f>IFERROR(__xludf.DUMMYFUNCTION("""COMPUTED_VALUE"""),2.3803917459022914)</f>
        <v>2.380391746</v>
      </c>
      <c r="AD662" s="30">
        <f>IFERROR(__xludf.DUMMYFUNCTION("""COMPUTED_VALUE"""),0.9245916636583065)</f>
        <v>0.9245916637</v>
      </c>
      <c r="AE662" s="30">
        <f>IFERROR(__xludf.DUMMYFUNCTION("""COMPUTED_VALUE"""),0.9991569420585279)</f>
        <v>0.9991569421</v>
      </c>
      <c r="AF662" s="30">
        <f>IFERROR(__xludf.DUMMYFUNCTION("""COMPUTED_VALUE"""),0.9100231512750776)</f>
        <v>0.9100231513</v>
      </c>
      <c r="AG662" s="30">
        <f>IFERROR(__xludf.DUMMYFUNCTION("""COMPUTED_VALUE"""),0.8248287310737565)</f>
        <v>0.8248287311</v>
      </c>
      <c r="AH662" s="30">
        <f>IFERROR(__xludf.DUMMYFUNCTION("""COMPUTED_VALUE"""),1.0045843722751018)</f>
        <v>1.004584372</v>
      </c>
      <c r="AI662" s="30">
        <f>IFERROR(__xludf.DUMMYFUNCTION("""COMPUTED_VALUE"""),1.0486779655670608)</f>
        <v>1.048677966</v>
      </c>
      <c r="AJ662" s="30">
        <f>IFERROR(__xludf.DUMMYFUNCTION("""COMPUTED_VALUE"""),1.2081416863365715)</f>
        <v>1.208141686</v>
      </c>
      <c r="AK662" s="30">
        <f>IFERROR(__xludf.DUMMYFUNCTION("""COMPUTED_VALUE"""),1.201056254771883)</f>
        <v>1.201056255</v>
      </c>
      <c r="AL662" s="30">
        <f>IFERROR(__xludf.DUMMYFUNCTION("""COMPUTED_VALUE"""),0.8343693519882481)</f>
        <v>0.834369352</v>
      </c>
      <c r="AM662" s="30">
        <f>IFERROR(__xludf.DUMMYFUNCTION("""COMPUTED_VALUE"""),1.1117540605105651)</f>
        <v>1.111754061</v>
      </c>
      <c r="AN662" s="30">
        <f>IFERROR(__xludf.DUMMYFUNCTION("""COMPUTED_VALUE"""),0.9463607348739765)</f>
        <v>0.9463607349</v>
      </c>
      <c r="AO662" s="30">
        <f>IFERROR(__xludf.DUMMYFUNCTION("""COMPUTED_VALUE"""),0.9815931165610031)</f>
        <v>0.9815931166</v>
      </c>
      <c r="AP662" s="30">
        <f>IFERROR(__xludf.DUMMYFUNCTION("""COMPUTED_VALUE"""),0.885502164582755)</f>
        <v>0.8855021646</v>
      </c>
      <c r="AQ662" s="30">
        <f>IFERROR(__xludf.DUMMYFUNCTION("""COMPUTED_VALUE"""),0.8834742483947584)</f>
        <v>0.8834742484</v>
      </c>
      <c r="AR662" s="30">
        <f>IFERROR(__xludf.DUMMYFUNCTION("""COMPUTED_VALUE"""),1.0049279361000671)</f>
        <v>1.004927936</v>
      </c>
      <c r="AS662" s="30">
        <f>IFERROR(__xludf.DUMMYFUNCTION("""COMPUTED_VALUE"""),88.0)</f>
        <v>88</v>
      </c>
      <c r="AT662" s="30">
        <f>IFERROR(__xludf.DUMMYFUNCTION("""COMPUTED_VALUE"""),0.3405972174555942)</f>
        <v>0.3405972175</v>
      </c>
      <c r="AU662" s="30">
        <f>IFERROR(__xludf.DUMMYFUNCTION("""COMPUTED_VALUE"""),2.5560205364024706)</f>
        <v>2.556020536</v>
      </c>
      <c r="AV662" s="32">
        <f>IFERROR(__xludf.DUMMYFUNCTION("""COMPUTED_VALUE"""),42.50156859939693)</f>
        <v>42.5015686</v>
      </c>
      <c r="AW662" s="32">
        <f>IFERROR(__xludf.DUMMYFUNCTION("""COMPUTED_VALUE"""),-2.617030271252521)</f>
        <v>-2.617030271</v>
      </c>
      <c r="AX662" s="32">
        <f>IFERROR(__xludf.DUMMYFUNCTION("""COMPUTED_VALUE"""),36.487680303354026)</f>
        <v>36.4876803</v>
      </c>
      <c r="AY662" s="32">
        <f>IFERROR(__xludf.DUMMYFUNCTION("""COMPUTED_VALUE"""),-3.3964089876890595)</f>
        <v>-3.396408988</v>
      </c>
      <c r="AZ662" s="30">
        <f>IFERROR(__xludf.DUMMYFUNCTION("""COMPUTED_VALUE"""),0.7793787164365384)</f>
        <v>0.7793787164</v>
      </c>
      <c r="BA662" s="30">
        <f>IFERROR(__xludf.DUMMYFUNCTION("""COMPUTED_VALUE"""),2300.0)</f>
        <v>2300</v>
      </c>
    </row>
    <row r="663">
      <c r="A663" s="71" t="str">
        <f>IFERROR(__xludf.DUMMYFUNCTION("""COMPUTED_VALUE"""),"Challenger")</f>
        <v>Challenger</v>
      </c>
      <c r="B663" s="71" t="str">
        <f>IFERROR(__xludf.DUMMYFUNCTION("""COMPUTED_VALUE"""),"RSC007093")</f>
        <v>RSC007093</v>
      </c>
      <c r="C663" s="30" t="str">
        <f>IFERROR(__xludf.DUMMYFUNCTION("""COMPUTED_VALUE"""),"Mangy")</f>
        <v>Mangy</v>
      </c>
      <c r="D663" s="30" t="str">
        <f>IFERROR(__xludf.DUMMYFUNCTION("""COMPUTED_VALUE"""),"Meat Lovers")</f>
        <v>Meat Lovers</v>
      </c>
      <c r="E663" s="30">
        <f>IFERROR(__xludf.DUMMYFUNCTION("""COMPUTED_VALUE"""),44.0)</f>
        <v>44</v>
      </c>
      <c r="F663" s="30">
        <f>IFERROR(__xludf.DUMMYFUNCTION("""COMPUTED_VALUE"""),33.0)</f>
        <v>33</v>
      </c>
      <c r="G663" s="42">
        <f>IFERROR(__xludf.DUMMYFUNCTION("""COMPUTED_VALUE"""),11.0)</f>
        <v>11</v>
      </c>
      <c r="H663" s="42">
        <f>IFERROR(__xludf.DUMMYFUNCTION("""COMPUTED_VALUE"""),0.75)</f>
        <v>0.75</v>
      </c>
      <c r="I663" s="42">
        <f>IFERROR(__xludf.DUMMYFUNCTION("""COMPUTED_VALUE"""),0.32)</f>
        <v>0.32</v>
      </c>
      <c r="J663" s="30">
        <f>IFERROR(__xludf.DUMMYFUNCTION("""COMPUTED_VALUE"""),383.0681818181818)</f>
        <v>383.0681818</v>
      </c>
      <c r="K663" s="30">
        <f>IFERROR(__xludf.DUMMYFUNCTION("""COMPUTED_VALUE"""),0.9090909090909091)</f>
        <v>0.9090909091</v>
      </c>
      <c r="L663" s="30">
        <f>IFERROR(__xludf.DUMMYFUNCTION("""COMPUTED_VALUE"""),0.7727272727272727)</f>
        <v>0.7727272727</v>
      </c>
      <c r="M663" s="30">
        <f>IFERROR(__xludf.DUMMYFUNCTION("""COMPUTED_VALUE"""),1.3409090909090908)</f>
        <v>1.340909091</v>
      </c>
      <c r="N663" s="30">
        <f>IFERROR(__xludf.DUMMYFUNCTION("""COMPUTED_VALUE"""),2.840909090909091)</f>
        <v>2.840909091</v>
      </c>
      <c r="O663" s="30">
        <f>IFERROR(__xludf.DUMMYFUNCTION("""COMPUTED_VALUE"""),310.1969696969697)</f>
        <v>310.1969697</v>
      </c>
      <c r="P663" s="30">
        <f>IFERROR(__xludf.DUMMYFUNCTION("""COMPUTED_VALUE"""),0.6136363636363636)</f>
        <v>0.6136363636</v>
      </c>
      <c r="Q663" s="30">
        <f>IFERROR(__xludf.DUMMYFUNCTION("""COMPUTED_VALUE"""),0.4696969696969697)</f>
        <v>0.4696969697</v>
      </c>
      <c r="R663" s="30">
        <f>IFERROR(__xludf.DUMMYFUNCTION("""COMPUTED_VALUE"""),1.2348484848484849)</f>
        <v>1.234848485</v>
      </c>
      <c r="S663" s="30">
        <f>IFERROR(__xludf.DUMMYFUNCTION("""COMPUTED_VALUE"""),2.212121212121212)</f>
        <v>2.212121212</v>
      </c>
      <c r="T663" s="30">
        <f>IFERROR(__xludf.DUMMYFUNCTION("""COMPUTED_VALUE"""),319.19423440276023)</f>
        <v>319.1942344</v>
      </c>
      <c r="U663" s="30">
        <f>IFERROR(__xludf.DUMMYFUNCTION("""COMPUTED_VALUE"""),0.6823049595304428)</f>
        <v>0.6823049595</v>
      </c>
      <c r="V663" s="30">
        <f>IFERROR(__xludf.DUMMYFUNCTION("""COMPUTED_VALUE"""),0.4979273934448322)</f>
        <v>0.4979273934</v>
      </c>
      <c r="W663" s="30">
        <f>IFERROR(__xludf.DUMMYFUNCTION("""COMPUTED_VALUE"""),1.2153798128138495)</f>
        <v>1.215379813</v>
      </c>
      <c r="X663" s="30">
        <f>IFERROR(__xludf.DUMMYFUNCTION("""COMPUTED_VALUE"""),2.3588195005396417)</f>
        <v>2.358819501</v>
      </c>
      <c r="Y663" s="30">
        <f>IFERROR(__xludf.DUMMYFUNCTION("""COMPUTED_VALUE"""),341.14528393534437)</f>
        <v>341.1452839</v>
      </c>
      <c r="Z663" s="30">
        <f>IFERROR(__xludf.DUMMYFUNCTION("""COMPUTED_VALUE"""),0.7895447664044561)</f>
        <v>0.7895447664</v>
      </c>
      <c r="AA663" s="30">
        <f>IFERROR(__xludf.DUMMYFUNCTION("""COMPUTED_VALUE"""),0.5677691139360453)</f>
        <v>0.5677691139</v>
      </c>
      <c r="AB663" s="30">
        <f>IFERROR(__xludf.DUMMYFUNCTION("""COMPUTED_VALUE"""),1.2497663252392444)</f>
        <v>1.249766325</v>
      </c>
      <c r="AC663" s="30">
        <f>IFERROR(__xludf.DUMMYFUNCTION("""COMPUTED_VALUE"""),2.4754502133330765)</f>
        <v>2.475450213</v>
      </c>
      <c r="AD663" s="30">
        <f>IFERROR(__xludf.DUMMYFUNCTION("""COMPUTED_VALUE"""),1.1228886924633052)</f>
        <v>1.122888692</v>
      </c>
      <c r="AE663" s="30">
        <f>IFERROR(__xludf.DUMMYFUNCTION("""COMPUTED_VALUE"""),1.1514114813664835)</f>
        <v>1.151411481</v>
      </c>
      <c r="AF663" s="30">
        <f>IFERROR(__xludf.DUMMYFUNCTION("""COMPUTED_VALUE"""),1.3609885669376411)</f>
        <v>1.360988567</v>
      </c>
      <c r="AG663" s="30">
        <f>IFERROR(__xludf.DUMMYFUNCTION("""COMPUTED_VALUE"""),1.0729278456533855)</f>
        <v>1.072927846</v>
      </c>
      <c r="AH663" s="30">
        <f>IFERROR(__xludf.DUMMYFUNCTION("""COMPUTED_VALUE"""),1.147633297412975)</f>
        <v>1.147633297</v>
      </c>
      <c r="AI663" s="30">
        <f>IFERROR(__xludf.DUMMYFUNCTION("""COMPUTED_VALUE"""),0.9718125713560422)</f>
        <v>0.9718125714</v>
      </c>
      <c r="AJ663" s="30">
        <f>IFERROR(__xludf.DUMMYFUNCTION("""COMPUTED_VALUE"""),0.8993579118326557)</f>
        <v>0.8993579118</v>
      </c>
      <c r="AK663" s="30">
        <f>IFERROR(__xludf.DUMMYFUNCTION("""COMPUTED_VALUE"""),0.9433041360657931)</f>
        <v>0.9433041361</v>
      </c>
      <c r="AL663" s="30">
        <f>IFERROR(__xludf.DUMMYFUNCTION("""COMPUTED_VALUE"""),1.0160185909206123)</f>
        <v>1.016018591</v>
      </c>
      <c r="AM663" s="30">
        <f>IFERROR(__xludf.DUMMYFUNCTION("""COMPUTED_VALUE"""),0.9378085994350697)</f>
        <v>0.9378085994</v>
      </c>
      <c r="AN663" s="30">
        <f>IFERROR(__xludf.DUMMYFUNCTION("""COMPUTED_VALUE"""),1.1775138792829727)</f>
        <v>1.177513879</v>
      </c>
      <c r="AO663" s="30">
        <f>IFERROR(__xludf.DUMMYFUNCTION("""COMPUTED_VALUE"""),1.2438921036310233)</f>
        <v>1.243892104</v>
      </c>
      <c r="AP663" s="30">
        <f>IFERROR(__xludf.DUMMYFUNCTION("""COMPUTED_VALUE"""),1.498836997194187)</f>
        <v>1.498836997</v>
      </c>
      <c r="AQ663" s="30">
        <f>IFERROR(__xludf.DUMMYFUNCTION("""COMPUTED_VALUE"""),1.112128529751101)</f>
        <v>1.11212853</v>
      </c>
      <c r="AR663" s="30">
        <f>IFERROR(__xludf.DUMMYFUNCTION("""COMPUTED_VALUE"""),1.193870998465989)</f>
        <v>1.193870998</v>
      </c>
      <c r="AS663" s="30">
        <f>IFERROR(__xludf.DUMMYFUNCTION("""COMPUTED_VALUE"""),132.0)</f>
        <v>132</v>
      </c>
      <c r="AT663" s="30">
        <f>IFERROR(__xludf.DUMMYFUNCTION("""COMPUTED_VALUE"""),0.6830676003092886)</f>
        <v>0.6830676003</v>
      </c>
      <c r="AU663" s="30">
        <f>IFERROR(__xludf.DUMMYFUNCTION("""COMPUTED_VALUE"""),3.9889177788592645)</f>
        <v>3.988917779</v>
      </c>
      <c r="AV663" s="32">
        <f>IFERROR(__xludf.DUMMYFUNCTION("""COMPUTED_VALUE"""),79.8976944011495)</f>
        <v>79.8976944</v>
      </c>
      <c r="AW663" s="32">
        <f>IFERROR(__xludf.DUMMYFUNCTION("""COMPUTED_VALUE"""),8.630639059043792)</f>
        <v>8.630639059</v>
      </c>
      <c r="AX663" s="32">
        <f>IFERROR(__xludf.DUMMYFUNCTION("""COMPUTED_VALUE"""),78.52620332333161)</f>
        <v>78.52620332</v>
      </c>
      <c r="AY663" s="32">
        <f>IFERROR(__xludf.DUMMYFUNCTION("""COMPUTED_VALUE"""),7.878671811272044)</f>
        <v>7.878671811</v>
      </c>
      <c r="AZ663" s="30">
        <f>IFERROR(__xludf.DUMMYFUNCTION("""COMPUTED_VALUE"""),0.7519672477717485)</f>
        <v>0.7519672478</v>
      </c>
      <c r="BA663" s="30">
        <f>IFERROR(__xludf.DUMMYFUNCTION("""COMPUTED_VALUE"""),2300.0)</f>
        <v>2300</v>
      </c>
    </row>
    <row r="664">
      <c r="A664" s="71" t="str">
        <f>IFERROR(__xludf.DUMMYFUNCTION("""COMPUTED_VALUE"""),"Challenger")</f>
        <v>Challenger</v>
      </c>
      <c r="B664" s="71" t="str">
        <f>IFERROR(__xludf.DUMMYFUNCTION("""COMPUTED_VALUE"""),"RSC006346")</f>
        <v>RSC006346</v>
      </c>
      <c r="C664" s="30" t="str">
        <f>IFERROR(__xludf.DUMMYFUNCTION("""COMPUTED_VALUE"""),"MobBossCitrus")</f>
        <v>MobBossCitrus</v>
      </c>
      <c r="D664" s="30" t="str">
        <f>IFERROR(__xludf.DUMMYFUNCTION("""COMPUTED_VALUE"""),"Void")</f>
        <v>Void</v>
      </c>
      <c r="E664" s="30">
        <f>IFERROR(__xludf.DUMMYFUNCTION("""COMPUTED_VALUE"""),39.0)</f>
        <v>39</v>
      </c>
      <c r="F664" s="30">
        <f>IFERROR(__xludf.DUMMYFUNCTION("""COMPUTED_VALUE"""),16.0)</f>
        <v>16</v>
      </c>
      <c r="G664" s="42">
        <f>IFERROR(__xludf.DUMMYFUNCTION("""COMPUTED_VALUE"""),23.0)</f>
        <v>23</v>
      </c>
      <c r="H664" s="42">
        <f>IFERROR(__xludf.DUMMYFUNCTION("""COMPUTED_VALUE"""),0.41025641025641024)</f>
        <v>0.4102564103</v>
      </c>
      <c r="I664" s="42">
        <f>IFERROR(__xludf.DUMMYFUNCTION("""COMPUTED_VALUE"""),0.2666666666666667)</f>
        <v>0.2666666667</v>
      </c>
      <c r="J664" s="30">
        <f>IFERROR(__xludf.DUMMYFUNCTION("""COMPUTED_VALUE"""),290.46153846153845)</f>
        <v>290.4615385</v>
      </c>
      <c r="K664" s="30">
        <f>IFERROR(__xludf.DUMMYFUNCTION("""COMPUTED_VALUE"""),0.6153846153846154)</f>
        <v>0.6153846154</v>
      </c>
      <c r="L664" s="30">
        <f>IFERROR(__xludf.DUMMYFUNCTION("""COMPUTED_VALUE"""),0.46153846153846156)</f>
        <v>0.4615384615</v>
      </c>
      <c r="M664" s="30">
        <f>IFERROR(__xludf.DUMMYFUNCTION("""COMPUTED_VALUE"""),1.0769230769230769)</f>
        <v>1.076923077</v>
      </c>
      <c r="N664" s="30">
        <f>IFERROR(__xludf.DUMMYFUNCTION("""COMPUTED_VALUE"""),2.3076923076923075)</f>
        <v>2.307692308</v>
      </c>
      <c r="O664" s="30">
        <f>IFERROR(__xludf.DUMMYFUNCTION("""COMPUTED_VALUE"""),345.9829059829061)</f>
        <v>345.982906</v>
      </c>
      <c r="P664" s="30">
        <f>IFERROR(__xludf.DUMMYFUNCTION("""COMPUTED_VALUE"""),0.8632478632478634)</f>
        <v>0.8632478632</v>
      </c>
      <c r="Q664" s="30">
        <f>IFERROR(__xludf.DUMMYFUNCTION("""COMPUTED_VALUE"""),0.5299145299145298)</f>
        <v>0.5299145299</v>
      </c>
      <c r="R664" s="30">
        <f>IFERROR(__xludf.DUMMYFUNCTION("""COMPUTED_VALUE"""),1.222222222222222)</f>
        <v>1.222222222</v>
      </c>
      <c r="S664" s="30">
        <f>IFERROR(__xludf.DUMMYFUNCTION("""COMPUTED_VALUE"""),2.29059829059829)</f>
        <v>2.290598291</v>
      </c>
      <c r="T664" s="30">
        <f>IFERROR(__xludf.DUMMYFUNCTION("""COMPUTED_VALUE"""),330.2329485322499)</f>
        <v>330.2329485</v>
      </c>
      <c r="U664" s="30">
        <f>IFERROR(__xludf.DUMMYFUNCTION("""COMPUTED_VALUE"""),0.7460545216089642)</f>
        <v>0.7460545216</v>
      </c>
      <c r="V664" s="30">
        <f>IFERROR(__xludf.DUMMYFUNCTION("""COMPUTED_VALUE"""),0.5270658369113479)</f>
        <v>0.5270658369</v>
      </c>
      <c r="W664" s="30">
        <f>IFERROR(__xludf.DUMMYFUNCTION("""COMPUTED_VALUE"""),1.2074780377588037)</f>
        <v>1.207478038</v>
      </c>
      <c r="X664" s="30">
        <f>IFERROR(__xludf.DUMMYFUNCTION("""COMPUTED_VALUE"""),2.319955974531014)</f>
        <v>2.319955975</v>
      </c>
      <c r="Y664" s="30">
        <f>IFERROR(__xludf.DUMMYFUNCTION("""COMPUTED_VALUE"""),335.6560416264938)</f>
        <v>335.6560416</v>
      </c>
      <c r="Z664" s="30">
        <f>IFERROR(__xludf.DUMMYFUNCTION("""COMPUTED_VALUE"""),0.821920775926154)</f>
        <v>0.8219207759</v>
      </c>
      <c r="AA664" s="30">
        <f>IFERROR(__xludf.DUMMYFUNCTION("""COMPUTED_VALUE"""),0.5469421075199461)</f>
        <v>0.5469421075</v>
      </c>
      <c r="AB664" s="30">
        <f>IFERROR(__xludf.DUMMYFUNCTION("""COMPUTED_VALUE"""),1.1309903019734537)</f>
        <v>1.130990302</v>
      </c>
      <c r="AC664" s="30">
        <f>IFERROR(__xludf.DUMMYFUNCTION("""COMPUTED_VALUE"""),2.5088095592410062)</f>
        <v>2.508809559</v>
      </c>
      <c r="AD664" s="30">
        <f>IFERROR(__xludf.DUMMYFUNCTION("""COMPUTED_VALUE"""),0.8653547156608425)</f>
        <v>0.8653547157</v>
      </c>
      <c r="AE664" s="30">
        <f>IFERROR(__xludf.DUMMYFUNCTION("""COMPUTED_VALUE"""),0.74871524532421)</f>
        <v>0.7487152453</v>
      </c>
      <c r="AF664" s="30">
        <f>IFERROR(__xludf.DUMMYFUNCTION("""COMPUTED_VALUE"""),0.8438524940624178)</f>
        <v>0.8438524941</v>
      </c>
      <c r="AG664" s="30">
        <f>IFERROR(__xludf.DUMMYFUNCTION("""COMPUTED_VALUE"""),0.9521947933982852)</f>
        <v>0.9521947934</v>
      </c>
      <c r="AH664" s="30">
        <f>IFERROR(__xludf.DUMMYFUNCTION("""COMPUTED_VALUE"""),0.9198355846469498)</f>
        <v>0.9198355846</v>
      </c>
      <c r="AI664" s="30">
        <f>IFERROR(__xludf.DUMMYFUNCTION("""COMPUTED_VALUE"""),1.047693476743185)</f>
        <v>1.047693477</v>
      </c>
      <c r="AJ664" s="30">
        <f>IFERROR(__xludf.DUMMYFUNCTION("""COMPUTED_VALUE"""),1.1570841516866037)</f>
        <v>1.157084152</v>
      </c>
      <c r="AK664" s="30">
        <f>IFERROR(__xludf.DUMMYFUNCTION("""COMPUTED_VALUE"""),1.0054048143584404)</f>
        <v>1.005404814</v>
      </c>
      <c r="AL664" s="30">
        <f>IFERROR(__xludf.DUMMYFUNCTION("""COMPUTED_VALUE"""),1.0122107268226468)</f>
        <v>1.012210727</v>
      </c>
      <c r="AM664" s="30">
        <f>IFERROR(__xludf.DUMMYFUNCTION("""COMPUTED_VALUE"""),0.9873455857546355)</f>
        <v>0.9873455858</v>
      </c>
      <c r="AN664" s="30">
        <f>IFERROR(__xludf.DUMMYFUNCTION("""COMPUTED_VALUE"""),0.8928501743814444)</f>
        <v>0.8928501744</v>
      </c>
      <c r="AO664" s="30">
        <f>IFERROR(__xludf.DUMMYFUNCTION("""COMPUTED_VALUE"""),0.8420192701502311)</f>
        <v>0.8420192702</v>
      </c>
      <c r="AP664" s="30">
        <f>IFERROR(__xludf.DUMMYFUNCTION("""COMPUTED_VALUE"""),0.895232957600148)</f>
        <v>0.8952329576</v>
      </c>
      <c r="AQ664" s="30">
        <f>IFERROR(__xludf.DUMMYFUNCTION("""COMPUTED_VALUE"""),0.8931827566188765)</f>
        <v>0.8931827566</v>
      </c>
      <c r="AR664" s="30">
        <f>IFERROR(__xludf.DUMMYFUNCTION("""COMPUTED_VALUE"""),0.9697905956769879)</f>
        <v>0.9697905957</v>
      </c>
      <c r="AS664" s="30">
        <f>IFERROR(__xludf.DUMMYFUNCTION("""COMPUTED_VALUE"""),79.0)</f>
        <v>79</v>
      </c>
      <c r="AT664" s="30">
        <f>IFERROR(__xludf.DUMMYFUNCTION("""COMPUTED_VALUE"""),0.40587313811610354)</f>
        <v>0.4058731381</v>
      </c>
      <c r="AU664" s="30">
        <f>IFERROR(__xludf.DUMMYFUNCTION("""COMPUTED_VALUE"""),2.2952781093633443)</f>
        <v>2.295278109</v>
      </c>
      <c r="AV664" s="32">
        <f>IFERROR(__xludf.DUMMYFUNCTION("""COMPUTED_VALUE"""),35.69664476083112)</f>
        <v>35.69664476</v>
      </c>
      <c r="AW664" s="32">
        <f>IFERROR(__xludf.DUMMYFUNCTION("""COMPUTED_VALUE"""),-3.5259000434493553)</f>
        <v>-3.525900043</v>
      </c>
      <c r="AX664" s="32">
        <f>IFERROR(__xludf.DUMMYFUNCTION("""COMPUTED_VALUE"""),40.95447379721201)</f>
        <v>40.9544738</v>
      </c>
      <c r="AY664" s="32">
        <f>IFERROR(__xludf.DUMMYFUNCTION("""COMPUTED_VALUE"""),-2.7875117603125155)</f>
        <v>-2.78751176</v>
      </c>
      <c r="AZ664" s="30">
        <f>IFERROR(__xludf.DUMMYFUNCTION("""COMPUTED_VALUE"""),0.7383882831368398)</f>
        <v>0.7383882831</v>
      </c>
      <c r="BA664" s="30">
        <f>IFERROR(__xludf.DUMMYFUNCTION("""COMPUTED_VALUE"""),2300.0)</f>
        <v>2300</v>
      </c>
    </row>
    <row r="665">
      <c r="A665" s="71" t="str">
        <f>IFERROR(__xludf.DUMMYFUNCTION("""COMPUTED_VALUE"""),"Challenger")</f>
        <v>Challenger</v>
      </c>
      <c r="B665" s="71" t="str">
        <f>IFERROR(__xludf.DUMMYFUNCTION("""COMPUTED_VALUE"""),"RSC007370")</f>
        <v>RSC007370</v>
      </c>
      <c r="C665" s="30" t="str">
        <f>IFERROR(__xludf.DUMMYFUNCTION("""COMPUTED_VALUE"""),"Jarrod81535")</f>
        <v>Jarrod81535</v>
      </c>
      <c r="D665" s="30" t="str">
        <f>IFERROR(__xludf.DUMMYFUNCTION("""COMPUTED_VALUE"""),"Trippy Hippies")</f>
        <v>Trippy Hippies</v>
      </c>
      <c r="E665" s="30">
        <f>IFERROR(__xludf.DUMMYFUNCTION("""COMPUTED_VALUE"""),43.0)</f>
        <v>43</v>
      </c>
      <c r="F665" s="30">
        <f>IFERROR(__xludf.DUMMYFUNCTION("""COMPUTED_VALUE"""),21.0)</f>
        <v>21</v>
      </c>
      <c r="G665" s="42">
        <f>IFERROR(__xludf.DUMMYFUNCTION("""COMPUTED_VALUE"""),22.0)</f>
        <v>22</v>
      </c>
      <c r="H665" s="42">
        <f>IFERROR(__xludf.DUMMYFUNCTION("""COMPUTED_VALUE"""),0.4883720930232558)</f>
        <v>0.488372093</v>
      </c>
      <c r="I665" s="42">
        <f>IFERROR(__xludf.DUMMYFUNCTION("""COMPUTED_VALUE"""),0.26829268292682923)</f>
        <v>0.2682926829</v>
      </c>
      <c r="J665" s="30">
        <f>IFERROR(__xludf.DUMMYFUNCTION("""COMPUTED_VALUE"""),284.12820512820514)</f>
        <v>284.1282051</v>
      </c>
      <c r="K665" s="30">
        <f>IFERROR(__xludf.DUMMYFUNCTION("""COMPUTED_VALUE"""),0.5641025641025641)</f>
        <v>0.5641025641</v>
      </c>
      <c r="L665" s="30">
        <f>IFERROR(__xludf.DUMMYFUNCTION("""COMPUTED_VALUE"""),0.41025641025641024)</f>
        <v>0.4102564103</v>
      </c>
      <c r="M665" s="30">
        <f>IFERROR(__xludf.DUMMYFUNCTION("""COMPUTED_VALUE"""),1.2820512820512822)</f>
        <v>1.282051282</v>
      </c>
      <c r="N665" s="30">
        <f>IFERROR(__xludf.DUMMYFUNCTION("""COMPUTED_VALUE"""),2.1025641025641026)</f>
        <v>2.102564103</v>
      </c>
      <c r="O665" s="30">
        <f>IFERROR(__xludf.DUMMYFUNCTION("""COMPUTED_VALUE"""),321.9230769230769)</f>
        <v>321.9230769</v>
      </c>
      <c r="P665" s="30">
        <f>IFERROR(__xludf.DUMMYFUNCTION("""COMPUTED_VALUE"""),0.7606837606837608)</f>
        <v>0.7606837607</v>
      </c>
      <c r="Q665" s="30">
        <f>IFERROR(__xludf.DUMMYFUNCTION("""COMPUTED_VALUE"""),0.5128205128205128)</f>
        <v>0.5128205128</v>
      </c>
      <c r="R665" s="30">
        <f>IFERROR(__xludf.DUMMYFUNCTION("""COMPUTED_VALUE"""),1.2564102564102562)</f>
        <v>1.256410256</v>
      </c>
      <c r="S665" s="30">
        <f>IFERROR(__xludf.DUMMYFUNCTION("""COMPUTED_VALUE"""),2.3504273504273505)</f>
        <v>2.35042735</v>
      </c>
      <c r="T665" s="30">
        <f>IFERROR(__xludf.DUMMYFUNCTION("""COMPUTED_VALUE"""),339.0499538935875)</f>
        <v>339.0499539</v>
      </c>
      <c r="U665" s="30">
        <f>IFERROR(__xludf.DUMMYFUNCTION("""COMPUTED_VALUE"""),0.7541753925789919)</f>
        <v>0.7541753926</v>
      </c>
      <c r="V665" s="30">
        <f>IFERROR(__xludf.DUMMYFUNCTION("""COMPUTED_VALUE"""),0.5347976422370644)</f>
        <v>0.5347976422</v>
      </c>
      <c r="W665" s="30">
        <f>IFERROR(__xludf.DUMMYFUNCTION("""COMPUTED_VALUE"""),1.3085491842902734)</f>
        <v>1.308549184</v>
      </c>
      <c r="X665" s="30">
        <f>IFERROR(__xludf.DUMMYFUNCTION("""COMPUTED_VALUE"""),2.3718535106493834)</f>
        <v>2.371853511</v>
      </c>
      <c r="Y665" s="30">
        <f>IFERROR(__xludf.DUMMYFUNCTION("""COMPUTED_VALUE"""),335.85269072649305)</f>
        <v>335.8526907</v>
      </c>
      <c r="Z665" s="30">
        <f>IFERROR(__xludf.DUMMYFUNCTION("""COMPUTED_VALUE"""),0.7679242750240565)</f>
        <v>0.767924275</v>
      </c>
      <c r="AA665" s="30">
        <f>IFERROR(__xludf.DUMMYFUNCTION("""COMPUTED_VALUE"""),0.5373612601002312)</f>
        <v>0.5373612601</v>
      </c>
      <c r="AB665" s="30">
        <f>IFERROR(__xludf.DUMMYFUNCTION("""COMPUTED_VALUE"""),1.1961684352744022)</f>
        <v>1.196168435</v>
      </c>
      <c r="AC665" s="30">
        <f>IFERROR(__xludf.DUMMYFUNCTION("""COMPUTED_VALUE"""),2.542658866210093)</f>
        <v>2.542658866</v>
      </c>
      <c r="AD665" s="30">
        <f>IFERROR(__xludf.DUMMYFUNCTION("""COMPUTED_VALUE"""),0.8459905576864633)</f>
        <v>0.8459905577</v>
      </c>
      <c r="AE665" s="30">
        <f>IFERROR(__xludf.DUMMYFUNCTION("""COMPUTED_VALUE"""),0.734580976861153)</f>
        <v>0.7345809769</v>
      </c>
      <c r="AF665" s="30">
        <f>IFERROR(__xludf.DUMMYFUNCTION("""COMPUTED_VALUE"""),0.763464806115512)</f>
        <v>0.7634648061</v>
      </c>
      <c r="AG665" s="30">
        <f>IFERROR(__xludf.DUMMYFUNCTION("""COMPUTED_VALUE"""),1.0717982888063573)</f>
        <v>1.071798289</v>
      </c>
      <c r="AH665" s="30">
        <f>IFERROR(__xludf.DUMMYFUNCTION("""COMPUTED_VALUE"""),0.8269155294504904)</f>
        <v>0.8269155295</v>
      </c>
      <c r="AI665" s="30">
        <f>IFERROR(__xludf.DUMMYFUNCTION("""COMPUTED_VALUE"""),0.9494856826440214)</f>
        <v>0.9494856826</v>
      </c>
      <c r="AJ665" s="30">
        <f>IFERROR(__xludf.DUMMYFUNCTION("""COMPUTED_VALUE"""),1.0086297805110198)</f>
        <v>1.008629781</v>
      </c>
      <c r="AK665" s="30">
        <f>IFERROR(__xludf.DUMMYFUNCTION("""COMPUTED_VALUE"""),0.95890570997168)</f>
        <v>0.95890571</v>
      </c>
      <c r="AL665" s="30">
        <f>IFERROR(__xludf.DUMMYFUNCTION("""COMPUTED_VALUE"""),0.9601551638211473)</f>
        <v>0.9601551638</v>
      </c>
      <c r="AM665" s="30">
        <f>IFERROR(__xludf.DUMMYFUNCTION("""COMPUTED_VALUE"""),0.9909664909212008)</f>
        <v>0.9909664909</v>
      </c>
      <c r="AN665" s="30">
        <f>IFERROR(__xludf.DUMMYFUNCTION("""COMPUTED_VALUE"""),0.8733821312076966)</f>
        <v>0.8733821312</v>
      </c>
      <c r="AO665" s="30">
        <f>IFERROR(__xludf.DUMMYFUNCTION("""COMPUTED_VALUE"""),0.7718509976377118)</f>
        <v>0.7718509976</v>
      </c>
      <c r="AP665" s="30">
        <f>IFERROR(__xludf.DUMMYFUNCTION("""COMPUTED_VALUE"""),0.7957626289779093)</f>
        <v>0.795762629</v>
      </c>
      <c r="AQ665" s="30">
        <f>IFERROR(__xludf.DUMMYFUNCTION("""COMPUTED_VALUE"""),1.0633128054986627)</f>
        <v>1.063312805</v>
      </c>
      <c r="AR665" s="30">
        <f>IFERROR(__xludf.DUMMYFUNCTION("""COMPUTED_VALUE"""),0.8835869871723668)</f>
        <v>0.8835869872</v>
      </c>
      <c r="AS665" s="30">
        <f>IFERROR(__xludf.DUMMYFUNCTION("""COMPUTED_VALUE"""),86.0)</f>
        <v>86</v>
      </c>
      <c r="AT665" s="30">
        <f>IFERROR(__xludf.DUMMYFUNCTION("""COMPUTED_VALUE"""),0.4500987561892207)</f>
        <v>0.4500987562</v>
      </c>
      <c r="AU665" s="30">
        <f>IFERROR(__xludf.DUMMYFUNCTION("""COMPUTED_VALUE"""),2.1529435943000736)</f>
        <v>2.152943594</v>
      </c>
      <c r="AV665" s="32">
        <f>IFERROR(__xludf.DUMMYFUNCTION("""COMPUTED_VALUE"""),31.98196147892927)</f>
        <v>31.98196148</v>
      </c>
      <c r="AW665" s="32">
        <f>IFERROR(__xludf.DUMMYFUNCTION("""COMPUTED_VALUE"""),-4.245555667526405)</f>
        <v>-4.245555668</v>
      </c>
      <c r="AX665" s="32">
        <f>IFERROR(__xludf.DUMMYFUNCTION("""COMPUTED_VALUE"""),29.111765996395523)</f>
        <v>29.111766</v>
      </c>
      <c r="AY665" s="32">
        <f>IFERROR(__xludf.DUMMYFUNCTION("""COMPUTED_VALUE"""),-4.957615816698996)</f>
        <v>-4.957615817</v>
      </c>
      <c r="AZ665" s="30">
        <f>IFERROR(__xludf.DUMMYFUNCTION("""COMPUTED_VALUE"""),0.7120601491725909)</f>
        <v>0.7120601492</v>
      </c>
      <c r="BA665" s="30">
        <f>IFERROR(__xludf.DUMMYFUNCTION("""COMPUTED_VALUE"""),2300.0)</f>
        <v>2300</v>
      </c>
    </row>
    <row r="666">
      <c r="A666" s="71" t="str">
        <f>IFERROR(__xludf.DUMMYFUNCTION("""COMPUTED_VALUE"""),"Challenger")</f>
        <v>Challenger</v>
      </c>
      <c r="B666" s="71" t="str">
        <f>IFERROR(__xludf.DUMMYFUNCTION("""COMPUTED_VALUE"""),"RSC007824")</f>
        <v>RSC007824</v>
      </c>
      <c r="C666" s="30" t="str">
        <f>IFERROR(__xludf.DUMMYFUNCTION("""COMPUTED_VALUE"""),"Akki404")</f>
        <v>Akki404</v>
      </c>
      <c r="D666" s="30" t="str">
        <f>IFERROR(__xludf.DUMMYFUNCTION("""COMPUTED_VALUE"""),"Squalls")</f>
        <v>Squalls</v>
      </c>
      <c r="E666" s="30">
        <f>IFERROR(__xludf.DUMMYFUNCTION("""COMPUTED_VALUE"""),47.0)</f>
        <v>47</v>
      </c>
      <c r="F666" s="30">
        <f>IFERROR(__xludf.DUMMYFUNCTION("""COMPUTED_VALUE"""),15.0)</f>
        <v>15</v>
      </c>
      <c r="G666" s="42">
        <f>IFERROR(__xludf.DUMMYFUNCTION("""COMPUTED_VALUE"""),32.0)</f>
        <v>32</v>
      </c>
      <c r="H666" s="42">
        <f>IFERROR(__xludf.DUMMYFUNCTION("""COMPUTED_VALUE"""),0.3191489361702128)</f>
        <v>0.3191489362</v>
      </c>
      <c r="I666" s="42">
        <f>IFERROR(__xludf.DUMMYFUNCTION("""COMPUTED_VALUE"""),0.36)</f>
        <v>0.36</v>
      </c>
      <c r="J666" s="30">
        <f>IFERROR(__xludf.DUMMYFUNCTION("""COMPUTED_VALUE"""),384.17021276595744)</f>
        <v>384.1702128</v>
      </c>
      <c r="K666" s="30">
        <f>IFERROR(__xludf.DUMMYFUNCTION("""COMPUTED_VALUE"""),0.7659574468085106)</f>
        <v>0.7659574468</v>
      </c>
      <c r="L666" s="30">
        <f>IFERROR(__xludf.DUMMYFUNCTION("""COMPUTED_VALUE"""),0.5957446808510638)</f>
        <v>0.5957446809</v>
      </c>
      <c r="M666" s="30">
        <f>IFERROR(__xludf.DUMMYFUNCTION("""COMPUTED_VALUE"""),1.5957446808510638)</f>
        <v>1.595744681</v>
      </c>
      <c r="N666" s="30">
        <f>IFERROR(__xludf.DUMMYFUNCTION("""COMPUTED_VALUE"""),2.127659574468085)</f>
        <v>2.127659574</v>
      </c>
      <c r="O666" s="30">
        <f>IFERROR(__xludf.DUMMYFUNCTION("""COMPUTED_VALUE"""),359.6879432624114)</f>
        <v>359.6879433</v>
      </c>
      <c r="P666" s="30">
        <f>IFERROR(__xludf.DUMMYFUNCTION("""COMPUTED_VALUE"""),0.9716312056737592)</f>
        <v>0.9716312057</v>
      </c>
      <c r="Q666" s="30">
        <f>IFERROR(__xludf.DUMMYFUNCTION("""COMPUTED_VALUE"""),0.702127659574468)</f>
        <v>0.7021276596</v>
      </c>
      <c r="R666" s="30">
        <f>IFERROR(__xludf.DUMMYFUNCTION("""COMPUTED_VALUE"""),0.9929078014184397)</f>
        <v>0.9929078014</v>
      </c>
      <c r="S666" s="30">
        <f>IFERROR(__xludf.DUMMYFUNCTION("""COMPUTED_VALUE"""),2.9078014184397167)</f>
        <v>2.907801418</v>
      </c>
      <c r="T666" s="30">
        <f>IFERROR(__xludf.DUMMYFUNCTION("""COMPUTED_VALUE"""),342.12391178831854)</f>
        <v>342.1239118</v>
      </c>
      <c r="U666" s="30">
        <f>IFERROR(__xludf.DUMMYFUNCTION("""COMPUTED_VALUE"""),0.7974276299271988)</f>
        <v>0.7974276299</v>
      </c>
      <c r="V666" s="30">
        <f>IFERROR(__xludf.DUMMYFUNCTION("""COMPUTED_VALUE"""),0.5710829700777862)</f>
        <v>0.5710829701</v>
      </c>
      <c r="W666" s="30">
        <f>IFERROR(__xludf.DUMMYFUNCTION("""COMPUTED_VALUE"""),1.2120867022921555)</f>
        <v>1.212086702</v>
      </c>
      <c r="X666" s="30">
        <f>IFERROR(__xludf.DUMMYFUNCTION("""COMPUTED_VALUE"""),2.597664382240995)</f>
        <v>2.597664382</v>
      </c>
      <c r="Y666" s="30">
        <f>IFERROR(__xludf.DUMMYFUNCTION("""COMPUTED_VALUE"""),333.3960417122332)</f>
        <v>333.3960417</v>
      </c>
      <c r="Z666" s="30">
        <f>IFERROR(__xludf.DUMMYFUNCTION("""COMPUTED_VALUE"""),0.7214661199681812)</f>
        <v>0.72146612</v>
      </c>
      <c r="AA666" s="30">
        <f>IFERROR(__xludf.DUMMYFUNCTION("""COMPUTED_VALUE"""),0.5043716423043935)</f>
        <v>0.5043716423</v>
      </c>
      <c r="AB666" s="30">
        <f>IFERROR(__xludf.DUMMYFUNCTION("""COMPUTED_VALUE"""),1.2906030576592555)</f>
        <v>1.290603058</v>
      </c>
      <c r="AC666" s="30">
        <f>IFERROR(__xludf.DUMMYFUNCTION("""COMPUTED_VALUE"""),2.3814037251182216)</f>
        <v>2.381403725</v>
      </c>
      <c r="AD666" s="30">
        <f>IFERROR(__xludf.DUMMYFUNCTION("""COMPUTED_VALUE"""),1.152293862857404)</f>
        <v>1.152293863</v>
      </c>
      <c r="AE666" s="30">
        <f>IFERROR(__xludf.DUMMYFUNCTION("""COMPUTED_VALUE"""),1.061667936454579)</f>
        <v>1.061667936</v>
      </c>
      <c r="AF666" s="30">
        <f>IFERROR(__xludf.DUMMYFUNCTION("""COMPUTED_VALUE"""),1.1811621250734905)</f>
        <v>1.181162125</v>
      </c>
      <c r="AG666" s="30">
        <f>IFERROR(__xludf.DUMMYFUNCTION("""COMPUTED_VALUE"""),1.2364333645274623)</f>
        <v>1.236433365</v>
      </c>
      <c r="AH666" s="30">
        <f>IFERROR(__xludf.DUMMYFUNCTION("""COMPUTED_VALUE"""),0.8934476552741851)</f>
        <v>0.8934476553</v>
      </c>
      <c r="AI666" s="30">
        <f>IFERROR(__xludf.DUMMYFUNCTION("""COMPUTED_VALUE"""),1.0513382165610226)</f>
        <v>1.051338217</v>
      </c>
      <c r="AJ666" s="30">
        <f>IFERROR(__xludf.DUMMYFUNCTION("""COMPUTED_VALUE"""),1.2184569097040998)</f>
        <v>1.21845691</v>
      </c>
      <c r="AK666" s="30">
        <f>IFERROR(__xludf.DUMMYFUNCTION("""COMPUTED_VALUE"""),1.2294669887964482)</f>
        <v>1.229466989</v>
      </c>
      <c r="AL666" s="30">
        <f>IFERROR(__xludf.DUMMYFUNCTION("""COMPUTED_VALUE"""),0.819172258503265)</f>
        <v>0.8191722585</v>
      </c>
      <c r="AM666" s="30">
        <f>IFERROR(__xludf.DUMMYFUNCTION("""COMPUTED_VALUE"""),1.1193907258839835)</f>
        <v>1.119390726</v>
      </c>
      <c r="AN666" s="30">
        <f>IFERROR(__xludf.DUMMYFUNCTION("""COMPUTED_VALUE"""),1.1809014139256204)</f>
        <v>1.180901414</v>
      </c>
      <c r="AO666" s="30">
        <f>IFERROR(__xludf.DUMMYFUNCTION("""COMPUTED_VALUE"""),1.0480452617827345)</f>
        <v>1.048045262</v>
      </c>
      <c r="AP666" s="30">
        <f>IFERROR(__xludf.DUMMYFUNCTION("""COMPUTED_VALUE"""),1.1555489239945171)</f>
        <v>1.155548924</v>
      </c>
      <c r="AQ666" s="30">
        <f>IFERROR(__xludf.DUMMYFUNCTION("""COMPUTED_VALUE"""),1.3234850876951438)</f>
        <v>1.323485088</v>
      </c>
      <c r="AR666" s="30">
        <f>IFERROR(__xludf.DUMMYFUNCTION("""COMPUTED_VALUE"""),0.8941331733192087)</f>
        <v>0.8941331733</v>
      </c>
      <c r="AS666" s="30">
        <f>IFERROR(__xludf.DUMMYFUNCTION("""COMPUTED_VALUE"""),86.0)</f>
        <v>86</v>
      </c>
      <c r="AT666" s="30">
        <f>IFERROR(__xludf.DUMMYFUNCTION("""COMPUTED_VALUE"""),0.3256395203769261)</f>
        <v>0.3256395204</v>
      </c>
      <c r="AU666" s="30">
        <f>IFERROR(__xludf.DUMMYFUNCTION("""COMPUTED_VALUE"""),2.9797733514749716)</f>
        <v>2.979773351</v>
      </c>
      <c r="AV666" s="32">
        <f>IFERROR(__xludf.DUMMYFUNCTION("""COMPUTED_VALUE"""),53.560780043008776)</f>
        <v>53.56078004</v>
      </c>
      <c r="AW666" s="32">
        <f>IFERROR(__xludf.DUMMYFUNCTION("""COMPUTED_VALUE"""),2.2554540363690325)</f>
        <v>2.255454036</v>
      </c>
      <c r="AX666" s="32">
        <f>IFERROR(__xludf.DUMMYFUNCTION("""COMPUTED_VALUE"""),60.3336757185175)</f>
        <v>60.33367572</v>
      </c>
      <c r="AY666" s="32">
        <f>IFERROR(__xludf.DUMMYFUNCTION("""COMPUTED_VALUE"""),2.94398027204946)</f>
        <v>2.943980272</v>
      </c>
      <c r="AZ666" s="30">
        <f>IFERROR(__xludf.DUMMYFUNCTION("""COMPUTED_VALUE"""),0.6885262356804276)</f>
        <v>0.6885262357</v>
      </c>
      <c r="BA666" s="30">
        <f>IFERROR(__xludf.DUMMYFUNCTION("""COMPUTED_VALUE"""),2300.0)</f>
        <v>2300</v>
      </c>
    </row>
    <row r="667">
      <c r="A667" s="71" t="str">
        <f>IFERROR(__xludf.DUMMYFUNCTION("""COMPUTED_VALUE"""),"Challenger")</f>
        <v>Challenger</v>
      </c>
      <c r="B667" s="71" t="str">
        <f>IFERROR(__xludf.DUMMYFUNCTION("""COMPUTED_VALUE"""),"RSC000426")</f>
        <v>RSC000426</v>
      </c>
      <c r="C667" s="30" t="str">
        <f>IFERROR(__xludf.DUMMYFUNCTION("""COMPUTED_VALUE"""),"struttrl")</f>
        <v>struttrl</v>
      </c>
      <c r="D667" s="30"/>
      <c r="E667" s="30">
        <f>IFERROR(__xludf.DUMMYFUNCTION("""COMPUTED_VALUE"""),44.0)</f>
        <v>44</v>
      </c>
      <c r="F667" s="30">
        <f>IFERROR(__xludf.DUMMYFUNCTION("""COMPUTED_VALUE"""),26.0)</f>
        <v>26</v>
      </c>
      <c r="G667" s="42">
        <f>IFERROR(__xludf.DUMMYFUNCTION("""COMPUTED_VALUE"""),18.0)</f>
        <v>18</v>
      </c>
      <c r="H667" s="42">
        <f>IFERROR(__xludf.DUMMYFUNCTION("""COMPUTED_VALUE"""),0.5909090909090909)</f>
        <v>0.5909090909</v>
      </c>
      <c r="I667" s="42">
        <f>IFERROR(__xludf.DUMMYFUNCTION("""COMPUTED_VALUE"""),0.3645833333333333)</f>
        <v>0.3645833333</v>
      </c>
      <c r="J667" s="30">
        <f>IFERROR(__xludf.DUMMYFUNCTION("""COMPUTED_VALUE"""),348.27272727272725)</f>
        <v>348.2727273</v>
      </c>
      <c r="K667" s="30">
        <f>IFERROR(__xludf.DUMMYFUNCTION("""COMPUTED_VALUE"""),0.7954545454545454)</f>
        <v>0.7954545455</v>
      </c>
      <c r="L667" s="30">
        <f>IFERROR(__xludf.DUMMYFUNCTION("""COMPUTED_VALUE"""),0.6363636363636364)</f>
        <v>0.6363636364</v>
      </c>
      <c r="M667" s="30">
        <f>IFERROR(__xludf.DUMMYFUNCTION("""COMPUTED_VALUE"""),1.2045454545454546)</f>
        <v>1.204545455</v>
      </c>
      <c r="N667" s="30">
        <f>IFERROR(__xludf.DUMMYFUNCTION("""COMPUTED_VALUE"""),2.1818181818181817)</f>
        <v>2.181818182</v>
      </c>
      <c r="O667" s="30">
        <f>IFERROR(__xludf.DUMMYFUNCTION("""COMPUTED_VALUE"""),334.56818181818176)</f>
        <v>334.5681818</v>
      </c>
      <c r="P667" s="30">
        <f>IFERROR(__xludf.DUMMYFUNCTION("""COMPUTED_VALUE"""),0.75)</f>
        <v>0.75</v>
      </c>
      <c r="Q667" s="30">
        <f>IFERROR(__xludf.DUMMYFUNCTION("""COMPUTED_VALUE"""),0.537878787878788)</f>
        <v>0.5378787879</v>
      </c>
      <c r="R667" s="30">
        <f>IFERROR(__xludf.DUMMYFUNCTION("""COMPUTED_VALUE"""),1.128787878787879)</f>
        <v>1.128787879</v>
      </c>
      <c r="S667" s="30">
        <f>IFERROR(__xludf.DUMMYFUNCTION("""COMPUTED_VALUE"""),2.477272727272727)</f>
        <v>2.477272727</v>
      </c>
      <c r="T667" s="30">
        <f>IFERROR(__xludf.DUMMYFUNCTION("""COMPUTED_VALUE"""),335.4776459723933)</f>
        <v>335.477646</v>
      </c>
      <c r="U667" s="30">
        <f>IFERROR(__xludf.DUMMYFUNCTION("""COMPUTED_VALUE"""),0.8048799743537818)</f>
        <v>0.8048799744</v>
      </c>
      <c r="V667" s="30">
        <f>IFERROR(__xludf.DUMMYFUNCTION("""COMPUTED_VALUE"""),0.5190621047957912)</f>
        <v>0.5190621048</v>
      </c>
      <c r="W667" s="30">
        <f>IFERROR(__xludf.DUMMYFUNCTION("""COMPUTED_VALUE"""),1.1892312889757828)</f>
        <v>1.189231289</v>
      </c>
      <c r="X667" s="30">
        <f>IFERROR(__xludf.DUMMYFUNCTION("""COMPUTED_VALUE"""),2.462571811737163)</f>
        <v>2.462571812</v>
      </c>
      <c r="Y667" s="30">
        <f>IFERROR(__xludf.DUMMYFUNCTION("""COMPUTED_VALUE"""),331.2561109760507)</f>
        <v>331.256111</v>
      </c>
      <c r="Z667" s="30">
        <f>IFERROR(__xludf.DUMMYFUNCTION("""COMPUTED_VALUE"""),0.7512561310953498)</f>
        <v>0.7512561311</v>
      </c>
      <c r="AA667" s="30">
        <f>IFERROR(__xludf.DUMMYFUNCTION("""COMPUTED_VALUE"""),0.5056649921833541)</f>
        <v>0.5056649922</v>
      </c>
      <c r="AB667" s="30">
        <f>IFERROR(__xludf.DUMMYFUNCTION("""COMPUTED_VALUE"""),1.226811177863294)</f>
        <v>1.226811178</v>
      </c>
      <c r="AC667" s="30">
        <f>IFERROR(__xludf.DUMMYFUNCTION("""COMPUTED_VALUE"""),2.4024714023109994)</f>
        <v>2.402471402</v>
      </c>
      <c r="AD667" s="30">
        <f>IFERROR(__xludf.DUMMYFUNCTION("""COMPUTED_VALUE"""),1.0513699694370524)</f>
        <v>1.051369969</v>
      </c>
      <c r="AE667" s="30">
        <f>IFERROR(__xludf.DUMMYFUNCTION("""COMPUTED_VALUE"""),1.0588326837276565)</f>
        <v>1.058832684</v>
      </c>
      <c r="AF667" s="30">
        <f>IFERROR(__xludf.DUMMYFUNCTION("""COMPUTED_VALUE"""),1.258468840439108)</f>
        <v>1.25846884</v>
      </c>
      <c r="AG667" s="30">
        <f>IFERROR(__xludf.DUMMYFUNCTION("""COMPUTED_VALUE"""),0.981850733250883)</f>
        <v>0.9818507333</v>
      </c>
      <c r="AH667" s="30">
        <f>IFERROR(__xludf.DUMMYFUNCTION("""COMPUTED_VALUE"""),0.9081557348484708)</f>
        <v>0.9081557348</v>
      </c>
      <c r="AI667" s="30">
        <f>IFERROR(__xludf.DUMMYFUNCTION("""COMPUTED_VALUE"""),0.9972890469301601)</f>
        <v>0.9972890469</v>
      </c>
      <c r="AJ667" s="30">
        <f>IFERROR(__xludf.DUMMYFUNCTION("""COMPUTED_VALUE"""),0.93181595256132)</f>
        <v>0.9318159526</v>
      </c>
      <c r="AK667" s="30">
        <f>IFERROR(__xludf.DUMMYFUNCTION("""COMPUTED_VALUE"""),1.0362513134924376)</f>
        <v>1.036251313</v>
      </c>
      <c r="AL667" s="30">
        <f>IFERROR(__xludf.DUMMYFUNCTION("""COMPUTED_VALUE"""),0.949174386220564)</f>
        <v>0.9491743862</v>
      </c>
      <c r="AM667" s="30">
        <f>IFERROR(__xludf.DUMMYFUNCTION("""COMPUTED_VALUE"""),1.0059697408479609)</f>
        <v>1.005969741</v>
      </c>
      <c r="AN667" s="30">
        <f>IFERROR(__xludf.DUMMYFUNCTION("""COMPUTED_VALUE"""),1.0705560774922736)</f>
        <v>1.070556077</v>
      </c>
      <c r="AO667" s="30">
        <f>IFERROR(__xludf.DUMMYFUNCTION("""COMPUTED_VALUE"""),1.0884055906771453)</f>
        <v>1.088405591</v>
      </c>
      <c r="AP667" s="30">
        <f>IFERROR(__xludf.DUMMYFUNCTION("""COMPUTED_VALUE"""),1.234336350630507)</f>
        <v>1.234336351</v>
      </c>
      <c r="AQ667" s="30">
        <f>IFERROR(__xludf.DUMMYFUNCTION("""COMPUTED_VALUE"""),0.9990307131662434)</f>
        <v>0.9990307132</v>
      </c>
      <c r="AR667" s="30">
        <f>IFERROR(__xludf.DUMMYFUNCTION("""COMPUTED_VALUE"""),0.9168929268218794)</f>
        <v>0.9168929268</v>
      </c>
      <c r="AS667" s="30">
        <f>IFERROR(__xludf.DUMMYFUNCTION("""COMPUTED_VALUE"""),109.0)</f>
        <v>109</v>
      </c>
      <c r="AT667" s="30">
        <f>IFERROR(__xludf.DUMMYFUNCTION("""COMPUTED_VALUE"""),0.537500628867299)</f>
        <v>0.5375006289</v>
      </c>
      <c r="AU667" s="30">
        <f>IFERROR(__xludf.DUMMYFUNCTION("""COMPUTED_VALUE"""),3.2059107361592223)</f>
        <v>3.205910736</v>
      </c>
      <c r="AV667" s="32">
        <f>IFERROR(__xludf.DUMMYFUNCTION("""COMPUTED_VALUE"""),59.46257246437743)</f>
        <v>59.46257246</v>
      </c>
      <c r="AW667" s="32">
        <f>IFERROR(__xludf.DUMMYFUNCTION("""COMPUTED_VALUE"""),2.836649921850296)</f>
        <v>2.836649922</v>
      </c>
      <c r="AX667" s="32">
        <f>IFERROR(__xludf.DUMMYFUNCTION("""COMPUTED_VALUE"""),52.91222813941003)</f>
        <v>52.91222814</v>
      </c>
      <c r="AY667" s="32">
        <f>IFERROR(__xludf.DUMMYFUNCTION("""COMPUTED_VALUE"""),2.2044278261786885)</f>
        <v>2.204427826</v>
      </c>
      <c r="AZ667" s="30">
        <f>IFERROR(__xludf.DUMMYFUNCTION("""COMPUTED_VALUE"""),0.6322220956716076)</f>
        <v>0.6322220957</v>
      </c>
      <c r="BA667" s="30">
        <f>IFERROR(__xludf.DUMMYFUNCTION("""COMPUTED_VALUE"""),2300.0)</f>
        <v>2300</v>
      </c>
    </row>
    <row r="668">
      <c r="A668" s="71" t="str">
        <f>IFERROR(__xludf.DUMMYFUNCTION("""COMPUTED_VALUE"""),"Challenger")</f>
        <v>Challenger</v>
      </c>
      <c r="B668" s="71" t="str">
        <f>IFERROR(__xludf.DUMMYFUNCTION("""COMPUTED_VALUE"""),"RSC002834")</f>
        <v>RSC002834</v>
      </c>
      <c r="C668" s="30" t="str">
        <f>IFERROR(__xludf.DUMMYFUNCTION("""COMPUTED_VALUE"""),"Clockwork7678")</f>
        <v>Clockwork7678</v>
      </c>
      <c r="D668" s="30" t="str">
        <f>IFERROR(__xludf.DUMMYFUNCTION("""COMPUTED_VALUE"""),"Pharaohs")</f>
        <v>Pharaohs</v>
      </c>
      <c r="E668" s="30">
        <f>IFERROR(__xludf.DUMMYFUNCTION("""COMPUTED_VALUE"""),24.0)</f>
        <v>24</v>
      </c>
      <c r="F668" s="30">
        <f>IFERROR(__xludf.DUMMYFUNCTION("""COMPUTED_VALUE"""),10.0)</f>
        <v>10</v>
      </c>
      <c r="G668" s="42">
        <f>IFERROR(__xludf.DUMMYFUNCTION("""COMPUTED_VALUE"""),14.0)</f>
        <v>14</v>
      </c>
      <c r="H668" s="42">
        <f>IFERROR(__xludf.DUMMYFUNCTION("""COMPUTED_VALUE"""),0.4166666666666667)</f>
        <v>0.4166666667</v>
      </c>
      <c r="I668" s="42">
        <f>IFERROR(__xludf.DUMMYFUNCTION("""COMPUTED_VALUE"""),0.2857142857142857)</f>
        <v>0.2857142857</v>
      </c>
      <c r="J668" s="30">
        <f>IFERROR(__xludf.DUMMYFUNCTION("""COMPUTED_VALUE"""),296.9583333333333)</f>
        <v>296.9583333</v>
      </c>
      <c r="K668" s="30">
        <f>IFERROR(__xludf.DUMMYFUNCTION("""COMPUTED_VALUE"""),0.6666666666666666)</f>
        <v>0.6666666667</v>
      </c>
      <c r="L668" s="30">
        <f>IFERROR(__xludf.DUMMYFUNCTION("""COMPUTED_VALUE"""),0.25)</f>
        <v>0.25</v>
      </c>
      <c r="M668" s="30">
        <f>IFERROR(__xludf.DUMMYFUNCTION("""COMPUTED_VALUE"""),0.875)</f>
        <v>0.875</v>
      </c>
      <c r="N668" s="30">
        <f>IFERROR(__xludf.DUMMYFUNCTION("""COMPUTED_VALUE"""),2.3333333333333335)</f>
        <v>2.333333333</v>
      </c>
      <c r="O668" s="30">
        <f>IFERROR(__xludf.DUMMYFUNCTION("""COMPUTED_VALUE"""),374.90277777777777)</f>
        <v>374.9027778</v>
      </c>
      <c r="P668" s="30">
        <f>IFERROR(__xludf.DUMMYFUNCTION("""COMPUTED_VALUE"""),0.8333333333333331)</f>
        <v>0.8333333333</v>
      </c>
      <c r="Q668" s="30">
        <f>IFERROR(__xludf.DUMMYFUNCTION("""COMPUTED_VALUE"""),0.5694444444444443)</f>
        <v>0.5694444444</v>
      </c>
      <c r="R668" s="30">
        <f>IFERROR(__xludf.DUMMYFUNCTION("""COMPUTED_VALUE"""),1.236111111111111)</f>
        <v>1.236111111</v>
      </c>
      <c r="S668" s="30">
        <f>IFERROR(__xludf.DUMMYFUNCTION("""COMPUTED_VALUE"""),2.694444444444444)</f>
        <v>2.694444444</v>
      </c>
      <c r="T668" s="30">
        <f>IFERROR(__xludf.DUMMYFUNCTION("""COMPUTED_VALUE"""),320.6230049119523)</f>
        <v>320.6230049</v>
      </c>
      <c r="U668" s="30">
        <f>IFERROR(__xludf.DUMMYFUNCTION("""COMPUTED_VALUE"""),0.6553905971903478)</f>
        <v>0.6553905972</v>
      </c>
      <c r="V668" s="30">
        <f>IFERROR(__xludf.DUMMYFUNCTION("""COMPUTED_VALUE"""),0.4966184755536877)</f>
        <v>0.4966184756</v>
      </c>
      <c r="W668" s="30">
        <f>IFERROR(__xludf.DUMMYFUNCTION("""COMPUTED_VALUE"""),1.2091789738204832)</f>
        <v>1.209178974</v>
      </c>
      <c r="X668" s="30">
        <f>IFERROR(__xludf.DUMMYFUNCTION("""COMPUTED_VALUE"""),2.301391469716887)</f>
        <v>2.30139147</v>
      </c>
      <c r="Y668" s="30">
        <f>IFERROR(__xludf.DUMMYFUNCTION("""COMPUTED_VALUE"""),342.2012911990668)</f>
        <v>342.2012912</v>
      </c>
      <c r="Z668" s="30">
        <f>IFERROR(__xludf.DUMMYFUNCTION("""COMPUTED_VALUE"""),0.8020382703154435)</f>
        <v>0.8020382703</v>
      </c>
      <c r="AA668" s="30">
        <f>IFERROR(__xludf.DUMMYFUNCTION("""COMPUTED_VALUE"""),0.5363530240663968)</f>
        <v>0.5363530241</v>
      </c>
      <c r="AB668" s="30">
        <f>IFERROR(__xludf.DUMMYFUNCTION("""COMPUTED_VALUE"""),1.2746006708535973)</f>
        <v>1.274600671</v>
      </c>
      <c r="AC668" s="30">
        <f>IFERROR(__xludf.DUMMYFUNCTION("""COMPUTED_VALUE"""),2.431653230213244)</f>
        <v>2.43165323</v>
      </c>
      <c r="AD668" s="30">
        <f>IFERROR(__xludf.DUMMYFUNCTION("""COMPUTED_VALUE"""),0.867788465358494)</f>
        <v>0.8677884654</v>
      </c>
      <c r="AE668" s="30">
        <f>IFERROR(__xludf.DUMMYFUNCTION("""COMPUTED_VALUE"""),0.8312155309053583)</f>
        <v>0.8312155309</v>
      </c>
      <c r="AF668" s="30">
        <f>IFERROR(__xludf.DUMMYFUNCTION("""COMPUTED_VALUE"""),0.4661109172175595)</f>
        <v>0.4661109172</v>
      </c>
      <c r="AG668" s="30">
        <f>IFERROR(__xludf.DUMMYFUNCTION("""COMPUTED_VALUE"""),0.6864895178613192)</f>
        <v>0.6864895179</v>
      </c>
      <c r="AH668" s="30">
        <f>IFERROR(__xludf.DUMMYFUNCTION("""COMPUTED_VALUE"""),0.959566645581579)</f>
        <v>0.9595666456</v>
      </c>
      <c r="AI668" s="30">
        <f>IFERROR(__xludf.DUMMYFUNCTION("""COMPUTED_VALUE"""),1.1692946920035618)</f>
        <v>1.169294692</v>
      </c>
      <c r="AJ668" s="30">
        <f>IFERROR(__xludf.DUMMYFUNCTION("""COMPUTED_VALUE"""),1.2715063916171883)</f>
        <v>1.271506392</v>
      </c>
      <c r="AK668" s="30">
        <f>IFERROR(__xludf.DUMMYFUNCTION("""COMPUTED_VALUE"""),1.1466436962691768)</f>
        <v>1.146643696</v>
      </c>
      <c r="AL668" s="30">
        <f>IFERROR(__xludf.DUMMYFUNCTION("""COMPUTED_VALUE"""),1.0222730777442597)</f>
        <v>1.022273078</v>
      </c>
      <c r="AM668" s="30">
        <f>IFERROR(__xludf.DUMMYFUNCTION("""COMPUTED_VALUE"""),1.1707892724465125)</f>
        <v>1.170789272</v>
      </c>
      <c r="AN668" s="30">
        <f>IFERROR(__xludf.DUMMYFUNCTION("""COMPUTED_VALUE"""),0.9128206822322475)</f>
        <v>0.9128206822</v>
      </c>
      <c r="AO668" s="30">
        <f>IFERROR(__xludf.DUMMYFUNCTION("""COMPUTED_VALUE"""),0.9121875426627504)</f>
        <v>0.9121875427</v>
      </c>
      <c r="AP668" s="30">
        <f>IFERROR(__xludf.DUMMYFUNCTION("""COMPUTED_VALUE"""),0.4849178520334135)</f>
        <v>0.484917852</v>
      </c>
      <c r="AQ668" s="30">
        <f>IFERROR(__xludf.DUMMYFUNCTION("""COMPUTED_VALUE"""),0.7257109897528372)</f>
        <v>0.7257109898</v>
      </c>
      <c r="AR668" s="30">
        <f>IFERROR(__xludf.DUMMYFUNCTION("""COMPUTED_VALUE"""),0.9805660467400656)</f>
        <v>0.9805660467</v>
      </c>
      <c r="AS668" s="30">
        <f>IFERROR(__xludf.DUMMYFUNCTION("""COMPUTED_VALUE"""),43.0)</f>
        <v>43</v>
      </c>
      <c r="AT668" s="30">
        <f>IFERROR(__xludf.DUMMYFUNCTION("""COMPUTED_VALUE"""),0.3761191860318674)</f>
        <v>0.376119186</v>
      </c>
      <c r="AU668" s="30">
        <f>IFERROR(__xludf.DUMMYFUNCTION("""COMPUTED_VALUE"""),1.9157843134082455)</f>
        <v>1.915784313</v>
      </c>
      <c r="AV668" s="32">
        <f>IFERROR(__xludf.DUMMYFUNCTION("""COMPUTED_VALUE"""),25.792516736836124)</f>
        <v>25.79251674</v>
      </c>
      <c r="AW668" s="32">
        <f>IFERROR(__xludf.DUMMYFUNCTION("""COMPUTED_VALUE"""),-6.007902211191864)</f>
        <v>-6.007902211</v>
      </c>
      <c r="AX668" s="32">
        <f>IFERROR(__xludf.DUMMYFUNCTION("""COMPUTED_VALUE"""),27.562961410113154)</f>
        <v>27.56296141</v>
      </c>
      <c r="AY668" s="32">
        <f>IFERROR(__xludf.DUMMYFUNCTION("""COMPUTED_VALUE"""),-5.413276345252279)</f>
        <v>-5.413276345</v>
      </c>
      <c r="AZ668" s="30">
        <f>IFERROR(__xludf.DUMMYFUNCTION("""COMPUTED_VALUE"""),0.5946258659395847)</f>
        <v>0.5946258659</v>
      </c>
      <c r="BA668" s="30">
        <f>IFERROR(__xludf.DUMMYFUNCTION("""COMPUTED_VALUE"""),2300.0)</f>
        <v>2300</v>
      </c>
    </row>
    <row r="669">
      <c r="A669" s="71" t="str">
        <f>IFERROR(__xludf.DUMMYFUNCTION("""COMPUTED_VALUE"""),"Challenger")</f>
        <v>Challenger</v>
      </c>
      <c r="B669" s="71" t="str">
        <f>IFERROR(__xludf.DUMMYFUNCTION("""COMPUTED_VALUE"""),"RSC004763")</f>
        <v>RSC004763</v>
      </c>
      <c r="C669" s="30" t="str">
        <f>IFERROR(__xludf.DUMMYFUNCTION("""COMPUTED_VALUE"""),"Rmuru-")</f>
        <v>Rmuru-</v>
      </c>
      <c r="D669" s="30" t="str">
        <f>IFERROR(__xludf.DUMMYFUNCTION("""COMPUTED_VALUE"""),"Warbirds")</f>
        <v>Warbirds</v>
      </c>
      <c r="E669" s="30">
        <f>IFERROR(__xludf.DUMMYFUNCTION("""COMPUTED_VALUE"""),48.0)</f>
        <v>48</v>
      </c>
      <c r="F669" s="30">
        <f>IFERROR(__xludf.DUMMYFUNCTION("""COMPUTED_VALUE"""),25.0)</f>
        <v>25</v>
      </c>
      <c r="G669" s="42">
        <f>IFERROR(__xludf.DUMMYFUNCTION("""COMPUTED_VALUE"""),23.0)</f>
        <v>23</v>
      </c>
      <c r="H669" s="42">
        <f>IFERROR(__xludf.DUMMYFUNCTION("""COMPUTED_VALUE"""),0.5208333333333334)</f>
        <v>0.5208333333</v>
      </c>
      <c r="I669" s="42">
        <f>IFERROR(__xludf.DUMMYFUNCTION("""COMPUTED_VALUE"""),0.24060150375939848)</f>
        <v>0.2406015038</v>
      </c>
      <c r="J669" s="30">
        <f>IFERROR(__xludf.DUMMYFUNCTION("""COMPUTED_VALUE"""),349.7083333333333)</f>
        <v>349.7083333</v>
      </c>
      <c r="K669" s="30">
        <f>IFERROR(__xludf.DUMMYFUNCTION("""COMPUTED_VALUE"""),0.6666666666666666)</f>
        <v>0.6666666667</v>
      </c>
      <c r="L669" s="30">
        <f>IFERROR(__xludf.DUMMYFUNCTION("""COMPUTED_VALUE"""),0.7083333333333334)</f>
        <v>0.7083333333</v>
      </c>
      <c r="M669" s="30">
        <f>IFERROR(__xludf.DUMMYFUNCTION("""COMPUTED_VALUE"""),1.4375)</f>
        <v>1.4375</v>
      </c>
      <c r="N669" s="30">
        <f>IFERROR(__xludf.DUMMYFUNCTION("""COMPUTED_VALUE"""),2.7708333333333335)</f>
        <v>2.770833333</v>
      </c>
      <c r="O669" s="30">
        <f>IFERROR(__xludf.DUMMYFUNCTION("""COMPUTED_VALUE"""),365.83333333333326)</f>
        <v>365.8333333</v>
      </c>
      <c r="P669" s="30">
        <f>IFERROR(__xludf.DUMMYFUNCTION("""COMPUTED_VALUE"""),0.8819444444444445)</f>
        <v>0.8819444444</v>
      </c>
      <c r="Q669" s="30">
        <f>IFERROR(__xludf.DUMMYFUNCTION("""COMPUTED_VALUE"""),0.6875)</f>
        <v>0.6875</v>
      </c>
      <c r="R669" s="30">
        <f>IFERROR(__xludf.DUMMYFUNCTION("""COMPUTED_VALUE"""),1.2916666666666667)</f>
        <v>1.291666667</v>
      </c>
      <c r="S669" s="30">
        <f>IFERROR(__xludf.DUMMYFUNCTION("""COMPUTED_VALUE"""),2.7291666666666656)</f>
        <v>2.729166667</v>
      </c>
      <c r="T669" s="30">
        <f>IFERROR(__xludf.DUMMYFUNCTION("""COMPUTED_VALUE"""),340.33911934911083)</f>
        <v>340.3391193</v>
      </c>
      <c r="U669" s="30">
        <f>IFERROR(__xludf.DUMMYFUNCTION("""COMPUTED_VALUE"""),0.7937062656215419)</f>
        <v>0.7937062656</v>
      </c>
      <c r="V669" s="30">
        <f>IFERROR(__xludf.DUMMYFUNCTION("""COMPUTED_VALUE"""),0.556570569564377)</f>
        <v>0.5565705696</v>
      </c>
      <c r="W669" s="30">
        <f>IFERROR(__xludf.DUMMYFUNCTION("""COMPUTED_VALUE"""),1.2230224265279224)</f>
        <v>1.223022427</v>
      </c>
      <c r="X669" s="30">
        <f>IFERROR(__xludf.DUMMYFUNCTION("""COMPUTED_VALUE"""),2.525720414666227)</f>
        <v>2.525720415</v>
      </c>
      <c r="Y669" s="30">
        <f>IFERROR(__xludf.DUMMYFUNCTION("""COMPUTED_VALUE"""),331.0971957174263)</f>
        <v>331.0971957</v>
      </c>
      <c r="Z669" s="30">
        <f>IFERROR(__xludf.DUMMYFUNCTION("""COMPUTED_VALUE"""),0.7346303354223621)</f>
        <v>0.7346303354</v>
      </c>
      <c r="AA669" s="30">
        <f>IFERROR(__xludf.DUMMYFUNCTION("""COMPUTED_VALUE"""),0.5169991807053832)</f>
        <v>0.5169991807</v>
      </c>
      <c r="AB669" s="30">
        <f>IFERROR(__xludf.DUMMYFUNCTION("""COMPUTED_VALUE"""),1.2568032100897322)</f>
        <v>1.25680321</v>
      </c>
      <c r="AC669" s="30">
        <f>IFERROR(__xludf.DUMMYFUNCTION("""COMPUTED_VALUE"""),2.3634376168237696)</f>
        <v>2.363437617</v>
      </c>
      <c r="AD669" s="30">
        <f>IFERROR(__xludf.DUMMYFUNCTION("""COMPUTED_VALUE"""),1.056210496061678)</f>
        <v>1.056210496</v>
      </c>
      <c r="AE669" s="30">
        <f>IFERROR(__xludf.DUMMYFUNCTION("""COMPUTED_VALUE"""),0.9074858939542416)</f>
        <v>0.907485894</v>
      </c>
      <c r="AF669" s="30">
        <f>IFERROR(__xludf.DUMMYFUNCTION("""COMPUTED_VALUE"""),1.3700859880800929)</f>
        <v>1.370085988</v>
      </c>
      <c r="AG669" s="30">
        <f>IFERROR(__xludf.DUMMYFUNCTION("""COMPUTED_VALUE"""),1.143774927100454)</f>
        <v>1.143774927</v>
      </c>
      <c r="AH669" s="30">
        <f>IFERROR(__xludf.DUMMYFUNCTION("""COMPUTED_VALUE"""),1.172374220334643)</f>
        <v>1.17237422</v>
      </c>
      <c r="AI669" s="30">
        <f>IFERROR(__xludf.DUMMYFUNCTION("""COMPUTED_VALUE"""),1.0749082680621005)</f>
        <v>1.074908268</v>
      </c>
      <c r="AJ669" s="30">
        <f>IFERROR(__xludf.DUMMYFUNCTION("""COMPUTED_VALUE"""),1.1111723349617308)</f>
        <v>1.111172335</v>
      </c>
      <c r="AK669" s="30">
        <f>IFERROR(__xludf.DUMMYFUNCTION("""COMPUTED_VALUE"""),1.235243179563196)</f>
        <v>1.23524318</v>
      </c>
      <c r="AL669" s="30">
        <f>IFERROR(__xludf.DUMMYFUNCTION("""COMPUTED_VALUE"""),1.0561267223313482)</f>
        <v>1.056126722</v>
      </c>
      <c r="AM669" s="30">
        <f>IFERROR(__xludf.DUMMYFUNCTION("""COMPUTED_VALUE"""),1.080549791187923)</f>
        <v>1.080549791</v>
      </c>
      <c r="AN669" s="30">
        <f>IFERROR(__xludf.DUMMYFUNCTION("""COMPUTED_VALUE"""),1.0749689891925431)</f>
        <v>1.074968989</v>
      </c>
      <c r="AO669" s="30">
        <f>IFERROR(__xludf.DUMMYFUNCTION("""COMPUTED_VALUE"""),0.9121875426627504)</f>
        <v>0.9121875427</v>
      </c>
      <c r="AP669" s="30">
        <f>IFERROR(__xludf.DUMMYFUNCTION("""COMPUTED_VALUE"""),1.3739339140946716)</f>
        <v>1.373933914</v>
      </c>
      <c r="AQ669" s="30">
        <f>IFERROR(__xludf.DUMMYFUNCTION("""COMPUTED_VALUE"""),1.1922394831653753)</f>
        <v>1.192239483</v>
      </c>
      <c r="AR669" s="30">
        <f>IFERROR(__xludf.DUMMYFUNCTION("""COMPUTED_VALUE"""),1.164422180503828)</f>
        <v>1.164422181</v>
      </c>
      <c r="AS669" s="30">
        <f>IFERROR(__xludf.DUMMYFUNCTION("""COMPUTED_VALUE"""),113.0)</f>
        <v>113</v>
      </c>
      <c r="AT669" s="30">
        <f>IFERROR(__xludf.DUMMYFUNCTION("""COMPUTED_VALUE"""),0.45378921200559763)</f>
        <v>0.453789212</v>
      </c>
      <c r="AU669" s="30">
        <f>IFERROR(__xludf.DUMMYFUNCTION("""COMPUTED_VALUE"""),3.2025590998498723)</f>
        <v>3.2025591</v>
      </c>
      <c r="AV669" s="32">
        <f>IFERROR(__xludf.DUMMYFUNCTION("""COMPUTED_VALUE"""),59.37510058617682)</f>
        <v>59.37510059</v>
      </c>
      <c r="AW669" s="32">
        <f>IFERROR(__xludf.DUMMYFUNCTION("""COMPUTED_VALUE"""),2.826226066158995)</f>
        <v>2.826226066</v>
      </c>
      <c r="AX669" s="32">
        <f>IFERROR(__xludf.DUMMYFUNCTION("""COMPUTED_VALUE"""),53.26358133009113)</f>
        <v>53.26358133</v>
      </c>
      <c r="AY669" s="32">
        <f>IFERROR(__xludf.DUMMYFUNCTION("""COMPUTED_VALUE"""),2.2318025177345016)</f>
        <v>2.231802518</v>
      </c>
      <c r="AZ669" s="30">
        <f>IFERROR(__xludf.DUMMYFUNCTION("""COMPUTED_VALUE"""),0.5944235484244933)</f>
        <v>0.5944235484</v>
      </c>
      <c r="BA669" s="30">
        <f>IFERROR(__xludf.DUMMYFUNCTION("""COMPUTED_VALUE"""),2300.0)</f>
        <v>2300</v>
      </c>
    </row>
    <row r="670">
      <c r="A670" s="71" t="str">
        <f>IFERROR(__xludf.DUMMYFUNCTION("""COMPUTED_VALUE"""),"Challenger")</f>
        <v>Challenger</v>
      </c>
      <c r="B670" s="71" t="str">
        <f>IFERROR(__xludf.DUMMYFUNCTION("""COMPUTED_VALUE"""),"RSC000025")</f>
        <v>RSC000025</v>
      </c>
      <c r="C670" s="30" t="str">
        <f>IFERROR(__xludf.DUMMYFUNCTION("""COMPUTED_VALUE"""),"Slayerof666")</f>
        <v>Slayerof666</v>
      </c>
      <c r="D670" s="30" t="str">
        <f>IFERROR(__xludf.DUMMYFUNCTION("""COMPUTED_VALUE"""),"Apple Associates")</f>
        <v>Apple Associates</v>
      </c>
      <c r="E670" s="30">
        <f>IFERROR(__xludf.DUMMYFUNCTION("""COMPUTED_VALUE"""),44.0)</f>
        <v>44</v>
      </c>
      <c r="F670" s="30">
        <f>IFERROR(__xludf.DUMMYFUNCTION("""COMPUTED_VALUE"""),13.0)</f>
        <v>13</v>
      </c>
      <c r="G670" s="42">
        <f>IFERROR(__xludf.DUMMYFUNCTION("""COMPUTED_VALUE"""),31.0)</f>
        <v>31</v>
      </c>
      <c r="H670" s="42">
        <f>IFERROR(__xludf.DUMMYFUNCTION("""COMPUTED_VALUE"""),0.29545454545454547)</f>
        <v>0.2954545455</v>
      </c>
      <c r="I670" s="42">
        <f>IFERROR(__xludf.DUMMYFUNCTION("""COMPUTED_VALUE"""),0.2641509433962264)</f>
        <v>0.2641509434</v>
      </c>
      <c r="J670" s="30">
        <f>IFERROR(__xludf.DUMMYFUNCTION("""COMPUTED_VALUE"""),308.4318181818182)</f>
        <v>308.4318182</v>
      </c>
      <c r="K670" s="30">
        <f>IFERROR(__xludf.DUMMYFUNCTION("""COMPUTED_VALUE"""),0.6363636363636364)</f>
        <v>0.6363636364</v>
      </c>
      <c r="L670" s="30">
        <f>IFERROR(__xludf.DUMMYFUNCTION("""COMPUTED_VALUE"""),0.3409090909090909)</f>
        <v>0.3409090909</v>
      </c>
      <c r="M670" s="30">
        <f>IFERROR(__xludf.DUMMYFUNCTION("""COMPUTED_VALUE"""),1.2954545454545454)</f>
        <v>1.295454545</v>
      </c>
      <c r="N670" s="30">
        <f>IFERROR(__xludf.DUMMYFUNCTION("""COMPUTED_VALUE"""),2.409090909090909)</f>
        <v>2.409090909</v>
      </c>
      <c r="O670" s="30">
        <f>IFERROR(__xludf.DUMMYFUNCTION("""COMPUTED_VALUE"""),334.19696969696975)</f>
        <v>334.1969697</v>
      </c>
      <c r="P670" s="30">
        <f>IFERROR(__xludf.DUMMYFUNCTION("""COMPUTED_VALUE"""),0.8787878787878789)</f>
        <v>0.8787878788</v>
      </c>
      <c r="Q670" s="30">
        <f>IFERROR(__xludf.DUMMYFUNCTION("""COMPUTED_VALUE"""),0.6136363636363635)</f>
        <v>0.6136363636</v>
      </c>
      <c r="R670" s="30">
        <f>IFERROR(__xludf.DUMMYFUNCTION("""COMPUTED_VALUE"""),1.0530303030303034)</f>
        <v>1.053030303</v>
      </c>
      <c r="S670" s="30">
        <f>IFERROR(__xludf.DUMMYFUNCTION("""COMPUTED_VALUE"""),2.5530303030303036)</f>
        <v>2.553030303</v>
      </c>
      <c r="T670" s="30">
        <f>IFERROR(__xludf.DUMMYFUNCTION("""COMPUTED_VALUE"""),342.408910182175)</f>
        <v>342.4089102</v>
      </c>
      <c r="U670" s="30">
        <f>IFERROR(__xludf.DUMMYFUNCTION("""COMPUTED_VALUE"""),0.7997447024593395)</f>
        <v>0.7997447025</v>
      </c>
      <c r="V670" s="30">
        <f>IFERROR(__xludf.DUMMYFUNCTION("""COMPUTED_VALUE"""),0.5740405646506809)</f>
        <v>0.5740405647</v>
      </c>
      <c r="W670" s="30">
        <f>IFERROR(__xludf.DUMMYFUNCTION("""COMPUTED_VALUE"""),1.2274294713453358)</f>
        <v>1.227429471</v>
      </c>
      <c r="X670" s="30">
        <f>IFERROR(__xludf.DUMMYFUNCTION("""COMPUTED_VALUE"""),2.544195837533928)</f>
        <v>2.544195838</v>
      </c>
      <c r="Y670" s="30">
        <f>IFERROR(__xludf.DUMMYFUNCTION("""COMPUTED_VALUE"""),327.02419913540365)</f>
        <v>327.0241991</v>
      </c>
      <c r="Z670" s="30">
        <f>IFERROR(__xludf.DUMMYFUNCTION("""COMPUTED_VALUE"""),0.7099738629491967)</f>
        <v>0.7099738629</v>
      </c>
      <c r="AA670" s="30">
        <f>IFERROR(__xludf.DUMMYFUNCTION("""COMPUTED_VALUE"""),0.49997749903861827)</f>
        <v>0.499977499</v>
      </c>
      <c r="AB670" s="30">
        <f>IFERROR(__xludf.DUMMYFUNCTION("""COMPUTED_VALUE"""),1.2744828380928686)</f>
        <v>1.274482838</v>
      </c>
      <c r="AC670" s="30">
        <f>IFERROR(__xludf.DUMMYFUNCTION("""COMPUTED_VALUE"""),2.342129018703938)</f>
        <v>2.342129019</v>
      </c>
      <c r="AD670" s="30">
        <f>IFERROR(__xludf.DUMMYFUNCTION("""COMPUTED_VALUE"""),0.943146773227362)</f>
        <v>0.9431467732</v>
      </c>
      <c r="AE670" s="30">
        <f>IFERROR(__xludf.DUMMYFUNCTION("""COMPUTED_VALUE"""),0.8963198077746312)</f>
        <v>0.8963198078</v>
      </c>
      <c r="AF670" s="30">
        <f>IFERROR(__xludf.DUMMYFUNCTION("""COMPUTED_VALUE"""),0.6818488663282006)</f>
        <v>0.6818488663</v>
      </c>
      <c r="AG670" s="30">
        <f>IFERROR(__xludf.DUMMYFUNCTION("""COMPUTED_VALUE"""),1.0164550723908208)</f>
        <v>1.016455072</v>
      </c>
      <c r="AH670" s="30">
        <f>IFERROR(__xludf.DUMMYFUNCTION("""COMPUTED_VALUE"""),1.028590180067888)</f>
        <v>1.02859018</v>
      </c>
      <c r="AI670" s="30">
        <f>IFERROR(__xludf.DUMMYFUNCTION("""COMPUTED_VALUE"""),0.9760171530558706)</f>
        <v>0.9760171531</v>
      </c>
      <c r="AJ670" s="30">
        <f>IFERROR(__xludf.DUMMYFUNCTION("""COMPUTED_VALUE"""),1.0988355109892811)</f>
        <v>1.098835511</v>
      </c>
      <c r="AK670" s="30">
        <f>IFERROR(__xludf.DUMMYFUNCTION("""COMPUTED_VALUE"""),1.0689773535599836)</f>
        <v>1.068977354</v>
      </c>
      <c r="AL670" s="30">
        <f>IFERROR(__xludf.DUMMYFUNCTION("""COMPUTED_VALUE"""),0.8579151206758295)</f>
        <v>0.8579151207</v>
      </c>
      <c r="AM670" s="30">
        <f>IFERROR(__xludf.DUMMYFUNCTION("""COMPUTED_VALUE"""),1.0034723999489514)</f>
        <v>1.0034724</v>
      </c>
      <c r="AN670" s="30">
        <f>IFERROR(__xludf.DUMMYFUNCTION("""COMPUTED_VALUE"""),0.9480890451349286)</f>
        <v>0.9480890451</v>
      </c>
      <c r="AO670" s="30">
        <f>IFERROR(__xludf.DUMMYFUNCTION("""COMPUTED_VALUE"""),0.8707244725417163)</f>
        <v>0.8707244725</v>
      </c>
      <c r="AP670" s="30">
        <f>IFERROR(__xludf.DUMMYFUNCTION("""COMPUTED_VALUE"""),0.6612516164092002)</f>
        <v>0.6612516164</v>
      </c>
      <c r="AQ670" s="30">
        <f>IFERROR(__xludf.DUMMYFUNCTION("""COMPUTED_VALUE"""),1.0744292575561485)</f>
        <v>1.074429258</v>
      </c>
      <c r="AR670" s="30">
        <f>IFERROR(__xludf.DUMMYFUNCTION("""COMPUTED_VALUE"""),1.0124026066991587)</f>
        <v>1.012402607</v>
      </c>
      <c r="AS670" s="30">
        <f>IFERROR(__xludf.DUMMYFUNCTION("""COMPUTED_VALUE"""),70.0)</f>
        <v>70</v>
      </c>
      <c r="AT670" s="30">
        <f>IFERROR(__xludf.DUMMYFUNCTION("""COMPUTED_VALUE"""),0.3177941034660365)</f>
        <v>0.3177941035</v>
      </c>
      <c r="AU670" s="30">
        <f>IFERROR(__xludf.DUMMYFUNCTION("""COMPUTED_VALUE"""),2.416932929466257)</f>
        <v>2.416932929</v>
      </c>
      <c r="AV670" s="32">
        <f>IFERROR(__xludf.DUMMYFUNCTION("""COMPUTED_VALUE"""),38.87162397229071)</f>
        <v>38.87162397</v>
      </c>
      <c r="AW670" s="32">
        <f>IFERROR(__xludf.DUMMYFUNCTION("""COMPUTED_VALUE"""),-3.047748309194759)</f>
        <v>-3.047748309</v>
      </c>
      <c r="AX670" s="32">
        <f>IFERROR(__xludf.DUMMYFUNCTION("""COMPUTED_VALUE"""),43.807213638180905)</f>
        <v>43.80721364</v>
      </c>
      <c r="AY670" s="32">
        <f>IFERROR(__xludf.DUMMYFUNCTION("""COMPUTED_VALUE"""),-2.486456060465066)</f>
        <v>-2.48645606</v>
      </c>
      <c r="AZ670" s="30">
        <f>IFERROR(__xludf.DUMMYFUNCTION("""COMPUTED_VALUE"""),0.5612922487296932)</f>
        <v>0.5612922487</v>
      </c>
      <c r="BA670" s="30">
        <f>IFERROR(__xludf.DUMMYFUNCTION("""COMPUTED_VALUE"""),2300.0)</f>
        <v>2300</v>
      </c>
    </row>
    <row r="671">
      <c r="A671" s="71" t="str">
        <f>IFERROR(__xludf.DUMMYFUNCTION("""COMPUTED_VALUE"""),"Challenger")</f>
        <v>Challenger</v>
      </c>
      <c r="B671" s="71" t="str">
        <f>IFERROR(__xludf.DUMMYFUNCTION("""COMPUTED_VALUE"""),"RSC007294")</f>
        <v>RSC007294</v>
      </c>
      <c r="C671" s="30" t="str">
        <f>IFERROR(__xludf.DUMMYFUNCTION("""COMPUTED_VALUE"""),"CF0UR_")</f>
        <v>CF0UR_</v>
      </c>
      <c r="D671" s="30" t="str">
        <f>IFERROR(__xludf.DUMMYFUNCTION("""COMPUTED_VALUE"""),"Havarti Hustlers")</f>
        <v>Havarti Hustlers</v>
      </c>
      <c r="E671" s="30">
        <f>IFERROR(__xludf.DUMMYFUNCTION("""COMPUTED_VALUE"""),48.0)</f>
        <v>48</v>
      </c>
      <c r="F671" s="30">
        <f>IFERROR(__xludf.DUMMYFUNCTION("""COMPUTED_VALUE"""),23.0)</f>
        <v>23</v>
      </c>
      <c r="G671" s="42">
        <f>IFERROR(__xludf.DUMMYFUNCTION("""COMPUTED_VALUE"""),25.0)</f>
        <v>25</v>
      </c>
      <c r="H671" s="42">
        <f>IFERROR(__xludf.DUMMYFUNCTION("""COMPUTED_VALUE"""),0.4791666666666667)</f>
        <v>0.4791666667</v>
      </c>
      <c r="I671" s="42">
        <f>IFERROR(__xludf.DUMMYFUNCTION("""COMPUTED_VALUE"""),0.39655172413793105)</f>
        <v>0.3965517241</v>
      </c>
      <c r="J671" s="30">
        <f>IFERROR(__xludf.DUMMYFUNCTION("""COMPUTED_VALUE"""),362.7916666666667)</f>
        <v>362.7916667</v>
      </c>
      <c r="K671" s="30">
        <f>IFERROR(__xludf.DUMMYFUNCTION("""COMPUTED_VALUE"""),0.9583333333333334)</f>
        <v>0.9583333333</v>
      </c>
      <c r="L671" s="30">
        <f>IFERROR(__xludf.DUMMYFUNCTION("""COMPUTED_VALUE"""),0.4375)</f>
        <v>0.4375</v>
      </c>
      <c r="M671" s="30">
        <f>IFERROR(__xludf.DUMMYFUNCTION("""COMPUTED_VALUE"""),1.2708333333333333)</f>
        <v>1.270833333</v>
      </c>
      <c r="N671" s="30">
        <f>IFERROR(__xludf.DUMMYFUNCTION("""COMPUTED_VALUE"""),2.4166666666666665)</f>
        <v>2.416666667</v>
      </c>
      <c r="O671" s="30">
        <f>IFERROR(__xludf.DUMMYFUNCTION("""COMPUTED_VALUE"""),343.9305555555556)</f>
        <v>343.9305556</v>
      </c>
      <c r="P671" s="30">
        <f>IFERROR(__xludf.DUMMYFUNCTION("""COMPUTED_VALUE"""),0.7361111111111113)</f>
        <v>0.7361111111</v>
      </c>
      <c r="Q671" s="30">
        <f>IFERROR(__xludf.DUMMYFUNCTION("""COMPUTED_VALUE"""),0.4861111111111112)</f>
        <v>0.4861111111</v>
      </c>
      <c r="R671" s="30">
        <f>IFERROR(__xludf.DUMMYFUNCTION("""COMPUTED_VALUE"""),1.4375)</f>
        <v>1.4375</v>
      </c>
      <c r="S671" s="30">
        <f>IFERROR(__xludf.DUMMYFUNCTION("""COMPUTED_VALUE"""),2.2291666666666665)</f>
        <v>2.229166667</v>
      </c>
      <c r="T671" s="30">
        <f>IFERROR(__xludf.DUMMYFUNCTION("""COMPUTED_VALUE"""),335.88328480436485)</f>
        <v>335.8832848</v>
      </c>
      <c r="U671" s="30">
        <f>IFERROR(__xludf.DUMMYFUNCTION("""COMPUTED_VALUE"""),0.7524469803728523)</f>
        <v>0.7524469804</v>
      </c>
      <c r="V671" s="30">
        <f>IFERROR(__xludf.DUMMYFUNCTION("""COMPUTED_VALUE"""),0.5039268985054711)</f>
        <v>0.5039268985</v>
      </c>
      <c r="W671" s="30">
        <f>IFERROR(__xludf.DUMMYFUNCTION("""COMPUTED_VALUE"""),1.2697805512805793)</f>
        <v>1.269780551</v>
      </c>
      <c r="X671" s="30">
        <f>IFERROR(__xludf.DUMMYFUNCTION("""COMPUTED_VALUE"""),2.379857665072539)</f>
        <v>2.379857665</v>
      </c>
      <c r="Y671" s="30">
        <f>IFERROR(__xludf.DUMMYFUNCTION("""COMPUTED_VALUE"""),336.0370954952763)</f>
        <v>336.0370955</v>
      </c>
      <c r="Z671" s="30">
        <f>IFERROR(__xludf.DUMMYFUNCTION("""COMPUTED_VALUE"""),0.7949137054001182)</f>
        <v>0.7949137054</v>
      </c>
      <c r="AA671" s="30">
        <f>IFERROR(__xludf.DUMMYFUNCTION("""COMPUTED_VALUE"""),0.5589309739406535)</f>
        <v>0.5589309739</v>
      </c>
      <c r="AB671" s="30">
        <f>IFERROR(__xludf.DUMMYFUNCTION("""COMPUTED_VALUE"""),1.1808553033086522)</f>
        <v>1.180855303</v>
      </c>
      <c r="AC671" s="30">
        <f>IFERROR(__xludf.DUMMYFUNCTION("""COMPUTED_VALUE"""),2.5178310732316835)</f>
        <v>2.517831073</v>
      </c>
      <c r="AD671" s="30">
        <f>IFERROR(__xludf.DUMMYFUNCTION("""COMPUTED_VALUE"""),1.0796179098380718)</f>
        <v>1.07961791</v>
      </c>
      <c r="AE671" s="30">
        <f>IFERROR(__xludf.DUMMYFUNCTION("""COMPUTED_VALUE"""),1.20558159561604)</f>
        <v>1.205581596</v>
      </c>
      <c r="AF671" s="30">
        <f>IFERROR(__xludf.DUMMYFUNCTION("""COMPUTED_VALUE"""),0.7827442392671069)</f>
        <v>0.7827442393</v>
      </c>
      <c r="AG671" s="30">
        <f>IFERROR(__xludf.DUMMYFUNCTION("""COMPUTED_VALUE"""),1.076197337449026)</f>
        <v>1.076197337</v>
      </c>
      <c r="AH671" s="30">
        <f>IFERROR(__xludf.DUMMYFUNCTION("""COMPUTED_VALUE"""),0.9598208125872517)</f>
        <v>0.9598208126</v>
      </c>
      <c r="AI671" s="30">
        <f>IFERROR(__xludf.DUMMYFUNCTION("""COMPUTED_VALUE"""),1.023958532964443)</f>
        <v>1.023958533</v>
      </c>
      <c r="AJ671" s="30">
        <f>IFERROR(__xludf.DUMMYFUNCTION("""COMPUTED_VALUE"""),0.9782896739732462)</f>
        <v>0.978289674</v>
      </c>
      <c r="AK671" s="30">
        <f>IFERROR(__xludf.DUMMYFUNCTION("""COMPUTED_VALUE"""),0.964646087662323)</f>
        <v>0.9646460877</v>
      </c>
      <c r="AL671" s="30">
        <f>IFERROR(__xludf.DUMMYFUNCTION("""COMPUTED_VALUE"""),1.1320853816435248)</f>
        <v>1.132085382</v>
      </c>
      <c r="AM671" s="30">
        <f>IFERROR(__xludf.DUMMYFUNCTION("""COMPUTED_VALUE"""),0.9366806676645179)</f>
        <v>0.9366806677</v>
      </c>
      <c r="AN671" s="30">
        <f>IFERROR(__xludf.DUMMYFUNCTION("""COMPUTED_VALUE"""),1.1151858678541013)</f>
        <v>1.115185868</v>
      </c>
      <c r="AO671" s="30">
        <f>IFERROR(__xludf.DUMMYFUNCTION("""COMPUTED_VALUE"""),1.3112695925777038)</f>
        <v>1.311269593</v>
      </c>
      <c r="AP671" s="30">
        <f>IFERROR(__xludf.DUMMYFUNCTION("""COMPUTED_VALUE"""),0.8486062410584736)</f>
        <v>0.8486062411</v>
      </c>
      <c r="AQ671" s="30">
        <f>IFERROR(__xludf.DUMMYFUNCTION("""COMPUTED_VALUE"""),1.0540088184505492)</f>
        <v>1.054008818</v>
      </c>
      <c r="AR671" s="30">
        <f>IFERROR(__xludf.DUMMYFUNCTION("""COMPUTED_VALUE"""),1.0155862626950678)</f>
        <v>1.015586263</v>
      </c>
      <c r="AS671" s="30">
        <f>IFERROR(__xludf.DUMMYFUNCTION("""COMPUTED_VALUE"""),109.0)</f>
        <v>109</v>
      </c>
      <c r="AT671" s="30">
        <f>IFERROR(__xludf.DUMMYFUNCTION("""COMPUTED_VALUE"""),0.5107277325121318)</f>
        <v>0.5107277325</v>
      </c>
      <c r="AU671" s="30">
        <f>IFERROR(__xludf.DUMMYFUNCTION("""COMPUTED_VALUE"""),3.2400310036318523)</f>
        <v>3.240031004</v>
      </c>
      <c r="AV671" s="32">
        <f>IFERROR(__xludf.DUMMYFUNCTION("""COMPUTED_VALUE"""),60.353052100312944)</f>
        <v>60.3530521</v>
      </c>
      <c r="AW671" s="32">
        <f>IFERROR(__xludf.DUMMYFUNCTION("""COMPUTED_VALUE"""),2.9464423688293895)</f>
        <v>2.946442369</v>
      </c>
      <c r="AX671" s="32">
        <f>IFERROR(__xludf.DUMMYFUNCTION("""COMPUTED_VALUE"""),55.17554400960651)</f>
        <v>55.17554401</v>
      </c>
      <c r="AY671" s="32">
        <f>IFERROR(__xludf.DUMMYFUNCTION("""COMPUTED_VALUE"""),2.3923649177470487)</f>
        <v>2.392364918</v>
      </c>
      <c r="AZ671" s="30">
        <f>IFERROR(__xludf.DUMMYFUNCTION("""COMPUTED_VALUE"""),0.5540774510823407)</f>
        <v>0.5540774511</v>
      </c>
      <c r="BA671" s="30">
        <f>IFERROR(__xludf.DUMMYFUNCTION("""COMPUTED_VALUE"""),2300.0)</f>
        <v>2300</v>
      </c>
    </row>
    <row r="672">
      <c r="A672" s="71" t="str">
        <f>IFERROR(__xludf.DUMMYFUNCTION("""COMPUTED_VALUE"""),"Challenger")</f>
        <v>Challenger</v>
      </c>
      <c r="B672" s="71" t="str">
        <f>IFERROR(__xludf.DUMMYFUNCTION("""COMPUTED_VALUE"""),"RSC006642")</f>
        <v>RSC006642</v>
      </c>
      <c r="C672" s="30" t="str">
        <f>IFERROR(__xludf.DUMMYFUNCTION("""COMPUTED_VALUE"""),"Zonekiller.")</f>
        <v>Zonekiller.</v>
      </c>
      <c r="D672" s="30" t="str">
        <f>IFERROR(__xludf.DUMMYFUNCTION("""COMPUTED_VALUE"""),"Pharaohs")</f>
        <v>Pharaohs</v>
      </c>
      <c r="E672" s="30">
        <f>IFERROR(__xludf.DUMMYFUNCTION("""COMPUTED_VALUE"""),37.0)</f>
        <v>37</v>
      </c>
      <c r="F672" s="30">
        <f>IFERROR(__xludf.DUMMYFUNCTION("""COMPUTED_VALUE"""),15.0)</f>
        <v>15</v>
      </c>
      <c r="G672" s="42">
        <f>IFERROR(__xludf.DUMMYFUNCTION("""COMPUTED_VALUE"""),22.0)</f>
        <v>22</v>
      </c>
      <c r="H672" s="42">
        <f>IFERROR(__xludf.DUMMYFUNCTION("""COMPUTED_VALUE"""),0.40540540540540543)</f>
        <v>0.4054054054</v>
      </c>
      <c r="I672" s="42">
        <f>IFERROR(__xludf.DUMMYFUNCTION("""COMPUTED_VALUE"""),0.3384615384615384)</f>
        <v>0.3384615385</v>
      </c>
      <c r="J672" s="30">
        <f>IFERROR(__xludf.DUMMYFUNCTION("""COMPUTED_VALUE"""),313.6060606060606)</f>
        <v>313.6060606</v>
      </c>
      <c r="K672" s="30">
        <f>IFERROR(__xludf.DUMMYFUNCTION("""COMPUTED_VALUE"""),0.6666666666666666)</f>
        <v>0.6666666667</v>
      </c>
      <c r="L672" s="30">
        <f>IFERROR(__xludf.DUMMYFUNCTION("""COMPUTED_VALUE"""),0.30303030303030304)</f>
        <v>0.303030303</v>
      </c>
      <c r="M672" s="30">
        <f>IFERROR(__xludf.DUMMYFUNCTION("""COMPUTED_VALUE"""),1.3333333333333333)</f>
        <v>1.333333333</v>
      </c>
      <c r="N672" s="30">
        <f>IFERROR(__xludf.DUMMYFUNCTION("""COMPUTED_VALUE"""),1.9696969696969697)</f>
        <v>1.96969697</v>
      </c>
      <c r="O672" s="30">
        <f>IFERROR(__xludf.DUMMYFUNCTION("""COMPUTED_VALUE"""),332.9191919191919)</f>
        <v>332.9191919</v>
      </c>
      <c r="P672" s="30">
        <f>IFERROR(__xludf.DUMMYFUNCTION("""COMPUTED_VALUE"""),0.7777777777777778)</f>
        <v>0.7777777778</v>
      </c>
      <c r="Q672" s="30">
        <f>IFERROR(__xludf.DUMMYFUNCTION("""COMPUTED_VALUE"""),0.5555555555555554)</f>
        <v>0.5555555556</v>
      </c>
      <c r="R672" s="30">
        <f>IFERROR(__xludf.DUMMYFUNCTION("""COMPUTED_VALUE"""),0.9797979797979797)</f>
        <v>0.9797979798</v>
      </c>
      <c r="S672" s="30">
        <f>IFERROR(__xludf.DUMMYFUNCTION("""COMPUTED_VALUE"""),2.8282828282828283)</f>
        <v>2.828282828</v>
      </c>
      <c r="T672" s="30">
        <f>IFERROR(__xludf.DUMMYFUNCTION("""COMPUTED_VALUE"""),320.7418451331816)</f>
        <v>320.7418451</v>
      </c>
      <c r="U672" s="30">
        <f>IFERROR(__xludf.DUMMYFUNCTION("""COMPUTED_VALUE"""),0.6994713870442901)</f>
        <v>0.699471387</v>
      </c>
      <c r="V672" s="30">
        <f>IFERROR(__xludf.DUMMYFUNCTION("""COMPUTED_VALUE"""),0.472104104242204)</f>
        <v>0.4721041042</v>
      </c>
      <c r="W672" s="30">
        <f>IFERROR(__xludf.DUMMYFUNCTION("""COMPUTED_VALUE"""),1.1888001620664785)</f>
        <v>1.188800162</v>
      </c>
      <c r="X672" s="30">
        <f>IFERROR(__xludf.DUMMYFUNCTION("""COMPUTED_VALUE"""),2.344945708026461)</f>
        <v>2.344945708</v>
      </c>
      <c r="Y672" s="30">
        <f>IFERROR(__xludf.DUMMYFUNCTION("""COMPUTED_VALUE"""),334.6512294935634)</f>
        <v>334.6512295</v>
      </c>
      <c r="Z672" s="30">
        <f>IFERROR(__xludf.DUMMYFUNCTION("""COMPUTED_VALUE"""),0.7857892887734041)</f>
        <v>0.7857892888</v>
      </c>
      <c r="AA672" s="30">
        <f>IFERROR(__xludf.DUMMYFUNCTION("""COMPUTED_VALUE"""),0.5384384758862207)</f>
        <v>0.5384384759</v>
      </c>
      <c r="AB672" s="30">
        <f>IFERROR(__xludf.DUMMYFUNCTION("""COMPUTED_VALUE"""),1.214540729373645)</f>
        <v>1.214540729</v>
      </c>
      <c r="AC672" s="30">
        <f>IFERROR(__xludf.DUMMYFUNCTION("""COMPUTED_VALUE"""),2.464688791542882)</f>
        <v>2.464688792</v>
      </c>
      <c r="AD672" s="30">
        <f>IFERROR(__xludf.DUMMYFUNCTION("""COMPUTED_VALUE"""),0.9371131284371763)</f>
        <v>0.9371131284</v>
      </c>
      <c r="AE672" s="30">
        <f>IFERROR(__xludf.DUMMYFUNCTION("""COMPUTED_VALUE"""),0.8484038611767224)</f>
        <v>0.8484038612</v>
      </c>
      <c r="AF672" s="30">
        <f>IFERROR(__xludf.DUMMYFUNCTION("""COMPUTED_VALUE"""),0.5627946675458932)</f>
        <v>0.5627946675</v>
      </c>
      <c r="AG672" s="30">
        <f>IFERROR(__xludf.DUMMYFUNCTION("""COMPUTED_VALUE"""),1.0978086622265448)</f>
        <v>1.097808662</v>
      </c>
      <c r="AH672" s="30">
        <f>IFERROR(__xludf.DUMMYFUNCTION("""COMPUTED_VALUE"""),0.7991666032870421)</f>
        <v>0.7991666033</v>
      </c>
      <c r="AI672" s="30">
        <f>IFERROR(__xludf.DUMMYFUNCTION("""COMPUTED_VALUE"""),1.0379661929704056)</f>
        <v>1.037966193</v>
      </c>
      <c r="AJ672" s="30">
        <f>IFERROR(__xludf.DUMMYFUNCTION("""COMPUTED_VALUE"""),1.1119508134055087)</f>
        <v>1.111950813</v>
      </c>
      <c r="AK672" s="30">
        <f>IFERROR(__xludf.DUMMYFUNCTION("""COMPUTED_VALUE"""),1.1767649350291143)</f>
        <v>1.176764935</v>
      </c>
      <c r="AL672" s="30">
        <f>IFERROR(__xludf.DUMMYFUNCTION("""COMPUTED_VALUE"""),0.8241906512653964)</f>
        <v>0.8241906513</v>
      </c>
      <c r="AM672" s="30">
        <f>IFERROR(__xludf.DUMMYFUNCTION("""COMPUTED_VALUE"""),1.2061186826637238)</f>
        <v>1.206118683</v>
      </c>
      <c r="AN672" s="30">
        <f>IFERROR(__xludf.DUMMYFUNCTION("""COMPUTED_VALUE"""),0.963994156962285)</f>
        <v>0.963994157</v>
      </c>
      <c r="AO672" s="30">
        <f>IFERROR(__xludf.DUMMYFUNCTION("""COMPUTED_VALUE"""),0.9121875426627504)</f>
        <v>0.9121875427</v>
      </c>
      <c r="AP672" s="30">
        <f>IFERROR(__xludf.DUMMYFUNCTION("""COMPUTED_VALUE"""),0.5877792145859557)</f>
        <v>0.5877792146</v>
      </c>
      <c r="AQ672" s="30">
        <f>IFERROR(__xludf.DUMMYFUNCTION("""COMPUTED_VALUE"""),1.105845317718609)</f>
        <v>1.105845318</v>
      </c>
      <c r="AR672" s="30">
        <f>IFERROR(__xludf.DUMMYFUNCTION("""COMPUTED_VALUE"""),0.827750558936419)</f>
        <v>0.8277505589</v>
      </c>
      <c r="AS672" s="30">
        <f>IFERROR(__xludf.DUMMYFUNCTION("""COMPUTED_VALUE"""),62.0)</f>
        <v>62</v>
      </c>
      <c r="AT672" s="30">
        <f>IFERROR(__xludf.DUMMYFUNCTION("""COMPUTED_VALUE"""),0.3791444765104066)</f>
        <v>0.3791444765</v>
      </c>
      <c r="AU672" s="30">
        <f>IFERROR(__xludf.DUMMYFUNCTION("""COMPUTED_VALUE"""),1.9867365105443304)</f>
        <v>1.986736511</v>
      </c>
      <c r="AV672" s="32">
        <f>IFERROR(__xludf.DUMMYFUNCTION("""COMPUTED_VALUE"""),27.644245675515958)</f>
        <v>27.64424568</v>
      </c>
      <c r="AW672" s="32">
        <f>IFERROR(__xludf.DUMMYFUNCTION("""COMPUTED_VALUE"""),-5.387949155903401)</f>
        <v>-5.387949156</v>
      </c>
      <c r="AX672" s="32">
        <f>IFERROR(__xludf.DUMMYFUNCTION("""COMPUTED_VALUE"""),29.53540152371762)</f>
        <v>29.53540152</v>
      </c>
      <c r="AY672" s="32">
        <f>IFERROR(__xludf.DUMMYFUNCTION("""COMPUTED_VALUE"""),-4.84233556974716)</f>
        <v>-4.84233557</v>
      </c>
      <c r="AZ672" s="30">
        <f>IFERROR(__xludf.DUMMYFUNCTION("""COMPUTED_VALUE"""),0.5456135861562412)</f>
        <v>0.5456135862</v>
      </c>
      <c r="BA672" s="30">
        <f>IFERROR(__xludf.DUMMYFUNCTION("""COMPUTED_VALUE"""),2300.0)</f>
        <v>2300</v>
      </c>
    </row>
    <row r="673">
      <c r="A673" s="71" t="str">
        <f>IFERROR(__xludf.DUMMYFUNCTION("""COMPUTED_VALUE"""),"Challenger")</f>
        <v>Challenger</v>
      </c>
      <c r="B673" s="71" t="str">
        <f>IFERROR(__xludf.DUMMYFUNCTION("""COMPUTED_VALUE"""),"RSC008009")</f>
        <v>RSC008009</v>
      </c>
      <c r="C673" s="30" t="str">
        <f>IFERROR(__xludf.DUMMYFUNCTION("""COMPUTED_VALUE"""),"Daddy Driz")</f>
        <v>Daddy Driz</v>
      </c>
      <c r="D673" s="30" t="str">
        <f>IFERROR(__xludf.DUMMYFUNCTION("""COMPUTED_VALUE"""),"Toucans")</f>
        <v>Toucans</v>
      </c>
      <c r="E673" s="30">
        <f>IFERROR(__xludf.DUMMYFUNCTION("""COMPUTED_VALUE"""),39.0)</f>
        <v>39</v>
      </c>
      <c r="F673" s="30">
        <f>IFERROR(__xludf.DUMMYFUNCTION("""COMPUTED_VALUE"""),22.0)</f>
        <v>22</v>
      </c>
      <c r="G673" s="42">
        <f>IFERROR(__xludf.DUMMYFUNCTION("""COMPUTED_VALUE"""),17.0)</f>
        <v>17</v>
      </c>
      <c r="H673" s="42">
        <f>IFERROR(__xludf.DUMMYFUNCTION("""COMPUTED_VALUE"""),0.5641025641025641)</f>
        <v>0.5641025641</v>
      </c>
      <c r="I673" s="42">
        <f>IFERROR(__xludf.DUMMYFUNCTION("""COMPUTED_VALUE"""),0.33695652173913043)</f>
        <v>0.3369565217</v>
      </c>
      <c r="J673" s="30">
        <f>IFERROR(__xludf.DUMMYFUNCTION("""COMPUTED_VALUE"""),339.0)</f>
        <v>339</v>
      </c>
      <c r="K673" s="30">
        <f>IFERROR(__xludf.DUMMYFUNCTION("""COMPUTED_VALUE"""),0.7948717948717948)</f>
        <v>0.7948717949</v>
      </c>
      <c r="L673" s="30">
        <f>IFERROR(__xludf.DUMMYFUNCTION("""COMPUTED_VALUE"""),0.4358974358974359)</f>
        <v>0.4358974359</v>
      </c>
      <c r="M673" s="30">
        <f>IFERROR(__xludf.DUMMYFUNCTION("""COMPUTED_VALUE"""),0.8717948717948718)</f>
        <v>0.8717948718</v>
      </c>
      <c r="N673" s="30">
        <f>IFERROR(__xludf.DUMMYFUNCTION("""COMPUTED_VALUE"""),2.358974358974359)</f>
        <v>2.358974359</v>
      </c>
      <c r="O673" s="30">
        <f>IFERROR(__xludf.DUMMYFUNCTION("""COMPUTED_VALUE"""),307.3162393162393)</f>
        <v>307.3162393</v>
      </c>
      <c r="P673" s="30">
        <f>IFERROR(__xludf.DUMMYFUNCTION("""COMPUTED_VALUE"""),0.6666666666666666)</f>
        <v>0.6666666667</v>
      </c>
      <c r="Q673" s="30">
        <f>IFERROR(__xludf.DUMMYFUNCTION("""COMPUTED_VALUE"""),0.4444444444444443)</f>
        <v>0.4444444444</v>
      </c>
      <c r="R673" s="30">
        <f>IFERROR(__xludf.DUMMYFUNCTION("""COMPUTED_VALUE"""),1.1623931623931627)</f>
        <v>1.162393162</v>
      </c>
      <c r="S673" s="30">
        <f>IFERROR(__xludf.DUMMYFUNCTION("""COMPUTED_VALUE"""),2.170940170940171)</f>
        <v>2.170940171</v>
      </c>
      <c r="T673" s="30">
        <f>IFERROR(__xludf.DUMMYFUNCTION("""COMPUTED_VALUE"""),321.50786430268624)</f>
        <v>321.5078643</v>
      </c>
      <c r="U673" s="30">
        <f>IFERROR(__xludf.DUMMYFUNCTION("""COMPUTED_VALUE"""),0.727685784438635)</f>
        <v>0.7276857844</v>
      </c>
      <c r="V673" s="30">
        <f>IFERROR(__xludf.DUMMYFUNCTION("""COMPUTED_VALUE"""),0.49947765643627573)</f>
        <v>0.4994776564</v>
      </c>
      <c r="W673" s="30">
        <f>IFERROR(__xludf.DUMMYFUNCTION("""COMPUTED_VALUE"""),1.1347986105085988)</f>
        <v>1.134798611</v>
      </c>
      <c r="X673" s="30">
        <f>IFERROR(__xludf.DUMMYFUNCTION("""COMPUTED_VALUE"""),2.42646807453633)</f>
        <v>2.426468075</v>
      </c>
      <c r="Y673" s="30">
        <f>IFERROR(__xludf.DUMMYFUNCTION("""COMPUTED_VALUE"""),331.3076591616521)</f>
        <v>331.3076592</v>
      </c>
      <c r="Z673" s="30">
        <f>IFERROR(__xludf.DUMMYFUNCTION("""COMPUTED_VALUE"""),0.7629650783127255)</f>
        <v>0.7629650783</v>
      </c>
      <c r="AA673" s="30">
        <f>IFERROR(__xludf.DUMMYFUNCTION("""COMPUTED_VALUE"""),0.5322513289851556)</f>
        <v>0.532251329</v>
      </c>
      <c r="AB673" s="30">
        <f>IFERROR(__xludf.DUMMYFUNCTION("""COMPUTED_VALUE"""),1.2073319012638903)</f>
        <v>1.207331901</v>
      </c>
      <c r="AC673" s="30">
        <f>IFERROR(__xludf.DUMMYFUNCTION("""COMPUTED_VALUE"""),2.372585981890235)</f>
        <v>2.372585982</v>
      </c>
      <c r="AD673" s="30">
        <f>IFERROR(__xludf.DUMMYFUNCTION("""COMPUTED_VALUE"""),1.0232181195503078)</f>
        <v>1.02321812</v>
      </c>
      <c r="AE673" s="30">
        <f>IFERROR(__xludf.DUMMYFUNCTION("""COMPUTED_VALUE"""),1.0418193669225728)</f>
        <v>1.041819367</v>
      </c>
      <c r="AF673" s="30">
        <f>IFERROR(__xludf.DUMMYFUNCTION("""COMPUTED_VALUE"""),0.8189691827140426)</f>
        <v>0.8189691827</v>
      </c>
      <c r="AG673" s="30">
        <f>IFERROR(__xludf.DUMMYFUNCTION("""COMPUTED_VALUE"""),0.7220838535635785)</f>
        <v>0.7220838536</v>
      </c>
      <c r="AH673" s="30">
        <f>IFERROR(__xludf.DUMMYFUNCTION("""COMPUTED_VALUE"""),0.9942629590582713)</f>
        <v>0.9942629591</v>
      </c>
      <c r="AI673" s="30">
        <f>IFERROR(__xludf.DUMMYFUNCTION("""COMPUTED_VALUE"""),0.9558591668753518)</f>
        <v>0.9558591669</v>
      </c>
      <c r="AJ673" s="30">
        <f>IFERROR(__xludf.DUMMYFUNCTION("""COMPUTED_VALUE"""),0.9161463380529814)</f>
        <v>0.9161463381</v>
      </c>
      <c r="AK673" s="30">
        <f>IFERROR(__xludf.DUMMYFUNCTION("""COMPUTED_VALUE"""),0.88981847079109)</f>
        <v>0.8898184708</v>
      </c>
      <c r="AL673" s="30">
        <f>IFERROR(__xludf.DUMMYFUNCTION("""COMPUTED_VALUE"""),1.0243166951642604)</f>
        <v>1.024316695</v>
      </c>
      <c r="AM673" s="30">
        <f>IFERROR(__xludf.DUMMYFUNCTION("""COMPUTED_VALUE"""),0.8946914215448777)</f>
        <v>0.8946914215</v>
      </c>
      <c r="AN673" s="30">
        <f>IFERROR(__xludf.DUMMYFUNCTION("""COMPUTED_VALUE"""),1.0420526267211403)</f>
        <v>1.042052627</v>
      </c>
      <c r="AO673" s="30">
        <f>IFERROR(__xludf.DUMMYFUNCTION("""COMPUTED_VALUE"""),1.0876082239440485)</f>
        <v>1.087608224</v>
      </c>
      <c r="AP673" s="30">
        <f>IFERROR(__xludf.DUMMYFUNCTION("""COMPUTED_VALUE"""),0.8454977932890286)</f>
        <v>0.8454977933</v>
      </c>
      <c r="AQ673" s="30">
        <f>IFERROR(__xludf.DUMMYFUNCTION("""COMPUTED_VALUE"""),0.7230527077390906)</f>
        <v>0.7230527077</v>
      </c>
      <c r="AR673" s="30">
        <f>IFERROR(__xludf.DUMMYFUNCTION("""COMPUTED_VALUE"""),0.9913414978031432)</f>
        <v>0.9913414978</v>
      </c>
      <c r="AS673" s="30">
        <f>IFERROR(__xludf.DUMMYFUNCTION("""COMPUTED_VALUE"""),84.0)</f>
        <v>84</v>
      </c>
      <c r="AT673" s="30">
        <f>IFERROR(__xludf.DUMMYFUNCTION("""COMPUTED_VALUE"""),0.5278516171422204)</f>
        <v>0.5278516171</v>
      </c>
      <c r="AU673" s="30">
        <f>IFERROR(__xludf.DUMMYFUNCTION("""COMPUTED_VALUE"""),3.0259519419367438)</f>
        <v>3.025951942</v>
      </c>
      <c r="AV673" s="32">
        <f>IFERROR(__xludf.DUMMYFUNCTION("""COMPUTED_VALUE"""),54.765960936019056)</f>
        <v>54.76596094</v>
      </c>
      <c r="AW673" s="32">
        <f>IFERROR(__xludf.DUMMYFUNCTION("""COMPUTED_VALUE"""),2.3562430388764146)</f>
        <v>2.356243039</v>
      </c>
      <c r="AX673" s="32">
        <f>IFERROR(__xludf.DUMMYFUNCTION("""COMPUTED_VALUE"""),59.92396486348003)</f>
        <v>59.92396486</v>
      </c>
      <c r="AY673" s="32">
        <f>IFERROR(__xludf.DUMMYFUNCTION("""COMPUTED_VALUE"""),2.8926899079626534)</f>
        <v>2.892689908</v>
      </c>
      <c r="AZ673" s="30">
        <f>IFERROR(__xludf.DUMMYFUNCTION("""COMPUTED_VALUE"""),0.5364468690862387)</f>
        <v>0.5364468691</v>
      </c>
      <c r="BA673" s="30">
        <f>IFERROR(__xludf.DUMMYFUNCTION("""COMPUTED_VALUE"""),2300.0)</f>
        <v>2300</v>
      </c>
    </row>
    <row r="674">
      <c r="A674" s="71" t="str">
        <f>IFERROR(__xludf.DUMMYFUNCTION("""COMPUTED_VALUE"""),"Challenger")</f>
        <v>Challenger</v>
      </c>
      <c r="B674" s="71" t="str">
        <f>IFERROR(__xludf.DUMMYFUNCTION("""COMPUTED_VALUE"""),"RSC007065")</f>
        <v>RSC007065</v>
      </c>
      <c r="C674" s="30" t="str">
        <f>IFERROR(__xludf.DUMMYFUNCTION("""COMPUTED_VALUE"""),"Rampage")</f>
        <v>Rampage</v>
      </c>
      <c r="D674" s="30" t="str">
        <f>IFERROR(__xludf.DUMMYFUNCTION("""COMPUTED_VALUE"""),"Havarti Hustlers")</f>
        <v>Havarti Hustlers</v>
      </c>
      <c r="E674" s="30">
        <f>IFERROR(__xludf.DUMMYFUNCTION("""COMPUTED_VALUE"""),21.0)</f>
        <v>21</v>
      </c>
      <c r="F674" s="30">
        <f>IFERROR(__xludf.DUMMYFUNCTION("""COMPUTED_VALUE"""),7.0)</f>
        <v>7</v>
      </c>
      <c r="G674" s="42">
        <f>IFERROR(__xludf.DUMMYFUNCTION("""COMPUTED_VALUE"""),14.0)</f>
        <v>14</v>
      </c>
      <c r="H674" s="42">
        <f>IFERROR(__xludf.DUMMYFUNCTION("""COMPUTED_VALUE"""),0.3333333333333333)</f>
        <v>0.3333333333</v>
      </c>
      <c r="I674" s="42">
        <f>IFERROR(__xludf.DUMMYFUNCTION("""COMPUTED_VALUE"""),0.23636363636363636)</f>
        <v>0.2363636364</v>
      </c>
      <c r="J674" s="30">
        <f>IFERROR(__xludf.DUMMYFUNCTION("""COMPUTED_VALUE"""),316.42857142857144)</f>
        <v>316.4285714</v>
      </c>
      <c r="K674" s="30">
        <f>IFERROR(__xludf.DUMMYFUNCTION("""COMPUTED_VALUE"""),0.6190476190476191)</f>
        <v>0.619047619</v>
      </c>
      <c r="L674" s="30">
        <f>IFERROR(__xludf.DUMMYFUNCTION("""COMPUTED_VALUE"""),0.5714285714285714)</f>
        <v>0.5714285714</v>
      </c>
      <c r="M674" s="30">
        <f>IFERROR(__xludf.DUMMYFUNCTION("""COMPUTED_VALUE"""),1.0952380952380953)</f>
        <v>1.095238095</v>
      </c>
      <c r="N674" s="30">
        <f>IFERROR(__xludf.DUMMYFUNCTION("""COMPUTED_VALUE"""),2.619047619047619)</f>
        <v>2.619047619</v>
      </c>
      <c r="O674" s="30">
        <f>IFERROR(__xludf.DUMMYFUNCTION("""COMPUTED_VALUE"""),380.2063492063492)</f>
        <v>380.2063492</v>
      </c>
      <c r="P674" s="30">
        <f>IFERROR(__xludf.DUMMYFUNCTION("""COMPUTED_VALUE"""),0.8412698412698412)</f>
        <v>0.8412698413</v>
      </c>
      <c r="Q674" s="30">
        <f>IFERROR(__xludf.DUMMYFUNCTION("""COMPUTED_VALUE"""),0.5079365079365078)</f>
        <v>0.5079365079</v>
      </c>
      <c r="R674" s="30">
        <f>IFERROR(__xludf.DUMMYFUNCTION("""COMPUTED_VALUE"""),1.5873015873015874)</f>
        <v>1.587301587</v>
      </c>
      <c r="S674" s="30">
        <f>IFERROR(__xludf.DUMMYFUNCTION("""COMPUTED_VALUE"""),2.365079365079365)</f>
        <v>2.365079365</v>
      </c>
      <c r="T674" s="30">
        <f>IFERROR(__xludf.DUMMYFUNCTION("""COMPUTED_VALUE"""),338.3511402010599)</f>
        <v>338.3511402</v>
      </c>
      <c r="U674" s="30">
        <f>IFERROR(__xludf.DUMMYFUNCTION("""COMPUTED_VALUE"""),0.7533337629875227)</f>
        <v>0.753333763</v>
      </c>
      <c r="V674" s="30">
        <f>IFERROR(__xludf.DUMMYFUNCTION("""COMPUTED_VALUE"""),0.5173620430899847)</f>
        <v>0.5173620431</v>
      </c>
      <c r="W674" s="30">
        <f>IFERROR(__xludf.DUMMYFUNCTION("""COMPUTED_VALUE"""),1.3110421811024207)</f>
        <v>1.311042181</v>
      </c>
      <c r="X674" s="30">
        <f>IFERROR(__xludf.DUMMYFUNCTION("""COMPUTED_VALUE"""),2.293218547596658)</f>
        <v>2.293218548</v>
      </c>
      <c r="Y674" s="30">
        <f>IFERROR(__xludf.DUMMYFUNCTION("""COMPUTED_VALUE"""),337.55058491376707)</f>
        <v>337.5505849</v>
      </c>
      <c r="Z674" s="30">
        <f>IFERROR(__xludf.DUMMYFUNCTION("""COMPUTED_VALUE"""),0.8162179437848277)</f>
        <v>0.8162179438</v>
      </c>
      <c r="AA674" s="30">
        <f>IFERROR(__xludf.DUMMYFUNCTION("""COMPUTED_VALUE"""),0.5608818795137679)</f>
        <v>0.5608818795</v>
      </c>
      <c r="AB674" s="30">
        <f>IFERROR(__xludf.DUMMYFUNCTION("""COMPUTED_VALUE"""),1.1368295798647614)</f>
        <v>1.13682958</v>
      </c>
      <c r="AC674" s="30">
        <f>IFERROR(__xludf.DUMMYFUNCTION("""COMPUTED_VALUE"""),2.603772066050343)</f>
        <v>2.603772066</v>
      </c>
      <c r="AD674" s="30">
        <f>IFERROR(__xludf.DUMMYFUNCTION("""COMPUTED_VALUE"""),0.9374256350626926)</f>
        <v>0.9374256351</v>
      </c>
      <c r="AE674" s="30">
        <f>IFERROR(__xludf.DUMMYFUNCTION("""COMPUTED_VALUE"""),0.7584342193913016)</f>
        <v>0.7584342194</v>
      </c>
      <c r="AF674" s="30">
        <f>IFERROR(__xludf.DUMMYFUNCTION("""COMPUTED_VALUE"""),1.0188037665327083)</f>
        <v>1.018803767</v>
      </c>
      <c r="AG674" s="30">
        <f>IFERROR(__xludf.DUMMYFUNCTION("""COMPUTED_VALUE"""),0.9634144946935548)</f>
        <v>0.9634144947</v>
      </c>
      <c r="AH674" s="30">
        <f>IFERROR(__xludf.DUMMYFUNCTION("""COMPUTED_VALUE"""),1.0058667013124722)</f>
        <v>1.005866701</v>
      </c>
      <c r="AI674" s="30">
        <f>IFERROR(__xludf.DUMMYFUNCTION("""COMPUTED_VALUE"""),1.1237034667015384)</f>
        <v>1.123703467</v>
      </c>
      <c r="AJ674" s="30">
        <f>IFERROR(__xludf.DUMMYFUNCTION("""COMPUTED_VALUE"""),1.116729240879351)</f>
        <v>1.116729241</v>
      </c>
      <c r="AK674" s="30">
        <f>IFERROR(__xludf.DUMMYFUNCTION("""COMPUTED_VALUE"""),0.9817815487638364)</f>
        <v>0.9817815488</v>
      </c>
      <c r="AL674" s="30">
        <f>IFERROR(__xludf.DUMMYFUNCTION("""COMPUTED_VALUE"""),1.210717404963178)</f>
        <v>1.210717405</v>
      </c>
      <c r="AM674" s="30">
        <f>IFERROR(__xludf.DUMMYFUNCTION("""COMPUTED_VALUE"""),1.0313362272244042)</f>
        <v>1.031336227</v>
      </c>
      <c r="AN674" s="30">
        <f>IFERROR(__xludf.DUMMYFUNCTION("""COMPUTED_VALUE"""),0.9726702773650763)</f>
        <v>0.9726702774</v>
      </c>
      <c r="AO674" s="30">
        <f>IFERROR(__xludf.DUMMYFUNCTION("""COMPUTED_VALUE"""),0.8470312896154111)</f>
        <v>0.8470312896</v>
      </c>
      <c r="AP674" s="30">
        <f>IFERROR(__xludf.DUMMYFUNCTION("""COMPUTED_VALUE"""),1.1083836617906593)</f>
        <v>1.108383662</v>
      </c>
      <c r="AQ674" s="30">
        <f>IFERROR(__xludf.DUMMYFUNCTION("""COMPUTED_VALUE"""),0.9083729395545718)</f>
        <v>0.9083729396</v>
      </c>
      <c r="AR674" s="30">
        <f>IFERROR(__xludf.DUMMYFUNCTION("""COMPUTED_VALUE"""),1.100635358585788)</f>
        <v>1.100635359</v>
      </c>
      <c r="AS674" s="30">
        <f>IFERROR(__xludf.DUMMYFUNCTION("""COMPUTED_VALUE"""),41.0)</f>
        <v>41</v>
      </c>
      <c r="AT674" s="30">
        <f>IFERROR(__xludf.DUMMYFUNCTION("""COMPUTED_VALUE"""),0.40258571309472213)</f>
        <v>0.4025857131</v>
      </c>
      <c r="AU674" s="30">
        <f>IFERROR(__xludf.DUMMYFUNCTION("""COMPUTED_VALUE"""),2.660111215172174)</f>
        <v>2.660111215</v>
      </c>
      <c r="AV674" s="32">
        <f>IFERROR(__xludf.DUMMYFUNCTION("""COMPUTED_VALUE"""),45.2181542712261)</f>
        <v>45.21815427</v>
      </c>
      <c r="AW674" s="32">
        <f>IFERROR(__xludf.DUMMYFUNCTION("""COMPUTED_VALUE"""),-2.357625740401877)</f>
        <v>-2.35762574</v>
      </c>
      <c r="AX674" s="32">
        <f>IFERROR(__xludf.DUMMYFUNCTION("""COMPUTED_VALUE"""),40.303543542407425)</f>
        <v>40.30354354</v>
      </c>
      <c r="AY674" s="32">
        <f>IFERROR(__xludf.DUMMYFUNCTION("""COMPUTED_VALUE"""),-2.864833175536504)</f>
        <v>-2.864833176</v>
      </c>
      <c r="AZ674" s="30">
        <f>IFERROR(__xludf.DUMMYFUNCTION("""COMPUTED_VALUE"""),0.5072074351346272)</f>
        <v>0.5072074351</v>
      </c>
      <c r="BA674" s="30">
        <f>IFERROR(__xludf.DUMMYFUNCTION("""COMPUTED_VALUE"""),2300.0)</f>
        <v>2300</v>
      </c>
    </row>
    <row r="675">
      <c r="A675" s="71" t="str">
        <f>IFERROR(__xludf.DUMMYFUNCTION("""COMPUTED_VALUE"""),"Challenger")</f>
        <v>Challenger</v>
      </c>
      <c r="B675" s="71" t="str">
        <f>IFERROR(__xludf.DUMMYFUNCTION("""COMPUTED_VALUE"""),"RSC004059")</f>
        <v>RSC004059</v>
      </c>
      <c r="C675" s="30" t="str">
        <f>IFERROR(__xludf.DUMMYFUNCTION("""COMPUTED_VALUE"""),"turboalpaca")</f>
        <v>turboalpaca</v>
      </c>
      <c r="D675" s="30" t="str">
        <f>IFERROR(__xludf.DUMMYFUNCTION("""COMPUTED_VALUE"""),"Decuriones")</f>
        <v>Decuriones</v>
      </c>
      <c r="E675" s="30">
        <f>IFERROR(__xludf.DUMMYFUNCTION("""COMPUTED_VALUE"""),32.0)</f>
        <v>32</v>
      </c>
      <c r="F675" s="30">
        <f>IFERROR(__xludf.DUMMYFUNCTION("""COMPUTED_VALUE"""),16.0)</f>
        <v>16</v>
      </c>
      <c r="G675" s="42">
        <f>IFERROR(__xludf.DUMMYFUNCTION("""COMPUTED_VALUE"""),16.0)</f>
        <v>16</v>
      </c>
      <c r="H675" s="42">
        <f>IFERROR(__xludf.DUMMYFUNCTION("""COMPUTED_VALUE"""),0.5)</f>
        <v>0.5</v>
      </c>
      <c r="I675" s="42">
        <f>IFERROR(__xludf.DUMMYFUNCTION("""COMPUTED_VALUE"""),0.2857142857142857)</f>
        <v>0.2857142857</v>
      </c>
      <c r="J675" s="30">
        <f>IFERROR(__xludf.DUMMYFUNCTION("""COMPUTED_VALUE"""),321.09375)</f>
        <v>321.09375</v>
      </c>
      <c r="K675" s="30">
        <f>IFERROR(__xludf.DUMMYFUNCTION("""COMPUTED_VALUE"""),0.6875)</f>
        <v>0.6875</v>
      </c>
      <c r="L675" s="30">
        <f>IFERROR(__xludf.DUMMYFUNCTION("""COMPUTED_VALUE"""),0.65625)</f>
        <v>0.65625</v>
      </c>
      <c r="M675" s="30">
        <f>IFERROR(__xludf.DUMMYFUNCTION("""COMPUTED_VALUE"""),1.125)</f>
        <v>1.125</v>
      </c>
      <c r="N675" s="30">
        <f>IFERROR(__xludf.DUMMYFUNCTION("""COMPUTED_VALUE"""),2.40625)</f>
        <v>2.40625</v>
      </c>
      <c r="O675" s="30">
        <f>IFERROR(__xludf.DUMMYFUNCTION("""COMPUTED_VALUE"""),323.4166666666667)</f>
        <v>323.4166667</v>
      </c>
      <c r="P675" s="30">
        <f>IFERROR(__xludf.DUMMYFUNCTION("""COMPUTED_VALUE"""),0.6562500000000001)</f>
        <v>0.65625</v>
      </c>
      <c r="Q675" s="30">
        <f>IFERROR(__xludf.DUMMYFUNCTION("""COMPUTED_VALUE"""),0.47916666666666663)</f>
        <v>0.4791666667</v>
      </c>
      <c r="R675" s="30">
        <f>IFERROR(__xludf.DUMMYFUNCTION("""COMPUTED_VALUE"""),1.3229166666666665)</f>
        <v>1.322916667</v>
      </c>
      <c r="S675" s="30">
        <f>IFERROR(__xludf.DUMMYFUNCTION("""COMPUTED_VALUE"""),2.1770833333333335)</f>
        <v>2.177083333</v>
      </c>
      <c r="T675" s="30">
        <f>IFERROR(__xludf.DUMMYFUNCTION("""COMPUTED_VALUE"""),338.5418662071311)</f>
        <v>338.5418662</v>
      </c>
      <c r="U675" s="30">
        <f>IFERROR(__xludf.DUMMYFUNCTION("""COMPUTED_VALUE"""),0.7690588977561388)</f>
        <v>0.7690588978</v>
      </c>
      <c r="V675" s="30">
        <f>IFERROR(__xludf.DUMMYFUNCTION("""COMPUTED_VALUE"""),0.5453677685183848)</f>
        <v>0.5453677685</v>
      </c>
      <c r="W675" s="30">
        <f>IFERROR(__xludf.DUMMYFUNCTION("""COMPUTED_VALUE"""),1.280696494892379)</f>
        <v>1.280696495</v>
      </c>
      <c r="X675" s="30">
        <f>IFERROR(__xludf.DUMMYFUNCTION("""COMPUTED_VALUE"""),2.339705683700832)</f>
        <v>2.339705684</v>
      </c>
      <c r="Y675" s="30">
        <f>IFERROR(__xludf.DUMMYFUNCTION("""COMPUTED_VALUE"""),332.24510360444947)</f>
        <v>332.2451036</v>
      </c>
      <c r="Z675" s="30">
        <f>IFERROR(__xludf.DUMMYFUNCTION("""COMPUTED_VALUE"""),0.7649087478403862)</f>
        <v>0.7649087478</v>
      </c>
      <c r="AA675" s="30">
        <f>IFERROR(__xludf.DUMMYFUNCTION("""COMPUTED_VALUE"""),0.5386512074793901)</f>
        <v>0.5386512075</v>
      </c>
      <c r="AB675" s="30">
        <f>IFERROR(__xludf.DUMMYFUNCTION("""COMPUTED_VALUE"""),1.167209249919767)</f>
        <v>1.16720925</v>
      </c>
      <c r="AC675" s="30">
        <f>IFERROR(__xludf.DUMMYFUNCTION("""COMPUTED_VALUE"""),2.4990963179115875)</f>
        <v>2.499096318</v>
      </c>
      <c r="AD675" s="30">
        <f>IFERROR(__xludf.DUMMYFUNCTION("""COMPUTED_VALUE"""),0.9664363643482747)</f>
        <v>0.9664363643</v>
      </c>
      <c r="AE675" s="30">
        <f>IFERROR(__xludf.DUMMYFUNCTION("""COMPUTED_VALUE"""),0.8988000228014923)</f>
        <v>0.8988000228</v>
      </c>
      <c r="AF675" s="30">
        <f>IFERROR(__xludf.DUMMYFUNCTION("""COMPUTED_VALUE"""),1.218320855662631)</f>
        <v>1.218320856</v>
      </c>
      <c r="AG675" s="30">
        <f>IFERROR(__xludf.DUMMYFUNCTION("""COMPUTED_VALUE"""),0.96383746108706)</f>
        <v>0.9638374611</v>
      </c>
      <c r="AH675" s="30">
        <f>IFERROR(__xludf.DUMMYFUNCTION("""COMPUTED_VALUE"""),0.9628480434122779)</f>
        <v>0.9628480434</v>
      </c>
      <c r="AI675" s="30">
        <f>IFERROR(__xludf.DUMMYFUNCTION("""COMPUTED_VALUE"""),0.9553225138446827)</f>
        <v>0.9553225138</v>
      </c>
      <c r="AJ675" s="30">
        <f>IFERROR(__xludf.DUMMYFUNCTION("""COMPUTED_VALUE"""),0.8533156588067858)</f>
        <v>0.8533156588</v>
      </c>
      <c r="AK675" s="30">
        <f>IFERROR(__xludf.DUMMYFUNCTION("""COMPUTED_VALUE"""),0.8786120015277609)</f>
        <v>0.8786120015</v>
      </c>
      <c r="AL675" s="30">
        <f>IFERROR(__xludf.DUMMYFUNCTION("""COMPUTED_VALUE"""),1.032966570879727)</f>
        <v>1.032966571</v>
      </c>
      <c r="AM675" s="30">
        <f>IFERROR(__xludf.DUMMYFUNCTION("""COMPUTED_VALUE"""),0.9304945269397003)</f>
        <v>0.9304945269</v>
      </c>
      <c r="AN675" s="30">
        <f>IFERROR(__xludf.DUMMYFUNCTION("""COMPUTED_VALUE"""),0.9870105770243102)</f>
        <v>0.987010577</v>
      </c>
      <c r="AO675" s="30">
        <f>IFERROR(__xludf.DUMMYFUNCTION("""COMPUTED_VALUE"""),0.9406934033709613)</f>
        <v>0.9406934034</v>
      </c>
      <c r="AP675" s="30">
        <f>IFERROR(__xludf.DUMMYFUNCTION("""COMPUTED_VALUE"""),1.2729093615877103)</f>
        <v>1.272909362</v>
      </c>
      <c r="AQ675" s="30">
        <f>IFERROR(__xludf.DUMMYFUNCTION("""COMPUTED_VALUE"""),0.9330569868250763)</f>
        <v>0.9330569868</v>
      </c>
      <c r="AR675" s="30">
        <f>IFERROR(__xludf.DUMMYFUNCTION("""COMPUTED_VALUE"""),1.0112087357006927)</f>
        <v>1.011208736</v>
      </c>
      <c r="AS675" s="30">
        <f>IFERROR(__xludf.DUMMYFUNCTION("""COMPUTED_VALUE"""),68.0)</f>
        <v>68</v>
      </c>
      <c r="AT675" s="30">
        <f>IFERROR(__xludf.DUMMYFUNCTION("""COMPUTED_VALUE"""),0.5285814890404863)</f>
        <v>0.528581489</v>
      </c>
      <c r="AU675" s="30">
        <f>IFERROR(__xludf.DUMMYFUNCTION("""COMPUTED_VALUE"""),3.130984684459207)</f>
        <v>3.130984684</v>
      </c>
      <c r="AV675" s="32">
        <f>IFERROR(__xludf.DUMMYFUNCTION("""COMPUTED_VALUE"""),57.50713283327152)</f>
        <v>57.50713283</v>
      </c>
      <c r="AW675" s="32">
        <f>IFERROR(__xludf.DUMMYFUNCTION("""COMPUTED_VALUE"""),2.61793970580783)</f>
        <v>2.617939706</v>
      </c>
      <c r="AX675" s="32">
        <f>IFERROR(__xludf.DUMMYFUNCTION("""COMPUTED_VALUE"""),51.76285351503324)</f>
        <v>51.76285352</v>
      </c>
      <c r="AY675" s="32">
        <f>IFERROR(__xludf.DUMMYFUNCTION("""COMPUTED_VALUE"""),2.1191279518221062)</f>
        <v>2.119127952</v>
      </c>
      <c r="AZ675" s="30">
        <f>IFERROR(__xludf.DUMMYFUNCTION("""COMPUTED_VALUE"""),0.49881175398572397)</f>
        <v>0.498811754</v>
      </c>
      <c r="BA675" s="30">
        <f>IFERROR(__xludf.DUMMYFUNCTION("""COMPUTED_VALUE"""),2300.0)</f>
        <v>2300</v>
      </c>
    </row>
    <row r="676">
      <c r="A676" s="71" t="str">
        <f>IFERROR(__xludf.DUMMYFUNCTION("""COMPUTED_VALUE"""),"Challenger")</f>
        <v>Challenger</v>
      </c>
      <c r="B676" s="71" t="str">
        <f>IFERROR(__xludf.DUMMYFUNCTION("""COMPUTED_VALUE"""),"RSC005526")</f>
        <v>RSC005526</v>
      </c>
      <c r="C676" s="30" t="str">
        <f>IFERROR(__xludf.DUMMYFUNCTION("""COMPUTED_VALUE"""),"Vortex3524")</f>
        <v>Vortex3524</v>
      </c>
      <c r="D676" s="30" t="str">
        <f>IFERROR(__xludf.DUMMYFUNCTION("""COMPUTED_VALUE"""),"Zombies")</f>
        <v>Zombies</v>
      </c>
      <c r="E676" s="30">
        <f>IFERROR(__xludf.DUMMYFUNCTION("""COMPUTED_VALUE"""),42.0)</f>
        <v>42</v>
      </c>
      <c r="F676" s="30">
        <f>IFERROR(__xludf.DUMMYFUNCTION("""COMPUTED_VALUE"""),20.0)</f>
        <v>20</v>
      </c>
      <c r="G676" s="42">
        <f>IFERROR(__xludf.DUMMYFUNCTION("""COMPUTED_VALUE"""),22.0)</f>
        <v>22</v>
      </c>
      <c r="H676" s="42">
        <f>IFERROR(__xludf.DUMMYFUNCTION("""COMPUTED_VALUE"""),0.47619047619047616)</f>
        <v>0.4761904762</v>
      </c>
      <c r="I676" s="42">
        <f>IFERROR(__xludf.DUMMYFUNCTION("""COMPUTED_VALUE"""),0.36633663366336633)</f>
        <v>0.3663366337</v>
      </c>
      <c r="J676" s="30">
        <f>IFERROR(__xludf.DUMMYFUNCTION("""COMPUTED_VALUE"""),352.2142857142857)</f>
        <v>352.2142857</v>
      </c>
      <c r="K676" s="30">
        <f>IFERROR(__xludf.DUMMYFUNCTION("""COMPUTED_VALUE"""),0.8809523809523809)</f>
        <v>0.880952381</v>
      </c>
      <c r="L676" s="30">
        <f>IFERROR(__xludf.DUMMYFUNCTION("""COMPUTED_VALUE"""),0.38095238095238093)</f>
        <v>0.380952381</v>
      </c>
      <c r="M676" s="30">
        <f>IFERROR(__xludf.DUMMYFUNCTION("""COMPUTED_VALUE"""),1.2857142857142858)</f>
        <v>1.285714286</v>
      </c>
      <c r="N676" s="30">
        <f>IFERROR(__xludf.DUMMYFUNCTION("""COMPUTED_VALUE"""),2.4047619047619047)</f>
        <v>2.404761905</v>
      </c>
      <c r="O676" s="30">
        <f>IFERROR(__xludf.DUMMYFUNCTION("""COMPUTED_VALUE"""),314.0238095238096)</f>
        <v>314.0238095</v>
      </c>
      <c r="P676" s="30">
        <f>IFERROR(__xludf.DUMMYFUNCTION("""COMPUTED_VALUE"""),0.6746031746031745)</f>
        <v>0.6746031746</v>
      </c>
      <c r="Q676" s="30">
        <f>IFERROR(__xludf.DUMMYFUNCTION("""COMPUTED_VALUE"""),0.46031746031746046)</f>
        <v>0.4603174603</v>
      </c>
      <c r="R676" s="30">
        <f>IFERROR(__xludf.DUMMYFUNCTION("""COMPUTED_VALUE"""),1.206349206349206)</f>
        <v>1.206349206</v>
      </c>
      <c r="S676" s="30">
        <f>IFERROR(__xludf.DUMMYFUNCTION("""COMPUTED_VALUE"""),2.3253968253968247)</f>
        <v>2.325396825</v>
      </c>
      <c r="T676" s="30">
        <f>IFERROR(__xludf.DUMMYFUNCTION("""COMPUTED_VALUE"""),332.21657960007155)</f>
        <v>332.2165796</v>
      </c>
      <c r="U676" s="30">
        <f>IFERROR(__xludf.DUMMYFUNCTION("""COMPUTED_VALUE"""),0.750627284197205)</f>
        <v>0.7506272842</v>
      </c>
      <c r="V676" s="30">
        <f>IFERROR(__xludf.DUMMYFUNCTION("""COMPUTED_VALUE"""),0.5401825122710546)</f>
        <v>0.5401825123</v>
      </c>
      <c r="W676" s="30">
        <f>IFERROR(__xludf.DUMMYFUNCTION("""COMPUTED_VALUE"""),1.2101942693557899)</f>
        <v>1.210194269</v>
      </c>
      <c r="X676" s="30">
        <f>IFERROR(__xludf.DUMMYFUNCTION("""COMPUTED_VALUE"""),2.469357350804075)</f>
        <v>2.469357351</v>
      </c>
      <c r="Y676" s="30">
        <f>IFERROR(__xludf.DUMMYFUNCTION("""COMPUTED_VALUE"""),335.2822015116981)</f>
        <v>335.2822015</v>
      </c>
      <c r="Z676" s="30">
        <f>IFERROR(__xludf.DUMMYFUNCTION("""COMPUTED_VALUE"""),0.7567514503541005)</f>
        <v>0.7567514504</v>
      </c>
      <c r="AA676" s="30">
        <f>IFERROR(__xludf.DUMMYFUNCTION("""COMPUTED_VALUE"""),0.5305916899158378)</f>
        <v>0.5305916899</v>
      </c>
      <c r="AB676" s="30">
        <f>IFERROR(__xludf.DUMMYFUNCTION("""COMPUTED_VALUE"""),1.2784394691220453)</f>
        <v>1.278439469</v>
      </c>
      <c r="AC676" s="30">
        <f>IFERROR(__xludf.DUMMYFUNCTION("""COMPUTED_VALUE"""),2.380459526954215)</f>
        <v>2.380459527</v>
      </c>
      <c r="AD676" s="30">
        <f>IFERROR(__xludf.DUMMYFUNCTION("""COMPUTED_VALUE"""),1.050500993271475)</f>
        <v>1.050500993</v>
      </c>
      <c r="AE676" s="30">
        <f>IFERROR(__xludf.DUMMYFUNCTION("""COMPUTED_VALUE"""),1.1641238091319999)</f>
        <v>1.164123809</v>
      </c>
      <c r="AF676" s="30">
        <f>IFERROR(__xludf.DUMMYFUNCTION("""COMPUTED_VALUE"""),0.717976531092689)</f>
        <v>0.7179765311</v>
      </c>
      <c r="AG676" s="30">
        <f>IFERROR(__xludf.DUMMYFUNCTION("""COMPUTED_VALUE"""),1.0056903879831216)</f>
        <v>1.005690388</v>
      </c>
      <c r="AH676" s="30">
        <f>IFERROR(__xludf.DUMMYFUNCTION("""COMPUTED_VALUE"""),1.0102091119519199)</f>
        <v>1.010209112</v>
      </c>
      <c r="AI676" s="30">
        <f>IFERROR(__xludf.DUMMYFUNCTION("""COMPUTED_VALUE"""),0.9452382235162292)</f>
        <v>0.9452382235</v>
      </c>
      <c r="AJ676" s="30">
        <f>IFERROR(__xludf.DUMMYFUNCTION("""COMPUTED_VALUE"""),0.8987192296435931)</f>
        <v>0.8987192296</v>
      </c>
      <c r="AK676" s="30">
        <f>IFERROR(__xludf.DUMMYFUNCTION("""COMPUTED_VALUE"""),0.8521517262418906)</f>
        <v>0.8521517262</v>
      </c>
      <c r="AL676" s="30">
        <f>IFERROR(__xludf.DUMMYFUNCTION("""COMPUTED_VALUE"""),0.996822772092095)</f>
        <v>0.9968227721</v>
      </c>
      <c r="AM676" s="30">
        <f>IFERROR(__xludf.DUMMYFUNCTION("""COMPUTED_VALUE"""),0.9417012181892694)</f>
        <v>0.9417012182</v>
      </c>
      <c r="AN676" s="30">
        <f>IFERROR(__xludf.DUMMYFUNCTION("""COMPUTED_VALUE"""),1.0826720401099754)</f>
        <v>1.08267204</v>
      </c>
      <c r="AO676" s="30">
        <f>IFERROR(__xludf.DUMMYFUNCTION("""COMPUTED_VALUE"""),1.2053906813757773)</f>
        <v>1.205390681</v>
      </c>
      <c r="AP676" s="30">
        <f>IFERROR(__xludf.DUMMYFUNCTION("""COMPUTED_VALUE"""),0.7389224411937729)</f>
        <v>0.7389224412</v>
      </c>
      <c r="AQ676" s="30">
        <f>IFERROR(__xludf.DUMMYFUNCTION("""COMPUTED_VALUE"""),1.0663508420858017)</f>
        <v>1.066350842</v>
      </c>
      <c r="AR676" s="30">
        <f>IFERROR(__xludf.DUMMYFUNCTION("""COMPUTED_VALUE"""),1.010583374701496)</f>
        <v>1.010583375</v>
      </c>
      <c r="AS676" s="30">
        <f>IFERROR(__xludf.DUMMYFUNCTION("""COMPUTED_VALUE"""),94.0)</f>
        <v>94</v>
      </c>
      <c r="AT676" s="30">
        <f>IFERROR(__xludf.DUMMYFUNCTION("""COMPUTED_VALUE"""),0.5380698155113252)</f>
        <v>0.5380698155</v>
      </c>
      <c r="AU676" s="30">
        <f>IFERROR(__xludf.DUMMYFUNCTION("""COMPUTED_VALUE"""),3.1605852161792862)</f>
        <v>3.160585216</v>
      </c>
      <c r="AV676" s="32">
        <f>IFERROR(__xludf.DUMMYFUNCTION("""COMPUTED_VALUE"""),58.279655227204614)</f>
        <v>58.27965523</v>
      </c>
      <c r="AW676" s="32">
        <f>IFERROR(__xludf.DUMMYFUNCTION("""COMPUTED_VALUE"""),2.700863792062982)</f>
        <v>2.700863792</v>
      </c>
      <c r="AX676" s="32">
        <f>IFERROR(__xludf.DUMMYFUNCTION("""COMPUTED_VALUE"""),62.188757279499)</f>
        <v>62.18875728</v>
      </c>
      <c r="AY676" s="32">
        <f>IFERROR(__xludf.DUMMYFUNCTION("""COMPUTED_VALUE"""),3.1955598974492756)</f>
        <v>3.195559897</v>
      </c>
      <c r="AZ676" s="30">
        <f>IFERROR(__xludf.DUMMYFUNCTION("""COMPUTED_VALUE"""),0.4946961053862937)</f>
        <v>0.4946961054</v>
      </c>
      <c r="BA676" s="30">
        <f>IFERROR(__xludf.DUMMYFUNCTION("""COMPUTED_VALUE"""),2300.0)</f>
        <v>2300</v>
      </c>
    </row>
    <row r="677">
      <c r="A677" s="71" t="str">
        <f>IFERROR(__xludf.DUMMYFUNCTION("""COMPUTED_VALUE"""),"Challenger")</f>
        <v>Challenger</v>
      </c>
      <c r="B677" s="71" t="str">
        <f>IFERROR(__xludf.DUMMYFUNCTION("""COMPUTED_VALUE"""),"RSC007939")</f>
        <v>RSC007939</v>
      </c>
      <c r="C677" s="30" t="str">
        <f>IFERROR(__xludf.DUMMYFUNCTION("""COMPUTED_VALUE"""),"bryan_rown_")</f>
        <v>bryan_rown_</v>
      </c>
      <c r="D677" s="30" t="str">
        <f>IFERROR(__xludf.DUMMYFUNCTION("""COMPUTED_VALUE"""),"Metal")</f>
        <v>Metal</v>
      </c>
      <c r="E677" s="30">
        <f>IFERROR(__xludf.DUMMYFUNCTION("""COMPUTED_VALUE"""),37.0)</f>
        <v>37</v>
      </c>
      <c r="F677" s="30">
        <f>IFERROR(__xludf.DUMMYFUNCTION("""COMPUTED_VALUE"""),18.0)</f>
        <v>18</v>
      </c>
      <c r="G677" s="42">
        <f>IFERROR(__xludf.DUMMYFUNCTION("""COMPUTED_VALUE"""),19.0)</f>
        <v>19</v>
      </c>
      <c r="H677" s="42">
        <f>IFERROR(__xludf.DUMMYFUNCTION("""COMPUTED_VALUE"""),0.4864864864864865)</f>
        <v>0.4864864865</v>
      </c>
      <c r="I677" s="42">
        <f>IFERROR(__xludf.DUMMYFUNCTION("""COMPUTED_VALUE"""),0.37777777777777777)</f>
        <v>0.3777777778</v>
      </c>
      <c r="J677" s="30">
        <f>IFERROR(__xludf.DUMMYFUNCTION("""COMPUTED_VALUE"""),337.97297297297297)</f>
        <v>337.972973</v>
      </c>
      <c r="K677" s="30">
        <f>IFERROR(__xludf.DUMMYFUNCTION("""COMPUTED_VALUE"""),0.918918918918919)</f>
        <v>0.9189189189</v>
      </c>
      <c r="L677" s="30">
        <f>IFERROR(__xludf.DUMMYFUNCTION("""COMPUTED_VALUE"""),0.5405405405405406)</f>
        <v>0.5405405405</v>
      </c>
      <c r="M677" s="30">
        <f>IFERROR(__xludf.DUMMYFUNCTION("""COMPUTED_VALUE"""),1.135135135135135)</f>
        <v>1.135135135</v>
      </c>
      <c r="N677" s="30">
        <f>IFERROR(__xludf.DUMMYFUNCTION("""COMPUTED_VALUE"""),2.4324324324324325)</f>
        <v>2.432432432</v>
      </c>
      <c r="O677" s="30">
        <f>IFERROR(__xludf.DUMMYFUNCTION("""COMPUTED_VALUE"""),331.4234234234234)</f>
        <v>331.4234234</v>
      </c>
      <c r="P677" s="30">
        <f>IFERROR(__xludf.DUMMYFUNCTION("""COMPUTED_VALUE"""),0.8018018018018018)</f>
        <v>0.8018018018</v>
      </c>
      <c r="Q677" s="30">
        <f>IFERROR(__xludf.DUMMYFUNCTION("""COMPUTED_VALUE"""),0.5315315315315314)</f>
        <v>0.5315315315</v>
      </c>
      <c r="R677" s="30">
        <f>IFERROR(__xludf.DUMMYFUNCTION("""COMPUTED_VALUE"""),1.117117117117117)</f>
        <v>1.117117117</v>
      </c>
      <c r="S677" s="30">
        <f>IFERROR(__xludf.DUMMYFUNCTION("""COMPUTED_VALUE"""),2.432432432432433)</f>
        <v>2.432432432</v>
      </c>
      <c r="T677" s="30">
        <f>IFERROR(__xludf.DUMMYFUNCTION("""COMPUTED_VALUE"""),326.18628209355467)</f>
        <v>326.1862821</v>
      </c>
      <c r="U677" s="30">
        <f>IFERROR(__xludf.DUMMYFUNCTION("""COMPUTED_VALUE"""),0.737716042100685)</f>
        <v>0.7377160421</v>
      </c>
      <c r="V677" s="30">
        <f>IFERROR(__xludf.DUMMYFUNCTION("""COMPUTED_VALUE"""),0.5042847625458091)</f>
        <v>0.5042847625</v>
      </c>
      <c r="W677" s="30">
        <f>IFERROR(__xludf.DUMMYFUNCTION("""COMPUTED_VALUE"""),1.2176962594160217)</f>
        <v>1.217696259</v>
      </c>
      <c r="X677" s="30">
        <f>IFERROR(__xludf.DUMMYFUNCTION("""COMPUTED_VALUE"""),2.38990201892572)</f>
        <v>2.389902019</v>
      </c>
      <c r="Y677" s="30">
        <f>IFERROR(__xludf.DUMMYFUNCTION("""COMPUTED_VALUE"""),340.990314426721)</f>
        <v>340.9903144</v>
      </c>
      <c r="Z677" s="30">
        <f>IFERROR(__xludf.DUMMYFUNCTION("""COMPUTED_VALUE"""),0.8047398104383818)</f>
        <v>0.8047398104</v>
      </c>
      <c r="AA677" s="30">
        <f>IFERROR(__xludf.DUMMYFUNCTION("""COMPUTED_VALUE"""),0.5553694372913505)</f>
        <v>0.5553694373</v>
      </c>
      <c r="AB677" s="30">
        <f>IFERROR(__xludf.DUMMYFUNCTION("""COMPUTED_VALUE"""),1.213614576178716)</f>
        <v>1.213614576</v>
      </c>
      <c r="AC677" s="30">
        <f>IFERROR(__xludf.DUMMYFUNCTION("""COMPUTED_VALUE"""),2.4951725644780987)</f>
        <v>2.495172564</v>
      </c>
      <c r="AD677" s="30">
        <f>IFERROR(__xludf.DUMMYFUNCTION("""COMPUTED_VALUE"""),0.9911512400027525)</f>
        <v>0.99115124</v>
      </c>
      <c r="AE677" s="30">
        <f>IFERROR(__xludf.DUMMYFUNCTION("""COMPUTED_VALUE"""),1.1418832608993683)</f>
        <v>1.141883261</v>
      </c>
      <c r="AF677" s="30">
        <f>IFERROR(__xludf.DUMMYFUNCTION("""COMPUTED_VALUE"""),0.973299040683381)</f>
        <v>0.9732990407</v>
      </c>
      <c r="AG677" s="30">
        <f>IFERROR(__xludf.DUMMYFUNCTION("""COMPUTED_VALUE"""),0.9353341311286095)</f>
        <v>0.9353341311</v>
      </c>
      <c r="AH677" s="30">
        <f>IFERROR(__xludf.DUMMYFUNCTION("""COMPUTED_VALUE"""),0.9748553935952766)</f>
        <v>0.9748553936</v>
      </c>
      <c r="AI677" s="30">
        <f>IFERROR(__xludf.DUMMYFUNCTION("""COMPUTED_VALUE"""),1.016055676211321)</f>
        <v>1.016055676</v>
      </c>
      <c r="AJ677" s="30">
        <f>IFERROR(__xludf.DUMMYFUNCTION("""COMPUTED_VALUE"""),1.0868704976492436)</f>
        <v>1.086870498</v>
      </c>
      <c r="AK677" s="30">
        <f>IFERROR(__xludf.DUMMYFUNCTION("""COMPUTED_VALUE"""),1.0540305220569643)</f>
        <v>1.054030522</v>
      </c>
      <c r="AL677" s="30">
        <f>IFERROR(__xludf.DUMMYFUNCTION("""COMPUTED_VALUE"""),0.9174021094988499)</f>
        <v>0.9174021095</v>
      </c>
      <c r="AM677" s="30">
        <f>IFERROR(__xludf.DUMMYFUNCTION("""COMPUTED_VALUE"""),1.0177958816595463)</f>
        <v>1.017795882</v>
      </c>
      <c r="AN677" s="30">
        <f>IFERROR(__xludf.DUMMYFUNCTION("""COMPUTED_VALUE"""),1.038895646747019)</f>
        <v>1.038895647</v>
      </c>
      <c r="AO677" s="30">
        <f>IFERROR(__xludf.DUMMYFUNCTION("""COMPUTED_VALUE"""),1.2573395858324399)</f>
        <v>1.257339586</v>
      </c>
      <c r="AP677" s="30">
        <f>IFERROR(__xludf.DUMMYFUNCTION("""COMPUTED_VALUE"""),1.0484710314235968)</f>
        <v>1.048471031</v>
      </c>
      <c r="AQ677" s="30">
        <f>IFERROR(__xludf.DUMMYFUNCTION("""COMPUTED_VALUE"""),0.9414629056253022)</f>
        <v>0.9414629056</v>
      </c>
      <c r="AR677" s="30">
        <f>IFERROR(__xludf.DUMMYFUNCTION("""COMPUTED_VALUE"""),1.0222117089568252)</f>
        <v>1.022211709</v>
      </c>
      <c r="AS677" s="30">
        <f>IFERROR(__xludf.DUMMYFUNCTION("""COMPUTED_VALUE"""),94.0)</f>
        <v>94</v>
      </c>
      <c r="AT677" s="30">
        <f>IFERROR(__xludf.DUMMYFUNCTION("""COMPUTED_VALUE"""),0.5216060836764169)</f>
        <v>0.5216060837</v>
      </c>
      <c r="AU677" s="30">
        <f>IFERROR(__xludf.DUMMYFUNCTION("""COMPUTED_VALUE"""),3.1450182021993407)</f>
        <v>3.145018202</v>
      </c>
      <c r="AV677" s="32">
        <f>IFERROR(__xludf.DUMMYFUNCTION("""COMPUTED_VALUE"""),57.87338323790722)</f>
        <v>57.87338324</v>
      </c>
      <c r="AW677" s="32">
        <f>IFERROR(__xludf.DUMMYFUNCTION("""COMPUTED_VALUE"""),2.6567101797140174)</f>
        <v>2.65671018</v>
      </c>
      <c r="AX677" s="32">
        <f>IFERROR(__xludf.DUMMYFUNCTION("""COMPUTED_VALUE"""),52.3913876272363)</f>
        <v>52.39138763</v>
      </c>
      <c r="AY677" s="32">
        <f>IFERROR(__xludf.DUMMYFUNCTION("""COMPUTED_VALUE"""),2.1649844110805514)</f>
        <v>2.164984411</v>
      </c>
      <c r="AZ677" s="30">
        <f>IFERROR(__xludf.DUMMYFUNCTION("""COMPUTED_VALUE"""),0.49172576863346595)</f>
        <v>0.4917257686</v>
      </c>
      <c r="BA677" s="30">
        <f>IFERROR(__xludf.DUMMYFUNCTION("""COMPUTED_VALUE"""),2300.0)</f>
        <v>2300</v>
      </c>
    </row>
    <row r="678">
      <c r="A678" s="71" t="str">
        <f>IFERROR(__xludf.DUMMYFUNCTION("""COMPUTED_VALUE"""),"Challenger")</f>
        <v>Challenger</v>
      </c>
      <c r="B678" s="71" t="str">
        <f>IFERROR(__xludf.DUMMYFUNCTION("""COMPUTED_VALUE"""),"RSC006072")</f>
        <v>RSC006072</v>
      </c>
      <c r="C678" s="30" t="str">
        <f>IFERROR(__xludf.DUMMYFUNCTION("""COMPUTED_VALUE"""),"AveX InceptionZ")</f>
        <v>AveX InceptionZ</v>
      </c>
      <c r="D678" s="30" t="str">
        <f>IFERROR(__xludf.DUMMYFUNCTION("""COMPUTED_VALUE"""),"Ryujin")</f>
        <v>Ryujin</v>
      </c>
      <c r="E678" s="30">
        <f>IFERROR(__xludf.DUMMYFUNCTION("""COMPUTED_VALUE"""),36.0)</f>
        <v>36</v>
      </c>
      <c r="F678" s="30">
        <f>IFERROR(__xludf.DUMMYFUNCTION("""COMPUTED_VALUE"""),27.0)</f>
        <v>27</v>
      </c>
      <c r="G678" s="42">
        <f>IFERROR(__xludf.DUMMYFUNCTION("""COMPUTED_VALUE"""),9.0)</f>
        <v>9</v>
      </c>
      <c r="H678" s="42">
        <f>IFERROR(__xludf.DUMMYFUNCTION("""COMPUTED_VALUE"""),0.75)</f>
        <v>0.75</v>
      </c>
      <c r="I678" s="42">
        <f>IFERROR(__xludf.DUMMYFUNCTION("""COMPUTED_VALUE"""),0.3246753246753247)</f>
        <v>0.3246753247</v>
      </c>
      <c r="J678" s="30">
        <f>IFERROR(__xludf.DUMMYFUNCTION("""COMPUTED_VALUE"""),315.30555555555554)</f>
        <v>315.3055556</v>
      </c>
      <c r="K678" s="30">
        <f>IFERROR(__xludf.DUMMYFUNCTION("""COMPUTED_VALUE"""),0.6944444444444444)</f>
        <v>0.6944444444</v>
      </c>
      <c r="L678" s="30">
        <f>IFERROR(__xludf.DUMMYFUNCTION("""COMPUTED_VALUE"""),0.5833333333333334)</f>
        <v>0.5833333333</v>
      </c>
      <c r="M678" s="30">
        <f>IFERROR(__xludf.DUMMYFUNCTION("""COMPUTED_VALUE"""),1.1388888888888888)</f>
        <v>1.138888889</v>
      </c>
      <c r="N678" s="30">
        <f>IFERROR(__xludf.DUMMYFUNCTION("""COMPUTED_VALUE"""),2.138888888888889)</f>
        <v>2.138888889</v>
      </c>
      <c r="O678" s="30">
        <f>IFERROR(__xludf.DUMMYFUNCTION("""COMPUTED_VALUE"""),294.05555555555554)</f>
        <v>294.0555556</v>
      </c>
      <c r="P678" s="30">
        <f>IFERROR(__xludf.DUMMYFUNCTION("""COMPUTED_VALUE"""),0.5092592592592591)</f>
        <v>0.5092592593</v>
      </c>
      <c r="Q678" s="30">
        <f>IFERROR(__xludf.DUMMYFUNCTION("""COMPUTED_VALUE"""),0.3518518518518519)</f>
        <v>0.3518518519</v>
      </c>
      <c r="R678" s="30">
        <f>IFERROR(__xludf.DUMMYFUNCTION("""COMPUTED_VALUE"""),1.2407407407407407)</f>
        <v>1.240740741</v>
      </c>
      <c r="S678" s="30">
        <f>IFERROR(__xludf.DUMMYFUNCTION("""COMPUTED_VALUE"""),1.9351851851851853)</f>
        <v>1.935185185</v>
      </c>
      <c r="T678" s="30">
        <f>IFERROR(__xludf.DUMMYFUNCTION("""COMPUTED_VALUE"""),343.0046243372136)</f>
        <v>343.0046243</v>
      </c>
      <c r="U678" s="30">
        <f>IFERROR(__xludf.DUMMYFUNCTION("""COMPUTED_VALUE"""),0.7826962550898532)</f>
        <v>0.7826962551</v>
      </c>
      <c r="V678" s="30">
        <f>IFERROR(__xludf.DUMMYFUNCTION("""COMPUTED_VALUE"""),0.5378047023399991)</f>
        <v>0.5378047023</v>
      </c>
      <c r="W678" s="30">
        <f>IFERROR(__xludf.DUMMYFUNCTION("""COMPUTED_VALUE"""),1.2547159877467076)</f>
        <v>1.254715988</v>
      </c>
      <c r="X678" s="30">
        <f>IFERROR(__xludf.DUMMYFUNCTION("""COMPUTED_VALUE"""),2.508064360901314)</f>
        <v>2.508064361</v>
      </c>
      <c r="Y678" s="30">
        <f>IFERROR(__xludf.DUMMYFUNCTION("""COMPUTED_VALUE"""),327.4857718457069)</f>
        <v>327.4857718</v>
      </c>
      <c r="Z678" s="30">
        <f>IFERROR(__xludf.DUMMYFUNCTION("""COMPUTED_VALUE"""),0.7405422204671942)</f>
        <v>0.7405422205</v>
      </c>
      <c r="AA678" s="30">
        <f>IFERROR(__xludf.DUMMYFUNCTION("""COMPUTED_VALUE"""),0.4905771401560775)</f>
        <v>0.4905771402</v>
      </c>
      <c r="AB678" s="30">
        <f>IFERROR(__xludf.DUMMYFUNCTION("""COMPUTED_VALUE"""),1.2374648037451461)</f>
        <v>1.237464804</v>
      </c>
      <c r="AC678" s="30">
        <f>IFERROR(__xludf.DUMMYFUNCTION("""COMPUTED_VALUE"""),2.3823615935164715)</f>
        <v>2.382361594</v>
      </c>
      <c r="AD678" s="30">
        <f>IFERROR(__xludf.DUMMYFUNCTION("""COMPUTED_VALUE"""),0.9628068840319267)</f>
        <v>0.962806884</v>
      </c>
      <c r="AE678" s="30">
        <f>IFERROR(__xludf.DUMMYFUNCTION("""COMPUTED_VALUE"""),0.937751319575449)</f>
        <v>0.9377513196</v>
      </c>
      <c r="AF678" s="30">
        <f>IFERROR(__xludf.DUMMYFUNCTION("""COMPUTED_VALUE"""),1.1890756531128732)</f>
        <v>1.189075653</v>
      </c>
      <c r="AG678" s="30">
        <f>IFERROR(__xludf.DUMMYFUNCTION("""COMPUTED_VALUE"""),0.9203404294345015)</f>
        <v>0.9203404294</v>
      </c>
      <c r="AH678" s="30">
        <f>IFERROR(__xludf.DUMMYFUNCTION("""COMPUTED_VALUE"""),0.8978019519412223)</f>
        <v>0.8978019519</v>
      </c>
      <c r="AI678" s="30">
        <f>IFERROR(__xludf.DUMMYFUNCTION("""COMPUTED_VALUE"""),0.8572932686367067)</f>
        <v>0.8572932686</v>
      </c>
      <c r="AJ678" s="30">
        <f>IFERROR(__xludf.DUMMYFUNCTION("""COMPUTED_VALUE"""),0.6506473692030076)</f>
        <v>0.6506473692</v>
      </c>
      <c r="AK678" s="30">
        <f>IFERROR(__xludf.DUMMYFUNCTION("""COMPUTED_VALUE"""),0.6542372171922957)</f>
        <v>0.6542372172</v>
      </c>
      <c r="AL678" s="30">
        <f>IFERROR(__xludf.DUMMYFUNCTION("""COMPUTED_VALUE"""),0.9888618243949657)</f>
        <v>0.9888618244</v>
      </c>
      <c r="AM678" s="30">
        <f>IFERROR(__xludf.DUMMYFUNCTION("""COMPUTED_VALUE"""),0.7715851376675776)</f>
        <v>0.7715851377</v>
      </c>
      <c r="AN678" s="30">
        <f>IFERROR(__xludf.DUMMYFUNCTION("""COMPUTED_VALUE"""),0.969218237128127)</f>
        <v>0.9692182371</v>
      </c>
      <c r="AO678" s="30">
        <f>IFERROR(__xludf.DUMMYFUNCTION("""COMPUTED_VALUE"""),0.9501953569403649)</f>
        <v>0.9501953569</v>
      </c>
      <c r="AP678" s="30">
        <f>IFERROR(__xludf.DUMMYFUNCTION("""COMPUTED_VALUE"""),1.1314749880779649)</f>
        <v>1.131474988</v>
      </c>
      <c r="AQ678" s="30">
        <f>IFERROR(__xludf.DUMMYFUNCTION("""COMPUTED_VALUE"""),0.9445762088846452)</f>
        <v>0.9445762089</v>
      </c>
      <c r="AR678" s="30">
        <f>IFERROR(__xludf.DUMMYFUNCTION("""COMPUTED_VALUE"""),0.8988522095117267)</f>
        <v>0.8988522095</v>
      </c>
      <c r="AS678" s="30">
        <f>IFERROR(__xludf.DUMMYFUNCTION("""COMPUTED_VALUE"""),97.0)</f>
        <v>97</v>
      </c>
      <c r="AT678" s="30">
        <f>IFERROR(__xludf.DUMMYFUNCTION("""COMPUTED_VALUE"""),0.7022076562914512)</f>
        <v>0.7022076563</v>
      </c>
      <c r="AU678" s="30">
        <f>IFERROR(__xludf.DUMMYFUNCTION("""COMPUTED_VALUE"""),3.2177887209484277)</f>
        <v>3.217788721</v>
      </c>
      <c r="AV678" s="32">
        <f>IFERROR(__xludf.DUMMYFUNCTION("""COMPUTED_VALUE"""),59.7725672080946)</f>
        <v>59.77256721</v>
      </c>
      <c r="AW678" s="32">
        <f>IFERROR(__xludf.DUMMYFUNCTION("""COMPUTED_VALUE"""),2.874103488838944)</f>
        <v>2.874103489</v>
      </c>
      <c r="AX678" s="32">
        <f>IFERROR(__xludf.DUMMYFUNCTION("""COMPUTED_VALUE"""),55.112957949100334)</f>
        <v>55.11295795</v>
      </c>
      <c r="AY678" s="32">
        <f>IFERROR(__xludf.DUMMYFUNCTION("""COMPUTED_VALUE"""),2.3867815868172766)</f>
        <v>2.386781587</v>
      </c>
      <c r="AZ678" s="30">
        <f>IFERROR(__xludf.DUMMYFUNCTION("""COMPUTED_VALUE"""),0.48732190202166725)</f>
        <v>0.487321902</v>
      </c>
      <c r="BA678" s="30">
        <f>IFERROR(__xludf.DUMMYFUNCTION("""COMPUTED_VALUE"""),2300.0)</f>
        <v>2300</v>
      </c>
    </row>
    <row r="679">
      <c r="A679" s="71" t="str">
        <f>IFERROR(__xludf.DUMMYFUNCTION("""COMPUTED_VALUE"""),"Challenger")</f>
        <v>Challenger</v>
      </c>
      <c r="B679" s="71" t="str">
        <f>IFERROR(__xludf.DUMMYFUNCTION("""COMPUTED_VALUE"""),"RSC007604")</f>
        <v>RSC007604</v>
      </c>
      <c r="C679" s="30" t="str">
        <f>IFERROR(__xludf.DUMMYFUNCTION("""COMPUTED_VALUE"""),"RiisenJT")</f>
        <v>RiisenJT</v>
      </c>
      <c r="D679" s="30" t="str">
        <f>IFERROR(__xludf.DUMMYFUNCTION("""COMPUTED_VALUE"""),"Threshers")</f>
        <v>Threshers</v>
      </c>
      <c r="E679" s="30">
        <f>IFERROR(__xludf.DUMMYFUNCTION("""COMPUTED_VALUE"""),39.0)</f>
        <v>39</v>
      </c>
      <c r="F679" s="30">
        <f>IFERROR(__xludf.DUMMYFUNCTION("""COMPUTED_VALUE"""),11.0)</f>
        <v>11</v>
      </c>
      <c r="G679" s="42">
        <f>IFERROR(__xludf.DUMMYFUNCTION("""COMPUTED_VALUE"""),28.0)</f>
        <v>28</v>
      </c>
      <c r="H679" s="42">
        <f>IFERROR(__xludf.DUMMYFUNCTION("""COMPUTED_VALUE"""),0.28205128205128205)</f>
        <v>0.2820512821</v>
      </c>
      <c r="I679" s="42">
        <f>IFERROR(__xludf.DUMMYFUNCTION("""COMPUTED_VALUE"""),0.2808988764044944)</f>
        <v>0.2808988764</v>
      </c>
      <c r="J679" s="30">
        <f>IFERROR(__xludf.DUMMYFUNCTION("""COMPUTED_VALUE"""),313.6666666666667)</f>
        <v>313.6666667</v>
      </c>
      <c r="K679" s="30">
        <f>IFERROR(__xludf.DUMMYFUNCTION("""COMPUTED_VALUE"""),0.6410256410256411)</f>
        <v>0.641025641</v>
      </c>
      <c r="L679" s="30">
        <f>IFERROR(__xludf.DUMMYFUNCTION("""COMPUTED_VALUE"""),0.4358974358974359)</f>
        <v>0.4358974359</v>
      </c>
      <c r="M679" s="30">
        <f>IFERROR(__xludf.DUMMYFUNCTION("""COMPUTED_VALUE"""),1.1025641025641026)</f>
        <v>1.102564103</v>
      </c>
      <c r="N679" s="30">
        <f>IFERROR(__xludf.DUMMYFUNCTION("""COMPUTED_VALUE"""),2.282051282051282)</f>
        <v>2.282051282</v>
      </c>
      <c r="O679" s="30">
        <f>IFERROR(__xludf.DUMMYFUNCTION("""COMPUTED_VALUE"""),361.2564102564102)</f>
        <v>361.2564103</v>
      </c>
      <c r="P679" s="30">
        <f>IFERROR(__xludf.DUMMYFUNCTION("""COMPUTED_VALUE"""),0.9572649572649572)</f>
        <v>0.9572649573</v>
      </c>
      <c r="Q679" s="30">
        <f>IFERROR(__xludf.DUMMYFUNCTION("""COMPUTED_VALUE"""),0.7008547008547008)</f>
        <v>0.7008547009</v>
      </c>
      <c r="R679" s="30">
        <f>IFERROR(__xludf.DUMMYFUNCTION("""COMPUTED_VALUE"""),1.1538461538461537)</f>
        <v>1.153846154</v>
      </c>
      <c r="S679" s="30">
        <f>IFERROR(__xludf.DUMMYFUNCTION("""COMPUTED_VALUE"""),2.829059829059829)</f>
        <v>2.829059829</v>
      </c>
      <c r="T679" s="30">
        <f>IFERROR(__xludf.DUMMYFUNCTION("""COMPUTED_VALUE"""),347.052492994519)</f>
        <v>347.052493</v>
      </c>
      <c r="U679" s="30">
        <f>IFERROR(__xludf.DUMMYFUNCTION("""COMPUTED_VALUE"""),0.8379320916444059)</f>
        <v>0.8379320916</v>
      </c>
      <c r="V679" s="30">
        <f>IFERROR(__xludf.DUMMYFUNCTION("""COMPUTED_VALUE"""),0.5697077404560333)</f>
        <v>0.5697077405</v>
      </c>
      <c r="W679" s="30">
        <f>IFERROR(__xludf.DUMMYFUNCTION("""COMPUTED_VALUE"""),1.1991202109343573)</f>
        <v>1.199120211</v>
      </c>
      <c r="X679" s="30">
        <f>IFERROR(__xludf.DUMMYFUNCTION("""COMPUTED_VALUE"""),2.5842071624417295)</f>
        <v>2.584207162</v>
      </c>
      <c r="Y679" s="30">
        <f>IFERROR(__xludf.DUMMYFUNCTION("""COMPUTED_VALUE"""),326.1255643776699)</f>
        <v>326.1255644</v>
      </c>
      <c r="Z679" s="30">
        <f>IFERROR(__xludf.DUMMYFUNCTION("""COMPUTED_VALUE"""),0.7240588985422132)</f>
        <v>0.7240588985</v>
      </c>
      <c r="AA679" s="30">
        <f>IFERROR(__xludf.DUMMYFUNCTION("""COMPUTED_VALUE"""),0.4858691182906835)</f>
        <v>0.4858691183</v>
      </c>
      <c r="AB679" s="30">
        <f>IFERROR(__xludf.DUMMYFUNCTION("""COMPUTED_VALUE"""),1.228680615901112)</f>
        <v>1.228680616</v>
      </c>
      <c r="AC679" s="30">
        <f>IFERROR(__xludf.DUMMYFUNCTION("""COMPUTED_VALUE"""),2.341847907832213)</f>
        <v>2.341847908</v>
      </c>
      <c r="AD679" s="30">
        <f>IFERROR(__xludf.DUMMYFUNCTION("""COMPUTED_VALUE"""),0.9617972367950426)</f>
        <v>0.9617972368</v>
      </c>
      <c r="AE679" s="30">
        <f>IFERROR(__xludf.DUMMYFUNCTION("""COMPUTED_VALUE"""),0.8853225094205078)</f>
        <v>0.8853225094</v>
      </c>
      <c r="AF679" s="30">
        <f>IFERROR(__xludf.DUMMYFUNCTION("""COMPUTED_VALUE"""),0.8971499103111328)</f>
        <v>0.8971499103</v>
      </c>
      <c r="AG679" s="30">
        <f>IFERROR(__xludf.DUMMYFUNCTION("""COMPUTED_VALUE"""),0.8973561463370887)</f>
        <v>0.8973561463</v>
      </c>
      <c r="AH679" s="30">
        <f>IFERROR(__xludf.DUMMYFUNCTION("""COMPUTED_VALUE"""),0.9744660506854678)</f>
        <v>0.9744660507</v>
      </c>
      <c r="AI679" s="30">
        <f>IFERROR(__xludf.DUMMYFUNCTION("""COMPUTED_VALUE"""),1.0409272877982627)</f>
        <v>1.040927288</v>
      </c>
      <c r="AJ679" s="30">
        <f>IFERROR(__xludf.DUMMYFUNCTION("""COMPUTED_VALUE"""),1.1424135282685806)</f>
        <v>1.142413528</v>
      </c>
      <c r="AK679" s="30">
        <f>IFERROR(__xludf.DUMMYFUNCTION("""COMPUTED_VALUE"""),1.2302004187158988)</f>
        <v>1.230200419</v>
      </c>
      <c r="AL679" s="30">
        <f>IFERROR(__xludf.DUMMYFUNCTION("""COMPUTED_VALUE"""),0.9622439379510367)</f>
        <v>0.962243938</v>
      </c>
      <c r="AM679" s="30">
        <f>IFERROR(__xludf.DUMMYFUNCTION("""COMPUTED_VALUE"""),1.0947496277298243)</f>
        <v>1.094749628</v>
      </c>
      <c r="AN679" s="30">
        <f>IFERROR(__xludf.DUMMYFUNCTION("""COMPUTED_VALUE"""),0.9641804540261486)</f>
        <v>0.964180454</v>
      </c>
      <c r="AO679" s="30">
        <f>IFERROR(__xludf.DUMMYFUNCTION("""COMPUTED_VALUE"""),0.8771034064064909)</f>
        <v>0.8771034064</v>
      </c>
      <c r="AP679" s="30">
        <f>IFERROR(__xludf.DUMMYFUNCTION("""COMPUTED_VALUE"""),0.8454977932890286)</f>
        <v>0.8454977933</v>
      </c>
      <c r="AQ679" s="30">
        <f>IFERROR(__xludf.DUMMYFUNCTION("""COMPUTED_VALUE"""),0.9144490127288498)</f>
        <v>0.9144490127</v>
      </c>
      <c r="AR679" s="30">
        <f>IFERROR(__xludf.DUMMYFUNCTION("""COMPUTED_VALUE"""),0.9590151446139102)</f>
        <v>0.9590151446</v>
      </c>
      <c r="AS679" s="30">
        <f>IFERROR(__xludf.DUMMYFUNCTION("""COMPUTED_VALUE"""),73.0)</f>
        <v>73</v>
      </c>
      <c r="AT679" s="30">
        <f>IFERROR(__xludf.DUMMYFUNCTION("""COMPUTED_VALUE"""),0.33868614746421954)</f>
        <v>0.3386861475</v>
      </c>
      <c r="AU679" s="30">
        <f>IFERROR(__xludf.DUMMYFUNCTION("""COMPUTED_VALUE"""),2.4088640581312037)</f>
        <v>2.408864058</v>
      </c>
      <c r="AV679" s="32">
        <f>IFERROR(__xludf.DUMMYFUNCTION("""COMPUTED_VALUE"""),38.661040464567265)</f>
        <v>38.66104046</v>
      </c>
      <c r="AW679" s="32">
        <f>IFERROR(__xludf.DUMMYFUNCTION("""COMPUTED_VALUE"""),-3.0762287282749217)</f>
        <v>-3.076228728</v>
      </c>
      <c r="AX679" s="32">
        <f>IFERROR(__xludf.DUMMYFUNCTION("""COMPUTED_VALUE"""),35.67651827236512)</f>
        <v>35.67651827</v>
      </c>
      <c r="AY679" s="32">
        <f>IFERROR(__xludf.DUMMYFUNCTION("""COMPUTED_VALUE"""),-3.529292507138993)</f>
        <v>-3.529292507</v>
      </c>
      <c r="AZ679" s="30">
        <f>IFERROR(__xludf.DUMMYFUNCTION("""COMPUTED_VALUE"""),0.45306377886407123)</f>
        <v>0.4530637789</v>
      </c>
      <c r="BA679" s="30">
        <f>IFERROR(__xludf.DUMMYFUNCTION("""COMPUTED_VALUE"""),2300.0)</f>
        <v>2300</v>
      </c>
    </row>
    <row r="680">
      <c r="A680" s="71" t="str">
        <f>IFERROR(__xludf.DUMMYFUNCTION("""COMPUTED_VALUE"""),"Challenger")</f>
        <v>Challenger</v>
      </c>
      <c r="B680" s="71" t="str">
        <f>IFERROR(__xludf.DUMMYFUNCTION("""COMPUTED_VALUE"""),"RSC005844")</f>
        <v>RSC005844</v>
      </c>
      <c r="C680" s="30" t="str">
        <f>IFERROR(__xludf.DUMMYFUNCTION("""COMPUTED_VALUE"""),"xr.")</f>
        <v>xr.</v>
      </c>
      <c r="D680" s="30" t="str">
        <f>IFERROR(__xludf.DUMMYFUNCTION("""COMPUTED_VALUE"""),"Bingo")</f>
        <v>Bingo</v>
      </c>
      <c r="E680" s="30">
        <f>IFERROR(__xludf.DUMMYFUNCTION("""COMPUTED_VALUE"""),35.0)</f>
        <v>35</v>
      </c>
      <c r="F680" s="30">
        <f>IFERROR(__xludf.DUMMYFUNCTION("""COMPUTED_VALUE"""),15.0)</f>
        <v>15</v>
      </c>
      <c r="G680" s="42">
        <f>IFERROR(__xludf.DUMMYFUNCTION("""COMPUTED_VALUE"""),20.0)</f>
        <v>20</v>
      </c>
      <c r="H680" s="42">
        <f>IFERROR(__xludf.DUMMYFUNCTION("""COMPUTED_VALUE"""),0.42857142857142855)</f>
        <v>0.4285714286</v>
      </c>
      <c r="I680" s="42">
        <f>IFERROR(__xludf.DUMMYFUNCTION("""COMPUTED_VALUE"""),0.22222222222222224)</f>
        <v>0.2222222222</v>
      </c>
      <c r="J680" s="30">
        <f>IFERROR(__xludf.DUMMYFUNCTION("""COMPUTED_VALUE"""),293.9142857142857)</f>
        <v>293.9142857</v>
      </c>
      <c r="K680" s="30">
        <f>IFERROR(__xludf.DUMMYFUNCTION("""COMPUTED_VALUE"""),0.4)</f>
        <v>0.4</v>
      </c>
      <c r="L680" s="30">
        <f>IFERROR(__xludf.DUMMYFUNCTION("""COMPUTED_VALUE"""),0.45714285714285713)</f>
        <v>0.4571428571</v>
      </c>
      <c r="M680" s="30">
        <f>IFERROR(__xludf.DUMMYFUNCTION("""COMPUTED_VALUE"""),1.4)</f>
        <v>1.4</v>
      </c>
      <c r="N680" s="30">
        <f>IFERROR(__xludf.DUMMYFUNCTION("""COMPUTED_VALUE"""),1.8)</f>
        <v>1.8</v>
      </c>
      <c r="O680" s="30">
        <f>IFERROR(__xludf.DUMMYFUNCTION("""COMPUTED_VALUE"""),344.5428571428571)</f>
        <v>344.5428571</v>
      </c>
      <c r="P680" s="30">
        <f>IFERROR(__xludf.DUMMYFUNCTION("""COMPUTED_VALUE"""),0.8380952380952381)</f>
        <v>0.8380952381</v>
      </c>
      <c r="Q680" s="30">
        <f>IFERROR(__xludf.DUMMYFUNCTION("""COMPUTED_VALUE"""),0.5999999999999999)</f>
        <v>0.6</v>
      </c>
      <c r="R680" s="30">
        <f>IFERROR(__xludf.DUMMYFUNCTION("""COMPUTED_VALUE"""),1.0476190476190474)</f>
        <v>1.047619048</v>
      </c>
      <c r="S680" s="30">
        <f>IFERROR(__xludf.DUMMYFUNCTION("""COMPUTED_VALUE"""),2.7142857142857144)</f>
        <v>2.714285714</v>
      </c>
      <c r="T680" s="30">
        <f>IFERROR(__xludf.DUMMYFUNCTION("""COMPUTED_VALUE"""),336.8434662914438)</f>
        <v>336.8434663</v>
      </c>
      <c r="U680" s="30">
        <f>IFERROR(__xludf.DUMMYFUNCTION("""COMPUTED_VALUE"""),0.7882506093015259)</f>
        <v>0.7882506093</v>
      </c>
      <c r="V680" s="30">
        <f>IFERROR(__xludf.DUMMYFUNCTION("""COMPUTED_VALUE"""),0.5542638146814381)</f>
        <v>0.5542638147</v>
      </c>
      <c r="W680" s="30">
        <f>IFERROR(__xludf.DUMMYFUNCTION("""COMPUTED_VALUE"""),1.1812168635193363)</f>
        <v>1.181216864</v>
      </c>
      <c r="X680" s="30">
        <f>IFERROR(__xludf.DUMMYFUNCTION("""COMPUTED_VALUE"""),2.588278543939232)</f>
        <v>2.588278544</v>
      </c>
      <c r="Y680" s="30">
        <f>IFERROR(__xludf.DUMMYFUNCTION("""COMPUTED_VALUE"""),333.1018878409065)</f>
        <v>333.1018878</v>
      </c>
      <c r="Z680" s="30">
        <f>IFERROR(__xludf.DUMMYFUNCTION("""COMPUTED_VALUE"""),0.7223756535468601)</f>
        <v>0.7223756535</v>
      </c>
      <c r="AA680" s="30">
        <f>IFERROR(__xludf.DUMMYFUNCTION("""COMPUTED_VALUE"""),0.5046075175347091)</f>
        <v>0.5046075175</v>
      </c>
      <c r="AB680" s="30">
        <f>IFERROR(__xludf.DUMMYFUNCTION("""COMPUTED_VALUE"""),1.3101729607204091)</f>
        <v>1.310172961</v>
      </c>
      <c r="AC680" s="30">
        <f>IFERROR(__xludf.DUMMYFUNCTION("""COMPUTED_VALUE"""),2.3300054212968946)</f>
        <v>2.330005421</v>
      </c>
      <c r="AD680" s="30">
        <f>IFERROR(__xludf.DUMMYFUNCTION("""COMPUTED_VALUE"""),0.8823555087585175)</f>
        <v>0.8823555088</v>
      </c>
      <c r="AE680" s="30">
        <f>IFERROR(__xludf.DUMMYFUNCTION("""COMPUTED_VALUE"""),0.5537285178923216)</f>
        <v>0.5537285179</v>
      </c>
      <c r="AF680" s="30">
        <f>IFERROR(__xludf.DUMMYFUNCTION("""COMPUTED_VALUE"""),0.9059374687405699)</f>
        <v>0.9059374687</v>
      </c>
      <c r="AG680" s="30">
        <f>IFERROR(__xludf.DUMMYFUNCTION("""COMPUTED_VALUE"""),1.068561206781583)</f>
        <v>1.068561207</v>
      </c>
      <c r="AH680" s="30">
        <f>IFERROR(__xludf.DUMMYFUNCTION("""COMPUTED_VALUE"""),0.7725303913662611)</f>
        <v>0.7725303914</v>
      </c>
      <c r="AI680" s="30">
        <f>IFERROR(__xludf.DUMMYFUNCTION("""COMPUTED_VALUE"""),1.0228574742333034)</f>
        <v>1.022857474</v>
      </c>
      <c r="AJ680" s="30">
        <f>IFERROR(__xludf.DUMMYFUNCTION("""COMPUTED_VALUE"""),1.0632344944685548)</f>
        <v>1.063234494</v>
      </c>
      <c r="AK680" s="30">
        <f>IFERROR(__xludf.DUMMYFUNCTION("""COMPUTED_VALUE"""),1.0825169966126122)</f>
        <v>1.082516997</v>
      </c>
      <c r="AL680" s="30">
        <f>IFERROR(__xludf.DUMMYFUNCTION("""COMPUTED_VALUE"""),0.8868981471342651)</f>
        <v>0.8868981471</v>
      </c>
      <c r="AM680" s="30">
        <f>IFERROR(__xludf.DUMMYFUNCTION("""COMPUTED_VALUE"""),1.0486837750293698)</f>
        <v>1.048683775</v>
      </c>
      <c r="AN680" s="30">
        <f>IFERROR(__xludf.DUMMYFUNCTION("""COMPUTED_VALUE"""),0.9034635795263691)</f>
        <v>0.9034635795</v>
      </c>
      <c r="AO680" s="30">
        <f>IFERROR(__xludf.DUMMYFUNCTION("""COMPUTED_VALUE"""),0.5473125255976503)</f>
        <v>0.5473125256</v>
      </c>
      <c r="AP680" s="30">
        <f>IFERROR(__xludf.DUMMYFUNCTION("""COMPUTED_VALUE"""),0.8867069294325275)</f>
        <v>0.8867069294</v>
      </c>
      <c r="AQ680" s="30">
        <f>IFERROR(__xludf.DUMMYFUNCTION("""COMPUTED_VALUE"""),1.1611375836045394)</f>
        <v>1.161137584</v>
      </c>
      <c r="AR680" s="30">
        <f>IFERROR(__xludf.DUMMYFUNCTION("""COMPUTED_VALUE"""),0.7564366646280506)</f>
        <v>0.7564366646</v>
      </c>
      <c r="AS680" s="30">
        <f>IFERROR(__xludf.DUMMYFUNCTION("""COMPUTED_VALUE"""),70.0)</f>
        <v>70</v>
      </c>
      <c r="AT680" s="30">
        <f>IFERROR(__xludf.DUMMYFUNCTION("""COMPUTED_VALUE"""),0.4127285168527257)</f>
        <v>0.4127285169</v>
      </c>
      <c r="AU680" s="30">
        <f>IFERROR(__xludf.DUMMYFUNCTION("""COMPUTED_VALUE"""),1.8163256348113264)</f>
        <v>1.816325635</v>
      </c>
      <c r="AV680" s="32">
        <f>IFERROR(__xludf.DUMMYFUNCTION("""COMPUTED_VALUE"""),23.196818213116888)</f>
        <v>23.19681821</v>
      </c>
      <c r="AW680" s="32">
        <f>IFERROR(__xludf.DUMMYFUNCTION("""COMPUTED_VALUE"""),-7.050623127220853)</f>
        <v>-7.050623127</v>
      </c>
      <c r="AX680" s="32">
        <f>IFERROR(__xludf.DUMMYFUNCTION("""COMPUTED_VALUE"""),24.1588699791712)</f>
        <v>24.15886998</v>
      </c>
      <c r="AY680" s="32">
        <f>IFERROR(__xludf.DUMMYFUNCTION("""COMPUTED_VALUE"""),-6.63785703859905)</f>
        <v>-6.637857039</v>
      </c>
      <c r="AZ680" s="30">
        <f>IFERROR(__xludf.DUMMYFUNCTION("""COMPUTED_VALUE"""),0.41276608862180364)</f>
        <v>0.4127660886</v>
      </c>
      <c r="BA680" s="30">
        <f>IFERROR(__xludf.DUMMYFUNCTION("""COMPUTED_VALUE"""),2300.0)</f>
        <v>2300</v>
      </c>
    </row>
    <row r="681">
      <c r="A681" s="71" t="str">
        <f>IFERROR(__xludf.DUMMYFUNCTION("""COMPUTED_VALUE"""),"Challenger")</f>
        <v>Challenger</v>
      </c>
      <c r="B681" s="71" t="str">
        <f>IFERROR(__xludf.DUMMYFUNCTION("""COMPUTED_VALUE"""),"RSC007307")</f>
        <v>RSC007307</v>
      </c>
      <c r="C681" s="30" t="str">
        <f>IFERROR(__xludf.DUMMYFUNCTION("""COMPUTED_VALUE"""),"Jmh187-")</f>
        <v>Jmh187-</v>
      </c>
      <c r="D681" s="30" t="str">
        <f>IFERROR(__xludf.DUMMYFUNCTION("""COMPUTED_VALUE"""),"Chromatic Chaos")</f>
        <v>Chromatic Chaos</v>
      </c>
      <c r="E681" s="30">
        <f>IFERROR(__xludf.DUMMYFUNCTION("""COMPUTED_VALUE"""),39.0)</f>
        <v>39</v>
      </c>
      <c r="F681" s="30">
        <f>IFERROR(__xludf.DUMMYFUNCTION("""COMPUTED_VALUE"""),14.0)</f>
        <v>14</v>
      </c>
      <c r="G681" s="42">
        <f>IFERROR(__xludf.DUMMYFUNCTION("""COMPUTED_VALUE"""),25.0)</f>
        <v>25</v>
      </c>
      <c r="H681" s="42">
        <f>IFERROR(__xludf.DUMMYFUNCTION("""COMPUTED_VALUE"""),0.358974358974359)</f>
        <v>0.358974359</v>
      </c>
      <c r="I681" s="42">
        <f>IFERROR(__xludf.DUMMYFUNCTION("""COMPUTED_VALUE"""),0.34782608695652173)</f>
        <v>0.347826087</v>
      </c>
      <c r="J681" s="30">
        <f>IFERROR(__xludf.DUMMYFUNCTION("""COMPUTED_VALUE"""),368.02564102564105)</f>
        <v>368.025641</v>
      </c>
      <c r="K681" s="30">
        <f>IFERROR(__xludf.DUMMYFUNCTION("""COMPUTED_VALUE"""),0.8205128205128205)</f>
        <v>0.8205128205</v>
      </c>
      <c r="L681" s="30">
        <f>IFERROR(__xludf.DUMMYFUNCTION("""COMPUTED_VALUE"""),0.48717948717948717)</f>
        <v>0.4871794872</v>
      </c>
      <c r="M681" s="30">
        <f>IFERROR(__xludf.DUMMYFUNCTION("""COMPUTED_VALUE"""),1.794871794871795)</f>
        <v>1.794871795</v>
      </c>
      <c r="N681" s="30">
        <f>IFERROR(__xludf.DUMMYFUNCTION("""COMPUTED_VALUE"""),2.358974358974359)</f>
        <v>2.358974359</v>
      </c>
      <c r="O681" s="30">
        <f>IFERROR(__xludf.DUMMYFUNCTION("""COMPUTED_VALUE"""),344.25641025641033)</f>
        <v>344.2564103</v>
      </c>
      <c r="P681" s="30">
        <f>IFERROR(__xludf.DUMMYFUNCTION("""COMPUTED_VALUE"""),0.9230769230769231)</f>
        <v>0.9230769231</v>
      </c>
      <c r="Q681" s="30">
        <f>IFERROR(__xludf.DUMMYFUNCTION("""COMPUTED_VALUE"""),0.5213675213675213)</f>
        <v>0.5213675214</v>
      </c>
      <c r="R681" s="30">
        <f>IFERROR(__xludf.DUMMYFUNCTION("""COMPUTED_VALUE"""),1.1025641025641026)</f>
        <v>1.102564103</v>
      </c>
      <c r="S681" s="30">
        <f>IFERROR(__xludf.DUMMYFUNCTION("""COMPUTED_VALUE"""),2.7606837606837606)</f>
        <v>2.760683761</v>
      </c>
      <c r="T681" s="30">
        <f>IFERROR(__xludf.DUMMYFUNCTION("""COMPUTED_VALUE"""),330.349795858606)</f>
        <v>330.3497959</v>
      </c>
      <c r="U681" s="30">
        <f>IFERROR(__xludf.DUMMYFUNCTION("""COMPUTED_VALUE"""),0.7643839907144789)</f>
        <v>0.7643839907</v>
      </c>
      <c r="V681" s="30">
        <f>IFERROR(__xludf.DUMMYFUNCTION("""COMPUTED_VALUE"""),0.5082410661381633)</f>
        <v>0.5082410661</v>
      </c>
      <c r="W681" s="30">
        <f>IFERROR(__xludf.DUMMYFUNCTION("""COMPUTED_VALUE"""),1.1779095882417072)</f>
        <v>1.177909588</v>
      </c>
      <c r="X681" s="30">
        <f>IFERROR(__xludf.DUMMYFUNCTION("""COMPUTED_VALUE"""),2.4501489154983607)</f>
        <v>2.450148915</v>
      </c>
      <c r="Y681" s="30">
        <f>IFERROR(__xludf.DUMMYFUNCTION("""COMPUTED_VALUE"""),336.1063536407998)</f>
        <v>336.1063536</v>
      </c>
      <c r="Z681" s="30">
        <f>IFERROR(__xludf.DUMMYFUNCTION("""COMPUTED_VALUE"""),0.7687544524615098)</f>
        <v>0.7687544525</v>
      </c>
      <c r="AA681" s="30">
        <f>IFERROR(__xludf.DUMMYFUNCTION("""COMPUTED_VALUE"""),0.5176747563284095)</f>
        <v>0.5176747563</v>
      </c>
      <c r="AB681" s="30">
        <f>IFERROR(__xludf.DUMMYFUNCTION("""COMPUTED_VALUE"""),1.2348427719072215)</f>
        <v>1.234842772</v>
      </c>
      <c r="AC681" s="30">
        <f>IFERROR(__xludf.DUMMYFUNCTION("""COMPUTED_VALUE"""),2.3964239829247576)</f>
        <v>2.396423983</v>
      </c>
      <c r="AD681" s="30">
        <f>IFERROR(__xludf.DUMMYFUNCTION("""COMPUTED_VALUE"""),1.0949678190819139)</f>
        <v>1.094967819</v>
      </c>
      <c r="AE681" s="30">
        <f>IFERROR(__xludf.DUMMYFUNCTION("""COMPUTED_VALUE"""),1.0673275684915817)</f>
        <v>1.067327568</v>
      </c>
      <c r="AF681" s="30">
        <f>IFERROR(__xludf.DUMMYFUNCTION("""COMPUTED_VALUE"""),0.9410918365708828)</f>
        <v>0.9410918366</v>
      </c>
      <c r="AG681" s="30">
        <f>IFERROR(__xludf.DUMMYFUNCTION("""COMPUTED_VALUE"""),1.453522533965685)</f>
        <v>1.453522534</v>
      </c>
      <c r="AH681" s="30">
        <f>IFERROR(__xludf.DUMMYFUNCTION("""COMPUTED_VALUE"""),0.9843727052402921)</f>
        <v>0.9843727052</v>
      </c>
      <c r="AI681" s="30">
        <f>IFERROR(__xludf.DUMMYFUNCTION("""COMPUTED_VALUE"""),1.0420966338473432)</f>
        <v>1.042096634</v>
      </c>
      <c r="AJ681" s="30">
        <f>IFERROR(__xludf.DUMMYFUNCTION("""COMPUTED_VALUE"""),1.20760891684049)</f>
        <v>1.207608917</v>
      </c>
      <c r="AK681" s="30">
        <f>IFERROR(__xludf.DUMMYFUNCTION("""COMPUTED_VALUE"""),1.0258272227569065)</f>
        <v>1.025827223</v>
      </c>
      <c r="AL681" s="30">
        <f>IFERROR(__xludf.DUMMYFUNCTION("""COMPUTED_VALUE"""),0.9360345764821606)</f>
        <v>0.9360345765</v>
      </c>
      <c r="AM681" s="30">
        <f>IFERROR(__xludf.DUMMYFUNCTION("""COMPUTED_VALUE"""),1.1267412128385825)</f>
        <v>1.126741213</v>
      </c>
      <c r="AN681" s="30">
        <f>IFERROR(__xludf.DUMMYFUNCTION("""COMPUTED_VALUE"""),1.1312745897684386)</f>
        <v>1.13127459</v>
      </c>
      <c r="AO681" s="30">
        <f>IFERROR(__xludf.DUMMYFUNCTION("""COMPUTED_VALUE"""),1.122692360200308)</f>
        <v>1.12269236</v>
      </c>
      <c r="AP681" s="30">
        <f>IFERROR(__xludf.DUMMYFUNCTION("""COMPUTED_VALUE"""),0.9449681219112672)</f>
        <v>0.9449681219</v>
      </c>
      <c r="AQ681" s="30">
        <f>IFERROR(__xludf.DUMMYFUNCTION("""COMPUTED_VALUE"""),1.4886379276981276)</f>
        <v>1.488637928</v>
      </c>
      <c r="AR681" s="30">
        <f>IFERROR(__xludf.DUMMYFUNCTION("""COMPUTED_VALUE"""),0.9913414978031432)</f>
        <v>0.9913414978</v>
      </c>
      <c r="AS681" s="30">
        <f>IFERROR(__xludf.DUMMYFUNCTION("""COMPUTED_VALUE"""),83.0)</f>
        <v>83</v>
      </c>
      <c r="AT681" s="30">
        <f>IFERROR(__xludf.DUMMYFUNCTION("""COMPUTED_VALUE"""),0.3976203194467105)</f>
        <v>0.3976203194</v>
      </c>
      <c r="AU681" s="30">
        <f>IFERROR(__xludf.DUMMYFUNCTION("""COMPUTED_VALUE"""),2.9748508673673695)</f>
        <v>2.974850867</v>
      </c>
      <c r="AV681" s="32">
        <f>IFERROR(__xludf.DUMMYFUNCTION("""COMPUTED_VALUE"""),53.432311769436424)</f>
        <v>53.43231177</v>
      </c>
      <c r="AW681" s="32">
        <f>IFERROR(__xludf.DUMMYFUNCTION("""COMPUTED_VALUE"""),2.245173832202852)</f>
        <v>2.245173832</v>
      </c>
      <c r="AX681" s="32">
        <f>IFERROR(__xludf.DUMMYFUNCTION("""COMPUTED_VALUE"""),57.86063545012971)</f>
        <v>57.86063545</v>
      </c>
      <c r="AY681" s="32">
        <f>IFERROR(__xludf.DUMMYFUNCTION("""COMPUTED_VALUE"""),2.6553444423518995)</f>
        <v>2.655344442</v>
      </c>
      <c r="AZ681" s="30">
        <f>IFERROR(__xludf.DUMMYFUNCTION("""COMPUTED_VALUE"""),0.41017061014904765)</f>
        <v>0.4101706101</v>
      </c>
      <c r="BA681" s="30">
        <f>IFERROR(__xludf.DUMMYFUNCTION("""COMPUTED_VALUE"""),2300.0)</f>
        <v>2300</v>
      </c>
    </row>
    <row r="682">
      <c r="A682" s="71" t="str">
        <f>IFERROR(__xludf.DUMMYFUNCTION("""COMPUTED_VALUE"""),"Challenger")</f>
        <v>Challenger</v>
      </c>
      <c r="B682" s="71" t="str">
        <f>IFERROR(__xludf.DUMMYFUNCTION("""COMPUTED_VALUE"""),"RSC003424")</f>
        <v>RSC003424</v>
      </c>
      <c r="C682" s="30" t="str">
        <f>IFERROR(__xludf.DUMMYFUNCTION("""COMPUTED_VALUE"""),"Fryder")</f>
        <v>Fryder</v>
      </c>
      <c r="D682" s="30" t="str">
        <f>IFERROR(__xludf.DUMMYFUNCTION("""COMPUTED_VALUE"""),"Metal")</f>
        <v>Metal</v>
      </c>
      <c r="E682" s="30">
        <f>IFERROR(__xludf.DUMMYFUNCTION("""COMPUTED_VALUE"""),37.0)</f>
        <v>37</v>
      </c>
      <c r="F682" s="30">
        <f>IFERROR(__xludf.DUMMYFUNCTION("""COMPUTED_VALUE"""),16.0)</f>
        <v>16</v>
      </c>
      <c r="G682" s="42">
        <f>IFERROR(__xludf.DUMMYFUNCTION("""COMPUTED_VALUE"""),21.0)</f>
        <v>21</v>
      </c>
      <c r="H682" s="42">
        <f>IFERROR(__xludf.DUMMYFUNCTION("""COMPUTED_VALUE"""),0.43243243243243246)</f>
        <v>0.4324324324</v>
      </c>
      <c r="I682" s="42">
        <f>IFERROR(__xludf.DUMMYFUNCTION("""COMPUTED_VALUE"""),0.3409090909090909)</f>
        <v>0.3409090909</v>
      </c>
      <c r="J682" s="30">
        <f>IFERROR(__xludf.DUMMYFUNCTION("""COMPUTED_VALUE"""),354.4054054054054)</f>
        <v>354.4054054</v>
      </c>
      <c r="K682" s="30">
        <f>IFERROR(__xludf.DUMMYFUNCTION("""COMPUTED_VALUE"""),0.8108108108108109)</f>
        <v>0.8108108108</v>
      </c>
      <c r="L682" s="30">
        <f>IFERROR(__xludf.DUMMYFUNCTION("""COMPUTED_VALUE"""),0.5675675675675675)</f>
        <v>0.5675675676</v>
      </c>
      <c r="M682" s="30">
        <f>IFERROR(__xludf.DUMMYFUNCTION("""COMPUTED_VALUE"""),1.3783783783783783)</f>
        <v>1.378378378</v>
      </c>
      <c r="N682" s="30">
        <f>IFERROR(__xludf.DUMMYFUNCTION("""COMPUTED_VALUE"""),2.3783783783783785)</f>
        <v>2.378378378</v>
      </c>
      <c r="O682" s="30">
        <f>IFERROR(__xludf.DUMMYFUNCTION("""COMPUTED_VALUE"""),331.73873873873873)</f>
        <v>331.7387387</v>
      </c>
      <c r="P682" s="30">
        <f>IFERROR(__xludf.DUMMYFUNCTION("""COMPUTED_VALUE"""),0.8018018018018018)</f>
        <v>0.8018018018</v>
      </c>
      <c r="Q682" s="30">
        <f>IFERROR(__xludf.DUMMYFUNCTION("""COMPUTED_VALUE"""),0.5495495495495494)</f>
        <v>0.5495495495</v>
      </c>
      <c r="R682" s="30">
        <f>IFERROR(__xludf.DUMMYFUNCTION("""COMPUTED_VALUE"""),1.1261261261261262)</f>
        <v>1.126126126</v>
      </c>
      <c r="S682" s="30">
        <f>IFERROR(__xludf.DUMMYFUNCTION("""COMPUTED_VALUE"""),2.3963963963963963)</f>
        <v>2.396396396</v>
      </c>
      <c r="T682" s="30">
        <f>IFERROR(__xludf.DUMMYFUNCTION("""COMPUTED_VALUE"""),326.1862820935546)</f>
        <v>326.1862821</v>
      </c>
      <c r="U682" s="30">
        <f>IFERROR(__xludf.DUMMYFUNCTION("""COMPUTED_VALUE"""),0.737716042100685)</f>
        <v>0.7377160421</v>
      </c>
      <c r="V682" s="30">
        <f>IFERROR(__xludf.DUMMYFUNCTION("""COMPUTED_VALUE"""),0.5042847625458091)</f>
        <v>0.5042847625</v>
      </c>
      <c r="W682" s="30">
        <f>IFERROR(__xludf.DUMMYFUNCTION("""COMPUTED_VALUE"""),1.2176962594160217)</f>
        <v>1.217696259</v>
      </c>
      <c r="X682" s="30">
        <f>IFERROR(__xludf.DUMMYFUNCTION("""COMPUTED_VALUE"""),2.38990201892572)</f>
        <v>2.389902019</v>
      </c>
      <c r="Y682" s="30">
        <f>IFERROR(__xludf.DUMMYFUNCTION("""COMPUTED_VALUE"""),340.990314426721)</f>
        <v>340.9903144</v>
      </c>
      <c r="Z682" s="30">
        <f>IFERROR(__xludf.DUMMYFUNCTION("""COMPUTED_VALUE"""),0.8047398104383818)</f>
        <v>0.8047398104</v>
      </c>
      <c r="AA682" s="30">
        <f>IFERROR(__xludf.DUMMYFUNCTION("""COMPUTED_VALUE"""),0.5553694372913504)</f>
        <v>0.5553694373</v>
      </c>
      <c r="AB682" s="30">
        <f>IFERROR(__xludf.DUMMYFUNCTION("""COMPUTED_VALUE"""),1.213614576178716)</f>
        <v>1.213614576</v>
      </c>
      <c r="AC682" s="30">
        <f>IFERROR(__xludf.DUMMYFUNCTION("""COMPUTED_VALUE"""),2.4951725644780987)</f>
        <v>2.495172564</v>
      </c>
      <c r="AD682" s="30">
        <f>IFERROR(__xludf.DUMMYFUNCTION("""COMPUTED_VALUE"""),1.0393415601884122)</f>
        <v>1.03934156</v>
      </c>
      <c r="AE682" s="30">
        <f>IFERROR(__xludf.DUMMYFUNCTION("""COMPUTED_VALUE"""),1.0075440537347367)</f>
        <v>1.007544054</v>
      </c>
      <c r="AF682" s="30">
        <f>IFERROR(__xludf.DUMMYFUNCTION("""COMPUTED_VALUE"""),1.0219639927175503)</f>
        <v>1.021963993</v>
      </c>
      <c r="AG682" s="30">
        <f>IFERROR(__xludf.DUMMYFUNCTION("""COMPUTED_VALUE"""),1.1357628735133116)</f>
        <v>1.135762874</v>
      </c>
      <c r="AH682" s="30">
        <f>IFERROR(__xludf.DUMMYFUNCTION("""COMPUTED_VALUE"""),0.9531919404042705)</f>
        <v>0.9531919404</v>
      </c>
      <c r="AI682" s="30">
        <f>IFERROR(__xludf.DUMMYFUNCTION("""COMPUTED_VALUE"""),1.0170223487313657)</f>
        <v>1.017022349</v>
      </c>
      <c r="AJ682" s="30">
        <f>IFERROR(__xludf.DUMMYFUNCTION("""COMPUTED_VALUE"""),1.0868704976492436)</f>
        <v>1.086870498</v>
      </c>
      <c r="AK682" s="30">
        <f>IFERROR(__xludf.DUMMYFUNCTION("""COMPUTED_VALUE"""),1.089760370262285)</f>
        <v>1.08976037</v>
      </c>
      <c r="AL682" s="30">
        <f>IFERROR(__xludf.DUMMYFUNCTION("""COMPUTED_VALUE"""),0.9248005136077116)</f>
        <v>0.9248005136</v>
      </c>
      <c r="AM682" s="30">
        <f>IFERROR(__xludf.DUMMYFUNCTION("""COMPUTED_VALUE"""),1.0027174241534789)</f>
        <v>1.002717424</v>
      </c>
      <c r="AN682" s="30">
        <f>IFERROR(__xludf.DUMMYFUNCTION("""COMPUTED_VALUE"""),1.0894073263329598)</f>
        <v>1.089407326</v>
      </c>
      <c r="AO682" s="30">
        <f>IFERROR(__xludf.DUMMYFUNCTION("""COMPUTED_VALUE"""),1.1094172816168586)</f>
        <v>1.109417282</v>
      </c>
      <c r="AP682" s="30">
        <f>IFERROR(__xludf.DUMMYFUNCTION("""COMPUTED_VALUE"""),1.1008945829947765)</f>
        <v>1.100894583</v>
      </c>
      <c r="AQ682" s="30">
        <f>IFERROR(__xludf.DUMMYFUNCTION("""COMPUTED_VALUE"""),1.143204956830724)</f>
        <v>1.143204957</v>
      </c>
      <c r="AR682" s="30">
        <f>IFERROR(__xludf.DUMMYFUNCTION("""COMPUTED_VALUE"""),0.9994958932022291)</f>
        <v>0.9994958932</v>
      </c>
      <c r="AS682" s="30">
        <f>IFERROR(__xludf.DUMMYFUNCTION("""COMPUTED_VALUE"""),82.0)</f>
        <v>82</v>
      </c>
      <c r="AT682" s="30">
        <f>IFERROR(__xludf.DUMMYFUNCTION("""COMPUTED_VALUE"""),0.4682658755159971)</f>
        <v>0.4682658755</v>
      </c>
      <c r="AU682" s="30">
        <f>IFERROR(__xludf.DUMMYFUNCTION("""COMPUTED_VALUE"""),3.0324744746101584)</f>
        <v>3.032474475</v>
      </c>
      <c r="AV682" s="32">
        <f>IFERROR(__xludf.DUMMYFUNCTION("""COMPUTED_VALUE"""),54.93618769420783)</f>
        <v>54.93618769</v>
      </c>
      <c r="AW682" s="32">
        <f>IFERROR(__xludf.DUMMYFUNCTION("""COMPUTED_VALUE"""),2.371136565844816)</f>
        <v>2.371136566</v>
      </c>
      <c r="AX682" s="32">
        <f>IFERROR(__xludf.DUMMYFUNCTION("""COMPUTED_VALUE"""),58.896463627916006)</f>
        <v>58.89646363</v>
      </c>
      <c r="AY682" s="32">
        <f>IFERROR(__xludf.DUMMYFUNCTION("""COMPUTED_VALUE"""),2.7702883708861785)</f>
        <v>2.770288371</v>
      </c>
      <c r="AZ682" s="30">
        <f>IFERROR(__xludf.DUMMYFUNCTION("""COMPUTED_VALUE"""),0.3991518050413627)</f>
        <v>0.399151805</v>
      </c>
      <c r="BA682" s="30">
        <f>IFERROR(__xludf.DUMMYFUNCTION("""COMPUTED_VALUE"""),2300.0)</f>
        <v>2300</v>
      </c>
    </row>
    <row r="683">
      <c r="A683" s="71" t="str">
        <f>IFERROR(__xludf.DUMMYFUNCTION("""COMPUTED_VALUE"""),"Challenger")</f>
        <v>Challenger</v>
      </c>
      <c r="B683" s="71" t="str">
        <f>IFERROR(__xludf.DUMMYFUNCTION("""COMPUTED_VALUE"""),"RSC007313")</f>
        <v>RSC007313</v>
      </c>
      <c r="C683" s="30" t="str">
        <f>IFERROR(__xludf.DUMMYFUNCTION("""COMPUTED_VALUE"""),"xNunYaBidn3ss")</f>
        <v>xNunYaBidn3ss</v>
      </c>
      <c r="D683" s="30" t="str">
        <f>IFERROR(__xludf.DUMMYFUNCTION("""COMPUTED_VALUE"""),"Zombies")</f>
        <v>Zombies</v>
      </c>
      <c r="E683" s="30">
        <f>IFERROR(__xludf.DUMMYFUNCTION("""COMPUTED_VALUE"""),26.0)</f>
        <v>26</v>
      </c>
      <c r="F683" s="30">
        <f>IFERROR(__xludf.DUMMYFUNCTION("""COMPUTED_VALUE"""),16.0)</f>
        <v>16</v>
      </c>
      <c r="G683" s="42">
        <f>IFERROR(__xludf.DUMMYFUNCTION("""COMPUTED_VALUE"""),10.0)</f>
        <v>10</v>
      </c>
      <c r="H683" s="42">
        <f>IFERROR(__xludf.DUMMYFUNCTION("""COMPUTED_VALUE"""),0.6153846153846154)</f>
        <v>0.6153846154</v>
      </c>
      <c r="I683" s="42">
        <f>IFERROR(__xludf.DUMMYFUNCTION("""COMPUTED_VALUE"""),0.3275862068965517)</f>
        <v>0.3275862069</v>
      </c>
      <c r="J683" s="30">
        <f>IFERROR(__xludf.DUMMYFUNCTION("""COMPUTED_VALUE"""),337.9230769230769)</f>
        <v>337.9230769</v>
      </c>
      <c r="K683" s="30">
        <f>IFERROR(__xludf.DUMMYFUNCTION("""COMPUTED_VALUE"""),0.7307692307692307)</f>
        <v>0.7307692308</v>
      </c>
      <c r="L683" s="30">
        <f>IFERROR(__xludf.DUMMYFUNCTION("""COMPUTED_VALUE"""),0.5384615384615384)</f>
        <v>0.5384615385</v>
      </c>
      <c r="M683" s="30">
        <f>IFERROR(__xludf.DUMMYFUNCTION("""COMPUTED_VALUE"""),1.3461538461538463)</f>
        <v>1.346153846</v>
      </c>
      <c r="N683" s="30">
        <f>IFERROR(__xludf.DUMMYFUNCTION("""COMPUTED_VALUE"""),2.230769230769231)</f>
        <v>2.230769231</v>
      </c>
      <c r="O683" s="30">
        <f>IFERROR(__xludf.DUMMYFUNCTION("""COMPUTED_VALUE"""),299.37179487179486)</f>
        <v>299.3717949</v>
      </c>
      <c r="P683" s="30">
        <f>IFERROR(__xludf.DUMMYFUNCTION("""COMPUTED_VALUE"""),0.6153846153846154)</f>
        <v>0.6153846154</v>
      </c>
      <c r="Q683" s="30">
        <f>IFERROR(__xludf.DUMMYFUNCTION("""COMPUTED_VALUE"""),0.4230769230769231)</f>
        <v>0.4230769231</v>
      </c>
      <c r="R683" s="30">
        <f>IFERROR(__xludf.DUMMYFUNCTION("""COMPUTED_VALUE"""),1.141025641025641)</f>
        <v>1.141025641</v>
      </c>
      <c r="S683" s="30">
        <f>IFERROR(__xludf.DUMMYFUNCTION("""COMPUTED_VALUE"""),2.166666666666667)</f>
        <v>2.166666667</v>
      </c>
      <c r="T683" s="30">
        <f>IFERROR(__xludf.DUMMYFUNCTION("""COMPUTED_VALUE"""),341.86774783379246)</f>
        <v>341.8677478</v>
      </c>
      <c r="U683" s="30">
        <f>IFERROR(__xludf.DUMMYFUNCTION("""COMPUTED_VALUE"""),0.7896187610915949)</f>
        <v>0.7896187611</v>
      </c>
      <c r="V683" s="30">
        <f>IFERROR(__xludf.DUMMYFUNCTION("""COMPUTED_VALUE"""),0.5661388387823988)</f>
        <v>0.5661388388</v>
      </c>
      <c r="W683" s="30">
        <f>IFERROR(__xludf.DUMMYFUNCTION("""COMPUTED_VALUE"""),1.2393514050669245)</f>
        <v>1.239351405</v>
      </c>
      <c r="X683" s="30">
        <f>IFERROR(__xludf.DUMMYFUNCTION("""COMPUTED_VALUE"""),2.515538123065733)</f>
        <v>2.515538123</v>
      </c>
      <c r="Y683" s="30">
        <f>IFERROR(__xludf.DUMMYFUNCTION("""COMPUTED_VALUE"""),338.13386123129555)</f>
        <v>338.1338612</v>
      </c>
      <c r="Z683" s="30">
        <f>IFERROR(__xludf.DUMMYFUNCTION("""COMPUTED_VALUE"""),0.7544579112211244)</f>
        <v>0.7544579112</v>
      </c>
      <c r="AA683" s="30">
        <f>IFERROR(__xludf.DUMMYFUNCTION("""COMPUTED_VALUE"""),0.5353632466173485)</f>
        <v>0.5353632466</v>
      </c>
      <c r="AB683" s="30">
        <f>IFERROR(__xludf.DUMMYFUNCTION("""COMPUTED_VALUE"""),1.2845473924034145)</f>
        <v>1.284547392</v>
      </c>
      <c r="AC683" s="30">
        <f>IFERROR(__xludf.DUMMYFUNCTION("""COMPUTED_VALUE"""),2.435396976160235)</f>
        <v>2.435396976</v>
      </c>
      <c r="AD683" s="30">
        <f>IFERROR(__xludf.DUMMYFUNCTION("""COMPUTED_VALUE"""),0.9993766246673697)</f>
        <v>0.9993766247</v>
      </c>
      <c r="AE683" s="30">
        <f>IFERROR(__xludf.DUMMYFUNCTION("""COMPUTED_VALUE"""),0.9686017203881494)</f>
        <v>0.9686017204</v>
      </c>
      <c r="AF683" s="30">
        <f>IFERROR(__xludf.DUMMYFUNCTION("""COMPUTED_VALUE"""),1.005787270351049)</f>
        <v>1.00578727</v>
      </c>
      <c r="AG683" s="30">
        <f>IFERROR(__xludf.DUMMYFUNCTION("""COMPUTED_VALUE"""),1.0479596580980675)</f>
        <v>1.047959658</v>
      </c>
      <c r="AH683" s="30">
        <f>IFERROR(__xludf.DUMMYFUNCTION("""COMPUTED_VALUE"""),0.9159776630282138)</f>
        <v>0.915977663</v>
      </c>
      <c r="AI683" s="30">
        <f>IFERROR(__xludf.DUMMYFUNCTION("""COMPUTED_VALUE"""),0.8756947584811128)</f>
        <v>0.8756947585</v>
      </c>
      <c r="AJ683" s="30">
        <f>IFERROR(__xludf.DUMMYFUNCTION("""COMPUTED_VALUE"""),0.7793439640845001)</f>
        <v>0.7793439641</v>
      </c>
      <c r="AK683" s="30">
        <f>IFERROR(__xludf.DUMMYFUNCTION("""COMPUTED_VALUE"""),0.7473024178783413)</f>
        <v>0.7473024179</v>
      </c>
      <c r="AL683" s="30">
        <f>IFERROR(__xludf.DUMMYFUNCTION("""COMPUTED_VALUE"""),0.9206635312315041)</f>
        <v>0.9206635312</v>
      </c>
      <c r="AM683" s="30">
        <f>IFERROR(__xludf.DUMMYFUNCTION("""COMPUTED_VALUE"""),0.8613133892902843)</f>
        <v>0.8613133893</v>
      </c>
      <c r="AN683" s="30">
        <f>IFERROR(__xludf.DUMMYFUNCTION("""COMPUTED_VALUE"""),1.0387422712017176)</f>
        <v>1.038742271</v>
      </c>
      <c r="AO683" s="30">
        <f>IFERROR(__xludf.DUMMYFUNCTION("""COMPUTED_VALUE"""),0.9998978833033993)</f>
        <v>0.9998978833</v>
      </c>
      <c r="AP683" s="30">
        <f>IFERROR(__xludf.DUMMYFUNCTION("""COMPUTED_VALUE"""),1.0444384505335058)</f>
        <v>1.044438451</v>
      </c>
      <c r="AQ683" s="30">
        <f>IFERROR(__xludf.DUMMYFUNCTION("""COMPUTED_VALUE"""),1.1164784457735957)</f>
        <v>1.116478446</v>
      </c>
      <c r="AR683" s="30">
        <f>IFERROR(__xludf.DUMMYFUNCTION("""COMPUTED_VALUE"""),0.9374642424877551)</f>
        <v>0.9374642425</v>
      </c>
      <c r="AS683" s="30">
        <f>IFERROR(__xludf.DUMMYFUNCTION("""COMPUTED_VALUE"""),70.0)</f>
        <v>70</v>
      </c>
      <c r="AT683" s="30">
        <f>IFERROR(__xludf.DUMMYFUNCTION("""COMPUTED_VALUE"""),0.6416168639237134)</f>
        <v>0.6416168639</v>
      </c>
      <c r="AU683" s="30">
        <f>IFERROR(__xludf.DUMMYFUNCTION("""COMPUTED_VALUE"""),3.137658578090554)</f>
        <v>3.137658578</v>
      </c>
      <c r="AV683" s="32">
        <f>IFERROR(__xludf.DUMMYFUNCTION("""COMPUTED_VALUE"""),57.68130984920147)</f>
        <v>57.68130985</v>
      </c>
      <c r="AW683" s="32">
        <f>IFERROR(__xludf.DUMMYFUNCTION("""COMPUTED_VALUE"""),2.636257373637207)</f>
        <v>2.636257374</v>
      </c>
      <c r="AX683" s="32">
        <f>IFERROR(__xludf.DUMMYFUNCTION("""COMPUTED_VALUE"""),61.03600401046915)</f>
        <v>61.03600401</v>
      </c>
      <c r="AY683" s="32">
        <f>IFERROR(__xludf.DUMMYFUNCTION("""COMPUTED_VALUE"""),3.0353878870556117)</f>
        <v>3.035387887</v>
      </c>
      <c r="AZ683" s="30">
        <f>IFERROR(__xludf.DUMMYFUNCTION("""COMPUTED_VALUE"""),0.39913051341840466)</f>
        <v>0.3991305134</v>
      </c>
      <c r="BA683" s="30">
        <f>IFERROR(__xludf.DUMMYFUNCTION("""COMPUTED_VALUE"""),2300.0)</f>
        <v>2300</v>
      </c>
    </row>
    <row r="684">
      <c r="A684" s="71" t="str">
        <f>IFERROR(__xludf.DUMMYFUNCTION("""COMPUTED_VALUE"""),"Challenger")</f>
        <v>Challenger</v>
      </c>
      <c r="B684" s="71" t="str">
        <f>IFERROR(__xludf.DUMMYFUNCTION("""COMPUTED_VALUE"""),"RSC000663")</f>
        <v>RSC000663</v>
      </c>
      <c r="C684" s="30" t="str">
        <f>IFERROR(__xludf.DUMMYFUNCTION("""COMPUTED_VALUE"""),"DrProfessorNoah")</f>
        <v>DrProfessorNoah</v>
      </c>
      <c r="D684" s="30" t="str">
        <f>IFERROR(__xludf.DUMMYFUNCTION("""COMPUTED_VALUE"""),"Apple Associates")</f>
        <v>Apple Associates</v>
      </c>
      <c r="E684" s="30">
        <f>IFERROR(__xludf.DUMMYFUNCTION("""COMPUTED_VALUE"""),46.0)</f>
        <v>46</v>
      </c>
      <c r="F684" s="30">
        <f>IFERROR(__xludf.DUMMYFUNCTION("""COMPUTED_VALUE"""),16.0)</f>
        <v>16</v>
      </c>
      <c r="G684" s="42">
        <f>IFERROR(__xludf.DUMMYFUNCTION("""COMPUTED_VALUE"""),30.0)</f>
        <v>30</v>
      </c>
      <c r="H684" s="42">
        <f>IFERROR(__xludf.DUMMYFUNCTION("""COMPUTED_VALUE"""),0.34782608695652173)</f>
        <v>0.347826087</v>
      </c>
      <c r="I684" s="42">
        <f>IFERROR(__xludf.DUMMYFUNCTION("""COMPUTED_VALUE"""),0.23157894736842108)</f>
        <v>0.2315789474</v>
      </c>
      <c r="J684" s="30">
        <f>IFERROR(__xludf.DUMMYFUNCTION("""COMPUTED_VALUE"""),291.39130434782606)</f>
        <v>291.3913043</v>
      </c>
      <c r="K684" s="30">
        <f>IFERROR(__xludf.DUMMYFUNCTION("""COMPUTED_VALUE"""),0.4782608695652174)</f>
        <v>0.4782608696</v>
      </c>
      <c r="L684" s="30">
        <f>IFERROR(__xludf.DUMMYFUNCTION("""COMPUTED_VALUE"""),0.45652173913043476)</f>
        <v>0.4565217391</v>
      </c>
      <c r="M684" s="30">
        <f>IFERROR(__xludf.DUMMYFUNCTION("""COMPUTED_VALUE"""),1.2173913043478262)</f>
        <v>1.217391304</v>
      </c>
      <c r="N684" s="30">
        <f>IFERROR(__xludf.DUMMYFUNCTION("""COMPUTED_VALUE"""),2.0652173913043477)</f>
        <v>2.065217391</v>
      </c>
      <c r="O684" s="30">
        <f>IFERROR(__xludf.DUMMYFUNCTION("""COMPUTED_VALUE"""),327.47826086956525)</f>
        <v>327.4782609</v>
      </c>
      <c r="P684" s="30">
        <f>IFERROR(__xludf.DUMMYFUNCTION("""COMPUTED_VALUE"""),0.8260869565217392)</f>
        <v>0.8260869565</v>
      </c>
      <c r="Q684" s="30">
        <f>IFERROR(__xludf.DUMMYFUNCTION("""COMPUTED_VALUE"""),0.5652173913043477)</f>
        <v>0.5652173913</v>
      </c>
      <c r="R684" s="30">
        <f>IFERROR(__xludf.DUMMYFUNCTION("""COMPUTED_VALUE"""),1.1014492753623188)</f>
        <v>1.101449275</v>
      </c>
      <c r="S684" s="30">
        <f>IFERROR(__xludf.DUMMYFUNCTION("""COMPUTED_VALUE"""),2.4710144927536235)</f>
        <v>2.471014493</v>
      </c>
      <c r="T684" s="30">
        <f>IFERROR(__xludf.DUMMYFUNCTION("""COMPUTED_VALUE"""),341.5707785940437)</f>
        <v>341.5707786</v>
      </c>
      <c r="U684" s="30">
        <f>IFERROR(__xludf.DUMMYFUNCTION("""COMPUTED_VALUE"""),0.7857778656524587)</f>
        <v>0.7857778657</v>
      </c>
      <c r="V684" s="30">
        <f>IFERROR(__xludf.DUMMYFUNCTION("""COMPUTED_VALUE"""),0.5599936879049832)</f>
        <v>0.5599936879</v>
      </c>
      <c r="W684" s="30">
        <f>IFERROR(__xludf.DUMMYFUNCTION("""COMPUTED_VALUE"""),1.2495876397902335)</f>
        <v>1.24958764</v>
      </c>
      <c r="X684" s="30">
        <f>IFERROR(__xludf.DUMMYFUNCTION("""COMPUTED_VALUE"""),2.5029214766428787)</f>
        <v>2.502921477</v>
      </c>
      <c r="Y684" s="30">
        <f>IFERROR(__xludf.DUMMYFUNCTION("""COMPUTED_VALUE"""),328.7794320580572)</f>
        <v>328.7794321</v>
      </c>
      <c r="Z684" s="30">
        <f>IFERROR(__xludf.DUMMYFUNCTION("""COMPUTED_VALUE"""),0.718472533589165)</f>
        <v>0.7184725336</v>
      </c>
      <c r="AA684" s="30">
        <f>IFERROR(__xludf.DUMMYFUNCTION("""COMPUTED_VALUE"""),0.5052086004291035)</f>
        <v>0.5052086004</v>
      </c>
      <c r="AB684" s="30">
        <f>IFERROR(__xludf.DUMMYFUNCTION("""COMPUTED_VALUE"""),1.2555402455609252)</f>
        <v>1.255540246</v>
      </c>
      <c r="AC684" s="30">
        <f>IFERROR(__xludf.DUMMYFUNCTION("""COMPUTED_VALUE"""),2.394734737717053)</f>
        <v>2.394734738</v>
      </c>
      <c r="AD684" s="30">
        <f>IFERROR(__xludf.DUMMYFUNCTION("""COMPUTED_VALUE"""),0.8862820357216599)</f>
        <v>0.8862820357</v>
      </c>
      <c r="AE684" s="30">
        <f>IFERROR(__xludf.DUMMYFUNCTION("""COMPUTED_VALUE"""),0.6656634000690905)</f>
        <v>0.6656634001</v>
      </c>
      <c r="AF684" s="30">
        <f>IFERROR(__xludf.DUMMYFUNCTION("""COMPUTED_VALUE"""),0.9036301811621652)</f>
        <v>0.9036301812</v>
      </c>
      <c r="AG684" s="30">
        <f>IFERROR(__xludf.DUMMYFUNCTION("""COMPUTED_VALUE"""),0.9696155170270503)</f>
        <v>0.969615517</v>
      </c>
      <c r="AH684" s="30">
        <f>IFERROR(__xludf.DUMMYFUNCTION("""COMPUTED_VALUE"""),0.8623992289322029)</f>
        <v>0.8623992289</v>
      </c>
      <c r="AI684" s="30">
        <f>IFERROR(__xludf.DUMMYFUNCTION("""COMPUTED_VALUE"""),0.9587420276919315)</f>
        <v>0.9587420277</v>
      </c>
      <c r="AJ684" s="30">
        <f>IFERROR(__xludf.DUMMYFUNCTION("""COMPUTED_VALUE"""),1.0512983282314914)</f>
        <v>1.051298328</v>
      </c>
      <c r="AK684" s="30">
        <f>IFERROR(__xludf.DUMMYFUNCTION("""COMPUTED_VALUE"""),1.009328146927704)</f>
        <v>1.009328147</v>
      </c>
      <c r="AL684" s="30">
        <f>IFERROR(__xludf.DUMMYFUNCTION("""COMPUTED_VALUE"""),0.8814502002814445)</f>
        <v>0.8814502003</v>
      </c>
      <c r="AM684" s="30">
        <f>IFERROR(__xludf.DUMMYFUNCTION("""COMPUTED_VALUE"""),0.9872521035170263)</f>
        <v>0.9872521035</v>
      </c>
      <c r="AN684" s="30">
        <f>IFERROR(__xludf.DUMMYFUNCTION("""COMPUTED_VALUE"""),0.8957081831839274)</f>
        <v>0.8957081832</v>
      </c>
      <c r="AO684" s="30">
        <f>IFERROR(__xludf.DUMMYFUNCTION("""COMPUTED_VALUE"""),0.6543954110406688)</f>
        <v>0.654395411</v>
      </c>
      <c r="AP684" s="30">
        <f>IFERROR(__xludf.DUMMYFUNCTION("""COMPUTED_VALUE"""),0.885502164582755)</f>
        <v>0.8855021646</v>
      </c>
      <c r="AQ684" s="30">
        <f>IFERROR(__xludf.DUMMYFUNCTION("""COMPUTED_VALUE"""),1.0096848553082953)</f>
        <v>1.009684855</v>
      </c>
      <c r="AR684" s="30">
        <f>IFERROR(__xludf.DUMMYFUNCTION("""COMPUTED_VALUE"""),0.8678923084500579)</f>
        <v>0.8678923085</v>
      </c>
      <c r="AS684" s="30">
        <f>IFERROR(__xludf.DUMMYFUNCTION("""COMPUTED_VALUE"""),82.0)</f>
        <v>82</v>
      </c>
      <c r="AT684" s="30">
        <f>IFERROR(__xludf.DUMMYFUNCTION("""COMPUTED_VALUE"""),0.37766939391463145)</f>
        <v>0.3776693939</v>
      </c>
      <c r="AU684" s="30">
        <f>IFERROR(__xludf.DUMMYFUNCTION("""COMPUTED_VALUE"""),2.1344847292618936)</f>
        <v>2.134484729</v>
      </c>
      <c r="AV684" s="32">
        <f>IFERROR(__xludf.DUMMYFUNCTION("""COMPUTED_VALUE"""),31.500217206784672)</f>
        <v>31.50021721</v>
      </c>
      <c r="AW684" s="32">
        <f>IFERROR(__xludf.DUMMYFUNCTION("""COMPUTED_VALUE"""),-4.354402501264458)</f>
        <v>-4.354402501</v>
      </c>
      <c r="AX684" s="32">
        <f>IFERROR(__xludf.DUMMYFUNCTION("""COMPUTED_VALUE"""),33.07949506493655)</f>
        <v>33.07949506</v>
      </c>
      <c r="AY684" s="32">
        <f>IFERROR(__xludf.DUMMYFUNCTION("""COMPUTED_VALUE"""),-4.011874814553363)</f>
        <v>-4.011874815</v>
      </c>
      <c r="AZ684" s="30">
        <f>IFERROR(__xludf.DUMMYFUNCTION("""COMPUTED_VALUE"""),0.3425276867110947)</f>
        <v>0.3425276867</v>
      </c>
      <c r="BA684" s="30">
        <f>IFERROR(__xludf.DUMMYFUNCTION("""COMPUTED_VALUE"""),2300.0)</f>
        <v>2300</v>
      </c>
    </row>
    <row r="685">
      <c r="A685" s="71" t="str">
        <f>IFERROR(__xludf.DUMMYFUNCTION("""COMPUTED_VALUE"""),"Challenger")</f>
        <v>Challenger</v>
      </c>
      <c r="B685" s="71" t="str">
        <f>IFERROR(__xludf.DUMMYFUNCTION("""COMPUTED_VALUE"""),"RSC002412")</f>
        <v>RSC002412</v>
      </c>
      <c r="C685" s="30" t="str">
        <f>IFERROR(__xludf.DUMMYFUNCTION("""COMPUTED_VALUE"""),"Rosefanatic3615")</f>
        <v>Rosefanatic3615</v>
      </c>
      <c r="D685" s="30" t="str">
        <f>IFERROR(__xludf.DUMMYFUNCTION("""COMPUTED_VALUE"""),"Solstice Sake")</f>
        <v>Solstice Sake</v>
      </c>
      <c r="E685" s="30">
        <f>IFERROR(__xludf.DUMMYFUNCTION("""COMPUTED_VALUE"""),36.0)</f>
        <v>36</v>
      </c>
      <c r="F685" s="30">
        <f>IFERROR(__xludf.DUMMYFUNCTION("""COMPUTED_VALUE"""),21.0)</f>
        <v>21</v>
      </c>
      <c r="G685" s="42">
        <f>IFERROR(__xludf.DUMMYFUNCTION("""COMPUTED_VALUE"""),15.0)</f>
        <v>15</v>
      </c>
      <c r="H685" s="42">
        <f>IFERROR(__xludf.DUMMYFUNCTION("""COMPUTED_VALUE"""),0.5833333333333334)</f>
        <v>0.5833333333</v>
      </c>
      <c r="I685" s="42">
        <f>IFERROR(__xludf.DUMMYFUNCTION("""COMPUTED_VALUE"""),0.31250000000000006)</f>
        <v>0.3125</v>
      </c>
      <c r="J685" s="30">
        <f>IFERROR(__xludf.DUMMYFUNCTION("""COMPUTED_VALUE"""),349.8611111111111)</f>
        <v>349.8611111</v>
      </c>
      <c r="K685" s="30">
        <f>IFERROR(__xludf.DUMMYFUNCTION("""COMPUTED_VALUE"""),0.8333333333333334)</f>
        <v>0.8333333333</v>
      </c>
      <c r="L685" s="30">
        <f>IFERROR(__xludf.DUMMYFUNCTION("""COMPUTED_VALUE"""),0.5833333333333334)</f>
        <v>0.5833333333</v>
      </c>
      <c r="M685" s="30">
        <f>IFERROR(__xludf.DUMMYFUNCTION("""COMPUTED_VALUE"""),1.2222222222222223)</f>
        <v>1.222222222</v>
      </c>
      <c r="N685" s="30">
        <f>IFERROR(__xludf.DUMMYFUNCTION("""COMPUTED_VALUE"""),2.6666666666666665)</f>
        <v>2.666666667</v>
      </c>
      <c r="O685" s="30">
        <f>IFERROR(__xludf.DUMMYFUNCTION("""COMPUTED_VALUE"""),316.3055555555555)</f>
        <v>316.3055556</v>
      </c>
      <c r="P685" s="30">
        <f>IFERROR(__xludf.DUMMYFUNCTION("""COMPUTED_VALUE"""),0.7222222222222221)</f>
        <v>0.7222222222</v>
      </c>
      <c r="Q685" s="30">
        <f>IFERROR(__xludf.DUMMYFUNCTION("""COMPUTED_VALUE"""),0.44444444444444453)</f>
        <v>0.4444444444</v>
      </c>
      <c r="R685" s="30">
        <f>IFERROR(__xludf.DUMMYFUNCTION("""COMPUTED_VALUE"""),1.1203703703703705)</f>
        <v>1.12037037</v>
      </c>
      <c r="S685" s="30">
        <f>IFERROR(__xludf.DUMMYFUNCTION("""COMPUTED_VALUE"""),2.2962962962962967)</f>
        <v>2.296296296</v>
      </c>
      <c r="T685" s="30">
        <f>IFERROR(__xludf.DUMMYFUNCTION("""COMPUTED_VALUE"""),332.92692589001285)</f>
        <v>332.9269259</v>
      </c>
      <c r="U685" s="30">
        <f>IFERROR(__xludf.DUMMYFUNCTION("""COMPUTED_VALUE"""),0.779130952163615)</f>
        <v>0.7791309522</v>
      </c>
      <c r="V685" s="30">
        <f>IFERROR(__xludf.DUMMYFUNCTION("""COMPUTED_VALUE"""),0.5453932140836023)</f>
        <v>0.5453932141</v>
      </c>
      <c r="W685" s="30">
        <f>IFERROR(__xludf.DUMMYFUNCTION("""COMPUTED_VALUE"""),1.1925027926898384)</f>
        <v>1.192502793</v>
      </c>
      <c r="X685" s="30">
        <f>IFERROR(__xludf.DUMMYFUNCTION("""COMPUTED_VALUE"""),2.494175950396402)</f>
        <v>2.49417595</v>
      </c>
      <c r="Y685" s="30">
        <f>IFERROR(__xludf.DUMMYFUNCTION("""COMPUTED_VALUE"""),343.91628534602313)</f>
        <v>343.9162853</v>
      </c>
      <c r="Z685" s="30">
        <f>IFERROR(__xludf.DUMMYFUNCTION("""COMPUTED_VALUE"""),0.8083267010999465)</f>
        <v>0.8083267011</v>
      </c>
      <c r="AA685" s="30">
        <f>IFERROR(__xludf.DUMMYFUNCTION("""COMPUTED_VALUE"""),0.5535064803882176)</f>
        <v>0.5535064804</v>
      </c>
      <c r="AB685" s="30">
        <f>IFERROR(__xludf.DUMMYFUNCTION("""COMPUTED_VALUE"""),1.266287252277814)</f>
        <v>1.266287252</v>
      </c>
      <c r="AC685" s="30">
        <f>IFERROR(__xludf.DUMMYFUNCTION("""COMPUTED_VALUE"""),2.4601270638652517)</f>
        <v>2.460127064</v>
      </c>
      <c r="AD685" s="30">
        <f>IFERROR(__xludf.DUMMYFUNCTION("""COMPUTED_VALUE"""),1.0172856768300655)</f>
        <v>1.017285677</v>
      </c>
      <c r="AE685" s="30">
        <f>IFERROR(__xludf.DUMMYFUNCTION("""COMPUTED_VALUE"""),1.030936293703225)</f>
        <v>1.030936294</v>
      </c>
      <c r="AF685" s="30">
        <f>IFERROR(__xludf.DUMMYFUNCTION("""COMPUTED_VALUE"""),1.0538870889536756)</f>
        <v>1.053887089</v>
      </c>
      <c r="AG685" s="30">
        <f>IFERROR(__xludf.DUMMYFUNCTION("""COMPUTED_VALUE"""),0.9652013948838806)</f>
        <v>0.9652013949</v>
      </c>
      <c r="AH685" s="30">
        <f>IFERROR(__xludf.DUMMYFUNCTION("""COMPUTED_VALUE"""),1.083954851696525)</f>
        <v>1.083954852</v>
      </c>
      <c r="AI685" s="30">
        <f>IFERROR(__xludf.DUMMYFUNCTION("""COMPUTED_VALUE"""),0.950075019345391)</f>
        <v>0.9500750193</v>
      </c>
      <c r="AJ685" s="30">
        <f>IFERROR(__xludf.DUMMYFUNCTION("""COMPUTED_VALUE"""),0.9269587098505588)</f>
        <v>0.9269587099</v>
      </c>
      <c r="AK685" s="30">
        <f>IFERROR(__xludf.DUMMYFUNCTION("""COMPUTED_VALUE"""),0.8149064435853367)</f>
        <v>0.8149064436</v>
      </c>
      <c r="AL685" s="30">
        <f>IFERROR(__xludf.DUMMYFUNCTION("""COMPUTED_VALUE"""),0.9395117371953786)</f>
        <v>0.9395117372</v>
      </c>
      <c r="AM685" s="30">
        <f>IFERROR(__xludf.DUMMYFUNCTION("""COMPUTED_VALUE"""),0.9206633140421966)</f>
        <v>0.920663314</v>
      </c>
      <c r="AN685" s="30">
        <f>IFERROR(__xludf.DUMMYFUNCTION("""COMPUTED_VALUE"""),1.0754386130410325)</f>
        <v>1.075438613</v>
      </c>
      <c r="AO685" s="30">
        <f>IFERROR(__xludf.DUMMYFUNCTION("""COMPUTED_VALUE"""),1.140234428328438)</f>
        <v>1.140234428</v>
      </c>
      <c r="AP685" s="30">
        <f>IFERROR(__xludf.DUMMYFUNCTION("""COMPUTED_VALUE"""),1.1314749880779649)</f>
        <v>1.131474988</v>
      </c>
      <c r="AQ685" s="30">
        <f>IFERROR(__xludf.DUMMYFUNCTION("""COMPUTED_VALUE"""),1.0136915412420584)</f>
        <v>1.013691541</v>
      </c>
      <c r="AR685" s="30">
        <f>IFERROR(__xludf.DUMMYFUNCTION("""COMPUTED_VALUE"""),1.120646910560075)</f>
        <v>1.120646911</v>
      </c>
      <c r="AS685" s="30">
        <f>IFERROR(__xludf.DUMMYFUNCTION("""COMPUTED_VALUE"""),90.0)</f>
        <v>90</v>
      </c>
      <c r="AT685" s="30">
        <f>IFERROR(__xludf.DUMMYFUNCTION("""COMPUTED_VALUE"""),0.5554367817938212)</f>
        <v>0.5554367818</v>
      </c>
      <c r="AU685" s="30">
        <f>IFERROR(__xludf.DUMMYFUNCTION("""COMPUTED_VALUE"""),3.425239113234311)</f>
        <v>3.425239113</v>
      </c>
      <c r="AV685" s="32">
        <f>IFERROR(__xludf.DUMMYFUNCTION("""COMPUTED_VALUE"""),65.18666162999781)</f>
        <v>65.18666163</v>
      </c>
      <c r="AW685" s="32">
        <f>IFERROR(__xludf.DUMMYFUNCTION("""COMPUTED_VALUE"""),3.6795725820011116)</f>
        <v>3.679572582</v>
      </c>
      <c r="AX685" s="32">
        <f>IFERROR(__xludf.DUMMYFUNCTION("""COMPUTED_VALUE"""),63.21466061437809)</f>
        <v>63.21466061</v>
      </c>
      <c r="AY685" s="32">
        <f>IFERROR(__xludf.DUMMYFUNCTION("""COMPUTED_VALUE"""),3.349565441156241)</f>
        <v>3.349565441</v>
      </c>
      <c r="AZ685" s="30">
        <f>IFERROR(__xludf.DUMMYFUNCTION("""COMPUTED_VALUE"""),0.3300071408448706)</f>
        <v>0.3300071408</v>
      </c>
      <c r="BA685" s="30">
        <f>IFERROR(__xludf.DUMMYFUNCTION("""COMPUTED_VALUE"""),2300.0)</f>
        <v>2300</v>
      </c>
    </row>
    <row r="686">
      <c r="A686" s="71" t="str">
        <f>IFERROR(__xludf.DUMMYFUNCTION("""COMPUTED_VALUE"""),"Challenger")</f>
        <v>Challenger</v>
      </c>
      <c r="B686" s="71" t="str">
        <f>IFERROR(__xludf.DUMMYFUNCTION("""COMPUTED_VALUE"""),"RSC007546")</f>
        <v>RSC007546</v>
      </c>
      <c r="C686" s="30" t="str">
        <f>IFERROR(__xludf.DUMMYFUNCTION("""COMPUTED_VALUE"""),"N0TTopmarx")</f>
        <v>N0TTopmarx</v>
      </c>
      <c r="D686" s="30" t="str">
        <f>IFERROR(__xludf.DUMMYFUNCTION("""COMPUTED_VALUE"""),"Metal")</f>
        <v>Metal</v>
      </c>
      <c r="E686" s="30">
        <f>IFERROR(__xludf.DUMMYFUNCTION("""COMPUTED_VALUE"""),37.0)</f>
        <v>37</v>
      </c>
      <c r="F686" s="30">
        <f>IFERROR(__xludf.DUMMYFUNCTION("""COMPUTED_VALUE"""),17.0)</f>
        <v>17</v>
      </c>
      <c r="G686" s="42">
        <f>IFERROR(__xludf.DUMMYFUNCTION("""COMPUTED_VALUE"""),20.0)</f>
        <v>20</v>
      </c>
      <c r="H686" s="42">
        <f>IFERROR(__xludf.DUMMYFUNCTION("""COMPUTED_VALUE"""),0.4594594594594595)</f>
        <v>0.4594594595</v>
      </c>
      <c r="I686" s="42">
        <f>IFERROR(__xludf.DUMMYFUNCTION("""COMPUTED_VALUE"""),0.26136363636363635)</f>
        <v>0.2613636364</v>
      </c>
      <c r="J686" s="30">
        <f>IFERROR(__xludf.DUMMYFUNCTION("""COMPUTED_VALUE"""),318.35135135135135)</f>
        <v>318.3513514</v>
      </c>
      <c r="K686" s="30">
        <f>IFERROR(__xludf.DUMMYFUNCTION("""COMPUTED_VALUE"""),0.6216216216216216)</f>
        <v>0.6216216216</v>
      </c>
      <c r="L686" s="30">
        <f>IFERROR(__xludf.DUMMYFUNCTION("""COMPUTED_VALUE"""),0.4864864864864865)</f>
        <v>0.4864864865</v>
      </c>
      <c r="M686" s="30">
        <f>IFERROR(__xludf.DUMMYFUNCTION("""COMPUTED_VALUE"""),1.054054054054054)</f>
        <v>1.054054054</v>
      </c>
      <c r="N686" s="30">
        <f>IFERROR(__xludf.DUMMYFUNCTION("""COMPUTED_VALUE"""),2.3783783783783785)</f>
        <v>2.378378378</v>
      </c>
      <c r="O686" s="30">
        <f>IFERROR(__xludf.DUMMYFUNCTION("""COMPUTED_VALUE"""),332.24324324324317)</f>
        <v>332.2432432</v>
      </c>
      <c r="P686" s="30">
        <f>IFERROR(__xludf.DUMMYFUNCTION("""COMPUTED_VALUE"""),0.8108108108108109)</f>
        <v>0.8108108108</v>
      </c>
      <c r="Q686" s="30">
        <f>IFERROR(__xludf.DUMMYFUNCTION("""COMPUTED_VALUE"""),0.5585585585585584)</f>
        <v>0.5585585586</v>
      </c>
      <c r="R686" s="30">
        <f>IFERROR(__xludf.DUMMYFUNCTION("""COMPUTED_VALUE"""),1.099099099099099)</f>
        <v>1.099099099</v>
      </c>
      <c r="S686" s="30">
        <f>IFERROR(__xludf.DUMMYFUNCTION("""COMPUTED_VALUE"""),2.4864864864864873)</f>
        <v>2.486486486</v>
      </c>
      <c r="T686" s="30">
        <f>IFERROR(__xludf.DUMMYFUNCTION("""COMPUTED_VALUE"""),326.18628209355467)</f>
        <v>326.1862821</v>
      </c>
      <c r="U686" s="30">
        <f>IFERROR(__xludf.DUMMYFUNCTION("""COMPUTED_VALUE"""),0.737716042100685)</f>
        <v>0.7377160421</v>
      </c>
      <c r="V686" s="30">
        <f>IFERROR(__xludf.DUMMYFUNCTION("""COMPUTED_VALUE"""),0.5042847625458091)</f>
        <v>0.5042847625</v>
      </c>
      <c r="W686" s="30">
        <f>IFERROR(__xludf.DUMMYFUNCTION("""COMPUTED_VALUE"""),1.2176962594160217)</f>
        <v>1.217696259</v>
      </c>
      <c r="X686" s="30">
        <f>IFERROR(__xludf.DUMMYFUNCTION("""COMPUTED_VALUE"""),2.38990201892572)</f>
        <v>2.389902019</v>
      </c>
      <c r="Y686" s="30">
        <f>IFERROR(__xludf.DUMMYFUNCTION("""COMPUTED_VALUE"""),340.990314426721)</f>
        <v>340.9903144</v>
      </c>
      <c r="Z686" s="30">
        <f>IFERROR(__xludf.DUMMYFUNCTION("""COMPUTED_VALUE"""),0.8047398104383818)</f>
        <v>0.8047398104</v>
      </c>
      <c r="AA686" s="30">
        <f>IFERROR(__xludf.DUMMYFUNCTION("""COMPUTED_VALUE"""),0.5553694372913505)</f>
        <v>0.5553694373</v>
      </c>
      <c r="AB686" s="30">
        <f>IFERROR(__xludf.DUMMYFUNCTION("""COMPUTED_VALUE"""),1.213614576178716)</f>
        <v>1.213614576</v>
      </c>
      <c r="AC686" s="30">
        <f>IFERROR(__xludf.DUMMYFUNCTION("""COMPUTED_VALUE"""),2.4951725644780987)</f>
        <v>2.495172564</v>
      </c>
      <c r="AD686" s="30">
        <f>IFERROR(__xludf.DUMMYFUNCTION("""COMPUTED_VALUE"""),0.9336081932021129)</f>
        <v>0.9336081932</v>
      </c>
      <c r="AE686" s="30">
        <f>IFERROR(__xludf.DUMMYFUNCTION("""COMPUTED_VALUE"""),0.7724504411966314)</f>
        <v>0.7724504412</v>
      </c>
      <c r="AF686" s="30">
        <f>IFERROR(__xludf.DUMMYFUNCTION("""COMPUTED_VALUE"""),0.8759691366150429)</f>
        <v>0.8759691366</v>
      </c>
      <c r="AG686" s="30">
        <f>IFERROR(__xludf.DUMMYFUNCTION("""COMPUTED_VALUE"""),0.8685245503337088)</f>
        <v>0.8685245503</v>
      </c>
      <c r="AH686" s="30">
        <f>IFERROR(__xludf.DUMMYFUNCTION("""COMPUTED_VALUE"""),0.9531919404042705)</f>
        <v>0.9531919404</v>
      </c>
      <c r="AI686" s="30">
        <f>IFERROR(__xludf.DUMMYFUNCTION("""COMPUTED_VALUE"""),1.0185690247634365)</f>
        <v>1.018569025</v>
      </c>
      <c r="AJ686" s="30">
        <f>IFERROR(__xludf.DUMMYFUNCTION("""COMPUTED_VALUE"""),1.0990825257127184)</f>
        <v>1.099082526</v>
      </c>
      <c r="AK686" s="30">
        <f>IFERROR(__xludf.DUMMYFUNCTION("""COMPUTED_VALUE"""),1.1076252943649454)</f>
        <v>1.107625294</v>
      </c>
      <c r="AL686" s="30">
        <f>IFERROR(__xludf.DUMMYFUNCTION("""COMPUTED_VALUE"""),0.9026053012811265)</f>
        <v>0.9026053013</v>
      </c>
      <c r="AM686" s="30">
        <f>IFERROR(__xludf.DUMMYFUNCTION("""COMPUTED_VALUE"""),1.0404135679186475)</f>
        <v>1.040413568</v>
      </c>
      <c r="AN686" s="30">
        <f>IFERROR(__xludf.DUMMYFUNCTION("""COMPUTED_VALUE"""),0.9785807135572281)</f>
        <v>0.9785807136</v>
      </c>
      <c r="AO686" s="30">
        <f>IFERROR(__xludf.DUMMYFUNCTION("""COMPUTED_VALUE"""),0.8505532492395915)</f>
        <v>0.8505532492</v>
      </c>
      <c r="AP686" s="30">
        <f>IFERROR(__xludf.DUMMYFUNCTION("""COMPUTED_VALUE"""),0.9436239282812371)</f>
        <v>0.9436239283</v>
      </c>
      <c r="AQ686" s="30">
        <f>IFERROR(__xludf.DUMMYFUNCTION("""COMPUTED_VALUE"""),0.8742155552234949)</f>
        <v>0.8742155552</v>
      </c>
      <c r="AR686" s="30">
        <f>IFERROR(__xludf.DUMMYFUNCTION("""COMPUTED_VALUE"""),0.9994958932022291)</f>
        <v>0.9994958932</v>
      </c>
      <c r="AS686" s="30">
        <f>IFERROR(__xludf.DUMMYFUNCTION("""COMPUTED_VALUE"""),92.0)</f>
        <v>92</v>
      </c>
      <c r="AT686" s="30">
        <f>IFERROR(__xludf.DUMMYFUNCTION("""COMPUTED_VALUE"""),0.5086789875385667)</f>
        <v>0.5086789875</v>
      </c>
      <c r="AU686" s="30">
        <f>IFERROR(__xludf.DUMMYFUNCTION("""COMPUTED_VALUE"""),2.4518431287803697)</f>
        <v>2.451843129</v>
      </c>
      <c r="AV686" s="32">
        <f>IFERROR(__xludf.DUMMYFUNCTION("""COMPUTED_VALUE"""),39.78271945536697)</f>
        <v>39.78271946</v>
      </c>
      <c r="AW686" s="32">
        <f>IFERROR(__xludf.DUMMYFUNCTION("""COMPUTED_VALUE"""),-2.929260082899257)</f>
        <v>-2.929260083</v>
      </c>
      <c r="AX686" s="32">
        <f>IFERROR(__xludf.DUMMYFUNCTION("""COMPUTED_VALUE"""),37.65449869223839)</f>
        <v>37.65449869</v>
      </c>
      <c r="AY686" s="32">
        <f>IFERROR(__xludf.DUMMYFUNCTION("""COMPUTED_VALUE"""),-3.2183664696441663)</f>
        <v>-3.21836647</v>
      </c>
      <c r="AZ686" s="30">
        <f>IFERROR(__xludf.DUMMYFUNCTION("""COMPUTED_VALUE"""),0.2891063867449093)</f>
        <v>0.2891063867</v>
      </c>
      <c r="BA686" s="30">
        <f>IFERROR(__xludf.DUMMYFUNCTION("""COMPUTED_VALUE"""),2300.0)</f>
        <v>2300</v>
      </c>
    </row>
    <row r="687">
      <c r="A687" s="71" t="str">
        <f>IFERROR(__xludf.DUMMYFUNCTION("""COMPUTED_VALUE"""),"Challenger")</f>
        <v>Challenger</v>
      </c>
      <c r="B687" s="71" t="str">
        <f>IFERROR(__xludf.DUMMYFUNCTION("""COMPUTED_VALUE"""),"RSC006923")</f>
        <v>RSC006923</v>
      </c>
      <c r="C687" s="30" t="str">
        <f>IFERROR(__xludf.DUMMYFUNCTION("""COMPUTED_VALUE"""),"LostZealous")</f>
        <v>LostZealous</v>
      </c>
      <c r="D687" s="30" t="str">
        <f>IFERROR(__xludf.DUMMYFUNCTION("""COMPUTED_VALUE"""),"Zombies")</f>
        <v>Zombies</v>
      </c>
      <c r="E687" s="30">
        <f>IFERROR(__xludf.DUMMYFUNCTION("""COMPUTED_VALUE"""),48.0)</f>
        <v>48</v>
      </c>
      <c r="F687" s="30">
        <f>IFERROR(__xludf.DUMMYFUNCTION("""COMPUTED_VALUE"""),24.0)</f>
        <v>24</v>
      </c>
      <c r="G687" s="42">
        <f>IFERROR(__xludf.DUMMYFUNCTION("""COMPUTED_VALUE"""),24.0)</f>
        <v>24</v>
      </c>
      <c r="H687" s="42">
        <f>IFERROR(__xludf.DUMMYFUNCTION("""COMPUTED_VALUE"""),0.5)</f>
        <v>0.5</v>
      </c>
      <c r="I687" s="42">
        <f>IFERROR(__xludf.DUMMYFUNCTION("""COMPUTED_VALUE"""),0.3796296296296296)</f>
        <v>0.3796296296</v>
      </c>
      <c r="J687" s="30">
        <f>IFERROR(__xludf.DUMMYFUNCTION("""COMPUTED_VALUE"""),343.3958333333333)</f>
        <v>343.3958333</v>
      </c>
      <c r="K687" s="30">
        <f>IFERROR(__xludf.DUMMYFUNCTION("""COMPUTED_VALUE"""),0.8541666666666666)</f>
        <v>0.8541666667</v>
      </c>
      <c r="L687" s="30">
        <f>IFERROR(__xludf.DUMMYFUNCTION("""COMPUTED_VALUE"""),0.4791666666666667)</f>
        <v>0.4791666667</v>
      </c>
      <c r="M687" s="30">
        <f>IFERROR(__xludf.DUMMYFUNCTION("""COMPUTED_VALUE"""),1.3125)</f>
        <v>1.3125</v>
      </c>
      <c r="N687" s="30">
        <f>IFERROR(__xludf.DUMMYFUNCTION("""COMPUTED_VALUE"""),2.25)</f>
        <v>2.25</v>
      </c>
      <c r="O687" s="30">
        <f>IFERROR(__xludf.DUMMYFUNCTION("""COMPUTED_VALUE"""),309.11111111111114)</f>
        <v>309.1111111</v>
      </c>
      <c r="P687" s="30">
        <f>IFERROR(__xludf.DUMMYFUNCTION("""COMPUTED_VALUE"""),0.6805555555555555)</f>
        <v>0.6805555556</v>
      </c>
      <c r="Q687" s="30">
        <f>IFERROR(__xludf.DUMMYFUNCTION("""COMPUTED_VALUE"""),0.46527777777777785)</f>
        <v>0.4652777778</v>
      </c>
      <c r="R687" s="30">
        <f>IFERROR(__xludf.DUMMYFUNCTION("""COMPUTED_VALUE"""),1.1458333333333333)</f>
        <v>1.145833333</v>
      </c>
      <c r="S687" s="30">
        <f>IFERROR(__xludf.DUMMYFUNCTION("""COMPUTED_VALUE"""),2.333333333333333)</f>
        <v>2.333333333</v>
      </c>
      <c r="T687" s="30">
        <f>IFERROR(__xludf.DUMMYFUNCTION("""COMPUTED_VALUE"""),333.3681089498926)</f>
        <v>333.3681089</v>
      </c>
      <c r="U687" s="30">
        <f>IFERROR(__xludf.DUMMYFUNCTION("""COMPUTED_VALUE"""),0.7602058059295186)</f>
        <v>0.7602058059</v>
      </c>
      <c r="V687" s="30">
        <f>IFERROR(__xludf.DUMMYFUNCTION("""COMPUTED_VALUE"""),0.5459775265111614)</f>
        <v>0.5459775265</v>
      </c>
      <c r="W687" s="30">
        <f>IFERROR(__xludf.DUMMYFUNCTION("""COMPUTED_VALUE"""),1.1997059120990532)</f>
        <v>1.199705912</v>
      </c>
      <c r="X687" s="30">
        <f>IFERROR(__xludf.DUMMYFUNCTION("""COMPUTED_VALUE"""),2.498233768465824)</f>
        <v>2.498233768</v>
      </c>
      <c r="Y687" s="30">
        <f>IFERROR(__xludf.DUMMYFUNCTION("""COMPUTED_VALUE"""),333.47059597665435)</f>
        <v>333.470596</v>
      </c>
      <c r="Z687" s="30">
        <f>IFERROR(__xludf.DUMMYFUNCTION("""COMPUTED_VALUE"""),0.7431621524895312)</f>
        <v>0.7431621525</v>
      </c>
      <c r="AA687" s="30">
        <f>IFERROR(__xludf.DUMMYFUNCTION("""COMPUTED_VALUE"""),0.5212907011728375)</f>
        <v>0.5212907012</v>
      </c>
      <c r="AB687" s="30">
        <f>IFERROR(__xludf.DUMMYFUNCTION("""COMPUTED_VALUE"""),1.2868346288942796)</f>
        <v>1.286834629</v>
      </c>
      <c r="AC687" s="30">
        <f>IFERROR(__xludf.DUMMYFUNCTION("""COMPUTED_VALUE"""),2.350910223596126)</f>
        <v>2.350910224</v>
      </c>
      <c r="AD687" s="30">
        <f>IFERROR(__xludf.DUMMYFUNCTION("""COMPUTED_VALUE"""),1.0297634558381688)</f>
        <v>1.029763456</v>
      </c>
      <c r="AE687" s="30">
        <f>IFERROR(__xludf.DUMMYFUNCTION("""COMPUTED_VALUE"""),1.1493678247812804)</f>
        <v>1.149367825</v>
      </c>
      <c r="AF687" s="30">
        <f>IFERROR(__xludf.DUMMYFUNCTION("""COMPUTED_VALUE"""),0.9191928142754184)</f>
        <v>0.9191928143</v>
      </c>
      <c r="AG687" s="30">
        <f>IFERROR(__xludf.DUMMYFUNCTION("""COMPUTED_VALUE"""),1.0199445760390933)</f>
        <v>1.019944576</v>
      </c>
      <c r="AH687" s="30">
        <f>IFERROR(__xludf.DUMMYFUNCTION("""COMPUTED_VALUE"""),0.9570761049982733)</f>
        <v>0.957076105</v>
      </c>
      <c r="AI687" s="30">
        <f>IFERROR(__xludf.DUMMYFUNCTION("""COMPUTED_VALUE"""),0.9272365976601936)</f>
        <v>0.9272365977</v>
      </c>
      <c r="AJ687" s="30">
        <f>IFERROR(__xludf.DUMMYFUNCTION("""COMPUTED_VALUE"""),0.8952254116547121)</f>
        <v>0.8952254117</v>
      </c>
      <c r="AK687" s="30">
        <f>IFERROR(__xludf.DUMMYFUNCTION("""COMPUTED_VALUE"""),0.8521921785882632)</f>
        <v>0.8521921786</v>
      </c>
      <c r="AL687" s="30">
        <f>IFERROR(__xludf.DUMMYFUNCTION("""COMPUTED_VALUE"""),0.9550951793915374)</f>
        <v>0.9550951794</v>
      </c>
      <c r="AM687" s="30">
        <f>IFERROR(__xludf.DUMMYFUNCTION("""COMPUTED_VALUE"""),0.9339931926251414)</f>
        <v>0.9339931926</v>
      </c>
      <c r="AN687" s="30">
        <f>IFERROR(__xludf.DUMMYFUNCTION("""COMPUTED_VALUE"""),1.0555649856344982)</f>
        <v>1.055564986</v>
      </c>
      <c r="AO687" s="30">
        <f>IFERROR(__xludf.DUMMYFUNCTION("""COMPUTED_VALUE"""),1.168740289036649)</f>
        <v>1.168740289</v>
      </c>
      <c r="AP687" s="30">
        <f>IFERROR(__xludf.DUMMYFUNCTION("""COMPUTED_VALUE"""),0.9294258830640425)</f>
        <v>0.9294258831</v>
      </c>
      <c r="AQ687" s="30">
        <f>IFERROR(__xludf.DUMMYFUNCTION("""COMPUTED_VALUE"""),1.0885664846292558)</f>
        <v>1.088566485</v>
      </c>
      <c r="AR687" s="30">
        <f>IFERROR(__xludf.DUMMYFUNCTION("""COMPUTED_VALUE"""),0.9455458307850633)</f>
        <v>0.9455458308</v>
      </c>
      <c r="AS687" s="30">
        <f>IFERROR(__xludf.DUMMYFUNCTION("""COMPUTED_VALUE"""),111.0)</f>
        <v>111</v>
      </c>
      <c r="AT687" s="30">
        <f>IFERROR(__xludf.DUMMYFUNCTION("""COMPUTED_VALUE"""),0.5473576441930383)</f>
        <v>0.5473576442</v>
      </c>
      <c r="AU687" s="30">
        <f>IFERROR(__xludf.DUMMYFUNCTION("""COMPUTED_VALUE"""),3.2020411543672496)</f>
        <v>3.202041154</v>
      </c>
      <c r="AV687" s="32">
        <f>IFERROR(__xludf.DUMMYFUNCTION("""COMPUTED_VALUE"""),59.36158310993868)</f>
        <v>59.36158311</v>
      </c>
      <c r="AW687" s="32">
        <f>IFERROR(__xludf.DUMMYFUNCTION("""COMPUTED_VALUE"""),2.8246208269844257)</f>
        <v>2.824620827</v>
      </c>
      <c r="AX687" s="32">
        <f>IFERROR(__xludf.DUMMYFUNCTION("""COMPUTED_VALUE"""),61.59925671321814)</f>
        <v>61.59925671</v>
      </c>
      <c r="AY687" s="32">
        <f>IFERROR(__xludf.DUMMYFUNCTION("""COMPUTED_VALUE"""),3.1120216683543416)</f>
        <v>3.112021668</v>
      </c>
      <c r="AZ687" s="30">
        <f>IFERROR(__xludf.DUMMYFUNCTION("""COMPUTED_VALUE"""),0.28740084136991584)</f>
        <v>0.2874008414</v>
      </c>
      <c r="BA687" s="30">
        <f>IFERROR(__xludf.DUMMYFUNCTION("""COMPUTED_VALUE"""),2300.0)</f>
        <v>2300</v>
      </c>
    </row>
    <row r="688">
      <c r="A688" s="71" t="str">
        <f>IFERROR(__xludf.DUMMYFUNCTION("""COMPUTED_VALUE"""),"Challenger")</f>
        <v>Challenger</v>
      </c>
      <c r="B688" s="71" t="str">
        <f>IFERROR(__xludf.DUMMYFUNCTION("""COMPUTED_VALUE"""),"RSC000357")</f>
        <v>RSC000357</v>
      </c>
      <c r="C688" s="30" t="str">
        <f>IFERROR(__xludf.DUMMYFUNCTION("""COMPUTED_VALUE"""),"Primed")</f>
        <v>Primed</v>
      </c>
      <c r="D688" s="30" t="str">
        <f>IFERROR(__xludf.DUMMYFUNCTION("""COMPUTED_VALUE"""),"Decuriones")</f>
        <v>Decuriones</v>
      </c>
      <c r="E688" s="30">
        <f>IFERROR(__xludf.DUMMYFUNCTION("""COMPUTED_VALUE"""),41.0)</f>
        <v>41</v>
      </c>
      <c r="F688" s="30">
        <f>IFERROR(__xludf.DUMMYFUNCTION("""COMPUTED_VALUE"""),24.0)</f>
        <v>24</v>
      </c>
      <c r="G688" s="42">
        <f>IFERROR(__xludf.DUMMYFUNCTION("""COMPUTED_VALUE"""),17.0)</f>
        <v>17</v>
      </c>
      <c r="H688" s="42">
        <f>IFERROR(__xludf.DUMMYFUNCTION("""COMPUTED_VALUE"""),0.5853658536585366)</f>
        <v>0.5853658537</v>
      </c>
      <c r="I688" s="42">
        <f>IFERROR(__xludf.DUMMYFUNCTION("""COMPUTED_VALUE"""),0.23809523809523808)</f>
        <v>0.2380952381</v>
      </c>
      <c r="J688" s="30">
        <f>IFERROR(__xludf.DUMMYFUNCTION("""COMPUTED_VALUE"""),282.4634146341463)</f>
        <v>282.4634146</v>
      </c>
      <c r="K688" s="30">
        <f>IFERROR(__xludf.DUMMYFUNCTION("""COMPUTED_VALUE"""),0.6097560975609756)</f>
        <v>0.6097560976</v>
      </c>
      <c r="L688" s="30">
        <f>IFERROR(__xludf.DUMMYFUNCTION("""COMPUTED_VALUE"""),0.4634146341463415)</f>
        <v>0.4634146341</v>
      </c>
      <c r="M688" s="30">
        <f>IFERROR(__xludf.DUMMYFUNCTION("""COMPUTED_VALUE"""),0.975609756097561)</f>
        <v>0.9756097561</v>
      </c>
      <c r="N688" s="30">
        <f>IFERROR(__xludf.DUMMYFUNCTION("""COMPUTED_VALUE"""),2.5609756097560976)</f>
        <v>2.56097561</v>
      </c>
      <c r="O688" s="30">
        <f>IFERROR(__xludf.DUMMYFUNCTION("""COMPUTED_VALUE"""),306.9512195121951)</f>
        <v>306.9512195</v>
      </c>
      <c r="P688" s="30">
        <f>IFERROR(__xludf.DUMMYFUNCTION("""COMPUTED_VALUE"""),0.6260162601626017)</f>
        <v>0.6260162602</v>
      </c>
      <c r="Q688" s="30">
        <f>IFERROR(__xludf.DUMMYFUNCTION("""COMPUTED_VALUE"""),0.4552845528455285)</f>
        <v>0.4552845528</v>
      </c>
      <c r="R688" s="30">
        <f>IFERROR(__xludf.DUMMYFUNCTION("""COMPUTED_VALUE"""),1.2439024390243905)</f>
        <v>1.243902439</v>
      </c>
      <c r="S688" s="30">
        <f>IFERROR(__xludf.DUMMYFUNCTION("""COMPUTED_VALUE"""),1.9512195121951224)</f>
        <v>1.951219512</v>
      </c>
      <c r="T688" s="30">
        <f>IFERROR(__xludf.DUMMYFUNCTION("""COMPUTED_VALUE"""),336.5821739280309)</f>
        <v>336.5821739</v>
      </c>
      <c r="U688" s="30">
        <f>IFERROR(__xludf.DUMMYFUNCTION("""COMPUTED_VALUE"""),0.7428188484697509)</f>
        <v>0.7428188485</v>
      </c>
      <c r="V688" s="30">
        <f>IFERROR(__xludf.DUMMYFUNCTION("""COMPUTED_VALUE"""),0.5248815355958159)</f>
        <v>0.5248815356</v>
      </c>
      <c r="W688" s="30">
        <f>IFERROR(__xludf.DUMMYFUNCTION("""COMPUTED_VALUE"""),1.2926902926907722)</f>
        <v>1.292690293</v>
      </c>
      <c r="X688" s="30">
        <f>IFERROR(__xludf.DUMMYFUNCTION("""COMPUTED_VALUE"""),2.3406584822978806)</f>
        <v>2.340658482</v>
      </c>
      <c r="Y688" s="30">
        <f>IFERROR(__xludf.DUMMYFUNCTION("""COMPUTED_VALUE"""),333.4245816075958)</f>
        <v>333.4245816</v>
      </c>
      <c r="Z688" s="30">
        <f>IFERROR(__xludf.DUMMYFUNCTION("""COMPUTED_VALUE"""),0.7590704212363537)</f>
        <v>0.7590704212</v>
      </c>
      <c r="AA688" s="30">
        <f>IFERROR(__xludf.DUMMYFUNCTION("""COMPUTED_VALUE"""),0.5321544812480158)</f>
        <v>0.5321544812</v>
      </c>
      <c r="AB688" s="30">
        <f>IFERROR(__xludf.DUMMYFUNCTION("""COMPUTED_VALUE"""),1.1861843221738857)</f>
        <v>1.186184322</v>
      </c>
      <c r="AC688" s="30">
        <f>IFERROR(__xludf.DUMMYFUNCTION("""COMPUTED_VALUE"""),2.5073290201076017)</f>
        <v>2.50732902</v>
      </c>
      <c r="AD688" s="30">
        <f>IFERROR(__xludf.DUMMYFUNCTION("""COMPUTED_VALUE"""),0.8471583386931405)</f>
        <v>0.8471583387</v>
      </c>
      <c r="AE688" s="30">
        <f>IFERROR(__xludf.DUMMYFUNCTION("""COMPUTED_VALUE"""),0.8032931866424476)</f>
        <v>0.8032931866</v>
      </c>
      <c r="AF688" s="30">
        <f>IFERROR(__xludf.DUMMYFUNCTION("""COMPUTED_VALUE"""),0.8708272700429682)</f>
        <v>0.87082727</v>
      </c>
      <c r="AG688" s="30">
        <f>IFERROR(__xludf.DUMMYFUNCTION("""COMPUTED_VALUE"""),0.8224773653301952)</f>
        <v>0.8224773653</v>
      </c>
      <c r="AH688" s="30">
        <f>IFERROR(__xludf.DUMMYFUNCTION("""COMPUTED_VALUE"""),1.0213959114333522)</f>
        <v>1.021395911</v>
      </c>
      <c r="AI688" s="30">
        <f>IFERROR(__xludf.DUMMYFUNCTION("""COMPUTED_VALUE"""),0.911965170139487)</f>
        <v>0.9119651701</v>
      </c>
      <c r="AJ688" s="30">
        <f>IFERROR(__xludf.DUMMYFUNCTION("""COMPUTED_VALUE"""),0.8427576406444597)</f>
        <v>0.8427576406</v>
      </c>
      <c r="AK688" s="30">
        <f>IFERROR(__xludf.DUMMYFUNCTION("""COMPUTED_VALUE"""),0.8674043988396642)</f>
        <v>0.8674043988</v>
      </c>
      <c r="AL688" s="30">
        <f>IFERROR(__xludf.DUMMYFUNCTION("""COMPUTED_VALUE"""),0.9622586678787319)</f>
        <v>0.9622586679</v>
      </c>
      <c r="AM688" s="30">
        <f>IFERROR(__xludf.DUMMYFUNCTION("""COMPUTED_VALUE"""),0.8336199095049369)</f>
        <v>0.8336199095</v>
      </c>
      <c r="AN688" s="30">
        <f>IFERROR(__xludf.DUMMYFUNCTION("""COMPUTED_VALUE"""),0.8682647291213414)</f>
        <v>0.8682647291</v>
      </c>
      <c r="AO688" s="30">
        <f>IFERROR(__xludf.DUMMYFUNCTION("""COMPUTED_VALUE"""),0.8343178743866619)</f>
        <v>0.8343178744</v>
      </c>
      <c r="AP688" s="30">
        <f>IFERROR(__xludf.DUMMYFUNCTION("""COMPUTED_VALUE"""),0.8988721159643762)</f>
        <v>0.898872116</v>
      </c>
      <c r="AQ688" s="30">
        <f>IFERROR(__xludf.DUMMYFUNCTION("""COMPUTED_VALUE"""),0.8091551105258115)</f>
        <v>0.8091551105</v>
      </c>
      <c r="AR688" s="30">
        <f>IFERROR(__xludf.DUMMYFUNCTION("""COMPUTED_VALUE"""),1.076231026909828)</f>
        <v>1.076231027</v>
      </c>
      <c r="AS688" s="30">
        <f>IFERROR(__xludf.DUMMYFUNCTION("""COMPUTED_VALUE"""),91.0)</f>
        <v>91</v>
      </c>
      <c r="AT688" s="30">
        <f>IFERROR(__xludf.DUMMYFUNCTION("""COMPUTED_VALUE"""),0.5622774456211485)</f>
        <v>0.5622774456</v>
      </c>
      <c r="AU688" s="30">
        <f>IFERROR(__xludf.DUMMYFUNCTION("""COMPUTED_VALUE"""),2.6951908103028783)</f>
        <v>2.69519081</v>
      </c>
      <c r="AV688" s="32">
        <f>IFERROR(__xludf.DUMMYFUNCTION("""COMPUTED_VALUE"""),46.133670690486646)</f>
        <v>46.13367069</v>
      </c>
      <c r="AW688" s="32">
        <f>IFERROR(__xludf.DUMMYFUNCTION("""COMPUTED_VALUE"""),-2.280255357674911)</f>
        <v>-2.280255358</v>
      </c>
      <c r="AX688" s="32">
        <f>IFERROR(__xludf.DUMMYFUNCTION("""COMPUTED_VALUE"""),43.09492499236311)</f>
        <v>43.09492499</v>
      </c>
      <c r="AY688" s="32">
        <f>IFERROR(__xludf.DUMMYFUNCTION("""COMPUTED_VALUE"""),-2.5562628568203936)</f>
        <v>-2.556262857</v>
      </c>
      <c r="AZ688" s="30">
        <f>IFERROR(__xludf.DUMMYFUNCTION("""COMPUTED_VALUE"""),0.2760074991454826)</f>
        <v>0.2760074991</v>
      </c>
      <c r="BA688" s="30">
        <f>IFERROR(__xludf.DUMMYFUNCTION("""COMPUTED_VALUE"""),2300.0)</f>
        <v>2300</v>
      </c>
    </row>
    <row r="689">
      <c r="A689" s="71" t="str">
        <f>IFERROR(__xludf.DUMMYFUNCTION("""COMPUTED_VALUE"""),"Challenger")</f>
        <v>Challenger</v>
      </c>
      <c r="B689" s="71" t="str">
        <f>IFERROR(__xludf.DUMMYFUNCTION("""COMPUTED_VALUE"""),"RSC007001")</f>
        <v>RSC007001</v>
      </c>
      <c r="C689" s="30" t="str">
        <f>IFERROR(__xludf.DUMMYFUNCTION("""COMPUTED_VALUE"""),"tankersrul")</f>
        <v>tankersrul</v>
      </c>
      <c r="D689" s="30" t="str">
        <f>IFERROR(__xludf.DUMMYFUNCTION("""COMPUTED_VALUE"""),"Bingo")</f>
        <v>Bingo</v>
      </c>
      <c r="E689" s="30">
        <f>IFERROR(__xludf.DUMMYFUNCTION("""COMPUTED_VALUE"""),32.0)</f>
        <v>32</v>
      </c>
      <c r="F689" s="30">
        <f>IFERROR(__xludf.DUMMYFUNCTION("""COMPUTED_VALUE"""),17.0)</f>
        <v>17</v>
      </c>
      <c r="G689" s="42">
        <f>IFERROR(__xludf.DUMMYFUNCTION("""COMPUTED_VALUE"""),15.0)</f>
        <v>15</v>
      </c>
      <c r="H689" s="42">
        <f>IFERROR(__xludf.DUMMYFUNCTION("""COMPUTED_VALUE"""),0.53125)</f>
        <v>0.53125</v>
      </c>
      <c r="I689" s="42">
        <f>IFERROR(__xludf.DUMMYFUNCTION("""COMPUTED_VALUE"""),0.2702702702702703)</f>
        <v>0.2702702703</v>
      </c>
      <c r="J689" s="30">
        <f>IFERROR(__xludf.DUMMYFUNCTION("""COMPUTED_VALUE"""),327.21875)</f>
        <v>327.21875</v>
      </c>
      <c r="K689" s="30">
        <f>IFERROR(__xludf.DUMMYFUNCTION("""COMPUTED_VALUE"""),0.625)</f>
        <v>0.625</v>
      </c>
      <c r="L689" s="30">
        <f>IFERROR(__xludf.DUMMYFUNCTION("""COMPUTED_VALUE"""),0.53125)</f>
        <v>0.53125</v>
      </c>
      <c r="M689" s="30">
        <f>IFERROR(__xludf.DUMMYFUNCTION("""COMPUTED_VALUE"""),1.25)</f>
        <v>1.25</v>
      </c>
      <c r="N689" s="30">
        <f>IFERROR(__xludf.DUMMYFUNCTION("""COMPUTED_VALUE"""),2.3125)</f>
        <v>2.3125</v>
      </c>
      <c r="O689" s="30">
        <f>IFERROR(__xludf.DUMMYFUNCTION("""COMPUTED_VALUE"""),318.9583333333332)</f>
        <v>318.9583333</v>
      </c>
      <c r="P689" s="30">
        <f>IFERROR(__xludf.DUMMYFUNCTION("""COMPUTED_VALUE"""),0.6354166666666665)</f>
        <v>0.6354166667</v>
      </c>
      <c r="Q689" s="30">
        <f>IFERROR(__xludf.DUMMYFUNCTION("""COMPUTED_VALUE"""),0.41666666666666674)</f>
        <v>0.4166666667</v>
      </c>
      <c r="R689" s="30">
        <f>IFERROR(__xludf.DUMMYFUNCTION("""COMPUTED_VALUE"""),1.3541666666666667)</f>
        <v>1.354166667</v>
      </c>
      <c r="S689" s="30">
        <f>IFERROR(__xludf.DUMMYFUNCTION("""COMPUTED_VALUE"""),2.1458333333333335)</f>
        <v>2.145833333</v>
      </c>
      <c r="T689" s="30">
        <f>IFERROR(__xludf.DUMMYFUNCTION("""COMPUTED_VALUE"""),341.495564717485)</f>
        <v>341.4955647</v>
      </c>
      <c r="U689" s="30">
        <f>IFERROR(__xludf.DUMMYFUNCTION("""COMPUTED_VALUE"""),0.8186793353780814)</f>
        <v>0.8186793354</v>
      </c>
      <c r="V689" s="30">
        <f>IFERROR(__xludf.DUMMYFUNCTION("""COMPUTED_VALUE"""),0.5376101153688077)</f>
        <v>0.5376101154</v>
      </c>
      <c r="W689" s="30">
        <f>IFERROR(__xludf.DUMMYFUNCTION("""COMPUTED_VALUE"""),1.2153264735043827)</f>
        <v>1.215326474</v>
      </c>
      <c r="X689" s="30">
        <f>IFERROR(__xludf.DUMMYFUNCTION("""COMPUTED_VALUE"""),2.456832432229602)</f>
        <v>2.456832432</v>
      </c>
      <c r="Y689" s="30">
        <f>IFERROR(__xludf.DUMMYFUNCTION("""COMPUTED_VALUE"""),325.3261758101853)</f>
        <v>325.3261758</v>
      </c>
      <c r="Z689" s="30">
        <f>IFERROR(__xludf.DUMMYFUNCTION("""COMPUTED_VALUE"""),0.7175106596200501)</f>
        <v>0.7175106596</v>
      </c>
      <c r="AA689" s="30">
        <f>IFERROR(__xludf.DUMMYFUNCTION("""COMPUTED_VALUE"""),0.48449081580633124)</f>
        <v>0.4844908158</v>
      </c>
      <c r="AB689" s="30">
        <f>IFERROR(__xludf.DUMMYFUNCTION("""COMPUTED_VALUE"""),1.1962353402742176)</f>
        <v>1.19623534</v>
      </c>
      <c r="AC689" s="30">
        <f>IFERROR(__xludf.DUMMYFUNCTION("""COMPUTED_VALUE"""),2.41521949552737)</f>
        <v>2.415219496</v>
      </c>
      <c r="AD689" s="30">
        <f>IFERROR(__xludf.DUMMYFUNCTION("""COMPUTED_VALUE"""),1.0058174666858621)</f>
        <v>1.005817467</v>
      </c>
      <c r="AE689" s="30">
        <f>IFERROR(__xludf.DUMMYFUNCTION("""COMPUTED_VALUE"""),0.8710671982642905)</f>
        <v>0.8710671983</v>
      </c>
      <c r="AF689" s="30">
        <f>IFERROR(__xludf.DUMMYFUNCTION("""COMPUTED_VALUE"""),1.0965120135783133)</f>
        <v>1.096512014</v>
      </c>
      <c r="AG689" s="30">
        <f>IFERROR(__xludf.DUMMYFUNCTION("""COMPUTED_VALUE"""),1.0449448849366527)</f>
        <v>1.044944885</v>
      </c>
      <c r="AH689" s="30">
        <f>IFERROR(__xludf.DUMMYFUNCTION("""COMPUTED_VALUE"""),0.9574699128929726)</f>
        <v>0.9574699129</v>
      </c>
      <c r="AI689" s="30">
        <f>IFERROR(__xludf.DUMMYFUNCTION("""COMPUTED_VALUE"""),0.9340043218341749)</f>
        <v>0.9340043218</v>
      </c>
      <c r="AJ689" s="30">
        <f>IFERROR(__xludf.DUMMYFUNCTION("""COMPUTED_VALUE"""),0.7761484127032707)</f>
        <v>0.7761484127</v>
      </c>
      <c r="AK689" s="30">
        <f>IFERROR(__xludf.DUMMYFUNCTION("""COMPUTED_VALUE"""),0.7750350202782696)</f>
        <v>0.7750350203</v>
      </c>
      <c r="AL689" s="30">
        <f>IFERROR(__xludf.DUMMYFUNCTION("""COMPUTED_VALUE"""),1.1142410670623668)</f>
        <v>1.114241067</v>
      </c>
      <c r="AM689" s="30">
        <f>IFERROR(__xludf.DUMMYFUNCTION("""COMPUTED_VALUE"""),0.8734146070295754)</f>
        <v>0.873414607</v>
      </c>
      <c r="AN689" s="30">
        <f>IFERROR(__xludf.DUMMYFUNCTION("""COMPUTED_VALUE"""),1.0058382240410269)</f>
        <v>1.005838224</v>
      </c>
      <c r="AO689" s="30">
        <f>IFERROR(__xludf.DUMMYFUNCTION("""COMPUTED_VALUE"""),0.8551758212463285)</f>
        <v>0.8551758212</v>
      </c>
      <c r="AP689" s="30">
        <f>IFERROR(__xludf.DUMMYFUNCTION("""COMPUTED_VALUE"""),1.0304504355710036)</f>
        <v>1.030450436</v>
      </c>
      <c r="AQ689" s="30">
        <f>IFERROR(__xludf.DUMMYFUNCTION("""COMPUTED_VALUE"""),1.036729985361196)</f>
        <v>1.036729985</v>
      </c>
      <c r="AR689" s="30">
        <f>IFERROR(__xludf.DUMMYFUNCTION("""COMPUTED_VALUE"""),0.971810992751315)</f>
        <v>0.9718109928</v>
      </c>
      <c r="AS689" s="30">
        <f>IFERROR(__xludf.DUMMYFUNCTION("""COMPUTED_VALUE"""),69.0)</f>
        <v>69</v>
      </c>
      <c r="AT689" s="30">
        <f>IFERROR(__xludf.DUMMYFUNCTION("""COMPUTED_VALUE"""),0.5459370424119446)</f>
        <v>0.5459370424</v>
      </c>
      <c r="AU689" s="30">
        <f>IFERROR(__xludf.DUMMYFUNCTION("""COMPUTED_VALUE"""),3.0063210153936772)</f>
        <v>3.006321015</v>
      </c>
      <c r="AV689" s="32">
        <f>IFERROR(__xludf.DUMMYFUNCTION("""COMPUTED_VALUE"""),54.25362789715384)</f>
        <v>54.2536279</v>
      </c>
      <c r="AW689" s="32">
        <f>IFERROR(__xludf.DUMMYFUNCTION("""COMPUTED_VALUE"""),2.312416717152793)</f>
        <v>2.312416717</v>
      </c>
      <c r="AX689" s="32">
        <f>IFERROR(__xludf.DUMMYFUNCTION("""COMPUTED_VALUE"""),50.58059766655377)</f>
        <v>50.58059767</v>
      </c>
      <c r="AY689" s="32">
        <f>IFERROR(__xludf.DUMMYFUNCTION("""COMPUTED_VALUE"""),2.037756221795572)</f>
        <v>2.037756222</v>
      </c>
      <c r="AZ689" s="30">
        <f>IFERROR(__xludf.DUMMYFUNCTION("""COMPUTED_VALUE"""),0.2746604953572209)</f>
        <v>0.2746604954</v>
      </c>
      <c r="BA689" s="30">
        <f>IFERROR(__xludf.DUMMYFUNCTION("""COMPUTED_VALUE"""),2300.0)</f>
        <v>2300</v>
      </c>
    </row>
    <row r="690">
      <c r="A690" s="71" t="str">
        <f>IFERROR(__xludf.DUMMYFUNCTION("""COMPUTED_VALUE"""),"Challenger")</f>
        <v>Challenger</v>
      </c>
      <c r="B690" s="71" t="str">
        <f>IFERROR(__xludf.DUMMYFUNCTION("""COMPUTED_VALUE"""),"RSC002128")</f>
        <v>RSC002128</v>
      </c>
      <c r="C690" s="30" t="str">
        <f>IFERROR(__xludf.DUMMYFUNCTION("""COMPUTED_VALUE"""),"Velo")</f>
        <v>Velo</v>
      </c>
      <c r="D690" s="30" t="str">
        <f>IFERROR(__xludf.DUMMYFUNCTION("""COMPUTED_VALUE"""),"Jock O Lanterns")</f>
        <v>Jock O Lanterns</v>
      </c>
      <c r="E690" s="30">
        <f>IFERROR(__xludf.DUMMYFUNCTION("""COMPUTED_VALUE"""),44.0)</f>
        <v>44</v>
      </c>
      <c r="F690" s="30">
        <f>IFERROR(__xludf.DUMMYFUNCTION("""COMPUTED_VALUE"""),17.0)</f>
        <v>17</v>
      </c>
      <c r="G690" s="42">
        <f>IFERROR(__xludf.DUMMYFUNCTION("""COMPUTED_VALUE"""),27.0)</f>
        <v>27</v>
      </c>
      <c r="H690" s="42">
        <f>IFERROR(__xludf.DUMMYFUNCTION("""COMPUTED_VALUE"""),0.38636363636363635)</f>
        <v>0.3863636364</v>
      </c>
      <c r="I690" s="42">
        <f>IFERROR(__xludf.DUMMYFUNCTION("""COMPUTED_VALUE"""),0.20909090909090908)</f>
        <v>0.2090909091</v>
      </c>
      <c r="J690" s="30">
        <f>IFERROR(__xludf.DUMMYFUNCTION("""COMPUTED_VALUE"""),327.1363636363636)</f>
        <v>327.1363636</v>
      </c>
      <c r="K690" s="30">
        <f>IFERROR(__xludf.DUMMYFUNCTION("""COMPUTED_VALUE"""),0.5227272727272727)</f>
        <v>0.5227272727</v>
      </c>
      <c r="L690" s="30">
        <f>IFERROR(__xludf.DUMMYFUNCTION("""COMPUTED_VALUE"""),0.5681818181818182)</f>
        <v>0.5681818182</v>
      </c>
      <c r="M690" s="30">
        <f>IFERROR(__xludf.DUMMYFUNCTION("""COMPUTED_VALUE"""),1.2727272727272727)</f>
        <v>1.272727273</v>
      </c>
      <c r="N690" s="30">
        <f>IFERROR(__xludf.DUMMYFUNCTION("""COMPUTED_VALUE"""),2.5)</f>
        <v>2.5</v>
      </c>
      <c r="O690" s="30">
        <f>IFERROR(__xludf.DUMMYFUNCTION("""COMPUTED_VALUE"""),385.5075757575758)</f>
        <v>385.5075758</v>
      </c>
      <c r="P690" s="30">
        <f>IFERROR(__xludf.DUMMYFUNCTION("""COMPUTED_VALUE"""),0.962121212121212)</f>
        <v>0.9621212121</v>
      </c>
      <c r="Q690" s="30">
        <f>IFERROR(__xludf.DUMMYFUNCTION("""COMPUTED_VALUE"""),0.6515151515151516)</f>
        <v>0.6515151515</v>
      </c>
      <c r="R690" s="30">
        <f>IFERROR(__xludf.DUMMYFUNCTION("""COMPUTED_VALUE"""),1.3863636363636362)</f>
        <v>1.386363636</v>
      </c>
      <c r="S690" s="30">
        <f>IFERROR(__xludf.DUMMYFUNCTION("""COMPUTED_VALUE"""),2.537878787878787)</f>
        <v>2.537878788</v>
      </c>
      <c r="T690" s="30">
        <f>IFERROR(__xludf.DUMMYFUNCTION("""COMPUTED_VALUE"""),338.9296707352979)</f>
        <v>338.9296707</v>
      </c>
      <c r="U690" s="30">
        <f>IFERROR(__xludf.DUMMYFUNCTION("""COMPUTED_VALUE"""),0.7913075150690144)</f>
        <v>0.7913075151</v>
      </c>
      <c r="V690" s="30">
        <f>IFERROR(__xludf.DUMMYFUNCTION("""COMPUTED_VALUE"""),0.5830343117571587)</f>
        <v>0.5830343118</v>
      </c>
      <c r="W690" s="30">
        <f>IFERROR(__xludf.DUMMYFUNCTION("""COMPUTED_VALUE"""),1.2009452553931987)</f>
        <v>1.200945255</v>
      </c>
      <c r="X690" s="30">
        <f>IFERROR(__xludf.DUMMYFUNCTION("""COMPUTED_VALUE"""),2.4708625302976968)</f>
        <v>2.47086253</v>
      </c>
      <c r="Y690" s="30">
        <f>IFERROR(__xludf.DUMMYFUNCTION("""COMPUTED_VALUE"""),335.4915153424121)</f>
        <v>335.4915153</v>
      </c>
      <c r="Z690" s="30">
        <f>IFERROR(__xludf.DUMMYFUNCTION("""COMPUTED_VALUE"""),0.7787523171788243)</f>
        <v>0.7787523172</v>
      </c>
      <c r="AA690" s="30">
        <f>IFERROR(__xludf.DUMMYFUNCTION("""COMPUTED_VALUE"""),0.5287491101025744)</f>
        <v>0.5287491101</v>
      </c>
      <c r="AB690" s="30">
        <f>IFERROR(__xludf.DUMMYFUNCTION("""COMPUTED_VALUE"""),1.2110415700997201)</f>
        <v>1.21104157</v>
      </c>
      <c r="AC690" s="30">
        <f>IFERROR(__xludf.DUMMYFUNCTION("""COMPUTED_VALUE"""),2.4511697858148076)</f>
        <v>2.451169786</v>
      </c>
      <c r="AD690" s="30">
        <f>IFERROR(__xludf.DUMMYFUNCTION("""COMPUTED_VALUE"""),0.9750957883464775)</f>
        <v>0.9750957883</v>
      </c>
      <c r="AE690" s="30">
        <f>IFERROR(__xludf.DUMMYFUNCTION("""COMPUTED_VALUE"""),0.671236876213672)</f>
        <v>0.6712368762</v>
      </c>
      <c r="AF690" s="30">
        <f>IFERROR(__xludf.DUMMYFUNCTION("""COMPUTED_VALUE"""),1.0745773511970433)</f>
        <v>1.074577351</v>
      </c>
      <c r="AG690" s="30">
        <f>IFERROR(__xludf.DUMMYFUNCTION("""COMPUTED_VALUE"""),1.0509360736663014)</f>
        <v>1.050936074</v>
      </c>
      <c r="AH690" s="30">
        <f>IFERROR(__xludf.DUMMYFUNCTION("""COMPUTED_VALUE"""),1.019921188025317)</f>
        <v>1.019921188</v>
      </c>
      <c r="AI690" s="30">
        <f>IFERROR(__xludf.DUMMYFUNCTION("""COMPUTED_VALUE"""),1.1374264605433584)</f>
        <v>1.137426461</v>
      </c>
      <c r="AJ690" s="30">
        <f>IFERROR(__xludf.DUMMYFUNCTION("""COMPUTED_VALUE"""),1.2158625993047723)</f>
        <v>1.215862599</v>
      </c>
      <c r="AK690" s="30">
        <f>IFERROR(__xludf.DUMMYFUNCTION("""COMPUTED_VALUE"""),1.1174559341998316)</f>
        <v>1.117455934</v>
      </c>
      <c r="AL690" s="30">
        <f>IFERROR(__xludf.DUMMYFUNCTION("""COMPUTED_VALUE"""),1.1543936995776964)</f>
        <v>1.1543937</v>
      </c>
      <c r="AM690" s="30">
        <f>IFERROR(__xludf.DUMMYFUNCTION("""COMPUTED_VALUE"""),1.0271226168025689)</f>
        <v>1.027122617</v>
      </c>
      <c r="AN690" s="30">
        <f>IFERROR(__xludf.DUMMYFUNCTION("""COMPUTED_VALUE"""),1.0055849764698372)</f>
        <v>1.005584976</v>
      </c>
      <c r="AO690" s="30">
        <f>IFERROR(__xludf.DUMMYFUNCTION("""COMPUTED_VALUE"""),0.7152379595878383)</f>
        <v>0.7152379596</v>
      </c>
      <c r="AP690" s="30">
        <f>IFERROR(__xludf.DUMMYFUNCTION("""COMPUTED_VALUE"""),1.102086027348667)</f>
        <v>1.102086027</v>
      </c>
      <c r="AQ690" s="30">
        <f>IFERROR(__xludf.DUMMYFUNCTION("""COMPUTED_VALUE"""),1.0555796214586723)</f>
        <v>1.055579621</v>
      </c>
      <c r="AR690" s="30">
        <f>IFERROR(__xludf.DUMMYFUNCTION("""COMPUTED_VALUE"""),1.0506064786500702)</f>
        <v>1.050606479</v>
      </c>
      <c r="AS690" s="30">
        <f>IFERROR(__xludf.DUMMYFUNCTION("""COMPUTED_VALUE"""),94.0)</f>
        <v>94</v>
      </c>
      <c r="AT690" s="30">
        <f>IFERROR(__xludf.DUMMYFUNCTION("""COMPUTED_VALUE"""),0.38268475728250295)</f>
        <v>0.3826847573</v>
      </c>
      <c r="AU690" s="30">
        <f>IFERROR(__xludf.DUMMYFUNCTION("""COMPUTED_VALUE"""),2.465331383514764)</f>
        <v>2.465331384</v>
      </c>
      <c r="AV690" s="32">
        <f>IFERROR(__xludf.DUMMYFUNCTION("""COMPUTED_VALUE"""),40.13473944392432)</f>
        <v>40.13473944</v>
      </c>
      <c r="AW690" s="32">
        <f>IFERROR(__xludf.DUMMYFUNCTION("""COMPUTED_VALUE"""),-2.8854598505441826)</f>
        <v>-2.885459851</v>
      </c>
      <c r="AX690" s="32">
        <f>IFERROR(__xludf.DUMMYFUNCTION("""COMPUTED_VALUE"""),42.33957964774379)</f>
        <v>42.33957965</v>
      </c>
      <c r="AY690" s="32">
        <f>IFERROR(__xludf.DUMMYFUNCTION("""COMPUTED_VALUE"""),-2.634049034212722)</f>
        <v>-2.634049034</v>
      </c>
      <c r="AZ690" s="30">
        <f>IFERROR(__xludf.DUMMYFUNCTION("""COMPUTED_VALUE"""),0.25141081633146056)</f>
        <v>0.2514108163</v>
      </c>
      <c r="BA690" s="30">
        <f>IFERROR(__xludf.DUMMYFUNCTION("""COMPUTED_VALUE"""),2300.0)</f>
        <v>2300</v>
      </c>
    </row>
    <row r="691">
      <c r="A691" s="71" t="str">
        <f>IFERROR(__xludf.DUMMYFUNCTION("""COMPUTED_VALUE"""),"Challenger")</f>
        <v>Challenger</v>
      </c>
      <c r="B691" s="71" t="str">
        <f>IFERROR(__xludf.DUMMYFUNCTION("""COMPUTED_VALUE"""),"RSC004333")</f>
        <v>RSC004333</v>
      </c>
      <c r="C691" s="30" t="str">
        <f>IFERROR(__xludf.DUMMYFUNCTION("""COMPUTED_VALUE"""),"Penguin")</f>
        <v>Penguin</v>
      </c>
      <c r="D691" s="30" t="str">
        <f>IFERROR(__xludf.DUMMYFUNCTION("""COMPUTED_VALUE"""),"Mugged")</f>
        <v>Mugged</v>
      </c>
      <c r="E691" s="30">
        <f>IFERROR(__xludf.DUMMYFUNCTION("""COMPUTED_VALUE"""),45.0)</f>
        <v>45</v>
      </c>
      <c r="F691" s="30">
        <f>IFERROR(__xludf.DUMMYFUNCTION("""COMPUTED_VALUE"""),24.0)</f>
        <v>24</v>
      </c>
      <c r="G691" s="42">
        <f>IFERROR(__xludf.DUMMYFUNCTION("""COMPUTED_VALUE"""),21.0)</f>
        <v>21</v>
      </c>
      <c r="H691" s="42">
        <f>IFERROR(__xludf.DUMMYFUNCTION("""COMPUTED_VALUE"""),0.5333333333333333)</f>
        <v>0.5333333333</v>
      </c>
      <c r="I691" s="42">
        <f>IFERROR(__xludf.DUMMYFUNCTION("""COMPUTED_VALUE"""),0.33035714285714285)</f>
        <v>0.3303571429</v>
      </c>
      <c r="J691" s="30">
        <f>IFERROR(__xludf.DUMMYFUNCTION("""COMPUTED_VALUE"""),376.2)</f>
        <v>376.2</v>
      </c>
      <c r="K691" s="30">
        <f>IFERROR(__xludf.DUMMYFUNCTION("""COMPUTED_VALUE"""),0.8222222222222222)</f>
        <v>0.8222222222</v>
      </c>
      <c r="L691" s="30">
        <f>IFERROR(__xludf.DUMMYFUNCTION("""COMPUTED_VALUE"""),0.6)</f>
        <v>0.6</v>
      </c>
      <c r="M691" s="30">
        <f>IFERROR(__xludf.DUMMYFUNCTION("""COMPUTED_VALUE"""),1.4)</f>
        <v>1.4</v>
      </c>
      <c r="N691" s="30">
        <f>IFERROR(__xludf.DUMMYFUNCTION("""COMPUTED_VALUE"""),2.488888888888889)</f>
        <v>2.488888889</v>
      </c>
      <c r="O691" s="30">
        <f>IFERROR(__xludf.DUMMYFUNCTION("""COMPUTED_VALUE"""),336.19259259259263)</f>
        <v>336.1925926</v>
      </c>
      <c r="P691" s="30">
        <f>IFERROR(__xludf.DUMMYFUNCTION("""COMPUTED_VALUE"""),0.8148148148148148)</f>
        <v>0.8148148148</v>
      </c>
      <c r="Q691" s="30">
        <f>IFERROR(__xludf.DUMMYFUNCTION("""COMPUTED_VALUE"""),0.5333333333333335)</f>
        <v>0.5333333333</v>
      </c>
      <c r="R691" s="30">
        <f>IFERROR(__xludf.DUMMYFUNCTION("""COMPUTED_VALUE"""),1.1629629629629634)</f>
        <v>1.162962963</v>
      </c>
      <c r="S691" s="30">
        <f>IFERROR(__xludf.DUMMYFUNCTION("""COMPUTED_VALUE"""),2.65925925925926)</f>
        <v>2.659259259</v>
      </c>
      <c r="T691" s="30">
        <f>IFERROR(__xludf.DUMMYFUNCTION("""COMPUTED_VALUE"""),333.16274043485095)</f>
        <v>333.1627404</v>
      </c>
      <c r="U691" s="30">
        <f>IFERROR(__xludf.DUMMYFUNCTION("""COMPUTED_VALUE"""),0.7573463640419691)</f>
        <v>0.757346364</v>
      </c>
      <c r="V691" s="30">
        <f>IFERROR(__xludf.DUMMYFUNCTION("""COMPUTED_VALUE"""),0.5160378385001567)</f>
        <v>0.5160378385</v>
      </c>
      <c r="W691" s="30">
        <f>IFERROR(__xludf.DUMMYFUNCTION("""COMPUTED_VALUE"""),1.2424924005141602)</f>
        <v>1.242492401</v>
      </c>
      <c r="X691" s="30">
        <f>IFERROR(__xludf.DUMMYFUNCTION("""COMPUTED_VALUE"""),2.4617317684734585)</f>
        <v>2.461731768</v>
      </c>
      <c r="Y691" s="30">
        <f>IFERROR(__xludf.DUMMYFUNCTION("""COMPUTED_VALUE"""),341.02954755246026)</f>
        <v>341.0295476</v>
      </c>
      <c r="Z691" s="30">
        <f>IFERROR(__xludf.DUMMYFUNCTION("""COMPUTED_VALUE"""),0.7753368634973176)</f>
        <v>0.7753368635</v>
      </c>
      <c r="AA691" s="30">
        <f>IFERROR(__xludf.DUMMYFUNCTION("""COMPUTED_VALUE"""),0.5540986179810938)</f>
        <v>0.554098618</v>
      </c>
      <c r="AB691" s="30">
        <f>IFERROR(__xludf.DUMMYFUNCTION("""COMPUTED_VALUE"""),1.2539394594352076)</f>
        <v>1.253939459</v>
      </c>
      <c r="AC691" s="30">
        <f>IFERROR(__xludf.DUMMYFUNCTION("""COMPUTED_VALUE"""),2.475182780779676)</f>
        <v>2.475182781</v>
      </c>
      <c r="AD691" s="30">
        <f>IFERROR(__xludf.DUMMYFUNCTION("""COMPUTED_VALUE"""),1.1031302205335434)</f>
        <v>1.103130221</v>
      </c>
      <c r="AE691" s="30">
        <f>IFERROR(__xludf.DUMMYFUNCTION("""COMPUTED_VALUE"""),1.0604709526042893)</f>
        <v>1.060470953</v>
      </c>
      <c r="AF691" s="30">
        <f>IFERROR(__xludf.DUMMYFUNCTION("""COMPUTED_VALUE"""),1.0828397338115583)</f>
        <v>1.082839734</v>
      </c>
      <c r="AG691" s="30">
        <f>IFERROR(__xludf.DUMMYFUNCTION("""COMPUTED_VALUE"""),1.1164813336607018)</f>
        <v>1.116481334</v>
      </c>
      <c r="AH691" s="30">
        <f>IFERROR(__xludf.DUMMYFUNCTION("""COMPUTED_VALUE"""),1.0055374125158125)</f>
        <v>1.005537413</v>
      </c>
      <c r="AI691" s="30">
        <f>IFERROR(__xludf.DUMMYFUNCTION("""COMPUTED_VALUE"""),1.0090942106965115)</f>
        <v>1.009094211</v>
      </c>
      <c r="AJ691" s="30">
        <f>IFERROR(__xludf.DUMMYFUNCTION("""COMPUTED_VALUE"""),1.0758813318468128)</f>
        <v>1.075881332</v>
      </c>
      <c r="AK691" s="30">
        <f>IFERROR(__xludf.DUMMYFUNCTION("""COMPUTED_VALUE"""),1.0335159431010825)</f>
        <v>1.033515943</v>
      </c>
      <c r="AL691" s="30">
        <f>IFERROR(__xludf.DUMMYFUNCTION("""COMPUTED_VALUE"""),0.9359920128941743)</f>
        <v>0.9359920129</v>
      </c>
      <c r="AM691" s="30">
        <f>IFERROR(__xludf.DUMMYFUNCTION("""COMPUTED_VALUE"""),1.080239241868455)</f>
        <v>1.080239242</v>
      </c>
      <c r="AN691" s="30">
        <f>IFERROR(__xludf.DUMMYFUNCTION("""COMPUTED_VALUE"""),1.1564017645206282)</f>
        <v>1.156401765</v>
      </c>
      <c r="AO691" s="30">
        <f>IFERROR(__xludf.DUMMYFUNCTION("""COMPUTED_VALUE"""),1.1250313026173921)</f>
        <v>1.125031303</v>
      </c>
      <c r="AP691" s="30">
        <f>IFERROR(__xludf.DUMMYFUNCTION("""COMPUTED_VALUE"""),1.1638028448801923)</f>
        <v>1.163802845</v>
      </c>
      <c r="AQ691" s="30">
        <f>IFERROR(__xludf.DUMMYFUNCTION("""COMPUTED_VALUE"""),1.1611375836045394)</f>
        <v>1.161137584</v>
      </c>
      <c r="AR691" s="30">
        <f>IFERROR(__xludf.DUMMYFUNCTION("""COMPUTED_VALUE"""),1.0459371165227367)</f>
        <v>1.045937117</v>
      </c>
      <c r="AS691" s="30">
        <f>IFERROR(__xludf.DUMMYFUNCTION("""COMPUTED_VALUE"""),114.0)</f>
        <v>114</v>
      </c>
      <c r="AT691" s="30">
        <f>IFERROR(__xludf.DUMMYFUNCTION("""COMPUTED_VALUE"""),0.5141501600522754)</f>
        <v>0.5141501601</v>
      </c>
      <c r="AU691" s="30">
        <f>IFERROR(__xludf.DUMMYFUNCTION("""COMPUTED_VALUE"""),3.259736159642937)</f>
        <v>3.25973616</v>
      </c>
      <c r="AV691" s="32">
        <f>IFERROR(__xludf.DUMMYFUNCTION("""COMPUTED_VALUE"""),60.867322399186726)</f>
        <v>60.8673224</v>
      </c>
      <c r="AW691" s="32">
        <f>IFERROR(__xludf.DUMMYFUNCTION("""COMPUTED_VALUE"""),3.013022181323439)</f>
        <v>3.013022181</v>
      </c>
      <c r="AX691" s="32">
        <f>IFERROR(__xludf.DUMMYFUNCTION("""COMPUTED_VALUE"""),58.94379532290654)</f>
        <v>58.94379532</v>
      </c>
      <c r="AY691" s="32">
        <f>IFERROR(__xludf.DUMMYFUNCTION("""COMPUTED_VALUE"""),2.7757381704905693)</f>
        <v>2.77573817</v>
      </c>
      <c r="AZ691" s="30">
        <f>IFERROR(__xludf.DUMMYFUNCTION("""COMPUTED_VALUE"""),0.23728401083286954)</f>
        <v>0.2372840108</v>
      </c>
      <c r="BA691" s="30">
        <f>IFERROR(__xludf.DUMMYFUNCTION("""COMPUTED_VALUE"""),2300.0)</f>
        <v>2300</v>
      </c>
    </row>
    <row r="692">
      <c r="A692" s="71" t="str">
        <f>IFERROR(__xludf.DUMMYFUNCTION("""COMPUTED_VALUE"""),"Challenger")</f>
        <v>Challenger</v>
      </c>
      <c r="B692" s="71" t="str">
        <f>IFERROR(__xludf.DUMMYFUNCTION("""COMPUTED_VALUE"""),"RSC006883")</f>
        <v>RSC006883</v>
      </c>
      <c r="C692" s="30" t="str">
        <f>IFERROR(__xludf.DUMMYFUNCTION("""COMPUTED_VALUE"""),"Kit")</f>
        <v>Kit</v>
      </c>
      <c r="D692" s="30" t="str">
        <f>IFERROR(__xludf.DUMMYFUNCTION("""COMPUTED_VALUE"""),"Trippy Hippies")</f>
        <v>Trippy Hippies</v>
      </c>
      <c r="E692" s="30">
        <f>IFERROR(__xludf.DUMMYFUNCTION("""COMPUTED_VALUE"""),18.0)</f>
        <v>18</v>
      </c>
      <c r="F692" s="30">
        <f>IFERROR(__xludf.DUMMYFUNCTION("""COMPUTED_VALUE"""),7.0)</f>
        <v>7</v>
      </c>
      <c r="G692" s="42">
        <f>IFERROR(__xludf.DUMMYFUNCTION("""COMPUTED_VALUE"""),11.0)</f>
        <v>11</v>
      </c>
      <c r="H692" s="42">
        <f>IFERROR(__xludf.DUMMYFUNCTION("""COMPUTED_VALUE"""),0.3888888888888889)</f>
        <v>0.3888888889</v>
      </c>
      <c r="I692" s="42">
        <f>IFERROR(__xludf.DUMMYFUNCTION("""COMPUTED_VALUE"""),0.37209302325581395)</f>
        <v>0.3720930233</v>
      </c>
      <c r="J692" s="30">
        <f>IFERROR(__xludf.DUMMYFUNCTION("""COMPUTED_VALUE"""),373.3333333333333)</f>
        <v>373.3333333</v>
      </c>
      <c r="K692" s="30">
        <f>IFERROR(__xludf.DUMMYFUNCTION("""COMPUTED_VALUE"""),0.8888888888888888)</f>
        <v>0.8888888889</v>
      </c>
      <c r="L692" s="30">
        <f>IFERROR(__xludf.DUMMYFUNCTION("""COMPUTED_VALUE"""),0.3888888888888889)</f>
        <v>0.3888888889</v>
      </c>
      <c r="M692" s="30">
        <f>IFERROR(__xludf.DUMMYFUNCTION("""COMPUTED_VALUE"""),1.7222222222222223)</f>
        <v>1.722222222</v>
      </c>
      <c r="N692" s="30">
        <f>IFERROR(__xludf.DUMMYFUNCTION("""COMPUTED_VALUE"""),2.388888888888889)</f>
        <v>2.388888889</v>
      </c>
      <c r="O692" s="30">
        <f>IFERROR(__xludf.DUMMYFUNCTION("""COMPUTED_VALUE"""),307.1296296296296)</f>
        <v>307.1296296</v>
      </c>
      <c r="P692" s="30">
        <f>IFERROR(__xludf.DUMMYFUNCTION("""COMPUTED_VALUE"""),0.7407407407407407)</f>
        <v>0.7407407407</v>
      </c>
      <c r="Q692" s="30">
        <f>IFERROR(__xludf.DUMMYFUNCTION("""COMPUTED_VALUE"""),0.4629629629629629)</f>
        <v>0.462962963</v>
      </c>
      <c r="R692" s="30">
        <f>IFERROR(__xludf.DUMMYFUNCTION("""COMPUTED_VALUE"""),1.1296296296296295)</f>
        <v>1.12962963</v>
      </c>
      <c r="S692" s="30">
        <f>IFERROR(__xludf.DUMMYFUNCTION("""COMPUTED_VALUE"""),2.537037037037037)</f>
        <v>2.537037037</v>
      </c>
      <c r="T692" s="30">
        <f>IFERROR(__xludf.DUMMYFUNCTION("""COMPUTED_VALUE"""),336.77302868348625)</f>
        <v>336.7730287</v>
      </c>
      <c r="U692" s="30">
        <f>IFERROR(__xludf.DUMMYFUNCTION("""COMPUTED_VALUE"""),0.780933612278119)</f>
        <v>0.7809336123</v>
      </c>
      <c r="V692" s="30">
        <f>IFERROR(__xludf.DUMMYFUNCTION("""COMPUTED_VALUE"""),0.5547849582186342)</f>
        <v>0.5547849582</v>
      </c>
      <c r="W692" s="30">
        <f>IFERROR(__xludf.DUMMYFUNCTION("""COMPUTED_VALUE"""),1.230656761861693)</f>
        <v>1.230656762</v>
      </c>
      <c r="X692" s="30">
        <f>IFERROR(__xludf.DUMMYFUNCTION("""COMPUTED_VALUE"""),2.563678474133971)</f>
        <v>2.563678474</v>
      </c>
      <c r="Y692" s="30">
        <f>IFERROR(__xludf.DUMMYFUNCTION("""COMPUTED_VALUE"""),322.87079424105093)</f>
        <v>322.8707942</v>
      </c>
      <c r="Z692" s="30">
        <f>IFERROR(__xludf.DUMMYFUNCTION("""COMPUTED_VALUE"""),0.670825005351018)</f>
        <v>0.6708250054</v>
      </c>
      <c r="AA692" s="30">
        <f>IFERROR(__xludf.DUMMYFUNCTION("""COMPUTED_VALUE"""),0.4637584908342288)</f>
        <v>0.4637584908</v>
      </c>
      <c r="AB692" s="30">
        <f>IFERROR(__xludf.DUMMYFUNCTION("""COMPUTED_VALUE"""),1.2949775043115632)</f>
        <v>1.294977504</v>
      </c>
      <c r="AC692" s="30">
        <f>IFERROR(__xludf.DUMMYFUNCTION("""COMPUTED_VALUE"""),2.307242621453245)</f>
        <v>2.307242621</v>
      </c>
      <c r="AD692" s="30">
        <f>IFERROR(__xludf.DUMMYFUNCTION("""COMPUTED_VALUE"""),1.1562932912866926)</f>
        <v>1.156293291</v>
      </c>
      <c r="AE692" s="30">
        <f>IFERROR(__xludf.DUMMYFUNCTION("""COMPUTED_VALUE"""),1.3250682097393882)</f>
        <v>1.32506821</v>
      </c>
      <c r="AF692" s="30">
        <f>IFERROR(__xludf.DUMMYFUNCTION("""COMPUTED_VALUE"""),0.8385590702379137)</f>
        <v>0.8385590702</v>
      </c>
      <c r="AG692" s="30">
        <f>IFERROR(__xludf.DUMMYFUNCTION("""COMPUTED_VALUE"""),1.3299244322686448)</f>
        <v>1.329924432</v>
      </c>
      <c r="AH692" s="30">
        <f>IFERROR(__xludf.DUMMYFUNCTION("""COMPUTED_VALUE"""),1.0353869448650432)</f>
        <v>1.035386945</v>
      </c>
      <c r="AI692" s="30">
        <f>IFERROR(__xludf.DUMMYFUNCTION("""COMPUTED_VALUE"""),0.9119781083130717)</f>
        <v>0.9119781083</v>
      </c>
      <c r="AJ692" s="30">
        <f>IFERROR(__xludf.DUMMYFUNCTION("""COMPUTED_VALUE"""),0.9485322812266607)</f>
        <v>0.9485322812</v>
      </c>
      <c r="AK692" s="30">
        <f>IFERROR(__xludf.DUMMYFUNCTION("""COMPUTED_VALUE"""),0.8344908348804128)</f>
        <v>0.8344908349</v>
      </c>
      <c r="AL692" s="30">
        <f>IFERROR(__xludf.DUMMYFUNCTION("""COMPUTED_VALUE"""),0.9179079534091753)</f>
        <v>0.9179079534</v>
      </c>
      <c r="AM692" s="30">
        <f>IFERROR(__xludf.DUMMYFUNCTION("""COMPUTED_VALUE"""),0.989608120766418)</f>
        <v>0.9896081208</v>
      </c>
      <c r="AN692" s="30">
        <f>IFERROR(__xludf.DUMMYFUNCTION("""COMPUTED_VALUE"""),1.147589913399879)</f>
        <v>1.147589913</v>
      </c>
      <c r="AO692" s="30">
        <f>IFERROR(__xludf.DUMMYFUNCTION("""COMPUTED_VALUE"""),1.2162500568836672)</f>
        <v>1.216250057</v>
      </c>
      <c r="AP692" s="30">
        <f>IFERROR(__xludf.DUMMYFUNCTION("""COMPUTED_VALUE"""),0.7543166587186432)</f>
        <v>0.7543166587</v>
      </c>
      <c r="AQ692" s="30">
        <f>IFERROR(__xludf.DUMMYFUNCTION("""COMPUTED_VALUE"""),1.4283835353865368)</f>
        <v>1.428383535</v>
      </c>
      <c r="AR692" s="30">
        <f>IFERROR(__xludf.DUMMYFUNCTION("""COMPUTED_VALUE"""),1.0039128573767337)</f>
        <v>1.003912857</v>
      </c>
      <c r="AS692" s="30">
        <f>IFERROR(__xludf.DUMMYFUNCTION("""COMPUTED_VALUE"""),35.0)</f>
        <v>35</v>
      </c>
      <c r="AT692" s="30">
        <f>IFERROR(__xludf.DUMMYFUNCTION("""COMPUTED_VALUE"""),0.4498879409931495)</f>
        <v>0.449887941</v>
      </c>
      <c r="AU692" s="30">
        <f>IFERROR(__xludf.DUMMYFUNCTION("""COMPUTED_VALUE"""),3.4050188458918997)</f>
        <v>3.405018846</v>
      </c>
      <c r="AV692" s="32">
        <f>IFERROR(__xludf.DUMMYFUNCTION("""COMPUTED_VALUE"""),64.65894782130529)</f>
        <v>64.65894782</v>
      </c>
      <c r="AW692" s="32">
        <f>IFERROR(__xludf.DUMMYFUNCTION("""COMPUTED_VALUE"""),3.5865753142694534)</f>
        <v>3.586575314</v>
      </c>
      <c r="AX692" s="32">
        <f>IFERROR(__xludf.DUMMYFUNCTION("""COMPUTED_VALUE"""),63.24301428203277)</f>
        <v>63.24301428</v>
      </c>
      <c r="AY692" s="32">
        <f>IFERROR(__xludf.DUMMYFUNCTION("""COMPUTED_VALUE"""),3.353984469918658)</f>
        <v>3.35398447</v>
      </c>
      <c r="AZ692" s="30">
        <f>IFERROR(__xludf.DUMMYFUNCTION("""COMPUTED_VALUE"""),0.23259084435079558)</f>
        <v>0.2325908444</v>
      </c>
      <c r="BA692" s="30">
        <f>IFERROR(__xludf.DUMMYFUNCTION("""COMPUTED_VALUE"""),2300.0)</f>
        <v>2300</v>
      </c>
    </row>
    <row r="693">
      <c r="A693" s="71" t="str">
        <f>IFERROR(__xludf.DUMMYFUNCTION("""COMPUTED_VALUE"""),"Challenger")</f>
        <v>Challenger</v>
      </c>
      <c r="B693" s="71" t="str">
        <f>IFERROR(__xludf.DUMMYFUNCTION("""COMPUTED_VALUE"""),"RSC003912")</f>
        <v>RSC003912</v>
      </c>
      <c r="C693" s="30" t="str">
        <f>IFERROR(__xludf.DUMMYFUNCTION("""COMPUTED_VALUE"""),"ItsJustSticky.")</f>
        <v>ItsJustSticky.</v>
      </c>
      <c r="D693" s="30" t="str">
        <f>IFERROR(__xludf.DUMMYFUNCTION("""COMPUTED_VALUE"""),"Pharaohs")</f>
        <v>Pharaohs</v>
      </c>
      <c r="E693" s="30">
        <f>IFERROR(__xludf.DUMMYFUNCTION("""COMPUTED_VALUE"""),40.0)</f>
        <v>40</v>
      </c>
      <c r="F693" s="30">
        <f>IFERROR(__xludf.DUMMYFUNCTION("""COMPUTED_VALUE"""),18.0)</f>
        <v>18</v>
      </c>
      <c r="G693" s="42">
        <f>IFERROR(__xludf.DUMMYFUNCTION("""COMPUTED_VALUE"""),22.0)</f>
        <v>22</v>
      </c>
      <c r="H693" s="42">
        <f>IFERROR(__xludf.DUMMYFUNCTION("""COMPUTED_VALUE"""),0.45)</f>
        <v>0.45</v>
      </c>
      <c r="I693" s="42">
        <f>IFERROR(__xludf.DUMMYFUNCTION("""COMPUTED_VALUE"""),0.2916666666666667)</f>
        <v>0.2916666667</v>
      </c>
      <c r="J693" s="30">
        <f>IFERROR(__xludf.DUMMYFUNCTION("""COMPUTED_VALUE"""),338.8611111111111)</f>
        <v>338.8611111</v>
      </c>
      <c r="K693" s="30">
        <f>IFERROR(__xludf.DUMMYFUNCTION("""COMPUTED_VALUE"""),0.5833333333333334)</f>
        <v>0.5833333333</v>
      </c>
      <c r="L693" s="30">
        <f>IFERROR(__xludf.DUMMYFUNCTION("""COMPUTED_VALUE"""),0.4722222222222222)</f>
        <v>0.4722222222</v>
      </c>
      <c r="M693" s="30">
        <f>IFERROR(__xludf.DUMMYFUNCTION("""COMPUTED_VALUE"""),1.5277777777777777)</f>
        <v>1.527777778</v>
      </c>
      <c r="N693" s="30">
        <f>IFERROR(__xludf.DUMMYFUNCTION("""COMPUTED_VALUE"""),2.0)</f>
        <v>2</v>
      </c>
      <c r="O693" s="30">
        <f>IFERROR(__xludf.DUMMYFUNCTION("""COMPUTED_VALUE"""),336.2407407407408)</f>
        <v>336.2407407</v>
      </c>
      <c r="P693" s="30">
        <f>IFERROR(__xludf.DUMMYFUNCTION("""COMPUTED_VALUE"""),0.7685185185185186)</f>
        <v>0.7685185185</v>
      </c>
      <c r="Q693" s="30">
        <f>IFERROR(__xludf.DUMMYFUNCTION("""COMPUTED_VALUE"""),0.5648148148148148)</f>
        <v>0.5648148148</v>
      </c>
      <c r="R693" s="30">
        <f>IFERROR(__xludf.DUMMYFUNCTION("""COMPUTED_VALUE"""),1.0185185185185184)</f>
        <v>1.018518519</v>
      </c>
      <c r="S693" s="30">
        <f>IFERROR(__xludf.DUMMYFUNCTION("""COMPUTED_VALUE"""),2.9259259259259256)</f>
        <v>2.925925926</v>
      </c>
      <c r="T693" s="30">
        <f>IFERROR(__xludf.DUMMYFUNCTION("""COMPUTED_VALUE"""),324.22492851410294)</f>
        <v>324.2249285</v>
      </c>
      <c r="U693" s="30">
        <f>IFERROR(__xludf.DUMMYFUNCTION("""COMPUTED_VALUE"""),0.7169726984421345)</f>
        <v>0.7169726984</v>
      </c>
      <c r="V693" s="30">
        <f>IFERROR(__xludf.DUMMYFUNCTION("""COMPUTED_VALUE"""),0.5115093716395485)</f>
        <v>0.5115093716</v>
      </c>
      <c r="W693" s="30">
        <f>IFERROR(__xludf.DUMMYFUNCTION("""COMPUTED_VALUE"""),1.1822070292511326)</f>
        <v>1.182207029</v>
      </c>
      <c r="X693" s="30">
        <f>IFERROR(__xludf.DUMMYFUNCTION("""COMPUTED_VALUE"""),2.4611443868656977)</f>
        <v>2.461144387</v>
      </c>
      <c r="Y693" s="30">
        <f>IFERROR(__xludf.DUMMYFUNCTION("""COMPUTED_VALUE"""),335.3546429575198)</f>
        <v>335.354643</v>
      </c>
      <c r="Z693" s="30">
        <f>IFERROR(__xludf.DUMMYFUNCTION("""COMPUTED_VALUE"""),0.762861148193776)</f>
        <v>0.7628611482</v>
      </c>
      <c r="AA693" s="30">
        <f>IFERROR(__xludf.DUMMYFUNCTION("""COMPUTED_VALUE"""),0.5275276230649657)</f>
        <v>0.5275276231</v>
      </c>
      <c r="AB693" s="30">
        <f>IFERROR(__xludf.DUMMYFUNCTION("""COMPUTED_VALUE"""),1.268063293548456)</f>
        <v>1.268063294</v>
      </c>
      <c r="AC693" s="30">
        <f>IFERROR(__xludf.DUMMYFUNCTION("""COMPUTED_VALUE"""),2.4030326553819608)</f>
        <v>2.403032655</v>
      </c>
      <c r="AD693" s="30">
        <f>IFERROR(__xludf.DUMMYFUNCTION("""COMPUTED_VALUE"""),1.010456000020359)</f>
        <v>1.010456</v>
      </c>
      <c r="AE693" s="30">
        <f>IFERROR(__xludf.DUMMYFUNCTION("""COMPUTED_VALUE"""),0.7646651487161064)</f>
        <v>0.7646651487</v>
      </c>
      <c r="AF693" s="30">
        <f>IFERROR(__xludf.DUMMYFUNCTION("""COMPUTED_VALUE"""),0.8951611282051621)</f>
        <v>0.8951611282</v>
      </c>
      <c r="AG693" s="30">
        <f>IFERROR(__xludf.DUMMYFUNCTION("""COMPUTED_VALUE"""),1.2048119250440217)</f>
        <v>1.204811925</v>
      </c>
      <c r="AH693" s="30">
        <f>IFERROR(__xludf.DUMMYFUNCTION("""COMPUTED_VALUE"""),0.8322816568974595)</f>
        <v>0.8322816569</v>
      </c>
      <c r="AI693" s="30">
        <f>IFERROR(__xludf.DUMMYFUNCTION("""COMPUTED_VALUE"""),1.037060112193425)</f>
        <v>1.037060112</v>
      </c>
      <c r="AJ693" s="30">
        <f>IFERROR(__xludf.DUMMYFUNCTION("""COMPUTED_VALUE"""),1.071893699981024)</f>
        <v>1.0718937</v>
      </c>
      <c r="AK693" s="30">
        <f>IFERROR(__xludf.DUMMYFUNCTION("""COMPUTED_VALUE"""),1.104212055791677)</f>
        <v>1.104212056</v>
      </c>
      <c r="AL693" s="30">
        <f>IFERROR(__xludf.DUMMYFUNCTION("""COMPUTED_VALUE"""),0.8615398938743389)</f>
        <v>0.8615398939</v>
      </c>
      <c r="AM693" s="30">
        <f>IFERROR(__xludf.DUMMYFUNCTION("""COMPUTED_VALUE"""),1.188847733412396)</f>
        <v>1.188847733</v>
      </c>
      <c r="AN693" s="30">
        <f>IFERROR(__xludf.DUMMYFUNCTION("""COMPUTED_VALUE"""),1.041625695949786)</f>
        <v>1.041625696</v>
      </c>
      <c r="AO693" s="30">
        <f>IFERROR(__xludf.DUMMYFUNCTION("""COMPUTED_VALUE"""),0.7981640998299067)</f>
        <v>0.7981640998</v>
      </c>
      <c r="AP693" s="30">
        <f>IFERROR(__xludf.DUMMYFUNCTION("""COMPUTED_VALUE"""),0.915955942729781)</f>
        <v>0.9159559427</v>
      </c>
      <c r="AQ693" s="30">
        <f>IFERROR(__xludf.DUMMYFUNCTION("""COMPUTED_VALUE"""),1.2671144265525727)</f>
        <v>1.267114427</v>
      </c>
      <c r="AR693" s="30">
        <f>IFERROR(__xludf.DUMMYFUNCTION("""COMPUTED_VALUE"""),0.8404851829200563)</f>
        <v>0.8404851829</v>
      </c>
      <c r="AS693" s="30">
        <f>IFERROR(__xludf.DUMMYFUNCTION("""COMPUTED_VALUE"""),74.0)</f>
        <v>74</v>
      </c>
      <c r="AT693" s="30">
        <f>IFERROR(__xludf.DUMMYFUNCTION("""COMPUTED_VALUE"""),0.4179213322503626)</f>
        <v>0.4179213323</v>
      </c>
      <c r="AU693" s="30">
        <f>IFERROR(__xludf.DUMMYFUNCTION("""COMPUTED_VALUE"""),2.291072389197808)</f>
        <v>2.291072389</v>
      </c>
      <c r="AV693" s="32">
        <f>IFERROR(__xludf.DUMMYFUNCTION("""COMPUTED_VALUE"""),35.586882779485066)</f>
        <v>35.58688278</v>
      </c>
      <c r="AW693" s="32">
        <f>IFERROR(__xludf.DUMMYFUNCTION("""COMPUTED_VALUE"""),-3.5444616294632074)</f>
        <v>-3.544461629</v>
      </c>
      <c r="AX693" s="32">
        <f>IFERROR(__xludf.DUMMYFUNCTION("""COMPUTED_VALUE"""),36.967637768550944)</f>
        <v>36.96763777</v>
      </c>
      <c r="AY693" s="32">
        <f>IFERROR(__xludf.DUMMYFUNCTION("""COMPUTED_VALUE"""),-3.3213673363190623)</f>
        <v>-3.321367336</v>
      </c>
      <c r="AZ693" s="30">
        <f>IFERROR(__xludf.DUMMYFUNCTION("""COMPUTED_VALUE"""),0.22309429314414508)</f>
        <v>0.2230942931</v>
      </c>
      <c r="BA693" s="30">
        <f>IFERROR(__xludf.DUMMYFUNCTION("""COMPUTED_VALUE"""),2300.0)</f>
        <v>2300</v>
      </c>
    </row>
    <row r="694">
      <c r="A694" s="71" t="str">
        <f>IFERROR(__xludf.DUMMYFUNCTION("""COMPUTED_VALUE"""),"Challenger")</f>
        <v>Challenger</v>
      </c>
      <c r="B694" s="71" t="str">
        <f>IFERROR(__xludf.DUMMYFUNCTION("""COMPUTED_VALUE"""),"RSC006583")</f>
        <v>RSC006583</v>
      </c>
      <c r="C694" s="30" t="str">
        <f>IFERROR(__xludf.DUMMYFUNCTION("""COMPUTED_VALUE"""),"DaScrappyDoo15")</f>
        <v>DaScrappyDoo15</v>
      </c>
      <c r="D694" s="30" t="str">
        <f>IFERROR(__xludf.DUMMYFUNCTION("""COMPUTED_VALUE"""),"Solstice Sake")</f>
        <v>Solstice Sake</v>
      </c>
      <c r="E694" s="30">
        <f>IFERROR(__xludf.DUMMYFUNCTION("""COMPUTED_VALUE"""),11.0)</f>
        <v>11</v>
      </c>
      <c r="F694" s="30">
        <f>IFERROR(__xludf.DUMMYFUNCTION("""COMPUTED_VALUE"""),6.0)</f>
        <v>6</v>
      </c>
      <c r="G694" s="42">
        <f>IFERROR(__xludf.DUMMYFUNCTION("""COMPUTED_VALUE"""),5.0)</f>
        <v>5</v>
      </c>
      <c r="H694" s="42">
        <f>IFERROR(__xludf.DUMMYFUNCTION("""COMPUTED_VALUE"""),0.5454545454545454)</f>
        <v>0.5454545455</v>
      </c>
      <c r="I694" s="42">
        <f>IFERROR(__xludf.DUMMYFUNCTION("""COMPUTED_VALUE"""),0.3684210526315789)</f>
        <v>0.3684210526</v>
      </c>
      <c r="J694" s="30">
        <f>IFERROR(__xludf.DUMMYFUNCTION("""COMPUTED_VALUE"""),270.3636363636364)</f>
        <v>270.3636364</v>
      </c>
      <c r="K694" s="30">
        <f>IFERROR(__xludf.DUMMYFUNCTION("""COMPUTED_VALUE"""),0.6363636363636364)</f>
        <v>0.6363636364</v>
      </c>
      <c r="L694" s="30">
        <f>IFERROR(__xludf.DUMMYFUNCTION("""COMPUTED_VALUE"""),0.18181818181818182)</f>
        <v>0.1818181818</v>
      </c>
      <c r="M694" s="30">
        <f>IFERROR(__xludf.DUMMYFUNCTION("""COMPUTED_VALUE"""),1.0)</f>
        <v>1</v>
      </c>
      <c r="N694" s="30">
        <f>IFERROR(__xludf.DUMMYFUNCTION("""COMPUTED_VALUE"""),1.7272727272727273)</f>
        <v>1.727272727</v>
      </c>
      <c r="O694" s="30">
        <f>IFERROR(__xludf.DUMMYFUNCTION("""COMPUTED_VALUE"""),275.09090909090907)</f>
        <v>275.0909091</v>
      </c>
      <c r="P694" s="30">
        <f>IFERROR(__xludf.DUMMYFUNCTION("""COMPUTED_VALUE"""),0.6363636363636364)</f>
        <v>0.6363636364</v>
      </c>
      <c r="Q694" s="30">
        <f>IFERROR(__xludf.DUMMYFUNCTION("""COMPUTED_VALUE"""),0.33333333333333337)</f>
        <v>0.3333333333</v>
      </c>
      <c r="R694" s="30">
        <f>IFERROR(__xludf.DUMMYFUNCTION("""COMPUTED_VALUE"""),0.9090909090909093)</f>
        <v>0.9090909091</v>
      </c>
      <c r="S694" s="30">
        <f>IFERROR(__xludf.DUMMYFUNCTION("""COMPUTED_VALUE"""),2.090909090909091)</f>
        <v>2.090909091</v>
      </c>
      <c r="T694" s="30">
        <f>IFERROR(__xludf.DUMMYFUNCTION("""COMPUTED_VALUE"""),336.42316758704703)</f>
        <v>336.4231676</v>
      </c>
      <c r="U694" s="30">
        <f>IFERROR(__xludf.DUMMYFUNCTION("""COMPUTED_VALUE"""),0.8024878253268596)</f>
        <v>0.8024878253</v>
      </c>
      <c r="V694" s="30">
        <f>IFERROR(__xludf.DUMMYFUNCTION("""COMPUTED_VALUE"""),0.5444229088104398)</f>
        <v>0.5444229088</v>
      </c>
      <c r="W694" s="30">
        <f>IFERROR(__xludf.DUMMYFUNCTION("""COMPUTED_VALUE"""),1.2009219190912945)</f>
        <v>1.200921919</v>
      </c>
      <c r="X694" s="30">
        <f>IFERROR(__xludf.DUMMYFUNCTION("""COMPUTED_VALUE"""),2.565232128935303)</f>
        <v>2.565232129</v>
      </c>
      <c r="Y694" s="30">
        <f>IFERROR(__xludf.DUMMYFUNCTION("""COMPUTED_VALUE"""),351.2331092584206)</f>
        <v>351.2331093</v>
      </c>
      <c r="Z694" s="30">
        <f>IFERROR(__xludf.DUMMYFUNCTION("""COMPUTED_VALUE"""),0.8198522524173794)</f>
        <v>0.8198522524</v>
      </c>
      <c r="AA694" s="30">
        <f>IFERROR(__xludf.DUMMYFUNCTION("""COMPUTED_VALUE"""),0.5795271455382267)</f>
        <v>0.5795271455</v>
      </c>
      <c r="AB694" s="30">
        <f>IFERROR(__xludf.DUMMYFUNCTION("""COMPUTED_VALUE"""),1.3072503549103875)</f>
        <v>1.307250355</v>
      </c>
      <c r="AC694" s="30">
        <f>IFERROR(__xludf.DUMMYFUNCTION("""COMPUTED_VALUE"""),2.4827164860984023)</f>
        <v>2.482716486</v>
      </c>
      <c r="AD694" s="30">
        <f>IFERROR(__xludf.DUMMYFUNCTION("""COMPUTED_VALUE"""),0.7697555533260269)</f>
        <v>0.7697555533</v>
      </c>
      <c r="AE694" s="30">
        <f>IFERROR(__xludf.DUMMYFUNCTION("""COMPUTED_VALUE"""),0.776193069528422)</f>
        <v>0.7761930695</v>
      </c>
      <c r="AF694" s="30">
        <f>IFERROR(__xludf.DUMMYFUNCTION("""COMPUTED_VALUE"""),0.31373540172880265)</f>
        <v>0.3137354017</v>
      </c>
      <c r="AG694" s="30">
        <f>IFERROR(__xludf.DUMMYFUNCTION("""COMPUTED_VALUE"""),0.7649644127031431)</f>
        <v>0.7649644127</v>
      </c>
      <c r="AH694" s="30">
        <f>IFERROR(__xludf.DUMMYFUNCTION("""COMPUTED_VALUE"""),0.6957188776665927)</f>
        <v>0.6957188777</v>
      </c>
      <c r="AI694" s="30">
        <f>IFERROR(__xludf.DUMMYFUNCTION("""COMPUTED_VALUE"""),0.81769311865162)</f>
        <v>0.8176931187</v>
      </c>
      <c r="AJ694" s="30">
        <f>IFERROR(__xludf.DUMMYFUNCTION("""COMPUTED_VALUE"""),0.79298852428626)</f>
        <v>0.7929885243</v>
      </c>
      <c r="AK694" s="30">
        <f>IFERROR(__xludf.DUMMYFUNCTION("""COMPUTED_VALUE"""),0.612269116414782)</f>
        <v>0.6122691164</v>
      </c>
      <c r="AL694" s="30">
        <f>IFERROR(__xludf.DUMMYFUNCTION("""COMPUTED_VALUE"""),0.7569941847499911)</f>
        <v>0.7569941847</v>
      </c>
      <c r="AM694" s="30">
        <f>IFERROR(__xludf.DUMMYFUNCTION("""COMPUTED_VALUE"""),0.8150954712144981)</f>
        <v>0.8150954712</v>
      </c>
      <c r="AN694" s="30">
        <f>IFERROR(__xludf.DUMMYFUNCTION("""COMPUTED_VALUE"""),0.8310712018955944)</f>
        <v>0.8310712019</v>
      </c>
      <c r="AO694" s="30">
        <f>IFERROR(__xludf.DUMMYFUNCTION("""COMPUTED_VALUE"""),0.8707244725417163)</f>
        <v>0.8707244725</v>
      </c>
      <c r="AP694" s="30">
        <f>IFERROR(__xludf.DUMMYFUNCTION("""COMPUTED_VALUE"""),0.3526675287515734)</f>
        <v>0.3526675288</v>
      </c>
      <c r="AQ694" s="30">
        <f>IFERROR(__xludf.DUMMYFUNCTION("""COMPUTED_VALUE"""),0.8293839882889568)</f>
        <v>0.8293839883</v>
      </c>
      <c r="AR694" s="30">
        <f>IFERROR(__xludf.DUMMYFUNCTION("""COMPUTED_VALUE"""),0.7258735670673213)</f>
        <v>0.7258735671</v>
      </c>
      <c r="AS694" s="30">
        <f>IFERROR(__xludf.DUMMYFUNCTION("""COMPUTED_VALUE"""),22.0)</f>
        <v>22</v>
      </c>
      <c r="AT694" s="30">
        <f>IFERROR(__xludf.DUMMYFUNCTION("""COMPUTED_VALUE"""),0.5171923151357092)</f>
        <v>0.5171923151</v>
      </c>
      <c r="AU694" s="30">
        <f>IFERROR(__xludf.DUMMYFUNCTION("""COMPUTED_VALUE"""),1.960790765982267)</f>
        <v>1.960790766</v>
      </c>
      <c r="AV694" s="32">
        <f>IFERROR(__xludf.DUMMYFUNCTION("""COMPUTED_VALUE"""),26.96710686966588)</f>
        <v>26.96710687</v>
      </c>
      <c r="AW694" s="32">
        <f>IFERROR(__xludf.DUMMYFUNCTION("""COMPUTED_VALUE"""),-5.604036488582046)</f>
        <v>-5.604036489</v>
      </c>
      <c r="AX694" s="32">
        <f>IFERROR(__xludf.DUMMYFUNCTION("""COMPUTED_VALUE"""),27.63366919976024)</f>
        <v>27.6336692</v>
      </c>
      <c r="AY694" s="32">
        <f>IFERROR(__xludf.DUMMYFUNCTION("""COMPUTED_VALUE"""),-5.391235396743313)</f>
        <v>-5.391235397</v>
      </c>
      <c r="AZ694" s="30">
        <f>IFERROR(__xludf.DUMMYFUNCTION("""COMPUTED_VALUE"""),0.21280109183873286)</f>
        <v>0.2128010918</v>
      </c>
      <c r="BA694" s="30">
        <f>IFERROR(__xludf.DUMMYFUNCTION("""COMPUTED_VALUE"""),2300.0)</f>
        <v>2300</v>
      </c>
    </row>
    <row r="695">
      <c r="A695" s="71" t="str">
        <f>IFERROR(__xludf.DUMMYFUNCTION("""COMPUTED_VALUE"""),"Challenger")</f>
        <v>Challenger</v>
      </c>
      <c r="B695" s="71" t="str">
        <f>IFERROR(__xludf.DUMMYFUNCTION("""COMPUTED_VALUE"""),"RSC006747")</f>
        <v>RSC006747</v>
      </c>
      <c r="C695" s="30" t="str">
        <f>IFERROR(__xludf.DUMMYFUNCTION("""COMPUTED_VALUE"""),"Panda")</f>
        <v>Panda</v>
      </c>
      <c r="D695" s="30" t="str">
        <f>IFERROR(__xludf.DUMMYFUNCTION("""COMPUTED_VALUE"""),"Toucans")</f>
        <v>Toucans</v>
      </c>
      <c r="E695" s="30">
        <f>IFERROR(__xludf.DUMMYFUNCTION("""COMPUTED_VALUE"""),43.0)</f>
        <v>43</v>
      </c>
      <c r="F695" s="30">
        <f>IFERROR(__xludf.DUMMYFUNCTION("""COMPUTED_VALUE"""),25.0)</f>
        <v>25</v>
      </c>
      <c r="G695" s="42">
        <f>IFERROR(__xludf.DUMMYFUNCTION("""COMPUTED_VALUE"""),18.0)</f>
        <v>18</v>
      </c>
      <c r="H695" s="42">
        <f>IFERROR(__xludf.DUMMYFUNCTION("""COMPUTED_VALUE"""),0.5813953488372093)</f>
        <v>0.5813953488</v>
      </c>
      <c r="I695" s="42">
        <f>IFERROR(__xludf.DUMMYFUNCTION("""COMPUTED_VALUE"""),0.3076923076923077)</f>
        <v>0.3076923077</v>
      </c>
      <c r="J695" s="30">
        <f>IFERROR(__xludf.DUMMYFUNCTION("""COMPUTED_VALUE"""),304.27906976744185)</f>
        <v>304.2790698</v>
      </c>
      <c r="K695" s="30">
        <f>IFERROR(__xludf.DUMMYFUNCTION("""COMPUTED_VALUE"""),0.7441860465116279)</f>
        <v>0.7441860465</v>
      </c>
      <c r="L695" s="30">
        <f>IFERROR(__xludf.DUMMYFUNCTION("""COMPUTED_VALUE"""),0.627906976744186)</f>
        <v>0.6279069767</v>
      </c>
      <c r="M695" s="30">
        <f>IFERROR(__xludf.DUMMYFUNCTION("""COMPUTED_VALUE"""),0.9302325581395349)</f>
        <v>0.9302325581</v>
      </c>
      <c r="N695" s="30">
        <f>IFERROR(__xludf.DUMMYFUNCTION("""COMPUTED_VALUE"""),2.4186046511627906)</f>
        <v>2.418604651</v>
      </c>
      <c r="O695" s="30">
        <f>IFERROR(__xludf.DUMMYFUNCTION("""COMPUTED_VALUE"""),313.1395348837209)</f>
        <v>313.1395349</v>
      </c>
      <c r="P695" s="30">
        <f>IFERROR(__xludf.DUMMYFUNCTION("""COMPUTED_VALUE"""),0.7131782945736435)</f>
        <v>0.7131782946</v>
      </c>
      <c r="Q695" s="30">
        <f>IFERROR(__xludf.DUMMYFUNCTION("""COMPUTED_VALUE"""),0.4883720930232556)</f>
        <v>0.488372093</v>
      </c>
      <c r="R695" s="30">
        <f>IFERROR(__xludf.DUMMYFUNCTION("""COMPUTED_VALUE"""),1.1240310077519382)</f>
        <v>1.124031008</v>
      </c>
      <c r="S695" s="30">
        <f>IFERROR(__xludf.DUMMYFUNCTION("""COMPUTED_VALUE"""),2.2403100775193803)</f>
        <v>2.240310078</v>
      </c>
      <c r="T695" s="30">
        <f>IFERROR(__xludf.DUMMYFUNCTION("""COMPUTED_VALUE"""),324.66730578318106)</f>
        <v>324.6673058</v>
      </c>
      <c r="U695" s="30">
        <f>IFERROR(__xludf.DUMMYFUNCTION("""COMPUTED_VALUE"""),0.7400106183705762)</f>
        <v>0.7400106184</v>
      </c>
      <c r="V695" s="30">
        <f>IFERROR(__xludf.DUMMYFUNCTION("""COMPUTED_VALUE"""),0.5063142096319481)</f>
        <v>0.5063142096</v>
      </c>
      <c r="W695" s="30">
        <f>IFERROR(__xludf.DUMMYFUNCTION("""COMPUTED_VALUE"""),1.1417605906417918)</f>
        <v>1.141760591</v>
      </c>
      <c r="X695" s="30">
        <f>IFERROR(__xludf.DUMMYFUNCTION("""COMPUTED_VALUE"""),2.4332703334109143)</f>
        <v>2.433270333</v>
      </c>
      <c r="Y695" s="30">
        <f>IFERROR(__xludf.DUMMYFUNCTION("""COMPUTED_VALUE"""),330.7491632699525)</f>
        <v>330.7491633</v>
      </c>
      <c r="Z695" s="30">
        <f>IFERROR(__xludf.DUMMYFUNCTION("""COMPUTED_VALUE"""),0.7624902540800962)</f>
        <v>0.7624902541</v>
      </c>
      <c r="AA695" s="30">
        <f>IFERROR(__xludf.DUMMYFUNCTION("""COMPUTED_VALUE"""),0.5295006777341121)</f>
        <v>0.5295006777</v>
      </c>
      <c r="AB695" s="30">
        <f>IFERROR(__xludf.DUMMYFUNCTION("""COMPUTED_VALUE"""),1.197151766598741)</f>
        <v>1.197151767</v>
      </c>
      <c r="AC695" s="30">
        <f>IFERROR(__xludf.DUMMYFUNCTION("""COMPUTED_VALUE"""),2.3762066022748174)</f>
        <v>2.376206602</v>
      </c>
      <c r="AD695" s="30">
        <f>IFERROR(__xludf.DUMMYFUNCTION("""COMPUTED_VALUE"""),0.9199692805242076)</f>
        <v>0.9199692805</v>
      </c>
      <c r="AE695" s="30">
        <f>IFERROR(__xludf.DUMMYFUNCTION("""COMPUTED_VALUE"""),0.9759941750461436)</f>
        <v>0.975994175</v>
      </c>
      <c r="AF695" s="30">
        <f>IFERROR(__xludf.DUMMYFUNCTION("""COMPUTED_VALUE"""),1.1858473523229152)</f>
        <v>1.185847352</v>
      </c>
      <c r="AG695" s="30">
        <f>IFERROR(__xludf.DUMMYFUNCTION("""COMPUTED_VALUE"""),0.7770381200559414)</f>
        <v>0.7770381201</v>
      </c>
      <c r="AH695" s="30">
        <f>IFERROR(__xludf.DUMMYFUNCTION("""COMPUTED_VALUE"""),1.0178427451751815)</f>
        <v>1.017842745</v>
      </c>
      <c r="AI695" s="30">
        <f>IFERROR(__xludf.DUMMYFUNCTION("""COMPUTED_VALUE"""),0.9644935886856478)</f>
        <v>0.9644935887</v>
      </c>
      <c r="AJ695" s="30">
        <f>IFERROR(__xludf.DUMMYFUNCTION("""COMPUTED_VALUE"""),0.9637406232683328)</f>
        <v>0.9637406233</v>
      </c>
      <c r="AK695" s="30">
        <f>IFERROR(__xludf.DUMMYFUNCTION("""COMPUTED_VALUE"""),0.9645632765832605)</f>
        <v>0.9645632766</v>
      </c>
      <c r="AL695" s="30">
        <f>IFERROR(__xludf.DUMMYFUNCTION("""COMPUTED_VALUE"""),0.984471715843785)</f>
        <v>0.9844717158</v>
      </c>
      <c r="AM695" s="30">
        <f>IFERROR(__xludf.DUMMYFUNCTION("""COMPUTED_VALUE"""),0.920699211574636)</f>
        <v>0.9206992116</v>
      </c>
      <c r="AN695" s="30">
        <f>IFERROR(__xludf.DUMMYFUNCTION("""COMPUTED_VALUE"""),0.9353239053316457)</f>
        <v>0.9353239053</v>
      </c>
      <c r="AO695" s="30">
        <f>IFERROR(__xludf.DUMMYFUNCTION("""COMPUTED_VALUE"""),1.0182558615770236)</f>
        <v>1.018255862</v>
      </c>
      <c r="AP695" s="30">
        <f>IFERROR(__xludf.DUMMYFUNCTION("""COMPUTED_VALUE"""),1.2179332097583409)</f>
        <v>1.21793321</v>
      </c>
      <c r="AQ695" s="30">
        <f>IFERROR(__xludf.DUMMYFUNCTION("""COMPUTED_VALUE"""),0.7715199891060063)</f>
        <v>0.7715199891</v>
      </c>
      <c r="AR695" s="30">
        <f>IFERROR(__xludf.DUMMYFUNCTION("""COMPUTED_VALUE"""),1.0164006863219284)</f>
        <v>1.016400686</v>
      </c>
      <c r="AS695" s="30">
        <f>IFERROR(__xludf.DUMMYFUNCTION("""COMPUTED_VALUE"""),100.0)</f>
        <v>100</v>
      </c>
      <c r="AT695" s="30">
        <f>IFERROR(__xludf.DUMMYFUNCTION("""COMPUTED_VALUE"""),0.5319829785398296)</f>
        <v>0.5319829785</v>
      </c>
      <c r="AU695" s="30">
        <f>IFERROR(__xludf.DUMMYFUNCTION("""COMPUTED_VALUE"""),3.09120652233642)</f>
        <v>3.091206522</v>
      </c>
      <c r="AV695" s="32">
        <f>IFERROR(__xludf.DUMMYFUNCTION("""COMPUTED_VALUE"""),56.46899198769648)</f>
        <v>56.46899199</v>
      </c>
      <c r="AW695" s="32">
        <f>IFERROR(__xludf.DUMMYFUNCTION("""COMPUTED_VALUE"""),2.5131289954906784)</f>
        <v>2.513128995</v>
      </c>
      <c r="AX695" s="32">
        <f>IFERROR(__xludf.DUMMYFUNCTION("""COMPUTED_VALUE"""),54.43241835308393)</f>
        <v>54.43241835</v>
      </c>
      <c r="AY695" s="32">
        <f>IFERROR(__xludf.DUMMYFUNCTION("""COMPUTED_VALUE"""),2.3275427128819235)</f>
        <v>2.327542713</v>
      </c>
      <c r="AZ695" s="30">
        <f>IFERROR(__xludf.DUMMYFUNCTION("""COMPUTED_VALUE"""),0.18558628260875487)</f>
        <v>0.1855862826</v>
      </c>
      <c r="BA695" s="30">
        <f>IFERROR(__xludf.DUMMYFUNCTION("""COMPUTED_VALUE"""),2300.0)</f>
        <v>2300</v>
      </c>
    </row>
    <row r="696">
      <c r="A696" s="71" t="str">
        <f>IFERROR(__xludf.DUMMYFUNCTION("""COMPUTED_VALUE"""),"Challenger")</f>
        <v>Challenger</v>
      </c>
      <c r="B696" s="71" t="str">
        <f>IFERROR(__xludf.DUMMYFUNCTION("""COMPUTED_VALUE"""),"RSC003978")</f>
        <v>RSC003978</v>
      </c>
      <c r="C696" s="30" t="str">
        <f>IFERROR(__xludf.DUMMYFUNCTION("""COMPUTED_VALUE"""),"thenio")</f>
        <v>thenio</v>
      </c>
      <c r="D696" s="30" t="str">
        <f>IFERROR(__xludf.DUMMYFUNCTION("""COMPUTED_VALUE"""),"Quarter")</f>
        <v>Quarter</v>
      </c>
      <c r="E696" s="30">
        <f>IFERROR(__xludf.DUMMYFUNCTION("""COMPUTED_VALUE"""),28.0)</f>
        <v>28</v>
      </c>
      <c r="F696" s="30">
        <f>IFERROR(__xludf.DUMMYFUNCTION("""COMPUTED_VALUE"""),8.0)</f>
        <v>8</v>
      </c>
      <c r="G696" s="42">
        <f>IFERROR(__xludf.DUMMYFUNCTION("""COMPUTED_VALUE"""),20.0)</f>
        <v>20</v>
      </c>
      <c r="H696" s="42">
        <f>IFERROR(__xludf.DUMMYFUNCTION("""COMPUTED_VALUE"""),0.2857142857142857)</f>
        <v>0.2857142857</v>
      </c>
      <c r="I696" s="42">
        <f>IFERROR(__xludf.DUMMYFUNCTION("""COMPUTED_VALUE"""),0.39999999999999997)</f>
        <v>0.4</v>
      </c>
      <c r="J696" s="30">
        <f>IFERROR(__xludf.DUMMYFUNCTION("""COMPUTED_VALUE"""),333.07142857142856)</f>
        <v>333.0714286</v>
      </c>
      <c r="K696" s="30">
        <f>IFERROR(__xludf.DUMMYFUNCTION("""COMPUTED_VALUE"""),0.9285714285714286)</f>
        <v>0.9285714286</v>
      </c>
      <c r="L696" s="30">
        <f>IFERROR(__xludf.DUMMYFUNCTION("""COMPUTED_VALUE"""),0.32142857142857145)</f>
        <v>0.3214285714</v>
      </c>
      <c r="M696" s="30">
        <f>IFERROR(__xludf.DUMMYFUNCTION("""COMPUTED_VALUE"""),1.2142857142857142)</f>
        <v>1.214285714</v>
      </c>
      <c r="N696" s="30">
        <f>IFERROR(__xludf.DUMMYFUNCTION("""COMPUTED_VALUE"""),2.3214285714285716)</f>
        <v>2.321428571</v>
      </c>
      <c r="O696" s="30">
        <f>IFERROR(__xludf.DUMMYFUNCTION("""COMPUTED_VALUE"""),366.095238095238)</f>
        <v>366.0952381</v>
      </c>
      <c r="P696" s="30">
        <f>IFERROR(__xludf.DUMMYFUNCTION("""COMPUTED_VALUE"""),1.011904761904762)</f>
        <v>1.011904762</v>
      </c>
      <c r="Q696" s="30">
        <f>IFERROR(__xludf.DUMMYFUNCTION("""COMPUTED_VALUE"""),0.69047619047619)</f>
        <v>0.6904761905</v>
      </c>
      <c r="R696" s="30">
        <f>IFERROR(__xludf.DUMMYFUNCTION("""COMPUTED_VALUE"""),0.9166666666666664)</f>
        <v>0.9166666667</v>
      </c>
      <c r="S696" s="30">
        <f>IFERROR(__xludf.DUMMYFUNCTION("""COMPUTED_VALUE"""),2.8809523809523805)</f>
        <v>2.880952381</v>
      </c>
      <c r="T696" s="30">
        <f>IFERROR(__xludf.DUMMYFUNCTION("""COMPUTED_VALUE"""),343.0095719496945)</f>
        <v>343.0095719</v>
      </c>
      <c r="U696" s="30">
        <f>IFERROR(__xludf.DUMMYFUNCTION("""COMPUTED_VALUE"""),0.8073170249534287)</f>
        <v>0.807317025</v>
      </c>
      <c r="V696" s="30">
        <f>IFERROR(__xludf.DUMMYFUNCTION("""COMPUTED_VALUE"""),0.5796901729473146)</f>
        <v>0.5796901729</v>
      </c>
      <c r="W696" s="30">
        <f>IFERROR(__xludf.DUMMYFUNCTION("""COMPUTED_VALUE"""),1.2064097973503205)</f>
        <v>1.206409797</v>
      </c>
      <c r="X696" s="30">
        <f>IFERROR(__xludf.DUMMYFUNCTION("""COMPUTED_VALUE"""),2.5752687915774515)</f>
        <v>2.575268792</v>
      </c>
      <c r="Y696" s="30">
        <f>IFERROR(__xludf.DUMMYFUNCTION("""COMPUTED_VALUE"""),332.367562818614)</f>
        <v>332.3675628</v>
      </c>
      <c r="Z696" s="30">
        <f>IFERROR(__xludf.DUMMYFUNCTION("""COMPUTED_VALUE"""),0.7441085799546856)</f>
        <v>0.74410858</v>
      </c>
      <c r="AA696" s="30">
        <f>IFERROR(__xludf.DUMMYFUNCTION("""COMPUTED_VALUE"""),0.49505524230204034)</f>
        <v>0.4950552423</v>
      </c>
      <c r="AB696" s="30">
        <f>IFERROR(__xludf.DUMMYFUNCTION("""COMPUTED_VALUE"""),1.2649483047727375)</f>
        <v>1.264948305</v>
      </c>
      <c r="AC696" s="30">
        <f>IFERROR(__xludf.DUMMYFUNCTION("""COMPUTED_VALUE"""),2.3705611878322097)</f>
        <v>2.370561188</v>
      </c>
      <c r="AD696" s="30">
        <f>IFERROR(__xludf.DUMMYFUNCTION("""COMPUTED_VALUE"""),1.0021177329906852)</f>
        <v>1.002117733</v>
      </c>
      <c r="AE696" s="30">
        <f>IFERROR(__xludf.DUMMYFUNCTION("""COMPUTED_VALUE"""),1.2478977579158896)</f>
        <v>1.247897758</v>
      </c>
      <c r="AF696" s="30">
        <f>IFERROR(__xludf.DUMMYFUNCTION("""COMPUTED_VALUE"""),0.649278189508522)</f>
        <v>0.6492781895</v>
      </c>
      <c r="AG696" s="30">
        <f>IFERROR(__xludf.DUMMYFUNCTION("""COMPUTED_VALUE"""),0.9599488846335698)</f>
        <v>0.9599488846</v>
      </c>
      <c r="AH696" s="30">
        <f>IFERROR(__xludf.DUMMYFUNCTION("""COMPUTED_VALUE"""),0.9792738459332627)</f>
        <v>0.9792738459</v>
      </c>
      <c r="AI696" s="30">
        <f>IFERROR(__xludf.DUMMYFUNCTION("""COMPUTED_VALUE"""),1.0673032709096797)</f>
        <v>1.067303271</v>
      </c>
      <c r="AJ696" s="30">
        <f>IFERROR(__xludf.DUMMYFUNCTION("""COMPUTED_VALUE"""),1.253416849425584)</f>
        <v>1.253416849</v>
      </c>
      <c r="AK696" s="30">
        <f>IFERROR(__xludf.DUMMYFUNCTION("""COMPUTED_VALUE"""),1.1911124643800788)</f>
        <v>1.191112464</v>
      </c>
      <c r="AL696" s="30">
        <f>IFERROR(__xludf.DUMMYFUNCTION("""COMPUTED_VALUE"""),0.7598302572475564)</f>
        <v>0.7598302572</v>
      </c>
      <c r="AM696" s="30">
        <f>IFERROR(__xludf.DUMMYFUNCTION("""COMPUTED_VALUE"""),1.1186996830679123)</f>
        <v>1.118699683</v>
      </c>
      <c r="AN696" s="30">
        <f>IFERROR(__xludf.DUMMYFUNCTION("""COMPUTED_VALUE"""),1.0238287817953386)</f>
        <v>1.023828782</v>
      </c>
      <c r="AO696" s="30">
        <f>IFERROR(__xludf.DUMMYFUNCTION("""COMPUTED_VALUE"""),1.2705469344231166)</f>
        <v>1.270546934</v>
      </c>
      <c r="AP696" s="30">
        <f>IFERROR(__xludf.DUMMYFUNCTION("""COMPUTED_VALUE"""),0.623465809757246)</f>
        <v>0.6234658098</v>
      </c>
      <c r="AQ696" s="30">
        <f>IFERROR(__xludf.DUMMYFUNCTION("""COMPUTED_VALUE"""),1.0071091286365903)</f>
        <v>1.007109129</v>
      </c>
      <c r="AR696" s="30">
        <f>IFERROR(__xludf.DUMMYFUNCTION("""COMPUTED_VALUE"""),0.9755631587464939)</f>
        <v>0.9755631587</v>
      </c>
      <c r="AS696" s="30">
        <f>IFERROR(__xludf.DUMMYFUNCTION("""COMPUTED_VALUE"""),58.0)</f>
        <v>58</v>
      </c>
      <c r="AT696" s="30">
        <f>IFERROR(__xludf.DUMMYFUNCTION("""COMPUTED_VALUE"""),0.3519895583954246)</f>
        <v>0.3519895584</v>
      </c>
      <c r="AU696" s="30">
        <f>IFERROR(__xludf.DUMMYFUNCTION("""COMPUTED_VALUE"""),2.715908404900843)</f>
        <v>2.715908405</v>
      </c>
      <c r="AV696" s="32">
        <f>IFERROR(__xludf.DUMMYFUNCTION("""COMPUTED_VALUE"""),46.674363875551904)</f>
        <v>46.67436388</v>
      </c>
      <c r="AW696" s="32">
        <f>IFERROR(__xludf.DUMMYFUNCTION("""COMPUTED_VALUE"""),-2.2367029924106827)</f>
        <v>-2.236702992</v>
      </c>
      <c r="AX696" s="32">
        <f>IFERROR(__xludf.DUMMYFUNCTION("""COMPUTED_VALUE"""),44.805062495449334)</f>
        <v>44.8050625</v>
      </c>
      <c r="AY696" s="32">
        <f>IFERROR(__xludf.DUMMYFUNCTION("""COMPUTED_VALUE"""),-2.3940997376194186)</f>
        <v>-2.394099738</v>
      </c>
      <c r="AZ696" s="30">
        <f>IFERROR(__xludf.DUMMYFUNCTION("""COMPUTED_VALUE"""),0.15739674520873592)</f>
        <v>0.1573967452</v>
      </c>
      <c r="BA696" s="30">
        <f>IFERROR(__xludf.DUMMYFUNCTION("""COMPUTED_VALUE"""),2300.0)</f>
        <v>2300</v>
      </c>
    </row>
    <row r="697">
      <c r="A697" s="71" t="str">
        <f>IFERROR(__xludf.DUMMYFUNCTION("""COMPUTED_VALUE"""),"Challenger")</f>
        <v>Challenger</v>
      </c>
      <c r="B697" s="71" t="str">
        <f>IFERROR(__xludf.DUMMYFUNCTION("""COMPUTED_VALUE"""),"RSC007549")</f>
        <v>RSC007549</v>
      </c>
      <c r="C697" s="30" t="str">
        <f>IFERROR(__xludf.DUMMYFUNCTION("""COMPUTED_VALUE"""),"Whiffy_RL")</f>
        <v>Whiffy_RL</v>
      </c>
      <c r="D697" s="30" t="str">
        <f>IFERROR(__xludf.DUMMYFUNCTION("""COMPUTED_VALUE"""),"Apple Associates")</f>
        <v>Apple Associates</v>
      </c>
      <c r="E697" s="30">
        <f>IFERROR(__xludf.DUMMYFUNCTION("""COMPUTED_VALUE"""),44.0)</f>
        <v>44</v>
      </c>
      <c r="F697" s="30">
        <f>IFERROR(__xludf.DUMMYFUNCTION("""COMPUTED_VALUE"""),15.0)</f>
        <v>15</v>
      </c>
      <c r="G697" s="42">
        <f>IFERROR(__xludf.DUMMYFUNCTION("""COMPUTED_VALUE"""),29.0)</f>
        <v>29</v>
      </c>
      <c r="H697" s="42">
        <f>IFERROR(__xludf.DUMMYFUNCTION("""COMPUTED_VALUE"""),0.3409090909090909)</f>
        <v>0.3409090909</v>
      </c>
      <c r="I697" s="42">
        <f>IFERROR(__xludf.DUMMYFUNCTION("""COMPUTED_VALUE"""),0.3052631578947368)</f>
        <v>0.3052631579</v>
      </c>
      <c r="J697" s="30">
        <f>IFERROR(__xludf.DUMMYFUNCTION("""COMPUTED_VALUE"""),323.72727272727275)</f>
        <v>323.7272727</v>
      </c>
      <c r="K697" s="30">
        <f>IFERROR(__xludf.DUMMYFUNCTION("""COMPUTED_VALUE"""),0.6590909090909091)</f>
        <v>0.6590909091</v>
      </c>
      <c r="L697" s="30">
        <f>IFERROR(__xludf.DUMMYFUNCTION("""COMPUTED_VALUE"""),0.4318181818181818)</f>
        <v>0.4318181818</v>
      </c>
      <c r="M697" s="30">
        <f>IFERROR(__xludf.DUMMYFUNCTION("""COMPUTED_VALUE"""),1.3181818181818181)</f>
        <v>1.318181818</v>
      </c>
      <c r="N697" s="30">
        <f>IFERROR(__xludf.DUMMYFUNCTION("""COMPUTED_VALUE"""),2.159090909090909)</f>
        <v>2.159090909</v>
      </c>
      <c r="O697" s="30">
        <f>IFERROR(__xludf.DUMMYFUNCTION("""COMPUTED_VALUE"""),327.3409090909091)</f>
        <v>327.3409091</v>
      </c>
      <c r="P697" s="30">
        <f>IFERROR(__xludf.DUMMYFUNCTION("""COMPUTED_VALUE"""),0.7954545454545454)</f>
        <v>0.7954545455</v>
      </c>
      <c r="Q697" s="30">
        <f>IFERROR(__xludf.DUMMYFUNCTION("""COMPUTED_VALUE"""),0.5530303030303029)</f>
        <v>0.553030303</v>
      </c>
      <c r="R697" s="30">
        <f>IFERROR(__xludf.DUMMYFUNCTION("""COMPUTED_VALUE"""),1.1515151515151516)</f>
        <v>1.151515152</v>
      </c>
      <c r="S697" s="30">
        <f>IFERROR(__xludf.DUMMYFUNCTION("""COMPUTED_VALUE"""),2.401515151515152)</f>
        <v>2.401515152</v>
      </c>
      <c r="T697" s="30">
        <f>IFERROR(__xludf.DUMMYFUNCTION("""COMPUTED_VALUE"""),343.43424488648014)</f>
        <v>343.4342449</v>
      </c>
      <c r="U697" s="30">
        <f>IFERROR(__xludf.DUMMYFUNCTION("""COMPUTED_VALUE"""),0.7945890499500385)</f>
        <v>0.79458905</v>
      </c>
      <c r="V697" s="30">
        <f>IFERROR(__xludf.DUMMYFUNCTION("""COMPUTED_VALUE"""),0.5613832487109417)</f>
        <v>0.5613832487</v>
      </c>
      <c r="W697" s="30">
        <f>IFERROR(__xludf.DUMMYFUNCTION("""COMPUTED_VALUE"""),1.263061283991984)</f>
        <v>1.263061284</v>
      </c>
      <c r="X697" s="30">
        <f>IFERROR(__xludf.DUMMYFUNCTION("""COMPUTED_VALUE"""),2.5267629836390197)</f>
        <v>2.526762984</v>
      </c>
      <c r="Y697" s="30">
        <f>IFERROR(__xludf.DUMMYFUNCTION("""COMPUTED_VALUE"""),329.99149202548244)</f>
        <v>329.991492</v>
      </c>
      <c r="Z697" s="30">
        <f>IFERROR(__xludf.DUMMYFUNCTION("""COMPUTED_VALUE"""),0.7165137925711901)</f>
        <v>0.7165137926</v>
      </c>
      <c r="AA697" s="30">
        <f>IFERROR(__xludf.DUMMYFUNCTION("""COMPUTED_VALUE"""),0.5078429140645518)</f>
        <v>0.5078429141</v>
      </c>
      <c r="AB697" s="30">
        <f>IFERROR(__xludf.DUMMYFUNCTION("""COMPUTED_VALUE"""),1.2684043657757267)</f>
        <v>1.268404366</v>
      </c>
      <c r="AC697" s="30">
        <f>IFERROR(__xludf.DUMMYFUNCTION("""COMPUTED_VALUE"""),2.4003008546667144)</f>
        <v>2.400300855</v>
      </c>
      <c r="AD697" s="30">
        <f>IFERROR(__xludf.DUMMYFUNCTION("""COMPUTED_VALUE"""),0.9810170278640822)</f>
        <v>0.9810170279</v>
      </c>
      <c r="AE697" s="30">
        <f>IFERROR(__xludf.DUMMYFUNCTION("""COMPUTED_VALUE"""),0.9198579509904191)</f>
        <v>0.919857951</v>
      </c>
      <c r="AF697" s="30">
        <f>IFERROR(__xludf.DUMMYFUNCTION("""COMPUTED_VALUE"""),0.8502987239934069)</f>
        <v>0.850298724</v>
      </c>
      <c r="AG697" s="30">
        <f>IFERROR(__xludf.DUMMYFUNCTION("""COMPUTED_VALUE"""),1.0392441509578443)</f>
        <v>1.039244151</v>
      </c>
      <c r="AH697" s="30">
        <f>IFERROR(__xludf.DUMMYFUNCTION("""COMPUTED_VALUE"""),0.8995084532395846)</f>
        <v>0.8995084532</v>
      </c>
      <c r="AI697" s="30">
        <f>IFERROR(__xludf.DUMMYFUNCTION("""COMPUTED_VALUE"""),0.9531399793841451)</f>
        <v>0.9531399794</v>
      </c>
      <c r="AJ697" s="30">
        <f>IFERROR(__xludf.DUMMYFUNCTION("""COMPUTED_VALUE"""),1.0010892366369273)</f>
        <v>1.001089237</v>
      </c>
      <c r="AK697" s="30">
        <f>IFERROR(__xludf.DUMMYFUNCTION("""COMPUTED_VALUE"""),0.9851207785415418)</f>
        <v>0.9851207785</v>
      </c>
      <c r="AL697" s="30">
        <f>IFERROR(__xludf.DUMMYFUNCTION("""COMPUTED_VALUE"""),0.9116858905497571)</f>
        <v>0.9116858905</v>
      </c>
      <c r="AM697" s="30">
        <f>IFERROR(__xludf.DUMMYFUNCTION("""COMPUTED_VALUE"""),0.950431507452477)</f>
        <v>0.9504315075</v>
      </c>
      <c r="AN697" s="30">
        <f>IFERROR(__xludf.DUMMYFUNCTION("""COMPUTED_VALUE"""),0.9951057666275089)</f>
        <v>0.9951057666</v>
      </c>
      <c r="AO697" s="30">
        <f>IFERROR(__xludf.DUMMYFUNCTION("""COMPUTED_VALUE"""),0.9018217751324918)</f>
        <v>0.9018217751</v>
      </c>
      <c r="AP697" s="30">
        <f>IFERROR(__xludf.DUMMYFUNCTION("""COMPUTED_VALUE"""),0.8375853807849869)</f>
        <v>0.8375853808</v>
      </c>
      <c r="AQ697" s="30">
        <f>IFERROR(__xludf.DUMMYFUNCTION("""COMPUTED_VALUE"""),1.0932788936536249)</f>
        <v>1.093278894</v>
      </c>
      <c r="AR697" s="30">
        <f>IFERROR(__xludf.DUMMYFUNCTION("""COMPUTED_VALUE"""),0.9073419588341516)</f>
        <v>0.9073419588</v>
      </c>
      <c r="AS697" s="30">
        <f>IFERROR(__xludf.DUMMYFUNCTION("""COMPUTED_VALUE"""),77.0)</f>
        <v>77</v>
      </c>
      <c r="AT697" s="30">
        <f>IFERROR(__xludf.DUMMYFUNCTION("""COMPUTED_VALUE"""),0.3855221522591801)</f>
        <v>0.3855221523</v>
      </c>
      <c r="AU697" s="30">
        <f>IFERROR(__xludf.DUMMYFUNCTION("""COMPUTED_VALUE"""),2.6033503542447693)</f>
        <v>2.603350354</v>
      </c>
      <c r="AV697" s="32">
        <f>IFERROR(__xludf.DUMMYFUNCTION("""COMPUTED_VALUE"""),43.736794524718654)</f>
        <v>43.73679452</v>
      </c>
      <c r="AW697" s="32">
        <f>IFERROR(__xludf.DUMMYFUNCTION("""COMPUTED_VALUE"""),-2.4932094799415827)</f>
        <v>-2.49320948</v>
      </c>
      <c r="AX697" s="32">
        <f>IFERROR(__xludf.DUMMYFUNCTION("""COMPUTED_VALUE"""),45.324195847126475)</f>
        <v>45.32419585</v>
      </c>
      <c r="AY697" s="32">
        <f>IFERROR(__xludf.DUMMYFUNCTION("""COMPUTED_VALUE"""),-2.3484227751026436)</f>
        <v>-2.348422775</v>
      </c>
      <c r="AZ697" s="30">
        <f>IFERROR(__xludf.DUMMYFUNCTION("""COMPUTED_VALUE"""),0.14478670483893907)</f>
        <v>0.1447867048</v>
      </c>
      <c r="BA697" s="30">
        <f>IFERROR(__xludf.DUMMYFUNCTION("""COMPUTED_VALUE"""),2300.0)</f>
        <v>2300</v>
      </c>
    </row>
    <row r="698">
      <c r="A698" s="71" t="str">
        <f>IFERROR(__xludf.DUMMYFUNCTION("""COMPUTED_VALUE"""),"Challenger")</f>
        <v>Challenger</v>
      </c>
      <c r="B698" s="71" t="str">
        <f>IFERROR(__xludf.DUMMYFUNCTION("""COMPUTED_VALUE"""),"RSC006353")</f>
        <v>RSC006353</v>
      </c>
      <c r="C698" s="30" t="str">
        <f>IFERROR(__xludf.DUMMYFUNCTION("""COMPUTED_VALUE"""),"Novarchite")</f>
        <v>Novarchite</v>
      </c>
      <c r="D698" s="30"/>
      <c r="E698" s="30">
        <f>IFERROR(__xludf.DUMMYFUNCTION("""COMPUTED_VALUE"""),9.0)</f>
        <v>9</v>
      </c>
      <c r="F698" s="30">
        <f>IFERROR(__xludf.DUMMYFUNCTION("""COMPUTED_VALUE"""),5.0)</f>
        <v>5</v>
      </c>
      <c r="G698" s="42">
        <f>IFERROR(__xludf.DUMMYFUNCTION("""COMPUTED_VALUE"""),4.0)</f>
        <v>4</v>
      </c>
      <c r="H698" s="42">
        <f>IFERROR(__xludf.DUMMYFUNCTION("""COMPUTED_VALUE"""),0.5555555555555556)</f>
        <v>0.5555555556</v>
      </c>
      <c r="I698" s="42">
        <f>IFERROR(__xludf.DUMMYFUNCTION("""COMPUTED_VALUE"""),0.08333333333333333)</f>
        <v>0.08333333333</v>
      </c>
      <c r="J698" s="30">
        <f>IFERROR(__xludf.DUMMYFUNCTION("""COMPUTED_VALUE"""),248.44444444444446)</f>
        <v>248.4444444</v>
      </c>
      <c r="K698" s="30">
        <f>IFERROR(__xludf.DUMMYFUNCTION("""COMPUTED_VALUE"""),0.2222222222222222)</f>
        <v>0.2222222222</v>
      </c>
      <c r="L698" s="30">
        <f>IFERROR(__xludf.DUMMYFUNCTION("""COMPUTED_VALUE"""),0.6666666666666666)</f>
        <v>0.6666666667</v>
      </c>
      <c r="M698" s="30">
        <f>IFERROR(__xludf.DUMMYFUNCTION("""COMPUTED_VALUE"""),0.8888888888888888)</f>
        <v>0.8888888889</v>
      </c>
      <c r="N698" s="30">
        <f>IFERROR(__xludf.DUMMYFUNCTION("""COMPUTED_VALUE"""),2.6666666666666665)</f>
        <v>2.666666667</v>
      </c>
      <c r="O698" s="30">
        <f>IFERROR(__xludf.DUMMYFUNCTION("""COMPUTED_VALUE"""),296.92592592592587)</f>
        <v>296.9259259</v>
      </c>
      <c r="P698" s="30">
        <f>IFERROR(__xludf.DUMMYFUNCTION("""COMPUTED_VALUE"""),0.5555555555555556)</f>
        <v>0.5555555556</v>
      </c>
      <c r="Q698" s="30">
        <f>IFERROR(__xludf.DUMMYFUNCTION("""COMPUTED_VALUE"""),0.3703703703703704)</f>
        <v>0.3703703704</v>
      </c>
      <c r="R698" s="30">
        <f>IFERROR(__xludf.DUMMYFUNCTION("""COMPUTED_VALUE"""),1.333333333333333)</f>
        <v>1.333333333</v>
      </c>
      <c r="S698" s="30">
        <f>IFERROR(__xludf.DUMMYFUNCTION("""COMPUTED_VALUE"""),1.9259259259259258)</f>
        <v>1.925925926</v>
      </c>
      <c r="T698" s="30">
        <f>IFERROR(__xludf.DUMMYFUNCTION("""COMPUTED_VALUE"""),325.2472056868192)</f>
        <v>325.2472057</v>
      </c>
      <c r="U698" s="30">
        <f>IFERROR(__xludf.DUMMYFUNCTION("""COMPUTED_VALUE"""),0.6609022877138817)</f>
        <v>0.6609022877</v>
      </c>
      <c r="V698" s="30">
        <f>IFERROR(__xludf.DUMMYFUNCTION("""COMPUTED_VALUE"""),0.4423758071101066)</f>
        <v>0.4423758071</v>
      </c>
      <c r="W698" s="30">
        <f>IFERROR(__xludf.DUMMYFUNCTION("""COMPUTED_VALUE"""),1.3201176075572212)</f>
        <v>1.320117608</v>
      </c>
      <c r="X698" s="30">
        <f>IFERROR(__xludf.DUMMYFUNCTION("""COMPUTED_VALUE"""),2.2139781668767173)</f>
        <v>2.213978167</v>
      </c>
      <c r="Y698" s="30">
        <f>IFERROR(__xludf.DUMMYFUNCTION("""COMPUTED_VALUE"""),335.6818875957362)</f>
        <v>335.6818876</v>
      </c>
      <c r="Z698" s="30">
        <f>IFERROR(__xludf.DUMMYFUNCTION("""COMPUTED_VALUE"""),0.8003340463082815)</f>
        <v>0.8003340463</v>
      </c>
      <c r="AA698" s="30">
        <f>IFERROR(__xludf.DUMMYFUNCTION("""COMPUTED_VALUE"""),0.5603514762129898)</f>
        <v>0.5603514762</v>
      </c>
      <c r="AB698" s="30">
        <f>IFERROR(__xludf.DUMMYFUNCTION("""COMPUTED_VALUE"""),1.0839943070216822)</f>
        <v>1.083994307</v>
      </c>
      <c r="AC698" s="30">
        <f>IFERROR(__xludf.DUMMYFUNCTION("""COMPUTED_VALUE"""),2.6266907031802362)</f>
        <v>2.626690703</v>
      </c>
      <c r="AD698" s="30">
        <f>IFERROR(__xludf.DUMMYFUNCTION("""COMPUTED_VALUE"""),0.7401187065047955)</f>
        <v>0.7401187065</v>
      </c>
      <c r="AE698" s="30">
        <f>IFERROR(__xludf.DUMMYFUNCTION("""COMPUTED_VALUE"""),0.2776618378879064)</f>
        <v>0.2776618379</v>
      </c>
      <c r="AF698" s="30">
        <f>IFERROR(__xludf.DUMMYFUNCTION("""COMPUTED_VALUE"""),1.1897294733158987)</f>
        <v>1.189729473</v>
      </c>
      <c r="AG698" s="30">
        <f>IFERROR(__xludf.DUMMYFUNCTION("""COMPUTED_VALUE"""),0.8200125066441969)</f>
        <v>0.8200125066</v>
      </c>
      <c r="AH698" s="30">
        <f>IFERROR(__xludf.DUMMYFUNCTION("""COMPUTED_VALUE"""),1.0152191361693366)</f>
        <v>1.015219136</v>
      </c>
      <c r="AI698" s="30">
        <f>IFERROR(__xludf.DUMMYFUNCTION("""COMPUTED_VALUE"""),0.9129238337310608)</f>
        <v>0.9129238337</v>
      </c>
      <c r="AJ698" s="30">
        <f>IFERROR(__xludf.DUMMYFUNCTION("""COMPUTED_VALUE"""),0.8406016530480934)</f>
        <v>0.840601653</v>
      </c>
      <c r="AK698" s="30">
        <f>IFERROR(__xludf.DUMMYFUNCTION("""COMPUTED_VALUE"""),0.8372301658851471)</f>
        <v>0.8372301659</v>
      </c>
      <c r="AL698" s="30">
        <f>IFERROR(__xludf.DUMMYFUNCTION("""COMPUTED_VALUE"""),1.0100110215184286)</f>
        <v>1.010011022</v>
      </c>
      <c r="AM698" s="30">
        <f>IFERROR(__xludf.DUMMYFUNCTION("""COMPUTED_VALUE"""),0.8698938204268067)</f>
        <v>0.8698938204</v>
      </c>
      <c r="AN698" s="30">
        <f>IFERROR(__xludf.DUMMYFUNCTION("""COMPUTED_VALUE"""),0.7636937637982529)</f>
        <v>0.7636937638</v>
      </c>
      <c r="AO698" s="30">
        <f>IFERROR(__xludf.DUMMYFUNCTION("""COMPUTED_VALUE"""),0.3040625142209168)</f>
        <v>0.3040625142</v>
      </c>
      <c r="AP698" s="30">
        <f>IFERROR(__xludf.DUMMYFUNCTION("""COMPUTED_VALUE"""),1.2931142720891025)</f>
        <v>1.293114272</v>
      </c>
      <c r="AQ698" s="30">
        <f>IFERROR(__xludf.DUMMYFUNCTION("""COMPUTED_VALUE"""),0.737230211812406)</f>
        <v>0.7372302118</v>
      </c>
      <c r="AR698" s="30">
        <f>IFERROR(__xludf.DUMMYFUNCTION("""COMPUTED_VALUE"""),1.120646910560075)</f>
        <v>1.120646911</v>
      </c>
      <c r="AS698" s="30">
        <f>IFERROR(__xludf.DUMMYFUNCTION("""COMPUTED_VALUE"""),21.0)</f>
        <v>21</v>
      </c>
      <c r="AT698" s="30">
        <f>IFERROR(__xludf.DUMMYFUNCTION("""COMPUTED_VALUE"""),0.6226679444608085)</f>
        <v>0.6226679445</v>
      </c>
      <c r="AU698" s="30">
        <f>IFERROR(__xludf.DUMMYFUNCTION("""COMPUTED_VALUE"""),2.2304561596113035)</f>
        <v>2.23045616</v>
      </c>
      <c r="AV698" s="32">
        <f>IFERROR(__xludf.DUMMYFUNCTION("""COMPUTED_VALUE"""),34.00490461658607)</f>
        <v>34.00490462</v>
      </c>
      <c r="AW698" s="32">
        <f>IFERROR(__xludf.DUMMYFUNCTION("""COMPUTED_VALUE"""),-3.829215811828073)</f>
        <v>-3.829215812</v>
      </c>
      <c r="AX698" s="32">
        <f>IFERROR(__xludf.DUMMYFUNCTION("""COMPUTED_VALUE"""),34.64702892428932)</f>
        <v>34.64702892</v>
      </c>
      <c r="AY698" s="32">
        <f>IFERROR(__xludf.DUMMYFUNCTION("""COMPUTED_VALUE"""),-3.7096336393420137)</f>
        <v>-3.709633639</v>
      </c>
      <c r="AZ698" s="30">
        <f>IFERROR(__xludf.DUMMYFUNCTION("""COMPUTED_VALUE"""),0.11958217248605907)</f>
        <v>0.1195821725</v>
      </c>
      <c r="BA698" s="30">
        <f>IFERROR(__xludf.DUMMYFUNCTION("""COMPUTED_VALUE"""),2300.0)</f>
        <v>2300</v>
      </c>
    </row>
    <row r="699">
      <c r="A699" s="71" t="str">
        <f>IFERROR(__xludf.DUMMYFUNCTION("""COMPUTED_VALUE"""),"Challenger")</f>
        <v>Challenger</v>
      </c>
      <c r="B699" s="71" t="str">
        <f>IFERROR(__xludf.DUMMYFUNCTION("""COMPUTED_VALUE"""),"RSC006928")</f>
        <v>RSC006928</v>
      </c>
      <c r="C699" s="30" t="str">
        <f>IFERROR(__xludf.DUMMYFUNCTION("""COMPUTED_VALUE"""),"Thunderbolt")</f>
        <v>Thunderbolt</v>
      </c>
      <c r="D699" s="30" t="str">
        <f>IFERROR(__xludf.DUMMYFUNCTION("""COMPUTED_VALUE"""),"Havarti Hustlers")</f>
        <v>Havarti Hustlers</v>
      </c>
      <c r="E699" s="30">
        <f>IFERROR(__xludf.DUMMYFUNCTION("""COMPUTED_VALUE"""),44.0)</f>
        <v>44</v>
      </c>
      <c r="F699" s="30">
        <f>IFERROR(__xludf.DUMMYFUNCTION("""COMPUTED_VALUE"""),21.0)</f>
        <v>21</v>
      </c>
      <c r="G699" s="42">
        <f>IFERROR(__xludf.DUMMYFUNCTION("""COMPUTED_VALUE"""),23.0)</f>
        <v>23</v>
      </c>
      <c r="H699" s="42">
        <f>IFERROR(__xludf.DUMMYFUNCTION("""COMPUTED_VALUE"""),0.4772727272727273)</f>
        <v>0.4772727273</v>
      </c>
      <c r="I699" s="42">
        <f>IFERROR(__xludf.DUMMYFUNCTION("""COMPUTED_VALUE"""),0.2391304347826087)</f>
        <v>0.2391304348</v>
      </c>
      <c r="J699" s="30">
        <f>IFERROR(__xludf.DUMMYFUNCTION("""COMPUTED_VALUE"""),343.90909090909093)</f>
        <v>343.9090909</v>
      </c>
      <c r="K699" s="30">
        <f>IFERROR(__xludf.DUMMYFUNCTION("""COMPUTED_VALUE"""),0.75)</f>
        <v>0.75</v>
      </c>
      <c r="L699" s="30">
        <f>IFERROR(__xludf.DUMMYFUNCTION("""COMPUTED_VALUE"""),0.5909090909090909)</f>
        <v>0.5909090909</v>
      </c>
      <c r="M699" s="30">
        <f>IFERROR(__xludf.DUMMYFUNCTION("""COMPUTED_VALUE"""),1.2045454545454546)</f>
        <v>1.204545455</v>
      </c>
      <c r="N699" s="30">
        <f>IFERROR(__xludf.DUMMYFUNCTION("""COMPUTED_VALUE"""),3.1363636363636362)</f>
        <v>3.136363636</v>
      </c>
      <c r="O699" s="30">
        <f>IFERROR(__xludf.DUMMYFUNCTION("""COMPUTED_VALUE"""),341.42424242424244)</f>
        <v>341.4242424</v>
      </c>
      <c r="P699" s="30">
        <f>IFERROR(__xludf.DUMMYFUNCTION("""COMPUTED_VALUE"""),0.7500000000000001)</f>
        <v>0.75</v>
      </c>
      <c r="Q699" s="30">
        <f>IFERROR(__xludf.DUMMYFUNCTION("""COMPUTED_VALUE"""),0.484848484848485)</f>
        <v>0.4848484848</v>
      </c>
      <c r="R699" s="30">
        <f>IFERROR(__xludf.DUMMYFUNCTION("""COMPUTED_VALUE"""),1.4090909090909092)</f>
        <v>1.409090909</v>
      </c>
      <c r="S699" s="30">
        <f>IFERROR(__xludf.DUMMYFUNCTION("""COMPUTED_VALUE"""),2.257575757575758)</f>
        <v>2.257575758</v>
      </c>
      <c r="T699" s="30">
        <f>IFERROR(__xludf.DUMMYFUNCTION("""COMPUTED_VALUE"""),336.4072161790762)</f>
        <v>336.4072162</v>
      </c>
      <c r="U699" s="30">
        <f>IFERROR(__xludf.DUMMYFUNCTION("""COMPUTED_VALUE"""),0.7490799670445546)</f>
        <v>0.749079967</v>
      </c>
      <c r="V699" s="30">
        <f>IFERROR(__xludf.DUMMYFUNCTION("""COMPUTED_VALUE"""),0.50599745349226)</f>
        <v>0.5059974535</v>
      </c>
      <c r="W699" s="30">
        <f>IFERROR(__xludf.DUMMYFUNCTION("""COMPUTED_VALUE"""),1.2756732998096942)</f>
        <v>1.2756733</v>
      </c>
      <c r="X699" s="30">
        <f>IFERROR(__xludf.DUMMYFUNCTION("""COMPUTED_VALUE"""),2.403134768823722)</f>
        <v>2.403134769</v>
      </c>
      <c r="Y699" s="30">
        <f>IFERROR(__xludf.DUMMYFUNCTION("""COMPUTED_VALUE"""),337.7750998476606)</f>
        <v>337.7750998</v>
      </c>
      <c r="Z699" s="30">
        <f>IFERROR(__xludf.DUMMYFUNCTION("""COMPUTED_VALUE"""),0.7998505453811776)</f>
        <v>0.7998505454</v>
      </c>
      <c r="AA699" s="30">
        <f>IFERROR(__xludf.DUMMYFUNCTION("""COMPUTED_VALUE"""),0.5645228229424734)</f>
        <v>0.5645228229</v>
      </c>
      <c r="AB699" s="30">
        <f>IFERROR(__xludf.DUMMYFUNCTION("""COMPUTED_VALUE"""),1.1869611966830318)</f>
        <v>1.186961197</v>
      </c>
      <c r="AC699" s="30">
        <f>IFERROR(__xludf.DUMMYFUNCTION("""COMPUTED_VALUE"""),2.524069684506714)</f>
        <v>2.524069685</v>
      </c>
      <c r="AD699" s="30">
        <f>IFERROR(__xludf.DUMMYFUNCTION("""COMPUTED_VALUE"""),1.01815998593205)</f>
        <v>1.018159986</v>
      </c>
      <c r="AE699" s="30">
        <f>IFERROR(__xludf.DUMMYFUNCTION("""COMPUTED_VALUE"""),0.9376751748572969)</f>
        <v>0.9376751749</v>
      </c>
      <c r="AF699" s="30">
        <f>IFERROR(__xludf.DUMMYFUNCTION("""COMPUTED_VALUE"""),1.0467408347267235)</f>
        <v>1.046740835</v>
      </c>
      <c r="AG699" s="30">
        <f>IFERROR(__xludf.DUMMYFUNCTION("""COMPUTED_VALUE"""),1.0148145178726669)</f>
        <v>1.014814518</v>
      </c>
      <c r="AH699" s="30">
        <f>IFERROR(__xludf.DUMMYFUNCTION("""COMPUTED_VALUE"""),1.2425820315561473)</f>
        <v>1.242582032</v>
      </c>
      <c r="AI699" s="30">
        <f>IFERROR(__xludf.DUMMYFUNCTION("""COMPUTED_VALUE"""),1.0149135512078182)</f>
        <v>1.014913551</v>
      </c>
      <c r="AJ699" s="30">
        <f>IFERROR(__xludf.DUMMYFUNCTION("""COMPUTED_VALUE"""),1.0012282172744191)</f>
        <v>1.001228217</v>
      </c>
      <c r="AK699" s="30">
        <f>IFERROR(__xludf.DUMMYFUNCTION("""COMPUTED_VALUE"""),0.95820340893455)</f>
        <v>0.9582034089</v>
      </c>
      <c r="AL699" s="30">
        <f>IFERROR(__xludf.DUMMYFUNCTION("""COMPUTED_VALUE"""),1.104586032568933)</f>
        <v>1.104586033</v>
      </c>
      <c r="AM699" s="30">
        <f>IFERROR(__xludf.DUMMYFUNCTION("""COMPUTED_VALUE"""),0.9394295263268935)</f>
        <v>0.9394295263</v>
      </c>
      <c r="AN699" s="30">
        <f>IFERROR(__xludf.DUMMYFUNCTION("""COMPUTED_VALUE"""),1.0571426888940934)</f>
        <v>1.057142689</v>
      </c>
      <c r="AO699" s="30">
        <f>IFERROR(__xludf.DUMMYFUNCTION("""COMPUTED_VALUE"""),1.026210985495594)</f>
        <v>1.026210985</v>
      </c>
      <c r="AP699" s="30">
        <f>IFERROR(__xludf.DUMMYFUNCTION("""COMPUTED_VALUE"""),1.1461694684426138)</f>
        <v>1.146169468</v>
      </c>
      <c r="AQ699" s="30">
        <f>IFERROR(__xludf.DUMMYFUNCTION("""COMPUTED_VALUE"""),0.9990307131662434)</f>
        <v>0.9990307132</v>
      </c>
      <c r="AR699" s="30">
        <f>IFERROR(__xludf.DUMMYFUNCTION("""COMPUTED_VALUE"""),1.3180335823064517)</f>
        <v>1.318033582</v>
      </c>
      <c r="AS699" s="30">
        <f>IFERROR(__xludf.DUMMYFUNCTION("""COMPUTED_VALUE"""),97.0)</f>
        <v>97</v>
      </c>
      <c r="AT699" s="30">
        <f>IFERROR(__xludf.DUMMYFUNCTION("""COMPUTED_VALUE"""),0.4921669654118889)</f>
        <v>0.4921669654</v>
      </c>
      <c r="AU699" s="30">
        <f>IFERROR(__xludf.DUMMYFUNCTION("""COMPUTED_VALUE"""),3.379740880524746)</f>
        <v>3.379740881</v>
      </c>
      <c r="AV699" s="32">
        <f>IFERROR(__xludf.DUMMYFUNCTION("""COMPUTED_VALUE"""),63.9992368909795)</f>
        <v>63.99923689</v>
      </c>
      <c r="AW699" s="32">
        <f>IFERROR(__xludf.DUMMYFUNCTION("""COMPUTED_VALUE"""),3.4752373629832665)</f>
        <v>3.475237363</v>
      </c>
      <c r="AX699" s="32">
        <f>IFERROR(__xludf.DUMMYFUNCTION("""COMPUTED_VALUE"""),64.66177135457974)</f>
        <v>64.66177135</v>
      </c>
      <c r="AY699" s="32">
        <f>IFERROR(__xludf.DUMMYFUNCTION("""COMPUTED_VALUE"""),3.5870634144700917)</f>
        <v>3.587063414</v>
      </c>
      <c r="AZ699" s="30">
        <f>IFERROR(__xludf.DUMMYFUNCTION("""COMPUTED_VALUE"""),0.11182605148682523)</f>
        <v>0.1118260515</v>
      </c>
      <c r="BA699" s="30">
        <f>IFERROR(__xludf.DUMMYFUNCTION("""COMPUTED_VALUE"""),2300.0)</f>
        <v>2300</v>
      </c>
    </row>
    <row r="700">
      <c r="A700" s="71" t="str">
        <f>IFERROR(__xludf.DUMMYFUNCTION("""COMPUTED_VALUE"""),"Challenger")</f>
        <v>Challenger</v>
      </c>
      <c r="B700" s="71" t="str">
        <f>IFERROR(__xludf.DUMMYFUNCTION("""COMPUTED_VALUE"""),"RSC004614")</f>
        <v>RSC004614</v>
      </c>
      <c r="C700" s="30" t="str">
        <f>IFERROR(__xludf.DUMMYFUNCTION("""COMPUTED_VALUE"""),"Ex ample")</f>
        <v>Ex ample</v>
      </c>
      <c r="D700" s="30" t="str">
        <f>IFERROR(__xludf.DUMMYFUNCTION("""COMPUTED_VALUE"""),"Pharaohs")</f>
        <v>Pharaohs</v>
      </c>
      <c r="E700" s="30">
        <f>IFERROR(__xludf.DUMMYFUNCTION("""COMPUTED_VALUE"""),43.0)</f>
        <v>43</v>
      </c>
      <c r="F700" s="30">
        <f>IFERROR(__xludf.DUMMYFUNCTION("""COMPUTED_VALUE"""),20.0)</f>
        <v>20</v>
      </c>
      <c r="G700" s="42">
        <f>IFERROR(__xludf.DUMMYFUNCTION("""COMPUTED_VALUE"""),23.0)</f>
        <v>23</v>
      </c>
      <c r="H700" s="42">
        <f>IFERROR(__xludf.DUMMYFUNCTION("""COMPUTED_VALUE"""),0.46511627906976744)</f>
        <v>0.4651162791</v>
      </c>
      <c r="I700" s="42">
        <f>IFERROR(__xludf.DUMMYFUNCTION("""COMPUTED_VALUE"""),0.3111111111111111)</f>
        <v>0.3111111111</v>
      </c>
      <c r="J700" s="30">
        <f>IFERROR(__xludf.DUMMYFUNCTION("""COMPUTED_VALUE"""),366.46153846153845)</f>
        <v>366.4615385</v>
      </c>
      <c r="K700" s="30">
        <f>IFERROR(__xludf.DUMMYFUNCTION("""COMPUTED_VALUE"""),0.717948717948718)</f>
        <v>0.7179487179</v>
      </c>
      <c r="L700" s="30">
        <f>IFERROR(__xludf.DUMMYFUNCTION("""COMPUTED_VALUE"""),0.5897435897435898)</f>
        <v>0.5897435897</v>
      </c>
      <c r="M700" s="30">
        <f>IFERROR(__xludf.DUMMYFUNCTION("""COMPUTED_VALUE"""),1.7179487179487178)</f>
        <v>1.717948718</v>
      </c>
      <c r="N700" s="30">
        <f>IFERROR(__xludf.DUMMYFUNCTION("""COMPUTED_VALUE"""),2.3076923076923075)</f>
        <v>2.307692308</v>
      </c>
      <c r="O700" s="30">
        <f>IFERROR(__xludf.DUMMYFUNCTION("""COMPUTED_VALUE"""),337.3418803418803)</f>
        <v>337.3418803</v>
      </c>
      <c r="P700" s="30">
        <f>IFERROR(__xludf.DUMMYFUNCTION("""COMPUTED_VALUE"""),0.7350427350427352)</f>
        <v>0.735042735</v>
      </c>
      <c r="Q700" s="30">
        <f>IFERROR(__xludf.DUMMYFUNCTION("""COMPUTED_VALUE"""),0.5299145299145298)</f>
        <v>0.5299145299</v>
      </c>
      <c r="R700" s="30">
        <f>IFERROR(__xludf.DUMMYFUNCTION("""COMPUTED_VALUE"""),1.0598290598290598)</f>
        <v>1.05982906</v>
      </c>
      <c r="S700" s="30">
        <f>IFERROR(__xludf.DUMMYFUNCTION("""COMPUTED_VALUE"""),2.8119658119658117)</f>
        <v>2.811965812</v>
      </c>
      <c r="T700" s="30">
        <f>IFERROR(__xludf.DUMMYFUNCTION("""COMPUTED_VALUE"""),329.03630118392016)</f>
        <v>329.0363012</v>
      </c>
      <c r="U700" s="30">
        <f>IFERROR(__xludf.DUMMYFUNCTION("""COMPUTED_VALUE"""),0.7251803430212987)</f>
        <v>0.725180343</v>
      </c>
      <c r="V700" s="30">
        <f>IFERROR(__xludf.DUMMYFUNCTION("""COMPUTED_VALUE"""),0.4995671483666337)</f>
        <v>0.4995671484</v>
      </c>
      <c r="W700" s="30">
        <f>IFERROR(__xludf.DUMMYFUNCTION("""COMPUTED_VALUE"""),1.2199206052759344)</f>
        <v>1.219920605</v>
      </c>
      <c r="X700" s="30">
        <f>IFERROR(__xludf.DUMMYFUNCTION("""COMPUTED_VALUE"""),2.4416846791528095)</f>
        <v>2.441684679</v>
      </c>
      <c r="Y700" s="30">
        <f>IFERROR(__xludf.DUMMYFUNCTION("""COMPUTED_VALUE"""),334.74480782106576)</f>
        <v>334.7448078</v>
      </c>
      <c r="Z700" s="30">
        <f>IFERROR(__xludf.DUMMYFUNCTION("""COMPUTED_VALUE"""),0.7525189545510612)</f>
        <v>0.7525189546</v>
      </c>
      <c r="AA700" s="30">
        <f>IFERROR(__xludf.DUMMYFUNCTION("""COMPUTED_VALUE"""),0.5199737033135601)</f>
        <v>0.5199737033</v>
      </c>
      <c r="AB700" s="30">
        <f>IFERROR(__xludf.DUMMYFUNCTION("""COMPUTED_VALUE"""),1.2772583223461398)</f>
        <v>1.277258322</v>
      </c>
      <c r="AC700" s="30">
        <f>IFERROR(__xludf.DUMMYFUNCTION("""COMPUTED_VALUE"""),2.415531369986485)</f>
        <v>2.41553137</v>
      </c>
      <c r="AD700" s="30">
        <f>IFERROR(__xludf.DUMMYFUNCTION("""COMPUTED_VALUE"""),1.0947489845979226)</f>
        <v>1.094748985</v>
      </c>
      <c r="AE700" s="30">
        <f>IFERROR(__xludf.DUMMYFUNCTION("""COMPUTED_VALUE"""),0.9540606433987204)</f>
        <v>0.9540606434</v>
      </c>
      <c r="AF700" s="30">
        <f>IFERROR(__xludf.DUMMYFUNCTION("""COMPUTED_VALUE"""),1.1341796440578003)</f>
        <v>1.134179644</v>
      </c>
      <c r="AG700" s="30">
        <f>IFERROR(__xludf.DUMMYFUNCTION("""COMPUTED_VALUE"""),1.3450284002010597)</f>
        <v>1.3450284</v>
      </c>
      <c r="AH700" s="30">
        <f>IFERROR(__xludf.DUMMYFUNCTION("""COMPUTED_VALUE"""),0.9553559669586155)</f>
        <v>0.955355967</v>
      </c>
      <c r="AI700" s="30">
        <f>IFERROR(__xludf.DUMMYFUNCTION("""COMPUTED_VALUE"""),1.0252421362873199)</f>
        <v>1.025242136</v>
      </c>
      <c r="AJ700" s="30">
        <f>IFERROR(__xludf.DUMMYFUNCTION("""COMPUTED_VALUE"""),1.0135999163743836)</f>
        <v>1.013599916</v>
      </c>
      <c r="AK700" s="30">
        <f>IFERROR(__xludf.DUMMYFUNCTION("""COMPUTED_VALUE"""),1.0607473522771038)</f>
        <v>1.060747352</v>
      </c>
      <c r="AL700" s="30">
        <f>IFERROR(__xludf.DUMMYFUNCTION("""COMPUTED_VALUE"""),0.8687688815530226)</f>
        <v>0.8687688816</v>
      </c>
      <c r="AM700" s="30">
        <f>IFERROR(__xludf.DUMMYFUNCTION("""COMPUTED_VALUE"""),1.1516498571557892)</f>
        <v>1.151649857</v>
      </c>
      <c r="AN700" s="30">
        <f>IFERROR(__xludf.DUMMYFUNCTION("""COMPUTED_VALUE"""),1.12646669246642)</f>
        <v>1.126466692</v>
      </c>
      <c r="AO700" s="30">
        <f>IFERROR(__xludf.DUMMYFUNCTION("""COMPUTED_VALUE"""),0.9823558151752696)</f>
        <v>0.9823558152</v>
      </c>
      <c r="AP700" s="30">
        <f>IFERROR(__xludf.DUMMYFUNCTION("""COMPUTED_VALUE"""),1.1439087791557447)</f>
        <v>1.143908779</v>
      </c>
      <c r="AQ700" s="30">
        <f>IFERROR(__xludf.DUMMYFUNCTION("""COMPUTED_VALUE"""),1.4248391593682077)</f>
        <v>1.424839159</v>
      </c>
      <c r="AR700" s="30">
        <f>IFERROR(__xludf.DUMMYFUNCTION("""COMPUTED_VALUE"""),0.9697905956769879)</f>
        <v>0.9697905957</v>
      </c>
      <c r="AS700" s="30">
        <f>IFERROR(__xludf.DUMMYFUNCTION("""COMPUTED_VALUE"""),82.0)</f>
        <v>82</v>
      </c>
      <c r="AT700" s="30">
        <f>IFERROR(__xludf.DUMMYFUNCTION("""COMPUTED_VALUE"""),0.4457215808339001)</f>
        <v>0.4457215808</v>
      </c>
      <c r="AU700" s="30">
        <f>IFERROR(__xludf.DUMMYFUNCTION("""COMPUTED_VALUE"""),3.0070964393926274)</f>
        <v>3.007096439</v>
      </c>
      <c r="AV700" s="32">
        <f>IFERROR(__xludf.DUMMYFUNCTION("""COMPUTED_VALUE"""),54.27386511483787)</f>
        <v>54.27386511</v>
      </c>
      <c r="AW700" s="32">
        <f>IFERROR(__xludf.DUMMYFUNCTION("""COMPUTED_VALUE"""),2.3141198816112056)</f>
        <v>2.314119882</v>
      </c>
      <c r="AX700" s="32">
        <f>IFERROR(__xludf.DUMMYFUNCTION("""COMPUTED_VALUE"""),55.43683100905197)</f>
        <v>55.43683101</v>
      </c>
      <c r="AY700" s="32">
        <f>IFERROR(__xludf.DUMMYFUNCTION("""COMPUTED_VALUE"""),2.4159270695618718)</f>
        <v>2.41592707</v>
      </c>
      <c r="AZ700" s="30">
        <f>IFERROR(__xludf.DUMMYFUNCTION("""COMPUTED_VALUE"""),0.10180718795066612)</f>
        <v>0.101807188</v>
      </c>
      <c r="BA700" s="30">
        <f>IFERROR(__xludf.DUMMYFUNCTION("""COMPUTED_VALUE"""),2300.0)</f>
        <v>2300</v>
      </c>
    </row>
    <row r="701">
      <c r="A701" s="71" t="str">
        <f>IFERROR(__xludf.DUMMYFUNCTION("""COMPUTED_VALUE"""),"Challenger")</f>
        <v>Challenger</v>
      </c>
      <c r="B701" s="71" t="str">
        <f>IFERROR(__xludf.DUMMYFUNCTION("""COMPUTED_VALUE"""),"RSC005265")</f>
        <v>RSC005265</v>
      </c>
      <c r="C701" s="30" t="str">
        <f>IFERROR(__xludf.DUMMYFUNCTION("""COMPUTED_VALUE"""),"doctorprofessor_")</f>
        <v>doctorprofessor_</v>
      </c>
      <c r="D701" s="30" t="str">
        <f>IFERROR(__xludf.DUMMYFUNCTION("""COMPUTED_VALUE"""),"Decuriones")</f>
        <v>Decuriones</v>
      </c>
      <c r="E701" s="30">
        <f>IFERROR(__xludf.DUMMYFUNCTION("""COMPUTED_VALUE"""),47.0)</f>
        <v>47</v>
      </c>
      <c r="F701" s="30">
        <f>IFERROR(__xludf.DUMMYFUNCTION("""COMPUTED_VALUE"""),27.0)</f>
        <v>27</v>
      </c>
      <c r="G701" s="42">
        <f>IFERROR(__xludf.DUMMYFUNCTION("""COMPUTED_VALUE"""),20.0)</f>
        <v>20</v>
      </c>
      <c r="H701" s="42">
        <f>IFERROR(__xludf.DUMMYFUNCTION("""COMPUTED_VALUE"""),0.574468085106383)</f>
        <v>0.5744680851</v>
      </c>
      <c r="I701" s="42">
        <f>IFERROR(__xludf.DUMMYFUNCTION("""COMPUTED_VALUE"""),0.28030303030303033)</f>
        <v>0.2803030303</v>
      </c>
      <c r="J701" s="30">
        <f>IFERROR(__xludf.DUMMYFUNCTION("""COMPUTED_VALUE"""),349.0425531914894)</f>
        <v>349.0425532</v>
      </c>
      <c r="K701" s="30">
        <f>IFERROR(__xludf.DUMMYFUNCTION("""COMPUTED_VALUE"""),0.7872340425531915)</f>
        <v>0.7872340426</v>
      </c>
      <c r="L701" s="30">
        <f>IFERROR(__xludf.DUMMYFUNCTION("""COMPUTED_VALUE"""),0.574468085106383)</f>
        <v>0.5744680851</v>
      </c>
      <c r="M701" s="30">
        <f>IFERROR(__xludf.DUMMYFUNCTION("""COMPUTED_VALUE"""),1.0212765957446808)</f>
        <v>1.021276596</v>
      </c>
      <c r="N701" s="30">
        <f>IFERROR(__xludf.DUMMYFUNCTION("""COMPUTED_VALUE"""),2.8085106382978724)</f>
        <v>2.808510638</v>
      </c>
      <c r="O701" s="30">
        <f>IFERROR(__xludf.DUMMYFUNCTION("""COMPUTED_VALUE"""),312.09219858156035)</f>
        <v>312.0921986</v>
      </c>
      <c r="P701" s="30">
        <f>IFERROR(__xludf.DUMMYFUNCTION("""COMPUTED_VALUE"""),0.6170212765957448)</f>
        <v>0.6170212766</v>
      </c>
      <c r="Q701" s="30">
        <f>IFERROR(__xludf.DUMMYFUNCTION("""COMPUTED_VALUE"""),0.4539007092198582)</f>
        <v>0.4539007092</v>
      </c>
      <c r="R701" s="30">
        <f>IFERROR(__xludf.DUMMYFUNCTION("""COMPUTED_VALUE"""),1.276595744680851)</f>
        <v>1.276595745</v>
      </c>
      <c r="S701" s="30">
        <f>IFERROR(__xludf.DUMMYFUNCTION("""COMPUTED_VALUE"""),2.056737588652482)</f>
        <v>2.056737589</v>
      </c>
      <c r="T701" s="30">
        <f>IFERROR(__xludf.DUMMYFUNCTION("""COMPUTED_VALUE"""),337.8886224326256)</f>
        <v>337.8886224</v>
      </c>
      <c r="U701" s="30">
        <f>IFERROR(__xludf.DUMMYFUNCTION("""COMPUTED_VALUE"""),0.7493217803254546)</f>
        <v>0.7493217803</v>
      </c>
      <c r="V701" s="30">
        <f>IFERROR(__xludf.DUMMYFUNCTION("""COMPUTED_VALUE"""),0.522909889804648)</f>
        <v>0.5229098898</v>
      </c>
      <c r="W701" s="30">
        <f>IFERROR(__xludf.DUMMYFUNCTION("""COMPUTED_VALUE"""),1.3002200696989668)</f>
        <v>1.30022007</v>
      </c>
      <c r="X701" s="30">
        <f>IFERROR(__xludf.DUMMYFUNCTION("""COMPUTED_VALUE"""),2.347283584748685)</f>
        <v>2.347283585</v>
      </c>
      <c r="Y701" s="30">
        <f>IFERROR(__xludf.DUMMYFUNCTION("""COMPUTED_VALUE"""),334.2176946941951)</f>
        <v>334.2176947</v>
      </c>
      <c r="Z701" s="30">
        <f>IFERROR(__xludf.DUMMYFUNCTION("""COMPUTED_VALUE"""),0.7633750596907832)</f>
        <v>0.7633750597</v>
      </c>
      <c r="AA701" s="30">
        <f>IFERROR(__xludf.DUMMYFUNCTION("""COMPUTED_VALUE"""),0.5340596299431332)</f>
        <v>0.5340596299</v>
      </c>
      <c r="AB701" s="30">
        <f>IFERROR(__xludf.DUMMYFUNCTION("""COMPUTED_VALUE"""),1.1886556913081037)</f>
        <v>1.188655691</v>
      </c>
      <c r="AC701" s="30">
        <f>IFERROR(__xludf.DUMMYFUNCTION("""COMPUTED_VALUE"""),2.5147824261883667)</f>
        <v>2.514782426</v>
      </c>
      <c r="AD701" s="30">
        <f>IFERROR(__xludf.DUMMYFUNCTION("""COMPUTED_VALUE"""),1.04435689292531)</f>
        <v>1.044356893</v>
      </c>
      <c r="AE701" s="30">
        <f>IFERROR(__xludf.DUMMYFUNCTION("""COMPUTED_VALUE"""),1.0312546009455335)</f>
        <v>1.031254601</v>
      </c>
      <c r="AF701" s="30">
        <f>IFERROR(__xludf.DUMMYFUNCTION("""COMPUTED_VALUE"""),1.0756628153443326)</f>
        <v>1.075662815</v>
      </c>
      <c r="AG701" s="30">
        <f>IFERROR(__xludf.DUMMYFUNCTION("""COMPUTED_VALUE"""),0.859186224583484)</f>
        <v>0.8591862246</v>
      </c>
      <c r="AH701" s="30">
        <f>IFERROR(__xludf.DUMMYFUNCTION("""COMPUTED_VALUE"""),1.1168006460720767)</f>
        <v>1.116800646</v>
      </c>
      <c r="AI701" s="30">
        <f>IFERROR(__xludf.DUMMYFUNCTION("""COMPUTED_VALUE"""),0.9236540619055351)</f>
        <v>0.9236540619</v>
      </c>
      <c r="AJ701" s="30">
        <f>IFERROR(__xludf.DUMMYFUNCTION("""COMPUTED_VALUE"""),0.8234396661041303)</f>
        <v>0.8234396661</v>
      </c>
      <c r="AK701" s="30">
        <f>IFERROR(__xludf.DUMMYFUNCTION("""COMPUTED_VALUE"""),0.8680285419528578)</f>
        <v>0.868028542</v>
      </c>
      <c r="AL701" s="30">
        <f>IFERROR(__xludf.DUMMYFUNCTION("""COMPUTED_VALUE"""),0.9818305181033042)</f>
        <v>0.9818305181</v>
      </c>
      <c r="AM701" s="30">
        <f>IFERROR(__xludf.DUMMYFUNCTION("""COMPUTED_VALUE"""),0.876220326344884)</f>
        <v>0.8762203263</v>
      </c>
      <c r="AN701" s="30">
        <f>IFERROR(__xludf.DUMMYFUNCTION("""COMPUTED_VALUE"""),1.0729224465800733)</f>
        <v>1.072922447</v>
      </c>
      <c r="AO701" s="30">
        <f>IFERROR(__xludf.DUMMYFUNCTION("""COMPUTED_VALUE"""),1.0771576301655883)</f>
        <v>1.07715763</v>
      </c>
      <c r="AP701" s="30">
        <f>IFERROR(__xludf.DUMMYFUNCTION("""COMPUTED_VALUE"""),1.1142793195661418)</f>
        <v>1.11427932</v>
      </c>
      <c r="AQ701" s="30">
        <f>IFERROR(__xludf.DUMMYFUNCTION("""COMPUTED_VALUE"""),0.8470304561248919)</f>
        <v>0.8470304561</v>
      </c>
      <c r="AR701" s="30">
        <f>IFERROR(__xludf.DUMMYFUNCTION("""COMPUTED_VALUE"""),1.1802557887813556)</f>
        <v>1.180255789</v>
      </c>
      <c r="AS701" s="30">
        <f>IFERROR(__xludf.DUMMYFUNCTION("""COMPUTED_VALUE"""),106.0)</f>
        <v>106</v>
      </c>
      <c r="AT701" s="30">
        <f>IFERROR(__xludf.DUMMYFUNCTION("""COMPUTED_VALUE"""),0.5735321693476768)</f>
        <v>0.5735321693</v>
      </c>
      <c r="AU701" s="30">
        <f>IFERROR(__xludf.DUMMYFUNCTION("""COMPUTED_VALUE"""),3.494813378775469)</f>
        <v>3.494813379</v>
      </c>
      <c r="AV701" s="32">
        <f>IFERROR(__xludf.DUMMYFUNCTION("""COMPUTED_VALUE"""),67.00242895067512)</f>
        <v>67.00242895</v>
      </c>
      <c r="AW701" s="32">
        <f>IFERROR(__xludf.DUMMYFUNCTION("""COMPUTED_VALUE"""),4.028660342052893)</f>
        <v>4.028660342</v>
      </c>
      <c r="AX701" s="32">
        <f>IFERROR(__xludf.DUMMYFUNCTION("""COMPUTED_VALUE"""),66.64746742485922)</f>
        <v>66.64746742</v>
      </c>
      <c r="AY701" s="32">
        <f>IFERROR(__xludf.DUMMYFUNCTION("""COMPUTED_VALUE"""),3.956667734830331)</f>
        <v>3.956667735</v>
      </c>
      <c r="AZ701" s="30">
        <f>IFERROR(__xludf.DUMMYFUNCTION("""COMPUTED_VALUE"""),0.07199260722256184)</f>
        <v>0.07199260722</v>
      </c>
      <c r="BA701" s="30">
        <f>IFERROR(__xludf.DUMMYFUNCTION("""COMPUTED_VALUE"""),2300.0)</f>
        <v>2300</v>
      </c>
    </row>
    <row r="702">
      <c r="A702" s="71" t="str">
        <f>IFERROR(__xludf.DUMMYFUNCTION("""COMPUTED_VALUE"""),"Challenger")</f>
        <v>Challenger</v>
      </c>
      <c r="B702" s="71" t="str">
        <f>IFERROR(__xludf.DUMMYFUNCTION("""COMPUTED_VALUE"""),"RSC008000")</f>
        <v>RSC008000</v>
      </c>
      <c r="C702" s="30" t="str">
        <f>IFERROR(__xludf.DUMMYFUNCTION("""COMPUTED_VALUE"""),"ChefHoffy")</f>
        <v>ChefHoffy</v>
      </c>
      <c r="D702" s="30" t="str">
        <f>IFERROR(__xludf.DUMMYFUNCTION("""COMPUTED_VALUE"""),"Ryujin")</f>
        <v>Ryujin</v>
      </c>
      <c r="E702" s="30">
        <f>IFERROR(__xludf.DUMMYFUNCTION("""COMPUTED_VALUE"""),48.0)</f>
        <v>48</v>
      </c>
      <c r="F702" s="30">
        <f>IFERROR(__xludf.DUMMYFUNCTION("""COMPUTED_VALUE"""),34.0)</f>
        <v>34</v>
      </c>
      <c r="G702" s="42">
        <f>IFERROR(__xludf.DUMMYFUNCTION("""COMPUTED_VALUE"""),14.0)</f>
        <v>14</v>
      </c>
      <c r="H702" s="42">
        <f>IFERROR(__xludf.DUMMYFUNCTION("""COMPUTED_VALUE"""),0.7083333333333334)</f>
        <v>0.7083333333</v>
      </c>
      <c r="I702" s="42">
        <f>IFERROR(__xludf.DUMMYFUNCTION("""COMPUTED_VALUE"""),0.2945736434108527)</f>
        <v>0.2945736434</v>
      </c>
      <c r="J702" s="30">
        <f>IFERROR(__xludf.DUMMYFUNCTION("""COMPUTED_VALUE"""),336.125)</f>
        <v>336.125</v>
      </c>
      <c r="K702" s="30">
        <f>IFERROR(__xludf.DUMMYFUNCTION("""COMPUTED_VALUE"""),0.7916666666666666)</f>
        <v>0.7916666667</v>
      </c>
      <c r="L702" s="30">
        <f>IFERROR(__xludf.DUMMYFUNCTION("""COMPUTED_VALUE"""),0.625)</f>
        <v>0.625</v>
      </c>
      <c r="M702" s="30">
        <f>IFERROR(__xludf.DUMMYFUNCTION("""COMPUTED_VALUE"""),1.0625)</f>
        <v>1.0625</v>
      </c>
      <c r="N702" s="30">
        <f>IFERROR(__xludf.DUMMYFUNCTION("""COMPUTED_VALUE"""),2.6875)</f>
        <v>2.6875</v>
      </c>
      <c r="O702" s="30">
        <f>IFERROR(__xludf.DUMMYFUNCTION("""COMPUTED_VALUE"""),289.20833333333337)</f>
        <v>289.2083333</v>
      </c>
      <c r="P702" s="30">
        <f>IFERROR(__xludf.DUMMYFUNCTION("""COMPUTED_VALUE"""),0.5)</f>
        <v>0.5</v>
      </c>
      <c r="Q702" s="30">
        <f>IFERROR(__xludf.DUMMYFUNCTION("""COMPUTED_VALUE"""),0.361111111111111)</f>
        <v>0.3611111111</v>
      </c>
      <c r="R702" s="30">
        <f>IFERROR(__xludf.DUMMYFUNCTION("""COMPUTED_VALUE"""),1.2361111111111112)</f>
        <v>1.236111111</v>
      </c>
      <c r="S702" s="30">
        <f>IFERROR(__xludf.DUMMYFUNCTION("""COMPUTED_VALUE"""),1.868055555555556)</f>
        <v>1.868055556</v>
      </c>
      <c r="T702" s="30">
        <f>IFERROR(__xludf.DUMMYFUNCTION("""COMPUTED_VALUE"""),334.9292019433587)</f>
        <v>334.9292019</v>
      </c>
      <c r="U702" s="30">
        <f>IFERROR(__xludf.DUMMYFUNCTION("""COMPUTED_VALUE"""),0.7567830589424851)</f>
        <v>0.7567830589</v>
      </c>
      <c r="V702" s="30">
        <f>IFERROR(__xludf.DUMMYFUNCTION("""COMPUTED_VALUE"""),0.5126130376728774)</f>
        <v>0.5126130377</v>
      </c>
      <c r="W702" s="30">
        <f>IFERROR(__xludf.DUMMYFUNCTION("""COMPUTED_VALUE"""),1.2351631824308036)</f>
        <v>1.235163182</v>
      </c>
      <c r="X702" s="30">
        <f>IFERROR(__xludf.DUMMYFUNCTION("""COMPUTED_VALUE"""),2.434865099216908)</f>
        <v>2.434865099</v>
      </c>
      <c r="Y702" s="30">
        <f>IFERROR(__xludf.DUMMYFUNCTION("""COMPUTED_VALUE"""),331.540856936617)</f>
        <v>331.5408569</v>
      </c>
      <c r="Z702" s="30">
        <f>IFERROR(__xludf.DUMMYFUNCTION("""COMPUTED_VALUE"""),0.7716153055152991)</f>
        <v>0.7716153055</v>
      </c>
      <c r="AA702" s="30">
        <f>IFERROR(__xludf.DUMMYFUNCTION("""COMPUTED_VALUE"""),0.5210847932796193)</f>
        <v>0.5210847933</v>
      </c>
      <c r="AB702" s="30">
        <f>IFERROR(__xludf.DUMMYFUNCTION("""COMPUTED_VALUE"""),1.2071876854654953)</f>
        <v>1.207187685</v>
      </c>
      <c r="AC702" s="30">
        <f>IFERROR(__xludf.DUMMYFUNCTION("""COMPUTED_VALUE"""),2.4428072865318406)</f>
        <v>2.442807287</v>
      </c>
      <c r="AD702" s="30">
        <f>IFERROR(__xludf.DUMMYFUNCTION("""COMPUTED_VALUE"""),1.0138267817298288)</f>
        <v>1.013826782</v>
      </c>
      <c r="AE702" s="30">
        <f>IFERROR(__xludf.DUMMYFUNCTION("""COMPUTED_VALUE"""),1.0259862149027446)</f>
        <v>1.025986215</v>
      </c>
      <c r="AF702" s="30">
        <f>IFERROR(__xludf.DUMMYFUNCTION("""COMPUTED_VALUE"""),1.1994209158673697)</f>
        <v>1.199420916</v>
      </c>
      <c r="AG702" s="30">
        <f>IFERROR(__xludf.DUMMYFUNCTION("""COMPUTED_VALUE"""),0.880144829832568)</f>
        <v>0.8801448298</v>
      </c>
      <c r="AH702" s="30">
        <f>IFERROR(__xludf.DUMMYFUNCTION("""COMPUTED_VALUE"""),1.1001686521966947)</f>
        <v>1.100168652</v>
      </c>
      <c r="AI702" s="30">
        <f>IFERROR(__xludf.DUMMYFUNCTION("""COMPUTED_VALUE"""),0.8634909457140815)</f>
        <v>0.8634909457</v>
      </c>
      <c r="AJ702" s="30">
        <f>IFERROR(__xludf.DUMMYFUNCTION("""COMPUTED_VALUE"""),0.6606913224229556)</f>
        <v>0.6606913224</v>
      </c>
      <c r="AK702" s="30">
        <f>IFERROR(__xludf.DUMMYFUNCTION("""COMPUTED_VALUE"""),0.7044516712849451)</f>
        <v>0.7044516713</v>
      </c>
      <c r="AL702" s="30">
        <f>IFERROR(__xludf.DUMMYFUNCTION("""COMPUTED_VALUE"""),1.000767452182668)</f>
        <v>1.000767452</v>
      </c>
      <c r="AM702" s="30">
        <f>IFERROR(__xludf.DUMMYFUNCTION("""COMPUTED_VALUE"""),0.7672111100349474)</f>
        <v>0.76721111</v>
      </c>
      <c r="AN702" s="30">
        <f>IFERROR(__xludf.DUMMYFUNCTION("""COMPUTED_VALUE"""),1.03321515975411)</f>
        <v>1.03321516</v>
      </c>
      <c r="AO702" s="30">
        <f>IFERROR(__xludf.DUMMYFUNCTION("""COMPUTED_VALUE"""),1.083222706912016)</f>
        <v>1.083222707</v>
      </c>
      <c r="AP702" s="30">
        <f>IFERROR(__xludf.DUMMYFUNCTION("""COMPUTED_VALUE"""),1.2122946300835338)</f>
        <v>1.21229463</v>
      </c>
      <c r="AQ702" s="30">
        <f>IFERROR(__xludf.DUMMYFUNCTION("""COMPUTED_VALUE"""),0.8812204875570165)</f>
        <v>0.8812204876</v>
      </c>
      <c r="AR702" s="30">
        <f>IFERROR(__xludf.DUMMYFUNCTION("""COMPUTED_VALUE"""),1.1294019645488256)</f>
        <v>1.129401965</v>
      </c>
      <c r="AS702" s="30">
        <f>IFERROR(__xludf.DUMMYFUNCTION("""COMPUTED_VALUE"""),127.0)</f>
        <v>127</v>
      </c>
      <c r="AT702" s="30">
        <f>IFERROR(__xludf.DUMMYFUNCTION("""COMPUTED_VALUE"""),0.7013144106077754)</f>
        <v>0.7013144106</v>
      </c>
      <c r="AU702" s="30">
        <f>IFERROR(__xludf.DUMMYFUNCTION("""COMPUTED_VALUE"""),3.683967622012613)</f>
        <v>3.683967622</v>
      </c>
      <c r="AV702" s="32">
        <f>IFERROR(__xludf.DUMMYFUNCTION("""COMPUTED_VALUE"""),71.93902570474754)</f>
        <v>71.9390257</v>
      </c>
      <c r="AW702" s="32">
        <f>IFERROR(__xludf.DUMMYFUNCTION("""COMPUTED_VALUE"""),5.260638514792147)</f>
        <v>5.260638515</v>
      </c>
      <c r="AX702" s="32">
        <f>IFERROR(__xludf.DUMMYFUNCTION("""COMPUTED_VALUE"""),72.13381047735295)</f>
        <v>72.13381048</v>
      </c>
      <c r="AY702" s="32">
        <f>IFERROR(__xludf.DUMMYFUNCTION("""COMPUTED_VALUE"""),5.31962167099792)</f>
        <v>5.319621671</v>
      </c>
      <c r="AZ702" s="30">
        <f>IFERROR(__xludf.DUMMYFUNCTION("""COMPUTED_VALUE"""),0.05898315620577321)</f>
        <v>0.05898315621</v>
      </c>
      <c r="BA702" s="30">
        <f>IFERROR(__xludf.DUMMYFUNCTION("""COMPUTED_VALUE"""),2300.0)</f>
        <v>2300</v>
      </c>
    </row>
    <row r="703">
      <c r="A703" s="71" t="str">
        <f>IFERROR(__xludf.DUMMYFUNCTION("""COMPUTED_VALUE"""),"Challenger")</f>
        <v>Challenger</v>
      </c>
      <c r="B703" s="71" t="str">
        <f>IFERROR(__xludf.DUMMYFUNCTION("""COMPUTED_VALUE"""),"RSC002877")</f>
        <v>RSC002877</v>
      </c>
      <c r="C703" s="30" t="str">
        <f>IFERROR(__xludf.DUMMYFUNCTION("""COMPUTED_VALUE"""),"robophant")</f>
        <v>robophant</v>
      </c>
      <c r="D703" s="30" t="str">
        <f>IFERROR(__xludf.DUMMYFUNCTION("""COMPUTED_VALUE"""),"Hydras")</f>
        <v>Hydras</v>
      </c>
      <c r="E703" s="30">
        <f>IFERROR(__xludf.DUMMYFUNCTION("""COMPUTED_VALUE"""),48.0)</f>
        <v>48</v>
      </c>
      <c r="F703" s="30">
        <f>IFERROR(__xludf.DUMMYFUNCTION("""COMPUTED_VALUE"""),25.0)</f>
        <v>25</v>
      </c>
      <c r="G703" s="42">
        <f>IFERROR(__xludf.DUMMYFUNCTION("""COMPUTED_VALUE"""),23.0)</f>
        <v>23</v>
      </c>
      <c r="H703" s="42">
        <f>IFERROR(__xludf.DUMMYFUNCTION("""COMPUTED_VALUE"""),0.5208333333333334)</f>
        <v>0.5208333333</v>
      </c>
      <c r="I703" s="42">
        <f>IFERROR(__xludf.DUMMYFUNCTION("""COMPUTED_VALUE"""),0.24603174603174605)</f>
        <v>0.246031746</v>
      </c>
      <c r="J703" s="30">
        <f>IFERROR(__xludf.DUMMYFUNCTION("""COMPUTED_VALUE"""),348.875)</f>
        <v>348.875</v>
      </c>
      <c r="K703" s="30">
        <f>IFERROR(__xludf.DUMMYFUNCTION("""COMPUTED_VALUE"""),0.6458333333333334)</f>
        <v>0.6458333333</v>
      </c>
      <c r="L703" s="30">
        <f>IFERROR(__xludf.DUMMYFUNCTION("""COMPUTED_VALUE"""),0.5)</f>
        <v>0.5</v>
      </c>
      <c r="M703" s="30">
        <f>IFERROR(__xludf.DUMMYFUNCTION("""COMPUTED_VALUE"""),1.4375)</f>
        <v>1.4375</v>
      </c>
      <c r="N703" s="30">
        <f>IFERROR(__xludf.DUMMYFUNCTION("""COMPUTED_VALUE"""),2.625)</f>
        <v>2.625</v>
      </c>
      <c r="O703" s="30">
        <f>IFERROR(__xludf.DUMMYFUNCTION("""COMPUTED_VALUE"""),336.32638888888886)</f>
        <v>336.3263889</v>
      </c>
      <c r="P703" s="30">
        <f>IFERROR(__xludf.DUMMYFUNCTION("""COMPUTED_VALUE"""),0.7569444444444442)</f>
        <v>0.7569444444</v>
      </c>
      <c r="Q703" s="30">
        <f>IFERROR(__xludf.DUMMYFUNCTION("""COMPUTED_VALUE"""),0.5277777777777778)</f>
        <v>0.5277777778</v>
      </c>
      <c r="R703" s="30">
        <f>IFERROR(__xludf.DUMMYFUNCTION("""COMPUTED_VALUE"""),1.236111111111111)</f>
        <v>1.236111111</v>
      </c>
      <c r="S703" s="30">
        <f>IFERROR(__xludf.DUMMYFUNCTION("""COMPUTED_VALUE"""),2.5763888888888893)</f>
        <v>2.576388889</v>
      </c>
      <c r="T703" s="30">
        <f>IFERROR(__xludf.DUMMYFUNCTION("""COMPUTED_VALUE"""),335.80215537865496)</f>
        <v>335.8021554</v>
      </c>
      <c r="U703" s="30">
        <f>IFERROR(__xludf.DUMMYFUNCTION("""COMPUTED_VALUE"""),0.7649517966301218)</f>
        <v>0.7649517966</v>
      </c>
      <c r="V703" s="30">
        <f>IFERROR(__xludf.DUMMYFUNCTION("""COMPUTED_VALUE"""),0.5335219993537521)</f>
        <v>0.5335219994</v>
      </c>
      <c r="W703" s="30">
        <f>IFERROR(__xludf.DUMMYFUNCTION("""COMPUTED_VALUE"""),1.2520207342654326)</f>
        <v>1.252020734</v>
      </c>
      <c r="X703" s="30">
        <f>IFERROR(__xludf.DUMMYFUNCTION("""COMPUTED_VALUE"""),2.46303119053724)</f>
        <v>2.463031191</v>
      </c>
      <c r="Y703" s="30">
        <f>IFERROR(__xludf.DUMMYFUNCTION("""COMPUTED_VALUE"""),335.7897518953237)</f>
        <v>335.7897519</v>
      </c>
      <c r="Z703" s="30">
        <f>IFERROR(__xludf.DUMMYFUNCTION("""COMPUTED_VALUE"""),0.7406291104509571)</f>
        <v>0.7406291105</v>
      </c>
      <c r="AA703" s="30">
        <f>IFERROR(__xludf.DUMMYFUNCTION("""COMPUTED_VALUE"""),0.5074167077426973)</f>
        <v>0.5074167077</v>
      </c>
      <c r="AB703" s="30">
        <f>IFERROR(__xludf.DUMMYFUNCTION("""COMPUTED_VALUE"""),1.2675432746101272)</f>
        <v>1.267543275</v>
      </c>
      <c r="AC703" s="30">
        <f>IFERROR(__xludf.DUMMYFUNCTION("""COMPUTED_VALUE"""),2.4660301971606002)</f>
        <v>2.466030197</v>
      </c>
      <c r="AD703" s="30">
        <f>IFERROR(__xludf.DUMMYFUNCTION("""COMPUTED_VALUE"""),1.0389685749217128)</f>
        <v>1.038968575</v>
      </c>
      <c r="AE703" s="30">
        <f>IFERROR(__xludf.DUMMYFUNCTION("""COMPUTED_VALUE"""),0.872006412143449)</f>
        <v>0.8720064121</v>
      </c>
      <c r="AF703" s="30">
        <f>IFERROR(__xludf.DUMMYFUNCTION("""COMPUTED_VALUE"""),0.9853833986356275)</f>
        <v>0.9853833986</v>
      </c>
      <c r="AG703" s="30">
        <f>IFERROR(__xludf.DUMMYFUNCTION("""COMPUTED_VALUE"""),1.1340835684226627)</f>
        <v>1.134083568</v>
      </c>
      <c r="AH703" s="30">
        <f>IFERROR(__xludf.DUMMYFUNCTION("""COMPUTED_VALUE"""),1.0644638508573165)</f>
        <v>1.064463851</v>
      </c>
      <c r="AI703" s="30">
        <f>IFERROR(__xludf.DUMMYFUNCTION("""COMPUTED_VALUE"""),1.001561138014861)</f>
        <v>1.001561138</v>
      </c>
      <c r="AJ703" s="30">
        <f>IFERROR(__xludf.DUMMYFUNCTION("""COMPUTED_VALUE"""),0.9895322133748129)</f>
        <v>0.9895322134</v>
      </c>
      <c r="AK703" s="30">
        <f>IFERROR(__xludf.DUMMYFUNCTION("""COMPUTED_VALUE"""),0.9892333932191508)</f>
        <v>0.9892333932</v>
      </c>
      <c r="AL703" s="30">
        <f>IFERROR(__xludf.DUMMYFUNCTION("""COMPUTED_VALUE"""),0.9872928437054551)</f>
        <v>0.9872928437</v>
      </c>
      <c r="AM703" s="30">
        <f>IFERROR(__xludf.DUMMYFUNCTION("""COMPUTED_VALUE"""),1.0460236552371565)</f>
        <v>1.046023655</v>
      </c>
      <c r="AN703" s="30">
        <f>IFERROR(__xludf.DUMMYFUNCTION("""COMPUTED_VALUE"""),1.0724074045644183)</f>
        <v>1.072407405</v>
      </c>
      <c r="AO703" s="30">
        <f>IFERROR(__xludf.DUMMYFUNCTION("""COMPUTED_VALUE"""),0.8836816819545394)</f>
        <v>0.883681682</v>
      </c>
      <c r="AP703" s="30">
        <f>IFERROR(__xludf.DUMMYFUNCTION("""COMPUTED_VALUE"""),0.969835704066827)</f>
        <v>0.9698357041</v>
      </c>
      <c r="AQ703" s="30">
        <f>IFERROR(__xludf.DUMMYFUNCTION("""COMPUTED_VALUE"""),1.1922394831653753)</f>
        <v>1.192239483</v>
      </c>
      <c r="AR703" s="30">
        <f>IFERROR(__xludf.DUMMYFUNCTION("""COMPUTED_VALUE"""),1.1031368025825738)</f>
        <v>1.103136803</v>
      </c>
      <c r="AS703" s="30">
        <f>IFERROR(__xludf.DUMMYFUNCTION("""COMPUTED_VALUE"""),106.0)</f>
        <v>106</v>
      </c>
      <c r="AT703" s="30">
        <f>IFERROR(__xludf.DUMMYFUNCTION("""COMPUTED_VALUE"""),0.4892722674878683)</f>
        <v>0.4892722675</v>
      </c>
      <c r="AU703" s="30">
        <f>IFERROR(__xludf.DUMMYFUNCTION("""COMPUTED_VALUE"""),2.9109508774770267)</f>
        <v>2.910950877</v>
      </c>
      <c r="AV703" s="32">
        <f>IFERROR(__xludf.DUMMYFUNCTION("""COMPUTED_VALUE"""),51.764633174024496)</f>
        <v>51.76463317</v>
      </c>
      <c r="AW703" s="32">
        <f>IFERROR(__xludf.DUMMYFUNCTION("""COMPUTED_VALUE"""),2.1192551750713466)</f>
        <v>2.119255175</v>
      </c>
      <c r="AX703" s="32">
        <f>IFERROR(__xludf.DUMMYFUNCTION("""COMPUTED_VALUE"""),51.12690386394299)</f>
        <v>51.12690386</v>
      </c>
      <c r="AY703" s="32">
        <f>IFERROR(__xludf.DUMMYFUNCTION("""COMPUTED_VALUE"""),2.074588493329202)</f>
        <v>2.074588493</v>
      </c>
      <c r="AZ703" s="30">
        <f>IFERROR(__xludf.DUMMYFUNCTION("""COMPUTED_VALUE"""),0.04466668174214483)</f>
        <v>0.04466668174</v>
      </c>
      <c r="BA703" s="30">
        <f>IFERROR(__xludf.DUMMYFUNCTION("""COMPUTED_VALUE"""),2300.0)</f>
        <v>2300</v>
      </c>
    </row>
    <row r="704">
      <c r="A704" s="71" t="str">
        <f>IFERROR(__xludf.DUMMYFUNCTION("""COMPUTED_VALUE"""),"Challenger")</f>
        <v>Challenger</v>
      </c>
      <c r="B704" s="71" t="str">
        <f>IFERROR(__xludf.DUMMYFUNCTION("""COMPUTED_VALUE"""),"RSC004844")</f>
        <v>RSC004844</v>
      </c>
      <c r="C704" s="30" t="str">
        <f>IFERROR(__xludf.DUMMYFUNCTION("""COMPUTED_VALUE"""),"Calicat01")</f>
        <v>Calicat01</v>
      </c>
      <c r="D704" s="30" t="str">
        <f>IFERROR(__xludf.DUMMYFUNCTION("""COMPUTED_VALUE"""),"Threshers")</f>
        <v>Threshers</v>
      </c>
      <c r="E704" s="30">
        <f>IFERROR(__xludf.DUMMYFUNCTION("""COMPUTED_VALUE"""),46.0)</f>
        <v>46</v>
      </c>
      <c r="F704" s="30">
        <f>IFERROR(__xludf.DUMMYFUNCTION("""COMPUTED_VALUE"""),15.0)</f>
        <v>15</v>
      </c>
      <c r="G704" s="42">
        <f>IFERROR(__xludf.DUMMYFUNCTION("""COMPUTED_VALUE"""),31.0)</f>
        <v>31</v>
      </c>
      <c r="H704" s="42">
        <f>IFERROR(__xludf.DUMMYFUNCTION("""COMPUTED_VALUE"""),0.32608695652173914)</f>
        <v>0.3260869565</v>
      </c>
      <c r="I704" s="42">
        <f>IFERROR(__xludf.DUMMYFUNCTION("""COMPUTED_VALUE"""),0.23076923076923078)</f>
        <v>0.2307692308</v>
      </c>
      <c r="J704" s="30">
        <f>IFERROR(__xludf.DUMMYFUNCTION("""COMPUTED_VALUE"""),322.0652173913044)</f>
        <v>322.0652174</v>
      </c>
      <c r="K704" s="30">
        <f>IFERROR(__xludf.DUMMYFUNCTION("""COMPUTED_VALUE"""),0.5869565217391305)</f>
        <v>0.5869565217</v>
      </c>
      <c r="L704" s="30">
        <f>IFERROR(__xludf.DUMMYFUNCTION("""COMPUTED_VALUE"""),0.43478260869565216)</f>
        <v>0.4347826087</v>
      </c>
      <c r="M704" s="30">
        <f>IFERROR(__xludf.DUMMYFUNCTION("""COMPUTED_VALUE"""),1.2826086956521738)</f>
        <v>1.282608696</v>
      </c>
      <c r="N704" s="30">
        <f>IFERROR(__xludf.DUMMYFUNCTION("""COMPUTED_VALUE"""),2.5434782608695654)</f>
        <v>2.543478261</v>
      </c>
      <c r="O704" s="30">
        <f>IFERROR(__xludf.DUMMYFUNCTION("""COMPUTED_VALUE"""),354.9782608695652)</f>
        <v>354.9782609</v>
      </c>
      <c r="P704" s="30">
        <f>IFERROR(__xludf.DUMMYFUNCTION("""COMPUTED_VALUE"""),0.905797101449275)</f>
        <v>0.9057971014</v>
      </c>
      <c r="Q704" s="30">
        <f>IFERROR(__xludf.DUMMYFUNCTION("""COMPUTED_VALUE"""),0.673913043478261)</f>
        <v>0.6739130435</v>
      </c>
      <c r="R704" s="30">
        <f>IFERROR(__xludf.DUMMYFUNCTION("""COMPUTED_VALUE"""),1.2028985507246377)</f>
        <v>1.202898551</v>
      </c>
      <c r="S704" s="30">
        <f>IFERROR(__xludf.DUMMYFUNCTION("""COMPUTED_VALUE"""),2.7173913043478257)</f>
        <v>2.717391304</v>
      </c>
      <c r="T704" s="30">
        <f>IFERROR(__xludf.DUMMYFUNCTION("""COMPUTED_VALUE"""),342.6966369251416)</f>
        <v>342.6966369</v>
      </c>
      <c r="U704" s="30">
        <f>IFERROR(__xludf.DUMMYFUNCTION("""COMPUTED_VALUE"""),0.8303491890383781)</f>
        <v>0.830349189</v>
      </c>
      <c r="V704" s="30">
        <f>IFERROR(__xludf.DUMMYFUNCTION("""COMPUTED_VALUE"""),0.5576594732388855)</f>
        <v>0.5576594732</v>
      </c>
      <c r="W704" s="30">
        <f>IFERROR(__xludf.DUMMYFUNCTION("""COMPUTED_VALUE"""),1.1675646531326642)</f>
        <v>1.167564653</v>
      </c>
      <c r="X704" s="30">
        <f>IFERROR(__xludf.DUMMYFUNCTION("""COMPUTED_VALUE"""),2.5574237371114497)</f>
        <v>2.557423737</v>
      </c>
      <c r="Y704" s="30">
        <f>IFERROR(__xludf.DUMMYFUNCTION("""COMPUTED_VALUE"""),324.8052606628351)</f>
        <v>324.8052607</v>
      </c>
      <c r="Z704" s="30">
        <f>IFERROR(__xludf.DUMMYFUNCTION("""COMPUTED_VALUE"""),0.7285612929499414)</f>
        <v>0.7285612929</v>
      </c>
      <c r="AA704" s="30">
        <f>IFERROR(__xludf.DUMMYFUNCTION("""COMPUTED_VALUE"""),0.48953713932312465)</f>
        <v>0.4895371393</v>
      </c>
      <c r="AB704" s="30">
        <f>IFERROR(__xludf.DUMMYFUNCTION("""COMPUTED_VALUE"""),1.2107148930497582)</f>
        <v>1.210714893</v>
      </c>
      <c r="AC704" s="30">
        <f>IFERROR(__xludf.DUMMYFUNCTION("""COMPUTED_VALUE"""),2.3226180625093833)</f>
        <v>2.322618063</v>
      </c>
      <c r="AD704" s="30">
        <f>IFERROR(__xludf.DUMMYFUNCTION("""COMPUTED_VALUE"""),0.9915640428177207)</f>
        <v>0.9915640428</v>
      </c>
      <c r="AE704" s="30">
        <f>IFERROR(__xludf.DUMMYFUNCTION("""COMPUTED_VALUE"""),0.8056378062064568)</f>
        <v>0.8056378062</v>
      </c>
      <c r="AF704" s="30">
        <f>IFERROR(__xludf.DUMMYFUNCTION("""COMPUTED_VALUE"""),0.8881504052926797)</f>
        <v>0.8881504053</v>
      </c>
      <c r="AG704" s="30">
        <f>IFERROR(__xludf.DUMMYFUNCTION("""COMPUTED_VALUE"""),1.05938128209633)</f>
        <v>1.059381282</v>
      </c>
      <c r="AH704" s="30">
        <f>IFERROR(__xludf.DUMMYFUNCTION("""COMPUTED_VALUE"""),1.0950910534647105)</f>
        <v>1.095091053</v>
      </c>
      <c r="AI704" s="30">
        <f>IFERROR(__xludf.DUMMYFUNCTION("""COMPUTED_VALUE"""),1.035838180539561)</f>
        <v>1.035838181</v>
      </c>
      <c r="AJ704" s="30">
        <f>IFERROR(__xludf.DUMMYFUNCTION("""COMPUTED_VALUE"""),1.0908628723998306)</f>
        <v>1.090862872</v>
      </c>
      <c r="AK704" s="30">
        <f>IFERROR(__xludf.DUMMYFUNCTION("""COMPUTED_VALUE"""),1.2084669512815318)</f>
        <v>1.208466951</v>
      </c>
      <c r="AL704" s="30">
        <f>IFERROR(__xludf.DUMMYFUNCTION("""COMPUTED_VALUE"""),1.0302629044971257)</f>
        <v>1.030262904</v>
      </c>
      <c r="AM704" s="30">
        <f>IFERROR(__xludf.DUMMYFUNCTION("""COMPUTED_VALUE"""),1.0625502785928842)</f>
        <v>1.062550279</v>
      </c>
      <c r="AN704" s="30">
        <f>IFERROR(__xludf.DUMMYFUNCTION("""COMPUTED_VALUE"""),0.9899967721478579)</f>
        <v>0.9899967721</v>
      </c>
      <c r="AO704" s="30">
        <f>IFERROR(__xludf.DUMMYFUNCTION("""COMPUTED_VALUE"""),0.803121640822639)</f>
        <v>0.8031216408</v>
      </c>
      <c r="AP704" s="30">
        <f>IFERROR(__xludf.DUMMYFUNCTION("""COMPUTED_VALUE"""),0.8433353948407191)</f>
        <v>0.8433353948</v>
      </c>
      <c r="AQ704" s="30">
        <f>IFERROR(__xludf.DUMMYFUNCTION("""COMPUTED_VALUE"""),1.0637751154140966)</f>
        <v>1.063775115</v>
      </c>
      <c r="AR704" s="30">
        <f>IFERROR(__xludf.DUMMYFUNCTION("""COMPUTED_VALUE"""),1.0688778956700715)</f>
        <v>1.068877896</v>
      </c>
      <c r="AS704" s="30">
        <f>IFERROR(__xludf.DUMMYFUNCTION("""COMPUTED_VALUE"""),83.0)</f>
        <v>83</v>
      </c>
      <c r="AT704" s="30">
        <f>IFERROR(__xludf.DUMMYFUNCTION("""COMPUTED_VALUE"""),0.3471952985432912)</f>
        <v>0.3471952985</v>
      </c>
      <c r="AU704" s="30">
        <f>IFERROR(__xludf.DUMMYFUNCTION("""COMPUTED_VALUE"""),2.5100135968209685)</f>
        <v>2.510013597</v>
      </c>
      <c r="AV704" s="32">
        <f>IFERROR(__xludf.DUMMYFUNCTION("""COMPUTED_VALUE"""),41.30086749581074)</f>
        <v>41.3008675</v>
      </c>
      <c r="AW704" s="32">
        <f>IFERROR(__xludf.DUMMYFUNCTION("""COMPUTED_VALUE"""),-2.747757597174548)</f>
        <v>-2.747757597</v>
      </c>
      <c r="AX704" s="32">
        <f>IFERROR(__xludf.DUMMYFUNCTION("""COMPUTED_VALUE"""),41.668125739064024)</f>
        <v>41.66812574</v>
      </c>
      <c r="AY704" s="32">
        <f>IFERROR(__xludf.DUMMYFUNCTION("""COMPUTED_VALUE"""),-2.7066282970879354)</f>
        <v>-2.706628297</v>
      </c>
      <c r="AZ704" s="30">
        <f>IFERROR(__xludf.DUMMYFUNCTION("""COMPUTED_VALUE"""),0.04112930008661264)</f>
        <v>0.04112930009</v>
      </c>
      <c r="BA704" s="30">
        <f>IFERROR(__xludf.DUMMYFUNCTION("""COMPUTED_VALUE"""),2300.0)</f>
        <v>2300</v>
      </c>
    </row>
    <row r="705">
      <c r="A705" s="71" t="str">
        <f>IFERROR(__xludf.DUMMYFUNCTION("""COMPUTED_VALUE"""),"Prospect")</f>
        <v>Prospect</v>
      </c>
      <c r="B705" s="71" t="str">
        <f>IFERROR(__xludf.DUMMYFUNCTION("""COMPUTED_VALUE"""),"RSC008002")</f>
        <v>RSC008002</v>
      </c>
      <c r="C705" s="30" t="str">
        <f>IFERROR(__xludf.DUMMYFUNCTION("""COMPUTED_VALUE"""),"majorpilots")</f>
        <v>majorpilots</v>
      </c>
      <c r="D705" s="30"/>
      <c r="E705" s="30">
        <f>IFERROR(__xludf.DUMMYFUNCTION("""COMPUTED_VALUE"""),4.0)</f>
        <v>4</v>
      </c>
      <c r="F705" s="30">
        <f>IFERROR(__xludf.DUMMYFUNCTION("""COMPUTED_VALUE"""),1.0)</f>
        <v>1</v>
      </c>
      <c r="G705" s="42">
        <f>IFERROR(__xludf.DUMMYFUNCTION("""COMPUTED_VALUE"""),3.0)</f>
        <v>3</v>
      </c>
      <c r="H705" s="42">
        <f>IFERROR(__xludf.DUMMYFUNCTION("""COMPUTED_VALUE"""),0.25)</f>
        <v>0.25</v>
      </c>
      <c r="I705" s="42">
        <f>IFERROR(__xludf.DUMMYFUNCTION("""COMPUTED_VALUE"""),0.0)</f>
        <v>0</v>
      </c>
      <c r="J705" s="30">
        <f>IFERROR(__xludf.DUMMYFUNCTION("""COMPUTED_VALUE"""),104.5)</f>
        <v>104.5</v>
      </c>
      <c r="K705" s="30">
        <f>IFERROR(__xludf.DUMMYFUNCTION("""COMPUTED_VALUE"""),0.0)</f>
        <v>0</v>
      </c>
      <c r="L705" s="30">
        <f>IFERROR(__xludf.DUMMYFUNCTION("""COMPUTED_VALUE"""),0.25)</f>
        <v>0.25</v>
      </c>
      <c r="M705" s="30">
        <f>IFERROR(__xludf.DUMMYFUNCTION("""COMPUTED_VALUE"""),0.25)</f>
        <v>0.25</v>
      </c>
      <c r="N705" s="30">
        <f>IFERROR(__xludf.DUMMYFUNCTION("""COMPUTED_VALUE"""),0.5)</f>
        <v>0.5</v>
      </c>
      <c r="O705" s="30">
        <f>IFERROR(__xludf.DUMMYFUNCTION("""COMPUTED_VALUE"""),398.50000000000006)</f>
        <v>398.5</v>
      </c>
      <c r="P705" s="30">
        <f>IFERROR(__xludf.DUMMYFUNCTION("""COMPUTED_VALUE"""),1.0833333333333333)</f>
        <v>1.083333333</v>
      </c>
      <c r="Q705" s="30">
        <f>IFERROR(__xludf.DUMMYFUNCTION("""COMPUTED_VALUE"""),0.8333333333333333)</f>
        <v>0.8333333333</v>
      </c>
      <c r="R705" s="30">
        <f>IFERROR(__xludf.DUMMYFUNCTION("""COMPUTED_VALUE"""),0.9166666666666665)</f>
        <v>0.9166666667</v>
      </c>
      <c r="S705" s="30">
        <f>IFERROR(__xludf.DUMMYFUNCTION("""COMPUTED_VALUE"""),4.25)</f>
        <v>4.25</v>
      </c>
      <c r="T705" s="30">
        <f>IFERROR(__xludf.DUMMYFUNCTION("""COMPUTED_VALUE"""),356.0935104065267)</f>
        <v>356.0935104</v>
      </c>
      <c r="U705" s="30">
        <f>IFERROR(__xludf.DUMMYFUNCTION("""COMPUTED_VALUE"""),0.9606591572799333)</f>
        <v>0.9606591573</v>
      </c>
      <c r="V705" s="30">
        <f>IFERROR(__xludf.DUMMYFUNCTION("""COMPUTED_VALUE"""),0.6428544940434803)</f>
        <v>0.642854494</v>
      </c>
      <c r="W705" s="30">
        <f>IFERROR(__xludf.DUMMYFUNCTION("""COMPUTED_VALUE"""),0.9820887220136281)</f>
        <v>0.982088722</v>
      </c>
      <c r="X705" s="30">
        <f>IFERROR(__xludf.DUMMYFUNCTION("""COMPUTED_VALUE"""),2.9174431001715107)</f>
        <v>2.9174431</v>
      </c>
      <c r="Y705" s="30">
        <f>IFERROR(__xludf.DUMMYFUNCTION("""COMPUTED_VALUE"""),361.7969916098827)</f>
        <v>361.7969916</v>
      </c>
      <c r="Z705" s="30">
        <f>IFERROR(__xludf.DUMMYFUNCTION("""COMPUTED_VALUE"""),0.914816359956118)</f>
        <v>0.91481636</v>
      </c>
      <c r="AA705" s="30">
        <f>IFERROR(__xludf.DUMMYFUNCTION("""COMPUTED_VALUE"""),0.5750845964863486)</f>
        <v>0.5750845965</v>
      </c>
      <c r="AB705" s="30">
        <f>IFERROR(__xludf.DUMMYFUNCTION("""COMPUTED_VALUE"""),1.3665044268298334)</f>
        <v>1.366504427</v>
      </c>
      <c r="AC705" s="30">
        <f>IFERROR(__xludf.DUMMYFUNCTION("""COMPUTED_VALUE"""),2.298152011001406)</f>
        <v>2.298152011</v>
      </c>
      <c r="AD705" s="30">
        <f>IFERROR(__xludf.DUMMYFUNCTION("""COMPUTED_VALUE"""),0.2888360114190223)</f>
        <v>0.2888360114</v>
      </c>
      <c r="AE705" s="30">
        <f>IFERROR(__xludf.DUMMYFUNCTION("""COMPUTED_VALUE"""),0.0)</f>
        <v>0</v>
      </c>
      <c r="AF705" s="30">
        <f>IFERROR(__xludf.DUMMYFUNCTION("""COMPUTED_VALUE"""),0.4347186510079557)</f>
        <v>0.434718651</v>
      </c>
      <c r="AG705" s="30">
        <f>IFERROR(__xludf.DUMMYFUNCTION("""COMPUTED_VALUE"""),0.18294854747011494)</f>
        <v>0.1829485475</v>
      </c>
      <c r="AH705" s="30">
        <f>IFERROR(__xludf.DUMMYFUNCTION("""COMPUTED_VALUE"""),0.2175661129492161)</f>
        <v>0.2175661129</v>
      </c>
      <c r="AI705" s="30">
        <f>IFERROR(__xludf.DUMMYFUNCTION("""COMPUTED_VALUE"""),1.1190880719647511)</f>
        <v>1.119088072</v>
      </c>
      <c r="AJ705" s="30">
        <f>IFERROR(__xludf.DUMMYFUNCTION("""COMPUTED_VALUE"""),1.127697919833239)</f>
        <v>1.12769792</v>
      </c>
      <c r="AK705" s="30">
        <f>IFERROR(__xludf.DUMMYFUNCTION("""COMPUTED_VALUE"""),1.2963016375475003)</f>
        <v>1.296301638</v>
      </c>
      <c r="AL705" s="30">
        <f>IFERROR(__xludf.DUMMYFUNCTION("""COMPUTED_VALUE"""),0.9333847809464472)</f>
        <v>0.9333847809</v>
      </c>
      <c r="AM705" s="30">
        <f>IFERROR(__xludf.DUMMYFUNCTION("""COMPUTED_VALUE"""),1.4567550605357653)</f>
        <v>1.456755061</v>
      </c>
      <c r="AN705" s="30">
        <f>IFERROR(__xludf.DUMMYFUNCTION("""COMPUTED_VALUE"""),0.325007118855156)</f>
        <v>0.3250071189</v>
      </c>
      <c r="AO705" s="30">
        <f>IFERROR(__xludf.DUMMYFUNCTION("""COMPUTED_VALUE"""),0.0)</f>
        <v>0</v>
      </c>
      <c r="AP705" s="30">
        <f>IFERROR(__xludf.DUMMYFUNCTION("""COMPUTED_VALUE"""),0.5000857781435977)</f>
        <v>0.5000857781</v>
      </c>
      <c r="AQ705" s="30">
        <f>IFERROR(__xludf.DUMMYFUNCTION("""COMPUTED_VALUE"""),0.2147263816512093)</f>
        <v>0.2147263817</v>
      </c>
      <c r="AR705" s="30">
        <f>IFERROR(__xludf.DUMMYFUNCTION("""COMPUTED_VALUE"""),0.21604896305620847)</f>
        <v>0.2160489631</v>
      </c>
      <c r="AS705" s="30">
        <f>IFERROR(__xludf.DUMMYFUNCTION("""COMPUTED_VALUE"""),7.0)</f>
        <v>7</v>
      </c>
      <c r="AT705" s="30">
        <f>IFERROR(__xludf.DUMMYFUNCTION("""COMPUTED_VALUE"""),0.2724004993386534)</f>
        <v>0.2724004993</v>
      </c>
      <c r="AU705" s="30">
        <f>IFERROR(__xludf.DUMMYFUNCTION("""COMPUTED_VALUE"""),-0.9619560257098413)</f>
        <v>-0.9619560257</v>
      </c>
      <c r="AV705" s="32">
        <f>IFERROR(__xludf.DUMMYFUNCTION("""COMPUTED_VALUE"""),-33.21344313391526)</f>
        <v>-33.21344313</v>
      </c>
      <c r="AW705" s="32">
        <f>IFERROR(__xludf.DUMMYFUNCTION("""COMPUTED_VALUE"""),-2290.867289805262)</f>
        <v>-2290.86729</v>
      </c>
      <c r="AX705" s="32">
        <f>IFERROR(__xludf.DUMMYFUNCTION("""COMPUTED_VALUE"""),-52.76179763430781)</f>
        <v>-52.76179763</v>
      </c>
      <c r="AY705" s="32">
        <f>IFERROR(__xludf.DUMMYFUNCTION("""COMPUTED_VALUE"""),-50651.97670235819)</f>
        <v>-50651.9767</v>
      </c>
      <c r="AZ705" s="30">
        <f>IFERROR(__xludf.DUMMYFUNCTION("""COMPUTED_VALUE"""),48361.10941255293)</f>
        <v>48361.10941</v>
      </c>
      <c r="BA705" s="30">
        <f>IFERROR(__xludf.DUMMYFUNCTION("""COMPUTED_VALUE"""),2700.0)</f>
        <v>2700</v>
      </c>
    </row>
    <row r="706">
      <c r="A706" s="71" t="str">
        <f>IFERROR(__xludf.DUMMYFUNCTION("""COMPUTED_VALUE"""),"Prospect")</f>
        <v>Prospect</v>
      </c>
      <c r="B706" s="71" t="str">
        <f>IFERROR(__xludf.DUMMYFUNCTION("""COMPUTED_VALUE"""),"RSC005252")</f>
        <v>RSC005252</v>
      </c>
      <c r="C706" s="30" t="str">
        <f>IFERROR(__xludf.DUMMYFUNCTION("""COMPUTED_VALUE"""),"MysticMax07")</f>
        <v>MysticMax07</v>
      </c>
      <c r="D706" s="30"/>
      <c r="E706" s="30">
        <f>IFERROR(__xludf.DUMMYFUNCTION("""COMPUTED_VALUE"""),2.0)</f>
        <v>2</v>
      </c>
      <c r="F706" s="30">
        <f>IFERROR(__xludf.DUMMYFUNCTION("""COMPUTED_VALUE"""),0.0)</f>
        <v>0</v>
      </c>
      <c r="G706" s="42">
        <f>IFERROR(__xludf.DUMMYFUNCTION("""COMPUTED_VALUE"""),2.0)</f>
        <v>2</v>
      </c>
      <c r="H706" s="42">
        <f>IFERROR(__xludf.DUMMYFUNCTION("""COMPUTED_VALUE"""),0.0)</f>
        <v>0</v>
      </c>
      <c r="I706" s="42">
        <f>IFERROR(__xludf.DUMMYFUNCTION("""COMPUTED_VALUE"""),0.0)</f>
        <v>0</v>
      </c>
      <c r="J706" s="30">
        <f>IFERROR(__xludf.DUMMYFUNCTION("""COMPUTED_VALUE"""),151.0)</f>
        <v>151</v>
      </c>
      <c r="K706" s="30">
        <f>IFERROR(__xludf.DUMMYFUNCTION("""COMPUTED_VALUE"""),0.0)</f>
        <v>0</v>
      </c>
      <c r="L706" s="30">
        <f>IFERROR(__xludf.DUMMYFUNCTION("""COMPUTED_VALUE"""),0.0)</f>
        <v>0</v>
      </c>
      <c r="M706" s="30">
        <f>IFERROR(__xludf.DUMMYFUNCTION("""COMPUTED_VALUE"""),0.5)</f>
        <v>0.5</v>
      </c>
      <c r="N706" s="30">
        <f>IFERROR(__xludf.DUMMYFUNCTION("""COMPUTED_VALUE"""),1.0)</f>
        <v>1</v>
      </c>
      <c r="O706" s="30">
        <f>IFERROR(__xludf.DUMMYFUNCTION("""COMPUTED_VALUE"""),347.33333333333337)</f>
        <v>347.3333333</v>
      </c>
      <c r="P706" s="30">
        <f>IFERROR(__xludf.DUMMYFUNCTION("""COMPUTED_VALUE"""),0.8333333333333333)</f>
        <v>0.8333333333</v>
      </c>
      <c r="Q706" s="30">
        <f>IFERROR(__xludf.DUMMYFUNCTION("""COMPUTED_VALUE"""),0.6666666666666666)</f>
        <v>0.6666666667</v>
      </c>
      <c r="R706" s="30">
        <f>IFERROR(__xludf.DUMMYFUNCTION("""COMPUTED_VALUE"""),1.1666666666666665)</f>
        <v>1.166666667</v>
      </c>
      <c r="S706" s="30">
        <f>IFERROR(__xludf.DUMMYFUNCTION("""COMPUTED_VALUE"""),2.0)</f>
        <v>2</v>
      </c>
      <c r="T706" s="30">
        <f>IFERROR(__xludf.DUMMYFUNCTION("""COMPUTED_VALUE"""),359.40340909090907)</f>
        <v>359.4034091</v>
      </c>
      <c r="U706" s="30">
        <f>IFERROR(__xludf.DUMMYFUNCTION("""COMPUTED_VALUE"""),0.9324494949494948)</f>
        <v>0.9324494949</v>
      </c>
      <c r="V706" s="30">
        <f>IFERROR(__xludf.DUMMYFUNCTION("""COMPUTED_VALUE"""),0.6111111111111112)</f>
        <v>0.6111111111</v>
      </c>
      <c r="W706" s="30">
        <f>IFERROR(__xludf.DUMMYFUNCTION("""COMPUTED_VALUE"""),1.148989898989899)</f>
        <v>1.148989899</v>
      </c>
      <c r="X706" s="30">
        <f>IFERROR(__xludf.DUMMYFUNCTION("""COMPUTED_VALUE"""),2.5164141414141414)</f>
        <v>2.516414141</v>
      </c>
      <c r="Y706" s="30">
        <f>IFERROR(__xludf.DUMMYFUNCTION("""COMPUTED_VALUE"""),318.5622895622896)</f>
        <v>318.5622896</v>
      </c>
      <c r="Z706" s="30">
        <f>IFERROR(__xludf.DUMMYFUNCTION("""COMPUTED_VALUE"""),0.7041245791245792)</f>
        <v>0.7041245791</v>
      </c>
      <c r="AA706" s="30">
        <f>IFERROR(__xludf.DUMMYFUNCTION("""COMPUTED_VALUE"""),0.473063973063973)</f>
        <v>0.4730639731</v>
      </c>
      <c r="AB706" s="30">
        <f>IFERROR(__xludf.DUMMYFUNCTION("""COMPUTED_VALUE"""),1.1557239057239055)</f>
        <v>1.155723906</v>
      </c>
      <c r="AC706" s="30">
        <f>IFERROR(__xludf.DUMMYFUNCTION("""COMPUTED_VALUE"""),2.2411616161616164)</f>
        <v>2.241161616</v>
      </c>
      <c r="AD706" s="30">
        <f>IFERROR(__xludf.DUMMYFUNCTION("""COMPUTED_VALUE"""),0.4740046293849682)</f>
        <v>0.4740046294</v>
      </c>
      <c r="AE706" s="30">
        <f>IFERROR(__xludf.DUMMYFUNCTION("""COMPUTED_VALUE"""),0.0)</f>
        <v>0</v>
      </c>
      <c r="AF706" s="30">
        <f>IFERROR(__xludf.DUMMYFUNCTION("""COMPUTED_VALUE"""),0.0)</f>
        <v>0</v>
      </c>
      <c r="AG706" s="30">
        <f>IFERROR(__xludf.DUMMYFUNCTION("""COMPUTED_VALUE"""),0.43262927895120185)</f>
        <v>0.432629279</v>
      </c>
      <c r="AH706" s="30">
        <f>IFERROR(__xludf.DUMMYFUNCTION("""COMPUTED_VALUE"""),0.4461971830985915)</f>
        <v>0.4461971831</v>
      </c>
      <c r="AI706" s="30">
        <f>IFERROR(__xludf.DUMMYFUNCTION("""COMPUTED_VALUE"""),0.9664163570732223)</f>
        <v>0.9664163571</v>
      </c>
      <c r="AJ706" s="30">
        <f>IFERROR(__xludf.DUMMYFUNCTION("""COMPUTED_VALUE"""),0.8937034529451592)</f>
        <v>0.8937034529</v>
      </c>
      <c r="AK706" s="30">
        <f>IFERROR(__xludf.DUMMYFUNCTION("""COMPUTED_VALUE"""),1.0909090909090908)</f>
        <v>1.090909091</v>
      </c>
      <c r="AL706" s="30">
        <f>IFERROR(__xludf.DUMMYFUNCTION("""COMPUTED_VALUE"""),1.0153846153846153)</f>
        <v>1.015384615</v>
      </c>
      <c r="AM706" s="30">
        <f>IFERROR(__xludf.DUMMYFUNCTION("""COMPUTED_VALUE"""),0.7947817360762669)</f>
        <v>0.7947817361</v>
      </c>
      <c r="AN706" s="30">
        <f>IFERROR(__xludf.DUMMYFUNCTION("""COMPUTED_VALUE"""),0.4696275114557756)</f>
        <v>0.4696275115</v>
      </c>
      <c r="AO706" s="30">
        <f>IFERROR(__xludf.DUMMYFUNCTION("""COMPUTED_VALUE"""),0.0)</f>
        <v>0</v>
      </c>
      <c r="AP706" s="30">
        <f>IFERROR(__xludf.DUMMYFUNCTION("""COMPUTED_VALUE"""),0.0)</f>
        <v>0</v>
      </c>
      <c r="AQ706" s="30">
        <f>IFERROR(__xludf.DUMMYFUNCTION("""COMPUTED_VALUE"""),0.4294527633024186)</f>
        <v>0.4294527633</v>
      </c>
      <c r="AR706" s="30">
        <f>IFERROR(__xludf.DUMMYFUNCTION("""COMPUTED_VALUE"""),0.43209792611241693)</f>
        <v>0.4320979261</v>
      </c>
      <c r="AS706" s="30">
        <f>IFERROR(__xludf.DUMMYFUNCTION("""COMPUTED_VALUE"""),2.0)</f>
        <v>2</v>
      </c>
      <c r="AT706" s="30">
        <f>IFERROR(__xludf.DUMMYFUNCTION("""COMPUTED_VALUE"""),0.212027641721307)</f>
        <v>0.2120276417</v>
      </c>
      <c r="AU706" s="30">
        <f>IFERROR(__xludf.DUMMYFUNCTION("""COMPUTED_VALUE"""),-0.4244784082221403)</f>
        <v>-0.4244784082</v>
      </c>
      <c r="AV706" s="32">
        <f>IFERROR(__xludf.DUMMYFUNCTION("""COMPUTED_VALUE"""),-18.67050680233872)</f>
        <v>-18.6705068</v>
      </c>
      <c r="AW706" s="32">
        <f>IFERROR(__xludf.DUMMYFUNCTION("""COMPUTED_VALUE"""),-332.3578596901981)</f>
        <v>-332.3578597</v>
      </c>
      <c r="AX706" s="32">
        <f>IFERROR(__xludf.DUMMYFUNCTION("""COMPUTED_VALUE"""),-14.81276555269234)</f>
        <v>-14.81276555</v>
      </c>
      <c r="AY706" s="32">
        <f>IFERROR(__xludf.DUMMYFUNCTION("""COMPUTED_VALUE"""),-209.91152023117834)</f>
        <v>-209.9115202</v>
      </c>
      <c r="AZ706" s="30">
        <f>IFERROR(__xludf.DUMMYFUNCTION("""COMPUTED_VALUE"""),122.44633945901975)</f>
        <v>122.4463395</v>
      </c>
      <c r="BA706" s="30">
        <f>IFERROR(__xludf.DUMMYFUNCTION("""COMPUTED_VALUE"""),2700.0)</f>
        <v>2700</v>
      </c>
    </row>
    <row r="707">
      <c r="A707" s="71" t="str">
        <f>IFERROR(__xludf.DUMMYFUNCTION("""COMPUTED_VALUE"""),"Prospect")</f>
        <v>Prospect</v>
      </c>
      <c r="B707" s="71" t="str">
        <f>IFERROR(__xludf.DUMMYFUNCTION("""COMPUTED_VALUE"""),"RSC007904")</f>
        <v>RSC007904</v>
      </c>
      <c r="C707" s="30" t="str">
        <f>IFERROR(__xludf.DUMMYFUNCTION("""COMPUTED_VALUE"""),"Branthedan")</f>
        <v>Branthedan</v>
      </c>
      <c r="D707" s="30" t="str">
        <f>IFERROR(__xludf.DUMMYFUNCTION("""COMPUTED_VALUE"""),"Dime")</f>
        <v>Dime</v>
      </c>
      <c r="E707" s="30">
        <f>IFERROR(__xludf.DUMMYFUNCTION("""COMPUTED_VALUE"""),48.0)</f>
        <v>48</v>
      </c>
      <c r="F707" s="30">
        <f>IFERROR(__xludf.DUMMYFUNCTION("""COMPUTED_VALUE"""),29.0)</f>
        <v>29</v>
      </c>
      <c r="G707" s="42">
        <f>IFERROR(__xludf.DUMMYFUNCTION("""COMPUTED_VALUE"""),19.0)</f>
        <v>19</v>
      </c>
      <c r="H707" s="42">
        <f>IFERROR(__xludf.DUMMYFUNCTION("""COMPUTED_VALUE"""),0.6041666666666666)</f>
        <v>0.6041666667</v>
      </c>
      <c r="I707" s="42">
        <f>IFERROR(__xludf.DUMMYFUNCTION("""COMPUTED_VALUE"""),0.39622641509433965)</f>
        <v>0.3962264151</v>
      </c>
      <c r="J707" s="30">
        <f>IFERROR(__xludf.DUMMYFUNCTION("""COMPUTED_VALUE"""),407.3333333333333)</f>
        <v>407.3333333</v>
      </c>
      <c r="K707" s="30">
        <f>IFERROR(__xludf.DUMMYFUNCTION("""COMPUTED_VALUE"""),1.3125)</f>
        <v>1.3125</v>
      </c>
      <c r="L707" s="30">
        <f>IFERROR(__xludf.DUMMYFUNCTION("""COMPUTED_VALUE"""),0.6458333333333334)</f>
        <v>0.6458333333</v>
      </c>
      <c r="M707" s="30">
        <f>IFERROR(__xludf.DUMMYFUNCTION("""COMPUTED_VALUE"""),1.1041666666666667)</f>
        <v>1.104166667</v>
      </c>
      <c r="N707" s="30">
        <f>IFERROR(__xludf.DUMMYFUNCTION("""COMPUTED_VALUE"""),3.3125)</f>
        <v>3.3125</v>
      </c>
      <c r="O707" s="30">
        <f>IFERROR(__xludf.DUMMYFUNCTION("""COMPUTED_VALUE"""),314.6319444444444)</f>
        <v>314.6319444</v>
      </c>
      <c r="P707" s="30">
        <f>IFERROR(__xludf.DUMMYFUNCTION("""COMPUTED_VALUE"""),0.673611111111111)</f>
        <v>0.6736111111</v>
      </c>
      <c r="Q707" s="30">
        <f>IFERROR(__xludf.DUMMYFUNCTION("""COMPUTED_VALUE"""),0.46527777777777785)</f>
        <v>0.4652777778</v>
      </c>
      <c r="R707" s="30">
        <f>IFERROR(__xludf.DUMMYFUNCTION("""COMPUTED_VALUE"""),1.3333333333333333)</f>
        <v>1.333333333</v>
      </c>
      <c r="S707" s="30">
        <f>IFERROR(__xludf.DUMMYFUNCTION("""COMPUTED_VALUE"""),1.9722222222222225)</f>
        <v>1.972222222</v>
      </c>
      <c r="T707" s="30">
        <f>IFERROR(__xludf.DUMMYFUNCTION("""COMPUTED_VALUE"""),331.7679221655415)</f>
        <v>331.7679222</v>
      </c>
      <c r="U707" s="30">
        <f>IFERROR(__xludf.DUMMYFUNCTION("""COMPUTED_VALUE"""),0.7689432195633527)</f>
        <v>0.7689432196</v>
      </c>
      <c r="V707" s="30">
        <f>IFERROR(__xludf.DUMMYFUNCTION("""COMPUTED_VALUE"""),0.508793551835426)</f>
        <v>0.5087935518</v>
      </c>
      <c r="W707" s="30">
        <f>IFERROR(__xludf.DUMMYFUNCTION("""COMPUTED_VALUE"""),1.2103500019558762)</f>
        <v>1.210350002</v>
      </c>
      <c r="X707" s="30">
        <f>IFERROR(__xludf.DUMMYFUNCTION("""COMPUTED_VALUE"""),2.398450660286533)</f>
        <v>2.39845066</v>
      </c>
      <c r="Y707" s="30">
        <f>IFERROR(__xludf.DUMMYFUNCTION("""COMPUTED_VALUE"""),337.90947009576513)</f>
        <v>337.9094701</v>
      </c>
      <c r="Z707" s="30">
        <f>IFERROR(__xludf.DUMMYFUNCTION("""COMPUTED_VALUE"""),0.8110684118398753)</f>
        <v>0.8110684118</v>
      </c>
      <c r="AA707" s="30">
        <f>IFERROR(__xludf.DUMMYFUNCTION("""COMPUTED_VALUE"""),0.5427506065589153)</f>
        <v>0.5427506066</v>
      </c>
      <c r="AB707" s="30">
        <f>IFERROR(__xludf.DUMMYFUNCTION("""COMPUTED_VALUE"""),1.1798152823307584)</f>
        <v>1.179815282</v>
      </c>
      <c r="AC707" s="30">
        <f>IFERROR(__xludf.DUMMYFUNCTION("""COMPUTED_VALUE"""),2.4836630009173586)</f>
        <v>2.483663001</v>
      </c>
      <c r="AD707" s="30">
        <f>IFERROR(__xludf.DUMMYFUNCTION("""COMPUTED_VALUE"""),1.2054510730873957)</f>
        <v>1.205451073</v>
      </c>
      <c r="AE707" s="30">
        <f>IFERROR(__xludf.DUMMYFUNCTION("""COMPUTED_VALUE"""),1.6182358736208795)</f>
        <v>1.618235874</v>
      </c>
      <c r="AF707" s="30">
        <f>IFERROR(__xludf.DUMMYFUNCTION("""COMPUTED_VALUE"""),1.1899265068130855)</f>
        <v>1.189926507</v>
      </c>
      <c r="AG707" s="30">
        <f>IFERROR(__xludf.DUMMYFUNCTION("""COMPUTED_VALUE"""),0.9358809664554898)</f>
        <v>0.9358809665</v>
      </c>
      <c r="AH707" s="30">
        <f>IFERROR(__xludf.DUMMYFUNCTION("""COMPUTED_VALUE"""),1.3337155639780858)</f>
        <v>1.333715564</v>
      </c>
      <c r="AI707" s="30">
        <f>IFERROR(__xludf.DUMMYFUNCTION("""COMPUTED_VALUE"""),0.9483495040471489)</f>
        <v>0.948349504</v>
      </c>
      <c r="AJ707" s="30">
        <f>IFERROR(__xludf.DUMMYFUNCTION("""COMPUTED_VALUE"""),0.8760219141975446)</f>
        <v>0.8760219142</v>
      </c>
      <c r="AK707" s="30">
        <f>IFERROR(__xludf.DUMMYFUNCTION("""COMPUTED_VALUE"""),0.914472630597088)</f>
        <v>0.9144726306</v>
      </c>
      <c r="AL707" s="30">
        <f>IFERROR(__xludf.DUMMYFUNCTION("""COMPUTED_VALUE"""),1.101609725433735)</f>
        <v>1.101609725</v>
      </c>
      <c r="AM707" s="30">
        <f>IFERROR(__xludf.DUMMYFUNCTION("""COMPUTED_VALUE"""),0.8222900953845802)</f>
        <v>0.8222900954</v>
      </c>
      <c r="AN707" s="30">
        <f>IFERROR(__xludf.DUMMYFUNCTION("""COMPUTED_VALUE"""),1.2668539050749619)</f>
        <v>1.266853905</v>
      </c>
      <c r="AO707" s="30">
        <f>IFERROR(__xludf.DUMMYFUNCTION("""COMPUTED_VALUE"""),1.7883757933269413)</f>
        <v>1.788375793</v>
      </c>
      <c r="AP707" s="30">
        <f>IFERROR(__xludf.DUMMYFUNCTION("""COMPUTED_VALUE"""),1.291888260204294)</f>
        <v>1.29188826</v>
      </c>
      <c r="AQ707" s="30">
        <f>IFERROR(__xludf.DUMMYFUNCTION("""COMPUTED_VALUE"""),0.9483748522928411)</f>
        <v>0.9483748523</v>
      </c>
      <c r="AR707" s="30">
        <f>IFERROR(__xludf.DUMMYFUNCTION("""COMPUTED_VALUE"""),1.4313243802473812)</f>
        <v>1.43132438</v>
      </c>
      <c r="AS707" s="30">
        <f>IFERROR(__xludf.DUMMYFUNCTION("""COMPUTED_VALUE"""),138.0)</f>
        <v>138</v>
      </c>
      <c r="AT707" s="30">
        <f>IFERROR(__xludf.DUMMYFUNCTION("""COMPUTED_VALUE"""),0.6355612676104205)</f>
        <v>0.6355612676</v>
      </c>
      <c r="AU707" s="30">
        <f>IFERROR(__xludf.DUMMYFUNCTION("""COMPUTED_VALUE"""),3.9804986890285807)</f>
        <v>3.980498689</v>
      </c>
      <c r="AV707" s="32">
        <f>IFERROR(__xludf.DUMMYFUNCTION("""COMPUTED_VALUE"""),100.51827312641062)</f>
        <v>100.5182731</v>
      </c>
      <c r="AW707" s="32">
        <f>IFERROR(__xludf.DUMMYFUNCTION("""COMPUTED_VALUE"""),46.18124224193021)</f>
        <v>46.18124224</v>
      </c>
      <c r="AX707" s="32">
        <f>IFERROR(__xludf.DUMMYFUNCTION("""COMPUTED_VALUE"""),86.49506484239724)</f>
        <v>86.49506484</v>
      </c>
      <c r="AY707" s="32">
        <f>IFERROR(__xludf.DUMMYFUNCTION("""COMPUTED_VALUE"""),13.855756740419585)</f>
        <v>13.85575674</v>
      </c>
      <c r="AZ707" s="30">
        <f>IFERROR(__xludf.DUMMYFUNCTION("""COMPUTED_VALUE"""),32.32548550151062)</f>
        <v>32.3254855</v>
      </c>
      <c r="BA707" s="30">
        <f>IFERROR(__xludf.DUMMYFUNCTION("""COMPUTED_VALUE"""),2700.0)</f>
        <v>2700</v>
      </c>
    </row>
    <row r="708">
      <c r="A708" s="71" t="str">
        <f>IFERROR(__xludf.DUMMYFUNCTION("""COMPUTED_VALUE"""),"Prospect")</f>
        <v>Prospect</v>
      </c>
      <c r="B708" s="71" t="str">
        <f>IFERROR(__xludf.DUMMYFUNCTION("""COMPUTED_VALUE"""),"RSC004879")</f>
        <v>RSC004879</v>
      </c>
      <c r="C708" s="30" t="str">
        <f>IFERROR(__xludf.DUMMYFUNCTION("""COMPUTED_VALUE"""),"DefNotMongo.")</f>
        <v>DefNotMongo.</v>
      </c>
      <c r="D708" s="30" t="str">
        <f>IFERROR(__xludf.DUMMYFUNCTION("""COMPUTED_VALUE"""),"Khans")</f>
        <v>Khans</v>
      </c>
      <c r="E708" s="30">
        <f>IFERROR(__xludf.DUMMYFUNCTION("""COMPUTED_VALUE"""),14.0)</f>
        <v>14</v>
      </c>
      <c r="F708" s="30">
        <f>IFERROR(__xludf.DUMMYFUNCTION("""COMPUTED_VALUE"""),3.0)</f>
        <v>3</v>
      </c>
      <c r="G708" s="42">
        <f>IFERROR(__xludf.DUMMYFUNCTION("""COMPUTED_VALUE"""),11.0)</f>
        <v>11</v>
      </c>
      <c r="H708" s="42">
        <f>IFERROR(__xludf.DUMMYFUNCTION("""COMPUTED_VALUE"""),0.21428571428571427)</f>
        <v>0.2142857143</v>
      </c>
      <c r="I708" s="42">
        <f>IFERROR(__xludf.DUMMYFUNCTION("""COMPUTED_VALUE"""),0.36363636363636365)</f>
        <v>0.3636363636</v>
      </c>
      <c r="J708" s="30">
        <f>IFERROR(__xludf.DUMMYFUNCTION("""COMPUTED_VALUE"""),263.2142857142857)</f>
        <v>263.2142857</v>
      </c>
      <c r="K708" s="30">
        <f>IFERROR(__xludf.DUMMYFUNCTION("""COMPUTED_VALUE"""),0.2857142857142857)</f>
        <v>0.2857142857</v>
      </c>
      <c r="L708" s="30">
        <f>IFERROR(__xludf.DUMMYFUNCTION("""COMPUTED_VALUE"""),0.42857142857142855)</f>
        <v>0.4285714286</v>
      </c>
      <c r="M708" s="30">
        <f>IFERROR(__xludf.DUMMYFUNCTION("""COMPUTED_VALUE"""),1.6428571428571428)</f>
        <v>1.642857143</v>
      </c>
      <c r="N708" s="30">
        <f>IFERROR(__xludf.DUMMYFUNCTION("""COMPUTED_VALUE"""),0.7857142857142857)</f>
        <v>0.7857142857</v>
      </c>
      <c r="O708" s="30">
        <f>IFERROR(__xludf.DUMMYFUNCTION("""COMPUTED_VALUE"""),358.33333333333337)</f>
        <v>358.3333333</v>
      </c>
      <c r="P708" s="30">
        <f>IFERROR(__xludf.DUMMYFUNCTION("""COMPUTED_VALUE"""),1.0952380952380953)</f>
        <v>1.095238095</v>
      </c>
      <c r="Q708" s="30">
        <f>IFERROR(__xludf.DUMMYFUNCTION("""COMPUTED_VALUE"""),0.738095238095238)</f>
        <v>0.7380952381</v>
      </c>
      <c r="R708" s="30">
        <f>IFERROR(__xludf.DUMMYFUNCTION("""COMPUTED_VALUE"""),0.9047619047619049)</f>
        <v>0.9047619048</v>
      </c>
      <c r="S708" s="30">
        <f>IFERROR(__xludf.DUMMYFUNCTION("""COMPUTED_VALUE"""),3.0714285714285716)</f>
        <v>3.071428571</v>
      </c>
      <c r="T708" s="30">
        <f>IFERROR(__xludf.DUMMYFUNCTION("""COMPUTED_VALUE"""),343.7756202116738)</f>
        <v>343.7756202</v>
      </c>
      <c r="U708" s="30">
        <f>IFERROR(__xludf.DUMMYFUNCTION("""COMPUTED_VALUE"""),0.8497355017015076)</f>
        <v>0.8497355017</v>
      </c>
      <c r="V708" s="30">
        <f>IFERROR(__xludf.DUMMYFUNCTION("""COMPUTED_VALUE"""),0.5754562526531488)</f>
        <v>0.5754562527</v>
      </c>
      <c r="W708" s="30">
        <f>IFERROR(__xludf.DUMMYFUNCTION("""COMPUTED_VALUE"""),1.1440187895368719)</f>
        <v>1.14401879</v>
      </c>
      <c r="X708" s="30">
        <f>IFERROR(__xludf.DUMMYFUNCTION("""COMPUTED_VALUE"""),2.577768148663435)</f>
        <v>2.577768149</v>
      </c>
      <c r="Y708" s="30">
        <f>IFERROR(__xludf.DUMMYFUNCTION("""COMPUTED_VALUE"""),330.53581245794186)</f>
        <v>330.5358125</v>
      </c>
      <c r="Z708" s="30">
        <f>IFERROR(__xludf.DUMMYFUNCTION("""COMPUTED_VALUE"""),0.7629208185304336)</f>
        <v>0.7629208185</v>
      </c>
      <c r="AA708" s="30">
        <f>IFERROR(__xludf.DUMMYFUNCTION("""COMPUTED_VALUE"""),0.4906139818328697)</f>
        <v>0.4906139818</v>
      </c>
      <c r="AB708" s="30">
        <f>IFERROR(__xludf.DUMMYFUNCTION("""COMPUTED_VALUE"""),1.2413279206050423)</f>
        <v>1.241327921</v>
      </c>
      <c r="AC708" s="30">
        <f>IFERROR(__xludf.DUMMYFUNCTION("""COMPUTED_VALUE"""),2.2969116273253696)</f>
        <v>2.296911627</v>
      </c>
      <c r="AD708" s="30">
        <f>IFERROR(__xludf.DUMMYFUNCTION("""COMPUTED_VALUE"""),0.7963260735862856)</f>
        <v>0.7963260736</v>
      </c>
      <c r="AE708" s="30">
        <f>IFERROR(__xludf.DUMMYFUNCTION("""COMPUTED_VALUE"""),0.374500575649042)</f>
        <v>0.3745005756</v>
      </c>
      <c r="AF708" s="30">
        <f>IFERROR(__xludf.DUMMYFUNCTION("""COMPUTED_VALUE"""),0.8735410005445456)</f>
        <v>0.8735410005</v>
      </c>
      <c r="AG708" s="30">
        <f>IFERROR(__xludf.DUMMYFUNCTION("""COMPUTED_VALUE"""),1.323467486380544)</f>
        <v>1.323467486</v>
      </c>
      <c r="AH708" s="30">
        <f>IFERROR(__xludf.DUMMYFUNCTION("""COMPUTED_VALUE"""),0.3420742341006858)</f>
        <v>0.3420742341</v>
      </c>
      <c r="AI708" s="30">
        <f>IFERROR(__xludf.DUMMYFUNCTION("""COMPUTED_VALUE"""),1.042346554746075)</f>
        <v>1.042346555</v>
      </c>
      <c r="AJ708" s="30">
        <f>IFERROR(__xludf.DUMMYFUNCTION("""COMPUTED_VALUE"""),1.2889164840647405)</f>
        <v>1.288916484</v>
      </c>
      <c r="AK708" s="30">
        <f>IFERROR(__xludf.DUMMYFUNCTION("""COMPUTED_VALUE"""),1.2826261504540788)</f>
        <v>1.28262615</v>
      </c>
      <c r="AL708" s="30">
        <f>IFERROR(__xludf.DUMMYFUNCTION("""COMPUTED_VALUE"""),0.7908628014127073)</f>
        <v>0.7908628014</v>
      </c>
      <c r="AM708" s="30">
        <f>IFERROR(__xludf.DUMMYFUNCTION("""COMPUTED_VALUE"""),1.1915069138475847)</f>
        <v>1.191506914</v>
      </c>
      <c r="AN708" s="30">
        <f>IFERROR(__xludf.DUMMYFUNCTION("""COMPUTED_VALUE"""),0.8186269535073477)</f>
        <v>0.8186269535</v>
      </c>
      <c r="AO708" s="30">
        <f>IFERROR(__xludf.DUMMYFUNCTION("""COMPUTED_VALUE"""),0.3893062951460008)</f>
        <v>0.3893062951</v>
      </c>
      <c r="AP708" s="30">
        <f>IFERROR(__xludf.DUMMYFUNCTION("""COMPUTED_VALUE"""),0.8572899053890246)</f>
        <v>0.8572899054</v>
      </c>
      <c r="AQ708" s="30">
        <f>IFERROR(__xludf.DUMMYFUNCTION("""COMPUTED_VALUE"""),1.4110590794222324)</f>
        <v>1.411059079</v>
      </c>
      <c r="AR708" s="30">
        <f>IFERROR(__xludf.DUMMYFUNCTION("""COMPUTED_VALUE"""),0.3395055133740419)</f>
        <v>0.3395055134</v>
      </c>
      <c r="AS708" s="30">
        <f>IFERROR(__xludf.DUMMYFUNCTION("""COMPUTED_VALUE"""),25.0)</f>
        <v>25</v>
      </c>
      <c r="AT708" s="30">
        <f>IFERROR(__xludf.DUMMYFUNCTION("""COMPUTED_VALUE"""),0.27454040582780337)</f>
        <v>0.2745404058</v>
      </c>
      <c r="AU708" s="30">
        <f>IFERROR(__xludf.DUMMYFUNCTION("""COMPUTED_VALUE"""),0.2687155816976038)</f>
        <v>0.2687155817</v>
      </c>
      <c r="AV708" s="32">
        <f>IFERROR(__xludf.DUMMYFUNCTION("""COMPUTED_VALUE"""),0.08576458986495084)</f>
        <v>0.08576458986</v>
      </c>
      <c r="AW708" s="32">
        <f>IFERROR(__xludf.DUMMYFUNCTION("""COMPUTED_VALUE"""),-43.59960239754666)</f>
        <v>-43.5996024</v>
      </c>
      <c r="AX708" s="32">
        <f>IFERROR(__xludf.DUMMYFUNCTION("""COMPUTED_VALUE"""),9.999331078498194)</f>
        <v>9.999331078</v>
      </c>
      <c r="AY708" s="32">
        <f>IFERROR(__xludf.DUMMYFUNCTION("""COMPUTED_VALUE"""),-18.2493994008695)</f>
        <v>-18.2493994</v>
      </c>
      <c r="AZ708" s="30">
        <f>IFERROR(__xludf.DUMMYFUNCTION("""COMPUTED_VALUE"""),25.35020299667716)</f>
        <v>25.350203</v>
      </c>
      <c r="BA708" s="30">
        <f>IFERROR(__xludf.DUMMYFUNCTION("""COMPUTED_VALUE"""),2700.0)</f>
        <v>2700</v>
      </c>
    </row>
    <row r="709">
      <c r="A709" s="71" t="str">
        <f>IFERROR(__xludf.DUMMYFUNCTION("""COMPUTED_VALUE"""),"Prospect")</f>
        <v>Prospect</v>
      </c>
      <c r="B709" s="71" t="str">
        <f>IFERROR(__xludf.DUMMYFUNCTION("""COMPUTED_VALUE"""),"RSC006832")</f>
        <v>RSC006832</v>
      </c>
      <c r="C709" s="30" t="str">
        <f>IFERROR(__xludf.DUMMYFUNCTION("""COMPUTED_VALUE"""),"Pandaliciously")</f>
        <v>Pandaliciously</v>
      </c>
      <c r="D709" s="30" t="str">
        <f>IFERROR(__xludf.DUMMYFUNCTION("""COMPUTED_VALUE"""),"Horizon Highball")</f>
        <v>Horizon Highball</v>
      </c>
      <c r="E709" s="30">
        <f>IFERROR(__xludf.DUMMYFUNCTION("""COMPUTED_VALUE"""),33.0)</f>
        <v>33</v>
      </c>
      <c r="F709" s="30">
        <f>IFERROR(__xludf.DUMMYFUNCTION("""COMPUTED_VALUE"""),23.0)</f>
        <v>23</v>
      </c>
      <c r="G709" s="42">
        <f>IFERROR(__xludf.DUMMYFUNCTION("""COMPUTED_VALUE"""),10.0)</f>
        <v>10</v>
      </c>
      <c r="H709" s="42">
        <f>IFERROR(__xludf.DUMMYFUNCTION("""COMPUTED_VALUE"""),0.696969696969697)</f>
        <v>0.696969697</v>
      </c>
      <c r="I709" s="42">
        <f>IFERROR(__xludf.DUMMYFUNCTION("""COMPUTED_VALUE"""),0.41000000000000003)</f>
        <v>0.41</v>
      </c>
      <c r="J709" s="30">
        <f>IFERROR(__xludf.DUMMYFUNCTION("""COMPUTED_VALUE"""),415.030303030303)</f>
        <v>415.030303</v>
      </c>
      <c r="K709" s="30">
        <f>IFERROR(__xludf.DUMMYFUNCTION("""COMPUTED_VALUE"""),1.2424242424242424)</f>
        <v>1.242424242</v>
      </c>
      <c r="L709" s="30">
        <f>IFERROR(__xludf.DUMMYFUNCTION("""COMPUTED_VALUE"""),0.5151515151515151)</f>
        <v>0.5151515152</v>
      </c>
      <c r="M709" s="30">
        <f>IFERROR(__xludf.DUMMYFUNCTION("""COMPUTED_VALUE"""),1.303030303030303)</f>
        <v>1.303030303</v>
      </c>
      <c r="N709" s="30">
        <f>IFERROR(__xludf.DUMMYFUNCTION("""COMPUTED_VALUE"""),3.0303030303030303)</f>
        <v>3.03030303</v>
      </c>
      <c r="O709" s="30">
        <f>IFERROR(__xludf.DUMMYFUNCTION("""COMPUTED_VALUE"""),314.7272727272727)</f>
        <v>314.7272727</v>
      </c>
      <c r="P709" s="30">
        <f>IFERROR(__xludf.DUMMYFUNCTION("""COMPUTED_VALUE"""),0.6161616161616161)</f>
        <v>0.6161616162</v>
      </c>
      <c r="Q709" s="30">
        <f>IFERROR(__xludf.DUMMYFUNCTION("""COMPUTED_VALUE"""),0.4444444444444445)</f>
        <v>0.4444444444</v>
      </c>
      <c r="R709" s="30">
        <f>IFERROR(__xludf.DUMMYFUNCTION("""COMPUTED_VALUE"""),1.262626262626263)</f>
        <v>1.262626263</v>
      </c>
      <c r="S709" s="30">
        <f>IFERROR(__xludf.DUMMYFUNCTION("""COMPUTED_VALUE"""),2.1313131313131315)</f>
        <v>2.131313131</v>
      </c>
      <c r="T709" s="30">
        <f>IFERROR(__xludf.DUMMYFUNCTION("""COMPUTED_VALUE"""),339.5621283279351)</f>
        <v>339.5621283</v>
      </c>
      <c r="U709" s="30">
        <f>IFERROR(__xludf.DUMMYFUNCTION("""COMPUTED_VALUE"""),0.7987061500931656)</f>
        <v>0.7987061501</v>
      </c>
      <c r="V709" s="30">
        <f>IFERROR(__xludf.DUMMYFUNCTION("""COMPUTED_VALUE"""),0.5401566040128939)</f>
        <v>0.540156604</v>
      </c>
      <c r="W709" s="30">
        <f>IFERROR(__xludf.DUMMYFUNCTION("""COMPUTED_VALUE"""),1.2339149062731924)</f>
        <v>1.233914906</v>
      </c>
      <c r="X709" s="30">
        <f>IFERROR(__xludf.DUMMYFUNCTION("""COMPUTED_VALUE"""),2.4896994739246)</f>
        <v>2.489699474</v>
      </c>
      <c r="Y709" s="30">
        <f>IFERROR(__xludf.DUMMYFUNCTION("""COMPUTED_VALUE"""),336.0228449533775)</f>
        <v>336.022845</v>
      </c>
      <c r="Z709" s="30">
        <f>IFERROR(__xludf.DUMMYFUNCTION("""COMPUTED_VALUE"""),0.7835933672369881)</f>
        <v>0.7835933672</v>
      </c>
      <c r="AA709" s="30">
        <f>IFERROR(__xludf.DUMMYFUNCTION("""COMPUTED_VALUE"""),0.5236052240327341)</f>
        <v>0.523605224</v>
      </c>
      <c r="AB709" s="30">
        <f>IFERROR(__xludf.DUMMYFUNCTION("""COMPUTED_VALUE"""),1.2072693939193007)</f>
        <v>1.207269394</v>
      </c>
      <c r="AC709" s="30">
        <f>IFERROR(__xludf.DUMMYFUNCTION("""COMPUTED_VALUE"""),2.4648069414938596)</f>
        <v>2.464806941</v>
      </c>
      <c r="AD709" s="30">
        <f>IFERROR(__xludf.DUMMYFUNCTION("""COMPUTED_VALUE"""),1.2351252578909855)</f>
        <v>1.235125258</v>
      </c>
      <c r="AE709" s="30">
        <f>IFERROR(__xludf.DUMMYFUNCTION("""COMPUTED_VALUE"""),1.5855471656238338)</f>
        <v>1.585547166</v>
      </c>
      <c r="AF709" s="30">
        <f>IFERROR(__xludf.DUMMYFUNCTION("""COMPUTED_VALUE"""),0.9838548041669453)</f>
        <v>0.9838548042</v>
      </c>
      <c r="AG709" s="30">
        <f>IFERROR(__xludf.DUMMYFUNCTION("""COMPUTED_VALUE"""),1.0793202491451577)</f>
        <v>1.079320249</v>
      </c>
      <c r="AH709" s="30">
        <f>IFERROR(__xludf.DUMMYFUNCTION("""COMPUTED_VALUE"""),1.2294281468009973)</f>
        <v>1.229428147</v>
      </c>
      <c r="AI709" s="30">
        <f>IFERROR(__xludf.DUMMYFUNCTION("""COMPUTED_VALUE"""),0.9268621158579913)</f>
        <v>0.9268621159</v>
      </c>
      <c r="AJ709" s="30">
        <f>IFERROR(__xludf.DUMMYFUNCTION("""COMPUTED_VALUE"""),0.7714496953475863)</f>
        <v>0.7714496953</v>
      </c>
      <c r="AK709" s="30">
        <f>IFERROR(__xludf.DUMMYFUNCTION("""COMPUTED_VALUE"""),0.8228066474474416)</f>
        <v>0.8228066474</v>
      </c>
      <c r="AL709" s="30">
        <f>IFERROR(__xludf.DUMMYFUNCTION("""COMPUTED_VALUE"""),1.0232685059618802)</f>
        <v>1.023268506</v>
      </c>
      <c r="AM709" s="30">
        <f>IFERROR(__xludf.DUMMYFUNCTION("""COMPUTED_VALUE"""),0.8560523684223897)</f>
        <v>0.8560523684</v>
      </c>
      <c r="AN709" s="30">
        <f>IFERROR(__xludf.DUMMYFUNCTION("""COMPUTED_VALUE"""),1.2907923734493885)</f>
        <v>1.290792373</v>
      </c>
      <c r="AO709" s="30">
        <f>IFERROR(__xludf.DUMMYFUNCTION("""COMPUTED_VALUE"""),1.692892525862155)</f>
        <v>1.692892526</v>
      </c>
      <c r="AP709" s="30">
        <f>IFERROR(__xludf.DUMMYFUNCTION("""COMPUTED_VALUE"""),1.0304797852655951)</f>
        <v>1.030479785</v>
      </c>
      <c r="AQ709" s="30">
        <f>IFERROR(__xludf.DUMMYFUNCTION("""COMPUTED_VALUE"""),1.1191799286063029)</f>
        <v>1.119179929</v>
      </c>
      <c r="AR709" s="30">
        <f>IFERROR(__xludf.DUMMYFUNCTION("""COMPUTED_VALUE"""),1.3093876548861119)</f>
        <v>1.309387655</v>
      </c>
      <c r="AS709" s="30">
        <f>IFERROR(__xludf.DUMMYFUNCTION("""COMPUTED_VALUE"""),95.0)</f>
        <v>95</v>
      </c>
      <c r="AT709" s="30">
        <f>IFERROR(__xludf.DUMMYFUNCTION("""COMPUTED_VALUE"""),0.6663811781287818)</f>
        <v>0.6663811781</v>
      </c>
      <c r="AU709" s="30">
        <f>IFERROR(__xludf.DUMMYFUNCTION("""COMPUTED_VALUE"""),3.748832871383259)</f>
        <v>3.748832871</v>
      </c>
      <c r="AV709" s="32">
        <f>IFERROR(__xludf.DUMMYFUNCTION("""COMPUTED_VALUE"""),94.24991677704946)</f>
        <v>94.24991678</v>
      </c>
      <c r="AW709" s="32">
        <f>IFERROR(__xludf.DUMMYFUNCTION("""COMPUTED_VALUE"""),26.066207159069684)</f>
        <v>26.06620716</v>
      </c>
      <c r="AX709" s="32">
        <f>IFERROR(__xludf.DUMMYFUNCTION("""COMPUTED_VALUE"""),77.5253745168737)</f>
        <v>77.52537452</v>
      </c>
      <c r="AY709" s="32">
        <f>IFERROR(__xludf.DUMMYFUNCTION("""COMPUTED_VALUE"""),7.383066878384281)</f>
        <v>7.383066878</v>
      </c>
      <c r="AZ709" s="30">
        <f>IFERROR(__xludf.DUMMYFUNCTION("""COMPUTED_VALUE"""),18.683140280685404)</f>
        <v>18.68314028</v>
      </c>
      <c r="BA709" s="30">
        <f>IFERROR(__xludf.DUMMYFUNCTION("""COMPUTED_VALUE"""),2700.0)</f>
        <v>2700</v>
      </c>
    </row>
    <row r="710">
      <c r="A710" s="71" t="str">
        <f>IFERROR(__xludf.DUMMYFUNCTION("""COMPUTED_VALUE"""),"Prospect")</f>
        <v>Prospect</v>
      </c>
      <c r="B710" s="71" t="str">
        <f>IFERROR(__xludf.DUMMYFUNCTION("""COMPUTED_VALUE"""),"RSC005909")</f>
        <v>RSC005909</v>
      </c>
      <c r="C710" s="30" t="str">
        <f>IFERROR(__xludf.DUMMYFUNCTION("""COMPUTED_VALUE"""),"YadiCraft")</f>
        <v>YadiCraft</v>
      </c>
      <c r="D710" s="30"/>
      <c r="E710" s="30">
        <f>IFERROR(__xludf.DUMMYFUNCTION("""COMPUTED_VALUE"""),5.0)</f>
        <v>5</v>
      </c>
      <c r="F710" s="30">
        <f>IFERROR(__xludf.DUMMYFUNCTION("""COMPUTED_VALUE"""),2.0)</f>
        <v>2</v>
      </c>
      <c r="G710" s="42">
        <f>IFERROR(__xludf.DUMMYFUNCTION("""COMPUTED_VALUE"""),3.0)</f>
        <v>3</v>
      </c>
      <c r="H710" s="42">
        <f>IFERROR(__xludf.DUMMYFUNCTION("""COMPUTED_VALUE"""),0.4)</f>
        <v>0.4</v>
      </c>
      <c r="I710" s="42">
        <f>IFERROR(__xludf.DUMMYFUNCTION("""COMPUTED_VALUE"""),0.25)</f>
        <v>0.25</v>
      </c>
      <c r="J710" s="30">
        <f>IFERROR(__xludf.DUMMYFUNCTION("""COMPUTED_VALUE"""),275.6)</f>
        <v>275.6</v>
      </c>
      <c r="K710" s="30">
        <f>IFERROR(__xludf.DUMMYFUNCTION("""COMPUTED_VALUE"""),0.4)</f>
        <v>0.4</v>
      </c>
      <c r="L710" s="30">
        <f>IFERROR(__xludf.DUMMYFUNCTION("""COMPUTED_VALUE"""),0.2)</f>
        <v>0.2</v>
      </c>
      <c r="M710" s="30">
        <f>IFERROR(__xludf.DUMMYFUNCTION("""COMPUTED_VALUE"""),1.6)</f>
        <v>1.6</v>
      </c>
      <c r="N710" s="30">
        <f>IFERROR(__xludf.DUMMYFUNCTION("""COMPUTED_VALUE"""),1.6)</f>
        <v>1.6</v>
      </c>
      <c r="O710" s="30">
        <f>IFERROR(__xludf.DUMMYFUNCTION("""COMPUTED_VALUE"""),299.0)</f>
        <v>299</v>
      </c>
      <c r="P710" s="30">
        <f>IFERROR(__xludf.DUMMYFUNCTION("""COMPUTED_VALUE"""),0.6666666666666667)</f>
        <v>0.6666666667</v>
      </c>
      <c r="Q710" s="30">
        <f>IFERROR(__xludf.DUMMYFUNCTION("""COMPUTED_VALUE"""),0.5333333333333333)</f>
        <v>0.5333333333</v>
      </c>
      <c r="R710" s="30">
        <f>IFERROR(__xludf.DUMMYFUNCTION("""COMPUTED_VALUE"""),1.0666666666666667)</f>
        <v>1.066666667</v>
      </c>
      <c r="S710" s="30">
        <f>IFERROR(__xludf.DUMMYFUNCTION("""COMPUTED_VALUE"""),2.1333333333333337)</f>
        <v>2.133333333</v>
      </c>
      <c r="T710" s="30">
        <f>IFERROR(__xludf.DUMMYFUNCTION("""COMPUTED_VALUE"""),300.3070059412133)</f>
        <v>300.3070059</v>
      </c>
      <c r="U710" s="30">
        <f>IFERROR(__xludf.DUMMYFUNCTION("""COMPUTED_VALUE"""),0.6337494788409423)</f>
        <v>0.6337494788</v>
      </c>
      <c r="V710" s="30">
        <f>IFERROR(__xludf.DUMMYFUNCTION("""COMPUTED_VALUE"""),0.39046930373149885)</f>
        <v>0.3904693037</v>
      </c>
      <c r="W710" s="30">
        <f>IFERROR(__xludf.DUMMYFUNCTION("""COMPUTED_VALUE"""),1.1415017198248905)</f>
        <v>1.14150172</v>
      </c>
      <c r="X710" s="30">
        <f>IFERROR(__xludf.DUMMYFUNCTION("""COMPUTED_VALUE"""),2.0030589430894308)</f>
        <v>2.003058943</v>
      </c>
      <c r="Y710" s="30">
        <f>IFERROR(__xludf.DUMMYFUNCTION("""COMPUTED_VALUE"""),349.2365729448961)</f>
        <v>349.2365729</v>
      </c>
      <c r="Z710" s="30">
        <f>IFERROR(__xludf.DUMMYFUNCTION("""COMPUTED_VALUE"""),0.9515008512264609)</f>
        <v>0.9515008512</v>
      </c>
      <c r="AA710" s="30">
        <f>IFERROR(__xludf.DUMMYFUNCTION("""COMPUTED_VALUE"""),0.6246980751858802)</f>
        <v>0.6246980752</v>
      </c>
      <c r="AB710" s="30">
        <f>IFERROR(__xludf.DUMMYFUNCTION("""COMPUTED_VALUE"""),1.0240242165242166)</f>
        <v>1.024024217</v>
      </c>
      <c r="AC710" s="30">
        <f>IFERROR(__xludf.DUMMYFUNCTION("""COMPUTED_VALUE"""),2.6619266381766384)</f>
        <v>2.661926638</v>
      </c>
      <c r="AD710" s="30">
        <f>IFERROR(__xludf.DUMMYFUNCTION("""COMPUTED_VALUE"""),0.7891498810563727)</f>
        <v>0.7891498811</v>
      </c>
      <c r="AE710" s="30">
        <f>IFERROR(__xludf.DUMMYFUNCTION("""COMPUTED_VALUE"""),0.4203884836092474)</f>
        <v>0.4203884836</v>
      </c>
      <c r="AF710" s="30">
        <f>IFERROR(__xludf.DUMMYFUNCTION("""COMPUTED_VALUE"""),0.3201546602180415)</f>
        <v>0.3201546602</v>
      </c>
      <c r="AG710" s="30">
        <f>IFERROR(__xludf.DUMMYFUNCTION("""COMPUTED_VALUE"""),1.5624630493903584)</f>
        <v>1.562463049</v>
      </c>
      <c r="AH710" s="30">
        <f>IFERROR(__xludf.DUMMYFUNCTION("""COMPUTED_VALUE"""),0.6010684055124694)</f>
        <v>0.6010684055</v>
      </c>
      <c r="AI710" s="30">
        <f>IFERROR(__xludf.DUMMYFUNCTION("""COMPUTED_VALUE"""),0.9956477674001747)</f>
        <v>0.9956477674</v>
      </c>
      <c r="AJ710" s="30">
        <f>IFERROR(__xludf.DUMMYFUNCTION("""COMPUTED_VALUE"""),1.051940378532423)</f>
        <v>1.051940379</v>
      </c>
      <c r="AK710" s="30">
        <f>IFERROR(__xludf.DUMMYFUNCTION("""COMPUTED_VALUE"""),1.365877748229021)</f>
        <v>1.365877748</v>
      </c>
      <c r="AL710" s="30">
        <f>IFERROR(__xludf.DUMMYFUNCTION("""COMPUTED_VALUE"""),0.934441576514047)</f>
        <v>0.9344415765</v>
      </c>
      <c r="AM710" s="30">
        <f>IFERROR(__xludf.DUMMYFUNCTION("""COMPUTED_VALUE"""),1.0650377217771603)</f>
        <v>1.065037722</v>
      </c>
      <c r="AN710" s="30">
        <f>IFERROR(__xludf.DUMMYFUNCTION("""COMPUTED_VALUE"""),0.8571479613060382)</f>
        <v>0.8571479613</v>
      </c>
      <c r="AO710" s="30">
        <f>IFERROR(__xludf.DUMMYFUNCTION("""COMPUTED_VALUE"""),0.5450288132044012)</f>
        <v>0.5450288132</v>
      </c>
      <c r="AP710" s="30">
        <f>IFERROR(__xludf.DUMMYFUNCTION("""COMPUTED_VALUE"""),0.4000686225148782)</f>
        <v>0.4000686225</v>
      </c>
      <c r="AQ710" s="30">
        <f>IFERROR(__xludf.DUMMYFUNCTION("""COMPUTED_VALUE"""),1.3742488425677395)</f>
        <v>1.374248843</v>
      </c>
      <c r="AR710" s="30">
        <f>IFERROR(__xludf.DUMMYFUNCTION("""COMPUTED_VALUE"""),0.6913566817798672)</f>
        <v>0.6913566818</v>
      </c>
      <c r="AS710" s="30">
        <f>IFERROR(__xludf.DUMMYFUNCTION("""COMPUTED_VALUE"""),9.0)</f>
        <v>9</v>
      </c>
      <c r="AT710" s="30">
        <f>IFERROR(__xludf.DUMMYFUNCTION("""COMPUTED_VALUE"""),0.4614386249795285)</f>
        <v>0.461438625</v>
      </c>
      <c r="AU710" s="30">
        <f>IFERROR(__xludf.DUMMYFUNCTION("""COMPUTED_VALUE"""),0.6119188380000855)</f>
        <v>0.611918838</v>
      </c>
      <c r="AV710" s="32">
        <f>IFERROR(__xludf.DUMMYFUNCTION("""COMPUTED_VALUE"""),9.372073345430856)</f>
        <v>9.372073345</v>
      </c>
      <c r="AW710" s="32">
        <f>IFERROR(__xludf.DUMMYFUNCTION("""COMPUTED_VALUE"""),-19.20535590124255)</f>
        <v>-19.2053559</v>
      </c>
      <c r="AX710" s="32">
        <f>IFERROR(__xludf.DUMMYFUNCTION("""COMPUTED_VALUE"""),31.718676320622272)</f>
        <v>31.71867632</v>
      </c>
      <c r="AY710" s="32">
        <f>IFERROR(__xludf.DUMMYFUNCTION("""COMPUTED_VALUE"""),-4.304549781546797)</f>
        <v>-4.304549782</v>
      </c>
      <c r="AZ710" s="30">
        <f>IFERROR(__xludf.DUMMYFUNCTION("""COMPUTED_VALUE"""),14.900806119695755)</f>
        <v>14.90080612</v>
      </c>
      <c r="BA710" s="30">
        <f>IFERROR(__xludf.DUMMYFUNCTION("""COMPUTED_VALUE"""),2700.0)</f>
        <v>2700</v>
      </c>
    </row>
    <row r="711">
      <c r="A711" s="71" t="str">
        <f>IFERROR(__xludf.DUMMYFUNCTION("""COMPUTED_VALUE"""),"Prospect")</f>
        <v>Prospect</v>
      </c>
      <c r="B711" s="71" t="str">
        <f>IFERROR(__xludf.DUMMYFUNCTION("""COMPUTED_VALUE"""),"RSC005603")</f>
        <v>RSC005603</v>
      </c>
      <c r="C711" s="30" t="str">
        <f>IFERROR(__xludf.DUMMYFUNCTION("""COMPUTED_VALUE"""),"Aiden_23-")</f>
        <v>Aiden_23-</v>
      </c>
      <c r="D711" s="30" t="str">
        <f>IFERROR(__xludf.DUMMYFUNCTION("""COMPUTED_VALUE"""),"Emus")</f>
        <v>Emus</v>
      </c>
      <c r="E711" s="30">
        <f>IFERROR(__xludf.DUMMYFUNCTION("""COMPUTED_VALUE"""),38.0)</f>
        <v>38</v>
      </c>
      <c r="F711" s="30">
        <f>IFERROR(__xludf.DUMMYFUNCTION("""COMPUTED_VALUE"""),21.0)</f>
        <v>21</v>
      </c>
      <c r="G711" s="42">
        <f>IFERROR(__xludf.DUMMYFUNCTION("""COMPUTED_VALUE"""),17.0)</f>
        <v>17</v>
      </c>
      <c r="H711" s="42">
        <f>IFERROR(__xludf.DUMMYFUNCTION("""COMPUTED_VALUE"""),0.5526315789473685)</f>
        <v>0.5526315789</v>
      </c>
      <c r="I711" s="42">
        <f>IFERROR(__xludf.DUMMYFUNCTION("""COMPUTED_VALUE"""),0.328)</f>
        <v>0.328</v>
      </c>
      <c r="J711" s="30">
        <f>IFERROR(__xludf.DUMMYFUNCTION("""COMPUTED_VALUE"""),374.2368421052632)</f>
        <v>374.2368421</v>
      </c>
      <c r="K711" s="30">
        <f>IFERROR(__xludf.DUMMYFUNCTION("""COMPUTED_VALUE"""),1.0789473684210527)</f>
        <v>1.078947368</v>
      </c>
      <c r="L711" s="30">
        <f>IFERROR(__xludf.DUMMYFUNCTION("""COMPUTED_VALUE"""),0.631578947368421)</f>
        <v>0.6315789474</v>
      </c>
      <c r="M711" s="30">
        <f>IFERROR(__xludf.DUMMYFUNCTION("""COMPUTED_VALUE"""),1.0)</f>
        <v>1</v>
      </c>
      <c r="N711" s="30">
        <f>IFERROR(__xludf.DUMMYFUNCTION("""COMPUTED_VALUE"""),3.289473684210526)</f>
        <v>3.289473684</v>
      </c>
      <c r="O711" s="30">
        <f>IFERROR(__xludf.DUMMYFUNCTION("""COMPUTED_VALUE"""),338.9035087719298)</f>
        <v>338.9035088</v>
      </c>
      <c r="P711" s="30">
        <f>IFERROR(__xludf.DUMMYFUNCTION("""COMPUTED_VALUE"""),0.7807017543859649)</f>
        <v>0.7807017544</v>
      </c>
      <c r="Q711" s="30">
        <f>IFERROR(__xludf.DUMMYFUNCTION("""COMPUTED_VALUE"""),0.4736842105263157)</f>
        <v>0.4736842105</v>
      </c>
      <c r="R711" s="30">
        <f>IFERROR(__xludf.DUMMYFUNCTION("""COMPUTED_VALUE"""),1.3859649122807016)</f>
        <v>1.385964912</v>
      </c>
      <c r="S711" s="30">
        <f>IFERROR(__xludf.DUMMYFUNCTION("""COMPUTED_VALUE"""),2.385964912280703)</f>
        <v>2.385964912</v>
      </c>
      <c r="T711" s="30">
        <f>IFERROR(__xludf.DUMMYFUNCTION("""COMPUTED_VALUE"""),339.3849562118209)</f>
        <v>339.3849562</v>
      </c>
      <c r="U711" s="30">
        <f>IFERROR(__xludf.DUMMYFUNCTION("""COMPUTED_VALUE"""),0.8175663076350876)</f>
        <v>0.8175663076</v>
      </c>
      <c r="V711" s="30">
        <f>IFERROR(__xludf.DUMMYFUNCTION("""COMPUTED_VALUE"""),0.5276652056185904)</f>
        <v>0.5276652056</v>
      </c>
      <c r="W711" s="30">
        <f>IFERROR(__xludf.DUMMYFUNCTION("""COMPUTED_VALUE"""),1.1840206172097345)</f>
        <v>1.184020617</v>
      </c>
      <c r="X711" s="30">
        <f>IFERROR(__xludf.DUMMYFUNCTION("""COMPUTED_VALUE"""),2.489869069156554)</f>
        <v>2.489869069</v>
      </c>
      <c r="Y711" s="30">
        <f>IFERROR(__xludf.DUMMYFUNCTION("""COMPUTED_VALUE"""),334.1886333381012)</f>
        <v>334.1886333</v>
      </c>
      <c r="Z711" s="30">
        <f>IFERROR(__xludf.DUMMYFUNCTION("""COMPUTED_VALUE"""),0.7872031146451183)</f>
        <v>0.7872031146</v>
      </c>
      <c r="AA711" s="30">
        <f>IFERROR(__xludf.DUMMYFUNCTION("""COMPUTED_VALUE"""),0.5294166347514164)</f>
        <v>0.5294166348</v>
      </c>
      <c r="AB711" s="30">
        <f>IFERROR(__xludf.DUMMYFUNCTION("""COMPUTED_VALUE"""),1.2046149273324303)</f>
        <v>1.204614927</v>
      </c>
      <c r="AC711" s="30">
        <f>IFERROR(__xludf.DUMMYFUNCTION("""COMPUTED_VALUE"""),2.386797783814686)</f>
        <v>2.386797784</v>
      </c>
      <c r="AD711" s="30">
        <f>IFERROR(__xludf.DUMMYFUNCTION("""COMPUTED_VALUE"""),1.1198371361920167)</f>
        <v>1.119837136</v>
      </c>
      <c r="AE711" s="30">
        <f>IFERROR(__xludf.DUMMYFUNCTION("""COMPUTED_VALUE"""),1.3706086121209728)</f>
        <v>1.370608612</v>
      </c>
      <c r="AF711" s="30">
        <f>IFERROR(__xludf.DUMMYFUNCTION("""COMPUTED_VALUE"""),1.192971482025634)</f>
        <v>1.192971482</v>
      </c>
      <c r="AG711" s="30">
        <f>IFERROR(__xludf.DUMMYFUNCTION("""COMPUTED_VALUE"""),0.830140800441896)</f>
        <v>0.8301408004</v>
      </c>
      <c r="AH711" s="30">
        <f>IFERROR(__xludf.DUMMYFUNCTION("""COMPUTED_VALUE"""),1.3781953823306905)</f>
        <v>1.378195382</v>
      </c>
      <c r="AI711" s="30">
        <f>IFERROR(__xludf.DUMMYFUNCTION("""COMPUTED_VALUE"""),0.9985814119598436)</f>
        <v>0.998581412</v>
      </c>
      <c r="AJ711" s="30">
        <f>IFERROR(__xludf.DUMMYFUNCTION("""COMPUTED_VALUE"""),0.9549094025709571)</f>
        <v>0.9549094026</v>
      </c>
      <c r="AK711" s="30">
        <f>IFERROR(__xludf.DUMMYFUNCTION("""COMPUTED_VALUE"""),0.897698399444413)</f>
        <v>0.8976983994</v>
      </c>
      <c r="AL711" s="30">
        <f>IFERROR(__xludf.DUMMYFUNCTION("""COMPUTED_VALUE"""),1.1705580900667671)</f>
        <v>1.17055809</v>
      </c>
      <c r="AM711" s="30">
        <f>IFERROR(__xludf.DUMMYFUNCTION("""COMPUTED_VALUE"""),0.9582692286261266)</f>
        <v>0.9582692286</v>
      </c>
      <c r="AN711" s="30">
        <f>IFERROR(__xludf.DUMMYFUNCTION("""COMPUTED_VALUE"""),1.1639199791586938)</f>
        <v>1.163919979</v>
      </c>
      <c r="AO711" s="30">
        <f>IFERROR(__xludf.DUMMYFUNCTION("""COMPUTED_VALUE"""),1.4701435093013453)</f>
        <v>1.470143509</v>
      </c>
      <c r="AP711" s="30">
        <f>IFERROR(__xludf.DUMMYFUNCTION("""COMPUTED_VALUE"""),1.2633745974154047)</f>
        <v>1.263374597</v>
      </c>
      <c r="AQ711" s="30">
        <f>IFERROR(__xludf.DUMMYFUNCTION("""COMPUTED_VALUE"""),0.8589055266048372)</f>
        <v>0.8589055266</v>
      </c>
      <c r="AR711" s="30">
        <f>IFERROR(__xludf.DUMMYFUNCTION("""COMPUTED_VALUE"""),1.4213747569487398)</f>
        <v>1.421374757</v>
      </c>
      <c r="AS711" s="30">
        <f>IFERROR(__xludf.DUMMYFUNCTION("""COMPUTED_VALUE"""),103.0)</f>
        <v>103</v>
      </c>
      <c r="AT711" s="30">
        <f>IFERROR(__xludf.DUMMYFUNCTION("""COMPUTED_VALUE"""),0.5578797435584592)</f>
        <v>0.5578797436</v>
      </c>
      <c r="AU711" s="30">
        <f>IFERROR(__xludf.DUMMYFUNCTION("""COMPUTED_VALUE"""),3.485616698915587)</f>
        <v>3.485616699</v>
      </c>
      <c r="AV711" s="32">
        <f>IFERROR(__xludf.DUMMYFUNCTION("""COMPUTED_VALUE"""),87.127878736598)</f>
        <v>87.12787874</v>
      </c>
      <c r="AW711" s="32">
        <f>IFERROR(__xludf.DUMMYFUNCTION("""COMPUTED_VALUE"""),14.544045237921953)</f>
        <v>14.54404524</v>
      </c>
      <c r="AX711" s="32">
        <f>IFERROR(__xludf.DUMMYFUNCTION("""COMPUTED_VALUE"""),64.22463750083554)</f>
        <v>64.2246375</v>
      </c>
      <c r="AY711" s="32">
        <f>IFERROR(__xludf.DUMMYFUNCTION("""COMPUTED_VALUE"""),3.512679137251078)</f>
        <v>3.512679137</v>
      </c>
      <c r="AZ711" s="30">
        <f>IFERROR(__xludf.DUMMYFUNCTION("""COMPUTED_VALUE"""),11.031366100670875)</f>
        <v>11.0313661</v>
      </c>
      <c r="BA711" s="30">
        <f>IFERROR(__xludf.DUMMYFUNCTION("""COMPUTED_VALUE"""),2700.0)</f>
        <v>2700</v>
      </c>
    </row>
    <row r="712">
      <c r="A712" s="71" t="str">
        <f>IFERROR(__xludf.DUMMYFUNCTION("""COMPUTED_VALUE"""),"Prospect")</f>
        <v>Prospect</v>
      </c>
      <c r="B712" s="71" t="str">
        <f>IFERROR(__xludf.DUMMYFUNCTION("""COMPUTED_VALUE"""),"RSC000962")</f>
        <v>RSC000962</v>
      </c>
      <c r="C712" s="30" t="str">
        <f>IFERROR(__xludf.DUMMYFUNCTION("""COMPUTED_VALUE"""),"pythagorjags")</f>
        <v>pythagorjags</v>
      </c>
      <c r="D712" s="30" t="str">
        <f>IFERROR(__xludf.DUMMYFUNCTION("""COMPUTED_VALUE"""),"Hawaiian Pizza")</f>
        <v>Hawaiian Pizza</v>
      </c>
      <c r="E712" s="30">
        <f>IFERROR(__xludf.DUMMYFUNCTION("""COMPUTED_VALUE"""),32.0)</f>
        <v>32</v>
      </c>
      <c r="F712" s="30">
        <f>IFERROR(__xludf.DUMMYFUNCTION("""COMPUTED_VALUE"""),21.0)</f>
        <v>21</v>
      </c>
      <c r="G712" s="42">
        <f>IFERROR(__xludf.DUMMYFUNCTION("""COMPUTED_VALUE"""),11.0)</f>
        <v>11</v>
      </c>
      <c r="H712" s="42">
        <f>IFERROR(__xludf.DUMMYFUNCTION("""COMPUTED_VALUE"""),0.65625)</f>
        <v>0.65625</v>
      </c>
      <c r="I712" s="42">
        <f>IFERROR(__xludf.DUMMYFUNCTION("""COMPUTED_VALUE"""),0.4367816091954023)</f>
        <v>0.4367816092</v>
      </c>
      <c r="J712" s="30">
        <f>IFERROR(__xludf.DUMMYFUNCTION("""COMPUTED_VALUE"""),389.84375)</f>
        <v>389.84375</v>
      </c>
      <c r="K712" s="30">
        <f>IFERROR(__xludf.DUMMYFUNCTION("""COMPUTED_VALUE"""),1.1875)</f>
        <v>1.1875</v>
      </c>
      <c r="L712" s="30">
        <f>IFERROR(__xludf.DUMMYFUNCTION("""COMPUTED_VALUE"""),0.5625)</f>
        <v>0.5625</v>
      </c>
      <c r="M712" s="30">
        <f>IFERROR(__xludf.DUMMYFUNCTION("""COMPUTED_VALUE"""),1.1875)</f>
        <v>1.1875</v>
      </c>
      <c r="N712" s="30">
        <f>IFERROR(__xludf.DUMMYFUNCTION("""COMPUTED_VALUE"""),2.71875)</f>
        <v>2.71875</v>
      </c>
      <c r="O712" s="30">
        <f>IFERROR(__xludf.DUMMYFUNCTION("""COMPUTED_VALUE"""),313.09375000000006)</f>
        <v>313.09375</v>
      </c>
      <c r="P712" s="30">
        <f>IFERROR(__xludf.DUMMYFUNCTION("""COMPUTED_VALUE"""),0.6354166666666666)</f>
        <v>0.6354166667</v>
      </c>
      <c r="Q712" s="30">
        <f>IFERROR(__xludf.DUMMYFUNCTION("""COMPUTED_VALUE"""),0.4583333333333333)</f>
        <v>0.4583333333</v>
      </c>
      <c r="R712" s="30">
        <f>IFERROR(__xludf.DUMMYFUNCTION("""COMPUTED_VALUE"""),1.135416666666667)</f>
        <v>1.135416667</v>
      </c>
      <c r="S712" s="30">
        <f>IFERROR(__xludf.DUMMYFUNCTION("""COMPUTED_VALUE"""),2.354166666666668)</f>
        <v>2.354166667</v>
      </c>
      <c r="T712" s="30">
        <f>IFERROR(__xludf.DUMMYFUNCTION("""COMPUTED_VALUE"""),333.9527776834997)</f>
        <v>333.9527777</v>
      </c>
      <c r="U712" s="30">
        <f>IFERROR(__xludf.DUMMYFUNCTION("""COMPUTED_VALUE"""),0.7792276490793036)</f>
        <v>0.7792276491</v>
      </c>
      <c r="V712" s="30">
        <f>IFERROR(__xludf.DUMMYFUNCTION("""COMPUTED_VALUE"""),0.5582419724910884)</f>
        <v>0.5582419725</v>
      </c>
      <c r="W712" s="30">
        <f>IFERROR(__xludf.DUMMYFUNCTION("""COMPUTED_VALUE"""),1.1410888310626706)</f>
        <v>1.141088831</v>
      </c>
      <c r="X712" s="30">
        <f>IFERROR(__xludf.DUMMYFUNCTION("""COMPUTED_VALUE"""),2.483887949943373)</f>
        <v>2.48388795</v>
      </c>
      <c r="Y712" s="30">
        <f>IFERROR(__xludf.DUMMYFUNCTION("""COMPUTED_VALUE"""),336.7046761153048)</f>
        <v>336.7046761</v>
      </c>
      <c r="Z712" s="30">
        <f>IFERROR(__xludf.DUMMYFUNCTION("""COMPUTED_VALUE"""),0.8094011102032831)</f>
        <v>0.8094011102</v>
      </c>
      <c r="AA712" s="30">
        <f>IFERROR(__xludf.DUMMYFUNCTION("""COMPUTED_VALUE"""),0.5290195343530762)</f>
        <v>0.5290195344</v>
      </c>
      <c r="AB712" s="30">
        <f>IFERROR(__xludf.DUMMYFUNCTION("""COMPUTED_VALUE"""),1.247895776722622)</f>
        <v>1.247895777</v>
      </c>
      <c r="AC712" s="30">
        <f>IFERROR(__xludf.DUMMYFUNCTION("""COMPUTED_VALUE"""),2.3529955117587535)</f>
        <v>2.352995512</v>
      </c>
      <c r="AD712" s="30">
        <f>IFERROR(__xludf.DUMMYFUNCTION("""COMPUTED_VALUE"""),1.1578210154304411)</f>
        <v>1.157821015</v>
      </c>
      <c r="AE712" s="30">
        <f>IFERROR(__xludf.DUMMYFUNCTION("""COMPUTED_VALUE"""),1.467134137858739)</f>
        <v>1.467134138</v>
      </c>
      <c r="AF712" s="30">
        <f>IFERROR(__xludf.DUMMYFUNCTION("""COMPUTED_VALUE"""),1.0632877681688373)</f>
        <v>1.063287768</v>
      </c>
      <c r="AG712" s="30">
        <f>IFERROR(__xludf.DUMMYFUNCTION("""COMPUTED_VALUE"""),0.9516019063056365)</f>
        <v>0.9516019063</v>
      </c>
      <c r="AH712" s="30">
        <f>IFERROR(__xludf.DUMMYFUNCTION("""COMPUTED_VALUE"""),1.1554420679569686)</f>
        <v>1.155442068</v>
      </c>
      <c r="AI712" s="30">
        <f>IFERROR(__xludf.DUMMYFUNCTION("""COMPUTED_VALUE"""),0.937538990308179)</f>
        <v>0.9375389903</v>
      </c>
      <c r="AJ712" s="30">
        <f>IFERROR(__xludf.DUMMYFUNCTION("""COMPUTED_VALUE"""),0.8154441996731547)</f>
        <v>0.8154441997</v>
      </c>
      <c r="AK712" s="30">
        <f>IFERROR(__xludf.DUMMYFUNCTION("""COMPUTED_VALUE"""),0.8210298686214427)</f>
        <v>0.8210298686</v>
      </c>
      <c r="AL712" s="30">
        <f>IFERROR(__xludf.DUMMYFUNCTION("""COMPUTED_VALUE"""),0.9950291649154771)</f>
        <v>0.9950291649</v>
      </c>
      <c r="AM712" s="30">
        <f>IFERROR(__xludf.DUMMYFUNCTION("""COMPUTED_VALUE"""),0.9477749053536564)</f>
        <v>0.9477749054</v>
      </c>
      <c r="AN712" s="30">
        <f>IFERROR(__xludf.DUMMYFUNCTION("""COMPUTED_VALUE"""),1.2124592726429637)</f>
        <v>1.212459273</v>
      </c>
      <c r="AO712" s="30">
        <f>IFERROR(__xludf.DUMMYFUNCTION("""COMPUTED_VALUE"""),1.6180542892005658)</f>
        <v>1.618054289</v>
      </c>
      <c r="AP712" s="30">
        <f>IFERROR(__xludf.DUMMYFUNCTION("""COMPUTED_VALUE"""),1.1251930008230948)</f>
        <v>1.125193001</v>
      </c>
      <c r="AQ712" s="30">
        <f>IFERROR(__xludf.DUMMYFUNCTION("""COMPUTED_VALUE"""),1.0199503128432441)</f>
        <v>1.019950313</v>
      </c>
      <c r="AR712" s="30">
        <f>IFERROR(__xludf.DUMMYFUNCTION("""COMPUTED_VALUE"""),1.1747662366181335)</f>
        <v>1.174766237</v>
      </c>
      <c r="AS712" s="30">
        <f>IFERROR(__xludf.DUMMYFUNCTION("""COMPUTED_VALUE"""),89.0)</f>
        <v>89</v>
      </c>
      <c r="AT712" s="30">
        <f>IFERROR(__xludf.DUMMYFUNCTION("""COMPUTED_VALUE"""),0.643031021047631)</f>
        <v>0.643031021</v>
      </c>
      <c r="AU712" s="30">
        <f>IFERROR(__xludf.DUMMYFUNCTION("""COMPUTED_VALUE"""),3.4530801237790962)</f>
        <v>3.453080124</v>
      </c>
      <c r="AV712" s="32">
        <f>IFERROR(__xludf.DUMMYFUNCTION("""COMPUTED_VALUE"""),86.24751214036785)</f>
        <v>86.24751214</v>
      </c>
      <c r="AW712" s="32">
        <f>IFERROR(__xludf.DUMMYFUNCTION("""COMPUTED_VALUE"""),13.59746204694047)</f>
        <v>13.59746205</v>
      </c>
      <c r="AX712" s="32">
        <f>IFERROR(__xludf.DUMMYFUNCTION("""COMPUTED_VALUE"""),67.49257899211787)</f>
        <v>67.49257899</v>
      </c>
      <c r="AY712" s="32">
        <f>IFERROR(__xludf.DUMMYFUNCTION("""COMPUTED_VALUE"""),4.131269409713498)</f>
        <v>4.13126941</v>
      </c>
      <c r="AZ712" s="30">
        <f>IFERROR(__xludf.DUMMYFUNCTION("""COMPUTED_VALUE"""),9.466192637226971)</f>
        <v>9.466192637</v>
      </c>
      <c r="BA712" s="30">
        <f>IFERROR(__xludf.DUMMYFUNCTION("""COMPUTED_VALUE"""),2700.0)</f>
        <v>2700</v>
      </c>
    </row>
    <row r="713">
      <c r="A713" s="71" t="str">
        <f>IFERROR(__xludf.DUMMYFUNCTION("""COMPUTED_VALUE"""),"Prospect")</f>
        <v>Prospect</v>
      </c>
      <c r="B713" s="71" t="str">
        <f>IFERROR(__xludf.DUMMYFUNCTION("""COMPUTED_VALUE"""),"RSC007297")</f>
        <v>RSC007297</v>
      </c>
      <c r="C713" s="30" t="str">
        <f>IFERROR(__xludf.DUMMYFUNCTION("""COMPUTED_VALUE"""),"Marc_Byy_8")</f>
        <v>Marc_Byy_8</v>
      </c>
      <c r="D713" s="30" t="str">
        <f>IFERROR(__xludf.DUMMYFUNCTION("""COMPUTED_VALUE"""),"Tic Tacs")</f>
        <v>Tic Tacs</v>
      </c>
      <c r="E713" s="30">
        <f>IFERROR(__xludf.DUMMYFUNCTION("""COMPUTED_VALUE"""),39.0)</f>
        <v>39</v>
      </c>
      <c r="F713" s="30">
        <f>IFERROR(__xludf.DUMMYFUNCTION("""COMPUTED_VALUE"""),23.0)</f>
        <v>23</v>
      </c>
      <c r="G713" s="42">
        <f>IFERROR(__xludf.DUMMYFUNCTION("""COMPUTED_VALUE"""),16.0)</f>
        <v>16</v>
      </c>
      <c r="H713" s="42">
        <f>IFERROR(__xludf.DUMMYFUNCTION("""COMPUTED_VALUE"""),0.5897435897435898)</f>
        <v>0.5897435897</v>
      </c>
      <c r="I713" s="42">
        <f>IFERROR(__xludf.DUMMYFUNCTION("""COMPUTED_VALUE"""),0.4426229508196721)</f>
        <v>0.4426229508</v>
      </c>
      <c r="J713" s="30">
        <f>IFERROR(__xludf.DUMMYFUNCTION("""COMPUTED_VALUE"""),389.6923076923077)</f>
        <v>389.6923077</v>
      </c>
      <c r="K713" s="30">
        <f>IFERROR(__xludf.DUMMYFUNCTION("""COMPUTED_VALUE"""),1.3846153846153846)</f>
        <v>1.384615385</v>
      </c>
      <c r="L713" s="30">
        <f>IFERROR(__xludf.DUMMYFUNCTION("""COMPUTED_VALUE"""),0.2564102564102564)</f>
        <v>0.2564102564</v>
      </c>
      <c r="M713" s="30">
        <f>IFERROR(__xludf.DUMMYFUNCTION("""COMPUTED_VALUE"""),0.9743589743589743)</f>
        <v>0.9743589744</v>
      </c>
      <c r="N713" s="30">
        <f>IFERROR(__xludf.DUMMYFUNCTION("""COMPUTED_VALUE"""),3.128205128205128)</f>
        <v>3.128205128</v>
      </c>
      <c r="O713" s="30">
        <f>IFERROR(__xludf.DUMMYFUNCTION("""COMPUTED_VALUE"""),312.6837606837606)</f>
        <v>312.6837607</v>
      </c>
      <c r="P713" s="30">
        <f>IFERROR(__xludf.DUMMYFUNCTION("""COMPUTED_VALUE"""),0.7692307692307692)</f>
        <v>0.7692307692</v>
      </c>
      <c r="Q713" s="30">
        <f>IFERROR(__xludf.DUMMYFUNCTION("""COMPUTED_VALUE"""),0.5128205128205128)</f>
        <v>0.5128205128</v>
      </c>
      <c r="R713" s="30">
        <f>IFERROR(__xludf.DUMMYFUNCTION("""COMPUTED_VALUE"""),0.9145299145299143)</f>
        <v>0.9145299145</v>
      </c>
      <c r="S713" s="30">
        <f>IFERROR(__xludf.DUMMYFUNCTION("""COMPUTED_VALUE"""),2.4871794871794877)</f>
        <v>2.487179487</v>
      </c>
      <c r="T713" s="30">
        <f>IFERROR(__xludf.DUMMYFUNCTION("""COMPUTED_VALUE"""),325.9444317475517)</f>
        <v>325.9444317</v>
      </c>
      <c r="U713" s="30">
        <f>IFERROR(__xludf.DUMMYFUNCTION("""COMPUTED_VALUE"""),0.735221230370663)</f>
        <v>0.7352212304</v>
      </c>
      <c r="V713" s="30">
        <f>IFERROR(__xludf.DUMMYFUNCTION("""COMPUTED_VALUE"""),0.4853686366158767)</f>
        <v>0.4853686366</v>
      </c>
      <c r="W713" s="30">
        <f>IFERROR(__xludf.DUMMYFUNCTION("""COMPUTED_VALUE"""),1.2512897151541849)</f>
        <v>1.251289715</v>
      </c>
      <c r="X713" s="30">
        <f>IFERROR(__xludf.DUMMYFUNCTION("""COMPUTED_VALUE"""),2.342703571197546)</f>
        <v>2.342703571</v>
      </c>
      <c r="Y713" s="30">
        <f>IFERROR(__xludf.DUMMYFUNCTION("""COMPUTED_VALUE"""),338.9673928621594)</f>
        <v>338.9673929</v>
      </c>
      <c r="Z713" s="30">
        <f>IFERROR(__xludf.DUMMYFUNCTION("""COMPUTED_VALUE"""),0.8092719669464062)</f>
        <v>0.8092719669</v>
      </c>
      <c r="AA713" s="30">
        <f>IFERROR(__xludf.DUMMYFUNCTION("""COMPUTED_VALUE"""),0.541560690994806)</f>
        <v>0.541560691</v>
      </c>
      <c r="AB713" s="30">
        <f>IFERROR(__xludf.DUMMYFUNCTION("""COMPUTED_VALUE"""),1.1872133559678981)</f>
        <v>1.187213356</v>
      </c>
      <c r="AC713" s="30">
        <f>IFERROR(__xludf.DUMMYFUNCTION("""COMPUTED_VALUE"""),2.538552001890979)</f>
        <v>2.538552002</v>
      </c>
      <c r="AD713" s="30">
        <f>IFERROR(__xludf.DUMMYFUNCTION("""COMPUTED_VALUE"""),1.1496454110285927)</f>
        <v>1.149645411</v>
      </c>
      <c r="AE713" s="30">
        <f>IFERROR(__xludf.DUMMYFUNCTION("""COMPUTED_VALUE"""),1.710939512510113)</f>
        <v>1.710939513</v>
      </c>
      <c r="AF713" s="30">
        <f>IFERROR(__xludf.DUMMYFUNCTION("""COMPUTED_VALUE"""),0.47346541333945447)</f>
        <v>0.4734654133</v>
      </c>
      <c r="AG713" s="30">
        <f>IFERROR(__xludf.DUMMYFUNCTION("""COMPUTED_VALUE"""),0.820710927367061)</f>
        <v>0.8207109274</v>
      </c>
      <c r="AH713" s="30">
        <f>IFERROR(__xludf.DUMMYFUNCTION("""COMPUTED_VALUE"""),1.2322793174514108)</f>
        <v>1.232279317</v>
      </c>
      <c r="AI713" s="30">
        <f>IFERROR(__xludf.DUMMYFUNCTION("""COMPUTED_VALUE"""),0.9593161601421017)</f>
        <v>0.9593161601</v>
      </c>
      <c r="AJ713" s="30">
        <f>IFERROR(__xludf.DUMMYFUNCTION("""COMPUTED_VALUE"""),1.04625755820865)</f>
        <v>1.046257558</v>
      </c>
      <c r="AK713" s="30">
        <f>IFERROR(__xludf.DUMMYFUNCTION("""COMPUTED_VALUE"""),1.0565588176360923)</f>
        <v>1.056558818</v>
      </c>
      <c r="AL713" s="30">
        <f>IFERROR(__xludf.DUMMYFUNCTION("""COMPUTED_VALUE"""),0.7308698404967112)</f>
        <v>0.7308698405</v>
      </c>
      <c r="AM713" s="30">
        <f>IFERROR(__xludf.DUMMYFUNCTION("""COMPUTED_VALUE"""),1.0616705919426623)</f>
        <v>1.061670592</v>
      </c>
      <c r="AN713" s="30">
        <f>IFERROR(__xludf.DUMMYFUNCTION("""COMPUTED_VALUE"""),1.2119882695032904)</f>
        <v>1.21198827</v>
      </c>
      <c r="AO713" s="30">
        <f>IFERROR(__xludf.DUMMYFUNCTION("""COMPUTED_VALUE"""),1.8866381995536963)</f>
        <v>1.8866382</v>
      </c>
      <c r="AP713" s="30">
        <f>IFERROR(__xludf.DUMMYFUNCTION("""COMPUTED_VALUE"""),0.5129084904036899)</f>
        <v>0.5129084904</v>
      </c>
      <c r="AQ713" s="30">
        <f>IFERROR(__xludf.DUMMYFUNCTION("""COMPUTED_VALUE"""),0.8368823079739439)</f>
        <v>0.836882308</v>
      </c>
      <c r="AR713" s="30">
        <f>IFERROR(__xludf.DUMMYFUNCTION("""COMPUTED_VALUE"""),1.3516909483516633)</f>
        <v>1.351690948</v>
      </c>
      <c r="AS713" s="30">
        <f>IFERROR(__xludf.DUMMYFUNCTION("""COMPUTED_VALUE"""),102.0)</f>
        <v>102</v>
      </c>
      <c r="AT713" s="30">
        <f>IFERROR(__xludf.DUMMYFUNCTION("""COMPUTED_VALUE"""),0.549280616533966)</f>
        <v>0.5492806165</v>
      </c>
      <c r="AU713" s="30">
        <f>IFERROR(__xludf.DUMMYFUNCTION("""COMPUTED_VALUE"""),3.4030530850424654)</f>
        <v>3.403053085</v>
      </c>
      <c r="AV713" s="32">
        <f>IFERROR(__xludf.DUMMYFUNCTION("""COMPUTED_VALUE"""),84.89389290947814)</f>
        <v>84.89389291</v>
      </c>
      <c r="AW713" s="32">
        <f>IFERROR(__xludf.DUMMYFUNCTION("""COMPUTED_VALUE"""),12.28591260998637)</f>
        <v>12.28591261</v>
      </c>
      <c r="AX713" s="32">
        <f>IFERROR(__xludf.DUMMYFUNCTION("""COMPUTED_VALUE"""),65.7984248647309)</f>
        <v>65.79842486</v>
      </c>
      <c r="AY713" s="32">
        <f>IFERROR(__xludf.DUMMYFUNCTION("""COMPUTED_VALUE"""),3.791986425941623)</f>
        <v>3.791986426</v>
      </c>
      <c r="AZ713" s="30">
        <f>IFERROR(__xludf.DUMMYFUNCTION("""COMPUTED_VALUE"""),8.493926184044748)</f>
        <v>8.493926184</v>
      </c>
      <c r="BA713" s="30">
        <f>IFERROR(__xludf.DUMMYFUNCTION("""COMPUTED_VALUE"""),2700.0)</f>
        <v>2700</v>
      </c>
    </row>
    <row r="714">
      <c r="A714" s="71" t="str">
        <f>IFERROR(__xludf.DUMMYFUNCTION("""COMPUTED_VALUE"""),"Prospect")</f>
        <v>Prospect</v>
      </c>
      <c r="B714" s="71" t="str">
        <f>IFERROR(__xludf.DUMMYFUNCTION("""COMPUTED_VALUE"""),"RSC007929")</f>
        <v>RSC007929</v>
      </c>
      <c r="C714" s="30" t="str">
        <f>IFERROR(__xludf.DUMMYFUNCTION("""COMPUTED_VALUE"""),"Leaux Mane")</f>
        <v>Leaux Mane</v>
      </c>
      <c r="D714" s="30" t="str">
        <f>IFERROR(__xludf.DUMMYFUNCTION("""COMPUTED_VALUE"""),"Blacktips")</f>
        <v>Blacktips</v>
      </c>
      <c r="E714" s="30">
        <f>IFERROR(__xludf.DUMMYFUNCTION("""COMPUTED_VALUE"""),4.0)</f>
        <v>4</v>
      </c>
      <c r="F714" s="30">
        <f>IFERROR(__xludf.DUMMYFUNCTION("""COMPUTED_VALUE"""),0.0)</f>
        <v>0</v>
      </c>
      <c r="G714" s="42">
        <f>IFERROR(__xludf.DUMMYFUNCTION("""COMPUTED_VALUE"""),4.0)</f>
        <v>4</v>
      </c>
      <c r="H714" s="42">
        <f>IFERROR(__xludf.DUMMYFUNCTION("""COMPUTED_VALUE"""),0.0)</f>
        <v>0</v>
      </c>
      <c r="I714" s="42">
        <f>IFERROR(__xludf.DUMMYFUNCTION("""COMPUTED_VALUE"""),0.4)</f>
        <v>0.4</v>
      </c>
      <c r="J714" s="30">
        <f>IFERROR(__xludf.DUMMYFUNCTION("""COMPUTED_VALUE"""),281.75)</f>
        <v>281.75</v>
      </c>
      <c r="K714" s="30">
        <f>IFERROR(__xludf.DUMMYFUNCTION("""COMPUTED_VALUE"""),0.5)</f>
        <v>0.5</v>
      </c>
      <c r="L714" s="30">
        <f>IFERROR(__xludf.DUMMYFUNCTION("""COMPUTED_VALUE"""),0.25)</f>
        <v>0.25</v>
      </c>
      <c r="M714" s="30">
        <f>IFERROR(__xludf.DUMMYFUNCTION("""COMPUTED_VALUE"""),1.5)</f>
        <v>1.5</v>
      </c>
      <c r="N714" s="30">
        <f>IFERROR(__xludf.DUMMYFUNCTION("""COMPUTED_VALUE"""),1.25)</f>
        <v>1.25</v>
      </c>
      <c r="O714" s="30">
        <f>IFERROR(__xludf.DUMMYFUNCTION("""COMPUTED_VALUE"""),367.9166666666667)</f>
        <v>367.9166667</v>
      </c>
      <c r="P714" s="30">
        <f>IFERROR(__xludf.DUMMYFUNCTION("""COMPUTED_VALUE"""),1.0833333333333333)</f>
        <v>1.083333333</v>
      </c>
      <c r="Q714" s="30">
        <f>IFERROR(__xludf.DUMMYFUNCTION("""COMPUTED_VALUE"""),0.9166666666666666)</f>
        <v>0.9166666667</v>
      </c>
      <c r="R714" s="30">
        <f>IFERROR(__xludf.DUMMYFUNCTION("""COMPUTED_VALUE"""),0.5833333333333334)</f>
        <v>0.5833333333</v>
      </c>
      <c r="S714" s="30">
        <f>IFERROR(__xludf.DUMMYFUNCTION("""COMPUTED_VALUE"""),3.25)</f>
        <v>3.25</v>
      </c>
      <c r="T714" s="30">
        <f>IFERROR(__xludf.DUMMYFUNCTION("""COMPUTED_VALUE"""),347.0992265795207)</f>
        <v>347.0992266</v>
      </c>
      <c r="U714" s="30">
        <f>IFERROR(__xludf.DUMMYFUNCTION("""COMPUTED_VALUE"""),0.8192810457516341)</f>
        <v>0.8192810458</v>
      </c>
      <c r="V714" s="30">
        <f>IFERROR(__xludf.DUMMYFUNCTION("""COMPUTED_VALUE"""),0.608289760348584)</f>
        <v>0.6082897603</v>
      </c>
      <c r="W714" s="30">
        <f>IFERROR(__xludf.DUMMYFUNCTION("""COMPUTED_VALUE"""),1.2864161220043573)</f>
        <v>1.286416122</v>
      </c>
      <c r="X714" s="30">
        <f>IFERROR(__xludf.DUMMYFUNCTION("""COMPUTED_VALUE"""),2.4637581699346405)</f>
        <v>2.46375817</v>
      </c>
      <c r="Y714" s="30">
        <f>IFERROR(__xludf.DUMMYFUNCTION("""COMPUTED_VALUE"""),335.0790777051562)</f>
        <v>335.0790777</v>
      </c>
      <c r="Z714" s="30">
        <f>IFERROR(__xludf.DUMMYFUNCTION("""COMPUTED_VALUE"""),0.7039941902687)</f>
        <v>0.7039941903</v>
      </c>
      <c r="AA714" s="30">
        <f>IFERROR(__xludf.DUMMYFUNCTION("""COMPUTED_VALUE"""),0.4963144517066085)</f>
        <v>0.4963144517</v>
      </c>
      <c r="AB714" s="30">
        <f>IFERROR(__xludf.DUMMYFUNCTION("""COMPUTED_VALUE"""),1.2914996368917937)</f>
        <v>1.291499637</v>
      </c>
      <c r="AC714" s="30">
        <f>IFERROR(__xludf.DUMMYFUNCTION("""COMPUTED_VALUE"""),2.320882352941177)</f>
        <v>2.320882353</v>
      </c>
      <c r="AD714" s="30">
        <f>IFERROR(__xludf.DUMMYFUNCTION("""COMPUTED_VALUE"""),0.8408462919547556)</f>
        <v>0.840846292</v>
      </c>
      <c r="AE714" s="30">
        <f>IFERROR(__xludf.DUMMYFUNCTION("""COMPUTED_VALUE"""),0.7102331338972561)</f>
        <v>0.7102331339</v>
      </c>
      <c r="AF714" s="30">
        <f>IFERROR(__xludf.DUMMYFUNCTION("""COMPUTED_VALUE"""),0.5037129165599737)</f>
        <v>0.5037129166</v>
      </c>
      <c r="AG714" s="30">
        <f>IFERROR(__xludf.DUMMYFUNCTION("""COMPUTED_VALUE"""),1.1614405123721108)</f>
        <v>1.161440512</v>
      </c>
      <c r="AH714" s="30">
        <f>IFERROR(__xludf.DUMMYFUNCTION("""COMPUTED_VALUE"""),0.538588265112153)</f>
        <v>0.5385882651</v>
      </c>
      <c r="AI714" s="30">
        <f>IFERROR(__xludf.DUMMYFUNCTION("""COMPUTED_VALUE"""),1.0599754724096935)</f>
        <v>1.059975472</v>
      </c>
      <c r="AJ714" s="30">
        <f>IFERROR(__xludf.DUMMYFUNCTION("""COMPUTED_VALUE"""),1.3222975668129235)</f>
        <v>1.322297567</v>
      </c>
      <c r="AK714" s="30">
        <f>IFERROR(__xludf.DUMMYFUNCTION("""COMPUTED_VALUE"""),1.5069572536308444)</f>
        <v>1.506957254</v>
      </c>
      <c r="AL714" s="30">
        <f>IFERROR(__xludf.DUMMYFUNCTION("""COMPUTED_VALUE"""),0.45345617437104657)</f>
        <v>0.4534561744</v>
      </c>
      <c r="AM714" s="30">
        <f>IFERROR(__xludf.DUMMYFUNCTION("""COMPUTED_VALUE"""),1.3191229722380655)</f>
        <v>1.319122972</v>
      </c>
      <c r="AN714" s="30">
        <f>IFERROR(__xludf.DUMMYFUNCTION("""COMPUTED_VALUE"""),0.8762751745209588)</f>
        <v>0.8762751745</v>
      </c>
      <c r="AO714" s="30">
        <f>IFERROR(__xludf.DUMMYFUNCTION("""COMPUTED_VALUE"""),0.6812860165055015)</f>
        <v>0.6812860165</v>
      </c>
      <c r="AP714" s="30">
        <f>IFERROR(__xludf.DUMMYFUNCTION("""COMPUTED_VALUE"""),0.5000857781435977)</f>
        <v>0.5000857781</v>
      </c>
      <c r="AQ714" s="30">
        <f>IFERROR(__xludf.DUMMYFUNCTION("""COMPUTED_VALUE"""),1.2883582899072559)</f>
        <v>1.28835829</v>
      </c>
      <c r="AR714" s="30">
        <f>IFERROR(__xludf.DUMMYFUNCTION("""COMPUTED_VALUE"""),0.5401224076405212)</f>
        <v>0.5401224076</v>
      </c>
      <c r="AS714" s="30">
        <f>IFERROR(__xludf.DUMMYFUNCTION("""COMPUTED_VALUE"""),7.0)</f>
        <v>7</v>
      </c>
      <c r="AT714" s="30">
        <f>IFERROR(__xludf.DUMMYFUNCTION("""COMPUTED_VALUE"""),0.2724004993386534)</f>
        <v>0.2724004993</v>
      </c>
      <c r="AU714" s="30">
        <f>IFERROR(__xludf.DUMMYFUNCTION("""COMPUTED_VALUE"""),0.5970006074495056)</f>
        <v>0.5970006074</v>
      </c>
      <c r="AV714" s="32">
        <f>IFERROR(__xludf.DUMMYFUNCTION("""COMPUTED_VALUE"""),8.968419555918722)</f>
        <v>8.968419556</v>
      </c>
      <c r="AW714" s="32">
        <f>IFERROR(__xludf.DUMMYFUNCTION("""COMPUTED_VALUE"""),-19.852537753786628)</f>
        <v>-19.85253775</v>
      </c>
      <c r="AX714" s="32">
        <f>IFERROR(__xludf.DUMMYFUNCTION("""COMPUTED_VALUE"""),15.910983062042448)</f>
        <v>15.91098306</v>
      </c>
      <c r="AY714" s="32">
        <f>IFERROR(__xludf.DUMMYFUNCTION("""COMPUTED_VALUE"""),-11.580381952622492)</f>
        <v>-11.58038195</v>
      </c>
      <c r="AZ714" s="30">
        <f>IFERROR(__xludf.DUMMYFUNCTION("""COMPUTED_VALUE"""),8.272155801164136)</f>
        <v>8.272155801</v>
      </c>
      <c r="BA714" s="30">
        <f>IFERROR(__xludf.DUMMYFUNCTION("""COMPUTED_VALUE"""),2700.0)</f>
        <v>2700</v>
      </c>
    </row>
    <row r="715">
      <c r="A715" s="71" t="str">
        <f>IFERROR(__xludf.DUMMYFUNCTION("""COMPUTED_VALUE"""),"Prospect")</f>
        <v>Prospect</v>
      </c>
      <c r="B715" s="71" t="str">
        <f>IFERROR(__xludf.DUMMYFUNCTION("""COMPUTED_VALUE"""),"RSC006934")</f>
        <v>RSC006934</v>
      </c>
      <c r="C715" s="30" t="str">
        <f>IFERROR(__xludf.DUMMYFUNCTION("""COMPUTED_VALUE"""),"TPM_CheezeTV")</f>
        <v>TPM_CheezeTV</v>
      </c>
      <c r="D715" s="30" t="str">
        <f>IFERROR(__xludf.DUMMYFUNCTION("""COMPUTED_VALUE"""),"Gloom")</f>
        <v>Gloom</v>
      </c>
      <c r="E715" s="30">
        <f>IFERROR(__xludf.DUMMYFUNCTION("""COMPUTED_VALUE"""),13.0)</f>
        <v>13</v>
      </c>
      <c r="F715" s="30">
        <f>IFERROR(__xludf.DUMMYFUNCTION("""COMPUTED_VALUE"""),8.0)</f>
        <v>8</v>
      </c>
      <c r="G715" s="42">
        <f>IFERROR(__xludf.DUMMYFUNCTION("""COMPUTED_VALUE"""),5.0)</f>
        <v>5</v>
      </c>
      <c r="H715" s="42">
        <f>IFERROR(__xludf.DUMMYFUNCTION("""COMPUTED_VALUE"""),0.6153846153846154)</f>
        <v>0.6153846154</v>
      </c>
      <c r="I715" s="42">
        <f>IFERROR(__xludf.DUMMYFUNCTION("""COMPUTED_VALUE"""),0.46153846153846156)</f>
        <v>0.4615384615</v>
      </c>
      <c r="J715" s="30">
        <f>IFERROR(__xludf.DUMMYFUNCTION("""COMPUTED_VALUE"""),312.3076923076923)</f>
        <v>312.3076923</v>
      </c>
      <c r="K715" s="30">
        <f>IFERROR(__xludf.DUMMYFUNCTION("""COMPUTED_VALUE"""),0.9230769230769231)</f>
        <v>0.9230769231</v>
      </c>
      <c r="L715" s="30">
        <f>IFERROR(__xludf.DUMMYFUNCTION("""COMPUTED_VALUE"""),0.23076923076923078)</f>
        <v>0.2307692308</v>
      </c>
      <c r="M715" s="30">
        <f>IFERROR(__xludf.DUMMYFUNCTION("""COMPUTED_VALUE"""),1.0769230769230769)</f>
        <v>1.076923077</v>
      </c>
      <c r="N715" s="30">
        <f>IFERROR(__xludf.DUMMYFUNCTION("""COMPUTED_VALUE"""),2.0)</f>
        <v>2</v>
      </c>
      <c r="O715" s="30">
        <f>IFERROR(__xludf.DUMMYFUNCTION("""COMPUTED_VALUE"""),316.1794871794872)</f>
        <v>316.1794872</v>
      </c>
      <c r="P715" s="30">
        <f>IFERROR(__xludf.DUMMYFUNCTION("""COMPUTED_VALUE"""),0.6923076923076923)</f>
        <v>0.6923076923</v>
      </c>
      <c r="Q715" s="30">
        <f>IFERROR(__xludf.DUMMYFUNCTION("""COMPUTED_VALUE"""),0.41025641025641024)</f>
        <v>0.4102564103</v>
      </c>
      <c r="R715" s="30">
        <f>IFERROR(__xludf.DUMMYFUNCTION("""COMPUTED_VALUE"""),1.2564102564102564)</f>
        <v>1.256410256</v>
      </c>
      <c r="S715" s="30">
        <f>IFERROR(__xludf.DUMMYFUNCTION("""COMPUTED_VALUE"""),2.6153846153846154)</f>
        <v>2.615384615</v>
      </c>
      <c r="T715" s="30">
        <f>IFERROR(__xludf.DUMMYFUNCTION("""COMPUTED_VALUE"""),343.7712284906622)</f>
        <v>343.7712285</v>
      </c>
      <c r="U715" s="30">
        <f>IFERROR(__xludf.DUMMYFUNCTION("""COMPUTED_VALUE"""),0.8393996750832863)</f>
        <v>0.8393996751</v>
      </c>
      <c r="V715" s="30">
        <f>IFERROR(__xludf.DUMMYFUNCTION("""COMPUTED_VALUE"""),0.5172974257432539)</f>
        <v>0.5172974257</v>
      </c>
      <c r="W715" s="30">
        <f>IFERROR(__xludf.DUMMYFUNCTION("""COMPUTED_VALUE"""),1.2570297625683702)</f>
        <v>1.257029763</v>
      </c>
      <c r="X715" s="30">
        <f>IFERROR(__xludf.DUMMYFUNCTION("""COMPUTED_VALUE"""),2.570123775335308)</f>
        <v>2.570123775</v>
      </c>
      <c r="Y715" s="30">
        <f>IFERROR(__xludf.DUMMYFUNCTION("""COMPUTED_VALUE"""),330.6455752592575)</f>
        <v>330.6455753</v>
      </c>
      <c r="Z715" s="30">
        <f>IFERROR(__xludf.DUMMYFUNCTION("""COMPUTED_VALUE"""),0.7423214694106126)</f>
        <v>0.7423214694</v>
      </c>
      <c r="AA715" s="30">
        <f>IFERROR(__xludf.DUMMYFUNCTION("""COMPUTED_VALUE"""),0.4745603259363576)</f>
        <v>0.4745603259</v>
      </c>
      <c r="AB715" s="30">
        <f>IFERROR(__xludf.DUMMYFUNCTION("""COMPUTED_VALUE"""),1.2534722958503837)</f>
        <v>1.253472296</v>
      </c>
      <c r="AC715" s="30">
        <f>IFERROR(__xludf.DUMMYFUNCTION("""COMPUTED_VALUE"""),2.4158174257759155)</f>
        <v>2.415817426</v>
      </c>
      <c r="AD715" s="30">
        <f>IFERROR(__xludf.DUMMYFUNCTION("""COMPUTED_VALUE"""),0.9445391551446393)</f>
        <v>0.9445391551</v>
      </c>
      <c r="AE715" s="30">
        <f>IFERROR(__xludf.DUMMYFUNCTION("""COMPUTED_VALUE"""),1.2435002369119492)</f>
        <v>1.243500237</v>
      </c>
      <c r="AF715" s="30">
        <f>IFERROR(__xludf.DUMMYFUNCTION("""COMPUTED_VALUE"""),0.48628007474897683)</f>
        <v>0.4862800747</v>
      </c>
      <c r="AG715" s="30">
        <f>IFERROR(__xludf.DUMMYFUNCTION("""COMPUTED_VALUE"""),0.8591518779379708)</f>
        <v>0.8591518779</v>
      </c>
      <c r="AH715" s="30">
        <f>IFERROR(__xludf.DUMMYFUNCTION("""COMPUTED_VALUE"""),0.8278771312189029)</f>
        <v>0.8278771312</v>
      </c>
      <c r="AI715" s="30">
        <f>IFERROR(__xludf.DUMMYFUNCTION("""COMPUTED_VALUE"""),0.9197380728098817)</f>
        <v>0.9197380728</v>
      </c>
      <c r="AJ715" s="30">
        <f>IFERROR(__xludf.DUMMYFUNCTION("""COMPUTED_VALUE"""),0.8247652612434008)</f>
        <v>0.8247652612</v>
      </c>
      <c r="AK715" s="30">
        <f>IFERROR(__xludf.DUMMYFUNCTION("""COMPUTED_VALUE"""),0.7930764582231452)</f>
        <v>0.7930764582</v>
      </c>
      <c r="AL715" s="30">
        <f>IFERROR(__xludf.DUMMYFUNCTION("""COMPUTED_VALUE"""),0.9995071666745201)</f>
        <v>0.9995071667</v>
      </c>
      <c r="AM715" s="30">
        <f>IFERROR(__xludf.DUMMYFUNCTION("""COMPUTED_VALUE"""),1.017610373665137)</f>
        <v>1.017610374</v>
      </c>
      <c r="AN715" s="30">
        <f>IFERROR(__xludf.DUMMYFUNCTION("""COMPUTED_VALUE"""),0.9713131413705802)</f>
        <v>0.9713131414</v>
      </c>
      <c r="AO715" s="30">
        <f>IFERROR(__xludf.DUMMYFUNCTION("""COMPUTED_VALUE"""),1.2577587997024642)</f>
        <v>1.2577588</v>
      </c>
      <c r="AP715" s="30">
        <f>IFERROR(__xludf.DUMMYFUNCTION("""COMPUTED_VALUE"""),0.46161764136332095)</f>
        <v>0.4616176414</v>
      </c>
      <c r="AQ715" s="30">
        <f>IFERROR(__xludf.DUMMYFUNCTION("""COMPUTED_VALUE"""),0.9249751824975169)</f>
        <v>0.9249751825</v>
      </c>
      <c r="AR715" s="30">
        <f>IFERROR(__xludf.DUMMYFUNCTION("""COMPUTED_VALUE"""),0.8641958522248339)</f>
        <v>0.8641958522</v>
      </c>
      <c r="AS715" s="30">
        <f>IFERROR(__xludf.DUMMYFUNCTION("""COMPUTED_VALUE"""),30.0)</f>
        <v>30</v>
      </c>
      <c r="AT715" s="30">
        <f>IFERROR(__xludf.DUMMYFUNCTION("""COMPUTED_VALUE"""),0.5401712336707952)</f>
        <v>0.5401712337</v>
      </c>
      <c r="AU715" s="30">
        <f>IFERROR(__xludf.DUMMYFUNCTION("""COMPUTED_VALUE"""),2.2516344135356596)</f>
        <v>2.251634414</v>
      </c>
      <c r="AV715" s="32">
        <f>IFERROR(__xludf.DUMMYFUNCTION("""COMPUTED_VALUE"""),53.739091507733995)</f>
        <v>53.73909151</v>
      </c>
      <c r="AW715" s="32">
        <f>IFERROR(__xludf.DUMMYFUNCTION("""COMPUTED_VALUE"""),2.269867032642601)</f>
        <v>2.269867033</v>
      </c>
      <c r="AX715" s="32">
        <f>IFERROR(__xludf.DUMMYFUNCTION("""COMPUTED_VALUE"""),27.97681278030232)</f>
        <v>27.97681278</v>
      </c>
      <c r="AY715" s="32">
        <f>IFERROR(__xludf.DUMMYFUNCTION("""COMPUTED_VALUE"""),-5.286011995115067)</f>
        <v>-5.286011995</v>
      </c>
      <c r="AZ715" s="30">
        <f>IFERROR(__xludf.DUMMYFUNCTION("""COMPUTED_VALUE"""),7.555879027757668)</f>
        <v>7.555879028</v>
      </c>
      <c r="BA715" s="30">
        <f>IFERROR(__xludf.DUMMYFUNCTION("""COMPUTED_VALUE"""),2700.0)</f>
        <v>2700</v>
      </c>
    </row>
    <row r="716">
      <c r="A716" s="71" t="str">
        <f>IFERROR(__xludf.DUMMYFUNCTION("""COMPUTED_VALUE"""),"Prospect")</f>
        <v>Prospect</v>
      </c>
      <c r="B716" s="71" t="str">
        <f>IFERROR(__xludf.DUMMYFUNCTION("""COMPUTED_VALUE"""),"RSC006793")</f>
        <v>RSC006793</v>
      </c>
      <c r="C716" s="30" t="str">
        <f>IFERROR(__xludf.DUMMYFUNCTION("""COMPUTED_VALUE"""),"Yogibear8003")</f>
        <v>Yogibear8003</v>
      </c>
      <c r="D716" s="30"/>
      <c r="E716" s="30">
        <f>IFERROR(__xludf.DUMMYFUNCTION("""COMPUTED_VALUE"""),5.0)</f>
        <v>5</v>
      </c>
      <c r="F716" s="30">
        <f>IFERROR(__xludf.DUMMYFUNCTION("""COMPUTED_VALUE"""),0.0)</f>
        <v>0</v>
      </c>
      <c r="G716" s="42">
        <f>IFERROR(__xludf.DUMMYFUNCTION("""COMPUTED_VALUE"""),5.0)</f>
        <v>5</v>
      </c>
      <c r="H716" s="42">
        <f>IFERROR(__xludf.DUMMYFUNCTION("""COMPUTED_VALUE"""),0.0)</f>
        <v>0</v>
      </c>
      <c r="I716" s="42">
        <f>IFERROR(__xludf.DUMMYFUNCTION("""COMPUTED_VALUE"""),0.22222222222222224)</f>
        <v>0.2222222222</v>
      </c>
      <c r="J716" s="30">
        <f>IFERROR(__xludf.DUMMYFUNCTION("""COMPUTED_VALUE"""),320.2)</f>
        <v>320.2</v>
      </c>
      <c r="K716" s="30">
        <f>IFERROR(__xludf.DUMMYFUNCTION("""COMPUTED_VALUE"""),0.4)</f>
        <v>0.4</v>
      </c>
      <c r="L716" s="30">
        <f>IFERROR(__xludf.DUMMYFUNCTION("""COMPUTED_VALUE"""),0.6)</f>
        <v>0.6</v>
      </c>
      <c r="M716" s="30">
        <f>IFERROR(__xludf.DUMMYFUNCTION("""COMPUTED_VALUE"""),1.4)</f>
        <v>1.4</v>
      </c>
      <c r="N716" s="30">
        <f>IFERROR(__xludf.DUMMYFUNCTION("""COMPUTED_VALUE"""),1.8)</f>
        <v>1.8</v>
      </c>
      <c r="O716" s="30">
        <f>IFERROR(__xludf.DUMMYFUNCTION("""COMPUTED_VALUE"""),372.5333333333333)</f>
        <v>372.5333333</v>
      </c>
      <c r="P716" s="30">
        <f>IFERROR(__xludf.DUMMYFUNCTION("""COMPUTED_VALUE"""),1.0666666666666667)</f>
        <v>1.066666667</v>
      </c>
      <c r="Q716" s="30">
        <f>IFERROR(__xludf.DUMMYFUNCTION("""COMPUTED_VALUE"""),0.6666666666666667)</f>
        <v>0.6666666667</v>
      </c>
      <c r="R716" s="30">
        <f>IFERROR(__xludf.DUMMYFUNCTION("""COMPUTED_VALUE"""),1.3333333333333335)</f>
        <v>1.333333333</v>
      </c>
      <c r="S716" s="30">
        <f>IFERROR(__xludf.DUMMYFUNCTION("""COMPUTED_VALUE"""),2.4666666666666663)</f>
        <v>2.466666667</v>
      </c>
      <c r="T716" s="30">
        <f>IFERROR(__xludf.DUMMYFUNCTION("""COMPUTED_VALUE"""),343.70758726533876)</f>
        <v>343.7075873</v>
      </c>
      <c r="U716" s="30">
        <f>IFERROR(__xludf.DUMMYFUNCTION("""COMPUTED_VALUE"""),0.9143552081998092)</f>
        <v>0.9143552082</v>
      </c>
      <c r="V716" s="30">
        <f>IFERROR(__xludf.DUMMYFUNCTION("""COMPUTED_VALUE"""),0.5180283954041732)</f>
        <v>0.5180283954</v>
      </c>
      <c r="W716" s="30">
        <f>IFERROR(__xludf.DUMMYFUNCTION("""COMPUTED_VALUE"""),1.2000525954317711)</f>
        <v>1.200052595</v>
      </c>
      <c r="X716" s="30">
        <f>IFERROR(__xludf.DUMMYFUNCTION("""COMPUTED_VALUE"""),2.530658439294698)</f>
        <v>2.530658439</v>
      </c>
      <c r="Y716" s="30">
        <f>IFERROR(__xludf.DUMMYFUNCTION("""COMPUTED_VALUE"""),317.7523145886262)</f>
        <v>317.7523146</v>
      </c>
      <c r="Z716" s="30">
        <f>IFERROR(__xludf.DUMMYFUNCTION("""COMPUTED_VALUE"""),0.6721222132680695)</f>
        <v>0.6721222133</v>
      </c>
      <c r="AA716" s="30">
        <f>IFERROR(__xludf.DUMMYFUNCTION("""COMPUTED_VALUE"""),0.4817902071222754)</f>
        <v>0.4817902071</v>
      </c>
      <c r="AB716" s="30">
        <f>IFERROR(__xludf.DUMMYFUNCTION("""COMPUTED_VALUE"""),1.1322773897839542)</f>
        <v>1.13227739</v>
      </c>
      <c r="AC716" s="30">
        <f>IFERROR(__xludf.DUMMYFUNCTION("""COMPUTED_VALUE"""),2.350940113062813)</f>
        <v>2.350940113</v>
      </c>
      <c r="AD716" s="30">
        <f>IFERROR(__xludf.DUMMYFUNCTION("""COMPUTED_VALUE"""),1.0077031237822538)</f>
        <v>1.007703124</v>
      </c>
      <c r="AE716" s="30">
        <f>IFERROR(__xludf.DUMMYFUNCTION("""COMPUTED_VALUE"""),0.5951298619563163)</f>
        <v>0.595129862</v>
      </c>
      <c r="AF716" s="30">
        <f>IFERROR(__xludf.DUMMYFUNCTION("""COMPUTED_VALUE"""),1.2453553250569156)</f>
        <v>1.245355325</v>
      </c>
      <c r="AG716" s="30">
        <f>IFERROR(__xludf.DUMMYFUNCTION("""COMPUTED_VALUE"""),1.2364461329278411)</f>
        <v>1.236446133</v>
      </c>
      <c r="AH716" s="30">
        <f>IFERROR(__xludf.DUMMYFUNCTION("""COMPUTED_VALUE"""),0.7656511495118239)</f>
        <v>0.7656511495</v>
      </c>
      <c r="AI716" s="30">
        <f>IFERROR(__xludf.DUMMYFUNCTION("""COMPUTED_VALUE"""),1.0838670635622056)</f>
        <v>1.083867064</v>
      </c>
      <c r="AJ716" s="30">
        <f>IFERROR(__xludf.DUMMYFUNCTION("""COMPUTED_VALUE"""),1.1665779962764466)</f>
        <v>1.166577996</v>
      </c>
      <c r="AK716" s="30">
        <f>IFERROR(__xludf.DUMMYFUNCTION("""COMPUTED_VALUE"""),1.2869307408265214)</f>
        <v>1.286930741</v>
      </c>
      <c r="AL716" s="30">
        <f>IFERROR(__xludf.DUMMYFUNCTION("""COMPUTED_VALUE"""),1.1110624137716305)</f>
        <v>1.111062414</v>
      </c>
      <c r="AM716" s="30">
        <f>IFERROR(__xludf.DUMMYFUNCTION("""COMPUTED_VALUE"""),0.9747133901460577)</f>
        <v>0.9747133901</v>
      </c>
      <c r="AN716" s="30">
        <f>IFERROR(__xludf.DUMMYFUNCTION("""COMPUTED_VALUE"""),0.9958591335638367)</f>
        <v>0.9958591336</v>
      </c>
      <c r="AO716" s="30">
        <f>IFERROR(__xludf.DUMMYFUNCTION("""COMPUTED_VALUE"""),0.5450288132044012)</f>
        <v>0.5450288132</v>
      </c>
      <c r="AP716" s="30">
        <f>IFERROR(__xludf.DUMMYFUNCTION("""COMPUTED_VALUE"""),1.2002058675446343)</f>
        <v>1.200205868</v>
      </c>
      <c r="AQ716" s="30">
        <f>IFERROR(__xludf.DUMMYFUNCTION("""COMPUTED_VALUE"""),1.202467737246772)</f>
        <v>1.202467737</v>
      </c>
      <c r="AR716" s="30">
        <f>IFERROR(__xludf.DUMMYFUNCTION("""COMPUTED_VALUE"""),0.7777762670023506)</f>
        <v>0.777776267</v>
      </c>
      <c r="AS716" s="30">
        <f>IFERROR(__xludf.DUMMYFUNCTION("""COMPUTED_VALUE"""),6.0)</f>
        <v>6</v>
      </c>
      <c r="AT716" s="30">
        <f>IFERROR(__xludf.DUMMYFUNCTION("""COMPUTED_VALUE"""),0.18233636921178786)</f>
        <v>0.1823363692</v>
      </c>
      <c r="AU716" s="30">
        <f>IFERROR(__xludf.DUMMYFUNCTION("""COMPUTED_VALUE"""),1.3819454874846415)</f>
        <v>1.381945487</v>
      </c>
      <c r="AV716" s="32">
        <f>IFERROR(__xludf.DUMMYFUNCTION("""COMPUTED_VALUE"""),30.20726382166936)</f>
        <v>30.20726382</v>
      </c>
      <c r="AW716" s="32">
        <f>IFERROR(__xludf.DUMMYFUNCTION("""COMPUTED_VALUE"""),-4.667116595433466)</f>
        <v>-4.667116595</v>
      </c>
      <c r="AX716" s="32">
        <f>IFERROR(__xludf.DUMMYFUNCTION("""COMPUTED_VALUE"""),51.88142731136972)</f>
        <v>51.88142731</v>
      </c>
      <c r="AY716" s="32">
        <f>IFERROR(__xludf.DUMMYFUNCTION("""COMPUTED_VALUE"""),2.1276365781434463)</f>
        <v>2.127636578</v>
      </c>
      <c r="AZ716" s="30">
        <f>IFERROR(__xludf.DUMMYFUNCTION("""COMPUTED_VALUE"""),6.794753173576913)</f>
        <v>6.794753174</v>
      </c>
      <c r="BA716" s="30">
        <f>IFERROR(__xludf.DUMMYFUNCTION("""COMPUTED_VALUE"""),2700.0)</f>
        <v>2700</v>
      </c>
    </row>
    <row r="717">
      <c r="A717" s="71" t="str">
        <f>IFERROR(__xludf.DUMMYFUNCTION("""COMPUTED_VALUE"""),"Prospect")</f>
        <v>Prospect</v>
      </c>
      <c r="B717" s="71" t="str">
        <f>IFERROR(__xludf.DUMMYFUNCTION("""COMPUTED_VALUE"""),"RSC007453")</f>
        <v>RSC007453</v>
      </c>
      <c r="C717" s="30" t="str">
        <f>IFERROR(__xludf.DUMMYFUNCTION("""COMPUTED_VALUE"""),"TheDoy420")</f>
        <v>TheDoy420</v>
      </c>
      <c r="D717" s="30" t="str">
        <f>IFERROR(__xludf.DUMMYFUNCTION("""COMPUTED_VALUE"""),"Emus")</f>
        <v>Emus</v>
      </c>
      <c r="E717" s="30">
        <f>IFERROR(__xludf.DUMMYFUNCTION("""COMPUTED_VALUE"""),45.0)</f>
        <v>45</v>
      </c>
      <c r="F717" s="30">
        <f>IFERROR(__xludf.DUMMYFUNCTION("""COMPUTED_VALUE"""),28.0)</f>
        <v>28</v>
      </c>
      <c r="G717" s="42">
        <f>IFERROR(__xludf.DUMMYFUNCTION("""COMPUTED_VALUE"""),17.0)</f>
        <v>17</v>
      </c>
      <c r="H717" s="42">
        <f>IFERROR(__xludf.DUMMYFUNCTION("""COMPUTED_VALUE"""),0.6222222222222222)</f>
        <v>0.6222222222</v>
      </c>
      <c r="I717" s="42">
        <f>IFERROR(__xludf.DUMMYFUNCTION("""COMPUTED_VALUE"""),0.32608695652173914)</f>
        <v>0.3260869565</v>
      </c>
      <c r="J717" s="30">
        <f>IFERROR(__xludf.DUMMYFUNCTION("""COMPUTED_VALUE"""),399.97777777777776)</f>
        <v>399.9777778</v>
      </c>
      <c r="K717" s="30">
        <f>IFERROR(__xludf.DUMMYFUNCTION("""COMPUTED_VALUE"""),1.0)</f>
        <v>1</v>
      </c>
      <c r="L717" s="30">
        <f>IFERROR(__xludf.DUMMYFUNCTION("""COMPUTED_VALUE"""),0.7111111111111111)</f>
        <v>0.7111111111</v>
      </c>
      <c r="M717" s="30">
        <f>IFERROR(__xludf.DUMMYFUNCTION("""COMPUTED_VALUE"""),1.4222222222222223)</f>
        <v>1.422222222</v>
      </c>
      <c r="N717" s="30">
        <f>IFERROR(__xludf.DUMMYFUNCTION("""COMPUTED_VALUE"""),3.066666666666667)</f>
        <v>3.066666667</v>
      </c>
      <c r="O717" s="30">
        <f>IFERROR(__xludf.DUMMYFUNCTION("""COMPUTED_VALUE"""),329.7481481481481)</f>
        <v>329.7481481</v>
      </c>
      <c r="P717" s="30">
        <f>IFERROR(__xludf.DUMMYFUNCTION("""COMPUTED_VALUE"""),0.6592592592592591)</f>
        <v>0.6592592593</v>
      </c>
      <c r="Q717" s="30">
        <f>IFERROR(__xludf.DUMMYFUNCTION("""COMPUTED_VALUE"""),0.437037037037037)</f>
        <v>0.437037037</v>
      </c>
      <c r="R717" s="30">
        <f>IFERROR(__xludf.DUMMYFUNCTION("""COMPUTED_VALUE"""),1.4518518518518517)</f>
        <v>1.451851852</v>
      </c>
      <c r="S717" s="30">
        <f>IFERROR(__xludf.DUMMYFUNCTION("""COMPUTED_VALUE"""),2.1925925925925935)</f>
        <v>2.192592593</v>
      </c>
      <c r="T717" s="30">
        <f>IFERROR(__xludf.DUMMYFUNCTION("""COMPUTED_VALUE"""),335.6909857155267)</f>
        <v>335.6909857</v>
      </c>
      <c r="U717" s="30">
        <f>IFERROR(__xludf.DUMMYFUNCTION("""COMPUTED_VALUE"""),0.7895512266621734)</f>
        <v>0.7895512267</v>
      </c>
      <c r="V717" s="30">
        <f>IFERROR(__xludf.DUMMYFUNCTION("""COMPUTED_VALUE"""),0.5093997276590461)</f>
        <v>0.5093997277</v>
      </c>
      <c r="W717" s="30">
        <f>IFERROR(__xludf.DUMMYFUNCTION("""COMPUTED_VALUE"""),1.217842016775885)</f>
        <v>1.217842017</v>
      </c>
      <c r="X717" s="30">
        <f>IFERROR(__xludf.DUMMYFUNCTION("""COMPUTED_VALUE"""),2.412097689927149)</f>
        <v>2.41209769</v>
      </c>
      <c r="Y717" s="30">
        <f>IFERROR(__xludf.DUMMYFUNCTION("""COMPUTED_VALUE"""),339.0770113943793)</f>
        <v>339.0770114</v>
      </c>
      <c r="Z717" s="30">
        <f>IFERROR(__xludf.DUMMYFUNCTION("""COMPUTED_VALUE"""),0.8168846405971498)</f>
        <v>0.8168846406</v>
      </c>
      <c r="AA717" s="30">
        <f>IFERROR(__xludf.DUMMYFUNCTION("""COMPUTED_VALUE"""),0.5485437100466313)</f>
        <v>0.54854371</v>
      </c>
      <c r="AB717" s="30">
        <f>IFERROR(__xludf.DUMMYFUNCTION("""COMPUTED_VALUE"""),1.1862715007135454)</f>
        <v>1.186271501</v>
      </c>
      <c r="AC717" s="30">
        <f>IFERROR(__xludf.DUMMYFUNCTION("""COMPUTED_VALUE"""),2.4849003429462795)</f>
        <v>2.484900343</v>
      </c>
      <c r="AD717" s="30">
        <f>IFERROR(__xludf.DUMMYFUNCTION("""COMPUTED_VALUE"""),1.1796074765816693)</f>
        <v>1.179607477</v>
      </c>
      <c r="AE717" s="30">
        <f>IFERROR(__xludf.DUMMYFUNCTION("""COMPUTED_VALUE"""),1.2241630584080896)</f>
        <v>1.224163058</v>
      </c>
      <c r="AF717" s="30">
        <f>IFERROR(__xludf.DUMMYFUNCTION("""COMPUTED_VALUE"""),1.2963617995923427)</f>
        <v>1.2963618</v>
      </c>
      <c r="AG717" s="30">
        <f>IFERROR(__xludf.DUMMYFUNCTION("""COMPUTED_VALUE"""),1.1989011127442175)</f>
        <v>1.198901113</v>
      </c>
      <c r="AH717" s="30">
        <f>IFERROR(__xludf.DUMMYFUNCTION("""COMPUTED_VALUE"""),1.234120585709527)</f>
        <v>1.234120586</v>
      </c>
      <c r="AI717" s="30">
        <f>IFERROR(__xludf.DUMMYFUNCTION("""COMPUTED_VALUE"""),0.9822967019662103)</f>
        <v>0.982296702</v>
      </c>
      <c r="AJ717" s="30">
        <f>IFERROR(__xludf.DUMMYFUNCTION("""COMPUTED_VALUE"""),0.8349797163209747)</f>
        <v>0.8349797163</v>
      </c>
      <c r="AK717" s="30">
        <f>IFERROR(__xludf.DUMMYFUNCTION("""COMPUTED_VALUE"""),0.8579451721449619)</f>
        <v>0.8579451721</v>
      </c>
      <c r="AL717" s="30">
        <f>IFERROR(__xludf.DUMMYFUNCTION("""COMPUTED_VALUE"""),1.1921512247503863)</f>
        <v>1.192151225</v>
      </c>
      <c r="AM717" s="30">
        <f>IFERROR(__xludf.DUMMYFUNCTION("""COMPUTED_VALUE"""),0.9089982556464432)</f>
        <v>0.9089982556</v>
      </c>
      <c r="AN717" s="30">
        <f>IFERROR(__xludf.DUMMYFUNCTION("""COMPUTED_VALUE"""),1.2439772742740993)</f>
        <v>1.243977274</v>
      </c>
      <c r="AO717" s="30">
        <f>IFERROR(__xludf.DUMMYFUNCTION("""COMPUTED_VALUE"""),1.362572033011003)</f>
        <v>1.362572033</v>
      </c>
      <c r="AP717" s="30">
        <f>IFERROR(__xludf.DUMMYFUNCTION("""COMPUTED_VALUE"""),1.4224662133862336)</f>
        <v>1.422466213</v>
      </c>
      <c r="AQ717" s="30">
        <f>IFERROR(__xludf.DUMMYFUNCTION("""COMPUTED_VALUE"""),1.2215545267268797)</f>
        <v>1.221554527</v>
      </c>
      <c r="AR717" s="30">
        <f>IFERROR(__xludf.DUMMYFUNCTION("""COMPUTED_VALUE"""),1.3251003067447453)</f>
        <v>1.325100307</v>
      </c>
      <c r="AS717" s="30">
        <f>IFERROR(__xludf.DUMMYFUNCTION("""COMPUTED_VALUE"""),126.0)</f>
        <v>126</v>
      </c>
      <c r="AT717" s="30">
        <f>IFERROR(__xludf.DUMMYFUNCTION("""COMPUTED_VALUE"""),0.6328809321904973)</f>
        <v>0.6328809322</v>
      </c>
      <c r="AU717" s="30">
        <f>IFERROR(__xludf.DUMMYFUNCTION("""COMPUTED_VALUE"""),3.401748048571868)</f>
        <v>3.401748049</v>
      </c>
      <c r="AV717" s="32">
        <f>IFERROR(__xludf.DUMMYFUNCTION("""COMPUTED_VALUE"""),84.85858155569377)</f>
        <v>84.85858156</v>
      </c>
      <c r="AW717" s="32">
        <f>IFERROR(__xludf.DUMMYFUNCTION("""COMPUTED_VALUE"""),12.253852825511538)</f>
        <v>12.25385283</v>
      </c>
      <c r="AX717" s="32">
        <f>IFERROR(__xludf.DUMMYFUNCTION("""COMPUTED_VALUE"""),73.02290393825785)</f>
        <v>73.02290394</v>
      </c>
      <c r="AY717" s="32">
        <f>IFERROR(__xludf.DUMMYFUNCTION("""COMPUTED_VALUE"""),5.6007630137879625)</f>
        <v>5.600763014</v>
      </c>
      <c r="AZ717" s="30">
        <f>IFERROR(__xludf.DUMMYFUNCTION("""COMPUTED_VALUE"""),6.653089811723576)</f>
        <v>6.653089812</v>
      </c>
      <c r="BA717" s="30">
        <f>IFERROR(__xludf.DUMMYFUNCTION("""COMPUTED_VALUE"""),2700.0)</f>
        <v>2700</v>
      </c>
    </row>
    <row r="718">
      <c r="A718" s="71" t="str">
        <f>IFERROR(__xludf.DUMMYFUNCTION("""COMPUTED_VALUE"""),"Prospect")</f>
        <v>Prospect</v>
      </c>
      <c r="B718" s="71" t="str">
        <f>IFERROR(__xludf.DUMMYFUNCTION("""COMPUTED_VALUE"""),"RSC005561")</f>
        <v>RSC005561</v>
      </c>
      <c r="C718" s="30" t="str">
        <f>IFERROR(__xludf.DUMMYFUNCTION("""COMPUTED_VALUE"""),"Angelofthebronx")</f>
        <v>Angelofthebronx</v>
      </c>
      <c r="D718" s="30" t="str">
        <f>IFERROR(__xludf.DUMMYFUNCTION("""COMPUTED_VALUE"""),"Earth")</f>
        <v>Earth</v>
      </c>
      <c r="E718" s="30">
        <f>IFERROR(__xludf.DUMMYFUNCTION("""COMPUTED_VALUE"""),13.0)</f>
        <v>13</v>
      </c>
      <c r="F718" s="30">
        <f>IFERROR(__xludf.DUMMYFUNCTION("""COMPUTED_VALUE"""),4.0)</f>
        <v>4</v>
      </c>
      <c r="G718" s="42">
        <f>IFERROR(__xludf.DUMMYFUNCTION("""COMPUTED_VALUE"""),9.0)</f>
        <v>9</v>
      </c>
      <c r="H718" s="42">
        <f>IFERROR(__xludf.DUMMYFUNCTION("""COMPUTED_VALUE"""),0.3076923076923077)</f>
        <v>0.3076923077</v>
      </c>
      <c r="I718" s="42">
        <f>IFERROR(__xludf.DUMMYFUNCTION("""COMPUTED_VALUE"""),0.3333333333333333)</f>
        <v>0.3333333333</v>
      </c>
      <c r="J718" s="30">
        <f>IFERROR(__xludf.DUMMYFUNCTION("""COMPUTED_VALUE"""),255.07692307692307)</f>
        <v>255.0769231</v>
      </c>
      <c r="K718" s="30">
        <f>IFERROR(__xludf.DUMMYFUNCTION("""COMPUTED_VALUE"""),0.6153846153846154)</f>
        <v>0.6153846154</v>
      </c>
      <c r="L718" s="30">
        <f>IFERROR(__xludf.DUMMYFUNCTION("""COMPUTED_VALUE"""),0.5384615384615384)</f>
        <v>0.5384615385</v>
      </c>
      <c r="M718" s="30">
        <f>IFERROR(__xludf.DUMMYFUNCTION("""COMPUTED_VALUE"""),0.5384615384615384)</f>
        <v>0.5384615385</v>
      </c>
      <c r="N718" s="30">
        <f>IFERROR(__xludf.DUMMYFUNCTION("""COMPUTED_VALUE"""),1.8461538461538463)</f>
        <v>1.846153846</v>
      </c>
      <c r="O718" s="30">
        <f>IFERROR(__xludf.DUMMYFUNCTION("""COMPUTED_VALUE"""),386.3589743589745)</f>
        <v>386.3589744</v>
      </c>
      <c r="P718" s="30">
        <f>IFERROR(__xludf.DUMMYFUNCTION("""COMPUTED_VALUE"""),0.9999999999999999)</f>
        <v>1</v>
      </c>
      <c r="Q718" s="30">
        <f>IFERROR(__xludf.DUMMYFUNCTION("""COMPUTED_VALUE"""),0.6923076923076924)</f>
        <v>0.6923076923</v>
      </c>
      <c r="R718" s="30">
        <f>IFERROR(__xludf.DUMMYFUNCTION("""COMPUTED_VALUE"""),1.3846153846153846)</f>
        <v>1.384615385</v>
      </c>
      <c r="S718" s="30">
        <f>IFERROR(__xludf.DUMMYFUNCTION("""COMPUTED_VALUE"""),2.6153846153846154)</f>
        <v>2.615384615</v>
      </c>
      <c r="T718" s="30">
        <f>IFERROR(__xludf.DUMMYFUNCTION("""COMPUTED_VALUE"""),343.8779445898192)</f>
        <v>343.8779446</v>
      </c>
      <c r="U718" s="30">
        <f>IFERROR(__xludf.DUMMYFUNCTION("""COMPUTED_VALUE"""),0.8582575079715363)</f>
        <v>0.858257508</v>
      </c>
      <c r="V718" s="30">
        <f>IFERROR(__xludf.DUMMYFUNCTION("""COMPUTED_VALUE"""),0.5419099190891543)</f>
        <v>0.5419099191</v>
      </c>
      <c r="W718" s="30">
        <f>IFERROR(__xludf.DUMMYFUNCTION("""COMPUTED_VALUE"""),1.1710093692607242)</f>
        <v>1.171009369</v>
      </c>
      <c r="X718" s="30">
        <f>IFERROR(__xludf.DUMMYFUNCTION("""COMPUTED_VALUE"""),2.4684209530964116)</f>
        <v>2.468420953</v>
      </c>
      <c r="Y718" s="30">
        <f>IFERROR(__xludf.DUMMYFUNCTION("""COMPUTED_VALUE"""),325.32418485847995)</f>
        <v>325.3241849</v>
      </c>
      <c r="Z718" s="30">
        <f>IFERROR(__xludf.DUMMYFUNCTION("""COMPUTED_VALUE"""),0.7456406880379174)</f>
        <v>0.745640688</v>
      </c>
      <c r="AA718" s="30">
        <f>IFERROR(__xludf.DUMMYFUNCTION("""COMPUTED_VALUE"""),0.5001418197459149)</f>
        <v>0.5001418197</v>
      </c>
      <c r="AB718" s="30">
        <f>IFERROR(__xludf.DUMMYFUNCTION("""COMPUTED_VALUE"""),1.1384162903349262)</f>
        <v>1.13841629</v>
      </c>
      <c r="AC718" s="30">
        <f>IFERROR(__xludf.DUMMYFUNCTION("""COMPUTED_VALUE"""),2.366892087691198)</f>
        <v>2.366892088</v>
      </c>
      <c r="AD718" s="30">
        <f>IFERROR(__xludf.DUMMYFUNCTION("""COMPUTED_VALUE"""),0.7840699675859779)</f>
        <v>0.7840699676</v>
      </c>
      <c r="AE718" s="30">
        <f>IFERROR(__xludf.DUMMYFUNCTION("""COMPUTED_VALUE"""),0.8253098647338325)</f>
        <v>0.8253098647</v>
      </c>
      <c r="AF718" s="30">
        <f>IFERROR(__xludf.DUMMYFUNCTION("""COMPUTED_VALUE"""),1.0766177056241588)</f>
        <v>1.076617706</v>
      </c>
      <c r="AG718" s="30">
        <f>IFERROR(__xludf.DUMMYFUNCTION("""COMPUTED_VALUE"""),0.4729917720196371)</f>
        <v>0.472991772</v>
      </c>
      <c r="AH718" s="30">
        <f>IFERROR(__xludf.DUMMYFUNCTION("""COMPUTED_VALUE"""),0.7799907126119512)</f>
        <v>0.7799907126</v>
      </c>
      <c r="AI718" s="30">
        <f>IFERROR(__xludf.DUMMYFUNCTION("""COMPUTED_VALUE"""),1.1235351974079846)</f>
        <v>1.123535197</v>
      </c>
      <c r="AJ718" s="30">
        <f>IFERROR(__xludf.DUMMYFUNCTION("""COMPUTED_VALUE"""),1.1651514734353647)</f>
        <v>1.165151473</v>
      </c>
      <c r="AK718" s="30">
        <f>IFERROR(__xludf.DUMMYFUNCTION("""COMPUTED_VALUE"""),1.2775327926665887)</f>
        <v>1.277532793</v>
      </c>
      <c r="AL718" s="30">
        <f>IFERROR(__xludf.DUMMYFUNCTION("""COMPUTED_VALUE"""),1.1824118755680948)</f>
        <v>1.182411876</v>
      </c>
      <c r="AM718" s="30">
        <f>IFERROR(__xludf.DUMMYFUNCTION("""COMPUTED_VALUE"""),1.0595375201720967)</f>
        <v>1.05953752</v>
      </c>
      <c r="AN718" s="30">
        <f>IFERROR(__xludf.DUMMYFUNCTION("""COMPUTED_VALUE"""),0.7933188120159714)</f>
        <v>0.793318812</v>
      </c>
      <c r="AO718" s="30">
        <f>IFERROR(__xludf.DUMMYFUNCTION("""COMPUTED_VALUE"""),0.8385058664683095)</f>
        <v>0.8385058665</v>
      </c>
      <c r="AP718" s="30">
        <f>IFERROR(__xludf.DUMMYFUNCTION("""COMPUTED_VALUE"""),1.0771078298477488)</f>
        <v>1.07710783</v>
      </c>
      <c r="AQ718" s="30">
        <f>IFERROR(__xludf.DUMMYFUNCTION("""COMPUTED_VALUE"""),0.46248759124875843)</f>
        <v>0.4624875912</v>
      </c>
      <c r="AR718" s="30">
        <f>IFERROR(__xludf.DUMMYFUNCTION("""COMPUTED_VALUE"""),0.797719248207539)</f>
        <v>0.7977192482</v>
      </c>
      <c r="AS718" s="30">
        <f>IFERROR(__xludf.DUMMYFUNCTION("""COMPUTED_VALUE"""),28.0)</f>
        <v>28</v>
      </c>
      <c r="AT718" s="30">
        <f>IFERROR(__xludf.DUMMYFUNCTION("""COMPUTED_VALUE"""),0.3704023677483531)</f>
        <v>0.3704023677</v>
      </c>
      <c r="AU718" s="30">
        <f>IFERROR(__xludf.DUMMYFUNCTION("""COMPUTED_VALUE"""),1.4586135728365868)</f>
        <v>1.458613573</v>
      </c>
      <c r="AV718" s="32">
        <f>IFERROR(__xludf.DUMMYFUNCTION("""COMPUTED_VALUE"""),32.28172989738968)</f>
        <v>32.2817299</v>
      </c>
      <c r="AW718" s="32">
        <f>IFERROR(__xludf.DUMMYFUNCTION("""COMPUTED_VALUE"""),-4.179802172399103)</f>
        <v>-4.179802172</v>
      </c>
      <c r="AX718" s="32">
        <f>IFERROR(__xludf.DUMMYFUNCTION("""COMPUTED_VALUE"""),17.131403646449037)</f>
        <v>17.13140365</v>
      </c>
      <c r="AY718" s="32">
        <f>IFERROR(__xludf.DUMMYFUNCTION("""COMPUTED_VALUE"""),-10.604678634463854)</f>
        <v>-10.60467863</v>
      </c>
      <c r="AZ718" s="30">
        <f>IFERROR(__xludf.DUMMYFUNCTION("""COMPUTED_VALUE"""),6.424876462064751)</f>
        <v>6.424876462</v>
      </c>
      <c r="BA718" s="30">
        <f>IFERROR(__xludf.DUMMYFUNCTION("""COMPUTED_VALUE"""),2700.0)</f>
        <v>2700</v>
      </c>
    </row>
    <row r="719">
      <c r="A719" s="71" t="str">
        <f>IFERROR(__xludf.DUMMYFUNCTION("""COMPUTED_VALUE"""),"Prospect")</f>
        <v>Prospect</v>
      </c>
      <c r="B719" s="71" t="str">
        <f>IFERROR(__xludf.DUMMYFUNCTION("""COMPUTED_VALUE"""),"RSC006344")</f>
        <v>RSC006344</v>
      </c>
      <c r="C719" s="30" t="str">
        <f>IFERROR(__xludf.DUMMYFUNCTION("""COMPUTED_VALUE"""),"FerrisCrueller")</f>
        <v>FerrisCrueller</v>
      </c>
      <c r="D719" s="30" t="str">
        <f>IFERROR(__xludf.DUMMYFUNCTION("""COMPUTED_VALUE"""),"Poppy")</f>
        <v>Poppy</v>
      </c>
      <c r="E719" s="30">
        <f>IFERROR(__xludf.DUMMYFUNCTION("""COMPUTED_VALUE"""),20.0)</f>
        <v>20</v>
      </c>
      <c r="F719" s="30">
        <f>IFERROR(__xludf.DUMMYFUNCTION("""COMPUTED_VALUE"""),9.0)</f>
        <v>9</v>
      </c>
      <c r="G719" s="42">
        <f>IFERROR(__xludf.DUMMYFUNCTION("""COMPUTED_VALUE"""),11.0)</f>
        <v>11</v>
      </c>
      <c r="H719" s="42">
        <f>IFERROR(__xludf.DUMMYFUNCTION("""COMPUTED_VALUE"""),0.45)</f>
        <v>0.45</v>
      </c>
      <c r="I719" s="42">
        <f>IFERROR(__xludf.DUMMYFUNCTION("""COMPUTED_VALUE"""),0.3695652173913044)</f>
        <v>0.3695652174</v>
      </c>
      <c r="J719" s="30">
        <f>IFERROR(__xludf.DUMMYFUNCTION("""COMPUTED_VALUE"""),331.25)</f>
        <v>331.25</v>
      </c>
      <c r="K719" s="30">
        <f>IFERROR(__xludf.DUMMYFUNCTION("""COMPUTED_VALUE"""),0.85)</f>
        <v>0.85</v>
      </c>
      <c r="L719" s="30">
        <f>IFERROR(__xludf.DUMMYFUNCTION("""COMPUTED_VALUE"""),0.45)</f>
        <v>0.45</v>
      </c>
      <c r="M719" s="30">
        <f>IFERROR(__xludf.DUMMYFUNCTION("""COMPUTED_VALUE"""),1.1)</f>
        <v>1.1</v>
      </c>
      <c r="N719" s="30">
        <f>IFERROR(__xludf.DUMMYFUNCTION("""COMPUTED_VALUE"""),2.3)</f>
        <v>2.3</v>
      </c>
      <c r="O719" s="30">
        <f>IFERROR(__xludf.DUMMYFUNCTION("""COMPUTED_VALUE"""),360.6166666666666)</f>
        <v>360.6166667</v>
      </c>
      <c r="P719" s="30">
        <f>IFERROR(__xludf.DUMMYFUNCTION("""COMPUTED_VALUE"""),0.8166666666666667)</f>
        <v>0.8166666667</v>
      </c>
      <c r="Q719" s="30">
        <f>IFERROR(__xludf.DUMMYFUNCTION("""COMPUTED_VALUE"""),0.5666666666666665)</f>
        <v>0.5666666667</v>
      </c>
      <c r="R719" s="30">
        <f>IFERROR(__xludf.DUMMYFUNCTION("""COMPUTED_VALUE"""),1.2333333333333334)</f>
        <v>1.233333333</v>
      </c>
      <c r="S719" s="30">
        <f>IFERROR(__xludf.DUMMYFUNCTION("""COMPUTED_VALUE"""),2.7166666666666672)</f>
        <v>2.716666667</v>
      </c>
      <c r="T719" s="30">
        <f>IFERROR(__xludf.DUMMYFUNCTION("""COMPUTED_VALUE"""),337.6286229280762)</f>
        <v>337.6286229</v>
      </c>
      <c r="U719" s="30">
        <f>IFERROR(__xludf.DUMMYFUNCTION("""COMPUTED_VALUE"""),0.8270442842014856)</f>
        <v>0.8270442842</v>
      </c>
      <c r="V719" s="30">
        <f>IFERROR(__xludf.DUMMYFUNCTION("""COMPUTED_VALUE"""),0.5653604472649332)</f>
        <v>0.5653604473</v>
      </c>
      <c r="W719" s="30">
        <f>IFERROR(__xludf.DUMMYFUNCTION("""COMPUTED_VALUE"""),1.1064172515871482)</f>
        <v>1.106417252</v>
      </c>
      <c r="X719" s="30">
        <f>IFERROR(__xludf.DUMMYFUNCTION("""COMPUTED_VALUE"""),2.541351103418127)</f>
        <v>2.541351103</v>
      </c>
      <c r="Y719" s="30">
        <f>IFERROR(__xludf.DUMMYFUNCTION("""COMPUTED_VALUE"""),342.911059820015)</f>
        <v>342.9110598</v>
      </c>
      <c r="Z719" s="30">
        <f>IFERROR(__xludf.DUMMYFUNCTION("""COMPUTED_VALUE"""),0.8291238811925495)</f>
        <v>0.8291238812</v>
      </c>
      <c r="AA719" s="30">
        <f>IFERROR(__xludf.DUMMYFUNCTION("""COMPUTED_VALUE"""),0.5401740270096091)</f>
        <v>0.540174027</v>
      </c>
      <c r="AB719" s="30">
        <f>IFERROR(__xludf.DUMMYFUNCTION("""COMPUTED_VALUE"""),1.2384596800066454)</f>
        <v>1.23845968</v>
      </c>
      <c r="AC719" s="30">
        <f>IFERROR(__xludf.DUMMYFUNCTION("""COMPUTED_VALUE"""),2.3545766192950497)</f>
        <v>2.354576619</v>
      </c>
      <c r="AD719" s="30">
        <f>IFERROR(__xludf.DUMMYFUNCTION("""COMPUTED_VALUE"""),0.965993923246058)</f>
        <v>0.9659939232</v>
      </c>
      <c r="AE719" s="30">
        <f>IFERROR(__xludf.DUMMYFUNCTION("""COMPUTED_VALUE"""),1.0251785279389418)</f>
        <v>1.025178528</v>
      </c>
      <c r="AF719" s="30">
        <f>IFERROR(__xludf.DUMMYFUNCTION("""COMPUTED_VALUE"""),0.8330648596549329)</f>
        <v>0.8330648597</v>
      </c>
      <c r="AG719" s="30">
        <f>IFERROR(__xludf.DUMMYFUNCTION("""COMPUTED_VALUE"""),0.8882000906110222)</f>
        <v>0.8882000906</v>
      </c>
      <c r="AH719" s="30">
        <f>IFERROR(__xludf.DUMMYFUNCTION("""COMPUTED_VALUE"""),0.9768210476364154)</f>
        <v>0.9768210476</v>
      </c>
      <c r="AI719" s="30">
        <f>IFERROR(__xludf.DUMMYFUNCTION("""COMPUTED_VALUE"""),1.0680867739803195)</f>
        <v>1.068086774</v>
      </c>
      <c r="AJ719" s="30">
        <f>IFERROR(__xludf.DUMMYFUNCTION("""COMPUTED_VALUE"""),0.9874521621960806)</f>
        <v>0.9874521622</v>
      </c>
      <c r="AK719" s="30">
        <f>IFERROR(__xludf.DUMMYFUNCTION("""COMPUTED_VALUE"""),1.0023104187922103)</f>
        <v>1.002310419</v>
      </c>
      <c r="AL719" s="30">
        <f>IFERROR(__xludf.DUMMYFUNCTION("""COMPUTED_VALUE"""),1.1147090589595605)</f>
        <v>1.114709059</v>
      </c>
      <c r="AM719" s="30">
        <f>IFERROR(__xludf.DUMMYFUNCTION("""COMPUTED_VALUE"""),1.068985179974833)</f>
        <v>1.06898518</v>
      </c>
      <c r="AN719" s="30">
        <f>IFERROR(__xludf.DUMMYFUNCTION("""COMPUTED_VALUE"""),1.0302259150312958)</f>
        <v>1.030225915</v>
      </c>
      <c r="AO719" s="30">
        <f>IFERROR(__xludf.DUMMYFUNCTION("""COMPUTED_VALUE"""),1.1581862280593525)</f>
        <v>1.158186228</v>
      </c>
      <c r="AP719" s="30">
        <f>IFERROR(__xludf.DUMMYFUNCTION("""COMPUTED_VALUE"""),0.9001544006584759)</f>
        <v>0.9001544007</v>
      </c>
      <c r="AQ719" s="30">
        <f>IFERROR(__xludf.DUMMYFUNCTION("""COMPUTED_VALUE"""),0.9447960792653209)</f>
        <v>0.9447960793</v>
      </c>
      <c r="AR719" s="30">
        <f>IFERROR(__xludf.DUMMYFUNCTION("""COMPUTED_VALUE"""),0.9938252300585589)</f>
        <v>0.9938252301</v>
      </c>
      <c r="AS719" s="30">
        <f>IFERROR(__xludf.DUMMYFUNCTION("""COMPUTED_VALUE"""),48.0)</f>
        <v>48</v>
      </c>
      <c r="AT719" s="30">
        <f>IFERROR(__xludf.DUMMYFUNCTION("""COMPUTED_VALUE"""),0.49189069842103483)</f>
        <v>0.4918906984</v>
      </c>
      <c r="AU719" s="30">
        <f>IFERROR(__xludf.DUMMYFUNCTION("""COMPUTED_VALUE"""),2.2398555008060494)</f>
        <v>2.239855501</v>
      </c>
      <c r="AV719" s="32">
        <f>IFERROR(__xludf.DUMMYFUNCTION("""COMPUTED_VALUE"""),53.42038060274299)</f>
        <v>53.4203806</v>
      </c>
      <c r="AW719" s="32">
        <f>IFERROR(__xludf.DUMMYFUNCTION("""COMPUTED_VALUE"""),2.244223467721524)</f>
        <v>2.244223468</v>
      </c>
      <c r="AX719" s="32">
        <f>IFERROR(__xludf.DUMMYFUNCTION("""COMPUTED_VALUE"""),35.28470760764893)</f>
        <v>35.28470761</v>
      </c>
      <c r="AY719" s="32">
        <f>IFERROR(__xludf.DUMMYFUNCTION("""COMPUTED_VALUE"""),-3.5963345602650008)</f>
        <v>-3.59633456</v>
      </c>
      <c r="AZ719" s="30">
        <f>IFERROR(__xludf.DUMMYFUNCTION("""COMPUTED_VALUE"""),5.840558027986525)</f>
        <v>5.840558028</v>
      </c>
      <c r="BA719" s="30">
        <f>IFERROR(__xludf.DUMMYFUNCTION("""COMPUTED_VALUE"""),2700.0)</f>
        <v>2700</v>
      </c>
    </row>
    <row r="720">
      <c r="A720" s="71" t="str">
        <f>IFERROR(__xludf.DUMMYFUNCTION("""COMPUTED_VALUE"""),"Prospect")</f>
        <v>Prospect</v>
      </c>
      <c r="B720" s="71" t="str">
        <f>IFERROR(__xludf.DUMMYFUNCTION("""COMPUTED_VALUE"""),"RSC001619")</f>
        <v>RSC001619</v>
      </c>
      <c r="C720" s="30" t="str">
        <f>IFERROR(__xludf.DUMMYFUNCTION("""COMPUTED_VALUE"""),"Rob")</f>
        <v>Rob</v>
      </c>
      <c r="D720" s="30" t="str">
        <f>IFERROR(__xludf.DUMMYFUNCTION("""COMPUTED_VALUE"""),"Gloom")</f>
        <v>Gloom</v>
      </c>
      <c r="E720" s="30">
        <f>IFERROR(__xludf.DUMMYFUNCTION("""COMPUTED_VALUE"""),28.0)</f>
        <v>28</v>
      </c>
      <c r="F720" s="30">
        <f>IFERROR(__xludf.DUMMYFUNCTION("""COMPUTED_VALUE"""),11.0)</f>
        <v>11</v>
      </c>
      <c r="G720" s="42">
        <f>IFERROR(__xludf.DUMMYFUNCTION("""COMPUTED_VALUE"""),17.0)</f>
        <v>17</v>
      </c>
      <c r="H720" s="42">
        <f>IFERROR(__xludf.DUMMYFUNCTION("""COMPUTED_VALUE"""),0.39285714285714285)</f>
        <v>0.3928571429</v>
      </c>
      <c r="I720" s="42">
        <f>IFERROR(__xludf.DUMMYFUNCTION("""COMPUTED_VALUE"""),0.35714285714285715)</f>
        <v>0.3571428571</v>
      </c>
      <c r="J720" s="30">
        <f>IFERROR(__xludf.DUMMYFUNCTION("""COMPUTED_VALUE"""),301.64285714285717)</f>
        <v>301.6428571</v>
      </c>
      <c r="K720" s="30">
        <f>IFERROR(__xludf.DUMMYFUNCTION("""COMPUTED_VALUE"""),0.7142857142857143)</f>
        <v>0.7142857143</v>
      </c>
      <c r="L720" s="30">
        <f>IFERROR(__xludf.DUMMYFUNCTION("""COMPUTED_VALUE"""),0.25)</f>
        <v>0.25</v>
      </c>
      <c r="M720" s="30">
        <f>IFERROR(__xludf.DUMMYFUNCTION("""COMPUTED_VALUE"""),1.4642857142857142)</f>
        <v>1.464285714</v>
      </c>
      <c r="N720" s="30">
        <f>IFERROR(__xludf.DUMMYFUNCTION("""COMPUTED_VALUE"""),2.0)</f>
        <v>2</v>
      </c>
      <c r="O720" s="30">
        <f>IFERROR(__xludf.DUMMYFUNCTION("""COMPUTED_VALUE"""),338.78571428571433)</f>
        <v>338.7857143</v>
      </c>
      <c r="P720" s="30">
        <f>IFERROR(__xludf.DUMMYFUNCTION("""COMPUTED_VALUE"""),0.8452380952380951)</f>
        <v>0.8452380952</v>
      </c>
      <c r="Q720" s="30">
        <f>IFERROR(__xludf.DUMMYFUNCTION("""COMPUTED_VALUE"""),0.5476190476190477)</f>
        <v>0.5476190476</v>
      </c>
      <c r="R720" s="30">
        <f>IFERROR(__xludf.DUMMYFUNCTION("""COMPUTED_VALUE"""),1.0476190476190477)</f>
        <v>1.047619048</v>
      </c>
      <c r="S720" s="30">
        <f>IFERROR(__xludf.DUMMYFUNCTION("""COMPUTED_VALUE"""),3.035714285714285)</f>
        <v>3.035714286</v>
      </c>
      <c r="T720" s="30">
        <f>IFERROR(__xludf.DUMMYFUNCTION("""COMPUTED_VALUE"""),343.46706592626424)</f>
        <v>343.4670659</v>
      </c>
      <c r="U720" s="30">
        <f>IFERROR(__xludf.DUMMYFUNCTION("""COMPUTED_VALUE"""),0.8615854228163141)</f>
        <v>0.8615854228</v>
      </c>
      <c r="V720" s="30">
        <f>IFERROR(__xludf.DUMMYFUNCTION("""COMPUTED_VALUE"""),0.5476829774677924)</f>
        <v>0.5476829775</v>
      </c>
      <c r="W720" s="30">
        <f>IFERROR(__xludf.DUMMYFUNCTION("""COMPUTED_VALUE"""),1.1587948807900865)</f>
        <v>1.158794881</v>
      </c>
      <c r="X720" s="30">
        <f>IFERROR(__xludf.DUMMYFUNCTION("""COMPUTED_VALUE"""),2.5692319859885044)</f>
        <v>2.569231986</v>
      </c>
      <c r="Y720" s="30">
        <f>IFERROR(__xludf.DUMMYFUNCTION("""COMPUTED_VALUE"""),335.4788203463412)</f>
        <v>335.4788203</v>
      </c>
      <c r="Z720" s="30">
        <f>IFERROR(__xludf.DUMMYFUNCTION("""COMPUTED_VALUE"""),0.7862188228058634)</f>
        <v>0.7862188228</v>
      </c>
      <c r="AA720" s="30">
        <f>IFERROR(__xludf.DUMMYFUNCTION("""COMPUTED_VALUE"""),0.5274761250303557)</f>
        <v>0.527476125</v>
      </c>
      <c r="AB720" s="30">
        <f>IFERROR(__xludf.DUMMYFUNCTION("""COMPUTED_VALUE"""),1.2009226703150122)</f>
        <v>1.20092267</v>
      </c>
      <c r="AC720" s="30">
        <f>IFERROR(__xludf.DUMMYFUNCTION("""COMPUTED_VALUE"""),2.393805180967599)</f>
        <v>2.393805181</v>
      </c>
      <c r="AD720" s="30">
        <f>IFERROR(__xludf.DUMMYFUNCTION("""COMPUTED_VALUE"""),0.8991412835881786)</f>
        <v>0.8991412836</v>
      </c>
      <c r="AE720" s="30">
        <f>IFERROR(__xludf.DUMMYFUNCTION("""COMPUTED_VALUE"""),0.9085075217819973)</f>
        <v>0.9085075218</v>
      </c>
      <c r="AF720" s="30">
        <f>IFERROR(__xludf.DUMMYFUNCTION("""COMPUTED_VALUE"""),0.4739551007841592)</f>
        <v>0.4739551008</v>
      </c>
      <c r="AG720" s="30">
        <f>IFERROR(__xludf.DUMMYFUNCTION("""COMPUTED_VALUE"""),1.2193005848591563)</f>
        <v>1.219300585</v>
      </c>
      <c r="AH720" s="30">
        <f>IFERROR(__xludf.DUMMYFUNCTION("""COMPUTED_VALUE"""),0.8354898785838456)</f>
        <v>0.8354898786</v>
      </c>
      <c r="AI720" s="30">
        <f>IFERROR(__xludf.DUMMYFUNCTION("""COMPUTED_VALUE"""),0.9863703041573282)</f>
        <v>0.9863703042</v>
      </c>
      <c r="AJ720" s="30">
        <f>IFERROR(__xludf.DUMMYFUNCTION("""COMPUTED_VALUE"""),0.9810264575684399)</f>
        <v>0.9810264576</v>
      </c>
      <c r="AK720" s="30">
        <f>IFERROR(__xludf.DUMMYFUNCTION("""COMPUTED_VALUE"""),0.9998832721640533)</f>
        <v>0.9998832722</v>
      </c>
      <c r="AL720" s="30">
        <f>IFERROR(__xludf.DUMMYFUNCTION("""COMPUTED_VALUE"""),0.9040590918944712)</f>
        <v>0.9040590919</v>
      </c>
      <c r="AM720" s="30">
        <f>IFERROR(__xludf.DUMMYFUNCTION("""COMPUTED_VALUE"""),1.1815648809721255)</f>
        <v>1.181564881</v>
      </c>
      <c r="AN720" s="30">
        <f>IFERROR(__xludf.DUMMYFUNCTION("""COMPUTED_VALUE"""),0.9381442672080135)</f>
        <v>0.9381442672</v>
      </c>
      <c r="AO720" s="30">
        <f>IFERROR(__xludf.DUMMYFUNCTION("""COMPUTED_VALUE"""),0.973265737865002)</f>
        <v>0.9732657379</v>
      </c>
      <c r="AP720" s="30">
        <f>IFERROR(__xludf.DUMMYFUNCTION("""COMPUTED_VALUE"""),0.5000857781435977)</f>
        <v>0.5000857781</v>
      </c>
      <c r="AQ720" s="30">
        <f>IFERROR(__xludf.DUMMYFUNCTION("""COMPUTED_VALUE"""),1.2576830925285114)</f>
        <v>1.257683093</v>
      </c>
      <c r="AR720" s="30">
        <f>IFERROR(__xludf.DUMMYFUNCTION("""COMPUTED_VALUE"""),0.8641958522248339)</f>
        <v>0.8641958522</v>
      </c>
      <c r="AS720" s="30">
        <f>IFERROR(__xludf.DUMMYFUNCTION("""COMPUTED_VALUE"""),51.0)</f>
        <v>51</v>
      </c>
      <c r="AT720" s="30">
        <f>IFERROR(__xludf.DUMMYFUNCTION("""COMPUTED_VALUE"""),0.3764219696636013)</f>
        <v>0.3764219697</v>
      </c>
      <c r="AU720" s="30">
        <f>IFERROR(__xludf.DUMMYFUNCTION("""COMPUTED_VALUE"""),1.652589827375111)</f>
        <v>1.652589827</v>
      </c>
      <c r="AV720" s="32">
        <f>IFERROR(__xludf.DUMMYFUNCTION("""COMPUTED_VALUE"""),37.5302913775447)</f>
        <v>37.53029138</v>
      </c>
      <c r="AW720" s="32">
        <f>IFERROR(__xludf.DUMMYFUNCTION("""COMPUTED_VALUE"""),-3.2366204220966233)</f>
        <v>-3.236620422</v>
      </c>
      <c r="AX720" s="32">
        <f>IFERROR(__xludf.DUMMYFUNCTION("""COMPUTED_VALUE"""),19.67483554636989)</f>
        <v>19.67483555</v>
      </c>
      <c r="AY720" s="32">
        <f>IFERROR(__xludf.DUMMYFUNCTION("""COMPUTED_VALUE"""),-8.883862379317994)</f>
        <v>-8.883862379</v>
      </c>
      <c r="AZ720" s="30">
        <f>IFERROR(__xludf.DUMMYFUNCTION("""COMPUTED_VALUE"""),5.647241957221372)</f>
        <v>5.647241957</v>
      </c>
      <c r="BA720" s="30">
        <f>IFERROR(__xludf.DUMMYFUNCTION("""COMPUTED_VALUE"""),2700.0)</f>
        <v>2700</v>
      </c>
    </row>
    <row r="721">
      <c r="A721" s="71" t="str">
        <f>IFERROR(__xludf.DUMMYFUNCTION("""COMPUTED_VALUE"""),"Prospect")</f>
        <v>Prospect</v>
      </c>
      <c r="B721" s="71" t="str">
        <f>IFERROR(__xludf.DUMMYFUNCTION("""COMPUTED_VALUE"""),"RSC002736")</f>
        <v>RSC002736</v>
      </c>
      <c r="C721" s="30" t="str">
        <f>IFERROR(__xludf.DUMMYFUNCTION("""COMPUTED_VALUE"""),"chulainn")</f>
        <v>chulainn</v>
      </c>
      <c r="D721" s="30" t="str">
        <f>IFERROR(__xludf.DUMMYFUNCTION("""COMPUTED_VALUE"""),"Earth")</f>
        <v>Earth</v>
      </c>
      <c r="E721" s="30">
        <f>IFERROR(__xludf.DUMMYFUNCTION("""COMPUTED_VALUE"""),47.0)</f>
        <v>47</v>
      </c>
      <c r="F721" s="30">
        <f>IFERROR(__xludf.DUMMYFUNCTION("""COMPUTED_VALUE"""),24.0)</f>
        <v>24</v>
      </c>
      <c r="G721" s="42">
        <f>IFERROR(__xludf.DUMMYFUNCTION("""COMPUTED_VALUE"""),23.0)</f>
        <v>23</v>
      </c>
      <c r="H721" s="42">
        <f>IFERROR(__xludf.DUMMYFUNCTION("""COMPUTED_VALUE"""),0.5106382978723404)</f>
        <v>0.5106382979</v>
      </c>
      <c r="I721" s="42">
        <f>IFERROR(__xludf.DUMMYFUNCTION("""COMPUTED_VALUE"""),0.3416149068322981)</f>
        <v>0.3416149068</v>
      </c>
      <c r="J721" s="30">
        <f>IFERROR(__xludf.DUMMYFUNCTION("""COMPUTED_VALUE"""),410.0851063829787)</f>
        <v>410.0851064</v>
      </c>
      <c r="K721" s="30">
        <f>IFERROR(__xludf.DUMMYFUNCTION("""COMPUTED_VALUE"""),1.1702127659574468)</f>
        <v>1.170212766</v>
      </c>
      <c r="L721" s="30">
        <f>IFERROR(__xludf.DUMMYFUNCTION("""COMPUTED_VALUE"""),0.6808510638297872)</f>
        <v>0.6808510638</v>
      </c>
      <c r="M721" s="30">
        <f>IFERROR(__xludf.DUMMYFUNCTION("""COMPUTED_VALUE"""),0.9148936170212766)</f>
        <v>0.914893617</v>
      </c>
      <c r="N721" s="30">
        <f>IFERROR(__xludf.DUMMYFUNCTION("""COMPUTED_VALUE"""),3.425531914893617)</f>
        <v>3.425531915</v>
      </c>
      <c r="O721" s="30">
        <f>IFERROR(__xludf.DUMMYFUNCTION("""COMPUTED_VALUE"""),365.9432624113474)</f>
        <v>365.9432624</v>
      </c>
      <c r="P721" s="30">
        <f>IFERROR(__xludf.DUMMYFUNCTION("""COMPUTED_VALUE"""),0.9361702127659576)</f>
        <v>0.9361702128</v>
      </c>
      <c r="Q721" s="30">
        <f>IFERROR(__xludf.DUMMYFUNCTION("""COMPUTED_VALUE"""),0.5886524822695035)</f>
        <v>0.5886524823</v>
      </c>
      <c r="R721" s="30">
        <f>IFERROR(__xludf.DUMMYFUNCTION("""COMPUTED_VALUE"""),1.3687943262411346)</f>
        <v>1.368794326</v>
      </c>
      <c r="S721" s="30">
        <f>IFERROR(__xludf.DUMMYFUNCTION("""COMPUTED_VALUE"""),2.340425531914893)</f>
        <v>2.340425532</v>
      </c>
      <c r="T721" s="30">
        <f>IFERROR(__xludf.DUMMYFUNCTION("""COMPUTED_VALUE"""),328.4472241613236)</f>
        <v>328.4472242</v>
      </c>
      <c r="U721" s="30">
        <f>IFERROR(__xludf.DUMMYFUNCTION("""COMPUTED_VALUE"""),0.768232295687578)</f>
        <v>0.7682322957</v>
      </c>
      <c r="V721" s="30">
        <f>IFERROR(__xludf.DUMMYFUNCTION("""COMPUTED_VALUE"""),0.4797681442102481)</f>
        <v>0.4797681442</v>
      </c>
      <c r="W721" s="30">
        <f>IFERROR(__xludf.DUMMYFUNCTION("""COMPUTED_VALUE"""),1.2025507166739475)</f>
        <v>1.202550717</v>
      </c>
      <c r="X721" s="30">
        <f>IFERROR(__xludf.DUMMYFUNCTION("""COMPUTED_VALUE"""),2.2948527993850387)</f>
        <v>2.294852799</v>
      </c>
      <c r="Y721" s="30">
        <f>IFERROR(__xludf.DUMMYFUNCTION("""COMPUTED_VALUE"""),338.78853413690814)</f>
        <v>338.7885341</v>
      </c>
      <c r="Z721" s="30">
        <f>IFERROR(__xludf.DUMMYFUNCTION("""COMPUTED_VALUE"""),0.8216338634825805)</f>
        <v>0.8216338635</v>
      </c>
      <c r="AA721" s="30">
        <f>IFERROR(__xludf.DUMMYFUNCTION("""COMPUTED_VALUE"""),0.5516381418672671)</f>
        <v>0.5516381419</v>
      </c>
      <c r="AB721" s="30">
        <f>IFERROR(__xludf.DUMMYFUNCTION("""COMPUTED_VALUE"""),1.1358241217956586)</f>
        <v>1.135824122</v>
      </c>
      <c r="AC721" s="30">
        <f>IFERROR(__xludf.DUMMYFUNCTION("""COMPUTED_VALUE"""),2.571653878015198)</f>
        <v>2.571653878</v>
      </c>
      <c r="AD721" s="30">
        <f>IFERROR(__xludf.DUMMYFUNCTION("""COMPUTED_VALUE"""),1.2104456469511418)</f>
        <v>1.210445647</v>
      </c>
      <c r="AE721" s="30">
        <f>IFERROR(__xludf.DUMMYFUNCTION("""COMPUTED_VALUE"""),1.4242508956451458)</f>
        <v>1.424250896</v>
      </c>
      <c r="AF721" s="30">
        <f>IFERROR(__xludf.DUMMYFUNCTION("""COMPUTED_VALUE"""),1.2342349307557685)</f>
        <v>1.234234931</v>
      </c>
      <c r="AG721" s="30">
        <f>IFERROR(__xludf.DUMMYFUNCTION("""COMPUTED_VALUE"""),0.8054888071710378)</f>
        <v>0.8054888072</v>
      </c>
      <c r="AH721" s="30">
        <f>IFERROR(__xludf.DUMMYFUNCTION("""COMPUTED_VALUE"""),1.3320345883939257)</f>
        <v>1.332034588</v>
      </c>
      <c r="AI721" s="30">
        <f>IFERROR(__xludf.DUMMYFUNCTION("""COMPUTED_VALUE"""),1.1141615318740121)</f>
        <v>1.114161532</v>
      </c>
      <c r="AJ721" s="30">
        <f>IFERROR(__xludf.DUMMYFUNCTION("""COMPUTED_VALUE"""),1.2186030423624314)</f>
        <v>1.218603042</v>
      </c>
      <c r="AK721" s="30">
        <f>IFERROR(__xludf.DUMMYFUNCTION("""COMPUTED_VALUE"""),1.2269519962366222)</f>
        <v>1.226951996</v>
      </c>
      <c r="AL721" s="30">
        <f>IFERROR(__xludf.DUMMYFUNCTION("""COMPUTED_VALUE"""),1.1382424934450905)</f>
        <v>1.138242493</v>
      </c>
      <c r="AM721" s="30">
        <f>IFERROR(__xludf.DUMMYFUNCTION("""COMPUTED_VALUE"""),1.0198586735245359)</f>
        <v>1.019858674</v>
      </c>
      <c r="AN721" s="30">
        <f>IFERROR(__xludf.DUMMYFUNCTION("""COMPUTED_VALUE"""),1.2754122383822204)</f>
        <v>1.275412238</v>
      </c>
      <c r="AO721" s="30">
        <f>IFERROR(__xludf.DUMMYFUNCTION("""COMPUTED_VALUE"""),1.5944991875660672)</f>
        <v>1.594499188</v>
      </c>
      <c r="AP721" s="30">
        <f>IFERROR(__xludf.DUMMYFUNCTION("""COMPUTED_VALUE"""),1.3619357362208617)</f>
        <v>1.361935736</v>
      </c>
      <c r="AQ721" s="30">
        <f>IFERROR(__xludf.DUMMYFUNCTION("""COMPUTED_VALUE"""),0.7858071839150638)</f>
        <v>0.7858071839</v>
      </c>
      <c r="AR721" s="30">
        <f>IFERROR(__xludf.DUMMYFUNCTION("""COMPUTED_VALUE"""),1.4801652362574285)</f>
        <v>1.480165236</v>
      </c>
      <c r="AS721" s="30">
        <f>IFERROR(__xludf.DUMMYFUNCTION("""COMPUTED_VALUE"""),131.0)</f>
        <v>131</v>
      </c>
      <c r="AT721" s="30">
        <f>IFERROR(__xludf.DUMMYFUNCTION("""COMPUTED_VALUE"""),0.49688365206710394)</f>
        <v>0.4968836521</v>
      </c>
      <c r="AU721" s="30">
        <f>IFERROR(__xludf.DUMMYFUNCTION("""COMPUTED_VALUE"""),3.4532515180084546)</f>
        <v>3.453251518</v>
      </c>
      <c r="AV721" s="32">
        <f>IFERROR(__xludf.DUMMYFUNCTION("""COMPUTED_VALUE"""),86.25214968300043)</f>
        <v>86.25214968</v>
      </c>
      <c r="AW721" s="32">
        <f>IFERROR(__xludf.DUMMYFUNCTION("""COMPUTED_VALUE"""),13.602245908854497)</f>
        <v>13.60224591</v>
      </c>
      <c r="AX721" s="32">
        <f>IFERROR(__xludf.DUMMYFUNCTION("""COMPUTED_VALUE"""),78.82927173882567)</f>
        <v>78.82927174</v>
      </c>
      <c r="AY721" s="32">
        <f>IFERROR(__xludf.DUMMYFUNCTION("""COMPUTED_VALUE"""),8.03728471850535)</f>
        <v>8.037284719</v>
      </c>
      <c r="AZ721" s="30">
        <f>IFERROR(__xludf.DUMMYFUNCTION("""COMPUTED_VALUE"""),5.5649611903491465)</f>
        <v>5.56496119</v>
      </c>
      <c r="BA721" s="30">
        <f>IFERROR(__xludf.DUMMYFUNCTION("""COMPUTED_VALUE"""),2700.0)</f>
        <v>2700</v>
      </c>
    </row>
    <row r="722">
      <c r="A722" s="71" t="str">
        <f>IFERROR(__xludf.DUMMYFUNCTION("""COMPUTED_VALUE"""),"Prospect")</f>
        <v>Prospect</v>
      </c>
      <c r="B722" s="71" t="str">
        <f>IFERROR(__xludf.DUMMYFUNCTION("""COMPUTED_VALUE"""),"RSC006369")</f>
        <v>RSC006369</v>
      </c>
      <c r="C722" s="30" t="str">
        <f>IFERROR(__xludf.DUMMYFUNCTION("""COMPUTED_VALUE"""),"nate")</f>
        <v>nate</v>
      </c>
      <c r="D722" s="30" t="str">
        <f>IFERROR(__xludf.DUMMYFUNCTION("""COMPUTED_VALUE"""),"Emus")</f>
        <v>Emus</v>
      </c>
      <c r="E722" s="30">
        <f>IFERROR(__xludf.DUMMYFUNCTION("""COMPUTED_VALUE"""),28.0)</f>
        <v>28</v>
      </c>
      <c r="F722" s="30">
        <f>IFERROR(__xludf.DUMMYFUNCTION("""COMPUTED_VALUE"""),17.0)</f>
        <v>17</v>
      </c>
      <c r="G722" s="42">
        <f>IFERROR(__xludf.DUMMYFUNCTION("""COMPUTED_VALUE"""),11.0)</f>
        <v>11</v>
      </c>
      <c r="H722" s="42">
        <f>IFERROR(__xludf.DUMMYFUNCTION("""COMPUTED_VALUE"""),0.6071428571428571)</f>
        <v>0.6071428571</v>
      </c>
      <c r="I722" s="42">
        <f>IFERROR(__xludf.DUMMYFUNCTION("""COMPUTED_VALUE"""),0.3538461538461538)</f>
        <v>0.3538461538</v>
      </c>
      <c r="J722" s="30">
        <f>IFERROR(__xludf.DUMMYFUNCTION("""COMPUTED_VALUE"""),317.07142857142856)</f>
        <v>317.0714286</v>
      </c>
      <c r="K722" s="30">
        <f>IFERROR(__xludf.DUMMYFUNCTION("""COMPUTED_VALUE"""),0.8214285714285714)</f>
        <v>0.8214285714</v>
      </c>
      <c r="L722" s="30">
        <f>IFERROR(__xludf.DUMMYFUNCTION("""COMPUTED_VALUE"""),0.5714285714285714)</f>
        <v>0.5714285714</v>
      </c>
      <c r="M722" s="30">
        <f>IFERROR(__xludf.DUMMYFUNCTION("""COMPUTED_VALUE"""),1.1071428571428572)</f>
        <v>1.107142857</v>
      </c>
      <c r="N722" s="30">
        <f>IFERROR(__xludf.DUMMYFUNCTION("""COMPUTED_VALUE"""),2.3214285714285716)</f>
        <v>2.321428571</v>
      </c>
      <c r="O722" s="30">
        <f>IFERROR(__xludf.DUMMYFUNCTION("""COMPUTED_VALUE"""),328.58333333333337)</f>
        <v>328.5833333</v>
      </c>
      <c r="P722" s="30">
        <f>IFERROR(__xludf.DUMMYFUNCTION("""COMPUTED_VALUE"""),0.6785714285714285)</f>
        <v>0.6785714286</v>
      </c>
      <c r="Q722" s="30">
        <f>IFERROR(__xludf.DUMMYFUNCTION("""COMPUTED_VALUE"""),0.42857142857142866)</f>
        <v>0.4285714286</v>
      </c>
      <c r="R722" s="30">
        <f>IFERROR(__xludf.DUMMYFUNCTION("""COMPUTED_VALUE"""),1.392857142857143)</f>
        <v>1.392857143</v>
      </c>
      <c r="S722" s="30">
        <f>IFERROR(__xludf.DUMMYFUNCTION("""COMPUTED_VALUE"""),2.2857142857142856)</f>
        <v>2.285714286</v>
      </c>
      <c r="T722" s="30">
        <f>IFERROR(__xludf.DUMMYFUNCTION("""COMPUTED_VALUE"""),337.447542537467)</f>
        <v>337.4475425</v>
      </c>
      <c r="U722" s="30">
        <f>IFERROR(__xludf.DUMMYFUNCTION("""COMPUTED_VALUE"""),0.7854416435180223)</f>
        <v>0.7854416435</v>
      </c>
      <c r="V722" s="30">
        <f>IFERROR(__xludf.DUMMYFUNCTION("""COMPUTED_VALUE"""),0.5061835353054025)</f>
        <v>0.5061835353</v>
      </c>
      <c r="W722" s="30">
        <f>IFERROR(__xludf.DUMMYFUNCTION("""COMPUTED_VALUE"""),1.2756881523122694)</f>
        <v>1.275688152</v>
      </c>
      <c r="X722" s="30">
        <f>IFERROR(__xludf.DUMMYFUNCTION("""COMPUTED_VALUE"""),2.387684002981725)</f>
        <v>2.387684003</v>
      </c>
      <c r="Y722" s="30">
        <f>IFERROR(__xludf.DUMMYFUNCTION("""COMPUTED_VALUE"""),338.8910949805274)</f>
        <v>338.891095</v>
      </c>
      <c r="Z722" s="30">
        <f>IFERROR(__xludf.DUMMYFUNCTION("""COMPUTED_VALUE"""),0.7965998639870818)</f>
        <v>0.796599864</v>
      </c>
      <c r="AA722" s="30">
        <f>IFERROR(__xludf.DUMMYFUNCTION("""COMPUTED_VALUE"""),0.5456596962519803)</f>
        <v>0.5456596963</v>
      </c>
      <c r="AB722" s="30">
        <f>IFERROR(__xludf.DUMMYFUNCTION("""COMPUTED_VALUE"""),1.187603565700497)</f>
        <v>1.187603566</v>
      </c>
      <c r="AC722" s="30">
        <f>IFERROR(__xludf.DUMMYFUNCTION("""COMPUTED_VALUE"""),2.5326680815913294)</f>
        <v>2.532668082</v>
      </c>
      <c r="AD722" s="30">
        <f>IFERROR(__xludf.DUMMYFUNCTION("""COMPUTED_VALUE"""),0.9356145182559236)</f>
        <v>0.9356145183</v>
      </c>
      <c r="AE722" s="30">
        <f>IFERROR(__xludf.DUMMYFUNCTION("""COMPUTED_VALUE"""),1.031168355110204)</f>
        <v>1.031168355</v>
      </c>
      <c r="AF722" s="30">
        <f>IFERROR(__xludf.DUMMYFUNCTION("""COMPUTED_VALUE"""),1.0472251759724824)</f>
        <v>1.047225176</v>
      </c>
      <c r="AG722" s="30">
        <f>IFERROR(__xludf.DUMMYFUNCTION("""COMPUTED_VALUE"""),0.9322495225835897)</f>
        <v>0.9322495226</v>
      </c>
      <c r="AH722" s="30">
        <f>IFERROR(__xludf.DUMMYFUNCTION("""COMPUTED_VALUE"""),0.9165940804884186)</f>
        <v>0.9165940805</v>
      </c>
      <c r="AI722" s="30">
        <f>IFERROR(__xludf.DUMMYFUNCTION("""COMPUTED_VALUE"""),0.9737315935464268)</f>
        <v>0.9737315935</v>
      </c>
      <c r="AJ722" s="30">
        <f>IFERROR(__xludf.DUMMYFUNCTION("""COMPUTED_VALUE"""),0.8639361487533076)</f>
        <v>0.8639361488</v>
      </c>
      <c r="AK722" s="30">
        <f>IFERROR(__xludf.DUMMYFUNCTION("""COMPUTED_VALUE"""),0.8466720046768271)</f>
        <v>0.8466720047</v>
      </c>
      <c r="AL722" s="30">
        <f>IFERROR(__xludf.DUMMYFUNCTION("""COMPUTED_VALUE"""),1.091847674788307)</f>
        <v>1.091847675</v>
      </c>
      <c r="AM722" s="30">
        <f>IFERROR(__xludf.DUMMYFUNCTION("""COMPUTED_VALUE"""),0.9572934621415146)</f>
        <v>0.9572934621</v>
      </c>
      <c r="AN722" s="30">
        <f>IFERROR(__xludf.DUMMYFUNCTION("""COMPUTED_VALUE"""),0.9861289136008456)</f>
        <v>0.9861289136</v>
      </c>
      <c r="AO722" s="30">
        <f>IFERROR(__xludf.DUMMYFUNCTION("""COMPUTED_VALUE"""),1.1192555985447523)</f>
        <v>1.119255599</v>
      </c>
      <c r="AP722" s="30">
        <f>IFERROR(__xludf.DUMMYFUNCTION("""COMPUTED_VALUE"""),1.143053207185366)</f>
        <v>1.143053207</v>
      </c>
      <c r="AQ722" s="30">
        <f>IFERROR(__xludf.DUMMYFUNCTION("""COMPUTED_VALUE"""),0.9509311187410698)</f>
        <v>0.9509311187</v>
      </c>
      <c r="AR722" s="30">
        <f>IFERROR(__xludf.DUMMYFUNCTION("""COMPUTED_VALUE"""),1.0030844713323965)</f>
        <v>1.003084471</v>
      </c>
      <c r="AS722" s="30">
        <f>IFERROR(__xludf.DUMMYFUNCTION("""COMPUTED_VALUE"""),72.0)</f>
        <v>72</v>
      </c>
      <c r="AT722" s="30">
        <f>IFERROR(__xludf.DUMMYFUNCTION("""COMPUTED_VALUE"""),0.5895641887525881)</f>
        <v>0.5895641888</v>
      </c>
      <c r="AU722" s="30">
        <f>IFERROR(__xludf.DUMMYFUNCTION("""COMPUTED_VALUE"""),2.441258509921829)</f>
        <v>2.44125851</v>
      </c>
      <c r="AV722" s="32">
        <f>IFERROR(__xludf.DUMMYFUNCTION("""COMPUTED_VALUE"""),58.86989336989694)</f>
        <v>58.86989337</v>
      </c>
      <c r="AW722" s="32">
        <f>IFERROR(__xludf.DUMMYFUNCTION("""COMPUTED_VALUE"""),2.767236819576879)</f>
        <v>2.76723682</v>
      </c>
      <c r="AX722" s="32">
        <f>IFERROR(__xludf.DUMMYFUNCTION("""COMPUTED_VALUE"""),40.946143230143534)</f>
        <v>40.94614323</v>
      </c>
      <c r="AY722" s="32">
        <f>IFERROR(__xludf.DUMMYFUNCTION("""COMPUTED_VALUE"""),-2.788479536401392)</f>
        <v>-2.788479536</v>
      </c>
      <c r="AZ722" s="30">
        <f>IFERROR(__xludf.DUMMYFUNCTION("""COMPUTED_VALUE"""),5.555716355978271)</f>
        <v>5.555716356</v>
      </c>
      <c r="BA722" s="30">
        <f>IFERROR(__xludf.DUMMYFUNCTION("""COMPUTED_VALUE"""),2700.0)</f>
        <v>2700</v>
      </c>
    </row>
    <row r="723">
      <c r="A723" s="71" t="str">
        <f>IFERROR(__xludf.DUMMYFUNCTION("""COMPUTED_VALUE"""),"Prospect")</f>
        <v>Prospect</v>
      </c>
      <c r="B723" s="71" t="str">
        <f>IFERROR(__xludf.DUMMYFUNCTION("""COMPUTED_VALUE"""),"RSC006966")</f>
        <v>RSC006966</v>
      </c>
      <c r="C723" s="30" t="str">
        <f>IFERROR(__xludf.DUMMYFUNCTION("""COMPUTED_VALUE"""),"Pivot97")</f>
        <v>Pivot97</v>
      </c>
      <c r="D723" s="30" t="str">
        <f>IFERROR(__xludf.DUMMYFUNCTION("""COMPUTED_VALUE"""),"Prism Proteges")</f>
        <v>Prism Proteges</v>
      </c>
      <c r="E723" s="30">
        <f>IFERROR(__xludf.DUMMYFUNCTION("""COMPUTED_VALUE"""),34.0)</f>
        <v>34</v>
      </c>
      <c r="F723" s="30">
        <f>IFERROR(__xludf.DUMMYFUNCTION("""COMPUTED_VALUE"""),17.0)</f>
        <v>17</v>
      </c>
      <c r="G723" s="42">
        <f>IFERROR(__xludf.DUMMYFUNCTION("""COMPUTED_VALUE"""),17.0)</f>
        <v>17</v>
      </c>
      <c r="H723" s="42">
        <f>IFERROR(__xludf.DUMMYFUNCTION("""COMPUTED_VALUE"""),0.5)</f>
        <v>0.5</v>
      </c>
      <c r="I723" s="42">
        <f>IFERROR(__xludf.DUMMYFUNCTION("""COMPUTED_VALUE"""),0.3170731707317073)</f>
        <v>0.3170731707</v>
      </c>
      <c r="J723" s="30">
        <f>IFERROR(__xludf.DUMMYFUNCTION("""COMPUTED_VALUE"""),314.3529411764706)</f>
        <v>314.3529412</v>
      </c>
      <c r="K723" s="30">
        <f>IFERROR(__xludf.DUMMYFUNCTION("""COMPUTED_VALUE"""),0.7647058823529411)</f>
        <v>0.7647058824</v>
      </c>
      <c r="L723" s="30">
        <f>IFERROR(__xludf.DUMMYFUNCTION("""COMPUTED_VALUE"""),0.47058823529411764)</f>
        <v>0.4705882353</v>
      </c>
      <c r="M723" s="30">
        <f>IFERROR(__xludf.DUMMYFUNCTION("""COMPUTED_VALUE"""),1.2058823529411764)</f>
        <v>1.205882353</v>
      </c>
      <c r="N723" s="30">
        <f>IFERROR(__xludf.DUMMYFUNCTION("""COMPUTED_VALUE"""),2.411764705882353)</f>
        <v>2.411764706</v>
      </c>
      <c r="O723" s="30">
        <f>IFERROR(__xludf.DUMMYFUNCTION("""COMPUTED_VALUE"""),332.7941176470589)</f>
        <v>332.7941176</v>
      </c>
      <c r="P723" s="30">
        <f>IFERROR(__xludf.DUMMYFUNCTION("""COMPUTED_VALUE"""),0.6960784313725489)</f>
        <v>0.6960784314</v>
      </c>
      <c r="Q723" s="30">
        <f>IFERROR(__xludf.DUMMYFUNCTION("""COMPUTED_VALUE"""),0.47058823529411775)</f>
        <v>0.4705882353</v>
      </c>
      <c r="R723" s="30">
        <f>IFERROR(__xludf.DUMMYFUNCTION("""COMPUTED_VALUE"""),1.3039215686274506)</f>
        <v>1.303921569</v>
      </c>
      <c r="S723" s="30">
        <f>IFERROR(__xludf.DUMMYFUNCTION("""COMPUTED_VALUE"""),2.4705882352941186)</f>
        <v>2.470588235</v>
      </c>
      <c r="T723" s="30">
        <f>IFERROR(__xludf.DUMMYFUNCTION("""COMPUTED_VALUE"""),340.6148246669525)</f>
        <v>340.6148247</v>
      </c>
      <c r="U723" s="30">
        <f>IFERROR(__xludf.DUMMYFUNCTION("""COMPUTED_VALUE"""),0.8123567936448544)</f>
        <v>0.8123567936</v>
      </c>
      <c r="V723" s="30">
        <f>IFERROR(__xludf.DUMMYFUNCTION("""COMPUTED_VALUE"""),0.5080236751653889)</f>
        <v>0.5080236752</v>
      </c>
      <c r="W723" s="30">
        <f>IFERROR(__xludf.DUMMYFUNCTION("""COMPUTED_VALUE"""),1.2252141127350715)</f>
        <v>1.225214113</v>
      </c>
      <c r="X723" s="30">
        <f>IFERROR(__xludf.DUMMYFUNCTION("""COMPUTED_VALUE"""),2.4177449554065564)</f>
        <v>2.417744955</v>
      </c>
      <c r="Y723" s="30">
        <f>IFERROR(__xludf.DUMMYFUNCTION("""COMPUTED_VALUE"""),333.41225793112676)</f>
        <v>333.4122579</v>
      </c>
      <c r="Z723" s="30">
        <f>IFERROR(__xludf.DUMMYFUNCTION("""COMPUTED_VALUE"""),0.7850718841457563)</f>
        <v>0.7850718841</v>
      </c>
      <c r="AA723" s="30">
        <f>IFERROR(__xludf.DUMMYFUNCTION("""COMPUTED_VALUE"""),0.5154279278599965)</f>
        <v>0.5154279279</v>
      </c>
      <c r="AB723" s="30">
        <f>IFERROR(__xludf.DUMMYFUNCTION("""COMPUTED_VALUE"""),1.1736399313828185)</f>
        <v>1.173639931</v>
      </c>
      <c r="AC723" s="30">
        <f>IFERROR(__xludf.DUMMYFUNCTION("""COMPUTED_VALUE"""),2.5022265548044946)</f>
        <v>2.502226555</v>
      </c>
      <c r="AD723" s="30">
        <f>IFERROR(__xludf.DUMMYFUNCTION("""COMPUTED_VALUE"""),0.9428355847714716)</f>
        <v>0.9428355848</v>
      </c>
      <c r="AE723" s="30">
        <f>IFERROR(__xludf.DUMMYFUNCTION("""COMPUTED_VALUE"""),0.9740584241977082)</f>
        <v>0.9740584242</v>
      </c>
      <c r="AF723" s="30">
        <f>IFERROR(__xludf.DUMMYFUNCTION("""COMPUTED_VALUE"""),0.9130049224300891)</f>
        <v>0.9130049224</v>
      </c>
      <c r="AG723" s="30">
        <f>IFERROR(__xludf.DUMMYFUNCTION("""COMPUTED_VALUE"""),1.027472157938908)</f>
        <v>1.027472158</v>
      </c>
      <c r="AH723" s="30">
        <f>IFERROR(__xludf.DUMMYFUNCTION("""COMPUTED_VALUE"""),0.9638474586769743)</f>
        <v>0.9638474587</v>
      </c>
      <c r="AI723" s="30">
        <f>IFERROR(__xludf.DUMMYFUNCTION("""COMPUTED_VALUE"""),0.9770394402899506)</f>
        <v>0.9770394403</v>
      </c>
      <c r="AJ723" s="30">
        <f>IFERROR(__xludf.DUMMYFUNCTION("""COMPUTED_VALUE"""),0.8568629410353156)</f>
        <v>0.856862941</v>
      </c>
      <c r="AK723" s="30">
        <f>IFERROR(__xludf.DUMMYFUNCTION("""COMPUTED_VALUE"""),0.9263116234512419)</f>
        <v>0.9263116235</v>
      </c>
      <c r="AL723" s="30">
        <f>IFERROR(__xludf.DUMMYFUNCTION("""COMPUTED_VALUE"""),1.0642397561979422)</f>
        <v>1.064239756</v>
      </c>
      <c r="AM723" s="30">
        <f>IFERROR(__xludf.DUMMYFUNCTION("""COMPUTED_VALUE"""),1.0218564326933635)</f>
        <v>1.021856433</v>
      </c>
      <c r="AN723" s="30">
        <f>IFERROR(__xludf.DUMMYFUNCTION("""COMPUTED_VALUE"""),0.9776741025397994)</f>
        <v>0.9776741025</v>
      </c>
      <c r="AO723" s="30">
        <f>IFERROR(__xludf.DUMMYFUNCTION("""COMPUTED_VALUE"""),1.0419668487731197)</f>
        <v>1.041966849</v>
      </c>
      <c r="AP723" s="30">
        <f>IFERROR(__xludf.DUMMYFUNCTION("""COMPUTED_VALUE"""),0.941337935329125)</f>
        <v>0.9413379353</v>
      </c>
      <c r="AQ723" s="30">
        <f>IFERROR(__xludf.DUMMYFUNCTION("""COMPUTED_VALUE"""),1.0357390173764212)</f>
        <v>1.035739017</v>
      </c>
      <c r="AR723" s="30">
        <f>IFERROR(__xludf.DUMMYFUNCTION("""COMPUTED_VALUE"""),1.042118527682888)</f>
        <v>1.042118528</v>
      </c>
      <c r="AS723" s="30">
        <f>IFERROR(__xludf.DUMMYFUNCTION("""COMPUTED_VALUE"""),78.0)</f>
        <v>78</v>
      </c>
      <c r="AT723" s="30">
        <f>IFERROR(__xludf.DUMMYFUNCTION("""COMPUTED_VALUE"""),0.5358612357963864)</f>
        <v>0.5358612358</v>
      </c>
      <c r="AU723" s="30">
        <f>IFERROR(__xludf.DUMMYFUNCTION("""COMPUTED_VALUE"""),2.2721200767234144)</f>
        <v>2.272120077</v>
      </c>
      <c r="AV723" s="32">
        <f>IFERROR(__xludf.DUMMYFUNCTION("""COMPUTED_VALUE"""),54.293387511430296)</f>
        <v>54.29338751</v>
      </c>
      <c r="AW723" s="32">
        <f>IFERROR(__xludf.DUMMYFUNCTION("""COMPUTED_VALUE"""),2.3157650421026874)</f>
        <v>2.315765042</v>
      </c>
      <c r="AX723" s="32">
        <f>IFERROR(__xludf.DUMMYFUNCTION("""COMPUTED_VALUE"""),40.843411815844156)</f>
        <v>40.84341182</v>
      </c>
      <c r="AY723" s="32">
        <f>IFERROR(__xludf.DUMMYFUNCTION("""COMPUTED_VALUE"""),-2.800459781055349)</f>
        <v>-2.800459781</v>
      </c>
      <c r="AZ723" s="30">
        <f>IFERROR(__xludf.DUMMYFUNCTION("""COMPUTED_VALUE"""),5.116224823158037)</f>
        <v>5.116224823</v>
      </c>
      <c r="BA723" s="30">
        <f>IFERROR(__xludf.DUMMYFUNCTION("""COMPUTED_VALUE"""),2700.0)</f>
        <v>2700</v>
      </c>
    </row>
    <row r="724">
      <c r="A724" s="71" t="str">
        <f>IFERROR(__xludf.DUMMYFUNCTION("""COMPUTED_VALUE"""),"Prospect")</f>
        <v>Prospect</v>
      </c>
      <c r="B724" s="71" t="str">
        <f>IFERROR(__xludf.DUMMYFUNCTION("""COMPUTED_VALUE"""),"RSC005915")</f>
        <v>RSC005915</v>
      </c>
      <c r="C724" s="30" t="str">
        <f>IFERROR(__xludf.DUMMYFUNCTION("""COMPUTED_VALUE"""),"BromzaTheOldMan")</f>
        <v>BromzaTheOldMan</v>
      </c>
      <c r="D724" s="30" t="str">
        <f>IFERROR(__xludf.DUMMYFUNCTION("""COMPUTED_VALUE"""),"Honey Badgers")</f>
        <v>Honey Badgers</v>
      </c>
      <c r="E724" s="30">
        <f>IFERROR(__xludf.DUMMYFUNCTION("""COMPUTED_VALUE"""),48.0)</f>
        <v>48</v>
      </c>
      <c r="F724" s="30">
        <f>IFERROR(__xludf.DUMMYFUNCTION("""COMPUTED_VALUE"""),26.0)</f>
        <v>26</v>
      </c>
      <c r="G724" s="42">
        <f>IFERROR(__xludf.DUMMYFUNCTION("""COMPUTED_VALUE"""),22.0)</f>
        <v>22</v>
      </c>
      <c r="H724" s="42">
        <f>IFERROR(__xludf.DUMMYFUNCTION("""COMPUTED_VALUE"""),0.5416666666666666)</f>
        <v>0.5416666667</v>
      </c>
      <c r="I724" s="42">
        <f>IFERROR(__xludf.DUMMYFUNCTION("""COMPUTED_VALUE"""),0.41481481481481486)</f>
        <v>0.4148148148</v>
      </c>
      <c r="J724" s="30">
        <f>IFERROR(__xludf.DUMMYFUNCTION("""COMPUTED_VALUE"""),388.625)</f>
        <v>388.625</v>
      </c>
      <c r="K724" s="30">
        <f>IFERROR(__xludf.DUMMYFUNCTION("""COMPUTED_VALUE"""),1.1666666666666667)</f>
        <v>1.166666667</v>
      </c>
      <c r="L724" s="30">
        <f>IFERROR(__xludf.DUMMYFUNCTION("""COMPUTED_VALUE"""),0.4375)</f>
        <v>0.4375</v>
      </c>
      <c r="M724" s="30">
        <f>IFERROR(__xludf.DUMMYFUNCTION("""COMPUTED_VALUE"""),1.3541666666666667)</f>
        <v>1.354166667</v>
      </c>
      <c r="N724" s="30">
        <f>IFERROR(__xludf.DUMMYFUNCTION("""COMPUTED_VALUE"""),2.8125)</f>
        <v>2.8125</v>
      </c>
      <c r="O724" s="30">
        <f>IFERROR(__xludf.DUMMYFUNCTION("""COMPUTED_VALUE"""),335.4305555555555)</f>
        <v>335.4305556</v>
      </c>
      <c r="P724" s="30">
        <f>IFERROR(__xludf.DUMMYFUNCTION("""COMPUTED_VALUE"""),0.7430555555555555)</f>
        <v>0.7430555556</v>
      </c>
      <c r="Q724" s="30">
        <f>IFERROR(__xludf.DUMMYFUNCTION("""COMPUTED_VALUE"""),0.5208333333333334)</f>
        <v>0.5208333333</v>
      </c>
      <c r="R724" s="30">
        <f>IFERROR(__xludf.DUMMYFUNCTION("""COMPUTED_VALUE"""),1.173611111111111)</f>
        <v>1.173611111</v>
      </c>
      <c r="S724" s="30">
        <f>IFERROR(__xludf.DUMMYFUNCTION("""COMPUTED_VALUE"""),2.5416666666666665)</f>
        <v>2.541666667</v>
      </c>
      <c r="T724" s="30">
        <f>IFERROR(__xludf.DUMMYFUNCTION("""COMPUTED_VALUE"""),337.20257147216824)</f>
        <v>337.2025715</v>
      </c>
      <c r="U724" s="30">
        <f>IFERROR(__xludf.DUMMYFUNCTION("""COMPUTED_VALUE"""),0.8074596957762799)</f>
        <v>0.8074596958</v>
      </c>
      <c r="V724" s="30">
        <f>IFERROR(__xludf.DUMMYFUNCTION("""COMPUTED_VALUE"""),0.5412155296440695)</f>
        <v>0.5412155296</v>
      </c>
      <c r="W724" s="30">
        <f>IFERROR(__xludf.DUMMYFUNCTION("""COMPUTED_VALUE"""),1.1786230558618151)</f>
        <v>1.178623056</v>
      </c>
      <c r="X724" s="30">
        <f>IFERROR(__xludf.DUMMYFUNCTION("""COMPUTED_VALUE"""),2.4401916422987386)</f>
        <v>2.440191642</v>
      </c>
      <c r="Y724" s="30">
        <f>IFERROR(__xludf.DUMMYFUNCTION("""COMPUTED_VALUE"""),334.2319898395694)</f>
        <v>334.2319898</v>
      </c>
      <c r="Z724" s="30">
        <f>IFERROR(__xludf.DUMMYFUNCTION("""COMPUTED_VALUE"""),0.7992644730507807)</f>
        <v>0.7992644731</v>
      </c>
      <c r="AA724" s="30">
        <f>IFERROR(__xludf.DUMMYFUNCTION("""COMPUTED_VALUE"""),0.5174335084015285)</f>
        <v>0.5174335084</v>
      </c>
      <c r="AB724" s="30">
        <f>IFERROR(__xludf.DUMMYFUNCTION("""COMPUTED_VALUE"""),1.2026361825094423)</f>
        <v>1.202636183</v>
      </c>
      <c r="AC724" s="30">
        <f>IFERROR(__xludf.DUMMYFUNCTION("""COMPUTED_VALUE"""),2.39502349992356)</f>
        <v>2.3950235</v>
      </c>
      <c r="AD724" s="30">
        <f>IFERROR(__xludf.DUMMYFUNCTION("""COMPUTED_VALUE"""),1.1627402876263853)</f>
        <v>1.162740288</v>
      </c>
      <c r="AE724" s="30">
        <f>IFERROR(__xludf.DUMMYFUNCTION("""COMPUTED_VALUE"""),1.4596753715494413)</f>
        <v>1.459675372</v>
      </c>
      <c r="AF724" s="30">
        <f>IFERROR(__xludf.DUMMYFUNCTION("""COMPUTED_VALUE"""),0.8455192655603972)</f>
        <v>0.8455192656</v>
      </c>
      <c r="AG724" s="30">
        <f>IFERROR(__xludf.DUMMYFUNCTION("""COMPUTED_VALUE"""),1.1259986073602395)</f>
        <v>1.125998607</v>
      </c>
      <c r="AH724" s="30">
        <f>IFERROR(__xludf.DUMMYFUNCTION("""COMPUTED_VALUE"""),1.1743099807119906)</f>
        <v>1.174309981</v>
      </c>
      <c r="AI724" s="30">
        <f>IFERROR(__xludf.DUMMYFUNCTION("""COMPUTED_VALUE"""),0.9947449513540884)</f>
        <v>0.9947449514</v>
      </c>
      <c r="AJ724" s="30">
        <f>IFERROR(__xludf.DUMMYFUNCTION("""COMPUTED_VALUE"""),0.9202385697297161)</f>
        <v>0.9202385697</v>
      </c>
      <c r="AK724" s="30">
        <f>IFERROR(__xludf.DUMMYFUNCTION("""COMPUTED_VALUE"""),0.9623399640358796)</f>
        <v>0.962339964</v>
      </c>
      <c r="AL724" s="30">
        <f>IFERROR(__xludf.DUMMYFUNCTION("""COMPUTED_VALUE"""),0.9957476270926675)</f>
        <v>0.9957476271</v>
      </c>
      <c r="AM724" s="30">
        <f>IFERROR(__xludf.DUMMYFUNCTION("""COMPUTED_VALUE"""),1.0415848585860803)</f>
        <v>1.041584859</v>
      </c>
      <c r="AN724" s="30">
        <f>IFERROR(__xludf.DUMMYFUNCTION("""COMPUTED_VALUE"""),1.208668818804641)</f>
        <v>1.208668819</v>
      </c>
      <c r="AO724" s="30">
        <f>IFERROR(__xludf.DUMMYFUNCTION("""COMPUTED_VALUE"""),1.58966737184617)</f>
        <v>1.589667372</v>
      </c>
      <c r="AP724" s="30">
        <f>IFERROR(__xludf.DUMMYFUNCTION("""COMPUTED_VALUE"""),0.875150111751296)</f>
        <v>0.8751501118</v>
      </c>
      <c r="AQ724" s="30">
        <f>IFERROR(__xludf.DUMMYFUNCTION("""COMPUTED_VALUE"""),1.1631012339440505)</f>
        <v>1.163101234</v>
      </c>
      <c r="AR724" s="30">
        <f>IFERROR(__xludf.DUMMYFUNCTION("""COMPUTED_VALUE"""),1.2152754171911726)</f>
        <v>1.215275417</v>
      </c>
      <c r="AS724" s="30">
        <f>IFERROR(__xludf.DUMMYFUNCTION("""COMPUTED_VALUE"""),122.0)</f>
        <v>122</v>
      </c>
      <c r="AT724" s="30">
        <f>IFERROR(__xludf.DUMMYFUNCTION("""COMPUTED_VALUE"""),0.5511777309611208)</f>
        <v>0.551177731</v>
      </c>
      <c r="AU724" s="30">
        <f>IFERROR(__xludf.DUMMYFUNCTION("""COMPUTED_VALUE"""),3.212392165432478)</f>
        <v>3.212392165</v>
      </c>
      <c r="AV724" s="32">
        <f>IFERROR(__xludf.DUMMYFUNCTION("""COMPUTED_VALUE"""),79.73503694117109)</f>
        <v>79.73503694</v>
      </c>
      <c r="AW724" s="32">
        <f>IFERROR(__xludf.DUMMYFUNCTION("""COMPUTED_VALUE"""),8.536730919453818)</f>
        <v>8.536730919</v>
      </c>
      <c r="AX724" s="32">
        <f>IFERROR(__xludf.DUMMYFUNCTION("""COMPUTED_VALUE"""),64.24424898832295)</f>
        <v>64.24424899</v>
      </c>
      <c r="AY724" s="32">
        <f>IFERROR(__xludf.DUMMYFUNCTION("""COMPUTED_VALUE"""),3.515965886238406)</f>
        <v>3.515965886</v>
      </c>
      <c r="AZ724" s="30">
        <f>IFERROR(__xludf.DUMMYFUNCTION("""COMPUTED_VALUE"""),5.020765033215413)</f>
        <v>5.020765033</v>
      </c>
      <c r="BA724" s="30">
        <f>IFERROR(__xludf.DUMMYFUNCTION("""COMPUTED_VALUE"""),2700.0)</f>
        <v>2700</v>
      </c>
    </row>
    <row r="725">
      <c r="A725" s="71" t="str">
        <f>IFERROR(__xludf.DUMMYFUNCTION("""COMPUTED_VALUE"""),"Prospect")</f>
        <v>Prospect</v>
      </c>
      <c r="B725" s="71" t="str">
        <f>IFERROR(__xludf.DUMMYFUNCTION("""COMPUTED_VALUE"""),"RSC003374")</f>
        <v>RSC003374</v>
      </c>
      <c r="C725" s="30" t="str">
        <f>IFERROR(__xludf.DUMMYFUNCTION("""COMPUTED_VALUE"""),"Raisonbran")</f>
        <v>Raisonbran</v>
      </c>
      <c r="D725" s="30" t="str">
        <f>IFERROR(__xludf.DUMMYFUNCTION("""COMPUTED_VALUE"""),"Skeletons")</f>
        <v>Skeletons</v>
      </c>
      <c r="E725" s="30">
        <f>IFERROR(__xludf.DUMMYFUNCTION("""COMPUTED_VALUE"""),38.0)</f>
        <v>38</v>
      </c>
      <c r="F725" s="30">
        <f>IFERROR(__xludf.DUMMYFUNCTION("""COMPUTED_VALUE"""),17.0)</f>
        <v>17</v>
      </c>
      <c r="G725" s="42">
        <f>IFERROR(__xludf.DUMMYFUNCTION("""COMPUTED_VALUE"""),21.0)</f>
        <v>21</v>
      </c>
      <c r="H725" s="42">
        <f>IFERROR(__xludf.DUMMYFUNCTION("""COMPUTED_VALUE"""),0.4473684210526316)</f>
        <v>0.4473684211</v>
      </c>
      <c r="I725" s="42">
        <f>IFERROR(__xludf.DUMMYFUNCTION("""COMPUTED_VALUE"""),0.3626373626373626)</f>
        <v>0.3626373626</v>
      </c>
      <c r="J725" s="30">
        <f>IFERROR(__xludf.DUMMYFUNCTION("""COMPUTED_VALUE"""),332.4736842105263)</f>
        <v>332.4736842</v>
      </c>
      <c r="K725" s="30">
        <f>IFERROR(__xludf.DUMMYFUNCTION("""COMPUTED_VALUE"""),0.868421052631579)</f>
        <v>0.8684210526</v>
      </c>
      <c r="L725" s="30">
        <f>IFERROR(__xludf.DUMMYFUNCTION("""COMPUTED_VALUE"""),0.3157894736842105)</f>
        <v>0.3157894737</v>
      </c>
      <c r="M725" s="30">
        <f>IFERROR(__xludf.DUMMYFUNCTION("""COMPUTED_VALUE"""),1.2894736842105263)</f>
        <v>1.289473684</v>
      </c>
      <c r="N725" s="30">
        <f>IFERROR(__xludf.DUMMYFUNCTION("""COMPUTED_VALUE"""),2.3947368421052633)</f>
        <v>2.394736842</v>
      </c>
      <c r="O725" s="30">
        <f>IFERROR(__xludf.DUMMYFUNCTION("""COMPUTED_VALUE"""),321.83333333333337)</f>
        <v>321.8333333</v>
      </c>
      <c r="P725" s="30">
        <f>IFERROR(__xludf.DUMMYFUNCTION("""COMPUTED_VALUE"""),0.7982456140350876)</f>
        <v>0.798245614</v>
      </c>
      <c r="Q725" s="30">
        <f>IFERROR(__xludf.DUMMYFUNCTION("""COMPUTED_VALUE"""),0.48245614035087736)</f>
        <v>0.4824561404</v>
      </c>
      <c r="R725" s="30">
        <f>IFERROR(__xludf.DUMMYFUNCTION("""COMPUTED_VALUE"""),1.0877192982456139)</f>
        <v>1.087719298</v>
      </c>
      <c r="S725" s="30">
        <f>IFERROR(__xludf.DUMMYFUNCTION("""COMPUTED_VALUE"""),2.5614035087719302)</f>
        <v>2.561403509</v>
      </c>
      <c r="T725" s="30">
        <f>IFERROR(__xludf.DUMMYFUNCTION("""COMPUTED_VALUE"""),329.59903850540866)</f>
        <v>329.5990385</v>
      </c>
      <c r="U725" s="30">
        <f>IFERROR(__xludf.DUMMYFUNCTION("""COMPUTED_VALUE"""),0.7969843683507623)</f>
        <v>0.7969843684</v>
      </c>
      <c r="V725" s="30">
        <f>IFERROR(__xludf.DUMMYFUNCTION("""COMPUTED_VALUE"""),0.5323429906926953)</f>
        <v>0.5323429907</v>
      </c>
      <c r="W725" s="30">
        <f>IFERROR(__xludf.DUMMYFUNCTION("""COMPUTED_VALUE"""),1.143488144570025)</f>
        <v>1.143488145</v>
      </c>
      <c r="X725" s="30">
        <f>IFERROR(__xludf.DUMMYFUNCTION("""COMPUTED_VALUE"""),2.3839399322293557)</f>
        <v>2.383939932</v>
      </c>
      <c r="Y725" s="30">
        <f>IFERROR(__xludf.DUMMYFUNCTION("""COMPUTED_VALUE"""),333.6239513967076)</f>
        <v>333.6239514</v>
      </c>
      <c r="Z725" s="30">
        <f>IFERROR(__xludf.DUMMYFUNCTION("""COMPUTED_VALUE"""),0.8015910260724886)</f>
        <v>0.8015910261</v>
      </c>
      <c r="AA725" s="30">
        <f>IFERROR(__xludf.DUMMYFUNCTION("""COMPUTED_VALUE"""),0.5316669196974497)</f>
        <v>0.5316669197</v>
      </c>
      <c r="AB725" s="30">
        <f>IFERROR(__xludf.DUMMYFUNCTION("""COMPUTED_VALUE"""),1.178233836024162)</f>
        <v>1.178233836</v>
      </c>
      <c r="AC725" s="30">
        <f>IFERROR(__xludf.DUMMYFUNCTION("""COMPUTED_VALUE"""),2.3801377795986363)</f>
        <v>2.38013778</v>
      </c>
      <c r="AD725" s="30">
        <f>IFERROR(__xludf.DUMMYFUNCTION("""COMPUTED_VALUE"""),0.9965522044164823)</f>
        <v>0.9965522044</v>
      </c>
      <c r="AE725" s="30">
        <f>IFERROR(__xludf.DUMMYFUNCTION("""COMPUTED_VALUE"""),1.083371724963706)</f>
        <v>1.083371725</v>
      </c>
      <c r="AF725" s="30">
        <f>IFERROR(__xludf.DUMMYFUNCTION("""COMPUTED_VALUE"""),0.5939611098315344)</f>
        <v>0.5939611098</v>
      </c>
      <c r="AG725" s="30">
        <f>IFERROR(__xludf.DUMMYFUNCTION("""COMPUTED_VALUE"""),1.0944123694170358)</f>
        <v>1.094412369</v>
      </c>
      <c r="AH725" s="30">
        <f>IFERROR(__xludf.DUMMYFUNCTION("""COMPUTED_VALUE"""),1.006133704792959)</f>
        <v>1.006133705</v>
      </c>
      <c r="AI725" s="30">
        <f>IFERROR(__xludf.DUMMYFUNCTION("""COMPUTED_VALUE"""),0.9764389325670079)</f>
        <v>0.9764389326</v>
      </c>
      <c r="AJ725" s="30">
        <f>IFERROR(__xludf.DUMMYFUNCTION("""COMPUTED_VALUE"""),1.0015825224865267)</f>
        <v>1.001582522</v>
      </c>
      <c r="AK725" s="30">
        <f>IFERROR(__xludf.DUMMYFUNCTION("""COMPUTED_VALUE"""),0.9062881427688112)</f>
        <v>0.9062881428</v>
      </c>
      <c r="AL725" s="30">
        <f>IFERROR(__xludf.DUMMYFUNCTION("""COMPUTED_VALUE"""),0.9512291871242956)</f>
        <v>0.9512291871</v>
      </c>
      <c r="AM725" s="30">
        <f>IFERROR(__xludf.DUMMYFUNCTION("""COMPUTED_VALUE"""),1.0744412953293745)</f>
        <v>1.074441295</v>
      </c>
      <c r="AN725" s="30">
        <f>IFERROR(__xludf.DUMMYFUNCTION("""COMPUTED_VALUE"""),1.0340317148365752)</f>
        <v>1.034031715</v>
      </c>
      <c r="AO725" s="30">
        <f>IFERROR(__xludf.DUMMYFUNCTION("""COMPUTED_VALUE"""),1.1832862391937657)</f>
        <v>1.183286239</v>
      </c>
      <c r="AP725" s="30">
        <f>IFERROR(__xludf.DUMMYFUNCTION("""COMPUTED_VALUE"""),0.6316872987077023)</f>
        <v>0.6316872987</v>
      </c>
      <c r="AQ725" s="30">
        <f>IFERROR(__xludf.DUMMYFUNCTION("""COMPUTED_VALUE"""),1.1075360737799216)</f>
        <v>1.107536074</v>
      </c>
      <c r="AR725" s="30">
        <f>IFERROR(__xludf.DUMMYFUNCTION("""COMPUTED_VALUE"""),1.0347608230586827)</f>
        <v>1.034760823</v>
      </c>
      <c r="AS725" s="30">
        <f>IFERROR(__xludf.DUMMYFUNCTION("""COMPUTED_VALUE"""),83.0)</f>
        <v>83</v>
      </c>
      <c r="AT725" s="30">
        <f>IFERROR(__xludf.DUMMYFUNCTION("""COMPUTED_VALUE"""),0.4644594823208234)</f>
        <v>0.4644594823</v>
      </c>
      <c r="AU725" s="30">
        <f>IFERROR(__xludf.DUMMYFUNCTION("""COMPUTED_VALUE"""),2.272970380767317)</f>
        <v>2.272970381</v>
      </c>
      <c r="AV725" s="32">
        <f>IFERROR(__xludf.DUMMYFUNCTION("""COMPUTED_VALUE"""),54.31639482777355)</f>
        <v>54.31639483</v>
      </c>
      <c r="AW725" s="32">
        <f>IFERROR(__xludf.DUMMYFUNCTION("""COMPUTED_VALUE"""),2.3177065995741115)</f>
        <v>2.3177066</v>
      </c>
      <c r="AX725" s="32">
        <f>IFERROR(__xludf.DUMMYFUNCTION("""COMPUTED_VALUE"""),42.020945092796524)</f>
        <v>42.02094509</v>
      </c>
      <c r="AY725" s="32">
        <f>IFERROR(__xludf.DUMMYFUNCTION("""COMPUTED_VALUE"""),-2.6680771118888416)</f>
        <v>-2.668077112</v>
      </c>
      <c r="AZ725" s="30">
        <f>IFERROR(__xludf.DUMMYFUNCTION("""COMPUTED_VALUE"""),4.985783711462953)</f>
        <v>4.985783711</v>
      </c>
      <c r="BA725" s="30">
        <f>IFERROR(__xludf.DUMMYFUNCTION("""COMPUTED_VALUE"""),2700.0)</f>
        <v>2700</v>
      </c>
    </row>
    <row r="726">
      <c r="A726" s="71" t="str">
        <f>IFERROR(__xludf.DUMMYFUNCTION("""COMPUTED_VALUE"""),"Prospect")</f>
        <v>Prospect</v>
      </c>
      <c r="B726" s="71" t="str">
        <f>IFERROR(__xludf.DUMMYFUNCTION("""COMPUTED_VALUE"""),"RSC005884")</f>
        <v>RSC005884</v>
      </c>
      <c r="C726" s="30" t="str">
        <f>IFERROR(__xludf.DUMMYFUNCTION("""COMPUTED_VALUE"""),"Zachthebull36")</f>
        <v>Zachthebull36</v>
      </c>
      <c r="D726" s="30" t="str">
        <f>IFERROR(__xludf.DUMMYFUNCTION("""COMPUTED_VALUE"""),"Earth")</f>
        <v>Earth</v>
      </c>
      <c r="E726" s="30">
        <f>IFERROR(__xludf.DUMMYFUNCTION("""COMPUTED_VALUE"""),34.0)</f>
        <v>34</v>
      </c>
      <c r="F726" s="30">
        <f>IFERROR(__xludf.DUMMYFUNCTION("""COMPUTED_VALUE"""),20.0)</f>
        <v>20</v>
      </c>
      <c r="G726" s="42">
        <f>IFERROR(__xludf.DUMMYFUNCTION("""COMPUTED_VALUE"""),14.0)</f>
        <v>14</v>
      </c>
      <c r="H726" s="42">
        <f>IFERROR(__xludf.DUMMYFUNCTION("""COMPUTED_VALUE"""),0.5882352941176471)</f>
        <v>0.5882352941</v>
      </c>
      <c r="I726" s="42">
        <f>IFERROR(__xludf.DUMMYFUNCTION("""COMPUTED_VALUE"""),0.3163265306122449)</f>
        <v>0.3163265306</v>
      </c>
      <c r="J726" s="30">
        <f>IFERROR(__xludf.DUMMYFUNCTION("""COMPUTED_VALUE"""),326.61764705882354)</f>
        <v>326.6176471</v>
      </c>
      <c r="K726" s="30">
        <f>IFERROR(__xludf.DUMMYFUNCTION("""COMPUTED_VALUE"""),0.9117647058823529)</f>
        <v>0.9117647059</v>
      </c>
      <c r="L726" s="30">
        <f>IFERROR(__xludf.DUMMYFUNCTION("""COMPUTED_VALUE"""),0.5588235294117647)</f>
        <v>0.5588235294</v>
      </c>
      <c r="M726" s="30">
        <f>IFERROR(__xludf.DUMMYFUNCTION("""COMPUTED_VALUE"""),0.7647058823529411)</f>
        <v>0.7647058824</v>
      </c>
      <c r="N726" s="30">
        <f>IFERROR(__xludf.DUMMYFUNCTION("""COMPUTED_VALUE"""),2.8823529411764706)</f>
        <v>2.882352941</v>
      </c>
      <c r="O726" s="30">
        <f>IFERROR(__xludf.DUMMYFUNCTION("""COMPUTED_VALUE"""),355.8921568627451)</f>
        <v>355.8921569</v>
      </c>
      <c r="P726" s="30">
        <f>IFERROR(__xludf.DUMMYFUNCTION("""COMPUTED_VALUE"""),0.8823529411764706)</f>
        <v>0.8823529412</v>
      </c>
      <c r="Q726" s="30">
        <f>IFERROR(__xludf.DUMMYFUNCTION("""COMPUTED_VALUE"""),0.5588235294117646)</f>
        <v>0.5588235294</v>
      </c>
      <c r="R726" s="30">
        <f>IFERROR(__xludf.DUMMYFUNCTION("""COMPUTED_VALUE"""),1.352941176470588)</f>
        <v>1.352941176</v>
      </c>
      <c r="S726" s="30">
        <f>IFERROR(__xludf.DUMMYFUNCTION("""COMPUTED_VALUE"""),2.205882352941177)</f>
        <v>2.205882353</v>
      </c>
      <c r="T726" s="30">
        <f>IFERROR(__xludf.DUMMYFUNCTION("""COMPUTED_VALUE"""),323.61337053949245)</f>
        <v>323.6133705</v>
      </c>
      <c r="U726" s="30">
        <f>IFERROR(__xludf.DUMMYFUNCTION("""COMPUTED_VALUE"""),0.7344039978101581)</f>
        <v>0.7344039978</v>
      </c>
      <c r="V726" s="30">
        <f>IFERROR(__xludf.DUMMYFUNCTION("""COMPUTED_VALUE"""),0.46375139101791246)</f>
        <v>0.463751391</v>
      </c>
      <c r="W726" s="30">
        <f>IFERROR(__xludf.DUMMYFUNCTION("""COMPUTED_VALUE"""),1.2092318141485618)</f>
        <v>1.209231814</v>
      </c>
      <c r="X726" s="30">
        <f>IFERROR(__xludf.DUMMYFUNCTION("""COMPUTED_VALUE"""),2.2278700127530895)</f>
        <v>2.227870013</v>
      </c>
      <c r="Y726" s="30">
        <f>IFERROR(__xludf.DUMMYFUNCTION("""COMPUTED_VALUE"""),342.9397352460659)</f>
        <v>342.9397352</v>
      </c>
      <c r="Z726" s="30">
        <f>IFERROR(__xludf.DUMMYFUNCTION("""COMPUTED_VALUE"""),0.8518844999869642)</f>
        <v>0.8518845</v>
      </c>
      <c r="AA726" s="30">
        <f>IFERROR(__xludf.DUMMYFUNCTION("""COMPUTED_VALUE"""),0.5694329279015096)</f>
        <v>0.5694329279</v>
      </c>
      <c r="AB726" s="30">
        <f>IFERROR(__xludf.DUMMYFUNCTION("""COMPUTED_VALUE"""),1.127223040932547)</f>
        <v>1.127223041</v>
      </c>
      <c r="AC726" s="30">
        <f>IFERROR(__xludf.DUMMYFUNCTION("""COMPUTED_VALUE"""),2.641674327856873)</f>
        <v>2.641674328</v>
      </c>
      <c r="AD726" s="30">
        <f>IFERROR(__xludf.DUMMYFUNCTION("""COMPUTED_VALUE"""),0.9524053747357946)</f>
        <v>0.9524053747</v>
      </c>
      <c r="AE726" s="30">
        <f>IFERROR(__xludf.DUMMYFUNCTION("""COMPUTED_VALUE"""),1.0702914607511993)</f>
        <v>1.070291461</v>
      </c>
      <c r="AF726" s="30">
        <f>IFERROR(__xludf.DUMMYFUNCTION("""COMPUTED_VALUE"""),0.9813684843817464)</f>
        <v>0.9813684844</v>
      </c>
      <c r="AG726" s="30">
        <f>IFERROR(__xludf.DUMMYFUNCTION("""COMPUTED_VALUE"""),0.6783980229150596)</f>
        <v>0.6783980229</v>
      </c>
      <c r="AH726" s="30">
        <f>IFERROR(__xludf.DUMMYFUNCTION("""COMPUTED_VALUE"""),1.0911083591120994)</f>
        <v>1.091108359</v>
      </c>
      <c r="AI726" s="30">
        <f>IFERROR(__xludf.DUMMYFUNCTION("""COMPUTED_VALUE"""),1.0997449093943215)</f>
        <v>1.099744909</v>
      </c>
      <c r="AJ726" s="30">
        <f>IFERROR(__xludf.DUMMYFUNCTION("""COMPUTED_VALUE"""),1.201454436260513)</f>
        <v>1.201454436</v>
      </c>
      <c r="AK726" s="30">
        <f>IFERROR(__xludf.DUMMYFUNCTION("""COMPUTED_VALUE"""),1.2050066915921767)</f>
        <v>1.205006692</v>
      </c>
      <c r="AL726" s="30">
        <f>IFERROR(__xludf.DUMMYFUNCTION("""COMPUTED_VALUE"""),1.1188435175460663)</f>
        <v>1.118843518</v>
      </c>
      <c r="AM726" s="30">
        <f>IFERROR(__xludf.DUMMYFUNCTION("""COMPUTED_VALUE"""),0.9901306361295553)</f>
        <v>0.9901306361</v>
      </c>
      <c r="AN726" s="30">
        <f>IFERROR(__xludf.DUMMYFUNCTION("""COMPUTED_VALUE"""),1.0158187601707027)</f>
        <v>1.01581876</v>
      </c>
      <c r="AO726" s="30">
        <f>IFERROR(__xludf.DUMMYFUNCTION("""COMPUTED_VALUE"""),1.2423450889217966)</f>
        <v>1.242345089</v>
      </c>
      <c r="AP726" s="30">
        <f>IFERROR(__xludf.DUMMYFUNCTION("""COMPUTED_VALUE"""),1.117838798203336)</f>
        <v>1.117838798</v>
      </c>
      <c r="AQ726" s="30">
        <f>IFERROR(__xludf.DUMMYFUNCTION("""COMPUTED_VALUE"""),0.6568101085801695)</f>
        <v>0.6568101086</v>
      </c>
      <c r="AR726" s="30">
        <f>IFERROR(__xludf.DUMMYFUNCTION("""COMPUTED_VALUE"""),1.2454587282063783)</f>
        <v>1.245458728</v>
      </c>
      <c r="AS726" s="30">
        <f>IFERROR(__xludf.DUMMYFUNCTION("""COMPUTED_VALUE"""),101.0)</f>
        <v>101</v>
      </c>
      <c r="AT726" s="30">
        <f>IFERROR(__xludf.DUMMYFUNCTION("""COMPUTED_VALUE"""),0.5471670862232765)</f>
        <v>0.5471670862</v>
      </c>
      <c r="AU726" s="30">
        <f>IFERROR(__xludf.DUMMYFUNCTION("""COMPUTED_VALUE"""),2.4665115865073766)</f>
        <v>2.466511587</v>
      </c>
      <c r="AV726" s="32">
        <f>IFERROR(__xludf.DUMMYFUNCTION("""COMPUTED_VALUE"""),59.553184865227806)</f>
        <v>59.55318487</v>
      </c>
      <c r="AW726" s="32">
        <f>IFERROR(__xludf.DUMMYFUNCTION("""COMPUTED_VALUE"""),2.8475147063446187)</f>
        <v>2.847514706</v>
      </c>
      <c r="AX726" s="32">
        <f>IFERROR(__xludf.DUMMYFUNCTION("""COMPUTED_VALUE"""),48.04744178855524)</f>
        <v>48.04744179</v>
      </c>
      <c r="AY726" s="32">
        <f>IFERROR(__xludf.DUMMYFUNCTION("""COMPUTED_VALUE"""),-2.1327722037806756)</f>
        <v>-2.132772204</v>
      </c>
      <c r="AZ726" s="30">
        <f>IFERROR(__xludf.DUMMYFUNCTION("""COMPUTED_VALUE"""),4.980286910125294)</f>
        <v>4.98028691</v>
      </c>
      <c r="BA726" s="30">
        <f>IFERROR(__xludf.DUMMYFUNCTION("""COMPUTED_VALUE"""),2700.0)</f>
        <v>2700</v>
      </c>
    </row>
    <row r="727">
      <c r="A727" s="71" t="str">
        <f>IFERROR(__xludf.DUMMYFUNCTION("""COMPUTED_VALUE"""),"Prospect")</f>
        <v>Prospect</v>
      </c>
      <c r="B727" s="71" t="str">
        <f>IFERROR(__xludf.DUMMYFUNCTION("""COMPUTED_VALUE"""),"RSC007141")</f>
        <v>RSC007141</v>
      </c>
      <c r="C727" s="30" t="str">
        <f>IFERROR(__xludf.DUMMYFUNCTION("""COMPUTED_VALUE"""),"Cuddlingus")</f>
        <v>Cuddlingus</v>
      </c>
      <c r="D727" s="30" t="str">
        <f>IFERROR(__xludf.DUMMYFUNCTION("""COMPUTED_VALUE"""),"Skeletons")</f>
        <v>Skeletons</v>
      </c>
      <c r="E727" s="30">
        <f>IFERROR(__xludf.DUMMYFUNCTION("""COMPUTED_VALUE"""),28.0)</f>
        <v>28</v>
      </c>
      <c r="F727" s="30">
        <f>IFERROR(__xludf.DUMMYFUNCTION("""COMPUTED_VALUE"""),13.0)</f>
        <v>13</v>
      </c>
      <c r="G727" s="42">
        <f>IFERROR(__xludf.DUMMYFUNCTION("""COMPUTED_VALUE"""),15.0)</f>
        <v>15</v>
      </c>
      <c r="H727" s="42">
        <f>IFERROR(__xludf.DUMMYFUNCTION("""COMPUTED_VALUE"""),0.4642857142857143)</f>
        <v>0.4642857143</v>
      </c>
      <c r="I727" s="42">
        <f>IFERROR(__xludf.DUMMYFUNCTION("""COMPUTED_VALUE"""),0.3194444444444444)</f>
        <v>0.3194444444</v>
      </c>
      <c r="J727" s="30">
        <f>IFERROR(__xludf.DUMMYFUNCTION("""COMPUTED_VALUE"""),323.10714285714283)</f>
        <v>323.1071429</v>
      </c>
      <c r="K727" s="30">
        <f>IFERROR(__xludf.DUMMYFUNCTION("""COMPUTED_VALUE"""),0.8214285714285714)</f>
        <v>0.8214285714</v>
      </c>
      <c r="L727" s="30">
        <f>IFERROR(__xludf.DUMMYFUNCTION("""COMPUTED_VALUE"""),0.39285714285714285)</f>
        <v>0.3928571429</v>
      </c>
      <c r="M727" s="30">
        <f>IFERROR(__xludf.DUMMYFUNCTION("""COMPUTED_VALUE"""),1.0)</f>
        <v>1</v>
      </c>
      <c r="N727" s="30">
        <f>IFERROR(__xludf.DUMMYFUNCTION("""COMPUTED_VALUE"""),2.5714285714285716)</f>
        <v>2.571428571</v>
      </c>
      <c r="O727" s="30">
        <f>IFERROR(__xludf.DUMMYFUNCTION("""COMPUTED_VALUE"""),346.7619047619047)</f>
        <v>346.7619048</v>
      </c>
      <c r="P727" s="30">
        <f>IFERROR(__xludf.DUMMYFUNCTION("""COMPUTED_VALUE"""),0.8690476190476192)</f>
        <v>0.869047619</v>
      </c>
      <c r="Q727" s="30">
        <f>IFERROR(__xludf.DUMMYFUNCTION("""COMPUTED_VALUE"""),0.5595238095238095)</f>
        <v>0.5595238095</v>
      </c>
      <c r="R727" s="30">
        <f>IFERROR(__xludf.DUMMYFUNCTION("""COMPUTED_VALUE"""),1.2499999999999998)</f>
        <v>1.25</v>
      </c>
      <c r="S727" s="30">
        <f>IFERROR(__xludf.DUMMYFUNCTION("""COMPUTED_VALUE"""),2.3928571428571423)</f>
        <v>2.392857143</v>
      </c>
      <c r="T727" s="30">
        <f>IFERROR(__xludf.DUMMYFUNCTION("""COMPUTED_VALUE"""),342.9290025787203)</f>
        <v>342.9290026</v>
      </c>
      <c r="U727" s="30">
        <f>IFERROR(__xludf.DUMMYFUNCTION("""COMPUTED_VALUE"""),0.8697151040502108)</f>
        <v>0.8697151041</v>
      </c>
      <c r="V727" s="30">
        <f>IFERROR(__xludf.DUMMYFUNCTION("""COMPUTED_VALUE"""),0.5747890059754764)</f>
        <v>0.574789006</v>
      </c>
      <c r="W727" s="30">
        <f>IFERROR(__xludf.DUMMYFUNCTION("""COMPUTED_VALUE"""),1.1500185079306822)</f>
        <v>1.150018508</v>
      </c>
      <c r="X727" s="30">
        <f>IFERROR(__xludf.DUMMYFUNCTION("""COMPUTED_VALUE"""),2.5270023288052186)</f>
        <v>2.527002329</v>
      </c>
      <c r="Y727" s="30">
        <f>IFERROR(__xludf.DUMMYFUNCTION("""COMPUTED_VALUE"""),332.50244901774266)</f>
        <v>332.502449</v>
      </c>
      <c r="Z727" s="30">
        <f>IFERROR(__xludf.DUMMYFUNCTION("""COMPUTED_VALUE"""),0.7663482866192519)</f>
        <v>0.7663482866</v>
      </c>
      <c r="AA727" s="30">
        <f>IFERROR(__xludf.DUMMYFUNCTION("""COMPUTED_VALUE"""),0.513422330342858)</f>
        <v>0.5134223303</v>
      </c>
      <c r="AB727" s="30">
        <f>IFERROR(__xludf.DUMMYFUNCTION("""COMPUTED_VALUE"""),1.2189224698848895)</f>
        <v>1.21892247</v>
      </c>
      <c r="AC727" s="30">
        <f>IFERROR(__xludf.DUMMYFUNCTION("""COMPUTED_VALUE"""),2.3619787443539835)</f>
        <v>2.361978744</v>
      </c>
      <c r="AD727" s="30">
        <f>IFERROR(__xludf.DUMMYFUNCTION("""COMPUTED_VALUE"""),0.9717436482397203)</f>
        <v>0.9717436482</v>
      </c>
      <c r="AE727" s="30">
        <f>IFERROR(__xludf.DUMMYFUNCTION("""COMPUTED_VALUE"""),1.071873697339765)</f>
        <v>1.071873697</v>
      </c>
      <c r="AF727" s="30">
        <f>IFERROR(__xludf.DUMMYFUNCTION("""COMPUTED_VALUE"""),0.7651734637151387)</f>
        <v>0.7651734637</v>
      </c>
      <c r="AG727" s="30">
        <f>IFERROR(__xludf.DUMMYFUNCTION("""COMPUTED_VALUE"""),0.8203967230946495)</f>
        <v>0.8203967231</v>
      </c>
      <c r="AH727" s="30">
        <f>IFERROR(__xludf.DUMMYFUNCTION("""COMPUTED_VALUE"""),1.08867557660087)</f>
        <v>1.088675577</v>
      </c>
      <c r="AI727" s="30">
        <f>IFERROR(__xludf.DUMMYFUNCTION("""COMPUTED_VALUE"""),1.0111769554466439)</f>
        <v>1.011176955</v>
      </c>
      <c r="AJ727" s="30">
        <f>IFERROR(__xludf.DUMMYFUNCTION("""COMPUTED_VALUE"""),0.9992325245365026)</f>
        <v>0.9992325245</v>
      </c>
      <c r="AK727" s="30">
        <f>IFERROR(__xludf.DUMMYFUNCTION("""COMPUTED_VALUE"""),0.9734420869345608)</f>
        <v>0.9734420869</v>
      </c>
      <c r="AL727" s="30">
        <f>IFERROR(__xludf.DUMMYFUNCTION("""COMPUTED_VALUE"""),1.0869390287024354)</f>
        <v>1.086939029</v>
      </c>
      <c r="AM727" s="30">
        <f>IFERROR(__xludf.DUMMYFUNCTION("""COMPUTED_VALUE"""),0.9469152899390082)</f>
        <v>0.9469152899</v>
      </c>
      <c r="AN727" s="30">
        <f>IFERROR(__xludf.DUMMYFUNCTION("""COMPUTED_VALUE"""),1.0049006849906343)</f>
        <v>1.004900685</v>
      </c>
      <c r="AO727" s="30">
        <f>IFERROR(__xludf.DUMMYFUNCTION("""COMPUTED_VALUE"""),1.1192555985447523)</f>
        <v>1.119255599</v>
      </c>
      <c r="AP727" s="30">
        <f>IFERROR(__xludf.DUMMYFUNCTION("""COMPUTED_VALUE"""),0.7858490799399392)</f>
        <v>0.7858490799</v>
      </c>
      <c r="AQ727" s="30">
        <f>IFERROR(__xludf.DUMMYFUNCTION("""COMPUTED_VALUE"""),0.8589055266048372)</f>
        <v>0.8589055266</v>
      </c>
      <c r="AR727" s="30">
        <f>IFERROR(__xludf.DUMMYFUNCTION("""COMPUTED_VALUE"""),1.1111089528605007)</f>
        <v>1.111108953</v>
      </c>
      <c r="AS727" s="30">
        <f>IFERROR(__xludf.DUMMYFUNCTION("""COMPUTED_VALUE"""),70.0)</f>
        <v>70</v>
      </c>
      <c r="AT727" s="30">
        <f>IFERROR(__xludf.DUMMYFUNCTION("""COMPUTED_VALUE"""),0.48325428956390115)</f>
        <v>0.4832542896</v>
      </c>
      <c r="AU727" s="30">
        <f>IFERROR(__xludf.DUMMYFUNCTION("""COMPUTED_VALUE"""),2.3706427609410317)</f>
        <v>2.370642761</v>
      </c>
      <c r="AV727" s="32">
        <f>IFERROR(__xludf.DUMMYFUNCTION("""COMPUTED_VALUE"""),56.959189913565886)</f>
        <v>56.95918991</v>
      </c>
      <c r="AW727" s="32">
        <f>IFERROR(__xludf.DUMMYFUNCTION("""COMPUTED_VALUE"""),2.5617044439629866)</f>
        <v>2.561704444</v>
      </c>
      <c r="AX727" s="32">
        <f>IFERROR(__xludf.DUMMYFUNCTION("""COMPUTED_VALUE"""),44.61135330779445)</f>
        <v>44.61135331</v>
      </c>
      <c r="AY727" s="32">
        <f>IFERROR(__xludf.DUMMYFUNCTION("""COMPUTED_VALUE"""),-2.411551073675471)</f>
        <v>-2.411551074</v>
      </c>
      <c r="AZ727" s="30">
        <f>IFERROR(__xludf.DUMMYFUNCTION("""COMPUTED_VALUE"""),4.973255517638457)</f>
        <v>4.973255518</v>
      </c>
      <c r="BA727" s="30">
        <f>IFERROR(__xludf.DUMMYFUNCTION("""COMPUTED_VALUE"""),2700.0)</f>
        <v>2700</v>
      </c>
    </row>
    <row r="728">
      <c r="A728" s="71" t="str">
        <f>IFERROR(__xludf.DUMMYFUNCTION("""COMPUTED_VALUE"""),"Prospect")</f>
        <v>Prospect</v>
      </c>
      <c r="B728" s="71" t="str">
        <f>IFERROR(__xludf.DUMMYFUNCTION("""COMPUTED_VALUE"""),"RSC007138")</f>
        <v>RSC007138</v>
      </c>
      <c r="C728" s="30" t="str">
        <f>IFERROR(__xludf.DUMMYFUNCTION("""COMPUTED_VALUE"""),"GFC-RAIDER")</f>
        <v>GFC-RAIDER</v>
      </c>
      <c r="D728" s="30" t="str">
        <f>IFERROR(__xludf.DUMMYFUNCTION("""COMPUTED_VALUE"""),"Mop Tops")</f>
        <v>Mop Tops</v>
      </c>
      <c r="E728" s="30">
        <f>IFERROR(__xludf.DUMMYFUNCTION("""COMPUTED_VALUE"""),25.0)</f>
        <v>25</v>
      </c>
      <c r="F728" s="30">
        <f>IFERROR(__xludf.DUMMYFUNCTION("""COMPUTED_VALUE"""),16.0)</f>
        <v>16</v>
      </c>
      <c r="G728" s="42">
        <f>IFERROR(__xludf.DUMMYFUNCTION("""COMPUTED_VALUE"""),9.0)</f>
        <v>9</v>
      </c>
      <c r="H728" s="42">
        <f>IFERROR(__xludf.DUMMYFUNCTION("""COMPUTED_VALUE"""),0.64)</f>
        <v>0.64</v>
      </c>
      <c r="I728" s="42">
        <f>IFERROR(__xludf.DUMMYFUNCTION("""COMPUTED_VALUE"""),0.3278688524590164)</f>
        <v>0.3278688525</v>
      </c>
      <c r="J728" s="30">
        <f>IFERROR(__xludf.DUMMYFUNCTION("""COMPUTED_VALUE"""),345.72)</f>
        <v>345.72</v>
      </c>
      <c r="K728" s="30">
        <f>IFERROR(__xludf.DUMMYFUNCTION("""COMPUTED_VALUE"""),0.8)</f>
        <v>0.8</v>
      </c>
      <c r="L728" s="30">
        <f>IFERROR(__xludf.DUMMYFUNCTION("""COMPUTED_VALUE"""),0.48)</f>
        <v>0.48</v>
      </c>
      <c r="M728" s="30">
        <f>IFERROR(__xludf.DUMMYFUNCTION("""COMPUTED_VALUE"""),1.44)</f>
        <v>1.44</v>
      </c>
      <c r="N728" s="30">
        <f>IFERROR(__xludf.DUMMYFUNCTION("""COMPUTED_VALUE"""),2.44)</f>
        <v>2.44</v>
      </c>
      <c r="O728" s="30">
        <f>IFERROR(__xludf.DUMMYFUNCTION("""COMPUTED_VALUE"""),332.54666666666674)</f>
        <v>332.5466667</v>
      </c>
      <c r="P728" s="30">
        <f>IFERROR(__xludf.DUMMYFUNCTION("""COMPUTED_VALUE"""),0.6666666666666665)</f>
        <v>0.6666666667</v>
      </c>
      <c r="Q728" s="30">
        <f>IFERROR(__xludf.DUMMYFUNCTION("""COMPUTED_VALUE"""),0.46666666666666673)</f>
        <v>0.4666666667</v>
      </c>
      <c r="R728" s="30">
        <f>IFERROR(__xludf.DUMMYFUNCTION("""COMPUTED_VALUE"""),1.373333333333333)</f>
        <v>1.373333333</v>
      </c>
      <c r="S728" s="30">
        <f>IFERROR(__xludf.DUMMYFUNCTION("""COMPUTED_VALUE"""),2.426666666666667)</f>
        <v>2.426666667</v>
      </c>
      <c r="T728" s="30">
        <f>IFERROR(__xludf.DUMMYFUNCTION("""COMPUTED_VALUE"""),335.2833959721183)</f>
        <v>335.283396</v>
      </c>
      <c r="U728" s="30">
        <f>IFERROR(__xludf.DUMMYFUNCTION("""COMPUTED_VALUE"""),0.785570428712937)</f>
        <v>0.7855704287</v>
      </c>
      <c r="V728" s="30">
        <f>IFERROR(__xludf.DUMMYFUNCTION("""COMPUTED_VALUE"""),0.5099888504145744)</f>
        <v>0.5099888504</v>
      </c>
      <c r="W728" s="30">
        <f>IFERROR(__xludf.DUMMYFUNCTION("""COMPUTED_VALUE"""),1.217741756073426)</f>
        <v>1.217741756</v>
      </c>
      <c r="X728" s="30">
        <f>IFERROR(__xludf.DUMMYFUNCTION("""COMPUTED_VALUE"""),2.4347411195494577)</f>
        <v>2.43474112</v>
      </c>
      <c r="Y728" s="30">
        <f>IFERROR(__xludf.DUMMYFUNCTION("""COMPUTED_VALUE"""),333.97148287781476)</f>
        <v>333.9714829</v>
      </c>
      <c r="Z728" s="30">
        <f>IFERROR(__xludf.DUMMYFUNCTION("""COMPUTED_VALUE"""),0.7829114344920824)</f>
        <v>0.7829114345</v>
      </c>
      <c r="AA728" s="30">
        <f>IFERROR(__xludf.DUMMYFUNCTION("""COMPUTED_VALUE"""),0.5246555924249308)</f>
        <v>0.5246555924</v>
      </c>
      <c r="AB728" s="30">
        <f>IFERROR(__xludf.DUMMYFUNCTION("""COMPUTED_VALUE"""),1.207226298755434)</f>
        <v>1.207226299</v>
      </c>
      <c r="AC728" s="30">
        <f>IFERROR(__xludf.DUMMYFUNCTION("""COMPUTED_VALUE"""),2.479331887089921)</f>
        <v>2.479331887</v>
      </c>
      <c r="AD728" s="30">
        <f>IFERROR(__xludf.DUMMYFUNCTION("""COMPUTED_VALUE"""),1.0351782045010218)</f>
        <v>1.035178205</v>
      </c>
      <c r="AE728" s="30">
        <f>IFERROR(__xludf.DUMMYFUNCTION("""COMPUTED_VALUE"""),1.0218269458779892)</f>
        <v>1.021826946</v>
      </c>
      <c r="AF728" s="30">
        <f>IFERROR(__xludf.DUMMYFUNCTION("""COMPUTED_VALUE"""),0.9148858926318979)</f>
        <v>0.9148858926</v>
      </c>
      <c r="AG728" s="30">
        <f>IFERROR(__xludf.DUMMYFUNCTION("""COMPUTED_VALUE"""),1.1928169569239333)</f>
        <v>1.192816957</v>
      </c>
      <c r="AH728" s="30">
        <f>IFERROR(__xludf.DUMMYFUNCTION("""COMPUTED_VALUE"""),0.9841360943669037)</f>
        <v>0.9841360944</v>
      </c>
      <c r="AI728" s="30">
        <f>IFERROR(__xludf.DUMMYFUNCTION("""COMPUTED_VALUE"""),0.9918375638688677)</f>
        <v>0.9918375639</v>
      </c>
      <c r="AJ728" s="30">
        <f>IFERROR(__xludf.DUMMYFUNCTION("""COMPUTED_VALUE"""),0.8486402266425939)</f>
        <v>0.8486402266</v>
      </c>
      <c r="AK728" s="30">
        <f>IFERROR(__xludf.DUMMYFUNCTION("""COMPUTED_VALUE"""),0.9150526845583179)</f>
        <v>0.9150526846</v>
      </c>
      <c r="AL728" s="30">
        <f>IFERROR(__xludf.DUMMYFUNCTION("""COMPUTED_VALUE"""),1.1277705855809754)</f>
        <v>1.127770586</v>
      </c>
      <c r="AM728" s="30">
        <f>IFERROR(__xludf.DUMMYFUNCTION("""COMPUTED_VALUE"""),0.9966836503404992)</f>
        <v>0.9966836503</v>
      </c>
      <c r="AN728" s="30">
        <f>IFERROR(__xludf.DUMMYFUNCTION("""COMPUTED_VALUE"""),1.0752292931158327)</f>
        <v>1.075229293</v>
      </c>
      <c r="AO728" s="30">
        <f>IFERROR(__xludf.DUMMYFUNCTION("""COMPUTED_VALUE"""),1.0900576264088024)</f>
        <v>1.090057626</v>
      </c>
      <c r="AP728" s="30">
        <f>IFERROR(__xludf.DUMMYFUNCTION("""COMPUTED_VALUE"""),0.9601646940357075)</f>
        <v>0.960164694</v>
      </c>
      <c r="AQ728" s="30">
        <f>IFERROR(__xludf.DUMMYFUNCTION("""COMPUTED_VALUE"""),1.2368239583109655)</f>
        <v>1.236823958</v>
      </c>
      <c r="AR728" s="30">
        <f>IFERROR(__xludf.DUMMYFUNCTION("""COMPUTED_VALUE"""),1.0543189397142974)</f>
        <v>1.05431894</v>
      </c>
      <c r="AS728" s="30">
        <f>IFERROR(__xludf.DUMMYFUNCTION("""COMPUTED_VALUE"""),60.0)</f>
        <v>60</v>
      </c>
      <c r="AT728" s="30">
        <f>IFERROR(__xludf.DUMMYFUNCTION("""COMPUTED_VALUE"""),0.5692860390863643)</f>
        <v>0.5692860391</v>
      </c>
      <c r="AU728" s="30">
        <f>IFERROR(__xludf.DUMMYFUNCTION("""COMPUTED_VALUE"""),2.437803533134863)</f>
        <v>2.437803533</v>
      </c>
      <c r="AV728" s="32">
        <f>IFERROR(__xludf.DUMMYFUNCTION("""COMPUTED_VALUE"""),58.77640946320929)</f>
        <v>58.77640946</v>
      </c>
      <c r="AW728" s="32">
        <f>IFERROR(__xludf.DUMMYFUNCTION("""COMPUTED_VALUE"""),2.756544526294024)</f>
        <v>2.756544526</v>
      </c>
      <c r="AX728" s="32">
        <f>IFERROR(__xludf.DUMMYFUNCTION("""COMPUTED_VALUE"""),46.977343226654725)</f>
        <v>46.97734323</v>
      </c>
      <c r="AY728" s="32">
        <f>IFERROR(__xludf.DUMMYFUNCTION("""COMPUTED_VALUE"""),-2.212963979746452)</f>
        <v>-2.21296398</v>
      </c>
      <c r="AZ728" s="30">
        <f>IFERROR(__xludf.DUMMYFUNCTION("""COMPUTED_VALUE"""),4.9695085060404764)</f>
        <v>4.969508506</v>
      </c>
      <c r="BA728" s="30">
        <f>IFERROR(__xludf.DUMMYFUNCTION("""COMPUTED_VALUE"""),2700.0)</f>
        <v>2700</v>
      </c>
    </row>
    <row r="729">
      <c r="A729" s="71" t="str">
        <f>IFERROR(__xludf.DUMMYFUNCTION("""COMPUTED_VALUE"""),"Prospect")</f>
        <v>Prospect</v>
      </c>
      <c r="B729" s="71" t="str">
        <f>IFERROR(__xludf.DUMMYFUNCTION("""COMPUTED_VALUE"""),"RSC006495")</f>
        <v>RSC006495</v>
      </c>
      <c r="C729" s="30" t="str">
        <f>IFERROR(__xludf.DUMMYFUNCTION("""COMPUTED_VALUE"""),"Hype.56")</f>
        <v>Hype.56</v>
      </c>
      <c r="D729" s="30" t="str">
        <f>IFERROR(__xludf.DUMMYFUNCTION("""COMPUTED_VALUE"""),"Prism Proteges")</f>
        <v>Prism Proteges</v>
      </c>
      <c r="E729" s="30">
        <f>IFERROR(__xludf.DUMMYFUNCTION("""COMPUTED_VALUE"""),33.0)</f>
        <v>33</v>
      </c>
      <c r="F729" s="30">
        <f>IFERROR(__xludf.DUMMYFUNCTION("""COMPUTED_VALUE"""),14.0)</f>
        <v>14</v>
      </c>
      <c r="G729" s="42">
        <f>IFERROR(__xludf.DUMMYFUNCTION("""COMPUTED_VALUE"""),19.0)</f>
        <v>19</v>
      </c>
      <c r="H729" s="42">
        <f>IFERROR(__xludf.DUMMYFUNCTION("""COMPUTED_VALUE"""),0.42424242424242425)</f>
        <v>0.4242424242</v>
      </c>
      <c r="I729" s="42">
        <f>IFERROR(__xludf.DUMMYFUNCTION("""COMPUTED_VALUE"""),0.2692307692307692)</f>
        <v>0.2692307692</v>
      </c>
      <c r="J729" s="30">
        <f>IFERROR(__xludf.DUMMYFUNCTION("""COMPUTED_VALUE"""),297.1212121212121)</f>
        <v>297.1212121</v>
      </c>
      <c r="K729" s="30">
        <f>IFERROR(__xludf.DUMMYFUNCTION("""COMPUTED_VALUE"""),0.6363636363636364)</f>
        <v>0.6363636364</v>
      </c>
      <c r="L729" s="30">
        <f>IFERROR(__xludf.DUMMYFUNCTION("""COMPUTED_VALUE"""),0.5454545454545454)</f>
        <v>0.5454545455</v>
      </c>
      <c r="M729" s="30">
        <f>IFERROR(__xludf.DUMMYFUNCTION("""COMPUTED_VALUE"""),1.121212121212121)</f>
        <v>1.121212121</v>
      </c>
      <c r="N729" s="30">
        <f>IFERROR(__xludf.DUMMYFUNCTION("""COMPUTED_VALUE"""),2.3636363636363638)</f>
        <v>2.363636364</v>
      </c>
      <c r="O729" s="30">
        <f>IFERROR(__xludf.DUMMYFUNCTION("""COMPUTED_VALUE"""),326.00000000000006)</f>
        <v>326</v>
      </c>
      <c r="P729" s="30">
        <f>IFERROR(__xludf.DUMMYFUNCTION("""COMPUTED_VALUE"""),0.7373737373737373)</f>
        <v>0.7373737374</v>
      </c>
      <c r="Q729" s="30">
        <f>IFERROR(__xludf.DUMMYFUNCTION("""COMPUTED_VALUE"""),0.4747474747474749)</f>
        <v>0.4747474747</v>
      </c>
      <c r="R729" s="30">
        <f>IFERROR(__xludf.DUMMYFUNCTION("""COMPUTED_VALUE"""),1.4444444444444442)</f>
        <v>1.444444444</v>
      </c>
      <c r="S729" s="30">
        <f>IFERROR(__xludf.DUMMYFUNCTION("""COMPUTED_VALUE"""),2.1919191919191916)</f>
        <v>2.191919192</v>
      </c>
      <c r="T729" s="30">
        <f>IFERROR(__xludf.DUMMYFUNCTION("""COMPUTED_VALUE"""),338.7183065610535)</f>
        <v>338.7183066</v>
      </c>
      <c r="U729" s="30">
        <f>IFERROR(__xludf.DUMMYFUNCTION("""COMPUTED_VALUE"""),0.8158307860074867)</f>
        <v>0.815830786</v>
      </c>
      <c r="V729" s="30">
        <f>IFERROR(__xludf.DUMMYFUNCTION("""COMPUTED_VALUE"""),0.5538755010778507)</f>
        <v>0.5538755011</v>
      </c>
      <c r="W729" s="30">
        <f>IFERROR(__xludf.DUMMYFUNCTION("""COMPUTED_VALUE"""),1.200356773255267)</f>
        <v>1.200356773</v>
      </c>
      <c r="X729" s="30">
        <f>IFERROR(__xludf.DUMMYFUNCTION("""COMPUTED_VALUE"""),2.401874042708232)</f>
        <v>2.401874043</v>
      </c>
      <c r="Y729" s="30">
        <f>IFERROR(__xludf.DUMMYFUNCTION("""COMPUTED_VALUE"""),327.46760087981045)</f>
        <v>327.4676009</v>
      </c>
      <c r="Z729" s="30">
        <f>IFERROR(__xludf.DUMMYFUNCTION("""COMPUTED_VALUE"""),0.7704310516746777)</f>
        <v>0.7704310517</v>
      </c>
      <c r="AA729" s="30">
        <f>IFERROR(__xludf.DUMMYFUNCTION("""COMPUTED_VALUE"""),0.5172599008393788)</f>
        <v>0.5172599008</v>
      </c>
      <c r="AB729" s="30">
        <f>IFERROR(__xludf.DUMMYFUNCTION("""COMPUTED_VALUE"""),1.1382035257633587)</f>
        <v>1.138203526</v>
      </c>
      <c r="AC729" s="30">
        <f>IFERROR(__xludf.DUMMYFUNCTION("""COMPUTED_VALUE"""),2.4032413557993304)</f>
        <v>2.403241356</v>
      </c>
      <c r="AD729" s="30">
        <f>IFERROR(__xludf.DUMMYFUNCTION("""COMPUTED_VALUE"""),0.9073301032619215)</f>
        <v>0.9073301033</v>
      </c>
      <c r="AE729" s="30">
        <f>IFERROR(__xludf.DUMMYFUNCTION("""COMPUTED_VALUE"""),0.8259838891233414)</f>
        <v>0.8259838891</v>
      </c>
      <c r="AF729" s="30">
        <f>IFERROR(__xludf.DUMMYFUNCTION("""COMPUTED_VALUE"""),1.0545076944286886)</f>
        <v>1.054507694</v>
      </c>
      <c r="AG729" s="30">
        <f>IFERROR(__xludf.DUMMYFUNCTION("""COMPUTED_VALUE"""),0.9850717343896453)</f>
        <v>0.9850717344</v>
      </c>
      <c r="AH729" s="30">
        <f>IFERROR(__xludf.DUMMYFUNCTION("""COMPUTED_VALUE"""),0.9835201770028654)</f>
        <v>0.983520177</v>
      </c>
      <c r="AI729" s="30">
        <f>IFERROR(__xludf.DUMMYFUNCTION("""COMPUTED_VALUE"""),0.9624516705631292)</f>
        <v>0.9624516706</v>
      </c>
      <c r="AJ729" s="30">
        <f>IFERROR(__xludf.DUMMYFUNCTION("""COMPUTED_VALUE"""),0.9038317136600073)</f>
        <v>0.9038317137</v>
      </c>
      <c r="AK729" s="30">
        <f>IFERROR(__xludf.DUMMYFUNCTION("""COMPUTED_VALUE"""),0.8571375224641795)</f>
        <v>0.8571375225</v>
      </c>
      <c r="AL729" s="30">
        <f>IFERROR(__xludf.DUMMYFUNCTION("""COMPUTED_VALUE"""),1.203345935664804)</f>
        <v>1.203345936</v>
      </c>
      <c r="AM729" s="30">
        <f>IFERROR(__xludf.DUMMYFUNCTION("""COMPUTED_VALUE"""),0.9125870686573115)</f>
        <v>0.9125870687</v>
      </c>
      <c r="AN729" s="30">
        <f>IFERROR(__xludf.DUMMYFUNCTION("""COMPUTED_VALUE"""),0.9240814268159502)</f>
        <v>0.9240814268</v>
      </c>
      <c r="AO729" s="30">
        <f>IFERROR(__xludf.DUMMYFUNCTION("""COMPUTED_VALUE"""),0.8670912937342745)</f>
        <v>0.8670912937</v>
      </c>
      <c r="AP729" s="30">
        <f>IFERROR(__xludf.DUMMYFUNCTION("""COMPUTED_VALUE"""),1.091096243222395)</f>
        <v>1.091096243</v>
      </c>
      <c r="AQ729" s="30">
        <f>IFERROR(__xludf.DUMMYFUNCTION("""COMPUTED_VALUE"""),0.9630152874054234)</f>
        <v>0.9630152874</v>
      </c>
      <c r="AR729" s="30">
        <f>IFERROR(__xludf.DUMMYFUNCTION("""COMPUTED_VALUE"""),1.0213223708111674)</f>
        <v>1.021322371</v>
      </c>
      <c r="AS729" s="30">
        <f>IFERROR(__xludf.DUMMYFUNCTION("""COMPUTED_VALUE"""),72.0)</f>
        <v>72</v>
      </c>
      <c r="AT729" s="30">
        <f>IFERROR(__xludf.DUMMYFUNCTION("""COMPUTED_VALUE"""),0.49472658561273297)</f>
        <v>0.4947265856</v>
      </c>
      <c r="AU729" s="30">
        <f>IFERROR(__xludf.DUMMYFUNCTION("""COMPUTED_VALUE"""),2.150275769487523)</f>
        <v>2.150275769</v>
      </c>
      <c r="AV729" s="32">
        <f>IFERROR(__xludf.DUMMYFUNCTION("""COMPUTED_VALUE"""),50.996554406492365)</f>
        <v>50.99655441</v>
      </c>
      <c r="AW729" s="32">
        <f>IFERROR(__xludf.DUMMYFUNCTION("""COMPUTED_VALUE"""),2.0656824936656992)</f>
        <v>2.065682494</v>
      </c>
      <c r="AX729" s="32">
        <f>IFERROR(__xludf.DUMMYFUNCTION("""COMPUTED_VALUE"""),40.65717051260472)</f>
        <v>40.65717051</v>
      </c>
      <c r="AY729" s="32">
        <f>IFERROR(__xludf.DUMMYFUNCTION("""COMPUTED_VALUE"""),-2.8223962607523307)</f>
        <v>-2.822396261</v>
      </c>
      <c r="AZ729" s="30">
        <f>IFERROR(__xludf.DUMMYFUNCTION("""COMPUTED_VALUE"""),4.88807875441803)</f>
        <v>4.888078754</v>
      </c>
      <c r="BA729" s="30">
        <f>IFERROR(__xludf.DUMMYFUNCTION("""COMPUTED_VALUE"""),2700.0)</f>
        <v>2700</v>
      </c>
    </row>
    <row r="730">
      <c r="A730" s="71" t="str">
        <f>IFERROR(__xludf.DUMMYFUNCTION("""COMPUTED_VALUE"""),"Prospect")</f>
        <v>Prospect</v>
      </c>
      <c r="B730" s="71" t="str">
        <f>IFERROR(__xludf.DUMMYFUNCTION("""COMPUTED_VALUE"""),"RSC007423")</f>
        <v>RSC007423</v>
      </c>
      <c r="C730" s="30" t="str">
        <f>IFERROR(__xludf.DUMMYFUNCTION("""COMPUTED_VALUE"""),"Valuedsquash465")</f>
        <v>Valuedsquash465</v>
      </c>
      <c r="D730" s="30" t="str">
        <f>IFERROR(__xludf.DUMMYFUNCTION("""COMPUTED_VALUE"""),"Tic Tacs")</f>
        <v>Tic Tacs</v>
      </c>
      <c r="E730" s="30">
        <f>IFERROR(__xludf.DUMMYFUNCTION("""COMPUTED_VALUE"""),26.0)</f>
        <v>26</v>
      </c>
      <c r="F730" s="30">
        <f>IFERROR(__xludf.DUMMYFUNCTION("""COMPUTED_VALUE"""),14.0)</f>
        <v>14</v>
      </c>
      <c r="G730" s="42">
        <f>IFERROR(__xludf.DUMMYFUNCTION("""COMPUTED_VALUE"""),12.0)</f>
        <v>12</v>
      </c>
      <c r="H730" s="42">
        <f>IFERROR(__xludf.DUMMYFUNCTION("""COMPUTED_VALUE"""),0.5384615384615384)</f>
        <v>0.5384615385</v>
      </c>
      <c r="I730" s="42">
        <f>IFERROR(__xludf.DUMMYFUNCTION("""COMPUTED_VALUE"""),0.2711864406779661)</f>
        <v>0.2711864407</v>
      </c>
      <c r="J730" s="30">
        <f>IFERROR(__xludf.DUMMYFUNCTION("""COMPUTED_VALUE"""),337.15384615384613)</f>
        <v>337.1538462</v>
      </c>
      <c r="K730" s="30">
        <f>IFERROR(__xludf.DUMMYFUNCTION("""COMPUTED_VALUE"""),0.6153846153846154)</f>
        <v>0.6153846154</v>
      </c>
      <c r="L730" s="30">
        <f>IFERROR(__xludf.DUMMYFUNCTION("""COMPUTED_VALUE"""),0.8076923076923077)</f>
        <v>0.8076923077</v>
      </c>
      <c r="M730" s="30">
        <f>IFERROR(__xludf.DUMMYFUNCTION("""COMPUTED_VALUE"""),1.4230769230769231)</f>
        <v>1.423076923</v>
      </c>
      <c r="N730" s="30">
        <f>IFERROR(__xludf.DUMMYFUNCTION("""COMPUTED_VALUE"""),2.269230769230769)</f>
        <v>2.269230769</v>
      </c>
      <c r="O730" s="30">
        <f>IFERROR(__xludf.DUMMYFUNCTION("""COMPUTED_VALUE"""),322.5897435897436)</f>
        <v>322.5897436</v>
      </c>
      <c r="P730" s="30">
        <f>IFERROR(__xludf.DUMMYFUNCTION("""COMPUTED_VALUE"""),0.8333333333333333)</f>
        <v>0.8333333333</v>
      </c>
      <c r="Q730" s="30">
        <f>IFERROR(__xludf.DUMMYFUNCTION("""COMPUTED_VALUE"""),0.435897435897436)</f>
        <v>0.4358974359</v>
      </c>
      <c r="R730" s="30">
        <f>IFERROR(__xludf.DUMMYFUNCTION("""COMPUTED_VALUE"""),1.0256410256410253)</f>
        <v>1.025641026</v>
      </c>
      <c r="S730" s="30">
        <f>IFERROR(__xludf.DUMMYFUNCTION("""COMPUTED_VALUE"""),2.589743589743589)</f>
        <v>2.58974359</v>
      </c>
      <c r="T730" s="30">
        <f>IFERROR(__xludf.DUMMYFUNCTION("""COMPUTED_VALUE"""),323.73008257579755)</f>
        <v>323.7300826</v>
      </c>
      <c r="U730" s="30">
        <f>IFERROR(__xludf.DUMMYFUNCTION("""COMPUTED_VALUE"""),0.7206685246168517)</f>
        <v>0.7206685246</v>
      </c>
      <c r="V730" s="30">
        <f>IFERROR(__xludf.DUMMYFUNCTION("""COMPUTED_VALUE"""),0.4533156734934694)</f>
        <v>0.4533156735</v>
      </c>
      <c r="W730" s="30">
        <f>IFERROR(__xludf.DUMMYFUNCTION("""COMPUTED_VALUE"""),1.2623051525911322)</f>
        <v>1.262305153</v>
      </c>
      <c r="X730" s="30">
        <f>IFERROR(__xludf.DUMMYFUNCTION("""COMPUTED_VALUE"""),2.205000538130606)</f>
        <v>2.205000538</v>
      </c>
      <c r="Y730" s="30">
        <f>IFERROR(__xludf.DUMMYFUNCTION("""COMPUTED_VALUE"""),341.10837501760994)</f>
        <v>341.108375</v>
      </c>
      <c r="Z730" s="30">
        <f>IFERROR(__xludf.DUMMYFUNCTION("""COMPUTED_VALUE"""),0.8513025617441824)</f>
        <v>0.8513025617</v>
      </c>
      <c r="AA730" s="30">
        <f>IFERROR(__xludf.DUMMYFUNCTION("""COMPUTED_VALUE"""),0.5665680339785986)</f>
        <v>0.566568034</v>
      </c>
      <c r="AB730" s="30">
        <f>IFERROR(__xludf.DUMMYFUNCTION("""COMPUTED_VALUE"""),1.1181008677359765)</f>
        <v>1.118100868</v>
      </c>
      <c r="AC730" s="30">
        <f>IFERROR(__xludf.DUMMYFUNCTION("""COMPUTED_VALUE"""),2.60414420932171)</f>
        <v>2.604144209</v>
      </c>
      <c r="AD730" s="30">
        <f>IFERROR(__xludf.DUMMYFUNCTION("""COMPUTED_VALUE"""),0.9884068256501775)</f>
        <v>0.9884068257</v>
      </c>
      <c r="AE730" s="30">
        <f>IFERROR(__xludf.DUMMYFUNCTION("""COMPUTED_VALUE"""),0.7228741496134947)</f>
        <v>0.7228741496</v>
      </c>
      <c r="AF730" s="30">
        <f>IFERROR(__xludf.DUMMYFUNCTION("""COMPUTED_VALUE"""),1.425587500975774)</f>
        <v>1.425587501</v>
      </c>
      <c r="AG730" s="30">
        <f>IFERROR(__xludf.DUMMYFUNCTION("""COMPUTED_VALUE"""),1.2727625602853592)</f>
        <v>1.27276256</v>
      </c>
      <c r="AH730" s="30">
        <f>IFERROR(__xludf.DUMMYFUNCTION("""COMPUTED_VALUE"""),0.8713921299396187)</f>
        <v>0.8713921299</v>
      </c>
      <c r="AI730" s="30">
        <f>IFERROR(__xludf.DUMMYFUNCTION("""COMPUTED_VALUE"""),0.9964775007099101)</f>
        <v>0.9964775007</v>
      </c>
      <c r="AJ730" s="30">
        <f>IFERROR(__xludf.DUMMYFUNCTION("""COMPUTED_VALUE"""),1.156333744111248)</f>
        <v>1.156333744</v>
      </c>
      <c r="AK730" s="30">
        <f>IFERROR(__xludf.DUMMYFUNCTION("""COMPUTED_VALUE"""),0.9615759202372156)</f>
        <v>0.9615759202</v>
      </c>
      <c r="AL730" s="30">
        <f>IFERROR(__xludf.DUMMYFUNCTION("""COMPUTED_VALUE"""),0.8125143302597579)</f>
        <v>0.8125143303</v>
      </c>
      <c r="AM730" s="30">
        <f>IFERROR(__xludf.DUMMYFUNCTION("""COMPUTED_VALUE"""),1.174486602138958)</f>
        <v>1.174486602</v>
      </c>
      <c r="AN730" s="30">
        <f>IFERROR(__xludf.DUMMYFUNCTION("""COMPUTED_VALUE"""),1.0485875612382396)</f>
        <v>1.048587561</v>
      </c>
      <c r="AO730" s="30">
        <f>IFERROR(__xludf.DUMMYFUNCTION("""COMPUTED_VALUE"""),0.8385058664683095)</f>
        <v>0.8385058665</v>
      </c>
      <c r="AP730" s="30">
        <f>IFERROR(__xludf.DUMMYFUNCTION("""COMPUTED_VALUE"""),1.6156617447716233)</f>
        <v>1.615661745</v>
      </c>
      <c r="AQ730" s="30">
        <f>IFERROR(__xludf.DUMMYFUNCTION("""COMPUTED_VALUE"""),1.222288634014576)</f>
        <v>1.222288634</v>
      </c>
      <c r="AR730" s="30">
        <f>IFERROR(__xludf.DUMMYFUNCTION("""COMPUTED_VALUE"""),0.9805299092551)</f>
        <v>0.9805299093</v>
      </c>
      <c r="AS730" s="30">
        <f>IFERROR(__xludf.DUMMYFUNCTION("""COMPUTED_VALUE"""),59.0)</f>
        <v>59</v>
      </c>
      <c r="AT730" s="30">
        <f>IFERROR(__xludf.DUMMYFUNCTION("""COMPUTED_VALUE"""),0.46216249981324603)</f>
        <v>0.4621624998</v>
      </c>
      <c r="AU730" s="30">
        <f>IFERROR(__xludf.DUMMYFUNCTION("""COMPUTED_VALUE"""),2.0802626335700065)</f>
        <v>2.080262634</v>
      </c>
      <c r="AV730" s="32">
        <f>IFERROR(__xludf.DUMMYFUNCTION("""COMPUTED_VALUE"""),49.10215630526211)</f>
        <v>49.10215631</v>
      </c>
      <c r="AW730" s="32">
        <f>IFERROR(__xludf.DUMMYFUNCTION("""COMPUTED_VALUE"""),-2.058987662060878)</f>
        <v>-2.058987662</v>
      </c>
      <c r="AX730" s="32">
        <f>IFERROR(__xludf.DUMMYFUNCTION("""COMPUTED_VALUE"""),57.79214827897329)</f>
        <v>57.79214828</v>
      </c>
      <c r="AY730" s="32">
        <f>IFERROR(__xludf.DUMMYFUNCTION("""COMPUTED_VALUE"""),2.648027304799312)</f>
        <v>2.648027305</v>
      </c>
      <c r="AZ730" s="30">
        <f>IFERROR(__xludf.DUMMYFUNCTION("""COMPUTED_VALUE"""),4.707014966860189)</f>
        <v>4.707014967</v>
      </c>
      <c r="BA730" s="30">
        <f>IFERROR(__xludf.DUMMYFUNCTION("""COMPUTED_VALUE"""),2700.0)</f>
        <v>2700</v>
      </c>
    </row>
    <row r="731">
      <c r="A731" s="71" t="str">
        <f>IFERROR(__xludf.DUMMYFUNCTION("""COMPUTED_VALUE"""),"Prospect")</f>
        <v>Prospect</v>
      </c>
      <c r="B731" s="71" t="str">
        <f>IFERROR(__xludf.DUMMYFUNCTION("""COMPUTED_VALUE"""),"RSC000253")</f>
        <v>RSC000253</v>
      </c>
      <c r="C731" s="30" t="str">
        <f>IFERROR(__xludf.DUMMYFUNCTION("""COMPUTED_VALUE"""),"musah")</f>
        <v>musah</v>
      </c>
      <c r="D731" s="30" t="str">
        <f>IFERROR(__xludf.DUMMYFUNCTION("""COMPUTED_VALUE"""),"Khans")</f>
        <v>Khans</v>
      </c>
      <c r="E731" s="30">
        <f>IFERROR(__xludf.DUMMYFUNCTION("""COMPUTED_VALUE"""),38.0)</f>
        <v>38</v>
      </c>
      <c r="F731" s="30">
        <f>IFERROR(__xludf.DUMMYFUNCTION("""COMPUTED_VALUE"""),16.0)</f>
        <v>16</v>
      </c>
      <c r="G731" s="42">
        <f>IFERROR(__xludf.DUMMYFUNCTION("""COMPUTED_VALUE"""),22.0)</f>
        <v>22</v>
      </c>
      <c r="H731" s="42">
        <f>IFERROR(__xludf.DUMMYFUNCTION("""COMPUTED_VALUE"""),0.42105263157894735)</f>
        <v>0.4210526316</v>
      </c>
      <c r="I731" s="42">
        <f>IFERROR(__xludf.DUMMYFUNCTION("""COMPUTED_VALUE"""),0.25609756097560976)</f>
        <v>0.256097561</v>
      </c>
      <c r="J731" s="30">
        <f>IFERROR(__xludf.DUMMYFUNCTION("""COMPUTED_VALUE"""),266.6842105263158)</f>
        <v>266.6842105</v>
      </c>
      <c r="K731" s="30">
        <f>IFERROR(__xludf.DUMMYFUNCTION("""COMPUTED_VALUE"""),0.5526315789473685)</f>
        <v>0.5526315789</v>
      </c>
      <c r="L731" s="30">
        <f>IFERROR(__xludf.DUMMYFUNCTION("""COMPUTED_VALUE"""),0.23684210526315788)</f>
        <v>0.2368421053</v>
      </c>
      <c r="M731" s="30">
        <f>IFERROR(__xludf.DUMMYFUNCTION("""COMPUTED_VALUE"""),0.9473684210526315)</f>
        <v>0.9473684211</v>
      </c>
      <c r="N731" s="30">
        <f>IFERROR(__xludf.DUMMYFUNCTION("""COMPUTED_VALUE"""),2.1578947368421053)</f>
        <v>2.157894737</v>
      </c>
      <c r="O731" s="30">
        <f>IFERROR(__xludf.DUMMYFUNCTION("""COMPUTED_VALUE"""),351.9561403508772)</f>
        <v>351.9561404</v>
      </c>
      <c r="P731" s="30">
        <f>IFERROR(__xludf.DUMMYFUNCTION("""COMPUTED_VALUE"""),0.8684210526315788)</f>
        <v>0.8684210526</v>
      </c>
      <c r="Q731" s="30">
        <f>IFERROR(__xludf.DUMMYFUNCTION("""COMPUTED_VALUE"""),0.6052631578947368)</f>
        <v>0.6052631579</v>
      </c>
      <c r="R731" s="30">
        <f>IFERROR(__xludf.DUMMYFUNCTION("""COMPUTED_VALUE"""),1.1578947368421058)</f>
        <v>1.157894737</v>
      </c>
      <c r="S731" s="30">
        <f>IFERROR(__xludf.DUMMYFUNCTION("""COMPUTED_VALUE"""),2.81578947368421)</f>
        <v>2.815789474</v>
      </c>
      <c r="T731" s="30">
        <f>IFERROR(__xludf.DUMMYFUNCTION("""COMPUTED_VALUE"""),341.5397031092276)</f>
        <v>341.5397031</v>
      </c>
      <c r="U731" s="30">
        <f>IFERROR(__xludf.DUMMYFUNCTION("""COMPUTED_VALUE"""),0.8352173690255034)</f>
        <v>0.835217369</v>
      </c>
      <c r="V731" s="30">
        <f>IFERROR(__xludf.DUMMYFUNCTION("""COMPUTED_VALUE"""),0.5789389119389294)</f>
        <v>0.5789389119</v>
      </c>
      <c r="W731" s="30">
        <f>IFERROR(__xludf.DUMMYFUNCTION("""COMPUTED_VALUE"""),1.1614886822350823)</f>
        <v>1.161488682</v>
      </c>
      <c r="X731" s="30">
        <f>IFERROR(__xludf.DUMMYFUNCTION("""COMPUTED_VALUE"""),2.5668797666958523)</f>
        <v>2.566879767</v>
      </c>
      <c r="Y731" s="30">
        <f>IFERROR(__xludf.DUMMYFUNCTION("""COMPUTED_VALUE"""),329.74551947379297)</f>
        <v>329.7455195</v>
      </c>
      <c r="Z731" s="30">
        <f>IFERROR(__xludf.DUMMYFUNCTION("""COMPUTED_VALUE"""),0.7502941011594286)</f>
        <v>0.7502941012</v>
      </c>
      <c r="AA731" s="30">
        <f>IFERROR(__xludf.DUMMYFUNCTION("""COMPUTED_VALUE"""),0.4980682763339145)</f>
        <v>0.4980682763</v>
      </c>
      <c r="AB731" s="30">
        <f>IFERROR(__xludf.DUMMYFUNCTION("""COMPUTED_VALUE"""),1.2299136848863346)</f>
        <v>1.229913685</v>
      </c>
      <c r="AC731" s="30">
        <f>IFERROR(__xludf.DUMMYFUNCTION("""COMPUTED_VALUE"""),2.313011406909449)</f>
        <v>2.313011407</v>
      </c>
      <c r="AD731" s="30">
        <f>IFERROR(__xludf.DUMMYFUNCTION("""COMPUTED_VALUE"""),0.8087576472665641)</f>
        <v>0.8087576473</v>
      </c>
      <c r="AE731" s="30">
        <f>IFERROR(__xludf.DUMMYFUNCTION("""COMPUTED_VALUE"""),0.7365532770328163)</f>
        <v>0.736553277</v>
      </c>
      <c r="AF731" s="30">
        <f>IFERROR(__xludf.DUMMYFUNCTION("""COMPUTED_VALUE"""),0.47552136226474784)</f>
        <v>0.4755213623</v>
      </c>
      <c r="AG731" s="30">
        <f>IFERROR(__xludf.DUMMYFUNCTION("""COMPUTED_VALUE"""),0.7702722822701049)</f>
        <v>0.7702722823</v>
      </c>
      <c r="AH731" s="30">
        <f>IFERROR(__xludf.DUMMYFUNCTION("""COMPUTED_VALUE"""),0.9329373518850889)</f>
        <v>0.9329373519</v>
      </c>
      <c r="AI731" s="30">
        <f>IFERROR(__xludf.DUMMYFUNCTION("""COMPUTED_VALUE"""),1.030498466640402)</f>
        <v>1.030498467</v>
      </c>
      <c r="AJ731" s="30">
        <f>IFERROR(__xludf.DUMMYFUNCTION("""COMPUTED_VALUE"""),1.0397545415570273)</f>
        <v>1.039754542</v>
      </c>
      <c r="AK731" s="30">
        <f>IFERROR(__xludf.DUMMYFUNCTION("""COMPUTED_VALUE"""),1.04546981626722)</f>
        <v>1.045469816</v>
      </c>
      <c r="AL731" s="30">
        <f>IFERROR(__xludf.DUMMYFUNCTION("""COMPUTED_VALUE"""),0.9969057422186322)</f>
        <v>0.9969057422</v>
      </c>
      <c r="AM731" s="30">
        <f>IFERROR(__xludf.DUMMYFUNCTION("""COMPUTED_VALUE"""),1.096969756907921)</f>
        <v>1.096969757</v>
      </c>
      <c r="AN731" s="30">
        <f>IFERROR(__xludf.DUMMYFUNCTION("""COMPUTED_VALUE"""),0.8294188220796148)</f>
        <v>0.8294188221</v>
      </c>
      <c r="AO731" s="30">
        <f>IFERROR(__xludf.DUMMYFUNCTION("""COMPUTED_VALUE"""),0.7530003340323964)</f>
        <v>0.753000334</v>
      </c>
      <c r="AP731" s="30">
        <f>IFERROR(__xludf.DUMMYFUNCTION("""COMPUTED_VALUE"""),0.47376547403077673)</f>
        <v>0.473765474</v>
      </c>
      <c r="AQ731" s="30">
        <f>IFERROR(__xludf.DUMMYFUNCTION("""COMPUTED_VALUE"""),0.8136999725730036)</f>
        <v>0.8136999726</v>
      </c>
      <c r="AR731" s="30">
        <f>IFERROR(__xludf.DUMMYFUNCTION("""COMPUTED_VALUE"""),0.9324218405583734)</f>
        <v>0.9324218406</v>
      </c>
      <c r="AS731" s="30">
        <f>IFERROR(__xludf.DUMMYFUNCTION("""COMPUTED_VALUE"""),63.0)</f>
        <v>63</v>
      </c>
      <c r="AT731" s="30">
        <f>IFERROR(__xludf.DUMMYFUNCTION("""COMPUTED_VALUE"""),0.3350877487993967)</f>
        <v>0.3350877488</v>
      </c>
      <c r="AU731" s="30">
        <f>IFERROR(__xludf.DUMMYFUNCTION("""COMPUTED_VALUE"""),1.3848320385617883)</f>
        <v>1.384832039</v>
      </c>
      <c r="AV731" s="32">
        <f>IFERROR(__xludf.DUMMYFUNCTION("""COMPUTED_VALUE"""),30.285367406203743)</f>
        <v>30.28536741</v>
      </c>
      <c r="AW731" s="32">
        <f>IFERROR(__xludf.DUMMYFUNCTION("""COMPUTED_VALUE"""),-4.647332273467287)</f>
        <v>-4.647332273</v>
      </c>
      <c r="AX731" s="32">
        <f>IFERROR(__xludf.DUMMYFUNCTION("""COMPUTED_VALUE"""),18.947675936061987)</f>
        <v>18.94767594</v>
      </c>
      <c r="AY731" s="32">
        <f>IFERROR(__xludf.DUMMYFUNCTION("""COMPUTED_VALUE"""),-9.336969438929941)</f>
        <v>-9.336969439</v>
      </c>
      <c r="AZ731" s="30">
        <f>IFERROR(__xludf.DUMMYFUNCTION("""COMPUTED_VALUE"""),4.6896371654626545)</f>
        <v>4.689637165</v>
      </c>
      <c r="BA731" s="30">
        <f>IFERROR(__xludf.DUMMYFUNCTION("""COMPUTED_VALUE"""),2700.0)</f>
        <v>2700</v>
      </c>
    </row>
    <row r="732">
      <c r="A732" s="71" t="str">
        <f>IFERROR(__xludf.DUMMYFUNCTION("""COMPUTED_VALUE"""),"Prospect")</f>
        <v>Prospect</v>
      </c>
      <c r="B732" s="71" t="str">
        <f>IFERROR(__xludf.DUMMYFUNCTION("""COMPUTED_VALUE"""),"RSC003335")</f>
        <v>RSC003335</v>
      </c>
      <c r="C732" s="30" t="str">
        <f>IFERROR(__xludf.DUMMYFUNCTION("""COMPUTED_VALUE"""),"xEaglex20x")</f>
        <v>xEaglex20x</v>
      </c>
      <c r="D732" s="30" t="str">
        <f>IFERROR(__xludf.DUMMYFUNCTION("""COMPUTED_VALUE"""),"Earth")</f>
        <v>Earth</v>
      </c>
      <c r="E732" s="30">
        <f>IFERROR(__xludf.DUMMYFUNCTION("""COMPUTED_VALUE"""),45.0)</f>
        <v>45</v>
      </c>
      <c r="F732" s="30">
        <f>IFERROR(__xludf.DUMMYFUNCTION("""COMPUTED_VALUE"""),24.0)</f>
        <v>24</v>
      </c>
      <c r="G732" s="42">
        <f>IFERROR(__xludf.DUMMYFUNCTION("""COMPUTED_VALUE"""),21.0)</f>
        <v>21</v>
      </c>
      <c r="H732" s="42">
        <f>IFERROR(__xludf.DUMMYFUNCTION("""COMPUTED_VALUE"""),0.5333333333333333)</f>
        <v>0.5333333333</v>
      </c>
      <c r="I732" s="42">
        <f>IFERROR(__xludf.DUMMYFUNCTION("""COMPUTED_VALUE"""),0.32727272727272727)</f>
        <v>0.3272727273</v>
      </c>
      <c r="J732" s="30">
        <f>IFERROR(__xludf.DUMMYFUNCTION("""COMPUTED_VALUE"""),331.5777777777778)</f>
        <v>331.5777778</v>
      </c>
      <c r="K732" s="30">
        <f>IFERROR(__xludf.DUMMYFUNCTION("""COMPUTED_VALUE"""),0.8)</f>
        <v>0.8</v>
      </c>
      <c r="L732" s="30">
        <f>IFERROR(__xludf.DUMMYFUNCTION("""COMPUTED_VALUE"""),0.6888888888888889)</f>
        <v>0.6888888889</v>
      </c>
      <c r="M732" s="30">
        <f>IFERROR(__xludf.DUMMYFUNCTION("""COMPUTED_VALUE"""),1.2666666666666666)</f>
        <v>1.266666667</v>
      </c>
      <c r="N732" s="30">
        <f>IFERROR(__xludf.DUMMYFUNCTION("""COMPUTED_VALUE"""),2.4444444444444446)</f>
        <v>2.444444444</v>
      </c>
      <c r="O732" s="30">
        <f>IFERROR(__xludf.DUMMYFUNCTION("""COMPUTED_VALUE"""),363.55555555555554)</f>
        <v>363.5555556</v>
      </c>
      <c r="P732" s="30">
        <f>IFERROR(__xludf.DUMMYFUNCTION("""COMPUTED_VALUE"""),0.9259259259259258)</f>
        <v>0.9259259259</v>
      </c>
      <c r="Q732" s="30">
        <f>IFERROR(__xludf.DUMMYFUNCTION("""COMPUTED_VALUE"""),0.5777777777777776)</f>
        <v>0.5777777778</v>
      </c>
      <c r="R732" s="30">
        <f>IFERROR(__xludf.DUMMYFUNCTION("""COMPUTED_VALUE"""),1.3777777777777775)</f>
        <v>1.377777778</v>
      </c>
      <c r="S732" s="30">
        <f>IFERROR(__xludf.DUMMYFUNCTION("""COMPUTED_VALUE"""),2.348148148148148)</f>
        <v>2.348148148</v>
      </c>
      <c r="T732" s="30">
        <f>IFERROR(__xludf.DUMMYFUNCTION("""COMPUTED_VALUE"""),327.5598507977134)</f>
        <v>327.5598508</v>
      </c>
      <c r="U732" s="30">
        <f>IFERROR(__xludf.DUMMYFUNCTION("""COMPUTED_VALUE"""),0.7634142003367913)</f>
        <v>0.7634142003</v>
      </c>
      <c r="V732" s="30">
        <f>IFERROR(__xludf.DUMMYFUNCTION("""COMPUTED_VALUE"""),0.4780889175436178)</f>
        <v>0.4780889175</v>
      </c>
      <c r="W732" s="30">
        <f>IFERROR(__xludf.DUMMYFUNCTION("""COMPUTED_VALUE"""),1.2032403302720023)</f>
        <v>1.20324033</v>
      </c>
      <c r="X732" s="30">
        <f>IFERROR(__xludf.DUMMYFUNCTION("""COMPUTED_VALUE"""),2.2917914362997704)</f>
        <v>2.291791436</v>
      </c>
      <c r="Y732" s="30">
        <f>IFERROR(__xludf.DUMMYFUNCTION("""COMPUTED_VALUE"""),339.8491436671091)</f>
        <v>339.8491437</v>
      </c>
      <c r="Z732" s="30">
        <f>IFERROR(__xludf.DUMMYFUNCTION("""COMPUTED_VALUE"""),0.8251123686906897)</f>
        <v>0.8251123687</v>
      </c>
      <c r="AA732" s="30">
        <f>IFERROR(__xludf.DUMMYFUNCTION("""COMPUTED_VALUE"""),0.5547396677344862)</f>
        <v>0.5547396677</v>
      </c>
      <c r="AB732" s="30">
        <f>IFERROR(__xludf.DUMMYFUNCTION("""COMPUTED_VALUE"""),1.1400566336023576)</f>
        <v>1.140056634</v>
      </c>
      <c r="AC732" s="30">
        <f>IFERROR(__xludf.DUMMYFUNCTION("""COMPUTED_VALUE"""),2.580627806864495)</f>
        <v>2.580627807</v>
      </c>
      <c r="AD732" s="30">
        <f>IFERROR(__xludf.DUMMYFUNCTION("""COMPUTED_VALUE"""),0.9756616544620947)</f>
        <v>0.9756616545</v>
      </c>
      <c r="AE732" s="30">
        <f>IFERROR(__xludf.DUMMYFUNCTION("""COMPUTED_VALUE"""),0.9695649106187335)</f>
        <v>0.9695649106</v>
      </c>
      <c r="AF732" s="30">
        <f>IFERROR(__xludf.DUMMYFUNCTION("""COMPUTED_VALUE"""),1.241823739957623)</f>
        <v>1.24182374</v>
      </c>
      <c r="AG732" s="30">
        <f>IFERROR(__xludf.DUMMYFUNCTION("""COMPUTED_VALUE"""),1.1110559154103123)</f>
        <v>1.111055915</v>
      </c>
      <c r="AH732" s="30">
        <f>IFERROR(__xludf.DUMMYFUNCTION("""COMPUTED_VALUE"""),0.947228592182956)</f>
        <v>0.9472285922</v>
      </c>
      <c r="AI732" s="30">
        <f>IFERROR(__xludf.DUMMYFUNCTION("""COMPUTED_VALUE"""),1.1098904663382312)</f>
        <v>1.109890466</v>
      </c>
      <c r="AJ732" s="30">
        <f>IFERROR(__xludf.DUMMYFUNCTION("""COMPUTED_VALUE"""),1.2128749052839731)</f>
        <v>1.212874905</v>
      </c>
      <c r="AK732" s="30">
        <f>IFERROR(__xludf.DUMMYFUNCTION("""COMPUTED_VALUE"""),1.2085153128969253)</f>
        <v>1.208515313</v>
      </c>
      <c r="AL732" s="30">
        <f>IFERROR(__xludf.DUMMYFUNCTION("""COMPUTED_VALUE"""),1.1450561813086166)</f>
        <v>1.145056181</v>
      </c>
      <c r="AM732" s="30">
        <f>IFERROR(__xludf.DUMMYFUNCTION("""COMPUTED_VALUE"""),1.0245906808777367)</f>
        <v>1.024590681</v>
      </c>
      <c r="AN732" s="30">
        <f>IFERROR(__xludf.DUMMYFUNCTION("""COMPUTED_VALUE"""),1.0312453419325427)</f>
        <v>1.031245342</v>
      </c>
      <c r="AO732" s="30">
        <f>IFERROR(__xludf.DUMMYFUNCTION("""COMPUTED_VALUE"""),1.0900576264088024)</f>
        <v>1.090057626</v>
      </c>
      <c r="AP732" s="30">
        <f>IFERROR(__xludf.DUMMYFUNCTION("""COMPUTED_VALUE"""),1.3780141442179137)</f>
        <v>1.378014144</v>
      </c>
      <c r="AQ732" s="30">
        <f>IFERROR(__xludf.DUMMYFUNCTION("""COMPUTED_VALUE"""),1.0879470003661271)</f>
        <v>1.087947</v>
      </c>
      <c r="AR732" s="30">
        <f>IFERROR(__xludf.DUMMYFUNCTION("""COMPUTED_VALUE"""),1.0562393749414638)</f>
        <v>1.056239375</v>
      </c>
      <c r="AS732" s="30">
        <f>IFERROR(__xludf.DUMMYFUNCTION("""COMPUTED_VALUE"""),130.0)</f>
        <v>130</v>
      </c>
      <c r="AT732" s="30">
        <f>IFERROR(__xludf.DUMMYFUNCTION("""COMPUTED_VALUE"""),0.5161253777003066)</f>
        <v>0.5161253777</v>
      </c>
      <c r="AU732" s="30">
        <f>IFERROR(__xludf.DUMMYFUNCTION("""COMPUTED_VALUE"""),2.2498862076315786)</f>
        <v>2.249886208</v>
      </c>
      <c r="AV732" s="32">
        <f>IFERROR(__xludf.DUMMYFUNCTION("""COMPUTED_VALUE"""),53.69178898511664)</f>
        <v>53.69178899</v>
      </c>
      <c r="AW732" s="32">
        <f>IFERROR(__xludf.DUMMYFUNCTION("""COMPUTED_VALUE"""),2.266027099709552)</f>
        <v>2.2660271</v>
      </c>
      <c r="AX732" s="32">
        <f>IFERROR(__xludf.DUMMYFUNCTION("""COMPUTED_VALUE"""),45.416307060797784)</f>
        <v>45.41630706</v>
      </c>
      <c r="AY732" s="32">
        <f>IFERROR(__xludf.DUMMYFUNCTION("""COMPUTED_VALUE"""),-2.34048101803084)</f>
        <v>-2.340481018</v>
      </c>
      <c r="AZ732" s="30">
        <f>IFERROR(__xludf.DUMMYFUNCTION("""COMPUTED_VALUE"""),4.6065081177403915)</f>
        <v>4.606508118</v>
      </c>
      <c r="BA732" s="30">
        <f>IFERROR(__xludf.DUMMYFUNCTION("""COMPUTED_VALUE"""),2700.0)</f>
        <v>2700</v>
      </c>
    </row>
    <row r="733">
      <c r="A733" s="71" t="str">
        <f>IFERROR(__xludf.DUMMYFUNCTION("""COMPUTED_VALUE"""),"Prospect")</f>
        <v>Prospect</v>
      </c>
      <c r="B733" s="71" t="str">
        <f>IFERROR(__xludf.DUMMYFUNCTION("""COMPUTED_VALUE"""),"RSC003737")</f>
        <v>RSC003737</v>
      </c>
      <c r="C733" s="30" t="str">
        <f>IFERROR(__xludf.DUMMYFUNCTION("""COMPUTED_VALUE"""),"MeOnDisplay")</f>
        <v>MeOnDisplay</v>
      </c>
      <c r="D733" s="30" t="str">
        <f>IFERROR(__xludf.DUMMYFUNCTION("""COMPUTED_VALUE"""),"Honey Badgers")</f>
        <v>Honey Badgers</v>
      </c>
      <c r="E733" s="30">
        <f>IFERROR(__xludf.DUMMYFUNCTION("""COMPUTED_VALUE"""),31.0)</f>
        <v>31</v>
      </c>
      <c r="F733" s="30">
        <f>IFERROR(__xludf.DUMMYFUNCTION("""COMPUTED_VALUE"""),16.0)</f>
        <v>16</v>
      </c>
      <c r="G733" s="42">
        <f>IFERROR(__xludf.DUMMYFUNCTION("""COMPUTED_VALUE"""),15.0)</f>
        <v>15</v>
      </c>
      <c r="H733" s="42">
        <f>IFERROR(__xludf.DUMMYFUNCTION("""COMPUTED_VALUE"""),0.5161290322580645)</f>
        <v>0.5161290323</v>
      </c>
      <c r="I733" s="42">
        <f>IFERROR(__xludf.DUMMYFUNCTION("""COMPUTED_VALUE"""),0.3714285714285714)</f>
        <v>0.3714285714</v>
      </c>
      <c r="J733" s="30">
        <f>IFERROR(__xludf.DUMMYFUNCTION("""COMPUTED_VALUE"""),290.96774193548384)</f>
        <v>290.9677419</v>
      </c>
      <c r="K733" s="30">
        <f>IFERROR(__xludf.DUMMYFUNCTION("""COMPUTED_VALUE"""),0.8387096774193549)</f>
        <v>0.8387096774</v>
      </c>
      <c r="L733" s="30">
        <f>IFERROR(__xludf.DUMMYFUNCTION("""COMPUTED_VALUE"""),0.3225806451612903)</f>
        <v>0.3225806452</v>
      </c>
      <c r="M733" s="30">
        <f>IFERROR(__xludf.DUMMYFUNCTION("""COMPUTED_VALUE"""),1.1290322580645162)</f>
        <v>1.129032258</v>
      </c>
      <c r="N733" s="30">
        <f>IFERROR(__xludf.DUMMYFUNCTION("""COMPUTED_VALUE"""),2.2580645161290325)</f>
        <v>2.258064516</v>
      </c>
      <c r="O733" s="30">
        <f>IFERROR(__xludf.DUMMYFUNCTION("""COMPUTED_VALUE"""),350.3333333333333)</f>
        <v>350.3333333</v>
      </c>
      <c r="P733" s="30">
        <f>IFERROR(__xludf.DUMMYFUNCTION("""COMPUTED_VALUE"""),0.7849462365591399)</f>
        <v>0.7849462366</v>
      </c>
      <c r="Q733" s="30">
        <f>IFERROR(__xludf.DUMMYFUNCTION("""COMPUTED_VALUE"""),0.5698924731182794)</f>
        <v>0.5698924731</v>
      </c>
      <c r="R733" s="30">
        <f>IFERROR(__xludf.DUMMYFUNCTION("""COMPUTED_VALUE"""),1.2473118279569892)</f>
        <v>1.247311828</v>
      </c>
      <c r="S733" s="30">
        <f>IFERROR(__xludf.DUMMYFUNCTION("""COMPUTED_VALUE"""),2.655913978494624)</f>
        <v>2.655913978</v>
      </c>
      <c r="T733" s="30">
        <f>IFERROR(__xludf.DUMMYFUNCTION("""COMPUTED_VALUE"""),337.08346155203355)</f>
        <v>337.0834616</v>
      </c>
      <c r="U733" s="30">
        <f>IFERROR(__xludf.DUMMYFUNCTION("""COMPUTED_VALUE"""),0.7878134786258545)</f>
        <v>0.7878134786</v>
      </c>
      <c r="V733" s="30">
        <f>IFERROR(__xludf.DUMMYFUNCTION("""COMPUTED_VALUE"""),0.5217089545981831)</f>
        <v>0.5217089546</v>
      </c>
      <c r="W733" s="30">
        <f>IFERROR(__xludf.DUMMYFUNCTION("""COMPUTED_VALUE"""),1.216064239705345)</f>
        <v>1.21606424</v>
      </c>
      <c r="X733" s="30">
        <f>IFERROR(__xludf.DUMMYFUNCTION("""COMPUTED_VALUE"""),2.3997623918906137)</f>
        <v>2.399762392</v>
      </c>
      <c r="Y733" s="30">
        <f>IFERROR(__xludf.DUMMYFUNCTION("""COMPUTED_VALUE"""),334.2521020430019)</f>
        <v>334.252102</v>
      </c>
      <c r="Z733" s="30">
        <f>IFERROR(__xludf.DUMMYFUNCTION("""COMPUTED_VALUE"""),0.8079101522478533)</f>
        <v>0.8079101522</v>
      </c>
      <c r="AA733" s="30">
        <f>IFERROR(__xludf.DUMMYFUNCTION("""COMPUTED_VALUE"""),0.5193676817310771)</f>
        <v>0.5193676817</v>
      </c>
      <c r="AB733" s="30">
        <f>IFERROR(__xludf.DUMMYFUNCTION("""COMPUTED_VALUE"""),1.1842541872476215)</f>
        <v>1.184254187</v>
      </c>
      <c r="AC733" s="30">
        <f>IFERROR(__xludf.DUMMYFUNCTION("""COMPUTED_VALUE"""),2.447822224450763)</f>
        <v>2.447822224</v>
      </c>
      <c r="AD733" s="30">
        <f>IFERROR(__xludf.DUMMYFUNCTION("""COMPUTED_VALUE"""),0.8705038507074235)</f>
        <v>0.8705038507</v>
      </c>
      <c r="AE733" s="30">
        <f>IFERROR(__xludf.DUMMYFUNCTION("""COMPUTED_VALUE"""),1.038122463352896)</f>
        <v>1.038122463</v>
      </c>
      <c r="AF733" s="30">
        <f>IFERROR(__xludf.DUMMYFUNCTION("""COMPUTED_VALUE"""),0.6211026532997082)</f>
        <v>0.6211026533</v>
      </c>
      <c r="AG733" s="30">
        <f>IFERROR(__xludf.DUMMYFUNCTION("""COMPUTED_VALUE"""),0.953369867906949)</f>
        <v>0.9533698679</v>
      </c>
      <c r="AH733" s="30">
        <f>IFERROR(__xludf.DUMMYFUNCTION("""COMPUTED_VALUE"""),0.9224789666397004)</f>
        <v>0.9224789666</v>
      </c>
      <c r="AI733" s="30">
        <f>IFERROR(__xludf.DUMMYFUNCTION("""COMPUTED_VALUE"""),1.0393073920633584)</f>
        <v>1.039307392</v>
      </c>
      <c r="AJ733" s="30">
        <f>IFERROR(__xludf.DUMMYFUNCTION("""COMPUTED_VALUE"""),0.9963605064593261)</f>
        <v>0.9963605065</v>
      </c>
      <c r="AK733" s="30">
        <f>IFERROR(__xludf.DUMMYFUNCTION("""COMPUTED_VALUE"""),1.092357085488799)</f>
        <v>1.092357085</v>
      </c>
      <c r="AL733" s="30">
        <f>IFERROR(__xludf.DUMMYFUNCTION("""COMPUTED_VALUE"""),1.025695672343112)</f>
        <v>1.025695672</v>
      </c>
      <c r="AM733" s="30">
        <f>IFERROR(__xludf.DUMMYFUNCTION("""COMPUTED_VALUE"""),1.106740395411483)</f>
        <v>1.106740395</v>
      </c>
      <c r="AN733" s="30">
        <f>IFERROR(__xludf.DUMMYFUNCTION("""COMPUTED_VALUE"""),0.9049434209209775)</f>
        <v>0.9049434209</v>
      </c>
      <c r="AO733" s="30">
        <f>IFERROR(__xludf.DUMMYFUNCTION("""COMPUTED_VALUE"""),1.1428023502672928)</f>
        <v>1.14280235</v>
      </c>
      <c r="AP733" s="30">
        <f>IFERROR(__xludf.DUMMYFUNCTION("""COMPUTED_VALUE"""),0.6452719717981905)</f>
        <v>0.6452719718</v>
      </c>
      <c r="AQ733" s="30">
        <f>IFERROR(__xludf.DUMMYFUNCTION("""COMPUTED_VALUE"""),0.9697320461667518)</f>
        <v>0.9697320462</v>
      </c>
      <c r="AR733" s="30">
        <f>IFERROR(__xludf.DUMMYFUNCTION("""COMPUTED_VALUE"""),0.9757049944473932)</f>
        <v>0.9757049944</v>
      </c>
      <c r="AS733" s="30">
        <f>IFERROR(__xludf.DUMMYFUNCTION("""COMPUTED_VALUE"""),79.0)</f>
        <v>79</v>
      </c>
      <c r="AT733" s="30">
        <f>IFERROR(__xludf.DUMMYFUNCTION("""COMPUTED_VALUE"""),0.5311250296093183)</f>
        <v>0.5311250296</v>
      </c>
      <c r="AU733" s="30">
        <f>IFERROR(__xludf.DUMMYFUNCTION("""COMPUTED_VALUE"""),1.9597652698848789)</f>
        <v>1.95976527</v>
      </c>
      <c r="AV733" s="32">
        <f>IFERROR(__xludf.DUMMYFUNCTION("""COMPUTED_VALUE"""),45.84176846551038)</f>
        <v>45.84176847</v>
      </c>
      <c r="AW733" s="32">
        <f>IFERROR(__xludf.DUMMYFUNCTION("""COMPUTED_VALUE"""),-2.304418687236682)</f>
        <v>-2.304418687</v>
      </c>
      <c r="AX733" s="32">
        <f>IFERROR(__xludf.DUMMYFUNCTION("""COMPUTED_VALUE"""),24.142741027726935)</f>
        <v>24.14274103</v>
      </c>
      <c r="AY733" s="32">
        <f>IFERROR(__xludf.DUMMYFUNCTION("""COMPUTED_VALUE"""),-6.64450850101152)</f>
        <v>-6.644508501</v>
      </c>
      <c r="AZ733" s="30">
        <f>IFERROR(__xludf.DUMMYFUNCTION("""COMPUTED_VALUE"""),4.3400898137748385)</f>
        <v>4.340089814</v>
      </c>
      <c r="BA733" s="30">
        <f>IFERROR(__xludf.DUMMYFUNCTION("""COMPUTED_VALUE"""),2700.0)</f>
        <v>2700</v>
      </c>
    </row>
    <row r="734">
      <c r="A734" s="71" t="str">
        <f>IFERROR(__xludf.DUMMYFUNCTION("""COMPUTED_VALUE"""),"Prospect")</f>
        <v>Prospect</v>
      </c>
      <c r="B734" s="71" t="str">
        <f>IFERROR(__xludf.DUMMYFUNCTION("""COMPUTED_VALUE"""),"RSC007102")</f>
        <v>RSC007102</v>
      </c>
      <c r="C734" s="30" t="str">
        <f>IFERROR(__xludf.DUMMYFUNCTION("""COMPUTED_VALUE"""),"tepochtli_13")</f>
        <v>tepochtli_13</v>
      </c>
      <c r="D734" s="30" t="str">
        <f>IFERROR(__xludf.DUMMYFUNCTION("""COMPUTED_VALUE"""),"Poppy")</f>
        <v>Poppy</v>
      </c>
      <c r="E734" s="30">
        <f>IFERROR(__xludf.DUMMYFUNCTION("""COMPUTED_VALUE"""),37.0)</f>
        <v>37</v>
      </c>
      <c r="F734" s="30">
        <f>IFERROR(__xludf.DUMMYFUNCTION("""COMPUTED_VALUE"""),18.0)</f>
        <v>18</v>
      </c>
      <c r="G734" s="42">
        <f>IFERROR(__xludf.DUMMYFUNCTION("""COMPUTED_VALUE"""),19.0)</f>
        <v>19</v>
      </c>
      <c r="H734" s="42">
        <f>IFERROR(__xludf.DUMMYFUNCTION("""COMPUTED_VALUE"""),0.4864864864864865)</f>
        <v>0.4864864865</v>
      </c>
      <c r="I734" s="42">
        <f>IFERROR(__xludf.DUMMYFUNCTION("""COMPUTED_VALUE"""),0.2784810126582279)</f>
        <v>0.2784810127</v>
      </c>
      <c r="J734" s="30">
        <f>IFERROR(__xludf.DUMMYFUNCTION("""COMPUTED_VALUE"""),286.5945945945946)</f>
        <v>286.5945946</v>
      </c>
      <c r="K734" s="30">
        <f>IFERROR(__xludf.DUMMYFUNCTION("""COMPUTED_VALUE"""),0.5945945945945946)</f>
        <v>0.5945945946</v>
      </c>
      <c r="L734" s="30">
        <f>IFERROR(__xludf.DUMMYFUNCTION("""COMPUTED_VALUE"""),0.4864864864864865)</f>
        <v>0.4864864865</v>
      </c>
      <c r="M734" s="30">
        <f>IFERROR(__xludf.DUMMYFUNCTION("""COMPUTED_VALUE"""),1.0810810810810811)</f>
        <v>1.081081081</v>
      </c>
      <c r="N734" s="30">
        <f>IFERROR(__xludf.DUMMYFUNCTION("""COMPUTED_VALUE"""),2.135135135135135)</f>
        <v>2.135135135</v>
      </c>
      <c r="O734" s="30">
        <f>IFERROR(__xludf.DUMMYFUNCTION("""COMPUTED_VALUE"""),353.29729729729735)</f>
        <v>353.2972973</v>
      </c>
      <c r="P734" s="30">
        <f>IFERROR(__xludf.DUMMYFUNCTION("""COMPUTED_VALUE"""),0.837837837837838)</f>
        <v>0.8378378378</v>
      </c>
      <c r="Q734" s="30">
        <f>IFERROR(__xludf.DUMMYFUNCTION("""COMPUTED_VALUE"""),0.5855855855855855)</f>
        <v>0.5855855856</v>
      </c>
      <c r="R734" s="30">
        <f>IFERROR(__xludf.DUMMYFUNCTION("""COMPUTED_VALUE"""),1.234234234234234)</f>
        <v>1.234234234</v>
      </c>
      <c r="S734" s="30">
        <f>IFERROR(__xludf.DUMMYFUNCTION("""COMPUTED_VALUE"""),2.7207207207207196)</f>
        <v>2.720720721</v>
      </c>
      <c r="T734" s="30">
        <f>IFERROR(__xludf.DUMMYFUNCTION("""COMPUTED_VALUE"""),342.59218094684456)</f>
        <v>342.5921809</v>
      </c>
      <c r="U734" s="30">
        <f>IFERROR(__xludf.DUMMYFUNCTION("""COMPUTED_VALUE"""),0.8271795075035339)</f>
        <v>0.8271795075</v>
      </c>
      <c r="V734" s="30">
        <f>IFERROR(__xludf.DUMMYFUNCTION("""COMPUTED_VALUE"""),0.5387024699733319)</f>
        <v>0.53870247</v>
      </c>
      <c r="W734" s="30">
        <f>IFERROR(__xludf.DUMMYFUNCTION("""COMPUTED_VALUE"""),1.2011623913132017)</f>
        <v>1.201162391</v>
      </c>
      <c r="X734" s="30">
        <f>IFERROR(__xludf.DUMMYFUNCTION("""COMPUTED_VALUE"""),2.4888819124185404)</f>
        <v>2.488881912</v>
      </c>
      <c r="Y734" s="30">
        <f>IFERROR(__xludf.DUMMYFUNCTION("""COMPUTED_VALUE"""),327.2093725669574)</f>
        <v>327.2093726</v>
      </c>
      <c r="Z734" s="30">
        <f>IFERROR(__xludf.DUMMYFUNCTION("""COMPUTED_VALUE"""),0.7575421336309595)</f>
        <v>0.7575421336</v>
      </c>
      <c r="AA734" s="30">
        <f>IFERROR(__xludf.DUMMYFUNCTION("""COMPUTED_VALUE"""),0.4982904607996397)</f>
        <v>0.4982904608</v>
      </c>
      <c r="AB734" s="30">
        <f>IFERROR(__xludf.DUMMYFUNCTION("""COMPUTED_VALUE"""),1.1839158186848244)</f>
        <v>1.183915819</v>
      </c>
      <c r="AC734" s="30">
        <f>IFERROR(__xludf.DUMMYFUNCTION("""COMPUTED_VALUE"""),2.382055588266192)</f>
        <v>2.382055588</v>
      </c>
      <c r="AD734" s="30">
        <f>IFERROR(__xludf.DUMMYFUNCTION("""COMPUTED_VALUE"""),0.8758752609873613)</f>
        <v>0.875875261</v>
      </c>
      <c r="AE734" s="30">
        <f>IFERROR(__xludf.DUMMYFUNCTION("""COMPUTED_VALUE"""),0.7848997015448574)</f>
        <v>0.7848997015</v>
      </c>
      <c r="AF734" s="30">
        <f>IFERROR(__xludf.DUMMYFUNCTION("""COMPUTED_VALUE"""),0.9763110570204163)</f>
        <v>0.976311057</v>
      </c>
      <c r="AG734" s="30">
        <f>IFERROR(__xludf.DUMMYFUNCTION("""COMPUTED_VALUE"""),0.913140160828344)</f>
        <v>0.9131401608</v>
      </c>
      <c r="AH734" s="30">
        <f>IFERROR(__xludf.DUMMYFUNCTION("""COMPUTED_VALUE"""),0.8963414395753959)</f>
        <v>0.8963414396</v>
      </c>
      <c r="AI734" s="30">
        <f>IFERROR(__xludf.DUMMYFUNCTION("""COMPUTED_VALUE"""),1.0312474041902133)</f>
        <v>1.031247404</v>
      </c>
      <c r="AJ734" s="30">
        <f>IFERROR(__xludf.DUMMYFUNCTION("""COMPUTED_VALUE"""),1.012885147948686)</f>
        <v>1.012885148</v>
      </c>
      <c r="AK734" s="30">
        <f>IFERROR(__xludf.DUMMYFUNCTION("""COMPUTED_VALUE"""),1.0870297023412097)</f>
        <v>1.087029702</v>
      </c>
      <c r="AL734" s="30">
        <f>IFERROR(__xludf.DUMMYFUNCTION("""COMPUTED_VALUE"""),1.0275331988082608)</f>
        <v>1.027533199</v>
      </c>
      <c r="AM734" s="30">
        <f>IFERROR(__xludf.DUMMYFUNCTION("""COMPUTED_VALUE"""),1.093149782295976)</f>
        <v>1.093149782</v>
      </c>
      <c r="AN734" s="30">
        <f>IFERROR(__xludf.DUMMYFUNCTION("""COMPUTED_VALUE"""),0.8913424255373267)</f>
        <v>0.8913424255</v>
      </c>
      <c r="AO734" s="30">
        <f>IFERROR(__xludf.DUMMYFUNCTION("""COMPUTED_VALUE"""),0.8101779655741098)</f>
        <v>0.8101779656</v>
      </c>
      <c r="AP734" s="30">
        <f>IFERROR(__xludf.DUMMYFUNCTION("""COMPUTED_VALUE"""),0.9731398926037577)</f>
        <v>0.9731398926</v>
      </c>
      <c r="AQ734" s="30">
        <f>IFERROR(__xludf.DUMMYFUNCTION("""COMPUTED_VALUE"""),0.9285465152484726)</f>
        <v>0.9285465152</v>
      </c>
      <c r="AR734" s="30">
        <f>IFERROR(__xludf.DUMMYFUNCTION("""COMPUTED_VALUE"""),0.922587463861647)</f>
        <v>0.9225874639</v>
      </c>
      <c r="AS734" s="30">
        <f>IFERROR(__xludf.DUMMYFUNCTION("""COMPUTED_VALUE"""),92.0)</f>
        <v>92</v>
      </c>
      <c r="AT734" s="30">
        <f>IFERROR(__xludf.DUMMYFUNCTION("""COMPUTED_VALUE"""),0.495710603010721)</f>
        <v>0.495710603</v>
      </c>
      <c r="AU734" s="30">
        <f>IFERROR(__xludf.DUMMYFUNCTION("""COMPUTED_VALUE"""),1.7159777083331031)</f>
        <v>1.715977708</v>
      </c>
      <c r="AV734" s="32">
        <f>IFERROR(__xludf.DUMMYFUNCTION("""COMPUTED_VALUE"""),39.24542497003654)</f>
        <v>39.24542497</v>
      </c>
      <c r="AW734" s="32">
        <f>IFERROR(__xludf.DUMMYFUNCTION("""COMPUTED_VALUE"""),-2.998219688422348)</f>
        <v>-2.998219688</v>
      </c>
      <c r="AX734" s="32">
        <f>IFERROR(__xludf.DUMMYFUNCTION("""COMPUTED_VALUE"""),22.57544126172944)</f>
        <v>22.57544126</v>
      </c>
      <c r="AY734" s="32">
        <f>IFERROR(__xludf.DUMMYFUNCTION("""COMPUTED_VALUE"""),-7.335435699977578)</f>
        <v>-7.3354357</v>
      </c>
      <c r="AZ734" s="30">
        <f>IFERROR(__xludf.DUMMYFUNCTION("""COMPUTED_VALUE"""),4.337216011555229)</f>
        <v>4.337216012</v>
      </c>
      <c r="BA734" s="30">
        <f>IFERROR(__xludf.DUMMYFUNCTION("""COMPUTED_VALUE"""),2700.0)</f>
        <v>2700</v>
      </c>
    </row>
    <row r="735">
      <c r="A735" s="71" t="str">
        <f>IFERROR(__xludf.DUMMYFUNCTION("""COMPUTED_VALUE"""),"Prospect")</f>
        <v>Prospect</v>
      </c>
      <c r="B735" s="71" t="str">
        <f>IFERROR(__xludf.DUMMYFUNCTION("""COMPUTED_VALUE"""),"RSC000221")</f>
        <v>RSC000221</v>
      </c>
      <c r="C735" s="30" t="str">
        <f>IFERROR(__xludf.DUMMYFUNCTION("""COMPUTED_VALUE"""),"Treefrog")</f>
        <v>Treefrog</v>
      </c>
      <c r="D735" s="30" t="str">
        <f>IFERROR(__xludf.DUMMYFUNCTION("""COMPUTED_VALUE"""),"Dime")</f>
        <v>Dime</v>
      </c>
      <c r="E735" s="30">
        <f>IFERROR(__xludf.DUMMYFUNCTION("""COMPUTED_VALUE"""),43.0)</f>
        <v>43</v>
      </c>
      <c r="F735" s="30">
        <f>IFERROR(__xludf.DUMMYFUNCTION("""COMPUTED_VALUE"""),26.0)</f>
        <v>26</v>
      </c>
      <c r="G735" s="42">
        <f>IFERROR(__xludf.DUMMYFUNCTION("""COMPUTED_VALUE"""),17.0)</f>
        <v>17</v>
      </c>
      <c r="H735" s="42">
        <f>IFERROR(__xludf.DUMMYFUNCTION("""COMPUTED_VALUE"""),0.6046511627906976)</f>
        <v>0.6046511628</v>
      </c>
      <c r="I735" s="42">
        <f>IFERROR(__xludf.DUMMYFUNCTION("""COMPUTED_VALUE"""),0.35)</f>
        <v>0.35</v>
      </c>
      <c r="J735" s="30">
        <f>IFERROR(__xludf.DUMMYFUNCTION("""COMPUTED_VALUE"""),341.86046511627904)</f>
        <v>341.8604651</v>
      </c>
      <c r="K735" s="30">
        <f>IFERROR(__xludf.DUMMYFUNCTION("""COMPUTED_VALUE"""),0.9767441860465116)</f>
        <v>0.976744186</v>
      </c>
      <c r="L735" s="30">
        <f>IFERROR(__xludf.DUMMYFUNCTION("""COMPUTED_VALUE"""),0.6976744186046512)</f>
        <v>0.6976744186</v>
      </c>
      <c r="M735" s="30">
        <f>IFERROR(__xludf.DUMMYFUNCTION("""COMPUTED_VALUE"""),0.9069767441860465)</f>
        <v>0.9069767442</v>
      </c>
      <c r="N735" s="30">
        <f>IFERROR(__xludf.DUMMYFUNCTION("""COMPUTED_VALUE"""),2.7906976744186047)</f>
        <v>2.790697674</v>
      </c>
      <c r="O735" s="30">
        <f>IFERROR(__xludf.DUMMYFUNCTION("""COMPUTED_VALUE"""),317.7441860465117)</f>
        <v>317.744186</v>
      </c>
      <c r="P735" s="30">
        <f>IFERROR(__xludf.DUMMYFUNCTION("""COMPUTED_VALUE"""),0.6976744186046511)</f>
        <v>0.6976744186</v>
      </c>
      <c r="Q735" s="30">
        <f>IFERROR(__xludf.DUMMYFUNCTION("""COMPUTED_VALUE"""),0.47286821705426363)</f>
        <v>0.4728682171</v>
      </c>
      <c r="R735" s="30">
        <f>IFERROR(__xludf.DUMMYFUNCTION("""COMPUTED_VALUE"""),1.3255813953488371)</f>
        <v>1.325581395</v>
      </c>
      <c r="S735" s="30">
        <f>IFERROR(__xludf.DUMMYFUNCTION("""COMPUTED_VALUE"""),1.9922480620155043)</f>
        <v>1.992248062</v>
      </c>
      <c r="T735" s="30">
        <f>IFERROR(__xludf.DUMMYFUNCTION("""COMPUTED_VALUE"""),331.5573836014628)</f>
        <v>331.5573836</v>
      </c>
      <c r="U735" s="30">
        <f>IFERROR(__xludf.DUMMYFUNCTION("""COMPUTED_VALUE"""),0.7893463463968264)</f>
        <v>0.7893463464</v>
      </c>
      <c r="V735" s="30">
        <f>IFERROR(__xludf.DUMMYFUNCTION("""COMPUTED_VALUE"""),0.5123705719932677)</f>
        <v>0.512370572</v>
      </c>
      <c r="W735" s="30">
        <f>IFERROR(__xludf.DUMMYFUNCTION("""COMPUTED_VALUE"""),1.1742235871245532)</f>
        <v>1.174223587</v>
      </c>
      <c r="X735" s="30">
        <f>IFERROR(__xludf.DUMMYFUNCTION("""COMPUTED_VALUE"""),2.4295024712574094)</f>
        <v>2.429502471</v>
      </c>
      <c r="Y735" s="30">
        <f>IFERROR(__xludf.DUMMYFUNCTION("""COMPUTED_VALUE"""),337.61643388382294)</f>
        <v>337.6164339</v>
      </c>
      <c r="Z735" s="30">
        <f>IFERROR(__xludf.DUMMYFUNCTION("""COMPUTED_VALUE"""),0.806745939451904)</f>
        <v>0.8067459395</v>
      </c>
      <c r="AA735" s="30">
        <f>IFERROR(__xludf.DUMMYFUNCTION("""COMPUTED_VALUE"""),0.5436489043663105)</f>
        <v>0.5436489044</v>
      </c>
      <c r="AB735" s="30">
        <f>IFERROR(__xludf.DUMMYFUNCTION("""COMPUTED_VALUE"""),1.1908815682038083)</f>
        <v>1.190881568</v>
      </c>
      <c r="AC735" s="30">
        <f>IFERROR(__xludf.DUMMYFUNCTION("""COMPUTED_VALUE"""),2.4428791114297455)</f>
        <v>2.442879111</v>
      </c>
      <c r="AD735" s="30">
        <f>IFERROR(__xludf.DUMMYFUNCTION("""COMPUTED_VALUE"""),1.0125705706432422)</f>
        <v>1.012570571</v>
      </c>
      <c r="AE735" s="30">
        <f>IFERROR(__xludf.DUMMYFUNCTION("""COMPUTED_VALUE"""),1.210720920033515)</f>
        <v>1.21072092</v>
      </c>
      <c r="AF735" s="30">
        <f>IFERROR(__xludf.DUMMYFUNCTION("""COMPUTED_VALUE"""),1.2833179888734922)</f>
        <v>1.283317989</v>
      </c>
      <c r="AG735" s="30">
        <f>IFERROR(__xludf.DUMMYFUNCTION("""COMPUTED_VALUE"""),0.7616011267636194)</f>
        <v>0.7616011268</v>
      </c>
      <c r="AH735" s="30">
        <f>IFERROR(__xludf.DUMMYFUNCTION("""COMPUTED_VALUE"""),1.1423805874639827)</f>
        <v>1.142380587</v>
      </c>
      <c r="AI735" s="30">
        <f>IFERROR(__xludf.DUMMYFUNCTION("""COMPUTED_VALUE"""),0.9583384408306382)</f>
        <v>0.9583384408</v>
      </c>
      <c r="AJ735" s="30">
        <f>IFERROR(__xludf.DUMMYFUNCTION("""COMPUTED_VALUE"""),0.8838634926092515)</f>
        <v>0.8838634926</v>
      </c>
      <c r="AK735" s="30">
        <f>IFERROR(__xludf.DUMMYFUNCTION("""COMPUTED_VALUE"""),0.9229027639403086)</f>
        <v>0.9229027639</v>
      </c>
      <c r="AL735" s="30">
        <f>IFERROR(__xludf.DUMMYFUNCTION("""COMPUTED_VALUE"""),1.128900330298193)</f>
        <v>1.12890033</v>
      </c>
      <c r="AM735" s="30">
        <f>IFERROR(__xludf.DUMMYFUNCTION("""COMPUTED_VALUE"""),0.8200230646336406)</f>
        <v>0.8200230646</v>
      </c>
      <c r="AN735" s="30">
        <f>IFERROR(__xludf.DUMMYFUNCTION("""COMPUTED_VALUE"""),1.0632256920375636)</f>
        <v>1.063225692</v>
      </c>
      <c r="AO735" s="30">
        <f>IFERROR(__xludf.DUMMYFUNCTION("""COMPUTED_VALUE"""),1.3308843113130724)</f>
        <v>1.330884311</v>
      </c>
      <c r="AP735" s="30">
        <f>IFERROR(__xludf.DUMMYFUNCTION("""COMPUTED_VALUE"""),1.3955882180751564)</f>
        <v>1.395588218</v>
      </c>
      <c r="AQ735" s="30">
        <f>IFERROR(__xludf.DUMMYFUNCTION("""COMPUTED_VALUE"""),0.7790073380834569)</f>
        <v>0.7790073381</v>
      </c>
      <c r="AR735" s="30">
        <f>IFERROR(__xludf.DUMMYFUNCTION("""COMPUTED_VALUE"""),1.205854677523024)</f>
        <v>1.205854678</v>
      </c>
      <c r="AS735" s="30">
        <f>IFERROR(__xludf.DUMMYFUNCTION("""COMPUTED_VALUE"""),121.0)</f>
        <v>121</v>
      </c>
      <c r="AT735" s="30">
        <f>IFERROR(__xludf.DUMMYFUNCTION("""COMPUTED_VALUE"""),0.6147270457304821)</f>
        <v>0.6147270457</v>
      </c>
      <c r="AU735" s="30">
        <f>IFERROR(__xludf.DUMMYFUNCTION("""COMPUTED_VALUE"""),3.1046246800308337)</f>
        <v>3.10462468</v>
      </c>
      <c r="AV735" s="32">
        <f>IFERROR(__xludf.DUMMYFUNCTION("""COMPUTED_VALUE"""),76.81909099697356)</f>
        <v>76.819091</v>
      </c>
      <c r="AW735" s="32">
        <f>IFERROR(__xludf.DUMMYFUNCTION("""COMPUTED_VALUE"""),7.0577313615164154)</f>
        <v>7.057731362</v>
      </c>
      <c r="AX735" s="32">
        <f>IFERROR(__xludf.DUMMYFUNCTION("""COMPUTED_VALUE"""),63.59250190234561)</f>
        <v>63.5925019</v>
      </c>
      <c r="AY735" s="32">
        <f>IFERROR(__xludf.DUMMYFUNCTION("""COMPUTED_VALUE"""),3.4092000805870986)</f>
        <v>3.409200081</v>
      </c>
      <c r="AZ735" s="30">
        <f>IFERROR(__xludf.DUMMYFUNCTION("""COMPUTED_VALUE"""),3.648531280929317)</f>
        <v>3.648531281</v>
      </c>
      <c r="BA735" s="30">
        <f>IFERROR(__xludf.DUMMYFUNCTION("""COMPUTED_VALUE"""),2700.0)</f>
        <v>2700</v>
      </c>
    </row>
    <row r="736">
      <c r="A736" s="71" t="str">
        <f>IFERROR(__xludf.DUMMYFUNCTION("""COMPUTED_VALUE"""),"Prospect")</f>
        <v>Prospect</v>
      </c>
      <c r="B736" s="71" t="str">
        <f>IFERROR(__xludf.DUMMYFUNCTION("""COMPUTED_VALUE"""),"RSC001820")</f>
        <v>RSC001820</v>
      </c>
      <c r="C736" s="30" t="str">
        <f>IFERROR(__xludf.DUMMYFUNCTION("""COMPUTED_VALUE"""),"YourEvilTwin")</f>
        <v>YourEvilTwin</v>
      </c>
      <c r="D736" s="30" t="str">
        <f>IFERROR(__xludf.DUMMYFUNCTION("""COMPUTED_VALUE"""),"Tic Tacs")</f>
        <v>Tic Tacs</v>
      </c>
      <c r="E736" s="30">
        <f>IFERROR(__xludf.DUMMYFUNCTION("""COMPUTED_VALUE"""),30.0)</f>
        <v>30</v>
      </c>
      <c r="F736" s="30">
        <f>IFERROR(__xludf.DUMMYFUNCTION("""COMPUTED_VALUE"""),15.0)</f>
        <v>15</v>
      </c>
      <c r="G736" s="42">
        <f>IFERROR(__xludf.DUMMYFUNCTION("""COMPUTED_VALUE"""),15.0)</f>
        <v>15</v>
      </c>
      <c r="H736" s="42">
        <f>IFERROR(__xludf.DUMMYFUNCTION("""COMPUTED_VALUE"""),0.5)</f>
        <v>0.5</v>
      </c>
      <c r="I736" s="42">
        <f>IFERROR(__xludf.DUMMYFUNCTION("""COMPUTED_VALUE"""),0.29166666666666663)</f>
        <v>0.2916666667</v>
      </c>
      <c r="J736" s="30">
        <f>IFERROR(__xludf.DUMMYFUNCTION("""COMPUTED_VALUE"""),278.4)</f>
        <v>278.4</v>
      </c>
      <c r="K736" s="30">
        <f>IFERROR(__xludf.DUMMYFUNCTION("""COMPUTED_VALUE"""),0.4666666666666667)</f>
        <v>0.4666666667</v>
      </c>
      <c r="L736" s="30">
        <f>IFERROR(__xludf.DUMMYFUNCTION("""COMPUTED_VALUE"""),0.5)</f>
        <v>0.5</v>
      </c>
      <c r="M736" s="30">
        <f>IFERROR(__xludf.DUMMYFUNCTION("""COMPUTED_VALUE"""),1.1333333333333333)</f>
        <v>1.133333333</v>
      </c>
      <c r="N736" s="30">
        <f>IFERROR(__xludf.DUMMYFUNCTION("""COMPUTED_VALUE"""),1.6)</f>
        <v>1.6</v>
      </c>
      <c r="O736" s="30">
        <f>IFERROR(__xludf.DUMMYFUNCTION("""COMPUTED_VALUE"""),332.2666666666666)</f>
        <v>332.2666667</v>
      </c>
      <c r="P736" s="30">
        <f>IFERROR(__xludf.DUMMYFUNCTION("""COMPUTED_VALUE"""),0.8666666666666667)</f>
        <v>0.8666666667</v>
      </c>
      <c r="Q736" s="30">
        <f>IFERROR(__xludf.DUMMYFUNCTION("""COMPUTED_VALUE"""),0.5333333333333334)</f>
        <v>0.5333333333</v>
      </c>
      <c r="R736" s="30">
        <f>IFERROR(__xludf.DUMMYFUNCTION("""COMPUTED_VALUE"""),1.022222222222222)</f>
        <v>1.022222222</v>
      </c>
      <c r="S736" s="30">
        <f>IFERROR(__xludf.DUMMYFUNCTION("""COMPUTED_VALUE"""),2.6444444444444444)</f>
        <v>2.644444444</v>
      </c>
      <c r="T736" s="30">
        <f>IFERROR(__xludf.DUMMYFUNCTION("""COMPUTED_VALUE"""),332.3226091275821)</f>
        <v>332.3226091</v>
      </c>
      <c r="U736" s="30">
        <f>IFERROR(__xludf.DUMMYFUNCTION("""COMPUTED_VALUE"""),0.7875246319108976)</f>
        <v>0.7875246319</v>
      </c>
      <c r="V736" s="30">
        <f>IFERROR(__xludf.DUMMYFUNCTION("""COMPUTED_VALUE"""),0.5288255513067279)</f>
        <v>0.5288255513</v>
      </c>
      <c r="W736" s="30">
        <f>IFERROR(__xludf.DUMMYFUNCTION("""COMPUTED_VALUE"""),1.195300903222474)</f>
        <v>1.195300903</v>
      </c>
      <c r="X736" s="30">
        <f>IFERROR(__xludf.DUMMYFUNCTION("""COMPUTED_VALUE"""),2.3754295836994435)</f>
        <v>2.375429584</v>
      </c>
      <c r="Y736" s="30">
        <f>IFERROR(__xludf.DUMMYFUNCTION("""COMPUTED_VALUE"""),334.39968019278405)</f>
        <v>334.3996802</v>
      </c>
      <c r="Z736" s="30">
        <f>IFERROR(__xludf.DUMMYFUNCTION("""COMPUTED_VALUE"""),0.7937711765491575)</f>
        <v>0.7937711765</v>
      </c>
      <c r="AA736" s="30">
        <f>IFERROR(__xludf.DUMMYFUNCTION("""COMPUTED_VALUE"""),0.525757190809066)</f>
        <v>0.5257571908</v>
      </c>
      <c r="AB736" s="30">
        <f>IFERROR(__xludf.DUMMYFUNCTION("""COMPUTED_VALUE"""),1.1788397279000549)</f>
        <v>1.178839728</v>
      </c>
      <c r="AC736" s="30">
        <f>IFERROR(__xludf.DUMMYFUNCTION("""COMPUTED_VALUE"""),2.4203171280170483)</f>
        <v>2.420317128</v>
      </c>
      <c r="AD736" s="30">
        <f>IFERROR(__xludf.DUMMYFUNCTION("""COMPUTED_VALUE"""),0.83253668137332)</f>
        <v>0.8325366814</v>
      </c>
      <c r="AE736" s="30">
        <f>IFERROR(__xludf.DUMMYFUNCTION("""COMPUTED_VALUE"""),0.5879108242446575)</f>
        <v>0.5879108242</v>
      </c>
      <c r="AF736" s="30">
        <f>IFERROR(__xludf.DUMMYFUNCTION("""COMPUTED_VALUE"""),0.9510093418419454)</f>
        <v>0.9510093418</v>
      </c>
      <c r="AG736" s="30">
        <f>IFERROR(__xludf.DUMMYFUNCTION("""COMPUTED_VALUE"""),0.9613973015247924)</f>
        <v>0.9613973015</v>
      </c>
      <c r="AH736" s="30">
        <f>IFERROR(__xludf.DUMMYFUNCTION("""COMPUTED_VALUE"""),0.6610703950646628)</f>
        <v>0.6610703951</v>
      </c>
      <c r="AI736" s="30">
        <f>IFERROR(__xludf.DUMMYFUNCTION("""COMPUTED_VALUE"""),0.9998316621879494)</f>
        <v>0.9998316622</v>
      </c>
      <c r="AJ736" s="30">
        <f>IFERROR(__xludf.DUMMYFUNCTION("""COMPUTED_VALUE"""),1.1004946785775247)</f>
        <v>1.100494679</v>
      </c>
      <c r="AK736" s="30">
        <f>IFERROR(__xludf.DUMMYFUNCTION("""COMPUTED_VALUE"""),1.0085241380933028)</f>
        <v>1.008524138</v>
      </c>
      <c r="AL736" s="30">
        <f>IFERROR(__xludf.DUMMYFUNCTION("""COMPUTED_VALUE"""),0.8552007444036559)</f>
        <v>0.8552007444</v>
      </c>
      <c r="AM736" s="30">
        <f>IFERROR(__xludf.DUMMYFUNCTION("""COMPUTED_VALUE"""),1.1132489308843425)</f>
        <v>1.113248931</v>
      </c>
      <c r="AN736" s="30">
        <f>IFERROR(__xludf.DUMMYFUNCTION("""COMPUTED_VALUE"""),0.8658562860217743)</f>
        <v>0.865856286</v>
      </c>
      <c r="AO736" s="30">
        <f>IFERROR(__xludf.DUMMYFUNCTION("""COMPUTED_VALUE"""),0.635866948738468)</f>
        <v>0.6358669487</v>
      </c>
      <c r="AP736" s="30">
        <f>IFERROR(__xludf.DUMMYFUNCTION("""COMPUTED_VALUE"""),1.0001715562871953)</f>
        <v>1.000171556</v>
      </c>
      <c r="AQ736" s="30">
        <f>IFERROR(__xludf.DUMMYFUNCTION("""COMPUTED_VALUE"""),0.9734262634854821)</f>
        <v>0.9734262635</v>
      </c>
      <c r="AR736" s="30">
        <f>IFERROR(__xludf.DUMMYFUNCTION("""COMPUTED_VALUE"""),0.6913566817798672)</f>
        <v>0.6913566818</v>
      </c>
      <c r="AS736" s="30">
        <f>IFERROR(__xludf.DUMMYFUNCTION("""COMPUTED_VALUE"""),74.0)</f>
        <v>74</v>
      </c>
      <c r="AT736" s="30">
        <f>IFERROR(__xludf.DUMMYFUNCTION("""COMPUTED_VALUE"""),0.47904500629967595)</f>
        <v>0.4790450063</v>
      </c>
      <c r="AU736" s="30">
        <f>IFERROR(__xludf.DUMMYFUNCTION("""COMPUTED_VALUE"""),1.2121049036738893)</f>
        <v>1.212104904</v>
      </c>
      <c r="AV736" s="32">
        <f>IFERROR(__xludf.DUMMYFUNCTION("""COMPUTED_VALUE"""),25.611759345738175)</f>
        <v>25.61175935</v>
      </c>
      <c r="AW736" s="32">
        <f>IFERROR(__xludf.DUMMYFUNCTION("""COMPUTED_VALUE"""),-6.073533237870728)</f>
        <v>-6.073533238</v>
      </c>
      <c r="AX736" s="32">
        <f>IFERROR(__xludf.DUMMYFUNCTION("""COMPUTED_VALUE"""),19.73319813284077)</f>
        <v>19.73319813</v>
      </c>
      <c r="AY736" s="32">
        <f>IFERROR(__xludf.DUMMYFUNCTION("""COMPUTED_VALUE"""),-8.848731025931807)</f>
        <v>-8.848731026</v>
      </c>
      <c r="AZ736" s="30">
        <f>IFERROR(__xludf.DUMMYFUNCTION("""COMPUTED_VALUE"""),2.775197788061079)</f>
        <v>2.775197788</v>
      </c>
      <c r="BA736" s="30">
        <f>IFERROR(__xludf.DUMMYFUNCTION("""COMPUTED_VALUE"""),2700.0)</f>
        <v>2700</v>
      </c>
    </row>
    <row r="737">
      <c r="A737" s="71" t="str">
        <f>IFERROR(__xludf.DUMMYFUNCTION("""COMPUTED_VALUE"""),"Prospect")</f>
        <v>Prospect</v>
      </c>
      <c r="B737" s="71" t="str">
        <f>IFERROR(__xludf.DUMMYFUNCTION("""COMPUTED_VALUE"""),"RSC006416")</f>
        <v>RSC006416</v>
      </c>
      <c r="C737" s="30" t="str">
        <f>IFERROR(__xludf.DUMMYFUNCTION("""COMPUTED_VALUE"""),"StaRazor")</f>
        <v>StaRazor</v>
      </c>
      <c r="D737" s="30" t="str">
        <f>IFERROR(__xludf.DUMMYFUNCTION("""COMPUTED_VALUE"""),"Skeletons")</f>
        <v>Skeletons</v>
      </c>
      <c r="E737" s="30">
        <f>IFERROR(__xludf.DUMMYFUNCTION("""COMPUTED_VALUE"""),23.0)</f>
        <v>23</v>
      </c>
      <c r="F737" s="30">
        <f>IFERROR(__xludf.DUMMYFUNCTION("""COMPUTED_VALUE"""),7.0)</f>
        <v>7</v>
      </c>
      <c r="G737" s="42">
        <f>IFERROR(__xludf.DUMMYFUNCTION("""COMPUTED_VALUE"""),16.0)</f>
        <v>16</v>
      </c>
      <c r="H737" s="42">
        <f>IFERROR(__xludf.DUMMYFUNCTION("""COMPUTED_VALUE"""),0.30434782608695654)</f>
        <v>0.3043478261</v>
      </c>
      <c r="I737" s="42">
        <f>IFERROR(__xludf.DUMMYFUNCTION("""COMPUTED_VALUE"""),0.44827586206896547)</f>
        <v>0.4482758621</v>
      </c>
      <c r="J737" s="30">
        <f>IFERROR(__xludf.DUMMYFUNCTION("""COMPUTED_VALUE"""),292.7391304347826)</f>
        <v>292.7391304</v>
      </c>
      <c r="K737" s="30">
        <f>IFERROR(__xludf.DUMMYFUNCTION("""COMPUTED_VALUE"""),0.5652173913043478)</f>
        <v>0.5652173913</v>
      </c>
      <c r="L737" s="30">
        <f>IFERROR(__xludf.DUMMYFUNCTION("""COMPUTED_VALUE"""),0.4782608695652174)</f>
        <v>0.4782608696</v>
      </c>
      <c r="M737" s="30">
        <f>IFERROR(__xludf.DUMMYFUNCTION("""COMPUTED_VALUE"""),1.2608695652173914)</f>
        <v>1.260869565</v>
      </c>
      <c r="N737" s="30">
        <f>IFERROR(__xludf.DUMMYFUNCTION("""COMPUTED_VALUE"""),1.2608695652173914)</f>
        <v>1.260869565</v>
      </c>
      <c r="O737" s="30">
        <f>IFERROR(__xludf.DUMMYFUNCTION("""COMPUTED_VALUE"""),347.27536231884056)</f>
        <v>347.2753623</v>
      </c>
      <c r="P737" s="30">
        <f>IFERROR(__xludf.DUMMYFUNCTION("""COMPUTED_VALUE"""),1.0724637681159421)</f>
        <v>1.072463768</v>
      </c>
      <c r="Q737" s="30">
        <f>IFERROR(__xludf.DUMMYFUNCTION("""COMPUTED_VALUE"""),0.6376811594202898)</f>
        <v>0.6376811594</v>
      </c>
      <c r="R737" s="30">
        <f>IFERROR(__xludf.DUMMYFUNCTION("""COMPUTED_VALUE"""),0.826086956521739)</f>
        <v>0.8260869565</v>
      </c>
      <c r="S737" s="30">
        <f>IFERROR(__xludf.DUMMYFUNCTION("""COMPUTED_VALUE"""),2.7101449275362315)</f>
        <v>2.710144928</v>
      </c>
      <c r="T737" s="30">
        <f>IFERROR(__xludf.DUMMYFUNCTION("""COMPUTED_VALUE"""),336.31177994124516)</f>
        <v>336.3117799</v>
      </c>
      <c r="U737" s="30">
        <f>IFERROR(__xludf.DUMMYFUNCTION("""COMPUTED_VALUE"""),0.8108260346202272)</f>
        <v>0.8108260346</v>
      </c>
      <c r="V737" s="30">
        <f>IFERROR(__xludf.DUMMYFUNCTION("""COMPUTED_VALUE"""),0.6082599924875808)</f>
        <v>0.6082599925</v>
      </c>
      <c r="W737" s="30">
        <f>IFERROR(__xludf.DUMMYFUNCTION("""COMPUTED_VALUE"""),1.1015879750556914)</f>
        <v>1.101587975</v>
      </c>
      <c r="X737" s="30">
        <f>IFERROR(__xludf.DUMMYFUNCTION("""COMPUTED_VALUE"""),2.5179240362100637)</f>
        <v>2.517924036</v>
      </c>
      <c r="Y737" s="30">
        <f>IFERROR(__xludf.DUMMYFUNCTION("""COMPUTED_VALUE"""),332.52548491861455)</f>
        <v>332.5254849</v>
      </c>
      <c r="Z737" s="30">
        <f>IFERROR(__xludf.DUMMYFUNCTION("""COMPUTED_VALUE"""),0.7741306476876043)</f>
        <v>0.7741306477</v>
      </c>
      <c r="AA737" s="30">
        <f>IFERROR(__xludf.DUMMYFUNCTION("""COMPUTED_VALUE"""),0.5054564794153548)</f>
        <v>0.5054564794</v>
      </c>
      <c r="AB737" s="30">
        <f>IFERROR(__xludf.DUMMYFUNCTION("""COMPUTED_VALUE"""),1.2748009102488733)</f>
        <v>1.27480091</v>
      </c>
      <c r="AC737" s="30">
        <f>IFERROR(__xludf.DUMMYFUNCTION("""COMPUTED_VALUE"""),2.252244961356887)</f>
        <v>2.252244961</v>
      </c>
      <c r="AD737" s="30">
        <f>IFERROR(__xludf.DUMMYFUNCTION("""COMPUTED_VALUE"""),0.8803509616907419)</f>
        <v>0.8803509617</v>
      </c>
      <c r="AE737" s="30">
        <f>IFERROR(__xludf.DUMMYFUNCTION("""COMPUTED_VALUE"""),0.7301317845930805)</f>
        <v>0.7301317846</v>
      </c>
      <c r="AF737" s="30">
        <f>IFERROR(__xludf.DUMMYFUNCTION("""COMPUTED_VALUE"""),0.9461959417720915)</f>
        <v>0.9461959418</v>
      </c>
      <c r="AG737" s="30">
        <f>IFERROR(__xludf.DUMMYFUNCTION("""COMPUTED_VALUE"""),0.9890717484436357)</f>
        <v>0.9890717484</v>
      </c>
      <c r="AH737" s="30">
        <f>IFERROR(__xludf.DUMMYFUNCTION("""COMPUTED_VALUE"""),0.559827899207628)</f>
        <v>0.5598278992</v>
      </c>
      <c r="AI737" s="30">
        <f>IFERROR(__xludf.DUMMYFUNCTION("""COMPUTED_VALUE"""),1.032599459880682)</f>
        <v>1.03259946</v>
      </c>
      <c r="AJ737" s="30">
        <f>IFERROR(__xludf.DUMMYFUNCTION("""COMPUTED_VALUE"""),1.3226804793191678)</f>
        <v>1.322680479</v>
      </c>
      <c r="AK737" s="30">
        <f>IFERROR(__xludf.DUMMYFUNCTION("""COMPUTED_VALUE"""),1.0483693935094864)</f>
        <v>1.048369394</v>
      </c>
      <c r="AL737" s="30">
        <f>IFERROR(__xludf.DUMMYFUNCTION("""COMPUTED_VALUE"""),0.7499055683500682)</f>
        <v>0.7499055684</v>
      </c>
      <c r="AM737" s="30">
        <f>IFERROR(__xludf.DUMMYFUNCTION("""COMPUTED_VALUE"""),1.076341020841715)</f>
        <v>1.076341021</v>
      </c>
      <c r="AN737" s="30">
        <f>IFERROR(__xludf.DUMMYFUNCTION("""COMPUTED_VALUE"""),0.9104526445815541)</f>
        <v>0.9104526446</v>
      </c>
      <c r="AO737" s="30">
        <f>IFERROR(__xludf.DUMMYFUNCTION("""COMPUTED_VALUE"""),0.7701494099627407)</f>
        <v>0.77014941</v>
      </c>
      <c r="AP737" s="30">
        <f>IFERROR(__xludf.DUMMYFUNCTION("""COMPUTED_VALUE"""),0.9566858364486217)</f>
        <v>0.9566858364</v>
      </c>
      <c r="AQ737" s="30">
        <f>IFERROR(__xludf.DUMMYFUNCTION("""COMPUTED_VALUE"""),1.0829678378930556)</f>
        <v>1.082967838</v>
      </c>
      <c r="AR737" s="30">
        <f>IFERROR(__xludf.DUMMYFUNCTION("""COMPUTED_VALUE"""),0.5448191242286996)</f>
        <v>0.5448191242</v>
      </c>
      <c r="AS737" s="30">
        <f>IFERROR(__xludf.DUMMYFUNCTION("""COMPUTED_VALUE"""),45.0)</f>
        <v>45</v>
      </c>
      <c r="AT737" s="30">
        <f>IFERROR(__xludf.DUMMYFUNCTION("""COMPUTED_VALUE"""),0.3106220906375145)</f>
        <v>0.3106220906</v>
      </c>
      <c r="AU737" s="30">
        <f>IFERROR(__xludf.DUMMYFUNCTION("""COMPUTED_VALUE"""),1.1721097353161873)</f>
        <v>1.172109735</v>
      </c>
      <c r="AV737" s="32">
        <f>IFERROR(__xludf.DUMMYFUNCTION("""COMPUTED_VALUE"""),24.529579980361987)</f>
        <v>24.52957998</v>
      </c>
      <c r="AW737" s="32">
        <f>IFERROR(__xludf.DUMMYFUNCTION("""COMPUTED_VALUE"""),-6.487399322254224)</f>
        <v>-6.487399322</v>
      </c>
      <c r="AX737" s="32">
        <f>IFERROR(__xludf.DUMMYFUNCTION("""COMPUTED_VALUE"""),32.110181665185465)</f>
        <v>32.11018167</v>
      </c>
      <c r="AY737" s="32">
        <f>IFERROR(__xludf.DUMMYFUNCTION("""COMPUTED_VALUE"""),-4.217248504634681)</f>
        <v>-4.217248505</v>
      </c>
      <c r="AZ737" s="30">
        <f>IFERROR(__xludf.DUMMYFUNCTION("""COMPUTED_VALUE"""),2.270150817619543)</f>
        <v>2.270150818</v>
      </c>
      <c r="BA737" s="30">
        <f>IFERROR(__xludf.DUMMYFUNCTION("""COMPUTED_VALUE"""),2700.0)</f>
        <v>2700</v>
      </c>
    </row>
    <row r="738">
      <c r="A738" s="71" t="str">
        <f>IFERROR(__xludf.DUMMYFUNCTION("""COMPUTED_VALUE"""),"Prospect")</f>
        <v>Prospect</v>
      </c>
      <c r="B738" s="71" t="str">
        <f>IFERROR(__xludf.DUMMYFUNCTION("""COMPUTED_VALUE"""),"RSC007262")</f>
        <v>RSC007262</v>
      </c>
      <c r="C738" s="30" t="str">
        <f>IFERROR(__xludf.DUMMYFUNCTION("""COMPUTED_VALUE"""),"Vvreze")</f>
        <v>Vvreze</v>
      </c>
      <c r="D738" s="30" t="str">
        <f>IFERROR(__xludf.DUMMYFUNCTION("""COMPUTED_VALUE"""),"Hawaiian Pizza")</f>
        <v>Hawaiian Pizza</v>
      </c>
      <c r="E738" s="30">
        <f>IFERROR(__xludf.DUMMYFUNCTION("""COMPUTED_VALUE"""),45.0)</f>
        <v>45</v>
      </c>
      <c r="F738" s="30">
        <f>IFERROR(__xludf.DUMMYFUNCTION("""COMPUTED_VALUE"""),21.0)</f>
        <v>21</v>
      </c>
      <c r="G738" s="42">
        <f>IFERROR(__xludf.DUMMYFUNCTION("""COMPUTED_VALUE"""),24.0)</f>
        <v>24</v>
      </c>
      <c r="H738" s="42">
        <f>IFERROR(__xludf.DUMMYFUNCTION("""COMPUTED_VALUE"""),0.4666666666666667)</f>
        <v>0.4666666667</v>
      </c>
      <c r="I738" s="42">
        <f>IFERROR(__xludf.DUMMYFUNCTION("""COMPUTED_VALUE"""),0.34108527131782945)</f>
        <v>0.3410852713</v>
      </c>
      <c r="J738" s="30">
        <f>IFERROR(__xludf.DUMMYFUNCTION("""COMPUTED_VALUE"""),377.06666666666666)</f>
        <v>377.0666667</v>
      </c>
      <c r="K738" s="30">
        <f>IFERROR(__xludf.DUMMYFUNCTION("""COMPUTED_VALUE"""),0.9777777777777777)</f>
        <v>0.9777777778</v>
      </c>
      <c r="L738" s="30">
        <f>IFERROR(__xludf.DUMMYFUNCTION("""COMPUTED_VALUE"""),0.4666666666666667)</f>
        <v>0.4666666667</v>
      </c>
      <c r="M738" s="30">
        <f>IFERROR(__xludf.DUMMYFUNCTION("""COMPUTED_VALUE"""),1.3555555555555556)</f>
        <v>1.355555556</v>
      </c>
      <c r="N738" s="30">
        <f>IFERROR(__xludf.DUMMYFUNCTION("""COMPUTED_VALUE"""),2.8666666666666667)</f>
        <v>2.866666667</v>
      </c>
      <c r="O738" s="30">
        <f>IFERROR(__xludf.DUMMYFUNCTION("""COMPUTED_VALUE"""),350.61481481481485)</f>
        <v>350.6148148</v>
      </c>
      <c r="P738" s="30">
        <f>IFERROR(__xludf.DUMMYFUNCTION("""COMPUTED_VALUE"""),0.8148148148148149)</f>
        <v>0.8148148148</v>
      </c>
      <c r="Q738" s="30">
        <f>IFERROR(__xludf.DUMMYFUNCTION("""COMPUTED_VALUE"""),0.6)</f>
        <v>0.6</v>
      </c>
      <c r="R738" s="30">
        <f>IFERROR(__xludf.DUMMYFUNCTION("""COMPUTED_VALUE"""),1.2740740740740741)</f>
        <v>1.274074074</v>
      </c>
      <c r="S738" s="30">
        <f>IFERROR(__xludf.DUMMYFUNCTION("""COMPUTED_VALUE"""),2.644444444444444)</f>
        <v>2.644444444</v>
      </c>
      <c r="T738" s="30">
        <f>IFERROR(__xludf.DUMMYFUNCTION("""COMPUTED_VALUE"""),335.90316098897466)</f>
        <v>335.903161</v>
      </c>
      <c r="U738" s="30">
        <f>IFERROR(__xludf.DUMMYFUNCTION("""COMPUTED_VALUE"""),0.799047411605923)</f>
        <v>0.7990474116</v>
      </c>
      <c r="V738" s="30">
        <f>IFERROR(__xludf.DUMMYFUNCTION("""COMPUTED_VALUE"""),0.5312414889106359)</f>
        <v>0.5312414889</v>
      </c>
      <c r="W738" s="30">
        <f>IFERROR(__xludf.DUMMYFUNCTION("""COMPUTED_VALUE"""),1.1729661049433926)</f>
        <v>1.172966105</v>
      </c>
      <c r="X738" s="30">
        <f>IFERROR(__xludf.DUMMYFUNCTION("""COMPUTED_VALUE"""),2.5048596251306394)</f>
        <v>2.504859625</v>
      </c>
      <c r="Y738" s="30">
        <f>IFERROR(__xludf.DUMMYFUNCTION("""COMPUTED_VALUE"""),336.4937890362277)</f>
        <v>336.493789</v>
      </c>
      <c r="Z738" s="30">
        <f>IFERROR(__xludf.DUMMYFUNCTION("""COMPUTED_VALUE"""),0.8036009248600346)</f>
        <v>0.8036009249</v>
      </c>
      <c r="AA738" s="30">
        <f>IFERROR(__xludf.DUMMYFUNCTION("""COMPUTED_VALUE"""),0.5236324425113593)</f>
        <v>0.5236324425</v>
      </c>
      <c r="AB738" s="30">
        <f>IFERROR(__xludf.DUMMYFUNCTION("""COMPUTED_VALUE"""),1.2156753782841014)</f>
        <v>1.215675378</v>
      </c>
      <c r="AC738" s="30">
        <f>IFERROR(__xludf.DUMMYFUNCTION("""COMPUTED_VALUE"""),2.4074144390624594)</f>
        <v>2.407414439</v>
      </c>
      <c r="AD738" s="30">
        <f>IFERROR(__xludf.DUMMYFUNCTION("""COMPUTED_VALUE"""),1.1205754131351018)</f>
        <v>1.120575413</v>
      </c>
      <c r="AE738" s="30">
        <f>IFERROR(__xludf.DUMMYFUNCTION("""COMPUTED_VALUE"""),1.2167454609986668)</f>
        <v>1.216745461</v>
      </c>
      <c r="AF738" s="30">
        <f>IFERROR(__xludf.DUMMYFUNCTION("""COMPUTED_VALUE"""),0.8912103773183289)</f>
        <v>0.8912103773</v>
      </c>
      <c r="AG738" s="30">
        <f>IFERROR(__xludf.DUMMYFUNCTION("""COMPUTED_VALUE"""),1.1150637577844933)</f>
        <v>1.115063758</v>
      </c>
      <c r="AH738" s="30">
        <f>IFERROR(__xludf.DUMMYFUNCTION("""COMPUTED_VALUE"""),1.1907657527314066)</f>
        <v>1.190765753</v>
      </c>
      <c r="AI738" s="30">
        <f>IFERROR(__xludf.DUMMYFUNCTION("""COMPUTED_VALUE"""),1.043797306886085)</f>
        <v>1.043797307</v>
      </c>
      <c r="AJ738" s="30">
        <f>IFERROR(__xludf.DUMMYFUNCTION("""COMPUTED_VALUE"""),1.019732750497499)</f>
        <v>1.01973275</v>
      </c>
      <c r="AK738" s="30">
        <f>IFERROR(__xludf.DUMMYFUNCTION("""COMPUTED_VALUE"""),1.1294298591594574)</f>
        <v>1.129429859</v>
      </c>
      <c r="AL738" s="30">
        <f>IFERROR(__xludf.DUMMYFUNCTION("""COMPUTED_VALUE"""),1.086198542911486)</f>
        <v>1.086198543</v>
      </c>
      <c r="AM738" s="30">
        <f>IFERROR(__xludf.DUMMYFUNCTION("""COMPUTED_VALUE"""),1.0557256055043502)</f>
        <v>1.055725606</v>
      </c>
      <c r="AN738" s="30">
        <f>IFERROR(__xludf.DUMMYFUNCTION("""COMPUTED_VALUE"""),1.1727210617191466)</f>
        <v>1.172721062</v>
      </c>
      <c r="AO738" s="30">
        <f>IFERROR(__xludf.DUMMYFUNCTION("""COMPUTED_VALUE"""),1.3322926544996472)</f>
        <v>1.332292654</v>
      </c>
      <c r="AP738" s="30">
        <f>IFERROR(__xludf.DUMMYFUNCTION("""COMPUTED_VALUE"""),0.9334934525347157)</f>
        <v>0.9334934525</v>
      </c>
      <c r="AQ738" s="30">
        <f>IFERROR(__xludf.DUMMYFUNCTION("""COMPUTED_VALUE"""),1.1642941582865571)</f>
        <v>1.164294158</v>
      </c>
      <c r="AR738" s="30">
        <f>IFERROR(__xludf.DUMMYFUNCTION("""COMPUTED_VALUE"""),1.238680721522262)</f>
        <v>1.238680722</v>
      </c>
      <c r="AS738" s="30">
        <f>IFERROR(__xludf.DUMMYFUNCTION("""COMPUTED_VALUE"""),109.0)</f>
        <v>109</v>
      </c>
      <c r="AT738" s="30">
        <f>IFERROR(__xludf.DUMMYFUNCTION("""COMPUTED_VALUE"""),0.4964045198828079)</f>
        <v>0.4964045199</v>
      </c>
      <c r="AU738" s="30">
        <f>IFERROR(__xludf.DUMMYFUNCTION("""COMPUTED_VALUE"""),2.8043452978585033)</f>
        <v>2.804345298</v>
      </c>
      <c r="AV738" s="32">
        <f>IFERROR(__xludf.DUMMYFUNCTION("""COMPUTED_VALUE"""),68.69420580262911)</f>
        <v>68.6942058</v>
      </c>
      <c r="AW738" s="32">
        <f>IFERROR(__xludf.DUMMYFUNCTION("""COMPUTED_VALUE"""),4.399472383715178)</f>
        <v>4.399472384</v>
      </c>
      <c r="AX738" s="32">
        <f>IFERROR(__xludf.DUMMYFUNCTION("""COMPUTED_VALUE"""),52.86405640922966)</f>
        <v>52.86405641</v>
      </c>
      <c r="AY738" s="32">
        <f>IFERROR(__xludf.DUMMYFUNCTION("""COMPUTED_VALUE"""),2.2007233612570003)</f>
        <v>2.200723361</v>
      </c>
      <c r="AZ738" s="30">
        <f>IFERROR(__xludf.DUMMYFUNCTION("""COMPUTED_VALUE"""),2.198749022458178)</f>
        <v>2.198749022</v>
      </c>
      <c r="BA738" s="30">
        <f>IFERROR(__xludf.DUMMYFUNCTION("""COMPUTED_VALUE"""),2700.0)</f>
        <v>2700</v>
      </c>
    </row>
    <row r="739">
      <c r="A739" s="71" t="str">
        <f>IFERROR(__xludf.DUMMYFUNCTION("""COMPUTED_VALUE"""),"Prospect")</f>
        <v>Prospect</v>
      </c>
      <c r="B739" s="71" t="str">
        <f>IFERROR(__xludf.DUMMYFUNCTION("""COMPUTED_VALUE"""),"RSC007518")</f>
        <v>RSC007518</v>
      </c>
      <c r="C739" s="30" t="str">
        <f>IFERROR(__xludf.DUMMYFUNCTION("""COMPUTED_VALUE"""),"LoneDrifter.")</f>
        <v>LoneDrifter.</v>
      </c>
      <c r="D739" s="30" t="str">
        <f>IFERROR(__xludf.DUMMYFUNCTION("""COMPUTED_VALUE"""),"Blacktips")</f>
        <v>Blacktips</v>
      </c>
      <c r="E739" s="30">
        <f>IFERROR(__xludf.DUMMYFUNCTION("""COMPUTED_VALUE"""),48.0)</f>
        <v>48</v>
      </c>
      <c r="F739" s="30">
        <f>IFERROR(__xludf.DUMMYFUNCTION("""COMPUTED_VALUE"""),30.0)</f>
        <v>30</v>
      </c>
      <c r="G739" s="42">
        <f>IFERROR(__xludf.DUMMYFUNCTION("""COMPUTED_VALUE"""),18.0)</f>
        <v>18</v>
      </c>
      <c r="H739" s="42">
        <f>IFERROR(__xludf.DUMMYFUNCTION("""COMPUTED_VALUE"""),0.625)</f>
        <v>0.625</v>
      </c>
      <c r="I739" s="42">
        <f>IFERROR(__xludf.DUMMYFUNCTION("""COMPUTED_VALUE"""),0.3923076923076923)</f>
        <v>0.3923076923</v>
      </c>
      <c r="J739" s="30">
        <f>IFERROR(__xludf.DUMMYFUNCTION("""COMPUTED_VALUE"""),377.4375)</f>
        <v>377.4375</v>
      </c>
      <c r="K739" s="30">
        <f>IFERROR(__xludf.DUMMYFUNCTION("""COMPUTED_VALUE"""),1.0625)</f>
        <v>1.0625</v>
      </c>
      <c r="L739" s="30">
        <f>IFERROR(__xludf.DUMMYFUNCTION("""COMPUTED_VALUE"""),0.5208333333333334)</f>
        <v>0.5208333333</v>
      </c>
      <c r="M739" s="30">
        <f>IFERROR(__xludf.DUMMYFUNCTION("""COMPUTED_VALUE"""),1.3541666666666667)</f>
        <v>1.354166667</v>
      </c>
      <c r="N739" s="30">
        <f>IFERROR(__xludf.DUMMYFUNCTION("""COMPUTED_VALUE"""),2.7083333333333335)</f>
        <v>2.708333333</v>
      </c>
      <c r="O739" s="30">
        <f>IFERROR(__xludf.DUMMYFUNCTION("""COMPUTED_VALUE"""),320.0138888888889)</f>
        <v>320.0138889</v>
      </c>
      <c r="P739" s="30">
        <f>IFERROR(__xludf.DUMMYFUNCTION("""COMPUTED_VALUE"""),0.7152777777777778)</f>
        <v>0.7152777778</v>
      </c>
      <c r="Q739" s="30">
        <f>IFERROR(__xludf.DUMMYFUNCTION("""COMPUTED_VALUE"""),0.4861111111111111)</f>
        <v>0.4861111111</v>
      </c>
      <c r="R739" s="30">
        <f>IFERROR(__xludf.DUMMYFUNCTION("""COMPUTED_VALUE"""),1.1388888888888886)</f>
        <v>1.138888889</v>
      </c>
      <c r="S739" s="30">
        <f>IFERROR(__xludf.DUMMYFUNCTION("""COMPUTED_VALUE"""),2.2708333333333335)</f>
        <v>2.270833333</v>
      </c>
      <c r="T739" s="30">
        <f>IFERROR(__xludf.DUMMYFUNCTION("""COMPUTED_VALUE"""),328.91177524377713)</f>
        <v>328.9117752</v>
      </c>
      <c r="U739" s="30">
        <f>IFERROR(__xludf.DUMMYFUNCTION("""COMPUTED_VALUE"""),0.7433972776344633)</f>
        <v>0.7433972776</v>
      </c>
      <c r="V739" s="30">
        <f>IFERROR(__xludf.DUMMYFUNCTION("""COMPUTED_VALUE"""),0.5183885582749898)</f>
        <v>0.5183885583</v>
      </c>
      <c r="W739" s="30">
        <f>IFERROR(__xludf.DUMMYFUNCTION("""COMPUTED_VALUE"""),1.2151656027169129)</f>
        <v>1.215165603</v>
      </c>
      <c r="X739" s="30">
        <f>IFERROR(__xludf.DUMMYFUNCTION("""COMPUTED_VALUE"""),2.391674462084739)</f>
        <v>2.391674462</v>
      </c>
      <c r="Y739" s="30">
        <f>IFERROR(__xludf.DUMMYFUNCTION("""COMPUTED_VALUE"""),338.21950742330733)</f>
        <v>338.2195074</v>
      </c>
      <c r="Z739" s="30">
        <f>IFERROR(__xludf.DUMMYFUNCTION("""COMPUTED_VALUE"""),0.7997232476731221)</f>
        <v>0.7997232477</v>
      </c>
      <c r="AA739" s="30">
        <f>IFERROR(__xludf.DUMMYFUNCTION("""COMPUTED_VALUE"""),0.5333226738158519)</f>
        <v>0.5333226738</v>
      </c>
      <c r="AB739" s="30">
        <f>IFERROR(__xludf.DUMMYFUNCTION("""COMPUTED_VALUE"""),1.195595667356877)</f>
        <v>1.195595667</v>
      </c>
      <c r="AC739" s="30">
        <f>IFERROR(__xludf.DUMMYFUNCTION("""COMPUTED_VALUE"""),2.4953686947637252)</f>
        <v>2.495368695</v>
      </c>
      <c r="AD739" s="30">
        <f>IFERROR(__xludf.DUMMYFUNCTION("""COMPUTED_VALUE"""),1.115954259632956)</f>
        <v>1.11595426</v>
      </c>
      <c r="AE739" s="30">
        <f>IFERROR(__xludf.DUMMYFUNCTION("""COMPUTED_VALUE"""),1.3285846111032213)</f>
        <v>1.328584611</v>
      </c>
      <c r="AF739" s="30">
        <f>IFERROR(__xludf.DUMMYFUNCTION("""COMPUTED_VALUE"""),0.9765820185495604)</f>
        <v>0.9765820185</v>
      </c>
      <c r="AG739" s="30">
        <f>IFERROR(__xludf.DUMMYFUNCTION("""COMPUTED_VALUE"""),1.132629285668411)</f>
        <v>1.132629286</v>
      </c>
      <c r="AH739" s="30">
        <f>IFERROR(__xludf.DUMMYFUNCTION("""COMPUTED_VALUE"""),1.0853439569938073)</f>
        <v>1.085343957</v>
      </c>
      <c r="AI739" s="30">
        <f>IFERROR(__xludf.DUMMYFUNCTION("""COMPUTED_VALUE"""),0.9729474983122953)</f>
        <v>0.9729474983</v>
      </c>
      <c r="AJ739" s="30">
        <f>IFERROR(__xludf.DUMMYFUNCTION("""COMPUTED_VALUE"""),0.9621743303309322)</f>
        <v>0.9621743303</v>
      </c>
      <c r="AK739" s="30">
        <f>IFERROR(__xludf.DUMMYFUNCTION("""COMPUTED_VALUE"""),0.9377350316695138)</f>
        <v>0.9377350317</v>
      </c>
      <c r="AL739" s="30">
        <f>IFERROR(__xludf.DUMMYFUNCTION("""COMPUTED_VALUE"""),0.9372293672093072)</f>
        <v>0.9372293672</v>
      </c>
      <c r="AM739" s="30">
        <f>IFERROR(__xludf.DUMMYFUNCTION("""COMPUTED_VALUE"""),0.9494742571921463)</f>
        <v>0.9494742572</v>
      </c>
      <c r="AN739" s="30">
        <f>IFERROR(__xludf.DUMMYFUNCTION("""COMPUTED_VALUE"""),1.1738743963913199)</f>
        <v>1.173874396</v>
      </c>
      <c r="AO739" s="30">
        <f>IFERROR(__xludf.DUMMYFUNCTION("""COMPUTED_VALUE"""),1.4477327850741906)</f>
        <v>1.447732785</v>
      </c>
      <c r="AP739" s="30">
        <f>IFERROR(__xludf.DUMMYFUNCTION("""COMPUTED_VALUE"""),1.0418453711324953)</f>
        <v>1.041845371</v>
      </c>
      <c r="AQ739" s="30">
        <f>IFERROR(__xludf.DUMMYFUNCTION("""COMPUTED_VALUE"""),1.1631012339440505)</f>
        <v>1.163101234</v>
      </c>
      <c r="AR739" s="30">
        <f>IFERROR(__xludf.DUMMYFUNCTION("""COMPUTED_VALUE"""),1.1702652165544627)</f>
        <v>1.170265217</v>
      </c>
      <c r="AS739" s="30">
        <f>IFERROR(__xludf.DUMMYFUNCTION("""COMPUTED_VALUE"""),132.0)</f>
        <v>132</v>
      </c>
      <c r="AT739" s="30">
        <f>IFERROR(__xludf.DUMMYFUNCTION("""COMPUTED_VALUE"""),0.5966064030549648)</f>
        <v>0.5966064031</v>
      </c>
      <c r="AU739" s="30">
        <f>IFERROR(__xludf.DUMMYFUNCTION("""COMPUTED_VALUE"""),3.042940830201029)</f>
        <v>3.04294083</v>
      </c>
      <c r="AV739" s="32">
        <f>IFERROR(__xludf.DUMMYFUNCTION("""COMPUTED_VALUE"""),75.15006465694758)</f>
        <v>75.15006466</v>
      </c>
      <c r="AW739" s="32">
        <f>IFERROR(__xludf.DUMMYFUNCTION("""COMPUTED_VALUE"""),6.361033308043612)</f>
        <v>6.361033308</v>
      </c>
      <c r="AX739" s="32">
        <f>IFERROR(__xludf.DUMMYFUNCTION("""COMPUTED_VALUE"""),68.07421579417753)</f>
        <v>68.07421579</v>
      </c>
      <c r="AY739" s="32">
        <f>IFERROR(__xludf.DUMMYFUNCTION("""COMPUTED_VALUE"""),4.258044694696456)</f>
        <v>4.258044695</v>
      </c>
      <c r="AZ739" s="30">
        <f>IFERROR(__xludf.DUMMYFUNCTION("""COMPUTED_VALUE"""),2.102988613347156)</f>
        <v>2.102988613</v>
      </c>
      <c r="BA739" s="30">
        <f>IFERROR(__xludf.DUMMYFUNCTION("""COMPUTED_VALUE"""),2700.0)</f>
        <v>2700</v>
      </c>
    </row>
    <row r="740">
      <c r="A740" s="71" t="str">
        <f>IFERROR(__xludf.DUMMYFUNCTION("""COMPUTED_VALUE"""),"Prospect")</f>
        <v>Prospect</v>
      </c>
      <c r="B740" s="71" t="str">
        <f>IFERROR(__xludf.DUMMYFUNCTION("""COMPUTED_VALUE"""),"RSC007834")</f>
        <v>RSC007834</v>
      </c>
      <c r="C740" s="30" t="str">
        <f>IFERROR(__xludf.DUMMYFUNCTION("""COMPUTED_VALUE"""),"Kyyrbes")</f>
        <v>Kyyrbes</v>
      </c>
      <c r="D740" s="30" t="str">
        <f>IFERROR(__xludf.DUMMYFUNCTION("""COMPUTED_VALUE"""),"Gloom")</f>
        <v>Gloom</v>
      </c>
      <c r="E740" s="30">
        <f>IFERROR(__xludf.DUMMYFUNCTION("""COMPUTED_VALUE"""),37.0)</f>
        <v>37</v>
      </c>
      <c r="F740" s="30">
        <f>IFERROR(__xludf.DUMMYFUNCTION("""COMPUTED_VALUE"""),13.0)</f>
        <v>13</v>
      </c>
      <c r="G740" s="42">
        <f>IFERROR(__xludf.DUMMYFUNCTION("""COMPUTED_VALUE"""),24.0)</f>
        <v>24</v>
      </c>
      <c r="H740" s="42">
        <f>IFERROR(__xludf.DUMMYFUNCTION("""COMPUTED_VALUE"""),0.35135135135135137)</f>
        <v>0.3513513514</v>
      </c>
      <c r="I740" s="42">
        <f>IFERROR(__xludf.DUMMYFUNCTION("""COMPUTED_VALUE"""),0.1643835616438356)</f>
        <v>0.1643835616</v>
      </c>
      <c r="J740" s="30">
        <f>IFERROR(__xludf.DUMMYFUNCTION("""COMPUTED_VALUE"""),308.72972972972974)</f>
        <v>308.7297297</v>
      </c>
      <c r="K740" s="30">
        <f>IFERROR(__xludf.DUMMYFUNCTION("""COMPUTED_VALUE"""),0.32432432432432434)</f>
        <v>0.3243243243</v>
      </c>
      <c r="L740" s="30">
        <f>IFERROR(__xludf.DUMMYFUNCTION("""COMPUTED_VALUE"""),0.4864864864864865)</f>
        <v>0.4864864865</v>
      </c>
      <c r="M740" s="30">
        <f>IFERROR(__xludf.DUMMYFUNCTION("""COMPUTED_VALUE"""),1.4324324324324325)</f>
        <v>1.432432432</v>
      </c>
      <c r="N740" s="30">
        <f>IFERROR(__xludf.DUMMYFUNCTION("""COMPUTED_VALUE"""),1.972972972972973)</f>
        <v>1.972972973</v>
      </c>
      <c r="O740" s="30">
        <f>IFERROR(__xludf.DUMMYFUNCTION("""COMPUTED_VALUE"""),338.9459459459459)</f>
        <v>338.9459459</v>
      </c>
      <c r="P740" s="30">
        <f>IFERROR(__xludf.DUMMYFUNCTION("""COMPUTED_VALUE"""),0.8828828828828829)</f>
        <v>0.8828828829</v>
      </c>
      <c r="Q740" s="30">
        <f>IFERROR(__xludf.DUMMYFUNCTION("""COMPUTED_VALUE"""),0.5495495495495497)</f>
        <v>0.5495495495</v>
      </c>
      <c r="R740" s="30">
        <f>IFERROR(__xludf.DUMMYFUNCTION("""COMPUTED_VALUE"""),1.0450450450450453)</f>
        <v>1.045045045</v>
      </c>
      <c r="S740" s="30">
        <f>IFERROR(__xludf.DUMMYFUNCTION("""COMPUTED_VALUE"""),2.8468468468468466)</f>
        <v>2.846846847</v>
      </c>
      <c r="T740" s="30">
        <f>IFERROR(__xludf.DUMMYFUNCTION("""COMPUTED_VALUE"""),346.65192984752576)</f>
        <v>346.6519298</v>
      </c>
      <c r="U740" s="30">
        <f>IFERROR(__xludf.DUMMYFUNCTION("""COMPUTED_VALUE"""),0.8789180883743526)</f>
        <v>0.8789180884</v>
      </c>
      <c r="V740" s="30">
        <f>IFERROR(__xludf.DUMMYFUNCTION("""COMPUTED_VALUE"""),0.5576919108301716)</f>
        <v>0.5576919108</v>
      </c>
      <c r="W740" s="30">
        <f>IFERROR(__xludf.DUMMYFUNCTION("""COMPUTED_VALUE"""),1.181613657106082)</f>
        <v>1.181613657</v>
      </c>
      <c r="X740" s="30">
        <f>IFERROR(__xludf.DUMMYFUNCTION("""COMPUTED_VALUE"""),2.6143438255070026)</f>
        <v>2.614343826</v>
      </c>
      <c r="Y740" s="30">
        <f>IFERROR(__xludf.DUMMYFUNCTION("""COMPUTED_VALUE"""),326.59277151296493)</f>
        <v>326.5927715</v>
      </c>
      <c r="Z740" s="30">
        <f>IFERROR(__xludf.DUMMYFUNCTION("""COMPUTED_VALUE"""),0.7172671795685356)</f>
        <v>0.7172671796</v>
      </c>
      <c r="AA740" s="30">
        <f>IFERROR(__xludf.DUMMYFUNCTION("""COMPUTED_VALUE"""),0.4838411859126588)</f>
        <v>0.4838411859</v>
      </c>
      <c r="AB740" s="30">
        <f>IFERROR(__xludf.DUMMYFUNCTION("""COMPUTED_VALUE"""),1.243072161782243)</f>
        <v>1.243072162</v>
      </c>
      <c r="AC740" s="30">
        <f>IFERROR(__xludf.DUMMYFUNCTION("""COMPUTED_VALUE"""),2.3189053507464696)</f>
        <v>2.318905351</v>
      </c>
      <c r="AD740" s="30">
        <f>IFERROR(__xludf.DUMMYFUNCTION("""COMPUTED_VALUE"""),0.9453048464591444)</f>
        <v>0.9453048465</v>
      </c>
      <c r="AE740" s="30">
        <f>IFERROR(__xludf.DUMMYFUNCTION("""COMPUTED_VALUE"""),0.45216668706271795)</f>
        <v>0.4521666871</v>
      </c>
      <c r="AF740" s="30">
        <f>IFERROR(__xludf.DUMMYFUNCTION("""COMPUTED_VALUE"""),1.0054672910261617)</f>
        <v>1.005467291</v>
      </c>
      <c r="AG740" s="30">
        <f>IFERROR(__xludf.DUMMYFUNCTION("""COMPUTED_VALUE"""),1.1523324843657476)</f>
        <v>1.152332484</v>
      </c>
      <c r="AH740" s="30">
        <f>IFERROR(__xludf.DUMMYFUNCTION("""COMPUTED_VALUE"""),0.8508208290337771)</f>
        <v>0.850820829</v>
      </c>
      <c r="AI740" s="30">
        <f>IFERROR(__xludf.DUMMYFUNCTION("""COMPUTED_VALUE"""),0.9777702552962294)</f>
        <v>0.9777702553</v>
      </c>
      <c r="AJ740" s="30">
        <f>IFERROR(__xludf.DUMMYFUNCTION("""COMPUTED_VALUE"""),1.004510994324697)</f>
        <v>1.004510994</v>
      </c>
      <c r="AK740" s="30">
        <f>IFERROR(__xludf.DUMMYFUNCTION("""COMPUTED_VALUE"""),0.9853998935209564)</f>
        <v>0.9853998935</v>
      </c>
      <c r="AL740" s="30">
        <f>IFERROR(__xludf.DUMMYFUNCTION("""COMPUTED_VALUE"""),0.8844219417745135)</f>
        <v>0.8844219418</v>
      </c>
      <c r="AM740" s="30">
        <f>IFERROR(__xludf.DUMMYFUNCTION("""COMPUTED_VALUE"""),1.088933605087217)</f>
        <v>1.088933605</v>
      </c>
      <c r="AN740" s="30">
        <f>IFERROR(__xludf.DUMMYFUNCTION("""COMPUTED_VALUE"""),0.9601852628171335)</f>
        <v>0.9601852628</v>
      </c>
      <c r="AO740" s="30">
        <f>IFERROR(__xludf.DUMMYFUNCTION("""COMPUTED_VALUE"""),0.4419152539495145)</f>
        <v>0.4419152539</v>
      </c>
      <c r="AP740" s="30">
        <f>IFERROR(__xludf.DUMMYFUNCTION("""COMPUTED_VALUE"""),0.9731398926037577)</f>
        <v>0.9731398926</v>
      </c>
      <c r="AQ740" s="30">
        <f>IFERROR(__xludf.DUMMYFUNCTION("""COMPUTED_VALUE"""),1.2303241327042262)</f>
        <v>1.230324133</v>
      </c>
      <c r="AR740" s="30">
        <f>IFERROR(__xludf.DUMMYFUNCTION("""COMPUTED_VALUE"""),0.8525175298974713)</f>
        <v>0.8525175299</v>
      </c>
      <c r="AS740" s="30">
        <f>IFERROR(__xludf.DUMMYFUNCTION("""COMPUTED_VALUE"""),58.0)</f>
        <v>58</v>
      </c>
      <c r="AT740" s="30">
        <f>IFERROR(__xludf.DUMMYFUNCTION("""COMPUTED_VALUE"""),0.3115854004805458)</f>
        <v>0.3115854005</v>
      </c>
      <c r="AU740" s="30">
        <f>IFERROR(__xludf.DUMMYFUNCTION("""COMPUTED_VALUE"""),1.336280504696329)</f>
        <v>1.336280505</v>
      </c>
      <c r="AV740" s="32">
        <f>IFERROR(__xludf.DUMMYFUNCTION("""COMPUTED_VALUE"""),28.971672020884906)</f>
        <v>28.97167202</v>
      </c>
      <c r="AW740" s="32">
        <f>IFERROR(__xludf.DUMMYFUNCTION("""COMPUTED_VALUE"""),-4.996585295767924)</f>
        <v>-4.996585296</v>
      </c>
      <c r="AX740" s="32">
        <f>IFERROR(__xludf.DUMMYFUNCTION("""COMPUTED_VALUE"""),38.500778649079336)</f>
        <v>38.50077865</v>
      </c>
      <c r="AY740" s="32">
        <f>IFERROR(__xludf.DUMMYFUNCTION("""COMPUTED_VALUE"""),-3.0981881988305013)</f>
        <v>-3.098188199</v>
      </c>
      <c r="AZ740" s="30">
        <f>IFERROR(__xludf.DUMMYFUNCTION("""COMPUTED_VALUE"""),1.898397096937423)</f>
        <v>1.898397097</v>
      </c>
      <c r="BA740" s="30">
        <f>IFERROR(__xludf.DUMMYFUNCTION("""COMPUTED_VALUE"""),2700.0)</f>
        <v>2700</v>
      </c>
    </row>
    <row r="741">
      <c r="A741" s="71" t="str">
        <f>IFERROR(__xludf.DUMMYFUNCTION("""COMPUTED_VALUE"""),"Prospect")</f>
        <v>Prospect</v>
      </c>
      <c r="B741" s="71" t="str">
        <f>IFERROR(__xludf.DUMMYFUNCTION("""COMPUTED_VALUE"""),"RSC007886")</f>
        <v>RSC007886</v>
      </c>
      <c r="C741" s="30" t="str">
        <f>IFERROR(__xludf.DUMMYFUNCTION("""COMPUTED_VALUE"""),"BabyDino8453")</f>
        <v>BabyDino8453</v>
      </c>
      <c r="D741" s="30" t="str">
        <f>IFERROR(__xludf.DUMMYFUNCTION("""COMPUTED_VALUE"""),"Dime")</f>
        <v>Dime</v>
      </c>
      <c r="E741" s="30">
        <f>IFERROR(__xludf.DUMMYFUNCTION("""COMPUTED_VALUE"""),23.0)</f>
        <v>23</v>
      </c>
      <c r="F741" s="30">
        <f>IFERROR(__xludf.DUMMYFUNCTION("""COMPUTED_VALUE"""),11.0)</f>
        <v>11</v>
      </c>
      <c r="G741" s="42">
        <f>IFERROR(__xludf.DUMMYFUNCTION("""COMPUTED_VALUE"""),12.0)</f>
        <v>12</v>
      </c>
      <c r="H741" s="42">
        <f>IFERROR(__xludf.DUMMYFUNCTION("""COMPUTED_VALUE"""),0.4782608695652174)</f>
        <v>0.4782608696</v>
      </c>
      <c r="I741" s="42">
        <f>IFERROR(__xludf.DUMMYFUNCTION("""COMPUTED_VALUE"""),0.3103448275862069)</f>
        <v>0.3103448276</v>
      </c>
      <c r="J741" s="30">
        <f>IFERROR(__xludf.DUMMYFUNCTION("""COMPUTED_VALUE"""),285.8695652173913)</f>
        <v>285.8695652</v>
      </c>
      <c r="K741" s="30">
        <f>IFERROR(__xludf.DUMMYFUNCTION("""COMPUTED_VALUE"""),0.782608695652174)</f>
        <v>0.7826086957</v>
      </c>
      <c r="L741" s="30">
        <f>IFERROR(__xludf.DUMMYFUNCTION("""COMPUTED_VALUE"""),0.391304347826087)</f>
        <v>0.3913043478</v>
      </c>
      <c r="M741" s="30">
        <f>IFERROR(__xludf.DUMMYFUNCTION("""COMPUTED_VALUE"""),0.8695652173913043)</f>
        <v>0.8695652174</v>
      </c>
      <c r="N741" s="30">
        <f>IFERROR(__xludf.DUMMYFUNCTION("""COMPUTED_VALUE"""),2.5217391304347827)</f>
        <v>2.52173913</v>
      </c>
      <c r="O741" s="30">
        <f>IFERROR(__xludf.DUMMYFUNCTION("""COMPUTED_VALUE"""),328.78260869565213)</f>
        <v>328.7826087</v>
      </c>
      <c r="P741" s="30">
        <f>IFERROR(__xludf.DUMMYFUNCTION("""COMPUTED_VALUE"""),0.7246376811594203)</f>
        <v>0.7246376812</v>
      </c>
      <c r="Q741" s="30">
        <f>IFERROR(__xludf.DUMMYFUNCTION("""COMPUTED_VALUE"""),0.46376811594202894)</f>
        <v>0.4637681159</v>
      </c>
      <c r="R741" s="30">
        <f>IFERROR(__xludf.DUMMYFUNCTION("""COMPUTED_VALUE"""),1.4637681159420293)</f>
        <v>1.463768116</v>
      </c>
      <c r="S741" s="30">
        <f>IFERROR(__xludf.DUMMYFUNCTION("""COMPUTED_VALUE"""),2.0289855072463765)</f>
        <v>2.028985507</v>
      </c>
      <c r="T741" s="30">
        <f>IFERROR(__xludf.DUMMYFUNCTION("""COMPUTED_VALUE"""),325.8144571400215)</f>
        <v>325.8144571</v>
      </c>
      <c r="U741" s="30">
        <f>IFERROR(__xludf.DUMMYFUNCTION("""COMPUTED_VALUE"""),0.7060792213527869)</f>
        <v>0.7060792214</v>
      </c>
      <c r="V741" s="30">
        <f>IFERROR(__xludf.DUMMYFUNCTION("""COMPUTED_VALUE"""),0.47472420109846863)</f>
        <v>0.4747242011</v>
      </c>
      <c r="W741" s="30">
        <f>IFERROR(__xludf.DUMMYFUNCTION("""COMPUTED_VALUE"""),1.2669928170219282)</f>
        <v>1.266992817</v>
      </c>
      <c r="X741" s="30">
        <f>IFERROR(__xludf.DUMMYFUNCTION("""COMPUTED_VALUE"""),2.2635804305631213)</f>
        <v>2.263580431</v>
      </c>
      <c r="Y741" s="30">
        <f>IFERROR(__xludf.DUMMYFUNCTION("""COMPUTED_VALUE"""),343.0769281592278)</f>
        <v>343.0769282</v>
      </c>
      <c r="Z741" s="30">
        <f>IFERROR(__xludf.DUMMYFUNCTION("""COMPUTED_VALUE"""),0.857363261347919)</f>
        <v>0.8573632613</v>
      </c>
      <c r="AA741" s="30">
        <f>IFERROR(__xludf.DUMMYFUNCTION("""COMPUTED_VALUE"""),0.5625968454398411)</f>
        <v>0.5625968454</v>
      </c>
      <c r="AB741" s="30">
        <f>IFERROR(__xludf.DUMMYFUNCTION("""COMPUTED_VALUE"""),1.1490867815835606)</f>
        <v>1.149086782</v>
      </c>
      <c r="AC741" s="30">
        <f>IFERROR(__xludf.DUMMYFUNCTION("""COMPUTED_VALUE"""),2.614209977575745)</f>
        <v>2.614209978</v>
      </c>
      <c r="AD741" s="30">
        <f>IFERROR(__xludf.DUMMYFUNCTION("""COMPUTED_VALUE"""),0.8332520835814247)</f>
        <v>0.8332520836</v>
      </c>
      <c r="AE741" s="30">
        <f>IFERROR(__xludf.DUMMYFUNCTION("""COMPUTED_VALUE"""),0.912808760223504)</f>
        <v>0.9128087602</v>
      </c>
      <c r="AF741" s="30">
        <f>IFERROR(__xludf.DUMMYFUNCTION("""COMPUTED_VALUE"""),0.6955324243244969)</f>
        <v>0.6955324243</v>
      </c>
      <c r="AG741" s="30">
        <f>IFERROR(__xludf.DUMMYFUNCTION("""COMPUTED_VALUE"""),0.7567446004321392)</f>
        <v>0.7567446004</v>
      </c>
      <c r="AH741" s="30">
        <f>IFERROR(__xludf.DUMMYFUNCTION("""COMPUTED_VALUE"""),0.964627612956051)</f>
        <v>0.964627613</v>
      </c>
      <c r="AI741" s="30">
        <f>IFERROR(__xludf.DUMMYFUNCTION("""COMPUTED_VALUE"""),1.0091099442967784)</f>
        <v>1.009109944</v>
      </c>
      <c r="AJ741" s="30">
        <f>IFERROR(__xludf.DUMMYFUNCTION("""COMPUTED_VALUE"""),1.0262838209161247)</f>
        <v>1.026283821</v>
      </c>
      <c r="AK741" s="30">
        <f>IFERROR(__xludf.DUMMYFUNCTION("""COMPUTED_VALUE"""),0.9769211573138923)</f>
        <v>0.9769211573</v>
      </c>
      <c r="AL741" s="30">
        <f>IFERROR(__xludf.DUMMYFUNCTION("""COMPUTED_VALUE"""),1.155308930150545)</f>
        <v>1.15530893</v>
      </c>
      <c r="AM741" s="30">
        <f>IFERROR(__xludf.DUMMYFUNCTION("""COMPUTED_VALUE"""),0.8963611276413167)</f>
        <v>0.8963611276</v>
      </c>
      <c r="AN741" s="30">
        <f>IFERROR(__xludf.DUMMYFUNCTION("""COMPUTED_VALUE"""),0.8890875000926359)</f>
        <v>0.8890875001</v>
      </c>
      <c r="AO741" s="30">
        <f>IFERROR(__xludf.DUMMYFUNCTION("""COMPUTED_VALUE"""),1.0663607214868718)</f>
        <v>1.066360721</v>
      </c>
      <c r="AP741" s="30">
        <f>IFERROR(__xludf.DUMMYFUNCTION("""COMPUTED_VALUE"""),0.7827429570943268)</f>
        <v>0.7827429571</v>
      </c>
      <c r="AQ741" s="30">
        <f>IFERROR(__xludf.DUMMYFUNCTION("""COMPUTED_VALUE"""),0.746874370960728)</f>
        <v>0.746874371</v>
      </c>
      <c r="AR741" s="30">
        <f>IFERROR(__xludf.DUMMYFUNCTION("""COMPUTED_VALUE"""),1.0896382484573992)</f>
        <v>1.089638248</v>
      </c>
      <c r="AS741" s="30">
        <f>IFERROR(__xludf.DUMMYFUNCTION("""COMPUTED_VALUE"""),64.0)</f>
        <v>64</v>
      </c>
      <c r="AT741" s="30">
        <f>IFERROR(__xludf.DUMMYFUNCTION("""COMPUTED_VALUE"""),0.5964778910958196)</f>
        <v>0.5964778911</v>
      </c>
      <c r="AU741" s="30">
        <f>IFERROR(__xludf.DUMMYFUNCTION("""COMPUTED_VALUE"""),2.060046858726893)</f>
        <v>2.060046859</v>
      </c>
      <c r="AV741" s="32">
        <f>IFERROR(__xludf.DUMMYFUNCTION("""COMPUTED_VALUE"""),48.555162873589374)</f>
        <v>48.55516287</v>
      </c>
      <c r="AW741" s="32">
        <f>IFERROR(__xludf.DUMMYFUNCTION("""COMPUTED_VALUE"""),-2.0966269799295287)</f>
        <v>-2.09662698</v>
      </c>
      <c r="AX741" s="32">
        <f>IFERROR(__xludf.DUMMYFUNCTION("""COMPUTED_VALUE"""),33.61840245113822)</f>
        <v>33.61840245</v>
      </c>
      <c r="AY741" s="32">
        <f>IFERROR(__xludf.DUMMYFUNCTION("""COMPUTED_VALUE"""),-3.903978845736634)</f>
        <v>-3.903978846</v>
      </c>
      <c r="AZ741" s="30">
        <f>IFERROR(__xludf.DUMMYFUNCTION("""COMPUTED_VALUE"""),1.8073518658071053)</f>
        <v>1.807351866</v>
      </c>
      <c r="BA741" s="30">
        <f>IFERROR(__xludf.DUMMYFUNCTION("""COMPUTED_VALUE"""),2700.0)</f>
        <v>2700</v>
      </c>
    </row>
    <row r="742">
      <c r="A742" s="71" t="str">
        <f>IFERROR(__xludf.DUMMYFUNCTION("""COMPUTED_VALUE"""),"Prospect")</f>
        <v>Prospect</v>
      </c>
      <c r="B742" s="71" t="str">
        <f>IFERROR(__xludf.DUMMYFUNCTION("""COMPUTED_VALUE"""),"RSC005136")</f>
        <v>RSC005136</v>
      </c>
      <c r="C742" s="30" t="str">
        <f>IFERROR(__xludf.DUMMYFUNCTION("""COMPUTED_VALUE"""),"tdogplayz")</f>
        <v>tdogplayz</v>
      </c>
      <c r="D742" s="30" t="str">
        <f>IFERROR(__xludf.DUMMYFUNCTION("""COMPUTED_VALUE"""),"Principales")</f>
        <v>Principales</v>
      </c>
      <c r="E742" s="30">
        <f>IFERROR(__xludf.DUMMYFUNCTION("""COMPUTED_VALUE"""),31.0)</f>
        <v>31</v>
      </c>
      <c r="F742" s="30">
        <f>IFERROR(__xludf.DUMMYFUNCTION("""COMPUTED_VALUE"""),11.0)</f>
        <v>11</v>
      </c>
      <c r="G742" s="42">
        <f>IFERROR(__xludf.DUMMYFUNCTION("""COMPUTED_VALUE"""),20.0)</f>
        <v>20</v>
      </c>
      <c r="H742" s="42">
        <f>IFERROR(__xludf.DUMMYFUNCTION("""COMPUTED_VALUE"""),0.3548387096774194)</f>
        <v>0.3548387097</v>
      </c>
      <c r="I742" s="42">
        <f>IFERROR(__xludf.DUMMYFUNCTION("""COMPUTED_VALUE"""),0.31481481481481477)</f>
        <v>0.3148148148</v>
      </c>
      <c r="J742" s="30">
        <f>IFERROR(__xludf.DUMMYFUNCTION("""COMPUTED_VALUE"""),306.80645161290323)</f>
        <v>306.8064516</v>
      </c>
      <c r="K742" s="30">
        <f>IFERROR(__xludf.DUMMYFUNCTION("""COMPUTED_VALUE"""),0.5483870967741935)</f>
        <v>0.5483870968</v>
      </c>
      <c r="L742" s="30">
        <f>IFERROR(__xludf.DUMMYFUNCTION("""COMPUTED_VALUE"""),0.45161290322580644)</f>
        <v>0.4516129032</v>
      </c>
      <c r="M742" s="30">
        <f>IFERROR(__xludf.DUMMYFUNCTION("""COMPUTED_VALUE"""),1.064516129032258)</f>
        <v>1.064516129</v>
      </c>
      <c r="N742" s="30">
        <f>IFERROR(__xludf.DUMMYFUNCTION("""COMPUTED_VALUE"""),1.7419354838709677)</f>
        <v>1.741935484</v>
      </c>
      <c r="O742" s="30">
        <f>IFERROR(__xludf.DUMMYFUNCTION("""COMPUTED_VALUE"""),339.2258064516129)</f>
        <v>339.2258065</v>
      </c>
      <c r="P742" s="30">
        <f>IFERROR(__xludf.DUMMYFUNCTION("""COMPUTED_VALUE"""),0.903225806451613)</f>
        <v>0.9032258065</v>
      </c>
      <c r="Q742" s="30">
        <f>IFERROR(__xludf.DUMMYFUNCTION("""COMPUTED_VALUE"""),0.6021505376344084)</f>
        <v>0.6021505376</v>
      </c>
      <c r="R742" s="30">
        <f>IFERROR(__xludf.DUMMYFUNCTION("""COMPUTED_VALUE"""),1.032258064516129)</f>
        <v>1.032258065</v>
      </c>
      <c r="S742" s="30">
        <f>IFERROR(__xludf.DUMMYFUNCTION("""COMPUTED_VALUE"""),2.462365591397849)</f>
        <v>2.462365591</v>
      </c>
      <c r="T742" s="30">
        <f>IFERROR(__xludf.DUMMYFUNCTION("""COMPUTED_VALUE"""),331.5169073844588)</f>
        <v>331.5169074</v>
      </c>
      <c r="U742" s="30">
        <f>IFERROR(__xludf.DUMMYFUNCTION("""COMPUTED_VALUE"""),0.7640554351103046)</f>
        <v>0.7640554351</v>
      </c>
      <c r="V742" s="30">
        <f>IFERROR(__xludf.DUMMYFUNCTION("""COMPUTED_VALUE"""),0.5797792951200174)</f>
        <v>0.5797792951</v>
      </c>
      <c r="W742" s="30">
        <f>IFERROR(__xludf.DUMMYFUNCTION("""COMPUTED_VALUE"""),1.1408945791747345)</f>
        <v>1.140894579</v>
      </c>
      <c r="X742" s="30">
        <f>IFERROR(__xludf.DUMMYFUNCTION("""COMPUTED_VALUE"""),2.4328663998445306)</f>
        <v>2.4328664</v>
      </c>
      <c r="Y742" s="30">
        <f>IFERROR(__xludf.DUMMYFUNCTION("""COMPUTED_VALUE"""),335.706826358343)</f>
        <v>335.7068264</v>
      </c>
      <c r="Z742" s="30">
        <f>IFERROR(__xludf.DUMMYFUNCTION("""COMPUTED_VALUE"""),0.8040904873321276)</f>
        <v>0.8040904873</v>
      </c>
      <c r="AA742" s="30">
        <f>IFERROR(__xludf.DUMMYFUNCTION("""COMPUTED_VALUE"""),0.5236866001146524)</f>
        <v>0.5236866001</v>
      </c>
      <c r="AB742" s="30">
        <f>IFERROR(__xludf.DUMMYFUNCTION("""COMPUTED_VALUE"""),1.22626652836017)</f>
        <v>1.226266528</v>
      </c>
      <c r="AC742" s="30">
        <f>IFERROR(__xludf.DUMMYFUNCTION("""COMPUTED_VALUE"""),2.3666255432197656)</f>
        <v>2.366625543</v>
      </c>
      <c r="AD742" s="30">
        <f>IFERROR(__xludf.DUMMYFUNCTION("""COMPUTED_VALUE"""),0.9139118645308967)</f>
        <v>0.9139118645</v>
      </c>
      <c r="AE742" s="30">
        <f>IFERROR(__xludf.DUMMYFUNCTION("""COMPUTED_VALUE"""),0.6819967471492839)</f>
        <v>0.6819967471</v>
      </c>
      <c r="AF742" s="30">
        <f>IFERROR(__xludf.DUMMYFUNCTION("""COMPUTED_VALUE"""),0.8623724630856191)</f>
        <v>0.8623724631</v>
      </c>
      <c r="AG742" s="30">
        <f>IFERROR(__xludf.DUMMYFUNCTION("""COMPUTED_VALUE"""),0.868095234121563)</f>
        <v>0.8680952341</v>
      </c>
      <c r="AH742" s="30">
        <f>IFERROR(__xludf.DUMMYFUNCTION("""COMPUTED_VALUE"""),0.7360418672322303)</f>
        <v>0.7360418672</v>
      </c>
      <c r="AI742" s="30">
        <f>IFERROR(__xludf.DUMMYFUNCTION("""COMPUTED_VALUE"""),1.0232534115016165)</f>
        <v>1.023253412</v>
      </c>
      <c r="AJ742" s="30">
        <f>IFERROR(__xludf.DUMMYFUNCTION("""COMPUTED_VALUE"""),1.1821469555035844)</f>
        <v>1.182146956</v>
      </c>
      <c r="AK742" s="30">
        <f>IFERROR(__xludf.DUMMYFUNCTION("""COMPUTED_VALUE"""),1.0385857906667055)</f>
        <v>1.038585791</v>
      </c>
      <c r="AL742" s="30">
        <f>IFERROR(__xludf.DUMMYFUNCTION("""COMPUTED_VALUE"""),0.9047795329721107)</f>
        <v>0.904779533</v>
      </c>
      <c r="AM742" s="30">
        <f>IFERROR(__xludf.DUMMYFUNCTION("""COMPUTED_VALUE"""),1.0121252821590219)</f>
        <v>1.012125282</v>
      </c>
      <c r="AN742" s="30">
        <f>IFERROR(__xludf.DUMMYFUNCTION("""COMPUTED_VALUE"""),0.9542036448314211)</f>
        <v>0.9542036448</v>
      </c>
      <c r="AO742" s="30">
        <f>IFERROR(__xludf.DUMMYFUNCTION("""COMPUTED_VALUE"""),0.7472169213286144)</f>
        <v>0.7472169213</v>
      </c>
      <c r="AP742" s="30">
        <f>IFERROR(__xludf.DUMMYFUNCTION("""COMPUTED_VALUE"""),0.9033807605174667)</f>
        <v>0.9033807605</v>
      </c>
      <c r="AQ742" s="30">
        <f>IFERROR(__xludf.DUMMYFUNCTION("""COMPUTED_VALUE"""),0.9143187863857943)</f>
        <v>0.9143187864</v>
      </c>
      <c r="AR742" s="30">
        <f>IFERROR(__xludf.DUMMYFUNCTION("""COMPUTED_VALUE"""),0.7526867100022747)</f>
        <v>0.75268671</v>
      </c>
      <c r="AS742" s="30">
        <f>IFERROR(__xludf.DUMMYFUNCTION("""COMPUTED_VALUE"""),59.0)</f>
        <v>59</v>
      </c>
      <c r="AT742" s="30">
        <f>IFERROR(__xludf.DUMMYFUNCTION("""COMPUTED_VALUE"""),0.36635832360279674)</f>
        <v>0.3663583236</v>
      </c>
      <c r="AU742" s="30">
        <f>IFERROR(__xludf.DUMMYFUNCTION("""COMPUTED_VALUE"""),1.4137263411059786)</f>
        <v>1.413726341</v>
      </c>
      <c r="AV742" s="32">
        <f>IFERROR(__xludf.DUMMYFUNCTION("""COMPUTED_VALUE"""),31.06718229220704)</f>
        <v>31.06718229</v>
      </c>
      <c r="AW742" s="32">
        <f>IFERROR(__xludf.DUMMYFUNCTION("""COMPUTED_VALUE"""),-4.455707095250351)</f>
        <v>-4.455707095</v>
      </c>
      <c r="AX742" s="32">
        <f>IFERROR(__xludf.DUMMYFUNCTION("""COMPUTED_VALUE"""),41.6269924077867)</f>
        <v>41.62699241</v>
      </c>
      <c r="AY742" s="32">
        <f>IFERROR(__xludf.DUMMYFUNCTION("""COMPUTED_VALUE"""),-2.7111835573421574)</f>
        <v>-2.711183557</v>
      </c>
      <c r="AZ742" s="30">
        <f>IFERROR(__xludf.DUMMYFUNCTION("""COMPUTED_VALUE"""),1.7445235379081936)</f>
        <v>1.744523538</v>
      </c>
      <c r="BA742" s="30">
        <f>IFERROR(__xludf.DUMMYFUNCTION("""COMPUTED_VALUE"""),2700.0)</f>
        <v>2700</v>
      </c>
    </row>
    <row r="743">
      <c r="A743" s="71" t="str">
        <f>IFERROR(__xludf.DUMMYFUNCTION("""COMPUTED_VALUE"""),"Prospect")</f>
        <v>Prospect</v>
      </c>
      <c r="B743" s="71" t="str">
        <f>IFERROR(__xludf.DUMMYFUNCTION("""COMPUTED_VALUE"""),"RSC007865")</f>
        <v>RSC007865</v>
      </c>
      <c r="C743" s="30" t="str">
        <f>IFERROR(__xludf.DUMMYFUNCTION("""COMPUTED_VALUE"""),"StoveMessiah")</f>
        <v>StoveMessiah</v>
      </c>
      <c r="D743" s="30" t="str">
        <f>IFERROR(__xludf.DUMMYFUNCTION("""COMPUTED_VALUE"""),"Emus")</f>
        <v>Emus</v>
      </c>
      <c r="E743" s="30">
        <f>IFERROR(__xludf.DUMMYFUNCTION("""COMPUTED_VALUE"""),33.0)</f>
        <v>33</v>
      </c>
      <c r="F743" s="30">
        <f>IFERROR(__xludf.DUMMYFUNCTION("""COMPUTED_VALUE"""),21.0)</f>
        <v>21</v>
      </c>
      <c r="G743" s="42">
        <f>IFERROR(__xludf.DUMMYFUNCTION("""COMPUTED_VALUE"""),12.0)</f>
        <v>12</v>
      </c>
      <c r="H743" s="42">
        <f>IFERROR(__xludf.DUMMYFUNCTION("""COMPUTED_VALUE"""),0.6363636363636364)</f>
        <v>0.6363636364</v>
      </c>
      <c r="I743" s="42">
        <f>IFERROR(__xludf.DUMMYFUNCTION("""COMPUTED_VALUE"""),0.2873563218390805)</f>
        <v>0.2873563218</v>
      </c>
      <c r="J743" s="30">
        <f>IFERROR(__xludf.DUMMYFUNCTION("""COMPUTED_VALUE"""),339.8484848484849)</f>
        <v>339.8484848</v>
      </c>
      <c r="K743" s="30">
        <f>IFERROR(__xludf.DUMMYFUNCTION("""COMPUTED_VALUE"""),0.7575757575757576)</f>
        <v>0.7575757576</v>
      </c>
      <c r="L743" s="30">
        <f>IFERROR(__xludf.DUMMYFUNCTION("""COMPUTED_VALUE"""),0.7575757575757576)</f>
        <v>0.7575757576</v>
      </c>
      <c r="M743" s="30">
        <f>IFERROR(__xludf.DUMMYFUNCTION("""COMPUTED_VALUE"""),0.9090909090909091)</f>
        <v>0.9090909091</v>
      </c>
      <c r="N743" s="30">
        <f>IFERROR(__xludf.DUMMYFUNCTION("""COMPUTED_VALUE"""),2.6363636363636362)</f>
        <v>2.636363636</v>
      </c>
      <c r="O743" s="30">
        <f>IFERROR(__xludf.DUMMYFUNCTION("""COMPUTED_VALUE"""),332.9292929292929)</f>
        <v>332.9292929</v>
      </c>
      <c r="P743" s="30">
        <f>IFERROR(__xludf.DUMMYFUNCTION("""COMPUTED_VALUE"""),0.6565656565656565)</f>
        <v>0.6565656566</v>
      </c>
      <c r="Q743" s="30">
        <f>IFERROR(__xludf.DUMMYFUNCTION("""COMPUTED_VALUE"""),0.4343434343434344)</f>
        <v>0.4343434343</v>
      </c>
      <c r="R743" s="30">
        <f>IFERROR(__xludf.DUMMYFUNCTION("""COMPUTED_VALUE"""),1.484848484848485)</f>
        <v>1.484848485</v>
      </c>
      <c r="S743" s="30">
        <f>IFERROR(__xludf.DUMMYFUNCTION("""COMPUTED_VALUE"""),2.05050505050505)</f>
        <v>2.050505051</v>
      </c>
      <c r="T743" s="30">
        <f>IFERROR(__xludf.DUMMYFUNCTION("""COMPUTED_VALUE"""),334.25757094141306)</f>
        <v>334.2575709</v>
      </c>
      <c r="U743" s="30">
        <f>IFERROR(__xludf.DUMMYFUNCTION("""COMPUTED_VALUE"""),0.7920535051044849)</f>
        <v>0.7920535051</v>
      </c>
      <c r="V743" s="30">
        <f>IFERROR(__xludf.DUMMYFUNCTION("""COMPUTED_VALUE"""),0.5245867195513817)</f>
        <v>0.5245867196</v>
      </c>
      <c r="W743" s="30">
        <f>IFERROR(__xludf.DUMMYFUNCTION("""COMPUTED_VALUE"""),1.179870615223784)</f>
        <v>1.179870615</v>
      </c>
      <c r="X743" s="30">
        <f>IFERROR(__xludf.DUMMYFUNCTION("""COMPUTED_VALUE"""),2.412238811897274)</f>
        <v>2.412238812</v>
      </c>
      <c r="Y743" s="30">
        <f>IFERROR(__xludf.DUMMYFUNCTION("""COMPUTED_VALUE"""),339.5813694068843)</f>
        <v>339.5813694</v>
      </c>
      <c r="Z743" s="30">
        <f>IFERROR(__xludf.DUMMYFUNCTION("""COMPUTED_VALUE"""),0.8227384673812526)</f>
        <v>0.8227384674</v>
      </c>
      <c r="AA743" s="30">
        <f>IFERROR(__xludf.DUMMYFUNCTION("""COMPUTED_VALUE"""),0.5493651425423902)</f>
        <v>0.5493651425</v>
      </c>
      <c r="AB743" s="30">
        <f>IFERROR(__xludf.DUMMYFUNCTION("""COMPUTED_VALUE"""),1.1942553588546976)</f>
        <v>1.194255359</v>
      </c>
      <c r="AC743" s="30">
        <f>IFERROR(__xludf.DUMMYFUNCTION("""COMPUTED_VALUE"""),2.455604121274253)</f>
        <v>2.455604121</v>
      </c>
      <c r="AD743" s="30">
        <f>IFERROR(__xludf.DUMMYFUNCTION("""COMPUTED_VALUE"""),1.0007866021686265)</f>
        <v>1.000786602</v>
      </c>
      <c r="AE743" s="30">
        <f>IFERROR(__xludf.DUMMYFUNCTION("""COMPUTED_VALUE"""),0.9207977839994457)</f>
        <v>0.920797784</v>
      </c>
      <c r="AF743" s="30">
        <f>IFERROR(__xludf.DUMMYFUNCTION("""COMPUTED_VALUE"""),1.379002231684733)</f>
        <v>1.379002232</v>
      </c>
      <c r="AG743" s="30">
        <f>IFERROR(__xludf.DUMMYFUNCTION("""COMPUTED_VALUE"""),0.7612198700642516)</f>
        <v>0.7612198701</v>
      </c>
      <c r="AH743" s="30">
        <f>IFERROR(__xludf.DUMMYFUNCTION("""COMPUTED_VALUE"""),1.0736110163374315)</f>
        <v>1.073611016</v>
      </c>
      <c r="AI743" s="30">
        <f>IFERROR(__xludf.DUMMYFUNCTION("""COMPUTED_VALUE"""),0.9960261842136315)</f>
        <v>0.9960261842</v>
      </c>
      <c r="AJ743" s="30">
        <f>IFERROR(__xludf.DUMMYFUNCTION("""COMPUTED_VALUE"""),0.8289410403897457)</f>
        <v>0.8289410404</v>
      </c>
      <c r="AK743" s="30">
        <f>IFERROR(__xludf.DUMMYFUNCTION("""COMPUTED_VALUE"""),0.8279726080654083)</f>
        <v>0.8279726081</v>
      </c>
      <c r="AL743" s="30">
        <f>IFERROR(__xludf.DUMMYFUNCTION("""COMPUTED_VALUE"""),1.2584841640173035)</f>
        <v>1.258484164</v>
      </c>
      <c r="AM743" s="30">
        <f>IFERROR(__xludf.DUMMYFUNCTION("""COMPUTED_VALUE"""),0.8500423094064583)</f>
        <v>0.8500423094</v>
      </c>
      <c r="AN743" s="30">
        <f>IFERROR(__xludf.DUMMYFUNCTION("""COMPUTED_VALUE"""),1.0569682000755616)</f>
        <v>1.0569682</v>
      </c>
      <c r="AO743" s="30">
        <f>IFERROR(__xludf.DUMMYFUNCTION("""COMPUTED_VALUE"""),1.0322515401598507)</f>
        <v>1.03225154</v>
      </c>
      <c r="AP743" s="30">
        <f>IFERROR(__xludf.DUMMYFUNCTION("""COMPUTED_VALUE"""),1.515411448919993)</f>
        <v>1.515411449</v>
      </c>
      <c r="AQ743" s="30">
        <f>IFERROR(__xludf.DUMMYFUNCTION("""COMPUTED_VALUE"""),0.7808232060043974)</f>
        <v>0.780823206</v>
      </c>
      <c r="AR743" s="30">
        <f>IFERROR(__xludf.DUMMYFUNCTION("""COMPUTED_VALUE"""),1.1391672597509173)</f>
        <v>1.13916726</v>
      </c>
      <c r="AS743" s="30">
        <f>IFERROR(__xludf.DUMMYFUNCTION("""COMPUTED_VALUE"""),101.0)</f>
        <v>101</v>
      </c>
      <c r="AT743" s="30">
        <f>IFERROR(__xludf.DUMMYFUNCTION("""COMPUTED_VALUE"""),0.668343387787575)</f>
        <v>0.6683433878</v>
      </c>
      <c r="AU743" s="30">
        <f>IFERROR(__xludf.DUMMYFUNCTION("""COMPUTED_VALUE"""),2.748606329565533)</f>
        <v>2.74860633</v>
      </c>
      <c r="AV743" s="32">
        <f>IFERROR(__xludf.DUMMYFUNCTION("""COMPUTED_VALUE"""),67.18603459568396)</f>
        <v>67.1860346</v>
      </c>
      <c r="AW743" s="32">
        <f>IFERROR(__xludf.DUMMYFUNCTION("""COMPUTED_VALUE"""),4.066655521043173)</f>
        <v>4.066655521</v>
      </c>
      <c r="AX743" s="32">
        <f>IFERROR(__xludf.DUMMYFUNCTION("""COMPUTED_VALUE"""),56.1091148068606)</f>
        <v>56.10911481</v>
      </c>
      <c r="AY743" s="32">
        <f>IFERROR(__xludf.DUMMYFUNCTION("""COMPUTED_VALUE"""),2.47847303070621)</f>
        <v>2.478473031</v>
      </c>
      <c r="AZ743" s="30">
        <f>IFERROR(__xludf.DUMMYFUNCTION("""COMPUTED_VALUE"""),1.5881824903369628)</f>
        <v>1.58818249</v>
      </c>
      <c r="BA743" s="30">
        <f>IFERROR(__xludf.DUMMYFUNCTION("""COMPUTED_VALUE"""),2700.0)</f>
        <v>2700</v>
      </c>
    </row>
    <row r="744">
      <c r="A744" s="71" t="str">
        <f>IFERROR(__xludf.DUMMYFUNCTION("""COMPUTED_VALUE"""),"Prospect")</f>
        <v>Prospect</v>
      </c>
      <c r="B744" s="71" t="str">
        <f>IFERROR(__xludf.DUMMYFUNCTION("""COMPUTED_VALUE"""),"RSC007572")</f>
        <v>RSC007572</v>
      </c>
      <c r="C744" s="30" t="str">
        <f>IFERROR(__xludf.DUMMYFUNCTION("""COMPUTED_VALUE"""),"Mexalato")</f>
        <v>Mexalato</v>
      </c>
      <c r="D744" s="30" t="str">
        <f>IFERROR(__xludf.DUMMYFUNCTION("""COMPUTED_VALUE"""),"Horizon Highball")</f>
        <v>Horizon Highball</v>
      </c>
      <c r="E744" s="30">
        <f>IFERROR(__xludf.DUMMYFUNCTION("""COMPUTED_VALUE"""),48.0)</f>
        <v>48</v>
      </c>
      <c r="F744" s="30">
        <f>IFERROR(__xludf.DUMMYFUNCTION("""COMPUTED_VALUE"""),34.0)</f>
        <v>34</v>
      </c>
      <c r="G744" s="42">
        <f>IFERROR(__xludf.DUMMYFUNCTION("""COMPUTED_VALUE"""),14.0)</f>
        <v>14</v>
      </c>
      <c r="H744" s="42">
        <f>IFERROR(__xludf.DUMMYFUNCTION("""COMPUTED_VALUE"""),0.7083333333333334)</f>
        <v>0.7083333333</v>
      </c>
      <c r="I744" s="42">
        <f>IFERROR(__xludf.DUMMYFUNCTION("""COMPUTED_VALUE"""),0.328125)</f>
        <v>0.328125</v>
      </c>
      <c r="J744" s="30">
        <f>IFERROR(__xludf.DUMMYFUNCTION("""COMPUTED_VALUE"""),338.5625)</f>
        <v>338.5625</v>
      </c>
      <c r="K744" s="30">
        <f>IFERROR(__xludf.DUMMYFUNCTION("""COMPUTED_VALUE"""),0.875)</f>
        <v>0.875</v>
      </c>
      <c r="L744" s="30">
        <f>IFERROR(__xludf.DUMMYFUNCTION("""COMPUTED_VALUE"""),0.625)</f>
        <v>0.625</v>
      </c>
      <c r="M744" s="30">
        <f>IFERROR(__xludf.DUMMYFUNCTION("""COMPUTED_VALUE"""),0.9375)</f>
        <v>0.9375</v>
      </c>
      <c r="N744" s="30">
        <f>IFERROR(__xludf.DUMMYFUNCTION("""COMPUTED_VALUE"""),2.6666666666666665)</f>
        <v>2.666666667</v>
      </c>
      <c r="O744" s="30">
        <f>IFERROR(__xludf.DUMMYFUNCTION("""COMPUTED_VALUE"""),317.51388888888886)</f>
        <v>317.5138889</v>
      </c>
      <c r="P744" s="30">
        <f>IFERROR(__xludf.DUMMYFUNCTION("""COMPUTED_VALUE"""),0.6249999999999999)</f>
        <v>0.625</v>
      </c>
      <c r="Q744" s="30">
        <f>IFERROR(__xludf.DUMMYFUNCTION("""COMPUTED_VALUE"""),0.4513888888888887)</f>
        <v>0.4513888889</v>
      </c>
      <c r="R744" s="30">
        <f>IFERROR(__xludf.DUMMYFUNCTION("""COMPUTED_VALUE"""),1.3125000000000002)</f>
        <v>1.3125</v>
      </c>
      <c r="S744" s="30">
        <f>IFERROR(__xludf.DUMMYFUNCTION("""COMPUTED_VALUE"""),1.9583333333333328)</f>
        <v>1.958333333</v>
      </c>
      <c r="T744" s="30">
        <f>IFERROR(__xludf.DUMMYFUNCTION("""COMPUTED_VALUE"""),335.06767233367526)</f>
        <v>335.0676723</v>
      </c>
      <c r="U744" s="30">
        <f>IFERROR(__xludf.DUMMYFUNCTION("""COMPUTED_VALUE"""),0.7801805614186365)</f>
        <v>0.7801805614</v>
      </c>
      <c r="V744" s="30">
        <f>IFERROR(__xludf.DUMMYFUNCTION("""COMPUTED_VALUE"""),0.5199230084309839)</f>
        <v>0.5199230084</v>
      </c>
      <c r="W744" s="30">
        <f>IFERROR(__xludf.DUMMYFUNCTION("""COMPUTED_VALUE"""),1.2298784831844738)</f>
        <v>1.229878483</v>
      </c>
      <c r="X744" s="30">
        <f>IFERROR(__xludf.DUMMYFUNCTION("""COMPUTED_VALUE"""),2.401204979231391)</f>
        <v>2.401204979</v>
      </c>
      <c r="Y744" s="30">
        <f>IFERROR(__xludf.DUMMYFUNCTION("""COMPUTED_VALUE"""),335.02497665223945)</f>
        <v>335.0249767</v>
      </c>
      <c r="Z744" s="30">
        <f>IFERROR(__xludf.DUMMYFUNCTION("""COMPUTED_VALUE"""),0.7975379086303135)</f>
        <v>0.7975379086</v>
      </c>
      <c r="AA744" s="30">
        <f>IFERROR(__xludf.DUMMYFUNCTION("""COMPUTED_VALUE"""),0.5319651326382108)</f>
        <v>0.5319651326</v>
      </c>
      <c r="AB744" s="30">
        <f>IFERROR(__xludf.DUMMYFUNCTION("""COMPUTED_VALUE"""),1.1695272092604065)</f>
        <v>1.169527209</v>
      </c>
      <c r="AC744" s="30">
        <f>IFERROR(__xludf.DUMMYFUNCTION("""COMPUTED_VALUE"""),2.4784648704110093)</f>
        <v>2.47846487</v>
      </c>
      <c r="AD744" s="30">
        <f>IFERROR(__xludf.DUMMYFUNCTION("""COMPUTED_VALUE"""),1.0105589839393752)</f>
        <v>1.010558984</v>
      </c>
      <c r="AE744" s="30">
        <f>IFERROR(__xludf.DUMMYFUNCTION("""COMPUTED_VALUE"""),1.0971265322080044)</f>
        <v>1.097126532</v>
      </c>
      <c r="AF744" s="30">
        <f>IFERROR(__xludf.DUMMYFUNCTION("""COMPUTED_VALUE"""),1.1748890324830032)</f>
        <v>1.174889032</v>
      </c>
      <c r="AG744" s="30">
        <f>IFERROR(__xludf.DUMMYFUNCTION("""COMPUTED_VALUE"""),0.8016059759677268)</f>
        <v>0.801605976</v>
      </c>
      <c r="AH744" s="30">
        <f>IFERROR(__xludf.DUMMYFUNCTION("""COMPUTED_VALUE"""),1.0759348250211218)</f>
        <v>1.075934825</v>
      </c>
      <c r="AI744" s="30">
        <f>IFERROR(__xludf.DUMMYFUNCTION("""COMPUTED_VALUE"""),0.9476112293300991)</f>
        <v>0.9476112293</v>
      </c>
      <c r="AJ744" s="30">
        <f>IFERROR(__xludf.DUMMYFUNCTION("""COMPUTED_VALUE"""),0.8010966062311717)</f>
        <v>0.8010966062</v>
      </c>
      <c r="AK744" s="30">
        <f>IFERROR(__xludf.DUMMYFUNCTION("""COMPUTED_VALUE"""),0.8681840995094321)</f>
        <v>0.8681840995</v>
      </c>
      <c r="AL744" s="30">
        <f>IFERROR(__xludf.DUMMYFUNCTION("""COMPUTED_VALUE"""),1.0671786017441316)</f>
        <v>1.067178602</v>
      </c>
      <c r="AM744" s="30">
        <f>IFERROR(__xludf.DUMMYFUNCTION("""COMPUTED_VALUE"""),0.8155627488162971)</f>
        <v>0.8155627488</v>
      </c>
      <c r="AN744" s="30">
        <f>IFERROR(__xludf.DUMMYFUNCTION("""COMPUTED_VALUE"""),1.052968638061232)</f>
        <v>1.052968638</v>
      </c>
      <c r="AO744" s="30">
        <f>IFERROR(__xludf.DUMMYFUNCTION("""COMPUTED_VALUE"""),1.1922505288846275)</f>
        <v>1.192250529</v>
      </c>
      <c r="AP744" s="30">
        <f>IFERROR(__xludf.DUMMYFUNCTION("""COMPUTED_VALUE"""),1.2502144453589943)</f>
        <v>1.250214445</v>
      </c>
      <c r="AQ744" s="30">
        <f>IFERROR(__xludf.DUMMYFUNCTION("""COMPUTED_VALUE"""),0.8052239311920348)</f>
        <v>0.8052239312</v>
      </c>
      <c r="AR744" s="30">
        <f>IFERROR(__xludf.DUMMYFUNCTION("""COMPUTED_VALUE"""),1.1522611362997786)</f>
        <v>1.152261136</v>
      </c>
      <c r="AS744" s="30">
        <f>IFERROR(__xludf.DUMMYFUNCTION("""COMPUTED_VALUE"""),134.0)</f>
        <v>134</v>
      </c>
      <c r="AT744" s="30">
        <f>IFERROR(__xludf.DUMMYFUNCTION("""COMPUTED_VALUE"""),0.650065755352992)</f>
        <v>0.6500657554</v>
      </c>
      <c r="AU744" s="30">
        <f>IFERROR(__xludf.DUMMYFUNCTION("""COMPUTED_VALUE"""),2.870055293337169)</f>
        <v>2.870055293</v>
      </c>
      <c r="AV744" s="32">
        <f>IFERROR(__xludf.DUMMYFUNCTION("""COMPUTED_VALUE"""),70.47217059502586)</f>
        <v>70.4721706</v>
      </c>
      <c r="AW744" s="32">
        <f>IFERROR(__xludf.DUMMYFUNCTION("""COMPUTED_VALUE"""),4.844362875383491)</f>
        <v>4.844362875</v>
      </c>
      <c r="AX744" s="32">
        <f>IFERROR(__xludf.DUMMYFUNCTION("""COMPUTED_VALUE"""),63.24442381776977)</f>
        <v>63.24442382</v>
      </c>
      <c r="AY744" s="32">
        <f>IFERROR(__xludf.DUMMYFUNCTION("""COMPUTED_VALUE"""),3.354204386448329)</f>
        <v>3.354204386</v>
      </c>
      <c r="AZ744" s="30">
        <f>IFERROR(__xludf.DUMMYFUNCTION("""COMPUTED_VALUE"""),1.4901584889351622)</f>
        <v>1.490158489</v>
      </c>
      <c r="BA744" s="30">
        <f>IFERROR(__xludf.DUMMYFUNCTION("""COMPUTED_VALUE"""),2700.0)</f>
        <v>2700</v>
      </c>
    </row>
    <row r="745">
      <c r="A745" s="71" t="str">
        <f>IFERROR(__xludf.DUMMYFUNCTION("""COMPUTED_VALUE"""),"Prospect")</f>
        <v>Prospect</v>
      </c>
      <c r="B745" s="71" t="str">
        <f>IFERROR(__xludf.DUMMYFUNCTION("""COMPUTED_VALUE"""),"RSC007897")</f>
        <v>RSC007897</v>
      </c>
      <c r="C745" s="30" t="str">
        <f>IFERROR(__xludf.DUMMYFUNCTION("""COMPUTED_VALUE"""),"Synnicall")</f>
        <v>Synnicall</v>
      </c>
      <c r="D745" s="30" t="str">
        <f>IFERROR(__xludf.DUMMYFUNCTION("""COMPUTED_VALUE"""),"Poppy")</f>
        <v>Poppy</v>
      </c>
      <c r="E745" s="30">
        <f>IFERROR(__xludf.DUMMYFUNCTION("""COMPUTED_VALUE"""),46.0)</f>
        <v>46</v>
      </c>
      <c r="F745" s="30">
        <f>IFERROR(__xludf.DUMMYFUNCTION("""COMPUTED_VALUE"""),22.0)</f>
        <v>22</v>
      </c>
      <c r="G745" s="42">
        <f>IFERROR(__xludf.DUMMYFUNCTION("""COMPUTED_VALUE"""),24.0)</f>
        <v>24</v>
      </c>
      <c r="H745" s="42">
        <f>IFERROR(__xludf.DUMMYFUNCTION("""COMPUTED_VALUE"""),0.4782608695652174)</f>
        <v>0.4782608696</v>
      </c>
      <c r="I745" s="42">
        <f>IFERROR(__xludf.DUMMYFUNCTION("""COMPUTED_VALUE"""),0.2835820895522388)</f>
        <v>0.2835820896</v>
      </c>
      <c r="J745" s="30">
        <f>IFERROR(__xludf.DUMMYFUNCTION("""COMPUTED_VALUE"""),376.4130434782609)</f>
        <v>376.4130435</v>
      </c>
      <c r="K745" s="30">
        <f>IFERROR(__xludf.DUMMYFUNCTION("""COMPUTED_VALUE"""),0.8260869565217391)</f>
        <v>0.8260869565</v>
      </c>
      <c r="L745" s="30">
        <f>IFERROR(__xludf.DUMMYFUNCTION("""COMPUTED_VALUE"""),0.6086956521739131)</f>
        <v>0.6086956522</v>
      </c>
      <c r="M745" s="30">
        <f>IFERROR(__xludf.DUMMYFUNCTION("""COMPUTED_VALUE"""),1.5217391304347827)</f>
        <v>1.52173913</v>
      </c>
      <c r="N745" s="30">
        <f>IFERROR(__xludf.DUMMYFUNCTION("""COMPUTED_VALUE"""),2.9130434782608696)</f>
        <v>2.913043478</v>
      </c>
      <c r="O745" s="30">
        <f>IFERROR(__xludf.DUMMYFUNCTION("""COMPUTED_VALUE"""),358.57971014492756)</f>
        <v>358.5797101</v>
      </c>
      <c r="P745" s="30">
        <f>IFERROR(__xludf.DUMMYFUNCTION("""COMPUTED_VALUE"""),0.8260869565217392)</f>
        <v>0.8260869565</v>
      </c>
      <c r="Q745" s="30">
        <f>IFERROR(__xludf.DUMMYFUNCTION("""COMPUTED_VALUE"""),0.6014492753623188)</f>
        <v>0.6014492754</v>
      </c>
      <c r="R745" s="30">
        <f>IFERROR(__xludf.DUMMYFUNCTION("""COMPUTED_VALUE"""),1.2826086956521738)</f>
        <v>1.282608696</v>
      </c>
      <c r="S745" s="30">
        <f>IFERROR(__xludf.DUMMYFUNCTION("""COMPUTED_VALUE"""),2.72463768115942)</f>
        <v>2.724637681</v>
      </c>
      <c r="T745" s="30">
        <f>IFERROR(__xludf.DUMMYFUNCTION("""COMPUTED_VALUE"""),335.8247295306295)</f>
        <v>335.8247295</v>
      </c>
      <c r="U745" s="30">
        <f>IFERROR(__xludf.DUMMYFUNCTION("""COMPUTED_VALUE"""),0.8013886177620195)</f>
        <v>0.8013886178</v>
      </c>
      <c r="V745" s="30">
        <f>IFERROR(__xludf.DUMMYFUNCTION("""COMPUTED_VALUE"""),0.5272481736919991)</f>
        <v>0.5272481737</v>
      </c>
      <c r="W745" s="30">
        <f>IFERROR(__xludf.DUMMYFUNCTION("""COMPUTED_VALUE"""),1.1697051807132077)</f>
        <v>1.169705181</v>
      </c>
      <c r="X745" s="30">
        <f>IFERROR(__xludf.DUMMYFUNCTION("""COMPUTED_VALUE"""),2.495848152635015)</f>
        <v>2.495848153</v>
      </c>
      <c r="Y745" s="30">
        <f>IFERROR(__xludf.DUMMYFUNCTION("""COMPUTED_VALUE"""),336.3325625045449)</f>
        <v>336.3325625</v>
      </c>
      <c r="Z745" s="30">
        <f>IFERROR(__xludf.DUMMYFUNCTION("""COMPUTED_VALUE"""),0.8091977145724896)</f>
        <v>0.8091977146</v>
      </c>
      <c r="AA745" s="30">
        <f>IFERROR(__xludf.DUMMYFUNCTION("""COMPUTED_VALUE"""),0.5277063532952119)</f>
        <v>0.5277063533</v>
      </c>
      <c r="AB745" s="30">
        <f>IFERROR(__xludf.DUMMYFUNCTION("""COMPUTED_VALUE"""),1.1997974374313645)</f>
        <v>1.199797437</v>
      </c>
      <c r="AC745" s="30">
        <f>IFERROR(__xludf.DUMMYFUNCTION("""COMPUTED_VALUE"""),2.4107624829638388)</f>
        <v>2.410762483</v>
      </c>
      <c r="AD745" s="30">
        <f>IFERROR(__xludf.DUMMYFUNCTION("""COMPUTED_VALUE"""),1.1191691957366583)</f>
        <v>1.119169196</v>
      </c>
      <c r="AE745" s="30">
        <f>IFERROR(__xludf.DUMMYFUNCTION("""COMPUTED_VALUE"""),1.0208715887910933)</f>
        <v>1.020871589</v>
      </c>
      <c r="AF745" s="30">
        <f>IFERROR(__xludf.DUMMYFUNCTION("""COMPUTED_VALUE"""),1.1534741781541407)</f>
        <v>1.153474178</v>
      </c>
      <c r="AG745" s="30">
        <f>IFERROR(__xludf.DUMMYFUNCTION("""COMPUTED_VALUE"""),1.2683300388544423)</f>
        <v>1.268330039</v>
      </c>
      <c r="AH745" s="30">
        <f>IFERROR(__xludf.DUMMYFUNCTION("""COMPUTED_VALUE"""),1.2083494325328628)</f>
        <v>1.208349433</v>
      </c>
      <c r="AI745" s="30">
        <f>IFERROR(__xludf.DUMMYFUNCTION("""COMPUTED_VALUE"""),1.0677585020200921)</f>
        <v>1.067758502</v>
      </c>
      <c r="AJ745" s="30">
        <f>IFERROR(__xludf.DUMMYFUNCTION("""COMPUTED_VALUE"""),1.0308194279433278)</f>
        <v>1.030819428</v>
      </c>
      <c r="AK745" s="30">
        <f>IFERROR(__xludf.DUMMYFUNCTION("""COMPUTED_VALUE"""),1.1407327808283043)</f>
        <v>1.140732781</v>
      </c>
      <c r="AL745" s="30">
        <f>IFERROR(__xludf.DUMMYFUNCTION("""COMPUTED_VALUE"""),1.09652305281757)</f>
        <v>1.096523053</v>
      </c>
      <c r="AM745" s="30">
        <f>IFERROR(__xludf.DUMMYFUNCTION("""COMPUTED_VALUE"""),1.091668048107357)</f>
        <v>1.091668048</v>
      </c>
      <c r="AN745" s="30">
        <f>IFERROR(__xludf.DUMMYFUNCTION("""COMPUTED_VALUE"""),1.1706882178025848)</f>
        <v>1.170688218</v>
      </c>
      <c r="AO745" s="30">
        <f>IFERROR(__xludf.DUMMYFUNCTION("""COMPUTED_VALUE"""),1.125602983791698)</f>
        <v>1.125602984</v>
      </c>
      <c r="AP745" s="30">
        <f>IFERROR(__xludf.DUMMYFUNCTION("""COMPUTED_VALUE"""),1.217600155480064)</f>
        <v>1.217600155</v>
      </c>
      <c r="AQ745" s="30">
        <f>IFERROR(__xludf.DUMMYFUNCTION("""COMPUTED_VALUE"""),1.3070301491812741)</f>
        <v>1.307030149</v>
      </c>
      <c r="AR745" s="30">
        <f>IFERROR(__xludf.DUMMYFUNCTION("""COMPUTED_VALUE"""),1.2587200456318233)</f>
        <v>1.258720046</v>
      </c>
      <c r="AS745" s="30">
        <f>IFERROR(__xludf.DUMMYFUNCTION("""COMPUTED_VALUE"""),117.0)</f>
        <v>117</v>
      </c>
      <c r="AT745" s="30">
        <f>IFERROR(__xludf.DUMMYFUNCTION("""COMPUTED_VALUE"""),0.5103178018128008)</f>
        <v>0.5103178018</v>
      </c>
      <c r="AU745" s="30">
        <f>IFERROR(__xludf.DUMMYFUNCTION("""COMPUTED_VALUE"""),2.6829449904645797)</f>
        <v>2.68294499</v>
      </c>
      <c r="AV745" s="32">
        <f>IFERROR(__xludf.DUMMYFUNCTION("""COMPUTED_VALUE"""),65.40938633551139)</f>
        <v>65.40938634</v>
      </c>
      <c r="AW745" s="32">
        <f>IFERROR(__xludf.DUMMYFUNCTION("""COMPUTED_VALUE"""),3.7199146082218566)</f>
        <v>3.719914608</v>
      </c>
      <c r="AX745" s="32">
        <f>IFERROR(__xludf.DUMMYFUNCTION("""COMPUTED_VALUE"""),53.29586623591645)</f>
        <v>53.29586624</v>
      </c>
      <c r="AY745" s="32">
        <f>IFERROR(__xludf.DUMMYFUNCTION("""COMPUTED_VALUE"""),2.234349577967404)</f>
        <v>2.234349578</v>
      </c>
      <c r="AZ745" s="30">
        <f>IFERROR(__xludf.DUMMYFUNCTION("""COMPUTED_VALUE"""),1.4855650302544525)</f>
        <v>1.48556503</v>
      </c>
      <c r="BA745" s="30">
        <f>IFERROR(__xludf.DUMMYFUNCTION("""COMPUTED_VALUE"""),2700.0)</f>
        <v>2700</v>
      </c>
    </row>
    <row r="746">
      <c r="A746" s="71" t="str">
        <f>IFERROR(__xludf.DUMMYFUNCTION("""COMPUTED_VALUE"""),"Prospect")</f>
        <v>Prospect</v>
      </c>
      <c r="B746" s="71" t="str">
        <f>IFERROR(__xludf.DUMMYFUNCTION("""COMPUTED_VALUE"""),"RSC007866")</f>
        <v>RSC007866</v>
      </c>
      <c r="C746" s="30" t="str">
        <f>IFERROR(__xludf.DUMMYFUNCTION("""COMPUTED_VALUE"""),"Swzyy GN")</f>
        <v>Swzyy GN</v>
      </c>
      <c r="D746" s="30" t="str">
        <f>IFERROR(__xludf.DUMMYFUNCTION("""COMPUTED_VALUE"""),"Prism Proteges")</f>
        <v>Prism Proteges</v>
      </c>
      <c r="E746" s="30">
        <f>IFERROR(__xludf.DUMMYFUNCTION("""COMPUTED_VALUE"""),20.0)</f>
        <v>20</v>
      </c>
      <c r="F746" s="30">
        <f>IFERROR(__xludf.DUMMYFUNCTION("""COMPUTED_VALUE"""),9.0)</f>
        <v>9</v>
      </c>
      <c r="G746" s="42">
        <f>IFERROR(__xludf.DUMMYFUNCTION("""COMPUTED_VALUE"""),11.0)</f>
        <v>11</v>
      </c>
      <c r="H746" s="42">
        <f>IFERROR(__xludf.DUMMYFUNCTION("""COMPUTED_VALUE"""),0.45)</f>
        <v>0.45</v>
      </c>
      <c r="I746" s="42">
        <f>IFERROR(__xludf.DUMMYFUNCTION("""COMPUTED_VALUE"""),0.3035714285714286)</f>
        <v>0.3035714286</v>
      </c>
      <c r="J746" s="30">
        <f>IFERROR(__xludf.DUMMYFUNCTION("""COMPUTED_VALUE"""),346.6)</f>
        <v>346.6</v>
      </c>
      <c r="K746" s="30">
        <f>IFERROR(__xludf.DUMMYFUNCTION("""COMPUTED_VALUE"""),0.85)</f>
        <v>0.85</v>
      </c>
      <c r="L746" s="30">
        <f>IFERROR(__xludf.DUMMYFUNCTION("""COMPUTED_VALUE"""),0.5)</f>
        <v>0.5</v>
      </c>
      <c r="M746" s="30">
        <f>IFERROR(__xludf.DUMMYFUNCTION("""COMPUTED_VALUE"""),1.25)</f>
        <v>1.25</v>
      </c>
      <c r="N746" s="30">
        <f>IFERROR(__xludf.DUMMYFUNCTION("""COMPUTED_VALUE"""),2.8)</f>
        <v>2.8</v>
      </c>
      <c r="O746" s="30">
        <f>IFERROR(__xludf.DUMMYFUNCTION("""COMPUTED_VALUE"""),323.7)</f>
        <v>323.7</v>
      </c>
      <c r="P746" s="30">
        <f>IFERROR(__xludf.DUMMYFUNCTION("""COMPUTED_VALUE"""),0.7166666666666669)</f>
        <v>0.7166666667</v>
      </c>
      <c r="Q746" s="30">
        <f>IFERROR(__xludf.DUMMYFUNCTION("""COMPUTED_VALUE"""),0.39999999999999997)</f>
        <v>0.4</v>
      </c>
      <c r="R746" s="30">
        <f>IFERROR(__xludf.DUMMYFUNCTION("""COMPUTED_VALUE"""),1.3166666666666669)</f>
        <v>1.316666667</v>
      </c>
      <c r="S746" s="30">
        <f>IFERROR(__xludf.DUMMYFUNCTION("""COMPUTED_VALUE"""),2.4166666666666665)</f>
        <v>2.416666667</v>
      </c>
      <c r="T746" s="30">
        <f>IFERROR(__xludf.DUMMYFUNCTION("""COMPUTED_VALUE"""),336.2032702224395)</f>
        <v>336.2032702</v>
      </c>
      <c r="U746" s="30">
        <f>IFERROR(__xludf.DUMMYFUNCTION("""COMPUTED_VALUE"""),0.7800551957957105)</f>
        <v>0.7800551958</v>
      </c>
      <c r="V746" s="30">
        <f>IFERROR(__xludf.DUMMYFUNCTION("""COMPUTED_VALUE"""),0.4604202796034739)</f>
        <v>0.4604202796</v>
      </c>
      <c r="W746" s="30">
        <f>IFERROR(__xludf.DUMMYFUNCTION("""COMPUTED_VALUE"""),1.2826090449129033)</f>
        <v>1.282609045</v>
      </c>
      <c r="X746" s="30">
        <f>IFERROR(__xludf.DUMMYFUNCTION("""COMPUTED_VALUE"""),2.2682986286286306)</f>
        <v>2.268298629</v>
      </c>
      <c r="Y746" s="30">
        <f>IFERROR(__xludf.DUMMYFUNCTION("""COMPUTED_VALUE"""),329.557404366914)</f>
        <v>329.5574044</v>
      </c>
      <c r="Z746" s="30">
        <f>IFERROR(__xludf.DUMMYFUNCTION("""COMPUTED_VALUE"""),0.7893415591043317)</f>
        <v>0.7893415591</v>
      </c>
      <c r="AA746" s="30">
        <f>IFERROR(__xludf.DUMMYFUNCTION("""COMPUTED_VALUE"""),0.516977764969642)</f>
        <v>0.516977765</v>
      </c>
      <c r="AB746" s="30">
        <f>IFERROR(__xludf.DUMMYFUNCTION("""COMPUTED_VALUE"""),1.0942134748767995)</f>
        <v>1.094213475</v>
      </c>
      <c r="AC746" s="30">
        <f>IFERROR(__xludf.DUMMYFUNCTION("""COMPUTED_VALUE"""),2.5926007987842126)</f>
        <v>2.592600799</v>
      </c>
      <c r="AD746" s="30">
        <f>IFERROR(__xludf.DUMMYFUNCTION("""COMPUTED_VALUE"""),1.0517135873970884)</f>
        <v>1.051713587</v>
      </c>
      <c r="AE746" s="30">
        <f>IFERROR(__xludf.DUMMYFUNCTION("""COMPUTED_VALUE"""),1.0768468861116316)</f>
        <v>1.076846886</v>
      </c>
      <c r="AF746" s="30">
        <f>IFERROR(__xludf.DUMMYFUNCTION("""COMPUTED_VALUE"""),0.967159583796338)</f>
        <v>0.9671595838</v>
      </c>
      <c r="AG746" s="30">
        <f>IFERROR(__xludf.DUMMYFUNCTION("""COMPUTED_VALUE"""),1.1423730640318983)</f>
        <v>1.142373064</v>
      </c>
      <c r="AH746" s="30">
        <f>IFERROR(__xludf.DUMMYFUNCTION("""COMPUTED_VALUE"""),1.0799965815458539)</f>
        <v>1.079996582</v>
      </c>
      <c r="AI746" s="30">
        <f>IFERROR(__xludf.DUMMYFUNCTION("""COMPUTED_VALUE"""),0.962810384877675)</f>
        <v>0.9628103849</v>
      </c>
      <c r="AJ746" s="30">
        <f>IFERROR(__xludf.DUMMYFUNCTION("""COMPUTED_VALUE"""),0.9187384053453002)</f>
        <v>0.9187384053</v>
      </c>
      <c r="AK746" s="30">
        <f>IFERROR(__xludf.DUMMYFUNCTION("""COMPUTED_VALUE"""),0.8687714632042066)</f>
        <v>0.8687714632</v>
      </c>
      <c r="AL746" s="30">
        <f>IFERROR(__xludf.DUMMYFUNCTION("""COMPUTED_VALUE"""),1.026553392780788)</f>
        <v>1.026553393</v>
      </c>
      <c r="AM746" s="30">
        <f>IFERROR(__xludf.DUMMYFUNCTION("""COMPUTED_VALUE"""),1.0654093937039217)</f>
        <v>1.065409394</v>
      </c>
      <c r="AN746" s="30">
        <f>IFERROR(__xludf.DUMMYFUNCTION("""COMPUTED_VALUE"""),1.07796619516935)</f>
        <v>1.077966195</v>
      </c>
      <c r="AO746" s="30">
        <f>IFERROR(__xludf.DUMMYFUNCTION("""COMPUTED_VALUE"""),1.1581862280593525)</f>
        <v>1.158186228</v>
      </c>
      <c r="AP746" s="30">
        <f>IFERROR(__xludf.DUMMYFUNCTION("""COMPUTED_VALUE"""),1.0001715562871953)</f>
        <v>1.000171556</v>
      </c>
      <c r="AQ746" s="30">
        <f>IFERROR(__xludf.DUMMYFUNCTION("""COMPUTED_VALUE"""),1.0736319082560464)</f>
        <v>1.073631908</v>
      </c>
      <c r="AR746" s="30">
        <f>IFERROR(__xludf.DUMMYFUNCTION("""COMPUTED_VALUE"""),1.2098741931147674)</f>
        <v>1.209874193</v>
      </c>
      <c r="AS746" s="30">
        <f>IFERROR(__xludf.DUMMYFUNCTION("""COMPUTED_VALUE"""),46.0)</f>
        <v>46</v>
      </c>
      <c r="AT746" s="30">
        <f>IFERROR(__xludf.DUMMYFUNCTION("""COMPUTED_VALUE"""),0.5258557761181006)</f>
        <v>0.5258557761</v>
      </c>
      <c r="AU746" s="30">
        <f>IFERROR(__xludf.DUMMYFUNCTION("""COMPUTED_VALUE"""),2.661501104496726)</f>
        <v>2.661501104</v>
      </c>
      <c r="AV746" s="32">
        <f>IFERROR(__xludf.DUMMYFUNCTION("""COMPUTED_VALUE"""),64.82916297702107)</f>
        <v>64.82916298</v>
      </c>
      <c r="AW746" s="32">
        <f>IFERROR(__xludf.DUMMYFUNCTION("""COMPUTED_VALUE"""),3.616180634910757)</f>
        <v>3.616180635</v>
      </c>
      <c r="AX746" s="32">
        <f>IFERROR(__xludf.DUMMYFUNCTION("""COMPUTED_VALUE"""),53.7748956153604)</f>
        <v>53.77489562</v>
      </c>
      <c r="AY746" s="32">
        <f>IFERROR(__xludf.DUMMYFUNCTION("""COMPUTED_VALUE"""),2.2727814847382506)</f>
        <v>2.272781485</v>
      </c>
      <c r="AZ746" s="30">
        <f>IFERROR(__xludf.DUMMYFUNCTION("""COMPUTED_VALUE"""),1.3433991501725062)</f>
        <v>1.34339915</v>
      </c>
      <c r="BA746" s="30">
        <f>IFERROR(__xludf.DUMMYFUNCTION("""COMPUTED_VALUE"""),2700.0)</f>
        <v>2700</v>
      </c>
    </row>
    <row r="747">
      <c r="A747" s="71" t="str">
        <f>IFERROR(__xludf.DUMMYFUNCTION("""COMPUTED_VALUE"""),"Prospect")</f>
        <v>Prospect</v>
      </c>
      <c r="B747" s="71" t="str">
        <f>IFERROR(__xludf.DUMMYFUNCTION("""COMPUTED_VALUE"""),"RSC007045")</f>
        <v>RSC007045</v>
      </c>
      <c r="C747" s="30" t="str">
        <f>IFERROR(__xludf.DUMMYFUNCTION("""COMPUTED_VALUE"""),"fetty_steve98")</f>
        <v>fetty_steve98</v>
      </c>
      <c r="D747" s="30" t="str">
        <f>IFERROR(__xludf.DUMMYFUNCTION("""COMPUTED_VALUE"""),"Blacktips")</f>
        <v>Blacktips</v>
      </c>
      <c r="E747" s="30">
        <f>IFERROR(__xludf.DUMMYFUNCTION("""COMPUTED_VALUE"""),44.0)</f>
        <v>44</v>
      </c>
      <c r="F747" s="30">
        <f>IFERROR(__xludf.DUMMYFUNCTION("""COMPUTED_VALUE"""),30.0)</f>
        <v>30</v>
      </c>
      <c r="G747" s="42">
        <f>IFERROR(__xludf.DUMMYFUNCTION("""COMPUTED_VALUE"""),14.0)</f>
        <v>14</v>
      </c>
      <c r="H747" s="42">
        <f>IFERROR(__xludf.DUMMYFUNCTION("""COMPUTED_VALUE"""),0.6818181818181818)</f>
        <v>0.6818181818</v>
      </c>
      <c r="I747" s="42">
        <f>IFERROR(__xludf.DUMMYFUNCTION("""COMPUTED_VALUE"""),0.376)</f>
        <v>0.376</v>
      </c>
      <c r="J747" s="30">
        <f>IFERROR(__xludf.DUMMYFUNCTION("""COMPUTED_VALUE"""),399.52272727272725)</f>
        <v>399.5227273</v>
      </c>
      <c r="K747" s="30">
        <f>IFERROR(__xludf.DUMMYFUNCTION("""COMPUTED_VALUE"""),1.0681818181818181)</f>
        <v>1.068181818</v>
      </c>
      <c r="L747" s="30">
        <f>IFERROR(__xludf.DUMMYFUNCTION("""COMPUTED_VALUE"""),0.75)</f>
        <v>0.75</v>
      </c>
      <c r="M747" s="30">
        <f>IFERROR(__xludf.DUMMYFUNCTION("""COMPUTED_VALUE"""),1.1136363636363635)</f>
        <v>1.113636364</v>
      </c>
      <c r="N747" s="30">
        <f>IFERROR(__xludf.DUMMYFUNCTION("""COMPUTED_VALUE"""),2.840909090909091)</f>
        <v>2.840909091</v>
      </c>
      <c r="O747" s="30">
        <f>IFERROR(__xludf.DUMMYFUNCTION("""COMPUTED_VALUE"""),315.65909090909093)</f>
        <v>315.6590909</v>
      </c>
      <c r="P747" s="30">
        <f>IFERROR(__xludf.DUMMYFUNCTION("""COMPUTED_VALUE"""),0.6818181818181819)</f>
        <v>0.6818181818</v>
      </c>
      <c r="Q747" s="30">
        <f>IFERROR(__xludf.DUMMYFUNCTION("""COMPUTED_VALUE"""),0.4469696969696969)</f>
        <v>0.446969697</v>
      </c>
      <c r="R747" s="30">
        <f>IFERROR(__xludf.DUMMYFUNCTION("""COMPUTED_VALUE"""),1.1893939393939392)</f>
        <v>1.189393939</v>
      </c>
      <c r="S747" s="30">
        <f>IFERROR(__xludf.DUMMYFUNCTION("""COMPUTED_VALUE"""),2.181818181818182)</f>
        <v>2.181818182</v>
      </c>
      <c r="T747" s="30">
        <f>IFERROR(__xludf.DUMMYFUNCTION("""COMPUTED_VALUE"""),327.25837057689137)</f>
        <v>327.2583706</v>
      </c>
      <c r="U747" s="30">
        <f>IFERROR(__xludf.DUMMYFUNCTION("""COMPUTED_VALUE"""),0.7364987532601746)</f>
        <v>0.7364987533</v>
      </c>
      <c r="V747" s="30">
        <f>IFERROR(__xludf.DUMMYFUNCTION("""COMPUTED_VALUE"""),0.5102157217228449)</f>
        <v>0.5102157217</v>
      </c>
      <c r="W747" s="30">
        <f>IFERROR(__xludf.DUMMYFUNCTION("""COMPUTED_VALUE"""),1.2086882827816907)</f>
        <v>1.208688283</v>
      </c>
      <c r="X747" s="30">
        <f>IFERROR(__xludf.DUMMYFUNCTION("""COMPUTED_VALUE"""),2.3851213977347485)</f>
        <v>2.385121398</v>
      </c>
      <c r="Y747" s="30">
        <f>IFERROR(__xludf.DUMMYFUNCTION("""COMPUTED_VALUE"""),338.5050010340484)</f>
        <v>338.505001</v>
      </c>
      <c r="Z747" s="30">
        <f>IFERROR(__xludf.DUMMYFUNCTION("""COMPUTED_VALUE"""),0.8084258892553419)</f>
        <v>0.8084258893</v>
      </c>
      <c r="AA747" s="30">
        <f>IFERROR(__xludf.DUMMYFUNCTION("""COMPUTED_VALUE"""),0.536687057643965)</f>
        <v>0.5366870576</v>
      </c>
      <c r="AB747" s="30">
        <f>IFERROR(__xludf.DUMMYFUNCTION("""COMPUTED_VALUE"""),1.1868771246718843)</f>
        <v>1.186877125</v>
      </c>
      <c r="AC747" s="30">
        <f>IFERROR(__xludf.DUMMYFUNCTION("""COMPUTED_VALUE"""),2.511231089474866)</f>
        <v>2.511231089</v>
      </c>
      <c r="AD747" s="30">
        <f>IFERROR(__xludf.DUMMYFUNCTION("""COMPUTED_VALUE"""),1.1802564985813648)</f>
        <v>1.180256499</v>
      </c>
      <c r="AE747" s="30">
        <f>IFERROR(__xludf.DUMMYFUNCTION("""COMPUTED_VALUE"""),1.3213107501613326)</f>
        <v>1.32131075</v>
      </c>
      <c r="AF747" s="30">
        <f>IFERROR(__xludf.DUMMYFUNCTION("""COMPUTED_VALUE"""),1.3974624305129892)</f>
        <v>1.397462431</v>
      </c>
      <c r="AG747" s="30">
        <f>IFERROR(__xludf.DUMMYFUNCTION("""COMPUTED_VALUE"""),0.9382912017486491)</f>
        <v>0.9382912017</v>
      </c>
      <c r="AH747" s="30">
        <f>IFERROR(__xludf.DUMMYFUNCTION("""COMPUTED_VALUE"""),1.131281427191619)</f>
        <v>1.131281427</v>
      </c>
      <c r="AI747" s="30">
        <f>IFERROR(__xludf.DUMMYFUNCTION("""COMPUTED_VALUE"""),0.9645562017333484)</f>
        <v>0.9645562017</v>
      </c>
      <c r="AJ747" s="30">
        <f>IFERROR(__xludf.DUMMYFUNCTION("""COMPUTED_VALUE"""),0.9257560570198599)</f>
        <v>0.925756057</v>
      </c>
      <c r="AK747" s="30">
        <f>IFERROR(__xludf.DUMMYFUNCTION("""COMPUTED_VALUE"""),0.876040619564632)</f>
        <v>0.8760406196</v>
      </c>
      <c r="AL747" s="30">
        <f>IFERROR(__xludf.DUMMYFUNCTION("""COMPUTED_VALUE"""),0.9840369567053738)</f>
        <v>0.9840369567</v>
      </c>
      <c r="AM747" s="30">
        <f>IFERROR(__xludf.DUMMYFUNCTION("""COMPUTED_VALUE"""),0.9147619001239718)</f>
        <v>0.9147619001</v>
      </c>
      <c r="AN747" s="30">
        <f>IFERROR(__xludf.DUMMYFUNCTION("""COMPUTED_VALUE"""),1.242562014431228)</f>
        <v>1.242562014</v>
      </c>
      <c r="AO747" s="30">
        <f>IFERROR(__xludf.DUMMYFUNCTION("""COMPUTED_VALUE"""),1.4554746716253892)</f>
        <v>1.455474672</v>
      </c>
      <c r="AP747" s="30">
        <f>IFERROR(__xludf.DUMMYFUNCTION("""COMPUTED_VALUE"""),1.500257334430793)</f>
        <v>1.500257334</v>
      </c>
      <c r="AQ747" s="30">
        <f>IFERROR(__xludf.DUMMYFUNCTION("""COMPUTED_VALUE"""),0.9565084273553868)</f>
        <v>0.9565084274</v>
      </c>
      <c r="AR747" s="30">
        <f>IFERROR(__xludf.DUMMYFUNCTION("""COMPUTED_VALUE"""),1.22755092645573)</f>
        <v>1.227550926</v>
      </c>
      <c r="AS747" s="30">
        <f>IFERROR(__xludf.DUMMYFUNCTION("""COMPUTED_VALUE"""),125.0)</f>
        <v>125</v>
      </c>
      <c r="AT747" s="30">
        <f>IFERROR(__xludf.DUMMYFUNCTION("""COMPUTED_VALUE"""),0.6266660042125319)</f>
        <v>0.6266660042</v>
      </c>
      <c r="AU747" s="30">
        <f>IFERROR(__xludf.DUMMYFUNCTION("""COMPUTED_VALUE"""),3.4166188370825763)</f>
        <v>3.416618837</v>
      </c>
      <c r="AV747" s="32">
        <f>IFERROR(__xludf.DUMMYFUNCTION("""COMPUTED_VALUE"""),85.26095167023445)</f>
        <v>85.26095167</v>
      </c>
      <c r="AW747" s="32">
        <f>IFERROR(__xludf.DUMMYFUNCTION("""COMPUTED_VALUE"""),12.625435931666356)</f>
        <v>12.62543593</v>
      </c>
      <c r="AX747" s="32">
        <f>IFERROR(__xludf.DUMMYFUNCTION("""COMPUTED_VALUE"""),83.92854214322749)</f>
        <v>83.92854214</v>
      </c>
      <c r="AY747" s="32">
        <f>IFERROR(__xludf.DUMMYFUNCTION("""COMPUTED_VALUE"""),11.445825497040156)</f>
        <v>11.4458255</v>
      </c>
      <c r="AZ747" s="30">
        <f>IFERROR(__xludf.DUMMYFUNCTION("""COMPUTED_VALUE"""),1.1796104346262002)</f>
        <v>1.179610435</v>
      </c>
      <c r="BA747" s="30">
        <f>IFERROR(__xludf.DUMMYFUNCTION("""COMPUTED_VALUE"""),2700.0)</f>
        <v>2700</v>
      </c>
    </row>
    <row r="748">
      <c r="A748" s="71" t="str">
        <f>IFERROR(__xludf.DUMMYFUNCTION("""COMPUTED_VALUE"""),"Prospect")</f>
        <v>Prospect</v>
      </c>
      <c r="B748" s="71" t="str">
        <f>IFERROR(__xludf.DUMMYFUNCTION("""COMPUTED_VALUE"""),"RSC007851")</f>
        <v>RSC007851</v>
      </c>
      <c r="C748" s="30" t="str">
        <f>IFERROR(__xludf.DUMMYFUNCTION("""COMPUTED_VALUE"""),"Carridripdrip")</f>
        <v>Carridripdrip</v>
      </c>
      <c r="D748" s="30" t="str">
        <f>IFERROR(__xludf.DUMMYFUNCTION("""COMPUTED_VALUE"""),"Undead")</f>
        <v>Undead</v>
      </c>
      <c r="E748" s="30">
        <f>IFERROR(__xludf.DUMMYFUNCTION("""COMPUTED_VALUE"""),39.0)</f>
        <v>39</v>
      </c>
      <c r="F748" s="30">
        <f>IFERROR(__xludf.DUMMYFUNCTION("""COMPUTED_VALUE"""),14.0)</f>
        <v>14</v>
      </c>
      <c r="G748" s="42">
        <f>IFERROR(__xludf.DUMMYFUNCTION("""COMPUTED_VALUE"""),25.0)</f>
        <v>25</v>
      </c>
      <c r="H748" s="42">
        <f>IFERROR(__xludf.DUMMYFUNCTION("""COMPUTED_VALUE"""),0.358974358974359)</f>
        <v>0.358974359</v>
      </c>
      <c r="I748" s="42">
        <f>IFERROR(__xludf.DUMMYFUNCTION("""COMPUTED_VALUE"""),0.28750000000000003)</f>
        <v>0.2875</v>
      </c>
      <c r="J748" s="30">
        <f>IFERROR(__xludf.DUMMYFUNCTION("""COMPUTED_VALUE"""),326.3076923076923)</f>
        <v>326.3076923</v>
      </c>
      <c r="K748" s="30">
        <f>IFERROR(__xludf.DUMMYFUNCTION("""COMPUTED_VALUE"""),0.5897435897435898)</f>
        <v>0.5897435897</v>
      </c>
      <c r="L748" s="30">
        <f>IFERROR(__xludf.DUMMYFUNCTION("""COMPUTED_VALUE"""),0.41025641025641024)</f>
        <v>0.4102564103</v>
      </c>
      <c r="M748" s="30">
        <f>IFERROR(__xludf.DUMMYFUNCTION("""COMPUTED_VALUE"""),1.3846153846153846)</f>
        <v>1.384615385</v>
      </c>
      <c r="N748" s="30">
        <f>IFERROR(__xludf.DUMMYFUNCTION("""COMPUTED_VALUE"""),2.051282051282051)</f>
        <v>2.051282051</v>
      </c>
      <c r="O748" s="30">
        <f>IFERROR(__xludf.DUMMYFUNCTION("""COMPUTED_VALUE"""),355.0512820512821)</f>
        <v>355.0512821</v>
      </c>
      <c r="P748" s="30">
        <f>IFERROR(__xludf.DUMMYFUNCTION("""COMPUTED_VALUE"""),0.9401709401709399)</f>
        <v>0.9401709402</v>
      </c>
      <c r="Q748" s="30">
        <f>IFERROR(__xludf.DUMMYFUNCTION("""COMPUTED_VALUE"""),0.623931623931624)</f>
        <v>0.6239316239</v>
      </c>
      <c r="R748" s="30">
        <f>IFERROR(__xludf.DUMMYFUNCTION("""COMPUTED_VALUE"""),1.1111111111111112)</f>
        <v>1.111111111</v>
      </c>
      <c r="S748" s="30">
        <f>IFERROR(__xludf.DUMMYFUNCTION("""COMPUTED_VALUE"""),2.6324786324786325)</f>
        <v>2.632478632</v>
      </c>
      <c r="T748" s="30">
        <f>IFERROR(__xludf.DUMMYFUNCTION("""COMPUTED_VALUE"""),341.32549814184864)</f>
        <v>341.3254981</v>
      </c>
      <c r="U748" s="30">
        <f>IFERROR(__xludf.DUMMYFUNCTION("""COMPUTED_VALUE"""),0.8320439246632207)</f>
        <v>0.8320439247</v>
      </c>
      <c r="V748" s="30">
        <f>IFERROR(__xludf.DUMMYFUNCTION("""COMPUTED_VALUE"""),0.5151822778958101)</f>
        <v>0.5151822779</v>
      </c>
      <c r="W748" s="30">
        <f>IFERROR(__xludf.DUMMYFUNCTION("""COMPUTED_VALUE"""),1.228354244961691)</f>
        <v>1.228354245</v>
      </c>
      <c r="X748" s="30">
        <f>IFERROR(__xludf.DUMMYFUNCTION("""COMPUTED_VALUE"""),2.541375047284394)</f>
        <v>2.541375047</v>
      </c>
      <c r="Y748" s="30">
        <f>IFERROR(__xludf.DUMMYFUNCTION("""COMPUTED_VALUE"""),332.95793404161367)</f>
        <v>332.957934</v>
      </c>
      <c r="Z748" s="30">
        <f>IFERROR(__xludf.DUMMYFUNCTION("""COMPUTED_VALUE"""),0.7740536141874924)</f>
        <v>0.7740536142</v>
      </c>
      <c r="AA748" s="30">
        <f>IFERROR(__xludf.DUMMYFUNCTION("""COMPUTED_VALUE"""),0.5215998699837382)</f>
        <v>0.52159987</v>
      </c>
      <c r="AB748" s="30">
        <f>IFERROR(__xludf.DUMMYFUNCTION("""COMPUTED_VALUE"""),1.204170060501831)</f>
        <v>1.204170061</v>
      </c>
      <c r="AC748" s="30">
        <f>IFERROR(__xludf.DUMMYFUNCTION("""COMPUTED_VALUE"""),2.4068403024321996)</f>
        <v>2.406840302</v>
      </c>
      <c r="AD748" s="30">
        <f>IFERROR(__xludf.DUMMYFUNCTION("""COMPUTED_VALUE"""),0.9800267810014397)</f>
        <v>0.980026781</v>
      </c>
      <c r="AE748" s="30">
        <f>IFERROR(__xludf.DUMMYFUNCTION("""COMPUTED_VALUE"""),0.7618898470781394)</f>
        <v>0.7618898471</v>
      </c>
      <c r="AF748" s="30">
        <f>IFERROR(__xludf.DUMMYFUNCTION("""COMPUTED_VALUE"""),0.7865347249208492)</f>
        <v>0.7865347249</v>
      </c>
      <c r="AG748" s="30">
        <f>IFERROR(__xludf.DUMMYFUNCTION("""COMPUTED_VALUE"""),1.149850365851443)</f>
        <v>1.149850366</v>
      </c>
      <c r="AH748" s="30">
        <f>IFERROR(__xludf.DUMMYFUNCTION("""COMPUTED_VALUE"""),0.8522717727508369)</f>
        <v>0.8522717728</v>
      </c>
      <c r="AI748" s="30">
        <f>IFERROR(__xludf.DUMMYFUNCTION("""COMPUTED_VALUE"""),1.0402131806271597)</f>
        <v>1.040213181</v>
      </c>
      <c r="AJ748" s="30">
        <f>IFERROR(__xludf.DUMMYFUNCTION("""COMPUTED_VALUE"""),1.1299534944041383)</f>
        <v>1.129953494</v>
      </c>
      <c r="AK748" s="30">
        <f>IFERROR(__xludf.DUMMYFUNCTION("""COMPUTED_VALUE"""),1.2110890663397536)</f>
        <v>1.211089066</v>
      </c>
      <c r="AL748" s="30">
        <f>IFERROR(__xludf.DUMMYFUNCTION("""COMPUTED_VALUE"""),0.9045526692878109)</f>
        <v>0.9045526693</v>
      </c>
      <c r="AM748" s="30">
        <f>IFERROR(__xludf.DUMMYFUNCTION("""COMPUTED_VALUE"""),1.0358481465738745)</f>
        <v>1.035848147</v>
      </c>
      <c r="AN748" s="30">
        <f>IFERROR(__xludf.DUMMYFUNCTION("""COMPUTED_VALUE"""),1.0148547649492614)</f>
        <v>1.014854765</v>
      </c>
      <c r="AO748" s="30">
        <f>IFERROR(__xludf.DUMMYFUNCTION("""COMPUTED_VALUE"""),0.8035681220321299)</f>
        <v>0.803568122</v>
      </c>
      <c r="AP748" s="30">
        <f>IFERROR(__xludf.DUMMYFUNCTION("""COMPUTED_VALUE"""),0.8206535846459039)</f>
        <v>0.8206535846</v>
      </c>
      <c r="AQ748" s="30">
        <f>IFERROR(__xludf.DUMMYFUNCTION("""COMPUTED_VALUE"""),1.189253806068236)</f>
        <v>1.189253806</v>
      </c>
      <c r="AR748" s="30">
        <f>IFERROR(__xludf.DUMMYFUNCTION("""COMPUTED_VALUE"""),0.8863547202305988)</f>
        <v>0.8863547202</v>
      </c>
      <c r="AS748" s="30">
        <f>IFERROR(__xludf.DUMMYFUNCTION("""COMPUTED_VALUE"""),72.0)</f>
        <v>72</v>
      </c>
      <c r="AT748" s="30">
        <f>IFERROR(__xludf.DUMMYFUNCTION("""COMPUTED_VALUE"""),0.3408636412472593)</f>
        <v>0.3408636412</v>
      </c>
      <c r="AU748" s="30">
        <f>IFERROR(__xludf.DUMMYFUNCTION("""COMPUTED_VALUE"""),1.587944410520822)</f>
        <v>1.587944411</v>
      </c>
      <c r="AV748" s="32">
        <f>IFERROR(__xludf.DUMMYFUNCTION("""COMPUTED_VALUE"""),35.78113169005006)</f>
        <v>35.78113169</v>
      </c>
      <c r="AW748" s="32">
        <f>IFERROR(__xludf.DUMMYFUNCTION("""COMPUTED_VALUE"""),-3.5117131514004196)</f>
        <v>-3.511713151</v>
      </c>
      <c r="AX748" s="32">
        <f>IFERROR(__xludf.DUMMYFUNCTION("""COMPUTED_VALUE"""),44.43992608623704)</f>
        <v>44.43992609</v>
      </c>
      <c r="AY748" s="32">
        <f>IFERROR(__xludf.DUMMYFUNCTION("""COMPUTED_VALUE"""),-2.42718384608752)</f>
        <v>-2.427183846</v>
      </c>
      <c r="AZ748" s="30">
        <f>IFERROR(__xludf.DUMMYFUNCTION("""COMPUTED_VALUE"""),1.0845293053128997)</f>
        <v>1.084529305</v>
      </c>
      <c r="BA748" s="30">
        <f>IFERROR(__xludf.DUMMYFUNCTION("""COMPUTED_VALUE"""),2700.0)</f>
        <v>2700</v>
      </c>
    </row>
    <row r="749">
      <c r="A749" s="71" t="str">
        <f>IFERROR(__xludf.DUMMYFUNCTION("""COMPUTED_VALUE"""),"Prospect")</f>
        <v>Prospect</v>
      </c>
      <c r="B749" s="71" t="str">
        <f>IFERROR(__xludf.DUMMYFUNCTION("""COMPUTED_VALUE"""),"RSC006308")</f>
        <v>RSC006308</v>
      </c>
      <c r="C749" s="30" t="str">
        <f>IFERROR(__xludf.DUMMYFUNCTION("""COMPUTED_VALUE"""),"SqueezySponge_")</f>
        <v>SqueezySponge_</v>
      </c>
      <c r="D749" s="30" t="str">
        <f>IFERROR(__xludf.DUMMYFUNCTION("""COMPUTED_VALUE"""),"Hawaiian Pizza")</f>
        <v>Hawaiian Pizza</v>
      </c>
      <c r="E749" s="30">
        <f>IFERROR(__xludf.DUMMYFUNCTION("""COMPUTED_VALUE"""),43.0)</f>
        <v>43</v>
      </c>
      <c r="F749" s="30">
        <f>IFERROR(__xludf.DUMMYFUNCTION("""COMPUTED_VALUE"""),25.0)</f>
        <v>25</v>
      </c>
      <c r="G749" s="42">
        <f>IFERROR(__xludf.DUMMYFUNCTION("""COMPUTED_VALUE"""),18.0)</f>
        <v>18</v>
      </c>
      <c r="H749" s="42">
        <f>IFERROR(__xludf.DUMMYFUNCTION("""COMPUTED_VALUE"""),0.5813953488372093)</f>
        <v>0.5813953488</v>
      </c>
      <c r="I749" s="42">
        <f>IFERROR(__xludf.DUMMYFUNCTION("""COMPUTED_VALUE"""),0.3305084745762712)</f>
        <v>0.3305084746</v>
      </c>
      <c r="J749" s="30">
        <f>IFERROR(__xludf.DUMMYFUNCTION("""COMPUTED_VALUE"""),346.3255813953488)</f>
        <v>346.3255814</v>
      </c>
      <c r="K749" s="30">
        <f>IFERROR(__xludf.DUMMYFUNCTION("""COMPUTED_VALUE"""),0.9069767441860465)</f>
        <v>0.9069767442</v>
      </c>
      <c r="L749" s="30">
        <f>IFERROR(__xludf.DUMMYFUNCTION("""COMPUTED_VALUE"""),0.5581395348837209)</f>
        <v>0.5581395349</v>
      </c>
      <c r="M749" s="30">
        <f>IFERROR(__xludf.DUMMYFUNCTION("""COMPUTED_VALUE"""),1.1395348837209303)</f>
        <v>1.139534884</v>
      </c>
      <c r="N749" s="30">
        <f>IFERROR(__xludf.DUMMYFUNCTION("""COMPUTED_VALUE"""),2.744186046511628)</f>
        <v>2.744186047</v>
      </c>
      <c r="O749" s="30">
        <f>IFERROR(__xludf.DUMMYFUNCTION("""COMPUTED_VALUE"""),307.7054263565892)</f>
        <v>307.7054264</v>
      </c>
      <c r="P749" s="30">
        <f>IFERROR(__xludf.DUMMYFUNCTION("""COMPUTED_VALUE"""),0.6744186046511627)</f>
        <v>0.6744186047</v>
      </c>
      <c r="Q749" s="30">
        <f>IFERROR(__xludf.DUMMYFUNCTION("""COMPUTED_VALUE"""),0.4883720930232558)</f>
        <v>0.488372093</v>
      </c>
      <c r="R749" s="30">
        <f>IFERROR(__xludf.DUMMYFUNCTION("""COMPUTED_VALUE"""),1.046511627906977)</f>
        <v>1.046511628</v>
      </c>
      <c r="S749" s="30">
        <f>IFERROR(__xludf.DUMMYFUNCTION("""COMPUTED_VALUE"""),2.2325581395348837)</f>
        <v>2.23255814</v>
      </c>
      <c r="T749" s="30">
        <f>IFERROR(__xludf.DUMMYFUNCTION("""COMPUTED_VALUE"""),331.0952360486815)</f>
        <v>331.095236</v>
      </c>
      <c r="U749" s="30">
        <f>IFERROR(__xludf.DUMMYFUNCTION("""COMPUTED_VALUE"""),0.766326137609344)</f>
        <v>0.7663261376</v>
      </c>
      <c r="V749" s="30">
        <f>IFERROR(__xludf.DUMMYFUNCTION("""COMPUTED_VALUE"""),0.5234055835151787)</f>
        <v>0.5234055835</v>
      </c>
      <c r="W749" s="30">
        <f>IFERROR(__xludf.DUMMYFUNCTION("""COMPUTED_VALUE"""),1.1637027605116097)</f>
        <v>1.163702761</v>
      </c>
      <c r="X749" s="30">
        <f>IFERROR(__xludf.DUMMYFUNCTION("""COMPUTED_VALUE"""),2.35767213665264)</f>
        <v>2.357672137</v>
      </c>
      <c r="Y749" s="30">
        <f>IFERROR(__xludf.DUMMYFUNCTION("""COMPUTED_VALUE"""),337.57673238214994)</f>
        <v>337.5767324</v>
      </c>
      <c r="Z749" s="30">
        <f>IFERROR(__xludf.DUMMYFUNCTION("""COMPUTED_VALUE"""),0.8353719749992289)</f>
        <v>0.835371975</v>
      </c>
      <c r="AA749" s="30">
        <f>IFERROR(__xludf.DUMMYFUNCTION("""COMPUTED_VALUE"""),0.5496882853632431)</f>
        <v>0.5496882854</v>
      </c>
      <c r="AB749" s="30">
        <f>IFERROR(__xludf.DUMMYFUNCTION("""COMPUTED_VALUE"""),1.162971293759556)</f>
        <v>1.162971294</v>
      </c>
      <c r="AC749" s="30">
        <f>IFERROR(__xludf.DUMMYFUNCTION("""COMPUTED_VALUE"""),2.457449177544903)</f>
        <v>2.457449178</v>
      </c>
      <c r="AD749" s="30">
        <f>IFERROR(__xludf.DUMMYFUNCTION("""COMPUTED_VALUE"""),1.025916623315421)</f>
        <v>1.025916623</v>
      </c>
      <c r="AE749" s="30">
        <f>IFERROR(__xludf.DUMMYFUNCTION("""COMPUTED_VALUE"""),1.0857160299001936)</f>
        <v>1.08571603</v>
      </c>
      <c r="AF749" s="30">
        <f>IFERROR(__xludf.DUMMYFUNCTION("""COMPUTED_VALUE"""),1.0153746218457123)</f>
        <v>1.015374622</v>
      </c>
      <c r="AG749" s="30">
        <f>IFERROR(__xludf.DUMMYFUNCTION("""COMPUTED_VALUE"""),0.9798478172553491)</f>
        <v>0.9798478173</v>
      </c>
      <c r="AH749" s="30">
        <f>IFERROR(__xludf.DUMMYFUNCTION("""COMPUTED_VALUE"""),1.1166806913391336)</f>
        <v>1.116680691</v>
      </c>
      <c r="AI749" s="30">
        <f>IFERROR(__xludf.DUMMYFUNCTION("""COMPUTED_VALUE"""),0.9293562481561853)</f>
        <v>0.9293562482</v>
      </c>
      <c r="AJ749" s="30">
        <f>IFERROR(__xludf.DUMMYFUNCTION("""COMPUTED_VALUE"""),0.8800673388945089)</f>
        <v>0.8800673389</v>
      </c>
      <c r="AK749" s="30">
        <f>IFERROR(__xludf.DUMMYFUNCTION("""COMPUTED_VALUE"""),0.9330662652533454)</f>
        <v>0.9330662653</v>
      </c>
      <c r="AL749" s="30">
        <f>IFERROR(__xludf.DUMMYFUNCTION("""COMPUTED_VALUE"""),0.8992946166484036)</f>
        <v>0.8992946166</v>
      </c>
      <c r="AM749" s="30">
        <f>IFERROR(__xludf.DUMMYFUNCTION("""COMPUTED_VALUE"""),0.94693325031385)</f>
        <v>0.9469332503</v>
      </c>
      <c r="AN749" s="30">
        <f>IFERROR(__xludf.DUMMYFUNCTION("""COMPUTED_VALUE"""),1.0771127214845848)</f>
        <v>1.077112721</v>
      </c>
      <c r="AO749" s="30">
        <f>IFERROR(__xludf.DUMMYFUNCTION("""COMPUTED_VALUE"""),1.2358211462192816)</f>
        <v>1.235821146</v>
      </c>
      <c r="AP749" s="30">
        <f>IFERROR(__xludf.DUMMYFUNCTION("""COMPUTED_VALUE"""),1.116470574460125)</f>
        <v>1.116470574</v>
      </c>
      <c r="AQ749" s="30">
        <f>IFERROR(__xludf.DUMMYFUNCTION("""COMPUTED_VALUE"""),0.9787528093869075)</f>
        <v>0.9787528094</v>
      </c>
      <c r="AR749" s="30">
        <f>IFERROR(__xludf.DUMMYFUNCTION("""COMPUTED_VALUE"""),1.185757099564307)</f>
        <v>1.1857571</v>
      </c>
      <c r="AS749" s="30">
        <f>IFERROR(__xludf.DUMMYFUNCTION("""COMPUTED_VALUE"""),115.0)</f>
        <v>115</v>
      </c>
      <c r="AT749" s="30">
        <f>IFERROR(__xludf.DUMMYFUNCTION("""COMPUTED_VALUE"""),0.607062858286702)</f>
        <v>0.6070628583</v>
      </c>
      <c r="AU749" s="30">
        <f>IFERROR(__xludf.DUMMYFUNCTION("""COMPUTED_VALUE"""),2.7920011114394883)</f>
        <v>2.792001111</v>
      </c>
      <c r="AV749" s="32">
        <f>IFERROR(__xludf.DUMMYFUNCTION("""COMPUTED_VALUE"""),68.36019986207299)</f>
        <v>68.36019986</v>
      </c>
      <c r="AW749" s="32">
        <f>IFERROR(__xludf.DUMMYFUNCTION("""COMPUTED_VALUE"""),4.322454072120615)</f>
        <v>4.322454072</v>
      </c>
      <c r="AX749" s="32">
        <f>IFERROR(__xludf.DUMMYFUNCTION("""COMPUTED_VALUE"""),62.596458796449824)</f>
        <v>62.5964588</v>
      </c>
      <c r="AY749" s="32">
        <f>IFERROR(__xludf.DUMMYFUNCTION("""COMPUTED_VALUE"""),3.2554154037145326)</f>
        <v>3.255415404</v>
      </c>
      <c r="AZ749" s="30">
        <f>IFERROR(__xludf.DUMMYFUNCTION("""COMPUTED_VALUE"""),1.0670386684060822)</f>
        <v>1.067038668</v>
      </c>
      <c r="BA749" s="30">
        <f>IFERROR(__xludf.DUMMYFUNCTION("""COMPUTED_VALUE"""),2700.0)</f>
        <v>2700</v>
      </c>
    </row>
    <row r="750">
      <c r="A750" s="71" t="str">
        <f>IFERROR(__xludf.DUMMYFUNCTION("""COMPUTED_VALUE"""),"Prospect")</f>
        <v>Prospect</v>
      </c>
      <c r="B750" s="71" t="str">
        <f>IFERROR(__xludf.DUMMYFUNCTION("""COMPUTED_VALUE"""),"RSC006569")</f>
        <v>RSC006569</v>
      </c>
      <c r="C750" s="30" t="str">
        <f>IFERROR(__xludf.DUMMYFUNCTION("""COMPUTED_VALUE"""),"mulliganisoup")</f>
        <v>mulliganisoup</v>
      </c>
      <c r="D750" s="30" t="str">
        <f>IFERROR(__xludf.DUMMYFUNCTION("""COMPUTED_VALUE"""),"Poppy")</f>
        <v>Poppy</v>
      </c>
      <c r="E750" s="30">
        <f>IFERROR(__xludf.DUMMYFUNCTION("""COMPUTED_VALUE"""),13.0)</f>
        <v>13</v>
      </c>
      <c r="F750" s="30">
        <f>IFERROR(__xludf.DUMMYFUNCTION("""COMPUTED_VALUE"""),4.0)</f>
        <v>4</v>
      </c>
      <c r="G750" s="42">
        <f>IFERROR(__xludf.DUMMYFUNCTION("""COMPUTED_VALUE"""),9.0)</f>
        <v>9</v>
      </c>
      <c r="H750" s="42">
        <f>IFERROR(__xludf.DUMMYFUNCTION("""COMPUTED_VALUE"""),0.3076923076923077)</f>
        <v>0.3076923077</v>
      </c>
      <c r="I750" s="42">
        <f>IFERROR(__xludf.DUMMYFUNCTION("""COMPUTED_VALUE"""),0.2692307692307692)</f>
        <v>0.2692307692</v>
      </c>
      <c r="J750" s="30">
        <f>IFERROR(__xludf.DUMMYFUNCTION("""COMPUTED_VALUE"""),313.53846153846155)</f>
        <v>313.5384615</v>
      </c>
      <c r="K750" s="30">
        <f>IFERROR(__xludf.DUMMYFUNCTION("""COMPUTED_VALUE"""),0.5384615384615384)</f>
        <v>0.5384615385</v>
      </c>
      <c r="L750" s="30">
        <f>IFERROR(__xludf.DUMMYFUNCTION("""COMPUTED_VALUE"""),0.5384615384615384)</f>
        <v>0.5384615385</v>
      </c>
      <c r="M750" s="30">
        <f>IFERROR(__xludf.DUMMYFUNCTION("""COMPUTED_VALUE"""),1.4615384615384615)</f>
        <v>1.461538462</v>
      </c>
      <c r="N750" s="30">
        <f>IFERROR(__xludf.DUMMYFUNCTION("""COMPUTED_VALUE"""),2.0)</f>
        <v>2</v>
      </c>
      <c r="O750" s="30">
        <f>IFERROR(__xludf.DUMMYFUNCTION("""COMPUTED_VALUE"""),358.7435897435897)</f>
        <v>358.7435897</v>
      </c>
      <c r="P750" s="30">
        <f>IFERROR(__xludf.DUMMYFUNCTION("""COMPUTED_VALUE"""),0.9743589743589743)</f>
        <v>0.9743589744</v>
      </c>
      <c r="Q750" s="30">
        <f>IFERROR(__xludf.DUMMYFUNCTION("""COMPUTED_VALUE"""),0.5641025641025641)</f>
        <v>0.5641025641</v>
      </c>
      <c r="R750" s="30">
        <f>IFERROR(__xludf.DUMMYFUNCTION("""COMPUTED_VALUE"""),0.9743589743589742)</f>
        <v>0.9743589744</v>
      </c>
      <c r="S750" s="30">
        <f>IFERROR(__xludf.DUMMYFUNCTION("""COMPUTED_VALUE"""),3.17948717948718)</f>
        <v>3.179487179</v>
      </c>
      <c r="T750" s="30">
        <f>IFERROR(__xludf.DUMMYFUNCTION("""COMPUTED_VALUE"""),341.5298334390725)</f>
        <v>341.5298334</v>
      </c>
      <c r="U750" s="30">
        <f>IFERROR(__xludf.DUMMYFUNCTION("""COMPUTED_VALUE"""),0.8592977348412132)</f>
        <v>0.8592977348</v>
      </c>
      <c r="V750" s="30">
        <f>IFERROR(__xludf.DUMMYFUNCTION("""COMPUTED_VALUE"""),0.592332726571857)</f>
        <v>0.5923327266</v>
      </c>
      <c r="W750" s="30">
        <f>IFERROR(__xludf.DUMMYFUNCTION("""COMPUTED_VALUE"""),1.0953008811704465)</f>
        <v>1.095300881</v>
      </c>
      <c r="X750" s="30">
        <f>IFERROR(__xludf.DUMMYFUNCTION("""COMPUTED_VALUE"""),2.666968087076783)</f>
        <v>2.666968087</v>
      </c>
      <c r="Y750" s="30">
        <f>IFERROR(__xludf.DUMMYFUNCTION("""COMPUTED_VALUE"""),332.9003821364329)</f>
        <v>332.9003821</v>
      </c>
      <c r="Z750" s="30">
        <f>IFERROR(__xludf.DUMMYFUNCTION("""COMPUTED_VALUE"""),0.7453321976872702)</f>
        <v>0.7453321977</v>
      </c>
      <c r="AA750" s="30">
        <f>IFERROR(__xludf.DUMMYFUNCTION("""COMPUTED_VALUE"""),0.5132253617760865)</f>
        <v>0.5132253618</v>
      </c>
      <c r="AB750" s="30">
        <f>IFERROR(__xludf.DUMMYFUNCTION("""COMPUTED_VALUE"""),1.2937253152832864)</f>
        <v>1.293725315</v>
      </c>
      <c r="AC750" s="30">
        <f>IFERROR(__xludf.DUMMYFUNCTION("""COMPUTED_VALUE"""),2.2419206306887465)</f>
        <v>2.241920631</v>
      </c>
      <c r="AD750" s="30">
        <f>IFERROR(__xludf.DUMMYFUNCTION("""COMPUTED_VALUE"""),0.9418386951864891)</f>
        <v>0.9418386952</v>
      </c>
      <c r="AE750" s="30">
        <f>IFERROR(__xludf.DUMMYFUNCTION("""COMPUTED_VALUE"""),0.7224450253623265)</f>
        <v>0.7224450254</v>
      </c>
      <c r="AF750" s="30">
        <f>IFERROR(__xludf.DUMMYFUNCTION("""COMPUTED_VALUE"""),1.0491717256491744)</f>
        <v>1.049171726</v>
      </c>
      <c r="AG750" s="30">
        <f>IFERROR(__xludf.DUMMYFUNCTION("""COMPUTED_VALUE"""),1.1297131193714247)</f>
        <v>1.129713119</v>
      </c>
      <c r="AH750" s="30">
        <f>IFERROR(__xludf.DUMMYFUNCTION("""COMPUTED_VALUE"""),0.8920922411894548)</f>
        <v>0.8920922412</v>
      </c>
      <c r="AI750" s="30">
        <f>IFERROR(__xludf.DUMMYFUNCTION("""COMPUTED_VALUE"""),1.0504019111044602)</f>
        <v>1.050401911</v>
      </c>
      <c r="AJ750" s="30">
        <f>IFERROR(__xludf.DUMMYFUNCTION("""COMPUTED_VALUE"""),1.1339014812357475)</f>
        <v>1.133901481</v>
      </c>
      <c r="AK750" s="30">
        <f>IFERROR(__xludf.DUMMYFUNCTION("""COMPUTED_VALUE"""),0.9523407010909632)</f>
        <v>0.9523407011</v>
      </c>
      <c r="AL750" s="30">
        <f>IFERROR(__xludf.DUMMYFUNCTION("""COMPUTED_VALUE"""),0.8895811106421891)</f>
        <v>0.8895811106</v>
      </c>
      <c r="AM750" s="30">
        <f>IFERROR(__xludf.DUMMYFUNCTION("""COMPUTED_VALUE"""),1.192172937836748)</f>
        <v>1.192172938</v>
      </c>
      <c r="AN750" s="30">
        <f>IFERROR(__xludf.DUMMYFUNCTION("""COMPUTED_VALUE"""),0.9751409764104643)</f>
        <v>0.9751409764</v>
      </c>
      <c r="AO750" s="30">
        <f>IFERROR(__xludf.DUMMYFUNCTION("""COMPUTED_VALUE"""),0.7336926331597707)</f>
        <v>0.7336926332</v>
      </c>
      <c r="AP750" s="30">
        <f>IFERROR(__xludf.DUMMYFUNCTION("""COMPUTED_VALUE"""),1.0771078298477488)</f>
        <v>1.07710783</v>
      </c>
      <c r="AQ750" s="30">
        <f>IFERROR(__xludf.DUMMYFUNCTION("""COMPUTED_VALUE"""),1.2553234619609157)</f>
        <v>1.255323462</v>
      </c>
      <c r="AR750" s="30">
        <f>IFERROR(__xludf.DUMMYFUNCTION("""COMPUTED_VALUE"""),0.8641958522248339)</f>
        <v>0.8641958522</v>
      </c>
      <c r="AS750" s="30">
        <f>IFERROR(__xludf.DUMMYFUNCTION("""COMPUTED_VALUE"""),20.0)</f>
        <v>20</v>
      </c>
      <c r="AT750" s="30">
        <f>IFERROR(__xludf.DUMMYFUNCTION("""COMPUTED_VALUE"""),0.2717202385663006)</f>
        <v>0.2717202386</v>
      </c>
      <c r="AU750" s="30">
        <f>IFERROR(__xludf.DUMMYFUNCTION("""COMPUTED_VALUE"""),1.6656478657795928)</f>
        <v>1.665647866</v>
      </c>
      <c r="AV750" s="32">
        <f>IFERROR(__xludf.DUMMYFUNCTION("""COMPUTED_VALUE"""),37.88361254842305)</f>
        <v>37.88361255</v>
      </c>
      <c r="AW750" s="32">
        <f>IFERROR(__xludf.DUMMYFUNCTION("""COMPUTED_VALUE"""),-3.1851153751252923)</f>
        <v>-3.185115375</v>
      </c>
      <c r="AX750" s="32">
        <f>IFERROR(__xludf.DUMMYFUNCTION("""COMPUTED_VALUE"""),32.53170147819431)</f>
        <v>32.53170148</v>
      </c>
      <c r="AY750" s="32">
        <f>IFERROR(__xludf.DUMMYFUNCTION("""COMPUTED_VALUE"""),-4.1260970860730355)</f>
        <v>-4.126097086</v>
      </c>
      <c r="AZ750" s="30">
        <f>IFERROR(__xludf.DUMMYFUNCTION("""COMPUTED_VALUE"""),0.9409817109477432)</f>
        <v>0.9409817109</v>
      </c>
      <c r="BA750" s="30">
        <f>IFERROR(__xludf.DUMMYFUNCTION("""COMPUTED_VALUE"""),2700.0)</f>
        <v>2700</v>
      </c>
    </row>
    <row r="751">
      <c r="A751" s="71" t="str">
        <f>IFERROR(__xludf.DUMMYFUNCTION("""COMPUTED_VALUE"""),"Prospect")</f>
        <v>Prospect</v>
      </c>
      <c r="B751" s="71" t="str">
        <f>IFERROR(__xludf.DUMMYFUNCTION("""COMPUTED_VALUE"""),"RSC002796")</f>
        <v>RSC002796</v>
      </c>
      <c r="C751" s="30" t="str">
        <f>IFERROR(__xludf.DUMMYFUNCTION("""COMPUTED_VALUE"""),"Carno")</f>
        <v>Carno</v>
      </c>
      <c r="D751" s="30" t="str">
        <f>IFERROR(__xludf.DUMMYFUNCTION("""COMPUTED_VALUE"""),"Undead")</f>
        <v>Undead</v>
      </c>
      <c r="E751" s="30">
        <f>IFERROR(__xludf.DUMMYFUNCTION("""COMPUTED_VALUE"""),41.0)</f>
        <v>41</v>
      </c>
      <c r="F751" s="30">
        <f>IFERROR(__xludf.DUMMYFUNCTION("""COMPUTED_VALUE"""),12.0)</f>
        <v>12</v>
      </c>
      <c r="G751" s="42">
        <f>IFERROR(__xludf.DUMMYFUNCTION("""COMPUTED_VALUE"""),29.0)</f>
        <v>29</v>
      </c>
      <c r="H751" s="42">
        <f>IFERROR(__xludf.DUMMYFUNCTION("""COMPUTED_VALUE"""),0.2926829268292683)</f>
        <v>0.2926829268</v>
      </c>
      <c r="I751" s="42">
        <f>IFERROR(__xludf.DUMMYFUNCTION("""COMPUTED_VALUE"""),0.3026315789473684)</f>
        <v>0.3026315789</v>
      </c>
      <c r="J751" s="30">
        <f>IFERROR(__xludf.DUMMYFUNCTION("""COMPUTED_VALUE"""),272.8048780487805)</f>
        <v>272.804878</v>
      </c>
      <c r="K751" s="30">
        <f>IFERROR(__xludf.DUMMYFUNCTION("""COMPUTED_VALUE"""),0.5609756097560976)</f>
        <v>0.5609756098</v>
      </c>
      <c r="L751" s="30">
        <f>IFERROR(__xludf.DUMMYFUNCTION("""COMPUTED_VALUE"""),0.34146341463414637)</f>
        <v>0.3414634146</v>
      </c>
      <c r="M751" s="30">
        <f>IFERROR(__xludf.DUMMYFUNCTION("""COMPUTED_VALUE"""),1.048780487804878)</f>
        <v>1.048780488</v>
      </c>
      <c r="N751" s="30">
        <f>IFERROR(__xludf.DUMMYFUNCTION("""COMPUTED_VALUE"""),1.853658536585366)</f>
        <v>1.853658537</v>
      </c>
      <c r="O751" s="30">
        <f>IFERROR(__xludf.DUMMYFUNCTION("""COMPUTED_VALUE"""),356.04878048780495)</f>
        <v>356.0487805</v>
      </c>
      <c r="P751" s="30">
        <f>IFERROR(__xludf.DUMMYFUNCTION("""COMPUTED_VALUE"""),0.983739837398374)</f>
        <v>0.9837398374</v>
      </c>
      <c r="Q751" s="30">
        <f>IFERROR(__xludf.DUMMYFUNCTION("""COMPUTED_VALUE"""),0.6585365853658536)</f>
        <v>0.6585365854</v>
      </c>
      <c r="R751" s="30">
        <f>IFERROR(__xludf.DUMMYFUNCTION("""COMPUTED_VALUE"""),1.0000000000000002)</f>
        <v>1</v>
      </c>
      <c r="S751" s="30">
        <f>IFERROR(__xludf.DUMMYFUNCTION("""COMPUTED_VALUE"""),2.6666666666666665)</f>
        <v>2.666666667</v>
      </c>
      <c r="T751" s="30">
        <f>IFERROR(__xludf.DUMMYFUNCTION("""COMPUTED_VALUE"""),338.9077694199556)</f>
        <v>338.9077694</v>
      </c>
      <c r="U751" s="30">
        <f>IFERROR(__xludf.DUMMYFUNCTION("""COMPUTED_VALUE"""),0.818993275424978)</f>
        <v>0.8189932754</v>
      </c>
      <c r="V751" s="30">
        <f>IFERROR(__xludf.DUMMYFUNCTION("""COMPUTED_VALUE"""),0.5091621998557337)</f>
        <v>0.5091621999</v>
      </c>
      <c r="W751" s="30">
        <f>IFERROR(__xludf.DUMMYFUNCTION("""COMPUTED_VALUE"""),1.2170892118299288)</f>
        <v>1.217089212</v>
      </c>
      <c r="X751" s="30">
        <f>IFERROR(__xludf.DUMMYFUNCTION("""COMPUTED_VALUE"""),2.5310502466295297)</f>
        <v>2.531050247</v>
      </c>
      <c r="Y751" s="30">
        <f>IFERROR(__xludf.DUMMYFUNCTION("""COMPUTED_VALUE"""),334.43217628201734)</f>
        <v>334.4321763</v>
      </c>
      <c r="Z751" s="30">
        <f>IFERROR(__xludf.DUMMYFUNCTION("""COMPUTED_VALUE"""),0.7844480370908263)</f>
        <v>0.7844480371</v>
      </c>
      <c r="AA751" s="30">
        <f>IFERROR(__xludf.DUMMYFUNCTION("""COMPUTED_VALUE"""),0.5283722484115678)</f>
        <v>0.5283722484</v>
      </c>
      <c r="AB751" s="30">
        <f>IFERROR(__xludf.DUMMYFUNCTION("""COMPUTED_VALUE"""),1.1980196591391088)</f>
        <v>1.198019659</v>
      </c>
      <c r="AC751" s="30">
        <f>IFERROR(__xludf.DUMMYFUNCTION("""COMPUTED_VALUE"""),2.426333830294778)</f>
        <v>2.42633383</v>
      </c>
      <c r="AD751" s="30">
        <f>IFERROR(__xludf.DUMMYFUNCTION("""COMPUTED_VALUE"""),0.8157255712701871)</f>
        <v>0.8157255713</v>
      </c>
      <c r="AE751" s="30">
        <f>IFERROR(__xludf.DUMMYFUNCTION("""COMPUTED_VALUE"""),0.7151214398298581)</f>
        <v>0.7151214398</v>
      </c>
      <c r="AF751" s="30">
        <f>IFERROR(__xludf.DUMMYFUNCTION("""COMPUTED_VALUE"""),0.6462553922176633)</f>
        <v>0.6462553922</v>
      </c>
      <c r="AG751" s="30">
        <f>IFERROR(__xludf.DUMMYFUNCTION("""COMPUTED_VALUE"""),0.875428445438472)</f>
        <v>0.8754284454</v>
      </c>
      <c r="AH751" s="30">
        <f>IFERROR(__xludf.DUMMYFUNCTION("""COMPUTED_VALUE"""),0.763975061238858)</f>
        <v>0.7639750612</v>
      </c>
      <c r="AI751" s="30">
        <f>IFERROR(__xludf.DUMMYFUNCTION("""COMPUTED_VALUE"""),1.0505772148487076)</f>
        <v>1.050577215</v>
      </c>
      <c r="AJ751" s="30">
        <f>IFERROR(__xludf.DUMMYFUNCTION("""COMPUTED_VALUE"""),1.201157404971254)</f>
        <v>1.201157405</v>
      </c>
      <c r="AK751" s="30">
        <f>IFERROR(__xludf.DUMMYFUNCTION("""COMPUTED_VALUE"""),1.2933728889388167)</f>
        <v>1.293372889</v>
      </c>
      <c r="AL751" s="30">
        <f>IFERROR(__xludf.DUMMYFUNCTION("""COMPUTED_VALUE"""),0.8216324574075152)</f>
        <v>0.8216324574</v>
      </c>
      <c r="AM751" s="30">
        <f>IFERROR(__xludf.DUMMYFUNCTION("""COMPUTED_VALUE"""),1.0535810856452692)</f>
        <v>1.053581086</v>
      </c>
      <c r="AN751" s="30">
        <f>IFERROR(__xludf.DUMMYFUNCTION("""COMPUTED_VALUE"""),0.8484548078877161)</f>
        <v>0.8484548079</v>
      </c>
      <c r="AO751" s="30">
        <f>IFERROR(__xludf.DUMMYFUNCTION("""COMPUTED_VALUE"""),0.7643696770549528)</f>
        <v>0.7643696771</v>
      </c>
      <c r="AP751" s="30">
        <f>IFERROR(__xludf.DUMMYFUNCTION("""COMPUTED_VALUE"""),0.6830439896595482)</f>
        <v>0.6830439897</v>
      </c>
      <c r="AQ751" s="30">
        <f>IFERROR(__xludf.DUMMYFUNCTION("""COMPUTED_VALUE"""),0.9008033571709269)</f>
        <v>0.9008033572</v>
      </c>
      <c r="AR751" s="30">
        <f>IFERROR(__xludf.DUMMYFUNCTION("""COMPUTED_VALUE"""),0.8009620093791144)</f>
        <v>0.8009620094</v>
      </c>
      <c r="AS751" s="30">
        <f>IFERROR(__xludf.DUMMYFUNCTION("""COMPUTED_VALUE"""),69.0)</f>
        <v>69</v>
      </c>
      <c r="AT751" s="30">
        <f>IFERROR(__xludf.DUMMYFUNCTION("""COMPUTED_VALUE"""),0.2947928433201848)</f>
        <v>0.2947928433</v>
      </c>
      <c r="AU751" s="30">
        <f>IFERROR(__xludf.DUMMYFUNCTION("""COMPUTED_VALUE"""),1.1808964401713928)</f>
        <v>1.18089644</v>
      </c>
      <c r="AV751" s="32">
        <f>IFERROR(__xludf.DUMMYFUNCTION("""COMPUTED_VALUE"""),24.767328465351753)</f>
        <v>24.76732847</v>
      </c>
      <c r="AW751" s="32">
        <f>IFERROR(__xludf.DUMMYFUNCTION("""COMPUTED_VALUE"""),-6.393300015614773)</f>
        <v>-6.393300016</v>
      </c>
      <c r="AX751" s="32">
        <f>IFERROR(__xludf.DUMMYFUNCTION("""COMPUTED_VALUE"""),26.883220197585096)</f>
        <v>26.8832202</v>
      </c>
      <c r="AY751" s="32">
        <f>IFERROR(__xludf.DUMMYFUNCTION("""COMPUTED_VALUE"""),-5.631629979616063)</f>
        <v>-5.63162998</v>
      </c>
      <c r="AZ751" s="30">
        <f>IFERROR(__xludf.DUMMYFUNCTION("""COMPUTED_VALUE"""),0.7616700359987094)</f>
        <v>0.761670036</v>
      </c>
      <c r="BA751" s="30">
        <f>IFERROR(__xludf.DUMMYFUNCTION("""COMPUTED_VALUE"""),2700.0)</f>
        <v>2700</v>
      </c>
    </row>
    <row r="752">
      <c r="A752" s="71" t="str">
        <f>IFERROR(__xludf.DUMMYFUNCTION("""COMPUTED_VALUE"""),"Prospect")</f>
        <v>Prospect</v>
      </c>
      <c r="B752" s="71" t="str">
        <f>IFERROR(__xludf.DUMMYFUNCTION("""COMPUTED_VALUE"""),"RSC003127")</f>
        <v>RSC003127</v>
      </c>
      <c r="C752" s="30" t="str">
        <f>IFERROR(__xludf.DUMMYFUNCTION("""COMPUTED_VALUE"""),"Lim")</f>
        <v>Lim</v>
      </c>
      <c r="D752" s="30"/>
      <c r="E752" s="30">
        <f>IFERROR(__xludf.DUMMYFUNCTION("""COMPUTED_VALUE"""),26.0)</f>
        <v>26</v>
      </c>
      <c r="F752" s="30">
        <f>IFERROR(__xludf.DUMMYFUNCTION("""COMPUTED_VALUE"""),10.0)</f>
        <v>10</v>
      </c>
      <c r="G752" s="42">
        <f>IFERROR(__xludf.DUMMYFUNCTION("""COMPUTED_VALUE"""),16.0)</f>
        <v>16</v>
      </c>
      <c r="H752" s="42">
        <f>IFERROR(__xludf.DUMMYFUNCTION("""COMPUTED_VALUE"""),0.38461538461538464)</f>
        <v>0.3846153846</v>
      </c>
      <c r="I752" s="42">
        <f>IFERROR(__xludf.DUMMYFUNCTION("""COMPUTED_VALUE"""),0.25)</f>
        <v>0.25</v>
      </c>
      <c r="J752" s="30">
        <f>IFERROR(__xludf.DUMMYFUNCTION("""COMPUTED_VALUE"""),319.5)</f>
        <v>319.5</v>
      </c>
      <c r="K752" s="30">
        <f>IFERROR(__xludf.DUMMYFUNCTION("""COMPUTED_VALUE"""),0.5384615384615384)</f>
        <v>0.5384615385</v>
      </c>
      <c r="L752" s="30">
        <f>IFERROR(__xludf.DUMMYFUNCTION("""COMPUTED_VALUE"""),0.5769230769230769)</f>
        <v>0.5769230769</v>
      </c>
      <c r="M752" s="30">
        <f>IFERROR(__xludf.DUMMYFUNCTION("""COMPUTED_VALUE"""),1.3846153846153846)</f>
        <v>1.384615385</v>
      </c>
      <c r="N752" s="30">
        <f>IFERROR(__xludf.DUMMYFUNCTION("""COMPUTED_VALUE"""),2.1538461538461537)</f>
        <v>2.153846154</v>
      </c>
      <c r="O752" s="30">
        <f>IFERROR(__xludf.DUMMYFUNCTION("""COMPUTED_VALUE"""),338.6923076923077)</f>
        <v>338.6923077</v>
      </c>
      <c r="P752" s="30">
        <f>IFERROR(__xludf.DUMMYFUNCTION("""COMPUTED_VALUE"""),0.8846153846153845)</f>
        <v>0.8846153846</v>
      </c>
      <c r="Q752" s="30">
        <f>IFERROR(__xludf.DUMMYFUNCTION("""COMPUTED_VALUE"""),0.6025641025641025)</f>
        <v>0.6025641026</v>
      </c>
      <c r="R752" s="30">
        <f>IFERROR(__xludf.DUMMYFUNCTION("""COMPUTED_VALUE"""),1.0384615384615385)</f>
        <v>1.038461538</v>
      </c>
      <c r="S752" s="30">
        <f>IFERROR(__xludf.DUMMYFUNCTION("""COMPUTED_VALUE"""),2.7564102564102564)</f>
        <v>2.756410256</v>
      </c>
      <c r="T752" s="30">
        <f>IFERROR(__xludf.DUMMYFUNCTION("""COMPUTED_VALUE"""),333.97492907566027)</f>
        <v>333.9749291</v>
      </c>
      <c r="U752" s="30">
        <f>IFERROR(__xludf.DUMMYFUNCTION("""COMPUTED_VALUE"""),0.7943731717524282)</f>
        <v>0.7943731718</v>
      </c>
      <c r="V752" s="30">
        <f>IFERROR(__xludf.DUMMYFUNCTION("""COMPUTED_VALUE"""),0.533958484938565)</f>
        <v>0.5339584849</v>
      </c>
      <c r="W752" s="30">
        <f>IFERROR(__xludf.DUMMYFUNCTION("""COMPUTED_VALUE"""),1.1542813689466)</f>
        <v>1.154281369</v>
      </c>
      <c r="X752" s="30">
        <f>IFERROR(__xludf.DUMMYFUNCTION("""COMPUTED_VALUE"""),2.434419314230969)</f>
        <v>2.434419314</v>
      </c>
      <c r="Y752" s="30">
        <f>IFERROR(__xludf.DUMMYFUNCTION("""COMPUTED_VALUE"""),332.26414023906625)</f>
        <v>332.2641402</v>
      </c>
      <c r="Z752" s="30">
        <f>IFERROR(__xludf.DUMMYFUNCTION("""COMPUTED_VALUE"""),0.8034935912759281)</f>
        <v>0.8034935913</v>
      </c>
      <c r="AA752" s="30">
        <f>IFERROR(__xludf.DUMMYFUNCTION("""COMPUTED_VALUE"""),0.5205424469563086)</f>
        <v>0.520542447</v>
      </c>
      <c r="AB752" s="30">
        <f>IFERROR(__xludf.DUMMYFUNCTION("""COMPUTED_VALUE"""),1.1672527597293696)</f>
        <v>1.16725276</v>
      </c>
      <c r="AC752" s="30">
        <f>IFERROR(__xludf.DUMMYFUNCTION("""COMPUTED_VALUE"""),2.3903224388630155)</f>
        <v>2.390322439</v>
      </c>
      <c r="AD752" s="30">
        <f>IFERROR(__xludf.DUMMYFUNCTION("""COMPUTED_VALUE"""),0.961584358065597)</f>
        <v>0.9615843581</v>
      </c>
      <c r="AE752" s="30">
        <f>IFERROR(__xludf.DUMMYFUNCTION("""COMPUTED_VALUE"""),0.6701503836595321)</f>
        <v>0.6701503837</v>
      </c>
      <c r="AF752" s="30">
        <f>IFERROR(__xludf.DUMMYFUNCTION("""COMPUTED_VALUE"""),1.1083113015978514)</f>
        <v>1.108311302</v>
      </c>
      <c r="AG752" s="30">
        <f>IFERROR(__xludf.DUMMYFUNCTION("""COMPUTED_VALUE"""),1.186217272201105)</f>
        <v>1.186217272</v>
      </c>
      <c r="AH752" s="30">
        <f>IFERROR(__xludf.DUMMYFUNCTION("""COMPUTED_VALUE"""),0.901069294597199)</f>
        <v>0.9010692946</v>
      </c>
      <c r="AI752" s="30">
        <f>IFERROR(__xludf.DUMMYFUNCTION("""COMPUTED_VALUE"""),1.0141249483298151)</f>
        <v>1.014124948</v>
      </c>
      <c r="AJ752" s="30">
        <f>IFERROR(__xludf.DUMMYFUNCTION("""COMPUTED_VALUE"""),1.1136017882676945)</f>
        <v>1.113601788</v>
      </c>
      <c r="AK752" s="30">
        <f>IFERROR(__xludf.DUMMYFUNCTION("""COMPUTED_VALUE"""),1.1284849282494893)</f>
        <v>1.128484928</v>
      </c>
      <c r="AL752" s="30">
        <f>IFERROR(__xludf.DUMMYFUNCTION("""COMPUTED_VALUE"""),0.8996606602160104)</f>
        <v>0.8996606602</v>
      </c>
      <c r="AM752" s="30">
        <f>IFERROR(__xludf.DUMMYFUNCTION("""COMPUTED_VALUE"""),1.1322660152657407)</f>
        <v>1.132266015</v>
      </c>
      <c r="AN752" s="30">
        <f>IFERROR(__xludf.DUMMYFUNCTION("""COMPUTED_VALUE"""),0.9936820523849027)</f>
        <v>0.9936820524</v>
      </c>
      <c r="AO752" s="30">
        <f>IFERROR(__xludf.DUMMYFUNCTION("""COMPUTED_VALUE"""),0.7336926331597707)</f>
        <v>0.7336926332</v>
      </c>
      <c r="AP752" s="30">
        <f>IFERROR(__xludf.DUMMYFUNCTION("""COMPUTED_VALUE"""),1.1540441034083022)</f>
        <v>1.154044103</v>
      </c>
      <c r="AQ752" s="30">
        <f>IFERROR(__xludf.DUMMYFUNCTION("""COMPUTED_VALUE"""),1.189253806068236)</f>
        <v>1.189253806</v>
      </c>
      <c r="AR752" s="30">
        <f>IFERROR(__xludf.DUMMYFUNCTION("""COMPUTED_VALUE"""),0.9306724562421288)</f>
        <v>0.9306724562</v>
      </c>
      <c r="AS752" s="30">
        <f>IFERROR(__xludf.DUMMYFUNCTION("""COMPUTED_VALUE"""),54.0)</f>
        <v>54</v>
      </c>
      <c r="AT752" s="30">
        <f>IFERROR(__xludf.DUMMYFUNCTION("""COMPUTED_VALUE"""),0.40542697312318876)</f>
        <v>0.4054269731</v>
      </c>
      <c r="AU752" s="30">
        <f>IFERROR(__xludf.DUMMYFUNCTION("""COMPUTED_VALUE"""),1.700417833682069)</f>
        <v>1.700417834</v>
      </c>
      <c r="AV752" s="32">
        <f>IFERROR(__xludf.DUMMYFUNCTION("""COMPUTED_VALUE"""),38.82440973328116)</f>
        <v>38.82440973</v>
      </c>
      <c r="AW752" s="32">
        <f>IFERROR(__xludf.DUMMYFUNCTION("""COMPUTED_VALUE"""),-3.0540971658495786)</f>
        <v>-3.054097166</v>
      </c>
      <c r="AX752" s="32">
        <f>IFERROR(__xludf.DUMMYFUNCTION("""COMPUTED_VALUE"""),45.37672031413928)</f>
        <v>45.37672031</v>
      </c>
      <c r="AY752" s="32">
        <f>IFERROR(__xludf.DUMMYFUNCTION("""COMPUTED_VALUE"""),-2.343888228498737)</f>
        <v>-2.343888228</v>
      </c>
      <c r="AZ752" s="30">
        <f>IFERROR(__xludf.DUMMYFUNCTION("""COMPUTED_VALUE"""),0.7102089373508416)</f>
        <v>0.7102089374</v>
      </c>
      <c r="BA752" s="30">
        <f>IFERROR(__xludf.DUMMYFUNCTION("""COMPUTED_VALUE"""),2700.0)</f>
        <v>2700</v>
      </c>
    </row>
    <row r="753">
      <c r="A753" s="71" t="str">
        <f>IFERROR(__xludf.DUMMYFUNCTION("""COMPUTED_VALUE"""),"Prospect")</f>
        <v>Prospect</v>
      </c>
      <c r="B753" s="71" t="str">
        <f>IFERROR(__xludf.DUMMYFUNCTION("""COMPUTED_VALUE"""),"RSC007600")</f>
        <v>RSC007600</v>
      </c>
      <c r="C753" s="30" t="str">
        <f>IFERROR(__xludf.DUMMYFUNCTION("""COMPUTED_VALUE"""),"CN Tyson")</f>
        <v>CN Tyson</v>
      </c>
      <c r="D753" s="30" t="str">
        <f>IFERROR(__xludf.DUMMYFUNCTION("""COMPUTED_VALUE"""),"Mop Tops")</f>
        <v>Mop Tops</v>
      </c>
      <c r="E753" s="30">
        <f>IFERROR(__xludf.DUMMYFUNCTION("""COMPUTED_VALUE"""),42.0)</f>
        <v>42</v>
      </c>
      <c r="F753" s="30">
        <f>IFERROR(__xludf.DUMMYFUNCTION("""COMPUTED_VALUE"""),17.0)</f>
        <v>17</v>
      </c>
      <c r="G753" s="42">
        <f>IFERROR(__xludf.DUMMYFUNCTION("""COMPUTED_VALUE"""),25.0)</f>
        <v>25</v>
      </c>
      <c r="H753" s="42">
        <f>IFERROR(__xludf.DUMMYFUNCTION("""COMPUTED_VALUE"""),0.40476190476190477)</f>
        <v>0.4047619048</v>
      </c>
      <c r="I753" s="42">
        <f>IFERROR(__xludf.DUMMYFUNCTION("""COMPUTED_VALUE"""),0.2661290322580645)</f>
        <v>0.2661290323</v>
      </c>
      <c r="J753" s="30">
        <f>IFERROR(__xludf.DUMMYFUNCTION("""COMPUTED_VALUE"""),333.07142857142856)</f>
        <v>333.0714286</v>
      </c>
      <c r="K753" s="30">
        <f>IFERROR(__xludf.DUMMYFUNCTION("""COMPUTED_VALUE"""),0.7857142857142857)</f>
        <v>0.7857142857</v>
      </c>
      <c r="L753" s="30">
        <f>IFERROR(__xludf.DUMMYFUNCTION("""COMPUTED_VALUE"""),0.42857142857142855)</f>
        <v>0.4285714286</v>
      </c>
      <c r="M753" s="30">
        <f>IFERROR(__xludf.DUMMYFUNCTION("""COMPUTED_VALUE"""),1.2142857142857142)</f>
        <v>1.214285714</v>
      </c>
      <c r="N753" s="30">
        <f>IFERROR(__xludf.DUMMYFUNCTION("""COMPUTED_VALUE"""),2.9523809523809526)</f>
        <v>2.952380952</v>
      </c>
      <c r="O753" s="30">
        <f>IFERROR(__xludf.DUMMYFUNCTION("""COMPUTED_VALUE"""),339.44444444444446)</f>
        <v>339.4444444</v>
      </c>
      <c r="P753" s="30">
        <f>IFERROR(__xludf.DUMMYFUNCTION("""COMPUTED_VALUE"""),0.8492063492063492)</f>
        <v>0.8492063492</v>
      </c>
      <c r="Q753" s="30">
        <f>IFERROR(__xludf.DUMMYFUNCTION("""COMPUTED_VALUE"""),0.5238095238095237)</f>
        <v>0.5238095238</v>
      </c>
      <c r="R753" s="30">
        <f>IFERROR(__xludf.DUMMYFUNCTION("""COMPUTED_VALUE"""),1.2142857142857142)</f>
        <v>1.214285714</v>
      </c>
      <c r="S753" s="30">
        <f>IFERROR(__xludf.DUMMYFUNCTION("""COMPUTED_VALUE"""),2.4523809523809526)</f>
        <v>2.452380952</v>
      </c>
      <c r="T753" s="30">
        <f>IFERROR(__xludf.DUMMYFUNCTION("""COMPUTED_VALUE"""),338.4827051240783)</f>
        <v>338.4827051</v>
      </c>
      <c r="U753" s="30">
        <f>IFERROR(__xludf.DUMMYFUNCTION("""COMPUTED_VALUE"""),0.7973914645050917)</f>
        <v>0.7973914645</v>
      </c>
      <c r="V753" s="30">
        <f>IFERROR(__xludf.DUMMYFUNCTION("""COMPUTED_VALUE"""),0.5317995086452507)</f>
        <v>0.5317995086</v>
      </c>
      <c r="W753" s="30">
        <f>IFERROR(__xludf.DUMMYFUNCTION("""COMPUTED_VALUE"""),1.2248755377351728)</f>
        <v>1.224875538</v>
      </c>
      <c r="X753" s="30">
        <f>IFERROR(__xludf.DUMMYFUNCTION("""COMPUTED_VALUE"""),2.46295960877091)</f>
        <v>2.462959609</v>
      </c>
      <c r="Y753" s="30">
        <f>IFERROR(__xludf.DUMMYFUNCTION("""COMPUTED_VALUE"""),333.91579567495137)</f>
        <v>333.9157957</v>
      </c>
      <c r="Z753" s="30">
        <f>IFERROR(__xludf.DUMMYFUNCTION("""COMPUTED_VALUE"""),0.7682545296044917)</f>
        <v>0.7682545296</v>
      </c>
      <c r="AA753" s="30">
        <f>IFERROR(__xludf.DUMMYFUNCTION("""COMPUTED_VALUE"""),0.5220108604385437)</f>
        <v>0.5220108604</v>
      </c>
      <c r="AB753" s="30">
        <f>IFERROR(__xludf.DUMMYFUNCTION("""COMPUTED_VALUE"""),1.208696876662012)</f>
        <v>1.208696877</v>
      </c>
      <c r="AC753" s="30">
        <f>IFERROR(__xludf.DUMMYFUNCTION("""COMPUTED_VALUE"""),2.4563985519112492)</f>
        <v>2.456398552</v>
      </c>
      <c r="AD753" s="30">
        <f>IFERROR(__xludf.DUMMYFUNCTION("""COMPUTED_VALUE"""),0.997471317276812)</f>
        <v>0.9974713173</v>
      </c>
      <c r="AE753" s="30">
        <f>IFERROR(__xludf.DUMMYFUNCTION("""COMPUTED_VALUE"""),1.0227265254378421)</f>
        <v>1.022726525</v>
      </c>
      <c r="AF753" s="30">
        <f>IFERROR(__xludf.DUMMYFUNCTION("""COMPUTED_VALUE"""),0.8210009811125074)</f>
        <v>0.8210009811</v>
      </c>
      <c r="AG753" s="30">
        <f>IFERROR(__xludf.DUMMYFUNCTION("""COMPUTED_VALUE"""),1.0046238537813852)</f>
        <v>1.004623854</v>
      </c>
      <c r="AH753" s="30">
        <f>IFERROR(__xludf.DUMMYFUNCTION("""COMPUTED_VALUE"""),1.2019144654208473)</f>
        <v>1.201914465</v>
      </c>
      <c r="AI753" s="30">
        <f>IFERROR(__xludf.DUMMYFUNCTION("""COMPUTED_VALUE"""),1.0028413248470514)</f>
        <v>1.002841325</v>
      </c>
      <c r="AJ753" s="30">
        <f>IFERROR(__xludf.DUMMYFUNCTION("""COMPUTED_VALUE"""),1.0649804857560357)</f>
        <v>1.064980486</v>
      </c>
      <c r="AK753" s="30">
        <f>IFERROR(__xludf.DUMMYFUNCTION("""COMPUTED_VALUE"""),0.9849755693530419)</f>
        <v>0.9849755694</v>
      </c>
      <c r="AL753" s="30">
        <f>IFERROR(__xludf.DUMMYFUNCTION("""COMPUTED_VALUE"""),0.9913543677514864)</f>
        <v>0.9913543678</v>
      </c>
      <c r="AM753" s="30">
        <f>IFERROR(__xludf.DUMMYFUNCTION("""COMPUTED_VALUE"""),0.9957049005788462)</f>
        <v>0.9957049006</v>
      </c>
      <c r="AN753" s="30">
        <f>IFERROR(__xludf.DUMMYFUNCTION("""COMPUTED_VALUE"""),1.0358907691193384)</f>
        <v>1.035890769</v>
      </c>
      <c r="AO753" s="30">
        <f>IFERROR(__xludf.DUMMYFUNCTION("""COMPUTED_VALUE"""),1.0705923116515021)</f>
        <v>1.070592312</v>
      </c>
      <c r="AP753" s="30">
        <f>IFERROR(__xludf.DUMMYFUNCTION("""COMPUTED_VALUE"""),0.8572899053890246)</f>
        <v>0.8572899054</v>
      </c>
      <c r="AQ753" s="30">
        <f>IFERROR(__xludf.DUMMYFUNCTION("""COMPUTED_VALUE"""),1.0429567108773021)</f>
        <v>1.042956711</v>
      </c>
      <c r="AR753" s="30">
        <f>IFERROR(__xludf.DUMMYFUNCTION("""COMPUTED_VALUE"""),1.275717686617612)</f>
        <v>1.275717687</v>
      </c>
      <c r="AS753" s="30">
        <f>IFERROR(__xludf.DUMMYFUNCTION("""COMPUTED_VALUE"""),92.0)</f>
        <v>92</v>
      </c>
      <c r="AT753" s="30">
        <f>IFERROR(__xludf.DUMMYFUNCTION("""COMPUTED_VALUE"""),0.44126173672114527)</f>
        <v>0.4412617367</v>
      </c>
      <c r="AU753" s="30">
        <f>IFERROR(__xludf.DUMMYFUNCTION("""COMPUTED_VALUE"""),2.4765821316898036)</f>
        <v>2.476582132</v>
      </c>
      <c r="AV753" s="32">
        <f>IFERROR(__xludf.DUMMYFUNCTION("""COMPUTED_VALUE"""),59.825671184001166)</f>
        <v>59.82567118</v>
      </c>
      <c r="AW753" s="32">
        <f>IFERROR(__xludf.DUMMYFUNCTION("""COMPUTED_VALUE"""),2.880600606921024)</f>
        <v>2.880600607</v>
      </c>
      <c r="AX753" s="32">
        <f>IFERROR(__xludf.DUMMYFUNCTION("""COMPUTED_VALUE"""),52.65990137859894)</f>
        <v>52.65990138</v>
      </c>
      <c r="AY753" s="32">
        <f>IFERROR(__xludf.DUMMYFUNCTION("""COMPUTED_VALUE"""),2.1851520336649304)</f>
        <v>2.185152034</v>
      </c>
      <c r="AZ753" s="30">
        <f>IFERROR(__xludf.DUMMYFUNCTION("""COMPUTED_VALUE"""),0.6954485732560935)</f>
        <v>0.6954485733</v>
      </c>
      <c r="BA753" s="30">
        <f>IFERROR(__xludf.DUMMYFUNCTION("""COMPUTED_VALUE"""),2700.0)</f>
        <v>2700</v>
      </c>
    </row>
    <row r="754">
      <c r="A754" s="71" t="str">
        <f>IFERROR(__xludf.DUMMYFUNCTION("""COMPUTED_VALUE"""),"Prospect")</f>
        <v>Prospect</v>
      </c>
      <c r="B754" s="71" t="str">
        <f>IFERROR(__xludf.DUMMYFUNCTION("""COMPUTED_VALUE"""),"RSC006755")</f>
        <v>RSC006755</v>
      </c>
      <c r="C754" s="30" t="str">
        <f>IFERROR(__xludf.DUMMYFUNCTION("""COMPUTED_VALUE"""),"Fox_gt_400")</f>
        <v>Fox_gt_400</v>
      </c>
      <c r="D754" s="30" t="str">
        <f>IFERROR(__xludf.DUMMYFUNCTION("""COMPUTED_VALUE"""),"Undead")</f>
        <v>Undead</v>
      </c>
      <c r="E754" s="30">
        <f>IFERROR(__xludf.DUMMYFUNCTION("""COMPUTED_VALUE"""),32.0)</f>
        <v>32</v>
      </c>
      <c r="F754" s="30">
        <f>IFERROR(__xludf.DUMMYFUNCTION("""COMPUTED_VALUE"""),11.0)</f>
        <v>11</v>
      </c>
      <c r="G754" s="42">
        <f>IFERROR(__xludf.DUMMYFUNCTION("""COMPUTED_VALUE"""),21.0)</f>
        <v>21</v>
      </c>
      <c r="H754" s="42">
        <f>IFERROR(__xludf.DUMMYFUNCTION("""COMPUTED_VALUE"""),0.34375)</f>
        <v>0.34375</v>
      </c>
      <c r="I754" s="42">
        <f>IFERROR(__xludf.DUMMYFUNCTION("""COMPUTED_VALUE"""),0.2535211267605634)</f>
        <v>0.2535211268</v>
      </c>
      <c r="J754" s="30">
        <f>IFERROR(__xludf.DUMMYFUNCTION("""COMPUTED_VALUE"""),312.28125)</f>
        <v>312.28125</v>
      </c>
      <c r="K754" s="30">
        <f>IFERROR(__xludf.DUMMYFUNCTION("""COMPUTED_VALUE"""),0.5625)</f>
        <v>0.5625</v>
      </c>
      <c r="L754" s="30">
        <f>IFERROR(__xludf.DUMMYFUNCTION("""COMPUTED_VALUE"""),0.4375)</f>
        <v>0.4375</v>
      </c>
      <c r="M754" s="30">
        <f>IFERROR(__xludf.DUMMYFUNCTION("""COMPUTED_VALUE"""),1.40625)</f>
        <v>1.40625</v>
      </c>
      <c r="N754" s="30">
        <f>IFERROR(__xludf.DUMMYFUNCTION("""COMPUTED_VALUE"""),2.21875)</f>
        <v>2.21875</v>
      </c>
      <c r="O754" s="30">
        <f>IFERROR(__xludf.DUMMYFUNCTION("""COMPUTED_VALUE"""),351.0520833333333)</f>
        <v>351.0520833</v>
      </c>
      <c r="P754" s="30">
        <f>IFERROR(__xludf.DUMMYFUNCTION("""COMPUTED_VALUE"""),0.8958333333333333)</f>
        <v>0.8958333333</v>
      </c>
      <c r="Q754" s="30">
        <f>IFERROR(__xludf.DUMMYFUNCTION("""COMPUTED_VALUE"""),0.5625000000000001)</f>
        <v>0.5625</v>
      </c>
      <c r="R754" s="30">
        <f>IFERROR(__xludf.DUMMYFUNCTION("""COMPUTED_VALUE"""),1.1250000000000002)</f>
        <v>1.125</v>
      </c>
      <c r="S754" s="30">
        <f>IFERROR(__xludf.DUMMYFUNCTION("""COMPUTED_VALUE"""),2.5937500000000004)</f>
        <v>2.59375</v>
      </c>
      <c r="T754" s="30">
        <f>IFERROR(__xludf.DUMMYFUNCTION("""COMPUTED_VALUE"""),337.5984293201468)</f>
        <v>337.5984293</v>
      </c>
      <c r="U754" s="30">
        <f>IFERROR(__xludf.DUMMYFUNCTION("""COMPUTED_VALUE"""),0.7863947122751368)</f>
        <v>0.7863947123</v>
      </c>
      <c r="V754" s="30">
        <f>IFERROR(__xludf.DUMMYFUNCTION("""COMPUTED_VALUE"""),0.4900713998075438)</f>
        <v>0.4900713998</v>
      </c>
      <c r="W754" s="30">
        <f>IFERROR(__xludf.DUMMYFUNCTION("""COMPUTED_VALUE"""),1.2627234645190903)</f>
        <v>1.262723465</v>
      </c>
      <c r="X754" s="30">
        <f>IFERROR(__xludf.DUMMYFUNCTION("""COMPUTED_VALUE"""),2.446199458943933)</f>
        <v>2.446199459</v>
      </c>
      <c r="Y754" s="30">
        <f>IFERROR(__xludf.DUMMYFUNCTION("""COMPUTED_VALUE"""),333.7173487507703)</f>
        <v>333.7173488</v>
      </c>
      <c r="Z754" s="30">
        <f>IFERROR(__xludf.DUMMYFUNCTION("""COMPUTED_VALUE"""),0.7922035435144457)</f>
        <v>0.7922035435</v>
      </c>
      <c r="AA754" s="30">
        <f>IFERROR(__xludf.DUMMYFUNCTION("""COMPUTED_VALUE"""),0.5297629780204091)</f>
        <v>0.529762978</v>
      </c>
      <c r="AB754" s="30">
        <f>IFERROR(__xludf.DUMMYFUNCTION("""COMPUTED_VALUE"""),1.1517216679954134)</f>
        <v>1.151721668</v>
      </c>
      <c r="AC754" s="30">
        <f>IFERROR(__xludf.DUMMYFUNCTION("""COMPUTED_VALUE"""),2.4980914741473703)</f>
        <v>2.498091474</v>
      </c>
      <c r="AD754" s="30">
        <f>IFERROR(__xludf.DUMMYFUNCTION("""COMPUTED_VALUE"""),0.9357657046269434)</f>
        <v>0.9357657046</v>
      </c>
      <c r="AE754" s="30">
        <f>IFERROR(__xludf.DUMMYFUNCTION("""COMPUTED_VALUE"""),0.7100447916511281)</f>
        <v>0.7100447917</v>
      </c>
      <c r="AF754" s="30">
        <f>IFERROR(__xludf.DUMMYFUNCTION("""COMPUTED_VALUE"""),0.8258410235362754)</f>
        <v>0.8258410235</v>
      </c>
      <c r="AG754" s="30">
        <f>IFERROR(__xludf.DUMMYFUNCTION("""COMPUTED_VALUE"""),1.2209981274795294)</f>
        <v>1.220998127</v>
      </c>
      <c r="AH754" s="30">
        <f>IFERROR(__xludf.DUMMYFUNCTION("""COMPUTED_VALUE"""),0.8881780443037167)</f>
        <v>0.8881780443</v>
      </c>
      <c r="AI754" s="30">
        <f>IFERROR(__xludf.DUMMYFUNCTION("""COMPUTED_VALUE"""),1.03985105629869)</f>
        <v>1.039851056</v>
      </c>
      <c r="AJ754" s="30">
        <f>IFERROR(__xludf.DUMMYFUNCTION("""COMPUTED_VALUE"""),1.1391650011755254)</f>
        <v>1.139165001</v>
      </c>
      <c r="AK754" s="30">
        <f>IFERROR(__xludf.DUMMYFUNCTION("""COMPUTED_VALUE"""),1.1477919344424095)</f>
        <v>1.147791934</v>
      </c>
      <c r="AL754" s="30">
        <f>IFERROR(__xludf.DUMMYFUNCTION("""COMPUTED_VALUE"""),0.8909314126260082)</f>
        <v>0.8909314126</v>
      </c>
      <c r="AM754" s="30">
        <f>IFERROR(__xludf.DUMMYFUNCTION("""COMPUTED_VALUE"""),1.0603182788372325)</f>
        <v>1.060318279</v>
      </c>
      <c r="AN754" s="30">
        <f>IFERROR(__xludf.DUMMYFUNCTION("""COMPUTED_VALUE"""),0.9712309027271452)</f>
        <v>0.9712309027</v>
      </c>
      <c r="AO754" s="30">
        <f>IFERROR(__xludf.DUMMYFUNCTION("""COMPUTED_VALUE"""),0.7664467685686891)</f>
        <v>0.7664467686</v>
      </c>
      <c r="AP754" s="30">
        <f>IFERROR(__xludf.DUMMYFUNCTION("""COMPUTED_VALUE"""),0.875150111751296)</f>
        <v>0.8751501118</v>
      </c>
      <c r="AQ754" s="30">
        <f>IFERROR(__xludf.DUMMYFUNCTION("""COMPUTED_VALUE"""),1.2078358967880523)</f>
        <v>1.207835897</v>
      </c>
      <c r="AR754" s="30">
        <f>IFERROR(__xludf.DUMMYFUNCTION("""COMPUTED_VALUE"""),0.9587172735619252)</f>
        <v>0.9587172736</v>
      </c>
      <c r="AS754" s="30">
        <f>IFERROR(__xludf.DUMMYFUNCTION("""COMPUTED_VALUE"""),58.0)</f>
        <v>58</v>
      </c>
      <c r="AT754" s="30">
        <f>IFERROR(__xludf.DUMMYFUNCTION("""COMPUTED_VALUE"""),0.35284783749459525)</f>
        <v>0.3528478375</v>
      </c>
      <c r="AU754" s="30">
        <f>IFERROR(__xludf.DUMMYFUNCTION("""COMPUTED_VALUE"""),1.5954048522344653)</f>
        <v>1.595404852</v>
      </c>
      <c r="AV754" s="32">
        <f>IFERROR(__xludf.DUMMYFUNCTION("""COMPUTED_VALUE"""),35.98299447524676)</f>
        <v>35.98299448</v>
      </c>
      <c r="AW754" s="32">
        <f>IFERROR(__xludf.DUMMYFUNCTION("""COMPUTED_VALUE"""),-3.47816678918382)</f>
        <v>-3.478166789</v>
      </c>
      <c r="AX754" s="32">
        <f>IFERROR(__xludf.DUMMYFUNCTION("""COMPUTED_VALUE"""),40.52407248069608)</f>
        <v>40.52407248</v>
      </c>
      <c r="AY754" s="32">
        <f>IFERROR(__xludf.DUMMYFUNCTION("""COMPUTED_VALUE"""),-2.8382469709017384)</f>
        <v>-2.838246971</v>
      </c>
      <c r="AZ754" s="30">
        <f>IFERROR(__xludf.DUMMYFUNCTION("""COMPUTED_VALUE"""),0.6399198182820816)</f>
        <v>0.6399198183</v>
      </c>
      <c r="BA754" s="30">
        <f>IFERROR(__xludf.DUMMYFUNCTION("""COMPUTED_VALUE"""),2700.0)</f>
        <v>2700</v>
      </c>
    </row>
    <row r="755">
      <c r="A755" s="71" t="str">
        <f>IFERROR(__xludf.DUMMYFUNCTION("""COMPUTED_VALUE"""),"Prospect")</f>
        <v>Prospect</v>
      </c>
      <c r="B755" s="71" t="str">
        <f>IFERROR(__xludf.DUMMYFUNCTION("""COMPUTED_VALUE"""),"RSC002596")</f>
        <v>RSC002596</v>
      </c>
      <c r="C755" s="30" t="str">
        <f>IFERROR(__xludf.DUMMYFUNCTION("""COMPUTED_VALUE"""),"Jeff Wadowski")</f>
        <v>Jeff Wadowski</v>
      </c>
      <c r="D755" s="30" t="str">
        <f>IFERROR(__xludf.DUMMYFUNCTION("""COMPUTED_VALUE"""),"Tic Tacs")</f>
        <v>Tic Tacs</v>
      </c>
      <c r="E755" s="30">
        <f>IFERROR(__xludf.DUMMYFUNCTION("""COMPUTED_VALUE"""),48.0)</f>
        <v>48</v>
      </c>
      <c r="F755" s="30">
        <f>IFERROR(__xludf.DUMMYFUNCTION("""COMPUTED_VALUE"""),26.0)</f>
        <v>26</v>
      </c>
      <c r="G755" s="42">
        <f>IFERROR(__xludf.DUMMYFUNCTION("""COMPUTED_VALUE"""),22.0)</f>
        <v>22</v>
      </c>
      <c r="H755" s="42">
        <f>IFERROR(__xludf.DUMMYFUNCTION("""COMPUTED_VALUE"""),0.5416666666666666)</f>
        <v>0.5416666667</v>
      </c>
      <c r="I755" s="42">
        <f>IFERROR(__xludf.DUMMYFUNCTION("""COMPUTED_VALUE"""),0.31775700934579443)</f>
        <v>0.3177570093</v>
      </c>
      <c r="J755" s="30">
        <f>IFERROR(__xludf.DUMMYFUNCTION("""COMPUTED_VALUE"""),372.4375)</f>
        <v>372.4375</v>
      </c>
      <c r="K755" s="30">
        <f>IFERROR(__xludf.DUMMYFUNCTION("""COMPUTED_VALUE"""),0.7083333333333334)</f>
        <v>0.7083333333</v>
      </c>
      <c r="L755" s="30">
        <f>IFERROR(__xludf.DUMMYFUNCTION("""COMPUTED_VALUE"""),0.625)</f>
        <v>0.625</v>
      </c>
      <c r="M755" s="30">
        <f>IFERROR(__xludf.DUMMYFUNCTION("""COMPUTED_VALUE"""),1.625)</f>
        <v>1.625</v>
      </c>
      <c r="N755" s="30">
        <f>IFERROR(__xludf.DUMMYFUNCTION("""COMPUTED_VALUE"""),2.2291666666666665)</f>
        <v>2.229166667</v>
      </c>
      <c r="O755" s="30">
        <f>IFERROR(__xludf.DUMMYFUNCTION("""COMPUTED_VALUE"""),322.5208333333333)</f>
        <v>322.5208333</v>
      </c>
      <c r="P755" s="30">
        <f>IFERROR(__xludf.DUMMYFUNCTION("""COMPUTED_VALUE"""),0.826388888888889)</f>
        <v>0.8263888889</v>
      </c>
      <c r="Q755" s="30">
        <f>IFERROR(__xludf.DUMMYFUNCTION("""COMPUTED_VALUE"""),0.5069444444444443)</f>
        <v>0.5069444444</v>
      </c>
      <c r="R755" s="30">
        <f>IFERROR(__xludf.DUMMYFUNCTION("""COMPUTED_VALUE"""),0.9791666666666666)</f>
        <v>0.9791666667</v>
      </c>
      <c r="S755" s="30">
        <f>IFERROR(__xludf.DUMMYFUNCTION("""COMPUTED_VALUE"""),2.5694444444444433)</f>
        <v>2.569444444</v>
      </c>
      <c r="T755" s="30">
        <f>IFERROR(__xludf.DUMMYFUNCTION("""COMPUTED_VALUE"""),327.2816856517104)</f>
        <v>327.2816857</v>
      </c>
      <c r="U755" s="30">
        <f>IFERROR(__xludf.DUMMYFUNCTION("""COMPUTED_VALUE"""),0.7479460672211453)</f>
        <v>0.7479460672</v>
      </c>
      <c r="V755" s="30">
        <f>IFERROR(__xludf.DUMMYFUNCTION("""COMPUTED_VALUE"""),0.49161493708944337)</f>
        <v>0.4916149371</v>
      </c>
      <c r="W755" s="30">
        <f>IFERROR(__xludf.DUMMYFUNCTION("""COMPUTED_VALUE"""),1.2352514491252455)</f>
        <v>1.235251449</v>
      </c>
      <c r="X755" s="30">
        <f>IFERROR(__xludf.DUMMYFUNCTION("""COMPUTED_VALUE"""),2.316592763568408)</f>
        <v>2.316592764</v>
      </c>
      <c r="Y755" s="30">
        <f>IFERROR(__xludf.DUMMYFUNCTION("""COMPUTED_VALUE"""),337.65326304636875)</f>
        <v>337.653263</v>
      </c>
      <c r="Z755" s="30">
        <f>IFERROR(__xludf.DUMMYFUNCTION("""COMPUTED_VALUE"""),0.8135246239030317)</f>
        <v>0.8135246239</v>
      </c>
      <c r="AA755" s="30">
        <f>IFERROR(__xludf.DUMMYFUNCTION("""COMPUTED_VALUE"""),0.5421822099519603)</f>
        <v>0.54218221</v>
      </c>
      <c r="AB755" s="30">
        <f>IFERROR(__xludf.DUMMYFUNCTION("""COMPUTED_VALUE"""),1.1645744873412613)</f>
        <v>1.164574487</v>
      </c>
      <c r="AC755" s="30">
        <f>IFERROR(__xludf.DUMMYFUNCTION("""COMPUTED_VALUE"""),2.514872901047572)</f>
        <v>2.514872901</v>
      </c>
      <c r="AD755" s="30">
        <f>IFERROR(__xludf.DUMMYFUNCTION("""COMPUTED_VALUE"""),1.103017624173987)</f>
        <v>1.103017624</v>
      </c>
      <c r="AE755" s="30">
        <f>IFERROR(__xludf.DUMMYFUNCTION("""COMPUTED_VALUE"""),0.8706968572567305)</f>
        <v>0.8706968573</v>
      </c>
      <c r="AF755" s="30">
        <f>IFERROR(__xludf.DUMMYFUNCTION("""COMPUTED_VALUE"""),1.1527489993730664)</f>
        <v>1.152748999</v>
      </c>
      <c r="AG755" s="30">
        <f>IFERROR(__xludf.DUMMYFUNCTION("""COMPUTED_VALUE"""),1.3953594361404018)</f>
        <v>1.395359436</v>
      </c>
      <c r="AH755" s="30">
        <f>IFERROR(__xludf.DUMMYFUNCTION("""COMPUTED_VALUE"""),0.886393370312315)</f>
        <v>0.8863933703</v>
      </c>
      <c r="AI755" s="30">
        <f>IFERROR(__xludf.DUMMYFUNCTION("""COMPUTED_VALUE"""),0.9854533494323189)</f>
        <v>0.9854533494</v>
      </c>
      <c r="AJ755" s="30">
        <f>IFERROR(__xludf.DUMMYFUNCTION("""COMPUTED_VALUE"""),1.1048776443991255)</f>
        <v>1.104877644</v>
      </c>
      <c r="AK755" s="30">
        <f>IFERROR(__xludf.DUMMYFUNCTION("""COMPUTED_VALUE"""),1.0311819397631767)</f>
        <v>1.03118194</v>
      </c>
      <c r="AL755" s="30">
        <f>IFERROR(__xludf.DUMMYFUNCTION("""COMPUTED_VALUE"""),0.792686110475784)</f>
        <v>0.7926861105</v>
      </c>
      <c r="AM755" s="30">
        <f>IFERROR(__xludf.DUMMYFUNCTION("""COMPUTED_VALUE"""),1.1091480923416812)</f>
        <v>1.109148092</v>
      </c>
      <c r="AN755" s="30">
        <f>IFERROR(__xludf.DUMMYFUNCTION("""COMPUTED_VALUE"""),1.1583238165417908)</f>
        <v>1.158323817</v>
      </c>
      <c r="AO755" s="30">
        <f>IFERROR(__xludf.DUMMYFUNCTION("""COMPUTED_VALUE"""),0.9651551900494604)</f>
        <v>0.96515519</v>
      </c>
      <c r="AP755" s="30">
        <f>IFERROR(__xludf.DUMMYFUNCTION("""COMPUTED_VALUE"""),1.2502144453589943)</f>
        <v>1.250214445</v>
      </c>
      <c r="AQ755" s="30">
        <f>IFERROR(__xludf.DUMMYFUNCTION("""COMPUTED_VALUE"""),1.3957214807328604)</f>
        <v>1.395721481</v>
      </c>
      <c r="AR755" s="30">
        <f>IFERROR(__xludf.DUMMYFUNCTION("""COMPUTED_VALUE"""),0.9632182936255961)</f>
        <v>0.9632182936</v>
      </c>
      <c r="AS755" s="30">
        <f>IFERROR(__xludf.DUMMYFUNCTION("""COMPUTED_VALUE"""),118.0)</f>
        <v>118</v>
      </c>
      <c r="AT755" s="30">
        <f>IFERROR(__xludf.DUMMYFUNCTION("""COMPUTED_VALUE"""),0.4966637826961055)</f>
        <v>0.4966637827</v>
      </c>
      <c r="AU755" s="30">
        <f>IFERROR(__xludf.DUMMYFUNCTION("""COMPUTED_VALUE"""),2.189515242247176)</f>
        <v>2.189515242</v>
      </c>
      <c r="AV755" s="32">
        <f>IFERROR(__xludf.DUMMYFUNCTION("""COMPUTED_VALUE"""),52.058286347434674)</f>
        <v>52.05828635</v>
      </c>
      <c r="AW755" s="32">
        <f>IFERROR(__xludf.DUMMYFUNCTION("""COMPUTED_VALUE"""),2.140449574216494)</f>
        <v>2.140449574</v>
      </c>
      <c r="AX755" s="32">
        <f>IFERROR(__xludf.DUMMYFUNCTION("""COMPUTED_VALUE"""),58.81579002741029)</f>
        <v>58.81579003</v>
      </c>
      <c r="AY755" s="32">
        <f>IFERROR(__xludf.DUMMYFUNCTION("""COMPUTED_VALUE"""),2.761040338353352)</f>
        <v>2.761040338</v>
      </c>
      <c r="AZ755" s="30">
        <f>IFERROR(__xludf.DUMMYFUNCTION("""COMPUTED_VALUE"""),0.6205907641368578)</f>
        <v>0.6205907641</v>
      </c>
      <c r="BA755" s="30">
        <f>IFERROR(__xludf.DUMMYFUNCTION("""COMPUTED_VALUE"""),2700.0)</f>
        <v>2700</v>
      </c>
    </row>
    <row r="756">
      <c r="A756" s="71" t="str">
        <f>IFERROR(__xludf.DUMMYFUNCTION("""COMPUTED_VALUE"""),"Prospect")</f>
        <v>Prospect</v>
      </c>
      <c r="B756" s="71" t="str">
        <f>IFERROR(__xludf.DUMMYFUNCTION("""COMPUTED_VALUE"""),"RSC006402")</f>
        <v>RSC006402</v>
      </c>
      <c r="C756" s="30" t="str">
        <f>IFERROR(__xludf.DUMMYFUNCTION("""COMPUTED_VALUE"""),"DEADLYFEET1001")</f>
        <v>DEADLYFEET1001</v>
      </c>
      <c r="D756" s="30" t="str">
        <f>IFERROR(__xludf.DUMMYFUNCTION("""COMPUTED_VALUE"""),"Principales")</f>
        <v>Principales</v>
      </c>
      <c r="E756" s="30">
        <f>IFERROR(__xludf.DUMMYFUNCTION("""COMPUTED_VALUE"""),28.0)</f>
        <v>28</v>
      </c>
      <c r="F756" s="30">
        <f>IFERROR(__xludf.DUMMYFUNCTION("""COMPUTED_VALUE"""),8.0)</f>
        <v>8</v>
      </c>
      <c r="G756" s="42">
        <f>IFERROR(__xludf.DUMMYFUNCTION("""COMPUTED_VALUE"""),20.0)</f>
        <v>20</v>
      </c>
      <c r="H756" s="42">
        <f>IFERROR(__xludf.DUMMYFUNCTION("""COMPUTED_VALUE"""),0.2857142857142857)</f>
        <v>0.2857142857</v>
      </c>
      <c r="I756" s="42">
        <f>IFERROR(__xludf.DUMMYFUNCTION("""COMPUTED_VALUE"""),0.3384615384615384)</f>
        <v>0.3384615385</v>
      </c>
      <c r="J756" s="30">
        <f>IFERROR(__xludf.DUMMYFUNCTION("""COMPUTED_VALUE"""),331.75)</f>
        <v>331.75</v>
      </c>
      <c r="K756" s="30">
        <f>IFERROR(__xludf.DUMMYFUNCTION("""COMPUTED_VALUE"""),0.7857142857142857)</f>
        <v>0.7857142857</v>
      </c>
      <c r="L756" s="30">
        <f>IFERROR(__xludf.DUMMYFUNCTION("""COMPUTED_VALUE"""),0.32142857142857145)</f>
        <v>0.3214285714</v>
      </c>
      <c r="M756" s="30">
        <f>IFERROR(__xludf.DUMMYFUNCTION("""COMPUTED_VALUE"""),1.0714285714285714)</f>
        <v>1.071428571</v>
      </c>
      <c r="N756" s="30">
        <f>IFERROR(__xludf.DUMMYFUNCTION("""COMPUTED_VALUE"""),2.3214285714285716)</f>
        <v>2.321428571</v>
      </c>
      <c r="O756" s="30">
        <f>IFERROR(__xludf.DUMMYFUNCTION("""COMPUTED_VALUE"""),357.86904761904765)</f>
        <v>357.8690476</v>
      </c>
      <c r="P756" s="30">
        <f>IFERROR(__xludf.DUMMYFUNCTION("""COMPUTED_VALUE"""),1.0595238095238095)</f>
        <v>1.05952381</v>
      </c>
      <c r="Q756" s="30">
        <f>IFERROR(__xludf.DUMMYFUNCTION("""COMPUTED_VALUE"""),0.6547619047619049)</f>
        <v>0.6547619048</v>
      </c>
      <c r="R756" s="30">
        <f>IFERROR(__xludf.DUMMYFUNCTION("""COMPUTED_VALUE"""),0.9523809523809524)</f>
        <v>0.9523809524</v>
      </c>
      <c r="S756" s="30">
        <f>IFERROR(__xludf.DUMMYFUNCTION("""COMPUTED_VALUE"""),2.5833333333333326)</f>
        <v>2.583333333</v>
      </c>
      <c r="T756" s="30">
        <f>IFERROR(__xludf.DUMMYFUNCTION("""COMPUTED_VALUE"""),352.9192502956603)</f>
        <v>352.9192503</v>
      </c>
      <c r="U756" s="30">
        <f>IFERROR(__xludf.DUMMYFUNCTION("""COMPUTED_VALUE"""),0.8969742035283055)</f>
        <v>0.8969742035</v>
      </c>
      <c r="V756" s="30">
        <f>IFERROR(__xludf.DUMMYFUNCTION("""COMPUTED_VALUE"""),0.6299300478624295)</f>
        <v>0.6299300479</v>
      </c>
      <c r="W756" s="30">
        <f>IFERROR(__xludf.DUMMYFUNCTION("""COMPUTED_VALUE"""),1.126271428635203)</f>
        <v>1.126271429</v>
      </c>
      <c r="X756" s="30">
        <f>IFERROR(__xludf.DUMMYFUNCTION("""COMPUTED_VALUE"""),2.659294112127323)</f>
        <v>2.659294112</v>
      </c>
      <c r="Y756" s="30">
        <f>IFERROR(__xludf.DUMMYFUNCTION("""COMPUTED_VALUE"""),332.35397648238256)</f>
        <v>332.3539765</v>
      </c>
      <c r="Z756" s="30">
        <f>IFERROR(__xludf.DUMMYFUNCTION("""COMPUTED_VALUE"""),0.744971749118981)</f>
        <v>0.7449717491</v>
      </c>
      <c r="AA756" s="30">
        <f>IFERROR(__xludf.DUMMYFUNCTION("""COMPUTED_VALUE"""),0.5052100826430336)</f>
        <v>0.5052100826</v>
      </c>
      <c r="AB756" s="30">
        <f>IFERROR(__xludf.DUMMYFUNCTION("""COMPUTED_VALUE"""),1.2482925707488879)</f>
        <v>1.248292571</v>
      </c>
      <c r="AC756" s="30">
        <f>IFERROR(__xludf.DUMMYFUNCTION("""COMPUTED_VALUE"""),2.3306350396463023)</f>
        <v>2.33063504</v>
      </c>
      <c r="AD756" s="30">
        <f>IFERROR(__xludf.DUMMYFUNCTION("""COMPUTED_VALUE"""),0.9981827312891663)</f>
        <v>0.9981827313</v>
      </c>
      <c r="AE756" s="30">
        <f>IFERROR(__xludf.DUMMYFUNCTION("""COMPUTED_VALUE"""),1.0546900424660233)</f>
        <v>1.054690042</v>
      </c>
      <c r="AF756" s="30">
        <f>IFERROR(__xludf.DUMMYFUNCTION("""COMPUTED_VALUE"""),0.6362275466613823)</f>
        <v>0.6362275467</v>
      </c>
      <c r="AG756" s="30">
        <f>IFERROR(__xludf.DUMMYFUNCTION("""COMPUTED_VALUE"""),0.8583152672179964)</f>
        <v>0.8583152672</v>
      </c>
      <c r="AH756" s="30">
        <f>IFERROR(__xludf.DUMMYFUNCTION("""COMPUTED_VALUE"""),0.9960498027099396)</f>
        <v>0.9960498027</v>
      </c>
      <c r="AI756" s="30">
        <f>IFERROR(__xludf.DUMMYFUNCTION("""COMPUTED_VALUE"""),1.0140252970594283)</f>
        <v>1.014025297</v>
      </c>
      <c r="AJ756" s="30">
        <f>IFERROR(__xludf.DUMMYFUNCTION("""COMPUTED_VALUE"""),1.1812199340361236)</f>
        <v>1.181219934</v>
      </c>
      <c r="AK756" s="30">
        <f>IFERROR(__xludf.DUMMYFUNCTION("""COMPUTED_VALUE"""),1.039420022879903)</f>
        <v>1.039420023</v>
      </c>
      <c r="AL756" s="30">
        <f>IFERROR(__xludf.DUMMYFUNCTION("""COMPUTED_VALUE"""),0.8456051784382312)</f>
        <v>0.8456051784</v>
      </c>
      <c r="AM756" s="30">
        <f>IFERROR(__xludf.DUMMYFUNCTION("""COMPUTED_VALUE"""),0.971435736104712)</f>
        <v>0.9714357361</v>
      </c>
      <c r="AN756" s="30">
        <f>IFERROR(__xludf.DUMMYFUNCTION("""COMPUTED_VALUE"""),1.0317809730162486)</f>
        <v>1.031780973</v>
      </c>
      <c r="AO756" s="30">
        <f>IFERROR(__xludf.DUMMYFUNCTION("""COMPUTED_VALUE"""),1.0705923116515021)</f>
        <v>1.070592312</v>
      </c>
      <c r="AP756" s="30">
        <f>IFERROR(__xludf.DUMMYFUNCTION("""COMPUTED_VALUE"""),0.6429674290417685)</f>
        <v>0.642967429</v>
      </c>
      <c r="AQ756" s="30">
        <f>IFERROR(__xludf.DUMMYFUNCTION("""COMPUTED_VALUE"""),0.9202559213623255)</f>
        <v>0.9202559214</v>
      </c>
      <c r="AR756" s="30">
        <f>IFERROR(__xludf.DUMMYFUNCTION("""COMPUTED_VALUE"""),1.0030844713323965)</f>
        <v>1.003084471</v>
      </c>
      <c r="AS756" s="30">
        <f>IFERROR(__xludf.DUMMYFUNCTION("""COMPUTED_VALUE"""),61.0)</f>
        <v>61</v>
      </c>
      <c r="AT756" s="30">
        <f>IFERROR(__xludf.DUMMYFUNCTION("""COMPUTED_VALUE"""),0.3517086838458955)</f>
        <v>0.3517086838</v>
      </c>
      <c r="AU756" s="30">
        <f>IFERROR(__xludf.DUMMYFUNCTION("""COMPUTED_VALUE"""),2.074247950272226)</f>
        <v>2.07424795</v>
      </c>
      <c r="AV756" s="32">
        <f>IFERROR(__xludf.DUMMYFUNCTION("""COMPUTED_VALUE"""),48.939412493411716)</f>
        <v>48.93941249</v>
      </c>
      <c r="AW756" s="32">
        <f>IFERROR(__xludf.DUMMYFUNCTION("""COMPUTED_VALUE"""),-2.0700481637602564)</f>
        <v>-2.070048164</v>
      </c>
      <c r="AX756" s="32">
        <f>IFERROR(__xludf.DUMMYFUNCTION("""COMPUTED_VALUE"""),42.23983395813161)</f>
        <v>42.23983396</v>
      </c>
      <c r="AY756" s="32">
        <f>IFERROR(__xludf.DUMMYFUNCTION("""COMPUTED_VALUE"""),-2.6446220000509135)</f>
        <v>-2.644622</v>
      </c>
      <c r="AZ756" s="30">
        <f>IFERROR(__xludf.DUMMYFUNCTION("""COMPUTED_VALUE"""),0.5745738362906572)</f>
        <v>0.5745738363</v>
      </c>
      <c r="BA756" s="30">
        <f>IFERROR(__xludf.DUMMYFUNCTION("""COMPUTED_VALUE"""),2700.0)</f>
        <v>2700</v>
      </c>
    </row>
    <row r="757">
      <c r="A757" s="71" t="str">
        <f>IFERROR(__xludf.DUMMYFUNCTION("""COMPUTED_VALUE"""),"Prospect")</f>
        <v>Prospect</v>
      </c>
      <c r="B757" s="71" t="str">
        <f>IFERROR(__xludf.DUMMYFUNCTION("""COMPUTED_VALUE"""),"RSC007864")</f>
        <v>RSC007864</v>
      </c>
      <c r="C757" s="30" t="str">
        <f>IFERROR(__xludf.DUMMYFUNCTION("""COMPUTED_VALUE"""),"z . a . c")</f>
        <v>z . a . c</v>
      </c>
      <c r="D757" s="30" t="str">
        <f>IFERROR(__xludf.DUMMYFUNCTION("""COMPUTED_VALUE"""),"Khans")</f>
        <v>Khans</v>
      </c>
      <c r="E757" s="30">
        <f>IFERROR(__xludf.DUMMYFUNCTION("""COMPUTED_VALUE"""),22.0)</f>
        <v>22</v>
      </c>
      <c r="F757" s="30">
        <f>IFERROR(__xludf.DUMMYFUNCTION("""COMPUTED_VALUE"""),9.0)</f>
        <v>9</v>
      </c>
      <c r="G757" s="42">
        <f>IFERROR(__xludf.DUMMYFUNCTION("""COMPUTED_VALUE"""),13.0)</f>
        <v>13</v>
      </c>
      <c r="H757" s="42">
        <f>IFERROR(__xludf.DUMMYFUNCTION("""COMPUTED_VALUE"""),0.4090909090909091)</f>
        <v>0.4090909091</v>
      </c>
      <c r="I757" s="42">
        <f>IFERROR(__xludf.DUMMYFUNCTION("""COMPUTED_VALUE"""),0.35135135135135137)</f>
        <v>0.3513513514</v>
      </c>
      <c r="J757" s="30">
        <f>IFERROR(__xludf.DUMMYFUNCTION("""COMPUTED_VALUE"""),297.5)</f>
        <v>297.5</v>
      </c>
      <c r="K757" s="30">
        <f>IFERROR(__xludf.DUMMYFUNCTION("""COMPUTED_VALUE"""),0.5909090909090909)</f>
        <v>0.5909090909</v>
      </c>
      <c r="L757" s="30">
        <f>IFERROR(__xludf.DUMMYFUNCTION("""COMPUTED_VALUE"""),0.4090909090909091)</f>
        <v>0.4090909091</v>
      </c>
      <c r="M757" s="30">
        <f>IFERROR(__xludf.DUMMYFUNCTION("""COMPUTED_VALUE"""),1.4545454545454546)</f>
        <v>1.454545455</v>
      </c>
      <c r="N757" s="30">
        <f>IFERROR(__xludf.DUMMYFUNCTION("""COMPUTED_VALUE"""),1.6818181818181819)</f>
        <v>1.681818182</v>
      </c>
      <c r="O757" s="30">
        <f>IFERROR(__xludf.DUMMYFUNCTION("""COMPUTED_VALUE"""),335.78787878787875)</f>
        <v>335.7878788</v>
      </c>
      <c r="P757" s="30">
        <f>IFERROR(__xludf.DUMMYFUNCTION("""COMPUTED_VALUE"""),0.9242424242424243)</f>
        <v>0.9242424242</v>
      </c>
      <c r="Q757" s="30">
        <f>IFERROR(__xludf.DUMMYFUNCTION("""COMPUTED_VALUE"""),0.5909090909090908)</f>
        <v>0.5909090909</v>
      </c>
      <c r="R757" s="30">
        <f>IFERROR(__xludf.DUMMYFUNCTION("""COMPUTED_VALUE"""),0.8787878787878789)</f>
        <v>0.8787878788</v>
      </c>
      <c r="S757" s="30">
        <f>IFERROR(__xludf.DUMMYFUNCTION("""COMPUTED_VALUE"""),2.9090909090909083)</f>
        <v>2.909090909</v>
      </c>
      <c r="T757" s="30">
        <f>IFERROR(__xludf.DUMMYFUNCTION("""COMPUTED_VALUE"""),337.46965740333735)</f>
        <v>337.4696574</v>
      </c>
      <c r="U757" s="30">
        <f>IFERROR(__xludf.DUMMYFUNCTION("""COMPUTED_VALUE"""),0.8333110685969193)</f>
        <v>0.8333110686</v>
      </c>
      <c r="V757" s="30">
        <f>IFERROR(__xludf.DUMMYFUNCTION("""COMPUTED_VALUE"""),0.5693513269482053)</f>
        <v>0.5693513269</v>
      </c>
      <c r="W757" s="30">
        <f>IFERROR(__xludf.DUMMYFUNCTION("""COMPUTED_VALUE"""),1.143482812591801)</f>
        <v>1.143482813</v>
      </c>
      <c r="X757" s="30">
        <f>IFERROR(__xludf.DUMMYFUNCTION("""COMPUTED_VALUE"""),2.5702620153371165)</f>
        <v>2.570262015</v>
      </c>
      <c r="Y757" s="30">
        <f>IFERROR(__xludf.DUMMYFUNCTION("""COMPUTED_VALUE"""),320.8505007962392)</f>
        <v>320.8505008</v>
      </c>
      <c r="Z757" s="30">
        <f>IFERROR(__xludf.DUMMYFUNCTION("""COMPUTED_VALUE"""),0.7200031973677086)</f>
        <v>0.7200031974</v>
      </c>
      <c r="AA757" s="30">
        <f>IFERROR(__xludf.DUMMYFUNCTION("""COMPUTED_VALUE"""),0.46369524986482824)</f>
        <v>0.4636952499</v>
      </c>
      <c r="AB757" s="30">
        <f>IFERROR(__xludf.DUMMYFUNCTION("""COMPUTED_VALUE"""),1.2363244636403488)</f>
        <v>1.236324464</v>
      </c>
      <c r="AC757" s="30">
        <f>IFERROR(__xludf.DUMMYFUNCTION("""COMPUTED_VALUE"""),2.2559074215143666)</f>
        <v>2.255907422</v>
      </c>
      <c r="AD757" s="30">
        <f>IFERROR(__xludf.DUMMYFUNCTION("""COMPUTED_VALUE"""),0.9272231125141105)</f>
        <v>0.9272231125</v>
      </c>
      <c r="AE757" s="30">
        <f>IFERROR(__xludf.DUMMYFUNCTION("""COMPUTED_VALUE"""),0.8207034261367471)</f>
        <v>0.8207034261</v>
      </c>
      <c r="AF757" s="30">
        <f>IFERROR(__xludf.DUMMYFUNCTION("""COMPUTED_VALUE"""),0.8822408881914645)</f>
        <v>0.8822408882</v>
      </c>
      <c r="AG757" s="30">
        <f>IFERROR(__xludf.DUMMYFUNCTION("""COMPUTED_VALUE"""),1.1765078644990616)</f>
        <v>1.176507864</v>
      </c>
      <c r="AH757" s="30">
        <f>IFERROR(__xludf.DUMMYFUNCTION("""COMPUTED_VALUE"""),0.7455173761914375)</f>
        <v>0.7455173762</v>
      </c>
      <c r="AI757" s="30">
        <f>IFERROR(__xludf.DUMMYFUNCTION("""COMPUTED_VALUE"""),0.9950165042143372)</f>
        <v>0.9950165042</v>
      </c>
      <c r="AJ757" s="30">
        <f>IFERROR(__xludf.DUMMYFUNCTION("""COMPUTED_VALUE"""),1.109120542222738)</f>
        <v>1.109120542</v>
      </c>
      <c r="AK757" s="30">
        <f>IFERROR(__xludf.DUMMYFUNCTION("""COMPUTED_VALUE"""),1.0378637283176941)</f>
        <v>1.037863728</v>
      </c>
      <c r="AL757" s="30">
        <f>IFERROR(__xludf.DUMMYFUNCTION("""COMPUTED_VALUE"""),0.7685186599316096)</f>
        <v>0.7685186599</v>
      </c>
      <c r="AM757" s="30">
        <f>IFERROR(__xludf.DUMMYFUNCTION("""COMPUTED_VALUE"""),1.1318265965617327)</f>
        <v>1.131826597</v>
      </c>
      <c r="AN757" s="30">
        <f>IFERROR(__xludf.DUMMYFUNCTION("""COMPUTED_VALUE"""),0.9252595010469751)</f>
        <v>0.925259501</v>
      </c>
      <c r="AO757" s="30">
        <f>IFERROR(__xludf.DUMMYFUNCTION("""COMPUTED_VALUE"""),0.8051562013246836)</f>
        <v>0.8051562013</v>
      </c>
      <c r="AP757" s="30">
        <f>IFERROR(__xludf.DUMMYFUNCTION("""COMPUTED_VALUE"""),0.8183221824167962)</f>
        <v>0.8183221824</v>
      </c>
      <c r="AQ757" s="30">
        <f>IFERROR(__xludf.DUMMYFUNCTION("""COMPUTED_VALUE"""),1.249317129607036)</f>
        <v>1.24931713</v>
      </c>
      <c r="AR757" s="30">
        <f>IFERROR(__xludf.DUMMYFUNCTION("""COMPUTED_VALUE"""),0.7267101484617922)</f>
        <v>0.7267101485</v>
      </c>
      <c r="AS757" s="30">
        <f>IFERROR(__xludf.DUMMYFUNCTION("""COMPUTED_VALUE"""),42.0)</f>
        <v>42</v>
      </c>
      <c r="AT757" s="30">
        <f>IFERROR(__xludf.DUMMYFUNCTION("""COMPUTED_VALUE"""),0.3586473023794482)</f>
        <v>0.3586473024</v>
      </c>
      <c r="AU757" s="30">
        <f>IFERROR(__xludf.DUMMYFUNCTION("""COMPUTED_VALUE"""),1.4955138761607298)</f>
        <v>1.495513876</v>
      </c>
      <c r="AV757" s="32">
        <f>IFERROR(__xludf.DUMMYFUNCTION("""COMPUTED_VALUE"""),33.28016917076306)</f>
        <v>33.28016917</v>
      </c>
      <c r="AW757" s="32">
        <f>IFERROR(__xludf.DUMMYFUNCTION("""COMPUTED_VALUE"""),-3.9711899391342187)</f>
        <v>-3.971189939</v>
      </c>
      <c r="AX757" s="32">
        <f>IFERROR(__xludf.DUMMYFUNCTION("""COMPUTED_VALUE"""),30.77916058667502)</f>
        <v>30.77916059</v>
      </c>
      <c r="AY757" s="32">
        <f>IFERROR(__xludf.DUMMYFUNCTION("""COMPUTED_VALUE"""),-4.524967615695332)</f>
        <v>-4.524967616</v>
      </c>
      <c r="AZ757" s="30">
        <f>IFERROR(__xludf.DUMMYFUNCTION("""COMPUTED_VALUE"""),0.5537776765611135)</f>
        <v>0.5537776766</v>
      </c>
      <c r="BA757" s="30">
        <f>IFERROR(__xludf.DUMMYFUNCTION("""COMPUTED_VALUE"""),2700.0)</f>
        <v>2700</v>
      </c>
    </row>
    <row r="758">
      <c r="A758" s="71" t="str">
        <f>IFERROR(__xludf.DUMMYFUNCTION("""COMPUTED_VALUE"""),"Prospect")</f>
        <v>Prospect</v>
      </c>
      <c r="B758" s="71" t="str">
        <f>IFERROR(__xludf.DUMMYFUNCTION("""COMPUTED_VALUE"""),"RSC007442")</f>
        <v>RSC007442</v>
      </c>
      <c r="C758" s="30" t="str">
        <f>IFERROR(__xludf.DUMMYFUNCTION("""COMPUTED_VALUE"""),"willbong")</f>
        <v>willbong</v>
      </c>
      <c r="D758" s="30" t="str">
        <f>IFERROR(__xludf.DUMMYFUNCTION("""COMPUTED_VALUE"""),"Mop Tops")</f>
        <v>Mop Tops</v>
      </c>
      <c r="E758" s="30">
        <f>IFERROR(__xludf.DUMMYFUNCTION("""COMPUTED_VALUE"""),40.0)</f>
        <v>40</v>
      </c>
      <c r="F758" s="30">
        <f>IFERROR(__xludf.DUMMYFUNCTION("""COMPUTED_VALUE"""),20.0)</f>
        <v>20</v>
      </c>
      <c r="G758" s="42">
        <f>IFERROR(__xludf.DUMMYFUNCTION("""COMPUTED_VALUE"""),20.0)</f>
        <v>20</v>
      </c>
      <c r="H758" s="42">
        <f>IFERROR(__xludf.DUMMYFUNCTION("""COMPUTED_VALUE"""),0.5)</f>
        <v>0.5</v>
      </c>
      <c r="I758" s="42">
        <f>IFERROR(__xludf.DUMMYFUNCTION("""COMPUTED_VALUE"""),0.3298969072164949)</f>
        <v>0.3298969072</v>
      </c>
      <c r="J758" s="30">
        <f>IFERROR(__xludf.DUMMYFUNCTION("""COMPUTED_VALUE"""),332.975)</f>
        <v>332.975</v>
      </c>
      <c r="K758" s="30">
        <f>IFERROR(__xludf.DUMMYFUNCTION("""COMPUTED_VALUE"""),0.8)</f>
        <v>0.8</v>
      </c>
      <c r="L758" s="30">
        <f>IFERROR(__xludf.DUMMYFUNCTION("""COMPUTED_VALUE"""),0.725)</f>
        <v>0.725</v>
      </c>
      <c r="M758" s="30">
        <f>IFERROR(__xludf.DUMMYFUNCTION("""COMPUTED_VALUE"""),1.1)</f>
        <v>1.1</v>
      </c>
      <c r="N758" s="30">
        <f>IFERROR(__xludf.DUMMYFUNCTION("""COMPUTED_VALUE"""),2.425)</f>
        <v>2.425</v>
      </c>
      <c r="O758" s="30">
        <f>IFERROR(__xludf.DUMMYFUNCTION("""COMPUTED_VALUE"""),338.1916666666667)</f>
        <v>338.1916667</v>
      </c>
      <c r="P758" s="30">
        <f>IFERROR(__xludf.DUMMYFUNCTION("""COMPUTED_VALUE"""),0.7416666666666666)</f>
        <v>0.7416666667</v>
      </c>
      <c r="Q758" s="30">
        <f>IFERROR(__xludf.DUMMYFUNCTION("""COMPUTED_VALUE"""),0.5249999999999998)</f>
        <v>0.525</v>
      </c>
      <c r="R758" s="30">
        <f>IFERROR(__xludf.DUMMYFUNCTION("""COMPUTED_VALUE"""),1.2666666666666668)</f>
        <v>1.266666667</v>
      </c>
      <c r="S758" s="30">
        <f>IFERROR(__xludf.DUMMYFUNCTION("""COMPUTED_VALUE"""),2.2583333333333337)</f>
        <v>2.258333333</v>
      </c>
      <c r="T758" s="30">
        <f>IFERROR(__xludf.DUMMYFUNCTION("""COMPUTED_VALUE"""),334.924339854763)</f>
        <v>334.9243399</v>
      </c>
      <c r="U758" s="30">
        <f>IFERROR(__xludf.DUMMYFUNCTION("""COMPUTED_VALUE"""),0.8084778661420182)</f>
        <v>0.8084778661</v>
      </c>
      <c r="V758" s="30">
        <f>IFERROR(__xludf.DUMMYFUNCTION("""COMPUTED_VALUE"""),0.5279982328854329)</f>
        <v>0.5279982329</v>
      </c>
      <c r="W758" s="30">
        <f>IFERROR(__xludf.DUMMYFUNCTION("""COMPUTED_VALUE"""),1.1545464900627969)</f>
        <v>1.15454649</v>
      </c>
      <c r="X758" s="30">
        <f>IFERROR(__xludf.DUMMYFUNCTION("""COMPUTED_VALUE"""),2.4653171997130063)</f>
        <v>2.4653172</v>
      </c>
      <c r="Y758" s="30">
        <f>IFERROR(__xludf.DUMMYFUNCTION("""COMPUTED_VALUE"""),336.0739473420672)</f>
        <v>336.0739473</v>
      </c>
      <c r="Z758" s="30">
        <f>IFERROR(__xludf.DUMMYFUNCTION("""COMPUTED_VALUE"""),0.7923161766743363)</f>
        <v>0.7923161767</v>
      </c>
      <c r="AA758" s="30">
        <f>IFERROR(__xludf.DUMMYFUNCTION("""COMPUTED_VALUE"""),0.5341977456900276)</f>
        <v>0.5341977457</v>
      </c>
      <c r="AB758" s="30">
        <f>IFERROR(__xludf.DUMMYFUNCTION("""COMPUTED_VALUE"""),1.2065243054609391)</f>
        <v>1.206524305</v>
      </c>
      <c r="AC758" s="30">
        <f>IFERROR(__xludf.DUMMYFUNCTION("""COMPUTED_VALUE"""),2.407770218720138)</f>
        <v>2.407770219</v>
      </c>
      <c r="AD758" s="30">
        <f>IFERROR(__xludf.DUMMYFUNCTION("""COMPUTED_VALUE"""),0.9907789718108886)</f>
        <v>0.9907789718</v>
      </c>
      <c r="AE758" s="30">
        <f>IFERROR(__xludf.DUMMYFUNCTION("""COMPUTED_VALUE"""),1.0096979255906597)</f>
        <v>1.009697926</v>
      </c>
      <c r="AF758" s="30">
        <f>IFERROR(__xludf.DUMMYFUNCTION("""COMPUTED_VALUE"""),1.3571753266452136)</f>
        <v>1.357175327</v>
      </c>
      <c r="AG758" s="30">
        <f>IFERROR(__xludf.DUMMYFUNCTION("""COMPUTED_VALUE"""),0.9117097724606198)</f>
        <v>0.9117097725</v>
      </c>
      <c r="AH758" s="30">
        <f>IFERROR(__xludf.DUMMYFUNCTION("""COMPUTED_VALUE"""),1.0071559076301808)</f>
        <v>1.007155908</v>
      </c>
      <c r="AI758" s="30">
        <f>IFERROR(__xludf.DUMMYFUNCTION("""COMPUTED_VALUE"""),1.0097554176364745)</f>
        <v>1.009755418</v>
      </c>
      <c r="AJ758" s="30">
        <f>IFERROR(__xludf.DUMMYFUNCTION("""COMPUTED_VALUE"""),0.9173617457282183)</f>
        <v>0.9173617457</v>
      </c>
      <c r="AK758" s="30">
        <f>IFERROR(__xludf.DUMMYFUNCTION("""COMPUTED_VALUE"""),0.9943215096212572)</f>
        <v>0.9943215096</v>
      </c>
      <c r="AL758" s="30">
        <f>IFERROR(__xludf.DUMMYFUNCTION("""COMPUTED_VALUE"""),1.0971118768874968)</f>
        <v>1.097111877</v>
      </c>
      <c r="AM758" s="30">
        <f>IFERROR(__xludf.DUMMYFUNCTION("""COMPUTED_VALUE"""),0.9160416897250512)</f>
        <v>0.9160416897</v>
      </c>
      <c r="AN758" s="30">
        <f>IFERROR(__xludf.DUMMYFUNCTION("""COMPUTED_VALUE"""),1.0355908650793835)</f>
        <v>1.035590865</v>
      </c>
      <c r="AO758" s="30">
        <f>IFERROR(__xludf.DUMMYFUNCTION("""COMPUTED_VALUE"""),1.0900576264088024)</f>
        <v>1.090057626</v>
      </c>
      <c r="AP758" s="30">
        <f>IFERROR(__xludf.DUMMYFUNCTION("""COMPUTED_VALUE"""),1.4502487566164333)</f>
        <v>1.450248757</v>
      </c>
      <c r="AQ758" s="30">
        <f>IFERROR(__xludf.DUMMYFUNCTION("""COMPUTED_VALUE"""),0.9447960792653209)</f>
        <v>0.9447960793</v>
      </c>
      <c r="AR758" s="30">
        <f>IFERROR(__xludf.DUMMYFUNCTION("""COMPUTED_VALUE"""),1.047837470822611)</f>
        <v>1.047837471</v>
      </c>
      <c r="AS758" s="30">
        <f>IFERROR(__xludf.DUMMYFUNCTION("""COMPUTED_VALUE"""),99.0)</f>
        <v>99</v>
      </c>
      <c r="AT758" s="30">
        <f>IFERROR(__xludf.DUMMYFUNCTION("""COMPUTED_VALUE"""),0.5414112503230509)</f>
        <v>0.5414112503</v>
      </c>
      <c r="AU758" s="30">
        <f>IFERROR(__xludf.DUMMYFUNCTION("""COMPUTED_VALUE"""),2.59984663905738)</f>
        <v>2.599846639</v>
      </c>
      <c r="AV758" s="32">
        <f>IFERROR(__xludf.DUMMYFUNCTION("""COMPUTED_VALUE"""),63.16093171255858)</f>
        <v>63.16093171</v>
      </c>
      <c r="AW758" s="32">
        <f>IFERROR(__xludf.DUMMYFUNCTION("""COMPUTED_VALUE"""),3.341216224734239)</f>
        <v>3.341216225</v>
      </c>
      <c r="AX758" s="32">
        <f>IFERROR(__xludf.DUMMYFUNCTION("""COMPUTED_VALUE"""),59.38021878506373)</f>
        <v>59.38021879</v>
      </c>
      <c r="AY758" s="32">
        <f>IFERROR(__xludf.DUMMYFUNCTION("""COMPUTED_VALUE"""),2.826834258292293)</f>
        <v>2.826834258</v>
      </c>
      <c r="AZ758" s="30">
        <f>IFERROR(__xludf.DUMMYFUNCTION("""COMPUTED_VALUE"""),0.5143819664419458)</f>
        <v>0.5143819664</v>
      </c>
      <c r="BA758" s="30">
        <f>IFERROR(__xludf.DUMMYFUNCTION("""COMPUTED_VALUE"""),2700.0)</f>
        <v>2700</v>
      </c>
    </row>
    <row r="759">
      <c r="A759" s="71" t="str">
        <f>IFERROR(__xludf.DUMMYFUNCTION("""COMPUTED_VALUE"""),"Prospect")</f>
        <v>Prospect</v>
      </c>
      <c r="B759" s="71" t="str">
        <f>IFERROR(__xludf.DUMMYFUNCTION("""COMPUTED_VALUE"""),"RSC007431")</f>
        <v>RSC007431</v>
      </c>
      <c r="C759" s="30" t="str">
        <f>IFERROR(__xludf.DUMMYFUNCTION("""COMPUTED_VALUE"""),"xPotatodactylx")</f>
        <v>xPotatodactylx</v>
      </c>
      <c r="D759" s="30" t="str">
        <f>IFERROR(__xludf.DUMMYFUNCTION("""COMPUTED_VALUE"""),"Hawaiian Pizza")</f>
        <v>Hawaiian Pizza</v>
      </c>
      <c r="E759" s="30">
        <f>IFERROR(__xludf.DUMMYFUNCTION("""COMPUTED_VALUE"""),43.0)</f>
        <v>43</v>
      </c>
      <c r="F759" s="30">
        <f>IFERROR(__xludf.DUMMYFUNCTION("""COMPUTED_VALUE"""),27.0)</f>
        <v>27</v>
      </c>
      <c r="G759" s="42">
        <f>IFERROR(__xludf.DUMMYFUNCTION("""COMPUTED_VALUE"""),16.0)</f>
        <v>16</v>
      </c>
      <c r="H759" s="42">
        <f>IFERROR(__xludf.DUMMYFUNCTION("""COMPUTED_VALUE"""),0.627906976744186)</f>
        <v>0.6279069767</v>
      </c>
      <c r="I759" s="42">
        <f>IFERROR(__xludf.DUMMYFUNCTION("""COMPUTED_VALUE"""),0.3047619047619048)</f>
        <v>0.3047619048</v>
      </c>
      <c r="J759" s="30">
        <f>IFERROR(__xludf.DUMMYFUNCTION("""COMPUTED_VALUE"""),321.7906976744186)</f>
        <v>321.7906977</v>
      </c>
      <c r="K759" s="30">
        <f>IFERROR(__xludf.DUMMYFUNCTION("""COMPUTED_VALUE"""),0.7441860465116279)</f>
        <v>0.7441860465</v>
      </c>
      <c r="L759" s="30">
        <f>IFERROR(__xludf.DUMMYFUNCTION("""COMPUTED_VALUE"""),0.6976744186046512)</f>
        <v>0.6976744186</v>
      </c>
      <c r="M759" s="30">
        <f>IFERROR(__xludf.DUMMYFUNCTION("""COMPUTED_VALUE"""),1.1162790697674418)</f>
        <v>1.11627907</v>
      </c>
      <c r="N759" s="30">
        <f>IFERROR(__xludf.DUMMYFUNCTION("""COMPUTED_VALUE"""),2.441860465116279)</f>
        <v>2.441860465</v>
      </c>
      <c r="O759" s="30">
        <f>IFERROR(__xludf.DUMMYFUNCTION("""COMPUTED_VALUE"""),304.21705426356596)</f>
        <v>304.2170543</v>
      </c>
      <c r="P759" s="30">
        <f>IFERROR(__xludf.DUMMYFUNCTION("""COMPUTED_VALUE"""),0.6046511627906976)</f>
        <v>0.6046511628</v>
      </c>
      <c r="Q759" s="30">
        <f>IFERROR(__xludf.DUMMYFUNCTION("""COMPUTED_VALUE"""),0.43410852713178305)</f>
        <v>0.4341085271</v>
      </c>
      <c r="R759" s="30">
        <f>IFERROR(__xludf.DUMMYFUNCTION("""COMPUTED_VALUE"""),1.1395348837209305)</f>
        <v>1.139534884</v>
      </c>
      <c r="S759" s="30">
        <f>IFERROR(__xludf.DUMMYFUNCTION("""COMPUTED_VALUE"""),2.147286821705426)</f>
        <v>2.147286822</v>
      </c>
      <c r="T759" s="30">
        <f>IFERROR(__xludf.DUMMYFUNCTION("""COMPUTED_VALUE"""),328.8666627379299)</f>
        <v>328.8666627</v>
      </c>
      <c r="U759" s="30">
        <f>IFERROR(__xludf.DUMMYFUNCTION("""COMPUTED_VALUE"""),0.7537623598468741)</f>
        <v>0.7537623598</v>
      </c>
      <c r="V759" s="30">
        <f>IFERROR(__xludf.DUMMYFUNCTION("""COMPUTED_VALUE"""),0.5112139253607374)</f>
        <v>0.5112139254</v>
      </c>
      <c r="W759" s="30">
        <f>IFERROR(__xludf.DUMMYFUNCTION("""COMPUTED_VALUE"""),1.1790957308966996)</f>
        <v>1.179095731</v>
      </c>
      <c r="X759" s="30">
        <f>IFERROR(__xludf.DUMMYFUNCTION("""COMPUTED_VALUE"""),2.344764559432218)</f>
        <v>2.344764559</v>
      </c>
      <c r="Y759" s="30">
        <f>IFERROR(__xludf.DUMMYFUNCTION("""COMPUTED_VALUE"""),336.038839723794)</f>
        <v>336.0388397</v>
      </c>
      <c r="Z759" s="30">
        <f>IFERROR(__xludf.DUMMYFUNCTION("""COMPUTED_VALUE"""),0.8350458739373444)</f>
        <v>0.8350458739</v>
      </c>
      <c r="AA759" s="30">
        <f>IFERROR(__xludf.DUMMYFUNCTION("""COMPUTED_VALUE"""),0.5475770040359874)</f>
        <v>0.547577004</v>
      </c>
      <c r="AB759" s="30">
        <f>IFERROR(__xludf.DUMMYFUNCTION("""COMPUTED_VALUE"""),1.1600760067833236)</f>
        <v>1.160076007</v>
      </c>
      <c r="AC759" s="30">
        <f>IFERROR(__xludf.DUMMYFUNCTION("""COMPUTED_VALUE"""),2.463214903615253)</f>
        <v>2.463214904</v>
      </c>
      <c r="AD759" s="30">
        <f>IFERROR(__xludf.DUMMYFUNCTION("""COMPUTED_VALUE"""),0.957599716565244)</f>
        <v>0.9575997166</v>
      </c>
      <c r="AE759" s="30">
        <f>IFERROR(__xludf.DUMMYFUNCTION("""COMPUTED_VALUE"""),0.8911918132146427)</f>
        <v>0.8911918132</v>
      </c>
      <c r="AF759" s="30">
        <f>IFERROR(__xludf.DUMMYFUNCTION("""COMPUTED_VALUE"""),1.2741119759638393)</f>
        <v>1.274111976</v>
      </c>
      <c r="AG759" s="30">
        <f>IFERROR(__xludf.DUMMYFUNCTION("""COMPUTED_VALUE"""),0.9622464935402616)</f>
        <v>0.9622464935</v>
      </c>
      <c r="AH759" s="30">
        <f>IFERROR(__xludf.DUMMYFUNCTION("""COMPUTED_VALUE"""),0.9913306636511364)</f>
        <v>0.9913306637</v>
      </c>
      <c r="AI759" s="30">
        <f>IFERROR(__xludf.DUMMYFUNCTION("""COMPUTED_VALUE"""),0.9250468008245428)</f>
        <v>0.9250468008</v>
      </c>
      <c r="AJ759" s="30">
        <f>IFERROR(__xludf.DUMMYFUNCTION("""COMPUTED_VALUE"""),0.8021774434498583)</f>
        <v>0.8021774434</v>
      </c>
      <c r="AK759" s="30">
        <f>IFERROR(__xludf.DUMMYFUNCTION("""COMPUTED_VALUE"""),0.8491719524765585)</f>
        <v>0.8491719525</v>
      </c>
      <c r="AL759" s="30">
        <f>IFERROR(__xludf.DUMMYFUNCTION("""COMPUTED_VALUE"""),0.9664481465421954)</f>
        <v>0.9664481465</v>
      </c>
      <c r="AM759" s="30">
        <f>IFERROR(__xludf.DUMMYFUNCTION("""COMPUTED_VALUE"""),0.9157792892542649)</f>
        <v>0.9157792893</v>
      </c>
      <c r="AN759" s="30">
        <f>IFERROR(__xludf.DUMMYFUNCTION("""COMPUTED_VALUE"""),1.000806387804338)</f>
        <v>1.000806388</v>
      </c>
      <c r="AO759" s="30">
        <f>IFERROR(__xludf.DUMMYFUNCTION("""COMPUTED_VALUE"""),1.0140070943337696)</f>
        <v>1.014007094</v>
      </c>
      <c r="AP759" s="30">
        <f>IFERROR(__xludf.DUMMYFUNCTION("""COMPUTED_VALUE"""),1.3955882180751564)</f>
        <v>1.395588218</v>
      </c>
      <c r="AQ759" s="30">
        <f>IFERROR(__xludf.DUMMYFUNCTION("""COMPUTED_VALUE"""),0.9587782622565624)</f>
        <v>0.9587782623</v>
      </c>
      <c r="AR759" s="30">
        <f>IFERROR(__xludf.DUMMYFUNCTION("""COMPUTED_VALUE"""),1.055122842832646)</f>
        <v>1.055122843</v>
      </c>
      <c r="AS759" s="30">
        <f>IFERROR(__xludf.DUMMYFUNCTION("""COMPUTED_VALUE"""),112.0)</f>
        <v>112</v>
      </c>
      <c r="AT759" s="30">
        <f>IFERROR(__xludf.DUMMYFUNCTION("""COMPUTED_VALUE"""),0.6351056071507227)</f>
        <v>0.6351056072</v>
      </c>
      <c r="AU759" s="30">
        <f>IFERROR(__xludf.DUMMYFUNCTION("""COMPUTED_VALUE"""),2.5410152104130037)</f>
        <v>2.54101521</v>
      </c>
      <c r="AV759" s="32">
        <f>IFERROR(__xludf.DUMMYFUNCTION("""COMPUTED_VALUE"""),61.56908547890509)</f>
        <v>61.56908548</v>
      </c>
      <c r="AW759" s="32">
        <f>IFERROR(__xludf.DUMMYFUNCTION("""COMPUTED_VALUE"""),3.1078391214003767)</f>
        <v>3.107839121</v>
      </c>
      <c r="AX759" s="32">
        <f>IFERROR(__xludf.DUMMYFUNCTION("""COMPUTED_VALUE"""),57.336575194782085)</f>
        <v>57.33657519</v>
      </c>
      <c r="AY759" s="32">
        <f>IFERROR(__xludf.DUMMYFUNCTION("""COMPUTED_VALUE"""),2.600211261585052)</f>
        <v>2.600211262</v>
      </c>
      <c r="AZ759" s="30">
        <f>IFERROR(__xludf.DUMMYFUNCTION("""COMPUTED_VALUE"""),0.5076278598153245)</f>
        <v>0.5076278598</v>
      </c>
      <c r="BA759" s="30">
        <f>IFERROR(__xludf.DUMMYFUNCTION("""COMPUTED_VALUE"""),2700.0)</f>
        <v>2700</v>
      </c>
    </row>
    <row r="760">
      <c r="A760" s="71" t="str">
        <f>IFERROR(__xludf.DUMMYFUNCTION("""COMPUTED_VALUE"""),"Prospect")</f>
        <v>Prospect</v>
      </c>
      <c r="B760" s="71" t="str">
        <f>IFERROR(__xludf.DUMMYFUNCTION("""COMPUTED_VALUE"""),"RSC004106")</f>
        <v>RSC004106</v>
      </c>
      <c r="C760" s="30" t="str">
        <f>IFERROR(__xludf.DUMMYFUNCTION("""COMPUTED_VALUE"""),"K.Doughboy")</f>
        <v>K.Doughboy</v>
      </c>
      <c r="D760" s="30" t="str">
        <f>IFERROR(__xludf.DUMMYFUNCTION("""COMPUTED_VALUE"""),"Blacktips")</f>
        <v>Blacktips</v>
      </c>
      <c r="E760" s="30">
        <f>IFERROR(__xludf.DUMMYFUNCTION("""COMPUTED_VALUE"""),48.0)</f>
        <v>48</v>
      </c>
      <c r="F760" s="30">
        <f>IFERROR(__xludf.DUMMYFUNCTION("""COMPUTED_VALUE"""),30.0)</f>
        <v>30</v>
      </c>
      <c r="G760" s="42">
        <f>IFERROR(__xludf.DUMMYFUNCTION("""COMPUTED_VALUE"""),18.0)</f>
        <v>18</v>
      </c>
      <c r="H760" s="42">
        <f>IFERROR(__xludf.DUMMYFUNCTION("""COMPUTED_VALUE"""),0.625)</f>
        <v>0.625</v>
      </c>
      <c r="I760" s="42">
        <f>IFERROR(__xludf.DUMMYFUNCTION("""COMPUTED_VALUE"""),0.3333333333333333)</f>
        <v>0.3333333333</v>
      </c>
      <c r="J760" s="30">
        <f>IFERROR(__xludf.DUMMYFUNCTION("""COMPUTED_VALUE"""),301.25)</f>
        <v>301.25</v>
      </c>
      <c r="K760" s="30">
        <f>IFERROR(__xludf.DUMMYFUNCTION("""COMPUTED_VALUE"""),0.6666666666666666)</f>
        <v>0.6666666667</v>
      </c>
      <c r="L760" s="30">
        <f>IFERROR(__xludf.DUMMYFUNCTION("""COMPUTED_VALUE"""),0.5625)</f>
        <v>0.5625</v>
      </c>
      <c r="M760" s="30">
        <f>IFERROR(__xludf.DUMMYFUNCTION("""COMPUTED_VALUE"""),0.9791666666666666)</f>
        <v>0.9791666667</v>
      </c>
      <c r="N760" s="30">
        <f>IFERROR(__xludf.DUMMYFUNCTION("""COMPUTED_VALUE"""),2.0)</f>
        <v>2</v>
      </c>
      <c r="O760" s="30">
        <f>IFERROR(__xludf.DUMMYFUNCTION("""COMPUTED_VALUE"""),320.0138888888889)</f>
        <v>320.0138889</v>
      </c>
      <c r="P760" s="30">
        <f>IFERROR(__xludf.DUMMYFUNCTION("""COMPUTED_VALUE"""),0.7152777777777778)</f>
        <v>0.7152777778</v>
      </c>
      <c r="Q760" s="30">
        <f>IFERROR(__xludf.DUMMYFUNCTION("""COMPUTED_VALUE"""),0.4861111111111111)</f>
        <v>0.4861111111</v>
      </c>
      <c r="R760" s="30">
        <f>IFERROR(__xludf.DUMMYFUNCTION("""COMPUTED_VALUE"""),1.1388888888888886)</f>
        <v>1.138888889</v>
      </c>
      <c r="S760" s="30">
        <f>IFERROR(__xludf.DUMMYFUNCTION("""COMPUTED_VALUE"""),2.2708333333333335)</f>
        <v>2.270833333</v>
      </c>
      <c r="T760" s="30">
        <f>IFERROR(__xludf.DUMMYFUNCTION("""COMPUTED_VALUE"""),328.91177524377713)</f>
        <v>328.9117752</v>
      </c>
      <c r="U760" s="30">
        <f>IFERROR(__xludf.DUMMYFUNCTION("""COMPUTED_VALUE"""),0.7433972776344633)</f>
        <v>0.7433972776</v>
      </c>
      <c r="V760" s="30">
        <f>IFERROR(__xludf.DUMMYFUNCTION("""COMPUTED_VALUE"""),0.5183885582749898)</f>
        <v>0.5183885583</v>
      </c>
      <c r="W760" s="30">
        <f>IFERROR(__xludf.DUMMYFUNCTION("""COMPUTED_VALUE"""),1.2151656027169129)</f>
        <v>1.215165603</v>
      </c>
      <c r="X760" s="30">
        <f>IFERROR(__xludf.DUMMYFUNCTION("""COMPUTED_VALUE"""),2.391674462084739)</f>
        <v>2.391674462</v>
      </c>
      <c r="Y760" s="30">
        <f>IFERROR(__xludf.DUMMYFUNCTION("""COMPUTED_VALUE"""),338.21950742330733)</f>
        <v>338.2195074</v>
      </c>
      <c r="Z760" s="30">
        <f>IFERROR(__xludf.DUMMYFUNCTION("""COMPUTED_VALUE"""),0.7997232476731221)</f>
        <v>0.7997232477</v>
      </c>
      <c r="AA760" s="30">
        <f>IFERROR(__xludf.DUMMYFUNCTION("""COMPUTED_VALUE"""),0.5333226738158519)</f>
        <v>0.5333226738</v>
      </c>
      <c r="AB760" s="30">
        <f>IFERROR(__xludf.DUMMYFUNCTION("""COMPUTED_VALUE"""),1.195595667356877)</f>
        <v>1.195595667</v>
      </c>
      <c r="AC760" s="30">
        <f>IFERROR(__xludf.DUMMYFUNCTION("""COMPUTED_VALUE"""),2.4953686947637252)</f>
        <v>2.495368695</v>
      </c>
      <c r="AD760" s="30">
        <f>IFERROR(__xludf.DUMMYFUNCTION("""COMPUTED_VALUE"""),0.8906937458901885)</f>
        <v>0.8906937459</v>
      </c>
      <c r="AE760" s="30">
        <f>IFERROR(__xludf.DUMMYFUNCTION("""COMPUTED_VALUE"""),0.8336217167706486)</f>
        <v>0.8336217168</v>
      </c>
      <c r="AF760" s="30">
        <f>IFERROR(__xludf.DUMMYFUNCTION("""COMPUTED_VALUE"""),1.0547085800335252)</f>
        <v>1.05470858</v>
      </c>
      <c r="AG760" s="30">
        <f>IFERROR(__xludf.DUMMYFUNCTION("""COMPUTED_VALUE"""),0.8189780988679278)</f>
        <v>0.8189780989</v>
      </c>
      <c r="AH760" s="30">
        <f>IFERROR(__xludf.DUMMYFUNCTION("""COMPUTED_VALUE"""),0.8014847682415807)</f>
        <v>0.8014847682</v>
      </c>
      <c r="AI760" s="30">
        <f>IFERROR(__xludf.DUMMYFUNCTION("""COMPUTED_VALUE"""),0.9729474983122953)</f>
        <v>0.9729474983</v>
      </c>
      <c r="AJ760" s="30">
        <f>IFERROR(__xludf.DUMMYFUNCTION("""COMPUTED_VALUE"""),0.9621743303309322)</f>
        <v>0.9621743303</v>
      </c>
      <c r="AK760" s="30">
        <f>IFERROR(__xludf.DUMMYFUNCTION("""COMPUTED_VALUE"""),0.9377350316695138)</f>
        <v>0.9377350317</v>
      </c>
      <c r="AL760" s="30">
        <f>IFERROR(__xludf.DUMMYFUNCTION("""COMPUTED_VALUE"""),0.9372293672093072)</f>
        <v>0.9372293672</v>
      </c>
      <c r="AM760" s="30">
        <f>IFERROR(__xludf.DUMMYFUNCTION("""COMPUTED_VALUE"""),0.9494742571921463)</f>
        <v>0.9494742572</v>
      </c>
      <c r="AN760" s="30">
        <f>IFERROR(__xludf.DUMMYFUNCTION("""COMPUTED_VALUE"""),0.9369224359341218)</f>
        <v>0.9369224359</v>
      </c>
      <c r="AO760" s="30">
        <f>IFERROR(__xludf.DUMMYFUNCTION("""COMPUTED_VALUE"""),0.9083813553406686)</f>
        <v>0.9083813553</v>
      </c>
      <c r="AP760" s="30">
        <f>IFERROR(__xludf.DUMMYFUNCTION("""COMPUTED_VALUE"""),1.1251930008230948)</f>
        <v>1.125193001</v>
      </c>
      <c r="AQ760" s="30">
        <f>IFERROR(__xludf.DUMMYFUNCTION("""COMPUTED_VALUE"""),0.8410116614672364)</f>
        <v>0.8410116615</v>
      </c>
      <c r="AR760" s="30">
        <f>IFERROR(__xludf.DUMMYFUNCTION("""COMPUTED_VALUE"""),0.8641958522248339)</f>
        <v>0.8641958522</v>
      </c>
      <c r="AS760" s="30">
        <f>IFERROR(__xludf.DUMMYFUNCTION("""COMPUTED_VALUE"""),132.0)</f>
        <v>132</v>
      </c>
      <c r="AT760" s="30">
        <f>IFERROR(__xludf.DUMMYFUNCTION("""COMPUTED_VALUE"""),0.5966064030549648)</f>
        <v>0.5966064031</v>
      </c>
      <c r="AU760" s="30">
        <f>IFERROR(__xludf.DUMMYFUNCTION("""COMPUTED_VALUE"""),1.9436133761928938)</f>
        <v>1.943613376</v>
      </c>
      <c r="AV760" s="32">
        <f>IFERROR(__xludf.DUMMYFUNCTION("""COMPUTED_VALUE"""),45.40473452408805)</f>
        <v>45.40473452</v>
      </c>
      <c r="AW760" s="32">
        <f>IFERROR(__xludf.DUMMYFUNCTION("""COMPUTED_VALUE"""),-2.341476137752226)</f>
        <v>-2.341476138</v>
      </c>
      <c r="AX760" s="32">
        <f>IFERROR(__xludf.DUMMYFUNCTION("""COMPUTED_VALUE"""),40.533972217395544)</f>
        <v>40.53397222</v>
      </c>
      <c r="AY760" s="32">
        <f>IFERROR(__xludf.DUMMYFUNCTION("""COMPUTED_VALUE"""),-2.8370629807529517)</f>
        <v>-2.837062981</v>
      </c>
      <c r="AZ760" s="30">
        <f>IFERROR(__xludf.DUMMYFUNCTION("""COMPUTED_VALUE"""),0.49558684300072553)</f>
        <v>0.495586843</v>
      </c>
      <c r="BA760" s="30">
        <f>IFERROR(__xludf.DUMMYFUNCTION("""COMPUTED_VALUE"""),2700.0)</f>
        <v>2700</v>
      </c>
    </row>
    <row r="761">
      <c r="A761" s="71" t="str">
        <f>IFERROR(__xludf.DUMMYFUNCTION("""COMPUTED_VALUE"""),"Prospect")</f>
        <v>Prospect</v>
      </c>
      <c r="B761" s="71" t="str">
        <f>IFERROR(__xludf.DUMMYFUNCTION("""COMPUTED_VALUE"""),"RSC007092")</f>
        <v>RSC007092</v>
      </c>
      <c r="C761" s="30" t="str">
        <f>IFERROR(__xludf.DUMMYFUNCTION("""COMPUTED_VALUE"""),"Minjaaa")</f>
        <v>Minjaaa</v>
      </c>
      <c r="D761" s="30" t="str">
        <f>IFERROR(__xludf.DUMMYFUNCTION("""COMPUTED_VALUE"""),"Horizon Highball")</f>
        <v>Horizon Highball</v>
      </c>
      <c r="E761" s="30">
        <f>IFERROR(__xludf.DUMMYFUNCTION("""COMPUTED_VALUE"""),33.0)</f>
        <v>33</v>
      </c>
      <c r="F761" s="30">
        <f>IFERROR(__xludf.DUMMYFUNCTION("""COMPUTED_VALUE"""),23.0)</f>
        <v>23</v>
      </c>
      <c r="G761" s="42">
        <f>IFERROR(__xludf.DUMMYFUNCTION("""COMPUTED_VALUE"""),10.0)</f>
        <v>10</v>
      </c>
      <c r="H761" s="42">
        <f>IFERROR(__xludf.DUMMYFUNCTION("""COMPUTED_VALUE"""),0.696969696969697)</f>
        <v>0.696969697</v>
      </c>
      <c r="I761" s="42">
        <f>IFERROR(__xludf.DUMMYFUNCTION("""COMPUTED_VALUE"""),0.30000000000000004)</f>
        <v>0.3</v>
      </c>
      <c r="J761" s="30">
        <f>IFERROR(__xludf.DUMMYFUNCTION("""COMPUTED_VALUE"""),322.54545454545456)</f>
        <v>322.5454545</v>
      </c>
      <c r="K761" s="30">
        <f>IFERROR(__xludf.DUMMYFUNCTION("""COMPUTED_VALUE"""),0.8181818181818182)</f>
        <v>0.8181818182</v>
      </c>
      <c r="L761" s="30">
        <f>IFERROR(__xludf.DUMMYFUNCTION("""COMPUTED_VALUE"""),0.696969696969697)</f>
        <v>0.696969697</v>
      </c>
      <c r="M761" s="30">
        <f>IFERROR(__xludf.DUMMYFUNCTION("""COMPUTED_VALUE"""),0.9393939393939394)</f>
        <v>0.9393939394</v>
      </c>
      <c r="N761" s="30">
        <f>IFERROR(__xludf.DUMMYFUNCTION("""COMPUTED_VALUE"""),2.727272727272727)</f>
        <v>2.727272727</v>
      </c>
      <c r="O761" s="30">
        <f>IFERROR(__xludf.DUMMYFUNCTION("""COMPUTED_VALUE"""),323.80808080808083)</f>
        <v>323.8080808</v>
      </c>
      <c r="P761" s="30">
        <f>IFERROR(__xludf.DUMMYFUNCTION("""COMPUTED_VALUE"""),0.6767676767676766)</f>
        <v>0.6767676768</v>
      </c>
      <c r="Q761" s="30">
        <f>IFERROR(__xludf.DUMMYFUNCTION("""COMPUTED_VALUE"""),0.4747474747474748)</f>
        <v>0.4747474747</v>
      </c>
      <c r="R761" s="30">
        <f>IFERROR(__xludf.DUMMYFUNCTION("""COMPUTED_VALUE"""),1.4040404040404044)</f>
        <v>1.404040404</v>
      </c>
      <c r="S761" s="30">
        <f>IFERROR(__xludf.DUMMYFUNCTION("""COMPUTED_VALUE"""),1.8484848484848484)</f>
        <v>1.848484848</v>
      </c>
      <c r="T761" s="30">
        <f>IFERROR(__xludf.DUMMYFUNCTION("""COMPUTED_VALUE"""),330.9371582488798)</f>
        <v>330.9371582</v>
      </c>
      <c r="U761" s="30">
        <f>IFERROR(__xludf.DUMMYFUNCTION("""COMPUTED_VALUE"""),0.7621254308609081)</f>
        <v>0.7621254309</v>
      </c>
      <c r="V761" s="30">
        <f>IFERROR(__xludf.DUMMYFUNCTION("""COMPUTED_VALUE"""),0.5025046360634196)</f>
        <v>0.5025046361</v>
      </c>
      <c r="W761" s="30">
        <f>IFERROR(__xludf.DUMMYFUNCTION("""COMPUTED_VALUE"""),1.2346264365424982)</f>
        <v>1.234626437</v>
      </c>
      <c r="X761" s="30">
        <f>IFERROR(__xludf.DUMMYFUNCTION("""COMPUTED_VALUE"""),2.3120410469954074)</f>
        <v>2.312041047</v>
      </c>
      <c r="Y761" s="30">
        <f>IFERROR(__xludf.DUMMYFUNCTION("""COMPUTED_VALUE"""),332.564685884039)</f>
        <v>332.5646859</v>
      </c>
      <c r="Z761" s="30">
        <f>IFERROR(__xludf.DUMMYFUNCTION("""COMPUTED_VALUE"""),0.8031635282964431)</f>
        <v>0.8031635283</v>
      </c>
      <c r="AA761" s="30">
        <f>IFERROR(__xludf.DUMMYFUNCTION("""COMPUTED_VALUE"""),0.5354003969283003)</f>
        <v>0.5354003969</v>
      </c>
      <c r="AB761" s="30">
        <f>IFERROR(__xludf.DUMMYFUNCTION("""COMPUTED_VALUE"""),1.1275923050333203)</f>
        <v>1.127592305</v>
      </c>
      <c r="AC761" s="30">
        <f>IFERROR(__xludf.DUMMYFUNCTION("""COMPUTED_VALUE"""),2.501095966556038)</f>
        <v>2.501095967</v>
      </c>
      <c r="AD761" s="30">
        <f>IFERROR(__xludf.DUMMYFUNCTION("""COMPUTED_VALUE"""),0.9698728344774464)</f>
        <v>0.9698728345</v>
      </c>
      <c r="AE761" s="30">
        <f>IFERROR(__xludf.DUMMYFUNCTION("""COMPUTED_VALUE"""),1.0186989191568867)</f>
        <v>1.018698919</v>
      </c>
      <c r="AF761" s="30">
        <f>IFERROR(__xludf.DUMMYFUNCTION("""COMPUTED_VALUE"""),1.301772843218556)</f>
        <v>1.301772843</v>
      </c>
      <c r="AG761" s="30">
        <f>IFERROR(__xludf.DUMMYFUNCTION("""COMPUTED_VALUE"""),0.8330971532890874)</f>
        <v>0.8330971533</v>
      </c>
      <c r="AH761" s="30">
        <f>IFERROR(__xludf.DUMMYFUNCTION("""COMPUTED_VALUE"""),1.090431060519493)</f>
        <v>1.090431061</v>
      </c>
      <c r="AI761" s="30">
        <f>IFERROR(__xludf.DUMMYFUNCTION("""COMPUTED_VALUE"""),0.978457911832803)</f>
        <v>0.9784579118</v>
      </c>
      <c r="AJ761" s="30">
        <f>IFERROR(__xludf.DUMMYFUNCTION("""COMPUTED_VALUE"""),0.8880003859773973)</f>
        <v>0.888000386</v>
      </c>
      <c r="AK761" s="30">
        <f>IFERROR(__xludf.DUMMYFUNCTION("""COMPUTED_VALUE"""),0.9447623776501007)</f>
        <v>0.9447623777</v>
      </c>
      <c r="AL761" s="30">
        <f>IFERROR(__xludf.DUMMYFUNCTION("""COMPUTED_VALUE"""),1.1372188076357255)</f>
        <v>1.137218808</v>
      </c>
      <c r="AM761" s="30">
        <f>IFERROR(__xludf.DUMMYFUNCTION("""COMPUTED_VALUE"""),0.7995034737324541)</f>
        <v>0.7995034737</v>
      </c>
      <c r="AN761" s="30">
        <f>IFERROR(__xludf.DUMMYFUNCTION("""COMPUTED_VALUE"""),1.0031537692023431)</f>
        <v>1.003153769</v>
      </c>
      <c r="AO761" s="30">
        <f>IFERROR(__xludf.DUMMYFUNCTION("""COMPUTED_VALUE"""),1.1148316633726387)</f>
        <v>1.114831663</v>
      </c>
      <c r="AP761" s="30">
        <f>IFERROR(__xludf.DUMMYFUNCTION("""COMPUTED_VALUE"""),1.3941785330063936)</f>
        <v>1.394178533</v>
      </c>
      <c r="AQ761" s="30">
        <f>IFERROR(__xludf.DUMMYFUNCTION("""COMPUTED_VALUE"""),0.806850646204544)</f>
        <v>0.8068506462</v>
      </c>
      <c r="AR761" s="30">
        <f>IFERROR(__xludf.DUMMYFUNCTION("""COMPUTED_VALUE"""),1.1784488893975007)</f>
        <v>1.178448889</v>
      </c>
      <c r="AS761" s="30">
        <f>IFERROR(__xludf.DUMMYFUNCTION("""COMPUTED_VALUE"""),89.0)</f>
        <v>89</v>
      </c>
      <c r="AT761" s="30">
        <f>IFERROR(__xludf.DUMMYFUNCTION("""COMPUTED_VALUE"""),0.6090810111529947)</f>
        <v>0.6090810112</v>
      </c>
      <c r="AU761" s="30">
        <f>IFERROR(__xludf.DUMMYFUNCTION("""COMPUTED_VALUE"""),2.763083602878575)</f>
        <v>2.763083603</v>
      </c>
      <c r="AV761" s="32">
        <f>IFERROR(__xludf.DUMMYFUNCTION("""COMPUTED_VALUE"""),67.57775707341341)</f>
        <v>67.57775707</v>
      </c>
      <c r="AW761" s="32">
        <f>IFERROR(__xludf.DUMMYFUNCTION("""COMPUTED_VALUE"""),4.149489299265876)</f>
        <v>4.149489299</v>
      </c>
      <c r="AX761" s="32">
        <f>IFERROR(__xludf.DUMMYFUNCTION("""COMPUTED_VALUE"""),65.1535780906887)</f>
        <v>65.15357809</v>
      </c>
      <c r="AY761" s="32">
        <f>IFERROR(__xludf.DUMMYFUNCTION("""COMPUTED_VALUE"""),3.673636234806125)</f>
        <v>3.673636235</v>
      </c>
      <c r="AZ761" s="30">
        <f>IFERROR(__xludf.DUMMYFUNCTION("""COMPUTED_VALUE"""),0.4758530644597512)</f>
        <v>0.4758530645</v>
      </c>
      <c r="BA761" s="30">
        <f>IFERROR(__xludf.DUMMYFUNCTION("""COMPUTED_VALUE"""),2700.0)</f>
        <v>2700</v>
      </c>
    </row>
    <row r="762">
      <c r="A762" s="71" t="str">
        <f>IFERROR(__xludf.DUMMYFUNCTION("""COMPUTED_VALUE"""),"Prospect")</f>
        <v>Prospect</v>
      </c>
      <c r="B762" s="71" t="str">
        <f>IFERROR(__xludf.DUMMYFUNCTION("""COMPUTED_VALUE"""),"RSC005608")</f>
        <v>RSC005608</v>
      </c>
      <c r="C762" s="30" t="str">
        <f>IFERROR(__xludf.DUMMYFUNCTION("""COMPUTED_VALUE"""),"wolverine36535")</f>
        <v>wolverine36535</v>
      </c>
      <c r="D762" s="30" t="str">
        <f>IFERROR(__xludf.DUMMYFUNCTION("""COMPUTED_VALUE"""),"Prism Proteges")</f>
        <v>Prism Proteges</v>
      </c>
      <c r="E762" s="30">
        <f>IFERROR(__xludf.DUMMYFUNCTION("""COMPUTED_VALUE"""),34.0)</f>
        <v>34</v>
      </c>
      <c r="F762" s="30">
        <f>IFERROR(__xludf.DUMMYFUNCTION("""COMPUTED_VALUE"""),14.0)</f>
        <v>14</v>
      </c>
      <c r="G762" s="42">
        <f>IFERROR(__xludf.DUMMYFUNCTION("""COMPUTED_VALUE"""),20.0)</f>
        <v>20</v>
      </c>
      <c r="H762" s="42">
        <f>IFERROR(__xludf.DUMMYFUNCTION("""COMPUTED_VALUE"""),0.4117647058823529)</f>
        <v>0.4117647059</v>
      </c>
      <c r="I762" s="42">
        <f>IFERROR(__xludf.DUMMYFUNCTION("""COMPUTED_VALUE"""),0.30434782608695654)</f>
        <v>0.3043478261</v>
      </c>
      <c r="J762" s="30">
        <f>IFERROR(__xludf.DUMMYFUNCTION("""COMPUTED_VALUE"""),300.4117647058824)</f>
        <v>300.4117647</v>
      </c>
      <c r="K762" s="30">
        <f>IFERROR(__xludf.DUMMYFUNCTION("""COMPUTED_VALUE"""),0.6176470588235294)</f>
        <v>0.6176470588</v>
      </c>
      <c r="L762" s="30">
        <f>IFERROR(__xludf.DUMMYFUNCTION("""COMPUTED_VALUE"""),0.47058823529411764)</f>
        <v>0.4705882353</v>
      </c>
      <c r="M762" s="30">
        <f>IFERROR(__xludf.DUMMYFUNCTION("""COMPUTED_VALUE"""),1.1176470588235294)</f>
        <v>1.117647059</v>
      </c>
      <c r="N762" s="30">
        <f>IFERROR(__xludf.DUMMYFUNCTION("""COMPUTED_VALUE"""),2.0294117647058822)</f>
        <v>2.029411765</v>
      </c>
      <c r="O762" s="30">
        <f>IFERROR(__xludf.DUMMYFUNCTION("""COMPUTED_VALUE"""),327.66666666666674)</f>
        <v>327.6666667</v>
      </c>
      <c r="P762" s="30">
        <f>IFERROR(__xludf.DUMMYFUNCTION("""COMPUTED_VALUE"""),0.784313725490196)</f>
        <v>0.7843137255</v>
      </c>
      <c r="Q762" s="30">
        <f>IFERROR(__xludf.DUMMYFUNCTION("""COMPUTED_VALUE"""),0.45098039215686275)</f>
        <v>0.4509803922</v>
      </c>
      <c r="R762" s="30">
        <f>IFERROR(__xludf.DUMMYFUNCTION("""COMPUTED_VALUE"""),1.3333333333333333)</f>
        <v>1.333333333</v>
      </c>
      <c r="S762" s="30">
        <f>IFERROR(__xludf.DUMMYFUNCTION("""COMPUTED_VALUE"""),2.2941176470588234)</f>
        <v>2.294117647</v>
      </c>
      <c r="T762" s="30">
        <f>IFERROR(__xludf.DUMMYFUNCTION("""COMPUTED_VALUE"""),332.3163122508447)</f>
        <v>332.3163123</v>
      </c>
      <c r="U762" s="30">
        <f>IFERROR(__xludf.DUMMYFUNCTION("""COMPUTED_VALUE"""),0.7561454535477453)</f>
        <v>0.7561454535</v>
      </c>
      <c r="V762" s="30">
        <f>IFERROR(__xludf.DUMMYFUNCTION("""COMPUTED_VALUE"""),0.4978066167627225)</f>
        <v>0.4978066168</v>
      </c>
      <c r="W762" s="30">
        <f>IFERROR(__xludf.DUMMYFUNCTION("""COMPUTED_VALUE"""),1.2688267738263859)</f>
        <v>1.268826774</v>
      </c>
      <c r="X762" s="30">
        <f>IFERROR(__xludf.DUMMYFUNCTION("""COMPUTED_VALUE"""),2.3122238248196014)</f>
        <v>2.312223825</v>
      </c>
      <c r="Y762" s="30">
        <f>IFERROR(__xludf.DUMMYFUNCTION("""COMPUTED_VALUE"""),334.81477847873583)</f>
        <v>334.8147785</v>
      </c>
      <c r="Z762" s="30">
        <f>IFERROR(__xludf.DUMMYFUNCTION("""COMPUTED_VALUE"""),0.7943458470678785)</f>
        <v>0.7943458471</v>
      </c>
      <c r="AA762" s="30">
        <f>IFERROR(__xludf.DUMMYFUNCTION("""COMPUTED_VALUE"""),0.5301404520097326)</f>
        <v>0.530140452</v>
      </c>
      <c r="AB762" s="30">
        <f>IFERROR(__xludf.DUMMYFUNCTION("""COMPUTED_VALUE"""),1.1555622163929489)</f>
        <v>1.155562216</v>
      </c>
      <c r="AC762" s="30">
        <f>IFERROR(__xludf.DUMMYFUNCTION("""COMPUTED_VALUE"""),2.54670207586705)</f>
        <v>2.546702076</v>
      </c>
      <c r="AD762" s="30">
        <f>IFERROR(__xludf.DUMMYFUNCTION("""COMPUTED_VALUE"""),0.8972476247041216)</f>
        <v>0.8972476247</v>
      </c>
      <c r="AE762" s="30">
        <f>IFERROR(__xludf.DUMMYFUNCTION("""COMPUTED_VALUE"""),0.7775543374506372)</f>
        <v>0.7775543375</v>
      </c>
      <c r="AF762" s="30">
        <f>IFERROR(__xludf.DUMMYFUNCTION("""COMPUTED_VALUE"""),0.8876670955972972)</f>
        <v>0.8876670956</v>
      </c>
      <c r="AG762" s="30">
        <f>IFERROR(__xludf.DUMMYFUNCTION("""COMPUTED_VALUE"""),0.9671889950782828)</f>
        <v>0.9671889951</v>
      </c>
      <c r="AH762" s="30">
        <f>IFERROR(__xludf.DUMMYFUNCTION("""COMPUTED_VALUE"""),0.796878356497569)</f>
        <v>0.7968783565</v>
      </c>
      <c r="AI762" s="30">
        <f>IFERROR(__xludf.DUMMYFUNCTION("""COMPUTED_VALUE"""),0.9860083739113347)</f>
        <v>0.9860083739</v>
      </c>
      <c r="AJ762" s="30">
        <f>IFERROR(__xludf.DUMMYFUNCTION("""COMPUTED_VALUE"""),1.0372524516417951)</f>
        <v>1.037252452</v>
      </c>
      <c r="AK762" s="30">
        <f>IFERROR(__xludf.DUMMYFUNCTION("""COMPUTED_VALUE"""),0.9059349092015399)</f>
        <v>0.9059349092</v>
      </c>
      <c r="AL762" s="30">
        <f>IFERROR(__xludf.DUMMYFUNCTION("""COMPUTED_VALUE"""),1.0508395321076145)</f>
        <v>1.050839532</v>
      </c>
      <c r="AM762" s="30">
        <f>IFERROR(__xludf.DUMMYFUNCTION("""COMPUTED_VALUE"""),0.9921693663189416)</f>
        <v>0.9921693663</v>
      </c>
      <c r="AN762" s="30">
        <f>IFERROR(__xludf.DUMMYFUNCTION("""COMPUTED_VALUE"""),0.934315426959348)</f>
        <v>0.934315427</v>
      </c>
      <c r="AO762" s="30">
        <f>IFERROR(__xludf.DUMMYFUNCTION("""COMPUTED_VALUE"""),0.841588608624443)</f>
        <v>0.8415886086</v>
      </c>
      <c r="AP762" s="30">
        <f>IFERROR(__xludf.DUMMYFUNCTION("""COMPUTED_VALUE"""),0.941337935329125)</f>
        <v>0.9413379353</v>
      </c>
      <c r="AQ762" s="30">
        <f>IFERROR(__xludf.DUMMYFUNCTION("""COMPUTED_VALUE"""),0.9599532356171709)</f>
        <v>0.9599532356</v>
      </c>
      <c r="AR762" s="30">
        <f>IFERROR(__xludf.DUMMYFUNCTION("""COMPUTED_VALUE"""),0.876904614757552)</f>
        <v>0.8769046148</v>
      </c>
      <c r="AS762" s="30">
        <f>IFERROR(__xludf.DUMMYFUNCTION("""COMPUTED_VALUE"""),68.0)</f>
        <v>68</v>
      </c>
      <c r="AT762" s="30">
        <f>IFERROR(__xludf.DUMMYFUNCTION("""COMPUTED_VALUE"""),0.4383463375308527)</f>
        <v>0.4383463375</v>
      </c>
      <c r="AU762" s="30">
        <f>IFERROR(__xludf.DUMMYFUNCTION("""COMPUTED_VALUE"""),1.7542516658300467)</f>
        <v>1.754251666</v>
      </c>
      <c r="AV762" s="32">
        <f>IFERROR(__xludf.DUMMYFUNCTION("""COMPUTED_VALUE"""),40.281032237995475)</f>
        <v>40.28103224</v>
      </c>
      <c r="AW762" s="32">
        <f>IFERROR(__xludf.DUMMYFUNCTION("""COMPUTED_VALUE"""),-2.8675699679020905)</f>
        <v>-2.867569968</v>
      </c>
      <c r="AX762" s="32">
        <f>IFERROR(__xludf.DUMMYFUNCTION("""COMPUTED_VALUE"""),37.29440241450308)</f>
        <v>37.29440241</v>
      </c>
      <c r="AY762" s="32">
        <f>IFERROR(__xludf.DUMMYFUNCTION("""COMPUTED_VALUE"""),-3.271735661107834)</f>
        <v>-3.271735661</v>
      </c>
      <c r="AZ762" s="30">
        <f>IFERROR(__xludf.DUMMYFUNCTION("""COMPUTED_VALUE"""),0.40416569320574336)</f>
        <v>0.4041656932</v>
      </c>
      <c r="BA762" s="30">
        <f>IFERROR(__xludf.DUMMYFUNCTION("""COMPUTED_VALUE"""),2700.0)</f>
        <v>2700</v>
      </c>
    </row>
    <row r="763">
      <c r="A763" s="71" t="str">
        <f>IFERROR(__xludf.DUMMYFUNCTION("""COMPUTED_VALUE"""),"Prospect")</f>
        <v>Prospect</v>
      </c>
      <c r="B763" s="71" t="str">
        <f>IFERROR(__xludf.DUMMYFUNCTION("""COMPUTED_VALUE"""),"RSC004303")</f>
        <v>RSC004303</v>
      </c>
      <c r="C763" s="30" t="str">
        <f>IFERROR(__xludf.DUMMYFUNCTION("""COMPUTED_VALUE"""),"Shogun")</f>
        <v>Shogun</v>
      </c>
      <c r="D763" s="30" t="str">
        <f>IFERROR(__xludf.DUMMYFUNCTION("""COMPUTED_VALUE"""),"Honey Badgers")</f>
        <v>Honey Badgers</v>
      </c>
      <c r="E763" s="30">
        <f>IFERROR(__xludf.DUMMYFUNCTION("""COMPUTED_VALUE"""),42.0)</f>
        <v>42</v>
      </c>
      <c r="F763" s="30">
        <f>IFERROR(__xludf.DUMMYFUNCTION("""COMPUTED_VALUE"""),24.0)</f>
        <v>24</v>
      </c>
      <c r="G763" s="42">
        <f>IFERROR(__xludf.DUMMYFUNCTION("""COMPUTED_VALUE"""),18.0)</f>
        <v>18</v>
      </c>
      <c r="H763" s="42">
        <f>IFERROR(__xludf.DUMMYFUNCTION("""COMPUTED_VALUE"""),0.5714285714285714)</f>
        <v>0.5714285714</v>
      </c>
      <c r="I763" s="42">
        <f>IFERROR(__xludf.DUMMYFUNCTION("""COMPUTED_VALUE"""),0.2903225806451613)</f>
        <v>0.2903225806</v>
      </c>
      <c r="J763" s="30">
        <f>IFERROR(__xludf.DUMMYFUNCTION("""COMPUTED_VALUE"""),325.4047619047619)</f>
        <v>325.4047619</v>
      </c>
      <c r="K763" s="30">
        <f>IFERROR(__xludf.DUMMYFUNCTION("""COMPUTED_VALUE"""),0.6428571428571429)</f>
        <v>0.6428571429</v>
      </c>
      <c r="L763" s="30">
        <f>IFERROR(__xludf.DUMMYFUNCTION("""COMPUTED_VALUE"""),0.4523809523809524)</f>
        <v>0.4523809524</v>
      </c>
      <c r="M763" s="30">
        <f>IFERROR(__xludf.DUMMYFUNCTION("""COMPUTED_VALUE"""),1.380952380952381)</f>
        <v>1.380952381</v>
      </c>
      <c r="N763" s="30">
        <f>IFERROR(__xludf.DUMMYFUNCTION("""COMPUTED_VALUE"""),2.2142857142857144)</f>
        <v>2.214285714</v>
      </c>
      <c r="O763" s="30">
        <f>IFERROR(__xludf.DUMMYFUNCTION("""COMPUTED_VALUE"""),326.6587301587302)</f>
        <v>326.6587302</v>
      </c>
      <c r="P763" s="30">
        <f>IFERROR(__xludf.DUMMYFUNCTION("""COMPUTED_VALUE"""),0.6984126984126984)</f>
        <v>0.6984126984</v>
      </c>
      <c r="Q763" s="30">
        <f>IFERROR(__xludf.DUMMYFUNCTION("""COMPUTED_VALUE"""),0.492063492063492)</f>
        <v>0.4920634921</v>
      </c>
      <c r="R763" s="30">
        <f>IFERROR(__xludf.DUMMYFUNCTION("""COMPUTED_VALUE"""),1.1587301587301586)</f>
        <v>1.158730159</v>
      </c>
      <c r="S763" s="30">
        <f>IFERROR(__xludf.DUMMYFUNCTION("""COMPUTED_VALUE"""),2.436507936507936)</f>
        <v>2.436507937</v>
      </c>
      <c r="T763" s="30">
        <f>IFERROR(__xludf.DUMMYFUNCTION("""COMPUTED_VALUE"""),336.76817591698193)</f>
        <v>336.7681759</v>
      </c>
      <c r="U763" s="30">
        <f>IFERROR(__xludf.DUMMYFUNCTION("""COMPUTED_VALUE"""),0.8031176825283649)</f>
        <v>0.8031176825</v>
      </c>
      <c r="V763" s="30">
        <f>IFERROR(__xludf.DUMMYFUNCTION("""COMPUTED_VALUE"""),0.5503402701984511)</f>
        <v>0.5503402702</v>
      </c>
      <c r="W763" s="30">
        <f>IFERROR(__xludf.DUMMYFUNCTION("""COMPUTED_VALUE"""),1.1748692244202876)</f>
        <v>1.174869224</v>
      </c>
      <c r="X763" s="30">
        <f>IFERROR(__xludf.DUMMYFUNCTION("""COMPUTED_VALUE"""),2.4434840908170123)</f>
        <v>2.443484091</v>
      </c>
      <c r="Y763" s="30">
        <f>IFERROR(__xludf.DUMMYFUNCTION("""COMPUTED_VALUE"""),334.82672221157503)</f>
        <v>334.8267222</v>
      </c>
      <c r="Z763" s="30">
        <f>IFERROR(__xludf.DUMMYFUNCTION("""COMPUTED_VALUE"""),0.7990873983895445)</f>
        <v>0.7990873984</v>
      </c>
      <c r="AA763" s="30">
        <f>IFERROR(__xludf.DUMMYFUNCTION("""COMPUTED_VALUE"""),0.5184309792866616)</f>
        <v>0.5184309793</v>
      </c>
      <c r="AB763" s="30">
        <f>IFERROR(__xludf.DUMMYFUNCTION("""COMPUTED_VALUE"""),1.2086375321267717)</f>
        <v>1.208637532</v>
      </c>
      <c r="AC763" s="30">
        <f>IFERROR(__xludf.DUMMYFUNCTION("""COMPUTED_VALUE"""),2.3916400350220584)</f>
        <v>2.391640035</v>
      </c>
      <c r="AD763" s="30">
        <f>IFERROR(__xludf.DUMMYFUNCTION("""COMPUTED_VALUE"""),0.9718601901169064)</f>
        <v>0.9718601901</v>
      </c>
      <c r="AE763" s="30">
        <f>IFERROR(__xludf.DUMMYFUNCTION("""COMPUTED_VALUE"""),0.8044891511901413)</f>
        <v>0.8044891512</v>
      </c>
      <c r="AF763" s="30">
        <f>IFERROR(__xludf.DUMMYFUNCTION("""COMPUTED_VALUE"""),0.8725962962387179)</f>
        <v>0.8725962962</v>
      </c>
      <c r="AG763" s="30">
        <f>IFERROR(__xludf.DUMMYFUNCTION("""COMPUTED_VALUE"""),1.1425695001564253)</f>
        <v>1.1425695</v>
      </c>
      <c r="AH763" s="30">
        <f>IFERROR(__xludf.DUMMYFUNCTION("""COMPUTED_VALUE"""),0.9258440575758684)</f>
        <v>0.9258440576</v>
      </c>
      <c r="AI763" s="30">
        <f>IFERROR(__xludf.DUMMYFUNCTION("""COMPUTED_VALUE"""),0.9699809944014904)</f>
        <v>0.9699809944</v>
      </c>
      <c r="AJ763" s="30">
        <f>IFERROR(__xludf.DUMMYFUNCTION("""COMPUTED_VALUE"""),0.8696268474801406)</f>
        <v>0.8696268475</v>
      </c>
      <c r="AK763" s="30">
        <f>IFERROR(__xludf.DUMMYFUNCTION("""COMPUTED_VALUE"""),0.8941077342678473)</f>
        <v>0.8941077343</v>
      </c>
      <c r="AL763" s="30">
        <f>IFERROR(__xludf.DUMMYFUNCTION("""COMPUTED_VALUE"""),0.9862630960496114)</f>
        <v>0.986263096</v>
      </c>
      <c r="AM763" s="30">
        <f>IFERROR(__xludf.DUMMYFUNCTION("""COMPUTED_VALUE"""),0.9971449970411946)</f>
        <v>0.997144997</v>
      </c>
      <c r="AN763" s="30">
        <f>IFERROR(__xludf.DUMMYFUNCTION("""COMPUTED_VALUE"""),1.012046546683394)</f>
        <v>1.012046547</v>
      </c>
      <c r="AO763" s="30">
        <f>IFERROR(__xludf.DUMMYFUNCTION("""COMPUTED_VALUE"""),0.8759391640785019)</f>
        <v>0.8759391641</v>
      </c>
      <c r="AP763" s="30">
        <f>IFERROR(__xludf.DUMMYFUNCTION("""COMPUTED_VALUE"""),0.9049171223550815)</f>
        <v>0.9049171224</v>
      </c>
      <c r="AQ763" s="30">
        <f>IFERROR(__xludf.DUMMYFUNCTION("""COMPUTED_VALUE"""),1.1861076319781085)</f>
        <v>1.186107632</v>
      </c>
      <c r="AR763" s="30">
        <f>IFERROR(__xludf.DUMMYFUNCTION("""COMPUTED_VALUE"""),0.956788264963209)</f>
        <v>0.956788265</v>
      </c>
      <c r="AS763" s="30">
        <f>IFERROR(__xludf.DUMMYFUNCTION("""COMPUTED_VALUE"""),109.0)</f>
        <v>109</v>
      </c>
      <c r="AT763" s="30">
        <f>IFERROR(__xludf.DUMMYFUNCTION("""COMPUTED_VALUE"""),0.5826069373861748)</f>
        <v>0.5826069374</v>
      </c>
      <c r="AU763" s="30">
        <f>IFERROR(__xludf.DUMMYFUNCTION("""COMPUTED_VALUE"""),2.019180064410545)</f>
        <v>2.019180064</v>
      </c>
      <c r="AV763" s="32">
        <f>IFERROR(__xludf.DUMMYFUNCTION("""COMPUTED_VALUE"""),47.44939926877864)</f>
        <v>47.44939927</v>
      </c>
      <c r="AW763" s="32">
        <f>IFERROR(__xludf.DUMMYFUNCTION("""COMPUTED_VALUE"""),-2.1769001242644213)</f>
        <v>-2.176900124</v>
      </c>
      <c r="AX763" s="32">
        <f>IFERROR(__xludf.DUMMYFUNCTION("""COMPUTED_VALUE"""),43.8127534274287)</f>
        <v>43.81275343</v>
      </c>
      <c r="AY763" s="32">
        <f>IFERROR(__xludf.DUMMYFUNCTION("""COMPUTED_VALUE"""),-2.485926128813158)</f>
        <v>-2.485926129</v>
      </c>
      <c r="AZ763" s="30">
        <f>IFERROR(__xludf.DUMMYFUNCTION("""COMPUTED_VALUE"""),0.30902600454873674)</f>
        <v>0.3090260045</v>
      </c>
      <c r="BA763" s="30">
        <f>IFERROR(__xludf.DUMMYFUNCTION("""COMPUTED_VALUE"""),2700.0)</f>
        <v>2700</v>
      </c>
    </row>
    <row r="764">
      <c r="A764" s="71" t="str">
        <f>IFERROR(__xludf.DUMMYFUNCTION("""COMPUTED_VALUE"""),"Prospect")</f>
        <v>Prospect</v>
      </c>
      <c r="B764" s="71" t="str">
        <f>IFERROR(__xludf.DUMMYFUNCTION("""COMPUTED_VALUE"""),"RSC004012")</f>
        <v>RSC004012</v>
      </c>
      <c r="C764" s="30" t="str">
        <f>IFERROR(__xludf.DUMMYFUNCTION("""COMPUTED_VALUE"""),"kgfan3")</f>
        <v>kgfan3</v>
      </c>
      <c r="D764" s="30" t="str">
        <f>IFERROR(__xludf.DUMMYFUNCTION("""COMPUTED_VALUE"""),"Undead")</f>
        <v>Undead</v>
      </c>
      <c r="E764" s="30">
        <f>IFERROR(__xludf.DUMMYFUNCTION("""COMPUTED_VALUE"""),32.0)</f>
        <v>32</v>
      </c>
      <c r="F764" s="30">
        <f>IFERROR(__xludf.DUMMYFUNCTION("""COMPUTED_VALUE"""),8.0)</f>
        <v>8</v>
      </c>
      <c r="G764" s="42">
        <f>IFERROR(__xludf.DUMMYFUNCTION("""COMPUTED_VALUE"""),24.0)</f>
        <v>24</v>
      </c>
      <c r="H764" s="42">
        <f>IFERROR(__xludf.DUMMYFUNCTION("""COMPUTED_VALUE"""),0.25)</f>
        <v>0.25</v>
      </c>
      <c r="I764" s="42">
        <f>IFERROR(__xludf.DUMMYFUNCTION("""COMPUTED_VALUE"""),0.3392857142857143)</f>
        <v>0.3392857143</v>
      </c>
      <c r="J764" s="30">
        <f>IFERROR(__xludf.DUMMYFUNCTION("""COMPUTED_VALUE"""),251.78125)</f>
        <v>251.78125</v>
      </c>
      <c r="K764" s="30">
        <f>IFERROR(__xludf.DUMMYFUNCTION("""COMPUTED_VALUE"""),0.59375)</f>
        <v>0.59375</v>
      </c>
      <c r="L764" s="30">
        <f>IFERROR(__xludf.DUMMYFUNCTION("""COMPUTED_VALUE"""),0.34375)</f>
        <v>0.34375</v>
      </c>
      <c r="M764" s="30">
        <f>IFERROR(__xludf.DUMMYFUNCTION("""COMPUTED_VALUE"""),0.75)</f>
        <v>0.75</v>
      </c>
      <c r="N764" s="30">
        <f>IFERROR(__xludf.DUMMYFUNCTION("""COMPUTED_VALUE"""),1.75)</f>
        <v>1.75</v>
      </c>
      <c r="O764" s="30">
        <f>IFERROR(__xludf.DUMMYFUNCTION("""COMPUTED_VALUE"""),358.54166666666674)</f>
        <v>358.5416667</v>
      </c>
      <c r="P764" s="30">
        <f>IFERROR(__xludf.DUMMYFUNCTION("""COMPUTED_VALUE"""),1.0729166666666665)</f>
        <v>1.072916667</v>
      </c>
      <c r="Q764" s="30">
        <f>IFERROR(__xludf.DUMMYFUNCTION("""COMPUTED_VALUE"""),0.7083333333333335)</f>
        <v>0.7083333333</v>
      </c>
      <c r="R764" s="30">
        <f>IFERROR(__xludf.DUMMYFUNCTION("""COMPUTED_VALUE"""),0.9583333333333331)</f>
        <v>0.9583333333</v>
      </c>
      <c r="S764" s="30">
        <f>IFERROR(__xludf.DUMMYFUNCTION("""COMPUTED_VALUE"""),2.8125000000000004)</f>
        <v>2.8125</v>
      </c>
      <c r="T764" s="30">
        <f>IFERROR(__xludf.DUMMYFUNCTION("""COMPUTED_VALUE"""),338.09837913661363)</f>
        <v>338.0983791</v>
      </c>
      <c r="U764" s="30">
        <f>IFERROR(__xludf.DUMMYFUNCTION("""COMPUTED_VALUE"""),0.8254971553395933)</f>
        <v>0.8254971553</v>
      </c>
      <c r="V764" s="30">
        <f>IFERROR(__xludf.DUMMYFUNCTION("""COMPUTED_VALUE"""),0.5183668219109552)</f>
        <v>0.5183668219</v>
      </c>
      <c r="W764" s="30">
        <f>IFERROR(__xludf.DUMMYFUNCTION("""COMPUTED_VALUE"""),1.193987164559128)</f>
        <v>1.193987165</v>
      </c>
      <c r="X764" s="30">
        <f>IFERROR(__xludf.DUMMYFUNCTION("""COMPUTED_VALUE"""),2.5472812404789473)</f>
        <v>2.54728124</v>
      </c>
      <c r="Y764" s="30">
        <f>IFERROR(__xludf.DUMMYFUNCTION("""COMPUTED_VALUE"""),336.355752962978)</f>
        <v>336.355753</v>
      </c>
      <c r="Z764" s="30">
        <f>IFERROR(__xludf.DUMMYFUNCTION("""COMPUTED_VALUE"""),0.7963085707198587)</f>
        <v>0.7963085707</v>
      </c>
      <c r="AA764" s="30">
        <f>IFERROR(__xludf.DUMMYFUNCTION("""COMPUTED_VALUE"""),0.534615552551222)</f>
        <v>0.5346155526</v>
      </c>
      <c r="AB764" s="30">
        <f>IFERROR(__xludf.DUMMYFUNCTION("""COMPUTED_VALUE"""),1.2080635894149871)</f>
        <v>1.208063589</v>
      </c>
      <c r="AC764" s="30">
        <f>IFERROR(__xludf.DUMMYFUNCTION("""COMPUTED_VALUE"""),2.409050378499117)</f>
        <v>2.409050378</v>
      </c>
      <c r="AD764" s="30">
        <f>IFERROR(__xludf.DUMMYFUNCTION("""COMPUTED_VALUE"""),0.7485563953702111)</f>
        <v>0.7485563954</v>
      </c>
      <c r="AE764" s="30">
        <f>IFERROR(__xludf.DUMMYFUNCTION("""COMPUTED_VALUE"""),0.7456280414805195)</f>
        <v>0.7456280415</v>
      </c>
      <c r="AF764" s="30">
        <f>IFERROR(__xludf.DUMMYFUNCTION("""COMPUTED_VALUE"""),0.6429854095332647)</f>
        <v>0.6429854095</v>
      </c>
      <c r="AG764" s="30">
        <f>IFERROR(__xludf.DUMMYFUNCTION("""COMPUTED_VALUE"""),0.6208282466018138)</f>
        <v>0.6208282466</v>
      </c>
      <c r="AH764" s="30">
        <f>IFERROR(__xludf.DUMMYFUNCTION("""COMPUTED_VALUE"""),0.7264273157667556)</f>
        <v>0.7264273158</v>
      </c>
      <c r="AI764" s="30">
        <f>IFERROR(__xludf.DUMMYFUNCTION("""COMPUTED_VALUE"""),1.060465499959681)</f>
        <v>1.0604655</v>
      </c>
      <c r="AJ764" s="30">
        <f>IFERROR(__xludf.DUMMYFUNCTION("""COMPUTED_VALUE"""),1.2997218218459998)</f>
        <v>1.299721822</v>
      </c>
      <c r="AK764" s="30">
        <f>IFERROR(__xludf.DUMMYFUNCTION("""COMPUTED_VALUE"""),1.3664712003018793)</f>
        <v>1.3664712</v>
      </c>
      <c r="AL764" s="30">
        <f>IFERROR(__xludf.DUMMYFUNCTION("""COMPUTED_VALUE"""),0.8026328605359769)</f>
        <v>0.8026328605</v>
      </c>
      <c r="AM764" s="30">
        <f>IFERROR(__xludf.DUMMYFUNCTION("""COMPUTED_VALUE"""),1.1041183656152493)</f>
        <v>1.104118366</v>
      </c>
      <c r="AN764" s="30">
        <f>IFERROR(__xludf.DUMMYFUNCTION("""COMPUTED_VALUE"""),0.7830688865478443)</f>
        <v>0.7830688865</v>
      </c>
      <c r="AO764" s="30">
        <f>IFERROR(__xludf.DUMMYFUNCTION("""COMPUTED_VALUE"""),0.8090271446002829)</f>
        <v>0.8090271446</v>
      </c>
      <c r="AP764" s="30">
        <f>IFERROR(__xludf.DUMMYFUNCTION("""COMPUTED_VALUE"""),0.6876179449474468)</f>
        <v>0.6876179449</v>
      </c>
      <c r="AQ764" s="30">
        <f>IFERROR(__xludf.DUMMYFUNCTION("""COMPUTED_VALUE"""),0.6441791449536279)</f>
        <v>0.644179145</v>
      </c>
      <c r="AR764" s="30">
        <f>IFERROR(__xludf.DUMMYFUNCTION("""COMPUTED_VALUE"""),0.7561713706967297)</f>
        <v>0.7561713707</v>
      </c>
      <c r="AS764" s="30">
        <f>IFERROR(__xludf.DUMMYFUNCTION("""COMPUTED_VALUE"""),50.0)</f>
        <v>50</v>
      </c>
      <c r="AT764" s="30">
        <f>IFERROR(__xludf.DUMMYFUNCTION("""COMPUTED_VALUE"""),0.24372317796409254)</f>
        <v>0.243723178</v>
      </c>
      <c r="AU764" s="30">
        <f>IFERROR(__xludf.DUMMYFUNCTION("""COMPUTED_VALUE"""),1.051616729522255)</f>
        <v>1.05161673</v>
      </c>
      <c r="AV764" s="32">
        <f>IFERROR(__xludf.DUMMYFUNCTION("""COMPUTED_VALUE"""),21.269310055351497)</f>
        <v>21.26931006</v>
      </c>
      <c r="AW764" s="32">
        <f>IFERROR(__xludf.DUMMYFUNCTION("""COMPUTED_VALUE"""),-7.985238684640096)</f>
        <v>-7.985238685</v>
      </c>
      <c r="AX764" s="32">
        <f>IFERROR(__xludf.DUMMYFUNCTION("""COMPUTED_VALUE"""),21.70290504253834)</f>
        <v>21.70290504</v>
      </c>
      <c r="AY764" s="32">
        <f>IFERROR(__xludf.DUMMYFUNCTION("""COMPUTED_VALUE"""),-7.761465603590958)</f>
        <v>-7.761465604</v>
      </c>
      <c r="AZ764" s="30">
        <f>IFERROR(__xludf.DUMMYFUNCTION("""COMPUTED_VALUE"""),0.22377308104913762)</f>
        <v>0.223773081</v>
      </c>
      <c r="BA764" s="30">
        <f>IFERROR(__xludf.DUMMYFUNCTION("""COMPUTED_VALUE"""),2700.0)</f>
        <v>2700</v>
      </c>
    </row>
    <row r="765">
      <c r="A765" s="71" t="str">
        <f>IFERROR(__xludf.DUMMYFUNCTION("""COMPUTED_VALUE"""),"Prospect")</f>
        <v>Prospect</v>
      </c>
      <c r="B765" s="71" t="str">
        <f>IFERROR(__xludf.DUMMYFUNCTION("""COMPUTED_VALUE"""),"RSC005139")</f>
        <v>RSC005139</v>
      </c>
      <c r="C765" s="30" t="str">
        <f>IFERROR(__xludf.DUMMYFUNCTION("""COMPUTED_VALUE"""),"brillo_padd")</f>
        <v>brillo_padd</v>
      </c>
      <c r="D765" s="30" t="str">
        <f>IFERROR(__xludf.DUMMYFUNCTION("""COMPUTED_VALUE"""),"Principales")</f>
        <v>Principales</v>
      </c>
      <c r="E765" s="30">
        <f>IFERROR(__xludf.DUMMYFUNCTION("""COMPUTED_VALUE"""),46.0)</f>
        <v>46</v>
      </c>
      <c r="F765" s="30">
        <f>IFERROR(__xludf.DUMMYFUNCTION("""COMPUTED_VALUE"""),17.0)</f>
        <v>17</v>
      </c>
      <c r="G765" s="42">
        <f>IFERROR(__xludf.DUMMYFUNCTION("""COMPUTED_VALUE"""),29.0)</f>
        <v>29</v>
      </c>
      <c r="H765" s="42">
        <f>IFERROR(__xludf.DUMMYFUNCTION("""COMPUTED_VALUE"""),0.3695652173913043)</f>
        <v>0.3695652174</v>
      </c>
      <c r="I765" s="42">
        <f>IFERROR(__xludf.DUMMYFUNCTION("""COMPUTED_VALUE"""),0.3391304347826087)</f>
        <v>0.3391304348</v>
      </c>
      <c r="J765" s="30">
        <f>IFERROR(__xludf.DUMMYFUNCTION("""COMPUTED_VALUE"""),319.2608695652174)</f>
        <v>319.2608696</v>
      </c>
      <c r="K765" s="30">
        <f>IFERROR(__xludf.DUMMYFUNCTION("""COMPUTED_VALUE"""),0.8478260869565217)</f>
        <v>0.847826087</v>
      </c>
      <c r="L765" s="30">
        <f>IFERROR(__xludf.DUMMYFUNCTION("""COMPUTED_VALUE"""),0.43478260869565216)</f>
        <v>0.4347826087</v>
      </c>
      <c r="M765" s="30">
        <f>IFERROR(__xludf.DUMMYFUNCTION("""COMPUTED_VALUE"""),1.1304347826086956)</f>
        <v>1.130434783</v>
      </c>
      <c r="N765" s="30">
        <f>IFERROR(__xludf.DUMMYFUNCTION("""COMPUTED_VALUE"""),2.5)</f>
        <v>2.5</v>
      </c>
      <c r="O765" s="30">
        <f>IFERROR(__xludf.DUMMYFUNCTION("""COMPUTED_VALUE"""),345.42753623188406)</f>
        <v>345.4275362</v>
      </c>
      <c r="P765" s="30">
        <f>IFERROR(__xludf.DUMMYFUNCTION("""COMPUTED_VALUE"""),0.9710144927536233)</f>
        <v>0.9710144928</v>
      </c>
      <c r="Q765" s="30">
        <f>IFERROR(__xludf.DUMMYFUNCTION("""COMPUTED_VALUE"""),0.6231884057971014)</f>
        <v>0.6231884058</v>
      </c>
      <c r="R765" s="30">
        <f>IFERROR(__xludf.DUMMYFUNCTION("""COMPUTED_VALUE"""),0.9782608695652174)</f>
        <v>0.9782608696</v>
      </c>
      <c r="S765" s="30">
        <f>IFERROR(__xludf.DUMMYFUNCTION("""COMPUTED_VALUE"""),2.4782608695652173)</f>
        <v>2.47826087</v>
      </c>
      <c r="T765" s="30">
        <f>IFERROR(__xludf.DUMMYFUNCTION("""COMPUTED_VALUE"""),337.5130867434752)</f>
        <v>337.5130867</v>
      </c>
      <c r="U765" s="30">
        <f>IFERROR(__xludf.DUMMYFUNCTION("""COMPUTED_VALUE"""),0.799960098930196)</f>
        <v>0.7999600989</v>
      </c>
      <c r="V765" s="30">
        <f>IFERROR(__xludf.DUMMYFUNCTION("""COMPUTED_VALUE"""),0.5904915193502908)</f>
        <v>0.5904915194</v>
      </c>
      <c r="W765" s="30">
        <f>IFERROR(__xludf.DUMMYFUNCTION("""COMPUTED_VALUE"""),1.1499947216554083)</f>
        <v>1.149994722</v>
      </c>
      <c r="X765" s="30">
        <f>IFERROR(__xludf.DUMMYFUNCTION("""COMPUTED_VALUE"""),2.4716204560042687)</f>
        <v>2.471620456</v>
      </c>
      <c r="Y765" s="30">
        <f>IFERROR(__xludf.DUMMYFUNCTION("""COMPUTED_VALUE"""),333.04033547733906)</f>
        <v>333.0403355</v>
      </c>
      <c r="Z765" s="30">
        <f>IFERROR(__xludf.DUMMYFUNCTION("""COMPUTED_VALUE"""),0.7805019924738015)</f>
        <v>0.7805019925</v>
      </c>
      <c r="AA765" s="30">
        <f>IFERROR(__xludf.DUMMYFUNCTION("""COMPUTED_VALUE"""),0.518729049252478)</f>
        <v>0.5187290493</v>
      </c>
      <c r="AB765" s="30">
        <f>IFERROR(__xludf.DUMMYFUNCTION("""COMPUTED_VALUE"""),1.21323518273306)</f>
        <v>1.213235183</v>
      </c>
      <c r="AC765" s="30">
        <f>IFERROR(__xludf.DUMMYFUNCTION("""COMPUTED_VALUE"""),2.3664308535080356)</f>
        <v>2.366430854</v>
      </c>
      <c r="AD765" s="30">
        <f>IFERROR(__xludf.DUMMYFUNCTION("""COMPUTED_VALUE"""),0.9586252341105413)</f>
        <v>0.9586252341</v>
      </c>
      <c r="AE765" s="30">
        <f>IFERROR(__xludf.DUMMYFUNCTION("""COMPUTED_VALUE"""),1.0862574280807875)</f>
        <v>1.086257428</v>
      </c>
      <c r="AF765" s="30">
        <f>IFERROR(__xludf.DUMMYFUNCTION("""COMPUTED_VALUE"""),0.8381690004101408)</f>
        <v>0.8381690004</v>
      </c>
      <c r="AG765" s="30">
        <f>IFERROR(__xludf.DUMMYFUNCTION("""COMPUTED_VALUE"""),0.9317523912075812)</f>
        <v>0.9317523912</v>
      </c>
      <c r="AH765" s="30">
        <f>IFERROR(__xludf.DUMMYFUNCTION("""COMPUTED_VALUE"""),1.056443291505416)</f>
        <v>1.056443292</v>
      </c>
      <c r="AI765" s="30">
        <f>IFERROR(__xludf.DUMMYFUNCTION("""COMPUTED_VALUE"""),1.0234493114467713)</f>
        <v>1.023449311</v>
      </c>
      <c r="AJ765" s="30">
        <f>IFERROR(__xludf.DUMMYFUNCTION("""COMPUTED_VALUE"""),1.2138286572695087)</f>
        <v>1.213828657</v>
      </c>
      <c r="AK765" s="30">
        <f>IFERROR(__xludf.DUMMYFUNCTION("""COMPUTED_VALUE"""),1.0553723218290867)</f>
        <v>1.055372322</v>
      </c>
      <c r="AL765" s="30">
        <f>IFERROR(__xludf.DUMMYFUNCTION("""COMPUTED_VALUE"""),0.8506655301487112)</f>
        <v>0.8506655301</v>
      </c>
      <c r="AM765" s="30">
        <f>IFERROR(__xludf.DUMMYFUNCTION("""COMPUTED_VALUE"""),1.0026866639434129)</f>
        <v>1.002686664</v>
      </c>
      <c r="AN765" s="30">
        <f>IFERROR(__xludf.DUMMYFUNCTION("""COMPUTED_VALUE"""),0.9929383290007947)</f>
        <v>0.992938329</v>
      </c>
      <c r="AO765" s="30">
        <f>IFERROR(__xludf.DUMMYFUNCTION("""COMPUTED_VALUE"""),1.1552241149441111)</f>
        <v>1.155224115</v>
      </c>
      <c r="AP765" s="30">
        <f>IFERROR(__xludf.DUMMYFUNCTION("""COMPUTED_VALUE"""),0.8697143967714742)</f>
        <v>0.8697143968</v>
      </c>
      <c r="AQ765" s="30">
        <f>IFERROR(__xludf.DUMMYFUNCTION("""COMPUTED_VALUE"""),0.9709366822489462)</f>
        <v>0.9709366822</v>
      </c>
      <c r="AR765" s="30">
        <f>IFERROR(__xludf.DUMMYFUNCTION("""COMPUTED_VALUE"""),1.0802448152810424)</f>
        <v>1.080244815</v>
      </c>
      <c r="AS765" s="30">
        <f>IFERROR(__xludf.DUMMYFUNCTION("""COMPUTED_VALUE"""),98.0)</f>
        <v>98</v>
      </c>
      <c r="AT765" s="30">
        <f>IFERROR(__xludf.DUMMYFUNCTION("""COMPUTED_VALUE"""),0.37805894640344795)</f>
        <v>0.3780589464</v>
      </c>
      <c r="AU765" s="30">
        <f>IFERROR(__xludf.DUMMYFUNCTION("""COMPUTED_VALUE"""),2.268320561421916)</f>
        <v>2.268320561</v>
      </c>
      <c r="AV765" s="32">
        <f>IFERROR(__xludf.DUMMYFUNCTION("""COMPUTED_VALUE"""),54.190581166900415)</f>
        <v>54.19058117</v>
      </c>
      <c r="AW765" s="32">
        <f>IFERROR(__xludf.DUMMYFUNCTION("""COMPUTED_VALUE"""),2.307125247121689)</f>
        <v>2.307125247</v>
      </c>
      <c r="AX765" s="32">
        <f>IFERROR(__xludf.DUMMYFUNCTION("""COMPUTED_VALUE"""),51.494925919829626)</f>
        <v>51.49492592</v>
      </c>
      <c r="AY765" s="32">
        <f>IFERROR(__xludf.DUMMYFUNCTION("""COMPUTED_VALUE"""),2.1001403945225245)</f>
        <v>2.100140395</v>
      </c>
      <c r="AZ765" s="30">
        <f>IFERROR(__xludf.DUMMYFUNCTION("""COMPUTED_VALUE"""),0.20698485259916444)</f>
        <v>0.2069848526</v>
      </c>
      <c r="BA765" s="30">
        <f>IFERROR(__xludf.DUMMYFUNCTION("""COMPUTED_VALUE"""),2700.0)</f>
        <v>2700</v>
      </c>
    </row>
    <row r="766">
      <c r="A766" s="71" t="str">
        <f>IFERROR(__xludf.DUMMYFUNCTION("""COMPUTED_VALUE"""),"Prospect")</f>
        <v>Prospect</v>
      </c>
      <c r="B766" s="71" t="str">
        <f>IFERROR(__xludf.DUMMYFUNCTION("""COMPUTED_VALUE"""),"RSC003295")</f>
        <v>RSC003295</v>
      </c>
      <c r="C766" s="30" t="str">
        <f>IFERROR(__xludf.DUMMYFUNCTION("""COMPUTED_VALUE"""),"ConfuciusDragon")</f>
        <v>ConfuciusDragon</v>
      </c>
      <c r="D766" s="30" t="str">
        <f>IFERROR(__xludf.DUMMYFUNCTION("""COMPUTED_VALUE"""),"Mop Tops")</f>
        <v>Mop Tops</v>
      </c>
      <c r="E766" s="30">
        <f>IFERROR(__xludf.DUMMYFUNCTION("""COMPUTED_VALUE"""),45.0)</f>
        <v>45</v>
      </c>
      <c r="F766" s="30">
        <f>IFERROR(__xludf.DUMMYFUNCTION("""COMPUTED_VALUE"""),24.0)</f>
        <v>24</v>
      </c>
      <c r="G766" s="42">
        <f>IFERROR(__xludf.DUMMYFUNCTION("""COMPUTED_VALUE"""),21.0)</f>
        <v>21</v>
      </c>
      <c r="H766" s="42">
        <f>IFERROR(__xludf.DUMMYFUNCTION("""COMPUTED_VALUE"""),0.5333333333333333)</f>
        <v>0.5333333333</v>
      </c>
      <c r="I766" s="42">
        <f>IFERROR(__xludf.DUMMYFUNCTION("""COMPUTED_VALUE"""),0.34210526315789475)</f>
        <v>0.3421052632</v>
      </c>
      <c r="J766" s="30">
        <f>IFERROR(__xludf.DUMMYFUNCTION("""COMPUTED_VALUE"""),370.44444444444446)</f>
        <v>370.4444444</v>
      </c>
      <c r="K766" s="30">
        <f>IFERROR(__xludf.DUMMYFUNCTION("""COMPUTED_VALUE"""),0.8666666666666667)</f>
        <v>0.8666666667</v>
      </c>
      <c r="L766" s="30">
        <f>IFERROR(__xludf.DUMMYFUNCTION("""COMPUTED_VALUE"""),0.6222222222222222)</f>
        <v>0.6222222222</v>
      </c>
      <c r="M766" s="30">
        <f>IFERROR(__xludf.DUMMYFUNCTION("""COMPUTED_VALUE"""),1.3777777777777778)</f>
        <v>1.377777778</v>
      </c>
      <c r="N766" s="30">
        <f>IFERROR(__xludf.DUMMYFUNCTION("""COMPUTED_VALUE"""),2.533333333333333)</f>
        <v>2.533333333</v>
      </c>
      <c r="O766" s="30">
        <f>IFERROR(__xludf.DUMMYFUNCTION("""COMPUTED_VALUE"""),334.43703703703704)</f>
        <v>334.437037</v>
      </c>
      <c r="P766" s="30">
        <f>IFERROR(__xludf.DUMMYFUNCTION("""COMPUTED_VALUE"""),0.6962962962962963)</f>
        <v>0.6962962963</v>
      </c>
      <c r="Q766" s="30">
        <f>IFERROR(__xludf.DUMMYFUNCTION("""COMPUTED_VALUE"""),0.4962962962962961)</f>
        <v>0.4962962963</v>
      </c>
      <c r="R766" s="30">
        <f>IFERROR(__xludf.DUMMYFUNCTION("""COMPUTED_VALUE"""),1.251851851851852)</f>
        <v>1.251851852</v>
      </c>
      <c r="S766" s="30">
        <f>IFERROR(__xludf.DUMMYFUNCTION("""COMPUTED_VALUE"""),2.2666666666666666)</f>
        <v>2.266666667</v>
      </c>
      <c r="T766" s="30">
        <f>IFERROR(__xludf.DUMMYFUNCTION("""COMPUTED_VALUE"""),335.00629860618915)</f>
        <v>335.0062986</v>
      </c>
      <c r="U766" s="30">
        <f>IFERROR(__xludf.DUMMYFUNCTION("""COMPUTED_VALUE"""),0.7947943139370406)</f>
        <v>0.7947943139</v>
      </c>
      <c r="V766" s="30">
        <f>IFERROR(__xludf.DUMMYFUNCTION("""COMPUTED_VALUE"""),0.5123050211360424)</f>
        <v>0.5123050211</v>
      </c>
      <c r="W766" s="30">
        <f>IFERROR(__xludf.DUMMYFUNCTION("""COMPUTED_VALUE"""),1.1854765162265952)</f>
        <v>1.185476516</v>
      </c>
      <c r="X766" s="30">
        <f>IFERROR(__xludf.DUMMYFUNCTION("""COMPUTED_VALUE"""),2.438519222135466)</f>
        <v>2.438519222</v>
      </c>
      <c r="Y766" s="30">
        <f>IFERROR(__xludf.DUMMYFUNCTION("""COMPUTED_VALUE"""),336.68001221660376)</f>
        <v>336.6800122</v>
      </c>
      <c r="Z766" s="30">
        <f>IFERROR(__xludf.DUMMYFUNCTION("""COMPUTED_VALUE"""),0.7966936438377693)</f>
        <v>0.7966936438</v>
      </c>
      <c r="AA766" s="30">
        <f>IFERROR(__xludf.DUMMYFUNCTION("""COMPUTED_VALUE"""),0.5347629764347229)</f>
        <v>0.5347629764</v>
      </c>
      <c r="AB766" s="30">
        <f>IFERROR(__xludf.DUMMYFUNCTION("""COMPUTED_VALUE"""),1.201378780006406)</f>
        <v>1.20137878</v>
      </c>
      <c r="AC766" s="30">
        <f>IFERROR(__xludf.DUMMYFUNCTION("""COMPUTED_VALUE"""),2.4538966217737492)</f>
        <v>2.453896622</v>
      </c>
      <c r="AD766" s="30">
        <f>IFERROR(__xludf.DUMMYFUNCTION("""COMPUTED_VALUE"""),1.100286417377573)</f>
        <v>1.100286417</v>
      </c>
      <c r="AE766" s="30">
        <f>IFERROR(__xludf.DUMMYFUNCTION("""COMPUTED_VALUE"""),1.0878292721049323)</f>
        <v>1.087829272</v>
      </c>
      <c r="AF766" s="30">
        <f>IFERROR(__xludf.DUMMYFUNCTION("""COMPUTED_VALUE"""),1.163547683069969)</f>
        <v>1.163547683</v>
      </c>
      <c r="AG766" s="30">
        <f>IFERROR(__xludf.DUMMYFUNCTION("""COMPUTED_VALUE"""),1.1468304590584089)</f>
        <v>1.146830459</v>
      </c>
      <c r="AH766" s="30">
        <f>IFERROR(__xludf.DUMMYFUNCTION("""COMPUTED_VALUE"""),1.0323716618111503)</f>
        <v>1.032371662</v>
      </c>
      <c r="AI766" s="30">
        <f>IFERROR(__xludf.DUMMYFUNCTION("""COMPUTED_VALUE"""),0.998300743682968)</f>
        <v>0.9983007437</v>
      </c>
      <c r="AJ766" s="30">
        <f>IFERROR(__xludf.DUMMYFUNCTION("""COMPUTED_VALUE"""),0.8760710589978544)</f>
        <v>0.876071059</v>
      </c>
      <c r="AK766" s="30">
        <f>IFERROR(__xludf.DUMMYFUNCTION("""COMPUTED_VALUE"""),0.9687515753715498)</f>
        <v>0.9687515754</v>
      </c>
      <c r="AL766" s="30">
        <f>IFERROR(__xludf.DUMMYFUNCTION("""COMPUTED_VALUE"""),1.055990426395397)</f>
        <v>1.055990426</v>
      </c>
      <c r="AM766" s="30">
        <f>IFERROR(__xludf.DUMMYFUNCTION("""COMPUTED_VALUE"""),0.9295258557288287)</f>
        <v>0.9295258557</v>
      </c>
      <c r="AN766" s="30">
        <f>IFERROR(__xludf.DUMMYFUNCTION("""COMPUTED_VALUE"""),1.1521251826295482)</f>
        <v>1.152125183</v>
      </c>
      <c r="AO766" s="30">
        <f>IFERROR(__xludf.DUMMYFUNCTION("""COMPUTED_VALUE"""),1.1808957619428693)</f>
        <v>1.180895762</v>
      </c>
      <c r="AP766" s="30">
        <f>IFERROR(__xludf.DUMMYFUNCTION("""COMPUTED_VALUE"""),1.2446579367129542)</f>
        <v>1.244657937</v>
      </c>
      <c r="AQ766" s="30">
        <f>IFERROR(__xludf.DUMMYFUNCTION("""COMPUTED_VALUE"""),1.1833809477666646)</f>
        <v>1.183380948</v>
      </c>
      <c r="AR766" s="30">
        <f>IFERROR(__xludf.DUMMYFUNCTION("""COMPUTED_VALUE"""),1.0946480794847895)</f>
        <v>1.094648079</v>
      </c>
      <c r="AS766" s="30">
        <f>IFERROR(__xludf.DUMMYFUNCTION("""COMPUTED_VALUE"""),112.0)</f>
        <v>112</v>
      </c>
      <c r="AT766" s="30">
        <f>IFERROR(__xludf.DUMMYFUNCTION("""COMPUTED_VALUE"""),0.5673663995983452)</f>
        <v>0.5673663996</v>
      </c>
      <c r="AU766" s="30">
        <f>IFERROR(__xludf.DUMMYFUNCTION("""COMPUTED_VALUE"""),2.758276694761139)</f>
        <v>2.758276695</v>
      </c>
      <c r="AV766" s="32">
        <f>IFERROR(__xludf.DUMMYFUNCTION("""COMPUTED_VALUE"""),67.4476929434309)</f>
        <v>67.44769294</v>
      </c>
      <c r="AW766" s="32">
        <f>IFERROR(__xludf.DUMMYFUNCTION("""COMPUTED_VALUE"""),4.12171500626132)</f>
        <v>4.121715006</v>
      </c>
      <c r="AX766" s="32">
        <f>IFERROR(__xludf.DUMMYFUNCTION("""COMPUTED_VALUE"""),68.22566715628209)</f>
        <v>68.22566716</v>
      </c>
      <c r="AY766" s="32">
        <f>IFERROR(__xludf.DUMMYFUNCTION("""COMPUTED_VALUE"""),4.291980528505017)</f>
        <v>4.291980529</v>
      </c>
      <c r="AZ766" s="30">
        <f>IFERROR(__xludf.DUMMYFUNCTION("""COMPUTED_VALUE"""),0.17026552224369684)</f>
        <v>0.1702655222</v>
      </c>
      <c r="BA766" s="30">
        <f>IFERROR(__xludf.DUMMYFUNCTION("""COMPUTED_VALUE"""),2700.0)</f>
        <v>2700</v>
      </c>
    </row>
    <row r="767">
      <c r="A767" s="71" t="str">
        <f>IFERROR(__xludf.DUMMYFUNCTION("""COMPUTED_VALUE"""),"Prospect")</f>
        <v>Prospect</v>
      </c>
      <c r="B767" s="71" t="str">
        <f>IFERROR(__xludf.DUMMYFUNCTION("""COMPUTED_VALUE"""),"RSC008010")</f>
        <v>RSC008010</v>
      </c>
      <c r="C767" s="30" t="str">
        <f>IFERROR(__xludf.DUMMYFUNCTION("""COMPUTED_VALUE"""),"WamBamTYMan-")</f>
        <v>WamBamTYMan-</v>
      </c>
      <c r="D767" s="30" t="str">
        <f>IFERROR(__xludf.DUMMYFUNCTION("""COMPUTED_VALUE"""),"Khans")</f>
        <v>Khans</v>
      </c>
      <c r="E767" s="30">
        <f>IFERROR(__xludf.DUMMYFUNCTION("""COMPUTED_VALUE"""),47.0)</f>
        <v>47</v>
      </c>
      <c r="F767" s="30">
        <f>IFERROR(__xludf.DUMMYFUNCTION("""COMPUTED_VALUE"""),18.0)</f>
        <v>18</v>
      </c>
      <c r="G767" s="42">
        <f>IFERROR(__xludf.DUMMYFUNCTION("""COMPUTED_VALUE"""),29.0)</f>
        <v>29</v>
      </c>
      <c r="H767" s="42">
        <f>IFERROR(__xludf.DUMMYFUNCTION("""COMPUTED_VALUE"""),0.3829787234042553)</f>
        <v>0.3829787234</v>
      </c>
      <c r="I767" s="42">
        <f>IFERROR(__xludf.DUMMYFUNCTION("""COMPUTED_VALUE"""),0.3113207547169812)</f>
        <v>0.3113207547</v>
      </c>
      <c r="J767" s="30">
        <f>IFERROR(__xludf.DUMMYFUNCTION("""COMPUTED_VALUE"""),339.93617021276594)</f>
        <v>339.9361702</v>
      </c>
      <c r="K767" s="30">
        <f>IFERROR(__xludf.DUMMYFUNCTION("""COMPUTED_VALUE"""),0.7021276595744681)</f>
        <v>0.7021276596</v>
      </c>
      <c r="L767" s="30">
        <f>IFERROR(__xludf.DUMMYFUNCTION("""COMPUTED_VALUE"""),0.40425531914893614)</f>
        <v>0.4042553191</v>
      </c>
      <c r="M767" s="30">
        <f>IFERROR(__xludf.DUMMYFUNCTION("""COMPUTED_VALUE"""),1.4680851063829787)</f>
        <v>1.468085106</v>
      </c>
      <c r="N767" s="30">
        <f>IFERROR(__xludf.DUMMYFUNCTION("""COMPUTED_VALUE"""),2.25531914893617)</f>
        <v>2.255319149</v>
      </c>
      <c r="O767" s="30">
        <f>IFERROR(__xludf.DUMMYFUNCTION("""COMPUTED_VALUE"""),344.19858156028374)</f>
        <v>344.1985816</v>
      </c>
      <c r="P767" s="30">
        <f>IFERROR(__xludf.DUMMYFUNCTION("""COMPUTED_VALUE"""),0.8581560283687942)</f>
        <v>0.8581560284</v>
      </c>
      <c r="Q767" s="30">
        <f>IFERROR(__xludf.DUMMYFUNCTION("""COMPUTED_VALUE"""),0.5744680851063829)</f>
        <v>0.5744680851</v>
      </c>
      <c r="R767" s="30">
        <f>IFERROR(__xludf.DUMMYFUNCTION("""COMPUTED_VALUE"""),1.1276595744680857)</f>
        <v>1.127659574</v>
      </c>
      <c r="S767" s="30">
        <f>IFERROR(__xludf.DUMMYFUNCTION("""COMPUTED_VALUE"""),2.794326241134752)</f>
        <v>2.794326241</v>
      </c>
      <c r="T767" s="30">
        <f>IFERROR(__xludf.DUMMYFUNCTION("""COMPUTED_VALUE"""),339.21100524022444)</f>
        <v>339.2110052</v>
      </c>
      <c r="U767" s="30">
        <f>IFERROR(__xludf.DUMMYFUNCTION("""COMPUTED_VALUE"""),0.827454341386027)</f>
        <v>0.8274543414</v>
      </c>
      <c r="V767" s="30">
        <f>IFERROR(__xludf.DUMMYFUNCTION("""COMPUTED_VALUE"""),0.5665386014153772)</f>
        <v>0.5665386014</v>
      </c>
      <c r="W767" s="30">
        <f>IFERROR(__xludf.DUMMYFUNCTION("""COMPUTED_VALUE"""),1.1556873679380684)</f>
        <v>1.155687368</v>
      </c>
      <c r="X767" s="30">
        <f>IFERROR(__xludf.DUMMYFUNCTION("""COMPUTED_VALUE"""),2.5446659996137115)</f>
        <v>2.544666</v>
      </c>
      <c r="Y767" s="30">
        <f>IFERROR(__xludf.DUMMYFUNCTION("""COMPUTED_VALUE"""),330.50111453628625)</f>
        <v>330.5011145</v>
      </c>
      <c r="Z767" s="30">
        <f>IFERROR(__xludf.DUMMYFUNCTION("""COMPUTED_VALUE"""),0.7592765854024042)</f>
        <v>0.7592765854</v>
      </c>
      <c r="AA767" s="30">
        <f>IFERROR(__xludf.DUMMYFUNCTION("""COMPUTED_VALUE"""),0.5015531105325434)</f>
        <v>0.5015531105</v>
      </c>
      <c r="AB767" s="30">
        <f>IFERROR(__xludf.DUMMYFUNCTION("""COMPUTED_VALUE"""),1.2258776989489393)</f>
        <v>1.225877699</v>
      </c>
      <c r="AC767" s="30">
        <f>IFERROR(__xludf.DUMMYFUNCTION("""COMPUTED_VALUE"""),2.321177187219427)</f>
        <v>2.321177187</v>
      </c>
      <c r="AD767" s="30">
        <f>IFERROR(__xludf.DUMMYFUNCTION("""COMPUTED_VALUE"""),1.0285477272587042)</f>
        <v>1.028547727</v>
      </c>
      <c r="AE767" s="30">
        <f>IFERROR(__xludf.DUMMYFUNCTION("""COMPUTED_VALUE"""),0.924732400647324)</f>
        <v>0.9247324006</v>
      </c>
      <c r="AF767" s="30">
        <f>IFERROR(__xludf.DUMMYFUNCTION("""COMPUTED_VALUE"""),0.8060070023685079)</f>
        <v>0.8060070024</v>
      </c>
      <c r="AG767" s="30">
        <f>IFERROR(__xludf.DUMMYFUNCTION("""COMPUTED_VALUE"""),1.1975787695964342)</f>
        <v>1.19757877</v>
      </c>
      <c r="AH767" s="30">
        <f>IFERROR(__xludf.DUMMYFUNCTION("""COMPUTED_VALUE"""),0.9716273110704877)</f>
        <v>0.9716273111</v>
      </c>
      <c r="AI767" s="30">
        <f>IFERROR(__xludf.DUMMYFUNCTION("""COMPUTED_VALUE"""),1.0147034625734717)</f>
        <v>1.014703463</v>
      </c>
      <c r="AJ767" s="30">
        <f>IFERROR(__xludf.DUMMYFUNCTION("""COMPUTED_VALUE"""),1.037103783794693)</f>
        <v>1.037103784</v>
      </c>
      <c r="AK767" s="30">
        <f>IFERROR(__xludf.DUMMYFUNCTION("""COMPUTED_VALUE"""),1.0139963696581233)</f>
        <v>1.01399637</v>
      </c>
      <c r="AL767" s="30">
        <f>IFERROR(__xludf.DUMMYFUNCTION("""COMPUTED_VALUE"""),0.975747945121189)</f>
        <v>0.9757479451</v>
      </c>
      <c r="AM767" s="30">
        <f>IFERROR(__xludf.DUMMYFUNCTION("""COMPUTED_VALUE"""),1.0981112026328563)</f>
        <v>1.098111203</v>
      </c>
      <c r="AN767" s="30">
        <f>IFERROR(__xludf.DUMMYFUNCTION("""COMPUTED_VALUE"""),1.0572409117273391)</f>
        <v>1.057240912</v>
      </c>
      <c r="AO767" s="30">
        <f>IFERROR(__xludf.DUMMYFUNCTION("""COMPUTED_VALUE"""),0.9566995125396404)</f>
        <v>0.9566995125</v>
      </c>
      <c r="AP767" s="30">
        <f>IFERROR(__xludf.DUMMYFUNCTION("""COMPUTED_VALUE"""),0.8086493433811366)</f>
        <v>0.8086493434</v>
      </c>
      <c r="AQ767" s="30">
        <f>IFERROR(__xludf.DUMMYFUNCTION("""COMPUTED_VALUE"""),1.2609464113985906)</f>
        <v>1.260946411</v>
      </c>
      <c r="AR767" s="30">
        <f>IFERROR(__xludf.DUMMYFUNCTION("""COMPUTED_VALUE"""),0.9745187269769403)</f>
        <v>0.974518727</v>
      </c>
      <c r="AS767" s="30">
        <f>IFERROR(__xludf.DUMMYFUNCTION("""COMPUTED_VALUE"""),81.0)</f>
        <v>81</v>
      </c>
      <c r="AT767" s="30">
        <f>IFERROR(__xludf.DUMMYFUNCTION("""COMPUTED_VALUE"""),0.35208230564850207)</f>
        <v>0.3520823056</v>
      </c>
      <c r="AU767" s="30">
        <f>IFERROR(__xludf.DUMMYFUNCTION("""COMPUTED_VALUE"""),2.02430336822343)</f>
        <v>2.024303368</v>
      </c>
      <c r="AV767" s="32">
        <f>IFERROR(__xludf.DUMMYFUNCTION("""COMPUTED_VALUE"""),47.58802435517085)</f>
        <v>47.58802436</v>
      </c>
      <c r="AW767" s="32">
        <f>IFERROR(__xludf.DUMMYFUNCTION("""COMPUTED_VALUE"""),-2.166518313312128)</f>
        <v>-2.166518313</v>
      </c>
      <c r="AX767" s="32">
        <f>IFERROR(__xludf.DUMMYFUNCTION("""COMPUTED_VALUE"""),45.58855375034736)</f>
        <v>45.58855375</v>
      </c>
      <c r="AY767" s="32">
        <f>IFERROR(__xludf.DUMMYFUNCTION("""COMPUTED_VALUE"""),-2.325759181059211)</f>
        <v>-2.325759181</v>
      </c>
      <c r="AZ767" s="30">
        <f>IFERROR(__xludf.DUMMYFUNCTION("""COMPUTED_VALUE"""),0.15924086774708268)</f>
        <v>0.1592408677</v>
      </c>
      <c r="BA767" s="30">
        <f>IFERROR(__xludf.DUMMYFUNCTION("""COMPUTED_VALUE"""),2700.0)</f>
        <v>2700</v>
      </c>
    </row>
    <row r="768">
      <c r="A768" s="71" t="str">
        <f>IFERROR(__xludf.DUMMYFUNCTION("""COMPUTED_VALUE"""),"Prospect")</f>
        <v>Prospect</v>
      </c>
      <c r="B768" s="71" t="str">
        <f>IFERROR(__xludf.DUMMYFUNCTION("""COMPUTED_VALUE"""),"RSC007502")</f>
        <v>RSC007502</v>
      </c>
      <c r="C768" s="30" t="str">
        <f>IFERROR(__xludf.DUMMYFUNCTION("""COMPUTED_VALUE"""),"Cr1m5on_RL")</f>
        <v>Cr1m5on_RL</v>
      </c>
      <c r="D768" s="30"/>
      <c r="E768" s="30">
        <f>IFERROR(__xludf.DUMMYFUNCTION("""COMPUTED_VALUE"""),26.0)</f>
        <v>26</v>
      </c>
      <c r="F768" s="30">
        <f>IFERROR(__xludf.DUMMYFUNCTION("""COMPUTED_VALUE"""),10.0)</f>
        <v>10</v>
      </c>
      <c r="G768" s="42">
        <f>IFERROR(__xludf.DUMMYFUNCTION("""COMPUTED_VALUE"""),16.0)</f>
        <v>16</v>
      </c>
      <c r="H768" s="42">
        <f>IFERROR(__xludf.DUMMYFUNCTION("""COMPUTED_VALUE"""),0.38461538461538464)</f>
        <v>0.3846153846</v>
      </c>
      <c r="I768" s="42">
        <f>IFERROR(__xludf.DUMMYFUNCTION("""COMPUTED_VALUE"""),0.2205882352941176)</f>
        <v>0.2205882353</v>
      </c>
      <c r="J768" s="30">
        <f>IFERROR(__xludf.DUMMYFUNCTION("""COMPUTED_VALUE"""),337.96153846153845)</f>
        <v>337.9615385</v>
      </c>
      <c r="K768" s="30">
        <f>IFERROR(__xludf.DUMMYFUNCTION("""COMPUTED_VALUE"""),0.5769230769230769)</f>
        <v>0.5769230769</v>
      </c>
      <c r="L768" s="30">
        <f>IFERROR(__xludf.DUMMYFUNCTION("""COMPUTED_VALUE"""),0.46153846153846156)</f>
        <v>0.4615384615</v>
      </c>
      <c r="M768" s="30">
        <f>IFERROR(__xludf.DUMMYFUNCTION("""COMPUTED_VALUE"""),1.5384615384615385)</f>
        <v>1.538461538</v>
      </c>
      <c r="N768" s="30">
        <f>IFERROR(__xludf.DUMMYFUNCTION("""COMPUTED_VALUE"""),2.6153846153846154)</f>
        <v>2.615384615</v>
      </c>
      <c r="O768" s="30">
        <f>IFERROR(__xludf.DUMMYFUNCTION("""COMPUTED_VALUE"""),355.38461538461536)</f>
        <v>355.3846154</v>
      </c>
      <c r="P768" s="30">
        <f>IFERROR(__xludf.DUMMYFUNCTION("""COMPUTED_VALUE"""),0.8076923076923076)</f>
        <v>0.8076923077</v>
      </c>
      <c r="Q768" s="30">
        <f>IFERROR(__xludf.DUMMYFUNCTION("""COMPUTED_VALUE"""),0.5769230769230769)</f>
        <v>0.5769230769</v>
      </c>
      <c r="R768" s="30">
        <f>IFERROR(__xludf.DUMMYFUNCTION("""COMPUTED_VALUE"""),1.3846153846153848)</f>
        <v>1.384615385</v>
      </c>
      <c r="S768" s="30">
        <f>IFERROR(__xludf.DUMMYFUNCTION("""COMPUTED_VALUE"""),2.7435897435897427)</f>
        <v>2.743589744</v>
      </c>
      <c r="T768" s="30">
        <f>IFERROR(__xludf.DUMMYFUNCTION("""COMPUTED_VALUE"""),331.2019845178777)</f>
        <v>331.2019845</v>
      </c>
      <c r="U768" s="30">
        <f>IFERROR(__xludf.DUMMYFUNCTION("""COMPUTED_VALUE"""),0.7741104817801063)</f>
        <v>0.7741104818</v>
      </c>
      <c r="V768" s="30">
        <f>IFERROR(__xludf.DUMMYFUNCTION("""COMPUTED_VALUE"""),0.5335261772880577)</f>
        <v>0.5335261773</v>
      </c>
      <c r="W768" s="30">
        <f>IFERROR(__xludf.DUMMYFUNCTION("""COMPUTED_VALUE"""),1.1648044652173366)</f>
        <v>1.164804465</v>
      </c>
      <c r="X768" s="30">
        <f>IFERROR(__xludf.DUMMYFUNCTION("""COMPUTED_VALUE"""),2.4223077318207578)</f>
        <v>2.422307732</v>
      </c>
      <c r="Y768" s="30">
        <f>IFERROR(__xludf.DUMMYFUNCTION("""COMPUTED_VALUE"""),342.58857863842)</f>
        <v>342.5885786</v>
      </c>
      <c r="Z768" s="30">
        <f>IFERROR(__xludf.DUMMYFUNCTION("""COMPUTED_VALUE"""),0.8170290471186505)</f>
        <v>0.8170290471</v>
      </c>
      <c r="AA768" s="30">
        <f>IFERROR(__xludf.DUMMYFUNCTION("""COMPUTED_VALUE"""),0.5522937224243694)</f>
        <v>0.5522937224</v>
      </c>
      <c r="AB768" s="30">
        <f>IFERROR(__xludf.DUMMYFUNCTION("""COMPUTED_VALUE"""),1.208241489737903)</f>
        <v>1.20824149</v>
      </c>
      <c r="AC768" s="30">
        <f>IFERROR(__xludf.DUMMYFUNCTION("""COMPUTED_VALUE"""),2.4251050417665696)</f>
        <v>2.425105042</v>
      </c>
      <c r="AD768" s="30">
        <f>IFERROR(__xludf.DUMMYFUNCTION("""COMPUTED_VALUE"""),0.9864938866459845)</f>
        <v>0.9864938866</v>
      </c>
      <c r="AE768" s="30">
        <f>IFERROR(__xludf.DUMMYFUNCTION("""COMPUTED_VALUE"""),0.7061230918994426)</f>
        <v>0.7061230919</v>
      </c>
      <c r="AF768" s="30">
        <f>IFERROR(__xludf.DUMMYFUNCTION("""COMPUTED_VALUE"""),0.8356757333986613)</f>
        <v>0.8356757334</v>
      </c>
      <c r="AG768" s="30">
        <f>IFERROR(__xludf.DUMMYFUNCTION("""COMPUTED_VALUE"""),1.2733063311666846)</f>
        <v>1.273306331</v>
      </c>
      <c r="AH768" s="30">
        <f>IFERROR(__xludf.DUMMYFUNCTION("""COMPUTED_VALUE"""),1.0784624048612081)</f>
        <v>1.078462405</v>
      </c>
      <c r="AI768" s="30">
        <f>IFERROR(__xludf.DUMMYFUNCTION("""COMPUTED_VALUE"""),1.073014752317803)</f>
        <v>1.073014752</v>
      </c>
      <c r="AJ768" s="30">
        <f>IFERROR(__xludf.DUMMYFUNCTION("""COMPUTED_VALUE"""),1.0433811796928238)</f>
        <v>1.04338118</v>
      </c>
      <c r="AK768" s="30">
        <f>IFERROR(__xludf.DUMMYFUNCTION("""COMPUTED_VALUE"""),1.081339775783089)</f>
        <v>1.081339776</v>
      </c>
      <c r="AL768" s="30">
        <f>IFERROR(__xludf.DUMMYFUNCTION("""COMPUTED_VALUE"""),1.188710574145193)</f>
        <v>1.188710574</v>
      </c>
      <c r="AM768" s="30">
        <f>IFERROR(__xludf.DUMMYFUNCTION("""COMPUTED_VALUE"""),1.1326346803704785)</f>
        <v>1.13263468</v>
      </c>
      <c r="AN768" s="30">
        <f>IFERROR(__xludf.DUMMYFUNCTION("""COMPUTED_VALUE"""),1.0510995779831636)</f>
        <v>1.051099578</v>
      </c>
      <c r="AO768" s="30">
        <f>IFERROR(__xludf.DUMMYFUNCTION("""COMPUTED_VALUE"""),0.78609924981404)</f>
        <v>0.7860992498</v>
      </c>
      <c r="AP768" s="30">
        <f>IFERROR(__xludf.DUMMYFUNCTION("""COMPUTED_VALUE"""),0.9232352827266419)</f>
        <v>0.9232352827</v>
      </c>
      <c r="AQ768" s="30">
        <f>IFERROR(__xludf.DUMMYFUNCTION("""COMPUTED_VALUE"""),1.3213931178535958)</f>
        <v>1.321393118</v>
      </c>
      <c r="AR768" s="30">
        <f>IFERROR(__xludf.DUMMYFUNCTION("""COMPUTED_VALUE"""),1.1301022682940136)</f>
        <v>1.130102268</v>
      </c>
      <c r="AS768" s="30">
        <f>IFERROR(__xludf.DUMMYFUNCTION("""COMPUTED_VALUE"""),47.0)</f>
        <v>47</v>
      </c>
      <c r="AT768" s="30">
        <f>IFERROR(__xludf.DUMMYFUNCTION("""COMPUTED_VALUE"""),0.39097117236321244)</f>
        <v>0.3909711724</v>
      </c>
      <c r="AU768" s="30">
        <f>IFERROR(__xludf.DUMMYFUNCTION("""COMPUTED_VALUE"""),1.8960507953404349)</f>
        <v>1.896050795</v>
      </c>
      <c r="AV768" s="32">
        <f>IFERROR(__xludf.DUMMYFUNCTION("""COMPUTED_VALUE"""),44.11779798459838)</f>
        <v>44.11779798</v>
      </c>
      <c r="AW768" s="32">
        <f>IFERROR(__xludf.DUMMYFUNCTION("""COMPUTED_VALUE"""),-2.4570472942997323)</f>
        <v>-2.457047294</v>
      </c>
      <c r="AX768" s="32">
        <f>IFERROR(__xludf.DUMMYFUNCTION("""COMPUTED_VALUE"""),42.51031450180316)</f>
        <v>42.5103145</v>
      </c>
      <c r="AY768" s="32">
        <f>IFERROR(__xludf.DUMMYFUNCTION("""COMPUTED_VALUE"""),-2.6161167298245402)</f>
        <v>-2.61611673</v>
      </c>
      <c r="AZ768" s="30">
        <f>IFERROR(__xludf.DUMMYFUNCTION("""COMPUTED_VALUE"""),0.1590694355248079)</f>
        <v>0.1590694355</v>
      </c>
      <c r="BA768" s="30">
        <f>IFERROR(__xludf.DUMMYFUNCTION("""COMPUTED_VALUE"""),2700.0)</f>
        <v>2700</v>
      </c>
    </row>
    <row r="769">
      <c r="A769" s="71" t="str">
        <f>IFERROR(__xludf.DUMMYFUNCTION("""COMPUTED_VALUE"""),"Prospect")</f>
        <v>Prospect</v>
      </c>
      <c r="B769" s="71" t="str">
        <f>IFERROR(__xludf.DUMMYFUNCTION("""COMPUTED_VALUE"""),"RSC006586")</f>
        <v>RSC006586</v>
      </c>
      <c r="C769" s="30" t="str">
        <f>IFERROR(__xludf.DUMMYFUNCTION("""COMPUTED_VALUE"""),"dino_chick3n")</f>
        <v>dino_chick3n</v>
      </c>
      <c r="D769" s="30"/>
      <c r="E769" s="30">
        <f>IFERROR(__xludf.DUMMYFUNCTION("""COMPUTED_VALUE"""),14.0)</f>
        <v>14</v>
      </c>
      <c r="F769" s="30">
        <f>IFERROR(__xludf.DUMMYFUNCTION("""COMPUTED_VALUE"""),4.0)</f>
        <v>4</v>
      </c>
      <c r="G769" s="42">
        <f>IFERROR(__xludf.DUMMYFUNCTION("""COMPUTED_VALUE"""),10.0)</f>
        <v>10</v>
      </c>
      <c r="H769" s="42">
        <f>IFERROR(__xludf.DUMMYFUNCTION("""COMPUTED_VALUE"""),0.2857142857142857)</f>
        <v>0.2857142857</v>
      </c>
      <c r="I769" s="42">
        <f>IFERROR(__xludf.DUMMYFUNCTION("""COMPUTED_VALUE"""),0.2857142857142857)</f>
        <v>0.2857142857</v>
      </c>
      <c r="J769" s="30">
        <f>IFERROR(__xludf.DUMMYFUNCTION("""COMPUTED_VALUE"""),342.0)</f>
        <v>342</v>
      </c>
      <c r="K769" s="30">
        <f>IFERROR(__xludf.DUMMYFUNCTION("""COMPUTED_VALUE"""),0.7142857142857143)</f>
        <v>0.7142857143</v>
      </c>
      <c r="L769" s="30">
        <f>IFERROR(__xludf.DUMMYFUNCTION("""COMPUTED_VALUE"""),0.5714285714285714)</f>
        <v>0.5714285714</v>
      </c>
      <c r="M769" s="30">
        <f>IFERROR(__xludf.DUMMYFUNCTION("""COMPUTED_VALUE"""),1.1428571428571428)</f>
        <v>1.142857143</v>
      </c>
      <c r="N769" s="30">
        <f>IFERROR(__xludf.DUMMYFUNCTION("""COMPUTED_VALUE"""),2.5)</f>
        <v>2.5</v>
      </c>
      <c r="O769" s="30">
        <f>IFERROR(__xludf.DUMMYFUNCTION("""COMPUTED_VALUE"""),358.4047619047619)</f>
        <v>358.4047619</v>
      </c>
      <c r="P769" s="30">
        <f>IFERROR(__xludf.DUMMYFUNCTION("""COMPUTED_VALUE"""),0.9285714285714287)</f>
        <v>0.9285714286</v>
      </c>
      <c r="Q769" s="30">
        <f>IFERROR(__xludf.DUMMYFUNCTION("""COMPUTED_VALUE"""),0.6904761904761905)</f>
        <v>0.6904761905</v>
      </c>
      <c r="R769" s="30">
        <f>IFERROR(__xludf.DUMMYFUNCTION("""COMPUTED_VALUE"""),1.4047619047619047)</f>
        <v>1.404761905</v>
      </c>
      <c r="S769" s="30">
        <f>IFERROR(__xludf.DUMMYFUNCTION("""COMPUTED_VALUE"""),2.3095238095238098)</f>
        <v>2.30952381</v>
      </c>
      <c r="T769" s="30">
        <f>IFERROR(__xludf.DUMMYFUNCTION("""COMPUTED_VALUE"""),339.23801406470693)</f>
        <v>339.2380141</v>
      </c>
      <c r="U769" s="30">
        <f>IFERROR(__xludf.DUMMYFUNCTION("""COMPUTED_VALUE"""),0.8551570383750814)</f>
        <v>0.8551570384</v>
      </c>
      <c r="V769" s="30">
        <f>IFERROR(__xludf.DUMMYFUNCTION("""COMPUTED_VALUE"""),0.6130845047356218)</f>
        <v>0.6130845047</v>
      </c>
      <c r="W769" s="30">
        <f>IFERROR(__xludf.DUMMYFUNCTION("""COMPUTED_VALUE"""),1.0853329139988186)</f>
        <v>1.085332914</v>
      </c>
      <c r="X769" s="30">
        <f>IFERROR(__xludf.DUMMYFUNCTION("""COMPUTED_VALUE"""),2.5200574021770348)</f>
        <v>2.520057402</v>
      </c>
      <c r="Y769" s="30">
        <f>IFERROR(__xludf.DUMMYFUNCTION("""COMPUTED_VALUE"""),325.1770902938738)</f>
        <v>325.1770903</v>
      </c>
      <c r="Z769" s="30">
        <f>IFERROR(__xludf.DUMMYFUNCTION("""COMPUTED_VALUE"""),0.7544581454747552)</f>
        <v>0.7544581455</v>
      </c>
      <c r="AA769" s="30">
        <f>IFERROR(__xludf.DUMMYFUNCTION("""COMPUTED_VALUE"""),0.49748999912615727)</f>
        <v>0.4974899991</v>
      </c>
      <c r="AB769" s="30">
        <f>IFERROR(__xludf.DUMMYFUNCTION("""COMPUTED_VALUE"""),1.2103753652174536)</f>
        <v>1.210375365</v>
      </c>
      <c r="AC769" s="30">
        <f>IFERROR(__xludf.DUMMYFUNCTION("""COMPUTED_VALUE"""),2.239568590667786)</f>
        <v>2.239568591</v>
      </c>
      <c r="AD769" s="30">
        <f>IFERROR(__xludf.DUMMYFUNCTION("""COMPUTED_VALUE"""),1.0517346092583668)</f>
        <v>1.051734609</v>
      </c>
      <c r="AE769" s="30">
        <f>IFERROR(__xludf.DUMMYFUNCTION("""COMPUTED_VALUE"""),0.9467532673217257)</f>
        <v>0.9467532673</v>
      </c>
      <c r="AF769" s="30">
        <f>IFERROR(__xludf.DUMMYFUNCTION("""COMPUTED_VALUE"""),1.1486232334967286)</f>
        <v>1.148623233</v>
      </c>
      <c r="AG769" s="30">
        <f>IFERROR(__xludf.DUMMYFUNCTION("""COMPUTED_VALUE"""),0.9442171211505279)</f>
        <v>0.9442171212</v>
      </c>
      <c r="AH769" s="30">
        <f>IFERROR(__xludf.DUMMYFUNCTION("""COMPUTED_VALUE"""),1.1162864180259644)</f>
        <v>1.116286418</v>
      </c>
      <c r="AI769" s="30">
        <f>IFERROR(__xludf.DUMMYFUNCTION("""COMPUTED_VALUE"""),1.0564994105772565)</f>
        <v>1.056499411</v>
      </c>
      <c r="AJ769" s="30">
        <f>IFERROR(__xludf.DUMMYFUNCTION("""COMPUTED_VALUE"""),1.0858490159139016)</f>
        <v>1.085849016</v>
      </c>
      <c r="AK769" s="30">
        <f>IFERROR(__xludf.DUMMYFUNCTION("""COMPUTED_VALUE"""),1.126233309018211)</f>
        <v>1.126233309</v>
      </c>
      <c r="AL769" s="30">
        <f>IFERROR(__xludf.DUMMYFUNCTION("""COMPUTED_VALUE"""),1.2943142943911805)</f>
        <v>1.294314294</v>
      </c>
      <c r="AM769" s="30">
        <f>IFERROR(__xludf.DUMMYFUNCTION("""COMPUTED_VALUE"""),0.9164568265503203)</f>
        <v>0.9164568266</v>
      </c>
      <c r="AN769" s="30">
        <f>IFERROR(__xludf.DUMMYFUNCTION("""COMPUTED_VALUE"""),1.0636596617077831)</f>
        <v>1.063659662</v>
      </c>
      <c r="AO769" s="30">
        <f>IFERROR(__xludf.DUMMYFUNCTION("""COMPUTED_VALUE"""),0.973265737865002)</f>
        <v>0.9732657379</v>
      </c>
      <c r="AP769" s="30">
        <f>IFERROR(__xludf.DUMMYFUNCTION("""COMPUTED_VALUE"""),1.143053207185366)</f>
        <v>1.143053207</v>
      </c>
      <c r="AQ769" s="30">
        <f>IFERROR(__xludf.DUMMYFUNCTION("""COMPUTED_VALUE"""),0.9816063161198139)</f>
        <v>0.9816063161</v>
      </c>
      <c r="AR769" s="30">
        <f>IFERROR(__xludf.DUMMYFUNCTION("""COMPUTED_VALUE"""),1.0802448152810424)</f>
        <v>1.080244815</v>
      </c>
      <c r="AS769" s="30">
        <f>IFERROR(__xludf.DUMMYFUNCTION("""COMPUTED_VALUE"""),29.0)</f>
        <v>29</v>
      </c>
      <c r="AT769" s="30">
        <f>IFERROR(__xludf.DUMMYFUNCTION("""COMPUTED_VALUE"""),0.38549046449711494)</f>
        <v>0.3854904645</v>
      </c>
      <c r="AU769" s="30">
        <f>IFERROR(__xludf.DUMMYFUNCTION("""COMPUTED_VALUE"""),2.3388901420626045)</f>
        <v>2.338890142</v>
      </c>
      <c r="AV769" s="32">
        <f>IFERROR(__xludf.DUMMYFUNCTION("""COMPUTED_VALUE"""),56.100035411712895)</f>
        <v>56.10003541</v>
      </c>
      <c r="AW769" s="32">
        <f>IFERROR(__xludf.DUMMYFUNCTION("""COMPUTED_VALUE"""),2.4776094627019214)</f>
        <v>2.477609463</v>
      </c>
      <c r="AX769" s="32">
        <f>IFERROR(__xludf.DUMMYFUNCTION("""COMPUTED_VALUE"""),54.774740836873285)</f>
        <v>54.77474084</v>
      </c>
      <c r="AY769" s="32">
        <f>IFERROR(__xludf.DUMMYFUNCTION("""COMPUTED_VALUE"""),2.357007110927195)</f>
        <v>2.357007111</v>
      </c>
      <c r="AZ769" s="30">
        <f>IFERROR(__xludf.DUMMYFUNCTION("""COMPUTED_VALUE"""),0.12060235177472656)</f>
        <v>0.1206023518</v>
      </c>
      <c r="BA769" s="30">
        <f>IFERROR(__xludf.DUMMYFUNCTION("""COMPUTED_VALUE"""),2700.0)</f>
        <v>2700</v>
      </c>
    </row>
    <row r="770">
      <c r="A770" s="71" t="str">
        <f>IFERROR(__xludf.DUMMYFUNCTION("""COMPUTED_VALUE"""),"Prospect")</f>
        <v>Prospect</v>
      </c>
      <c r="B770" s="71" t="str">
        <f>IFERROR(__xludf.DUMMYFUNCTION("""COMPUTED_VALUE"""),"RSC007487")</f>
        <v>RSC007487</v>
      </c>
      <c r="C770" s="30" t="str">
        <f>IFERROR(__xludf.DUMMYFUNCTION("""COMPUTED_VALUE"""),"YoloOnTinder")</f>
        <v>YoloOnTinder</v>
      </c>
      <c r="D770" s="30" t="str">
        <f>IFERROR(__xludf.DUMMYFUNCTION("""COMPUTED_VALUE"""),"Dime")</f>
        <v>Dime</v>
      </c>
      <c r="E770" s="30">
        <f>IFERROR(__xludf.DUMMYFUNCTION("""COMPUTED_VALUE"""),30.0)</f>
        <v>30</v>
      </c>
      <c r="F770" s="30">
        <f>IFERROR(__xludf.DUMMYFUNCTION("""COMPUTED_VALUE"""),21.0)</f>
        <v>21</v>
      </c>
      <c r="G770" s="42">
        <f>IFERROR(__xludf.DUMMYFUNCTION("""COMPUTED_VALUE"""),9.0)</f>
        <v>9</v>
      </c>
      <c r="H770" s="42">
        <f>IFERROR(__xludf.DUMMYFUNCTION("""COMPUTED_VALUE"""),0.7)</f>
        <v>0.7</v>
      </c>
      <c r="I770" s="42">
        <f>IFERROR(__xludf.DUMMYFUNCTION("""COMPUTED_VALUE"""),0.21428571428571427)</f>
        <v>0.2142857143</v>
      </c>
      <c r="J770" s="30">
        <f>IFERROR(__xludf.DUMMYFUNCTION("""COMPUTED_VALUE"""),289.7)</f>
        <v>289.7</v>
      </c>
      <c r="K770" s="30">
        <f>IFERROR(__xludf.DUMMYFUNCTION("""COMPUTED_VALUE"""),0.5)</f>
        <v>0.5</v>
      </c>
      <c r="L770" s="30">
        <f>IFERROR(__xludf.DUMMYFUNCTION("""COMPUTED_VALUE"""),0.9333333333333333)</f>
        <v>0.9333333333</v>
      </c>
      <c r="M770" s="30">
        <f>IFERROR(__xludf.DUMMYFUNCTION("""COMPUTED_VALUE"""),0.8)</f>
        <v>0.8</v>
      </c>
      <c r="N770" s="30">
        <f>IFERROR(__xludf.DUMMYFUNCTION("""COMPUTED_VALUE"""),2.3333333333333335)</f>
        <v>2.333333333</v>
      </c>
      <c r="O770" s="30">
        <f>IFERROR(__xludf.DUMMYFUNCTION("""COMPUTED_VALUE"""),299.32222222222225)</f>
        <v>299.3222222</v>
      </c>
      <c r="P770" s="30">
        <f>IFERROR(__xludf.DUMMYFUNCTION("""COMPUTED_VALUE"""),0.6)</f>
        <v>0.6</v>
      </c>
      <c r="Q770" s="30">
        <f>IFERROR(__xludf.DUMMYFUNCTION("""COMPUTED_VALUE"""),0.4555555555555555)</f>
        <v>0.4555555556</v>
      </c>
      <c r="R770" s="30">
        <f>IFERROR(__xludf.DUMMYFUNCTION("""COMPUTED_VALUE"""),1.2444444444444445)</f>
        <v>1.244444444</v>
      </c>
      <c r="S770" s="30">
        <f>IFERROR(__xludf.DUMMYFUNCTION("""COMPUTED_VALUE"""),1.9000000000000001)</f>
        <v>1.9</v>
      </c>
      <c r="T770" s="30">
        <f>IFERROR(__xludf.DUMMYFUNCTION("""COMPUTED_VALUE"""),336.63401729361954)</f>
        <v>336.6340173</v>
      </c>
      <c r="U770" s="30">
        <f>IFERROR(__xludf.DUMMYFUNCTION("""COMPUTED_VALUE"""),0.7878944697301409)</f>
        <v>0.7878944697</v>
      </c>
      <c r="V770" s="30">
        <f>IFERROR(__xludf.DUMMYFUNCTION("""COMPUTED_VALUE"""),0.5297863251741869)</f>
        <v>0.5297863252</v>
      </c>
      <c r="W770" s="30">
        <f>IFERROR(__xludf.DUMMYFUNCTION("""COMPUTED_VALUE"""),1.2187050383301334)</f>
        <v>1.218705038</v>
      </c>
      <c r="X770" s="30">
        <f>IFERROR(__xludf.DUMMYFUNCTION("""COMPUTED_VALUE"""),2.457343574016228)</f>
        <v>2.457343574</v>
      </c>
      <c r="Y770" s="30">
        <f>IFERROR(__xludf.DUMMYFUNCTION("""COMPUTED_VALUE"""),334.3677708175608)</f>
        <v>334.3677708</v>
      </c>
      <c r="Z770" s="30">
        <f>IFERROR(__xludf.DUMMYFUNCTION("""COMPUTED_VALUE"""),0.7817712376397999)</f>
        <v>0.7817712376</v>
      </c>
      <c r="AA770" s="30">
        <f>IFERROR(__xludf.DUMMYFUNCTION("""COMPUTED_VALUE"""),0.526247596559606)</f>
        <v>0.5262475966</v>
      </c>
      <c r="AB770" s="30">
        <f>IFERROR(__xludf.DUMMYFUNCTION("""COMPUTED_VALUE"""),1.187512123152239)</f>
        <v>1.187512123</v>
      </c>
      <c r="AC770" s="30">
        <f>IFERROR(__xludf.DUMMYFUNCTION("""COMPUTED_VALUE"""),2.442033893744843)</f>
        <v>2.442033894</v>
      </c>
      <c r="AD770" s="30">
        <f>IFERROR(__xludf.DUMMYFUNCTION("""COMPUTED_VALUE"""),0.8664112551627092)</f>
        <v>0.8664112552</v>
      </c>
      <c r="AE770" s="30">
        <f>IFERROR(__xludf.DUMMYFUNCTION("""COMPUTED_VALUE"""),0.6395732868217574)</f>
        <v>0.6395732868</v>
      </c>
      <c r="AF770" s="30">
        <f>IFERROR(__xludf.DUMMYFUNCTION("""COMPUTED_VALUE"""),1.773563127765503)</f>
        <v>1.773563128</v>
      </c>
      <c r="AG770" s="30">
        <f>IFERROR(__xludf.DUMMYFUNCTION("""COMPUTED_VALUE"""),0.6736773329744273)</f>
        <v>0.673677333</v>
      </c>
      <c r="AH770" s="30">
        <f>IFERROR(__xludf.DUMMYFUNCTION("""COMPUTED_VALUE"""),0.9554876938072232)</f>
        <v>0.9554876938</v>
      </c>
      <c r="AI770" s="30">
        <f>IFERROR(__xludf.DUMMYFUNCTION("""COMPUTED_VALUE"""),0.8891621370550525)</f>
        <v>0.8891621371</v>
      </c>
      <c r="AJ770" s="30">
        <f>IFERROR(__xludf.DUMMYFUNCTION("""COMPUTED_VALUE"""),0.7615233042637093)</f>
        <v>0.7615233043</v>
      </c>
      <c r="AK770" s="30">
        <f>IFERROR(__xludf.DUMMYFUNCTION("""COMPUTED_VALUE"""),0.8598854555292168)</f>
        <v>0.8598854555</v>
      </c>
      <c r="AL770" s="30">
        <f>IFERROR(__xludf.DUMMYFUNCTION("""COMPUTED_VALUE"""),1.0211202918710989)</f>
        <v>1.021120292</v>
      </c>
      <c r="AM770" s="30">
        <f>IFERROR(__xludf.DUMMYFUNCTION("""COMPUTED_VALUE"""),0.7731926540881225)</f>
        <v>0.7731926541</v>
      </c>
      <c r="AN770" s="30">
        <f>IFERROR(__xludf.DUMMYFUNCTION("""COMPUTED_VALUE"""),0.9010005964817098)</f>
        <v>0.9010005965</v>
      </c>
      <c r="AO770" s="30">
        <f>IFERROR(__xludf.DUMMYFUNCTION("""COMPUTED_VALUE"""),0.6812860165055015)</f>
        <v>0.6812860165</v>
      </c>
      <c r="AP770" s="30">
        <f>IFERROR(__xludf.DUMMYFUNCTION("""COMPUTED_VALUE"""),1.8669869050694314)</f>
        <v>1.866986905</v>
      </c>
      <c r="AQ770" s="30">
        <f>IFERROR(__xludf.DUMMYFUNCTION("""COMPUTED_VALUE"""),0.6871244212838697)</f>
        <v>0.6871244213</v>
      </c>
      <c r="AR770" s="30">
        <f>IFERROR(__xludf.DUMMYFUNCTION("""COMPUTED_VALUE"""),1.0082284942623063)</f>
        <v>1.008228494</v>
      </c>
      <c r="AS770" s="30">
        <f>IFERROR(__xludf.DUMMYFUNCTION("""COMPUTED_VALUE"""),91.0)</f>
        <v>91</v>
      </c>
      <c r="AT770" s="30">
        <f>IFERROR(__xludf.DUMMYFUNCTION("""COMPUTED_VALUE"""),0.6942891863395608)</f>
        <v>0.6942891863</v>
      </c>
      <c r="AU770" s="30">
        <f>IFERROR(__xludf.DUMMYFUNCTION("""COMPUTED_VALUE"""),2.358355849571516)</f>
        <v>2.35835585</v>
      </c>
      <c r="AV770" s="32">
        <f>IFERROR(__xludf.DUMMYFUNCTION("""COMPUTED_VALUE"""),56.62673370712175)</f>
        <v>56.62673371</v>
      </c>
      <c r="AW770" s="32">
        <f>IFERROR(__xludf.DUMMYFUNCTION("""COMPUTED_VALUE"""),2.5285855345913304)</f>
        <v>2.528585535</v>
      </c>
      <c r="AX770" s="32">
        <f>IFERROR(__xludf.DUMMYFUNCTION("""COMPUTED_VALUE"""),55.41624359920661)</f>
        <v>55.4162436</v>
      </c>
      <c r="AY770" s="32">
        <f>IFERROR(__xludf.DUMMYFUNCTION("""COMPUTED_VALUE"""),2.4140556472185155)</f>
        <v>2.414055647</v>
      </c>
      <c r="AZ770" s="30">
        <f>IFERROR(__xludf.DUMMYFUNCTION("""COMPUTED_VALUE"""),0.11452988737281489)</f>
        <v>0.1145298874</v>
      </c>
      <c r="BA770" s="30">
        <f>IFERROR(__xludf.DUMMYFUNCTION("""COMPUTED_VALUE"""),2700.0)</f>
        <v>2700</v>
      </c>
    </row>
    <row r="771">
      <c r="A771" s="71" t="str">
        <f>IFERROR(__xludf.DUMMYFUNCTION("""COMPUTED_VALUE"""),"Prospect")</f>
        <v>Prospect</v>
      </c>
      <c r="B771" s="71" t="str">
        <f>IFERROR(__xludf.DUMMYFUNCTION("""COMPUTED_VALUE"""),"RSC005018")</f>
        <v>RSC005018</v>
      </c>
      <c r="C771" s="30" t="str">
        <f>IFERROR(__xludf.DUMMYFUNCTION("""COMPUTED_VALUE"""),"Smitty")</f>
        <v>Smitty</v>
      </c>
      <c r="D771" s="30" t="str">
        <f>IFERROR(__xludf.DUMMYFUNCTION("""COMPUTED_VALUE"""),"Hawaiian Pizza")</f>
        <v>Hawaiian Pizza</v>
      </c>
      <c r="E771" s="30">
        <f>IFERROR(__xludf.DUMMYFUNCTION("""COMPUTED_VALUE"""),17.0)</f>
        <v>17</v>
      </c>
      <c r="F771" s="30">
        <f>IFERROR(__xludf.DUMMYFUNCTION("""COMPUTED_VALUE"""),10.0)</f>
        <v>10</v>
      </c>
      <c r="G771" s="42">
        <f>IFERROR(__xludf.DUMMYFUNCTION("""COMPUTED_VALUE"""),7.0)</f>
        <v>7</v>
      </c>
      <c r="H771" s="42">
        <f>IFERROR(__xludf.DUMMYFUNCTION("""COMPUTED_VALUE"""),0.5882352941176471)</f>
        <v>0.5882352941</v>
      </c>
      <c r="I771" s="42">
        <f>IFERROR(__xludf.DUMMYFUNCTION("""COMPUTED_VALUE"""),0.3055555555555556)</f>
        <v>0.3055555556</v>
      </c>
      <c r="J771" s="30">
        <f>IFERROR(__xludf.DUMMYFUNCTION("""COMPUTED_VALUE"""),293.52941176470586)</f>
        <v>293.5294118</v>
      </c>
      <c r="K771" s="30">
        <f>IFERROR(__xludf.DUMMYFUNCTION("""COMPUTED_VALUE"""),0.6470588235294118)</f>
        <v>0.6470588235</v>
      </c>
      <c r="L771" s="30">
        <f>IFERROR(__xludf.DUMMYFUNCTION("""COMPUTED_VALUE"""),0.5882352941176471)</f>
        <v>0.5882352941</v>
      </c>
      <c r="M771" s="30">
        <f>IFERROR(__xludf.DUMMYFUNCTION("""COMPUTED_VALUE"""),1.0588235294117647)</f>
        <v>1.058823529</v>
      </c>
      <c r="N771" s="30">
        <f>IFERROR(__xludf.DUMMYFUNCTION("""COMPUTED_VALUE"""),2.1176470588235294)</f>
        <v>2.117647059</v>
      </c>
      <c r="O771" s="30">
        <f>IFERROR(__xludf.DUMMYFUNCTION("""COMPUTED_VALUE"""),270.6078431372549)</f>
        <v>270.6078431</v>
      </c>
      <c r="P771" s="30">
        <f>IFERROR(__xludf.DUMMYFUNCTION("""COMPUTED_VALUE"""),0.4901960784313725)</f>
        <v>0.4901960784</v>
      </c>
      <c r="Q771" s="30">
        <f>IFERROR(__xludf.DUMMYFUNCTION("""COMPUTED_VALUE"""),0.3529411764705882)</f>
        <v>0.3529411765</v>
      </c>
      <c r="R771" s="30">
        <f>IFERROR(__xludf.DUMMYFUNCTION("""COMPUTED_VALUE"""),1.0)</f>
        <v>1</v>
      </c>
      <c r="S771" s="30">
        <f>IFERROR(__xludf.DUMMYFUNCTION("""COMPUTED_VALUE"""),1.9411764705882353)</f>
        <v>1.941176471</v>
      </c>
      <c r="T771" s="30">
        <f>IFERROR(__xludf.DUMMYFUNCTION("""COMPUTED_VALUE"""),324.6537927811954)</f>
        <v>324.6537928</v>
      </c>
      <c r="U771" s="30">
        <f>IFERROR(__xludf.DUMMYFUNCTION("""COMPUTED_VALUE"""),0.7430464947137376)</f>
        <v>0.7430464947</v>
      </c>
      <c r="V771" s="30">
        <f>IFERROR(__xludf.DUMMYFUNCTION("""COMPUTED_VALUE"""),0.5334789829717755)</f>
        <v>0.533478983</v>
      </c>
      <c r="W771" s="30">
        <f>IFERROR(__xludf.DUMMYFUNCTION("""COMPUTED_VALUE"""),1.1256773345349453)</f>
        <v>1.125677335</v>
      </c>
      <c r="X771" s="30">
        <f>IFERROR(__xludf.DUMMYFUNCTION("""COMPUTED_VALUE"""),2.3650598018122277)</f>
        <v>2.365059802</v>
      </c>
      <c r="Y771" s="30">
        <f>IFERROR(__xludf.DUMMYFUNCTION("""COMPUTED_VALUE"""),337.69343693731804)</f>
        <v>337.6934369</v>
      </c>
      <c r="Z771" s="30">
        <f>IFERROR(__xludf.DUMMYFUNCTION("""COMPUTED_VALUE"""),0.8316860430550231)</f>
        <v>0.8316860431</v>
      </c>
      <c r="AA771" s="30">
        <f>IFERROR(__xludf.DUMMYFUNCTION("""COMPUTED_VALUE"""),0.5518249163786326)</f>
        <v>0.5518249164</v>
      </c>
      <c r="AB771" s="30">
        <f>IFERROR(__xludf.DUMMYFUNCTION("""COMPUTED_VALUE"""),1.2111823126049206)</f>
        <v>1.211182313</v>
      </c>
      <c r="AC771" s="30">
        <f>IFERROR(__xludf.DUMMYFUNCTION("""COMPUTED_VALUE"""),2.4319378147574957)</f>
        <v>2.431937815</v>
      </c>
      <c r="AD771" s="30">
        <f>IFERROR(__xludf.DUMMYFUNCTION("""COMPUTED_VALUE"""),0.8692185860253784)</f>
        <v>0.869218586</v>
      </c>
      <c r="AE771" s="30">
        <f>IFERROR(__xludf.DUMMYFUNCTION("""COMPUTED_VALUE"""),0.7780085152716737)</f>
        <v>0.7780085153</v>
      </c>
      <c r="AF771" s="30">
        <f>IFERROR(__xludf.DUMMYFUNCTION("""COMPUTED_VALUE"""),1.065981757362387)</f>
        <v>1.065981757</v>
      </c>
      <c r="AG771" s="30">
        <f>IFERROR(__xludf.DUMMYFUNCTION("""COMPUTED_VALUE"""),0.8742065652647503)</f>
        <v>0.8742065653</v>
      </c>
      <c r="AH771" s="30">
        <f>IFERROR(__xludf.DUMMYFUNCTION("""COMPUTED_VALUE"""),0.870765299167279)</f>
        <v>0.8707652992</v>
      </c>
      <c r="AI771" s="30">
        <f>IFERROR(__xludf.DUMMYFUNCTION("""COMPUTED_VALUE"""),0.833527434930152)</f>
        <v>0.8335274349</v>
      </c>
      <c r="AJ771" s="30">
        <f>IFERROR(__xludf.DUMMYFUNCTION("""COMPUTED_VALUE"""),0.6597111781278545)</f>
        <v>0.6597111781</v>
      </c>
      <c r="AK771" s="30">
        <f>IFERROR(__xludf.DUMMYFUNCTION("""COMPUTED_VALUE"""),0.6615840318666519)</f>
        <v>0.6615840319</v>
      </c>
      <c r="AL771" s="30">
        <f>IFERROR(__xludf.DUMMYFUNCTION("""COMPUTED_VALUE"""),0.888354033008165)</f>
        <v>0.888354033</v>
      </c>
      <c r="AM771" s="30">
        <f>IFERROR(__xludf.DUMMYFUNCTION("""COMPUTED_VALUE"""),0.8207726794480242)</f>
        <v>0.8207726794</v>
      </c>
      <c r="AN771" s="30">
        <f>IFERROR(__xludf.DUMMYFUNCTION("""COMPUTED_VALUE"""),0.9129105111664667)</f>
        <v>0.9129105112</v>
      </c>
      <c r="AO771" s="30">
        <f>IFERROR(__xludf.DUMMYFUNCTION("""COMPUTED_VALUE"""),0.8816642566541784)</f>
        <v>0.8816642567</v>
      </c>
      <c r="AP771" s="30">
        <f>IFERROR(__xludf.DUMMYFUNCTION("""COMPUTED_VALUE"""),1.1766724191614064)</f>
        <v>1.176672419</v>
      </c>
      <c r="AQ771" s="30">
        <f>IFERROR(__xludf.DUMMYFUNCTION("""COMPUTED_VALUE"""),0.9094293811110041)</f>
        <v>0.9094293811</v>
      </c>
      <c r="AR771" s="30">
        <f>IFERROR(__xludf.DUMMYFUNCTION("""COMPUTED_VALUE"""),0.9150309023557065)</f>
        <v>0.9150309024</v>
      </c>
      <c r="AS771" s="30">
        <f>IFERROR(__xludf.DUMMYFUNCTION("""COMPUTED_VALUE"""),39.0)</f>
        <v>39</v>
      </c>
      <c r="AT771" s="30">
        <f>IFERROR(__xludf.DUMMYFUNCTION("""COMPUTED_VALUE"""),0.6571368951707722)</f>
        <v>0.6571368952</v>
      </c>
      <c r="AU771" s="30">
        <f>IFERROR(__xludf.DUMMYFUNCTION("""COMPUTED_VALUE"""),2.251248543071224)</f>
        <v>2.251248543</v>
      </c>
      <c r="AV771" s="32">
        <f>IFERROR(__xludf.DUMMYFUNCTION("""COMPUTED_VALUE"""),53.72865072022222)</f>
        <v>53.72865072</v>
      </c>
      <c r="AW771" s="32">
        <f>IFERROR(__xludf.DUMMYFUNCTION("""COMPUTED_VALUE"""),2.269018442702063)</f>
        <v>2.269018443</v>
      </c>
      <c r="AX771" s="32">
        <f>IFERROR(__xludf.DUMMYFUNCTION("""COMPUTED_VALUE"""),52.25332362462178)</f>
        <v>52.25332362</v>
      </c>
      <c r="AY771" s="32">
        <f>IFERROR(__xludf.DUMMYFUNCTION("""COMPUTED_VALUE"""),2.1547508222940426)</f>
        <v>2.154750822</v>
      </c>
      <c r="AZ771" s="30">
        <f>IFERROR(__xludf.DUMMYFUNCTION("""COMPUTED_VALUE"""),0.11426762040802041)</f>
        <v>0.1142676204</v>
      </c>
      <c r="BA771" s="30">
        <f>IFERROR(__xludf.DUMMYFUNCTION("""COMPUTED_VALUE"""),2700.0)</f>
        <v>2700</v>
      </c>
    </row>
    <row r="772">
      <c r="A772" s="71" t="str">
        <f>IFERROR(__xludf.DUMMYFUNCTION("""COMPUTED_VALUE"""),"Prospect")</f>
        <v>Prospect</v>
      </c>
      <c r="B772" s="71" t="str">
        <f>IFERROR(__xludf.DUMMYFUNCTION("""COMPUTED_VALUE"""),"RSC006667")</f>
        <v>RSC006667</v>
      </c>
      <c r="C772" s="30" t="str">
        <f>IFERROR(__xludf.DUMMYFUNCTION("""COMPUTED_VALUE"""),"GET2DACHOPPA5")</f>
        <v>GET2DACHOPPA5</v>
      </c>
      <c r="D772" s="30" t="str">
        <f>IFERROR(__xludf.DUMMYFUNCTION("""COMPUTED_VALUE"""),"Honey Badgers")</f>
        <v>Honey Badgers</v>
      </c>
      <c r="E772" s="30">
        <f>IFERROR(__xludf.DUMMYFUNCTION("""COMPUTED_VALUE"""),23.0)</f>
        <v>23</v>
      </c>
      <c r="F772" s="30">
        <f>IFERROR(__xludf.DUMMYFUNCTION("""COMPUTED_VALUE"""),12.0)</f>
        <v>12</v>
      </c>
      <c r="G772" s="42">
        <f>IFERROR(__xludf.DUMMYFUNCTION("""COMPUTED_VALUE"""),11.0)</f>
        <v>11</v>
      </c>
      <c r="H772" s="42">
        <f>IFERROR(__xludf.DUMMYFUNCTION("""COMPUTED_VALUE"""),0.5217391304347826)</f>
        <v>0.5217391304</v>
      </c>
      <c r="I772" s="42">
        <f>IFERROR(__xludf.DUMMYFUNCTION("""COMPUTED_VALUE"""),0.2954545454545454)</f>
        <v>0.2954545455</v>
      </c>
      <c r="J772" s="30">
        <f>IFERROR(__xludf.DUMMYFUNCTION("""COMPUTED_VALUE"""),311.2173913043478)</f>
        <v>311.2173913</v>
      </c>
      <c r="K772" s="30">
        <f>IFERROR(__xludf.DUMMYFUNCTION("""COMPUTED_VALUE"""),0.5652173913043478)</f>
        <v>0.5652173913</v>
      </c>
      <c r="L772" s="30">
        <f>IFERROR(__xludf.DUMMYFUNCTION("""COMPUTED_VALUE"""),0.8260869565217391)</f>
        <v>0.8260869565</v>
      </c>
      <c r="M772" s="30">
        <f>IFERROR(__xludf.DUMMYFUNCTION("""COMPUTED_VALUE"""),0.9565217391304348)</f>
        <v>0.9565217391</v>
      </c>
      <c r="N772" s="30">
        <f>IFERROR(__xludf.DUMMYFUNCTION("""COMPUTED_VALUE"""),1.9130434782608696)</f>
        <v>1.913043478</v>
      </c>
      <c r="O772" s="30">
        <f>IFERROR(__xludf.DUMMYFUNCTION("""COMPUTED_VALUE"""),331.36231884057975)</f>
        <v>331.3623188</v>
      </c>
      <c r="P772" s="30">
        <f>IFERROR(__xludf.DUMMYFUNCTION("""COMPUTED_VALUE"""),0.7681159420289854)</f>
        <v>0.768115942</v>
      </c>
      <c r="Q772" s="30">
        <f>IFERROR(__xludf.DUMMYFUNCTION("""COMPUTED_VALUE"""),0.5072463768115941)</f>
        <v>0.5072463768</v>
      </c>
      <c r="R772" s="30">
        <f>IFERROR(__xludf.DUMMYFUNCTION("""COMPUTED_VALUE"""),1.1014492753623188)</f>
        <v>1.101449275</v>
      </c>
      <c r="S772" s="30">
        <f>IFERROR(__xludf.DUMMYFUNCTION("""COMPUTED_VALUE"""),2.579710144927536)</f>
        <v>2.579710145</v>
      </c>
      <c r="T772" s="30">
        <f>IFERROR(__xludf.DUMMYFUNCTION("""COMPUTED_VALUE"""),338.15635498703745)</f>
        <v>338.156355</v>
      </c>
      <c r="U772" s="30">
        <f>IFERROR(__xludf.DUMMYFUNCTION("""COMPUTED_VALUE"""),0.841868273518697)</f>
        <v>0.8418682735</v>
      </c>
      <c r="V772" s="30">
        <f>IFERROR(__xludf.DUMMYFUNCTION("""COMPUTED_VALUE"""),0.550844430650089)</f>
        <v>0.5508444307</v>
      </c>
      <c r="W772" s="30">
        <f>IFERROR(__xludf.DUMMYFUNCTION("""COMPUTED_VALUE"""),1.135013674183325)</f>
        <v>1.135013674</v>
      </c>
      <c r="X772" s="30">
        <f>IFERROR(__xludf.DUMMYFUNCTION("""COMPUTED_VALUE"""),2.488670943380666)</f>
        <v>2.488670943</v>
      </c>
      <c r="Y772" s="30">
        <f>IFERROR(__xludf.DUMMYFUNCTION("""COMPUTED_VALUE"""),333.11884905997607)</f>
        <v>333.1188491</v>
      </c>
      <c r="Z772" s="30">
        <f>IFERROR(__xludf.DUMMYFUNCTION("""COMPUTED_VALUE"""),0.7879349548187224)</f>
        <v>0.7879349548</v>
      </c>
      <c r="AA772" s="30">
        <f>IFERROR(__xludf.DUMMYFUNCTION("""COMPUTED_VALUE"""),0.5130051105584164)</f>
        <v>0.5130051106</v>
      </c>
      <c r="AB772" s="30">
        <f>IFERROR(__xludf.DUMMYFUNCTION("""COMPUTED_VALUE"""),1.216452928995905)</f>
        <v>1.216452929</v>
      </c>
      <c r="AC772" s="30">
        <f>IFERROR(__xludf.DUMMYFUNCTION("""COMPUTED_VALUE"""),2.330038502772246)</f>
        <v>2.330038503</v>
      </c>
      <c r="AD772" s="30">
        <f>IFERROR(__xludf.DUMMYFUNCTION("""COMPUTED_VALUE"""),0.9342533218476478)</f>
        <v>0.9342533218</v>
      </c>
      <c r="AE772" s="30">
        <f>IFERROR(__xludf.DUMMYFUNCTION("""COMPUTED_VALUE"""),0.7173401660221883)</f>
        <v>0.717340166</v>
      </c>
      <c r="AF772" s="30">
        <f>IFERROR(__xludf.DUMMYFUNCTION("""COMPUTED_VALUE"""),1.6102899162593662)</f>
        <v>1.610289916</v>
      </c>
      <c r="AG772" s="30">
        <f>IFERROR(__xludf.DUMMYFUNCTION("""COMPUTED_VALUE"""),0.7863203880153219)</f>
        <v>0.786320388</v>
      </c>
      <c r="AH772" s="30">
        <f>IFERROR(__xludf.DUMMYFUNCTION("""COMPUTED_VALUE"""),0.8210351356789848)</f>
        <v>0.8210351357</v>
      </c>
      <c r="AI772" s="30">
        <f>IFERROR(__xludf.DUMMYFUNCTION("""COMPUTED_VALUE"""),0.9799085953989594)</f>
        <v>0.9799085954</v>
      </c>
      <c r="AJ772" s="30">
        <f>IFERROR(__xludf.DUMMYFUNCTION("""COMPUTED_VALUE"""),0.9123944519473881)</f>
        <v>0.9123944519</v>
      </c>
      <c r="AK772" s="30">
        <f>IFERROR(__xludf.DUMMYFUNCTION("""COMPUTED_VALUE"""),0.9208523288743395)</f>
        <v>0.9208523289</v>
      </c>
      <c r="AL772" s="30">
        <f>IFERROR(__xludf.DUMMYFUNCTION("""COMPUTED_VALUE"""),0.9704281987217849)</f>
        <v>0.9704281987</v>
      </c>
      <c r="AM772" s="30">
        <f>IFERROR(__xludf.DUMMYFUNCTION("""COMPUTED_VALUE"""),1.0365814539640184)</f>
        <v>1.036581454</v>
      </c>
      <c r="AN772" s="30">
        <f>IFERROR(__xludf.DUMMYFUNCTION("""COMPUTED_VALUE"""),0.9679221788080742)</f>
        <v>0.9679221788</v>
      </c>
      <c r="AO772" s="30">
        <f>IFERROR(__xludf.DUMMYFUNCTION("""COMPUTED_VALUE"""),0.7701494099627407)</f>
        <v>0.77014941</v>
      </c>
      <c r="AP772" s="30">
        <f>IFERROR(__xludf.DUMMYFUNCTION("""COMPUTED_VALUE"""),1.6524573538658012)</f>
        <v>1.652457354</v>
      </c>
      <c r="AQ772" s="30">
        <f>IFERROR(__xludf.DUMMYFUNCTION("""COMPUTED_VALUE"""),0.8215618080568008)</f>
        <v>0.8215618081</v>
      </c>
      <c r="AR772" s="30">
        <f>IFERROR(__xludf.DUMMYFUNCTION("""COMPUTED_VALUE"""),0.8266221195194063)</f>
        <v>0.8266221195</v>
      </c>
      <c r="AS772" s="30">
        <f>IFERROR(__xludf.DUMMYFUNCTION("""COMPUTED_VALUE"""),56.0)</f>
        <v>56</v>
      </c>
      <c r="AT772" s="30">
        <f>IFERROR(__xludf.DUMMYFUNCTION("""COMPUTED_VALUE"""),0.5214996850110868)</f>
        <v>0.521499685</v>
      </c>
      <c r="AU772" s="30">
        <f>IFERROR(__xludf.DUMMYFUNCTION("""COMPUTED_VALUE"""),2.0625726112904226)</f>
        <v>2.062572611</v>
      </c>
      <c r="AV772" s="32">
        <f>IFERROR(__xludf.DUMMYFUNCTION("""COMPUTED_VALUE"""),48.62350406125114)</f>
        <v>48.62350406</v>
      </c>
      <c r="AW772" s="32">
        <f>IFERROR(__xludf.DUMMYFUNCTION("""COMPUTED_VALUE"""),-2.091851543322319)</f>
        <v>-2.091851543</v>
      </c>
      <c r="AX772" s="32">
        <f>IFERROR(__xludf.DUMMYFUNCTION("""COMPUTED_VALUE"""),47.16793707028583)</f>
        <v>47.16793707</v>
      </c>
      <c r="AY772" s="32">
        <f>IFERROR(__xludf.DUMMYFUNCTION("""COMPUTED_VALUE"""),-2.1982694453491374)</f>
        <v>-2.198269445</v>
      </c>
      <c r="AZ772" s="30">
        <f>IFERROR(__xludf.DUMMYFUNCTION("""COMPUTED_VALUE"""),0.10641790202681856)</f>
        <v>0.106417902</v>
      </c>
      <c r="BA772" s="30">
        <f>IFERROR(__xludf.DUMMYFUNCTION("""COMPUTED_VALUE"""),2700.0)</f>
        <v>2700</v>
      </c>
    </row>
    <row r="773">
      <c r="A773" s="71" t="str">
        <f>IFERROR(__xludf.DUMMYFUNCTION("""COMPUTED_VALUE"""),"Prospect")</f>
        <v>Prospect</v>
      </c>
      <c r="B773" s="71" t="str">
        <f>IFERROR(__xludf.DUMMYFUNCTION("""COMPUTED_VALUE"""),"RSC006115")</f>
        <v>RSC006115</v>
      </c>
      <c r="C773" s="30" t="str">
        <f>IFERROR(__xludf.DUMMYFUNCTION("""COMPUTED_VALUE"""),"Shame")</f>
        <v>Shame</v>
      </c>
      <c r="D773" s="30" t="str">
        <f>IFERROR(__xludf.DUMMYFUNCTION("""COMPUTED_VALUE"""),"Gloom")</f>
        <v>Gloom</v>
      </c>
      <c r="E773" s="30">
        <f>IFERROR(__xludf.DUMMYFUNCTION("""COMPUTED_VALUE"""),47.0)</f>
        <v>47</v>
      </c>
      <c r="F773" s="30">
        <f>IFERROR(__xludf.DUMMYFUNCTION("""COMPUTED_VALUE"""),20.0)</f>
        <v>20</v>
      </c>
      <c r="G773" s="42">
        <f>IFERROR(__xludf.DUMMYFUNCTION("""COMPUTED_VALUE"""),27.0)</f>
        <v>27</v>
      </c>
      <c r="H773" s="42">
        <f>IFERROR(__xludf.DUMMYFUNCTION("""COMPUTED_VALUE"""),0.425531914893617)</f>
        <v>0.4255319149</v>
      </c>
      <c r="I773" s="42">
        <f>IFERROR(__xludf.DUMMYFUNCTION("""COMPUTED_VALUE"""),0.3235294117647059)</f>
        <v>0.3235294118</v>
      </c>
      <c r="J773" s="30">
        <f>IFERROR(__xludf.DUMMYFUNCTION("""COMPUTED_VALUE"""),369.3404255319149)</f>
        <v>369.3404255</v>
      </c>
      <c r="K773" s="30">
        <f>IFERROR(__xludf.DUMMYFUNCTION("""COMPUTED_VALUE"""),0.7021276595744681)</f>
        <v>0.7021276596</v>
      </c>
      <c r="L773" s="30">
        <f>IFERROR(__xludf.DUMMYFUNCTION("""COMPUTED_VALUE"""),0.3829787234042553)</f>
        <v>0.3829787234</v>
      </c>
      <c r="M773" s="30">
        <f>IFERROR(__xludf.DUMMYFUNCTION("""COMPUTED_VALUE"""),1.8297872340425532)</f>
        <v>1.829787234</v>
      </c>
      <c r="N773" s="30">
        <f>IFERROR(__xludf.DUMMYFUNCTION("""COMPUTED_VALUE"""),2.1702127659574466)</f>
        <v>2.170212766</v>
      </c>
      <c r="O773" s="30">
        <f>IFERROR(__xludf.DUMMYFUNCTION("""COMPUTED_VALUE"""),332.6170212765957)</f>
        <v>332.6170213</v>
      </c>
      <c r="P773" s="30">
        <f>IFERROR(__xludf.DUMMYFUNCTION("""COMPUTED_VALUE"""),0.8297872340425531)</f>
        <v>0.829787234</v>
      </c>
      <c r="Q773" s="30">
        <f>IFERROR(__xludf.DUMMYFUNCTION("""COMPUTED_VALUE"""),0.524822695035461)</f>
        <v>0.524822695</v>
      </c>
      <c r="R773" s="30">
        <f>IFERROR(__xludf.DUMMYFUNCTION("""COMPUTED_VALUE"""),1.0567375886524821)</f>
        <v>1.056737589</v>
      </c>
      <c r="S773" s="30">
        <f>IFERROR(__xludf.DUMMYFUNCTION("""COMPUTED_VALUE"""),2.900709219858156)</f>
        <v>2.90070922</v>
      </c>
      <c r="T773" s="30">
        <f>IFERROR(__xludf.DUMMYFUNCTION("""COMPUTED_VALUE"""),343.37896071237594)</f>
        <v>343.3789607</v>
      </c>
      <c r="U773" s="30">
        <f>IFERROR(__xludf.DUMMYFUNCTION("""COMPUTED_VALUE"""),0.8627848559528425)</f>
        <v>0.862784856</v>
      </c>
      <c r="V773" s="30">
        <f>IFERROR(__xludf.DUMMYFUNCTION("""COMPUTED_VALUE"""),0.5513701367486968)</f>
        <v>0.5513701367</v>
      </c>
      <c r="W773" s="30">
        <f>IFERROR(__xludf.DUMMYFUNCTION("""COMPUTED_VALUE"""),1.1625211231209898)</f>
        <v>1.162521123</v>
      </c>
      <c r="X773" s="30">
        <f>IFERROR(__xludf.DUMMYFUNCTION("""COMPUTED_VALUE"""),2.587754599895622)</f>
        <v>2.5877546</v>
      </c>
      <c r="Y773" s="30">
        <f>IFERROR(__xludf.DUMMYFUNCTION("""COMPUTED_VALUE"""),331.6970677652911)</f>
        <v>331.6970678</v>
      </c>
      <c r="Z773" s="30">
        <f>IFERROR(__xludf.DUMMYFUNCTION("""COMPUTED_VALUE"""),0.756165374955114)</f>
        <v>0.756165375</v>
      </c>
      <c r="AA773" s="30">
        <f>IFERROR(__xludf.DUMMYFUNCTION("""COMPUTED_VALUE"""),0.5042094654133115)</f>
        <v>0.5042094654</v>
      </c>
      <c r="AB773" s="30">
        <f>IFERROR(__xludf.DUMMYFUNCTION("""COMPUTED_VALUE"""),1.2330560332384723)</f>
        <v>1.233056033</v>
      </c>
      <c r="AC773" s="30">
        <f>IFERROR(__xludf.DUMMYFUNCTION("""COMPUTED_VALUE"""),2.3452269701901405)</f>
        <v>2.34522697</v>
      </c>
      <c r="AD773" s="30">
        <f>IFERROR(__xludf.DUMMYFUNCTION("""COMPUTED_VALUE"""),1.1134871586904116)</f>
        <v>1.113487159</v>
      </c>
      <c r="AE773" s="30">
        <f>IFERROR(__xludf.DUMMYFUNCTION("""COMPUTED_VALUE"""),0.9285371729909564)</f>
        <v>0.928537173</v>
      </c>
      <c r="AF773" s="30">
        <f>IFERROR(__xludf.DUMMYFUNCTION("""COMPUTED_VALUE"""),0.7595627406366109)</f>
        <v>0.7595627406</v>
      </c>
      <c r="AG773" s="30">
        <f>IFERROR(__xludf.DUMMYFUNCTION("""COMPUTED_VALUE"""),1.483944917926267)</f>
        <v>1.483944918</v>
      </c>
      <c r="AH773" s="30">
        <f>IFERROR(__xludf.DUMMYFUNCTION("""COMPUTED_VALUE"""),0.9253743000326725)</f>
        <v>0.9253743</v>
      </c>
      <c r="AI773" s="30">
        <f>IFERROR(__xludf.DUMMYFUNCTION("""COMPUTED_VALUE"""),0.9686587104420916)</f>
        <v>0.9686587104</v>
      </c>
      <c r="AJ773" s="30">
        <f>IFERROR(__xludf.DUMMYFUNCTION("""COMPUTED_VALUE"""),0.9617545188900569)</f>
        <v>0.9617545189</v>
      </c>
      <c r="AK773" s="30">
        <f>IFERROR(__xludf.DUMMYFUNCTION("""COMPUTED_VALUE"""),0.9518518687468639)</f>
        <v>0.9518518687</v>
      </c>
      <c r="AL773" s="30">
        <f>IFERROR(__xludf.DUMMYFUNCTION("""COMPUTED_VALUE"""),0.9090050646266853)</f>
        <v>0.9090050646</v>
      </c>
      <c r="AM773" s="30">
        <f>IFERROR(__xludf.DUMMYFUNCTION("""COMPUTED_VALUE"""),1.1209367456926391)</f>
        <v>1.120936746</v>
      </c>
      <c r="AN773" s="30">
        <f>IFERROR(__xludf.DUMMYFUNCTION("""COMPUTED_VALUE"""),1.148691555778612)</f>
        <v>1.148691556</v>
      </c>
      <c r="AO773" s="30">
        <f>IFERROR(__xludf.DUMMYFUNCTION("""COMPUTED_VALUE"""),0.9566995125396404)</f>
        <v>0.9566995125</v>
      </c>
      <c r="AP773" s="30">
        <f>IFERROR(__xludf.DUMMYFUNCTION("""COMPUTED_VALUE"""),0.7660888516242348)</f>
        <v>0.7660888516</v>
      </c>
      <c r="AQ773" s="30">
        <f>IFERROR(__xludf.DUMMYFUNCTION("""COMPUTED_VALUE"""),1.5716143678301275)</f>
        <v>1.571614368</v>
      </c>
      <c r="AR773" s="30">
        <f>IFERROR(__xludf.DUMMYFUNCTION("""COMPUTED_VALUE"""),0.9377444353929048)</f>
        <v>0.9377444354</v>
      </c>
      <c r="AS773" s="30">
        <f>IFERROR(__xludf.DUMMYFUNCTION("""COMPUTED_VALUE"""),84.0)</f>
        <v>84</v>
      </c>
      <c r="AT773" s="30">
        <f>IFERROR(__xludf.DUMMYFUNCTION("""COMPUTED_VALUE"""),0.3768757493455714)</f>
        <v>0.3768757493</v>
      </c>
      <c r="AU773" s="30">
        <f>IFERROR(__xludf.DUMMYFUNCTION("""COMPUTED_VALUE"""),2.0873791455459445)</f>
        <v>2.087379146</v>
      </c>
      <c r="AV773" s="32">
        <f>IFERROR(__xludf.DUMMYFUNCTION("""COMPUTED_VALUE"""),49.29471312474927)</f>
        <v>49.29471312</v>
      </c>
      <c r="AW773" s="32">
        <f>IFERROR(__xludf.DUMMYFUNCTION("""COMPUTED_VALUE"""),-2.0460494421887123)</f>
        <v>-2.046049442</v>
      </c>
      <c r="AX773" s="32">
        <f>IFERROR(__xludf.DUMMYFUNCTION("""COMPUTED_VALUE"""),48.00230654526495)</f>
        <v>48.00230655</v>
      </c>
      <c r="AY773" s="32">
        <f>IFERROR(__xludf.DUMMYFUNCTION("""COMPUTED_VALUE"""),-2.136043236654948)</f>
        <v>-2.136043237</v>
      </c>
      <c r="AZ773" s="30">
        <f>IFERROR(__xludf.DUMMYFUNCTION("""COMPUTED_VALUE"""),0.08999379446623568)</f>
        <v>0.08999379447</v>
      </c>
      <c r="BA773" s="30">
        <f>IFERROR(__xludf.DUMMYFUNCTION("""COMPUTED_VALUE"""),2700.0)</f>
        <v>2700</v>
      </c>
    </row>
    <row r="774">
      <c r="A774" s="71" t="str">
        <f>IFERROR(__xludf.DUMMYFUNCTION("""COMPUTED_VALUE"""),"Prospect")</f>
        <v>Prospect</v>
      </c>
      <c r="B774" s="71" t="str">
        <f>IFERROR(__xludf.DUMMYFUNCTION("""COMPUTED_VALUE"""),"RSC007202")</f>
        <v>RSC007202</v>
      </c>
      <c r="C774" s="30" t="str">
        <f>IFERROR(__xludf.DUMMYFUNCTION("""COMPUTED_VALUE"""),"GreatHonda")</f>
        <v>GreatHonda</v>
      </c>
      <c r="D774" s="30" t="str">
        <f>IFERROR(__xludf.DUMMYFUNCTION("""COMPUTED_VALUE"""),"Horizon Highball")</f>
        <v>Horizon Highball</v>
      </c>
      <c r="E774" s="30">
        <f>IFERROR(__xludf.DUMMYFUNCTION("""COMPUTED_VALUE"""),30.0)</f>
        <v>30</v>
      </c>
      <c r="F774" s="30">
        <f>IFERROR(__xludf.DUMMYFUNCTION("""COMPUTED_VALUE"""),22.0)</f>
        <v>22</v>
      </c>
      <c r="G774" s="42">
        <f>IFERROR(__xludf.DUMMYFUNCTION("""COMPUTED_VALUE"""),8.0)</f>
        <v>8</v>
      </c>
      <c r="H774" s="42">
        <f>IFERROR(__xludf.DUMMYFUNCTION("""COMPUTED_VALUE"""),0.7333333333333333)</f>
        <v>0.7333333333</v>
      </c>
      <c r="I774" s="42">
        <f>IFERROR(__xludf.DUMMYFUNCTION("""COMPUTED_VALUE"""),0.32432432432432434)</f>
        <v>0.3243243243</v>
      </c>
      <c r="J774" s="30">
        <f>IFERROR(__xludf.DUMMYFUNCTION("""COMPUTED_VALUE"""),340.46666666666664)</f>
        <v>340.4666667</v>
      </c>
      <c r="K774" s="30">
        <f>IFERROR(__xludf.DUMMYFUNCTION("""COMPUTED_VALUE"""),0.8)</f>
        <v>0.8</v>
      </c>
      <c r="L774" s="30">
        <f>IFERROR(__xludf.DUMMYFUNCTION("""COMPUTED_VALUE"""),0.7)</f>
        <v>0.7</v>
      </c>
      <c r="M774" s="30">
        <f>IFERROR(__xludf.DUMMYFUNCTION("""COMPUTED_VALUE"""),0.9666666666666667)</f>
        <v>0.9666666667</v>
      </c>
      <c r="N774" s="30">
        <f>IFERROR(__xludf.DUMMYFUNCTION("""COMPUTED_VALUE"""),2.466666666666667)</f>
        <v>2.466666667</v>
      </c>
      <c r="O774" s="30">
        <f>IFERROR(__xludf.DUMMYFUNCTION("""COMPUTED_VALUE"""),313.6555555555555)</f>
        <v>313.6555556</v>
      </c>
      <c r="P774" s="30">
        <f>IFERROR(__xludf.DUMMYFUNCTION("""COMPUTED_VALUE"""),0.5777777777777777)</f>
        <v>0.5777777778</v>
      </c>
      <c r="Q774" s="30">
        <f>IFERROR(__xludf.DUMMYFUNCTION("""COMPUTED_VALUE"""),0.4333333333333334)</f>
        <v>0.4333333333</v>
      </c>
      <c r="R774" s="30">
        <f>IFERROR(__xludf.DUMMYFUNCTION("""COMPUTED_VALUE"""),1.2666666666666666)</f>
        <v>1.266666667</v>
      </c>
      <c r="S774" s="30">
        <f>IFERROR(__xludf.DUMMYFUNCTION("""COMPUTED_VALUE"""),1.888888888888889)</f>
        <v>1.888888889</v>
      </c>
      <c r="T774" s="30">
        <f>IFERROR(__xludf.DUMMYFUNCTION("""COMPUTED_VALUE"""),334.6673362332643)</f>
        <v>334.6673362</v>
      </c>
      <c r="U774" s="30">
        <f>IFERROR(__xludf.DUMMYFUNCTION("""COMPUTED_VALUE"""),0.7796630574901556)</f>
        <v>0.7796630575</v>
      </c>
      <c r="V774" s="30">
        <f>IFERROR(__xludf.DUMMYFUNCTION("""COMPUTED_VALUE"""),0.5168262628952033)</f>
        <v>0.5168262629</v>
      </c>
      <c r="W774" s="30">
        <f>IFERROR(__xludf.DUMMYFUNCTION("""COMPUTED_VALUE"""),1.220215669093056)</f>
        <v>1.220215669</v>
      </c>
      <c r="X774" s="30">
        <f>IFERROR(__xludf.DUMMYFUNCTION("""COMPUTED_VALUE"""),2.4019413605284416)</f>
        <v>2.401941361</v>
      </c>
      <c r="Y774" s="30">
        <f>IFERROR(__xludf.DUMMYFUNCTION("""COMPUTED_VALUE"""),336.6336413660082)</f>
        <v>336.6336414</v>
      </c>
      <c r="Z774" s="30">
        <f>IFERROR(__xludf.DUMMYFUNCTION("""COMPUTED_VALUE"""),0.8066887225302288)</f>
        <v>0.8066887225</v>
      </c>
      <c r="AA774" s="30">
        <f>IFERROR(__xludf.DUMMYFUNCTION("""COMPUTED_VALUE"""),0.5373822413851367)</f>
        <v>0.5373822414</v>
      </c>
      <c r="AB774" s="30">
        <f>IFERROR(__xludf.DUMMYFUNCTION("""COMPUTED_VALUE"""),1.1741392007854183)</f>
        <v>1.174139201</v>
      </c>
      <c r="AC774" s="30">
        <f>IFERROR(__xludf.DUMMYFUNCTION("""COMPUTED_VALUE"""),2.468594386460343)</f>
        <v>2.468594386</v>
      </c>
      <c r="AD774" s="30">
        <f>IFERROR(__xludf.DUMMYFUNCTION("""COMPUTED_VALUE"""),1.0113863406078627)</f>
        <v>1.011386341</v>
      </c>
      <c r="AE774" s="30">
        <f>IFERROR(__xludf.DUMMYFUNCTION("""COMPUTED_VALUE"""),0.9917084219186191)</f>
        <v>0.9917084219</v>
      </c>
      <c r="AF774" s="30">
        <f>IFERROR(__xludf.DUMMYFUNCTION("""COMPUTED_VALUE"""),1.3026109649543047)</f>
        <v>1.302610965</v>
      </c>
      <c r="AG774" s="30">
        <f>IFERROR(__xludf.DUMMYFUNCTION("""COMPUTED_VALUE"""),0.8232981796536843)</f>
        <v>0.8232981797</v>
      </c>
      <c r="AH774" s="30">
        <f>IFERROR(__xludf.DUMMYFUNCTION("""COMPUTED_VALUE"""),0.999219102253392)</f>
        <v>0.9992191023</v>
      </c>
      <c r="AI774" s="30">
        <f>IFERROR(__xludf.DUMMYFUNCTION("""COMPUTED_VALUE"""),0.9372159203996429)</f>
        <v>0.9372159204</v>
      </c>
      <c r="AJ774" s="30">
        <f>IFERROR(__xludf.DUMMYFUNCTION("""COMPUTED_VALUE"""),0.7410608624162919)</f>
        <v>0.7410608624</v>
      </c>
      <c r="AK774" s="30">
        <f>IFERROR(__xludf.DUMMYFUNCTION("""COMPUTED_VALUE"""),0.8384506834189274)</f>
        <v>0.8384506834</v>
      </c>
      <c r="AL774" s="30">
        <f>IFERROR(__xludf.DUMMYFUNCTION("""COMPUTED_VALUE"""),1.038067858617269)</f>
        <v>1.038067859</v>
      </c>
      <c r="AM774" s="30">
        <f>IFERROR(__xludf.DUMMYFUNCTION("""COMPUTED_VALUE"""),0.7864009171619919)</f>
        <v>0.7864009172</v>
      </c>
      <c r="AN774" s="30">
        <f>IFERROR(__xludf.DUMMYFUNCTION("""COMPUTED_VALUE"""),1.0588908172205942)</f>
        <v>1.058890817</v>
      </c>
      <c r="AO774" s="30">
        <f>IFERROR(__xludf.DUMMYFUNCTION("""COMPUTED_VALUE"""),1.0900576264088024)</f>
        <v>1.090057626</v>
      </c>
      <c r="AP774" s="30">
        <f>IFERROR(__xludf.DUMMYFUNCTION("""COMPUTED_VALUE"""),1.4002401788020735)</f>
        <v>1.400240179</v>
      </c>
      <c r="AQ774" s="30">
        <f>IFERROR(__xludf.DUMMYFUNCTION("""COMPUTED_VALUE"""),0.8302753423846759)</f>
        <v>0.8302753424</v>
      </c>
      <c r="AR774" s="30">
        <f>IFERROR(__xludf.DUMMYFUNCTION("""COMPUTED_VALUE"""),1.0658415510772952)</f>
        <v>1.065841551</v>
      </c>
      <c r="AS774" s="30">
        <f>IFERROR(__xludf.DUMMYFUNCTION("""COMPUTED_VALUE"""),84.0)</f>
        <v>84</v>
      </c>
      <c r="AT774" s="30">
        <f>IFERROR(__xludf.DUMMYFUNCTION("""COMPUTED_VALUE"""),0.6770014243706508)</f>
        <v>0.6770014244</v>
      </c>
      <c r="AU774" s="30">
        <f>IFERROR(__xludf.DUMMYFUNCTION("""COMPUTED_VALUE"""),2.7698604379061504)</f>
        <v>2.769860438</v>
      </c>
      <c r="AV774" s="32">
        <f>IFERROR(__xludf.DUMMYFUNCTION("""COMPUTED_VALUE"""),67.76112299811237)</f>
        <v>67.761123</v>
      </c>
      <c r="AW774" s="32">
        <f>IFERROR(__xludf.DUMMYFUNCTION("""COMPUTED_VALUE"""),4.189110912614168)</f>
        <v>4.189110913</v>
      </c>
      <c r="AX774" s="32">
        <f>IFERROR(__xludf.DUMMYFUNCTION("""COMPUTED_VALUE"""),67.50462745190598)</f>
        <v>67.50462745</v>
      </c>
      <c r="AY774" s="32">
        <f>IFERROR(__xludf.DUMMYFUNCTION("""COMPUTED_VALUE"""),4.133839530624724)</f>
        <v>4.133839531</v>
      </c>
      <c r="AZ774" s="30">
        <f>IFERROR(__xludf.DUMMYFUNCTION("""COMPUTED_VALUE"""),0.055271381989443924)</f>
        <v>0.05527138199</v>
      </c>
      <c r="BA774" s="30">
        <f>IFERROR(__xludf.DUMMYFUNCTION("""COMPUTED_VALUE"""),2700.0)</f>
        <v>2700</v>
      </c>
    </row>
    <row r="775">
      <c r="A775" s="71" t="str">
        <f>IFERROR(__xludf.DUMMYFUNCTION("""COMPUTED_VALUE"""),"Prospect")</f>
        <v>Prospect</v>
      </c>
      <c r="B775" s="71" t="str">
        <f>IFERROR(__xludf.DUMMYFUNCTION("""COMPUTED_VALUE"""),"RSC006587")</f>
        <v>RSC006587</v>
      </c>
      <c r="C775" s="30" t="str">
        <f>IFERROR(__xludf.DUMMYFUNCTION("""COMPUTED_VALUE"""),"Enterprise15")</f>
        <v>Enterprise15</v>
      </c>
      <c r="D775" s="30" t="str">
        <f>IFERROR(__xludf.DUMMYFUNCTION("""COMPUTED_VALUE"""),"Skeletons")</f>
        <v>Skeletons</v>
      </c>
      <c r="E775" s="30">
        <f>IFERROR(__xludf.DUMMYFUNCTION("""COMPUTED_VALUE"""),44.0)</f>
        <v>44</v>
      </c>
      <c r="F775" s="30">
        <f>IFERROR(__xludf.DUMMYFUNCTION("""COMPUTED_VALUE"""),17.0)</f>
        <v>17</v>
      </c>
      <c r="G775" s="42">
        <f>IFERROR(__xludf.DUMMYFUNCTION("""COMPUTED_VALUE"""),27.0)</f>
        <v>27</v>
      </c>
      <c r="H775" s="42">
        <f>IFERROR(__xludf.DUMMYFUNCTION("""COMPUTED_VALUE"""),0.38636363636363635)</f>
        <v>0.3863636364</v>
      </c>
      <c r="I775" s="42">
        <f>IFERROR(__xludf.DUMMYFUNCTION("""COMPUTED_VALUE"""),0.3191489361702128)</f>
        <v>0.3191489362</v>
      </c>
      <c r="J775" s="30">
        <f>IFERROR(__xludf.DUMMYFUNCTION("""COMPUTED_VALUE"""),336.40909090909093)</f>
        <v>336.4090909</v>
      </c>
      <c r="K775" s="30">
        <f>IFERROR(__xludf.DUMMYFUNCTION("""COMPUTED_VALUE"""),0.6818181818181818)</f>
        <v>0.6818181818</v>
      </c>
      <c r="L775" s="30">
        <f>IFERROR(__xludf.DUMMYFUNCTION("""COMPUTED_VALUE"""),0.5227272727272727)</f>
        <v>0.5227272727</v>
      </c>
      <c r="M775" s="30">
        <f>IFERROR(__xludf.DUMMYFUNCTION("""COMPUTED_VALUE"""),1.4090909090909092)</f>
        <v>1.409090909</v>
      </c>
      <c r="N775" s="30">
        <f>IFERROR(__xludf.DUMMYFUNCTION("""COMPUTED_VALUE"""),2.1363636363636362)</f>
        <v>2.136363636</v>
      </c>
      <c r="O775" s="30">
        <f>IFERROR(__xludf.DUMMYFUNCTION("""COMPUTED_VALUE"""),338.8712121212122)</f>
        <v>338.8712121</v>
      </c>
      <c r="P775" s="30">
        <f>IFERROR(__xludf.DUMMYFUNCTION("""COMPUTED_VALUE"""),0.8787878787878789)</f>
        <v>0.8787878788</v>
      </c>
      <c r="Q775" s="30">
        <f>IFERROR(__xludf.DUMMYFUNCTION("""COMPUTED_VALUE"""),0.5454545454545454)</f>
        <v>0.5454545455</v>
      </c>
      <c r="R775" s="30">
        <f>IFERROR(__xludf.DUMMYFUNCTION("""COMPUTED_VALUE"""),1.1515151515151514)</f>
        <v>1.151515152</v>
      </c>
      <c r="S775" s="30">
        <f>IFERROR(__xludf.DUMMYFUNCTION("""COMPUTED_VALUE"""),2.568181818181818)</f>
        <v>2.568181818</v>
      </c>
      <c r="T775" s="30">
        <f>IFERROR(__xludf.DUMMYFUNCTION("""COMPUTED_VALUE"""),334.1806185013539)</f>
        <v>334.1806185</v>
      </c>
      <c r="U775" s="30">
        <f>IFERROR(__xludf.DUMMYFUNCTION("""COMPUTED_VALUE"""),0.8104762629614283)</f>
        <v>0.810476263</v>
      </c>
      <c r="V775" s="30">
        <f>IFERROR(__xludf.DUMMYFUNCTION("""COMPUTED_VALUE"""),0.542770409478509)</f>
        <v>0.5427704095</v>
      </c>
      <c r="W775" s="30">
        <f>IFERROR(__xludf.DUMMYFUNCTION("""COMPUTED_VALUE"""),1.1565878800622167)</f>
        <v>1.15658788</v>
      </c>
      <c r="X775" s="30">
        <f>IFERROR(__xludf.DUMMYFUNCTION("""COMPUTED_VALUE"""),2.421089099216154)</f>
        <v>2.421089099</v>
      </c>
      <c r="Y775" s="30">
        <f>IFERROR(__xludf.DUMMYFUNCTION("""COMPUTED_VALUE"""),332.52590790655194)</f>
        <v>332.5259079</v>
      </c>
      <c r="Z775" s="30">
        <f>IFERROR(__xludf.DUMMYFUNCTION("""COMPUTED_VALUE"""),0.7907060173724099)</f>
        <v>0.7907060174</v>
      </c>
      <c r="AA775" s="30">
        <f>IFERROR(__xludf.DUMMYFUNCTION("""COMPUTED_VALUE"""),0.5230510593046787)</f>
        <v>0.5230510593</v>
      </c>
      <c r="AB775" s="30">
        <f>IFERROR(__xludf.DUMMYFUNCTION("""COMPUTED_VALUE"""),1.1792025294914716)</f>
        <v>1.179202529</v>
      </c>
      <c r="AC775" s="30">
        <f>IFERROR(__xludf.DUMMYFUNCTION("""COMPUTED_VALUE"""),2.3879213938724164)</f>
        <v>2.387921394</v>
      </c>
      <c r="AD775" s="30">
        <f>IFERROR(__xludf.DUMMYFUNCTION("""COMPUTED_VALUE"""),1.0116778359526508)</f>
        <v>1.011677836</v>
      </c>
      <c r="AE775" s="30">
        <f>IFERROR(__xludf.DUMMYFUNCTION("""COMPUTED_VALUE"""),0.8622903668849359)</f>
        <v>0.8622903669</v>
      </c>
      <c r="AF775" s="30">
        <f>IFERROR(__xludf.DUMMYFUNCTION("""COMPUTED_VALUE"""),0.9993809656406463)</f>
        <v>0.9993809656</v>
      </c>
      <c r="AG775" s="30">
        <f>IFERROR(__xludf.DUMMYFUNCTION("""COMPUTED_VALUE"""),1.1949524138983796)</f>
        <v>1.194952414</v>
      </c>
      <c r="AH775" s="30">
        <f>IFERROR(__xludf.DUMMYFUNCTION("""COMPUTED_VALUE"""),0.8946540877960656)</f>
        <v>0.8946540878</v>
      </c>
      <c r="AI775" s="30">
        <f>IFERROR(__xludf.DUMMYFUNCTION("""COMPUTED_VALUE"""),1.01403610311362)</f>
        <v>1.014036103</v>
      </c>
      <c r="AJ775" s="30">
        <f>IFERROR(__xludf.DUMMYFUNCTION("""COMPUTED_VALUE"""),1.084285769921064)</f>
        <v>1.08428577</v>
      </c>
      <c r="AK775" s="30">
        <f>IFERROR(__xludf.DUMMYFUNCTION("""COMPUTED_VALUE"""),1.004945251121216)</f>
        <v>1.004945251</v>
      </c>
      <c r="AL775" s="30">
        <f>IFERROR(__xludf.DUMMYFUNCTION("""COMPUTED_VALUE"""),0.9956140569735242)</f>
        <v>0.995614057</v>
      </c>
      <c r="AM775" s="30">
        <f>IFERROR(__xludf.DUMMYFUNCTION("""COMPUTED_VALUE"""),1.0607547731363074)</f>
        <v>1.060754773</v>
      </c>
      <c r="AN775" s="30">
        <f>IFERROR(__xludf.DUMMYFUNCTION("""COMPUTED_VALUE"""),1.0462712860578554)</f>
        <v>1.046271286</v>
      </c>
      <c r="AO775" s="30">
        <f>IFERROR(__xludf.DUMMYFUNCTION("""COMPUTED_VALUE"""),0.9290263861438655)</f>
        <v>0.9290263861</v>
      </c>
      <c r="AP775" s="30">
        <f>IFERROR(__xludf.DUMMYFUNCTION("""COMPUTED_VALUE"""),1.0456338997547951)</f>
        <v>1.0456339</v>
      </c>
      <c r="AQ775" s="30">
        <f>IFERROR(__xludf.DUMMYFUNCTION("""COMPUTED_VALUE"""),1.2102759693068161)</f>
        <v>1.210275969</v>
      </c>
      <c r="AR775" s="30">
        <f>IFERROR(__xludf.DUMMYFUNCTION("""COMPUTED_VALUE"""),0.9231182966947089)</f>
        <v>0.9231182967</v>
      </c>
      <c r="AS775" s="30">
        <f>IFERROR(__xludf.DUMMYFUNCTION("""COMPUTED_VALUE"""),94.0)</f>
        <v>94</v>
      </c>
      <c r="AT775" s="30">
        <f>IFERROR(__xludf.DUMMYFUNCTION("""COMPUTED_VALUE"""),0.4184028199624495)</f>
        <v>0.41840282</v>
      </c>
      <c r="AU775" s="30">
        <f>IFERROR(__xludf.DUMMYFUNCTION("""COMPUTED_VALUE"""),1.9947152411548688)</f>
        <v>1.994715241</v>
      </c>
      <c r="AV775" s="32">
        <f>IFERROR(__xludf.DUMMYFUNCTION("""COMPUTED_VALUE"""),46.787436136930246)</f>
        <v>46.78743614</v>
      </c>
      <c r="AW775" s="32">
        <f>IFERROR(__xludf.DUMMYFUNCTION("""COMPUTED_VALUE"""),-2.227788533142324)</f>
        <v>-2.227788533</v>
      </c>
      <c r="AX775" s="32">
        <f>IFERROR(__xludf.DUMMYFUNCTION("""COMPUTED_VALUE"""),47.429065380394086)</f>
        <v>47.42906538</v>
      </c>
      <c r="AY775" s="32">
        <f>IFERROR(__xludf.DUMMYFUNCTION("""COMPUTED_VALUE"""),-2.1784308396299634)</f>
        <v>-2.17843084</v>
      </c>
      <c r="AZ775" s="30">
        <f>IFERROR(__xludf.DUMMYFUNCTION("""COMPUTED_VALUE"""),0.04935769351236052)</f>
        <v>0.04935769351</v>
      </c>
      <c r="BA775" s="30">
        <f>IFERROR(__xludf.DUMMYFUNCTION("""COMPUTED_VALUE"""),2700.0)</f>
        <v>2700</v>
      </c>
    </row>
    <row r="776">
      <c r="A776" s="71" t="str">
        <f>IFERROR(__xludf.DUMMYFUNCTION("""COMPUTED_VALUE"""),"Prospect")</f>
        <v>Prospect</v>
      </c>
      <c r="B776" s="71" t="str">
        <f>IFERROR(__xludf.DUMMYFUNCTION("""COMPUTED_VALUE"""),"RSC006758")</f>
        <v>RSC006758</v>
      </c>
      <c r="C776" s="30" t="str">
        <f>IFERROR(__xludf.DUMMYFUNCTION("""COMPUTED_VALUE"""),"El Booger Sugar")</f>
        <v>El Booger Sugar</v>
      </c>
      <c r="D776" s="30" t="str">
        <f>IFERROR(__xludf.DUMMYFUNCTION("""COMPUTED_VALUE"""),"Principales")</f>
        <v>Principales</v>
      </c>
      <c r="E776" s="30">
        <f>IFERROR(__xludf.DUMMYFUNCTION("""COMPUTED_VALUE"""),20.0)</f>
        <v>20</v>
      </c>
      <c r="F776" s="30">
        <f>IFERROR(__xludf.DUMMYFUNCTION("""COMPUTED_VALUE"""),9.0)</f>
        <v>9</v>
      </c>
      <c r="G776" s="42">
        <f>IFERROR(__xludf.DUMMYFUNCTION("""COMPUTED_VALUE"""),11.0)</f>
        <v>11</v>
      </c>
      <c r="H776" s="42">
        <f>IFERROR(__xludf.DUMMYFUNCTION("""COMPUTED_VALUE"""),0.45)</f>
        <v>0.45</v>
      </c>
      <c r="I776" s="42">
        <f>IFERROR(__xludf.DUMMYFUNCTION("""COMPUTED_VALUE"""),0.27083333333333337)</f>
        <v>0.2708333333</v>
      </c>
      <c r="J776" s="30">
        <f>IFERROR(__xludf.DUMMYFUNCTION("""COMPUTED_VALUE"""),303.25)</f>
        <v>303.25</v>
      </c>
      <c r="K776" s="30">
        <f>IFERROR(__xludf.DUMMYFUNCTION("""COMPUTED_VALUE"""),0.65)</f>
        <v>0.65</v>
      </c>
      <c r="L776" s="30">
        <f>IFERROR(__xludf.DUMMYFUNCTION("""COMPUTED_VALUE"""),0.7)</f>
        <v>0.7</v>
      </c>
      <c r="M776" s="30">
        <f>IFERROR(__xludf.DUMMYFUNCTION("""COMPUTED_VALUE"""),0.85)</f>
        <v>0.85</v>
      </c>
      <c r="N776" s="30">
        <f>IFERROR(__xludf.DUMMYFUNCTION("""COMPUTED_VALUE"""),2.4)</f>
        <v>2.4</v>
      </c>
      <c r="O776" s="30">
        <f>IFERROR(__xludf.DUMMYFUNCTION("""COMPUTED_VALUE"""),355.0833333333333)</f>
        <v>355.0833333</v>
      </c>
      <c r="P776" s="30">
        <f>IFERROR(__xludf.DUMMYFUNCTION("""COMPUTED_VALUE"""),0.9166666666666667)</f>
        <v>0.9166666667</v>
      </c>
      <c r="Q776" s="30">
        <f>IFERROR(__xludf.DUMMYFUNCTION("""COMPUTED_VALUE"""),0.6166666666666665)</f>
        <v>0.6166666667</v>
      </c>
      <c r="R776" s="30">
        <f>IFERROR(__xludf.DUMMYFUNCTION("""COMPUTED_VALUE"""),1.2499999999999998)</f>
        <v>1.25</v>
      </c>
      <c r="S776" s="30">
        <f>IFERROR(__xludf.DUMMYFUNCTION("""COMPUTED_VALUE"""),2.233333333333333)</f>
        <v>2.233333333</v>
      </c>
      <c r="T776" s="30">
        <f>IFERROR(__xludf.DUMMYFUNCTION("""COMPUTED_VALUE"""),333.17125263234055)</f>
        <v>333.1712526</v>
      </c>
      <c r="U776" s="30">
        <f>IFERROR(__xludf.DUMMYFUNCTION("""COMPUTED_VALUE"""),0.7783120468256215)</f>
        <v>0.7783120468</v>
      </c>
      <c r="V776" s="30">
        <f>IFERROR(__xludf.DUMMYFUNCTION("""COMPUTED_VALUE"""),0.5490165260258356)</f>
        <v>0.549016526</v>
      </c>
      <c r="W776" s="30">
        <f>IFERROR(__xludf.DUMMYFUNCTION("""COMPUTED_VALUE"""),1.1877976528815222)</f>
        <v>1.187797653</v>
      </c>
      <c r="X776" s="30">
        <f>IFERROR(__xludf.DUMMYFUNCTION("""COMPUTED_VALUE"""),2.4317050169718586)</f>
        <v>2.431705017</v>
      </c>
      <c r="Y776" s="30">
        <f>IFERROR(__xludf.DUMMYFUNCTION("""COMPUTED_VALUE"""),336.41590501742354)</f>
        <v>336.415905</v>
      </c>
      <c r="Z776" s="30">
        <f>IFERROR(__xludf.DUMMYFUNCTION("""COMPUTED_VALUE"""),0.8079303299424293)</f>
        <v>0.8079303299</v>
      </c>
      <c r="AA776" s="30">
        <f>IFERROR(__xludf.DUMMYFUNCTION("""COMPUTED_VALUE"""),0.5429957889642903)</f>
        <v>0.542995789</v>
      </c>
      <c r="AB776" s="30">
        <f>IFERROR(__xludf.DUMMYFUNCTION("""COMPUTED_VALUE"""),1.1713624926845299)</f>
        <v>1.171362493</v>
      </c>
      <c r="AC776" s="30">
        <f>IFERROR(__xludf.DUMMYFUNCTION("""COMPUTED_VALUE"""),2.484650736655343)</f>
        <v>2.484650737</v>
      </c>
      <c r="AD776" s="30">
        <f>IFERROR(__xludf.DUMMYFUNCTION("""COMPUTED_VALUE"""),0.9014139803654473)</f>
        <v>0.9014139804</v>
      </c>
      <c r="AE776" s="30">
        <f>IFERROR(__xludf.DUMMYFUNCTION("""COMPUTED_VALUE"""),0.804524815953273)</f>
        <v>0.804524816</v>
      </c>
      <c r="AF776" s="30">
        <f>IFERROR(__xludf.DUMMYFUNCTION("""COMPUTED_VALUE"""),1.2891444357886814)</f>
        <v>1.289144436</v>
      </c>
      <c r="AG776" s="30">
        <f>IFERROR(__xludf.DUMMYFUNCTION("""COMPUTED_VALUE"""),0.7256506890979316)</f>
        <v>0.7256506891</v>
      </c>
      <c r="AH776" s="30">
        <f>IFERROR(__xludf.DUMMYFUNCTION("""COMPUTED_VALUE"""),0.9659305288238241)</f>
        <v>0.9659305288</v>
      </c>
      <c r="AI776" s="30">
        <f>IFERROR(__xludf.DUMMYFUNCTION("""COMPUTED_VALUE"""),1.0657682213812518)</f>
        <v>1.065768221</v>
      </c>
      <c r="AJ776" s="30">
        <f>IFERROR(__xludf.DUMMYFUNCTION("""COMPUTED_VALUE"""),1.1777624031457954)</f>
        <v>1.177762403</v>
      </c>
      <c r="AK776" s="30">
        <f>IFERROR(__xludf.DUMMYFUNCTION("""COMPUTED_VALUE"""),1.123220590699755)</f>
        <v>1.123220591</v>
      </c>
      <c r="AL776" s="30">
        <f>IFERROR(__xludf.DUMMYFUNCTION("""COMPUTED_VALUE"""),1.052367797635884)</f>
        <v>1.052367798</v>
      </c>
      <c r="AM776" s="30">
        <f>IFERROR(__xludf.DUMMYFUNCTION("""COMPUTED_VALUE"""),0.9184228011810607)</f>
        <v>0.9184228012</v>
      </c>
      <c r="AN776" s="30">
        <f>IFERROR(__xludf.DUMMYFUNCTION("""COMPUTED_VALUE"""),0.9431426678739334)</f>
        <v>0.9431426679</v>
      </c>
      <c r="AO776" s="30">
        <f>IFERROR(__xludf.DUMMYFUNCTION("""COMPUTED_VALUE"""),0.8856718214571518)</f>
        <v>0.8856718215</v>
      </c>
      <c r="AP776" s="30">
        <f>IFERROR(__xludf.DUMMYFUNCTION("""COMPUTED_VALUE"""),1.4002401788020735)</f>
        <v>1.400240179</v>
      </c>
      <c r="AQ776" s="30">
        <f>IFERROR(__xludf.DUMMYFUNCTION("""COMPUTED_VALUE"""),0.7300696976141116)</f>
        <v>0.7300696976</v>
      </c>
      <c r="AR776" s="30">
        <f>IFERROR(__xludf.DUMMYFUNCTION("""COMPUTED_VALUE"""),1.0370350226698006)</f>
        <v>1.037035023</v>
      </c>
      <c r="AS776" s="30">
        <f>IFERROR(__xludf.DUMMYFUNCTION("""COMPUTED_VALUE"""),48.0)</f>
        <v>48</v>
      </c>
      <c r="AT776" s="30">
        <f>IFERROR(__xludf.DUMMYFUNCTION("""COMPUTED_VALUE"""),0.4457404864384003)</f>
        <v>0.4457404864</v>
      </c>
      <c r="AU776" s="30">
        <f>IFERROR(__xludf.DUMMYFUNCTION("""COMPUTED_VALUE"""),2.060194222580765)</f>
        <v>2.060194223</v>
      </c>
      <c r="AV776" s="32">
        <f>IFERROR(__xludf.DUMMYFUNCTION("""COMPUTED_VALUE"""),48.55915020827031)</f>
        <v>48.55915021</v>
      </c>
      <c r="AW776" s="32">
        <f>IFERROR(__xludf.DUMMYFUNCTION("""COMPUTED_VALUE"""),-2.096347780864528)</f>
        <v>-2.096347781</v>
      </c>
      <c r="AX776" s="32">
        <f>IFERROR(__xludf.DUMMYFUNCTION("""COMPUTED_VALUE"""),47.910324032406244)</f>
        <v>47.91032403</v>
      </c>
      <c r="AY776" s="32">
        <f>IFERROR(__xludf.DUMMYFUNCTION("""COMPUTED_VALUE"""),-2.142739049270131)</f>
        <v>-2.142739049</v>
      </c>
      <c r="AZ776" s="30">
        <f>IFERROR(__xludf.DUMMYFUNCTION("""COMPUTED_VALUE"""),0.046391268405602926)</f>
        <v>0.04639126841</v>
      </c>
      <c r="BA776" s="30">
        <f>IFERROR(__xludf.DUMMYFUNCTION("""COMPUTED_VALUE"""),2700.0)</f>
        <v>2700</v>
      </c>
    </row>
    <row r="777">
      <c r="A777" s="71" t="str">
        <f>IFERROR(__xludf.DUMMYFUNCTION("""COMPUTED_VALUE"""),"Contender")</f>
        <v>Contender</v>
      </c>
      <c r="B777" s="71" t="str">
        <f>IFERROR(__xludf.DUMMYFUNCTION("""COMPUTED_VALUE"""),"RSC007284")</f>
        <v>RSC007284</v>
      </c>
      <c r="C777" s="30" t="str">
        <f>IFERROR(__xludf.DUMMYFUNCTION("""COMPUTED_VALUE"""),"7aco104")</f>
        <v>7aco104</v>
      </c>
      <c r="D777" s="30" t="str">
        <f>IFERROR(__xludf.DUMMYFUNCTION("""COMPUTED_VALUE"""),"Cheese Pizza")</f>
        <v>Cheese Pizza</v>
      </c>
      <c r="E777" s="30">
        <f>IFERROR(__xludf.DUMMYFUNCTION("""COMPUTED_VALUE"""),47.0)</f>
        <v>47</v>
      </c>
      <c r="F777" s="30">
        <f>IFERROR(__xludf.DUMMYFUNCTION("""COMPUTED_VALUE"""),36.0)</f>
        <v>36</v>
      </c>
      <c r="G777" s="42">
        <f>IFERROR(__xludf.DUMMYFUNCTION("""COMPUTED_VALUE"""),11.0)</f>
        <v>11</v>
      </c>
      <c r="H777" s="42">
        <f>IFERROR(__xludf.DUMMYFUNCTION("""COMPUTED_VALUE"""),0.7659574468085106)</f>
        <v>0.7659574468</v>
      </c>
      <c r="I777" s="42">
        <f>IFERROR(__xludf.DUMMYFUNCTION("""COMPUTED_VALUE"""),0.4556213017751479)</f>
        <v>0.4556213018</v>
      </c>
      <c r="J777" s="30">
        <f>IFERROR(__xludf.DUMMYFUNCTION("""COMPUTED_VALUE"""),442.3191489361702)</f>
        <v>442.3191489</v>
      </c>
      <c r="K777" s="30">
        <f>IFERROR(__xludf.DUMMYFUNCTION("""COMPUTED_VALUE"""),1.6382978723404256)</f>
        <v>1.638297872</v>
      </c>
      <c r="L777" s="30">
        <f>IFERROR(__xludf.DUMMYFUNCTION("""COMPUTED_VALUE"""),0.8085106382978723)</f>
        <v>0.8085106383</v>
      </c>
      <c r="M777" s="30">
        <f>IFERROR(__xludf.DUMMYFUNCTION("""COMPUTED_VALUE"""),1.0425531914893618)</f>
        <v>1.042553191</v>
      </c>
      <c r="N777" s="30">
        <f>IFERROR(__xludf.DUMMYFUNCTION("""COMPUTED_VALUE"""),3.595744680851064)</f>
        <v>3.595744681</v>
      </c>
      <c r="O777" s="30">
        <f>IFERROR(__xludf.DUMMYFUNCTION("""COMPUTED_VALUE"""),309.15602836879435)</f>
        <v>309.1560284</v>
      </c>
      <c r="P777" s="30">
        <f>IFERROR(__xludf.DUMMYFUNCTION("""COMPUTED_VALUE"""),0.5886524822695034)</f>
        <v>0.5886524823</v>
      </c>
      <c r="Q777" s="30">
        <f>IFERROR(__xludf.DUMMYFUNCTION("""COMPUTED_VALUE"""),0.37588652482269513)</f>
        <v>0.3758865248</v>
      </c>
      <c r="R777" s="30">
        <f>IFERROR(__xludf.DUMMYFUNCTION("""COMPUTED_VALUE"""),1.4184397163120572)</f>
        <v>1.418439716</v>
      </c>
      <c r="S777" s="30">
        <f>IFERROR(__xludf.DUMMYFUNCTION("""COMPUTED_VALUE"""),1.8014184397163124)</f>
        <v>1.80141844</v>
      </c>
      <c r="T777" s="30">
        <f>IFERROR(__xludf.DUMMYFUNCTION("""COMPUTED_VALUE"""),323.454290791459)</f>
        <v>323.4542908</v>
      </c>
      <c r="U777" s="30">
        <f>IFERROR(__xludf.DUMMYFUNCTION("""COMPUTED_VALUE"""),0.7805489916407775)</f>
        <v>0.7805489916</v>
      </c>
      <c r="V777" s="30">
        <f>IFERROR(__xludf.DUMMYFUNCTION("""COMPUTED_VALUE"""),0.5268471596468896)</f>
        <v>0.5268471596</v>
      </c>
      <c r="W777" s="30">
        <f>IFERROR(__xludf.DUMMYFUNCTION("""COMPUTED_VALUE"""),1.114349445541043)</f>
        <v>1.114349446</v>
      </c>
      <c r="X777" s="30">
        <f>IFERROR(__xludf.DUMMYFUNCTION("""COMPUTED_VALUE"""),2.1959070542570576)</f>
        <v>2.195907054</v>
      </c>
      <c r="Y777" s="30">
        <f>IFERROR(__xludf.DUMMYFUNCTION("""COMPUTED_VALUE"""),334.1721079516128)</f>
        <v>334.172108</v>
      </c>
      <c r="Z777" s="30">
        <f>IFERROR(__xludf.DUMMYFUNCTION("""COMPUTED_VALUE"""),0.8684311550969672)</f>
        <v>0.8684311551</v>
      </c>
      <c r="AA777" s="30">
        <f>IFERROR(__xludf.DUMMYFUNCTION("""COMPUTED_VALUE"""),0.5849991810395068)</f>
        <v>0.584999181</v>
      </c>
      <c r="AB777" s="30">
        <f>IFERROR(__xludf.DUMMYFUNCTION("""COMPUTED_VALUE"""),1.0476836898840485)</f>
        <v>1.04768369</v>
      </c>
      <c r="AC777" s="30">
        <f>IFERROR(__xludf.DUMMYFUNCTION("""COMPUTED_VALUE"""),2.4010799823785978)</f>
        <v>2.401079982</v>
      </c>
      <c r="AD777" s="30">
        <f>IFERROR(__xludf.DUMMYFUNCTION("""COMPUTED_VALUE"""),1.3236267731842444)</f>
        <v>1.323626773</v>
      </c>
      <c r="AE777" s="30">
        <f>IFERROR(__xludf.DUMMYFUNCTION("""COMPUTED_VALUE"""),1.8865028767392582)</f>
        <v>1.886502877</v>
      </c>
      <c r="AF777" s="30">
        <f>IFERROR(__xludf.DUMMYFUNCTION("""COMPUTED_VALUE"""),1.3820714019824776)</f>
        <v>1.382071402</v>
      </c>
      <c r="AG777" s="30">
        <f>IFERROR(__xludf.DUMMYFUNCTION("""COMPUTED_VALUE"""),0.9951030082416816)</f>
        <v>0.9951030082</v>
      </c>
      <c r="AH777" s="30">
        <f>IFERROR(__xludf.DUMMYFUNCTION("""COMPUTED_VALUE"""),1.497553062471908)</f>
        <v>1.497553062</v>
      </c>
      <c r="AI777" s="30">
        <f>IFERROR(__xludf.DUMMYFUNCTION("""COMPUTED_VALUE"""),0.9557951066666072)</f>
        <v>0.9557951067</v>
      </c>
      <c r="AJ777" s="30">
        <f>IFERROR(__xludf.DUMMYFUNCTION("""COMPUTED_VALUE"""),0.754151870764842)</f>
        <v>0.7541518708</v>
      </c>
      <c r="AK777" s="30">
        <f>IFERROR(__xludf.DUMMYFUNCTION("""COMPUTED_VALUE"""),0.7134640814513012)</f>
        <v>0.7134640815</v>
      </c>
      <c r="AL777" s="30">
        <f>IFERROR(__xludf.DUMMYFUNCTION("""COMPUTED_VALUE"""),1.2728859174182756)</f>
        <v>1.272885917</v>
      </c>
      <c r="AM777" s="30">
        <f>IFERROR(__xludf.DUMMYFUNCTION("""COMPUTED_VALUE"""),0.820352772319768)</f>
        <v>0.8203527723</v>
      </c>
      <c r="AN777" s="30">
        <f>IFERROR(__xludf.DUMMYFUNCTION("""COMPUTED_VALUE"""),1.390841079815651)</f>
        <v>1.39084108</v>
      </c>
      <c r="AO777" s="30">
        <f>IFERROR(__xludf.DUMMYFUNCTION("""COMPUTED_VALUE"""),2.0405170457728885)</f>
        <v>2.040517046</v>
      </c>
      <c r="AP777" s="30">
        <f>IFERROR(__xludf.DUMMYFUNCTION("""COMPUTED_VALUE"""),1.5025287207047733)</f>
        <v>1.502528721</v>
      </c>
      <c r="AQ777" s="30">
        <f>IFERROR(__xludf.DUMMYFUNCTION("""COMPUTED_VALUE"""),0.995473553263368)</f>
        <v>0.9954735533</v>
      </c>
      <c r="AR777" s="30">
        <f>IFERROR(__xludf.DUMMYFUNCTION("""COMPUTED_VALUE"""),1.6323647150572713)</f>
        <v>1.632364715</v>
      </c>
      <c r="AS777" s="30">
        <f>IFERROR(__xludf.DUMMYFUNCTION("""COMPUTED_VALUE"""),168.0)</f>
        <v>168</v>
      </c>
      <c r="AT777" s="30">
        <f>IFERROR(__xludf.DUMMYFUNCTION("""COMPUTED_VALUE"""),0.7577637601806961)</f>
        <v>0.7577637602</v>
      </c>
      <c r="AU777" s="30">
        <f>IFERROR(__xludf.DUMMYFUNCTION("""COMPUTED_VALUE"""),7.322729425330579)</f>
        <v>7.322729425</v>
      </c>
      <c r="AV777" s="32">
        <f>IFERROR(__xludf.DUMMYFUNCTION("""COMPUTED_VALUE"""),101.25124038038958)</f>
        <v>101.2512404</v>
      </c>
      <c r="AW777" s="32">
        <f>IFERROR(__xludf.DUMMYFUNCTION("""COMPUTED_VALUE"""),49.5545180093612)</f>
        <v>49.55451801</v>
      </c>
      <c r="AX777" s="32">
        <f>IFERROR(__xludf.DUMMYFUNCTION("""COMPUTED_VALUE"""),86.29144424492335)</f>
        <v>86.29144424</v>
      </c>
      <c r="AY777" s="32">
        <f>IFERROR(__xludf.DUMMYFUNCTION("""COMPUTED_VALUE"""),13.642863806323628)</f>
        <v>13.64286381</v>
      </c>
      <c r="AZ777" s="30">
        <f>IFERROR(__xludf.DUMMYFUNCTION("""COMPUTED_VALUE"""),35.91165420303757)</f>
        <v>35.9116542</v>
      </c>
      <c r="BA777" s="30">
        <f>IFERROR(__xludf.DUMMYFUNCTION("""COMPUTED_VALUE"""),3200.0)</f>
        <v>3200</v>
      </c>
    </row>
    <row r="778">
      <c r="A778" s="71" t="str">
        <f>IFERROR(__xludf.DUMMYFUNCTION("""COMPUTED_VALUE"""),"Contender")</f>
        <v>Contender</v>
      </c>
      <c r="B778" s="71" t="str">
        <f>IFERROR(__xludf.DUMMYFUNCTION("""COMPUTED_VALUE"""),"RSC006640")</f>
        <v>RSC006640</v>
      </c>
      <c r="C778" s="30" t="str">
        <f>IFERROR(__xludf.DUMMYFUNCTION("""COMPUTED_VALUE"""),"VeryBadKittyCat")</f>
        <v>VeryBadKittyCat</v>
      </c>
      <c r="D778" s="30" t="str">
        <f>IFERROR(__xludf.DUMMYFUNCTION("""COMPUTED_VALUE"""),"Cheese Pizza")</f>
        <v>Cheese Pizza</v>
      </c>
      <c r="E778" s="30">
        <f>IFERROR(__xludf.DUMMYFUNCTION("""COMPUTED_VALUE"""),36.0)</f>
        <v>36</v>
      </c>
      <c r="F778" s="30">
        <f>IFERROR(__xludf.DUMMYFUNCTION("""COMPUTED_VALUE"""),29.0)</f>
        <v>29</v>
      </c>
      <c r="G778" s="42">
        <f>IFERROR(__xludf.DUMMYFUNCTION("""COMPUTED_VALUE"""),7.0)</f>
        <v>7</v>
      </c>
      <c r="H778" s="42">
        <f>IFERROR(__xludf.DUMMYFUNCTION("""COMPUTED_VALUE"""),0.8055555555555556)</f>
        <v>0.8055555556</v>
      </c>
      <c r="I778" s="42">
        <f>IFERROR(__xludf.DUMMYFUNCTION("""COMPUTED_VALUE"""),0.31092436974789917)</f>
        <v>0.3109243697</v>
      </c>
      <c r="J778" s="30">
        <f>IFERROR(__xludf.DUMMYFUNCTION("""COMPUTED_VALUE"""),394.0833333333333)</f>
        <v>394.0833333</v>
      </c>
      <c r="K778" s="30">
        <f>IFERROR(__xludf.DUMMYFUNCTION("""COMPUTED_VALUE"""),1.0277777777777777)</f>
        <v>1.027777778</v>
      </c>
      <c r="L778" s="30">
        <f>IFERROR(__xludf.DUMMYFUNCTION("""COMPUTED_VALUE"""),1.1666666666666667)</f>
        <v>1.166666667</v>
      </c>
      <c r="M778" s="30">
        <f>IFERROR(__xludf.DUMMYFUNCTION("""COMPUTED_VALUE"""),0.9166666666666666)</f>
        <v>0.9166666667</v>
      </c>
      <c r="N778" s="30">
        <f>IFERROR(__xludf.DUMMYFUNCTION("""COMPUTED_VALUE"""),3.3055555555555554)</f>
        <v>3.305555556</v>
      </c>
      <c r="O778" s="30">
        <f>IFERROR(__xludf.DUMMYFUNCTION("""COMPUTED_VALUE"""),308.8703703703704)</f>
        <v>308.8703704</v>
      </c>
      <c r="P778" s="30">
        <f>IFERROR(__xludf.DUMMYFUNCTION("""COMPUTED_VALUE"""),0.5462962962962963)</f>
        <v>0.5462962963</v>
      </c>
      <c r="Q778" s="30">
        <f>IFERROR(__xludf.DUMMYFUNCTION("""COMPUTED_VALUE"""),0.3333333333333333)</f>
        <v>0.3333333333</v>
      </c>
      <c r="R778" s="30">
        <f>IFERROR(__xludf.DUMMYFUNCTION("""COMPUTED_VALUE"""),1.5740740740740742)</f>
        <v>1.574074074</v>
      </c>
      <c r="S778" s="30">
        <f>IFERROR(__xludf.DUMMYFUNCTION("""COMPUTED_VALUE"""),1.7314814814814814)</f>
        <v>1.731481481</v>
      </c>
      <c r="T778" s="30">
        <f>IFERROR(__xludf.DUMMYFUNCTION("""COMPUTED_VALUE"""),323.0345338116609)</f>
        <v>323.0345338</v>
      </c>
      <c r="U778" s="30">
        <f>IFERROR(__xludf.DUMMYFUNCTION("""COMPUTED_VALUE"""),0.7848770232637068)</f>
        <v>0.7848770233</v>
      </c>
      <c r="V778" s="30">
        <f>IFERROR(__xludf.DUMMYFUNCTION("""COMPUTED_VALUE"""),0.5284745140074422)</f>
        <v>0.528474514</v>
      </c>
      <c r="W778" s="30">
        <f>IFERROR(__xludf.DUMMYFUNCTION("""COMPUTED_VALUE"""),1.1126642748322684)</f>
        <v>1.112664275</v>
      </c>
      <c r="X778" s="30">
        <f>IFERROR(__xludf.DUMMYFUNCTION("""COMPUTED_VALUE"""),2.203011383166522)</f>
        <v>2.203011383</v>
      </c>
      <c r="Y778" s="30">
        <f>IFERROR(__xludf.DUMMYFUNCTION("""COMPUTED_VALUE"""),334.6564909210481)</f>
        <v>334.6564909</v>
      </c>
      <c r="Z778" s="30">
        <f>IFERROR(__xludf.DUMMYFUNCTION("""COMPUTED_VALUE"""),0.8695826198388447)</f>
        <v>0.8695826198</v>
      </c>
      <c r="AA778" s="30">
        <f>IFERROR(__xludf.DUMMYFUNCTION("""COMPUTED_VALUE"""),0.5812823093941161)</f>
        <v>0.5812823094</v>
      </c>
      <c r="AB778" s="30">
        <f>IFERROR(__xludf.DUMMYFUNCTION("""COMPUTED_VALUE"""),1.0530466386706112)</f>
        <v>1.053046639</v>
      </c>
      <c r="AC778" s="30">
        <f>IFERROR(__xludf.DUMMYFUNCTION("""COMPUTED_VALUE"""),2.4139443208699314)</f>
        <v>2.413944321</v>
      </c>
      <c r="AD778" s="30">
        <f>IFERROR(__xludf.DUMMYFUNCTION("""COMPUTED_VALUE"""),1.1775756455484534)</f>
        <v>1.177575646</v>
      </c>
      <c r="AE778" s="30">
        <f>IFERROR(__xludf.DUMMYFUNCTION("""COMPUTED_VALUE"""),1.1819207908827)</f>
        <v>1.181920791</v>
      </c>
      <c r="AF778" s="30">
        <f>IFERROR(__xludf.DUMMYFUNCTION("""COMPUTED_VALUE"""),2.0070568944076594)</f>
        <v>2.007056894</v>
      </c>
      <c r="AG778" s="30">
        <f>IFERROR(__xludf.DUMMYFUNCTION("""COMPUTED_VALUE"""),0.8704900932250127)</f>
        <v>0.8704900932</v>
      </c>
      <c r="AH778" s="30">
        <f>IFERROR(__xludf.DUMMYFUNCTION("""COMPUTED_VALUE"""),1.3693586579347063)</f>
        <v>1.369358658</v>
      </c>
      <c r="AI778" s="30">
        <f>IFERROR(__xludf.DUMMYFUNCTION("""COMPUTED_VALUE"""),0.9561527887617469)</f>
        <v>0.9561527888</v>
      </c>
      <c r="AJ778" s="30">
        <f>IFERROR(__xludf.DUMMYFUNCTION("""COMPUTED_VALUE"""),0.696027887304772)</f>
        <v>0.6960278873</v>
      </c>
      <c r="AK778" s="30">
        <f>IFERROR(__xludf.DUMMYFUNCTION("""COMPUTED_VALUE"""),0.6307462791453349)</f>
        <v>0.6307462791</v>
      </c>
      <c r="AL778" s="30">
        <f>IFERROR(__xludf.DUMMYFUNCTION("""COMPUTED_VALUE"""),1.4146891471925458)</f>
        <v>1.414689147</v>
      </c>
      <c r="AM778" s="30">
        <f>IFERROR(__xludf.DUMMYFUNCTION("""COMPUTED_VALUE"""),0.7859612050631885)</f>
        <v>0.7859612051</v>
      </c>
      <c r="AN778" s="30">
        <f>IFERROR(__xludf.DUMMYFUNCTION("""COMPUTED_VALUE"""),1.2391669910492167)</f>
        <v>1.239166991</v>
      </c>
      <c r="AO778" s="30">
        <f>IFERROR(__xludf.DUMMYFUNCTION("""COMPUTED_VALUE"""),1.280107915800524)</f>
        <v>1.280107916</v>
      </c>
      <c r="AP778" s="30">
        <f>IFERROR(__xludf.DUMMYFUNCTION("""COMPUTED_VALUE"""),2.1681225838239935)</f>
        <v>2.168122584</v>
      </c>
      <c r="AQ778" s="30">
        <f>IFERROR(__xludf.DUMMYFUNCTION("""COMPUTED_VALUE"""),0.8752718146890496)</f>
        <v>0.8752718147</v>
      </c>
      <c r="AR778" s="30">
        <f>IFERROR(__xludf.DUMMYFUNCTION("""COMPUTED_VALUE"""),1.500627194496272)</f>
        <v>1.500627194</v>
      </c>
      <c r="AS778" s="30">
        <f>IFERROR(__xludf.DUMMYFUNCTION("""COMPUTED_VALUE"""),136.0)</f>
        <v>136</v>
      </c>
      <c r="AT778" s="30">
        <f>IFERROR(__xludf.DUMMYFUNCTION("""COMPUTED_VALUE"""),0.7951439117236273)</f>
        <v>0.7951439117</v>
      </c>
      <c r="AU778" s="30">
        <f>IFERROR(__xludf.DUMMYFUNCTION("""COMPUTED_VALUE"""),6.950923050913312)</f>
        <v>6.950923051</v>
      </c>
      <c r="AV778" s="32">
        <f>IFERROR(__xludf.DUMMYFUNCTION("""COMPUTED_VALUE"""),95.87420018087742)</f>
        <v>95.87420018</v>
      </c>
      <c r="AW778" s="32">
        <f>IFERROR(__xludf.DUMMYFUNCTION("""COMPUTED_VALUE"""),30.070471689071887)</f>
        <v>30.07047169</v>
      </c>
      <c r="AX778" s="32">
        <f>IFERROR(__xludf.DUMMYFUNCTION("""COMPUTED_VALUE"""),75.53817264179911)</f>
        <v>75.53817264</v>
      </c>
      <c r="AY778" s="32">
        <f>IFERROR(__xludf.DUMMYFUNCTION("""COMPUTED_VALUE"""),6.514554672666616)</f>
        <v>6.514554673</v>
      </c>
      <c r="AZ778" s="30">
        <f>IFERROR(__xludf.DUMMYFUNCTION("""COMPUTED_VALUE"""),23.55591701640527)</f>
        <v>23.55591702</v>
      </c>
      <c r="BA778" s="30">
        <f>IFERROR(__xludf.DUMMYFUNCTION("""COMPUTED_VALUE"""),3200.0)</f>
        <v>3200</v>
      </c>
    </row>
    <row r="779">
      <c r="A779" s="71" t="str">
        <f>IFERROR(__xludf.DUMMYFUNCTION("""COMPUTED_VALUE"""),"Contender")</f>
        <v>Contender</v>
      </c>
      <c r="B779" s="71" t="str">
        <f>IFERROR(__xludf.DUMMYFUNCTION("""COMPUTED_VALUE"""),"RSC005527")</f>
        <v>RSC005527</v>
      </c>
      <c r="C779" s="30" t="str">
        <f>IFERROR(__xludf.DUMMYFUNCTION("""COMPUTED_VALUE"""),"Colossus4203316")</f>
        <v>Colossus4203316</v>
      </c>
      <c r="D779" s="30" t="str">
        <f>IFERROR(__xludf.DUMMYFUNCTION("""COMPUTED_VALUE"""),"Zebras")</f>
        <v>Zebras</v>
      </c>
      <c r="E779" s="30">
        <f>IFERROR(__xludf.DUMMYFUNCTION("""COMPUTED_VALUE"""),25.0)</f>
        <v>25</v>
      </c>
      <c r="F779" s="30">
        <f>IFERROR(__xludf.DUMMYFUNCTION("""COMPUTED_VALUE"""),5.0)</f>
        <v>5</v>
      </c>
      <c r="G779" s="42">
        <f>IFERROR(__xludf.DUMMYFUNCTION("""COMPUTED_VALUE"""),20.0)</f>
        <v>20</v>
      </c>
      <c r="H779" s="42">
        <f>IFERROR(__xludf.DUMMYFUNCTION("""COMPUTED_VALUE"""),0.2)</f>
        <v>0.2</v>
      </c>
      <c r="I779" s="42">
        <f>IFERROR(__xludf.DUMMYFUNCTION("""COMPUTED_VALUE"""),0.36)</f>
        <v>0.36</v>
      </c>
      <c r="J779" s="30">
        <f>IFERROR(__xludf.DUMMYFUNCTION("""COMPUTED_VALUE"""),212.68)</f>
        <v>212.68</v>
      </c>
      <c r="K779" s="30">
        <f>IFERROR(__xludf.DUMMYFUNCTION("""COMPUTED_VALUE"""),0.36)</f>
        <v>0.36</v>
      </c>
      <c r="L779" s="30">
        <f>IFERROR(__xludf.DUMMYFUNCTION("""COMPUTED_VALUE"""),0.28)</f>
        <v>0.28</v>
      </c>
      <c r="M779" s="30">
        <f>IFERROR(__xludf.DUMMYFUNCTION("""COMPUTED_VALUE"""),0.88)</f>
        <v>0.88</v>
      </c>
      <c r="N779" s="30">
        <f>IFERROR(__xludf.DUMMYFUNCTION("""COMPUTED_VALUE"""),1.0)</f>
        <v>1</v>
      </c>
      <c r="O779" s="30">
        <f>IFERROR(__xludf.DUMMYFUNCTION("""COMPUTED_VALUE"""),395.1066666666666)</f>
        <v>395.1066667</v>
      </c>
      <c r="P779" s="30">
        <f>IFERROR(__xludf.DUMMYFUNCTION("""COMPUTED_VALUE"""),1.3066666666666666)</f>
        <v>1.306666667</v>
      </c>
      <c r="Q779" s="30">
        <f>IFERROR(__xludf.DUMMYFUNCTION("""COMPUTED_VALUE"""),0.84)</f>
        <v>0.84</v>
      </c>
      <c r="R779" s="30">
        <f>IFERROR(__xludf.DUMMYFUNCTION("""COMPUTED_VALUE"""),0.9333333333333335)</f>
        <v>0.9333333333</v>
      </c>
      <c r="S779" s="30">
        <f>IFERROR(__xludf.DUMMYFUNCTION("""COMPUTED_VALUE"""),2.9199999999999995)</f>
        <v>2.92</v>
      </c>
      <c r="T779" s="30">
        <f>IFERROR(__xludf.DUMMYFUNCTION("""COMPUTED_VALUE"""),347.07942681998526)</f>
        <v>347.0794268</v>
      </c>
      <c r="U779" s="30">
        <f>IFERROR(__xludf.DUMMYFUNCTION("""COMPUTED_VALUE"""),0.9461623634268155)</f>
        <v>0.9461623634</v>
      </c>
      <c r="V779" s="30">
        <f>IFERROR(__xludf.DUMMYFUNCTION("""COMPUTED_VALUE"""),0.6342728461839899)</f>
        <v>0.6342728462</v>
      </c>
      <c r="W779" s="30">
        <f>IFERROR(__xludf.DUMMYFUNCTION("""COMPUTED_VALUE"""),1.0369956303805206)</f>
        <v>1.03699563</v>
      </c>
      <c r="X779" s="30">
        <f>IFERROR(__xludf.DUMMYFUNCTION("""COMPUTED_VALUE"""),2.4903233012931856)</f>
        <v>2.490323301</v>
      </c>
      <c r="Y779" s="30">
        <f>IFERROR(__xludf.DUMMYFUNCTION("""COMPUTED_VALUE"""),323.26675199556774)</f>
        <v>323.266752</v>
      </c>
      <c r="Z779" s="30">
        <f>IFERROR(__xludf.DUMMYFUNCTION("""COMPUTED_VALUE"""),0.7655829102555242)</f>
        <v>0.7655829103</v>
      </c>
      <c r="AA779" s="30">
        <f>IFERROR(__xludf.DUMMYFUNCTION("""COMPUTED_VALUE"""),0.5154242790402219)</f>
        <v>0.515424279</v>
      </c>
      <c r="AB779" s="30">
        <f>IFERROR(__xludf.DUMMYFUNCTION("""COMPUTED_VALUE"""),1.1441882345540464)</f>
        <v>1.144188235</v>
      </c>
      <c r="AC779" s="30">
        <f>IFERROR(__xludf.DUMMYFUNCTION("""COMPUTED_VALUE"""),2.1900629130236724)</f>
        <v>2.190062913</v>
      </c>
      <c r="AD779" s="30">
        <f>IFERROR(__xludf.DUMMYFUNCTION("""COMPUTED_VALUE"""),0.6579086735245696)</f>
        <v>0.6579086735</v>
      </c>
      <c r="AE779" s="30">
        <f>IFERROR(__xludf.DUMMYFUNCTION("""COMPUTED_VALUE"""),0.47022993222229176)</f>
        <v>0.4702299322</v>
      </c>
      <c r="AF779" s="30">
        <f>IFERROR(__xludf.DUMMYFUNCTION("""COMPUTED_VALUE"""),0.5432417745655901)</f>
        <v>0.5432417746</v>
      </c>
      <c r="AG779" s="30">
        <f>IFERROR(__xludf.DUMMYFUNCTION("""COMPUTED_VALUE"""),0.7691042202885304)</f>
        <v>0.7691042203</v>
      </c>
      <c r="AH779" s="30">
        <f>IFERROR(__xludf.DUMMYFUNCTION("""COMPUTED_VALUE"""),0.4566078874051008)</f>
        <v>0.4566078874</v>
      </c>
      <c r="AI779" s="30">
        <f>IFERROR(__xludf.DUMMYFUNCTION("""COMPUTED_VALUE"""),1.1383753577292584)</f>
        <v>1.138375358</v>
      </c>
      <c r="AJ779" s="30">
        <f>IFERROR(__xludf.DUMMYFUNCTION("""COMPUTED_VALUE"""),1.3810173783854336)</f>
        <v>1.381017378</v>
      </c>
      <c r="AK779" s="30">
        <f>IFERROR(__xludf.DUMMYFUNCTION("""COMPUTED_VALUE"""),1.3243511921623912)</f>
        <v>1.324351192</v>
      </c>
      <c r="AL779" s="30">
        <f>IFERROR(__xludf.DUMMYFUNCTION("""COMPUTED_VALUE"""),0.9000359364974868)</f>
        <v>0.9000359365</v>
      </c>
      <c r="AM779" s="30">
        <f>IFERROR(__xludf.DUMMYFUNCTION("""COMPUTED_VALUE"""),1.172538520795147)</f>
        <v>1.172538521</v>
      </c>
      <c r="AN779" s="30">
        <f>IFERROR(__xludf.DUMMYFUNCTION("""COMPUTED_VALUE"""),0.6687571215640028)</f>
        <v>0.6687571216</v>
      </c>
      <c r="AO779" s="30">
        <f>IFERROR(__xludf.DUMMYFUNCTION("""COMPUTED_VALUE"""),0.44838374564256195)</f>
        <v>0.4483837456</v>
      </c>
      <c r="AP779" s="30">
        <f>IFERROR(__xludf.DUMMYFUNCTION("""COMPUTED_VALUE"""),0.5203494201177584)</f>
        <v>0.5203494201</v>
      </c>
      <c r="AQ779" s="30">
        <f>IFERROR(__xludf.DUMMYFUNCTION("""COMPUTED_VALUE"""),0.8402609421014876)</f>
        <v>0.8402609421</v>
      </c>
      <c r="AR779" s="30">
        <f>IFERROR(__xludf.DUMMYFUNCTION("""COMPUTED_VALUE"""),0.45397125211651923)</f>
        <v>0.4539712521</v>
      </c>
      <c r="AS779" s="30">
        <f>IFERROR(__xludf.DUMMYFUNCTION("""COMPUTED_VALUE"""),39.0)</f>
        <v>39</v>
      </c>
      <c r="AT779" s="30">
        <f>IFERROR(__xludf.DUMMYFUNCTION("""COMPUTED_VALUE"""),0.182224762623711)</f>
        <v>0.1822247626</v>
      </c>
      <c r="AU779" s="30">
        <f>IFERROR(__xludf.DUMMYFUNCTION("""COMPUTED_VALUE"""),0.9154596823576313)</f>
        <v>0.9154596824</v>
      </c>
      <c r="AV779" s="32">
        <f>IFERROR(__xludf.DUMMYFUNCTION("""COMPUTED_VALUE"""),8.589711833224705)</f>
        <v>8.589711833</v>
      </c>
      <c r="AW779" s="32">
        <f>IFERROR(__xludf.DUMMYFUNCTION("""COMPUTED_VALUE"""),-20.483721360683518)</f>
        <v>-20.48372136</v>
      </c>
      <c r="AX779" s="32">
        <f>IFERROR(__xludf.DUMMYFUNCTION("""COMPUTED_VALUE"""),0.9810903179639112)</f>
        <v>0.981090318</v>
      </c>
      <c r="AY779" s="32">
        <f>IFERROR(__xludf.DUMMYFUNCTION("""COMPUTED_VALUE"""),-40.07417904324705)</f>
        <v>-40.07417904</v>
      </c>
      <c r="AZ779" s="30">
        <f>IFERROR(__xludf.DUMMYFUNCTION("""COMPUTED_VALUE"""),19.59045768256353)</f>
        <v>19.59045768</v>
      </c>
      <c r="BA779" s="30">
        <f>IFERROR(__xludf.DUMMYFUNCTION("""COMPUTED_VALUE"""),3200.0)</f>
        <v>3200</v>
      </c>
    </row>
    <row r="780">
      <c r="A780" s="71" t="str">
        <f>IFERROR(__xludf.DUMMYFUNCTION("""COMPUTED_VALUE"""),"Contender")</f>
        <v>Contender</v>
      </c>
      <c r="B780" s="71" t="str">
        <f>IFERROR(__xludf.DUMMYFUNCTION("""COMPUTED_VALUE"""),"RSC007537")</f>
        <v>RSC007537</v>
      </c>
      <c r="C780" s="30" t="str">
        <f>IFERROR(__xludf.DUMMYFUNCTION("""COMPUTED_VALUE"""),"yoshawatt")</f>
        <v>yoshawatt</v>
      </c>
      <c r="D780" s="30" t="str">
        <f>IFERROR(__xludf.DUMMYFUNCTION("""COMPUTED_VALUE"""),"Rheas")</f>
        <v>Rheas</v>
      </c>
      <c r="E780" s="30">
        <f>IFERROR(__xludf.DUMMYFUNCTION("""COMPUTED_VALUE"""),39.0)</f>
        <v>39</v>
      </c>
      <c r="F780" s="30">
        <f>IFERROR(__xludf.DUMMYFUNCTION("""COMPUTED_VALUE"""),29.0)</f>
        <v>29</v>
      </c>
      <c r="G780" s="42">
        <f>IFERROR(__xludf.DUMMYFUNCTION("""COMPUTED_VALUE"""),10.0)</f>
        <v>10</v>
      </c>
      <c r="H780" s="42">
        <f>IFERROR(__xludf.DUMMYFUNCTION("""COMPUTED_VALUE"""),0.7435897435897436)</f>
        <v>0.7435897436</v>
      </c>
      <c r="I780" s="42">
        <f>IFERROR(__xludf.DUMMYFUNCTION("""COMPUTED_VALUE"""),0.3680555555555555)</f>
        <v>0.3680555556</v>
      </c>
      <c r="J780" s="30">
        <f>IFERROR(__xludf.DUMMYFUNCTION("""COMPUTED_VALUE"""),388.43589743589746)</f>
        <v>388.4358974</v>
      </c>
      <c r="K780" s="30">
        <f>IFERROR(__xludf.DUMMYFUNCTION("""COMPUTED_VALUE"""),1.358974358974359)</f>
        <v>1.358974359</v>
      </c>
      <c r="L780" s="30">
        <f>IFERROR(__xludf.DUMMYFUNCTION("""COMPUTED_VALUE"""),0.7692307692307693)</f>
        <v>0.7692307692</v>
      </c>
      <c r="M780" s="30">
        <f>IFERROR(__xludf.DUMMYFUNCTION("""COMPUTED_VALUE"""),0.6923076923076923)</f>
        <v>0.6923076923</v>
      </c>
      <c r="N780" s="30">
        <f>IFERROR(__xludf.DUMMYFUNCTION("""COMPUTED_VALUE"""),3.6923076923076925)</f>
        <v>3.692307692</v>
      </c>
      <c r="O780" s="30">
        <f>IFERROR(__xludf.DUMMYFUNCTION("""COMPUTED_VALUE"""),291.3418803418804)</f>
        <v>291.3418803</v>
      </c>
      <c r="P780" s="30">
        <f>IFERROR(__xludf.DUMMYFUNCTION("""COMPUTED_VALUE"""),0.5811965811965811)</f>
        <v>0.5811965812</v>
      </c>
      <c r="Q780" s="30">
        <f>IFERROR(__xludf.DUMMYFUNCTION("""COMPUTED_VALUE"""),0.3931623931623932)</f>
        <v>0.3931623932</v>
      </c>
      <c r="R780" s="30">
        <f>IFERROR(__xludf.DUMMYFUNCTION("""COMPUTED_VALUE"""),1.1880341880341883)</f>
        <v>1.188034188</v>
      </c>
      <c r="S780" s="30">
        <f>IFERROR(__xludf.DUMMYFUNCTION("""COMPUTED_VALUE"""),1.8803418803418805)</f>
        <v>1.88034188</v>
      </c>
      <c r="T780" s="30">
        <f>IFERROR(__xludf.DUMMYFUNCTION("""COMPUTED_VALUE"""),330.92291653578997)</f>
        <v>330.9229165</v>
      </c>
      <c r="U780" s="30">
        <f>IFERROR(__xludf.DUMMYFUNCTION("""COMPUTED_VALUE"""),0.8414799362951411)</f>
        <v>0.8414799363</v>
      </c>
      <c r="V780" s="30">
        <f>IFERROR(__xludf.DUMMYFUNCTION("""COMPUTED_VALUE"""),0.5359025773710306)</f>
        <v>0.5359025774</v>
      </c>
      <c r="W780" s="30">
        <f>IFERROR(__xludf.DUMMYFUNCTION("""COMPUTED_VALUE"""),1.086463400694407)</f>
        <v>1.086463401</v>
      </c>
      <c r="X780" s="30">
        <f>IFERROR(__xludf.DUMMYFUNCTION("""COMPUTED_VALUE"""),2.3152378869127594)</f>
        <v>2.315237887</v>
      </c>
      <c r="Y780" s="30">
        <f>IFERROR(__xludf.DUMMYFUNCTION("""COMPUTED_VALUE"""),331.91115999600396)</f>
        <v>331.91116</v>
      </c>
      <c r="Z780" s="30">
        <f>IFERROR(__xludf.DUMMYFUNCTION("""COMPUTED_VALUE"""),0.8447287750677831)</f>
        <v>0.8447287751</v>
      </c>
      <c r="AA780" s="30">
        <f>IFERROR(__xludf.DUMMYFUNCTION("""COMPUTED_VALUE"""),0.5698720652932353)</f>
        <v>0.5698720653</v>
      </c>
      <c r="AB780" s="30">
        <f>IFERROR(__xludf.DUMMYFUNCTION("""COMPUTED_VALUE"""),1.074755707482332)</f>
        <v>1.074755707</v>
      </c>
      <c r="AC780" s="30">
        <f>IFERROR(__xludf.DUMMYFUNCTION("""COMPUTED_VALUE"""),2.326883614664836)</f>
        <v>2.326883615</v>
      </c>
      <c r="AD780" s="30">
        <f>IFERROR(__xludf.DUMMYFUNCTION("""COMPUTED_VALUE"""),1.170300804108467)</f>
        <v>1.170300804</v>
      </c>
      <c r="AE780" s="30">
        <f>IFERROR(__xludf.DUMMYFUNCTION("""COMPUTED_VALUE"""),1.608770056241202)</f>
        <v>1.608770056</v>
      </c>
      <c r="AF780" s="30">
        <f>IFERROR(__xludf.DUMMYFUNCTION("""COMPUTED_VALUE"""),1.3498306305555638)</f>
        <v>1.349830631</v>
      </c>
      <c r="AG780" s="30">
        <f>IFERROR(__xludf.DUMMYFUNCTION("""COMPUTED_VALUE"""),0.6441535387883234)</f>
        <v>0.6441535388</v>
      </c>
      <c r="AH780" s="30">
        <f>IFERROR(__xludf.DUMMYFUNCTION("""COMPUTED_VALUE"""),1.5868037700886608)</f>
        <v>1.58680377</v>
      </c>
      <c r="AI780" s="30">
        <f>IFERROR(__xludf.DUMMYFUNCTION("""COMPUTED_VALUE"""),0.8803919758466507)</f>
        <v>0.8803919758</v>
      </c>
      <c r="AJ780" s="30">
        <f>IFERROR(__xludf.DUMMYFUNCTION("""COMPUTED_VALUE"""),0.690683825161022)</f>
        <v>0.6906838252</v>
      </c>
      <c r="AK780" s="30">
        <f>IFERROR(__xludf.DUMMYFUNCTION("""COMPUTED_VALUE"""),0.7336452739061718)</f>
        <v>0.7336452739</v>
      </c>
      <c r="AL780" s="30">
        <f>IFERROR(__xludf.DUMMYFUNCTION("""COMPUTED_VALUE"""),1.0934875369707464)</f>
        <v>1.093487537</v>
      </c>
      <c r="AM780" s="30">
        <f>IFERROR(__xludf.DUMMYFUNCTION("""COMPUTED_VALUE"""),0.8121592562780715)</f>
        <v>0.8121592563</v>
      </c>
      <c r="AN780" s="30">
        <f>IFERROR(__xludf.DUMMYFUNCTION("""COMPUTED_VALUE"""),1.2214090308508603)</f>
        <v>1.221409031</v>
      </c>
      <c r="AO780" s="30">
        <f>IFERROR(__xludf.DUMMYFUNCTION("""COMPUTED_VALUE"""),1.692616703636452)</f>
        <v>1.692616704</v>
      </c>
      <c r="AP780" s="30">
        <f>IFERROR(__xludf.DUMMYFUNCTION("""COMPUTED_VALUE"""),1.4295313739498856)</f>
        <v>1.429531374</v>
      </c>
      <c r="AQ780" s="30">
        <f>IFERROR(__xludf.DUMMYFUNCTION("""COMPUTED_VALUE"""),0.661044447457464)</f>
        <v>0.6610444475</v>
      </c>
      <c r="AR780" s="30">
        <f>IFERROR(__xludf.DUMMYFUNCTION("""COMPUTED_VALUE"""),1.6762015462763789)</f>
        <v>1.676201546</v>
      </c>
      <c r="AS780" s="30">
        <f>IFERROR(__xludf.DUMMYFUNCTION("""COMPUTED_VALUE"""),121.0)</f>
        <v>121</v>
      </c>
      <c r="AT780" s="30">
        <f>IFERROR(__xludf.DUMMYFUNCTION("""COMPUTED_VALUE"""),0.7122735291834201)</f>
        <v>0.7122735292</v>
      </c>
      <c r="AU780" s="30">
        <f>IFERROR(__xludf.DUMMYFUNCTION("""COMPUTED_VALUE"""),6.770024865676087)</f>
        <v>6.770024866</v>
      </c>
      <c r="AV780" s="32">
        <f>IFERROR(__xludf.DUMMYFUNCTION("""COMPUTED_VALUE"""),93.25806210211567)</f>
        <v>93.2580621</v>
      </c>
      <c r="AW780" s="32">
        <f>IFERROR(__xludf.DUMMYFUNCTION("""COMPUTED_VALUE"""),23.931267122945563)</f>
        <v>23.93126712</v>
      </c>
      <c r="AX780" s="32">
        <f>IFERROR(__xludf.DUMMYFUNCTION("""COMPUTED_VALUE"""),83.29808871086954)</f>
        <v>83.29808871</v>
      </c>
      <c r="AY780" s="32">
        <f>IFERROR(__xludf.DUMMYFUNCTION("""COMPUTED_VALUE"""),10.935815334715189)</f>
        <v>10.93581533</v>
      </c>
      <c r="AZ780" s="30">
        <f>IFERROR(__xludf.DUMMYFUNCTION("""COMPUTED_VALUE"""),12.995451788230374)</f>
        <v>12.99545179</v>
      </c>
      <c r="BA780" s="30">
        <f>IFERROR(__xludf.DUMMYFUNCTION("""COMPUTED_VALUE"""),3200.0)</f>
        <v>3200</v>
      </c>
    </row>
    <row r="781">
      <c r="A781" s="71" t="str">
        <f>IFERROR(__xludf.DUMMYFUNCTION("""COMPUTED_VALUE"""),"Contender")</f>
        <v>Contender</v>
      </c>
      <c r="B781" s="71" t="str">
        <f>IFERROR(__xludf.DUMMYFUNCTION("""COMPUTED_VALUE"""),"RSC007910")</f>
        <v>RSC007910</v>
      </c>
      <c r="C781" s="30" t="str">
        <f>IFERROR(__xludf.DUMMYFUNCTION("""COMPUTED_VALUE"""),"TTVCAPTAINDRC")</f>
        <v>TTVCAPTAINDRC</v>
      </c>
      <c r="D781" s="30"/>
      <c r="E781" s="30">
        <f>IFERROR(__xludf.DUMMYFUNCTION("""COMPUTED_VALUE"""),3.0)</f>
        <v>3</v>
      </c>
      <c r="F781" s="30">
        <f>IFERROR(__xludf.DUMMYFUNCTION("""COMPUTED_VALUE"""),0.0)</f>
        <v>0</v>
      </c>
      <c r="G781" s="42">
        <f>IFERROR(__xludf.DUMMYFUNCTION("""COMPUTED_VALUE"""),3.0)</f>
        <v>3</v>
      </c>
      <c r="H781" s="42">
        <f>IFERROR(__xludf.DUMMYFUNCTION("""COMPUTED_VALUE"""),0.0)</f>
        <v>0</v>
      </c>
      <c r="I781" s="42">
        <f>IFERROR(__xludf.DUMMYFUNCTION("""COMPUTED_VALUE"""),0.5)</f>
        <v>0.5</v>
      </c>
      <c r="J781" s="30">
        <f>IFERROR(__xludf.DUMMYFUNCTION("""COMPUTED_VALUE"""),225.66666666666666)</f>
        <v>225.6666667</v>
      </c>
      <c r="K781" s="30">
        <f>IFERROR(__xludf.DUMMYFUNCTION("""COMPUTED_VALUE"""),0.3333333333333333)</f>
        <v>0.3333333333</v>
      </c>
      <c r="L781" s="30">
        <f>IFERROR(__xludf.DUMMYFUNCTION("""COMPUTED_VALUE"""),0.3333333333333333)</f>
        <v>0.3333333333</v>
      </c>
      <c r="M781" s="30">
        <f>IFERROR(__xludf.DUMMYFUNCTION("""COMPUTED_VALUE"""),1.3333333333333333)</f>
        <v>1.333333333</v>
      </c>
      <c r="N781" s="30">
        <f>IFERROR(__xludf.DUMMYFUNCTION("""COMPUTED_VALUE"""),0.6666666666666666)</f>
        <v>0.6666666667</v>
      </c>
      <c r="O781" s="30">
        <f>IFERROR(__xludf.DUMMYFUNCTION("""COMPUTED_VALUE"""),338.4444444444444)</f>
        <v>338.4444444</v>
      </c>
      <c r="P781" s="30">
        <f>IFERROR(__xludf.DUMMYFUNCTION("""COMPUTED_VALUE"""),1.111111111111111)</f>
        <v>1.111111111</v>
      </c>
      <c r="Q781" s="30">
        <f>IFERROR(__xludf.DUMMYFUNCTION("""COMPUTED_VALUE"""),0.5555555555555555)</f>
        <v>0.5555555556</v>
      </c>
      <c r="R781" s="30">
        <f>IFERROR(__xludf.DUMMYFUNCTION("""COMPUTED_VALUE"""),1.0)</f>
        <v>1</v>
      </c>
      <c r="S781" s="30">
        <f>IFERROR(__xludf.DUMMYFUNCTION("""COMPUTED_VALUE"""),2.111111111111111)</f>
        <v>2.111111111</v>
      </c>
      <c r="T781" s="30">
        <f>IFERROR(__xludf.DUMMYFUNCTION("""COMPUTED_VALUE"""),325.3574632144154)</f>
        <v>325.3574632</v>
      </c>
      <c r="U781" s="30">
        <f>IFERROR(__xludf.DUMMYFUNCTION("""COMPUTED_VALUE"""),0.7976958658556269)</f>
        <v>0.7976958659</v>
      </c>
      <c r="V781" s="30">
        <f>IFERROR(__xludf.DUMMYFUNCTION("""COMPUTED_VALUE"""),0.5024265612451503)</f>
        <v>0.5024265612</v>
      </c>
      <c r="W781" s="30">
        <f>IFERROR(__xludf.DUMMYFUNCTION("""COMPUTED_VALUE"""),1.1612061800751612)</f>
        <v>1.16120618</v>
      </c>
      <c r="X781" s="30">
        <f>IFERROR(__xludf.DUMMYFUNCTION("""COMPUTED_VALUE"""),2.2276805452990596)</f>
        <v>2.227680545</v>
      </c>
      <c r="Y781" s="30">
        <f>IFERROR(__xludf.DUMMYFUNCTION("""COMPUTED_VALUE"""),337.2067606960664)</f>
        <v>337.2067607</v>
      </c>
      <c r="Z781" s="30">
        <f>IFERROR(__xludf.DUMMYFUNCTION("""COMPUTED_VALUE"""),0.8464064096171847)</f>
        <v>0.8464064096</v>
      </c>
      <c r="AA781" s="30">
        <f>IFERROR(__xludf.DUMMYFUNCTION("""COMPUTED_VALUE"""),0.5879684136434169)</f>
        <v>0.5879684136</v>
      </c>
      <c r="AB781" s="30">
        <f>IFERROR(__xludf.DUMMYFUNCTION("""COMPUTED_VALUE"""),1.08708019062629)</f>
        <v>1.087080191</v>
      </c>
      <c r="AC781" s="30">
        <f>IFERROR(__xludf.DUMMYFUNCTION("""COMPUTED_VALUE"""),2.492445029221811)</f>
        <v>2.492445029</v>
      </c>
      <c r="AD781" s="30">
        <f>IFERROR(__xludf.DUMMYFUNCTION("""COMPUTED_VALUE"""),0.6692234349063545)</f>
        <v>0.6692234349</v>
      </c>
      <c r="AE781" s="30">
        <f>IFERROR(__xludf.DUMMYFUNCTION("""COMPUTED_VALUE"""),0.3938218443833552)</f>
        <v>0.3938218444</v>
      </c>
      <c r="AF781" s="30">
        <f>IFERROR(__xludf.DUMMYFUNCTION("""COMPUTED_VALUE"""),0.5669238782195685)</f>
        <v>0.5669238782</v>
      </c>
      <c r="AG781" s="30">
        <f>IFERROR(__xludf.DUMMYFUNCTION("""COMPUTED_VALUE"""),1.2265271180824036)</f>
        <v>1.226527118</v>
      </c>
      <c r="AH781" s="30">
        <f>IFERROR(__xludf.DUMMYFUNCTION("""COMPUTED_VALUE"""),0.2674749729083544)</f>
        <v>0.2674749729</v>
      </c>
      <c r="AI781" s="30">
        <f>IFERROR(__xludf.DUMMYFUNCTION("""COMPUTED_VALUE"""),1.0402233933739655)</f>
        <v>1.040223393</v>
      </c>
      <c r="AJ781" s="30">
        <f>IFERROR(__xludf.DUMMYFUNCTION("""COMPUTED_VALUE"""),1.3929006763991532)</f>
        <v>1.392900676</v>
      </c>
      <c r="AK781" s="30">
        <f>IFERROR(__xludf.DUMMYFUNCTION("""COMPUTED_VALUE"""),1.1057447961722744)</f>
        <v>1.105744796</v>
      </c>
      <c r="AL781" s="30">
        <f>IFERROR(__xludf.DUMMYFUNCTION("""COMPUTED_VALUE"""),0.8611735083387803)</f>
        <v>0.8611735083</v>
      </c>
      <c r="AM781" s="30">
        <f>IFERROR(__xludf.DUMMYFUNCTION("""COMPUTED_VALUE"""),0.9476722843255341)</f>
        <v>0.9476722843</v>
      </c>
      <c r="AN781" s="30">
        <f>IFERROR(__xludf.DUMMYFUNCTION("""COMPUTED_VALUE"""),0.7095927705141212)</f>
        <v>0.7095927705</v>
      </c>
      <c r="AO781" s="30">
        <f>IFERROR(__xludf.DUMMYFUNCTION("""COMPUTED_VALUE"""),0.415170134854224)</f>
        <v>0.4151701349</v>
      </c>
      <c r="AP781" s="30">
        <f>IFERROR(__xludf.DUMMYFUNCTION("""COMPUTED_VALUE"""),0.6194635953782838)</f>
        <v>0.6194635954</v>
      </c>
      <c r="AQ781" s="30">
        <f>IFERROR(__xludf.DUMMYFUNCTION("""COMPUTED_VALUE"""),1.2731226395477084)</f>
        <v>1.27312264</v>
      </c>
      <c r="AR781" s="30">
        <f>IFERROR(__xludf.DUMMYFUNCTION("""COMPUTED_VALUE"""),0.3026475014110128)</f>
        <v>0.3026475014</v>
      </c>
      <c r="AS781" s="30">
        <f>IFERROR(__xludf.DUMMYFUNCTION("""COMPUTED_VALUE"""),3.0)</f>
        <v>3</v>
      </c>
      <c r="AT781" s="30">
        <f>IFERROR(__xludf.DUMMYFUNCTION("""COMPUTED_VALUE"""),0.13776982850528816)</f>
        <v>0.1377698285</v>
      </c>
      <c r="AU781" s="30">
        <f>IFERROR(__xludf.DUMMYFUNCTION("""COMPUTED_VALUE"""),0.9243228802426872)</f>
        <v>0.9243228802</v>
      </c>
      <c r="AV781" s="32">
        <f>IFERROR(__xludf.DUMMYFUNCTION("""COMPUTED_VALUE"""),8.71789083875916)</f>
        <v>8.717890839</v>
      </c>
      <c r="AW781" s="32">
        <f>IFERROR(__xludf.DUMMYFUNCTION("""COMPUTED_VALUE"""),-20.267423995067332)</f>
        <v>-20.267424</v>
      </c>
      <c r="AX781" s="32">
        <f>IFERROR(__xludf.DUMMYFUNCTION("""COMPUTED_VALUE"""),15.837838242976261)</f>
        <v>15.83783824</v>
      </c>
      <c r="AY781" s="32">
        <f>IFERROR(__xludf.DUMMYFUNCTION("""COMPUTED_VALUE"""),-11.642370278757767)</f>
        <v>-11.64237028</v>
      </c>
      <c r="AZ781" s="30">
        <f>IFERROR(__xludf.DUMMYFUNCTION("""COMPUTED_VALUE"""),8.625053716309566)</f>
        <v>8.625053716</v>
      </c>
      <c r="BA781" s="30">
        <f>IFERROR(__xludf.DUMMYFUNCTION("""COMPUTED_VALUE"""),3200.0)</f>
        <v>3200</v>
      </c>
    </row>
    <row r="782">
      <c r="A782" s="71" t="str">
        <f>IFERROR(__xludf.DUMMYFUNCTION("""COMPUTED_VALUE"""),"Contender")</f>
        <v>Contender</v>
      </c>
      <c r="B782" s="71" t="str">
        <f>IFERROR(__xludf.DUMMYFUNCTION("""COMPUTED_VALUE"""),"RSC000323")</f>
        <v>RSC000323</v>
      </c>
      <c r="C782" s="30" t="str">
        <f>IFERROR(__xludf.DUMMYFUNCTION("""COMPUTED_VALUE"""),"Styk75")</f>
        <v>Styk75</v>
      </c>
      <c r="D782" s="30" t="str">
        <f>IFERROR(__xludf.DUMMYFUNCTION("""COMPUTED_VALUE"""),"Legionaries")</f>
        <v>Legionaries</v>
      </c>
      <c r="E782" s="30">
        <f>IFERROR(__xludf.DUMMYFUNCTION("""COMPUTED_VALUE"""),22.0)</f>
        <v>22</v>
      </c>
      <c r="F782" s="30">
        <f>IFERROR(__xludf.DUMMYFUNCTION("""COMPUTED_VALUE"""),4.0)</f>
        <v>4</v>
      </c>
      <c r="G782" s="42">
        <f>IFERROR(__xludf.DUMMYFUNCTION("""COMPUTED_VALUE"""),18.0)</f>
        <v>18</v>
      </c>
      <c r="H782" s="42">
        <f>IFERROR(__xludf.DUMMYFUNCTION("""COMPUTED_VALUE"""),0.18181818181818182)</f>
        <v>0.1818181818</v>
      </c>
      <c r="I782" s="42">
        <f>IFERROR(__xludf.DUMMYFUNCTION("""COMPUTED_VALUE"""),0.30000000000000004)</f>
        <v>0.3</v>
      </c>
      <c r="J782" s="30">
        <f>IFERROR(__xludf.DUMMYFUNCTION("""COMPUTED_VALUE"""),241.13636363636363)</f>
        <v>241.1363636</v>
      </c>
      <c r="K782" s="30">
        <f>IFERROR(__xludf.DUMMYFUNCTION("""COMPUTED_VALUE"""),0.4090909090909091)</f>
        <v>0.4090909091</v>
      </c>
      <c r="L782" s="30">
        <f>IFERROR(__xludf.DUMMYFUNCTION("""COMPUTED_VALUE"""),0.36363636363636365)</f>
        <v>0.3636363636</v>
      </c>
      <c r="M782" s="30">
        <f>IFERROR(__xludf.DUMMYFUNCTION("""COMPUTED_VALUE"""),1.2272727272727273)</f>
        <v>1.227272727</v>
      </c>
      <c r="N782" s="30">
        <f>IFERROR(__xludf.DUMMYFUNCTION("""COMPUTED_VALUE"""),1.3636363636363635)</f>
        <v>1.363636364</v>
      </c>
      <c r="O782" s="30">
        <f>IFERROR(__xludf.DUMMYFUNCTION("""COMPUTED_VALUE"""),362.16666666666663)</f>
        <v>362.1666667</v>
      </c>
      <c r="P782" s="30">
        <f>IFERROR(__xludf.DUMMYFUNCTION("""COMPUTED_VALUE"""),1.0757575757575755)</f>
        <v>1.075757576</v>
      </c>
      <c r="Q782" s="30">
        <f>IFERROR(__xludf.DUMMYFUNCTION("""COMPUTED_VALUE"""),0.6969696969696969)</f>
        <v>0.696969697</v>
      </c>
      <c r="R782" s="30">
        <f>IFERROR(__xludf.DUMMYFUNCTION("""COMPUTED_VALUE"""),1.0000000000000002)</f>
        <v>1</v>
      </c>
      <c r="S782" s="30">
        <f>IFERROR(__xludf.DUMMYFUNCTION("""COMPUTED_VALUE"""),2.848484848484848)</f>
        <v>2.848484848</v>
      </c>
      <c r="T782" s="30">
        <f>IFERROR(__xludf.DUMMYFUNCTION("""COMPUTED_VALUE"""),345.99692931716527)</f>
        <v>345.9969293</v>
      </c>
      <c r="U782" s="30">
        <f>IFERROR(__xludf.DUMMYFUNCTION("""COMPUTED_VALUE"""),0.9120455836121764)</f>
        <v>0.9120455836</v>
      </c>
      <c r="V782" s="30">
        <f>IFERROR(__xludf.DUMMYFUNCTION("""COMPUTED_VALUE"""),0.6047358043866807)</f>
        <v>0.6047358044</v>
      </c>
      <c r="W782" s="30">
        <f>IFERROR(__xludf.DUMMYFUNCTION("""COMPUTED_VALUE"""),1.0909982584461493)</f>
        <v>1.090998258</v>
      </c>
      <c r="X782" s="30">
        <f>IFERROR(__xludf.DUMMYFUNCTION("""COMPUTED_VALUE"""),2.4725404613056607)</f>
        <v>2.472540461</v>
      </c>
      <c r="Y782" s="30">
        <f>IFERROR(__xludf.DUMMYFUNCTION("""COMPUTED_VALUE"""),323.42519180757193)</f>
        <v>323.4251918</v>
      </c>
      <c r="Z782" s="30">
        <f>IFERROR(__xludf.DUMMYFUNCTION("""COMPUTED_VALUE"""),0.7734460556862732)</f>
        <v>0.7734460557</v>
      </c>
      <c r="AA782" s="30">
        <f>IFERROR(__xludf.DUMMYFUNCTION("""COMPUTED_VALUE"""),0.5153591001960135)</f>
        <v>0.5153591002</v>
      </c>
      <c r="AB782" s="30">
        <f>IFERROR(__xludf.DUMMYFUNCTION("""COMPUTED_VALUE"""),1.1415333602261455)</f>
        <v>1.14153336</v>
      </c>
      <c r="AC782" s="30">
        <f>IFERROR(__xludf.DUMMYFUNCTION("""COMPUTED_VALUE"""),2.2061533468327217)</f>
        <v>2.206153347</v>
      </c>
      <c r="AD782" s="30">
        <f>IFERROR(__xludf.DUMMYFUNCTION("""COMPUTED_VALUE"""),0.7455707525090759)</f>
        <v>0.7455707525</v>
      </c>
      <c r="AE782" s="30">
        <f>IFERROR(__xludf.DUMMYFUNCTION("""COMPUTED_VALUE"""),0.5289197689784915)</f>
        <v>0.528919769</v>
      </c>
      <c r="AF782" s="30">
        <f>IFERROR(__xludf.DUMMYFUNCTION("""COMPUTED_VALUE"""),0.705598025722369)</f>
        <v>0.7055980257</v>
      </c>
      <c r="AG782" s="30">
        <f>IFERROR(__xludf.DUMMYFUNCTION("""COMPUTED_VALUE"""),1.0751089455936673)</f>
        <v>1.075108946</v>
      </c>
      <c r="AH782" s="30">
        <f>IFERROR(__xludf.DUMMYFUNCTION("""COMPUTED_VALUE"""),0.618105883525312)</f>
        <v>0.6181058835</v>
      </c>
      <c r="AI782" s="30">
        <f>IFERROR(__xludf.DUMMYFUNCTION("""COMPUTED_VALUE"""),1.0467337596938007)</f>
        <v>1.04673376</v>
      </c>
      <c r="AJ782" s="30">
        <f>IFERROR(__xludf.DUMMYFUNCTION("""COMPUTED_VALUE"""),1.1794997915531964)</f>
        <v>1.179499792</v>
      </c>
      <c r="AK782" s="30">
        <f>IFERROR(__xludf.DUMMYFUNCTION("""COMPUTED_VALUE"""),1.152519318211296)</f>
        <v>1.152519318</v>
      </c>
      <c r="AL782" s="30">
        <f>IFERROR(__xludf.DUMMYFUNCTION("""COMPUTED_VALUE"""),0.9165917472904558)</f>
        <v>0.9165917473</v>
      </c>
      <c r="AM782" s="30">
        <f>IFERROR(__xludf.DUMMYFUNCTION("""COMPUTED_VALUE"""),1.1520478200711282)</f>
        <v>1.15204782</v>
      </c>
      <c r="AN782" s="30">
        <f>IFERROR(__xludf.DUMMYFUNCTION("""COMPUTED_VALUE"""),0.758236131511497)</f>
        <v>0.7582361315</v>
      </c>
      <c r="AO782" s="30">
        <f>IFERROR(__xludf.DUMMYFUNCTION("""COMPUTED_VALUE"""),0.5095269836847295)</f>
        <v>0.5095269837</v>
      </c>
      <c r="AP782" s="30">
        <f>IFERROR(__xludf.DUMMYFUNCTION("""COMPUTED_VALUE"""),0.6757784676854005)</f>
        <v>0.6757784677</v>
      </c>
      <c r="AQ782" s="30">
        <f>IFERROR(__xludf.DUMMYFUNCTION("""COMPUTED_VALUE"""),1.1718515204927773)</f>
        <v>1.17185152</v>
      </c>
      <c r="AR782" s="30">
        <f>IFERROR(__xludf.DUMMYFUNCTION("""COMPUTED_VALUE"""),0.6190517074316171)</f>
        <v>0.6190517074</v>
      </c>
      <c r="AS782" s="30">
        <f>IFERROR(__xludf.DUMMYFUNCTION("""COMPUTED_VALUE"""),38.0)</f>
        <v>38</v>
      </c>
      <c r="AT782" s="30">
        <f>IFERROR(__xludf.DUMMYFUNCTION("""COMPUTED_VALUE"""),0.2710129050163235)</f>
        <v>0.271012905</v>
      </c>
      <c r="AU782" s="30">
        <f>IFERROR(__xludf.DUMMYFUNCTION("""COMPUTED_VALUE"""),1.7530051215700664)</f>
        <v>1.753005122</v>
      </c>
      <c r="AV782" s="32">
        <f>IFERROR(__xludf.DUMMYFUNCTION("""COMPUTED_VALUE"""),20.70224084142608)</f>
        <v>20.70224084</v>
      </c>
      <c r="AW782" s="32">
        <f>IFERROR(__xludf.DUMMYFUNCTION("""COMPUTED_VALUE"""),-8.290738122969474)</f>
        <v>-8.290738123</v>
      </c>
      <c r="AX782" s="32">
        <f>IFERROR(__xludf.DUMMYFUNCTION("""COMPUTED_VALUE"""),11.150487667944368)</f>
        <v>11.15048767</v>
      </c>
      <c r="AY782" s="32">
        <f>IFERROR(__xludf.DUMMYFUNCTION("""COMPUTED_VALUE"""),-16.640448297064253)</f>
        <v>-16.6404483</v>
      </c>
      <c r="AZ782" s="30">
        <f>IFERROR(__xludf.DUMMYFUNCTION("""COMPUTED_VALUE"""),8.34971017409478)</f>
        <v>8.349710174</v>
      </c>
      <c r="BA782" s="30">
        <f>IFERROR(__xludf.DUMMYFUNCTION("""COMPUTED_VALUE"""),3200.0)</f>
        <v>3200</v>
      </c>
    </row>
    <row r="783">
      <c r="A783" s="71" t="str">
        <f>IFERROR(__xludf.DUMMYFUNCTION("""COMPUTED_VALUE"""),"Contender")</f>
        <v>Contender</v>
      </c>
      <c r="B783" s="71" t="str">
        <f>IFERROR(__xludf.DUMMYFUNCTION("""COMPUTED_VALUE"""),"RSC004708")</f>
        <v>RSC004708</v>
      </c>
      <c r="C783" s="30" t="str">
        <f>IFERROR(__xludf.DUMMYFUNCTION("""COMPUTED_VALUE"""),"loganskito")</f>
        <v>loganskito</v>
      </c>
      <c r="D783" s="30"/>
      <c r="E783" s="30">
        <f>IFERROR(__xludf.DUMMYFUNCTION("""COMPUTED_VALUE"""),14.0)</f>
        <v>14</v>
      </c>
      <c r="F783" s="30">
        <f>IFERROR(__xludf.DUMMYFUNCTION("""COMPUTED_VALUE"""),5.0)</f>
        <v>5</v>
      </c>
      <c r="G783" s="42">
        <f>IFERROR(__xludf.DUMMYFUNCTION("""COMPUTED_VALUE"""),9.0)</f>
        <v>9</v>
      </c>
      <c r="H783" s="42">
        <f>IFERROR(__xludf.DUMMYFUNCTION("""COMPUTED_VALUE"""),0.35714285714285715)</f>
        <v>0.3571428571</v>
      </c>
      <c r="I783" s="42">
        <f>IFERROR(__xludf.DUMMYFUNCTION("""COMPUTED_VALUE"""),0.30952380952380953)</f>
        <v>0.3095238095</v>
      </c>
      <c r="J783" s="30">
        <f>IFERROR(__xludf.DUMMYFUNCTION("""COMPUTED_VALUE"""),354.0)</f>
        <v>354</v>
      </c>
      <c r="K783" s="30">
        <f>IFERROR(__xludf.DUMMYFUNCTION("""COMPUTED_VALUE"""),0.9285714285714286)</f>
        <v>0.9285714286</v>
      </c>
      <c r="L783" s="30">
        <f>IFERROR(__xludf.DUMMYFUNCTION("""COMPUTED_VALUE"""),0.5714285714285714)</f>
        <v>0.5714285714</v>
      </c>
      <c r="M783" s="30">
        <f>IFERROR(__xludf.DUMMYFUNCTION("""COMPUTED_VALUE"""),1.3571428571428572)</f>
        <v>1.357142857</v>
      </c>
      <c r="N783" s="30">
        <f>IFERROR(__xludf.DUMMYFUNCTION("""COMPUTED_VALUE"""),3.0)</f>
        <v>3</v>
      </c>
      <c r="O783" s="30">
        <f>IFERROR(__xludf.DUMMYFUNCTION("""COMPUTED_VALUE"""),362.4047619047619)</f>
        <v>362.4047619</v>
      </c>
      <c r="P783" s="30">
        <f>IFERROR(__xludf.DUMMYFUNCTION("""COMPUTED_VALUE"""),0.9047619047619048)</f>
        <v>0.9047619048</v>
      </c>
      <c r="Q783" s="30">
        <f>IFERROR(__xludf.DUMMYFUNCTION("""COMPUTED_VALUE"""),0.5952380952380952)</f>
        <v>0.5952380952</v>
      </c>
      <c r="R783" s="30">
        <f>IFERROR(__xludf.DUMMYFUNCTION("""COMPUTED_VALUE"""),1.2142857142857142)</f>
        <v>1.214285714</v>
      </c>
      <c r="S783" s="30">
        <f>IFERROR(__xludf.DUMMYFUNCTION("""COMPUTED_VALUE"""),2.880952380952381)</f>
        <v>2.880952381</v>
      </c>
      <c r="T783" s="30">
        <f>IFERROR(__xludf.DUMMYFUNCTION("""COMPUTED_VALUE"""),347.77100059908446)</f>
        <v>347.7710006</v>
      </c>
      <c r="U783" s="30">
        <f>IFERROR(__xludf.DUMMYFUNCTION("""COMPUTED_VALUE"""),0.9548550376523083)</f>
        <v>0.9548550377</v>
      </c>
      <c r="V783" s="30">
        <f>IFERROR(__xludf.DUMMYFUNCTION("""COMPUTED_VALUE"""),0.6559052678593051)</f>
        <v>0.6559052679</v>
      </c>
      <c r="W783" s="30">
        <f>IFERROR(__xludf.DUMMYFUNCTION("""COMPUTED_VALUE"""),1.0031771046891202)</f>
        <v>1.003177105</v>
      </c>
      <c r="X783" s="30">
        <f>IFERROR(__xludf.DUMMYFUNCTION("""COMPUTED_VALUE"""),2.5983334953403636)</f>
        <v>2.598333495</v>
      </c>
      <c r="Y783" s="30">
        <f>IFERROR(__xludf.DUMMYFUNCTION("""COMPUTED_VALUE"""),316.78713944081255)</f>
        <v>316.7871394</v>
      </c>
      <c r="Z783" s="30">
        <f>IFERROR(__xludf.DUMMYFUNCTION("""COMPUTED_VALUE"""),0.7449549841473928)</f>
        <v>0.7449549841</v>
      </c>
      <c r="AA783" s="30">
        <f>IFERROR(__xludf.DUMMYFUNCTION("""COMPUTED_VALUE"""),0.4824250914554659)</f>
        <v>0.4824250915</v>
      </c>
      <c r="AB783" s="30">
        <f>IFERROR(__xludf.DUMMYFUNCTION("""COMPUTED_VALUE"""),1.1412772178896653)</f>
        <v>1.141277218</v>
      </c>
      <c r="AC783" s="30">
        <f>IFERROR(__xludf.DUMMYFUNCTION("""COMPUTED_VALUE"""),2.0861641480079074)</f>
        <v>2.086164148</v>
      </c>
      <c r="AD783" s="30">
        <f>IFERROR(__xludf.DUMMYFUNCTION("""COMPUTED_VALUE"""),1.1174696063257965)</f>
        <v>1.117469606</v>
      </c>
      <c r="AE783" s="30">
        <f>IFERROR(__xludf.DUMMYFUNCTION("""COMPUTED_VALUE"""),1.2464799193661162)</f>
        <v>1.246479919</v>
      </c>
      <c r="AF783" s="30">
        <f>IFERROR(__xludf.DUMMYFUNCTION("""COMPUTED_VALUE"""),1.1844918134431688)</f>
        <v>1.184491813</v>
      </c>
      <c r="AG783" s="30">
        <f>IFERROR(__xludf.DUMMYFUNCTION("""COMPUTED_VALUE"""),1.1891439133888513)</f>
        <v>1.189143913</v>
      </c>
      <c r="AH783" s="30">
        <f>IFERROR(__xludf.DUMMYFUNCTION("""COMPUTED_VALUE"""),1.4380459959800962)</f>
        <v>1.438045996</v>
      </c>
      <c r="AI783" s="30">
        <f>IFERROR(__xludf.DUMMYFUNCTION("""COMPUTED_VALUE"""),1.0420787278998789)</f>
        <v>1.042078728</v>
      </c>
      <c r="AJ783" s="30">
        <f>IFERROR(__xludf.DUMMYFUNCTION("""COMPUTED_VALUE"""),0.9475384944152707)</f>
        <v>0.9475384944</v>
      </c>
      <c r="AK783" s="30">
        <f>IFERROR(__xludf.DUMMYFUNCTION("""COMPUTED_VALUE"""),0.9075061970165129)</f>
        <v>0.907506197</v>
      </c>
      <c r="AL783" s="30">
        <f>IFERROR(__xludf.DUMMYFUNCTION("""COMPUTED_VALUE"""),1.2104400196234697)</f>
        <v>1.21044002</v>
      </c>
      <c r="AM783" s="30">
        <f>IFERROR(__xludf.DUMMYFUNCTION("""COMPUTED_VALUE"""),1.108769288514674)</f>
        <v>1.108769289</v>
      </c>
      <c r="AN783" s="30">
        <f>IFERROR(__xludf.DUMMYFUNCTION("""COMPUTED_VALUE"""),1.113127802490394)</f>
        <v>1.113127802</v>
      </c>
      <c r="AO783" s="30">
        <f>IFERROR(__xludf.DUMMYFUNCTION("""COMPUTED_VALUE"""),1.1565453756653383)</f>
        <v>1.156545376</v>
      </c>
      <c r="AP783" s="30">
        <f>IFERROR(__xludf.DUMMYFUNCTION("""COMPUTED_VALUE"""),1.0619375920770577)</f>
        <v>1.061937592</v>
      </c>
      <c r="AQ783" s="30">
        <f>IFERROR(__xludf.DUMMYFUNCTION("""COMPUTED_VALUE"""),1.2958569723967748)</f>
        <v>1.295856972</v>
      </c>
      <c r="AR783" s="30">
        <f>IFERROR(__xludf.DUMMYFUNCTION("""COMPUTED_VALUE"""),1.3619137563495576)</f>
        <v>1.361913756</v>
      </c>
      <c r="AS783" s="30">
        <f>IFERROR(__xludf.DUMMYFUNCTION("""COMPUTED_VALUE"""),36.0)</f>
        <v>36</v>
      </c>
      <c r="AT783" s="30">
        <f>IFERROR(__xludf.DUMMYFUNCTION("""COMPUTED_VALUE"""),0.4782163920949985)</f>
        <v>0.4782163921</v>
      </c>
      <c r="AU783" s="30">
        <f>IFERROR(__xludf.DUMMYFUNCTION("""COMPUTED_VALUE"""),5.0305770562738985)</f>
        <v>5.030577056</v>
      </c>
      <c r="AV783" s="32">
        <f>IFERROR(__xludf.DUMMYFUNCTION("""COMPUTED_VALUE"""),68.10227823270776)</f>
        <v>68.10227823</v>
      </c>
      <c r="AW783" s="32">
        <f>IFERROR(__xludf.DUMMYFUNCTION("""COMPUTED_VALUE"""),4.26430330852668)</f>
        <v>4.264303309</v>
      </c>
      <c r="AX783" s="32">
        <f>IFERROR(__xludf.DUMMYFUNCTION("""COMPUTED_VALUE"""),46.55679305699659)</f>
        <v>46.55679306</v>
      </c>
      <c r="AY783" s="32">
        <f>IFERROR(__xludf.DUMMYFUNCTION("""COMPUTED_VALUE"""),-2.246042324668413)</f>
        <v>-2.246042325</v>
      </c>
      <c r="AZ783" s="30">
        <f>IFERROR(__xludf.DUMMYFUNCTION("""COMPUTED_VALUE"""),6.510345633195093)</f>
        <v>6.510345633</v>
      </c>
      <c r="BA783" s="30">
        <f>IFERROR(__xludf.DUMMYFUNCTION("""COMPUTED_VALUE"""),3200.0)</f>
        <v>3200</v>
      </c>
    </row>
    <row r="784">
      <c r="A784" s="71" t="str">
        <f>IFERROR(__xludf.DUMMYFUNCTION("""COMPUTED_VALUE"""),"Contender")</f>
        <v>Contender</v>
      </c>
      <c r="B784" s="71" t="str">
        <f>IFERROR(__xludf.DUMMYFUNCTION("""COMPUTED_VALUE"""),"RSC007203")</f>
        <v>RSC007203</v>
      </c>
      <c r="C784" s="30" t="str">
        <f>IFERROR(__xludf.DUMMYFUNCTION("""COMPUTED_VALUE"""),"CoachJimmy_TECT")</f>
        <v>CoachJimmy_TECT</v>
      </c>
      <c r="D784" s="30" t="str">
        <f>IFERROR(__xludf.DUMMYFUNCTION("""COMPUTED_VALUE"""),"Celestial Cider")</f>
        <v>Celestial Cider</v>
      </c>
      <c r="E784" s="30">
        <f>IFERROR(__xludf.DUMMYFUNCTION("""COMPUTED_VALUE"""),37.0)</f>
        <v>37</v>
      </c>
      <c r="F784" s="30">
        <f>IFERROR(__xludf.DUMMYFUNCTION("""COMPUTED_VALUE"""),16.0)</f>
        <v>16</v>
      </c>
      <c r="G784" s="42">
        <f>IFERROR(__xludf.DUMMYFUNCTION("""COMPUTED_VALUE"""),21.0)</f>
        <v>21</v>
      </c>
      <c r="H784" s="42">
        <f>IFERROR(__xludf.DUMMYFUNCTION("""COMPUTED_VALUE"""),0.43243243243243246)</f>
        <v>0.4324324324</v>
      </c>
      <c r="I784" s="42">
        <f>IFERROR(__xludf.DUMMYFUNCTION("""COMPUTED_VALUE"""),0.2727272727272727)</f>
        <v>0.2727272727</v>
      </c>
      <c r="J784" s="30">
        <f>IFERROR(__xludf.DUMMYFUNCTION("""COMPUTED_VALUE"""),355.5945945945946)</f>
        <v>355.5945946</v>
      </c>
      <c r="K784" s="30">
        <f>IFERROR(__xludf.DUMMYFUNCTION("""COMPUTED_VALUE"""),0.6486486486486487)</f>
        <v>0.6486486486</v>
      </c>
      <c r="L784" s="30">
        <f>IFERROR(__xludf.DUMMYFUNCTION("""COMPUTED_VALUE"""),0.4864864864864865)</f>
        <v>0.4864864865</v>
      </c>
      <c r="M784" s="30">
        <f>IFERROR(__xludf.DUMMYFUNCTION("""COMPUTED_VALUE"""),1.5405405405405406)</f>
        <v>1.540540541</v>
      </c>
      <c r="N784" s="30">
        <f>IFERROR(__xludf.DUMMYFUNCTION("""COMPUTED_VALUE"""),2.3783783783783785)</f>
        <v>2.378378378</v>
      </c>
      <c r="O784" s="30">
        <f>IFERROR(__xludf.DUMMYFUNCTION("""COMPUTED_VALUE"""),320.1801801801803)</f>
        <v>320.1801802</v>
      </c>
      <c r="P784" s="30">
        <f>IFERROR(__xludf.DUMMYFUNCTION("""COMPUTED_VALUE"""),0.8288288288288288)</f>
        <v>0.8288288288</v>
      </c>
      <c r="Q784" s="30">
        <f>IFERROR(__xludf.DUMMYFUNCTION("""COMPUTED_VALUE"""),0.5765765765765766)</f>
        <v>0.5765765766</v>
      </c>
      <c r="R784" s="30">
        <f>IFERROR(__xludf.DUMMYFUNCTION("""COMPUTED_VALUE"""),0.9639639639639637)</f>
        <v>0.963963964</v>
      </c>
      <c r="S784" s="30">
        <f>IFERROR(__xludf.DUMMYFUNCTION("""COMPUTED_VALUE"""),2.324324324324324)</f>
        <v>2.324324324</v>
      </c>
      <c r="T784" s="30">
        <f>IFERROR(__xludf.DUMMYFUNCTION("""COMPUTED_VALUE"""),321.91790971014217)</f>
        <v>321.9179097</v>
      </c>
      <c r="U784" s="30">
        <f>IFERROR(__xludf.DUMMYFUNCTION("""COMPUTED_VALUE"""),0.8018605245149045)</f>
        <v>0.8018605245</v>
      </c>
      <c r="V784" s="30">
        <f>IFERROR(__xludf.DUMMYFUNCTION("""COMPUTED_VALUE"""),0.5102595836269946)</f>
        <v>0.5102595836</v>
      </c>
      <c r="W784" s="30">
        <f>IFERROR(__xludf.DUMMYFUNCTION("""COMPUTED_VALUE"""),1.0651832488316555)</f>
        <v>1.065183249</v>
      </c>
      <c r="X784" s="30">
        <f>IFERROR(__xludf.DUMMYFUNCTION("""COMPUTED_VALUE"""),2.224117694641589)</f>
        <v>2.224117695</v>
      </c>
      <c r="Y784" s="30">
        <f>IFERROR(__xludf.DUMMYFUNCTION("""COMPUTED_VALUE"""),334.3765514117591)</f>
        <v>334.3765514</v>
      </c>
      <c r="Z784" s="30">
        <f>IFERROR(__xludf.DUMMYFUNCTION("""COMPUTED_VALUE"""),0.8721547918252324)</f>
        <v>0.8721547918</v>
      </c>
      <c r="AA784" s="30">
        <f>IFERROR(__xludf.DUMMYFUNCTION("""COMPUTED_VALUE"""),0.5736126890883855)</f>
        <v>0.5736126891</v>
      </c>
      <c r="AB784" s="30">
        <f>IFERROR(__xludf.DUMMYFUNCTION("""COMPUTED_VALUE"""),1.0570177887570387)</f>
        <v>1.057017789</v>
      </c>
      <c r="AC784" s="30">
        <f>IFERROR(__xludf.DUMMYFUNCTION("""COMPUTED_VALUE"""),2.353937089499433)</f>
        <v>2.353937089</v>
      </c>
      <c r="AD784" s="30">
        <f>IFERROR(__xludf.DUMMYFUNCTION("""COMPUTED_VALUE"""),1.0634555356625681)</f>
        <v>1.063455536</v>
      </c>
      <c r="AE784" s="30">
        <f>IFERROR(__xludf.DUMMYFUNCTION("""COMPUTED_VALUE"""),0.7437311068269964)</f>
        <v>0.7437311068</v>
      </c>
      <c r="AF784" s="30">
        <f>IFERROR(__xludf.DUMMYFUNCTION("""COMPUTED_VALUE"""),0.8481097014426854)</f>
        <v>0.8481097014</v>
      </c>
      <c r="AG784" s="30">
        <f>IFERROR(__xludf.DUMMYFUNCTION("""COMPUTED_VALUE"""),1.4574405056627124)</f>
        <v>1.457440506</v>
      </c>
      <c r="AH784" s="30">
        <f>IFERROR(__xludf.DUMMYFUNCTION("""COMPUTED_VALUE"""),1.01038315296869)</f>
        <v>1.010383153</v>
      </c>
      <c r="AI784" s="30">
        <f>IFERROR(__xludf.DUMMYFUNCTION("""COMPUTED_VALUE"""),0.9946019482683441)</f>
        <v>0.9946019483</v>
      </c>
      <c r="AJ784" s="30">
        <f>IFERROR(__xludf.DUMMYFUNCTION("""COMPUTED_VALUE"""),1.0336321635614112)</f>
        <v>1.033632164</v>
      </c>
      <c r="AK784" s="30">
        <f>IFERROR(__xludf.DUMMYFUNCTION("""COMPUTED_VALUE"""),1.1299671678446326)</f>
        <v>1.129967168</v>
      </c>
      <c r="AL784" s="30">
        <f>IFERROR(__xludf.DUMMYFUNCTION("""COMPUTED_VALUE"""),0.9049747684459796)</f>
        <v>0.9049747684</v>
      </c>
      <c r="AM784" s="30">
        <f>IFERROR(__xludf.DUMMYFUNCTION("""COMPUTED_VALUE"""),1.0450545535086369)</f>
        <v>1.045054554</v>
      </c>
      <c r="AN784" s="30">
        <f>IFERROR(__xludf.DUMMYFUNCTION("""COMPUTED_VALUE"""),1.118141891690801)</f>
        <v>1.118141892</v>
      </c>
      <c r="AO784" s="30">
        <f>IFERROR(__xludf.DUMMYFUNCTION("""COMPUTED_VALUE"""),0.807898640797409)</f>
        <v>0.8078986408</v>
      </c>
      <c r="AP784" s="30">
        <f>IFERROR(__xludf.DUMMYFUNCTION("""COMPUTED_VALUE"""),0.9040820040656034)</f>
        <v>0.9040820041</v>
      </c>
      <c r="AQ784" s="30">
        <f>IFERROR(__xludf.DUMMYFUNCTION("""COMPUTED_VALUE"""),1.4709727794774201)</f>
        <v>1.470972779</v>
      </c>
      <c r="AR784" s="30">
        <f>IFERROR(__xludf.DUMMYFUNCTION("""COMPUTED_VALUE"""),1.079715410439289)</f>
        <v>1.07971541</v>
      </c>
      <c r="AS784" s="30">
        <f>IFERROR(__xludf.DUMMYFUNCTION("""COMPUTED_VALUE"""),81.0)</f>
        <v>81</v>
      </c>
      <c r="AT784" s="30">
        <f>IFERROR(__xludf.DUMMYFUNCTION("""COMPUTED_VALUE"""),0.4505997575478827)</f>
        <v>0.4505997575</v>
      </c>
      <c r="AU784" s="30">
        <f>IFERROR(__xludf.DUMMYFUNCTION("""COMPUTED_VALUE"""),3.5288645879809946)</f>
        <v>3.528864588</v>
      </c>
      <c r="AV784" s="32">
        <f>IFERROR(__xludf.DUMMYFUNCTION("""COMPUTED_VALUE"""),46.38460778454729)</f>
        <v>46.38460778</v>
      </c>
      <c r="AW784" s="32">
        <f>IFERROR(__xludf.DUMMYFUNCTION("""COMPUTED_VALUE"""),-2.259850465712603)</f>
        <v>-2.259850466</v>
      </c>
      <c r="AX784" s="32">
        <f>IFERROR(__xludf.DUMMYFUNCTION("""COMPUTED_VALUE"""),59.54313892910422)</f>
        <v>59.54313893</v>
      </c>
      <c r="AY784" s="32">
        <f>IFERROR(__xludf.DUMMYFUNCTION("""COMPUTED_VALUE"""),2.846306799740842)</f>
        <v>2.8463068</v>
      </c>
      <c r="AZ784" s="30">
        <f>IFERROR(__xludf.DUMMYFUNCTION("""COMPUTED_VALUE"""),5.1061572654534455)</f>
        <v>5.106157265</v>
      </c>
      <c r="BA784" s="30">
        <f>IFERROR(__xludf.DUMMYFUNCTION("""COMPUTED_VALUE"""),3200.0)</f>
        <v>3200</v>
      </c>
    </row>
    <row r="785">
      <c r="A785" s="71" t="str">
        <f>IFERROR(__xludf.DUMMYFUNCTION("""COMPUTED_VALUE"""),"Contender")</f>
        <v>Contender</v>
      </c>
      <c r="B785" s="71" t="str">
        <f>IFERROR(__xludf.DUMMYFUNCTION("""COMPUTED_VALUE"""),"RSC001262")</f>
        <v>RSC001262</v>
      </c>
      <c r="C785" s="30" t="str">
        <f>IFERROR(__xludf.DUMMYFUNCTION("""COMPUTED_VALUE"""),"droogin01")</f>
        <v>droogin01</v>
      </c>
      <c r="D785" s="30" t="str">
        <f>IFERROR(__xludf.DUMMYFUNCTION("""COMPUTED_VALUE"""),"Zebras")</f>
        <v>Zebras</v>
      </c>
      <c r="E785" s="30">
        <f>IFERROR(__xludf.DUMMYFUNCTION("""COMPUTED_VALUE"""),40.0)</f>
        <v>40</v>
      </c>
      <c r="F785" s="30">
        <f>IFERROR(__xludf.DUMMYFUNCTION("""COMPUTED_VALUE"""),13.0)</f>
        <v>13</v>
      </c>
      <c r="G785" s="42">
        <f>IFERROR(__xludf.DUMMYFUNCTION("""COMPUTED_VALUE"""),27.0)</f>
        <v>27</v>
      </c>
      <c r="H785" s="42">
        <f>IFERROR(__xludf.DUMMYFUNCTION("""COMPUTED_VALUE"""),0.325)</f>
        <v>0.325</v>
      </c>
      <c r="I785" s="42">
        <f>IFERROR(__xludf.DUMMYFUNCTION("""COMPUTED_VALUE"""),0.25287356321839083)</f>
        <v>0.2528735632</v>
      </c>
      <c r="J785" s="30">
        <f>IFERROR(__xludf.DUMMYFUNCTION("""COMPUTED_VALUE"""),325.775)</f>
        <v>325.775</v>
      </c>
      <c r="K785" s="30">
        <f>IFERROR(__xludf.DUMMYFUNCTION("""COMPUTED_VALUE"""),0.55)</f>
        <v>0.55</v>
      </c>
      <c r="L785" s="30">
        <f>IFERROR(__xludf.DUMMYFUNCTION("""COMPUTED_VALUE"""),0.55)</f>
        <v>0.55</v>
      </c>
      <c r="M785" s="30">
        <f>IFERROR(__xludf.DUMMYFUNCTION("""COMPUTED_VALUE"""),1.35)</f>
        <v>1.35</v>
      </c>
      <c r="N785" s="30">
        <f>IFERROR(__xludf.DUMMYFUNCTION("""COMPUTED_VALUE"""),2.175)</f>
        <v>2.175</v>
      </c>
      <c r="O785" s="30">
        <f>IFERROR(__xludf.DUMMYFUNCTION("""COMPUTED_VALUE"""),349.31666666666666)</f>
        <v>349.3166667</v>
      </c>
      <c r="P785" s="30">
        <f>IFERROR(__xludf.DUMMYFUNCTION("""COMPUTED_VALUE"""),1.0166666666666666)</f>
        <v>1.016666667</v>
      </c>
      <c r="Q785" s="30">
        <f>IFERROR(__xludf.DUMMYFUNCTION("""COMPUTED_VALUE"""),0.6249999999999999)</f>
        <v>0.625</v>
      </c>
      <c r="R785" s="30">
        <f>IFERROR(__xludf.DUMMYFUNCTION("""COMPUTED_VALUE"""),1.025)</f>
        <v>1.025</v>
      </c>
      <c r="S785" s="30">
        <f>IFERROR(__xludf.DUMMYFUNCTION("""COMPUTED_VALUE"""),2.408333333333334)</f>
        <v>2.408333333</v>
      </c>
      <c r="T785" s="30">
        <f>IFERROR(__xludf.DUMMYFUNCTION("""COMPUTED_VALUE"""),338.54924199207585)</f>
        <v>338.549242</v>
      </c>
      <c r="U785" s="30">
        <f>IFERROR(__xludf.DUMMYFUNCTION("""COMPUTED_VALUE"""),0.9088866604265495)</f>
        <v>0.9088866604</v>
      </c>
      <c r="V785" s="30">
        <f>IFERROR(__xludf.DUMMYFUNCTION("""COMPUTED_VALUE"""),0.5943030469441923)</f>
        <v>0.5943030469</v>
      </c>
      <c r="W785" s="30">
        <f>IFERROR(__xludf.DUMMYFUNCTION("""COMPUTED_VALUE"""),1.0395323138717707)</f>
        <v>1.039532314</v>
      </c>
      <c r="X785" s="30">
        <f>IFERROR(__xludf.DUMMYFUNCTION("""COMPUTED_VALUE"""),2.4371176480063865)</f>
        <v>2.437117648</v>
      </c>
      <c r="Y785" s="30">
        <f>IFERROR(__xludf.DUMMYFUNCTION("""COMPUTED_VALUE"""),326.33209528879996)</f>
        <v>326.3320953</v>
      </c>
      <c r="Z785" s="30">
        <f>IFERROR(__xludf.DUMMYFUNCTION("""COMPUTED_VALUE"""),0.7876883622187547)</f>
        <v>0.7876883622</v>
      </c>
      <c r="AA785" s="30">
        <f>IFERROR(__xludf.DUMMYFUNCTION("""COMPUTED_VALUE"""),0.5299154121900942)</f>
        <v>0.5299154122</v>
      </c>
      <c r="AB785" s="30">
        <f>IFERROR(__xludf.DUMMYFUNCTION("""COMPUTED_VALUE"""),1.130669560426219)</f>
        <v>1.13066956</v>
      </c>
      <c r="AC785" s="30">
        <f>IFERROR(__xludf.DUMMYFUNCTION("""COMPUTED_VALUE"""),2.244467133800097)</f>
        <v>2.244467134</v>
      </c>
      <c r="AD785" s="30">
        <f>IFERROR(__xludf.DUMMYFUNCTION("""COMPUTED_VALUE"""),0.9982928578069927)</f>
        <v>0.9982928578</v>
      </c>
      <c r="AE785" s="30">
        <f>IFERROR(__xludf.DUMMYFUNCTION("""COMPUTED_VALUE"""),0.698245684944188)</f>
        <v>0.6982456849</v>
      </c>
      <c r="AF785" s="30">
        <f>IFERROR(__xludf.DUMMYFUNCTION("""COMPUTED_VALUE"""),1.0379014977633845)</f>
        <v>1.037901498</v>
      </c>
      <c r="AG785" s="30">
        <f>IFERROR(__xludf.DUMMYFUNCTION("""COMPUTED_VALUE"""),1.1939827932496052)</f>
        <v>1.193982793</v>
      </c>
      <c r="AH785" s="30">
        <f>IFERROR(__xludf.DUMMYFUNCTION("""COMPUTED_VALUE"""),0.969049609702913)</f>
        <v>0.9690496097</v>
      </c>
      <c r="AI785" s="30">
        <f>IFERROR(__xludf.DUMMYFUNCTION("""COMPUTED_VALUE"""),1.0318046042910438)</f>
        <v>1.031804604</v>
      </c>
      <c r="AJ785" s="30">
        <f>IFERROR(__xludf.DUMMYFUNCTION("""COMPUTED_VALUE"""),1.118584649696074)</f>
        <v>1.11858465</v>
      </c>
      <c r="AK785" s="30">
        <f>IFERROR(__xludf.DUMMYFUNCTION("""COMPUTED_VALUE"""),1.0516520203179947)</f>
        <v>1.05165202</v>
      </c>
      <c r="AL785" s="30">
        <f>IFERROR(__xludf.DUMMYFUNCTION("""COMPUTED_VALUE"""),0.9860203346467945)</f>
        <v>0.9860203346</v>
      </c>
      <c r="AM785" s="30">
        <f>IFERROR(__xludf.DUMMYFUNCTION("""COMPUTED_VALUE"""),0.9881891977202666)</f>
        <v>0.9881891977</v>
      </c>
      <c r="AN785" s="30">
        <f>IFERROR(__xludf.DUMMYFUNCTION("""COMPUTED_VALUE"""),1.0243762990291188)</f>
        <v>1.024376299</v>
      </c>
      <c r="AO785" s="30">
        <f>IFERROR(__xludf.DUMMYFUNCTION("""COMPUTED_VALUE"""),0.6850307225094697)</f>
        <v>0.6850307225</v>
      </c>
      <c r="AP785" s="30">
        <f>IFERROR(__xludf.DUMMYFUNCTION("""COMPUTED_VALUE"""),1.0221149323741683)</f>
        <v>1.022114932</v>
      </c>
      <c r="AQ785" s="30">
        <f>IFERROR(__xludf.DUMMYFUNCTION("""COMPUTED_VALUE"""),1.289036672542055)</f>
        <v>1.289036673</v>
      </c>
      <c r="AR785" s="30">
        <f>IFERROR(__xludf.DUMMYFUNCTION("""COMPUTED_VALUE"""),0.9873874733534292)</f>
        <v>0.9873874734</v>
      </c>
      <c r="AS785" s="30">
        <f>IFERROR(__xludf.DUMMYFUNCTION("""COMPUTED_VALUE"""),69.0)</f>
        <v>69</v>
      </c>
      <c r="AT785" s="30">
        <f>IFERROR(__xludf.DUMMYFUNCTION("""COMPUTED_VALUE"""),0.2905658534576678)</f>
        <v>0.2905658535</v>
      </c>
      <c r="AU785" s="30">
        <f>IFERROR(__xludf.DUMMYFUNCTION("""COMPUTED_VALUE"""),3.4312883504202176)</f>
        <v>3.43128835</v>
      </c>
      <c r="AV785" s="32">
        <f>IFERROR(__xludf.DUMMYFUNCTION("""COMPUTED_VALUE"""),44.97346642715727)</f>
        <v>44.97346643</v>
      </c>
      <c r="AW785" s="32">
        <f>IFERROR(__xludf.DUMMYFUNCTION("""COMPUTED_VALUE"""),-2.3791096795454085)</f>
        <v>-2.37910968</v>
      </c>
      <c r="AX785" s="32">
        <f>IFERROR(__xludf.DUMMYFUNCTION("""COMPUTED_VALUE"""),54.938239676470985)</f>
        <v>54.93823968</v>
      </c>
      <c r="AY785" s="32">
        <f>IFERROR(__xludf.DUMMYFUNCTION("""COMPUTED_VALUE"""),2.3713171255130034)</f>
        <v>2.371317126</v>
      </c>
      <c r="AZ785" s="30">
        <f>IFERROR(__xludf.DUMMYFUNCTION("""COMPUTED_VALUE"""),4.750426805058412)</f>
        <v>4.750426805</v>
      </c>
      <c r="BA785" s="30">
        <f>IFERROR(__xludf.DUMMYFUNCTION("""COMPUTED_VALUE"""),3200.0)</f>
        <v>3200</v>
      </c>
    </row>
    <row r="786">
      <c r="A786" s="71" t="str">
        <f>IFERROR(__xludf.DUMMYFUNCTION("""COMPUTED_VALUE"""),"Contender")</f>
        <v>Contender</v>
      </c>
      <c r="B786" s="71" t="str">
        <f>IFERROR(__xludf.DUMMYFUNCTION("""COMPUTED_VALUE"""),"RSC004509")</f>
        <v>RSC004509</v>
      </c>
      <c r="C786" s="30" t="str">
        <f>IFERROR(__xludf.DUMMYFUNCTION("""COMPUTED_VALUE"""),"tazlien")</f>
        <v>tazlien</v>
      </c>
      <c r="D786" s="30" t="str">
        <f>IFERROR(__xludf.DUMMYFUNCTION("""COMPUTED_VALUE"""),"Zebras")</f>
        <v>Zebras</v>
      </c>
      <c r="E786" s="30">
        <f>IFERROR(__xludf.DUMMYFUNCTION("""COMPUTED_VALUE"""),30.0)</f>
        <v>30</v>
      </c>
      <c r="F786" s="30">
        <f>IFERROR(__xludf.DUMMYFUNCTION("""COMPUTED_VALUE"""),10.0)</f>
        <v>10</v>
      </c>
      <c r="G786" s="42">
        <f>IFERROR(__xludf.DUMMYFUNCTION("""COMPUTED_VALUE"""),20.0)</f>
        <v>20</v>
      </c>
      <c r="H786" s="42">
        <f>IFERROR(__xludf.DUMMYFUNCTION("""COMPUTED_VALUE"""),0.3333333333333333)</f>
        <v>0.3333333333</v>
      </c>
      <c r="I786" s="42">
        <f>IFERROR(__xludf.DUMMYFUNCTION("""COMPUTED_VALUE"""),0.4)</f>
        <v>0.4</v>
      </c>
      <c r="J786" s="30">
        <f>IFERROR(__xludf.DUMMYFUNCTION("""COMPUTED_VALUE"""),343.2)</f>
        <v>343.2</v>
      </c>
      <c r="K786" s="30">
        <f>IFERROR(__xludf.DUMMYFUNCTION("""COMPUTED_VALUE"""),0.8)</f>
        <v>0.8</v>
      </c>
      <c r="L786" s="30">
        <f>IFERROR(__xludf.DUMMYFUNCTION("""COMPUTED_VALUE"""),0.6)</f>
        <v>0.6</v>
      </c>
      <c r="M786" s="30">
        <f>IFERROR(__xludf.DUMMYFUNCTION("""COMPUTED_VALUE"""),1.2666666666666666)</f>
        <v>1.266666667</v>
      </c>
      <c r="N786" s="30">
        <f>IFERROR(__xludf.DUMMYFUNCTION("""COMPUTED_VALUE"""),2.0)</f>
        <v>2</v>
      </c>
      <c r="O786" s="30">
        <f>IFERROR(__xludf.DUMMYFUNCTION("""COMPUTED_VALUE"""),361.1333333333333)</f>
        <v>361.1333333</v>
      </c>
      <c r="P786" s="30">
        <f>IFERROR(__xludf.DUMMYFUNCTION("""COMPUTED_VALUE"""),1.0111111111111115)</f>
        <v>1.011111111</v>
      </c>
      <c r="Q786" s="30">
        <f>IFERROR(__xludf.DUMMYFUNCTION("""COMPUTED_VALUE"""),0.6888888888888888)</f>
        <v>0.6888888889</v>
      </c>
      <c r="R786" s="30">
        <f>IFERROR(__xludf.DUMMYFUNCTION("""COMPUTED_VALUE"""),1.088888888888889)</f>
        <v>1.088888889</v>
      </c>
      <c r="S786" s="30">
        <f>IFERROR(__xludf.DUMMYFUNCTION("""COMPUTED_VALUE"""),2.622222222222222)</f>
        <v>2.622222222</v>
      </c>
      <c r="T786" s="30">
        <f>IFERROR(__xludf.DUMMYFUNCTION("""COMPUTED_VALUE"""),343.2726711820103)</f>
        <v>343.2726712</v>
      </c>
      <c r="U786" s="30">
        <f>IFERROR(__xludf.DUMMYFUNCTION("""COMPUTED_VALUE"""),0.9081653618316357)</f>
        <v>0.9081653618</v>
      </c>
      <c r="V786" s="30">
        <f>IFERROR(__xludf.DUMMYFUNCTION("""COMPUTED_VALUE"""),0.6136030306069354)</f>
        <v>0.6136030306</v>
      </c>
      <c r="W786" s="30">
        <f>IFERROR(__xludf.DUMMYFUNCTION("""COMPUTED_VALUE"""),1.0514971471011572)</f>
        <v>1.051497147</v>
      </c>
      <c r="X786" s="30">
        <f>IFERROR(__xludf.DUMMYFUNCTION("""COMPUTED_VALUE"""),2.4828471644144883)</f>
        <v>2.482847164</v>
      </c>
      <c r="Y786" s="30">
        <f>IFERROR(__xludf.DUMMYFUNCTION("""COMPUTED_VALUE"""),325.6306139008272)</f>
        <v>325.6306139</v>
      </c>
      <c r="Z786" s="30">
        <f>IFERROR(__xludf.DUMMYFUNCTION("""COMPUTED_VALUE"""),0.7993576292600615)</f>
        <v>0.7993576293</v>
      </c>
      <c r="AA786" s="30">
        <f>IFERROR(__xludf.DUMMYFUNCTION("""COMPUTED_VALUE"""),0.5190986925436606)</f>
        <v>0.5190986925</v>
      </c>
      <c r="AB786" s="30">
        <f>IFERROR(__xludf.DUMMYFUNCTION("""COMPUTED_VALUE"""),1.1285429966273512)</f>
        <v>1.128542997</v>
      </c>
      <c r="AC786" s="30">
        <f>IFERROR(__xludf.DUMMYFUNCTION("""COMPUTED_VALUE"""),2.189595854692166)</f>
        <v>2.189595855</v>
      </c>
      <c r="AD786" s="30">
        <f>IFERROR(__xludf.DUMMYFUNCTION("""COMPUTED_VALUE"""),1.0539549580081056)</f>
        <v>1.053954958</v>
      </c>
      <c r="AE786" s="30">
        <f>IFERROR(__xludf.DUMMYFUNCTION("""COMPUTED_VALUE"""),1.0008036086933119)</f>
        <v>1.000803609</v>
      </c>
      <c r="AF786" s="30">
        <f>IFERROR(__xludf.DUMMYFUNCTION("""COMPUTED_VALUE"""),1.155849568913208)</f>
        <v>1.155849569</v>
      </c>
      <c r="AG786" s="30">
        <f>IFERROR(__xludf.DUMMYFUNCTION("""COMPUTED_VALUE"""),1.1223911454433706)</f>
        <v>1.122391145</v>
      </c>
      <c r="AH786" s="30">
        <f>IFERROR(__xludf.DUMMYFUNCTION("""COMPUTED_VALUE"""),0.9134105710485914)</f>
        <v>0.913410571</v>
      </c>
      <c r="AI786" s="30">
        <f>IFERROR(__xludf.DUMMYFUNCTION("""COMPUTED_VALUE"""),1.0520305391332856)</f>
        <v>1.052030539</v>
      </c>
      <c r="AJ786" s="30">
        <f>IFERROR(__xludf.DUMMYFUNCTION("""COMPUTED_VALUE"""),1.113355731903108)</f>
        <v>1.113355732</v>
      </c>
      <c r="AK786" s="30">
        <f>IFERROR(__xludf.DUMMYFUNCTION("""COMPUTED_VALUE"""),1.122694730186527)</f>
        <v>1.12269473</v>
      </c>
      <c r="AL786" s="30">
        <f>IFERROR(__xludf.DUMMYFUNCTION("""COMPUTED_VALUE"""),1.0355604785907562)</f>
        <v>1.035560479</v>
      </c>
      <c r="AM786" s="30">
        <f>IFERROR(__xludf.DUMMYFUNCTION("""COMPUTED_VALUE"""),1.05613517408777)</f>
        <v>1.056135174</v>
      </c>
      <c r="AN786" s="30">
        <f>IFERROR(__xludf.DUMMYFUNCTION("""COMPUTED_VALUE"""),1.0791679712279751)</f>
        <v>1.079167971</v>
      </c>
      <c r="AO786" s="30">
        <f>IFERROR(__xludf.DUMMYFUNCTION("""COMPUTED_VALUE"""),0.9964083236501378)</f>
        <v>0.9964083237</v>
      </c>
      <c r="AP786" s="30">
        <f>IFERROR(__xludf.DUMMYFUNCTION("""COMPUTED_VALUE"""),1.1150344716809106)</f>
        <v>1.115034472</v>
      </c>
      <c r="AQ786" s="30">
        <f>IFERROR(__xludf.DUMMYFUNCTION("""COMPUTED_VALUE"""),1.209466507570323)</f>
        <v>1.209466508</v>
      </c>
      <c r="AR786" s="30">
        <f>IFERROR(__xludf.DUMMYFUNCTION("""COMPUTED_VALUE"""),0.9079425042330385)</f>
        <v>0.9079425042</v>
      </c>
      <c r="AS786" s="30">
        <f>IFERROR(__xludf.DUMMYFUNCTION("""COMPUTED_VALUE"""),72.0)</f>
        <v>72</v>
      </c>
      <c r="AT786" s="30">
        <f>IFERROR(__xludf.DUMMYFUNCTION("""COMPUTED_VALUE"""),0.40596742119706625)</f>
        <v>0.4059674212</v>
      </c>
      <c r="AU786" s="30">
        <f>IFERROR(__xludf.DUMMYFUNCTION("""COMPUTED_VALUE"""),3.896114068637345)</f>
        <v>3.896114069</v>
      </c>
      <c r="AV786" s="32">
        <f>IFERROR(__xludf.DUMMYFUNCTION("""COMPUTED_VALUE"""),51.69574647557736)</f>
        <v>51.69574648</v>
      </c>
      <c r="AW786" s="32">
        <f>IFERROR(__xludf.DUMMYFUNCTION("""COMPUTED_VALUE"""),2.1143413061248557)</f>
        <v>2.114341306</v>
      </c>
      <c r="AX786" s="32">
        <f>IFERROR(__xludf.DUMMYFUNCTION("""COMPUTED_VALUE"""),44.619278306415616)</f>
        <v>44.61927831</v>
      </c>
      <c r="AY786" s="32">
        <f>IFERROR(__xludf.DUMMYFUNCTION("""COMPUTED_VALUE"""),-2.4108326858689337)</f>
        <v>-2.410832686</v>
      </c>
      <c r="AZ786" s="30">
        <f>IFERROR(__xludf.DUMMYFUNCTION("""COMPUTED_VALUE"""),4.525173991993789)</f>
        <v>4.525173992</v>
      </c>
      <c r="BA786" s="30">
        <f>IFERROR(__xludf.DUMMYFUNCTION("""COMPUTED_VALUE"""),3200.0)</f>
        <v>3200</v>
      </c>
    </row>
    <row r="787">
      <c r="A787" s="71" t="str">
        <f>IFERROR(__xludf.DUMMYFUNCTION("""COMPUTED_VALUE"""),"Contender")</f>
        <v>Contender</v>
      </c>
      <c r="B787" s="71" t="str">
        <f>IFERROR(__xludf.DUMMYFUNCTION("""COMPUTED_VALUE"""),"RSC005974")</f>
        <v>RSC005974</v>
      </c>
      <c r="C787" s="30" t="str">
        <f>IFERROR(__xludf.DUMMYFUNCTION("""COMPUTED_VALUE"""),"Angry-Hermit")</f>
        <v>Angry-Hermit</v>
      </c>
      <c r="D787" s="30" t="str">
        <f>IFERROR(__xludf.DUMMYFUNCTION("""COMPUTED_VALUE"""),"Devoured")</f>
        <v>Devoured</v>
      </c>
      <c r="E787" s="30">
        <f>IFERROR(__xludf.DUMMYFUNCTION("""COMPUTED_VALUE"""),40.0)</f>
        <v>40</v>
      </c>
      <c r="F787" s="30">
        <f>IFERROR(__xludf.DUMMYFUNCTION("""COMPUTED_VALUE"""),21.0)</f>
        <v>21</v>
      </c>
      <c r="G787" s="42">
        <f>IFERROR(__xludf.DUMMYFUNCTION("""COMPUTED_VALUE"""),19.0)</f>
        <v>19</v>
      </c>
      <c r="H787" s="42">
        <f>IFERROR(__xludf.DUMMYFUNCTION("""COMPUTED_VALUE"""),0.525)</f>
        <v>0.525</v>
      </c>
      <c r="I787" s="42">
        <f>IFERROR(__xludf.DUMMYFUNCTION("""COMPUTED_VALUE"""),0.3717948717948718)</f>
        <v>0.3717948718</v>
      </c>
      <c r="J787" s="30">
        <f>IFERROR(__xludf.DUMMYFUNCTION("""COMPUTED_VALUE"""),297.175)</f>
        <v>297.175</v>
      </c>
      <c r="K787" s="30">
        <f>IFERROR(__xludf.DUMMYFUNCTION("""COMPUTED_VALUE"""),0.725)</f>
        <v>0.725</v>
      </c>
      <c r="L787" s="30">
        <f>IFERROR(__xludf.DUMMYFUNCTION("""COMPUTED_VALUE"""),0.7)</f>
        <v>0.7</v>
      </c>
      <c r="M787" s="30">
        <f>IFERROR(__xludf.DUMMYFUNCTION("""COMPUTED_VALUE"""),0.625)</f>
        <v>0.625</v>
      </c>
      <c r="N787" s="30">
        <f>IFERROR(__xludf.DUMMYFUNCTION("""COMPUTED_VALUE"""),1.95)</f>
        <v>1.95</v>
      </c>
      <c r="O787" s="30">
        <f>IFERROR(__xludf.DUMMYFUNCTION("""COMPUTED_VALUE"""),325.1166666666667)</f>
        <v>325.1166667</v>
      </c>
      <c r="P787" s="30">
        <f>IFERROR(__xludf.DUMMYFUNCTION("""COMPUTED_VALUE"""),0.7833333333333334)</f>
        <v>0.7833333333</v>
      </c>
      <c r="Q787" s="30">
        <f>IFERROR(__xludf.DUMMYFUNCTION("""COMPUTED_VALUE"""),0.5333333333333333)</f>
        <v>0.5333333333</v>
      </c>
      <c r="R787" s="30">
        <f>IFERROR(__xludf.DUMMYFUNCTION("""COMPUTED_VALUE"""),1.1749999999999998)</f>
        <v>1.175</v>
      </c>
      <c r="S787" s="30">
        <f>IFERROR(__xludf.DUMMYFUNCTION("""COMPUTED_VALUE"""),2.1250000000000004)</f>
        <v>2.125</v>
      </c>
      <c r="T787" s="30">
        <f>IFERROR(__xludf.DUMMYFUNCTION("""COMPUTED_VALUE"""),323.07388819154636)</f>
        <v>323.0738882</v>
      </c>
      <c r="U787" s="30">
        <f>IFERROR(__xludf.DUMMYFUNCTION("""COMPUTED_VALUE"""),0.8006610661852074)</f>
        <v>0.8006610662</v>
      </c>
      <c r="V787" s="30">
        <f>IFERROR(__xludf.DUMMYFUNCTION("""COMPUTED_VALUE"""),0.5298538502132704)</f>
        <v>0.5298538502</v>
      </c>
      <c r="W787" s="30">
        <f>IFERROR(__xludf.DUMMYFUNCTION("""COMPUTED_VALUE"""),1.072018655692714)</f>
        <v>1.072018656</v>
      </c>
      <c r="X787" s="30">
        <f>IFERROR(__xludf.DUMMYFUNCTION("""COMPUTED_VALUE"""),2.241517103853144)</f>
        <v>2.241517104</v>
      </c>
      <c r="Y787" s="30">
        <f>IFERROR(__xludf.DUMMYFUNCTION("""COMPUTED_VALUE"""),331.54113977327245)</f>
        <v>331.5411398</v>
      </c>
      <c r="Z787" s="30">
        <f>IFERROR(__xludf.DUMMYFUNCTION("""COMPUTED_VALUE"""),0.8584922675703993)</f>
        <v>0.8584922676</v>
      </c>
      <c r="AA787" s="30">
        <f>IFERROR(__xludf.DUMMYFUNCTION("""COMPUTED_VALUE"""),0.5606717224606357)</f>
        <v>0.5606717225</v>
      </c>
      <c r="AB787" s="30">
        <f>IFERROR(__xludf.DUMMYFUNCTION("""COMPUTED_VALUE"""),1.047499708628964)</f>
        <v>1.047499709</v>
      </c>
      <c r="AC787" s="30">
        <f>IFERROR(__xludf.DUMMYFUNCTION("""COMPUTED_VALUE"""),2.325381788752882)</f>
        <v>2.325381789</v>
      </c>
      <c r="AD787" s="30">
        <f>IFERROR(__xludf.DUMMYFUNCTION("""COMPUTED_VALUE"""),0.8963442672701974)</f>
        <v>0.8963442673</v>
      </c>
      <c r="AE787" s="30">
        <f>IFERROR(__xludf.DUMMYFUNCTION("""COMPUTED_VALUE"""),0.8445038206946314)</f>
        <v>0.8445038207</v>
      </c>
      <c r="AF787" s="30">
        <f>IFERROR(__xludf.DUMMYFUNCTION("""COMPUTED_VALUE"""),1.2485024158662583)</f>
        <v>1.248502416</v>
      </c>
      <c r="AG787" s="30">
        <f>IFERROR(__xludf.DUMMYFUNCTION("""COMPUTED_VALUE"""),0.5966588771829262)</f>
        <v>0.5966588772</v>
      </c>
      <c r="AH787" s="30">
        <f>IFERROR(__xludf.DUMMYFUNCTION("""COMPUTED_VALUE"""),0.8385719753339078)</f>
        <v>0.8385719753</v>
      </c>
      <c r="AI787" s="30">
        <f>IFERROR(__xludf.DUMMYFUNCTION("""COMPUTED_VALUE"""),1.0063229451521294)</f>
        <v>1.006322945</v>
      </c>
      <c r="AJ787" s="30">
        <f>IFERROR(__xludf.DUMMYFUNCTION("""COMPUTED_VALUE"""),0.9783582172486133)</f>
        <v>0.9783582172</v>
      </c>
      <c r="AK787" s="30">
        <f>IFERROR(__xludf.DUMMYFUNCTION("""COMPUTED_VALUE"""),1.00656687333434)</f>
        <v>1.006566873</v>
      </c>
      <c r="AL787" s="30">
        <f>IFERROR(__xludf.DUMMYFUNCTION("""COMPUTED_VALUE"""),1.0960630150981296)</f>
        <v>1.096063015</v>
      </c>
      <c r="AM787" s="30">
        <f>IFERROR(__xludf.DUMMYFUNCTION("""COMPUTED_VALUE"""),0.948018641636572)</f>
        <v>0.9480186416</v>
      </c>
      <c r="AN787" s="30">
        <f>IFERROR(__xludf.DUMMYFUNCTION("""COMPUTED_VALUE"""),0.934445634760121)</f>
        <v>0.9344456348</v>
      </c>
      <c r="AO787" s="30">
        <f>IFERROR(__xludf.DUMMYFUNCTION("""COMPUTED_VALUE"""),0.9029950433079372)</f>
        <v>0.9029950433</v>
      </c>
      <c r="AP787" s="30">
        <f>IFERROR(__xludf.DUMMYFUNCTION("""COMPUTED_VALUE"""),1.3008735502943958)</f>
        <v>1.30087355</v>
      </c>
      <c r="AQ787" s="30">
        <f>IFERROR(__xludf.DUMMYFUNCTION("""COMPUTED_VALUE"""),0.5967762372879883)</f>
        <v>0.5967762373</v>
      </c>
      <c r="AR787" s="30">
        <f>IFERROR(__xludf.DUMMYFUNCTION("""COMPUTED_VALUE"""),0.8852439416272124)</f>
        <v>0.8852439416</v>
      </c>
      <c r="AS787" s="30">
        <f>IFERROR(__xludf.DUMMYFUNCTION("""COMPUTED_VALUE"""),118.0)</f>
        <v>118</v>
      </c>
      <c r="AT787" s="30">
        <f>IFERROR(__xludf.DUMMYFUNCTION("""COMPUTED_VALUE"""),0.590728188737897)</f>
        <v>0.5907281887</v>
      </c>
      <c r="AU787" s="30">
        <f>IFERROR(__xludf.DUMMYFUNCTION("""COMPUTED_VALUE"""),3.818283648769052)</f>
        <v>3.818283649</v>
      </c>
      <c r="AV787" s="32">
        <f>IFERROR(__xludf.DUMMYFUNCTION("""COMPUTED_VALUE"""),50.570167880985935)</f>
        <v>50.57016788</v>
      </c>
      <c r="AW787" s="32">
        <f>IFERROR(__xludf.DUMMYFUNCTION("""COMPUTED_VALUE"""),2.0370655246894893)</f>
        <v>2.037065525</v>
      </c>
      <c r="AX787" s="32">
        <f>IFERROR(__xludf.DUMMYFUNCTION("""COMPUTED_VALUE"""),44.12820606935352)</f>
        <v>44.12820607</v>
      </c>
      <c r="AY787" s="32">
        <f>IFERROR(__xludf.DUMMYFUNCTION("""COMPUTED_VALUE"""),-2.4560723149309154)</f>
        <v>-2.456072315</v>
      </c>
      <c r="AZ787" s="30">
        <f>IFERROR(__xludf.DUMMYFUNCTION("""COMPUTED_VALUE"""),4.493137839620404)</f>
        <v>4.49313784</v>
      </c>
      <c r="BA787" s="30">
        <f>IFERROR(__xludf.DUMMYFUNCTION("""COMPUTED_VALUE"""),3200.0)</f>
        <v>3200</v>
      </c>
    </row>
    <row r="788">
      <c r="A788" s="71" t="str">
        <f>IFERROR(__xludf.DUMMYFUNCTION("""COMPUTED_VALUE"""),"Contender")</f>
        <v>Contender</v>
      </c>
      <c r="B788" s="71" t="str">
        <f>IFERROR(__xludf.DUMMYFUNCTION("""COMPUTED_VALUE"""),"RSC007894")</f>
        <v>RSC007894</v>
      </c>
      <c r="C788" s="30" t="str">
        <f>IFERROR(__xludf.DUMMYFUNCTION("""COMPUTED_VALUE"""),"BlackCoop03")</f>
        <v>BlackCoop03</v>
      </c>
      <c r="D788" s="30" t="str">
        <f>IFERROR(__xludf.DUMMYFUNCTION("""COMPUTED_VALUE"""),"Clover")</f>
        <v>Clover</v>
      </c>
      <c r="E788" s="30">
        <f>IFERROR(__xludf.DUMMYFUNCTION("""COMPUTED_VALUE"""),24.0)</f>
        <v>24</v>
      </c>
      <c r="F788" s="30">
        <f>IFERROR(__xludf.DUMMYFUNCTION("""COMPUTED_VALUE"""),13.0)</f>
        <v>13</v>
      </c>
      <c r="G788" s="42">
        <f>IFERROR(__xludf.DUMMYFUNCTION("""COMPUTED_VALUE"""),11.0)</f>
        <v>11</v>
      </c>
      <c r="H788" s="42">
        <f>IFERROR(__xludf.DUMMYFUNCTION("""COMPUTED_VALUE"""),0.5416666666666666)</f>
        <v>0.5416666667</v>
      </c>
      <c r="I788" s="42">
        <f>IFERROR(__xludf.DUMMYFUNCTION("""COMPUTED_VALUE"""),0.4117647058823529)</f>
        <v>0.4117647059</v>
      </c>
      <c r="J788" s="30">
        <f>IFERROR(__xludf.DUMMYFUNCTION("""COMPUTED_VALUE"""),407.5416666666667)</f>
        <v>407.5416667</v>
      </c>
      <c r="K788" s="30">
        <f>IFERROR(__xludf.DUMMYFUNCTION("""COMPUTED_VALUE"""),1.1666666666666667)</f>
        <v>1.166666667</v>
      </c>
      <c r="L788" s="30">
        <f>IFERROR(__xludf.DUMMYFUNCTION("""COMPUTED_VALUE"""),0.7083333333333334)</f>
        <v>0.7083333333</v>
      </c>
      <c r="M788" s="30">
        <f>IFERROR(__xludf.DUMMYFUNCTION("""COMPUTED_VALUE"""),1.25)</f>
        <v>1.25</v>
      </c>
      <c r="N788" s="30">
        <f>IFERROR(__xludf.DUMMYFUNCTION("""COMPUTED_VALUE"""),2.8333333333333335)</f>
        <v>2.833333333</v>
      </c>
      <c r="O788" s="30">
        <f>IFERROR(__xludf.DUMMYFUNCTION("""COMPUTED_VALUE"""),316.30555555555554)</f>
        <v>316.3055556</v>
      </c>
      <c r="P788" s="30">
        <f>IFERROR(__xludf.DUMMYFUNCTION("""COMPUTED_VALUE"""),0.6527777777777777)</f>
        <v>0.6527777778</v>
      </c>
      <c r="Q788" s="30">
        <f>IFERROR(__xludf.DUMMYFUNCTION("""COMPUTED_VALUE"""),0.4722222222222224)</f>
        <v>0.4722222222</v>
      </c>
      <c r="R788" s="30">
        <f>IFERROR(__xludf.DUMMYFUNCTION("""COMPUTED_VALUE"""),1.1111111111111112)</f>
        <v>1.111111111</v>
      </c>
      <c r="S788" s="30">
        <f>IFERROR(__xludf.DUMMYFUNCTION("""COMPUTED_VALUE"""),2.402777777777778)</f>
        <v>2.402777778</v>
      </c>
      <c r="T788" s="30">
        <f>IFERROR(__xludf.DUMMYFUNCTION("""COMPUTED_VALUE"""),333.73379636757704)</f>
        <v>333.7337964</v>
      </c>
      <c r="U788" s="30">
        <f>IFERROR(__xludf.DUMMYFUNCTION("""COMPUTED_VALUE"""),0.8484356555189793)</f>
        <v>0.8484356555</v>
      </c>
      <c r="V788" s="30">
        <f>IFERROR(__xludf.DUMMYFUNCTION("""COMPUTED_VALUE"""),0.5832261797822281)</f>
        <v>0.5832261798</v>
      </c>
      <c r="W788" s="30">
        <f>IFERROR(__xludf.DUMMYFUNCTION("""COMPUTED_VALUE"""),1.078640939304884)</f>
        <v>1.078640939</v>
      </c>
      <c r="X788" s="30">
        <f>IFERROR(__xludf.DUMMYFUNCTION("""COMPUTED_VALUE"""),2.3442691523168415)</f>
        <v>2.344269152</v>
      </c>
      <c r="Y788" s="30">
        <f>IFERROR(__xludf.DUMMYFUNCTION("""COMPUTED_VALUE"""),326.2442161643665)</f>
        <v>326.2442162</v>
      </c>
      <c r="Z788" s="30">
        <f>IFERROR(__xludf.DUMMYFUNCTION("""COMPUTED_VALUE"""),0.8066519214820155)</f>
        <v>0.8066519215</v>
      </c>
      <c r="AA788" s="30">
        <f>IFERROR(__xludf.DUMMYFUNCTION("""COMPUTED_VALUE"""),0.5344463753320555)</f>
        <v>0.5344463753</v>
      </c>
      <c r="AB788" s="30">
        <f>IFERROR(__xludf.DUMMYFUNCTION("""COMPUTED_VALUE"""),1.1061231723785447)</f>
        <v>1.106123172</v>
      </c>
      <c r="AC788" s="30">
        <f>IFERROR(__xludf.DUMMYFUNCTION("""COMPUTED_VALUE"""),2.2559195200560667)</f>
        <v>2.25591952</v>
      </c>
      <c r="AD788" s="30">
        <f>IFERROR(__xludf.DUMMYFUNCTION("""COMPUTED_VALUE"""),1.2491920054801566)</f>
        <v>1.249192005</v>
      </c>
      <c r="AE788" s="30">
        <f>IFERROR(__xludf.DUMMYFUNCTION("""COMPUTED_VALUE"""),1.4463074290125246)</f>
        <v>1.446307429</v>
      </c>
      <c r="AF788" s="30">
        <f>IFERROR(__xludf.DUMMYFUNCTION("""COMPUTED_VALUE"""),1.325359036990831)</f>
        <v>1.325359037</v>
      </c>
      <c r="AG788" s="30">
        <f>IFERROR(__xludf.DUMMYFUNCTION("""COMPUTED_VALUE"""),1.1300730616754648)</f>
        <v>1.130073062</v>
      </c>
      <c r="AH788" s="30">
        <f>IFERROR(__xludf.DUMMYFUNCTION("""COMPUTED_VALUE"""),1.255954970088169)</f>
        <v>1.25595497</v>
      </c>
      <c r="AI788" s="30">
        <f>IFERROR(__xludf.DUMMYFUNCTION("""COMPUTED_VALUE"""),0.9477780164858524)</f>
        <v>0.9477780165</v>
      </c>
      <c r="AJ788" s="30">
        <f>IFERROR(__xludf.DUMMYFUNCTION("""COMPUTED_VALUE"""),0.7693898453365686)</f>
        <v>0.7693898453</v>
      </c>
      <c r="AK788" s="30">
        <f>IFERROR(__xludf.DUMMYFUNCTION("""COMPUTED_VALUE"""),0.8096725397315777)</f>
        <v>0.8096725397</v>
      </c>
      <c r="AL788" s="30">
        <f>IFERROR(__xludf.DUMMYFUNCTION("""COMPUTED_VALUE"""),1.0301028550123013)</f>
        <v>1.030102855</v>
      </c>
      <c r="AM788" s="30">
        <f>IFERROR(__xludf.DUMMYFUNCTION("""COMPUTED_VALUE"""),1.0249581518415292)</f>
        <v>1.024958152</v>
      </c>
      <c r="AN788" s="30">
        <f>IFERROR(__xludf.DUMMYFUNCTION("""COMPUTED_VALUE"""),1.2814857622597156)</f>
        <v>1.281485762</v>
      </c>
      <c r="AO788" s="30">
        <f>IFERROR(__xludf.DUMMYFUNCTION("""COMPUTED_VALUE"""),1.4530954719897842)</f>
        <v>1.453095472</v>
      </c>
      <c r="AP788" s="30">
        <f>IFERROR(__xludf.DUMMYFUNCTION("""COMPUTED_VALUE"""),1.3163601401788532)</f>
        <v>1.31636014</v>
      </c>
      <c r="AQ788" s="30">
        <f>IFERROR(__xludf.DUMMYFUNCTION("""COMPUTED_VALUE"""),1.1935524745759767)</f>
        <v>1.193552475</v>
      </c>
      <c r="AR788" s="30">
        <f>IFERROR(__xludf.DUMMYFUNCTION("""COMPUTED_VALUE"""),1.2862518809968047)</f>
        <v>1.286251881</v>
      </c>
      <c r="AS788" s="30">
        <f>IFERROR(__xludf.DUMMYFUNCTION("""COMPUTED_VALUE"""),68.0)</f>
        <v>68</v>
      </c>
      <c r="AT788" s="30">
        <f>IFERROR(__xludf.DUMMYFUNCTION("""COMPUTED_VALUE"""),0.6408590845919069)</f>
        <v>0.6408590846</v>
      </c>
      <c r="AU788" s="30">
        <f>IFERROR(__xludf.DUMMYFUNCTION("""COMPUTED_VALUE"""),5.826825314803143)</f>
        <v>5.826825315</v>
      </c>
      <c r="AV788" s="32">
        <f>IFERROR(__xludf.DUMMYFUNCTION("""COMPUTED_VALUE"""),79.61757003375243)</f>
        <v>79.61757003</v>
      </c>
      <c r="AW788" s="32">
        <f>IFERROR(__xludf.DUMMYFUNCTION("""COMPUTED_VALUE"""),8.46973221299261)</f>
        <v>8.469732213</v>
      </c>
      <c r="AX788" s="32">
        <f>IFERROR(__xludf.DUMMYFUNCTION("""COMPUTED_VALUE"""),67.94951203146539)</f>
        <v>67.94951203</v>
      </c>
      <c r="AY788" s="32">
        <f>IFERROR(__xludf.DUMMYFUNCTION("""COMPUTED_VALUE"""),4.2303929362948605)</f>
        <v>4.230392936</v>
      </c>
      <c r="AZ788" s="30">
        <f>IFERROR(__xludf.DUMMYFUNCTION("""COMPUTED_VALUE"""),4.23933927669775)</f>
        <v>4.239339277</v>
      </c>
      <c r="BA788" s="30">
        <f>IFERROR(__xludf.DUMMYFUNCTION("""COMPUTED_VALUE"""),3200.0)</f>
        <v>3200</v>
      </c>
    </row>
    <row r="789">
      <c r="A789" s="71" t="str">
        <f>IFERROR(__xludf.DUMMYFUNCTION("""COMPUTED_VALUE"""),"Contender")</f>
        <v>Contender</v>
      </c>
      <c r="B789" s="71" t="str">
        <f>IFERROR(__xludf.DUMMYFUNCTION("""COMPUTED_VALUE"""),"RSC007119")</f>
        <v>RSC007119</v>
      </c>
      <c r="C789" s="30" t="str">
        <f>IFERROR(__xludf.DUMMYFUNCTION("""COMPUTED_VALUE"""),"EvilSuperman_")</f>
        <v>EvilSuperman_</v>
      </c>
      <c r="D789" s="30" t="str">
        <f>IFERROR(__xludf.DUMMYFUNCTION("""COMPUTED_VALUE"""),"Celestial Cider")</f>
        <v>Celestial Cider</v>
      </c>
      <c r="E789" s="30">
        <f>IFERROR(__xludf.DUMMYFUNCTION("""COMPUTED_VALUE"""),20.0)</f>
        <v>20</v>
      </c>
      <c r="F789" s="30">
        <f>IFERROR(__xludf.DUMMYFUNCTION("""COMPUTED_VALUE"""),8.0)</f>
        <v>8</v>
      </c>
      <c r="G789" s="42">
        <f>IFERROR(__xludf.DUMMYFUNCTION("""COMPUTED_VALUE"""),12.0)</f>
        <v>12</v>
      </c>
      <c r="H789" s="42">
        <f>IFERROR(__xludf.DUMMYFUNCTION("""COMPUTED_VALUE"""),0.4)</f>
        <v>0.4</v>
      </c>
      <c r="I789" s="42">
        <f>IFERROR(__xludf.DUMMYFUNCTION("""COMPUTED_VALUE"""),0.3928571428571429)</f>
        <v>0.3928571429</v>
      </c>
      <c r="J789" s="30">
        <f>IFERROR(__xludf.DUMMYFUNCTION("""COMPUTED_VALUE"""),238.7)</f>
        <v>238.7</v>
      </c>
      <c r="K789" s="30">
        <f>IFERROR(__xludf.DUMMYFUNCTION("""COMPUTED_VALUE"""),0.55)</f>
        <v>0.55</v>
      </c>
      <c r="L789" s="30">
        <f>IFERROR(__xludf.DUMMYFUNCTION("""COMPUTED_VALUE"""),0.45)</f>
        <v>0.45</v>
      </c>
      <c r="M789" s="30">
        <f>IFERROR(__xludf.DUMMYFUNCTION("""COMPUTED_VALUE"""),0.65)</f>
        <v>0.65</v>
      </c>
      <c r="N789" s="30">
        <f>IFERROR(__xludf.DUMMYFUNCTION("""COMPUTED_VALUE"""),1.4)</f>
        <v>1.4</v>
      </c>
      <c r="O789" s="30">
        <f>IFERROR(__xludf.DUMMYFUNCTION("""COMPUTED_VALUE"""),330.94999999999993)</f>
        <v>330.95</v>
      </c>
      <c r="P789" s="30">
        <f>IFERROR(__xludf.DUMMYFUNCTION("""COMPUTED_VALUE"""),0.9000000000000001)</f>
        <v>0.9</v>
      </c>
      <c r="Q789" s="30">
        <f>IFERROR(__xludf.DUMMYFUNCTION("""COMPUTED_VALUE"""),0.5166666666666668)</f>
        <v>0.5166666667</v>
      </c>
      <c r="R789" s="30">
        <f>IFERROR(__xludf.DUMMYFUNCTION("""COMPUTED_VALUE"""),1.0166666666666668)</f>
        <v>1.016666667</v>
      </c>
      <c r="S789" s="30">
        <f>IFERROR(__xludf.DUMMYFUNCTION("""COMPUTED_VALUE"""),2.3833333333333337)</f>
        <v>2.383333333</v>
      </c>
      <c r="T789" s="30">
        <f>IFERROR(__xludf.DUMMYFUNCTION("""COMPUTED_VALUE"""),332.2426744020695)</f>
        <v>332.2426744</v>
      </c>
      <c r="U789" s="30">
        <f>IFERROR(__xludf.DUMMYFUNCTION("""COMPUTED_VALUE"""),0.854527147367347)</f>
        <v>0.8545271474</v>
      </c>
      <c r="V789" s="30">
        <f>IFERROR(__xludf.DUMMYFUNCTION("""COMPUTED_VALUE"""),0.6055715223229077)</f>
        <v>0.6055715223</v>
      </c>
      <c r="W789" s="30">
        <f>IFERROR(__xludf.DUMMYFUNCTION("""COMPUTED_VALUE"""),1.0385928295320705)</f>
        <v>1.03859283</v>
      </c>
      <c r="X789" s="30">
        <f>IFERROR(__xludf.DUMMYFUNCTION("""COMPUTED_VALUE"""),2.3332685493991425)</f>
        <v>2.333268549</v>
      </c>
      <c r="Y789" s="30">
        <f>IFERROR(__xludf.DUMMYFUNCTION("""COMPUTED_VALUE"""),325.02257194341513)</f>
        <v>325.0225719</v>
      </c>
      <c r="Z789" s="30">
        <f>IFERROR(__xludf.DUMMYFUNCTION("""COMPUTED_VALUE"""),0.8011855953957057)</f>
        <v>0.8011855954</v>
      </c>
      <c r="AA789" s="30">
        <f>IFERROR(__xludf.DUMMYFUNCTION("""COMPUTED_VALUE"""),0.5291214363953258)</f>
        <v>0.5291214364</v>
      </c>
      <c r="AB789" s="30">
        <f>IFERROR(__xludf.DUMMYFUNCTION("""COMPUTED_VALUE"""),1.1118702746466282)</f>
        <v>1.111870275</v>
      </c>
      <c r="AC789" s="30">
        <f>IFERROR(__xludf.DUMMYFUNCTION("""COMPUTED_VALUE"""),2.2085961067520072)</f>
        <v>2.208596107</v>
      </c>
      <c r="AD789" s="30">
        <f>IFERROR(__xludf.DUMMYFUNCTION("""COMPUTED_VALUE"""),0.734410532083158)</f>
        <v>0.7344105321</v>
      </c>
      <c r="AE789" s="30">
        <f>IFERROR(__xludf.DUMMYFUNCTION("""COMPUTED_VALUE"""),0.6864826366833954)</f>
        <v>0.6864826367</v>
      </c>
      <c r="AF789" s="30">
        <f>IFERROR(__xludf.DUMMYFUNCTION("""COMPUTED_VALUE"""),0.8504663940014494)</f>
        <v>0.850466394</v>
      </c>
      <c r="AG789" s="30">
        <f>IFERROR(__xludf.DUMMYFUNCTION("""COMPUTED_VALUE"""),0.5846005733057136)</f>
        <v>0.5846005733</v>
      </c>
      <c r="AH789" s="30">
        <f>IFERROR(__xludf.DUMMYFUNCTION("""COMPUTED_VALUE"""),0.6338868368553179)</f>
        <v>0.6338868369</v>
      </c>
      <c r="AI789" s="30">
        <f>IFERROR(__xludf.DUMMYFUNCTION("""COMPUTED_VALUE"""),0.9961092463380992)</f>
        <v>0.9961092463</v>
      </c>
      <c r="AJ789" s="30">
        <f>IFERROR(__xludf.DUMMYFUNCTION("""COMPUTED_VALUE"""),1.0532140526755027)</f>
        <v>1.053214053</v>
      </c>
      <c r="AK789" s="30">
        <f>IFERROR(__xludf.DUMMYFUNCTION("""COMPUTED_VALUE"""),0.853188513034412)</f>
        <v>0.853188513</v>
      </c>
      <c r="AL789" s="30">
        <f>IFERROR(__xludf.DUMMYFUNCTION("""COMPUTED_VALUE"""),0.9788885863237835)</f>
        <v>0.9788885863</v>
      </c>
      <c r="AM789" s="30">
        <f>IFERROR(__xludf.DUMMYFUNCTION("""COMPUTED_VALUE"""),1.0214569317137043)</f>
        <v>1.021456932</v>
      </c>
      <c r="AN789" s="30">
        <f>IFERROR(__xludf.DUMMYFUNCTION("""COMPUTED_VALUE"""),0.7505751594758673)</f>
        <v>0.7505751595</v>
      </c>
      <c r="AO789" s="30">
        <f>IFERROR(__xludf.DUMMYFUNCTION("""COMPUTED_VALUE"""),0.6850307225094697)</f>
        <v>0.6850307225</v>
      </c>
      <c r="AP789" s="30">
        <f>IFERROR(__xludf.DUMMYFUNCTION("""COMPUTED_VALUE"""),0.8362758537606831)</f>
        <v>0.8362758538</v>
      </c>
      <c r="AQ789" s="30">
        <f>IFERROR(__xludf.DUMMYFUNCTION("""COMPUTED_VALUE"""),0.620647286779508)</f>
        <v>0.6206472868</v>
      </c>
      <c r="AR789" s="30">
        <f>IFERROR(__xludf.DUMMYFUNCTION("""COMPUTED_VALUE"""),0.6355597529631268)</f>
        <v>0.635559753</v>
      </c>
      <c r="AS789" s="30">
        <f>IFERROR(__xludf.DUMMYFUNCTION("""COMPUTED_VALUE"""),38.0)</f>
        <v>38</v>
      </c>
      <c r="AT789" s="30">
        <f>IFERROR(__xludf.DUMMYFUNCTION("""COMPUTED_VALUE"""),0.367137673010264)</f>
        <v>0.367137673</v>
      </c>
      <c r="AU789" s="30">
        <f>IFERROR(__xludf.DUMMYFUNCTION("""COMPUTED_VALUE"""),2.4263632608752324)</f>
        <v>2.426363261</v>
      </c>
      <c r="AV789" s="32">
        <f>IFERROR(__xludf.DUMMYFUNCTION("""COMPUTED_VALUE"""),30.44030353437284)</f>
        <v>30.44030353</v>
      </c>
      <c r="AW789" s="32">
        <f>IFERROR(__xludf.DUMMYFUNCTION("""COMPUTED_VALUE"""),-4.608436507623826)</f>
        <v>-4.608436508</v>
      </c>
      <c r="AX789" s="32">
        <f>IFERROR(__xludf.DUMMYFUNCTION("""COMPUTED_VALUE"""),20.6783704567393)</f>
        <v>20.67837046</v>
      </c>
      <c r="AY789" s="32">
        <f>IFERROR(__xludf.DUMMYFUNCTION("""COMPUTED_VALUE"""),-8.303927942942103)</f>
        <v>-8.303927943</v>
      </c>
      <c r="AZ789" s="30">
        <f>IFERROR(__xludf.DUMMYFUNCTION("""COMPUTED_VALUE"""),3.695491435318277)</f>
        <v>3.695491435</v>
      </c>
      <c r="BA789" s="30">
        <f>IFERROR(__xludf.DUMMYFUNCTION("""COMPUTED_VALUE"""),3200.0)</f>
        <v>3200</v>
      </c>
    </row>
    <row r="790">
      <c r="A790" s="71" t="str">
        <f>IFERROR(__xludf.DUMMYFUNCTION("""COMPUTED_VALUE"""),"Contender")</f>
        <v>Contender</v>
      </c>
      <c r="B790" s="71" t="str">
        <f>IFERROR(__xludf.DUMMYFUNCTION("""COMPUTED_VALUE"""),"RSC007538")</f>
        <v>RSC007538</v>
      </c>
      <c r="C790" s="30" t="str">
        <f>IFERROR(__xludf.DUMMYFUNCTION("""COMPUTED_VALUE"""),"FattyMcChef04")</f>
        <v>FattyMcChef04</v>
      </c>
      <c r="D790" s="30" t="str">
        <f>IFERROR(__xludf.DUMMYFUNCTION("""COMPUTED_VALUE"""),"Cheese Pizza")</f>
        <v>Cheese Pizza</v>
      </c>
      <c r="E790" s="30">
        <f>IFERROR(__xludf.DUMMYFUNCTION("""COMPUTED_VALUE"""),11.0)</f>
        <v>11</v>
      </c>
      <c r="F790" s="30">
        <f>IFERROR(__xludf.DUMMYFUNCTION("""COMPUTED_VALUE"""),6.0)</f>
        <v>6</v>
      </c>
      <c r="G790" s="42">
        <f>IFERROR(__xludf.DUMMYFUNCTION("""COMPUTED_VALUE"""),5.0)</f>
        <v>5</v>
      </c>
      <c r="H790" s="42">
        <f>IFERROR(__xludf.DUMMYFUNCTION("""COMPUTED_VALUE"""),0.5454545454545454)</f>
        <v>0.5454545455</v>
      </c>
      <c r="I790" s="42">
        <f>IFERROR(__xludf.DUMMYFUNCTION("""COMPUTED_VALUE"""),0.4444444444444444)</f>
        <v>0.4444444444</v>
      </c>
      <c r="J790" s="30">
        <f>IFERROR(__xludf.DUMMYFUNCTION("""COMPUTED_VALUE"""),252.9090909090909)</f>
        <v>252.9090909</v>
      </c>
      <c r="K790" s="30">
        <f>IFERROR(__xludf.DUMMYFUNCTION("""COMPUTED_VALUE"""),0.7272727272727273)</f>
        <v>0.7272727273</v>
      </c>
      <c r="L790" s="30">
        <f>IFERROR(__xludf.DUMMYFUNCTION("""COMPUTED_VALUE"""),0.2727272727272727)</f>
        <v>0.2727272727</v>
      </c>
      <c r="M790" s="30">
        <f>IFERROR(__xludf.DUMMYFUNCTION("""COMPUTED_VALUE"""),0.7272727272727273)</f>
        <v>0.7272727273</v>
      </c>
      <c r="N790" s="30">
        <f>IFERROR(__xludf.DUMMYFUNCTION("""COMPUTED_VALUE"""),1.6363636363636365)</f>
        <v>1.636363636</v>
      </c>
      <c r="O790" s="30">
        <f>IFERROR(__xludf.DUMMYFUNCTION("""COMPUTED_VALUE"""),322.48484848484844)</f>
        <v>322.4848485</v>
      </c>
      <c r="P790" s="30">
        <f>IFERROR(__xludf.DUMMYFUNCTION("""COMPUTED_VALUE"""),0.7575757575757577)</f>
        <v>0.7575757576</v>
      </c>
      <c r="Q790" s="30">
        <f>IFERROR(__xludf.DUMMYFUNCTION("""COMPUTED_VALUE"""),0.5757575757575757)</f>
        <v>0.5757575758</v>
      </c>
      <c r="R790" s="30">
        <f>IFERROR(__xludf.DUMMYFUNCTION("""COMPUTED_VALUE"""),0.9090909090909093)</f>
        <v>0.9090909091</v>
      </c>
      <c r="S790" s="30">
        <f>IFERROR(__xludf.DUMMYFUNCTION("""COMPUTED_VALUE"""),2.151515151515152)</f>
        <v>2.151515152</v>
      </c>
      <c r="T790" s="30">
        <f>IFERROR(__xludf.DUMMYFUNCTION("""COMPUTED_VALUE"""),332.50976269003365)</f>
        <v>332.5097627</v>
      </c>
      <c r="U790" s="30">
        <f>IFERROR(__xludf.DUMMYFUNCTION("""COMPUTED_VALUE"""),0.8114527525098356)</f>
        <v>0.8114527525</v>
      </c>
      <c r="V790" s="30">
        <f>IFERROR(__xludf.DUMMYFUNCTION("""COMPUTED_VALUE"""),0.5593227267450064)</f>
        <v>0.5593227267</v>
      </c>
      <c r="W790" s="30">
        <f>IFERROR(__xludf.DUMMYFUNCTION("""COMPUTED_VALUE"""),1.1141408523859306)</f>
        <v>1.114140852</v>
      </c>
      <c r="X790" s="30">
        <f>IFERROR(__xludf.DUMMYFUNCTION("""COMPUTED_VALUE"""),2.299930210920169)</f>
        <v>2.299930211</v>
      </c>
      <c r="Y790" s="30">
        <f>IFERROR(__xludf.DUMMYFUNCTION("""COMPUTED_VALUE"""),321.4683956600368)</f>
        <v>321.4683957</v>
      </c>
      <c r="Z790" s="30">
        <f>IFERROR(__xludf.DUMMYFUNCTION("""COMPUTED_VALUE"""),0.7867667369465517)</f>
        <v>0.7867667369</v>
      </c>
      <c r="AA790" s="30">
        <f>IFERROR(__xludf.DUMMYFUNCTION("""COMPUTED_VALUE"""),0.5449155786560996)</f>
        <v>0.5449155787</v>
      </c>
      <c r="AB790" s="30">
        <f>IFERROR(__xludf.DUMMYFUNCTION("""COMPUTED_VALUE"""),1.0574473271285707)</f>
        <v>1.057447327</v>
      </c>
      <c r="AC790" s="30">
        <f>IFERROR(__xludf.DUMMYFUNCTION("""COMPUTED_VALUE"""),2.266476609652091)</f>
        <v>2.26647661</v>
      </c>
      <c r="AD790" s="30">
        <f>IFERROR(__xludf.DUMMYFUNCTION("""COMPUTED_VALUE"""),0.786730808762148)</f>
        <v>0.7867308088</v>
      </c>
      <c r="AE790" s="30">
        <f>IFERROR(__xludf.DUMMYFUNCTION("""COMPUTED_VALUE"""),0.9243816408600074)</f>
        <v>0.9243816409</v>
      </c>
      <c r="AF790" s="30">
        <f>IFERROR(__xludf.DUMMYFUNCTION("""COMPUTED_VALUE"""),0.5004945415579557)</f>
        <v>0.5004945416</v>
      </c>
      <c r="AG790" s="30">
        <f>IFERROR(__xludf.DUMMYFUNCTION("""COMPUTED_VALUE"""),0.6877626039753573)</f>
        <v>0.687762604</v>
      </c>
      <c r="AH790" s="30">
        <f>IFERROR(__xludf.DUMMYFUNCTION("""COMPUTED_VALUE"""),0.7219856712374463)</f>
        <v>0.7219856712</v>
      </c>
      <c r="AI790" s="30">
        <f>IFERROR(__xludf.DUMMYFUNCTION("""COMPUTED_VALUE"""),0.9698507673155736)</f>
        <v>0.9698507673</v>
      </c>
      <c r="AJ790" s="30">
        <f>IFERROR(__xludf.DUMMYFUNCTION("""COMPUTED_VALUE"""),0.9336042736099722)</f>
        <v>0.9336042736</v>
      </c>
      <c r="AK790" s="30">
        <f>IFERROR(__xludf.DUMMYFUNCTION("""COMPUTED_VALUE"""),1.029383481533483)</f>
        <v>1.029383482</v>
      </c>
      <c r="AL790" s="30">
        <f>IFERROR(__xludf.DUMMYFUNCTION("""COMPUTED_VALUE"""),0.8159568937303509)</f>
        <v>0.8159568937</v>
      </c>
      <c r="AM790" s="30">
        <f>IFERROR(__xludf.DUMMYFUNCTION("""COMPUTED_VALUE"""),0.9354697552559047)</f>
        <v>0.9354697553</v>
      </c>
      <c r="AN790" s="30">
        <f>IFERROR(__xludf.DUMMYFUNCTION("""COMPUTED_VALUE"""),0.7952546344448577)</f>
        <v>0.7952546344</v>
      </c>
      <c r="AO790" s="30">
        <f>IFERROR(__xludf.DUMMYFUNCTION("""COMPUTED_VALUE"""),0.9058257487728525)</f>
        <v>0.9058257488</v>
      </c>
      <c r="AP790" s="30">
        <f>IFERROR(__xludf.DUMMYFUNCTION("""COMPUTED_VALUE"""),0.5068338507640503)</f>
        <v>0.5068338508</v>
      </c>
      <c r="AQ790" s="30">
        <f>IFERROR(__xludf.DUMMYFUNCTION("""COMPUTED_VALUE"""),0.6944305306623865)</f>
        <v>0.6944305307</v>
      </c>
      <c r="AR790" s="30">
        <f>IFERROR(__xludf.DUMMYFUNCTION("""COMPUTED_VALUE"""),0.7428620489179406)</f>
        <v>0.7428620489</v>
      </c>
      <c r="AS790" s="30">
        <f>IFERROR(__xludf.DUMMYFUNCTION("""COMPUTED_VALUE"""),27.0)</f>
        <v>27</v>
      </c>
      <c r="AT790" s="30">
        <f>IFERROR(__xludf.DUMMYFUNCTION("""COMPUTED_VALUE"""),0.530012474141499)</f>
        <v>0.5300124741</v>
      </c>
      <c r="AU790" s="30">
        <f>IFERROR(__xludf.DUMMYFUNCTION("""COMPUTED_VALUE"""),2.4817815959193963)</f>
        <v>2.481781596</v>
      </c>
      <c r="AV790" s="32">
        <f>IFERROR(__xludf.DUMMYFUNCTION("""COMPUTED_VALUE"""),31.24175998005519)</f>
        <v>31.24175998</v>
      </c>
      <c r="AW790" s="32">
        <f>IFERROR(__xludf.DUMMYFUNCTION("""COMPUTED_VALUE"""),-4.414463185929039)</f>
        <v>-4.414463186</v>
      </c>
      <c r="AX790" s="32">
        <f>IFERROR(__xludf.DUMMYFUNCTION("""COMPUTED_VALUE"""),21.93426079423894)</f>
        <v>21.93426079</v>
      </c>
      <c r="AY790" s="32">
        <f>IFERROR(__xludf.DUMMYFUNCTION("""COMPUTED_VALUE"""),-7.6454103884093865)</f>
        <v>-7.645410388</v>
      </c>
      <c r="AZ790" s="30">
        <f>IFERROR(__xludf.DUMMYFUNCTION("""COMPUTED_VALUE"""),3.2309472024803476)</f>
        <v>3.230947202</v>
      </c>
      <c r="BA790" s="30">
        <f>IFERROR(__xludf.DUMMYFUNCTION("""COMPUTED_VALUE"""),3200.0)</f>
        <v>3200</v>
      </c>
    </row>
    <row r="791">
      <c r="A791" s="71" t="str">
        <f>IFERROR(__xludf.DUMMYFUNCTION("""COMPUTED_VALUE"""),"Contender")</f>
        <v>Contender</v>
      </c>
      <c r="B791" s="71" t="str">
        <f>IFERROR(__xludf.DUMMYFUNCTION("""COMPUTED_VALUE"""),"RSC007635")</f>
        <v>RSC007635</v>
      </c>
      <c r="C791" s="30" t="str">
        <f>IFERROR(__xludf.DUMMYFUNCTION("""COMPUTED_VALUE"""),"MungsApprentice")</f>
        <v>MungsApprentice</v>
      </c>
      <c r="D791" s="30" t="str">
        <f>IFERROR(__xludf.DUMMYFUNCTION("""COMPUTED_VALUE"""),"Ice")</f>
        <v>Ice</v>
      </c>
      <c r="E791" s="30">
        <f>IFERROR(__xludf.DUMMYFUNCTION("""COMPUTED_VALUE"""),11.0)</f>
        <v>11</v>
      </c>
      <c r="F791" s="30">
        <f>IFERROR(__xludf.DUMMYFUNCTION("""COMPUTED_VALUE"""),6.0)</f>
        <v>6</v>
      </c>
      <c r="G791" s="42">
        <f>IFERROR(__xludf.DUMMYFUNCTION("""COMPUTED_VALUE"""),5.0)</f>
        <v>5</v>
      </c>
      <c r="H791" s="42">
        <f>IFERROR(__xludf.DUMMYFUNCTION("""COMPUTED_VALUE"""),0.5454545454545454)</f>
        <v>0.5454545455</v>
      </c>
      <c r="I791" s="42">
        <f>IFERROR(__xludf.DUMMYFUNCTION("""COMPUTED_VALUE"""),0.3333333333333333)</f>
        <v>0.3333333333</v>
      </c>
      <c r="J791" s="30">
        <f>IFERROR(__xludf.DUMMYFUNCTION("""COMPUTED_VALUE"""),272.54545454545456)</f>
        <v>272.5454545</v>
      </c>
      <c r="K791" s="30">
        <f>IFERROR(__xludf.DUMMYFUNCTION("""COMPUTED_VALUE"""),0.5454545454545454)</f>
        <v>0.5454545455</v>
      </c>
      <c r="L791" s="30">
        <f>IFERROR(__xludf.DUMMYFUNCTION("""COMPUTED_VALUE"""),0.36363636363636365)</f>
        <v>0.3636363636</v>
      </c>
      <c r="M791" s="30">
        <f>IFERROR(__xludf.DUMMYFUNCTION("""COMPUTED_VALUE"""),1.1818181818181819)</f>
        <v>1.181818182</v>
      </c>
      <c r="N791" s="30">
        <f>IFERROR(__xludf.DUMMYFUNCTION("""COMPUTED_VALUE"""),1.6363636363636365)</f>
        <v>1.636363636</v>
      </c>
      <c r="O791" s="30">
        <f>IFERROR(__xludf.DUMMYFUNCTION("""COMPUTED_VALUE"""),340.30303030303037)</f>
        <v>340.3030303</v>
      </c>
      <c r="P791" s="30">
        <f>IFERROR(__xludf.DUMMYFUNCTION("""COMPUTED_VALUE"""),0.9393939393939396)</f>
        <v>0.9393939394</v>
      </c>
      <c r="Q791" s="30">
        <f>IFERROR(__xludf.DUMMYFUNCTION("""COMPUTED_VALUE"""),0.818181818181818)</f>
        <v>0.8181818182</v>
      </c>
      <c r="R791" s="30">
        <f>IFERROR(__xludf.DUMMYFUNCTION("""COMPUTED_VALUE"""),0.9393939393939394)</f>
        <v>0.9393939394</v>
      </c>
      <c r="S791" s="30">
        <f>IFERROR(__xludf.DUMMYFUNCTION("""COMPUTED_VALUE"""),2.606060606060606)</f>
        <v>2.606060606</v>
      </c>
      <c r="T791" s="30">
        <f>IFERROR(__xludf.DUMMYFUNCTION("""COMPUTED_VALUE"""),355.16609037233457)</f>
        <v>355.1660904</v>
      </c>
      <c r="U791" s="30">
        <f>IFERROR(__xludf.DUMMYFUNCTION("""COMPUTED_VALUE"""),1.0290787777644783)</f>
        <v>1.029078778</v>
      </c>
      <c r="V791" s="30">
        <f>IFERROR(__xludf.DUMMYFUNCTION("""COMPUTED_VALUE"""),0.6658093349902395)</f>
        <v>0.665809335</v>
      </c>
      <c r="W791" s="30">
        <f>IFERROR(__xludf.DUMMYFUNCTION("""COMPUTED_VALUE"""),0.9831645138688959)</f>
        <v>0.9831645139</v>
      </c>
      <c r="X791" s="30">
        <f>IFERROR(__xludf.DUMMYFUNCTION("""COMPUTED_VALUE"""),2.682207016174739)</f>
        <v>2.682207016</v>
      </c>
      <c r="Y791" s="30">
        <f>IFERROR(__xludf.DUMMYFUNCTION("""COMPUTED_VALUE"""),307.86929647788315)</f>
        <v>307.8692965</v>
      </c>
      <c r="Z791" s="30">
        <f>IFERROR(__xludf.DUMMYFUNCTION("""COMPUTED_VALUE"""),0.6696448584195237)</f>
        <v>0.6696448584</v>
      </c>
      <c r="AA791" s="30">
        <f>IFERROR(__xludf.DUMMYFUNCTION("""COMPUTED_VALUE"""),0.44992606274475244)</f>
        <v>0.4499260627</v>
      </c>
      <c r="AB791" s="30">
        <f>IFERROR(__xludf.DUMMYFUNCTION("""COMPUTED_VALUE"""),1.1492341573091993)</f>
        <v>1.149234157</v>
      </c>
      <c r="AC791" s="30">
        <f>IFERROR(__xludf.DUMMYFUNCTION("""COMPUTED_VALUE"""),2.032959263582463)</f>
        <v>2.032959264</v>
      </c>
      <c r="AD791" s="30">
        <f>IFERROR(__xludf.DUMMYFUNCTION("""COMPUTED_VALUE"""),0.8852635117027131)</f>
        <v>0.8852635117</v>
      </c>
      <c r="AE791" s="30">
        <f>IFERROR(__xludf.DUMMYFUNCTION("""COMPUTED_VALUE"""),0.8145430202240503)</f>
        <v>0.8145430202</v>
      </c>
      <c r="AF791" s="30">
        <f>IFERROR(__xludf.DUMMYFUNCTION("""COMPUTED_VALUE"""),0.808213601626048)</f>
        <v>0.8082136016</v>
      </c>
      <c r="AG791" s="30">
        <f>IFERROR(__xludf.DUMMYFUNCTION("""COMPUTED_VALUE"""),1.028352815918102)</f>
        <v>1.028352816</v>
      </c>
      <c r="AH791" s="30">
        <f>IFERROR(__xludf.DUMMYFUNCTION("""COMPUTED_VALUE"""),0.8049170810634203)</f>
        <v>0.8049170811</v>
      </c>
      <c r="AI791" s="30">
        <f>IFERROR(__xludf.DUMMYFUNCTION("""COMPUTED_VALUE"""),0.9581518042622744)</f>
        <v>0.9581518043</v>
      </c>
      <c r="AJ791" s="30">
        <f>IFERROR(__xludf.DUMMYFUNCTION("""COMPUTED_VALUE"""),0.9128493947126518)</f>
        <v>0.9128493947</v>
      </c>
      <c r="AK791" s="30">
        <f>IFERROR(__xludf.DUMMYFUNCTION("""COMPUTED_VALUE"""),1.228853029214155)</f>
        <v>1.228853029</v>
      </c>
      <c r="AL791" s="30">
        <f>IFERROR(__xludf.DUMMYFUNCTION("""COMPUTED_VALUE"""),0.9554799081359102)</f>
        <v>0.9554799081</v>
      </c>
      <c r="AM791" s="30">
        <f>IFERROR(__xludf.DUMMYFUNCTION("""COMPUTED_VALUE"""),0.9716105395090905)</f>
        <v>0.9716105395</v>
      </c>
      <c r="AN791" s="30">
        <f>IFERROR(__xludf.DUMMYFUNCTION("""COMPUTED_VALUE"""),0.8569997821947101)</f>
        <v>0.8569997822</v>
      </c>
      <c r="AO791" s="30">
        <f>IFERROR(__xludf.DUMMYFUNCTION("""COMPUTED_VALUE"""),0.6793693115796393)</f>
        <v>0.6793693116</v>
      </c>
      <c r="AP791" s="30">
        <f>IFERROR(__xludf.DUMMYFUNCTION("""COMPUTED_VALUE"""),0.6757784676854005)</f>
        <v>0.6757784677</v>
      </c>
      <c r="AQ791" s="30">
        <f>IFERROR(__xludf.DUMMYFUNCTION("""COMPUTED_VALUE"""),1.128449612326378)</f>
        <v>1.128449612</v>
      </c>
      <c r="AR791" s="30">
        <f>IFERROR(__xludf.DUMMYFUNCTION("""COMPUTED_VALUE"""),0.7428620489179406)</f>
        <v>0.7428620489</v>
      </c>
      <c r="AS791" s="30">
        <f>IFERROR(__xludf.DUMMYFUNCTION("""COMPUTED_VALUE"""),25.0)</f>
        <v>25</v>
      </c>
      <c r="AT791" s="30">
        <f>IFERROR(__xludf.DUMMYFUNCTION("""COMPUTED_VALUE"""),0.41503882081631926)</f>
        <v>0.4150388208</v>
      </c>
      <c r="AU791" s="30">
        <f>IFERROR(__xludf.DUMMYFUNCTION("""COMPUTED_VALUE"""),2.6768179556159915)</f>
        <v>2.676817956</v>
      </c>
      <c r="AV791" s="32">
        <f>IFERROR(__xludf.DUMMYFUNCTION("""COMPUTED_VALUE"""),34.06236344092582)</f>
        <v>34.06236344</v>
      </c>
      <c r="AW791" s="32">
        <f>IFERROR(__xludf.DUMMYFUNCTION("""COMPUTED_VALUE"""),-3.8182829282439013)</f>
        <v>-3.818282928</v>
      </c>
      <c r="AX791" s="32">
        <f>IFERROR(__xludf.DUMMYFUNCTION("""COMPUTED_VALUE"""),23.646778361473913)</f>
        <v>23.64677836</v>
      </c>
      <c r="AY791" s="32">
        <f>IFERROR(__xludf.DUMMYFUNCTION("""COMPUTED_VALUE"""),-6.85344774070193)</f>
        <v>-6.853447741</v>
      </c>
      <c r="AZ791" s="30">
        <f>IFERROR(__xludf.DUMMYFUNCTION("""COMPUTED_VALUE"""),3.035164812458029)</f>
        <v>3.035164812</v>
      </c>
      <c r="BA791" s="30">
        <f>IFERROR(__xludf.DUMMYFUNCTION("""COMPUTED_VALUE"""),3200.0)</f>
        <v>3200</v>
      </c>
    </row>
    <row r="792">
      <c r="A792" s="71" t="str">
        <f>IFERROR(__xludf.DUMMYFUNCTION("""COMPUTED_VALUE"""),"Contender")</f>
        <v>Contender</v>
      </c>
      <c r="B792" s="71" t="str">
        <f>IFERROR(__xludf.DUMMYFUNCTION("""COMPUTED_VALUE"""),"RSC001765")</f>
        <v>RSC001765</v>
      </c>
      <c r="C792" s="30" t="str">
        <f>IFERROR(__xludf.DUMMYFUNCTION("""COMPUTED_VALUE"""),"Trios")</f>
        <v>Trios</v>
      </c>
      <c r="D792" s="30" t="str">
        <f>IFERROR(__xludf.DUMMYFUNCTION("""COMPUTED_VALUE"""),"Toothpaste")</f>
        <v>Toothpaste</v>
      </c>
      <c r="E792" s="30">
        <f>IFERROR(__xludf.DUMMYFUNCTION("""COMPUTED_VALUE"""),7.0)</f>
        <v>7</v>
      </c>
      <c r="F792" s="30">
        <f>IFERROR(__xludf.DUMMYFUNCTION("""COMPUTED_VALUE"""),1.0)</f>
        <v>1</v>
      </c>
      <c r="G792" s="42">
        <f>IFERROR(__xludf.DUMMYFUNCTION("""COMPUTED_VALUE"""),6.0)</f>
        <v>6</v>
      </c>
      <c r="H792" s="42">
        <f>IFERROR(__xludf.DUMMYFUNCTION("""COMPUTED_VALUE"""),0.14285714285714285)</f>
        <v>0.1428571429</v>
      </c>
      <c r="I792" s="42">
        <f>IFERROR(__xludf.DUMMYFUNCTION("""COMPUTED_VALUE"""),0.38461538461538464)</f>
        <v>0.3846153846</v>
      </c>
      <c r="J792" s="30">
        <f>IFERROR(__xludf.DUMMYFUNCTION("""COMPUTED_VALUE"""),254.0)</f>
        <v>254</v>
      </c>
      <c r="K792" s="30">
        <f>IFERROR(__xludf.DUMMYFUNCTION("""COMPUTED_VALUE"""),0.7142857142857143)</f>
        <v>0.7142857143</v>
      </c>
      <c r="L792" s="30">
        <f>IFERROR(__xludf.DUMMYFUNCTION("""COMPUTED_VALUE"""),0.2857142857142857)</f>
        <v>0.2857142857</v>
      </c>
      <c r="M792" s="30">
        <f>IFERROR(__xludf.DUMMYFUNCTION("""COMPUTED_VALUE"""),0.5714285714285714)</f>
        <v>0.5714285714</v>
      </c>
      <c r="N792" s="30">
        <f>IFERROR(__xludf.DUMMYFUNCTION("""COMPUTED_VALUE"""),1.8571428571428572)</f>
        <v>1.857142857</v>
      </c>
      <c r="O792" s="30">
        <f>IFERROR(__xludf.DUMMYFUNCTION("""COMPUTED_VALUE"""),412.9047619047619)</f>
        <v>412.9047619</v>
      </c>
      <c r="P792" s="30">
        <f>IFERROR(__xludf.DUMMYFUNCTION("""COMPUTED_VALUE"""),1.619047619047619)</f>
        <v>1.619047619</v>
      </c>
      <c r="Q792" s="30">
        <f>IFERROR(__xludf.DUMMYFUNCTION("""COMPUTED_VALUE"""),1.0)</f>
        <v>1</v>
      </c>
      <c r="R792" s="30">
        <f>IFERROR(__xludf.DUMMYFUNCTION("""COMPUTED_VALUE"""),0.5238095238095238)</f>
        <v>0.5238095238</v>
      </c>
      <c r="S792" s="30">
        <f>IFERROR(__xludf.DUMMYFUNCTION("""COMPUTED_VALUE"""),2.8095238095238098)</f>
        <v>2.80952381</v>
      </c>
      <c r="T792" s="30">
        <f>IFERROR(__xludf.DUMMYFUNCTION("""COMPUTED_VALUE"""),324.3021240999959)</f>
        <v>324.3021241</v>
      </c>
      <c r="U792" s="30">
        <f>IFERROR(__xludf.DUMMYFUNCTION("""COMPUTED_VALUE"""),0.8065638954794209)</f>
        <v>0.8065638955</v>
      </c>
      <c r="V792" s="30">
        <f>IFERROR(__xludf.DUMMYFUNCTION("""COMPUTED_VALUE"""),0.5480753959105079)</f>
        <v>0.5480753959</v>
      </c>
      <c r="W792" s="30">
        <f>IFERROR(__xludf.DUMMYFUNCTION("""COMPUTED_VALUE"""),1.0235438960112366)</f>
        <v>1.023543896</v>
      </c>
      <c r="X792" s="30">
        <f>IFERROR(__xludf.DUMMYFUNCTION("""COMPUTED_VALUE"""),2.2530366971974787)</f>
        <v>2.253036697</v>
      </c>
      <c r="Y792" s="30">
        <f>IFERROR(__xludf.DUMMYFUNCTION("""COMPUTED_VALUE"""),326.1848240294045)</f>
        <v>326.184824</v>
      </c>
      <c r="Z792" s="30">
        <f>IFERROR(__xludf.DUMMYFUNCTION("""COMPUTED_VALUE"""),0.8381714827451611)</f>
        <v>0.8381714827</v>
      </c>
      <c r="AA792" s="30">
        <f>IFERROR(__xludf.DUMMYFUNCTION("""COMPUTED_VALUE"""),0.5669771141985216)</f>
        <v>0.5669771142</v>
      </c>
      <c r="AB792" s="30">
        <f>IFERROR(__xludf.DUMMYFUNCTION("""COMPUTED_VALUE"""),1.0410305902053605)</f>
        <v>1.04103059</v>
      </c>
      <c r="AC792" s="30">
        <f>IFERROR(__xludf.DUMMYFUNCTION("""COMPUTED_VALUE"""),2.250444583788258)</f>
        <v>2.250444584</v>
      </c>
      <c r="AD792" s="30">
        <f>IFERROR(__xludf.DUMMYFUNCTION("""COMPUTED_VALUE"""),0.7786996245328162)</f>
        <v>0.7786996245</v>
      </c>
      <c r="AE792" s="30">
        <f>IFERROR(__xludf.DUMMYFUNCTION("""COMPUTED_VALUE"""),0.8521951998966861)</f>
        <v>0.8521951999</v>
      </c>
      <c r="AF792" s="30">
        <f>IFERROR(__xludf.DUMMYFUNCTION("""COMPUTED_VALUE"""),0.5039256057419023)</f>
        <v>0.5039256057</v>
      </c>
      <c r="AG792" s="30">
        <f>IFERROR(__xludf.DUMMYFUNCTION("""COMPUTED_VALUE"""),0.5489066092821034)</f>
        <v>0.5489066093</v>
      </c>
      <c r="AH792" s="30">
        <f>IFERROR(__xludf.DUMMYFUNCTION("""COMPUTED_VALUE"""),0.8252337651508214)</f>
        <v>0.8252337652</v>
      </c>
      <c r="AI792" s="30">
        <f>IFERROR(__xludf.DUMMYFUNCTION("""COMPUTED_VALUE"""),1.273210167989668)</f>
        <v>1.273210168</v>
      </c>
      <c r="AJ792" s="30">
        <f>IFERROR(__xludf.DUMMYFUNCTION("""COMPUTED_VALUE"""),2.0073395649395622)</f>
        <v>2.007339565</v>
      </c>
      <c r="AK792" s="30">
        <f>IFERROR(__xludf.DUMMYFUNCTION("""COMPUTED_VALUE"""),1.8245664874970673)</f>
        <v>1.824566487</v>
      </c>
      <c r="AL792" s="30">
        <f>IFERROR(__xludf.DUMMYFUNCTION("""COMPUTED_VALUE"""),0.5117606834946856)</f>
        <v>0.5117606835</v>
      </c>
      <c r="AM792" s="30">
        <f>IFERROR(__xludf.DUMMYFUNCTION("""COMPUTED_VALUE"""),1.2469942513668497)</f>
        <v>1.246994251</v>
      </c>
      <c r="AN792" s="30">
        <f>IFERROR(__xludf.DUMMYFUNCTION("""COMPUTED_VALUE"""),0.7986849204309606)</f>
        <v>0.7986849204</v>
      </c>
      <c r="AO792" s="30">
        <f>IFERROR(__xludf.DUMMYFUNCTION("""COMPUTED_VALUE"""),0.8896502889733372)</f>
        <v>0.889650289</v>
      </c>
      <c r="AP792" s="30">
        <f>IFERROR(__xludf.DUMMYFUNCTION("""COMPUTED_VALUE"""),0.5309687960385289)</f>
        <v>0.530968796</v>
      </c>
      <c r="AQ792" s="30">
        <f>IFERROR(__xludf.DUMMYFUNCTION("""COMPUTED_VALUE"""),0.5456239883775893)</f>
        <v>0.5456239884</v>
      </c>
      <c r="AR792" s="30">
        <f>IFERROR(__xludf.DUMMYFUNCTION("""COMPUTED_VALUE"""),0.8430894682163929)</f>
        <v>0.8430894682</v>
      </c>
      <c r="AS792" s="30">
        <f>IFERROR(__xludf.DUMMYFUNCTION("""COMPUTED_VALUE"""),16.0)</f>
        <v>16</v>
      </c>
      <c r="AT792" s="30">
        <f>IFERROR(__xludf.DUMMYFUNCTION("""COMPUTED_VALUE"""),0.2099444719675095)</f>
        <v>0.209944472</v>
      </c>
      <c r="AU792" s="30">
        <f>IFERROR(__xludf.DUMMYFUNCTION("""COMPUTED_VALUE"""),1.6028016406188956)</f>
        <v>1.602801641</v>
      </c>
      <c r="AV792" s="32">
        <f>IFERROR(__xludf.DUMMYFUNCTION("""COMPUTED_VALUE"""),18.530007628784322)</f>
        <v>18.53000763</v>
      </c>
      <c r="AW792" s="32">
        <f>IFERROR(__xludf.DUMMYFUNCTION("""COMPUTED_VALUE"""),-9.61063979592871)</f>
        <v>-9.610639796</v>
      </c>
      <c r="AX792" s="32">
        <f>IFERROR(__xludf.DUMMYFUNCTION("""COMPUTED_VALUE"""),24.06145924512281)</f>
        <v>24.06145925</v>
      </c>
      <c r="AY792" s="32">
        <f>IFERROR(__xludf.DUMMYFUNCTION("""COMPUTED_VALUE"""),-6.6781641346015155)</f>
        <v>-6.678164135</v>
      </c>
      <c r="AZ792" s="30">
        <f>IFERROR(__xludf.DUMMYFUNCTION("""COMPUTED_VALUE"""),2.932475661327195)</f>
        <v>2.932475661</v>
      </c>
      <c r="BA792" s="30">
        <f>IFERROR(__xludf.DUMMYFUNCTION("""COMPUTED_VALUE"""),3200.0)</f>
        <v>3200</v>
      </c>
    </row>
    <row r="793">
      <c r="A793" s="71" t="str">
        <f>IFERROR(__xludf.DUMMYFUNCTION("""COMPUTED_VALUE"""),"Contender")</f>
        <v>Contender</v>
      </c>
      <c r="B793" s="71" t="str">
        <f>IFERROR(__xludf.DUMMYFUNCTION("""COMPUTED_VALUE"""),"RSC003223")</f>
        <v>RSC003223</v>
      </c>
      <c r="C793" s="30" t="str">
        <f>IFERROR(__xludf.DUMMYFUNCTION("""COMPUTED_VALUE"""),"AZoroARK")</f>
        <v>AZoroARK</v>
      </c>
      <c r="D793" s="30" t="str">
        <f>IFERROR(__xludf.DUMMYFUNCTION("""COMPUTED_VALUE"""),"Cheese Pizza")</f>
        <v>Cheese Pizza</v>
      </c>
      <c r="E793" s="30">
        <f>IFERROR(__xludf.DUMMYFUNCTION("""COMPUTED_VALUE"""),45.0)</f>
        <v>45</v>
      </c>
      <c r="F793" s="30">
        <f>IFERROR(__xludf.DUMMYFUNCTION("""COMPUTED_VALUE"""),35.0)</f>
        <v>35</v>
      </c>
      <c r="G793" s="42">
        <f>IFERROR(__xludf.DUMMYFUNCTION("""COMPUTED_VALUE"""),10.0)</f>
        <v>10</v>
      </c>
      <c r="H793" s="42">
        <f>IFERROR(__xludf.DUMMYFUNCTION("""COMPUTED_VALUE"""),0.7777777777777778)</f>
        <v>0.7777777778</v>
      </c>
      <c r="I793" s="42">
        <f>IFERROR(__xludf.DUMMYFUNCTION("""COMPUTED_VALUE"""),0.33587786259541985)</f>
        <v>0.3358778626</v>
      </c>
      <c r="J793" s="30">
        <f>IFERROR(__xludf.DUMMYFUNCTION("""COMPUTED_VALUE"""),348.06666666666666)</f>
        <v>348.0666667</v>
      </c>
      <c r="K793" s="30">
        <f>IFERROR(__xludf.DUMMYFUNCTION("""COMPUTED_VALUE"""),0.9777777777777777)</f>
        <v>0.9777777778</v>
      </c>
      <c r="L793" s="30">
        <f>IFERROR(__xludf.DUMMYFUNCTION("""COMPUTED_VALUE"""),0.7333333333333333)</f>
        <v>0.7333333333</v>
      </c>
      <c r="M793" s="30">
        <f>IFERROR(__xludf.DUMMYFUNCTION("""COMPUTED_VALUE"""),0.8666666666666667)</f>
        <v>0.8666666667</v>
      </c>
      <c r="N793" s="30">
        <f>IFERROR(__xludf.DUMMYFUNCTION("""COMPUTED_VALUE"""),2.911111111111111)</f>
        <v>2.911111111</v>
      </c>
      <c r="O793" s="30">
        <f>IFERROR(__xludf.DUMMYFUNCTION("""COMPUTED_VALUE"""),308.9555555555556)</f>
        <v>308.9555556</v>
      </c>
      <c r="P793" s="30">
        <f>IFERROR(__xludf.DUMMYFUNCTION("""COMPUTED_VALUE"""),0.585185185185185)</f>
        <v>0.5851851852</v>
      </c>
      <c r="Q793" s="30">
        <f>IFERROR(__xludf.DUMMYFUNCTION("""COMPUTED_VALUE"""),0.37037037037037046)</f>
        <v>0.3703703704</v>
      </c>
      <c r="R793" s="30">
        <f>IFERROR(__xludf.DUMMYFUNCTION("""COMPUTED_VALUE"""),1.4296296296296298)</f>
        <v>1.42962963</v>
      </c>
      <c r="S793" s="30">
        <f>IFERROR(__xludf.DUMMYFUNCTION("""COMPUTED_VALUE"""),1.7851851851851857)</f>
        <v>1.785185185</v>
      </c>
      <c r="T793" s="30">
        <f>IFERROR(__xludf.DUMMYFUNCTION("""COMPUTED_VALUE"""),322.1943417381619)</f>
        <v>322.1943417</v>
      </c>
      <c r="U793" s="30">
        <f>IFERROR(__xludf.DUMMYFUNCTION("""COMPUTED_VALUE"""),0.772684682047214)</f>
        <v>0.772684682</v>
      </c>
      <c r="V793" s="30">
        <f>IFERROR(__xludf.DUMMYFUNCTION("""COMPUTED_VALUE"""),0.5173116893469628)</f>
        <v>0.5173116893</v>
      </c>
      <c r="W793" s="30">
        <f>IFERROR(__xludf.DUMMYFUNCTION("""COMPUTED_VALUE"""),1.1193937847494533)</f>
        <v>1.119393785</v>
      </c>
      <c r="X793" s="30">
        <f>IFERROR(__xludf.DUMMYFUNCTION("""COMPUTED_VALUE"""),2.172744344243237)</f>
        <v>2.172744344</v>
      </c>
      <c r="Y793" s="30">
        <f>IFERROR(__xludf.DUMMYFUNCTION("""COMPUTED_VALUE"""),336.23635396161455)</f>
        <v>336.236354</v>
      </c>
      <c r="Z793" s="30">
        <f>IFERROR(__xludf.DUMMYFUNCTION("""COMPUTED_VALUE"""),0.8819012590855517)</f>
        <v>0.8819012591</v>
      </c>
      <c r="AA793" s="30">
        <f>IFERROR(__xludf.DUMMYFUNCTION("""COMPUTED_VALUE"""),0.5948447423757492)</f>
        <v>0.5948447424</v>
      </c>
      <c r="AB793" s="30">
        <f>IFERROR(__xludf.DUMMYFUNCTION("""COMPUTED_VALUE"""),1.0429771220530524)</f>
        <v>1.042977122</v>
      </c>
      <c r="AC793" s="30">
        <f>IFERROR(__xludf.DUMMYFUNCTION("""COMPUTED_VALUE"""),2.424562912252577)</f>
        <v>2.424562912</v>
      </c>
      <c r="AD793" s="30">
        <f>IFERROR(__xludf.DUMMYFUNCTION("""COMPUTED_VALUE"""),1.035184514005296)</f>
        <v>1.035184514</v>
      </c>
      <c r="AE793" s="30">
        <f>IFERROR(__xludf.DUMMYFUNCTION("""COMPUTED_VALUE"""),1.1087157067806446)</f>
        <v>1.108715707</v>
      </c>
      <c r="AF793" s="30">
        <f>IFERROR(__xludf.DUMMYFUNCTION("""COMPUTED_VALUE"""),1.2328146843905432)</f>
        <v>1.232814684</v>
      </c>
      <c r="AG793" s="30">
        <f>IFERROR(__xludf.DUMMYFUNCTION("""COMPUTED_VALUE"""),0.83095462819038)</f>
        <v>0.8309546282</v>
      </c>
      <c r="AH793" s="30">
        <f>IFERROR(__xludf.DUMMYFUNCTION("""COMPUTED_VALUE"""),1.2006746025849662)</f>
        <v>1.200674603</v>
      </c>
      <c r="AI793" s="30">
        <f>IFERROR(__xludf.DUMMYFUNCTION("""COMPUTED_VALUE"""),0.958910556556685)</f>
        <v>0.9589105566</v>
      </c>
      <c r="AJ793" s="30">
        <f>IFERROR(__xludf.DUMMYFUNCTION("""COMPUTED_VALUE"""),0.7573402175318754)</f>
        <v>0.7573402175</v>
      </c>
      <c r="AK793" s="30">
        <f>IFERROR(__xludf.DUMMYFUNCTION("""COMPUTED_VALUE"""),0.7159520613924534)</f>
        <v>0.7159520614</v>
      </c>
      <c r="AL793" s="30">
        <f>IFERROR(__xludf.DUMMYFUNCTION("""COMPUTED_VALUE"""),1.2771462992798506)</f>
        <v>1.277146299</v>
      </c>
      <c r="AM793" s="30">
        <f>IFERROR(__xludf.DUMMYFUNCTION("""COMPUTED_VALUE"""),0.821626893157079)</f>
        <v>0.8216268932</v>
      </c>
      <c r="AN793" s="30">
        <f>IFERROR(__xludf.DUMMYFUNCTION("""COMPUTED_VALUE"""),1.0944708581548674)</f>
        <v>1.094470858</v>
      </c>
      <c r="AO793" s="30">
        <f>IFERROR(__xludf.DUMMYFUNCTION("""COMPUTED_VALUE"""),1.2178323955723904)</f>
        <v>1.217832396</v>
      </c>
      <c r="AP793" s="30">
        <f>IFERROR(__xludf.DUMMYFUNCTION("""COMPUTED_VALUE"""),1.3628199098322242)</f>
        <v>1.36281991</v>
      </c>
      <c r="AQ793" s="30">
        <f>IFERROR(__xludf.DUMMYFUNCTION("""COMPUTED_VALUE"""),0.8275297157060105)</f>
        <v>0.8275297157</v>
      </c>
      <c r="AR793" s="30">
        <f>IFERROR(__xludf.DUMMYFUNCTION("""COMPUTED_VALUE"""),1.3215607561614227)</f>
        <v>1.321560756</v>
      </c>
      <c r="AS793" s="30">
        <f>IFERROR(__xludf.DUMMYFUNCTION("""COMPUTED_VALUE"""),165.0)</f>
        <v>165</v>
      </c>
      <c r="AT793" s="30">
        <f>IFERROR(__xludf.DUMMYFUNCTION("""COMPUTED_VALUE"""),0.7678856265490959)</f>
        <v>0.7678856265</v>
      </c>
      <c r="AU793" s="30">
        <f>IFERROR(__xludf.DUMMYFUNCTION("""COMPUTED_VALUE"""),5.260201288809979)</f>
        <v>5.260201289</v>
      </c>
      <c r="AV793" s="32">
        <f>IFERROR(__xludf.DUMMYFUNCTION("""COMPUTED_VALUE"""),71.42308931633639)</f>
        <v>71.42308932</v>
      </c>
      <c r="AW793" s="32">
        <f>IFERROR(__xludf.DUMMYFUNCTION("""COMPUTED_VALUE"""),5.10872485046641)</f>
        <v>5.10872485</v>
      </c>
      <c r="AX793" s="32">
        <f>IFERROR(__xludf.DUMMYFUNCTION("""COMPUTED_VALUE"""),55.9739401182777)</f>
        <v>55.97394012</v>
      </c>
      <c r="AY793" s="32">
        <f>IFERROR(__xludf.DUMMYFUNCTION("""COMPUTED_VALUE"""),2.4656702967757416)</f>
        <v>2.465670297</v>
      </c>
      <c r="AZ793" s="30">
        <f>IFERROR(__xludf.DUMMYFUNCTION("""COMPUTED_VALUE"""),2.643054553690668)</f>
        <v>2.643054554</v>
      </c>
      <c r="BA793" s="30">
        <f>IFERROR(__xludf.DUMMYFUNCTION("""COMPUTED_VALUE"""),3200.0)</f>
        <v>3200</v>
      </c>
    </row>
    <row r="794">
      <c r="A794" s="71" t="str">
        <f>IFERROR(__xludf.DUMMYFUNCTION("""COMPUTED_VALUE"""),"Contender")</f>
        <v>Contender</v>
      </c>
      <c r="B794" s="71" t="str">
        <f>IFERROR(__xludf.DUMMYFUNCTION("""COMPUTED_VALUE"""),"RSC003153")</f>
        <v>RSC003153</v>
      </c>
      <c r="C794" s="30" t="str">
        <f>IFERROR(__xludf.DUMMYFUNCTION("""COMPUTED_VALUE"""),"Theman")</f>
        <v>Theman</v>
      </c>
      <c r="D794" s="30" t="str">
        <f>IFERROR(__xludf.DUMMYFUNCTION("""COMPUTED_VALUE"""),"Clover")</f>
        <v>Clover</v>
      </c>
      <c r="E794" s="30">
        <f>IFERROR(__xludf.DUMMYFUNCTION("""COMPUTED_VALUE"""),38.0)</f>
        <v>38</v>
      </c>
      <c r="F794" s="30">
        <f>IFERROR(__xludf.DUMMYFUNCTION("""COMPUTED_VALUE"""),19.0)</f>
        <v>19</v>
      </c>
      <c r="G794" s="42">
        <f>IFERROR(__xludf.DUMMYFUNCTION("""COMPUTED_VALUE"""),19.0)</f>
        <v>19</v>
      </c>
      <c r="H794" s="42">
        <f>IFERROR(__xludf.DUMMYFUNCTION("""COMPUTED_VALUE"""),0.5)</f>
        <v>0.5</v>
      </c>
      <c r="I794" s="42">
        <f>IFERROR(__xludf.DUMMYFUNCTION("""COMPUTED_VALUE"""),0.3888888888888889)</f>
        <v>0.3888888889</v>
      </c>
      <c r="J794" s="30">
        <f>IFERROR(__xludf.DUMMYFUNCTION("""COMPUTED_VALUE"""),306.36842105263156)</f>
        <v>306.3684211</v>
      </c>
      <c r="K794" s="30">
        <f>IFERROR(__xludf.DUMMYFUNCTION("""COMPUTED_VALUE"""),0.7368421052631579)</f>
        <v>0.7368421053</v>
      </c>
      <c r="L794" s="30">
        <f>IFERROR(__xludf.DUMMYFUNCTION("""COMPUTED_VALUE"""),0.2894736842105263)</f>
        <v>0.2894736842</v>
      </c>
      <c r="M794" s="30">
        <f>IFERROR(__xludf.DUMMYFUNCTION("""COMPUTED_VALUE"""),1.236842105263158)</f>
        <v>1.236842105</v>
      </c>
      <c r="N794" s="30">
        <f>IFERROR(__xludf.DUMMYFUNCTION("""COMPUTED_VALUE"""),1.894736842105263)</f>
        <v>1.894736842</v>
      </c>
      <c r="O794" s="30">
        <f>IFERROR(__xludf.DUMMYFUNCTION("""COMPUTED_VALUE"""),341.1140350877192)</f>
        <v>341.1140351</v>
      </c>
      <c r="P794" s="30">
        <f>IFERROR(__xludf.DUMMYFUNCTION("""COMPUTED_VALUE"""),0.8070175438596493)</f>
        <v>0.8070175439</v>
      </c>
      <c r="Q794" s="30">
        <f>IFERROR(__xludf.DUMMYFUNCTION("""COMPUTED_VALUE"""),0.5789473684210528)</f>
        <v>0.5789473684</v>
      </c>
      <c r="R794" s="30">
        <f>IFERROR(__xludf.DUMMYFUNCTION("""COMPUTED_VALUE"""),1.1666666666666665)</f>
        <v>1.166666667</v>
      </c>
      <c r="S794" s="30">
        <f>IFERROR(__xludf.DUMMYFUNCTION("""COMPUTED_VALUE"""),2.5701754385964914)</f>
        <v>2.570175439</v>
      </c>
      <c r="T794" s="30">
        <f>IFERROR(__xludf.DUMMYFUNCTION("""COMPUTED_VALUE"""),326.74857962586543)</f>
        <v>326.7485796</v>
      </c>
      <c r="U794" s="30">
        <f>IFERROR(__xludf.DUMMYFUNCTION("""COMPUTED_VALUE"""),0.8147907128551349)</f>
        <v>0.8147907129</v>
      </c>
      <c r="V794" s="30">
        <f>IFERROR(__xludf.DUMMYFUNCTION("""COMPUTED_VALUE"""),0.5624215964607725)</f>
        <v>0.5624215965</v>
      </c>
      <c r="W794" s="30">
        <f>IFERROR(__xludf.DUMMYFUNCTION("""COMPUTED_VALUE"""),1.0725353612451436)</f>
        <v>1.072535361</v>
      </c>
      <c r="X794" s="30">
        <f>IFERROR(__xludf.DUMMYFUNCTION("""COMPUTED_VALUE"""),2.2878688748858744)</f>
        <v>2.287868875</v>
      </c>
      <c r="Y794" s="30">
        <f>IFERROR(__xludf.DUMMYFUNCTION("""COMPUTED_VALUE"""),331.37896794961233)</f>
        <v>331.3789679</v>
      </c>
      <c r="Z794" s="30">
        <f>IFERROR(__xludf.DUMMYFUNCTION("""COMPUTED_VALUE"""),0.8401126062872798)</f>
        <v>0.8401126063</v>
      </c>
      <c r="AA794" s="30">
        <f>IFERROR(__xludf.DUMMYFUNCTION("""COMPUTED_VALUE"""),0.5494220659669605)</f>
        <v>0.549422066</v>
      </c>
      <c r="AB794" s="30">
        <f>IFERROR(__xludf.DUMMYFUNCTION("""COMPUTED_VALUE"""),1.1091175763008256)</f>
        <v>1.109117576</v>
      </c>
      <c r="AC794" s="30">
        <f>IFERROR(__xludf.DUMMYFUNCTION("""COMPUTED_VALUE"""),2.291301219997012)</f>
        <v>2.29130122</v>
      </c>
      <c r="AD794" s="30">
        <f>IFERROR(__xludf.DUMMYFUNCTION("""COMPUTED_VALUE"""),0.9245258470936402)</f>
        <v>0.9245258471</v>
      </c>
      <c r="AE794" s="30">
        <f>IFERROR(__xludf.DUMMYFUNCTION("""COMPUTED_VALUE"""),0.877075406021454)</f>
        <v>0.877075406</v>
      </c>
      <c r="AF794" s="30">
        <f>IFERROR(__xludf.DUMMYFUNCTION("""COMPUTED_VALUE"""),0.5268694181422517)</f>
        <v>0.5268694181</v>
      </c>
      <c r="AG794" s="30">
        <f>IFERROR(__xludf.DUMMYFUNCTION("""COMPUTED_VALUE"""),1.1151586916405423)</f>
        <v>1.115158692</v>
      </c>
      <c r="AH794" s="30">
        <f>IFERROR(__xludf.DUMMYFUNCTION("""COMPUTED_VALUE"""),0.8269261263290969)</f>
        <v>0.8269261263</v>
      </c>
      <c r="AI794" s="30">
        <f>IFERROR(__xludf.DUMMYFUNCTION("""COMPUTED_VALUE"""),1.0439648597043711)</f>
        <v>1.04396486</v>
      </c>
      <c r="AJ794" s="30">
        <f>IFERROR(__xludf.DUMMYFUNCTION("""COMPUTED_VALUE"""),0.9904599194948511)</f>
        <v>0.9904599195</v>
      </c>
      <c r="AK794" s="30">
        <f>IFERROR(__xludf.DUMMYFUNCTION("""COMPUTED_VALUE"""),1.0293832457079783)</f>
        <v>1.029383246</v>
      </c>
      <c r="AL794" s="30">
        <f>IFERROR(__xludf.DUMMYFUNCTION("""COMPUTED_VALUE"""),1.087765223248437)</f>
        <v>1.087765223</v>
      </c>
      <c r="AM794" s="30">
        <f>IFERROR(__xludf.DUMMYFUNCTION("""COMPUTED_VALUE"""),1.1233928075203607)</f>
        <v>1.123392808</v>
      </c>
      <c r="AN794" s="30">
        <f>IFERROR(__xludf.DUMMYFUNCTION("""COMPUTED_VALUE"""),0.9633536928778743)</f>
        <v>0.9633536929</v>
      </c>
      <c r="AO794" s="30">
        <f>IFERROR(__xludf.DUMMYFUNCTION("""COMPUTED_VALUE"""),0.9177445086251268)</f>
        <v>0.9177445086</v>
      </c>
      <c r="AP794" s="30">
        <f>IFERROR(__xludf.DUMMYFUNCTION("""COMPUTED_VALUE"""),0.5379552275653517)</f>
        <v>0.5379552276</v>
      </c>
      <c r="AQ794" s="30">
        <f>IFERROR(__xludf.DUMMYFUNCTION("""COMPUTED_VALUE"""),1.1809887643172823)</f>
        <v>1.180988764</v>
      </c>
      <c r="AR794" s="30">
        <f>IFERROR(__xludf.DUMMYFUNCTION("""COMPUTED_VALUE"""),0.8601560566418258)</f>
        <v>0.8601560566</v>
      </c>
      <c r="AS794" s="30">
        <f>IFERROR(__xludf.DUMMYFUNCTION("""COMPUTED_VALUE"""),99.0)</f>
        <v>99</v>
      </c>
      <c r="AT794" s="30">
        <f>IFERROR(__xludf.DUMMYFUNCTION("""COMPUTED_VALUE"""),0.5291069438700673)</f>
        <v>0.5291069439</v>
      </c>
      <c r="AU794" s="30">
        <f>IFERROR(__xludf.DUMMYFUNCTION("""COMPUTED_VALUE"""),2.7388111817857816)</f>
        <v>2.738811182</v>
      </c>
      <c r="AV794" s="32">
        <f>IFERROR(__xludf.DUMMYFUNCTION("""COMPUTED_VALUE"""),34.9589055449574)</f>
        <v>34.95890554</v>
      </c>
      <c r="AW794" s="32">
        <f>IFERROR(__xludf.DUMMYFUNCTION("""COMPUTED_VALUE"""),-3.6535600709906486)</f>
        <v>-3.653560071</v>
      </c>
      <c r="AX794" s="32">
        <f>IFERROR(__xludf.DUMMYFUNCTION("""COMPUTED_VALUE"""),26.259101825383507)</f>
        <v>26.25910183</v>
      </c>
      <c r="AY794" s="32">
        <f>IFERROR(__xludf.DUMMYFUNCTION("""COMPUTED_VALUE"""),-5.842874413936054)</f>
        <v>-5.842874414</v>
      </c>
      <c r="AZ794" s="30">
        <f>IFERROR(__xludf.DUMMYFUNCTION("""COMPUTED_VALUE"""),2.189314342945405)</f>
        <v>2.189314343</v>
      </c>
      <c r="BA794" s="30">
        <f>IFERROR(__xludf.DUMMYFUNCTION("""COMPUTED_VALUE"""),3200.0)</f>
        <v>3200</v>
      </c>
    </row>
    <row r="795">
      <c r="A795" s="71" t="str">
        <f>IFERROR(__xludf.DUMMYFUNCTION("""COMPUTED_VALUE"""),"Contender")</f>
        <v>Contender</v>
      </c>
      <c r="B795" s="71" t="str">
        <f>IFERROR(__xludf.DUMMYFUNCTION("""COMPUTED_VALUE"""),"RSC006024")</f>
        <v>RSC006024</v>
      </c>
      <c r="C795" s="30" t="str">
        <f>IFERROR(__xludf.DUMMYFUNCTION("""COMPUTED_VALUE"""),"DrizzyDaDizzy")</f>
        <v>DrizzyDaDizzy</v>
      </c>
      <c r="D795" s="30"/>
      <c r="E795" s="30">
        <f>IFERROR(__xludf.DUMMYFUNCTION("""COMPUTED_VALUE"""),7.0)</f>
        <v>7</v>
      </c>
      <c r="F795" s="30">
        <f>IFERROR(__xludf.DUMMYFUNCTION("""COMPUTED_VALUE"""),2.0)</f>
        <v>2</v>
      </c>
      <c r="G795" s="42">
        <f>IFERROR(__xludf.DUMMYFUNCTION("""COMPUTED_VALUE"""),5.0)</f>
        <v>5</v>
      </c>
      <c r="H795" s="42">
        <f>IFERROR(__xludf.DUMMYFUNCTION("""COMPUTED_VALUE"""),0.2857142857142857)</f>
        <v>0.2857142857</v>
      </c>
      <c r="I795" s="42">
        <f>IFERROR(__xludf.DUMMYFUNCTION("""COMPUTED_VALUE"""),0.6)</f>
        <v>0.6</v>
      </c>
      <c r="J795" s="30">
        <f>IFERROR(__xludf.DUMMYFUNCTION("""COMPUTED_VALUE"""),287.14285714285717)</f>
        <v>287.1428571</v>
      </c>
      <c r="K795" s="30">
        <f>IFERROR(__xludf.DUMMYFUNCTION("""COMPUTED_VALUE"""),0.8571428571428571)</f>
        <v>0.8571428571</v>
      </c>
      <c r="L795" s="30">
        <f>IFERROR(__xludf.DUMMYFUNCTION("""COMPUTED_VALUE"""),0.0)</f>
        <v>0</v>
      </c>
      <c r="M795" s="30">
        <f>IFERROR(__xludf.DUMMYFUNCTION("""COMPUTED_VALUE"""),1.1428571428571428)</f>
        <v>1.142857143</v>
      </c>
      <c r="N795" s="30">
        <f>IFERROR(__xludf.DUMMYFUNCTION("""COMPUTED_VALUE"""),1.4285714285714286)</f>
        <v>1.428571429</v>
      </c>
      <c r="O795" s="30">
        <f>IFERROR(__xludf.DUMMYFUNCTION("""COMPUTED_VALUE"""),341.85714285714283)</f>
        <v>341.8571429</v>
      </c>
      <c r="P795" s="30">
        <f>IFERROR(__xludf.DUMMYFUNCTION("""COMPUTED_VALUE"""),1.0)</f>
        <v>1</v>
      </c>
      <c r="Q795" s="30">
        <f>IFERROR(__xludf.DUMMYFUNCTION("""COMPUTED_VALUE"""),0.7619047619047619)</f>
        <v>0.7619047619</v>
      </c>
      <c r="R795" s="30">
        <f>IFERROR(__xludf.DUMMYFUNCTION("""COMPUTED_VALUE"""),1.0)</f>
        <v>1</v>
      </c>
      <c r="S795" s="30">
        <f>IFERROR(__xludf.DUMMYFUNCTION("""COMPUTED_VALUE"""),2.4761904761904767)</f>
        <v>2.476190476</v>
      </c>
      <c r="T795" s="30">
        <f>IFERROR(__xludf.DUMMYFUNCTION("""COMPUTED_VALUE"""),330.67887275525163)</f>
        <v>330.6788728</v>
      </c>
      <c r="U795" s="30">
        <f>IFERROR(__xludf.DUMMYFUNCTION("""COMPUTED_VALUE"""),0.8172162569837385)</f>
        <v>0.817216257</v>
      </c>
      <c r="V795" s="30">
        <f>IFERROR(__xludf.DUMMYFUNCTION("""COMPUTED_VALUE"""),0.5629895369182057)</f>
        <v>0.5629895369</v>
      </c>
      <c r="W795" s="30">
        <f>IFERROR(__xludf.DUMMYFUNCTION("""COMPUTED_VALUE"""),1.119596050803343)</f>
        <v>1.119596051</v>
      </c>
      <c r="X795" s="30">
        <f>IFERROR(__xludf.DUMMYFUNCTION("""COMPUTED_VALUE"""),2.3086108130979235)</f>
        <v>2.308610813</v>
      </c>
      <c r="Y795" s="30">
        <f>IFERROR(__xludf.DUMMYFUNCTION("""COMPUTED_VALUE"""),309.24979153270806)</f>
        <v>309.2497915</v>
      </c>
      <c r="Z795" s="30">
        <f>IFERROR(__xludf.DUMMYFUNCTION("""COMPUTED_VALUE"""),0.7068348390198087)</f>
        <v>0.706834839</v>
      </c>
      <c r="AA795" s="30">
        <f>IFERROR(__xludf.DUMMYFUNCTION("""COMPUTED_VALUE"""),0.4777501036901898)</f>
        <v>0.4777501037</v>
      </c>
      <c r="AB795" s="30">
        <f>IFERROR(__xludf.DUMMYFUNCTION("""COMPUTED_VALUE"""),1.0771001522160264)</f>
        <v>1.077100152</v>
      </c>
      <c r="AC795" s="30">
        <f>IFERROR(__xludf.DUMMYFUNCTION("""COMPUTED_VALUE"""),2.1797140172179517)</f>
        <v>2.179714017</v>
      </c>
      <c r="AD795" s="30">
        <f>IFERROR(__xludf.DUMMYFUNCTION("""COMPUTED_VALUE"""),0.9285143111001491)</f>
        <v>0.9285143111</v>
      </c>
      <c r="AE795" s="30">
        <f>IFERROR(__xludf.DUMMYFUNCTION("""COMPUTED_VALUE"""),1.2126494193912194)</f>
        <v>1.212649419</v>
      </c>
      <c r="AF795" s="30">
        <f>IFERROR(__xludf.DUMMYFUNCTION("""COMPUTED_VALUE"""),0.0)</f>
        <v>0</v>
      </c>
      <c r="AG795" s="30">
        <f>IFERROR(__xludf.DUMMYFUNCTION("""COMPUTED_VALUE"""),1.0610500244622822)</f>
        <v>1.061050024</v>
      </c>
      <c r="AH795" s="30">
        <f>IFERROR(__xludf.DUMMYFUNCTION("""COMPUTED_VALUE"""),0.6553939724600966)</f>
        <v>0.6553939725</v>
      </c>
      <c r="AI795" s="30">
        <f>IFERROR(__xludf.DUMMYFUNCTION("""COMPUTED_VALUE"""),1.0338040044976344)</f>
        <v>1.033804004</v>
      </c>
      <c r="AJ795" s="30">
        <f>IFERROR(__xludf.DUMMYFUNCTION("""COMPUTED_VALUE"""),1.2236663079744616)</f>
        <v>1.223666308</v>
      </c>
      <c r="AK795" s="30">
        <f>IFERROR(__xludf.DUMMYFUNCTION("""COMPUTED_VALUE"""),1.3533195769061968)</f>
        <v>1.353319577</v>
      </c>
      <c r="AL795" s="30">
        <f>IFERROR(__xludf.DUMMYFUNCTION("""COMPUTED_VALUE"""),0.8931792848701733)</f>
        <v>0.8931792849</v>
      </c>
      <c r="AM795" s="30">
        <f>IFERROR(__xludf.DUMMYFUNCTION("""COMPUTED_VALUE"""),1.0725889622199587)</f>
        <v>1.072588962</v>
      </c>
      <c r="AN795" s="30">
        <f>IFERROR(__xludf.DUMMYFUNCTION("""COMPUTED_VALUE"""),0.9029002756278014)</f>
        <v>0.9029002756</v>
      </c>
      <c r="AO795" s="30">
        <f>IFERROR(__xludf.DUMMYFUNCTION("""COMPUTED_VALUE"""),1.0675803467680045)</f>
        <v>1.067580347</v>
      </c>
      <c r="AP795" s="30">
        <f>IFERROR(__xludf.DUMMYFUNCTION("""COMPUTED_VALUE"""),0.0)</f>
        <v>0</v>
      </c>
      <c r="AQ795" s="30">
        <f>IFERROR(__xludf.DUMMYFUNCTION("""COMPUTED_VALUE"""),1.0912479767551786)</f>
        <v>1.091247977</v>
      </c>
      <c r="AR795" s="30">
        <f>IFERROR(__xludf.DUMMYFUNCTION("""COMPUTED_VALUE"""),0.648530360166456)</f>
        <v>0.6485303602</v>
      </c>
      <c r="AS795" s="30">
        <f>IFERROR(__xludf.DUMMYFUNCTION("""COMPUTED_VALUE"""),16.0)</f>
        <v>16</v>
      </c>
      <c r="AT795" s="30">
        <f>IFERROR(__xludf.DUMMYFUNCTION("""COMPUTED_VALUE"""),0.3920926190615662)</f>
        <v>0.3920926191</v>
      </c>
      <c r="AU795" s="30">
        <f>IFERROR(__xludf.DUMMYFUNCTION("""COMPUTED_VALUE"""),1.8050363031108168)</f>
        <v>1.805036303</v>
      </c>
      <c r="AV795" s="32">
        <f>IFERROR(__xludf.DUMMYFUNCTION("""COMPUTED_VALUE"""),21.45471248802229)</f>
        <v>21.45471249</v>
      </c>
      <c r="AW795" s="32">
        <f>IFERROR(__xludf.DUMMYFUNCTION("""COMPUTED_VALUE"""),-7.888538704706917)</f>
        <v>-7.888538705</v>
      </c>
      <c r="AX795" s="32">
        <f>IFERROR(__xludf.DUMMYFUNCTION("""COMPUTED_VALUE"""),24.672940207614385)</f>
        <v>24.67294021</v>
      </c>
      <c r="AY795" s="32">
        <f>IFERROR(__xludf.DUMMYFUNCTION("""COMPUTED_VALUE"""),-6.430437924762883)</f>
        <v>-6.430437925</v>
      </c>
      <c r="AZ795" s="30">
        <f>IFERROR(__xludf.DUMMYFUNCTION("""COMPUTED_VALUE"""),1.4581007799440346)</f>
        <v>1.45810078</v>
      </c>
      <c r="BA795" s="30">
        <f>IFERROR(__xludf.DUMMYFUNCTION("""COMPUTED_VALUE"""),3200.0)</f>
        <v>3200</v>
      </c>
    </row>
    <row r="796">
      <c r="A796" s="71" t="str">
        <f>IFERROR(__xludf.DUMMYFUNCTION("""COMPUTED_VALUE"""),"Contender")</f>
        <v>Contender</v>
      </c>
      <c r="B796" s="71" t="str">
        <f>IFERROR(__xludf.DUMMYFUNCTION("""COMPUTED_VALUE"""),"RSC005714")</f>
        <v>RSC005714</v>
      </c>
      <c r="C796" s="30" t="str">
        <f>IFERROR(__xludf.DUMMYFUNCTION("""COMPUTED_VALUE"""),"T_i_m_o_g")</f>
        <v>T_i_m_o_g</v>
      </c>
      <c r="D796" s="30" t="str">
        <f>IFERROR(__xludf.DUMMYFUNCTION("""COMPUTED_VALUE"""),"Legionaries")</f>
        <v>Legionaries</v>
      </c>
      <c r="E796" s="30">
        <f>IFERROR(__xludf.DUMMYFUNCTION("""COMPUTED_VALUE"""),26.0)</f>
        <v>26</v>
      </c>
      <c r="F796" s="30">
        <f>IFERROR(__xludf.DUMMYFUNCTION("""COMPUTED_VALUE"""),9.0)</f>
        <v>9</v>
      </c>
      <c r="G796" s="42">
        <f>IFERROR(__xludf.DUMMYFUNCTION("""COMPUTED_VALUE"""),17.0)</f>
        <v>17</v>
      </c>
      <c r="H796" s="42">
        <f>IFERROR(__xludf.DUMMYFUNCTION("""COMPUTED_VALUE"""),0.34615384615384615)</f>
        <v>0.3461538462</v>
      </c>
      <c r="I796" s="42">
        <f>IFERROR(__xludf.DUMMYFUNCTION("""COMPUTED_VALUE"""),0.3333333333333333)</f>
        <v>0.3333333333</v>
      </c>
      <c r="J796" s="30">
        <f>IFERROR(__xludf.DUMMYFUNCTION("""COMPUTED_VALUE"""),288.2307692307692)</f>
        <v>288.2307692</v>
      </c>
      <c r="K796" s="30">
        <f>IFERROR(__xludf.DUMMYFUNCTION("""COMPUTED_VALUE"""),0.5769230769230769)</f>
        <v>0.5769230769</v>
      </c>
      <c r="L796" s="30">
        <f>IFERROR(__xludf.DUMMYFUNCTION("""COMPUTED_VALUE"""),0.2692307692307692)</f>
        <v>0.2692307692</v>
      </c>
      <c r="M796" s="30">
        <f>IFERROR(__xludf.DUMMYFUNCTION("""COMPUTED_VALUE"""),1.2692307692307692)</f>
        <v>1.269230769</v>
      </c>
      <c r="N796" s="30">
        <f>IFERROR(__xludf.DUMMYFUNCTION("""COMPUTED_VALUE"""),1.7307692307692308)</f>
        <v>1.730769231</v>
      </c>
      <c r="O796" s="30">
        <f>IFERROR(__xludf.DUMMYFUNCTION("""COMPUTED_VALUE"""),346.9871794871794)</f>
        <v>346.9871795</v>
      </c>
      <c r="P796" s="30">
        <f>IFERROR(__xludf.DUMMYFUNCTION("""COMPUTED_VALUE"""),0.987179487179487)</f>
        <v>0.9871794872</v>
      </c>
      <c r="Q796" s="30">
        <f>IFERROR(__xludf.DUMMYFUNCTION("""COMPUTED_VALUE"""),0.6410256410256411)</f>
        <v>0.641025641</v>
      </c>
      <c r="R796" s="30">
        <f>IFERROR(__xludf.DUMMYFUNCTION("""COMPUTED_VALUE"""),0.9102564102564105)</f>
        <v>0.9102564103</v>
      </c>
      <c r="S796" s="30">
        <f>IFERROR(__xludf.DUMMYFUNCTION("""COMPUTED_VALUE"""),2.8205128205128207)</f>
        <v>2.820512821</v>
      </c>
      <c r="T796" s="30">
        <f>IFERROR(__xludf.DUMMYFUNCTION("""COMPUTED_VALUE"""),342.03895518883013)</f>
        <v>342.0389552</v>
      </c>
      <c r="U796" s="30">
        <f>IFERROR(__xludf.DUMMYFUNCTION("""COMPUTED_VALUE"""),0.903183284946219)</f>
        <v>0.9031832849</v>
      </c>
      <c r="V796" s="30">
        <f>IFERROR(__xludf.DUMMYFUNCTION("""COMPUTED_VALUE"""),0.6057859448530304)</f>
        <v>0.6057859449</v>
      </c>
      <c r="W796" s="30">
        <f>IFERROR(__xludf.DUMMYFUNCTION("""COMPUTED_VALUE"""),1.0661358050561762)</f>
        <v>1.066135805</v>
      </c>
      <c r="X796" s="30">
        <f>IFERROR(__xludf.DUMMYFUNCTION("""COMPUTED_VALUE"""),2.459075714873292)</f>
        <v>2.459075715</v>
      </c>
      <c r="Y796" s="30">
        <f>IFERROR(__xludf.DUMMYFUNCTION("""COMPUTED_VALUE"""),327.06051833943053)</f>
        <v>327.0605183</v>
      </c>
      <c r="Z796" s="30">
        <f>IFERROR(__xludf.DUMMYFUNCTION("""COMPUTED_VALUE"""),0.7965657414258623)</f>
        <v>0.7965657414</v>
      </c>
      <c r="AA796" s="30">
        <f>IFERROR(__xludf.DUMMYFUNCTION("""COMPUTED_VALUE"""),0.5280329761083292)</f>
        <v>0.5280329761</v>
      </c>
      <c r="AB796" s="30">
        <f>IFERROR(__xludf.DUMMYFUNCTION("""COMPUTED_VALUE"""),1.119677271674185)</f>
        <v>1.119677272</v>
      </c>
      <c r="AC796" s="30">
        <f>IFERROR(__xludf.DUMMYFUNCTION("""COMPUTED_VALUE"""),2.2430702407190375)</f>
        <v>2.243070241</v>
      </c>
      <c r="AD796" s="30">
        <f>IFERROR(__xludf.DUMMYFUNCTION("""COMPUTED_VALUE"""),0.881276562191579)</f>
        <v>0.8812765622</v>
      </c>
      <c r="AE796" s="30">
        <f>IFERROR(__xludf.DUMMYFUNCTION("""COMPUTED_VALUE"""),0.7242629790861675)</f>
        <v>0.7242629791</v>
      </c>
      <c r="AF796" s="30">
        <f>IFERROR(__xludf.DUMMYFUNCTION("""COMPUTED_VALUE"""),0.5098749157960446)</f>
        <v>0.5098749158</v>
      </c>
      <c r="AG796" s="30">
        <f>IFERROR(__xludf.DUMMYFUNCTION("""COMPUTED_VALUE"""),1.1335683963049157)</f>
        <v>1.133568396</v>
      </c>
      <c r="AH796" s="30">
        <f>IFERROR(__xludf.DUMMYFUNCTION("""COMPUTED_VALUE"""),0.7716072369692785)</f>
        <v>0.771607237</v>
      </c>
      <c r="AI796" s="30">
        <f>IFERROR(__xludf.DUMMYFUNCTION("""COMPUTED_VALUE"""),1.0144668442681257)</f>
        <v>1.014466844</v>
      </c>
      <c r="AJ796" s="30">
        <f>IFERROR(__xludf.DUMMYFUNCTION("""COMPUTED_VALUE"""),1.0930001735342896)</f>
        <v>1.093000174</v>
      </c>
      <c r="AK796" s="30">
        <f>IFERROR(__xludf.DUMMYFUNCTION("""COMPUTED_VALUE"""),1.0581718616485236)</f>
        <v>1.058171862</v>
      </c>
      <c r="AL796" s="30">
        <f>IFERROR(__xludf.DUMMYFUNCTION("""COMPUTED_VALUE"""),0.8537903013288703)</f>
        <v>0.8537903013</v>
      </c>
      <c r="AM796" s="30">
        <f>IFERROR(__xludf.DUMMYFUNCTION("""COMPUTED_VALUE"""),1.1469808771862693)</f>
        <v>1.146980877</v>
      </c>
      <c r="AN796" s="30">
        <f>IFERROR(__xludf.DUMMYFUNCTION("""COMPUTED_VALUE"""),0.9063211377513051)</f>
        <v>0.9063211378</v>
      </c>
      <c r="AO796" s="30">
        <f>IFERROR(__xludf.DUMMYFUNCTION("""COMPUTED_VALUE"""),0.718563694940003)</f>
        <v>0.7185636949</v>
      </c>
      <c r="AP796" s="30">
        <f>IFERROR(__xludf.DUMMYFUNCTION("""COMPUTED_VALUE"""),0.5003359808824599)</f>
        <v>0.5003359809</v>
      </c>
      <c r="AQ796" s="30">
        <f>IFERROR(__xludf.DUMMYFUNCTION("""COMPUTED_VALUE"""),1.211914820338684)</f>
        <v>1.21191482</v>
      </c>
      <c r="AR796" s="30">
        <f>IFERROR(__xludf.DUMMYFUNCTION("""COMPUTED_VALUE"""),0.7857194748170525)</f>
        <v>0.7857194748</v>
      </c>
      <c r="AS796" s="30">
        <f>IFERROR(__xludf.DUMMYFUNCTION("""COMPUTED_VALUE"""),48.0)</f>
        <v>48</v>
      </c>
      <c r="AT796" s="30">
        <f>IFERROR(__xludf.DUMMYFUNCTION("""COMPUTED_VALUE"""),0.32263799345652355)</f>
        <v>0.3226379935</v>
      </c>
      <c r="AU796" s="30">
        <f>IFERROR(__xludf.DUMMYFUNCTION("""COMPUTED_VALUE"""),2.260156236173357)</f>
        <v>2.260156236</v>
      </c>
      <c r="AV796" s="32">
        <f>IFERROR(__xludf.DUMMYFUNCTION("""COMPUTED_VALUE"""),28.03662808726951)</f>
        <v>28.03662809</v>
      </c>
      <c r="AW796" s="32">
        <f>IFERROR(__xludf.DUMMYFUNCTION("""COMPUTED_VALUE"""),-5.267961173408018)</f>
        <v>-5.267961173</v>
      </c>
      <c r="AX796" s="32">
        <f>IFERROR(__xludf.DUMMYFUNCTION("""COMPUTED_VALUE"""),23.967986587835405)</f>
        <v>23.96798659</v>
      </c>
      <c r="AY796" s="32">
        <f>IFERROR(__xludf.DUMMYFUNCTION("""COMPUTED_VALUE"""),-6.717149014541396)</f>
        <v>-6.717149015</v>
      </c>
      <c r="AZ796" s="30">
        <f>IFERROR(__xludf.DUMMYFUNCTION("""COMPUTED_VALUE"""),1.4491878411333774)</f>
        <v>1.449187841</v>
      </c>
      <c r="BA796" s="30">
        <f>IFERROR(__xludf.DUMMYFUNCTION("""COMPUTED_VALUE"""),3200.0)</f>
        <v>3200</v>
      </c>
    </row>
    <row r="797">
      <c r="A797" s="71" t="str">
        <f>IFERROR(__xludf.DUMMYFUNCTION("""COMPUTED_VALUE"""),"Contender")</f>
        <v>Contender</v>
      </c>
      <c r="B797" s="71" t="str">
        <f>IFERROR(__xludf.DUMMYFUNCTION("""COMPUTED_VALUE"""),"RSC007271")</f>
        <v>RSC007271</v>
      </c>
      <c r="C797" s="30" t="str">
        <f>IFERROR(__xludf.DUMMYFUNCTION("""COMPUTED_VALUE"""),"Darth. -.-")</f>
        <v>Darth. -.-</v>
      </c>
      <c r="D797" s="30" t="str">
        <f>IFERROR(__xludf.DUMMYFUNCTION("""COMPUTED_VALUE"""),"Toothpaste")</f>
        <v>Toothpaste</v>
      </c>
      <c r="E797" s="30">
        <f>IFERROR(__xludf.DUMMYFUNCTION("""COMPUTED_VALUE"""),40.0)</f>
        <v>40</v>
      </c>
      <c r="F797" s="30">
        <f>IFERROR(__xludf.DUMMYFUNCTION("""COMPUTED_VALUE"""),10.0)</f>
        <v>10</v>
      </c>
      <c r="G797" s="42">
        <f>IFERROR(__xludf.DUMMYFUNCTION("""COMPUTED_VALUE"""),30.0)</f>
        <v>30</v>
      </c>
      <c r="H797" s="42">
        <f>IFERROR(__xludf.DUMMYFUNCTION("""COMPUTED_VALUE"""),0.25)</f>
        <v>0.25</v>
      </c>
      <c r="I797" s="42">
        <f>IFERROR(__xludf.DUMMYFUNCTION("""COMPUTED_VALUE"""),0.3472222222222222)</f>
        <v>0.3472222222</v>
      </c>
      <c r="J797" s="30">
        <f>IFERROR(__xludf.DUMMYFUNCTION("""COMPUTED_VALUE"""),316.975)</f>
        <v>316.975</v>
      </c>
      <c r="K797" s="30">
        <f>IFERROR(__xludf.DUMMYFUNCTION("""COMPUTED_VALUE"""),0.625)</f>
        <v>0.625</v>
      </c>
      <c r="L797" s="30">
        <f>IFERROR(__xludf.DUMMYFUNCTION("""COMPUTED_VALUE"""),0.4)</f>
        <v>0.4</v>
      </c>
      <c r="M797" s="30">
        <f>IFERROR(__xludf.DUMMYFUNCTION("""COMPUTED_VALUE"""),1.25)</f>
        <v>1.25</v>
      </c>
      <c r="N797" s="30">
        <f>IFERROR(__xludf.DUMMYFUNCTION("""COMPUTED_VALUE"""),1.8)</f>
        <v>1.8</v>
      </c>
      <c r="O797" s="30">
        <f>IFERROR(__xludf.DUMMYFUNCTION("""COMPUTED_VALUE"""),364.69999999999993)</f>
        <v>364.7</v>
      </c>
      <c r="P797" s="30">
        <f>IFERROR(__xludf.DUMMYFUNCTION("""COMPUTED_VALUE"""),1.1416666666666666)</f>
        <v>1.141666667</v>
      </c>
      <c r="Q797" s="30">
        <f>IFERROR(__xludf.DUMMYFUNCTION("""COMPUTED_VALUE"""),0.6666666666666667)</f>
        <v>0.6666666667</v>
      </c>
      <c r="R797" s="30">
        <f>IFERROR(__xludf.DUMMYFUNCTION("""COMPUTED_VALUE"""),0.9)</f>
        <v>0.9</v>
      </c>
      <c r="S797" s="30">
        <f>IFERROR(__xludf.DUMMYFUNCTION("""COMPUTED_VALUE"""),2.4916666666666663)</f>
        <v>2.491666667</v>
      </c>
      <c r="T797" s="30">
        <f>IFERROR(__xludf.DUMMYFUNCTION("""COMPUTED_VALUE"""),335.0523884423939)</f>
        <v>335.0523884</v>
      </c>
      <c r="U797" s="30">
        <f>IFERROR(__xludf.DUMMYFUNCTION("""COMPUTED_VALUE"""),0.855110628165351)</f>
        <v>0.8551106282</v>
      </c>
      <c r="V797" s="30">
        <f>IFERROR(__xludf.DUMMYFUNCTION("""COMPUTED_VALUE"""),0.5641060013978587)</f>
        <v>0.5641060014</v>
      </c>
      <c r="W797" s="30">
        <f>IFERROR(__xludf.DUMMYFUNCTION("""COMPUTED_VALUE"""),1.0885054782132737)</f>
        <v>1.088505478</v>
      </c>
      <c r="X797" s="30">
        <f>IFERROR(__xludf.DUMMYFUNCTION("""COMPUTED_VALUE"""),2.32096370099413)</f>
        <v>2.320963701</v>
      </c>
      <c r="Y797" s="30">
        <f>IFERROR(__xludf.DUMMYFUNCTION("""COMPUTED_VALUE"""),320.13150911931064)</f>
        <v>320.1315091</v>
      </c>
      <c r="Z797" s="30">
        <f>IFERROR(__xludf.DUMMYFUNCTION("""COMPUTED_VALUE"""),0.7776021589951644)</f>
        <v>0.777602159</v>
      </c>
      <c r="AA797" s="30">
        <f>IFERROR(__xludf.DUMMYFUNCTION("""COMPUTED_VALUE"""),0.534525669557204)</f>
        <v>0.5345256696</v>
      </c>
      <c r="AB797" s="30">
        <f>IFERROR(__xludf.DUMMYFUNCTION("""COMPUTED_VALUE"""),1.0645814485481815)</f>
        <v>1.064581449</v>
      </c>
      <c r="AC797" s="30">
        <f>IFERROR(__xludf.DUMMYFUNCTION("""COMPUTED_VALUE"""),2.254173932108686)</f>
        <v>2.254173932</v>
      </c>
      <c r="AD797" s="30">
        <f>IFERROR(__xludf.DUMMYFUNCTION("""COMPUTED_VALUE"""),0.9901399611428621)</f>
        <v>0.9901399611</v>
      </c>
      <c r="AE797" s="30">
        <f>IFERROR(__xludf.DUMMYFUNCTION("""COMPUTED_VALUE"""),0.8037529124245739)</f>
        <v>0.8037529124</v>
      </c>
      <c r="AF797" s="30">
        <f>IFERROR(__xludf.DUMMYFUNCTION("""COMPUTED_VALUE"""),0.7483270173560723)</f>
        <v>0.7483270174</v>
      </c>
      <c r="AG797" s="30">
        <f>IFERROR(__xludf.DUMMYFUNCTION("""COMPUTED_VALUE"""),1.1741703762588407)</f>
        <v>1.174170376</v>
      </c>
      <c r="AH797" s="30">
        <f>IFERROR(__xludf.DUMMYFUNCTION("""COMPUTED_VALUE"""),0.798518683212779)</f>
        <v>0.7985186832</v>
      </c>
      <c r="AI797" s="30">
        <f>IFERROR(__xludf.DUMMYFUNCTION("""COMPUTED_VALUE"""),1.0884864951879112)</f>
        <v>1.088486495</v>
      </c>
      <c r="AJ797" s="30">
        <f>IFERROR(__xludf.DUMMYFUNCTION("""COMPUTED_VALUE"""),1.3351099016464392)</f>
        <v>1.335109902</v>
      </c>
      <c r="AK797" s="30">
        <f>IFERROR(__xludf.DUMMYFUNCTION("""COMPUTED_VALUE"""),1.1818109805863826)</f>
        <v>1.181810981</v>
      </c>
      <c r="AL797" s="30">
        <f>IFERROR(__xludf.DUMMYFUNCTION("""COMPUTED_VALUE"""),0.8268217459753204)</f>
        <v>0.826821746</v>
      </c>
      <c r="AM797" s="30">
        <f>IFERROR(__xludf.DUMMYFUNCTION("""COMPUTED_VALUE"""),1.0735483134007737)</f>
        <v>1.073548313</v>
      </c>
      <c r="AN797" s="30">
        <f>IFERROR(__xludf.DUMMYFUNCTION("""COMPUTED_VALUE"""),0.9967053254078888)</f>
        <v>0.9967053254</v>
      </c>
      <c r="AO797" s="30">
        <f>IFERROR(__xludf.DUMMYFUNCTION("""COMPUTED_VALUE"""),0.77844400285167)</f>
        <v>0.7784440029</v>
      </c>
      <c r="AP797" s="30">
        <f>IFERROR(__xludf.DUMMYFUNCTION("""COMPUTED_VALUE"""),0.7433563144539406)</f>
        <v>0.7433563145</v>
      </c>
      <c r="AQ797" s="30">
        <f>IFERROR(__xludf.DUMMYFUNCTION("""COMPUTED_VALUE"""),1.1935524745759767)</f>
        <v>1.193552475</v>
      </c>
      <c r="AR797" s="30">
        <f>IFERROR(__xludf.DUMMYFUNCTION("""COMPUTED_VALUE"""),0.8171482538097347)</f>
        <v>0.8171482538</v>
      </c>
      <c r="AS797" s="30">
        <f>IFERROR(__xludf.DUMMYFUNCTION("""COMPUTED_VALUE"""),72.0)</f>
        <v>72</v>
      </c>
      <c r="AT797" s="30">
        <f>IFERROR(__xludf.DUMMYFUNCTION("""COMPUTED_VALUE"""),0.26231222372977175)</f>
        <v>0.2623122237</v>
      </c>
      <c r="AU797" s="30">
        <f>IFERROR(__xludf.DUMMYFUNCTION("""COMPUTED_VALUE"""),2.7087071130768026)</f>
        <v>2.708707113</v>
      </c>
      <c r="AV797" s="32">
        <f>IFERROR(__xludf.DUMMYFUNCTION("""COMPUTED_VALUE"""),34.5235424130833)</f>
        <v>34.52354241</v>
      </c>
      <c r="AW797" s="32">
        <f>IFERROR(__xludf.DUMMYFUNCTION("""COMPUTED_VALUE"""),-3.7321931189024413)</f>
        <v>-3.732193119</v>
      </c>
      <c r="AX797" s="32">
        <f>IFERROR(__xludf.DUMMYFUNCTION("""COMPUTED_VALUE"""),44.450125306737434)</f>
        <v>44.45012531</v>
      </c>
      <c r="AY797" s="32">
        <f>IFERROR(__xludf.DUMMYFUNCTION("""COMPUTED_VALUE"""),-2.4262487549151452)</f>
        <v>-2.426248755</v>
      </c>
      <c r="AZ797" s="30">
        <f>IFERROR(__xludf.DUMMYFUNCTION("""COMPUTED_VALUE"""),1.305944363987296)</f>
        <v>1.305944364</v>
      </c>
      <c r="BA797" s="30">
        <f>IFERROR(__xludf.DUMMYFUNCTION("""COMPUTED_VALUE"""),3200.0)</f>
        <v>3200</v>
      </c>
    </row>
    <row r="798">
      <c r="A798" s="71" t="str">
        <f>IFERROR(__xludf.DUMMYFUNCTION("""COMPUTED_VALUE"""),"Contender")</f>
        <v>Contender</v>
      </c>
      <c r="B798" s="71" t="str">
        <f>IFERROR(__xludf.DUMMYFUNCTION("""COMPUTED_VALUE"""),"RSC007630")</f>
        <v>RSC007630</v>
      </c>
      <c r="C798" s="30" t="str">
        <f>IFERROR(__xludf.DUMMYFUNCTION("""COMPUTED_VALUE"""),"Grey")</f>
        <v>Grey</v>
      </c>
      <c r="D798" s="30" t="str">
        <f>IFERROR(__xludf.DUMMYFUNCTION("""COMPUTED_VALUE"""),"Rad Lads")</f>
        <v>Rad Lads</v>
      </c>
      <c r="E798" s="30">
        <f>IFERROR(__xludf.DUMMYFUNCTION("""COMPUTED_VALUE"""),30.0)</f>
        <v>30</v>
      </c>
      <c r="F798" s="30">
        <f>IFERROR(__xludf.DUMMYFUNCTION("""COMPUTED_VALUE"""),18.0)</f>
        <v>18</v>
      </c>
      <c r="G798" s="42">
        <f>IFERROR(__xludf.DUMMYFUNCTION("""COMPUTED_VALUE"""),12.0)</f>
        <v>12</v>
      </c>
      <c r="H798" s="42">
        <f>IFERROR(__xludf.DUMMYFUNCTION("""COMPUTED_VALUE"""),0.6)</f>
        <v>0.6</v>
      </c>
      <c r="I798" s="42">
        <f>IFERROR(__xludf.DUMMYFUNCTION("""COMPUTED_VALUE"""),0.4268292682926829)</f>
        <v>0.4268292683</v>
      </c>
      <c r="J798" s="30">
        <f>IFERROR(__xludf.DUMMYFUNCTION("""COMPUTED_VALUE"""),343.6)</f>
        <v>343.6</v>
      </c>
      <c r="K798" s="30">
        <f>IFERROR(__xludf.DUMMYFUNCTION("""COMPUTED_VALUE"""),1.1666666666666667)</f>
        <v>1.166666667</v>
      </c>
      <c r="L798" s="30">
        <f>IFERROR(__xludf.DUMMYFUNCTION("""COMPUTED_VALUE"""),0.6)</f>
        <v>0.6</v>
      </c>
      <c r="M798" s="30">
        <f>IFERROR(__xludf.DUMMYFUNCTION("""COMPUTED_VALUE"""),0.8)</f>
        <v>0.8</v>
      </c>
      <c r="N798" s="30">
        <f>IFERROR(__xludf.DUMMYFUNCTION("""COMPUTED_VALUE"""),2.7333333333333334)</f>
        <v>2.733333333</v>
      </c>
      <c r="O798" s="30">
        <f>IFERROR(__xludf.DUMMYFUNCTION("""COMPUTED_VALUE"""),312.8888888888889)</f>
        <v>312.8888889</v>
      </c>
      <c r="P798" s="30">
        <f>IFERROR(__xludf.DUMMYFUNCTION("""COMPUTED_VALUE"""),0.7999999999999999)</f>
        <v>0.8</v>
      </c>
      <c r="Q798" s="30">
        <f>IFERROR(__xludf.DUMMYFUNCTION("""COMPUTED_VALUE"""),0.44444444444444453)</f>
        <v>0.4444444444</v>
      </c>
      <c r="R798" s="30">
        <f>IFERROR(__xludf.DUMMYFUNCTION("""COMPUTED_VALUE"""),0.9888888888888888)</f>
        <v>0.9888888889</v>
      </c>
      <c r="S798" s="30">
        <f>IFERROR(__xludf.DUMMYFUNCTION("""COMPUTED_VALUE"""),2.055555555555556)</f>
        <v>2.055555556</v>
      </c>
      <c r="T798" s="30">
        <f>IFERROR(__xludf.DUMMYFUNCTION("""COMPUTED_VALUE"""),320.2881282103434)</f>
        <v>320.2881282</v>
      </c>
      <c r="U798" s="30">
        <f>IFERROR(__xludf.DUMMYFUNCTION("""COMPUTED_VALUE"""),0.7789291096538763)</f>
        <v>0.7789291097</v>
      </c>
      <c r="V798" s="30">
        <f>IFERROR(__xludf.DUMMYFUNCTION("""COMPUTED_VALUE"""),0.5269440238657412)</f>
        <v>0.5269440239</v>
      </c>
      <c r="W798" s="30">
        <f>IFERROR(__xludf.DUMMYFUNCTION("""COMPUTED_VALUE"""),1.0989369529796984)</f>
        <v>1.098936953</v>
      </c>
      <c r="X798" s="30">
        <f>IFERROR(__xludf.DUMMYFUNCTION("""COMPUTED_VALUE"""),2.215860449997379)</f>
        <v>2.21586045</v>
      </c>
      <c r="Y798" s="30">
        <f>IFERROR(__xludf.DUMMYFUNCTION("""COMPUTED_VALUE"""),333.24555018442965)</f>
        <v>333.2455502</v>
      </c>
      <c r="Z798" s="30">
        <f>IFERROR(__xludf.DUMMYFUNCTION("""COMPUTED_VALUE"""),0.8522330229738825)</f>
        <v>0.852233023</v>
      </c>
      <c r="AA798" s="30">
        <f>IFERROR(__xludf.DUMMYFUNCTION("""COMPUTED_VALUE"""),0.5658619343263039)</f>
        <v>0.5658619343</v>
      </c>
      <c r="AB798" s="30">
        <f>IFERROR(__xludf.DUMMYFUNCTION("""COMPUTED_VALUE"""),1.0809825062591953)</f>
        <v>1.080982506</v>
      </c>
      <c r="AC798" s="30">
        <f>IFERROR(__xludf.DUMMYFUNCTION("""COMPUTED_VALUE"""),2.3982490741031324)</f>
        <v>2.398249074</v>
      </c>
      <c r="AD798" s="30">
        <f>IFERROR(__xludf.DUMMYFUNCTION("""COMPUTED_VALUE"""),1.0310715321175028)</f>
        <v>1.031071532</v>
      </c>
      <c r="AE798" s="30">
        <f>IFERROR(__xludf.DUMMYFUNCTION("""COMPUTED_VALUE"""),1.3689526634341889)</f>
        <v>1.368952663</v>
      </c>
      <c r="AF798" s="30">
        <f>IFERROR(__xludf.DUMMYFUNCTION("""COMPUTED_VALUE"""),1.0603293199326786)</f>
        <v>1.06032932</v>
      </c>
      <c r="AG798" s="30">
        <f>IFERROR(__xludf.DUMMYFUNCTION("""COMPUTED_VALUE"""),0.7400674806185791)</f>
        <v>0.7400674806</v>
      </c>
      <c r="AH798" s="30">
        <f>IFERROR(__xludf.DUMMYFUNCTION("""COMPUTED_VALUE"""),1.139720374688568)</f>
        <v>1.139720375</v>
      </c>
      <c r="AI798" s="30">
        <f>IFERROR(__xludf.DUMMYFUNCTION("""COMPUTED_VALUE"""),0.9768981780161543)</f>
        <v>0.976898178</v>
      </c>
      <c r="AJ798" s="30">
        <f>IFERROR(__xludf.DUMMYFUNCTION("""COMPUTED_VALUE"""),1.0270511014224217)</f>
        <v>1.027051101</v>
      </c>
      <c r="AK798" s="30">
        <f>IFERROR(__xludf.DUMMYFUNCTION("""COMPUTED_VALUE"""),0.8434376789852036)</f>
        <v>0.843437679</v>
      </c>
      <c r="AL798" s="30">
        <f>IFERROR(__xludf.DUMMYFUNCTION("""COMPUTED_VALUE"""),0.8998595289816934)</f>
        <v>0.899859529</v>
      </c>
      <c r="AM798" s="30">
        <f>IFERROR(__xludf.DUMMYFUNCTION("""COMPUTED_VALUE"""),0.9276556903924104)</f>
        <v>0.9276556904</v>
      </c>
      <c r="AN798" s="30">
        <f>IFERROR(__xludf.DUMMYFUNCTION("""COMPUTED_VALUE"""),1.080425742756213)</f>
        <v>1.080425743</v>
      </c>
      <c r="AO798" s="30">
        <f>IFERROR(__xludf.DUMMYFUNCTION("""COMPUTED_VALUE"""),1.4530954719897842)</f>
        <v>1.453095472</v>
      </c>
      <c r="AP798" s="30">
        <f>IFERROR(__xludf.DUMMYFUNCTION("""COMPUTED_VALUE"""),1.1150344716809106)</f>
        <v>1.115034472</v>
      </c>
      <c r="AQ798" s="30">
        <f>IFERROR(__xludf.DUMMYFUNCTION("""COMPUTED_VALUE"""),0.7638735837286251)</f>
        <v>0.7638735837</v>
      </c>
      <c r="AR798" s="30">
        <f>IFERROR(__xludf.DUMMYFUNCTION("""COMPUTED_VALUE"""),1.2408547557851526)</f>
        <v>1.240854756</v>
      </c>
      <c r="AS798" s="30">
        <f>IFERROR(__xludf.DUMMYFUNCTION("""COMPUTED_VALUE"""),98.0)</f>
        <v>98</v>
      </c>
      <c r="AT798" s="30">
        <f>IFERROR(__xludf.DUMMYFUNCTION("""COMPUTED_VALUE"""),0.6241501985595338)</f>
        <v>0.6241501986</v>
      </c>
      <c r="AU798" s="30">
        <f>IFERROR(__xludf.DUMMYFUNCTION("""COMPUTED_VALUE"""),4.968744482713738)</f>
        <v>4.968744483</v>
      </c>
      <c r="AV798" s="32">
        <f>IFERROR(__xludf.DUMMYFUNCTION("""COMPUTED_VALUE"""),67.2080594765249)</f>
        <v>67.20805948</v>
      </c>
      <c r="AW798" s="32">
        <f>IFERROR(__xludf.DUMMYFUNCTION("""COMPUTED_VALUE"""),4.071248543466067)</f>
        <v>4.071248543</v>
      </c>
      <c r="AX798" s="32">
        <f>IFERROR(__xludf.DUMMYFUNCTION("""COMPUTED_VALUE"""),59.64155373808812)</f>
        <v>59.64155374</v>
      </c>
      <c r="AY798" s="32">
        <f>IFERROR(__xludf.DUMMYFUNCTION("""COMPUTED_VALUE"""),2.8581762981763816)</f>
        <v>2.858176298</v>
      </c>
      <c r="AZ798" s="30">
        <f>IFERROR(__xludf.DUMMYFUNCTION("""COMPUTED_VALUE"""),1.213072245289685)</f>
        <v>1.213072245</v>
      </c>
      <c r="BA798" s="30">
        <f>IFERROR(__xludf.DUMMYFUNCTION("""COMPUTED_VALUE"""),3200.0)</f>
        <v>3200</v>
      </c>
    </row>
    <row r="799">
      <c r="A799" s="71" t="str">
        <f>IFERROR(__xludf.DUMMYFUNCTION("""COMPUTED_VALUE"""),"Contender")</f>
        <v>Contender</v>
      </c>
      <c r="B799" s="71" t="str">
        <f>IFERROR(__xludf.DUMMYFUNCTION("""COMPUTED_VALUE"""),"RSC007885")</f>
        <v>RSC007885</v>
      </c>
      <c r="C799" s="30" t="str">
        <f>IFERROR(__xludf.DUMMYFUNCTION("""COMPUTED_VALUE"""),"Larkspur")</f>
        <v>Larkspur</v>
      </c>
      <c r="D799" s="30" t="str">
        <f>IFERROR(__xludf.DUMMYFUNCTION("""COMPUTED_VALUE"""),"Rheas")</f>
        <v>Rheas</v>
      </c>
      <c r="E799" s="30">
        <f>IFERROR(__xludf.DUMMYFUNCTION("""COMPUTED_VALUE"""),48.0)</f>
        <v>48</v>
      </c>
      <c r="F799" s="30">
        <f>IFERROR(__xludf.DUMMYFUNCTION("""COMPUTED_VALUE"""),34.0)</f>
        <v>34</v>
      </c>
      <c r="G799" s="42">
        <f>IFERROR(__xludf.DUMMYFUNCTION("""COMPUTED_VALUE"""),14.0)</f>
        <v>14</v>
      </c>
      <c r="H799" s="42">
        <f>IFERROR(__xludf.DUMMYFUNCTION("""COMPUTED_VALUE"""),0.7083333333333334)</f>
        <v>0.7083333333</v>
      </c>
      <c r="I799" s="42">
        <f>IFERROR(__xludf.DUMMYFUNCTION("""COMPUTED_VALUE"""),0.366412213740458)</f>
        <v>0.3664122137</v>
      </c>
      <c r="J799" s="30">
        <f>IFERROR(__xludf.DUMMYFUNCTION("""COMPUTED_VALUE"""),380.2708333333333)</f>
        <v>380.2708333</v>
      </c>
      <c r="K799" s="30">
        <f>IFERROR(__xludf.DUMMYFUNCTION("""COMPUTED_VALUE"""),1.0)</f>
        <v>1</v>
      </c>
      <c r="L799" s="30">
        <f>IFERROR(__xludf.DUMMYFUNCTION("""COMPUTED_VALUE"""),0.8333333333333334)</f>
        <v>0.8333333333</v>
      </c>
      <c r="M799" s="30">
        <f>IFERROR(__xludf.DUMMYFUNCTION("""COMPUTED_VALUE"""),1.2291666666666667)</f>
        <v>1.229166667</v>
      </c>
      <c r="N799" s="30">
        <f>IFERROR(__xludf.DUMMYFUNCTION("""COMPUTED_VALUE"""),2.7291666666666665)</f>
        <v>2.729166667</v>
      </c>
      <c r="O799" s="30">
        <f>IFERROR(__xludf.DUMMYFUNCTION("""COMPUTED_VALUE"""),291.6666666666667)</f>
        <v>291.6666667</v>
      </c>
      <c r="P799" s="30">
        <f>IFERROR(__xludf.DUMMYFUNCTION("""COMPUTED_VALUE"""),0.5833333333333333)</f>
        <v>0.5833333333</v>
      </c>
      <c r="Q799" s="30">
        <f>IFERROR(__xludf.DUMMYFUNCTION("""COMPUTED_VALUE"""),0.3819444444444444)</f>
        <v>0.3819444444</v>
      </c>
      <c r="R799" s="30">
        <f>IFERROR(__xludf.DUMMYFUNCTION("""COMPUTED_VALUE"""),1.173611111111111)</f>
        <v>1.173611111</v>
      </c>
      <c r="S799" s="30">
        <f>IFERROR(__xludf.DUMMYFUNCTION("""COMPUTED_VALUE"""),1.8819444444444444)</f>
        <v>1.881944444</v>
      </c>
      <c r="T799" s="30">
        <f>IFERROR(__xludf.DUMMYFUNCTION("""COMPUTED_VALUE"""),327.50273362060267)</f>
        <v>327.5027336</v>
      </c>
      <c r="U799" s="30">
        <f>IFERROR(__xludf.DUMMYFUNCTION("""COMPUTED_VALUE"""),0.8198242714771716)</f>
        <v>0.8198242715</v>
      </c>
      <c r="V799" s="30">
        <f>IFERROR(__xludf.DUMMYFUNCTION("""COMPUTED_VALUE"""),0.5255934807581611)</f>
        <v>0.5255934808</v>
      </c>
      <c r="W799" s="30">
        <f>IFERROR(__xludf.DUMMYFUNCTION("""COMPUTED_VALUE"""),1.087064672423234)</f>
        <v>1.087064672</v>
      </c>
      <c r="X799" s="30">
        <f>IFERROR(__xludf.DUMMYFUNCTION("""COMPUTED_VALUE"""),2.2693015286060647)</f>
        <v>2.269301529</v>
      </c>
      <c r="Y799" s="30">
        <f>IFERROR(__xludf.DUMMYFUNCTION("""COMPUTED_VALUE"""),332.44102178652963)</f>
        <v>332.4410218</v>
      </c>
      <c r="Z799" s="30">
        <f>IFERROR(__xludf.DUMMYFUNCTION("""COMPUTED_VALUE"""),0.8547896887744396)</f>
        <v>0.8547896888</v>
      </c>
      <c r="AA799" s="30">
        <f>IFERROR(__xludf.DUMMYFUNCTION("""COMPUTED_VALUE"""),0.5723731245885444)</f>
        <v>0.5723731246</v>
      </c>
      <c r="AB799" s="30">
        <f>IFERROR(__xludf.DUMMYFUNCTION("""COMPUTED_VALUE"""),1.0614955700901643)</f>
        <v>1.06149557</v>
      </c>
      <c r="AC799" s="30">
        <f>IFERROR(__xludf.DUMMYFUNCTION("""COMPUTED_VALUE"""),2.3383068880276907)</f>
        <v>2.338306888</v>
      </c>
      <c r="AD799" s="30">
        <f>IFERROR(__xludf.DUMMYFUNCTION("""COMPUTED_VALUE"""),1.1438745774807437)</f>
        <v>1.143874577</v>
      </c>
      <c r="AE799" s="30">
        <f>IFERROR(__xludf.DUMMYFUNCTION("""COMPUTED_VALUE"""),1.1698784076744733)</f>
        <v>1.169878408</v>
      </c>
      <c r="AF799" s="30">
        <f>IFERROR(__xludf.DUMMYFUNCTION("""COMPUTED_VALUE"""),1.4559267329897478)</f>
        <v>1.455926733</v>
      </c>
      <c r="AG799" s="30">
        <f>IFERROR(__xludf.DUMMYFUNCTION("""COMPUTED_VALUE"""),1.157957415274244)</f>
        <v>1.157957415</v>
      </c>
      <c r="AH799" s="30">
        <f>IFERROR(__xludf.DUMMYFUNCTION("""COMPUTED_VALUE"""),1.167155038818988)</f>
        <v>1.167155039</v>
      </c>
      <c r="AI799" s="30">
        <f>IFERROR(__xludf.DUMMYFUNCTION("""COMPUTED_VALUE"""),0.8905778081368613)</f>
        <v>0.8905778081</v>
      </c>
      <c r="AJ799" s="30">
        <f>IFERROR(__xludf.DUMMYFUNCTION("""COMPUTED_VALUE"""),0.7115345978745842)</f>
        <v>0.7115345979</v>
      </c>
      <c r="AK799" s="30">
        <f>IFERROR(__xludf.DUMMYFUNCTION("""COMPUTED_VALUE"""),0.7266917464301402)</f>
        <v>0.7266917464</v>
      </c>
      <c r="AL799" s="30">
        <f>IFERROR(__xludf.DUMMYFUNCTION("""COMPUTED_VALUE"""),1.079614802029167)</f>
        <v>1.079614802</v>
      </c>
      <c r="AM799" s="30">
        <f>IFERROR(__xludf.DUMMYFUNCTION("""COMPUTED_VALUE"""),0.8293055906063055)</f>
        <v>0.8293055906</v>
      </c>
      <c r="AN799" s="30">
        <f>IFERROR(__xludf.DUMMYFUNCTION("""COMPUTED_VALUE"""),1.1957345679647575)</f>
        <v>1.195734568</v>
      </c>
      <c r="AO799" s="30">
        <f>IFERROR(__xludf.DUMMYFUNCTION("""COMPUTED_VALUE"""),1.2455104045626721)</f>
        <v>1.245510405</v>
      </c>
      <c r="AP799" s="30">
        <f>IFERROR(__xludf.DUMMYFUNCTION("""COMPUTED_VALUE"""),1.5486589884457094)</f>
        <v>1.548658988</v>
      </c>
      <c r="AQ799" s="30">
        <f>IFERROR(__xludf.DUMMYFUNCTION("""COMPUTED_VALUE"""),1.173659933333044)</f>
        <v>1.173659933</v>
      </c>
      <c r="AR799" s="30">
        <f>IFERROR(__xludf.DUMMYFUNCTION("""COMPUTED_VALUE"""),1.2389632089013336)</f>
        <v>1.238963209</v>
      </c>
      <c r="AS799" s="30">
        <f>IFERROR(__xludf.DUMMYFUNCTION("""COMPUTED_VALUE"""),141.0)</f>
        <v>141</v>
      </c>
      <c r="AT799" s="30">
        <f>IFERROR(__xludf.DUMMYFUNCTION("""COMPUTED_VALUE"""),0.6914574297265217)</f>
        <v>0.6914574297</v>
      </c>
      <c r="AU799" s="30">
        <f>IFERROR(__xludf.DUMMYFUNCTION("""COMPUTED_VALUE"""),5.694111920176192)</f>
        <v>5.69411192</v>
      </c>
      <c r="AV799" s="32">
        <f>IFERROR(__xludf.DUMMYFUNCTION("""COMPUTED_VALUE"""),77.6982773399645)</f>
        <v>77.69827734</v>
      </c>
      <c r="AW799" s="32">
        <f>IFERROR(__xludf.DUMMYFUNCTION("""COMPUTED_VALUE"""),7.465706950933751)</f>
        <v>7.465706951</v>
      </c>
      <c r="AX799" s="32">
        <f>IFERROR(__xludf.DUMMYFUNCTION("""COMPUTED_VALUE"""),74.96986684322691)</f>
        <v>74.96986684</v>
      </c>
      <c r="AY799" s="32">
        <f>IFERROR(__xludf.DUMMYFUNCTION("""COMPUTED_VALUE"""),6.291402011218101)</f>
        <v>6.291402011</v>
      </c>
      <c r="AZ799" s="30">
        <f>IFERROR(__xludf.DUMMYFUNCTION("""COMPUTED_VALUE"""),1.1743049397156504)</f>
        <v>1.17430494</v>
      </c>
      <c r="BA799" s="30">
        <f>IFERROR(__xludf.DUMMYFUNCTION("""COMPUTED_VALUE"""),3200.0)</f>
        <v>3200</v>
      </c>
    </row>
    <row r="800">
      <c r="A800" s="71" t="str">
        <f>IFERROR(__xludf.DUMMYFUNCTION("""COMPUTED_VALUE"""),"Contender")</f>
        <v>Contender</v>
      </c>
      <c r="B800" s="71" t="str">
        <f>IFERROR(__xludf.DUMMYFUNCTION("""COMPUTED_VALUE"""),"RSC007153")</f>
        <v>RSC007153</v>
      </c>
      <c r="C800" s="30" t="str">
        <f>IFERROR(__xludf.DUMMYFUNCTION("""COMPUTED_VALUE"""),"Washyman111670")</f>
        <v>Washyman111670</v>
      </c>
      <c r="D800" s="30" t="str">
        <f>IFERROR(__xludf.DUMMYFUNCTION("""COMPUTED_VALUE"""),"Ice")</f>
        <v>Ice</v>
      </c>
      <c r="E800" s="30">
        <f>IFERROR(__xludf.DUMMYFUNCTION("""COMPUTED_VALUE"""),43.0)</f>
        <v>43</v>
      </c>
      <c r="F800" s="30">
        <f>IFERROR(__xludf.DUMMYFUNCTION("""COMPUTED_VALUE"""),27.0)</f>
        <v>27</v>
      </c>
      <c r="G800" s="42">
        <f>IFERROR(__xludf.DUMMYFUNCTION("""COMPUTED_VALUE"""),16.0)</f>
        <v>16</v>
      </c>
      <c r="H800" s="42">
        <f>IFERROR(__xludf.DUMMYFUNCTION("""COMPUTED_VALUE"""),0.627906976744186)</f>
        <v>0.6279069767</v>
      </c>
      <c r="I800" s="42">
        <f>IFERROR(__xludf.DUMMYFUNCTION("""COMPUTED_VALUE"""),0.39999999999999997)</f>
        <v>0.4</v>
      </c>
      <c r="J800" s="30">
        <f>IFERROR(__xludf.DUMMYFUNCTION("""COMPUTED_VALUE"""),408.1162790697674)</f>
        <v>408.1162791</v>
      </c>
      <c r="K800" s="30">
        <f>IFERROR(__xludf.DUMMYFUNCTION("""COMPUTED_VALUE"""),1.1162790697674418)</f>
        <v>1.11627907</v>
      </c>
      <c r="L800" s="30">
        <f>IFERROR(__xludf.DUMMYFUNCTION("""COMPUTED_VALUE"""),0.5116279069767442)</f>
        <v>0.511627907</v>
      </c>
      <c r="M800" s="30">
        <f>IFERROR(__xludf.DUMMYFUNCTION("""COMPUTED_VALUE"""),1.4883720930232558)</f>
        <v>1.488372093</v>
      </c>
      <c r="N800" s="30">
        <f>IFERROR(__xludf.DUMMYFUNCTION("""COMPUTED_VALUE"""),2.7906976744186047)</f>
        <v>2.790697674</v>
      </c>
      <c r="O800" s="30">
        <f>IFERROR(__xludf.DUMMYFUNCTION("""COMPUTED_VALUE"""),308.1782945736435)</f>
        <v>308.1782946</v>
      </c>
      <c r="P800" s="30">
        <f>IFERROR(__xludf.DUMMYFUNCTION("""COMPUTED_VALUE"""),0.6511627906976742)</f>
        <v>0.6511627907</v>
      </c>
      <c r="Q800" s="30">
        <f>IFERROR(__xludf.DUMMYFUNCTION("""COMPUTED_VALUE"""),0.511627906976744)</f>
        <v>0.511627907</v>
      </c>
      <c r="R800" s="30">
        <f>IFERROR(__xludf.DUMMYFUNCTION("""COMPUTED_VALUE"""),1.0930232558139534)</f>
        <v>1.093023256</v>
      </c>
      <c r="S800" s="30">
        <f>IFERROR(__xludf.DUMMYFUNCTION("""COMPUTED_VALUE"""),2.364341085271317)</f>
        <v>2.364341085</v>
      </c>
      <c r="T800" s="30">
        <f>IFERROR(__xludf.DUMMYFUNCTION("""COMPUTED_VALUE"""),316.577501317281)</f>
        <v>316.5775013</v>
      </c>
      <c r="U800" s="30">
        <f>IFERROR(__xludf.DUMMYFUNCTION("""COMPUTED_VALUE"""),0.7836930204330655)</f>
        <v>0.7836930204</v>
      </c>
      <c r="V800" s="30">
        <f>IFERROR(__xludf.DUMMYFUNCTION("""COMPUTED_VALUE"""),0.4989979129337304)</f>
        <v>0.4989979129</v>
      </c>
      <c r="W800" s="30">
        <f>IFERROR(__xludf.DUMMYFUNCTION("""COMPUTED_VALUE"""),1.0517632902772263)</f>
        <v>1.05176329</v>
      </c>
      <c r="X800" s="30">
        <f>IFERROR(__xludf.DUMMYFUNCTION("""COMPUTED_VALUE"""),2.188666880892454)</f>
        <v>2.188666881</v>
      </c>
      <c r="Y800" s="30">
        <f>IFERROR(__xludf.DUMMYFUNCTION("""COMPUTED_VALUE"""),331.9466785384832)</f>
        <v>331.9466785</v>
      </c>
      <c r="Z800" s="30">
        <f>IFERROR(__xludf.DUMMYFUNCTION("""COMPUTED_VALUE"""),0.8702706675541774)</f>
        <v>0.8702706676</v>
      </c>
      <c r="AA800" s="30">
        <f>IFERROR(__xludf.DUMMYFUNCTION("""COMPUTED_VALUE"""),0.5644004549738477)</f>
        <v>0.564400455</v>
      </c>
      <c r="AB800" s="30">
        <f>IFERROR(__xludf.DUMMYFUNCTION("""COMPUTED_VALUE"""),1.0293950926649487)</f>
        <v>1.029395093</v>
      </c>
      <c r="AC800" s="30">
        <f>IFERROR(__xludf.DUMMYFUNCTION("""COMPUTED_VALUE"""),2.330813484559177)</f>
        <v>2.330813485</v>
      </c>
      <c r="AD800" s="30">
        <f>IFERROR(__xludf.DUMMYFUNCTION("""COMPUTED_VALUE"""),1.229463361003185)</f>
        <v>1.229463361</v>
      </c>
      <c r="AE800" s="30">
        <f>IFERROR(__xludf.DUMMYFUNCTION("""COMPUTED_VALUE"""),1.2826803331251533)</f>
        <v>1.282680333</v>
      </c>
      <c r="AF800" s="30">
        <f>IFERROR(__xludf.DUMMYFUNCTION("""COMPUTED_VALUE"""),0.9064980413604578)</f>
        <v>0.9064980414</v>
      </c>
      <c r="AG800" s="30">
        <f>IFERROR(__xludf.DUMMYFUNCTION("""COMPUTED_VALUE"""),1.4458705929616247)</f>
        <v>1.445870593</v>
      </c>
      <c r="AH800" s="30">
        <f>IFERROR(__xludf.DUMMYFUNCTION("""COMPUTED_VALUE"""),1.1973063022442592)</f>
        <v>1.197306302</v>
      </c>
      <c r="AI800" s="30">
        <f>IFERROR(__xludf.DUMMYFUNCTION("""COMPUTED_VALUE"""),0.9734687186907206)</f>
        <v>0.9734687187</v>
      </c>
      <c r="AJ800" s="30">
        <f>IFERROR(__xludf.DUMMYFUNCTION("""COMPUTED_VALUE"""),0.83089012370921)</f>
        <v>0.8308901237</v>
      </c>
      <c r="AK800" s="30">
        <f>IFERROR(__xludf.DUMMYFUNCTION("""COMPUTED_VALUE"""),1.0253107151666403)</f>
        <v>1.025310715</v>
      </c>
      <c r="AL800" s="30">
        <f>IFERROR(__xludf.DUMMYFUNCTION("""COMPUTED_VALUE"""),1.0392293265206582)</f>
        <v>1.039229327</v>
      </c>
      <c r="AM800" s="30">
        <f>IFERROR(__xludf.DUMMYFUNCTION("""COMPUTED_VALUE"""),1.08026539164664)</f>
        <v>1.080265392</v>
      </c>
      <c r="AN800" s="30">
        <f>IFERROR(__xludf.DUMMYFUNCTION("""COMPUTED_VALUE"""),1.2832925900606964)</f>
        <v>1.28329259</v>
      </c>
      <c r="AO800" s="30">
        <f>IFERROR(__xludf.DUMMYFUNCTION("""COMPUTED_VALUE"""),1.3903371957908899)</f>
        <v>1.390337196</v>
      </c>
      <c r="AP800" s="30">
        <f>IFERROR(__xludf.DUMMYFUNCTION("""COMPUTED_VALUE"""),0.9508045882550402)</f>
        <v>0.9508045883</v>
      </c>
      <c r="AQ800" s="30">
        <f>IFERROR(__xludf.DUMMYFUNCTION("""COMPUTED_VALUE"""),1.4211601557741862)</f>
        <v>1.421160156</v>
      </c>
      <c r="AR800" s="30">
        <f>IFERROR(__xludf.DUMMYFUNCTION("""COMPUTED_VALUE"""),1.2668965175344722)</f>
        <v>1.266896518</v>
      </c>
      <c r="AS800" s="30">
        <f>IFERROR(__xludf.DUMMYFUNCTION("""COMPUTED_VALUE"""),109.0)</f>
        <v>109</v>
      </c>
      <c r="AT800" s="30">
        <f>IFERROR(__xludf.DUMMYFUNCTION("""COMPUTED_VALUE"""),0.5988978863827745)</f>
        <v>0.5988978864</v>
      </c>
      <c r="AU800" s="30">
        <f>IFERROR(__xludf.DUMMYFUNCTION("""COMPUTED_VALUE"""),4.934946279309818)</f>
        <v>4.934946279</v>
      </c>
      <c r="AV800" s="32">
        <f>IFERROR(__xludf.DUMMYFUNCTION("""COMPUTED_VALUE"""),66.71927200304759)</f>
        <v>66.719272</v>
      </c>
      <c r="AW800" s="32">
        <f>IFERROR(__xludf.DUMMYFUNCTION("""COMPUTED_VALUE"""),3.971077490934976)</f>
        <v>3.971077491</v>
      </c>
      <c r="AX800" s="32">
        <f>IFERROR(__xludf.DUMMYFUNCTION("""COMPUTED_VALUE"""),70.95235357047959)</f>
        <v>70.95235357</v>
      </c>
      <c r="AY800" s="32">
        <f>IFERROR(__xludf.DUMMYFUNCTION("""COMPUTED_VALUE"""),4.97539874011361)</f>
        <v>4.97539874</v>
      </c>
      <c r="AZ800" s="30">
        <f>IFERROR(__xludf.DUMMYFUNCTION("""COMPUTED_VALUE"""),1.0043212491786337)</f>
        <v>1.004321249</v>
      </c>
      <c r="BA800" s="30">
        <f>IFERROR(__xludf.DUMMYFUNCTION("""COMPUTED_VALUE"""),3200.0)</f>
        <v>3200</v>
      </c>
    </row>
    <row r="801">
      <c r="A801" s="71" t="str">
        <f>IFERROR(__xludf.DUMMYFUNCTION("""COMPUTED_VALUE"""),"Contender")</f>
        <v>Contender</v>
      </c>
      <c r="B801" s="71" t="str">
        <f>IFERROR(__xludf.DUMMYFUNCTION("""COMPUTED_VALUE"""),"RSC000086")</f>
        <v>RSC000086</v>
      </c>
      <c r="C801" s="30" t="str">
        <f>IFERROR(__xludf.DUMMYFUNCTION("""COMPUTED_VALUE"""),"Stale Popcorn")</f>
        <v>Stale Popcorn</v>
      </c>
      <c r="D801" s="30"/>
      <c r="E801" s="30">
        <f>IFERROR(__xludf.DUMMYFUNCTION("""COMPUTED_VALUE"""),38.0)</f>
        <v>38</v>
      </c>
      <c r="F801" s="30">
        <f>IFERROR(__xludf.DUMMYFUNCTION("""COMPUTED_VALUE"""),13.0)</f>
        <v>13</v>
      </c>
      <c r="G801" s="42">
        <f>IFERROR(__xludf.DUMMYFUNCTION("""COMPUTED_VALUE"""),25.0)</f>
        <v>25</v>
      </c>
      <c r="H801" s="42">
        <f>IFERROR(__xludf.DUMMYFUNCTION("""COMPUTED_VALUE"""),0.34210526315789475)</f>
        <v>0.3421052632</v>
      </c>
      <c r="I801" s="42">
        <f>IFERROR(__xludf.DUMMYFUNCTION("""COMPUTED_VALUE"""),0.28750000000000003)</f>
        <v>0.2875</v>
      </c>
      <c r="J801" s="30">
        <f>IFERROR(__xludf.DUMMYFUNCTION("""COMPUTED_VALUE"""),298.5263157894737)</f>
        <v>298.5263158</v>
      </c>
      <c r="K801" s="30">
        <f>IFERROR(__xludf.DUMMYFUNCTION("""COMPUTED_VALUE"""),0.6052631578947368)</f>
        <v>0.6052631579</v>
      </c>
      <c r="L801" s="30">
        <f>IFERROR(__xludf.DUMMYFUNCTION("""COMPUTED_VALUE"""),0.2894736842105263)</f>
        <v>0.2894736842</v>
      </c>
      <c r="M801" s="30">
        <f>IFERROR(__xludf.DUMMYFUNCTION("""COMPUTED_VALUE"""),1.131578947368421)</f>
        <v>1.131578947</v>
      </c>
      <c r="N801" s="30">
        <f>IFERROR(__xludf.DUMMYFUNCTION("""COMPUTED_VALUE"""),2.1052631578947367)</f>
        <v>2.105263158</v>
      </c>
      <c r="O801" s="30">
        <f>IFERROR(__xludf.DUMMYFUNCTION("""COMPUTED_VALUE"""),320.3245614035088)</f>
        <v>320.3245614</v>
      </c>
      <c r="P801" s="30">
        <f>IFERROR(__xludf.DUMMYFUNCTION("""COMPUTED_VALUE"""),0.8684210526315788)</f>
        <v>0.8684210526</v>
      </c>
      <c r="Q801" s="30">
        <f>IFERROR(__xludf.DUMMYFUNCTION("""COMPUTED_VALUE"""),0.48245614035087725)</f>
        <v>0.4824561404</v>
      </c>
      <c r="R801" s="30">
        <f>IFERROR(__xludf.DUMMYFUNCTION("""COMPUTED_VALUE"""),0.8771929824561402)</f>
        <v>0.8771929825</v>
      </c>
      <c r="S801" s="30">
        <f>IFERROR(__xludf.DUMMYFUNCTION("""COMPUTED_VALUE"""),2.4035087719298245)</f>
        <v>2.403508772</v>
      </c>
      <c r="T801" s="30">
        <f>IFERROR(__xludf.DUMMYFUNCTION("""COMPUTED_VALUE"""),337.06014122408516)</f>
        <v>337.0601412</v>
      </c>
      <c r="U801" s="30">
        <f>IFERROR(__xludf.DUMMYFUNCTION("""COMPUTED_VALUE"""),0.8663302837098428)</f>
        <v>0.8663302837</v>
      </c>
      <c r="V801" s="30">
        <f>IFERROR(__xludf.DUMMYFUNCTION("""COMPUTED_VALUE"""),0.5722288027295165)</f>
        <v>0.5722288027</v>
      </c>
      <c r="W801" s="30">
        <f>IFERROR(__xludf.DUMMYFUNCTION("""COMPUTED_VALUE"""),1.100511921071319)</f>
        <v>1.100511921</v>
      </c>
      <c r="X801" s="30">
        <f>IFERROR(__xludf.DUMMYFUNCTION("""COMPUTED_VALUE"""),2.3125063739943656)</f>
        <v>2.312506374</v>
      </c>
      <c r="Y801" s="30">
        <f>IFERROR(__xludf.DUMMYFUNCTION("""COMPUTED_VALUE"""),320.0438415213227)</f>
        <v>320.0438415</v>
      </c>
      <c r="Z801" s="30">
        <f>IFERROR(__xludf.DUMMYFUNCTION("""COMPUTED_VALUE"""),0.7752078915744837)</f>
        <v>0.7752078916</v>
      </c>
      <c r="AA801" s="30">
        <f>IFERROR(__xludf.DUMMYFUNCTION("""COMPUTED_VALUE"""),0.532072075214546)</f>
        <v>0.5320720752</v>
      </c>
      <c r="AB801" s="30">
        <f>IFERROR(__xludf.DUMMYFUNCTION("""COMPUTED_VALUE"""),1.0608309698222504)</f>
        <v>1.06083097</v>
      </c>
      <c r="AC801" s="30">
        <f>IFERROR(__xludf.DUMMYFUNCTION("""COMPUTED_VALUE"""),2.255561739903613)</f>
        <v>2.25556174</v>
      </c>
      <c r="AD801" s="30">
        <f>IFERROR(__xludf.DUMMYFUNCTION("""COMPUTED_VALUE"""),0.9327669433363698)</f>
        <v>0.9327669433</v>
      </c>
      <c r="AE801" s="30">
        <f>IFERROR(__xludf.DUMMYFUNCTION("""COMPUTED_VALUE"""),0.7807752790872896)</f>
        <v>0.7807752791</v>
      </c>
      <c r="AF801" s="30">
        <f>IFERROR(__xludf.DUMMYFUNCTION("""COMPUTED_VALUE"""),0.5440497588485594)</f>
        <v>0.5440497588</v>
      </c>
      <c r="AG801" s="30">
        <f>IFERROR(__xludf.DUMMYFUNCTION("""COMPUTED_VALUE"""),1.0666910936414544)</f>
        <v>1.066691094</v>
      </c>
      <c r="AH801" s="30">
        <f>IFERROR(__xludf.DUMMYFUNCTION("""COMPUTED_VALUE"""),0.9333653433865662)</f>
        <v>0.9333653434</v>
      </c>
      <c r="AI801" s="30">
        <f>IFERROR(__xludf.DUMMYFUNCTION("""COMPUTED_VALUE"""),0.9503483866119603)</f>
        <v>0.9503483866</v>
      </c>
      <c r="AJ801" s="30">
        <f>IFERROR(__xludf.DUMMYFUNCTION("""COMPUTED_VALUE"""),1.0024133623873597)</f>
        <v>1.002413362</v>
      </c>
      <c r="AK801" s="30">
        <f>IFERROR(__xludf.DUMMYFUNCTION("""COMPUTED_VALUE"""),0.843117539784041)</f>
        <v>0.8431175398</v>
      </c>
      <c r="AL801" s="30">
        <f>IFERROR(__xludf.DUMMYFUNCTION("""COMPUTED_VALUE"""),0.7970772198471201)</f>
        <v>0.7970772198</v>
      </c>
      <c r="AM801" s="30">
        <f>IFERROR(__xludf.DUMMYFUNCTION("""COMPUTED_VALUE"""),1.0393522798288644)</f>
        <v>1.03935228</v>
      </c>
      <c r="AN801" s="30">
        <f>IFERROR(__xludf.DUMMYFUNCTION("""COMPUTED_VALUE"""),0.9386947510742661)</f>
        <v>0.9386947511</v>
      </c>
      <c r="AO801" s="30">
        <f>IFERROR(__xludf.DUMMYFUNCTION("""COMPUTED_VALUE"""),0.7538615606563541)</f>
        <v>0.7538615607</v>
      </c>
      <c r="AP801" s="30">
        <f>IFERROR(__xludf.DUMMYFUNCTION("""COMPUTED_VALUE"""),0.5379552275653517)</f>
        <v>0.5379552276</v>
      </c>
      <c r="AQ801" s="30">
        <f>IFERROR(__xludf.DUMMYFUNCTION("""COMPUTED_VALUE"""),1.0804790822477264)</f>
        <v>1.080479082</v>
      </c>
      <c r="AR801" s="30">
        <f>IFERROR(__xludf.DUMMYFUNCTION("""COMPUTED_VALUE"""),0.955728951824251)</f>
        <v>0.9557289518</v>
      </c>
      <c r="AS801" s="30">
        <f>IFERROR(__xludf.DUMMYFUNCTION("""COMPUTED_VALUE"""),62.0)</f>
        <v>62</v>
      </c>
      <c r="AT801" s="30">
        <f>IFERROR(__xludf.DUMMYFUNCTION("""COMPUTED_VALUE"""),0.3299831478807846)</f>
        <v>0.3299831479</v>
      </c>
      <c r="AU801" s="30">
        <f>IFERROR(__xludf.DUMMYFUNCTION("""COMPUTED_VALUE"""),2.8427687656039873)</f>
        <v>2.842768766</v>
      </c>
      <c r="AV801" s="32">
        <f>IFERROR(__xludf.DUMMYFUNCTION("""COMPUTED_VALUE"""),36.46233352709123)</f>
        <v>36.46233353</v>
      </c>
      <c r="AW801" s="32">
        <f>IFERROR(__xludf.DUMMYFUNCTION("""COMPUTED_VALUE"""),-3.400444453154608)</f>
        <v>-3.400444453</v>
      </c>
      <c r="AX801" s="32">
        <f>IFERROR(__xludf.DUMMYFUNCTION("""COMPUTED_VALUE"""),43.91655517462086)</f>
        <v>43.91655517</v>
      </c>
      <c r="AY801" s="32">
        <f>IFERROR(__xludf.DUMMYFUNCTION("""COMPUTED_VALUE"""),-2.476032839384072)</f>
        <v>-2.476032839</v>
      </c>
      <c r="AZ801" s="30">
        <f>IFERROR(__xludf.DUMMYFUNCTION("""COMPUTED_VALUE"""),0.9244116137705358)</f>
        <v>0.9244116138</v>
      </c>
      <c r="BA801" s="30">
        <f>IFERROR(__xludf.DUMMYFUNCTION("""COMPUTED_VALUE"""),3200.0)</f>
        <v>3200</v>
      </c>
    </row>
    <row r="802">
      <c r="A802" s="71" t="str">
        <f>IFERROR(__xludf.DUMMYFUNCTION("""COMPUTED_VALUE"""),"Contender")</f>
        <v>Contender</v>
      </c>
      <c r="B802" s="71" t="str">
        <f>IFERROR(__xludf.DUMMYFUNCTION("""COMPUTED_VALUE"""),"RSC007465")</f>
        <v>RSC007465</v>
      </c>
      <c r="C802" s="30" t="str">
        <f>IFERROR(__xludf.DUMMYFUNCTION("""COMPUTED_VALUE"""),"xReaperDenTTV")</f>
        <v>xReaperDenTTV</v>
      </c>
      <c r="D802" s="30"/>
      <c r="E802" s="30">
        <f>IFERROR(__xludf.DUMMYFUNCTION("""COMPUTED_VALUE"""),26.0)</f>
        <v>26</v>
      </c>
      <c r="F802" s="30">
        <f>IFERROR(__xludf.DUMMYFUNCTION("""COMPUTED_VALUE"""),11.0)</f>
        <v>11</v>
      </c>
      <c r="G802" s="42">
        <f>IFERROR(__xludf.DUMMYFUNCTION("""COMPUTED_VALUE"""),15.0)</f>
        <v>15</v>
      </c>
      <c r="H802" s="42">
        <f>IFERROR(__xludf.DUMMYFUNCTION("""COMPUTED_VALUE"""),0.4230769230769231)</f>
        <v>0.4230769231</v>
      </c>
      <c r="I802" s="42">
        <f>IFERROR(__xludf.DUMMYFUNCTION("""COMPUTED_VALUE"""),0.34920634920634924)</f>
        <v>0.3492063492</v>
      </c>
      <c r="J802" s="30">
        <f>IFERROR(__xludf.DUMMYFUNCTION("""COMPUTED_VALUE"""),344.38461538461536)</f>
        <v>344.3846154</v>
      </c>
      <c r="K802" s="30">
        <f>IFERROR(__xludf.DUMMYFUNCTION("""COMPUTED_VALUE"""),0.8461538461538461)</f>
        <v>0.8461538462</v>
      </c>
      <c r="L802" s="30">
        <f>IFERROR(__xludf.DUMMYFUNCTION("""COMPUTED_VALUE"""),0.5)</f>
        <v>0.5</v>
      </c>
      <c r="M802" s="30">
        <f>IFERROR(__xludf.DUMMYFUNCTION("""COMPUTED_VALUE"""),1.1153846153846154)</f>
        <v>1.115384615</v>
      </c>
      <c r="N802" s="30">
        <f>IFERROR(__xludf.DUMMYFUNCTION("""COMPUTED_VALUE"""),2.423076923076923)</f>
        <v>2.423076923</v>
      </c>
      <c r="O802" s="30">
        <f>IFERROR(__xludf.DUMMYFUNCTION("""COMPUTED_VALUE"""),323.03846153846155)</f>
        <v>323.0384615</v>
      </c>
      <c r="P802" s="30">
        <f>IFERROR(__xludf.DUMMYFUNCTION("""COMPUTED_VALUE"""),0.8333333333333333)</f>
        <v>0.8333333333</v>
      </c>
      <c r="Q802" s="30">
        <f>IFERROR(__xludf.DUMMYFUNCTION("""COMPUTED_VALUE"""),0.48717948717948717)</f>
        <v>0.4871794872</v>
      </c>
      <c r="R802" s="30">
        <f>IFERROR(__xludf.DUMMYFUNCTION("""COMPUTED_VALUE"""),1.0384615384615383)</f>
        <v>1.038461538</v>
      </c>
      <c r="S802" s="30">
        <f>IFERROR(__xludf.DUMMYFUNCTION("""COMPUTED_VALUE"""),2.294871794871795)</f>
        <v>2.294871795</v>
      </c>
      <c r="T802" s="30">
        <f>IFERROR(__xludf.DUMMYFUNCTION("""COMPUTED_VALUE"""),328.4154664071185)</f>
        <v>328.4154664</v>
      </c>
      <c r="U802" s="30">
        <f>IFERROR(__xludf.DUMMYFUNCTION("""COMPUTED_VALUE"""),0.8548630000493816)</f>
        <v>0.854863</v>
      </c>
      <c r="V802" s="30">
        <f>IFERROR(__xludf.DUMMYFUNCTION("""COMPUTED_VALUE"""),0.5460919005426935)</f>
        <v>0.5460919005</v>
      </c>
      <c r="W802" s="30">
        <f>IFERROR(__xludf.DUMMYFUNCTION("""COMPUTED_VALUE"""),1.0474310033059178)</f>
        <v>1.047431003</v>
      </c>
      <c r="X802" s="30">
        <f>IFERROR(__xludf.DUMMYFUNCTION("""COMPUTED_VALUE"""),2.3261239407701146)</f>
        <v>2.326123941</v>
      </c>
      <c r="Y802" s="30">
        <f>IFERROR(__xludf.DUMMYFUNCTION("""COMPUTED_VALUE"""),329.6612273132596)</f>
        <v>329.6612273</v>
      </c>
      <c r="Z802" s="30">
        <f>IFERROR(__xludf.DUMMYFUNCTION("""COMPUTED_VALUE"""),0.8273244949214418)</f>
        <v>0.8273244949</v>
      </c>
      <c r="AA802" s="30">
        <f>IFERROR(__xludf.DUMMYFUNCTION("""COMPUTED_VALUE"""),0.5537567544669814)</f>
        <v>0.5537567545</v>
      </c>
      <c r="AB802" s="30">
        <f>IFERROR(__xludf.DUMMYFUNCTION("""COMPUTED_VALUE"""),1.0813747762800183)</f>
        <v>1.081374776</v>
      </c>
      <c r="AC802" s="30">
        <f>IFERROR(__xludf.DUMMYFUNCTION("""COMPUTED_VALUE"""),2.3113087479438295)</f>
        <v>2.311308748</v>
      </c>
      <c r="AD802" s="30">
        <f>IFERROR(__xludf.DUMMYFUNCTION("""COMPUTED_VALUE"""),1.0446621769607285)</f>
        <v>1.044662177</v>
      </c>
      <c r="AE802" s="30">
        <f>IFERROR(__xludf.DUMMYFUNCTION("""COMPUTED_VALUE"""),1.0227593300427933)</f>
        <v>1.02275933</v>
      </c>
      <c r="AF802" s="30">
        <f>IFERROR(__xludf.DUMMYFUNCTION("""COMPUTED_VALUE"""),0.9029235236711018)</f>
        <v>0.9029235237</v>
      </c>
      <c r="AG802" s="30">
        <f>IFERROR(__xludf.DUMMYFUNCTION("""COMPUTED_VALUE"""),1.0314505570599608)</f>
        <v>1.031450557</v>
      </c>
      <c r="AH802" s="30">
        <f>IFERROR(__xludf.DUMMYFUNCTION("""COMPUTED_VALUE"""),1.0483570943226532)</f>
        <v>1.048357094</v>
      </c>
      <c r="AI802" s="30">
        <f>IFERROR(__xludf.DUMMYFUNCTION("""COMPUTED_VALUE"""),0.9836274310479903)</f>
        <v>0.983627431</v>
      </c>
      <c r="AJ802" s="30">
        <f>IFERROR(__xludf.DUMMYFUNCTION("""COMPUTED_VALUE"""),0.9748150677771705)</f>
        <v>0.9748150678</v>
      </c>
      <c r="AK802" s="30">
        <f>IFERROR(__xludf.DUMMYFUNCTION("""COMPUTED_VALUE"""),0.8921199649643942)</f>
        <v>0.892119965</v>
      </c>
      <c r="AL802" s="30">
        <f>IFERROR(__xludf.DUMMYFUNCTION("""COMPUTED_VALUE"""),0.9914367010179478)</f>
        <v>0.991436701</v>
      </c>
      <c r="AM802" s="30">
        <f>IFERROR(__xludf.DUMMYFUNCTION("""COMPUTED_VALUE"""),0.9865647116430207)</f>
        <v>0.9865647116</v>
      </c>
      <c r="AN802" s="30">
        <f>IFERROR(__xludf.DUMMYFUNCTION("""COMPUTED_VALUE"""),1.0828929099846791)</f>
        <v>1.08289291</v>
      </c>
      <c r="AO802" s="30">
        <f>IFERROR(__xludf.DUMMYFUNCTION("""COMPUTED_VALUE"""),1.053893419245338)</f>
        <v>1.053893419</v>
      </c>
      <c r="AP802" s="30">
        <f>IFERROR(__xludf.DUMMYFUNCTION("""COMPUTED_VALUE"""),0.9291953930674256)</f>
        <v>0.9291953931</v>
      </c>
      <c r="AQ802" s="30">
        <f>IFERROR(__xludf.DUMMYFUNCTION("""COMPUTED_VALUE"""),1.0650160542370255)</f>
        <v>1.065016054</v>
      </c>
      <c r="AR802" s="30">
        <f>IFERROR(__xludf.DUMMYFUNCTION("""COMPUTED_VALUE"""),1.1000072647438734)</f>
        <v>1.100007265</v>
      </c>
      <c r="AS802" s="30">
        <f>IFERROR(__xludf.DUMMYFUNCTION("""COMPUTED_VALUE"""),52.0)</f>
        <v>52</v>
      </c>
      <c r="AT802" s="30">
        <f>IFERROR(__xludf.DUMMYFUNCTION("""COMPUTED_VALUE"""),0.41493464975825695)</f>
        <v>0.4149346498</v>
      </c>
      <c r="AU802" s="30">
        <f>IFERROR(__xludf.DUMMYFUNCTION("""COMPUTED_VALUE"""),4.0704419494965185)</f>
        <v>4.070441949</v>
      </c>
      <c r="AV802" s="32">
        <f>IFERROR(__xludf.DUMMYFUNCTION("""COMPUTED_VALUE"""),54.2168652292423)</f>
        <v>54.21686523</v>
      </c>
      <c r="AW802" s="32">
        <f>IFERROR(__xludf.DUMMYFUNCTION("""COMPUTED_VALUE"""),2.309328578368936)</f>
        <v>2.309328578</v>
      </c>
      <c r="AX802" s="32">
        <f>IFERROR(__xludf.DUMMYFUNCTION("""COMPUTED_VALUE"""),60.6481024968227)</f>
        <v>60.6481025</v>
      </c>
      <c r="AY802" s="32">
        <f>IFERROR(__xludf.DUMMYFUNCTION("""COMPUTED_VALUE"""),2.984347901073654)</f>
        <v>2.984347901</v>
      </c>
      <c r="AZ802" s="30">
        <f>IFERROR(__xludf.DUMMYFUNCTION("""COMPUTED_VALUE"""),0.6750193227047179)</f>
        <v>0.6750193227</v>
      </c>
      <c r="BA802" s="30">
        <f>IFERROR(__xludf.DUMMYFUNCTION("""COMPUTED_VALUE"""),3200.0)</f>
        <v>3200</v>
      </c>
    </row>
    <row r="803">
      <c r="A803" s="71" t="str">
        <f>IFERROR(__xludf.DUMMYFUNCTION("""COMPUTED_VALUE"""),"Contender")</f>
        <v>Contender</v>
      </c>
      <c r="B803" s="71" t="str">
        <f>IFERROR(__xludf.DUMMYFUNCTION("""COMPUTED_VALUE"""),"RSC007515")</f>
        <v>RSC007515</v>
      </c>
      <c r="C803" s="30" t="str">
        <f>IFERROR(__xludf.DUMMYFUNCTION("""COMPUTED_VALUE"""),"superstrikzz")</f>
        <v>superstrikzz</v>
      </c>
      <c r="D803" s="30" t="str">
        <f>IFERROR(__xludf.DUMMYFUNCTION("""COMPUTED_VALUE"""),"Clover")</f>
        <v>Clover</v>
      </c>
      <c r="E803" s="30">
        <f>IFERROR(__xludf.DUMMYFUNCTION("""COMPUTED_VALUE"""),45.0)</f>
        <v>45</v>
      </c>
      <c r="F803" s="30">
        <f>IFERROR(__xludf.DUMMYFUNCTION("""COMPUTED_VALUE"""),23.0)</f>
        <v>23</v>
      </c>
      <c r="G803" s="42">
        <f>IFERROR(__xludf.DUMMYFUNCTION("""COMPUTED_VALUE"""),22.0)</f>
        <v>22</v>
      </c>
      <c r="H803" s="42">
        <f>IFERROR(__xludf.DUMMYFUNCTION("""COMPUTED_VALUE"""),0.5111111111111111)</f>
        <v>0.5111111111</v>
      </c>
      <c r="I803" s="42">
        <f>IFERROR(__xludf.DUMMYFUNCTION("""COMPUTED_VALUE"""),0.3228346456692913)</f>
        <v>0.3228346457</v>
      </c>
      <c r="J803" s="30">
        <f>IFERROR(__xludf.DUMMYFUNCTION("""COMPUTED_VALUE"""),381.75555555555553)</f>
        <v>381.7555556</v>
      </c>
      <c r="K803" s="30">
        <f>IFERROR(__xludf.DUMMYFUNCTION("""COMPUTED_VALUE"""),0.9111111111111111)</f>
        <v>0.9111111111</v>
      </c>
      <c r="L803" s="30">
        <f>IFERROR(__xludf.DUMMYFUNCTION("""COMPUTED_VALUE"""),0.7333333333333333)</f>
        <v>0.7333333333</v>
      </c>
      <c r="M803" s="30">
        <f>IFERROR(__xludf.DUMMYFUNCTION("""COMPUTED_VALUE"""),1.2666666666666666)</f>
        <v>1.266666667</v>
      </c>
      <c r="N803" s="30">
        <f>IFERROR(__xludf.DUMMYFUNCTION("""COMPUTED_VALUE"""),2.8222222222222224)</f>
        <v>2.822222222</v>
      </c>
      <c r="O803" s="30">
        <f>IFERROR(__xludf.DUMMYFUNCTION("""COMPUTED_VALUE"""),330.3555555555555)</f>
        <v>330.3555556</v>
      </c>
      <c r="P803" s="30">
        <f>IFERROR(__xludf.DUMMYFUNCTION("""COMPUTED_VALUE"""),0.7703703703703705)</f>
        <v>0.7703703704</v>
      </c>
      <c r="Q803" s="30">
        <f>IFERROR(__xludf.DUMMYFUNCTION("""COMPUTED_VALUE"""),0.5629629629629632)</f>
        <v>0.562962963</v>
      </c>
      <c r="R803" s="30">
        <f>IFERROR(__xludf.DUMMYFUNCTION("""COMPUTED_VALUE"""),1.1555555555555554)</f>
        <v>1.155555556</v>
      </c>
      <c r="S803" s="30">
        <f>IFERROR(__xludf.DUMMYFUNCTION("""COMPUTED_VALUE"""),2.422222222222222)</f>
        <v>2.422222222</v>
      </c>
      <c r="T803" s="30">
        <f>IFERROR(__xludf.DUMMYFUNCTION("""COMPUTED_VALUE"""),327.9372208715772)</f>
        <v>327.9372209</v>
      </c>
      <c r="U803" s="30">
        <f>IFERROR(__xludf.DUMMYFUNCTION("""COMPUTED_VALUE"""),0.8151451453054768)</f>
        <v>0.8151451453</v>
      </c>
      <c r="V803" s="30">
        <f>IFERROR(__xludf.DUMMYFUNCTION("""COMPUTED_VALUE"""),0.5602528967411666)</f>
        <v>0.5602528967</v>
      </c>
      <c r="W803" s="30">
        <f>IFERROR(__xludf.DUMMYFUNCTION("""COMPUTED_VALUE"""),1.0762071895968595)</f>
        <v>1.07620719</v>
      </c>
      <c r="X803" s="30">
        <f>IFERROR(__xludf.DUMMYFUNCTION("""COMPUTED_VALUE"""),2.2932673455724473)</f>
        <v>2.293267346</v>
      </c>
      <c r="Y803" s="30">
        <f>IFERROR(__xludf.DUMMYFUNCTION("""COMPUTED_VALUE"""),330.7201736975587)</f>
        <v>330.7201737</v>
      </c>
      <c r="Z803" s="30">
        <f>IFERROR(__xludf.DUMMYFUNCTION("""COMPUTED_VALUE"""),0.8413571025653318)</f>
        <v>0.8413571026</v>
      </c>
      <c r="AA803" s="30">
        <f>IFERROR(__xludf.DUMMYFUNCTION("""COMPUTED_VALUE"""),0.5499273090188969)</f>
        <v>0.549927309</v>
      </c>
      <c r="AB803" s="30">
        <f>IFERROR(__xludf.DUMMYFUNCTION("""COMPUTED_VALUE"""),1.093291358310288)</f>
        <v>1.093291358</v>
      </c>
      <c r="AC803" s="30">
        <f>IFERROR(__xludf.DUMMYFUNCTION("""COMPUTED_VALUE"""),2.286743063299467)</f>
        <v>2.286743063</v>
      </c>
      <c r="AD803" s="30">
        <f>IFERROR(__xludf.DUMMYFUNCTION("""COMPUTED_VALUE"""),1.1543159018314628)</f>
        <v>1.154315902</v>
      </c>
      <c r="AE803" s="30">
        <f>IFERROR(__xludf.DUMMYFUNCTION("""COMPUTED_VALUE"""),1.0829065426952438)</f>
        <v>1.082906543</v>
      </c>
      <c r="AF803" s="30">
        <f>IFERROR(__xludf.DUMMYFUNCTION("""COMPUTED_VALUE"""),1.3335095771869263)</f>
        <v>1.333509577</v>
      </c>
      <c r="AG803" s="30">
        <f>IFERROR(__xludf.DUMMYFUNCTION("""COMPUTED_VALUE"""),1.1585810653660842)</f>
        <v>1.158581065</v>
      </c>
      <c r="AH803" s="30">
        <f>IFERROR(__xludf.DUMMYFUNCTION("""COMPUTED_VALUE"""),1.2341667358772392)</f>
        <v>1.234166736</v>
      </c>
      <c r="AI803" s="30">
        <f>IFERROR(__xludf.DUMMYFUNCTION("""COMPUTED_VALUE"""),1.007374383052802)</f>
        <v>1.007374383</v>
      </c>
      <c r="AJ803" s="30">
        <f>IFERROR(__xludf.DUMMYFUNCTION("""COMPUTED_VALUE"""),0.9450714082112004)</f>
        <v>0.9450714082</v>
      </c>
      <c r="AK803" s="30">
        <f>IFERROR(__xludf.DUMMYFUNCTION("""COMPUTED_VALUE"""),1.004837219472778)</f>
        <v>1.004837219</v>
      </c>
      <c r="AL803" s="30">
        <f>IFERROR(__xludf.DUMMYFUNCTION("""COMPUTED_VALUE"""),1.0737296374951921)</f>
        <v>1.073729637</v>
      </c>
      <c r="AM803" s="30">
        <f>IFERROR(__xludf.DUMMYFUNCTION("""COMPUTED_VALUE"""),1.056231942123427)</f>
        <v>1.056231942</v>
      </c>
      <c r="AN803" s="30">
        <f>IFERROR(__xludf.DUMMYFUNCTION("""COMPUTED_VALUE"""),1.2004031713108898)</f>
        <v>1.200403171</v>
      </c>
      <c r="AO803" s="30">
        <f>IFERROR(__xludf.DUMMYFUNCTION("""COMPUTED_VALUE"""),1.1347983686015457)</f>
        <v>1.134798369</v>
      </c>
      <c r="AP803" s="30">
        <f>IFERROR(__xludf.DUMMYFUNCTION("""COMPUTED_VALUE"""),1.3628199098322242)</f>
        <v>1.36281991</v>
      </c>
      <c r="AQ803" s="30">
        <f>IFERROR(__xludf.DUMMYFUNCTION("""COMPUTED_VALUE"""),1.209466507570323)</f>
        <v>1.209466508</v>
      </c>
      <c r="AR803" s="30">
        <f>IFERROR(__xludf.DUMMYFUNCTION("""COMPUTED_VALUE"""),1.2812077559732877)</f>
        <v>1.281207756</v>
      </c>
      <c r="AS803" s="30">
        <f>IFERROR(__xludf.DUMMYFUNCTION("""COMPUTED_VALUE"""),115.0)</f>
        <v>115</v>
      </c>
      <c r="AT803" s="30">
        <f>IFERROR(__xludf.DUMMYFUNCTION("""COMPUTED_VALUE"""),0.5395015074486266)</f>
        <v>0.5395015074</v>
      </c>
      <c r="AU803" s="30">
        <f>IFERROR(__xludf.DUMMYFUNCTION("""COMPUTED_VALUE"""),5.105818308818322)</f>
        <v>5.105818309</v>
      </c>
      <c r="AV803" s="32">
        <f>IFERROR(__xludf.DUMMYFUNCTION("""COMPUTED_VALUE"""),69.19041245371757)</f>
        <v>69.19041245</v>
      </c>
      <c r="AW803" s="32">
        <f>IFERROR(__xludf.DUMMYFUNCTION("""COMPUTED_VALUE"""),4.517578438900455)</f>
        <v>4.517578439</v>
      </c>
      <c r="AX803" s="32">
        <f>IFERROR(__xludf.DUMMYFUNCTION("""COMPUTED_VALUE"""),66.09327866789171)</f>
        <v>66.09327867</v>
      </c>
      <c r="AY803" s="32">
        <f>IFERROR(__xludf.DUMMYFUNCTION("""COMPUTED_VALUE"""),3.8480054107534905)</f>
        <v>3.848005411</v>
      </c>
      <c r="AZ803" s="30">
        <f>IFERROR(__xludf.DUMMYFUNCTION("""COMPUTED_VALUE"""),0.6695730281469645)</f>
        <v>0.6695730281</v>
      </c>
      <c r="BA803" s="30">
        <f>IFERROR(__xludf.DUMMYFUNCTION("""COMPUTED_VALUE"""),3200.0)</f>
        <v>3200</v>
      </c>
    </row>
    <row r="804">
      <c r="A804" s="71" t="str">
        <f>IFERROR(__xludf.DUMMYFUNCTION("""COMPUTED_VALUE"""),"Contender")</f>
        <v>Contender</v>
      </c>
      <c r="B804" s="71" t="str">
        <f>IFERROR(__xludf.DUMMYFUNCTION("""COMPUTED_VALUE"""),"RSC006919")</f>
        <v>RSC006919</v>
      </c>
      <c r="C804" s="30" t="str">
        <f>IFERROR(__xludf.DUMMYFUNCTION("""COMPUTED_VALUE"""),"rinny_b0y")</f>
        <v>rinny_b0y</v>
      </c>
      <c r="D804" s="30" t="str">
        <f>IFERROR(__xludf.DUMMYFUNCTION("""COMPUTED_VALUE"""),"Zebras")</f>
        <v>Zebras</v>
      </c>
      <c r="E804" s="30">
        <f>IFERROR(__xludf.DUMMYFUNCTION("""COMPUTED_VALUE"""),39.0)</f>
        <v>39</v>
      </c>
      <c r="F804" s="30">
        <f>IFERROR(__xludf.DUMMYFUNCTION("""COMPUTED_VALUE"""),13.0)</f>
        <v>13</v>
      </c>
      <c r="G804" s="42">
        <f>IFERROR(__xludf.DUMMYFUNCTION("""COMPUTED_VALUE"""),26.0)</f>
        <v>26</v>
      </c>
      <c r="H804" s="42">
        <f>IFERROR(__xludf.DUMMYFUNCTION("""COMPUTED_VALUE"""),0.3333333333333333)</f>
        <v>0.3333333333</v>
      </c>
      <c r="I804" s="42">
        <f>IFERROR(__xludf.DUMMYFUNCTION("""COMPUTED_VALUE"""),0.3026315789473684)</f>
        <v>0.3026315789</v>
      </c>
      <c r="J804" s="30">
        <f>IFERROR(__xludf.DUMMYFUNCTION("""COMPUTED_VALUE"""),275.5897435897436)</f>
        <v>275.5897436</v>
      </c>
      <c r="K804" s="30">
        <f>IFERROR(__xludf.DUMMYFUNCTION("""COMPUTED_VALUE"""),0.5897435897435898)</f>
        <v>0.5897435897</v>
      </c>
      <c r="L804" s="30">
        <f>IFERROR(__xludf.DUMMYFUNCTION("""COMPUTED_VALUE"""),0.23076923076923078)</f>
        <v>0.2307692308</v>
      </c>
      <c r="M804" s="30">
        <f>IFERROR(__xludf.DUMMYFUNCTION("""COMPUTED_VALUE"""),1.0256410256410255)</f>
        <v>1.025641026</v>
      </c>
      <c r="N804" s="30">
        <f>IFERROR(__xludf.DUMMYFUNCTION("""COMPUTED_VALUE"""),1.9487179487179487)</f>
        <v>1.948717949</v>
      </c>
      <c r="O804" s="30">
        <f>IFERROR(__xludf.DUMMYFUNCTION("""COMPUTED_VALUE"""),373.56410256410254)</f>
        <v>373.5641026</v>
      </c>
      <c r="P804" s="30">
        <f>IFERROR(__xludf.DUMMYFUNCTION("""COMPUTED_VALUE"""),1.1111111111111112)</f>
        <v>1.111111111</v>
      </c>
      <c r="Q804" s="30">
        <f>IFERROR(__xludf.DUMMYFUNCTION("""COMPUTED_VALUE"""),0.752136752136752)</f>
        <v>0.7521367521</v>
      </c>
      <c r="R804" s="30">
        <f>IFERROR(__xludf.DUMMYFUNCTION("""COMPUTED_VALUE"""),1.0598290598290598)</f>
        <v>1.05982906</v>
      </c>
      <c r="S804" s="30">
        <f>IFERROR(__xludf.DUMMYFUNCTION("""COMPUTED_VALUE"""),2.675213675213676)</f>
        <v>2.675213675</v>
      </c>
      <c r="T804" s="30">
        <f>IFERROR(__xludf.DUMMYFUNCTION("""COMPUTED_VALUE"""),343.4598525516679)</f>
        <v>343.4598526</v>
      </c>
      <c r="U804" s="30">
        <f>IFERROR(__xludf.DUMMYFUNCTION("""COMPUTED_VALUE"""),0.9261759441533894)</f>
        <v>0.9261759442</v>
      </c>
      <c r="V804" s="30">
        <f>IFERROR(__xludf.DUMMYFUNCTION("""COMPUTED_VALUE"""),0.6093438916866025)</f>
        <v>0.6093438917</v>
      </c>
      <c r="W804" s="30">
        <f>IFERROR(__xludf.DUMMYFUNCTION("""COMPUTED_VALUE"""),1.0629697935835691)</f>
        <v>1.062969794</v>
      </c>
      <c r="X804" s="30">
        <f>IFERROR(__xludf.DUMMYFUNCTION("""COMPUTED_VALUE"""),2.4666266750204726)</f>
        <v>2.466626675</v>
      </c>
      <c r="Y804" s="30">
        <f>IFERROR(__xludf.DUMMYFUNCTION("""COMPUTED_VALUE"""),325.4980361520816)</f>
        <v>325.4980362</v>
      </c>
      <c r="Z804" s="30">
        <f>IFERROR(__xludf.DUMMYFUNCTION("""COMPUTED_VALUE"""),0.7784001486254628)</f>
        <v>0.7784001486</v>
      </c>
      <c r="AA804" s="30">
        <f>IFERROR(__xludf.DUMMYFUNCTION("""COMPUTED_VALUE"""),0.526300416597065)</f>
        <v>0.5263004166</v>
      </c>
      <c r="AB804" s="30">
        <f>IFERROR(__xludf.DUMMYFUNCTION("""COMPUTED_VALUE"""),1.1336508470231006)</f>
        <v>1.133650847</v>
      </c>
      <c r="AC804" s="30">
        <f>IFERROR(__xludf.DUMMYFUNCTION("""COMPUTED_VALUE"""),2.2393626798499433)</f>
        <v>2.23936268</v>
      </c>
      <c r="AD804" s="30">
        <f>IFERROR(__xludf.DUMMYFUNCTION("""COMPUTED_VALUE"""),0.8466709871668181)</f>
        <v>0.8466709872</v>
      </c>
      <c r="AE804" s="30">
        <f>IFERROR(__xludf.DUMMYFUNCTION("""COMPUTED_VALUE"""),0.757635505061231)</f>
        <v>0.7576355051</v>
      </c>
      <c r="AF804" s="30">
        <f>IFERROR(__xludf.DUMMYFUNCTION("""COMPUTED_VALUE"""),0.4384743456243689)</f>
        <v>0.4384743456</v>
      </c>
      <c r="AG804" s="30">
        <f>IFERROR(__xludf.DUMMYFUNCTION("""COMPUTED_VALUE"""),0.9047239088951397)</f>
        <v>0.9047239089</v>
      </c>
      <c r="AH804" s="30">
        <f>IFERROR(__xludf.DUMMYFUNCTION("""COMPUTED_VALUE"""),0.8702109605794313)</f>
        <v>0.8702109606</v>
      </c>
      <c r="AI804" s="30">
        <f>IFERROR(__xludf.DUMMYFUNCTION("""COMPUTED_VALUE"""),1.0876499823451882)</f>
        <v>1.087649982</v>
      </c>
      <c r="AJ804" s="30">
        <f>IFERROR(__xludf.DUMMYFUNCTION("""COMPUTED_VALUE"""),1.1996760638463457)</f>
        <v>1.199676064</v>
      </c>
      <c r="AK804" s="30">
        <f>IFERROR(__xludf.DUMMYFUNCTION("""COMPUTED_VALUE"""),1.2343387082373358)</f>
        <v>1.234338708</v>
      </c>
      <c r="AL804" s="30">
        <f>IFERROR(__xludf.DUMMYFUNCTION("""COMPUTED_VALUE"""),0.9970453217264801)</f>
        <v>0.9970453217</v>
      </c>
      <c r="AM804" s="30">
        <f>IFERROR(__xludf.DUMMYFUNCTION("""COMPUTED_VALUE"""),1.0845636683919637)</f>
        <v>1.084563668</v>
      </c>
      <c r="AN804" s="30">
        <f>IFERROR(__xludf.DUMMYFUNCTION("""COMPUTED_VALUE"""),0.8665723324037921)</f>
        <v>0.8665723324</v>
      </c>
      <c r="AO804" s="30">
        <f>IFERROR(__xludf.DUMMYFUNCTION("""COMPUTED_VALUE"""),0.734531777049781)</f>
        <v>0.734531777</v>
      </c>
      <c r="AP804" s="30">
        <f>IFERROR(__xludf.DUMMYFUNCTION("""COMPUTED_VALUE"""),0.4288594121849657)</f>
        <v>0.4288594122</v>
      </c>
      <c r="AQ804" s="30">
        <f>IFERROR(__xludf.DUMMYFUNCTION("""COMPUTED_VALUE"""),0.979325107344391)</f>
        <v>0.9793251073</v>
      </c>
      <c r="AR804" s="30">
        <f>IFERROR(__xludf.DUMMYFUNCTION("""COMPUTED_VALUE"""),0.8846619272014221)</f>
        <v>0.8846619272</v>
      </c>
      <c r="AS804" s="30">
        <f>IFERROR(__xludf.DUMMYFUNCTION("""COMPUTED_VALUE"""),75.0)</f>
        <v>75</v>
      </c>
      <c r="AT804" s="30">
        <f>IFERROR(__xludf.DUMMYFUNCTION("""COMPUTED_VALUE"""),0.292018884022489)</f>
        <v>0.292018884</v>
      </c>
      <c r="AU804" s="30">
        <f>IFERROR(__xludf.DUMMYFUNCTION("""COMPUTED_VALUE"""),2.1679170606224867)</f>
        <v>2.167917061</v>
      </c>
      <c r="AV804" s="32">
        <f>IFERROR(__xludf.DUMMYFUNCTION("""COMPUTED_VALUE"""),26.702670982084776)</f>
        <v>26.70267098</v>
      </c>
      <c r="AW804" s="32">
        <f>IFERROR(__xludf.DUMMYFUNCTION("""COMPUTED_VALUE"""),-5.6916533831166465)</f>
        <v>-5.691653383</v>
      </c>
      <c r="AX804" s="32">
        <f>IFERROR(__xludf.DUMMYFUNCTION("""COMPUTED_VALUE"""),24.93625219710207)</f>
        <v>24.9362522</v>
      </c>
      <c r="AY804" s="32">
        <f>IFERROR(__xludf.DUMMYFUNCTION("""COMPUTED_VALUE"""),-6.3275505984890055)</f>
        <v>-6.327550598</v>
      </c>
      <c r="AZ804" s="30">
        <f>IFERROR(__xludf.DUMMYFUNCTION("""COMPUTED_VALUE"""),0.635897215372359)</f>
        <v>0.6358972154</v>
      </c>
      <c r="BA804" s="30">
        <f>IFERROR(__xludf.DUMMYFUNCTION("""COMPUTED_VALUE"""),3200.0)</f>
        <v>3200</v>
      </c>
    </row>
    <row r="805">
      <c r="A805" s="71" t="str">
        <f>IFERROR(__xludf.DUMMYFUNCTION("""COMPUTED_VALUE"""),"Contender")</f>
        <v>Contender</v>
      </c>
      <c r="B805" s="71" t="str">
        <f>IFERROR(__xludf.DUMMYFUNCTION("""COMPUTED_VALUE"""),"RSC000989")</f>
        <v>RSC000989</v>
      </c>
      <c r="C805" s="30" t="str">
        <f>IFERROR(__xludf.DUMMYFUNCTION("""COMPUTED_VALUE"""),"Piky Life88")</f>
        <v>Piky Life88</v>
      </c>
      <c r="D805" s="30" t="str">
        <f>IFERROR(__xludf.DUMMYFUNCTION("""COMPUTED_VALUE"""),"Devoured")</f>
        <v>Devoured</v>
      </c>
      <c r="E805" s="30">
        <f>IFERROR(__xludf.DUMMYFUNCTION("""COMPUTED_VALUE"""),12.0)</f>
        <v>12</v>
      </c>
      <c r="F805" s="30">
        <f>IFERROR(__xludf.DUMMYFUNCTION("""COMPUTED_VALUE"""),7.0)</f>
        <v>7</v>
      </c>
      <c r="G805" s="42">
        <f>IFERROR(__xludf.DUMMYFUNCTION("""COMPUTED_VALUE"""),5.0)</f>
        <v>5</v>
      </c>
      <c r="H805" s="42">
        <f>IFERROR(__xludf.DUMMYFUNCTION("""COMPUTED_VALUE"""),0.5833333333333334)</f>
        <v>0.5833333333</v>
      </c>
      <c r="I805" s="42">
        <f>IFERROR(__xludf.DUMMYFUNCTION("""COMPUTED_VALUE"""),0.25)</f>
        <v>0.25</v>
      </c>
      <c r="J805" s="30">
        <f>IFERROR(__xludf.DUMMYFUNCTION("""COMPUTED_VALUE"""),255.08333333333334)</f>
        <v>255.0833333</v>
      </c>
      <c r="K805" s="30">
        <f>IFERROR(__xludf.DUMMYFUNCTION("""COMPUTED_VALUE"""),0.6666666666666666)</f>
        <v>0.6666666667</v>
      </c>
      <c r="L805" s="30">
        <f>IFERROR(__xludf.DUMMYFUNCTION("""COMPUTED_VALUE"""),0.4166666666666667)</f>
        <v>0.4166666667</v>
      </c>
      <c r="M805" s="30">
        <f>IFERROR(__xludf.DUMMYFUNCTION("""COMPUTED_VALUE"""),0.6666666666666666)</f>
        <v>0.6666666667</v>
      </c>
      <c r="N805" s="30">
        <f>IFERROR(__xludf.DUMMYFUNCTION("""COMPUTED_VALUE"""),2.6666666666666665)</f>
        <v>2.666666667</v>
      </c>
      <c r="O805" s="30">
        <f>IFERROR(__xludf.DUMMYFUNCTION("""COMPUTED_VALUE"""),328.1388888888889)</f>
        <v>328.1388889</v>
      </c>
      <c r="P805" s="30">
        <f>IFERROR(__xludf.DUMMYFUNCTION("""COMPUTED_VALUE"""),0.9444444444444443)</f>
        <v>0.9444444444</v>
      </c>
      <c r="Q805" s="30">
        <f>IFERROR(__xludf.DUMMYFUNCTION("""COMPUTED_VALUE"""),0.5833333333333333)</f>
        <v>0.5833333333</v>
      </c>
      <c r="R805" s="30">
        <f>IFERROR(__xludf.DUMMYFUNCTION("""COMPUTED_VALUE"""),1.0833333333333333)</f>
        <v>1.083333333</v>
      </c>
      <c r="S805" s="30">
        <f>IFERROR(__xludf.DUMMYFUNCTION("""COMPUTED_VALUE"""),2.055555555555556)</f>
        <v>2.055555556</v>
      </c>
      <c r="T805" s="30">
        <f>IFERROR(__xludf.DUMMYFUNCTION("""COMPUTED_VALUE"""),317.50590021402127)</f>
        <v>317.5059002</v>
      </c>
      <c r="U805" s="30">
        <f>IFERROR(__xludf.DUMMYFUNCTION("""COMPUTED_VALUE"""),0.7705880274968878)</f>
        <v>0.7705880275</v>
      </c>
      <c r="V805" s="30">
        <f>IFERROR(__xludf.DUMMYFUNCTION("""COMPUTED_VALUE"""),0.5160788284861436)</f>
        <v>0.5160788285</v>
      </c>
      <c r="W805" s="30">
        <f>IFERROR(__xludf.DUMMYFUNCTION("""COMPUTED_VALUE"""),1.0735995086972963)</f>
        <v>1.073599509</v>
      </c>
      <c r="X805" s="30">
        <f>IFERROR(__xludf.DUMMYFUNCTION("""COMPUTED_VALUE"""),2.223106360340403)</f>
        <v>2.22310636</v>
      </c>
      <c r="Y805" s="30">
        <f>IFERROR(__xludf.DUMMYFUNCTION("""COMPUTED_VALUE"""),325.6201932348752)</f>
        <v>325.6201932</v>
      </c>
      <c r="Z805" s="30">
        <f>IFERROR(__xludf.DUMMYFUNCTION("""COMPUTED_VALUE"""),0.8261700054990705)</f>
        <v>0.8261700055</v>
      </c>
      <c r="AA805" s="30">
        <f>IFERROR(__xludf.DUMMYFUNCTION("""COMPUTED_VALUE"""),0.5374262733794432)</f>
        <v>0.5374262734</v>
      </c>
      <c r="AB805" s="30">
        <f>IFERROR(__xludf.DUMMYFUNCTION("""COMPUTED_VALUE"""),1.042507806556582)</f>
        <v>1.042507807</v>
      </c>
      <c r="AC805" s="30">
        <f>IFERROR(__xludf.DUMMYFUNCTION("""COMPUTED_VALUE"""),2.3483169443649663)</f>
        <v>2.348316944</v>
      </c>
      <c r="AD805" s="30">
        <f>IFERROR(__xludf.DUMMYFUNCTION("""COMPUTED_VALUE"""),0.7833768870388745)</f>
        <v>0.783376887</v>
      </c>
      <c r="AE805" s="30">
        <f>IFERROR(__xludf.DUMMYFUNCTION("""COMPUTED_VALUE"""),0.806936420142666)</f>
        <v>0.8069364201</v>
      </c>
      <c r="AF805" s="30">
        <f>IFERROR(__xludf.DUMMYFUNCTION("""COMPUTED_VALUE"""),0.7753001431183927)</f>
        <v>0.7753001431</v>
      </c>
      <c r="AG805" s="30">
        <f>IFERROR(__xludf.DUMMYFUNCTION("""COMPUTED_VALUE"""),0.6394836206250349)</f>
        <v>0.6394836206</v>
      </c>
      <c r="AH805" s="30">
        <f>IFERROR(__xludf.DUMMYFUNCTION("""COMPUTED_VALUE"""),1.1355650578026164)</f>
        <v>1.135565058</v>
      </c>
      <c r="AI805" s="30">
        <f>IFERROR(__xludf.DUMMYFUNCTION("""COMPUTED_VALUE"""),1.0334891057700037)</f>
        <v>1.033489106</v>
      </c>
      <c r="AJ805" s="30">
        <f>IFERROR(__xludf.DUMMYFUNCTION("""COMPUTED_VALUE"""),1.2256152584050608)</f>
        <v>1.225615258</v>
      </c>
      <c r="AK805" s="30">
        <f>IFERROR(__xludf.DUMMYFUNCTION("""COMPUTED_VALUE"""),1.130318279175437)</f>
        <v>1.130318279</v>
      </c>
      <c r="AL805" s="30">
        <f>IFERROR(__xludf.DUMMYFUNCTION("""COMPUTED_VALUE"""),1.009066532312266)</f>
        <v>1.009066532</v>
      </c>
      <c r="AM805" s="30">
        <f>IFERROR(__xludf.DUMMYFUNCTION("""COMPUTED_VALUE"""),0.9246321238722957)</f>
        <v>0.9246321239</v>
      </c>
      <c r="AN805" s="30">
        <f>IFERROR(__xludf.DUMMYFUNCTION("""COMPUTED_VALUE"""),0.8020913849866045)</f>
        <v>0.802091385</v>
      </c>
      <c r="AO805" s="30">
        <f>IFERROR(__xludf.DUMMYFUNCTION("""COMPUTED_VALUE"""),0.830340269708448)</f>
        <v>0.8303402697</v>
      </c>
      <c r="AP805" s="30">
        <f>IFERROR(__xludf.DUMMYFUNCTION("""COMPUTED_VALUE"""),0.7743294942228547)</f>
        <v>0.7743294942</v>
      </c>
      <c r="AQ805" s="30">
        <f>IFERROR(__xludf.DUMMYFUNCTION("""COMPUTED_VALUE"""),0.6365613197738542)</f>
        <v>0.6365613198</v>
      </c>
      <c r="AR805" s="30">
        <f>IFERROR(__xludf.DUMMYFUNCTION("""COMPUTED_VALUE"""),1.2105900056440513)</f>
        <v>1.210590006</v>
      </c>
      <c r="AS805" s="30">
        <f>IFERROR(__xludf.DUMMYFUNCTION("""COMPUTED_VALUE"""),32.0)</f>
        <v>32</v>
      </c>
      <c r="AT805" s="30">
        <f>IFERROR(__xludf.DUMMYFUNCTION("""COMPUTED_VALUE"""),0.47529872027060627)</f>
        <v>0.4752987203</v>
      </c>
      <c r="AU805" s="30">
        <f>IFERROR(__xludf.DUMMYFUNCTION("""COMPUTED_VALUE"""),3.177319489759562)</f>
        <v>3.17731949</v>
      </c>
      <c r="AV805" s="32">
        <f>IFERROR(__xludf.DUMMYFUNCTION("""COMPUTED_VALUE"""),41.30058487600863)</f>
        <v>41.30058488</v>
      </c>
      <c r="AW805" s="32">
        <f>IFERROR(__xludf.DUMMYFUNCTION("""COMPUTED_VALUE"""),-2.7477896481709863)</f>
        <v>-2.747789648</v>
      </c>
      <c r="AX805" s="32">
        <f>IFERROR(__xludf.DUMMYFUNCTION("""COMPUTED_VALUE"""),36.71395384360378)</f>
        <v>36.71395384</v>
      </c>
      <c r="AY805" s="32">
        <f>IFERROR(__xludf.DUMMYFUNCTION("""COMPUTED_VALUE"""),-3.3607083760827847)</f>
        <v>-3.360708376</v>
      </c>
      <c r="AZ805" s="30">
        <f>IFERROR(__xludf.DUMMYFUNCTION("""COMPUTED_VALUE"""),0.6129187279117985)</f>
        <v>0.6129187279</v>
      </c>
      <c r="BA805" s="30">
        <f>IFERROR(__xludf.DUMMYFUNCTION("""COMPUTED_VALUE"""),3200.0)</f>
        <v>3200</v>
      </c>
    </row>
    <row r="806">
      <c r="A806" s="71" t="str">
        <f>IFERROR(__xludf.DUMMYFUNCTION("""COMPUTED_VALUE"""),"Contender")</f>
        <v>Contender</v>
      </c>
      <c r="B806" s="71" t="str">
        <f>IFERROR(__xludf.DUMMYFUNCTION("""COMPUTED_VALUE"""),"RSC007513")</f>
        <v>RSC007513</v>
      </c>
      <c r="C806" s="30" t="str">
        <f>IFERROR(__xludf.DUMMYFUNCTION("""COMPUTED_VALUE"""),"Russ")</f>
        <v>Russ</v>
      </c>
      <c r="D806" s="30" t="str">
        <f>IFERROR(__xludf.DUMMYFUNCTION("""COMPUTED_VALUE"""),"Toothpaste")</f>
        <v>Toothpaste</v>
      </c>
      <c r="E806" s="30">
        <f>IFERROR(__xludf.DUMMYFUNCTION("""COMPUTED_VALUE"""),13.0)</f>
        <v>13</v>
      </c>
      <c r="F806" s="30">
        <f>IFERROR(__xludf.DUMMYFUNCTION("""COMPUTED_VALUE"""),3.0)</f>
        <v>3</v>
      </c>
      <c r="G806" s="42">
        <f>IFERROR(__xludf.DUMMYFUNCTION("""COMPUTED_VALUE"""),10.0)</f>
        <v>10</v>
      </c>
      <c r="H806" s="42">
        <f>IFERROR(__xludf.DUMMYFUNCTION("""COMPUTED_VALUE"""),0.23076923076923078)</f>
        <v>0.2307692308</v>
      </c>
      <c r="I806" s="42">
        <f>IFERROR(__xludf.DUMMYFUNCTION("""COMPUTED_VALUE"""),0.36363636363636365)</f>
        <v>0.3636363636</v>
      </c>
      <c r="J806" s="30">
        <f>IFERROR(__xludf.DUMMYFUNCTION("""COMPUTED_VALUE"""),263.15384615384613)</f>
        <v>263.1538462</v>
      </c>
      <c r="K806" s="30">
        <f>IFERROR(__xludf.DUMMYFUNCTION("""COMPUTED_VALUE"""),0.6153846153846154)</f>
        <v>0.6153846154</v>
      </c>
      <c r="L806" s="30">
        <f>IFERROR(__xludf.DUMMYFUNCTION("""COMPUTED_VALUE"""),0.5384615384615384)</f>
        <v>0.5384615385</v>
      </c>
      <c r="M806" s="30">
        <f>IFERROR(__xludf.DUMMYFUNCTION("""COMPUTED_VALUE"""),0.7692307692307693)</f>
        <v>0.7692307692</v>
      </c>
      <c r="N806" s="30">
        <f>IFERROR(__xludf.DUMMYFUNCTION("""COMPUTED_VALUE"""),1.6923076923076923)</f>
        <v>1.692307692</v>
      </c>
      <c r="O806" s="30">
        <f>IFERROR(__xludf.DUMMYFUNCTION("""COMPUTED_VALUE"""),386.97435897435895)</f>
        <v>386.974359</v>
      </c>
      <c r="P806" s="30">
        <f>IFERROR(__xludf.DUMMYFUNCTION("""COMPUTED_VALUE"""),1.2307692307692308)</f>
        <v>1.230769231</v>
      </c>
      <c r="Q806" s="30">
        <f>IFERROR(__xludf.DUMMYFUNCTION("""COMPUTED_VALUE"""),0.717948717948718)</f>
        <v>0.7179487179</v>
      </c>
      <c r="R806" s="30">
        <f>IFERROR(__xludf.DUMMYFUNCTION("""COMPUTED_VALUE"""),0.8205128205128205)</f>
        <v>0.8205128205</v>
      </c>
      <c r="S806" s="30">
        <f>IFERROR(__xludf.DUMMYFUNCTION("""COMPUTED_VALUE"""),2.5384615384615383)</f>
        <v>2.538461538</v>
      </c>
      <c r="T806" s="30">
        <f>IFERROR(__xludf.DUMMYFUNCTION("""COMPUTED_VALUE"""),328.0372512163001)</f>
        <v>328.0372512</v>
      </c>
      <c r="U806" s="30">
        <f>IFERROR(__xludf.DUMMYFUNCTION("""COMPUTED_VALUE"""),0.8140904321792086)</f>
        <v>0.8140904322</v>
      </c>
      <c r="V806" s="30">
        <f>IFERROR(__xludf.DUMMYFUNCTION("""COMPUTED_VALUE"""),0.49690828605798476)</f>
        <v>0.4969082861</v>
      </c>
      <c r="W806" s="30">
        <f>IFERROR(__xludf.DUMMYFUNCTION("""COMPUTED_VALUE"""),1.1318819468918324)</f>
        <v>1.131881947</v>
      </c>
      <c r="X806" s="30">
        <f>IFERROR(__xludf.DUMMYFUNCTION("""COMPUTED_VALUE"""),2.215935927793917)</f>
        <v>2.215935928</v>
      </c>
      <c r="Y806" s="30">
        <f>IFERROR(__xludf.DUMMYFUNCTION("""COMPUTED_VALUE"""),329.98533373331554)</f>
        <v>329.9853337</v>
      </c>
      <c r="Z806" s="30">
        <f>IFERROR(__xludf.DUMMYFUNCTION("""COMPUTED_VALUE"""),0.8272453231805044)</f>
        <v>0.8272453232</v>
      </c>
      <c r="AA806" s="30">
        <f>IFERROR(__xludf.DUMMYFUNCTION("""COMPUTED_VALUE"""),0.5744103603529432)</f>
        <v>0.5744103604</v>
      </c>
      <c r="AB806" s="30">
        <f>IFERROR(__xludf.DUMMYFUNCTION("""COMPUTED_VALUE"""),1.0597078071675043)</f>
        <v>1.059707807</v>
      </c>
      <c r="AC806" s="30">
        <f>IFERROR(__xludf.DUMMYFUNCTION("""COMPUTED_VALUE"""),2.422632021848727)</f>
        <v>2.422632022</v>
      </c>
      <c r="AD806" s="30">
        <f>IFERROR(__xludf.DUMMYFUNCTION("""COMPUTED_VALUE"""),0.7974713396399591)</f>
        <v>0.7974713396</v>
      </c>
      <c r="AE806" s="30">
        <f>IFERROR(__xludf.DUMMYFUNCTION("""COMPUTED_VALUE"""),0.7438961552767085)</f>
        <v>0.7438961553</v>
      </c>
      <c r="AF806" s="30">
        <f>IFERROR(__xludf.DUMMYFUNCTION("""COMPUTED_VALUE"""),0.9374161324852911)</f>
        <v>0.9374161325</v>
      </c>
      <c r="AG806" s="30">
        <f>IFERROR(__xludf.DUMMYFUNCTION("""COMPUTED_VALUE"""),0.7258894989995857)</f>
        <v>0.725889499</v>
      </c>
      <c r="AH806" s="30">
        <f>IFERROR(__xludf.DUMMYFUNCTION("""COMPUTED_VALUE"""),0.6985409575393463)</f>
        <v>0.6985409575</v>
      </c>
      <c r="AI806" s="30">
        <f>IFERROR(__xludf.DUMMYFUNCTION("""COMPUTED_VALUE"""),1.1796658993438434)</f>
        <v>1.179665899</v>
      </c>
      <c r="AJ806" s="30">
        <f>IFERROR(__xludf.DUMMYFUNCTION("""COMPUTED_VALUE"""),1.5118335532756848)</f>
        <v>1.511833553</v>
      </c>
      <c r="AK806" s="30">
        <f>IFERROR(__xludf.DUMMYFUNCTION("""COMPUTED_VALUE"""),1.444831446954257)</f>
        <v>1.444831447</v>
      </c>
      <c r="AL806" s="30">
        <f>IFERROR(__xludf.DUMMYFUNCTION("""COMPUTED_VALUE"""),0.7249102459545035)</f>
        <v>0.724910246</v>
      </c>
      <c r="AM806" s="30">
        <f>IFERROR(__xludf.DUMMYFUNCTION("""COMPUTED_VALUE"""),1.1455482564375015)</f>
        <v>1.145548256</v>
      </c>
      <c r="AN806" s="30">
        <f>IFERROR(__xludf.DUMMYFUNCTION("""COMPUTED_VALUE"""),0.827468538096401)</f>
        <v>0.8274685381</v>
      </c>
      <c r="AO806" s="30">
        <f>IFERROR(__xludf.DUMMYFUNCTION("""COMPUTED_VALUE"""),0.7664679412693367)</f>
        <v>0.7664679413</v>
      </c>
      <c r="AP806" s="30">
        <f>IFERROR(__xludf.DUMMYFUNCTION("""COMPUTED_VALUE"""),1.0006719617649198)</f>
        <v>1.000671962</v>
      </c>
      <c r="AQ806" s="30">
        <f>IFERROR(__xludf.DUMMYFUNCTION("""COMPUTED_VALUE"""),0.7344938305082934)</f>
        <v>0.7344938305</v>
      </c>
      <c r="AR806" s="30">
        <f>IFERROR(__xludf.DUMMYFUNCTION("""COMPUTED_VALUE"""),0.7682590420433403)</f>
        <v>0.768259042</v>
      </c>
      <c r="AS806" s="30">
        <f>IFERROR(__xludf.DUMMYFUNCTION("""COMPUTED_VALUE"""),23.0)</f>
        <v>23</v>
      </c>
      <c r="AT806" s="30">
        <f>IFERROR(__xludf.DUMMYFUNCTION("""COMPUTED_VALUE"""),0.23190126736457617)</f>
        <v>0.2319012674</v>
      </c>
      <c r="AU806" s="30">
        <f>IFERROR(__xludf.DUMMYFUNCTION("""COMPUTED_VALUE"""),2.393120509747046)</f>
        <v>2.39312051</v>
      </c>
      <c r="AV806" s="32">
        <f>IFERROR(__xludf.DUMMYFUNCTION("""COMPUTED_VALUE"""),29.959548976469453)</f>
        <v>29.95954898</v>
      </c>
      <c r="AW806" s="32">
        <f>IFERROR(__xludf.DUMMYFUNCTION("""COMPUTED_VALUE"""),-4.730660568225033)</f>
        <v>-4.730660568</v>
      </c>
      <c r="AX806" s="32">
        <f>IFERROR(__xludf.DUMMYFUNCTION("""COMPUTED_VALUE"""),32.47407592947047)</f>
        <v>32.47407593</v>
      </c>
      <c r="AY806" s="32">
        <f>IFERROR(__xludf.DUMMYFUNCTION("""COMPUTED_VALUE"""),-4.138388128577437)</f>
        <v>-4.138388129</v>
      </c>
      <c r="AZ806" s="30">
        <f>IFERROR(__xludf.DUMMYFUNCTION("""COMPUTED_VALUE"""),0.592272439647596)</f>
        <v>0.5922724396</v>
      </c>
      <c r="BA806" s="30">
        <f>IFERROR(__xludf.DUMMYFUNCTION("""COMPUTED_VALUE"""),3200.0)</f>
        <v>3200</v>
      </c>
    </row>
    <row r="807">
      <c r="A807" s="71" t="str">
        <f>IFERROR(__xludf.DUMMYFUNCTION("""COMPUTED_VALUE"""),"Contender")</f>
        <v>Contender</v>
      </c>
      <c r="B807" s="71" t="str">
        <f>IFERROR(__xludf.DUMMYFUNCTION("""COMPUTED_VALUE"""),"RSC007918")</f>
        <v>RSC007918</v>
      </c>
      <c r="C807" s="30" t="str">
        <f>IFERROR(__xludf.DUMMYFUNCTION("""COMPUTED_VALUE"""),"TheBLKBoy")</f>
        <v>TheBLKBoy</v>
      </c>
      <c r="D807" s="30" t="str">
        <f>IFERROR(__xludf.DUMMYFUNCTION("""COMPUTED_VALUE"""),"Clover")</f>
        <v>Clover</v>
      </c>
      <c r="E807" s="30">
        <f>IFERROR(__xludf.DUMMYFUNCTION("""COMPUTED_VALUE"""),35.0)</f>
        <v>35</v>
      </c>
      <c r="F807" s="30">
        <f>IFERROR(__xludf.DUMMYFUNCTION("""COMPUTED_VALUE"""),18.0)</f>
        <v>18</v>
      </c>
      <c r="G807" s="42">
        <f>IFERROR(__xludf.DUMMYFUNCTION("""COMPUTED_VALUE"""),17.0)</f>
        <v>17</v>
      </c>
      <c r="H807" s="42">
        <f>IFERROR(__xludf.DUMMYFUNCTION("""COMPUTED_VALUE"""),0.5142857142857142)</f>
        <v>0.5142857143</v>
      </c>
      <c r="I807" s="42">
        <f>IFERROR(__xludf.DUMMYFUNCTION("""COMPUTED_VALUE"""),0.37142857142857144)</f>
        <v>0.3714285714</v>
      </c>
      <c r="J807" s="30">
        <f>IFERROR(__xludf.DUMMYFUNCTION("""COMPUTED_VALUE"""),321.9142857142857)</f>
        <v>321.9142857</v>
      </c>
      <c r="K807" s="30">
        <f>IFERROR(__xludf.DUMMYFUNCTION("""COMPUTED_VALUE"""),0.7428571428571429)</f>
        <v>0.7428571429</v>
      </c>
      <c r="L807" s="30">
        <f>IFERROR(__xludf.DUMMYFUNCTION("""COMPUTED_VALUE"""),0.6)</f>
        <v>0.6</v>
      </c>
      <c r="M807" s="30">
        <f>IFERROR(__xludf.DUMMYFUNCTION("""COMPUTED_VALUE"""),1.2857142857142858)</f>
        <v>1.285714286</v>
      </c>
      <c r="N807" s="30">
        <f>IFERROR(__xludf.DUMMYFUNCTION("""COMPUTED_VALUE"""),2.0)</f>
        <v>2</v>
      </c>
      <c r="O807" s="30">
        <f>IFERROR(__xludf.DUMMYFUNCTION("""COMPUTED_VALUE"""),335.71428571428567)</f>
        <v>335.7142857</v>
      </c>
      <c r="P807" s="30">
        <f>IFERROR(__xludf.DUMMYFUNCTION("""COMPUTED_VALUE"""),0.8476190476190477)</f>
        <v>0.8476190476</v>
      </c>
      <c r="Q807" s="30">
        <f>IFERROR(__xludf.DUMMYFUNCTION("""COMPUTED_VALUE"""),0.6190476190476191)</f>
        <v>0.619047619</v>
      </c>
      <c r="R807" s="30">
        <f>IFERROR(__xludf.DUMMYFUNCTION("""COMPUTED_VALUE"""),1.0761904761904764)</f>
        <v>1.076190476</v>
      </c>
      <c r="S807" s="30">
        <f>IFERROR(__xludf.DUMMYFUNCTION("""COMPUTED_VALUE"""),2.561904761904762)</f>
        <v>2.561904762</v>
      </c>
      <c r="T807" s="30">
        <f>IFERROR(__xludf.DUMMYFUNCTION("""COMPUTED_VALUE"""),324.2580611567285)</f>
        <v>324.2580612</v>
      </c>
      <c r="U807" s="30">
        <f>IFERROR(__xludf.DUMMYFUNCTION("""COMPUTED_VALUE"""),0.7883891811380552)</f>
        <v>0.7883891811</v>
      </c>
      <c r="V807" s="30">
        <f>IFERROR(__xludf.DUMMYFUNCTION("""COMPUTED_VALUE"""),0.5438656272042319)</f>
        <v>0.5438656272</v>
      </c>
      <c r="W807" s="30">
        <f>IFERROR(__xludf.DUMMYFUNCTION("""COMPUTED_VALUE"""),1.089519577835394)</f>
        <v>1.089519578</v>
      </c>
      <c r="X807" s="30">
        <f>IFERROR(__xludf.DUMMYFUNCTION("""COMPUTED_VALUE"""),2.263090892884465)</f>
        <v>2.263090893</v>
      </c>
      <c r="Y807" s="30">
        <f>IFERROR(__xludf.DUMMYFUNCTION("""COMPUTED_VALUE"""),333.9085376845518)</f>
        <v>333.9085377</v>
      </c>
      <c r="Z807" s="30">
        <f>IFERROR(__xludf.DUMMYFUNCTION("""COMPUTED_VALUE"""),0.8660740617001791)</f>
        <v>0.8660740617</v>
      </c>
      <c r="AA807" s="30">
        <f>IFERROR(__xludf.DUMMYFUNCTION("""COMPUTED_VALUE"""),0.5595130317790256)</f>
        <v>0.5595130318</v>
      </c>
      <c r="AB807" s="30">
        <f>IFERROR(__xludf.DUMMYFUNCTION("""COMPUTED_VALUE"""),1.0828089909676586)</f>
        <v>1.082808991</v>
      </c>
      <c r="AC807" s="30">
        <f>IFERROR(__xludf.DUMMYFUNCTION("""COMPUTED_VALUE"""),2.3189801160513803)</f>
        <v>2.318980116</v>
      </c>
      <c r="AD807" s="30">
        <f>IFERROR(__xludf.DUMMYFUNCTION("""COMPUTED_VALUE"""),0.9640792294397779)</f>
        <v>0.9640792294</v>
      </c>
      <c r="AE807" s="30">
        <f>IFERROR(__xludf.DUMMYFUNCTION("""COMPUTED_VALUE"""),0.8577293509966681)</f>
        <v>0.857729351</v>
      </c>
      <c r="AF807" s="30">
        <f>IFERROR(__xludf.DUMMYFUNCTION("""COMPUTED_VALUE"""),1.0723610817289495)</f>
        <v>1.072361082</v>
      </c>
      <c r="AG807" s="30">
        <f>IFERROR(__xludf.DUMMYFUNCTION("""COMPUTED_VALUE"""),1.1873878924530352)</f>
        <v>1.187387892</v>
      </c>
      <c r="AH807" s="30">
        <f>IFERROR(__xludf.DUMMYFUNCTION("""COMPUTED_VALUE"""),0.8624481021447823)</f>
        <v>0.8624481021</v>
      </c>
      <c r="AI807" s="30">
        <f>IFERROR(__xludf.DUMMYFUNCTION("""COMPUTED_VALUE"""),1.0353305774933992)</f>
        <v>1.035330577</v>
      </c>
      <c r="AJ807" s="30">
        <f>IFERROR(__xludf.DUMMYFUNCTION("""COMPUTED_VALUE"""),1.0751277007575029)</f>
        <v>1.075127701</v>
      </c>
      <c r="AK807" s="30">
        <f>IFERROR(__xludf.DUMMYFUNCTION("""COMPUTED_VALUE"""),1.1382363364823473)</f>
        <v>1.138236336</v>
      </c>
      <c r="AL807" s="30">
        <f>IFERROR(__xludf.DUMMYFUNCTION("""COMPUTED_VALUE"""),0.9877660742256699)</f>
        <v>0.9877660742</v>
      </c>
      <c r="AM807" s="30">
        <f>IFERROR(__xludf.DUMMYFUNCTION("""COMPUTED_VALUE"""),1.1320379441938535)</f>
        <v>1.132037944</v>
      </c>
      <c r="AN807" s="30">
        <f>IFERROR(__xludf.DUMMYFUNCTION("""COMPUTED_VALUE"""),1.0122365577610386)</f>
        <v>1.012236558</v>
      </c>
      <c r="AO807" s="30">
        <f>IFERROR(__xludf.DUMMYFUNCTION("""COMPUTED_VALUE"""),0.9252363005322708)</f>
        <v>0.9252363005</v>
      </c>
      <c r="AP807" s="30">
        <f>IFERROR(__xludf.DUMMYFUNCTION("""COMPUTED_VALUE"""),1.1150344716809106)</f>
        <v>1.115034472</v>
      </c>
      <c r="AQ807" s="30">
        <f>IFERROR(__xludf.DUMMYFUNCTION("""COMPUTED_VALUE"""),1.2276539738495762)</f>
        <v>1.227653974</v>
      </c>
      <c r="AR807" s="30">
        <f>IFERROR(__xludf.DUMMYFUNCTION("""COMPUTED_VALUE"""),0.9079425042330385)</f>
        <v>0.9079425042</v>
      </c>
      <c r="AS807" s="30">
        <f>IFERROR(__xludf.DUMMYFUNCTION("""COMPUTED_VALUE"""),85.0)</f>
        <v>85</v>
      </c>
      <c r="AT807" s="30">
        <f>IFERROR(__xludf.DUMMYFUNCTION("""COMPUTED_VALUE"""),0.4817922914103516)</f>
        <v>0.4817922914</v>
      </c>
      <c r="AU807" s="30">
        <f>IFERROR(__xludf.DUMMYFUNCTION("""COMPUTED_VALUE"""),3.5497452872390567)</f>
        <v>3.549745287</v>
      </c>
      <c r="AV807" s="32">
        <f>IFERROR(__xludf.DUMMYFUNCTION("""COMPUTED_VALUE"""),46.68658313255066)</f>
        <v>46.68658313</v>
      </c>
      <c r="AW807" s="32">
        <f>IFERROR(__xludf.DUMMYFUNCTION("""COMPUTED_VALUE"""),-2.2357364624991733)</f>
        <v>-2.235736462</v>
      </c>
      <c r="AX807" s="32">
        <f>IFERROR(__xludf.DUMMYFUNCTION("""COMPUTED_VALUE"""),40.74884555195949)</f>
        <v>40.74884555</v>
      </c>
      <c r="AY807" s="32">
        <f>IFERROR(__xludf.DUMMYFUNCTION("""COMPUTED_VALUE"""),-2.811563067207803)</f>
        <v>-2.811563067</v>
      </c>
      <c r="AZ807" s="30">
        <f>IFERROR(__xludf.DUMMYFUNCTION("""COMPUTED_VALUE"""),0.5758266047086296)</f>
        <v>0.5758266047</v>
      </c>
      <c r="BA807" s="30">
        <f>IFERROR(__xludf.DUMMYFUNCTION("""COMPUTED_VALUE"""),3200.0)</f>
        <v>3200</v>
      </c>
    </row>
    <row r="808">
      <c r="A808" s="71" t="str">
        <f>IFERROR(__xludf.DUMMYFUNCTION("""COMPUTED_VALUE"""),"Contender")</f>
        <v>Contender</v>
      </c>
      <c r="B808" s="71" t="str">
        <f>IFERROR(__xludf.DUMMYFUNCTION("""COMPUTED_VALUE"""),"RSC000963")</f>
        <v>RSC000963</v>
      </c>
      <c r="C808" s="30" t="str">
        <f>IFERROR(__xludf.DUMMYFUNCTION("""COMPUTED_VALUE"""),"Sup3rm4n")</f>
        <v>Sup3rm4n</v>
      </c>
      <c r="D808" s="30" t="str">
        <f>IFERROR(__xludf.DUMMYFUNCTION("""COMPUTED_VALUE"""),"Rheas")</f>
        <v>Rheas</v>
      </c>
      <c r="E808" s="30">
        <f>IFERROR(__xludf.DUMMYFUNCTION("""COMPUTED_VALUE"""),20.0)</f>
        <v>20</v>
      </c>
      <c r="F808" s="30">
        <f>IFERROR(__xludf.DUMMYFUNCTION("""COMPUTED_VALUE"""),13.0)</f>
        <v>13</v>
      </c>
      <c r="G808" s="42">
        <f>IFERROR(__xludf.DUMMYFUNCTION("""COMPUTED_VALUE"""),7.0)</f>
        <v>7</v>
      </c>
      <c r="H808" s="42">
        <f>IFERROR(__xludf.DUMMYFUNCTION("""COMPUTED_VALUE"""),0.65)</f>
        <v>0.65</v>
      </c>
      <c r="I808" s="42">
        <f>IFERROR(__xludf.DUMMYFUNCTION("""COMPUTED_VALUE"""),0.48837209302325585)</f>
        <v>0.488372093</v>
      </c>
      <c r="J808" s="30">
        <f>IFERROR(__xludf.DUMMYFUNCTION("""COMPUTED_VALUE"""),318.25)</f>
        <v>318.25</v>
      </c>
      <c r="K808" s="30">
        <f>IFERROR(__xludf.DUMMYFUNCTION("""COMPUTED_VALUE"""),1.05)</f>
        <v>1.05</v>
      </c>
      <c r="L808" s="30">
        <f>IFERROR(__xludf.DUMMYFUNCTION("""COMPUTED_VALUE"""),0.4)</f>
        <v>0.4</v>
      </c>
      <c r="M808" s="30">
        <f>IFERROR(__xludf.DUMMYFUNCTION("""COMPUTED_VALUE"""),0.85)</f>
        <v>0.85</v>
      </c>
      <c r="N808" s="30">
        <f>IFERROR(__xludf.DUMMYFUNCTION("""COMPUTED_VALUE"""),2.15)</f>
        <v>2.15</v>
      </c>
      <c r="O808" s="30">
        <f>IFERROR(__xludf.DUMMYFUNCTION("""COMPUTED_VALUE"""),313.56666666666666)</f>
        <v>313.5666667</v>
      </c>
      <c r="P808" s="30">
        <f>IFERROR(__xludf.DUMMYFUNCTION("""COMPUTED_VALUE"""),0.6833333333333333)</f>
        <v>0.6833333333</v>
      </c>
      <c r="Q808" s="30">
        <f>IFERROR(__xludf.DUMMYFUNCTION("""COMPUTED_VALUE"""),0.4833333333333334)</f>
        <v>0.4833333333</v>
      </c>
      <c r="R808" s="30">
        <f>IFERROR(__xludf.DUMMYFUNCTION("""COMPUTED_VALUE"""),1.2833333333333332)</f>
        <v>1.283333333</v>
      </c>
      <c r="S808" s="30">
        <f>IFERROR(__xludf.DUMMYFUNCTION("""COMPUTED_VALUE"""),1.9333333333333331)</f>
        <v>1.933333333</v>
      </c>
      <c r="T808" s="30">
        <f>IFERROR(__xludf.DUMMYFUNCTION("""COMPUTED_VALUE"""),317.2277197233454)</f>
        <v>317.2277197</v>
      </c>
      <c r="U808" s="30">
        <f>IFERROR(__xludf.DUMMYFUNCTION("""COMPUTED_VALUE"""),0.750064126310364)</f>
        <v>0.7500641263</v>
      </c>
      <c r="V808" s="30">
        <f>IFERROR(__xludf.DUMMYFUNCTION("""COMPUTED_VALUE"""),0.48933950316747354)</f>
        <v>0.4893395032</v>
      </c>
      <c r="W808" s="30">
        <f>IFERROR(__xludf.DUMMYFUNCTION("""COMPUTED_VALUE"""),1.0912737563176467)</f>
        <v>1.091273756</v>
      </c>
      <c r="X808" s="30">
        <f>IFERROR(__xludf.DUMMYFUNCTION("""COMPUTED_VALUE"""),2.124707821315845)</f>
        <v>2.124707821</v>
      </c>
      <c r="Y808" s="30">
        <f>IFERROR(__xludf.DUMMYFUNCTION("""COMPUTED_VALUE"""),337.7199732872935)</f>
        <v>337.7199733</v>
      </c>
      <c r="Z808" s="30">
        <f>IFERROR(__xludf.DUMMYFUNCTION("""COMPUTED_VALUE"""),0.9099211513887463)</f>
        <v>0.9099211514</v>
      </c>
      <c r="AA808" s="30">
        <f>IFERROR(__xludf.DUMMYFUNCTION("""COMPUTED_VALUE"""),0.5960267265260784)</f>
        <v>0.5960267265</v>
      </c>
      <c r="AB808" s="30">
        <f>IFERROR(__xludf.DUMMYFUNCTION("""COMPUTED_VALUE"""),1.0157705184572023)</f>
        <v>1.015770518</v>
      </c>
      <c r="AC808" s="30">
        <f>IFERROR(__xludf.DUMMYFUNCTION("""COMPUTED_VALUE"""),2.393992858559471)</f>
        <v>2.393992859</v>
      </c>
      <c r="AD808" s="30">
        <f>IFERROR(__xludf.DUMMYFUNCTION("""COMPUTED_VALUE"""),0.9423487657606479)</f>
        <v>0.9423487658</v>
      </c>
      <c r="AE808" s="30">
        <f>IFERROR(__xludf.DUMMYFUNCTION("""COMPUTED_VALUE"""),1.1539461396160113)</f>
        <v>1.15394614</v>
      </c>
      <c r="AF808" s="30">
        <f>IFERROR(__xludf.DUMMYFUNCTION("""COMPUTED_VALUE"""),0.6711108448632606)</f>
        <v>0.6711108449</v>
      </c>
      <c r="AG808" s="30">
        <f>IFERROR(__xludf.DUMMYFUNCTION("""COMPUTED_VALUE"""),0.8368031800046903)</f>
        <v>0.83680318</v>
      </c>
      <c r="AH808" s="30">
        <f>IFERROR(__xludf.DUMMYFUNCTION("""COMPUTED_VALUE"""),0.8980812086856901)</f>
        <v>0.8980812087</v>
      </c>
      <c r="AI808" s="30">
        <f>IFERROR(__xludf.DUMMYFUNCTION("""COMPUTED_VALUE"""),0.9884592271448677)</f>
        <v>0.9884592271</v>
      </c>
      <c r="AJ808" s="30">
        <f>IFERROR(__xludf.DUMMYFUNCTION("""COMPUTED_VALUE"""),0.9110332161794142)</f>
        <v>0.9110332162</v>
      </c>
      <c r="AK808" s="30">
        <f>IFERROR(__xludf.DUMMYFUNCTION("""COMPUTED_VALUE"""),0.9877259657246912)</f>
        <v>0.9877259657</v>
      </c>
      <c r="AL808" s="30">
        <f>IFERROR(__xludf.DUMMYFUNCTION("""COMPUTED_VALUE"""),1.1759957809887824)</f>
        <v>1.175995781</v>
      </c>
      <c r="AM808" s="30">
        <f>IFERROR(__xludf.DUMMYFUNCTION("""COMPUTED_VALUE"""),0.9099290330357082)</f>
        <v>0.909929033</v>
      </c>
      <c r="AN808" s="30">
        <f>IFERROR(__xludf.DUMMYFUNCTION("""COMPUTED_VALUE"""),1.0007144721541466)</f>
        <v>1.000714472</v>
      </c>
      <c r="AO808" s="30">
        <f>IFERROR(__xludf.DUMMYFUNCTION("""COMPUTED_VALUE"""),1.3077859247908057)</f>
        <v>1.307785925</v>
      </c>
      <c r="AP808" s="30">
        <f>IFERROR(__xludf.DUMMYFUNCTION("""COMPUTED_VALUE"""),0.7433563144539406)</f>
        <v>0.7433563145</v>
      </c>
      <c r="AQ808" s="30">
        <f>IFERROR(__xludf.DUMMYFUNCTION("""COMPUTED_VALUE"""),0.8116156827116642)</f>
        <v>0.8116156827</v>
      </c>
      <c r="AR808" s="30">
        <f>IFERROR(__xludf.DUMMYFUNCTION("""COMPUTED_VALUE"""),0.9760381920505163)</f>
        <v>0.9760381921</v>
      </c>
      <c r="AS808" s="30">
        <f>IFERROR(__xludf.DUMMYFUNCTION("""COMPUTED_VALUE"""),66.0)</f>
        <v>66</v>
      </c>
      <c r="AT808" s="30">
        <f>IFERROR(__xludf.DUMMYFUNCTION("""COMPUTED_VALUE"""),0.6836088116505251)</f>
        <v>0.6836088117</v>
      </c>
      <c r="AU808" s="30">
        <f>IFERROR(__xludf.DUMMYFUNCTION("""COMPUTED_VALUE"""),3.7365468466960876)</f>
        <v>3.736546847</v>
      </c>
      <c r="AV808" s="32">
        <f>IFERROR(__xludf.DUMMYFUNCTION("""COMPUTED_VALUE"""),49.388095434770534)</f>
        <v>49.38809543</v>
      </c>
      <c r="AW808" s="32">
        <f>IFERROR(__xludf.DUMMYFUNCTION("""COMPUTED_VALUE"""),-2.039832249951625)</f>
        <v>-2.03983225</v>
      </c>
      <c r="AX808" s="32">
        <f>IFERROR(__xludf.DUMMYFUNCTION("""COMPUTED_VALUE"""),42.64326096084342)</f>
        <v>42.64326096</v>
      </c>
      <c r="AY808" s="32">
        <f>IFERROR(__xludf.DUMMYFUNCTION("""COMPUTED_VALUE"""),-2.6022965038877244)</f>
        <v>-2.602296504</v>
      </c>
      <c r="AZ808" s="30">
        <f>IFERROR(__xludf.DUMMYFUNCTION("""COMPUTED_VALUE"""),0.5624642539360996)</f>
        <v>0.5624642539</v>
      </c>
      <c r="BA808" s="30">
        <f>IFERROR(__xludf.DUMMYFUNCTION("""COMPUTED_VALUE"""),3200.0)</f>
        <v>3200</v>
      </c>
    </row>
    <row r="809">
      <c r="A809" s="71" t="str">
        <f>IFERROR(__xludf.DUMMYFUNCTION("""COMPUTED_VALUE"""),"Contender")</f>
        <v>Contender</v>
      </c>
      <c r="B809" s="71" t="str">
        <f>IFERROR(__xludf.DUMMYFUNCTION("""COMPUTED_VALUE"""),"RSC007165")</f>
        <v>RSC007165</v>
      </c>
      <c r="C809" s="30" t="str">
        <f>IFERROR(__xludf.DUMMYFUNCTION("""COMPUTED_VALUE"""),"BRG")</f>
        <v>BRG</v>
      </c>
      <c r="D809" s="30" t="str">
        <f>IFERROR(__xludf.DUMMYFUNCTION("""COMPUTED_VALUE"""),"Rheas")</f>
        <v>Rheas</v>
      </c>
      <c r="E809" s="30">
        <f>IFERROR(__xludf.DUMMYFUNCTION("""COMPUTED_VALUE"""),37.0)</f>
        <v>37</v>
      </c>
      <c r="F809" s="30">
        <f>IFERROR(__xludf.DUMMYFUNCTION("""COMPUTED_VALUE"""),26.0)</f>
        <v>26</v>
      </c>
      <c r="G809" s="42">
        <f>IFERROR(__xludf.DUMMYFUNCTION("""COMPUTED_VALUE"""),11.0)</f>
        <v>11</v>
      </c>
      <c r="H809" s="42">
        <f>IFERROR(__xludf.DUMMYFUNCTION("""COMPUTED_VALUE"""),0.7027027027027027)</f>
        <v>0.7027027027</v>
      </c>
      <c r="I809" s="42">
        <f>IFERROR(__xludf.DUMMYFUNCTION("""COMPUTED_VALUE"""),0.29687499999999994)</f>
        <v>0.296875</v>
      </c>
      <c r="J809" s="30">
        <f>IFERROR(__xludf.DUMMYFUNCTION("""COMPUTED_VALUE"""),286.7027027027027)</f>
        <v>286.7027027</v>
      </c>
      <c r="K809" s="30">
        <f>IFERROR(__xludf.DUMMYFUNCTION("""COMPUTED_VALUE"""),0.5135135135135135)</f>
        <v>0.5135135135</v>
      </c>
      <c r="L809" s="30">
        <f>IFERROR(__xludf.DUMMYFUNCTION("""COMPUTED_VALUE"""),0.6216216216216216)</f>
        <v>0.6216216216</v>
      </c>
      <c r="M809" s="30">
        <f>IFERROR(__xludf.DUMMYFUNCTION("""COMPUTED_VALUE"""),1.0810810810810811)</f>
        <v>1.081081081</v>
      </c>
      <c r="N809" s="30">
        <f>IFERROR(__xludf.DUMMYFUNCTION("""COMPUTED_VALUE"""),1.7297297297297298)</f>
        <v>1.72972973</v>
      </c>
      <c r="O809" s="30">
        <f>IFERROR(__xludf.DUMMYFUNCTION("""COMPUTED_VALUE"""),280.1711711711712)</f>
        <v>280.1711712</v>
      </c>
      <c r="P809" s="30">
        <f>IFERROR(__xludf.DUMMYFUNCTION("""COMPUTED_VALUE"""),0.5315315315315314)</f>
        <v>0.5315315315</v>
      </c>
      <c r="Q809" s="30">
        <f>IFERROR(__xludf.DUMMYFUNCTION("""COMPUTED_VALUE"""),0.31531531531531537)</f>
        <v>0.3153153153</v>
      </c>
      <c r="R809" s="30">
        <f>IFERROR(__xludf.DUMMYFUNCTION("""COMPUTED_VALUE"""),1.0990990990990992)</f>
        <v>1.099099099</v>
      </c>
      <c r="S809" s="30">
        <f>IFERROR(__xludf.DUMMYFUNCTION("""COMPUTED_VALUE"""),1.855855855855856)</f>
        <v>1.855855856</v>
      </c>
      <c r="T809" s="30">
        <f>IFERROR(__xludf.DUMMYFUNCTION("""COMPUTED_VALUE"""),329.4517375193283)</f>
        <v>329.4517375</v>
      </c>
      <c r="U809" s="30">
        <f>IFERROR(__xludf.DUMMYFUNCTION("""COMPUTED_VALUE"""),0.8347062167592089)</f>
        <v>0.8347062168</v>
      </c>
      <c r="V809" s="30">
        <f>IFERROR(__xludf.DUMMYFUNCTION("""COMPUTED_VALUE"""),0.5343238803233461)</f>
        <v>0.5343238803</v>
      </c>
      <c r="W809" s="30">
        <f>IFERROR(__xludf.DUMMYFUNCTION("""COMPUTED_VALUE"""),1.0854232648431263)</f>
        <v>1.085423265</v>
      </c>
      <c r="X809" s="30">
        <f>IFERROR(__xludf.DUMMYFUNCTION("""COMPUTED_VALUE"""),2.2990408846018293)</f>
        <v>2.299040885</v>
      </c>
      <c r="Y809" s="30">
        <f>IFERROR(__xludf.DUMMYFUNCTION("""COMPUTED_VALUE"""),330.1460374572112)</f>
        <v>330.1460375</v>
      </c>
      <c r="Z809" s="30">
        <f>IFERROR(__xludf.DUMMYFUNCTION("""COMPUTED_VALUE"""),0.835593645052101)</f>
        <v>0.8355936451</v>
      </c>
      <c r="AA809" s="30">
        <f>IFERROR(__xludf.DUMMYFUNCTION("""COMPUTED_VALUE"""),0.5622236455011488)</f>
        <v>0.5622236455</v>
      </c>
      <c r="AB809" s="30">
        <f>IFERROR(__xludf.DUMMYFUNCTION("""COMPUTED_VALUE"""),1.0722349126405617)</f>
        <v>1.072234913</v>
      </c>
      <c r="AC809" s="30">
        <f>IFERROR(__xludf.DUMMYFUNCTION("""COMPUTED_VALUE"""),2.320247111014602)</f>
        <v>2.320247111</v>
      </c>
      <c r="AD809" s="30">
        <f>IFERROR(__xludf.DUMMYFUNCTION("""COMPUTED_VALUE"""),0.8684117638087994)</f>
        <v>0.8684117638</v>
      </c>
      <c r="AE809" s="30">
        <f>IFERROR(__xludf.DUMMYFUNCTION("""COMPUTED_VALUE"""),0.6145493285572976)</f>
        <v>0.6145493286</v>
      </c>
      <c r="AF809" s="30">
        <f>IFERROR(__xludf.DUMMYFUNCTION("""COMPUTED_VALUE"""),1.1056483066761222)</f>
        <v>1.105648307</v>
      </c>
      <c r="AG809" s="30">
        <f>IFERROR(__xludf.DUMMYFUNCTION("""COMPUTED_VALUE"""),1.0082502148887638)</f>
        <v>1.008250215</v>
      </c>
      <c r="AH809" s="30">
        <f>IFERROR(__xludf.DUMMYFUNCTION("""COMPUTED_VALUE"""),0.7454937543153971)</f>
        <v>0.7454937543</v>
      </c>
      <c r="AI809" s="30">
        <f>IFERROR(__xludf.DUMMYFUNCTION("""COMPUTED_VALUE"""),0.8504164321025446)</f>
        <v>0.8504164321</v>
      </c>
      <c r="AJ809" s="30">
        <f>IFERROR(__xludf.DUMMYFUNCTION("""COMPUTED_VALUE"""),0.6367887537668412)</f>
        <v>0.6367887538</v>
      </c>
      <c r="AK809" s="30">
        <f>IFERROR(__xludf.DUMMYFUNCTION("""COMPUTED_VALUE"""),0.590120200363312)</f>
        <v>0.5901202004</v>
      </c>
      <c r="AL809" s="30">
        <f>IFERROR(__xludf.DUMMYFUNCTION("""COMPUTED_VALUE"""),1.0125995403810968)</f>
        <v>1.01259954</v>
      </c>
      <c r="AM809" s="30">
        <f>IFERROR(__xludf.DUMMYFUNCTION("""COMPUTED_VALUE"""),0.8072304708827618)</f>
        <v>0.8072304709</v>
      </c>
      <c r="AN809" s="30">
        <f>IFERROR(__xludf.DUMMYFUNCTION("""COMPUTED_VALUE"""),0.9015162413206672)</f>
        <v>0.9015162413</v>
      </c>
      <c r="AO809" s="30">
        <f>IFERROR(__xludf.DUMMYFUNCTION("""COMPUTED_VALUE"""),0.6395864239646154)</f>
        <v>0.639586424</v>
      </c>
      <c r="AP809" s="30">
        <f>IFERROR(__xludf.DUMMYFUNCTION("""COMPUTED_VALUE"""),1.1552158940838264)</f>
        <v>1.155215894</v>
      </c>
      <c r="AQ809" s="30">
        <f>IFERROR(__xludf.DUMMYFUNCTION("""COMPUTED_VALUE"""),1.0322615996332773)</f>
        <v>1.0322616</v>
      </c>
      <c r="AR809" s="30">
        <f>IFERROR(__xludf.DUMMYFUNCTION("""COMPUTED_VALUE"""),0.7852475712285738)</f>
        <v>0.7852475712</v>
      </c>
      <c r="AS809" s="30">
        <f>IFERROR(__xludf.DUMMYFUNCTION("""COMPUTED_VALUE"""),95.0)</f>
        <v>95</v>
      </c>
      <c r="AT809" s="30">
        <f>IFERROR(__xludf.DUMMYFUNCTION("""COMPUTED_VALUE"""),0.6719977189223612)</f>
        <v>0.6719977189</v>
      </c>
      <c r="AU809" s="30">
        <f>IFERROR(__xludf.DUMMYFUNCTION("""COMPUTED_VALUE"""),3.5324618937605115)</f>
        <v>3.532461894</v>
      </c>
      <c r="AV809" s="32">
        <f>IFERROR(__xludf.DUMMYFUNCTION("""COMPUTED_VALUE"""),46.43663179251842)</f>
        <v>46.43663179</v>
      </c>
      <c r="AW809" s="32">
        <f>IFERROR(__xludf.DUMMYFUNCTION("""COMPUTED_VALUE"""),-2.2556620355130046)</f>
        <v>-2.255662036</v>
      </c>
      <c r="AX809" s="32">
        <f>IFERROR(__xludf.DUMMYFUNCTION("""COMPUTED_VALUE"""),40.8488186957246)</f>
        <v>40.8488187</v>
      </c>
      <c r="AY809" s="32">
        <f>IFERROR(__xludf.DUMMYFUNCTION("""COMPUTED_VALUE"""),-2.799827129682786)</f>
        <v>-2.79982713</v>
      </c>
      <c r="AZ809" s="30">
        <f>IFERROR(__xludf.DUMMYFUNCTION("""COMPUTED_VALUE"""),0.5441650941697813)</f>
        <v>0.5441650942</v>
      </c>
      <c r="BA809" s="30">
        <f>IFERROR(__xludf.DUMMYFUNCTION("""COMPUTED_VALUE"""),3200.0)</f>
        <v>3200</v>
      </c>
    </row>
    <row r="810">
      <c r="A810" s="71" t="str">
        <f>IFERROR(__xludf.DUMMYFUNCTION("""COMPUTED_VALUE"""),"Contender")</f>
        <v>Contender</v>
      </c>
      <c r="B810" s="71" t="str">
        <f>IFERROR(__xludf.DUMMYFUNCTION("""COMPUTED_VALUE"""),"RSC006251")</f>
        <v>RSC006251</v>
      </c>
      <c r="C810" s="30" t="str">
        <f>IFERROR(__xludf.DUMMYFUNCTION("""COMPUTED_VALUE"""),"MiniTechniks")</f>
        <v>MiniTechniks</v>
      </c>
      <c r="D810" s="30" t="str">
        <f>IFERROR(__xludf.DUMMYFUNCTION("""COMPUTED_VALUE"""),"Rad Lads")</f>
        <v>Rad Lads</v>
      </c>
      <c r="E810" s="30">
        <f>IFERROR(__xludf.DUMMYFUNCTION("""COMPUTED_VALUE"""),41.0)</f>
        <v>41</v>
      </c>
      <c r="F810" s="30">
        <f>IFERROR(__xludf.DUMMYFUNCTION("""COMPUTED_VALUE"""),20.0)</f>
        <v>20</v>
      </c>
      <c r="G810" s="42">
        <f>IFERROR(__xludf.DUMMYFUNCTION("""COMPUTED_VALUE"""),21.0)</f>
        <v>21</v>
      </c>
      <c r="H810" s="42">
        <f>IFERROR(__xludf.DUMMYFUNCTION("""COMPUTED_VALUE"""),0.4878048780487805)</f>
        <v>0.487804878</v>
      </c>
      <c r="I810" s="42">
        <f>IFERROR(__xludf.DUMMYFUNCTION("""COMPUTED_VALUE"""),0.3931623931623932)</f>
        <v>0.3931623932</v>
      </c>
      <c r="J810" s="30">
        <f>IFERROR(__xludf.DUMMYFUNCTION("""COMPUTED_VALUE"""),376.8048780487805)</f>
        <v>376.804878</v>
      </c>
      <c r="K810" s="30">
        <f>IFERROR(__xludf.DUMMYFUNCTION("""COMPUTED_VALUE"""),1.1219512195121952)</f>
        <v>1.12195122</v>
      </c>
      <c r="L810" s="30">
        <f>IFERROR(__xludf.DUMMYFUNCTION("""COMPUTED_VALUE"""),0.6585365853658537)</f>
        <v>0.6585365854</v>
      </c>
      <c r="M810" s="30">
        <f>IFERROR(__xludf.DUMMYFUNCTION("""COMPUTED_VALUE"""),0.9512195121951219)</f>
        <v>0.9512195122</v>
      </c>
      <c r="N810" s="30">
        <f>IFERROR(__xludf.DUMMYFUNCTION("""COMPUTED_VALUE"""),2.8536585365853657)</f>
        <v>2.853658537</v>
      </c>
      <c r="O810" s="30">
        <f>IFERROR(__xludf.DUMMYFUNCTION("""COMPUTED_VALUE"""),322.81300813008136)</f>
        <v>322.8130081</v>
      </c>
      <c r="P810" s="30">
        <f>IFERROR(__xludf.DUMMYFUNCTION("""COMPUTED_VALUE"""),0.821138211382114)</f>
        <v>0.8211382114</v>
      </c>
      <c r="Q810" s="30">
        <f>IFERROR(__xludf.DUMMYFUNCTION("""COMPUTED_VALUE"""),0.5040650406504065)</f>
        <v>0.5040650407</v>
      </c>
      <c r="R810" s="30">
        <f>IFERROR(__xludf.DUMMYFUNCTION("""COMPUTED_VALUE"""),1.0650406504065042)</f>
        <v>1.06504065</v>
      </c>
      <c r="S810" s="30">
        <f>IFERROR(__xludf.DUMMYFUNCTION("""COMPUTED_VALUE"""),2.048780487804878)</f>
        <v>2.048780488</v>
      </c>
      <c r="T810" s="30">
        <f>IFERROR(__xludf.DUMMYFUNCTION("""COMPUTED_VALUE"""),324.36168764298)</f>
        <v>324.3616876</v>
      </c>
      <c r="U810" s="30">
        <f>IFERROR(__xludf.DUMMYFUNCTION("""COMPUTED_VALUE"""),0.7858052196557794)</f>
        <v>0.7858052197</v>
      </c>
      <c r="V810" s="30">
        <f>IFERROR(__xludf.DUMMYFUNCTION("""COMPUTED_VALUE"""),0.5274327926059693)</f>
        <v>0.5274327926</v>
      </c>
      <c r="W810" s="30">
        <f>IFERROR(__xludf.DUMMYFUNCTION("""COMPUTED_VALUE"""),1.126794303393306)</f>
        <v>1.126794303</v>
      </c>
      <c r="X810" s="30">
        <f>IFERROR(__xludf.DUMMYFUNCTION("""COMPUTED_VALUE"""),2.248651710180861)</f>
        <v>2.24865171</v>
      </c>
      <c r="Y810" s="30">
        <f>IFERROR(__xludf.DUMMYFUNCTION("""COMPUTED_VALUE"""),333.0400252550013)</f>
        <v>333.0400253</v>
      </c>
      <c r="Z810" s="30">
        <f>IFERROR(__xludf.DUMMYFUNCTION("""COMPUTED_VALUE"""),0.8510032212832012)</f>
        <v>0.8510032213</v>
      </c>
      <c r="AA810" s="30">
        <f>IFERROR(__xludf.DUMMYFUNCTION("""COMPUTED_VALUE"""),0.5604785789151618)</f>
        <v>0.5604785789</v>
      </c>
      <c r="AB810" s="30">
        <f>IFERROR(__xludf.DUMMYFUNCTION("""COMPUTED_VALUE"""),1.0795476613487573)</f>
        <v>1.079547661</v>
      </c>
      <c r="AC810" s="30">
        <f>IFERROR(__xludf.DUMMYFUNCTION("""COMPUTED_VALUE"""),2.3840431306636325)</f>
        <v>2.384043131</v>
      </c>
      <c r="AD810" s="30">
        <f>IFERROR(__xludf.DUMMYFUNCTION("""COMPUTED_VALUE"""),1.1314101893917088)</f>
        <v>1.131410189</v>
      </c>
      <c r="AE810" s="30">
        <f>IFERROR(__xludf.DUMMYFUNCTION("""COMPUTED_VALUE"""),1.3183865718163088)</f>
        <v>1.318386572</v>
      </c>
      <c r="AF810" s="30">
        <f>IFERROR(__xludf.DUMMYFUNCTION("""COMPUTED_VALUE"""),1.174954066291862)</f>
        <v>1.174954066</v>
      </c>
      <c r="AG810" s="30">
        <f>IFERROR(__xludf.DUMMYFUNCTION("""COMPUTED_VALUE"""),0.881127852203111)</f>
        <v>0.8811278522</v>
      </c>
      <c r="AH810" s="30">
        <f>IFERROR(__xludf.DUMMYFUNCTION("""COMPUTED_VALUE"""),1.1969827642300284)</f>
        <v>1.196982764</v>
      </c>
      <c r="AI810" s="30">
        <f>IFERROR(__xludf.DUMMYFUNCTION("""COMPUTED_VALUE"""),0.9952254548798525)</f>
        <v>0.9952254549</v>
      </c>
      <c r="AJ810" s="30">
        <f>IFERROR(__xludf.DUMMYFUNCTION("""COMPUTED_VALUE"""),1.0449640583220001)</f>
        <v>1.044964058</v>
      </c>
      <c r="AK810" s="30">
        <f>IFERROR(__xludf.DUMMYFUNCTION("""COMPUTED_VALUE"""),0.9556952994141563)</f>
        <v>0.9556952994</v>
      </c>
      <c r="AL810" s="30">
        <f>IFERROR(__xludf.DUMMYFUNCTION("""COMPUTED_VALUE"""),0.9451952740612615)</f>
        <v>0.9451952741</v>
      </c>
      <c r="AM810" s="30">
        <f>IFERROR(__xludf.DUMMYFUNCTION("""COMPUTED_VALUE"""),0.9111150822196884)</f>
        <v>0.9111150822</v>
      </c>
      <c r="AN810" s="30">
        <f>IFERROR(__xludf.DUMMYFUNCTION("""COMPUTED_VALUE"""),1.1848361182771183)</f>
        <v>1.184836118</v>
      </c>
      <c r="AO810" s="30">
        <f>IFERROR(__xludf.DUMMYFUNCTION("""COMPUTED_VALUE"""),1.3974019173142176)</f>
        <v>1.397401917</v>
      </c>
      <c r="AP810" s="30">
        <f>IFERROR(__xludf.DUMMYFUNCTION("""COMPUTED_VALUE"""),1.2238183225766095)</f>
        <v>1.223818323</v>
      </c>
      <c r="AQ810" s="30">
        <f>IFERROR(__xludf.DUMMYFUNCTION("""COMPUTED_VALUE"""),0.908264322116353)</f>
        <v>0.9082643221</v>
      </c>
      <c r="AR810" s="30">
        <f>IFERROR(__xludf.DUMMYFUNCTION("""COMPUTED_VALUE"""),1.2954789389666523)</f>
        <v>1.295478939</v>
      </c>
      <c r="AS810" s="30">
        <f>IFERROR(__xludf.DUMMYFUNCTION("""COMPUTED_VALUE"""),119.0)</f>
        <v>119</v>
      </c>
      <c r="AT810" s="30">
        <f>IFERROR(__xludf.DUMMYFUNCTION("""COMPUTED_VALUE"""),0.566016901303025)</f>
        <v>0.5660169013</v>
      </c>
      <c r="AU810" s="30">
        <f>IFERROR(__xludf.DUMMYFUNCTION("""COMPUTED_VALUE"""),5.218606765484747)</f>
        <v>5.218606765</v>
      </c>
      <c r="AV810" s="32">
        <f>IFERROR(__xludf.DUMMYFUNCTION("""COMPUTED_VALUE"""),70.82155195875382)</f>
        <v>70.82155196</v>
      </c>
      <c r="AW810" s="32">
        <f>IFERROR(__xludf.DUMMYFUNCTION("""COMPUTED_VALUE"""),4.939216533779543)</f>
        <v>4.939216534</v>
      </c>
      <c r="AX810" s="32">
        <f>IFERROR(__xludf.DUMMYFUNCTION("""COMPUTED_VALUE"""),72.65139917944404)</f>
        <v>72.65139918</v>
      </c>
      <c r="AY810" s="32">
        <f>IFERROR(__xludf.DUMMYFUNCTION("""COMPUTED_VALUE"""),5.480860109617874)</f>
        <v>5.48086011</v>
      </c>
      <c r="AZ810" s="30">
        <f>IFERROR(__xludf.DUMMYFUNCTION("""COMPUTED_VALUE"""),0.5416435758383304)</f>
        <v>0.5416435758</v>
      </c>
      <c r="BA810" s="30">
        <f>IFERROR(__xludf.DUMMYFUNCTION("""COMPUTED_VALUE"""),3200.0)</f>
        <v>3200</v>
      </c>
    </row>
    <row r="811">
      <c r="A811" s="71" t="str">
        <f>IFERROR(__xludf.DUMMYFUNCTION("""COMPUTED_VALUE"""),"Contender")</f>
        <v>Contender</v>
      </c>
      <c r="B811" s="71" t="str">
        <f>IFERROR(__xludf.DUMMYFUNCTION("""COMPUTED_VALUE"""),"RSC006880")</f>
        <v>RSC006880</v>
      </c>
      <c r="C811" s="30" t="str">
        <f>IFERROR(__xludf.DUMMYFUNCTION("""COMPUTED_VALUE"""),"Kenjicat17")</f>
        <v>Kenjicat17</v>
      </c>
      <c r="D811" s="30" t="str">
        <f>IFERROR(__xludf.DUMMYFUNCTION("""COMPUTED_VALUE"""),"Ice")</f>
        <v>Ice</v>
      </c>
      <c r="E811" s="30">
        <f>IFERROR(__xludf.DUMMYFUNCTION("""COMPUTED_VALUE"""),46.0)</f>
        <v>46</v>
      </c>
      <c r="F811" s="30">
        <f>IFERROR(__xludf.DUMMYFUNCTION("""COMPUTED_VALUE"""),29.0)</f>
        <v>29</v>
      </c>
      <c r="G811" s="42">
        <f>IFERROR(__xludf.DUMMYFUNCTION("""COMPUTED_VALUE"""),17.0)</f>
        <v>17</v>
      </c>
      <c r="H811" s="42">
        <f>IFERROR(__xludf.DUMMYFUNCTION("""COMPUTED_VALUE"""),0.6304347826086957)</f>
        <v>0.6304347826</v>
      </c>
      <c r="I811" s="42">
        <f>IFERROR(__xludf.DUMMYFUNCTION("""COMPUTED_VALUE"""),0.3707865168539326)</f>
        <v>0.3707865169</v>
      </c>
      <c r="J811" s="30">
        <f>IFERROR(__xludf.DUMMYFUNCTION("""COMPUTED_VALUE"""),308.5652173913044)</f>
        <v>308.5652174</v>
      </c>
      <c r="K811" s="30">
        <f>IFERROR(__xludf.DUMMYFUNCTION("""COMPUTED_VALUE"""),0.717391304347826)</f>
        <v>0.7173913043</v>
      </c>
      <c r="L811" s="30">
        <f>IFERROR(__xludf.DUMMYFUNCTION("""COMPUTED_VALUE"""),0.5652173913043478)</f>
        <v>0.5652173913</v>
      </c>
      <c r="M811" s="30">
        <f>IFERROR(__xludf.DUMMYFUNCTION("""COMPUTED_VALUE"""),1.0434782608695652)</f>
        <v>1.043478261</v>
      </c>
      <c r="N811" s="30">
        <f>IFERROR(__xludf.DUMMYFUNCTION("""COMPUTED_VALUE"""),1.934782608695652)</f>
        <v>1.934782609</v>
      </c>
      <c r="O811" s="30">
        <f>IFERROR(__xludf.DUMMYFUNCTION("""COMPUTED_VALUE"""),312.78985507246387)</f>
        <v>312.7898551</v>
      </c>
      <c r="P811" s="30">
        <f>IFERROR(__xludf.DUMMYFUNCTION("""COMPUTED_VALUE"""),0.6884057971014491)</f>
        <v>0.6884057971</v>
      </c>
      <c r="Q811" s="30">
        <f>IFERROR(__xludf.DUMMYFUNCTION("""COMPUTED_VALUE"""),0.5289855072463766)</f>
        <v>0.5289855072</v>
      </c>
      <c r="R811" s="30">
        <f>IFERROR(__xludf.DUMMYFUNCTION("""COMPUTED_VALUE"""),1.065217391304348)</f>
        <v>1.065217391</v>
      </c>
      <c r="S811" s="30">
        <f>IFERROR(__xludf.DUMMYFUNCTION("""COMPUTED_VALUE"""),2.369565217391304)</f>
        <v>2.369565217</v>
      </c>
      <c r="T811" s="30">
        <f>IFERROR(__xludf.DUMMYFUNCTION("""COMPUTED_VALUE"""),319.0787511100578)</f>
        <v>319.0787511</v>
      </c>
      <c r="U811" s="30">
        <f>IFERROR(__xludf.DUMMYFUNCTION("""COMPUTED_VALUE"""),0.7980206939767045)</f>
        <v>0.798020694</v>
      </c>
      <c r="V811" s="30">
        <f>IFERROR(__xludf.DUMMYFUNCTION("""COMPUTED_VALUE"""),0.5082654209266131)</f>
        <v>0.5082654209</v>
      </c>
      <c r="W811" s="30">
        <f>IFERROR(__xludf.DUMMYFUNCTION("""COMPUTED_VALUE"""),1.0512320379940308)</f>
        <v>1.051232038</v>
      </c>
      <c r="X811" s="30">
        <f>IFERROR(__xludf.DUMMYFUNCTION("""COMPUTED_VALUE"""),2.21871553296969)</f>
        <v>2.218715533</v>
      </c>
      <c r="Y811" s="30">
        <f>IFERROR(__xludf.DUMMYFUNCTION("""COMPUTED_VALUE"""),330.52661469747886)</f>
        <v>330.5266147</v>
      </c>
      <c r="Z811" s="30">
        <f>IFERROR(__xludf.DUMMYFUNCTION("""COMPUTED_VALUE"""),0.8559605556346999)</f>
        <v>0.8559605556</v>
      </c>
      <c r="AA811" s="30">
        <f>IFERROR(__xludf.DUMMYFUNCTION("""COMPUTED_VALUE"""),0.5567697671674303)</f>
        <v>0.5567697672</v>
      </c>
      <c r="AB811" s="30">
        <f>IFERROR(__xludf.DUMMYFUNCTION("""COMPUTED_VALUE"""),1.0394435140607876)</f>
        <v>1.039443514</v>
      </c>
      <c r="AC811" s="30">
        <f>IFERROR(__xludf.DUMMYFUNCTION("""COMPUTED_VALUE"""),2.3146838833607903)</f>
        <v>2.314683883</v>
      </c>
      <c r="AD811" s="30">
        <f>IFERROR(__xludf.DUMMYFUNCTION("""COMPUTED_VALUE"""),0.9335563421230841)</f>
        <v>0.9335563421</v>
      </c>
      <c r="AE811" s="30">
        <f>IFERROR(__xludf.DUMMYFUNCTION("""COMPUTED_VALUE"""),0.8381125737924642)</f>
        <v>0.8381125738</v>
      </c>
      <c r="AF811" s="30">
        <f>IFERROR(__xludf.DUMMYFUNCTION("""COMPUTED_VALUE"""),1.0151725625834442)</f>
        <v>1.015172563</v>
      </c>
      <c r="AG811" s="30">
        <f>IFERROR(__xludf.DUMMYFUNCTION("""COMPUTED_VALUE"""),1.0038816412380265)</f>
        <v>1.003881641</v>
      </c>
      <c r="AH811" s="30">
        <f>IFERROR(__xludf.DUMMYFUNCTION("""COMPUTED_VALUE"""),0.8358733659502813)</f>
        <v>0.835873366</v>
      </c>
      <c r="AI811" s="30">
        <f>IFERROR(__xludf.DUMMYFUNCTION("""COMPUTED_VALUE"""),0.9802904580273202)</f>
        <v>0.980290458</v>
      </c>
      <c r="AJ811" s="30">
        <f>IFERROR(__xludf.DUMMYFUNCTION("""COMPUTED_VALUE"""),0.8626415358616563)</f>
        <v>0.8626415359</v>
      </c>
      <c r="AK811" s="30">
        <f>IFERROR(__xludf.DUMMYFUNCTION("""COMPUTED_VALUE"""),1.040766271846684)</f>
        <v>1.040766272</v>
      </c>
      <c r="AL811" s="30">
        <f>IFERROR(__xludf.DUMMYFUNCTION("""COMPUTED_VALUE"""),1.0133037738623378)</f>
        <v>1.013303774</v>
      </c>
      <c r="AM811" s="30">
        <f>IFERROR(__xludf.DUMMYFUNCTION("""COMPUTED_VALUE"""),1.0679896463426772)</f>
        <v>1.067989646</v>
      </c>
      <c r="AN811" s="30">
        <f>IFERROR(__xludf.DUMMYFUNCTION("""COMPUTED_VALUE"""),0.9702613625981732)</f>
        <v>0.9702613626</v>
      </c>
      <c r="AO811" s="30">
        <f>IFERROR(__xludf.DUMMYFUNCTION("""COMPUTED_VALUE"""),0.8935183337080038)</f>
        <v>0.8935183337</v>
      </c>
      <c r="AP811" s="30">
        <f>IFERROR(__xludf.DUMMYFUNCTION("""COMPUTED_VALUE"""),1.0503947921631767)</f>
        <v>1.050394792</v>
      </c>
      <c r="AQ811" s="30">
        <f>IFERROR(__xludf.DUMMYFUNCTION("""COMPUTED_VALUE"""),0.9963568483416849)</f>
        <v>0.9963568483</v>
      </c>
      <c r="AR811" s="30">
        <f>IFERROR(__xludf.DUMMYFUNCTION("""COMPUTED_VALUE"""),0.8783356834428306)</f>
        <v>0.8783356834</v>
      </c>
      <c r="AS811" s="30">
        <f>IFERROR(__xludf.DUMMYFUNCTION("""COMPUTED_VALUE"""),116.0)</f>
        <v>116</v>
      </c>
      <c r="AT811" s="30">
        <f>IFERROR(__xludf.DUMMYFUNCTION("""COMPUTED_VALUE"""),0.5766943353003381)</f>
        <v>0.5766943353</v>
      </c>
      <c r="AU811" s="30">
        <f>IFERROR(__xludf.DUMMYFUNCTION("""COMPUTED_VALUE"""),3.5145444250848583)</f>
        <v>3.514544425</v>
      </c>
      <c r="AV811" s="32">
        <f>IFERROR(__xludf.DUMMYFUNCTION("""COMPUTED_VALUE"""),46.177510497211195)</f>
        <v>46.1775105</v>
      </c>
      <c r="AW811" s="32">
        <f>IFERROR(__xludf.DUMMYFUNCTION("""COMPUTED_VALUE"""),-2.2766662493250656)</f>
        <v>-2.276666249</v>
      </c>
      <c r="AX811" s="32">
        <f>IFERROR(__xludf.DUMMYFUNCTION("""COMPUTED_VALUE"""),40.833051582477985)</f>
        <v>40.83305158</v>
      </c>
      <c r="AY811" s="32">
        <f>IFERROR(__xludf.DUMMYFUNCTION("""COMPUTED_VALUE"""),-2.801672676261212)</f>
        <v>-2.801672676</v>
      </c>
      <c r="AZ811" s="30">
        <f>IFERROR(__xludf.DUMMYFUNCTION("""COMPUTED_VALUE"""),0.5250064269361463)</f>
        <v>0.5250064269</v>
      </c>
      <c r="BA811" s="30">
        <f>IFERROR(__xludf.DUMMYFUNCTION("""COMPUTED_VALUE"""),3200.0)</f>
        <v>3200</v>
      </c>
    </row>
    <row r="812">
      <c r="A812" s="71" t="str">
        <f>IFERROR(__xludf.DUMMYFUNCTION("""COMPUTED_VALUE"""),"Contender")</f>
        <v>Contender</v>
      </c>
      <c r="B812" s="71" t="str">
        <f>IFERROR(__xludf.DUMMYFUNCTION("""COMPUTED_VALUE"""),"RSC005870")</f>
        <v>RSC005870</v>
      </c>
      <c r="C812" s="30" t="str">
        <f>IFERROR(__xludf.DUMMYFUNCTION("""COMPUTED_VALUE"""),"Evil twin")</f>
        <v>Evil twin</v>
      </c>
      <c r="D812" s="30" t="str">
        <f>IFERROR(__xludf.DUMMYFUNCTION("""COMPUTED_VALUE"""),"Toothpaste")</f>
        <v>Toothpaste</v>
      </c>
      <c r="E812" s="30">
        <f>IFERROR(__xludf.DUMMYFUNCTION("""COMPUTED_VALUE"""),35.0)</f>
        <v>35</v>
      </c>
      <c r="F812" s="30">
        <f>IFERROR(__xludf.DUMMYFUNCTION("""COMPUTED_VALUE"""),11.0)</f>
        <v>11</v>
      </c>
      <c r="G812" s="42">
        <f>IFERROR(__xludf.DUMMYFUNCTION("""COMPUTED_VALUE"""),24.0)</f>
        <v>24</v>
      </c>
      <c r="H812" s="42">
        <f>IFERROR(__xludf.DUMMYFUNCTION("""COMPUTED_VALUE"""),0.3142857142857143)</f>
        <v>0.3142857143</v>
      </c>
      <c r="I812" s="42">
        <f>IFERROR(__xludf.DUMMYFUNCTION("""COMPUTED_VALUE"""),0.3188405797101449)</f>
        <v>0.3188405797</v>
      </c>
      <c r="J812" s="30">
        <f>IFERROR(__xludf.DUMMYFUNCTION("""COMPUTED_VALUE"""),277.14285714285717)</f>
        <v>277.1428571</v>
      </c>
      <c r="K812" s="30">
        <f>IFERROR(__xludf.DUMMYFUNCTION("""COMPUTED_VALUE"""),0.6285714285714286)</f>
        <v>0.6285714286</v>
      </c>
      <c r="L812" s="30">
        <f>IFERROR(__xludf.DUMMYFUNCTION("""COMPUTED_VALUE"""),0.4)</f>
        <v>0.4</v>
      </c>
      <c r="M812" s="30">
        <f>IFERROR(__xludf.DUMMYFUNCTION("""COMPUTED_VALUE"""),1.0)</f>
        <v>1</v>
      </c>
      <c r="N812" s="30">
        <f>IFERROR(__xludf.DUMMYFUNCTION("""COMPUTED_VALUE"""),1.9714285714285715)</f>
        <v>1.971428571</v>
      </c>
      <c r="O812" s="30">
        <f>IFERROR(__xludf.DUMMYFUNCTION("""COMPUTED_VALUE"""),346.99047619047616)</f>
        <v>346.9904762</v>
      </c>
      <c r="P812" s="30">
        <f>IFERROR(__xludf.DUMMYFUNCTION("""COMPUTED_VALUE"""),1.0285714285714285)</f>
        <v>1.028571429</v>
      </c>
      <c r="Q812" s="30">
        <f>IFERROR(__xludf.DUMMYFUNCTION("""COMPUTED_VALUE"""),0.638095238095238)</f>
        <v>0.6380952381</v>
      </c>
      <c r="R812" s="30">
        <f>IFERROR(__xludf.DUMMYFUNCTION("""COMPUTED_VALUE"""),0.8952380952380953)</f>
        <v>0.8952380952</v>
      </c>
      <c r="S812" s="30">
        <f>IFERROR(__xludf.DUMMYFUNCTION("""COMPUTED_VALUE"""),2.3999999999999995)</f>
        <v>2.4</v>
      </c>
      <c r="T812" s="30">
        <f>IFERROR(__xludf.DUMMYFUNCTION("""COMPUTED_VALUE"""),335.5783511174617)</f>
        <v>335.5783511</v>
      </c>
      <c r="U812" s="30">
        <f>IFERROR(__xludf.DUMMYFUNCTION("""COMPUTED_VALUE"""),0.8466184040573537)</f>
        <v>0.8466184041</v>
      </c>
      <c r="V812" s="30">
        <f>IFERROR(__xludf.DUMMYFUNCTION("""COMPUTED_VALUE"""),0.5724833076469118)</f>
        <v>0.5724833076</v>
      </c>
      <c r="W812" s="30">
        <f>IFERROR(__xludf.DUMMYFUNCTION("""COMPUTED_VALUE"""),1.095591329987159)</f>
        <v>1.09559133</v>
      </c>
      <c r="X812" s="30">
        <f>IFERROR(__xludf.DUMMYFUNCTION("""COMPUTED_VALUE"""),2.3276908596543753)</f>
        <v>2.32769086</v>
      </c>
      <c r="Y812" s="30">
        <f>IFERROR(__xludf.DUMMYFUNCTION("""COMPUTED_VALUE"""),321.02441583149573)</f>
        <v>321.0244158</v>
      </c>
      <c r="Z812" s="30">
        <f>IFERROR(__xludf.DUMMYFUNCTION("""COMPUTED_VALUE"""),0.7821781556413832)</f>
        <v>0.7821781556</v>
      </c>
      <c r="AA812" s="30">
        <f>IFERROR(__xludf.DUMMYFUNCTION("""COMPUTED_VALUE"""),0.5325730405020365)</f>
        <v>0.5325730405</v>
      </c>
      <c r="AB812" s="30">
        <f>IFERROR(__xludf.DUMMYFUNCTION("""COMPUTED_VALUE"""),1.0745894848550368)</f>
        <v>1.074589485</v>
      </c>
      <c r="AC812" s="30">
        <f>IFERROR(__xludf.DUMMYFUNCTION("""COMPUTED_VALUE"""),2.239906387692408)</f>
        <v>2.239906388</v>
      </c>
      <c r="AD812" s="30">
        <f>IFERROR(__xludf.DUMMYFUNCTION("""COMPUTED_VALUE"""),0.8633077220155373)</f>
        <v>0.863307722</v>
      </c>
      <c r="AE812" s="30">
        <f>IFERROR(__xludf.DUMMYFUNCTION("""COMPUTED_VALUE"""),0.8036167004127114)</f>
        <v>0.8036167004</v>
      </c>
      <c r="AF812" s="30">
        <f>IFERROR(__xludf.DUMMYFUNCTION("""COMPUTED_VALUE"""),0.751070688112442)</f>
        <v>0.7510706881</v>
      </c>
      <c r="AG812" s="30">
        <f>IFERROR(__xludf.DUMMYFUNCTION("""COMPUTED_VALUE"""),0.9305879259882215)</f>
        <v>0.930587926</v>
      </c>
      <c r="AH812" s="30">
        <f>IFERROR(__xludf.DUMMYFUNCTION("""COMPUTED_VALUE"""),0.8801388228815995)</f>
        <v>0.8801388229</v>
      </c>
      <c r="AI812" s="30">
        <f>IFERROR(__xludf.DUMMYFUNCTION("""COMPUTED_VALUE"""),1.0340073340101128)</f>
        <v>1.034007334</v>
      </c>
      <c r="AJ812" s="30">
        <f>IFERROR(__xludf.DUMMYFUNCTION("""COMPUTED_VALUE"""),1.2149173980179016)</f>
        <v>1.214917398</v>
      </c>
      <c r="AK812" s="30">
        <f>IFERROR(__xludf.DUMMYFUNCTION("""COMPUTED_VALUE"""),1.114609333707933)</f>
        <v>1.114609334</v>
      </c>
      <c r="AL812" s="30">
        <f>IFERROR(__xludf.DUMMYFUNCTION("""COMPUTED_VALUE"""),0.8171277653763361)</f>
        <v>0.8171277654</v>
      </c>
      <c r="AM812" s="30">
        <f>IFERROR(__xludf.DUMMYFUNCTION("""COMPUTED_VALUE"""),1.0310647524544394)</f>
        <v>1.031064752</v>
      </c>
      <c r="AN812" s="30">
        <f>IFERROR(__xludf.DUMMYFUNCTION("""COMPUTED_VALUE"""),0.871455987421858)</f>
        <v>0.8714559874</v>
      </c>
      <c r="AO812" s="30">
        <f>IFERROR(__xludf.DUMMYFUNCTION("""COMPUTED_VALUE"""),0.7828922542965367)</f>
        <v>0.7828922543</v>
      </c>
      <c r="AP812" s="30">
        <f>IFERROR(__xludf.DUMMYFUNCTION("""COMPUTED_VALUE"""),0.7433563144539406)</f>
        <v>0.7433563145</v>
      </c>
      <c r="AQ812" s="30">
        <f>IFERROR(__xludf.DUMMYFUNCTION("""COMPUTED_VALUE"""),0.9548419796607814)</f>
        <v>0.9548419797</v>
      </c>
      <c r="AR812" s="30">
        <f>IFERROR(__xludf.DUMMYFUNCTION("""COMPUTED_VALUE"""),0.8949718970297094)</f>
        <v>0.894971897</v>
      </c>
      <c r="AS812" s="30">
        <f>IFERROR(__xludf.DUMMYFUNCTION("""COMPUTED_VALUE"""),61.0)</f>
        <v>61</v>
      </c>
      <c r="AT812" s="30">
        <f>IFERROR(__xludf.DUMMYFUNCTION("""COMPUTED_VALUE"""),0.28954185492426865)</f>
        <v>0.2895418549</v>
      </c>
      <c r="AU812" s="30">
        <f>IFERROR(__xludf.DUMMYFUNCTION("""COMPUTED_VALUE"""),2.770625756363288)</f>
        <v>2.770625756</v>
      </c>
      <c r="AV812" s="32">
        <f>IFERROR(__xludf.DUMMYFUNCTION("""COMPUTED_VALUE"""),35.41900590418805)</f>
        <v>35.4190059</v>
      </c>
      <c r="AW812" s="32">
        <f>IFERROR(__xludf.DUMMYFUNCTION("""COMPUTED_VALUE"""),-3.5731391721726626)</f>
        <v>-3.573139172</v>
      </c>
      <c r="AX812" s="32">
        <f>IFERROR(__xludf.DUMMYFUNCTION("""COMPUTED_VALUE"""),38.5964434808315)</f>
        <v>38.59644348</v>
      </c>
      <c r="AY812" s="32">
        <f>IFERROR(__xludf.DUMMYFUNCTION("""COMPUTED_VALUE"""),-3.0850501323342674)</f>
        <v>-3.085050132</v>
      </c>
      <c r="AZ812" s="30">
        <f>IFERROR(__xludf.DUMMYFUNCTION("""COMPUTED_VALUE"""),0.48808903983839524)</f>
        <v>0.4880890398</v>
      </c>
      <c r="BA812" s="30">
        <f>IFERROR(__xludf.DUMMYFUNCTION("""COMPUTED_VALUE"""),3200.0)</f>
        <v>3200</v>
      </c>
    </row>
    <row r="813">
      <c r="A813" s="71" t="str">
        <f>IFERROR(__xludf.DUMMYFUNCTION("""COMPUTED_VALUE"""),"Contender")</f>
        <v>Contender</v>
      </c>
      <c r="B813" s="71" t="str">
        <f>IFERROR(__xludf.DUMMYFUNCTION("""COMPUTED_VALUE"""),"RSC007520")</f>
        <v>RSC007520</v>
      </c>
      <c r="C813" s="30" t="str">
        <f>IFERROR(__xludf.DUMMYFUNCTION("""COMPUTED_VALUE"""),"Blitzzzzz.")</f>
        <v>Blitzzzzz.</v>
      </c>
      <c r="D813" s="30" t="str">
        <f>IFERROR(__xludf.DUMMYFUNCTION("""COMPUTED_VALUE"""),"Devoured")</f>
        <v>Devoured</v>
      </c>
      <c r="E813" s="30">
        <f>IFERROR(__xludf.DUMMYFUNCTION("""COMPUTED_VALUE"""),46.0)</f>
        <v>46</v>
      </c>
      <c r="F813" s="30">
        <f>IFERROR(__xludf.DUMMYFUNCTION("""COMPUTED_VALUE"""),25.0)</f>
        <v>25</v>
      </c>
      <c r="G813" s="42">
        <f>IFERROR(__xludf.DUMMYFUNCTION("""COMPUTED_VALUE"""),21.0)</f>
        <v>21</v>
      </c>
      <c r="H813" s="42">
        <f>IFERROR(__xludf.DUMMYFUNCTION("""COMPUTED_VALUE"""),0.5434782608695652)</f>
        <v>0.5434782609</v>
      </c>
      <c r="I813" s="42">
        <f>IFERROR(__xludf.DUMMYFUNCTION("""COMPUTED_VALUE"""),0.4476190476190477)</f>
        <v>0.4476190476</v>
      </c>
      <c r="J813" s="30">
        <f>IFERROR(__xludf.DUMMYFUNCTION("""COMPUTED_VALUE"""),363.89130434782606)</f>
        <v>363.8913043</v>
      </c>
      <c r="K813" s="30">
        <f>IFERROR(__xludf.DUMMYFUNCTION("""COMPUTED_VALUE"""),1.0217391304347827)</f>
        <v>1.02173913</v>
      </c>
      <c r="L813" s="30">
        <f>IFERROR(__xludf.DUMMYFUNCTION("""COMPUTED_VALUE"""),0.8260869565217391)</f>
        <v>0.8260869565</v>
      </c>
      <c r="M813" s="30">
        <f>IFERROR(__xludf.DUMMYFUNCTION("""COMPUTED_VALUE"""),0.9565217391304348)</f>
        <v>0.9565217391</v>
      </c>
      <c r="N813" s="30">
        <f>IFERROR(__xludf.DUMMYFUNCTION("""COMPUTED_VALUE"""),2.282608695652174)</f>
        <v>2.282608696</v>
      </c>
      <c r="O813" s="30">
        <f>IFERROR(__xludf.DUMMYFUNCTION("""COMPUTED_VALUE"""),333.65217391304344)</f>
        <v>333.6521739</v>
      </c>
      <c r="P813" s="30">
        <f>IFERROR(__xludf.DUMMYFUNCTION("""COMPUTED_VALUE"""),0.8478260869565216)</f>
        <v>0.847826087</v>
      </c>
      <c r="Q813" s="30">
        <f>IFERROR(__xludf.DUMMYFUNCTION("""COMPUTED_VALUE"""),0.5652173913043478)</f>
        <v>0.5652173913</v>
      </c>
      <c r="R813" s="30">
        <f>IFERROR(__xludf.DUMMYFUNCTION("""COMPUTED_VALUE"""),1.1449275362318836)</f>
        <v>1.144927536</v>
      </c>
      <c r="S813" s="30">
        <f>IFERROR(__xludf.DUMMYFUNCTION("""COMPUTED_VALUE"""),2.1594202898550723)</f>
        <v>2.15942029</v>
      </c>
      <c r="T813" s="30">
        <f>IFERROR(__xludf.DUMMYFUNCTION("""COMPUTED_VALUE"""),323.99082379325387)</f>
        <v>323.9908238</v>
      </c>
      <c r="U813" s="30">
        <f>IFERROR(__xludf.DUMMYFUNCTION("""COMPUTED_VALUE"""),0.803418199686617)</f>
        <v>0.8034181997</v>
      </c>
      <c r="V813" s="30">
        <f>IFERROR(__xludf.DUMMYFUNCTION("""COMPUTED_VALUE"""),0.535827852555783)</f>
        <v>0.5358278526</v>
      </c>
      <c r="W813" s="30">
        <f>IFERROR(__xludf.DUMMYFUNCTION("""COMPUTED_VALUE"""),1.0738307372536744)</f>
        <v>1.073830737</v>
      </c>
      <c r="X813" s="30">
        <f>IFERROR(__xludf.DUMMYFUNCTION("""COMPUTED_VALUE"""),2.254295118384919)</f>
        <v>2.254295118</v>
      </c>
      <c r="Y813" s="30">
        <f>IFERROR(__xludf.DUMMYFUNCTION("""COMPUTED_VALUE"""),330.4480268750498)</f>
        <v>330.4480269</v>
      </c>
      <c r="Z813" s="30">
        <f>IFERROR(__xludf.DUMMYFUNCTION("""COMPUTED_VALUE"""),0.8517509868762244)</f>
        <v>0.8517509869</v>
      </c>
      <c r="AA813" s="30">
        <f>IFERROR(__xludf.DUMMYFUNCTION("""COMPUTED_VALUE"""),0.5550885885000825)</f>
        <v>0.5550885885</v>
      </c>
      <c r="AB813" s="30">
        <f>IFERROR(__xludf.DUMMYFUNCTION("""COMPUTED_VALUE"""),1.0504209629961663)</f>
        <v>1.050420963</v>
      </c>
      <c r="AC813" s="30">
        <f>IFERROR(__xludf.DUMMYFUNCTION("""COMPUTED_VALUE"""),2.314647787117718)</f>
        <v>2.314647787</v>
      </c>
      <c r="AD813" s="30">
        <f>IFERROR(__xludf.DUMMYFUNCTION("""COMPUTED_VALUE"""),1.10120586220181)</f>
        <v>1.101205862</v>
      </c>
      <c r="AE813" s="30">
        <f>IFERROR(__xludf.DUMMYFUNCTION("""COMPUTED_VALUE"""),1.1995749299710066)</f>
        <v>1.19957493</v>
      </c>
      <c r="AF813" s="30">
        <f>IFERROR(__xludf.DUMMYFUNCTION("""COMPUTED_VALUE"""),1.4882074206460045)</f>
        <v>1.488207421</v>
      </c>
      <c r="AG813" s="30">
        <f>IFERROR(__xludf.DUMMYFUNCTION("""COMPUTED_VALUE"""),0.9106080065292127)</f>
        <v>0.9106080065</v>
      </c>
      <c r="AH813" s="30">
        <f>IFERROR(__xludf.DUMMYFUNCTION("""COMPUTED_VALUE"""),0.9861581137122204)</f>
        <v>0.9861581137</v>
      </c>
      <c r="AI813" s="30">
        <f>IFERROR(__xludf.DUMMYFUNCTION("""COMPUTED_VALUE"""),1.0298198263971658)</f>
        <v>1.029819826</v>
      </c>
      <c r="AJ813" s="30">
        <f>IFERROR(__xludf.DUMMYFUNCTION("""COMPUTED_VALUE"""),1.0552736884566798)</f>
        <v>1.055273688</v>
      </c>
      <c r="AK813" s="30">
        <f>IFERROR(__xludf.DUMMYFUNCTION("""COMPUTED_VALUE"""),1.0548488448451925)</f>
        <v>1.054848845</v>
      </c>
      <c r="AL813" s="30">
        <f>IFERROR(__xludf.DUMMYFUNCTION("""COMPUTED_VALUE"""),1.0662085713434126)</f>
        <v>1.066208571</v>
      </c>
      <c r="AM813" s="30">
        <f>IFERROR(__xludf.DUMMYFUNCTION("""COMPUTED_VALUE"""),0.9579137497321915)</f>
        <v>0.9579137497</v>
      </c>
      <c r="AN813" s="30">
        <f>IFERROR(__xludf.DUMMYFUNCTION("""COMPUTED_VALUE"""),1.1442303049549682)</f>
        <v>1.144230305</v>
      </c>
      <c r="AO813" s="30">
        <f>IFERROR(__xludf.DUMMYFUNCTION("""COMPUTED_VALUE"""),1.272586717705339)</f>
        <v>1.272586718</v>
      </c>
      <c r="AP813" s="30">
        <f>IFERROR(__xludf.DUMMYFUNCTION("""COMPUTED_VALUE"""),1.5351923885461816)</f>
        <v>1.535192389</v>
      </c>
      <c r="AQ813" s="30">
        <f>IFERROR(__xludf.DUMMYFUNCTION("""COMPUTED_VALUE"""),0.9133271109798778)</f>
        <v>0.913327111</v>
      </c>
      <c r="AR813" s="30">
        <f>IFERROR(__xludf.DUMMYFUNCTION("""COMPUTED_VALUE"""),1.0362387276572722)</f>
        <v>1.036238728</v>
      </c>
      <c r="AS813" s="30">
        <f>IFERROR(__xludf.DUMMYFUNCTION("""COMPUTED_VALUE"""),133.0)</f>
        <v>133</v>
      </c>
      <c r="AT813" s="30">
        <f>IFERROR(__xludf.DUMMYFUNCTION("""COMPUTED_VALUE"""),0.5519008099050726)</f>
        <v>0.5519008099</v>
      </c>
      <c r="AU813" s="30">
        <f>IFERROR(__xludf.DUMMYFUNCTION("""COMPUTED_VALUE"""),5.04087118165827)</f>
        <v>5.040871182</v>
      </c>
      <c r="AV813" s="32">
        <f>IFERROR(__xludf.DUMMYFUNCTION("""COMPUTED_VALUE"""),68.25115122095961)</f>
        <v>68.25115122</v>
      </c>
      <c r="AW813" s="32">
        <f>IFERROR(__xludf.DUMMYFUNCTION("""COMPUTED_VALUE"""),4.297729163174265)</f>
        <v>4.297729163</v>
      </c>
      <c r="AX813" s="32">
        <f>IFERROR(__xludf.DUMMYFUNCTION("""COMPUTED_VALUE"""),66.68071481586094)</f>
        <v>66.68071482</v>
      </c>
      <c r="AY813" s="32">
        <f>IFERROR(__xludf.DUMMYFUNCTION("""COMPUTED_VALUE"""),3.963330237454847)</f>
        <v>3.963330237</v>
      </c>
      <c r="AZ813" s="30">
        <f>IFERROR(__xludf.DUMMYFUNCTION("""COMPUTED_VALUE"""),0.33439892571941776)</f>
        <v>0.3343989257</v>
      </c>
      <c r="BA813" s="30">
        <f>IFERROR(__xludf.DUMMYFUNCTION("""COMPUTED_VALUE"""),3200.0)</f>
        <v>3200</v>
      </c>
    </row>
    <row r="814">
      <c r="A814" s="71" t="str">
        <f>IFERROR(__xludf.DUMMYFUNCTION("""COMPUTED_VALUE"""),"Contender")</f>
        <v>Contender</v>
      </c>
      <c r="B814" s="71" t="str">
        <f>IFERROR(__xludf.DUMMYFUNCTION("""COMPUTED_VALUE"""),"RSC006900")</f>
        <v>RSC006900</v>
      </c>
      <c r="C814" s="30" t="str">
        <f>IFERROR(__xludf.DUMMYFUNCTION("""COMPUTED_VALUE"""),"VeloxcityX")</f>
        <v>VeloxcityX</v>
      </c>
      <c r="D814" s="30" t="str">
        <f>IFERROR(__xludf.DUMMYFUNCTION("""COMPUTED_VALUE"""),"Rad Lads")</f>
        <v>Rad Lads</v>
      </c>
      <c r="E814" s="30">
        <f>IFERROR(__xludf.DUMMYFUNCTION("""COMPUTED_VALUE"""),34.0)</f>
        <v>34</v>
      </c>
      <c r="F814" s="30">
        <f>IFERROR(__xludf.DUMMYFUNCTION("""COMPUTED_VALUE"""),17.0)</f>
        <v>17</v>
      </c>
      <c r="G814" s="42">
        <f>IFERROR(__xludf.DUMMYFUNCTION("""COMPUTED_VALUE"""),17.0)</f>
        <v>17</v>
      </c>
      <c r="H814" s="42">
        <f>IFERROR(__xludf.DUMMYFUNCTION("""COMPUTED_VALUE"""),0.5)</f>
        <v>0.5</v>
      </c>
      <c r="I814" s="42">
        <f>IFERROR(__xludf.DUMMYFUNCTION("""COMPUTED_VALUE"""),0.4117647058823529)</f>
        <v>0.4117647059</v>
      </c>
      <c r="J814" s="30">
        <f>IFERROR(__xludf.DUMMYFUNCTION("""COMPUTED_VALUE"""),343.44117647058823)</f>
        <v>343.4411765</v>
      </c>
      <c r="K814" s="30">
        <f>IFERROR(__xludf.DUMMYFUNCTION("""COMPUTED_VALUE"""),0.8235294117647058)</f>
        <v>0.8235294118</v>
      </c>
      <c r="L814" s="30">
        <f>IFERROR(__xludf.DUMMYFUNCTION("""COMPUTED_VALUE"""),0.7941176470588235)</f>
        <v>0.7941176471</v>
      </c>
      <c r="M814" s="30">
        <f>IFERROR(__xludf.DUMMYFUNCTION("""COMPUTED_VALUE"""),1.2058823529411764)</f>
        <v>1.205882353</v>
      </c>
      <c r="N814" s="30">
        <f>IFERROR(__xludf.DUMMYFUNCTION("""COMPUTED_VALUE"""),2.0)</f>
        <v>2</v>
      </c>
      <c r="O814" s="30">
        <f>IFERROR(__xludf.DUMMYFUNCTION("""COMPUTED_VALUE"""),325.343137254902)</f>
        <v>325.3431373</v>
      </c>
      <c r="P814" s="30">
        <f>IFERROR(__xludf.DUMMYFUNCTION("""COMPUTED_VALUE"""),0.8529411764705881)</f>
        <v>0.8529411765</v>
      </c>
      <c r="Q814" s="30">
        <f>IFERROR(__xludf.DUMMYFUNCTION("""COMPUTED_VALUE"""),0.5588235294117647)</f>
        <v>0.5588235294</v>
      </c>
      <c r="R814" s="30">
        <f>IFERROR(__xludf.DUMMYFUNCTION("""COMPUTED_VALUE"""),1.0098039215686276)</f>
        <v>1.009803922</v>
      </c>
      <c r="S814" s="30">
        <f>IFERROR(__xludf.DUMMYFUNCTION("""COMPUTED_VALUE"""),2.0490196078431375)</f>
        <v>2.049019608</v>
      </c>
      <c r="T814" s="30">
        <f>IFERROR(__xludf.DUMMYFUNCTION("""COMPUTED_VALUE"""),322.26575248247445)</f>
        <v>322.2657525</v>
      </c>
      <c r="U814" s="30">
        <f>IFERROR(__xludf.DUMMYFUNCTION("""COMPUTED_VALUE"""),0.7967566738097785)</f>
        <v>0.7967566738</v>
      </c>
      <c r="V814" s="30">
        <f>IFERROR(__xludf.DUMMYFUNCTION("""COMPUTED_VALUE"""),0.5412867638992183)</f>
        <v>0.5412867639</v>
      </c>
      <c r="W814" s="30">
        <f>IFERROR(__xludf.DUMMYFUNCTION("""COMPUTED_VALUE"""),1.0800045064523032)</f>
        <v>1.080004506</v>
      </c>
      <c r="X814" s="30">
        <f>IFERROR(__xludf.DUMMYFUNCTION("""COMPUTED_VALUE"""),2.231305985032829)</f>
        <v>2.231305985</v>
      </c>
      <c r="Y814" s="30">
        <f>IFERROR(__xludf.DUMMYFUNCTION("""COMPUTED_VALUE"""),331.9615472030136)</f>
        <v>331.9615472</v>
      </c>
      <c r="Z814" s="30">
        <f>IFERROR(__xludf.DUMMYFUNCTION("""COMPUTED_VALUE"""),0.8505805649441144)</f>
        <v>0.8505805649</v>
      </c>
      <c r="AA814" s="30">
        <f>IFERROR(__xludf.DUMMYFUNCTION("""COMPUTED_VALUE"""),0.5517301950850911)</f>
        <v>0.5517301951</v>
      </c>
      <c r="AB814" s="30">
        <f>IFERROR(__xludf.DUMMYFUNCTION("""COMPUTED_VALUE"""),1.0797819620997011)</f>
        <v>1.079781962</v>
      </c>
      <c r="AC814" s="30">
        <f>IFERROR(__xludf.DUMMYFUNCTION("""COMPUTED_VALUE"""),2.343325066044564)</f>
        <v>2.343325066</v>
      </c>
      <c r="AD814" s="30">
        <f>IFERROR(__xludf.DUMMYFUNCTION("""COMPUTED_VALUE"""),1.0345812018418934)</f>
        <v>1.034581202</v>
      </c>
      <c r="AE814" s="30">
        <f>IFERROR(__xludf.DUMMYFUNCTION("""COMPUTED_VALUE"""),0.9681968360267132)</f>
        <v>0.968196836</v>
      </c>
      <c r="AF814" s="30">
        <f>IFERROR(__xludf.DUMMYFUNCTION("""COMPUTED_VALUE"""),1.439322433560755)</f>
        <v>1.439322434</v>
      </c>
      <c r="AG814" s="30">
        <f>IFERROR(__xludf.DUMMYFUNCTION("""COMPUTED_VALUE"""),1.116783198152584)</f>
        <v>1.116783198</v>
      </c>
      <c r="AH814" s="30">
        <f>IFERROR(__xludf.DUMMYFUNCTION("""COMPUTED_VALUE"""),0.8534880751205027)</f>
        <v>0.8534880751</v>
      </c>
      <c r="AI814" s="30">
        <f>IFERROR(__xludf.DUMMYFUNCTION("""COMPUTED_VALUE"""),1.0095492144254294)</f>
        <v>1.009549214</v>
      </c>
      <c r="AJ814" s="30">
        <f>IFERROR(__xludf.DUMMYFUNCTION("""COMPUTED_VALUE"""),1.070516513394431)</f>
        <v>1.070516513</v>
      </c>
      <c r="AK814" s="30">
        <f>IFERROR(__xludf.DUMMYFUNCTION("""COMPUTED_VALUE"""),1.0323982899308648)</f>
        <v>1.03239829</v>
      </c>
      <c r="AL814" s="30">
        <f>IFERROR(__xludf.DUMMYFUNCTION("""COMPUTED_VALUE"""),0.9349997296638356)</f>
        <v>0.9349997297</v>
      </c>
      <c r="AM814" s="30">
        <f>IFERROR(__xludf.DUMMYFUNCTION("""COMPUTED_VALUE"""),0.918305074063157)</f>
        <v>0.9183050741</v>
      </c>
      <c r="AN814" s="30">
        <f>IFERROR(__xludf.DUMMYFUNCTION("""COMPUTED_VALUE"""),1.0799263334729419)</f>
        <v>1.079926333</v>
      </c>
      <c r="AO814" s="30">
        <f>IFERROR(__xludf.DUMMYFUNCTION("""COMPUTED_VALUE"""),1.025714450816318)</f>
        <v>1.025714451</v>
      </c>
      <c r="AP814" s="30">
        <f>IFERROR(__xludf.DUMMYFUNCTION("""COMPUTED_VALUE"""),1.4757809184012054)</f>
        <v>1.475780918</v>
      </c>
      <c r="AQ814" s="30">
        <f>IFERROR(__xludf.DUMMYFUNCTION("""COMPUTED_VALUE"""),1.151427093120354)</f>
        <v>1.151427093</v>
      </c>
      <c r="AR814" s="30">
        <f>IFERROR(__xludf.DUMMYFUNCTION("""COMPUTED_VALUE"""),0.9079425042330385)</f>
        <v>0.9079425042</v>
      </c>
      <c r="AS814" s="30">
        <f>IFERROR(__xludf.DUMMYFUNCTION("""COMPUTED_VALUE"""),95.0)</f>
        <v>95</v>
      </c>
      <c r="AT814" s="30">
        <f>IFERROR(__xludf.DUMMYFUNCTION("""COMPUTED_VALUE"""),0.5355338141416844)</f>
        <v>0.5355338141</v>
      </c>
      <c r="AU814" s="30">
        <f>IFERROR(__xludf.DUMMYFUNCTION("""COMPUTED_VALUE"""),4.4079062277210035)</f>
        <v>4.407906228</v>
      </c>
      <c r="AV814" s="32">
        <f>IFERROR(__xludf.DUMMYFUNCTION("""COMPUTED_VALUE"""),59.09725221226908)</f>
        <v>59.09725221</v>
      </c>
      <c r="AW814" s="32">
        <f>IFERROR(__xludf.DUMMYFUNCTION("""COMPUTED_VALUE"""),2.793529847556624)</f>
        <v>2.793529848</v>
      </c>
      <c r="AX814" s="32">
        <f>IFERROR(__xludf.DUMMYFUNCTION("""COMPUTED_VALUE"""),61.45268606759018)</f>
        <v>61.45268607</v>
      </c>
      <c r="AY814" s="32">
        <f>IFERROR(__xludf.DUMMYFUNCTION("""COMPUTED_VALUE"""),3.0917862349130183)</f>
        <v>3.091786235</v>
      </c>
      <c r="AZ814" s="30">
        <f>IFERROR(__xludf.DUMMYFUNCTION("""COMPUTED_VALUE"""),0.29825638735639437)</f>
        <v>0.2982563874</v>
      </c>
      <c r="BA814" s="30">
        <f>IFERROR(__xludf.DUMMYFUNCTION("""COMPUTED_VALUE"""),3200.0)</f>
        <v>3200</v>
      </c>
    </row>
    <row r="815">
      <c r="A815" s="71" t="str">
        <f>IFERROR(__xludf.DUMMYFUNCTION("""COMPUTED_VALUE"""),"Contender")</f>
        <v>Contender</v>
      </c>
      <c r="B815" s="71" t="str">
        <f>IFERROR(__xludf.DUMMYFUNCTION("""COMPUTED_VALUE"""),"RSC005550")</f>
        <v>RSC005550</v>
      </c>
      <c r="C815" s="30" t="str">
        <f>IFERROR(__xludf.DUMMYFUNCTION("""COMPUTED_VALUE"""),"Shraggaholic")</f>
        <v>Shraggaholic</v>
      </c>
      <c r="D815" s="30" t="str">
        <f>IFERROR(__xludf.DUMMYFUNCTION("""COMPUTED_VALUE"""),"Ice")</f>
        <v>Ice</v>
      </c>
      <c r="E815" s="30">
        <f>IFERROR(__xludf.DUMMYFUNCTION("""COMPUTED_VALUE"""),44.0)</f>
        <v>44</v>
      </c>
      <c r="F815" s="30">
        <f>IFERROR(__xludf.DUMMYFUNCTION("""COMPUTED_VALUE"""),28.0)</f>
        <v>28</v>
      </c>
      <c r="G815" s="42">
        <f>IFERROR(__xludf.DUMMYFUNCTION("""COMPUTED_VALUE"""),16.0)</f>
        <v>16</v>
      </c>
      <c r="H815" s="42">
        <f>IFERROR(__xludf.DUMMYFUNCTION("""COMPUTED_VALUE"""),0.6363636363636364)</f>
        <v>0.6363636364</v>
      </c>
      <c r="I815" s="42">
        <f>IFERROR(__xludf.DUMMYFUNCTION("""COMPUTED_VALUE"""),0.3402061855670103)</f>
        <v>0.3402061856</v>
      </c>
      <c r="J815" s="30">
        <f>IFERROR(__xludf.DUMMYFUNCTION("""COMPUTED_VALUE"""),311.5)</f>
        <v>311.5</v>
      </c>
      <c r="K815" s="30">
        <f>IFERROR(__xludf.DUMMYFUNCTION("""COMPUTED_VALUE"""),0.75)</f>
        <v>0.75</v>
      </c>
      <c r="L815" s="30">
        <f>IFERROR(__xludf.DUMMYFUNCTION("""COMPUTED_VALUE"""),0.45454545454545453)</f>
        <v>0.4545454545</v>
      </c>
      <c r="M815" s="30">
        <f>IFERROR(__xludf.DUMMYFUNCTION("""COMPUTED_VALUE"""),1.1363636363636365)</f>
        <v>1.136363636</v>
      </c>
      <c r="N815" s="30">
        <f>IFERROR(__xludf.DUMMYFUNCTION("""COMPUTED_VALUE"""),2.2045454545454546)</f>
        <v>2.204545455</v>
      </c>
      <c r="O815" s="30">
        <f>IFERROR(__xludf.DUMMYFUNCTION("""COMPUTED_VALUE"""),312.4924242424243)</f>
        <v>312.4924242</v>
      </c>
      <c r="P815" s="30">
        <f>IFERROR(__xludf.DUMMYFUNCTION("""COMPUTED_VALUE"""),0.6818181818181818)</f>
        <v>0.6818181818</v>
      </c>
      <c r="Q815" s="30">
        <f>IFERROR(__xludf.DUMMYFUNCTION("""COMPUTED_VALUE"""),0.515151515151515)</f>
        <v>0.5151515152</v>
      </c>
      <c r="R815" s="30">
        <f>IFERROR(__xludf.DUMMYFUNCTION("""COMPUTED_VALUE"""),1.0606060606060606)</f>
        <v>1.060606061</v>
      </c>
      <c r="S815" s="30">
        <f>IFERROR(__xludf.DUMMYFUNCTION("""COMPUTED_VALUE"""),2.356060606060606)</f>
        <v>2.356060606</v>
      </c>
      <c r="T815" s="30">
        <f>IFERROR(__xludf.DUMMYFUNCTION("""COMPUTED_VALUE"""),316.6916162024378)</f>
        <v>316.6916162</v>
      </c>
      <c r="U815" s="30">
        <f>IFERROR(__xludf.DUMMYFUNCTION("""COMPUTED_VALUE"""),0.7812009811475559)</f>
        <v>0.7812009811</v>
      </c>
      <c r="V815" s="30">
        <f>IFERROR(__xludf.DUMMYFUNCTION("""COMPUTED_VALUE"""),0.5034051839490215)</f>
        <v>0.5034051839</v>
      </c>
      <c r="W815" s="30">
        <f>IFERROR(__xludf.DUMMYFUNCTION("""COMPUTED_VALUE"""),1.0501759389368817)</f>
        <v>1.050175939</v>
      </c>
      <c r="X815" s="30">
        <f>IFERROR(__xludf.DUMMYFUNCTION("""COMPUTED_VALUE"""),2.190183453080378)</f>
        <v>2.190183453</v>
      </c>
      <c r="Y815" s="30">
        <f>IFERROR(__xludf.DUMMYFUNCTION("""COMPUTED_VALUE"""),331.23149383989204)</f>
        <v>331.2314938</v>
      </c>
      <c r="Z815" s="30">
        <f>IFERROR(__xludf.DUMMYFUNCTION("""COMPUTED_VALUE"""),0.8666364839785959)</f>
        <v>0.866636484</v>
      </c>
      <c r="AA815" s="30">
        <f>IFERROR(__xludf.DUMMYFUNCTION("""COMPUTED_VALUE"""),0.5606441809852926)</f>
        <v>0.560644181</v>
      </c>
      <c r="AB815" s="30">
        <f>IFERROR(__xludf.DUMMYFUNCTION("""COMPUTED_VALUE"""),1.0264771783970823)</f>
        <v>1.026477178</v>
      </c>
      <c r="AC815" s="30">
        <f>IFERROR(__xludf.DUMMYFUNCTION("""COMPUTED_VALUE"""),2.3243946308578107)</f>
        <v>2.324394631</v>
      </c>
      <c r="AD815" s="30">
        <f>IFERROR(__xludf.DUMMYFUNCTION("""COMPUTED_VALUE"""),0.9404298981019308)</f>
        <v>0.9404298981</v>
      </c>
      <c r="AE815" s="30">
        <f>IFERROR(__xludf.DUMMYFUNCTION("""COMPUTED_VALUE"""),0.8654147544733686)</f>
        <v>0.8654147545</v>
      </c>
      <c r="AF815" s="30">
        <f>IFERROR(__xludf.DUMMYFUNCTION("""COMPUTED_VALUE"""),0.8107556806290631)</f>
        <v>0.8107556806</v>
      </c>
      <c r="AG815" s="30">
        <f>IFERROR(__xludf.DUMMYFUNCTION("""COMPUTED_VALUE"""),1.1070520224698515)</f>
        <v>1.107052022</v>
      </c>
      <c r="AH815" s="30">
        <f>IFERROR(__xludf.DUMMYFUNCTION("""COMPUTED_VALUE"""),0.94843854192344)</f>
        <v>0.9484385419</v>
      </c>
      <c r="AI815" s="30">
        <f>IFERROR(__xludf.DUMMYFUNCTION("""COMPUTED_VALUE"""),0.9867404385049169)</f>
        <v>0.9867404385</v>
      </c>
      <c r="AJ815" s="30">
        <f>IFERROR(__xludf.DUMMYFUNCTION("""COMPUTED_VALUE"""),0.8727820346777031)</f>
        <v>0.8727820347</v>
      </c>
      <c r="AK815" s="30">
        <f>IFERROR(__xludf.DUMMYFUNCTION("""COMPUTED_VALUE"""),1.0233337509763967)</f>
        <v>1.023333751</v>
      </c>
      <c r="AL815" s="30">
        <f>IFERROR(__xludf.DUMMYFUNCTION("""COMPUTED_VALUE"""),1.0099317850299803)</f>
        <v>1.009931785</v>
      </c>
      <c r="AM815" s="30">
        <f>IFERROR(__xludf.DUMMYFUNCTION("""COMPUTED_VALUE"""),1.0757366478807657)</f>
        <v>1.075736648</v>
      </c>
      <c r="AN815" s="30">
        <f>IFERROR(__xludf.DUMMYFUNCTION("""COMPUTED_VALUE"""),0.9794895776151348)</f>
        <v>0.9794895776</v>
      </c>
      <c r="AO815" s="30">
        <f>IFERROR(__xludf.DUMMYFUNCTION("""COMPUTED_VALUE"""),0.9341328034220041)</f>
        <v>0.9341328034</v>
      </c>
      <c r="AP815" s="30">
        <f>IFERROR(__xludf.DUMMYFUNCTION("""COMPUTED_VALUE"""),0.8447230846067506)</f>
        <v>0.8447230846</v>
      </c>
      <c r="AQ815" s="30">
        <f>IFERROR(__xludf.DUMMYFUNCTION("""COMPUTED_VALUE"""),1.0850477041599789)</f>
        <v>1.085047704</v>
      </c>
      <c r="AR815" s="30">
        <f>IFERROR(__xludf.DUMMYFUNCTION("""COMPUTED_VALUE"""),1.000800260347781)</f>
        <v>1.00080026</v>
      </c>
      <c r="AS815" s="30">
        <f>IFERROR(__xludf.DUMMYFUNCTION("""COMPUTED_VALUE"""),110.0)</f>
        <v>110</v>
      </c>
      <c r="AT815" s="30">
        <f>IFERROR(__xludf.DUMMYFUNCTION("""COMPUTED_VALUE"""),0.5768586000277041)</f>
        <v>0.5768586</v>
      </c>
      <c r="AU815" s="30">
        <f>IFERROR(__xludf.DUMMYFUNCTION("""COMPUTED_VALUE"""),3.448907917553774)</f>
        <v>3.448907918</v>
      </c>
      <c r="AV815" s="32">
        <f>IFERROR(__xludf.DUMMYFUNCTION("""COMPUTED_VALUE"""),45.2282794892615)</f>
        <v>45.22827949</v>
      </c>
      <c r="AW815" s="32">
        <f>IFERROR(__xludf.DUMMYFUNCTION("""COMPUTED_VALUE"""),-2.3567442165113643)</f>
        <v>-2.356744217</v>
      </c>
      <c r="AX815" s="32">
        <f>IFERROR(__xludf.DUMMYFUNCTION("""COMPUTED_VALUE"""),42.26649566202971)</f>
        <v>42.26649566</v>
      </c>
      <c r="AY815" s="32">
        <f>IFERROR(__xludf.DUMMYFUNCTION("""COMPUTED_VALUE"""),-2.6417888548080297)</f>
        <v>-2.641788855</v>
      </c>
      <c r="AZ815" s="30">
        <f>IFERROR(__xludf.DUMMYFUNCTION("""COMPUTED_VALUE"""),0.2850446382966654)</f>
        <v>0.2850446383</v>
      </c>
      <c r="BA815" s="30">
        <f>IFERROR(__xludf.DUMMYFUNCTION("""COMPUTED_VALUE"""),3200.0)</f>
        <v>3200</v>
      </c>
    </row>
    <row r="816">
      <c r="A816" s="71" t="str">
        <f>IFERROR(__xludf.DUMMYFUNCTION("""COMPUTED_VALUE"""),"Contender")</f>
        <v>Contender</v>
      </c>
      <c r="B816" s="71" t="str">
        <f>IFERROR(__xludf.DUMMYFUNCTION("""COMPUTED_VALUE"""),"RSC006441")</f>
        <v>RSC006441</v>
      </c>
      <c r="C816" s="30" t="str">
        <f>IFERROR(__xludf.DUMMYFUNCTION("""COMPUTED_VALUE"""),"tvitchyramrod420")</f>
        <v>tvitchyramrod420</v>
      </c>
      <c r="D816" s="30" t="str">
        <f>IFERROR(__xludf.DUMMYFUNCTION("""COMPUTED_VALUE"""),"Legionaries")</f>
        <v>Legionaries</v>
      </c>
      <c r="E816" s="30">
        <f>IFERROR(__xludf.DUMMYFUNCTION("""COMPUTED_VALUE"""),33.0)</f>
        <v>33</v>
      </c>
      <c r="F816" s="30">
        <f>IFERROR(__xludf.DUMMYFUNCTION("""COMPUTED_VALUE"""),12.0)</f>
        <v>12</v>
      </c>
      <c r="G816" s="42">
        <f>IFERROR(__xludf.DUMMYFUNCTION("""COMPUTED_VALUE"""),21.0)</f>
        <v>21</v>
      </c>
      <c r="H816" s="42">
        <f>IFERROR(__xludf.DUMMYFUNCTION("""COMPUTED_VALUE"""),0.36363636363636365)</f>
        <v>0.3636363636</v>
      </c>
      <c r="I816" s="42">
        <f>IFERROR(__xludf.DUMMYFUNCTION("""COMPUTED_VALUE"""),0.3278688524590164)</f>
        <v>0.3278688525</v>
      </c>
      <c r="J816" s="30">
        <f>IFERROR(__xludf.DUMMYFUNCTION("""COMPUTED_VALUE"""),299.7878787878788)</f>
        <v>299.7878788</v>
      </c>
      <c r="K816" s="30">
        <f>IFERROR(__xludf.DUMMYFUNCTION("""COMPUTED_VALUE"""),0.6060606060606061)</f>
        <v>0.6060606061</v>
      </c>
      <c r="L816" s="30">
        <f>IFERROR(__xludf.DUMMYFUNCTION("""COMPUTED_VALUE"""),0.2727272727272727)</f>
        <v>0.2727272727</v>
      </c>
      <c r="M816" s="30">
        <f>IFERROR(__xludf.DUMMYFUNCTION("""COMPUTED_VALUE"""),1.303030303030303)</f>
        <v>1.303030303</v>
      </c>
      <c r="N816" s="30">
        <f>IFERROR(__xludf.DUMMYFUNCTION("""COMPUTED_VALUE"""),1.8484848484848484)</f>
        <v>1.848484848</v>
      </c>
      <c r="O816" s="30">
        <f>IFERROR(__xludf.DUMMYFUNCTION("""COMPUTED_VALUE"""),350.5454545454546)</f>
        <v>350.5454545</v>
      </c>
      <c r="P816" s="30">
        <f>IFERROR(__xludf.DUMMYFUNCTION("""COMPUTED_VALUE"""),1.0404040404040404)</f>
        <v>1.04040404</v>
      </c>
      <c r="Q816" s="30">
        <f>IFERROR(__xludf.DUMMYFUNCTION("""COMPUTED_VALUE"""),0.6868686868686869)</f>
        <v>0.6868686869</v>
      </c>
      <c r="R816" s="30">
        <f>IFERROR(__xludf.DUMMYFUNCTION("""COMPUTED_VALUE"""),0.8585858585858588)</f>
        <v>0.8585858586</v>
      </c>
      <c r="S816" s="30">
        <f>IFERROR(__xludf.DUMMYFUNCTION("""COMPUTED_VALUE"""),2.91919191919192)</f>
        <v>2.919191919</v>
      </c>
      <c r="T816" s="30">
        <f>IFERROR(__xludf.DUMMYFUNCTION("""COMPUTED_VALUE"""),341.8563305804431)</f>
        <v>341.8563306</v>
      </c>
      <c r="U816" s="30">
        <f>IFERROR(__xludf.DUMMYFUNCTION("""COMPUTED_VALUE"""),0.900122559559311)</f>
        <v>0.9001225596</v>
      </c>
      <c r="V816" s="30">
        <f>IFERROR(__xludf.DUMMYFUNCTION("""COMPUTED_VALUE"""),0.6100476016741111)</f>
        <v>0.6100476017</v>
      </c>
      <c r="W816" s="30">
        <f>IFERROR(__xludf.DUMMYFUNCTION("""COMPUTED_VALUE"""),1.0504293823222697)</f>
        <v>1.050429382</v>
      </c>
      <c r="X816" s="30">
        <f>IFERROR(__xludf.DUMMYFUNCTION("""COMPUTED_VALUE"""),2.4854228998273373)</f>
        <v>2.4854229</v>
      </c>
      <c r="Y816" s="30">
        <f>IFERROR(__xludf.DUMMYFUNCTION("""COMPUTED_VALUE"""),325.5620315263111)</f>
        <v>325.5620315</v>
      </c>
      <c r="Z816" s="30">
        <f>IFERROR(__xludf.DUMMYFUNCTION("""COMPUTED_VALUE"""),0.7936446170269528)</f>
        <v>0.793644617</v>
      </c>
      <c r="AA816" s="30">
        <f>IFERROR(__xludf.DUMMYFUNCTION("""COMPUTED_VALUE"""),0.519614343733886)</f>
        <v>0.5196143437</v>
      </c>
      <c r="AB816" s="30">
        <f>IFERROR(__xludf.DUMMYFUNCTION("""COMPUTED_VALUE"""),1.1251390298728854)</f>
        <v>1.12513903</v>
      </c>
      <c r="AC816" s="30">
        <f>IFERROR(__xludf.DUMMYFUNCTION("""COMPUTED_VALUE"""),2.199446226191457)</f>
        <v>2.199446226</v>
      </c>
      <c r="AD816" s="30">
        <f>IFERROR(__xludf.DUMMYFUNCTION("""COMPUTED_VALUE"""),0.9208318223792958)</f>
        <v>0.9208318224</v>
      </c>
      <c r="AE816" s="30">
        <f>IFERROR(__xludf.DUMMYFUNCTION("""COMPUTED_VALUE"""),0.7636423067177734)</f>
        <v>0.7636423067</v>
      </c>
      <c r="AF816" s="30">
        <f>IFERROR(__xludf.DUMMYFUNCTION("""COMPUTED_VALUE"""),0.5248647886959537)</f>
        <v>0.5248647887</v>
      </c>
      <c r="AG816" s="30">
        <f>IFERROR(__xludf.DUMMYFUNCTION("""COMPUTED_VALUE"""),1.1581060370623844)</f>
        <v>1.158106037</v>
      </c>
      <c r="AH816" s="30">
        <f>IFERROR(__xludf.DUMMYFUNCTION("""COMPUTED_VALUE"""),0.8404319353084023)</f>
        <v>0.8404319353</v>
      </c>
      <c r="AI816" s="30">
        <f>IFERROR(__xludf.DUMMYFUNCTION("""COMPUTED_VALUE"""),1.0254174727443488)</f>
        <v>1.025417473</v>
      </c>
      <c r="AJ816" s="30">
        <f>IFERROR(__xludf.DUMMYFUNCTION("""COMPUTED_VALUE"""),1.1558470892157282)</f>
        <v>1.155847089</v>
      </c>
      <c r="AK816" s="30">
        <f>IFERROR(__xludf.DUMMYFUNCTION("""COMPUTED_VALUE"""),1.1259263785051543)</f>
        <v>1.125926379</v>
      </c>
      <c r="AL816" s="30">
        <f>IFERROR(__xludf.DUMMYFUNCTION("""COMPUTED_VALUE"""),0.8173665674580743)</f>
        <v>0.8173665675</v>
      </c>
      <c r="AM816" s="30">
        <f>IFERROR(__xludf.DUMMYFUNCTION("""COMPUTED_VALUE"""),1.1745252364878092)</f>
        <v>1.174525236</v>
      </c>
      <c r="AN816" s="30">
        <f>IFERROR(__xludf.DUMMYFUNCTION("""COMPUTED_VALUE"""),0.9426616461254467)</f>
        <v>0.9426616461</v>
      </c>
      <c r="AO816" s="30">
        <f>IFERROR(__xludf.DUMMYFUNCTION("""COMPUTED_VALUE"""),0.7548547906440437)</f>
        <v>0.7548547906</v>
      </c>
      <c r="AP816" s="30">
        <f>IFERROR(__xludf.DUMMYFUNCTION("""COMPUTED_VALUE"""),0.5068338507640503)</f>
        <v>0.5068338508</v>
      </c>
      <c r="AQ816" s="30">
        <f>IFERROR(__xludf.DUMMYFUNCTION("""COMPUTED_VALUE"""),1.2441880341034424)</f>
        <v>1.244188034</v>
      </c>
      <c r="AR816" s="30">
        <f>IFERROR(__xludf.DUMMYFUNCTION("""COMPUTED_VALUE"""),0.8391589811850809)</f>
        <v>0.8391589812</v>
      </c>
      <c r="AS816" s="30">
        <f>IFERROR(__xludf.DUMMYFUNCTION("""COMPUTED_VALUE"""),58.0)</f>
        <v>58</v>
      </c>
      <c r="AT816" s="30">
        <f>IFERROR(__xludf.DUMMYFUNCTION("""COMPUTED_VALUE"""),0.28801332943866326)</f>
        <v>0.2880133294</v>
      </c>
      <c r="AU816" s="30">
        <f>IFERROR(__xludf.DUMMYFUNCTION("""COMPUTED_VALUE"""),2.394022537154804)</f>
        <v>2.394022537</v>
      </c>
      <c r="AV816" s="32">
        <f>IFERROR(__xludf.DUMMYFUNCTION("""COMPUTED_VALUE"""),29.972594039616034)</f>
        <v>29.97259404</v>
      </c>
      <c r="AW816" s="32">
        <f>IFERROR(__xludf.DUMMYFUNCTION("""COMPUTED_VALUE"""),-4.727283782133865)</f>
        <v>-4.727283782</v>
      </c>
      <c r="AX816" s="32">
        <f>IFERROR(__xludf.DUMMYFUNCTION("""COMPUTED_VALUE"""),28.927634850120263)</f>
        <v>28.92763485</v>
      </c>
      <c r="AY816" s="32">
        <f>IFERROR(__xludf.DUMMYFUNCTION("""COMPUTED_VALUE"""),-5.008923515777323)</f>
        <v>-5.008923516</v>
      </c>
      <c r="AZ816" s="30">
        <f>IFERROR(__xludf.DUMMYFUNCTION("""COMPUTED_VALUE"""),0.2816397336434582)</f>
        <v>0.2816397336</v>
      </c>
      <c r="BA816" s="30">
        <f>IFERROR(__xludf.DUMMYFUNCTION("""COMPUTED_VALUE"""),3200.0)</f>
        <v>3200</v>
      </c>
    </row>
    <row r="817">
      <c r="A817" s="71" t="str">
        <f>IFERROR(__xludf.DUMMYFUNCTION("""COMPUTED_VALUE"""),"Contender")</f>
        <v>Contender</v>
      </c>
      <c r="B817" s="71" t="str">
        <f>IFERROR(__xludf.DUMMYFUNCTION("""COMPUTED_VALUE"""),"RSC005759")</f>
        <v>RSC005759</v>
      </c>
      <c r="C817" s="30" t="str">
        <f>IFERROR(__xludf.DUMMYFUNCTION("""COMPUTED_VALUE"""),"XerNaut")</f>
        <v>XerNaut</v>
      </c>
      <c r="D817" s="30" t="str">
        <f>IFERROR(__xludf.DUMMYFUNCTION("""COMPUTED_VALUE"""),"Devoured")</f>
        <v>Devoured</v>
      </c>
      <c r="E817" s="30">
        <f>IFERROR(__xludf.DUMMYFUNCTION("""COMPUTED_VALUE"""),41.0)</f>
        <v>41</v>
      </c>
      <c r="F817" s="30">
        <f>IFERROR(__xludf.DUMMYFUNCTION("""COMPUTED_VALUE"""),22.0)</f>
        <v>22</v>
      </c>
      <c r="G817" s="42">
        <f>IFERROR(__xludf.DUMMYFUNCTION("""COMPUTED_VALUE"""),19.0)</f>
        <v>19</v>
      </c>
      <c r="H817" s="42">
        <f>IFERROR(__xludf.DUMMYFUNCTION("""COMPUTED_VALUE"""),0.5365853658536586)</f>
        <v>0.5365853659</v>
      </c>
      <c r="I817" s="42">
        <f>IFERROR(__xludf.DUMMYFUNCTION("""COMPUTED_VALUE"""),0.396694214876033)</f>
        <v>0.3966942149</v>
      </c>
      <c r="J817" s="30">
        <f>IFERROR(__xludf.DUMMYFUNCTION("""COMPUTED_VALUE"""),362.0975609756098)</f>
        <v>362.097561</v>
      </c>
      <c r="K817" s="30">
        <f>IFERROR(__xludf.DUMMYFUNCTION("""COMPUTED_VALUE"""),1.170731707317073)</f>
        <v>1.170731707</v>
      </c>
      <c r="L817" s="30">
        <f>IFERROR(__xludf.DUMMYFUNCTION("""COMPUTED_VALUE"""),0.43902439024390244)</f>
        <v>0.4390243902</v>
      </c>
      <c r="M817" s="30">
        <f>IFERROR(__xludf.DUMMYFUNCTION("""COMPUTED_VALUE"""),1.048780487804878)</f>
        <v>1.048780488</v>
      </c>
      <c r="N817" s="30">
        <f>IFERROR(__xludf.DUMMYFUNCTION("""COMPUTED_VALUE"""),2.951219512195122)</f>
        <v>2.951219512</v>
      </c>
      <c r="O817" s="30">
        <f>IFERROR(__xludf.DUMMYFUNCTION("""COMPUTED_VALUE"""),333.3658536585366)</f>
        <v>333.3658537</v>
      </c>
      <c r="P817" s="30">
        <f>IFERROR(__xludf.DUMMYFUNCTION("""COMPUTED_VALUE"""),0.8699186991869916)</f>
        <v>0.8699186992</v>
      </c>
      <c r="Q817" s="30">
        <f>IFERROR(__xludf.DUMMYFUNCTION("""COMPUTED_VALUE"""),0.5853658536585367)</f>
        <v>0.5853658537</v>
      </c>
      <c r="R817" s="30">
        <f>IFERROR(__xludf.DUMMYFUNCTION("""COMPUTED_VALUE"""),1.0650406504065038)</f>
        <v>1.06504065</v>
      </c>
      <c r="S817" s="30">
        <f>IFERROR(__xludf.DUMMYFUNCTION("""COMPUTED_VALUE"""),2.211382113821138)</f>
        <v>2.211382114</v>
      </c>
      <c r="T817" s="30">
        <f>IFERROR(__xludf.DUMMYFUNCTION("""COMPUTED_VALUE"""),328.31908356659926)</f>
        <v>328.3190836</v>
      </c>
      <c r="U817" s="30">
        <f>IFERROR(__xludf.DUMMYFUNCTION("""COMPUTED_VALUE"""),0.8213629271431224)</f>
        <v>0.8213629271</v>
      </c>
      <c r="V817" s="30">
        <f>IFERROR(__xludf.DUMMYFUNCTION("""COMPUTED_VALUE"""),0.5467595805795042)</f>
        <v>0.5467595806</v>
      </c>
      <c r="W817" s="30">
        <f>IFERROR(__xludf.DUMMYFUNCTION("""COMPUTED_VALUE"""),1.0852240880251272)</f>
        <v>1.085224088</v>
      </c>
      <c r="X817" s="30">
        <f>IFERROR(__xludf.DUMMYFUNCTION("""COMPUTED_VALUE"""),2.294670381737108)</f>
        <v>2.294670382</v>
      </c>
      <c r="Y817" s="30">
        <f>IFERROR(__xludf.DUMMYFUNCTION("""COMPUTED_VALUE"""),330.8581272946575)</f>
        <v>330.8581273</v>
      </c>
      <c r="Z817" s="30">
        <f>IFERROR(__xludf.DUMMYFUNCTION("""COMPUTED_VALUE"""),0.8493731596644198)</f>
        <v>0.8493731597</v>
      </c>
      <c r="AA817" s="30">
        <f>IFERROR(__xludf.DUMMYFUNCTION("""COMPUTED_VALUE"""),0.5554291288788481)</f>
        <v>0.5554291289</v>
      </c>
      <c r="AB817" s="30">
        <f>IFERROR(__xludf.DUMMYFUNCTION("""COMPUTED_VALUE"""),1.056524248798995)</f>
        <v>1.056524249</v>
      </c>
      <c r="AC817" s="30">
        <f>IFERROR(__xludf.DUMMYFUNCTION("""COMPUTED_VALUE"""),2.3129343732504957)</f>
        <v>2.312934373</v>
      </c>
      <c r="AD817" s="30">
        <f>IFERROR(__xludf.DUMMYFUNCTION("""COMPUTED_VALUE"""),1.0944194236254348)</f>
        <v>1.094419424</v>
      </c>
      <c r="AE817" s="30">
        <f>IFERROR(__xludf.DUMMYFUNCTION("""COMPUTED_VALUE"""),1.378347895734802)</f>
        <v>1.378347896</v>
      </c>
      <c r="AF817" s="30">
        <f>IFERROR(__xludf.DUMMYFUNCTION("""COMPUTED_VALUE"""),0.7904237776115336)</f>
        <v>0.7904237776</v>
      </c>
      <c r="AG817" s="30">
        <f>IFERROR(__xludf.DUMMYFUNCTION("""COMPUTED_VALUE"""),0.99267053169587)</f>
        <v>0.9926705317</v>
      </c>
      <c r="AH817" s="30">
        <f>IFERROR(__xludf.DUMMYFUNCTION("""COMPUTED_VALUE"""),1.2759633590673862)</f>
        <v>1.275963359</v>
      </c>
      <c r="AI817" s="30">
        <f>IFERROR(__xludf.DUMMYFUNCTION("""COMPUTED_VALUE"""),1.0153715405060018)</f>
        <v>1.015371541</v>
      </c>
      <c r="AJ817" s="30">
        <f>IFERROR(__xludf.DUMMYFUNCTION("""COMPUTED_VALUE"""),1.0591160989122759)</f>
        <v>1.059116099</v>
      </c>
      <c r="AK817" s="30">
        <f>IFERROR(__xludf.DUMMYFUNCTION("""COMPUTED_VALUE"""),1.0706092301814154)</f>
        <v>1.07060923</v>
      </c>
      <c r="AL817" s="30">
        <f>IFERROR(__xludf.DUMMYFUNCTION("""COMPUTED_VALUE"""),0.9814015945265712)</f>
        <v>0.9814015945</v>
      </c>
      <c r="AM817" s="30">
        <f>IFERROR(__xludf.DUMMYFUNCTION("""COMPUTED_VALUE"""),0.9637036026704108)</f>
        <v>0.9637036027</v>
      </c>
      <c r="AN817" s="30">
        <f>IFERROR(__xludf.DUMMYFUNCTION("""COMPUTED_VALUE"""),1.1385900065986212)</f>
        <v>1.138590007</v>
      </c>
      <c r="AO817" s="30">
        <f>IFERROR(__xludf.DUMMYFUNCTION("""COMPUTED_VALUE"""),1.4581585224148355)</f>
        <v>1.458158522</v>
      </c>
      <c r="AP817" s="30">
        <f>IFERROR(__xludf.DUMMYFUNCTION("""COMPUTED_VALUE"""),0.8158788817177396)</f>
        <v>0.8158788817</v>
      </c>
      <c r="AQ817" s="30">
        <f>IFERROR(__xludf.DUMMYFUNCTION("""COMPUTED_VALUE"""),1.0014196372052098)</f>
        <v>1.001419637</v>
      </c>
      <c r="AR817" s="30">
        <f>IFERROR(__xludf.DUMMYFUNCTION("""COMPUTED_VALUE"""),1.3397688172219226)</f>
        <v>1.339768817</v>
      </c>
      <c r="AS817" s="30">
        <f>IFERROR(__xludf.DUMMYFUNCTION("""COMPUTED_VALUE"""),117.0)</f>
        <v>117</v>
      </c>
      <c r="AT817" s="30">
        <f>IFERROR(__xludf.DUMMYFUNCTION("""COMPUTED_VALUE"""),0.5362992978617306)</f>
        <v>0.5362992979</v>
      </c>
      <c r="AU817" s="30">
        <f>IFERROR(__xludf.DUMMYFUNCTION("""COMPUTED_VALUE"""),4.702777429440258)</f>
        <v>4.702777429</v>
      </c>
      <c r="AV817" s="32">
        <f>IFERROR(__xludf.DUMMYFUNCTION("""COMPUTED_VALUE"""),63.361660824972134)</f>
        <v>63.36166082</v>
      </c>
      <c r="AW817" s="32">
        <f>IFERROR(__xludf.DUMMYFUNCTION("""COMPUTED_VALUE"""),3.372573978096385)</f>
        <v>3.372573978</v>
      </c>
      <c r="AX817" s="32">
        <f>IFERROR(__xludf.DUMMYFUNCTION("""COMPUTED_VALUE"""),64.58132515595429)</f>
        <v>64.58132516</v>
      </c>
      <c r="AY817" s="32">
        <f>IFERROR(__xludf.DUMMYFUNCTION("""COMPUTED_VALUE"""),3.5731960725805685)</f>
        <v>3.573196073</v>
      </c>
      <c r="AZ817" s="30">
        <f>IFERROR(__xludf.DUMMYFUNCTION("""COMPUTED_VALUE"""),0.20062209448418367)</f>
        <v>0.2006220945</v>
      </c>
      <c r="BA817" s="30">
        <f>IFERROR(__xludf.DUMMYFUNCTION("""COMPUTED_VALUE"""),3200.0)</f>
        <v>3200</v>
      </c>
    </row>
    <row r="818">
      <c r="A818" s="71" t="str">
        <f>IFERROR(__xludf.DUMMYFUNCTION("""COMPUTED_VALUE"""),"Contender")</f>
        <v>Contender</v>
      </c>
      <c r="B818" s="71" t="str">
        <f>IFERROR(__xludf.DUMMYFUNCTION("""COMPUTED_VALUE"""),"RSC006381")</f>
        <v>RSC006381</v>
      </c>
      <c r="C818" s="30" t="str">
        <f>IFERROR(__xludf.DUMMYFUNCTION("""COMPUTED_VALUE"""),"YERP_YERP02")</f>
        <v>YERP_YERP02</v>
      </c>
      <c r="D818" s="30" t="str">
        <f>IFERROR(__xludf.DUMMYFUNCTION("""COMPUTED_VALUE"""),"Rad Lads")</f>
        <v>Rad Lads</v>
      </c>
      <c r="E818" s="30">
        <f>IFERROR(__xludf.DUMMYFUNCTION("""COMPUTED_VALUE"""),32.0)</f>
        <v>32</v>
      </c>
      <c r="F818" s="30">
        <f>IFERROR(__xludf.DUMMYFUNCTION("""COMPUTED_VALUE"""),15.0)</f>
        <v>15</v>
      </c>
      <c r="G818" s="42">
        <f>IFERROR(__xludf.DUMMYFUNCTION("""COMPUTED_VALUE"""),17.0)</f>
        <v>17</v>
      </c>
      <c r="H818" s="42">
        <f>IFERROR(__xludf.DUMMYFUNCTION("""COMPUTED_VALUE"""),0.46875)</f>
        <v>0.46875</v>
      </c>
      <c r="I818" s="42">
        <f>IFERROR(__xludf.DUMMYFUNCTION("""COMPUTED_VALUE"""),0.38235294117647056)</f>
        <v>0.3823529412</v>
      </c>
      <c r="J818" s="30">
        <f>IFERROR(__xludf.DUMMYFUNCTION("""COMPUTED_VALUE"""),323.03125)</f>
        <v>323.03125</v>
      </c>
      <c r="K818" s="30">
        <f>IFERROR(__xludf.DUMMYFUNCTION("""COMPUTED_VALUE"""),0.8125)</f>
        <v>0.8125</v>
      </c>
      <c r="L818" s="30">
        <f>IFERROR(__xludf.DUMMYFUNCTION("""COMPUTED_VALUE"""),0.6875)</f>
        <v>0.6875</v>
      </c>
      <c r="M818" s="30">
        <f>IFERROR(__xludf.DUMMYFUNCTION("""COMPUTED_VALUE"""),0.78125)</f>
        <v>0.78125</v>
      </c>
      <c r="N818" s="30">
        <f>IFERROR(__xludf.DUMMYFUNCTION("""COMPUTED_VALUE"""),2.125)</f>
        <v>2.125</v>
      </c>
      <c r="O818" s="30">
        <f>IFERROR(__xludf.DUMMYFUNCTION("""COMPUTED_VALUE"""),327.12499999999994)</f>
        <v>327.125</v>
      </c>
      <c r="P818" s="30">
        <f>IFERROR(__xludf.DUMMYFUNCTION("""COMPUTED_VALUE"""),0.8541666666666666)</f>
        <v>0.8541666667</v>
      </c>
      <c r="Q818" s="30">
        <f>IFERROR(__xludf.DUMMYFUNCTION("""COMPUTED_VALUE"""),0.6249999999999999)</f>
        <v>0.625</v>
      </c>
      <c r="R818" s="30">
        <f>IFERROR(__xludf.DUMMYFUNCTION("""COMPUTED_VALUE"""),0.9270833333333333)</f>
        <v>0.9270833333</v>
      </c>
      <c r="S818" s="30">
        <f>IFERROR(__xludf.DUMMYFUNCTION("""COMPUTED_VALUE"""),2.1875)</f>
        <v>2.1875</v>
      </c>
      <c r="T818" s="30">
        <f>IFERROR(__xludf.DUMMYFUNCTION("""COMPUTED_VALUE"""),332.68028389475325)</f>
        <v>332.6802839</v>
      </c>
      <c r="U818" s="30">
        <f>IFERROR(__xludf.DUMMYFUNCTION("""COMPUTED_VALUE"""),0.8426698045243706)</f>
        <v>0.8426698045</v>
      </c>
      <c r="V818" s="30">
        <f>IFERROR(__xludf.DUMMYFUNCTION("""COMPUTED_VALUE"""),0.5701508042742206)</f>
        <v>0.5701508043</v>
      </c>
      <c r="W818" s="30">
        <f>IFERROR(__xludf.DUMMYFUNCTION("""COMPUTED_VALUE"""),1.0903571564829428)</f>
        <v>1.090357156</v>
      </c>
      <c r="X818" s="30">
        <f>IFERROR(__xludf.DUMMYFUNCTION("""COMPUTED_VALUE"""),2.376052758302652)</f>
        <v>2.376052758</v>
      </c>
      <c r="Y818" s="30">
        <f>IFERROR(__xludf.DUMMYFUNCTION("""COMPUTED_VALUE"""),326.8514663659387)</f>
        <v>326.8514664</v>
      </c>
      <c r="Z818" s="30">
        <f>IFERROR(__xludf.DUMMYFUNCTION("""COMPUTED_VALUE"""),0.8077267077143994)</f>
        <v>0.8077267077</v>
      </c>
      <c r="AA818" s="30">
        <f>IFERROR(__xludf.DUMMYFUNCTION("""COMPUTED_VALUE"""),0.5299323076406455)</f>
        <v>0.5299323076</v>
      </c>
      <c r="AB818" s="30">
        <f>IFERROR(__xludf.DUMMYFUNCTION("""COMPUTED_VALUE"""),1.1041275264398795)</f>
        <v>1.104127526</v>
      </c>
      <c r="AC818" s="30">
        <f>IFERROR(__xludf.DUMMYFUNCTION("""COMPUTED_VALUE"""),2.2794227439089263)</f>
        <v>2.279422744</v>
      </c>
      <c r="AD818" s="30">
        <f>IFERROR(__xludf.DUMMYFUNCTION("""COMPUTED_VALUE"""),0.9883120721212809)</f>
        <v>0.9883120721</v>
      </c>
      <c r="AE818" s="30">
        <f>IFERROR(__xludf.DUMMYFUNCTION("""COMPUTED_VALUE"""),1.0059095387586074)</f>
        <v>1.005909539</v>
      </c>
      <c r="AF818" s="30">
        <f>IFERROR(__xludf.DUMMYFUNCTION("""COMPUTED_VALUE"""),1.297335508870698)</f>
        <v>1.297335509</v>
      </c>
      <c r="AG818" s="30">
        <f>IFERROR(__xludf.DUMMYFUNCTION("""COMPUTED_VALUE"""),0.7075722516574172)</f>
        <v>0.7075722517</v>
      </c>
      <c r="AH818" s="30">
        <f>IFERROR(__xludf.DUMMYFUNCTION("""COMPUTED_VALUE"""),0.9322535741465356)</f>
        <v>0.9322535741</v>
      </c>
      <c r="AI818" s="30">
        <f>IFERROR(__xludf.DUMMYFUNCTION("""COMPUTED_VALUE"""),0.9833014333470066)</f>
        <v>0.9833014333</v>
      </c>
      <c r="AJ818" s="30">
        <f>IFERROR(__xludf.DUMMYFUNCTION("""COMPUTED_VALUE"""),1.0136433773710276)</f>
        <v>1.013643377</v>
      </c>
      <c r="AK818" s="30">
        <f>IFERROR(__xludf.DUMMYFUNCTION("""COMPUTED_VALUE"""),1.0962012073202285)</f>
        <v>1.096201207</v>
      </c>
      <c r="AL818" s="30">
        <f>IFERROR(__xludf.DUMMYFUNCTION("""COMPUTED_VALUE"""),0.8502565676037146)</f>
        <v>0.8502565676</v>
      </c>
      <c r="AM818" s="30">
        <f>IFERROR(__xludf.DUMMYFUNCTION("""COMPUTED_VALUE"""),0.9206445405541644)</f>
        <v>0.9206445406</v>
      </c>
      <c r="AN818" s="30">
        <f>IFERROR(__xludf.DUMMYFUNCTION("""COMPUTED_VALUE"""),1.015748772452613)</f>
        <v>1.015748772</v>
      </c>
      <c r="AO818" s="30">
        <f>IFERROR(__xludf.DUMMYFUNCTION("""COMPUTED_VALUE"""),1.011977203707171)</f>
        <v>1.011977204</v>
      </c>
      <c r="AP818" s="30">
        <f>IFERROR(__xludf.DUMMYFUNCTION("""COMPUTED_VALUE"""),1.2776436654677104)</f>
        <v>1.277643665</v>
      </c>
      <c r="AQ818" s="30">
        <f>IFERROR(__xludf.DUMMYFUNCTION("""COMPUTED_VALUE"""),0.7459702966099855)</f>
        <v>0.7459702966</v>
      </c>
      <c r="AR818" s="30">
        <f>IFERROR(__xludf.DUMMYFUNCTION("""COMPUTED_VALUE"""),0.9646889107476033)</f>
        <v>0.9646889107</v>
      </c>
      <c r="AS818" s="30">
        <f>IFERROR(__xludf.DUMMYFUNCTION("""COMPUTED_VALUE"""),84.0)</f>
        <v>84</v>
      </c>
      <c r="AT818" s="30">
        <f>IFERROR(__xludf.DUMMYFUNCTION("""COMPUTED_VALUE"""),0.509661662041203)</f>
        <v>0.509661662</v>
      </c>
      <c r="AU818" s="30">
        <f>IFERROR(__xludf.DUMMYFUNCTION("""COMPUTED_VALUE"""),4.21663249208617)</f>
        <v>4.216632492</v>
      </c>
      <c r="AV818" s="32">
        <f>IFERROR(__xludf.DUMMYFUNCTION("""COMPUTED_VALUE"""),56.33106358187965)</f>
        <v>56.33106358</v>
      </c>
      <c r="AW818" s="32">
        <f>IFERROR(__xludf.DUMMYFUNCTION("""COMPUTED_VALUE"""),2.499747547642792)</f>
        <v>2.499747548</v>
      </c>
      <c r="AX818" s="32">
        <f>IFERROR(__xludf.DUMMYFUNCTION("""COMPUTED_VALUE"""),54.867106319040104)</f>
        <v>54.86710632</v>
      </c>
      <c r="AY818" s="32">
        <f>IFERROR(__xludf.DUMMYFUNCTION("""COMPUTED_VALUE"""),2.3650722147712675)</f>
        <v>2.365072215</v>
      </c>
      <c r="AZ818" s="30">
        <f>IFERROR(__xludf.DUMMYFUNCTION("""COMPUTED_VALUE"""),0.13467533287152467)</f>
        <v>0.1346753329</v>
      </c>
      <c r="BA818" s="30">
        <f>IFERROR(__xludf.DUMMYFUNCTION("""COMPUTED_VALUE"""),3200.0)</f>
        <v>3200</v>
      </c>
    </row>
    <row r="819">
      <c r="A819" s="71" t="str">
        <f>IFERROR(__xludf.DUMMYFUNCTION("""COMPUTED_VALUE"""),"Contender")</f>
        <v>Contender</v>
      </c>
      <c r="B819" s="71" t="str">
        <f>IFERROR(__xludf.DUMMYFUNCTION("""COMPUTED_VALUE"""),"RSC006779")</f>
        <v>RSC006779</v>
      </c>
      <c r="C819" s="30" t="str">
        <f>IFERROR(__xludf.DUMMYFUNCTION("""COMPUTED_VALUE"""),"I am CANDYMAN")</f>
        <v>I am CANDYMAN</v>
      </c>
      <c r="D819" s="30"/>
      <c r="E819" s="30">
        <f>IFERROR(__xludf.DUMMYFUNCTION("""COMPUTED_VALUE"""),4.0)</f>
        <v>4</v>
      </c>
      <c r="F819" s="30">
        <f>IFERROR(__xludf.DUMMYFUNCTION("""COMPUTED_VALUE"""),2.0)</f>
        <v>2</v>
      </c>
      <c r="G819" s="42">
        <f>IFERROR(__xludf.DUMMYFUNCTION("""COMPUTED_VALUE"""),2.0)</f>
        <v>2</v>
      </c>
      <c r="H819" s="42">
        <f>IFERROR(__xludf.DUMMYFUNCTION("""COMPUTED_VALUE"""),0.5)</f>
        <v>0.5</v>
      </c>
      <c r="I819" s="42">
        <f>IFERROR(__xludf.DUMMYFUNCTION("""COMPUTED_VALUE"""),0.4444444444444444)</f>
        <v>0.4444444444</v>
      </c>
      <c r="J819" s="30">
        <f>IFERROR(__xludf.DUMMYFUNCTION("""COMPUTED_VALUE"""),281.25)</f>
        <v>281.25</v>
      </c>
      <c r="K819" s="30">
        <f>IFERROR(__xludf.DUMMYFUNCTION("""COMPUTED_VALUE"""),1.0)</f>
        <v>1</v>
      </c>
      <c r="L819" s="30">
        <f>IFERROR(__xludf.DUMMYFUNCTION("""COMPUTED_VALUE"""),0.25)</f>
        <v>0.25</v>
      </c>
      <c r="M819" s="30">
        <f>IFERROR(__xludf.DUMMYFUNCTION("""COMPUTED_VALUE"""),0.5)</f>
        <v>0.5</v>
      </c>
      <c r="N819" s="30">
        <f>IFERROR(__xludf.DUMMYFUNCTION("""COMPUTED_VALUE"""),2.25)</f>
        <v>2.25</v>
      </c>
      <c r="O819" s="30">
        <f>IFERROR(__xludf.DUMMYFUNCTION("""COMPUTED_VALUE"""),336.33333333333337)</f>
        <v>336.3333333</v>
      </c>
      <c r="P819" s="30">
        <f>IFERROR(__xludf.DUMMYFUNCTION("""COMPUTED_VALUE"""),0.8333333333333334)</f>
        <v>0.8333333333</v>
      </c>
      <c r="Q819" s="30">
        <f>IFERROR(__xludf.DUMMYFUNCTION("""COMPUTED_VALUE"""),0.5833333333333334)</f>
        <v>0.5833333333</v>
      </c>
      <c r="R819" s="30">
        <f>IFERROR(__xludf.DUMMYFUNCTION("""COMPUTED_VALUE"""),1.0)</f>
        <v>1</v>
      </c>
      <c r="S819" s="30">
        <f>IFERROR(__xludf.DUMMYFUNCTION("""COMPUTED_VALUE"""),2.5)</f>
        <v>2.5</v>
      </c>
      <c r="T819" s="30">
        <f>IFERROR(__xludf.DUMMYFUNCTION("""COMPUTED_VALUE"""),311.7377508441338)</f>
        <v>311.7377508</v>
      </c>
      <c r="U819" s="30">
        <f>IFERROR(__xludf.DUMMYFUNCTION("""COMPUTED_VALUE"""),0.6821191076510226)</f>
        <v>0.6821191077</v>
      </c>
      <c r="V819" s="30">
        <f>IFERROR(__xludf.DUMMYFUNCTION("""COMPUTED_VALUE"""),0.4678541061519785)</f>
        <v>0.4678541062</v>
      </c>
      <c r="W819" s="30">
        <f>IFERROR(__xludf.DUMMYFUNCTION("""COMPUTED_VALUE"""),1.1336262612858359)</f>
        <v>1.133626261</v>
      </c>
      <c r="X819" s="30">
        <f>IFERROR(__xludf.DUMMYFUNCTION("""COMPUTED_VALUE"""),2.1468571681337636)</f>
        <v>2.146857168</v>
      </c>
      <c r="Y819" s="30">
        <f>IFERROR(__xludf.DUMMYFUNCTION("""COMPUTED_VALUE"""),322.7897684918962)</f>
        <v>322.7897685</v>
      </c>
      <c r="Z819" s="30">
        <f>IFERROR(__xludf.DUMMYFUNCTION("""COMPUTED_VALUE"""),0.84153056493482)</f>
        <v>0.8415305649</v>
      </c>
      <c r="AA819" s="30">
        <f>IFERROR(__xludf.DUMMYFUNCTION("""COMPUTED_VALUE"""),0.5712308052733585)</f>
        <v>0.5712308053</v>
      </c>
      <c r="AB819" s="30">
        <f>IFERROR(__xludf.DUMMYFUNCTION("""COMPUTED_VALUE"""),0.9755614861997839)</f>
        <v>0.9755614862</v>
      </c>
      <c r="AC819" s="30">
        <f>IFERROR(__xludf.DUMMYFUNCTION("""COMPUTED_VALUE"""),2.314327420710399)</f>
        <v>2.314327421</v>
      </c>
      <c r="AD819" s="30">
        <f>IFERROR(__xludf.DUMMYFUNCTION("""COMPUTED_VALUE"""),0.8713101450334877)</f>
        <v>0.871310145</v>
      </c>
      <c r="AE819" s="30">
        <f>IFERROR(__xludf.DUMMYFUNCTION("""COMPUTED_VALUE"""),1.1883109677394237)</f>
        <v>1.188310968</v>
      </c>
      <c r="AF819" s="30">
        <f>IFERROR(__xludf.DUMMYFUNCTION("""COMPUTED_VALUE"""),0.4376514671339622)</f>
        <v>0.4376514671</v>
      </c>
      <c r="AG819" s="30">
        <f>IFERROR(__xludf.DUMMYFUNCTION("""COMPUTED_VALUE"""),0.5125253580353065)</f>
        <v>0.512525358</v>
      </c>
      <c r="AH819" s="30">
        <f>IFERROR(__xludf.DUMMYFUNCTION("""COMPUTED_VALUE"""),0.9722047018348626)</f>
        <v>0.9722047018</v>
      </c>
      <c r="AI819" s="30">
        <f>IFERROR(__xludf.DUMMYFUNCTION("""COMPUTED_VALUE"""),1.0788983125162057)</f>
        <v>1.078898313</v>
      </c>
      <c r="AJ819" s="30">
        <f>IFERROR(__xludf.DUMMYFUNCTION("""COMPUTED_VALUE"""),1.2216830227832778)</f>
        <v>1.221683023</v>
      </c>
      <c r="AK819" s="30">
        <f>IFERROR(__xludf.DUMMYFUNCTION("""COMPUTED_VALUE"""),1.2468274311647112)</f>
        <v>1.246827431</v>
      </c>
      <c r="AL819" s="30">
        <f>IFERROR(__xludf.DUMMYFUNCTION("""COMPUTED_VALUE"""),0.8821249420119573)</f>
        <v>0.882124942</v>
      </c>
      <c r="AM819" s="30">
        <f>IFERROR(__xludf.DUMMYFUNCTION("""COMPUTED_VALUE"""),1.164492932789385)</f>
        <v>1.164492933</v>
      </c>
      <c r="AN819" s="30">
        <f>IFERROR(__xludf.DUMMYFUNCTION("""COMPUTED_VALUE"""),0.8843706057921562)</f>
        <v>0.8843706058</v>
      </c>
      <c r="AO819" s="30">
        <f>IFERROR(__xludf.DUMMYFUNCTION("""COMPUTED_VALUE"""),1.2455104045626721)</f>
        <v>1.245510405</v>
      </c>
      <c r="AP819" s="30">
        <f>IFERROR(__xludf.DUMMYFUNCTION("""COMPUTED_VALUE"""),0.4645976965337128)</f>
        <v>0.4645976965</v>
      </c>
      <c r="AQ819" s="30">
        <f>IFERROR(__xludf.DUMMYFUNCTION("""COMPUTED_VALUE"""),0.4774209898303907)</f>
        <v>0.4774209898</v>
      </c>
      <c r="AR819" s="30">
        <f>IFERROR(__xludf.DUMMYFUNCTION("""COMPUTED_VALUE"""),1.0214353172621682)</f>
        <v>1.021435317</v>
      </c>
      <c r="AS819" s="30">
        <f>IFERROR(__xludf.DUMMYFUNCTION("""COMPUTED_VALUE"""),6.0)</f>
        <v>6</v>
      </c>
      <c r="AT819" s="30">
        <f>IFERROR(__xludf.DUMMYFUNCTION("""COMPUTED_VALUE"""),0.31855114860921924)</f>
        <v>0.3185511486</v>
      </c>
      <c r="AU819" s="30">
        <f>IFERROR(__xludf.DUMMYFUNCTION("""COMPUTED_VALUE"""),2.962082347026298)</f>
        <v>2.962082347</v>
      </c>
      <c r="AV819" s="32">
        <f>IFERROR(__xludf.DUMMYFUNCTION("""COMPUTED_VALUE"""),38.18783897239469)</f>
        <v>38.18783897</v>
      </c>
      <c r="AW819" s="32">
        <f>IFERROR(__xludf.DUMMYFUNCTION("""COMPUTED_VALUE"""),-3.1417908223029754)</f>
        <v>-3.141790822</v>
      </c>
      <c r="AX819" s="32">
        <f>IFERROR(__xludf.DUMMYFUNCTION("""COMPUTED_VALUE"""),39.137038068853485)</f>
        <v>39.13703807</v>
      </c>
      <c r="AY819" s="32">
        <f>IFERROR(__xludf.DUMMYFUNCTION("""COMPUTED_VALUE"""),-3.0124475229278533)</f>
        <v>-3.012447523</v>
      </c>
      <c r="AZ819" s="30">
        <f>IFERROR(__xludf.DUMMYFUNCTION("""COMPUTED_VALUE"""),0.129343299375122)</f>
        <v>0.1293432994</v>
      </c>
      <c r="BA819" s="30">
        <f>IFERROR(__xludf.DUMMYFUNCTION("""COMPUTED_VALUE"""),3200.0)</f>
        <v>3200</v>
      </c>
    </row>
    <row r="820">
      <c r="A820" s="71" t="str">
        <f>IFERROR(__xludf.DUMMYFUNCTION("""COMPUTED_VALUE"""),"Contender")</f>
        <v>Contender</v>
      </c>
      <c r="B820" s="71" t="str">
        <f>IFERROR(__xludf.DUMMYFUNCTION("""COMPUTED_VALUE"""),"RSC005937")</f>
        <v>RSC005937</v>
      </c>
      <c r="C820" s="30" t="str">
        <f>IFERROR(__xludf.DUMMYFUNCTION("""COMPUTED_VALUE"""),"SlashFabo420")</f>
        <v>SlashFabo420</v>
      </c>
      <c r="D820" s="30" t="str">
        <f>IFERROR(__xludf.DUMMYFUNCTION("""COMPUTED_VALUE"""),"Celestial Cider")</f>
        <v>Celestial Cider</v>
      </c>
      <c r="E820" s="30">
        <f>IFERROR(__xludf.DUMMYFUNCTION("""COMPUTED_VALUE"""),39.0)</f>
        <v>39</v>
      </c>
      <c r="F820" s="30">
        <f>IFERROR(__xludf.DUMMYFUNCTION("""COMPUTED_VALUE"""),16.0)</f>
        <v>16</v>
      </c>
      <c r="G820" s="42">
        <f>IFERROR(__xludf.DUMMYFUNCTION("""COMPUTED_VALUE"""),23.0)</f>
        <v>23</v>
      </c>
      <c r="H820" s="42">
        <f>IFERROR(__xludf.DUMMYFUNCTION("""COMPUTED_VALUE"""),0.41025641025641024)</f>
        <v>0.4102564103</v>
      </c>
      <c r="I820" s="42">
        <f>IFERROR(__xludf.DUMMYFUNCTION("""COMPUTED_VALUE"""),0.2857142857142857)</f>
        <v>0.2857142857</v>
      </c>
      <c r="J820" s="30">
        <f>IFERROR(__xludf.DUMMYFUNCTION("""COMPUTED_VALUE"""),275.38461538461536)</f>
        <v>275.3846154</v>
      </c>
      <c r="K820" s="30">
        <f>IFERROR(__xludf.DUMMYFUNCTION("""COMPUTED_VALUE"""),0.46153846153846156)</f>
        <v>0.4615384615</v>
      </c>
      <c r="L820" s="30">
        <f>IFERROR(__xludf.DUMMYFUNCTION("""COMPUTED_VALUE"""),0.5128205128205128)</f>
        <v>0.5128205128</v>
      </c>
      <c r="M820" s="30">
        <f>IFERROR(__xludf.DUMMYFUNCTION("""COMPUTED_VALUE"""),1.1794871794871795)</f>
        <v>1.179487179</v>
      </c>
      <c r="N820" s="30">
        <f>IFERROR(__xludf.DUMMYFUNCTION("""COMPUTED_VALUE"""),1.6153846153846154)</f>
        <v>1.615384615</v>
      </c>
      <c r="O820" s="30">
        <f>IFERROR(__xludf.DUMMYFUNCTION("""COMPUTED_VALUE"""),317.44444444444446)</f>
        <v>317.4444444</v>
      </c>
      <c r="P820" s="30">
        <f>IFERROR(__xludf.DUMMYFUNCTION("""COMPUTED_VALUE"""),0.8376068376068375)</f>
        <v>0.8376068376</v>
      </c>
      <c r="Q820" s="30">
        <f>IFERROR(__xludf.DUMMYFUNCTION("""COMPUTED_VALUE"""),0.5555555555555556)</f>
        <v>0.5555555556</v>
      </c>
      <c r="R820" s="30">
        <f>IFERROR(__xludf.DUMMYFUNCTION("""COMPUTED_VALUE"""),0.9059829059829059)</f>
        <v>0.905982906</v>
      </c>
      <c r="S820" s="30">
        <f>IFERROR(__xludf.DUMMYFUNCTION("""COMPUTED_VALUE"""),2.3846153846153846)</f>
        <v>2.384615385</v>
      </c>
      <c r="T820" s="30">
        <f>IFERROR(__xludf.DUMMYFUNCTION("""COMPUTED_VALUE"""),327.0690114281789)</f>
        <v>327.0690114</v>
      </c>
      <c r="U820" s="30">
        <f>IFERROR(__xludf.DUMMYFUNCTION("""COMPUTED_VALUE"""),0.8458516427395707)</f>
        <v>0.8458516427</v>
      </c>
      <c r="V820" s="30">
        <f>IFERROR(__xludf.DUMMYFUNCTION("""COMPUTED_VALUE"""),0.5378453004903805)</f>
        <v>0.5378453005</v>
      </c>
      <c r="W820" s="30">
        <f>IFERROR(__xludf.DUMMYFUNCTION("""COMPUTED_VALUE"""),1.041632596842457)</f>
        <v>1.041632597</v>
      </c>
      <c r="X820" s="30">
        <f>IFERROR(__xludf.DUMMYFUNCTION("""COMPUTED_VALUE"""),2.279334387327673)</f>
        <v>2.279334387</v>
      </c>
      <c r="Y820" s="30">
        <f>IFERROR(__xludf.DUMMYFUNCTION("""COMPUTED_VALUE"""),329.00186675705163)</f>
        <v>329.0018668</v>
      </c>
      <c r="Z820" s="30">
        <f>IFERROR(__xludf.DUMMYFUNCTION("""COMPUTED_VALUE"""),0.8387196196013479)</f>
        <v>0.8387196196</v>
      </c>
      <c r="AA820" s="30">
        <f>IFERROR(__xludf.DUMMYFUNCTION("""COMPUTED_VALUE"""),0.5559711000847297)</f>
        <v>0.5559711001</v>
      </c>
      <c r="AB820" s="30">
        <f>IFERROR(__xludf.DUMMYFUNCTION("""COMPUTED_VALUE"""),1.0551905482357153)</f>
        <v>1.055190548</v>
      </c>
      <c r="AC820" s="30">
        <f>IFERROR(__xludf.DUMMYFUNCTION("""COMPUTED_VALUE"""),2.2942830436046218)</f>
        <v>2.294283044</v>
      </c>
      <c r="AD820" s="30">
        <f>IFERROR(__xludf.DUMMYFUNCTION("""COMPUTED_VALUE"""),0.8370305557809208)</f>
        <v>0.8370305558</v>
      </c>
      <c r="AE820" s="30">
        <f>IFERROR(__xludf.DUMMYFUNCTION("""COMPUTED_VALUE"""),0.5502893347813129)</f>
        <v>0.5502893348</v>
      </c>
      <c r="AF820" s="30">
        <f>IFERROR(__xludf.DUMMYFUNCTION("""COMPUTED_VALUE"""),0.922386995911045)</f>
        <v>0.9223869959</v>
      </c>
      <c r="AG820" s="30">
        <f>IFERROR(__xludf.DUMMYFUNCTION("""COMPUTED_VALUE"""),1.1177954365297234)</f>
        <v>1.117795437</v>
      </c>
      <c r="AH820" s="30">
        <f>IFERROR(__xludf.DUMMYFUNCTION("""COMPUTED_VALUE"""),0.7040912497207114)</f>
        <v>0.7040912497</v>
      </c>
      <c r="AI820" s="30">
        <f>IFERROR(__xludf.DUMMYFUNCTION("""COMPUTED_VALUE"""),0.9705732837797508)</f>
        <v>0.9705732838</v>
      </c>
      <c r="AJ820" s="30">
        <f>IFERROR(__xludf.DUMMYFUNCTION("""COMPUTED_VALUE"""),0.9902526581304144)</f>
        <v>0.9902526581</v>
      </c>
      <c r="AK820" s="30">
        <f>IFERROR(__xludf.DUMMYFUNCTION("""COMPUTED_VALUE"""),1.0329281580577683)</f>
        <v>1.032928158</v>
      </c>
      <c r="AL820" s="30">
        <f>IFERROR(__xludf.DUMMYFUNCTION("""COMPUTED_VALUE"""),0.8697720374047899)</f>
        <v>0.8697720374</v>
      </c>
      <c r="AM820" s="30">
        <f>IFERROR(__xludf.DUMMYFUNCTION("""COMPUTED_VALUE"""),1.046189360311957)</f>
        <v>1.04618936</v>
      </c>
      <c r="AN820" s="30">
        <f>IFERROR(__xludf.DUMMYFUNCTION("""COMPUTED_VALUE"""),0.8659273213636701)</f>
        <v>0.8659273214</v>
      </c>
      <c r="AO820" s="30">
        <f>IFERROR(__xludf.DUMMYFUNCTION("""COMPUTED_VALUE"""),0.5748509559520025)</f>
        <v>0.574850956</v>
      </c>
      <c r="AP820" s="30">
        <f>IFERROR(__xludf.DUMMYFUNCTION("""COMPUTED_VALUE"""),0.9530209159665903)</f>
        <v>0.953020916</v>
      </c>
      <c r="AQ820" s="30">
        <f>IFERROR(__xludf.DUMMYFUNCTION("""COMPUTED_VALUE"""),1.12622387344605)</f>
        <v>1.126223873</v>
      </c>
      <c r="AR820" s="30">
        <f>IFERROR(__xludf.DUMMYFUNCTION("""COMPUTED_VALUE"""),0.7333381764959157)</f>
        <v>0.7333381765</v>
      </c>
      <c r="AS820" s="30">
        <f>IFERROR(__xludf.DUMMYFUNCTION("""COMPUTED_VALUE"""),79.0)</f>
        <v>79</v>
      </c>
      <c r="AT820" s="30">
        <f>IFERROR(__xludf.DUMMYFUNCTION("""COMPUTED_VALUE"""),0.4175900005883283)</f>
        <v>0.4175900006</v>
      </c>
      <c r="AU820" s="30">
        <f>IFERROR(__xludf.DUMMYFUNCTION("""COMPUTED_VALUE"""),2.6199429047867384)</f>
        <v>2.619942905</v>
      </c>
      <c r="AV820" s="32">
        <f>IFERROR(__xludf.DUMMYFUNCTION("""COMPUTED_VALUE"""),33.23984006397323)</f>
        <v>33.23984006</v>
      </c>
      <c r="AW820" s="32">
        <f>IFERROR(__xludf.DUMMYFUNCTION("""COMPUTED_VALUE"""),-3.979317437530994)</f>
        <v>-3.979317438</v>
      </c>
      <c r="AX820" s="32">
        <f>IFERROR(__xludf.DUMMYFUNCTION("""COMPUTED_VALUE"""),32.68833790620394)</f>
        <v>32.68833791</v>
      </c>
      <c r="AY820" s="32">
        <f>IFERROR(__xludf.DUMMYFUNCTION("""COMPUTED_VALUE"""),-4.092955715675163)</f>
        <v>-4.092955716</v>
      </c>
      <c r="AZ820" s="30">
        <f>IFERROR(__xludf.DUMMYFUNCTION("""COMPUTED_VALUE"""),0.11363827814416849)</f>
        <v>0.1136382781</v>
      </c>
      <c r="BA820" s="30">
        <f>IFERROR(__xludf.DUMMYFUNCTION("""COMPUTED_VALUE"""),3200.0)</f>
        <v>3200</v>
      </c>
    </row>
    <row r="821">
      <c r="A821" s="71" t="str">
        <f>IFERROR(__xludf.DUMMYFUNCTION("""COMPUTED_VALUE"""),"Contender")</f>
        <v>Contender</v>
      </c>
      <c r="B821" s="71" t="str">
        <f>IFERROR(__xludf.DUMMYFUNCTION("""COMPUTED_VALUE"""),"RSC006784")</f>
        <v>RSC006784</v>
      </c>
      <c r="C821" s="30" t="str">
        <f>IFERROR(__xludf.DUMMYFUNCTION("""COMPUTED_VALUE"""),"KittyMeowMeow360")</f>
        <v>KittyMeowMeow360</v>
      </c>
      <c r="D821" s="30" t="str">
        <f>IFERROR(__xludf.DUMMYFUNCTION("""COMPUTED_VALUE"""),"Legionaries")</f>
        <v>Legionaries</v>
      </c>
      <c r="E821" s="30">
        <f>IFERROR(__xludf.DUMMYFUNCTION("""COMPUTED_VALUE"""),43.0)</f>
        <v>43</v>
      </c>
      <c r="F821" s="30">
        <f>IFERROR(__xludf.DUMMYFUNCTION("""COMPUTED_VALUE"""),17.0)</f>
        <v>17</v>
      </c>
      <c r="G821" s="42">
        <f>IFERROR(__xludf.DUMMYFUNCTION("""COMPUTED_VALUE"""),26.0)</f>
        <v>26</v>
      </c>
      <c r="H821" s="42">
        <f>IFERROR(__xludf.DUMMYFUNCTION("""COMPUTED_VALUE"""),0.3953488372093023)</f>
        <v>0.3953488372</v>
      </c>
      <c r="I821" s="42">
        <f>IFERROR(__xludf.DUMMYFUNCTION("""COMPUTED_VALUE"""),0.3023255813953488)</f>
        <v>0.3023255814</v>
      </c>
      <c r="J821" s="30">
        <f>IFERROR(__xludf.DUMMYFUNCTION("""COMPUTED_VALUE"""),312.04651162790697)</f>
        <v>312.0465116</v>
      </c>
      <c r="K821" s="30">
        <f>IFERROR(__xludf.DUMMYFUNCTION("""COMPUTED_VALUE"""),0.6046511627906976)</f>
        <v>0.6046511628</v>
      </c>
      <c r="L821" s="30">
        <f>IFERROR(__xludf.DUMMYFUNCTION("""COMPUTED_VALUE"""),0.3488372093023256)</f>
        <v>0.3488372093</v>
      </c>
      <c r="M821" s="30">
        <f>IFERROR(__xludf.DUMMYFUNCTION("""COMPUTED_VALUE"""),1.3488372093023255)</f>
        <v>1.348837209</v>
      </c>
      <c r="N821" s="30">
        <f>IFERROR(__xludf.DUMMYFUNCTION("""COMPUTED_VALUE"""),2.0)</f>
        <v>2</v>
      </c>
      <c r="O821" s="30">
        <f>IFERROR(__xludf.DUMMYFUNCTION("""COMPUTED_VALUE"""),348.2790697674419)</f>
        <v>348.2790698</v>
      </c>
      <c r="P821" s="30">
        <f>IFERROR(__xludf.DUMMYFUNCTION("""COMPUTED_VALUE"""),0.9612403100775194)</f>
        <v>0.9612403101</v>
      </c>
      <c r="Q821" s="30">
        <f>IFERROR(__xludf.DUMMYFUNCTION("""COMPUTED_VALUE"""),0.6356589147286821)</f>
        <v>0.6356589147</v>
      </c>
      <c r="R821" s="30">
        <f>IFERROR(__xludf.DUMMYFUNCTION("""COMPUTED_VALUE"""),0.9767441860465113)</f>
        <v>0.976744186</v>
      </c>
      <c r="S821" s="30">
        <f>IFERROR(__xludf.DUMMYFUNCTION("""COMPUTED_VALUE"""),2.7209302325581395)</f>
        <v>2.720930233</v>
      </c>
      <c r="T821" s="30">
        <f>IFERROR(__xludf.DUMMYFUNCTION("""COMPUTED_VALUE"""),337.1724325750962)</f>
        <v>337.1724326</v>
      </c>
      <c r="U821" s="30">
        <f>IFERROR(__xludf.DUMMYFUNCTION("""COMPUTED_VALUE"""),0.8746119350386466)</f>
        <v>0.874611935</v>
      </c>
      <c r="V821" s="30">
        <f>IFERROR(__xludf.DUMMYFUNCTION("""COMPUTED_VALUE"""),0.5823816666784536)</f>
        <v>0.5823816667</v>
      </c>
      <c r="W821" s="30">
        <f>IFERROR(__xludf.DUMMYFUNCTION("""COMPUTED_VALUE"""),1.0629560125097677)</f>
        <v>1.062956013</v>
      </c>
      <c r="X821" s="30">
        <f>IFERROR(__xludf.DUMMYFUNCTION("""COMPUTED_VALUE"""),2.4067113827534485)</f>
        <v>2.406711383</v>
      </c>
      <c r="Y821" s="30">
        <f>IFERROR(__xludf.DUMMYFUNCTION("""COMPUTED_VALUE"""),325.2165613307123)</f>
        <v>325.2165613</v>
      </c>
      <c r="Z821" s="30">
        <f>IFERROR(__xludf.DUMMYFUNCTION("""COMPUTED_VALUE"""),0.8067788930885357)</f>
        <v>0.8067788931</v>
      </c>
      <c r="AA821" s="30">
        <f>IFERROR(__xludf.DUMMYFUNCTION("""COMPUTED_VALUE"""),0.5305760138940682)</f>
        <v>0.5305760139</v>
      </c>
      <c r="AB821" s="30">
        <f>IFERROR(__xludf.DUMMYFUNCTION("""COMPUTED_VALUE"""),1.0826323160017355)</f>
        <v>1.082632316</v>
      </c>
      <c r="AC821" s="30">
        <f>IFERROR(__xludf.DUMMYFUNCTION("""COMPUTED_VALUE"""),2.2344737441527682)</f>
        <v>2.234473744</v>
      </c>
      <c r="AD821" s="30">
        <f>IFERROR(__xludf.DUMMYFUNCTION("""COMPUTED_VALUE"""),0.9595037545169395)</f>
        <v>0.9595037545</v>
      </c>
      <c r="AE821" s="30">
        <f>IFERROR(__xludf.DUMMYFUNCTION("""COMPUTED_VALUE"""),0.7494632891001319)</f>
        <v>0.7494632891</v>
      </c>
      <c r="AF821" s="30">
        <f>IFERROR(__xludf.DUMMYFUNCTION("""COMPUTED_VALUE"""),0.6574688643425416)</f>
        <v>0.6574688643</v>
      </c>
      <c r="AG821" s="30">
        <f>IFERROR(__xludf.DUMMYFUNCTION("""COMPUTED_VALUE"""),1.245886705362454)</f>
        <v>1.245886705</v>
      </c>
      <c r="AH821" s="30">
        <f>IFERROR(__xludf.DUMMYFUNCTION("""COMPUTED_VALUE"""),0.8950653393147512)</f>
        <v>0.8950653393</v>
      </c>
      <c r="AI821" s="30">
        <f>IFERROR(__xludf.DUMMYFUNCTION("""COMPUTED_VALUE"""),1.0329405257349205)</f>
        <v>1.032940526</v>
      </c>
      <c r="AJ821" s="30">
        <f>IFERROR(__xludf.DUMMYFUNCTION("""COMPUTED_VALUE"""),1.09904778515862)</f>
        <v>1.099047785</v>
      </c>
      <c r="AK821" s="30">
        <f>IFERROR(__xludf.DUMMYFUNCTION("""COMPUTED_VALUE"""),1.0914816710390096)</f>
        <v>1.091481671</v>
      </c>
      <c r="AL821" s="30">
        <f>IFERROR(__xludf.DUMMYFUNCTION("""COMPUTED_VALUE"""),0.9188942670734794)</f>
        <v>0.9188942671</v>
      </c>
      <c r="AM821" s="30">
        <f>IFERROR(__xludf.DUMMYFUNCTION("""COMPUTED_VALUE"""),1.1305594231432945)</f>
        <v>1.130559423</v>
      </c>
      <c r="AN821" s="30">
        <f>IFERROR(__xludf.DUMMYFUNCTION("""COMPUTED_VALUE"""),0.9812080445287154)</f>
        <v>0.9812080445</v>
      </c>
      <c r="AO821" s="30">
        <f>IFERROR(__xludf.DUMMYFUNCTION("""COMPUTED_VALUE"""),0.7530993143867319)</f>
        <v>0.7530993144</v>
      </c>
      <c r="AP821" s="30">
        <f>IFERROR(__xludf.DUMMYFUNCTION("""COMPUTED_VALUE"""),0.6482758556284365)</f>
        <v>0.6482758556</v>
      </c>
      <c r="AQ821" s="30">
        <f>IFERROR(__xludf.DUMMYFUNCTION("""COMPUTED_VALUE"""),1.2879263911703562)</f>
        <v>1.287926391</v>
      </c>
      <c r="AR821" s="30">
        <f>IFERROR(__xludf.DUMMYFUNCTION("""COMPUTED_VALUE"""),0.9079425042330385)</f>
        <v>0.9079425042</v>
      </c>
      <c r="AS821" s="30">
        <f>IFERROR(__xludf.DUMMYFUNCTION("""COMPUTED_VALUE"""),81.0)</f>
        <v>81</v>
      </c>
      <c r="AT821" s="30">
        <f>IFERROR(__xludf.DUMMYFUNCTION("""COMPUTED_VALUE"""),0.3392443594103564)</f>
        <v>0.3392443594</v>
      </c>
      <c r="AU821" s="30">
        <f>IFERROR(__xludf.DUMMYFUNCTION("""COMPUTED_VALUE"""),2.763211925324863)</f>
        <v>2.763211925</v>
      </c>
      <c r="AV821" s="32">
        <f>IFERROR(__xludf.DUMMYFUNCTION("""COMPUTED_VALUE"""),35.31178755004207)</f>
        <v>35.31178755</v>
      </c>
      <c r="AW821" s="32">
        <f>IFERROR(__xludf.DUMMYFUNCTION("""COMPUTED_VALUE"""),-3.5916391309888054)</f>
        <v>-3.591639131</v>
      </c>
      <c r="AX821" s="32">
        <f>IFERROR(__xludf.DUMMYFUNCTION("""COMPUTED_VALUE"""),34.949109679835296)</f>
        <v>34.94910968</v>
      </c>
      <c r="AY821" s="32">
        <f>IFERROR(__xludf.DUMMYFUNCTION("""COMPUTED_VALUE"""),-3.655301874776586)</f>
        <v>-3.655301875</v>
      </c>
      <c r="AZ821" s="30">
        <f>IFERROR(__xludf.DUMMYFUNCTION("""COMPUTED_VALUE"""),0.06366274378778058)</f>
        <v>0.06366274379</v>
      </c>
      <c r="BA821" s="30">
        <f>IFERROR(__xludf.DUMMYFUNCTION("""COMPUTED_VALUE"""),3200.0)</f>
        <v>3200</v>
      </c>
    </row>
    <row r="822">
      <c r="A822" s="71" t="str">
        <f>IFERROR(__xludf.DUMMYFUNCTION("""COMPUTED_VALUE"""),"Contender")</f>
        <v>Contender</v>
      </c>
      <c r="B822" s="71" t="str">
        <f>IFERROR(__xludf.DUMMYFUNCTION("""COMPUTED_VALUE"""),"RSC006817")</f>
        <v>RSC006817</v>
      </c>
      <c r="C822" s="30" t="str">
        <f>IFERROR(__xludf.DUMMYFUNCTION("""COMPUTED_VALUE"""),"Froz3nSlack5r")</f>
        <v>Froz3nSlack5r</v>
      </c>
      <c r="D822" s="30" t="str">
        <f>IFERROR(__xludf.DUMMYFUNCTION("""COMPUTED_VALUE"""),"Celestial Cider")</f>
        <v>Celestial Cider</v>
      </c>
      <c r="E822" s="30">
        <f>IFERROR(__xludf.DUMMYFUNCTION("""COMPUTED_VALUE"""),47.0)</f>
        <v>47</v>
      </c>
      <c r="F822" s="30">
        <f>IFERROR(__xludf.DUMMYFUNCTION("""COMPUTED_VALUE"""),19.0)</f>
        <v>19</v>
      </c>
      <c r="G822" s="42">
        <f>IFERROR(__xludf.DUMMYFUNCTION("""COMPUTED_VALUE"""),28.0)</f>
        <v>28</v>
      </c>
      <c r="H822" s="42">
        <f>IFERROR(__xludf.DUMMYFUNCTION("""COMPUTED_VALUE"""),0.40425531914893614)</f>
        <v>0.4042553191</v>
      </c>
      <c r="I822" s="42">
        <f>IFERROR(__xludf.DUMMYFUNCTION("""COMPUTED_VALUE"""),0.3826086956521739)</f>
        <v>0.3826086957</v>
      </c>
      <c r="J822" s="30">
        <f>IFERROR(__xludf.DUMMYFUNCTION("""COMPUTED_VALUE"""),304.2340425531915)</f>
        <v>304.2340426</v>
      </c>
      <c r="K822" s="30">
        <f>IFERROR(__xludf.DUMMYFUNCTION("""COMPUTED_VALUE"""),0.9361702127659575)</f>
        <v>0.9361702128</v>
      </c>
      <c r="L822" s="30">
        <f>IFERROR(__xludf.DUMMYFUNCTION("""COMPUTED_VALUE"""),0.40425531914893614)</f>
        <v>0.4042553191</v>
      </c>
      <c r="M822" s="30">
        <f>IFERROR(__xludf.DUMMYFUNCTION("""COMPUTED_VALUE"""),0.6808510638297872)</f>
        <v>0.6808510638</v>
      </c>
      <c r="N822" s="30">
        <f>IFERROR(__xludf.DUMMYFUNCTION("""COMPUTED_VALUE"""),2.4468085106382977)</f>
        <v>2.446808511</v>
      </c>
      <c r="O822" s="30">
        <f>IFERROR(__xludf.DUMMYFUNCTION("""COMPUTED_VALUE"""),330.7446808510639)</f>
        <v>330.7446809</v>
      </c>
      <c r="P822" s="30">
        <f>IFERROR(__xludf.DUMMYFUNCTION("""COMPUTED_VALUE"""),0.8581560283687941)</f>
        <v>0.8581560284</v>
      </c>
      <c r="Q822" s="30">
        <f>IFERROR(__xludf.DUMMYFUNCTION("""COMPUTED_VALUE"""),0.5815602836879432)</f>
        <v>0.5815602837</v>
      </c>
      <c r="R822" s="30">
        <f>IFERROR(__xludf.DUMMYFUNCTION("""COMPUTED_VALUE"""),1.0567375886524824)</f>
        <v>1.056737589</v>
      </c>
      <c r="S822" s="30">
        <f>IFERROR(__xludf.DUMMYFUNCTION("""COMPUTED_VALUE"""),2.234042553191489)</f>
        <v>2.234042553</v>
      </c>
      <c r="T822" s="30">
        <f>IFERROR(__xludf.DUMMYFUNCTION("""COMPUTED_VALUE"""),323.3652708332817)</f>
        <v>323.3652708</v>
      </c>
      <c r="U822" s="30">
        <f>IFERROR(__xludf.DUMMYFUNCTION("""COMPUTED_VALUE"""),0.8028666053273134)</f>
        <v>0.8028666053</v>
      </c>
      <c r="V822" s="30">
        <f>IFERROR(__xludf.DUMMYFUNCTION("""COMPUTED_VALUE"""),0.5230173044166733)</f>
        <v>0.5230173044</v>
      </c>
      <c r="W822" s="30">
        <f>IFERROR(__xludf.DUMMYFUNCTION("""COMPUTED_VALUE"""),1.0650239875822258)</f>
        <v>1.065023988</v>
      </c>
      <c r="X822" s="30">
        <f>IFERROR(__xludf.DUMMYFUNCTION("""COMPUTED_VALUE"""),2.2510951060037128)</f>
        <v>2.251095106</v>
      </c>
      <c r="Y822" s="30">
        <f>IFERROR(__xludf.DUMMYFUNCTION("""COMPUTED_VALUE"""),332.5904450414981)</f>
        <v>332.590445</v>
      </c>
      <c r="Z822" s="30">
        <f>IFERROR(__xludf.DUMMYFUNCTION("""COMPUTED_VALUE"""),0.8600269717415668)</f>
        <v>0.8600269717</v>
      </c>
      <c r="AA822" s="30">
        <f>IFERROR(__xludf.DUMMYFUNCTION("""COMPUTED_VALUE"""),0.5643759050044995)</f>
        <v>0.564375905</v>
      </c>
      <c r="AB822" s="30">
        <f>IFERROR(__xludf.DUMMYFUNCTION("""COMPUTED_VALUE"""),1.0701376656610206)</f>
        <v>1.070137666</v>
      </c>
      <c r="AC822" s="30">
        <f>IFERROR(__xludf.DUMMYFUNCTION("""COMPUTED_VALUE"""),2.3264730665198776)</f>
        <v>2.326473067</v>
      </c>
      <c r="AD822" s="30">
        <f>IFERROR(__xludf.DUMMYFUNCTION("""COMPUTED_VALUE"""),0.9147407783023697)</f>
        <v>0.9147407783</v>
      </c>
      <c r="AE822" s="30">
        <f>IFERROR(__xludf.DUMMYFUNCTION("""COMPUTED_VALUE"""),1.0885358756484107)</f>
        <v>1.088535876</v>
      </c>
      <c r="AF822" s="30">
        <f>IFERROR(__xludf.DUMMYFUNCTION("""COMPUTED_VALUE"""),0.7162873460122526)</f>
        <v>0.716287346</v>
      </c>
      <c r="AG822" s="30">
        <f>IFERROR(__xludf.DUMMYFUNCTION("""COMPUTED_VALUE"""),0.6362275487324592)</f>
        <v>0.6362275487</v>
      </c>
      <c r="AH822" s="30">
        <f>IFERROR(__xludf.DUMMYFUNCTION("""COMPUTED_VALUE"""),1.0517244088703024)</f>
        <v>1.051724409</v>
      </c>
      <c r="AI822" s="30">
        <f>IFERROR(__xludf.DUMMYFUNCTION("""COMPUTED_VALUE"""),1.022820663452096)</f>
        <v>1.022820663</v>
      </c>
      <c r="AJ822" s="30">
        <f>IFERROR(__xludf.DUMMYFUNCTION("""COMPUTED_VALUE"""),1.0688650177683505)</f>
        <v>1.068865018</v>
      </c>
      <c r="AK822" s="30">
        <f>IFERROR(__xludf.DUMMYFUNCTION("""COMPUTED_VALUE"""),1.1119331593369812)</f>
        <v>1.111933159</v>
      </c>
      <c r="AL822" s="30">
        <f>IFERROR(__xludf.DUMMYFUNCTION("""COMPUTED_VALUE"""),0.9922195189720047)</f>
        <v>0.992219519</v>
      </c>
      <c r="AM822" s="30">
        <f>IFERROR(__xludf.DUMMYFUNCTION("""COMPUTED_VALUE"""),0.9924247746055934)</f>
        <v>0.9924247746</v>
      </c>
      <c r="AN822" s="30">
        <f>IFERROR(__xludf.DUMMYFUNCTION("""COMPUTED_VALUE"""),0.9566422916101781)</f>
        <v>0.9566422916</v>
      </c>
      <c r="AO822" s="30">
        <f>IFERROR(__xludf.DUMMYFUNCTION("""COMPUTED_VALUE"""),1.1660097404416505)</f>
        <v>1.16600974</v>
      </c>
      <c r="AP822" s="30">
        <f>IFERROR(__xludf.DUMMYFUNCTION("""COMPUTED_VALUE"""),0.7512643603523866)</f>
        <v>0.7512643604</v>
      </c>
      <c r="AQ822" s="30">
        <f>IFERROR(__xludf.DUMMYFUNCTION("""COMPUTED_VALUE"""),0.6501051776413831)</f>
        <v>0.6501051776</v>
      </c>
      <c r="AR822" s="30">
        <f>IFERROR(__xludf.DUMMYFUNCTION("""COMPUTED_VALUE"""),1.1107807232638236)</f>
        <v>1.110780723</v>
      </c>
      <c r="AS822" s="30">
        <f>IFERROR(__xludf.DUMMYFUNCTION("""COMPUTED_VALUE"""),104.0)</f>
        <v>104</v>
      </c>
      <c r="AT822" s="30">
        <f>IFERROR(__xludf.DUMMYFUNCTION("""COMPUTED_VALUE"""),0.4409502918974462)</f>
        <v>0.4409502919</v>
      </c>
      <c r="AU822" s="30">
        <f>IFERROR(__xludf.DUMMYFUNCTION("""COMPUTED_VALUE"""),3.634941908280938)</f>
        <v>3.634941908</v>
      </c>
      <c r="AV822" s="32">
        <f>IFERROR(__xludf.DUMMYFUNCTION("""COMPUTED_VALUE"""),47.91869126120442)</f>
        <v>47.91869126</v>
      </c>
      <c r="AW822" s="32">
        <f>IFERROR(__xludf.DUMMYFUNCTION("""COMPUTED_VALUE"""),-2.142128310667603)</f>
        <v>-2.142128311</v>
      </c>
      <c r="AX822" s="32">
        <f>IFERROR(__xludf.DUMMYFUNCTION("""COMPUTED_VALUE"""),48.39566545825899)</f>
        <v>48.39566546</v>
      </c>
      <c r="AY822" s="32">
        <f>IFERROR(__xludf.DUMMYFUNCTION("""COMPUTED_VALUE"""),-2.107854327585672)</f>
        <v>-2.107854328</v>
      </c>
      <c r="AZ822" s="30">
        <f>IFERROR(__xludf.DUMMYFUNCTION("""COMPUTED_VALUE"""),0.03427398308193075)</f>
        <v>0.03427398308</v>
      </c>
      <c r="BA822" s="30">
        <f>IFERROR(__xludf.DUMMYFUNCTION("""COMPUTED_VALUE"""),3200.0)</f>
        <v>3200</v>
      </c>
    </row>
    <row r="823">
      <c r="A823" s="71" t="str">
        <f>IFERROR(__xludf.DUMMYFUNCTION("""COMPUTED_VALUE"""),"Amateur")</f>
        <v>Amateur</v>
      </c>
      <c r="B823" s="71" t="str">
        <f>IFERROR(__xludf.DUMMYFUNCTION("""COMPUTED_VALUE"""),"RSC000968")</f>
        <v>RSC000968</v>
      </c>
      <c r="C823" s="30" t="str">
        <f>IFERROR(__xludf.DUMMYFUNCTION("""COMPUTED_VALUE"""),"Tsg_raven5336")</f>
        <v>Tsg_raven5336</v>
      </c>
      <c r="D823" s="30"/>
      <c r="E823" s="30">
        <f>IFERROR(__xludf.DUMMYFUNCTION("""COMPUTED_VALUE"""),6.0)</f>
        <v>6</v>
      </c>
      <c r="F823" s="30">
        <f>IFERROR(__xludf.DUMMYFUNCTION("""COMPUTED_VALUE"""),3.0)</f>
        <v>3</v>
      </c>
      <c r="G823" s="42">
        <f>IFERROR(__xludf.DUMMYFUNCTION("""COMPUTED_VALUE"""),3.0)</f>
        <v>3</v>
      </c>
      <c r="H823" s="42">
        <f>IFERROR(__xludf.DUMMYFUNCTION("""COMPUTED_VALUE"""),0.5)</f>
        <v>0.5</v>
      </c>
      <c r="I823" s="42">
        <f>IFERROR(__xludf.DUMMYFUNCTION("""COMPUTED_VALUE"""),0.0)</f>
        <v>0</v>
      </c>
      <c r="J823" s="30">
        <f>IFERROR(__xludf.DUMMYFUNCTION("""COMPUTED_VALUE"""),160.0)</f>
        <v>160</v>
      </c>
      <c r="K823" s="30">
        <f>IFERROR(__xludf.DUMMYFUNCTION("""COMPUTED_VALUE"""),0.0)</f>
        <v>0</v>
      </c>
      <c r="L823" s="30">
        <f>IFERROR(__xludf.DUMMYFUNCTION("""COMPUTED_VALUE"""),0.0)</f>
        <v>0</v>
      </c>
      <c r="M823" s="30">
        <f>IFERROR(__xludf.DUMMYFUNCTION("""COMPUTED_VALUE"""),0.8333333333333334)</f>
        <v>0.8333333333</v>
      </c>
      <c r="N823" s="30">
        <f>IFERROR(__xludf.DUMMYFUNCTION("""COMPUTED_VALUE"""),0.6666666666666666)</f>
        <v>0.6666666667</v>
      </c>
      <c r="O823" s="30">
        <f>IFERROR(__xludf.DUMMYFUNCTION("""COMPUTED_VALUE"""),281.23611111111114)</f>
        <v>281.2361111</v>
      </c>
      <c r="P823" s="30">
        <f>IFERROR(__xludf.DUMMYFUNCTION("""COMPUTED_VALUE"""),0.5694444444444444)</f>
        <v>0.5694444444</v>
      </c>
      <c r="Q823" s="30">
        <f>IFERROR(__xludf.DUMMYFUNCTION("""COMPUTED_VALUE"""),0.27777777777777773)</f>
        <v>0.2777777778</v>
      </c>
      <c r="R823" s="30">
        <f>IFERROR(__xludf.DUMMYFUNCTION("""COMPUTED_VALUE"""),1.125)</f>
        <v>1.125</v>
      </c>
      <c r="S823" s="30">
        <f>IFERROR(__xludf.DUMMYFUNCTION("""COMPUTED_VALUE"""),1.8472222222222223)</f>
        <v>1.847222222</v>
      </c>
      <c r="T823" s="30">
        <f>IFERROR(__xludf.DUMMYFUNCTION("""COMPUTED_VALUE"""),295.87502199145274)</f>
        <v>295.875022</v>
      </c>
      <c r="U823" s="30">
        <f>IFERROR(__xludf.DUMMYFUNCTION("""COMPUTED_VALUE"""),0.7531467134770135)</f>
        <v>0.7531467135</v>
      </c>
      <c r="V823" s="30">
        <f>IFERROR(__xludf.DUMMYFUNCTION("""COMPUTED_VALUE"""),0.4321804330061829)</f>
        <v>0.432180433</v>
      </c>
      <c r="W823" s="30">
        <f>IFERROR(__xludf.DUMMYFUNCTION("""COMPUTED_VALUE"""),0.8549470096992847)</f>
        <v>0.8549470097</v>
      </c>
      <c r="X823" s="30">
        <f>IFERROR(__xludf.DUMMYFUNCTION("""COMPUTED_VALUE"""),2.1954797645899773)</f>
        <v>2.195479765</v>
      </c>
      <c r="Y823" s="30">
        <f>IFERROR(__xludf.DUMMYFUNCTION("""COMPUTED_VALUE"""),300.71006729423306)</f>
        <v>300.7100673</v>
      </c>
      <c r="Z823" s="30">
        <f>IFERROR(__xludf.DUMMYFUNCTION("""COMPUTED_VALUE"""),0.7777953128395158)</f>
        <v>0.7777953128</v>
      </c>
      <c r="AA823" s="30">
        <f>IFERROR(__xludf.DUMMYFUNCTION("""COMPUTED_VALUE"""),0.46644917353477794)</f>
        <v>0.4664491735</v>
      </c>
      <c r="AB823" s="30">
        <f>IFERROR(__xludf.DUMMYFUNCTION("""COMPUTED_VALUE"""),0.9642154927366972)</f>
        <v>0.9642154927</v>
      </c>
      <c r="AC823" s="30">
        <f>IFERROR(__xludf.DUMMYFUNCTION("""COMPUTED_VALUE"""),2.053373440420808)</f>
        <v>2.05337344</v>
      </c>
      <c r="AD823" s="30">
        <f>IFERROR(__xludf.DUMMYFUNCTION("""COMPUTED_VALUE"""),0.532073972247315)</f>
        <v>0.5320739722</v>
      </c>
      <c r="AE823" s="30">
        <f>IFERROR(__xludf.DUMMYFUNCTION("""COMPUTED_VALUE"""),0.0)</f>
        <v>0</v>
      </c>
      <c r="AF823" s="30">
        <f>IFERROR(__xludf.DUMMYFUNCTION("""COMPUTED_VALUE"""),0.0)</f>
        <v>0</v>
      </c>
      <c r="AG823" s="30">
        <f>IFERROR(__xludf.DUMMYFUNCTION("""COMPUTED_VALUE"""),0.8642604683400328)</f>
        <v>0.8642604683</v>
      </c>
      <c r="AH823" s="30">
        <f>IFERROR(__xludf.DUMMYFUNCTION("""COMPUTED_VALUE"""),0.32466898302241765)</f>
        <v>0.324668983</v>
      </c>
      <c r="AI823" s="30">
        <f>IFERROR(__xludf.DUMMYFUNCTION("""COMPUTED_VALUE"""),0.9505233298106371)</f>
        <v>0.9505233298</v>
      </c>
      <c r="AJ823" s="30">
        <f>IFERROR(__xludf.DUMMYFUNCTION("""COMPUTED_VALUE"""),0.7560870070261871)</f>
        <v>0.756087007</v>
      </c>
      <c r="AK823" s="30">
        <f>IFERROR(__xludf.DUMMYFUNCTION("""COMPUTED_VALUE"""),0.6427356644667986)</f>
        <v>0.6427356645</v>
      </c>
      <c r="AL823" s="30">
        <f>IFERROR(__xludf.DUMMYFUNCTION("""COMPUTED_VALUE"""),1.3158710273701086)</f>
        <v>1.315871027</v>
      </c>
      <c r="AM823" s="30">
        <f>IFERROR(__xludf.DUMMYFUNCTION("""COMPUTED_VALUE"""),0.84137519826661)</f>
        <v>0.8413751983</v>
      </c>
      <c r="AN823" s="30">
        <f>IFERROR(__xludf.DUMMYFUNCTION("""COMPUTED_VALUE"""),0.5764504354809482)</f>
        <v>0.5764504355</v>
      </c>
      <c r="AO823" s="30">
        <f>IFERROR(__xludf.DUMMYFUNCTION("""COMPUTED_VALUE"""),0.0)</f>
        <v>0</v>
      </c>
      <c r="AP823" s="30">
        <f>IFERROR(__xludf.DUMMYFUNCTION("""COMPUTED_VALUE"""),0.0)</f>
        <v>0</v>
      </c>
      <c r="AQ823" s="30">
        <f>IFERROR(__xludf.DUMMYFUNCTION("""COMPUTED_VALUE"""),1.0374855068028361)</f>
        <v>1.037485507</v>
      </c>
      <c r="AR823" s="30">
        <f>IFERROR(__xludf.DUMMYFUNCTION("""COMPUTED_VALUE"""),0.34492182520180736)</f>
        <v>0.3449218252</v>
      </c>
      <c r="AS823" s="30">
        <f>IFERROR(__xludf.DUMMYFUNCTION("""COMPUTED_VALUE"""),23.0)</f>
        <v>23</v>
      </c>
      <c r="AT823" s="30">
        <f>IFERROR(__xludf.DUMMYFUNCTION("""COMPUTED_VALUE"""),0.7893731668945888)</f>
        <v>0.7893731669</v>
      </c>
      <c r="AU823" s="30">
        <f>IFERROR(__xludf.DUMMYFUNCTION("""COMPUTED_VALUE"""),-0.24930468338498837)</f>
        <v>-0.2493046834</v>
      </c>
      <c r="AV823" s="32">
        <f>IFERROR(__xludf.DUMMYFUNCTION("""COMPUTED_VALUE"""),5.9875646430963485)</f>
        <v>5.987564643</v>
      </c>
      <c r="AW823" s="32">
        <f>IFERROR(__xludf.DUMMYFUNCTION("""COMPUTED_VALUE"""),-25.53511856012352)</f>
        <v>-25.53511856</v>
      </c>
      <c r="AX823" s="32">
        <f>IFERROR(__xludf.DUMMYFUNCTION("""COMPUTED_VALUE"""),-7.472453492640099)</f>
        <v>-7.472453493</v>
      </c>
      <c r="AY823" s="32">
        <f>IFERROR(__xludf.DUMMYFUNCTION("""COMPUTED_VALUE"""),-92.97687948760452)</f>
        <v>-92.97687949</v>
      </c>
      <c r="AZ823" s="30">
        <f>IFERROR(__xludf.DUMMYFUNCTION("""COMPUTED_VALUE"""),67.441760927481)</f>
        <v>67.44176093</v>
      </c>
      <c r="BA823" s="30">
        <f>IFERROR(__xludf.DUMMYFUNCTION("""COMPUTED_VALUE"""),4000.0)</f>
        <v>4000</v>
      </c>
    </row>
    <row r="824">
      <c r="A824" s="71" t="str">
        <f>IFERROR(__xludf.DUMMYFUNCTION("""COMPUTED_VALUE"""),"Amateur")</f>
        <v>Amateur</v>
      </c>
      <c r="B824" s="71" t="str">
        <f>IFERROR(__xludf.DUMMYFUNCTION("""COMPUTED_VALUE"""),"RSC006022")</f>
        <v>RSC006022</v>
      </c>
      <c r="C824" s="30" t="str">
        <f>IFERROR(__xludf.DUMMYFUNCTION("""COMPUTED_VALUE"""),"N0MrThomasMn")</f>
        <v>N0MrThomasMn</v>
      </c>
      <c r="D824" s="30"/>
      <c r="E824" s="30">
        <f>IFERROR(__xludf.DUMMYFUNCTION("""COMPUTED_VALUE"""),8.0)</f>
        <v>8</v>
      </c>
      <c r="F824" s="30">
        <f>IFERROR(__xludf.DUMMYFUNCTION("""COMPUTED_VALUE"""),0.0)</f>
        <v>0</v>
      </c>
      <c r="G824" s="42">
        <f>IFERROR(__xludf.DUMMYFUNCTION("""COMPUTED_VALUE"""),8.0)</f>
        <v>8</v>
      </c>
      <c r="H824" s="42">
        <f>IFERROR(__xludf.DUMMYFUNCTION("""COMPUTED_VALUE"""),0.0)</f>
        <v>0</v>
      </c>
      <c r="I824" s="42">
        <f>IFERROR(__xludf.DUMMYFUNCTION("""COMPUTED_VALUE"""),0.4444444444444444)</f>
        <v>0.4444444444</v>
      </c>
      <c r="J824" s="30">
        <f>IFERROR(__xludf.DUMMYFUNCTION("""COMPUTED_VALUE"""),205.125)</f>
        <v>205.125</v>
      </c>
      <c r="K824" s="30">
        <f>IFERROR(__xludf.DUMMYFUNCTION("""COMPUTED_VALUE"""),0.5)</f>
        <v>0.5</v>
      </c>
      <c r="L824" s="30">
        <f>IFERROR(__xludf.DUMMYFUNCTION("""COMPUTED_VALUE"""),0.25)</f>
        <v>0.25</v>
      </c>
      <c r="M824" s="30">
        <f>IFERROR(__xludf.DUMMYFUNCTION("""COMPUTED_VALUE"""),0.5)</f>
        <v>0.5</v>
      </c>
      <c r="N824" s="30">
        <f>IFERROR(__xludf.DUMMYFUNCTION("""COMPUTED_VALUE"""),1.125)</f>
        <v>1.125</v>
      </c>
      <c r="O824" s="30">
        <f>IFERROR(__xludf.DUMMYFUNCTION("""COMPUTED_VALUE"""),429.3958333333333)</f>
        <v>429.3958333</v>
      </c>
      <c r="P824" s="30">
        <f>IFERROR(__xludf.DUMMYFUNCTION("""COMPUTED_VALUE"""),1.7187499999999998)</f>
        <v>1.71875</v>
      </c>
      <c r="Q824" s="30">
        <f>IFERROR(__xludf.DUMMYFUNCTION("""COMPUTED_VALUE"""),1.1770833333333333)</f>
        <v>1.177083333</v>
      </c>
      <c r="R824" s="30">
        <f>IFERROR(__xludf.DUMMYFUNCTION("""COMPUTED_VALUE"""),0.5416666666666666)</f>
        <v>0.5416666667</v>
      </c>
      <c r="S824" s="30">
        <f>IFERROR(__xludf.DUMMYFUNCTION("""COMPUTED_VALUE"""),3.2604166666666665)</f>
        <v>3.260416667</v>
      </c>
      <c r="T824" s="30">
        <f>IFERROR(__xludf.DUMMYFUNCTION("""COMPUTED_VALUE"""),288.6392884892885)</f>
        <v>288.6392885</v>
      </c>
      <c r="U824" s="30">
        <f>IFERROR(__xludf.DUMMYFUNCTION("""COMPUTED_VALUE"""),0.7172690417684697)</f>
        <v>0.7172690418</v>
      </c>
      <c r="V824" s="30">
        <f>IFERROR(__xludf.DUMMYFUNCTION("""COMPUTED_VALUE"""),0.4468656020858538)</f>
        <v>0.4468656021</v>
      </c>
      <c r="W824" s="30">
        <f>IFERROR(__xludf.DUMMYFUNCTION("""COMPUTED_VALUE"""),0.8163942290229473)</f>
        <v>0.816394229</v>
      </c>
      <c r="X824" s="30">
        <f>IFERROR(__xludf.DUMMYFUNCTION("""COMPUTED_VALUE"""),2.123223942660441)</f>
        <v>2.123223943</v>
      </c>
      <c r="Y824" s="30">
        <f>IFERROR(__xludf.DUMMYFUNCTION("""COMPUTED_VALUE"""),297.2994319045699)</f>
        <v>297.2994319</v>
      </c>
      <c r="Z824" s="30">
        <f>IFERROR(__xludf.DUMMYFUNCTION("""COMPUTED_VALUE"""),0.7573835260584406)</f>
        <v>0.7573835261</v>
      </c>
      <c r="AA824" s="30">
        <f>IFERROR(__xludf.DUMMYFUNCTION("""COMPUTED_VALUE"""),0.43551461137035136)</f>
        <v>0.4355146114</v>
      </c>
      <c r="AB824" s="30">
        <f>IFERROR(__xludf.DUMMYFUNCTION("""COMPUTED_VALUE"""),0.9528633973380352)</f>
        <v>0.9528633973</v>
      </c>
      <c r="AC824" s="30">
        <f>IFERROR(__xludf.DUMMYFUNCTION("""COMPUTED_VALUE"""),2.0519596866040417)</f>
        <v>2.051959687</v>
      </c>
      <c r="AD824" s="30">
        <f>IFERROR(__xludf.DUMMYFUNCTION("""COMPUTED_VALUE"""),0.6899609551418284)</f>
        <v>0.6899609551</v>
      </c>
      <c r="AE824" s="30">
        <f>IFERROR(__xludf.DUMMYFUNCTION("""COMPUTED_VALUE"""),0.6601675146039807)</f>
        <v>0.6601675146</v>
      </c>
      <c r="AF824" s="30">
        <f>IFERROR(__xludf.DUMMYFUNCTION("""COMPUTED_VALUE"""),0.574033553577852)</f>
        <v>0.5740335536</v>
      </c>
      <c r="AG824" s="30">
        <f>IFERROR(__xludf.DUMMYFUNCTION("""COMPUTED_VALUE"""),0.5247341868696226)</f>
        <v>0.5247341869</v>
      </c>
      <c r="AH824" s="30">
        <f>IFERROR(__xludf.DUMMYFUNCTION("""COMPUTED_VALUE"""),0.5482563850276493)</f>
        <v>0.548256385</v>
      </c>
      <c r="AI824" s="30">
        <f>IFERROR(__xludf.DUMMYFUNCTION("""COMPUTED_VALUE"""),1.4876555287422986)</f>
        <v>1.487655529</v>
      </c>
      <c r="AJ824" s="30">
        <f>IFERROR(__xludf.DUMMYFUNCTION("""COMPUTED_VALUE"""),2.396241716723642)</f>
        <v>2.396241717</v>
      </c>
      <c r="AK824" s="30">
        <f>IFERROR(__xludf.DUMMYFUNCTION("""COMPUTED_VALUE"""),2.6340880296872498)</f>
        <v>2.63408803</v>
      </c>
      <c r="AL824" s="30">
        <f>IFERROR(__xludf.DUMMYFUNCTION("""COMPUTED_VALUE"""),0.663486643352352)</f>
        <v>0.6634866434</v>
      </c>
      <c r="AM824" s="30">
        <f>IFERROR(__xludf.DUMMYFUNCTION("""COMPUTED_VALUE"""),1.5355971648385336)</f>
        <v>1.535597165</v>
      </c>
      <c r="AN824" s="30">
        <f>IFERROR(__xludf.DUMMYFUNCTION("""COMPUTED_VALUE"""),0.7390274723626844)</f>
        <v>0.7390274724</v>
      </c>
      <c r="AO824" s="30">
        <f>IFERROR(__xludf.DUMMYFUNCTION("""COMPUTED_VALUE"""),0.6880131861902461)</f>
        <v>0.6880131862</v>
      </c>
      <c r="AP824" s="30">
        <f>IFERROR(__xludf.DUMMYFUNCTION("""COMPUTED_VALUE"""),0.5987923237487229)</f>
        <v>0.5987923237</v>
      </c>
      <c r="AQ824" s="30">
        <f>IFERROR(__xludf.DUMMYFUNCTION("""COMPUTED_VALUE"""),0.6224913040817016)</f>
        <v>0.6224913041</v>
      </c>
      <c r="AR824" s="30">
        <f>IFERROR(__xludf.DUMMYFUNCTION("""COMPUTED_VALUE"""),0.58205558002805)</f>
        <v>0.58205558</v>
      </c>
      <c r="AS824" s="30">
        <f>IFERROR(__xludf.DUMMYFUNCTION("""COMPUTED_VALUE"""),28.0)</f>
        <v>28</v>
      </c>
      <c r="AT824" s="30">
        <f>IFERROR(__xludf.DUMMYFUNCTION("""COMPUTED_VALUE"""),0.32743203820014577)</f>
        <v>0.3274320382</v>
      </c>
      <c r="AU824" s="30">
        <f>IFERROR(__xludf.DUMMYFUNCTION("""COMPUTED_VALUE"""),-0.6470546044315719)</f>
        <v>-0.6470546044</v>
      </c>
      <c r="AV824" s="32">
        <f>IFERROR(__xludf.DUMMYFUNCTION("""COMPUTED_VALUE"""),-1.8353311619753612)</f>
        <v>-1.835331162</v>
      </c>
      <c r="AW824" s="32">
        <f>IFERROR(__xludf.DUMMYFUNCTION("""COMPUTED_VALUE"""),-52.44685944754711)</f>
        <v>-52.44685945</v>
      </c>
      <c r="AX824" s="32">
        <f>IFERROR(__xludf.DUMMYFUNCTION("""COMPUTED_VALUE"""),7.0869850606403375)</f>
        <v>7.086985061</v>
      </c>
      <c r="AY824" s="32">
        <f>IFERROR(__xludf.DUMMYFUNCTION("""COMPUTED_VALUE"""),-23.237763791407)</f>
        <v>-23.23776379</v>
      </c>
      <c r="AZ824" s="30">
        <f>IFERROR(__xludf.DUMMYFUNCTION("""COMPUTED_VALUE"""),29.20909565614011)</f>
        <v>29.20909566</v>
      </c>
      <c r="BA824" s="30">
        <f>IFERROR(__xludf.DUMMYFUNCTION("""COMPUTED_VALUE"""),4000.0)</f>
        <v>4000</v>
      </c>
    </row>
    <row r="825">
      <c r="A825" s="71" t="str">
        <f>IFERROR(__xludf.DUMMYFUNCTION("""COMPUTED_VALUE"""),"Amateur")</f>
        <v>Amateur</v>
      </c>
      <c r="B825" s="71" t="str">
        <f>IFERROR(__xludf.DUMMYFUNCTION("""COMPUTED_VALUE"""),"RSC007393")</f>
        <v>RSC007393</v>
      </c>
      <c r="C825" s="30" t="str">
        <f>IFERROR(__xludf.DUMMYFUNCTION("""COMPUTED_VALUE"""),"Ubfghki9442")</f>
        <v>Ubfghki9442</v>
      </c>
      <c r="D825" s="30" t="str">
        <f>IFERROR(__xludf.DUMMYFUNCTION("""COMPUTED_VALUE"""),"Kiwis")</f>
        <v>Kiwis</v>
      </c>
      <c r="E825" s="30">
        <f>IFERROR(__xludf.DUMMYFUNCTION("""COMPUTED_VALUE"""),6.0)</f>
        <v>6</v>
      </c>
      <c r="F825" s="30">
        <f>IFERROR(__xludf.DUMMYFUNCTION("""COMPUTED_VALUE"""),3.0)</f>
        <v>3</v>
      </c>
      <c r="G825" s="42">
        <f>IFERROR(__xludf.DUMMYFUNCTION("""COMPUTED_VALUE"""),3.0)</f>
        <v>3</v>
      </c>
      <c r="H825" s="42">
        <f>IFERROR(__xludf.DUMMYFUNCTION("""COMPUTED_VALUE"""),0.5)</f>
        <v>0.5</v>
      </c>
      <c r="I825" s="42">
        <f>IFERROR(__xludf.DUMMYFUNCTION("""COMPUTED_VALUE"""),0.5)</f>
        <v>0.5</v>
      </c>
      <c r="J825" s="30">
        <f>IFERROR(__xludf.DUMMYFUNCTION("""COMPUTED_VALUE"""),158.16666666666666)</f>
        <v>158.1666667</v>
      </c>
      <c r="K825" s="30">
        <f>IFERROR(__xludf.DUMMYFUNCTION("""COMPUTED_VALUE"""),0.5)</f>
        <v>0.5</v>
      </c>
      <c r="L825" s="30">
        <f>IFERROR(__xludf.DUMMYFUNCTION("""COMPUTED_VALUE"""),0.3333333333333333)</f>
        <v>0.3333333333</v>
      </c>
      <c r="M825" s="30">
        <f>IFERROR(__xludf.DUMMYFUNCTION("""COMPUTED_VALUE"""),0.16666666666666666)</f>
        <v>0.1666666667</v>
      </c>
      <c r="N825" s="30">
        <f>IFERROR(__xludf.DUMMYFUNCTION("""COMPUTED_VALUE"""),1.0)</f>
        <v>1</v>
      </c>
      <c r="O825" s="30">
        <f>IFERROR(__xludf.DUMMYFUNCTION("""COMPUTED_VALUE"""),267.69444444444446)</f>
        <v>267.6944444</v>
      </c>
      <c r="P825" s="30">
        <f>IFERROR(__xludf.DUMMYFUNCTION("""COMPUTED_VALUE"""),0.5972222222222222)</f>
        <v>0.5972222222</v>
      </c>
      <c r="Q825" s="30">
        <f>IFERROR(__xludf.DUMMYFUNCTION("""COMPUTED_VALUE"""),0.4305555555555556)</f>
        <v>0.4305555556</v>
      </c>
      <c r="R825" s="30">
        <f>IFERROR(__xludf.DUMMYFUNCTION("""COMPUTED_VALUE"""),0.6249999999999999)</f>
        <v>0.625</v>
      </c>
      <c r="S825" s="30">
        <f>IFERROR(__xludf.DUMMYFUNCTION("""COMPUTED_VALUE"""),2.4722222222222223)</f>
        <v>2.472222222</v>
      </c>
      <c r="T825" s="30">
        <f>IFERROR(__xludf.DUMMYFUNCTION("""COMPUTED_VALUE"""),298.09133795362106)</f>
        <v>298.091338</v>
      </c>
      <c r="U825" s="30">
        <f>IFERROR(__xludf.DUMMYFUNCTION("""COMPUTED_VALUE"""),0.7636981970844854)</f>
        <v>0.7636981971</v>
      </c>
      <c r="V825" s="30">
        <f>IFERROR(__xludf.DUMMYFUNCTION("""COMPUTED_VALUE"""),0.44497257091849357)</f>
        <v>0.4449725709</v>
      </c>
      <c r="W825" s="30">
        <f>IFERROR(__xludf.DUMMYFUNCTION("""COMPUTED_VALUE"""),0.8203346463527894)</f>
        <v>0.8203346464</v>
      </c>
      <c r="X825" s="30">
        <f>IFERROR(__xludf.DUMMYFUNCTION("""COMPUTED_VALUE"""),2.197325814911136)</f>
        <v>2.197325815</v>
      </c>
      <c r="Y825" s="30">
        <f>IFERROR(__xludf.DUMMYFUNCTION("""COMPUTED_VALUE"""),294.022934520428)</f>
        <v>294.0229345</v>
      </c>
      <c r="Z825" s="30">
        <f>IFERROR(__xludf.DUMMYFUNCTION("""COMPUTED_VALUE"""),0.7594163732498506)</f>
        <v>0.7594163732</v>
      </c>
      <c r="AA825" s="30">
        <f>IFERROR(__xludf.DUMMYFUNCTION("""COMPUTED_VALUE"""),0.4132880225096318)</f>
        <v>0.4132880225</v>
      </c>
      <c r="AB825" s="30">
        <f>IFERROR(__xludf.DUMMYFUNCTION("""COMPUTED_VALUE"""),0.9505343125379074)</f>
        <v>0.9505343125</v>
      </c>
      <c r="AC825" s="30">
        <f>IFERROR(__xludf.DUMMYFUNCTION("""COMPUTED_VALUE"""),1.9942106390215117)</f>
        <v>1.994210639</v>
      </c>
      <c r="AD825" s="30">
        <f>IFERROR(__xludf.DUMMYFUNCTION("""COMPUTED_VALUE"""),0.5379398954868863)</f>
        <v>0.5379398955</v>
      </c>
      <c r="AE825" s="30">
        <f>IFERROR(__xludf.DUMMYFUNCTION("""COMPUTED_VALUE"""),0.6584003421736844)</f>
        <v>0.6584003422</v>
      </c>
      <c r="AF825" s="30">
        <f>IFERROR(__xludf.DUMMYFUNCTION("""COMPUTED_VALUE"""),0.8065400282089348)</f>
        <v>0.8065400282</v>
      </c>
      <c r="AG825" s="30">
        <f>IFERROR(__xludf.DUMMYFUNCTION("""COMPUTED_VALUE"""),0.1753399792814107)</f>
        <v>0.1753399793</v>
      </c>
      <c r="AH825" s="30">
        <f>IFERROR(__xludf.DUMMYFUNCTION("""COMPUTED_VALUE"""),0.501451541994914)</f>
        <v>0.501451542</v>
      </c>
      <c r="AI825" s="30">
        <f>IFERROR(__xludf.DUMMYFUNCTION("""COMPUTED_VALUE"""),0.8980282563128152)</f>
        <v>0.8980282563</v>
      </c>
      <c r="AJ825" s="30">
        <f>IFERROR(__xludf.DUMMYFUNCTION("""COMPUTED_VALUE"""),0.7820133980965173)</f>
        <v>0.7820133981</v>
      </c>
      <c r="AK825" s="30">
        <f>IFERROR(__xludf.DUMMYFUNCTION("""COMPUTED_VALUE"""),0.9676002155971569)</f>
        <v>0.9676002156</v>
      </c>
      <c r="AL825" s="30">
        <f>IFERROR(__xludf.DUMMYFUNCTION("""COMPUTED_VALUE"""),0.7618841929677748)</f>
        <v>0.761884193</v>
      </c>
      <c r="AM825" s="30">
        <f>IFERROR(__xludf.DUMMYFUNCTION("""COMPUTED_VALUE"""),1.1251049823588422)</f>
        <v>1.125104982</v>
      </c>
      <c r="AN825" s="30">
        <f>IFERROR(__xludf.DUMMYFUNCTION("""COMPUTED_VALUE"""),0.5698452742410623)</f>
        <v>0.5698452742</v>
      </c>
      <c r="AO825" s="30">
        <f>IFERROR(__xludf.DUMMYFUNCTION("""COMPUTED_VALUE"""),0.6880131861902461)</f>
        <v>0.6880131862</v>
      </c>
      <c r="AP825" s="30">
        <f>IFERROR(__xludf.DUMMYFUNCTION("""COMPUTED_VALUE"""),0.7983897649982972)</f>
        <v>0.798389765</v>
      </c>
      <c r="AQ825" s="30">
        <f>IFERROR(__xludf.DUMMYFUNCTION("""COMPUTED_VALUE"""),0.20749710136056718)</f>
        <v>0.2074971014</v>
      </c>
      <c r="AR825" s="30">
        <f>IFERROR(__xludf.DUMMYFUNCTION("""COMPUTED_VALUE"""),0.5173827378027112)</f>
        <v>0.5173827378</v>
      </c>
      <c r="AS825" s="30">
        <f>IFERROR(__xludf.DUMMYFUNCTION("""COMPUTED_VALUE"""),30.0)</f>
        <v>30</v>
      </c>
      <c r="AT825" s="30">
        <f>IFERROR(__xludf.DUMMYFUNCTION("""COMPUTED_VALUE"""),0.8555085771982943)</f>
        <v>0.8555085772</v>
      </c>
      <c r="AU825" s="30">
        <f>IFERROR(__xludf.DUMMYFUNCTION("""COMPUTED_VALUE"""),0.8656738773817628)</f>
        <v>0.8656738774</v>
      </c>
      <c r="AV825" s="32">
        <f>IFERROR(__xludf.DUMMYFUNCTION("""COMPUTED_VALUE"""),27.91682381885257)</f>
        <v>27.91682382</v>
      </c>
      <c r="AW825" s="32">
        <f>IFERROR(__xludf.DUMMYFUNCTION("""COMPUTED_VALUE"""),-5.304201325772775)</f>
        <v>-5.304201326</v>
      </c>
      <c r="AX825" s="32">
        <f>IFERROR(__xludf.DUMMYFUNCTION("""COMPUTED_VALUE"""),2.8596259891973475)</f>
        <v>2.859625989</v>
      </c>
      <c r="AY825" s="32">
        <f>IFERROR(__xludf.DUMMYFUNCTION("""COMPUTED_VALUE"""),-33.7001823391973)</f>
        <v>-33.70018234</v>
      </c>
      <c r="AZ825" s="30">
        <f>IFERROR(__xludf.DUMMYFUNCTION("""COMPUTED_VALUE"""),28.395981013424525)</f>
        <v>28.39598101</v>
      </c>
      <c r="BA825" s="30">
        <f>IFERROR(__xludf.DUMMYFUNCTION("""COMPUTED_VALUE"""),4000.0)</f>
        <v>4000</v>
      </c>
    </row>
    <row r="826">
      <c r="A826" s="71" t="str">
        <f>IFERROR(__xludf.DUMMYFUNCTION("""COMPUTED_VALUE"""),"Amateur")</f>
        <v>Amateur</v>
      </c>
      <c r="B826" s="71" t="str">
        <f>IFERROR(__xludf.DUMMYFUNCTION("""COMPUTED_VALUE"""),"RSC007587")</f>
        <v>RSC007587</v>
      </c>
      <c r="C826" s="30" t="str">
        <f>IFERROR(__xludf.DUMMYFUNCTION("""COMPUTED_VALUE"""),"ShortyoShire")</f>
        <v>ShortyoShire</v>
      </c>
      <c r="D826" s="30" t="str">
        <f>IFERROR(__xludf.DUMMYFUNCTION("""COMPUTED_VALUE"""),"Aloof Goofs")</f>
        <v>Aloof Goofs</v>
      </c>
      <c r="E826" s="30">
        <f>IFERROR(__xludf.DUMMYFUNCTION("""COMPUTED_VALUE"""),9.0)</f>
        <v>9</v>
      </c>
      <c r="F826" s="30">
        <f>IFERROR(__xludf.DUMMYFUNCTION("""COMPUTED_VALUE"""),3.0)</f>
        <v>3</v>
      </c>
      <c r="G826" s="42">
        <f>IFERROR(__xludf.DUMMYFUNCTION("""COMPUTED_VALUE"""),6.0)</f>
        <v>6</v>
      </c>
      <c r="H826" s="42">
        <f>IFERROR(__xludf.DUMMYFUNCTION("""COMPUTED_VALUE"""),0.3333333333333333)</f>
        <v>0.3333333333</v>
      </c>
      <c r="I826" s="42">
        <f>IFERROR(__xludf.DUMMYFUNCTION("""COMPUTED_VALUE"""),0.16666666666666666)</f>
        <v>0.1666666667</v>
      </c>
      <c r="J826" s="30">
        <f>IFERROR(__xludf.DUMMYFUNCTION("""COMPUTED_VALUE"""),125.22222222222223)</f>
        <v>125.2222222</v>
      </c>
      <c r="K826" s="30">
        <f>IFERROR(__xludf.DUMMYFUNCTION("""COMPUTED_VALUE"""),0.1111111111111111)</f>
        <v>0.1111111111</v>
      </c>
      <c r="L826" s="30">
        <f>IFERROR(__xludf.DUMMYFUNCTION("""COMPUTED_VALUE"""),0.0)</f>
        <v>0</v>
      </c>
      <c r="M826" s="30">
        <f>IFERROR(__xludf.DUMMYFUNCTION("""COMPUTED_VALUE"""),0.5555555555555556)</f>
        <v>0.5555555556</v>
      </c>
      <c r="N826" s="30">
        <f>IFERROR(__xludf.DUMMYFUNCTION("""COMPUTED_VALUE"""),0.6666666666666666)</f>
        <v>0.6666666667</v>
      </c>
      <c r="O826" s="30">
        <f>IFERROR(__xludf.DUMMYFUNCTION("""COMPUTED_VALUE"""),355.00925925925924)</f>
        <v>355.0092593</v>
      </c>
      <c r="P826" s="30">
        <f>IFERROR(__xludf.DUMMYFUNCTION("""COMPUTED_VALUE"""),1.2777777777777777)</f>
        <v>1.277777778</v>
      </c>
      <c r="Q826" s="30">
        <f>IFERROR(__xludf.DUMMYFUNCTION("""COMPUTED_VALUE"""),0.8148148148148147)</f>
        <v>0.8148148148</v>
      </c>
      <c r="R826" s="30">
        <f>IFERROR(__xludf.DUMMYFUNCTION("""COMPUTED_VALUE"""),0.5925925925925926)</f>
        <v>0.5925925926</v>
      </c>
      <c r="S826" s="30">
        <f>IFERROR(__xludf.DUMMYFUNCTION("""COMPUTED_VALUE"""),2.657407407407407)</f>
        <v>2.657407407</v>
      </c>
      <c r="T826" s="30">
        <f>IFERROR(__xludf.DUMMYFUNCTION("""COMPUTED_VALUE"""),287.41082482525746)</f>
        <v>287.4108248</v>
      </c>
      <c r="U826" s="30">
        <f>IFERROR(__xludf.DUMMYFUNCTION("""COMPUTED_VALUE"""),0.7098632643127473)</f>
        <v>0.7098632643</v>
      </c>
      <c r="V826" s="30">
        <f>IFERROR(__xludf.DUMMYFUNCTION("""COMPUTED_VALUE"""),0.439046383135215)</f>
        <v>0.4390463831</v>
      </c>
      <c r="W826" s="30">
        <f>IFERROR(__xludf.DUMMYFUNCTION("""COMPUTED_VALUE"""),0.8492696317994475)</f>
        <v>0.8492696318</v>
      </c>
      <c r="X826" s="30">
        <f>IFERROR(__xludf.DUMMYFUNCTION("""COMPUTED_VALUE"""),2.0460784516125825)</f>
        <v>2.046078452</v>
      </c>
      <c r="Y826" s="30">
        <f>IFERROR(__xludf.DUMMYFUNCTION("""COMPUTED_VALUE"""),303.730175753755)</f>
        <v>303.7301758</v>
      </c>
      <c r="Z826" s="30">
        <f>IFERROR(__xludf.DUMMYFUNCTION("""COMPUTED_VALUE"""),0.8222606497547003)</f>
        <v>0.8222606498</v>
      </c>
      <c r="AA826" s="30">
        <f>IFERROR(__xludf.DUMMYFUNCTION("""COMPUTED_VALUE"""),0.4594866262411947)</f>
        <v>0.4594866262</v>
      </c>
      <c r="AB826" s="30">
        <f>IFERROR(__xludf.DUMMYFUNCTION("""COMPUTED_VALUE"""),0.8977390354722152)</f>
        <v>0.8977390355</v>
      </c>
      <c r="AC826" s="30">
        <f>IFERROR(__xludf.DUMMYFUNCTION("""COMPUTED_VALUE"""),2.16644747086953)</f>
        <v>2.166447471</v>
      </c>
      <c r="AD826" s="30">
        <f>IFERROR(__xludf.DUMMYFUNCTION("""COMPUTED_VALUE"""),0.4122811370699775)</f>
        <v>0.4122811371</v>
      </c>
      <c r="AE826" s="30">
        <f>IFERROR(__xludf.DUMMYFUNCTION("""COMPUTED_VALUE"""),0.1351288197291919)</f>
        <v>0.1351288197</v>
      </c>
      <c r="AF826" s="30">
        <f>IFERROR(__xludf.DUMMYFUNCTION("""COMPUTED_VALUE"""),0.0)</f>
        <v>0</v>
      </c>
      <c r="AG826" s="30">
        <f>IFERROR(__xludf.DUMMYFUNCTION("""COMPUTED_VALUE"""),0.6188385862750533)</f>
        <v>0.6188385863</v>
      </c>
      <c r="AH826" s="30">
        <f>IFERROR(__xludf.DUMMYFUNCTION("""COMPUTED_VALUE"""),0.30772343923902845)</f>
        <v>0.3077234392</v>
      </c>
      <c r="AI826" s="30">
        <f>IFERROR(__xludf.DUMMYFUNCTION("""COMPUTED_VALUE"""),1.2351979417445424)</f>
        <v>1.235197942</v>
      </c>
      <c r="AJ826" s="30">
        <f>IFERROR(__xludf.DUMMYFUNCTION("""COMPUTED_VALUE"""),1.8000336712942255)</f>
        <v>1.800033671</v>
      </c>
      <c r="AK826" s="30">
        <f>IFERROR(__xludf.DUMMYFUNCTION("""COMPUTED_VALUE"""),1.8558741083259822)</f>
        <v>1.855874108</v>
      </c>
      <c r="AL826" s="30">
        <f>IFERROR(__xludf.DUMMYFUNCTION("""COMPUTED_VALUE"""),0.6977673172382214)</f>
        <v>0.6977673172</v>
      </c>
      <c r="AM826" s="30">
        <f>IFERROR(__xludf.DUMMYFUNCTION("""COMPUTED_VALUE"""),1.2987807995890948)</f>
        <v>1.2987808</v>
      </c>
      <c r="AN826" s="30">
        <f>IFERROR(__xludf.DUMMYFUNCTION("""COMPUTED_VALUE"""),0.45115252832432545)</f>
        <v>0.4511525283</v>
      </c>
      <c r="AO826" s="30">
        <f>IFERROR(__xludf.DUMMYFUNCTION("""COMPUTED_VALUE"""),0.152891819153388)</f>
        <v>0.1528918192</v>
      </c>
      <c r="AP826" s="30">
        <f>IFERROR(__xludf.DUMMYFUNCTION("""COMPUTED_VALUE"""),0.0)</f>
        <v>0</v>
      </c>
      <c r="AQ826" s="30">
        <f>IFERROR(__xludf.DUMMYFUNCTION("""COMPUTED_VALUE"""),0.691657004535224)</f>
        <v>0.6916570045</v>
      </c>
      <c r="AR826" s="30">
        <f>IFERROR(__xludf.DUMMYFUNCTION("""COMPUTED_VALUE"""),0.34492182520180736)</f>
        <v>0.3449218252</v>
      </c>
      <c r="AS826" s="30">
        <f>IFERROR(__xludf.DUMMYFUNCTION("""COMPUTED_VALUE"""),51.0)</f>
        <v>51</v>
      </c>
      <c r="AT826" s="30">
        <f>IFERROR(__xludf.DUMMYFUNCTION("""COMPUTED_VALUE"""),0.6782675490969696)</f>
        <v>0.6782675491</v>
      </c>
      <c r="AU826" s="30">
        <f>IFERROR(__xludf.DUMMYFUNCTION("""COMPUTED_VALUE"""),-1.362626968515207)</f>
        <v>-1.362626969</v>
      </c>
      <c r="AV826" s="32">
        <f>IFERROR(__xludf.DUMMYFUNCTION("""COMPUTED_VALUE"""),-15.909119110155757)</f>
        <v>-15.90911911</v>
      </c>
      <c r="AW826" s="32">
        <f>IFERROR(__xludf.DUMMYFUNCTION("""COMPUTED_VALUE"""),-238.6646356682927)</f>
        <v>-238.6646357</v>
      </c>
      <c r="AX826" s="32">
        <f>IFERROR(__xludf.DUMMYFUNCTION("""COMPUTED_VALUE"""),-15.169842605495433)</f>
        <v>-15.16984261</v>
      </c>
      <c r="AY826" s="32">
        <f>IFERROR(__xludf.DUMMYFUNCTION("""COMPUTED_VALUE"""),-218.8317759484102)</f>
        <v>-218.8317759</v>
      </c>
      <c r="AZ826" s="30">
        <f>IFERROR(__xludf.DUMMYFUNCTION("""COMPUTED_VALUE"""),19.832859719882492)</f>
        <v>19.83285972</v>
      </c>
      <c r="BA826" s="30">
        <f>IFERROR(__xludf.DUMMYFUNCTION("""COMPUTED_VALUE"""),4000.0)</f>
        <v>4000</v>
      </c>
    </row>
    <row r="827">
      <c r="A827" s="71" t="str">
        <f>IFERROR(__xludf.DUMMYFUNCTION("""COMPUTED_VALUE"""),"Amateur")</f>
        <v>Amateur</v>
      </c>
      <c r="B827" s="71" t="str">
        <f>IFERROR(__xludf.DUMMYFUNCTION("""COMPUTED_VALUE"""),"RSC007993")</f>
        <v>RSC007993</v>
      </c>
      <c r="C827" s="30" t="str">
        <f>IFERROR(__xludf.DUMMYFUNCTION("""COMPUTED_VALUE"""),"Origami Box")</f>
        <v>Origami Box</v>
      </c>
      <c r="D827" s="30" t="str">
        <f>IFERROR(__xludf.DUMMYFUNCTION("""COMPUTED_VALUE"""),"Aeon Ale")</f>
        <v>Aeon Ale</v>
      </c>
      <c r="E827" s="30">
        <f>IFERROR(__xludf.DUMMYFUNCTION("""COMPUTED_VALUE"""),15.0)</f>
        <v>15</v>
      </c>
      <c r="F827" s="30">
        <f>IFERROR(__xludf.DUMMYFUNCTION("""COMPUTED_VALUE"""),5.0)</f>
        <v>5</v>
      </c>
      <c r="G827" s="42">
        <f>IFERROR(__xludf.DUMMYFUNCTION("""COMPUTED_VALUE"""),10.0)</f>
        <v>10</v>
      </c>
      <c r="H827" s="42">
        <f>IFERROR(__xludf.DUMMYFUNCTION("""COMPUTED_VALUE"""),0.3333333333333333)</f>
        <v>0.3333333333</v>
      </c>
      <c r="I827" s="42">
        <f>IFERROR(__xludf.DUMMYFUNCTION("""COMPUTED_VALUE"""),0.33333333333333337)</f>
        <v>0.3333333333</v>
      </c>
      <c r="J827" s="30">
        <f>IFERROR(__xludf.DUMMYFUNCTION("""COMPUTED_VALUE"""),191.6)</f>
        <v>191.6</v>
      </c>
      <c r="K827" s="30">
        <f>IFERROR(__xludf.DUMMYFUNCTION("""COMPUTED_VALUE"""),0.4)</f>
        <v>0.4</v>
      </c>
      <c r="L827" s="30">
        <f>IFERROR(__xludf.DUMMYFUNCTION("""COMPUTED_VALUE"""),0.2)</f>
        <v>0.2</v>
      </c>
      <c r="M827" s="30">
        <f>IFERROR(__xludf.DUMMYFUNCTION("""COMPUTED_VALUE"""),0.8666666666666667)</f>
        <v>0.8666666667</v>
      </c>
      <c r="N827" s="30">
        <f>IFERROR(__xludf.DUMMYFUNCTION("""COMPUTED_VALUE"""),1.2)</f>
        <v>1.2</v>
      </c>
      <c r="O827" s="30">
        <f>IFERROR(__xludf.DUMMYFUNCTION("""COMPUTED_VALUE"""),308.12222222222226)</f>
        <v>308.1222222</v>
      </c>
      <c r="P827" s="30">
        <f>IFERROR(__xludf.DUMMYFUNCTION("""COMPUTED_VALUE"""),0.9055555555555556)</f>
        <v>0.9055555556</v>
      </c>
      <c r="Q827" s="30">
        <f>IFERROR(__xludf.DUMMYFUNCTION("""COMPUTED_VALUE"""),0.5111111111111111)</f>
        <v>0.5111111111</v>
      </c>
      <c r="R827" s="30">
        <f>IFERROR(__xludf.DUMMYFUNCTION("""COMPUTED_VALUE"""),0.711111111111111)</f>
        <v>0.7111111111</v>
      </c>
      <c r="S827" s="30">
        <f>IFERROR(__xludf.DUMMYFUNCTION("""COMPUTED_VALUE"""),2.3833333333333333)</f>
        <v>2.383333333</v>
      </c>
      <c r="T827" s="30">
        <f>IFERROR(__xludf.DUMMYFUNCTION("""COMPUTED_VALUE"""),302.1155637216429)</f>
        <v>302.1155637</v>
      </c>
      <c r="U827" s="30">
        <f>IFERROR(__xludf.DUMMYFUNCTION("""COMPUTED_VALUE"""),0.8021457509883658)</f>
        <v>0.802145751</v>
      </c>
      <c r="V827" s="30">
        <f>IFERROR(__xludf.DUMMYFUNCTION("""COMPUTED_VALUE"""),0.45484378335071424)</f>
        <v>0.4548437834</v>
      </c>
      <c r="W827" s="30">
        <f>IFERROR(__xludf.DUMMYFUNCTION("""COMPUTED_VALUE"""),0.904188256033294)</f>
        <v>0.904188256</v>
      </c>
      <c r="X827" s="30">
        <f>IFERROR(__xludf.DUMMYFUNCTION("""COMPUTED_VALUE"""),2.1835200252466263)</f>
        <v>2.183520025</v>
      </c>
      <c r="Y827" s="30">
        <f>IFERROR(__xludf.DUMMYFUNCTION("""COMPUTED_VALUE"""),303.0407110990838)</f>
        <v>303.0407111</v>
      </c>
      <c r="Z827" s="30">
        <f>IFERROR(__xludf.DUMMYFUNCTION("""COMPUTED_VALUE"""),0.8248960332574832)</f>
        <v>0.8248960333</v>
      </c>
      <c r="AA827" s="30">
        <f>IFERROR(__xludf.DUMMYFUNCTION("""COMPUTED_VALUE"""),0.48538253691686245)</f>
        <v>0.4853825369</v>
      </c>
      <c r="AB827" s="30">
        <f>IFERROR(__xludf.DUMMYFUNCTION("""COMPUTED_VALUE"""),0.9121950917011773)</f>
        <v>0.9121950917</v>
      </c>
      <c r="AC827" s="30">
        <f>IFERROR(__xludf.DUMMYFUNCTION("""COMPUTED_VALUE"""),2.1323604302601917)</f>
        <v>2.13236043</v>
      </c>
      <c r="AD827" s="30">
        <f>IFERROR(__xludf.DUMMYFUNCTION("""COMPUTED_VALUE"""),0.6322582840605645)</f>
        <v>0.6322582841</v>
      </c>
      <c r="AE827" s="30">
        <f>IFERROR(__xludf.DUMMYFUNCTION("""COMPUTED_VALUE"""),0.4849095932979762)</f>
        <v>0.4849095933</v>
      </c>
      <c r="AF827" s="30">
        <f>IFERROR(__xludf.DUMMYFUNCTION("""COMPUTED_VALUE"""),0.41204613843422333)</f>
        <v>0.4120461384</v>
      </c>
      <c r="AG827" s="30">
        <f>IFERROR(__xludf.DUMMYFUNCTION("""COMPUTED_VALUE"""),0.9500891580663919)</f>
        <v>0.9500891581</v>
      </c>
      <c r="AH827" s="30">
        <f>IFERROR(__xludf.DUMMYFUNCTION("""COMPUTED_VALUE"""),0.5627566442196525)</f>
        <v>0.5627566442</v>
      </c>
      <c r="AI827" s="30">
        <f>IFERROR(__xludf.DUMMYFUNCTION("""COMPUTED_VALUE"""),1.0198819896154494)</f>
        <v>1.01988199</v>
      </c>
      <c r="AJ827" s="30">
        <f>IFERROR(__xludf.DUMMYFUNCTION("""COMPUTED_VALUE"""),1.128916477385529)</f>
        <v>1.128916477</v>
      </c>
      <c r="AK827" s="30">
        <f>IFERROR(__xludf.DUMMYFUNCTION("""COMPUTED_VALUE"""),1.1237069293239323)</f>
        <v>1.123706929</v>
      </c>
      <c r="AL827" s="30">
        <f>IFERROR(__xludf.DUMMYFUNCTION("""COMPUTED_VALUE"""),0.7864635559753681)</f>
        <v>0.786463556</v>
      </c>
      <c r="AM827" s="30">
        <f>IFERROR(__xludf.DUMMYFUNCTION("""COMPUTED_VALUE"""),1.091509720898547)</f>
        <v>1.091509721</v>
      </c>
      <c r="AN827" s="30">
        <f>IFERROR(__xludf.DUMMYFUNCTION("""COMPUTED_VALUE"""),0.6902993964884354)</f>
        <v>0.6902993965</v>
      </c>
      <c r="AO827" s="30">
        <f>IFERROR(__xludf.DUMMYFUNCTION("""COMPUTED_VALUE"""),0.5504105489521969)</f>
        <v>0.550410549</v>
      </c>
      <c r="AP827" s="30">
        <f>IFERROR(__xludf.DUMMYFUNCTION("""COMPUTED_VALUE"""),0.4790338589989783)</f>
        <v>0.479033859</v>
      </c>
      <c r="AQ827" s="30">
        <f>IFERROR(__xludf.DUMMYFUNCTION("""COMPUTED_VALUE"""),1.0789849270749494)</f>
        <v>1.078984927</v>
      </c>
      <c r="AR827" s="30">
        <f>IFERROR(__xludf.DUMMYFUNCTION("""COMPUTED_VALUE"""),0.6208592853632533)</f>
        <v>0.6208592854</v>
      </c>
      <c r="AS827" s="30">
        <f>IFERROR(__xludf.DUMMYFUNCTION("""COMPUTED_VALUE"""),52.0)</f>
        <v>52</v>
      </c>
      <c r="AT827" s="30">
        <f>IFERROR(__xludf.DUMMYFUNCTION("""COMPUTED_VALUE"""),0.6013846394490071)</f>
        <v>0.6013846394</v>
      </c>
      <c r="AU827" s="30">
        <f>IFERROR(__xludf.DUMMYFUNCTION("""COMPUTED_VALUE"""),0.4595510872715652)</f>
        <v>0.4595510873</v>
      </c>
      <c r="AV827" s="32">
        <f>IFERROR(__xludf.DUMMYFUNCTION("""COMPUTED_VALUE"""),19.92925147003244)</f>
        <v>19.92925147</v>
      </c>
      <c r="AW827" s="32">
        <f>IFERROR(__xludf.DUMMYFUNCTION("""COMPUTED_VALUE"""),-8.732017772637645)</f>
        <v>-8.732017773</v>
      </c>
      <c r="AX827" s="32">
        <f>IFERROR(__xludf.DUMMYFUNCTION("""COMPUTED_VALUE"""),11.525160647632823)</f>
        <v>11.52516065</v>
      </c>
      <c r="AY827" s="32">
        <f>IFERROR(__xludf.DUMMYFUNCTION("""COMPUTED_VALUE"""),-16.15432354349768)</f>
        <v>-16.15432354</v>
      </c>
      <c r="AZ827" s="30">
        <f>IFERROR(__xludf.DUMMYFUNCTION("""COMPUTED_VALUE"""),7.422305770860033)</f>
        <v>7.422305771</v>
      </c>
      <c r="BA827" s="30">
        <f>IFERROR(__xludf.DUMMYFUNCTION("""COMPUTED_VALUE"""),4000.0)</f>
        <v>4000</v>
      </c>
    </row>
    <row r="828">
      <c r="A828" s="71" t="str">
        <f>IFERROR(__xludf.DUMMYFUNCTION("""COMPUTED_VALUE"""),"Amateur")</f>
        <v>Amateur</v>
      </c>
      <c r="B828" s="71" t="str">
        <f>IFERROR(__xludf.DUMMYFUNCTION("""COMPUTED_VALUE"""),"RSC006375")</f>
        <v>RSC006375</v>
      </c>
      <c r="C828" s="30" t="str">
        <f>IFERROR(__xludf.DUMMYFUNCTION("""COMPUTED_VALUE"""),"Rich-Rollin6060")</f>
        <v>Rich-Rollin6060</v>
      </c>
      <c r="D828" s="30" t="str">
        <f>IFERROR(__xludf.DUMMYFUNCTION("""COMPUTED_VALUE"""),"Hyenas")</f>
        <v>Hyenas</v>
      </c>
      <c r="E828" s="30">
        <f>IFERROR(__xludf.DUMMYFUNCTION("""COMPUTED_VALUE"""),39.0)</f>
        <v>39</v>
      </c>
      <c r="F828" s="30">
        <f>IFERROR(__xludf.DUMMYFUNCTION("""COMPUTED_VALUE"""),31.0)</f>
        <v>31</v>
      </c>
      <c r="G828" s="42">
        <f>IFERROR(__xludf.DUMMYFUNCTION("""COMPUTED_VALUE"""),8.0)</f>
        <v>8</v>
      </c>
      <c r="H828" s="42">
        <f>IFERROR(__xludf.DUMMYFUNCTION("""COMPUTED_VALUE"""),0.7948717948717948)</f>
        <v>0.7948717949</v>
      </c>
      <c r="I828" s="42">
        <f>IFERROR(__xludf.DUMMYFUNCTION("""COMPUTED_VALUE"""),0.4672897196261683)</f>
        <v>0.4672897196</v>
      </c>
      <c r="J828" s="30">
        <f>IFERROR(__xludf.DUMMYFUNCTION("""COMPUTED_VALUE"""),327.6923076923077)</f>
        <v>327.6923077</v>
      </c>
      <c r="K828" s="30">
        <f>IFERROR(__xludf.DUMMYFUNCTION("""COMPUTED_VALUE"""),1.2820512820512822)</f>
        <v>1.282051282</v>
      </c>
      <c r="L828" s="30">
        <f>IFERROR(__xludf.DUMMYFUNCTION("""COMPUTED_VALUE"""),0.41025641025641024)</f>
        <v>0.4102564103</v>
      </c>
      <c r="M828" s="30">
        <f>IFERROR(__xludf.DUMMYFUNCTION("""COMPUTED_VALUE"""),0.4358974358974359)</f>
        <v>0.4358974359</v>
      </c>
      <c r="N828" s="30">
        <f>IFERROR(__xludf.DUMMYFUNCTION("""COMPUTED_VALUE"""),2.7435897435897436)</f>
        <v>2.743589744</v>
      </c>
      <c r="O828" s="30">
        <f>IFERROR(__xludf.DUMMYFUNCTION("""COMPUTED_VALUE"""),255.52136752136752)</f>
        <v>255.5213675</v>
      </c>
      <c r="P828" s="30">
        <f>IFERROR(__xludf.DUMMYFUNCTION("""COMPUTED_VALUE"""),0.4700854700854701)</f>
        <v>0.4700854701</v>
      </c>
      <c r="Q828" s="30">
        <f>IFERROR(__xludf.DUMMYFUNCTION("""COMPUTED_VALUE"""),0.24786324786324798)</f>
        <v>0.2478632479</v>
      </c>
      <c r="R828" s="30">
        <f>IFERROR(__xludf.DUMMYFUNCTION("""COMPUTED_VALUE"""),1.0940170940170943)</f>
        <v>1.094017094</v>
      </c>
      <c r="S828" s="30">
        <f>IFERROR(__xludf.DUMMYFUNCTION("""COMPUTED_VALUE"""),1.6068376068376062)</f>
        <v>1.606837607</v>
      </c>
      <c r="T828" s="30">
        <f>IFERROR(__xludf.DUMMYFUNCTION("""COMPUTED_VALUE"""),288.9055687331859)</f>
        <v>288.9055687</v>
      </c>
      <c r="U828" s="30">
        <f>IFERROR(__xludf.DUMMYFUNCTION("""COMPUTED_VALUE"""),0.7156588078471541)</f>
        <v>0.7156588078</v>
      </c>
      <c r="V828" s="30">
        <f>IFERROR(__xludf.DUMMYFUNCTION("""COMPUTED_VALUE"""),0.42648439345393213)</f>
        <v>0.4264843935</v>
      </c>
      <c r="W828" s="30">
        <f>IFERROR(__xludf.DUMMYFUNCTION("""COMPUTED_VALUE"""),0.9136112170423494)</f>
        <v>0.913611217</v>
      </c>
      <c r="X828" s="30">
        <f>IFERROR(__xludf.DUMMYFUNCTION("""COMPUTED_VALUE"""),1.9741161749398282)</f>
        <v>1.974116175</v>
      </c>
      <c r="Y828" s="30">
        <f>IFERROR(__xludf.DUMMYFUNCTION("""COMPUTED_VALUE"""),301.8141170340608)</f>
        <v>301.814117</v>
      </c>
      <c r="Z828" s="30">
        <f>IFERROR(__xludf.DUMMYFUNCTION("""COMPUTED_VALUE"""),0.8284373111234055)</f>
        <v>0.8284373111</v>
      </c>
      <c r="AA828" s="30">
        <f>IFERROR(__xludf.DUMMYFUNCTION("""COMPUTED_VALUE"""),0.46898330374535024)</f>
        <v>0.4689833037</v>
      </c>
      <c r="AB828" s="30">
        <f>IFERROR(__xludf.DUMMYFUNCTION("""COMPUTED_VALUE"""),0.8309193192979759)</f>
        <v>0.8309193193</v>
      </c>
      <c r="AC828" s="30">
        <f>IFERROR(__xludf.DUMMYFUNCTION("""COMPUTED_VALUE"""),2.181551471356886)</f>
        <v>2.181551471</v>
      </c>
      <c r="AD828" s="30">
        <f>IFERROR(__xludf.DUMMYFUNCTION("""COMPUTED_VALUE"""),1.0857421478907376)</f>
        <v>1.085742148</v>
      </c>
      <c r="AE828" s="30">
        <f>IFERROR(__xludf.DUMMYFUNCTION("""COMPUTED_VALUE"""),1.5475537676022242)</f>
        <v>1.547553768</v>
      </c>
      <c r="AF828" s="30">
        <f>IFERROR(__xludf.DUMMYFUNCTION("""COMPUTED_VALUE"""),0.8747782852397072)</f>
        <v>0.8747782852</v>
      </c>
      <c r="AG828" s="30">
        <f>IFERROR(__xludf.DUMMYFUNCTION("""COMPUTED_VALUE"""),0.5245965832948923)</f>
        <v>0.5245965833</v>
      </c>
      <c r="AH828" s="30">
        <f>IFERROR(__xludf.DUMMYFUNCTION("""COMPUTED_VALUE"""),1.2576323683453041)</f>
        <v>1.257632368</v>
      </c>
      <c r="AI828" s="30">
        <f>IFERROR(__xludf.DUMMYFUNCTION("""COMPUTED_VALUE"""),0.8844459753468795)</f>
        <v>0.8844459753</v>
      </c>
      <c r="AJ828" s="30">
        <f>IFERROR(__xludf.DUMMYFUNCTION("""COMPUTED_VALUE"""),0.6568569616289387)</f>
        <v>0.6568569616</v>
      </c>
      <c r="AK828" s="30">
        <f>IFERROR(__xludf.DUMMYFUNCTION("""COMPUTED_VALUE"""),0.5811777679738745)</f>
        <v>0.581177768</v>
      </c>
      <c r="AL828" s="30">
        <f>IFERROR(__xludf.DUMMYFUNCTION("""COMPUTED_VALUE"""),1.197464603771806)</f>
        <v>1.197464604</v>
      </c>
      <c r="AM828" s="30">
        <f>IFERROR(__xludf.DUMMYFUNCTION("""COMPUTED_VALUE"""),0.8139529107939066)</f>
        <v>0.8139529108</v>
      </c>
      <c r="AN828" s="30">
        <f>IFERROR(__xludf.DUMMYFUNCTION("""COMPUTED_VALUE"""),1.1806148342061726)</f>
        <v>1.180614834</v>
      </c>
      <c r="AO828" s="30">
        <f>IFERROR(__xludf.DUMMYFUNCTION("""COMPUTED_VALUE"""),1.764136374846785)</f>
        <v>1.764136375</v>
      </c>
      <c r="AP828" s="30">
        <f>IFERROR(__xludf.DUMMYFUNCTION("""COMPUTED_VALUE"""),0.9826335569209811)</f>
        <v>0.9826335569</v>
      </c>
      <c r="AQ828" s="30">
        <f>IFERROR(__xludf.DUMMYFUNCTION("""COMPUTED_VALUE"""),0.5426847266353296)</f>
        <v>0.5426847266</v>
      </c>
      <c r="AR828" s="30">
        <f>IFERROR(__xludf.DUMMYFUNCTION("""COMPUTED_VALUE"""),1.4194859729458997)</f>
        <v>1.419485973</v>
      </c>
      <c r="AS828" s="30">
        <f>IFERROR(__xludf.DUMMYFUNCTION("""COMPUTED_VALUE"""),416.0)</f>
        <v>416</v>
      </c>
      <c r="AT828" s="30">
        <f>IFERROR(__xludf.DUMMYFUNCTION("""COMPUTED_VALUE"""),0.984266708656876)</f>
        <v>0.9842667087</v>
      </c>
      <c r="AU828" s="30">
        <f>IFERROR(__xludf.DUMMYFUNCTION("""COMPUTED_VALUE"""),3.5807314817862865)</f>
        <v>3.580731482</v>
      </c>
      <c r="AV828" s="32">
        <f>IFERROR(__xludf.DUMMYFUNCTION("""COMPUTED_VALUE"""),81.31623792341664)</f>
        <v>81.31623792</v>
      </c>
      <c r="AW828" s="32">
        <f>IFERROR(__xludf.DUMMYFUNCTION("""COMPUTED_VALUE"""),9.508718475023946)</f>
        <v>9.508718475</v>
      </c>
      <c r="AX828" s="32">
        <f>IFERROR(__xludf.DUMMYFUNCTION("""COMPUTED_VALUE"""),56.42879167596519)</f>
        <v>56.42879168</v>
      </c>
      <c r="AY828" s="32">
        <f>IFERROR(__xludf.DUMMYFUNCTION("""COMPUTED_VALUE"""),2.509216056734791)</f>
        <v>2.509216057</v>
      </c>
      <c r="AZ828" s="30">
        <f>IFERROR(__xludf.DUMMYFUNCTION("""COMPUTED_VALUE"""),6.999502418289154)</f>
        <v>6.999502418</v>
      </c>
      <c r="BA828" s="30">
        <f>IFERROR(__xludf.DUMMYFUNCTION("""COMPUTED_VALUE"""),4000.0)</f>
        <v>4000</v>
      </c>
    </row>
    <row r="829">
      <c r="A829" s="71" t="str">
        <f>IFERROR(__xludf.DUMMYFUNCTION("""COMPUTED_VALUE"""),"Amateur")</f>
        <v>Amateur</v>
      </c>
      <c r="B829" s="71" t="str">
        <f>IFERROR(__xludf.DUMMYFUNCTION("""COMPUTED_VALUE"""),"RSC007464")</f>
        <v>RSC007464</v>
      </c>
      <c r="C829" s="30" t="str">
        <f>IFERROR(__xludf.DUMMYFUNCTION("""COMPUTED_VALUE"""),"MoonKnight2")</f>
        <v>MoonKnight2</v>
      </c>
      <c r="D829" s="30" t="str">
        <f>IFERROR(__xludf.DUMMYFUNCTION("""COMPUTED_VALUE"""),"Hyenas")</f>
        <v>Hyenas</v>
      </c>
      <c r="E829" s="30">
        <f>IFERROR(__xludf.DUMMYFUNCTION("""COMPUTED_VALUE"""),46.0)</f>
        <v>46</v>
      </c>
      <c r="F829" s="30">
        <f>IFERROR(__xludf.DUMMYFUNCTION("""COMPUTED_VALUE"""),33.0)</f>
        <v>33</v>
      </c>
      <c r="G829" s="42">
        <f>IFERROR(__xludf.DUMMYFUNCTION("""COMPUTED_VALUE"""),13.0)</f>
        <v>13</v>
      </c>
      <c r="H829" s="42">
        <f>IFERROR(__xludf.DUMMYFUNCTION("""COMPUTED_VALUE"""),0.717391304347826)</f>
        <v>0.7173913043</v>
      </c>
      <c r="I829" s="42">
        <f>IFERROR(__xludf.DUMMYFUNCTION("""COMPUTED_VALUE"""),0.3834586466165414)</f>
        <v>0.3834586466</v>
      </c>
      <c r="J829" s="30">
        <f>IFERROR(__xludf.DUMMYFUNCTION("""COMPUTED_VALUE"""),378.4130434782609)</f>
        <v>378.4130435</v>
      </c>
      <c r="K829" s="30">
        <f>IFERROR(__xludf.DUMMYFUNCTION("""COMPUTED_VALUE"""),1.108695652173913)</f>
        <v>1.108695652</v>
      </c>
      <c r="L829" s="30">
        <f>IFERROR(__xludf.DUMMYFUNCTION("""COMPUTED_VALUE"""),0.6304347826086957)</f>
        <v>0.6304347826</v>
      </c>
      <c r="M829" s="30">
        <f>IFERROR(__xludf.DUMMYFUNCTION("""COMPUTED_VALUE"""),1.2826086956521738)</f>
        <v>1.282608696</v>
      </c>
      <c r="N829" s="30">
        <f>IFERROR(__xludf.DUMMYFUNCTION("""COMPUTED_VALUE"""),2.891304347826087)</f>
        <v>2.891304348</v>
      </c>
      <c r="O829" s="30">
        <f>IFERROR(__xludf.DUMMYFUNCTION("""COMPUTED_VALUE"""),263.1865942028985)</f>
        <v>263.1865942</v>
      </c>
      <c r="P829" s="30">
        <f>IFERROR(__xludf.DUMMYFUNCTION("""COMPUTED_VALUE"""),0.5054347826086958)</f>
        <v>0.5054347826</v>
      </c>
      <c r="Q829" s="30">
        <f>IFERROR(__xludf.DUMMYFUNCTION("""COMPUTED_VALUE"""),0.2608695652173913)</f>
        <v>0.2608695652</v>
      </c>
      <c r="R829" s="30">
        <f>IFERROR(__xludf.DUMMYFUNCTION("""COMPUTED_VALUE"""),1.1068840579710144)</f>
        <v>1.106884058</v>
      </c>
      <c r="S829" s="30">
        <f>IFERROR(__xludf.DUMMYFUNCTION("""COMPUTED_VALUE"""),1.6793478260869568)</f>
        <v>1.679347826</v>
      </c>
      <c r="T829" s="30">
        <f>IFERROR(__xludf.DUMMYFUNCTION("""COMPUTED_VALUE"""),289.64555463951035)</f>
        <v>289.6455546</v>
      </c>
      <c r="U829" s="30">
        <f>IFERROR(__xludf.DUMMYFUNCTION("""COMPUTED_VALUE"""),0.7236233216075989)</f>
        <v>0.7236233216</v>
      </c>
      <c r="V829" s="30">
        <f>IFERROR(__xludf.DUMMYFUNCTION("""COMPUTED_VALUE"""),0.4230251178811884)</f>
        <v>0.4230251179</v>
      </c>
      <c r="W829" s="30">
        <f>IFERROR(__xludf.DUMMYFUNCTION("""COMPUTED_VALUE"""),0.9005967261372857)</f>
        <v>0.9005967261</v>
      </c>
      <c r="X829" s="30">
        <f>IFERROR(__xludf.DUMMYFUNCTION("""COMPUTED_VALUE"""),2.007220543233405)</f>
        <v>2.007220543</v>
      </c>
      <c r="Y829" s="30">
        <f>IFERROR(__xludf.DUMMYFUNCTION("""COMPUTED_VALUE"""),299.9670546138858)</f>
        <v>299.9670546</v>
      </c>
      <c r="Z829" s="30">
        <f>IFERROR(__xludf.DUMMYFUNCTION("""COMPUTED_VALUE"""),0.8056371275514359)</f>
        <v>0.8056371276</v>
      </c>
      <c r="AA829" s="30">
        <f>IFERROR(__xludf.DUMMYFUNCTION("""COMPUTED_VALUE"""),0.4562329461138272)</f>
        <v>0.4562329461</v>
      </c>
      <c r="AB829" s="30">
        <f>IFERROR(__xludf.DUMMYFUNCTION("""COMPUTED_VALUE"""),0.8571559559664026)</f>
        <v>0.857155956</v>
      </c>
      <c r="AC829" s="30">
        <f>IFERROR(__xludf.DUMMYFUNCTION("""COMPUTED_VALUE"""),2.150092071313353)</f>
        <v>2.150092071</v>
      </c>
      <c r="AD829" s="30">
        <f>IFERROR(__xludf.DUMMYFUNCTION("""COMPUTED_VALUE"""),1.2615153486283681)</f>
        <v>1.261515349</v>
      </c>
      <c r="AE829" s="30">
        <f>IFERROR(__xludf.DUMMYFUNCTION("""COMPUTED_VALUE"""),1.3761724903910022)</f>
        <v>1.37617249</v>
      </c>
      <c r="AF829" s="30">
        <f>IFERROR(__xludf.DUMMYFUNCTION("""COMPUTED_VALUE"""),1.381826516429189)</f>
        <v>1.381826516</v>
      </c>
      <c r="AG829" s="30">
        <f>IFERROR(__xludf.DUMMYFUNCTION("""COMPUTED_VALUE"""),1.4963539443718774)</f>
        <v>1.496353944</v>
      </c>
      <c r="AH829" s="30">
        <f>IFERROR(__xludf.DUMMYFUNCTION("""COMPUTED_VALUE"""),1.3447351331610535)</f>
        <v>1.344735133</v>
      </c>
      <c r="AI829" s="30">
        <f>IFERROR(__xludf.DUMMYFUNCTION("""COMPUTED_VALUE"""),0.9086505557817299)</f>
        <v>0.9086505558</v>
      </c>
      <c r="AJ829" s="30">
        <f>IFERROR(__xludf.DUMMYFUNCTION("""COMPUTED_VALUE"""),0.6984777404435)</f>
        <v>0.6984777404</v>
      </c>
      <c r="AK829" s="30">
        <f>IFERROR(__xludf.DUMMYFUNCTION("""COMPUTED_VALUE"""),0.6166763016910489)</f>
        <v>0.6166763017</v>
      </c>
      <c r="AL829" s="30">
        <f>IFERROR(__xludf.DUMMYFUNCTION("""COMPUTED_VALUE"""),1.22905627551913)</f>
        <v>1.229056276</v>
      </c>
      <c r="AM829" s="30">
        <f>IFERROR(__xludf.DUMMYFUNCTION("""COMPUTED_VALUE"""),0.8366533671390776)</f>
        <v>0.8366533671</v>
      </c>
      <c r="AN829" s="30">
        <f>IFERROR(__xludf.DUMMYFUNCTION("""COMPUTED_VALUE"""),1.3633522731544654)</f>
        <v>1.363352273</v>
      </c>
      <c r="AO829" s="30">
        <f>IFERROR(__xludf.DUMMYFUNCTION("""COMPUTED_VALUE"""),1.5255944563348935)</f>
        <v>1.525594456</v>
      </c>
      <c r="AP829" s="30">
        <f>IFERROR(__xludf.DUMMYFUNCTION("""COMPUTED_VALUE"""),1.5099980338011274)</f>
        <v>1.509998034</v>
      </c>
      <c r="AQ829" s="30">
        <f>IFERROR(__xludf.DUMMYFUNCTION("""COMPUTED_VALUE"""),1.596825519166104)</f>
        <v>1.596825519</v>
      </c>
      <c r="AR829" s="30">
        <f>IFERROR(__xludf.DUMMYFUNCTION("""COMPUTED_VALUE"""),1.4959109592991429)</f>
        <v>1.495910959</v>
      </c>
      <c r="AS829" s="30">
        <f>IFERROR(__xludf.DUMMYFUNCTION("""COMPUTED_VALUE"""),411.0)</f>
        <v>411</v>
      </c>
      <c r="AT829" s="30">
        <f>IFERROR(__xludf.DUMMYFUNCTION("""COMPUTED_VALUE"""),0.9700655133406384)</f>
        <v>0.9700655133</v>
      </c>
      <c r="AU829" s="30">
        <f>IFERROR(__xludf.DUMMYFUNCTION("""COMPUTED_VALUE"""),3.9431566768564927)</f>
        <v>3.943156677</v>
      </c>
      <c r="AV829" s="32">
        <f>IFERROR(__xludf.DUMMYFUNCTION("""COMPUTED_VALUE"""),88.44437142676674)</f>
        <v>88.44437143</v>
      </c>
      <c r="AW829" s="32">
        <f>IFERROR(__xludf.DUMMYFUNCTION("""COMPUTED_VALUE"""),16.115558452150452)</f>
        <v>16.11555845</v>
      </c>
      <c r="AX829" s="32">
        <f>IFERROR(__xludf.DUMMYFUNCTION("""COMPUTED_VALUE"""),80.80420711624855)</f>
        <v>80.80420712</v>
      </c>
      <c r="AY829" s="32">
        <f>IFERROR(__xludf.DUMMYFUNCTION("""COMPUTED_VALUE"""),9.179102411649781)</f>
        <v>9.179102412</v>
      </c>
      <c r="AZ829" s="30">
        <f>IFERROR(__xludf.DUMMYFUNCTION("""COMPUTED_VALUE"""),6.936456040500671)</f>
        <v>6.936456041</v>
      </c>
      <c r="BA829" s="30">
        <f>IFERROR(__xludf.DUMMYFUNCTION("""COMPUTED_VALUE"""),4000.0)</f>
        <v>4000</v>
      </c>
    </row>
    <row r="830">
      <c r="A830" s="71" t="str">
        <f>IFERROR(__xludf.DUMMYFUNCTION("""COMPUTED_VALUE"""),"Amateur")</f>
        <v>Amateur</v>
      </c>
      <c r="B830" s="71" t="str">
        <f>IFERROR(__xludf.DUMMYFUNCTION("""COMPUTED_VALUE"""),"RSC000146")</f>
        <v>RSC000146</v>
      </c>
      <c r="C830" s="30" t="str">
        <f>IFERROR(__xludf.DUMMYFUNCTION("""COMPUTED_VALUE"""),"EtherealDoom989")</f>
        <v>EtherealDoom989</v>
      </c>
      <c r="D830" s="30" t="str">
        <f>IFERROR(__xludf.DUMMYFUNCTION("""COMPUTED_VALUE"""),"Surprise")</f>
        <v>Surprise</v>
      </c>
      <c r="E830" s="30">
        <f>IFERROR(__xludf.DUMMYFUNCTION("""COMPUTED_VALUE"""),28.0)</f>
        <v>28</v>
      </c>
      <c r="F830" s="30">
        <f>IFERROR(__xludf.DUMMYFUNCTION("""COMPUTED_VALUE"""),13.0)</f>
        <v>13</v>
      </c>
      <c r="G830" s="42">
        <f>IFERROR(__xludf.DUMMYFUNCTION("""COMPUTED_VALUE"""),15.0)</f>
        <v>15</v>
      </c>
      <c r="H830" s="42">
        <f>IFERROR(__xludf.DUMMYFUNCTION("""COMPUTED_VALUE"""),0.4642857142857143)</f>
        <v>0.4642857143</v>
      </c>
      <c r="I830" s="42">
        <f>IFERROR(__xludf.DUMMYFUNCTION("""COMPUTED_VALUE"""),0.36585365853658536)</f>
        <v>0.3658536585</v>
      </c>
      <c r="J830" s="30">
        <f>IFERROR(__xludf.DUMMYFUNCTION("""COMPUTED_VALUE"""),200.03571428571428)</f>
        <v>200.0357143</v>
      </c>
      <c r="K830" s="30">
        <f>IFERROR(__xludf.DUMMYFUNCTION("""COMPUTED_VALUE"""),0.5357142857142857)</f>
        <v>0.5357142857</v>
      </c>
      <c r="L830" s="30">
        <f>IFERROR(__xludf.DUMMYFUNCTION("""COMPUTED_VALUE"""),0.25)</f>
        <v>0.25</v>
      </c>
      <c r="M830" s="30">
        <f>IFERROR(__xludf.DUMMYFUNCTION("""COMPUTED_VALUE"""),0.2857142857142857)</f>
        <v>0.2857142857</v>
      </c>
      <c r="N830" s="30">
        <f>IFERROR(__xludf.DUMMYFUNCTION("""COMPUTED_VALUE"""),1.4642857142857142)</f>
        <v>1.464285714</v>
      </c>
      <c r="O830" s="30">
        <f>IFERROR(__xludf.DUMMYFUNCTION("""COMPUTED_VALUE"""),291.6220238095238)</f>
        <v>291.6220238</v>
      </c>
      <c r="P830" s="30">
        <f>IFERROR(__xludf.DUMMYFUNCTION("""COMPUTED_VALUE"""),0.806547619047619)</f>
        <v>0.806547619</v>
      </c>
      <c r="Q830" s="30">
        <f>IFERROR(__xludf.DUMMYFUNCTION("""COMPUTED_VALUE"""),0.41071428571428564)</f>
        <v>0.4107142857</v>
      </c>
      <c r="R830" s="30">
        <f>IFERROR(__xludf.DUMMYFUNCTION("""COMPUTED_VALUE"""),0.794642857142857)</f>
        <v>0.7946428571</v>
      </c>
      <c r="S830" s="30">
        <f>IFERROR(__xludf.DUMMYFUNCTION("""COMPUTED_VALUE"""),1.961309523809523)</f>
        <v>1.961309524</v>
      </c>
      <c r="T830" s="30">
        <f>IFERROR(__xludf.DUMMYFUNCTION("""COMPUTED_VALUE"""),299.0673493388996)</f>
        <v>299.0673493</v>
      </c>
      <c r="U830" s="30">
        <f>IFERROR(__xludf.DUMMYFUNCTION("""COMPUTED_VALUE"""),0.7750466913840011)</f>
        <v>0.7750466914</v>
      </c>
      <c r="V830" s="30">
        <f>IFERROR(__xludf.DUMMYFUNCTION("""COMPUTED_VALUE"""),0.46457778398130384)</f>
        <v>0.464577784</v>
      </c>
      <c r="W830" s="30">
        <f>IFERROR(__xludf.DUMMYFUNCTION("""COMPUTED_VALUE"""),0.8935135598124815)</f>
        <v>0.8935135598</v>
      </c>
      <c r="X830" s="30">
        <f>IFERROR(__xludf.DUMMYFUNCTION("""COMPUTED_VALUE"""),2.0925697097663205)</f>
        <v>2.09256971</v>
      </c>
      <c r="Y830" s="30">
        <f>IFERROR(__xludf.DUMMYFUNCTION("""COMPUTED_VALUE"""),302.6822216965093)</f>
        <v>302.6822217</v>
      </c>
      <c r="Z830" s="30">
        <f>IFERROR(__xludf.DUMMYFUNCTION("""COMPUTED_VALUE"""),0.8269839120252277)</f>
        <v>0.826983912</v>
      </c>
      <c r="AA830" s="30">
        <f>IFERROR(__xludf.DUMMYFUNCTION("""COMPUTED_VALUE"""),0.4705188990858171)</f>
        <v>0.4705188991</v>
      </c>
      <c r="AB830" s="30">
        <f>IFERROR(__xludf.DUMMYFUNCTION("""COMPUTED_VALUE"""),0.8687597211862252)</f>
        <v>0.8687597212</v>
      </c>
      <c r="AC830" s="30">
        <f>IFERROR(__xludf.DUMMYFUNCTION("""COMPUTED_VALUE"""),2.188744909996481)</f>
        <v>2.18874491</v>
      </c>
      <c r="AD830" s="30">
        <f>IFERROR(__xludf.DUMMYFUNCTION("""COMPUTED_VALUE"""),0.6608769856535687)</f>
        <v>0.6608769857</v>
      </c>
      <c r="AE830" s="30">
        <f>IFERROR(__xludf.DUMMYFUNCTION("""COMPUTED_VALUE"""),0.6477928747154919)</f>
        <v>0.6477928747</v>
      </c>
      <c r="AF830" s="30">
        <f>IFERROR(__xludf.DUMMYFUNCTION("""COMPUTED_VALUE"""),0.5313282856134605)</f>
        <v>0.5313282856</v>
      </c>
      <c r="AG830" s="30">
        <f>IFERROR(__xludf.DUMMYFUNCTION("""COMPUTED_VALUE"""),0.328876073264728)</f>
        <v>0.3288760733</v>
      </c>
      <c r="AH830" s="30">
        <f>IFERROR(__xludf.DUMMYFUNCTION("""COMPUTED_VALUE"""),0.6690070220599934)</f>
        <v>0.6690070221</v>
      </c>
      <c r="AI830" s="30">
        <f>IFERROR(__xludf.DUMMYFUNCTION("""COMPUTED_VALUE"""),0.9751048533187123)</f>
        <v>0.9751048533</v>
      </c>
      <c r="AJ830" s="30">
        <f>IFERROR(__xludf.DUMMYFUNCTION("""COMPUTED_VALUE"""),1.0406439096041642)</f>
        <v>1.04064391</v>
      </c>
      <c r="AK830" s="30">
        <f>IFERROR(__xludf.DUMMYFUNCTION("""COMPUTED_VALUE"""),0.8840592466445063)</f>
        <v>0.8840592466</v>
      </c>
      <c r="AL830" s="30">
        <f>IFERROR(__xludf.DUMMYFUNCTION("""COMPUTED_VALUE"""),0.8893461642704402)</f>
        <v>0.8893461643</v>
      </c>
      <c r="AM830" s="30">
        <f>IFERROR(__xludf.DUMMYFUNCTION("""COMPUTED_VALUE"""),0.9372732075093185)</f>
        <v>0.9372732075</v>
      </c>
      <c r="AN830" s="30">
        <f>IFERROR(__xludf.DUMMYFUNCTION("""COMPUTED_VALUE"""),0.7206917163233908)</f>
        <v>0.7206917163</v>
      </c>
      <c r="AO830" s="30">
        <f>IFERROR(__xludf.DUMMYFUNCTION("""COMPUTED_VALUE"""),0.7371569852038351)</f>
        <v>0.7371569852</v>
      </c>
      <c r="AP830" s="30">
        <f>IFERROR(__xludf.DUMMYFUNCTION("""COMPUTED_VALUE"""),0.5987923237487229)</f>
        <v>0.5987923237</v>
      </c>
      <c r="AQ830" s="30">
        <f>IFERROR(__xludf.DUMMYFUNCTION("""COMPUTED_VALUE"""),0.35570931661811517)</f>
        <v>0.3557093166</v>
      </c>
      <c r="AR830" s="30">
        <f>IFERROR(__xludf.DUMMYFUNCTION("""COMPUTED_VALUE"""),0.7575961517825412)</f>
        <v>0.7575961518</v>
      </c>
      <c r="AS830" s="30">
        <f>IFERROR(__xludf.DUMMYFUNCTION("""COMPUTED_VALUE"""),136.0)</f>
        <v>136</v>
      </c>
      <c r="AT830" s="30">
        <f>IFERROR(__xludf.DUMMYFUNCTION("""COMPUTED_VALUE"""),0.7741153927937016)</f>
        <v>0.7741153928</v>
      </c>
      <c r="AU830" s="30">
        <f>IFERROR(__xludf.DUMMYFUNCTION("""COMPUTED_VALUE"""),1.0387369916694178)</f>
        <v>1.038736992</v>
      </c>
      <c r="AV830" s="32">
        <f>IFERROR(__xludf.DUMMYFUNCTION("""COMPUTED_VALUE"""),31.320607551131378)</f>
        <v>31.32060755</v>
      </c>
      <c r="AW830" s="32">
        <f>IFERROR(__xludf.DUMMYFUNCTION("""COMPUTED_VALUE"""),-4.396014901749257)</f>
        <v>-4.396014902</v>
      </c>
      <c r="AX830" s="32">
        <f>IFERROR(__xludf.DUMMYFUNCTION("""COMPUTED_VALUE"""),18.054756167163433)</f>
        <v>18.05475617</v>
      </c>
      <c r="AY830" s="32">
        <f>IFERROR(__xludf.DUMMYFUNCTION("""COMPUTED_VALUE"""),-9.934604740235635)</f>
        <v>-9.93460474</v>
      </c>
      <c r="AZ830" s="30">
        <f>IFERROR(__xludf.DUMMYFUNCTION("""COMPUTED_VALUE"""),5.538589838486378)</f>
        <v>5.538589838</v>
      </c>
      <c r="BA830" s="30">
        <f>IFERROR(__xludf.DUMMYFUNCTION("""COMPUTED_VALUE"""),4000.0)</f>
        <v>4000</v>
      </c>
    </row>
    <row r="831">
      <c r="A831" s="71" t="str">
        <f>IFERROR(__xludf.DUMMYFUNCTION("""COMPUTED_VALUE"""),"Amateur")</f>
        <v>Amateur</v>
      </c>
      <c r="B831" s="71" t="str">
        <f>IFERROR(__xludf.DUMMYFUNCTION("""COMPUTED_VALUE"""),"RSC007573")</f>
        <v>RSC007573</v>
      </c>
      <c r="C831" s="30" t="str">
        <f>IFERROR(__xludf.DUMMYFUNCTION("""COMPUTED_VALUE"""),"zag_42")</f>
        <v>zag_42</v>
      </c>
      <c r="D831" s="30" t="str">
        <f>IFERROR(__xludf.DUMMYFUNCTION("""COMPUTED_VALUE"""),"Garlic Knots")</f>
        <v>Garlic Knots</v>
      </c>
      <c r="E831" s="30">
        <f>IFERROR(__xludf.DUMMYFUNCTION("""COMPUTED_VALUE"""),33.0)</f>
        <v>33</v>
      </c>
      <c r="F831" s="30">
        <f>IFERROR(__xludf.DUMMYFUNCTION("""COMPUTED_VALUE"""),16.0)</f>
        <v>16</v>
      </c>
      <c r="G831" s="42">
        <f>IFERROR(__xludf.DUMMYFUNCTION("""COMPUTED_VALUE"""),17.0)</f>
        <v>17</v>
      </c>
      <c r="H831" s="42">
        <f>IFERROR(__xludf.DUMMYFUNCTION("""COMPUTED_VALUE"""),0.48484848484848486)</f>
        <v>0.4848484848</v>
      </c>
      <c r="I831" s="42">
        <f>IFERROR(__xludf.DUMMYFUNCTION("""COMPUTED_VALUE"""),0.40909090909090906)</f>
        <v>0.4090909091</v>
      </c>
      <c r="J831" s="30">
        <f>IFERROR(__xludf.DUMMYFUNCTION("""COMPUTED_VALUE"""),212.03030303030303)</f>
        <v>212.030303</v>
      </c>
      <c r="K831" s="30">
        <f>IFERROR(__xludf.DUMMYFUNCTION("""COMPUTED_VALUE"""),0.5454545454545454)</f>
        <v>0.5454545455</v>
      </c>
      <c r="L831" s="30">
        <f>IFERROR(__xludf.DUMMYFUNCTION("""COMPUTED_VALUE"""),0.3333333333333333)</f>
        <v>0.3333333333</v>
      </c>
      <c r="M831" s="30">
        <f>IFERROR(__xludf.DUMMYFUNCTION("""COMPUTED_VALUE"""),0.6666666666666666)</f>
        <v>0.6666666667</v>
      </c>
      <c r="N831" s="30">
        <f>IFERROR(__xludf.DUMMYFUNCTION("""COMPUTED_VALUE"""),1.3333333333333333)</f>
        <v>1.333333333</v>
      </c>
      <c r="O831" s="30">
        <f>IFERROR(__xludf.DUMMYFUNCTION("""COMPUTED_VALUE"""),290.7575757575758)</f>
        <v>290.7575758</v>
      </c>
      <c r="P831" s="30">
        <f>IFERROR(__xludf.DUMMYFUNCTION("""COMPUTED_VALUE"""),0.6565656565656565)</f>
        <v>0.6565656566</v>
      </c>
      <c r="Q831" s="30">
        <f>IFERROR(__xludf.DUMMYFUNCTION("""COMPUTED_VALUE"""),0.35101010101010105)</f>
        <v>0.351010101</v>
      </c>
      <c r="R831" s="30">
        <f>IFERROR(__xludf.DUMMYFUNCTION("""COMPUTED_VALUE"""),0.9949494949494953)</f>
        <v>0.9949494949</v>
      </c>
      <c r="S831" s="30">
        <f>IFERROR(__xludf.DUMMYFUNCTION("""COMPUTED_VALUE"""),2.0959595959595956)</f>
        <v>2.095959596</v>
      </c>
      <c r="T831" s="30">
        <f>IFERROR(__xludf.DUMMYFUNCTION("""COMPUTED_VALUE"""),288.62180527594745)</f>
        <v>288.6218053</v>
      </c>
      <c r="U831" s="30">
        <f>IFERROR(__xludf.DUMMYFUNCTION("""COMPUTED_VALUE"""),0.7610892216133721)</f>
        <v>0.7610892216</v>
      </c>
      <c r="V831" s="30">
        <f>IFERROR(__xludf.DUMMYFUNCTION("""COMPUTED_VALUE"""),0.43096034614969164)</f>
        <v>0.4309603461</v>
      </c>
      <c r="W831" s="30">
        <f>IFERROR(__xludf.DUMMYFUNCTION("""COMPUTED_VALUE"""),0.874849605318067)</f>
        <v>0.8748496053</v>
      </c>
      <c r="X831" s="30">
        <f>IFERROR(__xludf.DUMMYFUNCTION("""COMPUTED_VALUE"""),2.0298539072285218)</f>
        <v>2.029853907</v>
      </c>
      <c r="Y831" s="30">
        <f>IFERROR(__xludf.DUMMYFUNCTION("""COMPUTED_VALUE"""),303.1471606433853)</f>
        <v>303.1471606</v>
      </c>
      <c r="Z831" s="30">
        <f>IFERROR(__xludf.DUMMYFUNCTION("""COMPUTED_VALUE"""),0.8364904575096804)</f>
        <v>0.8364904575</v>
      </c>
      <c r="AA831" s="30">
        <f>IFERROR(__xludf.DUMMYFUNCTION("""COMPUTED_VALUE"""),0.4935519453931514)</f>
        <v>0.4935519454</v>
      </c>
      <c r="AB831" s="30">
        <f>IFERROR(__xludf.DUMMYFUNCTION("""COMPUTED_VALUE"""),0.8643808287553529)</f>
        <v>0.8643808288</v>
      </c>
      <c r="AC831" s="30">
        <f>IFERROR(__xludf.DUMMYFUNCTION("""COMPUTED_VALUE"""),2.168839518371478)</f>
        <v>2.168839518</v>
      </c>
      <c r="AD831" s="30">
        <f>IFERROR(__xludf.DUMMYFUNCTION("""COMPUTED_VALUE"""),0.6994302786155077)</f>
        <v>0.6994302786</v>
      </c>
      <c r="AE831" s="30">
        <f>IFERROR(__xludf.DUMMYFUNCTION("""COMPUTED_VALUE"""),0.6520750363111382)</f>
        <v>0.6520750363</v>
      </c>
      <c r="AF831" s="30">
        <f>IFERROR(__xludf.DUMMYFUNCTION("""COMPUTED_VALUE"""),0.6753763944093223)</f>
        <v>0.6753763944</v>
      </c>
      <c r="AG831" s="30">
        <f>IFERROR(__xludf.DUMMYFUNCTION("""COMPUTED_VALUE"""),0.7712649847019621)</f>
        <v>0.7712649847</v>
      </c>
      <c r="AH831" s="30">
        <f>IFERROR(__xludf.DUMMYFUNCTION("""COMPUTED_VALUE"""),0.6147680923549829)</f>
        <v>0.6147680924</v>
      </c>
      <c r="AI831" s="30">
        <f>IFERROR(__xludf.DUMMYFUNCTION("""COMPUTED_VALUE"""),1.0073998930177377)</f>
        <v>1.007399893</v>
      </c>
      <c r="AJ831" s="30">
        <f>IFERROR(__xludf.DUMMYFUNCTION("""COMPUTED_VALUE"""),0.8626658188298285)</f>
        <v>0.8626658188</v>
      </c>
      <c r="AK831" s="30">
        <f>IFERROR(__xludf.DUMMYFUNCTION("""COMPUTED_VALUE"""),0.8144835230111396)</f>
        <v>0.814483523</v>
      </c>
      <c r="AL831" s="30">
        <f>IFERROR(__xludf.DUMMYFUNCTION("""COMPUTED_VALUE"""),1.1372806124634003)</f>
        <v>1.137280612</v>
      </c>
      <c r="AM831" s="30">
        <f>IFERROR(__xludf.DUMMYFUNCTION("""COMPUTED_VALUE"""),1.0325667224107433)</f>
        <v>1.032566722</v>
      </c>
      <c r="AN831" s="30">
        <f>IFERROR(__xludf.DUMMYFUNCTION("""COMPUTED_VALUE"""),0.7639060032310975)</f>
        <v>0.7639060032</v>
      </c>
      <c r="AO831" s="30">
        <f>IFERROR(__xludf.DUMMYFUNCTION("""COMPUTED_VALUE"""),0.7505598394802684)</f>
        <v>0.7505598395</v>
      </c>
      <c r="AP831" s="30">
        <f>IFERROR(__xludf.DUMMYFUNCTION("""COMPUTED_VALUE"""),0.7983897649982972)</f>
        <v>0.798389765</v>
      </c>
      <c r="AQ831" s="30">
        <f>IFERROR(__xludf.DUMMYFUNCTION("""COMPUTED_VALUE"""),0.8299884054422687)</f>
        <v>0.8299884054</v>
      </c>
      <c r="AR831" s="30">
        <f>IFERROR(__xludf.DUMMYFUNCTION("""COMPUTED_VALUE"""),0.6898436504036147)</f>
        <v>0.6898436504</v>
      </c>
      <c r="AS831" s="30">
        <f>IFERROR(__xludf.DUMMYFUNCTION("""COMPUTED_VALUE"""),162.0)</f>
        <v>162</v>
      </c>
      <c r="AT831" s="30">
        <f>IFERROR(__xludf.DUMMYFUNCTION("""COMPUTED_VALUE"""),0.8303786441446462)</f>
        <v>0.8303786441</v>
      </c>
      <c r="AU831" s="30">
        <f>IFERROR(__xludf.DUMMYFUNCTION("""COMPUTED_VALUE"""),1.203888964388485)</f>
        <v>1.203888964</v>
      </c>
      <c r="AV831" s="32">
        <f>IFERROR(__xludf.DUMMYFUNCTION("""COMPUTED_VALUE"""),34.56879593840699)</f>
        <v>34.56879594</v>
      </c>
      <c r="AW831" s="32">
        <f>IFERROR(__xludf.DUMMYFUNCTION("""COMPUTED_VALUE"""),-3.7239020615140985)</f>
        <v>-3.723902062</v>
      </c>
      <c r="AX831" s="32">
        <f>IFERROR(__xludf.DUMMYFUNCTION("""COMPUTED_VALUE"""),19.68743492659593)</f>
        <v>19.68743493</v>
      </c>
      <c r="AY831" s="32">
        <f>IFERROR(__xludf.DUMMYFUNCTION("""COMPUTED_VALUE"""),-8.876263023555376)</f>
        <v>-8.876263024</v>
      </c>
      <c r="AZ831" s="30">
        <f>IFERROR(__xludf.DUMMYFUNCTION("""COMPUTED_VALUE"""),5.152360962041278)</f>
        <v>5.152360962</v>
      </c>
      <c r="BA831" s="30">
        <f>IFERROR(__xludf.DUMMYFUNCTION("""COMPUTED_VALUE"""),4000.0)</f>
        <v>4000</v>
      </c>
    </row>
    <row r="832">
      <c r="A832" s="71" t="str">
        <f>IFERROR(__xludf.DUMMYFUNCTION("""COMPUTED_VALUE"""),"Amateur")</f>
        <v>Amateur</v>
      </c>
      <c r="B832" s="71" t="str">
        <f>IFERROR(__xludf.DUMMYFUNCTION("""COMPUTED_VALUE"""),"RSC007220")</f>
        <v>RSC007220</v>
      </c>
      <c r="C832" s="30" t="str">
        <f>IFERROR(__xludf.DUMMYFUNCTION("""COMPUTED_VALUE"""),"maxf")</f>
        <v>maxf</v>
      </c>
      <c r="D832" s="30" t="str">
        <f>IFERROR(__xludf.DUMMYFUNCTION("""COMPUTED_VALUE"""),"Garlic Knots")</f>
        <v>Garlic Knots</v>
      </c>
      <c r="E832" s="30">
        <f>IFERROR(__xludf.DUMMYFUNCTION("""COMPUTED_VALUE"""),41.0)</f>
        <v>41</v>
      </c>
      <c r="F832" s="30">
        <f>IFERROR(__xludf.DUMMYFUNCTION("""COMPUTED_VALUE"""),29.0)</f>
        <v>29</v>
      </c>
      <c r="G832" s="42">
        <f>IFERROR(__xludf.DUMMYFUNCTION("""COMPUTED_VALUE"""),12.0)</f>
        <v>12</v>
      </c>
      <c r="H832" s="42">
        <f>IFERROR(__xludf.DUMMYFUNCTION("""COMPUTED_VALUE"""),0.7073170731707317)</f>
        <v>0.7073170732</v>
      </c>
      <c r="I832" s="42">
        <f>IFERROR(__xludf.DUMMYFUNCTION("""COMPUTED_VALUE"""),0.4461538461538461)</f>
        <v>0.4461538462</v>
      </c>
      <c r="J832" s="30">
        <f>IFERROR(__xludf.DUMMYFUNCTION("""COMPUTED_VALUE"""),267.4878048780488)</f>
        <v>267.4878049</v>
      </c>
      <c r="K832" s="30">
        <f>IFERROR(__xludf.DUMMYFUNCTION("""COMPUTED_VALUE"""),0.7073170731707317)</f>
        <v>0.7073170732</v>
      </c>
      <c r="L832" s="30">
        <f>IFERROR(__xludf.DUMMYFUNCTION("""COMPUTED_VALUE"""),0.5365853658536586)</f>
        <v>0.5365853659</v>
      </c>
      <c r="M832" s="30">
        <f>IFERROR(__xludf.DUMMYFUNCTION("""COMPUTED_VALUE"""),0.8780487804878049)</f>
        <v>0.8780487805</v>
      </c>
      <c r="N832" s="30">
        <f>IFERROR(__xludf.DUMMYFUNCTION("""COMPUTED_VALUE"""),1.5853658536585367)</f>
        <v>1.585365854</v>
      </c>
      <c r="O832" s="30">
        <f>IFERROR(__xludf.DUMMYFUNCTION("""COMPUTED_VALUE"""),259.8821138211383)</f>
        <v>259.8821138</v>
      </c>
      <c r="P832" s="30">
        <f>IFERROR(__xludf.DUMMYFUNCTION("""COMPUTED_VALUE"""),0.5264227642276422)</f>
        <v>0.5264227642</v>
      </c>
      <c r="Q832" s="30">
        <f>IFERROR(__xludf.DUMMYFUNCTION("""COMPUTED_VALUE"""),0.2967479674796748)</f>
        <v>0.2967479675</v>
      </c>
      <c r="R832" s="30">
        <f>IFERROR(__xludf.DUMMYFUNCTION("""COMPUTED_VALUE"""),0.7540650406504066)</f>
        <v>0.7540650407</v>
      </c>
      <c r="S832" s="30">
        <f>IFERROR(__xludf.DUMMYFUNCTION("""COMPUTED_VALUE"""),2.0243902439024395)</f>
        <v>2.024390244</v>
      </c>
      <c r="T832" s="30">
        <f>IFERROR(__xludf.DUMMYFUNCTION("""COMPUTED_VALUE"""),292.78986301139554)</f>
        <v>292.789863</v>
      </c>
      <c r="U832" s="30">
        <f>IFERROR(__xludf.DUMMYFUNCTION("""COMPUTED_VALUE"""),0.7524841512969136)</f>
        <v>0.7524841513</v>
      </c>
      <c r="V832" s="30">
        <f>IFERROR(__xludf.DUMMYFUNCTION("""COMPUTED_VALUE"""),0.4307430178194786)</f>
        <v>0.4307430178</v>
      </c>
      <c r="W832" s="30">
        <f>IFERROR(__xludf.DUMMYFUNCTION("""COMPUTED_VALUE"""),0.8677685947829253)</f>
        <v>0.8677685948</v>
      </c>
      <c r="X832" s="30">
        <f>IFERROR(__xludf.DUMMYFUNCTION("""COMPUTED_VALUE"""),2.0982439920907634)</f>
        <v>2.098243992</v>
      </c>
      <c r="Y832" s="30">
        <f>IFERROR(__xludf.DUMMYFUNCTION("""COMPUTED_VALUE"""),300.60559478847205)</f>
        <v>300.6055948</v>
      </c>
      <c r="Z832" s="30">
        <f>IFERROR(__xludf.DUMMYFUNCTION("""COMPUTED_VALUE"""),0.8078991863577474)</f>
        <v>0.8078991864</v>
      </c>
      <c r="AA832" s="30">
        <f>IFERROR(__xludf.DUMMYFUNCTION("""COMPUTED_VALUE"""),0.44655599575886135)</f>
        <v>0.4465559958</v>
      </c>
      <c r="AB832" s="30">
        <f>IFERROR(__xludf.DUMMYFUNCTION("""COMPUTED_VALUE"""),0.9171679042993007)</f>
        <v>0.9171679043</v>
      </c>
      <c r="AC832" s="30">
        <f>IFERROR(__xludf.DUMMYFUNCTION("""COMPUTED_VALUE"""),2.0837133078824936)</f>
        <v>2.083713308</v>
      </c>
      <c r="AD832" s="30">
        <f>IFERROR(__xludf.DUMMYFUNCTION("""COMPUTED_VALUE"""),0.8898297620384367)</f>
        <v>0.889829762</v>
      </c>
      <c r="AE832" s="30">
        <f>IFERROR(__xludf.DUMMYFUNCTION("""COMPUTED_VALUE"""),0.8755016530707623)</f>
        <v>0.8755016531</v>
      </c>
      <c r="AF832" s="30">
        <f>IFERROR(__xludf.DUMMYFUNCTION("""COMPUTED_VALUE"""),1.201608243870524)</f>
        <v>1.201608244</v>
      </c>
      <c r="AG832" s="30">
        <f>IFERROR(__xludf.DUMMYFUNCTION("""COMPUTED_VALUE"""),0.9573479145660008)</f>
        <v>0.9573479146</v>
      </c>
      <c r="AH832" s="30">
        <f>IFERROR(__xludf.DUMMYFUNCTION("""COMPUTED_VALUE"""),0.7608368424107314)</f>
        <v>0.7608368424</v>
      </c>
      <c r="AI832" s="30">
        <f>IFERROR(__xludf.DUMMYFUNCTION("""COMPUTED_VALUE"""),0.887606255039723)</f>
        <v>0.887606255</v>
      </c>
      <c r="AJ832" s="30">
        <f>IFERROR(__xludf.DUMMYFUNCTION("""COMPUTED_VALUE"""),0.6995798693173106)</f>
        <v>0.6995798693</v>
      </c>
      <c r="AK832" s="30">
        <f>IFERROR(__xludf.DUMMYFUNCTION("""COMPUTED_VALUE"""),0.6889211320983961)</f>
        <v>0.6889211321</v>
      </c>
      <c r="AL832" s="30">
        <f>IFERROR(__xludf.DUMMYFUNCTION("""COMPUTED_VALUE"""),0.8689701899606519)</f>
        <v>0.86897019</v>
      </c>
      <c r="AM832" s="30">
        <f>IFERROR(__xludf.DUMMYFUNCTION("""COMPUTED_VALUE"""),0.9648021162139807)</f>
        <v>0.9648021162</v>
      </c>
      <c r="AN832" s="30">
        <f>IFERROR(__xludf.DUMMYFUNCTION("""COMPUTED_VALUE"""),0.9637091350487133)</f>
        <v>0.963709135</v>
      </c>
      <c r="AO832" s="30">
        <f>IFERROR(__xludf.DUMMYFUNCTION("""COMPUTED_VALUE"""),0.9732869463179091)</f>
        <v>0.9732869463</v>
      </c>
      <c r="AP832" s="30">
        <f>IFERROR(__xludf.DUMMYFUNCTION("""COMPUTED_VALUE"""),1.2852127924362833)</f>
        <v>1.285212792</v>
      </c>
      <c r="AQ832" s="30">
        <f>IFERROR(__xludf.DUMMYFUNCTION("""COMPUTED_VALUE"""),1.093155460826403)</f>
        <v>1.093155461</v>
      </c>
      <c r="AR832" s="30">
        <f>IFERROR(__xludf.DUMMYFUNCTION("""COMPUTED_VALUE"""),0.8202409257847859)</f>
        <v>0.8202409258</v>
      </c>
      <c r="AS832" s="30">
        <f>IFERROR(__xludf.DUMMYFUNCTION("""COMPUTED_VALUE"""),287.0)</f>
        <v>287</v>
      </c>
      <c r="AT832" s="30">
        <f>IFERROR(__xludf.DUMMYFUNCTION("""COMPUTED_VALUE"""),0.9404296662847857)</f>
        <v>0.9404296663</v>
      </c>
      <c r="AU832" s="30">
        <f>IFERROR(__xludf.DUMMYFUNCTION("""COMPUTED_VALUE"""),2.252203386108397)</f>
        <v>2.252203386</v>
      </c>
      <c r="AV832" s="32">
        <f>IFERROR(__xludf.DUMMYFUNCTION("""COMPUTED_VALUE"""),55.186913147557625)</f>
        <v>55.18691315</v>
      </c>
      <c r="AW832" s="32">
        <f>IFERROR(__xludf.DUMMYFUNCTION("""COMPUTED_VALUE"""),2.393381658005458)</f>
        <v>2.393381658</v>
      </c>
      <c r="AX832" s="32">
        <f>IFERROR(__xludf.DUMMYFUNCTION("""COMPUTED_VALUE"""),46.36933845704227)</f>
        <v>46.36933846</v>
      </c>
      <c r="AY832" s="32">
        <f>IFERROR(__xludf.DUMMYFUNCTION("""COMPUTED_VALUE"""),-2.261082507737314)</f>
        <v>-2.261082508</v>
      </c>
      <c r="AZ832" s="30">
        <f>IFERROR(__xludf.DUMMYFUNCTION("""COMPUTED_VALUE"""),4.654464165742771)</f>
        <v>4.654464166</v>
      </c>
      <c r="BA832" s="30">
        <f>IFERROR(__xludf.DUMMYFUNCTION("""COMPUTED_VALUE"""),4000.0)</f>
        <v>4000</v>
      </c>
    </row>
    <row r="833">
      <c r="A833" s="71" t="str">
        <f>IFERROR(__xludf.DUMMYFUNCTION("""COMPUTED_VALUE"""),"Amateur")</f>
        <v>Amateur</v>
      </c>
      <c r="B833" s="71" t="str">
        <f>IFERROR(__xludf.DUMMYFUNCTION("""COMPUTED_VALUE"""),"RSC004190")</f>
        <v>RSC004190</v>
      </c>
      <c r="C833" s="30" t="str">
        <f>IFERROR(__xludf.DUMMYFUNCTION("""COMPUTED_VALUE"""),"demonikgoat4061")</f>
        <v>demonikgoat4061</v>
      </c>
      <c r="D833" s="30" t="str">
        <f>IFERROR(__xludf.DUMMYFUNCTION("""COMPUTED_VALUE"""),"Aloof Goofs")</f>
        <v>Aloof Goofs</v>
      </c>
      <c r="E833" s="30">
        <f>IFERROR(__xludf.DUMMYFUNCTION("""COMPUTED_VALUE"""),45.0)</f>
        <v>45</v>
      </c>
      <c r="F833" s="30">
        <f>IFERROR(__xludf.DUMMYFUNCTION("""COMPUTED_VALUE"""),19.0)</f>
        <v>19</v>
      </c>
      <c r="G833" s="42">
        <f>IFERROR(__xludf.DUMMYFUNCTION("""COMPUTED_VALUE"""),26.0)</f>
        <v>26</v>
      </c>
      <c r="H833" s="42">
        <f>IFERROR(__xludf.DUMMYFUNCTION("""COMPUTED_VALUE"""),0.4222222222222222)</f>
        <v>0.4222222222</v>
      </c>
      <c r="I833" s="42">
        <f>IFERROR(__xludf.DUMMYFUNCTION("""COMPUTED_VALUE"""),0.3888888888888889)</f>
        <v>0.3888888889</v>
      </c>
      <c r="J833" s="30">
        <f>IFERROR(__xludf.DUMMYFUNCTION("""COMPUTED_VALUE"""),298.5111111111111)</f>
        <v>298.5111111</v>
      </c>
      <c r="K833" s="30">
        <f>IFERROR(__xludf.DUMMYFUNCTION("""COMPUTED_VALUE"""),0.7777777777777778)</f>
        <v>0.7777777778</v>
      </c>
      <c r="L833" s="30">
        <f>IFERROR(__xludf.DUMMYFUNCTION("""COMPUTED_VALUE"""),0.4222222222222222)</f>
        <v>0.4222222222</v>
      </c>
      <c r="M833" s="30">
        <f>IFERROR(__xludf.DUMMYFUNCTION("""COMPUTED_VALUE"""),0.9111111111111111)</f>
        <v>0.9111111111</v>
      </c>
      <c r="N833" s="30">
        <f>IFERROR(__xludf.DUMMYFUNCTION("""COMPUTED_VALUE"""),2.0)</f>
        <v>2</v>
      </c>
      <c r="O833" s="30">
        <f>IFERROR(__xludf.DUMMYFUNCTION("""COMPUTED_VALUE"""),298.16481481481463)</f>
        <v>298.1648148</v>
      </c>
      <c r="P833" s="30">
        <f>IFERROR(__xludf.DUMMYFUNCTION("""COMPUTED_VALUE"""),0.7722222222222228)</f>
        <v>0.7722222222</v>
      </c>
      <c r="Q833" s="30">
        <f>IFERROR(__xludf.DUMMYFUNCTION("""COMPUTED_VALUE"""),0.4648148148148147)</f>
        <v>0.4648148148</v>
      </c>
      <c r="R833" s="30">
        <f>IFERROR(__xludf.DUMMYFUNCTION("""COMPUTED_VALUE"""),0.9574074074074073)</f>
        <v>0.9574074074</v>
      </c>
      <c r="S833" s="30">
        <f>IFERROR(__xludf.DUMMYFUNCTION("""COMPUTED_VALUE"""),2.0277777777777772)</f>
        <v>2.027777778</v>
      </c>
      <c r="T833" s="30">
        <f>IFERROR(__xludf.DUMMYFUNCTION("""COMPUTED_VALUE"""),294.22739864453354)</f>
        <v>294.2273986</v>
      </c>
      <c r="U833" s="30">
        <f>IFERROR(__xludf.DUMMYFUNCTION("""COMPUTED_VALUE"""),0.7657406467902101)</f>
        <v>0.7657406468</v>
      </c>
      <c r="V833" s="30">
        <f>IFERROR(__xludf.DUMMYFUNCTION("""COMPUTED_VALUE"""),0.4398327043922166)</f>
        <v>0.4398327044</v>
      </c>
      <c r="W833" s="30">
        <f>IFERROR(__xludf.DUMMYFUNCTION("""COMPUTED_VALUE"""),0.9073117924762626)</f>
        <v>0.9073117925</v>
      </c>
      <c r="X833" s="30">
        <f>IFERROR(__xludf.DUMMYFUNCTION("""COMPUTED_VALUE"""),2.0349205206065903)</f>
        <v>2.034920521</v>
      </c>
      <c r="Y833" s="30">
        <f>IFERROR(__xludf.DUMMYFUNCTION("""COMPUTED_VALUE"""),295.51728525566756)</f>
        <v>295.5172853</v>
      </c>
      <c r="Z833" s="30">
        <f>IFERROR(__xludf.DUMMYFUNCTION("""COMPUTED_VALUE"""),0.7709486612435023)</f>
        <v>0.7709486612</v>
      </c>
      <c r="AA833" s="30">
        <f>IFERROR(__xludf.DUMMYFUNCTION("""COMPUTED_VALUE"""),0.4422053814294059)</f>
        <v>0.4422053814</v>
      </c>
      <c r="AB833" s="30">
        <f>IFERROR(__xludf.DUMMYFUNCTION("""COMPUTED_VALUE"""),0.8680193142192548)</f>
        <v>0.8680193142</v>
      </c>
      <c r="AC833" s="30">
        <f>IFERROR(__xludf.DUMMYFUNCTION("""COMPUTED_VALUE"""),2.1011969358744884)</f>
        <v>2.101196936</v>
      </c>
      <c r="AD833" s="30">
        <f>IFERROR(__xludf.DUMMYFUNCTION("""COMPUTED_VALUE"""),1.0101307977733127)</f>
        <v>1.010130798</v>
      </c>
      <c r="AE833" s="30">
        <f>IFERROR(__xludf.DUMMYFUNCTION("""COMPUTED_VALUE"""),1.0088580691264974)</f>
        <v>1.008858069</v>
      </c>
      <c r="AF833" s="30">
        <f>IFERROR(__xludf.DUMMYFUNCTION("""COMPUTED_VALUE"""),0.9548102306159433)</f>
        <v>0.9548102306</v>
      </c>
      <c r="AG833" s="30">
        <f>IFERROR(__xludf.DUMMYFUNCTION("""COMPUTED_VALUE"""),1.049643822649978)</f>
        <v>1.049643823</v>
      </c>
      <c r="AH833" s="30">
        <f>IFERROR(__xludf.DUMMYFUNCTION("""COMPUTED_VALUE"""),0.9518384335391334)</f>
        <v>0.9518384335</v>
      </c>
      <c r="AI833" s="30">
        <f>IFERROR(__xludf.DUMMYFUNCTION("""COMPUTED_VALUE"""),1.013382221330917)</f>
        <v>1.013382221</v>
      </c>
      <c r="AJ833" s="30">
        <f>IFERROR(__xludf.DUMMYFUNCTION("""COMPUTED_VALUE"""),1.008464452630511)</f>
        <v>1.008464453</v>
      </c>
      <c r="AK833" s="30">
        <f>IFERROR(__xludf.DUMMYFUNCTION("""COMPUTED_VALUE"""),1.0567991196951114)</f>
        <v>1.05679912</v>
      </c>
      <c r="AL833" s="30">
        <f>IFERROR(__xludf.DUMMYFUNCTION("""COMPUTED_VALUE"""),1.0552132302771269)</f>
        <v>1.05521323</v>
      </c>
      <c r="AM833" s="30">
        <f>IFERROR(__xludf.DUMMYFUNCTION("""COMPUTED_VALUE"""),0.996489915573369)</f>
        <v>0.9964899156</v>
      </c>
      <c r="AN833" s="30">
        <f>IFERROR(__xludf.DUMMYFUNCTION("""COMPUTED_VALUE"""),1.0754803749743858)</f>
        <v>1.075480375</v>
      </c>
      <c r="AO833" s="30">
        <f>IFERROR(__xludf.DUMMYFUNCTION("""COMPUTED_VALUE"""),1.0702427340737162)</f>
        <v>1.070242734</v>
      </c>
      <c r="AP833" s="30">
        <f>IFERROR(__xludf.DUMMYFUNCTION("""COMPUTED_VALUE"""),1.0112937023311765)</f>
        <v>1.011293702</v>
      </c>
      <c r="AQ833" s="30">
        <f>IFERROR(__xludf.DUMMYFUNCTION("""COMPUTED_VALUE"""),1.1343174874377673)</f>
        <v>1.134317487</v>
      </c>
      <c r="AR833" s="30">
        <f>IFERROR(__xludf.DUMMYFUNCTION("""COMPUTED_VALUE"""),1.0347654756054223)</f>
        <v>1.034765476</v>
      </c>
      <c r="AS833" s="30">
        <f>IFERROR(__xludf.DUMMYFUNCTION("""COMPUTED_VALUE"""),290.0)</f>
        <v>290</v>
      </c>
      <c r="AT833" s="30">
        <f>IFERROR(__xludf.DUMMYFUNCTION("""COMPUTED_VALUE"""),0.8707199227264457)</f>
        <v>0.8707199227</v>
      </c>
      <c r="AU833" s="30">
        <f>IFERROR(__xludf.DUMMYFUNCTION("""COMPUTED_VALUE"""),2.1844849542265665)</f>
        <v>2.184484954</v>
      </c>
      <c r="AV833" s="32">
        <f>IFERROR(__xludf.DUMMYFUNCTION("""COMPUTED_VALUE"""),53.85503548105682)</f>
        <v>53.85503548</v>
      </c>
      <c r="AW833" s="32">
        <f>IFERROR(__xludf.DUMMYFUNCTION("""COMPUTED_VALUE"""),2.279329757551292)</f>
        <v>2.279329758</v>
      </c>
      <c r="AX833" s="32">
        <f>IFERROR(__xludf.DUMMYFUNCTION("""COMPUTED_VALUE"""),48.59376476548729)</f>
        <v>48.59376477</v>
      </c>
      <c r="AY833" s="32">
        <f>IFERROR(__xludf.DUMMYFUNCTION("""COMPUTED_VALUE"""),-2.093927032701405)</f>
        <v>-2.093927033</v>
      </c>
      <c r="AZ833" s="30">
        <f>IFERROR(__xludf.DUMMYFUNCTION("""COMPUTED_VALUE"""),4.373256790252697)</f>
        <v>4.37325679</v>
      </c>
      <c r="BA833" s="30">
        <f>IFERROR(__xludf.DUMMYFUNCTION("""COMPUTED_VALUE"""),4000.0)</f>
        <v>4000</v>
      </c>
    </row>
    <row r="834">
      <c r="A834" s="71" t="str">
        <f>IFERROR(__xludf.DUMMYFUNCTION("""COMPUTED_VALUE"""),"Amateur")</f>
        <v>Amateur</v>
      </c>
      <c r="B834" s="71" t="str">
        <f>IFERROR(__xludf.DUMMYFUNCTION("""COMPUTED_VALUE"""),"RSC006147")</f>
        <v>RSC006147</v>
      </c>
      <c r="C834" s="30" t="str">
        <f>IFERROR(__xludf.DUMMYFUNCTION("""COMPUTED_VALUE"""),"Stolris")</f>
        <v>Stolris</v>
      </c>
      <c r="D834" s="30"/>
      <c r="E834" s="30">
        <f>IFERROR(__xludf.DUMMYFUNCTION("""COMPUTED_VALUE"""),3.0)</f>
        <v>3</v>
      </c>
      <c r="F834" s="30">
        <f>IFERROR(__xludf.DUMMYFUNCTION("""COMPUTED_VALUE"""),1.0)</f>
        <v>1</v>
      </c>
      <c r="G834" s="42">
        <f>IFERROR(__xludf.DUMMYFUNCTION("""COMPUTED_VALUE"""),2.0)</f>
        <v>2</v>
      </c>
      <c r="H834" s="42">
        <f>IFERROR(__xludf.DUMMYFUNCTION("""COMPUTED_VALUE"""),0.3333333333333333)</f>
        <v>0.3333333333</v>
      </c>
      <c r="I834" s="42">
        <f>IFERROR(__xludf.DUMMYFUNCTION("""COMPUTED_VALUE"""),0.2857142857142857)</f>
        <v>0.2857142857</v>
      </c>
      <c r="J834" s="30">
        <f>IFERROR(__xludf.DUMMYFUNCTION("""COMPUTED_VALUE"""),198.0)</f>
        <v>198</v>
      </c>
      <c r="K834" s="30">
        <f>IFERROR(__xludf.DUMMYFUNCTION("""COMPUTED_VALUE"""),0.6666666666666666)</f>
        <v>0.6666666667</v>
      </c>
      <c r="L834" s="30">
        <f>IFERROR(__xludf.DUMMYFUNCTION("""COMPUTED_VALUE"""),0.3333333333333333)</f>
        <v>0.3333333333</v>
      </c>
      <c r="M834" s="30">
        <f>IFERROR(__xludf.DUMMYFUNCTION("""COMPUTED_VALUE"""),0.3333333333333333)</f>
        <v>0.3333333333</v>
      </c>
      <c r="N834" s="30">
        <f>IFERROR(__xludf.DUMMYFUNCTION("""COMPUTED_VALUE"""),2.3333333333333335)</f>
        <v>2.333333333</v>
      </c>
      <c r="O834" s="30">
        <f>IFERROR(__xludf.DUMMYFUNCTION("""COMPUTED_VALUE"""),293.5555555555556)</f>
        <v>293.5555556</v>
      </c>
      <c r="P834" s="30">
        <f>IFERROR(__xludf.DUMMYFUNCTION("""COMPUTED_VALUE"""),0.7777777777777777)</f>
        <v>0.7777777778</v>
      </c>
      <c r="Q834" s="30">
        <f>IFERROR(__xludf.DUMMYFUNCTION("""COMPUTED_VALUE"""),0.4444444444444444)</f>
        <v>0.4444444444</v>
      </c>
      <c r="R834" s="30">
        <f>IFERROR(__xludf.DUMMYFUNCTION("""COMPUTED_VALUE"""),0.9999999999999999)</f>
        <v>1</v>
      </c>
      <c r="S834" s="30">
        <f>IFERROR(__xludf.DUMMYFUNCTION("""COMPUTED_VALUE"""),1.888888888888889)</f>
        <v>1.888888889</v>
      </c>
      <c r="T834" s="30">
        <f>IFERROR(__xludf.DUMMYFUNCTION("""COMPUTED_VALUE"""),291.4948637513855)</f>
        <v>291.4948638</v>
      </c>
      <c r="U834" s="30">
        <f>IFERROR(__xludf.DUMMYFUNCTION("""COMPUTED_VALUE"""),0.8071334462638812)</f>
        <v>0.8071334463</v>
      </c>
      <c r="V834" s="30">
        <f>IFERROR(__xludf.DUMMYFUNCTION("""COMPUTED_VALUE"""),0.3927076144467449)</f>
        <v>0.3927076144</v>
      </c>
      <c r="W834" s="30">
        <f>IFERROR(__xludf.DUMMYFUNCTION("""COMPUTED_VALUE"""),0.8269611226132966)</f>
        <v>0.8269611226</v>
      </c>
      <c r="X834" s="30">
        <f>IFERROR(__xludf.DUMMYFUNCTION("""COMPUTED_VALUE"""),2.1402576489533014)</f>
        <v>2.140257649</v>
      </c>
      <c r="Y834" s="30">
        <f>IFERROR(__xludf.DUMMYFUNCTION("""COMPUTED_VALUE"""),291.29786880850105)</f>
        <v>291.2978688</v>
      </c>
      <c r="Z834" s="30">
        <f>IFERROR(__xludf.DUMMYFUNCTION("""COMPUTED_VALUE"""),0.6896348542900267)</f>
        <v>0.6896348543</v>
      </c>
      <c r="AA834" s="30">
        <f>IFERROR(__xludf.DUMMYFUNCTION("""COMPUTED_VALUE"""),0.39169500146511654)</f>
        <v>0.3916950015</v>
      </c>
      <c r="AB834" s="30">
        <f>IFERROR(__xludf.DUMMYFUNCTION("""COMPUTED_VALUE"""),0.9853916836675459)</f>
        <v>0.9853916837</v>
      </c>
      <c r="AC834" s="30">
        <f>IFERROR(__xludf.DUMMYFUNCTION("""COMPUTED_VALUE"""),2.040463197934462)</f>
        <v>2.040463198</v>
      </c>
      <c r="AD834" s="30">
        <f>IFERROR(__xludf.DUMMYFUNCTION("""COMPUTED_VALUE"""),0.6797166103888148)</f>
        <v>0.6797166104</v>
      </c>
      <c r="AE834" s="30">
        <f>IFERROR(__xludf.DUMMYFUNCTION("""COMPUTED_VALUE"""),0.9666951467425386)</f>
        <v>0.9666951467</v>
      </c>
      <c r="AF834" s="30">
        <f>IFERROR(__xludf.DUMMYFUNCTION("""COMPUTED_VALUE"""),0.8510022647379104)</f>
        <v>0.8510022647</v>
      </c>
      <c r="AG834" s="30">
        <f>IFERROR(__xludf.DUMMYFUNCTION("""COMPUTED_VALUE"""),0.3382749609705395)</f>
        <v>0.338274961</v>
      </c>
      <c r="AH834" s="30">
        <f>IFERROR(__xludf.DUMMYFUNCTION("""COMPUTED_VALUE"""),1.1435312019816581)</f>
        <v>1.143531202</v>
      </c>
      <c r="AI834" s="30">
        <f>IFERROR(__xludf.DUMMYFUNCTION("""COMPUTED_VALUE"""),1.0070693931880998)</f>
        <v>1.007069393</v>
      </c>
      <c r="AJ834" s="30">
        <f>IFERROR(__xludf.DUMMYFUNCTION("""COMPUTED_VALUE"""),0.9636297211793327)</f>
        <v>0.9636297212</v>
      </c>
      <c r="AK834" s="30">
        <f>IFERROR(__xludf.DUMMYFUNCTION("""COMPUTED_VALUE"""),1.1317438931521293)</f>
        <v>1.131743893</v>
      </c>
      <c r="AL834" s="30">
        <f>IFERROR(__xludf.DUMMYFUNCTION("""COMPUTED_VALUE"""),1.2092466896628462)</f>
        <v>1.20924669</v>
      </c>
      <c r="AM834" s="30">
        <f>IFERROR(__xludf.DUMMYFUNCTION("""COMPUTED_VALUE"""),0.8825521029267925)</f>
        <v>0.8825521029</v>
      </c>
      <c r="AN834" s="30">
        <f>IFERROR(__xludf.DUMMYFUNCTION("""COMPUTED_VALUE"""),0.7133574139076734)</f>
        <v>0.7133574139</v>
      </c>
      <c r="AO834" s="30">
        <f>IFERROR(__xludf.DUMMYFUNCTION("""COMPUTED_VALUE"""),0.917350914920328)</f>
        <v>0.9173509149</v>
      </c>
      <c r="AP834" s="30">
        <f>IFERROR(__xludf.DUMMYFUNCTION("""COMPUTED_VALUE"""),0.7983897649982972)</f>
        <v>0.798389765</v>
      </c>
      <c r="AQ834" s="30">
        <f>IFERROR(__xludf.DUMMYFUNCTION("""COMPUTED_VALUE"""),0.41499420272113435)</f>
        <v>0.4149942027</v>
      </c>
      <c r="AR834" s="30">
        <f>IFERROR(__xludf.DUMMYFUNCTION("""COMPUTED_VALUE"""),1.207226388206326)</f>
        <v>1.207226388</v>
      </c>
      <c r="AS834" s="30">
        <f>IFERROR(__xludf.DUMMYFUNCTION("""COMPUTED_VALUE"""),6.0)</f>
        <v>6</v>
      </c>
      <c r="AT834" s="30">
        <f>IFERROR(__xludf.DUMMYFUNCTION("""COMPUTED_VALUE"""),0.441566165189672)</f>
        <v>0.4415661652</v>
      </c>
      <c r="AU834" s="30">
        <f>IFERROR(__xludf.DUMMYFUNCTION("""COMPUTED_VALUE"""),1.7994626540675367)</f>
        <v>1.799462654</v>
      </c>
      <c r="AV834" s="32">
        <f>IFERROR(__xludf.DUMMYFUNCTION("""COMPUTED_VALUE"""),46.2824649351022)</f>
        <v>46.28246494</v>
      </c>
      <c r="AW834" s="32">
        <f>IFERROR(__xludf.DUMMYFUNCTION("""COMPUTED_VALUE"""),-2.2681156409487113)</f>
        <v>-2.268115641</v>
      </c>
      <c r="AX834" s="32">
        <f>IFERROR(__xludf.DUMMYFUNCTION("""COMPUTED_VALUE"""),24.190677985101384)</f>
        <v>24.19067799</v>
      </c>
      <c r="AY834" s="32">
        <f>IFERROR(__xludf.DUMMYFUNCTION("""COMPUTED_VALUE"""),-6.624765658584421)</f>
        <v>-6.624765659</v>
      </c>
      <c r="AZ834" s="30">
        <f>IFERROR(__xludf.DUMMYFUNCTION("""COMPUTED_VALUE"""),4.35665001763571)</f>
        <v>4.356650018</v>
      </c>
      <c r="BA834" s="30">
        <f>IFERROR(__xludf.DUMMYFUNCTION("""COMPUTED_VALUE"""),4000.0)</f>
        <v>4000</v>
      </c>
    </row>
    <row r="835">
      <c r="A835" s="71" t="str">
        <f>IFERROR(__xludf.DUMMYFUNCTION("""COMPUTED_VALUE"""),"Amateur")</f>
        <v>Amateur</v>
      </c>
      <c r="B835" s="71" t="str">
        <f>IFERROR(__xludf.DUMMYFUNCTION("""COMPUTED_VALUE"""),"RSC007161")</f>
        <v>RSC007161</v>
      </c>
      <c r="C835" s="30" t="str">
        <f>IFERROR(__xludf.DUMMYFUNCTION("""COMPUTED_VALUE"""),"MrAnderpants")</f>
        <v>MrAnderpants</v>
      </c>
      <c r="D835" s="30" t="str">
        <f>IFERROR(__xludf.DUMMYFUNCTION("""COMPUTED_VALUE"""),"Aloof Goofs")</f>
        <v>Aloof Goofs</v>
      </c>
      <c r="E835" s="30">
        <f>IFERROR(__xludf.DUMMYFUNCTION("""COMPUTED_VALUE"""),46.0)</f>
        <v>46</v>
      </c>
      <c r="F835" s="30">
        <f>IFERROR(__xludf.DUMMYFUNCTION("""COMPUTED_VALUE"""),18.0)</f>
        <v>18</v>
      </c>
      <c r="G835" s="42">
        <f>IFERROR(__xludf.DUMMYFUNCTION("""COMPUTED_VALUE"""),28.0)</f>
        <v>28</v>
      </c>
      <c r="H835" s="42">
        <f>IFERROR(__xludf.DUMMYFUNCTION("""COMPUTED_VALUE"""),0.391304347826087)</f>
        <v>0.3913043478</v>
      </c>
      <c r="I835" s="42">
        <f>IFERROR(__xludf.DUMMYFUNCTION("""COMPUTED_VALUE"""),0.3535353535353536)</f>
        <v>0.3535353535</v>
      </c>
      <c r="J835" s="30">
        <f>IFERROR(__xludf.DUMMYFUNCTION("""COMPUTED_VALUE"""),295.8695652173913)</f>
        <v>295.8695652</v>
      </c>
      <c r="K835" s="30">
        <f>IFERROR(__xludf.DUMMYFUNCTION("""COMPUTED_VALUE"""),0.7608695652173914)</f>
        <v>0.7608695652</v>
      </c>
      <c r="L835" s="30">
        <f>IFERROR(__xludf.DUMMYFUNCTION("""COMPUTED_VALUE"""),0.32608695652173914)</f>
        <v>0.3260869565</v>
      </c>
      <c r="M835" s="30">
        <f>IFERROR(__xludf.DUMMYFUNCTION("""COMPUTED_VALUE"""),0.8043478260869565)</f>
        <v>0.8043478261</v>
      </c>
      <c r="N835" s="30">
        <f>IFERROR(__xludf.DUMMYFUNCTION("""COMPUTED_VALUE"""),2.152173913043478)</f>
        <v>2.152173913</v>
      </c>
      <c r="O835" s="30">
        <f>IFERROR(__xludf.DUMMYFUNCTION("""COMPUTED_VALUE"""),299.7608695652172)</f>
        <v>299.7608696</v>
      </c>
      <c r="P835" s="30">
        <f>IFERROR(__xludf.DUMMYFUNCTION("""COMPUTED_VALUE"""),0.7898550724637686)</f>
        <v>0.7898550725</v>
      </c>
      <c r="Q835" s="30">
        <f>IFERROR(__xludf.DUMMYFUNCTION("""COMPUTED_VALUE"""),0.4637681159420289)</f>
        <v>0.4637681159</v>
      </c>
      <c r="R835" s="30">
        <f>IFERROR(__xludf.DUMMYFUNCTION("""COMPUTED_VALUE"""),0.9275362318840574)</f>
        <v>0.9275362319</v>
      </c>
      <c r="S835" s="30">
        <f>IFERROR(__xludf.DUMMYFUNCTION("""COMPUTED_VALUE"""),2.028985507246376)</f>
        <v>2.028985507</v>
      </c>
      <c r="T835" s="30">
        <f>IFERROR(__xludf.DUMMYFUNCTION("""COMPUTED_VALUE"""),296.68977005645746)</f>
        <v>296.6897701</v>
      </c>
      <c r="U835" s="30">
        <f>IFERROR(__xludf.DUMMYFUNCTION("""COMPUTED_VALUE"""),0.7707922113242056)</f>
        <v>0.7707922113</v>
      </c>
      <c r="V835" s="30">
        <f>IFERROR(__xludf.DUMMYFUNCTION("""COMPUTED_VALUE"""),0.4438708258424627)</f>
        <v>0.4438708258</v>
      </c>
      <c r="W835" s="30">
        <f>IFERROR(__xludf.DUMMYFUNCTION("""COMPUTED_VALUE"""),0.9126168666945529)</f>
        <v>0.9126168667</v>
      </c>
      <c r="X835" s="30">
        <f>IFERROR(__xludf.DUMMYFUNCTION("""COMPUTED_VALUE"""),2.0572401325177343)</f>
        <v>2.057240133</v>
      </c>
      <c r="Y835" s="30">
        <f>IFERROR(__xludf.DUMMYFUNCTION("""COMPUTED_VALUE"""),295.0444740452903)</f>
        <v>295.044474</v>
      </c>
      <c r="Z835" s="30">
        <f>IFERROR(__xludf.DUMMYFUNCTION("""COMPUTED_VALUE"""),0.7684871365791662)</f>
        <v>0.7684871366</v>
      </c>
      <c r="AA835" s="30">
        <f>IFERROR(__xludf.DUMMYFUNCTION("""COMPUTED_VALUE"""),0.43973911857146636)</f>
        <v>0.4397391186</v>
      </c>
      <c r="AB835" s="30">
        <f>IFERROR(__xludf.DUMMYFUNCTION("""COMPUTED_VALUE"""),0.8699419270565617)</f>
        <v>0.8699419271</v>
      </c>
      <c r="AC835" s="30">
        <f>IFERROR(__xludf.DUMMYFUNCTION("""COMPUTED_VALUE"""),2.0905567941019263)</f>
        <v>2.090556794</v>
      </c>
      <c r="AD835" s="30">
        <f>IFERROR(__xludf.DUMMYFUNCTION("""COMPUTED_VALUE"""),1.002796497628945)</f>
        <v>1.002796498</v>
      </c>
      <c r="AE835" s="30">
        <f>IFERROR(__xludf.DUMMYFUNCTION("""COMPUTED_VALUE"""),0.9900875746656169)</f>
        <v>0.9900875747</v>
      </c>
      <c r="AF835" s="30">
        <f>IFERROR(__xludf.DUMMYFUNCTION("""COMPUTED_VALUE"""),0.7415463913719187)</f>
        <v>0.7415463914</v>
      </c>
      <c r="AG835" s="30">
        <f>IFERROR(__xludf.DUMMYFUNCTION("""COMPUTED_VALUE"""),0.9245994486188958)</f>
        <v>0.9245994486</v>
      </c>
      <c r="AH835" s="30">
        <f>IFERROR(__xludf.DUMMYFUNCTION("""COMPUTED_VALUE"""),1.0294740229566552)</f>
        <v>1.029474023</v>
      </c>
      <c r="AI835" s="30">
        <f>IFERROR(__xludf.DUMMYFUNCTION("""COMPUTED_VALUE"""),1.0103512146986913)</f>
        <v>1.010351215</v>
      </c>
      <c r="AJ835" s="30">
        <f>IFERROR(__xludf.DUMMYFUNCTION("""COMPUTED_VALUE"""),1.0247315175990341)</f>
        <v>1.024731518</v>
      </c>
      <c r="AK835" s="30">
        <f>IFERROR(__xludf.DUMMYFUNCTION("""COMPUTED_VALUE"""),1.0448267580141166)</f>
        <v>1.044826758</v>
      </c>
      <c r="AL835" s="30">
        <f>IFERROR(__xludf.DUMMYFUNCTION("""COMPUTED_VALUE"""),1.0163478955232788)</f>
        <v>1.016347896</v>
      </c>
      <c r="AM835" s="30">
        <f>IFERROR(__xludf.DUMMYFUNCTION("""COMPUTED_VALUE"""),0.98626576216128)</f>
        <v>0.9862657622</v>
      </c>
      <c r="AN835" s="30">
        <f>IFERROR(__xludf.DUMMYFUNCTION("""COMPUTED_VALUE"""),1.065963373219525)</f>
        <v>1.065963373</v>
      </c>
      <c r="AO835" s="30">
        <f>IFERROR(__xludf.DUMMYFUNCTION("""COMPUTED_VALUE"""),1.0469765876808095)</f>
        <v>1.046976588</v>
      </c>
      <c r="AP835" s="30">
        <f>IFERROR(__xludf.DUMMYFUNCTION("""COMPUTED_VALUE"""),0.7810334657592037)</f>
        <v>0.7810334658</v>
      </c>
      <c r="AQ835" s="30">
        <f>IFERROR(__xludf.DUMMYFUNCTION("""COMPUTED_VALUE"""),1.0013990543923026)</f>
        <v>1.001399054</v>
      </c>
      <c r="AR835" s="30">
        <f>IFERROR(__xludf.DUMMYFUNCTION("""COMPUTED_VALUE"""),1.1134976313580085)</f>
        <v>1.113497631</v>
      </c>
      <c r="AS835" s="30">
        <f>IFERROR(__xludf.DUMMYFUNCTION("""COMPUTED_VALUE"""),297.0)</f>
        <v>297</v>
      </c>
      <c r="AT835" s="30">
        <f>IFERROR(__xludf.DUMMYFUNCTION("""COMPUTED_VALUE"""),0.8667711281302055)</f>
        <v>0.8667711281</v>
      </c>
      <c r="AU835" s="30">
        <f>IFERROR(__xludf.DUMMYFUNCTION("""COMPUTED_VALUE"""),2.08395842953343)</f>
        <v>2.08395843</v>
      </c>
      <c r="AV835" s="32">
        <f>IFERROR(__xludf.DUMMYFUNCTION("""COMPUTED_VALUE"""),51.87789233983097)</f>
        <v>51.87789234</v>
      </c>
      <c r="AW835" s="32">
        <f>IFERROR(__xludf.DUMMYFUNCTION("""COMPUTED_VALUE"""),2.127381970540208)</f>
        <v>2.127381971</v>
      </c>
      <c r="AX835" s="32">
        <f>IFERROR(__xludf.DUMMYFUNCTION("""COMPUTED_VALUE"""),47.227448954173944)</f>
        <v>47.22744895</v>
      </c>
      <c r="AY835" s="32">
        <f>IFERROR(__xludf.DUMMYFUNCTION("""COMPUTED_VALUE"""),-2.1937184427998706)</f>
        <v>-2.193718443</v>
      </c>
      <c r="AZ835" s="30">
        <f>IFERROR(__xludf.DUMMYFUNCTION("""COMPUTED_VALUE"""),4.321100413340078)</f>
        <v>4.321100413</v>
      </c>
      <c r="BA835" s="30">
        <f>IFERROR(__xludf.DUMMYFUNCTION("""COMPUTED_VALUE"""),4000.0)</f>
        <v>4000</v>
      </c>
    </row>
    <row r="836">
      <c r="A836" s="71" t="str">
        <f>IFERROR(__xludf.DUMMYFUNCTION("""COMPUTED_VALUE"""),"Amateur")</f>
        <v>Amateur</v>
      </c>
      <c r="B836" s="71" t="str">
        <f>IFERROR(__xludf.DUMMYFUNCTION("""COMPUTED_VALUE"""),"RSC007899")</f>
        <v>RSC007899</v>
      </c>
      <c r="C836" s="30" t="str">
        <f>IFERROR(__xludf.DUMMYFUNCTION("""COMPUTED_VALUE"""),"SeaSpay12")</f>
        <v>SeaSpay12</v>
      </c>
      <c r="D836" s="30" t="str">
        <f>IFERROR(__xludf.DUMMYFUNCTION("""COMPUTED_VALUE"""),"Surprise")</f>
        <v>Surprise</v>
      </c>
      <c r="E836" s="30">
        <f>IFERROR(__xludf.DUMMYFUNCTION("""COMPUTED_VALUE"""),42.0)</f>
        <v>42</v>
      </c>
      <c r="F836" s="30">
        <f>IFERROR(__xludf.DUMMYFUNCTION("""COMPUTED_VALUE"""),24.0)</f>
        <v>24</v>
      </c>
      <c r="G836" s="42">
        <f>IFERROR(__xludf.DUMMYFUNCTION("""COMPUTED_VALUE"""),18.0)</f>
        <v>18</v>
      </c>
      <c r="H836" s="42">
        <f>IFERROR(__xludf.DUMMYFUNCTION("""COMPUTED_VALUE"""),0.5714285714285714)</f>
        <v>0.5714285714</v>
      </c>
      <c r="I836" s="42">
        <f>IFERROR(__xludf.DUMMYFUNCTION("""COMPUTED_VALUE"""),0.3611111111111111)</f>
        <v>0.3611111111</v>
      </c>
      <c r="J836" s="30">
        <f>IFERROR(__xludf.DUMMYFUNCTION("""COMPUTED_VALUE"""),381.0952380952381)</f>
        <v>381.0952381</v>
      </c>
      <c r="K836" s="30">
        <f>IFERROR(__xludf.DUMMYFUNCTION("""COMPUTED_VALUE"""),0.9285714285714286)</f>
        <v>0.9285714286</v>
      </c>
      <c r="L836" s="30">
        <f>IFERROR(__xludf.DUMMYFUNCTION("""COMPUTED_VALUE"""),0.4523809523809524)</f>
        <v>0.4523809524</v>
      </c>
      <c r="M836" s="30">
        <f>IFERROR(__xludf.DUMMYFUNCTION("""COMPUTED_VALUE"""),1.1904761904761905)</f>
        <v>1.19047619</v>
      </c>
      <c r="N836" s="30">
        <f>IFERROR(__xludf.DUMMYFUNCTION("""COMPUTED_VALUE"""),2.5714285714285716)</f>
        <v>2.571428571</v>
      </c>
      <c r="O836" s="30">
        <f>IFERROR(__xludf.DUMMYFUNCTION("""COMPUTED_VALUE"""),281.29365079365067)</f>
        <v>281.2936508</v>
      </c>
      <c r="P836" s="30">
        <f>IFERROR(__xludf.DUMMYFUNCTION("""COMPUTED_VALUE"""),0.7142857142857144)</f>
        <v>0.7142857143</v>
      </c>
      <c r="Q836" s="30">
        <f>IFERROR(__xludf.DUMMYFUNCTION("""COMPUTED_VALUE"""),0.2996031746031745)</f>
        <v>0.2996031746</v>
      </c>
      <c r="R836" s="30">
        <f>IFERROR(__xludf.DUMMYFUNCTION("""COMPUTED_VALUE"""),0.9047619047619049)</f>
        <v>0.9047619048</v>
      </c>
      <c r="S836" s="30">
        <f>IFERROR(__xludf.DUMMYFUNCTION("""COMPUTED_VALUE"""),1.815476190476191)</f>
        <v>1.81547619</v>
      </c>
      <c r="T836" s="30">
        <f>IFERROR(__xludf.DUMMYFUNCTION("""COMPUTED_VALUE"""),305.5510416406154)</f>
        <v>305.5510416</v>
      </c>
      <c r="U836" s="30">
        <f>IFERROR(__xludf.DUMMYFUNCTION("""COMPUTED_VALUE"""),0.8217963847017962)</f>
        <v>0.8217963847</v>
      </c>
      <c r="V836" s="30">
        <f>IFERROR(__xludf.DUMMYFUNCTION("""COMPUTED_VALUE"""),0.4610921608458891)</f>
        <v>0.4610921608</v>
      </c>
      <c r="W836" s="30">
        <f>IFERROR(__xludf.DUMMYFUNCTION("""COMPUTED_VALUE"""),0.9124079828737511)</f>
        <v>0.9124079829</v>
      </c>
      <c r="X836" s="30">
        <f>IFERROR(__xludf.DUMMYFUNCTION("""COMPUTED_VALUE"""),2.115838929915523)</f>
        <v>2.11583893</v>
      </c>
      <c r="Y836" s="30">
        <f>IFERROR(__xludf.DUMMYFUNCTION("""COMPUTED_VALUE"""),298.3849962275002)</f>
        <v>298.3849962</v>
      </c>
      <c r="Z836" s="30">
        <f>IFERROR(__xludf.DUMMYFUNCTION("""COMPUTED_VALUE"""),0.8007240533727609)</f>
        <v>0.8007240534</v>
      </c>
      <c r="AA836" s="30">
        <f>IFERROR(__xludf.DUMMYFUNCTION("""COMPUTED_VALUE"""),0.4632981773522996)</f>
        <v>0.4632981774</v>
      </c>
      <c r="AB836" s="30">
        <f>IFERROR(__xludf.DUMMYFUNCTION("""COMPUTED_VALUE"""),0.8574688241302392)</f>
        <v>0.8574688241</v>
      </c>
      <c r="AC836" s="30">
        <f>IFERROR(__xludf.DUMMYFUNCTION("""COMPUTED_VALUE"""),2.1373541433806653)</f>
        <v>2.137354143</v>
      </c>
      <c r="AD836" s="30">
        <f>IFERROR(__xludf.DUMMYFUNCTION("""COMPUTED_VALUE"""),1.2771930322015133)</f>
        <v>1.277193032</v>
      </c>
      <c r="AE836" s="30">
        <f>IFERROR(__xludf.DUMMYFUNCTION("""COMPUTED_VALUE"""),1.159664711781989)</f>
        <v>1.159664712</v>
      </c>
      <c r="AF836" s="30">
        <f>IFERROR(__xludf.DUMMYFUNCTION("""COMPUTED_VALUE"""),0.9764358559886033)</f>
        <v>0.976435856</v>
      </c>
      <c r="AG836" s="30">
        <f>IFERROR(__xludf.DUMMYFUNCTION("""COMPUTED_VALUE"""),1.3883609024313301)</f>
        <v>1.388360902</v>
      </c>
      <c r="AH836" s="30">
        <f>IFERROR(__xludf.DUMMYFUNCTION("""COMPUTED_VALUE"""),1.203089614040904)</f>
        <v>1.203089614</v>
      </c>
      <c r="AI836" s="30">
        <f>IFERROR(__xludf.DUMMYFUNCTION("""COMPUTED_VALUE"""),0.9206110026111581)</f>
        <v>0.9206110026</v>
      </c>
      <c r="AJ836" s="30">
        <f>IFERROR(__xludf.DUMMYFUNCTION("""COMPUTED_VALUE"""),0.8691760241132066)</f>
        <v>0.8691760241</v>
      </c>
      <c r="AK836" s="30">
        <f>IFERROR(__xludf.DUMMYFUNCTION("""COMPUTED_VALUE"""),0.6497685279522912)</f>
        <v>0.649768528</v>
      </c>
      <c r="AL836" s="30">
        <f>IFERROR(__xludf.DUMMYFUNCTION("""COMPUTED_VALUE"""),0.9916198912598683)</f>
        <v>0.9916198913</v>
      </c>
      <c r="AM836" s="30">
        <f>IFERROR(__xludf.DUMMYFUNCTION("""COMPUTED_VALUE"""),0.8580408294825522)</f>
        <v>0.8580408295</v>
      </c>
      <c r="AN836" s="30">
        <f>IFERROR(__xludf.DUMMYFUNCTION("""COMPUTED_VALUE"""),1.3730157247482226)</f>
        <v>1.373015725</v>
      </c>
      <c r="AO836" s="30">
        <f>IFERROR(__xludf.DUMMYFUNCTION("""COMPUTED_VALUE"""),1.2777387743533142)</f>
        <v>1.277738774</v>
      </c>
      <c r="AP836" s="30">
        <f>IFERROR(__xludf.DUMMYFUNCTION("""COMPUTED_VALUE"""),1.0835289667834034)</f>
        <v>1.083528967</v>
      </c>
      <c r="AQ836" s="30">
        <f>IFERROR(__xludf.DUMMYFUNCTION("""COMPUTED_VALUE"""),1.48212215257548)</f>
        <v>1.482122153</v>
      </c>
      <c r="AR836" s="30">
        <f>IFERROR(__xludf.DUMMYFUNCTION("""COMPUTED_VALUE"""),1.3304127543498288)</f>
        <v>1.330412754</v>
      </c>
      <c r="AS836" s="30">
        <f>IFERROR(__xludf.DUMMYFUNCTION("""COMPUTED_VALUE"""),290.0)</f>
        <v>290</v>
      </c>
      <c r="AT836" s="30">
        <f>IFERROR(__xludf.DUMMYFUNCTION("""COMPUTED_VALUE"""),0.900392753286432)</f>
        <v>0.9003927533</v>
      </c>
      <c r="AU836" s="30">
        <f>IFERROR(__xludf.DUMMYFUNCTION("""COMPUTED_VALUE"""),3.2317979179829566)</f>
        <v>3.231797918</v>
      </c>
      <c r="AV836" s="32">
        <f>IFERROR(__xludf.DUMMYFUNCTION("""COMPUTED_VALUE"""),74.45345613997011)</f>
        <v>74.45345614</v>
      </c>
      <c r="AW836" s="32">
        <f>IFERROR(__xludf.DUMMYFUNCTION("""COMPUTED_VALUE"""),6.097450286276966)</f>
        <v>6.097450286</v>
      </c>
      <c r="AX836" s="32">
        <f>IFERROR(__xludf.DUMMYFUNCTION("""COMPUTED_VALUE"""),81.15947199319645)</f>
        <v>81.15947199</v>
      </c>
      <c r="AY836" s="32">
        <f>IFERROR(__xludf.DUMMYFUNCTION("""COMPUTED_VALUE"""),9.406216972136974)</f>
        <v>9.406216972</v>
      </c>
      <c r="AZ836" s="30">
        <f>IFERROR(__xludf.DUMMYFUNCTION("""COMPUTED_VALUE"""),3.308766685860008)</f>
        <v>3.308766686</v>
      </c>
      <c r="BA836" s="30">
        <f>IFERROR(__xludf.DUMMYFUNCTION("""COMPUTED_VALUE"""),4000.0)</f>
        <v>4000</v>
      </c>
    </row>
    <row r="837">
      <c r="A837" s="71" t="str">
        <f>IFERROR(__xludf.DUMMYFUNCTION("""COMPUTED_VALUE"""),"Amateur")</f>
        <v>Amateur</v>
      </c>
      <c r="B837" s="71" t="str">
        <f>IFERROR(__xludf.DUMMYFUNCTION("""COMPUTED_VALUE"""),"RSC007581")</f>
        <v>RSC007581</v>
      </c>
      <c r="C837" s="30" t="str">
        <f>IFERROR(__xludf.DUMMYFUNCTION("""COMPUTED_VALUE"""),"Wrecklessjay02")</f>
        <v>Wrecklessjay02</v>
      </c>
      <c r="D837" s="30" t="str">
        <f>IFERROR(__xludf.DUMMYFUNCTION("""COMPUTED_VALUE"""),"Hyenas")</f>
        <v>Hyenas</v>
      </c>
      <c r="E837" s="30">
        <f>IFERROR(__xludf.DUMMYFUNCTION("""COMPUTED_VALUE"""),47.0)</f>
        <v>47</v>
      </c>
      <c r="F837" s="30">
        <f>IFERROR(__xludf.DUMMYFUNCTION("""COMPUTED_VALUE"""),34.0)</f>
        <v>34</v>
      </c>
      <c r="G837" s="42">
        <f>IFERROR(__xludf.DUMMYFUNCTION("""COMPUTED_VALUE"""),13.0)</f>
        <v>13</v>
      </c>
      <c r="H837" s="42">
        <f>IFERROR(__xludf.DUMMYFUNCTION("""COMPUTED_VALUE"""),0.723404255319149)</f>
        <v>0.7234042553</v>
      </c>
      <c r="I837" s="42">
        <f>IFERROR(__xludf.DUMMYFUNCTION("""COMPUTED_VALUE"""),0.3589743589743589)</f>
        <v>0.358974359</v>
      </c>
      <c r="J837" s="30">
        <f>IFERROR(__xludf.DUMMYFUNCTION("""COMPUTED_VALUE"""),322.5744680851064)</f>
        <v>322.5744681</v>
      </c>
      <c r="K837" s="30">
        <f>IFERROR(__xludf.DUMMYFUNCTION("""COMPUTED_VALUE"""),0.8936170212765957)</f>
        <v>0.8936170213</v>
      </c>
      <c r="L837" s="30">
        <f>IFERROR(__xludf.DUMMYFUNCTION("""COMPUTED_VALUE"""),0.5957446808510638)</f>
        <v>0.5957446809</v>
      </c>
      <c r="M837" s="30">
        <f>IFERROR(__xludf.DUMMYFUNCTION("""COMPUTED_VALUE"""),0.8297872340425532)</f>
        <v>0.829787234</v>
      </c>
      <c r="N837" s="30">
        <f>IFERROR(__xludf.DUMMYFUNCTION("""COMPUTED_VALUE"""),2.4893617021276597)</f>
        <v>2.489361702</v>
      </c>
      <c r="O837" s="30">
        <f>IFERROR(__xludf.DUMMYFUNCTION("""COMPUTED_VALUE"""),262.1276595744681)</f>
        <v>262.1276596</v>
      </c>
      <c r="P837" s="30">
        <f>IFERROR(__xludf.DUMMYFUNCTION("""COMPUTED_VALUE"""),0.5035460992907803)</f>
        <v>0.5035460993</v>
      </c>
      <c r="Q837" s="30">
        <f>IFERROR(__xludf.DUMMYFUNCTION("""COMPUTED_VALUE"""),0.26241134751773043)</f>
        <v>0.2624113475</v>
      </c>
      <c r="R837" s="30">
        <f>IFERROR(__xludf.DUMMYFUNCTION("""COMPUTED_VALUE"""),1.099290780141844)</f>
        <v>1.09929078</v>
      </c>
      <c r="S837" s="30">
        <f>IFERROR(__xludf.DUMMYFUNCTION("""COMPUTED_VALUE"""),1.6666666666666674)</f>
        <v>1.666666667</v>
      </c>
      <c r="T837" s="30">
        <f>IFERROR(__xludf.DUMMYFUNCTION("""COMPUTED_VALUE"""),289.79518528951695)</f>
        <v>289.7951853</v>
      </c>
      <c r="U837" s="30">
        <f>IFERROR(__xludf.DUMMYFUNCTION("""COMPUTED_VALUE"""),0.7248685842515138)</f>
        <v>0.7248685843</v>
      </c>
      <c r="V837" s="30">
        <f>IFERROR(__xludf.DUMMYFUNCTION("""COMPUTED_VALUE"""),0.42407715115548245)</f>
        <v>0.4240771512</v>
      </c>
      <c r="W837" s="30">
        <f>IFERROR(__xludf.DUMMYFUNCTION("""COMPUTED_VALUE"""),0.900732471202153)</f>
        <v>0.9007324712</v>
      </c>
      <c r="X837" s="30">
        <f>IFERROR(__xludf.DUMMYFUNCTION("""COMPUTED_VALUE"""),2.009748163253082)</f>
        <v>2.009748163</v>
      </c>
      <c r="Y837" s="30">
        <f>IFERROR(__xludf.DUMMYFUNCTION("""COMPUTED_VALUE"""),300.50413922083004)</f>
        <v>300.5041392</v>
      </c>
      <c r="Z837" s="30">
        <f>IFERROR(__xludf.DUMMYFUNCTION("""COMPUTED_VALUE"""),0.8096174408626177)</f>
        <v>0.8096174409</v>
      </c>
      <c r="AA837" s="30">
        <f>IFERROR(__xludf.DUMMYFUNCTION("""COMPUTED_VALUE"""),0.4601153660947736)</f>
        <v>0.4601153661</v>
      </c>
      <c r="AB837" s="30">
        <f>IFERROR(__xludf.DUMMYFUNCTION("""COMPUTED_VALUE"""),0.8571967599414723)</f>
        <v>0.8571967599</v>
      </c>
      <c r="AC837" s="30">
        <f>IFERROR(__xludf.DUMMYFUNCTION("""COMPUTED_VALUE"""),2.153472052124053)</f>
        <v>2.153472052</v>
      </c>
      <c r="AD837" s="30">
        <f>IFERROR(__xludf.DUMMYFUNCTION("""COMPUTED_VALUE"""),1.0734443423025786)</f>
        <v>1.073444342</v>
      </c>
      <c r="AE837" s="30">
        <f>IFERROR(__xludf.DUMMYFUNCTION("""COMPUTED_VALUE"""),1.1037521873596)</f>
        <v>1.103752187</v>
      </c>
      <c r="AF837" s="30">
        <f>IFERROR(__xludf.DUMMYFUNCTION("""COMPUTED_VALUE"""),1.2947724087274963)</f>
        <v>1.294772409</v>
      </c>
      <c r="AG837" s="30">
        <f>IFERROR(__xludf.DUMMYFUNCTION("""COMPUTED_VALUE"""),0.9680242306319606)</f>
        <v>0.9680242306</v>
      </c>
      <c r="AH837" s="30">
        <f>IFERROR(__xludf.DUMMYFUNCTION("""COMPUTED_VALUE"""),1.1559758575330967)</f>
        <v>1.155975858</v>
      </c>
      <c r="AI837" s="30">
        <f>IFERROR(__xludf.DUMMYFUNCTION("""COMPUTED_VALUE"""),0.9045273105990085)</f>
        <v>0.9045273106</v>
      </c>
      <c r="AJ837" s="30">
        <f>IFERROR(__xludf.DUMMYFUNCTION("""COMPUTED_VALUE"""),0.6946722622980452)</f>
        <v>0.6946722623</v>
      </c>
      <c r="AK837" s="30">
        <f>IFERROR(__xludf.DUMMYFUNCTION("""COMPUTED_VALUE"""),0.6187820937834981)</f>
        <v>0.6187820938</v>
      </c>
      <c r="AL837" s="30">
        <f>IFERROR(__xludf.DUMMYFUNCTION("""COMPUTED_VALUE"""),1.2204409358915274)</f>
        <v>1.220440936</v>
      </c>
      <c r="AM837" s="30">
        <f>IFERROR(__xludf.DUMMYFUNCTION("""COMPUTED_VALUE"""),0.8292912998457055)</f>
        <v>0.8292912998</v>
      </c>
      <c r="AN837" s="30">
        <f>IFERROR(__xludf.DUMMYFUNCTION("""COMPUTED_VALUE"""),1.1621762037668426)</f>
        <v>1.162176204</v>
      </c>
      <c r="AO837" s="30">
        <f>IFERROR(__xludf.DUMMYFUNCTION("""COMPUTED_VALUE"""),1.2296405880846952)</f>
        <v>1.229640588</v>
      </c>
      <c r="AP837" s="30">
        <f>IFERROR(__xludf.DUMMYFUNCTION("""COMPUTED_VALUE"""),1.4269093672309991)</f>
        <v>1.426909367</v>
      </c>
      <c r="AQ837" s="30">
        <f>IFERROR(__xludf.DUMMYFUNCTION("""COMPUTED_VALUE"""),1.0330706748589942)</f>
        <v>1.033070675</v>
      </c>
      <c r="AR837" s="30">
        <f>IFERROR(__xludf.DUMMYFUNCTION("""COMPUTED_VALUE"""),1.2879527728280256)</f>
        <v>1.287952773</v>
      </c>
      <c r="AS837" s="30">
        <f>IFERROR(__xludf.DUMMYFUNCTION("""COMPUTED_VALUE"""),428.0)</f>
        <v>428</v>
      </c>
      <c r="AT837" s="30">
        <f>IFERROR(__xludf.DUMMYFUNCTION("""COMPUTED_VALUE"""),0.9717763439289516)</f>
        <v>0.9717763439</v>
      </c>
      <c r="AU837" s="30">
        <f>IFERROR(__xludf.DUMMYFUNCTION("""COMPUTED_VALUE"""),3.231710513983598)</f>
        <v>3.231710514</v>
      </c>
      <c r="AV837" s="32">
        <f>IFERROR(__xludf.DUMMYFUNCTION("""COMPUTED_VALUE"""),74.45173708901937)</f>
        <v>74.45173709</v>
      </c>
      <c r="AW837" s="32">
        <f>IFERROR(__xludf.DUMMYFUNCTION("""COMPUTED_VALUE"""),6.096818211673865)</f>
        <v>6.096818212</v>
      </c>
      <c r="AX837" s="32">
        <f>IFERROR(__xludf.DUMMYFUNCTION("""COMPUTED_VALUE"""),61.653602728269945)</f>
        <v>61.65360273</v>
      </c>
      <c r="AY837" s="32">
        <f>IFERROR(__xludf.DUMMYFUNCTION("""COMPUTED_VALUE"""),3.1195780162776865)</f>
        <v>3.119578016</v>
      </c>
      <c r="AZ837" s="30">
        <f>IFERROR(__xludf.DUMMYFUNCTION("""COMPUTED_VALUE"""),2.9772401953961785)</f>
        <v>2.977240195</v>
      </c>
      <c r="BA837" s="30">
        <f>IFERROR(__xludf.DUMMYFUNCTION("""COMPUTED_VALUE"""),4000.0)</f>
        <v>4000</v>
      </c>
    </row>
    <row r="838">
      <c r="A838" s="71" t="str">
        <f>IFERROR(__xludf.DUMMYFUNCTION("""COMPUTED_VALUE"""),"Amateur")</f>
        <v>Amateur</v>
      </c>
      <c r="B838" s="71" t="str">
        <f>IFERROR(__xludf.DUMMYFUNCTION("""COMPUTED_VALUE"""),"RSC007306")</f>
        <v>RSC007306</v>
      </c>
      <c r="C838" s="30" t="str">
        <f>IFERROR(__xludf.DUMMYFUNCTION("""COMPUTED_VALUE"""),"SAMCRO-8640")</f>
        <v>SAMCRO-8640</v>
      </c>
      <c r="D838" s="30"/>
      <c r="E838" s="30">
        <f>IFERROR(__xludf.DUMMYFUNCTION("""COMPUTED_VALUE"""),8.0)</f>
        <v>8</v>
      </c>
      <c r="F838" s="30">
        <f>IFERROR(__xludf.DUMMYFUNCTION("""COMPUTED_VALUE"""),5.0)</f>
        <v>5</v>
      </c>
      <c r="G838" s="42">
        <f>IFERROR(__xludf.DUMMYFUNCTION("""COMPUTED_VALUE"""),3.0)</f>
        <v>3</v>
      </c>
      <c r="H838" s="42">
        <f>IFERROR(__xludf.DUMMYFUNCTION("""COMPUTED_VALUE"""),0.625)</f>
        <v>0.625</v>
      </c>
      <c r="I838" s="42">
        <f>IFERROR(__xludf.DUMMYFUNCTION("""COMPUTED_VALUE"""),0.8125)</f>
        <v>0.8125</v>
      </c>
      <c r="J838" s="30">
        <f>IFERROR(__xludf.DUMMYFUNCTION("""COMPUTED_VALUE"""),333.5)</f>
        <v>333.5</v>
      </c>
      <c r="K838" s="30">
        <f>IFERROR(__xludf.DUMMYFUNCTION("""COMPUTED_VALUE"""),1.625)</f>
        <v>1.625</v>
      </c>
      <c r="L838" s="30">
        <f>IFERROR(__xludf.DUMMYFUNCTION("""COMPUTED_VALUE"""),0.25)</f>
        <v>0.25</v>
      </c>
      <c r="M838" s="30">
        <f>IFERROR(__xludf.DUMMYFUNCTION("""COMPUTED_VALUE"""),0.5)</f>
        <v>0.5</v>
      </c>
      <c r="N838" s="30">
        <f>IFERROR(__xludf.DUMMYFUNCTION("""COMPUTED_VALUE"""),2.0)</f>
        <v>2</v>
      </c>
      <c r="O838" s="30">
        <f>IFERROR(__xludf.DUMMYFUNCTION("""COMPUTED_VALUE"""),297.8229166666667)</f>
        <v>297.8229167</v>
      </c>
      <c r="P838" s="30">
        <f>IFERROR(__xludf.DUMMYFUNCTION("""COMPUTED_VALUE"""),0.9062500000000001)</f>
        <v>0.90625</v>
      </c>
      <c r="Q838" s="30">
        <f>IFERROR(__xludf.DUMMYFUNCTION("""COMPUTED_VALUE"""),0.53125)</f>
        <v>0.53125</v>
      </c>
      <c r="R838" s="30">
        <f>IFERROR(__xludf.DUMMYFUNCTION("""COMPUTED_VALUE"""),0.8229166666666666)</f>
        <v>0.8229166667</v>
      </c>
      <c r="S838" s="30">
        <f>IFERROR(__xludf.DUMMYFUNCTION("""COMPUTED_VALUE"""),1.9270833333333333)</f>
        <v>1.927083333</v>
      </c>
      <c r="T838" s="30">
        <f>IFERROR(__xludf.DUMMYFUNCTION("""COMPUTED_VALUE"""),293.99670750269837)</f>
        <v>293.9967075</v>
      </c>
      <c r="U838" s="30">
        <f>IFERROR(__xludf.DUMMYFUNCTION("""COMPUTED_VALUE"""),0.7668332041318513)</f>
        <v>0.7668332041</v>
      </c>
      <c r="V838" s="30">
        <f>IFERROR(__xludf.DUMMYFUNCTION("""COMPUTED_VALUE"""),0.4586163946947218)</f>
        <v>0.4586163947</v>
      </c>
      <c r="W838" s="30">
        <f>IFERROR(__xludf.DUMMYFUNCTION("""COMPUTED_VALUE"""),0.8625783538931617)</f>
        <v>0.8625783539</v>
      </c>
      <c r="X838" s="30">
        <f>IFERROR(__xludf.DUMMYFUNCTION("""COMPUTED_VALUE"""),2.075129791778444)</f>
        <v>2.075129792</v>
      </c>
      <c r="Y838" s="30">
        <f>IFERROR(__xludf.DUMMYFUNCTION("""COMPUTED_VALUE"""),300.6288320201978)</f>
        <v>300.628832</v>
      </c>
      <c r="Z838" s="30">
        <f>IFERROR(__xludf.DUMMYFUNCTION("""COMPUTED_VALUE"""),0.8199718050025454)</f>
        <v>0.819971805</v>
      </c>
      <c r="AA838" s="30">
        <f>IFERROR(__xludf.DUMMYFUNCTION("""COMPUTED_VALUE"""),0.45485709223429743)</f>
        <v>0.4548570922</v>
      </c>
      <c r="AB838" s="30">
        <f>IFERROR(__xludf.DUMMYFUNCTION("""COMPUTED_VALUE"""),0.8872208920357811)</f>
        <v>0.887220892</v>
      </c>
      <c r="AC838" s="30">
        <f>IFERROR(__xludf.DUMMYFUNCTION("""COMPUTED_VALUE"""),2.047724904127771)</f>
        <v>2.047724904</v>
      </c>
      <c r="AD838" s="30">
        <f>IFERROR(__xludf.DUMMYFUNCTION("""COMPUTED_VALUE"""),1.109341368753326)</f>
        <v>1.109341369</v>
      </c>
      <c r="AE838" s="30">
        <f>IFERROR(__xludf.DUMMYFUNCTION("""COMPUTED_VALUE"""),1.9817754587244076)</f>
        <v>1.981775459</v>
      </c>
      <c r="AF838" s="30">
        <f>IFERROR(__xludf.DUMMYFUNCTION("""COMPUTED_VALUE"""),0.5496231767476205)</f>
        <v>0.5496231767</v>
      </c>
      <c r="AG838" s="30">
        <f>IFERROR(__xludf.DUMMYFUNCTION("""COMPUTED_VALUE"""),0.5635575136792825)</f>
        <v>0.5635575137</v>
      </c>
      <c r="AH838" s="30">
        <f>IFERROR(__xludf.DUMMYFUNCTION("""COMPUTED_VALUE"""),0.9766936935564109)</f>
        <v>0.9766936936</v>
      </c>
      <c r="AI838" s="30">
        <f>IFERROR(__xludf.DUMMYFUNCTION("""COMPUTED_VALUE"""),1.013014462632828)</f>
        <v>1.013014463</v>
      </c>
      <c r="AJ838" s="30">
        <f>IFERROR(__xludf.DUMMYFUNCTION("""COMPUTED_VALUE"""),1.1818085016623474)</f>
        <v>1.181808502</v>
      </c>
      <c r="AK838" s="30">
        <f>IFERROR(__xludf.DUMMYFUNCTION("""COMPUTED_VALUE"""),1.1583755097844393)</f>
        <v>1.15837551</v>
      </c>
      <c r="AL838" s="30">
        <f>IFERROR(__xludf.DUMMYFUNCTION("""COMPUTED_VALUE"""),0.9540196121923463)</f>
        <v>0.9540196122</v>
      </c>
      <c r="AM838" s="30">
        <f>IFERROR(__xludf.DUMMYFUNCTION("""COMPUTED_VALUE"""),0.9286567717201771)</f>
        <v>0.9286567717</v>
      </c>
      <c r="AN838" s="30">
        <f>IFERROR(__xludf.DUMMYFUNCTION("""COMPUTED_VALUE"""),1.2015388764556014)</f>
        <v>1.201538876</v>
      </c>
      <c r="AO838" s="30">
        <f>IFERROR(__xludf.DUMMYFUNCTION("""COMPUTED_VALUE"""),2.2360428551183)</f>
        <v>2.236042855</v>
      </c>
      <c r="AP838" s="30">
        <f>IFERROR(__xludf.DUMMYFUNCTION("""COMPUTED_VALUE"""),0.5987923237487229)</f>
        <v>0.5987923237</v>
      </c>
      <c r="AQ838" s="30">
        <f>IFERROR(__xludf.DUMMYFUNCTION("""COMPUTED_VALUE"""),0.6224913040817016)</f>
        <v>0.6224913041</v>
      </c>
      <c r="AR838" s="30">
        <f>IFERROR(__xludf.DUMMYFUNCTION("""COMPUTED_VALUE"""),1.0347654756054223)</f>
        <v>1.034765476</v>
      </c>
      <c r="AS838" s="30">
        <f>IFERROR(__xludf.DUMMYFUNCTION("""COMPUTED_VALUE"""),35.0)</f>
        <v>35</v>
      </c>
      <c r="AT838" s="30">
        <f>IFERROR(__xludf.DUMMYFUNCTION("""COMPUTED_VALUE"""),0.6973621750239064)</f>
        <v>0.697362175</v>
      </c>
      <c r="AU838" s="30">
        <f>IFERROR(__xludf.DUMMYFUNCTION("""COMPUTED_VALUE"""),2.9866733222121624)</f>
        <v>2.986673322</v>
      </c>
      <c r="AV838" s="32">
        <f>IFERROR(__xludf.DUMMYFUNCTION("""COMPUTED_VALUE"""),69.63237618367602)</f>
        <v>69.63237618</v>
      </c>
      <c r="AW838" s="32">
        <f>IFERROR(__xludf.DUMMYFUNCTION("""COMPUTED_VALUE"""),4.626624477019452)</f>
        <v>4.626624477</v>
      </c>
      <c r="AX838" s="32">
        <f>IFERROR(__xludf.DUMMYFUNCTION("""COMPUTED_VALUE"""),51.12678670712019)</f>
        <v>51.12678671</v>
      </c>
      <c r="AY838" s="32">
        <f>IFERROR(__xludf.DUMMYFUNCTION("""COMPUTED_VALUE"""),2.074580455130779)</f>
        <v>2.074580455</v>
      </c>
      <c r="AZ838" s="30">
        <f>IFERROR(__xludf.DUMMYFUNCTION("""COMPUTED_VALUE"""),2.552044021888673)</f>
        <v>2.552044022</v>
      </c>
      <c r="BA838" s="30">
        <f>IFERROR(__xludf.DUMMYFUNCTION("""COMPUTED_VALUE"""),4000.0)</f>
        <v>4000</v>
      </c>
    </row>
    <row r="839">
      <c r="A839" s="71" t="str">
        <f>IFERROR(__xludf.DUMMYFUNCTION("""COMPUTED_VALUE"""),"Amateur")</f>
        <v>Amateur</v>
      </c>
      <c r="B839" s="71" t="str">
        <f>IFERROR(__xludf.DUMMYFUNCTION("""COMPUTED_VALUE"""),"RSC007468")</f>
        <v>RSC007468</v>
      </c>
      <c r="C839" s="30" t="str">
        <f>IFERROR(__xludf.DUMMYFUNCTION("""COMPUTED_VALUE"""),"im_link42")</f>
        <v>im_link42</v>
      </c>
      <c r="D839" s="30" t="str">
        <f>IFERROR(__xludf.DUMMYFUNCTION("""COMPUTED_VALUE"""),"Amaranth")</f>
        <v>Amaranth</v>
      </c>
      <c r="E839" s="30">
        <f>IFERROR(__xludf.DUMMYFUNCTION("""COMPUTED_VALUE"""),46.0)</f>
        <v>46</v>
      </c>
      <c r="F839" s="30">
        <f>IFERROR(__xludf.DUMMYFUNCTION("""COMPUTED_VALUE"""),26.0)</f>
        <v>26</v>
      </c>
      <c r="G839" s="42">
        <f>IFERROR(__xludf.DUMMYFUNCTION("""COMPUTED_VALUE"""),20.0)</f>
        <v>20</v>
      </c>
      <c r="H839" s="42">
        <f>IFERROR(__xludf.DUMMYFUNCTION("""COMPUTED_VALUE"""),0.5652173913043478)</f>
        <v>0.5652173913</v>
      </c>
      <c r="I839" s="42">
        <f>IFERROR(__xludf.DUMMYFUNCTION("""COMPUTED_VALUE"""),0.4067796610169492)</f>
        <v>0.406779661</v>
      </c>
      <c r="J839" s="30">
        <f>IFERROR(__xludf.DUMMYFUNCTION("""COMPUTED_VALUE"""),316.17391304347825)</f>
        <v>316.173913</v>
      </c>
      <c r="K839" s="30">
        <f>IFERROR(__xludf.DUMMYFUNCTION("""COMPUTED_VALUE"""),1.0434782608695652)</f>
        <v>1.043478261</v>
      </c>
      <c r="L839" s="30">
        <f>IFERROR(__xludf.DUMMYFUNCTION("""COMPUTED_VALUE"""),0.41304347826086957)</f>
        <v>0.4130434783</v>
      </c>
      <c r="M839" s="30">
        <f>IFERROR(__xludf.DUMMYFUNCTION("""COMPUTED_VALUE"""),0.717391304347826)</f>
        <v>0.7173913043</v>
      </c>
      <c r="N839" s="30">
        <f>IFERROR(__xludf.DUMMYFUNCTION("""COMPUTED_VALUE"""),2.5652173913043477)</f>
        <v>2.565217391</v>
      </c>
      <c r="O839" s="30">
        <f>IFERROR(__xludf.DUMMYFUNCTION("""COMPUTED_VALUE"""),285.8925925925925)</f>
        <v>285.8925926</v>
      </c>
      <c r="P839" s="30">
        <f>IFERROR(__xludf.DUMMYFUNCTION("""COMPUTED_VALUE"""),0.6537037037037037)</f>
        <v>0.6537037037</v>
      </c>
      <c r="Q839" s="30">
        <f>IFERROR(__xludf.DUMMYFUNCTION("""COMPUTED_VALUE"""),0.38333333333333347)</f>
        <v>0.3833333333</v>
      </c>
      <c r="R839" s="30">
        <f>IFERROR(__xludf.DUMMYFUNCTION("""COMPUTED_VALUE"""),0.9629629629629629)</f>
        <v>0.962962963</v>
      </c>
      <c r="S839" s="30">
        <f>IFERROR(__xludf.DUMMYFUNCTION("""COMPUTED_VALUE"""),2.0055555555555546)</f>
        <v>2.005555556</v>
      </c>
      <c r="T839" s="30">
        <f>IFERROR(__xludf.DUMMYFUNCTION("""COMPUTED_VALUE"""),289.3994600957472)</f>
        <v>289.3994601</v>
      </c>
      <c r="U839" s="30">
        <f>IFERROR(__xludf.DUMMYFUNCTION("""COMPUTED_VALUE"""),0.7623662816955096)</f>
        <v>0.7623662817</v>
      </c>
      <c r="V839" s="30">
        <f>IFERROR(__xludf.DUMMYFUNCTION("""COMPUTED_VALUE"""),0.4248183225770915)</f>
        <v>0.4248183226</v>
      </c>
      <c r="W839" s="30">
        <f>IFERROR(__xludf.DUMMYFUNCTION("""COMPUTED_VALUE"""),0.8613581163105513)</f>
        <v>0.8613581163</v>
      </c>
      <c r="X839" s="30">
        <f>IFERROR(__xludf.DUMMYFUNCTION("""COMPUTED_VALUE"""),2.05469700462214)</f>
        <v>2.054697005</v>
      </c>
      <c r="Y839" s="30">
        <f>IFERROR(__xludf.DUMMYFUNCTION("""COMPUTED_VALUE"""),298.797028733595)</f>
        <v>298.7970287</v>
      </c>
      <c r="Z839" s="30">
        <f>IFERROR(__xludf.DUMMYFUNCTION("""COMPUTED_VALUE"""),0.8042239957308339)</f>
        <v>0.8042239957</v>
      </c>
      <c r="AA839" s="30">
        <f>IFERROR(__xludf.DUMMYFUNCTION("""COMPUTED_VALUE"""),0.4650227023439182)</f>
        <v>0.4650227023</v>
      </c>
      <c r="AB839" s="30">
        <f>IFERROR(__xludf.DUMMYFUNCTION("""COMPUTED_VALUE"""),0.8729595519818996)</f>
        <v>0.872959552</v>
      </c>
      <c r="AC839" s="30">
        <f>IFERROR(__xludf.DUMMYFUNCTION("""COMPUTED_VALUE"""),2.1026305912989267)</f>
        <v>2.102630591</v>
      </c>
      <c r="AD839" s="30">
        <f>IFERROR(__xludf.DUMMYFUNCTION("""COMPUTED_VALUE"""),1.0581561482841126)</f>
        <v>1.058156148</v>
      </c>
      <c r="AE839" s="30">
        <f>IFERROR(__xludf.DUMMYFUNCTION("""COMPUTED_VALUE"""),1.297497048594416)</f>
        <v>1.297497049</v>
      </c>
      <c r="AF839" s="30">
        <f>IFERROR(__xludf.DUMMYFUNCTION("""COMPUTED_VALUE"""),0.8882221796461752)</f>
        <v>0.8882221796</v>
      </c>
      <c r="AG839" s="30">
        <f>IFERROR(__xludf.DUMMYFUNCTION("""COMPUTED_VALUE"""),0.8217921468630667)</f>
        <v>0.8217921469</v>
      </c>
      <c r="AH839" s="30">
        <f>IFERROR(__xludf.DUMMYFUNCTION("""COMPUTED_VALUE"""),1.2200038380111515)</f>
        <v>1.220003838</v>
      </c>
      <c r="AI839" s="30">
        <f>IFERROR(__xludf.DUMMYFUNCTION("""COMPUTED_VALUE"""),0.987882259690483)</f>
        <v>0.9878822597</v>
      </c>
      <c r="AJ839" s="30">
        <f>IFERROR(__xludf.DUMMYFUNCTION("""COMPUTED_VALUE"""),0.8574667051772813)</f>
        <v>0.8574667052</v>
      </c>
      <c r="AK839" s="30">
        <f>IFERROR(__xludf.DUMMYFUNCTION("""COMPUTED_VALUE"""),0.9023465160539779)</f>
        <v>0.9023465161</v>
      </c>
      <c r="AL839" s="30">
        <f>IFERROR(__xludf.DUMMYFUNCTION("""COMPUTED_VALUE"""),1.117958889256904)</f>
        <v>1.117958889</v>
      </c>
      <c r="AM839" s="30">
        <f>IFERROR(__xludf.DUMMYFUNCTION("""COMPUTED_VALUE"""),0.9760833597576483)</f>
        <v>0.9760833598</v>
      </c>
      <c r="AN839" s="30">
        <f>IFERROR(__xludf.DUMMYFUNCTION("""COMPUTED_VALUE"""),1.139116186635178)</f>
        <v>1.139116187</v>
      </c>
      <c r="AO839" s="30">
        <f>IFERROR(__xludf.DUMMYFUNCTION("""COMPUTED_VALUE"""),1.4358536059622526)</f>
        <v>1.435853606</v>
      </c>
      <c r="AP839" s="30">
        <f>IFERROR(__xludf.DUMMYFUNCTION("""COMPUTED_VALUE"""),0.9893090566283248)</f>
        <v>0.9893090566</v>
      </c>
      <c r="AQ839" s="30">
        <f>IFERROR(__xludf.DUMMYFUNCTION("""COMPUTED_VALUE"""),0.8931396971607023)</f>
        <v>0.8931396972</v>
      </c>
      <c r="AR839" s="30">
        <f>IFERROR(__xludf.DUMMYFUNCTION("""COMPUTED_VALUE"""),1.327199196972172)</f>
        <v>1.327199197</v>
      </c>
      <c r="AS839" s="30">
        <f>IFERROR(__xludf.DUMMYFUNCTION("""COMPUTED_VALUE"""),264.0)</f>
        <v>264</v>
      </c>
      <c r="AT839" s="30">
        <f>IFERROR(__xludf.DUMMYFUNCTION("""COMPUTED_VALUE"""),0.8731468138511695)</f>
        <v>0.8731468139</v>
      </c>
      <c r="AU839" s="30">
        <f>IFERROR(__xludf.DUMMYFUNCTION("""COMPUTED_VALUE"""),2.922594998780059)</f>
        <v>2.922594999</v>
      </c>
      <c r="AV839" s="32">
        <f>IFERROR(__xludf.DUMMYFUNCTION("""COMPUTED_VALUE"""),68.37209171585252)</f>
        <v>68.37209172</v>
      </c>
      <c r="AW839" s="32">
        <f>IFERROR(__xludf.DUMMYFUNCTION("""COMPUTED_VALUE"""),4.325162748461925)</f>
        <v>4.325162748</v>
      </c>
      <c r="AX839" s="32">
        <f>IFERROR(__xludf.DUMMYFUNCTION("""COMPUTED_VALUE"""),57.25156312540773)</f>
        <v>57.25156313</v>
      </c>
      <c r="AY839" s="32">
        <f>IFERROR(__xludf.DUMMYFUNCTION("""COMPUTED_VALUE"""),2.591450995065986)</f>
        <v>2.591450995</v>
      </c>
      <c r="AZ839" s="30">
        <f>IFERROR(__xludf.DUMMYFUNCTION("""COMPUTED_VALUE"""),1.733711753395939)</f>
        <v>1.733711753</v>
      </c>
      <c r="BA839" s="30">
        <f>IFERROR(__xludf.DUMMYFUNCTION("""COMPUTED_VALUE"""),4000.0)</f>
        <v>4000</v>
      </c>
    </row>
    <row r="840">
      <c r="A840" s="71" t="str">
        <f>IFERROR(__xludf.DUMMYFUNCTION("""COMPUTED_VALUE"""),"Amateur")</f>
        <v>Amateur</v>
      </c>
      <c r="B840" s="71" t="str">
        <f>IFERROR(__xludf.DUMMYFUNCTION("""COMPUTED_VALUE"""),"RSC006137")</f>
        <v>RSC006137</v>
      </c>
      <c r="C840" s="30" t="str">
        <f>IFERROR(__xludf.DUMMYFUNCTION("""COMPUTED_VALUE"""),"FULLBL00DN8V")</f>
        <v>FULLBL00DN8V</v>
      </c>
      <c r="D840" s="30" t="str">
        <f>IFERROR(__xludf.DUMMYFUNCTION("""COMPUTED_VALUE"""),"Winter Fresh")</f>
        <v>Winter Fresh</v>
      </c>
      <c r="E840" s="30">
        <f>IFERROR(__xludf.DUMMYFUNCTION("""COMPUTED_VALUE"""),43.0)</f>
        <v>43</v>
      </c>
      <c r="F840" s="30">
        <f>IFERROR(__xludf.DUMMYFUNCTION("""COMPUTED_VALUE"""),17.0)</f>
        <v>17</v>
      </c>
      <c r="G840" s="42">
        <f>IFERROR(__xludf.DUMMYFUNCTION("""COMPUTED_VALUE"""),26.0)</f>
        <v>26</v>
      </c>
      <c r="H840" s="42">
        <f>IFERROR(__xludf.DUMMYFUNCTION("""COMPUTED_VALUE"""),0.3953488372093023)</f>
        <v>0.3953488372</v>
      </c>
      <c r="I840" s="42">
        <f>IFERROR(__xludf.DUMMYFUNCTION("""COMPUTED_VALUE"""),0.38961038961038963)</f>
        <v>0.3896103896</v>
      </c>
      <c r="J840" s="30">
        <f>IFERROR(__xludf.DUMMYFUNCTION("""COMPUTED_VALUE"""),245.69767441860466)</f>
        <v>245.6976744</v>
      </c>
      <c r="K840" s="30">
        <f>IFERROR(__xludf.DUMMYFUNCTION("""COMPUTED_VALUE"""),0.6976744186046512)</f>
        <v>0.6976744186</v>
      </c>
      <c r="L840" s="30">
        <f>IFERROR(__xludf.DUMMYFUNCTION("""COMPUTED_VALUE"""),0.46511627906976744)</f>
        <v>0.4651162791</v>
      </c>
      <c r="M840" s="30">
        <f>IFERROR(__xludf.DUMMYFUNCTION("""COMPUTED_VALUE"""),0.6744186046511628)</f>
        <v>0.6744186047</v>
      </c>
      <c r="N840" s="30">
        <f>IFERROR(__xludf.DUMMYFUNCTION("""COMPUTED_VALUE"""),1.7906976744186047)</f>
        <v>1.790697674</v>
      </c>
      <c r="O840" s="30">
        <f>IFERROR(__xludf.DUMMYFUNCTION("""COMPUTED_VALUE"""),329.84496124030994)</f>
        <v>329.8449612</v>
      </c>
      <c r="P840" s="30">
        <f>IFERROR(__xludf.DUMMYFUNCTION("""COMPUTED_VALUE"""),1.023255813953488)</f>
        <v>1.023255814</v>
      </c>
      <c r="Q840" s="30">
        <f>IFERROR(__xludf.DUMMYFUNCTION("""COMPUTED_VALUE"""),0.6589147286821704)</f>
        <v>0.6589147287</v>
      </c>
      <c r="R840" s="30">
        <f>IFERROR(__xludf.DUMMYFUNCTION("""COMPUTED_VALUE"""),0.8527131782945736)</f>
        <v>0.8527131783</v>
      </c>
      <c r="S840" s="30">
        <f>IFERROR(__xludf.DUMMYFUNCTION("""COMPUTED_VALUE"""),2.3565891472868215)</f>
        <v>2.356589147</v>
      </c>
      <c r="T840" s="30">
        <f>IFERROR(__xludf.DUMMYFUNCTION("""COMPUTED_VALUE"""),296.6297254294568)</f>
        <v>296.6297254</v>
      </c>
      <c r="U840" s="30">
        <f>IFERROR(__xludf.DUMMYFUNCTION("""COMPUTED_VALUE"""),0.7960236173671354)</f>
        <v>0.7960236174</v>
      </c>
      <c r="V840" s="30">
        <f>IFERROR(__xludf.DUMMYFUNCTION("""COMPUTED_VALUE"""),0.4448893313625028)</f>
        <v>0.4448893314</v>
      </c>
      <c r="W840" s="30">
        <f>IFERROR(__xludf.DUMMYFUNCTION("""COMPUTED_VALUE"""),0.8507850463004928)</f>
        <v>0.8507850463</v>
      </c>
      <c r="X840" s="30">
        <f>IFERROR(__xludf.DUMMYFUNCTION("""COMPUTED_VALUE"""),2.08434382197785)</f>
        <v>2.084343822</v>
      </c>
      <c r="Y840" s="30">
        <f>IFERROR(__xludf.DUMMYFUNCTION("""COMPUTED_VALUE"""),291.64435835863287)</f>
        <v>291.6443584</v>
      </c>
      <c r="Z840" s="30">
        <f>IFERROR(__xludf.DUMMYFUNCTION("""COMPUTED_VALUE"""),0.7445741879028864)</f>
        <v>0.7445741879</v>
      </c>
      <c r="AA840" s="30">
        <f>IFERROR(__xludf.DUMMYFUNCTION("""COMPUTED_VALUE"""),0.40670046713938607)</f>
        <v>0.4067004671</v>
      </c>
      <c r="AB840" s="30">
        <f>IFERROR(__xludf.DUMMYFUNCTION("""COMPUTED_VALUE"""),0.8979969687241842)</f>
        <v>0.8979969687</v>
      </c>
      <c r="AC840" s="30">
        <f>IFERROR(__xludf.DUMMYFUNCTION("""COMPUTED_VALUE"""),2.021769158749066)</f>
        <v>2.021769159</v>
      </c>
      <c r="AD840" s="30">
        <f>IFERROR(__xludf.DUMMYFUNCTION("""COMPUTED_VALUE"""),0.8424564623892778)</f>
        <v>0.8424564624</v>
      </c>
      <c r="AE840" s="30">
        <f>IFERROR(__xludf.DUMMYFUNCTION("""COMPUTED_VALUE"""),0.9370112877128742)</f>
        <v>0.9370112877</v>
      </c>
      <c r="AF840" s="30">
        <f>IFERROR(__xludf.DUMMYFUNCTION("""COMPUTED_VALUE"""),1.1436335009429945)</f>
        <v>1.143633501</v>
      </c>
      <c r="AG840" s="30">
        <f>IFERROR(__xludf.DUMMYFUNCTION("""COMPUTED_VALUE"""),0.7510254801965901)</f>
        <v>0.7510254802</v>
      </c>
      <c r="AH840" s="30">
        <f>IFERROR(__xludf.DUMMYFUNCTION("""COMPUTED_VALUE"""),0.8857082751853667)</f>
        <v>0.8857082752</v>
      </c>
      <c r="AI840" s="30">
        <f>IFERROR(__xludf.DUMMYFUNCTION("""COMPUTED_VALUE"""),1.1119754123183863)</f>
        <v>1.111975412</v>
      </c>
      <c r="AJ840" s="30">
        <f>IFERROR(__xludf.DUMMYFUNCTION("""COMPUTED_VALUE"""),1.2854591140623788)</f>
        <v>1.285459114</v>
      </c>
      <c r="AK840" s="30">
        <f>IFERROR(__xludf.DUMMYFUNCTION("""COMPUTED_VALUE"""),1.4810755894374916)</f>
        <v>1.481075589</v>
      </c>
      <c r="AL840" s="30">
        <f>IFERROR(__xludf.DUMMYFUNCTION("""COMPUTED_VALUE"""),1.0022662974654586)</f>
        <v>1.002266297</v>
      </c>
      <c r="AM840" s="30">
        <f>IFERROR(__xludf.DUMMYFUNCTION("""COMPUTED_VALUE"""),1.130614403649891)</f>
        <v>1.130614404</v>
      </c>
      <c r="AN840" s="30">
        <f>IFERROR(__xludf.DUMMYFUNCTION("""COMPUTED_VALUE"""),0.8852033213453805)</f>
        <v>0.8852033213</v>
      </c>
      <c r="AO840" s="30">
        <f>IFERROR(__xludf.DUMMYFUNCTION("""COMPUTED_VALUE"""),0.9600183993352271)</f>
        <v>0.9600183993</v>
      </c>
      <c r="AP840" s="30">
        <f>IFERROR(__xludf.DUMMYFUNCTION("""COMPUTED_VALUE"""),1.1140322302301822)</f>
        <v>1.11403223</v>
      </c>
      <c r="AQ840" s="30">
        <f>IFERROR(__xludf.DUMMYFUNCTION("""COMPUTED_VALUE"""),0.8396394334125277)</f>
        <v>0.8396394334</v>
      </c>
      <c r="AR840" s="30">
        <f>IFERROR(__xludf.DUMMYFUNCTION("""COMPUTED_VALUE"""),0.9264760653676455)</f>
        <v>0.9264760654</v>
      </c>
      <c r="AS840" s="30">
        <f>IFERROR(__xludf.DUMMYFUNCTION("""COMPUTED_VALUE"""),294.0)</f>
        <v>294</v>
      </c>
      <c r="AT840" s="30">
        <f>IFERROR(__xludf.DUMMYFUNCTION("""COMPUTED_VALUE"""),0.8244062216577103)</f>
        <v>0.8244062217</v>
      </c>
      <c r="AU840" s="30">
        <f>IFERROR(__xludf.DUMMYFUNCTION("""COMPUTED_VALUE"""),1.564994548140103)</f>
        <v>1.564994548</v>
      </c>
      <c r="AV840" s="32">
        <f>IFERROR(__xludf.DUMMYFUNCTION("""COMPUTED_VALUE"""),41.67097549104016)</f>
        <v>41.67097549</v>
      </c>
      <c r="AW840" s="32">
        <f>IFERROR(__xludf.DUMMYFUNCTION("""COMPUTED_VALUE"""),-2.7063131792293573)</f>
        <v>-2.706313179</v>
      </c>
      <c r="AX840" s="32">
        <f>IFERROR(__xludf.DUMMYFUNCTION("""COMPUTED_VALUE"""),31.360267654783005)</f>
        <v>31.36026765</v>
      </c>
      <c r="AY840" s="32">
        <f>IFERROR(__xludf.DUMMYFUNCTION("""COMPUTED_VALUE"""),-4.386777310143384)</f>
        <v>-4.38677731</v>
      </c>
      <c r="AZ840" s="30">
        <f>IFERROR(__xludf.DUMMYFUNCTION("""COMPUTED_VALUE"""),1.680464130914027)</f>
        <v>1.680464131</v>
      </c>
      <c r="BA840" s="30">
        <f>IFERROR(__xludf.DUMMYFUNCTION("""COMPUTED_VALUE"""),4000.0)</f>
        <v>4000</v>
      </c>
    </row>
    <row r="841">
      <c r="A841" s="71" t="str">
        <f>IFERROR(__xludf.DUMMYFUNCTION("""COMPUTED_VALUE"""),"Amateur")</f>
        <v>Amateur</v>
      </c>
      <c r="B841" s="71" t="str">
        <f>IFERROR(__xludf.DUMMYFUNCTION("""COMPUTED_VALUE"""),"RSC008012")</f>
        <v>RSC008012</v>
      </c>
      <c r="C841" s="30" t="str">
        <f>IFERROR(__xludf.DUMMYFUNCTION("""COMPUTED_VALUE"""),"mushxie")</f>
        <v>mushxie</v>
      </c>
      <c r="D841" s="30" t="str">
        <f>IFERROR(__xludf.DUMMYFUNCTION("""COMPUTED_VALUE"""),"Amaranth")</f>
        <v>Amaranth</v>
      </c>
      <c r="E841" s="30">
        <f>IFERROR(__xludf.DUMMYFUNCTION("""COMPUTED_VALUE"""),35.0)</f>
        <v>35</v>
      </c>
      <c r="F841" s="30">
        <f>IFERROR(__xludf.DUMMYFUNCTION("""COMPUTED_VALUE"""),21.0)</f>
        <v>21</v>
      </c>
      <c r="G841" s="42">
        <f>IFERROR(__xludf.DUMMYFUNCTION("""COMPUTED_VALUE"""),14.0)</f>
        <v>14</v>
      </c>
      <c r="H841" s="42">
        <f>IFERROR(__xludf.DUMMYFUNCTION("""COMPUTED_VALUE"""),0.6)</f>
        <v>0.6</v>
      </c>
      <c r="I841" s="42">
        <f>IFERROR(__xludf.DUMMYFUNCTION("""COMPUTED_VALUE"""),0.2727272727272727)</f>
        <v>0.2727272727</v>
      </c>
      <c r="J841" s="30">
        <f>IFERROR(__xludf.DUMMYFUNCTION("""COMPUTED_VALUE"""),319.2)</f>
        <v>319.2</v>
      </c>
      <c r="K841" s="30">
        <f>IFERROR(__xludf.DUMMYFUNCTION("""COMPUTED_VALUE"""),0.6)</f>
        <v>0.6</v>
      </c>
      <c r="L841" s="30">
        <f>IFERROR(__xludf.DUMMYFUNCTION("""COMPUTED_VALUE"""),0.7428571428571429)</f>
        <v>0.7428571429</v>
      </c>
      <c r="M841" s="30">
        <f>IFERROR(__xludf.DUMMYFUNCTION("""COMPUTED_VALUE"""),0.9714285714285714)</f>
        <v>0.9714285714</v>
      </c>
      <c r="N841" s="30">
        <f>IFERROR(__xludf.DUMMYFUNCTION("""COMPUTED_VALUE"""),2.2)</f>
        <v>2.2</v>
      </c>
      <c r="O841" s="30">
        <f>IFERROR(__xludf.DUMMYFUNCTION("""COMPUTED_VALUE"""),276.4761904761905)</f>
        <v>276.4761905</v>
      </c>
      <c r="P841" s="30">
        <f>IFERROR(__xludf.DUMMYFUNCTION("""COMPUTED_VALUE"""),0.6000000000000002)</f>
        <v>0.6</v>
      </c>
      <c r="Q841" s="30">
        <f>IFERROR(__xludf.DUMMYFUNCTION("""COMPUTED_VALUE"""),0.380952380952381)</f>
        <v>0.380952381</v>
      </c>
      <c r="R841" s="30">
        <f>IFERROR(__xludf.DUMMYFUNCTION("""COMPUTED_VALUE"""),0.9142857142857145)</f>
        <v>0.9142857143</v>
      </c>
      <c r="S841" s="30">
        <f>IFERROR(__xludf.DUMMYFUNCTION("""COMPUTED_VALUE"""),1.8190476190476197)</f>
        <v>1.819047619</v>
      </c>
      <c r="T841" s="30">
        <f>IFERROR(__xludf.DUMMYFUNCTION("""COMPUTED_VALUE"""),287.80614048841727)</f>
        <v>287.8061405</v>
      </c>
      <c r="U841" s="30">
        <f>IFERROR(__xludf.DUMMYFUNCTION("""COMPUTED_VALUE"""),0.7619423740160891)</f>
        <v>0.761942374</v>
      </c>
      <c r="V841" s="30">
        <f>IFERROR(__xludf.DUMMYFUNCTION("""COMPUTED_VALUE"""),0.4195503843168208)</f>
        <v>0.4195503843</v>
      </c>
      <c r="W841" s="30">
        <f>IFERROR(__xludf.DUMMYFUNCTION("""COMPUTED_VALUE"""),0.8337530467154158)</f>
        <v>0.8337530467</v>
      </c>
      <c r="X841" s="30">
        <f>IFERROR(__xludf.DUMMYFUNCTION("""COMPUTED_VALUE"""),2.0378024126759895)</f>
        <v>2.037802413</v>
      </c>
      <c r="Y841" s="30">
        <f>IFERROR(__xludf.DUMMYFUNCTION("""COMPUTED_VALUE"""),300.5296795112665)</f>
        <v>300.5296795</v>
      </c>
      <c r="Z841" s="30">
        <f>IFERROR(__xludf.DUMMYFUNCTION("""COMPUTED_VALUE"""),0.8173180304502681)</f>
        <v>0.8173180305</v>
      </c>
      <c r="AA841" s="30">
        <f>IFERROR(__xludf.DUMMYFUNCTION("""COMPUTED_VALUE"""),0.47776334358509853)</f>
        <v>0.4777633436</v>
      </c>
      <c r="AB841" s="30">
        <f>IFERROR(__xludf.DUMMYFUNCTION("""COMPUTED_VALUE"""),0.863158316253444)</f>
        <v>0.8631583163</v>
      </c>
      <c r="AC841" s="30">
        <f>IFERROR(__xludf.DUMMYFUNCTION("""COMPUTED_VALUE"""),2.0946986927991493)</f>
        <v>2.094698693</v>
      </c>
      <c r="AD841" s="30">
        <f>IFERROR(__xludf.DUMMYFUNCTION("""COMPUTED_VALUE"""),1.0621247143346904)</f>
        <v>1.062124714</v>
      </c>
      <c r="AE841" s="30">
        <f>IFERROR(__xludf.DUMMYFUNCTION("""COMPUTED_VALUE"""),0.7341083613063747)</f>
        <v>0.7341083613</v>
      </c>
      <c r="AF841" s="30">
        <f>IFERROR(__xludf.DUMMYFUNCTION("""COMPUTED_VALUE"""),1.554864249908336)</f>
        <v>1.55486425</v>
      </c>
      <c r="AG841" s="30">
        <f>IFERROR(__xludf.DUMMYFUNCTION("""COMPUTED_VALUE"""),1.1254349904720569)</f>
        <v>1.12543499</v>
      </c>
      <c r="AH841" s="30">
        <f>IFERROR(__xludf.DUMMYFUNCTION("""COMPUTED_VALUE"""),1.050270383784952)</f>
        <v>1.050270384</v>
      </c>
      <c r="AI841" s="30">
        <f>IFERROR(__xludf.DUMMYFUNCTION("""COMPUTED_VALUE"""),0.9606333972131399)</f>
        <v>0.9606333972</v>
      </c>
      <c r="AJ841" s="30">
        <f>IFERROR(__xludf.DUMMYFUNCTION("""COMPUTED_VALUE"""),0.7874611262758444)</f>
        <v>0.7874611263</v>
      </c>
      <c r="AK841" s="30">
        <f>IFERROR(__xludf.DUMMYFUNCTION("""COMPUTED_VALUE"""),0.9080015063571178)</f>
        <v>0.9080015064</v>
      </c>
      <c r="AL841" s="30">
        <f>IFERROR(__xludf.DUMMYFUNCTION("""COMPUTED_VALUE"""),1.0965905526673136)</f>
        <v>1.096590553</v>
      </c>
      <c r="AM841" s="30">
        <f>IFERROR(__xludf.DUMMYFUNCTION("""COMPUTED_VALUE"""),0.8926516171206674)</f>
        <v>0.8926516171</v>
      </c>
      <c r="AN841" s="30">
        <f>IFERROR(__xludf.DUMMYFUNCTION("""COMPUTED_VALUE"""),1.1500186187844916)</f>
        <v>1.150018619</v>
      </c>
      <c r="AO841" s="30">
        <f>IFERROR(__xludf.DUMMYFUNCTION("""COMPUTED_VALUE"""),0.8256158234282953)</f>
        <v>0.8256158234</v>
      </c>
      <c r="AP841" s="30">
        <f>IFERROR(__xludf.DUMMYFUNCTION("""COMPUTED_VALUE"""),1.7792686191390623)</f>
        <v>1.779268619</v>
      </c>
      <c r="AQ841" s="30">
        <f>IFERROR(__xludf.DUMMYFUNCTION("""COMPUTED_VALUE"""),1.2094116765015916)</f>
        <v>1.209411677</v>
      </c>
      <c r="AR841" s="30">
        <f>IFERROR(__xludf.DUMMYFUNCTION("""COMPUTED_VALUE"""),1.1382420231659645)</f>
        <v>1.138242023</v>
      </c>
      <c r="AS841" s="30">
        <f>IFERROR(__xludf.DUMMYFUNCTION("""COMPUTED_VALUE"""),240.0)</f>
        <v>240</v>
      </c>
      <c r="AT841" s="30">
        <f>IFERROR(__xludf.DUMMYFUNCTION("""COMPUTED_VALUE"""),0.9230816280138241)</f>
        <v>0.923081628</v>
      </c>
      <c r="AU841" s="30">
        <f>IFERROR(__xludf.DUMMYFUNCTION("""COMPUTED_VALUE"""),2.753524998261487)</f>
        <v>2.753524998</v>
      </c>
      <c r="AV841" s="32">
        <f>IFERROR(__xludf.DUMMYFUNCTION("""COMPUTED_VALUE"""),65.0468440468145)</f>
        <v>65.04684405</v>
      </c>
      <c r="AW841" s="32">
        <f>IFERROR(__xludf.DUMMYFUNCTION("""COMPUTED_VALUE"""),3.654582255011044)</f>
        <v>3.654582255</v>
      </c>
      <c r="AX841" s="32">
        <f>IFERROR(__xludf.DUMMYFUNCTION("""COMPUTED_VALUE"""),71.4658303295179)</f>
        <v>71.46583033</v>
      </c>
      <c r="AY841" s="32">
        <f>IFERROR(__xludf.DUMMYFUNCTION("""COMPUTED_VALUE"""),5.121076222207275)</f>
        <v>5.121076222</v>
      </c>
      <c r="AZ841" s="30">
        <f>IFERROR(__xludf.DUMMYFUNCTION("""COMPUTED_VALUE"""),1.4664939671962314)</f>
        <v>1.466493967</v>
      </c>
      <c r="BA841" s="30">
        <f>IFERROR(__xludf.DUMMYFUNCTION("""COMPUTED_VALUE"""),4000.0)</f>
        <v>4000</v>
      </c>
    </row>
    <row r="842">
      <c r="A842" s="71" t="str">
        <f>IFERROR(__xludf.DUMMYFUNCTION("""COMPUTED_VALUE"""),"Amateur")</f>
        <v>Amateur</v>
      </c>
      <c r="B842" s="71" t="str">
        <f>IFERROR(__xludf.DUMMYFUNCTION("""COMPUTED_VALUE"""),"RSC007463")</f>
        <v>RSC007463</v>
      </c>
      <c r="C842" s="30" t="str">
        <f>IFERROR(__xludf.DUMMYFUNCTION("""COMPUTED_VALUE"""),"xproteusx05")</f>
        <v>xproteusx05</v>
      </c>
      <c r="D842" s="30" t="str">
        <f>IFERROR(__xludf.DUMMYFUNCTION("""COMPUTED_VALUE"""),"Surprise")</f>
        <v>Surprise</v>
      </c>
      <c r="E842" s="30">
        <f>IFERROR(__xludf.DUMMYFUNCTION("""COMPUTED_VALUE"""),39.0)</f>
        <v>39</v>
      </c>
      <c r="F842" s="30">
        <f>IFERROR(__xludf.DUMMYFUNCTION("""COMPUTED_VALUE"""),24.0)</f>
        <v>24</v>
      </c>
      <c r="G842" s="42">
        <f>IFERROR(__xludf.DUMMYFUNCTION("""COMPUTED_VALUE"""),15.0)</f>
        <v>15</v>
      </c>
      <c r="H842" s="42">
        <f>IFERROR(__xludf.DUMMYFUNCTION("""COMPUTED_VALUE"""),0.6153846153846154)</f>
        <v>0.6153846154</v>
      </c>
      <c r="I842" s="42">
        <f>IFERROR(__xludf.DUMMYFUNCTION("""COMPUTED_VALUE"""),0.4444444444444444)</f>
        <v>0.4444444444</v>
      </c>
      <c r="J842" s="30">
        <f>IFERROR(__xludf.DUMMYFUNCTION("""COMPUTED_VALUE"""),308.64102564102564)</f>
        <v>308.6410256</v>
      </c>
      <c r="K842" s="30">
        <f>IFERROR(__xludf.DUMMYFUNCTION("""COMPUTED_VALUE"""),1.0256410256410255)</f>
        <v>1.025641026</v>
      </c>
      <c r="L842" s="30">
        <f>IFERROR(__xludf.DUMMYFUNCTION("""COMPUTED_VALUE"""),0.41025641025641024)</f>
        <v>0.4102564103</v>
      </c>
      <c r="M842" s="30">
        <f>IFERROR(__xludf.DUMMYFUNCTION("""COMPUTED_VALUE"""),0.8461538461538461)</f>
        <v>0.8461538462</v>
      </c>
      <c r="N842" s="30">
        <f>IFERROR(__xludf.DUMMYFUNCTION("""COMPUTED_VALUE"""),2.3076923076923075)</f>
        <v>2.307692308</v>
      </c>
      <c r="O842" s="30">
        <f>IFERROR(__xludf.DUMMYFUNCTION("""COMPUTED_VALUE"""),276.2905982905981)</f>
        <v>276.2905983</v>
      </c>
      <c r="P842" s="30">
        <f>IFERROR(__xludf.DUMMYFUNCTION("""COMPUTED_VALUE"""),0.6645299145299145)</f>
        <v>0.6645299145</v>
      </c>
      <c r="Q842" s="30">
        <f>IFERROR(__xludf.DUMMYFUNCTION("""COMPUTED_VALUE"""),0.26923076923076916)</f>
        <v>0.2692307692</v>
      </c>
      <c r="R842" s="30">
        <f>IFERROR(__xludf.DUMMYFUNCTION("""COMPUTED_VALUE"""),0.9166666666666669)</f>
        <v>0.9166666667</v>
      </c>
      <c r="S842" s="30">
        <f>IFERROR(__xludf.DUMMYFUNCTION("""COMPUTED_VALUE"""),1.786324786324786)</f>
        <v>1.786324786</v>
      </c>
      <c r="T842" s="30">
        <f>IFERROR(__xludf.DUMMYFUNCTION("""COMPUTED_VALUE"""),302.05839247497835)</f>
        <v>302.0583925</v>
      </c>
      <c r="U842" s="30">
        <f>IFERROR(__xludf.DUMMYFUNCTION("""COMPUTED_VALUE"""),0.8052859844308182)</f>
        <v>0.8052859844</v>
      </c>
      <c r="V842" s="30">
        <f>IFERROR(__xludf.DUMMYFUNCTION("""COMPUTED_VALUE"""),0.45536783078067966)</f>
        <v>0.4553678308</v>
      </c>
      <c r="W842" s="30">
        <f>IFERROR(__xludf.DUMMYFUNCTION("""COMPUTED_VALUE"""),0.8974476847608716)</f>
        <v>0.8974476848</v>
      </c>
      <c r="X842" s="30">
        <f>IFERROR(__xludf.DUMMYFUNCTION("""COMPUTED_VALUE"""),2.104262282244842)</f>
        <v>2.104262282</v>
      </c>
      <c r="Y842" s="30">
        <f>IFERROR(__xludf.DUMMYFUNCTION("""COMPUTED_VALUE"""),304.86487848263056)</f>
        <v>304.8648785</v>
      </c>
      <c r="Z842" s="30">
        <f>IFERROR(__xludf.DUMMYFUNCTION("""COMPUTED_VALUE"""),0.849085715748006)</f>
        <v>0.8490857157</v>
      </c>
      <c r="AA842" s="30">
        <f>IFERROR(__xludf.DUMMYFUNCTION("""COMPUTED_VALUE"""),0.4915216306952463)</f>
        <v>0.4915216307</v>
      </c>
      <c r="AB842" s="30">
        <f>IFERROR(__xludf.DUMMYFUNCTION("""COMPUTED_VALUE"""),0.8630989551045795)</f>
        <v>0.8630989551</v>
      </c>
      <c r="AC842" s="30">
        <f>IFERROR(__xludf.DUMMYFUNCTION("""COMPUTED_VALUE"""),2.1686452574218484)</f>
        <v>2.168645257</v>
      </c>
      <c r="AD842" s="30">
        <f>IFERROR(__xludf.DUMMYFUNCTION("""COMPUTED_VALUE"""),1.0123862977499727)</f>
        <v>1.012386298</v>
      </c>
      <c r="AE842" s="30">
        <f>IFERROR(__xludf.DUMMYFUNCTION("""COMPUTED_VALUE"""),1.2079357909554307)</f>
        <v>1.207935791</v>
      </c>
      <c r="AF842" s="30">
        <f>IFERROR(__xludf.DUMMYFUNCTION("""COMPUTED_VALUE"""),0.834666034282381)</f>
        <v>0.8346660343</v>
      </c>
      <c r="AG842" s="30">
        <f>IFERROR(__xludf.DUMMYFUNCTION("""COMPUTED_VALUE"""),0.9803671307322113)</f>
        <v>0.9803671307</v>
      </c>
      <c r="AH842" s="30">
        <f>IFERROR(__xludf.DUMMYFUNCTION("""COMPUTED_VALUE"""),1.0641170102830753)</f>
        <v>1.06411701</v>
      </c>
      <c r="AI842" s="30">
        <f>IFERROR(__xludf.DUMMYFUNCTION("""COMPUTED_VALUE"""),0.9146926725880832)</f>
        <v>0.9146926726</v>
      </c>
      <c r="AJ842" s="30">
        <f>IFERROR(__xludf.DUMMYFUNCTION("""COMPUTED_VALUE"""),0.8252098352358745)</f>
        <v>0.8252098352</v>
      </c>
      <c r="AK842" s="30">
        <f>IFERROR(__xludf.DUMMYFUNCTION("""COMPUTED_VALUE"""),0.5912380081157724)</f>
        <v>0.5912380081</v>
      </c>
      <c r="AL842" s="30">
        <f>IFERROR(__xludf.DUMMYFUNCTION("""COMPUTED_VALUE"""),1.021415155704498)</f>
        <v>1.021415156</v>
      </c>
      <c r="AM842" s="30">
        <f>IFERROR(__xludf.DUMMYFUNCTION("""COMPUTED_VALUE"""),0.8489078578261271)</f>
        <v>0.8489078578</v>
      </c>
      <c r="AN842" s="30">
        <f>IFERROR(__xludf.DUMMYFUNCTION("""COMPUTED_VALUE"""),1.1119765852378483)</f>
        <v>1.111976585</v>
      </c>
      <c r="AO842" s="30">
        <f>IFERROR(__xludf.DUMMYFUNCTION("""COMPUTED_VALUE"""),1.4113090998774278)</f>
        <v>1.4113091</v>
      </c>
      <c r="AP842" s="30">
        <f>IFERROR(__xludf.DUMMYFUNCTION("""COMPUTED_VALUE"""),0.9826335569209811)</f>
        <v>0.9826335569</v>
      </c>
      <c r="AQ842" s="30">
        <f>IFERROR(__xludf.DUMMYFUNCTION("""COMPUTED_VALUE"""),1.0534468222921103)</f>
        <v>1.053446822</v>
      </c>
      <c r="AR842" s="30">
        <f>IFERROR(__xludf.DUMMYFUNCTION("""COMPUTED_VALUE"""),1.1939601641601025)</f>
        <v>1.193960164</v>
      </c>
      <c r="AS842" s="30">
        <f>IFERROR(__xludf.DUMMYFUNCTION("""COMPUTED_VALUE"""),284.0)</f>
        <v>284</v>
      </c>
      <c r="AT842" s="30">
        <f>IFERROR(__xludf.DUMMYFUNCTION("""COMPUTED_VALUE"""),0.920928578524617)</f>
        <v>0.9209285785</v>
      </c>
      <c r="AU842" s="30">
        <f>IFERROR(__xludf.DUMMYFUNCTION("""COMPUTED_VALUE"""),2.8827842809563826)</f>
        <v>2.882784281</v>
      </c>
      <c r="AV842" s="32">
        <f>IFERROR(__xludf.DUMMYFUNCTION("""COMPUTED_VALUE"""),67.58909948636253)</f>
        <v>67.58909949</v>
      </c>
      <c r="AW842" s="32">
        <f>IFERROR(__xludf.DUMMYFUNCTION("""COMPUTED_VALUE"""),4.151924307935603)</f>
        <v>4.151924308</v>
      </c>
      <c r="AX842" s="32">
        <f>IFERROR(__xludf.DUMMYFUNCTION("""COMPUTED_VALUE"""),59.87627508294172)</f>
        <v>59.87627508</v>
      </c>
      <c r="AY842" s="32">
        <f>IFERROR(__xludf.DUMMYFUNCTION("""COMPUTED_VALUE"""),2.8868141615248217)</f>
        <v>2.886814162</v>
      </c>
      <c r="AZ842" s="30">
        <f>IFERROR(__xludf.DUMMYFUNCTION("""COMPUTED_VALUE"""),1.2651101464107817)</f>
        <v>1.265110146</v>
      </c>
      <c r="BA842" s="30">
        <f>IFERROR(__xludf.DUMMYFUNCTION("""COMPUTED_VALUE"""),4000.0)</f>
        <v>4000</v>
      </c>
    </row>
    <row r="843">
      <c r="A843" s="71" t="str">
        <f>IFERROR(__xludf.DUMMYFUNCTION("""COMPUTED_VALUE"""),"Amateur")</f>
        <v>Amateur</v>
      </c>
      <c r="B843" s="71" t="str">
        <f>IFERROR(__xludf.DUMMYFUNCTION("""COMPUTED_VALUE"""),"RSC007632")</f>
        <v>RSC007632</v>
      </c>
      <c r="C843" s="30" t="str">
        <f>IFERROR(__xludf.DUMMYFUNCTION("""COMPUTED_VALUE"""),"yournewSTEPDADDI")</f>
        <v>yournewSTEPDADDI</v>
      </c>
      <c r="D843" s="30" t="str">
        <f>IFERROR(__xludf.DUMMYFUNCTION("""COMPUTED_VALUE"""),"Kiwis")</f>
        <v>Kiwis</v>
      </c>
      <c r="E843" s="30">
        <f>IFERROR(__xludf.DUMMYFUNCTION("""COMPUTED_VALUE"""),39.0)</f>
        <v>39</v>
      </c>
      <c r="F843" s="30">
        <f>IFERROR(__xludf.DUMMYFUNCTION("""COMPUTED_VALUE"""),9.0)</f>
        <v>9</v>
      </c>
      <c r="G843" s="42">
        <f>IFERROR(__xludf.DUMMYFUNCTION("""COMPUTED_VALUE"""),30.0)</f>
        <v>30</v>
      </c>
      <c r="H843" s="42">
        <f>IFERROR(__xludf.DUMMYFUNCTION("""COMPUTED_VALUE"""),0.23076923076923078)</f>
        <v>0.2307692308</v>
      </c>
      <c r="I843" s="42">
        <f>IFERROR(__xludf.DUMMYFUNCTION("""COMPUTED_VALUE"""),0.3442622950819672)</f>
        <v>0.3442622951</v>
      </c>
      <c r="J843" s="30">
        <f>IFERROR(__xludf.DUMMYFUNCTION("""COMPUTED_VALUE"""),263.28205128205127)</f>
        <v>263.2820513</v>
      </c>
      <c r="K843" s="30">
        <f>IFERROR(__xludf.DUMMYFUNCTION("""COMPUTED_VALUE"""),0.5384615384615384)</f>
        <v>0.5384615385</v>
      </c>
      <c r="L843" s="30">
        <f>IFERROR(__xludf.DUMMYFUNCTION("""COMPUTED_VALUE"""),0.28205128205128205)</f>
        <v>0.2820512821</v>
      </c>
      <c r="M843" s="30">
        <f>IFERROR(__xludf.DUMMYFUNCTION("""COMPUTED_VALUE"""),0.8717948717948718)</f>
        <v>0.8717948718</v>
      </c>
      <c r="N843" s="30">
        <f>IFERROR(__xludf.DUMMYFUNCTION("""COMPUTED_VALUE"""),1.564102564102564)</f>
        <v>1.564102564</v>
      </c>
      <c r="O843" s="30">
        <f>IFERROR(__xludf.DUMMYFUNCTION("""COMPUTED_VALUE"""),356.7200854700855)</f>
        <v>356.7200855</v>
      </c>
      <c r="P843" s="30">
        <f>IFERROR(__xludf.DUMMYFUNCTION("""COMPUTED_VALUE"""),1.2585470085470085)</f>
        <v>1.258547009</v>
      </c>
      <c r="Q843" s="30">
        <f>IFERROR(__xludf.DUMMYFUNCTION("""COMPUTED_VALUE"""),0.6752136752136755)</f>
        <v>0.6752136752</v>
      </c>
      <c r="R843" s="30">
        <f>IFERROR(__xludf.DUMMYFUNCTION("""COMPUTED_VALUE"""),0.7756410256410257)</f>
        <v>0.7756410256</v>
      </c>
      <c r="S843" s="30">
        <f>IFERROR(__xludf.DUMMYFUNCTION("""COMPUTED_VALUE"""),2.7991452991452994)</f>
        <v>2.799145299</v>
      </c>
      <c r="T843" s="30">
        <f>IFERROR(__xludf.DUMMYFUNCTION("""COMPUTED_VALUE"""),306.7462065624746)</f>
        <v>306.7462066</v>
      </c>
      <c r="U843" s="30">
        <f>IFERROR(__xludf.DUMMYFUNCTION("""COMPUTED_VALUE"""),0.859835320149343)</f>
        <v>0.8598353201</v>
      </c>
      <c r="V843" s="30">
        <f>IFERROR(__xludf.DUMMYFUNCTION("""COMPUTED_VALUE"""),0.45247738078501526)</f>
        <v>0.4524773808</v>
      </c>
      <c r="W843" s="30">
        <f>IFERROR(__xludf.DUMMYFUNCTION("""COMPUTED_VALUE"""),0.8817646933266249)</f>
        <v>0.8817646933</v>
      </c>
      <c r="X843" s="30">
        <f>IFERROR(__xludf.DUMMYFUNCTION("""COMPUTED_VALUE"""),2.1610469790382876)</f>
        <v>2.161046979</v>
      </c>
      <c r="Y843" s="30">
        <f>IFERROR(__xludf.DUMMYFUNCTION("""COMPUTED_VALUE"""),286.685677805483)</f>
        <v>286.6856778</v>
      </c>
      <c r="Z843" s="30">
        <f>IFERROR(__xludf.DUMMYFUNCTION("""COMPUTED_VALUE"""),0.7058301519499596)</f>
        <v>0.7058301519</v>
      </c>
      <c r="AA843" s="30">
        <f>IFERROR(__xludf.DUMMYFUNCTION("""COMPUTED_VALUE"""),0.3981918269497918)</f>
        <v>0.3981918269</v>
      </c>
      <c r="AB843" s="30">
        <f>IFERROR(__xludf.DUMMYFUNCTION("""COMPUTED_VALUE"""),0.8891803454104115)</f>
        <v>0.8891803454</v>
      </c>
      <c r="AC843" s="30">
        <f>IFERROR(__xludf.DUMMYFUNCTION("""COMPUTED_VALUE"""),1.9991737694728295)</f>
        <v>1.999173769</v>
      </c>
      <c r="AD843" s="30">
        <f>IFERROR(__xludf.DUMMYFUNCTION("""COMPUTED_VALUE"""),0.9183648562335536)</f>
        <v>0.9183648562</v>
      </c>
      <c r="AE843" s="30">
        <f>IFERROR(__xludf.DUMMYFUNCTION("""COMPUTED_VALUE"""),0.7628769286406358)</f>
        <v>0.7628769286</v>
      </c>
      <c r="AF843" s="30">
        <f>IFERROR(__xludf.DUMMYFUNCTION("""COMPUTED_VALUE"""),0.7083301639107877)</f>
        <v>0.7083301639</v>
      </c>
      <c r="AG843" s="30">
        <f>IFERROR(__xludf.DUMMYFUNCTION("""COMPUTED_VALUE"""),0.9804477531411075)</f>
        <v>0.9804477531</v>
      </c>
      <c r="AH843" s="30">
        <f>IFERROR(__xludf.DUMMYFUNCTION("""COMPUTED_VALUE"""),0.7823744928961371)</f>
        <v>0.7823744929</v>
      </c>
      <c r="AI843" s="30">
        <f>IFERROR(__xludf.DUMMYFUNCTION("""COMPUTED_VALUE"""),1.1629160453771832)</f>
        <v>1.162916045</v>
      </c>
      <c r="AJ843" s="30">
        <f>IFERROR(__xludf.DUMMYFUNCTION("""COMPUTED_VALUE"""),1.4637070367479368)</f>
        <v>1.463707037</v>
      </c>
      <c r="AK843" s="30">
        <f>IFERROR(__xludf.DUMMYFUNCTION("""COMPUTED_VALUE"""),1.4922595114969703)</f>
        <v>1.492259511</v>
      </c>
      <c r="AL843" s="30">
        <f>IFERROR(__xludf.DUMMYFUNCTION("""COMPUTED_VALUE"""),0.8796462724253252)</f>
        <v>0.8796462724</v>
      </c>
      <c r="AM843" s="30">
        <f>IFERROR(__xludf.DUMMYFUNCTION("""COMPUTED_VALUE"""),1.2952727665323496)</f>
        <v>1.295272767</v>
      </c>
      <c r="AN843" s="30">
        <f>IFERROR(__xludf.DUMMYFUNCTION("""COMPUTED_VALUE"""),0.9485565819740986)</f>
        <v>0.948556582</v>
      </c>
      <c r="AO843" s="30">
        <f>IFERROR(__xludf.DUMMYFUNCTION("""COMPUTED_VALUE"""),0.7409372774356496)</f>
        <v>0.7409372774</v>
      </c>
      <c r="AP843" s="30">
        <f>IFERROR(__xludf.DUMMYFUNCTION("""COMPUTED_VALUE"""),0.6755605703831745)</f>
        <v>0.6755605704</v>
      </c>
      <c r="AQ843" s="30">
        <f>IFERROR(__xludf.DUMMYFUNCTION("""COMPUTED_VALUE"""),1.0853694532706593)</f>
        <v>1.085369453</v>
      </c>
      <c r="AR843" s="30">
        <f>IFERROR(__xludf.DUMMYFUNCTION("""COMPUTED_VALUE"""),0.8092396668196251)</f>
        <v>0.8092396668</v>
      </c>
      <c r="AS843" s="30">
        <f>IFERROR(__xludf.DUMMYFUNCTION("""COMPUTED_VALUE"""),178.0)</f>
        <v>178</v>
      </c>
      <c r="AT843" s="30">
        <f>IFERROR(__xludf.DUMMYFUNCTION("""COMPUTED_VALUE"""),0.5862780891787196)</f>
        <v>0.5862780892</v>
      </c>
      <c r="AU843" s="30">
        <f>IFERROR(__xludf.DUMMYFUNCTION("""COMPUTED_VALUE"""),0.9207571059109002)</f>
        <v>0.9207571059</v>
      </c>
      <c r="AV843" s="32">
        <f>IFERROR(__xludf.DUMMYFUNCTION("""COMPUTED_VALUE"""),29.000193882777552)</f>
        <v>29.00019388</v>
      </c>
      <c r="AW843" s="32">
        <f>IFERROR(__xludf.DUMMYFUNCTION("""COMPUTED_VALUE"""),-4.9886167891079864)</f>
        <v>-4.988616789</v>
      </c>
      <c r="AX843" s="32">
        <f>IFERROR(__xludf.DUMMYFUNCTION("""COMPUTED_VALUE"""),25.7003002025089)</f>
        <v>25.7003002</v>
      </c>
      <c r="AY843" s="32">
        <f>IFERROR(__xludf.DUMMYFUNCTION("""COMPUTED_VALUE"""),-6.041264449350247)</f>
        <v>-6.041264449</v>
      </c>
      <c r="AZ843" s="30">
        <f>IFERROR(__xludf.DUMMYFUNCTION("""COMPUTED_VALUE"""),1.0526476602422603)</f>
        <v>1.05264766</v>
      </c>
      <c r="BA843" s="30">
        <f>IFERROR(__xludf.DUMMYFUNCTION("""COMPUTED_VALUE"""),4000.0)</f>
        <v>4000</v>
      </c>
    </row>
    <row r="844">
      <c r="A844" s="71" t="str">
        <f>IFERROR(__xludf.DUMMYFUNCTION("""COMPUTED_VALUE"""),"Amateur")</f>
        <v>Amateur</v>
      </c>
      <c r="B844" s="71" t="str">
        <f>IFERROR(__xludf.DUMMYFUNCTION("""COMPUTED_VALUE"""),"RSC006797")</f>
        <v>RSC006797</v>
      </c>
      <c r="C844" s="30" t="str">
        <f>IFERROR(__xludf.DUMMYFUNCTION("""COMPUTED_VALUE"""),"The-Manimal")</f>
        <v>The-Manimal</v>
      </c>
      <c r="D844" s="30" t="str">
        <f>IFERROR(__xludf.DUMMYFUNCTION("""COMPUTED_VALUE"""),"Aloof Goofs")</f>
        <v>Aloof Goofs</v>
      </c>
      <c r="E844" s="30">
        <f>IFERROR(__xludf.DUMMYFUNCTION("""COMPUTED_VALUE"""),36.0)</f>
        <v>36</v>
      </c>
      <c r="F844" s="30">
        <f>IFERROR(__xludf.DUMMYFUNCTION("""COMPUTED_VALUE"""),15.0)</f>
        <v>15</v>
      </c>
      <c r="G844" s="42">
        <f>IFERROR(__xludf.DUMMYFUNCTION("""COMPUTED_VALUE"""),21.0)</f>
        <v>21</v>
      </c>
      <c r="H844" s="42">
        <f>IFERROR(__xludf.DUMMYFUNCTION("""COMPUTED_VALUE"""),0.4166666666666667)</f>
        <v>0.4166666667</v>
      </c>
      <c r="I844" s="42">
        <f>IFERROR(__xludf.DUMMYFUNCTION("""COMPUTED_VALUE"""),0.25806451612903225)</f>
        <v>0.2580645161</v>
      </c>
      <c r="J844" s="30">
        <f>IFERROR(__xludf.DUMMYFUNCTION("""COMPUTED_VALUE"""),299.72222222222223)</f>
        <v>299.7222222</v>
      </c>
      <c r="K844" s="30">
        <f>IFERROR(__xludf.DUMMYFUNCTION("""COMPUTED_VALUE"""),0.6666666666666666)</f>
        <v>0.6666666667</v>
      </c>
      <c r="L844" s="30">
        <f>IFERROR(__xludf.DUMMYFUNCTION("""COMPUTED_VALUE"""),0.5555555555555556)</f>
        <v>0.5555555556</v>
      </c>
      <c r="M844" s="30">
        <f>IFERROR(__xludf.DUMMYFUNCTION("""COMPUTED_VALUE"""),0.8055555555555556)</f>
        <v>0.8055555556</v>
      </c>
      <c r="N844" s="30">
        <f>IFERROR(__xludf.DUMMYFUNCTION("""COMPUTED_VALUE"""),2.5833333333333335)</f>
        <v>2.583333333</v>
      </c>
      <c r="O844" s="30">
        <f>IFERROR(__xludf.DUMMYFUNCTION("""COMPUTED_VALUE"""),293.9976851851851)</f>
        <v>293.9976852</v>
      </c>
      <c r="P844" s="30">
        <f>IFERROR(__xludf.DUMMYFUNCTION("""COMPUTED_VALUE"""),0.7013888888888888)</f>
        <v>0.7013888889</v>
      </c>
      <c r="Q844" s="30">
        <f>IFERROR(__xludf.DUMMYFUNCTION("""COMPUTED_VALUE"""),0.4050925925925926)</f>
        <v>0.4050925926</v>
      </c>
      <c r="R844" s="30">
        <f>IFERROR(__xludf.DUMMYFUNCTION("""COMPUTED_VALUE"""),1.060185185185185)</f>
        <v>1.060185185</v>
      </c>
      <c r="S844" s="30">
        <f>IFERROR(__xludf.DUMMYFUNCTION("""COMPUTED_VALUE"""),1.9212962962962956)</f>
        <v>1.921296296</v>
      </c>
      <c r="T844" s="30">
        <f>IFERROR(__xludf.DUMMYFUNCTION("""COMPUTED_VALUE"""),297.53123400983225)</f>
        <v>297.531234</v>
      </c>
      <c r="U844" s="30">
        <f>IFERROR(__xludf.DUMMYFUNCTION("""COMPUTED_VALUE"""),0.7831445873336538)</f>
        <v>0.7831445873</v>
      </c>
      <c r="V844" s="30">
        <f>IFERROR(__xludf.DUMMYFUNCTION("""COMPUTED_VALUE"""),0.4516757507853328)</f>
        <v>0.4516757508</v>
      </c>
      <c r="W844" s="30">
        <f>IFERROR(__xludf.DUMMYFUNCTION("""COMPUTED_VALUE"""),0.9251037241892823)</f>
        <v>0.9251037242</v>
      </c>
      <c r="X844" s="30">
        <f>IFERROR(__xludf.DUMMYFUNCTION("""COMPUTED_VALUE"""),2.0544470106895414)</f>
        <v>2.054447011</v>
      </c>
      <c r="Y844" s="30">
        <f>IFERROR(__xludf.DUMMYFUNCTION("""COMPUTED_VALUE"""),288.7947588011578)</f>
        <v>288.7947588</v>
      </c>
      <c r="Z844" s="30">
        <f>IFERROR(__xludf.DUMMYFUNCTION("""COMPUTED_VALUE"""),0.7060830592056437)</f>
        <v>0.7060830592</v>
      </c>
      <c r="AA844" s="30">
        <f>IFERROR(__xludf.DUMMYFUNCTION("""COMPUTED_VALUE"""),0.41634371474258863)</f>
        <v>0.4163437147</v>
      </c>
      <c r="AB844" s="30">
        <f>IFERROR(__xludf.DUMMYFUNCTION("""COMPUTED_VALUE"""),0.8803689119067556)</f>
        <v>0.8803689119</v>
      </c>
      <c r="AC844" s="30">
        <f>IFERROR(__xludf.DUMMYFUNCTION("""COMPUTED_VALUE"""),2.0539019435761268)</f>
        <v>2.053901944</v>
      </c>
      <c r="AD844" s="30">
        <f>IFERROR(__xludf.DUMMYFUNCTION("""COMPUTED_VALUE"""),1.0378381639141459)</f>
        <v>1.037838164</v>
      </c>
      <c r="AE844" s="30">
        <f>IFERROR(__xludf.DUMMYFUNCTION("""COMPUTED_VALUE"""),0.9441759832287702)</f>
        <v>0.9441759832</v>
      </c>
      <c r="AF844" s="30">
        <f>IFERROR(__xludf.DUMMYFUNCTION("""COMPUTED_VALUE"""),1.3343675811199334)</f>
        <v>1.334367581</v>
      </c>
      <c r="AG844" s="30">
        <f>IFERROR(__xludf.DUMMYFUNCTION("""COMPUTED_VALUE"""),0.9150204472927551)</f>
        <v>0.9150204473</v>
      </c>
      <c r="AH844" s="30">
        <f>IFERROR(__xludf.DUMMYFUNCTION("""COMPUTED_VALUE"""),1.2577685811209631)</f>
        <v>1.257768581</v>
      </c>
      <c r="AI844" s="30">
        <f>IFERROR(__xludf.DUMMYFUNCTION("""COMPUTED_VALUE"""),0.9881237718238)</f>
        <v>0.9881237718</v>
      </c>
      <c r="AJ844" s="30">
        <f>IFERROR(__xludf.DUMMYFUNCTION("""COMPUTED_VALUE"""),0.8956058692519144)</f>
        <v>0.8956058693</v>
      </c>
      <c r="AK844" s="30">
        <f>IFERROR(__xludf.DUMMYFUNCTION("""COMPUTED_VALUE"""),0.8968659306776031)</f>
        <v>0.8968659307</v>
      </c>
      <c r="AL844" s="30">
        <f>IFERROR(__xludf.DUMMYFUNCTION("""COMPUTED_VALUE"""),1.1460176383078358)</f>
        <v>1.146017638</v>
      </c>
      <c r="AM844" s="30">
        <f>IFERROR(__xludf.DUMMYFUNCTION("""COMPUTED_VALUE"""),0.9351890247349062)</f>
        <v>0.9351890247</v>
      </c>
      <c r="AN844" s="30">
        <f>IFERROR(__xludf.DUMMYFUNCTION("""COMPUTED_VALUE"""),1.0798437845207345)</f>
        <v>1.079843785</v>
      </c>
      <c r="AO844" s="30">
        <f>IFERROR(__xludf.DUMMYFUNCTION("""COMPUTED_VALUE"""),0.917350914920328)</f>
        <v>0.9173509149</v>
      </c>
      <c r="AP844" s="30">
        <f>IFERROR(__xludf.DUMMYFUNCTION("""COMPUTED_VALUE"""),1.3306496083304953)</f>
        <v>1.330649608</v>
      </c>
      <c r="AQ844" s="30">
        <f>IFERROR(__xludf.DUMMYFUNCTION("""COMPUTED_VALUE"""),1.0029026565760748)</f>
        <v>1.002902657</v>
      </c>
      <c r="AR844" s="30">
        <f>IFERROR(__xludf.DUMMYFUNCTION("""COMPUTED_VALUE"""),1.3365720726570038)</f>
        <v>1.336572073</v>
      </c>
      <c r="AS844" s="30">
        <f>IFERROR(__xludf.DUMMYFUNCTION("""COMPUTED_VALUE"""),229.0)</f>
        <v>229</v>
      </c>
      <c r="AT844" s="30">
        <f>IFERROR(__xludf.DUMMYFUNCTION("""COMPUTED_VALUE"""),0.8851576769767955)</f>
        <v>0.885157677</v>
      </c>
      <c r="AU844" s="30">
        <f>IFERROR(__xludf.DUMMYFUNCTION("""COMPUTED_VALUE"""),2.7288515471133774)</f>
        <v>2.728851547</v>
      </c>
      <c r="AV844" s="32">
        <f>IFERROR(__xludf.DUMMYFUNCTION("""COMPUTED_VALUE"""),64.56156968905898)</f>
        <v>64.56156969</v>
      </c>
      <c r="AW844" s="32">
        <f>IFERROR(__xludf.DUMMYFUNCTION("""COMPUTED_VALUE"""),3.5698030365841005)</f>
        <v>3.569803037</v>
      </c>
      <c r="AX844" s="32">
        <f>IFERROR(__xludf.DUMMYFUNCTION("""COMPUTED_VALUE"""),57.89105901046247)</f>
        <v>57.89105901</v>
      </c>
      <c r="AY844" s="32">
        <f>IFERROR(__xludf.DUMMYFUNCTION("""COMPUTED_VALUE"""),2.6586058404727897)</f>
        <v>2.65860584</v>
      </c>
      <c r="AZ844" s="30">
        <f>IFERROR(__xludf.DUMMYFUNCTION("""COMPUTED_VALUE"""),0.9111971961113108)</f>
        <v>0.9111971961</v>
      </c>
      <c r="BA844" s="30">
        <f>IFERROR(__xludf.DUMMYFUNCTION("""COMPUTED_VALUE"""),4000.0)</f>
        <v>4000</v>
      </c>
    </row>
    <row r="845">
      <c r="A845" s="71" t="str">
        <f>IFERROR(__xludf.DUMMYFUNCTION("""COMPUTED_VALUE"""),"Amateur")</f>
        <v>Amateur</v>
      </c>
      <c r="B845" s="71" t="str">
        <f>IFERROR(__xludf.DUMMYFUNCTION("""COMPUTED_VALUE"""),"RSC007571")</f>
        <v>RSC007571</v>
      </c>
      <c r="C845" s="30" t="str">
        <f>IFERROR(__xludf.DUMMYFUNCTION("""COMPUTED_VALUE"""),"Skories")</f>
        <v>Skories</v>
      </c>
      <c r="D845" s="30" t="str">
        <f>IFERROR(__xludf.DUMMYFUNCTION("""COMPUTED_VALUE"""),"Garlic Knots")</f>
        <v>Garlic Knots</v>
      </c>
      <c r="E845" s="30">
        <f>IFERROR(__xludf.DUMMYFUNCTION("""COMPUTED_VALUE"""),47.0)</f>
        <v>47</v>
      </c>
      <c r="F845" s="30">
        <f>IFERROR(__xludf.DUMMYFUNCTION("""COMPUTED_VALUE"""),33.0)</f>
        <v>33</v>
      </c>
      <c r="G845" s="42">
        <f>IFERROR(__xludf.DUMMYFUNCTION("""COMPUTED_VALUE"""),14.0)</f>
        <v>14</v>
      </c>
      <c r="H845" s="42">
        <f>IFERROR(__xludf.DUMMYFUNCTION("""COMPUTED_VALUE"""),0.7021276595744681)</f>
        <v>0.7021276596</v>
      </c>
      <c r="I845" s="42">
        <f>IFERROR(__xludf.DUMMYFUNCTION("""COMPUTED_VALUE"""),0.3942307692307692)</f>
        <v>0.3942307692</v>
      </c>
      <c r="J845" s="30">
        <f>IFERROR(__xludf.DUMMYFUNCTION("""COMPUTED_VALUE"""),340.5744680851064)</f>
        <v>340.5744681</v>
      </c>
      <c r="K845" s="30">
        <f>IFERROR(__xludf.DUMMYFUNCTION("""COMPUTED_VALUE"""),0.8723404255319149)</f>
        <v>0.8723404255</v>
      </c>
      <c r="L845" s="30">
        <f>IFERROR(__xludf.DUMMYFUNCTION("""COMPUTED_VALUE"""),0.5319148936170213)</f>
        <v>0.5319148936</v>
      </c>
      <c r="M845" s="30">
        <f>IFERROR(__xludf.DUMMYFUNCTION("""COMPUTED_VALUE"""),1.0851063829787233)</f>
        <v>1.085106383</v>
      </c>
      <c r="N845" s="30">
        <f>IFERROR(__xludf.DUMMYFUNCTION("""COMPUTED_VALUE"""),2.2127659574468086)</f>
        <v>2.212765957</v>
      </c>
      <c r="O845" s="30">
        <f>IFERROR(__xludf.DUMMYFUNCTION("""COMPUTED_VALUE"""),260.8794326241135)</f>
        <v>260.8794326</v>
      </c>
      <c r="P845" s="30">
        <f>IFERROR(__xludf.DUMMYFUNCTION("""COMPUTED_VALUE"""),0.5354609929078011)</f>
        <v>0.5354609929</v>
      </c>
      <c r="Q845" s="30">
        <f>IFERROR(__xludf.DUMMYFUNCTION("""COMPUTED_VALUE"""),0.31382978723404265)</f>
        <v>0.3138297872</v>
      </c>
      <c r="R845" s="30">
        <f>IFERROR(__xludf.DUMMYFUNCTION("""COMPUTED_VALUE"""),0.7375886524822699)</f>
        <v>0.7375886525</v>
      </c>
      <c r="S845" s="30">
        <f>IFERROR(__xludf.DUMMYFUNCTION("""COMPUTED_VALUE"""),2.081560283687944)</f>
        <v>2.081560284</v>
      </c>
      <c r="T845" s="30">
        <f>IFERROR(__xludf.DUMMYFUNCTION("""COMPUTED_VALUE"""),293.4666470465732)</f>
        <v>293.466647</v>
      </c>
      <c r="U845" s="30">
        <f>IFERROR(__xludf.DUMMYFUNCTION("""COMPUTED_VALUE"""),0.7539157316102209)</f>
        <v>0.7539157316</v>
      </c>
      <c r="V845" s="30">
        <f>IFERROR(__xludf.DUMMYFUNCTION("""COMPUTED_VALUE"""),0.43255955651296973)</f>
        <v>0.4325595565</v>
      </c>
      <c r="W845" s="30">
        <f>IFERROR(__xludf.DUMMYFUNCTION("""COMPUTED_VALUE"""),0.861713197110993)</f>
        <v>0.8617131971</v>
      </c>
      <c r="X845" s="30">
        <f>IFERROR(__xludf.DUMMYFUNCTION("""COMPUTED_VALUE"""),2.1108927354295335)</f>
        <v>2.110892735</v>
      </c>
      <c r="Y845" s="30">
        <f>IFERROR(__xludf.DUMMYFUNCTION("""COMPUTED_VALUE"""),299.7652551797856)</f>
        <v>299.7652552</v>
      </c>
      <c r="Z845" s="30">
        <f>IFERROR(__xludf.DUMMYFUNCTION("""COMPUTED_VALUE"""),0.801709891067378)</f>
        <v>0.8017098911</v>
      </c>
      <c r="AA845" s="30">
        <f>IFERROR(__xludf.DUMMYFUNCTION("""COMPUTED_VALUE"""),0.4423090204504491)</f>
        <v>0.4423090205</v>
      </c>
      <c r="AB845" s="30">
        <f>IFERROR(__xludf.DUMMYFUNCTION("""COMPUTED_VALUE"""),0.9214274457765692)</f>
        <v>0.9214274458</v>
      </c>
      <c r="AC845" s="30">
        <f>IFERROR(__xludf.DUMMYFUNCTION("""COMPUTED_VALUE"""),2.072287435261942)</f>
        <v>2.072287435</v>
      </c>
      <c r="AD845" s="30">
        <f>IFERROR(__xludf.DUMMYFUNCTION("""COMPUTED_VALUE"""),1.1361372347200323)</f>
        <v>1.136137235</v>
      </c>
      <c r="AE845" s="30">
        <f>IFERROR(__xludf.DUMMYFUNCTION("""COMPUTED_VALUE"""),1.088099866611975)</f>
        <v>1.088099867</v>
      </c>
      <c r="AF845" s="30">
        <f>IFERROR(__xludf.DUMMYFUNCTION("""COMPUTED_VALUE"""),1.202586583188643)</f>
        <v>1.202586583</v>
      </c>
      <c r="AG845" s="30">
        <f>IFERROR(__xludf.DUMMYFUNCTION("""COMPUTED_VALUE"""),1.177636272885498)</f>
        <v>1.177636273</v>
      </c>
      <c r="AH845" s="30">
        <f>IFERROR(__xludf.DUMMYFUNCTION("""COMPUTED_VALUE"""),1.0677891106197388)</f>
        <v>1.067789111</v>
      </c>
      <c r="AI845" s="30">
        <f>IFERROR(__xludf.DUMMYFUNCTION("""COMPUTED_VALUE"""),0.8889576899098586)</f>
        <v>0.8889576899</v>
      </c>
      <c r="AJ845" s="30">
        <f>IFERROR(__xludf.DUMMYFUNCTION("""COMPUTED_VALUE"""),0.7102398457240813)</f>
        <v>0.7102398457</v>
      </c>
      <c r="AK845" s="30">
        <f>IFERROR(__xludf.DUMMYFUNCTION("""COMPUTED_VALUE"""),0.7255180992045263)</f>
        <v>0.7255180992</v>
      </c>
      <c r="AL845" s="30">
        <f>IFERROR(__xludf.DUMMYFUNCTION("""COMPUTED_VALUE"""),0.8559560825517504)</f>
        <v>0.8559560826</v>
      </c>
      <c r="AM845" s="30">
        <f>IFERROR(__xludf.DUMMYFUNCTION("""COMPUTED_VALUE"""),0.9861042433614605)</f>
        <v>0.9861042434</v>
      </c>
      <c r="AN845" s="30">
        <f>IFERROR(__xludf.DUMMYFUNCTION("""COMPUTED_VALUE"""),1.2270268777584492)</f>
        <v>1.227026878</v>
      </c>
      <c r="AO845" s="30">
        <f>IFERROR(__xludf.DUMMYFUNCTION("""COMPUTED_VALUE"""),1.2003634312255358)</f>
        <v>1.200363431</v>
      </c>
      <c r="AP845" s="30">
        <f>IFERROR(__xludf.DUMMYFUNCTION("""COMPUTED_VALUE"""),1.2740262207419635)</f>
        <v>1.274026221</v>
      </c>
      <c r="AQ845" s="30">
        <f>IFERROR(__xludf.DUMMYFUNCTION("""COMPUTED_VALUE"""),1.3509385748156075)</f>
        <v>1.350938575</v>
      </c>
      <c r="AR845" s="30">
        <f>IFERROR(__xludf.DUMMYFUNCTION("""COMPUTED_VALUE"""),1.1448469091804672)</f>
        <v>1.144846909</v>
      </c>
      <c r="AS845" s="30">
        <f>IFERROR(__xludf.DUMMYFUNCTION("""COMPUTED_VALUE"""),317.0)</f>
        <v>317</v>
      </c>
      <c r="AT845" s="30">
        <f>IFERROR(__xludf.DUMMYFUNCTION("""COMPUTED_VALUE"""),0.933285340403763)</f>
        <v>0.9332853404</v>
      </c>
      <c r="AU845" s="30">
        <f>IFERROR(__xludf.DUMMYFUNCTION("""COMPUTED_VALUE"""),2.9940584082096464)</f>
        <v>2.994058408</v>
      </c>
      <c r="AV845" s="32">
        <f>IFERROR(__xludf.DUMMYFUNCTION("""COMPUTED_VALUE"""),69.77762513336228)</f>
        <v>69.77762513</v>
      </c>
      <c r="AW845" s="32">
        <f>IFERROR(__xludf.DUMMYFUNCTION("""COMPUTED_VALUE"""),4.663279524570094)</f>
        <v>4.663279525</v>
      </c>
      <c r="AX845" s="32">
        <f>IFERROR(__xludf.DUMMYFUNCTION("""COMPUTED_VALUE"""),65.76412708273743)</f>
        <v>65.76412708</v>
      </c>
      <c r="AY845" s="32">
        <f>IFERROR(__xludf.DUMMYFUNCTION("""COMPUTED_VALUE"""),3.7855491316746273)</f>
        <v>3.785549132</v>
      </c>
      <c r="AZ845" s="30">
        <f>IFERROR(__xludf.DUMMYFUNCTION("""COMPUTED_VALUE"""),0.877730392895467)</f>
        <v>0.8777303929</v>
      </c>
      <c r="BA845" s="30">
        <f>IFERROR(__xludf.DUMMYFUNCTION("""COMPUTED_VALUE"""),4000.0)</f>
        <v>4000</v>
      </c>
    </row>
    <row r="846">
      <c r="A846" s="71" t="str">
        <f>IFERROR(__xludf.DUMMYFUNCTION("""COMPUTED_VALUE"""),"Amateur")</f>
        <v>Amateur</v>
      </c>
      <c r="B846" s="71" t="str">
        <f>IFERROR(__xludf.DUMMYFUNCTION("""COMPUTED_VALUE"""),"RSC007179")</f>
        <v>RSC007179</v>
      </c>
      <c r="C846" s="30" t="str">
        <f>IFERROR(__xludf.DUMMYFUNCTION("""COMPUTED_VALUE"""),"B0A._.")</f>
        <v>B0A._.</v>
      </c>
      <c r="D846" s="30" t="str">
        <f>IFERROR(__xludf.DUMMYFUNCTION("""COMPUTED_VALUE"""),"Aeon Ale")</f>
        <v>Aeon Ale</v>
      </c>
      <c r="E846" s="30">
        <f>IFERROR(__xludf.DUMMYFUNCTION("""COMPUTED_VALUE"""),12.0)</f>
        <v>12</v>
      </c>
      <c r="F846" s="30">
        <f>IFERROR(__xludf.DUMMYFUNCTION("""COMPUTED_VALUE"""),8.0)</f>
        <v>8</v>
      </c>
      <c r="G846" s="42">
        <f>IFERROR(__xludf.DUMMYFUNCTION("""COMPUTED_VALUE"""),4.0)</f>
        <v>4</v>
      </c>
      <c r="H846" s="42">
        <f>IFERROR(__xludf.DUMMYFUNCTION("""COMPUTED_VALUE"""),0.6666666666666666)</f>
        <v>0.6666666667</v>
      </c>
      <c r="I846" s="42">
        <f>IFERROR(__xludf.DUMMYFUNCTION("""COMPUTED_VALUE"""),0.46875)</f>
        <v>0.46875</v>
      </c>
      <c r="J846" s="30">
        <f>IFERROR(__xludf.DUMMYFUNCTION("""COMPUTED_VALUE"""),399.1666666666667)</f>
        <v>399.1666667</v>
      </c>
      <c r="K846" s="30">
        <f>IFERROR(__xludf.DUMMYFUNCTION("""COMPUTED_VALUE"""),1.25)</f>
        <v>1.25</v>
      </c>
      <c r="L846" s="30">
        <f>IFERROR(__xludf.DUMMYFUNCTION("""COMPUTED_VALUE"""),1.0833333333333333)</f>
        <v>1.083333333</v>
      </c>
      <c r="M846" s="30">
        <f>IFERROR(__xludf.DUMMYFUNCTION("""COMPUTED_VALUE"""),0.8333333333333334)</f>
        <v>0.8333333333</v>
      </c>
      <c r="N846" s="30">
        <f>IFERROR(__xludf.DUMMYFUNCTION("""COMPUTED_VALUE"""),2.6666666666666665)</f>
        <v>2.666666667</v>
      </c>
      <c r="O846" s="30">
        <f>IFERROR(__xludf.DUMMYFUNCTION("""COMPUTED_VALUE"""),297.5)</f>
        <v>297.5</v>
      </c>
      <c r="P846" s="30">
        <f>IFERROR(__xludf.DUMMYFUNCTION("""COMPUTED_VALUE"""),0.7222222222222222)</f>
        <v>0.7222222222</v>
      </c>
      <c r="Q846" s="30">
        <f>IFERROR(__xludf.DUMMYFUNCTION("""COMPUTED_VALUE"""),0.4166666666666667)</f>
        <v>0.4166666667</v>
      </c>
      <c r="R846" s="30">
        <f>IFERROR(__xludf.DUMMYFUNCTION("""COMPUTED_VALUE"""),1.0555555555555554)</f>
        <v>1.055555556</v>
      </c>
      <c r="S846" s="30">
        <f>IFERROR(__xludf.DUMMYFUNCTION("""COMPUTED_VALUE"""),1.8888888888888893)</f>
        <v>1.888888889</v>
      </c>
      <c r="T846" s="30">
        <f>IFERROR(__xludf.DUMMYFUNCTION("""COMPUTED_VALUE"""),275.9467919098633)</f>
        <v>275.9467919</v>
      </c>
      <c r="U846" s="30">
        <f>IFERROR(__xludf.DUMMYFUNCTION("""COMPUTED_VALUE"""),0.6698919409023657)</f>
        <v>0.6698919409</v>
      </c>
      <c r="V846" s="30">
        <f>IFERROR(__xludf.DUMMYFUNCTION("""COMPUTED_VALUE"""),0.39269646418804394)</f>
        <v>0.3926964642</v>
      </c>
      <c r="W846" s="30">
        <f>IFERROR(__xludf.DUMMYFUNCTION("""COMPUTED_VALUE"""),0.8820794163215977)</f>
        <v>0.8820794163</v>
      </c>
      <c r="X846" s="30">
        <f>IFERROR(__xludf.DUMMYFUNCTION("""COMPUTED_VALUE"""),1.8548274425980926)</f>
        <v>1.854827443</v>
      </c>
      <c r="Y846" s="30">
        <f>IFERROR(__xludf.DUMMYFUNCTION("""COMPUTED_VALUE"""),316.9854641738462)</f>
        <v>316.9854642</v>
      </c>
      <c r="Z846" s="30">
        <f>IFERROR(__xludf.DUMMYFUNCTION("""COMPUTED_VALUE"""),0.9512453752797243)</f>
        <v>0.9512453753</v>
      </c>
      <c r="AA846" s="30">
        <f>IFERROR(__xludf.DUMMYFUNCTION("""COMPUTED_VALUE"""),0.5304993822101547)</f>
        <v>0.5304993822</v>
      </c>
      <c r="AB846" s="30">
        <f>IFERROR(__xludf.DUMMYFUNCTION("""COMPUTED_VALUE"""),0.833712937913018)</f>
        <v>0.8337129379</v>
      </c>
      <c r="AC846" s="30">
        <f>IFERROR(__xludf.DUMMYFUNCTION("""COMPUTED_VALUE"""),2.2665421581052425)</f>
        <v>2.266542158</v>
      </c>
      <c r="AD846" s="30">
        <f>IFERROR(__xludf.DUMMYFUNCTION("""COMPUTED_VALUE"""),1.259258583692498)</f>
        <v>1.259258584</v>
      </c>
      <c r="AE846" s="30">
        <f>IFERROR(__xludf.DUMMYFUNCTION("""COMPUTED_VALUE"""),1.3140668354181733)</f>
        <v>1.314066835</v>
      </c>
      <c r="AF846" s="30">
        <f>IFERROR(__xludf.DUMMYFUNCTION("""COMPUTED_VALUE"""),2.0421010271868254)</f>
        <v>2.042101027</v>
      </c>
      <c r="AG846" s="30">
        <f>IFERROR(__xludf.DUMMYFUNCTION("""COMPUTED_VALUE"""),0.9995446819133754)</f>
        <v>0.9995446819</v>
      </c>
      <c r="AH846" s="30">
        <f>IFERROR(__xludf.DUMMYFUNCTION("""COMPUTED_VALUE"""),1.1765352156061)</f>
        <v>1.176535216</v>
      </c>
      <c r="AI846" s="30">
        <f>IFERROR(__xludf.DUMMYFUNCTION("""COMPUTED_VALUE"""),1.0781063912392828)</f>
        <v>1.078106391</v>
      </c>
      <c r="AJ846" s="30">
        <f>IFERROR(__xludf.DUMMYFUNCTION("""COMPUTED_VALUE"""),1.0781174964567657)</f>
        <v>1.078117496</v>
      </c>
      <c r="AK846" s="30">
        <f>IFERROR(__xludf.DUMMYFUNCTION("""COMPUTED_VALUE"""),1.061040026240584)</f>
        <v>1.061040026</v>
      </c>
      <c r="AL846" s="30">
        <f>IFERROR(__xludf.DUMMYFUNCTION("""COMPUTED_VALUE"""),1.1966672569657946)</f>
        <v>1.196667257</v>
      </c>
      <c r="AM846" s="30">
        <f>IFERROR(__xludf.DUMMYFUNCTION("""COMPUTED_VALUE"""),1.0183636738968485)</f>
        <v>1.018363674</v>
      </c>
      <c r="AN846" s="30">
        <f>IFERROR(__xludf.DUMMYFUNCTION("""COMPUTED_VALUE"""),1.4381237426842406)</f>
        <v>1.438123743</v>
      </c>
      <c r="AO846" s="30">
        <f>IFERROR(__xludf.DUMMYFUNCTION("""COMPUTED_VALUE"""),1.7200329654756152)</f>
        <v>1.720032965</v>
      </c>
      <c r="AP846" s="30">
        <f>IFERROR(__xludf.DUMMYFUNCTION("""COMPUTED_VALUE"""),2.5947667362444657)</f>
        <v>2.594766736</v>
      </c>
      <c r="AQ846" s="30">
        <f>IFERROR(__xludf.DUMMYFUNCTION("""COMPUTED_VALUE"""),1.0374855068028361)</f>
        <v>1.037485507</v>
      </c>
      <c r="AR846" s="30">
        <f>IFERROR(__xludf.DUMMYFUNCTION("""COMPUTED_VALUE"""),1.3796873008072295)</f>
        <v>1.379687301</v>
      </c>
      <c r="AS846" s="30">
        <f>IFERROR(__xludf.DUMMYFUNCTION("""COMPUTED_VALUE"""),88.0)</f>
        <v>88</v>
      </c>
      <c r="AT846" s="30">
        <f>IFERROR(__xludf.DUMMYFUNCTION("""COMPUTED_VALUE"""),0.9110450321764667)</f>
        <v>0.9110450322</v>
      </c>
      <c r="AU846" s="30">
        <f>IFERROR(__xludf.DUMMYFUNCTION("""COMPUTED_VALUE"""),4.095845184190975)</f>
        <v>4.095845184</v>
      </c>
      <c r="AV846" s="32">
        <f>IFERROR(__xludf.DUMMYFUNCTION("""COMPUTED_VALUE"""),91.44742993238914)</f>
        <v>91.44742993</v>
      </c>
      <c r="AW846" s="32">
        <f>IFERROR(__xludf.DUMMYFUNCTION("""COMPUTED_VALUE"""),20.54691406524016)</f>
        <v>20.54691407</v>
      </c>
      <c r="AX846" s="32">
        <f>IFERROR(__xludf.DUMMYFUNCTION("""COMPUTED_VALUE"""),91.92681893663583)</f>
        <v>91.92681894</v>
      </c>
      <c r="AY846" s="32">
        <f>IFERROR(__xludf.DUMMYFUNCTION("""COMPUTED_VALUE"""),21.383912220869384)</f>
        <v>21.38391222</v>
      </c>
      <c r="AZ846" s="30">
        <f>IFERROR(__xludf.DUMMYFUNCTION("""COMPUTED_VALUE"""),0.8369981556292245)</f>
        <v>0.8369981556</v>
      </c>
      <c r="BA846" s="30">
        <f>IFERROR(__xludf.DUMMYFUNCTION("""COMPUTED_VALUE"""),4000.0)</f>
        <v>4000</v>
      </c>
    </row>
    <row r="847">
      <c r="A847" s="71" t="str">
        <f>IFERROR(__xludf.DUMMYFUNCTION("""COMPUTED_VALUE"""),"Amateur")</f>
        <v>Amateur</v>
      </c>
      <c r="B847" s="71" t="str">
        <f>IFERROR(__xludf.DUMMYFUNCTION("""COMPUTED_VALUE"""),"RSC007808")</f>
        <v>RSC007808</v>
      </c>
      <c r="C847" s="30" t="str">
        <f>IFERROR(__xludf.DUMMYFUNCTION("""COMPUTED_VALUE"""),"Navybrat44")</f>
        <v>Navybrat44</v>
      </c>
      <c r="D847" s="30" t="str">
        <f>IFERROR(__xludf.DUMMYFUNCTION("""COMPUTED_VALUE"""),"Amaranth")</f>
        <v>Amaranth</v>
      </c>
      <c r="E847" s="30">
        <f>IFERROR(__xludf.DUMMYFUNCTION("""COMPUTED_VALUE"""),30.0)</f>
        <v>30</v>
      </c>
      <c r="F847" s="30">
        <f>IFERROR(__xludf.DUMMYFUNCTION("""COMPUTED_VALUE"""),16.0)</f>
        <v>16</v>
      </c>
      <c r="G847" s="42">
        <f>IFERROR(__xludf.DUMMYFUNCTION("""COMPUTED_VALUE"""),14.0)</f>
        <v>14</v>
      </c>
      <c r="H847" s="42">
        <f>IFERROR(__xludf.DUMMYFUNCTION("""COMPUTED_VALUE"""),0.5333333333333333)</f>
        <v>0.5333333333</v>
      </c>
      <c r="I847" s="42">
        <f>IFERROR(__xludf.DUMMYFUNCTION("""COMPUTED_VALUE"""),0.3478260869565218)</f>
        <v>0.347826087</v>
      </c>
      <c r="J847" s="30">
        <f>IFERROR(__xludf.DUMMYFUNCTION("""COMPUTED_VALUE"""),331.1)</f>
        <v>331.1</v>
      </c>
      <c r="K847" s="30">
        <f>IFERROR(__xludf.DUMMYFUNCTION("""COMPUTED_VALUE"""),0.8)</f>
        <v>0.8</v>
      </c>
      <c r="L847" s="30">
        <f>IFERROR(__xludf.DUMMYFUNCTION("""COMPUTED_VALUE"""),0.4)</f>
        <v>0.4</v>
      </c>
      <c r="M847" s="30">
        <f>IFERROR(__xludf.DUMMYFUNCTION("""COMPUTED_VALUE"""),1.2)</f>
        <v>1.2</v>
      </c>
      <c r="N847" s="30">
        <f>IFERROR(__xludf.DUMMYFUNCTION("""COMPUTED_VALUE"""),2.3)</f>
        <v>2.3</v>
      </c>
      <c r="O847" s="30">
        <f>IFERROR(__xludf.DUMMYFUNCTION("""COMPUTED_VALUE"""),292.80747126436785)</f>
        <v>292.8074713</v>
      </c>
      <c r="P847" s="30">
        <f>IFERROR(__xludf.DUMMYFUNCTION("""COMPUTED_VALUE"""),0.6580459770114946)</f>
        <v>0.658045977</v>
      </c>
      <c r="Q847" s="30">
        <f>IFERROR(__xludf.DUMMYFUNCTION("""COMPUTED_VALUE"""),0.41091954022988497)</f>
        <v>0.4109195402</v>
      </c>
      <c r="R847" s="30">
        <f>IFERROR(__xludf.DUMMYFUNCTION("""COMPUTED_VALUE"""),1.0402298850574716)</f>
        <v>1.040229885</v>
      </c>
      <c r="S847" s="30">
        <f>IFERROR(__xludf.DUMMYFUNCTION("""COMPUTED_VALUE"""),2.0201149425287364)</f>
        <v>2.020114943</v>
      </c>
      <c r="T847" s="30">
        <f>IFERROR(__xludf.DUMMYFUNCTION("""COMPUTED_VALUE"""),297.0010018023638)</f>
        <v>297.0010018</v>
      </c>
      <c r="U847" s="30">
        <f>IFERROR(__xludf.DUMMYFUNCTION("""COMPUTED_VALUE"""),0.7792946080445341)</f>
        <v>0.779294608</v>
      </c>
      <c r="V847" s="30">
        <f>IFERROR(__xludf.DUMMYFUNCTION("""COMPUTED_VALUE"""),0.42972089685397546)</f>
        <v>0.4297208969</v>
      </c>
      <c r="W847" s="30">
        <f>IFERROR(__xludf.DUMMYFUNCTION("""COMPUTED_VALUE"""),0.9164775429768809)</f>
        <v>0.916477543</v>
      </c>
      <c r="X847" s="30">
        <f>IFERROR(__xludf.DUMMYFUNCTION("""COMPUTED_VALUE"""),2.1004707945346155)</f>
        <v>2.100470795</v>
      </c>
      <c r="Y847" s="30">
        <f>IFERROR(__xludf.DUMMYFUNCTION("""COMPUTED_VALUE"""),287.26548251806526)</f>
        <v>287.2654825</v>
      </c>
      <c r="Z847" s="30">
        <f>IFERROR(__xludf.DUMMYFUNCTION("""COMPUTED_VALUE"""),0.7185763041706579)</f>
        <v>0.7185763042</v>
      </c>
      <c r="AA847" s="30">
        <f>IFERROR(__xludf.DUMMYFUNCTION("""COMPUTED_VALUE"""),0.3936452167028453)</f>
        <v>0.3936452167</v>
      </c>
      <c r="AB847" s="30">
        <f>IFERROR(__xludf.DUMMYFUNCTION("""COMPUTED_VALUE"""),0.8788510953526769)</f>
        <v>0.8788510954</v>
      </c>
      <c r="AC847" s="30">
        <f>IFERROR(__xludf.DUMMYFUNCTION("""COMPUTED_VALUE"""),2.0366080749438713)</f>
        <v>2.036608075</v>
      </c>
      <c r="AD847" s="30">
        <f>IFERROR(__xludf.DUMMYFUNCTION("""COMPUTED_VALUE"""),1.1525923584612299)</f>
        <v>1.152592358</v>
      </c>
      <c r="AE847" s="30">
        <f>IFERROR(__xludf.DUMMYFUNCTION("""COMPUTED_VALUE"""),1.1133125255547036)</f>
        <v>1.113312526</v>
      </c>
      <c r="AF847" s="30">
        <f>IFERROR(__xludf.DUMMYFUNCTION("""COMPUTED_VALUE"""),1.0161434282128006)</f>
        <v>1.016143428</v>
      </c>
      <c r="AG847" s="30">
        <f>IFERROR(__xludf.DUMMYFUNCTION("""COMPUTED_VALUE"""),1.3654190184725754)</f>
        <v>1.365419018</v>
      </c>
      <c r="AH847" s="30">
        <f>IFERROR(__xludf.DUMMYFUNCTION("""COMPUTED_VALUE"""),1.1293287247048687)</f>
        <v>1.129328725</v>
      </c>
      <c r="AI847" s="30">
        <f>IFERROR(__xludf.DUMMYFUNCTION("""COMPUTED_VALUE"""),0.985880416185308)</f>
        <v>0.9858804162</v>
      </c>
      <c r="AJ847" s="30">
        <f>IFERROR(__xludf.DUMMYFUNCTION("""COMPUTED_VALUE"""),0.8444123316376)</f>
        <v>0.8444123316</v>
      </c>
      <c r="AK847" s="30">
        <f>IFERROR(__xludf.DUMMYFUNCTION("""COMPUTED_VALUE"""),0.9562475160930342)</f>
        <v>0.9562475161</v>
      </c>
      <c r="AL847" s="30">
        <f>IFERROR(__xludf.DUMMYFUNCTION("""COMPUTED_VALUE"""),1.1350304140335192)</f>
        <v>1.135030414</v>
      </c>
      <c r="AM847" s="30">
        <f>IFERROR(__xludf.DUMMYFUNCTION("""COMPUTED_VALUE"""),0.9617438851256759)</f>
        <v>0.9617438851</v>
      </c>
      <c r="AN847" s="30">
        <f>IFERROR(__xludf.DUMMYFUNCTION("""COMPUTED_VALUE"""),1.1928921199233873)</f>
        <v>1.19289212</v>
      </c>
      <c r="AO847" s="30">
        <f>IFERROR(__xludf.DUMMYFUNCTION("""COMPUTED_VALUE"""),1.1008210979043938)</f>
        <v>1.100821098</v>
      </c>
      <c r="AP847" s="30">
        <f>IFERROR(__xludf.DUMMYFUNCTION("""COMPUTED_VALUE"""),0.9580677179979566)</f>
        <v>0.958067718</v>
      </c>
      <c r="AQ847" s="30">
        <f>IFERROR(__xludf.DUMMYFUNCTION("""COMPUTED_VALUE"""),1.4939791297960838)</f>
        <v>1.49397913</v>
      </c>
      <c r="AR847" s="30">
        <f>IFERROR(__xludf.DUMMYFUNCTION("""COMPUTED_VALUE"""),1.1899802969462354)</f>
        <v>1.189980297</v>
      </c>
      <c r="AS847" s="30">
        <f>IFERROR(__xludf.DUMMYFUNCTION("""COMPUTED_VALUE"""),194.0)</f>
        <v>194</v>
      </c>
      <c r="AT847" s="30">
        <f>IFERROR(__xludf.DUMMYFUNCTION("""COMPUTED_VALUE"""),0.8992138505873056)</f>
        <v>0.8992138506</v>
      </c>
      <c r="AU847" s="30">
        <f>IFERROR(__xludf.DUMMYFUNCTION("""COMPUTED_VALUE"""),2.6512828162607383)</f>
        <v>2.651282816</v>
      </c>
      <c r="AV847" s="32">
        <f>IFERROR(__xludf.DUMMYFUNCTION("""COMPUTED_VALUE"""),63.035957571789)</f>
        <v>63.03595757</v>
      </c>
      <c r="AW847" s="32">
        <f>IFERROR(__xludf.DUMMYFUNCTION("""COMPUTED_VALUE"""),3.321919910432492)</f>
        <v>3.32191991</v>
      </c>
      <c r="AX847" s="32">
        <f>IFERROR(__xludf.DUMMYFUNCTION("""COMPUTED_VALUE"""),58.520632298474446)</f>
        <v>58.5206323</v>
      </c>
      <c r="AY847" s="32">
        <f>IFERROR(__xludf.DUMMYFUNCTION("""COMPUTED_VALUE"""),2.727638073246111)</f>
        <v>2.727638073</v>
      </c>
      <c r="AZ847" s="30">
        <f>IFERROR(__xludf.DUMMYFUNCTION("""COMPUTED_VALUE"""),0.5942818371863807)</f>
        <v>0.5942818372</v>
      </c>
      <c r="BA847" s="30">
        <f>IFERROR(__xludf.DUMMYFUNCTION("""COMPUTED_VALUE"""),4000.0)</f>
        <v>4000</v>
      </c>
    </row>
    <row r="848">
      <c r="A848" s="71" t="str">
        <f>IFERROR(__xludf.DUMMYFUNCTION("""COMPUTED_VALUE"""),"Amateur")</f>
        <v>Amateur</v>
      </c>
      <c r="B848" s="71" t="str">
        <f>IFERROR(__xludf.DUMMYFUNCTION("""COMPUTED_VALUE"""),"RSC007678")</f>
        <v>RSC007678</v>
      </c>
      <c r="C848" s="30" t="str">
        <f>IFERROR(__xludf.DUMMYFUNCTION("""COMPUTED_VALUE"""),"SavedHawk")</f>
        <v>SavedHawk</v>
      </c>
      <c r="D848" s="30" t="str">
        <f>IFERROR(__xludf.DUMMYFUNCTION("""COMPUTED_VALUE"""),"Kiwis")</f>
        <v>Kiwis</v>
      </c>
      <c r="E848" s="30">
        <f>IFERROR(__xludf.DUMMYFUNCTION("""COMPUTED_VALUE"""),35.0)</f>
        <v>35</v>
      </c>
      <c r="F848" s="30">
        <f>IFERROR(__xludf.DUMMYFUNCTION("""COMPUTED_VALUE"""),6.0)</f>
        <v>6</v>
      </c>
      <c r="G848" s="42">
        <f>IFERROR(__xludf.DUMMYFUNCTION("""COMPUTED_VALUE"""),29.0)</f>
        <v>29</v>
      </c>
      <c r="H848" s="42">
        <f>IFERROR(__xludf.DUMMYFUNCTION("""COMPUTED_VALUE"""),0.17142857142857143)</f>
        <v>0.1714285714</v>
      </c>
      <c r="I848" s="42">
        <f>IFERROR(__xludf.DUMMYFUNCTION("""COMPUTED_VALUE"""),0.16666666666666669)</f>
        <v>0.1666666667</v>
      </c>
      <c r="J848" s="30">
        <f>IFERROR(__xludf.DUMMYFUNCTION("""COMPUTED_VALUE"""),186.74285714285713)</f>
        <v>186.7428571</v>
      </c>
      <c r="K848" s="30">
        <f>IFERROR(__xludf.DUMMYFUNCTION("""COMPUTED_VALUE"""),0.17142857142857143)</f>
        <v>0.1714285714</v>
      </c>
      <c r="L848" s="30">
        <f>IFERROR(__xludf.DUMMYFUNCTION("""COMPUTED_VALUE"""),0.34285714285714286)</f>
        <v>0.3428571429</v>
      </c>
      <c r="M848" s="30">
        <f>IFERROR(__xludf.DUMMYFUNCTION("""COMPUTED_VALUE"""),0.8857142857142857)</f>
        <v>0.8857142857</v>
      </c>
      <c r="N848" s="30">
        <f>IFERROR(__xludf.DUMMYFUNCTION("""COMPUTED_VALUE"""),1.0285714285714285)</f>
        <v>1.028571429</v>
      </c>
      <c r="O848" s="30">
        <f>IFERROR(__xludf.DUMMYFUNCTION("""COMPUTED_VALUE"""),362.2523809523809)</f>
        <v>362.252381</v>
      </c>
      <c r="P848" s="30">
        <f>IFERROR(__xludf.DUMMYFUNCTION("""COMPUTED_VALUE"""),1.285714285714286)</f>
        <v>1.285714286</v>
      </c>
      <c r="Q848" s="30">
        <f>IFERROR(__xludf.DUMMYFUNCTION("""COMPUTED_VALUE"""),0.7380952380952384)</f>
        <v>0.7380952381</v>
      </c>
      <c r="R848" s="30">
        <f>IFERROR(__xludf.DUMMYFUNCTION("""COMPUTED_VALUE"""),0.7499999999999998)</f>
        <v>0.75</v>
      </c>
      <c r="S848" s="30">
        <f>IFERROR(__xludf.DUMMYFUNCTION("""COMPUTED_VALUE"""),2.9000000000000012)</f>
        <v>2.9</v>
      </c>
      <c r="T848" s="30">
        <f>IFERROR(__xludf.DUMMYFUNCTION("""COMPUTED_VALUE"""),310.3612797539738)</f>
        <v>310.3612798</v>
      </c>
      <c r="U848" s="30">
        <f>IFERROR(__xludf.DUMMYFUNCTION("""COMPUTED_VALUE"""),0.8744710130762878)</f>
        <v>0.8744710131</v>
      </c>
      <c r="V848" s="30">
        <f>IFERROR(__xludf.DUMMYFUNCTION("""COMPUTED_VALUE"""),0.47010545646222723)</f>
        <v>0.4701054565</v>
      </c>
      <c r="W848" s="30">
        <f>IFERROR(__xludf.DUMMYFUNCTION("""COMPUTED_VALUE"""),0.8956731101852599)</f>
        <v>0.8956731102</v>
      </c>
      <c r="X848" s="30">
        <f>IFERROR(__xludf.DUMMYFUNCTION("""COMPUTED_VALUE"""),2.1890904471880055)</f>
        <v>2.189090447</v>
      </c>
      <c r="Y848" s="30">
        <f>IFERROR(__xludf.DUMMYFUNCTION("""COMPUTED_VALUE"""),284.79853928295154)</f>
        <v>284.7985393</v>
      </c>
      <c r="Z848" s="30">
        <f>IFERROR(__xludf.DUMMYFUNCTION("""COMPUTED_VALUE"""),0.6892471184791115)</f>
        <v>0.6892471185</v>
      </c>
      <c r="AA848" s="30">
        <f>IFERROR(__xludf.DUMMYFUNCTION("""COMPUTED_VALUE"""),0.3896208637047003)</f>
        <v>0.3896208637</v>
      </c>
      <c r="AB848" s="30">
        <f>IFERROR(__xludf.DUMMYFUNCTION("""COMPUTED_VALUE"""),0.8945165466462397)</f>
        <v>0.8945165466</v>
      </c>
      <c r="AC848" s="30">
        <f>IFERROR(__xludf.DUMMYFUNCTION("""COMPUTED_VALUE"""),1.986283980121684)</f>
        <v>1.98628398</v>
      </c>
      <c r="AD848" s="30">
        <f>IFERROR(__xludf.DUMMYFUNCTION("""COMPUTED_VALUE"""),0.6557015973924127)</f>
        <v>0.6557015974</v>
      </c>
      <c r="AE848" s="30">
        <f>IFERROR(__xludf.DUMMYFUNCTION("""COMPUTED_VALUE"""),0.24871858994034635)</f>
        <v>0.2487185899</v>
      </c>
      <c r="AF848" s="30">
        <f>IFERROR(__xludf.DUMMYFUNCTION("""COMPUTED_VALUE"""),0.8799763431482962)</f>
        <v>0.8799763431</v>
      </c>
      <c r="AG848" s="30">
        <f>IFERROR(__xludf.DUMMYFUNCTION("""COMPUTED_VALUE"""),0.9901597561666625)</f>
        <v>0.9901597562</v>
      </c>
      <c r="AH848" s="30">
        <f>IFERROR(__xludf.DUMMYFUNCTION("""COMPUTED_VALUE"""),0.5178370458933148)</f>
        <v>0.5178370459</v>
      </c>
      <c r="AI848" s="30">
        <f>IFERROR(__xludf.DUMMYFUNCTION("""COMPUTED_VALUE"""),1.167195795943172)</f>
        <v>1.167195796</v>
      </c>
      <c r="AJ848" s="30">
        <f>IFERROR(__xludf.DUMMYFUNCTION("""COMPUTED_VALUE"""),1.4702766203665139)</f>
        <v>1.47027662</v>
      </c>
      <c r="AK848" s="30">
        <f>IFERROR(__xludf.DUMMYFUNCTION("""COMPUTED_VALUE"""),1.570063116581894)</f>
        <v>1.570063117</v>
      </c>
      <c r="AL848" s="30">
        <f>IFERROR(__xludf.DUMMYFUNCTION("""COMPUTED_VALUE"""),0.8373590671320598)</f>
        <v>0.8373590671</v>
      </c>
      <c r="AM848" s="30">
        <f>IFERROR(__xludf.DUMMYFUNCTION("""COMPUTED_VALUE"""),1.3247511100901264)</f>
        <v>1.32475111</v>
      </c>
      <c r="AN848" s="30">
        <f>IFERROR(__xludf.DUMMYFUNCTION("""COMPUTED_VALUE"""),0.6728000082684781)</f>
        <v>0.6728000083</v>
      </c>
      <c r="AO848" s="30">
        <f>IFERROR(__xludf.DUMMYFUNCTION("""COMPUTED_VALUE"""),0.23589023526522723)</f>
        <v>0.2358902353</v>
      </c>
      <c r="AP848" s="30">
        <f>IFERROR(__xludf.DUMMYFUNCTION("""COMPUTED_VALUE"""),0.8212009011411057)</f>
        <v>0.8212009011</v>
      </c>
      <c r="AQ848" s="30">
        <f>IFERROR(__xludf.DUMMYFUNCTION("""COMPUTED_VALUE"""),1.1026988815161571)</f>
        <v>1.102698882</v>
      </c>
      <c r="AR848" s="30">
        <f>IFERROR(__xludf.DUMMYFUNCTION("""COMPUTED_VALUE"""),0.5321651017399314)</f>
        <v>0.5321651017</v>
      </c>
      <c r="AS848" s="30">
        <f>IFERROR(__xludf.DUMMYFUNCTION("""COMPUTED_VALUE"""),138.0)</f>
        <v>138</v>
      </c>
      <c r="AT848" s="30">
        <f>IFERROR(__xludf.DUMMYFUNCTION("""COMPUTED_VALUE"""),0.5099065037347376)</f>
        <v>0.5099065037</v>
      </c>
      <c r="AU848" s="30">
        <f>IFERROR(__xludf.DUMMYFUNCTION("""COMPUTED_VALUE"""),-0.0408336553117547)</f>
        <v>-0.04083365531</v>
      </c>
      <c r="AV848" s="32">
        <f>IFERROR(__xludf.DUMMYFUNCTION("""COMPUTED_VALUE"""),10.087746804545688)</f>
        <v>10.0877468</v>
      </c>
      <c r="AW848" s="32">
        <f>IFERROR(__xludf.DUMMYFUNCTION("""COMPUTED_VALUE"""),-18.119321655669857)</f>
        <v>-18.11932166</v>
      </c>
      <c r="AX848" s="32">
        <f>IFERROR(__xludf.DUMMYFUNCTION("""COMPUTED_VALUE"""),9.750844777879983)</f>
        <v>9.750844778</v>
      </c>
      <c r="AY848" s="32">
        <f>IFERROR(__xludf.DUMMYFUNCTION("""COMPUTED_VALUE"""),-18.621066556314616)</f>
        <v>-18.62106656</v>
      </c>
      <c r="AZ848" s="30">
        <f>IFERROR(__xludf.DUMMYFUNCTION("""COMPUTED_VALUE"""),0.5017449006447592)</f>
        <v>0.5017449006</v>
      </c>
      <c r="BA848" s="30">
        <f>IFERROR(__xludf.DUMMYFUNCTION("""COMPUTED_VALUE"""),4000.0)</f>
        <v>4000</v>
      </c>
    </row>
    <row r="849">
      <c r="A849" s="71" t="str">
        <f>IFERROR(__xludf.DUMMYFUNCTION("""COMPUTED_VALUE"""),"Amateur")</f>
        <v>Amateur</v>
      </c>
      <c r="B849" s="71" t="str">
        <f>IFERROR(__xludf.DUMMYFUNCTION("""COMPUTED_VALUE"""),"RSC007621")</f>
        <v>RSC007621</v>
      </c>
      <c r="C849" s="30" t="str">
        <f>IFERROR(__xludf.DUMMYFUNCTION("""COMPUTED_VALUE"""),"Classy-God57")</f>
        <v>Classy-God57</v>
      </c>
      <c r="D849" s="30" t="str">
        <f>IFERROR(__xludf.DUMMYFUNCTION("""COMPUTED_VALUE"""),"Winter Fresh")</f>
        <v>Winter Fresh</v>
      </c>
      <c r="E849" s="30">
        <f>IFERROR(__xludf.DUMMYFUNCTION("""COMPUTED_VALUE"""),39.0)</f>
        <v>39</v>
      </c>
      <c r="F849" s="30">
        <f>IFERROR(__xludf.DUMMYFUNCTION("""COMPUTED_VALUE"""),17.0)</f>
        <v>17</v>
      </c>
      <c r="G849" s="42">
        <f>IFERROR(__xludf.DUMMYFUNCTION("""COMPUTED_VALUE"""),22.0)</f>
        <v>22</v>
      </c>
      <c r="H849" s="42">
        <f>IFERROR(__xludf.DUMMYFUNCTION("""COMPUTED_VALUE"""),0.4358974358974359)</f>
        <v>0.4358974359</v>
      </c>
      <c r="I849" s="42">
        <f>IFERROR(__xludf.DUMMYFUNCTION("""COMPUTED_VALUE"""),0.37999999999999995)</f>
        <v>0.38</v>
      </c>
      <c r="J849" s="30">
        <f>IFERROR(__xludf.DUMMYFUNCTION("""COMPUTED_VALUE"""),360.87179487179486)</f>
        <v>360.8717949</v>
      </c>
      <c r="K849" s="30">
        <f>IFERROR(__xludf.DUMMYFUNCTION("""COMPUTED_VALUE"""),0.9743589743589743)</f>
        <v>0.9743589744</v>
      </c>
      <c r="L849" s="30">
        <f>IFERROR(__xludf.DUMMYFUNCTION("""COMPUTED_VALUE"""),0.48717948717948717)</f>
        <v>0.4871794872</v>
      </c>
      <c r="M849" s="30">
        <f>IFERROR(__xludf.DUMMYFUNCTION("""COMPUTED_VALUE"""),1.0)</f>
        <v>1</v>
      </c>
      <c r="N849" s="30">
        <f>IFERROR(__xludf.DUMMYFUNCTION("""COMPUTED_VALUE"""),2.5641025641025643)</f>
        <v>2.564102564</v>
      </c>
      <c r="O849" s="30">
        <f>IFERROR(__xludf.DUMMYFUNCTION("""COMPUTED_VALUE"""),315.9401709401709)</f>
        <v>315.9401709</v>
      </c>
      <c r="P849" s="30">
        <f>IFERROR(__xludf.DUMMYFUNCTION("""COMPUTED_VALUE"""),0.9316239316239315)</f>
        <v>0.9316239316</v>
      </c>
      <c r="Q849" s="30">
        <f>IFERROR(__xludf.DUMMYFUNCTION("""COMPUTED_VALUE"""),0.5982905982905982)</f>
        <v>0.5982905983</v>
      </c>
      <c r="R849" s="30">
        <f>IFERROR(__xludf.DUMMYFUNCTION("""COMPUTED_VALUE"""),0.871794871794872)</f>
        <v>0.8717948718</v>
      </c>
      <c r="S849" s="30">
        <f>IFERROR(__xludf.DUMMYFUNCTION("""COMPUTED_VALUE"""),2.2136752136752134)</f>
        <v>2.213675214</v>
      </c>
      <c r="T849" s="30">
        <f>IFERROR(__xludf.DUMMYFUNCTION("""COMPUTED_VALUE"""),296.48566654869256)</f>
        <v>296.4856665</v>
      </c>
      <c r="U849" s="30">
        <f>IFERROR(__xludf.DUMMYFUNCTION("""COMPUTED_VALUE"""),0.8022717145445568)</f>
        <v>0.8022717145</v>
      </c>
      <c r="V849" s="30">
        <f>IFERROR(__xludf.DUMMYFUNCTION("""COMPUTED_VALUE"""),0.4459424342612374)</f>
        <v>0.4459424343</v>
      </c>
      <c r="W849" s="30">
        <f>IFERROR(__xludf.DUMMYFUNCTION("""COMPUTED_VALUE"""),0.8518565213824707)</f>
        <v>0.8518565214</v>
      </c>
      <c r="X849" s="30">
        <f>IFERROR(__xludf.DUMMYFUNCTION("""COMPUTED_VALUE"""),2.0678489235011575)</f>
        <v>2.067848924</v>
      </c>
      <c r="Y849" s="30">
        <f>IFERROR(__xludf.DUMMYFUNCTION("""COMPUTED_VALUE"""),291.06349358976723)</f>
        <v>291.0634936</v>
      </c>
      <c r="Z849" s="30">
        <f>IFERROR(__xludf.DUMMYFUNCTION("""COMPUTED_VALUE"""),0.7435573120100241)</f>
        <v>0.743557312</v>
      </c>
      <c r="AA849" s="30">
        <f>IFERROR(__xludf.DUMMYFUNCTION("""COMPUTED_VALUE"""),0.40281759117592353)</f>
        <v>0.4028175912</v>
      </c>
      <c r="AB849" s="30">
        <f>IFERROR(__xludf.DUMMYFUNCTION("""COMPUTED_VALUE"""),0.8894110569872924)</f>
        <v>0.889411057</v>
      </c>
      <c r="AC849" s="30">
        <f>IFERROR(__xludf.DUMMYFUNCTION("""COMPUTED_VALUE"""),2.0247519927636555)</f>
        <v>2.024751993</v>
      </c>
      <c r="AD849" s="30">
        <f>IFERROR(__xludf.DUMMYFUNCTION("""COMPUTED_VALUE"""),1.2398387390361545)</f>
        <v>1.239838739</v>
      </c>
      <c r="AE849" s="30">
        <f>IFERROR(__xludf.DUMMYFUNCTION("""COMPUTED_VALUE"""),1.3104019806153675)</f>
        <v>1.310401981</v>
      </c>
      <c r="AF849" s="30">
        <f>IFERROR(__xludf.DUMMYFUNCTION("""COMPUTED_VALUE"""),1.2094295230684702)</f>
        <v>1.209429523</v>
      </c>
      <c r="AG849" s="30">
        <f>IFERROR(__xludf.DUMMYFUNCTION("""COMPUTED_VALUE"""),1.1243395189928336)</f>
        <v>1.124339519</v>
      </c>
      <c r="AH849" s="30">
        <f>IFERROR(__xludf.DUMMYFUNCTION("""COMPUTED_VALUE"""),1.2663785852620548)</f>
        <v>1.266378585</v>
      </c>
      <c r="AI849" s="30">
        <f>IFERROR(__xludf.DUMMYFUNCTION("""COMPUTED_VALUE"""),1.065617014872735)</f>
        <v>1.065617015</v>
      </c>
      <c r="AJ849" s="30">
        <f>IFERROR(__xludf.DUMMYFUNCTION("""COMPUTED_VALUE"""),1.1612324287823197)</f>
        <v>1.161232429</v>
      </c>
      <c r="AK849" s="30">
        <f>IFERROR(__xludf.DUMMYFUNCTION("""COMPUTED_VALUE"""),1.3416319065525701)</f>
        <v>1.341631907</v>
      </c>
      <c r="AL849" s="30">
        <f>IFERROR(__xludf.DUMMYFUNCTION("""COMPUTED_VALUE"""),1.0234057613130008)</f>
        <v>1.023405761</v>
      </c>
      <c r="AM849" s="30">
        <f>IFERROR(__xludf.DUMMYFUNCTION("""COMPUTED_VALUE"""),1.0705207660563285)</f>
        <v>1.070520766</v>
      </c>
      <c r="AN849" s="30">
        <f>IFERROR(__xludf.DUMMYFUNCTION("""COMPUTED_VALUE"""),1.3001543956664847)</f>
        <v>1.300154396</v>
      </c>
      <c r="AO849" s="30">
        <f>IFERROR(__xludf.DUMMYFUNCTION("""COMPUTED_VALUE"""),1.3407436448835566)</f>
        <v>1.340743645</v>
      </c>
      <c r="AP849" s="30">
        <f>IFERROR(__xludf.DUMMYFUNCTION("""COMPUTED_VALUE"""),1.166877348843665)</f>
        <v>1.166877349</v>
      </c>
      <c r="AQ849" s="30">
        <f>IFERROR(__xludf.DUMMYFUNCTION("""COMPUTED_VALUE"""),1.2449826081634032)</f>
        <v>1.244982608</v>
      </c>
      <c r="AR849" s="30">
        <f>IFERROR(__xludf.DUMMYFUNCTION("""COMPUTED_VALUE"""),1.3266224046223363)</f>
        <v>1.326622405</v>
      </c>
      <c r="AS849" s="30">
        <f>IFERROR(__xludf.DUMMYFUNCTION("""COMPUTED_VALUE"""),278.0)</f>
        <v>278</v>
      </c>
      <c r="AT849" s="30">
        <f>IFERROR(__xludf.DUMMYFUNCTION("""COMPUTED_VALUE"""),0.859241750002498)</f>
        <v>0.85924175</v>
      </c>
      <c r="AU849" s="30">
        <f>IFERROR(__xludf.DUMMYFUNCTION("""COMPUTED_VALUE"""),2.889890915938316)</f>
        <v>2.889890916</v>
      </c>
      <c r="AV849" s="32">
        <f>IFERROR(__xludf.DUMMYFUNCTION("""COMPUTED_VALUE"""),67.72887189622766)</f>
        <v>67.7288719</v>
      </c>
      <c r="AW849" s="32">
        <f>IFERROR(__xludf.DUMMYFUNCTION("""COMPUTED_VALUE"""),4.182102351183304)</f>
        <v>4.182102351</v>
      </c>
      <c r="AX849" s="32">
        <f>IFERROR(__xludf.DUMMYFUNCTION("""COMPUTED_VALUE"""),65.39305976787477)</f>
        <v>65.39305977</v>
      </c>
      <c r="AY849" s="32">
        <f>IFERROR(__xludf.DUMMYFUNCTION("""COMPUTED_VALUE"""),3.716934912213863)</f>
        <v>3.716934912</v>
      </c>
      <c r="AZ849" s="30">
        <f>IFERROR(__xludf.DUMMYFUNCTION("""COMPUTED_VALUE"""),0.46516743896944135)</f>
        <v>0.465167439</v>
      </c>
      <c r="BA849" s="30">
        <f>IFERROR(__xludf.DUMMYFUNCTION("""COMPUTED_VALUE"""),4000.0)</f>
        <v>4000</v>
      </c>
    </row>
    <row r="850">
      <c r="A850" s="71" t="str">
        <f>IFERROR(__xludf.DUMMYFUNCTION("""COMPUTED_VALUE"""),"Amateur")</f>
        <v>Amateur</v>
      </c>
      <c r="B850" s="71" t="str">
        <f>IFERROR(__xludf.DUMMYFUNCTION("""COMPUTED_VALUE"""),"RSC006256")</f>
        <v>RSC006256</v>
      </c>
      <c r="C850" s="30" t="str">
        <f>IFERROR(__xludf.DUMMYFUNCTION("""COMPUTED_VALUE"""),"CascaUnbroken")</f>
        <v>CascaUnbroken</v>
      </c>
      <c r="D850" s="30" t="str">
        <f>IFERROR(__xludf.DUMMYFUNCTION("""COMPUTED_VALUE"""),"Aeon Ale")</f>
        <v>Aeon Ale</v>
      </c>
      <c r="E850" s="30">
        <f>IFERROR(__xludf.DUMMYFUNCTION("""COMPUTED_VALUE"""),47.0)</f>
        <v>47</v>
      </c>
      <c r="F850" s="30">
        <f>IFERROR(__xludf.DUMMYFUNCTION("""COMPUTED_VALUE"""),22.0)</f>
        <v>22</v>
      </c>
      <c r="G850" s="42">
        <f>IFERROR(__xludf.DUMMYFUNCTION("""COMPUTED_VALUE"""),25.0)</f>
        <v>25</v>
      </c>
      <c r="H850" s="42">
        <f>IFERROR(__xludf.DUMMYFUNCTION("""COMPUTED_VALUE"""),0.46808510638297873)</f>
        <v>0.4680851064</v>
      </c>
      <c r="I850" s="42">
        <f>IFERROR(__xludf.DUMMYFUNCTION("""COMPUTED_VALUE"""),0.39669421487603307)</f>
        <v>0.3966942149</v>
      </c>
      <c r="J850" s="30">
        <f>IFERROR(__xludf.DUMMYFUNCTION("""COMPUTED_VALUE"""),328.8085106382979)</f>
        <v>328.8085106</v>
      </c>
      <c r="K850" s="30">
        <f>IFERROR(__xludf.DUMMYFUNCTION("""COMPUTED_VALUE"""),1.0212765957446808)</f>
        <v>1.021276596</v>
      </c>
      <c r="L850" s="30">
        <f>IFERROR(__xludf.DUMMYFUNCTION("""COMPUTED_VALUE"""),0.3404255319148936)</f>
        <v>0.3404255319</v>
      </c>
      <c r="M850" s="30">
        <f>IFERROR(__xludf.DUMMYFUNCTION("""COMPUTED_VALUE"""),0.7872340425531915)</f>
        <v>0.7872340426</v>
      </c>
      <c r="N850" s="30">
        <f>IFERROR(__xludf.DUMMYFUNCTION("""COMPUTED_VALUE"""),2.574468085106383)</f>
        <v>2.574468085</v>
      </c>
      <c r="O850" s="30">
        <f>IFERROR(__xludf.DUMMYFUNCTION("""COMPUTED_VALUE"""),297.73049645390074)</f>
        <v>297.7304965</v>
      </c>
      <c r="P850" s="30">
        <f>IFERROR(__xludf.DUMMYFUNCTION("""COMPUTED_VALUE"""),0.7943262411347514)</f>
        <v>0.7943262411</v>
      </c>
      <c r="Q850" s="30">
        <f>IFERROR(__xludf.DUMMYFUNCTION("""COMPUTED_VALUE"""),0.44680851063829796)</f>
        <v>0.4468085106</v>
      </c>
      <c r="R850" s="30">
        <f>IFERROR(__xludf.DUMMYFUNCTION("""COMPUTED_VALUE"""),0.8085106382978722)</f>
        <v>0.8085106383</v>
      </c>
      <c r="S850" s="30">
        <f>IFERROR(__xludf.DUMMYFUNCTION("""COMPUTED_VALUE"""),2.0496453900709217)</f>
        <v>2.04964539</v>
      </c>
      <c r="T850" s="30">
        <f>IFERROR(__xludf.DUMMYFUNCTION("""COMPUTED_VALUE"""),298.7849809589926)</f>
        <v>298.784981</v>
      </c>
      <c r="U850" s="30">
        <f>IFERROR(__xludf.DUMMYFUNCTION("""COMPUTED_VALUE"""),0.7753369706490878)</f>
        <v>0.7753369706</v>
      </c>
      <c r="V850" s="30">
        <f>IFERROR(__xludf.DUMMYFUNCTION("""COMPUTED_VALUE"""),0.4425967233487276)</f>
        <v>0.4425967233</v>
      </c>
      <c r="W850" s="30">
        <f>IFERROR(__xludf.DUMMYFUNCTION("""COMPUTED_VALUE"""),0.8998737379099792)</f>
        <v>0.8998737379</v>
      </c>
      <c r="X850" s="30">
        <f>IFERROR(__xludf.DUMMYFUNCTION("""COMPUTED_VALUE"""),2.124944262234602)</f>
        <v>2.124944262</v>
      </c>
      <c r="Y850" s="30">
        <f>IFERROR(__xludf.DUMMYFUNCTION("""COMPUTED_VALUE"""),297.8143692541691)</f>
        <v>297.8143693</v>
      </c>
      <c r="Z850" s="30">
        <f>IFERROR(__xludf.DUMMYFUNCTION("""COMPUTED_VALUE"""),0.7903823099602358)</f>
        <v>0.79038231</v>
      </c>
      <c r="AA850" s="30">
        <f>IFERROR(__xludf.DUMMYFUNCTION("""COMPUTED_VALUE"""),0.44331905334085714)</f>
        <v>0.4433190533</v>
      </c>
      <c r="AB850" s="30">
        <f>IFERROR(__xludf.DUMMYFUNCTION("""COMPUTED_VALUE"""),0.90679564732905)</f>
        <v>0.9067956473</v>
      </c>
      <c r="AC850" s="30">
        <f>IFERROR(__xludf.DUMMYFUNCTION("""COMPUTED_VALUE"""),2.084294457100676)</f>
        <v>2.084294457</v>
      </c>
      <c r="AD850" s="30">
        <f>IFERROR(__xludf.DUMMYFUNCTION("""COMPUTED_VALUE"""),1.1040720145967065)</f>
        <v>1.104072015</v>
      </c>
      <c r="AE850" s="30">
        <f>IFERROR(__xludf.DUMMYFUNCTION("""COMPUTED_VALUE"""),1.2921298754726194)</f>
        <v>1.292129875</v>
      </c>
      <c r="AF850" s="30">
        <f>IFERROR(__xludf.DUMMYFUNCTION("""COMPUTED_VALUE"""),0.7679018741681486)</f>
        <v>0.7679018742</v>
      </c>
      <c r="AG850" s="30">
        <f>IFERROR(__xludf.DUMMYFUNCTION("""COMPUTED_VALUE"""),0.8681493397900343)</f>
        <v>0.8681493398</v>
      </c>
      <c r="AH850" s="30">
        <f>IFERROR(__xludf.DUMMYFUNCTION("""COMPUTED_VALUE"""),1.2351748460184244)</f>
        <v>1.235174846</v>
      </c>
      <c r="AI850" s="30">
        <f>IFERROR(__xludf.DUMMYFUNCTION("""COMPUTED_VALUE"""),0.9964707579955748)</f>
        <v>0.996470758</v>
      </c>
      <c r="AJ850" s="30">
        <f>IFERROR(__xludf.DUMMYFUNCTION("""COMPUTED_VALUE"""),1.0244916355139964)</f>
        <v>1.024491636</v>
      </c>
      <c r="AK850" s="30">
        <f>IFERROR(__xludf.DUMMYFUNCTION("""COMPUTED_VALUE"""),1.0095160833042405)</f>
        <v>1.009516083</v>
      </c>
      <c r="AL850" s="30">
        <f>IFERROR(__xludf.DUMMYFUNCTION("""COMPUTED_VALUE"""),0.8984712012772988)</f>
        <v>0.8984712013</v>
      </c>
      <c r="AM850" s="30">
        <f>IFERROR(__xludf.DUMMYFUNCTION("""COMPUTED_VALUE"""),0.9645643071670521)</f>
        <v>0.9645643072</v>
      </c>
      <c r="AN850" s="30">
        <f>IFERROR(__xludf.DUMMYFUNCTION("""COMPUTED_VALUE"""),1.184636307170555)</f>
        <v>1.184636307</v>
      </c>
      <c r="AO850" s="30">
        <f>IFERROR(__xludf.DUMMYFUNCTION("""COMPUTED_VALUE"""),1.4053035292396516)</f>
        <v>1.405303529</v>
      </c>
      <c r="AP850" s="30">
        <f>IFERROR(__xludf.DUMMYFUNCTION("""COMPUTED_VALUE"""),0.8153767812748567)</f>
        <v>0.8153767813</v>
      </c>
      <c r="AQ850" s="30">
        <f>IFERROR(__xludf.DUMMYFUNCTION("""COMPUTED_VALUE"""),0.9800926915328919)</f>
        <v>0.9800926915</v>
      </c>
      <c r="AR850" s="30">
        <f>IFERROR(__xludf.DUMMYFUNCTION("""COMPUTED_VALUE"""),1.3319853462580433)</f>
        <v>1.331985346</v>
      </c>
      <c r="AS850" s="30">
        <f>IFERROR(__xludf.DUMMYFUNCTION("""COMPUTED_VALUE"""),245.0)</f>
        <v>245</v>
      </c>
      <c r="AT850" s="30">
        <f>IFERROR(__xludf.DUMMYFUNCTION("""COMPUTED_VALUE"""),0.8022984345455584)</f>
        <v>0.8022984345</v>
      </c>
      <c r="AU850" s="30">
        <f>IFERROR(__xludf.DUMMYFUNCTION("""COMPUTED_VALUE"""),2.7576950634452295)</f>
        <v>2.757695063</v>
      </c>
      <c r="AV850" s="32">
        <f>IFERROR(__xludf.DUMMYFUNCTION("""COMPUTED_VALUE"""),65.128860368394)</f>
        <v>65.12886037</v>
      </c>
      <c r="AW850" s="32">
        <f>IFERROR(__xludf.DUMMYFUNCTION("""COMPUTED_VALUE"""),3.6692103980932016)</f>
        <v>3.669210398</v>
      </c>
      <c r="AX850" s="32">
        <f>IFERROR(__xludf.DUMMYFUNCTION("""COMPUTED_VALUE"""),62.26798310027037)</f>
        <v>62.2679831</v>
      </c>
      <c r="AY850" s="32">
        <f>IFERROR(__xludf.DUMMYFUNCTION("""COMPUTED_VALUE"""),3.2070556398803696)</f>
        <v>3.20705564</v>
      </c>
      <c r="AZ850" s="30">
        <f>IFERROR(__xludf.DUMMYFUNCTION("""COMPUTED_VALUE"""),0.46215475821283203)</f>
        <v>0.4621547582</v>
      </c>
      <c r="BA850" s="30">
        <f>IFERROR(__xludf.DUMMYFUNCTION("""COMPUTED_VALUE"""),4000.0)</f>
        <v>4000</v>
      </c>
    </row>
    <row r="851">
      <c r="A851" s="71" t="str">
        <f>IFERROR(__xludf.DUMMYFUNCTION("""COMPUTED_VALUE"""),"Amateur")</f>
        <v>Amateur</v>
      </c>
      <c r="B851" s="71" t="str">
        <f>IFERROR(__xludf.DUMMYFUNCTION("""COMPUTED_VALUE"""),"RSC007948")</f>
        <v>RSC007948</v>
      </c>
      <c r="C851" s="30" t="str">
        <f>IFERROR(__xludf.DUMMYFUNCTION("""COMPUTED_VALUE"""),"MasterOfDaTurtle")</f>
        <v>MasterOfDaTurtle</v>
      </c>
      <c r="D851" s="30"/>
      <c r="E851" s="30">
        <f>IFERROR(__xludf.DUMMYFUNCTION("""COMPUTED_VALUE"""),14.0)</f>
        <v>14</v>
      </c>
      <c r="F851" s="30">
        <f>IFERROR(__xludf.DUMMYFUNCTION("""COMPUTED_VALUE"""),3.0)</f>
        <v>3</v>
      </c>
      <c r="G851" s="42">
        <f>IFERROR(__xludf.DUMMYFUNCTION("""COMPUTED_VALUE"""),11.0)</f>
        <v>11</v>
      </c>
      <c r="H851" s="42">
        <f>IFERROR(__xludf.DUMMYFUNCTION("""COMPUTED_VALUE"""),0.21428571428571427)</f>
        <v>0.2142857143</v>
      </c>
      <c r="I851" s="42">
        <f>IFERROR(__xludf.DUMMYFUNCTION("""COMPUTED_VALUE"""),0.32142857142857145)</f>
        <v>0.3214285714</v>
      </c>
      <c r="J851" s="30">
        <f>IFERROR(__xludf.DUMMYFUNCTION("""COMPUTED_VALUE"""),257.57142857142856)</f>
        <v>257.5714286</v>
      </c>
      <c r="K851" s="30">
        <f>IFERROR(__xludf.DUMMYFUNCTION("""COMPUTED_VALUE"""),0.6428571428571429)</f>
        <v>0.6428571429</v>
      </c>
      <c r="L851" s="30">
        <f>IFERROR(__xludf.DUMMYFUNCTION("""COMPUTED_VALUE"""),0.42857142857142855)</f>
        <v>0.4285714286</v>
      </c>
      <c r="M851" s="30">
        <f>IFERROR(__xludf.DUMMYFUNCTION("""COMPUTED_VALUE"""),0.35714285714285715)</f>
        <v>0.3571428571</v>
      </c>
      <c r="N851" s="30">
        <f>IFERROR(__xludf.DUMMYFUNCTION("""COMPUTED_VALUE"""),2.0)</f>
        <v>2</v>
      </c>
      <c r="O851" s="30">
        <f>IFERROR(__xludf.DUMMYFUNCTION("""COMPUTED_VALUE"""),304.0654761904762)</f>
        <v>304.0654762</v>
      </c>
      <c r="P851" s="30">
        <f>IFERROR(__xludf.DUMMYFUNCTION("""COMPUTED_VALUE"""),0.9583333333333331)</f>
        <v>0.9583333333</v>
      </c>
      <c r="Q851" s="30">
        <f>IFERROR(__xludf.DUMMYFUNCTION("""COMPUTED_VALUE"""),0.4404761904761905)</f>
        <v>0.4404761905</v>
      </c>
      <c r="R851" s="30">
        <f>IFERROR(__xludf.DUMMYFUNCTION("""COMPUTED_VALUE"""),0.8690476190476188)</f>
        <v>0.869047619</v>
      </c>
      <c r="S851" s="30">
        <f>IFERROR(__xludf.DUMMYFUNCTION("""COMPUTED_VALUE"""),2.0952380952380945)</f>
        <v>2.095238095</v>
      </c>
      <c r="T851" s="30">
        <f>IFERROR(__xludf.DUMMYFUNCTION("""COMPUTED_VALUE"""),282.0253086115132)</f>
        <v>282.0253086</v>
      </c>
      <c r="U851" s="30">
        <f>IFERROR(__xludf.DUMMYFUNCTION("""COMPUTED_VALUE"""),0.7496590478175618)</f>
        <v>0.7496590478</v>
      </c>
      <c r="V851" s="30">
        <f>IFERROR(__xludf.DUMMYFUNCTION("""COMPUTED_VALUE"""),0.3752011623300244)</f>
        <v>0.3752011623</v>
      </c>
      <c r="W851" s="30">
        <f>IFERROR(__xludf.DUMMYFUNCTION("""COMPUTED_VALUE"""),0.8094822038320063)</f>
        <v>0.8094822038</v>
      </c>
      <c r="X851" s="30">
        <f>IFERROR(__xludf.DUMMYFUNCTION("""COMPUTED_VALUE"""),1.9599699128048857)</f>
        <v>1.959969913</v>
      </c>
      <c r="Y851" s="30">
        <f>IFERROR(__xludf.DUMMYFUNCTION("""COMPUTED_VALUE"""),289.61617703221555)</f>
        <v>289.616177</v>
      </c>
      <c r="Z851" s="30">
        <f>IFERROR(__xludf.DUMMYFUNCTION("""COMPUTED_VALUE"""),0.7545882437852273)</f>
        <v>0.7545882438</v>
      </c>
      <c r="AA851" s="30">
        <f>IFERROR(__xludf.DUMMYFUNCTION("""COMPUTED_VALUE"""),0.4088210757770491)</f>
        <v>0.4088210758</v>
      </c>
      <c r="AB851" s="30">
        <f>IFERROR(__xludf.DUMMYFUNCTION("""COMPUTED_VALUE"""),0.8391263978447814)</f>
        <v>0.8391263978</v>
      </c>
      <c r="AC851" s="30">
        <f>IFERROR(__xludf.DUMMYFUNCTION("""COMPUTED_VALUE"""),2.0248573501175025)</f>
        <v>2.02485735</v>
      </c>
      <c r="AD851" s="30">
        <f>IFERROR(__xludf.DUMMYFUNCTION("""COMPUTED_VALUE"""),0.8893544249179752)</f>
        <v>0.8893544249</v>
      </c>
      <c r="AE851" s="30">
        <f>IFERROR(__xludf.DUMMYFUNCTION("""COMPUTED_VALUE"""),0.8519310341125782)</f>
        <v>0.8519310341</v>
      </c>
      <c r="AF851" s="30">
        <f>IFERROR(__xludf.DUMMYFUNCTION("""COMPUTED_VALUE"""),1.048310505413254)</f>
        <v>1.048310505</v>
      </c>
      <c r="AG851" s="30">
        <f>IFERROR(__xludf.DUMMYFUNCTION("""COMPUTED_VALUE"""),0.4256127063338081)</f>
        <v>0.4256127063</v>
      </c>
      <c r="AH851" s="30">
        <f>IFERROR(__xludf.DUMMYFUNCTION("""COMPUTED_VALUE"""),0.9877239005917824)</f>
        <v>0.9877239006</v>
      </c>
      <c r="AI851" s="30">
        <f>IFERROR(__xludf.DUMMYFUNCTION("""COMPUTED_VALUE"""),1.078149608939257)</f>
        <v>1.078149609</v>
      </c>
      <c r="AJ851" s="30">
        <f>IFERROR(__xludf.DUMMYFUNCTION("""COMPUTED_VALUE"""),1.2783589234643036)</f>
        <v>1.278358923</v>
      </c>
      <c r="AK851" s="30">
        <f>IFERROR(__xludf.DUMMYFUNCTION("""COMPUTED_VALUE"""),1.173973416662155)</f>
        <v>1.173973417</v>
      </c>
      <c r="AL851" s="30">
        <f>IFERROR(__xludf.DUMMYFUNCTION("""COMPUTED_VALUE"""),1.0735845889305977)</f>
        <v>1.073584589</v>
      </c>
      <c r="AM851" s="30">
        <f>IFERROR(__xludf.DUMMYFUNCTION("""COMPUTED_VALUE"""),1.0690154382215125)</f>
        <v>1.069015438</v>
      </c>
      <c r="AN851" s="30">
        <f>IFERROR(__xludf.DUMMYFUNCTION("""COMPUTED_VALUE"""),0.9279822635465621)</f>
        <v>0.9279822635</v>
      </c>
      <c r="AO851" s="30">
        <f>IFERROR(__xludf.DUMMYFUNCTION("""COMPUTED_VALUE"""),0.8845883822446022)</f>
        <v>0.8845883822</v>
      </c>
      <c r="AP851" s="30">
        <f>IFERROR(__xludf.DUMMYFUNCTION("""COMPUTED_VALUE"""),1.0265011264263821)</f>
        <v>1.026501126</v>
      </c>
      <c r="AQ851" s="30">
        <f>IFERROR(__xludf.DUMMYFUNCTION("""COMPUTED_VALUE"""),0.444636645772644)</f>
        <v>0.4446366458</v>
      </c>
      <c r="AR851" s="30">
        <f>IFERROR(__xludf.DUMMYFUNCTION("""COMPUTED_VALUE"""),1.0347654756054223)</f>
        <v>1.034765476</v>
      </c>
      <c r="AS851" s="30">
        <f>IFERROR(__xludf.DUMMYFUNCTION("""COMPUTED_VALUE"""),82.0)</f>
        <v>82</v>
      </c>
      <c r="AT851" s="30">
        <f>IFERROR(__xludf.DUMMYFUNCTION("""COMPUTED_VALUE"""),0.790076846643886)</f>
        <v>0.7900768466</v>
      </c>
      <c r="AU851" s="30">
        <f>IFERROR(__xludf.DUMMYFUNCTION("""COMPUTED_VALUE"""),1.7263265643097025)</f>
        <v>1.726326564</v>
      </c>
      <c r="AV851" s="32">
        <f>IFERROR(__xludf.DUMMYFUNCTION("""COMPUTED_VALUE"""),44.84403344965911)</f>
        <v>44.84403345</v>
      </c>
      <c r="AW851" s="32">
        <f>IFERROR(__xludf.DUMMYFUNCTION("""COMPUTED_VALUE"""),-2.390615907807275)</f>
        <v>-2.390615908</v>
      </c>
      <c r="AX851" s="32">
        <f>IFERROR(__xludf.DUMMYFUNCTION("""COMPUTED_VALUE"""),40.529456323296216)</f>
        <v>40.52945632</v>
      </c>
      <c r="AY851" s="32">
        <f>IFERROR(__xludf.DUMMYFUNCTION("""COMPUTED_VALUE"""),-2.837602972791164)</f>
        <v>-2.837602973</v>
      </c>
      <c r="AZ851" s="30">
        <f>IFERROR(__xludf.DUMMYFUNCTION("""COMPUTED_VALUE"""),0.44698706498388896)</f>
        <v>0.446987065</v>
      </c>
      <c r="BA851" s="30">
        <f>IFERROR(__xludf.DUMMYFUNCTION("""COMPUTED_VALUE"""),4000.0)</f>
        <v>4000</v>
      </c>
    </row>
    <row r="852">
      <c r="A852" s="71" t="str">
        <f>IFERROR(__xludf.DUMMYFUNCTION("""COMPUTED_VALUE"""),"Amateur")</f>
        <v>Amateur</v>
      </c>
      <c r="B852" s="71" t="str">
        <f>IFERROR(__xludf.DUMMYFUNCTION("""COMPUTED_VALUE"""),"RSC007875")</f>
        <v>RSC007875</v>
      </c>
      <c r="C852" s="30" t="str">
        <f>IFERROR(__xludf.DUMMYFUNCTION("""COMPUTED_VALUE"""),"Flying__ferret")</f>
        <v>Flying__ferret</v>
      </c>
      <c r="D852" s="30" t="str">
        <f>IFERROR(__xludf.DUMMYFUNCTION("""COMPUTED_VALUE"""),"Winter Fresh")</f>
        <v>Winter Fresh</v>
      </c>
      <c r="E852" s="30">
        <f>IFERROR(__xludf.DUMMYFUNCTION("""COMPUTED_VALUE"""),43.0)</f>
        <v>43</v>
      </c>
      <c r="F852" s="30">
        <f>IFERROR(__xludf.DUMMYFUNCTION("""COMPUTED_VALUE"""),17.0)</f>
        <v>17</v>
      </c>
      <c r="G852" s="42">
        <f>IFERROR(__xludf.DUMMYFUNCTION("""COMPUTED_VALUE"""),26.0)</f>
        <v>26</v>
      </c>
      <c r="H852" s="42">
        <f>IFERROR(__xludf.DUMMYFUNCTION("""COMPUTED_VALUE"""),0.3953488372093023)</f>
        <v>0.3953488372</v>
      </c>
      <c r="I852" s="42">
        <f>IFERROR(__xludf.DUMMYFUNCTION("""COMPUTED_VALUE"""),0.3333333333333333)</f>
        <v>0.3333333333</v>
      </c>
      <c r="J852" s="30">
        <f>IFERROR(__xludf.DUMMYFUNCTION("""COMPUTED_VALUE"""),283.4651162790698)</f>
        <v>283.4651163</v>
      </c>
      <c r="K852" s="30">
        <f>IFERROR(__xludf.DUMMYFUNCTION("""COMPUTED_VALUE"""),0.6744186046511628)</f>
        <v>0.6744186047</v>
      </c>
      <c r="L852" s="30">
        <f>IFERROR(__xludf.DUMMYFUNCTION("""COMPUTED_VALUE"""),0.46511627906976744)</f>
        <v>0.4651162791</v>
      </c>
      <c r="M852" s="30">
        <f>IFERROR(__xludf.DUMMYFUNCTION("""COMPUTED_VALUE"""),1.0465116279069768)</f>
        <v>1.046511628</v>
      </c>
      <c r="N852" s="30">
        <f>IFERROR(__xludf.DUMMYFUNCTION("""COMPUTED_VALUE"""),2.0232558139534884)</f>
        <v>2.023255814</v>
      </c>
      <c r="O852" s="30">
        <f>IFERROR(__xludf.DUMMYFUNCTION("""COMPUTED_VALUE"""),329.84496124030994)</f>
        <v>329.8449612</v>
      </c>
      <c r="P852" s="30">
        <f>IFERROR(__xludf.DUMMYFUNCTION("""COMPUTED_VALUE"""),1.023255813953488)</f>
        <v>1.023255814</v>
      </c>
      <c r="Q852" s="30">
        <f>IFERROR(__xludf.DUMMYFUNCTION("""COMPUTED_VALUE"""),0.6589147286821704)</f>
        <v>0.6589147287</v>
      </c>
      <c r="R852" s="30">
        <f>IFERROR(__xludf.DUMMYFUNCTION("""COMPUTED_VALUE"""),0.8527131782945736)</f>
        <v>0.8527131783</v>
      </c>
      <c r="S852" s="30">
        <f>IFERROR(__xludf.DUMMYFUNCTION("""COMPUTED_VALUE"""),2.3565891472868215)</f>
        <v>2.356589147</v>
      </c>
      <c r="T852" s="30">
        <f>IFERROR(__xludf.DUMMYFUNCTION("""COMPUTED_VALUE"""),296.6297254294568)</f>
        <v>296.6297254</v>
      </c>
      <c r="U852" s="30">
        <f>IFERROR(__xludf.DUMMYFUNCTION("""COMPUTED_VALUE"""),0.7960236173671354)</f>
        <v>0.7960236174</v>
      </c>
      <c r="V852" s="30">
        <f>IFERROR(__xludf.DUMMYFUNCTION("""COMPUTED_VALUE"""),0.4448893313625028)</f>
        <v>0.4448893314</v>
      </c>
      <c r="W852" s="30">
        <f>IFERROR(__xludf.DUMMYFUNCTION("""COMPUTED_VALUE"""),0.8507850463004928)</f>
        <v>0.8507850463</v>
      </c>
      <c r="X852" s="30">
        <f>IFERROR(__xludf.DUMMYFUNCTION("""COMPUTED_VALUE"""),2.08434382197785)</f>
        <v>2.084343822</v>
      </c>
      <c r="Y852" s="30">
        <f>IFERROR(__xludf.DUMMYFUNCTION("""COMPUTED_VALUE"""),291.64435835863287)</f>
        <v>291.6443584</v>
      </c>
      <c r="Z852" s="30">
        <f>IFERROR(__xludf.DUMMYFUNCTION("""COMPUTED_VALUE"""),0.7445741879028864)</f>
        <v>0.7445741879</v>
      </c>
      <c r="AA852" s="30">
        <f>IFERROR(__xludf.DUMMYFUNCTION("""COMPUTED_VALUE"""),0.40670046713938607)</f>
        <v>0.4067004671</v>
      </c>
      <c r="AB852" s="30">
        <f>IFERROR(__xludf.DUMMYFUNCTION("""COMPUTED_VALUE"""),0.8979969687241842)</f>
        <v>0.8979969687</v>
      </c>
      <c r="AC852" s="30">
        <f>IFERROR(__xludf.DUMMYFUNCTION("""COMPUTED_VALUE"""),2.021769158749066)</f>
        <v>2.021769159</v>
      </c>
      <c r="AD852" s="30">
        <f>IFERROR(__xludf.DUMMYFUNCTION("""COMPUTED_VALUE"""),0.9719547392392719)</f>
        <v>0.9719547392</v>
      </c>
      <c r="AE852" s="30">
        <f>IFERROR(__xludf.DUMMYFUNCTION("""COMPUTED_VALUE"""),0.905777578122445)</f>
        <v>0.9057775781</v>
      </c>
      <c r="AF852" s="30">
        <f>IFERROR(__xludf.DUMMYFUNCTION("""COMPUTED_VALUE"""),1.1436335009429945)</f>
        <v>1.143633501</v>
      </c>
      <c r="AG852" s="30">
        <f>IFERROR(__xludf.DUMMYFUNCTION("""COMPUTED_VALUE"""),1.165384365822295)</f>
        <v>1.165384366</v>
      </c>
      <c r="AH852" s="30">
        <f>IFERROR(__xludf.DUMMYFUNCTION("""COMPUTED_VALUE"""),1.0007353239107388)</f>
        <v>1.000735324</v>
      </c>
      <c r="AI852" s="30">
        <f>IFERROR(__xludf.DUMMYFUNCTION("""COMPUTED_VALUE"""),1.1119754123183863)</f>
        <v>1.111975412</v>
      </c>
      <c r="AJ852" s="30">
        <f>IFERROR(__xludf.DUMMYFUNCTION("""COMPUTED_VALUE"""),1.2854591140623788)</f>
        <v>1.285459114</v>
      </c>
      <c r="AK852" s="30">
        <f>IFERROR(__xludf.DUMMYFUNCTION("""COMPUTED_VALUE"""),1.4810755894374916)</f>
        <v>1.481075589</v>
      </c>
      <c r="AL852" s="30">
        <f>IFERROR(__xludf.DUMMYFUNCTION("""COMPUTED_VALUE"""),1.0022662974654586)</f>
        <v>1.002266297</v>
      </c>
      <c r="AM852" s="30">
        <f>IFERROR(__xludf.DUMMYFUNCTION("""COMPUTED_VALUE"""),1.130614403649891)</f>
        <v>1.130614404</v>
      </c>
      <c r="AN852" s="30">
        <f>IFERROR(__xludf.DUMMYFUNCTION("""COMPUTED_VALUE"""),1.0212724357670462)</f>
        <v>1.021272436</v>
      </c>
      <c r="AO852" s="30">
        <f>IFERROR(__xludf.DUMMYFUNCTION("""COMPUTED_VALUE"""),0.9280177860240528)</f>
        <v>0.928017786</v>
      </c>
      <c r="AP852" s="30">
        <f>IFERROR(__xludf.DUMMYFUNCTION("""COMPUTED_VALUE"""),1.1140322302301822)</f>
        <v>1.11403223</v>
      </c>
      <c r="AQ852" s="30">
        <f>IFERROR(__xludf.DUMMYFUNCTION("""COMPUTED_VALUE"""),1.302888775984957)</f>
        <v>1.302888776</v>
      </c>
      <c r="AR852" s="30">
        <f>IFERROR(__xludf.DUMMYFUNCTION("""COMPUTED_VALUE"""),1.0467976322985086)</f>
        <v>1.046797632</v>
      </c>
      <c r="AS852" s="30">
        <f>IFERROR(__xludf.DUMMYFUNCTION("""COMPUTED_VALUE"""),294.0)</f>
        <v>294</v>
      </c>
      <c r="AT852" s="30">
        <f>IFERROR(__xludf.DUMMYFUNCTION("""COMPUTED_VALUE"""),0.8244062216577103)</f>
        <v>0.8244062217</v>
      </c>
      <c r="AU852" s="30">
        <f>IFERROR(__xludf.DUMMYFUNCTION("""COMPUTED_VALUE"""),1.7849640152759978)</f>
        <v>1.784964015</v>
      </c>
      <c r="AV852" s="32">
        <f>IFERROR(__xludf.DUMMYFUNCTION("""COMPUTED_VALUE"""),45.9973075168854)</f>
        <v>45.99730752</v>
      </c>
      <c r="AW852" s="32">
        <f>IFERROR(__xludf.DUMMYFUNCTION("""COMPUTED_VALUE"""),-2.29148559190278)</f>
        <v>-2.291485592</v>
      </c>
      <c r="AX852" s="32">
        <f>IFERROR(__xludf.DUMMYFUNCTION("""COMPUTED_VALUE"""),42.362170646675615)</f>
        <v>42.36217065</v>
      </c>
      <c r="AY852" s="32">
        <f>IFERROR(__xludf.DUMMYFUNCTION("""COMPUTED_VALUE"""),-2.631664345569403)</f>
        <v>-2.631664346</v>
      </c>
      <c r="AZ852" s="30">
        <f>IFERROR(__xludf.DUMMYFUNCTION("""COMPUTED_VALUE"""),0.3401787536666232)</f>
        <v>0.3401787537</v>
      </c>
      <c r="BA852" s="30">
        <f>IFERROR(__xludf.DUMMYFUNCTION("""COMPUTED_VALUE"""),4000.0)</f>
        <v>4000</v>
      </c>
    </row>
    <row r="853">
      <c r="A853" s="71" t="str">
        <f>IFERROR(__xludf.DUMMYFUNCTION("""COMPUTED_VALUE"""),"Amateur")</f>
        <v>Amateur</v>
      </c>
      <c r="B853" s="71" t="str">
        <f>IFERROR(__xludf.DUMMYFUNCTION("""COMPUTED_VALUE"""),"RSC007852")</f>
        <v>RSC007852</v>
      </c>
      <c r="C853" s="30" t="str">
        <f>IFERROR(__xludf.DUMMYFUNCTION("""COMPUTED_VALUE"""),"Medicmac121")</f>
        <v>Medicmac121</v>
      </c>
      <c r="D853" s="30"/>
      <c r="E853" s="30">
        <f>IFERROR(__xludf.DUMMYFUNCTION("""COMPUTED_VALUE"""),6.0)</f>
        <v>6</v>
      </c>
      <c r="F853" s="30">
        <f>IFERROR(__xludf.DUMMYFUNCTION("""COMPUTED_VALUE"""),2.0)</f>
        <v>2</v>
      </c>
      <c r="G853" s="42">
        <f>IFERROR(__xludf.DUMMYFUNCTION("""COMPUTED_VALUE"""),4.0)</f>
        <v>4</v>
      </c>
      <c r="H853" s="42">
        <f>IFERROR(__xludf.DUMMYFUNCTION("""COMPUTED_VALUE"""),0.3333333333333333)</f>
        <v>0.3333333333</v>
      </c>
      <c r="I853" s="42">
        <f>IFERROR(__xludf.DUMMYFUNCTION("""COMPUTED_VALUE"""),0.3)</f>
        <v>0.3</v>
      </c>
      <c r="J853" s="30">
        <f>IFERROR(__xludf.DUMMYFUNCTION("""COMPUTED_VALUE"""),252.16666666666666)</f>
        <v>252.1666667</v>
      </c>
      <c r="K853" s="30">
        <f>IFERROR(__xludf.DUMMYFUNCTION("""COMPUTED_VALUE"""),0.5)</f>
        <v>0.5</v>
      </c>
      <c r="L853" s="30">
        <f>IFERROR(__xludf.DUMMYFUNCTION("""COMPUTED_VALUE"""),0.6666666666666666)</f>
        <v>0.6666666667</v>
      </c>
      <c r="M853" s="30">
        <f>IFERROR(__xludf.DUMMYFUNCTION("""COMPUTED_VALUE"""),0.6666666666666666)</f>
        <v>0.6666666667</v>
      </c>
      <c r="N853" s="30">
        <f>IFERROR(__xludf.DUMMYFUNCTION("""COMPUTED_VALUE"""),1.6666666666666667)</f>
        <v>1.666666667</v>
      </c>
      <c r="O853" s="30">
        <f>IFERROR(__xludf.DUMMYFUNCTION("""COMPUTED_VALUE"""),294.63888888888886)</f>
        <v>294.6388889</v>
      </c>
      <c r="P853" s="30">
        <f>IFERROR(__xludf.DUMMYFUNCTION("""COMPUTED_VALUE"""),0.9166666666666666)</f>
        <v>0.9166666667</v>
      </c>
      <c r="Q853" s="30">
        <f>IFERROR(__xludf.DUMMYFUNCTION("""COMPUTED_VALUE"""),0.47222222222222215)</f>
        <v>0.4722222222</v>
      </c>
      <c r="R853" s="30">
        <f>IFERROR(__xludf.DUMMYFUNCTION("""COMPUTED_VALUE"""),0.5833333333333334)</f>
        <v>0.5833333333</v>
      </c>
      <c r="S853" s="30">
        <f>IFERROR(__xludf.DUMMYFUNCTION("""COMPUTED_VALUE"""),1.9166666666666667)</f>
        <v>1.916666667</v>
      </c>
      <c r="T853" s="30">
        <f>IFERROR(__xludf.DUMMYFUNCTION("""COMPUTED_VALUE"""),330.6888167248306)</f>
        <v>330.6888167</v>
      </c>
      <c r="U853" s="30">
        <f>IFERROR(__xludf.DUMMYFUNCTION("""COMPUTED_VALUE"""),0.9929703854071456)</f>
        <v>0.9929703854</v>
      </c>
      <c r="V853" s="30">
        <f>IFERROR(__xludf.DUMMYFUNCTION("""COMPUTED_VALUE"""),0.516972276597783)</f>
        <v>0.5169722766</v>
      </c>
      <c r="W853" s="30">
        <f>IFERROR(__xludf.DUMMYFUNCTION("""COMPUTED_VALUE"""),0.8500509052360786)</f>
        <v>0.8500509052</v>
      </c>
      <c r="X853" s="30">
        <f>IFERROR(__xludf.DUMMYFUNCTION("""COMPUTED_VALUE"""),2.519928511570988)</f>
        <v>2.519928512</v>
      </c>
      <c r="Y853" s="30">
        <f>IFERROR(__xludf.DUMMYFUNCTION("""COMPUTED_VALUE"""),267.9399460744692)</f>
        <v>267.9399461</v>
      </c>
      <c r="Z853" s="30">
        <f>IFERROR(__xludf.DUMMYFUNCTION("""COMPUTED_VALUE"""),0.5757528798880465)</f>
        <v>0.5757528799</v>
      </c>
      <c r="AA853" s="30">
        <f>IFERROR(__xludf.DUMMYFUNCTION("""COMPUTED_VALUE"""),0.27703401923074006)</f>
        <v>0.2770340192</v>
      </c>
      <c r="AB853" s="30">
        <f>IFERROR(__xludf.DUMMYFUNCTION("""COMPUTED_VALUE"""),1.0277109602872254)</f>
        <v>1.02771096</v>
      </c>
      <c r="AC853" s="30">
        <f>IFERROR(__xludf.DUMMYFUNCTION("""COMPUTED_VALUE"""),1.6981519161054395)</f>
        <v>1.698151916</v>
      </c>
      <c r="AD853" s="30">
        <f>IFERROR(__xludf.DUMMYFUNCTION("""COMPUTED_VALUE"""),0.9411312884140887)</f>
        <v>0.9411312884</v>
      </c>
      <c r="AE853" s="30">
        <f>IFERROR(__xludf.DUMMYFUNCTION("""COMPUTED_VALUE"""),0.8684281355174873)</f>
        <v>0.8684281355</v>
      </c>
      <c r="AF853" s="30">
        <f>IFERROR(__xludf.DUMMYFUNCTION("""COMPUTED_VALUE"""),2.406443326050162)</f>
        <v>2.406443326</v>
      </c>
      <c r="AG853" s="30">
        <f>IFERROR(__xludf.DUMMYFUNCTION("""COMPUTED_VALUE"""),0.6486908210848954)</f>
        <v>0.6486908211</v>
      </c>
      <c r="AH853" s="30">
        <f>IFERROR(__xludf.DUMMYFUNCTION("""COMPUTED_VALUE"""),0.9814591090819593)</f>
        <v>0.9814591091</v>
      </c>
      <c r="AI853" s="30">
        <f>IFERROR(__xludf.DUMMYFUNCTION("""COMPUTED_VALUE"""),0.890985343281387)</f>
        <v>0.8909853433</v>
      </c>
      <c r="AJ853" s="30">
        <f>IFERROR(__xludf.DUMMYFUNCTION("""COMPUTED_VALUE"""),0.923156098246382)</f>
        <v>0.9231560982</v>
      </c>
      <c r="AK853" s="30">
        <f>IFERROR(__xludf.DUMMYFUNCTION("""COMPUTED_VALUE"""),0.9134381931076403)</f>
        <v>0.9134381931</v>
      </c>
      <c r="AL853" s="30">
        <f>IFERROR(__xludf.DUMMYFUNCTION("""COMPUTED_VALUE"""),0.6862334123052646)</f>
        <v>0.6862334123</v>
      </c>
      <c r="AM853" s="30">
        <f>IFERROR(__xludf.DUMMYFUNCTION("""COMPUTED_VALUE"""),0.7606035877072432)</f>
        <v>0.7606035877</v>
      </c>
      <c r="AN853" s="30">
        <f>IFERROR(__xludf.DUMMYFUNCTION("""COMPUTED_VALUE"""),0.9085099050861194)</f>
        <v>0.9085099051</v>
      </c>
      <c r="AO853" s="30">
        <f>IFERROR(__xludf.DUMMYFUNCTION("""COMPUTED_VALUE"""),0.6880131861902461)</f>
        <v>0.6880131862</v>
      </c>
      <c r="AP853" s="30">
        <f>IFERROR(__xludf.DUMMYFUNCTION("""COMPUTED_VALUE"""),1.5967795299965943)</f>
        <v>1.59677953</v>
      </c>
      <c r="AQ853" s="30">
        <f>IFERROR(__xludf.DUMMYFUNCTION("""COMPUTED_VALUE"""),0.8299884054422687)</f>
        <v>0.8299884054</v>
      </c>
      <c r="AR853" s="30">
        <f>IFERROR(__xludf.DUMMYFUNCTION("""COMPUTED_VALUE"""),0.8623045630045185)</f>
        <v>0.862304563</v>
      </c>
      <c r="AS853" s="30">
        <f>IFERROR(__xludf.DUMMYFUNCTION("""COMPUTED_VALUE"""),17.0)</f>
        <v>17</v>
      </c>
      <c r="AT853" s="30">
        <f>IFERROR(__xludf.DUMMYFUNCTION("""COMPUTED_VALUE"""),0.5122236065029399)</f>
        <v>0.5122236065</v>
      </c>
      <c r="AU853" s="30">
        <f>IFERROR(__xludf.DUMMYFUNCTION("""COMPUTED_VALUE"""),2.525102245325384)</f>
        <v>2.525102245</v>
      </c>
      <c r="AV853" s="32">
        <f>IFERROR(__xludf.DUMMYFUNCTION("""COMPUTED_VALUE"""),60.55425385088209)</f>
        <v>60.55425385</v>
      </c>
      <c r="AW853" s="32">
        <f>IFERROR(__xludf.DUMMYFUNCTION("""COMPUTED_VALUE"""),2.972206195345328)</f>
        <v>2.972206195</v>
      </c>
      <c r="AX853" s="32">
        <f>IFERROR(__xludf.DUMMYFUNCTION("""COMPUTED_VALUE"""),57.81541258831502)</f>
        <v>57.81541259</v>
      </c>
      <c r="AY853" s="32">
        <f>IFERROR(__xludf.DUMMYFUNCTION("""COMPUTED_VALUE"""),2.6505090287839876)</f>
        <v>2.650509029</v>
      </c>
      <c r="AZ853" s="30">
        <f>IFERROR(__xludf.DUMMYFUNCTION("""COMPUTED_VALUE"""),0.3216971665613402)</f>
        <v>0.3216971666</v>
      </c>
      <c r="BA853" s="30">
        <f>IFERROR(__xludf.DUMMYFUNCTION("""COMPUTED_VALUE"""),4000.0)</f>
        <v>4000</v>
      </c>
    </row>
    <row r="854">
      <c r="A854" s="71" t="str">
        <f>IFERROR(__xludf.DUMMYFUNCTION("""COMPUTED_VALUE"""),"Amateur")</f>
        <v>Amateur</v>
      </c>
      <c r="B854" s="71" t="str">
        <f>IFERROR(__xludf.DUMMYFUNCTION("""COMPUTED_VALUE"""),"RSC007955")</f>
        <v>RSC007955</v>
      </c>
      <c r="C854" s="30" t="str">
        <f>IFERROR(__xludf.DUMMYFUNCTION("""COMPUTED_VALUE"""),"JonathanVanDyk")</f>
        <v>JonathanVanDyk</v>
      </c>
      <c r="D854" s="30" t="str">
        <f>IFERROR(__xludf.DUMMYFUNCTION("""COMPUTED_VALUE"""),"Garlic Knots")</f>
        <v>Garlic Knots</v>
      </c>
      <c r="E854" s="30">
        <f>IFERROR(__xludf.DUMMYFUNCTION("""COMPUTED_VALUE"""),47.0)</f>
        <v>47</v>
      </c>
      <c r="F854" s="30">
        <f>IFERROR(__xludf.DUMMYFUNCTION("""COMPUTED_VALUE"""),32.0)</f>
        <v>32</v>
      </c>
      <c r="G854" s="42">
        <f>IFERROR(__xludf.DUMMYFUNCTION("""COMPUTED_VALUE"""),15.0)</f>
        <v>15</v>
      </c>
      <c r="H854" s="42">
        <f>IFERROR(__xludf.DUMMYFUNCTION("""COMPUTED_VALUE"""),0.6808510638297872)</f>
        <v>0.6808510638</v>
      </c>
      <c r="I854" s="42">
        <f>IFERROR(__xludf.DUMMYFUNCTION("""COMPUTED_VALUE"""),0.4090909090909091)</f>
        <v>0.4090909091</v>
      </c>
      <c r="J854" s="30">
        <f>IFERROR(__xludf.DUMMYFUNCTION("""COMPUTED_VALUE"""),362.0851063829787)</f>
        <v>362.0851064</v>
      </c>
      <c r="K854" s="30">
        <f>IFERROR(__xludf.DUMMYFUNCTION("""COMPUTED_VALUE"""),0.9574468085106383)</f>
        <v>0.9574468085</v>
      </c>
      <c r="L854" s="30">
        <f>IFERROR(__xludf.DUMMYFUNCTION("""COMPUTED_VALUE"""),0.40425531914893614)</f>
        <v>0.4042553191</v>
      </c>
      <c r="M854" s="30">
        <f>IFERROR(__xludf.DUMMYFUNCTION("""COMPUTED_VALUE"""),1.3617021276595744)</f>
        <v>1.361702128</v>
      </c>
      <c r="N854" s="30">
        <f>IFERROR(__xludf.DUMMYFUNCTION("""COMPUTED_VALUE"""),2.3404255319148937)</f>
        <v>2.340425532</v>
      </c>
      <c r="O854" s="30">
        <f>IFERROR(__xludf.DUMMYFUNCTION("""COMPUTED_VALUE"""),260.8794326241135)</f>
        <v>260.8794326</v>
      </c>
      <c r="P854" s="30">
        <f>IFERROR(__xludf.DUMMYFUNCTION("""COMPUTED_VALUE"""),0.5354609929078011)</f>
        <v>0.5354609929</v>
      </c>
      <c r="Q854" s="30">
        <f>IFERROR(__xludf.DUMMYFUNCTION("""COMPUTED_VALUE"""),0.31382978723404265)</f>
        <v>0.3138297872</v>
      </c>
      <c r="R854" s="30">
        <f>IFERROR(__xludf.DUMMYFUNCTION("""COMPUTED_VALUE"""),0.7375886524822699)</f>
        <v>0.7375886525</v>
      </c>
      <c r="S854" s="30">
        <f>IFERROR(__xludf.DUMMYFUNCTION("""COMPUTED_VALUE"""),2.081560283687944)</f>
        <v>2.081560284</v>
      </c>
      <c r="T854" s="30">
        <f>IFERROR(__xludf.DUMMYFUNCTION("""COMPUTED_VALUE"""),293.4666470465732)</f>
        <v>293.466647</v>
      </c>
      <c r="U854" s="30">
        <f>IFERROR(__xludf.DUMMYFUNCTION("""COMPUTED_VALUE"""),0.7539157316102209)</f>
        <v>0.7539157316</v>
      </c>
      <c r="V854" s="30">
        <f>IFERROR(__xludf.DUMMYFUNCTION("""COMPUTED_VALUE"""),0.43255955651296973)</f>
        <v>0.4325595565</v>
      </c>
      <c r="W854" s="30">
        <f>IFERROR(__xludf.DUMMYFUNCTION("""COMPUTED_VALUE"""),0.861713197110993)</f>
        <v>0.8617131971</v>
      </c>
      <c r="X854" s="30">
        <f>IFERROR(__xludf.DUMMYFUNCTION("""COMPUTED_VALUE"""),2.1108927354295335)</f>
        <v>2.110892735</v>
      </c>
      <c r="Y854" s="30">
        <f>IFERROR(__xludf.DUMMYFUNCTION("""COMPUTED_VALUE"""),299.7652551797856)</f>
        <v>299.7652552</v>
      </c>
      <c r="Z854" s="30">
        <f>IFERROR(__xludf.DUMMYFUNCTION("""COMPUTED_VALUE"""),0.801709891067378)</f>
        <v>0.8017098911</v>
      </c>
      <c r="AA854" s="30">
        <f>IFERROR(__xludf.DUMMYFUNCTION("""COMPUTED_VALUE"""),0.4423090204504491)</f>
        <v>0.4423090205</v>
      </c>
      <c r="AB854" s="30">
        <f>IFERROR(__xludf.DUMMYFUNCTION("""COMPUTED_VALUE"""),0.9214274457765692)</f>
        <v>0.9214274458</v>
      </c>
      <c r="AC854" s="30">
        <f>IFERROR(__xludf.DUMMYFUNCTION("""COMPUTED_VALUE"""),2.072287435261942)</f>
        <v>2.072287435</v>
      </c>
      <c r="AD854" s="30">
        <f>IFERROR(__xludf.DUMMYFUNCTION("""COMPUTED_VALUE"""),1.2078955119925974)</f>
        <v>1.207895512</v>
      </c>
      <c r="AE854" s="30">
        <f>IFERROR(__xludf.DUMMYFUNCTION("""COMPUTED_VALUE"""),1.1942559511594846)</f>
        <v>1.194255951</v>
      </c>
      <c r="AF854" s="30">
        <f>IFERROR(__xludf.DUMMYFUNCTION("""COMPUTED_VALUE"""),0.9139658032233687)</f>
        <v>0.9139658032</v>
      </c>
      <c r="AG854" s="30">
        <f>IFERROR(__xludf.DUMMYFUNCTION("""COMPUTED_VALUE"""),1.4778180679347428)</f>
        <v>1.477818068</v>
      </c>
      <c r="AH854" s="30">
        <f>IFERROR(__xludf.DUMMYFUNCTION("""COMPUTED_VALUE"""),1.1293923285401084)</f>
        <v>1.129392329</v>
      </c>
      <c r="AI854" s="30">
        <f>IFERROR(__xludf.DUMMYFUNCTION("""COMPUTED_VALUE"""),0.8889576899098586)</f>
        <v>0.8889576899</v>
      </c>
      <c r="AJ854" s="30">
        <f>IFERROR(__xludf.DUMMYFUNCTION("""COMPUTED_VALUE"""),0.7102398457240813)</f>
        <v>0.7102398457</v>
      </c>
      <c r="AK854" s="30">
        <f>IFERROR(__xludf.DUMMYFUNCTION("""COMPUTED_VALUE"""),0.7255180992045263)</f>
        <v>0.7255180992</v>
      </c>
      <c r="AL854" s="30">
        <f>IFERROR(__xludf.DUMMYFUNCTION("""COMPUTED_VALUE"""),0.8559560825517504)</f>
        <v>0.8559560826</v>
      </c>
      <c r="AM854" s="30">
        <f>IFERROR(__xludf.DUMMYFUNCTION("""COMPUTED_VALUE"""),0.9861042433614605)</f>
        <v>0.9861042434</v>
      </c>
      <c r="AN854" s="30">
        <f>IFERROR(__xludf.DUMMYFUNCTION("""COMPUTED_VALUE"""),1.3045257328477096)</f>
        <v>1.304525733</v>
      </c>
      <c r="AO854" s="30">
        <f>IFERROR(__xludf.DUMMYFUNCTION("""COMPUTED_VALUE"""),1.3174720586621735)</f>
        <v>1.317472059</v>
      </c>
      <c r="AP854" s="30">
        <f>IFERROR(__xludf.DUMMYFUNCTION("""COMPUTED_VALUE"""),0.9682599277638922)</f>
        <v>0.9682599278</v>
      </c>
      <c r="AQ854" s="30">
        <f>IFERROR(__xludf.DUMMYFUNCTION("""COMPUTED_VALUE"""),1.6952954664352724)</f>
        <v>1.695295466</v>
      </c>
      <c r="AR854" s="30">
        <f>IFERROR(__xludf.DUMMYFUNCTION("""COMPUTED_VALUE"""),1.210895769325494)</f>
        <v>1.210895769</v>
      </c>
      <c r="AS854" s="30">
        <f>IFERROR(__xludf.DUMMYFUNCTION("""COMPUTED_VALUE"""),317.0)</f>
        <v>317</v>
      </c>
      <c r="AT854" s="30">
        <f>IFERROR(__xludf.DUMMYFUNCTION("""COMPUTED_VALUE"""),0.933285340403763)</f>
        <v>0.9332853404</v>
      </c>
      <c r="AU854" s="30">
        <f>IFERROR(__xludf.DUMMYFUNCTION("""COMPUTED_VALUE"""),3.0438402501899273)</f>
        <v>3.04384025</v>
      </c>
      <c r="AV854" s="32">
        <f>IFERROR(__xludf.DUMMYFUNCTION("""COMPUTED_VALUE"""),70.75672818829581)</f>
        <v>70.75672819</v>
      </c>
      <c r="AW854" s="32">
        <f>IFERROR(__xludf.DUMMYFUNCTION("""COMPUTED_VALUE"""),4.9214216425525965)</f>
        <v>4.921421643</v>
      </c>
      <c r="AX854" s="32">
        <f>IFERROR(__xludf.DUMMYFUNCTION("""COMPUTED_VALUE"""),69.67978799803896)</f>
        <v>69.679788</v>
      </c>
      <c r="AY854" s="32">
        <f>IFERROR(__xludf.DUMMYFUNCTION("""COMPUTED_VALUE"""),4.638544217603982)</f>
        <v>4.638544218</v>
      </c>
      <c r="AZ854" s="30">
        <f>IFERROR(__xludf.DUMMYFUNCTION("""COMPUTED_VALUE"""),0.2828774249486141)</f>
        <v>0.2828774249</v>
      </c>
      <c r="BA854" s="30">
        <f>IFERROR(__xludf.DUMMYFUNCTION("""COMPUTED_VALUE"""),4000.0)</f>
        <v>4000</v>
      </c>
    </row>
    <row r="855">
      <c r="A855" s="71" t="str">
        <f>IFERROR(__xludf.DUMMYFUNCTION("""COMPUTED_VALUE"""),"Amateur")</f>
        <v>Amateur</v>
      </c>
      <c r="B855" s="71" t="str">
        <f>IFERROR(__xludf.DUMMYFUNCTION("""COMPUTED_VALUE"""),"RSC007921")</f>
        <v>RSC007921</v>
      </c>
      <c r="C855" s="30" t="str">
        <f>IFERROR(__xludf.DUMMYFUNCTION("""COMPUTED_VALUE"""),"sXCyBeast")</f>
        <v>sXCyBeast</v>
      </c>
      <c r="D855" s="30" t="str">
        <f>IFERROR(__xludf.DUMMYFUNCTION("""COMPUTED_VALUE"""),"Surprise")</f>
        <v>Surprise</v>
      </c>
      <c r="E855" s="30">
        <f>IFERROR(__xludf.DUMMYFUNCTION("""COMPUTED_VALUE"""),29.0)</f>
        <v>29</v>
      </c>
      <c r="F855" s="30">
        <f>IFERROR(__xludf.DUMMYFUNCTION("""COMPUTED_VALUE"""),14.0)</f>
        <v>14</v>
      </c>
      <c r="G855" s="42">
        <f>IFERROR(__xludf.DUMMYFUNCTION("""COMPUTED_VALUE"""),15.0)</f>
        <v>15</v>
      </c>
      <c r="H855" s="42">
        <f>IFERROR(__xludf.DUMMYFUNCTION("""COMPUTED_VALUE"""),0.4827586206896552)</f>
        <v>0.4827586207</v>
      </c>
      <c r="I855" s="42">
        <f>IFERROR(__xludf.DUMMYFUNCTION("""COMPUTED_VALUE"""),0.26666666666666666)</f>
        <v>0.2666666667</v>
      </c>
      <c r="J855" s="30">
        <f>IFERROR(__xludf.DUMMYFUNCTION("""COMPUTED_VALUE"""),229.10344827586206)</f>
        <v>229.1034483</v>
      </c>
      <c r="K855" s="30">
        <f>IFERROR(__xludf.DUMMYFUNCTION("""COMPUTED_VALUE"""),0.41379310344827586)</f>
        <v>0.4137931034</v>
      </c>
      <c r="L855" s="30">
        <f>IFERROR(__xludf.DUMMYFUNCTION("""COMPUTED_VALUE"""),0.5172413793103449)</f>
        <v>0.5172413793</v>
      </c>
      <c r="M855" s="30">
        <f>IFERROR(__xludf.DUMMYFUNCTION("""COMPUTED_VALUE"""),0.5172413793103449)</f>
        <v>0.5172413793</v>
      </c>
      <c r="N855" s="30">
        <f>IFERROR(__xludf.DUMMYFUNCTION("""COMPUTED_VALUE"""),1.5517241379310345)</f>
        <v>1.551724138</v>
      </c>
      <c r="O855" s="30">
        <f>IFERROR(__xludf.DUMMYFUNCTION("""COMPUTED_VALUE"""),292.2040229885058)</f>
        <v>292.204023</v>
      </c>
      <c r="P855" s="30">
        <f>IFERROR(__xludf.DUMMYFUNCTION("""COMPUTED_VALUE"""),0.8448275862068966)</f>
        <v>0.8448275862</v>
      </c>
      <c r="Q855" s="30">
        <f>IFERROR(__xludf.DUMMYFUNCTION("""COMPUTED_VALUE"""),0.38218390804597696)</f>
        <v>0.382183908</v>
      </c>
      <c r="R855" s="30">
        <f>IFERROR(__xludf.DUMMYFUNCTION("""COMPUTED_VALUE"""),0.8275862068965516)</f>
        <v>0.8275862069</v>
      </c>
      <c r="S855" s="30">
        <f>IFERROR(__xludf.DUMMYFUNCTION("""COMPUTED_VALUE"""),1.775862068965517)</f>
        <v>1.775862069</v>
      </c>
      <c r="T855" s="30">
        <f>IFERROR(__xludf.DUMMYFUNCTION("""COMPUTED_VALUE"""),305.11316252516093)</f>
        <v>305.1131625</v>
      </c>
      <c r="U855" s="30">
        <f>IFERROR(__xludf.DUMMYFUNCTION("""COMPUTED_VALUE"""),0.8344441721796134)</f>
        <v>0.8344441722</v>
      </c>
      <c r="V855" s="30">
        <f>IFERROR(__xludf.DUMMYFUNCTION("""COMPUTED_VALUE"""),0.4637005571884881)</f>
        <v>0.4637005572</v>
      </c>
      <c r="W855" s="30">
        <f>IFERROR(__xludf.DUMMYFUNCTION("""COMPUTED_VALUE"""),0.9140937226573285)</f>
        <v>0.9140937227</v>
      </c>
      <c r="X855" s="30">
        <f>IFERROR(__xludf.DUMMYFUNCTION("""COMPUTED_VALUE"""),2.1022583395320718)</f>
        <v>2.10225834</v>
      </c>
      <c r="Y855" s="30">
        <f>IFERROR(__xludf.DUMMYFUNCTION("""COMPUTED_VALUE"""),289.4363123600047)</f>
        <v>289.4363124</v>
      </c>
      <c r="Z855" s="30">
        <f>IFERROR(__xludf.DUMMYFUNCTION("""COMPUTED_VALUE"""),0.7311210200232192)</f>
        <v>0.73112102</v>
      </c>
      <c r="AA855" s="30">
        <f>IFERROR(__xludf.DUMMYFUNCTION("""COMPUTED_VALUE"""),0.43237269372712644)</f>
        <v>0.4323726937</v>
      </c>
      <c r="AB855" s="30">
        <f>IFERROR(__xludf.DUMMYFUNCTION("""COMPUTED_VALUE"""),0.8556982175796042)</f>
        <v>0.8556982176</v>
      </c>
      <c r="AC855" s="30">
        <f>IFERROR(__xludf.DUMMYFUNCTION("""COMPUTED_VALUE"""),2.0721534979711937)</f>
        <v>2.072153498</v>
      </c>
      <c r="AD855" s="30">
        <f>IFERROR(__xludf.DUMMYFUNCTION("""COMPUTED_VALUE"""),0.7915504672091737)</f>
        <v>0.7915504672</v>
      </c>
      <c r="AE855" s="30">
        <f>IFERROR(__xludf.DUMMYFUNCTION("""COMPUTED_VALUE"""),0.5659707382440385)</f>
        <v>0.5659707382</v>
      </c>
      <c r="AF855" s="30">
        <f>IFERROR(__xludf.DUMMYFUNCTION("""COMPUTED_VALUE"""),1.1962859514823563)</f>
        <v>1.196285951</v>
      </c>
      <c r="AG855" s="30">
        <f>IFERROR(__xludf.DUMMYFUNCTION("""COMPUTED_VALUE"""),0.6044670523837181)</f>
        <v>0.6044670524</v>
      </c>
      <c r="AH855" s="30">
        <f>IFERROR(__xludf.DUMMYFUNCTION("""COMPUTED_VALUE"""),0.7488461349269242)</f>
        <v>0.7488461349</v>
      </c>
      <c r="AI855" s="30">
        <f>IFERROR(__xludf.DUMMYFUNCTION("""COMPUTED_VALUE"""),0.9576906501515137)</f>
        <v>0.9576906502</v>
      </c>
      <c r="AJ855" s="30">
        <f>IFERROR(__xludf.DUMMYFUNCTION("""COMPUTED_VALUE"""),1.0124435095521862)</f>
        <v>1.01244351</v>
      </c>
      <c r="AK855" s="30">
        <f>IFERROR(__xludf.DUMMYFUNCTION("""COMPUTED_VALUE"""),0.8242041164738654)</f>
        <v>0.8242041165</v>
      </c>
      <c r="AL855" s="30">
        <f>IFERROR(__xludf.DUMMYFUNCTION("""COMPUTED_VALUE"""),0.9053625316348372)</f>
        <v>0.9053625316</v>
      </c>
      <c r="AM855" s="30">
        <f>IFERROR(__xludf.DUMMYFUNCTION("""COMPUTED_VALUE"""),0.8447401708777593)</f>
        <v>0.8447401709</v>
      </c>
      <c r="AN855" s="30">
        <f>IFERROR(__xludf.DUMMYFUNCTION("""COMPUTED_VALUE"""),0.8254173908050474)</f>
        <v>0.8254173908</v>
      </c>
      <c r="AO855" s="30">
        <f>IFERROR(__xludf.DUMMYFUNCTION("""COMPUTED_VALUE"""),0.5693902230539968)</f>
        <v>0.5693902231</v>
      </c>
      <c r="AP855" s="30">
        <f>IFERROR(__xludf.DUMMYFUNCTION("""COMPUTED_VALUE"""),1.238880669824944)</f>
        <v>1.23888067</v>
      </c>
      <c r="AQ855" s="30">
        <f>IFERROR(__xludf.DUMMYFUNCTION("""COMPUTED_VALUE"""),0.6439565214638293)</f>
        <v>0.6439565215</v>
      </c>
      <c r="AR855" s="30">
        <f>IFERROR(__xludf.DUMMYFUNCTION("""COMPUTED_VALUE"""),0.8028352827973103)</f>
        <v>0.8028352828</v>
      </c>
      <c r="AS855" s="30">
        <f>IFERROR(__xludf.DUMMYFUNCTION("""COMPUTED_VALUE"""),189.0)</f>
        <v>189</v>
      </c>
      <c r="AT855" s="30">
        <f>IFERROR(__xludf.DUMMYFUNCTION("""COMPUTED_VALUE"""),0.8553659117333544)</f>
        <v>0.8553659117</v>
      </c>
      <c r="AU855" s="30">
        <f>IFERROR(__xludf.DUMMYFUNCTION("""COMPUTED_VALUE"""),1.5911552111165714)</f>
        <v>1.591155211</v>
      </c>
      <c r="AV855" s="32">
        <f>IFERROR(__xludf.DUMMYFUNCTION("""COMPUTED_VALUE"""),42.185500145421024)</f>
        <v>42.18550015</v>
      </c>
      <c r="AW855" s="32">
        <f>IFERROR(__xludf.DUMMYFUNCTION("""COMPUTED_VALUE"""),-2.650411588700249)</f>
        <v>-2.650411589</v>
      </c>
      <c r="AX855" s="32">
        <f>IFERROR(__xludf.DUMMYFUNCTION("""COMPUTED_VALUE"""),40.17306392642783)</f>
        <v>40.17306393</v>
      </c>
      <c r="AY855" s="32">
        <f>IFERROR(__xludf.DUMMYFUNCTION("""COMPUTED_VALUE"""),-2.880755654527046)</f>
        <v>-2.880755655</v>
      </c>
      <c r="AZ855" s="30">
        <f>IFERROR(__xludf.DUMMYFUNCTION("""COMPUTED_VALUE"""),0.230344065826797)</f>
        <v>0.2303440658</v>
      </c>
      <c r="BA855" s="30">
        <f>IFERROR(__xludf.DUMMYFUNCTION("""COMPUTED_VALUE"""),4000.0)</f>
        <v>4000</v>
      </c>
    </row>
    <row r="856">
      <c r="A856" s="71" t="str">
        <f>IFERROR(__xludf.DUMMYFUNCTION("""COMPUTED_VALUE"""),"Amateur")</f>
        <v>Amateur</v>
      </c>
      <c r="B856" s="71" t="str">
        <f>IFERROR(__xludf.DUMMYFUNCTION("""COMPUTED_VALUE"""),"RSC000654")</f>
        <v>RSC000654</v>
      </c>
      <c r="C856" s="30" t="str">
        <f>IFERROR(__xludf.DUMMYFUNCTION("""COMPUTED_VALUE"""),"Rocci")</f>
        <v>Rocci</v>
      </c>
      <c r="D856" s="30"/>
      <c r="E856" s="30">
        <f>IFERROR(__xludf.DUMMYFUNCTION("""COMPUTED_VALUE"""),29.0)</f>
        <v>29</v>
      </c>
      <c r="F856" s="30">
        <f>IFERROR(__xludf.DUMMYFUNCTION("""COMPUTED_VALUE"""),12.0)</f>
        <v>12</v>
      </c>
      <c r="G856" s="42">
        <f>IFERROR(__xludf.DUMMYFUNCTION("""COMPUTED_VALUE"""),17.0)</f>
        <v>17</v>
      </c>
      <c r="H856" s="42">
        <f>IFERROR(__xludf.DUMMYFUNCTION("""COMPUTED_VALUE"""),0.41379310344827586)</f>
        <v>0.4137931034</v>
      </c>
      <c r="I856" s="42">
        <f>IFERROR(__xludf.DUMMYFUNCTION("""COMPUTED_VALUE"""),0.35)</f>
        <v>0.35</v>
      </c>
      <c r="J856" s="30">
        <f>IFERROR(__xludf.DUMMYFUNCTION("""COMPUTED_VALUE"""),253.68965517241378)</f>
        <v>253.6896552</v>
      </c>
      <c r="K856" s="30">
        <f>IFERROR(__xludf.DUMMYFUNCTION("""COMPUTED_VALUE"""),0.4827586206896552)</f>
        <v>0.4827586207</v>
      </c>
      <c r="L856" s="30">
        <f>IFERROR(__xludf.DUMMYFUNCTION("""COMPUTED_VALUE"""),0.3793103448275862)</f>
        <v>0.3793103448</v>
      </c>
      <c r="M856" s="30">
        <f>IFERROR(__xludf.DUMMYFUNCTION("""COMPUTED_VALUE"""),1.1379310344827587)</f>
        <v>1.137931034</v>
      </c>
      <c r="N856" s="30">
        <f>IFERROR(__xludf.DUMMYFUNCTION("""COMPUTED_VALUE"""),1.3793103448275863)</f>
        <v>1.379310345</v>
      </c>
      <c r="O856" s="30">
        <f>IFERROR(__xludf.DUMMYFUNCTION("""COMPUTED_VALUE"""),309.0603448275862)</f>
        <v>309.0603448</v>
      </c>
      <c r="P856" s="30">
        <f>IFERROR(__xludf.DUMMYFUNCTION("""COMPUTED_VALUE"""),0.8534482758620688)</f>
        <v>0.8534482759</v>
      </c>
      <c r="Q856" s="30">
        <f>IFERROR(__xludf.DUMMYFUNCTION("""COMPUTED_VALUE"""),0.46551724137931033)</f>
        <v>0.4655172414</v>
      </c>
      <c r="R856" s="30">
        <f>IFERROR(__xludf.DUMMYFUNCTION("""COMPUTED_VALUE"""),0.7844827586206895)</f>
        <v>0.7844827586</v>
      </c>
      <c r="S856" s="30">
        <f>IFERROR(__xludf.DUMMYFUNCTION("""COMPUTED_VALUE"""),2.2097701149425286)</f>
        <v>2.209770115</v>
      </c>
      <c r="T856" s="30">
        <f>IFERROR(__xludf.DUMMYFUNCTION("""COMPUTED_VALUE"""),309.11292367728487)</f>
        <v>309.1129237</v>
      </c>
      <c r="U856" s="30">
        <f>IFERROR(__xludf.DUMMYFUNCTION("""COMPUTED_VALUE"""),0.8144923971170878)</f>
        <v>0.8144923971</v>
      </c>
      <c r="V856" s="30">
        <f>IFERROR(__xludf.DUMMYFUNCTION("""COMPUTED_VALUE"""),0.4744657498117382)</f>
        <v>0.4744657498</v>
      </c>
      <c r="W856" s="30">
        <f>IFERROR(__xludf.DUMMYFUNCTION("""COMPUTED_VALUE"""),0.8977029010358352)</f>
        <v>0.897702901</v>
      </c>
      <c r="X856" s="30">
        <f>IFERROR(__xludf.DUMMYFUNCTION("""COMPUTED_VALUE"""),2.18651027328949)</f>
        <v>2.186510273</v>
      </c>
      <c r="Y856" s="30">
        <f>IFERROR(__xludf.DUMMYFUNCTION("""COMPUTED_VALUE"""),290.74260044175765)</f>
        <v>290.7426004</v>
      </c>
      <c r="Z856" s="30">
        <f>IFERROR(__xludf.DUMMYFUNCTION("""COMPUTED_VALUE"""),0.7298772022149735)</f>
        <v>0.7298772022</v>
      </c>
      <c r="AA856" s="30">
        <f>IFERROR(__xludf.DUMMYFUNCTION("""COMPUTED_VALUE"""),0.40877499936024697)</f>
        <v>0.4087749994</v>
      </c>
      <c r="AB856" s="30">
        <f>IFERROR(__xludf.DUMMYFUNCTION("""COMPUTED_VALUE"""),0.9103344294498247)</f>
        <v>0.9103344294</v>
      </c>
      <c r="AC856" s="30">
        <f>IFERROR(__xludf.DUMMYFUNCTION("""COMPUTED_VALUE"""),2.0070875813076383)</f>
        <v>2.007087581</v>
      </c>
      <c r="AD856" s="30">
        <f>IFERROR(__xludf.DUMMYFUNCTION("""COMPUTED_VALUE"""),0.8725575639309644)</f>
        <v>0.8725575639</v>
      </c>
      <c r="AE856" s="30">
        <f>IFERROR(__xludf.DUMMYFUNCTION("""COMPUTED_VALUE"""),0.6614244412959023)</f>
        <v>0.6614244413</v>
      </c>
      <c r="AF856" s="30">
        <f>IFERROR(__xludf.DUMMYFUNCTION("""COMPUTED_VALUE"""),0.9279196267414239)</f>
        <v>0.9279196267</v>
      </c>
      <c r="AG856" s="30">
        <f>IFERROR(__xludf.DUMMYFUNCTION("""COMPUTED_VALUE"""),1.2500142779071706)</f>
        <v>1.250014278</v>
      </c>
      <c r="AH856" s="30">
        <f>IFERROR(__xludf.DUMMYFUNCTION("""COMPUTED_VALUE"""),0.6872198092765595)</f>
        <v>0.6872198093</v>
      </c>
      <c r="AI856" s="30">
        <f>IFERROR(__xludf.DUMMYFUNCTION("""COMPUTED_VALUE"""),0.9998299040717122)</f>
        <v>0.9998299041</v>
      </c>
      <c r="AJ856" s="30">
        <f>IFERROR(__xludf.DUMMYFUNCTION("""COMPUTED_VALUE"""),1.0478284129880968)</f>
        <v>1.047828413</v>
      </c>
      <c r="AK856" s="30">
        <f>IFERROR(__xludf.DUMMYFUNCTION("""COMPUTED_VALUE"""),0.9811398221347304)</f>
        <v>0.9811398221</v>
      </c>
      <c r="AL856" s="30">
        <f>IFERROR(__xludf.DUMMYFUNCTION("""COMPUTED_VALUE"""),0.873877936359007)</f>
        <v>0.8738779364</v>
      </c>
      <c r="AM856" s="30">
        <f>IFERROR(__xludf.DUMMYFUNCTION("""COMPUTED_VALUE"""),1.010637883543097)</f>
        <v>1.010637884</v>
      </c>
      <c r="AN856" s="30">
        <f>IFERROR(__xludf.DUMMYFUNCTION("""COMPUTED_VALUE"""),0.9139969512571844)</f>
        <v>0.9139969513</v>
      </c>
      <c r="AO856" s="30">
        <f>IFERROR(__xludf.DUMMYFUNCTION("""COMPUTED_VALUE"""),0.6642885935629963)</f>
        <v>0.6642885936</v>
      </c>
      <c r="AP856" s="30">
        <f>IFERROR(__xludf.DUMMYFUNCTION("""COMPUTED_VALUE"""),0.9085124912049588)</f>
        <v>0.9085124912</v>
      </c>
      <c r="AQ856" s="30">
        <f>IFERROR(__xludf.DUMMYFUNCTION("""COMPUTED_VALUE"""),1.4167043472204244)</f>
        <v>1.416704347</v>
      </c>
      <c r="AR856" s="30">
        <f>IFERROR(__xludf.DUMMYFUNCTION("""COMPUTED_VALUE"""),0.7136313624864982)</f>
        <v>0.7136313625</v>
      </c>
      <c r="AS856" s="30">
        <f>IFERROR(__xludf.DUMMYFUNCTION("""COMPUTED_VALUE"""),159.0)</f>
        <v>159</v>
      </c>
      <c r="AT856" s="30">
        <f>IFERROR(__xludf.DUMMYFUNCTION("""COMPUTED_VALUE"""),0.7998222223081449)</f>
        <v>0.7998222223</v>
      </c>
      <c r="AU856" s="30">
        <f>IFERROR(__xludf.DUMMYFUNCTION("""COMPUTED_VALUE"""),1.360053161852455)</f>
        <v>1.360053162</v>
      </c>
      <c r="AV856" s="32">
        <f>IFERROR(__xludf.DUMMYFUNCTION("""COMPUTED_VALUE"""),37.640213883704845)</f>
        <v>37.64021388</v>
      </c>
      <c r="AW856" s="32">
        <f>IFERROR(__xludf.DUMMYFUNCTION("""COMPUTED_VALUE"""),-3.2204576097159037)</f>
        <v>-3.22045761</v>
      </c>
      <c r="AX856" s="32">
        <f>IFERROR(__xludf.DUMMYFUNCTION("""COMPUTED_VALUE"""),36.90810093952693)</f>
        <v>36.90810094</v>
      </c>
      <c r="AY856" s="32">
        <f>IFERROR(__xludf.DUMMYFUNCTION("""COMPUTED_VALUE"""),-3.3305360313591312)</f>
        <v>-3.330536031</v>
      </c>
      <c r="AZ856" s="30">
        <f>IFERROR(__xludf.DUMMYFUNCTION("""COMPUTED_VALUE"""),0.11007842164322756)</f>
        <v>0.1100784216</v>
      </c>
      <c r="BA856" s="30">
        <f>IFERROR(__xludf.DUMMYFUNCTION("""COMPUTED_VALUE"""),4000.0)</f>
        <v>4000</v>
      </c>
    </row>
    <row r="857">
      <c r="A857" s="71" t="str">
        <f>IFERROR(__xludf.DUMMYFUNCTION("""COMPUTED_VALUE"""),"Amateur")</f>
        <v>Amateur</v>
      </c>
      <c r="B857" s="71" t="str">
        <f>IFERROR(__xludf.DUMMYFUNCTION("""COMPUTED_VALUE"""),"RSC005925")</f>
        <v>RSC005925</v>
      </c>
      <c r="C857" s="30" t="str">
        <f>IFERROR(__xludf.DUMMYFUNCTION("""COMPUTED_VALUE"""),"Emily26210")</f>
        <v>Emily26210</v>
      </c>
      <c r="D857" s="30" t="str">
        <f>IFERROR(__xludf.DUMMYFUNCTION("""COMPUTED_VALUE"""),"Amaranth")</f>
        <v>Amaranth</v>
      </c>
      <c r="E857" s="30">
        <f>IFERROR(__xludf.DUMMYFUNCTION("""COMPUTED_VALUE"""),38.0)</f>
        <v>38</v>
      </c>
      <c r="F857" s="30">
        <f>IFERROR(__xludf.DUMMYFUNCTION("""COMPUTED_VALUE"""),8.0)</f>
        <v>8</v>
      </c>
      <c r="G857" s="42">
        <f>IFERROR(__xludf.DUMMYFUNCTION("""COMPUTED_VALUE"""),30.0)</f>
        <v>30</v>
      </c>
      <c r="H857" s="42">
        <f>IFERROR(__xludf.DUMMYFUNCTION("""COMPUTED_VALUE"""),0.21052631578947367)</f>
        <v>0.2105263158</v>
      </c>
      <c r="I857" s="42">
        <f>IFERROR(__xludf.DUMMYFUNCTION("""COMPUTED_VALUE"""),0.3218390804597701)</f>
        <v>0.3218390805</v>
      </c>
      <c r="J857" s="30">
        <f>IFERROR(__xludf.DUMMYFUNCTION("""COMPUTED_VALUE"""),307.0)</f>
        <v>307</v>
      </c>
      <c r="K857" s="30">
        <f>IFERROR(__xludf.DUMMYFUNCTION("""COMPUTED_VALUE"""),0.7368421052631579)</f>
        <v>0.7368421053</v>
      </c>
      <c r="L857" s="30">
        <f>IFERROR(__xludf.DUMMYFUNCTION("""COMPUTED_VALUE"""),0.3157894736842105)</f>
        <v>0.3157894737</v>
      </c>
      <c r="M857" s="30">
        <f>IFERROR(__xludf.DUMMYFUNCTION("""COMPUTED_VALUE"""),1.2105263157894737)</f>
        <v>1.210526316</v>
      </c>
      <c r="N857" s="30">
        <f>IFERROR(__xludf.DUMMYFUNCTION("""COMPUTED_VALUE"""),2.289473684210526)</f>
        <v>2.289473684</v>
      </c>
      <c r="O857" s="30">
        <f>IFERROR(__xludf.DUMMYFUNCTION("""COMPUTED_VALUE"""),345.9451754385965)</f>
        <v>345.9451754</v>
      </c>
      <c r="P857" s="30">
        <f>IFERROR(__xludf.DUMMYFUNCTION("""COMPUTED_VALUE"""),1.1688596491228067)</f>
        <v>1.168859649</v>
      </c>
      <c r="Q857" s="30">
        <f>IFERROR(__xludf.DUMMYFUNCTION("""COMPUTED_VALUE"""),0.6403508771929826)</f>
        <v>0.6403508772</v>
      </c>
      <c r="R857" s="30">
        <f>IFERROR(__xludf.DUMMYFUNCTION("""COMPUTED_VALUE"""),0.8333333333333336)</f>
        <v>0.8333333333</v>
      </c>
      <c r="S857" s="30">
        <f>IFERROR(__xludf.DUMMYFUNCTION("""COMPUTED_VALUE"""),2.6535087719298245)</f>
        <v>2.653508772</v>
      </c>
      <c r="T857" s="30">
        <f>IFERROR(__xludf.DUMMYFUNCTION("""COMPUTED_VALUE"""),299.8011948930651)</f>
        <v>299.8011949</v>
      </c>
      <c r="U857" s="30">
        <f>IFERROR(__xludf.DUMMYFUNCTION("""COMPUTED_VALUE"""),0.8309445781188881)</f>
        <v>0.8309445781</v>
      </c>
      <c r="V857" s="30">
        <f>IFERROR(__xludf.DUMMYFUNCTION("""COMPUTED_VALUE"""),0.4249628282614206)</f>
        <v>0.4249628283</v>
      </c>
      <c r="W857" s="30">
        <f>IFERROR(__xludf.DUMMYFUNCTION("""COMPUTED_VALUE"""),0.8711647285355838)</f>
        <v>0.8711647285</v>
      </c>
      <c r="X857" s="30">
        <f>IFERROR(__xludf.DUMMYFUNCTION("""COMPUTED_VALUE"""),2.1182323702346193)</f>
        <v>2.11823237</v>
      </c>
      <c r="Y857" s="30">
        <f>IFERROR(__xludf.DUMMYFUNCTION("""COMPUTED_VALUE"""),286.33171189385496)</f>
        <v>286.3317119</v>
      </c>
      <c r="Z857" s="30">
        <f>IFERROR(__xludf.DUMMYFUNCTION("""COMPUTED_VALUE"""),0.7081926937460619)</f>
        <v>0.7081926937</v>
      </c>
      <c r="AA857" s="30">
        <f>IFERROR(__xludf.DUMMYFUNCTION("""COMPUTED_VALUE"""),0.3958495770027456)</f>
        <v>0.395849577</v>
      </c>
      <c r="AB857" s="30">
        <f>IFERROR(__xludf.DUMMYFUNCTION("""COMPUTED_VALUE"""),0.8860170252685776)</f>
        <v>0.8860170253</v>
      </c>
      <c r="AC857" s="30">
        <f>IFERROR(__xludf.DUMMYFUNCTION("""COMPUTED_VALUE"""),2.0001525479482907)</f>
        <v>2.000152548</v>
      </c>
      <c r="AD857" s="30">
        <f>IFERROR(__xludf.DUMMYFUNCTION("""COMPUTED_VALUE"""),1.0721830214663994)</f>
        <v>1.072183021</v>
      </c>
      <c r="AE857" s="30">
        <f>IFERROR(__xludf.DUMMYFUNCTION("""COMPUTED_VALUE"""),1.0404542602177267)</f>
        <v>1.04045426</v>
      </c>
      <c r="AF857" s="30">
        <f>IFERROR(__xludf.DUMMYFUNCTION("""COMPUTED_VALUE"""),0.7977511964905301)</f>
        <v>0.7977511965</v>
      </c>
      <c r="AG857" s="30">
        <f>IFERROR(__xludf.DUMMYFUNCTION("""COMPUTED_VALUE"""),1.3662562696495903)</f>
        <v>1.36625627</v>
      </c>
      <c r="AH857" s="30">
        <f>IFERROR(__xludf.DUMMYFUNCTION("""COMPUTED_VALUE"""),1.1446495351362147)</f>
        <v>1.144649535</v>
      </c>
      <c r="AI857" s="30">
        <f>IFERROR(__xludf.DUMMYFUNCTION("""COMPUTED_VALUE"""),1.1539152656212406)</f>
        <v>1.153915266</v>
      </c>
      <c r="AJ857" s="30">
        <f>IFERROR(__xludf.DUMMYFUNCTION("""COMPUTED_VALUE"""),1.406663789501941)</f>
        <v>1.40666379</v>
      </c>
      <c r="AK857" s="30">
        <f>IFERROR(__xludf.DUMMYFUNCTION("""COMPUTED_VALUE"""),1.5068397389313861)</f>
        <v>1.506839739</v>
      </c>
      <c r="AL857" s="30">
        <f>IFERROR(__xludf.DUMMYFUNCTION("""COMPUTED_VALUE"""),0.9565737753572229)</f>
        <v>0.9565737754</v>
      </c>
      <c r="AM857" s="30">
        <f>IFERROR(__xludf.DUMMYFUNCTION("""COMPUTED_VALUE"""),1.2526995664955856)</f>
        <v>1.252699566</v>
      </c>
      <c r="AN857" s="30">
        <f>IFERROR(__xludf.DUMMYFUNCTION("""COMPUTED_VALUE"""),1.1060642730790693)</f>
        <v>1.106064273</v>
      </c>
      <c r="AO857" s="30">
        <f>IFERROR(__xludf.DUMMYFUNCTION("""COMPUTED_VALUE"""),1.013914169122468)</f>
        <v>1.013914169</v>
      </c>
      <c r="AP857" s="30">
        <f>IFERROR(__xludf.DUMMYFUNCTION("""COMPUTED_VALUE"""),0.7563692510510184)</f>
        <v>0.7563692511</v>
      </c>
      <c r="AQ857" s="30">
        <f>IFERROR(__xludf.DUMMYFUNCTION("""COMPUTED_VALUE"""),1.5070842098820143)</f>
        <v>1.50708421</v>
      </c>
      <c r="AR857" s="30">
        <f>IFERROR(__xludf.DUMMYFUNCTION("""COMPUTED_VALUE"""),1.1845341628641017)</f>
        <v>1.184534163</v>
      </c>
      <c r="AS857" s="30">
        <f>IFERROR(__xludf.DUMMYFUNCTION("""COMPUTED_VALUE"""),164.0)</f>
        <v>164</v>
      </c>
      <c r="AT857" s="30">
        <f>IFERROR(__xludf.DUMMYFUNCTION("""COMPUTED_VALUE"""),0.5925971071585763)</f>
        <v>0.5925971072</v>
      </c>
      <c r="AU857" s="30">
        <f>IFERROR(__xludf.DUMMYFUNCTION("""COMPUTED_VALUE"""),1.7745517428752013)</f>
        <v>1.774551743</v>
      </c>
      <c r="AV857" s="32">
        <f>IFERROR(__xludf.DUMMYFUNCTION("""COMPUTED_VALUE"""),45.79252024283358)</f>
        <v>45.79252024</v>
      </c>
      <c r="AW857" s="32">
        <f>IFERROR(__xludf.DUMMYFUNCTION("""COMPUTED_VALUE"""),-2.3085413781073743)</f>
        <v>-2.308541378</v>
      </c>
      <c r="AX857" s="32">
        <f>IFERROR(__xludf.DUMMYFUNCTION("""COMPUTED_VALUE"""),46.949072821352885)</f>
        <v>46.94907282</v>
      </c>
      <c r="AY857" s="32">
        <f>IFERROR(__xludf.DUMMYFUNCTION("""COMPUTED_VALUE"""),-2.215159195797329)</f>
        <v>-2.215159196</v>
      </c>
      <c r="AZ857" s="30">
        <f>IFERROR(__xludf.DUMMYFUNCTION("""COMPUTED_VALUE"""),0.09338218231004536)</f>
        <v>0.09338218231</v>
      </c>
      <c r="BA857" s="30">
        <f>IFERROR(__xludf.DUMMYFUNCTION("""COMPUTED_VALUE"""),4000.0)</f>
        <v>4000</v>
      </c>
    </row>
    <row r="858">
      <c r="A858" s="71" t="str">
        <f>IFERROR(__xludf.DUMMYFUNCTION("""COMPUTED_VALUE"""),"Amateur")</f>
        <v>Amateur</v>
      </c>
      <c r="B858" s="71" t="str">
        <f>IFERROR(__xludf.DUMMYFUNCTION("""COMPUTED_VALUE"""),"RSC007216")</f>
        <v>RSC007216</v>
      </c>
      <c r="C858" s="30" t="str">
        <f>IFERROR(__xludf.DUMMYFUNCTION("""COMPUTED_VALUE"""),"ASAPxLEG")</f>
        <v>ASAPxLEG</v>
      </c>
      <c r="D858" s="30" t="str">
        <f>IFERROR(__xludf.DUMMYFUNCTION("""COMPUTED_VALUE"""),"Aeon Ale")</f>
        <v>Aeon Ale</v>
      </c>
      <c r="E858" s="30">
        <f>IFERROR(__xludf.DUMMYFUNCTION("""COMPUTED_VALUE"""),40.0)</f>
        <v>40</v>
      </c>
      <c r="F858" s="30">
        <f>IFERROR(__xludf.DUMMYFUNCTION("""COMPUTED_VALUE"""),19.0)</f>
        <v>19</v>
      </c>
      <c r="G858" s="42">
        <f>IFERROR(__xludf.DUMMYFUNCTION("""COMPUTED_VALUE"""),21.0)</f>
        <v>21</v>
      </c>
      <c r="H858" s="42">
        <f>IFERROR(__xludf.DUMMYFUNCTION("""COMPUTED_VALUE"""),0.475)</f>
        <v>0.475</v>
      </c>
      <c r="I858" s="42">
        <f>IFERROR(__xludf.DUMMYFUNCTION("""COMPUTED_VALUE"""),0.42857142857142855)</f>
        <v>0.4285714286</v>
      </c>
      <c r="J858" s="30">
        <f>IFERROR(__xludf.DUMMYFUNCTION("""COMPUTED_VALUE"""),291.8)</f>
        <v>291.8</v>
      </c>
      <c r="K858" s="30">
        <f>IFERROR(__xludf.DUMMYFUNCTION("""COMPUTED_VALUE"""),0.75)</f>
        <v>0.75</v>
      </c>
      <c r="L858" s="30">
        <f>IFERROR(__xludf.DUMMYFUNCTION("""COMPUTED_VALUE"""),0.475)</f>
        <v>0.475</v>
      </c>
      <c r="M858" s="30">
        <f>IFERROR(__xludf.DUMMYFUNCTION("""COMPUTED_VALUE"""),0.9)</f>
        <v>0.9</v>
      </c>
      <c r="N858" s="30">
        <f>IFERROR(__xludf.DUMMYFUNCTION("""COMPUTED_VALUE"""),1.75)</f>
        <v>1.75</v>
      </c>
      <c r="O858" s="30">
        <f>IFERROR(__xludf.DUMMYFUNCTION("""COMPUTED_VALUE"""),300.0854166666667)</f>
        <v>300.0854167</v>
      </c>
      <c r="P858" s="30">
        <f>IFERROR(__xludf.DUMMYFUNCTION("""COMPUTED_VALUE"""),0.8083333333333333)</f>
        <v>0.8083333333</v>
      </c>
      <c r="Q858" s="30">
        <f>IFERROR(__xludf.DUMMYFUNCTION("""COMPUTED_VALUE"""),0.47083333333333355)</f>
        <v>0.4708333333</v>
      </c>
      <c r="R858" s="30">
        <f>IFERROR(__xludf.DUMMYFUNCTION("""COMPUTED_VALUE"""),0.7979166666666667)</f>
        <v>0.7979166667</v>
      </c>
      <c r="S858" s="30">
        <f>IFERROR(__xludf.DUMMYFUNCTION("""COMPUTED_VALUE"""),2.0208333333333344)</f>
        <v>2.020833333</v>
      </c>
      <c r="T858" s="30">
        <f>IFERROR(__xludf.DUMMYFUNCTION("""COMPUTED_VALUE"""),296.87894215303606)</f>
        <v>296.8789422</v>
      </c>
      <c r="U858" s="30">
        <f>IFERROR(__xludf.DUMMYFUNCTION("""COMPUTED_VALUE"""),0.7649493960164365)</f>
        <v>0.764949396</v>
      </c>
      <c r="V858" s="30">
        <f>IFERROR(__xludf.DUMMYFUNCTION("""COMPUTED_VALUE"""),0.4375803938947815)</f>
        <v>0.4375803939</v>
      </c>
      <c r="W858" s="30">
        <f>IFERROR(__xludf.DUMMYFUNCTION("""COMPUTED_VALUE"""),0.898730736600154)</f>
        <v>0.8987307366</v>
      </c>
      <c r="X858" s="30">
        <f>IFERROR(__xludf.DUMMYFUNCTION("""COMPUTED_VALUE"""),2.1063504626414233)</f>
        <v>2.106350463</v>
      </c>
      <c r="Y858" s="30">
        <f>IFERROR(__xludf.DUMMYFUNCTION("""COMPUTED_VALUE"""),299.00472612537317)</f>
        <v>299.0047261</v>
      </c>
      <c r="Z858" s="30">
        <f>IFERROR(__xludf.DUMMYFUNCTION("""COMPUTED_VALUE"""),0.8004160740244537)</f>
        <v>0.800416074</v>
      </c>
      <c r="AA858" s="30">
        <f>IFERROR(__xludf.DUMMYFUNCTION("""COMPUTED_VALUE"""),0.44583205423226985)</f>
        <v>0.4458320542</v>
      </c>
      <c r="AB858" s="30">
        <f>IFERROR(__xludf.DUMMYFUNCTION("""COMPUTED_VALUE"""),0.9057302840877692)</f>
        <v>0.9057302841</v>
      </c>
      <c r="AC858" s="30">
        <f>IFERROR(__xludf.DUMMYFUNCTION("""COMPUTED_VALUE"""),2.095691327622201)</f>
        <v>2.095691328</v>
      </c>
      <c r="AD858" s="30">
        <f>IFERROR(__xludf.DUMMYFUNCTION("""COMPUTED_VALUE"""),0.9759043068692091)</f>
        <v>0.9759043069</v>
      </c>
      <c r="AE858" s="30">
        <f>IFERROR(__xludf.DUMMYFUNCTION("""COMPUTED_VALUE"""),0.9370126667109968)</f>
        <v>0.9370126667</v>
      </c>
      <c r="AF858" s="30">
        <f>IFERROR(__xludf.DUMMYFUNCTION("""COMPUTED_VALUE"""),1.0654236174605207)</f>
        <v>1.065423617</v>
      </c>
      <c r="AG858" s="30">
        <f>IFERROR(__xludf.DUMMYFUNCTION("""COMPUTED_VALUE"""),0.9936732996694037)</f>
        <v>0.9936732997</v>
      </c>
      <c r="AH858" s="30">
        <f>IFERROR(__xludf.DUMMYFUNCTION("""COMPUTED_VALUE"""),0.8350466392326837)</f>
        <v>0.8350466392</v>
      </c>
      <c r="AI858" s="30">
        <f>IFERROR(__xludf.DUMMYFUNCTION("""COMPUTED_VALUE"""),1.0108006128369245)</f>
        <v>1.010800613</v>
      </c>
      <c r="AJ858" s="30">
        <f>IFERROR(__xludf.DUMMYFUNCTION("""COMPUTED_VALUE"""),1.0567147807983426)</f>
        <v>1.056714781</v>
      </c>
      <c r="AK858" s="30">
        <f>IFERROR(__xludf.DUMMYFUNCTION("""COMPUTED_VALUE"""),1.0759927544801011)</f>
        <v>1.075992754</v>
      </c>
      <c r="AL858" s="30">
        <f>IFERROR(__xludf.DUMMYFUNCTION("""COMPUTED_VALUE"""),0.8878261688090684)</f>
        <v>0.8878261688</v>
      </c>
      <c r="AM858" s="30">
        <f>IFERROR(__xludf.DUMMYFUNCTION("""COMPUTED_VALUE"""),0.9594003320791887)</f>
        <v>0.9594003321</v>
      </c>
      <c r="AN858" s="30">
        <f>IFERROR(__xludf.DUMMYFUNCTION("""COMPUTED_VALUE"""),1.0513014817083792)</f>
        <v>1.051301482</v>
      </c>
      <c r="AO858" s="30">
        <f>IFERROR(__xludf.DUMMYFUNCTION("""COMPUTED_VALUE"""),1.0320197792853691)</f>
        <v>1.032019779</v>
      </c>
      <c r="AP858" s="30">
        <f>IFERROR(__xludf.DUMMYFUNCTION("""COMPUTED_VALUE"""),1.1377054151225734)</f>
        <v>1.137705415</v>
      </c>
      <c r="AQ858" s="30">
        <f>IFERROR(__xludf.DUMMYFUNCTION("""COMPUTED_VALUE"""),1.120484347347063)</f>
        <v>1.120484347</v>
      </c>
      <c r="AR858" s="30">
        <f>IFERROR(__xludf.DUMMYFUNCTION("""COMPUTED_VALUE"""),0.9054197911547445)</f>
        <v>0.9054197912</v>
      </c>
      <c r="AS858" s="30">
        <f>IFERROR(__xludf.DUMMYFUNCTION("""COMPUTED_VALUE"""),221.0)</f>
        <v>221</v>
      </c>
      <c r="AT858" s="30">
        <f>IFERROR(__xludf.DUMMYFUNCTION("""COMPUTED_VALUE"""),0.8165197350063503)</f>
        <v>0.816519735</v>
      </c>
      <c r="AU858" s="30">
        <f>IFERROR(__xludf.DUMMYFUNCTION("""COMPUTED_VALUE"""),2.0547334397326202)</f>
        <v>2.05473344</v>
      </c>
      <c r="AV858" s="32">
        <f>IFERROR(__xludf.DUMMYFUNCTION("""COMPUTED_VALUE"""),51.30309888791915)</f>
        <v>51.30309889</v>
      </c>
      <c r="AW858" s="32">
        <f>IFERROR(__xludf.DUMMYFUNCTION("""COMPUTED_VALUE"""),2.0867461955059823)</f>
        <v>2.086746196</v>
      </c>
      <c r="AX858" s="32">
        <f>IFERROR(__xludf.DUMMYFUNCTION("""COMPUTED_VALUE"""),51.93017409318208)</f>
        <v>51.93017409</v>
      </c>
      <c r="AY858" s="32">
        <f>IFERROR(__xludf.DUMMYFUNCTION("""COMPUTED_VALUE"""),2.1311535282822196)</f>
        <v>2.131153528</v>
      </c>
      <c r="AZ858" s="30">
        <f>IFERROR(__xludf.DUMMYFUNCTION("""COMPUTED_VALUE"""),0.04440733277623732)</f>
        <v>0.04440733278</v>
      </c>
      <c r="BA858" s="30">
        <f>IFERROR(__xludf.DUMMYFUNCTION("""COMPUTED_VALUE"""),4000.0)</f>
        <v>4000</v>
      </c>
    </row>
    <row r="859">
      <c r="AV859" s="32"/>
      <c r="AW859" s="32"/>
      <c r="AX859" s="32"/>
      <c r="AY859" s="32"/>
    </row>
    <row r="860">
      <c r="AV860" s="32"/>
      <c r="AW860" s="32"/>
      <c r="AX860" s="32"/>
      <c r="AY860" s="32"/>
    </row>
    <row r="861">
      <c r="AV861" s="32"/>
      <c r="AW861" s="32"/>
      <c r="AX861" s="32"/>
      <c r="AY861" s="32"/>
    </row>
    <row r="862">
      <c r="AV862" s="32"/>
      <c r="AW862" s="32"/>
      <c r="AX862" s="32"/>
      <c r="AY862" s="32"/>
    </row>
    <row r="863">
      <c r="AV863" s="32"/>
      <c r="AW863" s="32"/>
      <c r="AX863" s="32"/>
      <c r="AY863" s="32"/>
    </row>
    <row r="864">
      <c r="AV864" s="32"/>
      <c r="AW864" s="32"/>
      <c r="AX864" s="32"/>
      <c r="AY864" s="32"/>
    </row>
    <row r="865">
      <c r="AV865" s="32"/>
      <c r="AW865" s="32"/>
      <c r="AX865" s="32"/>
      <c r="AY865" s="32"/>
    </row>
    <row r="866">
      <c r="AV866" s="32"/>
      <c r="AW866" s="32"/>
      <c r="AX866" s="32"/>
      <c r="AY866" s="32"/>
    </row>
    <row r="867">
      <c r="AV867" s="32"/>
      <c r="AW867" s="32"/>
      <c r="AX867" s="32"/>
      <c r="AY867" s="32"/>
    </row>
    <row r="868">
      <c r="AV868" s="32"/>
      <c r="AW868" s="32"/>
      <c r="AX868" s="32"/>
      <c r="AY868" s="32"/>
    </row>
    <row r="869">
      <c r="AV869" s="32"/>
      <c r="AW869" s="32"/>
      <c r="AX869" s="32"/>
      <c r="AY869" s="32"/>
    </row>
    <row r="870">
      <c r="AV870" s="32"/>
      <c r="AW870" s="32"/>
      <c r="AX870" s="32"/>
      <c r="AY870" s="32"/>
    </row>
    <row r="871">
      <c r="AV871" s="32"/>
      <c r="AW871" s="32"/>
      <c r="AX871" s="32"/>
      <c r="AY871" s="32"/>
    </row>
    <row r="872">
      <c r="AV872" s="32"/>
      <c r="AW872" s="32"/>
      <c r="AX872" s="32"/>
      <c r="AY872" s="32"/>
    </row>
    <row r="873">
      <c r="AV873" s="32"/>
      <c r="AW873" s="32"/>
      <c r="AX873" s="32"/>
      <c r="AY873" s="32"/>
    </row>
    <row r="874">
      <c r="AV874" s="32"/>
      <c r="AW874" s="32"/>
      <c r="AX874" s="32"/>
      <c r="AY874" s="32"/>
    </row>
    <row r="875">
      <c r="AV875" s="32"/>
      <c r="AW875" s="32"/>
      <c r="AX875" s="32"/>
      <c r="AY875" s="32"/>
    </row>
    <row r="876">
      <c r="AV876" s="32"/>
      <c r="AW876" s="32"/>
      <c r="AX876" s="32"/>
      <c r="AY876" s="32"/>
    </row>
    <row r="877">
      <c r="AV877" s="32"/>
      <c r="AW877" s="32"/>
      <c r="AX877" s="32"/>
      <c r="AY877" s="32"/>
    </row>
    <row r="878">
      <c r="AV878" s="32"/>
      <c r="AW878" s="32"/>
      <c r="AX878" s="32"/>
      <c r="AY878" s="32"/>
    </row>
    <row r="879">
      <c r="AV879" s="32"/>
      <c r="AW879" s="32"/>
      <c r="AX879" s="32"/>
      <c r="AY879" s="32"/>
    </row>
    <row r="880">
      <c r="AV880" s="32"/>
      <c r="AW880" s="32"/>
      <c r="AX880" s="32"/>
      <c r="AY880" s="32"/>
    </row>
    <row r="881">
      <c r="AV881" s="32"/>
      <c r="AW881" s="32"/>
      <c r="AX881" s="32"/>
      <c r="AY881" s="32"/>
    </row>
    <row r="882">
      <c r="AV882" s="32"/>
      <c r="AW882" s="32"/>
      <c r="AX882" s="32"/>
      <c r="AY882" s="32"/>
    </row>
    <row r="883">
      <c r="AV883" s="32"/>
      <c r="AW883" s="32"/>
      <c r="AX883" s="32"/>
      <c r="AY883" s="32"/>
    </row>
    <row r="884">
      <c r="AV884" s="32"/>
      <c r="AW884" s="32"/>
      <c r="AX884" s="32"/>
      <c r="AY884" s="32"/>
    </row>
    <row r="885">
      <c r="AV885" s="32"/>
      <c r="AW885" s="32"/>
      <c r="AX885" s="32"/>
      <c r="AY885" s="32"/>
    </row>
    <row r="886">
      <c r="AV886" s="32"/>
      <c r="AW886" s="32"/>
      <c r="AX886" s="32"/>
      <c r="AY886" s="32"/>
    </row>
    <row r="887">
      <c r="AV887" s="32"/>
      <c r="AW887" s="32"/>
      <c r="AX887" s="32"/>
      <c r="AY887" s="32"/>
    </row>
    <row r="888">
      <c r="AV888" s="32"/>
      <c r="AW888" s="32"/>
      <c r="AX888" s="32"/>
      <c r="AY888" s="32"/>
    </row>
    <row r="889">
      <c r="AV889" s="32"/>
      <c r="AW889" s="32"/>
      <c r="AX889" s="32"/>
      <c r="AY889" s="32"/>
    </row>
    <row r="890">
      <c r="AV890" s="32"/>
      <c r="AW890" s="32"/>
      <c r="AX890" s="32"/>
      <c r="AY890" s="32"/>
    </row>
    <row r="891">
      <c r="AV891" s="32"/>
      <c r="AW891" s="32"/>
      <c r="AX891" s="32"/>
      <c r="AY891" s="32"/>
    </row>
    <row r="892">
      <c r="AV892" s="32"/>
      <c r="AW892" s="32"/>
      <c r="AX892" s="32"/>
      <c r="AY892" s="32"/>
    </row>
    <row r="893">
      <c r="AV893" s="32"/>
      <c r="AW893" s="32"/>
      <c r="AX893" s="32"/>
      <c r="AY893" s="32"/>
    </row>
    <row r="894">
      <c r="AV894" s="32"/>
      <c r="AW894" s="32"/>
      <c r="AX894" s="32"/>
      <c r="AY894" s="32"/>
    </row>
    <row r="895">
      <c r="AV895" s="32"/>
      <c r="AW895" s="32"/>
      <c r="AX895" s="32"/>
      <c r="AY895" s="32"/>
    </row>
  </sheetData>
  <conditionalFormatting sqref="A1:A1000">
    <cfRule type="expression" dxfId="15" priority="1">
      <formula>$A1="Veteran"</formula>
    </cfRule>
  </conditionalFormatting>
  <conditionalFormatting sqref="A1:A1000">
    <cfRule type="expression" dxfId="16" priority="2">
      <formula>$A1="Premier"</formula>
    </cfRule>
  </conditionalFormatting>
  <conditionalFormatting sqref="A1:A1000">
    <cfRule type="expression" dxfId="17" priority="3">
      <formula>$A1="Master"</formula>
    </cfRule>
  </conditionalFormatting>
  <conditionalFormatting sqref="A1:A1000">
    <cfRule type="expression" dxfId="18" priority="4">
      <formula>$A1="Rival"</formula>
    </cfRule>
  </conditionalFormatting>
  <conditionalFormatting sqref="A1:A1000">
    <cfRule type="expression" dxfId="19" priority="5">
      <formula>$A1="Elite"</formula>
    </cfRule>
  </conditionalFormatting>
  <conditionalFormatting sqref="A1:A1000">
    <cfRule type="expression" dxfId="20" priority="6">
      <formula>$A1="Challenger"</formula>
    </cfRule>
  </conditionalFormatting>
  <conditionalFormatting sqref="A1:A1000">
    <cfRule type="expression" dxfId="21" priority="7">
      <formula>$A1="Prospect"</formula>
    </cfRule>
  </conditionalFormatting>
  <conditionalFormatting sqref="A1:A1000">
    <cfRule type="expression" dxfId="22" priority="8">
      <formula>$A1="Contender"</formula>
    </cfRule>
  </conditionalFormatting>
  <conditionalFormatting sqref="A1:A1000">
    <cfRule type="expression" dxfId="23" priority="9">
      <formula>$A1="Amateur"</formula>
    </cfRule>
  </conditionalFormatting>
  <conditionalFormatting sqref="BI885:BI888">
    <cfRule type="notContainsBlanks" dxfId="24" priority="10">
      <formula>LEN(TRIM(BI885))&gt;0</formula>
    </cfRule>
  </conditionalFormatting>
  <conditionalFormatting sqref="AW1:AW1000">
    <cfRule type="colorScale" priority="11">
      <colorScale>
        <cfvo type="formula" val="-141.9162703"/>
        <cfvo type="formula" val="10"/>
        <cfvo type="formula" val="20"/>
        <color rgb="FFFFFFFF"/>
        <color rgb="FFFFFFFF"/>
        <color rgb="FFE67C73"/>
      </colorScale>
    </cfRule>
  </conditionalFormatting>
  <conditionalFormatting sqref="AV1:AV1000">
    <cfRule type="colorScale" priority="12">
      <colorScale>
        <cfvo type="min"/>
        <cfvo type="percentile" val="50"/>
        <cfvo type="max"/>
        <color rgb="FFE67C73"/>
        <color rgb="FFFFFFFF"/>
        <color rgb="FF57BB8A"/>
      </colorScale>
    </cfRule>
  </conditionalFormatting>
  <conditionalFormatting sqref="AX1:AX1000">
    <cfRule type="colorScale" priority="13">
      <colorScale>
        <cfvo type="min"/>
        <cfvo type="percentile" val="50"/>
        <cfvo type="max"/>
        <color rgb="FFE67C73"/>
        <color rgb="FFFFFFFF"/>
        <color rgb="FF57BB8A"/>
      </colorScale>
    </cfRule>
  </conditionalFormatting>
  <conditionalFormatting sqref="AY1:AY1000 AZ1">
    <cfRule type="colorScale" priority="14">
      <colorScale>
        <cfvo type="formula" val="-64.05199938"/>
        <cfvo type="percentile" val="50"/>
        <cfvo type="formula" val="15"/>
        <color rgb="FF57BB8A"/>
        <color rgb="FFFFFFFF"/>
        <color rgb="FFE67C73"/>
      </colorScale>
    </cfRule>
  </conditionalFormatting>
  <conditionalFormatting sqref="AY1:AY1000 AZ1">
    <cfRule type="colorScale" priority="15">
      <colorScale>
        <cfvo type="formula" val="-64.05199938"/>
        <cfvo type="percentile" val="50"/>
        <cfvo type="formula" val="15"/>
        <color rgb="FFE67C73"/>
        <color rgb="FFFFFFFF"/>
        <color rgb="FF57BB8A"/>
      </colorScale>
    </cfRule>
  </conditionalFormatting>
  <conditionalFormatting sqref="AZ2:AZ828">
    <cfRule type="colorScale" priority="16">
      <colorScale>
        <cfvo type="min"/>
        <cfvo type="max"/>
        <color rgb="FFFFFFFF"/>
        <color rgb="FFE67C73"/>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72" t="s">
        <v>127</v>
      </c>
      <c r="B1" s="73" t="s">
        <v>132</v>
      </c>
      <c r="C1" s="74" t="s">
        <v>133</v>
      </c>
      <c r="D1" s="73" t="s">
        <v>134</v>
      </c>
      <c r="E1" s="74" t="s">
        <v>12</v>
      </c>
      <c r="F1" s="74" t="s">
        <v>14</v>
      </c>
      <c r="G1" s="74" t="s">
        <v>16</v>
      </c>
      <c r="H1" s="75" t="s">
        <v>138</v>
      </c>
      <c r="I1" s="73" t="s">
        <v>139</v>
      </c>
      <c r="J1" s="73" t="s">
        <v>26</v>
      </c>
      <c r="K1" s="73" t="s">
        <v>29</v>
      </c>
      <c r="L1" s="73" t="s">
        <v>32</v>
      </c>
      <c r="M1" s="73" t="s">
        <v>35</v>
      </c>
      <c r="N1" s="73" t="s">
        <v>38</v>
      </c>
      <c r="O1" s="73" t="s">
        <v>41</v>
      </c>
      <c r="P1" s="73" t="s">
        <v>45</v>
      </c>
      <c r="Q1" s="73" t="s">
        <v>49</v>
      </c>
      <c r="R1" s="73" t="s">
        <v>53</v>
      </c>
      <c r="S1" s="73" t="s">
        <v>57</v>
      </c>
      <c r="T1" s="73" t="s">
        <v>140</v>
      </c>
      <c r="U1" s="73" t="s">
        <v>62</v>
      </c>
      <c r="V1" s="73" t="s">
        <v>65</v>
      </c>
      <c r="W1" s="73" t="s">
        <v>68</v>
      </c>
      <c r="X1" s="73" t="s">
        <v>71</v>
      </c>
      <c r="Y1" s="73" t="s">
        <v>141</v>
      </c>
      <c r="Z1" s="73" t="s">
        <v>75</v>
      </c>
      <c r="AA1" s="73" t="s">
        <v>78</v>
      </c>
      <c r="AB1" s="73" t="s">
        <v>81</v>
      </c>
      <c r="AC1" s="73" t="s">
        <v>84</v>
      </c>
      <c r="AD1" s="73" t="s">
        <v>87</v>
      </c>
      <c r="AE1" s="73" t="s">
        <v>91</v>
      </c>
      <c r="AF1" s="73" t="s">
        <v>95</v>
      </c>
      <c r="AG1" s="73" t="s">
        <v>99</v>
      </c>
      <c r="AH1" s="73" t="s">
        <v>103</v>
      </c>
      <c r="AI1" s="73" t="s">
        <v>107</v>
      </c>
      <c r="AJ1" s="73" t="s">
        <v>111</v>
      </c>
      <c r="AK1" s="73" t="s">
        <v>115</v>
      </c>
      <c r="AL1" s="73" t="s">
        <v>119</v>
      </c>
      <c r="AM1" s="73" t="s">
        <v>123</v>
      </c>
      <c r="AN1" s="73" t="s">
        <v>143</v>
      </c>
      <c r="AO1" s="73" t="s">
        <v>144</v>
      </c>
      <c r="AP1" s="73" t="s">
        <v>145</v>
      </c>
      <c r="AQ1" s="73" t="s">
        <v>146</v>
      </c>
      <c r="AR1" s="73" t="s">
        <v>147</v>
      </c>
      <c r="AS1" s="73" t="s">
        <v>148</v>
      </c>
      <c r="AT1" s="73" t="s">
        <v>22</v>
      </c>
      <c r="AU1" s="73" t="s">
        <v>149</v>
      </c>
      <c r="AV1" s="73" t="s">
        <v>4</v>
      </c>
      <c r="AW1" s="76" t="s">
        <v>135</v>
      </c>
      <c r="AX1" s="77" t="s">
        <v>136</v>
      </c>
      <c r="AY1" s="77" t="s">
        <v>137</v>
      </c>
      <c r="AZ1" s="77" t="s">
        <v>142</v>
      </c>
      <c r="BA1" s="77" t="s">
        <v>150</v>
      </c>
      <c r="BB1" s="77" t="s">
        <v>151</v>
      </c>
    </row>
    <row r="2">
      <c r="A2" s="78" t="str">
        <f>IFERROR(__xludf.DUMMYFUNCTION("query(IMPORTRANGE(Constants!$B2, ""'Player Stats'!A2:AV""), ""Select * where Col3 &lt;&gt; '' order by Col48 desc"")"),"Premier")</f>
        <v>Premier</v>
      </c>
      <c r="B2" s="79" t="str">
        <f>IFERROR(__xludf.DUMMYFUNCTION("""COMPUTED_VALUE"""),"RSC004216")</f>
        <v>RSC004216</v>
      </c>
      <c r="C2" s="80" t="str">
        <f>IFERROR(__xludf.DUMMYFUNCTION("""COMPUTED_VALUE"""),"GrEh")</f>
        <v>GrEh</v>
      </c>
      <c r="D2" s="80" t="str">
        <f>IFERROR(__xludf.DUMMYFUNCTION("""COMPUTED_VALUE"""),"Long Beards")</f>
        <v>Long Beards</v>
      </c>
      <c r="E2" s="80">
        <f>IFERROR(__xludf.DUMMYFUNCTION("""COMPUTED_VALUE"""),48.0)</f>
        <v>48</v>
      </c>
      <c r="F2" s="80">
        <f>IFERROR(__xludf.DUMMYFUNCTION("""COMPUTED_VALUE"""),32.0)</f>
        <v>32</v>
      </c>
      <c r="G2" s="80">
        <f>IFERROR(__xludf.DUMMYFUNCTION("""COMPUTED_VALUE"""),16.0)</f>
        <v>16</v>
      </c>
      <c r="H2" s="81">
        <f>IFERROR(__xludf.DUMMYFUNCTION("""COMPUTED_VALUE"""),0.6666666666666666)</f>
        <v>0.6666666667</v>
      </c>
      <c r="I2" s="81">
        <f>IFERROR(__xludf.DUMMYFUNCTION("""COMPUTED_VALUE"""),0.3202247191011236)</f>
        <v>0.3202247191</v>
      </c>
      <c r="J2" s="80">
        <f>IFERROR(__xludf.DUMMYFUNCTION("""COMPUTED_VALUE"""),401.875)</f>
        <v>401.875</v>
      </c>
      <c r="K2" s="80">
        <f>IFERROR(__xludf.DUMMYFUNCTION("""COMPUTED_VALUE"""),1.1875)</f>
        <v>1.1875</v>
      </c>
      <c r="L2" s="80">
        <f>IFERROR(__xludf.DUMMYFUNCTION("""COMPUTED_VALUE"""),0.9583333333333334)</f>
        <v>0.9583333333</v>
      </c>
      <c r="M2" s="80">
        <f>IFERROR(__xludf.DUMMYFUNCTION("""COMPUTED_VALUE"""),1.0)</f>
        <v>1</v>
      </c>
      <c r="N2" s="80">
        <f>IFERROR(__xludf.DUMMYFUNCTION("""COMPUTED_VALUE"""),3.7083333333333335)</f>
        <v>3.708333333</v>
      </c>
      <c r="O2" s="80">
        <f>IFERROR(__xludf.DUMMYFUNCTION("""COMPUTED_VALUE"""),379.3680555555556)</f>
        <v>379.3680556</v>
      </c>
      <c r="P2" s="80">
        <f>IFERROR(__xludf.DUMMYFUNCTION("""COMPUTED_VALUE"""),0.7013888888888888)</f>
        <v>0.7013888889</v>
      </c>
      <c r="Q2" s="80">
        <f>IFERROR(__xludf.DUMMYFUNCTION("""COMPUTED_VALUE"""),0.5069444444444443)</f>
        <v>0.5069444444</v>
      </c>
      <c r="R2" s="80">
        <f>IFERROR(__xludf.DUMMYFUNCTION("""COMPUTED_VALUE"""),1.840277777777778)</f>
        <v>1.840277778</v>
      </c>
      <c r="S2" s="80">
        <f>IFERROR(__xludf.DUMMYFUNCTION("""COMPUTED_VALUE"""),2.409722222222222)</f>
        <v>2.409722222</v>
      </c>
      <c r="T2" s="80">
        <f>IFERROR(__xludf.DUMMYFUNCTION("""COMPUTED_VALUE"""),373.7147375971709)</f>
        <v>373.7147376</v>
      </c>
      <c r="U2" s="80">
        <f>IFERROR(__xludf.DUMMYFUNCTION("""COMPUTED_VALUE"""),0.7973737417140633)</f>
        <v>0.7973737417</v>
      </c>
      <c r="V2" s="80">
        <f>IFERROR(__xludf.DUMMYFUNCTION("""COMPUTED_VALUE"""),0.6130584522273491)</f>
        <v>0.6130584522</v>
      </c>
      <c r="W2" s="80">
        <f>IFERROR(__xludf.DUMMYFUNCTION("""COMPUTED_VALUE"""),1.4915034341302043)</f>
        <v>1.491503434</v>
      </c>
      <c r="X2" s="80">
        <f>IFERROR(__xludf.DUMMYFUNCTION("""COMPUTED_VALUE"""),2.707798897366652)</f>
        <v>2.707798897</v>
      </c>
      <c r="Y2" s="80">
        <f>IFERROR(__xludf.DUMMYFUNCTION("""COMPUTED_VALUE"""),374.08847958946416)</f>
        <v>374.0884796</v>
      </c>
      <c r="Z2" s="80">
        <f>IFERROR(__xludf.DUMMYFUNCTION("""COMPUTED_VALUE"""),0.8400102516195219)</f>
        <v>0.8400102516</v>
      </c>
      <c r="AA2" s="80">
        <f>IFERROR(__xludf.DUMMYFUNCTION("""COMPUTED_VALUE"""),0.6611822953421695)</f>
        <v>0.6611822953</v>
      </c>
      <c r="AB2" s="80">
        <f>IFERROR(__xludf.DUMMYFUNCTION("""COMPUTED_VALUE"""),1.4178318283536624)</f>
        <v>1.417831828</v>
      </c>
      <c r="AC2" s="80">
        <f>IFERROR(__xludf.DUMMYFUNCTION("""COMPUTED_VALUE"""),2.7492465946009332)</f>
        <v>2.749246595</v>
      </c>
      <c r="AD2" s="80">
        <f>IFERROR(__xludf.DUMMYFUNCTION("""COMPUTED_VALUE"""),1.0742779367090631)</f>
        <v>1.074277937</v>
      </c>
      <c r="AE2" s="80">
        <f>IFERROR(__xludf.DUMMYFUNCTION("""COMPUTED_VALUE"""),1.4136732232856983)</f>
        <v>1.413673223</v>
      </c>
      <c r="AF2" s="80">
        <f>IFERROR(__xludf.DUMMYFUNCTION("""COMPUTED_VALUE"""),1.4494237672189705)</f>
        <v>1.449423767</v>
      </c>
      <c r="AG2" s="80">
        <f>IFERROR(__xludf.DUMMYFUNCTION("""COMPUTED_VALUE"""),0.7053022650515369)</f>
        <v>0.7053022651</v>
      </c>
      <c r="AH2" s="80">
        <f>IFERROR(__xludf.DUMMYFUNCTION("""COMPUTED_VALUE"""),1.3488543881861628)</f>
        <v>1.348854388</v>
      </c>
      <c r="AI2" s="80">
        <f>IFERROR(__xludf.DUMMYFUNCTION("""COMPUTED_VALUE"""),1.0151273615665606)</f>
        <v>1.015127362</v>
      </c>
      <c r="AJ2" s="80">
        <f>IFERROR(__xludf.DUMMYFUNCTION("""COMPUTED_VALUE"""),0.879623760096687)</f>
        <v>0.8796237601</v>
      </c>
      <c r="AK2" s="80">
        <f>IFERROR(__xludf.DUMMYFUNCTION("""COMPUTED_VALUE"""),0.8269104562584955)</f>
        <v>0.8269104563</v>
      </c>
      <c r="AL2" s="80">
        <f>IFERROR(__xludf.DUMMYFUNCTION("""COMPUTED_VALUE"""),1.2338407915573908)</f>
        <v>1.233840792</v>
      </c>
      <c r="AM2" s="80">
        <f>IFERROR(__xludf.DUMMYFUNCTION("""COMPUTED_VALUE"""),0.8899191976795946)</f>
        <v>0.8899191977</v>
      </c>
      <c r="AN2" s="80">
        <f>IFERROR(__xludf.DUMMYFUNCTION("""COMPUTED_VALUE"""),1.1012694698136731)</f>
        <v>1.10126947</v>
      </c>
      <c r="AO2" s="80">
        <f>IFERROR(__xludf.DUMMYFUNCTION("""COMPUTED_VALUE"""),1.4997488390039069)</f>
        <v>1.499748839</v>
      </c>
      <c r="AP2" s="80">
        <f>IFERROR(__xludf.DUMMYFUNCTION("""COMPUTED_VALUE"""),1.6098821011202316)</f>
        <v>1.609882101</v>
      </c>
      <c r="AQ2" s="80">
        <f>IFERROR(__xludf.DUMMYFUNCTION("""COMPUTED_VALUE"""),0.6952051403773417)</f>
        <v>0.6952051404</v>
      </c>
      <c r="AR2" s="80">
        <f>IFERROR(__xludf.DUMMYFUNCTION("""COMPUTED_VALUE"""),1.398285093175466)</f>
        <v>1.398285093</v>
      </c>
      <c r="AS2" s="80">
        <f>IFERROR(__xludf.DUMMYFUNCTION("""COMPUTED_VALUE"""),153.0)</f>
        <v>153</v>
      </c>
      <c r="AT2" s="80">
        <f>IFERROR(__xludf.DUMMYFUNCTION("""COMPUTED_VALUE"""),0.6614949965987108)</f>
        <v>0.6614949966</v>
      </c>
      <c r="AU2" s="80">
        <f>IFERROR(__xludf.DUMMYFUNCTION("""COMPUTED_VALUE"""),4.1132784828295295)</f>
        <v>4.113278483</v>
      </c>
      <c r="AV2" s="80">
        <f>IFERROR(__xludf.DUMMYFUNCTION("""COMPUTED_VALUE"""),101.83291421401691)</f>
        <v>101.8329142</v>
      </c>
      <c r="AW2" s="82">
        <f t="shared" ref="AW2:AW4492" si="1">IFERROR(IF(AV2="",,ABS(((AV2-50)/25))/((AV2-50)/25)*2/(1-ERF(ABS(((AV2-50)/25))/SQRT(2)))))</f>
        <v>52.43449735</v>
      </c>
      <c r="AX2" s="83">
        <f t="array" ref="AX2">IFERROR(DGET('SBV Import'!A:G,"SBV",{"RSC ID","Tier";B2,A2}))</f>
        <v>73.37926306</v>
      </c>
      <c r="AY2" s="82">
        <f t="shared" ref="AY2:AY4492" si="2">IFERROR(IF(AX2="",,ABS(((AX2-50)/25))/((AX2-50)/25)*2/(1-ERF(ABS(((AX2-50)/25))/SQRT(2)))))</f>
        <v>5.719180888</v>
      </c>
      <c r="AZ2" s="82">
        <f t="array" ref="AZ2:AZ4492">IF(C2:C4492="",,ABS(AW2:AW4492-AY2:AY4492))</f>
        <v>46.71531646</v>
      </c>
      <c r="BA2" s="84">
        <f t="array" ref="BA2:BA4492">if(A2:A4492="","",MATCH(A2:A4492,A:A,0))</f>
        <v>2</v>
      </c>
      <c r="BB2" s="84" t="b">
        <f>IFERROR(__xludf.DUMMYFUNCTION("iferror(if(A2="""",,E2&gt;=FILTER(Constants!$F$2:$F$10,Constants!$A$2:$A$10=A2)))"),TRUE)</f>
        <v>1</v>
      </c>
    </row>
    <row r="3">
      <c r="A3" s="80" t="str">
        <f>IFERROR(__xludf.DUMMYFUNCTION("""COMPUTED_VALUE"""),"Premier")</f>
        <v>Premier</v>
      </c>
      <c r="B3" s="79" t="str">
        <f>IFERROR(__xludf.DUMMYFUNCTION("""COMPUTED_VALUE"""),"RSC004459")</f>
        <v>RSC004459</v>
      </c>
      <c r="C3" s="80" t="str">
        <f>IFERROR(__xludf.DUMMYFUNCTION("""COMPUTED_VALUE"""),"phoenix")</f>
        <v>phoenix</v>
      </c>
      <c r="D3" s="80" t="str">
        <f>IFERROR(__xludf.DUMMYFUNCTION("""COMPUTED_VALUE"""),"Long Beards")</f>
        <v>Long Beards</v>
      </c>
      <c r="E3" s="80">
        <f>IFERROR(__xludf.DUMMYFUNCTION("""COMPUTED_VALUE"""),48.0)</f>
        <v>48</v>
      </c>
      <c r="F3" s="80">
        <f>IFERROR(__xludf.DUMMYFUNCTION("""COMPUTED_VALUE"""),32.0)</f>
        <v>32</v>
      </c>
      <c r="G3" s="80">
        <f>IFERROR(__xludf.DUMMYFUNCTION("""COMPUTED_VALUE"""),16.0)</f>
        <v>16</v>
      </c>
      <c r="H3" s="81">
        <f>IFERROR(__xludf.DUMMYFUNCTION("""COMPUTED_VALUE"""),0.6666666666666666)</f>
        <v>0.6666666667</v>
      </c>
      <c r="I3" s="81">
        <f>IFERROR(__xludf.DUMMYFUNCTION("""COMPUTED_VALUE"""),0.31901840490797545)</f>
        <v>0.3190184049</v>
      </c>
      <c r="J3" s="80">
        <f>IFERROR(__xludf.DUMMYFUNCTION("""COMPUTED_VALUE"""),420.0416666666667)</f>
        <v>420.0416667</v>
      </c>
      <c r="K3" s="80">
        <f>IFERROR(__xludf.DUMMYFUNCTION("""COMPUTED_VALUE"""),1.0833333333333333)</f>
        <v>1.083333333</v>
      </c>
      <c r="L3" s="80">
        <f>IFERROR(__xludf.DUMMYFUNCTION("""COMPUTED_VALUE"""),0.8333333333333334)</f>
        <v>0.8333333333</v>
      </c>
      <c r="M3" s="80">
        <f>IFERROR(__xludf.DUMMYFUNCTION("""COMPUTED_VALUE"""),1.6875)</f>
        <v>1.6875</v>
      </c>
      <c r="N3" s="80">
        <f>IFERROR(__xludf.DUMMYFUNCTION("""COMPUTED_VALUE"""),3.3958333333333335)</f>
        <v>3.395833333</v>
      </c>
      <c r="O3" s="80">
        <f>IFERROR(__xludf.DUMMYFUNCTION("""COMPUTED_VALUE"""),379.3680555555556)</f>
        <v>379.3680556</v>
      </c>
      <c r="P3" s="80">
        <f>IFERROR(__xludf.DUMMYFUNCTION("""COMPUTED_VALUE"""),0.7013888888888888)</f>
        <v>0.7013888889</v>
      </c>
      <c r="Q3" s="80">
        <f>IFERROR(__xludf.DUMMYFUNCTION("""COMPUTED_VALUE"""),0.5069444444444443)</f>
        <v>0.5069444444</v>
      </c>
      <c r="R3" s="80">
        <f>IFERROR(__xludf.DUMMYFUNCTION("""COMPUTED_VALUE"""),1.840277777777778)</f>
        <v>1.840277778</v>
      </c>
      <c r="S3" s="80">
        <f>IFERROR(__xludf.DUMMYFUNCTION("""COMPUTED_VALUE"""),2.409722222222222)</f>
        <v>2.409722222</v>
      </c>
      <c r="T3" s="80">
        <f>IFERROR(__xludf.DUMMYFUNCTION("""COMPUTED_VALUE"""),373.7147375971709)</f>
        <v>373.7147376</v>
      </c>
      <c r="U3" s="80">
        <f>IFERROR(__xludf.DUMMYFUNCTION("""COMPUTED_VALUE"""),0.7973737417140633)</f>
        <v>0.7973737417</v>
      </c>
      <c r="V3" s="80">
        <f>IFERROR(__xludf.DUMMYFUNCTION("""COMPUTED_VALUE"""),0.6130584522273491)</f>
        <v>0.6130584522</v>
      </c>
      <c r="W3" s="80">
        <f>IFERROR(__xludf.DUMMYFUNCTION("""COMPUTED_VALUE"""),1.4915034341302043)</f>
        <v>1.491503434</v>
      </c>
      <c r="X3" s="80">
        <f>IFERROR(__xludf.DUMMYFUNCTION("""COMPUTED_VALUE"""),2.707798897366652)</f>
        <v>2.707798897</v>
      </c>
      <c r="Y3" s="80">
        <f>IFERROR(__xludf.DUMMYFUNCTION("""COMPUTED_VALUE"""),374.08847958946416)</f>
        <v>374.0884796</v>
      </c>
      <c r="Z3" s="80">
        <f>IFERROR(__xludf.DUMMYFUNCTION("""COMPUTED_VALUE"""),0.8400102516195219)</f>
        <v>0.8400102516</v>
      </c>
      <c r="AA3" s="80">
        <f>IFERROR(__xludf.DUMMYFUNCTION("""COMPUTED_VALUE"""),0.6611822953421695)</f>
        <v>0.6611822953</v>
      </c>
      <c r="AB3" s="80">
        <f>IFERROR(__xludf.DUMMYFUNCTION("""COMPUTED_VALUE"""),1.4178318283536624)</f>
        <v>1.417831828</v>
      </c>
      <c r="AC3" s="80">
        <f>IFERROR(__xludf.DUMMYFUNCTION("""COMPUTED_VALUE"""),2.7492465946009332)</f>
        <v>2.749246595</v>
      </c>
      <c r="AD3" s="80">
        <f>IFERROR(__xludf.DUMMYFUNCTION("""COMPUTED_VALUE"""),1.1228404230133815)</f>
        <v>1.122840423</v>
      </c>
      <c r="AE3" s="80">
        <f>IFERROR(__xludf.DUMMYFUNCTION("""COMPUTED_VALUE"""),1.2896668001904614)</f>
        <v>1.2896668</v>
      </c>
      <c r="AF3" s="80">
        <f>IFERROR(__xludf.DUMMYFUNCTION("""COMPUTED_VALUE"""),1.2603684932338874)</f>
        <v>1.260368493</v>
      </c>
      <c r="AG3" s="80">
        <f>IFERROR(__xludf.DUMMYFUNCTION("""COMPUTED_VALUE"""),1.1901975722744687)</f>
        <v>1.190197572</v>
      </c>
      <c r="AH3" s="80">
        <f>IFERROR(__xludf.DUMMYFUNCTION("""COMPUTED_VALUE"""),1.2351868835637334)</f>
        <v>1.235186884</v>
      </c>
      <c r="AI3" s="80">
        <f>IFERROR(__xludf.DUMMYFUNCTION("""COMPUTED_VALUE"""),1.0151273615665606)</f>
        <v>1.015127362</v>
      </c>
      <c r="AJ3" s="80">
        <f>IFERROR(__xludf.DUMMYFUNCTION("""COMPUTED_VALUE"""),0.879623760096687)</f>
        <v>0.8796237601</v>
      </c>
      <c r="AK3" s="80">
        <f>IFERROR(__xludf.DUMMYFUNCTION("""COMPUTED_VALUE"""),0.8269104562584955)</f>
        <v>0.8269104563</v>
      </c>
      <c r="AL3" s="80">
        <f>IFERROR(__xludf.DUMMYFUNCTION("""COMPUTED_VALUE"""),1.2338407915573908)</f>
        <v>1.233840792</v>
      </c>
      <c r="AM3" s="80">
        <f>IFERROR(__xludf.DUMMYFUNCTION("""COMPUTED_VALUE"""),0.8899191976795946)</f>
        <v>0.8899191977</v>
      </c>
      <c r="AN3" s="80">
        <f>IFERROR(__xludf.DUMMYFUNCTION("""COMPUTED_VALUE"""),1.1510521021453228)</f>
        <v>1.151052102</v>
      </c>
      <c r="AO3" s="80">
        <f>IFERROR(__xludf.DUMMYFUNCTION("""COMPUTED_VALUE"""),1.3681919233018098)</f>
        <v>1.368191923</v>
      </c>
      <c r="AP3" s="80">
        <f>IFERROR(__xludf.DUMMYFUNCTION("""COMPUTED_VALUE"""),1.399897479234984)</f>
        <v>1.399897479</v>
      </c>
      <c r="AQ3" s="80">
        <f>IFERROR(__xludf.DUMMYFUNCTION("""COMPUTED_VALUE"""),1.1731586743867641)</f>
        <v>1.173158674</v>
      </c>
      <c r="AR3" s="80">
        <f>IFERROR(__xludf.DUMMYFUNCTION("""COMPUTED_VALUE"""),1.2804520797056234)</f>
        <v>1.28045208</v>
      </c>
      <c r="AS3" s="80">
        <f>IFERROR(__xludf.DUMMYFUNCTION("""COMPUTED_VALUE"""),153.0)</f>
        <v>153</v>
      </c>
      <c r="AT3" s="80">
        <f>IFERROR(__xludf.DUMMYFUNCTION("""COMPUTED_VALUE"""),0.6614949965987108)</f>
        <v>0.6614949966</v>
      </c>
      <c r="AU3" s="80">
        <f>IFERROR(__xludf.DUMMYFUNCTION("""COMPUTED_VALUE"""),3.7197053419652972)</f>
        <v>3.719705342</v>
      </c>
      <c r="AV3" s="80">
        <f>IFERROR(__xludf.DUMMYFUNCTION("""COMPUTED_VALUE"""),89.93916540036744)</f>
        <v>89.9391654</v>
      </c>
      <c r="AW3" s="82">
        <f t="shared" si="1"/>
        <v>18.15879595</v>
      </c>
      <c r="AX3" s="83">
        <f t="array" ref="AX3">IFERROR(DGET('SBV Import'!A:G,"SBV",{"RSC ID","Tier";B3,A3}))</f>
        <v>67.70782986</v>
      </c>
      <c r="AY3" s="82">
        <f t="shared" si="2"/>
        <v>4.177538841</v>
      </c>
      <c r="AZ3" s="82">
        <v>13.981257110699813</v>
      </c>
      <c r="BA3" s="84">
        <v>2.0</v>
      </c>
      <c r="BB3" s="84" t="b">
        <f>IFERROR(__xludf.DUMMYFUNCTION("iferror(if(A3="""",,E3&gt;=FILTER(Constants!$F$2:$F$10,Constants!$A$2:$A$10=A3)))"),TRUE)</f>
        <v>1</v>
      </c>
    </row>
    <row r="4">
      <c r="A4" s="80" t="str">
        <f>IFERROR(__xludf.DUMMYFUNCTION("""COMPUTED_VALUE"""),"Premier")</f>
        <v>Premier</v>
      </c>
      <c r="B4" s="79" t="str">
        <f>IFERROR(__xludf.DUMMYFUNCTION("""COMPUTED_VALUE"""),"RSC007982")</f>
        <v>RSC007982</v>
      </c>
      <c r="C4" s="80" t="str">
        <f>IFERROR(__xludf.DUMMYFUNCTION("""COMPUTED_VALUE"""),"Cadomac")</f>
        <v>Cadomac</v>
      </c>
      <c r="D4" s="80" t="str">
        <f>IFERROR(__xludf.DUMMYFUNCTION("""COMPUTED_VALUE"""),"Hurricanes")</f>
        <v>Hurricanes</v>
      </c>
      <c r="E4" s="80">
        <f>IFERROR(__xludf.DUMMYFUNCTION("""COMPUTED_VALUE"""),43.0)</f>
        <v>43</v>
      </c>
      <c r="F4" s="80">
        <f>IFERROR(__xludf.DUMMYFUNCTION("""COMPUTED_VALUE"""),23.0)</f>
        <v>23</v>
      </c>
      <c r="G4" s="80">
        <f>IFERROR(__xludf.DUMMYFUNCTION("""COMPUTED_VALUE"""),20.0)</f>
        <v>20</v>
      </c>
      <c r="H4" s="81">
        <f>IFERROR(__xludf.DUMMYFUNCTION("""COMPUTED_VALUE"""),0.5348837209302325)</f>
        <v>0.5348837209</v>
      </c>
      <c r="I4" s="81">
        <f>IFERROR(__xludf.DUMMYFUNCTION("""COMPUTED_VALUE"""),0.26973684210526316)</f>
        <v>0.2697368421</v>
      </c>
      <c r="J4" s="80">
        <f>IFERROR(__xludf.DUMMYFUNCTION("""COMPUTED_VALUE"""),455.83720930232556)</f>
        <v>455.8372093</v>
      </c>
      <c r="K4" s="80">
        <f>IFERROR(__xludf.DUMMYFUNCTION("""COMPUTED_VALUE"""),0.9534883720930233)</f>
        <v>0.9534883721</v>
      </c>
      <c r="L4" s="80">
        <f>IFERROR(__xludf.DUMMYFUNCTION("""COMPUTED_VALUE"""),0.813953488372093)</f>
        <v>0.8139534884</v>
      </c>
      <c r="M4" s="80">
        <f>IFERROR(__xludf.DUMMYFUNCTION("""COMPUTED_VALUE"""),1.744186046511628)</f>
        <v>1.744186047</v>
      </c>
      <c r="N4" s="80">
        <f>IFERROR(__xludf.DUMMYFUNCTION("""COMPUTED_VALUE"""),3.5348837209302326)</f>
        <v>3.534883721</v>
      </c>
      <c r="O4" s="80">
        <f>IFERROR(__xludf.DUMMYFUNCTION("""COMPUTED_VALUE"""),387.5581395348837)</f>
        <v>387.5581395</v>
      </c>
      <c r="P4" s="80">
        <f>IFERROR(__xludf.DUMMYFUNCTION("""COMPUTED_VALUE"""),0.7751937984496121)</f>
        <v>0.7751937984</v>
      </c>
      <c r="Q4" s="80">
        <f>IFERROR(__xludf.DUMMYFUNCTION("""COMPUTED_VALUE"""),0.6046511627906976)</f>
        <v>0.6046511628</v>
      </c>
      <c r="R4" s="80">
        <f>IFERROR(__xludf.DUMMYFUNCTION("""COMPUTED_VALUE"""),1.7209302325581395)</f>
        <v>1.720930233</v>
      </c>
      <c r="S4" s="80">
        <f>IFERROR(__xludf.DUMMYFUNCTION("""COMPUTED_VALUE"""),2.7054263565891468)</f>
        <v>2.705426357</v>
      </c>
      <c r="T4" s="80">
        <f>IFERROR(__xludf.DUMMYFUNCTION("""COMPUTED_VALUE"""),374.3676368094415)</f>
        <v>374.3676368</v>
      </c>
      <c r="U4" s="80">
        <f>IFERROR(__xludf.DUMMYFUNCTION("""COMPUTED_VALUE"""),0.8564998353312397)</f>
        <v>0.8564998353</v>
      </c>
      <c r="V4" s="80">
        <f>IFERROR(__xludf.DUMMYFUNCTION("""COMPUTED_VALUE"""),0.6615410990907097)</f>
        <v>0.6615410991</v>
      </c>
      <c r="W4" s="80">
        <f>IFERROR(__xludf.DUMMYFUNCTION("""COMPUTED_VALUE"""),1.41682393592039)</f>
        <v>1.416823936</v>
      </c>
      <c r="X4" s="80">
        <f>IFERROR(__xludf.DUMMYFUNCTION("""COMPUTED_VALUE"""),2.732278425574378)</f>
        <v>2.732278426</v>
      </c>
      <c r="Y4" s="80">
        <f>IFERROR(__xludf.DUMMYFUNCTION("""COMPUTED_VALUE"""),374.7436167983826)</f>
        <v>374.7436168</v>
      </c>
      <c r="Z4" s="80">
        <f>IFERROR(__xludf.DUMMYFUNCTION("""COMPUTED_VALUE"""),0.8278496601347834)</f>
        <v>0.8278496601</v>
      </c>
      <c r="AA4" s="80">
        <f>IFERROR(__xludf.DUMMYFUNCTION("""COMPUTED_VALUE"""),0.6407912360277012)</f>
        <v>0.640791236</v>
      </c>
      <c r="AB4" s="80">
        <f>IFERROR(__xludf.DUMMYFUNCTION("""COMPUTED_VALUE"""),1.4453412928853941)</f>
        <v>1.445341293</v>
      </c>
      <c r="AC4" s="80">
        <f>IFERROR(__xludf.DUMMYFUNCTION("""COMPUTED_VALUE"""),2.7214786250180554)</f>
        <v>2.721478625</v>
      </c>
      <c r="AD4" s="80">
        <f>IFERROR(__xludf.DUMMYFUNCTION("""COMPUTED_VALUE"""),1.2163975285203388)</f>
        <v>1.216397529</v>
      </c>
      <c r="AE4" s="80">
        <f>IFERROR(__xludf.DUMMYFUNCTION("""COMPUTED_VALUE"""),1.1517651308062196)</f>
        <v>1.151765131</v>
      </c>
      <c r="AF4" s="80">
        <f>IFERROR(__xludf.DUMMYFUNCTION("""COMPUTED_VALUE"""),1.2702319298525895)</f>
        <v>1.27023193</v>
      </c>
      <c r="AG4" s="80">
        <f>IFERROR(__xludf.DUMMYFUNCTION("""COMPUTED_VALUE"""),1.206764142903326)</f>
        <v>1.206764143</v>
      </c>
      <c r="AH4" s="80">
        <f>IFERROR(__xludf.DUMMYFUNCTION("""COMPUTED_VALUE"""),1.2988835144375903)</f>
        <v>1.298883514</v>
      </c>
      <c r="AI4" s="80">
        <f>IFERROR(__xludf.DUMMYFUNCTION("""COMPUTED_VALUE"""),1.035234089244088)</f>
        <v>1.035234089</v>
      </c>
      <c r="AJ4" s="80">
        <f>IFERROR(__xludf.DUMMYFUNCTION("""COMPUTED_VALUE"""),0.9050717425413356)</f>
        <v>0.9050717425</v>
      </c>
      <c r="AK4" s="80">
        <f>IFERROR(__xludf.DUMMYFUNCTION("""COMPUTED_VALUE"""),0.9140039275289057)</f>
        <v>0.9140039275</v>
      </c>
      <c r="AL4" s="80">
        <f>IFERROR(__xludf.DUMMYFUNCTION("""COMPUTED_VALUE"""),1.214639440319871)</f>
        <v>1.21463944</v>
      </c>
      <c r="AM4" s="80">
        <f>IFERROR(__xludf.DUMMYFUNCTION("""COMPUTED_VALUE"""),0.9901722793936762)</f>
        <v>0.9901722794</v>
      </c>
      <c r="AN4" s="80">
        <f>IFERROR(__xludf.DUMMYFUNCTION("""COMPUTED_VALUE"""),1.2491436436944732)</f>
        <v>1.249143644</v>
      </c>
      <c r="AO4" s="80">
        <f>IFERROR(__xludf.DUMMYFUNCTION("""COMPUTED_VALUE"""),1.2042046981475678)</f>
        <v>1.204204698</v>
      </c>
      <c r="AP4" s="80">
        <f>IFERROR(__xludf.DUMMYFUNCTION("""COMPUTED_VALUE"""),1.3673417239039378)</f>
        <v>1.367341724</v>
      </c>
      <c r="AQ4" s="80">
        <f>IFERROR(__xludf.DUMMYFUNCTION("""COMPUTED_VALUE"""),1.212567105309317)</f>
        <v>1.212567105</v>
      </c>
      <c r="AR4" s="80">
        <f>IFERROR(__xludf.DUMMYFUNCTION("""COMPUTED_VALUE"""),1.3328832035286386)</f>
        <v>1.332883204</v>
      </c>
      <c r="AS4" s="80">
        <f>IFERROR(__xludf.DUMMYFUNCTION("""COMPUTED_VALUE"""),106.0)</f>
        <v>106</v>
      </c>
      <c r="AT4" s="80">
        <f>IFERROR(__xludf.DUMMYFUNCTION("""COMPUTED_VALUE"""),0.5228217775647955)</f>
        <v>0.5228217776</v>
      </c>
      <c r="AU4" s="80">
        <f>IFERROR(__xludf.DUMMYFUNCTION("""COMPUTED_VALUE"""),3.613427646458688)</f>
        <v>3.613427646</v>
      </c>
      <c r="AV4" s="80">
        <f>IFERROR(__xludf.DUMMYFUNCTION("""COMPUTED_VALUE"""),86.72746194907634)</f>
        <v>86.72746195</v>
      </c>
      <c r="AW4" s="82">
        <f t="shared" si="1"/>
        <v>14.10376757</v>
      </c>
      <c r="AX4" s="83">
        <f t="array" ref="AX4">IFERROR(DGET('SBV Import'!A:G,"SBV",{"RSC ID","Tier";B4,A4}))</f>
        <v>73.34217421</v>
      </c>
      <c r="AY4" s="82">
        <f t="shared" si="2"/>
        <v>5.706697613</v>
      </c>
      <c r="AZ4" s="82">
        <v>8.397069956669789</v>
      </c>
      <c r="BA4" s="84">
        <v>2.0</v>
      </c>
      <c r="BB4" s="84" t="b">
        <f>IFERROR(__xludf.DUMMYFUNCTION("iferror(if(A4="""",,E4&gt;=FILTER(Constants!$F$2:$F$10,Constants!$A$2:$A$10=A4)))"),TRUE)</f>
        <v>1</v>
      </c>
    </row>
    <row r="5">
      <c r="A5" s="80" t="str">
        <f>IFERROR(__xludf.DUMMYFUNCTION("""COMPUTED_VALUE"""),"Premier")</f>
        <v>Premier</v>
      </c>
      <c r="B5" s="79" t="str">
        <f>IFERROR(__xludf.DUMMYFUNCTION("""COMPUTED_VALUE"""),"RSC007460")</f>
        <v>RSC007460</v>
      </c>
      <c r="C5" s="80" t="str">
        <f>IFERROR(__xludf.DUMMYFUNCTION("""COMPUTED_VALUE"""),"mogii")</f>
        <v>mogii</v>
      </c>
      <c r="D5" s="80" t="str">
        <f>IFERROR(__xludf.DUMMYFUNCTION("""COMPUTED_VALUE"""),"Gummy Bears")</f>
        <v>Gummy Bears</v>
      </c>
      <c r="E5" s="80">
        <f>IFERROR(__xludf.DUMMYFUNCTION("""COMPUTED_VALUE"""),35.0)</f>
        <v>35</v>
      </c>
      <c r="F5" s="80">
        <f>IFERROR(__xludf.DUMMYFUNCTION("""COMPUTED_VALUE"""),19.0)</f>
        <v>19</v>
      </c>
      <c r="G5" s="80">
        <f>IFERROR(__xludf.DUMMYFUNCTION("""COMPUTED_VALUE"""),16.0)</f>
        <v>16</v>
      </c>
      <c r="H5" s="81">
        <f>IFERROR(__xludf.DUMMYFUNCTION("""COMPUTED_VALUE"""),0.5428571428571428)</f>
        <v>0.5428571429</v>
      </c>
      <c r="I5" s="81">
        <f>IFERROR(__xludf.DUMMYFUNCTION("""COMPUTED_VALUE"""),0.3445378151260505)</f>
        <v>0.3445378151</v>
      </c>
      <c r="J5" s="80">
        <f>IFERROR(__xludf.DUMMYFUNCTION("""COMPUTED_VALUE"""),429.57142857142856)</f>
        <v>429.5714286</v>
      </c>
      <c r="K5" s="80">
        <f>IFERROR(__xludf.DUMMYFUNCTION("""COMPUTED_VALUE"""),1.1714285714285715)</f>
        <v>1.171428571</v>
      </c>
      <c r="L5" s="80">
        <f>IFERROR(__xludf.DUMMYFUNCTION("""COMPUTED_VALUE"""),0.6)</f>
        <v>0.6</v>
      </c>
      <c r="M5" s="80">
        <f>IFERROR(__xludf.DUMMYFUNCTION("""COMPUTED_VALUE"""),1.6571428571428573)</f>
        <v>1.657142857</v>
      </c>
      <c r="N5" s="80">
        <f>IFERROR(__xludf.DUMMYFUNCTION("""COMPUTED_VALUE"""),3.4)</f>
        <v>3.4</v>
      </c>
      <c r="O5" s="80">
        <f>IFERROR(__xludf.DUMMYFUNCTION("""COMPUTED_VALUE"""),342.43809523809523)</f>
        <v>342.4380952</v>
      </c>
      <c r="P5" s="80">
        <f>IFERROR(__xludf.DUMMYFUNCTION("""COMPUTED_VALUE"""),0.7714285714285715)</f>
        <v>0.7714285714</v>
      </c>
      <c r="Q5" s="80">
        <f>IFERROR(__xludf.DUMMYFUNCTION("""COMPUTED_VALUE"""),0.580952380952381)</f>
        <v>0.580952381</v>
      </c>
      <c r="R5" s="80">
        <f>IFERROR(__xludf.DUMMYFUNCTION("""COMPUTED_VALUE"""),1.2857142857142856)</f>
        <v>1.285714286</v>
      </c>
      <c r="S5" s="80">
        <f>IFERROR(__xludf.DUMMYFUNCTION("""COMPUTED_VALUE"""),2.676190476190477)</f>
        <v>2.676190476</v>
      </c>
      <c r="T5" s="80">
        <f>IFERROR(__xludf.DUMMYFUNCTION("""COMPUTED_VALUE"""),370.038466892398)</f>
        <v>370.0384669</v>
      </c>
      <c r="U5" s="80">
        <f>IFERROR(__xludf.DUMMYFUNCTION("""COMPUTED_VALUE"""),0.8148704708894442)</f>
        <v>0.8148704709</v>
      </c>
      <c r="V5" s="80">
        <f>IFERROR(__xludf.DUMMYFUNCTION("""COMPUTED_VALUE"""),0.6917882837277501)</f>
        <v>0.6917882837</v>
      </c>
      <c r="W5" s="80">
        <f>IFERROR(__xludf.DUMMYFUNCTION("""COMPUTED_VALUE"""),1.3921078593793688)</f>
        <v>1.392107859</v>
      </c>
      <c r="X5" s="80">
        <f>IFERROR(__xludf.DUMMYFUNCTION("""COMPUTED_VALUE"""),2.7335188992423616)</f>
        <v>2.733518899</v>
      </c>
      <c r="Y5" s="80">
        <f>IFERROR(__xludf.DUMMYFUNCTION("""COMPUTED_VALUE"""),375.1915573791457)</f>
        <v>375.1915574</v>
      </c>
      <c r="Z5" s="80">
        <f>IFERROR(__xludf.DUMMYFUNCTION("""COMPUTED_VALUE"""),0.8201785987665032)</f>
        <v>0.8201785988</v>
      </c>
      <c r="AA5" s="80">
        <f>IFERROR(__xludf.DUMMYFUNCTION("""COMPUTED_VALUE"""),0.6387622357438895)</f>
        <v>0.6387622357</v>
      </c>
      <c r="AB5" s="80">
        <f>IFERROR(__xludf.DUMMYFUNCTION("""COMPUTED_VALUE"""),1.4824993356715968)</f>
        <v>1.482499336</v>
      </c>
      <c r="AC5" s="80">
        <f>IFERROR(__xludf.DUMMYFUNCTION("""COMPUTED_VALUE"""),2.701270146600571)</f>
        <v>2.701270147</v>
      </c>
      <c r="AD5" s="80">
        <f>IFERROR(__xludf.DUMMYFUNCTION("""COMPUTED_VALUE"""),1.144938952177247)</f>
        <v>1.144938952</v>
      </c>
      <c r="AE5" s="80">
        <f>IFERROR(__xludf.DUMMYFUNCTION("""COMPUTED_VALUE"""),1.4282603486488503)</f>
        <v>1.428260349</v>
      </c>
      <c r="AF5" s="80">
        <f>IFERROR(__xludf.DUMMYFUNCTION("""COMPUTED_VALUE"""),0.9393166446373465)</f>
        <v>0.9393166446</v>
      </c>
      <c r="AG5" s="80">
        <f>IFERROR(__xludf.DUMMYFUNCTION("""COMPUTED_VALUE"""),1.1178034399537482)</f>
        <v>1.11780344</v>
      </c>
      <c r="AH5" s="80">
        <f>IFERROR(__xludf.DUMMYFUNCTION("""COMPUTED_VALUE"""),1.2586671511839531)</f>
        <v>1.258667151</v>
      </c>
      <c r="AI5" s="80">
        <f>IFERROR(__xludf.DUMMYFUNCTION("""COMPUTED_VALUE"""),0.925412155427807)</f>
        <v>0.9254121554</v>
      </c>
      <c r="AJ5" s="80">
        <f>IFERROR(__xludf.DUMMYFUNCTION("""COMPUTED_VALUE"""),0.9466885830168135)</f>
        <v>0.946688583</v>
      </c>
      <c r="AK5" s="80">
        <f>IFERROR(__xludf.DUMMYFUNCTION("""COMPUTED_VALUE"""),0.8397834924608407)</f>
        <v>0.8397834925</v>
      </c>
      <c r="AL5" s="80">
        <f>IFERROR(__xludf.DUMMYFUNCTION("""COMPUTED_VALUE"""),0.9235737569124021)</f>
        <v>0.9235737569</v>
      </c>
      <c r="AM5" s="80">
        <f>IFERROR(__xludf.DUMMYFUNCTION("""COMPUTED_VALUE"""),0.9790276105031598)</f>
        <v>0.9790276105</v>
      </c>
      <c r="AN5" s="80">
        <f>IFERROR(__xludf.DUMMYFUNCTION("""COMPUTED_VALUE"""),1.1771667791974103)</f>
        <v>1.177166779</v>
      </c>
      <c r="AO5" s="80">
        <f>IFERROR(__xludf.DUMMYFUNCTION("""COMPUTED_VALUE"""),1.4794514862955834)</f>
        <v>1.479451486</v>
      </c>
      <c r="AP5" s="80">
        <f>IFERROR(__xludf.DUMMYFUNCTION("""COMPUTED_VALUE"""),1.0079261850491885)</f>
        <v>1.007926185</v>
      </c>
      <c r="AQ5" s="80">
        <f>IFERROR(__xludf.DUMMYFUNCTION("""COMPUTED_VALUE"""),1.1520542326253091)</f>
        <v>1.152054233</v>
      </c>
      <c r="AR5" s="80">
        <f>IFERROR(__xludf.DUMMYFUNCTION("""COMPUTED_VALUE"""),1.2820231865518879)</f>
        <v>1.282023187</v>
      </c>
      <c r="AS5" s="80">
        <f>IFERROR(__xludf.DUMMYFUNCTION("""COMPUTED_VALUE"""),87.0)</f>
        <v>87</v>
      </c>
      <c r="AT5" s="80">
        <f>IFERROR(__xludf.DUMMYFUNCTION("""COMPUTED_VALUE"""),0.5279935880389431)</f>
        <v>0.527993588</v>
      </c>
      <c r="AU5" s="80">
        <f>IFERROR(__xludf.DUMMYFUNCTION("""COMPUTED_VALUE"""),3.5299913993828738)</f>
        <v>3.529991399</v>
      </c>
      <c r="AV5" s="80">
        <f>IFERROR(__xludf.DUMMYFUNCTION("""COMPUTED_VALUE"""),84.20602524103721)</f>
        <v>84.20602524</v>
      </c>
      <c r="AW5" s="82">
        <f t="shared" si="1"/>
        <v>11.6797427</v>
      </c>
      <c r="AX5" s="83">
        <f t="array" ref="AX5">IFERROR(DGET('SBV Import'!A:G,"SBV",{"RSC ID","Tier";B5,A5}))</f>
        <v>79.76812205</v>
      </c>
      <c r="AY5" s="82">
        <f t="shared" si="2"/>
        <v>8.555724907</v>
      </c>
      <c r="AZ5" s="82">
        <v>3.124017796731282</v>
      </c>
      <c r="BA5" s="84">
        <v>2.0</v>
      </c>
      <c r="BB5" s="84" t="b">
        <f>IFERROR(__xludf.DUMMYFUNCTION("iferror(if(A5="""",,E5&gt;=FILTER(Constants!$F$2:$F$10,Constants!$A$2:$A$10=A5)))"),TRUE)</f>
        <v>1</v>
      </c>
    </row>
    <row r="6">
      <c r="A6" s="80" t="str">
        <f>IFERROR(__xludf.DUMMYFUNCTION("""COMPUTED_VALUE"""),"Premier")</f>
        <v>Premier</v>
      </c>
      <c r="B6" s="79" t="str">
        <f>IFERROR(__xludf.DUMMYFUNCTION("""COMPUTED_VALUE"""),"RSC001605")</f>
        <v>RSC001605</v>
      </c>
      <c r="C6" s="80" t="str">
        <f>IFERROR(__xludf.DUMMYFUNCTION("""COMPUTED_VALUE"""),"Reeves")</f>
        <v>Reeves</v>
      </c>
      <c r="D6" s="80" t="str">
        <f>IFERROR(__xludf.DUMMYFUNCTION("""COMPUTED_VALUE"""),"Crooked Capos")</f>
        <v>Crooked Capos</v>
      </c>
      <c r="E6" s="80">
        <f>IFERROR(__xludf.DUMMYFUNCTION("""COMPUTED_VALUE"""),32.0)</f>
        <v>32</v>
      </c>
      <c r="F6" s="80">
        <f>IFERROR(__xludf.DUMMYFUNCTION("""COMPUTED_VALUE"""),17.0)</f>
        <v>17</v>
      </c>
      <c r="G6" s="80">
        <f>IFERROR(__xludf.DUMMYFUNCTION("""COMPUTED_VALUE"""),15.0)</f>
        <v>15</v>
      </c>
      <c r="H6" s="81">
        <f>IFERROR(__xludf.DUMMYFUNCTION("""COMPUTED_VALUE"""),0.53125)</f>
        <v>0.53125</v>
      </c>
      <c r="I6" s="81">
        <f>IFERROR(__xludf.DUMMYFUNCTION("""COMPUTED_VALUE"""),0.28440366972477066)</f>
        <v>0.2844036697</v>
      </c>
      <c r="J6" s="80">
        <f>IFERROR(__xludf.DUMMYFUNCTION("""COMPUTED_VALUE"""),420.53125)</f>
        <v>420.53125</v>
      </c>
      <c r="K6" s="80">
        <f>IFERROR(__xludf.DUMMYFUNCTION("""COMPUTED_VALUE"""),0.96875)</f>
        <v>0.96875</v>
      </c>
      <c r="L6" s="80">
        <f>IFERROR(__xludf.DUMMYFUNCTION("""COMPUTED_VALUE"""),0.75)</f>
        <v>0.75</v>
      </c>
      <c r="M6" s="80">
        <f>IFERROR(__xludf.DUMMYFUNCTION("""COMPUTED_VALUE"""),1.59375)</f>
        <v>1.59375</v>
      </c>
      <c r="N6" s="80">
        <f>IFERROR(__xludf.DUMMYFUNCTION("""COMPUTED_VALUE"""),3.40625)</f>
        <v>3.40625</v>
      </c>
      <c r="O6" s="80">
        <f>IFERROR(__xludf.DUMMYFUNCTION("""COMPUTED_VALUE"""),373.93750000000006)</f>
        <v>373.9375</v>
      </c>
      <c r="P6" s="80">
        <f>IFERROR(__xludf.DUMMYFUNCTION("""COMPUTED_VALUE"""),0.7812499999999998)</f>
        <v>0.78125</v>
      </c>
      <c r="Q6" s="80">
        <f>IFERROR(__xludf.DUMMYFUNCTION("""COMPUTED_VALUE"""),0.6458333333333333)</f>
        <v>0.6458333333</v>
      </c>
      <c r="R6" s="80">
        <f>IFERROR(__xludf.DUMMYFUNCTION("""COMPUTED_VALUE"""),1.5208333333333333)</f>
        <v>1.520833333</v>
      </c>
      <c r="S6" s="80">
        <f>IFERROR(__xludf.DUMMYFUNCTION("""COMPUTED_VALUE"""),2.666666666666667)</f>
        <v>2.666666667</v>
      </c>
      <c r="T6" s="80">
        <f>IFERROR(__xludf.DUMMYFUNCTION("""COMPUTED_VALUE"""),373.8699413725977)</f>
        <v>373.8699414</v>
      </c>
      <c r="U6" s="80">
        <f>IFERROR(__xludf.DUMMYFUNCTION("""COMPUTED_VALUE"""),0.8323221493514695)</f>
        <v>0.8323221494</v>
      </c>
      <c r="V6" s="80">
        <f>IFERROR(__xludf.DUMMYFUNCTION("""COMPUTED_VALUE"""),0.6531733118399004)</f>
        <v>0.6531733118</v>
      </c>
      <c r="W6" s="80">
        <f>IFERROR(__xludf.DUMMYFUNCTION("""COMPUTED_VALUE"""),1.435784777268189)</f>
        <v>1.435784777</v>
      </c>
      <c r="X6" s="80">
        <f>IFERROR(__xludf.DUMMYFUNCTION("""COMPUTED_VALUE"""),2.7408153322480544)</f>
        <v>2.740815332</v>
      </c>
      <c r="Y6" s="80">
        <f>IFERROR(__xludf.DUMMYFUNCTION("""COMPUTED_VALUE"""),368.1060930671497)</f>
        <v>368.1060931</v>
      </c>
      <c r="Z6" s="80">
        <f>IFERROR(__xludf.DUMMYFUNCTION("""COMPUTED_VALUE"""),0.8070908465362424)</f>
        <v>0.8070908465</v>
      </c>
      <c r="AA6" s="80">
        <f>IFERROR(__xludf.DUMMYFUNCTION("""COMPUTED_VALUE"""),0.6165093973129854)</f>
        <v>0.6165093973</v>
      </c>
      <c r="AB6" s="80">
        <f>IFERROR(__xludf.DUMMYFUNCTION("""COMPUTED_VALUE"""),1.4299025508046055)</f>
        <v>1.429902551</v>
      </c>
      <c r="AC6" s="80">
        <f>IFERROR(__xludf.DUMMYFUNCTION("""COMPUTED_VALUE"""),2.702941294512263)</f>
        <v>2.702941295</v>
      </c>
      <c r="AD6" s="80">
        <f>IFERROR(__xludf.DUMMYFUNCTION("""COMPUTED_VALUE"""),1.1424186068098767)</f>
        <v>1.142418607</v>
      </c>
      <c r="AE6" s="80">
        <f>IFERROR(__xludf.DUMMYFUNCTION("""COMPUTED_VALUE"""),1.200298583681804)</f>
        <v>1.200298584</v>
      </c>
      <c r="AF6" s="80">
        <f>IFERROR(__xludf.DUMMYFUNCTION("""COMPUTED_VALUE"""),1.216526468645611)</f>
        <v>1.216526469</v>
      </c>
      <c r="AG6" s="80">
        <f>IFERROR(__xludf.DUMMYFUNCTION("""COMPUTED_VALUE"""),1.1145864444421039)</f>
        <v>1.114586444</v>
      </c>
      <c r="AH6" s="80">
        <f>IFERROR(__xludf.DUMMYFUNCTION("""COMPUTED_VALUE"""),1.2602012507321758)</f>
        <v>1.260201251</v>
      </c>
      <c r="AI6" s="80">
        <f>IFERROR(__xludf.DUMMYFUNCTION("""COMPUTED_VALUE"""),1.0001807008799755)</f>
        <v>1.000180701</v>
      </c>
      <c r="AJ6" s="80">
        <f>IFERROR(__xludf.DUMMYFUNCTION("""COMPUTED_VALUE"""),0.9386389640222067)</f>
        <v>0.938638964</v>
      </c>
      <c r="AK6" s="80">
        <f>IFERROR(__xludf.DUMMYFUNCTION("""COMPUTED_VALUE"""),0.9887625866312704)</f>
        <v>0.9887625866</v>
      </c>
      <c r="AL6" s="80">
        <f>IFERROR(__xludf.DUMMYFUNCTION("""COMPUTED_VALUE"""),1.0592348918944263)</f>
        <v>1.059234892</v>
      </c>
      <c r="AM6" s="80">
        <f>IFERROR(__xludf.DUMMYFUNCTION("""COMPUTED_VALUE"""),0.9729464934361084)</f>
        <v>0.9729464934</v>
      </c>
      <c r="AN6" s="80">
        <f>IFERROR(__xludf.DUMMYFUNCTION("""COMPUTED_VALUE"""),1.1523937212505908)</f>
        <v>1.152393721</v>
      </c>
      <c r="AO6" s="80">
        <f>IFERROR(__xludf.DUMMYFUNCTION("""COMPUTED_VALUE"""),1.223479316029503)</f>
        <v>1.223479316</v>
      </c>
      <c r="AP6" s="80">
        <f>IFERROR(__xludf.DUMMYFUNCTION("""COMPUTED_VALUE"""),1.2599077313114855)</f>
        <v>1.259907731</v>
      </c>
      <c r="AQ6" s="80">
        <f>IFERROR(__xludf.DUMMYFUNCTION("""COMPUTED_VALUE"""),1.1079831924763883)</f>
        <v>1.107983192</v>
      </c>
      <c r="AR6" s="80">
        <f>IFERROR(__xludf.DUMMYFUNCTION("""COMPUTED_VALUE"""),1.2843798468212848)</f>
        <v>1.284379847</v>
      </c>
      <c r="AS6" s="80">
        <f>IFERROR(__xludf.DUMMYFUNCTION("""COMPUTED_VALUE"""),84.0)</f>
        <v>84</v>
      </c>
      <c r="AT6" s="80">
        <f>IFERROR(__xludf.DUMMYFUNCTION("""COMPUTED_VALUE"""),0.5447649765244494)</f>
        <v>0.5447649765</v>
      </c>
      <c r="AU6" s="80">
        <f>IFERROR(__xludf.DUMMYFUNCTION("""COMPUTED_VALUE"""),3.41976412813519)</f>
        <v>3.419764128</v>
      </c>
      <c r="AV6" s="80">
        <f>IFERROR(__xludf.DUMMYFUNCTION("""COMPUTED_VALUE"""),80.87496592699166)</f>
        <v>80.87496593</v>
      </c>
      <c r="AW6" s="82">
        <f t="shared" si="1"/>
        <v>9.223772869</v>
      </c>
      <c r="AX6" s="83">
        <f t="array" ref="AX6">IFERROR(DGET('SBV Import'!A:G,"SBV",{"RSC ID","Tier";B6,A6}))</f>
        <v>72.90390874</v>
      </c>
      <c r="AY6" s="82">
        <f t="shared" si="2"/>
        <v>5.561968873</v>
      </c>
      <c r="AZ6" s="82">
        <v>3.6618039962594757</v>
      </c>
      <c r="BA6" s="84">
        <v>2.0</v>
      </c>
      <c r="BB6" s="84" t="b">
        <f>IFERROR(__xludf.DUMMYFUNCTION("iferror(if(A6="""",,E6&gt;=FILTER(Constants!$F$2:$F$10,Constants!$A$2:$A$10=A6)))"),TRUE)</f>
        <v>1</v>
      </c>
    </row>
    <row r="7">
      <c r="A7" s="80" t="str">
        <f>IFERROR(__xludf.DUMMYFUNCTION("""COMPUTED_VALUE"""),"Premier")</f>
        <v>Premier</v>
      </c>
      <c r="B7" s="79" t="str">
        <f>IFERROR(__xludf.DUMMYFUNCTION("""COMPUTED_VALUE"""),"RSC004923")</f>
        <v>RSC004923</v>
      </c>
      <c r="C7" s="80" t="str">
        <f>IFERROR(__xludf.DUMMYFUNCTION("""COMPUTED_VALUE"""),"Monster.")</f>
        <v>Monster.</v>
      </c>
      <c r="D7" s="80" t="str">
        <f>IFERROR(__xludf.DUMMYFUNCTION("""COMPUTED_VALUE"""),"Long Beards")</f>
        <v>Long Beards</v>
      </c>
      <c r="E7" s="80">
        <f>IFERROR(__xludf.DUMMYFUNCTION("""COMPUTED_VALUE"""),48.0)</f>
        <v>48</v>
      </c>
      <c r="F7" s="80">
        <f>IFERROR(__xludf.DUMMYFUNCTION("""COMPUTED_VALUE"""),32.0)</f>
        <v>32</v>
      </c>
      <c r="G7" s="80">
        <f>IFERROR(__xludf.DUMMYFUNCTION("""COMPUTED_VALUE"""),16.0)</f>
        <v>16</v>
      </c>
      <c r="H7" s="81">
        <f>IFERROR(__xludf.DUMMYFUNCTION("""COMPUTED_VALUE"""),0.6666666666666666)</f>
        <v>0.6666666667</v>
      </c>
      <c r="I7" s="81">
        <f>IFERROR(__xludf.DUMMYFUNCTION("""COMPUTED_VALUE"""),0.2894736842105263)</f>
        <v>0.2894736842</v>
      </c>
      <c r="J7" s="80">
        <f>IFERROR(__xludf.DUMMYFUNCTION("""COMPUTED_VALUE"""),384.3125)</f>
        <v>384.3125</v>
      </c>
      <c r="K7" s="80">
        <f>IFERROR(__xludf.DUMMYFUNCTION("""COMPUTED_VALUE"""),0.9166666666666666)</f>
        <v>0.9166666667</v>
      </c>
      <c r="L7" s="80">
        <f>IFERROR(__xludf.DUMMYFUNCTION("""COMPUTED_VALUE"""),0.8958333333333334)</f>
        <v>0.8958333333</v>
      </c>
      <c r="M7" s="80">
        <f>IFERROR(__xludf.DUMMYFUNCTION("""COMPUTED_VALUE"""),1.25)</f>
        <v>1.25</v>
      </c>
      <c r="N7" s="80">
        <f>IFERROR(__xludf.DUMMYFUNCTION("""COMPUTED_VALUE"""),3.1666666666666665)</f>
        <v>3.166666667</v>
      </c>
      <c r="O7" s="80">
        <f>IFERROR(__xludf.DUMMYFUNCTION("""COMPUTED_VALUE"""),379.3680555555556)</f>
        <v>379.3680556</v>
      </c>
      <c r="P7" s="80">
        <f>IFERROR(__xludf.DUMMYFUNCTION("""COMPUTED_VALUE"""),0.7013888888888888)</f>
        <v>0.7013888889</v>
      </c>
      <c r="Q7" s="80">
        <f>IFERROR(__xludf.DUMMYFUNCTION("""COMPUTED_VALUE"""),0.5069444444444443)</f>
        <v>0.5069444444</v>
      </c>
      <c r="R7" s="80">
        <f>IFERROR(__xludf.DUMMYFUNCTION("""COMPUTED_VALUE"""),1.840277777777778)</f>
        <v>1.840277778</v>
      </c>
      <c r="S7" s="80">
        <f>IFERROR(__xludf.DUMMYFUNCTION("""COMPUTED_VALUE"""),2.409722222222222)</f>
        <v>2.409722222</v>
      </c>
      <c r="T7" s="80">
        <f>IFERROR(__xludf.DUMMYFUNCTION("""COMPUTED_VALUE"""),373.7147375971709)</f>
        <v>373.7147376</v>
      </c>
      <c r="U7" s="80">
        <f>IFERROR(__xludf.DUMMYFUNCTION("""COMPUTED_VALUE"""),0.7973737417140633)</f>
        <v>0.7973737417</v>
      </c>
      <c r="V7" s="80">
        <f>IFERROR(__xludf.DUMMYFUNCTION("""COMPUTED_VALUE"""),0.6130584522273491)</f>
        <v>0.6130584522</v>
      </c>
      <c r="W7" s="80">
        <f>IFERROR(__xludf.DUMMYFUNCTION("""COMPUTED_VALUE"""),1.4915034341302043)</f>
        <v>1.491503434</v>
      </c>
      <c r="X7" s="80">
        <f>IFERROR(__xludf.DUMMYFUNCTION("""COMPUTED_VALUE"""),2.707798897366652)</f>
        <v>2.707798897</v>
      </c>
      <c r="Y7" s="80">
        <f>IFERROR(__xludf.DUMMYFUNCTION("""COMPUTED_VALUE"""),374.08847958946416)</f>
        <v>374.0884796</v>
      </c>
      <c r="Z7" s="80">
        <f>IFERROR(__xludf.DUMMYFUNCTION("""COMPUTED_VALUE"""),0.8400102516195219)</f>
        <v>0.8400102516</v>
      </c>
      <c r="AA7" s="80">
        <f>IFERROR(__xludf.DUMMYFUNCTION("""COMPUTED_VALUE"""),0.6611822953421695)</f>
        <v>0.6611822953</v>
      </c>
      <c r="AB7" s="80">
        <f>IFERROR(__xludf.DUMMYFUNCTION("""COMPUTED_VALUE"""),1.4178318283536624)</f>
        <v>1.417831828</v>
      </c>
      <c r="AC7" s="80">
        <f>IFERROR(__xludf.DUMMYFUNCTION("""COMPUTED_VALUE"""),2.7492465946009332)</f>
        <v>2.749246595</v>
      </c>
      <c r="AD7" s="80">
        <f>IFERROR(__xludf.DUMMYFUNCTION("""COMPUTED_VALUE"""),1.0273304872199112)</f>
        <v>1.027330487</v>
      </c>
      <c r="AE7" s="80">
        <f>IFERROR(__xludf.DUMMYFUNCTION("""COMPUTED_VALUE"""),1.0912565232380829)</f>
        <v>1.091256523</v>
      </c>
      <c r="AF7" s="80">
        <f>IFERROR(__xludf.DUMMYFUNCTION("""COMPUTED_VALUE"""),1.354896130226429)</f>
        <v>1.35489613</v>
      </c>
      <c r="AG7" s="80">
        <f>IFERROR(__xludf.DUMMYFUNCTION("""COMPUTED_VALUE"""),0.8816278313144211)</f>
        <v>0.8816278313</v>
      </c>
      <c r="AH7" s="80">
        <f>IFERROR(__xludf.DUMMYFUNCTION("""COMPUTED_VALUE"""),1.151830713507285)</f>
        <v>1.151830714</v>
      </c>
      <c r="AI7" s="80">
        <f>IFERROR(__xludf.DUMMYFUNCTION("""COMPUTED_VALUE"""),1.0151273615665606)</f>
        <v>1.015127362</v>
      </c>
      <c r="AJ7" s="80">
        <f>IFERROR(__xludf.DUMMYFUNCTION("""COMPUTED_VALUE"""),0.879623760096687)</f>
        <v>0.8796237601</v>
      </c>
      <c r="AK7" s="80">
        <f>IFERROR(__xludf.DUMMYFUNCTION("""COMPUTED_VALUE"""),0.8269104562584955)</f>
        <v>0.8269104563</v>
      </c>
      <c r="AL7" s="80">
        <f>IFERROR(__xludf.DUMMYFUNCTION("""COMPUTED_VALUE"""),1.2338407915573908)</f>
        <v>1.233840792</v>
      </c>
      <c r="AM7" s="80">
        <f>IFERROR(__xludf.DUMMYFUNCTION("""COMPUTED_VALUE"""),0.8899191976795946)</f>
        <v>0.8899191977</v>
      </c>
      <c r="AN7" s="80">
        <f>IFERROR(__xludf.DUMMYFUNCTION("""COMPUTED_VALUE"""),1.0531424525480988)</f>
        <v>1.053142453</v>
      </c>
      <c r="AO7" s="80">
        <f>IFERROR(__xludf.DUMMYFUNCTION("""COMPUTED_VALUE"""),1.1577008581784545)</f>
        <v>1.157700858</v>
      </c>
      <c r="AP7" s="80">
        <f>IFERROR(__xludf.DUMMYFUNCTION("""COMPUTED_VALUE"""),1.504889790177608)</f>
        <v>1.50488979</v>
      </c>
      <c r="AQ7" s="80">
        <f>IFERROR(__xludf.DUMMYFUNCTION("""COMPUTED_VALUE"""),0.8690064254716772)</f>
        <v>0.8690064255</v>
      </c>
      <c r="AR7" s="80">
        <f>IFERROR(__xludf.DUMMYFUNCTION("""COMPUTED_VALUE"""),1.194041203161072)</f>
        <v>1.194041203</v>
      </c>
      <c r="AS7" s="80">
        <f>IFERROR(__xludf.DUMMYFUNCTION("""COMPUTED_VALUE"""),153.0)</f>
        <v>153</v>
      </c>
      <c r="AT7" s="80">
        <f>IFERROR(__xludf.DUMMYFUNCTION("""COMPUTED_VALUE"""),0.6614949965987108)</f>
        <v>0.6614949966</v>
      </c>
      <c r="AU7" s="80">
        <f>IFERROR(__xludf.DUMMYFUNCTION("""COMPUTED_VALUE"""),3.4091027797805027)</f>
        <v>3.40910278</v>
      </c>
      <c r="AV7" s="80">
        <f>IFERROR(__xludf.DUMMYFUNCTION("""COMPUTED_VALUE"""),80.55278083309267)</f>
        <v>80.55278083</v>
      </c>
      <c r="AW7" s="82">
        <f t="shared" si="1"/>
        <v>9.022601206</v>
      </c>
      <c r="AX7" s="83">
        <f t="array" ref="AX7">IFERROR(DGET('SBV Import'!A:G,"SBV",{"RSC ID","Tier";B7,A7}))</f>
        <v>56.78426496</v>
      </c>
      <c r="AY7" s="82">
        <f t="shared" si="2"/>
        <v>2.544186112</v>
      </c>
      <c r="AZ7" s="82">
        <v>6.478415094201351</v>
      </c>
      <c r="BA7" s="84">
        <v>2.0</v>
      </c>
      <c r="BB7" s="84" t="b">
        <f>IFERROR(__xludf.DUMMYFUNCTION("iferror(if(A7="""",,E7&gt;=FILTER(Constants!$F$2:$F$10,Constants!$A$2:$A$10=A7)))"),TRUE)</f>
        <v>1</v>
      </c>
    </row>
    <row r="8">
      <c r="A8" s="80" t="str">
        <f>IFERROR(__xludf.DUMMYFUNCTION("""COMPUTED_VALUE"""),"Premier")</f>
        <v>Premier</v>
      </c>
      <c r="B8" s="79" t="str">
        <f>IFERROR(__xludf.DUMMYFUNCTION("""COMPUTED_VALUE"""),"RSC005157")</f>
        <v>RSC005157</v>
      </c>
      <c r="C8" s="80" t="str">
        <f>IFERROR(__xludf.DUMMYFUNCTION("""COMPUTED_VALUE"""),"ScuLa")</f>
        <v>ScuLa</v>
      </c>
      <c r="D8" s="80" t="str">
        <f>IFERROR(__xludf.DUMMYFUNCTION("""COMPUTED_VALUE"""),"Excavators")</f>
        <v>Excavators</v>
      </c>
      <c r="E8" s="80">
        <f>IFERROR(__xludf.DUMMYFUNCTION("""COMPUTED_VALUE"""),46.0)</f>
        <v>46</v>
      </c>
      <c r="F8" s="80">
        <f>IFERROR(__xludf.DUMMYFUNCTION("""COMPUTED_VALUE"""),30.0)</f>
        <v>30</v>
      </c>
      <c r="G8" s="80">
        <f>IFERROR(__xludf.DUMMYFUNCTION("""COMPUTED_VALUE"""),16.0)</f>
        <v>16</v>
      </c>
      <c r="H8" s="81">
        <f>IFERROR(__xludf.DUMMYFUNCTION("""COMPUTED_VALUE"""),0.6521739130434783)</f>
        <v>0.652173913</v>
      </c>
      <c r="I8" s="81">
        <f>IFERROR(__xludf.DUMMYFUNCTION("""COMPUTED_VALUE"""),0.34615384615384615)</f>
        <v>0.3461538462</v>
      </c>
      <c r="J8" s="80">
        <f>IFERROR(__xludf.DUMMYFUNCTION("""COMPUTED_VALUE"""),428.2173913043478)</f>
        <v>428.2173913</v>
      </c>
      <c r="K8" s="80">
        <f>IFERROR(__xludf.DUMMYFUNCTION("""COMPUTED_VALUE"""),0.9782608695652174)</f>
        <v>0.9782608696</v>
      </c>
      <c r="L8" s="80">
        <f>IFERROR(__xludf.DUMMYFUNCTION("""COMPUTED_VALUE"""),0.8478260869565217)</f>
        <v>0.847826087</v>
      </c>
      <c r="M8" s="80">
        <f>IFERROR(__xludf.DUMMYFUNCTION("""COMPUTED_VALUE"""),1.608695652173913)</f>
        <v>1.608695652</v>
      </c>
      <c r="N8" s="80">
        <f>IFERROR(__xludf.DUMMYFUNCTION("""COMPUTED_VALUE"""),2.8260869565217392)</f>
        <v>2.826086957</v>
      </c>
      <c r="O8" s="80">
        <f>IFERROR(__xludf.DUMMYFUNCTION("""COMPUTED_VALUE"""),348.3115942028985)</f>
        <v>348.3115942</v>
      </c>
      <c r="P8" s="80">
        <f>IFERROR(__xludf.DUMMYFUNCTION("""COMPUTED_VALUE"""),0.710144927536232)</f>
        <v>0.7101449275</v>
      </c>
      <c r="Q8" s="80">
        <f>IFERROR(__xludf.DUMMYFUNCTION("""COMPUTED_VALUE"""),0.5217391304347826)</f>
        <v>0.5217391304</v>
      </c>
      <c r="R8" s="80">
        <f>IFERROR(__xludf.DUMMYFUNCTION("""COMPUTED_VALUE"""),1.4855072463768115)</f>
        <v>1.485507246</v>
      </c>
      <c r="S8" s="80">
        <f>IFERROR(__xludf.DUMMYFUNCTION("""COMPUTED_VALUE"""),2.391304347826087)</f>
        <v>2.391304348</v>
      </c>
      <c r="T8" s="80">
        <f>IFERROR(__xludf.DUMMYFUNCTION("""COMPUTED_VALUE"""),372.3024886593501)</f>
        <v>372.3024887</v>
      </c>
      <c r="U8" s="80">
        <f>IFERROR(__xludf.DUMMYFUNCTION("""COMPUTED_VALUE"""),0.8148649307372162)</f>
        <v>0.8148649307</v>
      </c>
      <c r="V8" s="80">
        <f>IFERROR(__xludf.DUMMYFUNCTION("""COMPUTED_VALUE"""),0.625390753125309)</f>
        <v>0.6253907531</v>
      </c>
      <c r="W8" s="80">
        <f>IFERROR(__xludf.DUMMYFUNCTION("""COMPUTED_VALUE"""),1.4677792996997285)</f>
        <v>1.4677793</v>
      </c>
      <c r="X8" s="80">
        <f>IFERROR(__xludf.DUMMYFUNCTION("""COMPUTED_VALUE"""),2.725405750494122)</f>
        <v>2.72540575</v>
      </c>
      <c r="Y8" s="80">
        <f>IFERROR(__xludf.DUMMYFUNCTION("""COMPUTED_VALUE"""),378.16042776849036)</f>
        <v>378.1604278</v>
      </c>
      <c r="Z8" s="80">
        <f>IFERROR(__xludf.DUMMYFUNCTION("""COMPUTED_VALUE"""),0.8597838080017105)</f>
        <v>0.859783808</v>
      </c>
      <c r="AA8" s="80">
        <f>IFERROR(__xludf.DUMMYFUNCTION("""COMPUTED_VALUE"""),0.6766565355321577)</f>
        <v>0.6766565355</v>
      </c>
      <c r="AB8" s="80">
        <f>IFERROR(__xludf.DUMMYFUNCTION("""COMPUTED_VALUE"""),1.4224770319156932)</f>
        <v>1.422477032</v>
      </c>
      <c r="AC8" s="80">
        <f>IFERROR(__xludf.DUMMYFUNCTION("""COMPUTED_VALUE"""),2.7672654452157506)</f>
        <v>2.767265445</v>
      </c>
      <c r="AD8" s="80">
        <f>IFERROR(__xludf.DUMMYFUNCTION("""COMPUTED_VALUE"""),1.1323696501805902)</f>
        <v>1.13236965</v>
      </c>
      <c r="AE8" s="80">
        <f>IFERROR(__xludf.DUMMYFUNCTION("""COMPUTED_VALUE"""),1.137798665735365)</f>
        <v>1.137798666</v>
      </c>
      <c r="AF8" s="80">
        <f>IFERROR(__xludf.DUMMYFUNCTION("""COMPUTED_VALUE"""),1.2529637156164426)</f>
        <v>1.252963716</v>
      </c>
      <c r="AG8" s="80">
        <f>IFERROR(__xludf.DUMMYFUNCTION("""COMPUTED_VALUE"""),1.1309115128610785)</f>
        <v>1.130911513</v>
      </c>
      <c r="AH8" s="80">
        <f>IFERROR(__xludf.DUMMYFUNCTION("""COMPUTED_VALUE"""),1.0212561868279328)</f>
        <v>1.021256187</v>
      </c>
      <c r="AI8" s="80">
        <f>IFERROR(__xludf.DUMMYFUNCTION("""COMPUTED_VALUE"""),0.9355607464703175)</f>
        <v>0.9355607465</v>
      </c>
      <c r="AJ8" s="80">
        <f>IFERROR(__xludf.DUMMYFUNCTION("""COMPUTED_VALUE"""),0.8714879003244832)</f>
        <v>0.8714879003</v>
      </c>
      <c r="AK8" s="80">
        <f>IFERROR(__xludf.DUMMYFUNCTION("""COMPUTED_VALUE"""),0.8342610245313975)</f>
        <v>0.8342610245</v>
      </c>
      <c r="AL8" s="80">
        <f>IFERROR(__xludf.DUMMYFUNCTION("""COMPUTED_VALUE"""),1.0120780737817394)</f>
        <v>1.012078074</v>
      </c>
      <c r="AM8" s="80">
        <f>IFERROR(__xludf.DUMMYFUNCTION("""COMPUTED_VALUE"""),0.8774122339004159)</f>
        <v>0.8774122339</v>
      </c>
      <c r="AN8" s="80">
        <f>IFERROR(__xludf.DUMMYFUNCTION("""COMPUTED_VALUE"""),1.173456272439772)</f>
        <v>1.173456272</v>
      </c>
      <c r="AO8" s="80">
        <f>IFERROR(__xludf.DUMMYFUNCTION("""COMPUTED_VALUE"""),1.2354910344196945)</f>
        <v>1.235491034</v>
      </c>
      <c r="AP8" s="80">
        <f>IFERROR(__xludf.DUMMYFUNCTION("""COMPUTED_VALUE"""),1.4242435223521142)</f>
        <v>1.424243522</v>
      </c>
      <c r="AQ8" s="80">
        <f>IFERROR(__xludf.DUMMYFUNCTION("""COMPUTED_VALUE"""),1.1183734866939845)</f>
        <v>1.118373487</v>
      </c>
      <c r="AR8" s="80">
        <f>IFERROR(__xludf.DUMMYFUNCTION("""COMPUTED_VALUE"""),1.0656202957272727)</f>
        <v>1.065620296</v>
      </c>
      <c r="AS8" s="80">
        <f>IFERROR(__xludf.DUMMYFUNCTION("""COMPUTED_VALUE"""),129.0)</f>
        <v>129</v>
      </c>
      <c r="AT8" s="80">
        <f>IFERROR(__xludf.DUMMYFUNCTION("""COMPUTED_VALUE"""),0.6069634349595463)</f>
        <v>0.606963435</v>
      </c>
      <c r="AU8" s="80">
        <f>IFERROR(__xludf.DUMMYFUNCTION("""COMPUTED_VALUE"""),3.384607193779203)</f>
        <v>3.384607194</v>
      </c>
      <c r="AV8" s="80">
        <f>IFERROR(__xludf.DUMMYFUNCTION("""COMPUTED_VALUE"""),79.81252618486425)</f>
        <v>79.81252618</v>
      </c>
      <c r="AW8" s="82">
        <f t="shared" si="1"/>
        <v>8.581302943</v>
      </c>
      <c r="AX8" s="83">
        <f t="array" ref="AX8">IFERROR(DGET('SBV Import'!A:G,"SBV",{"RSC ID","Tier";B8,A8}))</f>
        <v>77.22481439</v>
      </c>
      <c r="AY8" s="82">
        <f t="shared" si="2"/>
        <v>7.242252935</v>
      </c>
      <c r="AZ8" s="82">
        <v>1.3390500081564465</v>
      </c>
      <c r="BA8" s="84">
        <v>2.0</v>
      </c>
      <c r="BB8" s="84" t="b">
        <f>IFERROR(__xludf.DUMMYFUNCTION("iferror(if(A8="""",,E8&gt;=FILTER(Constants!$F$2:$F$10,Constants!$A$2:$A$10=A8)))"),TRUE)</f>
        <v>1</v>
      </c>
    </row>
    <row r="9">
      <c r="A9" s="80" t="str">
        <f>IFERROR(__xludf.DUMMYFUNCTION("""COMPUTED_VALUE"""),"Premier")</f>
        <v>Premier</v>
      </c>
      <c r="B9" s="79" t="str">
        <f>IFERROR(__xludf.DUMMYFUNCTION("""COMPUTED_VALUE"""),"RSC000672")</f>
        <v>RSC000672</v>
      </c>
      <c r="C9" s="80" t="str">
        <f>IFERROR(__xludf.DUMMYFUNCTION("""COMPUTED_VALUE"""),"Feathers McGraw")</f>
        <v>Feathers McGraw</v>
      </c>
      <c r="D9" s="80" t="str">
        <f>IFERROR(__xludf.DUMMYFUNCTION("""COMPUTED_VALUE"""),"Hurricanes")</f>
        <v>Hurricanes</v>
      </c>
      <c r="E9" s="80">
        <f>IFERROR(__xludf.DUMMYFUNCTION("""COMPUTED_VALUE"""),13.0)</f>
        <v>13</v>
      </c>
      <c r="F9" s="80">
        <f>IFERROR(__xludf.DUMMYFUNCTION("""COMPUTED_VALUE"""),8.0)</f>
        <v>8</v>
      </c>
      <c r="G9" s="80">
        <f>IFERROR(__xludf.DUMMYFUNCTION("""COMPUTED_VALUE"""),5.0)</f>
        <v>5</v>
      </c>
      <c r="H9" s="81">
        <f>IFERROR(__xludf.DUMMYFUNCTION("""COMPUTED_VALUE"""),0.6153846153846154)</f>
        <v>0.6153846154</v>
      </c>
      <c r="I9" s="81">
        <f>IFERROR(__xludf.DUMMYFUNCTION("""COMPUTED_VALUE"""),0.18181818181818182)</f>
        <v>0.1818181818</v>
      </c>
      <c r="J9" s="80">
        <f>IFERROR(__xludf.DUMMYFUNCTION("""COMPUTED_VALUE"""),367.84615384615387)</f>
        <v>367.8461538</v>
      </c>
      <c r="K9" s="80">
        <f>IFERROR(__xludf.DUMMYFUNCTION("""COMPUTED_VALUE"""),0.6153846153846154)</f>
        <v>0.6153846154</v>
      </c>
      <c r="L9" s="80">
        <f>IFERROR(__xludf.DUMMYFUNCTION("""COMPUTED_VALUE"""),1.0)</f>
        <v>1</v>
      </c>
      <c r="M9" s="80">
        <f>IFERROR(__xludf.DUMMYFUNCTION("""COMPUTED_VALUE"""),1.1538461538461537)</f>
        <v>1.153846154</v>
      </c>
      <c r="N9" s="80">
        <f>IFERROR(__xludf.DUMMYFUNCTION("""COMPUTED_VALUE"""),3.3846153846153846)</f>
        <v>3.384615385</v>
      </c>
      <c r="O9" s="80">
        <f>IFERROR(__xludf.DUMMYFUNCTION("""COMPUTED_VALUE"""),409.58974358974353)</f>
        <v>409.5897436</v>
      </c>
      <c r="P9" s="80">
        <f>IFERROR(__xludf.DUMMYFUNCTION("""COMPUTED_VALUE"""),0.8205128205128207)</f>
        <v>0.8205128205</v>
      </c>
      <c r="Q9" s="80">
        <f>IFERROR(__xludf.DUMMYFUNCTION("""COMPUTED_VALUE"""),0.641025641025641)</f>
        <v>0.641025641</v>
      </c>
      <c r="R9" s="80">
        <f>IFERROR(__xludf.DUMMYFUNCTION("""COMPUTED_VALUE"""),1.8974358974358974)</f>
        <v>1.897435897</v>
      </c>
      <c r="S9" s="80">
        <f>IFERROR(__xludf.DUMMYFUNCTION("""COMPUTED_VALUE"""),2.5641025641025643)</f>
        <v>2.564102564</v>
      </c>
      <c r="T9" s="80">
        <f>IFERROR(__xludf.DUMMYFUNCTION("""COMPUTED_VALUE"""),373.67666448163163)</f>
        <v>373.6766645</v>
      </c>
      <c r="U9" s="80">
        <f>IFERROR(__xludf.DUMMYFUNCTION("""COMPUTED_VALUE"""),0.91699821814837)</f>
        <v>0.9169982181</v>
      </c>
      <c r="V9" s="80">
        <f>IFERROR(__xludf.DUMMYFUNCTION("""COMPUTED_VALUE"""),0.6739254279320002)</f>
        <v>0.6739254279</v>
      </c>
      <c r="W9" s="80">
        <f>IFERROR(__xludf.DUMMYFUNCTION("""COMPUTED_VALUE"""),1.2950939898740708)</f>
        <v>1.29509399</v>
      </c>
      <c r="X9" s="80">
        <f>IFERROR(__xludf.DUMMYFUNCTION("""COMPUTED_VALUE"""),2.780581730240477)</f>
        <v>2.78058173</v>
      </c>
      <c r="Y9" s="80">
        <f>IFERROR(__xludf.DUMMYFUNCTION("""COMPUTED_VALUE"""),365.6645074779427)</f>
        <v>365.6645075</v>
      </c>
      <c r="Z9" s="80">
        <f>IFERROR(__xludf.DUMMYFUNCTION("""COMPUTED_VALUE"""),0.8146640049951477)</f>
        <v>0.814664005</v>
      </c>
      <c r="AA9" s="80">
        <f>IFERROR(__xludf.DUMMYFUNCTION("""COMPUTED_VALUE"""),0.6241995546469763)</f>
        <v>0.6241995546</v>
      </c>
      <c r="AB9" s="80">
        <f>IFERROR(__xludf.DUMMYFUNCTION("""COMPUTED_VALUE"""),1.390157319922234)</f>
        <v>1.39015732</v>
      </c>
      <c r="AC9" s="80">
        <f>IFERROR(__xludf.DUMMYFUNCTION("""COMPUTED_VALUE"""),2.590066896980446)</f>
        <v>2.590066897</v>
      </c>
      <c r="AD9" s="80">
        <f>IFERROR(__xludf.DUMMYFUNCTION("""COMPUTED_VALUE"""),1.0059662513686614)</f>
        <v>1.005966251</v>
      </c>
      <c r="AE9" s="80">
        <f>IFERROR(__xludf.DUMMYFUNCTION("""COMPUTED_VALUE"""),0.755384565429868)</f>
        <v>0.7553845654</v>
      </c>
      <c r="AF9" s="80">
        <f>IFERROR(__xludf.DUMMYFUNCTION("""COMPUTED_VALUE"""),1.6020517678285788)</f>
        <v>1.602051768</v>
      </c>
      <c r="AG9" s="80">
        <f>IFERROR(__xludf.DUMMYFUNCTION("""COMPUTED_VALUE"""),0.8300112061494598)</f>
        <v>0.8300112061</v>
      </c>
      <c r="AH9" s="80">
        <f>IFERROR(__xludf.DUMMYFUNCTION("""COMPUTED_VALUE"""),1.3067675543675106)</f>
        <v>1.306767554</v>
      </c>
      <c r="AI9" s="80">
        <f>IFERROR(__xludf.DUMMYFUNCTION("""COMPUTED_VALUE"""),1.096107363722942)</f>
        <v>1.096107364</v>
      </c>
      <c r="AJ9" s="80">
        <f>IFERROR(__xludf.DUMMYFUNCTION("""COMPUTED_VALUE"""),0.8947812594114136)</f>
        <v>0.8947812594</v>
      </c>
      <c r="AK9" s="80">
        <f>IFERROR(__xludf.DUMMYFUNCTION("""COMPUTED_VALUE"""),0.9511818584923927)</f>
        <v>0.9511818585</v>
      </c>
      <c r="AL9" s="80">
        <f>IFERROR(__xludf.DUMMYFUNCTION("""COMPUTED_VALUE"""),1.465095129983883)</f>
        <v>1.46509513</v>
      </c>
      <c r="AM9" s="80">
        <f>IFERROR(__xludf.DUMMYFUNCTION("""COMPUTED_VALUE"""),0.9221460877112249)</f>
        <v>0.9221460877</v>
      </c>
      <c r="AN9" s="80">
        <f>IFERROR(__xludf.DUMMYFUNCTION("""COMPUTED_VALUE"""),1.0080192567817174)</f>
        <v>1.008019257</v>
      </c>
      <c r="AO9" s="80">
        <f>IFERROR(__xludf.DUMMYFUNCTION("""COMPUTED_VALUE"""),0.7771977789170045)</f>
        <v>0.7771977789</v>
      </c>
      <c r="AP9" s="80">
        <f>IFERROR(__xludf.DUMMYFUNCTION("""COMPUTED_VALUE"""),1.6798769750819809)</f>
        <v>1.679876975</v>
      </c>
      <c r="AQ9" s="80">
        <f>IFERROR(__xludf.DUMMYFUNCTION("""COMPUTED_VALUE"""),0.8021597773584711)</f>
        <v>0.8021597774</v>
      </c>
      <c r="AR9" s="80">
        <f>IFERROR(__xludf.DUMMYFUNCTION("""COMPUTED_VALUE"""),1.276222176657988)</f>
        <v>1.276222177</v>
      </c>
      <c r="AS9" s="80">
        <f>IFERROR(__xludf.DUMMYFUNCTION("""COMPUTED_VALUE"""),36.0)</f>
        <v>36</v>
      </c>
      <c r="AT9" s="80">
        <f>IFERROR(__xludf.DUMMYFUNCTION("""COMPUTED_VALUE"""),0.5472015134538105)</f>
        <v>0.5472015135</v>
      </c>
      <c r="AU9" s="80">
        <f>IFERROR(__xludf.DUMMYFUNCTION("""COMPUTED_VALUE"""),3.2229964716510127)</f>
        <v>3.222996472</v>
      </c>
      <c r="AV9" s="80">
        <f>IFERROR(__xludf.DUMMYFUNCTION("""COMPUTED_VALUE"""),74.92866309815969)</f>
        <v>74.9286631</v>
      </c>
      <c r="AW9" s="82">
        <f t="shared" si="1"/>
        <v>6.275624288</v>
      </c>
      <c r="AX9" s="83">
        <f t="array" ref="AX9">IFERROR(DGET('SBV Import'!A:G,"SBV",{"RSC ID","Tier";B9,A9}))</f>
        <v>48.45709592</v>
      </c>
      <c r="AY9" s="82">
        <f t="shared" si="2"/>
        <v>-2.103516424</v>
      </c>
      <c r="AZ9" s="82">
        <v>8.379140711497163</v>
      </c>
      <c r="BA9" s="84">
        <v>2.0</v>
      </c>
      <c r="BB9" s="84" t="b">
        <f>IFERROR(__xludf.DUMMYFUNCTION("iferror(if(A9="""",,E9&gt;=FILTER(Constants!$F$2:$F$10,Constants!$A$2:$A$10=A9)))"),TRUE)</f>
        <v>1</v>
      </c>
    </row>
    <row r="10">
      <c r="A10" s="80" t="str">
        <f>IFERROR(__xludf.DUMMYFUNCTION("""COMPUTED_VALUE"""),"Premier")</f>
        <v>Premier</v>
      </c>
      <c r="B10" s="79" t="str">
        <f>IFERROR(__xludf.DUMMYFUNCTION("""COMPUTED_VALUE"""),"RSC006677")</f>
        <v>RSC006677</v>
      </c>
      <c r="C10" s="80" t="str">
        <f>IFERROR(__xludf.DUMMYFUNCTION("""COMPUTED_VALUE"""),"luigi")</f>
        <v>luigi</v>
      </c>
      <c r="D10" s="80" t="str">
        <f>IFERROR(__xludf.DUMMYFUNCTION("""COMPUTED_VALUE"""),"Punks")</f>
        <v>Punks</v>
      </c>
      <c r="E10" s="80">
        <f>IFERROR(__xludf.DUMMYFUNCTION("""COMPUTED_VALUE"""),48.0)</f>
        <v>48</v>
      </c>
      <c r="F10" s="80">
        <f>IFERROR(__xludf.DUMMYFUNCTION("""COMPUTED_VALUE"""),24.0)</f>
        <v>24</v>
      </c>
      <c r="G10" s="80">
        <f>IFERROR(__xludf.DUMMYFUNCTION("""COMPUTED_VALUE"""),24.0)</f>
        <v>24</v>
      </c>
      <c r="H10" s="81">
        <f>IFERROR(__xludf.DUMMYFUNCTION("""COMPUTED_VALUE"""),0.5)</f>
        <v>0.5</v>
      </c>
      <c r="I10" s="81">
        <f>IFERROR(__xludf.DUMMYFUNCTION("""COMPUTED_VALUE"""),0.3184713375796178)</f>
        <v>0.3184713376</v>
      </c>
      <c r="J10" s="80">
        <f>IFERROR(__xludf.DUMMYFUNCTION("""COMPUTED_VALUE"""),389.9791666666667)</f>
        <v>389.9791667</v>
      </c>
      <c r="K10" s="80">
        <f>IFERROR(__xludf.DUMMYFUNCTION("""COMPUTED_VALUE"""),1.0416666666666667)</f>
        <v>1.041666667</v>
      </c>
      <c r="L10" s="80">
        <f>IFERROR(__xludf.DUMMYFUNCTION("""COMPUTED_VALUE"""),0.625)</f>
        <v>0.625</v>
      </c>
      <c r="M10" s="80">
        <f>IFERROR(__xludf.DUMMYFUNCTION("""COMPUTED_VALUE"""),1.375)</f>
        <v>1.375</v>
      </c>
      <c r="N10" s="80">
        <f>IFERROR(__xludf.DUMMYFUNCTION("""COMPUTED_VALUE"""),3.2708333333333335)</f>
        <v>3.270833333</v>
      </c>
      <c r="O10" s="80">
        <f>IFERROR(__xludf.DUMMYFUNCTION("""COMPUTED_VALUE"""),356.59722222222223)</f>
        <v>356.5972222</v>
      </c>
      <c r="P10" s="80">
        <f>IFERROR(__xludf.DUMMYFUNCTION("""COMPUTED_VALUE"""),0.736111111111111)</f>
        <v>0.7361111111</v>
      </c>
      <c r="Q10" s="80">
        <f>IFERROR(__xludf.DUMMYFUNCTION("""COMPUTED_VALUE"""),0.5902777777777777)</f>
        <v>0.5902777778</v>
      </c>
      <c r="R10" s="80">
        <f>IFERROR(__xludf.DUMMYFUNCTION("""COMPUTED_VALUE"""),1.3680555555555554)</f>
        <v>1.368055556</v>
      </c>
      <c r="S10" s="80">
        <f>IFERROR(__xludf.DUMMYFUNCTION("""COMPUTED_VALUE"""),2.5902777777777777)</f>
        <v>2.590277778</v>
      </c>
      <c r="T10" s="80">
        <f>IFERROR(__xludf.DUMMYFUNCTION("""COMPUTED_VALUE"""),373.6265021754087)</f>
        <v>373.6265022</v>
      </c>
      <c r="U10" s="80">
        <f>IFERROR(__xludf.DUMMYFUNCTION("""COMPUTED_VALUE"""),0.8144605856641047)</f>
        <v>0.8144605857</v>
      </c>
      <c r="V10" s="80">
        <f>IFERROR(__xludf.DUMMYFUNCTION("""COMPUTED_VALUE"""),0.640295901127422)</f>
        <v>0.6402959011</v>
      </c>
      <c r="W10" s="80">
        <f>IFERROR(__xludf.DUMMYFUNCTION("""COMPUTED_VALUE"""),1.4381276180144305)</f>
        <v>1.438127618</v>
      </c>
      <c r="X10" s="80">
        <f>IFERROR(__xludf.DUMMYFUNCTION("""COMPUTED_VALUE"""),2.6965856949557985)</f>
        <v>2.696585695</v>
      </c>
      <c r="Y10" s="80">
        <f>IFERROR(__xludf.DUMMYFUNCTION("""COMPUTED_VALUE"""),370.5937347851289)</f>
        <v>370.5937348</v>
      </c>
      <c r="Z10" s="80">
        <f>IFERROR(__xludf.DUMMYFUNCTION("""COMPUTED_VALUE"""),0.8321299809778884)</f>
        <v>0.832129981</v>
      </c>
      <c r="AA10" s="80">
        <f>IFERROR(__xludf.DUMMYFUNCTION("""COMPUTED_VALUE"""),0.6418963863973987)</f>
        <v>0.6418963864</v>
      </c>
      <c r="AB10" s="80">
        <f>IFERROR(__xludf.DUMMYFUNCTION("""COMPUTED_VALUE"""),1.3992491523504613)</f>
        <v>1.399249152</v>
      </c>
      <c r="AC10" s="80">
        <f>IFERROR(__xludf.DUMMYFUNCTION("""COMPUTED_VALUE"""),2.7466102026420547)</f>
        <v>2.746610203</v>
      </c>
      <c r="AD10" s="80">
        <f>IFERROR(__xludf.DUMMYFUNCTION("""COMPUTED_VALUE"""),1.052309119291446)</f>
        <v>1.052309119</v>
      </c>
      <c r="AE10" s="80">
        <f>IFERROR(__xludf.DUMMYFUNCTION("""COMPUTED_VALUE"""),1.2518076388048638)</f>
        <v>1.251807639</v>
      </c>
      <c r="AF10" s="80">
        <f>IFERROR(__xludf.DUMMYFUNCTION("""COMPUTED_VALUE"""),0.9736773928698548)</f>
        <v>0.9736773929</v>
      </c>
      <c r="AG10" s="80">
        <f>IFERROR(__xludf.DUMMYFUNCTION("""COMPUTED_VALUE"""),0.9826698824081991)</f>
        <v>0.9826698824</v>
      </c>
      <c r="AH10" s="80">
        <f>IFERROR(__xludf.DUMMYFUNCTION("""COMPUTED_VALUE"""),1.1908618595339853)</f>
        <v>1.19086186</v>
      </c>
      <c r="AI10" s="80">
        <f>IFERROR(__xludf.DUMMYFUNCTION("""COMPUTED_VALUE"""),0.9544216487480548)</f>
        <v>0.9544216487</v>
      </c>
      <c r="AJ10" s="80">
        <f>IFERROR(__xludf.DUMMYFUNCTION("""COMPUTED_VALUE"""),0.9038020059753927)</f>
        <v>0.903802006</v>
      </c>
      <c r="AK10" s="80">
        <f>IFERROR(__xludf.DUMMYFUNCTION("""COMPUTED_VALUE"""),0.9218827994032552)</f>
        <v>0.9218827994</v>
      </c>
      <c r="AL10" s="80">
        <f>IFERROR(__xludf.DUMMYFUNCTION("""COMPUTED_VALUE"""),0.9512754907275747)</f>
        <v>0.9512754907</v>
      </c>
      <c r="AM10" s="80">
        <f>IFERROR(__xludf.DUMMYFUNCTION("""COMPUTED_VALUE"""),0.9605768444975143)</f>
        <v>0.9605768445</v>
      </c>
      <c r="AN10" s="80">
        <f>IFERROR(__xludf.DUMMYFUNCTION("""COMPUTED_VALUE"""),1.0686709800643934)</f>
        <v>1.06867098</v>
      </c>
      <c r="AO10" s="80">
        <f>IFERROR(__xludf.DUMMYFUNCTION("""COMPUTED_VALUE"""),1.315569157020971)</f>
        <v>1.315569157</v>
      </c>
      <c r="AP10" s="80">
        <f>IFERROR(__xludf.DUMMYFUNCTION("""COMPUTED_VALUE"""),1.049923109426238)</f>
        <v>1.049923109</v>
      </c>
      <c r="AQ10" s="80">
        <f>IFERROR(__xludf.DUMMYFUNCTION("""COMPUTED_VALUE"""),0.9559070680188448)</f>
        <v>0.955907068</v>
      </c>
      <c r="AR10" s="80">
        <f>IFERROR(__xludf.DUMMYFUNCTION("""COMPUTED_VALUE"""),1.2333188743176864)</f>
        <v>1.233318874</v>
      </c>
      <c r="AS10" s="80">
        <f>IFERROR(__xludf.DUMMYFUNCTION("""COMPUTED_VALUE"""),113.0)</f>
        <v>113</v>
      </c>
      <c r="AT10" s="80">
        <f>IFERROR(__xludf.DUMMYFUNCTION("""COMPUTED_VALUE"""),0.5246950330497077)</f>
        <v>0.524695033</v>
      </c>
      <c r="AU10" s="80">
        <f>IFERROR(__xludf.DUMMYFUNCTION("""COMPUTED_VALUE"""),3.2089182165255967)</f>
        <v>3.208918217</v>
      </c>
      <c r="AV10" s="80">
        <f>IFERROR(__xludf.DUMMYFUNCTION("""COMPUTED_VALUE"""),74.50321935515302)</f>
        <v>74.50321936</v>
      </c>
      <c r="AW10" s="82">
        <f t="shared" si="1"/>
        <v>6.115786069</v>
      </c>
      <c r="AX10" s="83">
        <f t="array" ref="AX10">IFERROR(DGET('SBV Import'!A:G,"SBV",{"RSC ID","Tier";B10,A10}))</f>
        <v>71.12399762</v>
      </c>
      <c r="AY10" s="82">
        <f t="shared" si="2"/>
        <v>5.023444089</v>
      </c>
      <c r="AZ10" s="82">
        <v>1.0923419796312546</v>
      </c>
      <c r="BA10" s="84">
        <v>2.0</v>
      </c>
      <c r="BB10" s="84" t="b">
        <f>IFERROR(__xludf.DUMMYFUNCTION("iferror(if(A10="""",,E10&gt;=FILTER(Constants!$F$2:$F$10,Constants!$A$2:$A$10=A10)))"),TRUE)</f>
        <v>1</v>
      </c>
    </row>
    <row r="11">
      <c r="A11" s="80" t="str">
        <f>IFERROR(__xludf.DUMMYFUNCTION("""COMPUTED_VALUE"""),"Premier")</f>
        <v>Premier</v>
      </c>
      <c r="B11" s="79" t="str">
        <f>IFERROR(__xludf.DUMMYFUNCTION("""COMPUTED_VALUE"""),"RSC002062")</f>
        <v>RSC002062</v>
      </c>
      <c r="C11" s="80" t="str">
        <f>IFERROR(__xludf.DUMMYFUNCTION("""COMPUTED_VALUE"""),"Gromit")</f>
        <v>Gromit</v>
      </c>
      <c r="D11" s="80" t="str">
        <f>IFERROR(__xludf.DUMMYFUNCTION("""COMPUTED_VALUE"""),"Excavators")</f>
        <v>Excavators</v>
      </c>
      <c r="E11" s="80">
        <f>IFERROR(__xludf.DUMMYFUNCTION("""COMPUTED_VALUE"""),46.0)</f>
        <v>46</v>
      </c>
      <c r="F11" s="80">
        <f>IFERROR(__xludf.DUMMYFUNCTION("""COMPUTED_VALUE"""),30.0)</f>
        <v>30</v>
      </c>
      <c r="G11" s="80">
        <f>IFERROR(__xludf.DUMMYFUNCTION("""COMPUTED_VALUE"""),16.0)</f>
        <v>16</v>
      </c>
      <c r="H11" s="81">
        <f>IFERROR(__xludf.DUMMYFUNCTION("""COMPUTED_VALUE"""),0.6521739130434783)</f>
        <v>0.652173913</v>
      </c>
      <c r="I11" s="81">
        <f>IFERROR(__xludf.DUMMYFUNCTION("""COMPUTED_VALUE"""),0.3129251700680272)</f>
        <v>0.3129251701</v>
      </c>
      <c r="J11" s="80">
        <f>IFERROR(__xludf.DUMMYFUNCTION("""COMPUTED_VALUE"""),361.67391304347825)</f>
        <v>361.673913</v>
      </c>
      <c r="K11" s="80">
        <f>IFERROR(__xludf.DUMMYFUNCTION("""COMPUTED_VALUE"""),1.0)</f>
        <v>1</v>
      </c>
      <c r="L11" s="80">
        <f>IFERROR(__xludf.DUMMYFUNCTION("""COMPUTED_VALUE"""),0.6521739130434783)</f>
        <v>0.652173913</v>
      </c>
      <c r="M11" s="80">
        <f>IFERROR(__xludf.DUMMYFUNCTION("""COMPUTED_VALUE"""),0.9565217391304348)</f>
        <v>0.9565217391</v>
      </c>
      <c r="N11" s="80">
        <f>IFERROR(__xludf.DUMMYFUNCTION("""COMPUTED_VALUE"""),3.1956521739130435)</f>
        <v>3.195652174</v>
      </c>
      <c r="O11" s="80">
        <f>IFERROR(__xludf.DUMMYFUNCTION("""COMPUTED_VALUE"""),348.3115942028985)</f>
        <v>348.3115942</v>
      </c>
      <c r="P11" s="80">
        <f>IFERROR(__xludf.DUMMYFUNCTION("""COMPUTED_VALUE"""),0.710144927536232)</f>
        <v>0.7101449275</v>
      </c>
      <c r="Q11" s="80">
        <f>IFERROR(__xludf.DUMMYFUNCTION("""COMPUTED_VALUE"""),0.5217391304347826)</f>
        <v>0.5217391304</v>
      </c>
      <c r="R11" s="80">
        <f>IFERROR(__xludf.DUMMYFUNCTION("""COMPUTED_VALUE"""),1.4855072463768115)</f>
        <v>1.485507246</v>
      </c>
      <c r="S11" s="80">
        <f>IFERROR(__xludf.DUMMYFUNCTION("""COMPUTED_VALUE"""),2.391304347826087)</f>
        <v>2.391304348</v>
      </c>
      <c r="T11" s="80">
        <f>IFERROR(__xludf.DUMMYFUNCTION("""COMPUTED_VALUE"""),372.3024886593501)</f>
        <v>372.3024887</v>
      </c>
      <c r="U11" s="80">
        <f>IFERROR(__xludf.DUMMYFUNCTION("""COMPUTED_VALUE"""),0.8148649307372162)</f>
        <v>0.8148649307</v>
      </c>
      <c r="V11" s="80">
        <f>IFERROR(__xludf.DUMMYFUNCTION("""COMPUTED_VALUE"""),0.625390753125309)</f>
        <v>0.6253907531</v>
      </c>
      <c r="W11" s="80">
        <f>IFERROR(__xludf.DUMMYFUNCTION("""COMPUTED_VALUE"""),1.4677792996997285)</f>
        <v>1.4677793</v>
      </c>
      <c r="X11" s="80">
        <f>IFERROR(__xludf.DUMMYFUNCTION("""COMPUTED_VALUE"""),2.725405750494122)</f>
        <v>2.72540575</v>
      </c>
      <c r="Y11" s="80">
        <f>IFERROR(__xludf.DUMMYFUNCTION("""COMPUTED_VALUE"""),378.16042776849036)</f>
        <v>378.1604278</v>
      </c>
      <c r="Z11" s="80">
        <f>IFERROR(__xludf.DUMMYFUNCTION("""COMPUTED_VALUE"""),0.8597838080017105)</f>
        <v>0.859783808</v>
      </c>
      <c r="AA11" s="80">
        <f>IFERROR(__xludf.DUMMYFUNCTION("""COMPUTED_VALUE"""),0.6766565355321577)</f>
        <v>0.6766565355</v>
      </c>
      <c r="AB11" s="80">
        <f>IFERROR(__xludf.DUMMYFUNCTION("""COMPUTED_VALUE"""),1.4224770319156932)</f>
        <v>1.422477032</v>
      </c>
      <c r="AC11" s="80">
        <f>IFERROR(__xludf.DUMMYFUNCTION("""COMPUTED_VALUE"""),2.7672654452157506)</f>
        <v>2.767265445</v>
      </c>
      <c r="AD11" s="80">
        <f>IFERROR(__xludf.DUMMYFUNCTION("""COMPUTED_VALUE"""),0.9564033846103401)</f>
        <v>0.9564033846</v>
      </c>
      <c r="AE11" s="80">
        <f>IFERROR(__xludf.DUMMYFUNCTION("""COMPUTED_VALUE"""),1.163083080529484)</f>
        <v>1.163083081</v>
      </c>
      <c r="AF11" s="80">
        <f>IFERROR(__xludf.DUMMYFUNCTION("""COMPUTED_VALUE"""),0.963818242781879)</f>
        <v>0.9638182428</v>
      </c>
      <c r="AG11" s="80">
        <f>IFERROR(__xludf.DUMMYFUNCTION("""COMPUTED_VALUE"""),0.6724338725119926)</f>
        <v>0.6724338725</v>
      </c>
      <c r="AH11" s="80">
        <f>IFERROR(__xludf.DUMMYFUNCTION("""COMPUTED_VALUE"""),1.1548050727977393)</f>
        <v>1.154805073</v>
      </c>
      <c r="AI11" s="80">
        <f>IFERROR(__xludf.DUMMYFUNCTION("""COMPUTED_VALUE"""),0.9355607464703175)</f>
        <v>0.9355607465</v>
      </c>
      <c r="AJ11" s="80">
        <f>IFERROR(__xludf.DUMMYFUNCTION("""COMPUTED_VALUE"""),0.8714879003244832)</f>
        <v>0.8714879003</v>
      </c>
      <c r="AK11" s="80">
        <f>IFERROR(__xludf.DUMMYFUNCTION("""COMPUTED_VALUE"""),0.8342610245313975)</f>
        <v>0.8342610245</v>
      </c>
      <c r="AL11" s="80">
        <f>IFERROR(__xludf.DUMMYFUNCTION("""COMPUTED_VALUE"""),1.0120780737817394)</f>
        <v>1.012078074</v>
      </c>
      <c r="AM11" s="80">
        <f>IFERROR(__xludf.DUMMYFUNCTION("""COMPUTED_VALUE"""),0.8774122339004159)</f>
        <v>0.8774122339</v>
      </c>
      <c r="AN11" s="80">
        <f>IFERROR(__xludf.DUMMYFUNCTION("""COMPUTED_VALUE"""),0.9911052901096803)</f>
        <v>0.9911052901</v>
      </c>
      <c r="AO11" s="80">
        <f>IFERROR(__xludf.DUMMYFUNCTION("""COMPUTED_VALUE"""),1.2629463907401322)</f>
        <v>1.262946391</v>
      </c>
      <c r="AP11" s="80">
        <f>IFERROR(__xludf.DUMMYFUNCTION("""COMPUTED_VALUE"""),1.095571940270857)</f>
        <v>1.09557194</v>
      </c>
      <c r="AQ11" s="80">
        <f>IFERROR(__xludf.DUMMYFUNCTION("""COMPUTED_VALUE"""),0.664978829926153)</f>
        <v>0.6649788299</v>
      </c>
      <c r="AR11" s="80">
        <f>IFERROR(__xludf.DUMMYFUNCTION("""COMPUTED_VALUE"""),1.2049706420916082)</f>
        <v>1.204970642</v>
      </c>
      <c r="AS11" s="80">
        <f>IFERROR(__xludf.DUMMYFUNCTION("""COMPUTED_VALUE"""),129.0)</f>
        <v>129</v>
      </c>
      <c r="AT11" s="80">
        <f>IFERROR(__xludf.DUMMYFUNCTION("""COMPUTED_VALUE"""),0.6069634349595463)</f>
        <v>0.606963435</v>
      </c>
      <c r="AU11" s="80">
        <f>IFERROR(__xludf.DUMMYFUNCTION("""COMPUTED_VALUE"""),3.1242537699655104)</f>
        <v>3.12425377</v>
      </c>
      <c r="AV11" s="80">
        <f>IFERROR(__xludf.DUMMYFUNCTION("""COMPUTED_VALUE"""),71.9446665570095)</f>
        <v>71.94466656</v>
      </c>
      <c r="AW11" s="82">
        <f t="shared" si="1"/>
        <v>5.26233387</v>
      </c>
      <c r="AX11" s="83">
        <f t="array" ref="AX11">IFERROR(DGET('SBV Import'!A:G,"SBV",{"RSC ID","Tier";B11,A11}))</f>
        <v>61.13614384</v>
      </c>
      <c r="AY11" s="82">
        <f t="shared" si="2"/>
        <v>3.048791392</v>
      </c>
      <c r="AZ11" s="82">
        <v>2.2135424781348108</v>
      </c>
      <c r="BA11" s="84">
        <v>2.0</v>
      </c>
      <c r="BB11" s="84" t="b">
        <f>IFERROR(__xludf.DUMMYFUNCTION("iferror(if(A11="""",,E11&gt;=FILTER(Constants!$F$2:$F$10,Constants!$A$2:$A$10=A11)))"),TRUE)</f>
        <v>1</v>
      </c>
    </row>
    <row r="12">
      <c r="A12" s="80" t="str">
        <f>IFERROR(__xludf.DUMMYFUNCTION("""COMPUTED_VALUE"""),"Premier")</f>
        <v>Premier</v>
      </c>
      <c r="B12" s="79" t="str">
        <f>IFERROR(__xludf.DUMMYFUNCTION("""COMPUTED_VALUE"""),"RSC004090")</f>
        <v>RSC004090</v>
      </c>
      <c r="C12" s="80" t="str">
        <f>IFERROR(__xludf.DUMMYFUNCTION("""COMPUTED_VALUE"""),"LikeWisse")</f>
        <v>LikeWisse</v>
      </c>
      <c r="D12" s="80" t="str">
        <f>IFERROR(__xludf.DUMMYFUNCTION("""COMPUTED_VALUE"""),"Super Clusters")</f>
        <v>Super Clusters</v>
      </c>
      <c r="E12" s="80">
        <f>IFERROR(__xludf.DUMMYFUNCTION("""COMPUTED_VALUE"""),46.0)</f>
        <v>46</v>
      </c>
      <c r="F12" s="80">
        <f>IFERROR(__xludf.DUMMYFUNCTION("""COMPUTED_VALUE"""),27.0)</f>
        <v>27</v>
      </c>
      <c r="G12" s="80">
        <f>IFERROR(__xludf.DUMMYFUNCTION("""COMPUTED_VALUE"""),19.0)</f>
        <v>19</v>
      </c>
      <c r="H12" s="81">
        <f>IFERROR(__xludf.DUMMYFUNCTION("""COMPUTED_VALUE"""),0.5869565217391305)</f>
        <v>0.5869565217</v>
      </c>
      <c r="I12" s="81">
        <f>IFERROR(__xludf.DUMMYFUNCTION("""COMPUTED_VALUE"""),0.3902439024390244)</f>
        <v>0.3902439024</v>
      </c>
      <c r="J12" s="80">
        <f>IFERROR(__xludf.DUMMYFUNCTION("""COMPUTED_VALUE"""),400.4130434782609)</f>
        <v>400.4130435</v>
      </c>
      <c r="K12" s="80">
        <f>IFERROR(__xludf.DUMMYFUNCTION("""COMPUTED_VALUE"""),1.0434782608695652)</f>
        <v>1.043478261</v>
      </c>
      <c r="L12" s="80">
        <f>IFERROR(__xludf.DUMMYFUNCTION("""COMPUTED_VALUE"""),0.717391304347826)</f>
        <v>0.7173913043</v>
      </c>
      <c r="M12" s="80">
        <f>IFERROR(__xludf.DUMMYFUNCTION("""COMPUTED_VALUE"""),1.4565217391304348)</f>
        <v>1.456521739</v>
      </c>
      <c r="N12" s="80">
        <f>IFERROR(__xludf.DUMMYFUNCTION("""COMPUTED_VALUE"""),2.6739130434782608)</f>
        <v>2.673913043</v>
      </c>
      <c r="O12" s="80">
        <f>IFERROR(__xludf.DUMMYFUNCTION("""COMPUTED_VALUE"""),354.1159420289855)</f>
        <v>354.115942</v>
      </c>
      <c r="P12" s="80">
        <f>IFERROR(__xludf.DUMMYFUNCTION("""COMPUTED_VALUE"""),0.7608695652173914)</f>
        <v>0.7608695652</v>
      </c>
      <c r="Q12" s="80">
        <f>IFERROR(__xludf.DUMMYFUNCTION("""COMPUTED_VALUE"""),0.5942028985507247)</f>
        <v>0.5942028986</v>
      </c>
      <c r="R12" s="80">
        <f>IFERROR(__xludf.DUMMYFUNCTION("""COMPUTED_VALUE"""),1.2753623188405798)</f>
        <v>1.275362319</v>
      </c>
      <c r="S12" s="80">
        <f>IFERROR(__xludf.DUMMYFUNCTION("""COMPUTED_VALUE"""),2.3840579710144927)</f>
        <v>2.384057971</v>
      </c>
      <c r="T12" s="80">
        <f>IFERROR(__xludf.DUMMYFUNCTION("""COMPUTED_VALUE"""),364.5799112873667)</f>
        <v>364.5799113</v>
      </c>
      <c r="U12" s="80">
        <f>IFERROR(__xludf.DUMMYFUNCTION("""COMPUTED_VALUE"""),0.8117081714111253)</f>
        <v>0.8117081714</v>
      </c>
      <c r="V12" s="80">
        <f>IFERROR(__xludf.DUMMYFUNCTION("""COMPUTED_VALUE"""),0.6042251795096863)</f>
        <v>0.6042251795</v>
      </c>
      <c r="W12" s="80">
        <f>IFERROR(__xludf.DUMMYFUNCTION("""COMPUTED_VALUE"""),1.3966394962088189)</f>
        <v>1.396639496</v>
      </c>
      <c r="X12" s="80">
        <f>IFERROR(__xludf.DUMMYFUNCTION("""COMPUTED_VALUE"""),2.639827521871218)</f>
        <v>2.639827522</v>
      </c>
      <c r="Y12" s="80">
        <f>IFERROR(__xludf.DUMMYFUNCTION("""COMPUTED_VALUE"""),373.6731938267421)</f>
        <v>373.6731938</v>
      </c>
      <c r="Z12" s="80">
        <f>IFERROR(__xludf.DUMMYFUNCTION("""COMPUTED_VALUE"""),0.8432153321485957)</f>
        <v>0.8432153321</v>
      </c>
      <c r="AA12" s="80">
        <f>IFERROR(__xludf.DUMMYFUNCTION("""COMPUTED_VALUE"""),0.6488175020037237)</f>
        <v>0.648817502</v>
      </c>
      <c r="AB12" s="80">
        <f>IFERROR(__xludf.DUMMYFUNCTION("""COMPUTED_VALUE"""),1.4208524491621806)</f>
        <v>1.420852449</v>
      </c>
      <c r="AC12" s="80">
        <f>IFERROR(__xludf.DUMMYFUNCTION("""COMPUTED_VALUE"""),2.756006405093833)</f>
        <v>2.756006405</v>
      </c>
      <c r="AD12" s="80">
        <f>IFERROR(__xludf.DUMMYFUNCTION("""COMPUTED_VALUE"""),1.0715594538042166)</f>
        <v>1.071559454</v>
      </c>
      <c r="AE12" s="80">
        <f>IFERROR(__xludf.DUMMYFUNCTION("""COMPUTED_VALUE"""),1.237499154825233)</f>
        <v>1.237499155</v>
      </c>
      <c r="AF12" s="80">
        <f>IFERROR(__xludf.DUMMYFUNCTION("""COMPUTED_VALUE"""),1.105690432413318)</f>
        <v>1.105690432</v>
      </c>
      <c r="AG12" s="80">
        <f>IFERROR(__xludf.DUMMYFUNCTION("""COMPUTED_VALUE"""),1.02510414785806)</f>
        <v>1.025104148</v>
      </c>
      <c r="AH12" s="80">
        <f>IFERROR(__xludf.DUMMYFUNCTION("""COMPUTED_VALUE"""),0.9702129278568288)</f>
        <v>0.9702129279</v>
      </c>
      <c r="AI12" s="80">
        <f>IFERROR(__xludf.DUMMYFUNCTION("""COMPUTED_VALUE"""),0.9712985577800161)</f>
        <v>0.9712985578</v>
      </c>
      <c r="AJ12" s="80">
        <f>IFERROR(__xludf.DUMMYFUNCTION("""COMPUTED_VALUE"""),0.9373683695886013)</f>
        <v>0.9373683696</v>
      </c>
      <c r="AK12" s="80">
        <f>IFERROR(__xludf.DUMMYFUNCTION("""COMPUTED_VALUE"""),0.9834130034648764)</f>
        <v>0.9834130035</v>
      </c>
      <c r="AL12" s="80">
        <f>IFERROR(__xludf.DUMMYFUNCTION("""COMPUTED_VALUE"""),0.9131650095121567)</f>
        <v>0.9131650095</v>
      </c>
      <c r="AM12" s="80">
        <f>IFERROR(__xludf.DUMMYFUNCTION("""COMPUTED_VALUE"""),0.903111264377066)</f>
        <v>0.9031112644</v>
      </c>
      <c r="AN12" s="80">
        <f>IFERROR(__xludf.DUMMYFUNCTION("""COMPUTED_VALUE"""),1.0972632288591815)</f>
        <v>1.097263229</v>
      </c>
      <c r="AO12" s="80">
        <f>IFERROR(__xludf.DUMMYFUNCTION("""COMPUTED_VALUE"""),1.3178571033810074)</f>
        <v>1.317857103</v>
      </c>
      <c r="AP12" s="80">
        <f>IFERROR(__xludf.DUMMYFUNCTION("""COMPUTED_VALUE"""),1.2051291342979427)</f>
        <v>1.205129134</v>
      </c>
      <c r="AQ12" s="80">
        <f>IFERROR(__xludf.DUMMYFUNCTION("""COMPUTED_VALUE"""),1.012581400114824)</f>
        <v>1.0125814</v>
      </c>
      <c r="AR12" s="80">
        <f>IFERROR(__xludf.DUMMYFUNCTION("""COMPUTED_VALUE"""),1.0082407413419578)</f>
        <v>1.008240741</v>
      </c>
      <c r="AS12" s="80">
        <f>IFERROR(__xludf.DUMMYFUNCTION("""COMPUTED_VALUE"""),132.0)</f>
        <v>132</v>
      </c>
      <c r="AT12" s="80">
        <f>IFERROR(__xludf.DUMMYFUNCTION("""COMPUTED_VALUE"""),0.5905726379666191)</f>
        <v>0.590572638</v>
      </c>
      <c r="AU12" s="80">
        <f>IFERROR(__xludf.DUMMYFUNCTION("""COMPUTED_VALUE"""),3.0837695269206042)</f>
        <v>3.083769527</v>
      </c>
      <c r="AV12" s="80">
        <f>IFERROR(__xludf.DUMMYFUNCTION("""COMPUTED_VALUE"""),70.72123597272338)</f>
        <v>70.72123597</v>
      </c>
      <c r="AW12" s="82">
        <f t="shared" si="1"/>
        <v>4.911716696</v>
      </c>
      <c r="AX12" s="83">
        <f t="array" ref="AX12">IFERROR(DGET('SBV Import'!A:G,"SBV",{"RSC ID","Tier";B12,A12}))</f>
        <v>70.71098781</v>
      </c>
      <c r="AY12" s="82">
        <f t="shared" si="2"/>
        <v>4.908919449</v>
      </c>
      <c r="AZ12" s="82">
        <v>0.002797247150231108</v>
      </c>
      <c r="BA12" s="84">
        <v>2.0</v>
      </c>
      <c r="BB12" s="84" t="b">
        <f>IFERROR(__xludf.DUMMYFUNCTION("iferror(if(A12="""",,E12&gt;=FILTER(Constants!$F$2:$F$10,Constants!$A$2:$A$10=A12)))"),TRUE)</f>
        <v>1</v>
      </c>
    </row>
    <row r="13">
      <c r="A13" s="80" t="str">
        <f>IFERROR(__xludf.DUMMYFUNCTION("""COMPUTED_VALUE"""),"Premier")</f>
        <v>Premier</v>
      </c>
      <c r="B13" s="79" t="str">
        <f>IFERROR(__xludf.DUMMYFUNCTION("""COMPUTED_VALUE"""),"RSC004079")</f>
        <v>RSC004079</v>
      </c>
      <c r="C13" s="80" t="str">
        <f>IFERROR(__xludf.DUMMYFUNCTION("""COMPUTED_VALUE"""),"tox")</f>
        <v>tox</v>
      </c>
      <c r="D13" s="80" t="str">
        <f>IFERROR(__xludf.DUMMYFUNCTION("""COMPUTED_VALUE"""),"Super Clusters")</f>
        <v>Super Clusters</v>
      </c>
      <c r="E13" s="80">
        <f>IFERROR(__xludf.DUMMYFUNCTION("""COMPUTED_VALUE"""),43.0)</f>
        <v>43</v>
      </c>
      <c r="F13" s="80">
        <f>IFERROR(__xludf.DUMMYFUNCTION("""COMPUTED_VALUE"""),24.0)</f>
        <v>24</v>
      </c>
      <c r="G13" s="80">
        <f>IFERROR(__xludf.DUMMYFUNCTION("""COMPUTED_VALUE"""),19.0)</f>
        <v>19</v>
      </c>
      <c r="H13" s="81">
        <f>IFERROR(__xludf.DUMMYFUNCTION("""COMPUTED_VALUE"""),0.5581395348837209)</f>
        <v>0.5581395349</v>
      </c>
      <c r="I13" s="81">
        <f>IFERROR(__xludf.DUMMYFUNCTION("""COMPUTED_VALUE"""),0.3826086956521739)</f>
        <v>0.3826086957</v>
      </c>
      <c r="J13" s="80">
        <f>IFERROR(__xludf.DUMMYFUNCTION("""COMPUTED_VALUE"""),386.6279069767442)</f>
        <v>386.627907</v>
      </c>
      <c r="K13" s="80">
        <f>IFERROR(__xludf.DUMMYFUNCTION("""COMPUTED_VALUE"""),1.0232558139534884)</f>
        <v>1.023255814</v>
      </c>
      <c r="L13" s="80">
        <f>IFERROR(__xludf.DUMMYFUNCTION("""COMPUTED_VALUE"""),0.6744186046511628)</f>
        <v>0.6744186047</v>
      </c>
      <c r="M13" s="80">
        <f>IFERROR(__xludf.DUMMYFUNCTION("""COMPUTED_VALUE"""),1.2790697674418605)</f>
        <v>1.279069767</v>
      </c>
      <c r="N13" s="80">
        <f>IFERROR(__xludf.DUMMYFUNCTION("""COMPUTED_VALUE"""),2.6744186046511627)</f>
        <v>2.674418605</v>
      </c>
      <c r="O13" s="80">
        <f>IFERROR(__xludf.DUMMYFUNCTION("""COMPUTED_VALUE"""),355.41085271317826)</f>
        <v>355.4108527</v>
      </c>
      <c r="P13" s="80">
        <f>IFERROR(__xludf.DUMMYFUNCTION("""COMPUTED_VALUE"""),0.7751937984496124)</f>
        <v>0.7751937984</v>
      </c>
      <c r="Q13" s="80">
        <f>IFERROR(__xludf.DUMMYFUNCTION("""COMPUTED_VALUE"""),0.6046511627906977)</f>
        <v>0.6046511628</v>
      </c>
      <c r="R13" s="80">
        <f>IFERROR(__xludf.DUMMYFUNCTION("""COMPUTED_VALUE"""),1.2868217054263569)</f>
        <v>1.286821705</v>
      </c>
      <c r="S13" s="80">
        <f>IFERROR(__xludf.DUMMYFUNCTION("""COMPUTED_VALUE"""),2.4108527131782944)</f>
        <v>2.410852713</v>
      </c>
      <c r="T13" s="80">
        <f>IFERROR(__xludf.DUMMYFUNCTION("""COMPUTED_VALUE"""),366.4584208466046)</f>
        <v>366.4584208</v>
      </c>
      <c r="U13" s="80">
        <f>IFERROR(__xludf.DUMMYFUNCTION("""COMPUTED_VALUE"""),0.8226968177924084)</f>
        <v>0.8226968178</v>
      </c>
      <c r="V13" s="80">
        <f>IFERROR(__xludf.DUMMYFUNCTION("""COMPUTED_VALUE"""),0.593660133886412)</f>
        <v>0.5936601339</v>
      </c>
      <c r="W13" s="80">
        <f>IFERROR(__xludf.DUMMYFUNCTION("""COMPUTED_VALUE"""),1.4041443165742615)</f>
        <v>1.404144317</v>
      </c>
      <c r="X13" s="80">
        <f>IFERROR(__xludf.DUMMYFUNCTION("""COMPUTED_VALUE"""),2.673031360870543)</f>
        <v>2.673031361</v>
      </c>
      <c r="Y13" s="80">
        <f>IFERROR(__xludf.DUMMYFUNCTION("""COMPUTED_VALUE"""),375.3581793306989)</f>
        <v>375.3581793</v>
      </c>
      <c r="Z13" s="80">
        <f>IFERROR(__xludf.DUMMYFUNCTION("""COMPUTED_VALUE"""),0.8424421530739986)</f>
        <v>0.8424421531</v>
      </c>
      <c r="AA13" s="80">
        <f>IFERROR(__xludf.DUMMYFUNCTION("""COMPUTED_VALUE"""),0.6522606689649293)</f>
        <v>0.652260669</v>
      </c>
      <c r="AB13" s="80">
        <f>IFERROR(__xludf.DUMMYFUNCTION("""COMPUTED_VALUE"""),1.4390868431676833)</f>
        <v>1.439086843</v>
      </c>
      <c r="AC13" s="80">
        <f>IFERROR(__xludf.DUMMYFUNCTION("""COMPUTED_VALUE"""),2.7609550704547345)</f>
        <v>2.76095507</v>
      </c>
      <c r="AD13" s="80">
        <f>IFERROR(__xludf.DUMMYFUNCTION("""COMPUTED_VALUE"""),1.0300239298531881)</f>
        <v>1.03002393</v>
      </c>
      <c r="AE13" s="80">
        <f>IFERROR(__xludf.DUMMYFUNCTION("""COMPUTED_VALUE"""),1.2146303579654891)</f>
        <v>1.214630358</v>
      </c>
      <c r="AF13" s="80">
        <f>IFERROR(__xludf.DUMMYFUNCTION("""COMPUTED_VALUE"""),1.0339709823702783)</f>
        <v>1.033970982</v>
      </c>
      <c r="AG13" s="80">
        <f>IFERROR(__xludf.DUMMYFUNCTION("""COMPUTED_VALUE"""),0.8888065188799885)</f>
        <v>0.8888065189</v>
      </c>
      <c r="AH13" s="80">
        <f>IFERROR(__xludf.DUMMYFUNCTION("""COMPUTED_VALUE"""),0.9686570539558548)</f>
        <v>0.968657054</v>
      </c>
      <c r="AI13" s="80">
        <f>IFERROR(__xludf.DUMMYFUNCTION("""COMPUTED_VALUE"""),0.9698531470285118)</f>
        <v>0.969853147</v>
      </c>
      <c r="AJ13" s="80">
        <f>IFERROR(__xludf.DUMMYFUNCTION("""COMPUTED_VALUE"""),0.9422593860636733)</f>
        <v>0.9422593861</v>
      </c>
      <c r="AK13" s="80">
        <f>IFERROR(__xludf.DUMMYFUNCTION("""COMPUTED_VALUE"""),1.018514008734817)</f>
        <v>1.018514009</v>
      </c>
      <c r="AL13" s="80">
        <f>IFERROR(__xludf.DUMMYFUNCTION("""COMPUTED_VALUE"""),0.9164454751815393)</f>
        <v>0.9164454752</v>
      </c>
      <c r="AM13" s="80">
        <f>IFERROR(__xludf.DUMMYFUNCTION("""COMPUTED_VALUE"""),0.9019171074719964)</f>
        <v>0.9019171075</v>
      </c>
      <c r="AN13" s="80">
        <f>IFERROR(__xludf.DUMMYFUNCTION("""COMPUTED_VALUE"""),1.059487428009827)</f>
        <v>1.059487428</v>
      </c>
      <c r="AO13" s="80">
        <f>IFERROR(__xludf.DUMMYFUNCTION("""COMPUTED_VALUE"""),1.2923172370364144)</f>
        <v>1.292317237</v>
      </c>
      <c r="AP13" s="80">
        <f>IFERROR(__xludf.DUMMYFUNCTION("""COMPUTED_VALUE"""),1.1329402855204056)</f>
        <v>1.132940286</v>
      </c>
      <c r="AQ13" s="80">
        <f>IFERROR(__xludf.DUMMYFUNCTION("""COMPUTED_VALUE"""),0.8892158772268325)</f>
        <v>0.8892158772</v>
      </c>
      <c r="AR13" s="80">
        <f>IFERROR(__xludf.DUMMYFUNCTION("""COMPUTED_VALUE"""),1.0084313710907462)</f>
        <v>1.008431371</v>
      </c>
      <c r="AS13" s="80">
        <f>IFERROR(__xludf.DUMMYFUNCTION("""COMPUTED_VALUE"""),121.0)</f>
        <v>121</v>
      </c>
      <c r="AT13" s="80">
        <f>IFERROR(__xludf.DUMMYFUNCTION("""COMPUTED_VALUE"""),0.575647983484308)</f>
        <v>0.5756479835</v>
      </c>
      <c r="AU13" s="80">
        <f>IFERROR(__xludf.DUMMYFUNCTION("""COMPUTED_VALUE"""),2.942260595767946)</f>
        <v>2.942260596</v>
      </c>
      <c r="AV13" s="80">
        <f>IFERROR(__xludf.DUMMYFUNCTION("""COMPUTED_VALUE"""),66.44484740026658)</f>
        <v>66.4448474</v>
      </c>
      <c r="AW13" s="82">
        <f t="shared" si="1"/>
        <v>3.916419095</v>
      </c>
      <c r="AX13" s="83">
        <f t="array" ref="AX13">IFERROR(DGET('SBV Import'!A:G,"SBV",{"RSC ID","Tier";B13,A13}))</f>
        <v>65.57337403</v>
      </c>
      <c r="AY13" s="82">
        <f t="shared" si="2"/>
        <v>3.750042686</v>
      </c>
      <c r="AZ13" s="82">
        <v>0.16637640909717089</v>
      </c>
      <c r="BA13" s="84">
        <v>2.0</v>
      </c>
      <c r="BB13" s="84" t="b">
        <f>IFERROR(__xludf.DUMMYFUNCTION("iferror(if(A13="""",,E13&gt;=FILTER(Constants!$F$2:$F$10,Constants!$A$2:$A$10=A13)))"),TRUE)</f>
        <v>1</v>
      </c>
    </row>
    <row r="14">
      <c r="A14" s="80" t="str">
        <f>IFERROR(__xludf.DUMMYFUNCTION("""COMPUTED_VALUE"""),"Premier")</f>
        <v>Premier</v>
      </c>
      <c r="B14" s="79" t="str">
        <f>IFERROR(__xludf.DUMMYFUNCTION("""COMPUTED_VALUE"""),"RSC007896")</f>
        <v>RSC007896</v>
      </c>
      <c r="C14" s="80" t="str">
        <f>IFERROR(__xludf.DUMMYFUNCTION("""COMPUTED_VALUE"""),"Notice")</f>
        <v>Notice</v>
      </c>
      <c r="D14" s="80" t="str">
        <f>IFERROR(__xludf.DUMMYFUNCTION("""COMPUTED_VALUE"""),"Hurricanes")</f>
        <v>Hurricanes</v>
      </c>
      <c r="E14" s="80">
        <f>IFERROR(__xludf.DUMMYFUNCTION("""COMPUTED_VALUE"""),43.0)</f>
        <v>43</v>
      </c>
      <c r="F14" s="80">
        <f>IFERROR(__xludf.DUMMYFUNCTION("""COMPUTED_VALUE"""),24.0)</f>
        <v>24</v>
      </c>
      <c r="G14" s="80">
        <f>IFERROR(__xludf.DUMMYFUNCTION("""COMPUTED_VALUE"""),19.0)</f>
        <v>19</v>
      </c>
      <c r="H14" s="81">
        <f>IFERROR(__xludf.DUMMYFUNCTION("""COMPUTED_VALUE"""),0.5581395348837209)</f>
        <v>0.5581395349</v>
      </c>
      <c r="I14" s="81">
        <f>IFERROR(__xludf.DUMMYFUNCTION("""COMPUTED_VALUE"""),0.29133858267716534)</f>
        <v>0.2913385827</v>
      </c>
      <c r="J14" s="80">
        <f>IFERROR(__xludf.DUMMYFUNCTION("""COMPUTED_VALUE"""),395.4418604651163)</f>
        <v>395.4418605</v>
      </c>
      <c r="K14" s="80">
        <f>IFERROR(__xludf.DUMMYFUNCTION("""COMPUTED_VALUE"""),0.8604651162790697)</f>
        <v>0.8604651163</v>
      </c>
      <c r="L14" s="80">
        <f>IFERROR(__xludf.DUMMYFUNCTION("""COMPUTED_VALUE"""),0.6744186046511628)</f>
        <v>0.6744186047</v>
      </c>
      <c r="M14" s="80">
        <f>IFERROR(__xludf.DUMMYFUNCTION("""COMPUTED_VALUE"""),1.558139534883721)</f>
        <v>1.558139535</v>
      </c>
      <c r="N14" s="80">
        <f>IFERROR(__xludf.DUMMYFUNCTION("""COMPUTED_VALUE"""),2.953488372093023)</f>
        <v>2.953488372</v>
      </c>
      <c r="O14" s="80">
        <f>IFERROR(__xludf.DUMMYFUNCTION("""COMPUTED_VALUE"""),379.8837209302326)</f>
        <v>379.8837209</v>
      </c>
      <c r="P14" s="80">
        <f>IFERROR(__xludf.DUMMYFUNCTION("""COMPUTED_VALUE"""),0.75968992248062)</f>
        <v>0.7596899225</v>
      </c>
      <c r="Q14" s="80">
        <f>IFERROR(__xludf.DUMMYFUNCTION("""COMPUTED_VALUE"""),0.5968992248062015)</f>
        <v>0.5968992248</v>
      </c>
      <c r="R14" s="80">
        <f>IFERROR(__xludf.DUMMYFUNCTION("""COMPUTED_VALUE"""),1.612403100775194)</f>
        <v>1.612403101</v>
      </c>
      <c r="S14" s="80">
        <f>IFERROR(__xludf.DUMMYFUNCTION("""COMPUTED_VALUE"""),2.7906976744186047)</f>
        <v>2.790697674</v>
      </c>
      <c r="T14" s="80">
        <f>IFERROR(__xludf.DUMMYFUNCTION("""COMPUTED_VALUE"""),376.70753540403933)</f>
        <v>376.7075354</v>
      </c>
      <c r="U14" s="80">
        <f>IFERROR(__xludf.DUMMYFUNCTION("""COMPUTED_VALUE"""),0.8656263927706336)</f>
        <v>0.8656263928</v>
      </c>
      <c r="V14" s="80">
        <f>IFERROR(__xludf.DUMMYFUNCTION("""COMPUTED_VALUE"""),0.673649973748083)</f>
        <v>0.6736499737</v>
      </c>
      <c r="W14" s="80">
        <f>IFERROR(__xludf.DUMMYFUNCTION("""COMPUTED_VALUE"""),1.4197799596820198)</f>
        <v>1.41977996</v>
      </c>
      <c r="X14" s="80">
        <f>IFERROR(__xludf.DUMMYFUNCTION("""COMPUTED_VALUE"""),2.7228941657962515)</f>
        <v>2.722894166</v>
      </c>
      <c r="Y14" s="80">
        <f>IFERROR(__xludf.DUMMYFUNCTION("""COMPUTED_VALUE"""),372.012127766595)</f>
        <v>372.0121278</v>
      </c>
      <c r="Z14" s="80">
        <f>IFERROR(__xludf.DUMMYFUNCTION("""COMPUTED_VALUE"""),0.8176621554543682)</f>
        <v>0.8176621555</v>
      </c>
      <c r="AA14" s="80">
        <f>IFERROR(__xludf.DUMMYFUNCTION("""COMPUTED_VALUE"""),0.6338762775619634)</f>
        <v>0.6338762776</v>
      </c>
      <c r="AB14" s="80">
        <f>IFERROR(__xludf.DUMMYFUNCTION("""COMPUTED_VALUE"""),1.4276748624153335)</f>
        <v>1.427674862</v>
      </c>
      <c r="AC14" s="80">
        <f>IFERROR(__xludf.DUMMYFUNCTION("""COMPUTED_VALUE"""),2.6953165884461625)</f>
        <v>2.695316588</v>
      </c>
      <c r="AD14" s="80">
        <f>IFERROR(__xludf.DUMMYFUNCTION("""COMPUTED_VALUE"""),1.0629810991356212)</f>
        <v>1.062981099</v>
      </c>
      <c r="AE14" s="80">
        <f>IFERROR(__xludf.DUMMYFUNCTION("""COMPUTED_VALUE"""),1.0523479783663416)</f>
        <v>1.052347978</v>
      </c>
      <c r="AF14" s="80">
        <f>IFERROR(__xludf.DUMMYFUNCTION("""COMPUTED_VALUE"""),1.0639593695557352)</f>
        <v>1.06395937</v>
      </c>
      <c r="AG14" s="80">
        <f>IFERROR(__xludf.DUMMYFUNCTION("""COMPUTED_VALUE"""),1.0913826221242475)</f>
        <v>1.091382622</v>
      </c>
      <c r="AH14" s="80">
        <f>IFERROR(__xludf.DUMMYFUNCTION("""COMPUTED_VALUE"""),1.0957853280588814)</f>
        <v>1.095785328</v>
      </c>
      <c r="AI14" s="80">
        <f>IFERROR(__xludf.DUMMYFUNCTION("""COMPUTED_VALUE"""),1.0084314361346305)</f>
        <v>1.008431436</v>
      </c>
      <c r="AJ14" s="80">
        <f>IFERROR(__xludf.DUMMYFUNCTION("""COMPUTED_VALUE"""),0.8776187149851797)</f>
        <v>0.877618715</v>
      </c>
      <c r="AK14" s="80">
        <f>IFERROR(__xludf.DUMMYFUNCTION("""COMPUTED_VALUE"""),0.8860673169556404)</f>
        <v>0.886067317</v>
      </c>
      <c r="AL14" s="80">
        <f>IFERROR(__xludf.DUMMYFUNCTION("""COMPUTED_VALUE"""),1.1356711226832044)</f>
        <v>1.135671123</v>
      </c>
      <c r="AM14" s="80">
        <f>IFERROR(__xludf.DUMMYFUNCTION("""COMPUTED_VALUE"""),1.0249012647917315)</f>
        <v>1.024901265</v>
      </c>
      <c r="AN14" s="80">
        <f>IFERROR(__xludf.DUMMYFUNCTION("""COMPUTED_VALUE"""),1.083640554940096)</f>
        <v>1.083640555</v>
      </c>
      <c r="AO14" s="80">
        <f>IFERROR(__xludf.DUMMYFUNCTION("""COMPUTED_VALUE"""),1.0867213129624393)</f>
        <v>1.086721313</v>
      </c>
      <c r="AP14" s="80">
        <f>IFERROR(__xludf.DUMMYFUNCTION("""COMPUTED_VALUE"""),1.1329402855204056)</f>
        <v>1.132940286</v>
      </c>
      <c r="AQ14" s="80">
        <f>IFERROR(__xludf.DUMMYFUNCTION("""COMPUTED_VALUE"""),1.0832266140763231)</f>
        <v>1.083226614</v>
      </c>
      <c r="AR14" s="80">
        <f>IFERROR(__xludf.DUMMYFUNCTION("""COMPUTED_VALUE"""),1.1136589924219547)</f>
        <v>1.113658992</v>
      </c>
      <c r="AS14" s="80">
        <f>IFERROR(__xludf.DUMMYFUNCTION("""COMPUTED_VALUE"""),102.0)</f>
        <v>102</v>
      </c>
      <c r="AT14" s="80">
        <f>IFERROR(__xludf.DUMMYFUNCTION("""COMPUTED_VALUE"""),0.5155420443755379)</f>
        <v>0.5155420444</v>
      </c>
      <c r="AU14" s="80">
        <f>IFERROR(__xludf.DUMMYFUNCTION("""COMPUTED_VALUE"""),2.9350028542063757)</f>
        <v>2.935002854</v>
      </c>
      <c r="AV14" s="80">
        <f>IFERROR(__xludf.DUMMYFUNCTION("""COMPUTED_VALUE"""),66.22551903121641)</f>
        <v>66.22551903</v>
      </c>
      <c r="AW14" s="82">
        <f t="shared" si="1"/>
        <v>3.873529592</v>
      </c>
      <c r="AX14" s="83">
        <f t="array" ref="AX14">IFERROR(DGET('SBV Import'!A:G,"SBV",{"RSC ID","Tier";B14,A14}))</f>
        <v>50.28699722</v>
      </c>
      <c r="AY14" s="82">
        <f t="shared" si="2"/>
        <v>2.018488191</v>
      </c>
      <c r="AZ14" s="82">
        <v>1.855041401346361</v>
      </c>
      <c r="BA14" s="84">
        <v>2.0</v>
      </c>
      <c r="BB14" s="84" t="b">
        <f>IFERROR(__xludf.DUMMYFUNCTION("iferror(if(A14="""",,E14&gt;=FILTER(Constants!$F$2:$F$10,Constants!$A$2:$A$10=A14)))"),TRUE)</f>
        <v>1</v>
      </c>
    </row>
    <row r="15">
      <c r="A15" s="80" t="str">
        <f>IFERROR(__xludf.DUMMYFUNCTION("""COMPUTED_VALUE"""),"Premier")</f>
        <v>Premier</v>
      </c>
      <c r="B15" s="79" t="str">
        <f>IFERROR(__xludf.DUMMYFUNCTION("""COMPUTED_VALUE"""),"RSC005170")</f>
        <v>RSC005170</v>
      </c>
      <c r="C15" s="80" t="str">
        <f>IFERROR(__xludf.DUMMYFUNCTION("""COMPUTED_VALUE"""),"FrenchyNF")</f>
        <v>FrenchyNF</v>
      </c>
      <c r="D15" s="80" t="str">
        <f>IFERROR(__xludf.DUMMYFUNCTION("""COMPUTED_VALUE"""),"Super Clusters")</f>
        <v>Super Clusters</v>
      </c>
      <c r="E15" s="80">
        <f>IFERROR(__xludf.DUMMYFUNCTION("""COMPUTED_VALUE"""),11.0)</f>
        <v>11</v>
      </c>
      <c r="F15" s="80">
        <f>IFERROR(__xludf.DUMMYFUNCTION("""COMPUTED_VALUE"""),8.0)</f>
        <v>8</v>
      </c>
      <c r="G15" s="80">
        <f>IFERROR(__xludf.DUMMYFUNCTION("""COMPUTED_VALUE"""),3.0)</f>
        <v>3</v>
      </c>
      <c r="H15" s="81">
        <f>IFERROR(__xludf.DUMMYFUNCTION("""COMPUTED_VALUE"""),0.7272727272727273)</f>
        <v>0.7272727273</v>
      </c>
      <c r="I15" s="81">
        <f>IFERROR(__xludf.DUMMYFUNCTION("""COMPUTED_VALUE"""),0.35714285714285715)</f>
        <v>0.3571428571</v>
      </c>
      <c r="J15" s="80">
        <f>IFERROR(__xludf.DUMMYFUNCTION("""COMPUTED_VALUE"""),344.45454545454544)</f>
        <v>344.4545455</v>
      </c>
      <c r="K15" s="80">
        <f>IFERROR(__xludf.DUMMYFUNCTION("""COMPUTED_VALUE"""),0.9090909090909091)</f>
        <v>0.9090909091</v>
      </c>
      <c r="L15" s="80">
        <f>IFERROR(__xludf.DUMMYFUNCTION("""COMPUTED_VALUE"""),0.8181818181818182)</f>
        <v>0.8181818182</v>
      </c>
      <c r="M15" s="80">
        <f>IFERROR(__xludf.DUMMYFUNCTION("""COMPUTED_VALUE"""),1.0909090909090908)</f>
        <v>1.090909091</v>
      </c>
      <c r="N15" s="80">
        <f>IFERROR(__xludf.DUMMYFUNCTION("""COMPUTED_VALUE"""),2.5454545454545454)</f>
        <v>2.545454545</v>
      </c>
      <c r="O15" s="80">
        <f>IFERROR(__xludf.DUMMYFUNCTION("""COMPUTED_VALUE"""),328.48484848484844)</f>
        <v>328.4848485</v>
      </c>
      <c r="P15" s="80">
        <f>IFERROR(__xludf.DUMMYFUNCTION("""COMPUTED_VALUE"""),0.5151515151515151)</f>
        <v>0.5151515152</v>
      </c>
      <c r="Q15" s="80">
        <f>IFERROR(__xludf.DUMMYFUNCTION("""COMPUTED_VALUE"""),0.45454545454545453)</f>
        <v>0.4545454545</v>
      </c>
      <c r="R15" s="80">
        <f>IFERROR(__xludf.DUMMYFUNCTION("""COMPUTED_VALUE"""),1.484848484848485)</f>
        <v>1.484848485</v>
      </c>
      <c r="S15" s="80">
        <f>IFERROR(__xludf.DUMMYFUNCTION("""COMPUTED_VALUE"""),2.0606060606060606)</f>
        <v>2.060606061</v>
      </c>
      <c r="T15" s="80">
        <f>IFERROR(__xludf.DUMMYFUNCTION("""COMPUTED_VALUE"""),347.3482589004072)</f>
        <v>347.3482589</v>
      </c>
      <c r="U15" s="80">
        <f>IFERROR(__xludf.DUMMYFUNCTION("""COMPUTED_VALUE"""),0.7188016559687802)</f>
        <v>0.718801656</v>
      </c>
      <c r="V15" s="80">
        <f>IFERROR(__xludf.DUMMYFUNCTION("""COMPUTED_VALUE"""),0.541104339029299)</f>
        <v>0.541104339</v>
      </c>
      <c r="W15" s="80">
        <f>IFERROR(__xludf.DUMMYFUNCTION("""COMPUTED_VALUE"""),1.390949544028931)</f>
        <v>1.390949544</v>
      </c>
      <c r="X15" s="80">
        <f>IFERROR(__xludf.DUMMYFUNCTION("""COMPUTED_VALUE"""),2.363869071140863)</f>
        <v>2.363869071</v>
      </c>
      <c r="Y15" s="80">
        <f>IFERROR(__xludf.DUMMYFUNCTION("""COMPUTED_VALUE"""),377.6520809991716)</f>
        <v>377.652081</v>
      </c>
      <c r="Z15" s="80">
        <f>IFERROR(__xludf.DUMMYFUNCTION("""COMPUTED_VALUE"""),0.9299086526421996)</f>
        <v>0.9299086526</v>
      </c>
      <c r="AA15" s="80">
        <f>IFERROR(__xludf.DUMMYFUNCTION("""COMPUTED_VALUE"""),0.7185202627092355)</f>
        <v>0.7185202627</v>
      </c>
      <c r="AB15" s="80">
        <f>IFERROR(__xludf.DUMMYFUNCTION("""COMPUTED_VALUE"""),1.296288787839539)</f>
        <v>1.296288788</v>
      </c>
      <c r="AC15" s="80">
        <f>IFERROR(__xludf.DUMMYFUNCTION("""COMPUTED_VALUE"""),2.878947141832638)</f>
        <v>2.878947142</v>
      </c>
      <c r="AD15" s="80">
        <f>IFERROR(__xludf.DUMMYFUNCTION("""COMPUTED_VALUE"""),0.9120949222448507)</f>
        <v>0.9120949222</v>
      </c>
      <c r="AE15" s="80">
        <f>IFERROR(__xludf.DUMMYFUNCTION("""COMPUTED_VALUE"""),0.9776131306100444)</f>
        <v>0.9776131306</v>
      </c>
      <c r="AF15" s="80">
        <f>IFERROR(__xludf.DUMMYFUNCTION("""COMPUTED_VALUE"""),1.13870388998746)</f>
        <v>1.13870389</v>
      </c>
      <c r="AG15" s="80">
        <f>IFERROR(__xludf.DUMMYFUNCTION("""COMPUTED_VALUE"""),0.8415633160935192)</f>
        <v>0.8415633161</v>
      </c>
      <c r="AH15" s="80">
        <f>IFERROR(__xludf.DUMMYFUNCTION("""COMPUTED_VALUE"""),0.8841616118850301)</f>
        <v>0.8841616119</v>
      </c>
      <c r="AI15" s="80">
        <f>IFERROR(__xludf.DUMMYFUNCTION("""COMPUTED_VALUE"""),0.9456930906310738)</f>
        <v>0.9456930906</v>
      </c>
      <c r="AJ15" s="80">
        <f>IFERROR(__xludf.DUMMYFUNCTION("""COMPUTED_VALUE"""),0.7166810355454855)</f>
        <v>0.7166810355</v>
      </c>
      <c r="AK15" s="80">
        <f>IFERROR(__xludf.DUMMYFUNCTION("""COMPUTED_VALUE"""),0.8400329137276469)</f>
        <v>0.8400329137</v>
      </c>
      <c r="AL15" s="80">
        <f>IFERROR(__xludf.DUMMYFUNCTION("""COMPUTED_VALUE"""),1.0675070790472907)</f>
        <v>1.067507079</v>
      </c>
      <c r="AM15" s="80">
        <f>IFERROR(__xludf.DUMMYFUNCTION("""COMPUTED_VALUE"""),0.8717090492713117)</f>
        <v>0.8717090493</v>
      </c>
      <c r="AN15" s="80">
        <f>IFERROR(__xludf.DUMMYFUNCTION("""COMPUTED_VALUE"""),0.9439185683300454)</f>
        <v>0.9439185683</v>
      </c>
      <c r="AO15" s="80">
        <f>IFERROR(__xludf.DUMMYFUNCTION("""COMPUTED_VALUE"""),1.1481330824910292)</f>
        <v>1.148133082</v>
      </c>
      <c r="AP15" s="80">
        <f>IFERROR(__xludf.DUMMYFUNCTION("""COMPUTED_VALUE"""),1.374444797794348)</f>
        <v>1.374444798</v>
      </c>
      <c r="AQ15" s="80">
        <f>IFERROR(__xludf.DUMMYFUNCTION("""COMPUTED_VALUE"""),0.7584056076843727)</f>
        <v>0.7584056077</v>
      </c>
      <c r="AR15" s="80">
        <f>IFERROR(__xludf.DUMMYFUNCTION("""COMPUTED_VALUE"""),0.9598034551725364)</f>
        <v>0.9598034552</v>
      </c>
      <c r="AS15" s="80">
        <f>IFERROR(__xludf.DUMMYFUNCTION("""COMPUTED_VALUE"""),34.0)</f>
        <v>34</v>
      </c>
      <c r="AT15" s="80">
        <f>IFERROR(__xludf.DUMMYFUNCTION("""COMPUTED_VALUE"""),0.7458331214897431)</f>
        <v>0.7458331215</v>
      </c>
      <c r="AU15" s="80">
        <f>IFERROR(__xludf.DUMMYFUNCTION("""COMPUTED_VALUE"""),2.8973024408261274)</f>
        <v>2.897302441</v>
      </c>
      <c r="AV15" s="80">
        <f>IFERROR(__xludf.DUMMYFUNCTION("""COMPUTED_VALUE"""),65.08621555656669)</f>
        <v>65.08621556</v>
      </c>
      <c r="AW15" s="82">
        <f t="shared" si="1"/>
        <v>3.661593449</v>
      </c>
      <c r="AX15" s="83">
        <f t="array" ref="AX15">IFERROR(DGET('SBV Import'!A:G,"SBV",{"RSC ID","Tier";B15,A15}))</f>
        <v>55.05021473</v>
      </c>
      <c r="AY15" s="82">
        <f t="shared" si="2"/>
        <v>2.381207483</v>
      </c>
      <c r="AZ15" s="82">
        <v>1.2803859654497551</v>
      </c>
      <c r="BA15" s="84">
        <v>2.0</v>
      </c>
      <c r="BB15" s="84" t="b">
        <f>IFERROR(__xludf.DUMMYFUNCTION("iferror(if(A15="""",,E15&gt;=FILTER(Constants!$F$2:$F$10,Constants!$A$2:$A$10=A15)))"),TRUE)</f>
        <v>1</v>
      </c>
    </row>
    <row r="16">
      <c r="A16" s="80" t="str">
        <f>IFERROR(__xludf.DUMMYFUNCTION("""COMPUTED_VALUE"""),"Premier")</f>
        <v>Premier</v>
      </c>
      <c r="B16" s="79" t="str">
        <f>IFERROR(__xludf.DUMMYFUNCTION("""COMPUTED_VALUE"""),"RSC006203")</f>
        <v>RSC006203</v>
      </c>
      <c r="C16" s="80" t="str">
        <f>IFERROR(__xludf.DUMMYFUNCTION("""COMPUTED_VALUE"""),"Lonzo Ball")</f>
        <v>Lonzo Ball</v>
      </c>
      <c r="D16" s="80" t="str">
        <f>IFERROR(__xludf.DUMMYFUNCTION("""COMPUTED_VALUE"""),"Capybaras")</f>
        <v>Capybaras</v>
      </c>
      <c r="E16" s="80">
        <f>IFERROR(__xludf.DUMMYFUNCTION("""COMPUTED_VALUE"""),44.0)</f>
        <v>44</v>
      </c>
      <c r="F16" s="80">
        <f>IFERROR(__xludf.DUMMYFUNCTION("""COMPUTED_VALUE"""),21.0)</f>
        <v>21</v>
      </c>
      <c r="G16" s="80">
        <f>IFERROR(__xludf.DUMMYFUNCTION("""COMPUTED_VALUE"""),23.0)</f>
        <v>23</v>
      </c>
      <c r="H16" s="81">
        <f>IFERROR(__xludf.DUMMYFUNCTION("""COMPUTED_VALUE"""),0.4772727272727273)</f>
        <v>0.4772727273</v>
      </c>
      <c r="I16" s="81">
        <f>IFERROR(__xludf.DUMMYFUNCTION("""COMPUTED_VALUE"""),0.31851851851851853)</f>
        <v>0.3185185185</v>
      </c>
      <c r="J16" s="80">
        <f>IFERROR(__xludf.DUMMYFUNCTION("""COMPUTED_VALUE"""),392.04545454545456)</f>
        <v>392.0454545</v>
      </c>
      <c r="K16" s="80">
        <f>IFERROR(__xludf.DUMMYFUNCTION("""COMPUTED_VALUE"""),0.9772727272727273)</f>
        <v>0.9772727273</v>
      </c>
      <c r="L16" s="80">
        <f>IFERROR(__xludf.DUMMYFUNCTION("""COMPUTED_VALUE"""),0.5909090909090909)</f>
        <v>0.5909090909</v>
      </c>
      <c r="M16" s="80">
        <f>IFERROR(__xludf.DUMMYFUNCTION("""COMPUTED_VALUE"""),1.4545454545454546)</f>
        <v>1.454545455</v>
      </c>
      <c r="N16" s="80">
        <f>IFERROR(__xludf.DUMMYFUNCTION("""COMPUTED_VALUE"""),3.0681818181818183)</f>
        <v>3.068181818</v>
      </c>
      <c r="O16" s="80">
        <f>IFERROR(__xludf.DUMMYFUNCTION("""COMPUTED_VALUE"""),378.52272727272725)</f>
        <v>378.5227273</v>
      </c>
      <c r="P16" s="80">
        <f>IFERROR(__xludf.DUMMYFUNCTION("""COMPUTED_VALUE"""),0.8333333333333333)</f>
        <v>0.8333333333</v>
      </c>
      <c r="Q16" s="80">
        <f>IFERROR(__xludf.DUMMYFUNCTION("""COMPUTED_VALUE"""),0.6136363636363636)</f>
        <v>0.6136363636</v>
      </c>
      <c r="R16" s="80">
        <f>IFERROR(__xludf.DUMMYFUNCTION("""COMPUTED_VALUE"""),1.4924242424242422)</f>
        <v>1.492424242</v>
      </c>
      <c r="S16" s="80">
        <f>IFERROR(__xludf.DUMMYFUNCTION("""COMPUTED_VALUE"""),2.6590909090909087)</f>
        <v>2.659090909</v>
      </c>
      <c r="T16" s="80">
        <f>IFERROR(__xludf.DUMMYFUNCTION("""COMPUTED_VALUE"""),373.9831528287857)</f>
        <v>373.9831528</v>
      </c>
      <c r="U16" s="80">
        <f>IFERROR(__xludf.DUMMYFUNCTION("""COMPUTED_VALUE"""),0.8113320172726812)</f>
        <v>0.8113320173</v>
      </c>
      <c r="V16" s="80">
        <f>IFERROR(__xludf.DUMMYFUNCTION("""COMPUTED_VALUE"""),0.634746334777864)</f>
        <v>0.6347463348</v>
      </c>
      <c r="W16" s="80">
        <f>IFERROR(__xludf.DUMMYFUNCTION("""COMPUTED_VALUE"""),1.4713800982484537)</f>
        <v>1.471380098</v>
      </c>
      <c r="X16" s="80">
        <f>IFERROR(__xludf.DUMMYFUNCTION("""COMPUTED_VALUE"""),2.6862924338075906)</f>
        <v>2.686292434</v>
      </c>
      <c r="Y16" s="80">
        <f>IFERROR(__xludf.DUMMYFUNCTION("""COMPUTED_VALUE"""),373.60286167158085)</f>
        <v>373.6028617</v>
      </c>
      <c r="Z16" s="80">
        <f>IFERROR(__xludf.DUMMYFUNCTION("""COMPUTED_VALUE"""),0.8389508672863543)</f>
        <v>0.8389508673</v>
      </c>
      <c r="AA16" s="80">
        <f>IFERROR(__xludf.DUMMYFUNCTION("""COMPUTED_VALUE"""),0.649114253688963)</f>
        <v>0.6491142537</v>
      </c>
      <c r="AB16" s="80">
        <f>IFERROR(__xludf.DUMMYFUNCTION("""COMPUTED_VALUE"""),1.410156355094091)</f>
        <v>1.410156355</v>
      </c>
      <c r="AC16" s="80">
        <f>IFERROR(__xludf.DUMMYFUNCTION("""COMPUTED_VALUE"""),2.7947419507609856)</f>
        <v>2.794741951</v>
      </c>
      <c r="AD16" s="80">
        <f>IFERROR(__xludf.DUMMYFUNCTION("""COMPUTED_VALUE"""),1.0493641638379254)</f>
        <v>1.049364164</v>
      </c>
      <c r="AE16" s="80">
        <f>IFERROR(__xludf.DUMMYFUNCTION("""COMPUTED_VALUE"""),1.164874804210865)</f>
        <v>1.164874804</v>
      </c>
      <c r="AF16" s="80">
        <f>IFERROR(__xludf.DUMMYFUNCTION("""COMPUTED_VALUE"""),0.9103314055282441)</f>
        <v>0.9103314055</v>
      </c>
      <c r="AG16" s="80">
        <f>IFERROR(__xludf.DUMMYFUNCTION("""COMPUTED_VALUE"""),1.03147814020127)</f>
        <v>1.03147814</v>
      </c>
      <c r="AH16" s="80">
        <f>IFERROR(__xludf.DUMMYFUNCTION("""COMPUTED_VALUE"""),1.0978408283263423)</f>
        <v>1.097840828</v>
      </c>
      <c r="AI16" s="80">
        <f>IFERROR(__xludf.DUMMYFUNCTION("""COMPUTED_VALUE"""),1.0121384463701224)</f>
        <v>1.012138446</v>
      </c>
      <c r="AJ16" s="80">
        <f>IFERROR(__xludf.DUMMYFUNCTION("""COMPUTED_VALUE"""),1.0271175247522095)</f>
        <v>1.027117525</v>
      </c>
      <c r="AK16" s="80">
        <f>IFERROR(__xludf.DUMMYFUNCTION("""COMPUTED_VALUE"""),0.9667426655580642)</f>
        <v>0.9667426656</v>
      </c>
      <c r="AL16" s="80">
        <f>IFERROR(__xludf.DUMMYFUNCTION("""COMPUTED_VALUE"""),1.0143023167166931)</f>
        <v>1.014302317</v>
      </c>
      <c r="AM16" s="80">
        <f>IFERROR(__xludf.DUMMYFUNCTION("""COMPUTED_VALUE"""),0.9898739525249207)</f>
        <v>0.9898739525</v>
      </c>
      <c r="AN16" s="80">
        <f>IFERROR(__xludf.DUMMYFUNCTION("""COMPUTED_VALUE"""),1.0743332873906892)</f>
        <v>1.074333287</v>
      </c>
      <c r="AO16" s="80">
        <f>IFERROR(__xludf.DUMMYFUNCTION("""COMPUTED_VALUE"""),1.2342430636778565)</f>
        <v>1.234243064</v>
      </c>
      <c r="AP16" s="80">
        <f>IFERROR(__xludf.DUMMYFUNCTION("""COMPUTED_VALUE"""),0.9926545761848069)</f>
        <v>0.9926545762</v>
      </c>
      <c r="AQ16" s="80">
        <f>IFERROR(__xludf.DUMMYFUNCTION("""COMPUTED_VALUE"""),1.011207476912497)</f>
        <v>1.011207477</v>
      </c>
      <c r="AR16" s="80">
        <f>IFERROR(__xludf.DUMMYFUNCTION("""COMPUTED_VALUE"""),1.1569059504311823)</f>
        <v>1.15690595</v>
      </c>
      <c r="AS16" s="80">
        <f>IFERROR(__xludf.DUMMYFUNCTION("""COMPUTED_VALUE"""),108.0)</f>
        <v>108</v>
      </c>
      <c r="AT16" s="80">
        <f>IFERROR(__xludf.DUMMYFUNCTION("""COMPUTED_VALUE"""),0.492739086623247)</f>
        <v>0.4927390866</v>
      </c>
      <c r="AU16" s="80">
        <f>IFERROR(__xludf.DUMMYFUNCTION("""COMPUTED_VALUE"""),2.883278276955022)</f>
        <v>2.883278277</v>
      </c>
      <c r="AV16" s="80">
        <f>IFERROR(__xludf.DUMMYFUNCTION("""COMPUTED_VALUE"""),64.66240644693559)</f>
        <v>64.66240645</v>
      </c>
      <c r="AW16" s="82">
        <f t="shared" si="1"/>
        <v>3.587173216</v>
      </c>
      <c r="AX16" s="83">
        <f t="array" ref="AX16">IFERROR(DGET('SBV Import'!A:G,"SBV",{"RSC ID","Tier";B16,A16}))</f>
        <v>58.69814754</v>
      </c>
      <c r="AY16" s="82">
        <f t="shared" si="2"/>
        <v>2.747645901</v>
      </c>
      <c r="AZ16" s="82">
        <v>0.8395273151763556</v>
      </c>
      <c r="BA16" s="84">
        <v>2.0</v>
      </c>
      <c r="BB16" s="84" t="b">
        <f>IFERROR(__xludf.DUMMYFUNCTION("iferror(if(A16="""",,E16&gt;=FILTER(Constants!$F$2:$F$10,Constants!$A$2:$A$10=A16)))"),TRUE)</f>
        <v>1</v>
      </c>
    </row>
    <row r="17">
      <c r="A17" s="80" t="str">
        <f>IFERROR(__xludf.DUMMYFUNCTION("""COMPUTED_VALUE"""),"Premier")</f>
        <v>Premier</v>
      </c>
      <c r="B17" s="79" t="str">
        <f>IFERROR(__xludf.DUMMYFUNCTION("""COMPUTED_VALUE"""),"RSC006029")</f>
        <v>RSC006029</v>
      </c>
      <c r="C17" s="80" t="str">
        <f>IFERROR(__xludf.DUMMYFUNCTION("""COMPUTED_VALUE"""),"bman.")</f>
        <v>bman.</v>
      </c>
      <c r="D17" s="80"/>
      <c r="E17" s="80">
        <f>IFERROR(__xludf.DUMMYFUNCTION("""COMPUTED_VALUE"""),12.0)</f>
        <v>12</v>
      </c>
      <c r="F17" s="80">
        <f>IFERROR(__xludf.DUMMYFUNCTION("""COMPUTED_VALUE"""),6.0)</f>
        <v>6</v>
      </c>
      <c r="G17" s="80">
        <f>IFERROR(__xludf.DUMMYFUNCTION("""COMPUTED_VALUE"""),6.0)</f>
        <v>6</v>
      </c>
      <c r="H17" s="81">
        <f>IFERROR(__xludf.DUMMYFUNCTION("""COMPUTED_VALUE"""),0.5)</f>
        <v>0.5</v>
      </c>
      <c r="I17" s="81">
        <f>IFERROR(__xludf.DUMMYFUNCTION("""COMPUTED_VALUE"""),0.29268292682926833)</f>
        <v>0.2926829268</v>
      </c>
      <c r="J17" s="80">
        <f>IFERROR(__xludf.DUMMYFUNCTION("""COMPUTED_VALUE"""),434.1666666666667)</f>
        <v>434.1666667</v>
      </c>
      <c r="K17" s="80">
        <f>IFERROR(__xludf.DUMMYFUNCTION("""COMPUTED_VALUE"""),1.0)</f>
        <v>1</v>
      </c>
      <c r="L17" s="80">
        <f>IFERROR(__xludf.DUMMYFUNCTION("""COMPUTED_VALUE"""),0.5833333333333334)</f>
        <v>0.5833333333</v>
      </c>
      <c r="M17" s="80">
        <f>IFERROR(__xludf.DUMMYFUNCTION("""COMPUTED_VALUE"""),1.5)</f>
        <v>1.5</v>
      </c>
      <c r="N17" s="80">
        <f>IFERROR(__xludf.DUMMYFUNCTION("""COMPUTED_VALUE"""),3.4166666666666665)</f>
        <v>3.416666667</v>
      </c>
      <c r="O17" s="80">
        <f>IFERROR(__xludf.DUMMYFUNCTION("""COMPUTED_VALUE"""),399.1111111111111)</f>
        <v>399.1111111</v>
      </c>
      <c r="P17" s="80">
        <f>IFERROR(__xludf.DUMMYFUNCTION("""COMPUTED_VALUE"""),0.861111111111111)</f>
        <v>0.8611111111</v>
      </c>
      <c r="Q17" s="80">
        <f>IFERROR(__xludf.DUMMYFUNCTION("""COMPUTED_VALUE"""),0.5833333333333334)</f>
        <v>0.5833333333</v>
      </c>
      <c r="R17" s="80">
        <f>IFERROR(__xludf.DUMMYFUNCTION("""COMPUTED_VALUE"""),1.611111111111111)</f>
        <v>1.611111111</v>
      </c>
      <c r="S17" s="80">
        <f>IFERROR(__xludf.DUMMYFUNCTION("""COMPUTED_VALUE"""),3.0833333333333335)</f>
        <v>3.083333333</v>
      </c>
      <c r="T17" s="80">
        <f>IFERROR(__xludf.DUMMYFUNCTION("""COMPUTED_VALUE"""),362.2634249644202)</f>
        <v>362.263425</v>
      </c>
      <c r="U17" s="80">
        <f>IFERROR(__xludf.DUMMYFUNCTION("""COMPUTED_VALUE"""),0.7539208375658845)</f>
        <v>0.7539208376</v>
      </c>
      <c r="V17" s="80">
        <f>IFERROR(__xludf.DUMMYFUNCTION("""COMPUTED_VALUE"""),0.5570721587289117)</f>
        <v>0.5570721587</v>
      </c>
      <c r="W17" s="80">
        <f>IFERROR(__xludf.DUMMYFUNCTION("""COMPUTED_VALUE"""),1.4838230510997994)</f>
        <v>1.483823051</v>
      </c>
      <c r="X17" s="80">
        <f>IFERROR(__xludf.DUMMYFUNCTION("""COMPUTED_VALUE"""),2.629145864303723)</f>
        <v>2.629145864</v>
      </c>
      <c r="Y17" s="80">
        <f>IFERROR(__xludf.DUMMYFUNCTION("""COMPUTED_VALUE"""),384.8547619813339)</f>
        <v>384.854762</v>
      </c>
      <c r="Z17" s="80">
        <f>IFERROR(__xludf.DUMMYFUNCTION("""COMPUTED_VALUE"""),0.8995753907393752)</f>
        <v>0.8995753907</v>
      </c>
      <c r="AA17" s="80">
        <f>IFERROR(__xludf.DUMMYFUNCTION("""COMPUTED_VALUE"""),0.7042632927232181)</f>
        <v>0.7042632927</v>
      </c>
      <c r="AB17" s="80">
        <f>IFERROR(__xludf.DUMMYFUNCTION("""COMPUTED_VALUE"""),1.4319825826447756)</f>
        <v>1.431982583</v>
      </c>
      <c r="AC17" s="80">
        <f>IFERROR(__xludf.DUMMYFUNCTION("""COMPUTED_VALUE"""),2.8628999387130634)</f>
        <v>2.862899939</v>
      </c>
      <c r="AD17" s="80">
        <f>IFERROR(__xludf.DUMMYFUNCTION("""COMPUTED_VALUE"""),1.1281312057345012)</f>
        <v>1.128131206</v>
      </c>
      <c r="AE17" s="80">
        <f>IFERROR(__xludf.DUMMYFUNCTION("""COMPUTED_VALUE"""),1.111635567507115)</f>
        <v>1.111635568</v>
      </c>
      <c r="AF17" s="80">
        <f>IFERROR(__xludf.DUMMYFUNCTION("""COMPUTED_VALUE"""),0.8282887087267072)</f>
        <v>0.8282887087</v>
      </c>
      <c r="AG17" s="80">
        <f>IFERROR(__xludf.DUMMYFUNCTION("""COMPUTED_VALUE"""),1.0474987742026867)</f>
        <v>1.047498774</v>
      </c>
      <c r="AH17" s="80">
        <f>IFERROR(__xludf.DUMMYFUNCTION("""COMPUTED_VALUE"""),1.1934286003032761)</f>
        <v>1.1934286</v>
      </c>
      <c r="AI17" s="80">
        <f>IFERROR(__xludf.DUMMYFUNCTION("""COMPUTED_VALUE"""),1.1017151708050843)</f>
        <v>1.101715171</v>
      </c>
      <c r="AJ17" s="80">
        <f>IFERROR(__xludf.DUMMYFUNCTION("""COMPUTED_VALUE"""),1.1421770936737894)</f>
        <v>1.142177094</v>
      </c>
      <c r="AK17" s="80">
        <f>IFERROR(__xludf.DUMMYFUNCTION("""COMPUTED_VALUE"""),1.0471414235892573)</f>
        <v>1.047141424</v>
      </c>
      <c r="AL17" s="80">
        <f>IFERROR(__xludf.DUMMYFUNCTION("""COMPUTED_VALUE"""),1.085783854022868)</f>
        <v>1.085783854</v>
      </c>
      <c r="AM17" s="80">
        <f>IFERROR(__xludf.DUMMYFUNCTION("""COMPUTED_VALUE"""),1.1727509588555647)</f>
        <v>1.172750959</v>
      </c>
      <c r="AN17" s="80">
        <f>IFERROR(__xludf.DUMMYFUNCTION("""COMPUTED_VALUE"""),1.1897592405866744)</f>
        <v>1.189759241</v>
      </c>
      <c r="AO17" s="80">
        <f>IFERROR(__xludf.DUMMYFUNCTION("""COMPUTED_VALUE"""),1.2629463907401322)</f>
        <v>1.262946391</v>
      </c>
      <c r="AP17" s="80">
        <f>IFERROR(__xludf.DUMMYFUNCTION("""COMPUTED_VALUE"""),0.9799282354644888)</f>
        <v>0.9799282355</v>
      </c>
      <c r="AQ17" s="80">
        <f>IFERROR(__xludf.DUMMYFUNCTION("""COMPUTED_VALUE"""),1.0428077105660125)</f>
        <v>1.042807711</v>
      </c>
      <c r="AR17" s="80">
        <f>IFERROR(__xludf.DUMMYFUNCTION("""COMPUTED_VALUE"""),1.2883076139369463)</f>
        <v>1.288307614</v>
      </c>
      <c r="AS17" s="80">
        <f>IFERROR(__xludf.DUMMYFUNCTION("""COMPUTED_VALUE"""),34.0)</f>
        <v>34</v>
      </c>
      <c r="AT17" s="80">
        <f>IFERROR(__xludf.DUMMYFUNCTION("""COMPUTED_VALUE"""),0.5374329717670739)</f>
        <v>0.5374329718</v>
      </c>
      <c r="AU17" s="80">
        <f>IFERROR(__xludf.DUMMYFUNCTION("""COMPUTED_VALUE"""),2.879693945260391)</f>
        <v>2.879693945</v>
      </c>
      <c r="AV17" s="80">
        <f>IFERROR(__xludf.DUMMYFUNCTION("""COMPUTED_VALUE"""),64.554088230029)</f>
        <v>64.55408823</v>
      </c>
      <c r="AW17" s="82">
        <f t="shared" si="1"/>
        <v>3.568519357</v>
      </c>
      <c r="AX17" s="83">
        <f t="array" ref="AX17">IFERROR(DGET('SBV Import'!A:G,"SBV",{"RSC ID","Tier";B17,A17}))</f>
        <v>56.68940428</v>
      </c>
      <c r="AY17" s="82">
        <f t="shared" si="2"/>
        <v>2.534772082</v>
      </c>
      <c r="AZ17" s="82">
        <v>1.0337472749078067</v>
      </c>
      <c r="BA17" s="84">
        <v>2.0</v>
      </c>
      <c r="BB17" s="84" t="b">
        <f>IFERROR(__xludf.DUMMYFUNCTION("iferror(if(A17="""",,E17&gt;=FILTER(Constants!$F$2:$F$10,Constants!$A$2:$A$10=A17)))"),TRUE)</f>
        <v>1</v>
      </c>
    </row>
    <row r="18">
      <c r="A18" s="80" t="str">
        <f>IFERROR(__xludf.DUMMYFUNCTION("""COMPUTED_VALUE"""),"Premier")</f>
        <v>Premier</v>
      </c>
      <c r="B18" s="79" t="str">
        <f>IFERROR(__xludf.DUMMYFUNCTION("""COMPUTED_VALUE"""),"RSC004924")</f>
        <v>RSC004924</v>
      </c>
      <c r="C18" s="80" t="str">
        <f>IFERROR(__xludf.DUMMYFUNCTION("""COMPUTED_VALUE"""),"comet")</f>
        <v>comet</v>
      </c>
      <c r="D18" s="80" t="str">
        <f>IFERROR(__xludf.DUMMYFUNCTION("""COMPUTED_VALUE"""),"Excavators")</f>
        <v>Excavators</v>
      </c>
      <c r="E18" s="80">
        <f>IFERROR(__xludf.DUMMYFUNCTION("""COMPUTED_VALUE"""),42.0)</f>
        <v>42</v>
      </c>
      <c r="F18" s="80">
        <f>IFERROR(__xludf.DUMMYFUNCTION("""COMPUTED_VALUE"""),29.0)</f>
        <v>29</v>
      </c>
      <c r="G18" s="80">
        <f>IFERROR(__xludf.DUMMYFUNCTION("""COMPUTED_VALUE"""),13.0)</f>
        <v>13</v>
      </c>
      <c r="H18" s="81">
        <f>IFERROR(__xludf.DUMMYFUNCTION("""COMPUTED_VALUE"""),0.6904761904761905)</f>
        <v>0.6904761905</v>
      </c>
      <c r="I18" s="81">
        <f>IFERROR(__xludf.DUMMYFUNCTION("""COMPUTED_VALUE"""),0.2782608695652174)</f>
        <v>0.2782608696</v>
      </c>
      <c r="J18" s="80">
        <f>IFERROR(__xludf.DUMMYFUNCTION("""COMPUTED_VALUE"""),376.8333333333333)</f>
        <v>376.8333333</v>
      </c>
      <c r="K18" s="80">
        <f>IFERROR(__xludf.DUMMYFUNCTION("""COMPUTED_VALUE"""),0.7619047619047619)</f>
        <v>0.7619047619</v>
      </c>
      <c r="L18" s="80">
        <f>IFERROR(__xludf.DUMMYFUNCTION("""COMPUTED_VALUE"""),0.7619047619047619)</f>
        <v>0.7619047619</v>
      </c>
      <c r="M18" s="80">
        <f>IFERROR(__xludf.DUMMYFUNCTION("""COMPUTED_VALUE"""),1.3095238095238095)</f>
        <v>1.30952381</v>
      </c>
      <c r="N18" s="80">
        <f>IFERROR(__xludf.DUMMYFUNCTION("""COMPUTED_VALUE"""),2.738095238095238)</f>
        <v>2.738095238</v>
      </c>
      <c r="O18" s="80">
        <f>IFERROR(__xludf.DUMMYFUNCTION("""COMPUTED_VALUE"""),343.2063492063492)</f>
        <v>343.2063492</v>
      </c>
      <c r="P18" s="80">
        <f>IFERROR(__xludf.DUMMYFUNCTION("""COMPUTED_VALUE"""),0.6746031746031745)</f>
        <v>0.6746031746</v>
      </c>
      <c r="Q18" s="80">
        <f>IFERROR(__xludf.DUMMYFUNCTION("""COMPUTED_VALUE"""),0.5)</f>
        <v>0.5</v>
      </c>
      <c r="R18" s="80">
        <f>IFERROR(__xludf.DUMMYFUNCTION("""COMPUTED_VALUE"""),1.4920634920634923)</f>
        <v>1.492063492</v>
      </c>
      <c r="S18" s="80">
        <f>IFERROR(__xludf.DUMMYFUNCTION("""COMPUTED_VALUE"""),2.3333333333333335)</f>
        <v>2.333333333</v>
      </c>
      <c r="T18" s="80">
        <f>IFERROR(__xludf.DUMMYFUNCTION("""COMPUTED_VALUE"""),371.01542277407873)</f>
        <v>371.0154228</v>
      </c>
      <c r="U18" s="80">
        <f>IFERROR(__xludf.DUMMYFUNCTION("""COMPUTED_VALUE"""),0.8023294845359887)</f>
        <v>0.8023294845</v>
      </c>
      <c r="V18" s="80">
        <f>IFERROR(__xludf.DUMMYFUNCTION("""COMPUTED_VALUE"""),0.6147933097029318)</f>
        <v>0.6147933097</v>
      </c>
      <c r="W18" s="80">
        <f>IFERROR(__xludf.DUMMYFUNCTION("""COMPUTED_VALUE"""),1.4810410899386781)</f>
        <v>1.48104109</v>
      </c>
      <c r="X18" s="80">
        <f>IFERROR(__xludf.DUMMYFUNCTION("""COMPUTED_VALUE"""),2.72427080572322)</f>
        <v>2.724270806</v>
      </c>
      <c r="Y18" s="80">
        <f>IFERROR(__xludf.DUMMYFUNCTION("""COMPUTED_VALUE"""),379.85306665505993)</f>
        <v>379.8530667</v>
      </c>
      <c r="Z18" s="80">
        <f>IFERROR(__xludf.DUMMYFUNCTION("""COMPUTED_VALUE"""),0.865968036949434)</f>
        <v>0.8659680369</v>
      </c>
      <c r="AA18" s="80">
        <f>IFERROR(__xludf.DUMMYFUNCTION("""COMPUTED_VALUE"""),0.6811556341309232)</f>
        <v>0.6811556341</v>
      </c>
      <c r="AB18" s="80">
        <f>IFERROR(__xludf.DUMMYFUNCTION("""COMPUTED_VALUE"""),1.4330813160511855)</f>
        <v>1.433081316</v>
      </c>
      <c r="AC18" s="80">
        <f>IFERROR(__xludf.DUMMYFUNCTION("""COMPUTED_VALUE"""),2.800432570273949)</f>
        <v>2.80043257</v>
      </c>
      <c r="AD18" s="80">
        <f>IFERROR(__xludf.DUMMYFUNCTION("""COMPUTED_VALUE"""),0.9920502594639605)</f>
        <v>0.9920502595</v>
      </c>
      <c r="AE18" s="80">
        <f>IFERROR(__xludf.DUMMYFUNCTION("""COMPUTED_VALUE"""),0.8798301200454716)</f>
        <v>0.87983012</v>
      </c>
      <c r="AF18" s="80">
        <f>IFERROR(__xludf.DUMMYFUNCTION("""COMPUTED_VALUE"""),1.118547250771647)</f>
        <v>1.118547251</v>
      </c>
      <c r="AG18" s="80">
        <f>IFERROR(__xludf.DUMMYFUNCTION("""COMPUTED_VALUE"""),0.9137819290898055)</f>
        <v>0.9137819291</v>
      </c>
      <c r="AH18" s="80">
        <f>IFERROR(__xludf.DUMMYFUNCTION("""COMPUTED_VALUE"""),0.9777401059963343)</f>
        <v>0.977740106</v>
      </c>
      <c r="AI18" s="80">
        <f>IFERROR(__xludf.DUMMYFUNCTION("""COMPUTED_VALUE"""),0.9250460442862419)</f>
        <v>0.9250460443</v>
      </c>
      <c r="AJ18" s="80">
        <f>IFERROR(__xludf.DUMMYFUNCTION("""COMPUTED_VALUE"""),0.8408056635153048)</f>
        <v>0.8408056635</v>
      </c>
      <c r="AK18" s="80">
        <f>IFERROR(__xludf.DUMMYFUNCTION("""COMPUTED_VALUE"""),0.8132814591648697)</f>
        <v>0.8132814592</v>
      </c>
      <c r="AL18" s="80">
        <f>IFERROR(__xludf.DUMMYFUNCTION("""COMPUTED_VALUE"""),1.0074423337743252)</f>
        <v>1.007442334</v>
      </c>
      <c r="AM18" s="80">
        <f>IFERROR(__xludf.DUMMYFUNCTION("""COMPUTED_VALUE"""),0.856498307154856)</f>
        <v>0.8564983072</v>
      </c>
      <c r="AN18" s="80">
        <f>IFERROR(__xludf.DUMMYFUNCTION("""COMPUTED_VALUE"""),1.0326470798335778)</f>
        <v>1.03264708</v>
      </c>
      <c r="AO18" s="80">
        <f>IFERROR(__xludf.DUMMYFUNCTION("""COMPUTED_VALUE"""),0.9622448691353387)</f>
        <v>0.9622448691</v>
      </c>
      <c r="AP18" s="80">
        <f>IFERROR(__xludf.DUMMYFUNCTION("""COMPUTED_VALUE"""),1.279906266729128)</f>
        <v>1.279906267</v>
      </c>
      <c r="AQ18" s="80">
        <f>IFERROR(__xludf.DUMMYFUNCTION("""COMPUTED_VALUE"""),0.9103876838274714)</f>
        <v>0.9103876838</v>
      </c>
      <c r="AR18" s="80">
        <f>IFERROR(__xludf.DUMMYFUNCTION("""COMPUTED_VALUE"""),1.0324416418310023)</f>
        <v>1.032441642</v>
      </c>
      <c r="AS18" s="80">
        <f>IFERROR(__xludf.DUMMYFUNCTION("""COMPUTED_VALUE"""),116.0)</f>
        <v>116</v>
      </c>
      <c r="AT18" s="80">
        <f>IFERROR(__xludf.DUMMYFUNCTION("""COMPUTED_VALUE"""),0.6194763692628749)</f>
        <v>0.6194763693</v>
      </c>
      <c r="AU18" s="80">
        <f>IFERROR(__xludf.DUMMYFUNCTION("""COMPUTED_VALUE"""),2.8416553522029893)</f>
        <v>2.841655352</v>
      </c>
      <c r="AV18" s="80">
        <f>IFERROR(__xludf.DUMMYFUNCTION("""COMPUTED_VALUE"""),63.40456499260504)</f>
        <v>63.40456499</v>
      </c>
      <c r="AW18" s="82">
        <f t="shared" si="1"/>
        <v>3.379335335</v>
      </c>
      <c r="AX18" s="83">
        <f t="array" ref="AX18">IFERROR(DGET('SBV Import'!A:G,"SBV",{"RSC ID","Tier";B18,A18}))</f>
        <v>58.65508948</v>
      </c>
      <c r="AY18" s="82">
        <f t="shared" si="2"/>
        <v>2.742770408</v>
      </c>
      <c r="AZ18" s="82">
        <v>0.6365649272734908</v>
      </c>
      <c r="BA18" s="84">
        <v>2.0</v>
      </c>
      <c r="BB18" s="84" t="b">
        <f>IFERROR(__xludf.DUMMYFUNCTION("iferror(if(A18="""",,E18&gt;=FILTER(Constants!$F$2:$F$10,Constants!$A$2:$A$10=A18)))"),TRUE)</f>
        <v>1</v>
      </c>
    </row>
    <row r="19">
      <c r="A19" s="80" t="str">
        <f>IFERROR(__xludf.DUMMYFUNCTION("""COMPUTED_VALUE"""),"Premier")</f>
        <v>Premier</v>
      </c>
      <c r="B19" s="79" t="str">
        <f>IFERROR(__xludf.DUMMYFUNCTION("""COMPUTED_VALUE"""),"RSC007188")</f>
        <v>RSC007188</v>
      </c>
      <c r="C19" s="80" t="str">
        <f>IFERROR(__xludf.DUMMYFUNCTION("""COMPUTED_VALUE"""),"spoody")</f>
        <v>spoody</v>
      </c>
      <c r="D19" s="80"/>
      <c r="E19" s="80">
        <f>IFERROR(__xludf.DUMMYFUNCTION("""COMPUTED_VALUE"""),28.0)</f>
        <v>28</v>
      </c>
      <c r="F19" s="80">
        <f>IFERROR(__xludf.DUMMYFUNCTION("""COMPUTED_VALUE"""),12.0)</f>
        <v>12</v>
      </c>
      <c r="G19" s="80">
        <f>IFERROR(__xludf.DUMMYFUNCTION("""COMPUTED_VALUE"""),16.0)</f>
        <v>16</v>
      </c>
      <c r="H19" s="81">
        <f>IFERROR(__xludf.DUMMYFUNCTION("""COMPUTED_VALUE"""),0.42857142857142855)</f>
        <v>0.4285714286</v>
      </c>
      <c r="I19" s="81">
        <f>IFERROR(__xludf.DUMMYFUNCTION("""COMPUTED_VALUE"""),0.29069767441860467)</f>
        <v>0.2906976744</v>
      </c>
      <c r="J19" s="80">
        <f>IFERROR(__xludf.DUMMYFUNCTION("""COMPUTED_VALUE"""),389.64285714285717)</f>
        <v>389.6428571</v>
      </c>
      <c r="K19" s="80">
        <f>IFERROR(__xludf.DUMMYFUNCTION("""COMPUTED_VALUE"""),0.8928571428571429)</f>
        <v>0.8928571429</v>
      </c>
      <c r="L19" s="80">
        <f>IFERROR(__xludf.DUMMYFUNCTION("""COMPUTED_VALUE"""),0.6785714285714286)</f>
        <v>0.6785714286</v>
      </c>
      <c r="M19" s="80">
        <f>IFERROR(__xludf.DUMMYFUNCTION("""COMPUTED_VALUE"""),1.5357142857142858)</f>
        <v>1.535714286</v>
      </c>
      <c r="N19" s="80">
        <f>IFERROR(__xludf.DUMMYFUNCTION("""COMPUTED_VALUE"""),3.0714285714285716)</f>
        <v>3.071428571</v>
      </c>
      <c r="O19" s="80">
        <f>IFERROR(__xludf.DUMMYFUNCTION("""COMPUTED_VALUE"""),394.38095238095235)</f>
        <v>394.3809524</v>
      </c>
      <c r="P19" s="80">
        <f>IFERROR(__xludf.DUMMYFUNCTION("""COMPUTED_VALUE"""),0.9047619047619049)</f>
        <v>0.9047619048</v>
      </c>
      <c r="Q19" s="80">
        <f>IFERROR(__xludf.DUMMYFUNCTION("""COMPUTED_VALUE"""),0.7142857142857143)</f>
        <v>0.7142857143</v>
      </c>
      <c r="R19" s="80">
        <f>IFERROR(__xludf.DUMMYFUNCTION("""COMPUTED_VALUE"""),1.5357142857142854)</f>
        <v>1.535714286</v>
      </c>
      <c r="S19" s="80">
        <f>IFERROR(__xludf.DUMMYFUNCTION("""COMPUTED_VALUE"""),2.75)</f>
        <v>2.75</v>
      </c>
      <c r="T19" s="80">
        <f>IFERROR(__xludf.DUMMYFUNCTION("""COMPUTED_VALUE"""),379.8465376775252)</f>
        <v>379.8465377</v>
      </c>
      <c r="U19" s="80">
        <f>IFERROR(__xludf.DUMMYFUNCTION("""COMPUTED_VALUE"""),0.8140223835502081)</f>
        <v>0.8140223836</v>
      </c>
      <c r="V19" s="80">
        <f>IFERROR(__xludf.DUMMYFUNCTION("""COMPUTED_VALUE"""),0.6700133285402078)</f>
        <v>0.6700133285</v>
      </c>
      <c r="W19" s="80">
        <f>IFERROR(__xludf.DUMMYFUNCTION("""COMPUTED_VALUE"""),1.4804254311848406)</f>
        <v>1.480425431</v>
      </c>
      <c r="X19" s="80">
        <f>IFERROR(__xludf.DUMMYFUNCTION("""COMPUTED_VALUE"""),2.8084319085588816)</f>
        <v>2.808431909</v>
      </c>
      <c r="Y19" s="80">
        <f>IFERROR(__xludf.DUMMYFUNCTION("""COMPUTED_VALUE"""),377.00085720977535)</f>
        <v>377.0008572</v>
      </c>
      <c r="Z19" s="80">
        <f>IFERROR(__xludf.DUMMYFUNCTION("""COMPUTED_VALUE"""),0.8296826987179439)</f>
        <v>0.8296826987</v>
      </c>
      <c r="AA19" s="80">
        <f>IFERROR(__xludf.DUMMYFUNCTION("""COMPUTED_VALUE"""),0.6374765659672487)</f>
        <v>0.637476566</v>
      </c>
      <c r="AB19" s="80">
        <f>IFERROR(__xludf.DUMMYFUNCTION("""COMPUTED_VALUE"""),1.480912748389976)</f>
        <v>1.480912748</v>
      </c>
      <c r="AC19" s="80">
        <f>IFERROR(__xludf.DUMMYFUNCTION("""COMPUTED_VALUE"""),2.783947182601699)</f>
        <v>2.783947183</v>
      </c>
      <c r="AD19" s="80">
        <f>IFERROR(__xludf.DUMMYFUNCTION("""COMPUTED_VALUE"""),1.0335330800747953)</f>
        <v>1.03353308</v>
      </c>
      <c r="AE19" s="80">
        <f>IFERROR(__xludf.DUMMYFUNCTION("""COMPUTED_VALUE"""),1.0761428968409472)</f>
        <v>1.076142897</v>
      </c>
      <c r="AF19" s="80">
        <f>IFERROR(__xludf.DUMMYFUNCTION("""COMPUTED_VALUE"""),1.064464899257632)</f>
        <v>1.064464899</v>
      </c>
      <c r="AG19" s="80">
        <f>IFERROR(__xludf.DUMMYFUNCTION("""COMPUTED_VALUE"""),1.0370052438159434)</f>
        <v>1.037005244</v>
      </c>
      <c r="AH19" s="80">
        <f>IFERROR(__xludf.DUMMYFUNCTION("""COMPUTED_VALUE"""),1.1032639522127035)</f>
        <v>1.103263952</v>
      </c>
      <c r="AI19" s="80">
        <f>IFERROR(__xludf.DUMMYFUNCTION("""COMPUTED_VALUE"""),1.0382639125587247)</f>
        <v>1.038263913</v>
      </c>
      <c r="AJ19" s="80">
        <f>IFERROR(__xludf.DUMMYFUNCTION("""COMPUTED_VALUE"""),1.1114705480406486)</f>
        <v>1.111470548</v>
      </c>
      <c r="AK19" s="80">
        <f>IFERROR(__xludf.DUMMYFUNCTION("""COMPUTED_VALUE"""),1.0660768731899184)</f>
        <v>1.066076873</v>
      </c>
      <c r="AL19" s="80">
        <f>IFERROR(__xludf.DUMMYFUNCTION("""COMPUTED_VALUE"""),1.0373465987308763)</f>
        <v>1.037346599</v>
      </c>
      <c r="AM19" s="80">
        <f>IFERROR(__xludf.DUMMYFUNCTION("""COMPUTED_VALUE"""),0.9791941159830841)</f>
        <v>0.979194116</v>
      </c>
      <c r="AN19" s="80">
        <f>IFERROR(__xludf.DUMMYFUNCTION("""COMPUTED_VALUE"""),1.0677493815300754)</f>
        <v>1.067749382</v>
      </c>
      <c r="AO19" s="80">
        <f>IFERROR(__xludf.DUMMYFUNCTION("""COMPUTED_VALUE"""),1.127630706017975)</f>
        <v>1.127630706</v>
      </c>
      <c r="AP19" s="80">
        <f>IFERROR(__xludf.DUMMYFUNCTION("""COMPUTED_VALUE"""),1.13991651880563)</f>
        <v>1.139916519</v>
      </c>
      <c r="AQ19" s="80">
        <f>IFERROR(__xludf.DUMMYFUNCTION("""COMPUTED_VALUE"""),1.0676364655794892)</f>
        <v>1.067636466</v>
      </c>
      <c r="AR19" s="80">
        <f>IFERROR(__xludf.DUMMYFUNCTION("""COMPUTED_VALUE"""),1.1581301895321678)</f>
        <v>1.15813019</v>
      </c>
      <c r="AS19" s="80">
        <f>IFERROR(__xludf.DUMMYFUNCTION("""COMPUTED_VALUE"""),70.0)</f>
        <v>70</v>
      </c>
      <c r="AT19" s="80">
        <f>IFERROR(__xludf.DUMMYFUNCTION("""COMPUTED_VALUE"""),0.4670225509757698)</f>
        <v>0.467022551</v>
      </c>
      <c r="AU19" s="80">
        <f>IFERROR(__xludf.DUMMYFUNCTION("""COMPUTED_VALUE"""),2.831312759151295)</f>
        <v>2.831312759</v>
      </c>
      <c r="AV19" s="80">
        <f>IFERROR(__xludf.DUMMYFUNCTION("""COMPUTED_VALUE"""),63.09201265844796)</f>
        <v>63.09201266</v>
      </c>
      <c r="AW19" s="82">
        <f t="shared" si="1"/>
        <v>3.330553563</v>
      </c>
      <c r="AX19" s="83">
        <f t="array" ref="AX19">IFERROR(DGET('SBV Import'!A:G,"SBV",{"RSC ID","Tier";B19,A19}))</f>
        <v>58.31994236</v>
      </c>
      <c r="AY19" s="82">
        <f t="shared" si="2"/>
        <v>2.705309309</v>
      </c>
      <c r="AZ19" s="82">
        <v>0.6252442535473186</v>
      </c>
      <c r="BA19" s="84">
        <v>2.0</v>
      </c>
      <c r="BB19" s="84" t="b">
        <f>IFERROR(__xludf.DUMMYFUNCTION("iferror(if(A19="""",,E19&gt;=FILTER(Constants!$F$2:$F$10,Constants!$A$2:$A$10=A19)))"),TRUE)</f>
        <v>1</v>
      </c>
    </row>
    <row r="20">
      <c r="A20" s="80" t="str">
        <f>IFERROR(__xludf.DUMMYFUNCTION("""COMPUTED_VALUE"""),"Premier")</f>
        <v>Premier</v>
      </c>
      <c r="B20" s="79" t="str">
        <f>IFERROR(__xludf.DUMMYFUNCTION("""COMPUTED_VALUE"""),"RSC000462")</f>
        <v>RSC000462</v>
      </c>
      <c r="C20" s="80" t="str">
        <f>IFERROR(__xludf.DUMMYFUNCTION("""COMPUTED_VALUE"""),"Kruncho")</f>
        <v>Kruncho</v>
      </c>
      <c r="D20" s="80" t="str">
        <f>IFERROR(__xludf.DUMMYFUNCTION("""COMPUTED_VALUE"""),"Feta Forgers")</f>
        <v>Feta Forgers</v>
      </c>
      <c r="E20" s="80">
        <f>IFERROR(__xludf.DUMMYFUNCTION("""COMPUTED_VALUE"""),44.0)</f>
        <v>44</v>
      </c>
      <c r="F20" s="80">
        <f>IFERROR(__xludf.DUMMYFUNCTION("""COMPUTED_VALUE"""),23.0)</f>
        <v>23</v>
      </c>
      <c r="G20" s="80">
        <f>IFERROR(__xludf.DUMMYFUNCTION("""COMPUTED_VALUE"""),21.0)</f>
        <v>21</v>
      </c>
      <c r="H20" s="81">
        <f>IFERROR(__xludf.DUMMYFUNCTION("""COMPUTED_VALUE"""),0.5227272727272727)</f>
        <v>0.5227272727</v>
      </c>
      <c r="I20" s="81">
        <f>IFERROR(__xludf.DUMMYFUNCTION("""COMPUTED_VALUE"""),0.2698412698412698)</f>
        <v>0.2698412698</v>
      </c>
      <c r="J20" s="80">
        <f>IFERROR(__xludf.DUMMYFUNCTION("""COMPUTED_VALUE"""),370.40909090909093)</f>
        <v>370.4090909</v>
      </c>
      <c r="K20" s="80">
        <f>IFERROR(__xludf.DUMMYFUNCTION("""COMPUTED_VALUE"""),0.7727272727272727)</f>
        <v>0.7727272727</v>
      </c>
      <c r="L20" s="80">
        <f>IFERROR(__xludf.DUMMYFUNCTION("""COMPUTED_VALUE"""),0.8181818181818182)</f>
        <v>0.8181818182</v>
      </c>
      <c r="M20" s="80">
        <f>IFERROR(__xludf.DUMMYFUNCTION("""COMPUTED_VALUE"""),1.25)</f>
        <v>1.25</v>
      </c>
      <c r="N20" s="80">
        <f>IFERROR(__xludf.DUMMYFUNCTION("""COMPUTED_VALUE"""),2.8636363636363638)</f>
        <v>2.863636364</v>
      </c>
      <c r="O20" s="80">
        <f>IFERROR(__xludf.DUMMYFUNCTION("""COMPUTED_VALUE"""),371.6363636363636)</f>
        <v>371.6363636</v>
      </c>
      <c r="P20" s="80">
        <f>IFERROR(__xludf.DUMMYFUNCTION("""COMPUTED_VALUE"""),0.8484848484848485)</f>
        <v>0.8484848485</v>
      </c>
      <c r="Q20" s="80">
        <f>IFERROR(__xludf.DUMMYFUNCTION("""COMPUTED_VALUE"""),0.6893939393939396)</f>
        <v>0.6893939394</v>
      </c>
      <c r="R20" s="80">
        <f>IFERROR(__xludf.DUMMYFUNCTION("""COMPUTED_VALUE"""),1.3712121212121213)</f>
        <v>1.371212121</v>
      </c>
      <c r="S20" s="80">
        <f>IFERROR(__xludf.DUMMYFUNCTION("""COMPUTED_VALUE"""),2.462121212121212)</f>
        <v>2.462121212</v>
      </c>
      <c r="T20" s="80">
        <f>IFERROR(__xludf.DUMMYFUNCTION("""COMPUTED_VALUE"""),370.8955200781689)</f>
        <v>370.8955201</v>
      </c>
      <c r="U20" s="80">
        <f>IFERROR(__xludf.DUMMYFUNCTION("""COMPUTED_VALUE"""),0.842731019000542)</f>
        <v>0.842731019</v>
      </c>
      <c r="V20" s="80">
        <f>IFERROR(__xludf.DUMMYFUNCTION("""COMPUTED_VALUE"""),0.6007856647519273)</f>
        <v>0.6007856648</v>
      </c>
      <c r="W20" s="80">
        <f>IFERROR(__xludf.DUMMYFUNCTION("""COMPUTED_VALUE"""),1.4223191990318091)</f>
        <v>1.422319199</v>
      </c>
      <c r="X20" s="80">
        <f>IFERROR(__xludf.DUMMYFUNCTION("""COMPUTED_VALUE"""),2.7061641150833484)</f>
        <v>2.706164115</v>
      </c>
      <c r="Y20" s="80">
        <f>IFERROR(__xludf.DUMMYFUNCTION("""COMPUTED_VALUE"""),375.44205089415084)</f>
        <v>375.4420509</v>
      </c>
      <c r="Z20" s="80">
        <f>IFERROR(__xludf.DUMMYFUNCTION("""COMPUTED_VALUE"""),0.8394788154842368)</f>
        <v>0.8394788155</v>
      </c>
      <c r="AA20" s="80">
        <f>IFERROR(__xludf.DUMMYFUNCTION("""COMPUTED_VALUE"""),0.6487398092059369)</f>
        <v>0.6487398092</v>
      </c>
      <c r="AB20" s="80">
        <f>IFERROR(__xludf.DUMMYFUNCTION("""COMPUTED_VALUE"""),1.4437151963782335)</f>
        <v>1.443715196</v>
      </c>
      <c r="AC20" s="80">
        <f>IFERROR(__xludf.DUMMYFUNCTION("""COMPUTED_VALUE"""),2.742284357077734)</f>
        <v>2.742284357</v>
      </c>
      <c r="AD20" s="80">
        <f>IFERROR(__xludf.DUMMYFUNCTION("""COMPUTED_VALUE"""),0.9865945757192797)</f>
        <v>0.9865945757</v>
      </c>
      <c r="AE20" s="80">
        <f>IFERROR(__xludf.DUMMYFUNCTION("""COMPUTED_VALUE"""),0.9204845416873805)</f>
        <v>0.9204845417</v>
      </c>
      <c r="AF20" s="80">
        <f>IFERROR(__xludf.DUMMYFUNCTION("""COMPUTED_VALUE"""),1.2611863902467768)</f>
        <v>1.26118639</v>
      </c>
      <c r="AG20" s="80">
        <f>IFERROR(__xludf.DUMMYFUNCTION("""COMPUTED_VALUE"""),0.8658217376500602)</f>
        <v>0.8658217377</v>
      </c>
      <c r="AH20" s="80">
        <f>IFERROR(__xludf.DUMMYFUNCTION("""COMPUTED_VALUE"""),1.0442521601545167)</f>
        <v>1.04425216</v>
      </c>
      <c r="AI20" s="80">
        <f>IFERROR(__xludf.DUMMYFUNCTION("""COMPUTED_VALUE"""),1.0019974454208522)</f>
        <v>1.001997445</v>
      </c>
      <c r="AJ20" s="80">
        <f>IFERROR(__xludf.DUMMYFUNCTION("""COMPUTED_VALUE"""),1.0068275990257607)</f>
        <v>1.006827599</v>
      </c>
      <c r="AK20" s="80">
        <f>IFERROR(__xludf.DUMMYFUNCTION("""COMPUTED_VALUE"""),1.1474873317401804)</f>
        <v>1.147487332</v>
      </c>
      <c r="AL20" s="80">
        <f>IFERROR(__xludf.DUMMYFUNCTION("""COMPUTED_VALUE"""),0.9640677860114122)</f>
        <v>0.964067786</v>
      </c>
      <c r="AM20" s="80">
        <f>IFERROR(__xludf.DUMMYFUNCTION("""COMPUTED_VALUE"""),0.909819621950526)</f>
        <v>0.909819622</v>
      </c>
      <c r="AN20" s="80">
        <f>IFERROR(__xludf.DUMMYFUNCTION("""COMPUTED_VALUE"""),1.0150425459648378)</f>
        <v>1.015042546</v>
      </c>
      <c r="AO20" s="80">
        <f>IFERROR(__xludf.DUMMYFUNCTION("""COMPUTED_VALUE"""),0.9759131201173749)</f>
        <v>0.9759131201</v>
      </c>
      <c r="AP20" s="80">
        <f>IFERROR(__xludf.DUMMYFUNCTION("""COMPUTED_VALUE"""),1.374444797794348)</f>
        <v>1.374444798</v>
      </c>
      <c r="AQ20" s="80">
        <f>IFERROR(__xludf.DUMMYFUNCTION("""COMPUTED_VALUE"""),0.8690064254716772)</f>
        <v>0.8690064255</v>
      </c>
      <c r="AR20" s="80">
        <f>IFERROR(__xludf.DUMMYFUNCTION("""COMPUTED_VALUE"""),1.0797788870691034)</f>
        <v>1.079778887</v>
      </c>
      <c r="AS20" s="80">
        <f>IFERROR(__xludf.DUMMYFUNCTION("""COMPUTED_VALUE"""),122.0)</f>
        <v>122</v>
      </c>
      <c r="AT20" s="80">
        <f>IFERROR(__xludf.DUMMYFUNCTION("""COMPUTED_VALUE"""),0.5344844056396062)</f>
        <v>0.5344844056</v>
      </c>
      <c r="AU20" s="80">
        <f>IFERROR(__xludf.DUMMYFUNCTION("""COMPUTED_VALUE"""),2.781918329698913)</f>
        <v>2.78191833</v>
      </c>
      <c r="AV20" s="80">
        <f>IFERROR(__xludf.DUMMYFUNCTION("""COMPUTED_VALUE"""),61.59931695413714)</f>
        <v>61.59931695</v>
      </c>
      <c r="AW20" s="82">
        <f t="shared" si="1"/>
        <v>3.112030028</v>
      </c>
      <c r="AX20" s="83">
        <f t="array" ref="AX20">IFERROR(DGET('SBV Import'!A:G,"SBV",{"RSC ID","Tier";B20,A20}))</f>
        <v>63.13860835</v>
      </c>
      <c r="AY20" s="82">
        <f t="shared" si="2"/>
        <v>3.337756738</v>
      </c>
      <c r="AZ20" s="82">
        <v>0.2257267098737179</v>
      </c>
      <c r="BA20" s="84">
        <v>2.0</v>
      </c>
      <c r="BB20" s="84" t="b">
        <f>IFERROR(__xludf.DUMMYFUNCTION("iferror(if(A20="""",,E20&gt;=FILTER(Constants!$F$2:$F$10,Constants!$A$2:$A$10=A20)))"),TRUE)</f>
        <v>1</v>
      </c>
    </row>
    <row r="21">
      <c r="A21" s="80" t="str">
        <f>IFERROR(__xludf.DUMMYFUNCTION("""COMPUTED_VALUE"""),"Premier")</f>
        <v>Premier</v>
      </c>
      <c r="B21" s="79" t="str">
        <f>IFERROR(__xludf.DUMMYFUNCTION("""COMPUTED_VALUE"""),"RSC007721")</f>
        <v>RSC007721</v>
      </c>
      <c r="C21" s="80" t="str">
        <f>IFERROR(__xludf.DUMMYFUNCTION("""COMPUTED_VALUE"""),"Ace!")</f>
        <v>Ace!</v>
      </c>
      <c r="D21" s="80" t="str">
        <f>IFERROR(__xludf.DUMMYFUNCTION("""COMPUTED_VALUE"""),"Gummy Bears")</f>
        <v>Gummy Bears</v>
      </c>
      <c r="E21" s="80">
        <f>IFERROR(__xludf.DUMMYFUNCTION("""COMPUTED_VALUE"""),31.0)</f>
        <v>31</v>
      </c>
      <c r="F21" s="80">
        <f>IFERROR(__xludf.DUMMYFUNCTION("""COMPUTED_VALUE"""),20.0)</f>
        <v>20</v>
      </c>
      <c r="G21" s="80">
        <f>IFERROR(__xludf.DUMMYFUNCTION("""COMPUTED_VALUE"""),11.0)</f>
        <v>11</v>
      </c>
      <c r="H21" s="81">
        <f>IFERROR(__xludf.DUMMYFUNCTION("""COMPUTED_VALUE"""),0.6451612903225806)</f>
        <v>0.6451612903</v>
      </c>
      <c r="I21" s="81">
        <f>IFERROR(__xludf.DUMMYFUNCTION("""COMPUTED_VALUE"""),0.24096385542168675)</f>
        <v>0.2409638554</v>
      </c>
      <c r="J21" s="80">
        <f>IFERROR(__xludf.DUMMYFUNCTION("""COMPUTED_VALUE"""),393.5806451612903)</f>
        <v>393.5806452</v>
      </c>
      <c r="K21" s="80">
        <f>IFERROR(__xludf.DUMMYFUNCTION("""COMPUTED_VALUE"""),0.6451612903225806)</f>
        <v>0.6451612903</v>
      </c>
      <c r="L21" s="80">
        <f>IFERROR(__xludf.DUMMYFUNCTION("""COMPUTED_VALUE"""),0.8709677419354839)</f>
        <v>0.8709677419</v>
      </c>
      <c r="M21" s="80">
        <f>IFERROR(__xludf.DUMMYFUNCTION("""COMPUTED_VALUE"""),1.5806451612903225)</f>
        <v>1.580645161</v>
      </c>
      <c r="N21" s="80">
        <f>IFERROR(__xludf.DUMMYFUNCTION("""COMPUTED_VALUE"""),2.6774193548387095)</f>
        <v>2.677419355</v>
      </c>
      <c r="O21" s="80">
        <f>IFERROR(__xludf.DUMMYFUNCTION("""COMPUTED_VALUE"""),345.89247311827955)</f>
        <v>345.8924731</v>
      </c>
      <c r="P21" s="80">
        <f>IFERROR(__xludf.DUMMYFUNCTION("""COMPUTED_VALUE"""),0.8387096774193548)</f>
        <v>0.8387096774</v>
      </c>
      <c r="Q21" s="80">
        <f>IFERROR(__xludf.DUMMYFUNCTION("""COMPUTED_VALUE"""),0.6344086021505375)</f>
        <v>0.6344086022</v>
      </c>
      <c r="R21" s="80">
        <f>IFERROR(__xludf.DUMMYFUNCTION("""COMPUTED_VALUE"""),1.1935483870967742)</f>
        <v>1.193548387</v>
      </c>
      <c r="S21" s="80">
        <f>IFERROR(__xludf.DUMMYFUNCTION("""COMPUTED_VALUE"""),2.8602150537634414)</f>
        <v>2.860215054</v>
      </c>
      <c r="T21" s="80">
        <f>IFERROR(__xludf.DUMMYFUNCTION("""COMPUTED_VALUE"""),361.2237570687102)</f>
        <v>361.2237571</v>
      </c>
      <c r="U21" s="80">
        <f>IFERROR(__xludf.DUMMYFUNCTION("""COMPUTED_VALUE"""),0.7895028719966972)</f>
        <v>0.789502872</v>
      </c>
      <c r="V21" s="80">
        <f>IFERROR(__xludf.DUMMYFUNCTION("""COMPUTED_VALUE"""),0.6581886338777169)</f>
        <v>0.6581886339</v>
      </c>
      <c r="W21" s="80">
        <f>IFERROR(__xludf.DUMMYFUNCTION("""COMPUTED_VALUE"""),1.3500029222077796)</f>
        <v>1.350002922</v>
      </c>
      <c r="X21" s="80">
        <f>IFERROR(__xludf.DUMMYFUNCTION("""COMPUTED_VALUE"""),2.7140929528188003)</f>
        <v>2.714092953</v>
      </c>
      <c r="Y21" s="80">
        <f>IFERROR(__xludf.DUMMYFUNCTION("""COMPUTED_VALUE"""),374.81343269633055)</f>
        <v>374.8134327</v>
      </c>
      <c r="Z21" s="80">
        <f>IFERROR(__xludf.DUMMYFUNCTION("""COMPUTED_VALUE"""),0.8274765417102572)</f>
        <v>0.8274765417</v>
      </c>
      <c r="AA21" s="80">
        <f>IFERROR(__xludf.DUMMYFUNCTION("""COMPUTED_VALUE"""),0.6580544501291455)</f>
        <v>0.6580544501</v>
      </c>
      <c r="AB21" s="80">
        <f>IFERROR(__xludf.DUMMYFUNCTION("""COMPUTED_VALUE"""),1.4422997884278907)</f>
        <v>1.442299788</v>
      </c>
      <c r="AC21" s="80">
        <f>IFERROR(__xludf.DUMMYFUNCTION("""COMPUTED_VALUE"""),2.6953833630217847)</f>
        <v>2.695383363</v>
      </c>
      <c r="AD21" s="80">
        <f>IFERROR(__xludf.DUMMYFUNCTION("""COMPUTED_VALUE"""),1.0500708107763168)</f>
        <v>1.050070811</v>
      </c>
      <c r="AE21" s="80">
        <f>IFERROR(__xludf.DUMMYFUNCTION("""COMPUTED_VALUE"""),0.7796732086073871)</f>
        <v>0.7796732086</v>
      </c>
      <c r="AF21" s="80">
        <f>IFERROR(__xludf.DUMMYFUNCTION("""COMPUTED_VALUE"""),1.323549657273123)</f>
        <v>1.323549657</v>
      </c>
      <c r="AG21" s="80">
        <f>IFERROR(__xludf.DUMMYFUNCTION("""COMPUTED_VALUE"""),1.0959199841617036)</f>
        <v>1.095919984</v>
      </c>
      <c r="AH21" s="80">
        <f>IFERROR(__xludf.DUMMYFUNCTION("""COMPUTED_VALUE"""),0.9933352678399945)</f>
        <v>0.9933352678</v>
      </c>
      <c r="AI21" s="80">
        <f>IFERROR(__xludf.DUMMYFUNCTION("""COMPUTED_VALUE"""),0.957557376417204)</f>
        <v>0.9575573764</v>
      </c>
      <c r="AJ21" s="80">
        <f>IFERROR(__xludf.DUMMYFUNCTION("""COMPUTED_VALUE"""),1.0623263159236023)</f>
        <v>1.062326316</v>
      </c>
      <c r="AK21" s="80">
        <f>IFERROR(__xludf.DUMMYFUNCTION("""COMPUTED_VALUE"""),0.9638704916748876)</f>
        <v>0.9638704917</v>
      </c>
      <c r="AL21" s="80">
        <f>IFERROR(__xludf.DUMMYFUNCTION("""COMPUTED_VALUE"""),0.8841080026292526)</f>
        <v>0.8841080026</v>
      </c>
      <c r="AM21" s="80">
        <f>IFERROR(__xludf.DUMMYFUNCTION("""COMPUTED_VALUE"""),1.0538382816966094)</f>
        <v>1.053838282</v>
      </c>
      <c r="AN21" s="80">
        <f>IFERROR(__xludf.DUMMYFUNCTION("""COMPUTED_VALUE"""),1.0785402138120002)</f>
        <v>1.078540214</v>
      </c>
      <c r="AO21" s="80">
        <f>IFERROR(__xludf.DUMMYFUNCTION("""COMPUTED_VALUE"""),0.8148041230581498)</f>
        <v>0.8148041231</v>
      </c>
      <c r="AP21" s="80">
        <f>IFERROR(__xludf.DUMMYFUNCTION("""COMPUTED_VALUE"""),1.4631186557165639)</f>
        <v>1.463118656</v>
      </c>
      <c r="AQ21" s="80">
        <f>IFERROR(__xludf.DUMMYFUNCTION("""COMPUTED_VALUE"""),1.0988726412416046)</f>
        <v>1.098872641</v>
      </c>
      <c r="AR21" s="80">
        <f>IFERROR(__xludf.DUMMYFUNCTION("""COMPUTED_VALUE"""),1.0095628508900065)</f>
        <v>1.009562851</v>
      </c>
      <c r="AS21" s="80">
        <f>IFERROR(__xludf.DUMMYFUNCTION("""COMPUTED_VALUE"""),87.0)</f>
        <v>87</v>
      </c>
      <c r="AT21" s="80">
        <f>IFERROR(__xludf.DUMMYFUNCTION("""COMPUTED_VALUE"""),0.5439979239540398)</f>
        <v>0.543997924</v>
      </c>
      <c r="AU21" s="80">
        <f>IFERROR(__xludf.DUMMYFUNCTION("""COMPUTED_VALUE"""),2.6934721782793747)</f>
        <v>2.693472178</v>
      </c>
      <c r="AV21" s="80">
        <f>IFERROR(__xludf.DUMMYFUNCTION("""COMPUTED_VALUE"""),58.926481337844706)</f>
        <v>58.92648134</v>
      </c>
      <c r="AW21" s="82">
        <f t="shared" si="1"/>
        <v>2.77374257</v>
      </c>
      <c r="AX21" s="83">
        <f t="array" ref="AX21">IFERROR(DGET('SBV Import'!A:G,"SBV",{"RSC ID","Tier";B21,A21}))</f>
        <v>56.96059076</v>
      </c>
      <c r="AY21" s="82">
        <f t="shared" si="2"/>
        <v>2.561845572</v>
      </c>
      <c r="AZ21" s="82">
        <v>0.21189699821758534</v>
      </c>
      <c r="BA21" s="84">
        <v>2.0</v>
      </c>
      <c r="BB21" s="84" t="b">
        <f>IFERROR(__xludf.DUMMYFUNCTION("iferror(if(A21="""",,E21&gt;=FILTER(Constants!$F$2:$F$10,Constants!$A$2:$A$10=A21)))"),TRUE)</f>
        <v>1</v>
      </c>
    </row>
    <row r="22">
      <c r="A22" s="80" t="str">
        <f>IFERROR(__xludf.DUMMYFUNCTION("""COMPUTED_VALUE"""),"Premier")</f>
        <v>Premier</v>
      </c>
      <c r="B22" s="79" t="str">
        <f>IFERROR(__xludf.DUMMYFUNCTION("""COMPUTED_VALUE"""),"RSC004370")</f>
        <v>RSC004370</v>
      </c>
      <c r="C22" s="80" t="str">
        <f>IFERROR(__xludf.DUMMYFUNCTION("""COMPUTED_VALUE"""),"Nightfang")</f>
        <v>Nightfang</v>
      </c>
      <c r="D22" s="80" t="str">
        <f>IFERROR(__xludf.DUMMYFUNCTION("""COMPUTED_VALUE"""),"Old Heads")</f>
        <v>Old Heads</v>
      </c>
      <c r="E22" s="80">
        <f>IFERROR(__xludf.DUMMYFUNCTION("""COMPUTED_VALUE"""),42.0)</f>
        <v>42</v>
      </c>
      <c r="F22" s="80">
        <f>IFERROR(__xludf.DUMMYFUNCTION("""COMPUTED_VALUE"""),24.0)</f>
        <v>24</v>
      </c>
      <c r="G22" s="80">
        <f>IFERROR(__xludf.DUMMYFUNCTION("""COMPUTED_VALUE"""),18.0)</f>
        <v>18</v>
      </c>
      <c r="H22" s="81">
        <f>IFERROR(__xludf.DUMMYFUNCTION("""COMPUTED_VALUE"""),0.5714285714285714)</f>
        <v>0.5714285714</v>
      </c>
      <c r="I22" s="81">
        <f>IFERROR(__xludf.DUMMYFUNCTION("""COMPUTED_VALUE"""),0.33962264150943394)</f>
        <v>0.3396226415</v>
      </c>
      <c r="J22" s="80">
        <f>IFERROR(__xludf.DUMMYFUNCTION("""COMPUTED_VALUE"""),354.4761904761905)</f>
        <v>354.4761905</v>
      </c>
      <c r="K22" s="80">
        <f>IFERROR(__xludf.DUMMYFUNCTION("""COMPUTED_VALUE"""),0.8571428571428571)</f>
        <v>0.8571428571</v>
      </c>
      <c r="L22" s="80">
        <f>IFERROR(__xludf.DUMMYFUNCTION("""COMPUTED_VALUE"""),0.7380952380952381)</f>
        <v>0.7380952381</v>
      </c>
      <c r="M22" s="80">
        <f>IFERROR(__xludf.DUMMYFUNCTION("""COMPUTED_VALUE"""),1.2142857142857142)</f>
        <v>1.214285714</v>
      </c>
      <c r="N22" s="80">
        <f>IFERROR(__xludf.DUMMYFUNCTION("""COMPUTED_VALUE"""),2.5238095238095237)</f>
        <v>2.523809524</v>
      </c>
      <c r="O22" s="80">
        <f>IFERROR(__xludf.DUMMYFUNCTION("""COMPUTED_VALUE"""),369.51587301587296)</f>
        <v>369.515873</v>
      </c>
      <c r="P22" s="80">
        <f>IFERROR(__xludf.DUMMYFUNCTION("""COMPUTED_VALUE"""),0.8253968253968254)</f>
        <v>0.8253968254</v>
      </c>
      <c r="Q22" s="80">
        <f>IFERROR(__xludf.DUMMYFUNCTION("""COMPUTED_VALUE"""),0.6190476190476191)</f>
        <v>0.619047619</v>
      </c>
      <c r="R22" s="80">
        <f>IFERROR(__xludf.DUMMYFUNCTION("""COMPUTED_VALUE"""),1.4523809523809526)</f>
        <v>1.452380952</v>
      </c>
      <c r="S22" s="80">
        <f>IFERROR(__xludf.DUMMYFUNCTION("""COMPUTED_VALUE"""),2.658730158730159)</f>
        <v>2.658730159</v>
      </c>
      <c r="T22" s="80">
        <f>IFERROR(__xludf.DUMMYFUNCTION("""COMPUTED_VALUE"""),373.25788365000557)</f>
        <v>373.2578837</v>
      </c>
      <c r="U22" s="80">
        <f>IFERROR(__xludf.DUMMYFUNCTION("""COMPUTED_VALUE"""),0.8300854858345202)</f>
        <v>0.8300854858</v>
      </c>
      <c r="V22" s="80">
        <f>IFERROR(__xludf.DUMMYFUNCTION("""COMPUTED_VALUE"""),0.6294765061316716)</f>
        <v>0.6294765061</v>
      </c>
      <c r="W22" s="80">
        <f>IFERROR(__xludf.DUMMYFUNCTION("""COMPUTED_VALUE"""),1.423047853717956)</f>
        <v>1.423047854</v>
      </c>
      <c r="X22" s="80">
        <f>IFERROR(__xludf.DUMMYFUNCTION("""COMPUTED_VALUE"""),2.744244447688333)</f>
        <v>2.744244448</v>
      </c>
      <c r="Y22" s="80">
        <f>IFERROR(__xludf.DUMMYFUNCTION("""COMPUTED_VALUE"""),375.1140438880228)</f>
        <v>375.1140439</v>
      </c>
      <c r="Z22" s="80">
        <f>IFERROR(__xludf.DUMMYFUNCTION("""COMPUTED_VALUE"""),0.8290107186340676)</f>
        <v>0.8290107186</v>
      </c>
      <c r="AA22" s="80">
        <f>IFERROR(__xludf.DUMMYFUNCTION("""COMPUTED_VALUE"""),0.6320550382574427)</f>
        <v>0.6320550383</v>
      </c>
      <c r="AB22" s="80">
        <f>IFERROR(__xludf.DUMMYFUNCTION("""COMPUTED_VALUE"""),1.4416302435472526)</f>
        <v>1.441630244</v>
      </c>
      <c r="AC22" s="80">
        <f>IFERROR(__xludf.DUMMYFUNCTION("""COMPUTED_VALUE"""),2.7462247876331514)</f>
        <v>2.746224788</v>
      </c>
      <c r="AD22" s="80">
        <f>IFERROR(__xludf.DUMMYFUNCTION("""COMPUTED_VALUE"""),0.9449824560074508)</f>
        <v>0.944982456</v>
      </c>
      <c r="AE22" s="80">
        <f>IFERROR(__xludf.DUMMYFUNCTION("""COMPUTED_VALUE"""),1.0339345895975167)</f>
        <v>1.03393459</v>
      </c>
      <c r="AF22" s="80">
        <f>IFERROR(__xludf.DUMMYFUNCTION("""COMPUTED_VALUE"""),1.1677705158875802)</f>
        <v>1.167770516</v>
      </c>
      <c r="AG22" s="80">
        <f>IFERROR(__xludf.DUMMYFUNCTION("""COMPUTED_VALUE"""),0.8423003885502999)</f>
        <v>0.8423003886</v>
      </c>
      <c r="AH22" s="80">
        <f>IFERROR(__xludf.DUMMYFUNCTION("""COMPUTED_VALUE"""),0.9190105395504359)</f>
        <v>0.9190105396</v>
      </c>
      <c r="AI22" s="80">
        <f>IFERROR(__xludf.DUMMYFUNCTION("""COMPUTED_VALUE"""),0.9899747311495732)</f>
        <v>0.9899747311</v>
      </c>
      <c r="AJ22" s="80">
        <f>IFERROR(__xludf.DUMMYFUNCTION("""COMPUTED_VALUE"""),0.9943515932783945)</f>
        <v>0.9943515933</v>
      </c>
      <c r="AK22" s="80">
        <f>IFERROR(__xludf.DUMMYFUNCTION("""COMPUTED_VALUE"""),0.9834324442890787)</f>
        <v>0.9834324443</v>
      </c>
      <c r="AL22" s="80">
        <f>IFERROR(__xludf.DUMMYFUNCTION("""COMPUTED_VALUE"""),1.020612868770617)</f>
        <v>1.020612869</v>
      </c>
      <c r="AM22" s="80">
        <f>IFERROR(__xludf.DUMMYFUNCTION("""COMPUTED_VALUE"""),0.9688386765143284)</f>
        <v>0.9688386765</v>
      </c>
      <c r="AN22" s="80">
        <f>IFERROR(__xludf.DUMMYFUNCTION("""COMPUTED_VALUE"""),0.9713811666495424)</f>
        <v>0.9713811666</v>
      </c>
      <c r="AO22" s="80">
        <f>IFERROR(__xludf.DUMMYFUNCTION("""COMPUTED_VALUE"""),1.0825254777772562)</f>
        <v>1.082525478</v>
      </c>
      <c r="AP22" s="80">
        <f>IFERROR(__xludf.DUMMYFUNCTION("""COMPUTED_VALUE"""),1.239909195893843)</f>
        <v>1.239909196</v>
      </c>
      <c r="AQ22" s="80">
        <f>IFERROR(__xludf.DUMMYFUNCTION("""COMPUTED_VALUE"""),0.8441776704582006)</f>
        <v>0.8441776705</v>
      </c>
      <c r="AR22" s="80">
        <f>IFERROR(__xludf.DUMMYFUNCTION("""COMPUTED_VALUE"""),0.9516418611659672)</f>
        <v>0.9516418612</v>
      </c>
      <c r="AS22" s="80">
        <f>IFERROR(__xludf.DUMMYFUNCTION("""COMPUTED_VALUE"""),111.0)</f>
        <v>111</v>
      </c>
      <c r="AT22" s="80">
        <f>IFERROR(__xludf.DUMMYFUNCTION("""COMPUTED_VALUE"""),0.5259973199684337)</f>
        <v>0.52599732</v>
      </c>
      <c r="AU22" s="80">
        <f>IFERROR(__xludf.DUMMYFUNCTION("""COMPUTED_VALUE"""),2.664889440780354)</f>
        <v>2.664889441</v>
      </c>
      <c r="AV22" s="80">
        <f>IFERROR(__xludf.DUMMYFUNCTION("""COMPUTED_VALUE"""),58.06271329850814)</f>
        <v>58.0627133</v>
      </c>
      <c r="AW22" s="82">
        <f t="shared" si="1"/>
        <v>2.67713435</v>
      </c>
      <c r="AX22" s="83">
        <f t="array" ref="AX22">IFERROR(DGET('SBV Import'!A:G,"SBV",{"RSC ID","Tier";B22,A22}))</f>
        <v>48.27027368</v>
      </c>
      <c r="AY22" s="82">
        <f t="shared" si="2"/>
        <v>-2.116762443</v>
      </c>
      <c r="AZ22" s="82">
        <v>4.793896793883486</v>
      </c>
      <c r="BA22" s="84">
        <v>2.0</v>
      </c>
      <c r="BB22" s="84" t="b">
        <f>IFERROR(__xludf.DUMMYFUNCTION("iferror(if(A22="""",,E22&gt;=FILTER(Constants!$F$2:$F$10,Constants!$A$2:$A$10=A22)))"),TRUE)</f>
        <v>1</v>
      </c>
    </row>
    <row r="23">
      <c r="A23" s="80" t="str">
        <f>IFERROR(__xludf.DUMMYFUNCTION("""COMPUTED_VALUE"""),"Premier")</f>
        <v>Premier</v>
      </c>
      <c r="B23" s="79" t="str">
        <f>IFERROR(__xludf.DUMMYFUNCTION("""COMPUTED_VALUE"""),"RSC005670")</f>
        <v>RSC005670</v>
      </c>
      <c r="C23" s="80" t="str">
        <f>IFERROR(__xludf.DUMMYFUNCTION("""COMPUTED_VALUE"""),"mesi")</f>
        <v>mesi</v>
      </c>
      <c r="D23" s="80" t="str">
        <f>IFERROR(__xludf.DUMMYFUNCTION("""COMPUTED_VALUE"""),"Old Heads")</f>
        <v>Old Heads</v>
      </c>
      <c r="E23" s="80">
        <f>IFERROR(__xludf.DUMMYFUNCTION("""COMPUTED_VALUE"""),47.0)</f>
        <v>47</v>
      </c>
      <c r="F23" s="80">
        <f>IFERROR(__xludf.DUMMYFUNCTION("""COMPUTED_VALUE"""),26.0)</f>
        <v>26</v>
      </c>
      <c r="G23" s="80">
        <f>IFERROR(__xludf.DUMMYFUNCTION("""COMPUTED_VALUE"""),21.0)</f>
        <v>21</v>
      </c>
      <c r="H23" s="81">
        <f>IFERROR(__xludf.DUMMYFUNCTION("""COMPUTED_VALUE"""),0.5531914893617021)</f>
        <v>0.5531914894</v>
      </c>
      <c r="I23" s="81">
        <f>IFERROR(__xludf.DUMMYFUNCTION("""COMPUTED_VALUE"""),0.30344827586206896)</f>
        <v>0.3034482759</v>
      </c>
      <c r="J23" s="80">
        <f>IFERROR(__xludf.DUMMYFUNCTION("""COMPUTED_VALUE"""),366.3191489361702)</f>
        <v>366.3191489</v>
      </c>
      <c r="K23" s="80">
        <f>IFERROR(__xludf.DUMMYFUNCTION("""COMPUTED_VALUE"""),0.9361702127659575)</f>
        <v>0.9361702128</v>
      </c>
      <c r="L23" s="80">
        <f>IFERROR(__xludf.DUMMYFUNCTION("""COMPUTED_VALUE"""),0.46808510638297873)</f>
        <v>0.4680851064</v>
      </c>
      <c r="M23" s="80">
        <f>IFERROR(__xludf.DUMMYFUNCTION("""COMPUTED_VALUE"""),1.425531914893617)</f>
        <v>1.425531915</v>
      </c>
      <c r="N23" s="80">
        <f>IFERROR(__xludf.DUMMYFUNCTION("""COMPUTED_VALUE"""),3.0851063829787235)</f>
        <v>3.085106383</v>
      </c>
      <c r="O23" s="80">
        <f>IFERROR(__xludf.DUMMYFUNCTION("""COMPUTED_VALUE"""),377.127659574468)</f>
        <v>377.1276596</v>
      </c>
      <c r="P23" s="80">
        <f>IFERROR(__xludf.DUMMYFUNCTION("""COMPUTED_VALUE"""),0.8368794326241136)</f>
        <v>0.8368794326</v>
      </c>
      <c r="Q23" s="80">
        <f>IFERROR(__xludf.DUMMYFUNCTION("""COMPUTED_VALUE"""),0.6382978723404256)</f>
        <v>0.6382978723</v>
      </c>
      <c r="R23" s="80">
        <f>IFERROR(__xludf.DUMMYFUNCTION("""COMPUTED_VALUE"""),1.5035460992907805)</f>
        <v>1.503546099</v>
      </c>
      <c r="S23" s="80">
        <f>IFERROR(__xludf.DUMMYFUNCTION("""COMPUTED_VALUE"""),2.723404255319149)</f>
        <v>2.723404255</v>
      </c>
      <c r="T23" s="80">
        <f>IFERROR(__xludf.DUMMYFUNCTION("""COMPUTED_VALUE"""),374.8570349786486)</f>
        <v>374.857035</v>
      </c>
      <c r="U23" s="80">
        <f>IFERROR(__xludf.DUMMYFUNCTION("""COMPUTED_VALUE"""),0.839651738216878)</f>
        <v>0.8396517382</v>
      </c>
      <c r="V23" s="80">
        <f>IFERROR(__xludf.DUMMYFUNCTION("""COMPUTED_VALUE"""),0.6423521315417765)</f>
        <v>0.6423521315</v>
      </c>
      <c r="W23" s="80">
        <f>IFERROR(__xludf.DUMMYFUNCTION("""COMPUTED_VALUE"""),1.40984812679679)</f>
        <v>1.409848127</v>
      </c>
      <c r="X23" s="80">
        <f>IFERROR(__xludf.DUMMYFUNCTION("""COMPUTED_VALUE"""),2.759050396415715)</f>
        <v>2.759050396</v>
      </c>
      <c r="Y23" s="80">
        <f>IFERROR(__xludf.DUMMYFUNCTION("""COMPUTED_VALUE"""),372.37482864338983)</f>
        <v>372.3748286</v>
      </c>
      <c r="Z23" s="80">
        <f>IFERROR(__xludf.DUMMYFUNCTION("""COMPUTED_VALUE"""),0.8171593679343752)</f>
        <v>0.8171593679</v>
      </c>
      <c r="AA23" s="80">
        <f>IFERROR(__xludf.DUMMYFUNCTION("""COMPUTED_VALUE"""),0.6219935876925631)</f>
        <v>0.6219935877</v>
      </c>
      <c r="AB23" s="80">
        <f>IFERROR(__xludf.DUMMYFUNCTION("""COMPUTED_VALUE"""),1.4427738919978819)</f>
        <v>1.442773892</v>
      </c>
      <c r="AC23" s="80">
        <f>IFERROR(__xludf.DUMMYFUNCTION("""COMPUTED_VALUE"""),2.7074122216598098)</f>
        <v>2.707412222</v>
      </c>
      <c r="AD23" s="80">
        <f>IFERROR(__xludf.DUMMYFUNCTION("""COMPUTED_VALUE"""),0.9837376770892886)</f>
        <v>0.9837376771</v>
      </c>
      <c r="AE23" s="80">
        <f>IFERROR(__xludf.DUMMYFUNCTION("""COMPUTED_VALUE"""),1.1456396995514098)</f>
        <v>1.1456397</v>
      </c>
      <c r="AF23" s="80">
        <f>IFERROR(__xludf.DUMMYFUNCTION("""COMPUTED_VALUE"""),0.7525561607788508)</f>
        <v>0.7525561608</v>
      </c>
      <c r="AG23" s="80">
        <f>IFERROR(__xludf.DUMMYFUNCTION("""COMPUTED_VALUE"""),0.9880494253466223)</f>
        <v>0.9880494253</v>
      </c>
      <c r="AH23" s="80">
        <f>IFERROR(__xludf.DUMMYFUNCTION("""COMPUTED_VALUE"""),1.1395037513302515)</f>
        <v>1.139503751</v>
      </c>
      <c r="AI23" s="80">
        <f>IFERROR(__xludf.DUMMYFUNCTION("""COMPUTED_VALUE"""),1.0060573082107123)</f>
        <v>1.006057308</v>
      </c>
      <c r="AJ23" s="80">
        <f>IFERROR(__xludf.DUMMYFUNCTION("""COMPUTED_VALUE"""),0.9966982673094302)</f>
        <v>0.9966982673</v>
      </c>
      <c r="AK23" s="80">
        <f>IFERROR(__xludf.DUMMYFUNCTION("""COMPUTED_VALUE"""),0.993688416364993)</f>
        <v>0.9936884164</v>
      </c>
      <c r="AL23" s="80">
        <f>IFERROR(__xludf.DUMMYFUNCTION("""COMPUTED_VALUE"""),1.0664596212266315)</f>
        <v>1.066459621</v>
      </c>
      <c r="AM23" s="80">
        <f>IFERROR(__xludf.DUMMYFUNCTION("""COMPUTED_VALUE"""),0.987080286339505)</f>
        <v>0.9870802863</v>
      </c>
      <c r="AN23" s="80">
        <f>IFERROR(__xludf.DUMMYFUNCTION("""COMPUTED_VALUE"""),1.003834761882506)</f>
        <v>1.003834762</v>
      </c>
      <c r="AO23" s="80">
        <f>IFERROR(__xludf.DUMMYFUNCTION("""COMPUTED_VALUE"""),1.1823327913311876)</f>
        <v>1.182332791</v>
      </c>
      <c r="AP23" s="80">
        <f>IFERROR(__xludf.DUMMYFUNCTION("""COMPUTED_VALUE"""),0.7863253925915655)</f>
        <v>0.7863253926</v>
      </c>
      <c r="AQ23" s="80">
        <f>IFERROR(__xludf.DUMMYFUNCTION("""COMPUTED_VALUE"""),0.9910371150059978)</f>
        <v>0.991037115</v>
      </c>
      <c r="AR23" s="80">
        <f>IFERROR(__xludf.DUMMYFUNCTION("""COMPUTED_VALUE"""),1.1632876223405741)</f>
        <v>1.163287622</v>
      </c>
      <c r="AS23" s="80">
        <f>IFERROR(__xludf.DUMMYFUNCTION("""COMPUTED_VALUE"""),121.0)</f>
        <v>121</v>
      </c>
      <c r="AT23" s="80">
        <f>IFERROR(__xludf.DUMMYFUNCTION("""COMPUTED_VALUE"""),0.510008437176686)</f>
        <v>0.5100084372</v>
      </c>
      <c r="AU23" s="80">
        <f>IFERROR(__xludf.DUMMYFUNCTION("""COMPUTED_VALUE"""),2.64846254734336)</f>
        <v>2.648462547</v>
      </c>
      <c r="AV23" s="80">
        <f>IFERROR(__xludf.DUMMYFUNCTION("""COMPUTED_VALUE"""),57.56629389372057)</f>
        <v>57.56629389</v>
      </c>
      <c r="AW23" s="82">
        <f t="shared" si="1"/>
        <v>2.624137213</v>
      </c>
      <c r="AX23" s="83">
        <f t="array" ref="AX23">IFERROR(DGET('SBV Import'!A:G,"SBV",{"RSC ID","Tier";B23,A23}))</f>
        <v>48.6587658</v>
      </c>
      <c r="AY23" s="82">
        <f t="shared" si="2"/>
        <v>-2.089395795</v>
      </c>
      <c r="AZ23" s="82">
        <v>4.713533008364355</v>
      </c>
      <c r="BA23" s="84">
        <v>2.0</v>
      </c>
      <c r="BB23" s="84" t="b">
        <f>IFERROR(__xludf.DUMMYFUNCTION("iferror(if(A23="""",,E23&gt;=FILTER(Constants!$F$2:$F$10,Constants!$A$2:$A$10=A23)))"),TRUE)</f>
        <v>1</v>
      </c>
    </row>
    <row r="24">
      <c r="A24" s="80" t="str">
        <f>IFERROR(__xludf.DUMMYFUNCTION("""COMPUTED_VALUE"""),"Premier")</f>
        <v>Premier</v>
      </c>
      <c r="B24" s="79" t="str">
        <f>IFERROR(__xludf.DUMMYFUNCTION("""COMPUTED_VALUE"""),"RSC007409")</f>
        <v>RSC007409</v>
      </c>
      <c r="C24" s="80" t="str">
        <f>IFERROR(__xludf.DUMMYFUNCTION("""COMPUTED_VALUE"""),"Averded")</f>
        <v>Averded</v>
      </c>
      <c r="D24" s="80" t="str">
        <f>IFERROR(__xludf.DUMMYFUNCTION("""COMPUTED_VALUE"""),"Excavators")</f>
        <v>Excavators</v>
      </c>
      <c r="E24" s="80">
        <f>IFERROR(__xludf.DUMMYFUNCTION("""COMPUTED_VALUE"""),4.0)</f>
        <v>4</v>
      </c>
      <c r="F24" s="80">
        <f>IFERROR(__xludf.DUMMYFUNCTION("""COMPUTED_VALUE"""),1.0)</f>
        <v>1</v>
      </c>
      <c r="G24" s="80">
        <f>IFERROR(__xludf.DUMMYFUNCTION("""COMPUTED_VALUE"""),3.0)</f>
        <v>3</v>
      </c>
      <c r="H24" s="81">
        <f>IFERROR(__xludf.DUMMYFUNCTION("""COMPUTED_VALUE"""),0.25)</f>
        <v>0.25</v>
      </c>
      <c r="I24" s="81">
        <f>IFERROR(__xludf.DUMMYFUNCTION("""COMPUTED_VALUE"""),0.5454545454545454)</f>
        <v>0.5454545455</v>
      </c>
      <c r="J24" s="80">
        <f>IFERROR(__xludf.DUMMYFUNCTION("""COMPUTED_VALUE"""),367.0)</f>
        <v>367</v>
      </c>
      <c r="K24" s="80">
        <f>IFERROR(__xludf.DUMMYFUNCTION("""COMPUTED_VALUE"""),1.5)</f>
        <v>1.5</v>
      </c>
      <c r="L24" s="80">
        <f>IFERROR(__xludf.DUMMYFUNCTION("""COMPUTED_VALUE"""),0.0)</f>
        <v>0</v>
      </c>
      <c r="M24" s="80">
        <f>IFERROR(__xludf.DUMMYFUNCTION("""COMPUTED_VALUE"""),0.75)</f>
        <v>0.75</v>
      </c>
      <c r="N24" s="80">
        <f>IFERROR(__xludf.DUMMYFUNCTION("""COMPUTED_VALUE"""),2.75)</f>
        <v>2.75</v>
      </c>
      <c r="O24" s="80">
        <f>IFERROR(__xludf.DUMMYFUNCTION("""COMPUTED_VALUE"""),401.91666666666663)</f>
        <v>401.9166667</v>
      </c>
      <c r="P24" s="80">
        <f>IFERROR(__xludf.DUMMYFUNCTION("""COMPUTED_VALUE"""),1.0833333333333333)</f>
        <v>1.083333333</v>
      </c>
      <c r="Q24" s="80">
        <f>IFERROR(__xludf.DUMMYFUNCTION("""COMPUTED_VALUE"""),0.75)</f>
        <v>0.75</v>
      </c>
      <c r="R24" s="80">
        <f>IFERROR(__xludf.DUMMYFUNCTION("""COMPUTED_VALUE"""),1.4166666666666667)</f>
        <v>1.416666667</v>
      </c>
      <c r="S24" s="80">
        <f>IFERROR(__xludf.DUMMYFUNCTION("""COMPUTED_VALUE"""),3.0)</f>
        <v>3</v>
      </c>
      <c r="T24" s="80">
        <f>IFERROR(__xludf.DUMMYFUNCTION("""COMPUTED_VALUE"""),385.81668045469866)</f>
        <v>385.8166805</v>
      </c>
      <c r="U24" s="80">
        <f>IFERROR(__xludf.DUMMYFUNCTION("""COMPUTED_VALUE"""),0.9464871158501088)</f>
        <v>0.9464871159</v>
      </c>
      <c r="V24" s="80">
        <f>IFERROR(__xludf.DUMMYFUNCTION("""COMPUTED_VALUE"""),0.736663909060269)</f>
        <v>0.7366639091</v>
      </c>
      <c r="W24" s="80">
        <f>IFERROR(__xludf.DUMMYFUNCTION("""COMPUTED_VALUE"""),1.328530502190765)</f>
        <v>1.328530502</v>
      </c>
      <c r="X24" s="80">
        <f>IFERROR(__xludf.DUMMYFUNCTION("""COMPUTED_VALUE"""),2.7373226705885956)</f>
        <v>2.737322671</v>
      </c>
      <c r="Y24" s="80">
        <f>IFERROR(__xludf.DUMMYFUNCTION("""COMPUTED_VALUE"""),360.3877194595091)</f>
        <v>360.3877195</v>
      </c>
      <c r="Z24" s="80">
        <f>IFERROR(__xludf.DUMMYFUNCTION("""COMPUTED_VALUE"""),0.7948494040506174)</f>
        <v>0.7948494041</v>
      </c>
      <c r="AA24" s="80">
        <f>IFERROR(__xludf.DUMMYFUNCTION("""COMPUTED_VALUE"""),0.6294160002451207)</f>
        <v>0.6294160002</v>
      </c>
      <c r="AB24" s="80">
        <f>IFERROR(__xludf.DUMMYFUNCTION("""COMPUTED_VALUE"""),1.3111320484930193)</f>
        <v>1.311132048</v>
      </c>
      <c r="AC24" s="80">
        <f>IFERROR(__xludf.DUMMYFUNCTION("""COMPUTED_VALUE"""),2.4190106321046665)</f>
        <v>2.419010632</v>
      </c>
      <c r="AD24" s="80">
        <f>IFERROR(__xludf.DUMMYFUNCTION("""COMPUTED_VALUE"""),1.0183476855160538)</f>
        <v>1.018347686</v>
      </c>
      <c r="AE24" s="80">
        <f>IFERROR(__xludf.DUMMYFUNCTION("""COMPUTED_VALUE"""),1.8871499335042305)</f>
        <v>1.887149934</v>
      </c>
      <c r="AF24" s="80">
        <f>IFERROR(__xludf.DUMMYFUNCTION("""COMPUTED_VALUE"""),0.0)</f>
        <v>0</v>
      </c>
      <c r="AG24" s="80">
        <f>IFERROR(__xludf.DUMMYFUNCTION("""COMPUTED_VALUE"""),0.5720247635331851)</f>
        <v>0.5720247635</v>
      </c>
      <c r="AH24" s="80">
        <f>IFERROR(__xludf.DUMMYFUNCTION("""COMPUTED_VALUE"""),1.1368284055896667)</f>
        <v>1.136828406</v>
      </c>
      <c r="AI24" s="80">
        <f>IFERROR(__xludf.DUMMYFUNCTION("""COMPUTED_VALUE"""),1.0417296271197853)</f>
        <v>1.041729627</v>
      </c>
      <c r="AJ24" s="80">
        <f>IFERROR(__xludf.DUMMYFUNCTION("""COMPUTED_VALUE"""),1.1445832861235654)</f>
        <v>1.144583286</v>
      </c>
      <c r="AK24" s="80">
        <f>IFERROR(__xludf.DUMMYFUNCTION("""COMPUTED_VALUE"""),1.0181033586357493)</f>
        <v>1.018103359</v>
      </c>
      <c r="AL24" s="80">
        <f>IFERROR(__xludf.DUMMYFUNCTION("""COMPUTED_VALUE"""),1.0663410921545)</f>
        <v>1.066341092</v>
      </c>
      <c r="AM24" s="80">
        <f>IFERROR(__xludf.DUMMYFUNCTION("""COMPUTED_VALUE"""),1.0959614050012314)</f>
        <v>1.095961405</v>
      </c>
      <c r="AN24" s="80">
        <f>IFERROR(__xludf.DUMMYFUNCTION("""COMPUTED_VALUE"""),1.0057005173788318)</f>
        <v>1.005700517</v>
      </c>
      <c r="AO24" s="80">
        <f>IFERROR(__xludf.DUMMYFUNCTION("""COMPUTED_VALUE"""),1.8944195861101982)</f>
        <v>1.894419586</v>
      </c>
      <c r="AP24" s="80">
        <f>IFERROR(__xludf.DUMMYFUNCTION("""COMPUTED_VALUE"""),0.0)</f>
        <v>0</v>
      </c>
      <c r="AQ24" s="80">
        <f>IFERROR(__xludf.DUMMYFUNCTION("""COMPUTED_VALUE"""),0.5214038552830063)</f>
        <v>0.5214038553</v>
      </c>
      <c r="AR24" s="80">
        <f>IFERROR(__xludf.DUMMYFUNCTION("""COMPUTED_VALUE"""),1.0369305185346152)</f>
        <v>1.036930519</v>
      </c>
      <c r="AS24" s="80">
        <f>IFERROR(__xludf.DUMMYFUNCTION("""COMPUTED_VALUE"""),13.0)</f>
        <v>13</v>
      </c>
      <c r="AT24" s="80">
        <f>IFERROR(__xludf.DUMMYFUNCTION("""COMPUTED_VALUE"""),0.5)</f>
        <v>0.5</v>
      </c>
      <c r="AU24" s="80">
        <f>IFERROR(__xludf.DUMMYFUNCTION("""COMPUTED_VALUE"""),2.5500731825678855)</f>
        <v>2.550073183</v>
      </c>
      <c r="AV24" s="80">
        <f>IFERROR(__xludf.DUMMYFUNCTION("""COMPUTED_VALUE"""),54.59297516570883)</f>
        <v>54.59297517</v>
      </c>
      <c r="AW24" s="82">
        <f t="shared" si="1"/>
        <v>2.341279134</v>
      </c>
      <c r="AX24" s="83">
        <f t="array" ref="AX24">IFERROR(DGET('SBV Import'!A:G,"SBV",{"RSC ID","Tier";B24,A24}))</f>
        <v>35.2810584</v>
      </c>
      <c r="AY24" s="82">
        <f t="shared" si="2"/>
        <v>-3.596968011</v>
      </c>
      <c r="AZ24" s="82">
        <v>5.938247144580555</v>
      </c>
      <c r="BA24" s="84">
        <v>2.0</v>
      </c>
      <c r="BB24" s="84" t="b">
        <f>IFERROR(__xludf.DUMMYFUNCTION("iferror(if(A24="""",,E24&gt;=FILTER(Constants!$F$2:$F$10,Constants!$A$2:$A$10=A24)))"),TRUE)</f>
        <v>1</v>
      </c>
    </row>
    <row r="25">
      <c r="A25" s="80" t="str">
        <f>IFERROR(__xludf.DUMMYFUNCTION("""COMPUTED_VALUE"""),"Premier")</f>
        <v>Premier</v>
      </c>
      <c r="B25" s="79" t="str">
        <f>IFERROR(__xludf.DUMMYFUNCTION("""COMPUTED_VALUE"""),"RSC001177")</f>
        <v>RSC001177</v>
      </c>
      <c r="C25" s="80" t="str">
        <f>IFERROR(__xludf.DUMMYFUNCTION("""COMPUTED_VALUE"""),"Calster")</f>
        <v>Calster</v>
      </c>
      <c r="D25" s="80" t="str">
        <f>IFERROR(__xludf.DUMMYFUNCTION("""COMPUTED_VALUE"""),"Crooked Capos")</f>
        <v>Crooked Capos</v>
      </c>
      <c r="E25" s="80">
        <f>IFERROR(__xludf.DUMMYFUNCTION("""COMPUTED_VALUE"""),24.0)</f>
        <v>24</v>
      </c>
      <c r="F25" s="80">
        <f>IFERROR(__xludf.DUMMYFUNCTION("""COMPUTED_VALUE"""),12.0)</f>
        <v>12</v>
      </c>
      <c r="G25" s="80">
        <f>IFERROR(__xludf.DUMMYFUNCTION("""COMPUTED_VALUE"""),12.0)</f>
        <v>12</v>
      </c>
      <c r="H25" s="81">
        <f>IFERROR(__xludf.DUMMYFUNCTION("""COMPUTED_VALUE"""),0.5)</f>
        <v>0.5</v>
      </c>
      <c r="I25" s="81">
        <f>IFERROR(__xludf.DUMMYFUNCTION("""COMPUTED_VALUE"""),0.27999999999999997)</f>
        <v>0.28</v>
      </c>
      <c r="J25" s="80">
        <f>IFERROR(__xludf.DUMMYFUNCTION("""COMPUTED_VALUE"""),349.4583333333333)</f>
        <v>349.4583333</v>
      </c>
      <c r="K25" s="80">
        <f>IFERROR(__xludf.DUMMYFUNCTION("""COMPUTED_VALUE"""),0.5833333333333334)</f>
        <v>0.5833333333</v>
      </c>
      <c r="L25" s="80">
        <f>IFERROR(__xludf.DUMMYFUNCTION("""COMPUTED_VALUE"""),1.0)</f>
        <v>1</v>
      </c>
      <c r="M25" s="80">
        <f>IFERROR(__xludf.DUMMYFUNCTION("""COMPUTED_VALUE"""),1.25)</f>
        <v>1.25</v>
      </c>
      <c r="N25" s="80">
        <f>IFERROR(__xludf.DUMMYFUNCTION("""COMPUTED_VALUE"""),2.0833333333333335)</f>
        <v>2.083333333</v>
      </c>
      <c r="O25" s="80">
        <f>IFERROR(__xludf.DUMMYFUNCTION("""COMPUTED_VALUE"""),369.05555555555566)</f>
        <v>369.0555556</v>
      </c>
      <c r="P25" s="80">
        <f>IFERROR(__xludf.DUMMYFUNCTION("""COMPUTED_VALUE"""),0.8194444444444445)</f>
        <v>0.8194444444</v>
      </c>
      <c r="Q25" s="80">
        <f>IFERROR(__xludf.DUMMYFUNCTION("""COMPUTED_VALUE"""),0.6666666666666666)</f>
        <v>0.6666666667</v>
      </c>
      <c r="R25" s="80">
        <f>IFERROR(__xludf.DUMMYFUNCTION("""COMPUTED_VALUE"""),1.3333333333333333)</f>
        <v>1.333333333</v>
      </c>
      <c r="S25" s="80">
        <f>IFERROR(__xludf.DUMMYFUNCTION("""COMPUTED_VALUE"""),2.722222222222222)</f>
        <v>2.722222222</v>
      </c>
      <c r="T25" s="80">
        <f>IFERROR(__xludf.DUMMYFUNCTION("""COMPUTED_VALUE"""),373.1648724057737)</f>
        <v>373.1648724</v>
      </c>
      <c r="U25" s="80">
        <f>IFERROR(__xludf.DUMMYFUNCTION("""COMPUTED_VALUE"""),0.8245627286100325)</f>
        <v>0.8245627286</v>
      </c>
      <c r="V25" s="80">
        <f>IFERROR(__xludf.DUMMYFUNCTION("""COMPUTED_VALUE"""),0.6385233520946839)</f>
        <v>0.6385233521</v>
      </c>
      <c r="W25" s="80">
        <f>IFERROR(__xludf.DUMMYFUNCTION("""COMPUTED_VALUE"""),1.422867656765443)</f>
        <v>1.422867657</v>
      </c>
      <c r="X25" s="80">
        <f>IFERROR(__xludf.DUMMYFUNCTION("""COMPUTED_VALUE"""),2.7218994765379576)</f>
        <v>2.721899477</v>
      </c>
      <c r="Y25" s="80">
        <f>IFERROR(__xludf.DUMMYFUNCTION("""COMPUTED_VALUE"""),362.33796105745677)</f>
        <v>362.3379611</v>
      </c>
      <c r="Z25" s="80">
        <f>IFERROR(__xludf.DUMMYFUNCTION("""COMPUTED_VALUE"""),0.7908695510393451)</f>
        <v>0.790869551</v>
      </c>
      <c r="AA25" s="80">
        <f>IFERROR(__xludf.DUMMYFUNCTION("""COMPUTED_VALUE"""),0.6062759197109231)</f>
        <v>0.6062759197</v>
      </c>
      <c r="AB25" s="80">
        <f>IFERROR(__xludf.DUMMYFUNCTION("""COMPUTED_VALUE"""),1.4059838517552772)</f>
        <v>1.405983852</v>
      </c>
      <c r="AC25" s="80">
        <f>IFERROR(__xludf.DUMMYFUNCTION("""COMPUTED_VALUE"""),2.671985380285872)</f>
        <v>2.67198538</v>
      </c>
      <c r="AD25" s="80">
        <f>IFERROR(__xludf.DUMMYFUNCTION("""COMPUTED_VALUE"""),0.9644541033279118)</f>
        <v>0.9644541033</v>
      </c>
      <c r="AE25" s="80">
        <f>IFERROR(__xludf.DUMMYFUNCTION("""COMPUTED_VALUE"""),0.7375847667503803)</f>
        <v>0.7375847668</v>
      </c>
      <c r="AF25" s="80">
        <f>IFERROR(__xludf.DUMMYFUNCTION("""COMPUTED_VALUE"""),1.6494140167678233)</f>
        <v>1.649414017</v>
      </c>
      <c r="AG25" s="80">
        <f>IFERROR(__xludf.DUMMYFUNCTION("""COMPUTED_VALUE"""),0.889057152711575)</f>
        <v>0.8890571527</v>
      </c>
      <c r="AH25" s="80">
        <f>IFERROR(__xludf.DUMMYFUNCTION("""COMPUTED_VALUE"""),0.7796948848239733)</f>
        <v>0.7796948848</v>
      </c>
      <c r="AI25" s="80">
        <f>IFERROR(__xludf.DUMMYFUNCTION("""COMPUTED_VALUE"""),0.9889879322677789)</f>
        <v>0.9889879323</v>
      </c>
      <c r="AJ25" s="80">
        <f>IFERROR(__xludf.DUMMYFUNCTION("""COMPUTED_VALUE"""),0.993792729178754)</f>
        <v>0.9937927292</v>
      </c>
      <c r="AK25" s="80">
        <f>IFERROR(__xludf.DUMMYFUNCTION("""COMPUTED_VALUE"""),1.0440756230444168)</f>
        <v>1.044075623</v>
      </c>
      <c r="AL25" s="80">
        <f>IFERROR(__xludf.DUMMYFUNCTION("""COMPUTED_VALUE"""),0.9370747356534583)</f>
        <v>0.9370747357</v>
      </c>
      <c r="AM25" s="80">
        <f>IFERROR(__xludf.DUMMYFUNCTION("""COMPUTED_VALUE"""),1.0001185736971723)</f>
        <v>1.000118574</v>
      </c>
      <c r="AN25" s="80">
        <f>IFERROR(__xludf.DUMMYFUNCTION("""COMPUTED_VALUE"""),0.9576305902879497)</f>
        <v>0.9576305903</v>
      </c>
      <c r="AO25" s="80">
        <f>IFERROR(__xludf.DUMMYFUNCTION("""COMPUTED_VALUE"""),0.7367187279317438)</f>
        <v>0.7367187279</v>
      </c>
      <c r="AP25" s="80">
        <f>IFERROR(__xludf.DUMMYFUNCTION("""COMPUTED_VALUE"""),1.6798769750819809)</f>
        <v>1.679876975</v>
      </c>
      <c r="AQ25" s="80">
        <f>IFERROR(__xludf.DUMMYFUNCTION("""COMPUTED_VALUE"""),0.8690064254716772)</f>
        <v>0.8690064255</v>
      </c>
      <c r="AR25" s="80">
        <f>IFERROR(__xludf.DUMMYFUNCTION("""COMPUTED_VALUE"""),0.7855534231322844)</f>
        <v>0.7855534231</v>
      </c>
      <c r="AS25" s="80">
        <f>IFERROR(__xludf.DUMMYFUNCTION("""COMPUTED_VALUE"""),68.0)</f>
        <v>68</v>
      </c>
      <c r="AT25" s="80">
        <f>IFERROR(__xludf.DUMMYFUNCTION("""COMPUTED_VALUE"""),0.5570054038857694)</f>
        <v>0.5570054039</v>
      </c>
      <c r="AU25" s="80">
        <f>IFERROR(__xludf.DUMMYFUNCTION("""COMPUTED_VALUE"""),2.525981128047756)</f>
        <v>2.525981128</v>
      </c>
      <c r="AV25" s="80">
        <f>IFERROR(__xludf.DUMMYFUNCTION("""COMPUTED_VALUE"""),53.864915206541006)</f>
        <v>53.86491521</v>
      </c>
      <c r="AW25" s="82">
        <f t="shared" si="1"/>
        <v>2.280139425</v>
      </c>
      <c r="AX25" s="83">
        <f t="array" ref="AX25">IFERROR(DGET('SBV Import'!A:G,"SBV",{"RSC ID","Tier";B25,A25}))</f>
        <v>42.55142991</v>
      </c>
      <c r="AY25" s="82">
        <f t="shared" si="2"/>
        <v>-2.611829331</v>
      </c>
      <c r="AZ25" s="82">
        <v>4.891968756535588</v>
      </c>
      <c r="BA25" s="84">
        <v>2.0</v>
      </c>
      <c r="BB25" s="84" t="b">
        <f>IFERROR(__xludf.DUMMYFUNCTION("iferror(if(A25="""",,E25&gt;=FILTER(Constants!$F$2:$F$10,Constants!$A$2:$A$10=A25)))"),TRUE)</f>
        <v>1</v>
      </c>
    </row>
    <row r="26">
      <c r="A26" s="80" t="str">
        <f>IFERROR(__xludf.DUMMYFUNCTION("""COMPUTED_VALUE"""),"Premier")</f>
        <v>Premier</v>
      </c>
      <c r="B26" s="79" t="str">
        <f>IFERROR(__xludf.DUMMYFUNCTION("""COMPUTED_VALUE"""),"RSC007845")</f>
        <v>RSC007845</v>
      </c>
      <c r="C26" s="80" t="str">
        <f>IFERROR(__xludf.DUMMYFUNCTION("""COMPUTED_VALUE"""),"Enchanted")</f>
        <v>Enchanted</v>
      </c>
      <c r="D26" s="80" t="str">
        <f>IFERROR(__xludf.DUMMYFUNCTION("""COMPUTED_VALUE"""),"Old Heads")</f>
        <v>Old Heads</v>
      </c>
      <c r="E26" s="80">
        <f>IFERROR(__xludf.DUMMYFUNCTION("""COMPUTED_VALUE"""),48.0)</f>
        <v>48</v>
      </c>
      <c r="F26" s="80">
        <f>IFERROR(__xludf.DUMMYFUNCTION("""COMPUTED_VALUE"""),27.0)</f>
        <v>27</v>
      </c>
      <c r="G26" s="80">
        <f>IFERROR(__xludf.DUMMYFUNCTION("""COMPUTED_VALUE"""),21.0)</f>
        <v>21</v>
      </c>
      <c r="H26" s="81">
        <f>IFERROR(__xludf.DUMMYFUNCTION("""COMPUTED_VALUE"""),0.5625)</f>
        <v>0.5625</v>
      </c>
      <c r="I26" s="81">
        <f>IFERROR(__xludf.DUMMYFUNCTION("""COMPUTED_VALUE"""),0.29838709677419356)</f>
        <v>0.2983870968</v>
      </c>
      <c r="J26" s="80">
        <f>IFERROR(__xludf.DUMMYFUNCTION("""COMPUTED_VALUE"""),390.0833333333333)</f>
        <v>390.0833333</v>
      </c>
      <c r="K26" s="80">
        <f>IFERROR(__xludf.DUMMYFUNCTION("""COMPUTED_VALUE"""),0.7708333333333334)</f>
        <v>0.7708333333</v>
      </c>
      <c r="L26" s="80">
        <f>IFERROR(__xludf.DUMMYFUNCTION("""COMPUTED_VALUE"""),0.625)</f>
        <v>0.625</v>
      </c>
      <c r="M26" s="80">
        <f>IFERROR(__xludf.DUMMYFUNCTION("""COMPUTED_VALUE"""),1.5833333333333333)</f>
        <v>1.583333333</v>
      </c>
      <c r="N26" s="80">
        <f>IFERROR(__xludf.DUMMYFUNCTION("""COMPUTED_VALUE"""),2.5833333333333335)</f>
        <v>2.583333333</v>
      </c>
      <c r="O26" s="80">
        <f>IFERROR(__xludf.DUMMYFUNCTION("""COMPUTED_VALUE"""),374.06249999999994)</f>
        <v>374.0625</v>
      </c>
      <c r="P26" s="80">
        <f>IFERROR(__xludf.DUMMYFUNCTION("""COMPUTED_VALUE"""),0.8194444444444445)</f>
        <v>0.8194444444</v>
      </c>
      <c r="Q26" s="80">
        <f>IFERROR(__xludf.DUMMYFUNCTION("""COMPUTED_VALUE"""),0.625)</f>
        <v>0.625</v>
      </c>
      <c r="R26" s="80">
        <f>IFERROR(__xludf.DUMMYFUNCTION("""COMPUTED_VALUE"""),1.4861111111111114)</f>
        <v>1.486111111</v>
      </c>
      <c r="S26" s="80">
        <f>IFERROR(__xludf.DUMMYFUNCTION("""COMPUTED_VALUE"""),2.715277777777778)</f>
        <v>2.715277778</v>
      </c>
      <c r="T26" s="80">
        <f>IFERROR(__xludf.DUMMYFUNCTION("""COMPUTED_VALUE"""),374.87165729223625)</f>
        <v>374.8716573</v>
      </c>
      <c r="U26" s="80">
        <f>IFERROR(__xludf.DUMMYFUNCTION("""COMPUTED_VALUE"""),0.8389284147397285)</f>
        <v>0.8389284147</v>
      </c>
      <c r="V26" s="80">
        <f>IFERROR(__xludf.DUMMYFUNCTION("""COMPUTED_VALUE"""),0.6366349816920817)</f>
        <v>0.6366349817</v>
      </c>
      <c r="W26" s="80">
        <f>IFERROR(__xludf.DUMMYFUNCTION("""COMPUTED_VALUE"""),1.4122157134492526)</f>
        <v>1.412215713</v>
      </c>
      <c r="X26" s="80">
        <f>IFERROR(__xludf.DUMMYFUNCTION("""COMPUTED_VALUE"""),2.7609607634297677)</f>
        <v>2.760960763</v>
      </c>
      <c r="Y26" s="80">
        <f>IFERROR(__xludf.DUMMYFUNCTION("""COMPUTED_VALUE"""),372.7887169628127)</f>
        <v>372.788717</v>
      </c>
      <c r="Z26" s="80">
        <f>IFERROR(__xludf.DUMMYFUNCTION("""COMPUTED_VALUE"""),0.8188858637526609)</f>
        <v>0.8188858638</v>
      </c>
      <c r="AA26" s="80">
        <f>IFERROR(__xludf.DUMMYFUNCTION("""COMPUTED_VALUE"""),0.6228447355153282)</f>
        <v>0.6228447355</v>
      </c>
      <c r="AB26" s="80">
        <f>IFERROR(__xludf.DUMMYFUNCTION("""COMPUTED_VALUE"""),1.4442282642871447)</f>
        <v>1.444228264</v>
      </c>
      <c r="AC26" s="80">
        <f>IFERROR(__xludf.DUMMYFUNCTION("""COMPUTED_VALUE"""),2.709712542986004)</f>
        <v>2.709712543</v>
      </c>
      <c r="AD26" s="80">
        <f>IFERROR(__xludf.DUMMYFUNCTION("""COMPUTED_VALUE"""),1.0463925424337504)</f>
        <v>1.046392542</v>
      </c>
      <c r="AE26" s="80">
        <f>IFERROR(__xludf.DUMMYFUNCTION("""COMPUTED_VALUE"""),0.9413196239594124)</f>
        <v>0.941319624</v>
      </c>
      <c r="AF26" s="80">
        <f>IFERROR(__xludf.DUMMYFUNCTION("""COMPUTED_VALUE"""),1.0034603559471185)</f>
        <v>1.003460356</v>
      </c>
      <c r="AG26" s="80">
        <f>IFERROR(__xludf.DUMMYFUNCTION("""COMPUTED_VALUE"""),1.0963179245871146)</f>
        <v>1.096317925</v>
      </c>
      <c r="AH26" s="80">
        <f>IFERROR(__xludf.DUMMYFUNCTION("""COMPUTED_VALUE"""),0.9533606581333512)</f>
        <v>0.9533606581</v>
      </c>
      <c r="AI26" s="80">
        <f>IFERROR(__xludf.DUMMYFUNCTION("""COMPUTED_VALUE"""),0.9978415084829806)</f>
        <v>0.9978415085</v>
      </c>
      <c r="AJ26" s="80">
        <f>IFERROR(__xludf.DUMMYFUNCTION("""COMPUTED_VALUE"""),0.9767751694269067)</f>
        <v>0.9767751694</v>
      </c>
      <c r="AK26" s="80">
        <f>IFERROR(__xludf.DUMMYFUNCTION("""COMPUTED_VALUE"""),0.9817242501171431)</f>
        <v>0.9817242501</v>
      </c>
      <c r="AL26" s="80">
        <f>IFERROR(__xludf.DUMMYFUNCTION("""COMPUTED_VALUE"""),1.0523258571322462)</f>
        <v>1.052325857</v>
      </c>
      <c r="AM26" s="80">
        <f>IFERROR(__xludf.DUMMYFUNCTION("""COMPUTED_VALUE"""),0.9834539533277392)</f>
        <v>0.9834539533</v>
      </c>
      <c r="AN26" s="80">
        <f>IFERROR(__xludf.DUMMYFUNCTION("""COMPUTED_VALUE"""),1.0689564309378545)</f>
        <v>1.068956431</v>
      </c>
      <c r="AO26" s="80">
        <f>IFERROR(__xludf.DUMMYFUNCTION("""COMPUTED_VALUE"""),0.9735211761955186)</f>
        <v>0.9735211762</v>
      </c>
      <c r="AP26" s="80">
        <f>IFERROR(__xludf.DUMMYFUNCTION("""COMPUTED_VALUE"""),1.049923109426238)</f>
        <v>1.049923109</v>
      </c>
      <c r="AQ26" s="80">
        <f>IFERROR(__xludf.DUMMYFUNCTION("""COMPUTED_VALUE"""),1.1007414722641244)</f>
        <v>1.100741472</v>
      </c>
      <c r="AR26" s="80">
        <f>IFERROR(__xludf.DUMMYFUNCTION("""COMPUTED_VALUE"""),0.9740862446840326)</f>
        <v>0.9740862447</v>
      </c>
      <c r="AS26" s="80">
        <f>IFERROR(__xludf.DUMMYFUNCTION("""COMPUTED_VALUE"""),126.0)</f>
        <v>126</v>
      </c>
      <c r="AT26" s="80">
        <f>IFERROR(__xludf.DUMMYFUNCTION("""COMPUTED_VALUE"""),0.5261273128952229)</f>
        <v>0.5261273129</v>
      </c>
      <c r="AU26" s="80">
        <f>IFERROR(__xludf.DUMMYFUNCTION("""COMPUTED_VALUE"""),2.525559132416937)</f>
        <v>2.525559132</v>
      </c>
      <c r="AV26" s="80">
        <f>IFERROR(__xludf.DUMMYFUNCTION("""COMPUTED_VALUE"""),53.85216253235597)</f>
        <v>53.85216253</v>
      </c>
      <c r="AW26" s="82">
        <f t="shared" si="1"/>
        <v>2.279094411</v>
      </c>
      <c r="AX26" s="83">
        <f t="array" ref="AX26">IFERROR(DGET('SBV Import'!A:G,"SBV",{"RSC ID","Tier";B26,A26}))</f>
        <v>49.76396747</v>
      </c>
      <c r="AY26" s="82">
        <f t="shared" si="2"/>
        <v>-2.015180265</v>
      </c>
      <c r="AZ26" s="82">
        <v>4.2942746764464275</v>
      </c>
      <c r="BA26" s="84">
        <v>2.0</v>
      </c>
      <c r="BB26" s="84" t="b">
        <f>IFERROR(__xludf.DUMMYFUNCTION("iferror(if(A26="""",,E26&gt;=FILTER(Constants!$F$2:$F$10,Constants!$A$2:$A$10=A26)))"),TRUE)</f>
        <v>1</v>
      </c>
    </row>
    <row r="27">
      <c r="A27" s="80" t="str">
        <f>IFERROR(__xludf.DUMMYFUNCTION("""COMPUTED_VALUE"""),"Premier")</f>
        <v>Premier</v>
      </c>
      <c r="B27" s="79" t="str">
        <f>IFERROR(__xludf.DUMMYFUNCTION("""COMPUTED_VALUE"""),"RSC007569")</f>
        <v>RSC007569</v>
      </c>
      <c r="C27" s="80" t="str">
        <f>IFERROR(__xludf.DUMMYFUNCTION("""COMPUTED_VALUE"""),"newo")</f>
        <v>newo</v>
      </c>
      <c r="D27" s="80" t="str">
        <f>IFERROR(__xludf.DUMMYFUNCTION("""COMPUTED_VALUE"""),"Gummy Bears")</f>
        <v>Gummy Bears</v>
      </c>
      <c r="E27" s="80">
        <f>IFERROR(__xludf.DUMMYFUNCTION("""COMPUTED_VALUE"""),37.0)</f>
        <v>37</v>
      </c>
      <c r="F27" s="80">
        <f>IFERROR(__xludf.DUMMYFUNCTION("""COMPUTED_VALUE"""),23.0)</f>
        <v>23</v>
      </c>
      <c r="G27" s="80">
        <f>IFERROR(__xludf.DUMMYFUNCTION("""COMPUTED_VALUE"""),14.0)</f>
        <v>14</v>
      </c>
      <c r="H27" s="81">
        <f>IFERROR(__xludf.DUMMYFUNCTION("""COMPUTED_VALUE"""),0.6216216216216216)</f>
        <v>0.6216216216</v>
      </c>
      <c r="I27" s="81">
        <f>IFERROR(__xludf.DUMMYFUNCTION("""COMPUTED_VALUE"""),0.3924050632911392)</f>
        <v>0.3924050633</v>
      </c>
      <c r="J27" s="80">
        <f>IFERROR(__xludf.DUMMYFUNCTION("""COMPUTED_VALUE"""),351.4054054054054)</f>
        <v>351.4054054</v>
      </c>
      <c r="K27" s="80">
        <f>IFERROR(__xludf.DUMMYFUNCTION("""COMPUTED_VALUE"""),0.8378378378378378)</f>
        <v>0.8378378378</v>
      </c>
      <c r="L27" s="80">
        <f>IFERROR(__xludf.DUMMYFUNCTION("""COMPUTED_VALUE"""),0.6756756756756757)</f>
        <v>0.6756756757</v>
      </c>
      <c r="M27" s="80">
        <f>IFERROR(__xludf.DUMMYFUNCTION("""COMPUTED_VALUE"""),1.2972972972972974)</f>
        <v>1.297297297</v>
      </c>
      <c r="N27" s="80">
        <f>IFERROR(__xludf.DUMMYFUNCTION("""COMPUTED_VALUE"""),2.135135135135135)</f>
        <v>2.135135135</v>
      </c>
      <c r="O27" s="80">
        <f>IFERROR(__xludf.DUMMYFUNCTION("""COMPUTED_VALUE"""),329.3063063063063)</f>
        <v>329.3063063</v>
      </c>
      <c r="P27" s="80">
        <f>IFERROR(__xludf.DUMMYFUNCTION("""COMPUTED_VALUE"""),0.6936936936936936)</f>
        <v>0.6936936937</v>
      </c>
      <c r="Q27" s="80">
        <f>IFERROR(__xludf.DUMMYFUNCTION("""COMPUTED_VALUE"""),0.5315315315315315)</f>
        <v>0.5315315315</v>
      </c>
      <c r="R27" s="80">
        <f>IFERROR(__xludf.DUMMYFUNCTION("""COMPUTED_VALUE"""),1.243243243243243)</f>
        <v>1.243243243</v>
      </c>
      <c r="S27" s="80">
        <f>IFERROR(__xludf.DUMMYFUNCTION("""COMPUTED_VALUE"""),2.6306306306306317)</f>
        <v>2.630630631</v>
      </c>
      <c r="T27" s="80">
        <f>IFERROR(__xludf.DUMMYFUNCTION("""COMPUTED_VALUE"""),363.468593266388)</f>
        <v>363.4685933</v>
      </c>
      <c r="U27" s="80">
        <f>IFERROR(__xludf.DUMMYFUNCTION("""COMPUTED_VALUE"""),0.7827594188662751)</f>
        <v>0.7827594189</v>
      </c>
      <c r="V27" s="80">
        <f>IFERROR(__xludf.DUMMYFUNCTION("""COMPUTED_VALUE"""),0.6726412461319848)</f>
        <v>0.6726412461</v>
      </c>
      <c r="W27" s="80">
        <f>IFERROR(__xludf.DUMMYFUNCTION("""COMPUTED_VALUE"""),1.3797395697897494)</f>
        <v>1.37973957</v>
      </c>
      <c r="X27" s="80">
        <f>IFERROR(__xludf.DUMMYFUNCTION("""COMPUTED_VALUE"""),2.6975505130185877)</f>
        <v>2.697550513</v>
      </c>
      <c r="Y27" s="80">
        <f>IFERROR(__xludf.DUMMYFUNCTION("""COMPUTED_VALUE"""),376.9619967760393)</f>
        <v>376.9619968</v>
      </c>
      <c r="Z27" s="80">
        <f>IFERROR(__xludf.DUMMYFUNCTION("""COMPUTED_VALUE"""),0.8343348142269787)</f>
        <v>0.8343348142</v>
      </c>
      <c r="AA27" s="80">
        <f>IFERROR(__xludf.DUMMYFUNCTION("""COMPUTED_VALUE"""),0.6589354211226724)</f>
        <v>0.6589354211</v>
      </c>
      <c r="AB27" s="80">
        <f>IFERROR(__xludf.DUMMYFUNCTION("""COMPUTED_VALUE"""),1.4536913376153529)</f>
        <v>1.453691338</v>
      </c>
      <c r="AC27" s="80">
        <f>IFERROR(__xludf.DUMMYFUNCTION("""COMPUTED_VALUE"""),2.7275996754268923)</f>
        <v>2.727599675</v>
      </c>
      <c r="AD27" s="80">
        <f>IFERROR(__xludf.DUMMYFUNCTION("""COMPUTED_VALUE"""),0.9322037988200238)</f>
        <v>0.9322037988</v>
      </c>
      <c r="AE27" s="80">
        <f>IFERROR(__xludf.DUMMYFUNCTION("""COMPUTED_VALUE"""),1.0041985825727584)</f>
        <v>1.004198583</v>
      </c>
      <c r="AF27" s="80">
        <f>IFERROR(__xludf.DUMMYFUNCTION("""COMPUTED_VALUE"""),1.0254050002722297)</f>
        <v>1.025405</v>
      </c>
      <c r="AG27" s="80">
        <f>IFERROR(__xludf.DUMMYFUNCTION("""COMPUTED_VALUE"""),0.8924159233316987)</f>
        <v>0.8924159233</v>
      </c>
      <c r="AH27" s="80">
        <f>IFERROR(__xludf.DUMMYFUNCTION("""COMPUTED_VALUE"""),0.782789041357753)</f>
        <v>0.7827890414</v>
      </c>
      <c r="AI27" s="80">
        <f>IFERROR(__xludf.DUMMYFUNCTION("""COMPUTED_VALUE"""),0.9060103469929134)</f>
        <v>0.906010347</v>
      </c>
      <c r="AJ27" s="80">
        <f>IFERROR(__xludf.DUMMYFUNCTION("""COMPUTED_VALUE"""),0.8862157094173564)</f>
        <v>0.8862157094</v>
      </c>
      <c r="AK27" s="80">
        <f>IFERROR(__xludf.DUMMYFUNCTION("""COMPUTED_VALUE"""),0.7902154894426963)</f>
        <v>0.7902154894</v>
      </c>
      <c r="AL27" s="80">
        <f>IFERROR(__xludf.DUMMYFUNCTION("""COMPUTED_VALUE"""),0.9010709487970209)</f>
        <v>0.9010709488</v>
      </c>
      <c r="AM27" s="80">
        <f>IFERROR(__xludf.DUMMYFUNCTION("""COMPUTED_VALUE"""),0.9751923524453034)</f>
        <v>0.9751923524</v>
      </c>
      <c r="AN27" s="80">
        <f>IFERROR(__xludf.DUMMYFUNCTION("""COMPUTED_VALUE"""),0.9629662071551345)</f>
        <v>0.9629662072</v>
      </c>
      <c r="AO27" s="80">
        <f>IFERROR(__xludf.DUMMYFUNCTION("""COMPUTED_VALUE"""),1.0581442733228135)</f>
        <v>1.058144273</v>
      </c>
      <c r="AP27" s="80">
        <f>IFERROR(__xludf.DUMMYFUNCTION("""COMPUTED_VALUE"""),1.1350520101905275)</f>
        <v>1.13505201</v>
      </c>
      <c r="AQ27" s="80">
        <f>IFERROR(__xludf.DUMMYFUNCTION("""COMPUTED_VALUE"""),0.9018877496787137)</f>
        <v>0.9018877497</v>
      </c>
      <c r="AR27" s="80">
        <f>IFERROR(__xludf.DUMMYFUNCTION("""COMPUTED_VALUE"""),0.8050861028426005)</f>
        <v>0.8050861028</v>
      </c>
      <c r="AS27" s="80">
        <f>IFERROR(__xludf.DUMMYFUNCTION("""COMPUTED_VALUE"""),96.0)</f>
        <v>96</v>
      </c>
      <c r="AT27" s="80">
        <f>IFERROR(__xludf.DUMMYFUNCTION("""COMPUTED_VALUE"""),0.5850042606917397)</f>
        <v>0.5850042607</v>
      </c>
      <c r="AU27" s="80">
        <f>IFERROR(__xludf.DUMMYFUNCTION("""COMPUTED_VALUE"""),2.5027516117523496)</f>
        <v>2.502751612</v>
      </c>
      <c r="AV27" s="80">
        <f>IFERROR(__xludf.DUMMYFUNCTION("""COMPUTED_VALUE"""),53.16292108348307)</f>
        <v>53.16292108</v>
      </c>
      <c r="AW27" s="82">
        <f t="shared" si="1"/>
        <v>2.223895538</v>
      </c>
      <c r="AX27" s="83">
        <f t="array" ref="AX27">IFERROR(DGET('SBV Import'!A:G,"SBV",{"RSC ID","Tier";B27,A27}))</f>
        <v>43.54191869</v>
      </c>
      <c r="AY27" s="82">
        <f t="shared" si="2"/>
        <v>-2.512065948</v>
      </c>
      <c r="AZ27" s="82">
        <v>4.735961485991194</v>
      </c>
      <c r="BA27" s="84">
        <v>2.0</v>
      </c>
      <c r="BB27" s="84" t="b">
        <f>IFERROR(__xludf.DUMMYFUNCTION("iferror(if(A27="""",,E27&gt;=FILTER(Constants!$F$2:$F$10,Constants!$A$2:$A$10=A27)))"),TRUE)</f>
        <v>1</v>
      </c>
    </row>
    <row r="28">
      <c r="A28" s="80" t="str">
        <f>IFERROR(__xludf.DUMMYFUNCTION("""COMPUTED_VALUE"""),"Premier")</f>
        <v>Premier</v>
      </c>
      <c r="B28" s="79" t="str">
        <f>IFERROR(__xludf.DUMMYFUNCTION("""COMPUTED_VALUE"""),"RSC005917")</f>
        <v>RSC005917</v>
      </c>
      <c r="C28" s="80" t="str">
        <f>IFERROR(__xludf.DUMMYFUNCTION("""COMPUTED_VALUE"""),"GAVALANCHE")</f>
        <v>GAVALANCHE</v>
      </c>
      <c r="D28" s="80" t="str">
        <f>IFERROR(__xludf.DUMMYFUNCTION("""COMPUTED_VALUE"""),"Crooked Capos")</f>
        <v>Crooked Capos</v>
      </c>
      <c r="E28" s="80">
        <f>IFERROR(__xludf.DUMMYFUNCTION("""COMPUTED_VALUE"""),44.0)</f>
        <v>44</v>
      </c>
      <c r="F28" s="80">
        <f>IFERROR(__xludf.DUMMYFUNCTION("""COMPUTED_VALUE"""),20.0)</f>
        <v>20</v>
      </c>
      <c r="G28" s="80">
        <f>IFERROR(__xludf.DUMMYFUNCTION("""COMPUTED_VALUE"""),24.0)</f>
        <v>24</v>
      </c>
      <c r="H28" s="81">
        <f>IFERROR(__xludf.DUMMYFUNCTION("""COMPUTED_VALUE"""),0.45454545454545453)</f>
        <v>0.4545454545</v>
      </c>
      <c r="I28" s="81">
        <f>IFERROR(__xludf.DUMMYFUNCTION("""COMPUTED_VALUE"""),0.33333333333333337)</f>
        <v>0.3333333333</v>
      </c>
      <c r="J28" s="80">
        <f>IFERROR(__xludf.DUMMYFUNCTION("""COMPUTED_VALUE"""),367.25)</f>
        <v>367.25</v>
      </c>
      <c r="K28" s="80">
        <f>IFERROR(__xludf.DUMMYFUNCTION("""COMPUTED_VALUE"""),0.8636363636363636)</f>
        <v>0.8636363636</v>
      </c>
      <c r="L28" s="80">
        <f>IFERROR(__xludf.DUMMYFUNCTION("""COMPUTED_VALUE"""),0.6590909090909091)</f>
        <v>0.6590909091</v>
      </c>
      <c r="M28" s="80">
        <f>IFERROR(__xludf.DUMMYFUNCTION("""COMPUTED_VALUE"""),1.4545454545454546)</f>
        <v>1.454545455</v>
      </c>
      <c r="N28" s="80">
        <f>IFERROR(__xludf.DUMMYFUNCTION("""COMPUTED_VALUE"""),2.590909090909091)</f>
        <v>2.590909091</v>
      </c>
      <c r="O28" s="80">
        <f>IFERROR(__xludf.DUMMYFUNCTION("""COMPUTED_VALUE"""),392.0984848484848)</f>
        <v>392.0984848</v>
      </c>
      <c r="P28" s="80">
        <f>IFERROR(__xludf.DUMMYFUNCTION("""COMPUTED_VALUE"""),0.8636363636363638)</f>
        <v>0.8636363636</v>
      </c>
      <c r="Q28" s="80">
        <f>IFERROR(__xludf.DUMMYFUNCTION("""COMPUTED_VALUE"""),0.6969696969696968)</f>
        <v>0.696969697</v>
      </c>
      <c r="R28" s="80">
        <f>IFERROR(__xludf.DUMMYFUNCTION("""COMPUTED_VALUE"""),1.5303030303030305)</f>
        <v>1.53030303</v>
      </c>
      <c r="S28" s="80">
        <f>IFERROR(__xludf.DUMMYFUNCTION("""COMPUTED_VALUE"""),2.886363636363637)</f>
        <v>2.886363636</v>
      </c>
      <c r="T28" s="80">
        <f>IFERROR(__xludf.DUMMYFUNCTION("""COMPUTED_VALUE"""),373.55339269655235)</f>
        <v>373.5533927</v>
      </c>
      <c r="U28" s="80">
        <f>IFERROR(__xludf.DUMMYFUNCTION("""COMPUTED_VALUE"""),0.8256458728306633)</f>
        <v>0.8256458728</v>
      </c>
      <c r="V28" s="80">
        <f>IFERROR(__xludf.DUMMYFUNCTION("""COMPUTED_VALUE"""),0.6390091102999579)</f>
        <v>0.6390091103</v>
      </c>
      <c r="W28" s="80">
        <f>IFERROR(__xludf.DUMMYFUNCTION("""COMPUTED_VALUE"""),1.4484495036638494)</f>
        <v>1.448449504</v>
      </c>
      <c r="X28" s="80">
        <f>IFERROR(__xludf.DUMMYFUNCTION("""COMPUTED_VALUE"""),2.719308548417757)</f>
        <v>2.719308548</v>
      </c>
      <c r="Y28" s="80">
        <f>IFERROR(__xludf.DUMMYFUNCTION("""COMPUTED_VALUE"""),373.01850251986235)</f>
        <v>373.0185025</v>
      </c>
      <c r="Z28" s="80">
        <f>IFERROR(__xludf.DUMMYFUNCTION("""COMPUTED_VALUE"""),0.8376537488588702)</f>
        <v>0.8376537489</v>
      </c>
      <c r="AA28" s="80">
        <f>IFERROR(__xludf.DUMMYFUNCTION("""COMPUTED_VALUE"""),0.6440002981037163)</f>
        <v>0.6440002981</v>
      </c>
      <c r="AB28" s="80">
        <f>IFERROR(__xludf.DUMMYFUNCTION("""COMPUTED_VALUE"""),1.4252949679371485)</f>
        <v>1.425294968</v>
      </c>
      <c r="AC28" s="80">
        <f>IFERROR(__xludf.DUMMYFUNCTION("""COMPUTED_VALUE"""),2.7309966387785622)</f>
        <v>2.730996639</v>
      </c>
      <c r="AD28" s="80">
        <f>IFERROR(__xludf.DUMMYFUNCTION("""COMPUTED_VALUE"""),0.9845356128961587)</f>
        <v>0.9845356129</v>
      </c>
      <c r="AE28" s="80">
        <f>IFERROR(__xludf.DUMMYFUNCTION("""COMPUTED_VALUE"""),1.0310183232784302)</f>
        <v>1.031018323</v>
      </c>
      <c r="AF28" s="80">
        <f>IFERROR(__xludf.DUMMYFUNCTION("""COMPUTED_VALUE"""),1.0234326149096944)</f>
        <v>1.023432615</v>
      </c>
      <c r="AG28" s="80">
        <f>IFERROR(__xludf.DUMMYFUNCTION("""COMPUTED_VALUE"""),1.0205224092319927)</f>
        <v>1.020522409</v>
      </c>
      <c r="AH28" s="80">
        <f>IFERROR(__xludf.DUMMYFUNCTION("""COMPUTED_VALUE"""),0.9487046062670639)</f>
        <v>0.9487046063</v>
      </c>
      <c r="AI28" s="80">
        <f>IFERROR(__xludf.DUMMYFUNCTION("""COMPUTED_VALUE"""),1.0496450909415167)</f>
        <v>1.049645091</v>
      </c>
      <c r="AJ28" s="80">
        <f>IFERROR(__xludf.DUMMYFUNCTION("""COMPUTED_VALUE"""),1.046013057238999)</f>
        <v>1.046013057</v>
      </c>
      <c r="AK28" s="80">
        <f>IFERROR(__xludf.DUMMYFUNCTION("""COMPUTED_VALUE"""),1.090703850282403)</f>
        <v>1.09070385</v>
      </c>
      <c r="AL28" s="80">
        <f>IFERROR(__xludf.DUMMYFUNCTION("""COMPUTED_VALUE"""),1.0565111358263666)</f>
        <v>1.056511136</v>
      </c>
      <c r="AM28" s="80">
        <f>IFERROR(__xludf.DUMMYFUNCTION("""COMPUTED_VALUE"""),1.0614329286182262)</f>
        <v>1.061432929</v>
      </c>
      <c r="AN28" s="80">
        <f>IFERROR(__xludf.DUMMYFUNCTION("""COMPUTED_VALUE"""),1.006385599475139)</f>
        <v>1.006385599</v>
      </c>
      <c r="AO28" s="80">
        <f>IFERROR(__xludf.DUMMYFUNCTION("""COMPUTED_VALUE"""),1.0907264283664777)</f>
        <v>1.090726428</v>
      </c>
      <c r="AP28" s="80">
        <f>IFERROR(__xludf.DUMMYFUNCTION("""COMPUTED_VALUE"""),1.1071916426676691)</f>
        <v>1.107191643</v>
      </c>
      <c r="AQ28" s="80">
        <f>IFERROR(__xludf.DUMMYFUNCTION("""COMPUTED_VALUE"""),1.011207476912497)</f>
        <v>1.011207477</v>
      </c>
      <c r="AR28" s="80">
        <f>IFERROR(__xludf.DUMMYFUNCTION("""COMPUTED_VALUE"""),0.9769428025863317)</f>
        <v>0.9769428026</v>
      </c>
      <c r="AS28" s="80">
        <f>IFERROR(__xludf.DUMMYFUNCTION("""COMPUTED_VALUE"""),112.0)</f>
        <v>112</v>
      </c>
      <c r="AT28" s="80">
        <f>IFERROR(__xludf.DUMMYFUNCTION("""COMPUTED_VALUE"""),0.4929232785655045)</f>
        <v>0.4929232786</v>
      </c>
      <c r="AU28" s="80">
        <f>IFERROR(__xludf.DUMMYFUNCTION("""COMPUTED_VALUE"""),2.494851279720753)</f>
        <v>2.49485128</v>
      </c>
      <c r="AV28" s="80">
        <f>IFERROR(__xludf.DUMMYFUNCTION("""COMPUTED_VALUE"""),52.92417368186439)</f>
        <v>52.92417368</v>
      </c>
      <c r="AW28" s="82">
        <f t="shared" si="1"/>
        <v>2.205348255</v>
      </c>
      <c r="AX28" s="83">
        <f t="array" ref="AX28">IFERROR(DGET('SBV Import'!A:G,"SBV",{"RSC ID","Tier";B28,A28}))</f>
        <v>42.18966493</v>
      </c>
      <c r="AY28" s="82">
        <f t="shared" si="2"/>
        <v>-2.649967048</v>
      </c>
      <c r="AZ28" s="82">
        <v>4.855315303137508</v>
      </c>
      <c r="BA28" s="84">
        <v>2.0</v>
      </c>
      <c r="BB28" s="84" t="b">
        <f>IFERROR(__xludf.DUMMYFUNCTION("iferror(if(A28="""",,E28&gt;=FILTER(Constants!$F$2:$F$10,Constants!$A$2:$A$10=A28)))"),TRUE)</f>
        <v>1</v>
      </c>
    </row>
    <row r="29">
      <c r="A29" s="80" t="str">
        <f>IFERROR(__xludf.DUMMYFUNCTION("""COMPUTED_VALUE"""),"Premier")</f>
        <v>Premier</v>
      </c>
      <c r="B29" s="79" t="str">
        <f>IFERROR(__xludf.DUMMYFUNCTION("""COMPUTED_VALUE"""),"RSC005187")</f>
        <v>RSC005187</v>
      </c>
      <c r="C29" s="80" t="str">
        <f>IFERROR(__xludf.DUMMYFUNCTION("""COMPUTED_VALUE"""),"christophr")</f>
        <v>christophr</v>
      </c>
      <c r="D29" s="80" t="str">
        <f>IFERROR(__xludf.DUMMYFUNCTION("""COMPUTED_VALUE"""),"Old Heads")</f>
        <v>Old Heads</v>
      </c>
      <c r="E29" s="80">
        <f>IFERROR(__xludf.DUMMYFUNCTION("""COMPUTED_VALUE"""),3.0)</f>
        <v>3</v>
      </c>
      <c r="F29" s="80">
        <f>IFERROR(__xludf.DUMMYFUNCTION("""COMPUTED_VALUE"""),1.0)</f>
        <v>1</v>
      </c>
      <c r="G29" s="80">
        <f>IFERROR(__xludf.DUMMYFUNCTION("""COMPUTED_VALUE"""),2.0)</f>
        <v>2</v>
      </c>
      <c r="H29" s="81">
        <f>IFERROR(__xludf.DUMMYFUNCTION("""COMPUTED_VALUE"""),0.3333333333333333)</f>
        <v>0.3333333333</v>
      </c>
      <c r="I29" s="81">
        <f>IFERROR(__xludf.DUMMYFUNCTION("""COMPUTED_VALUE"""),0.42857142857142855)</f>
        <v>0.4285714286</v>
      </c>
      <c r="J29" s="80">
        <f>IFERROR(__xludf.DUMMYFUNCTION("""COMPUTED_VALUE"""),342.6666666666667)</f>
        <v>342.6666667</v>
      </c>
      <c r="K29" s="80">
        <f>IFERROR(__xludf.DUMMYFUNCTION("""COMPUTED_VALUE"""),1.0)</f>
        <v>1</v>
      </c>
      <c r="L29" s="80">
        <f>IFERROR(__xludf.DUMMYFUNCTION("""COMPUTED_VALUE"""),0.3333333333333333)</f>
        <v>0.3333333333</v>
      </c>
      <c r="M29" s="80">
        <f>IFERROR(__xludf.DUMMYFUNCTION("""COMPUTED_VALUE"""),1.6666666666666667)</f>
        <v>1.666666667</v>
      </c>
      <c r="N29" s="80">
        <f>IFERROR(__xludf.DUMMYFUNCTION("""COMPUTED_VALUE"""),2.3333333333333335)</f>
        <v>2.333333333</v>
      </c>
      <c r="O29" s="80">
        <f>IFERROR(__xludf.DUMMYFUNCTION("""COMPUTED_VALUE"""),339.77777777777777)</f>
        <v>339.7777778</v>
      </c>
      <c r="P29" s="80">
        <f>IFERROR(__xludf.DUMMYFUNCTION("""COMPUTED_VALUE"""),0.5555555555555555)</f>
        <v>0.5555555556</v>
      </c>
      <c r="Q29" s="80">
        <f>IFERROR(__xludf.DUMMYFUNCTION("""COMPUTED_VALUE"""),0.3333333333333333)</f>
        <v>0.3333333333</v>
      </c>
      <c r="R29" s="80">
        <f>IFERROR(__xludf.DUMMYFUNCTION("""COMPUTED_VALUE"""),1.222222222222222)</f>
        <v>1.222222222</v>
      </c>
      <c r="S29" s="80">
        <f>IFERROR(__xludf.DUMMYFUNCTION("""COMPUTED_VALUE"""),2.6666666666666665)</f>
        <v>2.666666667</v>
      </c>
      <c r="T29" s="80">
        <f>IFERROR(__xludf.DUMMYFUNCTION("""COMPUTED_VALUE"""),378.9781641721366)</f>
        <v>378.9781642</v>
      </c>
      <c r="U29" s="80">
        <f>IFERROR(__xludf.DUMMYFUNCTION("""COMPUTED_VALUE"""),0.8521171794925017)</f>
        <v>0.8521171795</v>
      </c>
      <c r="V29" s="80">
        <f>IFERROR(__xludf.DUMMYFUNCTION("""COMPUTED_VALUE"""),0.49084059552437515)</f>
        <v>0.4908405955</v>
      </c>
      <c r="W29" s="80">
        <f>IFERROR(__xludf.DUMMYFUNCTION("""COMPUTED_VALUE"""),1.4585050248069262)</f>
        <v>1.458505025</v>
      </c>
      <c r="X29" s="80">
        <f>IFERROR(__xludf.DUMMYFUNCTION("""COMPUTED_VALUE"""),2.812939565589684)</f>
        <v>2.812939566</v>
      </c>
      <c r="Y29" s="80">
        <f>IFERROR(__xludf.DUMMYFUNCTION("""COMPUTED_VALUE"""),381.6235518036294)</f>
        <v>381.6235518</v>
      </c>
      <c r="Z29" s="80">
        <f>IFERROR(__xludf.DUMMYFUNCTION("""COMPUTED_VALUE"""),0.864970579491601)</f>
        <v>0.8649705795</v>
      </c>
      <c r="AA29" s="80">
        <f>IFERROR(__xludf.DUMMYFUNCTION("""COMPUTED_VALUE"""),0.6517044555385662)</f>
        <v>0.6517044555</v>
      </c>
      <c r="AB29" s="80">
        <f>IFERROR(__xludf.DUMMYFUNCTION("""COMPUTED_VALUE"""),1.4454331907526727)</f>
        <v>1.445433191</v>
      </c>
      <c r="AC29" s="80">
        <f>IFERROR(__xludf.DUMMYFUNCTION("""COMPUTED_VALUE"""),2.6848886409129733)</f>
        <v>2.684888641</v>
      </c>
      <c r="AD29" s="80">
        <f>IFERROR(__xludf.DUMMYFUNCTION("""COMPUTED_VALUE"""),0.8979180269329692)</f>
        <v>0.8979180269</v>
      </c>
      <c r="AE29" s="80">
        <f>IFERROR(__xludf.DUMMYFUNCTION("""COMPUTED_VALUE"""),1.1561086859020853)</f>
        <v>1.156108686</v>
      </c>
      <c r="AF29" s="80">
        <f>IFERROR(__xludf.DUMMYFUNCTION("""COMPUTED_VALUE"""),0.5114792917256763)</f>
        <v>0.5114792917</v>
      </c>
      <c r="AG29" s="80">
        <f>IFERROR(__xludf.DUMMYFUNCTION("""COMPUTED_VALUE"""),1.1530568671934205)</f>
        <v>1.153056867</v>
      </c>
      <c r="AH29" s="80">
        <f>IFERROR(__xludf.DUMMYFUNCTION("""COMPUTED_VALUE"""),0.8690614939396158)</f>
        <v>0.8690614939</v>
      </c>
      <c r="AI29" s="80">
        <f>IFERROR(__xludf.DUMMYFUNCTION("""COMPUTED_VALUE"""),0.8965629418782199)</f>
        <v>0.8965629419</v>
      </c>
      <c r="AJ29" s="80">
        <f>IFERROR(__xludf.DUMMYFUNCTION("""COMPUTED_VALUE"""),0.6519708426562055)</f>
        <v>0.6519708427</v>
      </c>
      <c r="AK29" s="80">
        <f>IFERROR(__xludf.DUMMYFUNCTION("""COMPUTED_VALUE"""),0.6791070998869326)</f>
        <v>0.6791070999</v>
      </c>
      <c r="AL29" s="80">
        <f>IFERROR(__xludf.DUMMYFUNCTION("""COMPUTED_VALUE"""),0.8379965796717206)</f>
        <v>0.8379965797</v>
      </c>
      <c r="AM29" s="80">
        <f>IFERROR(__xludf.DUMMYFUNCTION("""COMPUTED_VALUE"""),0.9479999852423584)</f>
        <v>0.9479999852</v>
      </c>
      <c r="AN29" s="80">
        <f>IFERROR(__xludf.DUMMYFUNCTION("""COMPUTED_VALUE"""),0.9390191933382734)</f>
        <v>0.9390191933</v>
      </c>
      <c r="AO29" s="80">
        <f>IFERROR(__xludf.DUMMYFUNCTION("""COMPUTED_VALUE"""),1.2629463907401322)</f>
        <v>1.262946391</v>
      </c>
      <c r="AP29" s="80">
        <f>IFERROR(__xludf.DUMMYFUNCTION("""COMPUTED_VALUE"""),0.5599589916939935)</f>
        <v>0.5599589917</v>
      </c>
      <c r="AQ29" s="80">
        <f>IFERROR(__xludf.DUMMYFUNCTION("""COMPUTED_VALUE"""),1.1586752339622364)</f>
        <v>1.158675234</v>
      </c>
      <c r="AR29" s="80">
        <f>IFERROR(__xludf.DUMMYFUNCTION("""COMPUTED_VALUE"""),0.8798198339081584)</f>
        <v>0.8798198339</v>
      </c>
      <c r="AS29" s="80">
        <f>IFERROR(__xludf.DUMMYFUNCTION("""COMPUTED_VALUE"""),8.0)</f>
        <v>8</v>
      </c>
      <c r="AT29" s="80">
        <f>IFERROR(__xludf.DUMMYFUNCTION("""COMPUTED_VALUE"""),0.6717096347338456)</f>
        <v>0.6717096347</v>
      </c>
      <c r="AU29" s="80">
        <f>IFERROR(__xludf.DUMMYFUNCTION("""COMPUTED_VALUE"""),2.41691217596935)</f>
        <v>2.416912176</v>
      </c>
      <c r="AV29" s="80">
        <f>IFERROR(__xludf.DUMMYFUNCTION("""COMPUTED_VALUE"""),50.568860205074245)</f>
        <v>50.56886021</v>
      </c>
      <c r="AW29" s="82">
        <f t="shared" si="1"/>
        <v>2.036978958</v>
      </c>
      <c r="AX29" s="83">
        <f t="array" ref="AX29">IFERROR(DGET('SBV Import'!A:G,"SBV",{"RSC ID","Tier";B29,A29}))</f>
        <v>39.30069956</v>
      </c>
      <c r="AY29" s="82">
        <f t="shared" si="2"/>
        <v>-2.99100533</v>
      </c>
      <c r="AZ29" s="82">
        <v>5.027984288507003</v>
      </c>
      <c r="BA29" s="84">
        <v>2.0</v>
      </c>
      <c r="BB29" s="84" t="b">
        <f>IFERROR(__xludf.DUMMYFUNCTION("iferror(if(A29="""",,E29&gt;=FILTER(Constants!$F$2:$F$10,Constants!$A$2:$A$10=A29)))"),TRUE)</f>
        <v>1</v>
      </c>
    </row>
    <row r="30">
      <c r="A30" s="80" t="str">
        <f>IFERROR(__xludf.DUMMYFUNCTION("""COMPUTED_VALUE"""),"Premier")</f>
        <v>Premier</v>
      </c>
      <c r="B30" s="79" t="str">
        <f>IFERROR(__xludf.DUMMYFUNCTION("""COMPUTED_VALUE"""),"RSC002542")</f>
        <v>RSC002542</v>
      </c>
      <c r="C30" s="80" t="str">
        <f>IFERROR(__xludf.DUMMYFUNCTION("""COMPUTED_VALUE"""),"wicked.")</f>
        <v>wicked.</v>
      </c>
      <c r="D30" s="80" t="str">
        <f>IFERROR(__xludf.DUMMYFUNCTION("""COMPUTED_VALUE"""),"Fairies")</f>
        <v>Fairies</v>
      </c>
      <c r="E30" s="80">
        <f>IFERROR(__xludf.DUMMYFUNCTION("""COMPUTED_VALUE"""),23.0)</f>
        <v>23</v>
      </c>
      <c r="F30" s="80">
        <f>IFERROR(__xludf.DUMMYFUNCTION("""COMPUTED_VALUE"""),9.0)</f>
        <v>9</v>
      </c>
      <c r="G30" s="80">
        <f>IFERROR(__xludf.DUMMYFUNCTION("""COMPUTED_VALUE"""),14.0)</f>
        <v>14</v>
      </c>
      <c r="H30" s="81">
        <f>IFERROR(__xludf.DUMMYFUNCTION("""COMPUTED_VALUE"""),0.391304347826087)</f>
        <v>0.3913043478</v>
      </c>
      <c r="I30" s="81">
        <f>IFERROR(__xludf.DUMMYFUNCTION("""COMPUTED_VALUE"""),0.31666666666666665)</f>
        <v>0.3166666667</v>
      </c>
      <c r="J30" s="80">
        <f>IFERROR(__xludf.DUMMYFUNCTION("""COMPUTED_VALUE"""),374.4347826086956)</f>
        <v>374.4347826</v>
      </c>
      <c r="K30" s="80">
        <f>IFERROR(__xludf.DUMMYFUNCTION("""COMPUTED_VALUE"""),0.8260869565217391)</f>
        <v>0.8260869565</v>
      </c>
      <c r="L30" s="80">
        <f>IFERROR(__xludf.DUMMYFUNCTION("""COMPUTED_VALUE"""),0.6521739130434783)</f>
        <v>0.652173913</v>
      </c>
      <c r="M30" s="80">
        <f>IFERROR(__xludf.DUMMYFUNCTION("""COMPUTED_VALUE"""),1.3043478260869565)</f>
        <v>1.304347826</v>
      </c>
      <c r="N30" s="80">
        <f>IFERROR(__xludf.DUMMYFUNCTION("""COMPUTED_VALUE"""),2.608695652173913)</f>
        <v>2.608695652</v>
      </c>
      <c r="O30" s="80">
        <f>IFERROR(__xludf.DUMMYFUNCTION("""COMPUTED_VALUE"""),378.2028985507246)</f>
        <v>378.2028986</v>
      </c>
      <c r="P30" s="80">
        <f>IFERROR(__xludf.DUMMYFUNCTION("""COMPUTED_VALUE"""),0.9420289855072462)</f>
        <v>0.9420289855</v>
      </c>
      <c r="Q30" s="80">
        <f>IFERROR(__xludf.DUMMYFUNCTION("""COMPUTED_VALUE"""),0.7681159420289854)</f>
        <v>0.768115942</v>
      </c>
      <c r="R30" s="80">
        <f>IFERROR(__xludf.DUMMYFUNCTION("""COMPUTED_VALUE"""),1.2608695652173914)</f>
        <v>1.260869565</v>
      </c>
      <c r="S30" s="80">
        <f>IFERROR(__xludf.DUMMYFUNCTION("""COMPUTED_VALUE"""),2.840579710144928)</f>
        <v>2.84057971</v>
      </c>
      <c r="T30" s="80">
        <f>IFERROR(__xludf.DUMMYFUNCTION("""COMPUTED_VALUE"""),367.2790654439624)</f>
        <v>367.2790654</v>
      </c>
      <c r="U30" s="80">
        <f>IFERROR(__xludf.DUMMYFUNCTION("""COMPUTED_VALUE"""),0.798979176436535)</f>
        <v>0.7989791764</v>
      </c>
      <c r="V30" s="80">
        <f>IFERROR(__xludf.DUMMYFUNCTION("""COMPUTED_VALUE"""),0.6052346642564131)</f>
        <v>0.6052346643</v>
      </c>
      <c r="W30" s="80">
        <f>IFERROR(__xludf.DUMMYFUNCTION("""COMPUTED_VALUE"""),1.4304855297868067)</f>
        <v>1.43048553</v>
      </c>
      <c r="X30" s="80">
        <f>IFERROR(__xludf.DUMMYFUNCTION("""COMPUTED_VALUE"""),2.617886961567934)</f>
        <v>2.617886962</v>
      </c>
      <c r="Y30" s="80">
        <f>IFERROR(__xludf.DUMMYFUNCTION("""COMPUTED_VALUE"""),367.49175195171324)</f>
        <v>367.491752</v>
      </c>
      <c r="Z30" s="80">
        <f>IFERROR(__xludf.DUMMYFUNCTION("""COMPUTED_VALUE"""),0.8288319853883068)</f>
        <v>0.8288319854</v>
      </c>
      <c r="AA30" s="80">
        <f>IFERROR(__xludf.DUMMYFUNCTION("""COMPUTED_VALUE"""),0.6353563344385043)</f>
        <v>0.6353563344</v>
      </c>
      <c r="AB30" s="80">
        <f>IFERROR(__xludf.DUMMYFUNCTION("""COMPUTED_VALUE"""),1.3643139933075878)</f>
        <v>1.364313993</v>
      </c>
      <c r="AC30" s="80">
        <f>IFERROR(__xludf.DUMMYFUNCTION("""COMPUTED_VALUE"""),2.7613494896044095)</f>
        <v>2.76134949</v>
      </c>
      <c r="AD30" s="80">
        <f>IFERROR(__xludf.DUMMYFUNCTION("""COMPUTED_VALUE"""),1.0188930244559466)</f>
        <v>1.018893024</v>
      </c>
      <c r="AE30" s="80">
        <f>IFERROR(__xludf.DUMMYFUNCTION("""COMPUTED_VALUE"""),0.9966880756112693)</f>
        <v>0.9966880756</v>
      </c>
      <c r="AF30" s="80">
        <f>IFERROR(__xludf.DUMMYFUNCTION("""COMPUTED_VALUE"""),1.0264695222088822)</f>
        <v>1.026469522</v>
      </c>
      <c r="AG30" s="80">
        <f>IFERROR(__xludf.DUMMYFUNCTION("""COMPUTED_VALUE"""),0.9560466523727051)</f>
        <v>0.9560466524</v>
      </c>
      <c r="AH30" s="80">
        <f>IFERROR(__xludf.DUMMYFUNCTION("""COMPUTED_VALUE"""),0.9447176686597663)</f>
        <v>0.9447176687</v>
      </c>
      <c r="AI30" s="80">
        <f>IFERROR(__xludf.DUMMYFUNCTION("""COMPUTED_VALUE"""),1.0297425966643583)</f>
        <v>1.029742597</v>
      </c>
      <c r="AJ30" s="80">
        <f>IFERROR(__xludf.DUMMYFUNCTION("""COMPUTED_VALUE"""),1.1790407225739181)</f>
        <v>1.179040723</v>
      </c>
      <c r="AK30" s="80">
        <f>IFERROR(__xludf.DUMMYFUNCTION("""COMPUTED_VALUE"""),1.2691208673129901)</f>
        <v>1.269120867</v>
      </c>
      <c r="AL30" s="80">
        <f>IFERROR(__xludf.DUMMYFUNCTION("""COMPUTED_VALUE"""),0.8814276963747448)</f>
        <v>0.8814276964</v>
      </c>
      <c r="AM30" s="80">
        <f>IFERROR(__xludf.DUMMYFUNCTION("""COMPUTED_VALUE"""),1.0850658381535376)</f>
        <v>1.085065838</v>
      </c>
      <c r="AN30" s="80">
        <f>IFERROR(__xludf.DUMMYFUNCTION("""COMPUTED_VALUE"""),1.026074263199443)</f>
        <v>1.026074263</v>
      </c>
      <c r="AO30" s="80">
        <f>IFERROR(__xludf.DUMMYFUNCTION("""COMPUTED_VALUE"""),1.0433035401766309)</f>
        <v>1.04330354</v>
      </c>
      <c r="AP30" s="80">
        <f>IFERROR(__xludf.DUMMYFUNCTION("""COMPUTED_VALUE"""),1.095571940270857)</f>
        <v>1.09557194</v>
      </c>
      <c r="AQ30" s="80">
        <f>IFERROR(__xludf.DUMMYFUNCTION("""COMPUTED_VALUE"""),0.9067893135356632)</f>
        <v>0.9067893135</v>
      </c>
      <c r="AR30" s="80">
        <f>IFERROR(__xludf.DUMMYFUNCTION("""COMPUTED_VALUE"""),0.9836495037482517)</f>
        <v>0.9836495037</v>
      </c>
      <c r="AS30" s="80">
        <f>IFERROR(__xludf.DUMMYFUNCTION("""COMPUTED_VALUE"""),52.0)</f>
        <v>52</v>
      </c>
      <c r="AT30" s="80">
        <f>IFERROR(__xludf.DUMMYFUNCTION("""COMPUTED_VALUE"""),0.4119504747006356)</f>
        <v>0.4119504747</v>
      </c>
      <c r="AU30" s="80">
        <f>IFERROR(__xludf.DUMMYFUNCTION("""COMPUTED_VALUE"""),2.348598185091772)</f>
        <v>2.348598185</v>
      </c>
      <c r="AV30" s="80">
        <f>IFERROR(__xludf.DUMMYFUNCTION("""COMPUTED_VALUE"""),48.50441686889613)</f>
        <v>48.50441687</v>
      </c>
      <c r="AW30" s="82">
        <f t="shared" si="1"/>
        <v>-2.100186569</v>
      </c>
      <c r="AX30" s="83">
        <f t="array" ref="AX30">IFERROR(DGET('SBV Import'!A:G,"SBV",{"RSC ID","Tier";B30,A30}))</f>
        <v>53.07771925</v>
      </c>
      <c r="AY30" s="82">
        <f t="shared" si="2"/>
        <v>2.217243361</v>
      </c>
      <c r="AZ30" s="82">
        <v>4.317429930384028</v>
      </c>
      <c r="BA30" s="84">
        <v>2.0</v>
      </c>
      <c r="BB30" s="84" t="b">
        <f>IFERROR(__xludf.DUMMYFUNCTION("iferror(if(A30="""",,E30&gt;=FILTER(Constants!$F$2:$F$10,Constants!$A$2:$A$10=A30)))"),TRUE)</f>
        <v>1</v>
      </c>
    </row>
    <row r="31">
      <c r="A31" s="80" t="str">
        <f>IFERROR(__xludf.DUMMYFUNCTION("""COMPUTED_VALUE"""),"Premier")</f>
        <v>Premier</v>
      </c>
      <c r="B31" s="79" t="str">
        <f>IFERROR(__xludf.DUMMYFUNCTION("""COMPUTED_VALUE"""),"RSC007541")</f>
        <v>RSC007541</v>
      </c>
      <c r="C31" s="80" t="str">
        <f>IFERROR(__xludf.DUMMYFUNCTION("""COMPUTED_VALUE"""),"Water RL")</f>
        <v>Water RL</v>
      </c>
      <c r="D31" s="80" t="str">
        <f>IFERROR(__xludf.DUMMYFUNCTION("""COMPUTED_VALUE"""),"Interstellar")</f>
        <v>Interstellar</v>
      </c>
      <c r="E31" s="80">
        <f>IFERROR(__xludf.DUMMYFUNCTION("""COMPUTED_VALUE"""),40.0)</f>
        <v>40</v>
      </c>
      <c r="F31" s="80">
        <f>IFERROR(__xludf.DUMMYFUNCTION("""COMPUTED_VALUE"""),14.0)</f>
        <v>14</v>
      </c>
      <c r="G31" s="80">
        <f>IFERROR(__xludf.DUMMYFUNCTION("""COMPUTED_VALUE"""),26.0)</f>
        <v>26</v>
      </c>
      <c r="H31" s="81">
        <f>IFERROR(__xludf.DUMMYFUNCTION("""COMPUTED_VALUE"""),0.35)</f>
        <v>0.35</v>
      </c>
      <c r="I31" s="81">
        <f>IFERROR(__xludf.DUMMYFUNCTION("""COMPUTED_VALUE"""),0.27884615384615385)</f>
        <v>0.2788461538</v>
      </c>
      <c r="J31" s="80">
        <f>IFERROR(__xludf.DUMMYFUNCTION("""COMPUTED_VALUE"""),390.825)</f>
        <v>390.825</v>
      </c>
      <c r="K31" s="80">
        <f>IFERROR(__xludf.DUMMYFUNCTION("""COMPUTED_VALUE"""),0.725)</f>
        <v>0.725</v>
      </c>
      <c r="L31" s="80">
        <f>IFERROR(__xludf.DUMMYFUNCTION("""COMPUTED_VALUE"""),0.625)</f>
        <v>0.625</v>
      </c>
      <c r="M31" s="80">
        <f>IFERROR(__xludf.DUMMYFUNCTION("""COMPUTED_VALUE"""),1.725)</f>
        <v>1.725</v>
      </c>
      <c r="N31" s="80">
        <f>IFERROR(__xludf.DUMMYFUNCTION("""COMPUTED_VALUE"""),2.6)</f>
        <v>2.6</v>
      </c>
      <c r="O31" s="80">
        <f>IFERROR(__xludf.DUMMYFUNCTION("""COMPUTED_VALUE"""),364.4166666666667)</f>
        <v>364.4166667</v>
      </c>
      <c r="P31" s="80">
        <f>IFERROR(__xludf.DUMMYFUNCTION("""COMPUTED_VALUE"""),0.9166666666666666)</f>
        <v>0.9166666667</v>
      </c>
      <c r="Q31" s="80">
        <f>IFERROR(__xludf.DUMMYFUNCTION("""COMPUTED_VALUE"""),0.7083333333333334)</f>
        <v>0.7083333333</v>
      </c>
      <c r="R31" s="80">
        <f>IFERROR(__xludf.DUMMYFUNCTION("""COMPUTED_VALUE"""),1.1083333333333334)</f>
        <v>1.108333333</v>
      </c>
      <c r="S31" s="80">
        <f>IFERROR(__xludf.DUMMYFUNCTION("""COMPUTED_VALUE"""),3.0083333333333333)</f>
        <v>3.008333333</v>
      </c>
      <c r="T31" s="80">
        <f>IFERROR(__xludf.DUMMYFUNCTION("""COMPUTED_VALUE"""),371.3181424613694)</f>
        <v>371.3181425</v>
      </c>
      <c r="U31" s="80">
        <f>IFERROR(__xludf.DUMMYFUNCTION("""COMPUTED_VALUE"""),0.813880427187307)</f>
        <v>0.8138804272</v>
      </c>
      <c r="V31" s="80">
        <f>IFERROR(__xludf.DUMMYFUNCTION("""COMPUTED_VALUE"""),0.6682782488335712)</f>
        <v>0.6682782488</v>
      </c>
      <c r="W31" s="80">
        <f>IFERROR(__xludf.DUMMYFUNCTION("""COMPUTED_VALUE"""),1.4112998982794351)</f>
        <v>1.411299898</v>
      </c>
      <c r="X31" s="80">
        <f>IFERROR(__xludf.DUMMYFUNCTION("""COMPUTED_VALUE"""),2.7239108761991933)</f>
        <v>2.723910876</v>
      </c>
      <c r="Y31" s="80">
        <f>IFERROR(__xludf.DUMMYFUNCTION("""COMPUTED_VALUE"""),371.89025512797207)</f>
        <v>371.8902551</v>
      </c>
      <c r="Z31" s="80">
        <f>IFERROR(__xludf.DUMMYFUNCTION("""COMPUTED_VALUE"""),0.815398257218094)</f>
        <v>0.8153982572</v>
      </c>
      <c r="AA31" s="80">
        <f>IFERROR(__xludf.DUMMYFUNCTION("""COMPUTED_VALUE"""),0.6414919918554047)</f>
        <v>0.6414919919</v>
      </c>
      <c r="AB31" s="80">
        <f>IFERROR(__xludf.DUMMYFUNCTION("""COMPUTED_VALUE"""),1.4242973867133575)</f>
        <v>1.424297387</v>
      </c>
      <c r="AC31" s="80">
        <f>IFERROR(__xludf.DUMMYFUNCTION("""COMPUTED_VALUE"""),2.660984766070039)</f>
        <v>2.660984766</v>
      </c>
      <c r="AD31" s="80">
        <f>IFERROR(__xludf.DUMMYFUNCTION("""COMPUTED_VALUE"""),1.0509148723606976)</f>
        <v>1.050914872</v>
      </c>
      <c r="AE31" s="80">
        <f>IFERROR(__xludf.DUMMYFUNCTION("""COMPUTED_VALUE"""),0.8891360676603516)</f>
        <v>0.8891360677</v>
      </c>
      <c r="AF31" s="80">
        <f>IFERROR(__xludf.DUMMYFUNCTION("""COMPUTED_VALUE"""),0.9742911960479749)</f>
        <v>0.974291196</v>
      </c>
      <c r="AG31" s="80">
        <f>IFERROR(__xludf.DUMMYFUNCTION("""COMPUTED_VALUE"""),1.2111234746983073)</f>
        <v>1.211123475</v>
      </c>
      <c r="AH31" s="80">
        <f>IFERROR(__xludf.DUMMYFUNCTION("""COMPUTED_VALUE"""),0.9770818807955424)</f>
        <v>0.9770818808</v>
      </c>
      <c r="AI31" s="80">
        <f>IFERROR(__xludf.DUMMYFUNCTION("""COMPUTED_VALUE"""),0.9814135777235266)</f>
        <v>0.9814135777</v>
      </c>
      <c r="AJ31" s="80">
        <f>IFERROR(__xludf.DUMMYFUNCTION("""COMPUTED_VALUE"""),1.1262915731179075)</f>
        <v>1.126291573</v>
      </c>
      <c r="AK31" s="80">
        <f>IFERROR(__xludf.DUMMYFUNCTION("""COMPUTED_VALUE"""),1.059937734872675)</f>
        <v>1.059937735</v>
      </c>
      <c r="AL31" s="80">
        <f>IFERROR(__xludf.DUMMYFUNCTION("""COMPUTED_VALUE"""),0.7853280048305404)</f>
        <v>0.7853280048</v>
      </c>
      <c r="AM31" s="80">
        <f>IFERROR(__xludf.DUMMYFUNCTION("""COMPUTED_VALUE"""),1.1044169468316116)</f>
        <v>1.104416947</v>
      </c>
      <c r="AN31" s="80">
        <f>IFERROR(__xludf.DUMMYFUNCTION("""COMPUTED_VALUE"""),1.0709888411568989)</f>
        <v>1.070988841</v>
      </c>
      <c r="AO31" s="80">
        <f>IFERROR(__xludf.DUMMYFUNCTION("""COMPUTED_VALUE"""),0.9156361332865958)</f>
        <v>0.9156361333</v>
      </c>
      <c r="AP31" s="80">
        <f>IFERROR(__xludf.DUMMYFUNCTION("""COMPUTED_VALUE"""),1.049923109426238)</f>
        <v>1.049923109</v>
      </c>
      <c r="AQ31" s="80">
        <f>IFERROR(__xludf.DUMMYFUNCTION("""COMPUTED_VALUE"""),1.1992288671509146)</f>
        <v>1.199228867</v>
      </c>
      <c r="AR31" s="80">
        <f>IFERROR(__xludf.DUMMYFUNCTION("""COMPUTED_VALUE"""),0.9803706720690908)</f>
        <v>0.9803706721</v>
      </c>
      <c r="AS31" s="80">
        <f>IFERROR(__xludf.DUMMYFUNCTION("""COMPUTED_VALUE"""),84.0)</f>
        <v>84</v>
      </c>
      <c r="AT31" s="80">
        <f>IFERROR(__xludf.DUMMYFUNCTION("""COMPUTED_VALUE"""),0.39549827193257986)</f>
        <v>0.3954982719</v>
      </c>
      <c r="AU31" s="80">
        <f>IFERROR(__xludf.DUMMYFUNCTION("""COMPUTED_VALUE"""),2.345830957882205)</f>
        <v>2.345830958</v>
      </c>
      <c r="AV31" s="80">
        <f>IFERROR(__xludf.DUMMYFUNCTION("""COMPUTED_VALUE"""),48.42079148412364)</f>
        <v>48.42079148</v>
      </c>
      <c r="AW31" s="82">
        <f t="shared" si="1"/>
        <v>-2.106077977</v>
      </c>
      <c r="AX31" s="83">
        <f t="array" ref="AX31">IFERROR(DGET('SBV Import'!A:G,"SBV",{"RSC ID","Tier";B31,A31}))</f>
        <v>59.91785773</v>
      </c>
      <c r="AY31" s="82">
        <f t="shared" si="2"/>
        <v>2.891936375</v>
      </c>
      <c r="AZ31" s="82">
        <v>4.998014352512447</v>
      </c>
      <c r="BA31" s="84">
        <v>2.0</v>
      </c>
      <c r="BB31" s="84" t="b">
        <f>IFERROR(__xludf.DUMMYFUNCTION("iferror(if(A31="""",,E31&gt;=FILTER(Constants!$F$2:$F$10,Constants!$A$2:$A$10=A31)))"),TRUE)</f>
        <v>1</v>
      </c>
    </row>
    <row r="32">
      <c r="A32" s="80" t="str">
        <f>IFERROR(__xludf.DUMMYFUNCTION("""COMPUTED_VALUE"""),"Premier")</f>
        <v>Premier</v>
      </c>
      <c r="B32" s="79" t="str">
        <f>IFERROR(__xludf.DUMMYFUNCTION("""COMPUTED_VALUE"""),"RSC001114")</f>
        <v>RSC001114</v>
      </c>
      <c r="C32" s="80" t="str">
        <f>IFERROR(__xludf.DUMMYFUNCTION("""COMPUTED_VALUE"""),"ashes.")</f>
        <v>ashes.</v>
      </c>
      <c r="D32" s="80" t="str">
        <f>IFERROR(__xludf.DUMMYFUNCTION("""COMPUTED_VALUE"""),"Punks")</f>
        <v>Punks</v>
      </c>
      <c r="E32" s="80">
        <f>IFERROR(__xludf.DUMMYFUNCTION("""COMPUTED_VALUE"""),48.0)</f>
        <v>48</v>
      </c>
      <c r="F32" s="80">
        <f>IFERROR(__xludf.DUMMYFUNCTION("""COMPUTED_VALUE"""),24.0)</f>
        <v>24</v>
      </c>
      <c r="G32" s="80">
        <f>IFERROR(__xludf.DUMMYFUNCTION("""COMPUTED_VALUE"""),24.0)</f>
        <v>24</v>
      </c>
      <c r="H32" s="81">
        <f>IFERROR(__xludf.DUMMYFUNCTION("""COMPUTED_VALUE"""),0.5)</f>
        <v>0.5</v>
      </c>
      <c r="I32" s="81">
        <f>IFERROR(__xludf.DUMMYFUNCTION("""COMPUTED_VALUE"""),0.3032786885245902)</f>
        <v>0.3032786885</v>
      </c>
      <c r="J32" s="80">
        <f>IFERROR(__xludf.DUMMYFUNCTION("""COMPUTED_VALUE"""),340.8958333333333)</f>
        <v>340.8958333</v>
      </c>
      <c r="K32" s="80">
        <f>IFERROR(__xludf.DUMMYFUNCTION("""COMPUTED_VALUE"""),0.7708333333333334)</f>
        <v>0.7708333333</v>
      </c>
      <c r="L32" s="80">
        <f>IFERROR(__xludf.DUMMYFUNCTION("""COMPUTED_VALUE"""),0.5208333333333334)</f>
        <v>0.5208333333</v>
      </c>
      <c r="M32" s="80">
        <f>IFERROR(__xludf.DUMMYFUNCTION("""COMPUTED_VALUE"""),1.3541666666666667)</f>
        <v>1.354166667</v>
      </c>
      <c r="N32" s="80">
        <f>IFERROR(__xludf.DUMMYFUNCTION("""COMPUTED_VALUE"""),2.5416666666666665)</f>
        <v>2.541666667</v>
      </c>
      <c r="O32" s="80">
        <f>IFERROR(__xludf.DUMMYFUNCTION("""COMPUTED_VALUE"""),356.59722222222223)</f>
        <v>356.5972222</v>
      </c>
      <c r="P32" s="80">
        <f>IFERROR(__xludf.DUMMYFUNCTION("""COMPUTED_VALUE"""),0.736111111111111)</f>
        <v>0.7361111111</v>
      </c>
      <c r="Q32" s="80">
        <f>IFERROR(__xludf.DUMMYFUNCTION("""COMPUTED_VALUE"""),0.5902777777777777)</f>
        <v>0.5902777778</v>
      </c>
      <c r="R32" s="80">
        <f>IFERROR(__xludf.DUMMYFUNCTION("""COMPUTED_VALUE"""),1.3680555555555554)</f>
        <v>1.368055556</v>
      </c>
      <c r="S32" s="80">
        <f>IFERROR(__xludf.DUMMYFUNCTION("""COMPUTED_VALUE"""),2.5902777777777777)</f>
        <v>2.590277778</v>
      </c>
      <c r="T32" s="80">
        <f>IFERROR(__xludf.DUMMYFUNCTION("""COMPUTED_VALUE"""),373.6265021754087)</f>
        <v>373.6265022</v>
      </c>
      <c r="U32" s="80">
        <f>IFERROR(__xludf.DUMMYFUNCTION("""COMPUTED_VALUE"""),0.8144605856641047)</f>
        <v>0.8144605857</v>
      </c>
      <c r="V32" s="80">
        <f>IFERROR(__xludf.DUMMYFUNCTION("""COMPUTED_VALUE"""),0.640295901127422)</f>
        <v>0.6402959011</v>
      </c>
      <c r="W32" s="80">
        <f>IFERROR(__xludf.DUMMYFUNCTION("""COMPUTED_VALUE"""),1.4381276180144305)</f>
        <v>1.438127618</v>
      </c>
      <c r="X32" s="80">
        <f>IFERROR(__xludf.DUMMYFUNCTION("""COMPUTED_VALUE"""),2.6965856949557985)</f>
        <v>2.696585695</v>
      </c>
      <c r="Y32" s="80">
        <f>IFERROR(__xludf.DUMMYFUNCTION("""COMPUTED_VALUE"""),370.5937347851289)</f>
        <v>370.5937348</v>
      </c>
      <c r="Z32" s="80">
        <f>IFERROR(__xludf.DUMMYFUNCTION("""COMPUTED_VALUE"""),0.8321299809778884)</f>
        <v>0.832129981</v>
      </c>
      <c r="AA32" s="80">
        <f>IFERROR(__xludf.DUMMYFUNCTION("""COMPUTED_VALUE"""),0.6418963863973987)</f>
        <v>0.6418963864</v>
      </c>
      <c r="AB32" s="80">
        <f>IFERROR(__xludf.DUMMYFUNCTION("""COMPUTED_VALUE"""),1.3992491523504613)</f>
        <v>1.399249152</v>
      </c>
      <c r="AC32" s="80">
        <f>IFERROR(__xludf.DUMMYFUNCTION("""COMPUTED_VALUE"""),2.7466102026420547)</f>
        <v>2.746610203</v>
      </c>
      <c r="AD32" s="80">
        <f>IFERROR(__xludf.DUMMYFUNCTION("""COMPUTED_VALUE"""),0.9198639948162791)</f>
        <v>0.9198639948</v>
      </c>
      <c r="AE32" s="80">
        <f>IFERROR(__xludf.DUMMYFUNCTION("""COMPUTED_VALUE"""),0.9263376527155992)</f>
        <v>0.9263376527</v>
      </c>
      <c r="AF32" s="80">
        <f>IFERROR(__xludf.DUMMYFUNCTION("""COMPUTED_VALUE"""),0.8113978273915456)</f>
        <v>0.8113978274</v>
      </c>
      <c r="AG32" s="80">
        <f>IFERROR(__xludf.DUMMYFUNCTION("""COMPUTED_VALUE"""),0.9677809447959537)</f>
        <v>0.9677809448</v>
      </c>
      <c r="AH32" s="80">
        <f>IFERROR(__xludf.DUMMYFUNCTION("""COMPUTED_VALUE"""),0.9253831010391478)</f>
        <v>0.925383101</v>
      </c>
      <c r="AI32" s="80">
        <f>IFERROR(__xludf.DUMMYFUNCTION("""COMPUTED_VALUE"""),0.9544216487480548)</f>
        <v>0.9544216487</v>
      </c>
      <c r="AJ32" s="80">
        <f>IFERROR(__xludf.DUMMYFUNCTION("""COMPUTED_VALUE"""),0.9038020059753927)</f>
        <v>0.903802006</v>
      </c>
      <c r="AK32" s="80">
        <f>IFERROR(__xludf.DUMMYFUNCTION("""COMPUTED_VALUE"""),0.9218827994032552)</f>
        <v>0.9218827994</v>
      </c>
      <c r="AL32" s="80">
        <f>IFERROR(__xludf.DUMMYFUNCTION("""COMPUTED_VALUE"""),0.9512754907275747)</f>
        <v>0.9512754907</v>
      </c>
      <c r="AM32" s="80">
        <f>IFERROR(__xludf.DUMMYFUNCTION("""COMPUTED_VALUE"""),0.9605768444975143)</f>
        <v>0.9605768445</v>
      </c>
      <c r="AN32" s="80">
        <f>IFERROR(__xludf.DUMMYFUNCTION("""COMPUTED_VALUE"""),0.9341665284894314)</f>
        <v>0.9341665285</v>
      </c>
      <c r="AO32" s="80">
        <f>IFERROR(__xludf.DUMMYFUNCTION("""COMPUTED_VALUE"""),0.9735211761955186)</f>
        <v>0.9735211762</v>
      </c>
      <c r="AP32" s="80">
        <f>IFERROR(__xludf.DUMMYFUNCTION("""COMPUTED_VALUE"""),0.8749359245218651)</f>
        <v>0.8749359245</v>
      </c>
      <c r="AQ32" s="80">
        <f>IFERROR(__xludf.DUMMYFUNCTION("""COMPUTED_VALUE"""),0.941423627594317)</f>
        <v>0.9414236276</v>
      </c>
      <c r="AR32" s="80">
        <f>IFERROR(__xludf.DUMMYFUNCTION("""COMPUTED_VALUE"""),0.9583751762213868)</f>
        <v>0.9583751762</v>
      </c>
      <c r="AS32" s="80">
        <f>IFERROR(__xludf.DUMMYFUNCTION("""COMPUTED_VALUE"""),113.0)</f>
        <v>113</v>
      </c>
      <c r="AT32" s="80">
        <f>IFERROR(__xludf.DUMMYFUNCTION("""COMPUTED_VALUE"""),0.5246950330497077)</f>
        <v>0.524695033</v>
      </c>
      <c r="AU32" s="80">
        <f>IFERROR(__xludf.DUMMYFUNCTION("""COMPUTED_VALUE"""),2.2845334075437127)</f>
        <v>2.284533408</v>
      </c>
      <c r="AV32" s="80">
        <f>IFERROR(__xludf.DUMMYFUNCTION("""COMPUTED_VALUE"""),46.56838441941097)</f>
        <v>46.56838442</v>
      </c>
      <c r="AW32" s="82">
        <f t="shared" si="1"/>
        <v>-2.245118358</v>
      </c>
      <c r="AX32" s="83">
        <f t="array" ref="AX32">IFERROR(DGET('SBV Import'!A:G,"SBV",{"RSC ID","Tier";B32,A32}))</f>
        <v>41.21889958</v>
      </c>
      <c r="AY32" s="82">
        <f t="shared" si="2"/>
        <v>-2.757079423</v>
      </c>
      <c r="AZ32" s="82">
        <v>0.5119610654037094</v>
      </c>
      <c r="BA32" s="84">
        <v>2.0</v>
      </c>
      <c r="BB32" s="84" t="b">
        <f>IFERROR(__xludf.DUMMYFUNCTION("iferror(if(A32="""",,E32&gt;=FILTER(Constants!$F$2:$F$10,Constants!$A$2:$A$10=A32)))"),TRUE)</f>
        <v>1</v>
      </c>
    </row>
    <row r="33">
      <c r="A33" s="80" t="str">
        <f>IFERROR(__xludf.DUMMYFUNCTION("""COMPUTED_VALUE"""),"Premier")</f>
        <v>Premier</v>
      </c>
      <c r="B33" s="79" t="str">
        <f>IFERROR(__xludf.DUMMYFUNCTION("""COMPUTED_VALUE"""),"RSC007450")</f>
        <v>RSC007450</v>
      </c>
      <c r="C33" s="80" t="str">
        <f>IFERROR(__xludf.DUMMYFUNCTION("""COMPUTED_VALUE"""),"kev")</f>
        <v>kev</v>
      </c>
      <c r="D33" s="80" t="str">
        <f>IFERROR(__xludf.DUMMYFUNCTION("""COMPUTED_VALUE"""),"Gummy Bears")</f>
        <v>Gummy Bears</v>
      </c>
      <c r="E33" s="80">
        <f>IFERROR(__xludf.DUMMYFUNCTION("""COMPUTED_VALUE"""),33.0)</f>
        <v>33</v>
      </c>
      <c r="F33" s="80">
        <f>IFERROR(__xludf.DUMMYFUNCTION("""COMPUTED_VALUE"""),17.0)</f>
        <v>17</v>
      </c>
      <c r="G33" s="80">
        <f>IFERROR(__xludf.DUMMYFUNCTION("""COMPUTED_VALUE"""),16.0)</f>
        <v>16</v>
      </c>
      <c r="H33" s="81">
        <f>IFERROR(__xludf.DUMMYFUNCTION("""COMPUTED_VALUE"""),0.5151515151515151)</f>
        <v>0.5151515152</v>
      </c>
      <c r="I33" s="81">
        <f>IFERROR(__xludf.DUMMYFUNCTION("""COMPUTED_VALUE"""),0.32926829268292684)</f>
        <v>0.3292682927</v>
      </c>
      <c r="J33" s="80">
        <f>IFERROR(__xludf.DUMMYFUNCTION("""COMPUTED_VALUE"""),363.54545454545456)</f>
        <v>363.5454545</v>
      </c>
      <c r="K33" s="80">
        <f>IFERROR(__xludf.DUMMYFUNCTION("""COMPUTED_VALUE"""),0.8181818181818182)</f>
        <v>0.8181818182</v>
      </c>
      <c r="L33" s="80">
        <f>IFERROR(__xludf.DUMMYFUNCTION("""COMPUTED_VALUE"""),0.48484848484848486)</f>
        <v>0.4848484848</v>
      </c>
      <c r="M33" s="80">
        <f>IFERROR(__xludf.DUMMYFUNCTION("""COMPUTED_VALUE"""),1.3636363636363635)</f>
        <v>1.363636364</v>
      </c>
      <c r="N33" s="80">
        <f>IFERROR(__xludf.DUMMYFUNCTION("""COMPUTED_VALUE"""),2.484848484848485)</f>
        <v>2.484848485</v>
      </c>
      <c r="O33" s="80">
        <f>IFERROR(__xludf.DUMMYFUNCTION("""COMPUTED_VALUE"""),355.3131313131313)</f>
        <v>355.3131313</v>
      </c>
      <c r="P33" s="80">
        <f>IFERROR(__xludf.DUMMYFUNCTION("""COMPUTED_VALUE"""),0.7979797979797979)</f>
        <v>0.797979798</v>
      </c>
      <c r="Q33" s="80">
        <f>IFERROR(__xludf.DUMMYFUNCTION("""COMPUTED_VALUE"""),0.6262626262626263)</f>
        <v>0.6262626263</v>
      </c>
      <c r="R33" s="80">
        <f>IFERROR(__xludf.DUMMYFUNCTION("""COMPUTED_VALUE"""),1.313131313131313)</f>
        <v>1.313131313</v>
      </c>
      <c r="S33" s="80">
        <f>IFERROR(__xludf.DUMMYFUNCTION("""COMPUTED_VALUE"""),2.7575757575757582)</f>
        <v>2.757575758</v>
      </c>
      <c r="T33" s="80">
        <f>IFERROR(__xludf.DUMMYFUNCTION("""COMPUTED_VALUE"""),359.95437640695576)</f>
        <v>359.9543764</v>
      </c>
      <c r="U33" s="80">
        <f>IFERROR(__xludf.DUMMYFUNCTION("""COMPUTED_VALUE"""),0.7733478388990424)</f>
        <v>0.7733478389</v>
      </c>
      <c r="V33" s="80">
        <f>IFERROR(__xludf.DUMMYFUNCTION("""COMPUTED_VALUE"""),0.6545146724661866)</f>
        <v>0.6545146725</v>
      </c>
      <c r="W33" s="80">
        <f>IFERROR(__xludf.DUMMYFUNCTION("""COMPUTED_VALUE"""),1.3769455620107232)</f>
        <v>1.376945562</v>
      </c>
      <c r="X33" s="80">
        <f>IFERROR(__xludf.DUMMYFUNCTION("""COMPUTED_VALUE"""),2.5777055936963804)</f>
        <v>2.577705594</v>
      </c>
      <c r="Y33" s="80">
        <f>IFERROR(__xludf.DUMMYFUNCTION("""COMPUTED_VALUE"""),367.77816554401306)</f>
        <v>367.7781655</v>
      </c>
      <c r="Z33" s="80">
        <f>IFERROR(__xludf.DUMMYFUNCTION("""COMPUTED_VALUE"""),0.8173400932387711)</f>
        <v>0.8173400932</v>
      </c>
      <c r="AA33" s="80">
        <f>IFERROR(__xludf.DUMMYFUNCTION("""COMPUTED_VALUE"""),0.6448154368893477)</f>
        <v>0.6448154369</v>
      </c>
      <c r="AB33" s="80">
        <f>IFERROR(__xludf.DUMMYFUNCTION("""COMPUTED_VALUE"""),1.3655865003662033)</f>
        <v>1.3655865</v>
      </c>
      <c r="AC33" s="80">
        <f>IFERROR(__xludf.DUMMYFUNCTION("""COMPUTED_VALUE"""),2.7048301091931037)</f>
        <v>2.704830109</v>
      </c>
      <c r="AD33" s="80">
        <f>IFERROR(__xludf.DUMMYFUNCTION("""COMPUTED_VALUE"""),0.9884911302651762)</f>
        <v>0.9884911303</v>
      </c>
      <c r="AE33" s="80">
        <f>IFERROR(__xludf.DUMMYFUNCTION("""COMPUTED_VALUE"""),1.0010298343982023)</f>
        <v>1.001029834</v>
      </c>
      <c r="AF33" s="80">
        <f>IFERROR(__xludf.DUMMYFUNCTION("""COMPUTED_VALUE"""),0.7519182344446359)</f>
        <v>0.7519182344</v>
      </c>
      <c r="AG33" s="80">
        <f>IFERROR(__xludf.DUMMYFUNCTION("""COMPUTED_VALUE"""),0.9985719419975836)</f>
        <v>0.998571942</v>
      </c>
      <c r="AH33" s="80">
        <f>IFERROR(__xludf.DUMMYFUNCTION("""COMPUTED_VALUE"""),0.9186708164786574)</f>
        <v>0.9186708165</v>
      </c>
      <c r="AI33" s="80">
        <f>IFERROR(__xludf.DUMMYFUNCTION("""COMPUTED_VALUE"""),0.9871060184344663)</f>
        <v>0.9871060184</v>
      </c>
      <c r="AJ33" s="80">
        <f>IFERROR(__xludf.DUMMYFUNCTION("""COMPUTED_VALUE"""),1.031851073788248)</f>
        <v>1.031851074</v>
      </c>
      <c r="AK33" s="80">
        <f>IFERROR(__xludf.DUMMYFUNCTION("""COMPUTED_VALUE"""),0.956835121667926)</f>
        <v>0.9568351217</v>
      </c>
      <c r="AL33" s="80">
        <f>IFERROR(__xludf.DUMMYFUNCTION("""COMPUTED_VALUE"""),0.9536552129292434)</f>
        <v>0.9536552129</v>
      </c>
      <c r="AM33" s="80">
        <f>IFERROR(__xludf.DUMMYFUNCTION("""COMPUTED_VALUE"""),1.0697791727337829)</f>
        <v>1.069779173</v>
      </c>
      <c r="AN33" s="80">
        <f>IFERROR(__xludf.DUMMYFUNCTION("""COMPUTED_VALUE"""),0.996233928411679)</f>
        <v>0.9962339284</v>
      </c>
      <c r="AO33" s="80">
        <f>IFERROR(__xludf.DUMMYFUNCTION("""COMPUTED_VALUE"""),1.0333197742419264)</f>
        <v>1.033319774</v>
      </c>
      <c r="AP33" s="80">
        <f>IFERROR(__xludf.DUMMYFUNCTION("""COMPUTED_VALUE"""),0.8144858061003544)</f>
        <v>0.8144858061</v>
      </c>
      <c r="AQ33" s="80">
        <f>IFERROR(__xludf.DUMMYFUNCTION("""COMPUTED_VALUE"""),0.9480070096054659)</f>
        <v>0.9480070096</v>
      </c>
      <c r="AR33" s="80">
        <f>IFERROR(__xludf.DUMMYFUNCTION("""COMPUTED_VALUE"""),0.9369509919541427)</f>
        <v>0.936950992</v>
      </c>
      <c r="AS33" s="80">
        <f>IFERROR(__xludf.DUMMYFUNCTION("""COMPUTED_VALUE"""),76.0)</f>
        <v>76</v>
      </c>
      <c r="AT33" s="80">
        <f>IFERROR(__xludf.DUMMYFUNCTION("""COMPUTED_VALUE"""),0.4849167924597428)</f>
        <v>0.4849167925</v>
      </c>
      <c r="AU33" s="80">
        <f>IFERROR(__xludf.DUMMYFUNCTION("""COMPUTED_VALUE"""),2.231881290262831)</f>
        <v>2.23188129</v>
      </c>
      <c r="AV33" s="80">
        <f>IFERROR(__xludf.DUMMYFUNCTION("""COMPUTED_VALUE"""),44.977241649682064)</f>
        <v>44.97724165</v>
      </c>
      <c r="AW33" s="82">
        <f t="shared" si="1"/>
        <v>-2.378775555</v>
      </c>
      <c r="AX33" s="83">
        <f t="array" ref="AX33">IFERROR(DGET('SBV Import'!A:G,"SBV",{"RSC ID","Tier";B33,A33}))</f>
        <v>42.01214744</v>
      </c>
      <c r="AY33" s="82">
        <f t="shared" si="2"/>
        <v>-2.669027157</v>
      </c>
      <c r="AZ33" s="82">
        <v>0.29025160228748703</v>
      </c>
      <c r="BA33" s="84">
        <v>2.0</v>
      </c>
      <c r="BB33" s="84" t="b">
        <f>IFERROR(__xludf.DUMMYFUNCTION("iferror(if(A33="""",,E33&gt;=FILTER(Constants!$F$2:$F$10,Constants!$A$2:$A$10=A33)))"),TRUE)</f>
        <v>1</v>
      </c>
    </row>
    <row r="34">
      <c r="A34" s="80" t="str">
        <f>IFERROR(__xludf.DUMMYFUNCTION("""COMPUTED_VALUE"""),"Premier")</f>
        <v>Premier</v>
      </c>
      <c r="B34" s="79" t="str">
        <f>IFERROR(__xludf.DUMMYFUNCTION("""COMPUTED_VALUE"""),"RSC000750")</f>
        <v>RSC000750</v>
      </c>
      <c r="C34" s="80" t="str">
        <f>IFERROR(__xludf.DUMMYFUNCTION("""COMPUTED_VALUE"""),"Jatt")</f>
        <v>Jatt</v>
      </c>
      <c r="D34" s="80" t="str">
        <f>IFERROR(__xludf.DUMMYFUNCTION("""COMPUTED_VALUE"""),"Crooked Capos")</f>
        <v>Crooked Capos</v>
      </c>
      <c r="E34" s="80">
        <f>IFERROR(__xludf.DUMMYFUNCTION("""COMPUTED_VALUE"""),24.0)</f>
        <v>24</v>
      </c>
      <c r="F34" s="80">
        <f>IFERROR(__xludf.DUMMYFUNCTION("""COMPUTED_VALUE"""),11.0)</f>
        <v>11</v>
      </c>
      <c r="G34" s="80">
        <f>IFERROR(__xludf.DUMMYFUNCTION("""COMPUTED_VALUE"""),13.0)</f>
        <v>13</v>
      </c>
      <c r="H34" s="81">
        <f>IFERROR(__xludf.DUMMYFUNCTION("""COMPUTED_VALUE"""),0.4583333333333333)</f>
        <v>0.4583333333</v>
      </c>
      <c r="I34" s="81">
        <f>IFERROR(__xludf.DUMMYFUNCTION("""COMPUTED_VALUE"""),0.31343283582089554)</f>
        <v>0.3134328358</v>
      </c>
      <c r="J34" s="80">
        <f>IFERROR(__xludf.DUMMYFUNCTION("""COMPUTED_VALUE"""),394.5833333333333)</f>
        <v>394.5833333</v>
      </c>
      <c r="K34" s="80">
        <f>IFERROR(__xludf.DUMMYFUNCTION("""COMPUTED_VALUE"""),0.875)</f>
        <v>0.875</v>
      </c>
      <c r="L34" s="80">
        <f>IFERROR(__xludf.DUMMYFUNCTION("""COMPUTED_VALUE"""),0.4166666666666667)</f>
        <v>0.4166666667</v>
      </c>
      <c r="M34" s="80">
        <f>IFERROR(__xludf.DUMMYFUNCTION("""COMPUTED_VALUE"""),1.75)</f>
        <v>1.75</v>
      </c>
      <c r="N34" s="80">
        <f>IFERROR(__xludf.DUMMYFUNCTION("""COMPUTED_VALUE"""),2.7916666666666665)</f>
        <v>2.791666667</v>
      </c>
      <c r="O34" s="80">
        <f>IFERROR(__xludf.DUMMYFUNCTION("""COMPUTED_VALUE"""),409.47222222222223)</f>
        <v>409.4722222</v>
      </c>
      <c r="P34" s="80">
        <f>IFERROR(__xludf.DUMMYFUNCTION("""COMPUTED_VALUE"""),0.8888888888888887)</f>
        <v>0.8888888889</v>
      </c>
      <c r="Q34" s="80">
        <f>IFERROR(__xludf.DUMMYFUNCTION("""COMPUTED_VALUE"""),0.6944444444444446)</f>
        <v>0.6944444444</v>
      </c>
      <c r="R34" s="80">
        <f>IFERROR(__xludf.DUMMYFUNCTION("""COMPUTED_VALUE"""),1.722222222222222)</f>
        <v>1.722222222</v>
      </c>
      <c r="S34" s="80">
        <f>IFERROR(__xludf.DUMMYFUNCTION("""COMPUTED_VALUE"""),2.9305555555555567)</f>
        <v>2.930555556</v>
      </c>
      <c r="T34" s="80">
        <f>IFERROR(__xludf.DUMMYFUNCTION("""COMPUTED_VALUE"""),370.7628753156833)</f>
        <v>370.7628753</v>
      </c>
      <c r="U34" s="80">
        <f>IFERROR(__xludf.DUMMYFUNCTION("""COMPUTED_VALUE"""),0.8199084086165543)</f>
        <v>0.8199084086</v>
      </c>
      <c r="V34" s="80">
        <f>IFERROR(__xludf.DUMMYFUNCTION("""COMPUTED_VALUE"""),0.6336877945663505)</f>
        <v>0.6336877946</v>
      </c>
      <c r="W34" s="80">
        <f>IFERROR(__xludf.DUMMYFUNCTION("""COMPUTED_VALUE"""),1.454845322173836)</f>
        <v>1.454845322</v>
      </c>
      <c r="X34" s="80">
        <f>IFERROR(__xludf.DUMMYFUNCTION("""COMPUTED_VALUE"""),2.7033143437094114)</f>
        <v>2.703314344</v>
      </c>
      <c r="Y34" s="80">
        <f>IFERROR(__xludf.DUMMYFUNCTION("""COMPUTED_VALUE"""),380.9621639326612)</f>
        <v>380.9621639</v>
      </c>
      <c r="Z34" s="80">
        <f>IFERROR(__xludf.DUMMYFUNCTION("""COMPUTED_VALUE"""),0.8675141737204356)</f>
        <v>0.8675141737</v>
      </c>
      <c r="AA34" s="80">
        <f>IFERROR(__xludf.DUMMYFUNCTION("""COMPUTED_VALUE"""),0.6727709231088536)</f>
        <v>0.6727709231</v>
      </c>
      <c r="AB34" s="80">
        <f>IFERROR(__xludf.DUMMYFUNCTION("""COMPUTED_VALUE"""),1.4350661820554205)</f>
        <v>1.435066182</v>
      </c>
      <c r="AC34" s="80">
        <f>IFERROR(__xludf.DUMMYFUNCTION("""COMPUTED_VALUE"""),2.7665547537711213)</f>
        <v>2.766554754</v>
      </c>
      <c r="AD34" s="80">
        <f>IFERROR(__xludf.DUMMYFUNCTION("""COMPUTED_VALUE"""),1.035754651485757)</f>
        <v>1.035754651</v>
      </c>
      <c r="AE34" s="80">
        <f>IFERROR(__xludf.DUMMYFUNCTION("""COMPUTED_VALUE"""),1.0086290535720708)</f>
        <v>1.008629054</v>
      </c>
      <c r="AF34" s="80">
        <f>IFERROR(__xludf.DUMMYFUNCTION("""COMPUTED_VALUE"""),0.6193291837602953)</f>
        <v>0.6193291838</v>
      </c>
      <c r="AG34" s="80">
        <f>IFERROR(__xludf.DUMMYFUNCTION("""COMPUTED_VALUE"""),1.2194559539362186)</f>
        <v>1.219455954</v>
      </c>
      <c r="AH34" s="80">
        <f>IFERROR(__xludf.DUMMYFUNCTION("""COMPUTED_VALUE"""),1.0090769621896385)</f>
        <v>1.009076962</v>
      </c>
      <c r="AI34" s="80">
        <f>IFERROR(__xludf.DUMMYFUNCTION("""COMPUTED_VALUE"""),1.1044045924867212)</f>
        <v>1.104404592</v>
      </c>
      <c r="AJ34" s="80">
        <f>IFERROR(__xludf.DUMMYFUNCTION("""COMPUTED_VALUE"""),1.0841319341860713)</f>
        <v>1.084131934</v>
      </c>
      <c r="AK34" s="80">
        <f>IFERROR(__xludf.DUMMYFUNCTION("""COMPUTED_VALUE"""),1.0958778919194294)</f>
        <v>1.095877892</v>
      </c>
      <c r="AL34" s="80">
        <f>IFERROR(__xludf.DUMMYFUNCTION("""COMPUTED_VALUE"""),1.1837837301142573)</f>
        <v>1.18378373</v>
      </c>
      <c r="AM34" s="80">
        <f>IFERROR(__xludf.DUMMYFUNCTION("""COMPUTED_VALUE"""),1.0840602249512468)</f>
        <v>1.084060225</v>
      </c>
      <c r="AN34" s="80">
        <f>IFERROR(__xludf.DUMMYFUNCTION("""COMPUTED_VALUE"""),1.0812879086713825)</f>
        <v>1.081287909</v>
      </c>
      <c r="AO34" s="80">
        <f>IFERROR(__xludf.DUMMYFUNCTION("""COMPUTED_VALUE"""),1.1050780918976155)</f>
        <v>1.105078092</v>
      </c>
      <c r="AP34" s="80">
        <f>IFERROR(__xludf.DUMMYFUNCTION("""COMPUTED_VALUE"""),0.699948739617492)</f>
        <v>0.6999487396</v>
      </c>
      <c r="AQ34" s="80">
        <f>IFERROR(__xludf.DUMMYFUNCTION("""COMPUTED_VALUE"""),1.216608995660348)</f>
        <v>1.216608996</v>
      </c>
      <c r="AR34" s="80">
        <f>IFERROR(__xludf.DUMMYFUNCTION("""COMPUTED_VALUE"""),1.052641586997261)</f>
        <v>1.052641587</v>
      </c>
      <c r="AS34" s="80">
        <f>IFERROR(__xludf.DUMMYFUNCTION("""COMPUTED_VALUE"""),55.0)</f>
        <v>55</v>
      </c>
      <c r="AT34" s="80">
        <f>IFERROR(__xludf.DUMMYFUNCTION("""COMPUTED_VALUE"""),0.4402991836084778)</f>
        <v>0.4402991836</v>
      </c>
      <c r="AU34" s="80">
        <f>IFERROR(__xludf.DUMMYFUNCTION("""COMPUTED_VALUE"""),2.2293286289214924)</f>
        <v>2.229328629</v>
      </c>
      <c r="AV34" s="80">
        <f>IFERROR(__xludf.DUMMYFUNCTION("""COMPUTED_VALUE"""),44.90010042827267)</f>
        <v>44.90010043</v>
      </c>
      <c r="AW34" s="82">
        <f t="shared" si="1"/>
        <v>-2.385619567</v>
      </c>
      <c r="AX34" s="83">
        <f t="array" ref="AX34">IFERROR(DGET('SBV Import'!A:G,"SBV",{"RSC ID","Tier";B34,A34}))</f>
        <v>40.5576481</v>
      </c>
      <c r="AY34" s="82">
        <f t="shared" si="2"/>
        <v>-2.834234674</v>
      </c>
      <c r="AZ34" s="82">
        <v>0.4486151067953834</v>
      </c>
      <c r="BA34" s="84">
        <v>2.0</v>
      </c>
      <c r="BB34" s="84" t="b">
        <f>IFERROR(__xludf.DUMMYFUNCTION("iferror(if(A34="""",,E34&gt;=FILTER(Constants!$F$2:$F$10,Constants!$A$2:$A$10=A34)))"),TRUE)</f>
        <v>1</v>
      </c>
    </row>
    <row r="35">
      <c r="A35" s="80" t="str">
        <f>IFERROR(__xludf.DUMMYFUNCTION("""COMPUTED_VALUE"""),"Premier")</f>
        <v>Premier</v>
      </c>
      <c r="B35" s="79" t="str">
        <f>IFERROR(__xludf.DUMMYFUNCTION("""COMPUTED_VALUE"""),"RSC005920")</f>
        <v>RSC005920</v>
      </c>
      <c r="C35" s="80" t="str">
        <f>IFERROR(__xludf.DUMMYFUNCTION("""COMPUTED_VALUE"""),"Lavar Ball")</f>
        <v>Lavar Ball</v>
      </c>
      <c r="D35" s="80" t="str">
        <f>IFERROR(__xludf.DUMMYFUNCTION("""COMPUTED_VALUE"""),"Capybaras")</f>
        <v>Capybaras</v>
      </c>
      <c r="E35" s="80">
        <f>IFERROR(__xludf.DUMMYFUNCTION("""COMPUTED_VALUE"""),20.0)</f>
        <v>20</v>
      </c>
      <c r="F35" s="80">
        <f>IFERROR(__xludf.DUMMYFUNCTION("""COMPUTED_VALUE"""),9.0)</f>
        <v>9</v>
      </c>
      <c r="G35" s="80">
        <f>IFERROR(__xludf.DUMMYFUNCTION("""COMPUTED_VALUE"""),11.0)</f>
        <v>11</v>
      </c>
      <c r="H35" s="81">
        <f>IFERROR(__xludf.DUMMYFUNCTION("""COMPUTED_VALUE"""),0.45)</f>
        <v>0.45</v>
      </c>
      <c r="I35" s="81">
        <f>IFERROR(__xludf.DUMMYFUNCTION("""COMPUTED_VALUE"""),0.1929824561403509)</f>
        <v>0.1929824561</v>
      </c>
      <c r="J35" s="80">
        <f>IFERROR(__xludf.DUMMYFUNCTION("""COMPUTED_VALUE"""),355.55)</f>
        <v>355.55</v>
      </c>
      <c r="K35" s="80">
        <f>IFERROR(__xludf.DUMMYFUNCTION("""COMPUTED_VALUE"""),0.55)</f>
        <v>0.55</v>
      </c>
      <c r="L35" s="80">
        <f>IFERROR(__xludf.DUMMYFUNCTION("""COMPUTED_VALUE"""),0.65)</f>
        <v>0.65</v>
      </c>
      <c r="M35" s="80">
        <f>IFERROR(__xludf.DUMMYFUNCTION("""COMPUTED_VALUE"""),1.45)</f>
        <v>1.45</v>
      </c>
      <c r="N35" s="80">
        <f>IFERROR(__xludf.DUMMYFUNCTION("""COMPUTED_VALUE"""),2.85)</f>
        <v>2.85</v>
      </c>
      <c r="O35" s="80">
        <f>IFERROR(__xludf.DUMMYFUNCTION("""COMPUTED_VALUE"""),377.08333333333337)</f>
        <v>377.0833333</v>
      </c>
      <c r="P35" s="80">
        <f>IFERROR(__xludf.DUMMYFUNCTION("""COMPUTED_VALUE"""),0.85)</f>
        <v>0.85</v>
      </c>
      <c r="Q35" s="80">
        <f>IFERROR(__xludf.DUMMYFUNCTION("""COMPUTED_VALUE"""),0.6)</f>
        <v>0.6</v>
      </c>
      <c r="R35" s="80">
        <f>IFERROR(__xludf.DUMMYFUNCTION("""COMPUTED_VALUE"""),1.4000000000000001)</f>
        <v>1.4</v>
      </c>
      <c r="S35" s="80">
        <f>IFERROR(__xludf.DUMMYFUNCTION("""COMPUTED_VALUE"""),2.666666666666667)</f>
        <v>2.666666667</v>
      </c>
      <c r="T35" s="80">
        <f>IFERROR(__xludf.DUMMYFUNCTION("""COMPUTED_VALUE"""),368.1411195657334)</f>
        <v>368.1411196</v>
      </c>
      <c r="U35" s="80">
        <f>IFERROR(__xludf.DUMMYFUNCTION("""COMPUTED_VALUE"""),0.8345965241996293)</f>
        <v>0.8345965242</v>
      </c>
      <c r="V35" s="80">
        <f>IFERROR(__xludf.DUMMYFUNCTION("""COMPUTED_VALUE"""),0.605756058367063)</f>
        <v>0.6057560584</v>
      </c>
      <c r="W35" s="80">
        <f>IFERROR(__xludf.DUMMYFUNCTION("""COMPUTED_VALUE"""),1.4301467129259742)</f>
        <v>1.430146713</v>
      </c>
      <c r="X35" s="80">
        <f>IFERROR(__xludf.DUMMYFUNCTION("""COMPUTED_VALUE"""),2.5255032165119875)</f>
        <v>2.525503217</v>
      </c>
      <c r="Y35" s="80">
        <f>IFERROR(__xludf.DUMMYFUNCTION("""COMPUTED_VALUE"""),366.2026394756942)</f>
        <v>366.2026395</v>
      </c>
      <c r="Z35" s="80">
        <f>IFERROR(__xludf.DUMMYFUNCTION("""COMPUTED_VALUE"""),0.8431060106349821)</f>
        <v>0.8431060106</v>
      </c>
      <c r="AA35" s="80">
        <f>IFERROR(__xludf.DUMMYFUNCTION("""COMPUTED_VALUE"""),0.6614673658105944)</f>
        <v>0.6614673658</v>
      </c>
      <c r="AB35" s="80">
        <f>IFERROR(__xludf.DUMMYFUNCTION("""COMPUTED_VALUE"""),1.2912925431596376)</f>
        <v>1.291292543</v>
      </c>
      <c r="AC35" s="80">
        <f>IFERROR(__xludf.DUMMYFUNCTION("""COMPUTED_VALUE"""),2.734708362452725)</f>
        <v>2.734708362</v>
      </c>
      <c r="AD35" s="80">
        <f>IFERROR(__xludf.DUMMYFUNCTION("""COMPUTED_VALUE"""),0.970910533329454)</f>
        <v>0.9709105333</v>
      </c>
      <c r="AE35" s="80">
        <f>IFERROR(__xludf.DUMMYFUNCTION("""COMPUTED_VALUE"""),0.6523497556206124)</f>
        <v>0.6523497556</v>
      </c>
      <c r="AF35" s="80">
        <f>IFERROR(__xludf.DUMMYFUNCTION("""COMPUTED_VALUE"""),0.9826637466890876)</f>
        <v>0.9826637467</v>
      </c>
      <c r="AG35" s="80">
        <f>IFERROR(__xludf.DUMMYFUNCTION("""COMPUTED_VALUE"""),1.1229058881204597)</f>
        <v>1.122905888</v>
      </c>
      <c r="AH35" s="80">
        <f>IFERROR(__xludf.DUMMYFUNCTION("""COMPUTED_VALUE"""),1.0421586590841707)</f>
        <v>1.042158659</v>
      </c>
      <c r="AI35" s="80">
        <f>IFERROR(__xludf.DUMMYFUNCTION("""COMPUTED_VALUE"""),1.0242901792066814)</f>
        <v>1.024290179</v>
      </c>
      <c r="AJ35" s="80">
        <f>IFERROR(__xludf.DUMMYFUNCTION("""COMPUTED_VALUE"""),1.0184561945248245)</f>
        <v>1.018456195</v>
      </c>
      <c r="AK35" s="80">
        <f>IFERROR(__xludf.DUMMYFUNCTION("""COMPUTED_VALUE"""),0.9904977287679472)</f>
        <v>0.9904977288</v>
      </c>
      <c r="AL35" s="80">
        <f>IFERROR(__xludf.DUMMYFUNCTION("""COMPUTED_VALUE"""),0.9789205452465111)</f>
        <v>0.9789205452</v>
      </c>
      <c r="AM35" s="80">
        <f>IFERROR(__xludf.DUMMYFUNCTION("""COMPUTED_VALUE"""),1.0558951773380207)</f>
        <v>1.055895177</v>
      </c>
      <c r="AN35" s="80">
        <f>IFERROR(__xludf.DUMMYFUNCTION("""COMPUTED_VALUE"""),0.9743237573679663)</f>
        <v>0.9743237574</v>
      </c>
      <c r="AO35" s="80">
        <f>IFERROR(__xludf.DUMMYFUNCTION("""COMPUTED_VALUE"""),0.6946205149070728)</f>
        <v>0.6946205149</v>
      </c>
      <c r="AP35" s="80">
        <f>IFERROR(__xludf.DUMMYFUNCTION("""COMPUTED_VALUE"""),1.0919200338032875)</f>
        <v>1.091920034</v>
      </c>
      <c r="AQ35" s="80">
        <f>IFERROR(__xludf.DUMMYFUNCTION("""COMPUTED_VALUE"""),1.0080474535471455)</f>
        <v>1.008047454</v>
      </c>
      <c r="AR35" s="80">
        <f>IFERROR(__xludf.DUMMYFUNCTION("""COMPUTED_VALUE"""),1.074637082844965)</f>
        <v>1.074637083</v>
      </c>
      <c r="AS35" s="80">
        <f>IFERROR(__xludf.DUMMYFUNCTION("""COMPUTED_VALUE"""),43.0)</f>
        <v>43</v>
      </c>
      <c r="AT35" s="80">
        <f>IFERROR(__xludf.DUMMYFUNCTION("""COMPUTED_VALUE"""),0.4338811624413912)</f>
        <v>0.4338811624</v>
      </c>
      <c r="AU35" s="80">
        <f>IFERROR(__xludf.DUMMYFUNCTION("""COMPUTED_VALUE"""),2.2128180182879307)</f>
        <v>2.212818018</v>
      </c>
      <c r="AV35" s="80">
        <f>IFERROR(__xludf.DUMMYFUNCTION("""COMPUTED_VALUE"""),44.40115109650591)</f>
        <v>44.4011511</v>
      </c>
      <c r="AW35" s="82">
        <f t="shared" si="1"/>
        <v>-2.430744649</v>
      </c>
      <c r="AX35" s="83">
        <f t="array" ref="AX35">IFERROR(DGET('SBV Import'!A:G,"SBV",{"RSC ID","Tier";B35,A35}))</f>
        <v>46.26185614</v>
      </c>
      <c r="AY35" s="82">
        <f t="shared" si="2"/>
        <v>-2.269789987</v>
      </c>
      <c r="AZ35" s="82">
        <v>0.16095466179666085</v>
      </c>
      <c r="BA35" s="84">
        <v>2.0</v>
      </c>
      <c r="BB35" s="84" t="b">
        <f>IFERROR(__xludf.DUMMYFUNCTION("iferror(if(A35="""",,E35&gt;=FILTER(Constants!$F$2:$F$10,Constants!$A$2:$A$10=A35)))"),TRUE)</f>
        <v>1</v>
      </c>
    </row>
    <row r="36">
      <c r="A36" s="80" t="str">
        <f>IFERROR(__xludf.DUMMYFUNCTION("""COMPUTED_VALUE"""),"Premier")</f>
        <v>Premier</v>
      </c>
      <c r="B36" s="79" t="str">
        <f>IFERROR(__xludf.DUMMYFUNCTION("""COMPUTED_VALUE"""),"RSC001214")</f>
        <v>RSC001214</v>
      </c>
      <c r="C36" s="80" t="str">
        <f>IFERROR(__xludf.DUMMYFUNCTION("""COMPUTED_VALUE"""),"Corrupt")</f>
        <v>Corrupt</v>
      </c>
      <c r="D36" s="80" t="str">
        <f>IFERROR(__xludf.DUMMYFUNCTION("""COMPUTED_VALUE"""),"Interstellar")</f>
        <v>Interstellar</v>
      </c>
      <c r="E36" s="80">
        <f>IFERROR(__xludf.DUMMYFUNCTION("""COMPUTED_VALUE"""),23.0)</f>
        <v>23</v>
      </c>
      <c r="F36" s="80">
        <f>IFERROR(__xludf.DUMMYFUNCTION("""COMPUTED_VALUE"""),12.0)</f>
        <v>12</v>
      </c>
      <c r="G36" s="80">
        <f>IFERROR(__xludf.DUMMYFUNCTION("""COMPUTED_VALUE"""),11.0)</f>
        <v>11</v>
      </c>
      <c r="H36" s="81">
        <f>IFERROR(__xludf.DUMMYFUNCTION("""COMPUTED_VALUE"""),0.5217391304347826)</f>
        <v>0.5217391304</v>
      </c>
      <c r="I36" s="81">
        <f>IFERROR(__xludf.DUMMYFUNCTION("""COMPUTED_VALUE"""),0.5)</f>
        <v>0.5</v>
      </c>
      <c r="J36" s="80">
        <f>IFERROR(__xludf.DUMMYFUNCTION("""COMPUTED_VALUE"""),363.0869565217391)</f>
        <v>363.0869565</v>
      </c>
      <c r="K36" s="80">
        <f>IFERROR(__xludf.DUMMYFUNCTION("""COMPUTED_VALUE"""),0.9130434782608695)</f>
        <v>0.9130434783</v>
      </c>
      <c r="L36" s="80">
        <f>IFERROR(__xludf.DUMMYFUNCTION("""COMPUTED_VALUE"""),0.5217391304347826)</f>
        <v>0.5217391304</v>
      </c>
      <c r="M36" s="80">
        <f>IFERROR(__xludf.DUMMYFUNCTION("""COMPUTED_VALUE"""),1.608695652173913)</f>
        <v>1.608695652</v>
      </c>
      <c r="N36" s="80">
        <f>IFERROR(__xludf.DUMMYFUNCTION("""COMPUTED_VALUE"""),1.826086956521739)</f>
        <v>1.826086957</v>
      </c>
      <c r="O36" s="80">
        <f>IFERROR(__xludf.DUMMYFUNCTION("""COMPUTED_VALUE"""),343.27536231884056)</f>
        <v>343.2753623</v>
      </c>
      <c r="P36" s="80">
        <f>IFERROR(__xludf.DUMMYFUNCTION("""COMPUTED_VALUE"""),0.782608695652174)</f>
        <v>0.7826086957</v>
      </c>
      <c r="Q36" s="80">
        <f>IFERROR(__xludf.DUMMYFUNCTION("""COMPUTED_VALUE"""),0.6231884057971014)</f>
        <v>0.6231884058</v>
      </c>
      <c r="R36" s="80">
        <f>IFERROR(__xludf.DUMMYFUNCTION("""COMPUTED_VALUE"""),1.0869565217391304)</f>
        <v>1.086956522</v>
      </c>
      <c r="S36" s="80">
        <f>IFERROR(__xludf.DUMMYFUNCTION("""COMPUTED_VALUE"""),3.0)</f>
        <v>3</v>
      </c>
      <c r="T36" s="80">
        <f>IFERROR(__xludf.DUMMYFUNCTION("""COMPUTED_VALUE"""),368.91888908023975)</f>
        <v>368.9188891</v>
      </c>
      <c r="U36" s="80">
        <f>IFERROR(__xludf.DUMMYFUNCTION("""COMPUTED_VALUE"""),0.8410218382921449)</f>
        <v>0.8410218383</v>
      </c>
      <c r="V36" s="80">
        <f>IFERROR(__xludf.DUMMYFUNCTION("""COMPUTED_VALUE"""),0.6332231130229128)</f>
        <v>0.633223113</v>
      </c>
      <c r="W36" s="80">
        <f>IFERROR(__xludf.DUMMYFUNCTION("""COMPUTED_VALUE"""),1.341710316923993)</f>
        <v>1.341710317</v>
      </c>
      <c r="X36" s="80">
        <f>IFERROR(__xludf.DUMMYFUNCTION("""COMPUTED_VALUE"""),2.6875091760175858)</f>
        <v>2.687509176</v>
      </c>
      <c r="Y36" s="80">
        <f>IFERROR(__xludf.DUMMYFUNCTION("""COMPUTED_VALUE"""),360.2831975459161)</f>
        <v>360.2831975</v>
      </c>
      <c r="Z36" s="80">
        <f>IFERROR(__xludf.DUMMYFUNCTION("""COMPUTED_VALUE"""),0.7981066195662732)</f>
        <v>0.7981066196</v>
      </c>
      <c r="AA36" s="80">
        <f>IFERROR(__xludf.DUMMYFUNCTION("""COMPUTED_VALUE"""),0.6147277694531885)</f>
        <v>0.6147277695</v>
      </c>
      <c r="AB36" s="80">
        <f>IFERROR(__xludf.DUMMYFUNCTION("""COMPUTED_VALUE"""),1.3514399820830694)</f>
        <v>1.351439982</v>
      </c>
      <c r="AC36" s="80">
        <f>IFERROR(__xludf.DUMMYFUNCTION("""COMPUTED_VALUE"""),2.6303539332767754)</f>
        <v>2.630353933</v>
      </c>
      <c r="AD36" s="80">
        <f>IFERROR(__xludf.DUMMYFUNCTION("""COMPUTED_VALUE"""),1.0077820975136254)</f>
        <v>1.007782098</v>
      </c>
      <c r="AE36" s="80">
        <f>IFERROR(__xludf.DUMMYFUNCTION("""COMPUTED_VALUE"""),1.1440119100340982)</f>
        <v>1.14401191</v>
      </c>
      <c r="AF36" s="80">
        <f>IFERROR(__xludf.DUMMYFUNCTION("""COMPUTED_VALUE"""),0.8487320019703665)</f>
        <v>0.848732002</v>
      </c>
      <c r="AG36" s="80">
        <f>IFERROR(__xludf.DUMMYFUNCTION("""COMPUTED_VALUE"""),1.1903567109908333)</f>
        <v>1.190356711</v>
      </c>
      <c r="AH36" s="80">
        <f>IFERROR(__xludf.DUMMYFUNCTION("""COMPUTED_VALUE"""),0.6942362141534629)</f>
        <v>0.6942362142</v>
      </c>
      <c r="AI36" s="80">
        <f>IFERROR(__xludf.DUMMYFUNCTION("""COMPUTED_VALUE"""),0.9304900683580294)</f>
        <v>0.9304900684</v>
      </c>
      <c r="AJ36" s="80">
        <f>IFERROR(__xludf.DUMMYFUNCTION("""COMPUTED_VALUE"""),0.9305450346466746)</f>
        <v>0.9305450346</v>
      </c>
      <c r="AK36" s="80">
        <f>IFERROR(__xludf.DUMMYFUNCTION("""COMPUTED_VALUE"""),0.9841529675410817)</f>
        <v>0.9841529675</v>
      </c>
      <c r="AL36" s="80">
        <f>IFERROR(__xludf.DUMMYFUNCTION("""COMPUTED_VALUE"""),0.8101275722699133)</f>
        <v>0.8101275723</v>
      </c>
      <c r="AM36" s="80">
        <f>IFERROR(__xludf.DUMMYFUNCTION("""COMPUTED_VALUE"""),1.1162752584329667)</f>
        <v>1.116275258</v>
      </c>
      <c r="AN36" s="80">
        <f>IFERROR(__xludf.DUMMYFUNCTION("""COMPUTED_VALUE"""),0.9949774932627206)</f>
        <v>0.9949774933</v>
      </c>
      <c r="AO36" s="80">
        <f>IFERROR(__xludf.DUMMYFUNCTION("""COMPUTED_VALUE"""),1.1531249654583815)</f>
        <v>1.153124965</v>
      </c>
      <c r="AP36" s="80">
        <f>IFERROR(__xludf.DUMMYFUNCTION("""COMPUTED_VALUE"""),0.8764575522166856)</f>
        <v>0.8764575522</v>
      </c>
      <c r="AQ36" s="80">
        <f>IFERROR(__xludf.DUMMYFUNCTION("""COMPUTED_VALUE"""),1.1183734866939845)</f>
        <v>1.118373487</v>
      </c>
      <c r="AR36" s="80">
        <f>IFERROR(__xludf.DUMMYFUNCTION("""COMPUTED_VALUE"""),0.6885546526237761)</f>
        <v>0.6885546526</v>
      </c>
      <c r="AS36" s="80">
        <f>IFERROR(__xludf.DUMMYFUNCTION("""COMPUTED_VALUE"""),54.0)</f>
        <v>54</v>
      </c>
      <c r="AT36" s="80">
        <f>IFERROR(__xludf.DUMMYFUNCTION("""COMPUTED_VALUE"""),0.4999999999999999)</f>
        <v>0.5</v>
      </c>
      <c r="AU36" s="80">
        <f>IFERROR(__xludf.DUMMYFUNCTION("""COMPUTED_VALUE"""),2.2040982794017574)</f>
        <v>2.204098279</v>
      </c>
      <c r="AV36" s="80">
        <f>IFERROR(__xludf.DUMMYFUNCTION("""COMPUTED_VALUE"""),44.13764128533073)</f>
        <v>44.13764129</v>
      </c>
      <c r="AW36" s="82">
        <f t="shared" si="1"/>
        <v>-2.455189055</v>
      </c>
      <c r="AX36" s="83">
        <f t="array" ref="AX36">IFERROR(DGET('SBV Import'!A:G,"SBV",{"RSC ID","Tier";B36,A36}))</f>
        <v>37.9853748</v>
      </c>
      <c r="AY36" s="82">
        <f t="shared" si="2"/>
        <v>-3.170519381</v>
      </c>
      <c r="AZ36" s="82">
        <v>0.715330325497725</v>
      </c>
      <c r="BA36" s="84">
        <v>2.0</v>
      </c>
      <c r="BB36" s="84" t="b">
        <f>IFERROR(__xludf.DUMMYFUNCTION("iferror(if(A36="""",,E36&gt;=FILTER(Constants!$F$2:$F$10,Constants!$A$2:$A$10=A36)))"),TRUE)</f>
        <v>1</v>
      </c>
    </row>
    <row r="37">
      <c r="A37" s="80" t="str">
        <f>IFERROR(__xludf.DUMMYFUNCTION("""COMPUTED_VALUE"""),"Premier")</f>
        <v>Premier</v>
      </c>
      <c r="B37" s="79" t="str">
        <f>IFERROR(__xludf.DUMMYFUNCTION("""COMPUTED_VALUE"""),"RSC007962")</f>
        <v>RSC007962</v>
      </c>
      <c r="C37" s="80" t="str">
        <f>IFERROR(__xludf.DUMMYFUNCTION("""COMPUTED_VALUE"""),"Kamikazi")</f>
        <v>Kamikazi</v>
      </c>
      <c r="D37" s="80" t="str">
        <f>IFERROR(__xludf.DUMMYFUNCTION("""COMPUTED_VALUE"""),"Feta Forgers")</f>
        <v>Feta Forgers</v>
      </c>
      <c r="E37" s="80">
        <f>IFERROR(__xludf.DUMMYFUNCTION("""COMPUTED_VALUE"""),40.0)</f>
        <v>40</v>
      </c>
      <c r="F37" s="80">
        <f>IFERROR(__xludf.DUMMYFUNCTION("""COMPUTED_VALUE"""),16.0)</f>
        <v>16</v>
      </c>
      <c r="G37" s="80">
        <f>IFERROR(__xludf.DUMMYFUNCTION("""COMPUTED_VALUE"""),24.0)</f>
        <v>24</v>
      </c>
      <c r="H37" s="81">
        <f>IFERROR(__xludf.DUMMYFUNCTION("""COMPUTED_VALUE"""),0.4)</f>
        <v>0.4</v>
      </c>
      <c r="I37" s="81">
        <f>IFERROR(__xludf.DUMMYFUNCTION("""COMPUTED_VALUE"""),0.3211009174311926)</f>
        <v>0.3211009174</v>
      </c>
      <c r="J37" s="80">
        <f>IFERROR(__xludf.DUMMYFUNCTION("""COMPUTED_VALUE"""),360.075)</f>
        <v>360.075</v>
      </c>
      <c r="K37" s="80">
        <f>IFERROR(__xludf.DUMMYFUNCTION("""COMPUTED_VALUE"""),0.875)</f>
        <v>0.875</v>
      </c>
      <c r="L37" s="80">
        <f>IFERROR(__xludf.DUMMYFUNCTION("""COMPUTED_VALUE"""),0.325)</f>
        <v>0.325</v>
      </c>
      <c r="M37" s="80">
        <f>IFERROR(__xludf.DUMMYFUNCTION("""COMPUTED_VALUE"""),1.525)</f>
        <v>1.525</v>
      </c>
      <c r="N37" s="80">
        <f>IFERROR(__xludf.DUMMYFUNCTION("""COMPUTED_VALUE"""),2.725)</f>
        <v>2.725</v>
      </c>
      <c r="O37" s="80">
        <f>IFERROR(__xludf.DUMMYFUNCTION("""COMPUTED_VALUE"""),400.35)</f>
        <v>400.35</v>
      </c>
      <c r="P37" s="80">
        <f>IFERROR(__xludf.DUMMYFUNCTION("""COMPUTED_VALUE"""),0.9916666666666668)</f>
        <v>0.9916666667</v>
      </c>
      <c r="Q37" s="80">
        <f>IFERROR(__xludf.DUMMYFUNCTION("""COMPUTED_VALUE"""),0.8333333333333334)</f>
        <v>0.8333333333</v>
      </c>
      <c r="R37" s="80">
        <f>IFERROR(__xludf.DUMMYFUNCTION("""COMPUTED_VALUE"""),1.4499999999999997)</f>
        <v>1.45</v>
      </c>
      <c r="S37" s="80">
        <f>IFERROR(__xludf.DUMMYFUNCTION("""COMPUTED_VALUE"""),2.9416666666666673)</f>
        <v>2.941666667</v>
      </c>
      <c r="T37" s="80">
        <f>IFERROR(__xludf.DUMMYFUNCTION("""COMPUTED_VALUE"""),377.2933232952389)</f>
        <v>377.2933233</v>
      </c>
      <c r="U37" s="80">
        <f>IFERROR(__xludf.DUMMYFUNCTION("""COMPUTED_VALUE"""),0.9067338066047658)</f>
        <v>0.9067338066</v>
      </c>
      <c r="V37" s="80">
        <f>IFERROR(__xludf.DUMMYFUNCTION("""COMPUTED_VALUE"""),0.7079838132528613)</f>
        <v>0.7079838133</v>
      </c>
      <c r="W37" s="80">
        <f>IFERROR(__xludf.DUMMYFUNCTION("""COMPUTED_VALUE"""),1.3126010042765728)</f>
        <v>1.312601004</v>
      </c>
      <c r="X37" s="80">
        <f>IFERROR(__xludf.DUMMYFUNCTION("""COMPUTED_VALUE"""),2.786869114876593)</f>
        <v>2.786869115</v>
      </c>
      <c r="Y37" s="80">
        <f>IFERROR(__xludf.DUMMYFUNCTION("""COMPUTED_VALUE"""),357.82441512616765)</f>
        <v>357.8244151</v>
      </c>
      <c r="Z37" s="80">
        <f>IFERROR(__xludf.DUMMYFUNCTION("""COMPUTED_VALUE"""),0.749096649064236)</f>
        <v>0.7490966491</v>
      </c>
      <c r="AA37" s="80">
        <f>IFERROR(__xludf.DUMMYFUNCTION("""COMPUTED_VALUE"""),0.5804854500178468)</f>
        <v>0.58048545</v>
      </c>
      <c r="AB37" s="80">
        <f>IFERROR(__xludf.DUMMYFUNCTION("""COMPUTED_VALUE"""),1.4226229347937094)</f>
        <v>1.422622935</v>
      </c>
      <c r="AC37" s="80">
        <f>IFERROR(__xludf.DUMMYFUNCTION("""COMPUTED_VALUE"""),2.4767935487424477)</f>
        <v>2.476793549</v>
      </c>
      <c r="AD37" s="80">
        <f>IFERROR(__xludf.DUMMYFUNCTION("""COMPUTED_VALUE"""),1.0062896347445682)</f>
        <v>1.006289635</v>
      </c>
      <c r="AE37" s="80">
        <f>IFERROR(__xludf.DUMMYFUNCTION("""COMPUTED_VALUE"""),1.1680735738079209)</f>
        <v>1.168073574</v>
      </c>
      <c r="AF37" s="80">
        <f>IFERROR(__xludf.DUMMYFUNCTION("""COMPUTED_VALUE"""),0.559876220825187)</f>
        <v>0.5598762208</v>
      </c>
      <c r="AG37" s="80">
        <f>IFERROR(__xludf.DUMMYFUNCTION("""COMPUTED_VALUE"""),1.0719635981554985)</f>
        <v>1.071963598</v>
      </c>
      <c r="AH37" s="80">
        <f>IFERROR(__xludf.DUMMYFUNCTION("""COMPUTED_VALUE"""),1.100212814016564)</f>
        <v>1.100212814</v>
      </c>
      <c r="AI37" s="80">
        <f>IFERROR(__xludf.DUMMYFUNCTION("""COMPUTED_VALUE"""),1.061110746682148)</f>
        <v>1.061110747</v>
      </c>
      <c r="AJ37" s="80">
        <f>IFERROR(__xludf.DUMMYFUNCTION("""COMPUTED_VALUE"""),1.0936690122759725)</f>
        <v>1.093669012</v>
      </c>
      <c r="AK37" s="80">
        <f>IFERROR(__xludf.DUMMYFUNCTION("""COMPUTED_VALUE"""),1.1770513926081847)</f>
        <v>1.177051393</v>
      </c>
      <c r="AL37" s="80">
        <f>IFERROR(__xludf.DUMMYFUNCTION("""COMPUTED_VALUE"""),1.1046768936453413)</f>
        <v>1.104676894</v>
      </c>
      <c r="AM37" s="80">
        <f>IFERROR(__xludf.DUMMYFUNCTION("""COMPUTED_VALUE"""),1.0555453253845863)</f>
        <v>1.055545325</v>
      </c>
      <c r="AN37" s="80">
        <f>IFERROR(__xludf.DUMMYFUNCTION("""COMPUTED_VALUE"""),0.9867237433111249)</f>
        <v>0.9867237433</v>
      </c>
      <c r="AO37" s="80">
        <f>IFERROR(__xludf.DUMMYFUNCTION("""COMPUTED_VALUE"""),1.1050780918976155)</f>
        <v>1.105078092</v>
      </c>
      <c r="AP37" s="80">
        <f>IFERROR(__xludf.DUMMYFUNCTION("""COMPUTED_VALUE"""),0.5459600169016438)</f>
        <v>0.5459600169</v>
      </c>
      <c r="AQ37" s="80">
        <f>IFERROR(__xludf.DUMMYFUNCTION("""COMPUTED_VALUE"""),1.060187839075446)</f>
        <v>1.060187839</v>
      </c>
      <c r="AR37" s="80">
        <f>IFERROR(__xludf.DUMMYFUNCTION("""COMPUTED_VALUE"""),1.0275038774570278)</f>
        <v>1.027503877</v>
      </c>
      <c r="AS37" s="80">
        <f>IFERROR(__xludf.DUMMYFUNCTION("""COMPUTED_VALUE"""),86.0)</f>
        <v>86</v>
      </c>
      <c r="AT37" s="80">
        <f>IFERROR(__xludf.DUMMYFUNCTION("""COMPUTED_VALUE"""),0.3730584295332828)</f>
        <v>0.3730584295</v>
      </c>
      <c r="AU37" s="80">
        <f>IFERROR(__xludf.DUMMYFUNCTION("""COMPUTED_VALUE"""),2.1715486278901963)</f>
        <v>2.171548628</v>
      </c>
      <c r="AV37" s="80">
        <f>IFERROR(__xludf.DUMMYFUNCTION("""COMPUTED_VALUE"""),43.15399342206386)</f>
        <v>43.15399342</v>
      </c>
      <c r="AW37" s="82">
        <f t="shared" si="1"/>
        <v>-2.550345802</v>
      </c>
      <c r="AX37" s="83">
        <f t="array" ref="AX37">IFERROR(DGET('SBV Import'!A:G,"SBV",{"RSC ID","Tier";B37,A37}))</f>
        <v>35.22192806</v>
      </c>
      <c r="AY37" s="82">
        <f t="shared" si="2"/>
        <v>-3.607255758</v>
      </c>
      <c r="AZ37" s="82">
        <v>1.0569099563928712</v>
      </c>
      <c r="BA37" s="84">
        <v>2.0</v>
      </c>
      <c r="BB37" s="84" t="b">
        <f>IFERROR(__xludf.DUMMYFUNCTION("iferror(if(A37="""",,E37&gt;=FILTER(Constants!$F$2:$F$10,Constants!$A$2:$A$10=A37)))"),TRUE)</f>
        <v>1</v>
      </c>
    </row>
    <row r="38">
      <c r="A38" s="80" t="str">
        <f>IFERROR(__xludf.DUMMYFUNCTION("""COMPUTED_VALUE"""),"Premier")</f>
        <v>Premier</v>
      </c>
      <c r="B38" s="79" t="str">
        <f>IFERROR(__xludf.DUMMYFUNCTION("""COMPUTED_VALUE"""),"RSC001977")</f>
        <v>RSC001977</v>
      </c>
      <c r="C38" s="80" t="str">
        <f>IFERROR(__xludf.DUMMYFUNCTION("""COMPUTED_VALUE"""),"LaMelo Ball")</f>
        <v>LaMelo Ball</v>
      </c>
      <c r="D38" s="80" t="str">
        <f>IFERROR(__xludf.DUMMYFUNCTION("""COMPUTED_VALUE"""),"Capybaras")</f>
        <v>Capybaras</v>
      </c>
      <c r="E38" s="80">
        <f>IFERROR(__xludf.DUMMYFUNCTION("""COMPUTED_VALUE"""),32.0)</f>
        <v>32</v>
      </c>
      <c r="F38" s="80">
        <f>IFERROR(__xludf.DUMMYFUNCTION("""COMPUTED_VALUE"""),16.0)</f>
        <v>16</v>
      </c>
      <c r="G38" s="80">
        <f>IFERROR(__xludf.DUMMYFUNCTION("""COMPUTED_VALUE"""),16.0)</f>
        <v>16</v>
      </c>
      <c r="H38" s="81">
        <f>IFERROR(__xludf.DUMMYFUNCTION("""COMPUTED_VALUE"""),0.5)</f>
        <v>0.5</v>
      </c>
      <c r="I38" s="81">
        <f>IFERROR(__xludf.DUMMYFUNCTION("""COMPUTED_VALUE"""),0.3287671232876712)</f>
        <v>0.3287671233</v>
      </c>
      <c r="J38" s="80">
        <f>IFERROR(__xludf.DUMMYFUNCTION("""COMPUTED_VALUE"""),321.375)</f>
        <v>321.375</v>
      </c>
      <c r="K38" s="80">
        <f>IFERROR(__xludf.DUMMYFUNCTION("""COMPUTED_VALUE"""),0.75)</f>
        <v>0.75</v>
      </c>
      <c r="L38" s="80">
        <f>IFERROR(__xludf.DUMMYFUNCTION("""COMPUTED_VALUE"""),0.59375)</f>
        <v>0.59375</v>
      </c>
      <c r="M38" s="80">
        <f>IFERROR(__xludf.DUMMYFUNCTION("""COMPUTED_VALUE"""),0.8125)</f>
        <v>0.8125</v>
      </c>
      <c r="N38" s="80">
        <f>IFERROR(__xludf.DUMMYFUNCTION("""COMPUTED_VALUE"""),2.28125)</f>
        <v>2.28125</v>
      </c>
      <c r="O38" s="80">
        <f>IFERROR(__xludf.DUMMYFUNCTION("""COMPUTED_VALUE"""),358.5416666666667)</f>
        <v>358.5416667</v>
      </c>
      <c r="P38" s="80">
        <f>IFERROR(__xludf.DUMMYFUNCTION("""COMPUTED_VALUE"""),0.8541666666666667)</f>
        <v>0.8541666667</v>
      </c>
      <c r="Q38" s="80">
        <f>IFERROR(__xludf.DUMMYFUNCTION("""COMPUTED_VALUE"""),0.59375)</f>
        <v>0.59375</v>
      </c>
      <c r="R38" s="80">
        <f>IFERROR(__xludf.DUMMYFUNCTION("""COMPUTED_VALUE"""),1.2083333333333333)</f>
        <v>1.208333333</v>
      </c>
      <c r="S38" s="80">
        <f>IFERROR(__xludf.DUMMYFUNCTION("""COMPUTED_VALUE"""),2.7812499999999996)</f>
        <v>2.78125</v>
      </c>
      <c r="T38" s="80">
        <f>IFERROR(__xludf.DUMMYFUNCTION("""COMPUTED_VALUE"""),370.40015184961425)</f>
        <v>370.4001518</v>
      </c>
      <c r="U38" s="80">
        <f>IFERROR(__xludf.DUMMYFUNCTION("""COMPUTED_VALUE"""),0.83345677804265)</f>
        <v>0.833456778</v>
      </c>
      <c r="V38" s="80">
        <f>IFERROR(__xludf.DUMMYFUNCTION("""COMPUTED_VALUE"""),0.6340997213753095)</f>
        <v>0.6340997214</v>
      </c>
      <c r="W38" s="80">
        <f>IFERROR(__xludf.DUMMYFUNCTION("""COMPUTED_VALUE"""),1.4155180201063695)</f>
        <v>1.41551802</v>
      </c>
      <c r="X38" s="80">
        <f>IFERROR(__xludf.DUMMYFUNCTION("""COMPUTED_VALUE"""),2.647761242246869)</f>
        <v>2.647761242</v>
      </c>
      <c r="Y38" s="80">
        <f>IFERROR(__xludf.DUMMYFUNCTION("""COMPUTED_VALUE"""),367.3923908456568)</f>
        <v>367.3923908</v>
      </c>
      <c r="Z38" s="80">
        <f>IFERROR(__xludf.DUMMYFUNCTION("""COMPUTED_VALUE"""),0.8066128084763821)</f>
        <v>0.8066128085</v>
      </c>
      <c r="AA38" s="80">
        <f>IFERROR(__xludf.DUMMYFUNCTION("""COMPUTED_VALUE"""),0.6326215356522646)</f>
        <v>0.6326215357</v>
      </c>
      <c r="AB38" s="80">
        <f>IFERROR(__xludf.DUMMYFUNCTION("""COMPUTED_VALUE"""),1.3858332738020698)</f>
        <v>1.385833274</v>
      </c>
      <c r="AC38" s="80">
        <f>IFERROR(__xludf.DUMMYFUNCTION("""COMPUTED_VALUE"""),2.6894826002311025)</f>
        <v>2.6894826</v>
      </c>
      <c r="AD38" s="80">
        <f>IFERROR(__xludf.DUMMYFUNCTION("""COMPUTED_VALUE"""),0.8747459337964653)</f>
        <v>0.8747459338</v>
      </c>
      <c r="AE38" s="80">
        <f>IFERROR(__xludf.DUMMYFUNCTION("""COMPUTED_VALUE"""),0.9298141464139176)</f>
        <v>0.9298141464</v>
      </c>
      <c r="AF38" s="80">
        <f>IFERROR(__xludf.DUMMYFUNCTION("""COMPUTED_VALUE"""),0.9385548334010063)</f>
        <v>0.9385548334</v>
      </c>
      <c r="AG38" s="80">
        <f>IFERROR(__xludf.DUMMYFUNCTION("""COMPUTED_VALUE"""),0.5862898628280767)</f>
        <v>0.5862898628</v>
      </c>
      <c r="AH38" s="80">
        <f>IFERROR(__xludf.DUMMYFUNCTION("""COMPUTED_VALUE"""),0.8482114737622679)</f>
        <v>0.8482114738</v>
      </c>
      <c r="AI38" s="80">
        <f>IFERROR(__xludf.DUMMYFUNCTION("""COMPUTED_VALUE"""),0.9679846643589871)</f>
        <v>0.9679846644</v>
      </c>
      <c r="AJ38" s="80">
        <f>IFERROR(__xludf.DUMMYFUNCTION("""COMPUTED_VALUE"""),1.0248481854963774)</f>
        <v>1.024848185</v>
      </c>
      <c r="AK38" s="80">
        <f>IFERROR(__xludf.DUMMYFUNCTION("""COMPUTED_VALUE"""),0.9363669151473616)</f>
        <v>0.9363669151</v>
      </c>
      <c r="AL38" s="80">
        <f>IFERROR(__xludf.DUMMYFUNCTION("""COMPUTED_VALUE"""),0.853633310328704)</f>
        <v>0.8536333103</v>
      </c>
      <c r="AM38" s="80">
        <f>IFERROR(__xludf.DUMMYFUNCTION("""COMPUTED_VALUE"""),1.050415708041656)</f>
        <v>1.050415708</v>
      </c>
      <c r="AN38" s="80">
        <f>IFERROR(__xludf.DUMMYFUNCTION("""COMPUTED_VALUE"""),0.8806730348027849)</f>
        <v>0.8806730348</v>
      </c>
      <c r="AO38" s="80">
        <f>IFERROR(__xludf.DUMMYFUNCTION("""COMPUTED_VALUE"""),0.9472097930550991)</f>
        <v>0.9472097931</v>
      </c>
      <c r="AP38" s="80">
        <f>IFERROR(__xludf.DUMMYFUNCTION("""COMPUTED_VALUE"""),0.9974269539549261)</f>
        <v>0.997426954</v>
      </c>
      <c r="AQ38" s="80">
        <f>IFERROR(__xludf.DUMMYFUNCTION("""COMPUTED_VALUE"""),0.5648541765565902)</f>
        <v>0.5648541766</v>
      </c>
      <c r="AR38" s="80">
        <f>IFERROR(__xludf.DUMMYFUNCTION("""COMPUTED_VALUE"""),0.8601809983298513)</f>
        <v>0.8601809983</v>
      </c>
      <c r="AS38" s="80">
        <f>IFERROR(__xludf.DUMMYFUNCTION("""COMPUTED_VALUE"""),79.0)</f>
        <v>79</v>
      </c>
      <c r="AT38" s="80">
        <f>IFERROR(__xludf.DUMMYFUNCTION("""COMPUTED_VALUE"""),0.4851895050825865)</f>
        <v>0.4851895051</v>
      </c>
      <c r="AU38" s="80">
        <f>IFERROR(__xludf.DUMMYFUNCTION("""COMPUTED_VALUE"""),2.146615569786057)</f>
        <v>2.14661557</v>
      </c>
      <c r="AV38" s="80">
        <f>IFERROR(__xludf.DUMMYFUNCTION("""COMPUTED_VALUE"""),42.40051840190476)</f>
        <v>42.4005184</v>
      </c>
      <c r="AW38" s="82">
        <f t="shared" si="1"/>
        <v>-2.627624756</v>
      </c>
      <c r="AX38" s="83">
        <f t="array" ref="AX38">IFERROR(DGET('SBV Import'!A:G,"SBV",{"RSC ID","Tier";B38,A38}))</f>
        <v>32.40229044</v>
      </c>
      <c r="AY38" s="82">
        <f t="shared" si="2"/>
        <v>-4.153774124</v>
      </c>
      <c r="AZ38" s="82">
        <v>1.526149368015615</v>
      </c>
      <c r="BA38" s="84">
        <v>2.0</v>
      </c>
      <c r="BB38" s="84" t="b">
        <f>IFERROR(__xludf.DUMMYFUNCTION("iferror(if(A38="""",,E38&gt;=FILTER(Constants!$F$2:$F$10,Constants!$A$2:$A$10=A38)))"),TRUE)</f>
        <v>1</v>
      </c>
    </row>
    <row r="39">
      <c r="A39" s="80" t="str">
        <f>IFERROR(__xludf.DUMMYFUNCTION("""COMPUTED_VALUE"""),"Premier")</f>
        <v>Premier</v>
      </c>
      <c r="B39" s="79" t="str">
        <f>IFERROR(__xludf.DUMMYFUNCTION("""COMPUTED_VALUE"""),"RSC006889")</f>
        <v>RSC006889</v>
      </c>
      <c r="C39" s="80" t="str">
        <f>IFERROR(__xludf.DUMMYFUNCTION("""COMPUTED_VALUE"""),"Jay")</f>
        <v>Jay</v>
      </c>
      <c r="D39" s="80" t="str">
        <f>IFERROR(__xludf.DUMMYFUNCTION("""COMPUTED_VALUE"""),"Basilisks")</f>
        <v>Basilisks</v>
      </c>
      <c r="E39" s="80">
        <f>IFERROR(__xludf.DUMMYFUNCTION("""COMPUTED_VALUE"""),4.0)</f>
        <v>4</v>
      </c>
      <c r="F39" s="80">
        <f>IFERROR(__xludf.DUMMYFUNCTION("""COMPUTED_VALUE"""),3.0)</f>
        <v>3</v>
      </c>
      <c r="G39" s="80">
        <f>IFERROR(__xludf.DUMMYFUNCTION("""COMPUTED_VALUE"""),1.0)</f>
        <v>1</v>
      </c>
      <c r="H39" s="81">
        <f>IFERROR(__xludf.DUMMYFUNCTION("""COMPUTED_VALUE"""),0.75)</f>
        <v>0.75</v>
      </c>
      <c r="I39" s="81">
        <f>IFERROR(__xludf.DUMMYFUNCTION("""COMPUTED_VALUE"""),0.2)</f>
        <v>0.2</v>
      </c>
      <c r="J39" s="80">
        <f>IFERROR(__xludf.DUMMYFUNCTION("""COMPUTED_VALUE"""),401.5)</f>
        <v>401.5</v>
      </c>
      <c r="K39" s="80">
        <f>IFERROR(__xludf.DUMMYFUNCTION("""COMPUTED_VALUE"""),0.75)</f>
        <v>0.75</v>
      </c>
      <c r="L39" s="80">
        <f>IFERROR(__xludf.DUMMYFUNCTION("""COMPUTED_VALUE"""),0.0)</f>
        <v>0</v>
      </c>
      <c r="M39" s="80">
        <f>IFERROR(__xludf.DUMMYFUNCTION("""COMPUTED_VALUE"""),1.75)</f>
        <v>1.75</v>
      </c>
      <c r="N39" s="80">
        <f>IFERROR(__xludf.DUMMYFUNCTION("""COMPUTED_VALUE"""),3.75)</f>
        <v>3.75</v>
      </c>
      <c r="O39" s="80">
        <f>IFERROR(__xludf.DUMMYFUNCTION("""COMPUTED_VALUE"""),426.5)</f>
        <v>426.5</v>
      </c>
      <c r="P39" s="80">
        <f>IFERROR(__xludf.DUMMYFUNCTION("""COMPUTED_VALUE"""),0.8333333333333334)</f>
        <v>0.8333333333</v>
      </c>
      <c r="Q39" s="80">
        <f>IFERROR(__xludf.DUMMYFUNCTION("""COMPUTED_VALUE"""),0.49999999999999994)</f>
        <v>0.5</v>
      </c>
      <c r="R39" s="80">
        <f>IFERROR(__xludf.DUMMYFUNCTION("""COMPUTED_VALUE"""),2.0833333333333335)</f>
        <v>2.083333333</v>
      </c>
      <c r="S39" s="80">
        <f>IFERROR(__xludf.DUMMYFUNCTION("""COMPUTED_VALUE"""),2.666666666666667)</f>
        <v>2.666666667</v>
      </c>
      <c r="T39" s="80">
        <f>IFERROR(__xludf.DUMMYFUNCTION("""COMPUTED_VALUE"""),367.33772374197906)</f>
        <v>367.3377237</v>
      </c>
      <c r="U39" s="80">
        <f>IFERROR(__xludf.DUMMYFUNCTION("""COMPUTED_VALUE"""),0.8719393785883148)</f>
        <v>0.8719393786</v>
      </c>
      <c r="V39" s="80">
        <f>IFERROR(__xludf.DUMMYFUNCTION("""COMPUTED_VALUE"""),0.5654339750084431)</f>
        <v>0.565433975</v>
      </c>
      <c r="W39" s="80">
        <f>IFERROR(__xludf.DUMMYFUNCTION("""COMPUTED_VALUE"""),1.4655099628503883)</f>
        <v>1.465509963</v>
      </c>
      <c r="X39" s="80">
        <f>IFERROR(__xludf.DUMMYFUNCTION("""COMPUTED_VALUE"""),2.652228976697062)</f>
        <v>2.652228977</v>
      </c>
      <c r="Y39" s="80">
        <f>IFERROR(__xludf.DUMMYFUNCTION("""COMPUTED_VALUE"""),367.9780127772148)</f>
        <v>367.9780128</v>
      </c>
      <c r="Z39" s="80">
        <f>IFERROR(__xludf.DUMMYFUNCTION("""COMPUTED_VALUE"""),0.7813098052459755)</f>
        <v>0.7813098052</v>
      </c>
      <c r="AA39" s="80">
        <f>IFERROR(__xludf.DUMMYFUNCTION("""COMPUTED_VALUE"""),0.5782252617359)</f>
        <v>0.5782252617</v>
      </c>
      <c r="AB39" s="80">
        <f>IFERROR(__xludf.DUMMYFUNCTION("""COMPUTED_VALUE"""),1.4380558369920073)</f>
        <v>1.438055837</v>
      </c>
      <c r="AC39" s="80">
        <f>IFERROR(__xludf.DUMMYFUNCTION("""COMPUTED_VALUE"""),2.695070640549364)</f>
        <v>2.695070641</v>
      </c>
      <c r="AD39" s="80">
        <f>IFERROR(__xludf.DUMMYFUNCTION("""COMPUTED_VALUE"""),1.0910977994847764)</f>
        <v>1.091097799</v>
      </c>
      <c r="AE39" s="80">
        <f>IFERROR(__xludf.DUMMYFUNCTION("""COMPUTED_VALUE"""),0.9599265169389262)</f>
        <v>0.9599265169</v>
      </c>
      <c r="AF39" s="80">
        <f>IFERROR(__xludf.DUMMYFUNCTION("""COMPUTED_VALUE"""),0.0)</f>
        <v>0</v>
      </c>
      <c r="AG39" s="80">
        <f>IFERROR(__xludf.DUMMYFUNCTION("""COMPUTED_VALUE"""),1.2169207585572537)</f>
        <v>1.216920759</v>
      </c>
      <c r="AH39" s="80">
        <f>IFERROR(__xludf.DUMMYFUNCTION("""COMPUTED_VALUE"""),1.3914292054458353)</f>
        <v>1.391429205</v>
      </c>
      <c r="AI39" s="80">
        <f>IFERROR(__xludf.DUMMYFUNCTION("""COMPUTED_VALUE"""),1.1610569033186937)</f>
        <v>1.161056903</v>
      </c>
      <c r="AJ39" s="80">
        <f>IFERROR(__xludf.DUMMYFUNCTION("""COMPUTED_VALUE"""),0.9557239342516158)</f>
        <v>0.9557239343</v>
      </c>
      <c r="AK39" s="80">
        <f>IFERROR(__xludf.DUMMYFUNCTION("""COMPUTED_VALUE"""),0.8842765417351053)</f>
        <v>0.8842765417</v>
      </c>
      <c r="AL39" s="80">
        <f>IFERROR(__xludf.DUMMYFUNCTION("""COMPUTED_VALUE"""),1.4215756877430508)</f>
        <v>1.421575688</v>
      </c>
      <c r="AM39" s="80">
        <f>IFERROR(__xludf.DUMMYFUNCTION("""COMPUTED_VALUE"""),1.00544360615032)</f>
        <v>1.005443606</v>
      </c>
      <c r="AN39" s="80">
        <f>IFERROR(__xludf.DUMMYFUNCTION("""COMPUTED_VALUE"""),1.1002418466692123)</f>
        <v>1.100241847</v>
      </c>
      <c r="AO39" s="80">
        <f>IFERROR(__xludf.DUMMYFUNCTION("""COMPUTED_VALUE"""),0.9472097930550991)</f>
        <v>0.9472097931</v>
      </c>
      <c r="AP39" s="80">
        <f>IFERROR(__xludf.DUMMYFUNCTION("""COMPUTED_VALUE"""),0.0)</f>
        <v>0</v>
      </c>
      <c r="AQ39" s="80">
        <f>IFERROR(__xludf.DUMMYFUNCTION("""COMPUTED_VALUE"""),1.216608995660348)</f>
        <v>1.216608996</v>
      </c>
      <c r="AR39" s="80">
        <f>IFERROR(__xludf.DUMMYFUNCTION("""COMPUTED_VALUE"""),1.4139961616381116)</f>
        <v>1.413996162</v>
      </c>
      <c r="AS39" s="80">
        <f>IFERROR(__xludf.DUMMYFUNCTION("""COMPUTED_VALUE"""),8.0)</f>
        <v>8</v>
      </c>
      <c r="AT39" s="80">
        <f>IFERROR(__xludf.DUMMYFUNCTION("""COMPUTED_VALUE"""),0.41493464975825695)</f>
        <v>0.4149346498</v>
      </c>
      <c r="AU39" s="80">
        <f>IFERROR(__xludf.DUMMYFUNCTION("""COMPUTED_VALUE"""),2.1316666061312306)</f>
        <v>2.131666606</v>
      </c>
      <c r="AV39" s="80">
        <f>IFERROR(__xludf.DUMMYFUNCTION("""COMPUTED_VALUE"""),41.94876191683451)</f>
        <v>41.94876192</v>
      </c>
      <c r="AW39" s="82">
        <f t="shared" si="1"/>
        <v>-2.675888932</v>
      </c>
      <c r="AX39" s="83">
        <f t="array" ref="AX39">IFERROR(DGET('SBV Import'!A:G,"SBV",{"RSC ID","Tier";B39,A39}))</f>
        <v>44.44757167</v>
      </c>
      <c r="AY39" s="82">
        <f t="shared" si="2"/>
        <v>-2.426482819</v>
      </c>
      <c r="AZ39" s="82">
        <v>0.24940611216311748</v>
      </c>
      <c r="BA39" s="84">
        <v>2.0</v>
      </c>
      <c r="BB39" s="84" t="b">
        <f>IFERROR(__xludf.DUMMYFUNCTION("iferror(if(A39="""",,E39&gt;=FILTER(Constants!$F$2:$F$10,Constants!$A$2:$A$10=A39)))"),TRUE)</f>
        <v>1</v>
      </c>
    </row>
    <row r="40">
      <c r="A40" s="80" t="str">
        <f>IFERROR(__xludf.DUMMYFUNCTION("""COMPUTED_VALUE"""),"Premier")</f>
        <v>Premier</v>
      </c>
      <c r="B40" s="79" t="str">
        <f>IFERROR(__xludf.DUMMYFUNCTION("""COMPUTED_VALUE"""),"RSC003804")</f>
        <v>RSC003804</v>
      </c>
      <c r="C40" s="80" t="str">
        <f>IFERROR(__xludf.DUMMYFUNCTION("""COMPUTED_VALUE"""),"ayylo")</f>
        <v>ayylo</v>
      </c>
      <c r="D40" s="80" t="str">
        <f>IFERROR(__xludf.DUMMYFUNCTION("""COMPUTED_VALUE"""),"Hurricanes")</f>
        <v>Hurricanes</v>
      </c>
      <c r="E40" s="80">
        <f>IFERROR(__xludf.DUMMYFUNCTION("""COMPUTED_VALUE"""),42.0)</f>
        <v>42</v>
      </c>
      <c r="F40" s="80">
        <f>IFERROR(__xludf.DUMMYFUNCTION("""COMPUTED_VALUE"""),26.0)</f>
        <v>26</v>
      </c>
      <c r="G40" s="80">
        <f>IFERROR(__xludf.DUMMYFUNCTION("""COMPUTED_VALUE"""),16.0)</f>
        <v>16</v>
      </c>
      <c r="H40" s="81">
        <f>IFERROR(__xludf.DUMMYFUNCTION("""COMPUTED_VALUE"""),0.6190476190476191)</f>
        <v>0.619047619</v>
      </c>
      <c r="I40" s="81">
        <f>IFERROR(__xludf.DUMMYFUNCTION("""COMPUTED_VALUE"""),0.26956521739130435)</f>
        <v>0.2695652174</v>
      </c>
      <c r="J40" s="80">
        <f>IFERROR(__xludf.DUMMYFUNCTION("""COMPUTED_VALUE"""),329.4047619047619)</f>
        <v>329.4047619</v>
      </c>
      <c r="K40" s="80">
        <f>IFERROR(__xludf.DUMMYFUNCTION("""COMPUTED_VALUE"""),0.7380952380952381)</f>
        <v>0.7380952381</v>
      </c>
      <c r="L40" s="80">
        <f>IFERROR(__xludf.DUMMYFUNCTION("""COMPUTED_VALUE"""),0.35714285714285715)</f>
        <v>0.3571428571</v>
      </c>
      <c r="M40" s="80">
        <f>IFERROR(__xludf.DUMMYFUNCTION("""COMPUTED_VALUE"""),1.4047619047619047)</f>
        <v>1.404761905</v>
      </c>
      <c r="N40" s="80">
        <f>IFERROR(__xludf.DUMMYFUNCTION("""COMPUTED_VALUE"""),2.738095238095238)</f>
        <v>2.738095238</v>
      </c>
      <c r="O40" s="80">
        <f>IFERROR(__xludf.DUMMYFUNCTION("""COMPUTED_VALUE"""),371.46031746031747)</f>
        <v>371.4603175</v>
      </c>
      <c r="P40" s="80">
        <f>IFERROR(__xludf.DUMMYFUNCTION("""COMPUTED_VALUE"""),0.6984126984126984)</f>
        <v>0.6984126984</v>
      </c>
      <c r="Q40" s="80">
        <f>IFERROR(__xludf.DUMMYFUNCTION("""COMPUTED_VALUE"""),0.5476190476190478)</f>
        <v>0.5476190476</v>
      </c>
      <c r="R40" s="80">
        <f>IFERROR(__xludf.DUMMYFUNCTION("""COMPUTED_VALUE"""),1.6428571428571428)</f>
        <v>1.642857143</v>
      </c>
      <c r="S40" s="80">
        <f>IFERROR(__xludf.DUMMYFUNCTION("""COMPUTED_VALUE"""),2.7698412698412698)</f>
        <v>2.76984127</v>
      </c>
      <c r="T40" s="80">
        <f>IFERROR(__xludf.DUMMYFUNCTION("""COMPUTED_VALUE"""),375.457054057939)</f>
        <v>375.4570541</v>
      </c>
      <c r="U40" s="80">
        <f>IFERROR(__xludf.DUMMYFUNCTION("""COMPUTED_VALUE"""),0.8541409405624252)</f>
        <v>0.8541409406</v>
      </c>
      <c r="V40" s="80">
        <f>IFERROR(__xludf.DUMMYFUNCTION("""COMPUTED_VALUE"""),0.6667743332438262)</f>
        <v>0.6667743332</v>
      </c>
      <c r="W40" s="80">
        <f>IFERROR(__xludf.DUMMYFUNCTION("""COMPUTED_VALUE"""),1.4262491519226896)</f>
        <v>1.426249152</v>
      </c>
      <c r="X40" s="80">
        <f>IFERROR(__xludf.DUMMYFUNCTION("""COMPUTED_VALUE"""),2.728376310097493)</f>
        <v>2.72837631</v>
      </c>
      <c r="Y40" s="80">
        <f>IFERROR(__xludf.DUMMYFUNCTION("""COMPUTED_VALUE"""),376.24865683329006)</f>
        <v>376.2486568</v>
      </c>
      <c r="Z40" s="80">
        <f>IFERROR(__xludf.DUMMYFUNCTION("""COMPUTED_VALUE"""),0.8329323540648579)</f>
        <v>0.8329323541</v>
      </c>
      <c r="AA40" s="80">
        <f>IFERROR(__xludf.DUMMYFUNCTION("""COMPUTED_VALUE"""),0.6497562894225868)</f>
        <v>0.6497562894</v>
      </c>
      <c r="AB40" s="80">
        <f>IFERROR(__xludf.DUMMYFUNCTION("""COMPUTED_VALUE"""),1.4421636077907567)</f>
        <v>1.442163608</v>
      </c>
      <c r="AC40" s="80">
        <f>IFERROR(__xludf.DUMMYFUNCTION("""COMPUTED_VALUE"""),2.7025191993542395)</f>
        <v>2.702519199</v>
      </c>
      <c r="AD40" s="80">
        <f>IFERROR(__xludf.DUMMYFUNCTION("""COMPUTED_VALUE"""),0.8754975092195906)</f>
        <v>0.8754975092</v>
      </c>
      <c r="AE40" s="80">
        <f>IFERROR(__xludf.DUMMYFUNCTION("""COMPUTED_VALUE"""),0.8861406745616283)</f>
        <v>0.8861406746</v>
      </c>
      <c r="AF40" s="80">
        <f>IFERROR(__xludf.DUMMYFUNCTION("""COMPUTED_VALUE"""),0.5496566373528083)</f>
        <v>0.5496566374</v>
      </c>
      <c r="AG40" s="80">
        <f>IFERROR(__xludf.DUMMYFUNCTION("""COMPUTED_VALUE"""),0.9740655617526311)</f>
        <v>0.9740655618</v>
      </c>
      <c r="AH40" s="80">
        <f>IFERROR(__xludf.DUMMYFUNCTION("""COMPUTED_VALUE"""),1.013164028122168)</f>
        <v>1.013164028</v>
      </c>
      <c r="AI40" s="80">
        <f>IFERROR(__xludf.DUMMYFUNCTION("""COMPUTED_VALUE"""),0.9893550099687173)</f>
        <v>0.98935501</v>
      </c>
      <c r="AJ40" s="80">
        <f>IFERROR(__xludf.DUMMYFUNCTION("""COMPUTED_VALUE"""),0.8176785179654489)</f>
        <v>0.817678518</v>
      </c>
      <c r="AK40" s="80">
        <f>IFERROR(__xludf.DUMMYFUNCTION("""COMPUTED_VALUE"""),0.8212959322457818)</f>
        <v>0.8212959322</v>
      </c>
      <c r="AL40" s="80">
        <f>IFERROR(__xludf.DUMMYFUNCTION("""COMPUTED_VALUE"""),1.1518724765882942)</f>
        <v>1.151872477</v>
      </c>
      <c r="AM40" s="80">
        <f>IFERROR(__xludf.DUMMYFUNCTION("""COMPUTED_VALUE"""),1.0151976688810551)</f>
        <v>1.015197669</v>
      </c>
      <c r="AN40" s="80">
        <f>IFERROR(__xludf.DUMMYFUNCTION("""COMPUTED_VALUE"""),0.9026772192770298)</f>
        <v>0.9026772193</v>
      </c>
      <c r="AO40" s="80">
        <f>IFERROR(__xludf.DUMMYFUNCTION("""COMPUTED_VALUE"""),0.9321747169748595)</f>
        <v>0.932174717</v>
      </c>
      <c r="AP40" s="80">
        <f>IFERROR(__xludf.DUMMYFUNCTION("""COMPUTED_VALUE"""),0.5999560625292789)</f>
        <v>0.5999560625</v>
      </c>
      <c r="AQ40" s="80">
        <f>IFERROR(__xludf.DUMMYFUNCTION("""COMPUTED_VALUE"""),0.9765976971967418)</f>
        <v>0.9765976972</v>
      </c>
      <c r="AR40" s="80">
        <f>IFERROR(__xludf.DUMMYFUNCTION("""COMPUTED_VALUE"""),1.0324416418310023)</f>
        <v>1.032441642</v>
      </c>
      <c r="AS40" s="80">
        <f>IFERROR(__xludf.DUMMYFUNCTION("""COMPUTED_VALUE"""),107.0)</f>
        <v>107</v>
      </c>
      <c r="AT40" s="80">
        <f>IFERROR(__xludf.DUMMYFUNCTION("""COMPUTED_VALUE"""),0.5753555840352581)</f>
        <v>0.575355584</v>
      </c>
      <c r="AU40" s="80">
        <f>IFERROR(__xludf.DUMMYFUNCTION("""COMPUTED_VALUE"""),2.1014982534271516)</f>
        <v>2.101498253</v>
      </c>
      <c r="AV40" s="80">
        <f>IFERROR(__xludf.DUMMYFUNCTION("""COMPUTED_VALUE"""),41.03707671292047)</f>
        <v>41.03707671</v>
      </c>
      <c r="AW40" s="82">
        <f t="shared" si="1"/>
        <v>-2.777945614</v>
      </c>
      <c r="AX40" s="83">
        <f t="array" ref="AX40">IFERROR(DGET('SBV Import'!A:G,"SBV",{"RSC ID","Tier";B40,A40}))</f>
        <v>21.10598176</v>
      </c>
      <c r="AY40" s="82">
        <f t="shared" si="2"/>
        <v>-8.071707758</v>
      </c>
      <c r="AZ40" s="82">
        <v>5.293762143908177</v>
      </c>
      <c r="BA40" s="84">
        <v>2.0</v>
      </c>
      <c r="BB40" s="84" t="b">
        <f>IFERROR(__xludf.DUMMYFUNCTION("iferror(if(A40="""",,E40&gt;=FILTER(Constants!$F$2:$F$10,Constants!$A$2:$A$10=A40)))"),TRUE)</f>
        <v>1</v>
      </c>
    </row>
    <row r="41">
      <c r="A41" s="80" t="str">
        <f>IFERROR(__xludf.DUMMYFUNCTION("""COMPUTED_VALUE"""),"Premier")</f>
        <v>Premier</v>
      </c>
      <c r="B41" s="79" t="str">
        <f>IFERROR(__xludf.DUMMYFUNCTION("""COMPUTED_VALUE"""),"RSC007819")</f>
        <v>RSC007819</v>
      </c>
      <c r="C41" s="80" t="str">
        <f>IFERROR(__xludf.DUMMYFUNCTION("""COMPUTED_VALUE"""),"DivineRL_ TTV")</f>
        <v>DivineRL_ TTV</v>
      </c>
      <c r="D41" s="80" t="str">
        <f>IFERROR(__xludf.DUMMYFUNCTION("""COMPUTED_VALUE"""),"Interstellar")</f>
        <v>Interstellar</v>
      </c>
      <c r="E41" s="80">
        <f>IFERROR(__xludf.DUMMYFUNCTION("""COMPUTED_VALUE"""),48.0)</f>
        <v>48</v>
      </c>
      <c r="F41" s="80">
        <f>IFERROR(__xludf.DUMMYFUNCTION("""COMPUTED_VALUE"""),17.0)</f>
        <v>17</v>
      </c>
      <c r="G41" s="80">
        <f>IFERROR(__xludf.DUMMYFUNCTION("""COMPUTED_VALUE"""),31.0)</f>
        <v>31</v>
      </c>
      <c r="H41" s="81">
        <f>IFERROR(__xludf.DUMMYFUNCTION("""COMPUTED_VALUE"""),0.3541666666666667)</f>
        <v>0.3541666667</v>
      </c>
      <c r="I41" s="81">
        <f>IFERROR(__xludf.DUMMYFUNCTION("""COMPUTED_VALUE"""),0.2884615384615385)</f>
        <v>0.2884615385</v>
      </c>
      <c r="J41" s="80">
        <f>IFERROR(__xludf.DUMMYFUNCTION("""COMPUTED_VALUE"""),369.3333333333333)</f>
        <v>369.3333333</v>
      </c>
      <c r="K41" s="80">
        <f>IFERROR(__xludf.DUMMYFUNCTION("""COMPUTED_VALUE"""),0.625)</f>
        <v>0.625</v>
      </c>
      <c r="L41" s="80">
        <f>IFERROR(__xludf.DUMMYFUNCTION("""COMPUTED_VALUE"""),0.625)</f>
        <v>0.625</v>
      </c>
      <c r="M41" s="80">
        <f>IFERROR(__xludf.DUMMYFUNCTION("""COMPUTED_VALUE"""),1.7083333333333333)</f>
        <v>1.708333333</v>
      </c>
      <c r="N41" s="80">
        <f>IFERROR(__xludf.DUMMYFUNCTION("""COMPUTED_VALUE"""),2.1666666666666665)</f>
        <v>2.166666667</v>
      </c>
      <c r="O41" s="80">
        <f>IFERROR(__xludf.DUMMYFUNCTION("""COMPUTED_VALUE"""),363.6527777777778)</f>
        <v>363.6527778</v>
      </c>
      <c r="P41" s="80">
        <f>IFERROR(__xludf.DUMMYFUNCTION("""COMPUTED_VALUE"""),0.9027777777777776)</f>
        <v>0.9027777778</v>
      </c>
      <c r="Q41" s="80">
        <f>IFERROR(__xludf.DUMMYFUNCTION("""COMPUTED_VALUE"""),0.6875000000000001)</f>
        <v>0.6875</v>
      </c>
      <c r="R41" s="80">
        <f>IFERROR(__xludf.DUMMYFUNCTION("""COMPUTED_VALUE"""),1.152777777777778)</f>
        <v>1.152777778</v>
      </c>
      <c r="S41" s="80">
        <f>IFERROR(__xludf.DUMMYFUNCTION("""COMPUTED_VALUE"""),2.909722222222222)</f>
        <v>2.909722222</v>
      </c>
      <c r="T41" s="80">
        <f>IFERROR(__xludf.DUMMYFUNCTION("""COMPUTED_VALUE"""),372.08181208636296)</f>
        <v>372.0818121</v>
      </c>
      <c r="U41" s="80">
        <f>IFERROR(__xludf.DUMMYFUNCTION("""COMPUTED_VALUE"""),0.8280002068419324)</f>
        <v>0.8280002068</v>
      </c>
      <c r="V41" s="80">
        <f>IFERROR(__xludf.DUMMYFUNCTION("""COMPUTED_VALUE"""),0.6566681102780418)</f>
        <v>0.6566681103</v>
      </c>
      <c r="W41" s="80">
        <f>IFERROR(__xludf.DUMMYFUNCTION("""COMPUTED_VALUE"""),1.4133395674714506)</f>
        <v>1.413339567</v>
      </c>
      <c r="X41" s="80">
        <f>IFERROR(__xludf.DUMMYFUNCTION("""COMPUTED_VALUE"""),2.720265531835583)</f>
        <v>2.720265532</v>
      </c>
      <c r="Y41" s="80">
        <f>IFERROR(__xludf.DUMMYFUNCTION("""COMPUTED_VALUE"""),369.56864498019536)</f>
        <v>369.568645</v>
      </c>
      <c r="Z41" s="80">
        <f>IFERROR(__xludf.DUMMYFUNCTION("""COMPUTED_VALUE"""),0.8112991800586188)</f>
        <v>0.8112991801</v>
      </c>
      <c r="AA41" s="80">
        <f>IFERROR(__xludf.DUMMYFUNCTION("""COMPUTED_VALUE"""),0.6351625496054646)</f>
        <v>0.6351625496</v>
      </c>
      <c r="AB41" s="80">
        <f>IFERROR(__xludf.DUMMYFUNCTION("""COMPUTED_VALUE"""),1.4170291279520122)</f>
        <v>1.417029128</v>
      </c>
      <c r="AC41" s="80">
        <f>IFERROR(__xludf.DUMMYFUNCTION("""COMPUTED_VALUE"""),2.6664264455090314)</f>
        <v>2.666426446</v>
      </c>
      <c r="AD41" s="80">
        <f>IFERROR(__xludf.DUMMYFUNCTION("""COMPUTED_VALUE"""),0.9993632802726685)</f>
        <v>0.9993632803</v>
      </c>
      <c r="AE41" s="80">
        <f>IFERROR(__xludf.DUMMYFUNCTION("""COMPUTED_VALUE"""),0.7703693228863387)</f>
        <v>0.7703693229</v>
      </c>
      <c r="AF41" s="80">
        <f>IFERROR(__xludf.DUMMYFUNCTION("""COMPUTED_VALUE"""),0.9840000805907446)</f>
        <v>0.9840000806</v>
      </c>
      <c r="AG41" s="80">
        <f>IFERROR(__xludf.DUMMYFUNCTION("""COMPUTED_VALUE"""),1.2055739008007083)</f>
        <v>1.205573901</v>
      </c>
      <c r="AH41" s="80">
        <f>IFERROR(__xludf.DUMMYFUNCTION("""COMPUTED_VALUE"""),0.8125731989779457)</f>
        <v>0.812573199</v>
      </c>
      <c r="AI41" s="80">
        <f>IFERROR(__xludf.DUMMYFUNCTION("""COMPUTED_VALUE"""),0.9773462877389215)</f>
        <v>0.9773462877</v>
      </c>
      <c r="AJ41" s="80">
        <f>IFERROR(__xludf.DUMMYFUNCTION("""COMPUTED_VALUE"""),1.0903110534489522)</f>
        <v>1.090311053</v>
      </c>
      <c r="AK41" s="80">
        <f>IFERROR(__xludf.DUMMYFUNCTION("""COMPUTED_VALUE"""),1.0469520131088803)</f>
        <v>1.046952013</v>
      </c>
      <c r="AL41" s="80">
        <f>IFERROR(__xludf.DUMMYFUNCTION("""COMPUTED_VALUE"""),0.8156410563387584)</f>
        <v>0.8156410563</v>
      </c>
      <c r="AM41" s="80">
        <f>IFERROR(__xludf.DUMMYFUNCTION("""COMPUTED_VALUE"""),1.069646395974733)</f>
        <v>1.069646396</v>
      </c>
      <c r="AN41" s="80">
        <f>IFERROR(__xludf.DUMMYFUNCTION("""COMPUTED_VALUE"""),1.0120946169443648)</f>
        <v>1.012094617</v>
      </c>
      <c r="AO41" s="80">
        <f>IFERROR(__xludf.DUMMYFUNCTION("""COMPUTED_VALUE"""),0.7893414942125826)</f>
        <v>0.7893414942</v>
      </c>
      <c r="AP41" s="80">
        <f>IFERROR(__xludf.DUMMYFUNCTION("""COMPUTED_VALUE"""),1.049923109426238)</f>
        <v>1.049923109</v>
      </c>
      <c r="AQ41" s="80">
        <f>IFERROR(__xludf.DUMMYFUNCTION("""COMPUTED_VALUE"""),1.1876421148112921)</f>
        <v>1.187642115</v>
      </c>
      <c r="AR41" s="80">
        <f>IFERROR(__xludf.DUMMYFUNCTION("""COMPUTED_VALUE"""),0.8169755600575755)</f>
        <v>0.8169755601</v>
      </c>
      <c r="AS41" s="80">
        <f>IFERROR(__xludf.DUMMYFUNCTION("""COMPUTED_VALUE"""),101.0)</f>
        <v>101</v>
      </c>
      <c r="AT41" s="80">
        <f>IFERROR(__xludf.DUMMYFUNCTION("""COMPUTED_VALUE"""),0.4022170608005669)</f>
        <v>0.4022170608</v>
      </c>
      <c r="AU41" s="80">
        <f>IFERROR(__xludf.DUMMYFUNCTION("""COMPUTED_VALUE"""),2.020156623246642)</f>
        <v>2.020156623</v>
      </c>
      <c r="AV41" s="80">
        <f>IFERROR(__xludf.DUMMYFUNCTION("""COMPUTED_VALUE"""),38.5789391597954)</f>
        <v>38.57893916</v>
      </c>
      <c r="AW41" s="82">
        <f t="shared" si="1"/>
        <v>-3.087447457</v>
      </c>
      <c r="AX41" s="83">
        <f t="array" ref="AX41">IFERROR(DGET('SBV Import'!A:G,"SBV",{"RSC ID","Tier";B41,A41}))</f>
        <v>48.59292122</v>
      </c>
      <c r="AY41" s="82">
        <f t="shared" si="2"/>
        <v>-2.093985961</v>
      </c>
      <c r="AZ41" s="82">
        <v>0.9934614957208989</v>
      </c>
      <c r="BA41" s="84">
        <v>2.0</v>
      </c>
      <c r="BB41" s="84" t="b">
        <f>IFERROR(__xludf.DUMMYFUNCTION("iferror(if(A41="""",,E41&gt;=FILTER(Constants!$F$2:$F$10,Constants!$A$2:$A$10=A41)))"),TRUE)</f>
        <v>1</v>
      </c>
    </row>
    <row r="42">
      <c r="A42" s="80" t="str">
        <f>IFERROR(__xludf.DUMMYFUNCTION("""COMPUTED_VALUE"""),"Premier")</f>
        <v>Premier</v>
      </c>
      <c r="B42" s="79" t="str">
        <f>IFERROR(__xludf.DUMMYFUNCTION("""COMPUTED_VALUE"""),"RSC007691")</f>
        <v>RSC007691</v>
      </c>
      <c r="C42" s="80" t="str">
        <f>IFERROR(__xludf.DUMMYFUNCTION("""COMPUTED_VALUE"""),"exy")</f>
        <v>exy</v>
      </c>
      <c r="D42" s="80"/>
      <c r="E42" s="80">
        <f>IFERROR(__xludf.DUMMYFUNCTION("""COMPUTED_VALUE"""),4.0)</f>
        <v>4</v>
      </c>
      <c r="F42" s="80">
        <f>IFERROR(__xludf.DUMMYFUNCTION("""COMPUTED_VALUE"""),1.0)</f>
        <v>1</v>
      </c>
      <c r="G42" s="80">
        <f>IFERROR(__xludf.DUMMYFUNCTION("""COMPUTED_VALUE"""),3.0)</f>
        <v>3</v>
      </c>
      <c r="H42" s="81">
        <f>IFERROR(__xludf.DUMMYFUNCTION("""COMPUTED_VALUE"""),0.25)</f>
        <v>0.25</v>
      </c>
      <c r="I42" s="81">
        <f>IFERROR(__xludf.DUMMYFUNCTION("""COMPUTED_VALUE"""),0.07692307692307693)</f>
        <v>0.07692307692</v>
      </c>
      <c r="J42" s="80">
        <f>IFERROR(__xludf.DUMMYFUNCTION("""COMPUTED_VALUE"""),239.25)</f>
        <v>239.25</v>
      </c>
      <c r="K42" s="80">
        <f>IFERROR(__xludf.DUMMYFUNCTION("""COMPUTED_VALUE"""),0.25)</f>
        <v>0.25</v>
      </c>
      <c r="L42" s="80">
        <f>IFERROR(__xludf.DUMMYFUNCTION("""COMPUTED_VALUE"""),0.75)</f>
        <v>0.75</v>
      </c>
      <c r="M42" s="80">
        <f>IFERROR(__xludf.DUMMYFUNCTION("""COMPUTED_VALUE"""),0.5)</f>
        <v>0.5</v>
      </c>
      <c r="N42" s="80">
        <f>IFERROR(__xludf.DUMMYFUNCTION("""COMPUTED_VALUE"""),3.25)</f>
        <v>3.25</v>
      </c>
      <c r="O42" s="80">
        <f>IFERROR(__xludf.DUMMYFUNCTION("""COMPUTED_VALUE"""),373.8333333333333)</f>
        <v>373.8333333</v>
      </c>
      <c r="P42" s="80">
        <f>IFERROR(__xludf.DUMMYFUNCTION("""COMPUTED_VALUE"""),0.6666666666666667)</f>
        <v>0.6666666667</v>
      </c>
      <c r="Q42" s="80">
        <f>IFERROR(__xludf.DUMMYFUNCTION("""COMPUTED_VALUE"""),0.6666666666666667)</f>
        <v>0.6666666667</v>
      </c>
      <c r="R42" s="80">
        <f>IFERROR(__xludf.DUMMYFUNCTION("""COMPUTED_VALUE"""),1.6666666666666667)</f>
        <v>1.666666667</v>
      </c>
      <c r="S42" s="80">
        <f>IFERROR(__xludf.DUMMYFUNCTION("""COMPUTED_VALUE"""),2.583333333333333)</f>
        <v>2.583333333</v>
      </c>
      <c r="T42" s="80">
        <f>IFERROR(__xludf.DUMMYFUNCTION("""COMPUTED_VALUE"""),375.01266620621453)</f>
        <v>375.0126662</v>
      </c>
      <c r="U42" s="80">
        <f>IFERROR(__xludf.DUMMYFUNCTION("""COMPUTED_VALUE"""),0.7964975448846415)</f>
        <v>0.7964975449</v>
      </c>
      <c r="V42" s="80">
        <f>IFERROR(__xludf.DUMMYFUNCTION("""COMPUTED_VALUE"""),0.6867599270825078)</f>
        <v>0.6867599271</v>
      </c>
      <c r="W42" s="80">
        <f>IFERROR(__xludf.DUMMYFUNCTION("""COMPUTED_VALUE"""),1.438318481866869)</f>
        <v>1.438318482</v>
      </c>
      <c r="X42" s="80">
        <f>IFERROR(__xludf.DUMMYFUNCTION("""COMPUTED_VALUE"""),2.5087302845367363)</f>
        <v>2.508730285</v>
      </c>
      <c r="Y42" s="80">
        <f>IFERROR(__xludf.DUMMYFUNCTION("""COMPUTED_VALUE"""),342.43105057298607)</f>
        <v>342.4310506</v>
      </c>
      <c r="Z42" s="80">
        <f>IFERROR(__xludf.DUMMYFUNCTION("""COMPUTED_VALUE"""),0.7745817874850132)</f>
        <v>0.7745817875</v>
      </c>
      <c r="AA42" s="80">
        <f>IFERROR(__xludf.DUMMYFUNCTION("""COMPUTED_VALUE"""),0.5936250662057113)</f>
        <v>0.5936250662</v>
      </c>
      <c r="AB42" s="80">
        <f>IFERROR(__xludf.DUMMYFUNCTION("""COMPUTED_VALUE"""),1.2476895622056912)</f>
        <v>1.247689562</v>
      </c>
      <c r="AC42" s="80">
        <f>IFERROR(__xludf.DUMMYFUNCTION("""COMPUTED_VALUE"""),2.742691707207837)</f>
        <v>2.742691707</v>
      </c>
      <c r="AD42" s="80">
        <f>IFERROR(__xludf.DUMMYFUNCTION("""COMPUTED_VALUE"""),0.6986807989511046)</f>
        <v>0.698680799</v>
      </c>
      <c r="AE42" s="80">
        <f>IFERROR(__xludf.DUMMYFUNCTION("""COMPUTED_VALUE"""),0.3227548130349464)</f>
        <v>0.322754813</v>
      </c>
      <c r="AF42" s="80">
        <f>IFERROR(__xludf.DUMMYFUNCTION("""COMPUTED_VALUE"""),1.2634237378043929)</f>
        <v>1.263423738</v>
      </c>
      <c r="AG42" s="80">
        <f>IFERROR(__xludf.DUMMYFUNCTION("""COMPUTED_VALUE"""),0.4007407091841738)</f>
        <v>0.4007407092</v>
      </c>
      <c r="AH42" s="80">
        <f>IFERROR(__xludf.DUMMYFUNCTION("""COMPUTED_VALUE"""),1.1849673047316798)</f>
        <v>1.184967305</v>
      </c>
      <c r="AI42" s="80">
        <f>IFERROR(__xludf.DUMMYFUNCTION("""COMPUTED_VALUE"""),0.9968552185588507)</f>
        <v>0.9968552186</v>
      </c>
      <c r="AJ42" s="80">
        <f>IFERROR(__xludf.DUMMYFUNCTION("""COMPUTED_VALUE"""),0.8369977672225236)</f>
        <v>0.8369977672</v>
      </c>
      <c r="AK42" s="80">
        <f>IFERROR(__xludf.DUMMYFUNCTION("""COMPUTED_VALUE"""),0.9707419439844122)</f>
        <v>0.970741944</v>
      </c>
      <c r="AL42" s="80">
        <f>IFERROR(__xludf.DUMMYFUNCTION("""COMPUTED_VALUE"""),1.1587605163102768)</f>
        <v>1.158760516</v>
      </c>
      <c r="AM42" s="80">
        <f>IFERROR(__xludf.DUMMYFUNCTION("""COMPUTED_VALUE"""),1.0297373732267807)</f>
        <v>1.029737373</v>
      </c>
      <c r="AN42" s="80">
        <f>IFERROR(__xludf.DUMMYFUNCTION("""COMPUTED_VALUE"""),0.6556235661659006)</f>
        <v>0.6556235662</v>
      </c>
      <c r="AO42" s="80">
        <f>IFERROR(__xludf.DUMMYFUNCTION("""COMPUTED_VALUE"""),0.31573659768503304)</f>
        <v>0.3157365977</v>
      </c>
      <c r="AP42" s="80">
        <f>IFERROR(__xludf.DUMMYFUNCTION("""COMPUTED_VALUE"""),1.2599077313114855)</f>
        <v>1.259907731</v>
      </c>
      <c r="AQ42" s="80">
        <f>IFERROR(__xludf.DUMMYFUNCTION("""COMPUTED_VALUE"""),0.34760257018867086)</f>
        <v>0.3476025702</v>
      </c>
      <c r="AR42" s="80">
        <f>IFERROR(__xludf.DUMMYFUNCTION("""COMPUTED_VALUE"""),1.2254633400863635)</f>
        <v>1.22546334</v>
      </c>
      <c r="AS42" s="80">
        <f>IFERROR(__xludf.DUMMYFUNCTION("""COMPUTED_VALUE"""),6.0)</f>
        <v>6</v>
      </c>
      <c r="AT42" s="80">
        <f>IFERROR(__xludf.DUMMYFUNCTION("""COMPUTED_VALUE"""),0.39839556112833874)</f>
        <v>0.3983955611</v>
      </c>
      <c r="AU42" s="80">
        <f>IFERROR(__xludf.DUMMYFUNCTION("""COMPUTED_VALUE"""),2.015689846728387)</f>
        <v>2.015689847</v>
      </c>
      <c r="AV42" s="80">
        <f>IFERROR(__xludf.DUMMYFUNCTION("""COMPUTED_VALUE"""),38.44395353095352)</f>
        <v>38.44395353</v>
      </c>
      <c r="AW42" s="82">
        <f t="shared" si="1"/>
        <v>-3.106034319</v>
      </c>
      <c r="AX42" s="83">
        <f t="array" ref="AX42">IFERROR(DGET('SBV Import'!A:G,"SBV",{"RSC ID","Tier";B42,A42}))</f>
        <v>18.66922628</v>
      </c>
      <c r="AY42" s="82">
        <f t="shared" si="2"/>
        <v>-9.518294812</v>
      </c>
      <c r="AZ42" s="82">
        <v>6.412260493319562</v>
      </c>
      <c r="BA42" s="84">
        <v>2.0</v>
      </c>
      <c r="BB42" s="84" t="b">
        <f>IFERROR(__xludf.DUMMYFUNCTION("iferror(if(A42="""",,E42&gt;=FILTER(Constants!$F$2:$F$10,Constants!$A$2:$A$10=A42)))"),TRUE)</f>
        <v>1</v>
      </c>
    </row>
    <row r="43">
      <c r="A43" s="80" t="str">
        <f>IFERROR(__xludf.DUMMYFUNCTION("""COMPUTED_VALUE"""),"Premier")</f>
        <v>Premier</v>
      </c>
      <c r="B43" s="79" t="str">
        <f>IFERROR(__xludf.DUMMYFUNCTION("""COMPUTED_VALUE"""),"RSC007596")</f>
        <v>RSC007596</v>
      </c>
      <c r="C43" s="80" t="str">
        <f>IFERROR(__xludf.DUMMYFUNCTION("""COMPUTED_VALUE"""),"Sean")</f>
        <v>Sean</v>
      </c>
      <c r="D43" s="80" t="str">
        <f>IFERROR(__xludf.DUMMYFUNCTION("""COMPUTED_VALUE"""),"Punks")</f>
        <v>Punks</v>
      </c>
      <c r="E43" s="80">
        <f>IFERROR(__xludf.DUMMYFUNCTION("""COMPUTED_VALUE"""),48.0)</f>
        <v>48</v>
      </c>
      <c r="F43" s="80">
        <f>IFERROR(__xludf.DUMMYFUNCTION("""COMPUTED_VALUE"""),24.0)</f>
        <v>24</v>
      </c>
      <c r="G43" s="80">
        <f>IFERROR(__xludf.DUMMYFUNCTION("""COMPUTED_VALUE"""),24.0)</f>
        <v>24</v>
      </c>
      <c r="H43" s="81">
        <f>IFERROR(__xludf.DUMMYFUNCTION("""COMPUTED_VALUE"""),0.5)</f>
        <v>0.5</v>
      </c>
      <c r="I43" s="81">
        <f>IFERROR(__xludf.DUMMYFUNCTION("""COMPUTED_VALUE"""),0.25742574257425743)</f>
        <v>0.2574257426</v>
      </c>
      <c r="J43" s="80">
        <f>IFERROR(__xludf.DUMMYFUNCTION("""COMPUTED_VALUE"""),332.5625)</f>
        <v>332.5625</v>
      </c>
      <c r="K43" s="80">
        <f>IFERROR(__xludf.DUMMYFUNCTION("""COMPUTED_VALUE"""),0.5416666666666666)</f>
        <v>0.5416666667</v>
      </c>
      <c r="L43" s="80">
        <f>IFERROR(__xludf.DUMMYFUNCTION("""COMPUTED_VALUE"""),0.6666666666666666)</f>
        <v>0.6666666667</v>
      </c>
      <c r="M43" s="80">
        <f>IFERROR(__xludf.DUMMYFUNCTION("""COMPUTED_VALUE"""),1.2708333333333333)</f>
        <v>1.270833333</v>
      </c>
      <c r="N43" s="80">
        <f>IFERROR(__xludf.DUMMYFUNCTION("""COMPUTED_VALUE"""),2.1041666666666665)</f>
        <v>2.104166667</v>
      </c>
      <c r="O43" s="80">
        <f>IFERROR(__xludf.DUMMYFUNCTION("""COMPUTED_VALUE"""),356.59722222222223)</f>
        <v>356.5972222</v>
      </c>
      <c r="P43" s="80">
        <f>IFERROR(__xludf.DUMMYFUNCTION("""COMPUTED_VALUE"""),0.736111111111111)</f>
        <v>0.7361111111</v>
      </c>
      <c r="Q43" s="80">
        <f>IFERROR(__xludf.DUMMYFUNCTION("""COMPUTED_VALUE"""),0.5902777777777777)</f>
        <v>0.5902777778</v>
      </c>
      <c r="R43" s="80">
        <f>IFERROR(__xludf.DUMMYFUNCTION("""COMPUTED_VALUE"""),1.3680555555555554)</f>
        <v>1.368055556</v>
      </c>
      <c r="S43" s="80">
        <f>IFERROR(__xludf.DUMMYFUNCTION("""COMPUTED_VALUE"""),2.5902777777777777)</f>
        <v>2.590277778</v>
      </c>
      <c r="T43" s="80">
        <f>IFERROR(__xludf.DUMMYFUNCTION("""COMPUTED_VALUE"""),373.6265021754087)</f>
        <v>373.6265022</v>
      </c>
      <c r="U43" s="80">
        <f>IFERROR(__xludf.DUMMYFUNCTION("""COMPUTED_VALUE"""),0.8144605856641047)</f>
        <v>0.8144605857</v>
      </c>
      <c r="V43" s="80">
        <f>IFERROR(__xludf.DUMMYFUNCTION("""COMPUTED_VALUE"""),0.640295901127422)</f>
        <v>0.6402959011</v>
      </c>
      <c r="W43" s="80">
        <f>IFERROR(__xludf.DUMMYFUNCTION("""COMPUTED_VALUE"""),1.4381276180144305)</f>
        <v>1.438127618</v>
      </c>
      <c r="X43" s="80">
        <f>IFERROR(__xludf.DUMMYFUNCTION("""COMPUTED_VALUE"""),2.6965856949557985)</f>
        <v>2.696585695</v>
      </c>
      <c r="Y43" s="80">
        <f>IFERROR(__xludf.DUMMYFUNCTION("""COMPUTED_VALUE"""),370.5937347851289)</f>
        <v>370.5937348</v>
      </c>
      <c r="Z43" s="80">
        <f>IFERROR(__xludf.DUMMYFUNCTION("""COMPUTED_VALUE"""),0.8321299809778884)</f>
        <v>0.832129981</v>
      </c>
      <c r="AA43" s="80">
        <f>IFERROR(__xludf.DUMMYFUNCTION("""COMPUTED_VALUE"""),0.6418963863973987)</f>
        <v>0.6418963864</v>
      </c>
      <c r="AB43" s="80">
        <f>IFERROR(__xludf.DUMMYFUNCTION("""COMPUTED_VALUE"""),1.3992491523504613)</f>
        <v>1.399249152</v>
      </c>
      <c r="AC43" s="80">
        <f>IFERROR(__xludf.DUMMYFUNCTION("""COMPUTED_VALUE"""),2.7466102026420547)</f>
        <v>2.746610203</v>
      </c>
      <c r="AD43" s="80">
        <f>IFERROR(__xludf.DUMMYFUNCTION("""COMPUTED_VALUE"""),0.8973775560259283)</f>
        <v>0.897377556</v>
      </c>
      <c r="AE43" s="80">
        <f>IFERROR(__xludf.DUMMYFUNCTION("""COMPUTED_VALUE"""),0.6509399721785292)</f>
        <v>0.6509399722</v>
      </c>
      <c r="AF43" s="80">
        <f>IFERROR(__xludf.DUMMYFUNCTION("""COMPUTED_VALUE"""),1.0385892190611783)</f>
        <v>1.038589219</v>
      </c>
      <c r="AG43" s="80">
        <f>IFERROR(__xludf.DUMMYFUNCTION("""COMPUTED_VALUE"""),0.9082251943469718)</f>
        <v>0.9082251943</v>
      </c>
      <c r="AH43" s="80">
        <f>IFERROR(__xludf.DUMMYFUNCTION("""COMPUTED_VALUE"""),0.7660958459422452)</f>
        <v>0.7660958459</v>
      </c>
      <c r="AI43" s="80">
        <f>IFERROR(__xludf.DUMMYFUNCTION("""COMPUTED_VALUE"""),0.9544216487480548)</f>
        <v>0.9544216487</v>
      </c>
      <c r="AJ43" s="80">
        <f>IFERROR(__xludf.DUMMYFUNCTION("""COMPUTED_VALUE"""),0.9038020059753927)</f>
        <v>0.903802006</v>
      </c>
      <c r="AK43" s="80">
        <f>IFERROR(__xludf.DUMMYFUNCTION("""COMPUTED_VALUE"""),0.9218827994032552)</f>
        <v>0.9218827994</v>
      </c>
      <c r="AL43" s="80">
        <f>IFERROR(__xludf.DUMMYFUNCTION("""COMPUTED_VALUE"""),0.9512754907275747)</f>
        <v>0.9512754907</v>
      </c>
      <c r="AM43" s="80">
        <f>IFERROR(__xludf.DUMMYFUNCTION("""COMPUTED_VALUE"""),0.9605768444975143)</f>
        <v>0.9605768445</v>
      </c>
      <c r="AN43" s="80">
        <f>IFERROR(__xludf.DUMMYFUNCTION("""COMPUTED_VALUE"""),0.9113304586125279)</f>
        <v>0.9113304586</v>
      </c>
      <c r="AO43" s="80">
        <f>IFERROR(__xludf.DUMMYFUNCTION("""COMPUTED_VALUE"""),0.6840959616509049)</f>
        <v>0.6840959617</v>
      </c>
      <c r="AP43" s="80">
        <f>IFERROR(__xludf.DUMMYFUNCTION("""COMPUTED_VALUE"""),1.119917983387987)</f>
        <v>1.119917983</v>
      </c>
      <c r="AQ43" s="80">
        <f>IFERROR(__xludf.DUMMYFUNCTION("""COMPUTED_VALUE"""),0.883489865896205)</f>
        <v>0.8834898659</v>
      </c>
      <c r="AR43" s="80">
        <f>IFERROR(__xludf.DUMMYFUNCTION("""COMPUTED_VALUE"""),0.7934089573636071)</f>
        <v>0.7934089574</v>
      </c>
      <c r="AS43" s="80">
        <f>IFERROR(__xludf.DUMMYFUNCTION("""COMPUTED_VALUE"""),113.0)</f>
        <v>113</v>
      </c>
      <c r="AT43" s="80">
        <f>IFERROR(__xludf.DUMMYFUNCTION("""COMPUTED_VALUE"""),0.5246950330497077)</f>
        <v>0.524695033</v>
      </c>
      <c r="AU43" s="80">
        <f>IFERROR(__xludf.DUMMYFUNCTION("""COMPUTED_VALUE"""),1.9954712030301862)</f>
        <v>1.995471203</v>
      </c>
      <c r="AV43" s="80">
        <f>IFERROR(__xludf.DUMMYFUNCTION("""COMPUTED_VALUE"""),37.832947736780106)</f>
        <v>37.83294774</v>
      </c>
      <c r="AW43" s="82">
        <f t="shared" si="1"/>
        <v>-3.192421758</v>
      </c>
      <c r="AX43" s="83">
        <f t="array" ref="AX43">IFERROR(DGET('SBV Import'!A:G,"SBV",{"RSC ID","Tier";B43,A43}))</f>
        <v>34.14880798</v>
      </c>
      <c r="AY43" s="82">
        <f t="shared" si="2"/>
        <v>-3.801922098</v>
      </c>
      <c r="AZ43" s="82">
        <v>0.6095003397276018</v>
      </c>
      <c r="BA43" s="84">
        <v>2.0</v>
      </c>
      <c r="BB43" s="84" t="b">
        <f>IFERROR(__xludf.DUMMYFUNCTION("iferror(if(A43="""",,E43&gt;=FILTER(Constants!$F$2:$F$10,Constants!$A$2:$A$10=A43)))"),TRUE)</f>
        <v>1</v>
      </c>
    </row>
    <row r="44">
      <c r="A44" s="80" t="str">
        <f>IFERROR(__xludf.DUMMYFUNCTION("""COMPUTED_VALUE"""),"Premier")</f>
        <v>Premier</v>
      </c>
      <c r="B44" s="79" t="str">
        <f>IFERROR(__xludf.DUMMYFUNCTION("""COMPUTED_VALUE"""),"RSC003749")</f>
        <v>RSC003749</v>
      </c>
      <c r="C44" s="80" t="str">
        <f>IFERROR(__xludf.DUMMYFUNCTION("""COMPUTED_VALUE"""),"Rule")</f>
        <v>Rule</v>
      </c>
      <c r="D44" s="80" t="str">
        <f>IFERROR(__xludf.DUMMYFUNCTION("""COMPUTED_VALUE"""),"Fairies")</f>
        <v>Fairies</v>
      </c>
      <c r="E44" s="80">
        <f>IFERROR(__xludf.DUMMYFUNCTION("""COMPUTED_VALUE"""),31.0)</f>
        <v>31</v>
      </c>
      <c r="F44" s="80">
        <f>IFERROR(__xludf.DUMMYFUNCTION("""COMPUTED_VALUE"""),12.0)</f>
        <v>12</v>
      </c>
      <c r="G44" s="80">
        <f>IFERROR(__xludf.DUMMYFUNCTION("""COMPUTED_VALUE"""),19.0)</f>
        <v>19</v>
      </c>
      <c r="H44" s="81">
        <f>IFERROR(__xludf.DUMMYFUNCTION("""COMPUTED_VALUE"""),0.3870967741935484)</f>
        <v>0.3870967742</v>
      </c>
      <c r="I44" s="81">
        <f>IFERROR(__xludf.DUMMYFUNCTION("""COMPUTED_VALUE"""),0.3823529411764706)</f>
        <v>0.3823529412</v>
      </c>
      <c r="J44" s="80">
        <f>IFERROR(__xludf.DUMMYFUNCTION("""COMPUTED_VALUE"""),350.741935483871)</f>
        <v>350.7419355</v>
      </c>
      <c r="K44" s="80">
        <f>IFERROR(__xludf.DUMMYFUNCTION("""COMPUTED_VALUE"""),0.8387096774193549)</f>
        <v>0.8387096774</v>
      </c>
      <c r="L44" s="80">
        <f>IFERROR(__xludf.DUMMYFUNCTION("""COMPUTED_VALUE"""),0.45161290322580644)</f>
        <v>0.4516129032</v>
      </c>
      <c r="M44" s="80">
        <f>IFERROR(__xludf.DUMMYFUNCTION("""COMPUTED_VALUE"""),1.5161290322580645)</f>
        <v>1.516129032</v>
      </c>
      <c r="N44" s="80">
        <f>IFERROR(__xludf.DUMMYFUNCTION("""COMPUTED_VALUE"""),2.193548387096774)</f>
        <v>2.193548387</v>
      </c>
      <c r="O44" s="80">
        <f>IFERROR(__xludf.DUMMYFUNCTION("""COMPUTED_VALUE"""),372.02150537634407)</f>
        <v>372.0215054</v>
      </c>
      <c r="P44" s="80">
        <f>IFERROR(__xludf.DUMMYFUNCTION("""COMPUTED_VALUE"""),0.9247311827956989)</f>
        <v>0.9247311828</v>
      </c>
      <c r="Q44" s="80">
        <f>IFERROR(__xludf.DUMMYFUNCTION("""COMPUTED_VALUE"""),0.7204301075268816)</f>
        <v>0.7204301075</v>
      </c>
      <c r="R44" s="80">
        <f>IFERROR(__xludf.DUMMYFUNCTION("""COMPUTED_VALUE"""),1.1935483870967742)</f>
        <v>1.193548387</v>
      </c>
      <c r="S44" s="80">
        <f>IFERROR(__xludf.DUMMYFUNCTION("""COMPUTED_VALUE"""),2.946236559139785)</f>
        <v>2.946236559</v>
      </c>
      <c r="T44" s="80">
        <f>IFERROR(__xludf.DUMMYFUNCTION("""COMPUTED_VALUE"""),370.6660208314089)</f>
        <v>370.6660208</v>
      </c>
      <c r="U44" s="80">
        <f>IFERROR(__xludf.DUMMYFUNCTION("""COMPUTED_VALUE"""),0.8365132070668189)</f>
        <v>0.8365132071</v>
      </c>
      <c r="V44" s="80">
        <f>IFERROR(__xludf.DUMMYFUNCTION("""COMPUTED_VALUE"""),0.6072678103159072)</f>
        <v>0.6072678103</v>
      </c>
      <c r="W44" s="80">
        <f>IFERROR(__xludf.DUMMYFUNCTION("""COMPUTED_VALUE"""),1.408968185827468)</f>
        <v>1.408968186</v>
      </c>
      <c r="X44" s="80">
        <f>IFERROR(__xludf.DUMMYFUNCTION("""COMPUTED_VALUE"""),2.7137183144104684)</f>
        <v>2.713718314</v>
      </c>
      <c r="Y44" s="80">
        <f>IFERROR(__xludf.DUMMYFUNCTION("""COMPUTED_VALUE"""),376.3536636081741)</f>
        <v>376.3536636</v>
      </c>
      <c r="Z44" s="80">
        <f>IFERROR(__xludf.DUMMYFUNCTION("""COMPUTED_VALUE"""),0.8413775128750008)</f>
        <v>0.8413775129</v>
      </c>
      <c r="AA44" s="80">
        <f>IFERROR(__xludf.DUMMYFUNCTION("""COMPUTED_VALUE"""),0.6487502681799002)</f>
        <v>0.6487502682</v>
      </c>
      <c r="AB44" s="80">
        <f>IFERROR(__xludf.DUMMYFUNCTION("""COMPUTED_VALUE"""),1.4277962072342676)</f>
        <v>1.427796207</v>
      </c>
      <c r="AC44" s="80">
        <f>IFERROR(__xludf.DUMMYFUNCTION("""COMPUTED_VALUE"""),2.7312481555342982)</f>
        <v>2.731248156</v>
      </c>
      <c r="AD44" s="80">
        <f>IFERROR(__xludf.DUMMYFUNCTION("""COMPUTED_VALUE"""),0.9319477114192044)</f>
        <v>0.9319477114</v>
      </c>
      <c r="AE44" s="80">
        <f>IFERROR(__xludf.DUMMYFUNCTION("""COMPUTED_VALUE"""),0.996829205184567)</f>
        <v>0.9968292052</v>
      </c>
      <c r="AF44" s="80">
        <f>IFERROR(__xludf.DUMMYFUNCTION("""COMPUTED_VALUE"""),0.6961275014079423)</f>
        <v>0.6961275014</v>
      </c>
      <c r="AG44" s="80">
        <f>IFERROR(__xludf.DUMMYFUNCTION("""COMPUTED_VALUE"""),1.0618665497052295)</f>
        <v>1.06186655</v>
      </c>
      <c r="AH44" s="80">
        <f>IFERROR(__xludf.DUMMYFUNCTION("""COMPUTED_VALUE"""),0.8031303866153688)</f>
        <v>0.8031303866</v>
      </c>
      <c r="AI44" s="80">
        <f>IFERROR(__xludf.DUMMYFUNCTION("""COMPUTED_VALUE"""),1.003656889136735)</f>
        <v>1.003656889</v>
      </c>
      <c r="AJ44" s="80">
        <f>IFERROR(__xludf.DUMMYFUNCTION("""COMPUTED_VALUE"""),1.1054591547193986)</f>
        <v>1.105459155</v>
      </c>
      <c r="AK44" s="80">
        <f>IFERROR(__xludf.DUMMYFUNCTION("""COMPUTED_VALUE"""),1.1863466090061752)</f>
        <v>1.186346609</v>
      </c>
      <c r="AL44" s="80">
        <f>IFERROR(__xludf.DUMMYFUNCTION("""COMPUTED_VALUE"""),0.8471081172040938)</f>
        <v>0.8471081172</v>
      </c>
      <c r="AM44" s="80">
        <f>IFERROR(__xludf.DUMMYFUNCTION("""COMPUTED_VALUE"""),1.085682527731265)</f>
        <v>1.085682528</v>
      </c>
      <c r="AN44" s="80">
        <f>IFERROR(__xludf.DUMMYFUNCTION("""COMPUTED_VALUE"""),0.9611480816964084)</f>
        <v>0.9611480817</v>
      </c>
      <c r="AO44" s="80">
        <f>IFERROR(__xludf.DUMMYFUNCTION("""COMPUTED_VALUE"""),1.0592453599755947)</f>
        <v>1.05924536</v>
      </c>
      <c r="AP44" s="80">
        <f>IFERROR(__xludf.DUMMYFUNCTION("""COMPUTED_VALUE"""),0.7586541177789591)</f>
        <v>0.7586541178</v>
      </c>
      <c r="AQ44" s="80">
        <f>IFERROR(__xludf.DUMMYFUNCTION("""COMPUTED_VALUE"""),1.054020696701131)</f>
        <v>1.054020697</v>
      </c>
      <c r="AR44" s="80">
        <f>IFERROR(__xludf.DUMMYFUNCTION("""COMPUTED_VALUE"""),0.8271117332592824)</f>
        <v>0.8271117333</v>
      </c>
      <c r="AS44" s="80">
        <f>IFERROR(__xludf.DUMMYFUNCTION("""COMPUTED_VALUE"""),62.0)</f>
        <v>62</v>
      </c>
      <c r="AT44" s="80">
        <f>IFERROR(__xludf.DUMMYFUNCTION("""COMPUTED_VALUE"""),0.3746129394218568)</f>
        <v>0.3746129394</v>
      </c>
      <c r="AU44" s="80">
        <f>IFERROR(__xludf.DUMMYFUNCTION("""COMPUTED_VALUE"""),1.8948039466061986)</f>
        <v>1.894803947</v>
      </c>
      <c r="AV44" s="80">
        <f>IFERROR(__xludf.DUMMYFUNCTION("""COMPUTED_VALUE"""),34.79079130548242)</f>
        <v>34.79079131</v>
      </c>
      <c r="AW44" s="82">
        <f t="shared" si="1"/>
        <v>-3.683626578</v>
      </c>
      <c r="AX44" s="83">
        <f t="array" ref="AX44">IFERROR(DGET('SBV Import'!A:G,"SBV",{"RSC ID","Tier";B44,A44}))</f>
        <v>37.06120805</v>
      </c>
      <c r="AY44" s="82">
        <f t="shared" si="2"/>
        <v>-3.30703631</v>
      </c>
      <c r="AZ44" s="82">
        <v>0.37659026779764204</v>
      </c>
      <c r="BA44" s="84">
        <v>2.0</v>
      </c>
      <c r="BB44" s="84" t="b">
        <f>IFERROR(__xludf.DUMMYFUNCTION("iferror(if(A44="""",,E44&gt;=FILTER(Constants!$F$2:$F$10,Constants!$A$2:$A$10=A44)))"),TRUE)</f>
        <v>1</v>
      </c>
    </row>
    <row r="45">
      <c r="A45" s="80" t="str">
        <f>IFERROR(__xludf.DUMMYFUNCTION("""COMPUTED_VALUE"""),"Premier")</f>
        <v>Premier</v>
      </c>
      <c r="B45" s="79" t="str">
        <f>IFERROR(__xludf.DUMMYFUNCTION("""COMPUTED_VALUE"""),"RSC004580")</f>
        <v>RSC004580</v>
      </c>
      <c r="C45" s="80" t="str">
        <f>IFERROR(__xludf.DUMMYFUNCTION("""COMPUTED_VALUE"""),"Stati_c")</f>
        <v>Stati_c</v>
      </c>
      <c r="D45" s="80" t="str">
        <f>IFERROR(__xludf.DUMMYFUNCTION("""COMPUTED_VALUE"""),"Feta Forgers")</f>
        <v>Feta Forgers</v>
      </c>
      <c r="E45" s="80">
        <f>IFERROR(__xludf.DUMMYFUNCTION("""COMPUTED_VALUE"""),40.0)</f>
        <v>40</v>
      </c>
      <c r="F45" s="80">
        <f>IFERROR(__xludf.DUMMYFUNCTION("""COMPUTED_VALUE"""),17.0)</f>
        <v>17</v>
      </c>
      <c r="G45" s="80">
        <f>IFERROR(__xludf.DUMMYFUNCTION("""COMPUTED_VALUE"""),23.0)</f>
        <v>23</v>
      </c>
      <c r="H45" s="81">
        <f>IFERROR(__xludf.DUMMYFUNCTION("""COMPUTED_VALUE"""),0.425)</f>
        <v>0.425</v>
      </c>
      <c r="I45" s="81">
        <f>IFERROR(__xludf.DUMMYFUNCTION("""COMPUTED_VALUE"""),0.28421052631578947)</f>
        <v>0.2842105263</v>
      </c>
      <c r="J45" s="80">
        <f>IFERROR(__xludf.DUMMYFUNCTION("""COMPUTED_VALUE"""),300.3)</f>
        <v>300.3</v>
      </c>
      <c r="K45" s="80">
        <f>IFERROR(__xludf.DUMMYFUNCTION("""COMPUTED_VALUE"""),0.675)</f>
        <v>0.675</v>
      </c>
      <c r="L45" s="80">
        <f>IFERROR(__xludf.DUMMYFUNCTION("""COMPUTED_VALUE"""),0.55)</f>
        <v>0.55</v>
      </c>
      <c r="M45" s="80">
        <f>IFERROR(__xludf.DUMMYFUNCTION("""COMPUTED_VALUE"""),0.9)</f>
        <v>0.9</v>
      </c>
      <c r="N45" s="80">
        <f>IFERROR(__xludf.DUMMYFUNCTION("""COMPUTED_VALUE"""),2.375)</f>
        <v>2.375</v>
      </c>
      <c r="O45" s="80">
        <f>IFERROR(__xludf.DUMMYFUNCTION("""COMPUTED_VALUE"""),396.35)</f>
        <v>396.35</v>
      </c>
      <c r="P45" s="80">
        <f>IFERROR(__xludf.DUMMYFUNCTION("""COMPUTED_VALUE"""),0.975)</f>
        <v>0.975</v>
      </c>
      <c r="Q45" s="80">
        <f>IFERROR(__xludf.DUMMYFUNCTION("""COMPUTED_VALUE"""),0.7833333333333334)</f>
        <v>0.7833333333</v>
      </c>
      <c r="R45" s="80">
        <f>IFERROR(__xludf.DUMMYFUNCTION("""COMPUTED_VALUE"""),1.4749999999999999)</f>
        <v>1.475</v>
      </c>
      <c r="S45" s="80">
        <f>IFERROR(__xludf.DUMMYFUNCTION("""COMPUTED_VALUE"""),2.6916666666666678)</f>
        <v>2.691666667</v>
      </c>
      <c r="T45" s="80">
        <f>IFERROR(__xludf.DUMMYFUNCTION("""COMPUTED_VALUE"""),377.49984255219505)</f>
        <v>377.4998426</v>
      </c>
      <c r="U45" s="80">
        <f>IFERROR(__xludf.DUMMYFUNCTION("""COMPUTED_VALUE"""),0.8497874761724689)</f>
        <v>0.8497874762</v>
      </c>
      <c r="V45" s="80">
        <f>IFERROR(__xludf.DUMMYFUNCTION("""COMPUTED_VALUE"""),0.668881812380391)</f>
        <v>0.6688818124</v>
      </c>
      <c r="W45" s="80">
        <f>IFERROR(__xludf.DUMMYFUNCTION("""COMPUTED_VALUE"""),1.4147370427776806)</f>
        <v>1.414737043</v>
      </c>
      <c r="X45" s="80">
        <f>IFERROR(__xludf.DUMMYFUNCTION("""COMPUTED_VALUE"""),2.7533004956526606)</f>
        <v>2.753300496</v>
      </c>
      <c r="Y45" s="80">
        <f>IFERROR(__xludf.DUMMYFUNCTION("""COMPUTED_VALUE"""),373.613979789896)</f>
        <v>373.6139798</v>
      </c>
      <c r="Z45" s="80">
        <f>IFERROR(__xludf.DUMMYFUNCTION("""COMPUTED_VALUE"""),0.8206698540886253)</f>
        <v>0.8206698541</v>
      </c>
      <c r="AA45" s="80">
        <f>IFERROR(__xludf.DUMMYFUNCTION("""COMPUTED_VALUE"""),0.6362267690247106)</f>
        <v>0.636226769</v>
      </c>
      <c r="AB45" s="80">
        <f>IFERROR(__xludf.DUMMYFUNCTION("""COMPUTED_VALUE"""),1.4453962659720851)</f>
        <v>1.445396266</v>
      </c>
      <c r="AC45" s="80">
        <f>IFERROR(__xludf.DUMMYFUNCTION("""COMPUTED_VALUE"""),2.683387926797013)</f>
        <v>2.683387927</v>
      </c>
      <c r="AD45" s="80">
        <f>IFERROR(__xludf.DUMMYFUNCTION("""COMPUTED_VALUE"""),0.8037707801214383)</f>
        <v>0.8037707801</v>
      </c>
      <c r="AE45" s="80">
        <f>IFERROR(__xludf.DUMMYFUNCTION("""COMPUTED_VALUE"""),0.8224988363312122)</f>
        <v>0.8224988363</v>
      </c>
      <c r="AF45" s="80">
        <f>IFERROR(__xludf.DUMMYFUNCTION("""COMPUTED_VALUE"""),0.8644716424665847)</f>
        <v>0.8644716425</v>
      </c>
      <c r="AG45" s="80">
        <f>IFERROR(__xludf.DUMMYFUNCTION("""COMPUTED_VALUE"""),0.6226666148156368)</f>
        <v>0.6226666148</v>
      </c>
      <c r="AH45" s="80">
        <f>IFERROR(__xludf.DUMMYFUNCTION("""COMPUTED_VALUE"""),0.8850751605023743)</f>
        <v>0.8850751605</v>
      </c>
      <c r="AI45" s="80">
        <f>IFERROR(__xludf.DUMMYFUNCTION("""COMPUTED_VALUE"""),1.0499342127412905)</f>
        <v>1.049934213</v>
      </c>
      <c r="AJ45" s="80">
        <f>IFERROR(__xludf.DUMMYFUNCTION("""COMPUTED_VALUE"""),1.147345692115282)</f>
        <v>1.147345692</v>
      </c>
      <c r="AK45" s="80">
        <f>IFERROR(__xludf.DUMMYFUNCTION("""COMPUTED_VALUE"""),1.171108735257185)</f>
        <v>1.171108735</v>
      </c>
      <c r="AL45" s="80">
        <f>IFERROR(__xludf.DUMMYFUNCTION("""COMPUTED_VALUE"""),1.0425965783040498)</f>
        <v>1.042596578</v>
      </c>
      <c r="AM45" s="80">
        <f>IFERROR(__xludf.DUMMYFUNCTION("""COMPUTED_VALUE"""),0.9776145651071105)</f>
        <v>0.9776145651</v>
      </c>
      <c r="AN45" s="80">
        <f>IFERROR(__xludf.DUMMYFUNCTION("""COMPUTED_VALUE"""),0.8229206140840959)</f>
        <v>0.8229206141</v>
      </c>
      <c r="AO45" s="80">
        <f>IFERROR(__xludf.DUMMYFUNCTION("""COMPUTED_VALUE"""),0.8524888137495893)</f>
        <v>0.8524888137</v>
      </c>
      <c r="AP45" s="80">
        <f>IFERROR(__xludf.DUMMYFUNCTION("""COMPUTED_VALUE"""),0.9239323362950895)</f>
        <v>0.9239323363</v>
      </c>
      <c r="AQ45" s="80">
        <f>IFERROR(__xludf.DUMMYFUNCTION("""COMPUTED_VALUE"""),0.6256846263396075)</f>
        <v>0.6256846263</v>
      </c>
      <c r="AR45" s="80">
        <f>IFERROR(__xludf.DUMMYFUNCTION("""COMPUTED_VALUE"""),0.8955309023708041)</f>
        <v>0.8955309024</v>
      </c>
      <c r="AS45" s="80">
        <f>IFERROR(__xludf.DUMMYFUNCTION("""COMPUTED_VALUE"""),99.0)</f>
        <v>99</v>
      </c>
      <c r="AT45" s="80">
        <f>IFERROR(__xludf.DUMMYFUNCTION("""COMPUTED_VALUE"""),0.43264862024166356)</f>
        <v>0.4326486202</v>
      </c>
      <c r="AU45" s="80">
        <f>IFERROR(__xludf.DUMMYFUNCTION("""COMPUTED_VALUE"""),1.8206712152219038)</f>
        <v>1.820671215</v>
      </c>
      <c r="AV45" s="80">
        <f>IFERROR(__xludf.DUMMYFUNCTION("""COMPUTED_VALUE"""),32.55050609694806)</f>
        <v>32.5505061</v>
      </c>
      <c r="AW45" s="82">
        <f t="shared" si="1"/>
        <v>-4.122097736</v>
      </c>
      <c r="AX45" s="83">
        <f t="array" ref="AX45">IFERROR(DGET('SBV Import'!A:G,"SBV",{"RSC ID","Tier";B45,A45}))</f>
        <v>25.22606184</v>
      </c>
      <c r="AY45" s="82">
        <f t="shared" si="2"/>
        <v>-6.216850191</v>
      </c>
      <c r="AZ45" s="82">
        <v>2.094752455378731</v>
      </c>
      <c r="BA45" s="84">
        <v>2.0</v>
      </c>
      <c r="BB45" s="84" t="b">
        <f>IFERROR(__xludf.DUMMYFUNCTION("iferror(if(A45="""",,E45&gt;=FILTER(Constants!$F$2:$F$10,Constants!$A$2:$A$10=A45)))"),TRUE)</f>
        <v>1</v>
      </c>
    </row>
    <row r="46">
      <c r="A46" s="80" t="str">
        <f>IFERROR(__xludf.DUMMYFUNCTION("""COMPUTED_VALUE"""),"Premier")</f>
        <v>Premier</v>
      </c>
      <c r="B46" s="80" t="str">
        <f>IFERROR(__xludf.DUMMYFUNCTION("""COMPUTED_VALUE"""),"RSC001945")</f>
        <v>RSC001945</v>
      </c>
      <c r="C46" s="80" t="str">
        <f>IFERROR(__xludf.DUMMYFUNCTION("""COMPUTED_VALUE"""),"Brody")</f>
        <v>Brody</v>
      </c>
      <c r="D46" s="80"/>
      <c r="E46" s="80">
        <f>IFERROR(__xludf.DUMMYFUNCTION("""COMPUTED_VALUE"""),27.0)</f>
        <v>27</v>
      </c>
      <c r="F46" s="80">
        <f>IFERROR(__xludf.DUMMYFUNCTION("""COMPUTED_VALUE"""),7.0)</f>
        <v>7</v>
      </c>
      <c r="G46" s="80">
        <f>IFERROR(__xludf.DUMMYFUNCTION("""COMPUTED_VALUE"""),20.0)</f>
        <v>20</v>
      </c>
      <c r="H46" s="81">
        <f>IFERROR(__xludf.DUMMYFUNCTION("""COMPUTED_VALUE"""),0.25925925925925924)</f>
        <v>0.2592592593</v>
      </c>
      <c r="I46" s="81">
        <f>IFERROR(__xludf.DUMMYFUNCTION("""COMPUTED_VALUE"""),0.19047619047619047)</f>
        <v>0.1904761905</v>
      </c>
      <c r="J46" s="80">
        <f>IFERROR(__xludf.DUMMYFUNCTION("""COMPUTED_VALUE"""),413.3333333333333)</f>
        <v>413.3333333</v>
      </c>
      <c r="K46" s="80">
        <f>IFERROR(__xludf.DUMMYFUNCTION("""COMPUTED_VALUE"""),0.4444444444444444)</f>
        <v>0.4444444444</v>
      </c>
      <c r="L46" s="80">
        <f>IFERROR(__xludf.DUMMYFUNCTION("""COMPUTED_VALUE"""),0.5185185185185185)</f>
        <v>0.5185185185</v>
      </c>
      <c r="M46" s="80">
        <f>IFERROR(__xludf.DUMMYFUNCTION("""COMPUTED_VALUE"""),2.2962962962962963)</f>
        <v>2.296296296</v>
      </c>
      <c r="N46" s="80">
        <f>IFERROR(__xludf.DUMMYFUNCTION("""COMPUTED_VALUE"""),2.3333333333333335)</f>
        <v>2.333333333</v>
      </c>
      <c r="O46" s="80">
        <f>IFERROR(__xludf.DUMMYFUNCTION("""COMPUTED_VALUE"""),401.59259259259267)</f>
        <v>401.5925926</v>
      </c>
      <c r="P46" s="80">
        <f>IFERROR(__xludf.DUMMYFUNCTION("""COMPUTED_VALUE"""),1.0123456790123455)</f>
        <v>1.012345679</v>
      </c>
      <c r="Q46" s="80">
        <f>IFERROR(__xludf.DUMMYFUNCTION("""COMPUTED_VALUE"""),0.8148148148148148)</f>
        <v>0.8148148148</v>
      </c>
      <c r="R46" s="80">
        <f>IFERROR(__xludf.DUMMYFUNCTION("""COMPUTED_VALUE"""),1.308641975308642)</f>
        <v>1.308641975</v>
      </c>
      <c r="S46" s="80">
        <f>IFERROR(__xludf.DUMMYFUNCTION("""COMPUTED_VALUE"""),3.407407407407408)</f>
        <v>3.407407407</v>
      </c>
      <c r="T46" s="80">
        <f>IFERROR(__xludf.DUMMYFUNCTION("""COMPUTED_VALUE"""),381.6969522045693)</f>
        <v>381.6969522</v>
      </c>
      <c r="U46" s="80">
        <f>IFERROR(__xludf.DUMMYFUNCTION("""COMPUTED_VALUE"""),0.9013285307858951)</f>
        <v>0.9013285308</v>
      </c>
      <c r="V46" s="80">
        <f>IFERROR(__xludf.DUMMYFUNCTION("""COMPUTED_VALUE"""),0.6856789820838801)</f>
        <v>0.6856789821</v>
      </c>
      <c r="W46" s="80">
        <f>IFERROR(__xludf.DUMMYFUNCTION("""COMPUTED_VALUE"""),1.3698838119858232)</f>
        <v>1.369883812</v>
      </c>
      <c r="X46" s="80">
        <f>IFERROR(__xludf.DUMMYFUNCTION("""COMPUTED_VALUE"""),2.9298161206654636)</f>
        <v>2.929816121</v>
      </c>
      <c r="Y46" s="80">
        <f>IFERROR(__xludf.DUMMYFUNCTION("""COMPUTED_VALUE"""),372.3548204361239)</f>
        <v>372.3548204</v>
      </c>
      <c r="Z46" s="80">
        <f>IFERROR(__xludf.DUMMYFUNCTION("""COMPUTED_VALUE"""),0.7738659818781902)</f>
        <v>0.7738659819</v>
      </c>
      <c r="AA46" s="80">
        <f>IFERROR(__xludf.DUMMYFUNCTION("""COMPUTED_VALUE"""),0.5951330453671013)</f>
        <v>0.5951330454</v>
      </c>
      <c r="AB46" s="80">
        <f>IFERROR(__xludf.DUMMYFUNCTION("""COMPUTED_VALUE"""),1.5419819734428584)</f>
        <v>1.541981973</v>
      </c>
      <c r="AC46" s="80">
        <f>IFERROR(__xludf.DUMMYFUNCTION("""COMPUTED_VALUE"""),2.588233681320602)</f>
        <v>2.588233681</v>
      </c>
      <c r="AD46" s="80">
        <f>IFERROR(__xludf.DUMMYFUNCTION("""COMPUTED_VALUE"""),1.110052322806545)</f>
        <v>1.110052323</v>
      </c>
      <c r="AE46" s="80">
        <f>IFERROR(__xludf.DUMMYFUNCTION("""COMPUTED_VALUE"""),0.5743170714983074)</f>
        <v>0.5743170715</v>
      </c>
      <c r="AF46" s="80">
        <f>IFERROR(__xludf.DUMMYFUNCTION("""COMPUTED_VALUE"""),0.8712648752325222)</f>
        <v>0.8712648752</v>
      </c>
      <c r="AG46" s="80">
        <f>IFERROR(__xludf.DUMMYFUNCTION("""COMPUTED_VALUE"""),1.4891849164547906)</f>
        <v>1.489184916</v>
      </c>
      <c r="AH46" s="80">
        <f>IFERROR(__xludf.DUMMYFUNCTION("""COMPUTED_VALUE"""),0.90151571327315)</f>
        <v>0.9015157133</v>
      </c>
      <c r="AI46" s="80">
        <f>IFERROR(__xludf.DUMMYFUNCTION("""COMPUTED_VALUE"""),1.0521241793341864)</f>
        <v>1.052124179</v>
      </c>
      <c r="AJ46" s="80">
        <f>IFERROR(__xludf.DUMMYFUNCTION("""COMPUTED_VALUE"""),1.1231705692591925)</f>
        <v>1.123170569</v>
      </c>
      <c r="AK46" s="80">
        <f>IFERROR(__xludf.DUMMYFUNCTION("""COMPUTED_VALUE"""),1.1883327856112371)</f>
        <v>1.188332786</v>
      </c>
      <c r="AL46" s="80">
        <f>IFERROR(__xludf.DUMMYFUNCTION("""COMPUTED_VALUE"""),0.9552941379835687)</f>
        <v>0.955294138</v>
      </c>
      <c r="AM46" s="80">
        <f>IFERROR(__xludf.DUMMYFUNCTION("""COMPUTED_VALUE"""),1.1630106692953368)</f>
        <v>1.163010669</v>
      </c>
      <c r="AN46" s="80">
        <f>IFERROR(__xludf.DUMMYFUNCTION("""COMPUTED_VALUE"""),1.1326690658944154)</f>
        <v>1.132669066</v>
      </c>
      <c r="AO46" s="80">
        <f>IFERROR(__xludf.DUMMYFUNCTION("""COMPUTED_VALUE"""),0.5613095069956142)</f>
        <v>0.561309507</v>
      </c>
      <c r="AP46" s="80">
        <f>IFERROR(__xludf.DUMMYFUNCTION("""COMPUTED_VALUE"""),0.8710473204128789)</f>
        <v>0.8710473204</v>
      </c>
      <c r="AQ46" s="80">
        <f>IFERROR(__xludf.DUMMYFUNCTION("""COMPUTED_VALUE"""),1.5963969890146366)</f>
        <v>1.596396989</v>
      </c>
      <c r="AR46" s="80">
        <f>IFERROR(__xludf.DUMMYFUNCTION("""COMPUTED_VALUE"""),0.8798198339081584)</f>
        <v>0.8798198339</v>
      </c>
      <c r="AS46" s="80">
        <f>IFERROR(__xludf.DUMMYFUNCTION("""COMPUTED_VALUE"""),41.0)</f>
        <v>41</v>
      </c>
      <c r="AT46" s="80">
        <f>IFERROR(__xludf.DUMMYFUNCTION("""COMPUTED_VALUE"""),0.25519544699869356)</f>
        <v>0.255195447</v>
      </c>
      <c r="AU46" s="80">
        <f>IFERROR(__xludf.DUMMYFUNCTION("""COMPUTED_VALUE"""),1.7304678026656062)</f>
        <v>1.730467803</v>
      </c>
      <c r="AV46" s="80">
        <f>IFERROR(__xludf.DUMMYFUNCTION("""COMPUTED_VALUE"""),29.824566189761423)</f>
        <v>29.82456619</v>
      </c>
      <c r="AW46" s="82">
        <f t="shared" si="1"/>
        <v>-4.765802667</v>
      </c>
      <c r="AX46" s="83">
        <f t="array" ref="AX46">IFERROR(DGET('SBV Import'!A:G,"SBV",{"RSC ID","Tier";B46,A46}))</f>
        <v>37.51602234</v>
      </c>
      <c r="AY46" s="82">
        <f t="shared" si="2"/>
        <v>-3.238727813</v>
      </c>
      <c r="AZ46" s="82">
        <v>1.5270748548938484</v>
      </c>
      <c r="BA46" s="84">
        <v>2.0</v>
      </c>
      <c r="BB46" s="84" t="b">
        <f>IFERROR(__xludf.DUMMYFUNCTION("iferror(if(A46="""",,E46&gt;=FILTER(Constants!$F$2:$F$10,Constants!$A$2:$A$10=A46)))"),TRUE)</f>
        <v>1</v>
      </c>
    </row>
    <row r="47">
      <c r="A47" s="80" t="str">
        <f>IFERROR(__xludf.DUMMYFUNCTION("""COMPUTED_VALUE"""),"Premier")</f>
        <v>Premier</v>
      </c>
      <c r="B47" s="80" t="str">
        <f>IFERROR(__xludf.DUMMYFUNCTION("""COMPUTED_VALUE"""),"RSC005481")</f>
        <v>RSC005481</v>
      </c>
      <c r="C47" s="80" t="str">
        <f>IFERROR(__xludf.DUMMYFUNCTION("""COMPUTED_VALUE"""),"Leonis")</f>
        <v>Leonis</v>
      </c>
      <c r="D47" s="80" t="str">
        <f>IFERROR(__xludf.DUMMYFUNCTION("""COMPUTED_VALUE"""),"Super Clusters")</f>
        <v>Super Clusters</v>
      </c>
      <c r="E47" s="80">
        <f>IFERROR(__xludf.DUMMYFUNCTION("""COMPUTED_VALUE"""),46.0)</f>
        <v>46</v>
      </c>
      <c r="F47" s="80">
        <f>IFERROR(__xludf.DUMMYFUNCTION("""COMPUTED_VALUE"""),13.0)</f>
        <v>13</v>
      </c>
      <c r="G47" s="80">
        <f>IFERROR(__xludf.DUMMYFUNCTION("""COMPUTED_VALUE"""),33.0)</f>
        <v>33</v>
      </c>
      <c r="H47" s="81">
        <f>IFERROR(__xludf.DUMMYFUNCTION("""COMPUTED_VALUE"""),0.2826086956521739)</f>
        <v>0.2826086957</v>
      </c>
      <c r="I47" s="81">
        <f>IFERROR(__xludf.DUMMYFUNCTION("""COMPUTED_VALUE"""),0.21568627450980393)</f>
        <v>0.2156862745</v>
      </c>
      <c r="J47" s="80">
        <f>IFERROR(__xludf.DUMMYFUNCTION("""COMPUTED_VALUE"""),353.39130434782606)</f>
        <v>353.3913043</v>
      </c>
      <c r="K47" s="80">
        <f>IFERROR(__xludf.DUMMYFUNCTION("""COMPUTED_VALUE"""),0.4782608695652174)</f>
        <v>0.4782608696</v>
      </c>
      <c r="L47" s="80">
        <f>IFERROR(__xludf.DUMMYFUNCTION("""COMPUTED_VALUE"""),0.6739130434782609)</f>
        <v>0.6739130435</v>
      </c>
      <c r="M47" s="80">
        <f>IFERROR(__xludf.DUMMYFUNCTION("""COMPUTED_VALUE"""),1.6956521739130435)</f>
        <v>1.695652174</v>
      </c>
      <c r="N47" s="80">
        <f>IFERROR(__xludf.DUMMYFUNCTION("""COMPUTED_VALUE"""),2.217391304347826)</f>
        <v>2.217391304</v>
      </c>
      <c r="O47" s="80">
        <f>IFERROR(__xludf.DUMMYFUNCTION("""COMPUTED_VALUE"""),398.4202898550726)</f>
        <v>398.4202899</v>
      </c>
      <c r="P47" s="80">
        <f>IFERROR(__xludf.DUMMYFUNCTION("""COMPUTED_VALUE"""),1.0289855072463767)</f>
        <v>1.028985507</v>
      </c>
      <c r="Q47" s="80">
        <f>IFERROR(__xludf.DUMMYFUNCTION("""COMPUTED_VALUE"""),0.8260869565217392)</f>
        <v>0.8260869565</v>
      </c>
      <c r="R47" s="80">
        <f>IFERROR(__xludf.DUMMYFUNCTION("""COMPUTED_VALUE"""),1.2101449275362317)</f>
        <v>1.210144928</v>
      </c>
      <c r="S47" s="80">
        <f>IFERROR(__xludf.DUMMYFUNCTION("""COMPUTED_VALUE"""),3.0652173913043472)</f>
        <v>3.065217391</v>
      </c>
      <c r="T47" s="80">
        <f>IFERROR(__xludf.DUMMYFUNCTION("""COMPUTED_VALUE"""),374.3959361841269)</f>
        <v>374.3959362</v>
      </c>
      <c r="U47" s="80">
        <f>IFERROR(__xludf.DUMMYFUNCTION("""COMPUTED_VALUE"""),0.8361031964666097)</f>
        <v>0.8361031965</v>
      </c>
      <c r="V47" s="80">
        <f>IFERROR(__xludf.DUMMYFUNCTION("""COMPUTED_VALUE"""),0.6651590819513042)</f>
        <v>0.665159082</v>
      </c>
      <c r="W47" s="80">
        <f>IFERROR(__xludf.DUMMYFUNCTION("""COMPUTED_VALUE"""),1.4252621014167328)</f>
        <v>1.425262101</v>
      </c>
      <c r="X47" s="80">
        <f>IFERROR(__xludf.DUMMYFUNCTION("""COMPUTED_VALUE"""),2.716386274021142)</f>
        <v>2.716386274</v>
      </c>
      <c r="Y47" s="80">
        <f>IFERROR(__xludf.DUMMYFUNCTION("""COMPUTED_VALUE"""),366.9573090396105)</f>
        <v>366.957309</v>
      </c>
      <c r="Z47" s="80">
        <f>IFERROR(__xludf.DUMMYFUNCTION("""COMPUTED_VALUE"""),0.8085607691630318)</f>
        <v>0.8085607692</v>
      </c>
      <c r="AA47" s="80">
        <f>IFERROR(__xludf.DUMMYFUNCTION("""COMPUTED_VALUE"""),0.6211229195959768)</f>
        <v>0.6211229196</v>
      </c>
      <c r="AB47" s="80">
        <f>IFERROR(__xludf.DUMMYFUNCTION("""COMPUTED_VALUE"""),1.4191362505828256)</f>
        <v>1.419136251</v>
      </c>
      <c r="AC47" s="80">
        <f>IFERROR(__xludf.DUMMYFUNCTION("""COMPUTED_VALUE"""),2.6821463380539354)</f>
        <v>2.682146338</v>
      </c>
      <c r="AD47" s="80">
        <f>IFERROR(__xludf.DUMMYFUNCTION("""COMPUTED_VALUE"""),0.963031109184638)</f>
        <v>0.9630311092</v>
      </c>
      <c r="AE47" s="80">
        <f>IFERROR(__xludf.DUMMYFUNCTION("""COMPUTED_VALUE"""),0.591496505649515)</f>
        <v>0.5914965056</v>
      </c>
      <c r="AF47" s="80">
        <f>IFERROR(__xludf.DUMMYFUNCTION("""COMPUTED_VALUE"""),1.0849914279714916)</f>
        <v>1.084991428</v>
      </c>
      <c r="AG47" s="80">
        <f>IFERROR(__xludf.DUMMYFUNCTION("""COMPUTED_VALUE"""),1.1948480445176815)</f>
        <v>1.194848045</v>
      </c>
      <c r="AH47" s="80">
        <f>IFERROR(__xludf.DUMMYFUNCTION("""COMPUTED_VALUE"""),0.8267227156429809)</f>
        <v>0.8267227156</v>
      </c>
      <c r="AI47" s="80">
        <f>IFERROR(__xludf.DUMMYFUNCTION("""COMPUTED_VALUE"""),1.064168307796831)</f>
        <v>1.064168308</v>
      </c>
      <c r="AJ47" s="80">
        <f>IFERROR(__xludf.DUMMYFUNCTION("""COMPUTED_VALUE"""),1.2306919906476759)</f>
        <v>1.230691991</v>
      </c>
      <c r="AK47" s="80">
        <f>IFERROR(__xludf.DUMMYFUNCTION("""COMPUTED_VALUE"""),1.241938926998243)</f>
        <v>1.241938927</v>
      </c>
      <c r="AL47" s="80">
        <f>IFERROR(__xludf.DUMMYFUNCTION("""COMPUTED_VALUE"""),0.8490683407166505)</f>
        <v>0.8490683407</v>
      </c>
      <c r="AM47" s="80">
        <f>IFERROR(__xludf.DUMMYFUNCTION("""COMPUTED_VALUE"""),1.1284173464648017)</f>
        <v>1.128417346</v>
      </c>
      <c r="AN47" s="80">
        <f>IFERROR(__xludf.DUMMYFUNCTION("""COMPUTED_VALUE"""),0.9684082223972449)</f>
        <v>0.9684082224</v>
      </c>
      <c r="AO47" s="80">
        <f>IFERROR(__xludf.DUMMYFUNCTION("""COMPUTED_VALUE"""),0.6040178390496285)</f>
        <v>0.604017839</v>
      </c>
      <c r="AP47" s="80">
        <f>IFERROR(__xludf.DUMMYFUNCTION("""COMPUTED_VALUE"""),1.1320910049465522)</f>
        <v>1.132091005</v>
      </c>
      <c r="AQ47" s="80">
        <f>IFERROR(__xludf.DUMMYFUNCTION("""COMPUTED_VALUE"""),1.178826107596362)</f>
        <v>1.178826108</v>
      </c>
      <c r="AR47" s="80">
        <f>IFERROR(__xludf.DUMMYFUNCTION("""COMPUTED_VALUE"""),0.8361020781860139)</f>
        <v>0.8361020782</v>
      </c>
      <c r="AS47" s="80">
        <f>IFERROR(__xludf.DUMMYFUNCTION("""COMPUTED_VALUE"""),88.0)</f>
        <v>88</v>
      </c>
      <c r="AT47" s="80">
        <f>IFERROR(__xludf.DUMMYFUNCTION("""COMPUTED_VALUE"""),0.3187739325121794)</f>
        <v>0.3187739325</v>
      </c>
      <c r="AU47" s="80">
        <f>IFERROR(__xludf.DUMMYFUNCTION("""COMPUTED_VALUE"""),1.7107438567740965)</f>
        <v>1.710743857</v>
      </c>
      <c r="AV47" s="80">
        <f>IFERROR(__xludf.DUMMYFUNCTION("""COMPUTED_VALUE"""),29.228510123708492)</f>
        <v>29.22851012</v>
      </c>
      <c r="AW47" s="82">
        <f t="shared" si="1"/>
        <v>-4.925465983</v>
      </c>
      <c r="AX47" s="83">
        <f t="array" ref="AX47">IFERROR(DGET('SBV Import'!A:G,"SBV",{"RSC ID","Tier";B47,A47}))</f>
        <v>36.74019604</v>
      </c>
      <c r="AY47" s="82">
        <f t="shared" si="2"/>
        <v>-3.356605453</v>
      </c>
      <c r="AZ47" s="82">
        <v>1.5688605301933292</v>
      </c>
      <c r="BA47" s="84">
        <v>2.0</v>
      </c>
      <c r="BB47" s="84" t="b">
        <f>IFERROR(__xludf.DUMMYFUNCTION("iferror(if(A47="""",,E47&gt;=FILTER(Constants!$F$2:$F$10,Constants!$A$2:$A$10=A47)))"),TRUE)</f>
        <v>1</v>
      </c>
    </row>
    <row r="48">
      <c r="A48" s="80" t="str">
        <f>IFERROR(__xludf.DUMMYFUNCTION("""COMPUTED_VALUE"""),"Premier")</f>
        <v>Premier</v>
      </c>
      <c r="B48" s="80" t="str">
        <f>IFERROR(__xludf.DUMMYFUNCTION("""COMPUTED_VALUE"""),"RSC007471")</f>
        <v>RSC007471</v>
      </c>
      <c r="C48" s="80" t="str">
        <f>IFERROR(__xludf.DUMMYFUNCTION("""COMPUTED_VALUE"""),"ha ha boo.")</f>
        <v>ha ha boo.</v>
      </c>
      <c r="D48" s="80"/>
      <c r="E48" s="80">
        <f>IFERROR(__xludf.DUMMYFUNCTION("""COMPUTED_VALUE"""),24.0)</f>
        <v>24</v>
      </c>
      <c r="F48" s="80">
        <f>IFERROR(__xludf.DUMMYFUNCTION("""COMPUTED_VALUE"""),5.0)</f>
        <v>5</v>
      </c>
      <c r="G48" s="80">
        <f>IFERROR(__xludf.DUMMYFUNCTION("""COMPUTED_VALUE"""),19.0)</f>
        <v>19</v>
      </c>
      <c r="H48" s="81">
        <f>IFERROR(__xludf.DUMMYFUNCTION("""COMPUTED_VALUE"""),0.20833333333333334)</f>
        <v>0.2083333333</v>
      </c>
      <c r="I48" s="81">
        <f>IFERROR(__xludf.DUMMYFUNCTION("""COMPUTED_VALUE"""),0.27272727272727276)</f>
        <v>0.2727272727</v>
      </c>
      <c r="J48" s="80">
        <f>IFERROR(__xludf.DUMMYFUNCTION("""COMPUTED_VALUE"""),339.9166666666667)</f>
        <v>339.9166667</v>
      </c>
      <c r="K48" s="80">
        <f>IFERROR(__xludf.DUMMYFUNCTION("""COMPUTED_VALUE"""),0.625)</f>
        <v>0.625</v>
      </c>
      <c r="L48" s="80">
        <f>IFERROR(__xludf.DUMMYFUNCTION("""COMPUTED_VALUE"""),0.4583333333333333)</f>
        <v>0.4583333333</v>
      </c>
      <c r="M48" s="80">
        <f>IFERROR(__xludf.DUMMYFUNCTION("""COMPUTED_VALUE"""),1.6666666666666667)</f>
        <v>1.666666667</v>
      </c>
      <c r="N48" s="80">
        <f>IFERROR(__xludf.DUMMYFUNCTION("""COMPUTED_VALUE"""),2.2916666666666665)</f>
        <v>2.291666667</v>
      </c>
      <c r="O48" s="80">
        <f>IFERROR(__xludf.DUMMYFUNCTION("""COMPUTED_VALUE"""),400.40277777777777)</f>
        <v>400.4027778</v>
      </c>
      <c r="P48" s="80">
        <f>IFERROR(__xludf.DUMMYFUNCTION("""COMPUTED_VALUE"""),1.0138888888888893)</f>
        <v>1.013888889</v>
      </c>
      <c r="Q48" s="80">
        <f>IFERROR(__xludf.DUMMYFUNCTION("""COMPUTED_VALUE"""),0.7777777777777778)</f>
        <v>0.7777777778</v>
      </c>
      <c r="R48" s="80">
        <f>IFERROR(__xludf.DUMMYFUNCTION("""COMPUTED_VALUE"""),1.2222222222222223)</f>
        <v>1.222222222</v>
      </c>
      <c r="S48" s="80">
        <f>IFERROR(__xludf.DUMMYFUNCTION("""COMPUTED_VALUE"""),3.2916666666666674)</f>
        <v>3.291666667</v>
      </c>
      <c r="T48" s="80">
        <f>IFERROR(__xludf.DUMMYFUNCTION("""COMPUTED_VALUE"""),376.27389442790144)</f>
        <v>376.2738944</v>
      </c>
      <c r="U48" s="80">
        <f>IFERROR(__xludf.DUMMYFUNCTION("""COMPUTED_VALUE"""),0.8515186204705824)</f>
        <v>0.8515186205</v>
      </c>
      <c r="V48" s="80">
        <f>IFERROR(__xludf.DUMMYFUNCTION("""COMPUTED_VALUE"""),0.6171140175959531)</f>
        <v>0.6171140176</v>
      </c>
      <c r="W48" s="80">
        <f>IFERROR(__xludf.DUMMYFUNCTION("""COMPUTED_VALUE"""),1.4468241612777917)</f>
        <v>1.446824161</v>
      </c>
      <c r="X48" s="80">
        <f>IFERROR(__xludf.DUMMYFUNCTION("""COMPUTED_VALUE"""),2.814548423122758)</f>
        <v>2.814548423</v>
      </c>
      <c r="Y48" s="80">
        <f>IFERROR(__xludf.DUMMYFUNCTION("""COMPUTED_VALUE"""),372.43745935492717)</f>
        <v>372.4374594</v>
      </c>
      <c r="Z48" s="80">
        <f>IFERROR(__xludf.DUMMYFUNCTION("""COMPUTED_VALUE"""),0.8053655417307332)</f>
        <v>0.8053655417</v>
      </c>
      <c r="AA48" s="80">
        <f>IFERROR(__xludf.DUMMYFUNCTION("""COMPUTED_VALUE"""),0.6294843056451679)</f>
        <v>0.6294843056</v>
      </c>
      <c r="AB48" s="80">
        <f>IFERROR(__xludf.DUMMYFUNCTION("""COMPUTED_VALUE"""),1.4764233523070178)</f>
        <v>1.476423352</v>
      </c>
      <c r="AC48" s="80">
        <f>IFERROR(__xludf.DUMMYFUNCTION("""COMPUTED_VALUE"""),2.717334066609617)</f>
        <v>2.717334067</v>
      </c>
      <c r="AD48" s="80">
        <f>IFERROR(__xludf.DUMMYFUNCTION("""COMPUTED_VALUE"""),0.9126811982216089)</f>
        <v>0.9126811982</v>
      </c>
      <c r="AE48" s="80">
        <f>IFERROR(__xludf.DUMMYFUNCTION("""COMPUTED_VALUE"""),0.7760451218919461)</f>
        <v>0.7760451219</v>
      </c>
      <c r="AF48" s="80">
        <f>IFERROR(__xludf.DUMMYFUNCTION("""COMPUTED_VALUE"""),0.7281092304018296)</f>
        <v>0.7281092304</v>
      </c>
      <c r="AG48" s="80">
        <f>IFERROR(__xludf.DUMMYFUNCTION("""COMPUTED_VALUE"""),1.1288541759126067)</f>
        <v>1.128854176</v>
      </c>
      <c r="AH48" s="80">
        <f>IFERROR(__xludf.DUMMYFUNCTION("""COMPUTED_VALUE"""),0.843351097248764)</f>
        <v>0.8433510972</v>
      </c>
      <c r="AI48" s="80">
        <f>IFERROR(__xludf.DUMMYFUNCTION("""COMPUTED_VALUE"""),1.0641258500980055)</f>
        <v>1.06412585</v>
      </c>
      <c r="AJ48" s="80">
        <f>IFERROR(__xludf.DUMMYFUNCTION("""COMPUTED_VALUE"""),1.1906831683006236)</f>
        <v>1.190683168</v>
      </c>
      <c r="AK48" s="80">
        <f>IFERROR(__xludf.DUMMYFUNCTION("""COMPUTED_VALUE"""),1.260346962799048)</f>
        <v>1.260346963</v>
      </c>
      <c r="AL48" s="80">
        <f>IFERROR(__xludf.DUMMYFUNCTION("""COMPUTED_VALUE"""),0.8447621037395396)</f>
        <v>0.8447621037</v>
      </c>
      <c r="AM48" s="80">
        <f>IFERROR(__xludf.DUMMYFUNCTION("""COMPUTED_VALUE"""),1.1695185769852714)</f>
        <v>1.169518577</v>
      </c>
      <c r="AN48" s="80">
        <f>IFERROR(__xludf.DUMMYFUNCTION("""COMPUTED_VALUE"""),0.9314832902788953)</f>
        <v>0.9314832903</v>
      </c>
      <c r="AO48" s="80">
        <f>IFERROR(__xludf.DUMMYFUNCTION("""COMPUTED_VALUE"""),0.7893414942125826)</f>
        <v>0.7893414942</v>
      </c>
      <c r="AP48" s="80">
        <f>IFERROR(__xludf.DUMMYFUNCTION("""COMPUTED_VALUE"""),0.7699436135792411)</f>
        <v>0.7699436136</v>
      </c>
      <c r="AQ48" s="80">
        <f>IFERROR(__xludf.DUMMYFUNCTION("""COMPUTED_VALUE"""),1.1586752339622364)</f>
        <v>1.158675234</v>
      </c>
      <c r="AR48" s="80">
        <f>IFERROR(__xludf.DUMMYFUNCTION("""COMPUTED_VALUE"""),0.8641087654455126)</f>
        <v>0.8641087654</v>
      </c>
      <c r="AS48" s="80">
        <f>IFERROR(__xludf.DUMMYFUNCTION("""COMPUTED_VALUE"""),42.0)</f>
        <v>42</v>
      </c>
      <c r="AT48" s="80">
        <f>IFERROR(__xludf.DUMMYFUNCTION("""COMPUTED_VALUE"""),0.29594521249798944)</f>
        <v>0.2959452125</v>
      </c>
      <c r="AU48" s="80">
        <f>IFERROR(__xludf.DUMMYFUNCTION("""COMPUTED_VALUE"""),1.5630458878692641)</f>
        <v>1.563045888</v>
      </c>
      <c r="AV48" s="80">
        <f>IFERROR(__xludf.DUMMYFUNCTION("""COMPUTED_VALUE"""),24.765089325777883)</f>
        <v>24.76508933</v>
      </c>
      <c r="AW48" s="82">
        <f t="shared" si="1"/>
        <v>-6.39417769</v>
      </c>
      <c r="AX48" s="83">
        <f t="array" ref="AX48">IFERROR(DGET('SBV Import'!A:G,"SBV",{"RSC ID","Tier";B48,A48}))</f>
        <v>25.38629834</v>
      </c>
      <c r="AY48" s="82">
        <f t="shared" si="2"/>
        <v>-6.156761423</v>
      </c>
      <c r="AZ48" s="82">
        <v>0.23741626686190642</v>
      </c>
      <c r="BA48" s="84">
        <v>2.0</v>
      </c>
      <c r="BB48" s="84" t="b">
        <f>IFERROR(__xludf.DUMMYFUNCTION("iferror(if(A48="""",,E48&gt;=FILTER(Constants!$F$2:$F$10,Constants!$A$2:$A$10=A48)))"),TRUE)</f>
        <v>1</v>
      </c>
    </row>
    <row r="49">
      <c r="A49" s="80" t="str">
        <f>IFERROR(__xludf.DUMMYFUNCTION("""COMPUTED_VALUE"""),"Premier")</f>
        <v>Premier</v>
      </c>
      <c r="B49" s="80" t="str">
        <f>IFERROR(__xludf.DUMMYFUNCTION("""COMPUTED_VALUE"""),"RSC002714")</f>
        <v>RSC002714</v>
      </c>
      <c r="C49" s="80" t="str">
        <f>IFERROR(__xludf.DUMMYFUNCTION("""COMPUTED_VALUE"""),"Yujin")</f>
        <v>Yujin</v>
      </c>
      <c r="D49" s="80" t="str">
        <f>IFERROR(__xludf.DUMMYFUNCTION("""COMPUTED_VALUE"""),"Fairies")</f>
        <v>Fairies</v>
      </c>
      <c r="E49" s="80">
        <f>IFERROR(__xludf.DUMMYFUNCTION("""COMPUTED_VALUE"""),42.0)</f>
        <v>42</v>
      </c>
      <c r="F49" s="80">
        <f>IFERROR(__xludf.DUMMYFUNCTION("""COMPUTED_VALUE"""),11.0)</f>
        <v>11</v>
      </c>
      <c r="G49" s="80">
        <f>IFERROR(__xludf.DUMMYFUNCTION("""COMPUTED_VALUE"""),31.0)</f>
        <v>31</v>
      </c>
      <c r="H49" s="81">
        <f>IFERROR(__xludf.DUMMYFUNCTION("""COMPUTED_VALUE"""),0.2619047619047619)</f>
        <v>0.2619047619</v>
      </c>
      <c r="I49" s="81">
        <f>IFERROR(__xludf.DUMMYFUNCTION("""COMPUTED_VALUE"""),0.38461538461538464)</f>
        <v>0.3846153846</v>
      </c>
      <c r="J49" s="80">
        <f>IFERROR(__xludf.DUMMYFUNCTION("""COMPUTED_VALUE"""),341.92857142857144)</f>
        <v>341.9285714</v>
      </c>
      <c r="K49" s="80">
        <f>IFERROR(__xludf.DUMMYFUNCTION("""COMPUTED_VALUE"""),0.8333333333333334)</f>
        <v>0.8333333333</v>
      </c>
      <c r="L49" s="80">
        <f>IFERROR(__xludf.DUMMYFUNCTION("""COMPUTED_VALUE"""),0.35714285714285715)</f>
        <v>0.3571428571</v>
      </c>
      <c r="M49" s="80">
        <f>IFERROR(__xludf.DUMMYFUNCTION("""COMPUTED_VALUE"""),1.380952380952381)</f>
        <v>1.380952381</v>
      </c>
      <c r="N49" s="80">
        <f>IFERROR(__xludf.DUMMYFUNCTION("""COMPUTED_VALUE"""),2.1666666666666665)</f>
        <v>2.166666667</v>
      </c>
      <c r="O49" s="80">
        <f>IFERROR(__xludf.DUMMYFUNCTION("""COMPUTED_VALUE"""),399.8095238095239)</f>
        <v>399.8095238</v>
      </c>
      <c r="P49" s="80">
        <f>IFERROR(__xludf.DUMMYFUNCTION("""COMPUTED_VALUE"""),1.103174603174603)</f>
        <v>1.103174603</v>
      </c>
      <c r="Q49" s="80">
        <f>IFERROR(__xludf.DUMMYFUNCTION("""COMPUTED_VALUE"""),0.8730158730158729)</f>
        <v>0.873015873</v>
      </c>
      <c r="R49" s="80">
        <f>IFERROR(__xludf.DUMMYFUNCTION("""COMPUTED_VALUE"""),1.0873015873015872)</f>
        <v>1.087301587</v>
      </c>
      <c r="S49" s="80">
        <f>IFERROR(__xludf.DUMMYFUNCTION("""COMPUTED_VALUE"""),3.19047619047619)</f>
        <v>3.19047619</v>
      </c>
      <c r="T49" s="80">
        <f>IFERROR(__xludf.DUMMYFUNCTION("""COMPUTED_VALUE"""),371.63030044436016)</f>
        <v>371.6303004</v>
      </c>
      <c r="U49" s="80">
        <f>IFERROR(__xludf.DUMMYFUNCTION("""COMPUTED_VALUE"""),0.837933904260491)</f>
        <v>0.8379339043</v>
      </c>
      <c r="V49" s="80">
        <f>IFERROR(__xludf.DUMMYFUNCTION("""COMPUTED_VALUE"""),0.6458522414847763)</f>
        <v>0.6458522415</v>
      </c>
      <c r="W49" s="80">
        <f>IFERROR(__xludf.DUMMYFUNCTION("""COMPUTED_VALUE"""),1.391209025120417)</f>
        <v>1.391209025</v>
      </c>
      <c r="X49" s="80">
        <f>IFERROR(__xludf.DUMMYFUNCTION("""COMPUTED_VALUE"""),2.7911859359458036)</f>
        <v>2.791185936</v>
      </c>
      <c r="Y49" s="80">
        <f>IFERROR(__xludf.DUMMYFUNCTION("""COMPUTED_VALUE"""),372.62243616555435)</f>
        <v>372.6224362</v>
      </c>
      <c r="Z49" s="80">
        <f>IFERROR(__xludf.DUMMYFUNCTION("""COMPUTED_VALUE"""),0.8179985891720731)</f>
        <v>0.8179985892</v>
      </c>
      <c r="AA49" s="80">
        <f>IFERROR(__xludf.DUMMYFUNCTION("""COMPUTED_VALUE"""),0.6285472042881937)</f>
        <v>0.6285472043</v>
      </c>
      <c r="AB49" s="80">
        <f>IFERROR(__xludf.DUMMYFUNCTION("""COMPUTED_VALUE"""),1.466647835196265)</f>
        <v>1.466647835</v>
      </c>
      <c r="AC49" s="80">
        <f>IFERROR(__xludf.DUMMYFUNCTION("""COMPUTED_VALUE"""),2.6846455626529155)</f>
        <v>2.684645563</v>
      </c>
      <c r="AD49" s="80">
        <f>IFERROR(__xludf.DUMMYFUNCTION("""COMPUTED_VALUE"""),0.9176274379695544)</f>
        <v>0.917627438</v>
      </c>
      <c r="AE49" s="80">
        <f>IFERROR(__xludf.DUMMYFUNCTION("""COMPUTED_VALUE"""),1.0187466633368905)</f>
        <v>1.018746663</v>
      </c>
      <c r="AF49" s="80">
        <f>IFERROR(__xludf.DUMMYFUNCTION("""COMPUTED_VALUE"""),0.5682037159759674)</f>
        <v>0.568203716</v>
      </c>
      <c r="AG49" s="80">
        <f>IFERROR(__xludf.DUMMYFUNCTION("""COMPUTED_VALUE"""),0.9415705309840678)</f>
        <v>0.941570531</v>
      </c>
      <c r="AH49" s="80">
        <f>IFERROR(__xludf.DUMMYFUNCTION("""COMPUTED_VALUE"""),0.8070587405681992)</f>
        <v>0.8070587406</v>
      </c>
      <c r="AI49" s="80">
        <f>IFERROR(__xludf.DUMMYFUNCTION("""COMPUTED_VALUE"""),1.075825957494504)</f>
        <v>1.075825957</v>
      </c>
      <c r="AJ49" s="80">
        <f>IFERROR(__xludf.DUMMYFUNCTION("""COMPUTED_VALUE"""),1.3165413137784385)</f>
        <v>1.316541314</v>
      </c>
      <c r="AK49" s="80">
        <f>IFERROR(__xludf.DUMMYFUNCTION("""COMPUTED_VALUE"""),1.351726938361104)</f>
        <v>1.351726938</v>
      </c>
      <c r="AL49" s="80">
        <f>IFERROR(__xludf.DUMMYFUNCTION("""COMPUTED_VALUE"""),0.7815515624673834)</f>
        <v>0.7815515625</v>
      </c>
      <c r="AM49" s="80">
        <f>IFERROR(__xludf.DUMMYFUNCTION("""COMPUTED_VALUE"""),1.1430539790947625)</f>
        <v>1.143053979</v>
      </c>
      <c r="AN49" s="80">
        <f>IFERROR(__xludf.DUMMYFUNCTION("""COMPUTED_VALUE"""),0.9369965700063192)</f>
        <v>0.93699657</v>
      </c>
      <c r="AO49" s="80">
        <f>IFERROR(__xludf.DUMMYFUNCTION("""COMPUTED_VALUE"""),1.0524553256167768)</f>
        <v>1.052455326</v>
      </c>
      <c r="AP49" s="80">
        <f>IFERROR(__xludf.DUMMYFUNCTION("""COMPUTED_VALUE"""),0.5999560625292789)</f>
        <v>0.5999560625</v>
      </c>
      <c r="AQ49" s="80">
        <f>IFERROR(__xludf.DUMMYFUNCTION("""COMPUTED_VALUE"""),0.9600451938544243)</f>
        <v>0.9600451939</v>
      </c>
      <c r="AR49" s="80">
        <f>IFERROR(__xludf.DUMMYFUNCTION("""COMPUTED_VALUE"""),0.8169755600575755)</f>
        <v>0.8169755601</v>
      </c>
      <c r="AS49" s="80">
        <f>IFERROR(__xludf.DUMMYFUNCTION("""COMPUTED_VALUE"""),86.0)</f>
        <v>86</v>
      </c>
      <c r="AT49" s="80">
        <f>IFERROR(__xludf.DUMMYFUNCTION("""COMPUTED_VALUE"""),0.31491329867953244)</f>
        <v>0.3149132987</v>
      </c>
      <c r="AU49" s="80">
        <f>IFERROR(__xludf.DUMMYFUNCTION("""COMPUTED_VALUE"""),1.5629989912648754)</f>
        <v>1.562998991</v>
      </c>
      <c r="AV49" s="80">
        <f>IFERROR(__xludf.DUMMYFUNCTION("""COMPUTED_VALUE"""),24.763672114147063)</f>
        <v>24.76367211</v>
      </c>
      <c r="AW49" s="82">
        <f t="shared" si="1"/>
        <v>-6.394733277</v>
      </c>
      <c r="AX49" s="83">
        <f t="array" ref="AX49">IFERROR(DGET('SBV Import'!A:G,"SBV",{"RSC ID","Tier";B49,A49}))</f>
        <v>28.48700733</v>
      </c>
      <c r="AY49" s="82">
        <f t="shared" si="2"/>
        <v>-5.134753582</v>
      </c>
      <c r="AZ49" s="82">
        <v>1.2599796949351934</v>
      </c>
      <c r="BA49" s="84">
        <v>2.0</v>
      </c>
      <c r="BB49" s="84" t="b">
        <f>IFERROR(__xludf.DUMMYFUNCTION("iferror(if(A49="""",,E49&gt;=FILTER(Constants!$F$2:$F$10,Constants!$A$2:$A$10=A49)))"),TRUE)</f>
        <v>1</v>
      </c>
    </row>
    <row r="50">
      <c r="A50" s="80" t="str">
        <f>IFERROR(__xludf.DUMMYFUNCTION("""COMPUTED_VALUE"""),"Premier")</f>
        <v>Premier</v>
      </c>
      <c r="B50" s="80" t="str">
        <f>IFERROR(__xludf.DUMMYFUNCTION("""COMPUTED_VALUE"""),"RSC003334")</f>
        <v>RSC003334</v>
      </c>
      <c r="C50" s="80" t="str">
        <f>IFERROR(__xludf.DUMMYFUNCTION("""COMPUTED_VALUE"""),"hawk rl")</f>
        <v>hawk rl</v>
      </c>
      <c r="D50" s="80" t="str">
        <f>IFERROR(__xludf.DUMMYFUNCTION("""COMPUTED_VALUE"""),"Interstellar")</f>
        <v>Interstellar</v>
      </c>
      <c r="E50" s="80">
        <f>IFERROR(__xludf.DUMMYFUNCTION("""COMPUTED_VALUE"""),25.0)</f>
        <v>25</v>
      </c>
      <c r="F50" s="80">
        <f>IFERROR(__xludf.DUMMYFUNCTION("""COMPUTED_VALUE"""),7.0)</f>
        <v>7</v>
      </c>
      <c r="G50" s="80">
        <f>IFERROR(__xludf.DUMMYFUNCTION("""COMPUTED_VALUE"""),18.0)</f>
        <v>18</v>
      </c>
      <c r="H50" s="81">
        <f>IFERROR(__xludf.DUMMYFUNCTION("""COMPUTED_VALUE"""),0.28)</f>
        <v>0.28</v>
      </c>
      <c r="I50" s="81">
        <f>IFERROR(__xludf.DUMMYFUNCTION("""COMPUTED_VALUE"""),0.33333333333333337)</f>
        <v>0.3333333333</v>
      </c>
      <c r="J50" s="80">
        <f>IFERROR(__xludf.DUMMYFUNCTION("""COMPUTED_VALUE"""),283.92)</f>
        <v>283.92</v>
      </c>
      <c r="K50" s="80">
        <f>IFERROR(__xludf.DUMMYFUNCTION("""COMPUTED_VALUE"""),0.56)</f>
        <v>0.56</v>
      </c>
      <c r="L50" s="80">
        <f>IFERROR(__xludf.DUMMYFUNCTION("""COMPUTED_VALUE"""),0.64)</f>
        <v>0.64</v>
      </c>
      <c r="M50" s="80">
        <f>IFERROR(__xludf.DUMMYFUNCTION("""COMPUTED_VALUE"""),1.08)</f>
        <v>1.08</v>
      </c>
      <c r="N50" s="80">
        <f>IFERROR(__xludf.DUMMYFUNCTION("""COMPUTED_VALUE"""),1.68)</f>
        <v>1.68</v>
      </c>
      <c r="O50" s="80">
        <f>IFERROR(__xludf.DUMMYFUNCTION("""COMPUTED_VALUE"""),365.16)</f>
        <v>365.16</v>
      </c>
      <c r="P50" s="80">
        <f>IFERROR(__xludf.DUMMYFUNCTION("""COMPUTED_VALUE"""),0.9466666666666669)</f>
        <v>0.9466666667</v>
      </c>
      <c r="Q50" s="80">
        <f>IFERROR(__xludf.DUMMYFUNCTION("""COMPUTED_VALUE"""),0.6666666666666665)</f>
        <v>0.6666666667</v>
      </c>
      <c r="R50" s="80">
        <f>IFERROR(__xludf.DUMMYFUNCTION("""COMPUTED_VALUE"""),1.2133333333333334)</f>
        <v>1.213333333</v>
      </c>
      <c r="S50" s="80">
        <f>IFERROR(__xludf.DUMMYFUNCTION("""COMPUTED_VALUE"""),2.746666666666667)</f>
        <v>2.746666667</v>
      </c>
      <c r="T50" s="80">
        <f>IFERROR(__xludf.DUMMYFUNCTION("""COMPUTED_VALUE"""),373.0630856173339)</f>
        <v>373.0630856</v>
      </c>
      <c r="U50" s="80">
        <f>IFERROR(__xludf.DUMMYFUNCTION("""COMPUTED_VALUE"""),0.8307082792933861)</f>
        <v>0.8307082793</v>
      </c>
      <c r="V50" s="80">
        <f>IFERROR(__xludf.DUMMYFUNCTION("""COMPUTED_VALUE"""),0.673704665638523)</f>
        <v>0.6737046656</v>
      </c>
      <c r="W50" s="80">
        <f>IFERROR(__xludf.DUMMYFUNCTION("""COMPUTED_VALUE"""),1.4584912263441407)</f>
        <v>1.458491226</v>
      </c>
      <c r="X50" s="80">
        <f>IFERROR(__xludf.DUMMYFUNCTION("""COMPUTED_VALUE"""),2.686055581260947)</f>
        <v>2.686055581</v>
      </c>
      <c r="Y50" s="80">
        <f>IFERROR(__xludf.DUMMYFUNCTION("""COMPUTED_VALUE"""),372.14620888277796)</f>
        <v>372.1462089</v>
      </c>
      <c r="Z50" s="80">
        <f>IFERROR(__xludf.DUMMYFUNCTION("""COMPUTED_VALUE"""),0.8250259700453967)</f>
        <v>0.82502597</v>
      </c>
      <c r="AA50" s="80">
        <f>IFERROR(__xludf.DUMMYFUNCTION("""COMPUTED_VALUE"""),0.6534066595338566)</f>
        <v>0.6534066595</v>
      </c>
      <c r="AB50" s="80">
        <f>IFERROR(__xludf.DUMMYFUNCTION("""COMPUTED_VALUE"""),1.4168857216660178)</f>
        <v>1.416885722</v>
      </c>
      <c r="AC50" s="80">
        <f>IFERROR(__xludf.DUMMYFUNCTION("""COMPUTED_VALUE"""),2.688862840151925)</f>
        <v>2.68886284</v>
      </c>
      <c r="AD50" s="80">
        <f>IFERROR(__xludf.DUMMYFUNCTION("""COMPUTED_VALUE"""),0.7629259501322282)</f>
        <v>0.7629259501</v>
      </c>
      <c r="AE50" s="80">
        <f>IFERROR(__xludf.DUMMYFUNCTION("""COMPUTED_VALUE"""),0.6787665120034783)</f>
        <v>0.678766512</v>
      </c>
      <c r="AF50" s="80">
        <f>IFERROR(__xludf.DUMMYFUNCTION("""COMPUTED_VALUE"""),0.9794819055817078)</f>
        <v>0.9794819056</v>
      </c>
      <c r="AG50" s="80">
        <f>IFERROR(__xludf.DUMMYFUNCTION("""COMPUTED_VALUE"""),0.7622350790084206)</f>
        <v>0.762235079</v>
      </c>
      <c r="AH50" s="80">
        <f>IFERROR(__xludf.DUMMYFUNCTION("""COMPUTED_VALUE"""),0.6247994412035823)</f>
        <v>0.6247994412</v>
      </c>
      <c r="AI50" s="80">
        <f>IFERROR(__xludf.DUMMYFUNCTION("""COMPUTED_VALUE"""),0.9788156858128805)</f>
        <v>0.9788156858</v>
      </c>
      <c r="AJ50" s="80">
        <f>IFERROR(__xludf.DUMMYFUNCTION("""COMPUTED_VALUE"""),1.1395897817124405)</f>
        <v>1.139589782</v>
      </c>
      <c r="AK50" s="80">
        <f>IFERROR(__xludf.DUMMYFUNCTION("""COMPUTED_VALUE"""),0.9895532874702804)</f>
        <v>0.9895532875</v>
      </c>
      <c r="AL50" s="80">
        <f>IFERROR(__xludf.DUMMYFUNCTION("""COMPUTED_VALUE"""),0.8319099295336037)</f>
        <v>0.8319099295</v>
      </c>
      <c r="AM50" s="80">
        <f>IFERROR(__xludf.DUMMYFUNCTION("""COMPUTED_VALUE"""),1.0225650898025225)</f>
        <v>1.02256509</v>
      </c>
      <c r="AN50" s="80">
        <f>IFERROR(__xludf.DUMMYFUNCTION("""COMPUTED_VALUE"""),0.7780340351340543)</f>
        <v>0.7780340351</v>
      </c>
      <c r="AO50" s="80">
        <f>IFERROR(__xludf.DUMMYFUNCTION("""COMPUTED_VALUE"""),0.707249978814474)</f>
        <v>0.7072499788</v>
      </c>
      <c r="AP50" s="80">
        <f>IFERROR(__xludf.DUMMYFUNCTION("""COMPUTED_VALUE"""),1.0751212640524677)</f>
        <v>1.075121264</v>
      </c>
      <c r="AQ50" s="80">
        <f>IFERROR(__xludf.DUMMYFUNCTION("""COMPUTED_VALUE"""),0.7508215516075292)</f>
        <v>0.7508215516</v>
      </c>
      <c r="AR50" s="80">
        <f>IFERROR(__xludf.DUMMYFUNCTION("""COMPUTED_VALUE"""),0.633470280413874)</f>
        <v>0.6334702804</v>
      </c>
      <c r="AS50" s="80">
        <f>IFERROR(__xludf.DUMMYFUNCTION("""COMPUTED_VALUE"""),47.0)</f>
        <v>47</v>
      </c>
      <c r="AT50" s="80">
        <f>IFERROR(__xludf.DUMMYFUNCTION("""COMPUTED_VALUE"""),0.34434509792445933)</f>
        <v>0.3443450979</v>
      </c>
      <c r="AU50" s="80">
        <f>IFERROR(__xludf.DUMMYFUNCTION("""COMPUTED_VALUE"""),1.5368382401164002)</f>
        <v>1.53683824</v>
      </c>
      <c r="AV50" s="80">
        <f>IFERROR(__xludf.DUMMYFUNCTION("""COMPUTED_VALUE"""),23.973096308457897)</f>
        <v>23.97309631</v>
      </c>
      <c r="AW50" s="82">
        <f t="shared" si="1"/>
        <v>-6.715010068</v>
      </c>
      <c r="AX50" s="83">
        <f t="array" ref="AX50">IFERROR(DGET('SBV Import'!A:G,"SBV",{"RSC ID","Tier";B50,A50}))</f>
        <v>27.37213052</v>
      </c>
      <c r="AY50" s="82">
        <f t="shared" si="2"/>
        <v>-5.473385096</v>
      </c>
      <c r="AZ50" s="82">
        <v>1.241624972622704</v>
      </c>
      <c r="BA50" s="84">
        <v>2.0</v>
      </c>
      <c r="BB50" s="84" t="b">
        <f>IFERROR(__xludf.DUMMYFUNCTION("iferror(if(A50="""",,E50&gt;=FILTER(Constants!$F$2:$F$10,Constants!$A$2:$A$10=A50)))"),TRUE)</f>
        <v>1</v>
      </c>
    </row>
    <row r="51">
      <c r="A51" s="80" t="str">
        <f>IFERROR(__xludf.DUMMYFUNCTION("""COMPUTED_VALUE"""),"Premier")</f>
        <v>Premier</v>
      </c>
      <c r="B51" s="80" t="str">
        <f>IFERROR(__xludf.DUMMYFUNCTION("""COMPUTED_VALUE"""),"RSC007150")</f>
        <v>RSC007150</v>
      </c>
      <c r="C51" s="80" t="str">
        <f>IFERROR(__xludf.DUMMYFUNCTION("""COMPUTED_VALUE"""),"peach")</f>
        <v>peach</v>
      </c>
      <c r="D51" s="80" t="str">
        <f>IFERROR(__xludf.DUMMYFUNCTION("""COMPUTED_VALUE"""),"Fairies")</f>
        <v>Fairies</v>
      </c>
      <c r="E51" s="80">
        <f>IFERROR(__xludf.DUMMYFUNCTION("""COMPUTED_VALUE"""),28.0)</f>
        <v>28</v>
      </c>
      <c r="F51" s="80">
        <f>IFERROR(__xludf.DUMMYFUNCTION("""COMPUTED_VALUE"""),7.0)</f>
        <v>7</v>
      </c>
      <c r="G51" s="80">
        <f>IFERROR(__xludf.DUMMYFUNCTION("""COMPUTED_VALUE"""),21.0)</f>
        <v>21</v>
      </c>
      <c r="H51" s="81">
        <f>IFERROR(__xludf.DUMMYFUNCTION("""COMPUTED_VALUE"""),0.25)</f>
        <v>0.25</v>
      </c>
      <c r="I51" s="81">
        <f>IFERROR(__xludf.DUMMYFUNCTION("""COMPUTED_VALUE"""),0.16176470588235295)</f>
        <v>0.1617647059</v>
      </c>
      <c r="J51" s="80">
        <f>IFERROR(__xludf.DUMMYFUNCTION("""COMPUTED_VALUE"""),303.42857142857144)</f>
        <v>303.4285714</v>
      </c>
      <c r="K51" s="80">
        <f>IFERROR(__xludf.DUMMYFUNCTION("""COMPUTED_VALUE"""),0.39285714285714285)</f>
        <v>0.3928571429</v>
      </c>
      <c r="L51" s="80">
        <f>IFERROR(__xludf.DUMMYFUNCTION("""COMPUTED_VALUE"""),0.39285714285714285)</f>
        <v>0.3928571429</v>
      </c>
      <c r="M51" s="80">
        <f>IFERROR(__xludf.DUMMYFUNCTION("""COMPUTED_VALUE"""),1.4285714285714286)</f>
        <v>1.428571429</v>
      </c>
      <c r="N51" s="80">
        <f>IFERROR(__xludf.DUMMYFUNCTION("""COMPUTED_VALUE"""),2.4285714285714284)</f>
        <v>2.428571429</v>
      </c>
      <c r="O51" s="80">
        <f>IFERROR(__xludf.DUMMYFUNCTION("""COMPUTED_VALUE"""),400.11904761904765)</f>
        <v>400.1190476</v>
      </c>
      <c r="P51" s="80">
        <f>IFERROR(__xludf.DUMMYFUNCTION("""COMPUTED_VALUE"""),0.9642857142857142)</f>
        <v>0.9642857143</v>
      </c>
      <c r="Q51" s="80">
        <f>IFERROR(__xludf.DUMMYFUNCTION("""COMPUTED_VALUE"""),0.8095238095238094)</f>
        <v>0.8095238095</v>
      </c>
      <c r="R51" s="80">
        <f>IFERROR(__xludf.DUMMYFUNCTION("""COMPUTED_VALUE"""),1.440476190476191)</f>
        <v>1.44047619</v>
      </c>
      <c r="S51" s="80">
        <f>IFERROR(__xludf.DUMMYFUNCTION("""COMPUTED_VALUE"""),3.2142857142857144)</f>
        <v>3.214285714</v>
      </c>
      <c r="T51" s="80">
        <f>IFERROR(__xludf.DUMMYFUNCTION("""COMPUTED_VALUE"""),379.17442402427866)</f>
        <v>379.174424</v>
      </c>
      <c r="U51" s="80">
        <f>IFERROR(__xludf.DUMMYFUNCTION("""COMPUTED_VALUE"""),0.8675302211817941)</f>
        <v>0.8675302212</v>
      </c>
      <c r="V51" s="80">
        <f>IFERROR(__xludf.DUMMYFUNCTION("""COMPUTED_VALUE"""),0.6701188143884996)</f>
        <v>0.6701188144</v>
      </c>
      <c r="W51" s="80">
        <f>IFERROR(__xludf.DUMMYFUNCTION("""COMPUTED_VALUE"""),1.4173348012733906)</f>
        <v>1.417334801</v>
      </c>
      <c r="X51" s="80">
        <f>IFERROR(__xludf.DUMMYFUNCTION("""COMPUTED_VALUE"""),2.7800062694848306)</f>
        <v>2.780006269</v>
      </c>
      <c r="Y51" s="80">
        <f>IFERROR(__xludf.DUMMYFUNCTION("""COMPUTED_VALUE"""),367.44280129824847)</f>
        <v>367.4428013</v>
      </c>
      <c r="Z51" s="80">
        <f>IFERROR(__xludf.DUMMYFUNCTION("""COMPUTED_VALUE"""),0.7933296730456617)</f>
        <v>0.793329673</v>
      </c>
      <c r="AA51" s="80">
        <f>IFERROR(__xludf.DUMMYFUNCTION("""COMPUTED_VALUE"""),0.6057640357755564)</f>
        <v>0.6057640358</v>
      </c>
      <c r="AB51" s="80">
        <f>IFERROR(__xludf.DUMMYFUNCTION("""COMPUTED_VALUE"""),1.4545709140980634)</f>
        <v>1.454570914</v>
      </c>
      <c r="AC51" s="80">
        <f>IFERROR(__xludf.DUMMYFUNCTION("""COMPUTED_VALUE"""),2.679194419389272)</f>
        <v>2.679194419</v>
      </c>
      <c r="AD51" s="80">
        <f>IFERROR(__xludf.DUMMYFUNCTION("""COMPUTED_VALUE"""),0.8257845040275601)</f>
        <v>0.825784504</v>
      </c>
      <c r="AE51" s="80">
        <f>IFERROR(__xludf.DUMMYFUNCTION("""COMPUTED_VALUE"""),0.4952003639910884)</f>
        <v>0.495200364</v>
      </c>
      <c r="AF51" s="80">
        <f>IFERROR(__xludf.DUMMYFUNCTION("""COMPUTED_VALUE"""),0.6485316388157147)</f>
        <v>0.6485316388</v>
      </c>
      <c r="AG51" s="80">
        <f>IFERROR(__xludf.DUMMYFUNCTION("""COMPUTED_VALUE"""),0.9821256665628046)</f>
        <v>0.9821256666</v>
      </c>
      <c r="AH51" s="80">
        <f>IFERROR(__xludf.DUMMYFUNCTION("""COMPUTED_VALUE"""),0.9064558402316418)</f>
        <v>0.9064558402</v>
      </c>
      <c r="AI51" s="80">
        <f>IFERROR(__xludf.DUMMYFUNCTION("""COMPUTED_VALUE"""),1.0552374376216576)</f>
        <v>1.055237438</v>
      </c>
      <c r="AJ51" s="80">
        <f>IFERROR(__xludf.DUMMYFUNCTION("""COMPUTED_VALUE"""),1.1115298242545542)</f>
        <v>1.111529824</v>
      </c>
      <c r="AK51" s="80">
        <f>IFERROR(__xludf.DUMMYFUNCTION("""COMPUTED_VALUE"""),1.2080302658902666)</f>
        <v>1.208030266</v>
      </c>
      <c r="AL51" s="80">
        <f>IFERROR(__xludf.DUMMYFUNCTION("""COMPUTED_VALUE"""),1.0163273978611187)</f>
        <v>1.016327398</v>
      </c>
      <c r="AM51" s="80">
        <f>IFERROR(__xludf.DUMMYFUNCTION("""COMPUTED_VALUE"""),1.1562152753279082)</f>
        <v>1.156215275</v>
      </c>
      <c r="AN51" s="80">
        <f>IFERROR(__xludf.DUMMYFUNCTION("""COMPUTED_VALUE"""),0.8314939271750248)</f>
        <v>0.8314939272</v>
      </c>
      <c r="AO51" s="80">
        <f>IFERROR(__xludf.DUMMYFUNCTION("""COMPUTED_VALUE"""),0.49615751064790903)</f>
        <v>0.4961575106</v>
      </c>
      <c r="AP51" s="80">
        <f>IFERROR(__xludf.DUMMYFUNCTION("""COMPUTED_VALUE"""),0.6599516687822067)</f>
        <v>0.6599516688</v>
      </c>
      <c r="AQ51" s="80">
        <f>IFERROR(__xludf.DUMMYFUNCTION("""COMPUTED_VALUE"""),0.9931502005390597)</f>
        <v>0.9931502005</v>
      </c>
      <c r="AR51" s="80">
        <f>IFERROR(__xludf.DUMMYFUNCTION("""COMPUTED_VALUE"""),0.9157308475370627)</f>
        <v>0.9157308475</v>
      </c>
      <c r="AS51" s="80">
        <f>IFERROR(__xludf.DUMMYFUNCTION("""COMPUTED_VALUE"""),44.0)</f>
        <v>44</v>
      </c>
      <c r="AT51" s="80">
        <f>IFERROR(__xludf.DUMMYFUNCTION("""COMPUTED_VALUE"""),0.2813959575969064)</f>
        <v>0.2813959576</v>
      </c>
      <c r="AU51" s="80">
        <f>IFERROR(__xludf.DUMMYFUNCTION("""COMPUTED_VALUE"""),1.213555293700495)</f>
        <v>1.213555294</v>
      </c>
      <c r="AV51" s="80">
        <f>IFERROR(__xludf.DUMMYFUNCTION("""COMPUTED_VALUE"""),14.203511544710828)</f>
        <v>14.20351154</v>
      </c>
      <c r="AW51" s="82">
        <f t="shared" si="1"/>
        <v>-13.14198395</v>
      </c>
      <c r="AX51" s="83">
        <f t="array" ref="AX51">IFERROR(DGET('SBV Import'!A:G,"SBV",{"RSC ID","Tier";B51,A51}))</f>
        <v>9.407892392</v>
      </c>
      <c r="AY51" s="82">
        <f t="shared" si="2"/>
        <v>-19.14916387</v>
      </c>
      <c r="AZ51" s="82">
        <v>6.007179918225491</v>
      </c>
      <c r="BA51" s="84">
        <v>2.0</v>
      </c>
      <c r="BB51" s="84" t="b">
        <f>IFERROR(__xludf.DUMMYFUNCTION("iferror(if(A51="""",,E51&gt;=FILTER(Constants!$F$2:$F$10,Constants!$A$2:$A$10=A51)))"),TRUE)</f>
        <v>1</v>
      </c>
    </row>
    <row r="52">
      <c r="A52" s="80" t="str">
        <f>IFERROR(__xludf.DUMMYFUNCTION("""COMPUTED_VALUE"""),"Premier")</f>
        <v>Premier</v>
      </c>
      <c r="B52" s="80" t="str">
        <f>IFERROR(__xludf.DUMMYFUNCTION("""COMPUTED_VALUE"""),"RSC005340")</f>
        <v>RSC005340</v>
      </c>
      <c r="C52" s="80" t="str">
        <f>IFERROR(__xludf.DUMMYFUNCTION("""COMPUTED_VALUE"""),"Mystikal")</f>
        <v>Mystikal</v>
      </c>
      <c r="D52" s="80"/>
      <c r="E52" s="80">
        <f>IFERROR(__xludf.DUMMYFUNCTION("""COMPUTED_VALUE"""),4.0)</f>
        <v>4</v>
      </c>
      <c r="F52" s="80">
        <f>IFERROR(__xludf.DUMMYFUNCTION("""COMPUTED_VALUE"""),0.0)</f>
        <v>0</v>
      </c>
      <c r="G52" s="80">
        <f>IFERROR(__xludf.DUMMYFUNCTION("""COMPUTED_VALUE"""),4.0)</f>
        <v>4</v>
      </c>
      <c r="H52" s="81">
        <f>IFERROR(__xludf.DUMMYFUNCTION("""COMPUTED_VALUE"""),0.0)</f>
        <v>0</v>
      </c>
      <c r="I52" s="81">
        <f>IFERROR(__xludf.DUMMYFUNCTION("""COMPUTED_VALUE"""),0.2857142857142857)</f>
        <v>0.2857142857</v>
      </c>
      <c r="J52" s="80">
        <f>IFERROR(__xludf.DUMMYFUNCTION("""COMPUTED_VALUE"""),272.0)</f>
        <v>272</v>
      </c>
      <c r="K52" s="80">
        <f>IFERROR(__xludf.DUMMYFUNCTION("""COMPUTED_VALUE"""),0.5)</f>
        <v>0.5</v>
      </c>
      <c r="L52" s="80">
        <f>IFERROR(__xludf.DUMMYFUNCTION("""COMPUTED_VALUE"""),0.5)</f>
        <v>0.5</v>
      </c>
      <c r="M52" s="80">
        <f>IFERROR(__xludf.DUMMYFUNCTION("""COMPUTED_VALUE"""),1.0)</f>
        <v>1</v>
      </c>
      <c r="N52" s="80">
        <f>IFERROR(__xludf.DUMMYFUNCTION("""COMPUTED_VALUE"""),1.75)</f>
        <v>1.75</v>
      </c>
      <c r="O52" s="80">
        <f>IFERROR(__xludf.DUMMYFUNCTION("""COMPUTED_VALUE"""),403.66666666666663)</f>
        <v>403.6666667</v>
      </c>
      <c r="P52" s="80">
        <f>IFERROR(__xludf.DUMMYFUNCTION("""COMPUTED_VALUE"""),1.0)</f>
        <v>1</v>
      </c>
      <c r="Q52" s="80">
        <f>IFERROR(__xludf.DUMMYFUNCTION("""COMPUTED_VALUE"""),0.9166666666666666)</f>
        <v>0.9166666667</v>
      </c>
      <c r="R52" s="80">
        <f>IFERROR(__xludf.DUMMYFUNCTION("""COMPUTED_VALUE"""),1.5833333333333333)</f>
        <v>1.583333333</v>
      </c>
      <c r="S52" s="80">
        <f>IFERROR(__xludf.DUMMYFUNCTION("""COMPUTED_VALUE"""),2.916666666666667)</f>
        <v>2.916666667</v>
      </c>
      <c r="T52" s="80">
        <f>IFERROR(__xludf.DUMMYFUNCTION("""COMPUTED_VALUE"""),391.5191597127081)</f>
        <v>391.5191597</v>
      </c>
      <c r="U52" s="80">
        <f>IFERROR(__xludf.DUMMYFUNCTION("""COMPUTED_VALUE"""),0.88480923319633)</f>
        <v>0.8848092332</v>
      </c>
      <c r="V52" s="80">
        <f>IFERROR(__xludf.DUMMYFUNCTION("""COMPUTED_VALUE"""),0.7155478058703865)</f>
        <v>0.7155478059</v>
      </c>
      <c r="W52" s="80">
        <f>IFERROR(__xludf.DUMMYFUNCTION("""COMPUTED_VALUE"""),1.5116951052434924)</f>
        <v>1.511695105</v>
      </c>
      <c r="X52" s="80">
        <f>IFERROR(__xludf.DUMMYFUNCTION("""COMPUTED_VALUE"""),2.737518163324615)</f>
        <v>2.737518163</v>
      </c>
      <c r="Y52" s="80">
        <f>IFERROR(__xludf.DUMMYFUNCTION("""COMPUTED_VALUE"""),339.212291554227)</f>
        <v>339.2122916</v>
      </c>
      <c r="Z52" s="80">
        <f>IFERROR(__xludf.DUMMYFUNCTION("""COMPUTED_VALUE"""),0.7679439808472066)</f>
        <v>0.7679439808</v>
      </c>
      <c r="AA52" s="80">
        <f>IFERROR(__xludf.DUMMYFUNCTION("""COMPUTED_VALUE"""),0.58229750487815)</f>
        <v>0.5822975049</v>
      </c>
      <c r="AB52" s="80">
        <f>IFERROR(__xludf.DUMMYFUNCTION("""COMPUTED_VALUE"""),1.2408353053514343)</f>
        <v>1.240835305</v>
      </c>
      <c r="AC52" s="80">
        <f>IFERROR(__xludf.DUMMYFUNCTION("""COMPUTED_VALUE"""),2.7223453868615164)</f>
        <v>2.722345387</v>
      </c>
      <c r="AD52" s="80">
        <f>IFERROR(__xludf.DUMMYFUNCTION("""COMPUTED_VALUE"""),0.8018577356195763)</f>
        <v>0.8018577356</v>
      </c>
      <c r="AE52" s="80">
        <f>IFERROR(__xludf.DUMMYFUNCTION("""COMPUTED_VALUE"""),0.6510891581549906)</f>
        <v>0.6510891582</v>
      </c>
      <c r="AF52" s="80">
        <f>IFERROR(__xludf.DUMMYFUNCTION("""COMPUTED_VALUE"""),0.858667598283164)</f>
        <v>0.8586675983</v>
      </c>
      <c r="AG52" s="80">
        <f>IFERROR(__xludf.DUMMYFUNCTION("""COMPUTED_VALUE"""),0.8059087259100643)</f>
        <v>0.8059087259</v>
      </c>
      <c r="AH52" s="80">
        <f>IFERROR(__xludf.DUMMYFUNCTION("""COMPUTED_VALUE"""),0.6428280586459697)</f>
        <v>0.6428280586</v>
      </c>
      <c r="AI52" s="80">
        <f>IFERROR(__xludf.DUMMYFUNCTION("""COMPUTED_VALUE"""),1.0310265964068586)</f>
        <v>1.031026596</v>
      </c>
      <c r="AJ52" s="80">
        <f>IFERROR(__xludf.DUMMYFUNCTION("""COMPUTED_VALUE"""),1.1301871211125918)</f>
        <v>1.130187121</v>
      </c>
      <c r="AK52" s="80">
        <f>IFERROR(__xludf.DUMMYFUNCTION("""COMPUTED_VALUE"""),1.2810697749979694)</f>
        <v>1.281069775</v>
      </c>
      <c r="AL52" s="80">
        <f>IFERROR(__xludf.DUMMYFUNCTION("""COMPUTED_VALUE"""),1.0473893365410494)</f>
        <v>1.047389337</v>
      </c>
      <c r="AM52" s="80">
        <f>IFERROR(__xludf.DUMMYFUNCTION("""COMPUTED_VALUE"""),1.0654419414424936)</f>
        <v>1.065441941</v>
      </c>
      <c r="AN52" s="80">
        <f>IFERROR(__xludf.DUMMYFUNCTION("""COMPUTED_VALUE"""),0.7453693207821315)</f>
        <v>0.7453693208</v>
      </c>
      <c r="AO52" s="80">
        <f>IFERROR(__xludf.DUMMYFUNCTION("""COMPUTED_VALUE"""),0.6314731953700661)</f>
        <v>0.6314731954</v>
      </c>
      <c r="AP52" s="80">
        <f>IFERROR(__xludf.DUMMYFUNCTION("""COMPUTED_VALUE"""),0.8399384875409904)</f>
        <v>0.8399384875</v>
      </c>
      <c r="AQ52" s="80">
        <f>IFERROR(__xludf.DUMMYFUNCTION("""COMPUTED_VALUE"""),0.6952051403773417)</f>
        <v>0.6952051404</v>
      </c>
      <c r="AR52" s="80">
        <f>IFERROR(__xludf.DUMMYFUNCTION("""COMPUTED_VALUE"""),0.6598648754311188)</f>
        <v>0.6598648754</v>
      </c>
      <c r="AS52" s="80">
        <f>IFERROR(__xludf.DUMMYFUNCTION("""COMPUTED_VALUE"""),6.0)</f>
        <v>6</v>
      </c>
      <c r="AT52" s="80">
        <f>IFERROR(__xludf.DUMMYFUNCTION("""COMPUTED_VALUE"""),0.25591176740996385)</f>
        <v>0.2559117674</v>
      </c>
      <c r="AU52" s="80">
        <f>IFERROR(__xludf.DUMMYFUNCTION("""COMPUTED_VALUE"""),1.1980743628947461)</f>
        <v>1.198074363</v>
      </c>
      <c r="AV52" s="80">
        <f>IFERROR(__xludf.DUMMYFUNCTION("""COMPUTED_VALUE"""),13.735679054920624)</f>
        <v>13.73567905</v>
      </c>
      <c r="AW52" s="82">
        <f t="shared" si="1"/>
        <v>-13.61481108</v>
      </c>
      <c r="AX52" s="83">
        <f t="array" ref="AX52">IFERROR(DGET('SBV Import'!A:G,"SBV",{"RSC ID","Tier";B52,A52}))</f>
        <v>6.470270974</v>
      </c>
      <c r="AY52" s="82">
        <f t="shared" si="2"/>
        <v>-24.49466689</v>
      </c>
      <c r="AZ52" s="82">
        <v>10.879855812855327</v>
      </c>
      <c r="BA52" s="84">
        <v>2.0</v>
      </c>
      <c r="BB52" s="84" t="b">
        <f>IFERROR(__xludf.DUMMYFUNCTION("iferror(if(A52="""",,E52&gt;=FILTER(Constants!$F$2:$F$10,Constants!$A$2:$A$10=A52)))"),TRUE)</f>
        <v>1</v>
      </c>
    </row>
    <row r="53">
      <c r="A53" s="80" t="str">
        <f>IFERROR(__xludf.DUMMYFUNCTION("""COMPUTED_VALUE"""),"Premier")</f>
        <v>Premier</v>
      </c>
      <c r="B53" s="80" t="str">
        <f>IFERROR(__xludf.DUMMYFUNCTION("""COMPUTED_VALUE"""),"RSC000330")</f>
        <v>RSC000330</v>
      </c>
      <c r="C53" s="80" t="str">
        <f>IFERROR(__xludf.DUMMYFUNCTION("""COMPUTED_VALUE"""),"Infinite")</f>
        <v>Infinite</v>
      </c>
      <c r="D53" s="80" t="str">
        <f>IFERROR(__xludf.DUMMYFUNCTION("""COMPUTED_VALUE"""),"Oblivion")</f>
        <v>Oblivion</v>
      </c>
      <c r="E53" s="80">
        <f>IFERROR(__xludf.DUMMYFUNCTION("""COMPUTED_VALUE"""),4.0)</f>
        <v>4</v>
      </c>
      <c r="F53" s="80">
        <f>IFERROR(__xludf.DUMMYFUNCTION("""COMPUTED_VALUE"""),0.0)</f>
        <v>0</v>
      </c>
      <c r="G53" s="80">
        <f>IFERROR(__xludf.DUMMYFUNCTION("""COMPUTED_VALUE"""),4.0)</f>
        <v>4</v>
      </c>
      <c r="H53" s="81">
        <f>IFERROR(__xludf.DUMMYFUNCTION("""COMPUTED_VALUE"""),0.0)</f>
        <v>0</v>
      </c>
      <c r="I53" s="81">
        <f>IFERROR(__xludf.DUMMYFUNCTION("""COMPUTED_VALUE"""),0.6666666666666666)</f>
        <v>0.6666666667</v>
      </c>
      <c r="J53" s="80">
        <f>IFERROR(__xludf.DUMMYFUNCTION("""COMPUTED_VALUE"""),349.0)</f>
        <v>349</v>
      </c>
      <c r="K53" s="80">
        <f>IFERROR(__xludf.DUMMYFUNCTION("""COMPUTED_VALUE"""),1.0)</f>
        <v>1</v>
      </c>
      <c r="L53" s="80">
        <f>IFERROR(__xludf.DUMMYFUNCTION("""COMPUTED_VALUE"""),0.0)</f>
        <v>0</v>
      </c>
      <c r="M53" s="80">
        <f>IFERROR(__xludf.DUMMYFUNCTION("""COMPUTED_VALUE"""),1.75)</f>
        <v>1.75</v>
      </c>
      <c r="N53" s="80">
        <f>IFERROR(__xludf.DUMMYFUNCTION("""COMPUTED_VALUE"""),1.5)</f>
        <v>1.5</v>
      </c>
      <c r="O53" s="80">
        <f>IFERROR(__xludf.DUMMYFUNCTION("""COMPUTED_VALUE"""),453.75000000000006)</f>
        <v>453.75</v>
      </c>
      <c r="P53" s="80">
        <f>IFERROR(__xludf.DUMMYFUNCTION("""COMPUTED_VALUE"""),1.0833333333333333)</f>
        <v>1.083333333</v>
      </c>
      <c r="Q53" s="80">
        <f>IFERROR(__xludf.DUMMYFUNCTION("""COMPUTED_VALUE"""),1.0)</f>
        <v>1</v>
      </c>
      <c r="R53" s="80">
        <f>IFERROR(__xludf.DUMMYFUNCTION("""COMPUTED_VALUE"""),1.3333333333333333)</f>
        <v>1.333333333</v>
      </c>
      <c r="S53" s="80">
        <f>IFERROR(__xludf.DUMMYFUNCTION("""COMPUTED_VALUE"""),3.5000000000000004)</f>
        <v>3.5</v>
      </c>
      <c r="T53" s="80">
        <f>IFERROR(__xludf.DUMMYFUNCTION("""COMPUTED_VALUE"""),393.5612772240679)</f>
        <v>393.5612772</v>
      </c>
      <c r="U53" s="80">
        <f>IFERROR(__xludf.DUMMYFUNCTION("""COMPUTED_VALUE"""),0.8506829088224438)</f>
        <v>0.8506829088</v>
      </c>
      <c r="V53" s="80">
        <f>IFERROR(__xludf.DUMMYFUNCTION("""COMPUTED_VALUE"""),0.615171650055371)</f>
        <v>0.6151716501</v>
      </c>
      <c r="W53" s="80">
        <f>IFERROR(__xludf.DUMMYFUNCTION("""COMPUTED_VALUE"""),1.569029162052418)</f>
        <v>1.569029162</v>
      </c>
      <c r="X53" s="80">
        <f>IFERROR(__xludf.DUMMYFUNCTION("""COMPUTED_VALUE"""),3.0754891103728315)</f>
        <v>3.07548911</v>
      </c>
      <c r="Y53" s="80">
        <f>IFERROR(__xludf.DUMMYFUNCTION("""COMPUTED_VALUE"""),379.6340593084779)</f>
        <v>379.6340593</v>
      </c>
      <c r="Z53" s="80">
        <f>IFERROR(__xludf.DUMMYFUNCTION("""COMPUTED_VALUE"""),0.7444321397809768)</f>
        <v>0.7444321398</v>
      </c>
      <c r="AA53" s="80">
        <f>IFERROR(__xludf.DUMMYFUNCTION("""COMPUTED_VALUE"""),0.5830564784053157)</f>
        <v>0.5830564784</v>
      </c>
      <c r="AB53" s="80">
        <f>IFERROR(__xludf.DUMMYFUNCTION("""COMPUTED_VALUE"""),1.6587301587301588)</f>
        <v>1.658730159</v>
      </c>
      <c r="AC53" s="80">
        <f>IFERROR(__xludf.DUMMYFUNCTION("""COMPUTED_VALUE"""),2.755321766949674)</f>
        <v>2.755321767</v>
      </c>
      <c r="AD53" s="80">
        <f>IFERROR(__xludf.DUMMYFUNCTION("""COMPUTED_VALUE"""),0.9193063463160304)</f>
        <v>0.9193063463</v>
      </c>
      <c r="AE53" s="80">
        <f>IFERROR(__xludf.DUMMYFUNCTION("""COMPUTED_VALUE"""),1.3433057851239674)</f>
        <v>1.343305785</v>
      </c>
      <c r="AF53" s="80">
        <f>IFERROR(__xludf.DUMMYFUNCTION("""COMPUTED_VALUE"""),0.0)</f>
        <v>0</v>
      </c>
      <c r="AG53" s="80">
        <f>IFERROR(__xludf.DUMMYFUNCTION("""COMPUTED_VALUE"""),1.055023923444976)</f>
        <v>1.055023923</v>
      </c>
      <c r="AH53" s="80">
        <f>IFERROR(__xludf.DUMMYFUNCTION("""COMPUTED_VALUE"""),0.5444010271296194)</f>
        <v>0.5444010271</v>
      </c>
      <c r="AI53" s="80">
        <f>IFERROR(__xludf.DUMMYFUNCTION("""COMPUTED_VALUE"""),1.1529335487486607)</f>
        <v>1.152933549</v>
      </c>
      <c r="AJ53" s="80">
        <f>IFERROR(__xludf.DUMMYFUNCTION("""COMPUTED_VALUE"""),1.273486656541549)</f>
        <v>1.273486657</v>
      </c>
      <c r="AK53" s="80">
        <f>IFERROR(__xludf.DUMMYFUNCTION("""COMPUTED_VALUE"""),1.6255625562556255)</f>
        <v>1.625562556</v>
      </c>
      <c r="AL53" s="80">
        <f>IFERROR(__xludf.DUMMYFUNCTION("""COMPUTED_VALUE"""),0.8497823785437006)</f>
        <v>0.8497823785</v>
      </c>
      <c r="AM53" s="80">
        <f>IFERROR(__xludf.DUMMYFUNCTION("""COMPUTED_VALUE"""),1.13803036668067)</f>
        <v>1.138030367</v>
      </c>
      <c r="AN53" s="80">
        <f>IFERROR(__xludf.DUMMYFUNCTION("""COMPUTED_VALUE"""),0.9563746064447202)</f>
        <v>0.9563746064</v>
      </c>
      <c r="AO53" s="80">
        <f>IFERROR(__xludf.DUMMYFUNCTION("""COMPUTED_VALUE"""),1.2629463907401322)</f>
        <v>1.262946391</v>
      </c>
      <c r="AP53" s="80">
        <f>IFERROR(__xludf.DUMMYFUNCTION("""COMPUTED_VALUE"""),0.0)</f>
        <v>0</v>
      </c>
      <c r="AQ53" s="80">
        <f>IFERROR(__xludf.DUMMYFUNCTION("""COMPUTED_VALUE"""),1.216608995660348)</f>
        <v>1.216608996</v>
      </c>
      <c r="AR53" s="80">
        <f>IFERROR(__xludf.DUMMYFUNCTION("""COMPUTED_VALUE"""),0.5655984646552447)</f>
        <v>0.5655984647</v>
      </c>
      <c r="AS53" s="80">
        <f>IFERROR(__xludf.DUMMYFUNCTION("""COMPUTED_VALUE"""),8.0)</f>
        <v>8</v>
      </c>
      <c r="AT53" s="80">
        <f>IFERROR(__xludf.DUMMYFUNCTION("""COMPUTED_VALUE"""),0.31401492300692596)</f>
        <v>0.314014923</v>
      </c>
      <c r="AU53" s="80">
        <f>IFERROR(__xludf.DUMMYFUNCTION("""COMPUTED_VALUE"""),0.9294388025682316)</f>
        <v>0.9294388026</v>
      </c>
      <c r="AV53" s="80">
        <f>IFERROR(__xludf.DUMMYFUNCTION("""COMPUTED_VALUE"""),5.617533924585807)</f>
        <v>5.617533925</v>
      </c>
      <c r="AW53" s="82">
        <f t="shared" si="1"/>
        <v>-26.36832164</v>
      </c>
      <c r="AX53" s="83">
        <f t="array" ref="AX53">IFERROR(DGET('SBV Import'!A:G,"SBV",{"RSC ID","Tier";B53,A53}))</f>
        <v>0.3858466466</v>
      </c>
      <c r="AY53" s="82">
        <f t="shared" si="2"/>
        <v>-42.37937894</v>
      </c>
      <c r="AZ53" s="82">
        <v>16.011057304917113</v>
      </c>
      <c r="BA53" s="84">
        <v>2.0</v>
      </c>
      <c r="BB53" s="84" t="b">
        <f>IFERROR(__xludf.DUMMYFUNCTION("iferror(if(A53="""",,E53&gt;=FILTER(Constants!$F$2:$F$10,Constants!$A$2:$A$10=A53)))"),TRUE)</f>
        <v>1</v>
      </c>
    </row>
    <row r="54">
      <c r="A54" s="80" t="str">
        <f>IFERROR(__xludf.DUMMYFUNCTION("""COMPUTED_VALUE"""),"Premier")</f>
        <v>Premier</v>
      </c>
      <c r="B54" s="80" t="str">
        <f>IFERROR(__xludf.DUMMYFUNCTION("""COMPUTED_VALUE"""),"RSC007830")</f>
        <v>RSC007830</v>
      </c>
      <c r="C54" s="80" t="str">
        <f>IFERROR(__xludf.DUMMYFUNCTION("""COMPUTED_VALUE"""),"ghosty rl")</f>
        <v>ghosty rl</v>
      </c>
      <c r="D54" s="80"/>
      <c r="E54" s="80">
        <f>IFERROR(__xludf.DUMMYFUNCTION("""COMPUTED_VALUE"""),8.0)</f>
        <v>8</v>
      </c>
      <c r="F54" s="80">
        <f>IFERROR(__xludf.DUMMYFUNCTION("""COMPUTED_VALUE"""),2.0)</f>
        <v>2</v>
      </c>
      <c r="G54" s="80">
        <f>IFERROR(__xludf.DUMMYFUNCTION("""COMPUTED_VALUE"""),6.0)</f>
        <v>6</v>
      </c>
      <c r="H54" s="81">
        <f>IFERROR(__xludf.DUMMYFUNCTION("""COMPUTED_VALUE"""),0.25)</f>
        <v>0.25</v>
      </c>
      <c r="I54" s="81">
        <f>IFERROR(__xludf.DUMMYFUNCTION("""COMPUTED_VALUE"""),0.125)</f>
        <v>0.125</v>
      </c>
      <c r="J54" s="80">
        <f>IFERROR(__xludf.DUMMYFUNCTION("""COMPUTED_VALUE"""),336.625)</f>
        <v>336.625</v>
      </c>
      <c r="K54" s="80">
        <f>IFERROR(__xludf.DUMMYFUNCTION("""COMPUTED_VALUE"""),0.25)</f>
        <v>0.25</v>
      </c>
      <c r="L54" s="80">
        <f>IFERROR(__xludf.DUMMYFUNCTION("""COMPUTED_VALUE"""),0.25)</f>
        <v>0.25</v>
      </c>
      <c r="M54" s="80">
        <f>IFERROR(__xludf.DUMMYFUNCTION("""COMPUTED_VALUE"""),2.25)</f>
        <v>2.25</v>
      </c>
      <c r="N54" s="80">
        <f>IFERROR(__xludf.DUMMYFUNCTION("""COMPUTED_VALUE"""),2.0)</f>
        <v>2</v>
      </c>
      <c r="O54" s="80">
        <f>IFERROR(__xludf.DUMMYFUNCTION("""COMPUTED_VALUE"""),410.08333333333337)</f>
        <v>410.0833333</v>
      </c>
      <c r="P54" s="80">
        <f>IFERROR(__xludf.DUMMYFUNCTION("""COMPUTED_VALUE"""),1.1666666666666667)</f>
        <v>1.166666667</v>
      </c>
      <c r="Q54" s="80">
        <f>IFERROR(__xludf.DUMMYFUNCTION("""COMPUTED_VALUE"""),1.0833333333333333)</f>
        <v>1.083333333</v>
      </c>
      <c r="R54" s="80">
        <f>IFERROR(__xludf.DUMMYFUNCTION("""COMPUTED_VALUE"""),1.0833333333333333)</f>
        <v>1.083333333</v>
      </c>
      <c r="S54" s="80">
        <f>IFERROR(__xludf.DUMMYFUNCTION("""COMPUTED_VALUE"""),3.041666666666667)</f>
        <v>3.041666667</v>
      </c>
      <c r="T54" s="80">
        <f>IFERROR(__xludf.DUMMYFUNCTION("""COMPUTED_VALUE"""),375.05125000000004)</f>
        <v>375.05125</v>
      </c>
      <c r="U54" s="80">
        <f>IFERROR(__xludf.DUMMYFUNCTION("""COMPUTED_VALUE"""),0.8495833333333334)</f>
        <v>0.8495833333</v>
      </c>
      <c r="V54" s="80">
        <f>IFERROR(__xludf.DUMMYFUNCTION("""COMPUTED_VALUE"""),0.7629166666666667)</f>
        <v>0.7629166667</v>
      </c>
      <c r="W54" s="80">
        <f>IFERROR(__xludf.DUMMYFUNCTION("""COMPUTED_VALUE"""),1.4084722222222223)</f>
        <v>1.408472222</v>
      </c>
      <c r="X54" s="80">
        <f>IFERROR(__xludf.DUMMYFUNCTION("""COMPUTED_VALUE"""),2.78625)</f>
        <v>2.78625</v>
      </c>
      <c r="Y54" s="80">
        <f>IFERROR(__xludf.DUMMYFUNCTION("""COMPUTED_VALUE"""),371.8889351851853)</f>
        <v>371.8889352</v>
      </c>
      <c r="Z54" s="80">
        <f>IFERROR(__xludf.DUMMYFUNCTION("""COMPUTED_VALUE"""),0.8117129629629629)</f>
        <v>0.811712963</v>
      </c>
      <c r="AA54" s="80">
        <f>IFERROR(__xludf.DUMMYFUNCTION("""COMPUTED_VALUE"""),0.5972222222222221)</f>
        <v>0.5972222222</v>
      </c>
      <c r="AB54" s="80">
        <f>IFERROR(__xludf.DUMMYFUNCTION("""COMPUTED_VALUE"""),1.4992129629629631)</f>
        <v>1.499212963</v>
      </c>
      <c r="AC54" s="80">
        <f>IFERROR(__xludf.DUMMYFUNCTION("""COMPUTED_VALUE"""),2.6489814814814814)</f>
        <v>2.648981481</v>
      </c>
      <c r="AD54" s="80">
        <f>IFERROR(__xludf.DUMMYFUNCTION("""COMPUTED_VALUE"""),0.9051761645782085)</f>
        <v>0.9051761646</v>
      </c>
      <c r="AE54" s="80">
        <f>IFERROR(__xludf.DUMMYFUNCTION("""COMPUTED_VALUE"""),0.307990646210004)</f>
        <v>0.3079906462</v>
      </c>
      <c r="AF54" s="80">
        <f>IFERROR(__xludf.DUMMYFUNCTION("""COMPUTED_VALUE"""),0.4186046511627908)</f>
        <v>0.4186046512</v>
      </c>
      <c r="AG54" s="80">
        <f>IFERROR(__xludf.DUMMYFUNCTION("""COMPUTED_VALUE"""),1.5007874502053544)</f>
        <v>1.50078745</v>
      </c>
      <c r="AH54" s="80">
        <f>IFERROR(__xludf.DUMMYFUNCTION("""COMPUTED_VALUE"""),0.7550071655772659)</f>
        <v>0.7550071656</v>
      </c>
      <c r="AI54" s="80">
        <f>IFERROR(__xludf.DUMMYFUNCTION("""COMPUTED_VALUE"""),1.0934061233853596)</f>
        <v>1.093406123</v>
      </c>
      <c r="AJ54" s="80">
        <f>IFERROR(__xludf.DUMMYFUNCTION("""COMPUTED_VALUE"""),1.373222167729279)</f>
        <v>1.373222168</v>
      </c>
      <c r="AK54" s="80">
        <f>IFERROR(__xludf.DUMMYFUNCTION("""COMPUTED_VALUE"""),1.4199890770070998)</f>
        <v>1.419989077</v>
      </c>
      <c r="AL54" s="80">
        <f>IFERROR(__xludf.DUMMYFUNCTION("""COMPUTED_VALUE"""),0.769154915688788)</f>
        <v>0.7691549157</v>
      </c>
      <c r="AM54" s="80">
        <f>IFERROR(__xludf.DUMMYFUNCTION("""COMPUTED_VALUE"""),1.0916704052639452)</f>
        <v>1.091670405</v>
      </c>
      <c r="AN54" s="80">
        <f>IFERROR(__xludf.DUMMYFUNCTION("""COMPUTED_VALUE"""),0.9224630426775183)</f>
        <v>0.9224630427</v>
      </c>
      <c r="AO54" s="80">
        <f>IFERROR(__xludf.DUMMYFUNCTION("""COMPUTED_VALUE"""),0.31573659768503304)</f>
        <v>0.3157365977</v>
      </c>
      <c r="AP54" s="80">
        <f>IFERROR(__xludf.DUMMYFUNCTION("""COMPUTED_VALUE"""),0.4199692437704952)</f>
        <v>0.4199692438</v>
      </c>
      <c r="AQ54" s="80">
        <f>IFERROR(__xludf.DUMMYFUNCTION("""COMPUTED_VALUE"""),1.564211565849019)</f>
        <v>1.564211566</v>
      </c>
      <c r="AR54" s="80">
        <f>IFERROR(__xludf.DUMMYFUNCTION("""COMPUTED_VALUE"""),0.7541312862069929)</f>
        <v>0.7541312862</v>
      </c>
      <c r="AS54" s="80">
        <f>IFERROR(__xludf.DUMMYFUNCTION("""COMPUTED_VALUE"""),16.0)</f>
        <v>16</v>
      </c>
      <c r="AT54" s="80">
        <f>IFERROR(__xludf.DUMMYFUNCTION("""COMPUTED_VALUE"""),0.28642789176939765)</f>
        <v>0.2864278918</v>
      </c>
      <c r="AU54" s="80">
        <f>IFERROR(__xludf.DUMMYFUNCTION("""COMPUTED_VALUE"""),0.5502864159076286)</f>
        <v>0.5502864159</v>
      </c>
      <c r="AV54" s="80">
        <f>IFERROR(__xludf.DUMMYFUNCTION("""COMPUTED_VALUE"""),-5.840420851328474)</f>
        <v>-5.840420851</v>
      </c>
      <c r="AW54" s="82">
        <f t="shared" si="1"/>
        <v>-78.4058666</v>
      </c>
      <c r="AX54" s="83">
        <f t="array" ref="AX54">IFERROR(DGET('SBV Import'!A:G,"SBV",{"RSC ID","Tier";B54,A54}))</f>
        <v>17.90560294</v>
      </c>
      <c r="AY54" s="82">
        <f t="shared" si="2"/>
        <v>-10.03913331</v>
      </c>
      <c r="AZ54" s="82">
        <v>68.36673328900415</v>
      </c>
      <c r="BA54" s="84">
        <v>2.0</v>
      </c>
      <c r="BB54" s="84" t="b">
        <f>IFERROR(__xludf.DUMMYFUNCTION("iferror(if(A54="""",,E54&gt;=FILTER(Constants!$F$2:$F$10,Constants!$A$2:$A$10=A54)))"),TRUE)</f>
        <v>1</v>
      </c>
    </row>
    <row r="55">
      <c r="A55" s="80" t="str">
        <f>IFERROR(__xludf.DUMMYFUNCTION("""COMPUTED_VALUE"""),"Premier")</f>
        <v>Premier</v>
      </c>
      <c r="B55" s="80" t="str">
        <f>IFERROR(__xludf.DUMMYFUNCTION("""COMPUTED_VALUE"""),"RSC004810")</f>
        <v>RSC004810</v>
      </c>
      <c r="C55" s="80" t="str">
        <f>IFERROR(__xludf.DUMMYFUNCTION("""COMPUTED_VALUE"""),"feed.")</f>
        <v>feed.</v>
      </c>
      <c r="D55" s="80"/>
      <c r="E55" s="80">
        <f>IFERROR(__xludf.DUMMYFUNCTION("""COMPUTED_VALUE"""),2.0)</f>
        <v>2</v>
      </c>
      <c r="F55" s="80">
        <f>IFERROR(__xludf.DUMMYFUNCTION("""COMPUTED_VALUE"""),0.0)</f>
        <v>0</v>
      </c>
      <c r="G55" s="80">
        <f>IFERROR(__xludf.DUMMYFUNCTION("""COMPUTED_VALUE"""),2.0)</f>
        <v>2</v>
      </c>
      <c r="H55" s="81">
        <f>IFERROR(__xludf.DUMMYFUNCTION("""COMPUTED_VALUE"""),0.0)</f>
        <v>0</v>
      </c>
      <c r="I55" s="81">
        <f>IFERROR(__xludf.DUMMYFUNCTION("""COMPUTED_VALUE"""),0.0)</f>
        <v>0</v>
      </c>
      <c r="J55" s="80">
        <f>IFERROR(__xludf.DUMMYFUNCTION("""COMPUTED_VALUE"""),292.5)</f>
        <v>292.5</v>
      </c>
      <c r="K55" s="80">
        <f>IFERROR(__xludf.DUMMYFUNCTION("""COMPUTED_VALUE"""),0.0)</f>
        <v>0</v>
      </c>
      <c r="L55" s="80">
        <f>IFERROR(__xludf.DUMMYFUNCTION("""COMPUTED_VALUE"""),0.5)</f>
        <v>0.5</v>
      </c>
      <c r="M55" s="80">
        <f>IFERROR(__xludf.DUMMYFUNCTION("""COMPUTED_VALUE"""),2.5)</f>
        <v>2.5</v>
      </c>
      <c r="N55" s="80">
        <f>IFERROR(__xludf.DUMMYFUNCTION("""COMPUTED_VALUE"""),1.5)</f>
        <v>1.5</v>
      </c>
      <c r="O55" s="80">
        <f>IFERROR(__xludf.DUMMYFUNCTION("""COMPUTED_VALUE"""),564.6666666666666)</f>
        <v>564.6666667</v>
      </c>
      <c r="P55" s="80">
        <f>IFERROR(__xludf.DUMMYFUNCTION("""COMPUTED_VALUE"""),2.1666666666666665)</f>
        <v>2.166666667</v>
      </c>
      <c r="Q55" s="80">
        <f>IFERROR(__xludf.DUMMYFUNCTION("""COMPUTED_VALUE"""),1.5)</f>
        <v>1.5</v>
      </c>
      <c r="R55" s="80">
        <f>IFERROR(__xludf.DUMMYFUNCTION("""COMPUTED_VALUE"""),0.8333333333333333)</f>
        <v>0.8333333333</v>
      </c>
      <c r="S55" s="80">
        <f>IFERROR(__xludf.DUMMYFUNCTION("""COMPUTED_VALUE"""),4.5)</f>
        <v>4.5</v>
      </c>
      <c r="T55" s="80">
        <f>IFERROR(__xludf.DUMMYFUNCTION("""COMPUTED_VALUE"""),388.9082125603864)</f>
        <v>388.9082126</v>
      </c>
      <c r="U55" s="80">
        <f>IFERROR(__xludf.DUMMYFUNCTION("""COMPUTED_VALUE"""),0.9133885438233263)</f>
        <v>0.9133885438</v>
      </c>
      <c r="V55" s="80">
        <f>IFERROR(__xludf.DUMMYFUNCTION("""COMPUTED_VALUE"""),0.753968253968254)</f>
        <v>0.753968254</v>
      </c>
      <c r="W55" s="80">
        <f>IFERROR(__xludf.DUMMYFUNCTION("""COMPUTED_VALUE"""),1.2915804002760525)</f>
        <v>1.2915804</v>
      </c>
      <c r="X55" s="80">
        <f>IFERROR(__xludf.DUMMYFUNCTION("""COMPUTED_VALUE"""),2.9199447895100072)</f>
        <v>2.91994479</v>
      </c>
      <c r="Y55" s="80">
        <f>IFERROR(__xludf.DUMMYFUNCTION("""COMPUTED_VALUE"""),346.6098458707154)</f>
        <v>346.6098459</v>
      </c>
      <c r="Z55" s="80">
        <f>IFERROR(__xludf.DUMMYFUNCTION("""COMPUTED_VALUE"""),0.6982976765585462)</f>
        <v>0.6982976766</v>
      </c>
      <c r="AA55" s="80">
        <f>IFERROR(__xludf.DUMMYFUNCTION("""COMPUTED_VALUE"""),0.5144927536231885)</f>
        <v>0.5144927536</v>
      </c>
      <c r="AB55" s="80">
        <f>IFERROR(__xludf.DUMMYFUNCTION("""COMPUTED_VALUE"""),1.4876926616057051)</f>
        <v>1.487692662</v>
      </c>
      <c r="AC55" s="80">
        <f>IFERROR(__xludf.DUMMYFUNCTION("""COMPUTED_VALUE"""),2.3719806763285023)</f>
        <v>2.371980676</v>
      </c>
      <c r="AD55" s="80">
        <f>IFERROR(__xludf.DUMMYFUNCTION("""COMPUTED_VALUE"""),0.8438883184787017)</f>
        <v>0.8438883185</v>
      </c>
      <c r="AE55" s="80">
        <f>IFERROR(__xludf.DUMMYFUNCTION("""COMPUTED_VALUE"""),0.0)</f>
        <v>0</v>
      </c>
      <c r="AF55" s="80">
        <f>IFERROR(__xludf.DUMMYFUNCTION("""COMPUTED_VALUE"""),0.9718309859154929)</f>
        <v>0.9718309859</v>
      </c>
      <c r="AG55" s="80">
        <f>IFERROR(__xludf.DUMMYFUNCTION("""COMPUTED_VALUE"""),1.6804546157414566)</f>
        <v>1.680454616</v>
      </c>
      <c r="AH55" s="80">
        <f>IFERROR(__xludf.DUMMYFUNCTION("""COMPUTED_VALUE"""),0.6323828920570265)</f>
        <v>0.6323828921</v>
      </c>
      <c r="AI55" s="80">
        <f>IFERROR(__xludf.DUMMYFUNCTION("""COMPUTED_VALUE"""),1.451927854516546)</f>
        <v>1.451927855</v>
      </c>
      <c r="AJ55" s="80">
        <f>IFERROR(__xludf.DUMMYFUNCTION("""COMPUTED_VALUE"""),2.3721193804306764)</f>
        <v>2.37211938</v>
      </c>
      <c r="AK55" s="80">
        <f>IFERROR(__xludf.DUMMYFUNCTION("""COMPUTED_VALUE"""),1.9894736842105263)</f>
        <v>1.989473684</v>
      </c>
      <c r="AL55" s="80">
        <f>IFERROR(__xludf.DUMMYFUNCTION("""COMPUTED_VALUE"""),0.645204381512156)</f>
        <v>0.6452043815</v>
      </c>
      <c r="AM55" s="80">
        <f>IFERROR(__xludf.DUMMYFUNCTION("""COMPUTED_VALUE"""),1.5411250295438428)</f>
        <v>1.54112503</v>
      </c>
      <c r="AN55" s="80">
        <f>IFERROR(__xludf.DUMMYFUNCTION("""COMPUTED_VALUE"""),0.8015460526793141)</f>
        <v>0.8015460527</v>
      </c>
      <c r="AO55" s="80">
        <f>IFERROR(__xludf.DUMMYFUNCTION("""COMPUTED_VALUE"""),0.0)</f>
        <v>0</v>
      </c>
      <c r="AP55" s="80">
        <f>IFERROR(__xludf.DUMMYFUNCTION("""COMPUTED_VALUE"""),0.8399384875409904)</f>
        <v>0.8399384875</v>
      </c>
      <c r="AQ55" s="80">
        <f>IFERROR(__xludf.DUMMYFUNCTION("""COMPUTED_VALUE"""),1.7380128509433543)</f>
        <v>1.738012851</v>
      </c>
      <c r="AR55" s="80">
        <f>IFERROR(__xludf.DUMMYFUNCTION("""COMPUTED_VALUE"""),0.5655984646552447)</f>
        <v>0.5655984647</v>
      </c>
      <c r="AS55" s="80">
        <f>IFERROR(__xludf.DUMMYFUNCTION("""COMPUTED_VALUE"""),2.0)</f>
        <v>2</v>
      </c>
      <c r="AT55" s="80">
        <f>IFERROR(__xludf.DUMMYFUNCTION("""COMPUTED_VALUE"""),0.034311658509621715)</f>
        <v>0.03431165851</v>
      </c>
      <c r="AU55" s="80">
        <f>IFERROR(__xludf.DUMMYFUNCTION("""COMPUTED_VALUE"""),-0.4990917708497479)</f>
        <v>-0.4990917708</v>
      </c>
      <c r="AV55" s="80">
        <f>IFERROR(__xludf.DUMMYFUNCTION("""COMPUTED_VALUE"""),-37.55254565844449)</f>
        <v>-37.55254566</v>
      </c>
      <c r="AW55" s="82">
        <f t="shared" si="1"/>
        <v>-4332.725915</v>
      </c>
      <c r="AX55" s="83">
        <f t="array" ref="AX55">IFERROR(DGET('SBV Import'!A:G,"SBV",{"RSC ID","Tier";B55,A55}))</f>
        <v>-0.6958780666</v>
      </c>
      <c r="AY55" s="82">
        <f t="shared" si="2"/>
        <v>-46.97363173</v>
      </c>
      <c r="AZ55" s="82">
        <v>4285.752283000145</v>
      </c>
      <c r="BA55" s="84">
        <v>2.0</v>
      </c>
      <c r="BB55" s="84" t="b">
        <f>IFERROR(__xludf.DUMMYFUNCTION("iferror(if(A55="""",,E55&gt;=FILTER(Constants!$F$2:$F$10,Constants!$A$2:$A$10=A55)))"),TRUE)</f>
        <v>1</v>
      </c>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2" t="str">
        <f t="shared" si="1"/>
        <v/>
      </c>
      <c r="AX56" s="83" t="str">
        <f t="array" ref="AX56">IFERROR(DGET('SBV Import'!A:G,"SBV",{"RSC ID","Tier";B56,A56}))</f>
        <v/>
      </c>
      <c r="AY56" s="82" t="str">
        <f t="shared" si="2"/>
        <v/>
      </c>
      <c r="AZ56" s="82"/>
      <c r="BA56" s="84" t="s">
        <v>152</v>
      </c>
      <c r="BB56" s="84" t="str">
        <f>IFERROR(__xludf.DUMMYFUNCTION("iferror(if(A56="""",,E56&gt;=FILTER(Constants!$F$2:$F$10,Constants!$A$2:$A$10=A56)))"),"")</f>
        <v/>
      </c>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2" t="str">
        <f t="shared" si="1"/>
        <v/>
      </c>
      <c r="AX57" s="83" t="str">
        <f t="array" ref="AX57">IFERROR(DGET('SBV Import'!A:G,"SBV",{"RSC ID","Tier";B57,A57}))</f>
        <v/>
      </c>
      <c r="AY57" s="82" t="str">
        <f t="shared" si="2"/>
        <v/>
      </c>
      <c r="AZ57" s="82"/>
      <c r="BA57" s="84" t="s">
        <v>152</v>
      </c>
      <c r="BB57" s="84" t="str">
        <f>IFERROR(__xludf.DUMMYFUNCTION("iferror(if(A57="""",,E57&gt;=FILTER(Constants!$F$2:$F$10,Constants!$A$2:$A$10=A57)))"),"")</f>
        <v/>
      </c>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2" t="str">
        <f t="shared" si="1"/>
        <v/>
      </c>
      <c r="AX58" s="83" t="str">
        <f t="array" ref="AX58">IFERROR(DGET('SBV Import'!A:G,"SBV",{"RSC ID","Tier";B58,A58}))</f>
        <v/>
      </c>
      <c r="AY58" s="82" t="str">
        <f t="shared" si="2"/>
        <v/>
      </c>
      <c r="AZ58" s="82"/>
      <c r="BA58" s="84" t="s">
        <v>152</v>
      </c>
      <c r="BB58" s="84" t="str">
        <f>IFERROR(__xludf.DUMMYFUNCTION("iferror(if(A58="""",,E58&gt;=FILTER(Constants!$F$2:$F$10,Constants!$A$2:$A$10=A58)))"),"")</f>
        <v/>
      </c>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2" t="str">
        <f t="shared" si="1"/>
        <v/>
      </c>
      <c r="AX59" s="83" t="str">
        <f t="array" ref="AX59">IFERROR(DGET('SBV Import'!A:G,"SBV",{"RSC ID","Tier";B59,A59}))</f>
        <v/>
      </c>
      <c r="AY59" s="82" t="str">
        <f t="shared" si="2"/>
        <v/>
      </c>
      <c r="AZ59" s="82"/>
      <c r="BA59" s="84" t="s">
        <v>152</v>
      </c>
      <c r="BB59" s="84" t="str">
        <f>IFERROR(__xludf.DUMMYFUNCTION("iferror(if(A59="""",,E59&gt;=FILTER(Constants!$F$2:$F$10,Constants!$A$2:$A$10=A59)))"),"")</f>
        <v/>
      </c>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2" t="str">
        <f t="shared" si="1"/>
        <v/>
      </c>
      <c r="AX60" s="83" t="str">
        <f t="array" ref="AX60">IFERROR(DGET('SBV Import'!A:G,"SBV",{"RSC ID","Tier";B60,A60}))</f>
        <v/>
      </c>
      <c r="AY60" s="82" t="str">
        <f t="shared" si="2"/>
        <v/>
      </c>
      <c r="AZ60" s="82"/>
      <c r="BA60" s="84" t="s">
        <v>152</v>
      </c>
      <c r="BB60" s="84" t="str">
        <f>IFERROR(__xludf.DUMMYFUNCTION("iferror(if(A60="""",,E60&gt;=FILTER(Constants!$F$2:$F$10,Constants!$A$2:$A$10=A60)))"),"")</f>
        <v/>
      </c>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2" t="str">
        <f t="shared" si="1"/>
        <v/>
      </c>
      <c r="AX61" s="83" t="str">
        <f t="array" ref="AX61">IFERROR(DGET('SBV Import'!A:G,"SBV",{"RSC ID","Tier";B61,A61}))</f>
        <v/>
      </c>
      <c r="AY61" s="82" t="str">
        <f t="shared" si="2"/>
        <v/>
      </c>
      <c r="AZ61" s="82"/>
      <c r="BA61" s="84" t="s">
        <v>152</v>
      </c>
      <c r="BB61" s="84" t="str">
        <f>IFERROR(__xludf.DUMMYFUNCTION("iferror(if(A61="""",,E61&gt;=FILTER(Constants!$F$2:$F$10,Constants!$A$2:$A$10=A61)))"),"")</f>
        <v/>
      </c>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0"/>
      <c r="AV62" s="80"/>
      <c r="AW62" s="82" t="str">
        <f t="shared" si="1"/>
        <v/>
      </c>
      <c r="AX62" s="83" t="str">
        <f t="array" ref="AX62">IFERROR(DGET('SBV Import'!A:G,"SBV",{"RSC ID","Tier";B62,A62}))</f>
        <v/>
      </c>
      <c r="AY62" s="82" t="str">
        <f t="shared" si="2"/>
        <v/>
      </c>
      <c r="AZ62" s="82"/>
      <c r="BA62" s="84" t="s">
        <v>152</v>
      </c>
      <c r="BB62" s="84" t="str">
        <f>IFERROR(__xludf.DUMMYFUNCTION("iferror(if(A62="""",,E62&gt;=FILTER(Constants!$F$2:$F$10,Constants!$A$2:$A$10=A62)))"),"")</f>
        <v/>
      </c>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2" t="str">
        <f t="shared" si="1"/>
        <v/>
      </c>
      <c r="AX63" s="83" t="str">
        <f t="array" ref="AX63">IFERROR(DGET('SBV Import'!A:G,"SBV",{"RSC ID","Tier";B63,A63}))</f>
        <v/>
      </c>
      <c r="AY63" s="82" t="str">
        <f t="shared" si="2"/>
        <v/>
      </c>
      <c r="AZ63" s="82"/>
      <c r="BA63" s="84" t="s">
        <v>152</v>
      </c>
      <c r="BB63" s="84" t="str">
        <f>IFERROR(__xludf.DUMMYFUNCTION("iferror(if(A63="""",,E63&gt;=FILTER(Constants!$F$2:$F$10,Constants!$A$2:$A$10=A63)))"),"")</f>
        <v/>
      </c>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2" t="str">
        <f t="shared" si="1"/>
        <v/>
      </c>
      <c r="AX64" s="83" t="str">
        <f t="array" ref="AX64">IFERROR(DGET('SBV Import'!A:G,"SBV",{"RSC ID","Tier";B64,A64}))</f>
        <v/>
      </c>
      <c r="AY64" s="82" t="str">
        <f t="shared" si="2"/>
        <v/>
      </c>
      <c r="AZ64" s="82"/>
      <c r="BA64" s="84" t="s">
        <v>152</v>
      </c>
      <c r="BB64" s="84" t="str">
        <f>IFERROR(__xludf.DUMMYFUNCTION("iferror(if(A64="""",,E64&gt;=FILTER(Constants!$F$2:$F$10,Constants!$A$2:$A$10=A64)))"),"")</f>
        <v/>
      </c>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2" t="str">
        <f t="shared" si="1"/>
        <v/>
      </c>
      <c r="AX65" s="83" t="str">
        <f t="array" ref="AX65">IFERROR(DGET('SBV Import'!A:G,"SBV",{"RSC ID","Tier";B65,A65}))</f>
        <v/>
      </c>
      <c r="AY65" s="82" t="str">
        <f t="shared" si="2"/>
        <v/>
      </c>
      <c r="AZ65" s="82"/>
      <c r="BA65" s="84" t="s">
        <v>152</v>
      </c>
      <c r="BB65" s="84" t="str">
        <f>IFERROR(__xludf.DUMMYFUNCTION("iferror(if(A65="""",,E65&gt;=FILTER(Constants!$F$2:$F$10,Constants!$A$2:$A$10=A65)))"),"")</f>
        <v/>
      </c>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2" t="str">
        <f t="shared" si="1"/>
        <v/>
      </c>
      <c r="AX66" s="83" t="str">
        <f t="array" ref="AX66">IFERROR(DGET('SBV Import'!A:G,"SBV",{"RSC ID","Tier";B66,A66}))</f>
        <v/>
      </c>
      <c r="AY66" s="82" t="str">
        <f t="shared" si="2"/>
        <v/>
      </c>
      <c r="AZ66" s="82"/>
      <c r="BA66" s="84" t="s">
        <v>152</v>
      </c>
      <c r="BB66" s="84" t="str">
        <f>IFERROR(__xludf.DUMMYFUNCTION("iferror(if(A66="""",,E66&gt;=FILTER(Constants!$F$2:$F$10,Constants!$A$2:$A$10=A66)))"),"")</f>
        <v/>
      </c>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2" t="str">
        <f t="shared" si="1"/>
        <v/>
      </c>
      <c r="AX67" s="83" t="str">
        <f t="array" ref="AX67">IFERROR(DGET('SBV Import'!A:G,"SBV",{"RSC ID","Tier";B67,A67}))</f>
        <v/>
      </c>
      <c r="AY67" s="82" t="str">
        <f t="shared" si="2"/>
        <v/>
      </c>
      <c r="AZ67" s="82"/>
      <c r="BA67" s="84" t="s">
        <v>152</v>
      </c>
      <c r="BB67" s="84" t="str">
        <f>IFERROR(__xludf.DUMMYFUNCTION("iferror(if(A67="""",,E67&gt;=FILTER(Constants!$F$2:$F$10,Constants!$A$2:$A$10=A67)))"),"")</f>
        <v/>
      </c>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2" t="str">
        <f t="shared" si="1"/>
        <v/>
      </c>
      <c r="AX68" s="83" t="str">
        <f t="array" ref="AX68">IFERROR(DGET('SBV Import'!A:G,"SBV",{"RSC ID","Tier";B68,A68}))</f>
        <v/>
      </c>
      <c r="AY68" s="82" t="str">
        <f t="shared" si="2"/>
        <v/>
      </c>
      <c r="AZ68" s="82"/>
      <c r="BA68" s="84" t="s">
        <v>152</v>
      </c>
      <c r="BB68" s="84" t="str">
        <f>IFERROR(__xludf.DUMMYFUNCTION("iferror(if(A68="""",,E68&gt;=FILTER(Constants!$F$2:$F$10,Constants!$A$2:$A$10=A68)))"),"")</f>
        <v/>
      </c>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2" t="str">
        <f t="shared" si="1"/>
        <v/>
      </c>
      <c r="AX69" s="83" t="str">
        <f t="array" ref="AX69">IFERROR(DGET('SBV Import'!A:G,"SBV",{"RSC ID","Tier";B69,A69}))</f>
        <v/>
      </c>
      <c r="AY69" s="82" t="str">
        <f t="shared" si="2"/>
        <v/>
      </c>
      <c r="AZ69" s="82"/>
      <c r="BA69" s="84" t="s">
        <v>152</v>
      </c>
      <c r="BB69" s="84" t="str">
        <f>IFERROR(__xludf.DUMMYFUNCTION("iferror(if(A69="""",,E69&gt;=FILTER(Constants!$F$2:$F$10,Constants!$A$2:$A$10=A69)))"),"")</f>
        <v/>
      </c>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2" t="str">
        <f t="shared" si="1"/>
        <v/>
      </c>
      <c r="AX70" s="83" t="str">
        <f t="array" ref="AX70">IFERROR(DGET('SBV Import'!A:G,"SBV",{"RSC ID","Tier";B70,A70}))</f>
        <v/>
      </c>
      <c r="AY70" s="82" t="str">
        <f t="shared" si="2"/>
        <v/>
      </c>
      <c r="AZ70" s="82"/>
      <c r="BA70" s="84" t="s">
        <v>152</v>
      </c>
      <c r="BB70" s="84" t="str">
        <f>IFERROR(__xludf.DUMMYFUNCTION("iferror(if(A70="""",,E70&gt;=FILTER(Constants!$F$2:$F$10,Constants!$A$2:$A$10=A70)))"),"")</f>
        <v/>
      </c>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2" t="str">
        <f t="shared" si="1"/>
        <v/>
      </c>
      <c r="AX71" s="83" t="str">
        <f t="array" ref="AX71">IFERROR(DGET('SBV Import'!A:G,"SBV",{"RSC ID","Tier";B71,A71}))</f>
        <v/>
      </c>
      <c r="AY71" s="82" t="str">
        <f t="shared" si="2"/>
        <v/>
      </c>
      <c r="AZ71" s="82"/>
      <c r="BA71" s="84" t="s">
        <v>152</v>
      </c>
      <c r="BB71" s="84" t="str">
        <f>IFERROR(__xludf.DUMMYFUNCTION("iferror(if(A71="""",,E71&gt;=FILTER(Constants!$F$2:$F$10,Constants!$A$2:$A$10=A71)))"),"")</f>
        <v/>
      </c>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2" t="str">
        <f t="shared" si="1"/>
        <v/>
      </c>
      <c r="AX72" s="83" t="str">
        <f t="array" ref="AX72">IFERROR(DGET('SBV Import'!A:G,"SBV",{"RSC ID","Tier";B72,A72}))</f>
        <v/>
      </c>
      <c r="AY72" s="82" t="str">
        <f t="shared" si="2"/>
        <v/>
      </c>
      <c r="AZ72" s="82"/>
      <c r="BA72" s="84" t="s">
        <v>152</v>
      </c>
      <c r="BB72" s="84" t="str">
        <f>IFERROR(__xludf.DUMMYFUNCTION("iferror(if(A72="""",,E72&gt;=FILTER(Constants!$F$2:$F$10,Constants!$A$2:$A$10=A72)))"),"")</f>
        <v/>
      </c>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2" t="str">
        <f t="shared" si="1"/>
        <v/>
      </c>
      <c r="AX73" s="83" t="str">
        <f t="array" ref="AX73">IFERROR(DGET('SBV Import'!A:G,"SBV",{"RSC ID","Tier";B73,A73}))</f>
        <v/>
      </c>
      <c r="AY73" s="82" t="str">
        <f t="shared" si="2"/>
        <v/>
      </c>
      <c r="AZ73" s="82"/>
      <c r="BA73" s="84" t="s">
        <v>152</v>
      </c>
      <c r="BB73" s="84" t="str">
        <f>IFERROR(__xludf.DUMMYFUNCTION("iferror(if(A73="""",,E73&gt;=FILTER(Constants!$F$2:$F$10,Constants!$A$2:$A$10=A73)))"),"")</f>
        <v/>
      </c>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2" t="str">
        <f t="shared" si="1"/>
        <v/>
      </c>
      <c r="AX74" s="83" t="str">
        <f t="array" ref="AX74">IFERROR(DGET('SBV Import'!A:G,"SBV",{"RSC ID","Tier";B74,A74}))</f>
        <v/>
      </c>
      <c r="AY74" s="82" t="str">
        <f t="shared" si="2"/>
        <v/>
      </c>
      <c r="AZ74" s="82"/>
      <c r="BA74" s="84" t="s">
        <v>152</v>
      </c>
      <c r="BB74" s="84" t="str">
        <f>IFERROR(__xludf.DUMMYFUNCTION("iferror(if(A74="""",,E74&gt;=FILTER(Constants!$F$2:$F$10,Constants!$A$2:$A$10=A74)))"),"")</f>
        <v/>
      </c>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2" t="str">
        <f t="shared" si="1"/>
        <v/>
      </c>
      <c r="AX75" s="83" t="str">
        <f t="array" ref="AX75">IFERROR(DGET('SBV Import'!A:G,"SBV",{"RSC ID","Tier";B75,A75}))</f>
        <v/>
      </c>
      <c r="AY75" s="82" t="str">
        <f t="shared" si="2"/>
        <v/>
      </c>
      <c r="AZ75" s="82"/>
      <c r="BA75" s="84" t="s">
        <v>152</v>
      </c>
      <c r="BB75" s="84" t="str">
        <f>IFERROR(__xludf.DUMMYFUNCTION("iferror(if(A75="""",,E75&gt;=FILTER(Constants!$F$2:$F$10,Constants!$A$2:$A$10=A75)))"),"")</f>
        <v/>
      </c>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2" t="str">
        <f t="shared" si="1"/>
        <v/>
      </c>
      <c r="AX76" s="83" t="str">
        <f t="array" ref="AX76">IFERROR(DGET('SBV Import'!A:G,"SBV",{"RSC ID","Tier";B76,A76}))</f>
        <v/>
      </c>
      <c r="AY76" s="82" t="str">
        <f t="shared" si="2"/>
        <v/>
      </c>
      <c r="AZ76" s="82"/>
      <c r="BA76" s="84" t="s">
        <v>152</v>
      </c>
      <c r="BB76" s="84" t="str">
        <f>IFERROR(__xludf.DUMMYFUNCTION("iferror(if(A76="""",,E76&gt;=FILTER(Constants!$F$2:$F$10,Constants!$A$2:$A$10=A76)))"),"")</f>
        <v/>
      </c>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2" t="str">
        <f t="shared" si="1"/>
        <v/>
      </c>
      <c r="AX77" s="83" t="str">
        <f t="array" ref="AX77">IFERROR(DGET('SBV Import'!A:G,"SBV",{"RSC ID","Tier";B77,A77}))</f>
        <v/>
      </c>
      <c r="AY77" s="82" t="str">
        <f t="shared" si="2"/>
        <v/>
      </c>
      <c r="AZ77" s="82"/>
      <c r="BA77" s="84" t="s">
        <v>152</v>
      </c>
      <c r="BB77" s="84" t="str">
        <f>IFERROR(__xludf.DUMMYFUNCTION("iferror(if(A77="""",,E77&gt;=FILTER(Constants!$F$2:$F$10,Constants!$A$2:$A$10=A77)))"),"")</f>
        <v/>
      </c>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2" t="str">
        <f t="shared" si="1"/>
        <v/>
      </c>
      <c r="AX78" s="83" t="str">
        <f t="array" ref="AX78">IFERROR(DGET('SBV Import'!A:G,"SBV",{"RSC ID","Tier";B78,A78}))</f>
        <v/>
      </c>
      <c r="AY78" s="82" t="str">
        <f t="shared" si="2"/>
        <v/>
      </c>
      <c r="AZ78" s="82"/>
      <c r="BA78" s="84" t="s">
        <v>152</v>
      </c>
      <c r="BB78" s="84" t="str">
        <f>IFERROR(__xludf.DUMMYFUNCTION("iferror(if(A78="""",,E78&gt;=FILTER(Constants!$F$2:$F$10,Constants!$A$2:$A$10=A78)))"),"")</f>
        <v/>
      </c>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2" t="str">
        <f t="shared" si="1"/>
        <v/>
      </c>
      <c r="AX79" s="83" t="str">
        <f t="array" ref="AX79">IFERROR(DGET('SBV Import'!A:G,"SBV",{"RSC ID","Tier";B79,A79}))</f>
        <v/>
      </c>
      <c r="AY79" s="82" t="str">
        <f t="shared" si="2"/>
        <v/>
      </c>
      <c r="AZ79" s="82"/>
      <c r="BA79" s="84" t="s">
        <v>152</v>
      </c>
      <c r="BB79" s="84" t="str">
        <f>IFERROR(__xludf.DUMMYFUNCTION("iferror(if(A79="""",,E79&gt;=FILTER(Constants!$F$2:$F$10,Constants!$A$2:$A$10=A79)))"),"")</f>
        <v/>
      </c>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2" t="str">
        <f t="shared" si="1"/>
        <v/>
      </c>
      <c r="AX80" s="83" t="str">
        <f t="array" ref="AX80">IFERROR(DGET('SBV Import'!A:G,"SBV",{"RSC ID","Tier";B80,A80}))</f>
        <v/>
      </c>
      <c r="AY80" s="82" t="str">
        <f t="shared" si="2"/>
        <v/>
      </c>
      <c r="AZ80" s="82"/>
      <c r="BA80" s="84" t="s">
        <v>152</v>
      </c>
      <c r="BB80" s="84" t="str">
        <f>IFERROR(__xludf.DUMMYFUNCTION("iferror(if(A80="""",,E80&gt;=FILTER(Constants!$F$2:$F$10,Constants!$A$2:$A$10=A80)))"),"")</f>
        <v/>
      </c>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2" t="str">
        <f t="shared" si="1"/>
        <v/>
      </c>
      <c r="AX81" s="83" t="str">
        <f t="array" ref="AX81">IFERROR(DGET('SBV Import'!A:G,"SBV",{"RSC ID","Tier";B81,A81}))</f>
        <v/>
      </c>
      <c r="AY81" s="82" t="str">
        <f t="shared" si="2"/>
        <v/>
      </c>
      <c r="AZ81" s="82"/>
      <c r="BA81" s="84" t="s">
        <v>152</v>
      </c>
      <c r="BB81" s="84" t="str">
        <f>IFERROR(__xludf.DUMMYFUNCTION("iferror(if(A81="""",,E81&gt;=FILTER(Constants!$F$2:$F$10,Constants!$A$2:$A$10=A81)))"),"")</f>
        <v/>
      </c>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2" t="str">
        <f t="shared" si="1"/>
        <v/>
      </c>
      <c r="AX82" s="83" t="str">
        <f t="array" ref="AX82">IFERROR(DGET('SBV Import'!A:G,"SBV",{"RSC ID","Tier";B82,A82}))</f>
        <v/>
      </c>
      <c r="AY82" s="82" t="str">
        <f t="shared" si="2"/>
        <v/>
      </c>
      <c r="AZ82" s="82"/>
      <c r="BA82" s="84" t="s">
        <v>152</v>
      </c>
      <c r="BB82" s="84" t="str">
        <f>IFERROR(__xludf.DUMMYFUNCTION("iferror(if(A82="""",,E82&gt;=FILTER(Constants!$F$2:$F$10,Constants!$A$2:$A$10=A82)))"),"")</f>
        <v/>
      </c>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2" t="str">
        <f t="shared" si="1"/>
        <v/>
      </c>
      <c r="AX83" s="83" t="str">
        <f t="array" ref="AX83">IFERROR(DGET('SBV Import'!A:G,"SBV",{"RSC ID","Tier";B83,A83}))</f>
        <v/>
      </c>
      <c r="AY83" s="82" t="str">
        <f t="shared" si="2"/>
        <v/>
      </c>
      <c r="AZ83" s="82"/>
      <c r="BA83" s="84" t="s">
        <v>152</v>
      </c>
      <c r="BB83" s="84" t="str">
        <f>IFERROR(__xludf.DUMMYFUNCTION("iferror(if(A83="""",,E83&gt;=FILTER(Constants!$F$2:$F$10,Constants!$A$2:$A$10=A83)))"),"")</f>
        <v/>
      </c>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2" t="str">
        <f t="shared" si="1"/>
        <v/>
      </c>
      <c r="AX84" s="83" t="str">
        <f t="array" ref="AX84">IFERROR(DGET('SBV Import'!A:G,"SBV",{"RSC ID","Tier";B84,A84}))</f>
        <v/>
      </c>
      <c r="AY84" s="82" t="str">
        <f t="shared" si="2"/>
        <v/>
      </c>
      <c r="AZ84" s="82"/>
      <c r="BA84" s="84" t="s">
        <v>152</v>
      </c>
      <c r="BB84" s="84" t="str">
        <f>IFERROR(__xludf.DUMMYFUNCTION("iferror(if(A84="""",,E84&gt;=FILTER(Constants!$F$2:$F$10,Constants!$A$2:$A$10=A84)))"),"")</f>
        <v/>
      </c>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2" t="str">
        <f t="shared" si="1"/>
        <v/>
      </c>
      <c r="AX85" s="83" t="str">
        <f t="array" ref="AX85">IFERROR(DGET('SBV Import'!A:G,"SBV",{"RSC ID","Tier";B85,A85}))</f>
        <v/>
      </c>
      <c r="AY85" s="82" t="str">
        <f t="shared" si="2"/>
        <v/>
      </c>
      <c r="AZ85" s="82"/>
      <c r="BA85" s="84" t="s">
        <v>152</v>
      </c>
      <c r="BB85" s="84" t="str">
        <f>IFERROR(__xludf.DUMMYFUNCTION("iferror(if(A85="""",,E85&gt;=FILTER(Constants!$F$2:$F$10,Constants!$A$2:$A$10=A85)))"),"")</f>
        <v/>
      </c>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2" t="str">
        <f t="shared" si="1"/>
        <v/>
      </c>
      <c r="AX86" s="83" t="str">
        <f t="array" ref="AX86">IFERROR(DGET('SBV Import'!A:G,"SBV",{"RSC ID","Tier";B86,A86}))</f>
        <v/>
      </c>
      <c r="AY86" s="82" t="str">
        <f t="shared" si="2"/>
        <v/>
      </c>
      <c r="AZ86" s="82"/>
      <c r="BA86" s="84" t="s">
        <v>152</v>
      </c>
      <c r="BB86" s="84" t="str">
        <f>IFERROR(__xludf.DUMMYFUNCTION("iferror(if(A86="""",,E86&gt;=FILTER(Constants!$F$2:$F$10,Constants!$A$2:$A$10=A86)))"),"")</f>
        <v/>
      </c>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2" t="str">
        <f t="shared" si="1"/>
        <v/>
      </c>
      <c r="AX87" s="83" t="str">
        <f t="array" ref="AX87">IFERROR(DGET('SBV Import'!A:G,"SBV",{"RSC ID","Tier";B87,A87}))</f>
        <v/>
      </c>
      <c r="AY87" s="82" t="str">
        <f t="shared" si="2"/>
        <v/>
      </c>
      <c r="AZ87" s="82"/>
      <c r="BA87" s="84" t="s">
        <v>152</v>
      </c>
      <c r="BB87" s="84" t="str">
        <f>IFERROR(__xludf.DUMMYFUNCTION("iferror(if(A87="""",,E87&gt;=FILTER(Constants!$F$2:$F$10,Constants!$A$2:$A$10=A87)))"),"")</f>
        <v/>
      </c>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2" t="str">
        <f t="shared" si="1"/>
        <v/>
      </c>
      <c r="AX88" s="83" t="str">
        <f t="array" ref="AX88">IFERROR(DGET('SBV Import'!A:G,"SBV",{"RSC ID","Tier";B88,A88}))</f>
        <v/>
      </c>
      <c r="AY88" s="82" t="str">
        <f t="shared" si="2"/>
        <v/>
      </c>
      <c r="AZ88" s="82"/>
      <c r="BA88" s="84" t="s">
        <v>152</v>
      </c>
      <c r="BB88" s="84" t="str">
        <f>IFERROR(__xludf.DUMMYFUNCTION("iferror(if(A88="""",,E88&gt;=FILTER(Constants!$F$2:$F$10,Constants!$A$2:$A$10=A88)))"),"")</f>
        <v/>
      </c>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2" t="str">
        <f t="shared" si="1"/>
        <v/>
      </c>
      <c r="AX89" s="83" t="str">
        <f t="array" ref="AX89">IFERROR(DGET('SBV Import'!A:G,"SBV",{"RSC ID","Tier";B89,A89}))</f>
        <v/>
      </c>
      <c r="AY89" s="82" t="str">
        <f t="shared" si="2"/>
        <v/>
      </c>
      <c r="AZ89" s="82"/>
      <c r="BA89" s="84" t="s">
        <v>152</v>
      </c>
      <c r="BB89" s="84" t="str">
        <f>IFERROR(__xludf.DUMMYFUNCTION("iferror(if(A89="""",,E89&gt;=FILTER(Constants!$F$2:$F$10,Constants!$A$2:$A$10=A89)))"),"")</f>
        <v/>
      </c>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2" t="str">
        <f t="shared" si="1"/>
        <v/>
      </c>
      <c r="AX90" s="83" t="str">
        <f t="array" ref="AX90">IFERROR(DGET('SBV Import'!A:G,"SBV",{"RSC ID","Tier";B90,A90}))</f>
        <v/>
      </c>
      <c r="AY90" s="82" t="str">
        <f t="shared" si="2"/>
        <v/>
      </c>
      <c r="AZ90" s="82"/>
      <c r="BA90" s="84" t="s">
        <v>152</v>
      </c>
      <c r="BB90" s="84" t="str">
        <f>IFERROR(__xludf.DUMMYFUNCTION("iferror(if(A90="""",,E90&gt;=FILTER(Constants!$F$2:$F$10,Constants!$A$2:$A$10=A90)))"),"")</f>
        <v/>
      </c>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2" t="str">
        <f t="shared" si="1"/>
        <v/>
      </c>
      <c r="AX91" s="83" t="str">
        <f t="array" ref="AX91">IFERROR(DGET('SBV Import'!A:G,"SBV",{"RSC ID","Tier";B91,A91}))</f>
        <v/>
      </c>
      <c r="AY91" s="82" t="str">
        <f t="shared" si="2"/>
        <v/>
      </c>
      <c r="AZ91" s="82"/>
      <c r="BA91" s="84" t="s">
        <v>152</v>
      </c>
      <c r="BB91" s="84" t="str">
        <f>IFERROR(__xludf.DUMMYFUNCTION("iferror(if(A91="""",,E91&gt;=FILTER(Constants!$F$2:$F$10,Constants!$A$2:$A$10=A91)))"),"")</f>
        <v/>
      </c>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2" t="str">
        <f t="shared" si="1"/>
        <v/>
      </c>
      <c r="AX92" s="83" t="str">
        <f t="array" ref="AX92">IFERROR(DGET('SBV Import'!A:G,"SBV",{"RSC ID","Tier";B92,A92}))</f>
        <v/>
      </c>
      <c r="AY92" s="82" t="str">
        <f t="shared" si="2"/>
        <v/>
      </c>
      <c r="AZ92" s="82"/>
      <c r="BA92" s="84" t="s">
        <v>152</v>
      </c>
      <c r="BB92" s="84" t="str">
        <f>IFERROR(__xludf.DUMMYFUNCTION("iferror(if(A92="""",,E92&gt;=FILTER(Constants!$F$2:$F$10,Constants!$A$2:$A$10=A92)))"),"")</f>
        <v/>
      </c>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c r="AW93" s="82" t="str">
        <f t="shared" si="1"/>
        <v/>
      </c>
      <c r="AX93" s="83" t="str">
        <f t="array" ref="AX93">IFERROR(DGET('SBV Import'!A:G,"SBV",{"RSC ID","Tier";B93,A93}))</f>
        <v/>
      </c>
      <c r="AY93" s="82" t="str">
        <f t="shared" si="2"/>
        <v/>
      </c>
      <c r="AZ93" s="82"/>
      <c r="BA93" s="84" t="s">
        <v>152</v>
      </c>
      <c r="BB93" s="84" t="str">
        <f>IFERROR(__xludf.DUMMYFUNCTION("iferror(if(A93="""",,E93&gt;=FILTER(Constants!$F$2:$F$10,Constants!$A$2:$A$10=A93)))"),"")</f>
        <v/>
      </c>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2" t="str">
        <f t="shared" si="1"/>
        <v/>
      </c>
      <c r="AX94" s="83" t="str">
        <f t="array" ref="AX94">IFERROR(DGET('SBV Import'!A:G,"SBV",{"RSC ID","Tier";B94,A94}))</f>
        <v/>
      </c>
      <c r="AY94" s="82" t="str">
        <f t="shared" si="2"/>
        <v/>
      </c>
      <c r="AZ94" s="82"/>
      <c r="BA94" s="84" t="s">
        <v>152</v>
      </c>
      <c r="BB94" s="84" t="str">
        <f>IFERROR(__xludf.DUMMYFUNCTION("iferror(if(A94="""",,E94&gt;=FILTER(Constants!$F$2:$F$10,Constants!$A$2:$A$10=A94)))"),"")</f>
        <v/>
      </c>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2" t="str">
        <f t="shared" si="1"/>
        <v/>
      </c>
      <c r="AX95" s="83" t="str">
        <f t="array" ref="AX95">IFERROR(DGET('SBV Import'!A:G,"SBV",{"RSC ID","Tier";B95,A95}))</f>
        <v/>
      </c>
      <c r="AY95" s="82" t="str">
        <f t="shared" si="2"/>
        <v/>
      </c>
      <c r="AZ95" s="82"/>
      <c r="BA95" s="84" t="s">
        <v>152</v>
      </c>
      <c r="BB95" s="84" t="str">
        <f>IFERROR(__xludf.DUMMYFUNCTION("iferror(if(A95="""",,E95&gt;=FILTER(Constants!$F$2:$F$10,Constants!$A$2:$A$10=A95)))"),"")</f>
        <v/>
      </c>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2" t="str">
        <f t="shared" si="1"/>
        <v/>
      </c>
      <c r="AX96" s="83" t="str">
        <f t="array" ref="AX96">IFERROR(DGET('SBV Import'!A:G,"SBV",{"RSC ID","Tier";B96,A96}))</f>
        <v/>
      </c>
      <c r="AY96" s="82" t="str">
        <f t="shared" si="2"/>
        <v/>
      </c>
      <c r="AZ96" s="82"/>
      <c r="BA96" s="84" t="s">
        <v>152</v>
      </c>
      <c r="BB96" s="84" t="str">
        <f>IFERROR(__xludf.DUMMYFUNCTION("iferror(if(A96="""",,E96&gt;=FILTER(Constants!$F$2:$F$10,Constants!$A$2:$A$10=A96)))"),"")</f>
        <v/>
      </c>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2" t="str">
        <f t="shared" si="1"/>
        <v/>
      </c>
      <c r="AX97" s="83" t="str">
        <f t="array" ref="AX97">IFERROR(DGET('SBV Import'!A:G,"SBV",{"RSC ID","Tier";B97,A97}))</f>
        <v/>
      </c>
      <c r="AY97" s="82" t="str">
        <f t="shared" si="2"/>
        <v/>
      </c>
      <c r="AZ97" s="82"/>
      <c r="BA97" s="84" t="s">
        <v>152</v>
      </c>
      <c r="BB97" s="84" t="str">
        <f>IFERROR(__xludf.DUMMYFUNCTION("iferror(if(A97="""",,E97&gt;=FILTER(Constants!$F$2:$F$10,Constants!$A$2:$A$10=A97)))"),"")</f>
        <v/>
      </c>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2" t="str">
        <f t="shared" si="1"/>
        <v/>
      </c>
      <c r="AX98" s="83" t="str">
        <f t="array" ref="AX98">IFERROR(DGET('SBV Import'!A:G,"SBV",{"RSC ID","Tier";B98,A98}))</f>
        <v/>
      </c>
      <c r="AY98" s="82" t="str">
        <f t="shared" si="2"/>
        <v/>
      </c>
      <c r="AZ98" s="82"/>
      <c r="BA98" s="84" t="s">
        <v>152</v>
      </c>
      <c r="BB98" s="84" t="str">
        <f>IFERROR(__xludf.DUMMYFUNCTION("iferror(if(A98="""",,E98&gt;=FILTER(Constants!$F$2:$F$10,Constants!$A$2:$A$10=A98)))"),"")</f>
        <v/>
      </c>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2" t="str">
        <f t="shared" si="1"/>
        <v/>
      </c>
      <c r="AX99" s="83" t="str">
        <f t="array" ref="AX99">IFERROR(DGET('SBV Import'!A:G,"SBV",{"RSC ID","Tier";B99,A99}))</f>
        <v/>
      </c>
      <c r="AY99" s="82" t="str">
        <f t="shared" si="2"/>
        <v/>
      </c>
      <c r="AZ99" s="82"/>
      <c r="BA99" s="84" t="s">
        <v>152</v>
      </c>
      <c r="BB99" s="84" t="str">
        <f>IFERROR(__xludf.DUMMYFUNCTION("iferror(if(A99="""",,E99&gt;=FILTER(Constants!$F$2:$F$10,Constants!$A$2:$A$10=A99)))"),"")</f>
        <v/>
      </c>
    </row>
    <row r="100">
      <c r="A100" s="85"/>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2" t="str">
        <f t="shared" si="1"/>
        <v/>
      </c>
      <c r="AX100" s="83" t="str">
        <f t="array" ref="AX100">IFERROR(DGET('SBV Import'!A:G,"SBV",{"RSC ID","Tier";B100,A100}))</f>
        <v/>
      </c>
      <c r="AY100" s="82" t="str">
        <f t="shared" si="2"/>
        <v/>
      </c>
      <c r="AZ100" s="82"/>
      <c r="BA100" s="84" t="s">
        <v>152</v>
      </c>
      <c r="BB100" s="84" t="str">
        <f>IFERROR(__xludf.DUMMYFUNCTION("iferror(if(A100="""",,E100&gt;=FILTER(Constants!$F$2:$F$10,Constants!$A$2:$A$10=A100)))"),"")</f>
        <v/>
      </c>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2" t="str">
        <f t="shared" si="1"/>
        <v/>
      </c>
      <c r="AX101" s="83" t="str">
        <f t="array" ref="AX101">IFERROR(DGET('SBV Import'!A:G,"SBV",{"RSC ID","Tier";B101,A101}))</f>
        <v/>
      </c>
      <c r="AY101" s="82" t="str">
        <f t="shared" si="2"/>
        <v/>
      </c>
      <c r="AZ101" s="82"/>
      <c r="BA101" s="84" t="s">
        <v>152</v>
      </c>
      <c r="BB101" s="84" t="str">
        <f>IFERROR(__xludf.DUMMYFUNCTION("iferror(if(A101="""",,E101&gt;=FILTER(Constants!$F$2:$F$10,Constants!$A$2:$A$10=A101)))"),"")</f>
        <v/>
      </c>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2" t="str">
        <f t="shared" si="1"/>
        <v/>
      </c>
      <c r="AX102" s="83" t="str">
        <f t="array" ref="AX102">IFERROR(DGET('SBV Import'!A:G,"SBV",{"RSC ID","Tier";B102,A102}))</f>
        <v/>
      </c>
      <c r="AY102" s="82" t="str">
        <f t="shared" si="2"/>
        <v/>
      </c>
      <c r="AZ102" s="82"/>
      <c r="BA102" s="84" t="s">
        <v>152</v>
      </c>
      <c r="BB102" s="84" t="str">
        <f>IFERROR(__xludf.DUMMYFUNCTION("iferror(if(A102="""",,E102&gt;=FILTER(Constants!$F$2:$F$10,Constants!$A$2:$A$10=A102)))"),"")</f>
        <v/>
      </c>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2" t="str">
        <f t="shared" si="1"/>
        <v/>
      </c>
      <c r="AX103" s="83" t="str">
        <f t="array" ref="AX103">IFERROR(DGET('SBV Import'!A:G,"SBV",{"RSC ID","Tier";B103,A103}))</f>
        <v/>
      </c>
      <c r="AY103" s="82" t="str">
        <f t="shared" si="2"/>
        <v/>
      </c>
      <c r="AZ103" s="82"/>
      <c r="BA103" s="84" t="s">
        <v>152</v>
      </c>
      <c r="BB103" s="84" t="str">
        <f>IFERROR(__xludf.DUMMYFUNCTION("iferror(if(A103="""",,E103&gt;=FILTER(Constants!$F$2:$F$10,Constants!$A$2:$A$10=A103)))"),"")</f>
        <v/>
      </c>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c r="AW104" s="82" t="str">
        <f t="shared" si="1"/>
        <v/>
      </c>
      <c r="AX104" s="83" t="str">
        <f t="array" ref="AX104">IFERROR(DGET('SBV Import'!A:G,"SBV",{"RSC ID","Tier";B104,A104}))</f>
        <v/>
      </c>
      <c r="AY104" s="82" t="str">
        <f t="shared" si="2"/>
        <v/>
      </c>
      <c r="AZ104" s="82"/>
      <c r="BA104" s="84" t="s">
        <v>152</v>
      </c>
      <c r="BB104" s="84" t="str">
        <f>IFERROR(__xludf.DUMMYFUNCTION("iferror(if(A104="""",,E104&gt;=FILTER(Constants!$F$2:$F$10,Constants!$A$2:$A$10=A104)))"),"")</f>
        <v/>
      </c>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c r="AW105" s="82" t="str">
        <f t="shared" si="1"/>
        <v/>
      </c>
      <c r="AX105" s="83" t="str">
        <f t="array" ref="AX105">IFERROR(DGET('SBV Import'!A:G,"SBV",{"RSC ID","Tier";B105,A105}))</f>
        <v/>
      </c>
      <c r="AY105" s="82" t="str">
        <f t="shared" si="2"/>
        <v/>
      </c>
      <c r="AZ105" s="82"/>
      <c r="BA105" s="84" t="s">
        <v>152</v>
      </c>
      <c r="BB105" s="84" t="str">
        <f>IFERROR(__xludf.DUMMYFUNCTION("iferror(if(A105="""",,E105&gt;=FILTER(Constants!$F$2:$F$10,Constants!$A$2:$A$10=A105)))"),"")</f>
        <v/>
      </c>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c r="AW106" s="82" t="str">
        <f t="shared" si="1"/>
        <v/>
      </c>
      <c r="AX106" s="83" t="str">
        <f t="array" ref="AX106">IFERROR(DGET('SBV Import'!A:G,"SBV",{"RSC ID","Tier";B106,A106}))</f>
        <v/>
      </c>
      <c r="AY106" s="82" t="str">
        <f t="shared" si="2"/>
        <v/>
      </c>
      <c r="AZ106" s="82"/>
      <c r="BA106" s="84" t="s">
        <v>152</v>
      </c>
      <c r="BB106" s="84" t="str">
        <f>IFERROR(__xludf.DUMMYFUNCTION("iferror(if(A106="""",,E106&gt;=FILTER(Constants!$F$2:$F$10,Constants!$A$2:$A$10=A106)))"),"")</f>
        <v/>
      </c>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2" t="str">
        <f t="shared" si="1"/>
        <v/>
      </c>
      <c r="AX107" s="83" t="str">
        <f t="array" ref="AX107">IFERROR(DGET('SBV Import'!A:G,"SBV",{"RSC ID","Tier";B107,A107}))</f>
        <v/>
      </c>
      <c r="AY107" s="82" t="str">
        <f t="shared" si="2"/>
        <v/>
      </c>
      <c r="AZ107" s="82"/>
      <c r="BA107" s="84" t="s">
        <v>152</v>
      </c>
      <c r="BB107" s="84" t="str">
        <f>IFERROR(__xludf.DUMMYFUNCTION("iferror(if(A107="""",,E107&gt;=FILTER(Constants!$F$2:$F$10,Constants!$A$2:$A$10=A107)))"),"")</f>
        <v/>
      </c>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c r="AW108" s="82" t="str">
        <f t="shared" si="1"/>
        <v/>
      </c>
      <c r="AX108" s="83" t="str">
        <f t="array" ref="AX108">IFERROR(DGET('SBV Import'!A:G,"SBV",{"RSC ID","Tier";B108,A108}))</f>
        <v/>
      </c>
      <c r="AY108" s="82" t="str">
        <f t="shared" si="2"/>
        <v/>
      </c>
      <c r="AZ108" s="82"/>
      <c r="BA108" s="84" t="s">
        <v>152</v>
      </c>
      <c r="BB108" s="84" t="str">
        <f>IFERROR(__xludf.DUMMYFUNCTION("iferror(if(A108="""",,E108&gt;=FILTER(Constants!$F$2:$F$10,Constants!$A$2:$A$10=A108)))"),"")</f>
        <v/>
      </c>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c r="AW109" s="82" t="str">
        <f t="shared" si="1"/>
        <v/>
      </c>
      <c r="AX109" s="83" t="str">
        <f t="array" ref="AX109">IFERROR(DGET('SBV Import'!A:G,"SBV",{"RSC ID","Tier";B109,A109}))</f>
        <v/>
      </c>
      <c r="AY109" s="82" t="str">
        <f t="shared" si="2"/>
        <v/>
      </c>
      <c r="AZ109" s="82"/>
      <c r="BA109" s="84" t="s">
        <v>152</v>
      </c>
      <c r="BB109" s="84" t="str">
        <f>IFERROR(__xludf.DUMMYFUNCTION("iferror(if(A109="""",,E109&gt;=FILTER(Constants!$F$2:$F$10,Constants!$A$2:$A$10=A109)))"),"")</f>
        <v/>
      </c>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2" t="str">
        <f t="shared" si="1"/>
        <v/>
      </c>
      <c r="AX110" s="83" t="str">
        <f t="array" ref="AX110">IFERROR(DGET('SBV Import'!A:G,"SBV",{"RSC ID","Tier";B110,A110}))</f>
        <v/>
      </c>
      <c r="AY110" s="82" t="str">
        <f t="shared" si="2"/>
        <v/>
      </c>
      <c r="AZ110" s="82"/>
      <c r="BA110" s="84" t="s">
        <v>152</v>
      </c>
      <c r="BB110" s="84" t="str">
        <f>IFERROR(__xludf.DUMMYFUNCTION("iferror(if(A110="""",,E110&gt;=FILTER(Constants!$F$2:$F$10,Constants!$A$2:$A$10=A110)))"),"")</f>
        <v/>
      </c>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2" t="str">
        <f t="shared" si="1"/>
        <v/>
      </c>
      <c r="AX111" s="83" t="str">
        <f t="array" ref="AX111">IFERROR(DGET('SBV Import'!A:G,"SBV",{"RSC ID","Tier";B111,A111}))</f>
        <v/>
      </c>
      <c r="AY111" s="82" t="str">
        <f t="shared" si="2"/>
        <v/>
      </c>
      <c r="AZ111" s="82"/>
      <c r="BA111" s="84" t="s">
        <v>152</v>
      </c>
      <c r="BB111" s="84" t="str">
        <f>IFERROR(__xludf.DUMMYFUNCTION("iferror(if(A111="""",,E111&gt;=FILTER(Constants!$F$2:$F$10,Constants!$A$2:$A$10=A111)))"),"")</f>
        <v/>
      </c>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c r="AW112" s="82" t="str">
        <f t="shared" si="1"/>
        <v/>
      </c>
      <c r="AX112" s="83" t="str">
        <f t="array" ref="AX112">IFERROR(DGET('SBV Import'!A:G,"SBV",{"RSC ID","Tier";B112,A112}))</f>
        <v/>
      </c>
      <c r="AY112" s="82" t="str">
        <f t="shared" si="2"/>
        <v/>
      </c>
      <c r="AZ112" s="82"/>
      <c r="BA112" s="84" t="s">
        <v>152</v>
      </c>
      <c r="BB112" s="84" t="str">
        <f>IFERROR(__xludf.DUMMYFUNCTION("iferror(if(A112="""",,E112&gt;=FILTER(Constants!$F$2:$F$10,Constants!$A$2:$A$10=A112)))"),"")</f>
        <v/>
      </c>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2" t="str">
        <f t="shared" si="1"/>
        <v/>
      </c>
      <c r="AX113" s="83" t="str">
        <f t="array" ref="AX113">IFERROR(DGET('SBV Import'!A:G,"SBV",{"RSC ID","Tier";B113,A113}))</f>
        <v/>
      </c>
      <c r="AY113" s="82" t="str">
        <f t="shared" si="2"/>
        <v/>
      </c>
      <c r="AZ113" s="82"/>
      <c r="BA113" s="84" t="s">
        <v>152</v>
      </c>
      <c r="BB113" s="84" t="str">
        <f>IFERROR(__xludf.DUMMYFUNCTION("iferror(if(A113="""",,E113&gt;=FILTER(Constants!$F$2:$F$10,Constants!$A$2:$A$10=A113)))"),"")</f>
        <v/>
      </c>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2" t="str">
        <f t="shared" si="1"/>
        <v/>
      </c>
      <c r="AX114" s="83" t="str">
        <f t="array" ref="AX114">IFERROR(DGET('SBV Import'!A:G,"SBV",{"RSC ID","Tier";B114,A114}))</f>
        <v/>
      </c>
      <c r="AY114" s="82" t="str">
        <f t="shared" si="2"/>
        <v/>
      </c>
      <c r="AZ114" s="82"/>
      <c r="BA114" s="84" t="s">
        <v>152</v>
      </c>
      <c r="BB114" s="84" t="str">
        <f>IFERROR(__xludf.DUMMYFUNCTION("iferror(if(A114="""",,E114&gt;=FILTER(Constants!$F$2:$F$10,Constants!$A$2:$A$10=A114)))"),"")</f>
        <v/>
      </c>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c r="AW115" s="82" t="str">
        <f t="shared" si="1"/>
        <v/>
      </c>
      <c r="AX115" s="83" t="str">
        <f t="array" ref="AX115">IFERROR(DGET('SBV Import'!A:G,"SBV",{"RSC ID","Tier";B115,A115}))</f>
        <v/>
      </c>
      <c r="AY115" s="82" t="str">
        <f t="shared" si="2"/>
        <v/>
      </c>
      <c r="AZ115" s="82"/>
      <c r="BA115" s="84" t="s">
        <v>152</v>
      </c>
      <c r="BB115" s="84" t="str">
        <f>IFERROR(__xludf.DUMMYFUNCTION("iferror(if(A115="""",,E115&gt;=FILTER(Constants!$F$2:$F$10,Constants!$A$2:$A$10=A115)))"),"")</f>
        <v/>
      </c>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c r="AW116" s="82" t="str">
        <f t="shared" si="1"/>
        <v/>
      </c>
      <c r="AX116" s="83" t="str">
        <f t="array" ref="AX116">IFERROR(DGET('SBV Import'!A:G,"SBV",{"RSC ID","Tier";B116,A116}))</f>
        <v/>
      </c>
      <c r="AY116" s="82" t="str">
        <f t="shared" si="2"/>
        <v/>
      </c>
      <c r="AZ116" s="82"/>
      <c r="BA116" s="84" t="s">
        <v>152</v>
      </c>
      <c r="BB116" s="84" t="str">
        <f>IFERROR(__xludf.DUMMYFUNCTION("iferror(if(A116="""",,E116&gt;=FILTER(Constants!$F$2:$F$10,Constants!$A$2:$A$10=A116)))"),"")</f>
        <v/>
      </c>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2" t="str">
        <f t="shared" si="1"/>
        <v/>
      </c>
      <c r="AX117" s="83" t="str">
        <f t="array" ref="AX117">IFERROR(DGET('SBV Import'!A:G,"SBV",{"RSC ID","Tier";B117,A117}))</f>
        <v/>
      </c>
      <c r="AY117" s="82" t="str">
        <f t="shared" si="2"/>
        <v/>
      </c>
      <c r="AZ117" s="82"/>
      <c r="BA117" s="84" t="s">
        <v>152</v>
      </c>
      <c r="BB117" s="84" t="str">
        <f>IFERROR(__xludf.DUMMYFUNCTION("iferror(if(A117="""",,E117&gt;=FILTER(Constants!$F$2:$F$10,Constants!$A$2:$A$10=A117)))"),"")</f>
        <v/>
      </c>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2" t="str">
        <f t="shared" si="1"/>
        <v/>
      </c>
      <c r="AX118" s="83" t="str">
        <f t="array" ref="AX118">IFERROR(DGET('SBV Import'!A:G,"SBV",{"RSC ID","Tier";B118,A118}))</f>
        <v/>
      </c>
      <c r="AY118" s="82" t="str">
        <f t="shared" si="2"/>
        <v/>
      </c>
      <c r="AZ118" s="82"/>
      <c r="BA118" s="84" t="s">
        <v>152</v>
      </c>
      <c r="BB118" s="84" t="str">
        <f>IFERROR(__xludf.DUMMYFUNCTION("iferror(if(A118="""",,E118&gt;=FILTER(Constants!$F$2:$F$10,Constants!$A$2:$A$10=A118)))"),"")</f>
        <v/>
      </c>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c r="AQ119" s="80"/>
      <c r="AR119" s="80"/>
      <c r="AS119" s="80"/>
      <c r="AT119" s="80"/>
      <c r="AU119" s="80"/>
      <c r="AV119" s="80"/>
      <c r="AW119" s="82" t="str">
        <f t="shared" si="1"/>
        <v/>
      </c>
      <c r="AX119" s="83" t="str">
        <f t="array" ref="AX119">IFERROR(DGET('SBV Import'!A:G,"SBV",{"RSC ID","Tier";B119,A119}))</f>
        <v/>
      </c>
      <c r="AY119" s="82" t="str">
        <f t="shared" si="2"/>
        <v/>
      </c>
      <c r="AZ119" s="82"/>
      <c r="BA119" s="84" t="s">
        <v>152</v>
      </c>
      <c r="BB119" s="84" t="str">
        <f>IFERROR(__xludf.DUMMYFUNCTION("iferror(if(A119="""",,E119&gt;=FILTER(Constants!$F$2:$F$10,Constants!$A$2:$A$10=A119)))"),"")</f>
        <v/>
      </c>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c r="AQ120" s="80"/>
      <c r="AR120" s="80"/>
      <c r="AS120" s="80"/>
      <c r="AT120" s="80"/>
      <c r="AU120" s="80"/>
      <c r="AV120" s="80"/>
      <c r="AW120" s="82" t="str">
        <f t="shared" si="1"/>
        <v/>
      </c>
      <c r="AX120" s="83" t="str">
        <f t="array" ref="AX120">IFERROR(DGET('SBV Import'!A:G,"SBV",{"RSC ID","Tier";B120,A120}))</f>
        <v/>
      </c>
      <c r="AY120" s="82" t="str">
        <f t="shared" si="2"/>
        <v/>
      </c>
      <c r="AZ120" s="82"/>
      <c r="BA120" s="84" t="s">
        <v>152</v>
      </c>
      <c r="BB120" s="84" t="str">
        <f>IFERROR(__xludf.DUMMYFUNCTION("iferror(if(A120="""",,E120&gt;=FILTER(Constants!$F$2:$F$10,Constants!$A$2:$A$10=A120)))"),"")</f>
        <v/>
      </c>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c r="AQ121" s="80"/>
      <c r="AR121" s="80"/>
      <c r="AS121" s="80"/>
      <c r="AT121" s="80"/>
      <c r="AU121" s="80"/>
      <c r="AV121" s="80"/>
      <c r="AW121" s="82" t="str">
        <f t="shared" si="1"/>
        <v/>
      </c>
      <c r="AX121" s="83" t="str">
        <f t="array" ref="AX121">IFERROR(DGET('SBV Import'!A:G,"SBV",{"RSC ID","Tier";B121,A121}))</f>
        <v/>
      </c>
      <c r="AY121" s="82" t="str">
        <f t="shared" si="2"/>
        <v/>
      </c>
      <c r="AZ121" s="82"/>
      <c r="BA121" s="84" t="s">
        <v>152</v>
      </c>
      <c r="BB121" s="84" t="str">
        <f>IFERROR(__xludf.DUMMYFUNCTION("iferror(if(A121="""",,E121&gt;=FILTER(Constants!$F$2:$F$10,Constants!$A$2:$A$10=A121)))"),"")</f>
        <v/>
      </c>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2" t="str">
        <f t="shared" si="1"/>
        <v/>
      </c>
      <c r="AX122" s="83" t="str">
        <f t="array" ref="AX122">IFERROR(DGET('SBV Import'!A:G,"SBV",{"RSC ID","Tier";B122,A122}))</f>
        <v/>
      </c>
      <c r="AY122" s="82" t="str">
        <f t="shared" si="2"/>
        <v/>
      </c>
      <c r="AZ122" s="82"/>
      <c r="BA122" s="84" t="s">
        <v>152</v>
      </c>
      <c r="BB122" s="84" t="str">
        <f>IFERROR(__xludf.DUMMYFUNCTION("iferror(if(A122="""",,E122&gt;=FILTER(Constants!$F$2:$F$10,Constants!$A$2:$A$10=A122)))"),"")</f>
        <v/>
      </c>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c r="AQ123" s="80"/>
      <c r="AR123" s="80"/>
      <c r="AS123" s="80"/>
      <c r="AT123" s="80"/>
      <c r="AU123" s="80"/>
      <c r="AV123" s="80"/>
      <c r="AW123" s="82" t="str">
        <f t="shared" si="1"/>
        <v/>
      </c>
      <c r="AX123" s="83" t="str">
        <f t="array" ref="AX123">IFERROR(DGET('SBV Import'!A:G,"SBV",{"RSC ID","Tier";B123,A123}))</f>
        <v/>
      </c>
      <c r="AY123" s="82" t="str">
        <f t="shared" si="2"/>
        <v/>
      </c>
      <c r="AZ123" s="82"/>
      <c r="BA123" s="84" t="s">
        <v>152</v>
      </c>
      <c r="BB123" s="84" t="str">
        <f>IFERROR(__xludf.DUMMYFUNCTION("iferror(if(A123="""",,E123&gt;=FILTER(Constants!$F$2:$F$10,Constants!$A$2:$A$10=A123)))"),"")</f>
        <v/>
      </c>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c r="AQ124" s="80"/>
      <c r="AR124" s="80"/>
      <c r="AS124" s="80"/>
      <c r="AT124" s="80"/>
      <c r="AU124" s="80"/>
      <c r="AV124" s="80"/>
      <c r="AW124" s="82" t="str">
        <f t="shared" si="1"/>
        <v/>
      </c>
      <c r="AX124" s="83" t="str">
        <f t="array" ref="AX124">IFERROR(DGET('SBV Import'!A:G,"SBV",{"RSC ID","Tier";B124,A124}))</f>
        <v/>
      </c>
      <c r="AY124" s="82" t="str">
        <f t="shared" si="2"/>
        <v/>
      </c>
      <c r="AZ124" s="82"/>
      <c r="BA124" s="84" t="s">
        <v>152</v>
      </c>
      <c r="BB124" s="84" t="str">
        <f>IFERROR(__xludf.DUMMYFUNCTION("iferror(if(A124="""",,E124&gt;=FILTER(Constants!$F$2:$F$10,Constants!$A$2:$A$10=A124)))"),"")</f>
        <v/>
      </c>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2" t="str">
        <f t="shared" si="1"/>
        <v/>
      </c>
      <c r="AX125" s="83" t="str">
        <f t="array" ref="AX125">IFERROR(DGET('SBV Import'!A:G,"SBV",{"RSC ID","Tier";B125,A125}))</f>
        <v/>
      </c>
      <c r="AY125" s="82" t="str">
        <f t="shared" si="2"/>
        <v/>
      </c>
      <c r="AZ125" s="82"/>
      <c r="BA125" s="84" t="s">
        <v>152</v>
      </c>
      <c r="BB125" s="84" t="str">
        <f>IFERROR(__xludf.DUMMYFUNCTION("iferror(if(A125="""",,E125&gt;=FILTER(Constants!$F$2:$F$10,Constants!$A$2:$A$10=A125)))"),"")</f>
        <v/>
      </c>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2" t="str">
        <f t="shared" si="1"/>
        <v/>
      </c>
      <c r="AX126" s="83" t="str">
        <f t="array" ref="AX126">IFERROR(DGET('SBV Import'!A:G,"SBV",{"RSC ID","Tier";B126,A126}))</f>
        <v/>
      </c>
      <c r="AY126" s="82" t="str">
        <f t="shared" si="2"/>
        <v/>
      </c>
      <c r="AZ126" s="82"/>
      <c r="BA126" s="84" t="s">
        <v>152</v>
      </c>
      <c r="BB126" s="84" t="str">
        <f>IFERROR(__xludf.DUMMYFUNCTION("iferror(if(A126="""",,E126&gt;=FILTER(Constants!$F$2:$F$10,Constants!$A$2:$A$10=A126)))"),"")</f>
        <v/>
      </c>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2" t="str">
        <f t="shared" si="1"/>
        <v/>
      </c>
      <c r="AX127" s="83" t="str">
        <f t="array" ref="AX127">IFERROR(DGET('SBV Import'!A:G,"SBV",{"RSC ID","Tier";B127,A127}))</f>
        <v/>
      </c>
      <c r="AY127" s="82" t="str">
        <f t="shared" si="2"/>
        <v/>
      </c>
      <c r="AZ127" s="82"/>
      <c r="BA127" s="84" t="s">
        <v>152</v>
      </c>
      <c r="BB127" s="84" t="str">
        <f>IFERROR(__xludf.DUMMYFUNCTION("iferror(if(A127="""",,E127&gt;=FILTER(Constants!$F$2:$F$10,Constants!$A$2:$A$10=A127)))"),"")</f>
        <v/>
      </c>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2" t="str">
        <f t="shared" si="1"/>
        <v/>
      </c>
      <c r="AX128" s="83" t="str">
        <f t="array" ref="AX128">IFERROR(DGET('SBV Import'!A:G,"SBV",{"RSC ID","Tier";B128,A128}))</f>
        <v/>
      </c>
      <c r="AY128" s="82" t="str">
        <f t="shared" si="2"/>
        <v/>
      </c>
      <c r="AZ128" s="82"/>
      <c r="BA128" s="84" t="s">
        <v>152</v>
      </c>
      <c r="BB128" s="84" t="str">
        <f>IFERROR(__xludf.DUMMYFUNCTION("iferror(if(A128="""",,E128&gt;=FILTER(Constants!$F$2:$F$10,Constants!$A$2:$A$10=A128)))"),"")</f>
        <v/>
      </c>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c r="AO129" s="80"/>
      <c r="AP129" s="80"/>
      <c r="AQ129" s="80"/>
      <c r="AR129" s="80"/>
      <c r="AS129" s="80"/>
      <c r="AT129" s="80"/>
      <c r="AU129" s="80"/>
      <c r="AV129" s="80"/>
      <c r="AW129" s="82" t="str">
        <f t="shared" si="1"/>
        <v/>
      </c>
      <c r="AX129" s="83" t="str">
        <f t="array" ref="AX129">IFERROR(DGET('SBV Import'!A:G,"SBV",{"RSC ID","Tier";B129,A129}))</f>
        <v/>
      </c>
      <c r="AY129" s="82" t="str">
        <f t="shared" si="2"/>
        <v/>
      </c>
      <c r="AZ129" s="82"/>
      <c r="BA129" s="84" t="s">
        <v>152</v>
      </c>
      <c r="BB129" s="84" t="str">
        <f>IFERROR(__xludf.DUMMYFUNCTION("iferror(if(A129="""",,E129&gt;=FILTER(Constants!$F$2:$F$10,Constants!$A$2:$A$10=A129)))"),"")</f>
        <v/>
      </c>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2" t="str">
        <f t="shared" si="1"/>
        <v/>
      </c>
      <c r="AX130" s="83" t="str">
        <f t="array" ref="AX130">IFERROR(DGET('SBV Import'!A:G,"SBV",{"RSC ID","Tier";B130,A130}))</f>
        <v/>
      </c>
      <c r="AY130" s="82" t="str">
        <f t="shared" si="2"/>
        <v/>
      </c>
      <c r="AZ130" s="82"/>
      <c r="BA130" s="84" t="s">
        <v>152</v>
      </c>
      <c r="BB130" s="84" t="str">
        <f>IFERROR(__xludf.DUMMYFUNCTION("iferror(if(A130="""",,E130&gt;=FILTER(Constants!$F$2:$F$10,Constants!$A$2:$A$10=A130)))"),"")</f>
        <v/>
      </c>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c r="AJ131" s="80"/>
      <c r="AK131" s="80"/>
      <c r="AL131" s="80"/>
      <c r="AM131" s="80"/>
      <c r="AN131" s="80"/>
      <c r="AO131" s="80"/>
      <c r="AP131" s="80"/>
      <c r="AQ131" s="80"/>
      <c r="AR131" s="80"/>
      <c r="AS131" s="80"/>
      <c r="AT131" s="80"/>
      <c r="AU131" s="80"/>
      <c r="AV131" s="80"/>
      <c r="AW131" s="82" t="str">
        <f t="shared" si="1"/>
        <v/>
      </c>
      <c r="AX131" s="83" t="str">
        <f t="array" ref="AX131">IFERROR(DGET('SBV Import'!A:G,"SBV",{"RSC ID","Tier";B131,A131}))</f>
        <v/>
      </c>
      <c r="AY131" s="82" t="str">
        <f t="shared" si="2"/>
        <v/>
      </c>
      <c r="AZ131" s="82"/>
      <c r="BA131" s="84" t="s">
        <v>152</v>
      </c>
      <c r="BB131" s="84" t="str">
        <f>IFERROR(__xludf.DUMMYFUNCTION("iferror(if(A131="""",,E131&gt;=FILTER(Constants!$F$2:$F$10,Constants!$A$2:$A$10=A131)))"),"")</f>
        <v/>
      </c>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c r="AQ132" s="80"/>
      <c r="AR132" s="80"/>
      <c r="AS132" s="80"/>
      <c r="AT132" s="80"/>
      <c r="AU132" s="80"/>
      <c r="AV132" s="80"/>
      <c r="AW132" s="82" t="str">
        <f t="shared" si="1"/>
        <v/>
      </c>
      <c r="AX132" s="83" t="str">
        <f t="array" ref="AX132">IFERROR(DGET('SBV Import'!A:G,"SBV",{"RSC ID","Tier";B132,A132}))</f>
        <v/>
      </c>
      <c r="AY132" s="82" t="str">
        <f t="shared" si="2"/>
        <v/>
      </c>
      <c r="AZ132" s="82"/>
      <c r="BA132" s="84" t="s">
        <v>152</v>
      </c>
      <c r="BB132" s="84" t="str">
        <f>IFERROR(__xludf.DUMMYFUNCTION("iferror(if(A132="""",,E132&gt;=FILTER(Constants!$F$2:$F$10,Constants!$A$2:$A$10=A132)))"),"")</f>
        <v/>
      </c>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c r="AJ133" s="80"/>
      <c r="AK133" s="80"/>
      <c r="AL133" s="80"/>
      <c r="AM133" s="80"/>
      <c r="AN133" s="80"/>
      <c r="AO133" s="80"/>
      <c r="AP133" s="80"/>
      <c r="AQ133" s="80"/>
      <c r="AR133" s="80"/>
      <c r="AS133" s="80"/>
      <c r="AT133" s="80"/>
      <c r="AU133" s="80"/>
      <c r="AV133" s="80"/>
      <c r="AW133" s="82" t="str">
        <f t="shared" si="1"/>
        <v/>
      </c>
      <c r="AX133" s="83" t="str">
        <f t="array" ref="AX133">IFERROR(DGET('SBV Import'!A:G,"SBV",{"RSC ID","Tier";B133,A133}))</f>
        <v/>
      </c>
      <c r="AY133" s="82" t="str">
        <f t="shared" si="2"/>
        <v/>
      </c>
      <c r="AZ133" s="82"/>
      <c r="BA133" s="84" t="s">
        <v>152</v>
      </c>
      <c r="BB133" s="84" t="str">
        <f>IFERROR(__xludf.DUMMYFUNCTION("iferror(if(A133="""",,E133&gt;=FILTER(Constants!$F$2:$F$10,Constants!$A$2:$A$10=A133)))"),"")</f>
        <v/>
      </c>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c r="AJ134" s="80"/>
      <c r="AK134" s="80"/>
      <c r="AL134" s="80"/>
      <c r="AM134" s="80"/>
      <c r="AN134" s="80"/>
      <c r="AO134" s="80"/>
      <c r="AP134" s="80"/>
      <c r="AQ134" s="80"/>
      <c r="AR134" s="80"/>
      <c r="AS134" s="80"/>
      <c r="AT134" s="80"/>
      <c r="AU134" s="80"/>
      <c r="AV134" s="80"/>
      <c r="AW134" s="82" t="str">
        <f t="shared" si="1"/>
        <v/>
      </c>
      <c r="AX134" s="83" t="str">
        <f t="array" ref="AX134">IFERROR(DGET('SBV Import'!A:G,"SBV",{"RSC ID","Tier";B134,A134}))</f>
        <v/>
      </c>
      <c r="AY134" s="82" t="str">
        <f t="shared" si="2"/>
        <v/>
      </c>
      <c r="AZ134" s="82"/>
      <c r="BA134" s="84" t="s">
        <v>152</v>
      </c>
      <c r="BB134" s="84" t="str">
        <f>IFERROR(__xludf.DUMMYFUNCTION("iferror(if(A134="""",,E134&gt;=FILTER(Constants!$F$2:$F$10,Constants!$A$2:$A$10=A134)))"),"")</f>
        <v/>
      </c>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c r="AJ135" s="80"/>
      <c r="AK135" s="80"/>
      <c r="AL135" s="80"/>
      <c r="AM135" s="80"/>
      <c r="AN135" s="80"/>
      <c r="AO135" s="80"/>
      <c r="AP135" s="80"/>
      <c r="AQ135" s="80"/>
      <c r="AR135" s="80"/>
      <c r="AS135" s="80"/>
      <c r="AT135" s="80"/>
      <c r="AU135" s="80"/>
      <c r="AV135" s="80"/>
      <c r="AW135" s="82" t="str">
        <f t="shared" si="1"/>
        <v/>
      </c>
      <c r="AX135" s="83" t="str">
        <f t="array" ref="AX135">IFERROR(DGET('SBV Import'!A:G,"SBV",{"RSC ID","Tier";B135,A135}))</f>
        <v/>
      </c>
      <c r="AY135" s="82" t="str">
        <f t="shared" si="2"/>
        <v/>
      </c>
      <c r="AZ135" s="82"/>
      <c r="BA135" s="84" t="s">
        <v>152</v>
      </c>
      <c r="BB135" s="84" t="str">
        <f>IFERROR(__xludf.DUMMYFUNCTION("iferror(if(A135="""",,E135&gt;=FILTER(Constants!$F$2:$F$10,Constants!$A$2:$A$10=A135)))"),"")</f>
        <v/>
      </c>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0"/>
      <c r="AW136" s="82" t="str">
        <f t="shared" si="1"/>
        <v/>
      </c>
      <c r="AX136" s="83" t="str">
        <f t="array" ref="AX136">IFERROR(DGET('SBV Import'!A:G,"SBV",{"RSC ID","Tier";B136,A136}))</f>
        <v/>
      </c>
      <c r="AY136" s="82" t="str">
        <f t="shared" si="2"/>
        <v/>
      </c>
      <c r="AZ136" s="82"/>
      <c r="BA136" s="84" t="s">
        <v>152</v>
      </c>
      <c r="BB136" s="84" t="str">
        <f>IFERROR(__xludf.DUMMYFUNCTION("iferror(if(A136="""",,E136&gt;=FILTER(Constants!$F$2:$F$10,Constants!$A$2:$A$10=A136)))"),"")</f>
        <v/>
      </c>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c r="AJ137" s="80"/>
      <c r="AK137" s="80"/>
      <c r="AL137" s="80"/>
      <c r="AM137" s="80"/>
      <c r="AN137" s="80"/>
      <c r="AO137" s="80"/>
      <c r="AP137" s="80"/>
      <c r="AQ137" s="80"/>
      <c r="AR137" s="80"/>
      <c r="AS137" s="80"/>
      <c r="AT137" s="80"/>
      <c r="AU137" s="80"/>
      <c r="AV137" s="80"/>
      <c r="AW137" s="82" t="str">
        <f t="shared" si="1"/>
        <v/>
      </c>
      <c r="AX137" s="83" t="str">
        <f t="array" ref="AX137">IFERROR(DGET('SBV Import'!A:G,"SBV",{"RSC ID","Tier";B137,A137}))</f>
        <v/>
      </c>
      <c r="AY137" s="82" t="str">
        <f t="shared" si="2"/>
        <v/>
      </c>
      <c r="AZ137" s="82"/>
      <c r="BA137" s="84" t="s">
        <v>152</v>
      </c>
      <c r="BB137" s="84" t="str">
        <f>IFERROR(__xludf.DUMMYFUNCTION("iferror(if(A137="""",,E137&gt;=FILTER(Constants!$F$2:$F$10,Constants!$A$2:$A$10=A137)))"),"")</f>
        <v/>
      </c>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c r="AJ138" s="80"/>
      <c r="AK138" s="80"/>
      <c r="AL138" s="80"/>
      <c r="AM138" s="80"/>
      <c r="AN138" s="80"/>
      <c r="AO138" s="80"/>
      <c r="AP138" s="80"/>
      <c r="AQ138" s="80"/>
      <c r="AR138" s="80"/>
      <c r="AS138" s="80"/>
      <c r="AT138" s="80"/>
      <c r="AU138" s="80"/>
      <c r="AV138" s="80"/>
      <c r="AW138" s="82" t="str">
        <f t="shared" si="1"/>
        <v/>
      </c>
      <c r="AX138" s="83" t="str">
        <f t="array" ref="AX138">IFERROR(DGET('SBV Import'!A:G,"SBV",{"RSC ID","Tier";B138,A138}))</f>
        <v/>
      </c>
      <c r="AY138" s="82" t="str">
        <f t="shared" si="2"/>
        <v/>
      </c>
      <c r="AZ138" s="82"/>
      <c r="BA138" s="84" t="s">
        <v>152</v>
      </c>
      <c r="BB138" s="84" t="str">
        <f>IFERROR(__xludf.DUMMYFUNCTION("iferror(if(A138="""",,E138&gt;=FILTER(Constants!$F$2:$F$10,Constants!$A$2:$A$10=A138)))"),"")</f>
        <v/>
      </c>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c r="AQ139" s="80"/>
      <c r="AR139" s="80"/>
      <c r="AS139" s="80"/>
      <c r="AT139" s="80"/>
      <c r="AU139" s="80"/>
      <c r="AV139" s="80"/>
      <c r="AW139" s="82" t="str">
        <f t="shared" si="1"/>
        <v/>
      </c>
      <c r="AX139" s="83" t="str">
        <f t="array" ref="AX139">IFERROR(DGET('SBV Import'!A:G,"SBV",{"RSC ID","Tier";B139,A139}))</f>
        <v/>
      </c>
      <c r="AY139" s="82" t="str">
        <f t="shared" si="2"/>
        <v/>
      </c>
      <c r="AZ139" s="82"/>
      <c r="BA139" s="84" t="s">
        <v>152</v>
      </c>
      <c r="BB139" s="84" t="str">
        <f>IFERROR(__xludf.DUMMYFUNCTION("iferror(if(A139="""",,E139&gt;=FILTER(Constants!$F$2:$F$10,Constants!$A$2:$A$10=A139)))"),"")</f>
        <v/>
      </c>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c r="AJ140" s="80"/>
      <c r="AK140" s="80"/>
      <c r="AL140" s="80"/>
      <c r="AM140" s="80"/>
      <c r="AN140" s="80"/>
      <c r="AO140" s="80"/>
      <c r="AP140" s="80"/>
      <c r="AQ140" s="80"/>
      <c r="AR140" s="80"/>
      <c r="AS140" s="80"/>
      <c r="AT140" s="80"/>
      <c r="AU140" s="80"/>
      <c r="AV140" s="80"/>
      <c r="AW140" s="82" t="str">
        <f t="shared" si="1"/>
        <v/>
      </c>
      <c r="AX140" s="83" t="str">
        <f t="array" ref="AX140">IFERROR(DGET('SBV Import'!A:G,"SBV",{"RSC ID","Tier";B140,A140}))</f>
        <v/>
      </c>
      <c r="AY140" s="82" t="str">
        <f t="shared" si="2"/>
        <v/>
      </c>
      <c r="AZ140" s="82"/>
      <c r="BA140" s="84" t="s">
        <v>152</v>
      </c>
      <c r="BB140" s="84" t="str">
        <f>IFERROR(__xludf.DUMMYFUNCTION("iferror(if(A140="""",,E140&gt;=FILTER(Constants!$F$2:$F$10,Constants!$A$2:$A$10=A140)))"),"")</f>
        <v/>
      </c>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c r="AJ141" s="80"/>
      <c r="AK141" s="80"/>
      <c r="AL141" s="80"/>
      <c r="AM141" s="80"/>
      <c r="AN141" s="80"/>
      <c r="AO141" s="80"/>
      <c r="AP141" s="80"/>
      <c r="AQ141" s="80"/>
      <c r="AR141" s="80"/>
      <c r="AS141" s="80"/>
      <c r="AT141" s="80"/>
      <c r="AU141" s="80"/>
      <c r="AV141" s="80"/>
      <c r="AW141" s="82" t="str">
        <f t="shared" si="1"/>
        <v/>
      </c>
      <c r="AX141" s="83" t="str">
        <f t="array" ref="AX141">IFERROR(DGET('SBV Import'!A:G,"SBV",{"RSC ID","Tier";B141,A141}))</f>
        <v/>
      </c>
      <c r="AY141" s="82" t="str">
        <f t="shared" si="2"/>
        <v/>
      </c>
      <c r="AZ141" s="82"/>
      <c r="BA141" s="84" t="s">
        <v>152</v>
      </c>
      <c r="BB141" s="84" t="str">
        <f>IFERROR(__xludf.DUMMYFUNCTION("iferror(if(A141="""",,E141&gt;=FILTER(Constants!$F$2:$F$10,Constants!$A$2:$A$10=A141)))"),"")</f>
        <v/>
      </c>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c r="AJ142" s="80"/>
      <c r="AK142" s="80"/>
      <c r="AL142" s="80"/>
      <c r="AM142" s="80"/>
      <c r="AN142" s="80"/>
      <c r="AO142" s="80"/>
      <c r="AP142" s="80"/>
      <c r="AQ142" s="80"/>
      <c r="AR142" s="80"/>
      <c r="AS142" s="80"/>
      <c r="AT142" s="80"/>
      <c r="AU142" s="80"/>
      <c r="AV142" s="80"/>
      <c r="AW142" s="82" t="str">
        <f t="shared" si="1"/>
        <v/>
      </c>
      <c r="AX142" s="83" t="str">
        <f t="array" ref="AX142">IFERROR(DGET('SBV Import'!A:G,"SBV",{"RSC ID","Tier";B142,A142}))</f>
        <v/>
      </c>
      <c r="AY142" s="82" t="str">
        <f t="shared" si="2"/>
        <v/>
      </c>
      <c r="AZ142" s="82"/>
      <c r="BA142" s="84" t="s">
        <v>152</v>
      </c>
      <c r="BB142" s="84" t="str">
        <f>IFERROR(__xludf.DUMMYFUNCTION("iferror(if(A142="""",,E142&gt;=FILTER(Constants!$F$2:$F$10,Constants!$A$2:$A$10=A142)))"),"")</f>
        <v/>
      </c>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c r="AJ143" s="80"/>
      <c r="AK143" s="80"/>
      <c r="AL143" s="80"/>
      <c r="AM143" s="80"/>
      <c r="AN143" s="80"/>
      <c r="AO143" s="80"/>
      <c r="AP143" s="80"/>
      <c r="AQ143" s="80"/>
      <c r="AR143" s="80"/>
      <c r="AS143" s="80"/>
      <c r="AT143" s="80"/>
      <c r="AU143" s="80"/>
      <c r="AV143" s="80"/>
      <c r="AW143" s="82" t="str">
        <f t="shared" si="1"/>
        <v/>
      </c>
      <c r="AX143" s="83" t="str">
        <f t="array" ref="AX143">IFERROR(DGET('SBV Import'!A:G,"SBV",{"RSC ID","Tier";B143,A143}))</f>
        <v/>
      </c>
      <c r="AY143" s="82" t="str">
        <f t="shared" si="2"/>
        <v/>
      </c>
      <c r="AZ143" s="82"/>
      <c r="BA143" s="84" t="s">
        <v>152</v>
      </c>
      <c r="BB143" s="84" t="str">
        <f>IFERROR(__xludf.DUMMYFUNCTION("iferror(if(A143="""",,E143&gt;=FILTER(Constants!$F$2:$F$10,Constants!$A$2:$A$10=A143)))"),"")</f>
        <v/>
      </c>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c r="AQ144" s="80"/>
      <c r="AR144" s="80"/>
      <c r="AS144" s="80"/>
      <c r="AT144" s="80"/>
      <c r="AU144" s="80"/>
      <c r="AV144" s="80"/>
      <c r="AW144" s="82" t="str">
        <f t="shared" si="1"/>
        <v/>
      </c>
      <c r="AX144" s="83" t="str">
        <f t="array" ref="AX144">IFERROR(DGET('SBV Import'!A:G,"SBV",{"RSC ID","Tier";B144,A144}))</f>
        <v/>
      </c>
      <c r="AY144" s="82" t="str">
        <f t="shared" si="2"/>
        <v/>
      </c>
      <c r="AZ144" s="82"/>
      <c r="BA144" s="84" t="s">
        <v>152</v>
      </c>
      <c r="BB144" s="84" t="str">
        <f>IFERROR(__xludf.DUMMYFUNCTION("iferror(if(A144="""",,E144&gt;=FILTER(Constants!$F$2:$F$10,Constants!$A$2:$A$10=A144)))"),"")</f>
        <v/>
      </c>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2" t="str">
        <f t="shared" si="1"/>
        <v/>
      </c>
      <c r="AX145" s="83" t="str">
        <f t="array" ref="AX145">IFERROR(DGET('SBV Import'!A:G,"SBV",{"RSC ID","Tier";B145,A145}))</f>
        <v/>
      </c>
      <c r="AY145" s="82" t="str">
        <f t="shared" si="2"/>
        <v/>
      </c>
      <c r="AZ145" s="82"/>
      <c r="BA145" s="84" t="s">
        <v>152</v>
      </c>
      <c r="BB145" s="84" t="str">
        <f>IFERROR(__xludf.DUMMYFUNCTION("iferror(if(A145="""",,E145&gt;=FILTER(Constants!$F$2:$F$10,Constants!$A$2:$A$10=A145)))"),"")</f>
        <v/>
      </c>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c r="AQ146" s="80"/>
      <c r="AR146" s="80"/>
      <c r="AS146" s="80"/>
      <c r="AT146" s="80"/>
      <c r="AU146" s="80"/>
      <c r="AV146" s="80"/>
      <c r="AW146" s="82" t="str">
        <f t="shared" si="1"/>
        <v/>
      </c>
      <c r="AX146" s="83" t="str">
        <f t="array" ref="AX146">IFERROR(DGET('SBV Import'!A:G,"SBV",{"RSC ID","Tier";B146,A146}))</f>
        <v/>
      </c>
      <c r="AY146" s="82" t="str">
        <f t="shared" si="2"/>
        <v/>
      </c>
      <c r="AZ146" s="82"/>
      <c r="BA146" s="84" t="s">
        <v>152</v>
      </c>
      <c r="BB146" s="84" t="str">
        <f>IFERROR(__xludf.DUMMYFUNCTION("iferror(if(A146="""",,E146&gt;=FILTER(Constants!$F$2:$F$10,Constants!$A$2:$A$10=A146)))"),"")</f>
        <v/>
      </c>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c r="AQ147" s="80"/>
      <c r="AR147" s="80"/>
      <c r="AS147" s="80"/>
      <c r="AT147" s="80"/>
      <c r="AU147" s="80"/>
      <c r="AV147" s="80"/>
      <c r="AW147" s="82" t="str">
        <f t="shared" si="1"/>
        <v/>
      </c>
      <c r="AX147" s="83" t="str">
        <f t="array" ref="AX147">IFERROR(DGET('SBV Import'!A:G,"SBV",{"RSC ID","Tier";B147,A147}))</f>
        <v/>
      </c>
      <c r="AY147" s="82" t="str">
        <f t="shared" si="2"/>
        <v/>
      </c>
      <c r="AZ147" s="82"/>
      <c r="BA147" s="84" t="s">
        <v>152</v>
      </c>
      <c r="BB147" s="84" t="str">
        <f>IFERROR(__xludf.DUMMYFUNCTION("iferror(if(A147="""",,E147&gt;=FILTER(Constants!$F$2:$F$10,Constants!$A$2:$A$10=A147)))"),"")</f>
        <v/>
      </c>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2" t="str">
        <f t="shared" si="1"/>
        <v/>
      </c>
      <c r="AX148" s="83" t="str">
        <f t="array" ref="AX148">IFERROR(DGET('SBV Import'!A:G,"SBV",{"RSC ID","Tier";B148,A148}))</f>
        <v/>
      </c>
      <c r="AY148" s="82" t="str">
        <f t="shared" si="2"/>
        <v/>
      </c>
      <c r="AZ148" s="82"/>
      <c r="BA148" s="84" t="s">
        <v>152</v>
      </c>
      <c r="BB148" s="84" t="str">
        <f>IFERROR(__xludf.DUMMYFUNCTION("iferror(if(A148="""",,E148&gt;=FILTER(Constants!$F$2:$F$10,Constants!$A$2:$A$10=A148)))"),"")</f>
        <v/>
      </c>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c r="AQ149" s="80"/>
      <c r="AR149" s="80"/>
      <c r="AS149" s="80"/>
      <c r="AT149" s="80"/>
      <c r="AU149" s="80"/>
      <c r="AV149" s="80"/>
      <c r="AW149" s="82" t="str">
        <f t="shared" si="1"/>
        <v/>
      </c>
      <c r="AX149" s="83" t="str">
        <f t="array" ref="AX149">IFERROR(DGET('SBV Import'!A:G,"SBV",{"RSC ID","Tier";B149,A149}))</f>
        <v/>
      </c>
      <c r="AY149" s="82" t="str">
        <f t="shared" si="2"/>
        <v/>
      </c>
      <c r="AZ149" s="82"/>
      <c r="BA149" s="84" t="s">
        <v>152</v>
      </c>
      <c r="BB149" s="84" t="str">
        <f>IFERROR(__xludf.DUMMYFUNCTION("iferror(if(A149="""",,E149&gt;=FILTER(Constants!$F$2:$F$10,Constants!$A$2:$A$10=A149)))"),"")</f>
        <v/>
      </c>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c r="AQ150" s="80"/>
      <c r="AR150" s="80"/>
      <c r="AS150" s="80"/>
      <c r="AT150" s="80"/>
      <c r="AU150" s="80"/>
      <c r="AV150" s="80"/>
      <c r="AW150" s="82" t="str">
        <f t="shared" si="1"/>
        <v/>
      </c>
      <c r="AX150" s="83" t="str">
        <f t="array" ref="AX150">IFERROR(DGET('SBV Import'!A:G,"SBV",{"RSC ID","Tier";B150,A150}))</f>
        <v/>
      </c>
      <c r="AY150" s="82" t="str">
        <f t="shared" si="2"/>
        <v/>
      </c>
      <c r="AZ150" s="82"/>
      <c r="BA150" s="84" t="s">
        <v>152</v>
      </c>
      <c r="BB150" s="84" t="str">
        <f>IFERROR(__xludf.DUMMYFUNCTION("iferror(if(A150="""",,E150&gt;=FILTER(Constants!$F$2:$F$10,Constants!$A$2:$A$10=A150)))"),"")</f>
        <v/>
      </c>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2" t="str">
        <f t="shared" si="1"/>
        <v/>
      </c>
      <c r="AX151" s="83" t="str">
        <f t="array" ref="AX151">IFERROR(DGET('SBV Import'!A:G,"SBV",{"RSC ID","Tier";B151,A151}))</f>
        <v/>
      </c>
      <c r="AY151" s="82" t="str">
        <f t="shared" si="2"/>
        <v/>
      </c>
      <c r="AZ151" s="82"/>
      <c r="BA151" s="84" t="s">
        <v>152</v>
      </c>
      <c r="BB151" s="84" t="str">
        <f>IFERROR(__xludf.DUMMYFUNCTION("iferror(if(A151="""",,E151&gt;=FILTER(Constants!$F$2:$F$10,Constants!$A$2:$A$10=A151)))"),"")</f>
        <v/>
      </c>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c r="AJ152" s="80"/>
      <c r="AK152" s="80"/>
      <c r="AL152" s="80"/>
      <c r="AM152" s="80"/>
      <c r="AN152" s="80"/>
      <c r="AO152" s="80"/>
      <c r="AP152" s="80"/>
      <c r="AQ152" s="80"/>
      <c r="AR152" s="80"/>
      <c r="AS152" s="80"/>
      <c r="AT152" s="80"/>
      <c r="AU152" s="80"/>
      <c r="AV152" s="80"/>
      <c r="AW152" s="82" t="str">
        <f t="shared" si="1"/>
        <v/>
      </c>
      <c r="AX152" s="83" t="str">
        <f t="array" ref="AX152">IFERROR(DGET('SBV Import'!A:G,"SBV",{"RSC ID","Tier";B152,A152}))</f>
        <v/>
      </c>
      <c r="AY152" s="82" t="str">
        <f t="shared" si="2"/>
        <v/>
      </c>
      <c r="AZ152" s="82"/>
      <c r="BA152" s="84" t="s">
        <v>152</v>
      </c>
      <c r="BB152" s="84" t="str">
        <f>IFERROR(__xludf.DUMMYFUNCTION("iferror(if(A152="""",,E152&gt;=FILTER(Constants!$F$2:$F$10,Constants!$A$2:$A$10=A152)))"),"")</f>
        <v/>
      </c>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0"/>
      <c r="AK153" s="80"/>
      <c r="AL153" s="80"/>
      <c r="AM153" s="80"/>
      <c r="AN153" s="80"/>
      <c r="AO153" s="80"/>
      <c r="AP153" s="80"/>
      <c r="AQ153" s="80"/>
      <c r="AR153" s="80"/>
      <c r="AS153" s="80"/>
      <c r="AT153" s="80"/>
      <c r="AU153" s="80"/>
      <c r="AV153" s="80"/>
      <c r="AW153" s="82" t="str">
        <f t="shared" si="1"/>
        <v/>
      </c>
      <c r="AX153" s="83" t="str">
        <f t="array" ref="AX153">IFERROR(DGET('SBV Import'!A:G,"SBV",{"RSC ID","Tier";B153,A153}))</f>
        <v/>
      </c>
      <c r="AY153" s="82" t="str">
        <f t="shared" si="2"/>
        <v/>
      </c>
      <c r="AZ153" s="82"/>
      <c r="BA153" s="84" t="s">
        <v>152</v>
      </c>
      <c r="BB153" s="84" t="str">
        <f>IFERROR(__xludf.DUMMYFUNCTION("iferror(if(A153="""",,E153&gt;=FILTER(Constants!$F$2:$F$10,Constants!$A$2:$A$10=A153)))"),"")</f>
        <v/>
      </c>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c r="AJ154" s="80"/>
      <c r="AK154" s="80"/>
      <c r="AL154" s="80"/>
      <c r="AM154" s="80"/>
      <c r="AN154" s="80"/>
      <c r="AO154" s="80"/>
      <c r="AP154" s="80"/>
      <c r="AQ154" s="80"/>
      <c r="AR154" s="80"/>
      <c r="AS154" s="80"/>
      <c r="AT154" s="80"/>
      <c r="AU154" s="80"/>
      <c r="AV154" s="80"/>
      <c r="AW154" s="82" t="str">
        <f t="shared" si="1"/>
        <v/>
      </c>
      <c r="AX154" s="83" t="str">
        <f t="array" ref="AX154">IFERROR(DGET('SBV Import'!A:G,"SBV",{"RSC ID","Tier";B154,A154}))</f>
        <v/>
      </c>
      <c r="AY154" s="82" t="str">
        <f t="shared" si="2"/>
        <v/>
      </c>
      <c r="AZ154" s="82"/>
      <c r="BA154" s="84" t="s">
        <v>152</v>
      </c>
      <c r="BB154" s="84" t="str">
        <f>IFERROR(__xludf.DUMMYFUNCTION("iferror(if(A154="""",,E154&gt;=FILTER(Constants!$F$2:$F$10,Constants!$A$2:$A$10=A154)))"),"")</f>
        <v/>
      </c>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0"/>
      <c r="AK155" s="80"/>
      <c r="AL155" s="80"/>
      <c r="AM155" s="80"/>
      <c r="AN155" s="80"/>
      <c r="AO155" s="80"/>
      <c r="AP155" s="80"/>
      <c r="AQ155" s="80"/>
      <c r="AR155" s="80"/>
      <c r="AS155" s="80"/>
      <c r="AT155" s="80"/>
      <c r="AU155" s="80"/>
      <c r="AV155" s="80"/>
      <c r="AW155" s="82" t="str">
        <f t="shared" si="1"/>
        <v/>
      </c>
      <c r="AX155" s="83" t="str">
        <f t="array" ref="AX155">IFERROR(DGET('SBV Import'!A:G,"SBV",{"RSC ID","Tier";B155,A155}))</f>
        <v/>
      </c>
      <c r="AY155" s="82" t="str">
        <f t="shared" si="2"/>
        <v/>
      </c>
      <c r="AZ155" s="82"/>
      <c r="BA155" s="84" t="s">
        <v>152</v>
      </c>
      <c r="BB155" s="84" t="str">
        <f>IFERROR(__xludf.DUMMYFUNCTION("iferror(if(A155="""",,E155&gt;=FILTER(Constants!$F$2:$F$10,Constants!$A$2:$A$10=A155)))"),"")</f>
        <v/>
      </c>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c r="AQ156" s="80"/>
      <c r="AR156" s="80"/>
      <c r="AS156" s="80"/>
      <c r="AT156" s="80"/>
      <c r="AU156" s="80"/>
      <c r="AV156" s="80"/>
      <c r="AW156" s="82" t="str">
        <f t="shared" si="1"/>
        <v/>
      </c>
      <c r="AX156" s="83" t="str">
        <f t="array" ref="AX156">IFERROR(DGET('SBV Import'!A:G,"SBV",{"RSC ID","Tier";B156,A156}))</f>
        <v/>
      </c>
      <c r="AY156" s="82" t="str">
        <f t="shared" si="2"/>
        <v/>
      </c>
      <c r="AZ156" s="82"/>
      <c r="BA156" s="84" t="s">
        <v>152</v>
      </c>
      <c r="BB156" s="84" t="str">
        <f>IFERROR(__xludf.DUMMYFUNCTION("iferror(if(A156="""",,E156&gt;=FILTER(Constants!$F$2:$F$10,Constants!$A$2:$A$10=A156)))"),"")</f>
        <v/>
      </c>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2" t="str">
        <f t="shared" si="1"/>
        <v/>
      </c>
      <c r="AX157" s="83" t="str">
        <f t="array" ref="AX157">IFERROR(DGET('SBV Import'!A:G,"SBV",{"RSC ID","Tier";B157,A157}))</f>
        <v/>
      </c>
      <c r="AY157" s="82" t="str">
        <f t="shared" si="2"/>
        <v/>
      </c>
      <c r="AZ157" s="82"/>
      <c r="BA157" s="84" t="s">
        <v>152</v>
      </c>
      <c r="BB157" s="84" t="str">
        <f>IFERROR(__xludf.DUMMYFUNCTION("iferror(if(A157="""",,E157&gt;=FILTER(Constants!$F$2:$F$10,Constants!$A$2:$A$10=A157)))"),"")</f>
        <v/>
      </c>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80"/>
      <c r="AM158" s="80"/>
      <c r="AN158" s="80"/>
      <c r="AO158" s="80"/>
      <c r="AP158" s="80"/>
      <c r="AQ158" s="80"/>
      <c r="AR158" s="80"/>
      <c r="AS158" s="80"/>
      <c r="AT158" s="80"/>
      <c r="AU158" s="80"/>
      <c r="AV158" s="80"/>
      <c r="AW158" s="82" t="str">
        <f t="shared" si="1"/>
        <v/>
      </c>
      <c r="AX158" s="83" t="str">
        <f t="array" ref="AX158">IFERROR(DGET('SBV Import'!A:G,"SBV",{"RSC ID","Tier";B158,A158}))</f>
        <v/>
      </c>
      <c r="AY158" s="82" t="str">
        <f t="shared" si="2"/>
        <v/>
      </c>
      <c r="AZ158" s="82"/>
      <c r="BA158" s="84" t="s">
        <v>152</v>
      </c>
      <c r="BB158" s="84" t="str">
        <f>IFERROR(__xludf.DUMMYFUNCTION("iferror(if(A158="""",,E158&gt;=FILTER(Constants!$F$2:$F$10,Constants!$A$2:$A$10=A158)))"),"")</f>
        <v/>
      </c>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0"/>
      <c r="AK159" s="80"/>
      <c r="AL159" s="80"/>
      <c r="AM159" s="80"/>
      <c r="AN159" s="80"/>
      <c r="AO159" s="80"/>
      <c r="AP159" s="80"/>
      <c r="AQ159" s="80"/>
      <c r="AR159" s="80"/>
      <c r="AS159" s="80"/>
      <c r="AT159" s="80"/>
      <c r="AU159" s="80"/>
      <c r="AV159" s="80"/>
      <c r="AW159" s="82" t="str">
        <f t="shared" si="1"/>
        <v/>
      </c>
      <c r="AX159" s="83" t="str">
        <f t="array" ref="AX159">IFERROR(DGET('SBV Import'!A:G,"SBV",{"RSC ID","Tier";B159,A159}))</f>
        <v/>
      </c>
      <c r="AY159" s="82" t="str">
        <f t="shared" si="2"/>
        <v/>
      </c>
      <c r="AZ159" s="82"/>
      <c r="BA159" s="84" t="s">
        <v>152</v>
      </c>
      <c r="BB159" s="84" t="str">
        <f>IFERROR(__xludf.DUMMYFUNCTION("iferror(if(A159="""",,E159&gt;=FILTER(Constants!$F$2:$F$10,Constants!$A$2:$A$10=A159)))"),"")</f>
        <v/>
      </c>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c r="AQ160" s="80"/>
      <c r="AR160" s="80"/>
      <c r="AS160" s="80"/>
      <c r="AT160" s="80"/>
      <c r="AU160" s="80"/>
      <c r="AV160" s="80"/>
      <c r="AW160" s="82" t="str">
        <f t="shared" si="1"/>
        <v/>
      </c>
      <c r="AX160" s="83" t="str">
        <f t="array" ref="AX160">IFERROR(DGET('SBV Import'!A:G,"SBV",{"RSC ID","Tier";B160,A160}))</f>
        <v/>
      </c>
      <c r="AY160" s="82" t="str">
        <f t="shared" si="2"/>
        <v/>
      </c>
      <c r="AZ160" s="82"/>
      <c r="BA160" s="84" t="s">
        <v>152</v>
      </c>
      <c r="BB160" s="84" t="str">
        <f>IFERROR(__xludf.DUMMYFUNCTION("iferror(if(A160="""",,E160&gt;=FILTER(Constants!$F$2:$F$10,Constants!$A$2:$A$10=A160)))"),"")</f>
        <v/>
      </c>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c r="AQ161" s="80"/>
      <c r="AR161" s="80"/>
      <c r="AS161" s="80"/>
      <c r="AT161" s="80"/>
      <c r="AU161" s="80"/>
      <c r="AV161" s="80"/>
      <c r="AW161" s="82" t="str">
        <f t="shared" si="1"/>
        <v/>
      </c>
      <c r="AX161" s="83" t="str">
        <f t="array" ref="AX161">IFERROR(DGET('SBV Import'!A:G,"SBV",{"RSC ID","Tier";B161,A161}))</f>
        <v/>
      </c>
      <c r="AY161" s="82" t="str">
        <f t="shared" si="2"/>
        <v/>
      </c>
      <c r="AZ161" s="82"/>
      <c r="BA161" s="84" t="s">
        <v>152</v>
      </c>
      <c r="BB161" s="84" t="str">
        <f>IFERROR(__xludf.DUMMYFUNCTION("iferror(if(A161="""",,E161&gt;=FILTER(Constants!$F$2:$F$10,Constants!$A$2:$A$10=A161)))"),"")</f>
        <v/>
      </c>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c r="AJ162" s="80"/>
      <c r="AK162" s="80"/>
      <c r="AL162" s="80"/>
      <c r="AM162" s="80"/>
      <c r="AN162" s="80"/>
      <c r="AO162" s="80"/>
      <c r="AP162" s="80"/>
      <c r="AQ162" s="80"/>
      <c r="AR162" s="80"/>
      <c r="AS162" s="80"/>
      <c r="AT162" s="80"/>
      <c r="AU162" s="80"/>
      <c r="AV162" s="80"/>
      <c r="AW162" s="82" t="str">
        <f t="shared" si="1"/>
        <v/>
      </c>
      <c r="AX162" s="83" t="str">
        <f t="array" ref="AX162">IFERROR(DGET('SBV Import'!A:G,"SBV",{"RSC ID","Tier";B162,A162}))</f>
        <v/>
      </c>
      <c r="AY162" s="82" t="str">
        <f t="shared" si="2"/>
        <v/>
      </c>
      <c r="AZ162" s="82"/>
      <c r="BA162" s="84" t="s">
        <v>152</v>
      </c>
      <c r="BB162" s="84" t="str">
        <f>IFERROR(__xludf.DUMMYFUNCTION("iferror(if(A162="""",,E162&gt;=FILTER(Constants!$F$2:$F$10,Constants!$A$2:$A$10=A162)))"),"")</f>
        <v/>
      </c>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c r="AQ163" s="80"/>
      <c r="AR163" s="80"/>
      <c r="AS163" s="80"/>
      <c r="AT163" s="80"/>
      <c r="AU163" s="80"/>
      <c r="AV163" s="80"/>
      <c r="AW163" s="82" t="str">
        <f t="shared" si="1"/>
        <v/>
      </c>
      <c r="AX163" s="83" t="str">
        <f t="array" ref="AX163">IFERROR(DGET('SBV Import'!A:G,"SBV",{"RSC ID","Tier";B163,A163}))</f>
        <v/>
      </c>
      <c r="AY163" s="82" t="str">
        <f t="shared" si="2"/>
        <v/>
      </c>
      <c r="AZ163" s="82"/>
      <c r="BA163" s="84" t="s">
        <v>152</v>
      </c>
      <c r="BB163" s="84" t="str">
        <f>IFERROR(__xludf.DUMMYFUNCTION("iferror(if(A163="""",,E163&gt;=FILTER(Constants!$F$2:$F$10,Constants!$A$2:$A$10=A163)))"),"")</f>
        <v/>
      </c>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2" t="str">
        <f t="shared" si="1"/>
        <v/>
      </c>
      <c r="AX164" s="83" t="str">
        <f t="array" ref="AX164">IFERROR(DGET('SBV Import'!A:G,"SBV",{"RSC ID","Tier";B164,A164}))</f>
        <v/>
      </c>
      <c r="AY164" s="82" t="str">
        <f t="shared" si="2"/>
        <v/>
      </c>
      <c r="AZ164" s="82"/>
      <c r="BA164" s="84" t="s">
        <v>152</v>
      </c>
      <c r="BB164" s="84" t="str">
        <f>IFERROR(__xludf.DUMMYFUNCTION("iferror(if(A164="""",,E164&gt;=FILTER(Constants!$F$2:$F$10,Constants!$A$2:$A$10=A164)))"),"")</f>
        <v/>
      </c>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2" t="str">
        <f t="shared" si="1"/>
        <v/>
      </c>
      <c r="AX165" s="83" t="str">
        <f t="array" ref="AX165">IFERROR(DGET('SBV Import'!A:G,"SBV",{"RSC ID","Tier";B165,A165}))</f>
        <v/>
      </c>
      <c r="AY165" s="82" t="str">
        <f t="shared" si="2"/>
        <v/>
      </c>
      <c r="AZ165" s="82"/>
      <c r="BA165" s="84" t="s">
        <v>152</v>
      </c>
      <c r="BB165" s="84" t="str">
        <f>IFERROR(__xludf.DUMMYFUNCTION("iferror(if(A165="""",,E165&gt;=FILTER(Constants!$F$2:$F$10,Constants!$A$2:$A$10=A165)))"),"")</f>
        <v/>
      </c>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0"/>
      <c r="AK166" s="80"/>
      <c r="AL166" s="80"/>
      <c r="AM166" s="80"/>
      <c r="AN166" s="80"/>
      <c r="AO166" s="80"/>
      <c r="AP166" s="80"/>
      <c r="AQ166" s="80"/>
      <c r="AR166" s="80"/>
      <c r="AS166" s="80"/>
      <c r="AT166" s="80"/>
      <c r="AU166" s="80"/>
      <c r="AV166" s="80"/>
      <c r="AW166" s="82" t="str">
        <f t="shared" si="1"/>
        <v/>
      </c>
      <c r="AX166" s="83" t="str">
        <f t="array" ref="AX166">IFERROR(DGET('SBV Import'!A:G,"SBV",{"RSC ID","Tier";B166,A166}))</f>
        <v/>
      </c>
      <c r="AY166" s="82" t="str">
        <f t="shared" si="2"/>
        <v/>
      </c>
      <c r="AZ166" s="82"/>
      <c r="BA166" s="84" t="s">
        <v>152</v>
      </c>
      <c r="BB166" s="84" t="str">
        <f>IFERROR(__xludf.DUMMYFUNCTION("iferror(if(A166="""",,E166&gt;=FILTER(Constants!$F$2:$F$10,Constants!$A$2:$A$10=A166)))"),"")</f>
        <v/>
      </c>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c r="AQ167" s="80"/>
      <c r="AR167" s="80"/>
      <c r="AS167" s="80"/>
      <c r="AT167" s="80"/>
      <c r="AU167" s="80"/>
      <c r="AV167" s="80"/>
      <c r="AW167" s="82" t="str">
        <f t="shared" si="1"/>
        <v/>
      </c>
      <c r="AX167" s="83" t="str">
        <f t="array" ref="AX167">IFERROR(DGET('SBV Import'!A:G,"SBV",{"RSC ID","Tier";B167,A167}))</f>
        <v/>
      </c>
      <c r="AY167" s="82" t="str">
        <f t="shared" si="2"/>
        <v/>
      </c>
      <c r="AZ167" s="82"/>
      <c r="BA167" s="84" t="s">
        <v>152</v>
      </c>
      <c r="BB167" s="84" t="str">
        <f>IFERROR(__xludf.DUMMYFUNCTION("iferror(if(A167="""",,E167&gt;=FILTER(Constants!$F$2:$F$10,Constants!$A$2:$A$10=A167)))"),"")</f>
        <v/>
      </c>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0"/>
      <c r="AK168" s="80"/>
      <c r="AL168" s="80"/>
      <c r="AM168" s="80"/>
      <c r="AN168" s="80"/>
      <c r="AO168" s="80"/>
      <c r="AP168" s="80"/>
      <c r="AQ168" s="80"/>
      <c r="AR168" s="80"/>
      <c r="AS168" s="80"/>
      <c r="AT168" s="80"/>
      <c r="AU168" s="80"/>
      <c r="AV168" s="80"/>
      <c r="AW168" s="82" t="str">
        <f t="shared" si="1"/>
        <v/>
      </c>
      <c r="AX168" s="83" t="str">
        <f t="array" ref="AX168">IFERROR(DGET('SBV Import'!A:G,"SBV",{"RSC ID","Tier";B168,A168}))</f>
        <v/>
      </c>
      <c r="AY168" s="82" t="str">
        <f t="shared" si="2"/>
        <v/>
      </c>
      <c r="AZ168" s="82"/>
      <c r="BA168" s="84" t="s">
        <v>152</v>
      </c>
      <c r="BB168" s="84" t="str">
        <f>IFERROR(__xludf.DUMMYFUNCTION("iferror(if(A168="""",,E168&gt;=FILTER(Constants!$F$2:$F$10,Constants!$A$2:$A$10=A168)))"),"")</f>
        <v/>
      </c>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c r="AJ169" s="80"/>
      <c r="AK169" s="80"/>
      <c r="AL169" s="80"/>
      <c r="AM169" s="80"/>
      <c r="AN169" s="80"/>
      <c r="AO169" s="80"/>
      <c r="AP169" s="80"/>
      <c r="AQ169" s="80"/>
      <c r="AR169" s="80"/>
      <c r="AS169" s="80"/>
      <c r="AT169" s="80"/>
      <c r="AU169" s="80"/>
      <c r="AV169" s="80"/>
      <c r="AW169" s="82" t="str">
        <f t="shared" si="1"/>
        <v/>
      </c>
      <c r="AX169" s="83" t="str">
        <f t="array" ref="AX169">IFERROR(DGET('SBV Import'!A:G,"SBV",{"RSC ID","Tier";B169,A169}))</f>
        <v/>
      </c>
      <c r="AY169" s="82" t="str">
        <f t="shared" si="2"/>
        <v/>
      </c>
      <c r="AZ169" s="82"/>
      <c r="BA169" s="84" t="s">
        <v>152</v>
      </c>
      <c r="BB169" s="84" t="str">
        <f>IFERROR(__xludf.DUMMYFUNCTION("iferror(if(A169="""",,E169&gt;=FILTER(Constants!$F$2:$F$10,Constants!$A$2:$A$10=A169)))"),"")</f>
        <v/>
      </c>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c r="AQ170" s="80"/>
      <c r="AR170" s="80"/>
      <c r="AS170" s="80"/>
      <c r="AT170" s="80"/>
      <c r="AU170" s="80"/>
      <c r="AV170" s="80"/>
      <c r="AW170" s="82" t="str">
        <f t="shared" si="1"/>
        <v/>
      </c>
      <c r="AX170" s="83" t="str">
        <f t="array" ref="AX170">IFERROR(DGET('SBV Import'!A:G,"SBV",{"RSC ID","Tier";B170,A170}))</f>
        <v/>
      </c>
      <c r="AY170" s="82" t="str">
        <f t="shared" si="2"/>
        <v/>
      </c>
      <c r="AZ170" s="82"/>
      <c r="BA170" s="84" t="s">
        <v>152</v>
      </c>
      <c r="BB170" s="84" t="str">
        <f>IFERROR(__xludf.DUMMYFUNCTION("iferror(if(A170="""",,E170&gt;=FILTER(Constants!$F$2:$F$10,Constants!$A$2:$A$10=A170)))"),"")</f>
        <v/>
      </c>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c r="AQ171" s="80"/>
      <c r="AR171" s="80"/>
      <c r="AS171" s="80"/>
      <c r="AT171" s="80"/>
      <c r="AU171" s="80"/>
      <c r="AV171" s="80"/>
      <c r="AW171" s="82" t="str">
        <f t="shared" si="1"/>
        <v/>
      </c>
      <c r="AX171" s="83" t="str">
        <f t="array" ref="AX171">IFERROR(DGET('SBV Import'!A:G,"SBV",{"RSC ID","Tier";B171,A171}))</f>
        <v/>
      </c>
      <c r="AY171" s="82" t="str">
        <f t="shared" si="2"/>
        <v/>
      </c>
      <c r="AZ171" s="82"/>
      <c r="BA171" s="84" t="s">
        <v>152</v>
      </c>
      <c r="BB171" s="84" t="str">
        <f>IFERROR(__xludf.DUMMYFUNCTION("iferror(if(A171="""",,E171&gt;=FILTER(Constants!$F$2:$F$10,Constants!$A$2:$A$10=A171)))"),"")</f>
        <v/>
      </c>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c r="AJ172" s="80"/>
      <c r="AK172" s="80"/>
      <c r="AL172" s="80"/>
      <c r="AM172" s="80"/>
      <c r="AN172" s="80"/>
      <c r="AO172" s="80"/>
      <c r="AP172" s="80"/>
      <c r="AQ172" s="80"/>
      <c r="AR172" s="80"/>
      <c r="AS172" s="80"/>
      <c r="AT172" s="80"/>
      <c r="AU172" s="80"/>
      <c r="AV172" s="80"/>
      <c r="AW172" s="82" t="str">
        <f t="shared" si="1"/>
        <v/>
      </c>
      <c r="AX172" s="83" t="str">
        <f t="array" ref="AX172">IFERROR(DGET('SBV Import'!A:G,"SBV",{"RSC ID","Tier";B172,A172}))</f>
        <v/>
      </c>
      <c r="AY172" s="82" t="str">
        <f t="shared" si="2"/>
        <v/>
      </c>
      <c r="AZ172" s="82"/>
      <c r="BA172" s="84" t="s">
        <v>152</v>
      </c>
      <c r="BB172" s="84" t="str">
        <f>IFERROR(__xludf.DUMMYFUNCTION("iferror(if(A172="""",,E172&gt;=FILTER(Constants!$F$2:$F$10,Constants!$A$2:$A$10=A172)))"),"")</f>
        <v/>
      </c>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80"/>
      <c r="AT173" s="80"/>
      <c r="AU173" s="80"/>
      <c r="AV173" s="80"/>
      <c r="AW173" s="82" t="str">
        <f t="shared" si="1"/>
        <v/>
      </c>
      <c r="AX173" s="83" t="str">
        <f t="array" ref="AX173">IFERROR(DGET('SBV Import'!A:G,"SBV",{"RSC ID","Tier";B173,A173}))</f>
        <v/>
      </c>
      <c r="AY173" s="82" t="str">
        <f t="shared" si="2"/>
        <v/>
      </c>
      <c r="AZ173" s="82"/>
      <c r="BA173" s="84" t="s">
        <v>152</v>
      </c>
      <c r="BB173" s="84" t="str">
        <f>IFERROR(__xludf.DUMMYFUNCTION("iferror(if(A173="""",,E173&gt;=FILTER(Constants!$F$2:$F$10,Constants!$A$2:$A$10=A173)))"),"")</f>
        <v/>
      </c>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c r="AQ174" s="80"/>
      <c r="AR174" s="80"/>
      <c r="AS174" s="80"/>
      <c r="AT174" s="80"/>
      <c r="AU174" s="80"/>
      <c r="AV174" s="80"/>
      <c r="AW174" s="82" t="str">
        <f t="shared" si="1"/>
        <v/>
      </c>
      <c r="AX174" s="83" t="str">
        <f t="array" ref="AX174">IFERROR(DGET('SBV Import'!A:G,"SBV",{"RSC ID","Tier";B174,A174}))</f>
        <v/>
      </c>
      <c r="AY174" s="82" t="str">
        <f t="shared" si="2"/>
        <v/>
      </c>
      <c r="AZ174" s="82"/>
      <c r="BA174" s="84" t="s">
        <v>152</v>
      </c>
      <c r="BB174" s="84" t="str">
        <f>IFERROR(__xludf.DUMMYFUNCTION("iferror(if(A174="""",,E174&gt;=FILTER(Constants!$F$2:$F$10,Constants!$A$2:$A$10=A174)))"),"")</f>
        <v/>
      </c>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c r="AQ175" s="80"/>
      <c r="AR175" s="80"/>
      <c r="AS175" s="80"/>
      <c r="AT175" s="80"/>
      <c r="AU175" s="80"/>
      <c r="AV175" s="80"/>
      <c r="AW175" s="82" t="str">
        <f t="shared" si="1"/>
        <v/>
      </c>
      <c r="AX175" s="83" t="str">
        <f t="array" ref="AX175">IFERROR(DGET('SBV Import'!A:G,"SBV",{"RSC ID","Tier";B175,A175}))</f>
        <v/>
      </c>
      <c r="AY175" s="82" t="str">
        <f t="shared" si="2"/>
        <v/>
      </c>
      <c r="AZ175" s="82"/>
      <c r="BA175" s="84" t="s">
        <v>152</v>
      </c>
      <c r="BB175" s="84" t="str">
        <f>IFERROR(__xludf.DUMMYFUNCTION("iferror(if(A175="""",,E175&gt;=FILTER(Constants!$F$2:$F$10,Constants!$A$2:$A$10=A175)))"),"")</f>
        <v/>
      </c>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c r="AJ176" s="80"/>
      <c r="AK176" s="80"/>
      <c r="AL176" s="80"/>
      <c r="AM176" s="80"/>
      <c r="AN176" s="80"/>
      <c r="AO176" s="80"/>
      <c r="AP176" s="80"/>
      <c r="AQ176" s="80"/>
      <c r="AR176" s="80"/>
      <c r="AS176" s="80"/>
      <c r="AT176" s="80"/>
      <c r="AU176" s="80"/>
      <c r="AV176" s="80"/>
      <c r="AW176" s="82" t="str">
        <f t="shared" si="1"/>
        <v/>
      </c>
      <c r="AX176" s="83" t="str">
        <f t="array" ref="AX176">IFERROR(DGET('SBV Import'!A:G,"SBV",{"RSC ID","Tier";B176,A176}))</f>
        <v/>
      </c>
      <c r="AY176" s="82" t="str">
        <f t="shared" si="2"/>
        <v/>
      </c>
      <c r="AZ176" s="82"/>
      <c r="BA176" s="84" t="s">
        <v>152</v>
      </c>
      <c r="BB176" s="84" t="str">
        <f>IFERROR(__xludf.DUMMYFUNCTION("iferror(if(A176="""",,E176&gt;=FILTER(Constants!$F$2:$F$10,Constants!$A$2:$A$10=A176)))"),"")</f>
        <v/>
      </c>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c r="AQ177" s="80"/>
      <c r="AR177" s="80"/>
      <c r="AS177" s="80"/>
      <c r="AT177" s="80"/>
      <c r="AU177" s="80"/>
      <c r="AV177" s="80"/>
      <c r="AW177" s="82" t="str">
        <f t="shared" si="1"/>
        <v/>
      </c>
      <c r="AX177" s="83" t="str">
        <f t="array" ref="AX177">IFERROR(DGET('SBV Import'!A:G,"SBV",{"RSC ID","Tier";B177,A177}))</f>
        <v/>
      </c>
      <c r="AY177" s="82" t="str">
        <f t="shared" si="2"/>
        <v/>
      </c>
      <c r="AZ177" s="82"/>
      <c r="BA177" s="84" t="s">
        <v>152</v>
      </c>
      <c r="BB177" s="84" t="str">
        <f>IFERROR(__xludf.DUMMYFUNCTION("iferror(if(A177="""",,E177&gt;=FILTER(Constants!$F$2:$F$10,Constants!$A$2:$A$10=A177)))"),"")</f>
        <v/>
      </c>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c r="AQ178" s="80"/>
      <c r="AR178" s="80"/>
      <c r="AS178" s="80"/>
      <c r="AT178" s="80"/>
      <c r="AU178" s="80"/>
      <c r="AV178" s="80"/>
      <c r="AW178" s="82" t="str">
        <f t="shared" si="1"/>
        <v/>
      </c>
      <c r="AX178" s="83" t="str">
        <f t="array" ref="AX178">IFERROR(DGET('SBV Import'!A:G,"SBV",{"RSC ID","Tier";B178,A178}))</f>
        <v/>
      </c>
      <c r="AY178" s="82" t="str">
        <f t="shared" si="2"/>
        <v/>
      </c>
      <c r="AZ178" s="82"/>
      <c r="BA178" s="84" t="s">
        <v>152</v>
      </c>
      <c r="BB178" s="84" t="str">
        <f>IFERROR(__xludf.DUMMYFUNCTION("iferror(if(A178="""",,E178&gt;=FILTER(Constants!$F$2:$F$10,Constants!$A$2:$A$10=A178)))"),"")</f>
        <v/>
      </c>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c r="AQ179" s="80"/>
      <c r="AR179" s="80"/>
      <c r="AS179" s="80"/>
      <c r="AT179" s="80"/>
      <c r="AU179" s="80"/>
      <c r="AV179" s="80"/>
      <c r="AW179" s="82" t="str">
        <f t="shared" si="1"/>
        <v/>
      </c>
      <c r="AX179" s="83" t="str">
        <f t="array" ref="AX179">IFERROR(DGET('SBV Import'!A:G,"SBV",{"RSC ID","Tier";B179,A179}))</f>
        <v/>
      </c>
      <c r="AY179" s="82" t="str">
        <f t="shared" si="2"/>
        <v/>
      </c>
      <c r="AZ179" s="82"/>
      <c r="BA179" s="84" t="s">
        <v>152</v>
      </c>
      <c r="BB179" s="84" t="str">
        <f>IFERROR(__xludf.DUMMYFUNCTION("iferror(if(A179="""",,E179&gt;=FILTER(Constants!$F$2:$F$10,Constants!$A$2:$A$10=A179)))"),"")</f>
        <v/>
      </c>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0"/>
      <c r="AW180" s="82" t="str">
        <f t="shared" si="1"/>
        <v/>
      </c>
      <c r="AX180" s="83" t="str">
        <f t="array" ref="AX180">IFERROR(DGET('SBV Import'!A:G,"SBV",{"RSC ID","Tier";B180,A180}))</f>
        <v/>
      </c>
      <c r="AY180" s="82" t="str">
        <f t="shared" si="2"/>
        <v/>
      </c>
      <c r="AZ180" s="82"/>
      <c r="BA180" s="84" t="s">
        <v>152</v>
      </c>
      <c r="BB180" s="84" t="str">
        <f>IFERROR(__xludf.DUMMYFUNCTION("iferror(if(A180="""",,E180&gt;=FILTER(Constants!$F$2:$F$10,Constants!$A$2:$A$10=A180)))"),"")</f>
        <v/>
      </c>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c r="AJ181" s="80"/>
      <c r="AK181" s="80"/>
      <c r="AL181" s="80"/>
      <c r="AM181" s="80"/>
      <c r="AN181" s="80"/>
      <c r="AO181" s="80"/>
      <c r="AP181" s="80"/>
      <c r="AQ181" s="80"/>
      <c r="AR181" s="80"/>
      <c r="AS181" s="80"/>
      <c r="AT181" s="80"/>
      <c r="AU181" s="80"/>
      <c r="AV181" s="80"/>
      <c r="AW181" s="82" t="str">
        <f t="shared" si="1"/>
        <v/>
      </c>
      <c r="AX181" s="83" t="str">
        <f t="array" ref="AX181">IFERROR(DGET('SBV Import'!A:G,"SBV",{"RSC ID","Tier";B181,A181}))</f>
        <v/>
      </c>
      <c r="AY181" s="82" t="str">
        <f t="shared" si="2"/>
        <v/>
      </c>
      <c r="AZ181" s="82"/>
      <c r="BA181" s="84" t="s">
        <v>152</v>
      </c>
      <c r="BB181" s="84" t="str">
        <f>IFERROR(__xludf.DUMMYFUNCTION("iferror(if(A181="""",,E181&gt;=FILTER(Constants!$F$2:$F$10,Constants!$A$2:$A$10=A181)))"),"")</f>
        <v/>
      </c>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2" t="str">
        <f t="shared" si="1"/>
        <v/>
      </c>
      <c r="AX182" s="83" t="str">
        <f t="array" ref="AX182">IFERROR(DGET('SBV Import'!A:G,"SBV",{"RSC ID","Tier";B182,A182}))</f>
        <v/>
      </c>
      <c r="AY182" s="82" t="str">
        <f t="shared" si="2"/>
        <v/>
      </c>
      <c r="AZ182" s="82"/>
      <c r="BA182" s="84" t="s">
        <v>152</v>
      </c>
      <c r="BB182" s="84" t="str">
        <f>IFERROR(__xludf.DUMMYFUNCTION("iferror(if(A182="""",,E182&gt;=FILTER(Constants!$F$2:$F$10,Constants!$A$2:$A$10=A182)))"),"")</f>
        <v/>
      </c>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c r="AJ183" s="80"/>
      <c r="AK183" s="80"/>
      <c r="AL183" s="80"/>
      <c r="AM183" s="80"/>
      <c r="AN183" s="80"/>
      <c r="AO183" s="80"/>
      <c r="AP183" s="80"/>
      <c r="AQ183" s="80"/>
      <c r="AR183" s="80"/>
      <c r="AS183" s="80"/>
      <c r="AT183" s="80"/>
      <c r="AU183" s="80"/>
      <c r="AV183" s="80"/>
      <c r="AW183" s="82" t="str">
        <f t="shared" si="1"/>
        <v/>
      </c>
      <c r="AX183" s="83" t="str">
        <f t="array" ref="AX183">IFERROR(DGET('SBV Import'!A:G,"SBV",{"RSC ID","Tier";B183,A183}))</f>
        <v/>
      </c>
      <c r="AY183" s="82" t="str">
        <f t="shared" si="2"/>
        <v/>
      </c>
      <c r="AZ183" s="82"/>
      <c r="BA183" s="84" t="s">
        <v>152</v>
      </c>
      <c r="BB183" s="84" t="str">
        <f>IFERROR(__xludf.DUMMYFUNCTION("iferror(if(A183="""",,E183&gt;=FILTER(Constants!$F$2:$F$10,Constants!$A$2:$A$10=A183)))"),"")</f>
        <v/>
      </c>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c r="AJ184" s="80"/>
      <c r="AK184" s="80"/>
      <c r="AL184" s="80"/>
      <c r="AM184" s="80"/>
      <c r="AN184" s="80"/>
      <c r="AO184" s="80"/>
      <c r="AP184" s="80"/>
      <c r="AQ184" s="80"/>
      <c r="AR184" s="80"/>
      <c r="AS184" s="80"/>
      <c r="AT184" s="80"/>
      <c r="AU184" s="80"/>
      <c r="AV184" s="80"/>
      <c r="AW184" s="82" t="str">
        <f t="shared" si="1"/>
        <v/>
      </c>
      <c r="AX184" s="83" t="str">
        <f t="array" ref="AX184">IFERROR(DGET('SBV Import'!A:G,"SBV",{"RSC ID","Tier";B184,A184}))</f>
        <v/>
      </c>
      <c r="AY184" s="82" t="str">
        <f t="shared" si="2"/>
        <v/>
      </c>
      <c r="AZ184" s="82"/>
      <c r="BA184" s="84" t="s">
        <v>152</v>
      </c>
      <c r="BB184" s="84" t="str">
        <f>IFERROR(__xludf.DUMMYFUNCTION("iferror(if(A184="""",,E184&gt;=FILTER(Constants!$F$2:$F$10,Constants!$A$2:$A$10=A184)))"),"")</f>
        <v/>
      </c>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c r="AJ185" s="80"/>
      <c r="AK185" s="80"/>
      <c r="AL185" s="80"/>
      <c r="AM185" s="80"/>
      <c r="AN185" s="80"/>
      <c r="AO185" s="80"/>
      <c r="AP185" s="80"/>
      <c r="AQ185" s="80"/>
      <c r="AR185" s="80"/>
      <c r="AS185" s="80"/>
      <c r="AT185" s="80"/>
      <c r="AU185" s="80"/>
      <c r="AV185" s="80"/>
      <c r="AW185" s="82" t="str">
        <f t="shared" si="1"/>
        <v/>
      </c>
      <c r="AX185" s="83" t="str">
        <f t="array" ref="AX185">IFERROR(DGET('SBV Import'!A:G,"SBV",{"RSC ID","Tier";B185,A185}))</f>
        <v/>
      </c>
      <c r="AY185" s="82" t="str">
        <f t="shared" si="2"/>
        <v/>
      </c>
      <c r="AZ185" s="82"/>
      <c r="BA185" s="84" t="s">
        <v>152</v>
      </c>
      <c r="BB185" s="84" t="str">
        <f>IFERROR(__xludf.DUMMYFUNCTION("iferror(if(A185="""",,E185&gt;=FILTER(Constants!$F$2:$F$10,Constants!$A$2:$A$10=A185)))"),"")</f>
        <v/>
      </c>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c r="AQ186" s="80"/>
      <c r="AR186" s="80"/>
      <c r="AS186" s="80"/>
      <c r="AT186" s="80"/>
      <c r="AU186" s="80"/>
      <c r="AV186" s="80"/>
      <c r="AW186" s="82" t="str">
        <f t="shared" si="1"/>
        <v/>
      </c>
      <c r="AX186" s="83" t="str">
        <f t="array" ref="AX186">IFERROR(DGET('SBV Import'!A:G,"SBV",{"RSC ID","Tier";B186,A186}))</f>
        <v/>
      </c>
      <c r="AY186" s="82" t="str">
        <f t="shared" si="2"/>
        <v/>
      </c>
      <c r="AZ186" s="82"/>
      <c r="BA186" s="84" t="s">
        <v>152</v>
      </c>
      <c r="BB186" s="84" t="str">
        <f>IFERROR(__xludf.DUMMYFUNCTION("iferror(if(A186="""",,E186&gt;=FILTER(Constants!$F$2:$F$10,Constants!$A$2:$A$10=A186)))"),"")</f>
        <v/>
      </c>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c r="AQ187" s="80"/>
      <c r="AR187" s="80"/>
      <c r="AS187" s="80"/>
      <c r="AT187" s="80"/>
      <c r="AU187" s="80"/>
      <c r="AV187" s="80"/>
      <c r="AW187" s="82" t="str">
        <f t="shared" si="1"/>
        <v/>
      </c>
      <c r="AX187" s="83" t="str">
        <f t="array" ref="AX187">IFERROR(DGET('SBV Import'!A:G,"SBV",{"RSC ID","Tier";B187,A187}))</f>
        <v/>
      </c>
      <c r="AY187" s="82" t="str">
        <f t="shared" si="2"/>
        <v/>
      </c>
      <c r="AZ187" s="82"/>
      <c r="BA187" s="84" t="s">
        <v>152</v>
      </c>
      <c r="BB187" s="84" t="str">
        <f>IFERROR(__xludf.DUMMYFUNCTION("iferror(if(A187="""",,E187&gt;=FILTER(Constants!$F$2:$F$10,Constants!$A$2:$A$10=A187)))"),"")</f>
        <v/>
      </c>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c r="AJ188" s="80"/>
      <c r="AK188" s="80"/>
      <c r="AL188" s="80"/>
      <c r="AM188" s="80"/>
      <c r="AN188" s="80"/>
      <c r="AO188" s="80"/>
      <c r="AP188" s="80"/>
      <c r="AQ188" s="80"/>
      <c r="AR188" s="80"/>
      <c r="AS188" s="80"/>
      <c r="AT188" s="80"/>
      <c r="AU188" s="80"/>
      <c r="AV188" s="80"/>
      <c r="AW188" s="82" t="str">
        <f t="shared" si="1"/>
        <v/>
      </c>
      <c r="AX188" s="83" t="str">
        <f t="array" ref="AX188">IFERROR(DGET('SBV Import'!A:G,"SBV",{"RSC ID","Tier";B188,A188}))</f>
        <v/>
      </c>
      <c r="AY188" s="82" t="str">
        <f t="shared" si="2"/>
        <v/>
      </c>
      <c r="AZ188" s="82"/>
      <c r="BA188" s="84" t="s">
        <v>152</v>
      </c>
      <c r="BB188" s="84" t="str">
        <f>IFERROR(__xludf.DUMMYFUNCTION("iferror(if(A188="""",,E188&gt;=FILTER(Constants!$F$2:$F$10,Constants!$A$2:$A$10=A188)))"),"")</f>
        <v/>
      </c>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c r="AJ189" s="80"/>
      <c r="AK189" s="80"/>
      <c r="AL189" s="80"/>
      <c r="AM189" s="80"/>
      <c r="AN189" s="80"/>
      <c r="AO189" s="80"/>
      <c r="AP189" s="80"/>
      <c r="AQ189" s="80"/>
      <c r="AR189" s="80"/>
      <c r="AS189" s="80"/>
      <c r="AT189" s="80"/>
      <c r="AU189" s="80"/>
      <c r="AV189" s="80"/>
      <c r="AW189" s="82" t="str">
        <f t="shared" si="1"/>
        <v/>
      </c>
      <c r="AX189" s="83" t="str">
        <f t="array" ref="AX189">IFERROR(DGET('SBV Import'!A:G,"SBV",{"RSC ID","Tier";B189,A189}))</f>
        <v/>
      </c>
      <c r="AY189" s="82" t="str">
        <f t="shared" si="2"/>
        <v/>
      </c>
      <c r="AZ189" s="82"/>
      <c r="BA189" s="84" t="s">
        <v>152</v>
      </c>
      <c r="BB189" s="84" t="str">
        <f>IFERROR(__xludf.DUMMYFUNCTION("iferror(if(A189="""",,E189&gt;=FILTER(Constants!$F$2:$F$10,Constants!$A$2:$A$10=A189)))"),"")</f>
        <v/>
      </c>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c r="AJ190" s="80"/>
      <c r="AK190" s="80"/>
      <c r="AL190" s="80"/>
      <c r="AM190" s="80"/>
      <c r="AN190" s="80"/>
      <c r="AO190" s="80"/>
      <c r="AP190" s="80"/>
      <c r="AQ190" s="80"/>
      <c r="AR190" s="80"/>
      <c r="AS190" s="80"/>
      <c r="AT190" s="80"/>
      <c r="AU190" s="80"/>
      <c r="AV190" s="80"/>
      <c r="AW190" s="82" t="str">
        <f t="shared" si="1"/>
        <v/>
      </c>
      <c r="AX190" s="83" t="str">
        <f t="array" ref="AX190">IFERROR(DGET('SBV Import'!A:G,"SBV",{"RSC ID","Tier";B190,A190}))</f>
        <v/>
      </c>
      <c r="AY190" s="82" t="str">
        <f t="shared" si="2"/>
        <v/>
      </c>
      <c r="AZ190" s="82"/>
      <c r="BA190" s="84" t="s">
        <v>152</v>
      </c>
      <c r="BB190" s="84" t="str">
        <f>IFERROR(__xludf.DUMMYFUNCTION("iferror(if(A190="""",,E190&gt;=FILTER(Constants!$F$2:$F$10,Constants!$A$2:$A$10=A190)))"),"")</f>
        <v/>
      </c>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c r="AQ191" s="80"/>
      <c r="AR191" s="80"/>
      <c r="AS191" s="80"/>
      <c r="AT191" s="80"/>
      <c r="AU191" s="80"/>
      <c r="AV191" s="80"/>
      <c r="AW191" s="82" t="str">
        <f t="shared" si="1"/>
        <v/>
      </c>
      <c r="AX191" s="83" t="str">
        <f t="array" ref="AX191">IFERROR(DGET('SBV Import'!A:G,"SBV",{"RSC ID","Tier";B191,A191}))</f>
        <v/>
      </c>
      <c r="AY191" s="82" t="str">
        <f t="shared" si="2"/>
        <v/>
      </c>
      <c r="AZ191" s="82"/>
      <c r="BA191" s="84" t="s">
        <v>152</v>
      </c>
      <c r="BB191" s="84" t="str">
        <f>IFERROR(__xludf.DUMMYFUNCTION("iferror(if(A191="""",,E191&gt;=FILTER(Constants!$F$2:$F$10,Constants!$A$2:$A$10=A191)))"),"")</f>
        <v/>
      </c>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c r="AQ192" s="80"/>
      <c r="AR192" s="80"/>
      <c r="AS192" s="80"/>
      <c r="AT192" s="80"/>
      <c r="AU192" s="80"/>
      <c r="AV192" s="80"/>
      <c r="AW192" s="82" t="str">
        <f t="shared" si="1"/>
        <v/>
      </c>
      <c r="AX192" s="83" t="str">
        <f t="array" ref="AX192">IFERROR(DGET('SBV Import'!A:G,"SBV",{"RSC ID","Tier";B192,A192}))</f>
        <v/>
      </c>
      <c r="AY192" s="82" t="str">
        <f t="shared" si="2"/>
        <v/>
      </c>
      <c r="AZ192" s="82"/>
      <c r="BA192" s="84" t="s">
        <v>152</v>
      </c>
      <c r="BB192" s="84" t="str">
        <f>IFERROR(__xludf.DUMMYFUNCTION("iferror(if(A192="""",,E192&gt;=FILTER(Constants!$F$2:$F$10,Constants!$A$2:$A$10=A192)))"),"")</f>
        <v/>
      </c>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c r="AQ193" s="80"/>
      <c r="AR193" s="80"/>
      <c r="AS193" s="80"/>
      <c r="AT193" s="80"/>
      <c r="AU193" s="80"/>
      <c r="AV193" s="80"/>
      <c r="AW193" s="82" t="str">
        <f t="shared" si="1"/>
        <v/>
      </c>
      <c r="AX193" s="83" t="str">
        <f t="array" ref="AX193">IFERROR(DGET('SBV Import'!A:G,"SBV",{"RSC ID","Tier";B193,A193}))</f>
        <v/>
      </c>
      <c r="AY193" s="82" t="str">
        <f t="shared" si="2"/>
        <v/>
      </c>
      <c r="AZ193" s="82"/>
      <c r="BA193" s="84" t="s">
        <v>152</v>
      </c>
      <c r="BB193" s="84" t="str">
        <f>IFERROR(__xludf.DUMMYFUNCTION("iferror(if(A193="""",,E193&gt;=FILTER(Constants!$F$2:$F$10,Constants!$A$2:$A$10=A193)))"),"")</f>
        <v/>
      </c>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c r="AJ194" s="80"/>
      <c r="AK194" s="80"/>
      <c r="AL194" s="80"/>
      <c r="AM194" s="80"/>
      <c r="AN194" s="80"/>
      <c r="AO194" s="80"/>
      <c r="AP194" s="80"/>
      <c r="AQ194" s="80"/>
      <c r="AR194" s="80"/>
      <c r="AS194" s="80"/>
      <c r="AT194" s="80"/>
      <c r="AU194" s="80"/>
      <c r="AV194" s="80"/>
      <c r="AW194" s="82" t="str">
        <f t="shared" si="1"/>
        <v/>
      </c>
      <c r="AX194" s="83" t="str">
        <f t="array" ref="AX194">IFERROR(DGET('SBV Import'!A:G,"SBV",{"RSC ID","Tier";B194,A194}))</f>
        <v/>
      </c>
      <c r="AY194" s="82" t="str">
        <f t="shared" si="2"/>
        <v/>
      </c>
      <c r="AZ194" s="82"/>
      <c r="BA194" s="84" t="s">
        <v>152</v>
      </c>
      <c r="BB194" s="84" t="str">
        <f>IFERROR(__xludf.DUMMYFUNCTION("iferror(if(A194="""",,E194&gt;=FILTER(Constants!$F$2:$F$10,Constants!$A$2:$A$10=A194)))"),"")</f>
        <v/>
      </c>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80"/>
      <c r="AL195" s="80"/>
      <c r="AM195" s="80"/>
      <c r="AN195" s="80"/>
      <c r="AO195" s="80"/>
      <c r="AP195" s="80"/>
      <c r="AQ195" s="80"/>
      <c r="AR195" s="80"/>
      <c r="AS195" s="80"/>
      <c r="AT195" s="80"/>
      <c r="AU195" s="80"/>
      <c r="AV195" s="80"/>
      <c r="AW195" s="82" t="str">
        <f t="shared" si="1"/>
        <v/>
      </c>
      <c r="AX195" s="83" t="str">
        <f t="array" ref="AX195">IFERROR(DGET('SBV Import'!A:G,"SBV",{"RSC ID","Tier";B195,A195}))</f>
        <v/>
      </c>
      <c r="AY195" s="82" t="str">
        <f t="shared" si="2"/>
        <v/>
      </c>
      <c r="AZ195" s="82"/>
      <c r="BA195" s="84" t="s">
        <v>152</v>
      </c>
      <c r="BB195" s="84" t="str">
        <f>IFERROR(__xludf.DUMMYFUNCTION("iferror(if(A195="""",,E195&gt;=FILTER(Constants!$F$2:$F$10,Constants!$A$2:$A$10=A195)))"),"")</f>
        <v/>
      </c>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c r="AJ196" s="80"/>
      <c r="AK196" s="80"/>
      <c r="AL196" s="80"/>
      <c r="AM196" s="80"/>
      <c r="AN196" s="80"/>
      <c r="AO196" s="80"/>
      <c r="AP196" s="80"/>
      <c r="AQ196" s="80"/>
      <c r="AR196" s="80"/>
      <c r="AS196" s="80"/>
      <c r="AT196" s="80"/>
      <c r="AU196" s="80"/>
      <c r="AV196" s="80"/>
      <c r="AW196" s="82" t="str">
        <f t="shared" si="1"/>
        <v/>
      </c>
      <c r="AX196" s="83" t="str">
        <f t="array" ref="AX196">IFERROR(DGET('SBV Import'!A:G,"SBV",{"RSC ID","Tier";B196,A196}))</f>
        <v/>
      </c>
      <c r="AY196" s="82" t="str">
        <f t="shared" si="2"/>
        <v/>
      </c>
      <c r="AZ196" s="82"/>
      <c r="BA196" s="84" t="s">
        <v>152</v>
      </c>
      <c r="BB196" s="84" t="str">
        <f>IFERROR(__xludf.DUMMYFUNCTION("iferror(if(A196="""",,E196&gt;=FILTER(Constants!$F$2:$F$10,Constants!$A$2:$A$10=A196)))"),"")</f>
        <v/>
      </c>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c r="AJ197" s="80"/>
      <c r="AK197" s="80"/>
      <c r="AL197" s="80"/>
      <c r="AM197" s="80"/>
      <c r="AN197" s="80"/>
      <c r="AO197" s="80"/>
      <c r="AP197" s="80"/>
      <c r="AQ197" s="80"/>
      <c r="AR197" s="80"/>
      <c r="AS197" s="80"/>
      <c r="AT197" s="80"/>
      <c r="AU197" s="80"/>
      <c r="AV197" s="80"/>
      <c r="AW197" s="82" t="str">
        <f t="shared" si="1"/>
        <v/>
      </c>
      <c r="AX197" s="83" t="str">
        <f t="array" ref="AX197">IFERROR(DGET('SBV Import'!A:G,"SBV",{"RSC ID","Tier";B197,A197}))</f>
        <v/>
      </c>
      <c r="AY197" s="82" t="str">
        <f t="shared" si="2"/>
        <v/>
      </c>
      <c r="AZ197" s="82"/>
      <c r="BA197" s="84" t="s">
        <v>152</v>
      </c>
      <c r="BB197" s="84" t="str">
        <f>IFERROR(__xludf.DUMMYFUNCTION("iferror(if(A197="""",,E197&gt;=FILTER(Constants!$F$2:$F$10,Constants!$A$2:$A$10=A197)))"),"")</f>
        <v/>
      </c>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c r="AQ198" s="80"/>
      <c r="AR198" s="80"/>
      <c r="AS198" s="80"/>
      <c r="AT198" s="80"/>
      <c r="AU198" s="80"/>
      <c r="AV198" s="80"/>
      <c r="AW198" s="82" t="str">
        <f t="shared" si="1"/>
        <v/>
      </c>
      <c r="AX198" s="83" t="str">
        <f t="array" ref="AX198">IFERROR(DGET('SBV Import'!A:G,"SBV",{"RSC ID","Tier";B198,A198}))</f>
        <v/>
      </c>
      <c r="AY198" s="82" t="str">
        <f t="shared" si="2"/>
        <v/>
      </c>
      <c r="AZ198" s="82"/>
      <c r="BA198" s="84" t="s">
        <v>152</v>
      </c>
      <c r="BB198" s="84" t="str">
        <f>IFERROR(__xludf.DUMMYFUNCTION("iferror(if(A198="""",,E198&gt;=FILTER(Constants!$F$2:$F$10,Constants!$A$2:$A$10=A198)))"),"")</f>
        <v/>
      </c>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c r="AJ199" s="80"/>
      <c r="AK199" s="80"/>
      <c r="AL199" s="80"/>
      <c r="AM199" s="80"/>
      <c r="AN199" s="80"/>
      <c r="AO199" s="80"/>
      <c r="AP199" s="80"/>
      <c r="AQ199" s="80"/>
      <c r="AR199" s="80"/>
      <c r="AS199" s="80"/>
      <c r="AT199" s="80"/>
      <c r="AU199" s="80"/>
      <c r="AV199" s="80"/>
      <c r="AW199" s="82" t="str">
        <f t="shared" si="1"/>
        <v/>
      </c>
      <c r="AX199" s="83" t="str">
        <f t="array" ref="AX199">IFERROR(DGET('SBV Import'!A:G,"SBV",{"RSC ID","Tier";B199,A199}))</f>
        <v/>
      </c>
      <c r="AY199" s="82" t="str">
        <f t="shared" si="2"/>
        <v/>
      </c>
      <c r="AZ199" s="82"/>
      <c r="BA199" s="84" t="s">
        <v>152</v>
      </c>
      <c r="BB199" s="84" t="str">
        <f>IFERROR(__xludf.DUMMYFUNCTION("iferror(if(A199="""",,E199&gt;=FILTER(Constants!$F$2:$F$10,Constants!$A$2:$A$10=A199)))"),"")</f>
        <v/>
      </c>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c r="AJ200" s="80"/>
      <c r="AK200" s="80"/>
      <c r="AL200" s="80"/>
      <c r="AM200" s="80"/>
      <c r="AN200" s="80"/>
      <c r="AO200" s="80"/>
      <c r="AP200" s="80"/>
      <c r="AQ200" s="80"/>
      <c r="AR200" s="80"/>
      <c r="AS200" s="80"/>
      <c r="AT200" s="80"/>
      <c r="AU200" s="80"/>
      <c r="AV200" s="80"/>
      <c r="AW200" s="82" t="str">
        <f t="shared" si="1"/>
        <v/>
      </c>
      <c r="AX200" s="83" t="str">
        <f t="array" ref="AX200">IFERROR(DGET('SBV Import'!A:G,"SBV",{"RSC ID","Tier";B200,A200}))</f>
        <v/>
      </c>
      <c r="AY200" s="82" t="str">
        <f t="shared" si="2"/>
        <v/>
      </c>
      <c r="AZ200" s="82"/>
      <c r="BA200" s="84" t="s">
        <v>152</v>
      </c>
      <c r="BB200" s="84" t="str">
        <f>IFERROR(__xludf.DUMMYFUNCTION("iferror(if(A200="""",,E200&gt;=FILTER(Constants!$F$2:$F$10,Constants!$A$2:$A$10=A200)))"),"")</f>
        <v/>
      </c>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c r="AJ201" s="80"/>
      <c r="AK201" s="80"/>
      <c r="AL201" s="80"/>
      <c r="AM201" s="80"/>
      <c r="AN201" s="80"/>
      <c r="AO201" s="80"/>
      <c r="AP201" s="80"/>
      <c r="AQ201" s="80"/>
      <c r="AR201" s="80"/>
      <c r="AS201" s="80"/>
      <c r="AT201" s="80"/>
      <c r="AU201" s="80"/>
      <c r="AV201" s="80"/>
      <c r="AW201" s="82" t="str">
        <f t="shared" si="1"/>
        <v/>
      </c>
      <c r="AX201" s="83" t="str">
        <f t="array" ref="AX201">IFERROR(DGET('SBV Import'!A:G,"SBV",{"RSC ID","Tier";B201,A201}))</f>
        <v/>
      </c>
      <c r="AY201" s="82" t="str">
        <f t="shared" si="2"/>
        <v/>
      </c>
      <c r="AZ201" s="82"/>
      <c r="BA201" s="84" t="s">
        <v>152</v>
      </c>
      <c r="BB201" s="84" t="str">
        <f>IFERROR(__xludf.DUMMYFUNCTION("iferror(if(A201="""",,E201&gt;=FILTER(Constants!$F$2:$F$10,Constants!$A$2:$A$10=A201)))"),"")</f>
        <v/>
      </c>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c r="AQ202" s="80"/>
      <c r="AR202" s="80"/>
      <c r="AS202" s="80"/>
      <c r="AT202" s="80"/>
      <c r="AU202" s="80"/>
      <c r="AV202" s="80"/>
      <c r="AW202" s="82" t="str">
        <f t="shared" si="1"/>
        <v/>
      </c>
      <c r="AX202" s="83" t="str">
        <f t="array" ref="AX202">IFERROR(DGET('SBV Import'!A:G,"SBV",{"RSC ID","Tier";B202,A202}))</f>
        <v/>
      </c>
      <c r="AY202" s="82" t="str">
        <f t="shared" si="2"/>
        <v/>
      </c>
      <c r="AZ202" s="82"/>
      <c r="BA202" s="84" t="s">
        <v>152</v>
      </c>
      <c r="BB202" s="84" t="str">
        <f>IFERROR(__xludf.DUMMYFUNCTION("iferror(if(A202="""",,E202&gt;=FILTER(Constants!$F$2:$F$10,Constants!$A$2:$A$10=A202)))"),"")</f>
        <v/>
      </c>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c r="AQ203" s="80"/>
      <c r="AR203" s="80"/>
      <c r="AS203" s="80"/>
      <c r="AT203" s="80"/>
      <c r="AU203" s="80"/>
      <c r="AV203" s="80"/>
      <c r="AW203" s="82" t="str">
        <f t="shared" si="1"/>
        <v/>
      </c>
      <c r="AX203" s="83" t="str">
        <f t="array" ref="AX203">IFERROR(DGET('SBV Import'!A:G,"SBV",{"RSC ID","Tier";B203,A203}))</f>
        <v/>
      </c>
      <c r="AY203" s="82" t="str">
        <f t="shared" si="2"/>
        <v/>
      </c>
      <c r="AZ203" s="82"/>
      <c r="BA203" s="84" t="s">
        <v>152</v>
      </c>
      <c r="BB203" s="84" t="str">
        <f>IFERROR(__xludf.DUMMYFUNCTION("iferror(if(A203="""",,E203&gt;=FILTER(Constants!$F$2:$F$10,Constants!$A$2:$A$10=A203)))"),"")</f>
        <v/>
      </c>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c r="AJ204" s="80"/>
      <c r="AK204" s="80"/>
      <c r="AL204" s="80"/>
      <c r="AM204" s="80"/>
      <c r="AN204" s="80"/>
      <c r="AO204" s="80"/>
      <c r="AP204" s="80"/>
      <c r="AQ204" s="80"/>
      <c r="AR204" s="80"/>
      <c r="AS204" s="80"/>
      <c r="AT204" s="80"/>
      <c r="AU204" s="80"/>
      <c r="AV204" s="80"/>
      <c r="AW204" s="82" t="str">
        <f t="shared" si="1"/>
        <v/>
      </c>
      <c r="AX204" s="83" t="str">
        <f t="array" ref="AX204">IFERROR(DGET('SBV Import'!A:G,"SBV",{"RSC ID","Tier";B204,A204}))</f>
        <v/>
      </c>
      <c r="AY204" s="82" t="str">
        <f t="shared" si="2"/>
        <v/>
      </c>
      <c r="AZ204" s="82"/>
      <c r="BA204" s="84" t="s">
        <v>152</v>
      </c>
      <c r="BB204" s="84" t="str">
        <f>IFERROR(__xludf.DUMMYFUNCTION("iferror(if(A204="""",,E204&gt;=FILTER(Constants!$F$2:$F$10,Constants!$A$2:$A$10=A204)))"),"")</f>
        <v/>
      </c>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c r="AJ205" s="80"/>
      <c r="AK205" s="80"/>
      <c r="AL205" s="80"/>
      <c r="AM205" s="80"/>
      <c r="AN205" s="80"/>
      <c r="AO205" s="80"/>
      <c r="AP205" s="80"/>
      <c r="AQ205" s="80"/>
      <c r="AR205" s="80"/>
      <c r="AS205" s="80"/>
      <c r="AT205" s="80"/>
      <c r="AU205" s="80"/>
      <c r="AV205" s="80"/>
      <c r="AW205" s="82" t="str">
        <f t="shared" si="1"/>
        <v/>
      </c>
      <c r="AX205" s="83" t="str">
        <f t="array" ref="AX205">IFERROR(DGET('SBV Import'!A:G,"SBV",{"RSC ID","Tier";B205,A205}))</f>
        <v/>
      </c>
      <c r="AY205" s="82" t="str">
        <f t="shared" si="2"/>
        <v/>
      </c>
      <c r="AZ205" s="82"/>
      <c r="BA205" s="84" t="s">
        <v>152</v>
      </c>
      <c r="BB205" s="84" t="str">
        <f>IFERROR(__xludf.DUMMYFUNCTION("iferror(if(A205="""",,E205&gt;=FILTER(Constants!$F$2:$F$10,Constants!$A$2:$A$10=A205)))"),"")</f>
        <v/>
      </c>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c r="AJ206" s="80"/>
      <c r="AK206" s="80"/>
      <c r="AL206" s="80"/>
      <c r="AM206" s="80"/>
      <c r="AN206" s="80"/>
      <c r="AO206" s="80"/>
      <c r="AP206" s="80"/>
      <c r="AQ206" s="80"/>
      <c r="AR206" s="80"/>
      <c r="AS206" s="80"/>
      <c r="AT206" s="80"/>
      <c r="AU206" s="80"/>
      <c r="AV206" s="80"/>
      <c r="AW206" s="82" t="str">
        <f t="shared" si="1"/>
        <v/>
      </c>
      <c r="AX206" s="83" t="str">
        <f t="array" ref="AX206">IFERROR(DGET('SBV Import'!A:G,"SBV",{"RSC ID","Tier";B206,A206}))</f>
        <v/>
      </c>
      <c r="AY206" s="82" t="str">
        <f t="shared" si="2"/>
        <v/>
      </c>
      <c r="AZ206" s="82"/>
      <c r="BA206" s="84" t="s">
        <v>152</v>
      </c>
      <c r="BB206" s="84" t="str">
        <f>IFERROR(__xludf.DUMMYFUNCTION("iferror(if(A206="""",,E206&gt;=FILTER(Constants!$F$2:$F$10,Constants!$A$2:$A$10=A206)))"),"")</f>
        <v/>
      </c>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c r="AJ207" s="80"/>
      <c r="AK207" s="80"/>
      <c r="AL207" s="80"/>
      <c r="AM207" s="80"/>
      <c r="AN207" s="80"/>
      <c r="AO207" s="80"/>
      <c r="AP207" s="80"/>
      <c r="AQ207" s="80"/>
      <c r="AR207" s="80"/>
      <c r="AS207" s="80"/>
      <c r="AT207" s="80"/>
      <c r="AU207" s="80"/>
      <c r="AV207" s="80"/>
      <c r="AW207" s="82" t="str">
        <f t="shared" si="1"/>
        <v/>
      </c>
      <c r="AX207" s="83" t="str">
        <f t="array" ref="AX207">IFERROR(DGET('SBV Import'!A:G,"SBV",{"RSC ID","Tier";B207,A207}))</f>
        <v/>
      </c>
      <c r="AY207" s="82" t="str">
        <f t="shared" si="2"/>
        <v/>
      </c>
      <c r="AZ207" s="82"/>
      <c r="BA207" s="84" t="s">
        <v>152</v>
      </c>
      <c r="BB207" s="84" t="str">
        <f>IFERROR(__xludf.DUMMYFUNCTION("iferror(if(A207="""",,E207&gt;=FILTER(Constants!$F$2:$F$10,Constants!$A$2:$A$10=A207)))"),"")</f>
        <v/>
      </c>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c r="AJ208" s="80"/>
      <c r="AK208" s="80"/>
      <c r="AL208" s="80"/>
      <c r="AM208" s="80"/>
      <c r="AN208" s="80"/>
      <c r="AO208" s="80"/>
      <c r="AP208" s="80"/>
      <c r="AQ208" s="80"/>
      <c r="AR208" s="80"/>
      <c r="AS208" s="80"/>
      <c r="AT208" s="80"/>
      <c r="AU208" s="80"/>
      <c r="AV208" s="80"/>
      <c r="AW208" s="82" t="str">
        <f t="shared" si="1"/>
        <v/>
      </c>
      <c r="AX208" s="83" t="str">
        <f t="array" ref="AX208">IFERROR(DGET('SBV Import'!A:G,"SBV",{"RSC ID","Tier";B208,A208}))</f>
        <v/>
      </c>
      <c r="AY208" s="82" t="str">
        <f t="shared" si="2"/>
        <v/>
      </c>
      <c r="AZ208" s="82"/>
      <c r="BA208" s="84" t="s">
        <v>152</v>
      </c>
      <c r="BB208" s="84" t="str">
        <f>IFERROR(__xludf.DUMMYFUNCTION("iferror(if(A208="""",,E208&gt;=FILTER(Constants!$F$2:$F$10,Constants!$A$2:$A$10=A208)))"),"")</f>
        <v/>
      </c>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c r="AJ209" s="80"/>
      <c r="AK209" s="80"/>
      <c r="AL209" s="80"/>
      <c r="AM209" s="80"/>
      <c r="AN209" s="80"/>
      <c r="AO209" s="80"/>
      <c r="AP209" s="80"/>
      <c r="AQ209" s="80"/>
      <c r="AR209" s="80"/>
      <c r="AS209" s="80"/>
      <c r="AT209" s="80"/>
      <c r="AU209" s="80"/>
      <c r="AV209" s="80"/>
      <c r="AW209" s="82" t="str">
        <f t="shared" si="1"/>
        <v/>
      </c>
      <c r="AX209" s="83" t="str">
        <f t="array" ref="AX209">IFERROR(DGET('SBV Import'!A:G,"SBV",{"RSC ID","Tier";B209,A209}))</f>
        <v/>
      </c>
      <c r="AY209" s="82" t="str">
        <f t="shared" si="2"/>
        <v/>
      </c>
      <c r="AZ209" s="82"/>
      <c r="BA209" s="84" t="s">
        <v>152</v>
      </c>
      <c r="BB209" s="84" t="str">
        <f>IFERROR(__xludf.DUMMYFUNCTION("iferror(if(A209="""",,E209&gt;=FILTER(Constants!$F$2:$F$10,Constants!$A$2:$A$10=A209)))"),"")</f>
        <v/>
      </c>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c r="AJ210" s="80"/>
      <c r="AK210" s="80"/>
      <c r="AL210" s="80"/>
      <c r="AM210" s="80"/>
      <c r="AN210" s="80"/>
      <c r="AO210" s="80"/>
      <c r="AP210" s="80"/>
      <c r="AQ210" s="80"/>
      <c r="AR210" s="80"/>
      <c r="AS210" s="80"/>
      <c r="AT210" s="80"/>
      <c r="AU210" s="80"/>
      <c r="AV210" s="80"/>
      <c r="AW210" s="82" t="str">
        <f t="shared" si="1"/>
        <v/>
      </c>
      <c r="AX210" s="83" t="str">
        <f t="array" ref="AX210">IFERROR(DGET('SBV Import'!A:G,"SBV",{"RSC ID","Tier";B210,A210}))</f>
        <v/>
      </c>
      <c r="AY210" s="82" t="str">
        <f t="shared" si="2"/>
        <v/>
      </c>
      <c r="AZ210" s="82"/>
      <c r="BA210" s="84" t="s">
        <v>152</v>
      </c>
      <c r="BB210" s="84" t="str">
        <f>IFERROR(__xludf.DUMMYFUNCTION("iferror(if(A210="""",,E210&gt;=FILTER(Constants!$F$2:$F$10,Constants!$A$2:$A$10=A210)))"),"")</f>
        <v/>
      </c>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c r="AQ211" s="80"/>
      <c r="AR211" s="80"/>
      <c r="AS211" s="80"/>
      <c r="AT211" s="80"/>
      <c r="AU211" s="80"/>
      <c r="AV211" s="80"/>
      <c r="AW211" s="82" t="str">
        <f t="shared" si="1"/>
        <v/>
      </c>
      <c r="AX211" s="83" t="str">
        <f t="array" ref="AX211">IFERROR(DGET('SBV Import'!A:G,"SBV",{"RSC ID","Tier";B211,A211}))</f>
        <v/>
      </c>
      <c r="AY211" s="82" t="str">
        <f t="shared" si="2"/>
        <v/>
      </c>
      <c r="AZ211" s="82"/>
      <c r="BA211" s="84" t="s">
        <v>152</v>
      </c>
      <c r="BB211" s="84" t="str">
        <f>IFERROR(__xludf.DUMMYFUNCTION("iferror(if(A211="""",,E211&gt;=FILTER(Constants!$F$2:$F$10,Constants!$A$2:$A$10=A211)))"),"")</f>
        <v/>
      </c>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c r="AQ212" s="80"/>
      <c r="AR212" s="80"/>
      <c r="AS212" s="80"/>
      <c r="AT212" s="80"/>
      <c r="AU212" s="80"/>
      <c r="AV212" s="80"/>
      <c r="AW212" s="82" t="str">
        <f t="shared" si="1"/>
        <v/>
      </c>
      <c r="AX212" s="83" t="str">
        <f t="array" ref="AX212">IFERROR(DGET('SBV Import'!A:G,"SBV",{"RSC ID","Tier";B212,A212}))</f>
        <v/>
      </c>
      <c r="AY212" s="82" t="str">
        <f t="shared" si="2"/>
        <v/>
      </c>
      <c r="AZ212" s="82"/>
      <c r="BA212" s="84" t="s">
        <v>152</v>
      </c>
      <c r="BB212" s="84" t="str">
        <f>IFERROR(__xludf.DUMMYFUNCTION("iferror(if(A212="""",,E212&gt;=FILTER(Constants!$F$2:$F$10,Constants!$A$2:$A$10=A212)))"),"")</f>
        <v/>
      </c>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c r="AQ213" s="80"/>
      <c r="AR213" s="80"/>
      <c r="AS213" s="80"/>
      <c r="AT213" s="80"/>
      <c r="AU213" s="80"/>
      <c r="AV213" s="80"/>
      <c r="AW213" s="82" t="str">
        <f t="shared" si="1"/>
        <v/>
      </c>
      <c r="AX213" s="83" t="str">
        <f t="array" ref="AX213">IFERROR(DGET('SBV Import'!A:G,"SBV",{"RSC ID","Tier";B213,A213}))</f>
        <v/>
      </c>
      <c r="AY213" s="82" t="str">
        <f t="shared" si="2"/>
        <v/>
      </c>
      <c r="AZ213" s="82"/>
      <c r="BA213" s="84" t="s">
        <v>152</v>
      </c>
      <c r="BB213" s="84" t="str">
        <f>IFERROR(__xludf.DUMMYFUNCTION("iferror(if(A213="""",,E213&gt;=FILTER(Constants!$F$2:$F$10,Constants!$A$2:$A$10=A213)))"),"")</f>
        <v/>
      </c>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c r="AJ214" s="80"/>
      <c r="AK214" s="80"/>
      <c r="AL214" s="80"/>
      <c r="AM214" s="80"/>
      <c r="AN214" s="80"/>
      <c r="AO214" s="80"/>
      <c r="AP214" s="80"/>
      <c r="AQ214" s="80"/>
      <c r="AR214" s="80"/>
      <c r="AS214" s="80"/>
      <c r="AT214" s="80"/>
      <c r="AU214" s="80"/>
      <c r="AV214" s="80"/>
      <c r="AW214" s="82" t="str">
        <f t="shared" si="1"/>
        <v/>
      </c>
      <c r="AX214" s="83" t="str">
        <f t="array" ref="AX214">IFERROR(DGET('SBV Import'!A:G,"SBV",{"RSC ID","Tier";B214,A214}))</f>
        <v/>
      </c>
      <c r="AY214" s="82" t="str">
        <f t="shared" si="2"/>
        <v/>
      </c>
      <c r="AZ214" s="82"/>
      <c r="BA214" s="84" t="s">
        <v>152</v>
      </c>
      <c r="BB214" s="84" t="str">
        <f>IFERROR(__xludf.DUMMYFUNCTION("iferror(if(A214="""",,E214&gt;=FILTER(Constants!$F$2:$F$10,Constants!$A$2:$A$10=A214)))"),"")</f>
        <v/>
      </c>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c r="AQ215" s="80"/>
      <c r="AR215" s="80"/>
      <c r="AS215" s="80"/>
      <c r="AT215" s="80"/>
      <c r="AU215" s="80"/>
      <c r="AV215" s="80"/>
      <c r="AW215" s="82" t="str">
        <f t="shared" si="1"/>
        <v/>
      </c>
      <c r="AX215" s="83" t="str">
        <f t="array" ref="AX215">IFERROR(DGET('SBV Import'!A:G,"SBV",{"RSC ID","Tier";B215,A215}))</f>
        <v/>
      </c>
      <c r="AY215" s="82" t="str">
        <f t="shared" si="2"/>
        <v/>
      </c>
      <c r="AZ215" s="82"/>
      <c r="BA215" s="84" t="s">
        <v>152</v>
      </c>
      <c r="BB215" s="84" t="str">
        <f>IFERROR(__xludf.DUMMYFUNCTION("iferror(if(A215="""",,E215&gt;=FILTER(Constants!$F$2:$F$10,Constants!$A$2:$A$10=A215)))"),"")</f>
        <v/>
      </c>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c r="AJ216" s="80"/>
      <c r="AK216" s="80"/>
      <c r="AL216" s="80"/>
      <c r="AM216" s="80"/>
      <c r="AN216" s="80"/>
      <c r="AO216" s="80"/>
      <c r="AP216" s="80"/>
      <c r="AQ216" s="80"/>
      <c r="AR216" s="80"/>
      <c r="AS216" s="80"/>
      <c r="AT216" s="80"/>
      <c r="AU216" s="80"/>
      <c r="AV216" s="80"/>
      <c r="AW216" s="82" t="str">
        <f t="shared" si="1"/>
        <v/>
      </c>
      <c r="AX216" s="83" t="str">
        <f t="array" ref="AX216">IFERROR(DGET('SBV Import'!A:G,"SBV",{"RSC ID","Tier";B216,A216}))</f>
        <v/>
      </c>
      <c r="AY216" s="82" t="str">
        <f t="shared" si="2"/>
        <v/>
      </c>
      <c r="AZ216" s="82"/>
      <c r="BA216" s="84" t="s">
        <v>152</v>
      </c>
      <c r="BB216" s="84" t="str">
        <f>IFERROR(__xludf.DUMMYFUNCTION("iferror(if(A216="""",,E216&gt;=FILTER(Constants!$F$2:$F$10,Constants!$A$2:$A$10=A216)))"),"")</f>
        <v/>
      </c>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c r="AQ217" s="80"/>
      <c r="AR217" s="80"/>
      <c r="AS217" s="80"/>
      <c r="AT217" s="80"/>
      <c r="AU217" s="80"/>
      <c r="AV217" s="80"/>
      <c r="AW217" s="82" t="str">
        <f t="shared" si="1"/>
        <v/>
      </c>
      <c r="AX217" s="83" t="str">
        <f t="array" ref="AX217">IFERROR(DGET('SBV Import'!A:G,"SBV",{"RSC ID","Tier";B217,A217}))</f>
        <v/>
      </c>
      <c r="AY217" s="82" t="str">
        <f t="shared" si="2"/>
        <v/>
      </c>
      <c r="AZ217" s="82"/>
      <c r="BA217" s="84" t="s">
        <v>152</v>
      </c>
      <c r="BB217" s="84" t="str">
        <f>IFERROR(__xludf.DUMMYFUNCTION("iferror(if(A217="""",,E217&gt;=FILTER(Constants!$F$2:$F$10,Constants!$A$2:$A$10=A217)))"),"")</f>
        <v/>
      </c>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c r="AQ218" s="80"/>
      <c r="AR218" s="80"/>
      <c r="AS218" s="80"/>
      <c r="AT218" s="80"/>
      <c r="AU218" s="80"/>
      <c r="AV218" s="80"/>
      <c r="AW218" s="82" t="str">
        <f t="shared" si="1"/>
        <v/>
      </c>
      <c r="AX218" s="83" t="str">
        <f t="array" ref="AX218">IFERROR(DGET('SBV Import'!A:G,"SBV",{"RSC ID","Tier";B218,A218}))</f>
        <v/>
      </c>
      <c r="AY218" s="82" t="str">
        <f t="shared" si="2"/>
        <v/>
      </c>
      <c r="AZ218" s="82"/>
      <c r="BA218" s="84" t="s">
        <v>152</v>
      </c>
      <c r="BB218" s="84" t="str">
        <f>IFERROR(__xludf.DUMMYFUNCTION("iferror(if(A218="""",,E218&gt;=FILTER(Constants!$F$2:$F$10,Constants!$A$2:$A$10=A218)))"),"")</f>
        <v/>
      </c>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c r="AJ219" s="80"/>
      <c r="AK219" s="80"/>
      <c r="AL219" s="80"/>
      <c r="AM219" s="80"/>
      <c r="AN219" s="80"/>
      <c r="AO219" s="80"/>
      <c r="AP219" s="80"/>
      <c r="AQ219" s="80"/>
      <c r="AR219" s="80"/>
      <c r="AS219" s="80"/>
      <c r="AT219" s="80"/>
      <c r="AU219" s="80"/>
      <c r="AV219" s="80"/>
      <c r="AW219" s="82" t="str">
        <f t="shared" si="1"/>
        <v/>
      </c>
      <c r="AX219" s="83" t="str">
        <f t="array" ref="AX219">IFERROR(DGET('SBV Import'!A:G,"SBV",{"RSC ID","Tier";B219,A219}))</f>
        <v/>
      </c>
      <c r="AY219" s="82" t="str">
        <f t="shared" si="2"/>
        <v/>
      </c>
      <c r="AZ219" s="82"/>
      <c r="BA219" s="84" t="s">
        <v>152</v>
      </c>
      <c r="BB219" s="84" t="str">
        <f>IFERROR(__xludf.DUMMYFUNCTION("iferror(if(A219="""",,E219&gt;=FILTER(Constants!$F$2:$F$10,Constants!$A$2:$A$10=A219)))"),"")</f>
        <v/>
      </c>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c r="AJ220" s="80"/>
      <c r="AK220" s="80"/>
      <c r="AL220" s="80"/>
      <c r="AM220" s="80"/>
      <c r="AN220" s="80"/>
      <c r="AO220" s="80"/>
      <c r="AP220" s="80"/>
      <c r="AQ220" s="80"/>
      <c r="AR220" s="80"/>
      <c r="AS220" s="80"/>
      <c r="AT220" s="80"/>
      <c r="AU220" s="80"/>
      <c r="AV220" s="80"/>
      <c r="AW220" s="82" t="str">
        <f t="shared" si="1"/>
        <v/>
      </c>
      <c r="AX220" s="83" t="str">
        <f t="array" ref="AX220">IFERROR(DGET('SBV Import'!A:G,"SBV",{"RSC ID","Tier";B220,A220}))</f>
        <v/>
      </c>
      <c r="AY220" s="82" t="str">
        <f t="shared" si="2"/>
        <v/>
      </c>
      <c r="AZ220" s="82"/>
      <c r="BA220" s="84" t="s">
        <v>152</v>
      </c>
      <c r="BB220" s="84" t="str">
        <f>IFERROR(__xludf.DUMMYFUNCTION("iferror(if(A220="""",,E220&gt;=FILTER(Constants!$F$2:$F$10,Constants!$A$2:$A$10=A220)))"),"")</f>
        <v/>
      </c>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c r="AJ221" s="80"/>
      <c r="AK221" s="80"/>
      <c r="AL221" s="80"/>
      <c r="AM221" s="80"/>
      <c r="AN221" s="80"/>
      <c r="AO221" s="80"/>
      <c r="AP221" s="80"/>
      <c r="AQ221" s="80"/>
      <c r="AR221" s="80"/>
      <c r="AS221" s="80"/>
      <c r="AT221" s="80"/>
      <c r="AU221" s="80"/>
      <c r="AV221" s="80"/>
      <c r="AW221" s="82" t="str">
        <f t="shared" si="1"/>
        <v/>
      </c>
      <c r="AX221" s="83" t="str">
        <f t="array" ref="AX221">IFERROR(DGET('SBV Import'!A:G,"SBV",{"RSC ID","Tier";B221,A221}))</f>
        <v/>
      </c>
      <c r="AY221" s="82" t="str">
        <f t="shared" si="2"/>
        <v/>
      </c>
      <c r="AZ221" s="82"/>
      <c r="BA221" s="84" t="s">
        <v>152</v>
      </c>
      <c r="BB221" s="84" t="str">
        <f>IFERROR(__xludf.DUMMYFUNCTION("iferror(if(A221="""",,E221&gt;=FILTER(Constants!$F$2:$F$10,Constants!$A$2:$A$10=A221)))"),"")</f>
        <v/>
      </c>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c r="AJ222" s="80"/>
      <c r="AK222" s="80"/>
      <c r="AL222" s="80"/>
      <c r="AM222" s="80"/>
      <c r="AN222" s="80"/>
      <c r="AO222" s="80"/>
      <c r="AP222" s="80"/>
      <c r="AQ222" s="80"/>
      <c r="AR222" s="80"/>
      <c r="AS222" s="80"/>
      <c r="AT222" s="80"/>
      <c r="AU222" s="80"/>
      <c r="AV222" s="80"/>
      <c r="AW222" s="82" t="str">
        <f t="shared" si="1"/>
        <v/>
      </c>
      <c r="AX222" s="83" t="str">
        <f t="array" ref="AX222">IFERROR(DGET('SBV Import'!A:G,"SBV",{"RSC ID","Tier";B222,A222}))</f>
        <v/>
      </c>
      <c r="AY222" s="82" t="str">
        <f t="shared" si="2"/>
        <v/>
      </c>
      <c r="AZ222" s="82"/>
      <c r="BA222" s="84" t="s">
        <v>152</v>
      </c>
      <c r="BB222" s="84" t="str">
        <f>IFERROR(__xludf.DUMMYFUNCTION("iferror(if(A222="""",,E222&gt;=FILTER(Constants!$F$2:$F$10,Constants!$A$2:$A$10=A222)))"),"")</f>
        <v/>
      </c>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c r="AJ223" s="80"/>
      <c r="AK223" s="80"/>
      <c r="AL223" s="80"/>
      <c r="AM223" s="80"/>
      <c r="AN223" s="80"/>
      <c r="AO223" s="80"/>
      <c r="AP223" s="80"/>
      <c r="AQ223" s="80"/>
      <c r="AR223" s="80"/>
      <c r="AS223" s="80"/>
      <c r="AT223" s="80"/>
      <c r="AU223" s="80"/>
      <c r="AV223" s="80"/>
      <c r="AW223" s="82" t="str">
        <f t="shared" si="1"/>
        <v/>
      </c>
      <c r="AX223" s="83" t="str">
        <f t="array" ref="AX223">IFERROR(DGET('SBV Import'!A:G,"SBV",{"RSC ID","Tier";B223,A223}))</f>
        <v/>
      </c>
      <c r="AY223" s="82" t="str">
        <f t="shared" si="2"/>
        <v/>
      </c>
      <c r="AZ223" s="82"/>
      <c r="BA223" s="84" t="s">
        <v>152</v>
      </c>
      <c r="BB223" s="84" t="str">
        <f>IFERROR(__xludf.DUMMYFUNCTION("iferror(if(A223="""",,E223&gt;=FILTER(Constants!$F$2:$F$10,Constants!$A$2:$A$10=A223)))"),"")</f>
        <v/>
      </c>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c r="AQ224" s="80"/>
      <c r="AR224" s="80"/>
      <c r="AS224" s="80"/>
      <c r="AT224" s="80"/>
      <c r="AU224" s="80"/>
      <c r="AV224" s="80"/>
      <c r="AW224" s="82" t="str">
        <f t="shared" si="1"/>
        <v/>
      </c>
      <c r="AX224" s="83" t="str">
        <f t="array" ref="AX224">IFERROR(DGET('SBV Import'!A:G,"SBV",{"RSC ID","Tier";B224,A224}))</f>
        <v/>
      </c>
      <c r="AY224" s="82" t="str">
        <f t="shared" si="2"/>
        <v/>
      </c>
      <c r="AZ224" s="82"/>
      <c r="BA224" s="84" t="s">
        <v>152</v>
      </c>
      <c r="BB224" s="84" t="str">
        <f>IFERROR(__xludf.DUMMYFUNCTION("iferror(if(A224="""",,E224&gt;=FILTER(Constants!$F$2:$F$10,Constants!$A$2:$A$10=A224)))"),"")</f>
        <v/>
      </c>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c r="AJ225" s="80"/>
      <c r="AK225" s="80"/>
      <c r="AL225" s="80"/>
      <c r="AM225" s="80"/>
      <c r="AN225" s="80"/>
      <c r="AO225" s="80"/>
      <c r="AP225" s="80"/>
      <c r="AQ225" s="80"/>
      <c r="AR225" s="80"/>
      <c r="AS225" s="80"/>
      <c r="AT225" s="80"/>
      <c r="AU225" s="80"/>
      <c r="AV225" s="80"/>
      <c r="AW225" s="82" t="str">
        <f t="shared" si="1"/>
        <v/>
      </c>
      <c r="AX225" s="83" t="str">
        <f t="array" ref="AX225">IFERROR(DGET('SBV Import'!A:G,"SBV",{"RSC ID","Tier";B225,A225}))</f>
        <v/>
      </c>
      <c r="AY225" s="82" t="str">
        <f t="shared" si="2"/>
        <v/>
      </c>
      <c r="AZ225" s="82"/>
      <c r="BA225" s="84" t="s">
        <v>152</v>
      </c>
      <c r="BB225" s="84" t="str">
        <f>IFERROR(__xludf.DUMMYFUNCTION("iferror(if(A225="""",,E225&gt;=FILTER(Constants!$F$2:$F$10,Constants!$A$2:$A$10=A225)))"),"")</f>
        <v/>
      </c>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c r="AJ226" s="80"/>
      <c r="AK226" s="80"/>
      <c r="AL226" s="80"/>
      <c r="AM226" s="80"/>
      <c r="AN226" s="80"/>
      <c r="AO226" s="80"/>
      <c r="AP226" s="80"/>
      <c r="AQ226" s="80"/>
      <c r="AR226" s="80"/>
      <c r="AS226" s="80"/>
      <c r="AT226" s="80"/>
      <c r="AU226" s="80"/>
      <c r="AV226" s="80"/>
      <c r="AW226" s="82" t="str">
        <f t="shared" si="1"/>
        <v/>
      </c>
      <c r="AX226" s="83" t="str">
        <f t="array" ref="AX226">IFERROR(DGET('SBV Import'!A:G,"SBV",{"RSC ID","Tier";B226,A226}))</f>
        <v/>
      </c>
      <c r="AY226" s="82" t="str">
        <f t="shared" si="2"/>
        <v/>
      </c>
      <c r="AZ226" s="82"/>
      <c r="BA226" s="84" t="s">
        <v>152</v>
      </c>
      <c r="BB226" s="84" t="str">
        <f>IFERROR(__xludf.DUMMYFUNCTION("iferror(if(A226="""",,E226&gt;=FILTER(Constants!$F$2:$F$10,Constants!$A$2:$A$10=A226)))"),"")</f>
        <v/>
      </c>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c r="AJ227" s="80"/>
      <c r="AK227" s="80"/>
      <c r="AL227" s="80"/>
      <c r="AM227" s="80"/>
      <c r="AN227" s="80"/>
      <c r="AO227" s="80"/>
      <c r="AP227" s="80"/>
      <c r="AQ227" s="80"/>
      <c r="AR227" s="80"/>
      <c r="AS227" s="80"/>
      <c r="AT227" s="80"/>
      <c r="AU227" s="80"/>
      <c r="AV227" s="80"/>
      <c r="AW227" s="82" t="str">
        <f t="shared" si="1"/>
        <v/>
      </c>
      <c r="AX227" s="83" t="str">
        <f t="array" ref="AX227">IFERROR(DGET('SBV Import'!A:G,"SBV",{"RSC ID","Tier";B227,A227}))</f>
        <v/>
      </c>
      <c r="AY227" s="82" t="str">
        <f t="shared" si="2"/>
        <v/>
      </c>
      <c r="AZ227" s="82"/>
      <c r="BA227" s="84" t="s">
        <v>152</v>
      </c>
      <c r="BB227" s="84" t="str">
        <f>IFERROR(__xludf.DUMMYFUNCTION("iferror(if(A227="""",,E227&gt;=FILTER(Constants!$F$2:$F$10,Constants!$A$2:$A$10=A227)))"),"")</f>
        <v/>
      </c>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c r="AJ228" s="80"/>
      <c r="AK228" s="80"/>
      <c r="AL228" s="80"/>
      <c r="AM228" s="80"/>
      <c r="AN228" s="80"/>
      <c r="AO228" s="80"/>
      <c r="AP228" s="80"/>
      <c r="AQ228" s="80"/>
      <c r="AR228" s="80"/>
      <c r="AS228" s="80"/>
      <c r="AT228" s="80"/>
      <c r="AU228" s="80"/>
      <c r="AV228" s="80"/>
      <c r="AW228" s="82" t="str">
        <f t="shared" si="1"/>
        <v/>
      </c>
      <c r="AX228" s="83" t="str">
        <f t="array" ref="AX228">IFERROR(DGET('SBV Import'!A:G,"SBV",{"RSC ID","Tier";B228,A228}))</f>
        <v/>
      </c>
      <c r="AY228" s="82" t="str">
        <f t="shared" si="2"/>
        <v/>
      </c>
      <c r="AZ228" s="82"/>
      <c r="BA228" s="84" t="s">
        <v>152</v>
      </c>
      <c r="BB228" s="84" t="str">
        <f>IFERROR(__xludf.DUMMYFUNCTION("iferror(if(A228="""",,E228&gt;=FILTER(Constants!$F$2:$F$10,Constants!$A$2:$A$10=A228)))"),"")</f>
        <v/>
      </c>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c r="AJ229" s="80"/>
      <c r="AK229" s="80"/>
      <c r="AL229" s="80"/>
      <c r="AM229" s="80"/>
      <c r="AN229" s="80"/>
      <c r="AO229" s="80"/>
      <c r="AP229" s="80"/>
      <c r="AQ229" s="80"/>
      <c r="AR229" s="80"/>
      <c r="AS229" s="80"/>
      <c r="AT229" s="80"/>
      <c r="AU229" s="80"/>
      <c r="AV229" s="80"/>
      <c r="AW229" s="82" t="str">
        <f t="shared" si="1"/>
        <v/>
      </c>
      <c r="AX229" s="83" t="str">
        <f t="array" ref="AX229">IFERROR(DGET('SBV Import'!A:G,"SBV",{"RSC ID","Tier";B229,A229}))</f>
        <v/>
      </c>
      <c r="AY229" s="82" t="str">
        <f t="shared" si="2"/>
        <v/>
      </c>
      <c r="AZ229" s="82"/>
      <c r="BA229" s="84" t="s">
        <v>152</v>
      </c>
      <c r="BB229" s="84" t="str">
        <f>IFERROR(__xludf.DUMMYFUNCTION("iferror(if(A229="""",,E229&gt;=FILTER(Constants!$F$2:$F$10,Constants!$A$2:$A$10=A229)))"),"")</f>
        <v/>
      </c>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c r="AJ230" s="80"/>
      <c r="AK230" s="80"/>
      <c r="AL230" s="80"/>
      <c r="AM230" s="80"/>
      <c r="AN230" s="80"/>
      <c r="AO230" s="80"/>
      <c r="AP230" s="80"/>
      <c r="AQ230" s="80"/>
      <c r="AR230" s="80"/>
      <c r="AS230" s="80"/>
      <c r="AT230" s="80"/>
      <c r="AU230" s="80"/>
      <c r="AV230" s="80"/>
      <c r="AW230" s="82" t="str">
        <f t="shared" si="1"/>
        <v/>
      </c>
      <c r="AX230" s="83" t="str">
        <f t="array" ref="AX230">IFERROR(DGET('SBV Import'!A:G,"SBV",{"RSC ID","Tier";B230,A230}))</f>
        <v/>
      </c>
      <c r="AY230" s="82" t="str">
        <f t="shared" si="2"/>
        <v/>
      </c>
      <c r="AZ230" s="82"/>
      <c r="BA230" s="84" t="s">
        <v>152</v>
      </c>
      <c r="BB230" s="84" t="str">
        <f>IFERROR(__xludf.DUMMYFUNCTION("iferror(if(A230="""",,E230&gt;=FILTER(Constants!$F$2:$F$10,Constants!$A$2:$A$10=A230)))"),"")</f>
        <v/>
      </c>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c r="AJ231" s="80"/>
      <c r="AK231" s="80"/>
      <c r="AL231" s="80"/>
      <c r="AM231" s="80"/>
      <c r="AN231" s="80"/>
      <c r="AO231" s="80"/>
      <c r="AP231" s="80"/>
      <c r="AQ231" s="80"/>
      <c r="AR231" s="80"/>
      <c r="AS231" s="80"/>
      <c r="AT231" s="80"/>
      <c r="AU231" s="80"/>
      <c r="AV231" s="80"/>
      <c r="AW231" s="82" t="str">
        <f t="shared" si="1"/>
        <v/>
      </c>
      <c r="AX231" s="83" t="str">
        <f t="array" ref="AX231">IFERROR(DGET('SBV Import'!A:G,"SBV",{"RSC ID","Tier";B231,A231}))</f>
        <v/>
      </c>
      <c r="AY231" s="82" t="str">
        <f t="shared" si="2"/>
        <v/>
      </c>
      <c r="AZ231" s="82"/>
      <c r="BA231" s="84" t="s">
        <v>152</v>
      </c>
      <c r="BB231" s="84" t="str">
        <f>IFERROR(__xludf.DUMMYFUNCTION("iferror(if(A231="""",,E231&gt;=FILTER(Constants!$F$2:$F$10,Constants!$A$2:$A$10=A231)))"),"")</f>
        <v/>
      </c>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c r="AJ232" s="80"/>
      <c r="AK232" s="80"/>
      <c r="AL232" s="80"/>
      <c r="AM232" s="80"/>
      <c r="AN232" s="80"/>
      <c r="AO232" s="80"/>
      <c r="AP232" s="80"/>
      <c r="AQ232" s="80"/>
      <c r="AR232" s="80"/>
      <c r="AS232" s="80"/>
      <c r="AT232" s="80"/>
      <c r="AU232" s="80"/>
      <c r="AV232" s="80"/>
      <c r="AW232" s="82" t="str">
        <f t="shared" si="1"/>
        <v/>
      </c>
      <c r="AX232" s="83" t="str">
        <f t="array" ref="AX232">IFERROR(DGET('SBV Import'!A:G,"SBV",{"RSC ID","Tier";B232,A232}))</f>
        <v/>
      </c>
      <c r="AY232" s="82" t="str">
        <f t="shared" si="2"/>
        <v/>
      </c>
      <c r="AZ232" s="82"/>
      <c r="BA232" s="84" t="s">
        <v>152</v>
      </c>
      <c r="BB232" s="84" t="str">
        <f>IFERROR(__xludf.DUMMYFUNCTION("iferror(if(A232="""",,E232&gt;=FILTER(Constants!$F$2:$F$10,Constants!$A$2:$A$10=A232)))"),"")</f>
        <v/>
      </c>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c r="AJ233" s="80"/>
      <c r="AK233" s="80"/>
      <c r="AL233" s="80"/>
      <c r="AM233" s="80"/>
      <c r="AN233" s="80"/>
      <c r="AO233" s="80"/>
      <c r="AP233" s="80"/>
      <c r="AQ233" s="80"/>
      <c r="AR233" s="80"/>
      <c r="AS233" s="80"/>
      <c r="AT233" s="80"/>
      <c r="AU233" s="80"/>
      <c r="AV233" s="80"/>
      <c r="AW233" s="82" t="str">
        <f t="shared" si="1"/>
        <v/>
      </c>
      <c r="AX233" s="83" t="str">
        <f t="array" ref="AX233">IFERROR(DGET('SBV Import'!A:G,"SBV",{"RSC ID","Tier";B233,A233}))</f>
        <v/>
      </c>
      <c r="AY233" s="82" t="str">
        <f t="shared" si="2"/>
        <v/>
      </c>
      <c r="AZ233" s="82"/>
      <c r="BA233" s="84" t="s">
        <v>152</v>
      </c>
      <c r="BB233" s="84" t="str">
        <f>IFERROR(__xludf.DUMMYFUNCTION("iferror(if(A233="""",,E233&gt;=FILTER(Constants!$F$2:$F$10,Constants!$A$2:$A$10=A233)))"),"")</f>
        <v/>
      </c>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c r="AJ234" s="80"/>
      <c r="AK234" s="80"/>
      <c r="AL234" s="80"/>
      <c r="AM234" s="80"/>
      <c r="AN234" s="80"/>
      <c r="AO234" s="80"/>
      <c r="AP234" s="80"/>
      <c r="AQ234" s="80"/>
      <c r="AR234" s="80"/>
      <c r="AS234" s="80"/>
      <c r="AT234" s="80"/>
      <c r="AU234" s="80"/>
      <c r="AV234" s="80"/>
      <c r="AW234" s="82" t="str">
        <f t="shared" si="1"/>
        <v/>
      </c>
      <c r="AX234" s="83" t="str">
        <f t="array" ref="AX234">IFERROR(DGET('SBV Import'!A:G,"SBV",{"RSC ID","Tier";B234,A234}))</f>
        <v/>
      </c>
      <c r="AY234" s="82" t="str">
        <f t="shared" si="2"/>
        <v/>
      </c>
      <c r="AZ234" s="82"/>
      <c r="BA234" s="84" t="s">
        <v>152</v>
      </c>
      <c r="BB234" s="84" t="str">
        <f>IFERROR(__xludf.DUMMYFUNCTION("iferror(if(A234="""",,E234&gt;=FILTER(Constants!$F$2:$F$10,Constants!$A$2:$A$10=A234)))"),"")</f>
        <v/>
      </c>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c r="AJ235" s="80"/>
      <c r="AK235" s="80"/>
      <c r="AL235" s="80"/>
      <c r="AM235" s="80"/>
      <c r="AN235" s="80"/>
      <c r="AO235" s="80"/>
      <c r="AP235" s="80"/>
      <c r="AQ235" s="80"/>
      <c r="AR235" s="80"/>
      <c r="AS235" s="80"/>
      <c r="AT235" s="80"/>
      <c r="AU235" s="80"/>
      <c r="AV235" s="80"/>
      <c r="AW235" s="82" t="str">
        <f t="shared" si="1"/>
        <v/>
      </c>
      <c r="AX235" s="83" t="str">
        <f t="array" ref="AX235">IFERROR(DGET('SBV Import'!A:G,"SBV",{"RSC ID","Tier";B235,A235}))</f>
        <v/>
      </c>
      <c r="AY235" s="82" t="str">
        <f t="shared" si="2"/>
        <v/>
      </c>
      <c r="AZ235" s="82"/>
      <c r="BA235" s="84" t="s">
        <v>152</v>
      </c>
      <c r="BB235" s="84" t="str">
        <f>IFERROR(__xludf.DUMMYFUNCTION("iferror(if(A235="""",,E235&gt;=FILTER(Constants!$F$2:$F$10,Constants!$A$2:$A$10=A235)))"),"")</f>
        <v/>
      </c>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c r="AJ236" s="80"/>
      <c r="AK236" s="80"/>
      <c r="AL236" s="80"/>
      <c r="AM236" s="80"/>
      <c r="AN236" s="80"/>
      <c r="AO236" s="80"/>
      <c r="AP236" s="80"/>
      <c r="AQ236" s="80"/>
      <c r="AR236" s="80"/>
      <c r="AS236" s="80"/>
      <c r="AT236" s="80"/>
      <c r="AU236" s="80"/>
      <c r="AV236" s="80"/>
      <c r="AW236" s="82" t="str">
        <f t="shared" si="1"/>
        <v/>
      </c>
      <c r="AX236" s="83" t="str">
        <f t="array" ref="AX236">IFERROR(DGET('SBV Import'!A:G,"SBV",{"RSC ID","Tier";B236,A236}))</f>
        <v/>
      </c>
      <c r="AY236" s="82" t="str">
        <f t="shared" si="2"/>
        <v/>
      </c>
      <c r="AZ236" s="82"/>
      <c r="BA236" s="84" t="s">
        <v>152</v>
      </c>
      <c r="BB236" s="84" t="str">
        <f>IFERROR(__xludf.DUMMYFUNCTION("iferror(if(A236="""",,E236&gt;=FILTER(Constants!$F$2:$F$10,Constants!$A$2:$A$10=A236)))"),"")</f>
        <v/>
      </c>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c r="AJ237" s="80"/>
      <c r="AK237" s="80"/>
      <c r="AL237" s="80"/>
      <c r="AM237" s="80"/>
      <c r="AN237" s="80"/>
      <c r="AO237" s="80"/>
      <c r="AP237" s="80"/>
      <c r="AQ237" s="80"/>
      <c r="AR237" s="80"/>
      <c r="AS237" s="80"/>
      <c r="AT237" s="80"/>
      <c r="AU237" s="80"/>
      <c r="AV237" s="80"/>
      <c r="AW237" s="82" t="str">
        <f t="shared" si="1"/>
        <v/>
      </c>
      <c r="AX237" s="83" t="str">
        <f t="array" ref="AX237">IFERROR(DGET('SBV Import'!A:G,"SBV",{"RSC ID","Tier";B237,A237}))</f>
        <v/>
      </c>
      <c r="AY237" s="82" t="str">
        <f t="shared" si="2"/>
        <v/>
      </c>
      <c r="AZ237" s="82"/>
      <c r="BA237" s="84" t="s">
        <v>152</v>
      </c>
      <c r="BB237" s="84" t="str">
        <f>IFERROR(__xludf.DUMMYFUNCTION("iferror(if(A237="""",,E237&gt;=FILTER(Constants!$F$2:$F$10,Constants!$A$2:$A$10=A237)))"),"")</f>
        <v/>
      </c>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c r="AJ238" s="80"/>
      <c r="AK238" s="80"/>
      <c r="AL238" s="80"/>
      <c r="AM238" s="80"/>
      <c r="AN238" s="80"/>
      <c r="AO238" s="80"/>
      <c r="AP238" s="80"/>
      <c r="AQ238" s="80"/>
      <c r="AR238" s="80"/>
      <c r="AS238" s="80"/>
      <c r="AT238" s="80"/>
      <c r="AU238" s="80"/>
      <c r="AV238" s="80"/>
      <c r="AW238" s="82" t="str">
        <f t="shared" si="1"/>
        <v/>
      </c>
      <c r="AX238" s="83" t="str">
        <f t="array" ref="AX238">IFERROR(DGET('SBV Import'!A:G,"SBV",{"RSC ID","Tier";B238,A238}))</f>
        <v/>
      </c>
      <c r="AY238" s="82" t="str">
        <f t="shared" si="2"/>
        <v/>
      </c>
      <c r="AZ238" s="82"/>
      <c r="BA238" s="84" t="s">
        <v>152</v>
      </c>
      <c r="BB238" s="84" t="str">
        <f>IFERROR(__xludf.DUMMYFUNCTION("iferror(if(A238="""",,E238&gt;=FILTER(Constants!$F$2:$F$10,Constants!$A$2:$A$10=A238)))"),"")</f>
        <v/>
      </c>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c r="AJ239" s="80"/>
      <c r="AK239" s="80"/>
      <c r="AL239" s="80"/>
      <c r="AM239" s="80"/>
      <c r="AN239" s="80"/>
      <c r="AO239" s="80"/>
      <c r="AP239" s="80"/>
      <c r="AQ239" s="80"/>
      <c r="AR239" s="80"/>
      <c r="AS239" s="80"/>
      <c r="AT239" s="80"/>
      <c r="AU239" s="80"/>
      <c r="AV239" s="80"/>
      <c r="AW239" s="82" t="str">
        <f t="shared" si="1"/>
        <v/>
      </c>
      <c r="AX239" s="83" t="str">
        <f t="array" ref="AX239">IFERROR(DGET('SBV Import'!A:G,"SBV",{"RSC ID","Tier";B239,A239}))</f>
        <v/>
      </c>
      <c r="AY239" s="82" t="str">
        <f t="shared" si="2"/>
        <v/>
      </c>
      <c r="AZ239" s="82"/>
      <c r="BA239" s="84" t="s">
        <v>152</v>
      </c>
      <c r="BB239" s="84" t="str">
        <f>IFERROR(__xludf.DUMMYFUNCTION("iferror(if(A239="""",,E239&gt;=FILTER(Constants!$F$2:$F$10,Constants!$A$2:$A$10=A239)))"),"")</f>
        <v/>
      </c>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c r="AJ240" s="80"/>
      <c r="AK240" s="80"/>
      <c r="AL240" s="80"/>
      <c r="AM240" s="80"/>
      <c r="AN240" s="80"/>
      <c r="AO240" s="80"/>
      <c r="AP240" s="80"/>
      <c r="AQ240" s="80"/>
      <c r="AR240" s="80"/>
      <c r="AS240" s="80"/>
      <c r="AT240" s="80"/>
      <c r="AU240" s="80"/>
      <c r="AV240" s="80"/>
      <c r="AW240" s="82" t="str">
        <f t="shared" si="1"/>
        <v/>
      </c>
      <c r="AX240" s="83" t="str">
        <f t="array" ref="AX240">IFERROR(DGET('SBV Import'!A:G,"SBV",{"RSC ID","Tier";B240,A240}))</f>
        <v/>
      </c>
      <c r="AY240" s="82" t="str">
        <f t="shared" si="2"/>
        <v/>
      </c>
      <c r="AZ240" s="82"/>
      <c r="BA240" s="84" t="s">
        <v>152</v>
      </c>
      <c r="BB240" s="84" t="str">
        <f>IFERROR(__xludf.DUMMYFUNCTION("iferror(if(A240="""",,E240&gt;=FILTER(Constants!$F$2:$F$10,Constants!$A$2:$A$10=A240)))"),"")</f>
        <v/>
      </c>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c r="AJ241" s="80"/>
      <c r="AK241" s="80"/>
      <c r="AL241" s="80"/>
      <c r="AM241" s="80"/>
      <c r="AN241" s="80"/>
      <c r="AO241" s="80"/>
      <c r="AP241" s="80"/>
      <c r="AQ241" s="80"/>
      <c r="AR241" s="80"/>
      <c r="AS241" s="80"/>
      <c r="AT241" s="80"/>
      <c r="AU241" s="80"/>
      <c r="AV241" s="80"/>
      <c r="AW241" s="82" t="str">
        <f t="shared" si="1"/>
        <v/>
      </c>
      <c r="AX241" s="83" t="str">
        <f t="array" ref="AX241">IFERROR(DGET('SBV Import'!A:G,"SBV",{"RSC ID","Tier";B241,A241}))</f>
        <v/>
      </c>
      <c r="AY241" s="82" t="str">
        <f t="shared" si="2"/>
        <v/>
      </c>
      <c r="AZ241" s="82"/>
      <c r="BA241" s="84" t="s">
        <v>152</v>
      </c>
      <c r="BB241" s="84" t="str">
        <f>IFERROR(__xludf.DUMMYFUNCTION("iferror(if(A241="""",,E241&gt;=FILTER(Constants!$F$2:$F$10,Constants!$A$2:$A$10=A241)))"),"")</f>
        <v/>
      </c>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c r="AJ242" s="80"/>
      <c r="AK242" s="80"/>
      <c r="AL242" s="80"/>
      <c r="AM242" s="80"/>
      <c r="AN242" s="80"/>
      <c r="AO242" s="80"/>
      <c r="AP242" s="80"/>
      <c r="AQ242" s="80"/>
      <c r="AR242" s="80"/>
      <c r="AS242" s="80"/>
      <c r="AT242" s="80"/>
      <c r="AU242" s="80"/>
      <c r="AV242" s="80"/>
      <c r="AW242" s="82" t="str">
        <f t="shared" si="1"/>
        <v/>
      </c>
      <c r="AX242" s="83" t="str">
        <f t="array" ref="AX242">IFERROR(DGET('SBV Import'!A:G,"SBV",{"RSC ID","Tier";B242,A242}))</f>
        <v/>
      </c>
      <c r="AY242" s="82" t="str">
        <f t="shared" si="2"/>
        <v/>
      </c>
      <c r="AZ242" s="82"/>
      <c r="BA242" s="84" t="s">
        <v>152</v>
      </c>
      <c r="BB242" s="84" t="str">
        <f>IFERROR(__xludf.DUMMYFUNCTION("iferror(if(A242="""",,E242&gt;=FILTER(Constants!$F$2:$F$10,Constants!$A$2:$A$10=A242)))"),"")</f>
        <v/>
      </c>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c r="AJ243" s="80"/>
      <c r="AK243" s="80"/>
      <c r="AL243" s="80"/>
      <c r="AM243" s="80"/>
      <c r="AN243" s="80"/>
      <c r="AO243" s="80"/>
      <c r="AP243" s="80"/>
      <c r="AQ243" s="80"/>
      <c r="AR243" s="80"/>
      <c r="AS243" s="80"/>
      <c r="AT243" s="80"/>
      <c r="AU243" s="80"/>
      <c r="AV243" s="80"/>
      <c r="AW243" s="82" t="str">
        <f t="shared" si="1"/>
        <v/>
      </c>
      <c r="AX243" s="83" t="str">
        <f t="array" ref="AX243">IFERROR(DGET('SBV Import'!A:G,"SBV",{"RSC ID","Tier";B243,A243}))</f>
        <v/>
      </c>
      <c r="AY243" s="82" t="str">
        <f t="shared" si="2"/>
        <v/>
      </c>
      <c r="AZ243" s="82"/>
      <c r="BA243" s="84" t="s">
        <v>152</v>
      </c>
      <c r="BB243" s="84" t="str">
        <f>IFERROR(__xludf.DUMMYFUNCTION("iferror(if(A243="""",,E243&gt;=FILTER(Constants!$F$2:$F$10,Constants!$A$2:$A$10=A243)))"),"")</f>
        <v/>
      </c>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c r="AJ244" s="80"/>
      <c r="AK244" s="80"/>
      <c r="AL244" s="80"/>
      <c r="AM244" s="80"/>
      <c r="AN244" s="80"/>
      <c r="AO244" s="80"/>
      <c r="AP244" s="80"/>
      <c r="AQ244" s="80"/>
      <c r="AR244" s="80"/>
      <c r="AS244" s="80"/>
      <c r="AT244" s="80"/>
      <c r="AU244" s="80"/>
      <c r="AV244" s="80"/>
      <c r="AW244" s="82" t="str">
        <f t="shared" si="1"/>
        <v/>
      </c>
      <c r="AX244" s="83" t="str">
        <f t="array" ref="AX244">IFERROR(DGET('SBV Import'!A:G,"SBV",{"RSC ID","Tier";B244,A244}))</f>
        <v/>
      </c>
      <c r="AY244" s="82" t="str">
        <f t="shared" si="2"/>
        <v/>
      </c>
      <c r="AZ244" s="82"/>
      <c r="BA244" s="84" t="s">
        <v>152</v>
      </c>
      <c r="BB244" s="84" t="str">
        <f>IFERROR(__xludf.DUMMYFUNCTION("iferror(if(A244="""",,E244&gt;=FILTER(Constants!$F$2:$F$10,Constants!$A$2:$A$10=A244)))"),"")</f>
        <v/>
      </c>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c r="AJ245" s="80"/>
      <c r="AK245" s="80"/>
      <c r="AL245" s="80"/>
      <c r="AM245" s="80"/>
      <c r="AN245" s="80"/>
      <c r="AO245" s="80"/>
      <c r="AP245" s="80"/>
      <c r="AQ245" s="80"/>
      <c r="AR245" s="80"/>
      <c r="AS245" s="80"/>
      <c r="AT245" s="80"/>
      <c r="AU245" s="80"/>
      <c r="AV245" s="80"/>
      <c r="AW245" s="82" t="str">
        <f t="shared" si="1"/>
        <v/>
      </c>
      <c r="AX245" s="83" t="str">
        <f t="array" ref="AX245">IFERROR(DGET('SBV Import'!A:G,"SBV",{"RSC ID","Tier";B245,A245}))</f>
        <v/>
      </c>
      <c r="AY245" s="82" t="str">
        <f t="shared" si="2"/>
        <v/>
      </c>
      <c r="AZ245" s="82"/>
      <c r="BA245" s="84" t="s">
        <v>152</v>
      </c>
      <c r="BB245" s="84" t="str">
        <f>IFERROR(__xludf.DUMMYFUNCTION("iferror(if(A245="""",,E245&gt;=FILTER(Constants!$F$2:$F$10,Constants!$A$2:$A$10=A245)))"),"")</f>
        <v/>
      </c>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c r="AJ246" s="80"/>
      <c r="AK246" s="80"/>
      <c r="AL246" s="80"/>
      <c r="AM246" s="80"/>
      <c r="AN246" s="80"/>
      <c r="AO246" s="80"/>
      <c r="AP246" s="80"/>
      <c r="AQ246" s="80"/>
      <c r="AR246" s="80"/>
      <c r="AS246" s="80"/>
      <c r="AT246" s="80"/>
      <c r="AU246" s="80"/>
      <c r="AV246" s="80"/>
      <c r="AW246" s="82" t="str">
        <f t="shared" si="1"/>
        <v/>
      </c>
      <c r="AX246" s="83" t="str">
        <f t="array" ref="AX246">IFERROR(DGET('SBV Import'!A:G,"SBV",{"RSC ID","Tier";B246,A246}))</f>
        <v/>
      </c>
      <c r="AY246" s="82" t="str">
        <f t="shared" si="2"/>
        <v/>
      </c>
      <c r="AZ246" s="82"/>
      <c r="BA246" s="84" t="s">
        <v>152</v>
      </c>
      <c r="BB246" s="84" t="str">
        <f>IFERROR(__xludf.DUMMYFUNCTION("iferror(if(A246="""",,E246&gt;=FILTER(Constants!$F$2:$F$10,Constants!$A$2:$A$10=A246)))"),"")</f>
        <v/>
      </c>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c r="AJ247" s="80"/>
      <c r="AK247" s="80"/>
      <c r="AL247" s="80"/>
      <c r="AM247" s="80"/>
      <c r="AN247" s="80"/>
      <c r="AO247" s="80"/>
      <c r="AP247" s="80"/>
      <c r="AQ247" s="80"/>
      <c r="AR247" s="80"/>
      <c r="AS247" s="80"/>
      <c r="AT247" s="80"/>
      <c r="AU247" s="80"/>
      <c r="AV247" s="80"/>
      <c r="AW247" s="82" t="str">
        <f t="shared" si="1"/>
        <v/>
      </c>
      <c r="AX247" s="83" t="str">
        <f t="array" ref="AX247">IFERROR(DGET('SBV Import'!A:G,"SBV",{"RSC ID","Tier";B247,A247}))</f>
        <v/>
      </c>
      <c r="AY247" s="82" t="str">
        <f t="shared" si="2"/>
        <v/>
      </c>
      <c r="AZ247" s="82"/>
      <c r="BA247" s="84" t="s">
        <v>152</v>
      </c>
      <c r="BB247" s="84" t="str">
        <f>IFERROR(__xludf.DUMMYFUNCTION("iferror(if(A247="""",,E247&gt;=FILTER(Constants!$F$2:$F$10,Constants!$A$2:$A$10=A247)))"),"")</f>
        <v/>
      </c>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c r="AJ248" s="80"/>
      <c r="AK248" s="80"/>
      <c r="AL248" s="80"/>
      <c r="AM248" s="80"/>
      <c r="AN248" s="80"/>
      <c r="AO248" s="80"/>
      <c r="AP248" s="80"/>
      <c r="AQ248" s="80"/>
      <c r="AR248" s="80"/>
      <c r="AS248" s="80"/>
      <c r="AT248" s="80"/>
      <c r="AU248" s="80"/>
      <c r="AV248" s="80"/>
      <c r="AW248" s="82" t="str">
        <f t="shared" si="1"/>
        <v/>
      </c>
      <c r="AX248" s="83" t="str">
        <f t="array" ref="AX248">IFERROR(DGET('SBV Import'!A:G,"SBV",{"RSC ID","Tier";B248,A248}))</f>
        <v/>
      </c>
      <c r="AY248" s="82" t="str">
        <f t="shared" si="2"/>
        <v/>
      </c>
      <c r="AZ248" s="82"/>
      <c r="BA248" s="84" t="s">
        <v>152</v>
      </c>
      <c r="BB248" s="84" t="str">
        <f>IFERROR(__xludf.DUMMYFUNCTION("iferror(if(A248="""",,E248&gt;=FILTER(Constants!$F$2:$F$10,Constants!$A$2:$A$10=A248)))"),"")</f>
        <v/>
      </c>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c r="AJ249" s="80"/>
      <c r="AK249" s="80"/>
      <c r="AL249" s="80"/>
      <c r="AM249" s="80"/>
      <c r="AN249" s="80"/>
      <c r="AO249" s="80"/>
      <c r="AP249" s="80"/>
      <c r="AQ249" s="80"/>
      <c r="AR249" s="80"/>
      <c r="AS249" s="80"/>
      <c r="AT249" s="80"/>
      <c r="AU249" s="80"/>
      <c r="AV249" s="80"/>
      <c r="AW249" s="82" t="str">
        <f t="shared" si="1"/>
        <v/>
      </c>
      <c r="AX249" s="83" t="str">
        <f t="array" ref="AX249">IFERROR(DGET('SBV Import'!A:G,"SBV",{"RSC ID","Tier";B249,A249}))</f>
        <v/>
      </c>
      <c r="AY249" s="82" t="str">
        <f t="shared" si="2"/>
        <v/>
      </c>
      <c r="AZ249" s="82"/>
      <c r="BA249" s="84" t="s">
        <v>152</v>
      </c>
      <c r="BB249" s="84" t="str">
        <f>IFERROR(__xludf.DUMMYFUNCTION("iferror(if(A249="""",,E249&gt;=FILTER(Constants!$F$2:$F$10,Constants!$A$2:$A$10=A249)))"),"")</f>
        <v/>
      </c>
    </row>
    <row r="250">
      <c r="A250" s="85"/>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c r="AJ250" s="80"/>
      <c r="AK250" s="80"/>
      <c r="AL250" s="80"/>
      <c r="AM250" s="80"/>
      <c r="AN250" s="80"/>
      <c r="AO250" s="80"/>
      <c r="AP250" s="80"/>
      <c r="AQ250" s="80"/>
      <c r="AR250" s="80"/>
      <c r="AS250" s="80"/>
      <c r="AT250" s="80"/>
      <c r="AU250" s="80"/>
      <c r="AV250" s="80"/>
      <c r="AW250" s="82" t="str">
        <f t="shared" si="1"/>
        <v/>
      </c>
      <c r="AX250" s="83" t="str">
        <f t="array" ref="AX250">IFERROR(DGET('SBV Import'!A:G,"SBV",{"RSC ID","Tier";B250,A250}))</f>
        <v/>
      </c>
      <c r="AY250" s="82" t="str">
        <f t="shared" si="2"/>
        <v/>
      </c>
      <c r="AZ250" s="82"/>
      <c r="BA250" s="84" t="s">
        <v>152</v>
      </c>
      <c r="BB250" s="84" t="str">
        <f>IFERROR(__xludf.DUMMYFUNCTION("iferror(if(A250="""",,E250&gt;=FILTER(Constants!$F$2:$F$10,Constants!$A$2:$A$10=A250)))"),"")</f>
        <v/>
      </c>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c r="AJ251" s="80"/>
      <c r="AK251" s="80"/>
      <c r="AL251" s="80"/>
      <c r="AM251" s="80"/>
      <c r="AN251" s="80"/>
      <c r="AO251" s="80"/>
      <c r="AP251" s="80"/>
      <c r="AQ251" s="80"/>
      <c r="AR251" s="80"/>
      <c r="AS251" s="80"/>
      <c r="AT251" s="80"/>
      <c r="AU251" s="80"/>
      <c r="AV251" s="80"/>
      <c r="AW251" s="82" t="str">
        <f t="shared" si="1"/>
        <v/>
      </c>
      <c r="AX251" s="83" t="str">
        <f t="array" ref="AX251">IFERROR(DGET('SBV Import'!A:G,"SBV",{"RSC ID","Tier";B251,A251}))</f>
        <v/>
      </c>
      <c r="AY251" s="82" t="str">
        <f t="shared" si="2"/>
        <v/>
      </c>
      <c r="AZ251" s="82"/>
      <c r="BA251" s="84" t="s">
        <v>152</v>
      </c>
      <c r="BB251" s="84" t="str">
        <f>IFERROR(__xludf.DUMMYFUNCTION("iferror(if(A251="""",,E251&gt;=FILTER(Constants!$F$2:$F$10,Constants!$A$2:$A$10=A251)))"),"")</f>
        <v/>
      </c>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c r="AJ252" s="80"/>
      <c r="AK252" s="80"/>
      <c r="AL252" s="80"/>
      <c r="AM252" s="80"/>
      <c r="AN252" s="80"/>
      <c r="AO252" s="80"/>
      <c r="AP252" s="80"/>
      <c r="AQ252" s="80"/>
      <c r="AR252" s="80"/>
      <c r="AS252" s="80"/>
      <c r="AT252" s="80"/>
      <c r="AU252" s="80"/>
      <c r="AV252" s="80"/>
      <c r="AW252" s="82" t="str">
        <f t="shared" si="1"/>
        <v/>
      </c>
      <c r="AX252" s="83" t="str">
        <f t="array" ref="AX252">IFERROR(DGET('SBV Import'!A:G,"SBV",{"RSC ID","Tier";B252,A252}))</f>
        <v/>
      </c>
      <c r="AY252" s="82" t="str">
        <f t="shared" si="2"/>
        <v/>
      </c>
      <c r="AZ252" s="82"/>
      <c r="BA252" s="84" t="s">
        <v>152</v>
      </c>
      <c r="BB252" s="84" t="str">
        <f>IFERROR(__xludf.DUMMYFUNCTION("iferror(if(A252="""",,E252&gt;=FILTER(Constants!$F$2:$F$10,Constants!$A$2:$A$10=A252)))"),"")</f>
        <v/>
      </c>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c r="AJ253" s="80"/>
      <c r="AK253" s="80"/>
      <c r="AL253" s="80"/>
      <c r="AM253" s="80"/>
      <c r="AN253" s="80"/>
      <c r="AO253" s="80"/>
      <c r="AP253" s="80"/>
      <c r="AQ253" s="80"/>
      <c r="AR253" s="80"/>
      <c r="AS253" s="80"/>
      <c r="AT253" s="80"/>
      <c r="AU253" s="80"/>
      <c r="AV253" s="80"/>
      <c r="AW253" s="82" t="str">
        <f t="shared" si="1"/>
        <v/>
      </c>
      <c r="AX253" s="83" t="str">
        <f t="array" ref="AX253">IFERROR(DGET('SBV Import'!A:G,"SBV",{"RSC ID","Tier";B253,A253}))</f>
        <v/>
      </c>
      <c r="AY253" s="82" t="str">
        <f t="shared" si="2"/>
        <v/>
      </c>
      <c r="AZ253" s="82"/>
      <c r="BA253" s="84" t="s">
        <v>152</v>
      </c>
      <c r="BB253" s="84" t="str">
        <f>IFERROR(__xludf.DUMMYFUNCTION("iferror(if(A253="""",,E253&gt;=FILTER(Constants!$F$2:$F$10,Constants!$A$2:$A$10=A253)))"),"")</f>
        <v/>
      </c>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c r="AJ254" s="80"/>
      <c r="AK254" s="80"/>
      <c r="AL254" s="80"/>
      <c r="AM254" s="80"/>
      <c r="AN254" s="80"/>
      <c r="AO254" s="80"/>
      <c r="AP254" s="80"/>
      <c r="AQ254" s="80"/>
      <c r="AR254" s="80"/>
      <c r="AS254" s="80"/>
      <c r="AT254" s="80"/>
      <c r="AU254" s="80"/>
      <c r="AV254" s="80"/>
      <c r="AW254" s="82" t="str">
        <f t="shared" si="1"/>
        <v/>
      </c>
      <c r="AX254" s="83" t="str">
        <f t="array" ref="AX254">IFERROR(DGET('SBV Import'!A:G,"SBV",{"RSC ID","Tier";B254,A254}))</f>
        <v/>
      </c>
      <c r="AY254" s="82" t="str">
        <f t="shared" si="2"/>
        <v/>
      </c>
      <c r="AZ254" s="82"/>
      <c r="BA254" s="84" t="s">
        <v>152</v>
      </c>
      <c r="BB254" s="84" t="str">
        <f>IFERROR(__xludf.DUMMYFUNCTION("iferror(if(A254="""",,E254&gt;=FILTER(Constants!$F$2:$F$10,Constants!$A$2:$A$10=A254)))"),"")</f>
        <v/>
      </c>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c r="AJ255" s="80"/>
      <c r="AK255" s="80"/>
      <c r="AL255" s="80"/>
      <c r="AM255" s="80"/>
      <c r="AN255" s="80"/>
      <c r="AO255" s="80"/>
      <c r="AP255" s="80"/>
      <c r="AQ255" s="80"/>
      <c r="AR255" s="80"/>
      <c r="AS255" s="80"/>
      <c r="AT255" s="80"/>
      <c r="AU255" s="80"/>
      <c r="AV255" s="80"/>
      <c r="AW255" s="82" t="str">
        <f t="shared" si="1"/>
        <v/>
      </c>
      <c r="AX255" s="83" t="str">
        <f t="array" ref="AX255">IFERROR(DGET('SBV Import'!A:G,"SBV",{"RSC ID","Tier";B255,A255}))</f>
        <v/>
      </c>
      <c r="AY255" s="82" t="str">
        <f t="shared" si="2"/>
        <v/>
      </c>
      <c r="AZ255" s="82"/>
      <c r="BA255" s="84" t="s">
        <v>152</v>
      </c>
      <c r="BB255" s="84" t="str">
        <f>IFERROR(__xludf.DUMMYFUNCTION("iferror(if(A255="""",,E255&gt;=FILTER(Constants!$F$2:$F$10,Constants!$A$2:$A$10=A255)))"),"")</f>
        <v/>
      </c>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c r="AJ256" s="80"/>
      <c r="AK256" s="80"/>
      <c r="AL256" s="80"/>
      <c r="AM256" s="80"/>
      <c r="AN256" s="80"/>
      <c r="AO256" s="80"/>
      <c r="AP256" s="80"/>
      <c r="AQ256" s="80"/>
      <c r="AR256" s="80"/>
      <c r="AS256" s="80"/>
      <c r="AT256" s="80"/>
      <c r="AU256" s="80"/>
      <c r="AV256" s="80"/>
      <c r="AW256" s="82" t="str">
        <f t="shared" si="1"/>
        <v/>
      </c>
      <c r="AX256" s="83" t="str">
        <f t="array" ref="AX256">IFERROR(DGET('SBV Import'!A:G,"SBV",{"RSC ID","Tier";B256,A256}))</f>
        <v/>
      </c>
      <c r="AY256" s="82" t="str">
        <f t="shared" si="2"/>
        <v/>
      </c>
      <c r="AZ256" s="82"/>
      <c r="BA256" s="84" t="s">
        <v>152</v>
      </c>
      <c r="BB256" s="84" t="str">
        <f>IFERROR(__xludf.DUMMYFUNCTION("iferror(if(A256="""",,E256&gt;=FILTER(Constants!$F$2:$F$10,Constants!$A$2:$A$10=A256)))"),"")</f>
        <v/>
      </c>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c r="AJ257" s="80"/>
      <c r="AK257" s="80"/>
      <c r="AL257" s="80"/>
      <c r="AM257" s="80"/>
      <c r="AN257" s="80"/>
      <c r="AO257" s="80"/>
      <c r="AP257" s="80"/>
      <c r="AQ257" s="80"/>
      <c r="AR257" s="80"/>
      <c r="AS257" s="80"/>
      <c r="AT257" s="80"/>
      <c r="AU257" s="80"/>
      <c r="AV257" s="80"/>
      <c r="AW257" s="82" t="str">
        <f t="shared" si="1"/>
        <v/>
      </c>
      <c r="AX257" s="83" t="str">
        <f t="array" ref="AX257">IFERROR(DGET('SBV Import'!A:G,"SBV",{"RSC ID","Tier";B257,A257}))</f>
        <v/>
      </c>
      <c r="AY257" s="82" t="str">
        <f t="shared" si="2"/>
        <v/>
      </c>
      <c r="AZ257" s="82"/>
      <c r="BA257" s="84" t="s">
        <v>152</v>
      </c>
      <c r="BB257" s="84" t="str">
        <f>IFERROR(__xludf.DUMMYFUNCTION("iferror(if(A257="""",,E257&gt;=FILTER(Constants!$F$2:$F$10,Constants!$A$2:$A$10=A257)))"),"")</f>
        <v/>
      </c>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c r="AJ258" s="80"/>
      <c r="AK258" s="80"/>
      <c r="AL258" s="80"/>
      <c r="AM258" s="80"/>
      <c r="AN258" s="80"/>
      <c r="AO258" s="80"/>
      <c r="AP258" s="80"/>
      <c r="AQ258" s="80"/>
      <c r="AR258" s="80"/>
      <c r="AS258" s="80"/>
      <c r="AT258" s="80"/>
      <c r="AU258" s="80"/>
      <c r="AV258" s="80"/>
      <c r="AW258" s="82" t="str">
        <f t="shared" si="1"/>
        <v/>
      </c>
      <c r="AX258" s="83" t="str">
        <f t="array" ref="AX258">IFERROR(DGET('SBV Import'!A:G,"SBV",{"RSC ID","Tier";B258,A258}))</f>
        <v/>
      </c>
      <c r="AY258" s="82" t="str">
        <f t="shared" si="2"/>
        <v/>
      </c>
      <c r="AZ258" s="82"/>
      <c r="BA258" s="84" t="s">
        <v>152</v>
      </c>
      <c r="BB258" s="84" t="str">
        <f>IFERROR(__xludf.DUMMYFUNCTION("iferror(if(A258="""",,E258&gt;=FILTER(Constants!$F$2:$F$10,Constants!$A$2:$A$10=A258)))"),"")</f>
        <v/>
      </c>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c r="AJ259" s="80"/>
      <c r="AK259" s="80"/>
      <c r="AL259" s="80"/>
      <c r="AM259" s="80"/>
      <c r="AN259" s="80"/>
      <c r="AO259" s="80"/>
      <c r="AP259" s="80"/>
      <c r="AQ259" s="80"/>
      <c r="AR259" s="80"/>
      <c r="AS259" s="80"/>
      <c r="AT259" s="80"/>
      <c r="AU259" s="80"/>
      <c r="AV259" s="80"/>
      <c r="AW259" s="82" t="str">
        <f t="shared" si="1"/>
        <v/>
      </c>
      <c r="AX259" s="83" t="str">
        <f t="array" ref="AX259">IFERROR(DGET('SBV Import'!A:G,"SBV",{"RSC ID","Tier";B259,A259}))</f>
        <v/>
      </c>
      <c r="AY259" s="82" t="str">
        <f t="shared" si="2"/>
        <v/>
      </c>
      <c r="AZ259" s="82"/>
      <c r="BA259" s="84" t="s">
        <v>152</v>
      </c>
      <c r="BB259" s="84" t="str">
        <f>IFERROR(__xludf.DUMMYFUNCTION("iferror(if(A259="""",,E259&gt;=FILTER(Constants!$F$2:$F$10,Constants!$A$2:$A$10=A259)))"),"")</f>
        <v/>
      </c>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c r="AJ260" s="80"/>
      <c r="AK260" s="80"/>
      <c r="AL260" s="80"/>
      <c r="AM260" s="80"/>
      <c r="AN260" s="80"/>
      <c r="AO260" s="80"/>
      <c r="AP260" s="80"/>
      <c r="AQ260" s="80"/>
      <c r="AR260" s="80"/>
      <c r="AS260" s="80"/>
      <c r="AT260" s="80"/>
      <c r="AU260" s="80"/>
      <c r="AV260" s="80"/>
      <c r="AW260" s="82" t="str">
        <f t="shared" si="1"/>
        <v/>
      </c>
      <c r="AX260" s="83" t="str">
        <f t="array" ref="AX260">IFERROR(DGET('SBV Import'!A:G,"SBV",{"RSC ID","Tier";B260,A260}))</f>
        <v/>
      </c>
      <c r="AY260" s="82" t="str">
        <f t="shared" si="2"/>
        <v/>
      </c>
      <c r="AZ260" s="82"/>
      <c r="BA260" s="84" t="s">
        <v>152</v>
      </c>
      <c r="BB260" s="84" t="str">
        <f>IFERROR(__xludf.DUMMYFUNCTION("iferror(if(A260="""",,E260&gt;=FILTER(Constants!$F$2:$F$10,Constants!$A$2:$A$10=A260)))"),"")</f>
        <v/>
      </c>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c r="AJ261" s="80"/>
      <c r="AK261" s="80"/>
      <c r="AL261" s="80"/>
      <c r="AM261" s="80"/>
      <c r="AN261" s="80"/>
      <c r="AO261" s="80"/>
      <c r="AP261" s="80"/>
      <c r="AQ261" s="80"/>
      <c r="AR261" s="80"/>
      <c r="AS261" s="80"/>
      <c r="AT261" s="80"/>
      <c r="AU261" s="80"/>
      <c r="AV261" s="80"/>
      <c r="AW261" s="82" t="str">
        <f t="shared" si="1"/>
        <v/>
      </c>
      <c r="AX261" s="83" t="str">
        <f t="array" ref="AX261">IFERROR(DGET('SBV Import'!A:G,"SBV",{"RSC ID","Tier";B261,A261}))</f>
        <v/>
      </c>
      <c r="AY261" s="82" t="str">
        <f t="shared" si="2"/>
        <v/>
      </c>
      <c r="AZ261" s="82"/>
      <c r="BA261" s="84" t="s">
        <v>152</v>
      </c>
      <c r="BB261" s="84" t="str">
        <f>IFERROR(__xludf.DUMMYFUNCTION("iferror(if(A261="""",,E261&gt;=FILTER(Constants!$F$2:$F$10,Constants!$A$2:$A$10=A261)))"),"")</f>
        <v/>
      </c>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c r="AJ262" s="80"/>
      <c r="AK262" s="80"/>
      <c r="AL262" s="80"/>
      <c r="AM262" s="80"/>
      <c r="AN262" s="80"/>
      <c r="AO262" s="80"/>
      <c r="AP262" s="80"/>
      <c r="AQ262" s="80"/>
      <c r="AR262" s="80"/>
      <c r="AS262" s="80"/>
      <c r="AT262" s="80"/>
      <c r="AU262" s="80"/>
      <c r="AV262" s="80"/>
      <c r="AW262" s="82" t="str">
        <f t="shared" si="1"/>
        <v/>
      </c>
      <c r="AX262" s="83" t="str">
        <f t="array" ref="AX262">IFERROR(DGET('SBV Import'!A:G,"SBV",{"RSC ID","Tier";B262,A262}))</f>
        <v/>
      </c>
      <c r="AY262" s="82" t="str">
        <f t="shared" si="2"/>
        <v/>
      </c>
      <c r="AZ262" s="82"/>
      <c r="BA262" s="84" t="s">
        <v>152</v>
      </c>
      <c r="BB262" s="84" t="str">
        <f>IFERROR(__xludf.DUMMYFUNCTION("iferror(if(A262="""",,E262&gt;=FILTER(Constants!$F$2:$F$10,Constants!$A$2:$A$10=A262)))"),"")</f>
        <v/>
      </c>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c r="AJ263" s="80"/>
      <c r="AK263" s="80"/>
      <c r="AL263" s="80"/>
      <c r="AM263" s="80"/>
      <c r="AN263" s="80"/>
      <c r="AO263" s="80"/>
      <c r="AP263" s="80"/>
      <c r="AQ263" s="80"/>
      <c r="AR263" s="80"/>
      <c r="AS263" s="80"/>
      <c r="AT263" s="80"/>
      <c r="AU263" s="80"/>
      <c r="AV263" s="80"/>
      <c r="AW263" s="82" t="str">
        <f t="shared" si="1"/>
        <v/>
      </c>
      <c r="AX263" s="83" t="str">
        <f t="array" ref="AX263">IFERROR(DGET('SBV Import'!A:G,"SBV",{"RSC ID","Tier";B263,A263}))</f>
        <v/>
      </c>
      <c r="AY263" s="82" t="str">
        <f t="shared" si="2"/>
        <v/>
      </c>
      <c r="AZ263" s="82"/>
      <c r="BA263" s="84" t="s">
        <v>152</v>
      </c>
      <c r="BB263" s="84" t="str">
        <f>IFERROR(__xludf.DUMMYFUNCTION("iferror(if(A263="""",,E263&gt;=FILTER(Constants!$F$2:$F$10,Constants!$A$2:$A$10=A263)))"),"")</f>
        <v/>
      </c>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c r="AJ264" s="80"/>
      <c r="AK264" s="80"/>
      <c r="AL264" s="80"/>
      <c r="AM264" s="80"/>
      <c r="AN264" s="80"/>
      <c r="AO264" s="80"/>
      <c r="AP264" s="80"/>
      <c r="AQ264" s="80"/>
      <c r="AR264" s="80"/>
      <c r="AS264" s="80"/>
      <c r="AT264" s="80"/>
      <c r="AU264" s="80"/>
      <c r="AV264" s="80"/>
      <c r="AW264" s="82" t="str">
        <f t="shared" si="1"/>
        <v/>
      </c>
      <c r="AX264" s="83" t="str">
        <f t="array" ref="AX264">IFERROR(DGET('SBV Import'!A:G,"SBV",{"RSC ID","Tier";B264,A264}))</f>
        <v/>
      </c>
      <c r="AY264" s="82" t="str">
        <f t="shared" si="2"/>
        <v/>
      </c>
      <c r="AZ264" s="82"/>
      <c r="BA264" s="84" t="s">
        <v>152</v>
      </c>
      <c r="BB264" s="84" t="str">
        <f>IFERROR(__xludf.DUMMYFUNCTION("iferror(if(A264="""",,E264&gt;=FILTER(Constants!$F$2:$F$10,Constants!$A$2:$A$10=A264)))"),"")</f>
        <v/>
      </c>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c r="AJ265" s="80"/>
      <c r="AK265" s="80"/>
      <c r="AL265" s="80"/>
      <c r="AM265" s="80"/>
      <c r="AN265" s="80"/>
      <c r="AO265" s="80"/>
      <c r="AP265" s="80"/>
      <c r="AQ265" s="80"/>
      <c r="AR265" s="80"/>
      <c r="AS265" s="80"/>
      <c r="AT265" s="80"/>
      <c r="AU265" s="80"/>
      <c r="AV265" s="80"/>
      <c r="AW265" s="82" t="str">
        <f t="shared" si="1"/>
        <v/>
      </c>
      <c r="AX265" s="83" t="str">
        <f t="array" ref="AX265">IFERROR(DGET('SBV Import'!A:G,"SBV",{"RSC ID","Tier";B265,A265}))</f>
        <v/>
      </c>
      <c r="AY265" s="82" t="str">
        <f t="shared" si="2"/>
        <v/>
      </c>
      <c r="AZ265" s="82"/>
      <c r="BA265" s="84" t="s">
        <v>152</v>
      </c>
      <c r="BB265" s="84" t="str">
        <f>IFERROR(__xludf.DUMMYFUNCTION("iferror(if(A265="""",,E265&gt;=FILTER(Constants!$F$2:$F$10,Constants!$A$2:$A$10=A265)))"),"")</f>
        <v/>
      </c>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c r="AJ266" s="80"/>
      <c r="AK266" s="80"/>
      <c r="AL266" s="80"/>
      <c r="AM266" s="80"/>
      <c r="AN266" s="80"/>
      <c r="AO266" s="80"/>
      <c r="AP266" s="80"/>
      <c r="AQ266" s="80"/>
      <c r="AR266" s="80"/>
      <c r="AS266" s="80"/>
      <c r="AT266" s="80"/>
      <c r="AU266" s="80"/>
      <c r="AV266" s="80"/>
      <c r="AW266" s="82" t="str">
        <f t="shared" si="1"/>
        <v/>
      </c>
      <c r="AX266" s="83" t="str">
        <f t="array" ref="AX266">IFERROR(DGET('SBV Import'!A:G,"SBV",{"RSC ID","Tier";B266,A266}))</f>
        <v/>
      </c>
      <c r="AY266" s="82" t="str">
        <f t="shared" si="2"/>
        <v/>
      </c>
      <c r="AZ266" s="82"/>
      <c r="BA266" s="84" t="s">
        <v>152</v>
      </c>
      <c r="BB266" s="84" t="str">
        <f>IFERROR(__xludf.DUMMYFUNCTION("iferror(if(A266="""",,E266&gt;=FILTER(Constants!$F$2:$F$10,Constants!$A$2:$A$10=A266)))"),"")</f>
        <v/>
      </c>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c r="AJ267" s="80"/>
      <c r="AK267" s="80"/>
      <c r="AL267" s="80"/>
      <c r="AM267" s="80"/>
      <c r="AN267" s="80"/>
      <c r="AO267" s="80"/>
      <c r="AP267" s="80"/>
      <c r="AQ267" s="80"/>
      <c r="AR267" s="80"/>
      <c r="AS267" s="80"/>
      <c r="AT267" s="80"/>
      <c r="AU267" s="80"/>
      <c r="AV267" s="80"/>
      <c r="AW267" s="82" t="str">
        <f t="shared" si="1"/>
        <v/>
      </c>
      <c r="AX267" s="83" t="str">
        <f t="array" ref="AX267">IFERROR(DGET('SBV Import'!A:G,"SBV",{"RSC ID","Tier";B267,A267}))</f>
        <v/>
      </c>
      <c r="AY267" s="82" t="str">
        <f t="shared" si="2"/>
        <v/>
      </c>
      <c r="AZ267" s="82"/>
      <c r="BA267" s="84" t="s">
        <v>152</v>
      </c>
      <c r="BB267" s="84" t="str">
        <f>IFERROR(__xludf.DUMMYFUNCTION("iferror(if(A267="""",,E267&gt;=FILTER(Constants!$F$2:$F$10,Constants!$A$2:$A$10=A267)))"),"")</f>
        <v/>
      </c>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c r="AJ268" s="80"/>
      <c r="AK268" s="80"/>
      <c r="AL268" s="80"/>
      <c r="AM268" s="80"/>
      <c r="AN268" s="80"/>
      <c r="AO268" s="80"/>
      <c r="AP268" s="80"/>
      <c r="AQ268" s="80"/>
      <c r="AR268" s="80"/>
      <c r="AS268" s="80"/>
      <c r="AT268" s="80"/>
      <c r="AU268" s="80"/>
      <c r="AV268" s="80"/>
      <c r="AW268" s="82" t="str">
        <f t="shared" si="1"/>
        <v/>
      </c>
      <c r="AX268" s="83" t="str">
        <f t="array" ref="AX268">IFERROR(DGET('SBV Import'!A:G,"SBV",{"RSC ID","Tier";B268,A268}))</f>
        <v/>
      </c>
      <c r="AY268" s="82" t="str">
        <f t="shared" si="2"/>
        <v/>
      </c>
      <c r="AZ268" s="82"/>
      <c r="BA268" s="84" t="s">
        <v>152</v>
      </c>
      <c r="BB268" s="84" t="str">
        <f>IFERROR(__xludf.DUMMYFUNCTION("iferror(if(A268="""",,E268&gt;=FILTER(Constants!$F$2:$F$10,Constants!$A$2:$A$10=A268)))"),"")</f>
        <v/>
      </c>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c r="AJ269" s="80"/>
      <c r="AK269" s="80"/>
      <c r="AL269" s="80"/>
      <c r="AM269" s="80"/>
      <c r="AN269" s="80"/>
      <c r="AO269" s="80"/>
      <c r="AP269" s="80"/>
      <c r="AQ269" s="80"/>
      <c r="AR269" s="80"/>
      <c r="AS269" s="80"/>
      <c r="AT269" s="80"/>
      <c r="AU269" s="80"/>
      <c r="AV269" s="80"/>
      <c r="AW269" s="82" t="str">
        <f t="shared" si="1"/>
        <v/>
      </c>
      <c r="AX269" s="83" t="str">
        <f t="array" ref="AX269">IFERROR(DGET('SBV Import'!A:G,"SBV",{"RSC ID","Tier";B269,A269}))</f>
        <v/>
      </c>
      <c r="AY269" s="82" t="str">
        <f t="shared" si="2"/>
        <v/>
      </c>
      <c r="AZ269" s="82"/>
      <c r="BA269" s="84" t="s">
        <v>152</v>
      </c>
      <c r="BB269" s="84" t="str">
        <f>IFERROR(__xludf.DUMMYFUNCTION("iferror(if(A269="""",,E269&gt;=FILTER(Constants!$F$2:$F$10,Constants!$A$2:$A$10=A269)))"),"")</f>
        <v/>
      </c>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c r="AJ270" s="80"/>
      <c r="AK270" s="80"/>
      <c r="AL270" s="80"/>
      <c r="AM270" s="80"/>
      <c r="AN270" s="80"/>
      <c r="AO270" s="80"/>
      <c r="AP270" s="80"/>
      <c r="AQ270" s="80"/>
      <c r="AR270" s="80"/>
      <c r="AS270" s="80"/>
      <c r="AT270" s="80"/>
      <c r="AU270" s="80"/>
      <c r="AV270" s="80"/>
      <c r="AW270" s="82" t="str">
        <f t="shared" si="1"/>
        <v/>
      </c>
      <c r="AX270" s="83" t="str">
        <f t="array" ref="AX270">IFERROR(DGET('SBV Import'!A:G,"SBV",{"RSC ID","Tier";B270,A270}))</f>
        <v/>
      </c>
      <c r="AY270" s="82" t="str">
        <f t="shared" si="2"/>
        <v/>
      </c>
      <c r="AZ270" s="82"/>
      <c r="BA270" s="84" t="s">
        <v>152</v>
      </c>
      <c r="BB270" s="84" t="str">
        <f>IFERROR(__xludf.DUMMYFUNCTION("iferror(if(A270="""",,E270&gt;=FILTER(Constants!$F$2:$F$10,Constants!$A$2:$A$10=A270)))"),"")</f>
        <v/>
      </c>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c r="AJ271" s="80"/>
      <c r="AK271" s="80"/>
      <c r="AL271" s="80"/>
      <c r="AM271" s="80"/>
      <c r="AN271" s="80"/>
      <c r="AO271" s="80"/>
      <c r="AP271" s="80"/>
      <c r="AQ271" s="80"/>
      <c r="AR271" s="80"/>
      <c r="AS271" s="80"/>
      <c r="AT271" s="80"/>
      <c r="AU271" s="80"/>
      <c r="AV271" s="80"/>
      <c r="AW271" s="82" t="str">
        <f t="shared" si="1"/>
        <v/>
      </c>
      <c r="AX271" s="83" t="str">
        <f t="array" ref="AX271">IFERROR(DGET('SBV Import'!A:G,"SBV",{"RSC ID","Tier";B271,A271}))</f>
        <v/>
      </c>
      <c r="AY271" s="82" t="str">
        <f t="shared" si="2"/>
        <v/>
      </c>
      <c r="AZ271" s="82"/>
      <c r="BA271" s="84" t="s">
        <v>152</v>
      </c>
      <c r="BB271" s="84" t="str">
        <f>IFERROR(__xludf.DUMMYFUNCTION("iferror(if(A271="""",,E271&gt;=FILTER(Constants!$F$2:$F$10,Constants!$A$2:$A$10=A271)))"),"")</f>
        <v/>
      </c>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c r="AJ272" s="80"/>
      <c r="AK272" s="80"/>
      <c r="AL272" s="80"/>
      <c r="AM272" s="80"/>
      <c r="AN272" s="80"/>
      <c r="AO272" s="80"/>
      <c r="AP272" s="80"/>
      <c r="AQ272" s="80"/>
      <c r="AR272" s="80"/>
      <c r="AS272" s="80"/>
      <c r="AT272" s="80"/>
      <c r="AU272" s="80"/>
      <c r="AV272" s="80"/>
      <c r="AW272" s="82" t="str">
        <f t="shared" si="1"/>
        <v/>
      </c>
      <c r="AX272" s="83" t="str">
        <f t="array" ref="AX272">IFERROR(DGET('SBV Import'!A:G,"SBV",{"RSC ID","Tier";B272,A272}))</f>
        <v/>
      </c>
      <c r="AY272" s="82" t="str">
        <f t="shared" si="2"/>
        <v/>
      </c>
      <c r="AZ272" s="82"/>
      <c r="BA272" s="84" t="s">
        <v>152</v>
      </c>
      <c r="BB272" s="84" t="str">
        <f>IFERROR(__xludf.DUMMYFUNCTION("iferror(if(A272="""",,E272&gt;=FILTER(Constants!$F$2:$F$10,Constants!$A$2:$A$10=A272)))"),"")</f>
        <v/>
      </c>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c r="AJ273" s="80"/>
      <c r="AK273" s="80"/>
      <c r="AL273" s="80"/>
      <c r="AM273" s="80"/>
      <c r="AN273" s="80"/>
      <c r="AO273" s="80"/>
      <c r="AP273" s="80"/>
      <c r="AQ273" s="80"/>
      <c r="AR273" s="80"/>
      <c r="AS273" s="80"/>
      <c r="AT273" s="80"/>
      <c r="AU273" s="80"/>
      <c r="AV273" s="80"/>
      <c r="AW273" s="82" t="str">
        <f t="shared" si="1"/>
        <v/>
      </c>
      <c r="AX273" s="83" t="str">
        <f t="array" ref="AX273">IFERROR(DGET('SBV Import'!A:G,"SBV",{"RSC ID","Tier";B273,A273}))</f>
        <v/>
      </c>
      <c r="AY273" s="82" t="str">
        <f t="shared" si="2"/>
        <v/>
      </c>
      <c r="AZ273" s="82"/>
      <c r="BA273" s="84" t="s">
        <v>152</v>
      </c>
      <c r="BB273" s="84" t="str">
        <f>IFERROR(__xludf.DUMMYFUNCTION("iferror(if(A273="""",,E273&gt;=FILTER(Constants!$F$2:$F$10,Constants!$A$2:$A$10=A273)))"),"")</f>
        <v/>
      </c>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c r="AJ274" s="80"/>
      <c r="AK274" s="80"/>
      <c r="AL274" s="80"/>
      <c r="AM274" s="80"/>
      <c r="AN274" s="80"/>
      <c r="AO274" s="80"/>
      <c r="AP274" s="80"/>
      <c r="AQ274" s="80"/>
      <c r="AR274" s="80"/>
      <c r="AS274" s="80"/>
      <c r="AT274" s="80"/>
      <c r="AU274" s="80"/>
      <c r="AV274" s="80"/>
      <c r="AW274" s="82" t="str">
        <f t="shared" si="1"/>
        <v/>
      </c>
      <c r="AX274" s="83" t="str">
        <f t="array" ref="AX274">IFERROR(DGET('SBV Import'!A:G,"SBV",{"RSC ID","Tier";B274,A274}))</f>
        <v/>
      </c>
      <c r="AY274" s="82" t="str">
        <f t="shared" si="2"/>
        <v/>
      </c>
      <c r="AZ274" s="82"/>
      <c r="BA274" s="84" t="s">
        <v>152</v>
      </c>
      <c r="BB274" s="84" t="str">
        <f>IFERROR(__xludf.DUMMYFUNCTION("iferror(if(A274="""",,E274&gt;=FILTER(Constants!$F$2:$F$10,Constants!$A$2:$A$10=A274)))"),"")</f>
        <v/>
      </c>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c r="AJ275" s="80"/>
      <c r="AK275" s="80"/>
      <c r="AL275" s="80"/>
      <c r="AM275" s="80"/>
      <c r="AN275" s="80"/>
      <c r="AO275" s="80"/>
      <c r="AP275" s="80"/>
      <c r="AQ275" s="80"/>
      <c r="AR275" s="80"/>
      <c r="AS275" s="80"/>
      <c r="AT275" s="80"/>
      <c r="AU275" s="80"/>
      <c r="AV275" s="80"/>
      <c r="AW275" s="82" t="str">
        <f t="shared" si="1"/>
        <v/>
      </c>
      <c r="AX275" s="83" t="str">
        <f t="array" ref="AX275">IFERROR(DGET('SBV Import'!A:G,"SBV",{"RSC ID","Tier";B275,A275}))</f>
        <v/>
      </c>
      <c r="AY275" s="82" t="str">
        <f t="shared" si="2"/>
        <v/>
      </c>
      <c r="AZ275" s="82"/>
      <c r="BA275" s="84" t="s">
        <v>152</v>
      </c>
      <c r="BB275" s="84" t="str">
        <f>IFERROR(__xludf.DUMMYFUNCTION("iferror(if(A275="""",,E275&gt;=FILTER(Constants!$F$2:$F$10,Constants!$A$2:$A$10=A275)))"),"")</f>
        <v/>
      </c>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c r="AJ276" s="80"/>
      <c r="AK276" s="80"/>
      <c r="AL276" s="80"/>
      <c r="AM276" s="80"/>
      <c r="AN276" s="80"/>
      <c r="AO276" s="80"/>
      <c r="AP276" s="80"/>
      <c r="AQ276" s="80"/>
      <c r="AR276" s="80"/>
      <c r="AS276" s="80"/>
      <c r="AT276" s="80"/>
      <c r="AU276" s="80"/>
      <c r="AV276" s="80"/>
      <c r="AW276" s="82" t="str">
        <f t="shared" si="1"/>
        <v/>
      </c>
      <c r="AX276" s="83" t="str">
        <f t="array" ref="AX276">IFERROR(DGET('SBV Import'!A:G,"SBV",{"RSC ID","Tier";B276,A276}))</f>
        <v/>
      </c>
      <c r="AY276" s="82" t="str">
        <f t="shared" si="2"/>
        <v/>
      </c>
      <c r="AZ276" s="82"/>
      <c r="BA276" s="84" t="s">
        <v>152</v>
      </c>
      <c r="BB276" s="84" t="str">
        <f>IFERROR(__xludf.DUMMYFUNCTION("iferror(if(A276="""",,E276&gt;=FILTER(Constants!$F$2:$F$10,Constants!$A$2:$A$10=A276)))"),"")</f>
        <v/>
      </c>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c r="AJ277" s="80"/>
      <c r="AK277" s="80"/>
      <c r="AL277" s="80"/>
      <c r="AM277" s="80"/>
      <c r="AN277" s="80"/>
      <c r="AO277" s="80"/>
      <c r="AP277" s="80"/>
      <c r="AQ277" s="80"/>
      <c r="AR277" s="80"/>
      <c r="AS277" s="80"/>
      <c r="AT277" s="80"/>
      <c r="AU277" s="80"/>
      <c r="AV277" s="80"/>
      <c r="AW277" s="82" t="str">
        <f t="shared" si="1"/>
        <v/>
      </c>
      <c r="AX277" s="83" t="str">
        <f t="array" ref="AX277">IFERROR(DGET('SBV Import'!A:G,"SBV",{"RSC ID","Tier";B277,A277}))</f>
        <v/>
      </c>
      <c r="AY277" s="82" t="str">
        <f t="shared" si="2"/>
        <v/>
      </c>
      <c r="AZ277" s="82"/>
      <c r="BA277" s="84" t="s">
        <v>152</v>
      </c>
      <c r="BB277" s="84" t="str">
        <f>IFERROR(__xludf.DUMMYFUNCTION("iferror(if(A277="""",,E277&gt;=FILTER(Constants!$F$2:$F$10,Constants!$A$2:$A$10=A277)))"),"")</f>
        <v/>
      </c>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c r="AJ278" s="80"/>
      <c r="AK278" s="80"/>
      <c r="AL278" s="80"/>
      <c r="AM278" s="80"/>
      <c r="AN278" s="80"/>
      <c r="AO278" s="80"/>
      <c r="AP278" s="80"/>
      <c r="AQ278" s="80"/>
      <c r="AR278" s="80"/>
      <c r="AS278" s="80"/>
      <c r="AT278" s="80"/>
      <c r="AU278" s="80"/>
      <c r="AV278" s="80"/>
      <c r="AW278" s="82" t="str">
        <f t="shared" si="1"/>
        <v/>
      </c>
      <c r="AX278" s="83" t="str">
        <f t="array" ref="AX278">IFERROR(DGET('SBV Import'!A:G,"SBV",{"RSC ID","Tier";B278,A278}))</f>
        <v/>
      </c>
      <c r="AY278" s="82" t="str">
        <f t="shared" si="2"/>
        <v/>
      </c>
      <c r="AZ278" s="82"/>
      <c r="BA278" s="84" t="s">
        <v>152</v>
      </c>
      <c r="BB278" s="84" t="str">
        <f>IFERROR(__xludf.DUMMYFUNCTION("iferror(if(A278="""",,E278&gt;=FILTER(Constants!$F$2:$F$10,Constants!$A$2:$A$10=A278)))"),"")</f>
        <v/>
      </c>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c r="AJ279" s="80"/>
      <c r="AK279" s="80"/>
      <c r="AL279" s="80"/>
      <c r="AM279" s="80"/>
      <c r="AN279" s="80"/>
      <c r="AO279" s="80"/>
      <c r="AP279" s="80"/>
      <c r="AQ279" s="80"/>
      <c r="AR279" s="80"/>
      <c r="AS279" s="80"/>
      <c r="AT279" s="80"/>
      <c r="AU279" s="80"/>
      <c r="AV279" s="80"/>
      <c r="AW279" s="82" t="str">
        <f t="shared" si="1"/>
        <v/>
      </c>
      <c r="AX279" s="83" t="str">
        <f t="array" ref="AX279">IFERROR(DGET('SBV Import'!A:G,"SBV",{"RSC ID","Tier";B279,A279}))</f>
        <v/>
      </c>
      <c r="AY279" s="82" t="str">
        <f t="shared" si="2"/>
        <v/>
      </c>
      <c r="AZ279" s="82"/>
      <c r="BA279" s="84" t="s">
        <v>152</v>
      </c>
      <c r="BB279" s="84" t="str">
        <f>IFERROR(__xludf.DUMMYFUNCTION("iferror(if(A279="""",,E279&gt;=FILTER(Constants!$F$2:$F$10,Constants!$A$2:$A$10=A279)))"),"")</f>
        <v/>
      </c>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c r="AJ280" s="80"/>
      <c r="AK280" s="80"/>
      <c r="AL280" s="80"/>
      <c r="AM280" s="80"/>
      <c r="AN280" s="80"/>
      <c r="AO280" s="80"/>
      <c r="AP280" s="80"/>
      <c r="AQ280" s="80"/>
      <c r="AR280" s="80"/>
      <c r="AS280" s="80"/>
      <c r="AT280" s="80"/>
      <c r="AU280" s="80"/>
      <c r="AV280" s="80"/>
      <c r="AW280" s="82" t="str">
        <f t="shared" si="1"/>
        <v/>
      </c>
      <c r="AX280" s="83" t="str">
        <f t="array" ref="AX280">IFERROR(DGET('SBV Import'!A:G,"SBV",{"RSC ID","Tier";B280,A280}))</f>
        <v/>
      </c>
      <c r="AY280" s="82" t="str">
        <f t="shared" si="2"/>
        <v/>
      </c>
      <c r="AZ280" s="82"/>
      <c r="BA280" s="84" t="s">
        <v>152</v>
      </c>
      <c r="BB280" s="84" t="str">
        <f>IFERROR(__xludf.DUMMYFUNCTION("iferror(if(A280="""",,E280&gt;=FILTER(Constants!$F$2:$F$10,Constants!$A$2:$A$10=A280)))"),"")</f>
        <v/>
      </c>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c r="AJ281" s="80"/>
      <c r="AK281" s="80"/>
      <c r="AL281" s="80"/>
      <c r="AM281" s="80"/>
      <c r="AN281" s="80"/>
      <c r="AO281" s="80"/>
      <c r="AP281" s="80"/>
      <c r="AQ281" s="80"/>
      <c r="AR281" s="80"/>
      <c r="AS281" s="80"/>
      <c r="AT281" s="80"/>
      <c r="AU281" s="80"/>
      <c r="AV281" s="80"/>
      <c r="AW281" s="82" t="str">
        <f t="shared" si="1"/>
        <v/>
      </c>
      <c r="AX281" s="83" t="str">
        <f t="array" ref="AX281">IFERROR(DGET('SBV Import'!A:G,"SBV",{"RSC ID","Tier";B281,A281}))</f>
        <v/>
      </c>
      <c r="AY281" s="82" t="str">
        <f t="shared" si="2"/>
        <v/>
      </c>
      <c r="AZ281" s="82"/>
      <c r="BA281" s="84" t="s">
        <v>152</v>
      </c>
      <c r="BB281" s="84" t="str">
        <f>IFERROR(__xludf.DUMMYFUNCTION("iferror(if(A281="""",,E281&gt;=FILTER(Constants!$F$2:$F$10,Constants!$A$2:$A$10=A281)))"),"")</f>
        <v/>
      </c>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c r="AJ282" s="80"/>
      <c r="AK282" s="80"/>
      <c r="AL282" s="80"/>
      <c r="AM282" s="80"/>
      <c r="AN282" s="80"/>
      <c r="AO282" s="80"/>
      <c r="AP282" s="80"/>
      <c r="AQ282" s="80"/>
      <c r="AR282" s="80"/>
      <c r="AS282" s="80"/>
      <c r="AT282" s="80"/>
      <c r="AU282" s="80"/>
      <c r="AV282" s="80"/>
      <c r="AW282" s="82" t="str">
        <f t="shared" si="1"/>
        <v/>
      </c>
      <c r="AX282" s="83" t="str">
        <f t="array" ref="AX282">IFERROR(DGET('SBV Import'!A:G,"SBV",{"RSC ID","Tier";B282,A282}))</f>
        <v/>
      </c>
      <c r="AY282" s="82" t="str">
        <f t="shared" si="2"/>
        <v/>
      </c>
      <c r="AZ282" s="82"/>
      <c r="BA282" s="84" t="s">
        <v>152</v>
      </c>
      <c r="BB282" s="84" t="str">
        <f>IFERROR(__xludf.DUMMYFUNCTION("iferror(if(A282="""",,E282&gt;=FILTER(Constants!$F$2:$F$10,Constants!$A$2:$A$10=A282)))"),"")</f>
        <v/>
      </c>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c r="AJ283" s="80"/>
      <c r="AK283" s="80"/>
      <c r="AL283" s="80"/>
      <c r="AM283" s="80"/>
      <c r="AN283" s="80"/>
      <c r="AO283" s="80"/>
      <c r="AP283" s="80"/>
      <c r="AQ283" s="80"/>
      <c r="AR283" s="80"/>
      <c r="AS283" s="80"/>
      <c r="AT283" s="80"/>
      <c r="AU283" s="80"/>
      <c r="AV283" s="80"/>
      <c r="AW283" s="82" t="str">
        <f t="shared" si="1"/>
        <v/>
      </c>
      <c r="AX283" s="83" t="str">
        <f t="array" ref="AX283">IFERROR(DGET('SBV Import'!A:G,"SBV",{"RSC ID","Tier";B283,A283}))</f>
        <v/>
      </c>
      <c r="AY283" s="82" t="str">
        <f t="shared" si="2"/>
        <v/>
      </c>
      <c r="AZ283" s="82"/>
      <c r="BA283" s="84" t="s">
        <v>152</v>
      </c>
      <c r="BB283" s="84" t="str">
        <f>IFERROR(__xludf.DUMMYFUNCTION("iferror(if(A283="""",,E283&gt;=FILTER(Constants!$F$2:$F$10,Constants!$A$2:$A$10=A283)))"),"")</f>
        <v/>
      </c>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c r="AJ284" s="80"/>
      <c r="AK284" s="80"/>
      <c r="AL284" s="80"/>
      <c r="AM284" s="80"/>
      <c r="AN284" s="80"/>
      <c r="AO284" s="80"/>
      <c r="AP284" s="80"/>
      <c r="AQ284" s="80"/>
      <c r="AR284" s="80"/>
      <c r="AS284" s="80"/>
      <c r="AT284" s="80"/>
      <c r="AU284" s="80"/>
      <c r="AV284" s="80"/>
      <c r="AW284" s="82" t="str">
        <f t="shared" si="1"/>
        <v/>
      </c>
      <c r="AX284" s="83" t="str">
        <f t="array" ref="AX284">IFERROR(DGET('SBV Import'!A:G,"SBV",{"RSC ID","Tier";B284,A284}))</f>
        <v/>
      </c>
      <c r="AY284" s="82" t="str">
        <f t="shared" si="2"/>
        <v/>
      </c>
      <c r="AZ284" s="82"/>
      <c r="BA284" s="84" t="s">
        <v>152</v>
      </c>
      <c r="BB284" s="84" t="str">
        <f>IFERROR(__xludf.DUMMYFUNCTION("iferror(if(A284="""",,E284&gt;=FILTER(Constants!$F$2:$F$10,Constants!$A$2:$A$10=A284)))"),"")</f>
        <v/>
      </c>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c r="AJ285" s="80"/>
      <c r="AK285" s="80"/>
      <c r="AL285" s="80"/>
      <c r="AM285" s="80"/>
      <c r="AN285" s="80"/>
      <c r="AO285" s="80"/>
      <c r="AP285" s="80"/>
      <c r="AQ285" s="80"/>
      <c r="AR285" s="80"/>
      <c r="AS285" s="80"/>
      <c r="AT285" s="80"/>
      <c r="AU285" s="80"/>
      <c r="AV285" s="80"/>
      <c r="AW285" s="82" t="str">
        <f t="shared" si="1"/>
        <v/>
      </c>
      <c r="AX285" s="83" t="str">
        <f t="array" ref="AX285">IFERROR(DGET('SBV Import'!A:G,"SBV",{"RSC ID","Tier";B285,A285}))</f>
        <v/>
      </c>
      <c r="AY285" s="82" t="str">
        <f t="shared" si="2"/>
        <v/>
      </c>
      <c r="AZ285" s="82"/>
      <c r="BA285" s="84" t="s">
        <v>152</v>
      </c>
      <c r="BB285" s="84" t="str">
        <f>IFERROR(__xludf.DUMMYFUNCTION("iferror(if(A285="""",,E285&gt;=FILTER(Constants!$F$2:$F$10,Constants!$A$2:$A$10=A285)))"),"")</f>
        <v/>
      </c>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c r="AJ286" s="80"/>
      <c r="AK286" s="80"/>
      <c r="AL286" s="80"/>
      <c r="AM286" s="80"/>
      <c r="AN286" s="80"/>
      <c r="AO286" s="80"/>
      <c r="AP286" s="80"/>
      <c r="AQ286" s="80"/>
      <c r="AR286" s="80"/>
      <c r="AS286" s="80"/>
      <c r="AT286" s="80"/>
      <c r="AU286" s="80"/>
      <c r="AV286" s="80"/>
      <c r="AW286" s="82" t="str">
        <f t="shared" si="1"/>
        <v/>
      </c>
      <c r="AX286" s="83" t="str">
        <f t="array" ref="AX286">IFERROR(DGET('SBV Import'!A:G,"SBV",{"RSC ID","Tier";B286,A286}))</f>
        <v/>
      </c>
      <c r="AY286" s="82" t="str">
        <f t="shared" si="2"/>
        <v/>
      </c>
      <c r="AZ286" s="82"/>
      <c r="BA286" s="84" t="s">
        <v>152</v>
      </c>
      <c r="BB286" s="84" t="str">
        <f>IFERROR(__xludf.DUMMYFUNCTION("iferror(if(A286="""",,E286&gt;=FILTER(Constants!$F$2:$F$10,Constants!$A$2:$A$10=A286)))"),"")</f>
        <v/>
      </c>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c r="AJ287" s="80"/>
      <c r="AK287" s="80"/>
      <c r="AL287" s="80"/>
      <c r="AM287" s="80"/>
      <c r="AN287" s="80"/>
      <c r="AO287" s="80"/>
      <c r="AP287" s="80"/>
      <c r="AQ287" s="80"/>
      <c r="AR287" s="80"/>
      <c r="AS287" s="80"/>
      <c r="AT287" s="80"/>
      <c r="AU287" s="80"/>
      <c r="AV287" s="80"/>
      <c r="AW287" s="82" t="str">
        <f t="shared" si="1"/>
        <v/>
      </c>
      <c r="AX287" s="83" t="str">
        <f t="array" ref="AX287">IFERROR(DGET('SBV Import'!A:G,"SBV",{"RSC ID","Tier";B287,A287}))</f>
        <v/>
      </c>
      <c r="AY287" s="82" t="str">
        <f t="shared" si="2"/>
        <v/>
      </c>
      <c r="AZ287" s="82"/>
      <c r="BA287" s="84" t="s">
        <v>152</v>
      </c>
      <c r="BB287" s="84" t="str">
        <f>IFERROR(__xludf.DUMMYFUNCTION("iferror(if(A287="""",,E287&gt;=FILTER(Constants!$F$2:$F$10,Constants!$A$2:$A$10=A287)))"),"")</f>
        <v/>
      </c>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c r="AJ288" s="80"/>
      <c r="AK288" s="80"/>
      <c r="AL288" s="80"/>
      <c r="AM288" s="80"/>
      <c r="AN288" s="80"/>
      <c r="AO288" s="80"/>
      <c r="AP288" s="80"/>
      <c r="AQ288" s="80"/>
      <c r="AR288" s="80"/>
      <c r="AS288" s="80"/>
      <c r="AT288" s="80"/>
      <c r="AU288" s="80"/>
      <c r="AV288" s="80"/>
      <c r="AW288" s="82" t="str">
        <f t="shared" si="1"/>
        <v/>
      </c>
      <c r="AX288" s="83" t="str">
        <f t="array" ref="AX288">IFERROR(DGET('SBV Import'!A:G,"SBV",{"RSC ID","Tier";B288,A288}))</f>
        <v/>
      </c>
      <c r="AY288" s="82" t="str">
        <f t="shared" si="2"/>
        <v/>
      </c>
      <c r="AZ288" s="82"/>
      <c r="BA288" s="84" t="s">
        <v>152</v>
      </c>
      <c r="BB288" s="84" t="str">
        <f>IFERROR(__xludf.DUMMYFUNCTION("iferror(if(A288="""",,E288&gt;=FILTER(Constants!$F$2:$F$10,Constants!$A$2:$A$10=A288)))"),"")</f>
        <v/>
      </c>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c r="AJ289" s="80"/>
      <c r="AK289" s="80"/>
      <c r="AL289" s="80"/>
      <c r="AM289" s="80"/>
      <c r="AN289" s="80"/>
      <c r="AO289" s="80"/>
      <c r="AP289" s="80"/>
      <c r="AQ289" s="80"/>
      <c r="AR289" s="80"/>
      <c r="AS289" s="80"/>
      <c r="AT289" s="80"/>
      <c r="AU289" s="80"/>
      <c r="AV289" s="80"/>
      <c r="AW289" s="82" t="str">
        <f t="shared" si="1"/>
        <v/>
      </c>
      <c r="AX289" s="83" t="str">
        <f t="array" ref="AX289">IFERROR(DGET('SBV Import'!A:G,"SBV",{"RSC ID","Tier";B289,A289}))</f>
        <v/>
      </c>
      <c r="AY289" s="82" t="str">
        <f t="shared" si="2"/>
        <v/>
      </c>
      <c r="AZ289" s="82"/>
      <c r="BA289" s="84" t="s">
        <v>152</v>
      </c>
      <c r="BB289" s="84" t="str">
        <f>IFERROR(__xludf.DUMMYFUNCTION("iferror(if(A289="""",,E289&gt;=FILTER(Constants!$F$2:$F$10,Constants!$A$2:$A$10=A289)))"),"")</f>
        <v/>
      </c>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c r="AJ290" s="80"/>
      <c r="AK290" s="80"/>
      <c r="AL290" s="80"/>
      <c r="AM290" s="80"/>
      <c r="AN290" s="80"/>
      <c r="AO290" s="80"/>
      <c r="AP290" s="80"/>
      <c r="AQ290" s="80"/>
      <c r="AR290" s="80"/>
      <c r="AS290" s="80"/>
      <c r="AT290" s="80"/>
      <c r="AU290" s="80"/>
      <c r="AV290" s="80"/>
      <c r="AW290" s="82" t="str">
        <f t="shared" si="1"/>
        <v/>
      </c>
      <c r="AX290" s="83" t="str">
        <f t="array" ref="AX290">IFERROR(DGET('SBV Import'!A:G,"SBV",{"RSC ID","Tier";B290,A290}))</f>
        <v/>
      </c>
      <c r="AY290" s="82" t="str">
        <f t="shared" si="2"/>
        <v/>
      </c>
      <c r="AZ290" s="82"/>
      <c r="BA290" s="84" t="s">
        <v>152</v>
      </c>
      <c r="BB290" s="84" t="str">
        <f>IFERROR(__xludf.DUMMYFUNCTION("iferror(if(A290="""",,E290&gt;=FILTER(Constants!$F$2:$F$10,Constants!$A$2:$A$10=A290)))"),"")</f>
        <v/>
      </c>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c r="AJ291" s="80"/>
      <c r="AK291" s="80"/>
      <c r="AL291" s="80"/>
      <c r="AM291" s="80"/>
      <c r="AN291" s="80"/>
      <c r="AO291" s="80"/>
      <c r="AP291" s="80"/>
      <c r="AQ291" s="80"/>
      <c r="AR291" s="80"/>
      <c r="AS291" s="80"/>
      <c r="AT291" s="80"/>
      <c r="AU291" s="80"/>
      <c r="AV291" s="80"/>
      <c r="AW291" s="82" t="str">
        <f t="shared" si="1"/>
        <v/>
      </c>
      <c r="AX291" s="83" t="str">
        <f t="array" ref="AX291">IFERROR(DGET('SBV Import'!A:G,"SBV",{"RSC ID","Tier";B291,A291}))</f>
        <v/>
      </c>
      <c r="AY291" s="82" t="str">
        <f t="shared" si="2"/>
        <v/>
      </c>
      <c r="AZ291" s="82"/>
      <c r="BA291" s="84" t="s">
        <v>152</v>
      </c>
      <c r="BB291" s="84" t="str">
        <f>IFERROR(__xludf.DUMMYFUNCTION("iferror(if(A291="""",,E291&gt;=FILTER(Constants!$F$2:$F$10,Constants!$A$2:$A$10=A291)))"),"")</f>
        <v/>
      </c>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c r="AJ292" s="80"/>
      <c r="AK292" s="80"/>
      <c r="AL292" s="80"/>
      <c r="AM292" s="80"/>
      <c r="AN292" s="80"/>
      <c r="AO292" s="80"/>
      <c r="AP292" s="80"/>
      <c r="AQ292" s="80"/>
      <c r="AR292" s="80"/>
      <c r="AS292" s="80"/>
      <c r="AT292" s="80"/>
      <c r="AU292" s="80"/>
      <c r="AV292" s="80"/>
      <c r="AW292" s="82" t="str">
        <f t="shared" si="1"/>
        <v/>
      </c>
      <c r="AX292" s="83" t="str">
        <f t="array" ref="AX292">IFERROR(DGET('SBV Import'!A:G,"SBV",{"RSC ID","Tier";B292,A292}))</f>
        <v/>
      </c>
      <c r="AY292" s="82" t="str">
        <f t="shared" si="2"/>
        <v/>
      </c>
      <c r="AZ292" s="82"/>
      <c r="BA292" s="84" t="s">
        <v>152</v>
      </c>
      <c r="BB292" s="84" t="str">
        <f>IFERROR(__xludf.DUMMYFUNCTION("iferror(if(A292="""",,E292&gt;=FILTER(Constants!$F$2:$F$10,Constants!$A$2:$A$10=A292)))"),"")</f>
        <v/>
      </c>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c r="AJ293" s="80"/>
      <c r="AK293" s="80"/>
      <c r="AL293" s="80"/>
      <c r="AM293" s="80"/>
      <c r="AN293" s="80"/>
      <c r="AO293" s="80"/>
      <c r="AP293" s="80"/>
      <c r="AQ293" s="80"/>
      <c r="AR293" s="80"/>
      <c r="AS293" s="80"/>
      <c r="AT293" s="80"/>
      <c r="AU293" s="80"/>
      <c r="AV293" s="80"/>
      <c r="AW293" s="82" t="str">
        <f t="shared" si="1"/>
        <v/>
      </c>
      <c r="AX293" s="83" t="str">
        <f t="array" ref="AX293">IFERROR(DGET('SBV Import'!A:G,"SBV",{"RSC ID","Tier";B293,A293}))</f>
        <v/>
      </c>
      <c r="AY293" s="82" t="str">
        <f t="shared" si="2"/>
        <v/>
      </c>
      <c r="AZ293" s="82"/>
      <c r="BA293" s="84" t="s">
        <v>152</v>
      </c>
      <c r="BB293" s="84" t="str">
        <f>IFERROR(__xludf.DUMMYFUNCTION("iferror(if(A293="""",,E293&gt;=FILTER(Constants!$F$2:$F$10,Constants!$A$2:$A$10=A293)))"),"")</f>
        <v/>
      </c>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c r="AJ294" s="80"/>
      <c r="AK294" s="80"/>
      <c r="AL294" s="80"/>
      <c r="AM294" s="80"/>
      <c r="AN294" s="80"/>
      <c r="AO294" s="80"/>
      <c r="AP294" s="80"/>
      <c r="AQ294" s="80"/>
      <c r="AR294" s="80"/>
      <c r="AS294" s="80"/>
      <c r="AT294" s="80"/>
      <c r="AU294" s="80"/>
      <c r="AV294" s="80"/>
      <c r="AW294" s="82" t="str">
        <f t="shared" si="1"/>
        <v/>
      </c>
      <c r="AX294" s="83" t="str">
        <f t="array" ref="AX294">IFERROR(DGET('SBV Import'!A:G,"SBV",{"RSC ID","Tier";B294,A294}))</f>
        <v/>
      </c>
      <c r="AY294" s="82" t="str">
        <f t="shared" si="2"/>
        <v/>
      </c>
      <c r="AZ294" s="82"/>
      <c r="BA294" s="84" t="s">
        <v>152</v>
      </c>
      <c r="BB294" s="84" t="str">
        <f>IFERROR(__xludf.DUMMYFUNCTION("iferror(if(A294="""",,E294&gt;=FILTER(Constants!$F$2:$F$10,Constants!$A$2:$A$10=A294)))"),"")</f>
        <v/>
      </c>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c r="AJ295" s="80"/>
      <c r="AK295" s="80"/>
      <c r="AL295" s="80"/>
      <c r="AM295" s="80"/>
      <c r="AN295" s="80"/>
      <c r="AO295" s="80"/>
      <c r="AP295" s="80"/>
      <c r="AQ295" s="80"/>
      <c r="AR295" s="80"/>
      <c r="AS295" s="80"/>
      <c r="AT295" s="80"/>
      <c r="AU295" s="80"/>
      <c r="AV295" s="80"/>
      <c r="AW295" s="82" t="str">
        <f t="shared" si="1"/>
        <v/>
      </c>
      <c r="AX295" s="83" t="str">
        <f t="array" ref="AX295">IFERROR(DGET('SBV Import'!A:G,"SBV",{"RSC ID","Tier";B295,A295}))</f>
        <v/>
      </c>
      <c r="AY295" s="82" t="str">
        <f t="shared" si="2"/>
        <v/>
      </c>
      <c r="AZ295" s="82"/>
      <c r="BA295" s="84" t="s">
        <v>152</v>
      </c>
      <c r="BB295" s="84" t="str">
        <f>IFERROR(__xludf.DUMMYFUNCTION("iferror(if(A295="""",,E295&gt;=FILTER(Constants!$F$2:$F$10,Constants!$A$2:$A$10=A295)))"),"")</f>
        <v/>
      </c>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c r="AJ296" s="80"/>
      <c r="AK296" s="80"/>
      <c r="AL296" s="80"/>
      <c r="AM296" s="80"/>
      <c r="AN296" s="80"/>
      <c r="AO296" s="80"/>
      <c r="AP296" s="80"/>
      <c r="AQ296" s="80"/>
      <c r="AR296" s="80"/>
      <c r="AS296" s="80"/>
      <c r="AT296" s="80"/>
      <c r="AU296" s="80"/>
      <c r="AV296" s="80"/>
      <c r="AW296" s="82" t="str">
        <f t="shared" si="1"/>
        <v/>
      </c>
      <c r="AX296" s="83" t="str">
        <f t="array" ref="AX296">IFERROR(DGET('SBV Import'!A:G,"SBV",{"RSC ID","Tier";B296,A296}))</f>
        <v/>
      </c>
      <c r="AY296" s="82" t="str">
        <f t="shared" si="2"/>
        <v/>
      </c>
      <c r="AZ296" s="82"/>
      <c r="BA296" s="84" t="s">
        <v>152</v>
      </c>
      <c r="BB296" s="84" t="str">
        <f>IFERROR(__xludf.DUMMYFUNCTION("iferror(if(A296="""",,E296&gt;=FILTER(Constants!$F$2:$F$10,Constants!$A$2:$A$10=A296)))"),"")</f>
        <v/>
      </c>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c r="AJ297" s="80"/>
      <c r="AK297" s="80"/>
      <c r="AL297" s="80"/>
      <c r="AM297" s="80"/>
      <c r="AN297" s="80"/>
      <c r="AO297" s="80"/>
      <c r="AP297" s="80"/>
      <c r="AQ297" s="80"/>
      <c r="AR297" s="80"/>
      <c r="AS297" s="80"/>
      <c r="AT297" s="80"/>
      <c r="AU297" s="80"/>
      <c r="AV297" s="80"/>
      <c r="AW297" s="82" t="str">
        <f t="shared" si="1"/>
        <v/>
      </c>
      <c r="AX297" s="83" t="str">
        <f t="array" ref="AX297">IFERROR(DGET('SBV Import'!A:G,"SBV",{"RSC ID","Tier";B297,A297}))</f>
        <v/>
      </c>
      <c r="AY297" s="82" t="str">
        <f t="shared" si="2"/>
        <v/>
      </c>
      <c r="AZ297" s="82"/>
      <c r="BA297" s="84" t="s">
        <v>152</v>
      </c>
      <c r="BB297" s="84" t="str">
        <f>IFERROR(__xludf.DUMMYFUNCTION("iferror(if(A297="""",,E297&gt;=FILTER(Constants!$F$2:$F$10,Constants!$A$2:$A$10=A297)))"),"")</f>
        <v/>
      </c>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c r="AJ298" s="80"/>
      <c r="AK298" s="80"/>
      <c r="AL298" s="80"/>
      <c r="AM298" s="80"/>
      <c r="AN298" s="80"/>
      <c r="AO298" s="80"/>
      <c r="AP298" s="80"/>
      <c r="AQ298" s="80"/>
      <c r="AR298" s="80"/>
      <c r="AS298" s="80"/>
      <c r="AT298" s="80"/>
      <c r="AU298" s="80"/>
      <c r="AV298" s="80"/>
      <c r="AW298" s="82" t="str">
        <f t="shared" si="1"/>
        <v/>
      </c>
      <c r="AX298" s="83" t="str">
        <f t="array" ref="AX298">IFERROR(DGET('SBV Import'!A:G,"SBV",{"RSC ID","Tier";B298,A298}))</f>
        <v/>
      </c>
      <c r="AY298" s="82" t="str">
        <f t="shared" si="2"/>
        <v/>
      </c>
      <c r="AZ298" s="82"/>
      <c r="BA298" s="84" t="s">
        <v>152</v>
      </c>
      <c r="BB298" s="84" t="str">
        <f>IFERROR(__xludf.DUMMYFUNCTION("iferror(if(A298="""",,E298&gt;=FILTER(Constants!$F$2:$F$10,Constants!$A$2:$A$10=A298)))"),"")</f>
        <v/>
      </c>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c r="AJ299" s="80"/>
      <c r="AK299" s="80"/>
      <c r="AL299" s="80"/>
      <c r="AM299" s="80"/>
      <c r="AN299" s="80"/>
      <c r="AO299" s="80"/>
      <c r="AP299" s="80"/>
      <c r="AQ299" s="80"/>
      <c r="AR299" s="80"/>
      <c r="AS299" s="80"/>
      <c r="AT299" s="80"/>
      <c r="AU299" s="80"/>
      <c r="AV299" s="80"/>
      <c r="AW299" s="82" t="str">
        <f t="shared" si="1"/>
        <v/>
      </c>
      <c r="AX299" s="83" t="str">
        <f t="array" ref="AX299">IFERROR(DGET('SBV Import'!A:G,"SBV",{"RSC ID","Tier";B299,A299}))</f>
        <v/>
      </c>
      <c r="AY299" s="82" t="str">
        <f t="shared" si="2"/>
        <v/>
      </c>
      <c r="AZ299" s="82"/>
      <c r="BA299" s="84" t="s">
        <v>152</v>
      </c>
      <c r="BB299" s="84" t="str">
        <f>IFERROR(__xludf.DUMMYFUNCTION("iferror(if(A299="""",,E299&gt;=FILTER(Constants!$F$2:$F$10,Constants!$A$2:$A$10=A299)))"),"")</f>
        <v/>
      </c>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c r="AJ300" s="80"/>
      <c r="AK300" s="80"/>
      <c r="AL300" s="80"/>
      <c r="AM300" s="80"/>
      <c r="AN300" s="80"/>
      <c r="AO300" s="80"/>
      <c r="AP300" s="80"/>
      <c r="AQ300" s="80"/>
      <c r="AR300" s="80"/>
      <c r="AS300" s="80"/>
      <c r="AT300" s="80"/>
      <c r="AU300" s="80"/>
      <c r="AV300" s="80"/>
      <c r="AW300" s="82" t="str">
        <f t="shared" si="1"/>
        <v/>
      </c>
      <c r="AX300" s="83" t="str">
        <f t="array" ref="AX300">IFERROR(DGET('SBV Import'!A:G,"SBV",{"RSC ID","Tier";B300,A300}))</f>
        <v/>
      </c>
      <c r="AY300" s="82" t="str">
        <f t="shared" si="2"/>
        <v/>
      </c>
      <c r="AZ300" s="82"/>
      <c r="BA300" s="84" t="s">
        <v>152</v>
      </c>
      <c r="BB300" s="84" t="str">
        <f>IFERROR(__xludf.DUMMYFUNCTION("iferror(if(A300="""",,E300&gt;=FILTER(Constants!$F$2:$F$10,Constants!$A$2:$A$10=A300)))"),"")</f>
        <v/>
      </c>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c r="AJ301" s="80"/>
      <c r="AK301" s="80"/>
      <c r="AL301" s="80"/>
      <c r="AM301" s="80"/>
      <c r="AN301" s="80"/>
      <c r="AO301" s="80"/>
      <c r="AP301" s="80"/>
      <c r="AQ301" s="80"/>
      <c r="AR301" s="80"/>
      <c r="AS301" s="80"/>
      <c r="AT301" s="80"/>
      <c r="AU301" s="80"/>
      <c r="AV301" s="80"/>
      <c r="AW301" s="82" t="str">
        <f t="shared" si="1"/>
        <v/>
      </c>
      <c r="AX301" s="83" t="str">
        <f t="array" ref="AX301">IFERROR(DGET('SBV Import'!A:G,"SBV",{"RSC ID","Tier";B301,A301}))</f>
        <v/>
      </c>
      <c r="AY301" s="82" t="str">
        <f t="shared" si="2"/>
        <v/>
      </c>
      <c r="AZ301" s="82"/>
      <c r="BA301" s="84" t="s">
        <v>152</v>
      </c>
      <c r="BB301" s="84" t="str">
        <f>IFERROR(__xludf.DUMMYFUNCTION("iferror(if(A301="""",,E301&gt;=FILTER(Constants!$F$2:$F$10,Constants!$A$2:$A$10=A301)))"),"")</f>
        <v/>
      </c>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c r="AJ302" s="80"/>
      <c r="AK302" s="80"/>
      <c r="AL302" s="80"/>
      <c r="AM302" s="80"/>
      <c r="AN302" s="80"/>
      <c r="AO302" s="80"/>
      <c r="AP302" s="80"/>
      <c r="AQ302" s="80"/>
      <c r="AR302" s="80"/>
      <c r="AS302" s="80"/>
      <c r="AT302" s="80"/>
      <c r="AU302" s="80"/>
      <c r="AV302" s="80"/>
      <c r="AW302" s="82" t="str">
        <f t="shared" si="1"/>
        <v/>
      </c>
      <c r="AX302" s="83" t="str">
        <f t="array" ref="AX302">IFERROR(DGET('SBV Import'!A:G,"SBV",{"RSC ID","Tier";B302,A302}))</f>
        <v/>
      </c>
      <c r="AY302" s="82" t="str">
        <f t="shared" si="2"/>
        <v/>
      </c>
      <c r="AZ302" s="82"/>
      <c r="BA302" s="84" t="s">
        <v>152</v>
      </c>
      <c r="BB302" s="84" t="str">
        <f>IFERROR(__xludf.DUMMYFUNCTION("iferror(if(A302="""",,E302&gt;=FILTER(Constants!$F$2:$F$10,Constants!$A$2:$A$10=A302)))"),"")</f>
        <v/>
      </c>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c r="AJ303" s="80"/>
      <c r="AK303" s="80"/>
      <c r="AL303" s="80"/>
      <c r="AM303" s="80"/>
      <c r="AN303" s="80"/>
      <c r="AO303" s="80"/>
      <c r="AP303" s="80"/>
      <c r="AQ303" s="80"/>
      <c r="AR303" s="80"/>
      <c r="AS303" s="80"/>
      <c r="AT303" s="80"/>
      <c r="AU303" s="80"/>
      <c r="AV303" s="80"/>
      <c r="AW303" s="82" t="str">
        <f t="shared" si="1"/>
        <v/>
      </c>
      <c r="AX303" s="83" t="str">
        <f t="array" ref="AX303">IFERROR(DGET('SBV Import'!A:G,"SBV",{"RSC ID","Tier";B303,A303}))</f>
        <v/>
      </c>
      <c r="AY303" s="82" t="str">
        <f t="shared" si="2"/>
        <v/>
      </c>
      <c r="AZ303" s="82"/>
      <c r="BA303" s="84" t="s">
        <v>152</v>
      </c>
      <c r="BB303" s="84" t="str">
        <f>IFERROR(__xludf.DUMMYFUNCTION("iferror(if(A303="""",,E303&gt;=FILTER(Constants!$F$2:$F$10,Constants!$A$2:$A$10=A303)))"),"")</f>
        <v/>
      </c>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c r="AJ304" s="80"/>
      <c r="AK304" s="80"/>
      <c r="AL304" s="80"/>
      <c r="AM304" s="80"/>
      <c r="AN304" s="80"/>
      <c r="AO304" s="80"/>
      <c r="AP304" s="80"/>
      <c r="AQ304" s="80"/>
      <c r="AR304" s="80"/>
      <c r="AS304" s="80"/>
      <c r="AT304" s="80"/>
      <c r="AU304" s="80"/>
      <c r="AV304" s="80"/>
      <c r="AW304" s="82" t="str">
        <f t="shared" si="1"/>
        <v/>
      </c>
      <c r="AX304" s="83" t="str">
        <f t="array" ref="AX304">IFERROR(DGET('SBV Import'!A:G,"SBV",{"RSC ID","Tier";B304,A304}))</f>
        <v/>
      </c>
      <c r="AY304" s="82" t="str">
        <f t="shared" si="2"/>
        <v/>
      </c>
      <c r="AZ304" s="82"/>
      <c r="BA304" s="84" t="s">
        <v>152</v>
      </c>
      <c r="BB304" s="84" t="str">
        <f>IFERROR(__xludf.DUMMYFUNCTION("iferror(if(A304="""",,E304&gt;=FILTER(Constants!$F$2:$F$10,Constants!$A$2:$A$10=A304)))"),"")</f>
        <v/>
      </c>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c r="AJ305" s="80"/>
      <c r="AK305" s="80"/>
      <c r="AL305" s="80"/>
      <c r="AM305" s="80"/>
      <c r="AN305" s="80"/>
      <c r="AO305" s="80"/>
      <c r="AP305" s="80"/>
      <c r="AQ305" s="80"/>
      <c r="AR305" s="80"/>
      <c r="AS305" s="80"/>
      <c r="AT305" s="80"/>
      <c r="AU305" s="80"/>
      <c r="AV305" s="80"/>
      <c r="AW305" s="82" t="str">
        <f t="shared" si="1"/>
        <v/>
      </c>
      <c r="AX305" s="83" t="str">
        <f t="array" ref="AX305">IFERROR(DGET('SBV Import'!A:G,"SBV",{"RSC ID","Tier";B305,A305}))</f>
        <v/>
      </c>
      <c r="AY305" s="82" t="str">
        <f t="shared" si="2"/>
        <v/>
      </c>
      <c r="AZ305" s="82"/>
      <c r="BA305" s="84" t="s">
        <v>152</v>
      </c>
      <c r="BB305" s="84" t="str">
        <f>IFERROR(__xludf.DUMMYFUNCTION("iferror(if(A305="""",,E305&gt;=FILTER(Constants!$F$2:$F$10,Constants!$A$2:$A$10=A305)))"),"")</f>
        <v/>
      </c>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c r="AJ306" s="80"/>
      <c r="AK306" s="80"/>
      <c r="AL306" s="80"/>
      <c r="AM306" s="80"/>
      <c r="AN306" s="80"/>
      <c r="AO306" s="80"/>
      <c r="AP306" s="80"/>
      <c r="AQ306" s="80"/>
      <c r="AR306" s="80"/>
      <c r="AS306" s="80"/>
      <c r="AT306" s="80"/>
      <c r="AU306" s="80"/>
      <c r="AV306" s="80"/>
      <c r="AW306" s="82" t="str">
        <f t="shared" si="1"/>
        <v/>
      </c>
      <c r="AX306" s="83" t="str">
        <f t="array" ref="AX306">IFERROR(DGET('SBV Import'!A:G,"SBV",{"RSC ID","Tier";B306,A306}))</f>
        <v/>
      </c>
      <c r="AY306" s="82" t="str">
        <f t="shared" si="2"/>
        <v/>
      </c>
      <c r="AZ306" s="82"/>
      <c r="BA306" s="84" t="s">
        <v>152</v>
      </c>
      <c r="BB306" s="84" t="str">
        <f>IFERROR(__xludf.DUMMYFUNCTION("iferror(if(A306="""",,E306&gt;=FILTER(Constants!$F$2:$F$10,Constants!$A$2:$A$10=A306)))"),"")</f>
        <v/>
      </c>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c r="AJ307" s="80"/>
      <c r="AK307" s="80"/>
      <c r="AL307" s="80"/>
      <c r="AM307" s="80"/>
      <c r="AN307" s="80"/>
      <c r="AO307" s="80"/>
      <c r="AP307" s="80"/>
      <c r="AQ307" s="80"/>
      <c r="AR307" s="80"/>
      <c r="AS307" s="80"/>
      <c r="AT307" s="80"/>
      <c r="AU307" s="80"/>
      <c r="AV307" s="80"/>
      <c r="AW307" s="82" t="str">
        <f t="shared" si="1"/>
        <v/>
      </c>
      <c r="AX307" s="83" t="str">
        <f t="array" ref="AX307">IFERROR(DGET('SBV Import'!A:G,"SBV",{"RSC ID","Tier";B307,A307}))</f>
        <v/>
      </c>
      <c r="AY307" s="82" t="str">
        <f t="shared" si="2"/>
        <v/>
      </c>
      <c r="AZ307" s="82"/>
      <c r="BA307" s="84" t="s">
        <v>152</v>
      </c>
      <c r="BB307" s="84" t="str">
        <f>IFERROR(__xludf.DUMMYFUNCTION("iferror(if(A307="""",,E307&gt;=FILTER(Constants!$F$2:$F$10,Constants!$A$2:$A$10=A307)))"),"")</f>
        <v/>
      </c>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c r="AJ308" s="80"/>
      <c r="AK308" s="80"/>
      <c r="AL308" s="80"/>
      <c r="AM308" s="80"/>
      <c r="AN308" s="80"/>
      <c r="AO308" s="80"/>
      <c r="AP308" s="80"/>
      <c r="AQ308" s="80"/>
      <c r="AR308" s="80"/>
      <c r="AS308" s="80"/>
      <c r="AT308" s="80"/>
      <c r="AU308" s="80"/>
      <c r="AV308" s="80"/>
      <c r="AW308" s="82" t="str">
        <f t="shared" si="1"/>
        <v/>
      </c>
      <c r="AX308" s="83" t="str">
        <f t="array" ref="AX308">IFERROR(DGET('SBV Import'!A:G,"SBV",{"RSC ID","Tier";B308,A308}))</f>
        <v/>
      </c>
      <c r="AY308" s="82" t="str">
        <f t="shared" si="2"/>
        <v/>
      </c>
      <c r="AZ308" s="82"/>
      <c r="BA308" s="84" t="s">
        <v>152</v>
      </c>
      <c r="BB308" s="84" t="str">
        <f>IFERROR(__xludf.DUMMYFUNCTION("iferror(if(A308="""",,E308&gt;=FILTER(Constants!$F$2:$F$10,Constants!$A$2:$A$10=A308)))"),"")</f>
        <v/>
      </c>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c r="AJ309" s="80"/>
      <c r="AK309" s="80"/>
      <c r="AL309" s="80"/>
      <c r="AM309" s="80"/>
      <c r="AN309" s="80"/>
      <c r="AO309" s="80"/>
      <c r="AP309" s="80"/>
      <c r="AQ309" s="80"/>
      <c r="AR309" s="80"/>
      <c r="AS309" s="80"/>
      <c r="AT309" s="80"/>
      <c r="AU309" s="80"/>
      <c r="AV309" s="80"/>
      <c r="AW309" s="82" t="str">
        <f t="shared" si="1"/>
        <v/>
      </c>
      <c r="AX309" s="83" t="str">
        <f t="array" ref="AX309">IFERROR(DGET('SBV Import'!A:G,"SBV",{"RSC ID","Tier";B309,A309}))</f>
        <v/>
      </c>
      <c r="AY309" s="82" t="str">
        <f t="shared" si="2"/>
        <v/>
      </c>
      <c r="AZ309" s="82"/>
      <c r="BA309" s="84" t="s">
        <v>152</v>
      </c>
      <c r="BB309" s="84" t="str">
        <f>IFERROR(__xludf.DUMMYFUNCTION("iferror(if(A309="""",,E309&gt;=FILTER(Constants!$F$2:$F$10,Constants!$A$2:$A$10=A309)))"),"")</f>
        <v/>
      </c>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c r="AJ310" s="80"/>
      <c r="AK310" s="80"/>
      <c r="AL310" s="80"/>
      <c r="AM310" s="80"/>
      <c r="AN310" s="80"/>
      <c r="AO310" s="80"/>
      <c r="AP310" s="80"/>
      <c r="AQ310" s="80"/>
      <c r="AR310" s="80"/>
      <c r="AS310" s="80"/>
      <c r="AT310" s="80"/>
      <c r="AU310" s="80"/>
      <c r="AV310" s="80"/>
      <c r="AW310" s="82" t="str">
        <f t="shared" si="1"/>
        <v/>
      </c>
      <c r="AX310" s="83" t="str">
        <f t="array" ref="AX310">IFERROR(DGET('SBV Import'!A:G,"SBV",{"RSC ID","Tier";B310,A310}))</f>
        <v/>
      </c>
      <c r="AY310" s="82" t="str">
        <f t="shared" si="2"/>
        <v/>
      </c>
      <c r="AZ310" s="82"/>
      <c r="BA310" s="84" t="s">
        <v>152</v>
      </c>
      <c r="BB310" s="84" t="str">
        <f>IFERROR(__xludf.DUMMYFUNCTION("iferror(if(A310="""",,E310&gt;=FILTER(Constants!$F$2:$F$10,Constants!$A$2:$A$10=A310)))"),"")</f>
        <v/>
      </c>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c r="AJ311" s="80"/>
      <c r="AK311" s="80"/>
      <c r="AL311" s="80"/>
      <c r="AM311" s="80"/>
      <c r="AN311" s="80"/>
      <c r="AO311" s="80"/>
      <c r="AP311" s="80"/>
      <c r="AQ311" s="80"/>
      <c r="AR311" s="80"/>
      <c r="AS311" s="80"/>
      <c r="AT311" s="80"/>
      <c r="AU311" s="80"/>
      <c r="AV311" s="80"/>
      <c r="AW311" s="82" t="str">
        <f t="shared" si="1"/>
        <v/>
      </c>
      <c r="AX311" s="83" t="str">
        <f t="array" ref="AX311">IFERROR(DGET('SBV Import'!A:G,"SBV",{"RSC ID","Tier";B311,A311}))</f>
        <v/>
      </c>
      <c r="AY311" s="82" t="str">
        <f t="shared" si="2"/>
        <v/>
      </c>
      <c r="AZ311" s="82"/>
      <c r="BA311" s="84" t="s">
        <v>152</v>
      </c>
      <c r="BB311" s="84" t="str">
        <f>IFERROR(__xludf.DUMMYFUNCTION("iferror(if(A311="""",,E311&gt;=FILTER(Constants!$F$2:$F$10,Constants!$A$2:$A$10=A311)))"),"")</f>
        <v/>
      </c>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c r="AJ312" s="80"/>
      <c r="AK312" s="80"/>
      <c r="AL312" s="80"/>
      <c r="AM312" s="80"/>
      <c r="AN312" s="80"/>
      <c r="AO312" s="80"/>
      <c r="AP312" s="80"/>
      <c r="AQ312" s="80"/>
      <c r="AR312" s="80"/>
      <c r="AS312" s="80"/>
      <c r="AT312" s="80"/>
      <c r="AU312" s="80"/>
      <c r="AV312" s="80"/>
      <c r="AW312" s="82" t="str">
        <f t="shared" si="1"/>
        <v/>
      </c>
      <c r="AX312" s="83" t="str">
        <f t="array" ref="AX312">IFERROR(DGET('SBV Import'!A:G,"SBV",{"RSC ID","Tier";B312,A312}))</f>
        <v/>
      </c>
      <c r="AY312" s="82" t="str">
        <f t="shared" si="2"/>
        <v/>
      </c>
      <c r="AZ312" s="82"/>
      <c r="BA312" s="84" t="s">
        <v>152</v>
      </c>
      <c r="BB312" s="84" t="str">
        <f>IFERROR(__xludf.DUMMYFUNCTION("iferror(if(A312="""",,E312&gt;=FILTER(Constants!$F$2:$F$10,Constants!$A$2:$A$10=A312)))"),"")</f>
        <v/>
      </c>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c r="AJ313" s="80"/>
      <c r="AK313" s="80"/>
      <c r="AL313" s="80"/>
      <c r="AM313" s="80"/>
      <c r="AN313" s="80"/>
      <c r="AO313" s="80"/>
      <c r="AP313" s="80"/>
      <c r="AQ313" s="80"/>
      <c r="AR313" s="80"/>
      <c r="AS313" s="80"/>
      <c r="AT313" s="80"/>
      <c r="AU313" s="80"/>
      <c r="AV313" s="80"/>
      <c r="AW313" s="82" t="str">
        <f t="shared" si="1"/>
        <v/>
      </c>
      <c r="AX313" s="83" t="str">
        <f t="array" ref="AX313">IFERROR(DGET('SBV Import'!A:G,"SBV",{"RSC ID","Tier";B313,A313}))</f>
        <v/>
      </c>
      <c r="AY313" s="82" t="str">
        <f t="shared" si="2"/>
        <v/>
      </c>
      <c r="AZ313" s="82"/>
      <c r="BA313" s="84" t="s">
        <v>152</v>
      </c>
      <c r="BB313" s="84" t="str">
        <f>IFERROR(__xludf.DUMMYFUNCTION("iferror(if(A313="""",,E313&gt;=FILTER(Constants!$F$2:$F$10,Constants!$A$2:$A$10=A313)))"),"")</f>
        <v/>
      </c>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c r="AJ314" s="80"/>
      <c r="AK314" s="80"/>
      <c r="AL314" s="80"/>
      <c r="AM314" s="80"/>
      <c r="AN314" s="80"/>
      <c r="AO314" s="80"/>
      <c r="AP314" s="80"/>
      <c r="AQ314" s="80"/>
      <c r="AR314" s="80"/>
      <c r="AS314" s="80"/>
      <c r="AT314" s="80"/>
      <c r="AU314" s="80"/>
      <c r="AV314" s="80"/>
      <c r="AW314" s="82" t="str">
        <f t="shared" si="1"/>
        <v/>
      </c>
      <c r="AX314" s="83" t="str">
        <f t="array" ref="AX314">IFERROR(DGET('SBV Import'!A:G,"SBV",{"RSC ID","Tier";B314,A314}))</f>
        <v/>
      </c>
      <c r="AY314" s="82" t="str">
        <f t="shared" si="2"/>
        <v/>
      </c>
      <c r="AZ314" s="82"/>
      <c r="BA314" s="84" t="s">
        <v>152</v>
      </c>
      <c r="BB314" s="84" t="str">
        <f>IFERROR(__xludf.DUMMYFUNCTION("iferror(if(A314="""",,E314&gt;=FILTER(Constants!$F$2:$F$10,Constants!$A$2:$A$10=A314)))"),"")</f>
        <v/>
      </c>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c r="AJ315" s="80"/>
      <c r="AK315" s="80"/>
      <c r="AL315" s="80"/>
      <c r="AM315" s="80"/>
      <c r="AN315" s="80"/>
      <c r="AO315" s="80"/>
      <c r="AP315" s="80"/>
      <c r="AQ315" s="80"/>
      <c r="AR315" s="80"/>
      <c r="AS315" s="80"/>
      <c r="AT315" s="80"/>
      <c r="AU315" s="80"/>
      <c r="AV315" s="80"/>
      <c r="AW315" s="82" t="str">
        <f t="shared" si="1"/>
        <v/>
      </c>
      <c r="AX315" s="83" t="str">
        <f t="array" ref="AX315">IFERROR(DGET('SBV Import'!A:G,"SBV",{"RSC ID","Tier";B315,A315}))</f>
        <v/>
      </c>
      <c r="AY315" s="82" t="str">
        <f t="shared" si="2"/>
        <v/>
      </c>
      <c r="AZ315" s="82"/>
      <c r="BA315" s="84" t="s">
        <v>152</v>
      </c>
      <c r="BB315" s="84" t="str">
        <f>IFERROR(__xludf.DUMMYFUNCTION("iferror(if(A315="""",,E315&gt;=FILTER(Constants!$F$2:$F$10,Constants!$A$2:$A$10=A315)))"),"")</f>
        <v/>
      </c>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c r="AJ316" s="80"/>
      <c r="AK316" s="80"/>
      <c r="AL316" s="80"/>
      <c r="AM316" s="80"/>
      <c r="AN316" s="80"/>
      <c r="AO316" s="80"/>
      <c r="AP316" s="80"/>
      <c r="AQ316" s="80"/>
      <c r="AR316" s="80"/>
      <c r="AS316" s="80"/>
      <c r="AT316" s="80"/>
      <c r="AU316" s="80"/>
      <c r="AV316" s="80"/>
      <c r="AW316" s="82" t="str">
        <f t="shared" si="1"/>
        <v/>
      </c>
      <c r="AX316" s="83" t="str">
        <f t="array" ref="AX316">IFERROR(DGET('SBV Import'!A:G,"SBV",{"RSC ID","Tier";B316,A316}))</f>
        <v/>
      </c>
      <c r="AY316" s="82" t="str">
        <f t="shared" si="2"/>
        <v/>
      </c>
      <c r="AZ316" s="82"/>
      <c r="BA316" s="84" t="s">
        <v>152</v>
      </c>
      <c r="BB316" s="84" t="str">
        <f>IFERROR(__xludf.DUMMYFUNCTION("iferror(if(A316="""",,E316&gt;=FILTER(Constants!$F$2:$F$10,Constants!$A$2:$A$10=A316)))"),"")</f>
        <v/>
      </c>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c r="AJ317" s="80"/>
      <c r="AK317" s="80"/>
      <c r="AL317" s="80"/>
      <c r="AM317" s="80"/>
      <c r="AN317" s="80"/>
      <c r="AO317" s="80"/>
      <c r="AP317" s="80"/>
      <c r="AQ317" s="80"/>
      <c r="AR317" s="80"/>
      <c r="AS317" s="80"/>
      <c r="AT317" s="80"/>
      <c r="AU317" s="80"/>
      <c r="AV317" s="80"/>
      <c r="AW317" s="82" t="str">
        <f t="shared" si="1"/>
        <v/>
      </c>
      <c r="AX317" s="83" t="str">
        <f t="array" ref="AX317">IFERROR(DGET('SBV Import'!A:G,"SBV",{"RSC ID","Tier";B317,A317}))</f>
        <v/>
      </c>
      <c r="AY317" s="82" t="str">
        <f t="shared" si="2"/>
        <v/>
      </c>
      <c r="AZ317" s="82"/>
      <c r="BA317" s="84" t="s">
        <v>152</v>
      </c>
      <c r="BB317" s="84" t="str">
        <f>IFERROR(__xludf.DUMMYFUNCTION("iferror(if(A317="""",,E317&gt;=FILTER(Constants!$F$2:$F$10,Constants!$A$2:$A$10=A317)))"),"")</f>
        <v/>
      </c>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c r="AJ318" s="80"/>
      <c r="AK318" s="80"/>
      <c r="AL318" s="80"/>
      <c r="AM318" s="80"/>
      <c r="AN318" s="80"/>
      <c r="AO318" s="80"/>
      <c r="AP318" s="80"/>
      <c r="AQ318" s="80"/>
      <c r="AR318" s="80"/>
      <c r="AS318" s="80"/>
      <c r="AT318" s="80"/>
      <c r="AU318" s="80"/>
      <c r="AV318" s="80"/>
      <c r="AW318" s="82" t="str">
        <f t="shared" si="1"/>
        <v/>
      </c>
      <c r="AX318" s="83" t="str">
        <f t="array" ref="AX318">IFERROR(DGET('SBV Import'!A:G,"SBV",{"RSC ID","Tier";B318,A318}))</f>
        <v/>
      </c>
      <c r="AY318" s="82" t="str">
        <f t="shared" si="2"/>
        <v/>
      </c>
      <c r="AZ318" s="82"/>
      <c r="BA318" s="84" t="s">
        <v>152</v>
      </c>
      <c r="BB318" s="84" t="str">
        <f>IFERROR(__xludf.DUMMYFUNCTION("iferror(if(A318="""",,E318&gt;=FILTER(Constants!$F$2:$F$10,Constants!$A$2:$A$10=A318)))"),"")</f>
        <v/>
      </c>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c r="AJ319" s="80"/>
      <c r="AK319" s="80"/>
      <c r="AL319" s="80"/>
      <c r="AM319" s="80"/>
      <c r="AN319" s="80"/>
      <c r="AO319" s="80"/>
      <c r="AP319" s="80"/>
      <c r="AQ319" s="80"/>
      <c r="AR319" s="80"/>
      <c r="AS319" s="80"/>
      <c r="AT319" s="80"/>
      <c r="AU319" s="80"/>
      <c r="AV319" s="80"/>
      <c r="AW319" s="82" t="str">
        <f t="shared" si="1"/>
        <v/>
      </c>
      <c r="AX319" s="83" t="str">
        <f t="array" ref="AX319">IFERROR(DGET('SBV Import'!A:G,"SBV",{"RSC ID","Tier";B319,A319}))</f>
        <v/>
      </c>
      <c r="AY319" s="82" t="str">
        <f t="shared" si="2"/>
        <v/>
      </c>
      <c r="AZ319" s="82"/>
      <c r="BA319" s="84" t="s">
        <v>152</v>
      </c>
      <c r="BB319" s="84" t="str">
        <f>IFERROR(__xludf.DUMMYFUNCTION("iferror(if(A319="""",,E319&gt;=FILTER(Constants!$F$2:$F$10,Constants!$A$2:$A$10=A319)))"),"")</f>
        <v/>
      </c>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c r="AJ320" s="80"/>
      <c r="AK320" s="80"/>
      <c r="AL320" s="80"/>
      <c r="AM320" s="80"/>
      <c r="AN320" s="80"/>
      <c r="AO320" s="80"/>
      <c r="AP320" s="80"/>
      <c r="AQ320" s="80"/>
      <c r="AR320" s="80"/>
      <c r="AS320" s="80"/>
      <c r="AT320" s="80"/>
      <c r="AU320" s="80"/>
      <c r="AV320" s="80"/>
      <c r="AW320" s="82" t="str">
        <f t="shared" si="1"/>
        <v/>
      </c>
      <c r="AX320" s="83" t="str">
        <f t="array" ref="AX320">IFERROR(DGET('SBV Import'!A:G,"SBV",{"RSC ID","Tier";B320,A320}))</f>
        <v/>
      </c>
      <c r="AY320" s="82" t="str">
        <f t="shared" si="2"/>
        <v/>
      </c>
      <c r="AZ320" s="82"/>
      <c r="BA320" s="84" t="s">
        <v>152</v>
      </c>
      <c r="BB320" s="84" t="str">
        <f>IFERROR(__xludf.DUMMYFUNCTION("iferror(if(A320="""",,E320&gt;=FILTER(Constants!$F$2:$F$10,Constants!$A$2:$A$10=A320)))"),"")</f>
        <v/>
      </c>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c r="AJ321" s="80"/>
      <c r="AK321" s="80"/>
      <c r="AL321" s="80"/>
      <c r="AM321" s="80"/>
      <c r="AN321" s="80"/>
      <c r="AO321" s="80"/>
      <c r="AP321" s="80"/>
      <c r="AQ321" s="80"/>
      <c r="AR321" s="80"/>
      <c r="AS321" s="80"/>
      <c r="AT321" s="80"/>
      <c r="AU321" s="80"/>
      <c r="AV321" s="80"/>
      <c r="AW321" s="82" t="str">
        <f t="shared" si="1"/>
        <v/>
      </c>
      <c r="AX321" s="83" t="str">
        <f t="array" ref="AX321">IFERROR(DGET('SBV Import'!A:G,"SBV",{"RSC ID","Tier";B321,A321}))</f>
        <v/>
      </c>
      <c r="AY321" s="82" t="str">
        <f t="shared" si="2"/>
        <v/>
      </c>
      <c r="AZ321" s="82"/>
      <c r="BA321" s="84" t="s">
        <v>152</v>
      </c>
      <c r="BB321" s="84" t="str">
        <f>IFERROR(__xludf.DUMMYFUNCTION("iferror(if(A321="""",,E321&gt;=FILTER(Constants!$F$2:$F$10,Constants!$A$2:$A$10=A321)))"),"")</f>
        <v/>
      </c>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c r="AJ322" s="80"/>
      <c r="AK322" s="80"/>
      <c r="AL322" s="80"/>
      <c r="AM322" s="80"/>
      <c r="AN322" s="80"/>
      <c r="AO322" s="80"/>
      <c r="AP322" s="80"/>
      <c r="AQ322" s="80"/>
      <c r="AR322" s="80"/>
      <c r="AS322" s="80"/>
      <c r="AT322" s="80"/>
      <c r="AU322" s="80"/>
      <c r="AV322" s="80"/>
      <c r="AW322" s="82" t="str">
        <f t="shared" si="1"/>
        <v/>
      </c>
      <c r="AX322" s="83" t="str">
        <f t="array" ref="AX322">IFERROR(DGET('SBV Import'!A:G,"SBV",{"RSC ID","Tier";B322,A322}))</f>
        <v/>
      </c>
      <c r="AY322" s="82" t="str">
        <f t="shared" si="2"/>
        <v/>
      </c>
      <c r="AZ322" s="82"/>
      <c r="BA322" s="84" t="s">
        <v>152</v>
      </c>
      <c r="BB322" s="84" t="str">
        <f>IFERROR(__xludf.DUMMYFUNCTION("iferror(if(A322="""",,E322&gt;=FILTER(Constants!$F$2:$F$10,Constants!$A$2:$A$10=A322)))"),"")</f>
        <v/>
      </c>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c r="AJ323" s="80"/>
      <c r="AK323" s="80"/>
      <c r="AL323" s="80"/>
      <c r="AM323" s="80"/>
      <c r="AN323" s="80"/>
      <c r="AO323" s="80"/>
      <c r="AP323" s="80"/>
      <c r="AQ323" s="80"/>
      <c r="AR323" s="80"/>
      <c r="AS323" s="80"/>
      <c r="AT323" s="80"/>
      <c r="AU323" s="80"/>
      <c r="AV323" s="80"/>
      <c r="AW323" s="82" t="str">
        <f t="shared" si="1"/>
        <v/>
      </c>
      <c r="AX323" s="83" t="str">
        <f t="array" ref="AX323">IFERROR(DGET('SBV Import'!A:G,"SBV",{"RSC ID","Tier";B323,A323}))</f>
        <v/>
      </c>
      <c r="AY323" s="82" t="str">
        <f t="shared" si="2"/>
        <v/>
      </c>
      <c r="AZ323" s="82"/>
      <c r="BA323" s="84" t="s">
        <v>152</v>
      </c>
      <c r="BB323" s="84" t="str">
        <f>IFERROR(__xludf.DUMMYFUNCTION("iferror(if(A323="""",,E323&gt;=FILTER(Constants!$F$2:$F$10,Constants!$A$2:$A$10=A323)))"),"")</f>
        <v/>
      </c>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c r="AJ324" s="80"/>
      <c r="AK324" s="80"/>
      <c r="AL324" s="80"/>
      <c r="AM324" s="80"/>
      <c r="AN324" s="80"/>
      <c r="AO324" s="80"/>
      <c r="AP324" s="80"/>
      <c r="AQ324" s="80"/>
      <c r="AR324" s="80"/>
      <c r="AS324" s="80"/>
      <c r="AT324" s="80"/>
      <c r="AU324" s="80"/>
      <c r="AV324" s="80"/>
      <c r="AW324" s="82" t="str">
        <f t="shared" si="1"/>
        <v/>
      </c>
      <c r="AX324" s="83" t="str">
        <f t="array" ref="AX324">IFERROR(DGET('SBV Import'!A:G,"SBV",{"RSC ID","Tier";B324,A324}))</f>
        <v/>
      </c>
      <c r="AY324" s="82" t="str">
        <f t="shared" si="2"/>
        <v/>
      </c>
      <c r="AZ324" s="82"/>
      <c r="BA324" s="84" t="s">
        <v>152</v>
      </c>
      <c r="BB324" s="84" t="str">
        <f>IFERROR(__xludf.DUMMYFUNCTION("iferror(if(A324="""",,E324&gt;=FILTER(Constants!$F$2:$F$10,Constants!$A$2:$A$10=A324)))"),"")</f>
        <v/>
      </c>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c r="AJ325" s="80"/>
      <c r="AK325" s="80"/>
      <c r="AL325" s="80"/>
      <c r="AM325" s="80"/>
      <c r="AN325" s="80"/>
      <c r="AO325" s="80"/>
      <c r="AP325" s="80"/>
      <c r="AQ325" s="80"/>
      <c r="AR325" s="80"/>
      <c r="AS325" s="80"/>
      <c r="AT325" s="80"/>
      <c r="AU325" s="80"/>
      <c r="AV325" s="80"/>
      <c r="AW325" s="82" t="str">
        <f t="shared" si="1"/>
        <v/>
      </c>
      <c r="AX325" s="83" t="str">
        <f t="array" ref="AX325">IFERROR(DGET('SBV Import'!A:G,"SBV",{"RSC ID","Tier";B325,A325}))</f>
        <v/>
      </c>
      <c r="AY325" s="82" t="str">
        <f t="shared" si="2"/>
        <v/>
      </c>
      <c r="AZ325" s="82"/>
      <c r="BA325" s="84" t="s">
        <v>152</v>
      </c>
      <c r="BB325" s="84" t="str">
        <f>IFERROR(__xludf.DUMMYFUNCTION("iferror(if(A325="""",,E325&gt;=FILTER(Constants!$F$2:$F$10,Constants!$A$2:$A$10=A325)))"),"")</f>
        <v/>
      </c>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c r="AJ326" s="80"/>
      <c r="AK326" s="80"/>
      <c r="AL326" s="80"/>
      <c r="AM326" s="80"/>
      <c r="AN326" s="80"/>
      <c r="AO326" s="80"/>
      <c r="AP326" s="80"/>
      <c r="AQ326" s="80"/>
      <c r="AR326" s="80"/>
      <c r="AS326" s="80"/>
      <c r="AT326" s="80"/>
      <c r="AU326" s="80"/>
      <c r="AV326" s="80"/>
      <c r="AW326" s="82" t="str">
        <f t="shared" si="1"/>
        <v/>
      </c>
      <c r="AX326" s="83" t="str">
        <f t="array" ref="AX326">IFERROR(DGET('SBV Import'!A:G,"SBV",{"RSC ID","Tier";B326,A326}))</f>
        <v/>
      </c>
      <c r="AY326" s="82" t="str">
        <f t="shared" si="2"/>
        <v/>
      </c>
      <c r="AZ326" s="82"/>
      <c r="BA326" s="84" t="s">
        <v>152</v>
      </c>
      <c r="BB326" s="84" t="str">
        <f>IFERROR(__xludf.DUMMYFUNCTION("iferror(if(A326="""",,E326&gt;=FILTER(Constants!$F$2:$F$10,Constants!$A$2:$A$10=A326)))"),"")</f>
        <v/>
      </c>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c r="AJ327" s="80"/>
      <c r="AK327" s="80"/>
      <c r="AL327" s="80"/>
      <c r="AM327" s="80"/>
      <c r="AN327" s="80"/>
      <c r="AO327" s="80"/>
      <c r="AP327" s="80"/>
      <c r="AQ327" s="80"/>
      <c r="AR327" s="80"/>
      <c r="AS327" s="80"/>
      <c r="AT327" s="80"/>
      <c r="AU327" s="80"/>
      <c r="AV327" s="80"/>
      <c r="AW327" s="82" t="str">
        <f t="shared" si="1"/>
        <v/>
      </c>
      <c r="AX327" s="83" t="str">
        <f t="array" ref="AX327">IFERROR(DGET('SBV Import'!A:G,"SBV",{"RSC ID","Tier";B327,A327}))</f>
        <v/>
      </c>
      <c r="AY327" s="82" t="str">
        <f t="shared" si="2"/>
        <v/>
      </c>
      <c r="AZ327" s="82"/>
      <c r="BA327" s="84" t="s">
        <v>152</v>
      </c>
      <c r="BB327" s="84" t="str">
        <f>IFERROR(__xludf.DUMMYFUNCTION("iferror(if(A327="""",,E327&gt;=FILTER(Constants!$F$2:$F$10,Constants!$A$2:$A$10=A327)))"),"")</f>
        <v/>
      </c>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c r="AJ328" s="80"/>
      <c r="AK328" s="80"/>
      <c r="AL328" s="80"/>
      <c r="AM328" s="80"/>
      <c r="AN328" s="80"/>
      <c r="AO328" s="80"/>
      <c r="AP328" s="80"/>
      <c r="AQ328" s="80"/>
      <c r="AR328" s="80"/>
      <c r="AS328" s="80"/>
      <c r="AT328" s="80"/>
      <c r="AU328" s="80"/>
      <c r="AV328" s="80"/>
      <c r="AW328" s="82" t="str">
        <f t="shared" si="1"/>
        <v/>
      </c>
      <c r="AX328" s="83" t="str">
        <f t="array" ref="AX328">IFERROR(DGET('SBV Import'!A:G,"SBV",{"RSC ID","Tier";B328,A328}))</f>
        <v/>
      </c>
      <c r="AY328" s="82" t="str">
        <f t="shared" si="2"/>
        <v/>
      </c>
      <c r="AZ328" s="82"/>
      <c r="BA328" s="84" t="s">
        <v>152</v>
      </c>
      <c r="BB328" s="84" t="str">
        <f>IFERROR(__xludf.DUMMYFUNCTION("iferror(if(A328="""",,E328&gt;=FILTER(Constants!$F$2:$F$10,Constants!$A$2:$A$10=A328)))"),"")</f>
        <v/>
      </c>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c r="AJ329" s="80"/>
      <c r="AK329" s="80"/>
      <c r="AL329" s="80"/>
      <c r="AM329" s="80"/>
      <c r="AN329" s="80"/>
      <c r="AO329" s="80"/>
      <c r="AP329" s="80"/>
      <c r="AQ329" s="80"/>
      <c r="AR329" s="80"/>
      <c r="AS329" s="80"/>
      <c r="AT329" s="80"/>
      <c r="AU329" s="80"/>
      <c r="AV329" s="80"/>
      <c r="AW329" s="82" t="str">
        <f t="shared" si="1"/>
        <v/>
      </c>
      <c r="AX329" s="83" t="str">
        <f t="array" ref="AX329">IFERROR(DGET('SBV Import'!A:G,"SBV",{"RSC ID","Tier";B329,A329}))</f>
        <v/>
      </c>
      <c r="AY329" s="82" t="str">
        <f t="shared" si="2"/>
        <v/>
      </c>
      <c r="AZ329" s="82"/>
      <c r="BA329" s="84" t="s">
        <v>152</v>
      </c>
      <c r="BB329" s="84" t="str">
        <f>IFERROR(__xludf.DUMMYFUNCTION("iferror(if(A329="""",,E329&gt;=FILTER(Constants!$F$2:$F$10,Constants!$A$2:$A$10=A329)))"),"")</f>
        <v/>
      </c>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c r="AJ330" s="80"/>
      <c r="AK330" s="80"/>
      <c r="AL330" s="80"/>
      <c r="AM330" s="80"/>
      <c r="AN330" s="80"/>
      <c r="AO330" s="80"/>
      <c r="AP330" s="80"/>
      <c r="AQ330" s="80"/>
      <c r="AR330" s="80"/>
      <c r="AS330" s="80"/>
      <c r="AT330" s="80"/>
      <c r="AU330" s="80"/>
      <c r="AV330" s="80"/>
      <c r="AW330" s="82" t="str">
        <f t="shared" si="1"/>
        <v/>
      </c>
      <c r="AX330" s="83" t="str">
        <f t="array" ref="AX330">IFERROR(DGET('SBV Import'!A:G,"SBV",{"RSC ID","Tier";B330,A330}))</f>
        <v/>
      </c>
      <c r="AY330" s="82" t="str">
        <f t="shared" si="2"/>
        <v/>
      </c>
      <c r="AZ330" s="82"/>
      <c r="BA330" s="84" t="s">
        <v>152</v>
      </c>
      <c r="BB330" s="84" t="str">
        <f>IFERROR(__xludf.DUMMYFUNCTION("iferror(if(A330="""",,E330&gt;=FILTER(Constants!$F$2:$F$10,Constants!$A$2:$A$10=A330)))"),"")</f>
        <v/>
      </c>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c r="AJ331" s="80"/>
      <c r="AK331" s="80"/>
      <c r="AL331" s="80"/>
      <c r="AM331" s="80"/>
      <c r="AN331" s="80"/>
      <c r="AO331" s="80"/>
      <c r="AP331" s="80"/>
      <c r="AQ331" s="80"/>
      <c r="AR331" s="80"/>
      <c r="AS331" s="80"/>
      <c r="AT331" s="80"/>
      <c r="AU331" s="80"/>
      <c r="AV331" s="80"/>
      <c r="AW331" s="82" t="str">
        <f t="shared" si="1"/>
        <v/>
      </c>
      <c r="AX331" s="83" t="str">
        <f t="array" ref="AX331">IFERROR(DGET('SBV Import'!A:G,"SBV",{"RSC ID","Tier";B331,A331}))</f>
        <v/>
      </c>
      <c r="AY331" s="82" t="str">
        <f t="shared" si="2"/>
        <v/>
      </c>
      <c r="AZ331" s="82"/>
      <c r="BA331" s="84" t="s">
        <v>152</v>
      </c>
      <c r="BB331" s="84" t="str">
        <f>IFERROR(__xludf.DUMMYFUNCTION("iferror(if(A331="""",,E331&gt;=FILTER(Constants!$F$2:$F$10,Constants!$A$2:$A$10=A331)))"),"")</f>
        <v/>
      </c>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c r="AJ332" s="80"/>
      <c r="AK332" s="80"/>
      <c r="AL332" s="80"/>
      <c r="AM332" s="80"/>
      <c r="AN332" s="80"/>
      <c r="AO332" s="80"/>
      <c r="AP332" s="80"/>
      <c r="AQ332" s="80"/>
      <c r="AR332" s="80"/>
      <c r="AS332" s="80"/>
      <c r="AT332" s="80"/>
      <c r="AU332" s="80"/>
      <c r="AV332" s="80"/>
      <c r="AW332" s="82" t="str">
        <f t="shared" si="1"/>
        <v/>
      </c>
      <c r="AX332" s="83" t="str">
        <f t="array" ref="AX332">IFERROR(DGET('SBV Import'!A:G,"SBV",{"RSC ID","Tier";B332,A332}))</f>
        <v/>
      </c>
      <c r="AY332" s="82" t="str">
        <f t="shared" si="2"/>
        <v/>
      </c>
      <c r="AZ332" s="82"/>
      <c r="BA332" s="84" t="s">
        <v>152</v>
      </c>
      <c r="BB332" s="84" t="str">
        <f>IFERROR(__xludf.DUMMYFUNCTION("iferror(if(A332="""",,E332&gt;=FILTER(Constants!$F$2:$F$10,Constants!$A$2:$A$10=A332)))"),"")</f>
        <v/>
      </c>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c r="AJ333" s="80"/>
      <c r="AK333" s="80"/>
      <c r="AL333" s="80"/>
      <c r="AM333" s="80"/>
      <c r="AN333" s="80"/>
      <c r="AO333" s="80"/>
      <c r="AP333" s="80"/>
      <c r="AQ333" s="80"/>
      <c r="AR333" s="80"/>
      <c r="AS333" s="80"/>
      <c r="AT333" s="80"/>
      <c r="AU333" s="80"/>
      <c r="AV333" s="80"/>
      <c r="AW333" s="82" t="str">
        <f t="shared" si="1"/>
        <v/>
      </c>
      <c r="AX333" s="83" t="str">
        <f t="array" ref="AX333">IFERROR(DGET('SBV Import'!A:G,"SBV",{"RSC ID","Tier";B333,A333}))</f>
        <v/>
      </c>
      <c r="AY333" s="82" t="str">
        <f t="shared" si="2"/>
        <v/>
      </c>
      <c r="AZ333" s="82"/>
      <c r="BA333" s="84" t="s">
        <v>152</v>
      </c>
      <c r="BB333" s="84" t="str">
        <f>IFERROR(__xludf.DUMMYFUNCTION("iferror(if(A333="""",,E333&gt;=FILTER(Constants!$F$2:$F$10,Constants!$A$2:$A$10=A333)))"),"")</f>
        <v/>
      </c>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c r="AJ334" s="80"/>
      <c r="AK334" s="80"/>
      <c r="AL334" s="80"/>
      <c r="AM334" s="80"/>
      <c r="AN334" s="80"/>
      <c r="AO334" s="80"/>
      <c r="AP334" s="80"/>
      <c r="AQ334" s="80"/>
      <c r="AR334" s="80"/>
      <c r="AS334" s="80"/>
      <c r="AT334" s="80"/>
      <c r="AU334" s="80"/>
      <c r="AV334" s="80"/>
      <c r="AW334" s="82" t="str">
        <f t="shared" si="1"/>
        <v/>
      </c>
      <c r="AX334" s="83" t="str">
        <f t="array" ref="AX334">IFERROR(DGET('SBV Import'!A:G,"SBV",{"RSC ID","Tier";B334,A334}))</f>
        <v/>
      </c>
      <c r="AY334" s="82" t="str">
        <f t="shared" si="2"/>
        <v/>
      </c>
      <c r="AZ334" s="82"/>
      <c r="BA334" s="84" t="s">
        <v>152</v>
      </c>
      <c r="BB334" s="84" t="str">
        <f>IFERROR(__xludf.DUMMYFUNCTION("iferror(if(A334="""",,E334&gt;=FILTER(Constants!$F$2:$F$10,Constants!$A$2:$A$10=A334)))"),"")</f>
        <v/>
      </c>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c r="AJ335" s="80"/>
      <c r="AK335" s="80"/>
      <c r="AL335" s="80"/>
      <c r="AM335" s="80"/>
      <c r="AN335" s="80"/>
      <c r="AO335" s="80"/>
      <c r="AP335" s="80"/>
      <c r="AQ335" s="80"/>
      <c r="AR335" s="80"/>
      <c r="AS335" s="80"/>
      <c r="AT335" s="80"/>
      <c r="AU335" s="80"/>
      <c r="AV335" s="80"/>
      <c r="AW335" s="82" t="str">
        <f t="shared" si="1"/>
        <v/>
      </c>
      <c r="AX335" s="83" t="str">
        <f t="array" ref="AX335">IFERROR(DGET('SBV Import'!A:G,"SBV",{"RSC ID","Tier";B335,A335}))</f>
        <v/>
      </c>
      <c r="AY335" s="82" t="str">
        <f t="shared" si="2"/>
        <v/>
      </c>
      <c r="AZ335" s="82"/>
      <c r="BA335" s="84" t="s">
        <v>152</v>
      </c>
      <c r="BB335" s="84" t="str">
        <f>IFERROR(__xludf.DUMMYFUNCTION("iferror(if(A335="""",,E335&gt;=FILTER(Constants!$F$2:$F$10,Constants!$A$2:$A$10=A335)))"),"")</f>
        <v/>
      </c>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c r="AJ336" s="80"/>
      <c r="AK336" s="80"/>
      <c r="AL336" s="80"/>
      <c r="AM336" s="80"/>
      <c r="AN336" s="80"/>
      <c r="AO336" s="80"/>
      <c r="AP336" s="80"/>
      <c r="AQ336" s="80"/>
      <c r="AR336" s="80"/>
      <c r="AS336" s="80"/>
      <c r="AT336" s="80"/>
      <c r="AU336" s="80"/>
      <c r="AV336" s="80"/>
      <c r="AW336" s="82" t="str">
        <f t="shared" si="1"/>
        <v/>
      </c>
      <c r="AX336" s="83" t="str">
        <f t="array" ref="AX336">IFERROR(DGET('SBV Import'!A:G,"SBV",{"RSC ID","Tier";B336,A336}))</f>
        <v/>
      </c>
      <c r="AY336" s="82" t="str">
        <f t="shared" si="2"/>
        <v/>
      </c>
      <c r="AZ336" s="82"/>
      <c r="BA336" s="84" t="s">
        <v>152</v>
      </c>
      <c r="BB336" s="84" t="str">
        <f>IFERROR(__xludf.DUMMYFUNCTION("iferror(if(A336="""",,E336&gt;=FILTER(Constants!$F$2:$F$10,Constants!$A$2:$A$10=A336)))"),"")</f>
        <v/>
      </c>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c r="AJ337" s="80"/>
      <c r="AK337" s="80"/>
      <c r="AL337" s="80"/>
      <c r="AM337" s="80"/>
      <c r="AN337" s="80"/>
      <c r="AO337" s="80"/>
      <c r="AP337" s="80"/>
      <c r="AQ337" s="80"/>
      <c r="AR337" s="80"/>
      <c r="AS337" s="80"/>
      <c r="AT337" s="80"/>
      <c r="AU337" s="80"/>
      <c r="AV337" s="80"/>
      <c r="AW337" s="82" t="str">
        <f t="shared" si="1"/>
        <v/>
      </c>
      <c r="AX337" s="83" t="str">
        <f t="array" ref="AX337">IFERROR(DGET('SBV Import'!A:G,"SBV",{"RSC ID","Tier";B337,A337}))</f>
        <v/>
      </c>
      <c r="AY337" s="82" t="str">
        <f t="shared" si="2"/>
        <v/>
      </c>
      <c r="AZ337" s="82"/>
      <c r="BA337" s="84" t="s">
        <v>152</v>
      </c>
      <c r="BB337" s="84" t="str">
        <f>IFERROR(__xludf.DUMMYFUNCTION("iferror(if(A337="""",,E337&gt;=FILTER(Constants!$F$2:$F$10,Constants!$A$2:$A$10=A337)))"),"")</f>
        <v/>
      </c>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c r="AJ338" s="80"/>
      <c r="AK338" s="80"/>
      <c r="AL338" s="80"/>
      <c r="AM338" s="80"/>
      <c r="AN338" s="80"/>
      <c r="AO338" s="80"/>
      <c r="AP338" s="80"/>
      <c r="AQ338" s="80"/>
      <c r="AR338" s="80"/>
      <c r="AS338" s="80"/>
      <c r="AT338" s="80"/>
      <c r="AU338" s="80"/>
      <c r="AV338" s="80"/>
      <c r="AW338" s="82" t="str">
        <f t="shared" si="1"/>
        <v/>
      </c>
      <c r="AX338" s="83" t="str">
        <f t="array" ref="AX338">IFERROR(DGET('SBV Import'!A:G,"SBV",{"RSC ID","Tier";B338,A338}))</f>
        <v/>
      </c>
      <c r="AY338" s="82" t="str">
        <f t="shared" si="2"/>
        <v/>
      </c>
      <c r="AZ338" s="82"/>
      <c r="BA338" s="84" t="s">
        <v>152</v>
      </c>
      <c r="BB338" s="84" t="str">
        <f>IFERROR(__xludf.DUMMYFUNCTION("iferror(if(A338="""",,E338&gt;=FILTER(Constants!$F$2:$F$10,Constants!$A$2:$A$10=A338)))"),"")</f>
        <v/>
      </c>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c r="AJ339" s="80"/>
      <c r="AK339" s="80"/>
      <c r="AL339" s="80"/>
      <c r="AM339" s="80"/>
      <c r="AN339" s="80"/>
      <c r="AO339" s="80"/>
      <c r="AP339" s="80"/>
      <c r="AQ339" s="80"/>
      <c r="AR339" s="80"/>
      <c r="AS339" s="80"/>
      <c r="AT339" s="80"/>
      <c r="AU339" s="80"/>
      <c r="AV339" s="80"/>
      <c r="AW339" s="82" t="str">
        <f t="shared" si="1"/>
        <v/>
      </c>
      <c r="AX339" s="83" t="str">
        <f t="array" ref="AX339">IFERROR(DGET('SBV Import'!A:G,"SBV",{"RSC ID","Tier";B339,A339}))</f>
        <v/>
      </c>
      <c r="AY339" s="82" t="str">
        <f t="shared" si="2"/>
        <v/>
      </c>
      <c r="AZ339" s="82"/>
      <c r="BA339" s="84" t="s">
        <v>152</v>
      </c>
      <c r="BB339" s="84" t="str">
        <f>IFERROR(__xludf.DUMMYFUNCTION("iferror(if(A339="""",,E339&gt;=FILTER(Constants!$F$2:$F$10,Constants!$A$2:$A$10=A339)))"),"")</f>
        <v/>
      </c>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c r="AJ340" s="80"/>
      <c r="AK340" s="80"/>
      <c r="AL340" s="80"/>
      <c r="AM340" s="80"/>
      <c r="AN340" s="80"/>
      <c r="AO340" s="80"/>
      <c r="AP340" s="80"/>
      <c r="AQ340" s="80"/>
      <c r="AR340" s="80"/>
      <c r="AS340" s="80"/>
      <c r="AT340" s="80"/>
      <c r="AU340" s="80"/>
      <c r="AV340" s="80"/>
      <c r="AW340" s="82" t="str">
        <f t="shared" si="1"/>
        <v/>
      </c>
      <c r="AX340" s="83" t="str">
        <f t="array" ref="AX340">IFERROR(DGET('SBV Import'!A:G,"SBV",{"RSC ID","Tier";B340,A340}))</f>
        <v/>
      </c>
      <c r="AY340" s="82" t="str">
        <f t="shared" si="2"/>
        <v/>
      </c>
      <c r="AZ340" s="82"/>
      <c r="BA340" s="84" t="s">
        <v>152</v>
      </c>
      <c r="BB340" s="84" t="str">
        <f>IFERROR(__xludf.DUMMYFUNCTION("iferror(if(A340="""",,E340&gt;=FILTER(Constants!$F$2:$F$10,Constants!$A$2:$A$10=A340)))"),"")</f>
        <v/>
      </c>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c r="AQ341" s="80"/>
      <c r="AR341" s="80"/>
      <c r="AS341" s="80"/>
      <c r="AT341" s="80"/>
      <c r="AU341" s="80"/>
      <c r="AV341" s="80"/>
      <c r="AW341" s="82" t="str">
        <f t="shared" si="1"/>
        <v/>
      </c>
      <c r="AX341" s="83" t="str">
        <f t="array" ref="AX341">IFERROR(DGET('SBV Import'!A:G,"SBV",{"RSC ID","Tier";B341,A341}))</f>
        <v/>
      </c>
      <c r="AY341" s="82" t="str">
        <f t="shared" si="2"/>
        <v/>
      </c>
      <c r="AZ341" s="82"/>
      <c r="BA341" s="84" t="s">
        <v>152</v>
      </c>
      <c r="BB341" s="84" t="str">
        <f>IFERROR(__xludf.DUMMYFUNCTION("iferror(if(A341="""",,E341&gt;=FILTER(Constants!$F$2:$F$10,Constants!$A$2:$A$10=A341)))"),"")</f>
        <v/>
      </c>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c r="AJ342" s="80"/>
      <c r="AK342" s="80"/>
      <c r="AL342" s="80"/>
      <c r="AM342" s="80"/>
      <c r="AN342" s="80"/>
      <c r="AO342" s="80"/>
      <c r="AP342" s="80"/>
      <c r="AQ342" s="80"/>
      <c r="AR342" s="80"/>
      <c r="AS342" s="80"/>
      <c r="AT342" s="80"/>
      <c r="AU342" s="80"/>
      <c r="AV342" s="80"/>
      <c r="AW342" s="82" t="str">
        <f t="shared" si="1"/>
        <v/>
      </c>
      <c r="AX342" s="83" t="str">
        <f t="array" ref="AX342">IFERROR(DGET('SBV Import'!A:G,"SBV",{"RSC ID","Tier";B342,A342}))</f>
        <v/>
      </c>
      <c r="AY342" s="82" t="str">
        <f t="shared" si="2"/>
        <v/>
      </c>
      <c r="AZ342" s="82"/>
      <c r="BA342" s="84" t="s">
        <v>152</v>
      </c>
      <c r="BB342" s="84" t="str">
        <f>IFERROR(__xludf.DUMMYFUNCTION("iferror(if(A342="""",,E342&gt;=FILTER(Constants!$F$2:$F$10,Constants!$A$2:$A$10=A342)))"),"")</f>
        <v/>
      </c>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c r="AJ343" s="80"/>
      <c r="AK343" s="80"/>
      <c r="AL343" s="80"/>
      <c r="AM343" s="80"/>
      <c r="AN343" s="80"/>
      <c r="AO343" s="80"/>
      <c r="AP343" s="80"/>
      <c r="AQ343" s="80"/>
      <c r="AR343" s="80"/>
      <c r="AS343" s="80"/>
      <c r="AT343" s="80"/>
      <c r="AU343" s="80"/>
      <c r="AV343" s="80"/>
      <c r="AW343" s="82" t="str">
        <f t="shared" si="1"/>
        <v/>
      </c>
      <c r="AX343" s="83" t="str">
        <f t="array" ref="AX343">IFERROR(DGET('SBV Import'!A:G,"SBV",{"RSC ID","Tier";B343,A343}))</f>
        <v/>
      </c>
      <c r="AY343" s="82" t="str">
        <f t="shared" si="2"/>
        <v/>
      </c>
      <c r="AZ343" s="82"/>
      <c r="BA343" s="84" t="s">
        <v>152</v>
      </c>
      <c r="BB343" s="84" t="str">
        <f>IFERROR(__xludf.DUMMYFUNCTION("iferror(if(A343="""",,E343&gt;=FILTER(Constants!$F$2:$F$10,Constants!$A$2:$A$10=A343)))"),"")</f>
        <v/>
      </c>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c r="AJ344" s="80"/>
      <c r="AK344" s="80"/>
      <c r="AL344" s="80"/>
      <c r="AM344" s="80"/>
      <c r="AN344" s="80"/>
      <c r="AO344" s="80"/>
      <c r="AP344" s="80"/>
      <c r="AQ344" s="80"/>
      <c r="AR344" s="80"/>
      <c r="AS344" s="80"/>
      <c r="AT344" s="80"/>
      <c r="AU344" s="80"/>
      <c r="AV344" s="80"/>
      <c r="AW344" s="82" t="str">
        <f t="shared" si="1"/>
        <v/>
      </c>
      <c r="AX344" s="83" t="str">
        <f t="array" ref="AX344">IFERROR(DGET('SBV Import'!A:G,"SBV",{"RSC ID","Tier";B344,A344}))</f>
        <v/>
      </c>
      <c r="AY344" s="82" t="str">
        <f t="shared" si="2"/>
        <v/>
      </c>
      <c r="AZ344" s="82"/>
      <c r="BA344" s="84" t="s">
        <v>152</v>
      </c>
      <c r="BB344" s="84" t="str">
        <f>IFERROR(__xludf.DUMMYFUNCTION("iferror(if(A344="""",,E344&gt;=FILTER(Constants!$F$2:$F$10,Constants!$A$2:$A$10=A344)))"),"")</f>
        <v/>
      </c>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c r="AJ345" s="80"/>
      <c r="AK345" s="80"/>
      <c r="AL345" s="80"/>
      <c r="AM345" s="80"/>
      <c r="AN345" s="80"/>
      <c r="AO345" s="80"/>
      <c r="AP345" s="80"/>
      <c r="AQ345" s="80"/>
      <c r="AR345" s="80"/>
      <c r="AS345" s="80"/>
      <c r="AT345" s="80"/>
      <c r="AU345" s="80"/>
      <c r="AV345" s="80"/>
      <c r="AW345" s="82" t="str">
        <f t="shared" si="1"/>
        <v/>
      </c>
      <c r="AX345" s="83" t="str">
        <f t="array" ref="AX345">IFERROR(DGET('SBV Import'!A:G,"SBV",{"RSC ID","Tier";B345,A345}))</f>
        <v/>
      </c>
      <c r="AY345" s="82" t="str">
        <f t="shared" si="2"/>
        <v/>
      </c>
      <c r="AZ345" s="82"/>
      <c r="BA345" s="84" t="s">
        <v>152</v>
      </c>
      <c r="BB345" s="84" t="str">
        <f>IFERROR(__xludf.DUMMYFUNCTION("iferror(if(A345="""",,E345&gt;=FILTER(Constants!$F$2:$F$10,Constants!$A$2:$A$10=A345)))"),"")</f>
        <v/>
      </c>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c r="AJ346" s="80"/>
      <c r="AK346" s="80"/>
      <c r="AL346" s="80"/>
      <c r="AM346" s="80"/>
      <c r="AN346" s="80"/>
      <c r="AO346" s="80"/>
      <c r="AP346" s="80"/>
      <c r="AQ346" s="80"/>
      <c r="AR346" s="80"/>
      <c r="AS346" s="80"/>
      <c r="AT346" s="80"/>
      <c r="AU346" s="80"/>
      <c r="AV346" s="80"/>
      <c r="AW346" s="82" t="str">
        <f t="shared" si="1"/>
        <v/>
      </c>
      <c r="AX346" s="83" t="str">
        <f t="array" ref="AX346">IFERROR(DGET('SBV Import'!A:G,"SBV",{"RSC ID","Tier";B346,A346}))</f>
        <v/>
      </c>
      <c r="AY346" s="82" t="str">
        <f t="shared" si="2"/>
        <v/>
      </c>
      <c r="AZ346" s="82"/>
      <c r="BA346" s="84" t="s">
        <v>152</v>
      </c>
      <c r="BB346" s="84" t="str">
        <f>IFERROR(__xludf.DUMMYFUNCTION("iferror(if(A346="""",,E346&gt;=FILTER(Constants!$F$2:$F$10,Constants!$A$2:$A$10=A346)))"),"")</f>
        <v/>
      </c>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c r="AJ347" s="80"/>
      <c r="AK347" s="80"/>
      <c r="AL347" s="80"/>
      <c r="AM347" s="80"/>
      <c r="AN347" s="80"/>
      <c r="AO347" s="80"/>
      <c r="AP347" s="80"/>
      <c r="AQ347" s="80"/>
      <c r="AR347" s="80"/>
      <c r="AS347" s="80"/>
      <c r="AT347" s="80"/>
      <c r="AU347" s="80"/>
      <c r="AV347" s="80"/>
      <c r="AW347" s="82" t="str">
        <f t="shared" si="1"/>
        <v/>
      </c>
      <c r="AX347" s="83" t="str">
        <f t="array" ref="AX347">IFERROR(DGET('SBV Import'!A:G,"SBV",{"RSC ID","Tier";B347,A347}))</f>
        <v/>
      </c>
      <c r="AY347" s="82" t="str">
        <f t="shared" si="2"/>
        <v/>
      </c>
      <c r="AZ347" s="82"/>
      <c r="BA347" s="84" t="s">
        <v>152</v>
      </c>
      <c r="BB347" s="84" t="str">
        <f>IFERROR(__xludf.DUMMYFUNCTION("iferror(if(A347="""",,E347&gt;=FILTER(Constants!$F$2:$F$10,Constants!$A$2:$A$10=A347)))"),"")</f>
        <v/>
      </c>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c r="AJ348" s="80"/>
      <c r="AK348" s="80"/>
      <c r="AL348" s="80"/>
      <c r="AM348" s="80"/>
      <c r="AN348" s="80"/>
      <c r="AO348" s="80"/>
      <c r="AP348" s="80"/>
      <c r="AQ348" s="80"/>
      <c r="AR348" s="80"/>
      <c r="AS348" s="80"/>
      <c r="AT348" s="80"/>
      <c r="AU348" s="80"/>
      <c r="AV348" s="80"/>
      <c r="AW348" s="82" t="str">
        <f t="shared" si="1"/>
        <v/>
      </c>
      <c r="AX348" s="83" t="str">
        <f t="array" ref="AX348">IFERROR(DGET('SBV Import'!A:G,"SBV",{"RSC ID","Tier";B348,A348}))</f>
        <v/>
      </c>
      <c r="AY348" s="82" t="str">
        <f t="shared" si="2"/>
        <v/>
      </c>
      <c r="AZ348" s="82"/>
      <c r="BA348" s="84" t="s">
        <v>152</v>
      </c>
      <c r="BB348" s="84" t="str">
        <f>IFERROR(__xludf.DUMMYFUNCTION("iferror(if(A348="""",,E348&gt;=FILTER(Constants!$F$2:$F$10,Constants!$A$2:$A$10=A348)))"),"")</f>
        <v/>
      </c>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c r="AJ349" s="80"/>
      <c r="AK349" s="80"/>
      <c r="AL349" s="80"/>
      <c r="AM349" s="80"/>
      <c r="AN349" s="80"/>
      <c r="AO349" s="80"/>
      <c r="AP349" s="80"/>
      <c r="AQ349" s="80"/>
      <c r="AR349" s="80"/>
      <c r="AS349" s="80"/>
      <c r="AT349" s="80"/>
      <c r="AU349" s="80"/>
      <c r="AV349" s="80"/>
      <c r="AW349" s="82" t="str">
        <f t="shared" si="1"/>
        <v/>
      </c>
      <c r="AX349" s="83" t="str">
        <f t="array" ref="AX349">IFERROR(DGET('SBV Import'!A:G,"SBV",{"RSC ID","Tier";B349,A349}))</f>
        <v/>
      </c>
      <c r="AY349" s="82" t="str">
        <f t="shared" si="2"/>
        <v/>
      </c>
      <c r="AZ349" s="82"/>
      <c r="BA349" s="84" t="s">
        <v>152</v>
      </c>
      <c r="BB349" s="84" t="str">
        <f>IFERROR(__xludf.DUMMYFUNCTION("iferror(if(A349="""",,E349&gt;=FILTER(Constants!$F$2:$F$10,Constants!$A$2:$A$10=A349)))"),"")</f>
        <v/>
      </c>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c r="AJ350" s="80"/>
      <c r="AK350" s="80"/>
      <c r="AL350" s="80"/>
      <c r="AM350" s="80"/>
      <c r="AN350" s="80"/>
      <c r="AO350" s="80"/>
      <c r="AP350" s="80"/>
      <c r="AQ350" s="80"/>
      <c r="AR350" s="80"/>
      <c r="AS350" s="80"/>
      <c r="AT350" s="80"/>
      <c r="AU350" s="80"/>
      <c r="AV350" s="80"/>
      <c r="AW350" s="82" t="str">
        <f t="shared" si="1"/>
        <v/>
      </c>
      <c r="AX350" s="83" t="str">
        <f t="array" ref="AX350">IFERROR(DGET('SBV Import'!A:G,"SBV",{"RSC ID","Tier";B350,A350}))</f>
        <v/>
      </c>
      <c r="AY350" s="82" t="str">
        <f t="shared" si="2"/>
        <v/>
      </c>
      <c r="AZ350" s="82"/>
      <c r="BA350" s="84" t="s">
        <v>152</v>
      </c>
      <c r="BB350" s="84" t="str">
        <f>IFERROR(__xludf.DUMMYFUNCTION("iferror(if(A350="""",,E350&gt;=FILTER(Constants!$F$2:$F$10,Constants!$A$2:$A$10=A350)))"),"")</f>
        <v/>
      </c>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c r="AJ351" s="80"/>
      <c r="AK351" s="80"/>
      <c r="AL351" s="80"/>
      <c r="AM351" s="80"/>
      <c r="AN351" s="80"/>
      <c r="AO351" s="80"/>
      <c r="AP351" s="80"/>
      <c r="AQ351" s="80"/>
      <c r="AR351" s="80"/>
      <c r="AS351" s="80"/>
      <c r="AT351" s="80"/>
      <c r="AU351" s="80"/>
      <c r="AV351" s="80"/>
      <c r="AW351" s="82" t="str">
        <f t="shared" si="1"/>
        <v/>
      </c>
      <c r="AX351" s="83" t="str">
        <f t="array" ref="AX351">IFERROR(DGET('SBV Import'!A:G,"SBV",{"RSC ID","Tier";B351,A351}))</f>
        <v/>
      </c>
      <c r="AY351" s="82" t="str">
        <f t="shared" si="2"/>
        <v/>
      </c>
      <c r="AZ351" s="82"/>
      <c r="BA351" s="84" t="s">
        <v>152</v>
      </c>
      <c r="BB351" s="84" t="str">
        <f>IFERROR(__xludf.DUMMYFUNCTION("iferror(if(A351="""",,E351&gt;=FILTER(Constants!$F$2:$F$10,Constants!$A$2:$A$10=A351)))"),"")</f>
        <v/>
      </c>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c r="AJ352" s="80"/>
      <c r="AK352" s="80"/>
      <c r="AL352" s="80"/>
      <c r="AM352" s="80"/>
      <c r="AN352" s="80"/>
      <c r="AO352" s="80"/>
      <c r="AP352" s="80"/>
      <c r="AQ352" s="80"/>
      <c r="AR352" s="80"/>
      <c r="AS352" s="80"/>
      <c r="AT352" s="80"/>
      <c r="AU352" s="80"/>
      <c r="AV352" s="80"/>
      <c r="AW352" s="82" t="str">
        <f t="shared" si="1"/>
        <v/>
      </c>
      <c r="AX352" s="83" t="str">
        <f t="array" ref="AX352">IFERROR(DGET('SBV Import'!A:G,"SBV",{"RSC ID","Tier";B352,A352}))</f>
        <v/>
      </c>
      <c r="AY352" s="82" t="str">
        <f t="shared" si="2"/>
        <v/>
      </c>
      <c r="AZ352" s="82"/>
      <c r="BA352" s="84" t="s">
        <v>152</v>
      </c>
      <c r="BB352" s="84" t="str">
        <f>IFERROR(__xludf.DUMMYFUNCTION("iferror(if(A352="""",,E352&gt;=FILTER(Constants!$F$2:$F$10,Constants!$A$2:$A$10=A352)))"),"")</f>
        <v/>
      </c>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c r="AJ353" s="80"/>
      <c r="AK353" s="80"/>
      <c r="AL353" s="80"/>
      <c r="AM353" s="80"/>
      <c r="AN353" s="80"/>
      <c r="AO353" s="80"/>
      <c r="AP353" s="80"/>
      <c r="AQ353" s="80"/>
      <c r="AR353" s="80"/>
      <c r="AS353" s="80"/>
      <c r="AT353" s="80"/>
      <c r="AU353" s="80"/>
      <c r="AV353" s="80"/>
      <c r="AW353" s="82" t="str">
        <f t="shared" si="1"/>
        <v/>
      </c>
      <c r="AX353" s="83" t="str">
        <f t="array" ref="AX353">IFERROR(DGET('SBV Import'!A:G,"SBV",{"RSC ID","Tier";B353,A353}))</f>
        <v/>
      </c>
      <c r="AY353" s="82" t="str">
        <f t="shared" si="2"/>
        <v/>
      </c>
      <c r="AZ353" s="82"/>
      <c r="BA353" s="84" t="s">
        <v>152</v>
      </c>
      <c r="BB353" s="84" t="str">
        <f>IFERROR(__xludf.DUMMYFUNCTION("iferror(if(A353="""",,E353&gt;=FILTER(Constants!$F$2:$F$10,Constants!$A$2:$A$10=A353)))"),"")</f>
        <v/>
      </c>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c r="AJ354" s="80"/>
      <c r="AK354" s="80"/>
      <c r="AL354" s="80"/>
      <c r="AM354" s="80"/>
      <c r="AN354" s="80"/>
      <c r="AO354" s="80"/>
      <c r="AP354" s="80"/>
      <c r="AQ354" s="80"/>
      <c r="AR354" s="80"/>
      <c r="AS354" s="80"/>
      <c r="AT354" s="80"/>
      <c r="AU354" s="80"/>
      <c r="AV354" s="80"/>
      <c r="AW354" s="82" t="str">
        <f t="shared" si="1"/>
        <v/>
      </c>
      <c r="AX354" s="83" t="str">
        <f t="array" ref="AX354">IFERROR(DGET('SBV Import'!A:G,"SBV",{"RSC ID","Tier";B354,A354}))</f>
        <v/>
      </c>
      <c r="AY354" s="82" t="str">
        <f t="shared" si="2"/>
        <v/>
      </c>
      <c r="AZ354" s="82"/>
      <c r="BA354" s="84" t="s">
        <v>152</v>
      </c>
      <c r="BB354" s="84" t="str">
        <f>IFERROR(__xludf.DUMMYFUNCTION("iferror(if(A354="""",,E354&gt;=FILTER(Constants!$F$2:$F$10,Constants!$A$2:$A$10=A354)))"),"")</f>
        <v/>
      </c>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c r="AJ355" s="80"/>
      <c r="AK355" s="80"/>
      <c r="AL355" s="80"/>
      <c r="AM355" s="80"/>
      <c r="AN355" s="80"/>
      <c r="AO355" s="80"/>
      <c r="AP355" s="80"/>
      <c r="AQ355" s="80"/>
      <c r="AR355" s="80"/>
      <c r="AS355" s="80"/>
      <c r="AT355" s="80"/>
      <c r="AU355" s="80"/>
      <c r="AV355" s="80"/>
      <c r="AW355" s="82" t="str">
        <f t="shared" si="1"/>
        <v/>
      </c>
      <c r="AX355" s="83" t="str">
        <f t="array" ref="AX355">IFERROR(DGET('SBV Import'!A:G,"SBV",{"RSC ID","Tier";B355,A355}))</f>
        <v/>
      </c>
      <c r="AY355" s="82" t="str">
        <f t="shared" si="2"/>
        <v/>
      </c>
      <c r="AZ355" s="82"/>
      <c r="BA355" s="84" t="s">
        <v>152</v>
      </c>
      <c r="BB355" s="84" t="str">
        <f>IFERROR(__xludf.DUMMYFUNCTION("iferror(if(A355="""",,E355&gt;=FILTER(Constants!$F$2:$F$10,Constants!$A$2:$A$10=A355)))"),"")</f>
        <v/>
      </c>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c r="AJ356" s="80"/>
      <c r="AK356" s="80"/>
      <c r="AL356" s="80"/>
      <c r="AM356" s="80"/>
      <c r="AN356" s="80"/>
      <c r="AO356" s="80"/>
      <c r="AP356" s="80"/>
      <c r="AQ356" s="80"/>
      <c r="AR356" s="80"/>
      <c r="AS356" s="80"/>
      <c r="AT356" s="80"/>
      <c r="AU356" s="80"/>
      <c r="AV356" s="80"/>
      <c r="AW356" s="82" t="str">
        <f t="shared" si="1"/>
        <v/>
      </c>
      <c r="AX356" s="83" t="str">
        <f t="array" ref="AX356">IFERROR(DGET('SBV Import'!A:G,"SBV",{"RSC ID","Tier";B356,A356}))</f>
        <v/>
      </c>
      <c r="AY356" s="82" t="str">
        <f t="shared" si="2"/>
        <v/>
      </c>
      <c r="AZ356" s="82"/>
      <c r="BA356" s="84" t="s">
        <v>152</v>
      </c>
      <c r="BB356" s="84" t="str">
        <f>IFERROR(__xludf.DUMMYFUNCTION("iferror(if(A356="""",,E356&gt;=FILTER(Constants!$F$2:$F$10,Constants!$A$2:$A$10=A356)))"),"")</f>
        <v/>
      </c>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c r="AJ357" s="80"/>
      <c r="AK357" s="80"/>
      <c r="AL357" s="80"/>
      <c r="AM357" s="80"/>
      <c r="AN357" s="80"/>
      <c r="AO357" s="80"/>
      <c r="AP357" s="80"/>
      <c r="AQ357" s="80"/>
      <c r="AR357" s="80"/>
      <c r="AS357" s="80"/>
      <c r="AT357" s="80"/>
      <c r="AU357" s="80"/>
      <c r="AV357" s="80"/>
      <c r="AW357" s="82" t="str">
        <f t="shared" si="1"/>
        <v/>
      </c>
      <c r="AX357" s="83" t="str">
        <f t="array" ref="AX357">IFERROR(DGET('SBV Import'!A:G,"SBV",{"RSC ID","Tier";B357,A357}))</f>
        <v/>
      </c>
      <c r="AY357" s="82" t="str">
        <f t="shared" si="2"/>
        <v/>
      </c>
      <c r="AZ357" s="82"/>
      <c r="BA357" s="84" t="s">
        <v>152</v>
      </c>
      <c r="BB357" s="84" t="str">
        <f>IFERROR(__xludf.DUMMYFUNCTION("iferror(if(A357="""",,E357&gt;=FILTER(Constants!$F$2:$F$10,Constants!$A$2:$A$10=A357)))"),"")</f>
        <v/>
      </c>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c r="AJ358" s="80"/>
      <c r="AK358" s="80"/>
      <c r="AL358" s="80"/>
      <c r="AM358" s="80"/>
      <c r="AN358" s="80"/>
      <c r="AO358" s="80"/>
      <c r="AP358" s="80"/>
      <c r="AQ358" s="80"/>
      <c r="AR358" s="80"/>
      <c r="AS358" s="80"/>
      <c r="AT358" s="80"/>
      <c r="AU358" s="80"/>
      <c r="AV358" s="80"/>
      <c r="AW358" s="82" t="str">
        <f t="shared" si="1"/>
        <v/>
      </c>
      <c r="AX358" s="83" t="str">
        <f t="array" ref="AX358">IFERROR(DGET('SBV Import'!A:G,"SBV",{"RSC ID","Tier";B358,A358}))</f>
        <v/>
      </c>
      <c r="AY358" s="82" t="str">
        <f t="shared" si="2"/>
        <v/>
      </c>
      <c r="AZ358" s="82"/>
      <c r="BA358" s="84" t="s">
        <v>152</v>
      </c>
      <c r="BB358" s="84" t="str">
        <f>IFERROR(__xludf.DUMMYFUNCTION("iferror(if(A358="""",,E358&gt;=FILTER(Constants!$F$2:$F$10,Constants!$A$2:$A$10=A358)))"),"")</f>
        <v/>
      </c>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c r="AJ359" s="80"/>
      <c r="AK359" s="80"/>
      <c r="AL359" s="80"/>
      <c r="AM359" s="80"/>
      <c r="AN359" s="80"/>
      <c r="AO359" s="80"/>
      <c r="AP359" s="80"/>
      <c r="AQ359" s="80"/>
      <c r="AR359" s="80"/>
      <c r="AS359" s="80"/>
      <c r="AT359" s="80"/>
      <c r="AU359" s="80"/>
      <c r="AV359" s="80"/>
      <c r="AW359" s="82" t="str">
        <f t="shared" si="1"/>
        <v/>
      </c>
      <c r="AX359" s="83" t="str">
        <f t="array" ref="AX359">IFERROR(DGET('SBV Import'!A:G,"SBV",{"RSC ID","Tier";B359,A359}))</f>
        <v/>
      </c>
      <c r="AY359" s="82" t="str">
        <f t="shared" si="2"/>
        <v/>
      </c>
      <c r="AZ359" s="82"/>
      <c r="BA359" s="84" t="s">
        <v>152</v>
      </c>
      <c r="BB359" s="84" t="str">
        <f>IFERROR(__xludf.DUMMYFUNCTION("iferror(if(A359="""",,E359&gt;=FILTER(Constants!$F$2:$F$10,Constants!$A$2:$A$10=A359)))"),"")</f>
        <v/>
      </c>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c r="AJ360" s="80"/>
      <c r="AK360" s="80"/>
      <c r="AL360" s="80"/>
      <c r="AM360" s="80"/>
      <c r="AN360" s="80"/>
      <c r="AO360" s="80"/>
      <c r="AP360" s="80"/>
      <c r="AQ360" s="80"/>
      <c r="AR360" s="80"/>
      <c r="AS360" s="80"/>
      <c r="AT360" s="80"/>
      <c r="AU360" s="80"/>
      <c r="AV360" s="80"/>
      <c r="AW360" s="82" t="str">
        <f t="shared" si="1"/>
        <v/>
      </c>
      <c r="AX360" s="83" t="str">
        <f t="array" ref="AX360">IFERROR(DGET('SBV Import'!A:G,"SBV",{"RSC ID","Tier";B360,A360}))</f>
        <v/>
      </c>
      <c r="AY360" s="82" t="str">
        <f t="shared" si="2"/>
        <v/>
      </c>
      <c r="AZ360" s="82"/>
      <c r="BA360" s="84" t="s">
        <v>152</v>
      </c>
      <c r="BB360" s="84" t="str">
        <f>IFERROR(__xludf.DUMMYFUNCTION("iferror(if(A360="""",,E360&gt;=FILTER(Constants!$F$2:$F$10,Constants!$A$2:$A$10=A360)))"),"")</f>
        <v/>
      </c>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c r="AJ361" s="80"/>
      <c r="AK361" s="80"/>
      <c r="AL361" s="80"/>
      <c r="AM361" s="80"/>
      <c r="AN361" s="80"/>
      <c r="AO361" s="80"/>
      <c r="AP361" s="80"/>
      <c r="AQ361" s="80"/>
      <c r="AR361" s="80"/>
      <c r="AS361" s="80"/>
      <c r="AT361" s="80"/>
      <c r="AU361" s="80"/>
      <c r="AV361" s="80"/>
      <c r="AW361" s="82" t="str">
        <f t="shared" si="1"/>
        <v/>
      </c>
      <c r="AX361" s="83" t="str">
        <f t="array" ref="AX361">IFERROR(DGET('SBV Import'!A:G,"SBV",{"RSC ID","Tier";B361,A361}))</f>
        <v/>
      </c>
      <c r="AY361" s="82" t="str">
        <f t="shared" si="2"/>
        <v/>
      </c>
      <c r="AZ361" s="82"/>
      <c r="BA361" s="84" t="s">
        <v>152</v>
      </c>
      <c r="BB361" s="84" t="str">
        <f>IFERROR(__xludf.DUMMYFUNCTION("iferror(if(A361="""",,E361&gt;=FILTER(Constants!$F$2:$F$10,Constants!$A$2:$A$10=A361)))"),"")</f>
        <v/>
      </c>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c r="AJ362" s="80"/>
      <c r="AK362" s="80"/>
      <c r="AL362" s="80"/>
      <c r="AM362" s="80"/>
      <c r="AN362" s="80"/>
      <c r="AO362" s="80"/>
      <c r="AP362" s="80"/>
      <c r="AQ362" s="80"/>
      <c r="AR362" s="80"/>
      <c r="AS362" s="80"/>
      <c r="AT362" s="80"/>
      <c r="AU362" s="80"/>
      <c r="AV362" s="80"/>
      <c r="AW362" s="82" t="str">
        <f t="shared" si="1"/>
        <v/>
      </c>
      <c r="AX362" s="83" t="str">
        <f t="array" ref="AX362">IFERROR(DGET('SBV Import'!A:G,"SBV",{"RSC ID","Tier";B362,A362}))</f>
        <v/>
      </c>
      <c r="AY362" s="82" t="str">
        <f t="shared" si="2"/>
        <v/>
      </c>
      <c r="AZ362" s="82"/>
      <c r="BA362" s="84" t="s">
        <v>152</v>
      </c>
      <c r="BB362" s="84" t="str">
        <f>IFERROR(__xludf.DUMMYFUNCTION("iferror(if(A362="""",,E362&gt;=FILTER(Constants!$F$2:$F$10,Constants!$A$2:$A$10=A362)))"),"")</f>
        <v/>
      </c>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c r="AJ363" s="80"/>
      <c r="AK363" s="80"/>
      <c r="AL363" s="80"/>
      <c r="AM363" s="80"/>
      <c r="AN363" s="80"/>
      <c r="AO363" s="80"/>
      <c r="AP363" s="80"/>
      <c r="AQ363" s="80"/>
      <c r="AR363" s="80"/>
      <c r="AS363" s="80"/>
      <c r="AT363" s="80"/>
      <c r="AU363" s="80"/>
      <c r="AV363" s="80"/>
      <c r="AW363" s="82" t="str">
        <f t="shared" si="1"/>
        <v/>
      </c>
      <c r="AX363" s="83" t="str">
        <f t="array" ref="AX363">IFERROR(DGET('SBV Import'!A:G,"SBV",{"RSC ID","Tier";B363,A363}))</f>
        <v/>
      </c>
      <c r="AY363" s="82" t="str">
        <f t="shared" si="2"/>
        <v/>
      </c>
      <c r="AZ363" s="82"/>
      <c r="BA363" s="84" t="s">
        <v>152</v>
      </c>
      <c r="BB363" s="84" t="str">
        <f>IFERROR(__xludf.DUMMYFUNCTION("iferror(if(A363="""",,E363&gt;=FILTER(Constants!$F$2:$F$10,Constants!$A$2:$A$10=A363)))"),"")</f>
        <v/>
      </c>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c r="AJ364" s="80"/>
      <c r="AK364" s="80"/>
      <c r="AL364" s="80"/>
      <c r="AM364" s="80"/>
      <c r="AN364" s="80"/>
      <c r="AO364" s="80"/>
      <c r="AP364" s="80"/>
      <c r="AQ364" s="80"/>
      <c r="AR364" s="80"/>
      <c r="AS364" s="80"/>
      <c r="AT364" s="80"/>
      <c r="AU364" s="80"/>
      <c r="AV364" s="80"/>
      <c r="AW364" s="82" t="str">
        <f t="shared" si="1"/>
        <v/>
      </c>
      <c r="AX364" s="83" t="str">
        <f t="array" ref="AX364">IFERROR(DGET('SBV Import'!A:G,"SBV",{"RSC ID","Tier";B364,A364}))</f>
        <v/>
      </c>
      <c r="AY364" s="82" t="str">
        <f t="shared" si="2"/>
        <v/>
      </c>
      <c r="AZ364" s="82"/>
      <c r="BA364" s="84" t="s">
        <v>152</v>
      </c>
      <c r="BB364" s="84" t="str">
        <f>IFERROR(__xludf.DUMMYFUNCTION("iferror(if(A364="""",,E364&gt;=FILTER(Constants!$F$2:$F$10,Constants!$A$2:$A$10=A364)))"),"")</f>
        <v/>
      </c>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c r="AJ365" s="80"/>
      <c r="AK365" s="80"/>
      <c r="AL365" s="80"/>
      <c r="AM365" s="80"/>
      <c r="AN365" s="80"/>
      <c r="AO365" s="80"/>
      <c r="AP365" s="80"/>
      <c r="AQ365" s="80"/>
      <c r="AR365" s="80"/>
      <c r="AS365" s="80"/>
      <c r="AT365" s="80"/>
      <c r="AU365" s="80"/>
      <c r="AV365" s="80"/>
      <c r="AW365" s="82" t="str">
        <f t="shared" si="1"/>
        <v/>
      </c>
      <c r="AX365" s="83" t="str">
        <f t="array" ref="AX365">IFERROR(DGET('SBV Import'!A:G,"SBV",{"RSC ID","Tier";B365,A365}))</f>
        <v/>
      </c>
      <c r="AY365" s="82" t="str">
        <f t="shared" si="2"/>
        <v/>
      </c>
      <c r="AZ365" s="82"/>
      <c r="BA365" s="84" t="s">
        <v>152</v>
      </c>
      <c r="BB365" s="84" t="str">
        <f>IFERROR(__xludf.DUMMYFUNCTION("iferror(if(A365="""",,E365&gt;=FILTER(Constants!$F$2:$F$10,Constants!$A$2:$A$10=A365)))"),"")</f>
        <v/>
      </c>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c r="AJ366" s="80"/>
      <c r="AK366" s="80"/>
      <c r="AL366" s="80"/>
      <c r="AM366" s="80"/>
      <c r="AN366" s="80"/>
      <c r="AO366" s="80"/>
      <c r="AP366" s="80"/>
      <c r="AQ366" s="80"/>
      <c r="AR366" s="80"/>
      <c r="AS366" s="80"/>
      <c r="AT366" s="80"/>
      <c r="AU366" s="80"/>
      <c r="AV366" s="80"/>
      <c r="AW366" s="82" t="str">
        <f t="shared" si="1"/>
        <v/>
      </c>
      <c r="AX366" s="83" t="str">
        <f t="array" ref="AX366">IFERROR(DGET('SBV Import'!A:G,"SBV",{"RSC ID","Tier";B366,A366}))</f>
        <v/>
      </c>
      <c r="AY366" s="82" t="str">
        <f t="shared" si="2"/>
        <v/>
      </c>
      <c r="AZ366" s="82"/>
      <c r="BA366" s="84" t="s">
        <v>152</v>
      </c>
      <c r="BB366" s="84" t="str">
        <f>IFERROR(__xludf.DUMMYFUNCTION("iferror(if(A366="""",,E366&gt;=FILTER(Constants!$F$2:$F$10,Constants!$A$2:$A$10=A366)))"),"")</f>
        <v/>
      </c>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c r="AJ367" s="80"/>
      <c r="AK367" s="80"/>
      <c r="AL367" s="80"/>
      <c r="AM367" s="80"/>
      <c r="AN367" s="80"/>
      <c r="AO367" s="80"/>
      <c r="AP367" s="80"/>
      <c r="AQ367" s="80"/>
      <c r="AR367" s="80"/>
      <c r="AS367" s="80"/>
      <c r="AT367" s="80"/>
      <c r="AU367" s="80"/>
      <c r="AV367" s="80"/>
      <c r="AW367" s="82" t="str">
        <f t="shared" si="1"/>
        <v/>
      </c>
      <c r="AX367" s="83" t="str">
        <f t="array" ref="AX367">IFERROR(DGET('SBV Import'!A:G,"SBV",{"RSC ID","Tier";B367,A367}))</f>
        <v/>
      </c>
      <c r="AY367" s="82" t="str">
        <f t="shared" si="2"/>
        <v/>
      </c>
      <c r="AZ367" s="82"/>
      <c r="BA367" s="84" t="s">
        <v>152</v>
      </c>
      <c r="BB367" s="84" t="str">
        <f>IFERROR(__xludf.DUMMYFUNCTION("iferror(if(A367="""",,E367&gt;=FILTER(Constants!$F$2:$F$10,Constants!$A$2:$A$10=A367)))"),"")</f>
        <v/>
      </c>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c r="AJ368" s="80"/>
      <c r="AK368" s="80"/>
      <c r="AL368" s="80"/>
      <c r="AM368" s="80"/>
      <c r="AN368" s="80"/>
      <c r="AO368" s="80"/>
      <c r="AP368" s="80"/>
      <c r="AQ368" s="80"/>
      <c r="AR368" s="80"/>
      <c r="AS368" s="80"/>
      <c r="AT368" s="80"/>
      <c r="AU368" s="80"/>
      <c r="AV368" s="80"/>
      <c r="AW368" s="82" t="str">
        <f t="shared" si="1"/>
        <v/>
      </c>
      <c r="AX368" s="83" t="str">
        <f t="array" ref="AX368">IFERROR(DGET('SBV Import'!A:G,"SBV",{"RSC ID","Tier";B368,A368}))</f>
        <v/>
      </c>
      <c r="AY368" s="82" t="str">
        <f t="shared" si="2"/>
        <v/>
      </c>
      <c r="AZ368" s="82"/>
      <c r="BA368" s="84" t="s">
        <v>152</v>
      </c>
      <c r="BB368" s="84" t="str">
        <f>IFERROR(__xludf.DUMMYFUNCTION("iferror(if(A368="""",,E368&gt;=FILTER(Constants!$F$2:$F$10,Constants!$A$2:$A$10=A368)))"),"")</f>
        <v/>
      </c>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c r="AJ369" s="80"/>
      <c r="AK369" s="80"/>
      <c r="AL369" s="80"/>
      <c r="AM369" s="80"/>
      <c r="AN369" s="80"/>
      <c r="AO369" s="80"/>
      <c r="AP369" s="80"/>
      <c r="AQ369" s="80"/>
      <c r="AR369" s="80"/>
      <c r="AS369" s="80"/>
      <c r="AT369" s="80"/>
      <c r="AU369" s="80"/>
      <c r="AV369" s="80"/>
      <c r="AW369" s="82" t="str">
        <f t="shared" si="1"/>
        <v/>
      </c>
      <c r="AX369" s="83" t="str">
        <f t="array" ref="AX369">IFERROR(DGET('SBV Import'!A:G,"SBV",{"RSC ID","Tier";B369,A369}))</f>
        <v/>
      </c>
      <c r="AY369" s="82" t="str">
        <f t="shared" si="2"/>
        <v/>
      </c>
      <c r="AZ369" s="82"/>
      <c r="BA369" s="84" t="s">
        <v>152</v>
      </c>
      <c r="BB369" s="84" t="str">
        <f>IFERROR(__xludf.DUMMYFUNCTION("iferror(if(A369="""",,E369&gt;=FILTER(Constants!$F$2:$F$10,Constants!$A$2:$A$10=A369)))"),"")</f>
        <v/>
      </c>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c r="AJ370" s="80"/>
      <c r="AK370" s="80"/>
      <c r="AL370" s="80"/>
      <c r="AM370" s="80"/>
      <c r="AN370" s="80"/>
      <c r="AO370" s="80"/>
      <c r="AP370" s="80"/>
      <c r="AQ370" s="80"/>
      <c r="AR370" s="80"/>
      <c r="AS370" s="80"/>
      <c r="AT370" s="80"/>
      <c r="AU370" s="80"/>
      <c r="AV370" s="80"/>
      <c r="AW370" s="82" t="str">
        <f t="shared" si="1"/>
        <v/>
      </c>
      <c r="AX370" s="83" t="str">
        <f t="array" ref="AX370">IFERROR(DGET('SBV Import'!A:G,"SBV",{"RSC ID","Tier";B370,A370}))</f>
        <v/>
      </c>
      <c r="AY370" s="82" t="str">
        <f t="shared" si="2"/>
        <v/>
      </c>
      <c r="AZ370" s="82"/>
      <c r="BA370" s="84" t="s">
        <v>152</v>
      </c>
      <c r="BB370" s="84" t="str">
        <f>IFERROR(__xludf.DUMMYFUNCTION("iferror(if(A370="""",,E370&gt;=FILTER(Constants!$F$2:$F$10,Constants!$A$2:$A$10=A370)))"),"")</f>
        <v/>
      </c>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c r="AJ371" s="80"/>
      <c r="AK371" s="80"/>
      <c r="AL371" s="80"/>
      <c r="AM371" s="80"/>
      <c r="AN371" s="80"/>
      <c r="AO371" s="80"/>
      <c r="AP371" s="80"/>
      <c r="AQ371" s="80"/>
      <c r="AR371" s="80"/>
      <c r="AS371" s="80"/>
      <c r="AT371" s="80"/>
      <c r="AU371" s="80"/>
      <c r="AV371" s="80"/>
      <c r="AW371" s="82" t="str">
        <f t="shared" si="1"/>
        <v/>
      </c>
      <c r="AX371" s="83" t="str">
        <f t="array" ref="AX371">IFERROR(DGET('SBV Import'!A:G,"SBV",{"RSC ID","Tier";B371,A371}))</f>
        <v/>
      </c>
      <c r="AY371" s="82" t="str">
        <f t="shared" si="2"/>
        <v/>
      </c>
      <c r="AZ371" s="82"/>
      <c r="BA371" s="84" t="s">
        <v>152</v>
      </c>
      <c r="BB371" s="84" t="str">
        <f>IFERROR(__xludf.DUMMYFUNCTION("iferror(if(A371="""",,E371&gt;=FILTER(Constants!$F$2:$F$10,Constants!$A$2:$A$10=A371)))"),"")</f>
        <v/>
      </c>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c r="AJ372" s="80"/>
      <c r="AK372" s="80"/>
      <c r="AL372" s="80"/>
      <c r="AM372" s="80"/>
      <c r="AN372" s="80"/>
      <c r="AO372" s="80"/>
      <c r="AP372" s="80"/>
      <c r="AQ372" s="80"/>
      <c r="AR372" s="80"/>
      <c r="AS372" s="80"/>
      <c r="AT372" s="80"/>
      <c r="AU372" s="80"/>
      <c r="AV372" s="80"/>
      <c r="AW372" s="82" t="str">
        <f t="shared" si="1"/>
        <v/>
      </c>
      <c r="AX372" s="83" t="str">
        <f t="array" ref="AX372">IFERROR(DGET('SBV Import'!A:G,"SBV",{"RSC ID","Tier";B372,A372}))</f>
        <v/>
      </c>
      <c r="AY372" s="82" t="str">
        <f t="shared" si="2"/>
        <v/>
      </c>
      <c r="AZ372" s="82"/>
      <c r="BA372" s="84" t="s">
        <v>152</v>
      </c>
      <c r="BB372" s="84" t="str">
        <f>IFERROR(__xludf.DUMMYFUNCTION("iferror(if(A372="""",,E372&gt;=FILTER(Constants!$F$2:$F$10,Constants!$A$2:$A$10=A372)))"),"")</f>
        <v/>
      </c>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c r="AJ373" s="80"/>
      <c r="AK373" s="80"/>
      <c r="AL373" s="80"/>
      <c r="AM373" s="80"/>
      <c r="AN373" s="80"/>
      <c r="AO373" s="80"/>
      <c r="AP373" s="80"/>
      <c r="AQ373" s="80"/>
      <c r="AR373" s="80"/>
      <c r="AS373" s="80"/>
      <c r="AT373" s="80"/>
      <c r="AU373" s="80"/>
      <c r="AV373" s="80"/>
      <c r="AW373" s="82" t="str">
        <f t="shared" si="1"/>
        <v/>
      </c>
      <c r="AX373" s="83" t="str">
        <f t="array" ref="AX373">IFERROR(DGET('SBV Import'!A:G,"SBV",{"RSC ID","Tier";B373,A373}))</f>
        <v/>
      </c>
      <c r="AY373" s="82" t="str">
        <f t="shared" si="2"/>
        <v/>
      </c>
      <c r="AZ373" s="82"/>
      <c r="BA373" s="84" t="s">
        <v>152</v>
      </c>
      <c r="BB373" s="84" t="str">
        <f>IFERROR(__xludf.DUMMYFUNCTION("iferror(if(A373="""",,E373&gt;=FILTER(Constants!$F$2:$F$10,Constants!$A$2:$A$10=A373)))"),"")</f>
        <v/>
      </c>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c r="AJ374" s="80"/>
      <c r="AK374" s="80"/>
      <c r="AL374" s="80"/>
      <c r="AM374" s="80"/>
      <c r="AN374" s="80"/>
      <c r="AO374" s="80"/>
      <c r="AP374" s="80"/>
      <c r="AQ374" s="80"/>
      <c r="AR374" s="80"/>
      <c r="AS374" s="80"/>
      <c r="AT374" s="80"/>
      <c r="AU374" s="80"/>
      <c r="AV374" s="80"/>
      <c r="AW374" s="82" t="str">
        <f t="shared" si="1"/>
        <v/>
      </c>
      <c r="AX374" s="83" t="str">
        <f t="array" ref="AX374">IFERROR(DGET('SBV Import'!A:G,"SBV",{"RSC ID","Tier";B374,A374}))</f>
        <v/>
      </c>
      <c r="AY374" s="82" t="str">
        <f t="shared" si="2"/>
        <v/>
      </c>
      <c r="AZ374" s="82"/>
      <c r="BA374" s="84" t="s">
        <v>152</v>
      </c>
      <c r="BB374" s="84" t="str">
        <f>IFERROR(__xludf.DUMMYFUNCTION("iferror(if(A374="""",,E374&gt;=FILTER(Constants!$F$2:$F$10,Constants!$A$2:$A$10=A374)))"),"")</f>
        <v/>
      </c>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c r="AJ375" s="80"/>
      <c r="AK375" s="80"/>
      <c r="AL375" s="80"/>
      <c r="AM375" s="80"/>
      <c r="AN375" s="80"/>
      <c r="AO375" s="80"/>
      <c r="AP375" s="80"/>
      <c r="AQ375" s="80"/>
      <c r="AR375" s="80"/>
      <c r="AS375" s="80"/>
      <c r="AT375" s="80"/>
      <c r="AU375" s="80"/>
      <c r="AV375" s="80"/>
      <c r="AW375" s="82" t="str">
        <f t="shared" si="1"/>
        <v/>
      </c>
      <c r="AX375" s="83" t="str">
        <f t="array" ref="AX375">IFERROR(DGET('SBV Import'!A:G,"SBV",{"RSC ID","Tier";B375,A375}))</f>
        <v/>
      </c>
      <c r="AY375" s="82" t="str">
        <f t="shared" si="2"/>
        <v/>
      </c>
      <c r="AZ375" s="82"/>
      <c r="BA375" s="84" t="s">
        <v>152</v>
      </c>
      <c r="BB375" s="84" t="str">
        <f>IFERROR(__xludf.DUMMYFUNCTION("iferror(if(A375="""",,E375&gt;=FILTER(Constants!$F$2:$F$10,Constants!$A$2:$A$10=A375)))"),"")</f>
        <v/>
      </c>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c r="AJ376" s="80"/>
      <c r="AK376" s="80"/>
      <c r="AL376" s="80"/>
      <c r="AM376" s="80"/>
      <c r="AN376" s="80"/>
      <c r="AO376" s="80"/>
      <c r="AP376" s="80"/>
      <c r="AQ376" s="80"/>
      <c r="AR376" s="80"/>
      <c r="AS376" s="80"/>
      <c r="AT376" s="80"/>
      <c r="AU376" s="80"/>
      <c r="AV376" s="80"/>
      <c r="AW376" s="82" t="str">
        <f t="shared" si="1"/>
        <v/>
      </c>
      <c r="AX376" s="83" t="str">
        <f t="array" ref="AX376">IFERROR(DGET('SBV Import'!A:G,"SBV",{"RSC ID","Tier";B376,A376}))</f>
        <v/>
      </c>
      <c r="AY376" s="82" t="str">
        <f t="shared" si="2"/>
        <v/>
      </c>
      <c r="AZ376" s="82"/>
      <c r="BA376" s="84" t="s">
        <v>152</v>
      </c>
      <c r="BB376" s="84" t="str">
        <f>IFERROR(__xludf.DUMMYFUNCTION("iferror(if(A376="""",,E376&gt;=FILTER(Constants!$F$2:$F$10,Constants!$A$2:$A$10=A376)))"),"")</f>
        <v/>
      </c>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c r="AJ377" s="80"/>
      <c r="AK377" s="80"/>
      <c r="AL377" s="80"/>
      <c r="AM377" s="80"/>
      <c r="AN377" s="80"/>
      <c r="AO377" s="80"/>
      <c r="AP377" s="80"/>
      <c r="AQ377" s="80"/>
      <c r="AR377" s="80"/>
      <c r="AS377" s="80"/>
      <c r="AT377" s="80"/>
      <c r="AU377" s="80"/>
      <c r="AV377" s="80"/>
      <c r="AW377" s="82" t="str">
        <f t="shared" si="1"/>
        <v/>
      </c>
      <c r="AX377" s="83" t="str">
        <f t="array" ref="AX377">IFERROR(DGET('SBV Import'!A:G,"SBV",{"RSC ID","Tier";B377,A377}))</f>
        <v/>
      </c>
      <c r="AY377" s="82" t="str">
        <f t="shared" si="2"/>
        <v/>
      </c>
      <c r="AZ377" s="82"/>
      <c r="BA377" s="84" t="s">
        <v>152</v>
      </c>
      <c r="BB377" s="84" t="str">
        <f>IFERROR(__xludf.DUMMYFUNCTION("iferror(if(A377="""",,E377&gt;=FILTER(Constants!$F$2:$F$10,Constants!$A$2:$A$10=A377)))"),"")</f>
        <v/>
      </c>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c r="AJ378" s="80"/>
      <c r="AK378" s="80"/>
      <c r="AL378" s="80"/>
      <c r="AM378" s="80"/>
      <c r="AN378" s="80"/>
      <c r="AO378" s="80"/>
      <c r="AP378" s="80"/>
      <c r="AQ378" s="80"/>
      <c r="AR378" s="80"/>
      <c r="AS378" s="80"/>
      <c r="AT378" s="80"/>
      <c r="AU378" s="80"/>
      <c r="AV378" s="80"/>
      <c r="AW378" s="82" t="str">
        <f t="shared" si="1"/>
        <v/>
      </c>
      <c r="AX378" s="83" t="str">
        <f t="array" ref="AX378">IFERROR(DGET('SBV Import'!A:G,"SBV",{"RSC ID","Tier";B378,A378}))</f>
        <v/>
      </c>
      <c r="AY378" s="82" t="str">
        <f t="shared" si="2"/>
        <v/>
      </c>
      <c r="AZ378" s="82"/>
      <c r="BA378" s="84" t="s">
        <v>152</v>
      </c>
      <c r="BB378" s="84" t="str">
        <f>IFERROR(__xludf.DUMMYFUNCTION("iferror(if(A378="""",,E378&gt;=FILTER(Constants!$F$2:$F$10,Constants!$A$2:$A$10=A378)))"),"")</f>
        <v/>
      </c>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c r="AJ379" s="80"/>
      <c r="AK379" s="80"/>
      <c r="AL379" s="80"/>
      <c r="AM379" s="80"/>
      <c r="AN379" s="80"/>
      <c r="AO379" s="80"/>
      <c r="AP379" s="80"/>
      <c r="AQ379" s="80"/>
      <c r="AR379" s="80"/>
      <c r="AS379" s="80"/>
      <c r="AT379" s="80"/>
      <c r="AU379" s="80"/>
      <c r="AV379" s="80"/>
      <c r="AW379" s="82" t="str">
        <f t="shared" si="1"/>
        <v/>
      </c>
      <c r="AX379" s="83" t="str">
        <f t="array" ref="AX379">IFERROR(DGET('SBV Import'!A:G,"SBV",{"RSC ID","Tier";B379,A379}))</f>
        <v/>
      </c>
      <c r="AY379" s="82" t="str">
        <f t="shared" si="2"/>
        <v/>
      </c>
      <c r="AZ379" s="82"/>
      <c r="BA379" s="84" t="s">
        <v>152</v>
      </c>
      <c r="BB379" s="84" t="str">
        <f>IFERROR(__xludf.DUMMYFUNCTION("iferror(if(A379="""",,E379&gt;=FILTER(Constants!$F$2:$F$10,Constants!$A$2:$A$10=A379)))"),"")</f>
        <v/>
      </c>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c r="AJ380" s="80"/>
      <c r="AK380" s="80"/>
      <c r="AL380" s="80"/>
      <c r="AM380" s="80"/>
      <c r="AN380" s="80"/>
      <c r="AO380" s="80"/>
      <c r="AP380" s="80"/>
      <c r="AQ380" s="80"/>
      <c r="AR380" s="80"/>
      <c r="AS380" s="80"/>
      <c r="AT380" s="80"/>
      <c r="AU380" s="80"/>
      <c r="AV380" s="80"/>
      <c r="AW380" s="82" t="str">
        <f t="shared" si="1"/>
        <v/>
      </c>
      <c r="AX380" s="83" t="str">
        <f t="array" ref="AX380">IFERROR(DGET('SBV Import'!A:G,"SBV",{"RSC ID","Tier";B380,A380}))</f>
        <v/>
      </c>
      <c r="AY380" s="82" t="str">
        <f t="shared" si="2"/>
        <v/>
      </c>
      <c r="AZ380" s="82"/>
      <c r="BA380" s="84" t="s">
        <v>152</v>
      </c>
      <c r="BB380" s="84" t="str">
        <f>IFERROR(__xludf.DUMMYFUNCTION("iferror(if(A380="""",,E380&gt;=FILTER(Constants!$F$2:$F$10,Constants!$A$2:$A$10=A380)))"),"")</f>
        <v/>
      </c>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c r="AJ381" s="80"/>
      <c r="AK381" s="80"/>
      <c r="AL381" s="80"/>
      <c r="AM381" s="80"/>
      <c r="AN381" s="80"/>
      <c r="AO381" s="80"/>
      <c r="AP381" s="80"/>
      <c r="AQ381" s="80"/>
      <c r="AR381" s="80"/>
      <c r="AS381" s="80"/>
      <c r="AT381" s="80"/>
      <c r="AU381" s="80"/>
      <c r="AV381" s="80"/>
      <c r="AW381" s="82" t="str">
        <f t="shared" si="1"/>
        <v/>
      </c>
      <c r="AX381" s="83" t="str">
        <f t="array" ref="AX381">IFERROR(DGET('SBV Import'!A:G,"SBV",{"RSC ID","Tier";B381,A381}))</f>
        <v/>
      </c>
      <c r="AY381" s="82" t="str">
        <f t="shared" si="2"/>
        <v/>
      </c>
      <c r="AZ381" s="82"/>
      <c r="BA381" s="84" t="s">
        <v>152</v>
      </c>
      <c r="BB381" s="84" t="str">
        <f>IFERROR(__xludf.DUMMYFUNCTION("iferror(if(A381="""",,E381&gt;=FILTER(Constants!$F$2:$F$10,Constants!$A$2:$A$10=A381)))"),"")</f>
        <v/>
      </c>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c r="AJ382" s="80"/>
      <c r="AK382" s="80"/>
      <c r="AL382" s="80"/>
      <c r="AM382" s="80"/>
      <c r="AN382" s="80"/>
      <c r="AO382" s="80"/>
      <c r="AP382" s="80"/>
      <c r="AQ382" s="80"/>
      <c r="AR382" s="80"/>
      <c r="AS382" s="80"/>
      <c r="AT382" s="80"/>
      <c r="AU382" s="80"/>
      <c r="AV382" s="80"/>
      <c r="AW382" s="82" t="str">
        <f t="shared" si="1"/>
        <v/>
      </c>
      <c r="AX382" s="83" t="str">
        <f t="array" ref="AX382">IFERROR(DGET('SBV Import'!A:G,"SBV",{"RSC ID","Tier";B382,A382}))</f>
        <v/>
      </c>
      <c r="AY382" s="82" t="str">
        <f t="shared" si="2"/>
        <v/>
      </c>
      <c r="AZ382" s="82"/>
      <c r="BA382" s="84" t="s">
        <v>152</v>
      </c>
      <c r="BB382" s="84" t="str">
        <f>IFERROR(__xludf.DUMMYFUNCTION("iferror(if(A382="""",,E382&gt;=FILTER(Constants!$F$2:$F$10,Constants!$A$2:$A$10=A382)))"),"")</f>
        <v/>
      </c>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c r="AJ383" s="80"/>
      <c r="AK383" s="80"/>
      <c r="AL383" s="80"/>
      <c r="AM383" s="80"/>
      <c r="AN383" s="80"/>
      <c r="AO383" s="80"/>
      <c r="AP383" s="80"/>
      <c r="AQ383" s="80"/>
      <c r="AR383" s="80"/>
      <c r="AS383" s="80"/>
      <c r="AT383" s="80"/>
      <c r="AU383" s="80"/>
      <c r="AV383" s="80"/>
      <c r="AW383" s="82" t="str">
        <f t="shared" si="1"/>
        <v/>
      </c>
      <c r="AX383" s="83" t="str">
        <f t="array" ref="AX383">IFERROR(DGET('SBV Import'!A:G,"SBV",{"RSC ID","Tier";B383,A383}))</f>
        <v/>
      </c>
      <c r="AY383" s="82" t="str">
        <f t="shared" si="2"/>
        <v/>
      </c>
      <c r="AZ383" s="82"/>
      <c r="BA383" s="84" t="s">
        <v>152</v>
      </c>
      <c r="BB383" s="84" t="str">
        <f>IFERROR(__xludf.DUMMYFUNCTION("iferror(if(A383="""",,E383&gt;=FILTER(Constants!$F$2:$F$10,Constants!$A$2:$A$10=A383)))"),"")</f>
        <v/>
      </c>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c r="AJ384" s="80"/>
      <c r="AK384" s="80"/>
      <c r="AL384" s="80"/>
      <c r="AM384" s="80"/>
      <c r="AN384" s="80"/>
      <c r="AO384" s="80"/>
      <c r="AP384" s="80"/>
      <c r="AQ384" s="80"/>
      <c r="AR384" s="80"/>
      <c r="AS384" s="80"/>
      <c r="AT384" s="80"/>
      <c r="AU384" s="80"/>
      <c r="AV384" s="80"/>
      <c r="AW384" s="82" t="str">
        <f t="shared" si="1"/>
        <v/>
      </c>
      <c r="AX384" s="83" t="str">
        <f t="array" ref="AX384">IFERROR(DGET('SBV Import'!A:G,"SBV",{"RSC ID","Tier";B384,A384}))</f>
        <v/>
      </c>
      <c r="AY384" s="82" t="str">
        <f t="shared" si="2"/>
        <v/>
      </c>
      <c r="AZ384" s="82"/>
      <c r="BA384" s="84" t="s">
        <v>152</v>
      </c>
      <c r="BB384" s="84" t="str">
        <f>IFERROR(__xludf.DUMMYFUNCTION("iferror(if(A384="""",,E384&gt;=FILTER(Constants!$F$2:$F$10,Constants!$A$2:$A$10=A384)))"),"")</f>
        <v/>
      </c>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c r="AJ385" s="80"/>
      <c r="AK385" s="80"/>
      <c r="AL385" s="80"/>
      <c r="AM385" s="80"/>
      <c r="AN385" s="80"/>
      <c r="AO385" s="80"/>
      <c r="AP385" s="80"/>
      <c r="AQ385" s="80"/>
      <c r="AR385" s="80"/>
      <c r="AS385" s="80"/>
      <c r="AT385" s="80"/>
      <c r="AU385" s="80"/>
      <c r="AV385" s="80"/>
      <c r="AW385" s="82" t="str">
        <f t="shared" si="1"/>
        <v/>
      </c>
      <c r="AX385" s="83" t="str">
        <f t="array" ref="AX385">IFERROR(DGET('SBV Import'!A:G,"SBV",{"RSC ID","Tier";B385,A385}))</f>
        <v/>
      </c>
      <c r="AY385" s="82" t="str">
        <f t="shared" si="2"/>
        <v/>
      </c>
      <c r="AZ385" s="82"/>
      <c r="BA385" s="84" t="s">
        <v>152</v>
      </c>
      <c r="BB385" s="84" t="str">
        <f>IFERROR(__xludf.DUMMYFUNCTION("iferror(if(A385="""",,E385&gt;=FILTER(Constants!$F$2:$F$10,Constants!$A$2:$A$10=A385)))"),"")</f>
        <v/>
      </c>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c r="AJ386" s="80"/>
      <c r="AK386" s="80"/>
      <c r="AL386" s="80"/>
      <c r="AM386" s="80"/>
      <c r="AN386" s="80"/>
      <c r="AO386" s="80"/>
      <c r="AP386" s="80"/>
      <c r="AQ386" s="80"/>
      <c r="AR386" s="80"/>
      <c r="AS386" s="80"/>
      <c r="AT386" s="80"/>
      <c r="AU386" s="80"/>
      <c r="AV386" s="80"/>
      <c r="AW386" s="82" t="str">
        <f t="shared" si="1"/>
        <v/>
      </c>
      <c r="AX386" s="83" t="str">
        <f t="array" ref="AX386">IFERROR(DGET('SBV Import'!A:G,"SBV",{"RSC ID","Tier";B386,A386}))</f>
        <v/>
      </c>
      <c r="AY386" s="82" t="str">
        <f t="shared" si="2"/>
        <v/>
      </c>
      <c r="AZ386" s="82"/>
      <c r="BA386" s="84" t="s">
        <v>152</v>
      </c>
      <c r="BB386" s="84" t="str">
        <f>IFERROR(__xludf.DUMMYFUNCTION("iferror(if(A386="""",,E386&gt;=FILTER(Constants!$F$2:$F$10,Constants!$A$2:$A$10=A386)))"),"")</f>
        <v/>
      </c>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c r="AJ387" s="80"/>
      <c r="AK387" s="80"/>
      <c r="AL387" s="80"/>
      <c r="AM387" s="80"/>
      <c r="AN387" s="80"/>
      <c r="AO387" s="80"/>
      <c r="AP387" s="80"/>
      <c r="AQ387" s="80"/>
      <c r="AR387" s="80"/>
      <c r="AS387" s="80"/>
      <c r="AT387" s="80"/>
      <c r="AU387" s="80"/>
      <c r="AV387" s="80"/>
      <c r="AW387" s="82" t="str">
        <f t="shared" si="1"/>
        <v/>
      </c>
      <c r="AX387" s="83" t="str">
        <f t="array" ref="AX387">IFERROR(DGET('SBV Import'!A:G,"SBV",{"RSC ID","Tier";B387,A387}))</f>
        <v/>
      </c>
      <c r="AY387" s="82" t="str">
        <f t="shared" si="2"/>
        <v/>
      </c>
      <c r="AZ387" s="82"/>
      <c r="BA387" s="84" t="s">
        <v>152</v>
      </c>
      <c r="BB387" s="84" t="str">
        <f>IFERROR(__xludf.DUMMYFUNCTION("iferror(if(A387="""",,E387&gt;=FILTER(Constants!$F$2:$F$10,Constants!$A$2:$A$10=A387)))"),"")</f>
        <v/>
      </c>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c r="AJ388" s="80"/>
      <c r="AK388" s="80"/>
      <c r="AL388" s="80"/>
      <c r="AM388" s="80"/>
      <c r="AN388" s="80"/>
      <c r="AO388" s="80"/>
      <c r="AP388" s="80"/>
      <c r="AQ388" s="80"/>
      <c r="AR388" s="80"/>
      <c r="AS388" s="80"/>
      <c r="AT388" s="80"/>
      <c r="AU388" s="80"/>
      <c r="AV388" s="80"/>
      <c r="AW388" s="82" t="str">
        <f t="shared" si="1"/>
        <v/>
      </c>
      <c r="AX388" s="83" t="str">
        <f t="array" ref="AX388">IFERROR(DGET('SBV Import'!A:G,"SBV",{"RSC ID","Tier";B388,A388}))</f>
        <v/>
      </c>
      <c r="AY388" s="82" t="str">
        <f t="shared" si="2"/>
        <v/>
      </c>
      <c r="AZ388" s="82"/>
      <c r="BA388" s="84" t="s">
        <v>152</v>
      </c>
      <c r="BB388" s="84" t="str">
        <f>IFERROR(__xludf.DUMMYFUNCTION("iferror(if(A388="""",,E388&gt;=FILTER(Constants!$F$2:$F$10,Constants!$A$2:$A$10=A388)))"),"")</f>
        <v/>
      </c>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c r="AJ389" s="80"/>
      <c r="AK389" s="80"/>
      <c r="AL389" s="80"/>
      <c r="AM389" s="80"/>
      <c r="AN389" s="80"/>
      <c r="AO389" s="80"/>
      <c r="AP389" s="80"/>
      <c r="AQ389" s="80"/>
      <c r="AR389" s="80"/>
      <c r="AS389" s="80"/>
      <c r="AT389" s="80"/>
      <c r="AU389" s="80"/>
      <c r="AV389" s="80"/>
      <c r="AW389" s="82" t="str">
        <f t="shared" si="1"/>
        <v/>
      </c>
      <c r="AX389" s="83" t="str">
        <f t="array" ref="AX389">IFERROR(DGET('SBV Import'!A:G,"SBV",{"RSC ID","Tier";B389,A389}))</f>
        <v/>
      </c>
      <c r="AY389" s="82" t="str">
        <f t="shared" si="2"/>
        <v/>
      </c>
      <c r="AZ389" s="82"/>
      <c r="BA389" s="84" t="s">
        <v>152</v>
      </c>
      <c r="BB389" s="84" t="str">
        <f>IFERROR(__xludf.DUMMYFUNCTION("iferror(if(A389="""",,E389&gt;=FILTER(Constants!$F$2:$F$10,Constants!$A$2:$A$10=A389)))"),"")</f>
        <v/>
      </c>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c r="AJ390" s="80"/>
      <c r="AK390" s="80"/>
      <c r="AL390" s="80"/>
      <c r="AM390" s="80"/>
      <c r="AN390" s="80"/>
      <c r="AO390" s="80"/>
      <c r="AP390" s="80"/>
      <c r="AQ390" s="80"/>
      <c r="AR390" s="80"/>
      <c r="AS390" s="80"/>
      <c r="AT390" s="80"/>
      <c r="AU390" s="80"/>
      <c r="AV390" s="80"/>
      <c r="AW390" s="82" t="str">
        <f t="shared" si="1"/>
        <v/>
      </c>
      <c r="AX390" s="83" t="str">
        <f t="array" ref="AX390">IFERROR(DGET('SBV Import'!A:G,"SBV",{"RSC ID","Tier";B390,A390}))</f>
        <v/>
      </c>
      <c r="AY390" s="82" t="str">
        <f t="shared" si="2"/>
        <v/>
      </c>
      <c r="AZ390" s="82"/>
      <c r="BA390" s="84" t="s">
        <v>152</v>
      </c>
      <c r="BB390" s="84" t="str">
        <f>IFERROR(__xludf.DUMMYFUNCTION("iferror(if(A390="""",,E390&gt;=FILTER(Constants!$F$2:$F$10,Constants!$A$2:$A$10=A390)))"),"")</f>
        <v/>
      </c>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c r="AJ391" s="80"/>
      <c r="AK391" s="80"/>
      <c r="AL391" s="80"/>
      <c r="AM391" s="80"/>
      <c r="AN391" s="80"/>
      <c r="AO391" s="80"/>
      <c r="AP391" s="80"/>
      <c r="AQ391" s="80"/>
      <c r="AR391" s="80"/>
      <c r="AS391" s="80"/>
      <c r="AT391" s="80"/>
      <c r="AU391" s="80"/>
      <c r="AV391" s="80"/>
      <c r="AW391" s="82" t="str">
        <f t="shared" si="1"/>
        <v/>
      </c>
      <c r="AX391" s="83" t="str">
        <f t="array" ref="AX391">IFERROR(DGET('SBV Import'!A:G,"SBV",{"RSC ID","Tier";B391,A391}))</f>
        <v/>
      </c>
      <c r="AY391" s="82" t="str">
        <f t="shared" si="2"/>
        <v/>
      </c>
      <c r="AZ391" s="82"/>
      <c r="BA391" s="84" t="s">
        <v>152</v>
      </c>
      <c r="BB391" s="84" t="str">
        <f>IFERROR(__xludf.DUMMYFUNCTION("iferror(if(A391="""",,E391&gt;=FILTER(Constants!$F$2:$F$10,Constants!$A$2:$A$10=A391)))"),"")</f>
        <v/>
      </c>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c r="AJ392" s="80"/>
      <c r="AK392" s="80"/>
      <c r="AL392" s="80"/>
      <c r="AM392" s="80"/>
      <c r="AN392" s="80"/>
      <c r="AO392" s="80"/>
      <c r="AP392" s="80"/>
      <c r="AQ392" s="80"/>
      <c r="AR392" s="80"/>
      <c r="AS392" s="80"/>
      <c r="AT392" s="80"/>
      <c r="AU392" s="80"/>
      <c r="AV392" s="80"/>
      <c r="AW392" s="82" t="str">
        <f t="shared" si="1"/>
        <v/>
      </c>
      <c r="AX392" s="83" t="str">
        <f t="array" ref="AX392">IFERROR(DGET('SBV Import'!A:G,"SBV",{"RSC ID","Tier";B392,A392}))</f>
        <v/>
      </c>
      <c r="AY392" s="82" t="str">
        <f t="shared" si="2"/>
        <v/>
      </c>
      <c r="AZ392" s="82"/>
      <c r="BA392" s="84" t="s">
        <v>152</v>
      </c>
      <c r="BB392" s="84" t="str">
        <f>IFERROR(__xludf.DUMMYFUNCTION("iferror(if(A392="""",,E392&gt;=FILTER(Constants!$F$2:$F$10,Constants!$A$2:$A$10=A392)))"),"")</f>
        <v/>
      </c>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c r="AJ393" s="80"/>
      <c r="AK393" s="80"/>
      <c r="AL393" s="80"/>
      <c r="AM393" s="80"/>
      <c r="AN393" s="80"/>
      <c r="AO393" s="80"/>
      <c r="AP393" s="80"/>
      <c r="AQ393" s="80"/>
      <c r="AR393" s="80"/>
      <c r="AS393" s="80"/>
      <c r="AT393" s="80"/>
      <c r="AU393" s="80"/>
      <c r="AV393" s="80"/>
      <c r="AW393" s="82" t="str">
        <f t="shared" si="1"/>
        <v/>
      </c>
      <c r="AX393" s="83" t="str">
        <f t="array" ref="AX393">IFERROR(DGET('SBV Import'!A:G,"SBV",{"RSC ID","Tier";B393,A393}))</f>
        <v/>
      </c>
      <c r="AY393" s="82" t="str">
        <f t="shared" si="2"/>
        <v/>
      </c>
      <c r="AZ393" s="82"/>
      <c r="BA393" s="84" t="s">
        <v>152</v>
      </c>
      <c r="BB393" s="84" t="str">
        <f>IFERROR(__xludf.DUMMYFUNCTION("iferror(if(A393="""",,E393&gt;=FILTER(Constants!$F$2:$F$10,Constants!$A$2:$A$10=A393)))"),"")</f>
        <v/>
      </c>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c r="AJ394" s="80"/>
      <c r="AK394" s="80"/>
      <c r="AL394" s="80"/>
      <c r="AM394" s="80"/>
      <c r="AN394" s="80"/>
      <c r="AO394" s="80"/>
      <c r="AP394" s="80"/>
      <c r="AQ394" s="80"/>
      <c r="AR394" s="80"/>
      <c r="AS394" s="80"/>
      <c r="AT394" s="80"/>
      <c r="AU394" s="80"/>
      <c r="AV394" s="80"/>
      <c r="AW394" s="82" t="str">
        <f t="shared" si="1"/>
        <v/>
      </c>
      <c r="AX394" s="83" t="str">
        <f t="array" ref="AX394">IFERROR(DGET('SBV Import'!A:G,"SBV",{"RSC ID","Tier";B394,A394}))</f>
        <v/>
      </c>
      <c r="AY394" s="82" t="str">
        <f t="shared" si="2"/>
        <v/>
      </c>
      <c r="AZ394" s="82"/>
      <c r="BA394" s="84" t="s">
        <v>152</v>
      </c>
      <c r="BB394" s="84" t="str">
        <f>IFERROR(__xludf.DUMMYFUNCTION("iferror(if(A394="""",,E394&gt;=FILTER(Constants!$F$2:$F$10,Constants!$A$2:$A$10=A394)))"),"")</f>
        <v/>
      </c>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c r="AJ395" s="80"/>
      <c r="AK395" s="80"/>
      <c r="AL395" s="80"/>
      <c r="AM395" s="80"/>
      <c r="AN395" s="80"/>
      <c r="AO395" s="80"/>
      <c r="AP395" s="80"/>
      <c r="AQ395" s="80"/>
      <c r="AR395" s="80"/>
      <c r="AS395" s="80"/>
      <c r="AT395" s="80"/>
      <c r="AU395" s="80"/>
      <c r="AV395" s="80"/>
      <c r="AW395" s="82" t="str">
        <f t="shared" si="1"/>
        <v/>
      </c>
      <c r="AX395" s="83" t="str">
        <f t="array" ref="AX395">IFERROR(DGET('SBV Import'!A:G,"SBV",{"RSC ID","Tier";B395,A395}))</f>
        <v/>
      </c>
      <c r="AY395" s="82" t="str">
        <f t="shared" si="2"/>
        <v/>
      </c>
      <c r="AZ395" s="82"/>
      <c r="BA395" s="84" t="s">
        <v>152</v>
      </c>
      <c r="BB395" s="84" t="str">
        <f>IFERROR(__xludf.DUMMYFUNCTION("iferror(if(A395="""",,E395&gt;=FILTER(Constants!$F$2:$F$10,Constants!$A$2:$A$10=A395)))"),"")</f>
        <v/>
      </c>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c r="AJ396" s="80"/>
      <c r="AK396" s="80"/>
      <c r="AL396" s="80"/>
      <c r="AM396" s="80"/>
      <c r="AN396" s="80"/>
      <c r="AO396" s="80"/>
      <c r="AP396" s="80"/>
      <c r="AQ396" s="80"/>
      <c r="AR396" s="80"/>
      <c r="AS396" s="80"/>
      <c r="AT396" s="80"/>
      <c r="AU396" s="80"/>
      <c r="AV396" s="80"/>
      <c r="AW396" s="82" t="str">
        <f t="shared" si="1"/>
        <v/>
      </c>
      <c r="AX396" s="83" t="str">
        <f t="array" ref="AX396">IFERROR(DGET('SBV Import'!A:G,"SBV",{"RSC ID","Tier";B396,A396}))</f>
        <v/>
      </c>
      <c r="AY396" s="82" t="str">
        <f t="shared" si="2"/>
        <v/>
      </c>
      <c r="AZ396" s="82"/>
      <c r="BA396" s="84" t="s">
        <v>152</v>
      </c>
      <c r="BB396" s="84" t="str">
        <f>IFERROR(__xludf.DUMMYFUNCTION("iferror(if(A396="""",,E396&gt;=FILTER(Constants!$F$2:$F$10,Constants!$A$2:$A$10=A396)))"),"")</f>
        <v/>
      </c>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c r="AJ397" s="80"/>
      <c r="AK397" s="80"/>
      <c r="AL397" s="80"/>
      <c r="AM397" s="80"/>
      <c r="AN397" s="80"/>
      <c r="AO397" s="80"/>
      <c r="AP397" s="80"/>
      <c r="AQ397" s="80"/>
      <c r="AR397" s="80"/>
      <c r="AS397" s="80"/>
      <c r="AT397" s="80"/>
      <c r="AU397" s="80"/>
      <c r="AV397" s="80"/>
      <c r="AW397" s="82" t="str">
        <f t="shared" si="1"/>
        <v/>
      </c>
      <c r="AX397" s="83" t="str">
        <f t="array" ref="AX397">IFERROR(DGET('SBV Import'!A:G,"SBV",{"RSC ID","Tier";B397,A397}))</f>
        <v/>
      </c>
      <c r="AY397" s="82" t="str">
        <f t="shared" si="2"/>
        <v/>
      </c>
      <c r="AZ397" s="82"/>
      <c r="BA397" s="84" t="s">
        <v>152</v>
      </c>
      <c r="BB397" s="84" t="str">
        <f>IFERROR(__xludf.DUMMYFUNCTION("iferror(if(A397="""",,E397&gt;=FILTER(Constants!$F$2:$F$10,Constants!$A$2:$A$10=A397)))"),"")</f>
        <v/>
      </c>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c r="AJ398" s="80"/>
      <c r="AK398" s="80"/>
      <c r="AL398" s="80"/>
      <c r="AM398" s="80"/>
      <c r="AN398" s="80"/>
      <c r="AO398" s="80"/>
      <c r="AP398" s="80"/>
      <c r="AQ398" s="80"/>
      <c r="AR398" s="80"/>
      <c r="AS398" s="80"/>
      <c r="AT398" s="80"/>
      <c r="AU398" s="80"/>
      <c r="AV398" s="80"/>
      <c r="AW398" s="82" t="str">
        <f t="shared" si="1"/>
        <v/>
      </c>
      <c r="AX398" s="83" t="str">
        <f t="array" ref="AX398">IFERROR(DGET('SBV Import'!A:G,"SBV",{"RSC ID","Tier";B398,A398}))</f>
        <v/>
      </c>
      <c r="AY398" s="82" t="str">
        <f t="shared" si="2"/>
        <v/>
      </c>
      <c r="AZ398" s="82"/>
      <c r="BA398" s="84" t="s">
        <v>152</v>
      </c>
      <c r="BB398" s="84" t="str">
        <f>IFERROR(__xludf.DUMMYFUNCTION("iferror(if(A398="""",,E398&gt;=FILTER(Constants!$F$2:$F$10,Constants!$A$2:$A$10=A398)))"),"")</f>
        <v/>
      </c>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c r="AJ399" s="80"/>
      <c r="AK399" s="80"/>
      <c r="AL399" s="80"/>
      <c r="AM399" s="80"/>
      <c r="AN399" s="80"/>
      <c r="AO399" s="80"/>
      <c r="AP399" s="80"/>
      <c r="AQ399" s="80"/>
      <c r="AR399" s="80"/>
      <c r="AS399" s="80"/>
      <c r="AT399" s="80"/>
      <c r="AU399" s="80"/>
      <c r="AV399" s="80"/>
      <c r="AW399" s="82" t="str">
        <f t="shared" si="1"/>
        <v/>
      </c>
      <c r="AX399" s="83" t="str">
        <f t="array" ref="AX399">IFERROR(DGET('SBV Import'!A:G,"SBV",{"RSC ID","Tier";B399,A399}))</f>
        <v/>
      </c>
      <c r="AY399" s="82" t="str">
        <f t="shared" si="2"/>
        <v/>
      </c>
      <c r="AZ399" s="82"/>
      <c r="BA399" s="84" t="s">
        <v>152</v>
      </c>
      <c r="BB399" s="84" t="str">
        <f>IFERROR(__xludf.DUMMYFUNCTION("iferror(if(A399="""",,E399&gt;=FILTER(Constants!$F$2:$F$10,Constants!$A$2:$A$10=A399)))"),"")</f>
        <v/>
      </c>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c r="AJ400" s="80"/>
      <c r="AK400" s="80"/>
      <c r="AL400" s="80"/>
      <c r="AM400" s="80"/>
      <c r="AN400" s="80"/>
      <c r="AO400" s="80"/>
      <c r="AP400" s="80"/>
      <c r="AQ400" s="80"/>
      <c r="AR400" s="80"/>
      <c r="AS400" s="80"/>
      <c r="AT400" s="80"/>
      <c r="AU400" s="80"/>
      <c r="AV400" s="80"/>
      <c r="AW400" s="82" t="str">
        <f t="shared" si="1"/>
        <v/>
      </c>
      <c r="AX400" s="83" t="str">
        <f t="array" ref="AX400">IFERROR(DGET('SBV Import'!A:G,"SBV",{"RSC ID","Tier";B400,A400}))</f>
        <v/>
      </c>
      <c r="AY400" s="82" t="str">
        <f t="shared" si="2"/>
        <v/>
      </c>
      <c r="AZ400" s="82"/>
      <c r="BA400" s="84" t="s">
        <v>152</v>
      </c>
      <c r="BB400" s="84" t="str">
        <f>IFERROR(__xludf.DUMMYFUNCTION("iferror(if(A400="""",,E400&gt;=FILTER(Constants!$F$2:$F$10,Constants!$A$2:$A$10=A400)))"),"")</f>
        <v/>
      </c>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c r="AJ401" s="80"/>
      <c r="AK401" s="80"/>
      <c r="AL401" s="80"/>
      <c r="AM401" s="80"/>
      <c r="AN401" s="80"/>
      <c r="AO401" s="80"/>
      <c r="AP401" s="80"/>
      <c r="AQ401" s="80"/>
      <c r="AR401" s="80"/>
      <c r="AS401" s="80"/>
      <c r="AT401" s="80"/>
      <c r="AU401" s="80"/>
      <c r="AV401" s="80"/>
      <c r="AW401" s="82" t="str">
        <f t="shared" si="1"/>
        <v/>
      </c>
      <c r="AX401" s="83" t="str">
        <f t="array" ref="AX401">IFERROR(DGET('SBV Import'!A:G,"SBV",{"RSC ID","Tier";B401,A401}))</f>
        <v/>
      </c>
      <c r="AY401" s="82" t="str">
        <f t="shared" si="2"/>
        <v/>
      </c>
      <c r="AZ401" s="82"/>
      <c r="BA401" s="84" t="s">
        <v>152</v>
      </c>
      <c r="BB401" s="84" t="str">
        <f>IFERROR(__xludf.DUMMYFUNCTION("iferror(if(A401="""",,E401&gt;=FILTER(Constants!$F$2:$F$10,Constants!$A$2:$A$10=A401)))"),"")</f>
        <v/>
      </c>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c r="AJ402" s="80"/>
      <c r="AK402" s="80"/>
      <c r="AL402" s="80"/>
      <c r="AM402" s="80"/>
      <c r="AN402" s="80"/>
      <c r="AO402" s="80"/>
      <c r="AP402" s="80"/>
      <c r="AQ402" s="80"/>
      <c r="AR402" s="80"/>
      <c r="AS402" s="80"/>
      <c r="AT402" s="80"/>
      <c r="AU402" s="80"/>
      <c r="AV402" s="80"/>
      <c r="AW402" s="82" t="str">
        <f t="shared" si="1"/>
        <v/>
      </c>
      <c r="AX402" s="83" t="str">
        <f t="array" ref="AX402">IFERROR(DGET('SBV Import'!A:G,"SBV",{"RSC ID","Tier";B402,A402}))</f>
        <v/>
      </c>
      <c r="AY402" s="82" t="str">
        <f t="shared" si="2"/>
        <v/>
      </c>
      <c r="AZ402" s="82"/>
      <c r="BA402" s="84" t="s">
        <v>152</v>
      </c>
      <c r="BB402" s="84" t="str">
        <f>IFERROR(__xludf.DUMMYFUNCTION("iferror(if(A402="""",,E402&gt;=FILTER(Constants!$F$2:$F$10,Constants!$A$2:$A$10=A402)))"),"")</f>
        <v/>
      </c>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c r="AJ403" s="80"/>
      <c r="AK403" s="80"/>
      <c r="AL403" s="80"/>
      <c r="AM403" s="80"/>
      <c r="AN403" s="80"/>
      <c r="AO403" s="80"/>
      <c r="AP403" s="80"/>
      <c r="AQ403" s="80"/>
      <c r="AR403" s="80"/>
      <c r="AS403" s="80"/>
      <c r="AT403" s="80"/>
      <c r="AU403" s="80"/>
      <c r="AV403" s="80"/>
      <c r="AW403" s="82" t="str">
        <f t="shared" si="1"/>
        <v/>
      </c>
      <c r="AX403" s="83" t="str">
        <f t="array" ref="AX403">IFERROR(DGET('SBV Import'!A:G,"SBV",{"RSC ID","Tier";B403,A403}))</f>
        <v/>
      </c>
      <c r="AY403" s="82" t="str">
        <f t="shared" si="2"/>
        <v/>
      </c>
      <c r="AZ403" s="82"/>
      <c r="BA403" s="84" t="s">
        <v>152</v>
      </c>
      <c r="BB403" s="84" t="str">
        <f>IFERROR(__xludf.DUMMYFUNCTION("iferror(if(A403="""",,E403&gt;=FILTER(Constants!$F$2:$F$10,Constants!$A$2:$A$10=A403)))"),"")</f>
        <v/>
      </c>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c r="AJ404" s="80"/>
      <c r="AK404" s="80"/>
      <c r="AL404" s="80"/>
      <c r="AM404" s="80"/>
      <c r="AN404" s="80"/>
      <c r="AO404" s="80"/>
      <c r="AP404" s="80"/>
      <c r="AQ404" s="80"/>
      <c r="AR404" s="80"/>
      <c r="AS404" s="80"/>
      <c r="AT404" s="80"/>
      <c r="AU404" s="80"/>
      <c r="AV404" s="80"/>
      <c r="AW404" s="82" t="str">
        <f t="shared" si="1"/>
        <v/>
      </c>
      <c r="AX404" s="83" t="str">
        <f t="array" ref="AX404">IFERROR(DGET('SBV Import'!A:G,"SBV",{"RSC ID","Tier";B404,A404}))</f>
        <v/>
      </c>
      <c r="AY404" s="82" t="str">
        <f t="shared" si="2"/>
        <v/>
      </c>
      <c r="AZ404" s="82"/>
      <c r="BA404" s="84" t="s">
        <v>152</v>
      </c>
      <c r="BB404" s="84" t="str">
        <f>IFERROR(__xludf.DUMMYFUNCTION("iferror(if(A404="""",,E404&gt;=FILTER(Constants!$F$2:$F$10,Constants!$A$2:$A$10=A404)))"),"")</f>
        <v/>
      </c>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c r="AJ405" s="80"/>
      <c r="AK405" s="80"/>
      <c r="AL405" s="80"/>
      <c r="AM405" s="80"/>
      <c r="AN405" s="80"/>
      <c r="AO405" s="80"/>
      <c r="AP405" s="80"/>
      <c r="AQ405" s="80"/>
      <c r="AR405" s="80"/>
      <c r="AS405" s="80"/>
      <c r="AT405" s="80"/>
      <c r="AU405" s="80"/>
      <c r="AV405" s="80"/>
      <c r="AW405" s="82" t="str">
        <f t="shared" si="1"/>
        <v/>
      </c>
      <c r="AX405" s="83" t="str">
        <f t="array" ref="AX405">IFERROR(DGET('SBV Import'!A:G,"SBV",{"RSC ID","Tier";B405,A405}))</f>
        <v/>
      </c>
      <c r="AY405" s="82" t="str">
        <f t="shared" si="2"/>
        <v/>
      </c>
      <c r="AZ405" s="82"/>
      <c r="BA405" s="84" t="s">
        <v>152</v>
      </c>
      <c r="BB405" s="84" t="str">
        <f>IFERROR(__xludf.DUMMYFUNCTION("iferror(if(A405="""",,E405&gt;=FILTER(Constants!$F$2:$F$10,Constants!$A$2:$A$10=A405)))"),"")</f>
        <v/>
      </c>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c r="AJ406" s="80"/>
      <c r="AK406" s="80"/>
      <c r="AL406" s="80"/>
      <c r="AM406" s="80"/>
      <c r="AN406" s="80"/>
      <c r="AO406" s="80"/>
      <c r="AP406" s="80"/>
      <c r="AQ406" s="80"/>
      <c r="AR406" s="80"/>
      <c r="AS406" s="80"/>
      <c r="AT406" s="80"/>
      <c r="AU406" s="80"/>
      <c r="AV406" s="80"/>
      <c r="AW406" s="82" t="str">
        <f t="shared" si="1"/>
        <v/>
      </c>
      <c r="AX406" s="83" t="str">
        <f t="array" ref="AX406">IFERROR(DGET('SBV Import'!A:G,"SBV",{"RSC ID","Tier";B406,A406}))</f>
        <v/>
      </c>
      <c r="AY406" s="82" t="str">
        <f t="shared" si="2"/>
        <v/>
      </c>
      <c r="AZ406" s="82"/>
      <c r="BA406" s="84" t="s">
        <v>152</v>
      </c>
      <c r="BB406" s="84" t="str">
        <f>IFERROR(__xludf.DUMMYFUNCTION("iferror(if(A406="""",,E406&gt;=FILTER(Constants!$F$2:$F$10,Constants!$A$2:$A$10=A406)))"),"")</f>
        <v/>
      </c>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80"/>
      <c r="AR407" s="80"/>
      <c r="AS407" s="80"/>
      <c r="AT407" s="80"/>
      <c r="AU407" s="80"/>
      <c r="AV407" s="80"/>
      <c r="AW407" s="82" t="str">
        <f t="shared" si="1"/>
        <v/>
      </c>
      <c r="AX407" s="83" t="str">
        <f t="array" ref="AX407">IFERROR(DGET('SBV Import'!A:G,"SBV",{"RSC ID","Tier";B407,A407}))</f>
        <v/>
      </c>
      <c r="AY407" s="82" t="str">
        <f t="shared" si="2"/>
        <v/>
      </c>
      <c r="AZ407" s="82"/>
      <c r="BA407" s="84" t="s">
        <v>152</v>
      </c>
      <c r="BB407" s="84" t="str">
        <f>IFERROR(__xludf.DUMMYFUNCTION("iferror(if(A407="""",,E407&gt;=FILTER(Constants!$F$2:$F$10,Constants!$A$2:$A$10=A407)))"),"")</f>
        <v/>
      </c>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c r="AJ408" s="80"/>
      <c r="AK408" s="80"/>
      <c r="AL408" s="80"/>
      <c r="AM408" s="80"/>
      <c r="AN408" s="80"/>
      <c r="AO408" s="80"/>
      <c r="AP408" s="80"/>
      <c r="AQ408" s="80"/>
      <c r="AR408" s="80"/>
      <c r="AS408" s="80"/>
      <c r="AT408" s="80"/>
      <c r="AU408" s="80"/>
      <c r="AV408" s="80"/>
      <c r="AW408" s="82" t="str">
        <f t="shared" si="1"/>
        <v/>
      </c>
      <c r="AX408" s="83" t="str">
        <f t="array" ref="AX408">IFERROR(DGET('SBV Import'!A:G,"SBV",{"RSC ID","Tier";B408,A408}))</f>
        <v/>
      </c>
      <c r="AY408" s="82" t="str">
        <f t="shared" si="2"/>
        <v/>
      </c>
      <c r="AZ408" s="82"/>
      <c r="BA408" s="84" t="s">
        <v>152</v>
      </c>
      <c r="BB408" s="84" t="str">
        <f>IFERROR(__xludf.DUMMYFUNCTION("iferror(if(A408="""",,E408&gt;=FILTER(Constants!$F$2:$F$10,Constants!$A$2:$A$10=A408)))"),"")</f>
        <v/>
      </c>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c r="AJ409" s="80"/>
      <c r="AK409" s="80"/>
      <c r="AL409" s="80"/>
      <c r="AM409" s="80"/>
      <c r="AN409" s="80"/>
      <c r="AO409" s="80"/>
      <c r="AP409" s="80"/>
      <c r="AQ409" s="80"/>
      <c r="AR409" s="80"/>
      <c r="AS409" s="80"/>
      <c r="AT409" s="80"/>
      <c r="AU409" s="80"/>
      <c r="AV409" s="80"/>
      <c r="AW409" s="82" t="str">
        <f t="shared" si="1"/>
        <v/>
      </c>
      <c r="AX409" s="83" t="str">
        <f t="array" ref="AX409">IFERROR(DGET('SBV Import'!A:G,"SBV",{"RSC ID","Tier";B409,A409}))</f>
        <v/>
      </c>
      <c r="AY409" s="82" t="str">
        <f t="shared" si="2"/>
        <v/>
      </c>
      <c r="AZ409" s="82"/>
      <c r="BA409" s="84" t="s">
        <v>152</v>
      </c>
      <c r="BB409" s="84" t="str">
        <f>IFERROR(__xludf.DUMMYFUNCTION("iferror(if(A409="""",,E409&gt;=FILTER(Constants!$F$2:$F$10,Constants!$A$2:$A$10=A409)))"),"")</f>
        <v/>
      </c>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c r="AJ410" s="80"/>
      <c r="AK410" s="80"/>
      <c r="AL410" s="80"/>
      <c r="AM410" s="80"/>
      <c r="AN410" s="80"/>
      <c r="AO410" s="80"/>
      <c r="AP410" s="80"/>
      <c r="AQ410" s="80"/>
      <c r="AR410" s="80"/>
      <c r="AS410" s="80"/>
      <c r="AT410" s="80"/>
      <c r="AU410" s="80"/>
      <c r="AV410" s="80"/>
      <c r="AW410" s="82" t="str">
        <f t="shared" si="1"/>
        <v/>
      </c>
      <c r="AX410" s="83" t="str">
        <f t="array" ref="AX410">IFERROR(DGET('SBV Import'!A:G,"SBV",{"RSC ID","Tier";B410,A410}))</f>
        <v/>
      </c>
      <c r="AY410" s="82" t="str">
        <f t="shared" si="2"/>
        <v/>
      </c>
      <c r="AZ410" s="82"/>
      <c r="BA410" s="84" t="s">
        <v>152</v>
      </c>
      <c r="BB410" s="84" t="str">
        <f>IFERROR(__xludf.DUMMYFUNCTION("iferror(if(A410="""",,E410&gt;=FILTER(Constants!$F$2:$F$10,Constants!$A$2:$A$10=A410)))"),"")</f>
        <v/>
      </c>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c r="AJ411" s="80"/>
      <c r="AK411" s="80"/>
      <c r="AL411" s="80"/>
      <c r="AM411" s="80"/>
      <c r="AN411" s="80"/>
      <c r="AO411" s="80"/>
      <c r="AP411" s="80"/>
      <c r="AQ411" s="80"/>
      <c r="AR411" s="80"/>
      <c r="AS411" s="80"/>
      <c r="AT411" s="80"/>
      <c r="AU411" s="80"/>
      <c r="AV411" s="80"/>
      <c r="AW411" s="82" t="str">
        <f t="shared" si="1"/>
        <v/>
      </c>
      <c r="AX411" s="83" t="str">
        <f t="array" ref="AX411">IFERROR(DGET('SBV Import'!A:G,"SBV",{"RSC ID","Tier";B411,A411}))</f>
        <v/>
      </c>
      <c r="AY411" s="82" t="str">
        <f t="shared" si="2"/>
        <v/>
      </c>
      <c r="AZ411" s="82"/>
      <c r="BA411" s="84" t="s">
        <v>152</v>
      </c>
      <c r="BB411" s="84" t="str">
        <f>IFERROR(__xludf.DUMMYFUNCTION("iferror(if(A411="""",,E411&gt;=FILTER(Constants!$F$2:$F$10,Constants!$A$2:$A$10=A411)))"),"")</f>
        <v/>
      </c>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c r="AJ412" s="80"/>
      <c r="AK412" s="80"/>
      <c r="AL412" s="80"/>
      <c r="AM412" s="80"/>
      <c r="AN412" s="80"/>
      <c r="AO412" s="80"/>
      <c r="AP412" s="80"/>
      <c r="AQ412" s="80"/>
      <c r="AR412" s="80"/>
      <c r="AS412" s="80"/>
      <c r="AT412" s="80"/>
      <c r="AU412" s="80"/>
      <c r="AV412" s="80"/>
      <c r="AW412" s="82" t="str">
        <f t="shared" si="1"/>
        <v/>
      </c>
      <c r="AX412" s="83" t="str">
        <f t="array" ref="AX412">IFERROR(DGET('SBV Import'!A:G,"SBV",{"RSC ID","Tier";B412,A412}))</f>
        <v/>
      </c>
      <c r="AY412" s="82" t="str">
        <f t="shared" si="2"/>
        <v/>
      </c>
      <c r="AZ412" s="82"/>
      <c r="BA412" s="84" t="s">
        <v>152</v>
      </c>
      <c r="BB412" s="84" t="str">
        <f>IFERROR(__xludf.DUMMYFUNCTION("iferror(if(A412="""",,E412&gt;=FILTER(Constants!$F$2:$F$10,Constants!$A$2:$A$10=A412)))"),"")</f>
        <v/>
      </c>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c r="AJ413" s="80"/>
      <c r="AK413" s="80"/>
      <c r="AL413" s="80"/>
      <c r="AM413" s="80"/>
      <c r="AN413" s="80"/>
      <c r="AO413" s="80"/>
      <c r="AP413" s="80"/>
      <c r="AQ413" s="80"/>
      <c r="AR413" s="80"/>
      <c r="AS413" s="80"/>
      <c r="AT413" s="80"/>
      <c r="AU413" s="80"/>
      <c r="AV413" s="80"/>
      <c r="AW413" s="82" t="str">
        <f t="shared" si="1"/>
        <v/>
      </c>
      <c r="AX413" s="83" t="str">
        <f t="array" ref="AX413">IFERROR(DGET('SBV Import'!A:G,"SBV",{"RSC ID","Tier";B413,A413}))</f>
        <v/>
      </c>
      <c r="AY413" s="82" t="str">
        <f t="shared" si="2"/>
        <v/>
      </c>
      <c r="AZ413" s="82"/>
      <c r="BA413" s="84" t="s">
        <v>152</v>
      </c>
      <c r="BB413" s="84" t="str">
        <f>IFERROR(__xludf.DUMMYFUNCTION("iferror(if(A413="""",,E413&gt;=FILTER(Constants!$F$2:$F$10,Constants!$A$2:$A$10=A413)))"),"")</f>
        <v/>
      </c>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c r="AJ414" s="80"/>
      <c r="AK414" s="80"/>
      <c r="AL414" s="80"/>
      <c r="AM414" s="80"/>
      <c r="AN414" s="80"/>
      <c r="AO414" s="80"/>
      <c r="AP414" s="80"/>
      <c r="AQ414" s="80"/>
      <c r="AR414" s="80"/>
      <c r="AS414" s="80"/>
      <c r="AT414" s="80"/>
      <c r="AU414" s="80"/>
      <c r="AV414" s="80"/>
      <c r="AW414" s="82" t="str">
        <f t="shared" si="1"/>
        <v/>
      </c>
      <c r="AX414" s="83" t="str">
        <f t="array" ref="AX414">IFERROR(DGET('SBV Import'!A:G,"SBV",{"RSC ID","Tier";B414,A414}))</f>
        <v/>
      </c>
      <c r="AY414" s="82" t="str">
        <f t="shared" si="2"/>
        <v/>
      </c>
      <c r="AZ414" s="82"/>
      <c r="BA414" s="84" t="s">
        <v>152</v>
      </c>
      <c r="BB414" s="84" t="str">
        <f>IFERROR(__xludf.DUMMYFUNCTION("iferror(if(A414="""",,E414&gt;=FILTER(Constants!$F$2:$F$10,Constants!$A$2:$A$10=A414)))"),"")</f>
        <v/>
      </c>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c r="AJ415" s="80"/>
      <c r="AK415" s="80"/>
      <c r="AL415" s="80"/>
      <c r="AM415" s="80"/>
      <c r="AN415" s="80"/>
      <c r="AO415" s="80"/>
      <c r="AP415" s="80"/>
      <c r="AQ415" s="80"/>
      <c r="AR415" s="80"/>
      <c r="AS415" s="80"/>
      <c r="AT415" s="80"/>
      <c r="AU415" s="80"/>
      <c r="AV415" s="80"/>
      <c r="AW415" s="82" t="str">
        <f t="shared" si="1"/>
        <v/>
      </c>
      <c r="AX415" s="83" t="str">
        <f t="array" ref="AX415">IFERROR(DGET('SBV Import'!A:G,"SBV",{"RSC ID","Tier";B415,A415}))</f>
        <v/>
      </c>
      <c r="AY415" s="82" t="str">
        <f t="shared" si="2"/>
        <v/>
      </c>
      <c r="AZ415" s="82"/>
      <c r="BA415" s="84" t="s">
        <v>152</v>
      </c>
      <c r="BB415" s="84" t="str">
        <f>IFERROR(__xludf.DUMMYFUNCTION("iferror(if(A415="""",,E415&gt;=FILTER(Constants!$F$2:$F$10,Constants!$A$2:$A$10=A415)))"),"")</f>
        <v/>
      </c>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c r="AJ416" s="80"/>
      <c r="AK416" s="80"/>
      <c r="AL416" s="80"/>
      <c r="AM416" s="80"/>
      <c r="AN416" s="80"/>
      <c r="AO416" s="80"/>
      <c r="AP416" s="80"/>
      <c r="AQ416" s="80"/>
      <c r="AR416" s="80"/>
      <c r="AS416" s="80"/>
      <c r="AT416" s="80"/>
      <c r="AU416" s="80"/>
      <c r="AV416" s="80"/>
      <c r="AW416" s="82" t="str">
        <f t="shared" si="1"/>
        <v/>
      </c>
      <c r="AX416" s="83" t="str">
        <f t="array" ref="AX416">IFERROR(DGET('SBV Import'!A:G,"SBV",{"RSC ID","Tier";B416,A416}))</f>
        <v/>
      </c>
      <c r="AY416" s="82" t="str">
        <f t="shared" si="2"/>
        <v/>
      </c>
      <c r="AZ416" s="82"/>
      <c r="BA416" s="84" t="s">
        <v>152</v>
      </c>
      <c r="BB416" s="84" t="str">
        <f>IFERROR(__xludf.DUMMYFUNCTION("iferror(if(A416="""",,E416&gt;=FILTER(Constants!$F$2:$F$10,Constants!$A$2:$A$10=A416)))"),"")</f>
        <v/>
      </c>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c r="AJ417" s="80"/>
      <c r="AK417" s="80"/>
      <c r="AL417" s="80"/>
      <c r="AM417" s="80"/>
      <c r="AN417" s="80"/>
      <c r="AO417" s="80"/>
      <c r="AP417" s="80"/>
      <c r="AQ417" s="80"/>
      <c r="AR417" s="80"/>
      <c r="AS417" s="80"/>
      <c r="AT417" s="80"/>
      <c r="AU417" s="80"/>
      <c r="AV417" s="80"/>
      <c r="AW417" s="82" t="str">
        <f t="shared" si="1"/>
        <v/>
      </c>
      <c r="AX417" s="83" t="str">
        <f t="array" ref="AX417">IFERROR(DGET('SBV Import'!A:G,"SBV",{"RSC ID","Tier";B417,A417}))</f>
        <v/>
      </c>
      <c r="AY417" s="82" t="str">
        <f t="shared" si="2"/>
        <v/>
      </c>
      <c r="AZ417" s="82"/>
      <c r="BA417" s="84" t="s">
        <v>152</v>
      </c>
      <c r="BB417" s="84" t="str">
        <f>IFERROR(__xludf.DUMMYFUNCTION("iferror(if(A417="""",,E417&gt;=FILTER(Constants!$F$2:$F$10,Constants!$A$2:$A$10=A417)))"),"")</f>
        <v/>
      </c>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c r="AJ418" s="80"/>
      <c r="AK418" s="80"/>
      <c r="AL418" s="80"/>
      <c r="AM418" s="80"/>
      <c r="AN418" s="80"/>
      <c r="AO418" s="80"/>
      <c r="AP418" s="80"/>
      <c r="AQ418" s="80"/>
      <c r="AR418" s="80"/>
      <c r="AS418" s="80"/>
      <c r="AT418" s="80"/>
      <c r="AU418" s="80"/>
      <c r="AV418" s="80"/>
      <c r="AW418" s="82" t="str">
        <f t="shared" si="1"/>
        <v/>
      </c>
      <c r="AX418" s="83" t="str">
        <f t="array" ref="AX418">IFERROR(DGET('SBV Import'!A:G,"SBV",{"RSC ID","Tier";B418,A418}))</f>
        <v/>
      </c>
      <c r="AY418" s="82" t="str">
        <f t="shared" si="2"/>
        <v/>
      </c>
      <c r="AZ418" s="82"/>
      <c r="BA418" s="84" t="s">
        <v>152</v>
      </c>
      <c r="BB418" s="84" t="str">
        <f>IFERROR(__xludf.DUMMYFUNCTION("iferror(if(A418="""",,E418&gt;=FILTER(Constants!$F$2:$F$10,Constants!$A$2:$A$10=A418)))"),"")</f>
        <v/>
      </c>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c r="AJ419" s="80"/>
      <c r="AK419" s="80"/>
      <c r="AL419" s="80"/>
      <c r="AM419" s="80"/>
      <c r="AN419" s="80"/>
      <c r="AO419" s="80"/>
      <c r="AP419" s="80"/>
      <c r="AQ419" s="80"/>
      <c r="AR419" s="80"/>
      <c r="AS419" s="80"/>
      <c r="AT419" s="80"/>
      <c r="AU419" s="80"/>
      <c r="AV419" s="80"/>
      <c r="AW419" s="82" t="str">
        <f t="shared" si="1"/>
        <v/>
      </c>
      <c r="AX419" s="83" t="str">
        <f t="array" ref="AX419">IFERROR(DGET('SBV Import'!A:G,"SBV",{"RSC ID","Tier";B419,A419}))</f>
        <v/>
      </c>
      <c r="AY419" s="82" t="str">
        <f t="shared" si="2"/>
        <v/>
      </c>
      <c r="AZ419" s="82"/>
      <c r="BA419" s="84" t="s">
        <v>152</v>
      </c>
      <c r="BB419" s="84" t="str">
        <f>IFERROR(__xludf.DUMMYFUNCTION("iferror(if(A419="""",,E419&gt;=FILTER(Constants!$F$2:$F$10,Constants!$A$2:$A$10=A419)))"),"")</f>
        <v/>
      </c>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c r="AJ420" s="80"/>
      <c r="AK420" s="80"/>
      <c r="AL420" s="80"/>
      <c r="AM420" s="80"/>
      <c r="AN420" s="80"/>
      <c r="AO420" s="80"/>
      <c r="AP420" s="80"/>
      <c r="AQ420" s="80"/>
      <c r="AR420" s="80"/>
      <c r="AS420" s="80"/>
      <c r="AT420" s="80"/>
      <c r="AU420" s="80"/>
      <c r="AV420" s="80"/>
      <c r="AW420" s="82" t="str">
        <f t="shared" si="1"/>
        <v/>
      </c>
      <c r="AX420" s="83" t="str">
        <f t="array" ref="AX420">IFERROR(DGET('SBV Import'!A:G,"SBV",{"RSC ID","Tier";B420,A420}))</f>
        <v/>
      </c>
      <c r="AY420" s="82" t="str">
        <f t="shared" si="2"/>
        <v/>
      </c>
      <c r="AZ420" s="82"/>
      <c r="BA420" s="84" t="s">
        <v>152</v>
      </c>
      <c r="BB420" s="84" t="str">
        <f>IFERROR(__xludf.DUMMYFUNCTION("iferror(if(A420="""",,E420&gt;=FILTER(Constants!$F$2:$F$10,Constants!$A$2:$A$10=A420)))"),"")</f>
        <v/>
      </c>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c r="AJ421" s="80"/>
      <c r="AK421" s="80"/>
      <c r="AL421" s="80"/>
      <c r="AM421" s="80"/>
      <c r="AN421" s="80"/>
      <c r="AO421" s="80"/>
      <c r="AP421" s="80"/>
      <c r="AQ421" s="80"/>
      <c r="AR421" s="80"/>
      <c r="AS421" s="80"/>
      <c r="AT421" s="80"/>
      <c r="AU421" s="80"/>
      <c r="AV421" s="80"/>
      <c r="AW421" s="82" t="str">
        <f t="shared" si="1"/>
        <v/>
      </c>
      <c r="AX421" s="83" t="str">
        <f t="array" ref="AX421">IFERROR(DGET('SBV Import'!A:G,"SBV",{"RSC ID","Tier";B421,A421}))</f>
        <v/>
      </c>
      <c r="AY421" s="82" t="str">
        <f t="shared" si="2"/>
        <v/>
      </c>
      <c r="AZ421" s="82"/>
      <c r="BA421" s="84" t="s">
        <v>152</v>
      </c>
      <c r="BB421" s="84" t="str">
        <f>IFERROR(__xludf.DUMMYFUNCTION("iferror(if(A421="""",,E421&gt;=FILTER(Constants!$F$2:$F$10,Constants!$A$2:$A$10=A421)))"),"")</f>
        <v/>
      </c>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c r="AJ422" s="80"/>
      <c r="AK422" s="80"/>
      <c r="AL422" s="80"/>
      <c r="AM422" s="80"/>
      <c r="AN422" s="80"/>
      <c r="AO422" s="80"/>
      <c r="AP422" s="80"/>
      <c r="AQ422" s="80"/>
      <c r="AR422" s="80"/>
      <c r="AS422" s="80"/>
      <c r="AT422" s="80"/>
      <c r="AU422" s="80"/>
      <c r="AV422" s="80"/>
      <c r="AW422" s="82" t="str">
        <f t="shared" si="1"/>
        <v/>
      </c>
      <c r="AX422" s="83" t="str">
        <f t="array" ref="AX422">IFERROR(DGET('SBV Import'!A:G,"SBV",{"RSC ID","Tier";B422,A422}))</f>
        <v/>
      </c>
      <c r="AY422" s="82" t="str">
        <f t="shared" si="2"/>
        <v/>
      </c>
      <c r="AZ422" s="82"/>
      <c r="BA422" s="84" t="s">
        <v>152</v>
      </c>
      <c r="BB422" s="84" t="str">
        <f>IFERROR(__xludf.DUMMYFUNCTION("iferror(if(A422="""",,E422&gt;=FILTER(Constants!$F$2:$F$10,Constants!$A$2:$A$10=A422)))"),"")</f>
        <v/>
      </c>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c r="AJ423" s="80"/>
      <c r="AK423" s="80"/>
      <c r="AL423" s="80"/>
      <c r="AM423" s="80"/>
      <c r="AN423" s="80"/>
      <c r="AO423" s="80"/>
      <c r="AP423" s="80"/>
      <c r="AQ423" s="80"/>
      <c r="AR423" s="80"/>
      <c r="AS423" s="80"/>
      <c r="AT423" s="80"/>
      <c r="AU423" s="80"/>
      <c r="AV423" s="80"/>
      <c r="AW423" s="82" t="str">
        <f t="shared" si="1"/>
        <v/>
      </c>
      <c r="AX423" s="83" t="str">
        <f t="array" ref="AX423">IFERROR(DGET('SBV Import'!A:G,"SBV",{"RSC ID","Tier";B423,A423}))</f>
        <v/>
      </c>
      <c r="AY423" s="82" t="str">
        <f t="shared" si="2"/>
        <v/>
      </c>
      <c r="AZ423" s="82"/>
      <c r="BA423" s="84" t="s">
        <v>152</v>
      </c>
      <c r="BB423" s="84" t="str">
        <f>IFERROR(__xludf.DUMMYFUNCTION("iferror(if(A423="""",,E423&gt;=FILTER(Constants!$F$2:$F$10,Constants!$A$2:$A$10=A423)))"),"")</f>
        <v/>
      </c>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c r="AJ424" s="80"/>
      <c r="AK424" s="80"/>
      <c r="AL424" s="80"/>
      <c r="AM424" s="80"/>
      <c r="AN424" s="80"/>
      <c r="AO424" s="80"/>
      <c r="AP424" s="80"/>
      <c r="AQ424" s="80"/>
      <c r="AR424" s="80"/>
      <c r="AS424" s="80"/>
      <c r="AT424" s="80"/>
      <c r="AU424" s="80"/>
      <c r="AV424" s="80"/>
      <c r="AW424" s="82" t="str">
        <f t="shared" si="1"/>
        <v/>
      </c>
      <c r="AX424" s="83" t="str">
        <f t="array" ref="AX424">IFERROR(DGET('SBV Import'!A:G,"SBV",{"RSC ID","Tier";B424,A424}))</f>
        <v/>
      </c>
      <c r="AY424" s="82" t="str">
        <f t="shared" si="2"/>
        <v/>
      </c>
      <c r="AZ424" s="82"/>
      <c r="BA424" s="84" t="s">
        <v>152</v>
      </c>
      <c r="BB424" s="84" t="str">
        <f>IFERROR(__xludf.DUMMYFUNCTION("iferror(if(A424="""",,E424&gt;=FILTER(Constants!$F$2:$F$10,Constants!$A$2:$A$10=A424)))"),"")</f>
        <v/>
      </c>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c r="AJ425" s="80"/>
      <c r="AK425" s="80"/>
      <c r="AL425" s="80"/>
      <c r="AM425" s="80"/>
      <c r="AN425" s="80"/>
      <c r="AO425" s="80"/>
      <c r="AP425" s="80"/>
      <c r="AQ425" s="80"/>
      <c r="AR425" s="80"/>
      <c r="AS425" s="80"/>
      <c r="AT425" s="80"/>
      <c r="AU425" s="80"/>
      <c r="AV425" s="80"/>
      <c r="AW425" s="82" t="str">
        <f t="shared" si="1"/>
        <v/>
      </c>
      <c r="AX425" s="83" t="str">
        <f t="array" ref="AX425">IFERROR(DGET('SBV Import'!A:G,"SBV",{"RSC ID","Tier";B425,A425}))</f>
        <v/>
      </c>
      <c r="AY425" s="82" t="str">
        <f t="shared" si="2"/>
        <v/>
      </c>
      <c r="AZ425" s="82"/>
      <c r="BA425" s="84" t="s">
        <v>152</v>
      </c>
      <c r="BB425" s="84" t="str">
        <f>IFERROR(__xludf.DUMMYFUNCTION("iferror(if(A425="""",,E425&gt;=FILTER(Constants!$F$2:$F$10,Constants!$A$2:$A$10=A425)))"),"")</f>
        <v/>
      </c>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c r="AJ426" s="80"/>
      <c r="AK426" s="80"/>
      <c r="AL426" s="80"/>
      <c r="AM426" s="80"/>
      <c r="AN426" s="80"/>
      <c r="AO426" s="80"/>
      <c r="AP426" s="80"/>
      <c r="AQ426" s="80"/>
      <c r="AR426" s="80"/>
      <c r="AS426" s="80"/>
      <c r="AT426" s="80"/>
      <c r="AU426" s="80"/>
      <c r="AV426" s="80"/>
      <c r="AW426" s="82" t="str">
        <f t="shared" si="1"/>
        <v/>
      </c>
      <c r="AX426" s="83" t="str">
        <f t="array" ref="AX426">IFERROR(DGET('SBV Import'!A:G,"SBV",{"RSC ID","Tier";B426,A426}))</f>
        <v/>
      </c>
      <c r="AY426" s="82" t="str">
        <f t="shared" si="2"/>
        <v/>
      </c>
      <c r="AZ426" s="82"/>
      <c r="BA426" s="84" t="s">
        <v>152</v>
      </c>
      <c r="BB426" s="84" t="str">
        <f>IFERROR(__xludf.DUMMYFUNCTION("iferror(if(A426="""",,E426&gt;=FILTER(Constants!$F$2:$F$10,Constants!$A$2:$A$10=A426)))"),"")</f>
        <v/>
      </c>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c r="AJ427" s="80"/>
      <c r="AK427" s="80"/>
      <c r="AL427" s="80"/>
      <c r="AM427" s="80"/>
      <c r="AN427" s="80"/>
      <c r="AO427" s="80"/>
      <c r="AP427" s="80"/>
      <c r="AQ427" s="80"/>
      <c r="AR427" s="80"/>
      <c r="AS427" s="80"/>
      <c r="AT427" s="80"/>
      <c r="AU427" s="80"/>
      <c r="AV427" s="80"/>
      <c r="AW427" s="82" t="str">
        <f t="shared" si="1"/>
        <v/>
      </c>
      <c r="AX427" s="83" t="str">
        <f t="array" ref="AX427">IFERROR(DGET('SBV Import'!A:G,"SBV",{"RSC ID","Tier";B427,A427}))</f>
        <v/>
      </c>
      <c r="AY427" s="82" t="str">
        <f t="shared" si="2"/>
        <v/>
      </c>
      <c r="AZ427" s="82"/>
      <c r="BA427" s="84" t="s">
        <v>152</v>
      </c>
      <c r="BB427" s="84" t="str">
        <f>IFERROR(__xludf.DUMMYFUNCTION("iferror(if(A427="""",,E427&gt;=FILTER(Constants!$F$2:$F$10,Constants!$A$2:$A$10=A427)))"),"")</f>
        <v/>
      </c>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c r="AJ428" s="80"/>
      <c r="AK428" s="80"/>
      <c r="AL428" s="80"/>
      <c r="AM428" s="80"/>
      <c r="AN428" s="80"/>
      <c r="AO428" s="80"/>
      <c r="AP428" s="80"/>
      <c r="AQ428" s="80"/>
      <c r="AR428" s="80"/>
      <c r="AS428" s="80"/>
      <c r="AT428" s="80"/>
      <c r="AU428" s="80"/>
      <c r="AV428" s="80"/>
      <c r="AW428" s="82" t="str">
        <f t="shared" si="1"/>
        <v/>
      </c>
      <c r="AX428" s="83" t="str">
        <f t="array" ref="AX428">IFERROR(DGET('SBV Import'!A:G,"SBV",{"RSC ID","Tier";B428,A428}))</f>
        <v/>
      </c>
      <c r="AY428" s="82" t="str">
        <f t="shared" si="2"/>
        <v/>
      </c>
      <c r="AZ428" s="82"/>
      <c r="BA428" s="84" t="s">
        <v>152</v>
      </c>
      <c r="BB428" s="84" t="str">
        <f>IFERROR(__xludf.DUMMYFUNCTION("iferror(if(A428="""",,E428&gt;=FILTER(Constants!$F$2:$F$10,Constants!$A$2:$A$10=A428)))"),"")</f>
        <v/>
      </c>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c r="AJ429" s="80"/>
      <c r="AK429" s="80"/>
      <c r="AL429" s="80"/>
      <c r="AM429" s="80"/>
      <c r="AN429" s="80"/>
      <c r="AO429" s="80"/>
      <c r="AP429" s="80"/>
      <c r="AQ429" s="80"/>
      <c r="AR429" s="80"/>
      <c r="AS429" s="80"/>
      <c r="AT429" s="80"/>
      <c r="AU429" s="80"/>
      <c r="AV429" s="80"/>
      <c r="AW429" s="82" t="str">
        <f t="shared" si="1"/>
        <v/>
      </c>
      <c r="AX429" s="83" t="str">
        <f t="array" ref="AX429">IFERROR(DGET('SBV Import'!A:G,"SBV",{"RSC ID","Tier";B429,A429}))</f>
        <v/>
      </c>
      <c r="AY429" s="82" t="str">
        <f t="shared" si="2"/>
        <v/>
      </c>
      <c r="AZ429" s="82"/>
      <c r="BA429" s="84" t="s">
        <v>152</v>
      </c>
      <c r="BB429" s="84" t="str">
        <f>IFERROR(__xludf.DUMMYFUNCTION("iferror(if(A429="""",,E429&gt;=FILTER(Constants!$F$2:$F$10,Constants!$A$2:$A$10=A429)))"),"")</f>
        <v/>
      </c>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c r="AJ430" s="80"/>
      <c r="AK430" s="80"/>
      <c r="AL430" s="80"/>
      <c r="AM430" s="80"/>
      <c r="AN430" s="80"/>
      <c r="AO430" s="80"/>
      <c r="AP430" s="80"/>
      <c r="AQ430" s="80"/>
      <c r="AR430" s="80"/>
      <c r="AS430" s="80"/>
      <c r="AT430" s="80"/>
      <c r="AU430" s="80"/>
      <c r="AV430" s="80"/>
      <c r="AW430" s="82" t="str">
        <f t="shared" si="1"/>
        <v/>
      </c>
      <c r="AX430" s="83" t="str">
        <f t="array" ref="AX430">IFERROR(DGET('SBV Import'!A:G,"SBV",{"RSC ID","Tier";B430,A430}))</f>
        <v/>
      </c>
      <c r="AY430" s="82" t="str">
        <f t="shared" si="2"/>
        <v/>
      </c>
      <c r="AZ430" s="82"/>
      <c r="BA430" s="84" t="s">
        <v>152</v>
      </c>
      <c r="BB430" s="84" t="str">
        <f>IFERROR(__xludf.DUMMYFUNCTION("iferror(if(A430="""",,E430&gt;=FILTER(Constants!$F$2:$F$10,Constants!$A$2:$A$10=A430)))"),"")</f>
        <v/>
      </c>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c r="AJ431" s="80"/>
      <c r="AK431" s="80"/>
      <c r="AL431" s="80"/>
      <c r="AM431" s="80"/>
      <c r="AN431" s="80"/>
      <c r="AO431" s="80"/>
      <c r="AP431" s="80"/>
      <c r="AQ431" s="80"/>
      <c r="AR431" s="80"/>
      <c r="AS431" s="80"/>
      <c r="AT431" s="80"/>
      <c r="AU431" s="80"/>
      <c r="AV431" s="80"/>
      <c r="AW431" s="82" t="str">
        <f t="shared" si="1"/>
        <v/>
      </c>
      <c r="AX431" s="83" t="str">
        <f t="array" ref="AX431">IFERROR(DGET('SBV Import'!A:G,"SBV",{"RSC ID","Tier";B431,A431}))</f>
        <v/>
      </c>
      <c r="AY431" s="82" t="str">
        <f t="shared" si="2"/>
        <v/>
      </c>
      <c r="AZ431" s="82"/>
      <c r="BA431" s="84" t="s">
        <v>152</v>
      </c>
      <c r="BB431" s="84" t="str">
        <f>IFERROR(__xludf.DUMMYFUNCTION("iferror(if(A431="""",,E431&gt;=FILTER(Constants!$F$2:$F$10,Constants!$A$2:$A$10=A431)))"),"")</f>
        <v/>
      </c>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c r="AJ432" s="80"/>
      <c r="AK432" s="80"/>
      <c r="AL432" s="80"/>
      <c r="AM432" s="80"/>
      <c r="AN432" s="80"/>
      <c r="AO432" s="80"/>
      <c r="AP432" s="80"/>
      <c r="AQ432" s="80"/>
      <c r="AR432" s="80"/>
      <c r="AS432" s="80"/>
      <c r="AT432" s="80"/>
      <c r="AU432" s="80"/>
      <c r="AV432" s="80"/>
      <c r="AW432" s="82" t="str">
        <f t="shared" si="1"/>
        <v/>
      </c>
      <c r="AX432" s="83" t="str">
        <f t="array" ref="AX432">IFERROR(DGET('SBV Import'!A:G,"SBV",{"RSC ID","Tier";B432,A432}))</f>
        <v/>
      </c>
      <c r="AY432" s="82" t="str">
        <f t="shared" si="2"/>
        <v/>
      </c>
      <c r="AZ432" s="82"/>
      <c r="BA432" s="84" t="s">
        <v>152</v>
      </c>
      <c r="BB432" s="84" t="str">
        <f>IFERROR(__xludf.DUMMYFUNCTION("iferror(if(A432="""",,E432&gt;=FILTER(Constants!$F$2:$F$10,Constants!$A$2:$A$10=A432)))"),"")</f>
        <v/>
      </c>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c r="AJ433" s="80"/>
      <c r="AK433" s="80"/>
      <c r="AL433" s="80"/>
      <c r="AM433" s="80"/>
      <c r="AN433" s="80"/>
      <c r="AO433" s="80"/>
      <c r="AP433" s="80"/>
      <c r="AQ433" s="80"/>
      <c r="AR433" s="80"/>
      <c r="AS433" s="80"/>
      <c r="AT433" s="80"/>
      <c r="AU433" s="80"/>
      <c r="AV433" s="80"/>
      <c r="AW433" s="82" t="str">
        <f t="shared" si="1"/>
        <v/>
      </c>
      <c r="AX433" s="83" t="str">
        <f t="array" ref="AX433">IFERROR(DGET('SBV Import'!A:G,"SBV",{"RSC ID","Tier";B433,A433}))</f>
        <v/>
      </c>
      <c r="AY433" s="82" t="str">
        <f t="shared" si="2"/>
        <v/>
      </c>
      <c r="AZ433" s="82"/>
      <c r="BA433" s="84" t="s">
        <v>152</v>
      </c>
      <c r="BB433" s="84" t="str">
        <f>IFERROR(__xludf.DUMMYFUNCTION("iferror(if(A433="""",,E433&gt;=FILTER(Constants!$F$2:$F$10,Constants!$A$2:$A$10=A433)))"),"")</f>
        <v/>
      </c>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c r="AJ434" s="80"/>
      <c r="AK434" s="80"/>
      <c r="AL434" s="80"/>
      <c r="AM434" s="80"/>
      <c r="AN434" s="80"/>
      <c r="AO434" s="80"/>
      <c r="AP434" s="80"/>
      <c r="AQ434" s="80"/>
      <c r="AR434" s="80"/>
      <c r="AS434" s="80"/>
      <c r="AT434" s="80"/>
      <c r="AU434" s="80"/>
      <c r="AV434" s="80"/>
      <c r="AW434" s="82" t="str">
        <f t="shared" si="1"/>
        <v/>
      </c>
      <c r="AX434" s="83" t="str">
        <f t="array" ref="AX434">IFERROR(DGET('SBV Import'!A:G,"SBV",{"RSC ID","Tier";B434,A434}))</f>
        <v/>
      </c>
      <c r="AY434" s="82" t="str">
        <f t="shared" si="2"/>
        <v/>
      </c>
      <c r="AZ434" s="82"/>
      <c r="BA434" s="84" t="s">
        <v>152</v>
      </c>
      <c r="BB434" s="84" t="str">
        <f>IFERROR(__xludf.DUMMYFUNCTION("iferror(if(A434="""",,E434&gt;=FILTER(Constants!$F$2:$F$10,Constants!$A$2:$A$10=A434)))"),"")</f>
        <v/>
      </c>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c r="AJ435" s="80"/>
      <c r="AK435" s="80"/>
      <c r="AL435" s="80"/>
      <c r="AM435" s="80"/>
      <c r="AN435" s="80"/>
      <c r="AO435" s="80"/>
      <c r="AP435" s="80"/>
      <c r="AQ435" s="80"/>
      <c r="AR435" s="80"/>
      <c r="AS435" s="80"/>
      <c r="AT435" s="80"/>
      <c r="AU435" s="80"/>
      <c r="AV435" s="80"/>
      <c r="AW435" s="82" t="str">
        <f t="shared" si="1"/>
        <v/>
      </c>
      <c r="AX435" s="83" t="str">
        <f t="array" ref="AX435">IFERROR(DGET('SBV Import'!A:G,"SBV",{"RSC ID","Tier";B435,A435}))</f>
        <v/>
      </c>
      <c r="AY435" s="82" t="str">
        <f t="shared" si="2"/>
        <v/>
      </c>
      <c r="AZ435" s="82"/>
      <c r="BA435" s="84" t="s">
        <v>152</v>
      </c>
      <c r="BB435" s="84" t="str">
        <f>IFERROR(__xludf.DUMMYFUNCTION("iferror(if(A435="""",,E435&gt;=FILTER(Constants!$F$2:$F$10,Constants!$A$2:$A$10=A435)))"),"")</f>
        <v/>
      </c>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c r="AJ436" s="80"/>
      <c r="AK436" s="80"/>
      <c r="AL436" s="80"/>
      <c r="AM436" s="80"/>
      <c r="AN436" s="80"/>
      <c r="AO436" s="80"/>
      <c r="AP436" s="80"/>
      <c r="AQ436" s="80"/>
      <c r="AR436" s="80"/>
      <c r="AS436" s="80"/>
      <c r="AT436" s="80"/>
      <c r="AU436" s="80"/>
      <c r="AV436" s="80"/>
      <c r="AW436" s="82" t="str">
        <f t="shared" si="1"/>
        <v/>
      </c>
      <c r="AX436" s="83" t="str">
        <f t="array" ref="AX436">IFERROR(DGET('SBV Import'!A:G,"SBV",{"RSC ID","Tier";B436,A436}))</f>
        <v/>
      </c>
      <c r="AY436" s="82" t="str">
        <f t="shared" si="2"/>
        <v/>
      </c>
      <c r="AZ436" s="82"/>
      <c r="BA436" s="84" t="s">
        <v>152</v>
      </c>
      <c r="BB436" s="84" t="str">
        <f>IFERROR(__xludf.DUMMYFUNCTION("iferror(if(A436="""",,E436&gt;=FILTER(Constants!$F$2:$F$10,Constants!$A$2:$A$10=A436)))"),"")</f>
        <v/>
      </c>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c r="AJ437" s="80"/>
      <c r="AK437" s="80"/>
      <c r="AL437" s="80"/>
      <c r="AM437" s="80"/>
      <c r="AN437" s="80"/>
      <c r="AO437" s="80"/>
      <c r="AP437" s="80"/>
      <c r="AQ437" s="80"/>
      <c r="AR437" s="80"/>
      <c r="AS437" s="80"/>
      <c r="AT437" s="80"/>
      <c r="AU437" s="80"/>
      <c r="AV437" s="80"/>
      <c r="AW437" s="82" t="str">
        <f t="shared" si="1"/>
        <v/>
      </c>
      <c r="AX437" s="83" t="str">
        <f t="array" ref="AX437">IFERROR(DGET('SBV Import'!A:G,"SBV",{"RSC ID","Tier";B437,A437}))</f>
        <v/>
      </c>
      <c r="AY437" s="82" t="str">
        <f t="shared" si="2"/>
        <v/>
      </c>
      <c r="AZ437" s="82"/>
      <c r="BA437" s="84" t="s">
        <v>152</v>
      </c>
      <c r="BB437" s="84" t="str">
        <f>IFERROR(__xludf.DUMMYFUNCTION("iferror(if(A437="""",,E437&gt;=FILTER(Constants!$F$2:$F$10,Constants!$A$2:$A$10=A437)))"),"")</f>
        <v/>
      </c>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c r="AJ438" s="80"/>
      <c r="AK438" s="80"/>
      <c r="AL438" s="80"/>
      <c r="AM438" s="80"/>
      <c r="AN438" s="80"/>
      <c r="AO438" s="80"/>
      <c r="AP438" s="80"/>
      <c r="AQ438" s="80"/>
      <c r="AR438" s="80"/>
      <c r="AS438" s="80"/>
      <c r="AT438" s="80"/>
      <c r="AU438" s="80"/>
      <c r="AV438" s="80"/>
      <c r="AW438" s="82" t="str">
        <f t="shared" si="1"/>
        <v/>
      </c>
      <c r="AX438" s="83" t="str">
        <f t="array" ref="AX438">IFERROR(DGET('SBV Import'!A:G,"SBV",{"RSC ID","Tier";B438,A438}))</f>
        <v/>
      </c>
      <c r="AY438" s="82" t="str">
        <f t="shared" si="2"/>
        <v/>
      </c>
      <c r="AZ438" s="82"/>
      <c r="BA438" s="84" t="s">
        <v>152</v>
      </c>
      <c r="BB438" s="84" t="str">
        <f>IFERROR(__xludf.DUMMYFUNCTION("iferror(if(A438="""",,E438&gt;=FILTER(Constants!$F$2:$F$10,Constants!$A$2:$A$10=A438)))"),"")</f>
        <v/>
      </c>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c r="AJ439" s="80"/>
      <c r="AK439" s="80"/>
      <c r="AL439" s="80"/>
      <c r="AM439" s="80"/>
      <c r="AN439" s="80"/>
      <c r="AO439" s="80"/>
      <c r="AP439" s="80"/>
      <c r="AQ439" s="80"/>
      <c r="AR439" s="80"/>
      <c r="AS439" s="80"/>
      <c r="AT439" s="80"/>
      <c r="AU439" s="80"/>
      <c r="AV439" s="80"/>
      <c r="AW439" s="82" t="str">
        <f t="shared" si="1"/>
        <v/>
      </c>
      <c r="AX439" s="83" t="str">
        <f t="array" ref="AX439">IFERROR(DGET('SBV Import'!A:G,"SBV",{"RSC ID","Tier";B439,A439}))</f>
        <v/>
      </c>
      <c r="AY439" s="82" t="str">
        <f t="shared" si="2"/>
        <v/>
      </c>
      <c r="AZ439" s="82"/>
      <c r="BA439" s="84" t="s">
        <v>152</v>
      </c>
      <c r="BB439" s="84" t="str">
        <f>IFERROR(__xludf.DUMMYFUNCTION("iferror(if(A439="""",,E439&gt;=FILTER(Constants!$F$2:$F$10,Constants!$A$2:$A$10=A439)))"),"")</f>
        <v/>
      </c>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c r="AJ440" s="80"/>
      <c r="AK440" s="80"/>
      <c r="AL440" s="80"/>
      <c r="AM440" s="80"/>
      <c r="AN440" s="80"/>
      <c r="AO440" s="80"/>
      <c r="AP440" s="80"/>
      <c r="AQ440" s="80"/>
      <c r="AR440" s="80"/>
      <c r="AS440" s="80"/>
      <c r="AT440" s="80"/>
      <c r="AU440" s="80"/>
      <c r="AV440" s="80"/>
      <c r="AW440" s="82" t="str">
        <f t="shared" si="1"/>
        <v/>
      </c>
      <c r="AX440" s="83" t="str">
        <f t="array" ref="AX440">IFERROR(DGET('SBV Import'!A:G,"SBV",{"RSC ID","Tier";B440,A440}))</f>
        <v/>
      </c>
      <c r="AY440" s="82" t="str">
        <f t="shared" si="2"/>
        <v/>
      </c>
      <c r="AZ440" s="82"/>
      <c r="BA440" s="84" t="s">
        <v>152</v>
      </c>
      <c r="BB440" s="84" t="str">
        <f>IFERROR(__xludf.DUMMYFUNCTION("iferror(if(A440="""",,E440&gt;=FILTER(Constants!$F$2:$F$10,Constants!$A$2:$A$10=A440)))"),"")</f>
        <v/>
      </c>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c r="AJ441" s="80"/>
      <c r="AK441" s="80"/>
      <c r="AL441" s="80"/>
      <c r="AM441" s="80"/>
      <c r="AN441" s="80"/>
      <c r="AO441" s="80"/>
      <c r="AP441" s="80"/>
      <c r="AQ441" s="80"/>
      <c r="AR441" s="80"/>
      <c r="AS441" s="80"/>
      <c r="AT441" s="80"/>
      <c r="AU441" s="80"/>
      <c r="AV441" s="80"/>
      <c r="AW441" s="82" t="str">
        <f t="shared" si="1"/>
        <v/>
      </c>
      <c r="AX441" s="83" t="str">
        <f t="array" ref="AX441">IFERROR(DGET('SBV Import'!A:G,"SBV",{"RSC ID","Tier";B441,A441}))</f>
        <v/>
      </c>
      <c r="AY441" s="82" t="str">
        <f t="shared" si="2"/>
        <v/>
      </c>
      <c r="AZ441" s="82"/>
      <c r="BA441" s="84" t="s">
        <v>152</v>
      </c>
      <c r="BB441" s="84" t="str">
        <f>IFERROR(__xludf.DUMMYFUNCTION("iferror(if(A441="""",,E441&gt;=FILTER(Constants!$F$2:$F$10,Constants!$A$2:$A$10=A441)))"),"")</f>
        <v/>
      </c>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c r="AJ442" s="80"/>
      <c r="AK442" s="80"/>
      <c r="AL442" s="80"/>
      <c r="AM442" s="80"/>
      <c r="AN442" s="80"/>
      <c r="AO442" s="80"/>
      <c r="AP442" s="80"/>
      <c r="AQ442" s="80"/>
      <c r="AR442" s="80"/>
      <c r="AS442" s="80"/>
      <c r="AT442" s="80"/>
      <c r="AU442" s="80"/>
      <c r="AV442" s="80"/>
      <c r="AW442" s="82" t="str">
        <f t="shared" si="1"/>
        <v/>
      </c>
      <c r="AX442" s="83" t="str">
        <f t="array" ref="AX442">IFERROR(DGET('SBV Import'!A:G,"SBV",{"RSC ID","Tier";B442,A442}))</f>
        <v/>
      </c>
      <c r="AY442" s="82" t="str">
        <f t="shared" si="2"/>
        <v/>
      </c>
      <c r="AZ442" s="82"/>
      <c r="BA442" s="84" t="s">
        <v>152</v>
      </c>
      <c r="BB442" s="84" t="str">
        <f>IFERROR(__xludf.DUMMYFUNCTION("iferror(if(A442="""",,E442&gt;=FILTER(Constants!$F$2:$F$10,Constants!$A$2:$A$10=A442)))"),"")</f>
        <v/>
      </c>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c r="AJ443" s="80"/>
      <c r="AK443" s="80"/>
      <c r="AL443" s="80"/>
      <c r="AM443" s="80"/>
      <c r="AN443" s="80"/>
      <c r="AO443" s="80"/>
      <c r="AP443" s="80"/>
      <c r="AQ443" s="80"/>
      <c r="AR443" s="80"/>
      <c r="AS443" s="80"/>
      <c r="AT443" s="80"/>
      <c r="AU443" s="80"/>
      <c r="AV443" s="80"/>
      <c r="AW443" s="82" t="str">
        <f t="shared" si="1"/>
        <v/>
      </c>
      <c r="AX443" s="83" t="str">
        <f t="array" ref="AX443">IFERROR(DGET('SBV Import'!A:G,"SBV",{"RSC ID","Tier";B443,A443}))</f>
        <v/>
      </c>
      <c r="AY443" s="82" t="str">
        <f t="shared" si="2"/>
        <v/>
      </c>
      <c r="AZ443" s="82"/>
      <c r="BA443" s="84" t="s">
        <v>152</v>
      </c>
      <c r="BB443" s="84" t="str">
        <f>IFERROR(__xludf.DUMMYFUNCTION("iferror(if(A443="""",,E443&gt;=FILTER(Constants!$F$2:$F$10,Constants!$A$2:$A$10=A443)))"),"")</f>
        <v/>
      </c>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c r="AJ444" s="80"/>
      <c r="AK444" s="80"/>
      <c r="AL444" s="80"/>
      <c r="AM444" s="80"/>
      <c r="AN444" s="80"/>
      <c r="AO444" s="80"/>
      <c r="AP444" s="80"/>
      <c r="AQ444" s="80"/>
      <c r="AR444" s="80"/>
      <c r="AS444" s="80"/>
      <c r="AT444" s="80"/>
      <c r="AU444" s="80"/>
      <c r="AV444" s="80"/>
      <c r="AW444" s="82" t="str">
        <f t="shared" si="1"/>
        <v/>
      </c>
      <c r="AX444" s="83" t="str">
        <f t="array" ref="AX444">IFERROR(DGET('SBV Import'!A:G,"SBV",{"RSC ID","Tier";B444,A444}))</f>
        <v/>
      </c>
      <c r="AY444" s="82" t="str">
        <f t="shared" si="2"/>
        <v/>
      </c>
      <c r="AZ444" s="82"/>
      <c r="BA444" s="84" t="s">
        <v>152</v>
      </c>
      <c r="BB444" s="84" t="str">
        <f>IFERROR(__xludf.DUMMYFUNCTION("iferror(if(A444="""",,E444&gt;=FILTER(Constants!$F$2:$F$10,Constants!$A$2:$A$10=A444)))"),"")</f>
        <v/>
      </c>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c r="AJ445" s="80"/>
      <c r="AK445" s="80"/>
      <c r="AL445" s="80"/>
      <c r="AM445" s="80"/>
      <c r="AN445" s="80"/>
      <c r="AO445" s="80"/>
      <c r="AP445" s="80"/>
      <c r="AQ445" s="80"/>
      <c r="AR445" s="80"/>
      <c r="AS445" s="80"/>
      <c r="AT445" s="80"/>
      <c r="AU445" s="80"/>
      <c r="AV445" s="80"/>
      <c r="AW445" s="82" t="str">
        <f t="shared" si="1"/>
        <v/>
      </c>
      <c r="AX445" s="83" t="str">
        <f t="array" ref="AX445">IFERROR(DGET('SBV Import'!A:G,"SBV",{"RSC ID","Tier";B445,A445}))</f>
        <v/>
      </c>
      <c r="AY445" s="82" t="str">
        <f t="shared" si="2"/>
        <v/>
      </c>
      <c r="AZ445" s="82"/>
      <c r="BA445" s="84" t="s">
        <v>152</v>
      </c>
      <c r="BB445" s="84" t="str">
        <f>IFERROR(__xludf.DUMMYFUNCTION("iferror(if(A445="""",,E445&gt;=FILTER(Constants!$F$2:$F$10,Constants!$A$2:$A$10=A445)))"),"")</f>
        <v/>
      </c>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c r="AJ446" s="80"/>
      <c r="AK446" s="80"/>
      <c r="AL446" s="80"/>
      <c r="AM446" s="80"/>
      <c r="AN446" s="80"/>
      <c r="AO446" s="80"/>
      <c r="AP446" s="80"/>
      <c r="AQ446" s="80"/>
      <c r="AR446" s="80"/>
      <c r="AS446" s="80"/>
      <c r="AT446" s="80"/>
      <c r="AU446" s="80"/>
      <c r="AV446" s="80"/>
      <c r="AW446" s="82" t="str">
        <f t="shared" si="1"/>
        <v/>
      </c>
      <c r="AX446" s="83" t="str">
        <f t="array" ref="AX446">IFERROR(DGET('SBV Import'!A:G,"SBV",{"RSC ID","Tier";B446,A446}))</f>
        <v/>
      </c>
      <c r="AY446" s="82" t="str">
        <f t="shared" si="2"/>
        <v/>
      </c>
      <c r="AZ446" s="82"/>
      <c r="BA446" s="84" t="s">
        <v>152</v>
      </c>
      <c r="BB446" s="84" t="str">
        <f>IFERROR(__xludf.DUMMYFUNCTION("iferror(if(A446="""",,E446&gt;=FILTER(Constants!$F$2:$F$10,Constants!$A$2:$A$10=A446)))"),"")</f>
        <v/>
      </c>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c r="AJ447" s="80"/>
      <c r="AK447" s="80"/>
      <c r="AL447" s="80"/>
      <c r="AM447" s="80"/>
      <c r="AN447" s="80"/>
      <c r="AO447" s="80"/>
      <c r="AP447" s="80"/>
      <c r="AQ447" s="80"/>
      <c r="AR447" s="80"/>
      <c r="AS447" s="80"/>
      <c r="AT447" s="80"/>
      <c r="AU447" s="80"/>
      <c r="AV447" s="80"/>
      <c r="AW447" s="82" t="str">
        <f t="shared" si="1"/>
        <v/>
      </c>
      <c r="AX447" s="83" t="str">
        <f t="array" ref="AX447">IFERROR(DGET('SBV Import'!A:G,"SBV",{"RSC ID","Tier";B447,A447}))</f>
        <v/>
      </c>
      <c r="AY447" s="82" t="str">
        <f t="shared" si="2"/>
        <v/>
      </c>
      <c r="AZ447" s="82"/>
      <c r="BA447" s="84" t="s">
        <v>152</v>
      </c>
      <c r="BB447" s="84" t="str">
        <f>IFERROR(__xludf.DUMMYFUNCTION("iferror(if(A447="""",,E447&gt;=FILTER(Constants!$F$2:$F$10,Constants!$A$2:$A$10=A447)))"),"")</f>
        <v/>
      </c>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c r="AJ448" s="80"/>
      <c r="AK448" s="80"/>
      <c r="AL448" s="80"/>
      <c r="AM448" s="80"/>
      <c r="AN448" s="80"/>
      <c r="AO448" s="80"/>
      <c r="AP448" s="80"/>
      <c r="AQ448" s="80"/>
      <c r="AR448" s="80"/>
      <c r="AS448" s="80"/>
      <c r="AT448" s="80"/>
      <c r="AU448" s="80"/>
      <c r="AV448" s="80"/>
      <c r="AW448" s="82" t="str">
        <f t="shared" si="1"/>
        <v/>
      </c>
      <c r="AX448" s="83" t="str">
        <f t="array" ref="AX448">IFERROR(DGET('SBV Import'!A:G,"SBV",{"RSC ID","Tier";B448,A448}))</f>
        <v/>
      </c>
      <c r="AY448" s="82" t="str">
        <f t="shared" si="2"/>
        <v/>
      </c>
      <c r="AZ448" s="82"/>
      <c r="BA448" s="84" t="s">
        <v>152</v>
      </c>
      <c r="BB448" s="84" t="str">
        <f>IFERROR(__xludf.DUMMYFUNCTION("iferror(if(A448="""",,E448&gt;=FILTER(Constants!$F$2:$F$10,Constants!$A$2:$A$10=A448)))"),"")</f>
        <v/>
      </c>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c r="AJ449" s="80"/>
      <c r="AK449" s="80"/>
      <c r="AL449" s="80"/>
      <c r="AM449" s="80"/>
      <c r="AN449" s="80"/>
      <c r="AO449" s="80"/>
      <c r="AP449" s="80"/>
      <c r="AQ449" s="80"/>
      <c r="AR449" s="80"/>
      <c r="AS449" s="80"/>
      <c r="AT449" s="80"/>
      <c r="AU449" s="80"/>
      <c r="AV449" s="80"/>
      <c r="AW449" s="82" t="str">
        <f t="shared" si="1"/>
        <v/>
      </c>
      <c r="AX449" s="83" t="str">
        <f t="array" ref="AX449">IFERROR(DGET('SBV Import'!A:G,"SBV",{"RSC ID","Tier";B449,A449}))</f>
        <v/>
      </c>
      <c r="AY449" s="82" t="str">
        <f t="shared" si="2"/>
        <v/>
      </c>
      <c r="AZ449" s="82"/>
      <c r="BA449" s="84" t="s">
        <v>152</v>
      </c>
      <c r="BB449" s="84" t="str">
        <f>IFERROR(__xludf.DUMMYFUNCTION("iferror(if(A449="""",,E449&gt;=FILTER(Constants!$F$2:$F$10,Constants!$A$2:$A$10=A449)))"),"")</f>
        <v/>
      </c>
    </row>
    <row r="450">
      <c r="A450" s="85" t="str">
        <f>IFERROR(__xludf.DUMMYFUNCTION("QUERY(IMPORTRANGE(Constants!$B3, ""'Player Stats'!A2:AV""), ""Select * order by Col48 desc"")"),"Master")</f>
        <v>Master</v>
      </c>
      <c r="B450" s="80" t="str">
        <f>IFERROR(__xludf.DUMMYFUNCTION("""COMPUTED_VALUE"""),"RSC006408")</f>
        <v>RSC006408</v>
      </c>
      <c r="C450" s="80" t="str">
        <f>IFERROR(__xludf.DUMMYFUNCTION("""COMPUTED_VALUE"""),"Met.")</f>
        <v>Met.</v>
      </c>
      <c r="D450" s="80" t="str">
        <f>IFERROR(__xludf.DUMMYFUNCTION("""COMPUTED_VALUE"""),"Battle Masters")</f>
        <v>Battle Masters</v>
      </c>
      <c r="E450" s="80">
        <f>IFERROR(__xludf.DUMMYFUNCTION("""COMPUTED_VALUE"""),40.0)</f>
        <v>40</v>
      </c>
      <c r="F450" s="80">
        <f>IFERROR(__xludf.DUMMYFUNCTION("""COMPUTED_VALUE"""),31.0)</f>
        <v>31</v>
      </c>
      <c r="G450" s="80">
        <f>IFERROR(__xludf.DUMMYFUNCTION("""COMPUTED_VALUE"""),9.0)</f>
        <v>9</v>
      </c>
      <c r="H450" s="81">
        <f>IFERROR(__xludf.DUMMYFUNCTION("""COMPUTED_VALUE"""),0.775)</f>
        <v>0.775</v>
      </c>
      <c r="I450" s="81">
        <f>IFERROR(__xludf.DUMMYFUNCTION("""COMPUTED_VALUE"""),0.33548387096774196)</f>
        <v>0.335483871</v>
      </c>
      <c r="J450" s="80">
        <f>IFERROR(__xludf.DUMMYFUNCTION("""COMPUTED_VALUE"""),471.95)</f>
        <v>471.95</v>
      </c>
      <c r="K450" s="80">
        <f>IFERROR(__xludf.DUMMYFUNCTION("""COMPUTED_VALUE"""),1.3)</f>
        <v>1.3</v>
      </c>
      <c r="L450" s="80">
        <f>IFERROR(__xludf.DUMMYFUNCTION("""COMPUTED_VALUE"""),1.05)</f>
        <v>1.05</v>
      </c>
      <c r="M450" s="80">
        <f>IFERROR(__xludf.DUMMYFUNCTION("""COMPUTED_VALUE"""),1.275)</f>
        <v>1.275</v>
      </c>
      <c r="N450" s="80">
        <f>IFERROR(__xludf.DUMMYFUNCTION("""COMPUTED_VALUE"""),3.875)</f>
        <v>3.875</v>
      </c>
      <c r="O450" s="80">
        <f>IFERROR(__xludf.DUMMYFUNCTION("""COMPUTED_VALUE"""),336.225)</f>
        <v>336.225</v>
      </c>
      <c r="P450" s="80">
        <f>IFERROR(__xludf.DUMMYFUNCTION("""COMPUTED_VALUE"""),0.5916666666666667)</f>
        <v>0.5916666667</v>
      </c>
      <c r="Q450" s="80">
        <f>IFERROR(__xludf.DUMMYFUNCTION("""COMPUTED_VALUE"""),0.475)</f>
        <v>0.475</v>
      </c>
      <c r="R450" s="80">
        <f>IFERROR(__xludf.DUMMYFUNCTION("""COMPUTED_VALUE"""),1.575)</f>
        <v>1.575</v>
      </c>
      <c r="S450" s="80">
        <f>IFERROR(__xludf.DUMMYFUNCTION("""COMPUTED_VALUE"""),2.225)</f>
        <v>2.225</v>
      </c>
      <c r="T450" s="80">
        <f>IFERROR(__xludf.DUMMYFUNCTION("""COMPUTED_VALUE"""),370.0449347107684)</f>
        <v>370.0449347</v>
      </c>
      <c r="U450" s="80">
        <f>IFERROR(__xludf.DUMMYFUNCTION("""COMPUTED_VALUE"""),0.7920302714102635)</f>
        <v>0.7920302714</v>
      </c>
      <c r="V450" s="80">
        <f>IFERROR(__xludf.DUMMYFUNCTION("""COMPUTED_VALUE"""),0.6199408900226504)</f>
        <v>0.61994089</v>
      </c>
      <c r="W450" s="80">
        <f>IFERROR(__xludf.DUMMYFUNCTION("""COMPUTED_VALUE"""),1.502764888983987)</f>
        <v>1.502764889</v>
      </c>
      <c r="X450" s="80">
        <f>IFERROR(__xludf.DUMMYFUNCTION("""COMPUTED_VALUE"""),2.6741255580875682)</f>
        <v>2.674125558</v>
      </c>
      <c r="Y450" s="80">
        <f>IFERROR(__xludf.DUMMYFUNCTION("""COMPUTED_VALUE"""),393.9608924941723)</f>
        <v>393.9608925</v>
      </c>
      <c r="Z450" s="80">
        <f>IFERROR(__xludf.DUMMYFUNCTION("""COMPUTED_VALUE"""),0.9547564302633764)</f>
        <v>0.9547564303</v>
      </c>
      <c r="AA450" s="80">
        <f>IFERROR(__xludf.DUMMYFUNCTION("""COMPUTED_VALUE"""),0.7330571888754976)</f>
        <v>0.7330571889</v>
      </c>
      <c r="AB450" s="80">
        <f>IFERROR(__xludf.DUMMYFUNCTION("""COMPUTED_VALUE"""),1.4488875279631466)</f>
        <v>1.448887528</v>
      </c>
      <c r="AC450" s="80">
        <f>IFERROR(__xludf.DUMMYFUNCTION("""COMPUTED_VALUE"""),2.891949511277243)</f>
        <v>2.891949511</v>
      </c>
      <c r="AD450" s="80">
        <f>IFERROR(__xludf.DUMMYFUNCTION("""COMPUTED_VALUE"""),1.1979615464166442)</f>
        <v>1.197961546</v>
      </c>
      <c r="AE450" s="80">
        <f>IFERROR(__xludf.DUMMYFUNCTION("""COMPUTED_VALUE"""),1.3616038172598488)</f>
        <v>1.361603817</v>
      </c>
      <c r="AF450" s="80">
        <f>IFERROR(__xludf.DUMMYFUNCTION("""COMPUTED_VALUE"""),1.4323575512719402)</f>
        <v>1.432357551</v>
      </c>
      <c r="AG450" s="80">
        <f>IFERROR(__xludf.DUMMYFUNCTION("""COMPUTED_VALUE"""),0.8799854891375878)</f>
        <v>0.8799854891</v>
      </c>
      <c r="AH450" s="80">
        <f>IFERROR(__xludf.DUMMYFUNCTION("""COMPUTED_VALUE"""),1.3399265737141406)</f>
        <v>1.339926574</v>
      </c>
      <c r="AI450" s="80">
        <f>IFERROR(__xludf.DUMMYFUNCTION("""COMPUTED_VALUE"""),0.9086058704270538)</f>
        <v>0.9086058704</v>
      </c>
      <c r="AJ450" s="80">
        <f>IFERROR(__xludf.DUMMYFUNCTION("""COMPUTED_VALUE"""),0.7470253196423466)</f>
        <v>0.7470253196</v>
      </c>
      <c r="AK450" s="80">
        <f>IFERROR(__xludf.DUMMYFUNCTION("""COMPUTED_VALUE"""),0.7662020809478226)</f>
        <v>0.7662020809</v>
      </c>
      <c r="AL450" s="80">
        <f>IFERROR(__xludf.DUMMYFUNCTION("""COMPUTED_VALUE"""),1.0480681386326844)</f>
        <v>1.048068139</v>
      </c>
      <c r="AM450" s="80">
        <f>IFERROR(__xludf.DUMMYFUNCTION("""COMPUTED_VALUE"""),0.8320476924768014)</f>
        <v>0.8320476925</v>
      </c>
      <c r="AN450" s="80">
        <f>IFERROR(__xludf.DUMMYFUNCTION("""COMPUTED_VALUE"""),1.258725671900645)</f>
        <v>1.258725672</v>
      </c>
      <c r="AO450" s="80">
        <f>IFERROR(__xludf.DUMMYFUNCTION("""COMPUTED_VALUE"""),1.5748419757647918)</f>
        <v>1.574841976</v>
      </c>
      <c r="AP450" s="80">
        <f>IFERROR(__xludf.DUMMYFUNCTION("""COMPUTED_VALUE"""),1.6182428326587956)</f>
        <v>1.618242833</v>
      </c>
      <c r="AQ450" s="80">
        <f>IFERROR(__xludf.DUMMYFUNCTION("""COMPUTED_VALUE"""),0.8775329455422629)</f>
        <v>0.8775329455</v>
      </c>
      <c r="AR450" s="80">
        <f>IFERROR(__xludf.DUMMYFUNCTION("""COMPUTED_VALUE"""),1.4255507026445933)</f>
        <v>1.425550703</v>
      </c>
      <c r="AS450" s="80">
        <f>IFERROR(__xludf.DUMMYFUNCTION("""COMPUTED_VALUE"""),152.0)</f>
        <v>152</v>
      </c>
      <c r="AT450" s="80">
        <f>IFERROR(__xludf.DUMMYFUNCTION("""COMPUTED_VALUE"""),0.7766830234452046)</f>
        <v>0.7766830234</v>
      </c>
      <c r="AU450" s="80">
        <f>IFERROR(__xludf.DUMMYFUNCTION("""COMPUTED_VALUE"""),5.1359065753804085)</f>
        <v>5.135906575</v>
      </c>
      <c r="AV450" s="80">
        <f>IFERROR(__xludf.DUMMYFUNCTION("""COMPUTED_VALUE"""),105.12861020851362)</f>
        <v>105.1286102</v>
      </c>
      <c r="AW450" s="82">
        <f t="shared" si="1"/>
        <v>72.87577314</v>
      </c>
      <c r="AX450" s="83">
        <f t="array" ref="AX450">IFERROR(DGET('SBV Import'!A:G,"SBV",{"RSC ID","Tier";B450,A450}))</f>
        <v>97.74597015</v>
      </c>
      <c r="AY450" s="82">
        <f t="shared" si="2"/>
        <v>35.6163591</v>
      </c>
      <c r="AZ450" s="82">
        <v>37.259414037743895</v>
      </c>
      <c r="BA450" s="84">
        <v>450.0</v>
      </c>
      <c r="BB450" s="84" t="b">
        <f>IFERROR(__xludf.DUMMYFUNCTION("iferror(if(A450="""",,E450&gt;=FILTER(Constants!$F$2:$F$10,Constants!$A$2:$A$10=A450)))"),TRUE)</f>
        <v>1</v>
      </c>
    </row>
    <row r="451">
      <c r="A451" s="80" t="str">
        <f>IFERROR(__xludf.DUMMYFUNCTION("""COMPUTED_VALUE"""),"Master")</f>
        <v>Master</v>
      </c>
      <c r="B451" s="80" t="str">
        <f>IFERROR(__xludf.DUMMYFUNCTION("""COMPUTED_VALUE"""),"RSC000799")</f>
        <v>RSC000799</v>
      </c>
      <c r="C451" s="80" t="str">
        <f>IFERROR(__xludf.DUMMYFUNCTION("""COMPUTED_VALUE"""),"Foam")</f>
        <v>Foam</v>
      </c>
      <c r="D451" s="80" t="str">
        <f>IFERROR(__xludf.DUMMYFUNCTION("""COMPUTED_VALUE"""),"Tempests")</f>
        <v>Tempests</v>
      </c>
      <c r="E451" s="80">
        <f>IFERROR(__xludf.DUMMYFUNCTION("""COMPUTED_VALUE"""),8.0)</f>
        <v>8</v>
      </c>
      <c r="F451" s="80">
        <f>IFERROR(__xludf.DUMMYFUNCTION("""COMPUTED_VALUE"""),7.0)</f>
        <v>7</v>
      </c>
      <c r="G451" s="80">
        <f>IFERROR(__xludf.DUMMYFUNCTION("""COMPUTED_VALUE"""),1.0)</f>
        <v>1</v>
      </c>
      <c r="H451" s="81">
        <f>IFERROR(__xludf.DUMMYFUNCTION("""COMPUTED_VALUE"""),0.875)</f>
        <v>0.875</v>
      </c>
      <c r="I451" s="81">
        <f>IFERROR(__xludf.DUMMYFUNCTION("""COMPUTED_VALUE"""),0.5357142857142857)</f>
        <v>0.5357142857</v>
      </c>
      <c r="J451" s="80">
        <f>IFERROR(__xludf.DUMMYFUNCTION("""COMPUTED_VALUE"""),485.0)</f>
        <v>485</v>
      </c>
      <c r="K451" s="80">
        <f>IFERROR(__xludf.DUMMYFUNCTION("""COMPUTED_VALUE"""),1.875)</f>
        <v>1.875</v>
      </c>
      <c r="L451" s="80">
        <f>IFERROR(__xludf.DUMMYFUNCTION("""COMPUTED_VALUE"""),0.5)</f>
        <v>0.5</v>
      </c>
      <c r="M451" s="80">
        <f>IFERROR(__xludf.DUMMYFUNCTION("""COMPUTED_VALUE"""),1.25)</f>
        <v>1.25</v>
      </c>
      <c r="N451" s="80">
        <f>IFERROR(__xludf.DUMMYFUNCTION("""COMPUTED_VALUE"""),3.5)</f>
        <v>3.5</v>
      </c>
      <c r="O451" s="80">
        <f>IFERROR(__xludf.DUMMYFUNCTION("""COMPUTED_VALUE"""),335.25)</f>
        <v>335.25</v>
      </c>
      <c r="P451" s="80">
        <f>IFERROR(__xludf.DUMMYFUNCTION("""COMPUTED_VALUE"""),0.6666666666666666)</f>
        <v>0.6666666667</v>
      </c>
      <c r="Q451" s="80">
        <f>IFERROR(__xludf.DUMMYFUNCTION("""COMPUTED_VALUE"""),0.4583333333333333)</f>
        <v>0.4583333333</v>
      </c>
      <c r="R451" s="80">
        <f>IFERROR(__xludf.DUMMYFUNCTION("""COMPUTED_VALUE"""),1.25)</f>
        <v>1.25</v>
      </c>
      <c r="S451" s="80">
        <f>IFERROR(__xludf.DUMMYFUNCTION("""COMPUTED_VALUE"""),2.1666666666666665)</f>
        <v>2.166666667</v>
      </c>
      <c r="T451" s="80">
        <f>IFERROR(__xludf.DUMMYFUNCTION("""COMPUTED_VALUE"""),373.24884366277456)</f>
        <v>373.2488437</v>
      </c>
      <c r="U451" s="80">
        <f>IFERROR(__xludf.DUMMYFUNCTION("""COMPUTED_VALUE"""),0.806238999827491)</f>
        <v>0.8062389998</v>
      </c>
      <c r="V451" s="80">
        <f>IFERROR(__xludf.DUMMYFUNCTION("""COMPUTED_VALUE"""),0.621469323514867)</f>
        <v>0.6214693235</v>
      </c>
      <c r="W451" s="80">
        <f>IFERROR(__xludf.DUMMYFUNCTION("""COMPUTED_VALUE"""),1.5272800389658683)</f>
        <v>1.527280039</v>
      </c>
      <c r="X451" s="80">
        <f>IFERROR(__xludf.DUMMYFUNCTION("""COMPUTED_VALUE"""),2.6947000149754516)</f>
        <v>2.694700015</v>
      </c>
      <c r="Y451" s="80">
        <f>IFERROR(__xludf.DUMMYFUNCTION("""COMPUTED_VALUE"""),418.26250385968115)</f>
        <v>418.2625039</v>
      </c>
      <c r="Z451" s="80">
        <f>IFERROR(__xludf.DUMMYFUNCTION("""COMPUTED_VALUE"""),1.0527782692416838)</f>
        <v>1.052778269</v>
      </c>
      <c r="AA451" s="80">
        <f>IFERROR(__xludf.DUMMYFUNCTION("""COMPUTED_VALUE"""),0.8224765255085621)</f>
        <v>0.8224765255</v>
      </c>
      <c r="AB451" s="80">
        <f>IFERROR(__xludf.DUMMYFUNCTION("""COMPUTED_VALUE"""),1.514875306863363)</f>
        <v>1.514875307</v>
      </c>
      <c r="AC451" s="80">
        <f>IFERROR(__xludf.DUMMYFUNCTION("""COMPUTED_VALUE"""),3.10431786625904)</f>
        <v>3.104317866</v>
      </c>
      <c r="AD451" s="80">
        <f>IFERROR(__xludf.DUMMYFUNCTION("""COMPUTED_VALUE"""),1.1595588787531095)</f>
        <v>1.159558879</v>
      </c>
      <c r="AE451" s="80">
        <f>IFERROR(__xludf.DUMMYFUNCTION("""COMPUTED_VALUE"""),1.7810018071047025)</f>
        <v>1.781001807</v>
      </c>
      <c r="AF451" s="80">
        <f>IFERROR(__xludf.DUMMYFUNCTION("""COMPUTED_VALUE"""),0.6079200858539213)</f>
        <v>0.6079200859</v>
      </c>
      <c r="AG451" s="80">
        <f>IFERROR(__xludf.DUMMYFUNCTION("""COMPUTED_VALUE"""),0.825150422834601)</f>
        <v>0.8251504228</v>
      </c>
      <c r="AH451" s="80">
        <f>IFERROR(__xludf.DUMMYFUNCTION("""COMPUTED_VALUE"""),1.1274618614419758)</f>
        <v>1.127461861</v>
      </c>
      <c r="AI451" s="80">
        <f>IFERROR(__xludf.DUMMYFUNCTION("""COMPUTED_VALUE"""),0.8981943432432814)</f>
        <v>0.8981943432</v>
      </c>
      <c r="AJ451" s="80">
        <f>IFERROR(__xludf.DUMMYFUNCTION("""COMPUTED_VALUE"""),0.8268846667170797)</f>
        <v>0.8268846667</v>
      </c>
      <c r="AK451" s="80">
        <f>IFERROR(__xludf.DUMMYFUNCTION("""COMPUTED_VALUE"""),0.7374995289246469)</f>
        <v>0.7374995289</v>
      </c>
      <c r="AL451" s="80">
        <f>IFERROR(__xludf.DUMMYFUNCTION("""COMPUTED_VALUE"""),0.8184484626973738)</f>
        <v>0.8184484627</v>
      </c>
      <c r="AM451" s="80">
        <f>IFERROR(__xludf.DUMMYFUNCTION("""COMPUTED_VALUE"""),0.8040474467011886)</f>
        <v>0.8040474467</v>
      </c>
      <c r="AN451" s="80">
        <f>IFERROR(__xludf.DUMMYFUNCTION("""COMPUTED_VALUE"""),1.2935309902994234)</f>
        <v>1.29353099</v>
      </c>
      <c r="AO451" s="80">
        <f>IFERROR(__xludf.DUMMYFUNCTION("""COMPUTED_VALUE"""),2.2714066958146035)</f>
        <v>2.271406696</v>
      </c>
      <c r="AP451" s="80">
        <f>IFERROR(__xludf.DUMMYFUNCTION("""COMPUTED_VALUE"""),0.770591825075617)</f>
        <v>0.7705918251</v>
      </c>
      <c r="AQ451" s="80">
        <f>IFERROR(__xludf.DUMMYFUNCTION("""COMPUTED_VALUE"""),0.860326417198297)</f>
        <v>0.8603264172</v>
      </c>
      <c r="AR451" s="80">
        <f>IFERROR(__xludf.DUMMYFUNCTION("""COMPUTED_VALUE"""),1.2875941830338262)</f>
        <v>1.287594183</v>
      </c>
      <c r="AS451" s="80">
        <f>IFERROR(__xludf.DUMMYFUNCTION("""COMPUTED_VALUE"""),29.0)</f>
        <v>29</v>
      </c>
      <c r="AT451" s="80">
        <f>IFERROR(__xludf.DUMMYFUNCTION("""COMPUTED_VALUE"""),0.7263756751116563)</f>
        <v>0.7263756751</v>
      </c>
      <c r="AU451" s="80">
        <f>IFERROR(__xludf.DUMMYFUNCTION("""COMPUTED_VALUE"""),4.819671429239177)</f>
        <v>4.819671429</v>
      </c>
      <c r="AV451" s="80">
        <f>IFERROR(__xludf.DUMMYFUNCTION("""COMPUTED_VALUE"""),96.69703265546949)</f>
        <v>96.69703266</v>
      </c>
      <c r="AW451" s="82">
        <f t="shared" si="1"/>
        <v>32.37366089</v>
      </c>
      <c r="AX451" s="83">
        <f t="array" ref="AX451">IFERROR(DGET('SBV Import'!A:G,"SBV",{"RSC ID","Tier";B451,A451}))</f>
        <v>93.93279868</v>
      </c>
      <c r="AY451" s="82">
        <f t="shared" si="2"/>
        <v>25.35990379</v>
      </c>
      <c r="AZ451" s="82">
        <v>7.0137570977951995</v>
      </c>
      <c r="BA451" s="84">
        <v>450.0</v>
      </c>
      <c r="BB451" s="84" t="b">
        <f>IFERROR(__xludf.DUMMYFUNCTION("iferror(if(A451="""",,E451&gt;=FILTER(Constants!$F$2:$F$10,Constants!$A$2:$A$10=A451)))"),TRUE)</f>
        <v>1</v>
      </c>
    </row>
    <row r="452">
      <c r="A452" s="80" t="str">
        <f>IFERROR(__xludf.DUMMYFUNCTION("""COMPUTED_VALUE"""),"Master")</f>
        <v>Master</v>
      </c>
      <c r="B452" s="80" t="str">
        <f>IFERROR(__xludf.DUMMYFUNCTION("""COMPUTED_VALUE"""),"RSC007455")</f>
        <v>RSC007455</v>
      </c>
      <c r="C452" s="80" t="str">
        <f>IFERROR(__xludf.DUMMYFUNCTION("""COMPUTED_VALUE"""),"Shlumpy")</f>
        <v>Shlumpy</v>
      </c>
      <c r="D452" s="80" t="str">
        <f>IFERROR(__xludf.DUMMYFUNCTION("""COMPUTED_VALUE"""),"Hard Hats")</f>
        <v>Hard Hats</v>
      </c>
      <c r="E452" s="80">
        <f>IFERROR(__xludf.DUMMYFUNCTION("""COMPUTED_VALUE"""),24.0)</f>
        <v>24</v>
      </c>
      <c r="F452" s="80">
        <f>IFERROR(__xludf.DUMMYFUNCTION("""COMPUTED_VALUE"""),14.0)</f>
        <v>14</v>
      </c>
      <c r="G452" s="80">
        <f>IFERROR(__xludf.DUMMYFUNCTION("""COMPUTED_VALUE"""),10.0)</f>
        <v>10</v>
      </c>
      <c r="H452" s="81">
        <f>IFERROR(__xludf.DUMMYFUNCTION("""COMPUTED_VALUE"""),0.5833333333333334)</f>
        <v>0.5833333333</v>
      </c>
      <c r="I452" s="81">
        <f>IFERROR(__xludf.DUMMYFUNCTION("""COMPUTED_VALUE"""),0.5230769230769231)</f>
        <v>0.5230769231</v>
      </c>
      <c r="J452" s="80">
        <f>IFERROR(__xludf.DUMMYFUNCTION("""COMPUTED_VALUE"""),442.4583333333333)</f>
        <v>442.4583333</v>
      </c>
      <c r="K452" s="80">
        <f>IFERROR(__xludf.DUMMYFUNCTION("""COMPUTED_VALUE"""),1.4166666666666667)</f>
        <v>1.416666667</v>
      </c>
      <c r="L452" s="80">
        <f>IFERROR(__xludf.DUMMYFUNCTION("""COMPUTED_VALUE"""),0.875)</f>
        <v>0.875</v>
      </c>
      <c r="M452" s="80">
        <f>IFERROR(__xludf.DUMMYFUNCTION("""COMPUTED_VALUE"""),1.2916666666666667)</f>
        <v>1.291666667</v>
      </c>
      <c r="N452" s="80">
        <f>IFERROR(__xludf.DUMMYFUNCTION("""COMPUTED_VALUE"""),2.7083333333333335)</f>
        <v>2.708333333</v>
      </c>
      <c r="O452" s="80">
        <f>IFERROR(__xludf.DUMMYFUNCTION("""COMPUTED_VALUE"""),381.0)</f>
        <v>381</v>
      </c>
      <c r="P452" s="80">
        <f>IFERROR(__xludf.DUMMYFUNCTION("""COMPUTED_VALUE"""),0.9166666666666666)</f>
        <v>0.9166666667</v>
      </c>
      <c r="Q452" s="80">
        <f>IFERROR(__xludf.DUMMYFUNCTION("""COMPUTED_VALUE"""),0.6805555555555555)</f>
        <v>0.6805555556</v>
      </c>
      <c r="R452" s="80">
        <f>IFERROR(__xludf.DUMMYFUNCTION("""COMPUTED_VALUE"""),1.3750000000000002)</f>
        <v>1.375</v>
      </c>
      <c r="S452" s="80">
        <f>IFERROR(__xludf.DUMMYFUNCTION("""COMPUTED_VALUE"""),2.569444444444444)</f>
        <v>2.569444444</v>
      </c>
      <c r="T452" s="80">
        <f>IFERROR(__xludf.DUMMYFUNCTION("""COMPUTED_VALUE"""),395.63800072748523)</f>
        <v>395.6380007</v>
      </c>
      <c r="U452" s="80">
        <f>IFERROR(__xludf.DUMMYFUNCTION("""COMPUTED_VALUE"""),0.9114111077629635)</f>
        <v>0.9114111078</v>
      </c>
      <c r="V452" s="80">
        <f>IFERROR(__xludf.DUMMYFUNCTION("""COMPUTED_VALUE"""),0.6762066889504584)</f>
        <v>0.676206689</v>
      </c>
      <c r="W452" s="80">
        <f>IFERROR(__xludf.DUMMYFUNCTION("""COMPUTED_VALUE"""),1.5226048231540925)</f>
        <v>1.522604823</v>
      </c>
      <c r="X452" s="80">
        <f>IFERROR(__xludf.DUMMYFUNCTION("""COMPUTED_VALUE"""),2.8025075850355523)</f>
        <v>2.802507585</v>
      </c>
      <c r="Y452" s="80">
        <f>IFERROR(__xludf.DUMMYFUNCTION("""COMPUTED_VALUE"""),383.3323411309934)</f>
        <v>383.3323411</v>
      </c>
      <c r="Z452" s="80">
        <f>IFERROR(__xludf.DUMMYFUNCTION("""COMPUTED_VALUE"""),0.8607883370479894)</f>
        <v>0.860788337</v>
      </c>
      <c r="AA452" s="80">
        <f>IFERROR(__xludf.DUMMYFUNCTION("""COMPUTED_VALUE"""),0.6655305850125569)</f>
        <v>0.665530585</v>
      </c>
      <c r="AB452" s="80">
        <f>IFERROR(__xludf.DUMMYFUNCTION("""COMPUTED_VALUE"""),1.4652901807565764)</f>
        <v>1.465290181</v>
      </c>
      <c r="AC452" s="80">
        <f>IFERROR(__xludf.DUMMYFUNCTION("""COMPUTED_VALUE"""),2.8416538839247245)</f>
        <v>2.841653884</v>
      </c>
      <c r="AD452" s="80">
        <f>IFERROR(__xludf.DUMMYFUNCTION("""COMPUTED_VALUE"""),1.1542421180219051)</f>
        <v>1.154242118</v>
      </c>
      <c r="AE452" s="80">
        <f>IFERROR(__xludf.DUMMYFUNCTION("""COMPUTED_VALUE"""),1.645778184594161)</f>
        <v>1.645778185</v>
      </c>
      <c r="AF452" s="80">
        <f>IFERROR(__xludf.DUMMYFUNCTION("""COMPUTED_VALUE"""),1.314740478806832)</f>
        <v>1.314740479</v>
      </c>
      <c r="AG452" s="80">
        <f>IFERROR(__xludf.DUMMYFUNCTION("""COMPUTED_VALUE"""),0.8815091260624826)</f>
        <v>0.8815091261</v>
      </c>
      <c r="AH452" s="80">
        <f>IFERROR(__xludf.DUMMYFUNCTION("""COMPUTED_VALUE"""),0.953083466165395)</f>
        <v>0.9530834662</v>
      </c>
      <c r="AI452" s="80">
        <f>IFERROR(__xludf.DUMMYFUNCTION("""COMPUTED_VALUE"""),0.9630015299324903)</f>
        <v>0.9630015299</v>
      </c>
      <c r="AJ452" s="80">
        <f>IFERROR(__xludf.DUMMYFUNCTION("""COMPUTED_VALUE"""),1.005766397686992)</f>
        <v>1.005766398</v>
      </c>
      <c r="AK452" s="80">
        <f>IFERROR(__xludf.DUMMYFUNCTION("""COMPUTED_VALUE"""),1.0064312682441028)</f>
        <v>1.006431268</v>
      </c>
      <c r="AL452" s="80">
        <f>IFERROR(__xludf.DUMMYFUNCTION("""COMPUTED_VALUE"""),0.9030576936907849)</f>
        <v>0.9030576937</v>
      </c>
      <c r="AM452" s="80">
        <f>IFERROR(__xludf.DUMMYFUNCTION("""COMPUTED_VALUE"""),0.9168376414623864)</f>
        <v>0.9168376415</v>
      </c>
      <c r="AN452" s="80">
        <f>IFERROR(__xludf.DUMMYFUNCTION("""COMPUTED_VALUE"""),1.1800692084183486)</f>
        <v>1.180069208</v>
      </c>
      <c r="AO452" s="80">
        <f>IFERROR(__xludf.DUMMYFUNCTION("""COMPUTED_VALUE"""),1.7161739479488116)</f>
        <v>1.716173948</v>
      </c>
      <c r="AP452" s="80">
        <f>IFERROR(__xludf.DUMMYFUNCTION("""COMPUTED_VALUE"""),1.3485356938823296)</f>
        <v>1.348535694</v>
      </c>
      <c r="AQ452" s="80">
        <f>IFERROR(__xludf.DUMMYFUNCTION("""COMPUTED_VALUE"""),0.8890039644382404)</f>
        <v>0.8890039644</v>
      </c>
      <c r="AR452" s="80">
        <f>IFERROR(__xludf.DUMMYFUNCTION("""COMPUTED_VALUE"""),0.9963526416333179)</f>
        <v>0.9963526416</v>
      </c>
      <c r="AS452" s="80">
        <f>IFERROR(__xludf.DUMMYFUNCTION("""COMPUTED_VALUE"""),81.0)</f>
        <v>81</v>
      </c>
      <c r="AT452" s="80">
        <f>IFERROR(__xludf.DUMMYFUNCTION("""COMPUTED_VALUE"""),0.5852886650299808)</f>
        <v>0.585288665</v>
      </c>
      <c r="AU452" s="80">
        <f>IFERROR(__xludf.DUMMYFUNCTION("""COMPUTED_VALUE"""),4.598316095667117)</f>
        <v>4.598316096</v>
      </c>
      <c r="AV452" s="80">
        <f>IFERROR(__xludf.DUMMYFUNCTION("""COMPUTED_VALUE"""),90.79517549453504)</f>
        <v>90.79517549</v>
      </c>
      <c r="AW452" s="82">
        <f t="shared" si="1"/>
        <v>19.4703773</v>
      </c>
      <c r="AX452" s="83">
        <f t="array" ref="AX452">IFERROR(DGET('SBV Import'!A:G,"SBV",{"RSC ID","Tier";B452,A452}))</f>
        <v>70.093154</v>
      </c>
      <c r="AY452" s="82">
        <f t="shared" si="2"/>
        <v>4.744337805</v>
      </c>
      <c r="AZ452" s="82">
        <v>14.72603949257912</v>
      </c>
      <c r="BA452" s="84">
        <v>450.0</v>
      </c>
      <c r="BB452" s="84" t="b">
        <f>IFERROR(__xludf.DUMMYFUNCTION("iferror(if(A452="""",,E452&gt;=FILTER(Constants!$F$2:$F$10,Constants!$A$2:$A$10=A452)))"),TRUE)</f>
        <v>1</v>
      </c>
    </row>
    <row r="453">
      <c r="A453" s="80" t="str">
        <f>IFERROR(__xludf.DUMMYFUNCTION("""COMPUTED_VALUE"""),"Master")</f>
        <v>Master</v>
      </c>
      <c r="B453" s="80" t="str">
        <f>IFERROR(__xludf.DUMMYFUNCTION("""COMPUTED_VALUE"""),"RSC006889")</f>
        <v>RSC006889</v>
      </c>
      <c r="C453" s="80" t="str">
        <f>IFERROR(__xludf.DUMMYFUNCTION("""COMPUTED_VALUE"""),"Jay")</f>
        <v>Jay</v>
      </c>
      <c r="D453" s="80" t="str">
        <f>IFERROR(__xludf.DUMMYFUNCTION("""COMPUTED_VALUE"""),"Basilisks")</f>
        <v>Basilisks</v>
      </c>
      <c r="E453" s="80">
        <f>IFERROR(__xludf.DUMMYFUNCTION("""COMPUTED_VALUE"""),47.0)</f>
        <v>47</v>
      </c>
      <c r="F453" s="80">
        <f>IFERROR(__xludf.DUMMYFUNCTION("""COMPUTED_VALUE"""),27.0)</f>
        <v>27</v>
      </c>
      <c r="G453" s="80">
        <f>IFERROR(__xludf.DUMMYFUNCTION("""COMPUTED_VALUE"""),20.0)</f>
        <v>20</v>
      </c>
      <c r="H453" s="81">
        <f>IFERROR(__xludf.DUMMYFUNCTION("""COMPUTED_VALUE"""),0.574468085106383)</f>
        <v>0.5744680851</v>
      </c>
      <c r="I453" s="81">
        <f>IFERROR(__xludf.DUMMYFUNCTION("""COMPUTED_VALUE"""),0.38461538461538464)</f>
        <v>0.3846153846</v>
      </c>
      <c r="J453" s="80">
        <f>IFERROR(__xludf.DUMMYFUNCTION("""COMPUTED_VALUE"""),502.4255319148936)</f>
        <v>502.4255319</v>
      </c>
      <c r="K453" s="80">
        <f>IFERROR(__xludf.DUMMYFUNCTION("""COMPUTED_VALUE"""),1.3829787234042554)</f>
        <v>1.382978723</v>
      </c>
      <c r="L453" s="80">
        <f>IFERROR(__xludf.DUMMYFUNCTION("""COMPUTED_VALUE"""),0.6382978723404256)</f>
        <v>0.6382978723</v>
      </c>
      <c r="M453" s="80">
        <f>IFERROR(__xludf.DUMMYFUNCTION("""COMPUTED_VALUE"""),2.234042553191489)</f>
        <v>2.234042553</v>
      </c>
      <c r="N453" s="80">
        <f>IFERROR(__xludf.DUMMYFUNCTION("""COMPUTED_VALUE"""),3.595744680851064)</f>
        <v>3.595744681</v>
      </c>
      <c r="O453" s="80">
        <f>IFERROR(__xludf.DUMMYFUNCTION("""COMPUTED_VALUE"""),366.03546099290764)</f>
        <v>366.035461</v>
      </c>
      <c r="P453" s="80">
        <f>IFERROR(__xludf.DUMMYFUNCTION("""COMPUTED_VALUE"""),0.7730496453900709)</f>
        <v>0.7730496454</v>
      </c>
      <c r="Q453" s="80">
        <f>IFERROR(__xludf.DUMMYFUNCTION("""COMPUTED_VALUE"""),0.6524822695035462)</f>
        <v>0.6524822695</v>
      </c>
      <c r="R453" s="80">
        <f>IFERROR(__xludf.DUMMYFUNCTION("""COMPUTED_VALUE"""),1.3758865248226948)</f>
        <v>1.375886525</v>
      </c>
      <c r="S453" s="80">
        <f>IFERROR(__xludf.DUMMYFUNCTION("""COMPUTED_VALUE"""),3.0567375886524815)</f>
        <v>3.056737589</v>
      </c>
      <c r="T453" s="80">
        <f>IFERROR(__xludf.DUMMYFUNCTION("""COMPUTED_VALUE"""),386.11101078658436)</f>
        <v>386.1110108</v>
      </c>
      <c r="U453" s="80">
        <f>IFERROR(__xludf.DUMMYFUNCTION("""COMPUTED_VALUE"""),0.8659744023707661)</f>
        <v>0.8659744024</v>
      </c>
      <c r="V453" s="80">
        <f>IFERROR(__xludf.DUMMYFUNCTION("""COMPUTED_VALUE"""),0.6729662755871695)</f>
        <v>0.6729662756</v>
      </c>
      <c r="W453" s="80">
        <f>IFERROR(__xludf.DUMMYFUNCTION("""COMPUTED_VALUE"""),1.4941381374905987)</f>
        <v>1.494138137</v>
      </c>
      <c r="X453" s="80">
        <f>IFERROR(__xludf.DUMMYFUNCTION("""COMPUTED_VALUE"""),2.856100867509512)</f>
        <v>2.856100868</v>
      </c>
      <c r="Y453" s="80">
        <f>IFERROR(__xludf.DUMMYFUNCTION("""COMPUTED_VALUE"""),390.76567506428626)</f>
        <v>390.7656751</v>
      </c>
      <c r="Z453" s="80">
        <f>IFERROR(__xludf.DUMMYFUNCTION("""COMPUTED_VALUE"""),0.8879418446633229)</f>
        <v>0.8879418447</v>
      </c>
      <c r="AA453" s="80">
        <f>IFERROR(__xludf.DUMMYFUNCTION("""COMPUTED_VALUE"""),0.6742195432986362)</f>
        <v>0.6742195433</v>
      </c>
      <c r="AB453" s="80">
        <f>IFERROR(__xludf.DUMMYFUNCTION("""COMPUTED_VALUE"""),1.517611660343957)</f>
        <v>1.51761166</v>
      </c>
      <c r="AC453" s="80">
        <f>IFERROR(__xludf.DUMMYFUNCTION("""COMPUTED_VALUE"""),2.847490850309917)</f>
        <v>2.84749085</v>
      </c>
      <c r="AD453" s="80">
        <f>IFERROR(__xludf.DUMMYFUNCTION("""COMPUTED_VALUE"""),1.2857463282368335)</f>
        <v>1.285746328</v>
      </c>
      <c r="AE453" s="80">
        <f>IFERROR(__xludf.DUMMYFUNCTION("""COMPUTED_VALUE"""),1.557510474043076)</f>
        <v>1.557510474</v>
      </c>
      <c r="AF453" s="80">
        <f>IFERROR(__xludf.DUMMYFUNCTION("""COMPUTED_VALUE"""),0.9467211069224382)</f>
        <v>0.9467211069</v>
      </c>
      <c r="AG453" s="80">
        <f>IFERROR(__xludf.DUMMYFUNCTION("""COMPUTED_VALUE"""),1.4720778783981916)</f>
        <v>1.472077878</v>
      </c>
      <c r="AH453" s="80">
        <f>IFERROR(__xludf.DUMMYFUNCTION("""COMPUTED_VALUE"""),1.2627765530694182)</f>
        <v>1.262776553</v>
      </c>
      <c r="AI453" s="80">
        <f>IFERROR(__xludf.DUMMYFUNCTION("""COMPUTED_VALUE"""),0.948005756808699)</f>
        <v>0.9480057568</v>
      </c>
      <c r="AJ453" s="80">
        <f>IFERROR(__xludf.DUMMYFUNCTION("""COMPUTED_VALUE"""),0.8926934136548421)</f>
        <v>0.8926934137</v>
      </c>
      <c r="AK453" s="80">
        <f>IFERROR(__xludf.DUMMYFUNCTION("""COMPUTED_VALUE"""),0.9695616157499857)</f>
        <v>0.9695616157</v>
      </c>
      <c r="AL453" s="80">
        <f>IFERROR(__xludf.DUMMYFUNCTION("""COMPUTED_VALUE"""),0.9208563052499904)</f>
        <v>0.9208563052</v>
      </c>
      <c r="AM453" s="80">
        <f>IFERROR(__xludf.DUMMYFUNCTION("""COMPUTED_VALUE"""),1.0702484717628067)</f>
        <v>1.070248472</v>
      </c>
      <c r="AN453" s="80">
        <f>IFERROR(__xludf.DUMMYFUNCTION("""COMPUTED_VALUE"""),1.3400061770094576)</f>
        <v>1.340006177</v>
      </c>
      <c r="AO453" s="80">
        <f>IFERROR(__xludf.DUMMYFUNCTION("""COMPUTED_VALUE"""),1.6753638040050978)</f>
        <v>1.675363804</v>
      </c>
      <c r="AP453" s="80">
        <f>IFERROR(__xludf.DUMMYFUNCTION("""COMPUTED_VALUE"""),0.9837342447773834)</f>
        <v>0.9837342448</v>
      </c>
      <c r="AQ453" s="80">
        <f>IFERROR(__xludf.DUMMYFUNCTION("""COMPUTED_VALUE"""),1.5376046605246159)</f>
        <v>1.537604661</v>
      </c>
      <c r="AR453" s="80">
        <f>IFERROR(__xludf.DUMMYFUNCTION("""COMPUTED_VALUE"""),1.3228171242110434)</f>
        <v>1.322817124</v>
      </c>
      <c r="AS453" s="80">
        <f>IFERROR(__xludf.DUMMYFUNCTION("""COMPUTED_VALUE"""),129.0)</f>
        <v>129</v>
      </c>
      <c r="AT453" s="80">
        <f>IFERROR(__xludf.DUMMYFUNCTION("""COMPUTED_VALUE"""),0.5666866278569404)</f>
        <v>0.5666866279</v>
      </c>
      <c r="AU453" s="80">
        <f>IFERROR(__xludf.DUMMYFUNCTION("""COMPUTED_VALUE"""),4.570533402741207)</f>
        <v>4.570533403</v>
      </c>
      <c r="AV453" s="80">
        <f>IFERROR(__xludf.DUMMYFUNCTION("""COMPUTED_VALUE"""),90.05442313700738)</f>
        <v>90.05442314</v>
      </c>
      <c r="AW453" s="82">
        <f t="shared" si="1"/>
        <v>18.32903515</v>
      </c>
      <c r="AX453" s="83">
        <f t="array" ref="AX453">IFERROR(DGET('SBV Import'!A:G,"SBV",{"RSC ID","Tier";B453,A453}))</f>
        <v>86.03642336</v>
      </c>
      <c r="AY453" s="82">
        <f t="shared" si="2"/>
        <v>13.38189753</v>
      </c>
      <c r="AZ453" s="82">
        <v>4.9471376173869395</v>
      </c>
      <c r="BA453" s="84">
        <v>450.0</v>
      </c>
      <c r="BB453" s="84" t="b">
        <f>IFERROR(__xludf.DUMMYFUNCTION("iferror(if(A453="""",,E453&gt;=FILTER(Constants!$F$2:$F$10,Constants!$A$2:$A$10=A453)))"),TRUE)</f>
        <v>1</v>
      </c>
    </row>
    <row r="454">
      <c r="A454" s="80" t="str">
        <f>IFERROR(__xludf.DUMMYFUNCTION("""COMPUTED_VALUE"""),"Master")</f>
        <v>Master</v>
      </c>
      <c r="B454" s="80" t="str">
        <f>IFERROR(__xludf.DUMMYFUNCTION("""COMPUTED_VALUE"""),"RSC000618")</f>
        <v>RSC000618</v>
      </c>
      <c r="C454" s="80" t="str">
        <f>IFERROR(__xludf.DUMMYFUNCTION("""COMPUTED_VALUE"""),"Taelo")</f>
        <v>Taelo</v>
      </c>
      <c r="D454" s="80" t="str">
        <f>IFERROR(__xludf.DUMMYFUNCTION("""COMPUTED_VALUE"""),"Oblivion")</f>
        <v>Oblivion</v>
      </c>
      <c r="E454" s="80">
        <f>IFERROR(__xludf.DUMMYFUNCTION("""COMPUTED_VALUE"""),48.0)</f>
        <v>48</v>
      </c>
      <c r="F454" s="80">
        <f>IFERROR(__xludf.DUMMYFUNCTION("""COMPUTED_VALUE"""),33.0)</f>
        <v>33</v>
      </c>
      <c r="G454" s="80">
        <f>IFERROR(__xludf.DUMMYFUNCTION("""COMPUTED_VALUE"""),15.0)</f>
        <v>15</v>
      </c>
      <c r="H454" s="81">
        <f>IFERROR(__xludf.DUMMYFUNCTION("""COMPUTED_VALUE"""),0.6875)</f>
        <v>0.6875</v>
      </c>
      <c r="I454" s="81">
        <f>IFERROR(__xludf.DUMMYFUNCTION("""COMPUTED_VALUE"""),0.2928176795580111)</f>
        <v>0.2928176796</v>
      </c>
      <c r="J454" s="80">
        <f>IFERROR(__xludf.DUMMYFUNCTION("""COMPUTED_VALUE"""),412.4375)</f>
        <v>412.4375</v>
      </c>
      <c r="K454" s="80">
        <f>IFERROR(__xludf.DUMMYFUNCTION("""COMPUTED_VALUE"""),1.1041666666666667)</f>
        <v>1.104166667</v>
      </c>
      <c r="L454" s="80">
        <f>IFERROR(__xludf.DUMMYFUNCTION("""COMPUTED_VALUE"""),0.9791666666666666)</f>
        <v>0.9791666667</v>
      </c>
      <c r="M454" s="80">
        <f>IFERROR(__xludf.DUMMYFUNCTION("""COMPUTED_VALUE"""),1.1666666666666667)</f>
        <v>1.166666667</v>
      </c>
      <c r="N454" s="80">
        <f>IFERROR(__xludf.DUMMYFUNCTION("""COMPUTED_VALUE"""),3.7708333333333335)</f>
        <v>3.770833333</v>
      </c>
      <c r="O454" s="80">
        <f>IFERROR(__xludf.DUMMYFUNCTION("""COMPUTED_VALUE"""),356.8680555555555)</f>
        <v>356.8680556</v>
      </c>
      <c r="P454" s="80">
        <f>IFERROR(__xludf.DUMMYFUNCTION("""COMPUTED_VALUE"""),0.7361111111111113)</f>
        <v>0.7361111111</v>
      </c>
      <c r="Q454" s="80">
        <f>IFERROR(__xludf.DUMMYFUNCTION("""COMPUTED_VALUE"""),0.49999999999999994)</f>
        <v>0.5</v>
      </c>
      <c r="R454" s="80">
        <f>IFERROR(__xludf.DUMMYFUNCTION("""COMPUTED_VALUE"""),1.513888888888889)</f>
        <v>1.513888889</v>
      </c>
      <c r="S454" s="80">
        <f>IFERROR(__xludf.DUMMYFUNCTION("""COMPUTED_VALUE"""),2.430555555555555)</f>
        <v>2.430555556</v>
      </c>
      <c r="T454" s="80">
        <f>IFERROR(__xludf.DUMMYFUNCTION("""COMPUTED_VALUE"""),381.1647219636984)</f>
        <v>381.164722</v>
      </c>
      <c r="U454" s="80">
        <f>IFERROR(__xludf.DUMMYFUNCTION("""COMPUTED_VALUE"""),0.8248836483203114)</f>
        <v>0.8248836483</v>
      </c>
      <c r="V454" s="80">
        <f>IFERROR(__xludf.DUMMYFUNCTION("""COMPUTED_VALUE"""),0.6156256550404103)</f>
        <v>0.615625655</v>
      </c>
      <c r="W454" s="80">
        <f>IFERROR(__xludf.DUMMYFUNCTION("""COMPUTED_VALUE"""),1.5334070052880915)</f>
        <v>1.533407005</v>
      </c>
      <c r="X454" s="80">
        <f>IFERROR(__xludf.DUMMYFUNCTION("""COMPUTED_VALUE"""),2.783449870910914)</f>
        <v>2.783449871</v>
      </c>
      <c r="Y454" s="80">
        <f>IFERROR(__xludf.DUMMYFUNCTION("""COMPUTED_VALUE"""),400.1771113275062)</f>
        <v>400.1771113</v>
      </c>
      <c r="Z454" s="80">
        <f>IFERROR(__xludf.DUMMYFUNCTION("""COMPUTED_VALUE"""),0.9636971816305068)</f>
        <v>0.9636971816</v>
      </c>
      <c r="AA454" s="80">
        <f>IFERROR(__xludf.DUMMYFUNCTION("""COMPUTED_VALUE"""),0.7410818793398883)</f>
        <v>0.7410818793</v>
      </c>
      <c r="AB454" s="80">
        <f>IFERROR(__xludf.DUMMYFUNCTION("""COMPUTED_VALUE"""),1.4845925136352907)</f>
        <v>1.484592514</v>
      </c>
      <c r="AC454" s="80">
        <f>IFERROR(__xludf.DUMMYFUNCTION("""COMPUTED_VALUE"""),2.922856240412346)</f>
        <v>2.92285624</v>
      </c>
      <c r="AD454" s="80">
        <f>IFERROR(__xludf.DUMMYFUNCTION("""COMPUTED_VALUE"""),1.0306374061020693)</f>
        <v>1.030637406</v>
      </c>
      <c r="AE454" s="80">
        <f>IFERROR(__xludf.DUMMYFUNCTION("""COMPUTED_VALUE"""),1.1457610209033668)</f>
        <v>1.145761021</v>
      </c>
      <c r="AF454" s="80">
        <f>IFERROR(__xludf.DUMMYFUNCTION("""COMPUTED_VALUE"""),1.3212665077425048)</f>
        <v>1.321266508</v>
      </c>
      <c r="AG454" s="80">
        <f>IFERROR(__xludf.DUMMYFUNCTION("""COMPUTED_VALUE"""),0.7858497573922655)</f>
        <v>0.7858497574</v>
      </c>
      <c r="AH454" s="80">
        <f>IFERROR(__xludf.DUMMYFUNCTION("""COMPUTED_VALUE"""),1.2901193295778919)</f>
        <v>1.29011933</v>
      </c>
      <c r="AI454" s="80">
        <f>IFERROR(__xludf.DUMMYFUNCTION("""COMPUTED_VALUE"""),0.9362567808401301)</f>
        <v>0.9362567808</v>
      </c>
      <c r="AJ454" s="80">
        <f>IFERROR(__xludf.DUMMYFUNCTION("""COMPUTED_VALUE"""),0.8923817469409592)</f>
        <v>0.8923817469</v>
      </c>
      <c r="AK454" s="80">
        <f>IFERROR(__xludf.DUMMYFUNCTION("""COMPUTED_VALUE"""),0.8121818769349036)</f>
        <v>0.8121818769</v>
      </c>
      <c r="AL454" s="80">
        <f>IFERROR(__xludf.DUMMYFUNCTION("""COMPUTED_VALUE"""),0.9872714052225584)</f>
        <v>0.9872714052</v>
      </c>
      <c r="AM454" s="80">
        <f>IFERROR(__xludf.DUMMYFUNCTION("""COMPUTED_VALUE"""),0.8732169316058598)</f>
        <v>0.8732169316</v>
      </c>
      <c r="AN454" s="80">
        <f>IFERROR(__xludf.DUMMYFUNCTION("""COMPUTED_VALUE"""),1.1000014181682853)</f>
        <v>1.100001418</v>
      </c>
      <c r="AO454" s="80">
        <f>IFERROR(__xludf.DUMMYFUNCTION("""COMPUTED_VALUE"""),1.3376061653130442)</f>
        <v>1.337606165</v>
      </c>
      <c r="AP454" s="80">
        <f>IFERROR(__xludf.DUMMYFUNCTION("""COMPUTED_VALUE"""),1.5090756574397497)</f>
        <v>1.509075657</v>
      </c>
      <c r="AQ454" s="80">
        <f>IFERROR(__xludf.DUMMYFUNCTION("""COMPUTED_VALUE"""),0.8029713227184107)</f>
        <v>0.8029713227</v>
      </c>
      <c r="AR454" s="80">
        <f>IFERROR(__xludf.DUMMYFUNCTION("""COMPUTED_VALUE"""),1.387229447197158)</f>
        <v>1.387229447</v>
      </c>
      <c r="AS454" s="80">
        <f>IFERROR(__xludf.DUMMYFUNCTION("""COMPUTED_VALUE"""),156.0)</f>
        <v>156</v>
      </c>
      <c r="AT454" s="80">
        <f>IFERROR(__xludf.DUMMYFUNCTION("""COMPUTED_VALUE"""),0.6522435354928744)</f>
        <v>0.6522435355</v>
      </c>
      <c r="AU454" s="80">
        <f>IFERROR(__xludf.DUMMYFUNCTION("""COMPUTED_VALUE"""),4.434004119390845)</f>
        <v>4.434004119</v>
      </c>
      <c r="AV454" s="80">
        <f>IFERROR(__xludf.DUMMYFUNCTION("""COMPUTED_VALUE"""),86.41422926584288)</f>
        <v>86.41422927</v>
      </c>
      <c r="AW454" s="82">
        <f t="shared" si="1"/>
        <v>13.77075276</v>
      </c>
      <c r="AX454" s="83">
        <f t="array" ref="AX454">IFERROR(DGET('SBV Import'!A:G,"SBV",{"RSC ID","Tier";B454,A454}))</f>
        <v>81.89465641</v>
      </c>
      <c r="AY454" s="82">
        <f t="shared" si="2"/>
        <v>9.899466598</v>
      </c>
      <c r="AZ454" s="82">
        <v>3.871286165341436</v>
      </c>
      <c r="BA454" s="84">
        <v>450.0</v>
      </c>
      <c r="BB454" s="84" t="b">
        <f>IFERROR(__xludf.DUMMYFUNCTION("iferror(if(A454="""",,E454&gt;=FILTER(Constants!$F$2:$F$10,Constants!$A$2:$A$10=A454)))"),TRUE)</f>
        <v>1</v>
      </c>
    </row>
    <row r="455">
      <c r="A455" s="80" t="str">
        <f>IFERROR(__xludf.DUMMYFUNCTION("""COMPUTED_VALUE"""),"Master")</f>
        <v>Master</v>
      </c>
      <c r="B455" s="80" t="str">
        <f>IFERROR(__xludf.DUMMYFUNCTION("""COMPUTED_VALUE"""),"RSC007976")</f>
        <v>RSC007976</v>
      </c>
      <c r="C455" s="80" t="str">
        <f>IFERROR(__xludf.DUMMYFUNCTION("""COMPUTED_VALUE"""),"Just Kraze")</f>
        <v>Just Kraze</v>
      </c>
      <c r="D455" s="80" t="str">
        <f>IFERROR(__xludf.DUMMYFUNCTION("""COMPUTED_VALUE"""),"Battle Masters")</f>
        <v>Battle Masters</v>
      </c>
      <c r="E455" s="80">
        <f>IFERROR(__xludf.DUMMYFUNCTION("""COMPUTED_VALUE"""),45.0)</f>
        <v>45</v>
      </c>
      <c r="F455" s="80">
        <f>IFERROR(__xludf.DUMMYFUNCTION("""COMPUTED_VALUE"""),32.0)</f>
        <v>32</v>
      </c>
      <c r="G455" s="80">
        <f>IFERROR(__xludf.DUMMYFUNCTION("""COMPUTED_VALUE"""),13.0)</f>
        <v>13</v>
      </c>
      <c r="H455" s="81">
        <f>IFERROR(__xludf.DUMMYFUNCTION("""COMPUTED_VALUE"""),0.7111111111111111)</f>
        <v>0.7111111111</v>
      </c>
      <c r="I455" s="81">
        <f>IFERROR(__xludf.DUMMYFUNCTION("""COMPUTED_VALUE"""),0.35172413793103446)</f>
        <v>0.3517241379</v>
      </c>
      <c r="J455" s="80">
        <f>IFERROR(__xludf.DUMMYFUNCTION("""COMPUTED_VALUE"""),419.46666666666664)</f>
        <v>419.4666667</v>
      </c>
      <c r="K455" s="80">
        <f>IFERROR(__xludf.DUMMYFUNCTION("""COMPUTED_VALUE"""),1.1333333333333333)</f>
        <v>1.133333333</v>
      </c>
      <c r="L455" s="80">
        <f>IFERROR(__xludf.DUMMYFUNCTION("""COMPUTED_VALUE"""),0.9777777777777777)</f>
        <v>0.9777777778</v>
      </c>
      <c r="M455" s="80">
        <f>IFERROR(__xludf.DUMMYFUNCTION("""COMPUTED_VALUE"""),1.0888888888888888)</f>
        <v>1.088888889</v>
      </c>
      <c r="N455" s="80">
        <f>IFERROR(__xludf.DUMMYFUNCTION("""COMPUTED_VALUE"""),3.2222222222222223)</f>
        <v>3.222222222</v>
      </c>
      <c r="O455" s="80">
        <f>IFERROR(__xludf.DUMMYFUNCTION("""COMPUTED_VALUE"""),352.8592592592593)</f>
        <v>352.8592593</v>
      </c>
      <c r="P455" s="80">
        <f>IFERROR(__xludf.DUMMYFUNCTION("""COMPUTED_VALUE"""),0.6296296296296295)</f>
        <v>0.6296296296</v>
      </c>
      <c r="Q455" s="80">
        <f>IFERROR(__xludf.DUMMYFUNCTION("""COMPUTED_VALUE"""),0.5111111111111111)</f>
        <v>0.5111111111</v>
      </c>
      <c r="R455" s="80">
        <f>IFERROR(__xludf.DUMMYFUNCTION("""COMPUTED_VALUE"""),1.5925925925925923)</f>
        <v>1.592592593</v>
      </c>
      <c r="S455" s="80">
        <f>IFERROR(__xludf.DUMMYFUNCTION("""COMPUTED_VALUE"""),2.3851851851851853)</f>
        <v>2.385185185</v>
      </c>
      <c r="T455" s="80">
        <f>IFERROR(__xludf.DUMMYFUNCTION("""COMPUTED_VALUE"""),375.23466118907777)</f>
        <v>375.2346612</v>
      </c>
      <c r="U455" s="80">
        <f>IFERROR(__xludf.DUMMYFUNCTION("""COMPUTED_VALUE"""),0.8045496243198179)</f>
        <v>0.8045496243</v>
      </c>
      <c r="V455" s="80">
        <f>IFERROR(__xludf.DUMMYFUNCTION("""COMPUTED_VALUE"""),0.6276714440580891)</f>
        <v>0.6276714441</v>
      </c>
      <c r="W455" s="80">
        <f>IFERROR(__xludf.DUMMYFUNCTION("""COMPUTED_VALUE"""),1.5136711888008276)</f>
        <v>1.513671189</v>
      </c>
      <c r="X455" s="80">
        <f>IFERROR(__xludf.DUMMYFUNCTION("""COMPUTED_VALUE"""),2.718484058733848)</f>
        <v>2.718484059</v>
      </c>
      <c r="Y455" s="80">
        <f>IFERROR(__xludf.DUMMYFUNCTION("""COMPUTED_VALUE"""),395.36112554391576)</f>
        <v>395.3611255</v>
      </c>
      <c r="Z455" s="80">
        <f>IFERROR(__xludf.DUMMYFUNCTION("""COMPUTED_VALUE"""),0.9418788584408637)</f>
        <v>0.9418788584</v>
      </c>
      <c r="AA455" s="80">
        <f>IFERROR(__xludf.DUMMYFUNCTION("""COMPUTED_VALUE"""),0.7209860778655095)</f>
        <v>0.7209860779</v>
      </c>
      <c r="AB455" s="80">
        <f>IFERROR(__xludf.DUMMYFUNCTION("""COMPUTED_VALUE"""),1.4788313663818031)</f>
        <v>1.478831366</v>
      </c>
      <c r="AC455" s="80">
        <f>IFERROR(__xludf.DUMMYFUNCTION("""COMPUTED_VALUE"""),2.8810356202539658)</f>
        <v>2.88103562</v>
      </c>
      <c r="AD455" s="80">
        <f>IFERROR(__xludf.DUMMYFUNCTION("""COMPUTED_VALUE"""),1.060970944195861)</f>
        <v>1.060970944</v>
      </c>
      <c r="AE455" s="80">
        <f>IFERROR(__xludf.DUMMYFUNCTION("""COMPUTED_VALUE"""),1.203268682778795)</f>
        <v>1.203268683</v>
      </c>
      <c r="AF455" s="80">
        <f>IFERROR(__xludf.DUMMYFUNCTION("""COMPUTED_VALUE"""),1.356167348851595)</f>
        <v>1.356167349</v>
      </c>
      <c r="AG455" s="80">
        <f>IFERROR(__xludf.DUMMYFUNCTION("""COMPUTED_VALUE"""),0.7363171444983813)</f>
        <v>0.7363171445</v>
      </c>
      <c r="AH455" s="80">
        <f>IFERROR(__xludf.DUMMYFUNCTION("""COMPUTED_VALUE"""),1.1184249856439403)</f>
        <v>1.118424986</v>
      </c>
      <c r="AI455" s="80">
        <f>IFERROR(__xludf.DUMMYFUNCTION("""COMPUTED_VALUE"""),0.9403695760436596)</f>
        <v>0.940369576</v>
      </c>
      <c r="AJ455" s="80">
        <f>IFERROR(__xludf.DUMMYFUNCTION("""COMPUTED_VALUE"""),0.78258644413877)</f>
        <v>0.7825864441</v>
      </c>
      <c r="AK455" s="80">
        <f>IFERROR(__xludf.DUMMYFUNCTION("""COMPUTED_VALUE"""),0.8142972186318059)</f>
        <v>0.8142972186</v>
      </c>
      <c r="AL455" s="80">
        <f>IFERROR(__xludf.DUMMYFUNCTION("""COMPUTED_VALUE"""),1.0521390671736894)</f>
        <v>1.052139067</v>
      </c>
      <c r="AM455" s="80">
        <f>IFERROR(__xludf.DUMMYFUNCTION("""COMPUTED_VALUE"""),0.8773953179979658)</f>
        <v>0.877395318</v>
      </c>
      <c r="AN455" s="80">
        <f>IFERROR(__xludf.DUMMYFUNCTION("""COMPUTED_VALUE"""),1.118748727280271)</f>
        <v>1.118748727</v>
      </c>
      <c r="AO455" s="80">
        <f>IFERROR(__xludf.DUMMYFUNCTION("""COMPUTED_VALUE"""),1.3729391583590491)</f>
        <v>1.372939158</v>
      </c>
      <c r="AP455" s="80">
        <f>IFERROR(__xludf.DUMMYFUNCTION("""COMPUTED_VALUE"""),1.5069351245923175)</f>
        <v>1.506935125</v>
      </c>
      <c r="AQ455" s="80">
        <f>IFERROR(__xludf.DUMMYFUNCTION("""COMPUTED_VALUE"""),0.7494399012038498)</f>
        <v>0.7494399012</v>
      </c>
      <c r="AR455" s="80">
        <f>IFERROR(__xludf.DUMMYFUNCTION("""COMPUTED_VALUE"""),1.185404168507332)</f>
        <v>1.185404169</v>
      </c>
      <c r="AS455" s="80">
        <f>IFERROR(__xludf.DUMMYFUNCTION("""COMPUTED_VALUE"""),160.0)</f>
        <v>160</v>
      </c>
      <c r="AT455" s="80">
        <f>IFERROR(__xludf.DUMMYFUNCTION("""COMPUTED_VALUE"""),0.7366665219902284)</f>
        <v>0.736666522</v>
      </c>
      <c r="AU455" s="80">
        <f>IFERROR(__xludf.DUMMYFUNCTION("""COMPUTED_VALUE"""),4.414991101062978)</f>
        <v>4.414991101</v>
      </c>
      <c r="AV455" s="80">
        <f>IFERROR(__xludf.DUMMYFUNCTION("""COMPUTED_VALUE"""),85.90729719170442)</f>
        <v>85.90729719</v>
      </c>
      <c r="AW455" s="82">
        <f t="shared" si="1"/>
        <v>13.25211541</v>
      </c>
      <c r="AX455" s="83">
        <f t="array" ref="AX455">IFERROR(DGET('SBV Import'!A:G,"SBV",{"RSC ID","Tier";B455,A455}))</f>
        <v>72.47788555</v>
      </c>
      <c r="AY455" s="82">
        <f t="shared" si="2"/>
        <v>5.426065746</v>
      </c>
      <c r="AZ455" s="82">
        <v>7.8260496609411305</v>
      </c>
      <c r="BA455" s="84">
        <v>450.0</v>
      </c>
      <c r="BB455" s="84" t="b">
        <f>IFERROR(__xludf.DUMMYFUNCTION("iferror(if(A455="""",,E455&gt;=FILTER(Constants!$F$2:$F$10,Constants!$A$2:$A$10=A455)))"),TRUE)</f>
        <v>1</v>
      </c>
    </row>
    <row r="456">
      <c r="A456" s="80" t="str">
        <f>IFERROR(__xludf.DUMMYFUNCTION("""COMPUTED_VALUE"""),"Master")</f>
        <v>Master</v>
      </c>
      <c r="B456" s="80" t="str">
        <f>IFERROR(__xludf.DUMMYFUNCTION("""COMPUTED_VALUE"""),"RSC004717")</f>
        <v>RSC004717</v>
      </c>
      <c r="C456" s="80" t="str">
        <f>IFERROR(__xludf.DUMMYFUNCTION("""COMPUTED_VALUE"""),"slain.")</f>
        <v>slain.</v>
      </c>
      <c r="D456" s="80" t="str">
        <f>IFERROR(__xludf.DUMMYFUNCTION("""COMPUTED_VALUE"""),"Battle Masters")</f>
        <v>Battle Masters</v>
      </c>
      <c r="E456" s="80">
        <f>IFERROR(__xludf.DUMMYFUNCTION("""COMPUTED_VALUE"""),48.0)</f>
        <v>48</v>
      </c>
      <c r="F456" s="80">
        <f>IFERROR(__xludf.DUMMYFUNCTION("""COMPUTED_VALUE"""),35.0)</f>
        <v>35</v>
      </c>
      <c r="G456" s="80">
        <f>IFERROR(__xludf.DUMMYFUNCTION("""COMPUTED_VALUE"""),13.0)</f>
        <v>13</v>
      </c>
      <c r="H456" s="81">
        <f>IFERROR(__xludf.DUMMYFUNCTION("""COMPUTED_VALUE"""),0.7291666666666666)</f>
        <v>0.7291666667</v>
      </c>
      <c r="I456" s="81">
        <f>IFERROR(__xludf.DUMMYFUNCTION("""COMPUTED_VALUE"""),0.4013605442176871)</f>
        <v>0.4013605442</v>
      </c>
      <c r="J456" s="80">
        <f>IFERROR(__xludf.DUMMYFUNCTION("""COMPUTED_VALUE"""),440.1666666666667)</f>
        <v>440.1666667</v>
      </c>
      <c r="K456" s="80">
        <f>IFERROR(__xludf.DUMMYFUNCTION("""COMPUTED_VALUE"""),1.2291666666666667)</f>
        <v>1.229166667</v>
      </c>
      <c r="L456" s="80">
        <f>IFERROR(__xludf.DUMMYFUNCTION("""COMPUTED_VALUE"""),0.8333333333333334)</f>
        <v>0.8333333333</v>
      </c>
      <c r="M456" s="80">
        <f>IFERROR(__xludf.DUMMYFUNCTION("""COMPUTED_VALUE"""),1.7291666666666667)</f>
        <v>1.729166667</v>
      </c>
      <c r="N456" s="80">
        <f>IFERROR(__xludf.DUMMYFUNCTION("""COMPUTED_VALUE"""),3.0625)</f>
        <v>3.0625</v>
      </c>
      <c r="O456" s="80">
        <f>IFERROR(__xludf.DUMMYFUNCTION("""COMPUTED_VALUE"""),350.4305555555556)</f>
        <v>350.4305556</v>
      </c>
      <c r="P456" s="80">
        <f>IFERROR(__xludf.DUMMYFUNCTION("""COMPUTED_VALUE"""),0.6458333333333333)</f>
        <v>0.6458333333</v>
      </c>
      <c r="Q456" s="80">
        <f>IFERROR(__xludf.DUMMYFUNCTION("""COMPUTED_VALUE"""),0.5208333333333334)</f>
        <v>0.5208333333</v>
      </c>
      <c r="R456" s="80">
        <f>IFERROR(__xludf.DUMMYFUNCTION("""COMPUTED_VALUE"""),1.5416666666666663)</f>
        <v>1.541666667</v>
      </c>
      <c r="S456" s="80">
        <f>IFERROR(__xludf.DUMMYFUNCTION("""COMPUTED_VALUE"""),2.3958333333333335)</f>
        <v>2.395833333</v>
      </c>
      <c r="T456" s="80">
        <f>IFERROR(__xludf.DUMMYFUNCTION("""COMPUTED_VALUE"""),374.0672674019297)</f>
        <v>374.0672674</v>
      </c>
      <c r="U456" s="80">
        <f>IFERROR(__xludf.DUMMYFUNCTION("""COMPUTED_VALUE"""),0.8018739383590763)</f>
        <v>0.8018739384</v>
      </c>
      <c r="V456" s="80">
        <f>IFERROR(__xludf.DUMMYFUNCTION("""COMPUTED_VALUE"""),0.6297657675150606)</f>
        <v>0.6297657675</v>
      </c>
      <c r="W456" s="80">
        <f>IFERROR(__xludf.DUMMYFUNCTION("""COMPUTED_VALUE"""),1.5062830613750642)</f>
        <v>1.506283061</v>
      </c>
      <c r="X456" s="80">
        <f>IFERROR(__xludf.DUMMYFUNCTION("""COMPUTED_VALUE"""),2.6980760237508874)</f>
        <v>2.698076024</v>
      </c>
      <c r="Y456" s="80">
        <f>IFERROR(__xludf.DUMMYFUNCTION("""COMPUTED_VALUE"""),395.5867974467921)</f>
        <v>395.5867974</v>
      </c>
      <c r="Z456" s="80">
        <f>IFERROR(__xludf.DUMMYFUNCTION("""COMPUTED_VALUE"""),0.9462834737892627)</f>
        <v>0.9462834738</v>
      </c>
      <c r="AA456" s="80">
        <f>IFERROR(__xludf.DUMMYFUNCTION("""COMPUTED_VALUE"""),0.7239009853618948)</f>
        <v>0.7239009854</v>
      </c>
      <c r="AB456" s="80">
        <f>IFERROR(__xludf.DUMMYFUNCTION("""COMPUTED_VALUE"""),1.467927612054637)</f>
        <v>1.467927612</v>
      </c>
      <c r="AC456" s="80">
        <f>IFERROR(__xludf.DUMMYFUNCTION("""COMPUTED_VALUE"""),2.892971848254014)</f>
        <v>2.892971848</v>
      </c>
      <c r="AD456" s="80">
        <f>IFERROR(__xludf.DUMMYFUNCTION("""COMPUTED_VALUE"""),1.112693015812467)</f>
        <v>1.112693016</v>
      </c>
      <c r="AE456" s="80">
        <f>IFERROR(__xludf.DUMMYFUNCTION("""COMPUTED_VALUE"""),1.2989412799788598)</f>
        <v>1.29894128</v>
      </c>
      <c r="AF456" s="80">
        <f>IFERROR(__xludf.DUMMYFUNCTION("""COMPUTED_VALUE"""),1.151170326031164)</f>
        <v>1.151170326</v>
      </c>
      <c r="AG456" s="80">
        <f>IFERROR(__xludf.DUMMYFUNCTION("""COMPUTED_VALUE"""),1.1779645348086185)</f>
        <v>1.177964535</v>
      </c>
      <c r="AH456" s="80">
        <f>IFERROR(__xludf.DUMMYFUNCTION("""COMPUTED_VALUE"""),1.0586000004971707)</f>
        <v>1.0586</v>
      </c>
      <c r="AI456" s="80">
        <f>IFERROR(__xludf.DUMMYFUNCTION("""COMPUTED_VALUE"""),0.936811600730152)</f>
        <v>0.9368116007</v>
      </c>
      <c r="AJ456" s="80">
        <f>IFERROR(__xludf.DUMMYFUNCTION("""COMPUTED_VALUE"""),0.8054050673537807)</f>
        <v>0.8054050674</v>
      </c>
      <c r="AK456" s="80">
        <f>IFERROR(__xludf.DUMMYFUNCTION("""COMPUTED_VALUE"""),0.8270270633928635)</f>
        <v>0.8270270634</v>
      </c>
      <c r="AL456" s="80">
        <f>IFERROR(__xludf.DUMMYFUNCTION("""COMPUTED_VALUE"""),1.0234906746274508)</f>
        <v>1.023490675</v>
      </c>
      <c r="AM456" s="80">
        <f>IFERROR(__xludf.DUMMYFUNCTION("""COMPUTED_VALUE"""),0.8879784380584749)</f>
        <v>0.8879784381</v>
      </c>
      <c r="AN456" s="80">
        <f>IFERROR(__xludf.DUMMYFUNCTION("""COMPUTED_VALUE"""),1.173957163361092)</f>
        <v>1.173957163</v>
      </c>
      <c r="AO456" s="80">
        <f>IFERROR(__xludf.DUMMYFUNCTION("""COMPUTED_VALUE"""),1.4890332783673512)</f>
        <v>1.489033278</v>
      </c>
      <c r="AP456" s="80">
        <f>IFERROR(__xludf.DUMMYFUNCTION("""COMPUTED_VALUE"""),1.2843197084593616)</f>
        <v>1.284319708</v>
      </c>
      <c r="AQ456" s="80">
        <f>IFERROR(__xludf.DUMMYFUNCTION("""COMPUTED_VALUE"""),1.1901182104576444)</f>
        <v>1.19011821</v>
      </c>
      <c r="AR456" s="80">
        <f>IFERROR(__xludf.DUMMYFUNCTION("""COMPUTED_VALUE"""),1.126644910154598)</f>
        <v>1.12664491</v>
      </c>
      <c r="AS456" s="80">
        <f>IFERROR(__xludf.DUMMYFUNCTION("""COMPUTED_VALUE"""),175.0)</f>
        <v>175</v>
      </c>
      <c r="AT456" s="80">
        <f>IFERROR(__xludf.DUMMYFUNCTION("""COMPUTED_VALUE"""),0.7380054858644726)</f>
        <v>0.7380054859</v>
      </c>
      <c r="AU456" s="80">
        <f>IFERROR(__xludf.DUMMYFUNCTION("""COMPUTED_VALUE"""),4.323189111733667)</f>
        <v>4.323189112</v>
      </c>
      <c r="AV456" s="80">
        <f>IFERROR(__xludf.DUMMYFUNCTION("""COMPUTED_VALUE"""),83.45963885265272)</f>
        <v>83.45963885</v>
      </c>
      <c r="AW456" s="82">
        <f t="shared" si="1"/>
        <v>11.06373463</v>
      </c>
      <c r="AX456" s="83">
        <f t="array" ref="AX456">IFERROR(DGET('SBV Import'!A:G,"SBV",{"RSC ID","Tier";B456,A456}))</f>
        <v>70.7521729</v>
      </c>
      <c r="AY456" s="82">
        <f t="shared" si="2"/>
        <v>4.920174545</v>
      </c>
      <c r="AZ456" s="82">
        <v>6.143560085027609</v>
      </c>
      <c r="BA456" s="84">
        <v>450.0</v>
      </c>
      <c r="BB456" s="84" t="b">
        <f>IFERROR(__xludf.DUMMYFUNCTION("iferror(if(A456="""",,E456&gt;=FILTER(Constants!$F$2:$F$10,Constants!$A$2:$A$10=A456)))"),TRUE)</f>
        <v>1</v>
      </c>
    </row>
    <row r="457">
      <c r="A457" s="80" t="str">
        <f>IFERROR(__xludf.DUMMYFUNCTION("""COMPUTED_VALUE"""),"Master")</f>
        <v>Master</v>
      </c>
      <c r="B457" s="80" t="str">
        <f>IFERROR(__xludf.DUMMYFUNCTION("""COMPUTED_VALUE"""),"RSC007605")</f>
        <v>RSC007605</v>
      </c>
      <c r="C457" s="80" t="str">
        <f>IFERROR(__xludf.DUMMYFUNCTION("""COMPUTED_VALUE"""),"Afterburner3375")</f>
        <v>Afterburner3375</v>
      </c>
      <c r="D457" s="80" t="str">
        <f>IFERROR(__xludf.DUMMYFUNCTION("""COMPUTED_VALUE"""),"Oblivion")</f>
        <v>Oblivion</v>
      </c>
      <c r="E457" s="80">
        <f>IFERROR(__xludf.DUMMYFUNCTION("""COMPUTED_VALUE"""),44.0)</f>
        <v>44</v>
      </c>
      <c r="F457" s="80">
        <f>IFERROR(__xludf.DUMMYFUNCTION("""COMPUTED_VALUE"""),30.0)</f>
        <v>30</v>
      </c>
      <c r="G457" s="80">
        <f>IFERROR(__xludf.DUMMYFUNCTION("""COMPUTED_VALUE"""),14.0)</f>
        <v>14</v>
      </c>
      <c r="H457" s="81">
        <f>IFERROR(__xludf.DUMMYFUNCTION("""COMPUTED_VALUE"""),0.6818181818181818)</f>
        <v>0.6818181818</v>
      </c>
      <c r="I457" s="81">
        <f>IFERROR(__xludf.DUMMYFUNCTION("""COMPUTED_VALUE"""),0.39534883720930236)</f>
        <v>0.3953488372</v>
      </c>
      <c r="J457" s="80">
        <f>IFERROR(__xludf.DUMMYFUNCTION("""COMPUTED_VALUE"""),412.22727272727275)</f>
        <v>412.2272727</v>
      </c>
      <c r="K457" s="80">
        <f>IFERROR(__xludf.DUMMYFUNCTION("""COMPUTED_VALUE"""),1.1590909090909092)</f>
        <v>1.159090909</v>
      </c>
      <c r="L457" s="80">
        <f>IFERROR(__xludf.DUMMYFUNCTION("""COMPUTED_VALUE"""),0.9090909090909091)</f>
        <v>0.9090909091</v>
      </c>
      <c r="M457" s="80">
        <f>IFERROR(__xludf.DUMMYFUNCTION("""COMPUTED_VALUE"""),1.25)</f>
        <v>1.25</v>
      </c>
      <c r="N457" s="80">
        <f>IFERROR(__xludf.DUMMYFUNCTION("""COMPUTED_VALUE"""),2.9318181818181817)</f>
        <v>2.931818182</v>
      </c>
      <c r="O457" s="80">
        <f>IFERROR(__xludf.DUMMYFUNCTION("""COMPUTED_VALUE"""),357.39393939393943)</f>
        <v>357.3939394</v>
      </c>
      <c r="P457" s="80">
        <f>IFERROR(__xludf.DUMMYFUNCTION("""COMPUTED_VALUE"""),0.7500000000000001)</f>
        <v>0.75</v>
      </c>
      <c r="Q457" s="80">
        <f>IFERROR(__xludf.DUMMYFUNCTION("""COMPUTED_VALUE"""),0.5075757575757576)</f>
        <v>0.5075757576</v>
      </c>
      <c r="R457" s="80">
        <f>IFERROR(__xludf.DUMMYFUNCTION("""COMPUTED_VALUE"""),1.5)</f>
        <v>1.5</v>
      </c>
      <c r="S457" s="80">
        <f>IFERROR(__xludf.DUMMYFUNCTION("""COMPUTED_VALUE"""),2.4621212121212115)</f>
        <v>2.462121212</v>
      </c>
      <c r="T457" s="80">
        <f>IFERROR(__xludf.DUMMYFUNCTION("""COMPUTED_VALUE"""),380.3357886372825)</f>
        <v>380.3357886</v>
      </c>
      <c r="U457" s="80">
        <f>IFERROR(__xludf.DUMMYFUNCTION("""COMPUTED_VALUE"""),0.8185282939671503)</f>
        <v>0.818528294</v>
      </c>
      <c r="V457" s="80">
        <f>IFERROR(__xludf.DUMMYFUNCTION("""COMPUTED_VALUE"""),0.6110351370579605)</f>
        <v>0.6110351371</v>
      </c>
      <c r="W457" s="80">
        <f>IFERROR(__xludf.DUMMYFUNCTION("""COMPUTED_VALUE"""),1.5416777924109304)</f>
        <v>1.541677792</v>
      </c>
      <c r="X457" s="80">
        <f>IFERROR(__xludf.DUMMYFUNCTION("""COMPUTED_VALUE"""),2.7803068136058577)</f>
        <v>2.780306814</v>
      </c>
      <c r="Y457" s="80">
        <f>IFERROR(__xludf.DUMMYFUNCTION("""COMPUTED_VALUE"""),400.80213350657147)</f>
        <v>400.8021335</v>
      </c>
      <c r="Z457" s="80">
        <f>IFERROR(__xludf.DUMMYFUNCTION("""COMPUTED_VALUE"""),0.9679491397907717)</f>
        <v>0.9679491398</v>
      </c>
      <c r="AA457" s="80">
        <f>IFERROR(__xludf.DUMMYFUNCTION("""COMPUTED_VALUE"""),0.7424402249850585)</f>
        <v>0.742440225</v>
      </c>
      <c r="AB457" s="80">
        <f>IFERROR(__xludf.DUMMYFUNCTION("""COMPUTED_VALUE"""),1.4871782743056465)</f>
        <v>1.487178274</v>
      </c>
      <c r="AC457" s="80">
        <f>IFERROR(__xludf.DUMMYFUNCTION("""COMPUTED_VALUE"""),2.9360592286387286)</f>
        <v>2.936059229</v>
      </c>
      <c r="AD457" s="80">
        <f>IFERROR(__xludf.DUMMYFUNCTION("""COMPUTED_VALUE"""),1.0285056846398097)</f>
        <v>1.028505685</v>
      </c>
      <c r="AE457" s="80">
        <f>IFERROR(__xludf.DUMMYFUNCTION("""COMPUTED_VALUE"""),1.197470880899232)</f>
        <v>1.197470881</v>
      </c>
      <c r="AF457" s="80">
        <f>IFERROR(__xludf.DUMMYFUNCTION("""COMPUTED_VALUE"""),1.2244634362439137)</f>
        <v>1.224463436</v>
      </c>
      <c r="AG457" s="80">
        <f>IFERROR(__xludf.DUMMYFUNCTION("""COMPUTED_VALUE"""),0.840517926866311)</f>
        <v>0.8405179269</v>
      </c>
      <c r="AH457" s="80">
        <f>IFERROR(__xludf.DUMMYFUNCTION("""COMPUTED_VALUE"""),0.9985555309037436)</f>
        <v>0.9985555309</v>
      </c>
      <c r="AI457" s="80">
        <f>IFERROR(__xludf.DUMMYFUNCTION("""COMPUTED_VALUE"""),0.9396800145325734)</f>
        <v>0.9396800145</v>
      </c>
      <c r="AJ457" s="80">
        <f>IFERROR(__xludf.DUMMYFUNCTION("""COMPUTED_VALUE"""),0.9162786497763993)</f>
        <v>0.9162786498</v>
      </c>
      <c r="AK457" s="80">
        <f>IFERROR(__xludf.DUMMYFUNCTION("""COMPUTED_VALUE"""),0.8306817837344939)</f>
        <v>0.8306817837</v>
      </c>
      <c r="AL457" s="80">
        <f>IFERROR(__xludf.DUMMYFUNCTION("""COMPUTED_VALUE"""),0.9729659513705823)</f>
        <v>0.9729659514</v>
      </c>
      <c r="AM457" s="80">
        <f>IFERROR(__xludf.DUMMYFUNCTION("""COMPUTED_VALUE"""),0.8855573780823195)</f>
        <v>0.8855573781</v>
      </c>
      <c r="AN457" s="80">
        <f>IFERROR(__xludf.DUMMYFUNCTION("""COMPUTED_VALUE"""),1.0994407264316282)</f>
        <v>1.099440726</v>
      </c>
      <c r="AO457" s="80">
        <f>IFERROR(__xludf.DUMMYFUNCTION("""COMPUTED_VALUE"""),1.4041423210490276)</f>
        <v>1.404142321</v>
      </c>
      <c r="AP457" s="80">
        <f>IFERROR(__xludf.DUMMYFUNCTION("""COMPUTED_VALUE"""),1.4010760455920308)</f>
        <v>1.401076046</v>
      </c>
      <c r="AQ457" s="80">
        <f>IFERROR(__xludf.DUMMYFUNCTION("""COMPUTED_VALUE"""),0.860326417198297)</f>
        <v>0.8603264172</v>
      </c>
      <c r="AR457" s="80">
        <f>IFERROR(__xludf.DUMMYFUNCTION("""COMPUTED_VALUE"""),1.0785691533205426)</f>
        <v>1.078569153</v>
      </c>
      <c r="AS457" s="80">
        <f>IFERROR(__xludf.DUMMYFUNCTION("""COMPUTED_VALUE"""),142.0)</f>
        <v>142</v>
      </c>
      <c r="AT457" s="80">
        <f>IFERROR(__xludf.DUMMYFUNCTION("""COMPUTED_VALUE"""),0.6428270242222194)</f>
        <v>0.6428270242</v>
      </c>
      <c r="AU457" s="80">
        <f>IFERROR(__xludf.DUMMYFUNCTION("""COMPUTED_VALUE"""),4.139098712156185)</f>
        <v>4.139098712</v>
      </c>
      <c r="AV457" s="80">
        <f>IFERROR(__xludf.DUMMYFUNCTION("""COMPUTED_VALUE"""),78.55135304145065)</f>
        <v>78.55135304</v>
      </c>
      <c r="AW457" s="82">
        <f t="shared" si="1"/>
        <v>7.891678074</v>
      </c>
      <c r="AX457" s="83">
        <f t="array" ref="AX457">IFERROR(DGET('SBV Import'!A:G,"SBV",{"RSC ID","Tier";B457,A457}))</f>
        <v>70.69131822</v>
      </c>
      <c r="AY457" s="82">
        <f t="shared" si="2"/>
        <v>4.903556877</v>
      </c>
      <c r="AZ457" s="82">
        <v>2.988121197407807</v>
      </c>
      <c r="BA457" s="84">
        <v>450.0</v>
      </c>
      <c r="BB457" s="84" t="b">
        <f>IFERROR(__xludf.DUMMYFUNCTION("iferror(if(A457="""",,E457&gt;=FILTER(Constants!$F$2:$F$10,Constants!$A$2:$A$10=A457)))"),TRUE)</f>
        <v>1</v>
      </c>
    </row>
    <row r="458">
      <c r="A458" s="80" t="str">
        <f>IFERROR(__xludf.DUMMYFUNCTION("""COMPUTED_VALUE"""),"Master")</f>
        <v>Master</v>
      </c>
      <c r="B458" s="80" t="str">
        <f>IFERROR(__xludf.DUMMYFUNCTION("""COMPUTED_VALUE"""),"RSC007099")</f>
        <v>RSC007099</v>
      </c>
      <c r="C458" s="80" t="str">
        <f>IFERROR(__xludf.DUMMYFUNCTION("""COMPUTED_VALUE"""),"gumwee wigglebean")</f>
        <v>gumwee wigglebean</v>
      </c>
      <c r="D458" s="80" t="str">
        <f>IFERROR(__xludf.DUMMYFUNCTION("""COMPUTED_VALUE"""),"Andromeda")</f>
        <v>Andromeda</v>
      </c>
      <c r="E458" s="80">
        <f>IFERROR(__xludf.DUMMYFUNCTION("""COMPUTED_VALUE"""),24.0)</f>
        <v>24</v>
      </c>
      <c r="F458" s="80">
        <f>IFERROR(__xludf.DUMMYFUNCTION("""COMPUTED_VALUE"""),12.0)</f>
        <v>12</v>
      </c>
      <c r="G458" s="80">
        <f>IFERROR(__xludf.DUMMYFUNCTION("""COMPUTED_VALUE"""),12.0)</f>
        <v>12</v>
      </c>
      <c r="H458" s="81">
        <f>IFERROR(__xludf.DUMMYFUNCTION("""COMPUTED_VALUE"""),0.5)</f>
        <v>0.5</v>
      </c>
      <c r="I458" s="81">
        <f>IFERROR(__xludf.DUMMYFUNCTION("""COMPUTED_VALUE"""),0.37142857142857144)</f>
        <v>0.3714285714</v>
      </c>
      <c r="J458" s="80">
        <f>IFERROR(__xludf.DUMMYFUNCTION("""COMPUTED_VALUE"""),447.375)</f>
        <v>447.375</v>
      </c>
      <c r="K458" s="80">
        <f>IFERROR(__xludf.DUMMYFUNCTION("""COMPUTED_VALUE"""),1.0833333333333333)</f>
        <v>1.083333333</v>
      </c>
      <c r="L458" s="80">
        <f>IFERROR(__xludf.DUMMYFUNCTION("""COMPUTED_VALUE"""),0.8333333333333334)</f>
        <v>0.8333333333</v>
      </c>
      <c r="M458" s="80">
        <f>IFERROR(__xludf.DUMMYFUNCTION("""COMPUTED_VALUE"""),1.625)</f>
        <v>1.625</v>
      </c>
      <c r="N458" s="80">
        <f>IFERROR(__xludf.DUMMYFUNCTION("""COMPUTED_VALUE"""),2.9166666666666665)</f>
        <v>2.916666667</v>
      </c>
      <c r="O458" s="80">
        <f>IFERROR(__xludf.DUMMYFUNCTION("""COMPUTED_VALUE"""),387.5416666666667)</f>
        <v>387.5416667</v>
      </c>
      <c r="P458" s="80">
        <f>IFERROR(__xludf.DUMMYFUNCTION("""COMPUTED_VALUE"""),0.75)</f>
        <v>0.75</v>
      </c>
      <c r="Q458" s="80">
        <f>IFERROR(__xludf.DUMMYFUNCTION("""COMPUTED_VALUE"""),0.5694444444444445)</f>
        <v>0.5694444444</v>
      </c>
      <c r="R458" s="80">
        <f>IFERROR(__xludf.DUMMYFUNCTION("""COMPUTED_VALUE"""),1.6388888888888886)</f>
        <v>1.638888889</v>
      </c>
      <c r="S458" s="80">
        <f>IFERROR(__xludf.DUMMYFUNCTION("""COMPUTED_VALUE"""),2.638888888888889)</f>
        <v>2.638888889</v>
      </c>
      <c r="T458" s="80">
        <f>IFERROR(__xludf.DUMMYFUNCTION("""COMPUTED_VALUE"""),379.32481396473355)</f>
        <v>379.324814</v>
      </c>
      <c r="U458" s="80">
        <f>IFERROR(__xludf.DUMMYFUNCTION("""COMPUTED_VALUE"""),0.8526585553010994)</f>
        <v>0.8526585553</v>
      </c>
      <c r="V458" s="80">
        <f>IFERROR(__xludf.DUMMYFUNCTION("""COMPUTED_VALUE"""),0.6613066208753343)</f>
        <v>0.6613066209</v>
      </c>
      <c r="W458" s="80">
        <f>IFERROR(__xludf.DUMMYFUNCTION("""COMPUTED_VALUE"""),1.4242825291180548)</f>
        <v>1.424282529</v>
      </c>
      <c r="X458" s="80">
        <f>IFERROR(__xludf.DUMMYFUNCTION("""COMPUTED_VALUE"""),2.7318876055718158)</f>
        <v>2.731887606</v>
      </c>
      <c r="Y458" s="80">
        <f>IFERROR(__xludf.DUMMYFUNCTION("""COMPUTED_VALUE"""),390.24312413278614)</f>
        <v>390.2431241</v>
      </c>
      <c r="Z458" s="80">
        <f>IFERROR(__xludf.DUMMYFUNCTION("""COMPUTED_VALUE"""),0.8766478266208421)</f>
        <v>0.8766478266</v>
      </c>
      <c r="AA458" s="80">
        <f>IFERROR(__xludf.DUMMYFUNCTION("""COMPUTED_VALUE"""),0.6751778539601266)</f>
        <v>0.675177854</v>
      </c>
      <c r="AB458" s="80">
        <f>IFERROR(__xludf.DUMMYFUNCTION("""COMPUTED_VALUE"""),1.5132837163936301)</f>
        <v>1.513283716</v>
      </c>
      <c r="AC458" s="80">
        <f>IFERROR(__xludf.DUMMYFUNCTION("""COMPUTED_VALUE"""),2.772743018480804)</f>
        <v>2.772743018</v>
      </c>
      <c r="AD458" s="80">
        <f>IFERROR(__xludf.DUMMYFUNCTION("""COMPUTED_VALUE"""),1.1464007238927645)</f>
        <v>1.146400724</v>
      </c>
      <c r="AE458" s="80">
        <f>IFERROR(__xludf.DUMMYFUNCTION("""COMPUTED_VALUE"""),1.2357680021967186)</f>
        <v>1.235768002</v>
      </c>
      <c r="AF458" s="80">
        <f>IFERROR(__xludf.DUMMYFUNCTION("""COMPUTED_VALUE"""),1.2342426938999496)</f>
        <v>1.234242694</v>
      </c>
      <c r="AG458" s="80">
        <f>IFERROR(__xludf.DUMMYFUNCTION("""COMPUTED_VALUE"""),1.0738237532037982)</f>
        <v>1.073823753</v>
      </c>
      <c r="AH458" s="80">
        <f>IFERROR(__xludf.DUMMYFUNCTION("""COMPUTED_VALUE"""),1.0519065947426742)</f>
        <v>1.051906595</v>
      </c>
      <c r="AI458" s="80">
        <f>IFERROR(__xludf.DUMMYFUNCTION("""COMPUTED_VALUE"""),1.0216617853602825)</f>
        <v>1.021661785</v>
      </c>
      <c r="AJ458" s="80">
        <f>IFERROR(__xludf.DUMMYFUNCTION("""COMPUTED_VALUE"""),0.8796017999668724)</f>
        <v>0.8796018</v>
      </c>
      <c r="AK458" s="80">
        <f>IFERROR(__xludf.DUMMYFUNCTION("""COMPUTED_VALUE"""),0.8610898885160154)</f>
        <v>0.8610898885</v>
      </c>
      <c r="AL458" s="80">
        <f>IFERROR(__xludf.DUMMYFUNCTION("""COMPUTED_VALUE"""),1.1506768182459717)</f>
        <v>1.150676818</v>
      </c>
      <c r="AM458" s="80">
        <f>IFERROR(__xludf.DUMMYFUNCTION("""COMPUTED_VALUE"""),0.9659580736435673)</f>
        <v>0.9659580736</v>
      </c>
      <c r="AN458" s="80">
        <f>IFERROR(__xludf.DUMMYFUNCTION("""COMPUTED_VALUE"""),1.193182323268463)</f>
        <v>1.193182323</v>
      </c>
      <c r="AO458" s="80">
        <f>IFERROR(__xludf.DUMMYFUNCTION("""COMPUTED_VALUE"""),1.3123683131373263)</f>
        <v>1.312368313</v>
      </c>
      <c r="AP458" s="80">
        <f>IFERROR(__xludf.DUMMYFUNCTION("""COMPUTED_VALUE"""),1.2843197084593616)</f>
        <v>1.284319708</v>
      </c>
      <c r="AQ458" s="80">
        <f>IFERROR(__xludf.DUMMYFUNCTION("""COMPUTED_VALUE"""),1.1184243423577862)</f>
        <v>1.118424342</v>
      </c>
      <c r="AR458" s="80">
        <f>IFERROR(__xludf.DUMMYFUNCTION("""COMPUTED_VALUE"""),1.0729951525281884)</f>
        <v>1.072995153</v>
      </c>
      <c r="AS458" s="80">
        <f>IFERROR(__xludf.DUMMYFUNCTION("""COMPUTED_VALUE"""),66.0)</f>
        <v>66</v>
      </c>
      <c r="AT458" s="80">
        <f>IFERROR(__xludf.DUMMYFUNCTION("""COMPUTED_VALUE"""),0.5789548770917169)</f>
        <v>0.5789548771</v>
      </c>
      <c r="AU458" s="80">
        <f>IFERROR(__xludf.DUMMYFUNCTION("""COMPUTED_VALUE"""),4.1356749023180415)</f>
        <v>4.135674902</v>
      </c>
      <c r="AV458" s="80">
        <f>IFERROR(__xludf.DUMMYFUNCTION("""COMPUTED_VALUE"""),78.46006616670114)</f>
        <v>78.46006617</v>
      </c>
      <c r="AW458" s="82">
        <f t="shared" si="1"/>
        <v>7.844601906</v>
      </c>
      <c r="AX458" s="83">
        <f t="array" ref="AX458">IFERROR(DGET('SBV Import'!A:G,"SBV",{"RSC ID","Tier";B458,A458}))</f>
        <v>72.09903158</v>
      </c>
      <c r="AY458" s="82">
        <f t="shared" si="2"/>
        <v>5.309023329</v>
      </c>
      <c r="AZ458" s="82">
        <v>2.535578577629429</v>
      </c>
      <c r="BA458" s="84">
        <v>450.0</v>
      </c>
      <c r="BB458" s="84" t="b">
        <f>IFERROR(__xludf.DUMMYFUNCTION("iferror(if(A458="""",,E458&gt;=FILTER(Constants!$F$2:$F$10,Constants!$A$2:$A$10=A458)))"),TRUE)</f>
        <v>1</v>
      </c>
    </row>
    <row r="459">
      <c r="A459" s="80" t="str">
        <f>IFERROR(__xludf.DUMMYFUNCTION("""COMPUTED_VALUE"""),"Master")</f>
        <v>Master</v>
      </c>
      <c r="B459" s="80" t="str">
        <f>IFERROR(__xludf.DUMMYFUNCTION("""COMPUTED_VALUE"""),"RSC005653")</f>
        <v>RSC005653</v>
      </c>
      <c r="C459" s="80" t="str">
        <f>IFERROR(__xludf.DUMMYFUNCTION("""COMPUTED_VALUE"""),"xim")</f>
        <v>xim</v>
      </c>
      <c r="D459" s="80" t="str">
        <f>IFERROR(__xludf.DUMMYFUNCTION("""COMPUTED_VALUE"""),"Tempests")</f>
        <v>Tempests</v>
      </c>
      <c r="E459" s="80">
        <f>IFERROR(__xludf.DUMMYFUNCTION("""COMPUTED_VALUE"""),8.0)</f>
        <v>8</v>
      </c>
      <c r="F459" s="80">
        <f>IFERROR(__xludf.DUMMYFUNCTION("""COMPUTED_VALUE"""),7.0)</f>
        <v>7</v>
      </c>
      <c r="G459" s="80">
        <f>IFERROR(__xludf.DUMMYFUNCTION("""COMPUTED_VALUE"""),1.0)</f>
        <v>1</v>
      </c>
      <c r="H459" s="81">
        <f>IFERROR(__xludf.DUMMYFUNCTION("""COMPUTED_VALUE"""),0.875)</f>
        <v>0.875</v>
      </c>
      <c r="I459" s="81">
        <f>IFERROR(__xludf.DUMMYFUNCTION("""COMPUTED_VALUE"""),0.34782608695652173)</f>
        <v>0.347826087</v>
      </c>
      <c r="J459" s="80">
        <f>IFERROR(__xludf.DUMMYFUNCTION("""COMPUTED_VALUE"""),383.875)</f>
        <v>383.875</v>
      </c>
      <c r="K459" s="80">
        <f>IFERROR(__xludf.DUMMYFUNCTION("""COMPUTED_VALUE"""),1.0)</f>
        <v>1</v>
      </c>
      <c r="L459" s="80">
        <f>IFERROR(__xludf.DUMMYFUNCTION("""COMPUTED_VALUE"""),1.125)</f>
        <v>1.125</v>
      </c>
      <c r="M459" s="80">
        <f>IFERROR(__xludf.DUMMYFUNCTION("""COMPUTED_VALUE"""),0.875)</f>
        <v>0.875</v>
      </c>
      <c r="N459" s="80">
        <f>IFERROR(__xludf.DUMMYFUNCTION("""COMPUTED_VALUE"""),2.875)</f>
        <v>2.875</v>
      </c>
      <c r="O459" s="80">
        <f>IFERROR(__xludf.DUMMYFUNCTION("""COMPUTED_VALUE"""),335.25)</f>
        <v>335.25</v>
      </c>
      <c r="P459" s="80">
        <f>IFERROR(__xludf.DUMMYFUNCTION("""COMPUTED_VALUE"""),0.6666666666666666)</f>
        <v>0.6666666667</v>
      </c>
      <c r="Q459" s="80">
        <f>IFERROR(__xludf.DUMMYFUNCTION("""COMPUTED_VALUE"""),0.4583333333333333)</f>
        <v>0.4583333333</v>
      </c>
      <c r="R459" s="80">
        <f>IFERROR(__xludf.DUMMYFUNCTION("""COMPUTED_VALUE"""),1.25)</f>
        <v>1.25</v>
      </c>
      <c r="S459" s="80">
        <f>IFERROR(__xludf.DUMMYFUNCTION("""COMPUTED_VALUE"""),2.1666666666666665)</f>
        <v>2.166666667</v>
      </c>
      <c r="T459" s="80">
        <f>IFERROR(__xludf.DUMMYFUNCTION("""COMPUTED_VALUE"""),373.24884366277456)</f>
        <v>373.2488437</v>
      </c>
      <c r="U459" s="80">
        <f>IFERROR(__xludf.DUMMYFUNCTION("""COMPUTED_VALUE"""),0.806238999827491)</f>
        <v>0.8062389998</v>
      </c>
      <c r="V459" s="80">
        <f>IFERROR(__xludf.DUMMYFUNCTION("""COMPUTED_VALUE"""),0.621469323514867)</f>
        <v>0.6214693235</v>
      </c>
      <c r="W459" s="80">
        <f>IFERROR(__xludf.DUMMYFUNCTION("""COMPUTED_VALUE"""),1.5272800389658683)</f>
        <v>1.527280039</v>
      </c>
      <c r="X459" s="80">
        <f>IFERROR(__xludf.DUMMYFUNCTION("""COMPUTED_VALUE"""),2.6947000149754516)</f>
        <v>2.694700015</v>
      </c>
      <c r="Y459" s="80">
        <f>IFERROR(__xludf.DUMMYFUNCTION("""COMPUTED_VALUE"""),418.26250385968115)</f>
        <v>418.2625039</v>
      </c>
      <c r="Z459" s="80">
        <f>IFERROR(__xludf.DUMMYFUNCTION("""COMPUTED_VALUE"""),1.0527782692416838)</f>
        <v>1.052778269</v>
      </c>
      <c r="AA459" s="80">
        <f>IFERROR(__xludf.DUMMYFUNCTION("""COMPUTED_VALUE"""),0.8224765255085621)</f>
        <v>0.8224765255</v>
      </c>
      <c r="AB459" s="80">
        <f>IFERROR(__xludf.DUMMYFUNCTION("""COMPUTED_VALUE"""),1.514875306863363)</f>
        <v>1.514875307</v>
      </c>
      <c r="AC459" s="80">
        <f>IFERROR(__xludf.DUMMYFUNCTION("""COMPUTED_VALUE"""),3.10431786625904)</f>
        <v>3.104317866</v>
      </c>
      <c r="AD459" s="80">
        <f>IFERROR(__xludf.DUMMYFUNCTION("""COMPUTED_VALUE"""),0.9177848754254637)</f>
        <v>0.9177848754</v>
      </c>
      <c r="AE459" s="80">
        <f>IFERROR(__xludf.DUMMYFUNCTION("""COMPUTED_VALUE"""),0.9498676304558413)</f>
        <v>0.9498676305</v>
      </c>
      <c r="AF459" s="80">
        <f>IFERROR(__xludf.DUMMYFUNCTION("""COMPUTED_VALUE"""),1.367820193171323)</f>
        <v>1.367820193</v>
      </c>
      <c r="AG459" s="80">
        <f>IFERROR(__xludf.DUMMYFUNCTION("""COMPUTED_VALUE"""),0.5776052959842207)</f>
        <v>0.577605296</v>
      </c>
      <c r="AH459" s="80">
        <f>IFERROR(__xludf.DUMMYFUNCTION("""COMPUTED_VALUE"""),0.9261293861844802)</f>
        <v>0.9261293862</v>
      </c>
      <c r="AI459" s="80">
        <f>IFERROR(__xludf.DUMMYFUNCTION("""COMPUTED_VALUE"""),0.8981943432432814)</f>
        <v>0.8981943432</v>
      </c>
      <c r="AJ459" s="80">
        <f>IFERROR(__xludf.DUMMYFUNCTION("""COMPUTED_VALUE"""),0.8268846667170797)</f>
        <v>0.8268846667</v>
      </c>
      <c r="AK459" s="80">
        <f>IFERROR(__xludf.DUMMYFUNCTION("""COMPUTED_VALUE"""),0.7374995289246469)</f>
        <v>0.7374995289</v>
      </c>
      <c r="AL459" s="80">
        <f>IFERROR(__xludf.DUMMYFUNCTION("""COMPUTED_VALUE"""),0.8184484626973738)</f>
        <v>0.8184484627</v>
      </c>
      <c r="AM459" s="80">
        <f>IFERROR(__xludf.DUMMYFUNCTION("""COMPUTED_VALUE"""),0.8040474467011886)</f>
        <v>0.8040474467</v>
      </c>
      <c r="AN459" s="80">
        <f>IFERROR(__xludf.DUMMYFUNCTION("""COMPUTED_VALUE"""),1.0238231111364766)</f>
        <v>1.023823111</v>
      </c>
      <c r="AO459" s="80">
        <f>IFERROR(__xludf.DUMMYFUNCTION("""COMPUTED_VALUE"""),1.2114169044344552)</f>
        <v>1.211416904</v>
      </c>
      <c r="AP459" s="80">
        <f>IFERROR(__xludf.DUMMYFUNCTION("""COMPUTED_VALUE"""),1.7338316064201382)</f>
        <v>1.733831606</v>
      </c>
      <c r="AQ459" s="80">
        <f>IFERROR(__xludf.DUMMYFUNCTION("""COMPUTED_VALUE"""),0.6022284920388079)</f>
        <v>0.602228492</v>
      </c>
      <c r="AR459" s="80">
        <f>IFERROR(__xludf.DUMMYFUNCTION("""COMPUTED_VALUE"""),1.0576666503492145)</f>
        <v>1.05766665</v>
      </c>
      <c r="AS459" s="80">
        <f>IFERROR(__xludf.DUMMYFUNCTION("""COMPUTED_VALUE"""),29.0)</f>
        <v>29</v>
      </c>
      <c r="AT459" s="80">
        <f>IFERROR(__xludf.DUMMYFUNCTION("""COMPUTED_VALUE"""),0.7263756751116563)</f>
        <v>0.7263756751</v>
      </c>
      <c r="AU459" s="80">
        <f>IFERROR(__xludf.DUMMYFUNCTION("""COMPUTED_VALUE"""),4.07075542838566)</f>
        <v>4.070755428</v>
      </c>
      <c r="AV459" s="80">
        <f>IFERROR(__xludf.DUMMYFUNCTION("""COMPUTED_VALUE"""),76.72915932145365)</f>
        <v>76.72915932</v>
      </c>
      <c r="AW459" s="82">
        <f t="shared" si="1"/>
        <v>7.017674162</v>
      </c>
      <c r="AX459" s="83">
        <f t="array" ref="AX459">IFERROR(DGET('SBV Import'!A:G,"SBV",{"RSC ID","Tier";B459,A459}))</f>
        <v>75.34160096</v>
      </c>
      <c r="AY459" s="82">
        <f t="shared" si="2"/>
        <v>6.436184969</v>
      </c>
      <c r="AZ459" s="82">
        <v>0.5814891930860586</v>
      </c>
      <c r="BA459" s="84">
        <v>450.0</v>
      </c>
      <c r="BB459" s="84" t="b">
        <f>IFERROR(__xludf.DUMMYFUNCTION("iferror(if(A459="""",,E459&gt;=FILTER(Constants!$F$2:$F$10,Constants!$A$2:$A$10=A459)))"),TRUE)</f>
        <v>1</v>
      </c>
    </row>
    <row r="460">
      <c r="A460" s="80" t="str">
        <f>IFERROR(__xludf.DUMMYFUNCTION("""COMPUTED_VALUE"""),"Master")</f>
        <v>Master</v>
      </c>
      <c r="B460" s="80" t="str">
        <f>IFERROR(__xludf.DUMMYFUNCTION("""COMPUTED_VALUE"""),"RSC007858")</f>
        <v>RSC007858</v>
      </c>
      <c r="C460" s="80" t="str">
        <f>IFERROR(__xludf.DUMMYFUNCTION("""COMPUTED_VALUE"""),"Patty")</f>
        <v>Patty</v>
      </c>
      <c r="D460" s="80" t="str">
        <f>IFERROR(__xludf.DUMMYFUNCTION("""COMPUTED_VALUE"""),"Phantom Phreaks")</f>
        <v>Phantom Phreaks</v>
      </c>
      <c r="E460" s="80">
        <f>IFERROR(__xludf.DUMMYFUNCTION("""COMPUTED_VALUE"""),44.0)</f>
        <v>44</v>
      </c>
      <c r="F460" s="80">
        <f>IFERROR(__xludf.DUMMYFUNCTION("""COMPUTED_VALUE"""),29.0)</f>
        <v>29</v>
      </c>
      <c r="G460" s="80">
        <f>IFERROR(__xludf.DUMMYFUNCTION("""COMPUTED_VALUE"""),15.0)</f>
        <v>15</v>
      </c>
      <c r="H460" s="81">
        <f>IFERROR(__xludf.DUMMYFUNCTION("""COMPUTED_VALUE"""),0.6590909090909091)</f>
        <v>0.6590909091</v>
      </c>
      <c r="I460" s="81">
        <f>IFERROR(__xludf.DUMMYFUNCTION("""COMPUTED_VALUE"""),0.2967741935483871)</f>
        <v>0.2967741935</v>
      </c>
      <c r="J460" s="80">
        <f>IFERROR(__xludf.DUMMYFUNCTION("""COMPUTED_VALUE"""),452.70454545454544)</f>
        <v>452.7045455</v>
      </c>
      <c r="K460" s="80">
        <f>IFERROR(__xludf.DUMMYFUNCTION("""COMPUTED_VALUE"""),1.0454545454545454)</f>
        <v>1.045454545</v>
      </c>
      <c r="L460" s="80">
        <f>IFERROR(__xludf.DUMMYFUNCTION("""COMPUTED_VALUE"""),0.7045454545454546)</f>
        <v>0.7045454545</v>
      </c>
      <c r="M460" s="80">
        <f>IFERROR(__xludf.DUMMYFUNCTION("""COMPUTED_VALUE"""),1.6590909090909092)</f>
        <v>1.659090909</v>
      </c>
      <c r="N460" s="80">
        <f>IFERROR(__xludf.DUMMYFUNCTION("""COMPUTED_VALUE"""),3.522727272727273)</f>
        <v>3.522727273</v>
      </c>
      <c r="O460" s="80">
        <f>IFERROR(__xludf.DUMMYFUNCTION("""COMPUTED_VALUE"""),387.29545454545445)</f>
        <v>387.2954545</v>
      </c>
      <c r="P460" s="80">
        <f>IFERROR(__xludf.DUMMYFUNCTION("""COMPUTED_VALUE"""),0.7954545454545454)</f>
        <v>0.7954545455</v>
      </c>
      <c r="Q460" s="80">
        <f>IFERROR(__xludf.DUMMYFUNCTION("""COMPUTED_VALUE"""),0.6060606060606061)</f>
        <v>0.6060606061</v>
      </c>
      <c r="R460" s="80">
        <f>IFERROR(__xludf.DUMMYFUNCTION("""COMPUTED_VALUE"""),1.621212121212121)</f>
        <v>1.621212121</v>
      </c>
      <c r="S460" s="80">
        <f>IFERROR(__xludf.DUMMYFUNCTION("""COMPUTED_VALUE"""),2.621212121212121)</f>
        <v>2.621212121</v>
      </c>
      <c r="T460" s="80">
        <f>IFERROR(__xludf.DUMMYFUNCTION("""COMPUTED_VALUE"""),386.39213560486456)</f>
        <v>386.3921356</v>
      </c>
      <c r="U460" s="80">
        <f>IFERROR(__xludf.DUMMYFUNCTION("""COMPUTED_VALUE"""),0.8672545417640932)</f>
        <v>0.8672545418</v>
      </c>
      <c r="V460" s="80">
        <f>IFERROR(__xludf.DUMMYFUNCTION("""COMPUTED_VALUE"""),0.6719634066606698)</f>
        <v>0.6719634067</v>
      </c>
      <c r="W460" s="80">
        <f>IFERROR(__xludf.DUMMYFUNCTION("""COMPUTED_VALUE"""),1.4919727174320294)</f>
        <v>1.491972717</v>
      </c>
      <c r="X460" s="80">
        <f>IFERROR(__xludf.DUMMYFUNCTION("""COMPUTED_VALUE"""),2.8159651381278796)</f>
        <v>2.815965138</v>
      </c>
      <c r="Y460" s="80">
        <f>IFERROR(__xludf.DUMMYFUNCTION("""COMPUTED_VALUE"""),392.1051920850599)</f>
        <v>392.1051921</v>
      </c>
      <c r="Z460" s="80">
        <f>IFERROR(__xludf.DUMMYFUNCTION("""COMPUTED_VALUE"""),0.8970545926941067)</f>
        <v>0.8970545927</v>
      </c>
      <c r="AA460" s="80">
        <f>IFERROR(__xludf.DUMMYFUNCTION("""COMPUTED_VALUE"""),0.6878555439848775)</f>
        <v>0.687855544</v>
      </c>
      <c r="AB460" s="80">
        <f>IFERROR(__xludf.DUMMYFUNCTION("""COMPUTED_VALUE"""),1.5013572982567611)</f>
        <v>1.501357298</v>
      </c>
      <c r="AC460" s="80">
        <f>IFERROR(__xludf.DUMMYFUNCTION("""COMPUTED_VALUE"""),2.8819735400381763)</f>
        <v>2.88197354</v>
      </c>
      <c r="AD460" s="80">
        <f>IFERROR(__xludf.DUMMYFUNCTION("""COMPUTED_VALUE"""),1.1545487144591027)</f>
        <v>1.154548714</v>
      </c>
      <c r="AE460" s="80">
        <f>IFERROR(__xludf.DUMMYFUNCTION("""COMPUTED_VALUE"""),1.1654302357616297)</f>
        <v>1.165430236</v>
      </c>
      <c r="AF460" s="80">
        <f>IFERROR(__xludf.DUMMYFUNCTION("""COMPUTED_VALUE"""),1.0242636854591436)</f>
        <v>1.024263685</v>
      </c>
      <c r="AG460" s="80">
        <f>IFERROR(__xludf.DUMMYFUNCTION("""COMPUTED_VALUE"""),1.105060674775614)</f>
        <v>1.105060675</v>
      </c>
      <c r="AH460" s="80">
        <f>IFERROR(__xludf.DUMMYFUNCTION("""COMPUTED_VALUE"""),1.2223315806989015)</f>
        <v>1.222331581</v>
      </c>
      <c r="AI460" s="80">
        <f>IFERROR(__xludf.DUMMYFUNCTION("""COMPUTED_VALUE"""),1.002337829519164)</f>
        <v>1.00233783</v>
      </c>
      <c r="AJ460" s="80">
        <f>IFERROR(__xludf.DUMMYFUNCTION("""COMPUTED_VALUE"""),0.917210008305637)</f>
        <v>0.9172100083</v>
      </c>
      <c r="AK460" s="80">
        <f>IFERROR(__xludf.DUMMYFUNCTION("""COMPUTED_VALUE"""),0.9019250156380264)</f>
        <v>0.9019250156</v>
      </c>
      <c r="AL460" s="80">
        <f>IFERROR(__xludf.DUMMYFUNCTION("""COMPUTED_VALUE"""),1.0866231682859038)</f>
        <v>1.086623168</v>
      </c>
      <c r="AM460" s="80">
        <f>IFERROR(__xludf.DUMMYFUNCTION("""COMPUTED_VALUE"""),0.9308396917707458)</f>
        <v>0.9308396918</v>
      </c>
      <c r="AN460" s="80">
        <f>IFERROR(__xludf.DUMMYFUNCTION("""COMPUTED_VALUE"""),1.2073966164842649)</f>
        <v>1.207396616</v>
      </c>
      <c r="AO460" s="80">
        <f>IFERROR(__xludf.DUMMYFUNCTION("""COMPUTED_VALUE"""),1.2664813091814757)</f>
        <v>1.266481309</v>
      </c>
      <c r="AP460" s="80">
        <f>IFERROR(__xludf.DUMMYFUNCTION("""COMPUTED_VALUE"""),1.085833935333824)</f>
        <v>1.085833935</v>
      </c>
      <c r="AQ460" s="80">
        <f>IFERROR(__xludf.DUMMYFUNCTION("""COMPUTED_VALUE"""),1.1418877900995579)</f>
        <v>1.14188779</v>
      </c>
      <c r="AR460" s="80">
        <f>IFERROR(__xludf.DUMMYFUNCTION("""COMPUTED_VALUE"""),1.2959551842223576)</f>
        <v>1.295955184</v>
      </c>
      <c r="AS460" s="80">
        <f>IFERROR(__xludf.DUMMYFUNCTION("""COMPUTED_VALUE"""),131.0)</f>
        <v>131</v>
      </c>
      <c r="AT460" s="80">
        <f>IFERROR(__xludf.DUMMYFUNCTION("""COMPUTED_VALUE"""),0.5886220030852047)</f>
        <v>0.5886220031</v>
      </c>
      <c r="AU460" s="80">
        <f>IFERROR(__xludf.DUMMYFUNCTION("""COMPUTED_VALUE"""),4.0110778389085455)</f>
        <v>4.011077839</v>
      </c>
      <c r="AV460" s="80">
        <f>IFERROR(__xludf.DUMMYFUNCTION("""COMPUTED_VALUE"""),75.13801352379363)</f>
        <v>75.13801352</v>
      </c>
      <c r="AW460" s="82">
        <f t="shared" si="1"/>
        <v>6.35634435</v>
      </c>
      <c r="AX460" s="83">
        <f t="array" ref="AX460">IFERROR(DGET('SBV Import'!A:G,"SBV",{"RSC ID","Tier";B460,A460}))</f>
        <v>70.93413302</v>
      </c>
      <c r="AY460" s="82">
        <f t="shared" si="2"/>
        <v>4.970336377</v>
      </c>
      <c r="AZ460" s="82">
        <v>1.3860079723779117</v>
      </c>
      <c r="BA460" s="84">
        <v>450.0</v>
      </c>
      <c r="BB460" s="84" t="b">
        <f>IFERROR(__xludf.DUMMYFUNCTION("iferror(if(A460="""",,E460&gt;=FILTER(Constants!$F$2:$F$10,Constants!$A$2:$A$10=A460)))"),TRUE)</f>
        <v>1</v>
      </c>
    </row>
    <row r="461">
      <c r="A461" s="80" t="str">
        <f>IFERROR(__xludf.DUMMYFUNCTION("""COMPUTED_VALUE"""),"Master")</f>
        <v>Master</v>
      </c>
      <c r="B461" s="80" t="str">
        <f>IFERROR(__xludf.DUMMYFUNCTION("""COMPUTED_VALUE"""),"RSC007893")</f>
        <v>RSC007893</v>
      </c>
      <c r="C461" s="80" t="str">
        <f>IFERROR(__xludf.DUMMYFUNCTION("""COMPUTED_VALUE"""),"solar722")</f>
        <v>solar722</v>
      </c>
      <c r="D461" s="80" t="str">
        <f>IFERROR(__xludf.DUMMYFUNCTION("""COMPUTED_VALUE"""),"Fromunda Frauds")</f>
        <v>Fromunda Frauds</v>
      </c>
      <c r="E461" s="80">
        <f>IFERROR(__xludf.DUMMYFUNCTION("""COMPUTED_VALUE"""),32.0)</f>
        <v>32</v>
      </c>
      <c r="F461" s="80">
        <f>IFERROR(__xludf.DUMMYFUNCTION("""COMPUTED_VALUE"""),16.0)</f>
        <v>16</v>
      </c>
      <c r="G461" s="80">
        <f>IFERROR(__xludf.DUMMYFUNCTION("""COMPUTED_VALUE"""),16.0)</f>
        <v>16</v>
      </c>
      <c r="H461" s="81">
        <f>IFERROR(__xludf.DUMMYFUNCTION("""COMPUTED_VALUE"""),0.5)</f>
        <v>0.5</v>
      </c>
      <c r="I461" s="81">
        <f>IFERROR(__xludf.DUMMYFUNCTION("""COMPUTED_VALUE"""),0.30701754385964913)</f>
        <v>0.3070175439</v>
      </c>
      <c r="J461" s="80">
        <f>IFERROR(__xludf.DUMMYFUNCTION("""COMPUTED_VALUE"""),437.125)</f>
        <v>437.125</v>
      </c>
      <c r="K461" s="80">
        <f>IFERROR(__xludf.DUMMYFUNCTION("""COMPUTED_VALUE"""),1.09375)</f>
        <v>1.09375</v>
      </c>
      <c r="L461" s="80">
        <f>IFERROR(__xludf.DUMMYFUNCTION("""COMPUTED_VALUE"""),0.6875)</f>
        <v>0.6875</v>
      </c>
      <c r="M461" s="80">
        <f>IFERROR(__xludf.DUMMYFUNCTION("""COMPUTED_VALUE"""),1.59375)</f>
        <v>1.59375</v>
      </c>
      <c r="N461" s="80">
        <f>IFERROR(__xludf.DUMMYFUNCTION("""COMPUTED_VALUE"""),3.5625)</f>
        <v>3.5625</v>
      </c>
      <c r="O461" s="80">
        <f>IFERROR(__xludf.DUMMYFUNCTION("""COMPUTED_VALUE"""),398.9374999999999)</f>
        <v>398.9375</v>
      </c>
      <c r="P461" s="80">
        <f>IFERROR(__xludf.DUMMYFUNCTION("""COMPUTED_VALUE"""),0.9270833333333331)</f>
        <v>0.9270833333</v>
      </c>
      <c r="Q461" s="80">
        <f>IFERROR(__xludf.DUMMYFUNCTION("""COMPUTED_VALUE"""),0.7604166666666667)</f>
        <v>0.7604166667</v>
      </c>
      <c r="R461" s="80">
        <f>IFERROR(__xludf.DUMMYFUNCTION("""COMPUTED_VALUE"""),1.510416666666667)</f>
        <v>1.510416667</v>
      </c>
      <c r="S461" s="80">
        <f>IFERROR(__xludf.DUMMYFUNCTION("""COMPUTED_VALUE"""),2.8541666666666665)</f>
        <v>2.854166667</v>
      </c>
      <c r="T461" s="80">
        <f>IFERROR(__xludf.DUMMYFUNCTION("""COMPUTED_VALUE"""),394.9100890913252)</f>
        <v>394.9100891</v>
      </c>
      <c r="U461" s="80">
        <f>IFERROR(__xludf.DUMMYFUNCTION("""COMPUTED_VALUE"""),0.9200032064012448)</f>
        <v>0.9200032064</v>
      </c>
      <c r="V461" s="80">
        <f>IFERROR(__xludf.DUMMYFUNCTION("""COMPUTED_VALUE"""),0.7048943043670856)</f>
        <v>0.7048943044</v>
      </c>
      <c r="W461" s="80">
        <f>IFERROR(__xludf.DUMMYFUNCTION("""COMPUTED_VALUE"""),1.5086346358995186)</f>
        <v>1.508634636</v>
      </c>
      <c r="X461" s="80">
        <f>IFERROR(__xludf.DUMMYFUNCTION("""COMPUTED_VALUE"""),2.8729657923882357)</f>
        <v>2.872965792</v>
      </c>
      <c r="Y461" s="80">
        <f>IFERROR(__xludf.DUMMYFUNCTION("""COMPUTED_VALUE"""),387.4749805408496)</f>
        <v>387.4749805</v>
      </c>
      <c r="Z461" s="80">
        <f>IFERROR(__xludf.DUMMYFUNCTION("""COMPUTED_VALUE"""),0.881999522160441)</f>
        <v>0.8819995222</v>
      </c>
      <c r="AA461" s="80">
        <f>IFERROR(__xludf.DUMMYFUNCTION("""COMPUTED_VALUE"""),0.6796761974680943)</f>
        <v>0.6796761975</v>
      </c>
      <c r="AB461" s="80">
        <f>IFERROR(__xludf.DUMMYFUNCTION("""COMPUTED_VALUE"""),1.498953330817232)</f>
        <v>1.498953331</v>
      </c>
      <c r="AC461" s="80">
        <f>IFERROR(__xludf.DUMMYFUNCTION("""COMPUTED_VALUE"""),2.849001133029625)</f>
        <v>2.849001133</v>
      </c>
      <c r="AD461" s="80">
        <f>IFERROR(__xludf.DUMMYFUNCTION("""COMPUTED_VALUE"""),1.1281373558361043)</f>
        <v>1.128137356</v>
      </c>
      <c r="AE461" s="80">
        <f>IFERROR(__xludf.DUMMYFUNCTION("""COMPUTED_VALUE"""),1.2400800369153038)</f>
        <v>1.240080037</v>
      </c>
      <c r="AF461" s="80">
        <f>IFERROR(__xludf.DUMMYFUNCTION("""COMPUTED_VALUE"""),1.0115110733038035)</f>
        <v>1.011511073</v>
      </c>
      <c r="AG461" s="80">
        <f>IFERROR(__xludf.DUMMYFUNCTION("""COMPUTED_VALUE"""),1.0632419083595381)</f>
        <v>1.063241908</v>
      </c>
      <c r="AH461" s="80">
        <f>IFERROR(__xludf.DUMMYFUNCTION("""COMPUTED_VALUE"""),1.250438253147215)</f>
        <v>1.250438253</v>
      </c>
      <c r="AI461" s="80">
        <f>IFERROR(__xludf.DUMMYFUNCTION("""COMPUTED_VALUE"""),1.0101982983466988)</f>
        <v>1.010198298</v>
      </c>
      <c r="AJ461" s="80">
        <f>IFERROR(__xludf.DUMMYFUNCTION("""COMPUTED_VALUE"""),1.0076957633221557)</f>
        <v>1.007695763</v>
      </c>
      <c r="AK461" s="80">
        <f>IFERROR(__xludf.DUMMYFUNCTION("""COMPUTED_VALUE"""),1.0787669327948874)</f>
        <v>1.078766933</v>
      </c>
      <c r="AL461" s="80">
        <f>IFERROR(__xludf.DUMMYFUNCTION("""COMPUTED_VALUE"""),1.0011812209031552)</f>
        <v>1.001181221</v>
      </c>
      <c r="AM461" s="80">
        <f>IFERROR(__xludf.DUMMYFUNCTION("""COMPUTED_VALUE"""),0.9934565438365551)</f>
        <v>0.9934565438</v>
      </c>
      <c r="AN461" s="80">
        <f>IFERROR(__xludf.DUMMYFUNCTION("""COMPUTED_VALUE"""),1.1658448126487329)</f>
        <v>1.165844813</v>
      </c>
      <c r="AO461" s="80">
        <f>IFERROR(__xludf.DUMMYFUNCTION("""COMPUTED_VALUE"""),1.3249872392251854)</f>
        <v>1.324987239</v>
      </c>
      <c r="AP461" s="80">
        <f>IFERROR(__xludf.DUMMYFUNCTION("""COMPUTED_VALUE"""),1.0595637594789733)</f>
        <v>1.059563759</v>
      </c>
      <c r="AQ461" s="80">
        <f>IFERROR(__xludf.DUMMYFUNCTION("""COMPUTED_VALUE"""),1.0969161819278288)</f>
        <v>1.096916182</v>
      </c>
      <c r="AR461" s="80">
        <f>IFERROR(__xludf.DUMMYFUNCTION("""COMPUTED_VALUE"""),1.3105869363022873)</f>
        <v>1.310586936</v>
      </c>
      <c r="AS461" s="80">
        <f>IFERROR(__xludf.DUMMYFUNCTION("""COMPUTED_VALUE"""),88.0)</f>
        <v>88</v>
      </c>
      <c r="AT461" s="80">
        <f>IFERROR(__xludf.DUMMYFUNCTION("""COMPUTED_VALUE"""),0.49538491920319994)</f>
        <v>0.4953849192</v>
      </c>
      <c r="AU461" s="80">
        <f>IFERROR(__xludf.DUMMYFUNCTION("""COMPUTED_VALUE"""),3.954185852860153)</f>
        <v>3.954185853</v>
      </c>
      <c r="AV461" s="80">
        <f>IFERROR(__xludf.DUMMYFUNCTION("""COMPUTED_VALUE"""),73.62113850731618)</f>
        <v>73.62113851</v>
      </c>
      <c r="AW461" s="82">
        <f t="shared" si="1"/>
        <v>5.801511636</v>
      </c>
      <c r="AX461" s="83">
        <f t="array" ref="AX461">IFERROR(DGET('SBV Import'!A:G,"SBV",{"RSC ID","Tier";B461,A461}))</f>
        <v>67.91343905</v>
      </c>
      <c r="AY461" s="82">
        <f t="shared" si="2"/>
        <v>4.222442648</v>
      </c>
      <c r="AZ461" s="82">
        <v>1.5790689882811098</v>
      </c>
      <c r="BA461" s="84">
        <v>450.0</v>
      </c>
      <c r="BB461" s="84" t="b">
        <f>IFERROR(__xludf.DUMMYFUNCTION("iferror(if(A461="""",,E461&gt;=FILTER(Constants!$F$2:$F$10,Constants!$A$2:$A$10=A461)))"),TRUE)</f>
        <v>1</v>
      </c>
    </row>
    <row r="462">
      <c r="A462" s="80" t="str">
        <f>IFERROR(__xludf.DUMMYFUNCTION("""COMPUTED_VALUE"""),"Master")</f>
        <v>Master</v>
      </c>
      <c r="B462" s="80" t="str">
        <f>IFERROR(__xludf.DUMMYFUNCTION("""COMPUTED_VALUE"""),"RSC004575")</f>
        <v>RSC004575</v>
      </c>
      <c r="C462" s="80" t="str">
        <f>IFERROR(__xludf.DUMMYFUNCTION("""COMPUTED_VALUE"""),"Diamond ^.^")</f>
        <v>Diamond ^.^</v>
      </c>
      <c r="D462" s="80" t="str">
        <f>IFERROR(__xludf.DUMMYFUNCTION("""COMPUTED_VALUE"""),"Lemurs")</f>
        <v>Lemurs</v>
      </c>
      <c r="E462" s="80">
        <f>IFERROR(__xludf.DUMMYFUNCTION("""COMPUTED_VALUE"""),45.0)</f>
        <v>45</v>
      </c>
      <c r="F462" s="80">
        <f>IFERROR(__xludf.DUMMYFUNCTION("""COMPUTED_VALUE"""),28.0)</f>
        <v>28</v>
      </c>
      <c r="G462" s="80">
        <f>IFERROR(__xludf.DUMMYFUNCTION("""COMPUTED_VALUE"""),17.0)</f>
        <v>17</v>
      </c>
      <c r="H462" s="81">
        <f>IFERROR(__xludf.DUMMYFUNCTION("""COMPUTED_VALUE"""),0.6222222222222222)</f>
        <v>0.6222222222</v>
      </c>
      <c r="I462" s="81">
        <f>IFERROR(__xludf.DUMMYFUNCTION("""COMPUTED_VALUE"""),0.34246575342465757)</f>
        <v>0.3424657534</v>
      </c>
      <c r="J462" s="80">
        <f>IFERROR(__xludf.DUMMYFUNCTION("""COMPUTED_VALUE"""),425.46666666666664)</f>
        <v>425.4666667</v>
      </c>
      <c r="K462" s="80">
        <f>IFERROR(__xludf.DUMMYFUNCTION("""COMPUTED_VALUE"""),1.1111111111111112)</f>
        <v>1.111111111</v>
      </c>
      <c r="L462" s="80">
        <f>IFERROR(__xludf.DUMMYFUNCTION("""COMPUTED_VALUE"""),0.7333333333333333)</f>
        <v>0.7333333333</v>
      </c>
      <c r="M462" s="80">
        <f>IFERROR(__xludf.DUMMYFUNCTION("""COMPUTED_VALUE"""),1.3777777777777778)</f>
        <v>1.377777778</v>
      </c>
      <c r="N462" s="80">
        <f>IFERROR(__xludf.DUMMYFUNCTION("""COMPUTED_VALUE"""),3.2444444444444445)</f>
        <v>3.244444444</v>
      </c>
      <c r="O462" s="80">
        <f>IFERROR(__xludf.DUMMYFUNCTION("""COMPUTED_VALUE"""),395.6212121212122)</f>
        <v>395.6212121</v>
      </c>
      <c r="P462" s="80">
        <f>IFERROR(__xludf.DUMMYFUNCTION("""COMPUTED_VALUE"""),0.8863636363636362)</f>
        <v>0.8863636364</v>
      </c>
      <c r="Q462" s="80">
        <f>IFERROR(__xludf.DUMMYFUNCTION("""COMPUTED_VALUE"""),0.6742424242424243)</f>
        <v>0.6742424242</v>
      </c>
      <c r="R462" s="80">
        <f>IFERROR(__xludf.DUMMYFUNCTION("""COMPUTED_VALUE"""),1.5075757575757576)</f>
        <v>1.507575758</v>
      </c>
      <c r="S462" s="80">
        <f>IFERROR(__xludf.DUMMYFUNCTION("""COMPUTED_VALUE"""),2.6363636363636362)</f>
        <v>2.636363636</v>
      </c>
      <c r="T462" s="80">
        <f>IFERROR(__xludf.DUMMYFUNCTION("""COMPUTED_VALUE"""),383.7144310458201)</f>
        <v>383.714431</v>
      </c>
      <c r="U462" s="80">
        <f>IFERROR(__xludf.DUMMYFUNCTION("""COMPUTED_VALUE"""),0.8625580222310402)</f>
        <v>0.8625580222</v>
      </c>
      <c r="V462" s="80">
        <f>IFERROR(__xludf.DUMMYFUNCTION("""COMPUTED_VALUE"""),0.68132965303273)</f>
        <v>0.681329653</v>
      </c>
      <c r="W462" s="80">
        <f>IFERROR(__xludf.DUMMYFUNCTION("""COMPUTED_VALUE"""),1.4763399328223985)</f>
        <v>1.476339933</v>
      </c>
      <c r="X462" s="80">
        <f>IFERROR(__xludf.DUMMYFUNCTION("""COMPUTED_VALUE"""),2.7434850005069267)</f>
        <v>2.743485001</v>
      </c>
      <c r="Y462" s="80">
        <f>IFERROR(__xludf.DUMMYFUNCTION("""COMPUTED_VALUE"""),388.1898163155092)</f>
        <v>388.1898163</v>
      </c>
      <c r="Z462" s="80">
        <f>IFERROR(__xludf.DUMMYFUNCTION("""COMPUTED_VALUE"""),0.8932923704883968)</f>
        <v>0.8932923705</v>
      </c>
      <c r="AA462" s="80">
        <f>IFERROR(__xludf.DUMMYFUNCTION("""COMPUTED_VALUE"""),0.6750889653576526)</f>
        <v>0.6750889654</v>
      </c>
      <c r="AB462" s="80">
        <f>IFERROR(__xludf.DUMMYFUNCTION("""COMPUTED_VALUE"""),1.4925636194169336)</f>
        <v>1.492563619</v>
      </c>
      <c r="AC462" s="80">
        <f>IFERROR(__xludf.DUMMYFUNCTION("""COMPUTED_VALUE"""),2.843445982850176)</f>
        <v>2.843445983</v>
      </c>
      <c r="AD462" s="80">
        <f>IFERROR(__xludf.DUMMYFUNCTION("""COMPUTED_VALUE"""),1.096027378319631)</f>
        <v>1.096027378</v>
      </c>
      <c r="AE462" s="80">
        <f>IFERROR(__xludf.DUMMYFUNCTION("""COMPUTED_VALUE"""),1.243838129394998)</f>
        <v>1.243838129</v>
      </c>
      <c r="AF462" s="80">
        <f>IFERROR(__xludf.DUMMYFUNCTION("""COMPUTED_VALUE"""),1.08627658125744)</f>
        <v>1.086276581</v>
      </c>
      <c r="AG462" s="80">
        <f>IFERROR(__xludf.DUMMYFUNCTION("""COMPUTED_VALUE"""),0.9230948415559019)</f>
        <v>0.9230948416</v>
      </c>
      <c r="AH462" s="80">
        <f>IFERROR(__xludf.DUMMYFUNCTION("""COMPUTED_VALUE"""),1.141025524667193)</f>
        <v>1.141025525</v>
      </c>
      <c r="AI462" s="80">
        <f>IFERROR(__xludf.DUMMYFUNCTION("""COMPUTED_VALUE"""),1.0310303186745933)</f>
        <v>1.031030319</v>
      </c>
      <c r="AJ462" s="80">
        <f>IFERROR(__xludf.DUMMYFUNCTION("""COMPUTED_VALUE"""),1.0275988554033988)</f>
        <v>1.027598855</v>
      </c>
      <c r="AK462" s="80">
        <f>IFERROR(__xludf.DUMMYFUNCTION("""COMPUTED_VALUE"""),0.9895979446091051)</f>
        <v>0.9895979446</v>
      </c>
      <c r="AL462" s="80">
        <f>IFERROR(__xludf.DUMMYFUNCTION("""COMPUTED_VALUE"""),1.021157610153946)</f>
        <v>1.02115761</v>
      </c>
      <c r="AM462" s="80">
        <f>IFERROR(__xludf.DUMMYFUNCTION("""COMPUTED_VALUE"""),0.960954273807403)</f>
        <v>0.9609542738</v>
      </c>
      <c r="AN462" s="80">
        <f>IFERROR(__xludf.DUMMYFUNCTION("""COMPUTED_VALUE"""),1.1347511725210886)</f>
        <v>1.134751173</v>
      </c>
      <c r="AO462" s="80">
        <f>IFERROR(__xludf.DUMMYFUNCTION("""COMPUTED_VALUE"""),1.3460187827049501)</f>
        <v>1.346018783</v>
      </c>
      <c r="AP462" s="80">
        <f>IFERROR(__xludf.DUMMYFUNCTION("""COMPUTED_VALUE"""),1.1302013434442382)</f>
        <v>1.130201343</v>
      </c>
      <c r="AQ462" s="80">
        <f>IFERROR(__xludf.DUMMYFUNCTION("""COMPUTED_VALUE"""),0.9482708954007897)</f>
        <v>0.9482708954</v>
      </c>
      <c r="AR462" s="80">
        <f>IFERROR(__xludf.DUMMYFUNCTION("""COMPUTED_VALUE"""),1.1935793696694517)</f>
        <v>1.19357937</v>
      </c>
      <c r="AS462" s="80">
        <f>IFERROR(__xludf.DUMMYFUNCTION("""COMPUTED_VALUE"""),122.0)</f>
        <v>122</v>
      </c>
      <c r="AT462" s="80">
        <f>IFERROR(__xludf.DUMMYFUNCTION("""COMPUTED_VALUE"""),0.5078457896454275)</f>
        <v>0.5078457896</v>
      </c>
      <c r="AU462" s="80">
        <f>IFERROR(__xludf.DUMMYFUNCTION("""COMPUTED_VALUE"""),3.9406052736657022)</f>
        <v>3.940605274</v>
      </c>
      <c r="AV462" s="80">
        <f>IFERROR(__xludf.DUMMYFUNCTION("""COMPUTED_VALUE"""),73.25904811954464)</f>
        <v>73.25904812</v>
      </c>
      <c r="AW462" s="82">
        <f t="shared" si="1"/>
        <v>5.678854119</v>
      </c>
      <c r="AX462" s="83">
        <f t="array" ref="AX462">IFERROR(DGET('SBV Import'!A:G,"SBV",{"RSC ID","Tier";B462,A462}))</f>
        <v>71.92845909</v>
      </c>
      <c r="AY462" s="82">
        <f t="shared" si="2"/>
        <v>5.257464761</v>
      </c>
      <c r="AZ462" s="82">
        <v>0.42138935775871644</v>
      </c>
      <c r="BA462" s="84">
        <v>450.0</v>
      </c>
      <c r="BB462" s="84" t="b">
        <f>IFERROR(__xludf.DUMMYFUNCTION("iferror(if(A462="""",,E462&gt;=FILTER(Constants!$F$2:$F$10,Constants!$A$2:$A$10=A462)))"),TRUE)</f>
        <v>1</v>
      </c>
    </row>
    <row r="463">
      <c r="A463" s="80" t="str">
        <f>IFERROR(__xludf.DUMMYFUNCTION("""COMPUTED_VALUE"""),"Master")</f>
        <v>Master</v>
      </c>
      <c r="B463" s="80" t="str">
        <f>IFERROR(__xludf.DUMMYFUNCTION("""COMPUTED_VALUE"""),"RSC006952")</f>
        <v>RSC006952</v>
      </c>
      <c r="C463" s="80" t="str">
        <f>IFERROR(__xludf.DUMMYFUNCTION("""COMPUTED_VALUE"""),"nave")</f>
        <v>nave</v>
      </c>
      <c r="D463" s="80" t="str">
        <f>IFERROR(__xludf.DUMMYFUNCTION("""COMPUTED_VALUE"""),"Kawaii")</f>
        <v>Kawaii</v>
      </c>
      <c r="E463" s="80">
        <f>IFERROR(__xludf.DUMMYFUNCTION("""COMPUTED_VALUE"""),48.0)</f>
        <v>48</v>
      </c>
      <c r="F463" s="80">
        <f>IFERROR(__xludf.DUMMYFUNCTION("""COMPUTED_VALUE"""),22.0)</f>
        <v>22</v>
      </c>
      <c r="G463" s="80">
        <f>IFERROR(__xludf.DUMMYFUNCTION("""COMPUTED_VALUE"""),26.0)</f>
        <v>26</v>
      </c>
      <c r="H463" s="81">
        <f>IFERROR(__xludf.DUMMYFUNCTION("""COMPUTED_VALUE"""),0.4583333333333333)</f>
        <v>0.4583333333</v>
      </c>
      <c r="I463" s="81">
        <f>IFERROR(__xludf.DUMMYFUNCTION("""COMPUTED_VALUE"""),0.3181818181818181)</f>
        <v>0.3181818182</v>
      </c>
      <c r="J463" s="80">
        <f>IFERROR(__xludf.DUMMYFUNCTION("""COMPUTED_VALUE"""),426.5)</f>
        <v>426.5</v>
      </c>
      <c r="K463" s="80">
        <f>IFERROR(__xludf.DUMMYFUNCTION("""COMPUTED_VALUE"""),1.0208333333333333)</f>
        <v>1.020833333</v>
      </c>
      <c r="L463" s="80">
        <f>IFERROR(__xludf.DUMMYFUNCTION("""COMPUTED_VALUE"""),0.75)</f>
        <v>0.75</v>
      </c>
      <c r="M463" s="80">
        <f>IFERROR(__xludf.DUMMYFUNCTION("""COMPUTED_VALUE"""),1.5833333333333333)</f>
        <v>1.583333333</v>
      </c>
      <c r="N463" s="80">
        <f>IFERROR(__xludf.DUMMYFUNCTION("""COMPUTED_VALUE"""),3.2083333333333335)</f>
        <v>3.208333333</v>
      </c>
      <c r="O463" s="80">
        <f>IFERROR(__xludf.DUMMYFUNCTION("""COMPUTED_VALUE"""),412.5208333333333)</f>
        <v>412.5208333</v>
      </c>
      <c r="P463" s="80">
        <f>IFERROR(__xludf.DUMMYFUNCTION("""COMPUTED_VALUE"""),0.9583333333333338)</f>
        <v>0.9583333333</v>
      </c>
      <c r="Q463" s="80">
        <f>IFERROR(__xludf.DUMMYFUNCTION("""COMPUTED_VALUE"""),0.6944444444444442)</f>
        <v>0.6944444444</v>
      </c>
      <c r="R463" s="80">
        <f>IFERROR(__xludf.DUMMYFUNCTION("""COMPUTED_VALUE"""),1.5416666666666667)</f>
        <v>1.541666667</v>
      </c>
      <c r="S463" s="80">
        <f>IFERROR(__xludf.DUMMYFUNCTION("""COMPUTED_VALUE"""),2.9375)</f>
        <v>2.9375</v>
      </c>
      <c r="T463" s="80">
        <f>IFERROR(__xludf.DUMMYFUNCTION("""COMPUTED_VALUE"""),395.3000769403993)</f>
        <v>395.3000769</v>
      </c>
      <c r="U463" s="80">
        <f>IFERROR(__xludf.DUMMYFUNCTION("""COMPUTED_VALUE"""),0.9354878514525686)</f>
        <v>0.9354878515</v>
      </c>
      <c r="V463" s="80">
        <f>IFERROR(__xludf.DUMMYFUNCTION("""COMPUTED_VALUE"""),0.7010439980457415)</f>
        <v>0.701043998</v>
      </c>
      <c r="W463" s="80">
        <f>IFERROR(__xludf.DUMMYFUNCTION("""COMPUTED_VALUE"""),1.4702826997461418)</f>
        <v>1.4702827</v>
      </c>
      <c r="X463" s="80">
        <f>IFERROR(__xludf.DUMMYFUNCTION("""COMPUTED_VALUE"""),2.9228220147468242)</f>
        <v>2.922822015</v>
      </c>
      <c r="Y463" s="80">
        <f>IFERROR(__xludf.DUMMYFUNCTION("""COMPUTED_VALUE"""),380.4698395719509)</f>
        <v>380.4698396</v>
      </c>
      <c r="Z463" s="80">
        <f>IFERROR(__xludf.DUMMYFUNCTION("""COMPUTED_VALUE"""),0.8384628252880736)</f>
        <v>0.8384628253</v>
      </c>
      <c r="AA463" s="80">
        <f>IFERROR(__xludf.DUMMYFUNCTION("""COMPUTED_VALUE"""),0.6442196030476287)</f>
        <v>0.644219603</v>
      </c>
      <c r="AB463" s="80">
        <f>IFERROR(__xludf.DUMMYFUNCTION("""COMPUTED_VALUE"""),1.486150899981973)</f>
        <v>1.4861509</v>
      </c>
      <c r="AC463" s="80">
        <f>IFERROR(__xludf.DUMMYFUNCTION("""COMPUTED_VALUE"""),2.7569819294332127)</f>
        <v>2.756981929</v>
      </c>
      <c r="AD463" s="80">
        <f>IFERROR(__xludf.DUMMYFUNCTION("""COMPUTED_VALUE"""),1.1209824160565145)</f>
        <v>1.120982416</v>
      </c>
      <c r="AE463" s="80">
        <f>IFERROR(__xludf.DUMMYFUNCTION("""COMPUTED_VALUE"""),1.2175057766963038)</f>
        <v>1.217505777</v>
      </c>
      <c r="AF463" s="80">
        <f>IFERROR(__xludf.DUMMYFUNCTION("""COMPUTED_VALUE"""),1.164199283058064)</f>
        <v>1.164199283</v>
      </c>
      <c r="AG463" s="80">
        <f>IFERROR(__xludf.DUMMYFUNCTION("""COMPUTED_VALUE"""),1.0653920361334364)</f>
        <v>1.065392036</v>
      </c>
      <c r="AH463" s="80">
        <f>IFERROR(__xludf.DUMMYFUNCTION("""COMPUTED_VALUE"""),1.163712137203928)</f>
        <v>1.163712137</v>
      </c>
      <c r="AI463" s="80">
        <f>IFERROR(__xludf.DUMMYFUNCTION("""COMPUTED_VALUE"""),1.0435637567445513)</f>
        <v>1.043563757</v>
      </c>
      <c r="AJ463" s="80">
        <f>IFERROR(__xludf.DUMMYFUNCTION("""COMPUTED_VALUE"""),1.0244209284442252)</f>
        <v>1.024420928</v>
      </c>
      <c r="AK463" s="80">
        <f>IFERROR(__xludf.DUMMYFUNCTION("""COMPUTED_VALUE"""),0.9905861064074517)</f>
        <v>0.9905861064</v>
      </c>
      <c r="AL463" s="80">
        <f>IFERROR(__xludf.DUMMYFUNCTION("""COMPUTED_VALUE"""),1.0485511847026767)</f>
        <v>1.048551185</v>
      </c>
      <c r="AM463" s="80">
        <f>IFERROR(__xludf.DUMMYFUNCTION("""COMPUTED_VALUE"""),1.0050218539408555)</f>
        <v>1.005021854</v>
      </c>
      <c r="AN463" s="80">
        <f>IFERROR(__xludf.DUMMYFUNCTION("""COMPUTED_VALUE"""),1.1375071492014517)</f>
        <v>1.137507149</v>
      </c>
      <c r="AO463" s="80">
        <f>IFERROR(__xludf.DUMMYFUNCTION("""COMPUTED_VALUE"""),1.2366547566101729)</f>
        <v>1.236654757</v>
      </c>
      <c r="AP463" s="80">
        <f>IFERROR(__xludf.DUMMYFUNCTION("""COMPUTED_VALUE"""),1.1558877376134253)</f>
        <v>1.155887738</v>
      </c>
      <c r="AQ463" s="80">
        <f>IFERROR(__xludf.DUMMYFUNCTION("""COMPUTED_VALUE"""),1.089746795117843)</f>
        <v>1.089746795</v>
      </c>
      <c r="AR463" s="80">
        <f>IFERROR(__xludf.DUMMYFUNCTION("""COMPUTED_VALUE"""),1.1802946677810073)</f>
        <v>1.180294668</v>
      </c>
      <c r="AS463" s="80">
        <f>IFERROR(__xludf.DUMMYFUNCTION("""COMPUTED_VALUE"""),124.0)</f>
        <v>124</v>
      </c>
      <c r="AT463" s="80">
        <f>IFERROR(__xludf.DUMMYFUNCTION("""COMPUTED_VALUE"""),0.45658380538951937)</f>
        <v>0.4565838054</v>
      </c>
      <c r="AU463" s="80">
        <f>IFERROR(__xludf.DUMMYFUNCTION("""COMPUTED_VALUE"""),3.907725263953018)</f>
        <v>3.907725264</v>
      </c>
      <c r="AV463" s="80">
        <f>IFERROR(__xludf.DUMMYFUNCTION("""COMPUTED_VALUE"""),72.38238923067613)</f>
        <v>72.38238923</v>
      </c>
      <c r="AW463" s="82">
        <f t="shared" si="1"/>
        <v>5.396230236</v>
      </c>
      <c r="AX463" s="83">
        <f t="array" ref="AX463">IFERROR(DGET('SBV Import'!A:G,"SBV",{"RSC ID","Tier";B463,A463}))</f>
        <v>64.2653296</v>
      </c>
      <c r="AY463" s="82">
        <f t="shared" si="2"/>
        <v>3.519504074</v>
      </c>
      <c r="AZ463" s="82">
        <v>1.8767261620943745</v>
      </c>
      <c r="BA463" s="84">
        <v>450.0</v>
      </c>
      <c r="BB463" s="84" t="b">
        <f>IFERROR(__xludf.DUMMYFUNCTION("iferror(if(A463="""",,E463&gt;=FILTER(Constants!$F$2:$F$10,Constants!$A$2:$A$10=A463)))"),TRUE)</f>
        <v>1</v>
      </c>
    </row>
    <row r="464">
      <c r="A464" s="80" t="str">
        <f>IFERROR(__xludf.DUMMYFUNCTION("""COMPUTED_VALUE"""),"Master")</f>
        <v>Master</v>
      </c>
      <c r="B464" s="80" t="str">
        <f>IFERROR(__xludf.DUMMYFUNCTION("""COMPUTED_VALUE"""),"RSC005625")</f>
        <v>RSC005625</v>
      </c>
      <c r="C464" s="80" t="str">
        <f>IFERROR(__xludf.DUMMYFUNCTION("""COMPUTED_VALUE"""),"aspect of hope")</f>
        <v>aspect of hope</v>
      </c>
      <c r="D464" s="80" t="str">
        <f>IFERROR(__xludf.DUMMYFUNCTION("""COMPUTED_VALUE"""),"Spectres")</f>
        <v>Spectres</v>
      </c>
      <c r="E464" s="80">
        <f>IFERROR(__xludf.DUMMYFUNCTION("""COMPUTED_VALUE"""),35.0)</f>
        <v>35</v>
      </c>
      <c r="F464" s="80">
        <f>IFERROR(__xludf.DUMMYFUNCTION("""COMPUTED_VALUE"""),12.0)</f>
        <v>12</v>
      </c>
      <c r="G464" s="80">
        <f>IFERROR(__xludf.DUMMYFUNCTION("""COMPUTED_VALUE"""),23.0)</f>
        <v>23</v>
      </c>
      <c r="H464" s="81">
        <f>IFERROR(__xludf.DUMMYFUNCTION("""COMPUTED_VALUE"""),0.34285714285714286)</f>
        <v>0.3428571429</v>
      </c>
      <c r="I464" s="81">
        <f>IFERROR(__xludf.DUMMYFUNCTION("""COMPUTED_VALUE"""),0.3619047619047619)</f>
        <v>0.3619047619</v>
      </c>
      <c r="J464" s="80">
        <f>IFERROR(__xludf.DUMMYFUNCTION("""COMPUTED_VALUE"""),396.22857142857146)</f>
        <v>396.2285714</v>
      </c>
      <c r="K464" s="80">
        <f>IFERROR(__xludf.DUMMYFUNCTION("""COMPUTED_VALUE"""),1.0857142857142856)</f>
        <v>1.085714286</v>
      </c>
      <c r="L464" s="80">
        <f>IFERROR(__xludf.DUMMYFUNCTION("""COMPUTED_VALUE"""),0.8857142857142857)</f>
        <v>0.8857142857</v>
      </c>
      <c r="M464" s="80">
        <f>IFERROR(__xludf.DUMMYFUNCTION("""COMPUTED_VALUE"""),1.2857142857142858)</f>
        <v>1.285714286</v>
      </c>
      <c r="N464" s="80">
        <f>IFERROR(__xludf.DUMMYFUNCTION("""COMPUTED_VALUE"""),3.0)</f>
        <v>3</v>
      </c>
      <c r="O464" s="80">
        <f>IFERROR(__xludf.DUMMYFUNCTION("""COMPUTED_VALUE"""),418.61904761904765)</f>
        <v>418.6190476</v>
      </c>
      <c r="P464" s="80">
        <f>IFERROR(__xludf.DUMMYFUNCTION("""COMPUTED_VALUE"""),1.095238095238095)</f>
        <v>1.095238095</v>
      </c>
      <c r="Q464" s="80">
        <f>IFERROR(__xludf.DUMMYFUNCTION("""COMPUTED_VALUE"""),0.8666666666666665)</f>
        <v>0.8666666667</v>
      </c>
      <c r="R464" s="80">
        <f>IFERROR(__xludf.DUMMYFUNCTION("""COMPUTED_VALUE"""),1.5047619047619052)</f>
        <v>1.504761905</v>
      </c>
      <c r="S464" s="80">
        <f>IFERROR(__xludf.DUMMYFUNCTION("""COMPUTED_VALUE"""),3.019047619047619)</f>
        <v>3.019047619</v>
      </c>
      <c r="T464" s="80">
        <f>IFERROR(__xludf.DUMMYFUNCTION("""COMPUTED_VALUE"""),389.5817945185855)</f>
        <v>389.5817945</v>
      </c>
      <c r="U464" s="80">
        <f>IFERROR(__xludf.DUMMYFUNCTION("""COMPUTED_VALUE"""),0.8904070637053875)</f>
        <v>0.8904070637</v>
      </c>
      <c r="V464" s="80">
        <f>IFERROR(__xludf.DUMMYFUNCTION("""COMPUTED_VALUE"""),0.672480794129561)</f>
        <v>0.6724807941</v>
      </c>
      <c r="W464" s="80">
        <f>IFERROR(__xludf.DUMMYFUNCTION("""COMPUTED_VALUE"""),1.4660744398267227)</f>
        <v>1.46607444</v>
      </c>
      <c r="X464" s="80">
        <f>IFERROR(__xludf.DUMMYFUNCTION("""COMPUTED_VALUE"""),2.8769685755789336)</f>
        <v>2.876968576</v>
      </c>
      <c r="Y464" s="80">
        <f>IFERROR(__xludf.DUMMYFUNCTION("""COMPUTED_VALUE"""),380.15031080832165)</f>
        <v>380.1503108</v>
      </c>
      <c r="Z464" s="80">
        <f>IFERROR(__xludf.DUMMYFUNCTION("""COMPUTED_VALUE"""),0.8470025343476538)</f>
        <v>0.8470025343</v>
      </c>
      <c r="AA464" s="80">
        <f>IFERROR(__xludf.DUMMYFUNCTION("""COMPUTED_VALUE"""),0.6598052554942062)</f>
        <v>0.6598052555</v>
      </c>
      <c r="AB464" s="80">
        <f>IFERROR(__xludf.DUMMYFUNCTION("""COMPUTED_VALUE"""),1.4686623846228448)</f>
        <v>1.468662385</v>
      </c>
      <c r="AC464" s="80">
        <f>IFERROR(__xludf.DUMMYFUNCTION("""COMPUTED_VALUE"""),2.770828140290778)</f>
        <v>2.77082814</v>
      </c>
      <c r="AD464" s="80">
        <f>IFERROR(__xludf.DUMMYFUNCTION("""COMPUTED_VALUE"""),1.0422944823747804)</f>
        <v>1.042294482</v>
      </c>
      <c r="AE464" s="80">
        <f>IFERROR(__xludf.DUMMYFUNCTION("""COMPUTED_VALUE"""),1.281831212642691)</f>
        <v>1.281831213</v>
      </c>
      <c r="AF464" s="80">
        <f>IFERROR(__xludf.DUMMYFUNCTION("""COMPUTED_VALUE"""),1.34238743680644)</f>
        <v>1.342387437</v>
      </c>
      <c r="AG464" s="80">
        <f>IFERROR(__xludf.DUMMYFUNCTION("""COMPUTED_VALUE"""),0.8754321613843603)</f>
        <v>0.8754321614</v>
      </c>
      <c r="AH464" s="80">
        <f>IFERROR(__xludf.DUMMYFUNCTION("""COMPUTED_VALUE"""),1.0827087961093005)</f>
        <v>1.082708796</v>
      </c>
      <c r="AI464" s="80">
        <f>IFERROR(__xludf.DUMMYFUNCTION("""COMPUTED_VALUE"""),1.0745344200088818)</f>
        <v>1.07453442</v>
      </c>
      <c r="AJ464" s="80">
        <f>IFERROR(__xludf.DUMMYFUNCTION("""COMPUTED_VALUE"""),1.230042010988)</f>
        <v>1.230042011</v>
      </c>
      <c r="AK464" s="80">
        <f>IFERROR(__xludf.DUMMYFUNCTION("""COMPUTED_VALUE"""),1.2887604735068365)</f>
        <v>1.288760474</v>
      </c>
      <c r="AL464" s="80">
        <f>IFERROR(__xludf.DUMMYFUNCTION("""COMPUTED_VALUE"""),1.0263884724296504)</f>
        <v>1.026388472</v>
      </c>
      <c r="AM464" s="80">
        <f>IFERROR(__xludf.DUMMYFUNCTION("""COMPUTED_VALUE"""),1.0493849827470203)</f>
        <v>1.049384983</v>
      </c>
      <c r="AN464" s="80">
        <f>IFERROR(__xludf.DUMMYFUNCTION("""COMPUTED_VALUE"""),1.0567710028555173)</f>
        <v>1.056771003</v>
      </c>
      <c r="AO464" s="80">
        <f>IFERROR(__xludf.DUMMYFUNCTION("""COMPUTED_VALUE"""),1.3152526391002655)</f>
        <v>1.315252639</v>
      </c>
      <c r="AP464" s="80">
        <f>IFERROR(__xludf.DUMMYFUNCTION("""COMPUTED_VALUE"""),1.3650483758482357)</f>
        <v>1.365048376</v>
      </c>
      <c r="AQ464" s="80">
        <f>IFERROR(__xludf.DUMMYFUNCTION("""COMPUTED_VALUE"""),0.8849071719753914)</f>
        <v>0.884907172</v>
      </c>
      <c r="AR464" s="80">
        <f>IFERROR(__xludf.DUMMYFUNCTION("""COMPUTED_VALUE"""),1.1036521568861368)</f>
        <v>1.103652157</v>
      </c>
      <c r="AS464" s="80">
        <f>IFERROR(__xludf.DUMMYFUNCTION("""COMPUTED_VALUE"""),99.0)</f>
        <v>99</v>
      </c>
      <c r="AT464" s="80">
        <f>IFERROR(__xludf.DUMMYFUNCTION("""COMPUTED_VALUE"""),0.43735583333943184)</f>
        <v>0.4373558333</v>
      </c>
      <c r="AU464" s="80">
        <f>IFERROR(__xludf.DUMMYFUNCTION("""COMPUTED_VALUE"""),3.8819496374699365)</f>
        <v>3.881949637</v>
      </c>
      <c r="AV464" s="80">
        <f>IFERROR(__xludf.DUMMYFUNCTION("""COMPUTED_VALUE"""),71.69515001542034)</f>
        <v>71.69515002</v>
      </c>
      <c r="AW464" s="82">
        <f t="shared" si="1"/>
        <v>5.188060117</v>
      </c>
      <c r="AX464" s="83">
        <f t="array" ref="AX464">IFERROR(DGET('SBV Import'!A:G,"SBV",{"RSC ID","Tier";B464,A464}))</f>
        <v>52.60565979</v>
      </c>
      <c r="AY464" s="82">
        <f t="shared" si="2"/>
        <v>2.181049603</v>
      </c>
      <c r="AZ464" s="82">
        <v>3.0070105143848527</v>
      </c>
      <c r="BA464" s="84">
        <v>450.0</v>
      </c>
      <c r="BB464" s="84" t="b">
        <f>IFERROR(__xludf.DUMMYFUNCTION("iferror(if(A464="""",,E464&gt;=FILTER(Constants!$F$2:$F$10,Constants!$A$2:$A$10=A464)))"),TRUE)</f>
        <v>1</v>
      </c>
    </row>
    <row r="465">
      <c r="A465" s="80" t="str">
        <f>IFERROR(__xludf.DUMMYFUNCTION("""COMPUTED_VALUE"""),"Master")</f>
        <v>Master</v>
      </c>
      <c r="B465" s="80" t="str">
        <f>IFERROR(__xludf.DUMMYFUNCTION("""COMPUTED_VALUE"""),"RSC004132")</f>
        <v>RSC004132</v>
      </c>
      <c r="C465" s="80" t="str">
        <f>IFERROR(__xludf.DUMMYFUNCTION("""COMPUTED_VALUE"""),"Rob Belichick")</f>
        <v>Rob Belichick</v>
      </c>
      <c r="D465" s="80" t="str">
        <f>IFERROR(__xludf.DUMMYFUNCTION("""COMPUTED_VALUE"""),"Battle Masters")</f>
        <v>Battle Masters</v>
      </c>
      <c r="E465" s="80">
        <f>IFERROR(__xludf.DUMMYFUNCTION("""COMPUTED_VALUE"""),11.0)</f>
        <v>11</v>
      </c>
      <c r="F465" s="80">
        <f>IFERROR(__xludf.DUMMYFUNCTION("""COMPUTED_VALUE"""),7.0)</f>
        <v>7</v>
      </c>
      <c r="G465" s="80">
        <f>IFERROR(__xludf.DUMMYFUNCTION("""COMPUTED_VALUE"""),4.0)</f>
        <v>4</v>
      </c>
      <c r="H465" s="81">
        <f>IFERROR(__xludf.DUMMYFUNCTION("""COMPUTED_VALUE"""),0.6363636363636364)</f>
        <v>0.6363636364</v>
      </c>
      <c r="I465" s="81">
        <f>IFERROR(__xludf.DUMMYFUNCTION("""COMPUTED_VALUE"""),0.4482758620689656)</f>
        <v>0.4482758621</v>
      </c>
      <c r="J465" s="80">
        <f>IFERROR(__xludf.DUMMYFUNCTION("""COMPUTED_VALUE"""),424.27272727272725)</f>
        <v>424.2727273</v>
      </c>
      <c r="K465" s="80">
        <f>IFERROR(__xludf.DUMMYFUNCTION("""COMPUTED_VALUE"""),1.1818181818181819)</f>
        <v>1.181818182</v>
      </c>
      <c r="L465" s="80">
        <f>IFERROR(__xludf.DUMMYFUNCTION("""COMPUTED_VALUE"""),0.8181818181818182)</f>
        <v>0.8181818182</v>
      </c>
      <c r="M465" s="80">
        <f>IFERROR(__xludf.DUMMYFUNCTION("""COMPUTED_VALUE"""),1.2727272727272727)</f>
        <v>1.272727273</v>
      </c>
      <c r="N465" s="80">
        <f>IFERROR(__xludf.DUMMYFUNCTION("""COMPUTED_VALUE"""),2.6363636363636362)</f>
        <v>2.636363636</v>
      </c>
      <c r="O465" s="80">
        <f>IFERROR(__xludf.DUMMYFUNCTION("""COMPUTED_VALUE"""),392.1515151515152)</f>
        <v>392.1515152</v>
      </c>
      <c r="P465" s="80">
        <f>IFERROR(__xludf.DUMMYFUNCTION("""COMPUTED_VALUE"""),0.9090909090909091)</f>
        <v>0.9090909091</v>
      </c>
      <c r="Q465" s="80">
        <f>IFERROR(__xludf.DUMMYFUNCTION("""COMPUTED_VALUE"""),0.7272727272727273)</f>
        <v>0.7272727273</v>
      </c>
      <c r="R465" s="80">
        <f>IFERROR(__xludf.DUMMYFUNCTION("""COMPUTED_VALUE"""),1.212121212121212)</f>
        <v>1.212121212</v>
      </c>
      <c r="S465" s="80">
        <f>IFERROR(__xludf.DUMMYFUNCTION("""COMPUTED_VALUE"""),3.060606060606061)</f>
        <v>3.060606061</v>
      </c>
      <c r="T465" s="80">
        <f>IFERROR(__xludf.DUMMYFUNCTION("""COMPUTED_VALUE"""),383.9182298769096)</f>
        <v>383.9182299</v>
      </c>
      <c r="U465" s="80">
        <f>IFERROR(__xludf.DUMMYFUNCTION("""COMPUTED_VALUE"""),0.8267231028789996)</f>
        <v>0.8267231029</v>
      </c>
      <c r="V465" s="80">
        <f>IFERROR(__xludf.DUMMYFUNCTION("""COMPUTED_VALUE"""),0.6740602816296178)</f>
        <v>0.6740602816</v>
      </c>
      <c r="W465" s="80">
        <f>IFERROR(__xludf.DUMMYFUNCTION("""COMPUTED_VALUE"""),1.4888522578735817)</f>
        <v>1.488852258</v>
      </c>
      <c r="X465" s="80">
        <f>IFERROR(__xludf.DUMMYFUNCTION("""COMPUTED_VALUE"""),2.701681210323568)</f>
        <v>2.70168121</v>
      </c>
      <c r="Y465" s="80">
        <f>IFERROR(__xludf.DUMMYFUNCTION("""COMPUTED_VALUE"""),402.42238233172156)</f>
        <v>402.4223823</v>
      </c>
      <c r="Z465" s="80">
        <f>IFERROR(__xludf.DUMMYFUNCTION("""COMPUTED_VALUE"""),0.933491603945025)</f>
        <v>0.9334916039</v>
      </c>
      <c r="AA465" s="80">
        <f>IFERROR(__xludf.DUMMYFUNCTION("""COMPUTED_VALUE"""),0.7025303214340066)</f>
        <v>0.7025303214</v>
      </c>
      <c r="AB465" s="80">
        <f>IFERROR(__xludf.DUMMYFUNCTION("""COMPUTED_VALUE"""),1.4925580137761978)</f>
        <v>1.492558014</v>
      </c>
      <c r="AC465" s="80">
        <f>IFERROR(__xludf.DUMMYFUNCTION("""COMPUTED_VALUE"""),2.9455194608970277)</f>
        <v>2.945519461</v>
      </c>
      <c r="AD465" s="80">
        <f>IFERROR(__xludf.DUMMYFUNCTION("""COMPUTED_VALUE"""),1.054297041865316)</f>
        <v>1.054297042</v>
      </c>
      <c r="AE465" s="80">
        <f>IFERROR(__xludf.DUMMYFUNCTION("""COMPUTED_VALUE"""),1.2660190802185098)</f>
        <v>1.26601908</v>
      </c>
      <c r="AF465" s="80">
        <f>IFERROR(__xludf.DUMMYFUNCTION("""COMPUTED_VALUE"""),1.1646213597040815)</f>
        <v>1.16462136</v>
      </c>
      <c r="AG465" s="80">
        <f>IFERROR(__xludf.DUMMYFUNCTION("""COMPUTED_VALUE"""),0.8527154462205797)</f>
        <v>0.8527154462</v>
      </c>
      <c r="AH465" s="80">
        <f>IFERROR(__xludf.DUMMYFUNCTION("""COMPUTED_VALUE"""),0.8950420023912382)</f>
        <v>0.8950420024</v>
      </c>
      <c r="AI465" s="80">
        <f>IFERROR(__xludf.DUMMYFUNCTION("""COMPUTED_VALUE"""),1.0214454137206386)</f>
        <v>1.021445414</v>
      </c>
      <c r="AJ465" s="80">
        <f>IFERROR(__xludf.DUMMYFUNCTION("""COMPUTED_VALUE"""),1.099631673440684)</f>
        <v>1.099631673</v>
      </c>
      <c r="AK465" s="80">
        <f>IFERROR(__xludf.DUMMYFUNCTION("""COMPUTED_VALUE"""),1.078943155520842)</f>
        <v>1.078943156</v>
      </c>
      <c r="AL465" s="80">
        <f>IFERROR(__xludf.DUMMYFUNCTION("""COMPUTED_VALUE"""),0.8141312918800927)</f>
        <v>0.8141312919</v>
      </c>
      <c r="AM465" s="80">
        <f>IFERROR(__xludf.DUMMYFUNCTION("""COMPUTED_VALUE"""),1.1328524064611998)</f>
        <v>1.132852406</v>
      </c>
      <c r="AN465" s="80">
        <f>IFERROR(__xludf.DUMMYFUNCTION("""COMPUTED_VALUE"""),1.131566847559027)</f>
        <v>1.131566848</v>
      </c>
      <c r="AO465" s="80">
        <f>IFERROR(__xludf.DUMMYFUNCTION("""COMPUTED_VALUE"""),1.431674523422538)</f>
        <v>1.431674523</v>
      </c>
      <c r="AP465" s="80">
        <f>IFERROR(__xludf.DUMMYFUNCTION("""COMPUTED_VALUE"""),1.260968441032828)</f>
        <v>1.260968441</v>
      </c>
      <c r="AQ465" s="80">
        <f>IFERROR(__xludf.DUMMYFUNCTION("""COMPUTED_VALUE"""),0.8759687156928115)</f>
        <v>0.8759687157</v>
      </c>
      <c r="AR465" s="80">
        <f>IFERROR(__xludf.DUMMYFUNCTION("""COMPUTED_VALUE"""),0.9698761378696352)</f>
        <v>0.9698761379</v>
      </c>
      <c r="AS465" s="80">
        <f>IFERROR(__xludf.DUMMYFUNCTION("""COMPUTED_VALUE"""),38.0)</f>
        <v>38</v>
      </c>
      <c r="AT465" s="80">
        <f>IFERROR(__xludf.DUMMYFUNCTION("""COMPUTED_VALUE"""),0.5983821157340817)</f>
        <v>0.5983821157</v>
      </c>
      <c r="AU465" s="80">
        <f>IFERROR(__xludf.DUMMYFUNCTION("""COMPUTED_VALUE"""),3.827712799705802)</f>
        <v>3.8277128</v>
      </c>
      <c r="AV465" s="80">
        <f>IFERROR(__xludf.DUMMYFUNCTION("""COMPUTED_VALUE"""),70.24906753717505)</f>
        <v>70.24906754</v>
      </c>
      <c r="AW465" s="82">
        <f t="shared" si="1"/>
        <v>4.785128438</v>
      </c>
      <c r="AX465" s="83">
        <f t="array" ref="AX465">IFERROR(DGET('SBV Import'!A:G,"SBV",{"RSC ID","Tier";B465,A465}))</f>
        <v>51.47346548</v>
      </c>
      <c r="AY465" s="82">
        <f t="shared" si="2"/>
        <v>2.098633689</v>
      </c>
      <c r="AZ465" s="82">
        <v>2.6864947488737676</v>
      </c>
      <c r="BA465" s="84">
        <v>450.0</v>
      </c>
      <c r="BB465" s="84" t="b">
        <f>IFERROR(__xludf.DUMMYFUNCTION("iferror(if(A465="""",,E465&gt;=FILTER(Constants!$F$2:$F$10,Constants!$A$2:$A$10=A465)))"),TRUE)</f>
        <v>1</v>
      </c>
    </row>
    <row r="466">
      <c r="A466" s="80" t="str">
        <f>IFERROR(__xludf.DUMMYFUNCTION("""COMPUTED_VALUE"""),"Master")</f>
        <v>Master</v>
      </c>
      <c r="B466" s="80" t="str">
        <f>IFERROR(__xludf.DUMMYFUNCTION("""COMPUTED_VALUE"""),"RSC000381")</f>
        <v>RSC000381</v>
      </c>
      <c r="C466" s="80" t="str">
        <f>IFERROR(__xludf.DUMMYFUNCTION("""COMPUTED_VALUE"""),"Noriko")</f>
        <v>Noriko</v>
      </c>
      <c r="D466" s="80" t="str">
        <f>IFERROR(__xludf.DUMMYFUNCTION("""COMPUTED_VALUE"""),"Andromeda")</f>
        <v>Andromeda</v>
      </c>
      <c r="E466" s="80">
        <f>IFERROR(__xludf.DUMMYFUNCTION("""COMPUTED_VALUE"""),28.0)</f>
        <v>28</v>
      </c>
      <c r="F466" s="80">
        <f>IFERROR(__xludf.DUMMYFUNCTION("""COMPUTED_VALUE"""),16.0)</f>
        <v>16</v>
      </c>
      <c r="G466" s="80">
        <f>IFERROR(__xludf.DUMMYFUNCTION("""COMPUTED_VALUE"""),12.0)</f>
        <v>12</v>
      </c>
      <c r="H466" s="81">
        <f>IFERROR(__xludf.DUMMYFUNCTION("""COMPUTED_VALUE"""),0.5714285714285714)</f>
        <v>0.5714285714</v>
      </c>
      <c r="I466" s="81">
        <f>IFERROR(__xludf.DUMMYFUNCTION("""COMPUTED_VALUE"""),0.4177215189873418)</f>
        <v>0.417721519</v>
      </c>
      <c r="J466" s="80">
        <f>IFERROR(__xludf.DUMMYFUNCTION("""COMPUTED_VALUE"""),443.0357142857143)</f>
        <v>443.0357143</v>
      </c>
      <c r="K466" s="80">
        <f>IFERROR(__xludf.DUMMYFUNCTION("""COMPUTED_VALUE"""),1.1785714285714286)</f>
        <v>1.178571429</v>
      </c>
      <c r="L466" s="80">
        <f>IFERROR(__xludf.DUMMYFUNCTION("""COMPUTED_VALUE"""),0.6428571428571429)</f>
        <v>0.6428571429</v>
      </c>
      <c r="M466" s="80">
        <f>IFERROR(__xludf.DUMMYFUNCTION("""COMPUTED_VALUE"""),1.5357142857142858)</f>
        <v>1.535714286</v>
      </c>
      <c r="N466" s="80">
        <f>IFERROR(__xludf.DUMMYFUNCTION("""COMPUTED_VALUE"""),2.8214285714285716)</f>
        <v>2.821428571</v>
      </c>
      <c r="O466" s="80">
        <f>IFERROR(__xludf.DUMMYFUNCTION("""COMPUTED_VALUE"""),364.2976190476191)</f>
        <v>364.297619</v>
      </c>
      <c r="P466" s="80">
        <f>IFERROR(__xludf.DUMMYFUNCTION("""COMPUTED_VALUE"""),0.7857142857142856)</f>
        <v>0.7857142857</v>
      </c>
      <c r="Q466" s="80">
        <f>IFERROR(__xludf.DUMMYFUNCTION("""COMPUTED_VALUE"""),0.6071428571428571)</f>
        <v>0.6071428571</v>
      </c>
      <c r="R466" s="80">
        <f>IFERROR(__xludf.DUMMYFUNCTION("""COMPUTED_VALUE"""),1.4166666666666665)</f>
        <v>1.416666667</v>
      </c>
      <c r="S466" s="80">
        <f>IFERROR(__xludf.DUMMYFUNCTION("""COMPUTED_VALUE"""),2.678571428571428)</f>
        <v>2.678571429</v>
      </c>
      <c r="T466" s="80">
        <f>IFERROR(__xludf.DUMMYFUNCTION("""COMPUTED_VALUE"""),376.63253135797686)</f>
        <v>376.6325314</v>
      </c>
      <c r="U466" s="80">
        <f>IFERROR(__xludf.DUMMYFUNCTION("""COMPUTED_VALUE"""),0.8282678666200791)</f>
        <v>0.8282678666</v>
      </c>
      <c r="V466" s="80">
        <f>IFERROR(__xludf.DUMMYFUNCTION("""COMPUTED_VALUE"""),0.621300459468934)</f>
        <v>0.6213004595</v>
      </c>
      <c r="W466" s="80">
        <f>IFERROR(__xludf.DUMMYFUNCTION("""COMPUTED_VALUE"""),1.5040818196815564)</f>
        <v>1.50408182</v>
      </c>
      <c r="X466" s="80">
        <f>IFERROR(__xludf.DUMMYFUNCTION("""COMPUTED_VALUE"""),2.68835614548447)</f>
        <v>2.688356145</v>
      </c>
      <c r="Y466" s="80">
        <f>IFERROR(__xludf.DUMMYFUNCTION("""COMPUTED_VALUE"""),399.4521161865451)</f>
        <v>399.4521162</v>
      </c>
      <c r="Z466" s="80">
        <f>IFERROR(__xludf.DUMMYFUNCTION("""COMPUTED_VALUE"""),0.9811014835692591)</f>
        <v>0.9811014836</v>
      </c>
      <c r="AA466" s="80">
        <f>IFERROR(__xludf.DUMMYFUNCTION("""COMPUTED_VALUE"""),0.7655362379043025)</f>
        <v>0.7655362379</v>
      </c>
      <c r="AB466" s="80">
        <f>IFERROR(__xludf.DUMMYFUNCTION("""COMPUTED_VALUE"""),1.4370587782263544)</f>
        <v>1.437058778</v>
      </c>
      <c r="AC466" s="80">
        <f>IFERROR(__xludf.DUMMYFUNCTION("""COMPUTED_VALUE"""),3.0178171025044445)</f>
        <v>3.017817103</v>
      </c>
      <c r="AD466" s="80">
        <f>IFERROR(__xludf.DUMMYFUNCTION("""COMPUTED_VALUE"""),1.109108442121297)</f>
        <v>1.109108442</v>
      </c>
      <c r="AE466" s="80">
        <f>IFERROR(__xludf.DUMMYFUNCTION("""COMPUTED_VALUE"""),1.2012737197010155)</f>
        <v>1.20127372</v>
      </c>
      <c r="AF466" s="80">
        <f>IFERROR(__xludf.DUMMYFUNCTION("""COMPUTED_VALUE"""),0.8397475011986365)</f>
        <v>0.8397475012</v>
      </c>
      <c r="AG466" s="80">
        <f>IFERROR(__xludf.DUMMYFUNCTION("""COMPUTED_VALUE"""),1.0686509897734968)</f>
        <v>1.06865099</v>
      </c>
      <c r="AH466" s="80">
        <f>IFERROR(__xludf.DUMMYFUNCTION("""COMPUTED_VALUE"""),0.9349236469920948)</f>
        <v>0.934923647</v>
      </c>
      <c r="AI466" s="80">
        <f>IFERROR(__xludf.DUMMYFUNCTION("""COMPUTED_VALUE"""),0.9672494771869989)</f>
        <v>0.9672494772</v>
      </c>
      <c r="AJ466" s="80">
        <f>IFERROR(__xludf.DUMMYFUNCTION("""COMPUTED_VALUE"""),0.9486234072082956)</f>
        <v>0.9486234072</v>
      </c>
      <c r="AK466" s="80">
        <f>IFERROR(__xludf.DUMMYFUNCTION("""COMPUTED_VALUE"""),0.9772129537161806)</f>
        <v>0.9772129537</v>
      </c>
      <c r="AL466" s="80">
        <f>IFERROR(__xludf.DUMMYFUNCTION("""COMPUTED_VALUE"""),0.9418813844625837)</f>
        <v>0.9418813845</v>
      </c>
      <c r="AM466" s="80">
        <f>IFERROR(__xludf.DUMMYFUNCTION("""COMPUTED_VALUE"""),0.9963603345749122)</f>
        <v>0.9963603346</v>
      </c>
      <c r="AN466" s="80">
        <f>IFERROR(__xludf.DUMMYFUNCTION("""COMPUTED_VALUE"""),1.181609126263943)</f>
        <v>1.181609126</v>
      </c>
      <c r="AO466" s="80">
        <f>IFERROR(__xludf.DUMMYFUNCTION("""COMPUTED_VALUE"""),1.4277413516548936)</f>
        <v>1.427741352</v>
      </c>
      <c r="AP466" s="80">
        <f>IFERROR(__xludf.DUMMYFUNCTION("""COMPUTED_VALUE"""),0.9907609179543647)</f>
        <v>0.990760918</v>
      </c>
      <c r="AQ466" s="80">
        <f>IFERROR(__xludf.DUMMYFUNCTION("""COMPUTED_VALUE"""),1.0569724554150508)</f>
        <v>1.056972455</v>
      </c>
      <c r="AR466" s="80">
        <f>IFERROR(__xludf.DUMMYFUNCTION("""COMPUTED_VALUE"""),1.0379585761191048)</f>
        <v>1.037958576</v>
      </c>
      <c r="AS466" s="80">
        <f>IFERROR(__xludf.DUMMYFUNCTION("""COMPUTED_VALUE"""),85.0)</f>
        <v>85</v>
      </c>
      <c r="AT466" s="80">
        <f>IFERROR(__xludf.DUMMYFUNCTION("""COMPUTED_VALUE"""),0.6011700162038152)</f>
        <v>0.6011700162</v>
      </c>
      <c r="AU466" s="80">
        <f>IFERROR(__xludf.DUMMYFUNCTION("""COMPUTED_VALUE"""),3.7015750863012253)</f>
        <v>3.701575086</v>
      </c>
      <c r="AV466" s="80">
        <f>IFERROR(__xludf.DUMMYFUNCTION("""COMPUTED_VALUE"""),66.88593751854214)</f>
        <v>66.88593752</v>
      </c>
      <c r="AW466" s="82">
        <f t="shared" si="1"/>
        <v>4.004823035</v>
      </c>
      <c r="AX466" s="83">
        <f t="array" ref="AX466">IFERROR(DGET('SBV Import'!A:G,"SBV",{"RSC ID","Tier";B466,A466}))</f>
        <v>68.62712909</v>
      </c>
      <c r="AY466" s="82">
        <f t="shared" si="2"/>
        <v>4.383847615</v>
      </c>
      <c r="AZ466" s="82">
        <v>0.37902458068507183</v>
      </c>
      <c r="BA466" s="84">
        <v>450.0</v>
      </c>
      <c r="BB466" s="84" t="b">
        <f>IFERROR(__xludf.DUMMYFUNCTION("iferror(if(A466="""",,E466&gt;=FILTER(Constants!$F$2:$F$10,Constants!$A$2:$A$10=A466)))"),TRUE)</f>
        <v>1</v>
      </c>
    </row>
    <row r="467">
      <c r="A467" s="80" t="str">
        <f>IFERROR(__xludf.DUMMYFUNCTION("""COMPUTED_VALUE"""),"Master")</f>
        <v>Master</v>
      </c>
      <c r="B467" s="80" t="str">
        <f>IFERROR(__xludf.DUMMYFUNCTION("""COMPUTED_VALUE"""),"RSC006481")</f>
        <v>RSC006481</v>
      </c>
      <c r="C467" s="80" t="str">
        <f>IFERROR(__xludf.DUMMYFUNCTION("""COMPUTED_VALUE"""),"Mixsta.")</f>
        <v>Mixsta.</v>
      </c>
      <c r="D467" s="80" t="str">
        <f>IFERROR(__xludf.DUMMYFUNCTION("""COMPUTED_VALUE"""),"Phantom Phreaks")</f>
        <v>Phantom Phreaks</v>
      </c>
      <c r="E467" s="80">
        <f>IFERROR(__xludf.DUMMYFUNCTION("""COMPUTED_VALUE"""),24.0)</f>
        <v>24</v>
      </c>
      <c r="F467" s="80">
        <f>IFERROR(__xludf.DUMMYFUNCTION("""COMPUTED_VALUE"""),16.0)</f>
        <v>16</v>
      </c>
      <c r="G467" s="80">
        <f>IFERROR(__xludf.DUMMYFUNCTION("""COMPUTED_VALUE"""),8.0)</f>
        <v>8</v>
      </c>
      <c r="H467" s="81">
        <f>IFERROR(__xludf.DUMMYFUNCTION("""COMPUTED_VALUE"""),0.6666666666666666)</f>
        <v>0.6666666667</v>
      </c>
      <c r="I467" s="81">
        <f>IFERROR(__xludf.DUMMYFUNCTION("""COMPUTED_VALUE"""),0.23255813953488372)</f>
        <v>0.2325581395</v>
      </c>
      <c r="J467" s="80">
        <f>IFERROR(__xludf.DUMMYFUNCTION("""COMPUTED_VALUE"""),387.7083333333333)</f>
        <v>387.7083333</v>
      </c>
      <c r="K467" s="80">
        <f>IFERROR(__xludf.DUMMYFUNCTION("""COMPUTED_VALUE"""),0.8333333333333334)</f>
        <v>0.8333333333</v>
      </c>
      <c r="L467" s="80">
        <f>IFERROR(__xludf.DUMMYFUNCTION("""COMPUTED_VALUE"""),0.7916666666666666)</f>
        <v>0.7916666667</v>
      </c>
      <c r="M467" s="80">
        <f>IFERROR(__xludf.DUMMYFUNCTION("""COMPUTED_VALUE"""),1.2083333333333333)</f>
        <v>1.208333333</v>
      </c>
      <c r="N467" s="80">
        <f>IFERROR(__xludf.DUMMYFUNCTION("""COMPUTED_VALUE"""),3.5833333333333335)</f>
        <v>3.583333333</v>
      </c>
      <c r="O467" s="80">
        <f>IFERROR(__xludf.DUMMYFUNCTION("""COMPUTED_VALUE"""),396.3333333333333)</f>
        <v>396.3333333</v>
      </c>
      <c r="P467" s="80">
        <f>IFERROR(__xludf.DUMMYFUNCTION("""COMPUTED_VALUE"""),0.6805555555555557)</f>
        <v>0.6805555556</v>
      </c>
      <c r="Q467" s="80">
        <f>IFERROR(__xludf.DUMMYFUNCTION("""COMPUTED_VALUE"""),0.4861111111111111)</f>
        <v>0.4861111111</v>
      </c>
      <c r="R467" s="80">
        <f>IFERROR(__xludf.DUMMYFUNCTION("""COMPUTED_VALUE"""),1.9444444444444446)</f>
        <v>1.944444444</v>
      </c>
      <c r="S467" s="80">
        <f>IFERROR(__xludf.DUMMYFUNCTION("""COMPUTED_VALUE"""),2.597222222222222)</f>
        <v>2.597222222</v>
      </c>
      <c r="T467" s="80">
        <f>IFERROR(__xludf.DUMMYFUNCTION("""COMPUTED_VALUE"""),376.0266652996797)</f>
        <v>376.0266653</v>
      </c>
      <c r="U467" s="80">
        <f>IFERROR(__xludf.DUMMYFUNCTION("""COMPUTED_VALUE"""),0.7929020204730914)</f>
        <v>0.7929020205</v>
      </c>
      <c r="V467" s="80">
        <f>IFERROR(__xludf.DUMMYFUNCTION("""COMPUTED_VALUE"""),0.6436071243040336)</f>
        <v>0.6436071243</v>
      </c>
      <c r="W467" s="80">
        <f>IFERROR(__xludf.DUMMYFUNCTION("""COMPUTED_VALUE"""),1.5083237743814903)</f>
        <v>1.508323774</v>
      </c>
      <c r="X467" s="80">
        <f>IFERROR(__xludf.DUMMYFUNCTION("""COMPUTED_VALUE"""),2.68509031718072)</f>
        <v>2.685090317</v>
      </c>
      <c r="Y467" s="80">
        <f>IFERROR(__xludf.DUMMYFUNCTION("""COMPUTED_VALUE"""),392.7653038792551)</f>
        <v>392.7653039</v>
      </c>
      <c r="Z467" s="80">
        <f>IFERROR(__xludf.DUMMYFUNCTION("""COMPUTED_VALUE"""),0.8968231535187946)</f>
        <v>0.8968231535</v>
      </c>
      <c r="AA467" s="80">
        <f>IFERROR(__xludf.DUMMYFUNCTION("""COMPUTED_VALUE"""),0.6853352029048702)</f>
        <v>0.6853352029</v>
      </c>
      <c r="AB467" s="80">
        <f>IFERROR(__xludf.DUMMYFUNCTION("""COMPUTED_VALUE"""),1.4796293259350708)</f>
        <v>1.479629326</v>
      </c>
      <c r="AC467" s="80">
        <f>IFERROR(__xludf.DUMMYFUNCTION("""COMPUTED_VALUE"""),2.9209233578815295)</f>
        <v>2.920923358</v>
      </c>
      <c r="AD467" s="80">
        <f>IFERROR(__xludf.DUMMYFUNCTION("""COMPUTED_VALUE"""),0.9871247014540867)</f>
        <v>0.9871247015</v>
      </c>
      <c r="AE467" s="80">
        <f>IFERROR(__xludf.DUMMYFUNCTION("""COMPUTED_VALUE"""),0.9292058641256626)</f>
        <v>0.9292058641</v>
      </c>
      <c r="AF467" s="80">
        <f>IFERROR(__xludf.DUMMYFUNCTION("""COMPUTED_VALUE"""),1.155152490797348)</f>
        <v>1.155152491</v>
      </c>
      <c r="AG467" s="80">
        <f>IFERROR(__xludf.DUMMYFUNCTION("""COMPUTED_VALUE"""),0.8166459748759788)</f>
        <v>0.8166459749</v>
      </c>
      <c r="AH467" s="80">
        <f>IFERROR(__xludf.DUMMYFUNCTION("""COMPUTED_VALUE"""),1.226781018976216)</f>
        <v>1.226781019</v>
      </c>
      <c r="AI467" s="80">
        <f>IFERROR(__xludf.DUMMYFUNCTION("""COMPUTED_VALUE"""),1.0540032660116536)</f>
        <v>1.054003266</v>
      </c>
      <c r="AJ467" s="80">
        <f>IFERROR(__xludf.DUMMYFUNCTION("""COMPUTED_VALUE"""),0.8583097759663882)</f>
        <v>0.858309776</v>
      </c>
      <c r="AK467" s="80">
        <f>IFERROR(__xludf.DUMMYFUNCTION("""COMPUTED_VALUE"""),0.7552916876685739)</f>
        <v>0.7552916877</v>
      </c>
      <c r="AL467" s="80">
        <f>IFERROR(__xludf.DUMMYFUNCTION("""COMPUTED_VALUE"""),1.289142608152412)</f>
        <v>1.289142608</v>
      </c>
      <c r="AM467" s="80">
        <f>IFERROR(__xludf.DUMMYFUNCTION("""COMPUTED_VALUE"""),0.9672755533040104)</f>
        <v>0.9672755533</v>
      </c>
      <c r="AN467" s="80">
        <f>IFERROR(__xludf.DUMMYFUNCTION("""COMPUTED_VALUE"""),1.034046895595888)</f>
        <v>1.034046896</v>
      </c>
      <c r="AO467" s="80">
        <f>IFERROR(__xludf.DUMMYFUNCTION("""COMPUTED_VALUE"""),1.0095140870287127)</f>
        <v>1.009514087</v>
      </c>
      <c r="AP467" s="80">
        <f>IFERROR(__xludf.DUMMYFUNCTION("""COMPUTED_VALUE"""),1.2201037230363934)</f>
        <v>1.220103723</v>
      </c>
      <c r="AQ467" s="80">
        <f>IFERROR(__xludf.DUMMYFUNCTION("""COMPUTED_VALUE"""),0.8316488699583537)</f>
        <v>0.83164887</v>
      </c>
      <c r="AR467" s="80">
        <f>IFERROR(__xludf.DUMMYFUNCTION("""COMPUTED_VALUE"""),1.3182511873917744)</f>
        <v>1.318251187</v>
      </c>
      <c r="AS467" s="80">
        <f>IFERROR(__xludf.DUMMYFUNCTION("""COMPUTED_VALUE"""),61.0)</f>
        <v>61</v>
      </c>
      <c r="AT467" s="80">
        <f>IFERROR(__xludf.DUMMYFUNCTION("""COMPUTED_VALUE"""),0.5839683975864846)</f>
        <v>0.5839683976</v>
      </c>
      <c r="AU467" s="80">
        <f>IFERROR(__xludf.DUMMYFUNCTION("""COMPUTED_VALUE"""),3.693947798833186)</f>
        <v>3.693947799</v>
      </c>
      <c r="AV467" s="80">
        <f>IFERROR(__xludf.DUMMYFUNCTION("""COMPUTED_VALUE"""),66.68257598017152)</f>
        <v>66.68257598</v>
      </c>
      <c r="AW467" s="82">
        <f t="shared" si="1"/>
        <v>3.963703688</v>
      </c>
      <c r="AX467" s="83">
        <f t="array" ref="AX467">IFERROR(DGET('SBV Import'!A:G,"SBV",{"RSC ID","Tier";B467,A467}))</f>
        <v>48.55907033</v>
      </c>
      <c r="AY467" s="82">
        <f t="shared" si="2"/>
        <v>-2.096353373</v>
      </c>
      <c r="AZ467" s="82">
        <v>6.060057061020419</v>
      </c>
      <c r="BA467" s="84">
        <v>450.0</v>
      </c>
      <c r="BB467" s="84" t="b">
        <f>IFERROR(__xludf.DUMMYFUNCTION("iferror(if(A467="""",,E467&gt;=FILTER(Constants!$F$2:$F$10,Constants!$A$2:$A$10=A467)))"),TRUE)</f>
        <v>1</v>
      </c>
    </row>
    <row r="468">
      <c r="A468" s="80" t="str">
        <f>IFERROR(__xludf.DUMMYFUNCTION("""COMPUTED_VALUE"""),"Master")</f>
        <v>Master</v>
      </c>
      <c r="B468" s="80" t="str">
        <f>IFERROR(__xludf.DUMMYFUNCTION("""COMPUTED_VALUE"""),"RSC007174")</f>
        <v>RSC007174</v>
      </c>
      <c r="C468" s="80" t="str">
        <f>IFERROR(__xludf.DUMMYFUNCTION("""COMPUTED_VALUE"""),"LMNS")</f>
        <v>LMNS</v>
      </c>
      <c r="D468" s="80" t="str">
        <f>IFERROR(__xludf.DUMMYFUNCTION("""COMPUTED_VALUE"""),"Care Bears")</f>
        <v>Care Bears</v>
      </c>
      <c r="E468" s="80">
        <f>IFERROR(__xludf.DUMMYFUNCTION("""COMPUTED_VALUE"""),16.0)</f>
        <v>16</v>
      </c>
      <c r="F468" s="80">
        <f>IFERROR(__xludf.DUMMYFUNCTION("""COMPUTED_VALUE"""),10.0)</f>
        <v>10</v>
      </c>
      <c r="G468" s="80">
        <f>IFERROR(__xludf.DUMMYFUNCTION("""COMPUTED_VALUE"""),6.0)</f>
        <v>6</v>
      </c>
      <c r="H468" s="81">
        <f>IFERROR(__xludf.DUMMYFUNCTION("""COMPUTED_VALUE"""),0.625)</f>
        <v>0.625</v>
      </c>
      <c r="I468" s="81">
        <f>IFERROR(__xludf.DUMMYFUNCTION("""COMPUTED_VALUE"""),0.22033898305084745)</f>
        <v>0.2203389831</v>
      </c>
      <c r="J468" s="80">
        <f>IFERROR(__xludf.DUMMYFUNCTION("""COMPUTED_VALUE"""),374.4375)</f>
        <v>374.4375</v>
      </c>
      <c r="K468" s="80">
        <f>IFERROR(__xludf.DUMMYFUNCTION("""COMPUTED_VALUE"""),0.8125)</f>
        <v>0.8125</v>
      </c>
      <c r="L468" s="80">
        <f>IFERROR(__xludf.DUMMYFUNCTION("""COMPUTED_VALUE"""),0.6875)</f>
        <v>0.6875</v>
      </c>
      <c r="M468" s="80">
        <f>IFERROR(__xludf.DUMMYFUNCTION("""COMPUTED_VALUE"""),1.375)</f>
        <v>1.375</v>
      </c>
      <c r="N468" s="80">
        <f>IFERROR(__xludf.DUMMYFUNCTION("""COMPUTED_VALUE"""),3.6875)</f>
        <v>3.6875</v>
      </c>
      <c r="O468" s="80">
        <f>IFERROR(__xludf.DUMMYFUNCTION("""COMPUTED_VALUE"""),364.75000000000006)</f>
        <v>364.75</v>
      </c>
      <c r="P468" s="80">
        <f>IFERROR(__xludf.DUMMYFUNCTION("""COMPUTED_VALUE"""),0.7083333333333334)</f>
        <v>0.7083333333</v>
      </c>
      <c r="Q468" s="80">
        <f>IFERROR(__xludf.DUMMYFUNCTION("""COMPUTED_VALUE"""),0.5416666666666666)</f>
        <v>0.5416666667</v>
      </c>
      <c r="R468" s="80">
        <f>IFERROR(__xludf.DUMMYFUNCTION("""COMPUTED_VALUE"""),1.6250000000000002)</f>
        <v>1.625</v>
      </c>
      <c r="S468" s="80">
        <f>IFERROR(__xludf.DUMMYFUNCTION("""COMPUTED_VALUE"""),2.5625000000000004)</f>
        <v>2.5625</v>
      </c>
      <c r="T468" s="80">
        <f>IFERROR(__xludf.DUMMYFUNCTION("""COMPUTED_VALUE"""),395.7884780218213)</f>
        <v>395.788478</v>
      </c>
      <c r="U468" s="80">
        <f>IFERROR(__xludf.DUMMYFUNCTION("""COMPUTED_VALUE"""),0.8643821157111422)</f>
        <v>0.8643821157</v>
      </c>
      <c r="V468" s="80">
        <f>IFERROR(__xludf.DUMMYFUNCTION("""COMPUTED_VALUE"""),0.7267769863599748)</f>
        <v>0.7267769864</v>
      </c>
      <c r="W468" s="80">
        <f>IFERROR(__xludf.DUMMYFUNCTION("""COMPUTED_VALUE"""),1.6144745473428104)</f>
        <v>1.614474547</v>
      </c>
      <c r="X468" s="80">
        <f>IFERROR(__xludf.DUMMYFUNCTION("""COMPUTED_VALUE"""),2.7394682852793037)</f>
        <v>2.739468285</v>
      </c>
      <c r="Y468" s="80">
        <f>IFERROR(__xludf.DUMMYFUNCTION("""COMPUTED_VALUE"""),373.2922800471038)</f>
        <v>373.29228</v>
      </c>
      <c r="Z468" s="80">
        <f>IFERROR(__xludf.DUMMYFUNCTION("""COMPUTED_VALUE"""),0.8157435191475108)</f>
        <v>0.8157435191</v>
      </c>
      <c r="AA468" s="80">
        <f>IFERROR(__xludf.DUMMYFUNCTION("""COMPUTED_VALUE"""),0.640639401614153)</f>
        <v>0.6406394016</v>
      </c>
      <c r="AB468" s="80">
        <f>IFERROR(__xludf.DUMMYFUNCTION("""COMPUTED_VALUE"""),1.4016764624545348)</f>
        <v>1.401676462</v>
      </c>
      <c r="AC468" s="80">
        <f>IFERROR(__xludf.DUMMYFUNCTION("""COMPUTED_VALUE"""),2.951930685942149)</f>
        <v>2.951930686</v>
      </c>
      <c r="AD468" s="80">
        <f>IFERROR(__xludf.DUMMYFUNCTION("""COMPUTED_VALUE"""),1.0030678908032913)</f>
        <v>1.003067891</v>
      </c>
      <c r="AE468" s="80">
        <f>IFERROR(__xludf.DUMMYFUNCTION("""COMPUTED_VALUE"""),0.9960238493210459)</f>
        <v>0.9960238493</v>
      </c>
      <c r="AF468" s="80">
        <f>IFERROR(__xludf.DUMMYFUNCTION("""COMPUTED_VALUE"""),1.073146606761584)</f>
        <v>1.073146607</v>
      </c>
      <c r="AG468" s="80">
        <f>IFERROR(__xludf.DUMMYFUNCTION("""COMPUTED_VALUE"""),0.9809681740622079)</f>
        <v>0.9809681741</v>
      </c>
      <c r="AH468" s="80">
        <f>IFERROR(__xludf.DUMMYFUNCTION("""COMPUTED_VALUE"""),1.2491824477996116)</f>
        <v>1.249182448</v>
      </c>
      <c r="AI468" s="80">
        <f>IFERROR(__xludf.DUMMYFUNCTION("""COMPUTED_VALUE"""),0.9215781162277544)</f>
        <v>0.9215781162</v>
      </c>
      <c r="AJ468" s="80">
        <f>IFERROR(__xludf.DUMMYFUNCTION("""COMPUTED_VALUE"""),0.819467826159933)</f>
        <v>0.8194678262</v>
      </c>
      <c r="AK468" s="80">
        <f>IFERROR(__xludf.DUMMYFUNCTION("""COMPUTED_VALUE"""),0.7452996955497674)</f>
        <v>0.7452996955</v>
      </c>
      <c r="AL468" s="80">
        <f>IFERROR(__xludf.DUMMYFUNCTION("""COMPUTED_VALUE"""),1.0065194292932726)</f>
        <v>1.006519429</v>
      </c>
      <c r="AM468" s="80">
        <f>IFERROR(__xludf.DUMMYFUNCTION("""COMPUTED_VALUE"""),0.935400498618563)</f>
        <v>0.9354004986</v>
      </c>
      <c r="AN468" s="80">
        <f>IFERROR(__xludf.DUMMYFUNCTION("""COMPUTED_VALUE"""),0.9986525983097739)</f>
        <v>0.9986525983</v>
      </c>
      <c r="AO468" s="80">
        <f>IFERROR(__xludf.DUMMYFUNCTION("""COMPUTED_VALUE"""),0.9842762348529949)</f>
        <v>0.9842762349</v>
      </c>
      <c r="AP468" s="80">
        <f>IFERROR(__xludf.DUMMYFUNCTION("""COMPUTED_VALUE"""),1.0595637594789733)</f>
        <v>1.059563759</v>
      </c>
      <c r="AQ468" s="80">
        <f>IFERROR(__xludf.DUMMYFUNCTION("""COMPUTED_VALUE"""),0.9463590589181268)</f>
        <v>0.9463590589</v>
      </c>
      <c r="AR468" s="80">
        <f>IFERROR(__xludf.DUMMYFUNCTION("""COMPUTED_VALUE"""),1.3565724428392096)</f>
        <v>1.356572443</v>
      </c>
      <c r="AS468" s="80">
        <f>IFERROR(__xludf.DUMMYFUNCTION("""COMPUTED_VALUE"""),48.0)</f>
        <v>48</v>
      </c>
      <c r="AT468" s="80">
        <f>IFERROR(__xludf.DUMMYFUNCTION("""COMPUTED_VALUE"""),0.6344113592284181)</f>
        <v>0.6344113592</v>
      </c>
      <c r="AU468" s="80">
        <f>IFERROR(__xludf.DUMMYFUNCTION("""COMPUTED_VALUE"""),3.653731479523511)</f>
        <v>3.65373148</v>
      </c>
      <c r="AV468" s="80">
        <f>IFERROR(__xludf.DUMMYFUNCTION("""COMPUTED_VALUE"""),65.61031371174526)</f>
        <v>65.61031371</v>
      </c>
      <c r="AW468" s="82">
        <f t="shared" si="1"/>
        <v>3.756879648</v>
      </c>
      <c r="AX468" s="83">
        <f t="array" ref="AX468">IFERROR(DGET('SBV Import'!A:G,"SBV",{"RSC ID","Tier";B468,A468}))</f>
        <v>52.01226373</v>
      </c>
      <c r="AY468" s="82">
        <f t="shared" si="2"/>
        <v>2.137101214</v>
      </c>
      <c r="AZ468" s="82">
        <v>1.6197784343967148</v>
      </c>
      <c r="BA468" s="84">
        <v>450.0</v>
      </c>
      <c r="BB468" s="84" t="b">
        <f>IFERROR(__xludf.DUMMYFUNCTION("iferror(if(A468="""",,E468&gt;=FILTER(Constants!$F$2:$F$10,Constants!$A$2:$A$10=A468)))"),TRUE)</f>
        <v>1</v>
      </c>
    </row>
    <row r="469">
      <c r="A469" s="80" t="str">
        <f>IFERROR(__xludf.DUMMYFUNCTION("""COMPUTED_VALUE"""),"Master")</f>
        <v>Master</v>
      </c>
      <c r="B469" s="80" t="str">
        <f>IFERROR(__xludf.DUMMYFUNCTION("""COMPUTED_VALUE"""),"RSC002620")</f>
        <v>RSC002620</v>
      </c>
      <c r="C469" s="80" t="str">
        <f>IFERROR(__xludf.DUMMYFUNCTION("""COMPUTED_VALUE"""),"Instnt")</f>
        <v>Instnt</v>
      </c>
      <c r="D469" s="80" t="str">
        <f>IFERROR(__xludf.DUMMYFUNCTION("""COMPUTED_VALUE"""),"Tempests")</f>
        <v>Tempests</v>
      </c>
      <c r="E469" s="80">
        <f>IFERROR(__xludf.DUMMYFUNCTION("""COMPUTED_VALUE"""),6.0)</f>
        <v>6</v>
      </c>
      <c r="F469" s="80">
        <f>IFERROR(__xludf.DUMMYFUNCTION("""COMPUTED_VALUE"""),1.0)</f>
        <v>1</v>
      </c>
      <c r="G469" s="80">
        <f>IFERROR(__xludf.DUMMYFUNCTION("""COMPUTED_VALUE"""),5.0)</f>
        <v>5</v>
      </c>
      <c r="H469" s="81">
        <f>IFERROR(__xludf.DUMMYFUNCTION("""COMPUTED_VALUE"""),0.16666666666666666)</f>
        <v>0.1666666667</v>
      </c>
      <c r="I469" s="81">
        <f>IFERROR(__xludf.DUMMYFUNCTION("""COMPUTED_VALUE"""),0.27272727272727276)</f>
        <v>0.2727272727</v>
      </c>
      <c r="J469" s="80">
        <f>IFERROR(__xludf.DUMMYFUNCTION("""COMPUTED_VALUE"""),415.0)</f>
        <v>415</v>
      </c>
      <c r="K469" s="80">
        <f>IFERROR(__xludf.DUMMYFUNCTION("""COMPUTED_VALUE"""),1.0)</f>
        <v>1</v>
      </c>
      <c r="L469" s="80">
        <f>IFERROR(__xludf.DUMMYFUNCTION("""COMPUTED_VALUE"""),0.5)</f>
        <v>0.5</v>
      </c>
      <c r="M469" s="80">
        <f>IFERROR(__xludf.DUMMYFUNCTION("""COMPUTED_VALUE"""),1.5)</f>
        <v>1.5</v>
      </c>
      <c r="N469" s="80">
        <f>IFERROR(__xludf.DUMMYFUNCTION("""COMPUTED_VALUE"""),3.6666666666666665)</f>
        <v>3.666666667</v>
      </c>
      <c r="O469" s="80">
        <f>IFERROR(__xludf.DUMMYFUNCTION("""COMPUTED_VALUE"""),393.2777777777778)</f>
        <v>393.2777778</v>
      </c>
      <c r="P469" s="80">
        <f>IFERROR(__xludf.DUMMYFUNCTION("""COMPUTED_VALUE"""),1.1666666666666667)</f>
        <v>1.166666667</v>
      </c>
      <c r="Q469" s="80">
        <f>IFERROR(__xludf.DUMMYFUNCTION("""COMPUTED_VALUE"""),0.8333333333333334)</f>
        <v>0.8333333333</v>
      </c>
      <c r="R469" s="80">
        <f>IFERROR(__xludf.DUMMYFUNCTION("""COMPUTED_VALUE"""),1.3333333333333333)</f>
        <v>1.333333333</v>
      </c>
      <c r="S469" s="80">
        <f>IFERROR(__xludf.DUMMYFUNCTION("""COMPUTED_VALUE"""),2.444444444444444)</f>
        <v>2.444444444</v>
      </c>
      <c r="T469" s="80">
        <f>IFERROR(__xludf.DUMMYFUNCTION("""COMPUTED_VALUE"""),384.471836959337)</f>
        <v>384.471837</v>
      </c>
      <c r="U469" s="80">
        <f>IFERROR(__xludf.DUMMYFUNCTION("""COMPUTED_VALUE"""),0.8888673055339723)</f>
        <v>0.8888673055</v>
      </c>
      <c r="V469" s="80">
        <f>IFERROR(__xludf.DUMMYFUNCTION("""COMPUTED_VALUE"""),0.8013079513079512)</f>
        <v>0.8013079513</v>
      </c>
      <c r="W469" s="80">
        <f>IFERROR(__xludf.DUMMYFUNCTION("""COMPUTED_VALUE"""),1.457039411206078)</f>
        <v>1.457039411</v>
      </c>
      <c r="X469" s="80">
        <f>IFERROR(__xludf.DUMMYFUNCTION("""COMPUTED_VALUE"""),2.8414249330916)</f>
        <v>2.841424933</v>
      </c>
      <c r="Y469" s="80">
        <f>IFERROR(__xludf.DUMMYFUNCTION("""COMPUTED_VALUE"""),369.54577894787116)</f>
        <v>369.5457789</v>
      </c>
      <c r="Z469" s="80">
        <f>IFERROR(__xludf.DUMMYFUNCTION("""COMPUTED_VALUE"""),0.8178885784559543)</f>
        <v>0.8178885785</v>
      </c>
      <c r="AA469" s="80">
        <f>IFERROR(__xludf.DUMMYFUNCTION("""COMPUTED_VALUE"""),0.599845977505552)</f>
        <v>0.5998459775</v>
      </c>
      <c r="AB469" s="80">
        <f>IFERROR(__xludf.DUMMYFUNCTION("""COMPUTED_VALUE"""),1.4037705661819135)</f>
        <v>1.403770566</v>
      </c>
      <c r="AC469" s="80">
        <f>IFERROR(__xludf.DUMMYFUNCTION("""COMPUTED_VALUE"""),2.650797573847219)</f>
        <v>2.650797574</v>
      </c>
      <c r="AD469" s="80">
        <f>IFERROR(__xludf.DUMMYFUNCTION("""COMPUTED_VALUE"""),1.1230002441958367)</f>
        <v>1.123000244</v>
      </c>
      <c r="AE469" s="80">
        <f>IFERROR(__xludf.DUMMYFUNCTION("""COMPUTED_VALUE"""),1.2226604287442717)</f>
        <v>1.222660429</v>
      </c>
      <c r="AF469" s="80">
        <f>IFERROR(__xludf.DUMMYFUNCTION("""COMPUTED_VALUE"""),0.8335473083927984)</f>
        <v>0.8335473084</v>
      </c>
      <c r="AG469" s="80">
        <f>IFERROR(__xludf.DUMMYFUNCTION("""COMPUTED_VALUE"""),1.0685506849454887)</f>
        <v>1.068550685</v>
      </c>
      <c r="AH469" s="80">
        <f>IFERROR(__xludf.DUMMYFUNCTION("""COMPUTED_VALUE"""),1.383231485814691)</f>
        <v>1.383231486</v>
      </c>
      <c r="AI469" s="80">
        <f>IFERROR(__xludf.DUMMYFUNCTION("""COMPUTED_VALUE"""),1.0229039944462102)</f>
        <v>1.022903994</v>
      </c>
      <c r="AJ469" s="80">
        <f>IFERROR(__xludf.DUMMYFUNCTION("""COMPUTED_VALUE"""),1.312531869946337)</f>
        <v>1.31253187</v>
      </c>
      <c r="AK469" s="80">
        <f>IFERROR(__xludf.DUMMYFUNCTION("""COMPUTED_VALUE"""),1.0399663849249319)</f>
        <v>1.039966385</v>
      </c>
      <c r="AL469" s="80">
        <f>IFERROR(__xludf.DUMMYFUNCTION("""COMPUTED_VALUE"""),0.9150976446338223)</f>
        <v>0.9150976446</v>
      </c>
      <c r="AM469" s="80">
        <f>IFERROR(__xludf.DUMMYFUNCTION("""COMPUTED_VALUE"""),0.8602882363620203)</f>
        <v>0.8602882364</v>
      </c>
      <c r="AN469" s="80">
        <f>IFERROR(__xludf.DUMMYFUNCTION("""COMPUTED_VALUE"""),1.106835795823218)</f>
        <v>1.106835796</v>
      </c>
      <c r="AO469" s="80">
        <f>IFERROR(__xludf.DUMMYFUNCTION("""COMPUTED_VALUE"""),1.2114169044344552)</f>
        <v>1.211416904</v>
      </c>
      <c r="AP469" s="80">
        <f>IFERROR(__xludf.DUMMYFUNCTION("""COMPUTED_VALUE"""),0.770591825075617)</f>
        <v>0.7705918251</v>
      </c>
      <c r="AQ469" s="80">
        <f>IFERROR(__xludf.DUMMYFUNCTION("""COMPUTED_VALUE"""),1.0323917006379564)</f>
        <v>1.032391701</v>
      </c>
      <c r="AR469" s="80">
        <f>IFERROR(__xludf.DUMMYFUNCTION("""COMPUTED_VALUE"""),1.3489081917497225)</f>
        <v>1.348908192</v>
      </c>
      <c r="AS469" s="80">
        <f>IFERROR(__xludf.DUMMYFUNCTION("""COMPUTED_VALUE"""),17.0)</f>
        <v>17</v>
      </c>
      <c r="AT469" s="80">
        <f>IFERROR(__xludf.DUMMYFUNCTION("""COMPUTED_VALUE"""),0.41122322733263367)</f>
        <v>0.4112232273</v>
      </c>
      <c r="AU469" s="80">
        <f>IFERROR(__xludf.DUMMYFUNCTION("""COMPUTED_VALUE"""),3.5789352897215796)</f>
        <v>3.57893529</v>
      </c>
      <c r="AV469" s="80">
        <f>IFERROR(__xludf.DUMMYFUNCTION("""COMPUTED_VALUE"""),63.61607024234434)</f>
        <v>63.61607024</v>
      </c>
      <c r="AW469" s="82">
        <f t="shared" si="1"/>
        <v>3.41297391</v>
      </c>
      <c r="AX469" s="83">
        <f t="array" ref="AX469">IFERROR(DGET('SBV Import'!A:G,"SBV",{"RSC ID","Tier";B469,A469}))</f>
        <v>80.47810781</v>
      </c>
      <c r="AY469" s="82">
        <f t="shared" si="2"/>
        <v>8.976781012</v>
      </c>
      <c r="AZ469" s="82">
        <v>5.563807101807738</v>
      </c>
      <c r="BA469" s="84">
        <v>450.0</v>
      </c>
      <c r="BB469" s="84" t="b">
        <f>IFERROR(__xludf.DUMMYFUNCTION("iferror(if(A469="""",,E469&gt;=FILTER(Constants!$F$2:$F$10,Constants!$A$2:$A$10=A469)))"),TRUE)</f>
        <v>1</v>
      </c>
    </row>
    <row r="470">
      <c r="A470" s="80" t="str">
        <f>IFERROR(__xludf.DUMMYFUNCTION("""COMPUTED_VALUE"""),"Master")</f>
        <v>Master</v>
      </c>
      <c r="B470" s="80" t="str">
        <f>IFERROR(__xludf.DUMMYFUNCTION("""COMPUTED_VALUE"""),"RSC004131")</f>
        <v>RSC004131</v>
      </c>
      <c r="C470" s="80" t="str">
        <f>IFERROR(__xludf.DUMMYFUNCTION("""COMPUTED_VALUE"""),"Poptart Pounder")</f>
        <v>Poptart Pounder</v>
      </c>
      <c r="D470" s="80"/>
      <c r="E470" s="80">
        <f>IFERROR(__xludf.DUMMYFUNCTION("""COMPUTED_VALUE"""),4.0)</f>
        <v>4</v>
      </c>
      <c r="F470" s="80">
        <f>IFERROR(__xludf.DUMMYFUNCTION("""COMPUTED_VALUE"""),1.0)</f>
        <v>1</v>
      </c>
      <c r="G470" s="80">
        <f>IFERROR(__xludf.DUMMYFUNCTION("""COMPUTED_VALUE"""),3.0)</f>
        <v>3</v>
      </c>
      <c r="H470" s="81">
        <f>IFERROR(__xludf.DUMMYFUNCTION("""COMPUTED_VALUE"""),0.25)</f>
        <v>0.25</v>
      </c>
      <c r="I470" s="81">
        <f>IFERROR(__xludf.DUMMYFUNCTION("""COMPUTED_VALUE"""),0.5555555555555556)</f>
        <v>0.5555555556</v>
      </c>
      <c r="J470" s="80">
        <f>IFERROR(__xludf.DUMMYFUNCTION("""COMPUTED_VALUE"""),394.0)</f>
        <v>394</v>
      </c>
      <c r="K470" s="80">
        <f>IFERROR(__xludf.DUMMYFUNCTION("""COMPUTED_VALUE"""),1.25)</f>
        <v>1.25</v>
      </c>
      <c r="L470" s="80">
        <f>IFERROR(__xludf.DUMMYFUNCTION("""COMPUTED_VALUE"""),0.75)</f>
        <v>0.75</v>
      </c>
      <c r="M470" s="80">
        <f>IFERROR(__xludf.DUMMYFUNCTION("""COMPUTED_VALUE"""),0.75)</f>
        <v>0.75</v>
      </c>
      <c r="N470" s="80">
        <f>IFERROR(__xludf.DUMMYFUNCTION("""COMPUTED_VALUE"""),2.25)</f>
        <v>2.25</v>
      </c>
      <c r="O470" s="80">
        <f>IFERROR(__xludf.DUMMYFUNCTION("""COMPUTED_VALUE"""),366.5)</f>
        <v>366.5</v>
      </c>
      <c r="P470" s="80">
        <f>IFERROR(__xludf.DUMMYFUNCTION("""COMPUTED_VALUE"""),0.9166666666666665)</f>
        <v>0.9166666667</v>
      </c>
      <c r="Q470" s="80">
        <f>IFERROR(__xludf.DUMMYFUNCTION("""COMPUTED_VALUE"""),0.75)</f>
        <v>0.75</v>
      </c>
      <c r="R470" s="80">
        <f>IFERROR(__xludf.DUMMYFUNCTION("""COMPUTED_VALUE"""),1.25)</f>
        <v>1.25</v>
      </c>
      <c r="S470" s="80">
        <f>IFERROR(__xludf.DUMMYFUNCTION("""COMPUTED_VALUE"""),2.0)</f>
        <v>2</v>
      </c>
      <c r="T470" s="80">
        <f>IFERROR(__xludf.DUMMYFUNCTION("""COMPUTED_VALUE"""),366.86499493414385)</f>
        <v>366.8649949</v>
      </c>
      <c r="U470" s="80">
        <f>IFERROR(__xludf.DUMMYFUNCTION("""COMPUTED_VALUE"""),0.8297619047619048)</f>
        <v>0.8297619048</v>
      </c>
      <c r="V470" s="80">
        <f>IFERROR(__xludf.DUMMYFUNCTION("""COMPUTED_VALUE"""),0.686676798378926)</f>
        <v>0.6866767984</v>
      </c>
      <c r="W470" s="80">
        <f>IFERROR(__xludf.DUMMYFUNCTION("""COMPUTED_VALUE"""),1.3678318135764946)</f>
        <v>1.367831814</v>
      </c>
      <c r="X470" s="80">
        <f>IFERROR(__xludf.DUMMYFUNCTION("""COMPUTED_VALUE"""),2.499062816616008)</f>
        <v>2.499062817</v>
      </c>
      <c r="Y470" s="80">
        <f>IFERROR(__xludf.DUMMYFUNCTION("""COMPUTED_VALUE"""),399.0497298210064)</f>
        <v>399.0497298</v>
      </c>
      <c r="Z470" s="80">
        <f>IFERROR(__xludf.DUMMYFUNCTION("""COMPUTED_VALUE"""),1.0140070921985815)</f>
        <v>1.014007092</v>
      </c>
      <c r="AA470" s="80">
        <f>IFERROR(__xludf.DUMMYFUNCTION("""COMPUTED_VALUE"""),0.7760216143194868)</f>
        <v>0.7760216143</v>
      </c>
      <c r="AB470" s="80">
        <f>IFERROR(__xludf.DUMMYFUNCTION("""COMPUTED_VALUE"""),1.2880445795339412)</f>
        <v>1.28804458</v>
      </c>
      <c r="AC470" s="80">
        <f>IFERROR(__xludf.DUMMYFUNCTION("""COMPUTED_VALUE"""),3.0752617359000336)</f>
        <v>3.075261736</v>
      </c>
      <c r="AD470" s="80">
        <f>IFERROR(__xludf.DUMMYFUNCTION("""COMPUTED_VALUE"""),0.9873456127303445)</f>
        <v>0.9873456127</v>
      </c>
      <c r="AE470" s="80">
        <f>IFERROR(__xludf.DUMMYFUNCTION("""COMPUTED_VALUE"""),1.232732995278895)</f>
        <v>1.232732995</v>
      </c>
      <c r="AF470" s="80">
        <f>IFERROR(__xludf.DUMMYFUNCTION("""COMPUTED_VALUE"""),0.9664679258421097)</f>
        <v>0.9664679258</v>
      </c>
      <c r="AG470" s="80">
        <f>IFERROR(__xludf.DUMMYFUNCTION("""COMPUTED_VALUE"""),0.5822779831668371)</f>
        <v>0.5822779832</v>
      </c>
      <c r="AH470" s="80">
        <f>IFERROR(__xludf.DUMMYFUNCTION("""COMPUTED_VALUE"""),0.731645041374501)</f>
        <v>0.7316450414</v>
      </c>
      <c r="AI470" s="80">
        <f>IFERROR(__xludf.DUMMYFUNCTION("""COMPUTED_VALUE"""),0.9990050974086274)</f>
        <v>0.9990050974</v>
      </c>
      <c r="AJ470" s="80">
        <f>IFERROR(__xludf.DUMMYFUNCTION("""COMPUTED_VALUE"""),1.104734576757532)</f>
        <v>1.104734577</v>
      </c>
      <c r="AK470" s="80">
        <f>IFERROR(__xludf.DUMMYFUNCTION("""COMPUTED_VALUE"""),1.0922168941350054)</f>
        <v>1.092216894</v>
      </c>
      <c r="AL470" s="80">
        <f>IFERROR(__xludf.DUMMYFUNCTION("""COMPUTED_VALUE"""),0.9138550424058367)</f>
        <v>0.9138550424</v>
      </c>
      <c r="AM470" s="80">
        <f>IFERROR(__xludf.DUMMYFUNCTION("""COMPUTED_VALUE"""),0.800300011149063)</f>
        <v>0.8003000111</v>
      </c>
      <c r="AN470" s="80">
        <f>IFERROR(__xludf.DUMMYFUNCTION("""COMPUTED_VALUE"""),1.0508272374803564)</f>
        <v>1.050827237</v>
      </c>
      <c r="AO470" s="80">
        <f>IFERROR(__xludf.DUMMYFUNCTION("""COMPUTED_VALUE"""),1.514271130543069)</f>
        <v>1.514271131</v>
      </c>
      <c r="AP470" s="80">
        <f>IFERROR(__xludf.DUMMYFUNCTION("""COMPUTED_VALUE"""),1.1558877376134253)</f>
        <v>1.155887738</v>
      </c>
      <c r="AQ470" s="80">
        <f>IFERROR(__xludf.DUMMYFUNCTION("""COMPUTED_VALUE"""),0.5161958503189782)</f>
        <v>0.5161958503</v>
      </c>
      <c r="AR470" s="80">
        <f>IFERROR(__xludf.DUMMYFUNCTION("""COMPUTED_VALUE"""),0.8277391176646025)</f>
        <v>0.8277391177</v>
      </c>
      <c r="AS470" s="80">
        <f>IFERROR(__xludf.DUMMYFUNCTION("""COMPUTED_VALUE"""),12.0)</f>
        <v>12</v>
      </c>
      <c r="AT470" s="80">
        <f>IFERROR(__xludf.DUMMYFUNCTION("""COMPUTED_VALUE"""),0.5358751552390169)</f>
        <v>0.5358751552</v>
      </c>
      <c r="AU470" s="80">
        <f>IFERROR(__xludf.DUMMYFUNCTION("""COMPUTED_VALUE"""),3.576756749227343)</f>
        <v>3.576756749</v>
      </c>
      <c r="AV470" s="80">
        <f>IFERROR(__xludf.DUMMYFUNCTION("""COMPUTED_VALUE"""),63.55798519596749)</f>
        <v>63.5579852</v>
      </c>
      <c r="AW470" s="82">
        <f t="shared" si="1"/>
        <v>3.403684728</v>
      </c>
      <c r="AX470" s="83">
        <f t="array" ref="AX470">IFERROR(DGET('SBV Import'!A:G,"SBV",{"RSC ID","Tier";B470,A470}))</f>
        <v>73.26042464</v>
      </c>
      <c r="AY470" s="82">
        <f t="shared" si="2"/>
        <v>5.67931368</v>
      </c>
      <c r="AZ470" s="82">
        <v>2.275628951217058</v>
      </c>
      <c r="BA470" s="84">
        <v>450.0</v>
      </c>
      <c r="BB470" s="84" t="b">
        <f>IFERROR(__xludf.DUMMYFUNCTION("iferror(if(A470="""",,E470&gt;=FILTER(Constants!$F$2:$F$10,Constants!$A$2:$A$10=A470)))"),TRUE)</f>
        <v>1</v>
      </c>
    </row>
    <row r="471">
      <c r="A471" s="80" t="str">
        <f>IFERROR(__xludf.DUMMYFUNCTION("""COMPUTED_VALUE"""),"Master")</f>
        <v>Master</v>
      </c>
      <c r="B471" s="80" t="str">
        <f>IFERROR(__xludf.DUMMYFUNCTION("""COMPUTED_VALUE"""),"RSC007466")</f>
        <v>RSC007466</v>
      </c>
      <c r="C471" s="80" t="str">
        <f>IFERROR(__xludf.DUMMYFUNCTION("""COMPUTED_VALUE"""),"Viiper :)")</f>
        <v>Viiper :)</v>
      </c>
      <c r="D471" s="80" t="str">
        <f>IFERROR(__xludf.DUMMYFUNCTION("""COMPUTED_VALUE"""),"Phantom Phreaks")</f>
        <v>Phantom Phreaks</v>
      </c>
      <c r="E471" s="80">
        <f>IFERROR(__xludf.DUMMYFUNCTION("""COMPUTED_VALUE"""),36.0)</f>
        <v>36</v>
      </c>
      <c r="F471" s="80">
        <f>IFERROR(__xludf.DUMMYFUNCTION("""COMPUTED_VALUE"""),22.0)</f>
        <v>22</v>
      </c>
      <c r="G471" s="80">
        <f>IFERROR(__xludf.DUMMYFUNCTION("""COMPUTED_VALUE"""),14.0)</f>
        <v>14</v>
      </c>
      <c r="H471" s="81">
        <f>IFERROR(__xludf.DUMMYFUNCTION("""COMPUTED_VALUE"""),0.6111111111111112)</f>
        <v>0.6111111111</v>
      </c>
      <c r="I471" s="81">
        <f>IFERROR(__xludf.DUMMYFUNCTION("""COMPUTED_VALUE"""),0.2521008403361345)</f>
        <v>0.2521008403</v>
      </c>
      <c r="J471" s="80">
        <f>IFERROR(__xludf.DUMMYFUNCTION("""COMPUTED_VALUE"""),395.47222222222223)</f>
        <v>395.4722222</v>
      </c>
      <c r="K471" s="80">
        <f>IFERROR(__xludf.DUMMYFUNCTION("""COMPUTED_VALUE"""),0.8333333333333334)</f>
        <v>0.8333333333</v>
      </c>
      <c r="L471" s="80">
        <f>IFERROR(__xludf.DUMMYFUNCTION("""COMPUTED_VALUE"""),0.7777777777777778)</f>
        <v>0.7777777778</v>
      </c>
      <c r="M471" s="80">
        <f>IFERROR(__xludf.DUMMYFUNCTION("""COMPUTED_VALUE"""),1.3888888888888888)</f>
        <v>1.388888889</v>
      </c>
      <c r="N471" s="80">
        <f>IFERROR(__xludf.DUMMYFUNCTION("""COMPUTED_VALUE"""),3.3055555555555554)</f>
        <v>3.305555556</v>
      </c>
      <c r="O471" s="80">
        <f>IFERROR(__xludf.DUMMYFUNCTION("""COMPUTED_VALUE"""),386.6944444444445)</f>
        <v>386.6944444</v>
      </c>
      <c r="P471" s="80">
        <f>IFERROR(__xludf.DUMMYFUNCTION("""COMPUTED_VALUE"""),0.8333333333333334)</f>
        <v>0.8333333333</v>
      </c>
      <c r="Q471" s="80">
        <f>IFERROR(__xludf.DUMMYFUNCTION("""COMPUTED_VALUE"""),0.675925925925926)</f>
        <v>0.6759259259</v>
      </c>
      <c r="R471" s="80">
        <f>IFERROR(__xludf.DUMMYFUNCTION("""COMPUTED_VALUE"""),1.5648148148148147)</f>
        <v>1.564814815</v>
      </c>
      <c r="S471" s="80">
        <f>IFERROR(__xludf.DUMMYFUNCTION("""COMPUTED_VALUE"""),2.5648148148148153)</f>
        <v>2.564814815</v>
      </c>
      <c r="T471" s="80">
        <f>IFERROR(__xludf.DUMMYFUNCTION("""COMPUTED_VALUE"""),389.1594004345686)</f>
        <v>389.1594004</v>
      </c>
      <c r="U471" s="80">
        <f>IFERROR(__xludf.DUMMYFUNCTION("""COMPUTED_VALUE"""),0.9025273642235422)</f>
        <v>0.9025273642</v>
      </c>
      <c r="V471" s="80">
        <f>IFERROR(__xludf.DUMMYFUNCTION("""COMPUTED_VALUE"""),0.6927546752975884)</f>
        <v>0.6927546753</v>
      </c>
      <c r="W471" s="80">
        <f>IFERROR(__xludf.DUMMYFUNCTION("""COMPUTED_VALUE"""),1.465267933334933)</f>
        <v>1.465267933</v>
      </c>
      <c r="X471" s="80">
        <f>IFERROR(__xludf.DUMMYFUNCTION("""COMPUTED_VALUE"""),2.8735233268804334)</f>
        <v>2.873523327</v>
      </c>
      <c r="Y471" s="80">
        <f>IFERROR(__xludf.DUMMYFUNCTION("""COMPUTED_VALUE"""),390.8218031095437)</f>
        <v>390.8218031</v>
      </c>
      <c r="Z471" s="80">
        <f>IFERROR(__xludf.DUMMYFUNCTION("""COMPUTED_VALUE"""),0.9036486344877791)</f>
        <v>0.9036486345</v>
      </c>
      <c r="AA471" s="80">
        <f>IFERROR(__xludf.DUMMYFUNCTION("""COMPUTED_VALUE"""),0.6895789832116321)</f>
        <v>0.6895789832</v>
      </c>
      <c r="AB471" s="80">
        <f>IFERROR(__xludf.DUMMYFUNCTION("""COMPUTED_VALUE"""),1.5001461873263482)</f>
        <v>1.500146187</v>
      </c>
      <c r="AC471" s="80">
        <f>IFERROR(__xludf.DUMMYFUNCTION("""COMPUTED_VALUE"""),2.85510046849325)</f>
        <v>2.855100468</v>
      </c>
      <c r="AD471" s="80">
        <f>IFERROR(__xludf.DUMMYFUNCTION("""COMPUTED_VALUE"""),1.0118990779830548)</f>
        <v>1.011899078</v>
      </c>
      <c r="AE471" s="80">
        <f>IFERROR(__xludf.DUMMYFUNCTION("""COMPUTED_VALUE"""),0.92218734309901)</f>
        <v>0.9221873431</v>
      </c>
      <c r="AF471" s="80">
        <f>IFERROR(__xludf.DUMMYFUNCTION("""COMPUTED_VALUE"""),1.1279023820525536)</f>
        <v>1.127902382</v>
      </c>
      <c r="AG471" s="80">
        <f>IFERROR(__xludf.DUMMYFUNCTION("""COMPUTED_VALUE"""),0.9258356956292714)</f>
        <v>0.9258356956</v>
      </c>
      <c r="AH471" s="80">
        <f>IFERROR(__xludf.DUMMYFUNCTION("""COMPUTED_VALUE"""),1.157772061625568)</f>
        <v>1.157772062</v>
      </c>
      <c r="AI471" s="80">
        <f>IFERROR(__xludf.DUMMYFUNCTION("""COMPUTED_VALUE"""),0.9936659477135293)</f>
        <v>0.9936659477</v>
      </c>
      <c r="AJ471" s="80">
        <f>IFERROR(__xludf.DUMMYFUNCTION("""COMPUTED_VALUE"""),0.9233330382733188)</f>
        <v>0.9233330383</v>
      </c>
      <c r="AK471" s="80">
        <f>IFERROR(__xludf.DUMMYFUNCTION("""COMPUTED_VALUE"""),0.9757074907297693)</f>
        <v>0.9757074907</v>
      </c>
      <c r="AL471" s="80">
        <f>IFERROR(__xludf.DUMMYFUNCTION("""COMPUTED_VALUE"""),1.0679376646517569)</f>
        <v>1.067937665</v>
      </c>
      <c r="AM471" s="80">
        <f>IFERROR(__xludf.DUMMYFUNCTION("""COMPUTED_VALUE"""),0.8925679464030105)</f>
        <v>0.8925679464</v>
      </c>
      <c r="AN471" s="80">
        <f>IFERROR(__xludf.DUMMYFUNCTION("""COMPUTED_VALUE"""),1.0547537633959274)</f>
        <v>1.054753763</v>
      </c>
      <c r="AO471" s="80">
        <f>IFERROR(__xludf.DUMMYFUNCTION("""COMPUTED_VALUE"""),1.0095140870287127)</f>
        <v>1.009514087</v>
      </c>
      <c r="AP471" s="80">
        <f>IFERROR(__xludf.DUMMYFUNCTION("""COMPUTED_VALUE"""),1.1986983945620708)</f>
        <v>1.198698395</v>
      </c>
      <c r="AQ471" s="80">
        <f>IFERROR(__xludf.DUMMYFUNCTION("""COMPUTED_VALUE"""),0.9559182413314411)</f>
        <v>0.9559182413</v>
      </c>
      <c r="AR471" s="80">
        <f>IFERROR(__xludf.DUMMYFUNCTION("""COMPUTED_VALUE"""),1.2160611728652801)</f>
        <v>1.216061173</v>
      </c>
      <c r="AS471" s="80">
        <f>IFERROR(__xludf.DUMMYFUNCTION("""COMPUTED_VALUE"""),108.0)</f>
        <v>108</v>
      </c>
      <c r="AT471" s="80">
        <f>IFERROR(__xludf.DUMMYFUNCTION("""COMPUTED_VALUE"""),0.5738036455319312)</f>
        <v>0.5738036455</v>
      </c>
      <c r="AU471" s="80">
        <f>IFERROR(__xludf.DUMMYFUNCTION("""COMPUTED_VALUE"""),3.5684663900649833)</f>
        <v>3.56846639</v>
      </c>
      <c r="AV471" s="80">
        <f>IFERROR(__xludf.DUMMYFUNCTION("""COMPUTED_VALUE"""),63.336944596676204)</f>
        <v>63.3369446</v>
      </c>
      <c r="AW471" s="82">
        <f t="shared" si="1"/>
        <v>3.368688359</v>
      </c>
      <c r="AX471" s="83">
        <f t="array" ref="AX471">IFERROR(DGET('SBV Import'!A:G,"SBV",{"RSC ID","Tier";B471,A471}))</f>
        <v>59.90747833</v>
      </c>
      <c r="AY471" s="82">
        <f t="shared" si="2"/>
        <v>2.89065644</v>
      </c>
      <c r="AZ471" s="82">
        <v>0.47803191952042035</v>
      </c>
      <c r="BA471" s="84">
        <v>450.0</v>
      </c>
      <c r="BB471" s="84" t="b">
        <f>IFERROR(__xludf.DUMMYFUNCTION("iferror(if(A471="""",,E471&gt;=FILTER(Constants!$F$2:$F$10,Constants!$A$2:$A$10=A471)))"),TRUE)</f>
        <v>1</v>
      </c>
    </row>
    <row r="472">
      <c r="A472" s="80" t="str">
        <f>IFERROR(__xludf.DUMMYFUNCTION("""COMPUTED_VALUE"""),"Master")</f>
        <v>Master</v>
      </c>
      <c r="B472" s="80" t="str">
        <f>IFERROR(__xludf.DUMMYFUNCTION("""COMPUTED_VALUE"""),"RSC006985")</f>
        <v>RSC006985</v>
      </c>
      <c r="C472" s="80" t="str">
        <f>IFERROR(__xludf.DUMMYFUNCTION("""COMPUTED_VALUE"""),"not so jucy skep")</f>
        <v>not so jucy skep</v>
      </c>
      <c r="D472" s="80"/>
      <c r="E472" s="80">
        <f>IFERROR(__xludf.DUMMYFUNCTION("""COMPUTED_VALUE"""),7.0)</f>
        <v>7</v>
      </c>
      <c r="F472" s="80">
        <f>IFERROR(__xludf.DUMMYFUNCTION("""COMPUTED_VALUE"""),3.0)</f>
        <v>3</v>
      </c>
      <c r="G472" s="80">
        <f>IFERROR(__xludf.DUMMYFUNCTION("""COMPUTED_VALUE"""),4.0)</f>
        <v>4</v>
      </c>
      <c r="H472" s="81">
        <f>IFERROR(__xludf.DUMMYFUNCTION("""COMPUTED_VALUE"""),0.42857142857142855)</f>
        <v>0.4285714286</v>
      </c>
      <c r="I472" s="81">
        <f>IFERROR(__xludf.DUMMYFUNCTION("""COMPUTED_VALUE"""),0.5)</f>
        <v>0.5</v>
      </c>
      <c r="J472" s="80">
        <f>IFERROR(__xludf.DUMMYFUNCTION("""COMPUTED_VALUE"""),412.57142857142856)</f>
        <v>412.5714286</v>
      </c>
      <c r="K472" s="80">
        <f>IFERROR(__xludf.DUMMYFUNCTION("""COMPUTED_VALUE"""),1.2857142857142858)</f>
        <v>1.285714286</v>
      </c>
      <c r="L472" s="80">
        <f>IFERROR(__xludf.DUMMYFUNCTION("""COMPUTED_VALUE"""),0.5714285714285714)</f>
        <v>0.5714285714</v>
      </c>
      <c r="M472" s="80">
        <f>IFERROR(__xludf.DUMMYFUNCTION("""COMPUTED_VALUE"""),1.5714285714285714)</f>
        <v>1.571428571</v>
      </c>
      <c r="N472" s="80">
        <f>IFERROR(__xludf.DUMMYFUNCTION("""COMPUTED_VALUE"""),2.5714285714285716)</f>
        <v>2.571428571</v>
      </c>
      <c r="O472" s="80">
        <f>IFERROR(__xludf.DUMMYFUNCTION("""COMPUTED_VALUE"""),356.42857142857144)</f>
        <v>356.4285714</v>
      </c>
      <c r="P472" s="80">
        <f>IFERROR(__xludf.DUMMYFUNCTION("""COMPUTED_VALUE"""),0.8095238095238094)</f>
        <v>0.8095238095</v>
      </c>
      <c r="Q472" s="80">
        <f>IFERROR(__xludf.DUMMYFUNCTION("""COMPUTED_VALUE"""),0.6666666666666666)</f>
        <v>0.6666666667</v>
      </c>
      <c r="R472" s="80">
        <f>IFERROR(__xludf.DUMMYFUNCTION("""COMPUTED_VALUE"""),1.1904761904761905)</f>
        <v>1.19047619</v>
      </c>
      <c r="S472" s="80">
        <f>IFERROR(__xludf.DUMMYFUNCTION("""COMPUTED_VALUE"""),2.952380952380952)</f>
        <v>2.952380952</v>
      </c>
      <c r="T472" s="80">
        <f>IFERROR(__xludf.DUMMYFUNCTION("""COMPUTED_VALUE"""),375.0123650149945)</f>
        <v>375.012365</v>
      </c>
      <c r="U472" s="80">
        <f>IFERROR(__xludf.DUMMYFUNCTION("""COMPUTED_VALUE"""),0.8805859102435016)</f>
        <v>0.8805859102</v>
      </c>
      <c r="V472" s="80">
        <f>IFERROR(__xludf.DUMMYFUNCTION("""COMPUTED_VALUE"""),0.6757070873360229)</f>
        <v>0.6757070873</v>
      </c>
      <c r="W472" s="80">
        <f>IFERROR(__xludf.DUMMYFUNCTION("""COMPUTED_VALUE"""),1.4394175878418292)</f>
        <v>1.439417588</v>
      </c>
      <c r="X472" s="80">
        <f>IFERROR(__xludf.DUMMYFUNCTION("""COMPUTED_VALUE"""),2.7796946115939565)</f>
        <v>2.779694612</v>
      </c>
      <c r="Y472" s="80">
        <f>IFERROR(__xludf.DUMMYFUNCTION("""COMPUTED_VALUE"""),407.97003343615506)</f>
        <v>407.9700334</v>
      </c>
      <c r="Z472" s="80">
        <f>IFERROR(__xludf.DUMMYFUNCTION("""COMPUTED_VALUE"""),1.0078246028329858)</f>
        <v>1.007824603</v>
      </c>
      <c r="AA472" s="80">
        <f>IFERROR(__xludf.DUMMYFUNCTION("""COMPUTED_VALUE"""),0.7895865648259628)</f>
        <v>0.7895865648</v>
      </c>
      <c r="AB472" s="80">
        <f>IFERROR(__xludf.DUMMYFUNCTION("""COMPUTED_VALUE"""),1.504878454916512)</f>
        <v>1.504878455</v>
      </c>
      <c r="AC472" s="80">
        <f>IFERROR(__xludf.DUMMYFUNCTION("""COMPUTED_VALUE"""),2.932845811045414)</f>
        <v>2.932845811</v>
      </c>
      <c r="AD472" s="80">
        <f>IFERROR(__xludf.DUMMYFUNCTION("""COMPUTED_VALUE"""),1.0112787576492273)</f>
        <v>1.011278758</v>
      </c>
      <c r="AE472" s="80">
        <f>IFERROR(__xludf.DUMMYFUNCTION("""COMPUTED_VALUE"""),1.2757321880217596)</f>
        <v>1.275732188</v>
      </c>
      <c r="AF472" s="80">
        <f>IFERROR(__xludf.DUMMYFUNCTION("""COMPUTED_VALUE"""),0.7237060467898453)</f>
        <v>0.7237060468</v>
      </c>
      <c r="AG472" s="80">
        <f>IFERROR(__xludf.DUMMYFUNCTION("""COMPUTED_VALUE"""),1.0442229180002125)</f>
        <v>1.044222918</v>
      </c>
      <c r="AH472" s="80">
        <f>IFERROR(__xludf.DUMMYFUNCTION("""COMPUTED_VALUE"""),0.8767690963310427)</f>
        <v>0.8767690963</v>
      </c>
      <c r="AI472" s="80">
        <f>IFERROR(__xludf.DUMMYFUNCTION("""COMPUTED_VALUE"""),0.9504448511032964)</f>
        <v>0.9504448511</v>
      </c>
      <c r="AJ472" s="80">
        <f>IFERROR(__xludf.DUMMYFUNCTION("""COMPUTED_VALUE"""),0.919301342557205)</f>
        <v>0.9193013426</v>
      </c>
      <c r="AK472" s="80">
        <f>IFERROR(__xludf.DUMMYFUNCTION("""COMPUTED_VALUE"""),0.9866207993984522)</f>
        <v>0.9866207994</v>
      </c>
      <c r="AL472" s="80">
        <f>IFERROR(__xludf.DUMMYFUNCTION("""COMPUTED_VALUE"""),0.8270540811309068)</f>
        <v>0.8270540811</v>
      </c>
      <c r="AM472" s="80">
        <f>IFERROR(__xludf.DUMMYFUNCTION("""COMPUTED_VALUE"""),1.0621242132379327)</f>
        <v>1.062124213</v>
      </c>
      <c r="AN472" s="80">
        <f>IFERROR(__xludf.DUMMYFUNCTION("""COMPUTED_VALUE"""),1.1003586156066965)</f>
        <v>1.100358616</v>
      </c>
      <c r="AO472" s="80">
        <f>IFERROR(__xludf.DUMMYFUNCTION("""COMPUTED_VALUE"""),1.5575360199871569)</f>
        <v>1.55753602</v>
      </c>
      <c r="AP472" s="80">
        <f>IFERROR(__xludf.DUMMYFUNCTION("""COMPUTED_VALUE"""),0.8806763715149908)</f>
        <v>0.8806763715</v>
      </c>
      <c r="AQ472" s="80">
        <f>IFERROR(__xludf.DUMMYFUNCTION("""COMPUTED_VALUE"""),1.0815532101921448)</f>
        <v>1.08155321</v>
      </c>
      <c r="AR472" s="80">
        <f>IFERROR(__xludf.DUMMYFUNCTION("""COMPUTED_VALUE"""),0.9459875630452601)</f>
        <v>0.945987563</v>
      </c>
      <c r="AS472" s="80">
        <f>IFERROR(__xludf.DUMMYFUNCTION("""COMPUTED_VALUE"""),16.0)</f>
        <v>16</v>
      </c>
      <c r="AT472" s="80">
        <f>IFERROR(__xludf.DUMMYFUNCTION("""COMPUTED_VALUE"""),0.4763660854857283)</f>
        <v>0.4763660855</v>
      </c>
      <c r="AU472" s="80">
        <f>IFERROR(__xludf.DUMMYFUNCTION("""COMPUTED_VALUE"""),3.544673436394544)</f>
        <v>3.544673436</v>
      </c>
      <c r="AV472" s="80">
        <f>IFERROR(__xludf.DUMMYFUNCTION("""COMPUTED_VALUE"""),62.70256813176961)</f>
        <v>62.70256813</v>
      </c>
      <c r="AW472" s="82">
        <f t="shared" si="1"/>
        <v>3.271280928</v>
      </c>
      <c r="AX472" s="83">
        <f t="array" ref="AX472">IFERROR(DGET('SBV Import'!A:G,"SBV",{"RSC ID","Tier";B472,A472}))</f>
        <v>59.71975237</v>
      </c>
      <c r="AY472" s="82">
        <f t="shared" si="2"/>
        <v>2.867665433</v>
      </c>
      <c r="AZ472" s="82">
        <v>0.4036154950375881</v>
      </c>
      <c r="BA472" s="84">
        <v>450.0</v>
      </c>
      <c r="BB472" s="84" t="b">
        <f>IFERROR(__xludf.DUMMYFUNCTION("iferror(if(A472="""",,E472&gt;=FILTER(Constants!$F$2:$F$10,Constants!$A$2:$A$10=A472)))"),TRUE)</f>
        <v>1</v>
      </c>
    </row>
    <row r="473">
      <c r="A473" s="80" t="str">
        <f>IFERROR(__xludf.DUMMYFUNCTION("""COMPUTED_VALUE"""),"Master")</f>
        <v>Master</v>
      </c>
      <c r="B473" s="80" t="str">
        <f>IFERROR(__xludf.DUMMYFUNCTION("""COMPUTED_VALUE"""),"RSC000330")</f>
        <v>RSC000330</v>
      </c>
      <c r="C473" s="80" t="str">
        <f>IFERROR(__xludf.DUMMYFUNCTION("""COMPUTED_VALUE"""),"Infinite")</f>
        <v>Infinite</v>
      </c>
      <c r="D473" s="80" t="str">
        <f>IFERROR(__xludf.DUMMYFUNCTION("""COMPUTED_VALUE"""),"Oblivion")</f>
        <v>Oblivion</v>
      </c>
      <c r="E473" s="80">
        <f>IFERROR(__xludf.DUMMYFUNCTION("""COMPUTED_VALUE"""),44.0)</f>
        <v>44</v>
      </c>
      <c r="F473" s="80">
        <f>IFERROR(__xludf.DUMMYFUNCTION("""COMPUTED_VALUE"""),30.0)</f>
        <v>30</v>
      </c>
      <c r="G473" s="80">
        <f>IFERROR(__xludf.DUMMYFUNCTION("""COMPUTED_VALUE"""),14.0)</f>
        <v>14</v>
      </c>
      <c r="H473" s="81">
        <f>IFERROR(__xludf.DUMMYFUNCTION("""COMPUTED_VALUE"""),0.6818181818181818)</f>
        <v>0.6818181818</v>
      </c>
      <c r="I473" s="81">
        <f>IFERROR(__xludf.DUMMYFUNCTION("""COMPUTED_VALUE"""),0.41441441441441434)</f>
        <v>0.4144144144</v>
      </c>
      <c r="J473" s="80">
        <f>IFERROR(__xludf.DUMMYFUNCTION("""COMPUTED_VALUE"""),397.95454545454544)</f>
        <v>397.9545455</v>
      </c>
      <c r="K473" s="80">
        <f>IFERROR(__xludf.DUMMYFUNCTION("""COMPUTED_VALUE"""),1.0454545454545454)</f>
        <v>1.045454545</v>
      </c>
      <c r="L473" s="80">
        <f>IFERROR(__xludf.DUMMYFUNCTION("""COMPUTED_VALUE"""),0.7045454545454546)</f>
        <v>0.7045454545</v>
      </c>
      <c r="M473" s="80">
        <f>IFERROR(__xludf.DUMMYFUNCTION("""COMPUTED_VALUE"""),1.5454545454545454)</f>
        <v>1.545454545</v>
      </c>
      <c r="N473" s="80">
        <f>IFERROR(__xludf.DUMMYFUNCTION("""COMPUTED_VALUE"""),2.522727272727273)</f>
        <v>2.522727273</v>
      </c>
      <c r="O473" s="80">
        <f>IFERROR(__xludf.DUMMYFUNCTION("""COMPUTED_VALUE"""),356.71969696969705)</f>
        <v>356.719697</v>
      </c>
      <c r="P473" s="80">
        <f>IFERROR(__xludf.DUMMYFUNCTION("""COMPUTED_VALUE"""),0.7272727272727273)</f>
        <v>0.7272727273</v>
      </c>
      <c r="Q473" s="80">
        <f>IFERROR(__xludf.DUMMYFUNCTION("""COMPUTED_VALUE"""),0.4848484848484848)</f>
        <v>0.4848484848</v>
      </c>
      <c r="R473" s="80">
        <f>IFERROR(__xludf.DUMMYFUNCTION("""COMPUTED_VALUE"""),1.5530303030303032)</f>
        <v>1.553030303</v>
      </c>
      <c r="S473" s="80">
        <f>IFERROR(__xludf.DUMMYFUNCTION("""COMPUTED_VALUE"""),2.378787878787879)</f>
        <v>2.378787879</v>
      </c>
      <c r="T473" s="80">
        <f>IFERROR(__xludf.DUMMYFUNCTION("""COMPUTED_VALUE"""),380.8497084940465)</f>
        <v>380.8497085</v>
      </c>
      <c r="U473" s="80">
        <f>IFERROR(__xludf.DUMMYFUNCTION("""COMPUTED_VALUE"""),0.8182778983906215)</f>
        <v>0.8182778984</v>
      </c>
      <c r="V473" s="80">
        <f>IFERROR(__xludf.DUMMYFUNCTION("""COMPUTED_VALUE"""),0.617807024441303)</f>
        <v>0.6178070244</v>
      </c>
      <c r="W473" s="80">
        <f>IFERROR(__xludf.DUMMYFUNCTION("""COMPUTED_VALUE"""),1.5405762371737857)</f>
        <v>1.540576237</v>
      </c>
      <c r="X473" s="80">
        <f>IFERROR(__xludf.DUMMYFUNCTION("""COMPUTED_VALUE"""),2.7711752756782313)</f>
        <v>2.771175276</v>
      </c>
      <c r="Y473" s="80">
        <f>IFERROR(__xludf.DUMMYFUNCTION("""COMPUTED_VALUE"""),402.98583555899364)</f>
        <v>402.9858356</v>
      </c>
      <c r="Z473" s="80">
        <f>IFERROR(__xludf.DUMMYFUNCTION("""COMPUTED_VALUE"""),0.9624302456302366)</f>
        <v>0.9624302456</v>
      </c>
      <c r="AA473" s="80">
        <f>IFERROR(__xludf.DUMMYFUNCTION("""COMPUTED_VALUE"""),0.7458135784586795)</f>
        <v>0.7458135785</v>
      </c>
      <c r="AB473" s="80">
        <f>IFERROR(__xludf.DUMMYFUNCTION("""COMPUTED_VALUE"""),1.5012730784106525)</f>
        <v>1.501273078</v>
      </c>
      <c r="AC473" s="80">
        <f>IFERROR(__xludf.DUMMYFUNCTION("""COMPUTED_VALUE"""),2.9546074373959157)</f>
        <v>2.954607437</v>
      </c>
      <c r="AD473" s="80">
        <f>IFERROR(__xludf.DUMMYFUNCTION("""COMPUTED_VALUE"""),0.9875149703525704)</f>
        <v>0.9875149704</v>
      </c>
      <c r="AE473" s="80">
        <f>IFERROR(__xludf.DUMMYFUNCTION("""COMPUTED_VALUE"""),1.0862652646269875)</f>
        <v>1.086265265</v>
      </c>
      <c r="AF473" s="80">
        <f>IFERROR(__xludf.DUMMYFUNCTION("""COMPUTED_VALUE"""),0.9446669716063486)</f>
        <v>0.9446669716</v>
      </c>
      <c r="AG473" s="80">
        <f>IFERROR(__xludf.DUMMYFUNCTION("""COMPUTED_VALUE"""),1.0294293341293153)</f>
        <v>1.029429334</v>
      </c>
      <c r="AH473" s="80">
        <f>IFERROR(__xludf.DUMMYFUNCTION("""COMPUTED_VALUE"""),0.8538282415449119)</f>
        <v>0.8538282415</v>
      </c>
      <c r="AI473" s="80">
        <f>IFERROR(__xludf.DUMMYFUNCTION("""COMPUTED_VALUE"""),0.9366416437083168)</f>
        <v>0.9366416437</v>
      </c>
      <c r="AJ473" s="80">
        <f>IFERROR(__xludf.DUMMYFUNCTION("""COMPUTED_VALUE"""),0.8887845177086147)</f>
        <v>0.8887845177</v>
      </c>
      <c r="AK473" s="80">
        <f>IFERROR(__xludf.DUMMYFUNCTION("""COMPUTED_VALUE"""),0.784789530819829)</f>
        <v>0.7847895308</v>
      </c>
      <c r="AL473" s="80">
        <f>IFERROR(__xludf.DUMMYFUNCTION("""COMPUTED_VALUE"""),1.0080840308684527)</f>
        <v>1.008084031</v>
      </c>
      <c r="AM473" s="80">
        <f>IFERROR(__xludf.DUMMYFUNCTION("""COMPUTED_VALUE"""),0.8584039774263944)</f>
        <v>0.8584039774</v>
      </c>
      <c r="AN473" s="80">
        <f>IFERROR(__xludf.DUMMYFUNCTION("""COMPUTED_VALUE"""),1.0613743036618042)</f>
        <v>1.061374304</v>
      </c>
      <c r="AO473" s="80">
        <f>IFERROR(__xludf.DUMMYFUNCTION("""COMPUTED_VALUE"""),1.2664813091814757)</f>
        <v>1.266481309</v>
      </c>
      <c r="AP473" s="80">
        <f>IFERROR(__xludf.DUMMYFUNCTION("""COMPUTED_VALUE"""),1.085833935333824)</f>
        <v>1.085833935</v>
      </c>
      <c r="AQ473" s="80">
        <f>IFERROR(__xludf.DUMMYFUNCTION("""COMPUTED_VALUE"""),1.0636762976269853)</f>
        <v>1.063676298</v>
      </c>
      <c r="AR473" s="80">
        <f>IFERROR(__xludf.DUMMYFUNCTION("""COMPUTED_VALUE"""),0.9280711319269787)</f>
        <v>0.9280711319</v>
      </c>
      <c r="AS473" s="80">
        <f>IFERROR(__xludf.DUMMYFUNCTION("""COMPUTED_VALUE"""),144.0)</f>
        <v>144</v>
      </c>
      <c r="AT473" s="80">
        <f>IFERROR(__xludf.DUMMYFUNCTION("""COMPUTED_VALUE"""),0.6592123486704434)</f>
        <v>0.6592123487</v>
      </c>
      <c r="AU473" s="80">
        <f>IFERROR(__xludf.DUMMYFUNCTION("""COMPUTED_VALUE"""),3.5274120610408684)</f>
        <v>3.527412061</v>
      </c>
      <c r="AV473" s="80">
        <f>IFERROR(__xludf.DUMMYFUNCTION("""COMPUTED_VALUE"""),62.2423390056189)</f>
        <v>62.24233901</v>
      </c>
      <c r="AW473" s="82">
        <f t="shared" si="1"/>
        <v>3.203327568</v>
      </c>
      <c r="AX473" s="83">
        <f t="array" ref="AX473">IFERROR(DGET('SBV Import'!A:G,"SBV",{"RSC ID","Tier";B473,A473}))</f>
        <v>55.46637727</v>
      </c>
      <c r="AY473" s="82">
        <f t="shared" si="2"/>
        <v>2.418617351</v>
      </c>
      <c r="AZ473" s="82">
        <v>0.78471021660852</v>
      </c>
      <c r="BA473" s="84">
        <v>450.0</v>
      </c>
      <c r="BB473" s="84" t="b">
        <f>IFERROR(__xludf.DUMMYFUNCTION("iferror(if(A473="""",,E473&gt;=FILTER(Constants!$F$2:$F$10,Constants!$A$2:$A$10=A473)))"),TRUE)</f>
        <v>1</v>
      </c>
    </row>
    <row r="474">
      <c r="A474" s="80" t="str">
        <f>IFERROR(__xludf.DUMMYFUNCTION("""COMPUTED_VALUE"""),"Master")</f>
        <v>Master</v>
      </c>
      <c r="B474" s="80" t="str">
        <f>IFERROR(__xludf.DUMMYFUNCTION("""COMPUTED_VALUE"""),"RSC002959")</f>
        <v>RSC002959</v>
      </c>
      <c r="C474" s="80" t="str">
        <f>IFERROR(__xludf.DUMMYFUNCTION("""COMPUTED_VALUE"""),"JACKS0NTHEBOSS")</f>
        <v>JACKS0NTHEBOSS</v>
      </c>
      <c r="D474" s="80"/>
      <c r="E474" s="80">
        <f>IFERROR(__xludf.DUMMYFUNCTION("""COMPUTED_VALUE"""),35.0)</f>
        <v>35</v>
      </c>
      <c r="F474" s="80">
        <f>IFERROR(__xludf.DUMMYFUNCTION("""COMPUTED_VALUE"""),18.0)</f>
        <v>18</v>
      </c>
      <c r="G474" s="80">
        <f>IFERROR(__xludf.DUMMYFUNCTION("""COMPUTED_VALUE"""),17.0)</f>
        <v>17</v>
      </c>
      <c r="H474" s="81">
        <f>IFERROR(__xludf.DUMMYFUNCTION("""COMPUTED_VALUE"""),0.5142857142857142)</f>
        <v>0.5142857143</v>
      </c>
      <c r="I474" s="81">
        <f>IFERROR(__xludf.DUMMYFUNCTION("""COMPUTED_VALUE"""),0.27722772277227725)</f>
        <v>0.2772277228</v>
      </c>
      <c r="J474" s="80">
        <f>IFERROR(__xludf.DUMMYFUNCTION("""COMPUTED_VALUE"""),403.0571428571429)</f>
        <v>403.0571429</v>
      </c>
      <c r="K474" s="80">
        <f>IFERROR(__xludf.DUMMYFUNCTION("""COMPUTED_VALUE"""),0.8)</f>
        <v>0.8</v>
      </c>
      <c r="L474" s="80">
        <f>IFERROR(__xludf.DUMMYFUNCTION("""COMPUTED_VALUE"""),0.8285714285714286)</f>
        <v>0.8285714286</v>
      </c>
      <c r="M474" s="80">
        <f>IFERROR(__xludf.DUMMYFUNCTION("""COMPUTED_VALUE"""),1.6571428571428573)</f>
        <v>1.657142857</v>
      </c>
      <c r="N474" s="80">
        <f>IFERROR(__xludf.DUMMYFUNCTION("""COMPUTED_VALUE"""),2.8857142857142857)</f>
        <v>2.885714286</v>
      </c>
      <c r="O474" s="80">
        <f>IFERROR(__xludf.DUMMYFUNCTION("""COMPUTED_VALUE"""),355.66666666666674)</f>
        <v>355.6666667</v>
      </c>
      <c r="P474" s="80">
        <f>IFERROR(__xludf.DUMMYFUNCTION("""COMPUTED_VALUE"""),0.761904761904762)</f>
        <v>0.7619047619</v>
      </c>
      <c r="Q474" s="80">
        <f>IFERROR(__xludf.DUMMYFUNCTION("""COMPUTED_VALUE"""),0.5904761904761905)</f>
        <v>0.5904761905</v>
      </c>
      <c r="R474" s="80">
        <f>IFERROR(__xludf.DUMMYFUNCTION("""COMPUTED_VALUE"""),1.3714285714285717)</f>
        <v>1.371428571</v>
      </c>
      <c r="S474" s="80">
        <f>IFERROR(__xludf.DUMMYFUNCTION("""COMPUTED_VALUE"""),2.8380952380952373)</f>
        <v>2.838095238</v>
      </c>
      <c r="T474" s="80">
        <f>IFERROR(__xludf.DUMMYFUNCTION("""COMPUTED_VALUE"""),382.5043265481155)</f>
        <v>382.5043265</v>
      </c>
      <c r="U474" s="80">
        <f>IFERROR(__xludf.DUMMYFUNCTION("""COMPUTED_VALUE"""),0.8607122860572238)</f>
        <v>0.8607122861</v>
      </c>
      <c r="V474" s="80">
        <f>IFERROR(__xludf.DUMMYFUNCTION("""COMPUTED_VALUE"""),0.6539946700392776)</f>
        <v>0.65399467</v>
      </c>
      <c r="W474" s="80">
        <f>IFERROR(__xludf.DUMMYFUNCTION("""COMPUTED_VALUE"""),1.4945643734089653)</f>
        <v>1.494564373</v>
      </c>
      <c r="X474" s="80">
        <f>IFERROR(__xludf.DUMMYFUNCTION("""COMPUTED_VALUE"""),2.778994796241789)</f>
        <v>2.778994796</v>
      </c>
      <c r="Y474" s="80">
        <f>IFERROR(__xludf.DUMMYFUNCTION("""COMPUTED_VALUE"""),392.46116698535417)</f>
        <v>392.461167</v>
      </c>
      <c r="Z474" s="80">
        <f>IFERROR(__xludf.DUMMYFUNCTION("""COMPUTED_VALUE"""),0.9303775355251428)</f>
        <v>0.9303775355</v>
      </c>
      <c r="AA474" s="80">
        <f>IFERROR(__xludf.DUMMYFUNCTION("""COMPUTED_VALUE"""),0.726418350201329)</f>
        <v>0.7264183502</v>
      </c>
      <c r="AB474" s="80">
        <f>IFERROR(__xludf.DUMMYFUNCTION("""COMPUTED_VALUE"""),1.4582322891726835)</f>
        <v>1.458232289</v>
      </c>
      <c r="AC474" s="80">
        <f>IFERROR(__xludf.DUMMYFUNCTION("""COMPUTED_VALUE"""),2.953564219830139)</f>
        <v>2.95356422</v>
      </c>
      <c r="AD474" s="80">
        <f>IFERROR(__xludf.DUMMYFUNCTION("""COMPUTED_VALUE"""),1.0269987880665505)</f>
        <v>1.026998788</v>
      </c>
      <c r="AE474" s="80">
        <f>IFERROR(__xludf.DUMMYFUNCTION("""COMPUTED_VALUE"""),0.8598659892926667)</f>
        <v>0.8598659893</v>
      </c>
      <c r="AF474" s="80">
        <f>IFERROR(__xludf.DUMMYFUNCTION("""COMPUTED_VALUE"""),1.1406256853805903)</f>
        <v>1.140625685</v>
      </c>
      <c r="AG474" s="80">
        <f>IFERROR(__xludf.DUMMYFUNCTION("""COMPUTED_VALUE"""),1.1364052692064746)</f>
        <v>1.136405269</v>
      </c>
      <c r="AH474" s="80">
        <f>IFERROR(__xludf.DUMMYFUNCTION("""COMPUTED_VALUE"""),0.9770277776049997)</f>
        <v>0.9770277776</v>
      </c>
      <c r="AI474" s="80">
        <f>IFERROR(__xludf.DUMMYFUNCTION("""COMPUTED_VALUE"""),0.9298369769470495)</f>
        <v>0.9298369769</v>
      </c>
      <c r="AJ474" s="80">
        <f>IFERROR(__xludf.DUMMYFUNCTION("""COMPUTED_VALUE"""),0.8852026097999806)</f>
        <v>0.8852026098</v>
      </c>
      <c r="AK474" s="80">
        <f>IFERROR(__xludf.DUMMYFUNCTION("""COMPUTED_VALUE"""),0.9028761510254016)</f>
        <v>0.902876151</v>
      </c>
      <c r="AL474" s="80">
        <f>IFERROR(__xludf.DUMMYFUNCTION("""COMPUTED_VALUE"""),0.9176109077861049)</f>
        <v>0.9176109078</v>
      </c>
      <c r="AM474" s="80">
        <f>IFERROR(__xludf.DUMMYFUNCTION("""COMPUTED_VALUE"""),1.021266841497283)</f>
        <v>1.021266841</v>
      </c>
      <c r="AN474" s="80">
        <f>IFERROR(__xludf.DUMMYFUNCTION("""COMPUTED_VALUE"""),1.0749833095819716)</f>
        <v>1.07498331</v>
      </c>
      <c r="AO474" s="80">
        <f>IFERROR(__xludf.DUMMYFUNCTION("""COMPUTED_VALUE"""),0.9691335235475642)</f>
        <v>0.9691335235</v>
      </c>
      <c r="AP474" s="80">
        <f>IFERROR(__xludf.DUMMYFUNCTION("""COMPUTED_VALUE"""),1.2769807386967367)</f>
        <v>1.276980739</v>
      </c>
      <c r="AQ474" s="80">
        <f>IFERROR(__xludf.DUMMYFUNCTION("""COMPUTED_VALUE"""),1.1405470216571711)</f>
        <v>1.140547022</v>
      </c>
      <c r="AR474" s="80">
        <f>IFERROR(__xludf.DUMMYFUNCTION("""COMPUTED_VALUE"""),1.0616082651952363)</f>
        <v>1.061608265</v>
      </c>
      <c r="AS474" s="80">
        <f>IFERROR(__xludf.DUMMYFUNCTION("""COMPUTED_VALUE"""),93.0)</f>
        <v>93</v>
      </c>
      <c r="AT474" s="80">
        <f>IFERROR(__xludf.DUMMYFUNCTION("""COMPUTED_VALUE"""),0.5592668621090963)</f>
        <v>0.5592668621</v>
      </c>
      <c r="AU474" s="80">
        <f>IFERROR(__xludf.DUMMYFUNCTION("""COMPUTED_VALUE"""),3.4636738341157085)</f>
        <v>3.463673834</v>
      </c>
      <c r="AV474" s="80">
        <f>IFERROR(__xludf.DUMMYFUNCTION("""COMPUTED_VALUE"""),60.54292700170141)</f>
        <v>60.542927</v>
      </c>
      <c r="AW474" s="82">
        <f t="shared" si="1"/>
        <v>2.970746159</v>
      </c>
      <c r="AX474" s="83">
        <f t="array" ref="AX474">IFERROR(DGET('SBV Import'!A:G,"SBV",{"RSC ID","Tier";B474,A474}))</f>
        <v>62.01374743</v>
      </c>
      <c r="AY474" s="82">
        <f t="shared" si="2"/>
        <v>3.170393939</v>
      </c>
      <c r="AZ474" s="82">
        <v>0.1996477793662712</v>
      </c>
      <c r="BA474" s="84">
        <v>450.0</v>
      </c>
      <c r="BB474" s="84" t="b">
        <f>IFERROR(__xludf.DUMMYFUNCTION("iferror(if(A474="""",,E474&gt;=FILTER(Constants!$F$2:$F$10,Constants!$A$2:$A$10=A474)))"),TRUE)</f>
        <v>1</v>
      </c>
    </row>
    <row r="475">
      <c r="A475" s="80" t="str">
        <f>IFERROR(__xludf.DUMMYFUNCTION("""COMPUTED_VALUE"""),"Master")</f>
        <v>Master</v>
      </c>
      <c r="B475" s="80" t="str">
        <f>IFERROR(__xludf.DUMMYFUNCTION("""COMPUTED_VALUE"""),"RSC003728")</f>
        <v>RSC003728</v>
      </c>
      <c r="C475" s="80" t="str">
        <f>IFERROR(__xludf.DUMMYFUNCTION("""COMPUTED_VALUE"""),"yy")</f>
        <v>yy</v>
      </c>
      <c r="D475" s="80" t="str">
        <f>IFERROR(__xludf.DUMMYFUNCTION("""COMPUTED_VALUE"""),"Kawaii")</f>
        <v>Kawaii</v>
      </c>
      <c r="E475" s="80">
        <f>IFERROR(__xludf.DUMMYFUNCTION("""COMPUTED_VALUE"""),45.0)</f>
        <v>45</v>
      </c>
      <c r="F475" s="80">
        <f>IFERROR(__xludf.DUMMYFUNCTION("""COMPUTED_VALUE"""),23.0)</f>
        <v>23</v>
      </c>
      <c r="G475" s="80">
        <f>IFERROR(__xludf.DUMMYFUNCTION("""COMPUTED_VALUE"""),22.0)</f>
        <v>22</v>
      </c>
      <c r="H475" s="81">
        <f>IFERROR(__xludf.DUMMYFUNCTION("""COMPUTED_VALUE"""),0.5111111111111111)</f>
        <v>0.5111111111</v>
      </c>
      <c r="I475" s="81">
        <f>IFERROR(__xludf.DUMMYFUNCTION("""COMPUTED_VALUE"""),0.27941176470588236)</f>
        <v>0.2794117647</v>
      </c>
      <c r="J475" s="80">
        <f>IFERROR(__xludf.DUMMYFUNCTION("""COMPUTED_VALUE"""),406.9555555555556)</f>
        <v>406.9555556</v>
      </c>
      <c r="K475" s="80">
        <f>IFERROR(__xludf.DUMMYFUNCTION("""COMPUTED_VALUE"""),0.8444444444444444)</f>
        <v>0.8444444444</v>
      </c>
      <c r="L475" s="80">
        <f>IFERROR(__xludf.DUMMYFUNCTION("""COMPUTED_VALUE"""),0.7111111111111111)</f>
        <v>0.7111111111</v>
      </c>
      <c r="M475" s="80">
        <f>IFERROR(__xludf.DUMMYFUNCTION("""COMPUTED_VALUE"""),1.4444444444444444)</f>
        <v>1.444444444</v>
      </c>
      <c r="N475" s="80">
        <f>IFERROR(__xludf.DUMMYFUNCTION("""COMPUTED_VALUE"""),3.022222222222222)</f>
        <v>3.022222222</v>
      </c>
      <c r="O475" s="80">
        <f>IFERROR(__xludf.DUMMYFUNCTION("""COMPUTED_VALUE"""),420.1407407407408)</f>
        <v>420.1407407</v>
      </c>
      <c r="P475" s="80">
        <f>IFERROR(__xludf.DUMMYFUNCTION("""COMPUTED_VALUE"""),0.9555555555555557)</f>
        <v>0.9555555556</v>
      </c>
      <c r="Q475" s="80">
        <f>IFERROR(__xludf.DUMMYFUNCTION("""COMPUTED_VALUE"""),0.6888888888888888)</f>
        <v>0.6888888889</v>
      </c>
      <c r="R475" s="80">
        <f>IFERROR(__xludf.DUMMYFUNCTION("""COMPUTED_VALUE"""),1.7185185185185188)</f>
        <v>1.718518519</v>
      </c>
      <c r="S475" s="80">
        <f>IFERROR(__xludf.DUMMYFUNCTION("""COMPUTED_VALUE"""),2.933333333333334)</f>
        <v>2.933333333</v>
      </c>
      <c r="T475" s="80">
        <f>IFERROR(__xludf.DUMMYFUNCTION("""COMPUTED_VALUE"""),393.91541740025133)</f>
        <v>393.9154174</v>
      </c>
      <c r="U475" s="80">
        <f>IFERROR(__xludf.DUMMYFUNCTION("""COMPUTED_VALUE"""),0.9166074672200903)</f>
        <v>0.9166074672</v>
      </c>
      <c r="V475" s="80">
        <f>IFERROR(__xludf.DUMMYFUNCTION("""COMPUTED_VALUE"""),0.7072926078933566)</f>
        <v>0.7072926079</v>
      </c>
      <c r="W475" s="80">
        <f>IFERROR(__xludf.DUMMYFUNCTION("""COMPUTED_VALUE"""),1.4858276800743384)</f>
        <v>1.48582768</v>
      </c>
      <c r="X475" s="80">
        <f>IFERROR(__xludf.DUMMYFUNCTION("""COMPUTED_VALUE"""),2.8826450249293782)</f>
        <v>2.882645025</v>
      </c>
      <c r="Y475" s="80">
        <f>IFERROR(__xludf.DUMMYFUNCTION("""COMPUTED_VALUE"""),380.7413895132292)</f>
        <v>380.7413895</v>
      </c>
      <c r="Z475" s="80">
        <f>IFERROR(__xludf.DUMMYFUNCTION("""COMPUTED_VALUE"""),0.8361595174087807)</f>
        <v>0.8361595174</v>
      </c>
      <c r="AA475" s="80">
        <f>IFERROR(__xludf.DUMMYFUNCTION("""COMPUTED_VALUE"""),0.6453517441956043)</f>
        <v>0.6453517442</v>
      </c>
      <c r="AB475" s="80">
        <f>IFERROR(__xludf.DUMMYFUNCTION("""COMPUTED_VALUE"""),1.4818871122393633)</f>
        <v>1.481887112</v>
      </c>
      <c r="AC475" s="80">
        <f>IFERROR(__xludf.DUMMYFUNCTION("""COMPUTED_VALUE"""),2.796853978467839)</f>
        <v>2.796853978</v>
      </c>
      <c r="AD475" s="80">
        <f>IFERROR(__xludf.DUMMYFUNCTION("""COMPUTED_VALUE"""),1.0688503187842033)</f>
        <v>1.068850319</v>
      </c>
      <c r="AE475" s="80">
        <f>IFERROR(__xludf.DUMMYFUNCTION("""COMPUTED_VALUE"""),1.0099083091959993)</f>
        <v>1.009908309</v>
      </c>
      <c r="AF475" s="80">
        <f>IFERROR(__xludf.DUMMYFUNCTION("""COMPUTED_VALUE"""),1.1018969383858601)</f>
        <v>1.101896938</v>
      </c>
      <c r="AG475" s="80">
        <f>IFERROR(__xludf.DUMMYFUNCTION("""COMPUTED_VALUE"""),0.9747331173301472)</f>
        <v>0.9747331173</v>
      </c>
      <c r="AH475" s="80">
        <f>IFERROR(__xludf.DUMMYFUNCTION("""COMPUTED_VALUE"""),1.080579195585264)</f>
        <v>1.080579196</v>
      </c>
      <c r="AI475" s="80">
        <f>IFERROR(__xludf.DUMMYFUNCTION("""COMPUTED_VALUE"""),1.0665760266850441)</f>
        <v>1.066576027</v>
      </c>
      <c r="AJ475" s="80">
        <f>IFERROR(__xludf.DUMMYFUNCTION("""COMPUTED_VALUE"""),1.0424915677957416)</f>
        <v>1.042491568</v>
      </c>
      <c r="AK475" s="80">
        <f>IFERROR(__xludf.DUMMYFUNCTION("""COMPUTED_VALUE"""),0.9739800489937502)</f>
        <v>0.973980049</v>
      </c>
      <c r="AL475" s="80">
        <f>IFERROR(__xludf.DUMMYFUNCTION("""COMPUTED_VALUE"""),1.1566068808413492)</f>
        <v>1.156606881</v>
      </c>
      <c r="AM475" s="80">
        <f>IFERROR(__xludf.DUMMYFUNCTION("""COMPUTED_VALUE"""),1.0175839577768329)</f>
        <v>1.017583958</v>
      </c>
      <c r="AN475" s="80">
        <f>IFERROR(__xludf.DUMMYFUNCTION("""COMPUTED_VALUE"""),1.085380665537381)</f>
        <v>1.085380666</v>
      </c>
      <c r="AO475" s="80">
        <f>IFERROR(__xludf.DUMMYFUNCTION("""COMPUTED_VALUE"""),1.0229742748557622)</f>
        <v>1.022974275</v>
      </c>
      <c r="AP475" s="80">
        <f>IFERROR(__xludf.DUMMYFUNCTION("""COMPUTED_VALUE"""),1.095952817885322)</f>
        <v>1.095952818</v>
      </c>
      <c r="AQ475" s="80">
        <f>IFERROR(__xludf.DUMMYFUNCTION("""COMPUTED_VALUE"""),0.9941549709846988)</f>
        <v>0.994154971</v>
      </c>
      <c r="AR475" s="80">
        <f>IFERROR(__xludf.DUMMYFUNCTION("""COMPUTED_VALUE"""),1.1118273580482563)</f>
        <v>1.111827358</v>
      </c>
      <c r="AS475" s="80">
        <f>IFERROR(__xludf.DUMMYFUNCTION("""COMPUTED_VALUE"""),120.0)</f>
        <v>120</v>
      </c>
      <c r="AT475" s="80">
        <f>IFERROR(__xludf.DUMMYFUNCTION("""COMPUTED_VALUE"""),0.4704923468568568)</f>
        <v>0.4704923469</v>
      </c>
      <c r="AU475" s="80">
        <f>IFERROR(__xludf.DUMMYFUNCTION("""COMPUTED_VALUE"""),3.4461260908613607)</f>
        <v>3.446126091</v>
      </c>
      <c r="AV475" s="80">
        <f>IFERROR(__xludf.DUMMYFUNCTION("""COMPUTED_VALUE"""),60.075062629460305)</f>
        <v>60.07506263</v>
      </c>
      <c r="AW475" s="82">
        <f t="shared" si="1"/>
        <v>2.911435381</v>
      </c>
      <c r="AX475" s="83">
        <f t="array" ref="AX475">IFERROR(DGET('SBV Import'!A:G,"SBV",{"RSC ID","Tier";B475,A475}))</f>
        <v>48.18361734</v>
      </c>
      <c r="AY475" s="82">
        <f t="shared" si="2"/>
        <v>-2.122961022</v>
      </c>
      <c r="AZ475" s="82">
        <v>5.0343964024984285</v>
      </c>
      <c r="BA475" s="84">
        <v>450.0</v>
      </c>
      <c r="BB475" s="84" t="b">
        <f>IFERROR(__xludf.DUMMYFUNCTION("iferror(if(A475="""",,E475&gt;=FILTER(Constants!$F$2:$F$10,Constants!$A$2:$A$10=A475)))"),TRUE)</f>
        <v>1</v>
      </c>
    </row>
    <row r="476">
      <c r="A476" s="80" t="str">
        <f>IFERROR(__xludf.DUMMYFUNCTION("""COMPUTED_VALUE"""),"Master")</f>
        <v>Master</v>
      </c>
      <c r="B476" s="80" t="str">
        <f>IFERROR(__xludf.DUMMYFUNCTION("""COMPUTED_VALUE"""),"RSC005234")</f>
        <v>RSC005234</v>
      </c>
      <c r="C476" s="80" t="str">
        <f>IFERROR(__xludf.DUMMYFUNCTION("""COMPUTED_VALUE"""),"Hirsch")</f>
        <v>Hirsch</v>
      </c>
      <c r="D476" s="80" t="str">
        <f>IFERROR(__xludf.DUMMYFUNCTION("""COMPUTED_VALUE"""),"The OG")</f>
        <v>The OG</v>
      </c>
      <c r="E476" s="80">
        <f>IFERROR(__xludf.DUMMYFUNCTION("""COMPUTED_VALUE"""),13.0)</f>
        <v>13</v>
      </c>
      <c r="F476" s="80">
        <f>IFERROR(__xludf.DUMMYFUNCTION("""COMPUTED_VALUE"""),6.0)</f>
        <v>6</v>
      </c>
      <c r="G476" s="80">
        <f>IFERROR(__xludf.DUMMYFUNCTION("""COMPUTED_VALUE"""),7.0)</f>
        <v>7</v>
      </c>
      <c r="H476" s="81">
        <f>IFERROR(__xludf.DUMMYFUNCTION("""COMPUTED_VALUE"""),0.46153846153846156)</f>
        <v>0.4615384615</v>
      </c>
      <c r="I476" s="81">
        <f>IFERROR(__xludf.DUMMYFUNCTION("""COMPUTED_VALUE"""),0.34375)</f>
        <v>0.34375</v>
      </c>
      <c r="J476" s="80">
        <f>IFERROR(__xludf.DUMMYFUNCTION("""COMPUTED_VALUE"""),359.0)</f>
        <v>359</v>
      </c>
      <c r="K476" s="80">
        <f>IFERROR(__xludf.DUMMYFUNCTION("""COMPUTED_VALUE"""),0.8461538461538461)</f>
        <v>0.8461538462</v>
      </c>
      <c r="L476" s="80">
        <f>IFERROR(__xludf.DUMMYFUNCTION("""COMPUTED_VALUE"""),0.9230769230769231)</f>
        <v>0.9230769231</v>
      </c>
      <c r="M476" s="80">
        <f>IFERROR(__xludf.DUMMYFUNCTION("""COMPUTED_VALUE"""),1.3076923076923077)</f>
        <v>1.307692308</v>
      </c>
      <c r="N476" s="80">
        <f>IFERROR(__xludf.DUMMYFUNCTION("""COMPUTED_VALUE"""),2.4615384615384617)</f>
        <v>2.461538462</v>
      </c>
      <c r="O476" s="80">
        <f>IFERROR(__xludf.DUMMYFUNCTION("""COMPUTED_VALUE"""),374.43589743589746)</f>
        <v>374.4358974</v>
      </c>
      <c r="P476" s="80">
        <f>IFERROR(__xludf.DUMMYFUNCTION("""COMPUTED_VALUE"""),0.9487179487179488)</f>
        <v>0.9487179487</v>
      </c>
      <c r="Q476" s="80">
        <f>IFERROR(__xludf.DUMMYFUNCTION("""COMPUTED_VALUE"""),0.7179487179487178)</f>
        <v>0.7179487179</v>
      </c>
      <c r="R476" s="80">
        <f>IFERROR(__xludf.DUMMYFUNCTION("""COMPUTED_VALUE"""),1.307692307692308)</f>
        <v>1.307692308</v>
      </c>
      <c r="S476" s="80">
        <f>IFERROR(__xludf.DUMMYFUNCTION("""COMPUTED_VALUE"""),2.717948717948718)</f>
        <v>2.717948718</v>
      </c>
      <c r="T476" s="80">
        <f>IFERROR(__xludf.DUMMYFUNCTION("""COMPUTED_VALUE"""),391.6709299258588)</f>
        <v>391.6709299</v>
      </c>
      <c r="U476" s="80">
        <f>IFERROR(__xludf.DUMMYFUNCTION("""COMPUTED_VALUE"""),0.8974849503458456)</f>
        <v>0.8974849503</v>
      </c>
      <c r="V476" s="80">
        <f>IFERROR(__xludf.DUMMYFUNCTION("""COMPUTED_VALUE"""),0.6840169342120797)</f>
        <v>0.6840169342</v>
      </c>
      <c r="W476" s="80">
        <f>IFERROR(__xludf.DUMMYFUNCTION("""COMPUTED_VALUE"""),1.4320861250678951)</f>
        <v>1.432086125</v>
      </c>
      <c r="X476" s="80">
        <f>IFERROR(__xludf.DUMMYFUNCTION("""COMPUTED_VALUE"""),2.837457787152307)</f>
        <v>2.837457787</v>
      </c>
      <c r="Y476" s="80">
        <f>IFERROR(__xludf.DUMMYFUNCTION("""COMPUTED_VALUE"""),384.3982593638854)</f>
        <v>384.3982594</v>
      </c>
      <c r="Z476" s="80">
        <f>IFERROR(__xludf.DUMMYFUNCTION("""COMPUTED_VALUE"""),0.8884961943981715)</f>
        <v>0.8884961944</v>
      </c>
      <c r="AA476" s="80">
        <f>IFERROR(__xludf.DUMMYFUNCTION("""COMPUTED_VALUE"""),0.6710849165901258)</f>
        <v>0.6710849166</v>
      </c>
      <c r="AB476" s="80">
        <f>IFERROR(__xludf.DUMMYFUNCTION("""COMPUTED_VALUE"""),1.4548562652704615)</f>
        <v>1.454856265</v>
      </c>
      <c r="AC476" s="80">
        <f>IFERROR(__xludf.DUMMYFUNCTION("""COMPUTED_VALUE"""),2.72810580726918)</f>
        <v>2.728105807</v>
      </c>
      <c r="AD476" s="80">
        <f>IFERROR(__xludf.DUMMYFUNCTION("""COMPUTED_VALUE"""),0.9339272258778818)</f>
        <v>0.9339272259</v>
      </c>
      <c r="AE476" s="80">
        <f>IFERROR(__xludf.DUMMYFUNCTION("""COMPUTED_VALUE"""),0.9523438046090831)</f>
        <v>0.9523438046</v>
      </c>
      <c r="AF476" s="80">
        <f>IFERROR(__xludf.DUMMYFUNCTION("""COMPUTED_VALUE"""),1.3754994342105067)</f>
        <v>1.375499434</v>
      </c>
      <c r="AG476" s="80">
        <f>IFERROR(__xludf.DUMMYFUNCTION("""COMPUTED_VALUE"""),0.8988463939076513)</f>
        <v>0.8988463939</v>
      </c>
      <c r="AH476" s="80">
        <f>IFERROR(__xludf.DUMMYFUNCTION("""COMPUTED_VALUE"""),0.9022884871178984)</f>
        <v>0.9022884871</v>
      </c>
      <c r="AI476" s="80">
        <f>IFERROR(__xludf.DUMMYFUNCTION("""COMPUTED_VALUE"""),0.9559961407061182)</f>
        <v>0.9559961407</v>
      </c>
      <c r="AJ476" s="80">
        <f>IFERROR(__xludf.DUMMYFUNCTION("""COMPUTED_VALUE"""),1.0570850779752468)</f>
        <v>1.057085078</v>
      </c>
      <c r="AK476" s="80">
        <f>IFERROR(__xludf.DUMMYFUNCTION("""COMPUTED_VALUE"""),1.049606642817585)</f>
        <v>1.049606643</v>
      </c>
      <c r="AL476" s="80">
        <f>IFERROR(__xludf.DUMMYFUNCTION("""COMPUTED_VALUE"""),0.9131380332522322)</f>
        <v>0.9131380333</v>
      </c>
      <c r="AM476" s="80">
        <f>IFERROR(__xludf.DUMMYFUNCTION("""COMPUTED_VALUE"""),0.9578816397746205)</f>
        <v>0.9578816398</v>
      </c>
      <c r="AN476" s="80">
        <f>IFERROR(__xludf.DUMMYFUNCTION("""COMPUTED_VALUE"""),0.9574796402422536)</f>
        <v>0.9574796402</v>
      </c>
      <c r="AO476" s="80">
        <f>IFERROR(__xludf.DUMMYFUNCTION("""COMPUTED_VALUE"""),1.0250450729830005)</f>
        <v>1.025045073</v>
      </c>
      <c r="AP476" s="80">
        <f>IFERROR(__xludf.DUMMYFUNCTION("""COMPUTED_VALUE"""),1.4226310616780622)</f>
        <v>1.422631062</v>
      </c>
      <c r="AQ476" s="80">
        <f>IFERROR(__xludf.DUMMYFUNCTION("""COMPUTED_VALUE"""),0.9000337902997569)</f>
        <v>0.9000337903</v>
      </c>
      <c r="AR476" s="80">
        <f>IFERROR(__xludf.DUMMYFUNCTION("""COMPUTED_VALUE"""),0.905560744111702)</f>
        <v>0.9055607441</v>
      </c>
      <c r="AS476" s="80">
        <f>IFERROR(__xludf.DUMMYFUNCTION("""COMPUTED_VALUE"""),34.0)</f>
        <v>34</v>
      </c>
      <c r="AT476" s="80">
        <f>IFERROR(__xludf.DUMMYFUNCTION("""COMPUTED_VALUE"""),0.465642936063648)</f>
        <v>0.4656429361</v>
      </c>
      <c r="AU476" s="80">
        <f>IFERROR(__xludf.DUMMYFUNCTION("""COMPUTED_VALUE"""),3.4442820371632425)</f>
        <v>3.444282037</v>
      </c>
      <c r="AV476" s="80">
        <f>IFERROR(__xludf.DUMMYFUNCTION("""COMPUTED_VALUE"""),60.02589579282818)</f>
        <v>60.02589579</v>
      </c>
      <c r="AW476" s="82">
        <f t="shared" si="1"/>
        <v>2.90531403</v>
      </c>
      <c r="AX476" s="83">
        <f t="array" ref="AX476">IFERROR(DGET('SBV Import'!A:G,"SBV",{"RSC ID","Tier";B476,A476}))</f>
        <v>57.06732298</v>
      </c>
      <c r="AY476" s="82">
        <f t="shared" si="2"/>
        <v>2.572637637</v>
      </c>
      <c r="AZ476" s="82">
        <v>0.3326763925302232</v>
      </c>
      <c r="BA476" s="84">
        <v>450.0</v>
      </c>
      <c r="BB476" s="84" t="b">
        <f>IFERROR(__xludf.DUMMYFUNCTION("iferror(if(A476="""",,E476&gt;=FILTER(Constants!$F$2:$F$10,Constants!$A$2:$A$10=A476)))"),TRUE)</f>
        <v>1</v>
      </c>
    </row>
    <row r="477">
      <c r="A477" s="80" t="str">
        <f>IFERROR(__xludf.DUMMYFUNCTION("""COMPUTED_VALUE"""),"Master")</f>
        <v>Master</v>
      </c>
      <c r="B477" s="80" t="str">
        <f>IFERROR(__xludf.DUMMYFUNCTION("""COMPUTED_VALUE"""),"RSC007282")</f>
        <v>RSC007282</v>
      </c>
      <c r="C477" s="80" t="str">
        <f>IFERROR(__xludf.DUMMYFUNCTION("""COMPUTED_VALUE"""),"kRs^^")</f>
        <v>kRs^^</v>
      </c>
      <c r="D477" s="80" t="str">
        <f>IFERROR(__xludf.DUMMYFUNCTION("""COMPUTED_VALUE"""),"Helicoprions")</f>
        <v>Helicoprions</v>
      </c>
      <c r="E477" s="80">
        <f>IFERROR(__xludf.DUMMYFUNCTION("""COMPUTED_VALUE"""),18.0)</f>
        <v>18</v>
      </c>
      <c r="F477" s="80">
        <f>IFERROR(__xludf.DUMMYFUNCTION("""COMPUTED_VALUE"""),9.0)</f>
        <v>9</v>
      </c>
      <c r="G477" s="80">
        <f>IFERROR(__xludf.DUMMYFUNCTION("""COMPUTED_VALUE"""),9.0)</f>
        <v>9</v>
      </c>
      <c r="H477" s="81">
        <f>IFERROR(__xludf.DUMMYFUNCTION("""COMPUTED_VALUE"""),0.5)</f>
        <v>0.5</v>
      </c>
      <c r="I477" s="81">
        <f>IFERROR(__xludf.DUMMYFUNCTION("""COMPUTED_VALUE"""),0.2857142857142857)</f>
        <v>0.2857142857</v>
      </c>
      <c r="J477" s="80">
        <f>IFERROR(__xludf.DUMMYFUNCTION("""COMPUTED_VALUE"""),399.3888888888889)</f>
        <v>399.3888889</v>
      </c>
      <c r="K477" s="80">
        <f>IFERROR(__xludf.DUMMYFUNCTION("""COMPUTED_VALUE"""),1.0)</f>
        <v>1</v>
      </c>
      <c r="L477" s="80">
        <f>IFERROR(__xludf.DUMMYFUNCTION("""COMPUTED_VALUE"""),0.6666666666666666)</f>
        <v>0.6666666667</v>
      </c>
      <c r="M477" s="80">
        <f>IFERROR(__xludf.DUMMYFUNCTION("""COMPUTED_VALUE"""),1.2777777777777777)</f>
        <v>1.277777778</v>
      </c>
      <c r="N477" s="80">
        <f>IFERROR(__xludf.DUMMYFUNCTION("""COMPUTED_VALUE"""),3.5)</f>
        <v>3.5</v>
      </c>
      <c r="O477" s="80">
        <f>IFERROR(__xludf.DUMMYFUNCTION("""COMPUTED_VALUE"""),423.14814814814815)</f>
        <v>423.1481481</v>
      </c>
      <c r="P477" s="80">
        <f>IFERROR(__xludf.DUMMYFUNCTION("""COMPUTED_VALUE"""),1.0000000000000002)</f>
        <v>1</v>
      </c>
      <c r="Q477" s="80">
        <f>IFERROR(__xludf.DUMMYFUNCTION("""COMPUTED_VALUE"""),0.7592592592592592)</f>
        <v>0.7592592593</v>
      </c>
      <c r="R477" s="80">
        <f>IFERROR(__xludf.DUMMYFUNCTION("""COMPUTED_VALUE"""),1.4814814814814814)</f>
        <v>1.481481481</v>
      </c>
      <c r="S477" s="80">
        <f>IFERROR(__xludf.DUMMYFUNCTION("""COMPUTED_VALUE"""),3.259259259259259)</f>
        <v>3.259259259</v>
      </c>
      <c r="T477" s="80">
        <f>IFERROR(__xludf.DUMMYFUNCTION("""COMPUTED_VALUE"""),389.59338190614386)</f>
        <v>389.5933819</v>
      </c>
      <c r="U477" s="80">
        <f>IFERROR(__xludf.DUMMYFUNCTION("""COMPUTED_VALUE"""),0.8876297828678927)</f>
        <v>0.8876297829</v>
      </c>
      <c r="V477" s="80">
        <f>IFERROR(__xludf.DUMMYFUNCTION("""COMPUTED_VALUE"""),0.6711761456609164)</f>
        <v>0.6711761457</v>
      </c>
      <c r="W477" s="80">
        <f>IFERROR(__xludf.DUMMYFUNCTION("""COMPUTED_VALUE"""),1.4934414640536344)</f>
        <v>1.493441464</v>
      </c>
      <c r="X477" s="80">
        <f>IFERROR(__xludf.DUMMYFUNCTION("""COMPUTED_VALUE"""),2.84895502114916)</f>
        <v>2.848955021</v>
      </c>
      <c r="Y477" s="80">
        <f>IFERROR(__xludf.DUMMYFUNCTION("""COMPUTED_VALUE"""),402.9380819310262)</f>
        <v>402.9380819</v>
      </c>
      <c r="Z477" s="80">
        <f>IFERROR(__xludf.DUMMYFUNCTION("""COMPUTED_VALUE"""),0.9527019660150938)</f>
        <v>0.952701966</v>
      </c>
      <c r="AA477" s="80">
        <f>IFERROR(__xludf.DUMMYFUNCTION("""COMPUTED_VALUE"""),0.7289551281046405)</f>
        <v>0.7289551281</v>
      </c>
      <c r="AB477" s="80">
        <f>IFERROR(__xludf.DUMMYFUNCTION("""COMPUTED_VALUE"""),1.5047910341875534)</f>
        <v>1.504791034</v>
      </c>
      <c r="AC477" s="80">
        <f>IFERROR(__xludf.DUMMYFUNCTION("""COMPUTED_VALUE"""),2.9314554516120777)</f>
        <v>2.931455452</v>
      </c>
      <c r="AD477" s="80">
        <f>IFERROR(__xludf.DUMMYFUNCTION("""COMPUTED_VALUE"""),0.9911917160444894)</f>
        <v>0.991191716</v>
      </c>
      <c r="AE477" s="80">
        <f>IFERROR(__xludf.DUMMYFUNCTION("""COMPUTED_VALUE"""),1.0496462017211339)</f>
        <v>1.049646202</v>
      </c>
      <c r="AF477" s="80">
        <f>IFERROR(__xludf.DUMMYFUNCTION("""COMPUTED_VALUE"""),0.9145510347119303)</f>
        <v>0.9145510347</v>
      </c>
      <c r="AG477" s="80">
        <f>IFERROR(__xludf.DUMMYFUNCTION("""COMPUTED_VALUE"""),0.8491396803594449)</f>
        <v>0.8491396804</v>
      </c>
      <c r="AH477" s="80">
        <f>IFERROR(__xludf.DUMMYFUNCTION("""COMPUTED_VALUE"""),1.1939461669374052)</f>
        <v>1.193946167</v>
      </c>
      <c r="AI477" s="80">
        <f>IFERROR(__xludf.DUMMYFUNCTION("""COMPUTED_VALUE"""),1.0861276597611402)</f>
        <v>1.08612766</v>
      </c>
      <c r="AJ477" s="80">
        <f>IFERROR(__xludf.DUMMYFUNCTION("""COMPUTED_VALUE"""),1.1265958165227898)</f>
        <v>1.126595817</v>
      </c>
      <c r="AK477" s="80">
        <f>IFERROR(__xludf.DUMMYFUNCTION("""COMPUTED_VALUE"""),1.1312369549600219)</f>
        <v>1.131236955</v>
      </c>
      <c r="AL477" s="80">
        <f>IFERROR(__xludf.DUMMYFUNCTION("""COMPUTED_VALUE"""),0.991991662974396)</f>
        <v>0.991991663</v>
      </c>
      <c r="AM477" s="80">
        <f>IFERROR(__xludf.DUMMYFUNCTION("""COMPUTED_VALUE"""),1.1440192053100924)</f>
        <v>1.144019205</v>
      </c>
      <c r="AN477" s="80">
        <f>IFERROR(__xludf.DUMMYFUNCTION("""COMPUTED_VALUE"""),1.065199804039239)</f>
        <v>1.065199804</v>
      </c>
      <c r="AO477" s="80">
        <f>IFERROR(__xludf.DUMMYFUNCTION("""COMPUTED_VALUE"""),1.2114169044344552)</f>
        <v>1.211416904</v>
      </c>
      <c r="AP477" s="80">
        <f>IFERROR(__xludf.DUMMYFUNCTION("""COMPUTED_VALUE"""),1.0274557667674893)</f>
        <v>1.027455767</v>
      </c>
      <c r="AQ477" s="80">
        <f>IFERROR(__xludf.DUMMYFUNCTION("""COMPUTED_VALUE"""),0.8794447820249258)</f>
        <v>0.879444782</v>
      </c>
      <c r="AR477" s="80">
        <f>IFERROR(__xludf.DUMMYFUNCTION("""COMPUTED_VALUE"""),1.2875941830338262)</f>
        <v>1.287594183</v>
      </c>
      <c r="AS477" s="80">
        <f>IFERROR(__xludf.DUMMYFUNCTION("""COMPUTED_VALUE"""),46.0)</f>
        <v>46</v>
      </c>
      <c r="AT477" s="80">
        <f>IFERROR(__xludf.DUMMYFUNCTION("""COMPUTED_VALUE"""),0.4348002482722753)</f>
        <v>0.4348002483</v>
      </c>
      <c r="AU477" s="80">
        <f>IFERROR(__xludf.DUMMYFUNCTION("""COMPUTED_VALUE"""),3.4273088487558043)</f>
        <v>3.427308849</v>
      </c>
      <c r="AV477" s="80">
        <f>IFERROR(__xludf.DUMMYFUNCTION("""COMPUTED_VALUE"""),59.57335041282848)</f>
        <v>59.57335041</v>
      </c>
      <c r="AW477" s="82">
        <f t="shared" si="1"/>
        <v>2.849941914</v>
      </c>
      <c r="AX477" s="83">
        <f t="array" ref="AX477">IFERROR(DGET('SBV Import'!A:G,"SBV",{"RSC ID","Tier";B477,A477}))</f>
        <v>49.37287476</v>
      </c>
      <c r="AY477" s="82">
        <f t="shared" si="2"/>
        <v>-2.040843072</v>
      </c>
      <c r="AZ477" s="82">
        <v>4.890784985753504</v>
      </c>
      <c r="BA477" s="84">
        <v>450.0</v>
      </c>
      <c r="BB477" s="84" t="b">
        <f>IFERROR(__xludf.DUMMYFUNCTION("iferror(if(A477="""",,E477&gt;=FILTER(Constants!$F$2:$F$10,Constants!$A$2:$A$10=A477)))"),TRUE)</f>
        <v>1</v>
      </c>
    </row>
    <row r="478">
      <c r="A478" s="80" t="str">
        <f>IFERROR(__xludf.DUMMYFUNCTION("""COMPUTED_VALUE"""),"Master")</f>
        <v>Master</v>
      </c>
      <c r="B478" s="80" t="str">
        <f>IFERROR(__xludf.DUMMYFUNCTION("""COMPUTED_VALUE"""),"RSC007412")</f>
        <v>RSC007412</v>
      </c>
      <c r="C478" s="80" t="str">
        <f>IFERROR(__xludf.DUMMYFUNCTION("""COMPUTED_VALUE"""),"spuf.")</f>
        <v>spuf.</v>
      </c>
      <c r="D478" s="80" t="str">
        <f>IFERROR(__xludf.DUMMYFUNCTION("""COMPUTED_VALUE"""),"Care Bears")</f>
        <v>Care Bears</v>
      </c>
      <c r="E478" s="80">
        <f>IFERROR(__xludf.DUMMYFUNCTION("""COMPUTED_VALUE"""),39.0)</f>
        <v>39</v>
      </c>
      <c r="F478" s="80">
        <f>IFERROR(__xludf.DUMMYFUNCTION("""COMPUTED_VALUE"""),17.0)</f>
        <v>17</v>
      </c>
      <c r="G478" s="80">
        <f>IFERROR(__xludf.DUMMYFUNCTION("""COMPUTED_VALUE"""),22.0)</f>
        <v>22</v>
      </c>
      <c r="H478" s="81">
        <f>IFERROR(__xludf.DUMMYFUNCTION("""COMPUTED_VALUE"""),0.4358974358974359)</f>
        <v>0.4358974359</v>
      </c>
      <c r="I478" s="81">
        <f>IFERROR(__xludf.DUMMYFUNCTION("""COMPUTED_VALUE"""),0.3636363636363637)</f>
        <v>0.3636363636</v>
      </c>
      <c r="J478" s="80">
        <f>IFERROR(__xludf.DUMMYFUNCTION("""COMPUTED_VALUE"""),396.61538461538464)</f>
        <v>396.6153846</v>
      </c>
      <c r="K478" s="80">
        <f>IFERROR(__xludf.DUMMYFUNCTION("""COMPUTED_VALUE"""),0.9230769230769231)</f>
        <v>0.9230769231</v>
      </c>
      <c r="L478" s="80">
        <f>IFERROR(__xludf.DUMMYFUNCTION("""COMPUTED_VALUE"""),0.6666666666666666)</f>
        <v>0.6666666667</v>
      </c>
      <c r="M478" s="80">
        <f>IFERROR(__xludf.DUMMYFUNCTION("""COMPUTED_VALUE"""),1.5128205128205128)</f>
        <v>1.512820513</v>
      </c>
      <c r="N478" s="80">
        <f>IFERROR(__xludf.DUMMYFUNCTION("""COMPUTED_VALUE"""),2.5384615384615383)</f>
        <v>2.538461538</v>
      </c>
      <c r="O478" s="80">
        <f>IFERROR(__xludf.DUMMYFUNCTION("""COMPUTED_VALUE"""),377.04273504273505)</f>
        <v>377.042735</v>
      </c>
      <c r="P478" s="80">
        <f>IFERROR(__xludf.DUMMYFUNCTION("""COMPUTED_VALUE"""),0.9059829059829059)</f>
        <v>0.905982906</v>
      </c>
      <c r="Q478" s="80">
        <f>IFERROR(__xludf.DUMMYFUNCTION("""COMPUTED_VALUE"""),0.7094017094017093)</f>
        <v>0.7094017094</v>
      </c>
      <c r="R478" s="80">
        <f>IFERROR(__xludf.DUMMYFUNCTION("""COMPUTED_VALUE"""),1.35042735042735)</f>
        <v>1.35042735</v>
      </c>
      <c r="S478" s="80">
        <f>IFERROR(__xludf.DUMMYFUNCTION("""COMPUTED_VALUE"""),2.863247863247863)</f>
        <v>2.863247863</v>
      </c>
      <c r="T478" s="80">
        <f>IFERROR(__xludf.DUMMYFUNCTION("""COMPUTED_VALUE"""),399.5623040736095)</f>
        <v>399.5623041</v>
      </c>
      <c r="U478" s="80">
        <f>IFERROR(__xludf.DUMMYFUNCTION("""COMPUTED_VALUE"""),0.9588275726593783)</f>
        <v>0.9588275727</v>
      </c>
      <c r="V478" s="80">
        <f>IFERROR(__xludf.DUMMYFUNCTION("""COMPUTED_VALUE"""),0.7550770079459889)</f>
        <v>0.7550770079</v>
      </c>
      <c r="W478" s="80">
        <f>IFERROR(__xludf.DUMMYFUNCTION("""COMPUTED_VALUE"""),1.463950867293552)</f>
        <v>1.463950867</v>
      </c>
      <c r="X478" s="80">
        <f>IFERROR(__xludf.DUMMYFUNCTION("""COMPUTED_VALUE"""),2.9394782156170893)</f>
        <v>2.939478216</v>
      </c>
      <c r="Y478" s="80">
        <f>IFERROR(__xludf.DUMMYFUNCTION("""COMPUTED_VALUE"""),379.09828865753)</f>
        <v>379.0982887</v>
      </c>
      <c r="Z478" s="80">
        <f>IFERROR(__xludf.DUMMYFUNCTION("""COMPUTED_VALUE"""),0.8424664869711836)</f>
        <v>0.842466487</v>
      </c>
      <c r="AA478" s="80">
        <f>IFERROR(__xludf.DUMMYFUNCTION("""COMPUTED_VALUE"""),0.6505972914443142)</f>
        <v>0.6505972914</v>
      </c>
      <c r="AB478" s="80">
        <f>IFERROR(__xludf.DUMMYFUNCTION("""COMPUTED_VALUE"""),1.4699505476646542)</f>
        <v>1.469950548</v>
      </c>
      <c r="AC478" s="80">
        <f>IFERROR(__xludf.DUMMYFUNCTION("""COMPUTED_VALUE"""),2.751572555618103)</f>
        <v>2.751572556</v>
      </c>
      <c r="AD478" s="80">
        <f>IFERROR(__xludf.DUMMYFUNCTION("""COMPUTED_VALUE"""),1.0462072673023308)</f>
        <v>1.046207267</v>
      </c>
      <c r="AE478" s="80">
        <f>IFERROR(__xludf.DUMMYFUNCTION("""COMPUTED_VALUE"""),1.0956838489748693)</f>
        <v>1.095683849</v>
      </c>
      <c r="AF478" s="80">
        <f>IFERROR(__xludf.DUMMYFUNCTION("""COMPUTED_VALUE"""),1.0246994191855283)</f>
        <v>1.024699419</v>
      </c>
      <c r="AG478" s="80">
        <f>IFERROR(__xludf.DUMMYFUNCTION("""COMPUTED_VALUE"""),1.0291642227175377)</f>
        <v>1.029164223</v>
      </c>
      <c r="AH478" s="80">
        <f>IFERROR(__xludf.DUMMYFUNCTION("""COMPUTED_VALUE"""),0.9225493739129506)</f>
        <v>0.9225493739</v>
      </c>
      <c r="AI478" s="80">
        <f>IFERROR(__xludf.DUMMYFUNCTION("""COMPUTED_VALUE"""),0.9436394054161682)</f>
        <v>0.9436394054</v>
      </c>
      <c r="AJ478" s="80">
        <f>IFERROR(__xludf.DUMMYFUNCTION("""COMPUTED_VALUE"""),0.9448861628687795)</f>
        <v>0.9448861629</v>
      </c>
      <c r="AK478" s="80">
        <f>IFERROR(__xludf.DUMMYFUNCTION("""COMPUTED_VALUE"""),0.9395090857440772)</f>
        <v>0.9395090857</v>
      </c>
      <c r="AL478" s="80">
        <f>IFERROR(__xludf.DUMMYFUNCTION("""COMPUTED_VALUE"""),0.9224540116731677)</f>
        <v>0.9224540117</v>
      </c>
      <c r="AM478" s="80">
        <f>IFERROR(__xludf.DUMMYFUNCTION("""COMPUTED_VALUE"""),0.9740667061370879)</f>
        <v>0.9740667061</v>
      </c>
      <c r="AN478" s="80">
        <f>IFERROR(__xludf.DUMMYFUNCTION("""COMPUTED_VALUE"""),1.0578026623289178)</f>
        <v>1.057802662</v>
      </c>
      <c r="AO478" s="80">
        <f>IFERROR(__xludf.DUMMYFUNCTION("""COMPUTED_VALUE"""),1.1182309887087278)</f>
        <v>1.118230989</v>
      </c>
      <c r="AP478" s="80">
        <f>IFERROR(__xludf.DUMMYFUNCTION("""COMPUTED_VALUE"""),1.0274557667674893)</f>
        <v>1.027455767</v>
      </c>
      <c r="AQ478" s="80">
        <f>IFERROR(__xludf.DUMMYFUNCTION("""COMPUTED_VALUE"""),1.0412155613271699)</f>
        <v>1.041215561</v>
      </c>
      <c r="AR478" s="80">
        <f>IFERROR(__xludf.DUMMYFUNCTION("""COMPUTED_VALUE"""),0.9338595173651926)</f>
        <v>0.9338595174</v>
      </c>
      <c r="AS478" s="80">
        <f>IFERROR(__xludf.DUMMYFUNCTION("""COMPUTED_VALUE"""),91.0)</f>
        <v>91</v>
      </c>
      <c r="AT478" s="80">
        <f>IFERROR(__xludf.DUMMYFUNCTION("""COMPUTED_VALUE"""),0.4395793674034509)</f>
        <v>0.4395793674</v>
      </c>
      <c r="AU478" s="80">
        <f>IFERROR(__xludf.DUMMYFUNCTION("""COMPUTED_VALUE"""),3.4022858911759783)</f>
        <v>3.402285891</v>
      </c>
      <c r="AV478" s="80">
        <f>IFERROR(__xludf.DUMMYFUNCTION("""COMPUTED_VALUE"""),58.9061791321682)</f>
        <v>58.90617913</v>
      </c>
      <c r="AW478" s="82">
        <f t="shared" si="1"/>
        <v>2.771405573</v>
      </c>
      <c r="AX478" s="83">
        <f t="array" ref="AX478">IFERROR(DGET('SBV Import'!A:G,"SBV",{"RSC ID","Tier";B478,A478}))</f>
        <v>52.42028916</v>
      </c>
      <c r="AY478" s="82">
        <f t="shared" si="2"/>
        <v>2.16713829</v>
      </c>
      <c r="AZ478" s="82">
        <v>0.6042672833036642</v>
      </c>
      <c r="BA478" s="84">
        <v>450.0</v>
      </c>
      <c r="BB478" s="84" t="b">
        <f>IFERROR(__xludf.DUMMYFUNCTION("iferror(if(A478="""",,E478&gt;=FILTER(Constants!$F$2:$F$10,Constants!$A$2:$A$10=A478)))"),TRUE)</f>
        <v>1</v>
      </c>
    </row>
    <row r="479">
      <c r="A479" s="80" t="str">
        <f>IFERROR(__xludf.DUMMYFUNCTION("""COMPUTED_VALUE"""),"Master")</f>
        <v>Master</v>
      </c>
      <c r="B479" s="80" t="str">
        <f>IFERROR(__xludf.DUMMYFUNCTION("""COMPUTED_VALUE"""),"RSC005220")</f>
        <v>RSC005220</v>
      </c>
      <c r="C479" s="80" t="str">
        <f>IFERROR(__xludf.DUMMYFUNCTION("""COMPUTED_VALUE"""),"Swax")</f>
        <v>Swax</v>
      </c>
      <c r="D479" s="80" t="str">
        <f>IFERROR(__xludf.DUMMYFUNCTION("""COMPUTED_VALUE"""),"Andromeda")</f>
        <v>Andromeda</v>
      </c>
      <c r="E479" s="80">
        <f>IFERROR(__xludf.DUMMYFUNCTION("""COMPUTED_VALUE"""),46.0)</f>
        <v>46</v>
      </c>
      <c r="F479" s="80">
        <f>IFERROR(__xludf.DUMMYFUNCTION("""COMPUTED_VALUE"""),24.0)</f>
        <v>24</v>
      </c>
      <c r="G479" s="80">
        <f>IFERROR(__xludf.DUMMYFUNCTION("""COMPUTED_VALUE"""),22.0)</f>
        <v>22</v>
      </c>
      <c r="H479" s="81">
        <f>IFERROR(__xludf.DUMMYFUNCTION("""COMPUTED_VALUE"""),0.5217391304347826)</f>
        <v>0.5217391304</v>
      </c>
      <c r="I479" s="81">
        <f>IFERROR(__xludf.DUMMYFUNCTION("""COMPUTED_VALUE"""),0.30281690140845074)</f>
        <v>0.3028169014</v>
      </c>
      <c r="J479" s="80">
        <f>IFERROR(__xludf.DUMMYFUNCTION("""COMPUTED_VALUE"""),383.1521739130435)</f>
        <v>383.1521739</v>
      </c>
      <c r="K479" s="80">
        <f>IFERROR(__xludf.DUMMYFUNCTION("""COMPUTED_VALUE"""),0.9347826086956522)</f>
        <v>0.9347826087</v>
      </c>
      <c r="L479" s="80">
        <f>IFERROR(__xludf.DUMMYFUNCTION("""COMPUTED_VALUE"""),0.6304347826086957)</f>
        <v>0.6304347826</v>
      </c>
      <c r="M479" s="80">
        <f>IFERROR(__xludf.DUMMYFUNCTION("""COMPUTED_VALUE"""),1.6304347826086956)</f>
        <v>1.630434783</v>
      </c>
      <c r="N479" s="80">
        <f>IFERROR(__xludf.DUMMYFUNCTION("""COMPUTED_VALUE"""),3.0869565217391304)</f>
        <v>3.086956522</v>
      </c>
      <c r="O479" s="80">
        <f>IFERROR(__xludf.DUMMYFUNCTION("""COMPUTED_VALUE"""),354.9347826086956)</f>
        <v>354.9347826</v>
      </c>
      <c r="P479" s="80">
        <f>IFERROR(__xludf.DUMMYFUNCTION("""COMPUTED_VALUE"""),0.7173913043478259)</f>
        <v>0.7173913043</v>
      </c>
      <c r="Q479" s="80">
        <f>IFERROR(__xludf.DUMMYFUNCTION("""COMPUTED_VALUE"""),0.5434782608695652)</f>
        <v>0.5434782609</v>
      </c>
      <c r="R479" s="80">
        <f>IFERROR(__xludf.DUMMYFUNCTION("""COMPUTED_VALUE"""),1.4492753623188406)</f>
        <v>1.449275362</v>
      </c>
      <c r="S479" s="80">
        <f>IFERROR(__xludf.DUMMYFUNCTION("""COMPUTED_VALUE"""),2.768115942028985)</f>
        <v>2.768115942</v>
      </c>
      <c r="T479" s="80">
        <f>IFERROR(__xludf.DUMMYFUNCTION("""COMPUTED_VALUE"""),374.4983216213617)</f>
        <v>374.4983216</v>
      </c>
      <c r="U479" s="80">
        <f>IFERROR(__xludf.DUMMYFUNCTION("""COMPUTED_VALUE"""),0.8194264025528573)</f>
        <v>0.8194264026</v>
      </c>
      <c r="V479" s="80">
        <f>IFERROR(__xludf.DUMMYFUNCTION("""COMPUTED_VALUE"""),0.6304876356410236)</f>
        <v>0.6304876356</v>
      </c>
      <c r="W479" s="80">
        <f>IFERROR(__xludf.DUMMYFUNCTION("""COMPUTED_VALUE"""),1.4749203543515639)</f>
        <v>1.474920354</v>
      </c>
      <c r="X479" s="80">
        <f>IFERROR(__xludf.DUMMYFUNCTION("""COMPUTED_VALUE"""),2.7097024169500252)</f>
        <v>2.709702417</v>
      </c>
      <c r="Y479" s="80">
        <f>IFERROR(__xludf.DUMMYFUNCTION("""COMPUTED_VALUE"""),392.62306497584075)</f>
        <v>392.623065</v>
      </c>
      <c r="Z479" s="80">
        <f>IFERROR(__xludf.DUMMYFUNCTION("""COMPUTED_VALUE"""),0.9289681295335412)</f>
        <v>0.9289681295</v>
      </c>
      <c r="AA479" s="80">
        <f>IFERROR(__xludf.DUMMYFUNCTION("""COMPUTED_VALUE"""),0.7237036361506762)</f>
        <v>0.7237036362</v>
      </c>
      <c r="AB479" s="80">
        <f>IFERROR(__xludf.DUMMYFUNCTION("""COMPUTED_VALUE"""),1.468392446699578)</f>
        <v>1.468392447</v>
      </c>
      <c r="AC479" s="80">
        <f>IFERROR(__xludf.DUMMYFUNCTION("""COMPUTED_VALUE"""),2.9234705818000863)</f>
        <v>2.923470582</v>
      </c>
      <c r="AD479" s="80">
        <f>IFERROR(__xludf.DUMMYFUNCTION("""COMPUTED_VALUE"""),0.975877904515416)</f>
        <v>0.9758779045</v>
      </c>
      <c r="AE479" s="80">
        <f>IFERROR(__xludf.DUMMYFUNCTION("""COMPUTED_VALUE"""),1.0062590728112821)</f>
        <v>1.006259073</v>
      </c>
      <c r="AF479" s="80">
        <f>IFERROR(__xludf.DUMMYFUNCTION("""COMPUTED_VALUE"""),0.871122861786255)</f>
        <v>0.8711228618</v>
      </c>
      <c r="AG479" s="80">
        <f>IFERROR(__xludf.DUMMYFUNCTION("""COMPUTED_VALUE"""),1.1103535613202935)</f>
        <v>1.110353561</v>
      </c>
      <c r="AH479" s="80">
        <f>IFERROR(__xludf.DUMMYFUNCTION("""COMPUTED_VALUE"""),1.0559218693551484)</f>
        <v>1.055921869</v>
      </c>
      <c r="AI479" s="80">
        <f>IFERROR(__xludf.DUMMYFUNCTION("""COMPUTED_VALUE"""),0.9477606763951111)</f>
        <v>0.9477606764</v>
      </c>
      <c r="AJ479" s="80">
        <f>IFERROR(__xludf.DUMMYFUNCTION("""COMPUTED_VALUE"""),0.875479850432999)</f>
        <v>0.8754798504</v>
      </c>
      <c r="AK479" s="80">
        <f>IFERROR(__xludf.DUMMYFUNCTION("""COMPUTED_VALUE"""),0.8619966992961011)</f>
        <v>0.8619966993</v>
      </c>
      <c r="AL479" s="80">
        <f>IFERROR(__xludf.DUMMYFUNCTION("""COMPUTED_VALUE"""),0.9826126258566701)</f>
        <v>0.9826126259</v>
      </c>
      <c r="AM479" s="80">
        <f>IFERROR(__xludf.DUMMYFUNCTION("""COMPUTED_VALUE"""),1.0215571734791116)</f>
        <v>1.021557173</v>
      </c>
      <c r="AN479" s="80">
        <f>IFERROR(__xludf.DUMMYFUNCTION("""COMPUTED_VALUE"""),1.0218952803239507)</f>
        <v>1.02189528</v>
      </c>
      <c r="AO479" s="80">
        <f>IFERROR(__xludf.DUMMYFUNCTION("""COMPUTED_VALUE"""),1.1324114541452517)</f>
        <v>1.132411454</v>
      </c>
      <c r="AP479" s="80">
        <f>IFERROR(__xludf.DUMMYFUNCTION("""COMPUTED_VALUE"""),0.9716157794431692)</f>
        <v>0.9716157794</v>
      </c>
      <c r="AQ479" s="80">
        <f>IFERROR(__xludf.DUMMYFUNCTION("""COMPUTED_VALUE"""),1.1221648919977787)</f>
        <v>1.122164892</v>
      </c>
      <c r="AR479" s="80">
        <f>IFERROR(__xludf.DUMMYFUNCTION("""COMPUTED_VALUE"""),1.1356420744770392)</f>
        <v>1.135642074</v>
      </c>
      <c r="AS479" s="80">
        <f>IFERROR(__xludf.DUMMYFUNCTION("""COMPUTED_VALUE"""),124.0)</f>
        <v>124</v>
      </c>
      <c r="AT479" s="80">
        <f>IFERROR(__xludf.DUMMYFUNCTION("""COMPUTED_VALUE"""),0.5876352988526992)</f>
        <v>0.5876352989</v>
      </c>
      <c r="AU479" s="80">
        <f>IFERROR(__xludf.DUMMYFUNCTION("""COMPUTED_VALUE"""),3.36467333652682)</f>
        <v>3.364673337</v>
      </c>
      <c r="AV479" s="80">
        <f>IFERROR(__xludf.DUMMYFUNCTION("""COMPUTED_VALUE"""),57.90333939293549)</f>
        <v>57.90333939</v>
      </c>
      <c r="AW479" s="82">
        <f t="shared" si="1"/>
        <v>2.65992421</v>
      </c>
      <c r="AX479" s="83">
        <f t="array" ref="AX479">IFERROR(DGET('SBV Import'!A:G,"SBV",{"RSC ID","Tier";B479,A479}))</f>
        <v>51.69990972</v>
      </c>
      <c r="AY479" s="82">
        <f t="shared" si="2"/>
        <v>2.11463766</v>
      </c>
      <c r="AZ479" s="82">
        <v>0.5452865492910273</v>
      </c>
      <c r="BA479" s="84">
        <v>450.0</v>
      </c>
      <c r="BB479" s="84" t="b">
        <f>IFERROR(__xludf.DUMMYFUNCTION("iferror(if(A479="""",,E479&gt;=FILTER(Constants!$F$2:$F$10,Constants!$A$2:$A$10=A479)))"),TRUE)</f>
        <v>1</v>
      </c>
    </row>
    <row r="480">
      <c r="A480" s="80" t="str">
        <f>IFERROR(__xludf.DUMMYFUNCTION("""COMPUTED_VALUE"""),"Master")</f>
        <v>Master</v>
      </c>
      <c r="B480" s="80" t="str">
        <f>IFERROR(__xludf.DUMMYFUNCTION("""COMPUTED_VALUE"""),"RSC001357")</f>
        <v>RSC001357</v>
      </c>
      <c r="C480" s="80" t="str">
        <f>IFERROR(__xludf.DUMMYFUNCTION("""COMPUTED_VALUE"""),"Isaac13003")</f>
        <v>Isaac13003</v>
      </c>
      <c r="D480" s="80" t="str">
        <f>IFERROR(__xludf.DUMMYFUNCTION("""COMPUTED_VALUE"""),"Andromeda")</f>
        <v>Andromeda</v>
      </c>
      <c r="E480" s="80">
        <f>IFERROR(__xludf.DUMMYFUNCTION("""COMPUTED_VALUE"""),8.0)</f>
        <v>8</v>
      </c>
      <c r="F480" s="80">
        <f>IFERROR(__xludf.DUMMYFUNCTION("""COMPUTED_VALUE"""),4.0)</f>
        <v>4</v>
      </c>
      <c r="G480" s="80">
        <f>IFERROR(__xludf.DUMMYFUNCTION("""COMPUTED_VALUE"""),4.0)</f>
        <v>4</v>
      </c>
      <c r="H480" s="81">
        <f>IFERROR(__xludf.DUMMYFUNCTION("""COMPUTED_VALUE"""),0.5)</f>
        <v>0.5</v>
      </c>
      <c r="I480" s="81">
        <f>IFERROR(__xludf.DUMMYFUNCTION("""COMPUTED_VALUE"""),0.4)</f>
        <v>0.4</v>
      </c>
      <c r="J480" s="80">
        <f>IFERROR(__xludf.DUMMYFUNCTION("""COMPUTED_VALUE"""),390.125)</f>
        <v>390.125</v>
      </c>
      <c r="K480" s="80">
        <f>IFERROR(__xludf.DUMMYFUNCTION("""COMPUTED_VALUE"""),1.0)</f>
        <v>1</v>
      </c>
      <c r="L480" s="80">
        <f>IFERROR(__xludf.DUMMYFUNCTION("""COMPUTED_VALUE"""),0.625)</f>
        <v>0.625</v>
      </c>
      <c r="M480" s="80">
        <f>IFERROR(__xludf.DUMMYFUNCTION("""COMPUTED_VALUE"""),1.375)</f>
        <v>1.375</v>
      </c>
      <c r="N480" s="80">
        <f>IFERROR(__xludf.DUMMYFUNCTION("""COMPUTED_VALUE"""),2.5)</f>
        <v>2.5</v>
      </c>
      <c r="O480" s="80">
        <f>IFERROR(__xludf.DUMMYFUNCTION("""COMPUTED_VALUE"""),336.08333333333337)</f>
        <v>336.0833333</v>
      </c>
      <c r="P480" s="80">
        <f>IFERROR(__xludf.DUMMYFUNCTION("""COMPUTED_VALUE"""),0.5416666666666667)</f>
        <v>0.5416666667</v>
      </c>
      <c r="Q480" s="80">
        <f>IFERROR(__xludf.DUMMYFUNCTION("""COMPUTED_VALUE"""),0.4583333333333333)</f>
        <v>0.4583333333</v>
      </c>
      <c r="R480" s="80">
        <f>IFERROR(__xludf.DUMMYFUNCTION("""COMPUTED_VALUE"""),1.375)</f>
        <v>1.375</v>
      </c>
      <c r="S480" s="80">
        <f>IFERROR(__xludf.DUMMYFUNCTION("""COMPUTED_VALUE"""),2.666666666666667)</f>
        <v>2.666666667</v>
      </c>
      <c r="T480" s="80">
        <f>IFERROR(__xludf.DUMMYFUNCTION("""COMPUTED_VALUE"""),342.88861273554255)</f>
        <v>342.8886127</v>
      </c>
      <c r="U480" s="80">
        <f>IFERROR(__xludf.DUMMYFUNCTION("""COMPUTED_VALUE"""),0.6473684210526315)</f>
        <v>0.6473684211</v>
      </c>
      <c r="V480" s="80">
        <f>IFERROR(__xludf.DUMMYFUNCTION("""COMPUTED_VALUE"""),0.5535180543952474)</f>
        <v>0.5535180544</v>
      </c>
      <c r="W480" s="80">
        <f>IFERROR(__xludf.DUMMYFUNCTION("""COMPUTED_VALUE"""),1.4294277360066836)</f>
        <v>1.429427736</v>
      </c>
      <c r="X480" s="80">
        <f>IFERROR(__xludf.DUMMYFUNCTION("""COMPUTED_VALUE"""),2.428202450570872)</f>
        <v>2.428202451</v>
      </c>
      <c r="Y480" s="80">
        <f>IFERROR(__xludf.DUMMYFUNCTION("""COMPUTED_VALUE"""),389.2890807265076)</f>
        <v>389.2890807</v>
      </c>
      <c r="Z480" s="80">
        <f>IFERROR(__xludf.DUMMYFUNCTION("""COMPUTED_VALUE"""),0.8825327206906155)</f>
        <v>0.8825327207</v>
      </c>
      <c r="AA480" s="80">
        <f>IFERROR(__xludf.DUMMYFUNCTION("""COMPUTED_VALUE"""),0.6916968346792908)</f>
        <v>0.6916968347</v>
      </c>
      <c r="AB480" s="80">
        <f>IFERROR(__xludf.DUMMYFUNCTION("""COMPUTED_VALUE"""),1.5479276895943561)</f>
        <v>1.54792769</v>
      </c>
      <c r="AC480" s="80">
        <f>IFERROR(__xludf.DUMMYFUNCTION("""COMPUTED_VALUE"""),2.8535513165630126)</f>
        <v>2.853551317</v>
      </c>
      <c r="AD480" s="80">
        <f>IFERROR(__xludf.DUMMYFUNCTION("""COMPUTED_VALUE"""),1.002147296995673)</f>
        <v>1.002147297</v>
      </c>
      <c r="AE480" s="80">
        <f>IFERROR(__xludf.DUMMYFUNCTION("""COMPUTED_VALUE"""),1.133102463574905)</f>
        <v>1.133102464</v>
      </c>
      <c r="AF480" s="80">
        <f>IFERROR(__xludf.DUMMYFUNCTION("""COMPUTED_VALUE"""),0.9035750471372113)</f>
        <v>0.9035750471</v>
      </c>
      <c r="AG480" s="80">
        <f>IFERROR(__xludf.DUMMYFUNCTION("""COMPUTED_VALUE"""),0.888284387728943)</f>
        <v>0.8882843877</v>
      </c>
      <c r="AH480" s="80">
        <f>IFERROR(__xludf.DUMMYFUNCTION("""COMPUTED_VALUE"""),0.8761012936718969)</f>
        <v>0.8761012937</v>
      </c>
      <c r="AI480" s="80">
        <f>IFERROR(__xludf.DUMMYFUNCTION("""COMPUTED_VALUE"""),0.9801530901014265)</f>
        <v>0.9801530901</v>
      </c>
      <c r="AJ480" s="80">
        <f>IFERROR(__xludf.DUMMYFUNCTION("""COMPUTED_VALUE"""),0.8367208672086723)</f>
        <v>0.8367208672</v>
      </c>
      <c r="AK480" s="80">
        <f>IFERROR(__xludf.DUMMYFUNCTION("""COMPUTED_VALUE"""),0.8280368267916586)</f>
        <v>0.8280368268</v>
      </c>
      <c r="AL480" s="80">
        <f>IFERROR(__xludf.DUMMYFUNCTION("""COMPUTED_VALUE"""),0.961923408483219)</f>
        <v>0.9619234085</v>
      </c>
      <c r="AM480" s="80">
        <f>IFERROR(__xludf.DUMMYFUNCTION("""COMPUTED_VALUE"""),1.0982060684601203)</f>
        <v>1.098206068</v>
      </c>
      <c r="AN480" s="80">
        <f>IFERROR(__xludf.DUMMYFUNCTION("""COMPUTED_VALUE"""),1.040492324928995)</f>
        <v>1.040492325</v>
      </c>
      <c r="AO480" s="80">
        <f>IFERROR(__xludf.DUMMYFUNCTION("""COMPUTED_VALUE"""),1.2114169044344552)</f>
        <v>1.211416904</v>
      </c>
      <c r="AP480" s="80">
        <f>IFERROR(__xludf.DUMMYFUNCTION("""COMPUTED_VALUE"""),0.9632397813445212)</f>
        <v>0.9632397813</v>
      </c>
      <c r="AQ480" s="80">
        <f>IFERROR(__xludf.DUMMYFUNCTION("""COMPUTED_VALUE"""),0.9463590589181268)</f>
        <v>0.9463590589</v>
      </c>
      <c r="AR480" s="80">
        <f>IFERROR(__xludf.DUMMYFUNCTION("""COMPUTED_VALUE"""),0.9197101307384473)</f>
        <v>0.9197101307</v>
      </c>
      <c r="AS480" s="80">
        <f>IFERROR(__xludf.DUMMYFUNCTION("""COMPUTED_VALUE"""),21.0)</f>
        <v>21</v>
      </c>
      <c r="AT480" s="80">
        <f>IFERROR(__xludf.DUMMYFUNCTION("""COMPUTED_VALUE"""),0.6740245507828125)</f>
        <v>0.6740245508</v>
      </c>
      <c r="AU480" s="80">
        <f>IFERROR(__xludf.DUMMYFUNCTION("""COMPUTED_VALUE"""),3.363552799288357)</f>
        <v>3.363552799</v>
      </c>
      <c r="AV480" s="80">
        <f>IFERROR(__xludf.DUMMYFUNCTION("""COMPUTED_VALUE"""),57.87346321774606)</f>
        <v>57.87346322</v>
      </c>
      <c r="AW480" s="82">
        <f t="shared" si="1"/>
        <v>2.656718752</v>
      </c>
      <c r="AX480" s="83">
        <f t="array" ref="AX480">IFERROR(DGET('SBV Import'!A:G,"SBV",{"RSC ID","Tier";B480,A480}))</f>
        <v>53.02082478</v>
      </c>
      <c r="AY480" s="82">
        <f t="shared" si="2"/>
        <v>2.212821864</v>
      </c>
      <c r="AZ480" s="82">
        <v>0.4438968885292973</v>
      </c>
      <c r="BA480" s="84">
        <v>450.0</v>
      </c>
      <c r="BB480" s="84" t="b">
        <f>IFERROR(__xludf.DUMMYFUNCTION("iferror(if(A480="""",,E480&gt;=FILTER(Constants!$F$2:$F$10,Constants!$A$2:$A$10=A480)))"),TRUE)</f>
        <v>1</v>
      </c>
    </row>
    <row r="481">
      <c r="A481" s="80" t="str">
        <f>IFERROR(__xludf.DUMMYFUNCTION("""COMPUTED_VALUE"""),"Master")</f>
        <v>Master</v>
      </c>
      <c r="B481" s="80" t="str">
        <f>IFERROR(__xludf.DUMMYFUNCTION("""COMPUTED_VALUE"""),"RSC003031")</f>
        <v>RSC003031</v>
      </c>
      <c r="C481" s="80" t="str">
        <f>IFERROR(__xludf.DUMMYFUNCTION("""COMPUTED_VALUE"""),"Yesper")</f>
        <v>Yesper</v>
      </c>
      <c r="D481" s="80" t="str">
        <f>IFERROR(__xludf.DUMMYFUNCTION("""COMPUTED_VALUE"""),"Spectres")</f>
        <v>Spectres</v>
      </c>
      <c r="E481" s="80">
        <f>IFERROR(__xludf.DUMMYFUNCTION("""COMPUTED_VALUE"""),39.0)</f>
        <v>39</v>
      </c>
      <c r="F481" s="80">
        <f>IFERROR(__xludf.DUMMYFUNCTION("""COMPUTED_VALUE"""),13.0)</f>
        <v>13</v>
      </c>
      <c r="G481" s="80">
        <f>IFERROR(__xludf.DUMMYFUNCTION("""COMPUTED_VALUE"""),26.0)</f>
        <v>26</v>
      </c>
      <c r="H481" s="81">
        <f>IFERROR(__xludf.DUMMYFUNCTION("""COMPUTED_VALUE"""),0.3333333333333333)</f>
        <v>0.3333333333</v>
      </c>
      <c r="I481" s="81">
        <f>IFERROR(__xludf.DUMMYFUNCTION("""COMPUTED_VALUE"""),0.2900763358778626)</f>
        <v>0.2900763359</v>
      </c>
      <c r="J481" s="80">
        <f>IFERROR(__xludf.DUMMYFUNCTION("""COMPUTED_VALUE"""),377.0)</f>
        <v>377</v>
      </c>
      <c r="K481" s="80">
        <f>IFERROR(__xludf.DUMMYFUNCTION("""COMPUTED_VALUE"""),0.9743589743589743)</f>
        <v>0.9743589744</v>
      </c>
      <c r="L481" s="80">
        <f>IFERROR(__xludf.DUMMYFUNCTION("""COMPUTED_VALUE"""),0.5897435897435898)</f>
        <v>0.5897435897</v>
      </c>
      <c r="M481" s="80">
        <f>IFERROR(__xludf.DUMMYFUNCTION("""COMPUTED_VALUE"""),1.2820512820512822)</f>
        <v>1.282051282</v>
      </c>
      <c r="N481" s="80">
        <f>IFERROR(__xludf.DUMMYFUNCTION("""COMPUTED_VALUE"""),3.358974358974359)</f>
        <v>3.358974359</v>
      </c>
      <c r="O481" s="80">
        <f>IFERROR(__xludf.DUMMYFUNCTION("""COMPUTED_VALUE"""),424.09401709401715)</f>
        <v>424.0940171</v>
      </c>
      <c r="P481" s="80">
        <f>IFERROR(__xludf.DUMMYFUNCTION("""COMPUTED_VALUE"""),1.1111111111111112)</f>
        <v>1.111111111</v>
      </c>
      <c r="Q481" s="80">
        <f>IFERROR(__xludf.DUMMYFUNCTION("""COMPUTED_VALUE"""),0.8717948717948718)</f>
        <v>0.8717948718</v>
      </c>
      <c r="R481" s="80">
        <f>IFERROR(__xludf.DUMMYFUNCTION("""COMPUTED_VALUE"""),1.5470085470085475)</f>
        <v>1.547008547</v>
      </c>
      <c r="S481" s="80">
        <f>IFERROR(__xludf.DUMMYFUNCTION("""COMPUTED_VALUE"""),3.0512820512820515)</f>
        <v>3.051282051</v>
      </c>
      <c r="T481" s="80">
        <f>IFERROR(__xludf.DUMMYFUNCTION("""COMPUTED_VALUE"""),391.4236384374252)</f>
        <v>391.4236384</v>
      </c>
      <c r="U481" s="80">
        <f>IFERROR(__xludf.DUMMYFUNCTION("""COMPUTED_VALUE"""),0.9122016254180701)</f>
        <v>0.9122016254</v>
      </c>
      <c r="V481" s="80">
        <f>IFERROR(__xludf.DUMMYFUNCTION("""COMPUTED_VALUE"""),0.6921512436309063)</f>
        <v>0.6921512436</v>
      </c>
      <c r="W481" s="80">
        <f>IFERROR(__xludf.DUMMYFUNCTION("""COMPUTED_VALUE"""),1.4511649660708608)</f>
        <v>1.451164966</v>
      </c>
      <c r="X481" s="80">
        <f>IFERROR(__xludf.DUMMYFUNCTION("""COMPUTED_VALUE"""),2.8972924409171217)</f>
        <v>2.897292441</v>
      </c>
      <c r="Y481" s="80">
        <f>IFERROR(__xludf.DUMMYFUNCTION("""COMPUTED_VALUE"""),377.7752940388935)</f>
        <v>377.775294</v>
      </c>
      <c r="Z481" s="80">
        <f>IFERROR(__xludf.DUMMYFUNCTION("""COMPUTED_VALUE"""),0.8358017218806751)</f>
        <v>0.8358017219</v>
      </c>
      <c r="AA481" s="80">
        <f>IFERROR(__xludf.DUMMYFUNCTION("""COMPUTED_VALUE"""),0.6431559726204154)</f>
        <v>0.6431559726</v>
      </c>
      <c r="AB481" s="80">
        <f>IFERROR(__xludf.DUMMYFUNCTION("""COMPUTED_VALUE"""),1.4741643346416706)</f>
        <v>1.474164335</v>
      </c>
      <c r="AC481" s="80">
        <f>IFERROR(__xludf.DUMMYFUNCTION("""COMPUTED_VALUE"""),2.7352377206529086)</f>
        <v>2.735237721</v>
      </c>
      <c r="AD481" s="80">
        <f>IFERROR(__xludf.DUMMYFUNCTION("""COMPUTED_VALUE"""),0.9979477375807068)</f>
        <v>0.9979477376</v>
      </c>
      <c r="AE481" s="80">
        <f>IFERROR(__xludf.DUMMYFUNCTION("""COMPUTED_VALUE"""),1.1657776585653894)</f>
        <v>1.165777659</v>
      </c>
      <c r="AF481" s="80">
        <f>IFERROR(__xludf.DUMMYFUNCTION("""COMPUTED_VALUE"""),0.9169526753219641)</f>
        <v>0.9169526753</v>
      </c>
      <c r="AG481" s="80">
        <f>IFERROR(__xludf.DUMMYFUNCTION("""COMPUTED_VALUE"""),0.8696800295083208)</f>
        <v>0.8696800295</v>
      </c>
      <c r="AH481" s="80">
        <f>IFERROR(__xludf.DUMMYFUNCTION("""COMPUTED_VALUE"""),1.2280374512283938)</f>
        <v>1.228037451</v>
      </c>
      <c r="AI481" s="80">
        <f>IFERROR(__xludf.DUMMYFUNCTION("""COMPUTED_VALUE"""),1.083465522897424)</f>
        <v>1.083465523</v>
      </c>
      <c r="AJ481" s="80">
        <f>IFERROR(__xludf.DUMMYFUNCTION("""COMPUTED_VALUE"""),1.2180542986884935)</f>
        <v>1.218054299</v>
      </c>
      <c r="AK481" s="80">
        <f>IFERROR(__xludf.DUMMYFUNCTION("""COMPUTED_VALUE"""),1.2595438927792515)</f>
        <v>1.259543893</v>
      </c>
      <c r="AL481" s="80">
        <f>IFERROR(__xludf.DUMMYFUNCTION("""COMPUTED_VALUE"""),1.0660459583703916)</f>
        <v>1.066045958</v>
      </c>
      <c r="AM481" s="80">
        <f>IFERROR(__xludf.DUMMYFUNCTION("""COMPUTED_VALUE"""),1.0531494881877321)</f>
        <v>1.053149488</v>
      </c>
      <c r="AN481" s="80">
        <f>IFERROR(__xludf.DUMMYFUNCTION("""COMPUTED_VALUE"""),1.0054869759647065)</f>
        <v>1.005486976</v>
      </c>
      <c r="AO481" s="80">
        <f>IFERROR(__xludf.DUMMYFUNCTION("""COMPUTED_VALUE"""),1.1803549325258793)</f>
        <v>1.180354933</v>
      </c>
      <c r="AP481" s="80">
        <f>IFERROR(__xludf.DUMMYFUNCTION("""COMPUTED_VALUE"""),0.9089031782943174)</f>
        <v>0.9089031783</v>
      </c>
      <c r="AQ481" s="80">
        <f>IFERROR(__xludf.DUMMYFUNCTION("""COMPUTED_VALUE"""),0.8823860689213304)</f>
        <v>0.8823860689</v>
      </c>
      <c r="AR481" s="80">
        <f>IFERROR(__xludf.DUMMYFUNCTION("""COMPUTED_VALUE"""),1.2357130987357599)</f>
        <v>1.235713099</v>
      </c>
      <c r="AS481" s="80">
        <f>IFERROR(__xludf.DUMMYFUNCTION("""COMPUTED_VALUE"""),108.0)</f>
        <v>108</v>
      </c>
      <c r="AT481" s="80">
        <f>IFERROR(__xludf.DUMMYFUNCTION("""COMPUTED_VALUE"""),0.4227309199120169)</f>
        <v>0.4227309199</v>
      </c>
      <c r="AU481" s="80">
        <f>IFERROR(__xludf.DUMMYFUNCTION("""COMPUTED_VALUE"""),3.3176362367463965)</f>
        <v>3.317636237</v>
      </c>
      <c r="AV481" s="80">
        <f>IFERROR(__xludf.DUMMYFUNCTION("""COMPUTED_VALUE"""),56.64921897176069)</f>
        <v>56.64921897</v>
      </c>
      <c r="AW481" s="82">
        <f t="shared" si="1"/>
        <v>2.530802173</v>
      </c>
      <c r="AX481" s="83">
        <f t="array" ref="AX481">IFERROR(DGET('SBV Import'!A:G,"SBV",{"RSC ID","Tier";B481,A481}))</f>
        <v>40.45114879</v>
      </c>
      <c r="AY481" s="82">
        <f t="shared" si="2"/>
        <v>-2.846993532</v>
      </c>
      <c r="AZ481" s="82">
        <v>5.37779570495298</v>
      </c>
      <c r="BA481" s="84">
        <v>450.0</v>
      </c>
      <c r="BB481" s="84" t="b">
        <f>IFERROR(__xludf.DUMMYFUNCTION("iferror(if(A481="""",,E481&gt;=FILTER(Constants!$F$2:$F$10,Constants!$A$2:$A$10=A481)))"),TRUE)</f>
        <v>1</v>
      </c>
    </row>
    <row r="482">
      <c r="A482" s="80" t="str">
        <f>IFERROR(__xludf.DUMMYFUNCTION("""COMPUTED_VALUE"""),"Master")</f>
        <v>Master</v>
      </c>
      <c r="B482" s="80" t="str">
        <f>IFERROR(__xludf.DUMMYFUNCTION("""COMPUTED_VALUE"""),"RSC007565")</f>
        <v>RSC007565</v>
      </c>
      <c r="C482" s="80" t="str">
        <f>IFERROR(__xludf.DUMMYFUNCTION("""COMPUTED_VALUE"""),"AcX")</f>
        <v>AcX</v>
      </c>
      <c r="D482" s="80" t="str">
        <f>IFERROR(__xludf.DUMMYFUNCTION("""COMPUTED_VALUE"""),"Care Bears")</f>
        <v>Care Bears</v>
      </c>
      <c r="E482" s="80">
        <f>IFERROR(__xludf.DUMMYFUNCTION("""COMPUTED_VALUE"""),39.0)</f>
        <v>39</v>
      </c>
      <c r="F482" s="80">
        <f>IFERROR(__xludf.DUMMYFUNCTION("""COMPUTED_VALUE"""),18.0)</f>
        <v>18</v>
      </c>
      <c r="G482" s="80">
        <f>IFERROR(__xludf.DUMMYFUNCTION("""COMPUTED_VALUE"""),21.0)</f>
        <v>21</v>
      </c>
      <c r="H482" s="81">
        <f>IFERROR(__xludf.DUMMYFUNCTION("""COMPUTED_VALUE"""),0.46153846153846156)</f>
        <v>0.4615384615</v>
      </c>
      <c r="I482" s="81">
        <f>IFERROR(__xludf.DUMMYFUNCTION("""COMPUTED_VALUE"""),0.3097345132743363)</f>
        <v>0.3097345133</v>
      </c>
      <c r="J482" s="80">
        <f>IFERROR(__xludf.DUMMYFUNCTION("""COMPUTED_VALUE"""),391.4102564102564)</f>
        <v>391.4102564</v>
      </c>
      <c r="K482" s="80">
        <f>IFERROR(__xludf.DUMMYFUNCTION("""COMPUTED_VALUE"""),0.8974358974358975)</f>
        <v>0.8974358974</v>
      </c>
      <c r="L482" s="80">
        <f>IFERROR(__xludf.DUMMYFUNCTION("""COMPUTED_VALUE"""),0.5897435897435898)</f>
        <v>0.5897435897</v>
      </c>
      <c r="M482" s="80">
        <f>IFERROR(__xludf.DUMMYFUNCTION("""COMPUTED_VALUE"""),1.5384615384615385)</f>
        <v>1.538461538</v>
      </c>
      <c r="N482" s="80">
        <f>IFERROR(__xludf.DUMMYFUNCTION("""COMPUTED_VALUE"""),2.8974358974358974)</f>
        <v>2.897435897</v>
      </c>
      <c r="O482" s="80">
        <f>IFERROR(__xludf.DUMMYFUNCTION("""COMPUTED_VALUE"""),381.1709401709401)</f>
        <v>381.1709402</v>
      </c>
      <c r="P482" s="80">
        <f>IFERROR(__xludf.DUMMYFUNCTION("""COMPUTED_VALUE"""),0.8974358974358972)</f>
        <v>0.8974358974</v>
      </c>
      <c r="Q482" s="80">
        <f>IFERROR(__xludf.DUMMYFUNCTION("""COMPUTED_VALUE"""),0.6837606837606837)</f>
        <v>0.6837606838</v>
      </c>
      <c r="R482" s="80">
        <f>IFERROR(__xludf.DUMMYFUNCTION("""COMPUTED_VALUE"""),1.452991452991453)</f>
        <v>1.452991453</v>
      </c>
      <c r="S482" s="80">
        <f>IFERROR(__xludf.DUMMYFUNCTION("""COMPUTED_VALUE"""),2.8205128205128207)</f>
        <v>2.820512821</v>
      </c>
      <c r="T482" s="80">
        <f>IFERROR(__xludf.DUMMYFUNCTION("""COMPUTED_VALUE"""),398.4258088433803)</f>
        <v>398.4258088</v>
      </c>
      <c r="U482" s="80">
        <f>IFERROR(__xludf.DUMMYFUNCTION("""COMPUTED_VALUE"""),0.9430960311382811)</f>
        <v>0.9430960311</v>
      </c>
      <c r="V482" s="80">
        <f>IFERROR(__xludf.DUMMYFUNCTION("""COMPUTED_VALUE"""),0.7155899828562341)</f>
        <v>0.7155899829</v>
      </c>
      <c r="W482" s="80">
        <f>IFERROR(__xludf.DUMMYFUNCTION("""COMPUTED_VALUE"""),1.4734179119013624)</f>
        <v>1.473417912</v>
      </c>
      <c r="X482" s="80">
        <f>IFERROR(__xludf.DUMMYFUNCTION("""COMPUTED_VALUE"""),2.9095405914139687)</f>
        <v>2.909540591</v>
      </c>
      <c r="Y482" s="80">
        <f>IFERROR(__xludf.DUMMYFUNCTION("""COMPUTED_VALUE"""),381.5080429697136)</f>
        <v>381.508043</v>
      </c>
      <c r="Z482" s="80">
        <f>IFERROR(__xludf.DUMMYFUNCTION("""COMPUTED_VALUE"""),0.8513217920705765)</f>
        <v>0.8513217921</v>
      </c>
      <c r="AA482" s="80">
        <f>IFERROR(__xludf.DUMMYFUNCTION("""COMPUTED_VALUE"""),0.6402223466777576)</f>
        <v>0.6402223467</v>
      </c>
      <c r="AB482" s="80">
        <f>IFERROR(__xludf.DUMMYFUNCTION("""COMPUTED_VALUE"""),1.4886407568966509)</f>
        <v>1.488640757</v>
      </c>
      <c r="AC482" s="80">
        <f>IFERROR(__xludf.DUMMYFUNCTION("""COMPUTED_VALUE"""),2.752054562486589)</f>
        <v>2.752054562</v>
      </c>
      <c r="AD482" s="80">
        <f>IFERROR(__xludf.DUMMYFUNCTION("""COMPUTED_VALUE"""),1.025955451328005)</f>
        <v>1.025955451</v>
      </c>
      <c r="AE482" s="80">
        <f>IFERROR(__xludf.DUMMYFUNCTION("""COMPUTED_VALUE"""),1.054167655280106)</f>
        <v>1.054167655</v>
      </c>
      <c r="AF482" s="80">
        <f>IFERROR(__xludf.DUMMYFUNCTION("""COMPUTED_VALUE"""),0.921154334589987)</f>
        <v>0.9211543346</v>
      </c>
      <c r="AG482" s="80">
        <f>IFERROR(__xludf.DUMMYFUNCTION("""COMPUTED_VALUE"""),1.0334672964810854)</f>
        <v>1.033467296</v>
      </c>
      <c r="AH482" s="80">
        <f>IFERROR(__xludf.DUMMYFUNCTION("""COMPUTED_VALUE"""),1.052826472603781)</f>
        <v>1.052826473</v>
      </c>
      <c r="AI482" s="80">
        <f>IFERROR(__xludf.DUMMYFUNCTION("""COMPUTED_VALUE"""),0.9566923921858109)</f>
        <v>0.9566923922</v>
      </c>
      <c r="AJ482" s="80">
        <f>IFERROR(__xludf.DUMMYFUNCTION("""COMPUTED_VALUE"""),0.9515848522368673)</f>
        <v>0.9515848522</v>
      </c>
      <c r="AK482" s="80">
        <f>IFERROR(__xludf.DUMMYFUNCTION("""COMPUTED_VALUE"""),0.9555202003128863)</f>
        <v>0.9555202003</v>
      </c>
      <c r="AL482" s="80">
        <f>IFERROR(__xludf.DUMMYFUNCTION("""COMPUTED_VALUE"""),0.9861366834589718)</f>
        <v>0.9861366835</v>
      </c>
      <c r="AM482" s="80">
        <f>IFERROR(__xludf.DUMMYFUNCTION("""COMPUTED_VALUE"""),0.9694014336270584)</f>
        <v>0.9694014336</v>
      </c>
      <c r="AN482" s="80">
        <f>IFERROR(__xludf.DUMMYFUNCTION("""COMPUTED_VALUE"""),1.043920199149918)</f>
        <v>1.043920199</v>
      </c>
      <c r="AO482" s="80">
        <f>IFERROR(__xludf.DUMMYFUNCTION("""COMPUTED_VALUE"""),1.0871690168001522)</f>
        <v>1.087169017</v>
      </c>
      <c r="AP482" s="80">
        <f>IFERROR(__xludf.DUMMYFUNCTION("""COMPUTED_VALUE"""),0.9089031782943174)</f>
        <v>0.9089031783</v>
      </c>
      <c r="AQ482" s="80">
        <f>IFERROR(__xludf.DUMMYFUNCTION("""COMPUTED_VALUE"""),1.0588632827055964)</f>
        <v>1.058863283</v>
      </c>
      <c r="AR482" s="80">
        <f>IFERROR(__xludf.DUMMYFUNCTION("""COMPUTED_VALUE"""),1.0659204592148157)</f>
        <v>1.065920459</v>
      </c>
      <c r="AS482" s="80">
        <f>IFERROR(__xludf.DUMMYFUNCTION("""COMPUTED_VALUE"""),101.0)</f>
        <v>101</v>
      </c>
      <c r="AT482" s="80">
        <f>IFERROR(__xludf.DUMMYFUNCTION("""COMPUTED_VALUE"""),0.4843498023165188)</f>
        <v>0.4843498023</v>
      </c>
      <c r="AU482" s="80">
        <f>IFERROR(__xludf.DUMMYFUNCTION("""COMPUTED_VALUE"""),3.315371380321394)</f>
        <v>3.31537138</v>
      </c>
      <c r="AV482" s="80">
        <f>IFERROR(__xludf.DUMMYFUNCTION("""COMPUTED_VALUE"""),56.58883253835208)</f>
        <v>56.58883254</v>
      </c>
      <c r="AW482" s="82">
        <f t="shared" si="1"/>
        <v>2.524856753</v>
      </c>
      <c r="AX482" s="83">
        <f t="array" ref="AX482">IFERROR(DGET('SBV Import'!A:G,"SBV",{"RSC ID","Tier";B482,A482}))</f>
        <v>49.24137071</v>
      </c>
      <c r="AY482" s="82">
        <f t="shared" si="2"/>
        <v>-2.049617612</v>
      </c>
      <c r="AZ482" s="82">
        <v>4.574474364437609</v>
      </c>
      <c r="BA482" s="84">
        <v>450.0</v>
      </c>
      <c r="BB482" s="84" t="b">
        <f>IFERROR(__xludf.DUMMYFUNCTION("iferror(if(A482="""",,E482&gt;=FILTER(Constants!$F$2:$F$10,Constants!$A$2:$A$10=A482)))"),TRUE)</f>
        <v>1</v>
      </c>
    </row>
    <row r="483">
      <c r="A483" s="80" t="str">
        <f>IFERROR(__xludf.DUMMYFUNCTION("""COMPUTED_VALUE"""),"Master")</f>
        <v>Master</v>
      </c>
      <c r="B483" s="80" t="str">
        <f>IFERROR(__xludf.DUMMYFUNCTION("""COMPUTED_VALUE"""),"RSC005349")</f>
        <v>RSC005349</v>
      </c>
      <c r="C483" s="80" t="str">
        <f>IFERROR(__xludf.DUMMYFUNCTION("""COMPUTED_VALUE"""),"Rzemb1e")</f>
        <v>Rzemb1e</v>
      </c>
      <c r="D483" s="80" t="str">
        <f>IFERROR(__xludf.DUMMYFUNCTION("""COMPUTED_VALUE"""),"Heinous Henchmen")</f>
        <v>Heinous Henchmen</v>
      </c>
      <c r="E483" s="80">
        <f>IFERROR(__xludf.DUMMYFUNCTION("""COMPUTED_VALUE"""),47.0)</f>
        <v>47</v>
      </c>
      <c r="F483" s="80">
        <f>IFERROR(__xludf.DUMMYFUNCTION("""COMPUTED_VALUE"""),17.0)</f>
        <v>17</v>
      </c>
      <c r="G483" s="80">
        <f>IFERROR(__xludf.DUMMYFUNCTION("""COMPUTED_VALUE"""),30.0)</f>
        <v>30</v>
      </c>
      <c r="H483" s="81">
        <f>IFERROR(__xludf.DUMMYFUNCTION("""COMPUTED_VALUE"""),0.3617021276595745)</f>
        <v>0.3617021277</v>
      </c>
      <c r="I483" s="81">
        <f>IFERROR(__xludf.DUMMYFUNCTION("""COMPUTED_VALUE"""),0.34558823529411764)</f>
        <v>0.3455882353</v>
      </c>
      <c r="J483" s="80">
        <f>IFERROR(__xludf.DUMMYFUNCTION("""COMPUTED_VALUE"""),385.70212765957444)</f>
        <v>385.7021277</v>
      </c>
      <c r="K483" s="80">
        <f>IFERROR(__xludf.DUMMYFUNCTION("""COMPUTED_VALUE"""),1.0)</f>
        <v>1</v>
      </c>
      <c r="L483" s="80">
        <f>IFERROR(__xludf.DUMMYFUNCTION("""COMPUTED_VALUE"""),0.5957446808510638)</f>
        <v>0.5957446809</v>
      </c>
      <c r="M483" s="80">
        <f>IFERROR(__xludf.DUMMYFUNCTION("""COMPUTED_VALUE"""),1.5106382978723405)</f>
        <v>1.510638298</v>
      </c>
      <c r="N483" s="80">
        <f>IFERROR(__xludf.DUMMYFUNCTION("""COMPUTED_VALUE"""),2.893617021276596)</f>
        <v>2.893617021</v>
      </c>
      <c r="O483" s="80">
        <f>IFERROR(__xludf.DUMMYFUNCTION("""COMPUTED_VALUE"""),392.7801418439716)</f>
        <v>392.7801418</v>
      </c>
      <c r="P483" s="80">
        <f>IFERROR(__xludf.DUMMYFUNCTION("""COMPUTED_VALUE"""),0.9503546099290779)</f>
        <v>0.9503546099</v>
      </c>
      <c r="Q483" s="80">
        <f>IFERROR(__xludf.DUMMYFUNCTION("""COMPUTED_VALUE"""),0.7375886524822696)</f>
        <v>0.7375886525</v>
      </c>
      <c r="R483" s="80">
        <f>IFERROR(__xludf.DUMMYFUNCTION("""COMPUTED_VALUE"""),1.354609929078014)</f>
        <v>1.354609929</v>
      </c>
      <c r="S483" s="80">
        <f>IFERROR(__xludf.DUMMYFUNCTION("""COMPUTED_VALUE"""),3.0567375886524815)</f>
        <v>3.056737589</v>
      </c>
      <c r="T483" s="80">
        <f>IFERROR(__xludf.DUMMYFUNCTION("""COMPUTED_VALUE"""),384.8384909444471)</f>
        <v>384.8384909</v>
      </c>
      <c r="U483" s="80">
        <f>IFERROR(__xludf.DUMMYFUNCTION("""COMPUTED_VALUE"""),0.8879028551569754)</f>
        <v>0.8879028552</v>
      </c>
      <c r="V483" s="80">
        <f>IFERROR(__xludf.DUMMYFUNCTION("""COMPUTED_VALUE"""),0.6887012426265781)</f>
        <v>0.6887012426</v>
      </c>
      <c r="W483" s="80">
        <f>IFERROR(__xludf.DUMMYFUNCTION("""COMPUTED_VALUE"""),1.4384478089361665)</f>
        <v>1.438447809</v>
      </c>
      <c r="X483" s="80">
        <f>IFERROR(__xludf.DUMMYFUNCTION("""COMPUTED_VALUE"""),2.7881341594956384)</f>
        <v>2.788134159</v>
      </c>
      <c r="Y483" s="80">
        <f>IFERROR(__xludf.DUMMYFUNCTION("""COMPUTED_VALUE"""),381.97265217636317)</f>
        <v>381.9726522</v>
      </c>
      <c r="Z483" s="80">
        <f>IFERROR(__xludf.DUMMYFUNCTION("""COMPUTED_VALUE"""),0.8698414157738533)</f>
        <v>0.8698414158</v>
      </c>
      <c r="AA483" s="80">
        <f>IFERROR(__xludf.DUMMYFUNCTION("""COMPUTED_VALUE"""),0.6661569993410027)</f>
        <v>0.6661569993</v>
      </c>
      <c r="AB483" s="80">
        <f>IFERROR(__xludf.DUMMYFUNCTION("""COMPUTED_VALUE"""),1.4540562675535742)</f>
        <v>1.454056268</v>
      </c>
      <c r="AC483" s="80">
        <f>IFERROR(__xludf.DUMMYFUNCTION("""COMPUTED_VALUE"""),2.781713625913038)</f>
        <v>2.781713626</v>
      </c>
      <c r="AD483" s="80">
        <f>IFERROR(__xludf.DUMMYFUNCTION("""COMPUTED_VALUE"""),1.0097637238214878)</f>
        <v>1.009763724</v>
      </c>
      <c r="AE483" s="80">
        <f>IFERROR(__xludf.DUMMYFUNCTION("""COMPUTED_VALUE"""),1.1496348436230197)</f>
        <v>1.149634844</v>
      </c>
      <c r="AF483" s="80">
        <f>IFERROR(__xludf.DUMMYFUNCTION("""COMPUTED_VALUE"""),0.8943007150572696)</f>
        <v>0.8943007151</v>
      </c>
      <c r="AG483" s="80">
        <f>IFERROR(__xludf.DUMMYFUNCTION("""COMPUTED_VALUE"""),1.0389132329892328)</f>
        <v>1.038913233</v>
      </c>
      <c r="AH483" s="80">
        <f>IFERROR(__xludf.DUMMYFUNCTION("""COMPUTED_VALUE"""),1.0402282227477058)</f>
        <v>1.040228223</v>
      </c>
      <c r="AI483" s="80">
        <f>IFERROR(__xludf.DUMMYFUNCTION("""COMPUTED_VALUE"""),1.0206363216944194)</f>
        <v>1.020636322</v>
      </c>
      <c r="AJ483" s="80">
        <f>IFERROR(__xludf.DUMMYFUNCTION("""COMPUTED_VALUE"""),1.070336247270048)</f>
        <v>1.070336247</v>
      </c>
      <c r="AK483" s="80">
        <f>IFERROR(__xludf.DUMMYFUNCTION("""COMPUTED_VALUE"""),1.0709849305182666)</f>
        <v>1.070984931</v>
      </c>
      <c r="AL483" s="80">
        <f>IFERROR(__xludf.DUMMYFUNCTION("""COMPUTED_VALUE"""),0.9417164256239811)</f>
        <v>0.9417164256</v>
      </c>
      <c r="AM483" s="80">
        <f>IFERROR(__xludf.DUMMYFUNCTION("""COMPUTED_VALUE"""),1.096338057565147)</f>
        <v>1.096338058</v>
      </c>
      <c r="AN483" s="80">
        <f>IFERROR(__xludf.DUMMYFUNCTION("""COMPUTED_VALUE"""),1.0286961961898637)</f>
        <v>1.028696196</v>
      </c>
      <c r="AO483" s="80">
        <f>IFERROR(__xludf.DUMMYFUNCTION("""COMPUTED_VALUE"""),1.2114169044344552)</f>
        <v>1.211416904</v>
      </c>
      <c r="AP483" s="80">
        <f>IFERROR(__xludf.DUMMYFUNCTION("""COMPUTED_VALUE"""),0.9181519617922244)</f>
        <v>0.9181519618</v>
      </c>
      <c r="AQ483" s="80">
        <f>IFERROR(__xludf.DUMMYFUNCTION("""COMPUTED_VALUE"""),1.0397136275928356)</f>
        <v>1.039713628</v>
      </c>
      <c r="AR483" s="80">
        <f>IFERROR(__xludf.DUMMYFUNCTION("""COMPUTED_VALUE"""),1.0645155555781178)</f>
        <v>1.064515556</v>
      </c>
      <c r="AS483" s="80">
        <f>IFERROR(__xludf.DUMMYFUNCTION("""COMPUTED_VALUE"""),110.0)</f>
        <v>110</v>
      </c>
      <c r="AT483" s="80">
        <f>IFERROR(__xludf.DUMMYFUNCTION("""COMPUTED_VALUE"""),0.42149821697621004)</f>
        <v>0.421498217</v>
      </c>
      <c r="AU483" s="80">
        <f>IFERROR(__xludf.DUMMYFUNCTION("""COMPUTED_VALUE"""),3.3081837811623815)</f>
        <v>3.308183781</v>
      </c>
      <c r="AV483" s="80">
        <f>IFERROR(__xludf.DUMMYFUNCTION("""COMPUTED_VALUE"""),56.39719413108175)</f>
        <v>56.39719413</v>
      </c>
      <c r="AW483" s="82">
        <f t="shared" si="1"/>
        <v>2.506147887</v>
      </c>
      <c r="AX483" s="83">
        <f t="array" ref="AX483">IFERROR(DGET('SBV Import'!A:G,"SBV",{"RSC ID","Tier";B483,A483}))</f>
        <v>48.67567269</v>
      </c>
      <c r="AY483" s="82">
        <f t="shared" si="2"/>
        <v>-2.08822032</v>
      </c>
      <c r="AZ483" s="82">
        <v>4.59436820740285</v>
      </c>
      <c r="BA483" s="84">
        <v>450.0</v>
      </c>
      <c r="BB483" s="84" t="b">
        <f>IFERROR(__xludf.DUMMYFUNCTION("iferror(if(A483="""",,E483&gt;=FILTER(Constants!$F$2:$F$10,Constants!$A$2:$A$10=A483)))"),TRUE)</f>
        <v>1</v>
      </c>
    </row>
    <row r="484">
      <c r="A484" s="80" t="str">
        <f>IFERROR(__xludf.DUMMYFUNCTION("""COMPUTED_VALUE"""),"Master")</f>
        <v>Master</v>
      </c>
      <c r="B484" s="80" t="str">
        <f>IFERROR(__xludf.DUMMYFUNCTION("""COMPUTED_VALUE"""),"RSC007997")</f>
        <v>RSC007997</v>
      </c>
      <c r="C484" s="80" t="str">
        <f>IFERROR(__xludf.DUMMYFUNCTION("""COMPUTED_VALUE"""),"dreamyrll")</f>
        <v>dreamyrll</v>
      </c>
      <c r="D484" s="80" t="str">
        <f>IFERROR(__xludf.DUMMYFUNCTION("""COMPUTED_VALUE"""),"The OG")</f>
        <v>The OG</v>
      </c>
      <c r="E484" s="80">
        <f>IFERROR(__xludf.DUMMYFUNCTION("""COMPUTED_VALUE"""),24.0)</f>
        <v>24</v>
      </c>
      <c r="F484" s="80">
        <f>IFERROR(__xludf.DUMMYFUNCTION("""COMPUTED_VALUE"""),7.0)</f>
        <v>7</v>
      </c>
      <c r="G484" s="80">
        <f>IFERROR(__xludf.DUMMYFUNCTION("""COMPUTED_VALUE"""),17.0)</f>
        <v>17</v>
      </c>
      <c r="H484" s="81">
        <f>IFERROR(__xludf.DUMMYFUNCTION("""COMPUTED_VALUE"""),0.2916666666666667)</f>
        <v>0.2916666667</v>
      </c>
      <c r="I484" s="81">
        <f>IFERROR(__xludf.DUMMYFUNCTION("""COMPUTED_VALUE"""),0.29333333333333333)</f>
        <v>0.2933333333</v>
      </c>
      <c r="J484" s="80">
        <f>IFERROR(__xludf.DUMMYFUNCTION("""COMPUTED_VALUE"""),437.9166666666667)</f>
        <v>437.9166667</v>
      </c>
      <c r="K484" s="80">
        <f>IFERROR(__xludf.DUMMYFUNCTION("""COMPUTED_VALUE"""),0.9166666666666666)</f>
        <v>0.9166666667</v>
      </c>
      <c r="L484" s="80">
        <f>IFERROR(__xludf.DUMMYFUNCTION("""COMPUTED_VALUE"""),0.5833333333333334)</f>
        <v>0.5833333333</v>
      </c>
      <c r="M484" s="80">
        <f>IFERROR(__xludf.DUMMYFUNCTION("""COMPUTED_VALUE"""),1.6666666666666667)</f>
        <v>1.666666667</v>
      </c>
      <c r="N484" s="80">
        <f>IFERROR(__xludf.DUMMYFUNCTION("""COMPUTED_VALUE"""),3.125)</f>
        <v>3.125</v>
      </c>
      <c r="O484" s="80">
        <f>IFERROR(__xludf.DUMMYFUNCTION("""COMPUTED_VALUE"""),426.0555555555556)</f>
        <v>426.0555556</v>
      </c>
      <c r="P484" s="80">
        <f>IFERROR(__xludf.DUMMYFUNCTION("""COMPUTED_VALUE"""),1.125)</f>
        <v>1.125</v>
      </c>
      <c r="Q484" s="80">
        <f>IFERROR(__xludf.DUMMYFUNCTION("""COMPUTED_VALUE"""),0.7777777777777777)</f>
        <v>0.7777777778</v>
      </c>
      <c r="R484" s="80">
        <f>IFERROR(__xludf.DUMMYFUNCTION("""COMPUTED_VALUE"""),1.5833333333333333)</f>
        <v>1.583333333</v>
      </c>
      <c r="S484" s="80">
        <f>IFERROR(__xludf.DUMMYFUNCTION("""COMPUTED_VALUE"""),3.2083333333333326)</f>
        <v>3.208333333</v>
      </c>
      <c r="T484" s="80">
        <f>IFERROR(__xludf.DUMMYFUNCTION("""COMPUTED_VALUE"""),389.1800562202159)</f>
        <v>389.1800562</v>
      </c>
      <c r="U484" s="80">
        <f>IFERROR(__xludf.DUMMYFUNCTION("""COMPUTED_VALUE"""),0.9121737479191796)</f>
        <v>0.9121737479</v>
      </c>
      <c r="V484" s="80">
        <f>IFERROR(__xludf.DUMMYFUNCTION("""COMPUTED_VALUE"""),0.6731840353058322)</f>
        <v>0.6731840353</v>
      </c>
      <c r="W484" s="80">
        <f>IFERROR(__xludf.DUMMYFUNCTION("""COMPUTED_VALUE"""),1.457874597988751)</f>
        <v>1.457874598</v>
      </c>
      <c r="X484" s="80">
        <f>IFERROR(__xludf.DUMMYFUNCTION("""COMPUTED_VALUE"""),2.8870360105327495)</f>
        <v>2.887036011</v>
      </c>
      <c r="Y484" s="80">
        <f>IFERROR(__xludf.DUMMYFUNCTION("""COMPUTED_VALUE"""),384.7251943315396)</f>
        <v>384.7251943</v>
      </c>
      <c r="Z484" s="80">
        <f>IFERROR(__xludf.DUMMYFUNCTION("""COMPUTED_VALUE"""),0.8731643428972106)</f>
        <v>0.8731643429</v>
      </c>
      <c r="AA484" s="80">
        <f>IFERROR(__xludf.DUMMYFUNCTION("""COMPUTED_VALUE"""),0.6668671586139929)</f>
        <v>0.6668671586</v>
      </c>
      <c r="AB484" s="80">
        <f>IFERROR(__xludf.DUMMYFUNCTION("""COMPUTED_VALUE"""),1.4832325836039966)</f>
        <v>1.483232584</v>
      </c>
      <c r="AC484" s="80">
        <f>IFERROR(__xludf.DUMMYFUNCTION("""COMPUTED_VALUE"""),2.749445714325137)</f>
        <v>2.749445714</v>
      </c>
      <c r="AD484" s="80">
        <f>IFERROR(__xludf.DUMMYFUNCTION("""COMPUTED_VALUE"""),1.138258354583581)</f>
        <v>1.138258355</v>
      </c>
      <c r="AE484" s="80">
        <f>IFERROR(__xludf.DUMMYFUNCTION("""COMPUTED_VALUE"""),1.0498214615877612)</f>
        <v>1.049821462</v>
      </c>
      <c r="AF484" s="80">
        <f>IFERROR(__xludf.DUMMYFUNCTION("""COMPUTED_VALUE"""),0.8747369334332267)</f>
        <v>0.8747369334</v>
      </c>
      <c r="AG484" s="80">
        <f>IFERROR(__xludf.DUMMYFUNCTION("""COMPUTED_VALUE"""),1.1236718267184755)</f>
        <v>1.123671827</v>
      </c>
      <c r="AH484" s="80">
        <f>IFERROR(__xludf.DUMMYFUNCTION("""COMPUTED_VALUE"""),1.1365927262059234)</f>
        <v>1.136592726</v>
      </c>
      <c r="AI484" s="80">
        <f>IFERROR(__xludf.DUMMYFUNCTION("""COMPUTED_VALUE"""),1.094751770410542)</f>
        <v>1.09475177</v>
      </c>
      <c r="AJ484" s="80">
        <f>IFERROR(__xludf.DUMMYFUNCTION("""COMPUTED_VALUE"""),1.23331766844454)</f>
        <v>1.233317668</v>
      </c>
      <c r="AK484" s="80">
        <f>IFERROR(__xludf.DUMMYFUNCTION("""COMPUTED_VALUE"""),1.1553716918203918)</f>
        <v>1.155371692</v>
      </c>
      <c r="AL484" s="80">
        <f>IFERROR(__xludf.DUMMYFUNCTION("""COMPUTED_VALUE"""),1.0860559169613504)</f>
        <v>1.086055917</v>
      </c>
      <c r="AM484" s="80">
        <f>IFERROR(__xludf.DUMMYFUNCTION("""COMPUTED_VALUE"""),1.1112896831312102)</f>
        <v>1.111289683</v>
      </c>
      <c r="AN484" s="80">
        <f>IFERROR(__xludf.DUMMYFUNCTION("""COMPUTED_VALUE"""),1.1679562463957853)</f>
        <v>1.167956246</v>
      </c>
      <c r="AO484" s="80">
        <f>IFERROR(__xludf.DUMMYFUNCTION("""COMPUTED_VALUE"""),1.1104654957315838)</f>
        <v>1.110465496</v>
      </c>
      <c r="AP484" s="80">
        <f>IFERROR(__xludf.DUMMYFUNCTION("""COMPUTED_VALUE"""),0.8990237959215531)</f>
        <v>0.8990237959</v>
      </c>
      <c r="AQ484" s="80">
        <f>IFERROR(__xludf.DUMMYFUNCTION("""COMPUTED_VALUE"""),1.1471018895977294)</f>
        <v>1.14710189</v>
      </c>
      <c r="AR484" s="80">
        <f>IFERROR(__xludf.DUMMYFUNCTION("""COMPUTED_VALUE"""),1.1496376634230592)</f>
        <v>1.149637663</v>
      </c>
      <c r="AS484" s="80">
        <f>IFERROR(__xludf.DUMMYFUNCTION("""COMPUTED_VALUE"""),66.0)</f>
        <v>66</v>
      </c>
      <c r="AT484" s="80">
        <f>IFERROR(__xludf.DUMMYFUNCTION("""COMPUTED_VALUE"""),0.4147113349700193)</f>
        <v>0.414711335</v>
      </c>
      <c r="AU484" s="80">
        <f>IFERROR(__xludf.DUMMYFUNCTION("""COMPUTED_VALUE"""),3.2876756848564304)</f>
        <v>3.287675685</v>
      </c>
      <c r="AV484" s="80">
        <f>IFERROR(__xludf.DUMMYFUNCTION("""COMPUTED_VALUE"""),55.85039973906404)</f>
        <v>55.85039974</v>
      </c>
      <c r="AW484" s="82">
        <f t="shared" si="1"/>
        <v>2.454070339</v>
      </c>
      <c r="AX484" s="83">
        <f t="array" ref="AX484">IFERROR(DGET('SBV Import'!A:G,"SBV",{"RSC ID","Tier";B484,A484}))</f>
        <v>48.10087022</v>
      </c>
      <c r="AY484" s="82">
        <f t="shared" si="2"/>
        <v>-2.128912481</v>
      </c>
      <c r="AZ484" s="82">
        <v>4.582982820473527</v>
      </c>
      <c r="BA484" s="84">
        <v>450.0</v>
      </c>
      <c r="BB484" s="84" t="b">
        <f>IFERROR(__xludf.DUMMYFUNCTION("iferror(if(A484="""",,E484&gt;=FILTER(Constants!$F$2:$F$10,Constants!$A$2:$A$10=A484)))"),TRUE)</f>
        <v>1</v>
      </c>
    </row>
    <row r="485">
      <c r="A485" s="80" t="str">
        <f>IFERROR(__xludf.DUMMYFUNCTION("""COMPUTED_VALUE"""),"Master")</f>
        <v>Master</v>
      </c>
      <c r="B485" s="80" t="str">
        <f>IFERROR(__xludf.DUMMYFUNCTION("""COMPUTED_VALUE"""),"RSC005183")</f>
        <v>RSC005183</v>
      </c>
      <c r="C485" s="80" t="str">
        <f>IFERROR(__xludf.DUMMYFUNCTION("""COMPUTED_VALUE"""),"Kagura.")</f>
        <v>Kagura.</v>
      </c>
      <c r="D485" s="80" t="str">
        <f>IFERROR(__xludf.DUMMYFUNCTION("""COMPUTED_VALUE"""),"Phantom Phreaks")</f>
        <v>Phantom Phreaks</v>
      </c>
      <c r="E485" s="80">
        <f>IFERROR(__xludf.DUMMYFUNCTION("""COMPUTED_VALUE"""),48.0)</f>
        <v>48</v>
      </c>
      <c r="F485" s="80">
        <f>IFERROR(__xludf.DUMMYFUNCTION("""COMPUTED_VALUE"""),18.0)</f>
        <v>18</v>
      </c>
      <c r="G485" s="80">
        <f>IFERROR(__xludf.DUMMYFUNCTION("""COMPUTED_VALUE"""),30.0)</f>
        <v>30</v>
      </c>
      <c r="H485" s="81">
        <f>IFERROR(__xludf.DUMMYFUNCTION("""COMPUTED_VALUE"""),0.375)</f>
        <v>0.375</v>
      </c>
      <c r="I485" s="81">
        <f>IFERROR(__xludf.DUMMYFUNCTION("""COMPUTED_VALUE"""),0.2828947368421053)</f>
        <v>0.2828947368</v>
      </c>
      <c r="J485" s="80">
        <f>IFERROR(__xludf.DUMMYFUNCTION("""COMPUTED_VALUE"""),412.1041666666667)</f>
        <v>412.1041667</v>
      </c>
      <c r="K485" s="80">
        <f>IFERROR(__xludf.DUMMYFUNCTION("""COMPUTED_VALUE"""),0.8958333333333334)</f>
        <v>0.8958333333</v>
      </c>
      <c r="L485" s="80">
        <f>IFERROR(__xludf.DUMMYFUNCTION("""COMPUTED_VALUE"""),0.5625)</f>
        <v>0.5625</v>
      </c>
      <c r="M485" s="80">
        <f>IFERROR(__xludf.DUMMYFUNCTION("""COMPUTED_VALUE"""),1.7708333333333333)</f>
        <v>1.770833333</v>
      </c>
      <c r="N485" s="80">
        <f>IFERROR(__xludf.DUMMYFUNCTION("""COMPUTED_VALUE"""),3.1666666666666665)</f>
        <v>3.166666667</v>
      </c>
      <c r="O485" s="80">
        <f>IFERROR(__xludf.DUMMYFUNCTION("""COMPUTED_VALUE"""),395.8680555555555)</f>
        <v>395.8680556</v>
      </c>
      <c r="P485" s="80">
        <f>IFERROR(__xludf.DUMMYFUNCTION("""COMPUTED_VALUE"""),0.9791666666666665)</f>
        <v>0.9791666667</v>
      </c>
      <c r="Q485" s="80">
        <f>IFERROR(__xludf.DUMMYFUNCTION("""COMPUTED_VALUE"""),0.7638888888888887)</f>
        <v>0.7638888889</v>
      </c>
      <c r="R485" s="80">
        <f>IFERROR(__xludf.DUMMYFUNCTION("""COMPUTED_VALUE"""),1.4861111111111114)</f>
        <v>1.486111111</v>
      </c>
      <c r="S485" s="80">
        <f>IFERROR(__xludf.DUMMYFUNCTION("""COMPUTED_VALUE"""),2.8819444444444446)</f>
        <v>2.881944444</v>
      </c>
      <c r="T485" s="80">
        <f>IFERROR(__xludf.DUMMYFUNCTION("""COMPUTED_VALUE"""),388.4139544886396)</f>
        <v>388.4139545</v>
      </c>
      <c r="U485" s="80">
        <f>IFERROR(__xludf.DUMMYFUNCTION("""COMPUTED_VALUE"""),0.908610523596877)</f>
        <v>0.9086105236</v>
      </c>
      <c r="V485" s="80">
        <f>IFERROR(__xludf.DUMMYFUNCTION("""COMPUTED_VALUE"""),0.719323372274915)</f>
        <v>0.7193233723</v>
      </c>
      <c r="W485" s="80">
        <f>IFERROR(__xludf.DUMMYFUNCTION("""COMPUTED_VALUE"""),1.4547163994399723)</f>
        <v>1.454716399</v>
      </c>
      <c r="X485" s="80">
        <f>IFERROR(__xludf.DUMMYFUNCTION("""COMPUTED_VALUE"""),2.8702300395274833)</f>
        <v>2.87023004</v>
      </c>
      <c r="Y485" s="80">
        <f>IFERROR(__xludf.DUMMYFUNCTION("""COMPUTED_VALUE"""),386.8847066275466)</f>
        <v>386.8847066</v>
      </c>
      <c r="Z485" s="80">
        <f>IFERROR(__xludf.DUMMYFUNCTION("""COMPUTED_VALUE"""),0.8840047684099072)</f>
        <v>0.8840047684</v>
      </c>
      <c r="AA485" s="80">
        <f>IFERROR(__xludf.DUMMYFUNCTION("""COMPUTED_VALUE"""),0.6816494115759367)</f>
        <v>0.6816494116</v>
      </c>
      <c r="AB485" s="80">
        <f>IFERROR(__xludf.DUMMYFUNCTION("""COMPUTED_VALUE"""),1.4870153085792934)</f>
        <v>1.487015309</v>
      </c>
      <c r="AC485" s="80">
        <f>IFERROR(__xludf.DUMMYFUNCTION("""COMPUTED_VALUE"""),2.8264859828382285)</f>
        <v>2.826485983</v>
      </c>
      <c r="AD485" s="80">
        <f>IFERROR(__xludf.DUMMYFUNCTION("""COMPUTED_VALUE"""),1.0651859833358541)</f>
        <v>1.065185983</v>
      </c>
      <c r="AE485" s="80">
        <f>IFERROR(__xludf.DUMMYFUNCTION("""COMPUTED_VALUE"""),1.013380657374397)</f>
        <v>1.013380657</v>
      </c>
      <c r="AF485" s="80">
        <f>IFERROR(__xludf.DUMMYFUNCTION("""COMPUTED_VALUE"""),0.825204262554163)</f>
        <v>0.8252042626</v>
      </c>
      <c r="AG485" s="80">
        <f>IFERROR(__xludf.DUMMYFUNCTION("""COMPUTED_VALUE"""),1.1908642252144679)</f>
        <v>1.190864225</v>
      </c>
      <c r="AH485" s="80">
        <f>IFERROR(__xludf.DUMMYFUNCTION("""COMPUTED_VALUE"""),1.1203546332421024)</f>
        <v>1.120354633</v>
      </c>
      <c r="AI485" s="80">
        <f>IFERROR(__xludf.DUMMYFUNCTION("""COMPUTED_VALUE"""),1.0191911258099093)</f>
        <v>1.019191126</v>
      </c>
      <c r="AJ485" s="80">
        <f>IFERROR(__xludf.DUMMYFUNCTION("""COMPUTED_VALUE"""),1.0776527909785614)</f>
        <v>1.077652791</v>
      </c>
      <c r="AK485" s="80">
        <f>IFERROR(__xludf.DUMMYFUNCTION("""COMPUTED_VALUE"""),1.0619547735158832)</f>
        <v>1.061954774</v>
      </c>
      <c r="AL485" s="80">
        <f>IFERROR(__xludf.DUMMYFUNCTION("""COMPUTED_VALUE"""),1.0215813279366515)</f>
        <v>1.021581328</v>
      </c>
      <c r="AM485" s="80">
        <f>IFERROR(__xludf.DUMMYFUNCTION("""COMPUTED_VALUE"""),1.0040813470542904)</f>
        <v>1.004081347</v>
      </c>
      <c r="AN485" s="80">
        <f>IFERROR(__xludf.DUMMYFUNCTION("""COMPUTED_VALUE"""),1.0991123934326845)</f>
        <v>1.099112393</v>
      </c>
      <c r="AO485" s="80">
        <f>IFERROR(__xludf.DUMMYFUNCTION("""COMPUTED_VALUE"""),1.085227643555866)</f>
        <v>1.085227644</v>
      </c>
      <c r="AP485" s="80">
        <f>IFERROR(__xludf.DUMMYFUNCTION("""COMPUTED_VALUE"""),0.8669158032100691)</f>
        <v>0.8669158032</v>
      </c>
      <c r="AQ485" s="80">
        <f>IFERROR(__xludf.DUMMYFUNCTION("""COMPUTED_VALUE"""),1.2187957576975874)</f>
        <v>1.218795758</v>
      </c>
      <c r="AR485" s="80">
        <f>IFERROR(__xludf.DUMMYFUNCTION("""COMPUTED_VALUE"""),1.1649661656020331)</f>
        <v>1.164966166</v>
      </c>
      <c r="AS485" s="80">
        <f>IFERROR(__xludf.DUMMYFUNCTION("""COMPUTED_VALUE"""),106.0)</f>
        <v>106</v>
      </c>
      <c r="AT485" s="80">
        <f>IFERROR(__xludf.DUMMYFUNCTION("""COMPUTED_VALUE"""),0.38779637407723816)</f>
        <v>0.3877963741</v>
      </c>
      <c r="AU485" s="80">
        <f>IFERROR(__xludf.DUMMYFUNCTION("""COMPUTED_VALUE"""),3.248121729410613)</f>
        <v>3.248121729</v>
      </c>
      <c r="AV485" s="80">
        <f>IFERROR(__xludf.DUMMYFUNCTION("""COMPUTED_VALUE"""),54.79579765912281)</f>
        <v>54.79579766</v>
      </c>
      <c r="AW485" s="82">
        <f t="shared" si="1"/>
        <v>2.358841395</v>
      </c>
      <c r="AX485" s="83">
        <f t="array" ref="AX485">IFERROR(DGET('SBV Import'!A:G,"SBV",{"RSC ID","Tier";B485,A485}))</f>
        <v>60.16741314</v>
      </c>
      <c r="AY485" s="82">
        <f t="shared" si="2"/>
        <v>2.922989917</v>
      </c>
      <c r="AZ485" s="82">
        <v>0.564148521650846</v>
      </c>
      <c r="BA485" s="84">
        <v>450.0</v>
      </c>
      <c r="BB485" s="84" t="b">
        <f>IFERROR(__xludf.DUMMYFUNCTION("iferror(if(A485="""",,E485&gt;=FILTER(Constants!$F$2:$F$10,Constants!$A$2:$A$10=A485)))"),TRUE)</f>
        <v>1</v>
      </c>
    </row>
    <row r="486">
      <c r="A486" s="80" t="str">
        <f>IFERROR(__xludf.DUMMYFUNCTION("""COMPUTED_VALUE"""),"Master")</f>
        <v>Master</v>
      </c>
      <c r="B486" s="80" t="str">
        <f>IFERROR(__xludf.DUMMYFUNCTION("""COMPUTED_VALUE"""),"RSC006405")</f>
        <v>RSC006405</v>
      </c>
      <c r="C486" s="80" t="str">
        <f>IFERROR(__xludf.DUMMYFUNCTION("""COMPUTED_VALUE"""),"Lil Panda")</f>
        <v>Lil Panda</v>
      </c>
      <c r="D486" s="80" t="str">
        <f>IFERROR(__xludf.DUMMYFUNCTION("""COMPUTED_VALUE"""),"Helicoprions")</f>
        <v>Helicoprions</v>
      </c>
      <c r="E486" s="80">
        <f>IFERROR(__xludf.DUMMYFUNCTION("""COMPUTED_VALUE"""),45.0)</f>
        <v>45</v>
      </c>
      <c r="F486" s="80">
        <f>IFERROR(__xludf.DUMMYFUNCTION("""COMPUTED_VALUE"""),29.0)</f>
        <v>29</v>
      </c>
      <c r="G486" s="80">
        <f>IFERROR(__xludf.DUMMYFUNCTION("""COMPUTED_VALUE"""),16.0)</f>
        <v>16</v>
      </c>
      <c r="H486" s="81">
        <f>IFERROR(__xludf.DUMMYFUNCTION("""COMPUTED_VALUE"""),0.6444444444444445)</f>
        <v>0.6444444444</v>
      </c>
      <c r="I486" s="81">
        <f>IFERROR(__xludf.DUMMYFUNCTION("""COMPUTED_VALUE"""),0.39639639639639634)</f>
        <v>0.3963963964</v>
      </c>
      <c r="J486" s="80">
        <f>IFERROR(__xludf.DUMMYFUNCTION("""COMPUTED_VALUE"""),382.24444444444447)</f>
        <v>382.2444444</v>
      </c>
      <c r="K486" s="80">
        <f>IFERROR(__xludf.DUMMYFUNCTION("""COMPUTED_VALUE"""),0.9777777777777777)</f>
        <v>0.9777777778</v>
      </c>
      <c r="L486" s="80">
        <f>IFERROR(__xludf.DUMMYFUNCTION("""COMPUTED_VALUE"""),0.6)</f>
        <v>0.6</v>
      </c>
      <c r="M486" s="80">
        <f>IFERROR(__xludf.DUMMYFUNCTION("""COMPUTED_VALUE"""),1.3111111111111111)</f>
        <v>1.311111111</v>
      </c>
      <c r="N486" s="80">
        <f>IFERROR(__xludf.DUMMYFUNCTION("""COMPUTED_VALUE"""),2.466666666666667)</f>
        <v>2.466666667</v>
      </c>
      <c r="O486" s="80">
        <f>IFERROR(__xludf.DUMMYFUNCTION("""COMPUTED_VALUE"""),372.75555555555553)</f>
        <v>372.7555556</v>
      </c>
      <c r="P486" s="80">
        <f>IFERROR(__xludf.DUMMYFUNCTION("""COMPUTED_VALUE"""),0.7259259259259259)</f>
        <v>0.7259259259</v>
      </c>
      <c r="Q486" s="80">
        <f>IFERROR(__xludf.DUMMYFUNCTION("""COMPUTED_VALUE"""),0.5407407407407407)</f>
        <v>0.5407407407</v>
      </c>
      <c r="R486" s="80">
        <f>IFERROR(__xludf.DUMMYFUNCTION("""COMPUTED_VALUE"""),1.585185185185185)</f>
        <v>1.585185185</v>
      </c>
      <c r="S486" s="80">
        <f>IFERROR(__xludf.DUMMYFUNCTION("""COMPUTED_VALUE"""),2.607407407407408)</f>
        <v>2.607407407</v>
      </c>
      <c r="T486" s="80">
        <f>IFERROR(__xludf.DUMMYFUNCTION("""COMPUTED_VALUE"""),379.8463118215373)</f>
        <v>379.8463118</v>
      </c>
      <c r="U486" s="80">
        <f>IFERROR(__xludf.DUMMYFUNCTION("""COMPUTED_VALUE"""),0.8412553387510463)</f>
        <v>0.8412553388</v>
      </c>
      <c r="V486" s="80">
        <f>IFERROR(__xludf.DUMMYFUNCTION("""COMPUTED_VALUE"""),0.6285680110738066)</f>
        <v>0.6285680111</v>
      </c>
      <c r="W486" s="80">
        <f>IFERROR(__xludf.DUMMYFUNCTION("""COMPUTED_VALUE"""),1.5349662426209614)</f>
        <v>1.534966243</v>
      </c>
      <c r="X486" s="80">
        <f>IFERROR(__xludf.DUMMYFUNCTION("""COMPUTED_VALUE"""),2.728554256828988)</f>
        <v>2.728554257</v>
      </c>
      <c r="Y486" s="80">
        <f>IFERROR(__xludf.DUMMYFUNCTION("""COMPUTED_VALUE"""),393.93377013603214)</f>
        <v>393.9337701</v>
      </c>
      <c r="Z486" s="80">
        <f>IFERROR(__xludf.DUMMYFUNCTION("""COMPUTED_VALUE"""),0.9165097782486771)</f>
        <v>0.9165097782</v>
      </c>
      <c r="AA486" s="80">
        <f>IFERROR(__xludf.DUMMYFUNCTION("""COMPUTED_VALUE"""),0.7075792599928555)</f>
        <v>0.70757926</v>
      </c>
      <c r="AB486" s="80">
        <f>IFERROR(__xludf.DUMMYFUNCTION("""COMPUTED_VALUE"""),1.4773216553525124)</f>
        <v>1.477321655</v>
      </c>
      <c r="AC486" s="80">
        <f>IFERROR(__xludf.DUMMYFUNCTION("""COMPUTED_VALUE"""),2.909709536108029)</f>
        <v>2.909709536</v>
      </c>
      <c r="AD486" s="80">
        <f>IFERROR(__xludf.DUMMYFUNCTION("""COMPUTED_VALUE"""),0.9703266727106155)</f>
        <v>0.9703266727</v>
      </c>
      <c r="AE486" s="80">
        <f>IFERROR(__xludf.DUMMYFUNCTION("""COMPUTED_VALUE"""),1.066849258985731)</f>
        <v>1.066849259</v>
      </c>
      <c r="AF486" s="80">
        <f>IFERROR(__xludf.DUMMYFUNCTION("""COMPUTED_VALUE"""),0.8479615414477499)</f>
        <v>0.8479615414</v>
      </c>
      <c r="AG486" s="80">
        <f>IFERROR(__xludf.DUMMYFUNCTION("""COMPUTED_VALUE"""),0.8874919733023606)</f>
        <v>0.8874919733</v>
      </c>
      <c r="AH486" s="80">
        <f>IFERROR(__xludf.DUMMYFUNCTION("""COMPUTED_VALUE"""),0.8477363929480165)</f>
        <v>0.8477363929</v>
      </c>
      <c r="AI486" s="80">
        <f>IFERROR(__xludf.DUMMYFUNCTION("""COMPUTED_VALUE"""),0.9813325651841179)</f>
        <v>0.9813325652</v>
      </c>
      <c r="AJ486" s="80">
        <f>IFERROR(__xludf.DUMMYFUNCTION("""COMPUTED_VALUE"""),0.8629079572958882)</f>
        <v>0.8629079573</v>
      </c>
      <c r="AK486" s="80">
        <f>IFERROR(__xludf.DUMMYFUNCTION("""COMPUTED_VALUE"""),0.8602740375173926)</f>
        <v>0.8602740375</v>
      </c>
      <c r="AL486" s="80">
        <f>IFERROR(__xludf.DUMMYFUNCTION("""COMPUTED_VALUE"""),1.0327166429917538)</f>
        <v>1.032716643</v>
      </c>
      <c r="AM486" s="80">
        <f>IFERROR(__xludf.DUMMYFUNCTION("""COMPUTED_VALUE"""),0.9556003516813437)</f>
        <v>0.9556003517</v>
      </c>
      <c r="AN486" s="80">
        <f>IFERROR(__xludf.DUMMYFUNCTION("""COMPUTED_VALUE"""),1.0194742984714953)</f>
        <v>1.019474298</v>
      </c>
      <c r="AO486" s="80">
        <f>IFERROR(__xludf.DUMMYFUNCTION("""COMPUTED_VALUE"""),1.1844965287803562)</f>
        <v>1.184496529</v>
      </c>
      <c r="AP486" s="80">
        <f>IFERROR(__xludf.DUMMYFUNCTION("""COMPUTED_VALUE"""),0.9247101900907403)</f>
        <v>0.9247101901</v>
      </c>
      <c r="AQ486" s="80">
        <f>IFERROR(__xludf.DUMMYFUNCTION("""COMPUTED_VALUE"""),0.9023868198168805)</f>
        <v>0.9023868198</v>
      </c>
      <c r="AR486" s="80">
        <f>IFERROR(__xludf.DUMMYFUNCTION("""COMPUTED_VALUE"""),0.907447328995268)</f>
        <v>0.907447329</v>
      </c>
      <c r="AS486" s="80">
        <f>IFERROR(__xludf.DUMMYFUNCTION("""COMPUTED_VALUE"""),114.0)</f>
        <v>114</v>
      </c>
      <c r="AT486" s="80">
        <f>IFERROR(__xludf.DUMMYFUNCTION("""COMPUTED_VALUE"""),0.5587163089150052)</f>
        <v>0.5587163089</v>
      </c>
      <c r="AU486" s="80">
        <f>IFERROR(__xludf.DUMMYFUNCTION("""COMPUTED_VALUE"""),3.22651031330203)</f>
        <v>3.226510313</v>
      </c>
      <c r="AV486" s="80">
        <f>IFERROR(__xludf.DUMMYFUNCTION("""COMPUTED_VALUE"""),54.21958614951013)</f>
        <v>54.21958615</v>
      </c>
      <c r="AW486" s="82">
        <f t="shared" si="1"/>
        <v>2.309556885</v>
      </c>
      <c r="AX486" s="83">
        <f t="array" ref="AX486">IFERROR(DGET('SBV Import'!A:G,"SBV",{"RSC ID","Tier";B486,A486}))</f>
        <v>48.67870869</v>
      </c>
      <c r="AY486" s="82">
        <f t="shared" si="2"/>
        <v>-2.088009373</v>
      </c>
      <c r="AZ486" s="82">
        <v>4.397566257921537</v>
      </c>
      <c r="BA486" s="84">
        <v>450.0</v>
      </c>
      <c r="BB486" s="84" t="b">
        <f>IFERROR(__xludf.DUMMYFUNCTION("iferror(if(A486="""",,E486&gt;=FILTER(Constants!$F$2:$F$10,Constants!$A$2:$A$10=A486)))"),TRUE)</f>
        <v>1</v>
      </c>
    </row>
    <row r="487">
      <c r="A487" s="80" t="str">
        <f>IFERROR(__xludf.DUMMYFUNCTION("""COMPUTED_VALUE"""),"Master")</f>
        <v>Master</v>
      </c>
      <c r="B487" s="80" t="str">
        <f>IFERROR(__xludf.DUMMYFUNCTION("""COMPUTED_VALUE"""),"RSC002490")</f>
        <v>RSC002490</v>
      </c>
      <c r="C487" s="80" t="str">
        <f>IFERROR(__xludf.DUMMYFUNCTION("""COMPUTED_VALUE"""),"alexis bexas")</f>
        <v>alexis bexas</v>
      </c>
      <c r="D487" s="80" t="str">
        <f>IFERROR(__xludf.DUMMYFUNCTION("""COMPUTED_VALUE"""),"Tempests")</f>
        <v>Tempests</v>
      </c>
      <c r="E487" s="80">
        <f>IFERROR(__xludf.DUMMYFUNCTION("""COMPUTED_VALUE"""),44.0)</f>
        <v>44</v>
      </c>
      <c r="F487" s="80">
        <f>IFERROR(__xludf.DUMMYFUNCTION("""COMPUTED_VALUE"""),25.0)</f>
        <v>25</v>
      </c>
      <c r="G487" s="80">
        <f>IFERROR(__xludf.DUMMYFUNCTION("""COMPUTED_VALUE"""),19.0)</f>
        <v>19</v>
      </c>
      <c r="H487" s="81">
        <f>IFERROR(__xludf.DUMMYFUNCTION("""COMPUTED_VALUE"""),0.5681818181818182)</f>
        <v>0.5681818182</v>
      </c>
      <c r="I487" s="81">
        <f>IFERROR(__xludf.DUMMYFUNCTION("""COMPUTED_VALUE"""),0.3185840707964602)</f>
        <v>0.3185840708</v>
      </c>
      <c r="J487" s="80">
        <f>IFERROR(__xludf.DUMMYFUNCTION("""COMPUTED_VALUE"""),356.1818181818182)</f>
        <v>356.1818182</v>
      </c>
      <c r="K487" s="80">
        <f>IFERROR(__xludf.DUMMYFUNCTION("""COMPUTED_VALUE"""),0.8181818181818182)</f>
        <v>0.8181818182</v>
      </c>
      <c r="L487" s="80">
        <f>IFERROR(__xludf.DUMMYFUNCTION("""COMPUTED_VALUE"""),0.7954545454545454)</f>
        <v>0.7954545455</v>
      </c>
      <c r="M487" s="80">
        <f>IFERROR(__xludf.DUMMYFUNCTION("""COMPUTED_VALUE"""),1.1136363636363635)</f>
        <v>1.113636364</v>
      </c>
      <c r="N487" s="80">
        <f>IFERROR(__xludf.DUMMYFUNCTION("""COMPUTED_VALUE"""),2.5681818181818183)</f>
        <v>2.568181818</v>
      </c>
      <c r="O487" s="80">
        <f>IFERROR(__xludf.DUMMYFUNCTION("""COMPUTED_VALUE"""),353.8030303030303)</f>
        <v>353.8030303</v>
      </c>
      <c r="P487" s="80">
        <f>IFERROR(__xludf.DUMMYFUNCTION("""COMPUTED_VALUE"""),0.8636363636363636)</f>
        <v>0.8636363636</v>
      </c>
      <c r="Q487" s="80">
        <f>IFERROR(__xludf.DUMMYFUNCTION("""COMPUTED_VALUE"""),0.6136363636363636)</f>
        <v>0.6136363636</v>
      </c>
      <c r="R487" s="80">
        <f>IFERROR(__xludf.DUMMYFUNCTION("""COMPUTED_VALUE"""),1.2121212121212124)</f>
        <v>1.212121212</v>
      </c>
      <c r="S487" s="80">
        <f>IFERROR(__xludf.DUMMYFUNCTION("""COMPUTED_VALUE"""),2.545454545454545)</f>
        <v>2.545454545</v>
      </c>
      <c r="T487" s="80">
        <f>IFERROR(__xludf.DUMMYFUNCTION("""COMPUTED_VALUE"""),379.23568656633654)</f>
        <v>379.2356866</v>
      </c>
      <c r="U487" s="80">
        <f>IFERROR(__xludf.DUMMYFUNCTION("""COMPUTED_VALUE"""),0.842661466321376)</f>
        <v>0.8426614663</v>
      </c>
      <c r="V487" s="80">
        <f>IFERROR(__xludf.DUMMYFUNCTION("""COMPUTED_VALUE"""),0.6546773702200546)</f>
        <v>0.6546773702</v>
      </c>
      <c r="W487" s="80">
        <f>IFERROR(__xludf.DUMMYFUNCTION("""COMPUTED_VALUE"""),1.4953004469568774)</f>
        <v>1.495300447</v>
      </c>
      <c r="X487" s="80">
        <f>IFERROR(__xludf.DUMMYFUNCTION("""COMPUTED_VALUE"""),2.745120937231867)</f>
        <v>2.745120937</v>
      </c>
      <c r="Y487" s="80">
        <f>IFERROR(__xludf.DUMMYFUNCTION("""COMPUTED_VALUE"""),391.4929235939035)</f>
        <v>391.4929236</v>
      </c>
      <c r="Z487" s="80">
        <f>IFERROR(__xludf.DUMMYFUNCTION("""COMPUTED_VALUE"""),0.9164706664479575)</f>
        <v>0.9164706664</v>
      </c>
      <c r="AA487" s="80">
        <f>IFERROR(__xludf.DUMMYFUNCTION("""COMPUTED_VALUE"""),0.7009279255088867)</f>
        <v>0.7009279255</v>
      </c>
      <c r="AB487" s="80">
        <f>IFERROR(__xludf.DUMMYFUNCTION("""COMPUTED_VALUE"""),1.47442153614993)</f>
        <v>1.474421536</v>
      </c>
      <c r="AC487" s="80">
        <f>IFERROR(__xludf.DUMMYFUNCTION("""COMPUTED_VALUE"""),2.865390668988981)</f>
        <v>2.865390669</v>
      </c>
      <c r="AD487" s="80">
        <f>IFERROR(__xludf.DUMMYFUNCTION("""COMPUTED_VALUE"""),0.9098039752853525)</f>
        <v>0.9098039753</v>
      </c>
      <c r="AE487" s="80">
        <f>IFERROR(__xludf.DUMMYFUNCTION("""COMPUTED_VALUE"""),0.8927528704796569)</f>
        <v>0.8927528705</v>
      </c>
      <c r="AF487" s="80">
        <f>IFERROR(__xludf.DUMMYFUNCTION("""COMPUTED_VALUE"""),1.1348592580000727)</f>
        <v>1.134859258</v>
      </c>
      <c r="AG487" s="80">
        <f>IFERROR(__xludf.DUMMYFUNCTION("""COMPUTED_VALUE"""),0.7553039184060866)</f>
        <v>0.7553039184</v>
      </c>
      <c r="AH487" s="80">
        <f>IFERROR(__xludf.DUMMYFUNCTION("""COMPUTED_VALUE"""),0.8962763248921902)</f>
        <v>0.8962763249</v>
      </c>
      <c r="AI487" s="80">
        <f>IFERROR(__xludf.DUMMYFUNCTION("""COMPUTED_VALUE"""),0.9329370701012403)</f>
        <v>0.9329370701</v>
      </c>
      <c r="AJ487" s="80">
        <f>IFERROR(__xludf.DUMMYFUNCTION("""COMPUTED_VALUE"""),1.0248912501084846)</f>
        <v>1.02489125</v>
      </c>
      <c r="AK487" s="80">
        <f>IFERROR(__xludf.DUMMYFUNCTION("""COMPUTED_VALUE"""),0.9373110963498006)</f>
        <v>0.9373110963</v>
      </c>
      <c r="AL487" s="80">
        <f>IFERROR(__xludf.DUMMYFUNCTION("""COMPUTED_VALUE"""),0.8106205108063934)</f>
        <v>0.8106205108</v>
      </c>
      <c r="AM487" s="80">
        <f>IFERROR(__xludf.DUMMYFUNCTION("""COMPUTED_VALUE"""),0.9272649925658059)</f>
        <v>0.9272649926</v>
      </c>
      <c r="AN487" s="80">
        <f>IFERROR(__xludf.DUMMYFUNCTION("""COMPUTED_VALUE"""),0.9499633402048999)</f>
        <v>0.9499633402</v>
      </c>
      <c r="AO487" s="80">
        <f>IFERROR(__xludf.DUMMYFUNCTION("""COMPUTED_VALUE"""),0.9911592854463724)</f>
        <v>0.9911592854</v>
      </c>
      <c r="AP487" s="80">
        <f>IFERROR(__xludf.DUMMYFUNCTION("""COMPUTED_VALUE"""),1.225941539893027)</f>
        <v>1.22594154</v>
      </c>
      <c r="AQ487" s="80">
        <f>IFERROR(__xludf.DUMMYFUNCTION("""COMPUTED_VALUE"""),0.76647262623121)</f>
        <v>0.7664726262</v>
      </c>
      <c r="AR487" s="80">
        <f>IFERROR(__xludf.DUMMYFUNCTION("""COMPUTED_VALUE"""),0.9447931343040413)</f>
        <v>0.9447931343</v>
      </c>
      <c r="AS487" s="80">
        <f>IFERROR(__xludf.DUMMYFUNCTION("""COMPUTED_VALUE"""),123.0)</f>
        <v>123</v>
      </c>
      <c r="AT487" s="80">
        <f>IFERROR(__xludf.DUMMYFUNCTION("""COMPUTED_VALUE"""),0.5307613983613308)</f>
        <v>0.5307613984</v>
      </c>
      <c r="AU487" s="80">
        <f>IFERROR(__xludf.DUMMYFUNCTION("""COMPUTED_VALUE"""),3.2107240802257118)</f>
        <v>3.21072408</v>
      </c>
      <c r="AV487" s="80">
        <f>IFERROR(__xludf.DUMMYFUNCTION("""COMPUTED_VALUE"""),53.79868780826768)</f>
        <v>53.79868781</v>
      </c>
      <c r="AW487" s="82">
        <f t="shared" si="1"/>
        <v>2.274721961</v>
      </c>
      <c r="AX487" s="83">
        <f t="array" ref="AX487">IFERROR(DGET('SBV Import'!A:G,"SBV",{"RSC ID","Tier";B487,A487}))</f>
        <v>55.61504995</v>
      </c>
      <c r="AY487" s="82">
        <f t="shared" si="2"/>
        <v>2.432235161</v>
      </c>
      <c r="AZ487" s="82">
        <v>0.1575131994943355</v>
      </c>
      <c r="BA487" s="84">
        <v>450.0</v>
      </c>
      <c r="BB487" s="84" t="b">
        <f>IFERROR(__xludf.DUMMYFUNCTION("iferror(if(A487="""",,E487&gt;=FILTER(Constants!$F$2:$F$10,Constants!$A$2:$A$10=A487)))"),TRUE)</f>
        <v>1</v>
      </c>
    </row>
    <row r="488">
      <c r="A488" s="80" t="str">
        <f>IFERROR(__xludf.DUMMYFUNCTION("""COMPUTED_VALUE"""),"Master")</f>
        <v>Master</v>
      </c>
      <c r="B488" s="80" t="str">
        <f>IFERROR(__xludf.DUMMYFUNCTION("""COMPUTED_VALUE"""),"RSC007106")</f>
        <v>RSC007106</v>
      </c>
      <c r="C488" s="80" t="str">
        <f>IFERROR(__xludf.DUMMYFUNCTION("""COMPUTED_VALUE"""),"Sim")</f>
        <v>Sim</v>
      </c>
      <c r="D488" s="80"/>
      <c r="E488" s="80">
        <f>IFERROR(__xludf.DUMMYFUNCTION("""COMPUTED_VALUE"""),42.0)</f>
        <v>42</v>
      </c>
      <c r="F488" s="80">
        <f>IFERROR(__xludf.DUMMYFUNCTION("""COMPUTED_VALUE"""),22.0)</f>
        <v>22</v>
      </c>
      <c r="G488" s="80">
        <f>IFERROR(__xludf.DUMMYFUNCTION("""COMPUTED_VALUE"""),20.0)</f>
        <v>20</v>
      </c>
      <c r="H488" s="81">
        <f>IFERROR(__xludf.DUMMYFUNCTION("""COMPUTED_VALUE"""),0.5238095238095238)</f>
        <v>0.5238095238</v>
      </c>
      <c r="I488" s="81">
        <f>IFERROR(__xludf.DUMMYFUNCTION("""COMPUTED_VALUE"""),0.3247863247863248)</f>
        <v>0.3247863248</v>
      </c>
      <c r="J488" s="80">
        <f>IFERROR(__xludf.DUMMYFUNCTION("""COMPUTED_VALUE"""),390.07142857142856)</f>
        <v>390.0714286</v>
      </c>
      <c r="K488" s="80">
        <f>IFERROR(__xludf.DUMMYFUNCTION("""COMPUTED_VALUE"""),0.9047619047619048)</f>
        <v>0.9047619048</v>
      </c>
      <c r="L488" s="80">
        <f>IFERROR(__xludf.DUMMYFUNCTION("""COMPUTED_VALUE"""),0.5476190476190477)</f>
        <v>0.5476190476</v>
      </c>
      <c r="M488" s="80">
        <f>IFERROR(__xludf.DUMMYFUNCTION("""COMPUTED_VALUE"""),1.5)</f>
        <v>1.5</v>
      </c>
      <c r="N488" s="80">
        <f>IFERROR(__xludf.DUMMYFUNCTION("""COMPUTED_VALUE"""),2.7857142857142856)</f>
        <v>2.785714286</v>
      </c>
      <c r="O488" s="80">
        <f>IFERROR(__xludf.DUMMYFUNCTION("""COMPUTED_VALUE"""),357.88888888888897)</f>
        <v>357.8888889</v>
      </c>
      <c r="P488" s="80">
        <f>IFERROR(__xludf.DUMMYFUNCTION("""COMPUTED_VALUE"""),0.857142857142857)</f>
        <v>0.8571428571</v>
      </c>
      <c r="Q488" s="80">
        <f>IFERROR(__xludf.DUMMYFUNCTION("""COMPUTED_VALUE"""),0.5873015873015871)</f>
        <v>0.5873015873</v>
      </c>
      <c r="R488" s="80">
        <f>IFERROR(__xludf.DUMMYFUNCTION("""COMPUTED_VALUE"""),1.3174603174603174)</f>
        <v>1.317460317</v>
      </c>
      <c r="S488" s="80">
        <f>IFERROR(__xludf.DUMMYFUNCTION("""COMPUTED_VALUE"""),2.579365079365079)</f>
        <v>2.579365079</v>
      </c>
      <c r="T488" s="80">
        <f>IFERROR(__xludf.DUMMYFUNCTION("""COMPUTED_VALUE"""),383.07428061945427)</f>
        <v>383.0742806</v>
      </c>
      <c r="U488" s="80">
        <f>IFERROR(__xludf.DUMMYFUNCTION("""COMPUTED_VALUE"""),0.8629010890434278)</f>
        <v>0.862901089</v>
      </c>
      <c r="V488" s="80">
        <f>IFERROR(__xludf.DUMMYFUNCTION("""COMPUTED_VALUE"""),0.683953355725208)</f>
        <v>0.6839533557</v>
      </c>
      <c r="W488" s="80">
        <f>IFERROR(__xludf.DUMMYFUNCTION("""COMPUTED_VALUE"""),1.4852436679205812)</f>
        <v>1.485243668</v>
      </c>
      <c r="X488" s="80">
        <f>IFERROR(__xludf.DUMMYFUNCTION("""COMPUTED_VALUE"""),2.7775794340948994)</f>
        <v>2.777579434</v>
      </c>
      <c r="Y488" s="80">
        <f>IFERROR(__xludf.DUMMYFUNCTION("""COMPUTED_VALUE"""),383.2433346713545)</f>
        <v>383.2433347</v>
      </c>
      <c r="Z488" s="80">
        <f>IFERROR(__xludf.DUMMYFUNCTION("""COMPUTED_VALUE"""),0.8773342726594406)</f>
        <v>0.8773342727</v>
      </c>
      <c r="AA488" s="80">
        <f>IFERROR(__xludf.DUMMYFUNCTION("""COMPUTED_VALUE"""),0.6674082720692321)</f>
        <v>0.6674082721</v>
      </c>
      <c r="AB488" s="80">
        <f>IFERROR(__xludf.DUMMYFUNCTION("""COMPUTED_VALUE"""),1.4543677202278555)</f>
        <v>1.45436772</v>
      </c>
      <c r="AC488" s="80">
        <f>IFERROR(__xludf.DUMMYFUNCTION("""COMPUTED_VALUE"""),2.797511728313956)</f>
        <v>2.797511728</v>
      </c>
      <c r="AD488" s="80">
        <f>IFERROR(__xludf.DUMMYFUNCTION("""COMPUTED_VALUE"""),1.0178166018358268)</f>
        <v>1.017816602</v>
      </c>
      <c r="AE488" s="80">
        <f>IFERROR(__xludf.DUMMYFUNCTION("""COMPUTED_VALUE"""),1.0312624651255484)</f>
        <v>1.031262465</v>
      </c>
      <c r="AF488" s="80">
        <f>IFERROR(__xludf.DUMMYFUNCTION("""COMPUTED_VALUE"""),0.8205158229777554)</f>
        <v>0.820515823</v>
      </c>
      <c r="AG488" s="80">
        <f>IFERROR(__xludf.DUMMYFUNCTION("""COMPUTED_VALUE"""),1.0313760262535223)</f>
        <v>1.031376026</v>
      </c>
      <c r="AH488" s="80">
        <f>IFERROR(__xludf.DUMMYFUNCTION("""COMPUTED_VALUE"""),0.9957828800214609)</f>
        <v>0.99578288</v>
      </c>
      <c r="AI488" s="80">
        <f>IFERROR(__xludf.DUMMYFUNCTION("""COMPUTED_VALUE"""),0.9342545479956551)</f>
        <v>0.934254548</v>
      </c>
      <c r="AJ488" s="80">
        <f>IFERROR(__xludf.DUMMYFUNCTION("""COMPUTED_VALUE"""),0.9933268923012323)</f>
        <v>0.9933268923</v>
      </c>
      <c r="AK488" s="80">
        <f>IFERROR(__xludf.DUMMYFUNCTION("""COMPUTED_VALUE"""),0.8586866083562975)</f>
        <v>0.8586866084</v>
      </c>
      <c r="AL488" s="80">
        <f>IFERROR(__xludf.DUMMYFUNCTION("""COMPUTED_VALUE"""),0.8870331151149298)</f>
        <v>0.8870331151</v>
      </c>
      <c r="AM488" s="80">
        <f>IFERROR(__xludf.DUMMYFUNCTION("""COMPUTED_VALUE"""),0.9286377367657856)</f>
        <v>0.9286377368</v>
      </c>
      <c r="AN488" s="80">
        <f>IFERROR(__xludf.DUMMYFUNCTION("""COMPUTED_VALUE"""),1.0403494459536304)</f>
        <v>1.040349446</v>
      </c>
      <c r="AO488" s="80">
        <f>IFERROR(__xludf.DUMMYFUNCTION("""COMPUTED_VALUE"""),1.096043865916888)</f>
        <v>1.096043866</v>
      </c>
      <c r="AP488" s="80">
        <f>IFERROR(__xludf.DUMMYFUNCTION("""COMPUTED_VALUE"""),0.8439815227018662)</f>
        <v>0.8439815227</v>
      </c>
      <c r="AQ488" s="80">
        <f>IFERROR(__xludf.DUMMYFUNCTION("""COMPUTED_VALUE"""),1.0323917006379564)</f>
        <v>1.032391701</v>
      </c>
      <c r="AR488" s="80">
        <f>IFERROR(__xludf.DUMMYFUNCTION("""COMPUTED_VALUE"""),1.0248198599656984)</f>
        <v>1.02481986</v>
      </c>
      <c r="AS488" s="80">
        <f>IFERROR(__xludf.DUMMYFUNCTION("""COMPUTED_VALUE"""),111.0)</f>
        <v>111</v>
      </c>
      <c r="AT488" s="80">
        <f>IFERROR(__xludf.DUMMYFUNCTION("""COMPUTED_VALUE"""),0.5110011764544851)</f>
        <v>0.5110011765</v>
      </c>
      <c r="AU488" s="80">
        <f>IFERROR(__xludf.DUMMYFUNCTION("""COMPUTED_VALUE"""),3.2063461751951654)</f>
        <v>3.206346175</v>
      </c>
      <c r="AV488" s="80">
        <f>IFERROR(__xludf.DUMMYFUNCTION("""COMPUTED_VALUE"""),53.68196249725994)</f>
        <v>53.6819625</v>
      </c>
      <c r="AW488" s="82">
        <f t="shared" si="1"/>
        <v>2.265230898</v>
      </c>
      <c r="AX488" s="83">
        <f t="array" ref="AX488">IFERROR(DGET('SBV Import'!A:G,"SBV",{"RSC ID","Tier";B488,A488}))</f>
        <v>58.09135578</v>
      </c>
      <c r="AY488" s="82">
        <f t="shared" si="2"/>
        <v>2.68024721</v>
      </c>
      <c r="AZ488" s="82">
        <v>0.4150163125922095</v>
      </c>
      <c r="BA488" s="84">
        <v>450.0</v>
      </c>
      <c r="BB488" s="84" t="b">
        <f>IFERROR(__xludf.DUMMYFUNCTION("iferror(if(A488="""",,E488&gt;=FILTER(Constants!$F$2:$F$10,Constants!$A$2:$A$10=A488)))"),TRUE)</f>
        <v>1</v>
      </c>
    </row>
    <row r="489">
      <c r="A489" s="80" t="str">
        <f>IFERROR(__xludf.DUMMYFUNCTION("""COMPUTED_VALUE"""),"Master")</f>
        <v>Master</v>
      </c>
      <c r="B489" s="80" t="str">
        <f>IFERROR(__xludf.DUMMYFUNCTION("""COMPUTED_VALUE"""),"RSC007244")</f>
        <v>RSC007244</v>
      </c>
      <c r="C489" s="80" t="str">
        <f>IFERROR(__xludf.DUMMYFUNCTION("""COMPUTED_VALUE"""),"Joxtrot")</f>
        <v>Joxtrot</v>
      </c>
      <c r="D489" s="80" t="str">
        <f>IFERROR(__xludf.DUMMYFUNCTION("""COMPUTED_VALUE"""),"Fromunda Frauds")</f>
        <v>Fromunda Frauds</v>
      </c>
      <c r="E489" s="80">
        <f>IFERROR(__xludf.DUMMYFUNCTION("""COMPUTED_VALUE"""),44.0)</f>
        <v>44</v>
      </c>
      <c r="F489" s="80">
        <f>IFERROR(__xludf.DUMMYFUNCTION("""COMPUTED_VALUE"""),21.0)</f>
        <v>21</v>
      </c>
      <c r="G489" s="80">
        <f>IFERROR(__xludf.DUMMYFUNCTION("""COMPUTED_VALUE"""),23.0)</f>
        <v>23</v>
      </c>
      <c r="H489" s="81">
        <f>IFERROR(__xludf.DUMMYFUNCTION("""COMPUTED_VALUE"""),0.4772727272727273)</f>
        <v>0.4772727273</v>
      </c>
      <c r="I489" s="81">
        <f>IFERROR(__xludf.DUMMYFUNCTION("""COMPUTED_VALUE"""),0.33644859813084116)</f>
        <v>0.3364485981</v>
      </c>
      <c r="J489" s="80">
        <f>IFERROR(__xludf.DUMMYFUNCTION("""COMPUTED_VALUE"""),373.02272727272725)</f>
        <v>373.0227273</v>
      </c>
      <c r="K489" s="80">
        <f>IFERROR(__xludf.DUMMYFUNCTION("""COMPUTED_VALUE"""),0.8181818181818182)</f>
        <v>0.8181818182</v>
      </c>
      <c r="L489" s="80">
        <f>IFERROR(__xludf.DUMMYFUNCTION("""COMPUTED_VALUE"""),0.7272727272727273)</f>
        <v>0.7272727273</v>
      </c>
      <c r="M489" s="80">
        <f>IFERROR(__xludf.DUMMYFUNCTION("""COMPUTED_VALUE"""),1.2954545454545454)</f>
        <v>1.295454545</v>
      </c>
      <c r="N489" s="80">
        <f>IFERROR(__xludf.DUMMYFUNCTION("""COMPUTED_VALUE"""),2.4318181818181817)</f>
        <v>2.431818182</v>
      </c>
      <c r="O489" s="80">
        <f>IFERROR(__xludf.DUMMYFUNCTION("""COMPUTED_VALUE"""),389.17424242424244)</f>
        <v>389.1742424</v>
      </c>
      <c r="P489" s="80">
        <f>IFERROR(__xludf.DUMMYFUNCTION("""COMPUTED_VALUE"""),0.9090909090909093)</f>
        <v>0.9090909091</v>
      </c>
      <c r="Q489" s="80">
        <f>IFERROR(__xludf.DUMMYFUNCTION("""COMPUTED_VALUE"""),0.712121212121212)</f>
        <v>0.7121212121</v>
      </c>
      <c r="R489" s="80">
        <f>IFERROR(__xludf.DUMMYFUNCTION("""COMPUTED_VALUE"""),1.4318181818181819)</f>
        <v>1.431818182</v>
      </c>
      <c r="S489" s="80">
        <f>IFERROR(__xludf.DUMMYFUNCTION("""COMPUTED_VALUE"""),2.696969696969696)</f>
        <v>2.696969697</v>
      </c>
      <c r="T489" s="80">
        <f>IFERROR(__xludf.DUMMYFUNCTION("""COMPUTED_VALUE"""),394.3160908012658)</f>
        <v>394.3160908</v>
      </c>
      <c r="U489" s="80">
        <f>IFERROR(__xludf.DUMMYFUNCTION("""COMPUTED_VALUE"""),0.9390433247053953)</f>
        <v>0.9390433247</v>
      </c>
      <c r="V489" s="80">
        <f>IFERROR(__xludf.DUMMYFUNCTION("""COMPUTED_VALUE"""),0.6861718239737021)</f>
        <v>0.686171824</v>
      </c>
      <c r="W489" s="80">
        <f>IFERROR(__xludf.DUMMYFUNCTION("""COMPUTED_VALUE"""),1.4537679049211578)</f>
        <v>1.453767905</v>
      </c>
      <c r="X489" s="80">
        <f>IFERROR(__xludf.DUMMYFUNCTION("""COMPUTED_VALUE"""),2.874977679278381)</f>
        <v>2.874977679</v>
      </c>
      <c r="Y489" s="80">
        <f>IFERROR(__xludf.DUMMYFUNCTION("""COMPUTED_VALUE"""),382.87395539062766)</f>
        <v>382.8739554</v>
      </c>
      <c r="Z489" s="80">
        <f>IFERROR(__xludf.DUMMYFUNCTION("""COMPUTED_VALUE"""),0.855914494001265)</f>
        <v>0.855914494</v>
      </c>
      <c r="AA489" s="80">
        <f>IFERROR(__xludf.DUMMYFUNCTION("""COMPUTED_VALUE"""),0.6419966349251637)</f>
        <v>0.6419966349</v>
      </c>
      <c r="AB489" s="80">
        <f>IFERROR(__xludf.DUMMYFUNCTION("""COMPUTED_VALUE"""),1.4957563363743618)</f>
        <v>1.495756336</v>
      </c>
      <c r="AC489" s="80">
        <f>IFERROR(__xludf.DUMMYFUNCTION("""COMPUTED_VALUE"""),2.7285315069772147)</f>
        <v>2.728531507</v>
      </c>
      <c r="AD489" s="80">
        <f>IFERROR(__xludf.DUMMYFUNCTION("""COMPUTED_VALUE"""),0.9742703101655226)</f>
        <v>0.9742703102</v>
      </c>
      <c r="AE489" s="80">
        <f>IFERROR(__xludf.DUMMYFUNCTION("""COMPUTED_VALUE"""),0.9559153676168604)</f>
        <v>0.9559153676</v>
      </c>
      <c r="AF489" s="80">
        <f>IFERROR(__xludf.DUMMYFUNCTION("""COMPUTED_VALUE"""),1.132829500512108)</f>
        <v>1.132829501</v>
      </c>
      <c r="AG489" s="80">
        <f>IFERROR(__xludf.DUMMYFUNCTION("""COMPUTED_VALUE"""),0.8660866171522711)</f>
        <v>0.8660866172</v>
      </c>
      <c r="AH489" s="80">
        <f>IFERROR(__xludf.DUMMYFUNCTION("""COMPUTED_VALUE"""),0.8912553055003037)</f>
        <v>0.8912553055</v>
      </c>
      <c r="AI489" s="80">
        <f>IFERROR(__xludf.DUMMYFUNCTION("""COMPUTED_VALUE"""),0.9869600848228768)</f>
        <v>0.9869600848</v>
      </c>
      <c r="AJ489" s="80">
        <f>IFERROR(__xludf.DUMMYFUNCTION("""COMPUTED_VALUE"""),0.968103265497486)</f>
        <v>0.9681032655</v>
      </c>
      <c r="AK489" s="80">
        <f>IFERROR(__xludf.DUMMYFUNCTION("""COMPUTED_VALUE"""),1.0378176241589665)</f>
        <v>1.037817624</v>
      </c>
      <c r="AL489" s="80">
        <f>IFERROR(__xludf.DUMMYFUNCTION("""COMPUTED_VALUE"""),0.9849014942284295)</f>
        <v>0.9849014942</v>
      </c>
      <c r="AM489" s="80">
        <f>IFERROR(__xludf.DUMMYFUNCTION("""COMPUTED_VALUE"""),0.9380836993651495)</f>
        <v>0.9380836994</v>
      </c>
      <c r="AN489" s="80">
        <f>IFERROR(__xludf.DUMMYFUNCTION("""COMPUTED_VALUE"""),0.9948792944603765)</f>
        <v>0.9948792945</v>
      </c>
      <c r="AO489" s="80">
        <f>IFERROR(__xludf.DUMMYFUNCTION("""COMPUTED_VALUE"""),0.9911592854463724)</f>
        <v>0.9911592854</v>
      </c>
      <c r="AP489" s="80">
        <f>IFERROR(__xludf.DUMMYFUNCTION("""COMPUTED_VALUE"""),1.1208608364736248)</f>
        <v>1.120860836</v>
      </c>
      <c r="AQ489" s="80">
        <f>IFERROR(__xludf.DUMMYFUNCTION("""COMPUTED_VALUE"""),0.891611014187326)</f>
        <v>0.8916110142</v>
      </c>
      <c r="AR489" s="80">
        <f>IFERROR(__xludf.DUMMYFUNCTION("""COMPUTED_VALUE"""),0.8946271271728532)</f>
        <v>0.8946271272</v>
      </c>
      <c r="AS489" s="80">
        <f>IFERROR(__xludf.DUMMYFUNCTION("""COMPUTED_VALUE"""),110.0)</f>
        <v>110</v>
      </c>
      <c r="AT489" s="80">
        <f>IFERROR(__xludf.DUMMYFUNCTION("""COMPUTED_VALUE"""),0.4650896816950864)</f>
        <v>0.4650896817</v>
      </c>
      <c r="AU489" s="80">
        <f>IFERROR(__xludf.DUMMYFUNCTION("""COMPUTED_VALUE"""),3.1952862742852224)</f>
        <v>3.195286274</v>
      </c>
      <c r="AV489" s="80">
        <f>IFERROR(__xludf.DUMMYFUNCTION("""COMPUTED_VALUE"""),53.38707935922467)</f>
        <v>53.38707936</v>
      </c>
      <c r="AW489" s="82">
        <f t="shared" si="1"/>
        <v>2.241574817</v>
      </c>
      <c r="AX489" s="83">
        <f t="array" ref="AX489">IFERROR(DGET('SBV Import'!A:G,"SBV",{"RSC ID","Tier";B489,A489}))</f>
        <v>52.4273748</v>
      </c>
      <c r="AY489" s="82">
        <f t="shared" si="2"/>
        <v>2.167666963</v>
      </c>
      <c r="AZ489" s="82">
        <v>0.07390785400070632</v>
      </c>
      <c r="BA489" s="84">
        <v>450.0</v>
      </c>
      <c r="BB489" s="84" t="b">
        <f>IFERROR(__xludf.DUMMYFUNCTION("iferror(if(A489="""",,E489&gt;=FILTER(Constants!$F$2:$F$10,Constants!$A$2:$A$10=A489)))"),TRUE)</f>
        <v>1</v>
      </c>
    </row>
    <row r="490">
      <c r="A490" s="80" t="str">
        <f>IFERROR(__xludf.DUMMYFUNCTION("""COMPUTED_VALUE"""),"Master")</f>
        <v>Master</v>
      </c>
      <c r="B490" s="80" t="str">
        <f>IFERROR(__xludf.DUMMYFUNCTION("""COMPUTED_VALUE"""),"RSC000241")</f>
        <v>RSC000241</v>
      </c>
      <c r="C490" s="80" t="str">
        <f>IFERROR(__xludf.DUMMYFUNCTION("""COMPUTED_VALUE"""),"Geherpaderp")</f>
        <v>Geherpaderp</v>
      </c>
      <c r="D490" s="80" t="str">
        <f>IFERROR(__xludf.DUMMYFUNCTION("""COMPUTED_VALUE"""),"Fromunda Frauds")</f>
        <v>Fromunda Frauds</v>
      </c>
      <c r="E490" s="80">
        <f>IFERROR(__xludf.DUMMYFUNCTION("""COMPUTED_VALUE"""),38.0)</f>
        <v>38</v>
      </c>
      <c r="F490" s="80">
        <f>IFERROR(__xludf.DUMMYFUNCTION("""COMPUTED_VALUE"""),19.0)</f>
        <v>19</v>
      </c>
      <c r="G490" s="80">
        <f>IFERROR(__xludf.DUMMYFUNCTION("""COMPUTED_VALUE"""),19.0)</f>
        <v>19</v>
      </c>
      <c r="H490" s="81">
        <f>IFERROR(__xludf.DUMMYFUNCTION("""COMPUTED_VALUE"""),0.5)</f>
        <v>0.5</v>
      </c>
      <c r="I490" s="81">
        <f>IFERROR(__xludf.DUMMYFUNCTION("""COMPUTED_VALUE"""),0.3235294117647059)</f>
        <v>0.3235294118</v>
      </c>
      <c r="J490" s="80">
        <f>IFERROR(__xludf.DUMMYFUNCTION("""COMPUTED_VALUE"""),380.57894736842104)</f>
        <v>380.5789474</v>
      </c>
      <c r="K490" s="80">
        <f>IFERROR(__xludf.DUMMYFUNCTION("""COMPUTED_VALUE"""),0.868421052631579)</f>
        <v>0.8684210526</v>
      </c>
      <c r="L490" s="80">
        <f>IFERROR(__xludf.DUMMYFUNCTION("""COMPUTED_VALUE"""),0.5789473684210527)</f>
        <v>0.5789473684</v>
      </c>
      <c r="M490" s="80">
        <f>IFERROR(__xludf.DUMMYFUNCTION("""COMPUTED_VALUE"""),1.5526315789473684)</f>
        <v>1.552631579</v>
      </c>
      <c r="N490" s="80">
        <f>IFERROR(__xludf.DUMMYFUNCTION("""COMPUTED_VALUE"""),2.6842105263157894)</f>
        <v>2.684210526</v>
      </c>
      <c r="O490" s="80">
        <f>IFERROR(__xludf.DUMMYFUNCTION("""COMPUTED_VALUE"""),383.9210526315789)</f>
        <v>383.9210526</v>
      </c>
      <c r="P490" s="80">
        <f>IFERROR(__xludf.DUMMYFUNCTION("""COMPUTED_VALUE"""),0.8684210526315791)</f>
        <v>0.8684210526</v>
      </c>
      <c r="Q490" s="80">
        <f>IFERROR(__xludf.DUMMYFUNCTION("""COMPUTED_VALUE"""),0.6666666666666666)</f>
        <v>0.6666666667</v>
      </c>
      <c r="R490" s="80">
        <f>IFERROR(__xludf.DUMMYFUNCTION("""COMPUTED_VALUE"""),1.4210526315789476)</f>
        <v>1.421052632</v>
      </c>
      <c r="S490" s="80">
        <f>IFERROR(__xludf.DUMMYFUNCTION("""COMPUTED_VALUE"""),2.7105263157894726)</f>
        <v>2.710526316</v>
      </c>
      <c r="T490" s="80">
        <f>IFERROR(__xludf.DUMMYFUNCTION("""COMPUTED_VALUE"""),395.22936957491316)</f>
        <v>395.2293696</v>
      </c>
      <c r="U490" s="80">
        <f>IFERROR(__xludf.DUMMYFUNCTION("""COMPUTED_VALUE"""),0.9333458607121178)</f>
        <v>0.9333458607</v>
      </c>
      <c r="V490" s="80">
        <f>IFERROR(__xludf.DUMMYFUNCTION("""COMPUTED_VALUE"""),0.6742360710911471)</f>
        <v>0.6742360711</v>
      </c>
      <c r="W490" s="80">
        <f>IFERROR(__xludf.DUMMYFUNCTION("""COMPUTED_VALUE"""),1.4944228611375092)</f>
        <v>1.494422861</v>
      </c>
      <c r="X490" s="80">
        <f>IFERROR(__xludf.DUMMYFUNCTION("""COMPUTED_VALUE"""),2.8459293248642252)</f>
        <v>2.845929325</v>
      </c>
      <c r="Y490" s="80">
        <f>IFERROR(__xludf.DUMMYFUNCTION("""COMPUTED_VALUE"""),381.0749783941117)</f>
        <v>381.0749784</v>
      </c>
      <c r="Z490" s="80">
        <f>IFERROR(__xludf.DUMMYFUNCTION("""COMPUTED_VALUE"""),0.8461445311575707)</f>
        <v>0.8461445312</v>
      </c>
      <c r="AA490" s="80">
        <f>IFERROR(__xludf.DUMMYFUNCTION("""COMPUTED_VALUE"""),0.6428286899672482)</f>
        <v>0.64282869</v>
      </c>
      <c r="AB490" s="80">
        <f>IFERROR(__xludf.DUMMYFUNCTION("""COMPUTED_VALUE"""),1.4750516732691974)</f>
        <v>1.475051673</v>
      </c>
      <c r="AC490" s="80">
        <f>IFERROR(__xludf.DUMMYFUNCTION("""COMPUTED_VALUE"""),2.7581024211961958)</f>
        <v>2.758102421</v>
      </c>
      <c r="AD490" s="80">
        <f>IFERROR(__xludf.DUMMYFUNCTION("""COMPUTED_VALUE"""),0.9986983374563688)</f>
        <v>0.9986983375</v>
      </c>
      <c r="AE490" s="80">
        <f>IFERROR(__xludf.DUMMYFUNCTION("""COMPUTED_VALUE"""),1.0263270879308677)</f>
        <v>1.026327088</v>
      </c>
      <c r="AF490" s="80">
        <f>IFERROR(__xludf.DUMMYFUNCTION("""COMPUTED_VALUE"""),0.9006246570148413)</f>
        <v>0.900624657</v>
      </c>
      <c r="AG490" s="80">
        <f>IFERROR(__xludf.DUMMYFUNCTION("""COMPUTED_VALUE"""),1.0525947036867045)</f>
        <v>1.052594704</v>
      </c>
      <c r="AH490" s="80">
        <f>IFERROR(__xludf.DUMMYFUNCTION("""COMPUTED_VALUE"""),0.9732091548477162)</f>
        <v>0.9732091548</v>
      </c>
      <c r="AI490" s="80">
        <f>IFERROR(__xludf.DUMMYFUNCTION("""COMPUTED_VALUE"""),0.9713879640182185)</f>
        <v>0.971387964</v>
      </c>
      <c r="AJ490" s="80">
        <f>IFERROR(__xludf.DUMMYFUNCTION("""COMPUTED_VALUE"""),0.9304386392939025)</f>
        <v>0.9304386393</v>
      </c>
      <c r="AK490" s="80">
        <f>IFERROR(__xludf.DUMMYFUNCTION("""COMPUTED_VALUE"""),0.9887733618104552)</f>
        <v>0.9887733618</v>
      </c>
      <c r="AL490" s="80">
        <f>IFERROR(__xludf.DUMMYFUNCTION("""COMPUTED_VALUE"""),0.9509039700431814)</f>
        <v>0.95090397</v>
      </c>
      <c r="AM490" s="80">
        <f>IFERROR(__xludf.DUMMYFUNCTION("""COMPUTED_VALUE"""),0.9524222165702543)</f>
        <v>0.9524222166</v>
      </c>
      <c r="AN490" s="80">
        <f>IFERROR(__xludf.DUMMYFUNCTION("""COMPUTED_VALUE"""),1.0150322941785275)</f>
        <v>1.015032294</v>
      </c>
      <c r="AO490" s="80">
        <f>IFERROR(__xludf.DUMMYFUNCTION("""COMPUTED_VALUE"""),1.0520199433246584)</f>
        <v>1.052019943</v>
      </c>
      <c r="AP490" s="80">
        <f>IFERROR(__xludf.DUMMYFUNCTION("""COMPUTED_VALUE"""),0.8922642185086092)</f>
        <v>0.8922642185</v>
      </c>
      <c r="AQ490" s="80">
        <f>IFERROR(__xludf.DUMMYFUNCTION("""COMPUTED_VALUE"""),1.0686159708357794)</f>
        <v>1.068615971</v>
      </c>
      <c r="AR490" s="80">
        <f>IFERROR(__xludf.DUMMYFUNCTION("""COMPUTED_VALUE"""),0.9874782456349644)</f>
        <v>0.9874782456</v>
      </c>
      <c r="AS490" s="80">
        <f>IFERROR(__xludf.DUMMYFUNCTION("""COMPUTED_VALUE"""),96.0)</f>
        <v>96</v>
      </c>
      <c r="AT490" s="80">
        <f>IFERROR(__xludf.DUMMYFUNCTION("""COMPUTED_VALUE"""),0.48770169239075567)</f>
        <v>0.4877016924</v>
      </c>
      <c r="AU490" s="80">
        <f>IFERROR(__xludf.DUMMYFUNCTION("""COMPUTED_VALUE"""),3.157112591979554)</f>
        <v>3.157112592</v>
      </c>
      <c r="AV490" s="80">
        <f>IFERROR(__xludf.DUMMYFUNCTION("""COMPUTED_VALUE"""),52.36927862842998)</f>
        <v>52.36927863</v>
      </c>
      <c r="AW490" s="82">
        <f t="shared" si="1"/>
        <v>2.163339471</v>
      </c>
      <c r="AX490" s="83">
        <f t="array" ref="AX490">IFERROR(DGET('SBV Import'!A:G,"SBV",{"RSC ID","Tier";B490,A490}))</f>
        <v>52.76142222</v>
      </c>
      <c r="AY490" s="82">
        <f t="shared" si="2"/>
        <v>2.192869354</v>
      </c>
      <c r="AZ490" s="82">
        <v>0.0295298829389381</v>
      </c>
      <c r="BA490" s="84">
        <v>450.0</v>
      </c>
      <c r="BB490" s="84" t="b">
        <f>IFERROR(__xludf.DUMMYFUNCTION("iferror(if(A490="""",,E490&gt;=FILTER(Constants!$F$2:$F$10,Constants!$A$2:$A$10=A490)))"),TRUE)</f>
        <v>1</v>
      </c>
    </row>
    <row r="491">
      <c r="A491" s="80" t="str">
        <f>IFERROR(__xludf.DUMMYFUNCTION("""COMPUTED_VALUE"""),"Master")</f>
        <v>Master</v>
      </c>
      <c r="B491" s="80" t="str">
        <f>IFERROR(__xludf.DUMMYFUNCTION("""COMPUTED_VALUE"""),"RSC002944")</f>
        <v>RSC002944</v>
      </c>
      <c r="C491" s="80" t="str">
        <f>IFERROR(__xludf.DUMMYFUNCTION("""COMPUTED_VALUE"""),"PayloSoul")</f>
        <v>PayloSoul</v>
      </c>
      <c r="D491" s="80"/>
      <c r="E491" s="80">
        <f>IFERROR(__xludf.DUMMYFUNCTION("""COMPUTED_VALUE"""),26.0)</f>
        <v>26</v>
      </c>
      <c r="F491" s="80">
        <f>IFERROR(__xludf.DUMMYFUNCTION("""COMPUTED_VALUE"""),7.0)</f>
        <v>7</v>
      </c>
      <c r="G491" s="80">
        <f>IFERROR(__xludf.DUMMYFUNCTION("""COMPUTED_VALUE"""),19.0)</f>
        <v>19</v>
      </c>
      <c r="H491" s="81">
        <f>IFERROR(__xludf.DUMMYFUNCTION("""COMPUTED_VALUE"""),0.2692307692307692)</f>
        <v>0.2692307692</v>
      </c>
      <c r="I491" s="81">
        <f>IFERROR(__xludf.DUMMYFUNCTION("""COMPUTED_VALUE"""),0.30136986301369867)</f>
        <v>0.301369863</v>
      </c>
      <c r="J491" s="80">
        <f>IFERROR(__xludf.DUMMYFUNCTION("""COMPUTED_VALUE"""),394.38461538461536)</f>
        <v>394.3846154</v>
      </c>
      <c r="K491" s="80">
        <f>IFERROR(__xludf.DUMMYFUNCTION("""COMPUTED_VALUE"""),0.8461538461538461)</f>
        <v>0.8461538462</v>
      </c>
      <c r="L491" s="80">
        <f>IFERROR(__xludf.DUMMYFUNCTION("""COMPUTED_VALUE"""),0.6538461538461539)</f>
        <v>0.6538461538</v>
      </c>
      <c r="M491" s="80">
        <f>IFERROR(__xludf.DUMMYFUNCTION("""COMPUTED_VALUE"""),1.6538461538461537)</f>
        <v>1.653846154</v>
      </c>
      <c r="N491" s="80">
        <f>IFERROR(__xludf.DUMMYFUNCTION("""COMPUTED_VALUE"""),2.8076923076923075)</f>
        <v>2.807692308</v>
      </c>
      <c r="O491" s="80">
        <f>IFERROR(__xludf.DUMMYFUNCTION("""COMPUTED_VALUE"""),426.8461538461539)</f>
        <v>426.8461538</v>
      </c>
      <c r="P491" s="80">
        <f>IFERROR(__xludf.DUMMYFUNCTION("""COMPUTED_VALUE"""),1.128205128205128)</f>
        <v>1.128205128</v>
      </c>
      <c r="Q491" s="80">
        <f>IFERROR(__xludf.DUMMYFUNCTION("""COMPUTED_VALUE"""),0.8717948717948718)</f>
        <v>0.8717948718</v>
      </c>
      <c r="R491" s="80">
        <f>IFERROR(__xludf.DUMMYFUNCTION("""COMPUTED_VALUE"""),1.4871794871794868)</f>
        <v>1.487179487</v>
      </c>
      <c r="S491" s="80">
        <f>IFERROR(__xludf.DUMMYFUNCTION("""COMPUTED_VALUE"""),3.2179487179487176)</f>
        <v>3.217948718</v>
      </c>
      <c r="T491" s="80">
        <f>IFERROR(__xludf.DUMMYFUNCTION("""COMPUTED_VALUE"""),396.62371044516027)</f>
        <v>396.6237104</v>
      </c>
      <c r="U491" s="80">
        <f>IFERROR(__xludf.DUMMYFUNCTION("""COMPUTED_VALUE"""),0.927591532935119)</f>
        <v>0.9275915329</v>
      </c>
      <c r="V491" s="80">
        <f>IFERROR(__xludf.DUMMYFUNCTION("""COMPUTED_VALUE"""),0.6917781777899114)</f>
        <v>0.6917781778</v>
      </c>
      <c r="W491" s="80">
        <f>IFERROR(__xludf.DUMMYFUNCTION("""COMPUTED_VALUE"""),1.4608915794245616)</f>
        <v>1.460891579</v>
      </c>
      <c r="X491" s="80">
        <f>IFERROR(__xludf.DUMMYFUNCTION("""COMPUTED_VALUE"""),2.960825923027729)</f>
        <v>2.960825923</v>
      </c>
      <c r="Y491" s="80">
        <f>IFERROR(__xludf.DUMMYFUNCTION("""COMPUTED_VALUE"""),378.3868720563323)</f>
        <v>378.3868721</v>
      </c>
      <c r="Z491" s="80">
        <f>IFERROR(__xludf.DUMMYFUNCTION("""COMPUTED_VALUE"""),0.8269008051435319)</f>
        <v>0.8269008051</v>
      </c>
      <c r="AA491" s="80">
        <f>IFERROR(__xludf.DUMMYFUNCTION("""COMPUTED_VALUE"""),0.6257797853413324)</f>
        <v>0.6257797853</v>
      </c>
      <c r="AB491" s="80">
        <f>IFERROR(__xludf.DUMMYFUNCTION("""COMPUTED_VALUE"""),1.5165207901258198)</f>
        <v>1.51652079</v>
      </c>
      <c r="AC491" s="80">
        <f>IFERROR(__xludf.DUMMYFUNCTION("""COMPUTED_VALUE"""),2.703592159307246)</f>
        <v>2.703592159</v>
      </c>
      <c r="AD491" s="80">
        <f>IFERROR(__xludf.DUMMYFUNCTION("""COMPUTED_VALUE"""),1.0422788011680844)</f>
        <v>1.042278801</v>
      </c>
      <c r="AE491" s="80">
        <f>IFERROR(__xludf.DUMMYFUNCTION("""COMPUTED_VALUE"""),1.0232833743667384)</f>
        <v>1.023283374</v>
      </c>
      <c r="AF491" s="80">
        <f>IFERROR(__xludf.DUMMYFUNCTION("""COMPUTED_VALUE"""),1.044850231922261)</f>
        <v>1.044850232</v>
      </c>
      <c r="AG491" s="80">
        <f>IFERROR(__xludf.DUMMYFUNCTION("""COMPUTED_VALUE"""),1.090552905449414)</f>
        <v>1.090552905</v>
      </c>
      <c r="AH491" s="80">
        <f>IFERROR(__xludf.DUMMYFUNCTION("""COMPUTED_VALUE"""),1.0385043831506509)</f>
        <v>1.038504383</v>
      </c>
      <c r="AI491" s="80">
        <f>IFERROR(__xludf.DUMMYFUNCTION("""COMPUTED_VALUE"""),1.0761992856329057)</f>
        <v>1.076199286</v>
      </c>
      <c r="AJ491" s="80">
        <f>IFERROR(__xludf.DUMMYFUNCTION("""COMPUTED_VALUE"""),1.2162736378535282)</f>
        <v>1.216273638</v>
      </c>
      <c r="AK491" s="80">
        <f>IFERROR(__xludf.DUMMYFUNCTION("""COMPUTED_VALUE"""),1.2602231463560714)</f>
        <v>1.260223146</v>
      </c>
      <c r="AL491" s="80">
        <f>IFERROR(__xludf.DUMMYFUNCTION("""COMPUTED_VALUE"""),1.0179944275983026)</f>
        <v>1.017994428</v>
      </c>
      <c r="AM491" s="80">
        <f>IFERROR(__xludf.DUMMYFUNCTION("""COMPUTED_VALUE"""),1.0868415778588076)</f>
        <v>1.086841578</v>
      </c>
      <c r="AN491" s="80">
        <f>IFERROR(__xludf.DUMMYFUNCTION("""COMPUTED_VALUE"""),1.0518530352522035)</f>
        <v>1.051853035</v>
      </c>
      <c r="AO491" s="80">
        <f>IFERROR(__xludf.DUMMYFUNCTION("""COMPUTED_VALUE"""),1.0250450729830005)</f>
        <v>1.025045073</v>
      </c>
      <c r="AP491" s="80">
        <f>IFERROR(__xludf.DUMMYFUNCTION("""COMPUTED_VALUE"""),1.0076970020219607)</f>
        <v>1.007697002</v>
      </c>
      <c r="AQ491" s="80">
        <f>IFERROR(__xludf.DUMMYFUNCTION("""COMPUTED_VALUE"""),1.1382780289085161)</f>
        <v>1.138278029</v>
      </c>
      <c r="AR491" s="80">
        <f>IFERROR(__xludf.DUMMYFUNCTION("""COMPUTED_VALUE"""),1.03290522375241)</f>
        <v>1.032905224</v>
      </c>
      <c r="AS491" s="80">
        <f>IFERROR(__xludf.DUMMYFUNCTION("""COMPUTED_VALUE"""),62.0)</f>
        <v>62</v>
      </c>
      <c r="AT491" s="80">
        <f>IFERROR(__xludf.DUMMYFUNCTION("""COMPUTED_VALUE"""),0.3591377365275556)</f>
        <v>0.3591377365</v>
      </c>
      <c r="AU491" s="80">
        <f>IFERROR(__xludf.DUMMYFUNCTION("""COMPUTED_VALUE"""),3.1351090506776487)</f>
        <v>3.135109051</v>
      </c>
      <c r="AV491" s="80">
        <f>IFERROR(__xludf.DUMMYFUNCTION("""COMPUTED_VALUE"""),51.78261213296787)</f>
        <v>51.78261213</v>
      </c>
      <c r="AW491" s="82">
        <f t="shared" si="1"/>
        <v>2.120541266</v>
      </c>
      <c r="AX491" s="83">
        <f t="array" ref="AX491">IFERROR(DGET('SBV Import'!A:G,"SBV",{"RSC ID","Tier";B491,A491}))</f>
        <v>45.69224418</v>
      </c>
      <c r="AY491" s="82">
        <f t="shared" si="2"/>
        <v>-2.316977219</v>
      </c>
      <c r="AZ491" s="82">
        <v>4.437518485220862</v>
      </c>
      <c r="BA491" s="84">
        <v>450.0</v>
      </c>
      <c r="BB491" s="84" t="b">
        <f>IFERROR(__xludf.DUMMYFUNCTION("iferror(if(A491="""",,E491&gt;=FILTER(Constants!$F$2:$F$10,Constants!$A$2:$A$10=A491)))"),TRUE)</f>
        <v>1</v>
      </c>
    </row>
    <row r="492">
      <c r="A492" s="80" t="str">
        <f>IFERROR(__xludf.DUMMYFUNCTION("""COMPUTED_VALUE"""),"Master")</f>
        <v>Master</v>
      </c>
      <c r="B492" s="80" t="str">
        <f>IFERROR(__xludf.DUMMYFUNCTION("""COMPUTED_VALUE"""),"RSC002888")</f>
        <v>RSC002888</v>
      </c>
      <c r="C492" s="80" t="str">
        <f>IFERROR(__xludf.DUMMYFUNCTION("""COMPUTED_VALUE"""),"kri0s")</f>
        <v>kri0s</v>
      </c>
      <c r="D492" s="80" t="str">
        <f>IFERROR(__xludf.DUMMYFUNCTION("""COMPUTED_VALUE"""),"Basilisks")</f>
        <v>Basilisks</v>
      </c>
      <c r="E492" s="80">
        <f>IFERROR(__xludf.DUMMYFUNCTION("""COMPUTED_VALUE"""),45.0)</f>
        <v>45</v>
      </c>
      <c r="F492" s="80">
        <f>IFERROR(__xludf.DUMMYFUNCTION("""COMPUTED_VALUE"""),27.0)</f>
        <v>27</v>
      </c>
      <c r="G492" s="80">
        <f>IFERROR(__xludf.DUMMYFUNCTION("""COMPUTED_VALUE"""),18.0)</f>
        <v>18</v>
      </c>
      <c r="H492" s="81">
        <f>IFERROR(__xludf.DUMMYFUNCTION("""COMPUTED_VALUE"""),0.6)</f>
        <v>0.6</v>
      </c>
      <c r="I492" s="81">
        <f>IFERROR(__xludf.DUMMYFUNCTION("""COMPUTED_VALUE"""),0.2920353982300885)</f>
        <v>0.2920353982</v>
      </c>
      <c r="J492" s="80">
        <f>IFERROR(__xludf.DUMMYFUNCTION("""COMPUTED_VALUE"""),383.9555555555556)</f>
        <v>383.9555556</v>
      </c>
      <c r="K492" s="80">
        <f>IFERROR(__xludf.DUMMYFUNCTION("""COMPUTED_VALUE"""),0.7333333333333333)</f>
        <v>0.7333333333</v>
      </c>
      <c r="L492" s="80">
        <f>IFERROR(__xludf.DUMMYFUNCTION("""COMPUTED_VALUE"""),0.7555555555555555)</f>
        <v>0.7555555556</v>
      </c>
      <c r="M492" s="80">
        <f>IFERROR(__xludf.DUMMYFUNCTION("""COMPUTED_VALUE"""),1.6666666666666667)</f>
        <v>1.666666667</v>
      </c>
      <c r="N492" s="80">
        <f>IFERROR(__xludf.DUMMYFUNCTION("""COMPUTED_VALUE"""),2.511111111111111)</f>
        <v>2.511111111</v>
      </c>
      <c r="O492" s="80">
        <f>IFERROR(__xludf.DUMMYFUNCTION("""COMPUTED_VALUE"""),364.08148148148143)</f>
        <v>364.0814815</v>
      </c>
      <c r="P492" s="80">
        <f>IFERROR(__xludf.DUMMYFUNCTION("""COMPUTED_VALUE"""),0.7703703703703705)</f>
        <v>0.7703703704</v>
      </c>
      <c r="Q492" s="80">
        <f>IFERROR(__xludf.DUMMYFUNCTION("""COMPUTED_VALUE"""),0.651851851851852)</f>
        <v>0.6518518519</v>
      </c>
      <c r="R492" s="80">
        <f>IFERROR(__xludf.DUMMYFUNCTION("""COMPUTED_VALUE"""),1.3555555555555556)</f>
        <v>1.355555556</v>
      </c>
      <c r="S492" s="80">
        <f>IFERROR(__xludf.DUMMYFUNCTION("""COMPUTED_VALUE"""),3.0814814814814806)</f>
        <v>3.081481481</v>
      </c>
      <c r="T492" s="80">
        <f>IFERROR(__xludf.DUMMYFUNCTION("""COMPUTED_VALUE"""),386.4548090443846)</f>
        <v>386.454809</v>
      </c>
      <c r="U492" s="80">
        <f>IFERROR(__xludf.DUMMYFUNCTION("""COMPUTED_VALUE"""),0.8692580940556996)</f>
        <v>0.8692580941</v>
      </c>
      <c r="V492" s="80">
        <f>IFERROR(__xludf.DUMMYFUNCTION("""COMPUTED_VALUE"""),0.675347808377584)</f>
        <v>0.6753478084</v>
      </c>
      <c r="W492" s="80">
        <f>IFERROR(__xludf.DUMMYFUNCTION("""COMPUTED_VALUE"""),1.4958591072202156)</f>
        <v>1.495859107</v>
      </c>
      <c r="X492" s="80">
        <f>IFERROR(__xludf.DUMMYFUNCTION("""COMPUTED_VALUE"""),2.8602613701887614)</f>
        <v>2.86026137</v>
      </c>
      <c r="Y492" s="80">
        <f>IFERROR(__xludf.DUMMYFUNCTION("""COMPUTED_VALUE"""),391.63239295971437)</f>
        <v>391.632393</v>
      </c>
      <c r="Z492" s="80">
        <f>IFERROR(__xludf.DUMMYFUNCTION("""COMPUTED_VALUE"""),0.895970135524459)</f>
        <v>0.8959701355</v>
      </c>
      <c r="AA492" s="80">
        <f>IFERROR(__xludf.DUMMYFUNCTION("""COMPUTED_VALUE"""),0.6807959313467655)</f>
        <v>0.6807959313</v>
      </c>
      <c r="AB492" s="80">
        <f>IFERROR(__xludf.DUMMYFUNCTION("""COMPUTED_VALUE"""),1.5133699054088223)</f>
        <v>1.513369905</v>
      </c>
      <c r="AC492" s="80">
        <f>IFERROR(__xludf.DUMMYFUNCTION("""COMPUTED_VALUE"""),2.8578782134931373)</f>
        <v>2.857878213</v>
      </c>
      <c r="AD492" s="80">
        <f>IFERROR(__xludf.DUMMYFUNCTION("""COMPUTED_VALUE"""),0.9803978487424342)</f>
        <v>0.9803978487</v>
      </c>
      <c r="AE492" s="80">
        <f>IFERROR(__xludf.DUMMYFUNCTION("""COMPUTED_VALUE"""),0.8184796616062144)</f>
        <v>0.8184796616</v>
      </c>
      <c r="AF492" s="80">
        <f>IFERROR(__xludf.DUMMYFUNCTION("""COMPUTED_VALUE"""),1.1098120901822943)</f>
        <v>1.10981209</v>
      </c>
      <c r="AG492" s="80">
        <f>IFERROR(__xludf.DUMMYFUNCTION("""COMPUTED_VALUE"""),1.1012949713813907)</f>
        <v>1.101294971</v>
      </c>
      <c r="AH492" s="80">
        <f>IFERROR(__xludf.DUMMYFUNCTION("""COMPUTED_VALUE"""),0.8786627433090725)</f>
        <v>0.8786627433</v>
      </c>
      <c r="AI492" s="80">
        <f>IFERROR(__xludf.DUMMYFUNCTION("""COMPUTED_VALUE"""),0.9421062255164392)</f>
        <v>0.9421062255</v>
      </c>
      <c r="AJ492" s="80">
        <f>IFERROR(__xludf.DUMMYFUNCTION("""COMPUTED_VALUE"""),0.8862389382836248)</f>
        <v>0.8862389383</v>
      </c>
      <c r="AK492" s="80">
        <f>IFERROR(__xludf.DUMMYFUNCTION("""COMPUTED_VALUE"""),0.9652091022814195)</f>
        <v>0.9652091023</v>
      </c>
      <c r="AL492" s="80">
        <f>IFERROR(__xludf.DUMMYFUNCTION("""COMPUTED_VALUE"""),0.9062053698858117)</f>
        <v>0.9062053699</v>
      </c>
      <c r="AM492" s="80">
        <f>IFERROR(__xludf.DUMMYFUNCTION("""COMPUTED_VALUE"""),1.0773426210619765)</f>
        <v>1.077342621</v>
      </c>
      <c r="AN492" s="80">
        <f>IFERROR(__xludf.DUMMYFUNCTION("""COMPUTED_VALUE"""),1.0240379587809136)</f>
        <v>1.024037959</v>
      </c>
      <c r="AO492" s="80">
        <f>IFERROR(__xludf.DUMMYFUNCTION("""COMPUTED_VALUE"""),0.888372396585267)</f>
        <v>0.8883723966</v>
      </c>
      <c r="AP492" s="80">
        <f>IFERROR(__xludf.DUMMYFUNCTION("""COMPUTED_VALUE"""),1.1644498690031544)</f>
        <v>1.164449869</v>
      </c>
      <c r="AQ492" s="80">
        <f>IFERROR(__xludf.DUMMYFUNCTION("""COMPUTED_VALUE"""),1.1471018895977294)</f>
        <v>1.14710189</v>
      </c>
      <c r="AR492" s="80">
        <f>IFERROR(__xludf.DUMMYFUNCTION("""COMPUTED_VALUE"""),0.923797731319507)</f>
        <v>0.9237977313</v>
      </c>
      <c r="AS492" s="80">
        <f>IFERROR(__xludf.DUMMYFUNCTION("""COMPUTED_VALUE"""),126.0)</f>
        <v>126</v>
      </c>
      <c r="AT492" s="80">
        <f>IFERROR(__xludf.DUMMYFUNCTION("""COMPUTED_VALUE"""),0.5760252138628539)</f>
        <v>0.5760252139</v>
      </c>
      <c r="AU492" s="80">
        <f>IFERROR(__xludf.DUMMYFUNCTION("""COMPUTED_VALUE"""),3.116413218582775)</f>
        <v>3.116413219</v>
      </c>
      <c r="AV492" s="80">
        <f>IFERROR(__xludf.DUMMYFUNCTION("""COMPUTED_VALUE"""),51.28413699460922)</f>
        <v>51.28413699</v>
      </c>
      <c r="AW492" s="82">
        <f t="shared" si="1"/>
        <v>2.085431165</v>
      </c>
      <c r="AX492" s="83">
        <f t="array" ref="AX492">IFERROR(DGET('SBV Import'!A:G,"SBV",{"RSC ID","Tier";B492,A492}))</f>
        <v>43.91167104</v>
      </c>
      <c r="AY492" s="82">
        <f t="shared" si="2"/>
        <v>-2.476496803</v>
      </c>
      <c r="AZ492" s="82">
        <v>4.561927967612046</v>
      </c>
      <c r="BA492" s="84">
        <v>450.0</v>
      </c>
      <c r="BB492" s="84" t="b">
        <f>IFERROR(__xludf.DUMMYFUNCTION("iferror(if(A492="""",,E492&gt;=FILTER(Constants!$F$2:$F$10,Constants!$A$2:$A$10=A492)))"),TRUE)</f>
        <v>1</v>
      </c>
    </row>
    <row r="493">
      <c r="A493" s="80" t="str">
        <f>IFERROR(__xludf.DUMMYFUNCTION("""COMPUTED_VALUE"""),"Master")</f>
        <v>Master</v>
      </c>
      <c r="B493" s="80" t="str">
        <f>IFERROR(__xludf.DUMMYFUNCTION("""COMPUTED_VALUE"""),"RSC000839")</f>
        <v>RSC000839</v>
      </c>
      <c r="C493" s="80" t="str">
        <f>IFERROR(__xludf.DUMMYFUNCTION("""COMPUTED_VALUE"""),"p0larbear")</f>
        <v>p0larbear</v>
      </c>
      <c r="D493" s="80" t="str">
        <f>IFERROR(__xludf.DUMMYFUNCTION("""COMPUTED_VALUE"""),"Heinous Henchmen")</f>
        <v>Heinous Henchmen</v>
      </c>
      <c r="E493" s="80">
        <f>IFERROR(__xludf.DUMMYFUNCTION("""COMPUTED_VALUE"""),40.0)</f>
        <v>40</v>
      </c>
      <c r="F493" s="80">
        <f>IFERROR(__xludf.DUMMYFUNCTION("""COMPUTED_VALUE"""),15.0)</f>
        <v>15</v>
      </c>
      <c r="G493" s="80">
        <f>IFERROR(__xludf.DUMMYFUNCTION("""COMPUTED_VALUE"""),25.0)</f>
        <v>25</v>
      </c>
      <c r="H493" s="81">
        <f>IFERROR(__xludf.DUMMYFUNCTION("""COMPUTED_VALUE"""),0.375)</f>
        <v>0.375</v>
      </c>
      <c r="I493" s="81">
        <f>IFERROR(__xludf.DUMMYFUNCTION("""COMPUTED_VALUE"""),0.28971962616822433)</f>
        <v>0.2897196262</v>
      </c>
      <c r="J493" s="80">
        <f>IFERROR(__xludf.DUMMYFUNCTION("""COMPUTED_VALUE"""),376.75)</f>
        <v>376.75</v>
      </c>
      <c r="K493" s="80">
        <f>IFERROR(__xludf.DUMMYFUNCTION("""COMPUTED_VALUE"""),0.775)</f>
        <v>0.775</v>
      </c>
      <c r="L493" s="80">
        <f>IFERROR(__xludf.DUMMYFUNCTION("""COMPUTED_VALUE"""),0.75)</f>
        <v>0.75</v>
      </c>
      <c r="M493" s="80">
        <f>IFERROR(__xludf.DUMMYFUNCTION("""COMPUTED_VALUE"""),1.45)</f>
        <v>1.45</v>
      </c>
      <c r="N493" s="80">
        <f>IFERROR(__xludf.DUMMYFUNCTION("""COMPUTED_VALUE"""),2.675)</f>
        <v>2.675</v>
      </c>
      <c r="O493" s="80">
        <f>IFERROR(__xludf.DUMMYFUNCTION("""COMPUTED_VALUE"""),391.08333333333337)</f>
        <v>391.0833333</v>
      </c>
      <c r="P493" s="80">
        <f>IFERROR(__xludf.DUMMYFUNCTION("""COMPUTED_VALUE"""),0.925)</f>
        <v>0.925</v>
      </c>
      <c r="Q493" s="80">
        <f>IFERROR(__xludf.DUMMYFUNCTION("""COMPUTED_VALUE"""),0.7333333333333334)</f>
        <v>0.7333333333</v>
      </c>
      <c r="R493" s="80">
        <f>IFERROR(__xludf.DUMMYFUNCTION("""COMPUTED_VALUE"""),1.3666666666666667)</f>
        <v>1.366666667</v>
      </c>
      <c r="S493" s="80">
        <f>IFERROR(__xludf.DUMMYFUNCTION("""COMPUTED_VALUE"""),3.05)</f>
        <v>3.05</v>
      </c>
      <c r="T493" s="80">
        <f>IFERROR(__xludf.DUMMYFUNCTION("""COMPUTED_VALUE"""),383.31288798814876)</f>
        <v>383.312888</v>
      </c>
      <c r="U493" s="80">
        <f>IFERROR(__xludf.DUMMYFUNCTION("""COMPUTED_VALUE"""),0.8782848227352431)</f>
        <v>0.8782848227</v>
      </c>
      <c r="V493" s="80">
        <f>IFERROR(__xludf.DUMMYFUNCTION("""COMPUTED_VALUE"""),0.681921061289428)</f>
        <v>0.6819210613</v>
      </c>
      <c r="W493" s="80">
        <f>IFERROR(__xludf.DUMMYFUNCTION("""COMPUTED_VALUE"""),1.4345096303517424)</f>
        <v>1.43450963</v>
      </c>
      <c r="X493" s="80">
        <f>IFERROR(__xludf.DUMMYFUNCTION("""COMPUTED_VALUE"""),2.7653655151298855)</f>
        <v>2.765365515</v>
      </c>
      <c r="Y493" s="80">
        <f>IFERROR(__xludf.DUMMYFUNCTION("""COMPUTED_VALUE"""),383.0753583058774)</f>
        <v>383.0753583</v>
      </c>
      <c r="Z493" s="80">
        <f>IFERROR(__xludf.DUMMYFUNCTION("""COMPUTED_VALUE"""),0.8812243902254918)</f>
        <v>0.8812243902</v>
      </c>
      <c r="AA493" s="80">
        <f>IFERROR(__xludf.DUMMYFUNCTION("""COMPUTED_VALUE"""),0.6801460903872945)</f>
        <v>0.6801460904</v>
      </c>
      <c r="AB493" s="80">
        <f>IFERROR(__xludf.DUMMYFUNCTION("""COMPUTED_VALUE"""),1.4403686431791975)</f>
        <v>1.440368643</v>
      </c>
      <c r="AC493" s="80">
        <f>IFERROR(__xludf.DUMMYFUNCTION("""COMPUTED_VALUE"""),2.802875228041245)</f>
        <v>2.802875228</v>
      </c>
      <c r="AD493" s="80">
        <f>IFERROR(__xludf.DUMMYFUNCTION("""COMPUTED_VALUE"""),0.9834879530391858)</f>
        <v>0.983487953</v>
      </c>
      <c r="AE493" s="80">
        <f>IFERROR(__xludf.DUMMYFUNCTION("""COMPUTED_VALUE"""),0.8794581818164263)</f>
        <v>0.8794581818</v>
      </c>
      <c r="AF493" s="80">
        <f>IFERROR(__xludf.DUMMYFUNCTION("""COMPUTED_VALUE"""),1.102704272802522)</f>
        <v>1.102704273</v>
      </c>
      <c r="AG493" s="80">
        <f>IFERROR(__xludf.DUMMYFUNCTION("""COMPUTED_VALUE"""),1.0066867304189182)</f>
        <v>1.00668673</v>
      </c>
      <c r="AH493" s="80">
        <f>IFERROR(__xludf.DUMMYFUNCTION("""COMPUTED_VALUE"""),0.9543771243322133)</f>
        <v>0.9543771243</v>
      </c>
      <c r="AI493" s="80">
        <f>IFERROR(__xludf.DUMMYFUNCTION("""COMPUTED_VALUE"""),1.0202718081981759)</f>
        <v>1.020271808</v>
      </c>
      <c r="AJ493" s="80">
        <f>IFERROR(__xludf.DUMMYFUNCTION("""COMPUTED_VALUE"""),1.053189097722618)</f>
        <v>1.053189098</v>
      </c>
      <c r="AK493" s="80">
        <f>IFERROR(__xludf.DUMMYFUNCTION("""COMPUTED_VALUE"""),1.0753932895791358)</f>
        <v>1.07539329</v>
      </c>
      <c r="AL493" s="80">
        <f>IFERROR(__xludf.DUMMYFUNCTION("""COMPUTED_VALUE"""),0.9527065122118138)</f>
        <v>0.9527065122</v>
      </c>
      <c r="AM493" s="80">
        <f>IFERROR(__xludf.DUMMYFUNCTION("""COMPUTED_VALUE"""),1.1029283410503314)</f>
        <v>1.102928341</v>
      </c>
      <c r="AN493" s="80">
        <f>IFERROR(__xludf.DUMMYFUNCTION("""COMPUTED_VALUE"""),1.0048202074130057)</f>
        <v>1.004820207</v>
      </c>
      <c r="AO493" s="80">
        <f>IFERROR(__xludf.DUMMYFUNCTION("""COMPUTED_VALUE"""),0.9388481009367028)</f>
        <v>0.9388481009</v>
      </c>
      <c r="AP493" s="80">
        <f>IFERROR(__xludf.DUMMYFUNCTION("""COMPUTED_VALUE"""),1.1558877376134253)</f>
        <v>1.155887738</v>
      </c>
      <c r="AQ493" s="80">
        <f>IFERROR(__xludf.DUMMYFUNCTION("""COMPUTED_VALUE"""),0.9979786439500246)</f>
        <v>0.997978644</v>
      </c>
      <c r="AR493" s="80">
        <f>IFERROR(__xludf.DUMMYFUNCTION("""COMPUTED_VALUE"""),0.9840898398901385)</f>
        <v>0.9840898399</v>
      </c>
      <c r="AS493" s="80">
        <f>IFERROR(__xludf.DUMMYFUNCTION("""COMPUTED_VALUE"""),92.0)</f>
        <v>92</v>
      </c>
      <c r="AT493" s="80">
        <f>IFERROR(__xludf.DUMMYFUNCTION("""COMPUTED_VALUE"""),0.4257431017281794)</f>
        <v>0.4257431017</v>
      </c>
      <c r="AU493" s="80">
        <f>IFERROR(__xludf.DUMMYFUNCTION("""COMPUTED_VALUE"""),3.110360230871542)</f>
        <v>3.110360231</v>
      </c>
      <c r="AV493" s="80">
        <f>IFERROR(__xludf.DUMMYFUNCTION("""COMPUTED_VALUE"""),51.12275001426361)</f>
        <v>51.12275001</v>
      </c>
      <c r="AW493" s="82">
        <f t="shared" si="1"/>
        <v>2.074303532</v>
      </c>
      <c r="AX493" s="83">
        <f t="array" ref="AX493">IFERROR(DGET('SBV Import'!A:G,"SBV",{"RSC ID","Tier";B493,A493}))</f>
        <v>49.11469964</v>
      </c>
      <c r="AY493" s="82">
        <f t="shared" si="2"/>
        <v>-2.058139975</v>
      </c>
      <c r="AZ493" s="82">
        <v>4.132443507552878</v>
      </c>
      <c r="BA493" s="84">
        <v>450.0</v>
      </c>
      <c r="BB493" s="84" t="b">
        <f>IFERROR(__xludf.DUMMYFUNCTION("iferror(if(A493="""",,E493&gt;=FILTER(Constants!$F$2:$F$10,Constants!$A$2:$A$10=A493)))"),TRUE)</f>
        <v>1</v>
      </c>
    </row>
    <row r="494">
      <c r="A494" s="80" t="str">
        <f>IFERROR(__xludf.DUMMYFUNCTION("""COMPUTED_VALUE"""),"Master")</f>
        <v>Master</v>
      </c>
      <c r="B494" s="80" t="str">
        <f>IFERROR(__xludf.DUMMYFUNCTION("""COMPUTED_VALUE"""),"RSC003308")</f>
        <v>RSC003308</v>
      </c>
      <c r="C494" s="80" t="str">
        <f>IFERROR(__xludf.DUMMYFUNCTION("""COMPUTED_VALUE"""),"Tman")</f>
        <v>Tman</v>
      </c>
      <c r="D494" s="80" t="str">
        <f>IFERROR(__xludf.DUMMYFUNCTION("""COMPUTED_VALUE"""),"Plinko")</f>
        <v>Plinko</v>
      </c>
      <c r="E494" s="80">
        <f>IFERROR(__xludf.DUMMYFUNCTION("""COMPUTED_VALUE"""),41.0)</f>
        <v>41</v>
      </c>
      <c r="F494" s="80">
        <f>IFERROR(__xludf.DUMMYFUNCTION("""COMPUTED_VALUE"""),16.0)</f>
        <v>16</v>
      </c>
      <c r="G494" s="80">
        <f>IFERROR(__xludf.DUMMYFUNCTION("""COMPUTED_VALUE"""),25.0)</f>
        <v>25</v>
      </c>
      <c r="H494" s="81">
        <f>IFERROR(__xludf.DUMMYFUNCTION("""COMPUTED_VALUE"""),0.3902439024390244)</f>
        <v>0.3902439024</v>
      </c>
      <c r="I494" s="81">
        <f>IFERROR(__xludf.DUMMYFUNCTION("""COMPUTED_VALUE"""),0.3017241379310345)</f>
        <v>0.3017241379</v>
      </c>
      <c r="J494" s="80">
        <f>IFERROR(__xludf.DUMMYFUNCTION("""COMPUTED_VALUE"""),396.0243902439024)</f>
        <v>396.0243902</v>
      </c>
      <c r="K494" s="80">
        <f>IFERROR(__xludf.DUMMYFUNCTION("""COMPUTED_VALUE"""),0.8536585365853658)</f>
        <v>0.8536585366</v>
      </c>
      <c r="L494" s="80">
        <f>IFERROR(__xludf.DUMMYFUNCTION("""COMPUTED_VALUE"""),0.5121951219512195)</f>
        <v>0.512195122</v>
      </c>
      <c r="M494" s="80">
        <f>IFERROR(__xludf.DUMMYFUNCTION("""COMPUTED_VALUE"""),1.5365853658536586)</f>
        <v>1.536585366</v>
      </c>
      <c r="N494" s="80">
        <f>IFERROR(__xludf.DUMMYFUNCTION("""COMPUTED_VALUE"""),2.8292682926829267)</f>
        <v>2.829268293</v>
      </c>
      <c r="O494" s="80">
        <f>IFERROR(__xludf.DUMMYFUNCTION("""COMPUTED_VALUE"""),395.9837398373983)</f>
        <v>395.9837398</v>
      </c>
      <c r="P494" s="80">
        <f>IFERROR(__xludf.DUMMYFUNCTION("""COMPUTED_VALUE"""),0.8943089430894307)</f>
        <v>0.8943089431</v>
      </c>
      <c r="Q494" s="80">
        <f>IFERROR(__xludf.DUMMYFUNCTION("""COMPUTED_VALUE"""),0.6666666666666667)</f>
        <v>0.6666666667</v>
      </c>
      <c r="R494" s="80">
        <f>IFERROR(__xludf.DUMMYFUNCTION("""COMPUTED_VALUE"""),1.5691056910569106)</f>
        <v>1.569105691</v>
      </c>
      <c r="S494" s="80">
        <f>IFERROR(__xludf.DUMMYFUNCTION("""COMPUTED_VALUE"""),2.796747967479675)</f>
        <v>2.796747967</v>
      </c>
      <c r="T494" s="80">
        <f>IFERROR(__xludf.DUMMYFUNCTION("""COMPUTED_VALUE"""),388.12698114060566)</f>
        <v>388.1269811</v>
      </c>
      <c r="U494" s="80">
        <f>IFERROR(__xludf.DUMMYFUNCTION("""COMPUTED_VALUE"""),0.9270285854585228)</f>
        <v>0.9270285855</v>
      </c>
      <c r="V494" s="80">
        <f>IFERROR(__xludf.DUMMYFUNCTION("""COMPUTED_VALUE"""),0.7053655792810741)</f>
        <v>0.7053655793</v>
      </c>
      <c r="W494" s="80">
        <f>IFERROR(__xludf.DUMMYFUNCTION("""COMPUTED_VALUE"""),1.4078466498772317)</f>
        <v>1.40784665</v>
      </c>
      <c r="X494" s="80">
        <f>IFERROR(__xludf.DUMMYFUNCTION("""COMPUTED_VALUE"""),2.86558281847697)</f>
        <v>2.865582818</v>
      </c>
      <c r="Y494" s="80">
        <f>IFERROR(__xludf.DUMMYFUNCTION("""COMPUTED_VALUE"""),383.3079896905218)</f>
        <v>383.3079897</v>
      </c>
      <c r="Z494" s="80">
        <f>IFERROR(__xludf.DUMMYFUNCTION("""COMPUTED_VALUE"""),0.8718125794125233)</f>
        <v>0.8718125794</v>
      </c>
      <c r="AA494" s="80">
        <f>IFERROR(__xludf.DUMMYFUNCTION("""COMPUTED_VALUE"""),0.6522218889396103)</f>
        <v>0.6522218889</v>
      </c>
      <c r="AB494" s="80">
        <f>IFERROR(__xludf.DUMMYFUNCTION("""COMPUTED_VALUE"""),1.4656349697168314)</f>
        <v>1.46563497</v>
      </c>
      <c r="AC494" s="80">
        <f>IFERROR(__xludf.DUMMYFUNCTION("""COMPUTED_VALUE"""),2.7559351287497282)</f>
        <v>2.755935129</v>
      </c>
      <c r="AD494" s="80">
        <f>IFERROR(__xludf.DUMMYFUNCTION("""COMPUTED_VALUE"""),1.033175412189158)</f>
        <v>1.033175412</v>
      </c>
      <c r="AE494" s="80">
        <f>IFERROR(__xludf.DUMMYFUNCTION("""COMPUTED_VALUE"""),0.979176667949216)</f>
        <v>0.9791766679</v>
      </c>
      <c r="AF494" s="80">
        <f>IFERROR(__xludf.DUMMYFUNCTION("""COMPUTED_VALUE"""),0.7853080840079626)</f>
        <v>0.785308084</v>
      </c>
      <c r="AG494" s="80">
        <f>IFERROR(__xludf.DUMMYFUNCTION("""COMPUTED_VALUE"""),1.0484093226504654)</f>
        <v>1.048409323</v>
      </c>
      <c r="AH494" s="80">
        <f>IFERROR(__xludf.DUMMYFUNCTION("""COMPUTED_VALUE"""),1.0266091763801666)</f>
        <v>1.026609176</v>
      </c>
      <c r="AI494" s="80">
        <f>IFERROR(__xludf.DUMMYFUNCTION("""COMPUTED_VALUE"""),1.020242753218814)</f>
        <v>1.020242753</v>
      </c>
      <c r="AJ494" s="80">
        <f>IFERROR(__xludf.DUMMYFUNCTION("""COMPUTED_VALUE"""),0.9647048182954266)</f>
        <v>0.9647048183</v>
      </c>
      <c r="AK494" s="80">
        <f>IFERROR(__xludf.DUMMYFUNCTION("""COMPUTED_VALUE"""),0.9451363750215168)</f>
        <v>0.945136375</v>
      </c>
      <c r="AL494" s="80">
        <f>IFERROR(__xludf.DUMMYFUNCTION("""COMPUTED_VALUE"""),1.1145430442965796)</f>
        <v>1.114543044</v>
      </c>
      <c r="AM494" s="80">
        <f>IFERROR(__xludf.DUMMYFUNCTION("""COMPUTED_VALUE"""),0.9759787605671505)</f>
        <v>0.9759787606</v>
      </c>
      <c r="AN494" s="80">
        <f>IFERROR(__xludf.DUMMYFUNCTION("""COMPUTED_VALUE"""),1.0562264364843719)</f>
        <v>1.056226436</v>
      </c>
      <c r="AO494" s="80">
        <f>IFERROR(__xludf.DUMMYFUNCTION("""COMPUTED_VALUE"""),1.034136381834291)</f>
        <v>1.034136382</v>
      </c>
      <c r="AP494" s="80">
        <f>IFERROR(__xludf.DUMMYFUNCTION("""COMPUTED_VALUE"""),0.7893867476384369)</f>
        <v>0.7893867476</v>
      </c>
      <c r="AQ494" s="80">
        <f>IFERROR(__xludf.DUMMYFUNCTION("""COMPUTED_VALUE"""),1.05757198601937)</f>
        <v>1.057571986</v>
      </c>
      <c r="AR494" s="80">
        <f>IFERROR(__xludf.DUMMYFUNCTION("""COMPUTED_VALUE"""),1.0408426845430232)</f>
        <v>1.040842685</v>
      </c>
      <c r="AS494" s="80">
        <f>IFERROR(__xludf.DUMMYFUNCTION("""COMPUTED_VALUE"""),89.0)</f>
        <v>89</v>
      </c>
      <c r="AT494" s="80">
        <f>IFERROR(__xludf.DUMMYFUNCTION("""COMPUTED_VALUE"""),0.4174224614940932)</f>
        <v>0.4174224615</v>
      </c>
      <c r="AU494" s="80">
        <f>IFERROR(__xludf.DUMMYFUNCTION("""COMPUTED_VALUE"""),3.071675783720415)</f>
        <v>3.071675784</v>
      </c>
      <c r="AV494" s="80">
        <f>IFERROR(__xludf.DUMMYFUNCTION("""COMPUTED_VALUE"""),50.09133108366286)</f>
        <v>50.09133108</v>
      </c>
      <c r="AW494" s="82">
        <f t="shared" si="1"/>
        <v>2.005846762</v>
      </c>
      <c r="AX494" s="83">
        <f t="array" ref="AX494">IFERROR(DGET('SBV Import'!A:G,"SBV",{"RSC ID","Tier";B494,A494}))</f>
        <v>48.48010022</v>
      </c>
      <c r="AY494" s="82">
        <f t="shared" si="2"/>
        <v>-2.1018964</v>
      </c>
      <c r="AZ494" s="82">
        <v>4.107743162623315</v>
      </c>
      <c r="BA494" s="84">
        <v>450.0</v>
      </c>
      <c r="BB494" s="84" t="b">
        <f>IFERROR(__xludf.DUMMYFUNCTION("iferror(if(A494="""",,E494&gt;=FILTER(Constants!$F$2:$F$10,Constants!$A$2:$A$10=A494)))"),TRUE)</f>
        <v>1</v>
      </c>
    </row>
    <row r="495">
      <c r="A495" s="80" t="str">
        <f>IFERROR(__xludf.DUMMYFUNCTION("""COMPUTED_VALUE"""),"Master")</f>
        <v>Master</v>
      </c>
      <c r="B495" s="80" t="str">
        <f>IFERROR(__xludf.DUMMYFUNCTION("""COMPUTED_VALUE"""),"RSC005499")</f>
        <v>RSC005499</v>
      </c>
      <c r="C495" s="80" t="str">
        <f>IFERROR(__xludf.DUMMYFUNCTION("""COMPUTED_VALUE"""),"R0cket")</f>
        <v>R0cket</v>
      </c>
      <c r="D495" s="80"/>
      <c r="E495" s="80">
        <f>IFERROR(__xludf.DUMMYFUNCTION("""COMPUTED_VALUE"""),33.0)</f>
        <v>33</v>
      </c>
      <c r="F495" s="80">
        <f>IFERROR(__xludf.DUMMYFUNCTION("""COMPUTED_VALUE"""),17.0)</f>
        <v>17</v>
      </c>
      <c r="G495" s="80">
        <f>IFERROR(__xludf.DUMMYFUNCTION("""COMPUTED_VALUE"""),16.0)</f>
        <v>16</v>
      </c>
      <c r="H495" s="81">
        <f>IFERROR(__xludf.DUMMYFUNCTION("""COMPUTED_VALUE"""),0.5151515151515151)</f>
        <v>0.5151515152</v>
      </c>
      <c r="I495" s="81">
        <f>IFERROR(__xludf.DUMMYFUNCTION("""COMPUTED_VALUE"""),0.3421052631578947)</f>
        <v>0.3421052632</v>
      </c>
      <c r="J495" s="80">
        <f>IFERROR(__xludf.DUMMYFUNCTION("""COMPUTED_VALUE"""),348.8181818181818)</f>
        <v>348.8181818</v>
      </c>
      <c r="K495" s="80">
        <f>IFERROR(__xludf.DUMMYFUNCTION("""COMPUTED_VALUE"""),0.7878787878787878)</f>
        <v>0.7878787879</v>
      </c>
      <c r="L495" s="80">
        <f>IFERROR(__xludf.DUMMYFUNCTION("""COMPUTED_VALUE"""),0.7272727272727273)</f>
        <v>0.7272727273</v>
      </c>
      <c r="M495" s="80">
        <f>IFERROR(__xludf.DUMMYFUNCTION("""COMPUTED_VALUE"""),1.3636363636363635)</f>
        <v>1.363636364</v>
      </c>
      <c r="N495" s="80">
        <f>IFERROR(__xludf.DUMMYFUNCTION("""COMPUTED_VALUE"""),2.303030303030303)</f>
        <v>2.303030303</v>
      </c>
      <c r="O495" s="80">
        <f>IFERROR(__xludf.DUMMYFUNCTION("""COMPUTED_VALUE"""),356.67676767676767)</f>
        <v>356.6767677</v>
      </c>
      <c r="P495" s="80">
        <f>IFERROR(__xludf.DUMMYFUNCTION("""COMPUTED_VALUE"""),0.9090909090909091)</f>
        <v>0.9090909091</v>
      </c>
      <c r="Q495" s="80">
        <f>IFERROR(__xludf.DUMMYFUNCTION("""COMPUTED_VALUE"""),0.6464646464646464)</f>
        <v>0.6464646465</v>
      </c>
      <c r="R495" s="80">
        <f>IFERROR(__xludf.DUMMYFUNCTION("""COMPUTED_VALUE"""),1.2525252525252526)</f>
        <v>1.252525253</v>
      </c>
      <c r="S495" s="80">
        <f>IFERROR(__xludf.DUMMYFUNCTION("""COMPUTED_VALUE"""),2.696969696969697)</f>
        <v>2.696969697</v>
      </c>
      <c r="T495" s="80">
        <f>IFERROR(__xludf.DUMMYFUNCTION("""COMPUTED_VALUE"""),382.6865128130055)</f>
        <v>382.6865128</v>
      </c>
      <c r="U495" s="80">
        <f>IFERROR(__xludf.DUMMYFUNCTION("""COMPUTED_VALUE"""),0.8573202424846194)</f>
        <v>0.8573202425</v>
      </c>
      <c r="V495" s="80">
        <f>IFERROR(__xludf.DUMMYFUNCTION("""COMPUTED_VALUE"""),0.6807516289901147)</f>
        <v>0.680751629</v>
      </c>
      <c r="W495" s="80">
        <f>IFERROR(__xludf.DUMMYFUNCTION("""COMPUTED_VALUE"""),1.4960907374920158)</f>
        <v>1.496090737</v>
      </c>
      <c r="X495" s="80">
        <f>IFERROR(__xludf.DUMMYFUNCTION("""COMPUTED_VALUE"""),2.809583692340027)</f>
        <v>2.809583692</v>
      </c>
      <c r="Y495" s="80">
        <f>IFERROR(__xludf.DUMMYFUNCTION("""COMPUTED_VALUE"""),378.32394739519367)</f>
        <v>378.3239474</v>
      </c>
      <c r="Z495" s="80">
        <f>IFERROR(__xludf.DUMMYFUNCTION("""COMPUTED_VALUE"""),0.8473301551658962)</f>
        <v>0.8473301552</v>
      </c>
      <c r="AA495" s="80">
        <f>IFERROR(__xludf.DUMMYFUNCTION("""COMPUTED_VALUE"""),0.6362740732296822)</f>
        <v>0.6362740732</v>
      </c>
      <c r="AB495" s="80">
        <f>IFERROR(__xludf.DUMMYFUNCTION("""COMPUTED_VALUE"""),1.4605917950650298)</f>
        <v>1.460591795</v>
      </c>
      <c r="AC495" s="80">
        <f>IFERROR(__xludf.DUMMYFUNCTION("""COMPUTED_VALUE"""),2.7664083689256773)</f>
        <v>2.766408369</v>
      </c>
      <c r="AD495" s="80">
        <f>IFERROR(__xludf.DUMMYFUNCTION("""COMPUTED_VALUE"""),0.9220092574626517)</f>
        <v>0.9220092575</v>
      </c>
      <c r="AE495" s="80">
        <f>IFERROR(__xludf.DUMMYFUNCTION("""COMPUTED_VALUE"""),0.9298368328748213)</f>
        <v>0.9298368329</v>
      </c>
      <c r="AF495" s="80">
        <f>IFERROR(__xludf.DUMMYFUNCTION("""COMPUTED_VALUE"""),1.143018013575726)</f>
        <v>1.143018014</v>
      </c>
      <c r="AG495" s="80">
        <f>IFERROR(__xludf.DUMMYFUNCTION("""COMPUTED_VALUE"""),0.9336190770369558)</f>
        <v>0.933619077</v>
      </c>
      <c r="AH495" s="80">
        <f>IFERROR(__xludf.DUMMYFUNCTION("""COMPUTED_VALUE"""),0.8324983140232022)</f>
        <v>0.832498314</v>
      </c>
      <c r="AI495" s="80">
        <f>IFERROR(__xludf.DUMMYFUNCTION("""COMPUTED_VALUE"""),0.9320338076587843)</f>
        <v>0.9320338077</v>
      </c>
      <c r="AJ495" s="80">
        <f>IFERROR(__xludf.DUMMYFUNCTION("""COMPUTED_VALUE"""),1.060386614057137)</f>
        <v>1.060386614</v>
      </c>
      <c r="AK495" s="80">
        <f>IFERROR(__xludf.DUMMYFUNCTION("""COMPUTED_VALUE"""),0.9496336386644678)</f>
        <v>0.9496336387</v>
      </c>
      <c r="AL495" s="80">
        <f>IFERROR(__xludf.DUMMYFUNCTION("""COMPUTED_VALUE"""),0.8371987213990334)</f>
        <v>0.8371987214</v>
      </c>
      <c r="AM495" s="80">
        <f>IFERROR(__xludf.DUMMYFUNCTION("""COMPUTED_VALUE"""),0.9599179068139675)</f>
        <v>0.9599179068</v>
      </c>
      <c r="AN495" s="80">
        <f>IFERROR(__xludf.DUMMYFUNCTION("""COMPUTED_VALUE"""),0.9303239755911692)</f>
        <v>0.9303239756</v>
      </c>
      <c r="AO495" s="80">
        <f>IFERROR(__xludf.DUMMYFUNCTION("""COMPUTED_VALUE"""),0.9544496822816919)</f>
        <v>0.9544496823</v>
      </c>
      <c r="AP495" s="80">
        <f>IFERROR(__xludf.DUMMYFUNCTION("""COMPUTED_VALUE"""),1.1208608364736248)</f>
        <v>1.120860836</v>
      </c>
      <c r="AQ495" s="80">
        <f>IFERROR(__xludf.DUMMYFUNCTION("""COMPUTED_VALUE"""),0.9385379096708695)</f>
        <v>0.9385379097</v>
      </c>
      <c r="AR495" s="80">
        <f>IFERROR(__xludf.DUMMYFUNCTION("""COMPUTED_VALUE"""),0.8472481204378424)</f>
        <v>0.8472481204</v>
      </c>
      <c r="AS495" s="80">
        <f>IFERROR(__xludf.DUMMYFUNCTION("""COMPUTED_VALUE"""),89.0)</f>
        <v>89</v>
      </c>
      <c r="AT495" s="80">
        <f>IFERROR(__xludf.DUMMYFUNCTION("""COMPUTED_VALUE"""),0.49546199588456763)</f>
        <v>0.4954619959</v>
      </c>
      <c r="AU495" s="80">
        <f>IFERROR(__xludf.DUMMYFUNCTION("""COMPUTED_VALUE"""),3.055809981209685)</f>
        <v>3.055809981</v>
      </c>
      <c r="AV495" s="80">
        <f>IFERROR(__xludf.DUMMYFUNCTION("""COMPUTED_VALUE"""),49.668311232951005)</f>
        <v>49.66831123</v>
      </c>
      <c r="AW495" s="82">
        <f t="shared" si="1"/>
        <v>-2.021397837</v>
      </c>
      <c r="AX495" s="83">
        <f t="array" ref="AX495">IFERROR(DGET('SBV Import'!A:G,"SBV",{"RSC ID","Tier";B495,A495}))</f>
        <v>45.04557914</v>
      </c>
      <c r="AY495" s="82">
        <f t="shared" si="2"/>
        <v>-2.372741815</v>
      </c>
      <c r="AZ495" s="82">
        <v>0.3513439777792806</v>
      </c>
      <c r="BA495" s="84">
        <v>450.0</v>
      </c>
      <c r="BB495" s="84" t="b">
        <f>IFERROR(__xludf.DUMMYFUNCTION("iferror(if(A495="""",,E495&gt;=FILTER(Constants!$F$2:$F$10,Constants!$A$2:$A$10=A495)))"),TRUE)</f>
        <v>1</v>
      </c>
    </row>
    <row r="496">
      <c r="A496" s="80" t="str">
        <f>IFERROR(__xludf.DUMMYFUNCTION("""COMPUTED_VALUE"""),"Master")</f>
        <v>Master</v>
      </c>
      <c r="B496" s="80" t="str">
        <f>IFERROR(__xludf.DUMMYFUNCTION("""COMPUTED_VALUE"""),"RSC002862")</f>
        <v>RSC002862</v>
      </c>
      <c r="C496" s="80" t="str">
        <f>IFERROR(__xludf.DUMMYFUNCTION("""COMPUTED_VALUE"""),"Doodle!")</f>
        <v>Doodle!</v>
      </c>
      <c r="D496" s="80" t="str">
        <f>IFERROR(__xludf.DUMMYFUNCTION("""COMPUTED_VALUE"""),"The OG")</f>
        <v>The OG</v>
      </c>
      <c r="E496" s="80">
        <f>IFERROR(__xludf.DUMMYFUNCTION("""COMPUTED_VALUE"""),38.0)</f>
        <v>38</v>
      </c>
      <c r="F496" s="80">
        <f>IFERROR(__xludf.DUMMYFUNCTION("""COMPUTED_VALUE"""),11.0)</f>
        <v>11</v>
      </c>
      <c r="G496" s="80">
        <f>IFERROR(__xludf.DUMMYFUNCTION("""COMPUTED_VALUE"""),27.0)</f>
        <v>27</v>
      </c>
      <c r="H496" s="81">
        <f>IFERROR(__xludf.DUMMYFUNCTION("""COMPUTED_VALUE"""),0.2894736842105263)</f>
        <v>0.2894736842</v>
      </c>
      <c r="I496" s="81">
        <f>IFERROR(__xludf.DUMMYFUNCTION("""COMPUTED_VALUE"""),0.32142857142857145)</f>
        <v>0.3214285714</v>
      </c>
      <c r="J496" s="80">
        <f>IFERROR(__xludf.DUMMYFUNCTION("""COMPUTED_VALUE"""),390.4736842105263)</f>
        <v>390.4736842</v>
      </c>
      <c r="K496" s="80">
        <f>IFERROR(__xludf.DUMMYFUNCTION("""COMPUTED_VALUE"""),0.9473684210526315)</f>
        <v>0.9473684211</v>
      </c>
      <c r="L496" s="80">
        <f>IFERROR(__xludf.DUMMYFUNCTION("""COMPUTED_VALUE"""),0.5526315789473685)</f>
        <v>0.5526315789</v>
      </c>
      <c r="M496" s="80">
        <f>IFERROR(__xludf.DUMMYFUNCTION("""COMPUTED_VALUE"""),1.605263157894737)</f>
        <v>1.605263158</v>
      </c>
      <c r="N496" s="80">
        <f>IFERROR(__xludf.DUMMYFUNCTION("""COMPUTED_VALUE"""),2.9473684210526314)</f>
        <v>2.947368421</v>
      </c>
      <c r="O496" s="80">
        <f>IFERROR(__xludf.DUMMYFUNCTION("""COMPUTED_VALUE"""),426.719298245614)</f>
        <v>426.7192982</v>
      </c>
      <c r="P496" s="80">
        <f>IFERROR(__xludf.DUMMYFUNCTION("""COMPUTED_VALUE"""),1.0964912280701755)</f>
        <v>1.096491228</v>
      </c>
      <c r="Q496" s="80">
        <f>IFERROR(__xludf.DUMMYFUNCTION("""COMPUTED_VALUE"""),0.8684210526315788)</f>
        <v>0.8684210526</v>
      </c>
      <c r="R496" s="80">
        <f>IFERROR(__xludf.DUMMYFUNCTION("""COMPUTED_VALUE"""),1.535087719298246)</f>
        <v>1.535087719</v>
      </c>
      <c r="S496" s="80">
        <f>IFERROR(__xludf.DUMMYFUNCTION("""COMPUTED_VALUE"""),3.280701754385966)</f>
        <v>3.280701754</v>
      </c>
      <c r="T496" s="80">
        <f>IFERROR(__xludf.DUMMYFUNCTION("""COMPUTED_VALUE"""),390.28107873218886)</f>
        <v>390.2810787</v>
      </c>
      <c r="U496" s="80">
        <f>IFERROR(__xludf.DUMMYFUNCTION("""COMPUTED_VALUE"""),0.8964620506619998)</f>
        <v>0.8964620507</v>
      </c>
      <c r="V496" s="80">
        <f>IFERROR(__xludf.DUMMYFUNCTION("""COMPUTED_VALUE"""),0.6641591813313201)</f>
        <v>0.6641591813</v>
      </c>
      <c r="W496" s="80">
        <f>IFERROR(__xludf.DUMMYFUNCTION("""COMPUTED_VALUE"""),1.4865415706165854)</f>
        <v>1.486541571</v>
      </c>
      <c r="X496" s="80">
        <f>IFERROR(__xludf.DUMMYFUNCTION("""COMPUTED_VALUE"""),2.8590881161571953)</f>
        <v>2.859088116</v>
      </c>
      <c r="Y496" s="80">
        <f>IFERROR(__xludf.DUMMYFUNCTION("""COMPUTED_VALUE"""),382.59385283086635)</f>
        <v>382.5938528</v>
      </c>
      <c r="Z496" s="80">
        <f>IFERROR(__xludf.DUMMYFUNCTION("""COMPUTED_VALUE"""),0.860612882596925)</f>
        <v>0.8606128826</v>
      </c>
      <c r="AA496" s="80">
        <f>IFERROR(__xludf.DUMMYFUNCTION("""COMPUTED_VALUE"""),0.6558851879042493)</f>
        <v>0.6558851879</v>
      </c>
      <c r="AB496" s="80">
        <f>IFERROR(__xludf.DUMMYFUNCTION("""COMPUTED_VALUE"""),1.471943811545492)</f>
        <v>1.471943812</v>
      </c>
      <c r="AC496" s="80">
        <f>IFERROR(__xludf.DUMMYFUNCTION("""COMPUTED_VALUE"""),2.7797153508859784)</f>
        <v>2.779715351</v>
      </c>
      <c r="AD496" s="80">
        <f>IFERROR(__xludf.DUMMYFUNCTION("""COMPUTED_VALUE"""),1.0205958128217585)</f>
        <v>1.020595813</v>
      </c>
      <c r="AE496" s="80">
        <f>IFERROR(__xludf.DUMMYFUNCTION("""COMPUTED_VALUE"""),1.1008066927768023)</f>
        <v>1.100806693</v>
      </c>
      <c r="AF496" s="80">
        <f>IFERROR(__xludf.DUMMYFUNCTION("""COMPUTED_VALUE"""),0.8425736533450203)</f>
        <v>0.8425736533</v>
      </c>
      <c r="AG496" s="80">
        <f>IFERROR(__xludf.DUMMYFUNCTION("""COMPUTED_VALUE"""),1.0905736654507647)</f>
        <v>1.090573665</v>
      </c>
      <c r="AH496" s="80">
        <f>IFERROR(__xludf.DUMMYFUNCTION("""COMPUTED_VALUE"""),1.0603130353304762)</f>
        <v>1.060313035</v>
      </c>
      <c r="AI496" s="80">
        <f>IFERROR(__xludf.DUMMYFUNCTION("""COMPUTED_VALUE"""),1.0933640432474798)</f>
        <v>1.093364043</v>
      </c>
      <c r="AJ496" s="80">
        <f>IFERROR(__xludf.DUMMYFUNCTION("""COMPUTED_VALUE"""),1.2231317848429417)</f>
        <v>1.223131785</v>
      </c>
      <c r="AK496" s="80">
        <f>IFERROR(__xludf.DUMMYFUNCTION("""COMPUTED_VALUE"""),1.3075495710091845)</f>
        <v>1.307549571</v>
      </c>
      <c r="AL496" s="80">
        <f>IFERROR(__xludf.DUMMYFUNCTION("""COMPUTED_VALUE"""),1.032657108042747)</f>
        <v>1.032657108</v>
      </c>
      <c r="AM496" s="80">
        <f>IFERROR(__xludf.DUMMYFUNCTION("""COMPUTED_VALUE"""),1.1474643736393293)</f>
        <v>1.147464374</v>
      </c>
      <c r="AN496" s="80">
        <f>IFERROR(__xludf.DUMMYFUNCTION("""COMPUTED_VALUE"""),1.0414222915932092)</f>
        <v>1.041422292</v>
      </c>
      <c r="AO496" s="80">
        <f>IFERROR(__xludf.DUMMYFUNCTION("""COMPUTED_VALUE"""),1.1476581199905365)</f>
        <v>1.14765812</v>
      </c>
      <c r="AP496" s="80">
        <f>IFERROR(__xludf.DUMMYFUNCTION("""COMPUTED_VALUE"""),0.8517067540309451)</f>
        <v>0.851706754</v>
      </c>
      <c r="AQ496" s="80">
        <f>IFERROR(__xludf.DUMMYFUNCTION("""COMPUTED_VALUE"""),1.1048402410336027)</f>
        <v>1.104840241</v>
      </c>
      <c r="AR496" s="80">
        <f>IFERROR(__xludf.DUMMYFUNCTION("""COMPUTED_VALUE"""),1.0842898383442747)</f>
        <v>1.084289838</v>
      </c>
      <c r="AS496" s="80">
        <f>IFERROR(__xludf.DUMMYFUNCTION("""COMPUTED_VALUE"""),103.0)</f>
        <v>103</v>
      </c>
      <c r="AT496" s="80">
        <f>IFERROR(__xludf.DUMMYFUNCTION("""COMPUTED_VALUE"""),0.41976379249805024)</f>
        <v>0.4197637925</v>
      </c>
      <c r="AU496" s="80">
        <f>IFERROR(__xludf.DUMMYFUNCTION("""COMPUTED_VALUE"""),3.055028571634901)</f>
        <v>3.055028572</v>
      </c>
      <c r="AV496" s="80">
        <f>IFERROR(__xludf.DUMMYFUNCTION("""COMPUTED_VALUE"""),49.6474770040208)</f>
        <v>49.647477</v>
      </c>
      <c r="AW496" s="82">
        <f t="shared" si="1"/>
        <v>-2.022757096</v>
      </c>
      <c r="AX496" s="83">
        <f t="array" ref="AX496">IFERROR(DGET('SBV Import'!A:G,"SBV",{"RSC ID","Tier";B496,A496}))</f>
        <v>33.76013015</v>
      </c>
      <c r="AY496" s="82">
        <f t="shared" si="2"/>
        <v>-3.87631458</v>
      </c>
      <c r="AZ496" s="82">
        <v>1.8535574832614796</v>
      </c>
      <c r="BA496" s="84">
        <v>450.0</v>
      </c>
      <c r="BB496" s="84" t="b">
        <f>IFERROR(__xludf.DUMMYFUNCTION("iferror(if(A496="""",,E496&gt;=FILTER(Constants!$F$2:$F$10,Constants!$A$2:$A$10=A496)))"),TRUE)</f>
        <v>1</v>
      </c>
    </row>
    <row r="497">
      <c r="A497" s="80" t="str">
        <f>IFERROR(__xludf.DUMMYFUNCTION("""COMPUTED_VALUE"""),"Master")</f>
        <v>Master</v>
      </c>
      <c r="B497" s="80" t="str">
        <f>IFERROR(__xludf.DUMMYFUNCTION("""COMPUTED_VALUE"""),"RSC005690")</f>
        <v>RSC005690</v>
      </c>
      <c r="C497" s="80" t="str">
        <f>IFERROR(__xludf.DUMMYFUNCTION("""COMPUTED_VALUE"""),"DQ.")</f>
        <v>DQ.</v>
      </c>
      <c r="D497" s="80" t="str">
        <f>IFERROR(__xludf.DUMMYFUNCTION("""COMPUTED_VALUE"""),"Kawaii")</f>
        <v>Kawaii</v>
      </c>
      <c r="E497" s="80">
        <f>IFERROR(__xludf.DUMMYFUNCTION("""COMPUTED_VALUE"""),44.0)</f>
        <v>44</v>
      </c>
      <c r="F497" s="80">
        <f>IFERROR(__xludf.DUMMYFUNCTION("""COMPUTED_VALUE"""),22.0)</f>
        <v>22</v>
      </c>
      <c r="G497" s="80">
        <f>IFERROR(__xludf.DUMMYFUNCTION("""COMPUTED_VALUE"""),22.0)</f>
        <v>22</v>
      </c>
      <c r="H497" s="81">
        <f>IFERROR(__xludf.DUMMYFUNCTION("""COMPUTED_VALUE"""),0.5)</f>
        <v>0.5</v>
      </c>
      <c r="I497" s="81">
        <f>IFERROR(__xludf.DUMMYFUNCTION("""COMPUTED_VALUE"""),0.3185840707964602)</f>
        <v>0.3185840708</v>
      </c>
      <c r="J497" s="80">
        <f>IFERROR(__xludf.DUMMYFUNCTION("""COMPUTED_VALUE"""),363.1363636363636)</f>
        <v>363.1363636</v>
      </c>
      <c r="K497" s="80">
        <f>IFERROR(__xludf.DUMMYFUNCTION("""COMPUTED_VALUE"""),0.8181818181818182)</f>
        <v>0.8181818182</v>
      </c>
      <c r="L497" s="80">
        <f>IFERROR(__xludf.DUMMYFUNCTION("""COMPUTED_VALUE"""),0.6363636363636364)</f>
        <v>0.6363636364</v>
      </c>
      <c r="M497" s="80">
        <f>IFERROR(__xludf.DUMMYFUNCTION("""COMPUTED_VALUE"""),1.2045454545454546)</f>
        <v>1.204545455</v>
      </c>
      <c r="N497" s="80">
        <f>IFERROR(__xludf.DUMMYFUNCTION("""COMPUTED_VALUE"""),2.5681818181818183)</f>
        <v>2.568181818</v>
      </c>
      <c r="O497" s="80">
        <f>IFERROR(__xludf.DUMMYFUNCTION("""COMPUTED_VALUE"""),397.58333333333337)</f>
        <v>397.5833333</v>
      </c>
      <c r="P497" s="80">
        <f>IFERROR(__xludf.DUMMYFUNCTION("""COMPUTED_VALUE"""),0.9242424242424243)</f>
        <v>0.9242424242</v>
      </c>
      <c r="Q497" s="80">
        <f>IFERROR(__xludf.DUMMYFUNCTION("""COMPUTED_VALUE"""),0.6363636363636362)</f>
        <v>0.6363636364</v>
      </c>
      <c r="R497" s="80">
        <f>IFERROR(__xludf.DUMMYFUNCTION("""COMPUTED_VALUE"""),1.4924242424242422)</f>
        <v>1.492424242</v>
      </c>
      <c r="S497" s="80">
        <f>IFERROR(__xludf.DUMMYFUNCTION("""COMPUTED_VALUE"""),2.7045454545454546)</f>
        <v>2.704545455</v>
      </c>
      <c r="T497" s="80">
        <f>IFERROR(__xludf.DUMMYFUNCTION("""COMPUTED_VALUE"""),388.3123439505944)</f>
        <v>388.312344</v>
      </c>
      <c r="U497" s="80">
        <f>IFERROR(__xludf.DUMMYFUNCTION("""COMPUTED_VALUE"""),0.9073833143683231)</f>
        <v>0.9073833144</v>
      </c>
      <c r="V497" s="80">
        <f>IFERROR(__xludf.DUMMYFUNCTION("""COMPUTED_VALUE"""),0.6924059949673825)</f>
        <v>0.692405995</v>
      </c>
      <c r="W497" s="80">
        <f>IFERROR(__xludf.DUMMYFUNCTION("""COMPUTED_VALUE"""),1.4532090149856418)</f>
        <v>1.453209015</v>
      </c>
      <c r="X497" s="80">
        <f>IFERROR(__xludf.DUMMYFUNCTION("""COMPUTED_VALUE"""),2.795362120317426)</f>
        <v>2.79536212</v>
      </c>
      <c r="Y497" s="80">
        <f>IFERROR(__xludf.DUMMYFUNCTION("""COMPUTED_VALUE"""),381.14972652699004)</f>
        <v>381.1497265</v>
      </c>
      <c r="Z497" s="80">
        <f>IFERROR(__xludf.DUMMYFUNCTION("""COMPUTED_VALUE"""),0.8542700468549811)</f>
        <v>0.8542700469</v>
      </c>
      <c r="AA497" s="80">
        <f>IFERROR(__xludf.DUMMYFUNCTION("""COMPUTED_VALUE"""),0.6553895621494769)</f>
        <v>0.6553895621</v>
      </c>
      <c r="AB497" s="80">
        <f>IFERROR(__xludf.DUMMYFUNCTION("""COMPUTED_VALUE"""),1.4580230932333742)</f>
        <v>1.458023093</v>
      </c>
      <c r="AC497" s="80">
        <f>IFERROR(__xludf.DUMMYFUNCTION("""COMPUTED_VALUE"""),2.7626936243710927)</f>
        <v>2.762693624</v>
      </c>
      <c r="AD497" s="80">
        <f>IFERROR(__xludf.DUMMYFUNCTION("""COMPUTED_VALUE"""),0.9527394049189988)</f>
        <v>0.9527394049</v>
      </c>
      <c r="AE497" s="80">
        <f>IFERROR(__xludf.DUMMYFUNCTION("""COMPUTED_VALUE"""),0.9577554793053757)</f>
        <v>0.9577554793</v>
      </c>
      <c r="AF497" s="80">
        <f>IFERROR(__xludf.DUMMYFUNCTION("""COMPUTED_VALUE"""),0.9709700506620196)</f>
        <v>0.9709700507</v>
      </c>
      <c r="AG497" s="80">
        <f>IFERROR(__xludf.DUMMYFUNCTION("""COMPUTED_VALUE"""),0.8261497778297895)</f>
        <v>0.8261497778</v>
      </c>
      <c r="AH497" s="80">
        <f>IFERROR(__xludf.DUMMYFUNCTION("""COMPUTED_VALUE"""),0.9295934212634405)</f>
        <v>0.9295934213</v>
      </c>
      <c r="AI497" s="80">
        <f>IFERROR(__xludf.DUMMYFUNCTION("""COMPUTED_VALUE"""),1.023875082848045)</f>
        <v>1.023875083</v>
      </c>
      <c r="AJ497" s="80">
        <f>IFERROR(__xludf.DUMMYFUNCTION("""COMPUTED_VALUE"""),1.0185799205331847)</f>
        <v>1.018579921</v>
      </c>
      <c r="AK497" s="80">
        <f>IFERROR(__xludf.DUMMYFUNCTION("""COMPUTED_VALUE"""),0.9190614191513661)</f>
        <v>0.9190614192</v>
      </c>
      <c r="AL497" s="80">
        <f>IFERROR(__xludf.DUMMYFUNCTION("""COMPUTED_VALUE"""),1.0269852629829632)</f>
        <v>1.026985263</v>
      </c>
      <c r="AM497" s="80">
        <f>IFERROR(__xludf.DUMMYFUNCTION("""COMPUTED_VALUE"""),0.9675116632968973)</f>
        <v>0.9675116633</v>
      </c>
      <c r="AN497" s="80">
        <f>IFERROR(__xludf.DUMMYFUNCTION("""COMPUTED_VALUE"""),0.9685116290067567)</f>
        <v>0.968511629</v>
      </c>
      <c r="AO497" s="80">
        <f>IFERROR(__xludf.DUMMYFUNCTION("""COMPUTED_VALUE"""),0.9911592854463724)</f>
        <v>0.9911592854</v>
      </c>
      <c r="AP497" s="80">
        <f>IFERROR(__xludf.DUMMYFUNCTION("""COMPUTED_VALUE"""),0.9807532319144215)</f>
        <v>0.9807532319</v>
      </c>
      <c r="AQ497" s="80">
        <f>IFERROR(__xludf.DUMMYFUNCTION("""COMPUTED_VALUE"""),0.8290418202092681)</f>
        <v>0.8290418202</v>
      </c>
      <c r="AR497" s="80">
        <f>IFERROR(__xludf.DUMMYFUNCTION("""COMPUTED_VALUE"""),0.9447931343040413)</f>
        <v>0.9447931343</v>
      </c>
      <c r="AS497" s="80">
        <f>IFERROR(__xludf.DUMMYFUNCTION("""COMPUTED_VALUE"""),116.0)</f>
        <v>116</v>
      </c>
      <c r="AT497" s="80">
        <f>IFERROR(__xludf.DUMMYFUNCTION("""COMPUTED_VALUE"""),0.4795449503951887)</f>
        <v>0.4795449504</v>
      </c>
      <c r="AU497" s="80">
        <f>IFERROR(__xludf.DUMMYFUNCTION("""COMPUTED_VALUE"""),3.047412736356887)</f>
        <v>3.047412736</v>
      </c>
      <c r="AV497" s="80">
        <f>IFERROR(__xludf.DUMMYFUNCTION("""COMPUTED_VALUE"""),49.44442080814463)</f>
        <v>49.44442081</v>
      </c>
      <c r="AW497" s="82">
        <f t="shared" si="1"/>
        <v>-2.036100185</v>
      </c>
      <c r="AX497" s="83">
        <f t="array" ref="AX497">IFERROR(DGET('SBV Import'!A:G,"SBV",{"RSC ID","Tier";B497,A497}))</f>
        <v>43.57327255</v>
      </c>
      <c r="AY497" s="82">
        <f t="shared" si="2"/>
        <v>-2.509015418</v>
      </c>
      <c r="AZ497" s="82">
        <v>0.4729152334880906</v>
      </c>
      <c r="BA497" s="84">
        <v>450.0</v>
      </c>
      <c r="BB497" s="84" t="b">
        <f>IFERROR(__xludf.DUMMYFUNCTION("iferror(if(A497="""",,E497&gt;=FILTER(Constants!$F$2:$F$10,Constants!$A$2:$A$10=A497)))"),TRUE)</f>
        <v>1</v>
      </c>
    </row>
    <row r="498">
      <c r="A498" s="80" t="str">
        <f>IFERROR(__xludf.DUMMYFUNCTION("""COMPUTED_VALUE"""),"Master")</f>
        <v>Master</v>
      </c>
      <c r="B498" s="80" t="str">
        <f>IFERROR(__xludf.DUMMYFUNCTION("""COMPUTED_VALUE"""),"RSC004730")</f>
        <v>RSC004730</v>
      </c>
      <c r="C498" s="80" t="str">
        <f>IFERROR(__xludf.DUMMYFUNCTION("""COMPUTED_VALUE"""),"SgtPickle")</f>
        <v>SgtPickle</v>
      </c>
      <c r="D498" s="80" t="str">
        <f>IFERROR(__xludf.DUMMYFUNCTION("""COMPUTED_VALUE"""),"Lemurs")</f>
        <v>Lemurs</v>
      </c>
      <c r="E498" s="80">
        <f>IFERROR(__xludf.DUMMYFUNCTION("""COMPUTED_VALUE"""),25.0)</f>
        <v>25</v>
      </c>
      <c r="F498" s="80">
        <f>IFERROR(__xludf.DUMMYFUNCTION("""COMPUTED_VALUE"""),14.0)</f>
        <v>14</v>
      </c>
      <c r="G498" s="80">
        <f>IFERROR(__xludf.DUMMYFUNCTION("""COMPUTED_VALUE"""),11.0)</f>
        <v>11</v>
      </c>
      <c r="H498" s="81">
        <f>IFERROR(__xludf.DUMMYFUNCTION("""COMPUTED_VALUE"""),0.56)</f>
        <v>0.56</v>
      </c>
      <c r="I498" s="81">
        <f>IFERROR(__xludf.DUMMYFUNCTION("""COMPUTED_VALUE"""),0.3058823529411765)</f>
        <v>0.3058823529</v>
      </c>
      <c r="J498" s="80">
        <f>IFERROR(__xludf.DUMMYFUNCTION("""COMPUTED_VALUE"""),384.96)</f>
        <v>384.96</v>
      </c>
      <c r="K498" s="80">
        <f>IFERROR(__xludf.DUMMYFUNCTION("""COMPUTED_VALUE"""),1.04)</f>
        <v>1.04</v>
      </c>
      <c r="L498" s="80">
        <f>IFERROR(__xludf.DUMMYFUNCTION("""COMPUTED_VALUE"""),0.44)</f>
        <v>0.44</v>
      </c>
      <c r="M498" s="80">
        <f>IFERROR(__xludf.DUMMYFUNCTION("""COMPUTED_VALUE"""),1.44)</f>
        <v>1.44</v>
      </c>
      <c r="N498" s="80">
        <f>IFERROR(__xludf.DUMMYFUNCTION("""COMPUTED_VALUE"""),3.4)</f>
        <v>3.4</v>
      </c>
      <c r="O498" s="80">
        <f>IFERROR(__xludf.DUMMYFUNCTION("""COMPUTED_VALUE"""),437.76000000000005)</f>
        <v>437.76</v>
      </c>
      <c r="P498" s="80">
        <f>IFERROR(__xludf.DUMMYFUNCTION("""COMPUTED_VALUE"""),1.0266666666666666)</f>
        <v>1.026666667</v>
      </c>
      <c r="Q498" s="80">
        <f>IFERROR(__xludf.DUMMYFUNCTION("""COMPUTED_VALUE"""),0.8133333333333332)</f>
        <v>0.8133333333</v>
      </c>
      <c r="R498" s="80">
        <f>IFERROR(__xludf.DUMMYFUNCTION("""COMPUTED_VALUE"""),1.7066666666666666)</f>
        <v>1.706666667</v>
      </c>
      <c r="S498" s="80">
        <f>IFERROR(__xludf.DUMMYFUNCTION("""COMPUTED_VALUE"""),2.786666666666667)</f>
        <v>2.786666667</v>
      </c>
      <c r="T498" s="80">
        <f>IFERROR(__xludf.DUMMYFUNCTION("""COMPUTED_VALUE"""),380.5523611518878)</f>
        <v>380.5523612</v>
      </c>
      <c r="U498" s="80">
        <f>IFERROR(__xludf.DUMMYFUNCTION("""COMPUTED_VALUE"""),0.8328481000033544)</f>
        <v>0.8328481</v>
      </c>
      <c r="V498" s="80">
        <f>IFERROR(__xludf.DUMMYFUNCTION("""COMPUTED_VALUE"""),0.6706822931395265)</f>
        <v>0.6706822931</v>
      </c>
      <c r="W498" s="80">
        <f>IFERROR(__xludf.DUMMYFUNCTION("""COMPUTED_VALUE"""),1.4959878027227398)</f>
        <v>1.495987803</v>
      </c>
      <c r="X498" s="80">
        <f>IFERROR(__xludf.DUMMYFUNCTION("""COMPUTED_VALUE"""),2.6733996791196284)</f>
        <v>2.673399679</v>
      </c>
      <c r="Y498" s="80">
        <f>IFERROR(__xludf.DUMMYFUNCTION("""COMPUTED_VALUE"""),397.17074911830736)</f>
        <v>397.1707491</v>
      </c>
      <c r="Z498" s="80">
        <f>IFERROR(__xludf.DUMMYFUNCTION("""COMPUTED_VALUE"""),0.932171861058503)</f>
        <v>0.9321718611</v>
      </c>
      <c r="AA498" s="80">
        <f>IFERROR(__xludf.DUMMYFUNCTION("""COMPUTED_VALUE"""),0.7192177309914186)</f>
        <v>0.719217731</v>
      </c>
      <c r="AB498" s="80">
        <f>IFERROR(__xludf.DUMMYFUNCTION("""COMPUTED_VALUE"""),1.516783995697469)</f>
        <v>1.516783996</v>
      </c>
      <c r="AC498" s="80">
        <f>IFERROR(__xludf.DUMMYFUNCTION("""COMPUTED_VALUE"""),2.9353760206093478)</f>
        <v>2.935376021</v>
      </c>
      <c r="AD498" s="80">
        <f>IFERROR(__xludf.DUMMYFUNCTION("""COMPUTED_VALUE"""),0.969255668637697)</f>
        <v>0.9692556686</v>
      </c>
      <c r="AE498" s="80">
        <f>IFERROR(__xludf.DUMMYFUNCTION("""COMPUTED_VALUE"""),1.1156740977131145)</f>
        <v>1.115674098</v>
      </c>
      <c r="AF498" s="80">
        <f>IFERROR(__xludf.DUMMYFUNCTION("""COMPUTED_VALUE"""),0.6117757961743714)</f>
        <v>0.6117757962</v>
      </c>
      <c r="AG498" s="80">
        <f>IFERROR(__xludf.DUMMYFUNCTION("""COMPUTED_VALUE"""),0.9493771058270158)</f>
        <v>0.9493771058</v>
      </c>
      <c r="AH498" s="80">
        <f>IFERROR(__xludf.DUMMYFUNCTION("""COMPUTED_VALUE"""),1.1582843138761494)</f>
        <v>1.158284314</v>
      </c>
      <c r="AI498" s="80">
        <f>IFERROR(__xludf.DUMMYFUNCTION("""COMPUTED_VALUE"""),1.1503279040890757)</f>
        <v>1.150327904</v>
      </c>
      <c r="AJ498" s="80">
        <f>IFERROR(__xludf.DUMMYFUNCTION("""COMPUTED_VALUE"""),1.2327177869079986)</f>
        <v>1.232717787</v>
      </c>
      <c r="AK498" s="80">
        <f>IFERROR(__xludf.DUMMYFUNCTION("""COMPUTED_VALUE"""),1.2126954023581624)</f>
        <v>1.212695402</v>
      </c>
      <c r="AL498" s="80">
        <f>IFERROR(__xludf.DUMMYFUNCTION("""COMPUTED_VALUE"""),1.1408292658272248)</f>
        <v>1.140829266</v>
      </c>
      <c r="AM498" s="80">
        <f>IFERROR(__xludf.DUMMYFUNCTION("""COMPUTED_VALUE"""),1.0423681458600078)</f>
        <v>1.042368146</v>
      </c>
      <c r="AN498" s="80">
        <f>IFERROR(__xludf.DUMMYFUNCTION("""COMPUTED_VALUE"""),1.0267168866508578)</f>
        <v>1.026716887</v>
      </c>
      <c r="AO498" s="80">
        <f>IFERROR(__xludf.DUMMYFUNCTION("""COMPUTED_VALUE"""),1.2598735806118333)</f>
        <v>1.259873581</v>
      </c>
      <c r="AP498" s="80">
        <f>IFERROR(__xludf.DUMMYFUNCTION("""COMPUTED_VALUE"""),0.6781208060665429)</f>
        <v>0.6781208061</v>
      </c>
      <c r="AQ498" s="80">
        <f>IFERROR(__xludf.DUMMYFUNCTION("""COMPUTED_VALUE"""),0.9910960326124382)</f>
        <v>0.9910960326</v>
      </c>
      <c r="AR498" s="80">
        <f>IFERROR(__xludf.DUMMYFUNCTION("""COMPUTED_VALUE"""),1.2508057778042883)</f>
        <v>1.250805778</v>
      </c>
      <c r="AS498" s="80">
        <f>IFERROR(__xludf.DUMMYFUNCTION("""COMPUTED_VALUE"""),71.0)</f>
        <v>71</v>
      </c>
      <c r="AT498" s="80">
        <f>IFERROR(__xludf.DUMMYFUNCTION("""COMPUTED_VALUE"""),0.46626399725099316)</f>
        <v>0.4662639973</v>
      </c>
      <c r="AU498" s="80">
        <f>IFERROR(__xludf.DUMMYFUNCTION("""COMPUTED_VALUE"""),3.034998143762585)</f>
        <v>3.034998144</v>
      </c>
      <c r="AV498" s="80">
        <f>IFERROR(__xludf.DUMMYFUNCTION("""COMPUTED_VALUE"""),49.11341838312778)</f>
        <v>49.11341838</v>
      </c>
      <c r="AW498" s="82">
        <f t="shared" si="1"/>
        <v>-2.058226532</v>
      </c>
      <c r="AX498" s="83">
        <f t="array" ref="AX498">IFERROR(DGET('SBV Import'!A:G,"SBV",{"RSC ID","Tier";B498,A498}))</f>
        <v>40.44955405</v>
      </c>
      <c r="AY498" s="82">
        <f t="shared" si="2"/>
        <v>-2.847185301</v>
      </c>
      <c r="AZ498" s="82">
        <v>0.7889587688074968</v>
      </c>
      <c r="BA498" s="84">
        <v>450.0</v>
      </c>
      <c r="BB498" s="84" t="b">
        <f>IFERROR(__xludf.DUMMYFUNCTION("iferror(if(A498="""",,E498&gt;=FILTER(Constants!$F$2:$F$10,Constants!$A$2:$A$10=A498)))"),TRUE)</f>
        <v>1</v>
      </c>
    </row>
    <row r="499">
      <c r="A499" s="80" t="str">
        <f>IFERROR(__xludf.DUMMYFUNCTION("""COMPUTED_VALUE"""),"Master")</f>
        <v>Master</v>
      </c>
      <c r="B499" s="80" t="str">
        <f>IFERROR(__xludf.DUMMYFUNCTION("""COMPUTED_VALUE"""),"RSC006534")</f>
        <v>RSC006534</v>
      </c>
      <c r="C499" s="80" t="str">
        <f>IFERROR(__xludf.DUMMYFUNCTION("""COMPUTED_VALUE"""),"FIN0oo")</f>
        <v>FIN0oo</v>
      </c>
      <c r="D499" s="80" t="str">
        <f>IFERROR(__xludf.DUMMYFUNCTION("""COMPUTED_VALUE"""),"Helicoprions")</f>
        <v>Helicoprions</v>
      </c>
      <c r="E499" s="80">
        <f>IFERROR(__xludf.DUMMYFUNCTION("""COMPUTED_VALUE"""),42.0)</f>
        <v>42</v>
      </c>
      <c r="F499" s="80">
        <f>IFERROR(__xludf.DUMMYFUNCTION("""COMPUTED_VALUE"""),26.0)</f>
        <v>26</v>
      </c>
      <c r="G499" s="80">
        <f>IFERROR(__xludf.DUMMYFUNCTION("""COMPUTED_VALUE"""),16.0)</f>
        <v>16</v>
      </c>
      <c r="H499" s="81">
        <f>IFERROR(__xludf.DUMMYFUNCTION("""COMPUTED_VALUE"""),0.6190476190476191)</f>
        <v>0.619047619</v>
      </c>
      <c r="I499" s="81">
        <f>IFERROR(__xludf.DUMMYFUNCTION("""COMPUTED_VALUE"""),0.24193548387096772)</f>
        <v>0.2419354839</v>
      </c>
      <c r="J499" s="80">
        <f>IFERROR(__xludf.DUMMYFUNCTION("""COMPUTED_VALUE"""),420.1190476190476)</f>
        <v>420.1190476</v>
      </c>
      <c r="K499" s="80">
        <f>IFERROR(__xludf.DUMMYFUNCTION("""COMPUTED_VALUE"""),0.7142857142857143)</f>
        <v>0.7142857143</v>
      </c>
      <c r="L499" s="80">
        <f>IFERROR(__xludf.DUMMYFUNCTION("""COMPUTED_VALUE"""),0.5476190476190477)</f>
        <v>0.5476190476</v>
      </c>
      <c r="M499" s="80">
        <f>IFERROR(__xludf.DUMMYFUNCTION("""COMPUTED_VALUE"""),1.9761904761904763)</f>
        <v>1.976190476</v>
      </c>
      <c r="N499" s="80">
        <f>IFERROR(__xludf.DUMMYFUNCTION("""COMPUTED_VALUE"""),2.9523809523809526)</f>
        <v>2.952380952</v>
      </c>
      <c r="O499" s="80">
        <f>IFERROR(__xludf.DUMMYFUNCTION("""COMPUTED_VALUE"""),377.38888888888886)</f>
        <v>377.3888889</v>
      </c>
      <c r="P499" s="80">
        <f>IFERROR(__xludf.DUMMYFUNCTION("""COMPUTED_VALUE"""),0.7380952380952379)</f>
        <v>0.7380952381</v>
      </c>
      <c r="Q499" s="80">
        <f>IFERROR(__xludf.DUMMYFUNCTION("""COMPUTED_VALUE"""),0.5555555555555556)</f>
        <v>0.5555555556</v>
      </c>
      <c r="R499" s="80">
        <f>IFERROR(__xludf.DUMMYFUNCTION("""COMPUTED_VALUE"""),1.5873015873015874)</f>
        <v>1.587301587</v>
      </c>
      <c r="S499" s="80">
        <f>IFERROR(__xludf.DUMMYFUNCTION("""COMPUTED_VALUE"""),2.6111111111111116)</f>
        <v>2.611111111</v>
      </c>
      <c r="T499" s="80">
        <f>IFERROR(__xludf.DUMMYFUNCTION("""COMPUTED_VALUE"""),381.50881723695744)</f>
        <v>381.5088172</v>
      </c>
      <c r="U499" s="80">
        <f>IFERROR(__xludf.DUMMYFUNCTION("""COMPUTED_VALUE"""),0.8498813707879281)</f>
        <v>0.8498813708</v>
      </c>
      <c r="V499" s="80">
        <f>IFERROR(__xludf.DUMMYFUNCTION("""COMPUTED_VALUE"""),0.6317561562095213)</f>
        <v>0.6317561562</v>
      </c>
      <c r="W499" s="80">
        <f>IFERROR(__xludf.DUMMYFUNCTION("""COMPUTED_VALUE"""),1.5254865970947278)</f>
        <v>1.525486597</v>
      </c>
      <c r="X499" s="80">
        <f>IFERROR(__xludf.DUMMYFUNCTION("""COMPUTED_VALUE"""),2.7471497898224624)</f>
        <v>2.74714979</v>
      </c>
      <c r="Y499" s="80">
        <f>IFERROR(__xludf.DUMMYFUNCTION("""COMPUTED_VALUE"""),394.1557942458866)</f>
        <v>394.1557942</v>
      </c>
      <c r="Z499" s="80">
        <f>IFERROR(__xludf.DUMMYFUNCTION("""COMPUTED_VALUE"""),0.9155972178674163)</f>
        <v>0.9155972179</v>
      </c>
      <c r="AA499" s="80">
        <f>IFERROR(__xludf.DUMMYFUNCTION("""COMPUTED_VALUE"""),0.7023829518475551)</f>
        <v>0.7023829518</v>
      </c>
      <c r="AB499" s="80">
        <f>IFERROR(__xludf.DUMMYFUNCTION("""COMPUTED_VALUE"""),1.4876875415942803)</f>
        <v>1.487687542</v>
      </c>
      <c r="AC499" s="80">
        <f>IFERROR(__xludf.DUMMYFUNCTION("""COMPUTED_VALUE"""),2.8889126435614854)</f>
        <v>2.888912644</v>
      </c>
      <c r="AD499" s="80">
        <f>IFERROR(__xludf.DUMMYFUNCTION("""COMPUTED_VALUE"""),1.0658705358444236)</f>
        <v>1.065870536</v>
      </c>
      <c r="AE499" s="80">
        <f>IFERROR(__xludf.DUMMYFUNCTION("""COMPUTED_VALUE"""),0.7801309356852446)</f>
        <v>0.7801309357</v>
      </c>
      <c r="AF499" s="80">
        <f>IFERROR(__xludf.DUMMYFUNCTION("""COMPUTED_VALUE"""),0.7796587974958463)</f>
        <v>0.7796587975</v>
      </c>
      <c r="AG499" s="80">
        <f>IFERROR(__xludf.DUMMYFUNCTION("""COMPUTED_VALUE"""),1.3283639345885037)</f>
        <v>1.328363935</v>
      </c>
      <c r="AH499" s="80">
        <f>IFERROR(__xludf.DUMMYFUNCTION("""COMPUTED_VALUE"""),1.02196961855559)</f>
        <v>1.021969619</v>
      </c>
      <c r="AI499" s="80">
        <f>IFERROR(__xludf.DUMMYFUNCTION("""COMPUTED_VALUE"""),0.9892009616503576)</f>
        <v>0.9892009617</v>
      </c>
      <c r="AJ499" s="80">
        <f>IFERROR(__xludf.DUMMYFUNCTION("""COMPUTED_VALUE"""),0.868468545687673)</f>
        <v>0.8684685457</v>
      </c>
      <c r="AK499" s="80">
        <f>IFERROR(__xludf.DUMMYFUNCTION("""COMPUTED_VALUE"""),0.8793828917929944)</f>
        <v>0.8793828918</v>
      </c>
      <c r="AL499" s="80">
        <f>IFERROR(__xludf.DUMMYFUNCTION("""COMPUTED_VALUE"""),1.040521490208164)</f>
        <v>1.04052149</v>
      </c>
      <c r="AM499" s="80">
        <f>IFERROR(__xludf.DUMMYFUNCTION("""COMPUTED_VALUE"""),0.9504800651149996)</f>
        <v>0.9504800651</v>
      </c>
      <c r="AN499" s="80">
        <f>IFERROR(__xludf.DUMMYFUNCTION("""COMPUTED_VALUE"""),1.1204886756913757)</f>
        <v>1.120488676</v>
      </c>
      <c r="AO499" s="80">
        <f>IFERROR(__xludf.DUMMYFUNCTION("""COMPUTED_VALUE"""),0.8652977888817537)</f>
        <v>0.8652977889</v>
      </c>
      <c r="AP499" s="80">
        <f>IFERROR(__xludf.DUMMYFUNCTION("""COMPUTED_VALUE"""),0.8439815227018662)</f>
        <v>0.8439815227</v>
      </c>
      <c r="AQ499" s="80">
        <f>IFERROR(__xludf.DUMMYFUNCTION("""COMPUTED_VALUE"""),1.3601350976658793)</f>
        <v>1.360135098</v>
      </c>
      <c r="AR499" s="80">
        <f>IFERROR(__xludf.DUMMYFUNCTION("""COMPUTED_VALUE"""),1.086133868681595)</f>
        <v>1.086133869</v>
      </c>
      <c r="AS499" s="80">
        <f>IFERROR(__xludf.DUMMYFUNCTION("""COMPUTED_VALUE"""),104.0)</f>
        <v>104</v>
      </c>
      <c r="AT499" s="80">
        <f>IFERROR(__xludf.DUMMYFUNCTION("""COMPUTED_VALUE"""),0.5434401568279522)</f>
        <v>0.5434401568</v>
      </c>
      <c r="AU499" s="80">
        <f>IFERROR(__xludf.DUMMYFUNCTION("""COMPUTED_VALUE"""),3.0092244397383734)</f>
        <v>3.00922444</v>
      </c>
      <c r="AV499" s="80">
        <f>IFERROR(__xludf.DUMMYFUNCTION("""COMPUTED_VALUE"""),48.426230425176094)</f>
        <v>48.42623043</v>
      </c>
      <c r="AW499" s="82">
        <f t="shared" si="1"/>
        <v>-2.105693837</v>
      </c>
      <c r="AX499" s="83">
        <f t="array" ref="AX499">IFERROR(DGET('SBV Import'!A:G,"SBV",{"RSC ID","Tier";B499,A499}))</f>
        <v>63.76761221</v>
      </c>
      <c r="AY499" s="82">
        <f t="shared" si="2"/>
        <v>3.43739315</v>
      </c>
      <c r="AZ499" s="82">
        <v>5.5430869867854735</v>
      </c>
      <c r="BA499" s="84">
        <v>450.0</v>
      </c>
      <c r="BB499" s="84" t="b">
        <f>IFERROR(__xludf.DUMMYFUNCTION("iferror(if(A499="""",,E499&gt;=FILTER(Constants!$F$2:$F$10,Constants!$A$2:$A$10=A499)))"),TRUE)</f>
        <v>1</v>
      </c>
    </row>
    <row r="500">
      <c r="A500" s="80" t="str">
        <f>IFERROR(__xludf.DUMMYFUNCTION("""COMPUTED_VALUE"""),"Master")</f>
        <v>Master</v>
      </c>
      <c r="B500" s="80" t="str">
        <f>IFERROR(__xludf.DUMMYFUNCTION("""COMPUTED_VALUE"""),"RSC002476")</f>
        <v>RSC002476</v>
      </c>
      <c r="C500" s="80" t="str">
        <f>IFERROR(__xludf.DUMMYFUNCTION("""COMPUTED_VALUE"""),"Argnor")</f>
        <v>Argnor</v>
      </c>
      <c r="D500" s="80" t="str">
        <f>IFERROR(__xludf.DUMMYFUNCTION("""COMPUTED_VALUE"""),"Helicoprions")</f>
        <v>Helicoprions</v>
      </c>
      <c r="E500" s="80">
        <f>IFERROR(__xludf.DUMMYFUNCTION("""COMPUTED_VALUE"""),38.0)</f>
        <v>38</v>
      </c>
      <c r="F500" s="80">
        <f>IFERROR(__xludf.DUMMYFUNCTION("""COMPUTED_VALUE"""),25.0)</f>
        <v>25</v>
      </c>
      <c r="G500" s="80">
        <f>IFERROR(__xludf.DUMMYFUNCTION("""COMPUTED_VALUE"""),13.0)</f>
        <v>13</v>
      </c>
      <c r="H500" s="81">
        <f>IFERROR(__xludf.DUMMYFUNCTION("""COMPUTED_VALUE"""),0.6578947368421053)</f>
        <v>0.6578947368</v>
      </c>
      <c r="I500" s="81">
        <f>IFERROR(__xludf.DUMMYFUNCTION("""COMPUTED_VALUE"""),0.23853211009174313)</f>
        <v>0.2385321101</v>
      </c>
      <c r="J500" s="80">
        <f>IFERROR(__xludf.DUMMYFUNCTION("""COMPUTED_VALUE"""),332.7631578947368)</f>
        <v>332.7631579</v>
      </c>
      <c r="K500" s="80">
        <f>IFERROR(__xludf.DUMMYFUNCTION("""COMPUTED_VALUE"""),0.6842105263157895)</f>
        <v>0.6842105263</v>
      </c>
      <c r="L500" s="80">
        <f>IFERROR(__xludf.DUMMYFUNCTION("""COMPUTED_VALUE"""),0.7105263157894737)</f>
        <v>0.7105263158</v>
      </c>
      <c r="M500" s="80">
        <f>IFERROR(__xludf.DUMMYFUNCTION("""COMPUTED_VALUE"""),1.0789473684210527)</f>
        <v>1.078947368</v>
      </c>
      <c r="N500" s="80">
        <f>IFERROR(__xludf.DUMMYFUNCTION("""COMPUTED_VALUE"""),2.8684210526315788)</f>
        <v>2.868421053</v>
      </c>
      <c r="O500" s="80">
        <f>IFERROR(__xludf.DUMMYFUNCTION("""COMPUTED_VALUE"""),363.64912280701753)</f>
        <v>363.6491228</v>
      </c>
      <c r="P500" s="80">
        <f>IFERROR(__xludf.DUMMYFUNCTION("""COMPUTED_VALUE"""),0.6578947368421053)</f>
        <v>0.6578947368</v>
      </c>
      <c r="Q500" s="80">
        <f>IFERROR(__xludf.DUMMYFUNCTION("""COMPUTED_VALUE"""),0.48245614035087725)</f>
        <v>0.4824561404</v>
      </c>
      <c r="R500" s="80">
        <f>IFERROR(__xludf.DUMMYFUNCTION("""COMPUTED_VALUE"""),1.6666666666666667)</f>
        <v>1.666666667</v>
      </c>
      <c r="S500" s="80">
        <f>IFERROR(__xludf.DUMMYFUNCTION("""COMPUTED_VALUE"""),2.6228070175438596)</f>
        <v>2.622807018</v>
      </c>
      <c r="T500" s="80">
        <f>IFERROR(__xludf.DUMMYFUNCTION("""COMPUTED_VALUE"""),374.58337490192815)</f>
        <v>374.5833749</v>
      </c>
      <c r="U500" s="80">
        <f>IFERROR(__xludf.DUMMYFUNCTION("""COMPUTED_VALUE"""),0.808112516775767)</f>
        <v>0.8081125168</v>
      </c>
      <c r="V500" s="80">
        <f>IFERROR(__xludf.DUMMYFUNCTION("""COMPUTED_VALUE"""),0.6081049826030116)</f>
        <v>0.6081049826</v>
      </c>
      <c r="W500" s="80">
        <f>IFERROR(__xludf.DUMMYFUNCTION("""COMPUTED_VALUE"""),1.5467348106789247)</f>
        <v>1.546734811</v>
      </c>
      <c r="X500" s="80">
        <f>IFERROR(__xludf.DUMMYFUNCTION("""COMPUTED_VALUE"""),2.6786933097088053)</f>
        <v>2.67869331</v>
      </c>
      <c r="Y500" s="80">
        <f>IFERROR(__xludf.DUMMYFUNCTION("""COMPUTED_VALUE"""),391.01685397406817)</f>
        <v>391.016854</v>
      </c>
      <c r="Z500" s="80">
        <f>IFERROR(__xludf.DUMMYFUNCTION("""COMPUTED_VALUE"""),0.901490115631428)</f>
        <v>0.9014901156</v>
      </c>
      <c r="AA500" s="80">
        <f>IFERROR(__xludf.DUMMYFUNCTION("""COMPUTED_VALUE"""),0.6928016284600242)</f>
        <v>0.6928016285</v>
      </c>
      <c r="AB500" s="80">
        <f>IFERROR(__xludf.DUMMYFUNCTION("""COMPUTED_VALUE"""),1.4691658532235083)</f>
        <v>1.469165853</v>
      </c>
      <c r="AC500" s="80">
        <f>IFERROR(__xludf.DUMMYFUNCTION("""COMPUTED_VALUE"""),2.9100010079821015)</f>
        <v>2.910001008</v>
      </c>
      <c r="AD500" s="80">
        <f>IFERROR(__xludf.DUMMYFUNCTION("""COMPUTED_VALUE"""),0.8510199867671313)</f>
        <v>0.8510199868</v>
      </c>
      <c r="AE500" s="80">
        <f>IFERROR(__xludf.DUMMYFUNCTION("""COMPUTED_VALUE"""),0.7589772915441785)</f>
        <v>0.7589772915</v>
      </c>
      <c r="AF500" s="80">
        <f>IFERROR(__xludf.DUMMYFUNCTION("""COMPUTED_VALUE"""),1.025584072844702)</f>
        <v>1.025584073</v>
      </c>
      <c r="AG500" s="80">
        <f>IFERROR(__xludf.DUMMYFUNCTION("""COMPUTED_VALUE"""),0.7343945314640452)</f>
        <v>0.7343945315</v>
      </c>
      <c r="AH500" s="80">
        <f>IFERROR(__xludf.DUMMYFUNCTION("""COMPUTED_VALUE"""),0.9857113604990275)</f>
        <v>0.9857113605</v>
      </c>
      <c r="AI500" s="80">
        <f>IFERROR(__xludf.DUMMYFUNCTION("""COMPUTED_VALUE"""),0.9708095638313543)</f>
        <v>0.9708095638</v>
      </c>
      <c r="AJ500" s="80">
        <f>IFERROR(__xludf.DUMMYFUNCTION("""COMPUTED_VALUE"""),0.8141127914550744)</f>
        <v>0.8141127915</v>
      </c>
      <c r="AK500" s="80">
        <f>IFERROR(__xludf.DUMMYFUNCTION("""COMPUTED_VALUE"""),0.7933763974202436)</f>
        <v>0.7933763974</v>
      </c>
      <c r="AL500" s="80">
        <f>IFERROR(__xludf.DUMMYFUNCTION("""COMPUTED_VALUE"""),1.0775387320177394)</f>
        <v>1.077538732</v>
      </c>
      <c r="AM500" s="80">
        <f>IFERROR(__xludf.DUMMYFUNCTION("""COMPUTED_VALUE"""),0.9791367335848459)</f>
        <v>0.9791367336</v>
      </c>
      <c r="AN500" s="80">
        <f>IFERROR(__xludf.DUMMYFUNCTION("""COMPUTED_VALUE"""),0.887504035395345)</f>
        <v>0.8875040354</v>
      </c>
      <c r="AO500" s="80">
        <f>IFERROR(__xludf.DUMMYFUNCTION("""COMPUTED_VALUE"""),0.828864197770943)</f>
        <v>0.8288641978</v>
      </c>
      <c r="AP500" s="80">
        <f>IFERROR(__xludf.DUMMYFUNCTION("""COMPUTED_VALUE"""),1.0950515408969292)</f>
        <v>1.095051541</v>
      </c>
      <c r="AQ500" s="80">
        <f>IFERROR(__xludf.DUMMYFUNCTION("""COMPUTED_VALUE"""),0.7425975390553722)</f>
        <v>0.7425975391</v>
      </c>
      <c r="AR500" s="80">
        <f>IFERROR(__xludf.DUMMYFUNCTION("""COMPUTED_VALUE"""),1.0552463605314815)</f>
        <v>1.055246361</v>
      </c>
      <c r="AS500" s="80">
        <f>IFERROR(__xludf.DUMMYFUNCTION("""COMPUTED_VALUE"""),91.0)</f>
        <v>91</v>
      </c>
      <c r="AT500" s="80">
        <f>IFERROR(__xludf.DUMMYFUNCTION("""COMPUTED_VALUE"""),0.5732768482569318)</f>
        <v>0.5732768483</v>
      </c>
      <c r="AU500" s="80">
        <f>IFERROR(__xludf.DUMMYFUNCTION("""COMPUTED_VALUE"""),2.992264960814066)</f>
        <v>2.992264961</v>
      </c>
      <c r="AV500" s="80">
        <f>IFERROR(__xludf.DUMMYFUNCTION("""COMPUTED_VALUE"""),47.97405057244824)</f>
        <v>47.97405057</v>
      </c>
      <c r="AW500" s="82">
        <f t="shared" si="1"/>
        <v>-2.13809587</v>
      </c>
      <c r="AX500" s="83">
        <f t="array" ref="AX500">IFERROR(DGET('SBV Import'!A:G,"SBV",{"RSC ID","Tier";B500,A500}))</f>
        <v>38.29087544</v>
      </c>
      <c r="AY500" s="82">
        <f t="shared" si="2"/>
        <v>-3.127327878</v>
      </c>
      <c r="AZ500" s="82">
        <v>0.9892320084483499</v>
      </c>
      <c r="BA500" s="84">
        <v>450.0</v>
      </c>
      <c r="BB500" s="84" t="b">
        <f>IFERROR(__xludf.DUMMYFUNCTION("iferror(if(A500="""",,E500&gt;=FILTER(Constants!$F$2:$F$10,Constants!$A$2:$A$10=A500)))"),TRUE)</f>
        <v>1</v>
      </c>
    </row>
    <row r="501">
      <c r="A501" s="80" t="str">
        <f>IFERROR(__xludf.DUMMYFUNCTION("""COMPUTED_VALUE"""),"Master")</f>
        <v>Master</v>
      </c>
      <c r="B501" s="80" t="str">
        <f>IFERROR(__xludf.DUMMYFUNCTION("""COMPUTED_VALUE"""),"RSC003721")</f>
        <v>RSC003721</v>
      </c>
      <c r="C501" s="80" t="str">
        <f>IFERROR(__xludf.DUMMYFUNCTION("""COMPUTED_VALUE"""),"Kyurmex.")</f>
        <v>Kyurmex.</v>
      </c>
      <c r="D501" s="80" t="str">
        <f>IFERROR(__xludf.DUMMYFUNCTION("""COMPUTED_VALUE"""),"Spectres")</f>
        <v>Spectres</v>
      </c>
      <c r="E501" s="80">
        <f>IFERROR(__xludf.DUMMYFUNCTION("""COMPUTED_VALUE"""),43.0)</f>
        <v>43</v>
      </c>
      <c r="F501" s="80">
        <f>IFERROR(__xludf.DUMMYFUNCTION("""COMPUTED_VALUE"""),16.0)</f>
        <v>16</v>
      </c>
      <c r="G501" s="80">
        <f>IFERROR(__xludf.DUMMYFUNCTION("""COMPUTED_VALUE"""),27.0)</f>
        <v>27</v>
      </c>
      <c r="H501" s="81">
        <f>IFERROR(__xludf.DUMMYFUNCTION("""COMPUTED_VALUE"""),0.37209302325581395)</f>
        <v>0.3720930233</v>
      </c>
      <c r="I501" s="81">
        <f>IFERROR(__xludf.DUMMYFUNCTION("""COMPUTED_VALUE"""),0.29059829059829057)</f>
        <v>0.2905982906</v>
      </c>
      <c r="J501" s="80">
        <f>IFERROR(__xludf.DUMMYFUNCTION("""COMPUTED_VALUE"""),374.7674418604651)</f>
        <v>374.7674419</v>
      </c>
      <c r="K501" s="80">
        <f>IFERROR(__xludf.DUMMYFUNCTION("""COMPUTED_VALUE"""),0.7906976744186046)</f>
        <v>0.7906976744</v>
      </c>
      <c r="L501" s="80">
        <f>IFERROR(__xludf.DUMMYFUNCTION("""COMPUTED_VALUE"""),0.6511627906976745)</f>
        <v>0.6511627907</v>
      </c>
      <c r="M501" s="80">
        <f>IFERROR(__xludf.DUMMYFUNCTION("""COMPUTED_VALUE"""),1.8604651162790697)</f>
        <v>1.860465116</v>
      </c>
      <c r="N501" s="80">
        <f>IFERROR(__xludf.DUMMYFUNCTION("""COMPUTED_VALUE"""),2.7209302325581395)</f>
        <v>2.720930233</v>
      </c>
      <c r="O501" s="80">
        <f>IFERROR(__xludf.DUMMYFUNCTION("""COMPUTED_VALUE"""),419.5581395348838)</f>
        <v>419.5581395</v>
      </c>
      <c r="P501" s="80">
        <f>IFERROR(__xludf.DUMMYFUNCTION("""COMPUTED_VALUE"""),1.031007751937985)</f>
        <v>1.031007752</v>
      </c>
      <c r="Q501" s="80">
        <f>IFERROR(__xludf.DUMMYFUNCTION("""COMPUTED_VALUE"""),0.813953488372093)</f>
        <v>0.8139534884</v>
      </c>
      <c r="R501" s="80">
        <f>IFERROR(__xludf.DUMMYFUNCTION("""COMPUTED_VALUE"""),1.6356589147286824)</f>
        <v>1.635658915</v>
      </c>
      <c r="S501" s="80">
        <f>IFERROR(__xludf.DUMMYFUNCTION("""COMPUTED_VALUE"""),3.131782945736434)</f>
        <v>3.131782946</v>
      </c>
      <c r="T501" s="80">
        <f>IFERROR(__xludf.DUMMYFUNCTION("""COMPUTED_VALUE"""),391.7061346575542)</f>
        <v>391.7061347</v>
      </c>
      <c r="U501" s="80">
        <f>IFERROR(__xludf.DUMMYFUNCTION("""COMPUTED_VALUE"""),0.8883312481486686)</f>
        <v>0.8883312481</v>
      </c>
      <c r="V501" s="80">
        <f>IFERROR(__xludf.DUMMYFUNCTION("""COMPUTED_VALUE"""),0.6745425797594397)</f>
        <v>0.6745425798</v>
      </c>
      <c r="W501" s="80">
        <f>IFERROR(__xludf.DUMMYFUNCTION("""COMPUTED_VALUE"""),1.5148204954819082)</f>
        <v>1.514820495</v>
      </c>
      <c r="X501" s="80">
        <f>IFERROR(__xludf.DUMMYFUNCTION("""COMPUTED_VALUE"""),2.892736881250039)</f>
        <v>2.892736881</v>
      </c>
      <c r="Y501" s="80">
        <f>IFERROR(__xludf.DUMMYFUNCTION("""COMPUTED_VALUE"""),382.89865315170863)</f>
        <v>382.8986532</v>
      </c>
      <c r="Z501" s="80">
        <f>IFERROR(__xludf.DUMMYFUNCTION("""COMPUTED_VALUE"""),0.8479468315288264)</f>
        <v>0.8479468315</v>
      </c>
      <c r="AA501" s="80">
        <f>IFERROR(__xludf.DUMMYFUNCTION("""COMPUTED_VALUE"""),0.6629342677209763)</f>
        <v>0.6629342677</v>
      </c>
      <c r="AB501" s="80">
        <f>IFERROR(__xludf.DUMMYFUNCTION("""COMPUTED_VALUE"""),1.4978554296423041)</f>
        <v>1.49785543</v>
      </c>
      <c r="AC501" s="80">
        <f>IFERROR(__xludf.DUMMYFUNCTION("""COMPUTED_VALUE"""),2.799535793028022)</f>
        <v>2.799535793</v>
      </c>
      <c r="AD501" s="80">
        <f>IFERROR(__xludf.DUMMYFUNCTION("""COMPUTED_VALUE"""),0.9787640640041064)</f>
        <v>0.978764064</v>
      </c>
      <c r="AE501" s="80">
        <f>IFERROR(__xludf.DUMMYFUNCTION("""COMPUTED_VALUE"""),0.9324849684183582)</f>
        <v>0.9324849684</v>
      </c>
      <c r="AF501" s="80">
        <f>IFERROR(__xludf.DUMMYFUNCTION("""COMPUTED_VALUE"""),0.9822433722369345)</f>
        <v>0.9822433722</v>
      </c>
      <c r="AG501" s="80">
        <f>IFERROR(__xludf.DUMMYFUNCTION("""COMPUTED_VALUE"""),1.2420859045945167)</f>
        <v>1.242085905</v>
      </c>
      <c r="AH501" s="80">
        <f>IFERROR(__xludf.DUMMYFUNCTION("""COMPUTED_VALUE"""),0.9719219305337541)</f>
        <v>0.9719219305</v>
      </c>
      <c r="AI501" s="80">
        <f>IFERROR(__xludf.DUMMYFUNCTION("""COMPUTED_VALUE"""),1.0711043366774917)</f>
        <v>1.071104337</v>
      </c>
      <c r="AJ501" s="80">
        <f>IFERROR(__xludf.DUMMYFUNCTION("""COMPUTED_VALUE"""),1.1606118259226637)</f>
        <v>1.160611826</v>
      </c>
      <c r="AK501" s="80">
        <f>IFERROR(__xludf.DUMMYFUNCTION("""COMPUTED_VALUE"""),1.20667473454733)</f>
        <v>1.206674735</v>
      </c>
      <c r="AL501" s="80">
        <f>IFERROR(__xludf.DUMMYFUNCTION("""COMPUTED_VALUE"""),1.0797707844640245)</f>
        <v>1.079770784</v>
      </c>
      <c r="AM501" s="80">
        <f>IFERROR(__xludf.DUMMYFUNCTION("""COMPUTED_VALUE"""),1.0826366428401522)</f>
        <v>1.082636643</v>
      </c>
      <c r="AN501" s="80">
        <f>IFERROR(__xludf.DUMMYFUNCTION("""COMPUTED_VALUE"""),0.999532577735565)</f>
        <v>0.9995325777</v>
      </c>
      <c r="AO501" s="80">
        <f>IFERROR(__xludf.DUMMYFUNCTION("""COMPUTED_VALUE"""),0.9578645290877087)</f>
        <v>0.9578645291</v>
      </c>
      <c r="AP501" s="80">
        <f>IFERROR(__xludf.DUMMYFUNCTION("""COMPUTED_VALUE"""),1.003561446610106)</f>
        <v>1.003561447</v>
      </c>
      <c r="AQ501" s="80">
        <f>IFERROR(__xludf.DUMMYFUNCTION("""COMPUTED_VALUE"""),1.2804858302486282)</f>
        <v>1.28048583</v>
      </c>
      <c r="AR501" s="80">
        <f>IFERROR(__xludf.DUMMYFUNCTION("""COMPUTED_VALUE"""),1.000986839966496)</f>
        <v>1.00098684</v>
      </c>
      <c r="AS501" s="80">
        <f>IFERROR(__xludf.DUMMYFUNCTION("""COMPUTED_VALUE"""),112.0)</f>
        <v>112</v>
      </c>
      <c r="AT501" s="80">
        <f>IFERROR(__xludf.DUMMYFUNCTION("""COMPUTED_VALUE"""),0.42967867135491)</f>
        <v>0.4296786714</v>
      </c>
      <c r="AU501" s="80">
        <f>IFERROR(__xludf.DUMMYFUNCTION("""COMPUTED_VALUE"""),2.9357210366864015)</f>
        <v>2.935721037</v>
      </c>
      <c r="AV501" s="80">
        <f>IFERROR(__xludf.DUMMYFUNCTION("""COMPUTED_VALUE"""),46.46645571067115)</f>
        <v>46.46645571</v>
      </c>
      <c r="AW501" s="82">
        <f t="shared" si="1"/>
        <v>-2.25326736</v>
      </c>
      <c r="AX501" s="83">
        <f t="array" ref="AX501">IFERROR(DGET('SBV Import'!A:G,"SBV",{"RSC ID","Tier";B501,A501}))</f>
        <v>33.816635</v>
      </c>
      <c r="AY501" s="82">
        <f t="shared" si="2"/>
        <v>-3.865366105</v>
      </c>
      <c r="AZ501" s="82">
        <v>1.6120987457662541</v>
      </c>
      <c r="BA501" s="84">
        <v>450.0</v>
      </c>
      <c r="BB501" s="84" t="b">
        <f>IFERROR(__xludf.DUMMYFUNCTION("iferror(if(A501="""",,E501&gt;=FILTER(Constants!$F$2:$F$10,Constants!$A$2:$A$10=A501)))"),TRUE)</f>
        <v>1</v>
      </c>
    </row>
    <row r="502">
      <c r="A502" s="80" t="str">
        <f>IFERROR(__xludf.DUMMYFUNCTION("""COMPUTED_VALUE"""),"Master")</f>
        <v>Master</v>
      </c>
      <c r="B502" s="80" t="str">
        <f>IFERROR(__xludf.DUMMYFUNCTION("""COMPUTED_VALUE"""),"RSC003178")</f>
        <v>RSC003178</v>
      </c>
      <c r="C502" s="80" t="str">
        <f>IFERROR(__xludf.DUMMYFUNCTION("""COMPUTED_VALUE"""),"Snack Time!")</f>
        <v>Snack Time!</v>
      </c>
      <c r="D502" s="80" t="str">
        <f>IFERROR(__xludf.DUMMYFUNCTION("""COMPUTED_VALUE"""),"The OG")</f>
        <v>The OG</v>
      </c>
      <c r="E502" s="80">
        <f>IFERROR(__xludf.DUMMYFUNCTION("""COMPUTED_VALUE"""),32.0)</f>
        <v>32</v>
      </c>
      <c r="F502" s="80">
        <f>IFERROR(__xludf.DUMMYFUNCTION("""COMPUTED_VALUE"""),8.0)</f>
        <v>8</v>
      </c>
      <c r="G502" s="80">
        <f>IFERROR(__xludf.DUMMYFUNCTION("""COMPUTED_VALUE"""),24.0)</f>
        <v>24</v>
      </c>
      <c r="H502" s="81">
        <f>IFERROR(__xludf.DUMMYFUNCTION("""COMPUTED_VALUE"""),0.25)</f>
        <v>0.25</v>
      </c>
      <c r="I502" s="81">
        <f>IFERROR(__xludf.DUMMYFUNCTION("""COMPUTED_VALUE"""),0.3132530120481928)</f>
        <v>0.313253012</v>
      </c>
      <c r="J502" s="80">
        <f>IFERROR(__xludf.DUMMYFUNCTION("""COMPUTED_VALUE"""),349.5625)</f>
        <v>349.5625</v>
      </c>
      <c r="K502" s="80">
        <f>IFERROR(__xludf.DUMMYFUNCTION("""COMPUTED_VALUE"""),0.8125)</f>
        <v>0.8125</v>
      </c>
      <c r="L502" s="80">
        <f>IFERROR(__xludf.DUMMYFUNCTION("""COMPUTED_VALUE"""),0.71875)</f>
        <v>0.71875</v>
      </c>
      <c r="M502" s="80">
        <f>IFERROR(__xludf.DUMMYFUNCTION("""COMPUTED_VALUE"""),1.28125)</f>
        <v>1.28125</v>
      </c>
      <c r="N502" s="80">
        <f>IFERROR(__xludf.DUMMYFUNCTION("""COMPUTED_VALUE"""),2.59375)</f>
        <v>2.59375</v>
      </c>
      <c r="O502" s="80">
        <f>IFERROR(__xludf.DUMMYFUNCTION("""COMPUTED_VALUE"""),437.02083333333314)</f>
        <v>437.0208333</v>
      </c>
      <c r="P502" s="80">
        <f>IFERROR(__xludf.DUMMYFUNCTION("""COMPUTED_VALUE"""),1.1354166666666667)</f>
        <v>1.135416667</v>
      </c>
      <c r="Q502" s="80">
        <f>IFERROR(__xludf.DUMMYFUNCTION("""COMPUTED_VALUE"""),0.8854166666666665)</f>
        <v>0.8854166667</v>
      </c>
      <c r="R502" s="80">
        <f>IFERROR(__xludf.DUMMYFUNCTION("""COMPUTED_VALUE"""),1.5833333333333337)</f>
        <v>1.583333333</v>
      </c>
      <c r="S502" s="80">
        <f>IFERROR(__xludf.DUMMYFUNCTION("""COMPUTED_VALUE"""),3.260416666666667)</f>
        <v>3.260416667</v>
      </c>
      <c r="T502" s="80">
        <f>IFERROR(__xludf.DUMMYFUNCTION("""COMPUTED_VALUE"""),394.739173227439)</f>
        <v>394.7391732</v>
      </c>
      <c r="U502" s="80">
        <f>IFERROR(__xludf.DUMMYFUNCTION("""COMPUTED_VALUE"""),0.9036087986305376)</f>
        <v>0.9036087986</v>
      </c>
      <c r="V502" s="80">
        <f>IFERROR(__xludf.DUMMYFUNCTION("""COMPUTED_VALUE"""),0.6798874839874779)</f>
        <v>0.679887484</v>
      </c>
      <c r="W502" s="80">
        <f>IFERROR(__xludf.DUMMYFUNCTION("""COMPUTED_VALUE"""),1.529162189500507)</f>
        <v>1.52916219</v>
      </c>
      <c r="X502" s="80">
        <f>IFERROR(__xludf.DUMMYFUNCTION("""COMPUTED_VALUE"""),2.875045925589847)</f>
        <v>2.875045926</v>
      </c>
      <c r="Y502" s="80">
        <f>IFERROR(__xludf.DUMMYFUNCTION("""COMPUTED_VALUE"""),382.75079635683704)</f>
        <v>382.7507964</v>
      </c>
      <c r="Z502" s="80">
        <f>IFERROR(__xludf.DUMMYFUNCTION("""COMPUTED_VALUE"""),0.851129558276005)</f>
        <v>0.8511295583</v>
      </c>
      <c r="AA502" s="80">
        <f>IFERROR(__xludf.DUMMYFUNCTION("""COMPUTED_VALUE"""),0.6534903649505002)</f>
        <v>0.653490365</v>
      </c>
      <c r="AB502" s="80">
        <f>IFERROR(__xludf.DUMMYFUNCTION("""COMPUTED_VALUE"""),1.4813442217274169)</f>
        <v>1.481344222</v>
      </c>
      <c r="AC502" s="80">
        <f>IFERROR(__xludf.DUMMYFUNCTION("""COMPUTED_VALUE"""),2.8078854053387885)</f>
        <v>2.807885405</v>
      </c>
      <c r="AD502" s="80">
        <f>IFERROR(__xludf.DUMMYFUNCTION("""COMPUTED_VALUE"""),0.9132900658268109)</f>
        <v>0.9132900658</v>
      </c>
      <c r="AE502" s="80">
        <f>IFERROR(__xludf.DUMMYFUNCTION("""COMPUTED_VALUE"""),0.954613774248129)</f>
        <v>0.9546137742</v>
      </c>
      <c r="AF502" s="80">
        <f>IFERROR(__xludf.DUMMYFUNCTION("""COMPUTED_VALUE"""),1.099863193934685)</f>
        <v>1.099863194</v>
      </c>
      <c r="AG502" s="80">
        <f>IFERROR(__xludf.DUMMYFUNCTION("""COMPUTED_VALUE"""),0.8649238854868694)</f>
        <v>0.8649238855</v>
      </c>
      <c r="AH502" s="80">
        <f>IFERROR(__xludf.DUMMYFUNCTION("""COMPUTED_VALUE"""),0.9237378402510156)</f>
        <v>0.9237378403</v>
      </c>
      <c r="AI502" s="80">
        <f>IFERROR(__xludf.DUMMYFUNCTION("""COMPUTED_VALUE"""),1.1071129063786445)</f>
        <v>1.107112906</v>
      </c>
      <c r="AJ502" s="80">
        <f>IFERROR(__xludf.DUMMYFUNCTION("""COMPUTED_VALUE"""),1.2565356472706386)</f>
        <v>1.256535647</v>
      </c>
      <c r="AK502" s="80">
        <f>IFERROR(__xludf.DUMMYFUNCTION("""COMPUTED_VALUE"""),1.302298817848181)</f>
        <v>1.302298818</v>
      </c>
      <c r="AL502" s="80">
        <f>IFERROR(__xludf.DUMMYFUNCTION("""COMPUTED_VALUE"""),1.0354253748914113)</f>
        <v>1.035425375</v>
      </c>
      <c r="AM502" s="80">
        <f>IFERROR(__xludf.DUMMYFUNCTION("""COMPUTED_VALUE"""),1.1340398557277853)</f>
        <v>1.134039856</v>
      </c>
      <c r="AN502" s="80">
        <f>IFERROR(__xludf.DUMMYFUNCTION("""COMPUTED_VALUE"""),0.9323091274155509)</f>
        <v>0.9323091274</v>
      </c>
      <c r="AO502" s="80">
        <f>IFERROR(__xludf.DUMMYFUNCTION("""COMPUTED_VALUE"""),0.9842762348529949)</f>
        <v>0.9842762349</v>
      </c>
      <c r="AP502" s="80">
        <f>IFERROR(__xludf.DUMMYFUNCTION("""COMPUTED_VALUE"""),1.1077257485461993)</f>
        <v>1.107725749</v>
      </c>
      <c r="AQ502" s="80">
        <f>IFERROR(__xludf.DUMMYFUNCTION("""COMPUTED_VALUE"""),0.8818345776282545)</f>
        <v>0.8818345776</v>
      </c>
      <c r="AR502" s="80">
        <f>IFERROR(__xludf.DUMMYFUNCTION("""COMPUTED_VALUE"""),0.954199260641139)</f>
        <v>0.9541992606</v>
      </c>
      <c r="AS502" s="80">
        <f>IFERROR(__xludf.DUMMYFUNCTION("""COMPUTED_VALUE"""),86.0)</f>
        <v>86</v>
      </c>
      <c r="AT502" s="80">
        <f>IFERROR(__xludf.DUMMYFUNCTION("""COMPUTED_VALUE"""),0.40176470556301314)</f>
        <v>0.4017647056</v>
      </c>
      <c r="AU502" s="80">
        <f>IFERROR(__xludf.DUMMYFUNCTION("""COMPUTED_VALUE"""),2.889890597622088)</f>
        <v>2.889890598</v>
      </c>
      <c r="AV502" s="80">
        <f>IFERROR(__xludf.DUMMYFUNCTION("""COMPUTED_VALUE"""),45.24450772046185)</f>
        <v>45.24450772</v>
      </c>
      <c r="AW502" s="82">
        <f t="shared" si="1"/>
        <v>-2.355332583</v>
      </c>
      <c r="AX502" s="83">
        <f t="array" ref="AX502">IFERROR(DGET('SBV Import'!A:G,"SBV",{"RSC ID","Tier";B502,A502}))</f>
        <v>25.25313945</v>
      </c>
      <c r="AY502" s="82">
        <f t="shared" si="2"/>
        <v>-6.206640737</v>
      </c>
      <c r="AZ502" s="82">
        <v>3.8513081540544745</v>
      </c>
      <c r="BA502" s="84">
        <v>450.0</v>
      </c>
      <c r="BB502" s="84" t="b">
        <f>IFERROR(__xludf.DUMMYFUNCTION("iferror(if(A502="""",,E502&gt;=FILTER(Constants!$F$2:$F$10,Constants!$A$2:$A$10=A502)))"),TRUE)</f>
        <v>1</v>
      </c>
    </row>
    <row r="503">
      <c r="A503" s="80" t="str">
        <f>IFERROR(__xludf.DUMMYFUNCTION("""COMPUTED_VALUE"""),"Master")</f>
        <v>Master</v>
      </c>
      <c r="B503" s="80" t="str">
        <f>IFERROR(__xludf.DUMMYFUNCTION("""COMPUTED_VALUE"""),"RSC007809")</f>
        <v>RSC007809</v>
      </c>
      <c r="C503" s="80" t="str">
        <f>IFERROR(__xludf.DUMMYFUNCTION("""COMPUTED_VALUE"""),"wndr")</f>
        <v>wndr</v>
      </c>
      <c r="D503" s="80" t="str">
        <f>IFERROR(__xludf.DUMMYFUNCTION("""COMPUTED_VALUE"""),"Basilisks")</f>
        <v>Basilisks</v>
      </c>
      <c r="E503" s="80">
        <f>IFERROR(__xludf.DUMMYFUNCTION("""COMPUTED_VALUE"""),38.0)</f>
        <v>38</v>
      </c>
      <c r="F503" s="80">
        <f>IFERROR(__xludf.DUMMYFUNCTION("""COMPUTED_VALUE"""),24.0)</f>
        <v>24</v>
      </c>
      <c r="G503" s="80">
        <f>IFERROR(__xludf.DUMMYFUNCTION("""COMPUTED_VALUE"""),14.0)</f>
        <v>14</v>
      </c>
      <c r="H503" s="81">
        <f>IFERROR(__xludf.DUMMYFUNCTION("""COMPUTED_VALUE"""),0.631578947368421)</f>
        <v>0.6315789474</v>
      </c>
      <c r="I503" s="81">
        <f>IFERROR(__xludf.DUMMYFUNCTION("""COMPUTED_VALUE"""),0.3058823529411765)</f>
        <v>0.3058823529</v>
      </c>
      <c r="J503" s="80">
        <f>IFERROR(__xludf.DUMMYFUNCTION("""COMPUTED_VALUE"""),351.5263157894737)</f>
        <v>351.5263158</v>
      </c>
      <c r="K503" s="80">
        <f>IFERROR(__xludf.DUMMYFUNCTION("""COMPUTED_VALUE"""),0.6842105263157895)</f>
        <v>0.6842105263</v>
      </c>
      <c r="L503" s="80">
        <f>IFERROR(__xludf.DUMMYFUNCTION("""COMPUTED_VALUE"""),0.7368421052631579)</f>
        <v>0.7368421053</v>
      </c>
      <c r="M503" s="80">
        <f>IFERROR(__xludf.DUMMYFUNCTION("""COMPUTED_VALUE"""),1.4473684210526316)</f>
        <v>1.447368421</v>
      </c>
      <c r="N503" s="80">
        <f>IFERROR(__xludf.DUMMYFUNCTION("""COMPUTED_VALUE"""),2.236842105263158)</f>
        <v>2.236842105</v>
      </c>
      <c r="O503" s="80">
        <f>IFERROR(__xludf.DUMMYFUNCTION("""COMPUTED_VALUE"""),356.2456140350877)</f>
        <v>356.245614</v>
      </c>
      <c r="P503" s="80">
        <f>IFERROR(__xludf.DUMMYFUNCTION("""COMPUTED_VALUE"""),0.7105263157894738)</f>
        <v>0.7105263158</v>
      </c>
      <c r="Q503" s="80">
        <f>IFERROR(__xludf.DUMMYFUNCTION("""COMPUTED_VALUE"""),0.5964912280701755)</f>
        <v>0.5964912281</v>
      </c>
      <c r="R503" s="80">
        <f>IFERROR(__xludf.DUMMYFUNCTION("""COMPUTED_VALUE"""),1.4210526315789471)</f>
        <v>1.421052632</v>
      </c>
      <c r="S503" s="80">
        <f>IFERROR(__xludf.DUMMYFUNCTION("""COMPUTED_VALUE"""),2.8947368421052633)</f>
        <v>2.894736842</v>
      </c>
      <c r="T503" s="80">
        <f>IFERROR(__xludf.DUMMYFUNCTION("""COMPUTED_VALUE"""),383.1830926101547)</f>
        <v>383.1830926</v>
      </c>
      <c r="U503" s="80">
        <f>IFERROR(__xludf.DUMMYFUNCTION("""COMPUTED_VALUE"""),0.8493177280483692)</f>
        <v>0.849317728</v>
      </c>
      <c r="V503" s="80">
        <f>IFERROR(__xludf.DUMMYFUNCTION("""COMPUTED_VALUE"""),0.6661002364758384)</f>
        <v>0.6661002365</v>
      </c>
      <c r="W503" s="80">
        <f>IFERROR(__xludf.DUMMYFUNCTION("""COMPUTED_VALUE"""),1.5065592532083978)</f>
        <v>1.506559253</v>
      </c>
      <c r="X503" s="80">
        <f>IFERROR(__xludf.DUMMYFUNCTION("""COMPUTED_VALUE"""),2.8246704085672434)</f>
        <v>2.824670409</v>
      </c>
      <c r="Y503" s="80">
        <f>IFERROR(__xludf.DUMMYFUNCTION("""COMPUTED_VALUE"""),392.4386358050907)</f>
        <v>392.4386358</v>
      </c>
      <c r="Z503" s="80">
        <f>IFERROR(__xludf.DUMMYFUNCTION("""COMPUTED_VALUE"""),0.9058099539667146)</f>
        <v>0.905809954</v>
      </c>
      <c r="AA503" s="80">
        <f>IFERROR(__xludf.DUMMYFUNCTION("""COMPUTED_VALUE"""),0.6889870155459182)</f>
        <v>0.6889870155</v>
      </c>
      <c r="AB503" s="80">
        <f>IFERROR(__xludf.DUMMYFUNCTION("""COMPUTED_VALUE"""),1.5070449291087096)</f>
        <v>1.507044929</v>
      </c>
      <c r="AC503" s="80">
        <f>IFERROR(__xludf.DUMMYFUNCTION("""COMPUTED_VALUE"""),2.878287617799542)</f>
        <v>2.878287618</v>
      </c>
      <c r="AD503" s="80">
        <f>IFERROR(__xludf.DUMMYFUNCTION("""COMPUTED_VALUE"""),0.8957484908903398)</f>
        <v>0.8957484909</v>
      </c>
      <c r="AE503" s="80">
        <f>IFERROR(__xludf.DUMMYFUNCTION("""COMPUTED_VALUE"""),0.7553577031467815)</f>
        <v>0.7553577031</v>
      </c>
      <c r="AF503" s="80">
        <f>IFERROR(__xludf.DUMMYFUNCTION("""COMPUTED_VALUE"""),1.0694571721055173)</f>
        <v>1.069457172</v>
      </c>
      <c r="AG503" s="80">
        <f>IFERROR(__xludf.DUMMYFUNCTION("""COMPUTED_VALUE"""),0.9604016397232619)</f>
        <v>0.9604016397</v>
      </c>
      <c r="AH503" s="80">
        <f>IFERROR(__xludf.DUMMYFUNCTION("""COMPUTED_VALUE"""),0.7771433582350707)</f>
        <v>0.7771433582</v>
      </c>
      <c r="AI503" s="80">
        <f>IFERROR(__xludf.DUMMYFUNCTION("""COMPUTED_VALUE"""),0.9297007642180267)</f>
        <v>0.9297007642</v>
      </c>
      <c r="AJ503" s="80">
        <f>IFERROR(__xludf.DUMMYFUNCTION("""COMPUTED_VALUE"""),0.8365848166412096)</f>
        <v>0.8365848166</v>
      </c>
      <c r="AK503" s="80">
        <f>IFERROR(__xludf.DUMMYFUNCTION("""COMPUTED_VALUE"""),0.8954976975027875)</f>
        <v>0.8954976975</v>
      </c>
      <c r="AL503" s="80">
        <f>IFERROR(__xludf.DUMMYFUNCTION("""COMPUTED_VALUE"""),0.9432437712308002)</f>
        <v>0.9432437712</v>
      </c>
      <c r="AM503" s="80">
        <f>IFERROR(__xludf.DUMMYFUNCTION("""COMPUTED_VALUE"""),1.0248051713663682)</f>
        <v>1.024805171</v>
      </c>
      <c r="AN503" s="80">
        <f>IFERROR(__xludf.DUMMYFUNCTION("""COMPUTED_VALUE"""),0.9375467698545685)</f>
        <v>0.9375467699</v>
      </c>
      <c r="AO503" s="80">
        <f>IFERROR(__xludf.DUMMYFUNCTION("""COMPUTED_VALUE"""),0.828864197770943)</f>
        <v>0.8288641978</v>
      </c>
      <c r="AP503" s="80">
        <f>IFERROR(__xludf.DUMMYFUNCTION("""COMPUTED_VALUE"""),1.1356090053745933)</f>
        <v>1.135609005</v>
      </c>
      <c r="AQ503" s="80">
        <f>IFERROR(__xludf.DUMMYFUNCTION("""COMPUTED_VALUE"""),0.9961674304401335)</f>
        <v>0.9961674304</v>
      </c>
      <c r="AR503" s="80">
        <f>IFERROR(__xludf.DUMMYFUNCTION("""COMPUTED_VALUE"""),0.822898538029137)</f>
        <v>0.822898538</v>
      </c>
      <c r="AS503" s="80">
        <f>IFERROR(__xludf.DUMMYFUNCTION("""COMPUTED_VALUE"""),109.0)</f>
        <v>109</v>
      </c>
      <c r="AT503" s="80">
        <f>IFERROR(__xludf.DUMMYFUNCTION("""COMPUTED_VALUE"""),0.61566965250047)</f>
        <v>0.6156696525</v>
      </c>
      <c r="AU503" s="80">
        <f>IFERROR(__xludf.DUMMYFUNCTION("""COMPUTED_VALUE"""),2.87426919344217)</f>
        <v>2.874269193</v>
      </c>
      <c r="AV503" s="80">
        <f>IFERROR(__xludf.DUMMYFUNCTION("""COMPUTED_VALUE"""),44.82800410776218)</f>
        <v>44.82800411</v>
      </c>
      <c r="AW503" s="82">
        <f t="shared" si="1"/>
        <v>-2.392047767</v>
      </c>
      <c r="AX503" s="83">
        <f t="array" ref="AX503">IFERROR(DGET('SBV Import'!A:G,"SBV",{"RSC ID","Tier";B503,A503}))</f>
        <v>34.50623168</v>
      </c>
      <c r="AY503" s="82">
        <f t="shared" si="2"/>
        <v>-3.735371987</v>
      </c>
      <c r="AZ503" s="82">
        <v>1.3433242191059787</v>
      </c>
      <c r="BA503" s="84">
        <v>450.0</v>
      </c>
      <c r="BB503" s="84" t="b">
        <f>IFERROR(__xludf.DUMMYFUNCTION("iferror(if(A503="""",,E503&gt;=FILTER(Constants!$F$2:$F$10,Constants!$A$2:$A$10=A503)))"),TRUE)</f>
        <v>1</v>
      </c>
    </row>
    <row r="504">
      <c r="A504" s="80" t="str">
        <f>IFERROR(__xludf.DUMMYFUNCTION("""COMPUTED_VALUE"""),"Master")</f>
        <v>Master</v>
      </c>
      <c r="B504" s="80" t="str">
        <f>IFERROR(__xludf.DUMMYFUNCTION("""COMPUTED_VALUE"""),"RSC000203")</f>
        <v>RSC000203</v>
      </c>
      <c r="C504" s="80" t="str">
        <f>IFERROR(__xludf.DUMMYFUNCTION("""COMPUTED_VALUE"""),"FrostyBrew")</f>
        <v>FrostyBrew</v>
      </c>
      <c r="D504" s="80"/>
      <c r="E504" s="80">
        <f>IFERROR(__xludf.DUMMYFUNCTION("""COMPUTED_VALUE"""),4.0)</f>
        <v>4</v>
      </c>
      <c r="F504" s="80">
        <f>IFERROR(__xludf.DUMMYFUNCTION("""COMPUTED_VALUE"""),2.0)</f>
        <v>2</v>
      </c>
      <c r="G504" s="80">
        <f>IFERROR(__xludf.DUMMYFUNCTION("""COMPUTED_VALUE"""),2.0)</f>
        <v>2</v>
      </c>
      <c r="H504" s="81">
        <f>IFERROR(__xludf.DUMMYFUNCTION("""COMPUTED_VALUE"""),0.5)</f>
        <v>0.5</v>
      </c>
      <c r="I504" s="81">
        <f>IFERROR(__xludf.DUMMYFUNCTION("""COMPUTED_VALUE"""),0.3)</f>
        <v>0.3</v>
      </c>
      <c r="J504" s="80">
        <f>IFERROR(__xludf.DUMMYFUNCTION("""COMPUTED_VALUE"""),382.5)</f>
        <v>382.5</v>
      </c>
      <c r="K504" s="80">
        <f>IFERROR(__xludf.DUMMYFUNCTION("""COMPUTED_VALUE"""),0.75)</f>
        <v>0.75</v>
      </c>
      <c r="L504" s="80">
        <f>IFERROR(__xludf.DUMMYFUNCTION("""COMPUTED_VALUE"""),0.75)</f>
        <v>0.75</v>
      </c>
      <c r="M504" s="80">
        <f>IFERROR(__xludf.DUMMYFUNCTION("""COMPUTED_VALUE"""),1.75)</f>
        <v>1.75</v>
      </c>
      <c r="N504" s="80">
        <f>IFERROR(__xludf.DUMMYFUNCTION("""COMPUTED_VALUE"""),2.5)</f>
        <v>2.5</v>
      </c>
      <c r="O504" s="80">
        <f>IFERROR(__xludf.DUMMYFUNCTION("""COMPUTED_VALUE"""),408.9166666666667)</f>
        <v>408.9166667</v>
      </c>
      <c r="P504" s="80">
        <f>IFERROR(__xludf.DUMMYFUNCTION("""COMPUTED_VALUE"""),1.0)</f>
        <v>1</v>
      </c>
      <c r="Q504" s="80">
        <f>IFERROR(__xludf.DUMMYFUNCTION("""COMPUTED_VALUE"""),0.75)</f>
        <v>0.75</v>
      </c>
      <c r="R504" s="80">
        <f>IFERROR(__xludf.DUMMYFUNCTION("""COMPUTED_VALUE"""),1.4166666666666667)</f>
        <v>1.416666667</v>
      </c>
      <c r="S504" s="80">
        <f>IFERROR(__xludf.DUMMYFUNCTION("""COMPUTED_VALUE"""),4.25)</f>
        <v>4.25</v>
      </c>
      <c r="T504" s="80">
        <f>IFERROR(__xludf.DUMMYFUNCTION("""COMPUTED_VALUE"""),390.1769444444444)</f>
        <v>390.1769444</v>
      </c>
      <c r="U504" s="80">
        <f>IFERROR(__xludf.DUMMYFUNCTION("""COMPUTED_VALUE"""),0.9531481481481482)</f>
        <v>0.9531481481</v>
      </c>
      <c r="V504" s="80">
        <f>IFERROR(__xludf.DUMMYFUNCTION("""COMPUTED_VALUE"""),0.5994444444444444)</f>
        <v>0.5994444444</v>
      </c>
      <c r="W504" s="80">
        <f>IFERROR(__xludf.DUMMYFUNCTION("""COMPUTED_VALUE"""),1.4323148148148146)</f>
        <v>1.432314815</v>
      </c>
      <c r="X504" s="80">
        <f>IFERROR(__xludf.DUMMYFUNCTION("""COMPUTED_VALUE"""),3.048148148148148)</f>
        <v>3.048148148</v>
      </c>
      <c r="Y504" s="80">
        <f>IFERROR(__xludf.DUMMYFUNCTION("""COMPUTED_VALUE"""),412.1648957661724)</f>
        <v>412.1648958</v>
      </c>
      <c r="Z504" s="80">
        <f>IFERROR(__xludf.DUMMYFUNCTION("""COMPUTED_VALUE"""),0.9473694390715665)</f>
        <v>0.9473694391</v>
      </c>
      <c r="AA504" s="80">
        <f>IFERROR(__xludf.DUMMYFUNCTION("""COMPUTED_VALUE"""),0.7322652052439288)</f>
        <v>0.7322652052</v>
      </c>
      <c r="AB504" s="80">
        <f>IFERROR(__xludf.DUMMYFUNCTION("""COMPUTED_VALUE"""),1.5820524392864819)</f>
        <v>1.582052439</v>
      </c>
      <c r="AC504" s="80">
        <f>IFERROR(__xludf.DUMMYFUNCTION("""COMPUTED_VALUE"""),2.7083859875349234)</f>
        <v>2.708385988</v>
      </c>
      <c r="AD504" s="80">
        <f>IFERROR(__xludf.DUMMYFUNCTION("""COMPUTED_VALUE"""),0.928026631887152)</f>
        <v>0.9280266319</v>
      </c>
      <c r="AE504" s="80">
        <f>IFERROR(__xludf.DUMMYFUNCTION("""COMPUTED_VALUE"""),0.7916658159619431)</f>
        <v>0.791665816</v>
      </c>
      <c r="AF504" s="80">
        <f>IFERROR(__xludf.DUMMYFUNCTION("""COMPUTED_VALUE"""),1.0242190870589891)</f>
        <v>1.024219087</v>
      </c>
      <c r="AG504" s="80">
        <f>IFERROR(__xludf.DUMMYFUNCTION("""COMPUTED_VALUE"""),1.106158023933305)</f>
        <v>1.106158024</v>
      </c>
      <c r="AH504" s="80">
        <f>IFERROR(__xludf.DUMMYFUNCTION("""COMPUTED_VALUE"""),0.9230589773784095)</f>
        <v>0.9230589774</v>
      </c>
      <c r="AI504" s="80">
        <f>IFERROR(__xludf.DUMMYFUNCTION("""COMPUTED_VALUE"""),1.0480287789656688)</f>
        <v>1.048028779</v>
      </c>
      <c r="AJ504" s="80">
        <f>IFERROR(__xludf.DUMMYFUNCTION("""COMPUTED_VALUE"""),1.0491548474839711)</f>
        <v>1.049154847</v>
      </c>
      <c r="AK504" s="80">
        <f>IFERROR(__xludf.DUMMYFUNCTION("""COMPUTED_VALUE"""),1.2511584800741427)</f>
        <v>1.25115848</v>
      </c>
      <c r="AL504" s="80">
        <f>IFERROR(__xludf.DUMMYFUNCTION("""COMPUTED_VALUE"""),0.9890749240416319)</f>
        <v>0.989074924</v>
      </c>
      <c r="AM504" s="80">
        <f>IFERROR(__xludf.DUMMYFUNCTION("""COMPUTED_VALUE"""),1.3942891859052249)</f>
        <v>1.394289186</v>
      </c>
      <c r="AN504" s="80">
        <f>IFERROR(__xludf.DUMMYFUNCTION("""COMPUTED_VALUE"""),1.0201558841021225)</f>
        <v>1.020155884</v>
      </c>
      <c r="AO504" s="80">
        <f>IFERROR(__xludf.DUMMYFUNCTION("""COMPUTED_VALUE"""),0.9085626783258414)</f>
        <v>0.9085626783</v>
      </c>
      <c r="AP504" s="80">
        <f>IFERROR(__xludf.DUMMYFUNCTION("""COMPUTED_VALUE"""),1.1558877376134253)</f>
        <v>1.155887738</v>
      </c>
      <c r="AQ504" s="80">
        <f>IFERROR(__xludf.DUMMYFUNCTION("""COMPUTED_VALUE"""),1.2044569840776158)</f>
        <v>1.204456984</v>
      </c>
      <c r="AR504" s="80">
        <f>IFERROR(__xludf.DUMMYFUNCTION("""COMPUTED_VALUE"""),0.9197101307384473)</f>
        <v>0.9197101307</v>
      </c>
      <c r="AS504" s="80">
        <f>IFERROR(__xludf.DUMMYFUNCTION("""COMPUTED_VALUE"""),11.0)</f>
        <v>11</v>
      </c>
      <c r="AT504" s="80">
        <f>IFERROR(__xludf.DUMMYFUNCTION("""COMPUTED_VALUE"""),0.46412484476098326)</f>
        <v>0.4641248448</v>
      </c>
      <c r="AU504" s="80">
        <f>IFERROR(__xludf.DUMMYFUNCTION("""COMPUTED_VALUE"""),2.8168398100683034)</f>
        <v>2.81683981</v>
      </c>
      <c r="AV504" s="80">
        <f>IFERROR(__xludf.DUMMYFUNCTION("""COMPUTED_VALUE"""),43.296800806520004)</f>
        <v>43.29680081</v>
      </c>
      <c r="AW504" s="82">
        <f t="shared" si="1"/>
        <v>-2.536137362</v>
      </c>
      <c r="AX504" s="83">
        <f t="array" ref="AX504">IFERROR(DGET('SBV Import'!A:G,"SBV",{"RSC ID","Tier";B504,A504}))</f>
        <v>22.61565</v>
      </c>
      <c r="AY504" s="82">
        <f t="shared" si="2"/>
        <v>-7.316551556</v>
      </c>
      <c r="AZ504" s="82">
        <v>4.78041419396858</v>
      </c>
      <c r="BA504" s="84">
        <v>450.0</v>
      </c>
      <c r="BB504" s="84" t="b">
        <f>IFERROR(__xludf.DUMMYFUNCTION("iferror(if(A504="""",,E504&gt;=FILTER(Constants!$F$2:$F$10,Constants!$A$2:$A$10=A504)))"),TRUE)</f>
        <v>1</v>
      </c>
    </row>
    <row r="505">
      <c r="A505" s="80" t="str">
        <f>IFERROR(__xludf.DUMMYFUNCTION("""COMPUTED_VALUE"""),"Master")</f>
        <v>Master</v>
      </c>
      <c r="B505" s="80" t="str">
        <f>IFERROR(__xludf.DUMMYFUNCTION("""COMPUTED_VALUE"""),"RSC006259")</f>
        <v>RSC006259</v>
      </c>
      <c r="C505" s="80" t="str">
        <f>IFERROR(__xludf.DUMMYFUNCTION("""COMPUTED_VALUE"""),"mojomo")</f>
        <v>mojomo</v>
      </c>
      <c r="D505" s="80" t="str">
        <f>IFERROR(__xludf.DUMMYFUNCTION("""COMPUTED_VALUE"""),"Plinko")</f>
        <v>Plinko</v>
      </c>
      <c r="E505" s="80">
        <f>IFERROR(__xludf.DUMMYFUNCTION("""COMPUTED_VALUE"""),44.0)</f>
        <v>44</v>
      </c>
      <c r="F505" s="80">
        <f>IFERROR(__xludf.DUMMYFUNCTION("""COMPUTED_VALUE"""),18.0)</f>
        <v>18</v>
      </c>
      <c r="G505" s="80">
        <f>IFERROR(__xludf.DUMMYFUNCTION("""COMPUTED_VALUE"""),26.0)</f>
        <v>26</v>
      </c>
      <c r="H505" s="81">
        <f>IFERROR(__xludf.DUMMYFUNCTION("""COMPUTED_VALUE"""),0.4090909090909091)</f>
        <v>0.4090909091</v>
      </c>
      <c r="I505" s="81">
        <f>IFERROR(__xludf.DUMMYFUNCTION("""COMPUTED_VALUE"""),0.2566371681415929)</f>
        <v>0.2566371681</v>
      </c>
      <c r="J505" s="80">
        <f>IFERROR(__xludf.DUMMYFUNCTION("""COMPUTED_VALUE"""),362.8181818181818)</f>
        <v>362.8181818</v>
      </c>
      <c r="K505" s="80">
        <f>IFERROR(__xludf.DUMMYFUNCTION("""COMPUTED_VALUE"""),0.6590909090909091)</f>
        <v>0.6590909091</v>
      </c>
      <c r="L505" s="80">
        <f>IFERROR(__xludf.DUMMYFUNCTION("""COMPUTED_VALUE"""),0.6363636363636364)</f>
        <v>0.6363636364</v>
      </c>
      <c r="M505" s="80">
        <f>IFERROR(__xludf.DUMMYFUNCTION("""COMPUTED_VALUE"""),1.7045454545454546)</f>
        <v>1.704545455</v>
      </c>
      <c r="N505" s="80">
        <f>IFERROR(__xludf.DUMMYFUNCTION("""COMPUTED_VALUE"""),2.5681818181818183)</f>
        <v>2.568181818</v>
      </c>
      <c r="O505" s="80">
        <f>IFERROR(__xludf.DUMMYFUNCTION("""COMPUTED_VALUE"""),412.08333333333337)</f>
        <v>412.0833333</v>
      </c>
      <c r="P505" s="80">
        <f>IFERROR(__xludf.DUMMYFUNCTION("""COMPUTED_VALUE"""),0.9772727272727273)</f>
        <v>0.9772727273</v>
      </c>
      <c r="Q505" s="80">
        <f>IFERROR(__xludf.DUMMYFUNCTION("""COMPUTED_VALUE"""),0.7803030303030304)</f>
        <v>0.7803030303</v>
      </c>
      <c r="R505" s="80">
        <f>IFERROR(__xludf.DUMMYFUNCTION("""COMPUTED_VALUE"""),1.4999999999999998)</f>
        <v>1.5</v>
      </c>
      <c r="S505" s="80">
        <f>IFERROR(__xludf.DUMMYFUNCTION("""COMPUTED_VALUE"""),3.1515151515151514)</f>
        <v>3.151515152</v>
      </c>
      <c r="T505" s="80">
        <f>IFERROR(__xludf.DUMMYFUNCTION("""COMPUTED_VALUE"""),392.78902405328336)</f>
        <v>392.7890241</v>
      </c>
      <c r="U505" s="80">
        <f>IFERROR(__xludf.DUMMYFUNCTION("""COMPUTED_VALUE"""),0.9427354611737006)</f>
        <v>0.9427354612</v>
      </c>
      <c r="V505" s="80">
        <f>IFERROR(__xludf.DUMMYFUNCTION("""COMPUTED_VALUE"""),0.7174944883667957)</f>
        <v>0.7174944884</v>
      </c>
      <c r="W505" s="80">
        <f>IFERROR(__xludf.DUMMYFUNCTION("""COMPUTED_VALUE"""),1.4442750624771317)</f>
        <v>1.444275062</v>
      </c>
      <c r="X505" s="80">
        <f>IFERROR(__xludf.DUMMYFUNCTION("""COMPUTED_VALUE"""),2.892909942065332)</f>
        <v>2.892909942</v>
      </c>
      <c r="Y505" s="80">
        <f>IFERROR(__xludf.DUMMYFUNCTION("""COMPUTED_VALUE"""),379.01634779043076)</f>
        <v>379.0163478</v>
      </c>
      <c r="Z505" s="80">
        <f>IFERROR(__xludf.DUMMYFUNCTION("""COMPUTED_VALUE"""),0.8384794464574931)</f>
        <v>0.8384794465</v>
      </c>
      <c r="AA505" s="80">
        <f>IFERROR(__xludf.DUMMYFUNCTION("""COMPUTED_VALUE"""),0.6409063852416852)</f>
        <v>0.6409063852</v>
      </c>
      <c r="AB505" s="80">
        <f>IFERROR(__xludf.DUMMYFUNCTION("""COMPUTED_VALUE"""),1.472043594263873)</f>
        <v>1.472043594</v>
      </c>
      <c r="AC505" s="80">
        <f>IFERROR(__xludf.DUMMYFUNCTION("""COMPUTED_VALUE"""),2.7475835466212586)</f>
        <v>2.747583547</v>
      </c>
      <c r="AD505" s="80">
        <f>IFERROR(__xludf.DUMMYFUNCTION("""COMPUTED_VALUE"""),0.9572626192334971)</f>
        <v>0.9572626192</v>
      </c>
      <c r="AE505" s="80">
        <f>IFERROR(__xludf.DUMMYFUNCTION("""COMPUTED_VALUE"""),0.7860549377513237)</f>
        <v>0.7860549378</v>
      </c>
      <c r="AF505" s="80">
        <f>IFERROR(__xludf.DUMMYFUNCTION("""COMPUTED_VALUE"""),0.9929119931043662)</f>
        <v>0.9929119931</v>
      </c>
      <c r="AG505" s="80">
        <f>IFERROR(__xludf.DUMMYFUNCTION("""COMPUTED_VALUE"""),1.1579449556980337)</f>
        <v>1.157944956</v>
      </c>
      <c r="AH505" s="80">
        <f>IFERROR(__xludf.DUMMYFUNCTION("""COMPUTED_VALUE"""),0.9347056330061181)</f>
        <v>0.934705633</v>
      </c>
      <c r="AI505" s="80">
        <f>IFERROR(__xludf.DUMMYFUNCTION("""COMPUTED_VALUE"""),1.049121304564337)</f>
        <v>1.049121305</v>
      </c>
      <c r="AJ505" s="80">
        <f>IFERROR(__xludf.DUMMYFUNCTION("""COMPUTED_VALUE"""),1.036635161740949)</f>
        <v>1.036635162</v>
      </c>
      <c r="AK505" s="80">
        <f>IFERROR(__xludf.DUMMYFUNCTION("""COMPUTED_VALUE"""),1.0875387099895404)</f>
        <v>1.08753871</v>
      </c>
      <c r="AL505" s="80">
        <f>IFERROR(__xludf.DUMMYFUNCTION("""COMPUTED_VALUE"""),1.0385833273526803)</f>
        <v>1.038583327</v>
      </c>
      <c r="AM505" s="80">
        <f>IFERROR(__xludf.DUMMYFUNCTION("""COMPUTED_VALUE"""),1.0893927618310835)</f>
        <v>1.089392762</v>
      </c>
      <c r="AN505" s="80">
        <f>IFERROR(__xludf.DUMMYFUNCTION("""COMPUTED_VALUE"""),0.9676630144864102)</f>
        <v>0.9676630145</v>
      </c>
      <c r="AO505" s="80">
        <f>IFERROR(__xludf.DUMMYFUNCTION("""COMPUTED_VALUE"""),0.7984338688317999)</f>
        <v>0.7984338688</v>
      </c>
      <c r="AP505" s="80">
        <f>IFERROR(__xludf.DUMMYFUNCTION("""COMPUTED_VALUE"""),0.9807532319144215)</f>
        <v>0.9807532319</v>
      </c>
      <c r="AQ505" s="80">
        <f>IFERROR(__xludf.DUMMYFUNCTION("""COMPUTED_VALUE"""),1.1731723870885868)</f>
        <v>1.173172387</v>
      </c>
      <c r="AR505" s="80">
        <f>IFERROR(__xludf.DUMMYFUNCTION("""COMPUTED_VALUE"""),0.9447931343040413)</f>
        <v>0.9447931343</v>
      </c>
      <c r="AS505" s="80">
        <f>IFERROR(__xludf.DUMMYFUNCTION("""COMPUTED_VALUE"""),97.0)</f>
        <v>97</v>
      </c>
      <c r="AT505" s="80">
        <f>IFERROR(__xludf.DUMMYFUNCTION("""COMPUTED_VALUE"""),0.38793697027209856)</f>
        <v>0.3879369703</v>
      </c>
      <c r="AU505" s="80">
        <f>IFERROR(__xludf.DUMMYFUNCTION("""COMPUTED_VALUE"""),2.741343134624027)</f>
        <v>2.741343135</v>
      </c>
      <c r="AV505" s="80">
        <f>IFERROR(__xludf.DUMMYFUNCTION("""COMPUTED_VALUE"""),41.28388073178191)</f>
        <v>41.28388073</v>
      </c>
      <c r="AW505" s="82">
        <f t="shared" si="1"/>
        <v>-2.749685116</v>
      </c>
      <c r="AX505" s="83">
        <f t="array" ref="AX505">IFERROR(DGET('SBV Import'!A:G,"SBV",{"RSC ID","Tier";B505,A505}))</f>
        <v>35.52604152</v>
      </c>
      <c r="AY505" s="82">
        <f t="shared" si="2"/>
        <v>-3.554814359</v>
      </c>
      <c r="AZ505" s="82">
        <v>0.8051292428634458</v>
      </c>
      <c r="BA505" s="84">
        <v>450.0</v>
      </c>
      <c r="BB505" s="84" t="b">
        <f>IFERROR(__xludf.DUMMYFUNCTION("iferror(if(A505="""",,E505&gt;=FILTER(Constants!$F$2:$F$10,Constants!$A$2:$A$10=A505)))"),TRUE)</f>
        <v>1</v>
      </c>
    </row>
    <row r="506">
      <c r="A506" s="80" t="str">
        <f>IFERROR(__xludf.DUMMYFUNCTION("""COMPUTED_VALUE"""),"Master")</f>
        <v>Master</v>
      </c>
      <c r="B506" s="80" t="str">
        <f>IFERROR(__xludf.DUMMYFUNCTION("""COMPUTED_VALUE"""),"RSC005524")</f>
        <v>RSC005524</v>
      </c>
      <c r="C506" s="80" t="str">
        <f>IFERROR(__xludf.DUMMYFUNCTION("""COMPUTED_VALUE"""),"RaunchyRomanian")</f>
        <v>RaunchyRomanian</v>
      </c>
      <c r="D506" s="80" t="str">
        <f>IFERROR(__xludf.DUMMYFUNCTION("""COMPUTED_VALUE"""),"Heinous Henchmen")</f>
        <v>Heinous Henchmen</v>
      </c>
      <c r="E506" s="80">
        <f>IFERROR(__xludf.DUMMYFUNCTION("""COMPUTED_VALUE"""),14.0)</f>
        <v>14</v>
      </c>
      <c r="F506" s="80">
        <f>IFERROR(__xludf.DUMMYFUNCTION("""COMPUTED_VALUE"""),5.0)</f>
        <v>5</v>
      </c>
      <c r="G506" s="80">
        <f>IFERROR(__xludf.DUMMYFUNCTION("""COMPUTED_VALUE"""),9.0)</f>
        <v>9</v>
      </c>
      <c r="H506" s="81">
        <f>IFERROR(__xludf.DUMMYFUNCTION("""COMPUTED_VALUE"""),0.35714285714285715)</f>
        <v>0.3571428571</v>
      </c>
      <c r="I506" s="81">
        <f>IFERROR(__xludf.DUMMYFUNCTION("""COMPUTED_VALUE"""),0.37037037037037035)</f>
        <v>0.3703703704</v>
      </c>
      <c r="J506" s="80">
        <f>IFERROR(__xludf.DUMMYFUNCTION("""COMPUTED_VALUE"""),338.14285714285717)</f>
        <v>338.1428571</v>
      </c>
      <c r="K506" s="80">
        <f>IFERROR(__xludf.DUMMYFUNCTION("""COMPUTED_VALUE"""),0.7142857142857143)</f>
        <v>0.7142857143</v>
      </c>
      <c r="L506" s="80">
        <f>IFERROR(__xludf.DUMMYFUNCTION("""COMPUTED_VALUE"""),0.7142857142857143)</f>
        <v>0.7142857143</v>
      </c>
      <c r="M506" s="80">
        <f>IFERROR(__xludf.DUMMYFUNCTION("""COMPUTED_VALUE"""),1.1428571428571428)</f>
        <v>1.142857143</v>
      </c>
      <c r="N506" s="80">
        <f>IFERROR(__xludf.DUMMYFUNCTION("""COMPUTED_VALUE"""),1.9285714285714286)</f>
        <v>1.928571429</v>
      </c>
      <c r="O506" s="80">
        <f>IFERROR(__xludf.DUMMYFUNCTION("""COMPUTED_VALUE"""),413.2857142857142)</f>
        <v>413.2857143</v>
      </c>
      <c r="P506" s="80">
        <f>IFERROR(__xludf.DUMMYFUNCTION("""COMPUTED_VALUE"""),1.1666666666666665)</f>
        <v>1.166666667</v>
      </c>
      <c r="Q506" s="80">
        <f>IFERROR(__xludf.DUMMYFUNCTION("""COMPUTED_VALUE"""),0.8571428571428573)</f>
        <v>0.8571428571</v>
      </c>
      <c r="R506" s="80">
        <f>IFERROR(__xludf.DUMMYFUNCTION("""COMPUTED_VALUE"""),1.1428571428571428)</f>
        <v>1.142857143</v>
      </c>
      <c r="S506" s="80">
        <f>IFERROR(__xludf.DUMMYFUNCTION("""COMPUTED_VALUE"""),3.119047619047619)</f>
        <v>3.119047619</v>
      </c>
      <c r="T506" s="80">
        <f>IFERROR(__xludf.DUMMYFUNCTION("""COMPUTED_VALUE"""),406.6703429038794)</f>
        <v>406.6703429</v>
      </c>
      <c r="U506" s="80">
        <f>IFERROR(__xludf.DUMMYFUNCTION("""COMPUTED_VALUE"""),1.020232025262513)</f>
        <v>1.020232025</v>
      </c>
      <c r="V506" s="80">
        <f>IFERROR(__xludf.DUMMYFUNCTION("""COMPUTED_VALUE"""),0.7557620100303027)</f>
        <v>0.75576201</v>
      </c>
      <c r="W506" s="80">
        <f>IFERROR(__xludf.DUMMYFUNCTION("""COMPUTED_VALUE"""),1.4083227648776433)</f>
        <v>1.408322765</v>
      </c>
      <c r="X506" s="80">
        <f>IFERROR(__xludf.DUMMYFUNCTION("""COMPUTED_VALUE"""),2.9736555826494846)</f>
        <v>2.973655583</v>
      </c>
      <c r="Y506" s="80">
        <f>IFERROR(__xludf.DUMMYFUNCTION("""COMPUTED_VALUE"""),374.3279088638844)</f>
        <v>374.3279089</v>
      </c>
      <c r="Z506" s="80">
        <f>IFERROR(__xludf.DUMMYFUNCTION("""COMPUTED_VALUE"""),0.815646480737944)</f>
        <v>0.8156464807</v>
      </c>
      <c r="AA506" s="80">
        <f>IFERROR(__xludf.DUMMYFUNCTION("""COMPUTED_VALUE"""),0.6247424643257977)</f>
        <v>0.6247424643</v>
      </c>
      <c r="AB506" s="80">
        <f>IFERROR(__xludf.DUMMYFUNCTION("""COMPUTED_VALUE"""),1.4849467591337508)</f>
        <v>1.484946759</v>
      </c>
      <c r="AC506" s="80">
        <f>IFERROR(__xludf.DUMMYFUNCTION("""COMPUTED_VALUE"""),2.5882845025629577)</f>
        <v>2.588284503</v>
      </c>
      <c r="AD506" s="80">
        <f>IFERROR(__xludf.DUMMYFUNCTION("""COMPUTED_VALUE"""),0.9033332784860958)</f>
        <v>0.9033332785</v>
      </c>
      <c r="AE506" s="80">
        <f>IFERROR(__xludf.DUMMYFUNCTION("""COMPUTED_VALUE"""),0.8757295362072487)</f>
        <v>0.8757295362</v>
      </c>
      <c r="AF506" s="80">
        <f>IFERROR(__xludf.DUMMYFUNCTION("""COMPUTED_VALUE"""),1.143328259359717)</f>
        <v>1.143328259</v>
      </c>
      <c r="AG506" s="80">
        <f>IFERROR(__xludf.DUMMYFUNCTION("""COMPUTED_VALUE"""),0.7696283626517578)</f>
        <v>0.7696283627</v>
      </c>
      <c r="AH506" s="80">
        <f>IFERROR(__xludf.DUMMYFUNCTION("""COMPUTED_VALUE"""),0.7451157037264368)</f>
        <v>0.7451157037</v>
      </c>
      <c r="AI506" s="80">
        <f>IFERROR(__xludf.DUMMYFUNCTION("""COMPUTED_VALUE"""),1.0162671596226982)</f>
        <v>1.01626716</v>
      </c>
      <c r="AJ506" s="80">
        <f>IFERROR(__xludf.DUMMYFUNCTION("""COMPUTED_VALUE"""),1.1435307241668629)</f>
        <v>1.143530724</v>
      </c>
      <c r="AK506" s="80">
        <f>IFERROR(__xludf.DUMMYFUNCTION("""COMPUTED_VALUE"""),1.1341438783202262)</f>
        <v>1.134143878</v>
      </c>
      <c r="AL506" s="80">
        <f>IFERROR(__xludf.DUMMYFUNCTION("""COMPUTED_VALUE"""),0.81150228581048)</f>
        <v>0.8115022858</v>
      </c>
      <c r="AM506" s="80">
        <f>IFERROR(__xludf.DUMMYFUNCTION("""COMPUTED_VALUE"""),1.0488933678958854)</f>
        <v>1.048893368</v>
      </c>
      <c r="AN506" s="80">
        <f>IFERROR(__xludf.DUMMYFUNCTION("""COMPUTED_VALUE"""),0.9018520925003639)</f>
        <v>0.9018520925</v>
      </c>
      <c r="AO506" s="80">
        <f>IFERROR(__xludf.DUMMYFUNCTION("""COMPUTED_VALUE"""),0.8652977888817537)</f>
        <v>0.8652977889</v>
      </c>
      <c r="AP506" s="80">
        <f>IFERROR(__xludf.DUMMYFUNCTION("""COMPUTED_VALUE"""),1.1008454643937384)</f>
        <v>1.100845464</v>
      </c>
      <c r="AQ506" s="80">
        <f>IFERROR(__xludf.DUMMYFUNCTION("""COMPUTED_VALUE"""),0.7865841528670144)</f>
        <v>0.7865841529</v>
      </c>
      <c r="AR506" s="80">
        <f>IFERROR(__xludf.DUMMYFUNCTION("""COMPUTED_VALUE"""),0.709490672283945)</f>
        <v>0.7094906723</v>
      </c>
      <c r="AS506" s="80">
        <f>IFERROR(__xludf.DUMMYFUNCTION("""COMPUTED_VALUE"""),37.0)</f>
        <v>37</v>
      </c>
      <c r="AT506" s="80">
        <f>IFERROR(__xludf.DUMMYFUNCTION("""COMPUTED_VALUE"""),0.38391761056947543)</f>
        <v>0.3839176106</v>
      </c>
      <c r="AU506" s="80">
        <f>IFERROR(__xludf.DUMMYFUNCTION("""COMPUTED_VALUE"""),2.7089837418823275)</f>
        <v>2.708983742</v>
      </c>
      <c r="AV506" s="80">
        <f>IFERROR(__xludf.DUMMYFUNCTION("""COMPUTED_VALUE"""),40.421102723706866)</f>
        <v>40.42110272</v>
      </c>
      <c r="AW506" s="82">
        <f t="shared" si="1"/>
        <v>-2.850610152</v>
      </c>
      <c r="AX506" s="83">
        <f t="array" ref="AX506">IFERROR(DGET('SBV Import'!A:G,"SBV",{"RSC ID","Tier";B506,A506}))</f>
        <v>31.52470575</v>
      </c>
      <c r="AY506" s="82">
        <f t="shared" si="2"/>
        <v>-4.348772887</v>
      </c>
      <c r="AZ506" s="82">
        <v>1.4981627359935055</v>
      </c>
      <c r="BA506" s="84">
        <v>450.0</v>
      </c>
      <c r="BB506" s="84" t="b">
        <f>IFERROR(__xludf.DUMMYFUNCTION("iferror(if(A506="""",,E506&gt;=FILTER(Constants!$F$2:$F$10,Constants!$A$2:$A$10=A506)))"),TRUE)</f>
        <v>1</v>
      </c>
    </row>
    <row r="507">
      <c r="A507" s="80" t="str">
        <f>IFERROR(__xludf.DUMMYFUNCTION("""COMPUTED_VALUE"""),"Master")</f>
        <v>Master</v>
      </c>
      <c r="B507" s="80" t="str">
        <f>IFERROR(__xludf.DUMMYFUNCTION("""COMPUTED_VALUE"""),"RSC000232")</f>
        <v>RSC000232</v>
      </c>
      <c r="C507" s="80" t="str">
        <f>IFERROR(__xludf.DUMMYFUNCTION("""COMPUTED_VALUE"""),"Unexpected")</f>
        <v>Unexpected</v>
      </c>
      <c r="D507" s="80" t="str">
        <f>IFERROR(__xludf.DUMMYFUNCTION("""COMPUTED_VALUE"""),"Lemurs")</f>
        <v>Lemurs</v>
      </c>
      <c r="E507" s="80">
        <f>IFERROR(__xludf.DUMMYFUNCTION("""COMPUTED_VALUE"""),48.0)</f>
        <v>48</v>
      </c>
      <c r="F507" s="80">
        <f>IFERROR(__xludf.DUMMYFUNCTION("""COMPUTED_VALUE"""),28.0)</f>
        <v>28</v>
      </c>
      <c r="G507" s="80">
        <f>IFERROR(__xludf.DUMMYFUNCTION("""COMPUTED_VALUE"""),20.0)</f>
        <v>20</v>
      </c>
      <c r="H507" s="81">
        <f>IFERROR(__xludf.DUMMYFUNCTION("""COMPUTED_VALUE"""),0.5833333333333334)</f>
        <v>0.5833333333</v>
      </c>
      <c r="I507" s="81">
        <f>IFERROR(__xludf.DUMMYFUNCTION("""COMPUTED_VALUE"""),0.2833333333333333)</f>
        <v>0.2833333333</v>
      </c>
      <c r="J507" s="80">
        <f>IFERROR(__xludf.DUMMYFUNCTION("""COMPUTED_VALUE"""),360.1041666666667)</f>
        <v>360.1041667</v>
      </c>
      <c r="K507" s="80">
        <f>IFERROR(__xludf.DUMMYFUNCTION("""COMPUTED_VALUE"""),0.7083333333333334)</f>
        <v>0.7083333333</v>
      </c>
      <c r="L507" s="80">
        <f>IFERROR(__xludf.DUMMYFUNCTION("""COMPUTED_VALUE"""),0.625)</f>
        <v>0.625</v>
      </c>
      <c r="M507" s="80">
        <f>IFERROR(__xludf.DUMMYFUNCTION("""COMPUTED_VALUE"""),1.4791666666666667)</f>
        <v>1.479166667</v>
      </c>
      <c r="N507" s="80">
        <f>IFERROR(__xludf.DUMMYFUNCTION("""COMPUTED_VALUE"""),2.5)</f>
        <v>2.5</v>
      </c>
      <c r="O507" s="80">
        <f>IFERROR(__xludf.DUMMYFUNCTION("""COMPUTED_VALUE"""),403.11347517730496)</f>
        <v>403.1134752</v>
      </c>
      <c r="P507" s="80">
        <f>IFERROR(__xludf.DUMMYFUNCTION("""COMPUTED_VALUE"""),0.929078014184397)</f>
        <v>0.9290780142</v>
      </c>
      <c r="Q507" s="80">
        <f>IFERROR(__xludf.DUMMYFUNCTION("""COMPUTED_VALUE"""),0.7092198581560284)</f>
        <v>0.7092198582</v>
      </c>
      <c r="R507" s="80">
        <f>IFERROR(__xludf.DUMMYFUNCTION("""COMPUTED_VALUE"""),1.5319148936170215)</f>
        <v>1.531914894</v>
      </c>
      <c r="S507" s="80">
        <f>IFERROR(__xludf.DUMMYFUNCTION("""COMPUTED_VALUE"""),2.702127659574468)</f>
        <v>2.70212766</v>
      </c>
      <c r="T507" s="80">
        <f>IFERROR(__xludf.DUMMYFUNCTION("""COMPUTED_VALUE"""),382.4577861637627)</f>
        <v>382.4577862</v>
      </c>
      <c r="U507" s="80">
        <f>IFERROR(__xludf.DUMMYFUNCTION("""COMPUTED_VALUE"""),0.8543278755195249)</f>
        <v>0.8543278755</v>
      </c>
      <c r="V507" s="80">
        <f>IFERROR(__xludf.DUMMYFUNCTION("""COMPUTED_VALUE"""),0.6752437980974998)</f>
        <v>0.6752437981</v>
      </c>
      <c r="W507" s="80">
        <f>IFERROR(__xludf.DUMMYFUNCTION("""COMPUTED_VALUE"""),1.479947635281444)</f>
        <v>1.479947635</v>
      </c>
      <c r="X507" s="80">
        <f>IFERROR(__xludf.DUMMYFUNCTION("""COMPUTED_VALUE"""),2.732641579675824)</f>
        <v>2.73264158</v>
      </c>
      <c r="Y507" s="80">
        <f>IFERROR(__xludf.DUMMYFUNCTION("""COMPUTED_VALUE"""),389.6884752875669)</f>
        <v>389.6884753</v>
      </c>
      <c r="Z507" s="80">
        <f>IFERROR(__xludf.DUMMYFUNCTION("""COMPUTED_VALUE"""),0.9005876933373701)</f>
        <v>0.9005876933</v>
      </c>
      <c r="AA507" s="80">
        <f>IFERROR(__xludf.DUMMYFUNCTION("""COMPUTED_VALUE"""),0.6824907917526871)</f>
        <v>0.6824907918</v>
      </c>
      <c r="AB507" s="80">
        <f>IFERROR(__xludf.DUMMYFUNCTION("""COMPUTED_VALUE"""),1.495567526977796)</f>
        <v>1.495567527</v>
      </c>
      <c r="AC507" s="80">
        <f>IFERROR(__xludf.DUMMYFUNCTION("""COMPUTED_VALUE"""),2.859125460115681)</f>
        <v>2.85912546</v>
      </c>
      <c r="AD507" s="80">
        <f>IFERROR(__xludf.DUMMYFUNCTION("""COMPUTED_VALUE"""),0.9240821566532889)</f>
        <v>0.9240821567</v>
      </c>
      <c r="AE507" s="80">
        <f>IFERROR(__xludf.DUMMYFUNCTION("""COMPUTED_VALUE"""),0.7865234430512964)</f>
        <v>0.7865234431</v>
      </c>
      <c r="AF507" s="80">
        <f>IFERROR(__xludf.DUMMYFUNCTION("""COMPUTED_VALUE"""),0.9157632711716938)</f>
        <v>0.9157632712</v>
      </c>
      <c r="AG507" s="80">
        <f>IFERROR(__xludf.DUMMYFUNCTION("""COMPUTED_VALUE"""),0.9890336878708034)</f>
        <v>0.9890336879</v>
      </c>
      <c r="AH507" s="80">
        <f>IFERROR(__xludf.DUMMYFUNCTION("""COMPUTED_VALUE"""),0.8743932488708801)</f>
        <v>0.8743932489</v>
      </c>
      <c r="AI507" s="80">
        <f>IFERROR(__xludf.DUMMYFUNCTION("""COMPUTED_VALUE"""),1.0540077617996193)</f>
        <v>1.054007762</v>
      </c>
      <c r="AJ507" s="80">
        <f>IFERROR(__xludf.DUMMYFUNCTION("""COMPUTED_VALUE"""),1.0874958441680436)</f>
        <v>1.087495844</v>
      </c>
      <c r="AK507" s="80">
        <f>IFERROR(__xludf.DUMMYFUNCTION("""COMPUTED_VALUE"""),1.0503167302746892)</f>
        <v>1.05031673</v>
      </c>
      <c r="AL507" s="80">
        <f>IFERROR(__xludf.DUMMYFUNCTION("""COMPUTED_VALUE"""),1.0351142547862477)</f>
        <v>1.035114255</v>
      </c>
      <c r="AM507" s="80">
        <f>IFERROR(__xludf.DUMMYFUNCTION("""COMPUTED_VALUE"""),0.9888335446813424)</f>
        <v>0.9888335447</v>
      </c>
      <c r="AN507" s="80">
        <f>IFERROR(__xludf.DUMMYFUNCTION("""COMPUTED_VALUE"""),0.960424534678932)</f>
        <v>0.9604245347</v>
      </c>
      <c r="AO507" s="80">
        <f>IFERROR(__xludf.DUMMYFUNCTION("""COMPUTED_VALUE"""),0.8580869739744058)</f>
        <v>0.858086974</v>
      </c>
      <c r="AP507" s="80">
        <f>IFERROR(__xludf.DUMMYFUNCTION("""COMPUTED_VALUE"""),0.9632397813445212)</f>
        <v>0.9632397813</v>
      </c>
      <c r="AQ507" s="80">
        <f>IFERROR(__xludf.DUMMYFUNCTION("""COMPUTED_VALUE"""),1.018052927017985)</f>
        <v>1.018052927</v>
      </c>
      <c r="AR507" s="80">
        <f>IFERROR(__xludf.DUMMYFUNCTION("""COMPUTED_VALUE"""),0.9197101307384473)</f>
        <v>0.9197101307</v>
      </c>
      <c r="AS507" s="80">
        <f>IFERROR(__xludf.DUMMYFUNCTION("""COMPUTED_VALUE"""),127.0)</f>
        <v>127</v>
      </c>
      <c r="AT507" s="80">
        <f>IFERROR(__xludf.DUMMYFUNCTION("""COMPUTED_VALUE"""),0.47885666632159696)</f>
        <v>0.4788566663</v>
      </c>
      <c r="AU507" s="80">
        <f>IFERROR(__xludf.DUMMYFUNCTION("""COMPUTED_VALUE"""),2.696504336275192)</f>
        <v>2.696504336</v>
      </c>
      <c r="AV507" s="80">
        <f>IFERROR(__xludf.DUMMYFUNCTION("""COMPUTED_VALUE"""),40.08837223034967)</f>
        <v>40.08837223</v>
      </c>
      <c r="AW507" s="82">
        <f t="shared" si="1"/>
        <v>-2.891168017</v>
      </c>
      <c r="AX507" s="83">
        <f t="array" ref="AX507">IFERROR(DGET('SBV Import'!A:G,"SBV",{"RSC ID","Tier";B507,A507}))</f>
        <v>38.60625201</v>
      </c>
      <c r="AY507" s="82">
        <f t="shared" si="2"/>
        <v>-3.083708086</v>
      </c>
      <c r="AZ507" s="82">
        <v>0.19254006875731466</v>
      </c>
      <c r="BA507" s="84">
        <v>450.0</v>
      </c>
      <c r="BB507" s="84" t="b">
        <f>IFERROR(__xludf.DUMMYFUNCTION("iferror(if(A507="""",,E507&gt;=FILTER(Constants!$F$2:$F$10,Constants!$A$2:$A$10=A507)))"),TRUE)</f>
        <v>1</v>
      </c>
    </row>
    <row r="508">
      <c r="A508" s="80" t="str">
        <f>IFERROR(__xludf.DUMMYFUNCTION("""COMPUTED_VALUE"""),"Master")</f>
        <v>Master</v>
      </c>
      <c r="B508" s="80" t="str">
        <f>IFERROR(__xludf.DUMMYFUNCTION("""COMPUTED_VALUE"""),"RSC002050")</f>
        <v>RSC002050</v>
      </c>
      <c r="C508" s="80" t="str">
        <f>IFERROR(__xludf.DUMMYFUNCTION("""COMPUTED_VALUE"""),"Goobz")</f>
        <v>Goobz</v>
      </c>
      <c r="D508" s="80" t="str">
        <f>IFERROR(__xludf.DUMMYFUNCTION("""COMPUTED_VALUE"""),"Plinko")</f>
        <v>Plinko</v>
      </c>
      <c r="E508" s="80">
        <f>IFERROR(__xludf.DUMMYFUNCTION("""COMPUTED_VALUE"""),37.0)</f>
        <v>37</v>
      </c>
      <c r="F508" s="80">
        <f>IFERROR(__xludf.DUMMYFUNCTION("""COMPUTED_VALUE"""),18.0)</f>
        <v>18</v>
      </c>
      <c r="G508" s="80">
        <f>IFERROR(__xludf.DUMMYFUNCTION("""COMPUTED_VALUE"""),19.0)</f>
        <v>19</v>
      </c>
      <c r="H508" s="81">
        <f>IFERROR(__xludf.DUMMYFUNCTION("""COMPUTED_VALUE"""),0.4864864864864865)</f>
        <v>0.4864864865</v>
      </c>
      <c r="I508" s="81">
        <f>IFERROR(__xludf.DUMMYFUNCTION("""COMPUTED_VALUE"""),0.24752475247524752)</f>
        <v>0.2475247525</v>
      </c>
      <c r="J508" s="80">
        <f>IFERROR(__xludf.DUMMYFUNCTION("""COMPUTED_VALUE"""),365.8918918918919)</f>
        <v>365.8918919</v>
      </c>
      <c r="K508" s="80">
        <f>IFERROR(__xludf.DUMMYFUNCTION("""COMPUTED_VALUE"""),0.6756756756756757)</f>
        <v>0.6756756757</v>
      </c>
      <c r="L508" s="80">
        <f>IFERROR(__xludf.DUMMYFUNCTION("""COMPUTED_VALUE"""),0.4864864864864865)</f>
        <v>0.4864864865</v>
      </c>
      <c r="M508" s="80">
        <f>IFERROR(__xludf.DUMMYFUNCTION("""COMPUTED_VALUE"""),1.7027027027027026)</f>
        <v>1.702702703</v>
      </c>
      <c r="N508" s="80">
        <f>IFERROR(__xludf.DUMMYFUNCTION("""COMPUTED_VALUE"""),2.72972972972973)</f>
        <v>2.72972973</v>
      </c>
      <c r="O508" s="80">
        <f>IFERROR(__xludf.DUMMYFUNCTION("""COMPUTED_VALUE"""),393.6576576576575)</f>
        <v>393.6576577</v>
      </c>
      <c r="P508" s="80">
        <f>IFERROR(__xludf.DUMMYFUNCTION("""COMPUTED_VALUE"""),0.8108108108108109)</f>
        <v>0.8108108108</v>
      </c>
      <c r="Q508" s="80">
        <f>IFERROR(__xludf.DUMMYFUNCTION("""COMPUTED_VALUE"""),0.6666666666666666)</f>
        <v>0.6666666667</v>
      </c>
      <c r="R508" s="80">
        <f>IFERROR(__xludf.DUMMYFUNCTION("""COMPUTED_VALUE"""),1.5675675675675673)</f>
        <v>1.567567568</v>
      </c>
      <c r="S508" s="80">
        <f>IFERROR(__xludf.DUMMYFUNCTION("""COMPUTED_VALUE"""),2.981981981981982)</f>
        <v>2.981981982</v>
      </c>
      <c r="T508" s="80">
        <f>IFERROR(__xludf.DUMMYFUNCTION("""COMPUTED_VALUE"""),390.9147295265913)</f>
        <v>390.9147295</v>
      </c>
      <c r="U508" s="80">
        <f>IFERROR(__xludf.DUMMYFUNCTION("""COMPUTED_VALUE"""),0.9116012392211641)</f>
        <v>0.9116012392</v>
      </c>
      <c r="V508" s="80">
        <f>IFERROR(__xludf.DUMMYFUNCTION("""COMPUTED_VALUE"""),0.7091444446247092)</f>
        <v>0.7091444446</v>
      </c>
      <c r="W508" s="80">
        <f>IFERROR(__xludf.DUMMYFUNCTION("""COMPUTED_VALUE"""),1.4414365331772685)</f>
        <v>1.441436533</v>
      </c>
      <c r="X508" s="80">
        <f>IFERROR(__xludf.DUMMYFUNCTION("""COMPUTED_VALUE"""),2.871672040278972)</f>
        <v>2.87167204</v>
      </c>
      <c r="Y508" s="80">
        <f>IFERROR(__xludf.DUMMYFUNCTION("""COMPUTED_VALUE"""),382.5081897036972)</f>
        <v>382.5081897</v>
      </c>
      <c r="Z508" s="80">
        <f>IFERROR(__xludf.DUMMYFUNCTION("""COMPUTED_VALUE"""),0.841836483584728)</f>
        <v>0.8418364836</v>
      </c>
      <c r="AA508" s="80">
        <f>IFERROR(__xludf.DUMMYFUNCTION("""COMPUTED_VALUE"""),0.6367978212349377)</f>
        <v>0.6367978212</v>
      </c>
      <c r="AB508" s="80">
        <f>IFERROR(__xludf.DUMMYFUNCTION("""COMPUTED_VALUE"""),1.4941474719819205)</f>
        <v>1.494147472</v>
      </c>
      <c r="AC508" s="80">
        <f>IFERROR(__xludf.DUMMYFUNCTION("""COMPUTED_VALUE"""),2.7516735321601264)</f>
        <v>2.751673532</v>
      </c>
      <c r="AD508" s="80">
        <f>IFERROR(__xludf.DUMMYFUNCTION("""COMPUTED_VALUE"""),0.9565596286325874)</f>
        <v>0.9565596286</v>
      </c>
      <c r="AE508" s="80">
        <f>IFERROR(__xludf.DUMMYFUNCTION("""COMPUTED_VALUE"""),0.8026210420324118)</f>
        <v>0.802621042</v>
      </c>
      <c r="AF508" s="80">
        <f>IFERROR(__xludf.DUMMYFUNCTION("""COMPUTED_VALUE"""),0.7639575235088691)</f>
        <v>0.7639575235</v>
      </c>
      <c r="AG508" s="80">
        <f>IFERROR(__xludf.DUMMYFUNCTION("""COMPUTED_VALUE"""),1.1395814232741985)</f>
        <v>1.139581423</v>
      </c>
      <c r="AH508" s="80">
        <f>IFERROR(__xludf.DUMMYFUNCTION("""COMPUTED_VALUE"""),0.9920252885475225)</f>
        <v>0.9920252885</v>
      </c>
      <c r="AI508" s="80">
        <f>IFERROR(__xludf.DUMMYFUNCTION("""COMPUTED_VALUE"""),1.0070166916820658)</f>
        <v>1.007016692</v>
      </c>
      <c r="AJ508" s="80">
        <f>IFERROR(__xludf.DUMMYFUNCTION("""COMPUTED_VALUE"""),0.8894358365545174)</f>
        <v>0.8894358366</v>
      </c>
      <c r="AK508" s="80">
        <f>IFERROR(__xludf.DUMMYFUNCTION("""COMPUTED_VALUE"""),0.940099963723861)</f>
        <v>0.9400999637</v>
      </c>
      <c r="AL508" s="80">
        <f>IFERROR(__xludf.DUMMYFUNCTION("""COMPUTED_VALUE"""),1.0875037030678527)</f>
        <v>1.087503703</v>
      </c>
      <c r="AM508" s="80">
        <f>IFERROR(__xludf.DUMMYFUNCTION("""COMPUTED_VALUE"""),1.038413140552183)</f>
        <v>1.038413141</v>
      </c>
      <c r="AN508" s="80">
        <f>IFERROR(__xludf.DUMMYFUNCTION("""COMPUTED_VALUE"""),0.9758608273431927)</f>
        <v>0.9758608273</v>
      </c>
      <c r="AO508" s="80">
        <f>IFERROR(__xludf.DUMMYFUNCTION("""COMPUTED_VALUE"""),0.8185249354286859)</f>
        <v>0.8185249354</v>
      </c>
      <c r="AP508" s="80">
        <f>IFERROR(__xludf.DUMMYFUNCTION("""COMPUTED_VALUE"""),0.7497650189924923)</f>
        <v>0.749765019</v>
      </c>
      <c r="AQ508" s="80">
        <f>IFERROR(__xludf.DUMMYFUNCTION("""COMPUTED_VALUE"""),1.1719040926160587)</f>
        <v>1.171904093</v>
      </c>
      <c r="AR508" s="80">
        <f>IFERROR(__xludf.DUMMYFUNCTION("""COMPUTED_VALUE"""),1.0042240346441424)</f>
        <v>1.004224035</v>
      </c>
      <c r="AS508" s="80">
        <f>IFERROR(__xludf.DUMMYFUNCTION("""COMPUTED_VALUE"""),88.0)</f>
        <v>88</v>
      </c>
      <c r="AT508" s="80">
        <f>IFERROR(__xludf.DUMMYFUNCTION("""COMPUTED_VALUE"""),0.49118241017034436)</f>
        <v>0.4911824102</v>
      </c>
      <c r="AU508" s="80">
        <f>IFERROR(__xludf.DUMMYFUNCTION("""COMPUTED_VALUE"""),2.684391944945835)</f>
        <v>2.684391945</v>
      </c>
      <c r="AV508" s="80">
        <f>IFERROR(__xludf.DUMMYFUNCTION("""COMPUTED_VALUE"""),39.765427206393724)</f>
        <v>39.76542721</v>
      </c>
      <c r="AW508" s="82">
        <f t="shared" si="1"/>
        <v>-2.931439444</v>
      </c>
      <c r="AX508" s="83">
        <f t="array" ref="AX508">IFERROR(DGET('SBV Import'!A:G,"SBV",{"RSC ID","Tier";B508,A508}))</f>
        <v>32.8194498</v>
      </c>
      <c r="AY508" s="82">
        <f t="shared" si="2"/>
        <v>-4.065512995</v>
      </c>
      <c r="AZ508" s="82">
        <v>1.1340735514367952</v>
      </c>
      <c r="BA508" s="84">
        <v>450.0</v>
      </c>
      <c r="BB508" s="84" t="b">
        <f>IFERROR(__xludf.DUMMYFUNCTION("iferror(if(A508="""",,E508&gt;=FILTER(Constants!$F$2:$F$10,Constants!$A$2:$A$10=A508)))"),TRUE)</f>
        <v>1</v>
      </c>
    </row>
    <row r="509">
      <c r="A509" s="80" t="str">
        <f>IFERROR(__xludf.DUMMYFUNCTION("""COMPUTED_VALUE"""),"Master")</f>
        <v>Master</v>
      </c>
      <c r="B509" s="80" t="str">
        <f>IFERROR(__xludf.DUMMYFUNCTION("""COMPUTED_VALUE"""),"RSC003801")</f>
        <v>RSC003801</v>
      </c>
      <c r="C509" s="80" t="str">
        <f>IFERROR(__xludf.DUMMYFUNCTION("""COMPUTED_VALUE"""),"veil._")</f>
        <v>veil._</v>
      </c>
      <c r="D509" s="80" t="str">
        <f>IFERROR(__xludf.DUMMYFUNCTION("""COMPUTED_VALUE"""),"Basilisks")</f>
        <v>Basilisks</v>
      </c>
      <c r="E509" s="80">
        <f>IFERROR(__xludf.DUMMYFUNCTION("""COMPUTED_VALUE"""),14.0)</f>
        <v>14</v>
      </c>
      <c r="F509" s="80">
        <f>IFERROR(__xludf.DUMMYFUNCTION("""COMPUTED_VALUE"""),6.0)</f>
        <v>6</v>
      </c>
      <c r="G509" s="80">
        <f>IFERROR(__xludf.DUMMYFUNCTION("""COMPUTED_VALUE"""),8.0)</f>
        <v>8</v>
      </c>
      <c r="H509" s="81">
        <f>IFERROR(__xludf.DUMMYFUNCTION("""COMPUTED_VALUE"""),0.42857142857142855)</f>
        <v>0.4285714286</v>
      </c>
      <c r="I509" s="81">
        <f>IFERROR(__xludf.DUMMYFUNCTION("""COMPUTED_VALUE"""),0.37500000000000006)</f>
        <v>0.375</v>
      </c>
      <c r="J509" s="80">
        <f>IFERROR(__xludf.DUMMYFUNCTION("""COMPUTED_VALUE"""),352.0)</f>
        <v>352</v>
      </c>
      <c r="K509" s="80">
        <f>IFERROR(__xludf.DUMMYFUNCTION("""COMPUTED_VALUE"""),0.6428571428571429)</f>
        <v>0.6428571429</v>
      </c>
      <c r="L509" s="80">
        <f>IFERROR(__xludf.DUMMYFUNCTION("""COMPUTED_VALUE"""),0.7142857142857143)</f>
        <v>0.7142857143</v>
      </c>
      <c r="M509" s="80">
        <f>IFERROR(__xludf.DUMMYFUNCTION("""COMPUTED_VALUE"""),1.7142857142857142)</f>
        <v>1.714285714</v>
      </c>
      <c r="N509" s="80">
        <f>IFERROR(__xludf.DUMMYFUNCTION("""COMPUTED_VALUE"""),1.7142857142857142)</f>
        <v>1.714285714</v>
      </c>
      <c r="O509" s="80">
        <f>IFERROR(__xludf.DUMMYFUNCTION("""COMPUTED_VALUE"""),396.59523809523813)</f>
        <v>396.5952381</v>
      </c>
      <c r="P509" s="80">
        <f>IFERROR(__xludf.DUMMYFUNCTION("""COMPUTED_VALUE"""),0.9285714285714287)</f>
        <v>0.9285714286</v>
      </c>
      <c r="Q509" s="80">
        <f>IFERROR(__xludf.DUMMYFUNCTION("""COMPUTED_VALUE"""),0.738095238095238)</f>
        <v>0.7380952381</v>
      </c>
      <c r="R509" s="80">
        <f>IFERROR(__xludf.DUMMYFUNCTION("""COMPUTED_VALUE"""),1.3095238095238095)</f>
        <v>1.30952381</v>
      </c>
      <c r="S509" s="80">
        <f>IFERROR(__xludf.DUMMYFUNCTION("""COMPUTED_VALUE"""),3.4761904761904754)</f>
        <v>3.476190476</v>
      </c>
      <c r="T509" s="80">
        <f>IFERROR(__xludf.DUMMYFUNCTION("""COMPUTED_VALUE"""),391.4608401684936)</f>
        <v>391.4608402</v>
      </c>
      <c r="U509" s="80">
        <f>IFERROR(__xludf.DUMMYFUNCTION("""COMPUTED_VALUE"""),0.8716831896190175)</f>
        <v>0.8716831896</v>
      </c>
      <c r="V509" s="80">
        <f>IFERROR(__xludf.DUMMYFUNCTION("""COMPUTED_VALUE"""),0.666427189516565)</f>
        <v>0.6664271895</v>
      </c>
      <c r="W509" s="80">
        <f>IFERROR(__xludf.DUMMYFUNCTION("""COMPUTED_VALUE"""),1.4766271304638423)</f>
        <v>1.47662713</v>
      </c>
      <c r="X509" s="80">
        <f>IFERROR(__xludf.DUMMYFUNCTION("""COMPUTED_VALUE"""),2.9349516947802843)</f>
        <v>2.934951695</v>
      </c>
      <c r="Y509" s="80">
        <f>IFERROR(__xludf.DUMMYFUNCTION("""COMPUTED_VALUE"""),386.8378160308308)</f>
        <v>386.837816</v>
      </c>
      <c r="Z509" s="80">
        <f>IFERROR(__xludf.DUMMYFUNCTION("""COMPUTED_VALUE"""),0.8301527665397275)</f>
        <v>0.8301527665</v>
      </c>
      <c r="AA509" s="80">
        <f>IFERROR(__xludf.DUMMYFUNCTION("""COMPUTED_VALUE"""),0.6250133274711047)</f>
        <v>0.6250133275</v>
      </c>
      <c r="AB509" s="80">
        <f>IFERROR(__xludf.DUMMYFUNCTION("""COMPUTED_VALUE"""),1.580973556806478)</f>
        <v>1.580973557</v>
      </c>
      <c r="AC509" s="80">
        <f>IFERROR(__xludf.DUMMYFUNCTION("""COMPUTED_VALUE"""),2.7477301851135842)</f>
        <v>2.747730185</v>
      </c>
      <c r="AD509" s="80">
        <f>IFERROR(__xludf.DUMMYFUNCTION("""COMPUTED_VALUE"""),0.9099420620551372)</f>
        <v>0.9099420621</v>
      </c>
      <c r="AE509" s="80">
        <f>IFERROR(__xludf.DUMMYFUNCTION("""COMPUTED_VALUE"""),0.7743841480366597)</f>
        <v>0.774384148</v>
      </c>
      <c r="AF509" s="80">
        <f>IFERROR(__xludf.DUMMYFUNCTION("""COMPUTED_VALUE"""),1.1428327731439243)</f>
        <v>1.142832773</v>
      </c>
      <c r="AG509" s="80">
        <f>IFERROR(__xludf.DUMMYFUNCTION("""COMPUTED_VALUE"""),1.0843228255812976)</f>
        <v>1.084322826</v>
      </c>
      <c r="AH509" s="80">
        <f>IFERROR(__xludf.DUMMYFUNCTION("""COMPUTED_VALUE"""),0.6238915755168479)</f>
        <v>0.6238915755</v>
      </c>
      <c r="AI509" s="80">
        <f>IFERROR(__xludf.DUMMYFUNCTION("""COMPUTED_VALUE"""),1.01311599373397)</f>
        <v>1.013115994</v>
      </c>
      <c r="AJ509" s="80">
        <f>IFERROR(__xludf.DUMMYFUNCTION("""COMPUTED_VALUE"""),1.065262516967059)</f>
        <v>1.065262517</v>
      </c>
      <c r="AK509" s="80">
        <f>IFERROR(__xludf.DUMMYFUNCTION("""COMPUTED_VALUE"""),1.1075407031796856)</f>
        <v>1.107540703</v>
      </c>
      <c r="AL509" s="80">
        <f>IFERROR(__xludf.DUMMYFUNCTION("""COMPUTED_VALUE"""),0.8868344502870256)</f>
        <v>0.8868344503</v>
      </c>
      <c r="AM509" s="80">
        <f>IFERROR(__xludf.DUMMYFUNCTION("""COMPUTED_VALUE"""),1.1844114785169264)</f>
        <v>1.184411479</v>
      </c>
      <c r="AN509" s="80">
        <f>IFERROR(__xludf.DUMMYFUNCTION("""COMPUTED_VALUE"""),0.9388101207946331)</f>
        <v>0.9388101208</v>
      </c>
      <c r="AO509" s="80">
        <f>IFERROR(__xludf.DUMMYFUNCTION("""COMPUTED_VALUE"""),0.7787680099935784)</f>
        <v>0.77876801</v>
      </c>
      <c r="AP509" s="80">
        <f>IFERROR(__xludf.DUMMYFUNCTION("""COMPUTED_VALUE"""),1.1008454643937384)</f>
        <v>1.100845464</v>
      </c>
      <c r="AQ509" s="80">
        <f>IFERROR(__xludf.DUMMYFUNCTION("""COMPUTED_VALUE"""),1.1798762293005216)</f>
        <v>1.179876229</v>
      </c>
      <c r="AR509" s="80">
        <f>IFERROR(__xludf.DUMMYFUNCTION("""COMPUTED_VALUE"""),0.6306583753635067)</f>
        <v>0.6306583754</v>
      </c>
      <c r="AS509" s="80">
        <f>IFERROR(__xludf.DUMMYFUNCTION("""COMPUTED_VALUE"""),35.0)</f>
        <v>35</v>
      </c>
      <c r="AT509" s="80">
        <f>IFERROR(__xludf.DUMMYFUNCTION("""COMPUTED_VALUE"""),0.45648365762265347)</f>
        <v>0.4564836576</v>
      </c>
      <c r="AU509" s="80">
        <f>IFERROR(__xludf.DUMMYFUNCTION("""COMPUTED_VALUE"""),2.541040979660716)</f>
        <v>2.54104098</v>
      </c>
      <c r="AV509" s="80">
        <f>IFERROR(__xludf.DUMMYFUNCTION("""COMPUTED_VALUE"""),35.94335114731639)</f>
        <v>35.94335115</v>
      </c>
      <c r="AW509" s="82">
        <f t="shared" si="1"/>
        <v>-3.484716194</v>
      </c>
      <c r="AX509" s="83">
        <f t="array" ref="AX509">IFERROR(DGET('SBV Import'!A:G,"SBV",{"RSC ID","Tier";B509,A509}))</f>
        <v>20.62068596</v>
      </c>
      <c r="AY509" s="82">
        <f t="shared" si="2"/>
        <v>-8.335914504</v>
      </c>
      <c r="AZ509" s="82">
        <v>4.851198310334446</v>
      </c>
      <c r="BA509" s="84">
        <v>450.0</v>
      </c>
      <c r="BB509" s="84" t="b">
        <f>IFERROR(__xludf.DUMMYFUNCTION("iferror(if(A509="""",,E509&gt;=FILTER(Constants!$F$2:$F$10,Constants!$A$2:$A$10=A509)))"),TRUE)</f>
        <v>1</v>
      </c>
    </row>
    <row r="510">
      <c r="A510" s="80" t="str">
        <f>IFERROR(__xludf.DUMMYFUNCTION("""COMPUTED_VALUE"""),"Master")</f>
        <v>Master</v>
      </c>
      <c r="B510" s="80" t="str">
        <f>IFERROR(__xludf.DUMMYFUNCTION("""COMPUTED_VALUE"""),"RSC007558")</f>
        <v>RSC007558</v>
      </c>
      <c r="C510" s="80" t="str">
        <f>IFERROR(__xludf.DUMMYFUNCTION("""COMPUTED_VALUE"""),"Frijole")</f>
        <v>Frijole</v>
      </c>
      <c r="D510" s="80" t="str">
        <f>IFERROR(__xludf.DUMMYFUNCTION("""COMPUTED_VALUE"""),"Fromunda Frauds")</f>
        <v>Fromunda Frauds</v>
      </c>
      <c r="E510" s="80">
        <f>IFERROR(__xludf.DUMMYFUNCTION("""COMPUTED_VALUE"""),34.0)</f>
        <v>34</v>
      </c>
      <c r="F510" s="80">
        <f>IFERROR(__xludf.DUMMYFUNCTION("""COMPUTED_VALUE"""),14.0)</f>
        <v>14</v>
      </c>
      <c r="G510" s="80">
        <f>IFERROR(__xludf.DUMMYFUNCTION("""COMPUTED_VALUE"""),20.0)</f>
        <v>20</v>
      </c>
      <c r="H510" s="81">
        <f>IFERROR(__xludf.DUMMYFUNCTION("""COMPUTED_VALUE"""),0.4117647058823529)</f>
        <v>0.4117647059</v>
      </c>
      <c r="I510" s="81">
        <f>IFERROR(__xludf.DUMMYFUNCTION("""COMPUTED_VALUE"""),0.3026315789473684)</f>
        <v>0.3026315789</v>
      </c>
      <c r="J510" s="80">
        <f>IFERROR(__xludf.DUMMYFUNCTION("""COMPUTED_VALUE"""),340.8235294117647)</f>
        <v>340.8235294</v>
      </c>
      <c r="K510" s="80">
        <f>IFERROR(__xludf.DUMMYFUNCTION("""COMPUTED_VALUE"""),0.6764705882352942)</f>
        <v>0.6764705882</v>
      </c>
      <c r="L510" s="80">
        <f>IFERROR(__xludf.DUMMYFUNCTION("""COMPUTED_VALUE"""),0.5882352941176471)</f>
        <v>0.5882352941</v>
      </c>
      <c r="M510" s="80">
        <f>IFERROR(__xludf.DUMMYFUNCTION("""COMPUTED_VALUE"""),1.3235294117647058)</f>
        <v>1.323529412</v>
      </c>
      <c r="N510" s="80">
        <f>IFERROR(__xludf.DUMMYFUNCTION("""COMPUTED_VALUE"""),2.235294117647059)</f>
        <v>2.235294118</v>
      </c>
      <c r="O510" s="80">
        <f>IFERROR(__xludf.DUMMYFUNCTION("""COMPUTED_VALUE"""),399.66666666666663)</f>
        <v>399.6666667</v>
      </c>
      <c r="P510" s="80">
        <f>IFERROR(__xludf.DUMMYFUNCTION("""COMPUTED_VALUE"""),0.9607843137254903)</f>
        <v>0.9607843137</v>
      </c>
      <c r="Q510" s="80">
        <f>IFERROR(__xludf.DUMMYFUNCTION("""COMPUTED_VALUE"""),0.7450980392156862)</f>
        <v>0.7450980392</v>
      </c>
      <c r="R510" s="80">
        <f>IFERROR(__xludf.DUMMYFUNCTION("""COMPUTED_VALUE"""),1.4313725490196079)</f>
        <v>1.431372549</v>
      </c>
      <c r="S510" s="80">
        <f>IFERROR(__xludf.DUMMYFUNCTION("""COMPUTED_VALUE"""),2.8529411764705874)</f>
        <v>2.852941176</v>
      </c>
      <c r="T510" s="80">
        <f>IFERROR(__xludf.DUMMYFUNCTION("""COMPUTED_VALUE"""),391.87898960972177)</f>
        <v>391.8789896</v>
      </c>
      <c r="U510" s="80">
        <f>IFERROR(__xludf.DUMMYFUNCTION("""COMPUTED_VALUE"""),0.923307421266875)</f>
        <v>0.9233074213</v>
      </c>
      <c r="V510" s="80">
        <f>IFERROR(__xludf.DUMMYFUNCTION("""COMPUTED_VALUE"""),0.6815744028097624)</f>
        <v>0.6815744028</v>
      </c>
      <c r="W510" s="80">
        <f>IFERROR(__xludf.DUMMYFUNCTION("""COMPUTED_VALUE"""),1.4661454018303655)</f>
        <v>1.466145402</v>
      </c>
      <c r="X510" s="80">
        <f>IFERROR(__xludf.DUMMYFUNCTION("""COMPUTED_VALUE"""),2.849314507575997)</f>
        <v>2.849314508</v>
      </c>
      <c r="Y510" s="80">
        <f>IFERROR(__xludf.DUMMYFUNCTION("""COMPUTED_VALUE"""),383.6732040575288)</f>
        <v>383.6732041</v>
      </c>
      <c r="Z510" s="80">
        <f>IFERROR(__xludf.DUMMYFUNCTION("""COMPUTED_VALUE"""),0.8597606285355498)</f>
        <v>0.8597606285</v>
      </c>
      <c r="AA510" s="80">
        <f>IFERROR(__xludf.DUMMYFUNCTION("""COMPUTED_VALUE"""),0.6493326161600818)</f>
        <v>0.6493326162</v>
      </c>
      <c r="AB510" s="80">
        <f>IFERROR(__xludf.DUMMYFUNCTION("""COMPUTED_VALUE"""),1.4790141941833652)</f>
        <v>1.479014194</v>
      </c>
      <c r="AC510" s="80">
        <f>IFERROR(__xludf.DUMMYFUNCTION("""COMPUTED_VALUE"""),2.7846013602678426)</f>
        <v>2.78460136</v>
      </c>
      <c r="AD510" s="80">
        <f>IFERROR(__xludf.DUMMYFUNCTION("""COMPUTED_VALUE"""),0.8883172601250018)</f>
        <v>0.8883172601</v>
      </c>
      <c r="AE510" s="80">
        <f>IFERROR(__xludf.DUMMYFUNCTION("""COMPUTED_VALUE"""),0.7868127078435101)</f>
        <v>0.7868127078</v>
      </c>
      <c r="AF510" s="80">
        <f>IFERROR(__xludf.DUMMYFUNCTION("""COMPUTED_VALUE"""),0.9059075110014616)</f>
        <v>0.905907511</v>
      </c>
      <c r="AG510" s="80">
        <f>IFERROR(__xludf.DUMMYFUNCTION("""COMPUTED_VALUE"""),0.8948726908570949)</f>
        <v>0.8948726909</v>
      </c>
      <c r="AH510" s="80">
        <f>IFERROR(__xludf.DUMMYFUNCTION("""COMPUTED_VALUE"""),0.8027339746153297)</f>
        <v>0.8027339746</v>
      </c>
      <c r="AI510" s="80">
        <f>IFERROR(__xludf.DUMMYFUNCTION("""COMPUTED_VALUE"""),1.0198726577934192)</f>
        <v>1.019872658</v>
      </c>
      <c r="AJ510" s="80">
        <f>IFERROR(__xludf.DUMMYFUNCTION("""COMPUTED_VALUE"""),1.0405898312906368)</f>
        <v>1.040589831</v>
      </c>
      <c r="AK510" s="80">
        <f>IFERROR(__xludf.DUMMYFUNCTION("""COMPUTED_VALUE"""),1.0932013235004867)</f>
        <v>1.093201324</v>
      </c>
      <c r="AL510" s="80">
        <f>IFERROR(__xludf.DUMMYFUNCTION("""COMPUTED_VALUE"""),0.9762828074436911)</f>
        <v>0.9762828074</v>
      </c>
      <c r="AM510" s="80">
        <f>IFERROR(__xludf.DUMMYFUNCTION("""COMPUTED_VALUE"""),1.0012728215453042)</f>
        <v>1.001272822</v>
      </c>
      <c r="AN510" s="80">
        <f>IFERROR(__xludf.DUMMYFUNCTION("""COMPUTED_VALUE"""),0.9090016443656591)</f>
        <v>0.9090016444</v>
      </c>
      <c r="AO510" s="80">
        <f>IFERROR(__xludf.DUMMYFUNCTION("""COMPUTED_VALUE"""),0.819487905940955)</f>
        <v>0.8194879059</v>
      </c>
      <c r="AP510" s="80">
        <f>IFERROR(__xludf.DUMMYFUNCTION("""COMPUTED_VALUE"""),0.90657861773602)</f>
        <v>0.9065786177</v>
      </c>
      <c r="AQ510" s="80">
        <f>IFERROR(__xludf.DUMMYFUNCTION("""COMPUTED_VALUE"""),0.9109338535040792)</f>
        <v>0.9109338535</v>
      </c>
      <c r="AR510" s="80">
        <f>IFERROR(__xludf.DUMMYFUNCTION("""COMPUTED_VALUE"""),0.8223290580720235)</f>
        <v>0.8223290581</v>
      </c>
      <c r="AS510" s="80">
        <f>IFERROR(__xludf.DUMMYFUNCTION("""COMPUTED_VALUE"""),76.0)</f>
        <v>76</v>
      </c>
      <c r="AT510" s="80">
        <f>IFERROR(__xludf.DUMMYFUNCTION("""COMPUTED_VALUE"""),0.3998242824099608)</f>
        <v>0.3998242824</v>
      </c>
      <c r="AU510" s="80">
        <f>IFERROR(__xludf.DUMMYFUNCTION("""COMPUTED_VALUE"""),2.5215570505388056)</f>
        <v>2.521557051</v>
      </c>
      <c r="AV510" s="80">
        <f>IFERROR(__xludf.DUMMYFUNCTION("""COMPUTED_VALUE"""),35.42386347672069)</f>
        <v>35.42386348</v>
      </c>
      <c r="AW510" s="82">
        <f t="shared" si="1"/>
        <v>-3.572304443</v>
      </c>
      <c r="AX510" s="83">
        <f t="array" ref="AX510">IFERROR(DGET('SBV Import'!A:G,"SBV",{"RSC ID","Tier";B510,A510}))</f>
        <v>33.99506477</v>
      </c>
      <c r="AY510" s="82">
        <f t="shared" si="2"/>
        <v>-3.831092737</v>
      </c>
      <c r="AZ510" s="82">
        <v>0.25878829461888087</v>
      </c>
      <c r="BA510" s="84">
        <v>450.0</v>
      </c>
      <c r="BB510" s="84" t="b">
        <f>IFERROR(__xludf.DUMMYFUNCTION("iferror(if(A510="""",,E510&gt;=FILTER(Constants!$F$2:$F$10,Constants!$A$2:$A$10=A510)))"),TRUE)</f>
        <v>1</v>
      </c>
    </row>
    <row r="511">
      <c r="A511" s="80" t="str">
        <f>IFERROR(__xludf.DUMMYFUNCTION("""COMPUTED_VALUE"""),"Master")</f>
        <v>Master</v>
      </c>
      <c r="B511" s="80" t="str">
        <f>IFERROR(__xludf.DUMMYFUNCTION("""COMPUTED_VALUE"""),"RSC007354")</f>
        <v>RSC007354</v>
      </c>
      <c r="C511" s="80" t="str">
        <f>IFERROR(__xludf.DUMMYFUNCTION("""COMPUTED_VALUE"""),"Fanatic")</f>
        <v>Fanatic</v>
      </c>
      <c r="D511" s="80" t="str">
        <f>IFERROR(__xludf.DUMMYFUNCTION("""COMPUTED_VALUE"""),"Desolation")</f>
        <v>Desolation</v>
      </c>
      <c r="E511" s="80">
        <f>IFERROR(__xludf.DUMMYFUNCTION("""COMPUTED_VALUE"""),4.0)</f>
        <v>4</v>
      </c>
      <c r="F511" s="80">
        <f>IFERROR(__xludf.DUMMYFUNCTION("""COMPUTED_VALUE"""),3.0)</f>
        <v>3</v>
      </c>
      <c r="G511" s="80">
        <f>IFERROR(__xludf.DUMMYFUNCTION("""COMPUTED_VALUE"""),1.0)</f>
        <v>1</v>
      </c>
      <c r="H511" s="81">
        <f>IFERROR(__xludf.DUMMYFUNCTION("""COMPUTED_VALUE"""),0.75)</f>
        <v>0.75</v>
      </c>
      <c r="I511" s="81">
        <f>IFERROR(__xludf.DUMMYFUNCTION("""COMPUTED_VALUE"""),0.25)</f>
        <v>0.25</v>
      </c>
      <c r="J511" s="80">
        <f>IFERROR(__xludf.DUMMYFUNCTION("""COMPUTED_VALUE"""),350.75)</f>
        <v>350.75</v>
      </c>
      <c r="K511" s="80">
        <f>IFERROR(__xludf.DUMMYFUNCTION("""COMPUTED_VALUE"""),0.5)</f>
        <v>0.5</v>
      </c>
      <c r="L511" s="80">
        <f>IFERROR(__xludf.DUMMYFUNCTION("""COMPUTED_VALUE"""),0.75)</f>
        <v>0.75</v>
      </c>
      <c r="M511" s="80">
        <f>IFERROR(__xludf.DUMMYFUNCTION("""COMPUTED_VALUE"""),2.0)</f>
        <v>2</v>
      </c>
      <c r="N511" s="80">
        <f>IFERROR(__xludf.DUMMYFUNCTION("""COMPUTED_VALUE"""),2.0)</f>
        <v>2</v>
      </c>
      <c r="O511" s="80">
        <f>IFERROR(__xludf.DUMMYFUNCTION("""COMPUTED_VALUE"""),358.5)</f>
        <v>358.5</v>
      </c>
      <c r="P511" s="80">
        <f>IFERROR(__xludf.DUMMYFUNCTION("""COMPUTED_VALUE"""),0.8333333333333333)</f>
        <v>0.8333333333</v>
      </c>
      <c r="Q511" s="80">
        <f>IFERROR(__xludf.DUMMYFUNCTION("""COMPUTED_VALUE"""),0.6666666666666666)</f>
        <v>0.6666666667</v>
      </c>
      <c r="R511" s="80">
        <f>IFERROR(__xludf.DUMMYFUNCTION("""COMPUTED_VALUE"""),1.0833333333333333)</f>
        <v>1.083333333</v>
      </c>
      <c r="S511" s="80">
        <f>IFERROR(__xludf.DUMMYFUNCTION("""COMPUTED_VALUE"""),3.0)</f>
        <v>3</v>
      </c>
      <c r="T511" s="80">
        <f>IFERROR(__xludf.DUMMYFUNCTION("""COMPUTED_VALUE"""),384.62987012987014)</f>
        <v>384.6298701</v>
      </c>
      <c r="U511" s="80">
        <f>IFERROR(__xludf.DUMMYFUNCTION("""COMPUTED_VALUE"""),0.8975468975468975)</f>
        <v>0.8975468975</v>
      </c>
      <c r="V511" s="80">
        <f>IFERROR(__xludf.DUMMYFUNCTION("""COMPUTED_VALUE"""),0.5916305916305916)</f>
        <v>0.5916305916</v>
      </c>
      <c r="W511" s="80">
        <f>IFERROR(__xludf.DUMMYFUNCTION("""COMPUTED_VALUE"""),1.4545454545454544)</f>
        <v>1.454545455</v>
      </c>
      <c r="X511" s="80">
        <f>IFERROR(__xludf.DUMMYFUNCTION("""COMPUTED_VALUE"""),2.9184704184704184)</f>
        <v>2.918470418</v>
      </c>
      <c r="Y511" s="80">
        <f>IFERROR(__xludf.DUMMYFUNCTION("""COMPUTED_VALUE"""),369.2811447811448)</f>
        <v>369.2811448</v>
      </c>
      <c r="Z511" s="80">
        <f>IFERROR(__xludf.DUMMYFUNCTION("""COMPUTED_VALUE"""),0.9776334776334776)</f>
        <v>0.9776334776</v>
      </c>
      <c r="AA511" s="80">
        <f>IFERROR(__xludf.DUMMYFUNCTION("""COMPUTED_VALUE"""),0.689033189033189)</f>
        <v>0.689033189</v>
      </c>
      <c r="AB511" s="80">
        <f>IFERROR(__xludf.DUMMYFUNCTION("""COMPUTED_VALUE"""),1.3011063011063009)</f>
        <v>1.301106301</v>
      </c>
      <c r="AC511" s="80">
        <f>IFERROR(__xludf.DUMMYFUNCTION("""COMPUTED_VALUE"""),2.5735930735930737)</f>
        <v>2.573593074</v>
      </c>
      <c r="AD511" s="80">
        <f>IFERROR(__xludf.DUMMYFUNCTION("""COMPUTED_VALUE"""),0.9498183293595255)</f>
        <v>0.9498183294</v>
      </c>
      <c r="AE511" s="80">
        <f>IFERROR(__xludf.DUMMYFUNCTION("""COMPUTED_VALUE"""),0.5114391143911439)</f>
        <v>0.5114391144</v>
      </c>
      <c r="AF511" s="80">
        <f>IFERROR(__xludf.DUMMYFUNCTION("""COMPUTED_VALUE"""),1.0884816753926703)</f>
        <v>1.088481675</v>
      </c>
      <c r="AG511" s="80">
        <f>IFERROR(__xludf.DUMMYFUNCTION("""COMPUTED_VALUE"""),1.5371534195933458)</f>
        <v>1.53715342</v>
      </c>
      <c r="AH511" s="80">
        <f>IFERROR(__xludf.DUMMYFUNCTION("""COMPUTED_VALUE"""),0.7771236333052985)</f>
        <v>0.7771236333</v>
      </c>
      <c r="AI511" s="80">
        <f>IFERROR(__xludf.DUMMYFUNCTION("""COMPUTED_VALUE"""),0.9320648962571539)</f>
        <v>0.9320648963</v>
      </c>
      <c r="AJ511" s="80">
        <f>IFERROR(__xludf.DUMMYFUNCTION("""COMPUTED_VALUE"""),0.9284565916398713)</f>
        <v>0.9284565916</v>
      </c>
      <c r="AK511" s="80">
        <f>IFERROR(__xludf.DUMMYFUNCTION("""COMPUTED_VALUE"""),1.1268292682926828)</f>
        <v>1.126829268</v>
      </c>
      <c r="AL511" s="80">
        <f>IFERROR(__xludf.DUMMYFUNCTION("""COMPUTED_VALUE"""),0.7447916666666667)</f>
        <v>0.7447916667</v>
      </c>
      <c r="AM511" s="80">
        <f>IFERROR(__xludf.DUMMYFUNCTION("""COMPUTED_VALUE"""),1.0279357231149568)</f>
        <v>1.027935723</v>
      </c>
      <c r="AN511" s="80">
        <f>IFERROR(__xludf.DUMMYFUNCTION("""COMPUTED_VALUE"""),0.9354762780361294)</f>
        <v>0.935476278</v>
      </c>
      <c r="AO511" s="80">
        <f>IFERROR(__xludf.DUMMYFUNCTION("""COMPUTED_VALUE"""),0.6057084522172276)</f>
        <v>0.6057084522</v>
      </c>
      <c r="AP511" s="80">
        <f>IFERROR(__xludf.DUMMYFUNCTION("""COMPUTED_VALUE"""),1.1558877376134253)</f>
        <v>1.155887738</v>
      </c>
      <c r="AQ511" s="80">
        <f>IFERROR(__xludf.DUMMYFUNCTION("""COMPUTED_VALUE"""),1.3765222675172752)</f>
        <v>1.376522268</v>
      </c>
      <c r="AR511" s="80">
        <f>IFERROR(__xludf.DUMMYFUNCTION("""COMPUTED_VALUE"""),0.7357681045907578)</f>
        <v>0.7357681046</v>
      </c>
      <c r="AS511" s="80">
        <f>IFERROR(__xludf.DUMMYFUNCTION("""COMPUTED_VALUE"""),12.0)</f>
        <v>12</v>
      </c>
      <c r="AT511" s="80">
        <f>IFERROR(__xludf.DUMMYFUNCTION("""COMPUTED_VALUE"""),0.5738036455319312)</f>
        <v>0.5738036455</v>
      </c>
      <c r="AU511" s="80">
        <f>IFERROR(__xludf.DUMMYFUNCTION("""COMPUTED_VALUE"""),2.489919848898543)</f>
        <v>2.489919849</v>
      </c>
      <c r="AV511" s="80">
        <f>IFERROR(__xludf.DUMMYFUNCTION("""COMPUTED_VALUE"""),34.580340792900984)</f>
        <v>34.58034079</v>
      </c>
      <c r="AW511" s="82">
        <f t="shared" si="1"/>
        <v>-3.721791303</v>
      </c>
      <c r="AX511" s="83">
        <f t="array" ref="AX511">IFERROR(DGET('SBV Import'!A:G,"SBV",{"RSC ID","Tier";B511,A511}))</f>
        <v>36.33853833</v>
      </c>
      <c r="AY511" s="82">
        <f t="shared" si="2"/>
        <v>-3.420260217</v>
      </c>
      <c r="AZ511" s="82">
        <v>0.30153108554699637</v>
      </c>
      <c r="BA511" s="84">
        <v>450.0</v>
      </c>
      <c r="BB511" s="84" t="b">
        <f>IFERROR(__xludf.DUMMYFUNCTION("iferror(if(A511="""",,E511&gt;=FILTER(Constants!$F$2:$F$10,Constants!$A$2:$A$10=A511)))"),TRUE)</f>
        <v>1</v>
      </c>
    </row>
    <row r="512">
      <c r="A512" s="80" t="str">
        <f>IFERROR(__xludf.DUMMYFUNCTION("""COMPUTED_VALUE"""),"Master")</f>
        <v>Master</v>
      </c>
      <c r="B512" s="80" t="str">
        <f>IFERROR(__xludf.DUMMYFUNCTION("""COMPUTED_VALUE"""),"RSC006087")</f>
        <v>RSC006087</v>
      </c>
      <c r="C512" s="80" t="str">
        <f>IFERROR(__xludf.DUMMYFUNCTION("""COMPUTED_VALUE"""),"DoorTK")</f>
        <v>DoorTK</v>
      </c>
      <c r="D512" s="80" t="str">
        <f>IFERROR(__xludf.DUMMYFUNCTION("""COMPUTED_VALUE"""),"Lemurs")</f>
        <v>Lemurs</v>
      </c>
      <c r="E512" s="80">
        <f>IFERROR(__xludf.DUMMYFUNCTION("""COMPUTED_VALUE"""),26.0)</f>
        <v>26</v>
      </c>
      <c r="F512" s="80">
        <f>IFERROR(__xludf.DUMMYFUNCTION("""COMPUTED_VALUE"""),14.0)</f>
        <v>14</v>
      </c>
      <c r="G512" s="80">
        <f>IFERROR(__xludf.DUMMYFUNCTION("""COMPUTED_VALUE"""),12.0)</f>
        <v>12</v>
      </c>
      <c r="H512" s="81">
        <f>IFERROR(__xludf.DUMMYFUNCTION("""COMPUTED_VALUE"""),0.5384615384615384)</f>
        <v>0.5384615385</v>
      </c>
      <c r="I512" s="81">
        <f>IFERROR(__xludf.DUMMYFUNCTION("""COMPUTED_VALUE"""),0.2698412698412699)</f>
        <v>0.2698412698</v>
      </c>
      <c r="J512" s="80">
        <f>IFERROR(__xludf.DUMMYFUNCTION("""COMPUTED_VALUE"""),323.84615384615387)</f>
        <v>323.8461538</v>
      </c>
      <c r="K512" s="80">
        <f>IFERROR(__xludf.DUMMYFUNCTION("""COMPUTED_VALUE"""),0.6538461538461539)</f>
        <v>0.6538461538</v>
      </c>
      <c r="L512" s="80">
        <f>IFERROR(__xludf.DUMMYFUNCTION("""COMPUTED_VALUE"""),0.5769230769230769)</f>
        <v>0.5769230769</v>
      </c>
      <c r="M512" s="80">
        <f>IFERROR(__xludf.DUMMYFUNCTION("""COMPUTED_VALUE"""),1.4230769230769231)</f>
        <v>1.423076923</v>
      </c>
      <c r="N512" s="80">
        <f>IFERROR(__xludf.DUMMYFUNCTION("""COMPUTED_VALUE"""),2.423076923076923)</f>
        <v>2.423076923</v>
      </c>
      <c r="O512" s="80">
        <f>IFERROR(__xludf.DUMMYFUNCTION("""COMPUTED_VALUE"""),381.6533333333333)</f>
        <v>381.6533333</v>
      </c>
      <c r="P512" s="80">
        <f>IFERROR(__xludf.DUMMYFUNCTION("""COMPUTED_VALUE"""),0.9066666666666666)</f>
        <v>0.9066666667</v>
      </c>
      <c r="Q512" s="80">
        <f>IFERROR(__xludf.DUMMYFUNCTION("""COMPUTED_VALUE"""),0.6666666666666667)</f>
        <v>0.6666666667</v>
      </c>
      <c r="R512" s="80">
        <f>IFERROR(__xludf.DUMMYFUNCTION("""COMPUTED_VALUE"""),1.4)</f>
        <v>1.4</v>
      </c>
      <c r="S512" s="80">
        <f>IFERROR(__xludf.DUMMYFUNCTION("""COMPUTED_VALUE"""),2.733333333333333)</f>
        <v>2.733333333</v>
      </c>
      <c r="T512" s="80">
        <f>IFERROR(__xludf.DUMMYFUNCTION("""COMPUTED_VALUE"""),382.15151618321653)</f>
        <v>382.1515162</v>
      </c>
      <c r="U512" s="80">
        <f>IFERROR(__xludf.DUMMYFUNCTION("""COMPUTED_VALUE"""),0.8613225928234286)</f>
        <v>0.8613225928</v>
      </c>
      <c r="V512" s="80">
        <f>IFERROR(__xludf.DUMMYFUNCTION("""COMPUTED_VALUE"""),0.6690941983694678)</f>
        <v>0.6690941984</v>
      </c>
      <c r="W512" s="80">
        <f>IFERROR(__xludf.DUMMYFUNCTION("""COMPUTED_VALUE"""),1.4702570241680686)</f>
        <v>1.470257024</v>
      </c>
      <c r="X512" s="80">
        <f>IFERROR(__xludf.DUMMYFUNCTION("""COMPUTED_VALUE"""),2.772799059569276)</f>
        <v>2.77279906</v>
      </c>
      <c r="Y512" s="80">
        <f>IFERROR(__xludf.DUMMYFUNCTION("""COMPUTED_VALUE"""),384.84384124764836)</f>
        <v>384.8438412</v>
      </c>
      <c r="Z512" s="80">
        <f>IFERROR(__xludf.DUMMYFUNCTION("""COMPUTED_VALUE"""),0.8818432938304298)</f>
        <v>0.8818432938</v>
      </c>
      <c r="AA512" s="80">
        <f>IFERROR(__xludf.DUMMYFUNCTION("""COMPUTED_VALUE"""),0.6587910669692161)</f>
        <v>0.658791067</v>
      </c>
      <c r="AB512" s="80">
        <f>IFERROR(__xludf.DUMMYFUNCTION("""COMPUTED_VALUE"""),1.4796379355652447)</f>
        <v>1.479637936</v>
      </c>
      <c r="AC512" s="80">
        <f>IFERROR(__xludf.DUMMYFUNCTION("""COMPUTED_VALUE"""),2.8104707796092994)</f>
        <v>2.81047078</v>
      </c>
      <c r="AD512" s="80">
        <f>IFERROR(__xludf.DUMMYFUNCTION("""COMPUTED_VALUE"""),0.8415001596394465)</f>
        <v>0.8415001596</v>
      </c>
      <c r="AE512" s="80">
        <f>IFERROR(__xludf.DUMMYFUNCTION("""COMPUTED_VALUE"""),0.7414539050425464)</f>
        <v>0.741453905</v>
      </c>
      <c r="AF512" s="80">
        <f>IFERROR(__xludf.DUMMYFUNCTION("""COMPUTED_VALUE"""),0.8757299633360621)</f>
        <v>0.8757299633</v>
      </c>
      <c r="AG512" s="80">
        <f>IFERROR(__xludf.DUMMYFUNCTION("""COMPUTED_VALUE"""),0.9617737480712034)</f>
        <v>0.9617737481</v>
      </c>
      <c r="AH512" s="80">
        <f>IFERROR(__xludf.DUMMYFUNCTION("""COMPUTED_VALUE"""),0.8621605108499899)</f>
        <v>0.8621605108</v>
      </c>
      <c r="AI512" s="80">
        <f>IFERROR(__xludf.DUMMYFUNCTION("""COMPUTED_VALUE"""),0.9986963734833271)</f>
        <v>0.9986963735</v>
      </c>
      <c r="AJ512" s="80">
        <f>IFERROR(__xludf.DUMMYFUNCTION("""COMPUTED_VALUE"""),1.052644705039722)</f>
        <v>1.052644705</v>
      </c>
      <c r="AK512" s="80">
        <f>IFERROR(__xludf.DUMMYFUNCTION("""COMPUTED_VALUE"""),0.9963719133887026)</f>
        <v>0.9963719134</v>
      </c>
      <c r="AL512" s="80">
        <f>IFERROR(__xludf.DUMMYFUNCTION("""COMPUTED_VALUE"""),0.9522144611362608)</f>
        <v>0.9522144611</v>
      </c>
      <c r="AM512" s="80">
        <f>IFERROR(__xludf.DUMMYFUNCTION("""COMPUTED_VALUE"""),0.9857668278919304)</f>
        <v>0.9857668279</v>
      </c>
      <c r="AN512" s="80">
        <f>IFERROR(__xludf.DUMMYFUNCTION("""COMPUTED_VALUE"""),0.863721723895412)</f>
        <v>0.8637217239</v>
      </c>
      <c r="AO512" s="80">
        <f>IFERROR(__xludf.DUMMYFUNCTION("""COMPUTED_VALUE"""),0.7920802836686822)</f>
        <v>0.7920802837</v>
      </c>
      <c r="AP512" s="80">
        <f>IFERROR(__xludf.DUMMYFUNCTION("""COMPUTED_VALUE"""),0.8891444135487887)</f>
        <v>0.8891444135</v>
      </c>
      <c r="AQ512" s="80">
        <f>IFERROR(__xludf.DUMMYFUNCTION("""COMPUTED_VALUE"""),0.9794485365026767)</f>
        <v>0.9794485365</v>
      </c>
      <c r="AR512" s="80">
        <f>IFERROR(__xludf.DUMMYFUNCTION("""COMPUTED_VALUE"""),0.8914113574849565)</f>
        <v>0.8914113575</v>
      </c>
      <c r="AS512" s="80">
        <f>IFERROR(__xludf.DUMMYFUNCTION("""COMPUTED_VALUE"""),61.0)</f>
        <v>61</v>
      </c>
      <c r="AT512" s="80">
        <f>IFERROR(__xludf.DUMMYFUNCTION("""COMPUTED_VALUE"""),0.4413840364336167)</f>
        <v>0.4413840364</v>
      </c>
      <c r="AU512" s="80">
        <f>IFERROR(__xludf.DUMMYFUNCTION("""COMPUTED_VALUE"""),2.4842095918367835)</f>
        <v>2.484209592</v>
      </c>
      <c r="AV512" s="80">
        <f>IFERROR(__xludf.DUMMYFUNCTION("""COMPUTED_VALUE"""),34.42809182294448)</f>
        <v>34.42809182</v>
      </c>
      <c r="AW512" s="82">
        <f t="shared" si="1"/>
        <v>-3.749771764</v>
      </c>
      <c r="AX512" s="83">
        <f t="array" ref="AX512">IFERROR(DGET('SBV Import'!A:G,"SBV",{"RSC ID","Tier";B512,A512}))</f>
        <v>30.11333117</v>
      </c>
      <c r="AY512" s="82">
        <f t="shared" si="2"/>
        <v>-4.691069136</v>
      </c>
      <c r="AZ512" s="82">
        <v>0.9412973720217739</v>
      </c>
      <c r="BA512" s="84">
        <v>450.0</v>
      </c>
      <c r="BB512" s="84" t="b">
        <f>IFERROR(__xludf.DUMMYFUNCTION("iferror(if(A512="""",,E512&gt;=FILTER(Constants!$F$2:$F$10,Constants!$A$2:$A$10=A512)))"),TRUE)</f>
        <v>1</v>
      </c>
    </row>
    <row r="513">
      <c r="A513" s="80" t="str">
        <f>IFERROR(__xludf.DUMMYFUNCTION("""COMPUTED_VALUE"""),"Master")</f>
        <v>Master</v>
      </c>
      <c r="B513" s="80" t="str">
        <f>IFERROR(__xludf.DUMMYFUNCTION("""COMPUTED_VALUE"""),"RSC005385")</f>
        <v>RSC005385</v>
      </c>
      <c r="C513" s="80" t="str">
        <f>IFERROR(__xludf.DUMMYFUNCTION("""COMPUTED_VALUE"""),"Girth")</f>
        <v>Girth</v>
      </c>
      <c r="D513" s="80" t="str">
        <f>IFERROR(__xludf.DUMMYFUNCTION("""COMPUTED_VALUE"""),"Plinko")</f>
        <v>Plinko</v>
      </c>
      <c r="E513" s="80">
        <f>IFERROR(__xludf.DUMMYFUNCTION("""COMPUTED_VALUE"""),23.0)</f>
        <v>23</v>
      </c>
      <c r="F513" s="80">
        <f>IFERROR(__xludf.DUMMYFUNCTION("""COMPUTED_VALUE"""),8.0)</f>
        <v>8</v>
      </c>
      <c r="G513" s="80">
        <f>IFERROR(__xludf.DUMMYFUNCTION("""COMPUTED_VALUE"""),15.0)</f>
        <v>15</v>
      </c>
      <c r="H513" s="81">
        <f>IFERROR(__xludf.DUMMYFUNCTION("""COMPUTED_VALUE"""),0.34782608695652173)</f>
        <v>0.347826087</v>
      </c>
      <c r="I513" s="81">
        <f>IFERROR(__xludf.DUMMYFUNCTION("""COMPUTED_VALUE"""),0.3018867924528302)</f>
        <v>0.3018867925</v>
      </c>
      <c r="J513" s="80">
        <f>IFERROR(__xludf.DUMMYFUNCTION("""COMPUTED_VALUE"""),335.4782608695652)</f>
        <v>335.4782609</v>
      </c>
      <c r="K513" s="80">
        <f>IFERROR(__xludf.DUMMYFUNCTION("""COMPUTED_VALUE"""),0.6956521739130435)</f>
        <v>0.6956521739</v>
      </c>
      <c r="L513" s="80">
        <f>IFERROR(__xludf.DUMMYFUNCTION("""COMPUTED_VALUE"""),0.5652173913043478)</f>
        <v>0.5652173913</v>
      </c>
      <c r="M513" s="80">
        <f>IFERROR(__xludf.DUMMYFUNCTION("""COMPUTED_VALUE"""),1.2173913043478262)</f>
        <v>1.217391304</v>
      </c>
      <c r="N513" s="80">
        <f>IFERROR(__xludf.DUMMYFUNCTION("""COMPUTED_VALUE"""),2.3043478260869565)</f>
        <v>2.304347826</v>
      </c>
      <c r="O513" s="80">
        <f>IFERROR(__xludf.DUMMYFUNCTION("""COMPUTED_VALUE"""),388.7391304347827)</f>
        <v>388.7391304</v>
      </c>
      <c r="P513" s="80">
        <f>IFERROR(__xludf.DUMMYFUNCTION("""COMPUTED_VALUE"""),0.9999999999999999)</f>
        <v>1</v>
      </c>
      <c r="Q513" s="80">
        <f>IFERROR(__xludf.DUMMYFUNCTION("""COMPUTED_VALUE"""),0.7971014492753624)</f>
        <v>0.7971014493</v>
      </c>
      <c r="R513" s="80">
        <f>IFERROR(__xludf.DUMMYFUNCTION("""COMPUTED_VALUE"""),1.2463768115942029)</f>
        <v>1.246376812</v>
      </c>
      <c r="S513" s="80">
        <f>IFERROR(__xludf.DUMMYFUNCTION("""COMPUTED_VALUE"""),3.144927536231884)</f>
        <v>3.144927536</v>
      </c>
      <c r="T513" s="80">
        <f>IFERROR(__xludf.DUMMYFUNCTION("""COMPUTED_VALUE"""),396.45921960823654)</f>
        <v>396.4592196</v>
      </c>
      <c r="U513" s="80">
        <f>IFERROR(__xludf.DUMMYFUNCTION("""COMPUTED_VALUE"""),0.9148597388091144)</f>
        <v>0.9148597388</v>
      </c>
      <c r="V513" s="80">
        <f>IFERROR(__xludf.DUMMYFUNCTION("""COMPUTED_VALUE"""),0.7096370294630288)</f>
        <v>0.7096370295</v>
      </c>
      <c r="W513" s="80">
        <f>IFERROR(__xludf.DUMMYFUNCTION("""COMPUTED_VALUE"""),1.4940886960030209)</f>
        <v>1.494088696</v>
      </c>
      <c r="X513" s="80">
        <f>IFERROR(__xludf.DUMMYFUNCTION("""COMPUTED_VALUE"""),2.9567578183247947)</f>
        <v>2.956757818</v>
      </c>
      <c r="Y513" s="80">
        <f>IFERROR(__xludf.DUMMYFUNCTION("""COMPUTED_VALUE"""),390.6364371536302)</f>
        <v>390.6364372</v>
      </c>
      <c r="Z513" s="80">
        <f>IFERROR(__xludf.DUMMYFUNCTION("""COMPUTED_VALUE"""),0.8867112509378493)</f>
        <v>0.8867112509</v>
      </c>
      <c r="AA513" s="80">
        <f>IFERROR(__xludf.DUMMYFUNCTION("""COMPUTED_VALUE"""),0.6854818681568727)</f>
        <v>0.6854818682</v>
      </c>
      <c r="AB513" s="80">
        <f>IFERROR(__xludf.DUMMYFUNCTION("""COMPUTED_VALUE"""),1.5157610169078146)</f>
        <v>1.515761017</v>
      </c>
      <c r="AC513" s="80">
        <f>IFERROR(__xludf.DUMMYFUNCTION("""COMPUTED_VALUE"""),2.8345909105877296)</f>
        <v>2.834590911</v>
      </c>
      <c r="AD513" s="80">
        <f>IFERROR(__xludf.DUMMYFUNCTION("""COMPUTED_VALUE"""),0.8587992029469276)</f>
        <v>0.8587992029</v>
      </c>
      <c r="AE513" s="80">
        <f>IFERROR(__xludf.DUMMYFUNCTION("""COMPUTED_VALUE"""),0.7845306723888661)</f>
        <v>0.7845306724</v>
      </c>
      <c r="AF513" s="80">
        <f>IFERROR(__xludf.DUMMYFUNCTION("""COMPUTED_VALUE"""),0.8245548388086578)</f>
        <v>0.8245548388</v>
      </c>
      <c r="AG513" s="80">
        <f>IFERROR(__xludf.DUMMYFUNCTION("""COMPUTED_VALUE"""),0.8031551747064526)</f>
        <v>0.8031551747</v>
      </c>
      <c r="AH513" s="80">
        <f>IFERROR(__xludf.DUMMYFUNCTION("""COMPUTED_VALUE"""),0.8129384093767409)</f>
        <v>0.8129384094</v>
      </c>
      <c r="AI513" s="80">
        <f>IFERROR(__xludf.DUMMYFUNCTION("""COMPUTED_VALUE"""),0.9805274066243622)</f>
        <v>0.9805274066</v>
      </c>
      <c r="AJ513" s="80">
        <f>IFERROR(__xludf.DUMMYFUNCTION("""COMPUTED_VALUE"""),1.0930637316073322)</f>
        <v>1.093063732</v>
      </c>
      <c r="AK513" s="80">
        <f>IFERROR(__xludf.DUMMYFUNCTION("""COMPUTED_VALUE"""),1.1232523334901459)</f>
        <v>1.123252333</v>
      </c>
      <c r="AL513" s="80">
        <f>IFERROR(__xludf.DUMMYFUNCTION("""COMPUTED_VALUE"""),0.8342053687498636)</f>
        <v>0.8342053687</v>
      </c>
      <c r="AM513" s="80">
        <f>IFERROR(__xludf.DUMMYFUNCTION("""COMPUTED_VALUE"""),1.063640558161676)</f>
        <v>1.063640558</v>
      </c>
      <c r="AN513" s="80">
        <f>IFERROR(__xludf.DUMMYFUNCTION("""COMPUTED_VALUE"""),0.8947454165083236)</f>
        <v>0.8947454165</v>
      </c>
      <c r="AO513" s="80">
        <f>IFERROR(__xludf.DUMMYFUNCTION("""COMPUTED_VALUE"""),0.8427248030848383)</f>
        <v>0.8427248031</v>
      </c>
      <c r="AP513" s="80">
        <f>IFERROR(__xludf.DUMMYFUNCTION("""COMPUTED_VALUE"""),0.871103802259393)</f>
        <v>0.8711038023</v>
      </c>
      <c r="AQ513" s="80">
        <f>IFERROR(__xludf.DUMMYFUNCTION("""COMPUTED_VALUE"""),0.8378831193583416)</f>
        <v>0.8378831194</v>
      </c>
      <c r="AR513" s="80">
        <f>IFERROR(__xludf.DUMMYFUNCTION("""COMPUTED_VALUE"""),0.8477328161589166)</f>
        <v>0.8477328162</v>
      </c>
      <c r="AS513" s="80">
        <f>IFERROR(__xludf.DUMMYFUNCTION("""COMPUTED_VALUE"""),49.0)</f>
        <v>49</v>
      </c>
      <c r="AT513" s="80">
        <f>IFERROR(__xludf.DUMMYFUNCTION("""COMPUTED_VALUE"""),0.36649743529950546)</f>
        <v>0.3664974353</v>
      </c>
      <c r="AU513" s="80">
        <f>IFERROR(__xludf.DUMMYFUNCTION("""COMPUTED_VALUE"""),2.4379812875254903)</f>
        <v>2.437981288</v>
      </c>
      <c r="AV513" s="80">
        <f>IFERROR(__xludf.DUMMYFUNCTION("""COMPUTED_VALUE"""),33.19553580346802)</f>
        <v>33.1955358</v>
      </c>
      <c r="AW513" s="82">
        <f t="shared" si="1"/>
        <v>-3.988274287</v>
      </c>
      <c r="AX513" s="83">
        <f t="array" ref="AX513">IFERROR(DGET('SBV Import'!A:G,"SBV",{"RSC ID","Tier";B513,A513}))</f>
        <v>31.05738688</v>
      </c>
      <c r="AY513" s="82">
        <f t="shared" si="2"/>
        <v>-4.458037599</v>
      </c>
      <c r="AZ513" s="82">
        <v>0.4697633118394373</v>
      </c>
      <c r="BA513" s="84">
        <v>450.0</v>
      </c>
      <c r="BB513" s="84" t="b">
        <f>IFERROR(__xludf.DUMMYFUNCTION("iferror(if(A513="""",,E513&gt;=FILTER(Constants!$F$2:$F$10,Constants!$A$2:$A$10=A513)))"),TRUE)</f>
        <v>1</v>
      </c>
    </row>
    <row r="514">
      <c r="A514" s="80" t="str">
        <f>IFERROR(__xludf.DUMMYFUNCTION("""COMPUTED_VALUE"""),"Master")</f>
        <v>Master</v>
      </c>
      <c r="B514" s="80" t="str">
        <f>IFERROR(__xludf.DUMMYFUNCTION("""COMPUTED_VALUE"""),"RSC007853")</f>
        <v>RSC007853</v>
      </c>
      <c r="C514" s="80" t="str">
        <f>IFERROR(__xludf.DUMMYFUNCTION("""COMPUTED_VALUE"""),"jun1o4.")</f>
        <v>jun1o4.</v>
      </c>
      <c r="D514" s="80"/>
      <c r="E514" s="80">
        <f>IFERROR(__xludf.DUMMYFUNCTION("""COMPUTED_VALUE"""),1.0)</f>
        <v>1</v>
      </c>
      <c r="F514" s="80">
        <f>IFERROR(__xludf.DUMMYFUNCTION("""COMPUTED_VALUE"""),0.0)</f>
        <v>0</v>
      </c>
      <c r="G514" s="80">
        <f>IFERROR(__xludf.DUMMYFUNCTION("""COMPUTED_VALUE"""),1.0)</f>
        <v>1</v>
      </c>
      <c r="H514" s="81">
        <f>IFERROR(__xludf.DUMMYFUNCTION("""COMPUTED_VALUE"""),0.0)</f>
        <v>0</v>
      </c>
      <c r="I514" s="81">
        <f>IFERROR(__xludf.DUMMYFUNCTION("""COMPUTED_VALUE"""),0.0)</f>
        <v>0</v>
      </c>
      <c r="J514" s="80">
        <f>IFERROR(__xludf.DUMMYFUNCTION("""COMPUTED_VALUE"""),314.0)</f>
        <v>314</v>
      </c>
      <c r="K514" s="80">
        <f>IFERROR(__xludf.DUMMYFUNCTION("""COMPUTED_VALUE"""),0.0)</f>
        <v>0</v>
      </c>
      <c r="L514" s="80">
        <f>IFERROR(__xludf.DUMMYFUNCTION("""COMPUTED_VALUE"""),1.0)</f>
        <v>1</v>
      </c>
      <c r="M514" s="80">
        <f>IFERROR(__xludf.DUMMYFUNCTION("""COMPUTED_VALUE"""),1.0)</f>
        <v>1</v>
      </c>
      <c r="N514" s="80">
        <f>IFERROR(__xludf.DUMMYFUNCTION("""COMPUTED_VALUE"""),3.0)</f>
        <v>3</v>
      </c>
      <c r="O514" s="80">
        <f>IFERROR(__xludf.DUMMYFUNCTION("""COMPUTED_VALUE"""),589.0)</f>
        <v>589</v>
      </c>
      <c r="P514" s="80">
        <f>IFERROR(__xludf.DUMMYFUNCTION("""COMPUTED_VALUE"""),1.0)</f>
        <v>1</v>
      </c>
      <c r="Q514" s="80">
        <f>IFERROR(__xludf.DUMMYFUNCTION("""COMPUTED_VALUE"""),0.6666666666666666)</f>
        <v>0.6666666667</v>
      </c>
      <c r="R514" s="80">
        <f>IFERROR(__xludf.DUMMYFUNCTION("""COMPUTED_VALUE"""),2.6666666666666665)</f>
        <v>2.666666667</v>
      </c>
      <c r="S514" s="80">
        <f>IFERROR(__xludf.DUMMYFUNCTION("""COMPUTED_VALUE"""),3.6666666666666665)</f>
        <v>3.666666667</v>
      </c>
      <c r="T514" s="80">
        <f>IFERROR(__xludf.DUMMYFUNCTION("""COMPUTED_VALUE"""),425.8459595959596)</f>
        <v>425.8459596</v>
      </c>
      <c r="U514" s="80">
        <f>IFERROR(__xludf.DUMMYFUNCTION("""COMPUTED_VALUE"""),0.9908459595959597)</f>
        <v>0.9908459596</v>
      </c>
      <c r="V514" s="80">
        <f>IFERROR(__xludf.DUMMYFUNCTION("""COMPUTED_VALUE"""),0.7279040404040403)</f>
        <v>0.7279040404</v>
      </c>
      <c r="W514" s="80">
        <f>IFERROR(__xludf.DUMMYFUNCTION("""COMPUTED_VALUE"""),1.4870580808080807)</f>
        <v>1.487058081</v>
      </c>
      <c r="X514" s="80">
        <f>IFERROR(__xludf.DUMMYFUNCTION("""COMPUTED_VALUE"""),3.5561868686868685)</f>
        <v>3.556186869</v>
      </c>
      <c r="Y514" s="80">
        <f>IFERROR(__xludf.DUMMYFUNCTION("""COMPUTED_VALUE"""),394.18876262626253)</f>
        <v>394.1887626</v>
      </c>
      <c r="Z514" s="80">
        <f>IFERROR(__xludf.DUMMYFUNCTION("""COMPUTED_VALUE"""),0.8010311447811448)</f>
        <v>0.8010311448</v>
      </c>
      <c r="AA514" s="80">
        <f>IFERROR(__xludf.DUMMYFUNCTION("""COMPUTED_VALUE"""),0.6175294612794613)</f>
        <v>0.6175294613</v>
      </c>
      <c r="AB514" s="80">
        <f>IFERROR(__xludf.DUMMYFUNCTION("""COMPUTED_VALUE"""),1.692024410774411)</f>
        <v>1.692024411</v>
      </c>
      <c r="AC514" s="80">
        <f>IFERROR(__xludf.DUMMYFUNCTION("""COMPUTED_VALUE"""),2.690867003367003)</f>
        <v>2.690867003</v>
      </c>
      <c r="AD514" s="80">
        <f>IFERROR(__xludf.DUMMYFUNCTION("""COMPUTED_VALUE"""),0.7965726823565213)</f>
        <v>0.7965726824</v>
      </c>
      <c r="AE514" s="80">
        <f>IFERROR(__xludf.DUMMYFUNCTION("""COMPUTED_VALUE"""),0.0)</f>
        <v>0</v>
      </c>
      <c r="AF514" s="80">
        <f>IFERROR(__xludf.DUMMYFUNCTION("""COMPUTED_VALUE"""),1.6193559379792128)</f>
        <v>1.619355938</v>
      </c>
      <c r="AG514" s="80">
        <f>IFERROR(__xludf.DUMMYFUNCTION("""COMPUTED_VALUE"""),0.591008021889186)</f>
        <v>0.5910080219</v>
      </c>
      <c r="AH514" s="80">
        <f>IFERROR(__xludf.DUMMYFUNCTION("""COMPUTED_VALUE"""),1.1148823023383125)</f>
        <v>1.114882302</v>
      </c>
      <c r="AI514" s="80">
        <f>IFERROR(__xludf.DUMMYFUNCTION("""COMPUTED_VALUE"""),1.3831292436326978)</f>
        <v>1.383129244</v>
      </c>
      <c r="AJ514" s="80">
        <f>IFERROR(__xludf.DUMMYFUNCTION("""COMPUTED_VALUE"""),1.0092386110226186)</f>
        <v>1.009238611</v>
      </c>
      <c r="AK514" s="80">
        <f>IFERROR(__xludf.DUMMYFUNCTION("""COMPUTED_VALUE"""),0.9158716392020816)</f>
        <v>0.9158716392</v>
      </c>
      <c r="AL514" s="80">
        <f>IFERROR(__xludf.DUMMYFUNCTION("""COMPUTED_VALUE"""),1.793249840798132)</f>
        <v>1.793249841</v>
      </c>
      <c r="AM514" s="80">
        <f>IFERROR(__xludf.DUMMYFUNCTION("""COMPUTED_VALUE"""),1.031066927037103)</f>
        <v>1.031066927</v>
      </c>
      <c r="AN514" s="80">
        <f>IFERROR(__xludf.DUMMYFUNCTION("""COMPUTED_VALUE"""),0.8374613009361216)</f>
        <v>0.8374613009</v>
      </c>
      <c r="AO514" s="80">
        <f>IFERROR(__xludf.DUMMYFUNCTION("""COMPUTED_VALUE"""),0.0)</f>
        <v>0</v>
      </c>
      <c r="AP514" s="80">
        <f>IFERROR(__xludf.DUMMYFUNCTION("""COMPUTED_VALUE"""),1.541183650151234)</f>
        <v>1.54118365</v>
      </c>
      <c r="AQ514" s="80">
        <f>IFERROR(__xludf.DUMMYFUNCTION("""COMPUTED_VALUE"""),0.6882611337586376)</f>
        <v>0.6882611338</v>
      </c>
      <c r="AR514" s="80">
        <f>IFERROR(__xludf.DUMMYFUNCTION("""COMPUTED_VALUE"""),1.1036521568861368)</f>
        <v>1.103652157</v>
      </c>
      <c r="AS514" s="80">
        <f>IFERROR(__xludf.DUMMYFUNCTION("""COMPUTED_VALUE"""),2.0)</f>
        <v>2</v>
      </c>
      <c r="AT514" s="80">
        <f>IFERROR(__xludf.DUMMYFUNCTION("""COMPUTED_VALUE"""),0.34445266793706497)</f>
        <v>0.3444526679</v>
      </c>
      <c r="AU514" s="80">
        <f>IFERROR(__xludf.DUMMYFUNCTION("""COMPUTED_VALUE"""),2.316225969304113)</f>
        <v>2.316225969</v>
      </c>
      <c r="AV514" s="80">
        <f>IFERROR(__xludf.DUMMYFUNCTION("""COMPUTED_VALUE"""),29.949250813941177)</f>
        <v>29.94925081</v>
      </c>
      <c r="AW514" s="82">
        <f t="shared" si="1"/>
        <v>-4.733328714</v>
      </c>
      <c r="AX514" s="83">
        <f t="array" ref="AX514">IFERROR(DGET('SBV Import'!A:G,"SBV",{"RSC ID","Tier";B514,A514}))</f>
        <v>-4.663634809</v>
      </c>
      <c r="AY514" s="82">
        <f t="shared" si="2"/>
        <v>-69.50302121</v>
      </c>
      <c r="AZ514" s="82">
        <v>64.76969249210356</v>
      </c>
      <c r="BA514" s="84">
        <v>450.0</v>
      </c>
      <c r="BB514" s="84" t="b">
        <f>IFERROR(__xludf.DUMMYFUNCTION("iferror(if(A514="""",,E514&gt;=FILTER(Constants!$F$2:$F$10,Constants!$A$2:$A$10=A514)))"),TRUE)</f>
        <v>1</v>
      </c>
    </row>
    <row r="515">
      <c r="A515" s="80" t="str">
        <f>IFERROR(__xludf.DUMMYFUNCTION("""COMPUTED_VALUE"""),"Master")</f>
        <v>Master</v>
      </c>
      <c r="B515" s="80" t="str">
        <f>IFERROR(__xludf.DUMMYFUNCTION("""COMPUTED_VALUE"""),"RSC002500")</f>
        <v>RSC002500</v>
      </c>
      <c r="C515" s="80" t="str">
        <f>IFERROR(__xludf.DUMMYFUNCTION("""COMPUTED_VALUE"""),"kalten")</f>
        <v>kalten</v>
      </c>
      <c r="D515" s="80" t="str">
        <f>IFERROR(__xludf.DUMMYFUNCTION("""COMPUTED_VALUE"""),"Heinous Henchmen")</f>
        <v>Heinous Henchmen</v>
      </c>
      <c r="E515" s="80">
        <f>IFERROR(__xludf.DUMMYFUNCTION("""COMPUTED_VALUE"""),43.0)</f>
        <v>43</v>
      </c>
      <c r="F515" s="80">
        <f>IFERROR(__xludf.DUMMYFUNCTION("""COMPUTED_VALUE"""),14.0)</f>
        <v>14</v>
      </c>
      <c r="G515" s="80">
        <f>IFERROR(__xludf.DUMMYFUNCTION("""COMPUTED_VALUE"""),29.0)</f>
        <v>29</v>
      </c>
      <c r="H515" s="81">
        <f>IFERROR(__xludf.DUMMYFUNCTION("""COMPUTED_VALUE"""),0.32558139534883723)</f>
        <v>0.3255813953</v>
      </c>
      <c r="I515" s="81">
        <f>IFERROR(__xludf.DUMMYFUNCTION("""COMPUTED_VALUE"""),0.25252525252525254)</f>
        <v>0.2525252525</v>
      </c>
      <c r="J515" s="80">
        <f>IFERROR(__xludf.DUMMYFUNCTION("""COMPUTED_VALUE"""),334.83720930232556)</f>
        <v>334.8372093</v>
      </c>
      <c r="K515" s="80">
        <f>IFERROR(__xludf.DUMMYFUNCTION("""COMPUTED_VALUE"""),0.5813953488372093)</f>
        <v>0.5813953488</v>
      </c>
      <c r="L515" s="80">
        <f>IFERROR(__xludf.DUMMYFUNCTION("""COMPUTED_VALUE"""),0.5581395348837209)</f>
        <v>0.5581395349</v>
      </c>
      <c r="M515" s="80">
        <f>IFERROR(__xludf.DUMMYFUNCTION("""COMPUTED_VALUE"""),1.6046511627906976)</f>
        <v>1.604651163</v>
      </c>
      <c r="N515" s="80">
        <f>IFERROR(__xludf.DUMMYFUNCTION("""COMPUTED_VALUE"""),2.302325581395349)</f>
        <v>2.302325581</v>
      </c>
      <c r="O515" s="80">
        <f>IFERROR(__xludf.DUMMYFUNCTION("""COMPUTED_VALUE"""),391.5813953488372)</f>
        <v>391.5813953</v>
      </c>
      <c r="P515" s="80">
        <f>IFERROR(__xludf.DUMMYFUNCTION("""COMPUTED_VALUE"""),0.9302325581395349)</f>
        <v>0.9302325581</v>
      </c>
      <c r="Q515" s="80">
        <f>IFERROR(__xludf.DUMMYFUNCTION("""COMPUTED_VALUE"""),0.6976744186046513)</f>
        <v>0.6976744186</v>
      </c>
      <c r="R515" s="80">
        <f>IFERROR(__xludf.DUMMYFUNCTION("""COMPUTED_VALUE"""),1.4341085271317828)</f>
        <v>1.434108527</v>
      </c>
      <c r="S515" s="80">
        <f>IFERROR(__xludf.DUMMYFUNCTION("""COMPUTED_VALUE"""),3.0387596899224802)</f>
        <v>3.03875969</v>
      </c>
      <c r="T515" s="80">
        <f>IFERROR(__xludf.DUMMYFUNCTION("""COMPUTED_VALUE"""),383.37923773342226)</f>
        <v>383.3792377</v>
      </c>
      <c r="U515" s="80">
        <f>IFERROR(__xludf.DUMMYFUNCTION("""COMPUTED_VALUE"""),0.8781212086082703)</f>
        <v>0.8781212086</v>
      </c>
      <c r="V515" s="80">
        <f>IFERROR(__xludf.DUMMYFUNCTION("""COMPUTED_VALUE"""),0.6879516596840031)</f>
        <v>0.6879516597</v>
      </c>
      <c r="W515" s="80">
        <f>IFERROR(__xludf.DUMMYFUNCTION("""COMPUTED_VALUE"""),1.451025210628764)</f>
        <v>1.451025211</v>
      </c>
      <c r="X515" s="80">
        <f>IFERROR(__xludf.DUMMYFUNCTION("""COMPUTED_VALUE"""),2.7770389736433803)</f>
        <v>2.777038974</v>
      </c>
      <c r="Y515" s="80">
        <f>IFERROR(__xludf.DUMMYFUNCTION("""COMPUTED_VALUE"""),381.8751469524591)</f>
        <v>381.875147</v>
      </c>
      <c r="Z515" s="80">
        <f>IFERROR(__xludf.DUMMYFUNCTION("""COMPUTED_VALUE"""),0.86613157331354)</f>
        <v>0.8661315733</v>
      </c>
      <c r="AA515" s="80">
        <f>IFERROR(__xludf.DUMMYFUNCTION("""COMPUTED_VALUE"""),0.6602238577350554)</f>
        <v>0.6602238577</v>
      </c>
      <c r="AB515" s="80">
        <f>IFERROR(__xludf.DUMMYFUNCTION("""COMPUTED_VALUE"""),1.455955271483335)</f>
        <v>1.455955271</v>
      </c>
      <c r="AC515" s="80">
        <f>IFERROR(__xludf.DUMMYFUNCTION("""COMPUTED_VALUE"""),2.809570420284507)</f>
        <v>2.80957042</v>
      </c>
      <c r="AD515" s="80">
        <f>IFERROR(__xludf.DUMMYFUNCTION("""COMPUTED_VALUE"""),0.8768237785948677)</f>
        <v>0.8768237786</v>
      </c>
      <c r="AE515" s="80">
        <f>IFERROR(__xludf.DUMMYFUNCTION("""COMPUTED_VALUE"""),0.6712552304414655)</f>
        <v>0.6712552304</v>
      </c>
      <c r="AF515" s="80">
        <f>IFERROR(__xludf.DUMMYFUNCTION("""COMPUTED_VALUE"""),0.8453792275826839)</f>
        <v>0.8453792276</v>
      </c>
      <c r="AG515" s="80">
        <f>IFERROR(__xludf.DUMMYFUNCTION("""COMPUTED_VALUE"""),1.1021294364049181)</f>
        <v>1.102129436</v>
      </c>
      <c r="AH515" s="80">
        <f>IFERROR(__xludf.DUMMYFUNCTION("""COMPUTED_VALUE"""),0.8194582220730411)</f>
        <v>0.8194582221</v>
      </c>
      <c r="AI515" s="80">
        <f>IFERROR(__xludf.DUMMYFUNCTION("""COMPUTED_VALUE"""),1.0213943709208326)</f>
        <v>1.021394371</v>
      </c>
      <c r="AJ515" s="80">
        <f>IFERROR(__xludf.DUMMYFUNCTION("""COMPUTED_VALUE"""),1.0593441418114198)</f>
        <v>1.059344142</v>
      </c>
      <c r="AK515" s="80">
        <f>IFERROR(__xludf.DUMMYFUNCTION("""COMPUTED_VALUE"""),1.0141329100435839)</f>
        <v>1.01413291</v>
      </c>
      <c r="AL515" s="80">
        <f>IFERROR(__xludf.DUMMYFUNCTION("""COMPUTED_VALUE"""),0.9883415647274311)</f>
        <v>0.9883415647</v>
      </c>
      <c r="AM515" s="80">
        <f>IFERROR(__xludf.DUMMYFUNCTION("""COMPUTED_VALUE"""),1.0942445240283147)</f>
        <v>1.094244524</v>
      </c>
      <c r="AN515" s="80">
        <f>IFERROR(__xludf.DUMMYFUNCTION("""COMPUTED_VALUE"""),0.8930356844081082)</f>
        <v>0.8930356844</v>
      </c>
      <c r="AO515" s="80">
        <f>IFERROR(__xludf.DUMMYFUNCTION("""COMPUTED_VALUE"""),0.7043121537409623)</f>
        <v>0.7043121537</v>
      </c>
      <c r="AP515" s="80">
        <f>IFERROR(__xludf.DUMMYFUNCTION("""COMPUTED_VALUE"""),0.8601955256658049)</f>
        <v>0.8601955257</v>
      </c>
      <c r="AQ515" s="80">
        <f>IFERROR(__xludf.DUMMYFUNCTION("""COMPUTED_VALUE"""),1.1044190285894417)</f>
        <v>1.104419029</v>
      </c>
      <c r="AR515" s="80">
        <f>IFERROR(__xludf.DUMMYFUNCTION("""COMPUTED_VALUE"""),0.8469888645870352)</f>
        <v>0.8469888646</v>
      </c>
      <c r="AS515" s="80">
        <f>IFERROR(__xludf.DUMMYFUNCTION("""COMPUTED_VALUE"""),100.0)</f>
        <v>100</v>
      </c>
      <c r="AT515" s="80">
        <f>IFERROR(__xludf.DUMMYFUNCTION("""COMPUTED_VALUE"""),0.4276909876329341)</f>
        <v>0.4276909876</v>
      </c>
      <c r="AU515" s="80">
        <f>IFERROR(__xludf.DUMMYFUNCTION("""COMPUTED_VALUE"""),2.3156633600727194)</f>
        <v>2.31566336</v>
      </c>
      <c r="AV515" s="80">
        <f>IFERROR(__xludf.DUMMYFUNCTION("""COMPUTED_VALUE"""),29.93425032008577)</f>
        <v>29.93425032</v>
      </c>
      <c r="AW515" s="82">
        <f t="shared" si="1"/>
        <v>-4.737218994</v>
      </c>
      <c r="AX515" s="83">
        <f t="array" ref="AX515">IFERROR(DGET('SBV Import'!A:G,"SBV",{"RSC ID","Tier";B515,A515}))</f>
        <v>24.83632248</v>
      </c>
      <c r="AY515" s="82">
        <f t="shared" si="2"/>
        <v>-6.366335506</v>
      </c>
      <c r="AZ515" s="82">
        <v>1.6291165124759823</v>
      </c>
      <c r="BA515" s="84">
        <v>450.0</v>
      </c>
      <c r="BB515" s="84" t="b">
        <f>IFERROR(__xludf.DUMMYFUNCTION("iferror(if(A515="""",,E515&gt;=FILTER(Constants!$F$2:$F$10,Constants!$A$2:$A$10=A515)))"),TRUE)</f>
        <v>1</v>
      </c>
    </row>
    <row r="516">
      <c r="A516" s="80" t="str">
        <f>IFERROR(__xludf.DUMMYFUNCTION("""COMPUTED_VALUE"""),"Master")</f>
        <v>Master</v>
      </c>
      <c r="B516" s="80" t="str">
        <f>IFERROR(__xludf.DUMMYFUNCTION("""COMPUTED_VALUE"""),"RSC001903")</f>
        <v>RSC001903</v>
      </c>
      <c r="C516" s="80" t="str">
        <f>IFERROR(__xludf.DUMMYFUNCTION("""COMPUTED_VALUE"""),"Plasma")</f>
        <v>Plasma</v>
      </c>
      <c r="D516" s="80" t="str">
        <f>IFERROR(__xludf.DUMMYFUNCTION("""COMPUTED_VALUE"""),"Spectres")</f>
        <v>Spectres</v>
      </c>
      <c r="E516" s="80">
        <f>IFERROR(__xludf.DUMMYFUNCTION("""COMPUTED_VALUE"""),19.0)</f>
        <v>19</v>
      </c>
      <c r="F516" s="80">
        <f>IFERROR(__xludf.DUMMYFUNCTION("""COMPUTED_VALUE"""),4.0)</f>
        <v>4</v>
      </c>
      <c r="G516" s="80">
        <f>IFERROR(__xludf.DUMMYFUNCTION("""COMPUTED_VALUE"""),15.0)</f>
        <v>15</v>
      </c>
      <c r="H516" s="81">
        <f>IFERROR(__xludf.DUMMYFUNCTION("""COMPUTED_VALUE"""),0.21052631578947367)</f>
        <v>0.2105263158</v>
      </c>
      <c r="I516" s="81">
        <f>IFERROR(__xludf.DUMMYFUNCTION("""COMPUTED_VALUE"""),0.3055555555555556)</f>
        <v>0.3055555556</v>
      </c>
      <c r="J516" s="80">
        <f>IFERROR(__xludf.DUMMYFUNCTION("""COMPUTED_VALUE"""),356.7368421052632)</f>
        <v>356.7368421</v>
      </c>
      <c r="K516" s="80">
        <f>IFERROR(__xludf.DUMMYFUNCTION("""COMPUTED_VALUE"""),0.5789473684210527)</f>
        <v>0.5789473684</v>
      </c>
      <c r="L516" s="80">
        <f>IFERROR(__xludf.DUMMYFUNCTION("""COMPUTED_VALUE"""),0.5789473684210527)</f>
        <v>0.5789473684</v>
      </c>
      <c r="M516" s="80">
        <f>IFERROR(__xludf.DUMMYFUNCTION("""COMPUTED_VALUE"""),1.894736842105263)</f>
        <v>1.894736842</v>
      </c>
      <c r="N516" s="80">
        <f>IFERROR(__xludf.DUMMYFUNCTION("""COMPUTED_VALUE"""),1.894736842105263)</f>
        <v>1.894736842</v>
      </c>
      <c r="O516" s="80">
        <f>IFERROR(__xludf.DUMMYFUNCTION("""COMPUTED_VALUE"""),467.59649122807014)</f>
        <v>467.5964912</v>
      </c>
      <c r="P516" s="80">
        <f>IFERROR(__xludf.DUMMYFUNCTION("""COMPUTED_VALUE"""),1.3333333333333333)</f>
        <v>1.333333333</v>
      </c>
      <c r="Q516" s="80">
        <f>IFERROR(__xludf.DUMMYFUNCTION("""COMPUTED_VALUE"""),1.0175438596491226)</f>
        <v>1.01754386</v>
      </c>
      <c r="R516" s="80">
        <f>IFERROR(__xludf.DUMMYFUNCTION("""COMPUTED_VALUE"""),1.5614035087719298)</f>
        <v>1.561403509</v>
      </c>
      <c r="S516" s="80">
        <f>IFERROR(__xludf.DUMMYFUNCTION("""COMPUTED_VALUE"""),3.5438596491228074)</f>
        <v>3.543859649</v>
      </c>
      <c r="T516" s="80">
        <f>IFERROR(__xludf.DUMMYFUNCTION("""COMPUTED_VALUE"""),410.8632893303083)</f>
        <v>410.8632893</v>
      </c>
      <c r="U516" s="80">
        <f>IFERROR(__xludf.DUMMYFUNCTION("""COMPUTED_VALUE"""),1.0813148046941587)</f>
        <v>1.081314805</v>
      </c>
      <c r="V516" s="80">
        <f>IFERROR(__xludf.DUMMYFUNCTION("""COMPUTED_VALUE"""),0.7781136684619915)</f>
        <v>0.7781136685</v>
      </c>
      <c r="W516" s="80">
        <f>IFERROR(__xludf.DUMMYFUNCTION("""COMPUTED_VALUE"""),1.3975839528266296)</f>
        <v>1.397583953</v>
      </c>
      <c r="X516" s="80">
        <f>IFERROR(__xludf.DUMMYFUNCTION("""COMPUTED_VALUE"""),3.0369469904840045)</f>
        <v>3.03694699</v>
      </c>
      <c r="Y516" s="80">
        <f>IFERROR(__xludf.DUMMYFUNCTION("""COMPUTED_VALUE"""),364.7563562906196)</f>
        <v>364.7563563</v>
      </c>
      <c r="Z516" s="80">
        <f>IFERROR(__xludf.DUMMYFUNCTION("""COMPUTED_VALUE"""),0.7653863443045875)</f>
        <v>0.7653863443</v>
      </c>
      <c r="AA516" s="80">
        <f>IFERROR(__xludf.DUMMYFUNCTION("""COMPUTED_VALUE"""),0.5789864260503835)</f>
        <v>0.5789864261</v>
      </c>
      <c r="AB516" s="80">
        <f>IFERROR(__xludf.DUMMYFUNCTION("""COMPUTED_VALUE"""),1.4533078511088764)</f>
        <v>1.453307851</v>
      </c>
      <c r="AC516" s="80">
        <f>IFERROR(__xludf.DUMMYFUNCTION("""COMPUTED_VALUE"""),2.5658161606305554)</f>
        <v>2.565816161</v>
      </c>
      <c r="AD516" s="80">
        <f>IFERROR(__xludf.DUMMYFUNCTION("""COMPUTED_VALUE"""),0.9780140522651596)</f>
        <v>0.9780140523</v>
      </c>
      <c r="AE516" s="80">
        <f>IFERROR(__xludf.DUMMYFUNCTION("""COMPUTED_VALUE"""),0.7564119385316065)</f>
        <v>0.7564119385</v>
      </c>
      <c r="AF516" s="80">
        <f>IFERROR(__xludf.DUMMYFUNCTION("""COMPUTED_VALUE"""),0.9999325413730382)</f>
        <v>0.9999325414</v>
      </c>
      <c r="AG516" s="80">
        <f>IFERROR(__xludf.DUMMYFUNCTION("""COMPUTED_VALUE"""),1.3037408699468427)</f>
        <v>1.30374087</v>
      </c>
      <c r="AH516" s="80">
        <f>IFERROR(__xludf.DUMMYFUNCTION("""COMPUTED_VALUE"""),0.7384538577540283)</f>
        <v>0.7384538578</v>
      </c>
      <c r="AI516" s="80">
        <f>IFERROR(__xludf.DUMMYFUNCTION("""COMPUTED_VALUE"""),1.1380829180193608)</f>
        <v>1.138082918</v>
      </c>
      <c r="AJ516" s="80">
        <f>IFERROR(__xludf.DUMMYFUNCTION("""COMPUTED_VALUE"""),1.2330667512782791)</f>
        <v>1.233066751</v>
      </c>
      <c r="AK516" s="80">
        <f>IFERROR(__xludf.DUMMYFUNCTION("""COMPUTED_VALUE"""),1.3077059315258983)</f>
        <v>1.307705932</v>
      </c>
      <c r="AL516" s="80">
        <f>IFERROR(__xludf.DUMMYFUNCTION("""COMPUTED_VALUE"""),1.117216254246461)</f>
        <v>1.117216254</v>
      </c>
      <c r="AM516" s="80">
        <f>IFERROR(__xludf.DUMMYFUNCTION("""COMPUTED_VALUE"""),1.1669152145978074)</f>
        <v>1.166915215</v>
      </c>
      <c r="AN516" s="80">
        <f>IFERROR(__xludf.DUMMYFUNCTION("""COMPUTED_VALUE"""),0.9514436301952786)</f>
        <v>0.9514436302</v>
      </c>
      <c r="AO516" s="80">
        <f>IFERROR(__xludf.DUMMYFUNCTION("""COMPUTED_VALUE"""),0.7013466288831056)</f>
        <v>0.7013466289</v>
      </c>
      <c r="AP516" s="80">
        <f>IFERROR(__xludf.DUMMYFUNCTION("""COMPUTED_VALUE"""),0.8922642185086092)</f>
        <v>0.8922642185</v>
      </c>
      <c r="AQ516" s="80">
        <f>IFERROR(__xludf.DUMMYFUNCTION("""COMPUTED_VALUE"""),1.3040737271216292)</f>
        <v>1.304073727</v>
      </c>
      <c r="AR516" s="80">
        <f>IFERROR(__xludf.DUMMYFUNCTION("""COMPUTED_VALUE"""),0.6970434675070337)</f>
        <v>0.6970434675</v>
      </c>
      <c r="AS516" s="80">
        <f>IFERROR(__xludf.DUMMYFUNCTION("""COMPUTED_VALUE"""),39.0)</f>
        <v>39</v>
      </c>
      <c r="AT516" s="80">
        <f>IFERROR(__xludf.DUMMYFUNCTION("""COMPUTED_VALUE"""),0.24628024377239235)</f>
        <v>0.2462802438</v>
      </c>
      <c r="AU516" s="80">
        <f>IFERROR(__xludf.DUMMYFUNCTION("""COMPUTED_VALUE"""),2.2620415348383585)</f>
        <v>2.262041535</v>
      </c>
      <c r="AV516" s="80">
        <f>IFERROR(__xludf.DUMMYFUNCTION("""COMPUTED_VALUE"""),28.504565531673993)</f>
        <v>28.50456553</v>
      </c>
      <c r="AW516" s="82">
        <f t="shared" si="1"/>
        <v>-5.129655664</v>
      </c>
      <c r="AX516" s="83">
        <f t="array" ref="AX516">IFERROR(DGET('SBV Import'!A:G,"SBV",{"RSC ID","Tier";B516,A516}))</f>
        <v>18.32271704</v>
      </c>
      <c r="AY516" s="82">
        <f t="shared" si="2"/>
        <v>-9.750264548</v>
      </c>
      <c r="AZ516" s="82">
        <v>4.620608883402677</v>
      </c>
      <c r="BA516" s="84">
        <v>450.0</v>
      </c>
      <c r="BB516" s="84" t="b">
        <f>IFERROR(__xludf.DUMMYFUNCTION("iferror(if(A516="""",,E516&gt;=FILTER(Constants!$F$2:$F$10,Constants!$A$2:$A$10=A516)))"),TRUE)</f>
        <v>1</v>
      </c>
    </row>
    <row r="517">
      <c r="A517" s="80" t="str">
        <f>IFERROR(__xludf.DUMMYFUNCTION("""COMPUTED_VALUE"""),"Master")</f>
        <v>Master</v>
      </c>
      <c r="B517" s="80" t="str">
        <f>IFERROR(__xludf.DUMMYFUNCTION("""COMPUTED_VALUE"""),"RSC000021")</f>
        <v>RSC000021</v>
      </c>
      <c r="C517" s="80" t="str">
        <f>IFERROR(__xludf.DUMMYFUNCTION("""COMPUTED_VALUE"""),"TyTy")</f>
        <v>TyTy</v>
      </c>
      <c r="D517" s="80" t="str">
        <f>IFERROR(__xludf.DUMMYFUNCTION("""COMPUTED_VALUE"""),"Andromeda")</f>
        <v>Andromeda</v>
      </c>
      <c r="E517" s="80">
        <f>IFERROR(__xludf.DUMMYFUNCTION("""COMPUTED_VALUE"""),11.0)</f>
        <v>11</v>
      </c>
      <c r="F517" s="80">
        <f>IFERROR(__xludf.DUMMYFUNCTION("""COMPUTED_VALUE"""),4.0)</f>
        <v>4</v>
      </c>
      <c r="G517" s="80">
        <f>IFERROR(__xludf.DUMMYFUNCTION("""COMPUTED_VALUE"""),7.0)</f>
        <v>7</v>
      </c>
      <c r="H517" s="81">
        <f>IFERROR(__xludf.DUMMYFUNCTION("""COMPUTED_VALUE"""),0.36363636363636365)</f>
        <v>0.3636363636</v>
      </c>
      <c r="I517" s="81">
        <f>IFERROR(__xludf.DUMMYFUNCTION("""COMPUTED_VALUE"""),0.23529411764705885)</f>
        <v>0.2352941176</v>
      </c>
      <c r="J517" s="80">
        <f>IFERROR(__xludf.DUMMYFUNCTION("""COMPUTED_VALUE"""),290.72727272727275)</f>
        <v>290.7272727</v>
      </c>
      <c r="K517" s="80">
        <f>IFERROR(__xludf.DUMMYFUNCTION("""COMPUTED_VALUE"""),0.36363636363636365)</f>
        <v>0.3636363636</v>
      </c>
      <c r="L517" s="80">
        <f>IFERROR(__xludf.DUMMYFUNCTION("""COMPUTED_VALUE"""),0.9090909090909091)</f>
        <v>0.9090909091</v>
      </c>
      <c r="M517" s="80">
        <f>IFERROR(__xludf.DUMMYFUNCTION("""COMPUTED_VALUE"""),1.0909090909090908)</f>
        <v>1.090909091</v>
      </c>
      <c r="N517" s="80">
        <f>IFERROR(__xludf.DUMMYFUNCTION("""COMPUTED_VALUE"""),1.5454545454545454)</f>
        <v>1.545454545</v>
      </c>
      <c r="O517" s="80">
        <f>IFERROR(__xludf.DUMMYFUNCTION("""COMPUTED_VALUE"""),355.8484848484849)</f>
        <v>355.8484848</v>
      </c>
      <c r="P517" s="80">
        <f>IFERROR(__xludf.DUMMYFUNCTION("""COMPUTED_VALUE"""),0.9090909090909091)</f>
        <v>0.9090909091</v>
      </c>
      <c r="Q517" s="80">
        <f>IFERROR(__xludf.DUMMYFUNCTION("""COMPUTED_VALUE"""),0.6969696969696969)</f>
        <v>0.696969697</v>
      </c>
      <c r="R517" s="80">
        <f>IFERROR(__xludf.DUMMYFUNCTION("""COMPUTED_VALUE"""),0.9696969696969696)</f>
        <v>0.9696969697</v>
      </c>
      <c r="S517" s="80">
        <f>IFERROR(__xludf.DUMMYFUNCTION("""COMPUTED_VALUE"""),3.03030303030303)</f>
        <v>3.03030303</v>
      </c>
      <c r="T517" s="80">
        <f>IFERROR(__xludf.DUMMYFUNCTION("""COMPUTED_VALUE"""),385.51601855907376)</f>
        <v>385.5160186</v>
      </c>
      <c r="U517" s="80">
        <f>IFERROR(__xludf.DUMMYFUNCTION("""COMPUTED_VALUE"""),0.8714051008446632)</f>
        <v>0.8714051008</v>
      </c>
      <c r="V517" s="80">
        <f>IFERROR(__xludf.DUMMYFUNCTION("""COMPUTED_VALUE"""),0.6710041509705228)</f>
        <v>0.671004151</v>
      </c>
      <c r="W517" s="80">
        <f>IFERROR(__xludf.DUMMYFUNCTION("""COMPUTED_VALUE"""),1.4962784024572093)</f>
        <v>1.496278402</v>
      </c>
      <c r="X517" s="80">
        <f>IFERROR(__xludf.DUMMYFUNCTION("""COMPUTED_VALUE"""),2.8443950382315033)</f>
        <v>2.844395038</v>
      </c>
      <c r="Y517" s="80">
        <f>IFERROR(__xludf.DUMMYFUNCTION("""COMPUTED_VALUE"""),377.18580120660846)</f>
        <v>377.1858012</v>
      </c>
      <c r="Z517" s="80">
        <f>IFERROR(__xludf.DUMMYFUNCTION("""COMPUTED_VALUE"""),0.8487210755438426)</f>
        <v>0.8487210755</v>
      </c>
      <c r="AA517" s="80">
        <f>IFERROR(__xludf.DUMMYFUNCTION("""COMPUTED_VALUE"""),0.6545605509058727)</f>
        <v>0.6545605509</v>
      </c>
      <c r="AB517" s="80">
        <f>IFERROR(__xludf.DUMMYFUNCTION("""COMPUTED_VALUE"""),1.4376828306292766)</f>
        <v>1.437682831</v>
      </c>
      <c r="AC517" s="80">
        <f>IFERROR(__xludf.DUMMYFUNCTION("""COMPUTED_VALUE"""),2.828264733022941)</f>
        <v>2.828264733</v>
      </c>
      <c r="AD517" s="80">
        <f>IFERROR(__xludf.DUMMYFUNCTION("""COMPUTED_VALUE"""),0.7707800023151536)</f>
        <v>0.7707800023</v>
      </c>
      <c r="AE517" s="80">
        <f>IFERROR(__xludf.DUMMYFUNCTION("""COMPUTED_VALUE"""),0.4284521430121823)</f>
        <v>0.428452143</v>
      </c>
      <c r="AF517" s="80">
        <f>IFERROR(__xludf.DUMMYFUNCTION("""COMPUTED_VALUE"""),1.3888568564554975)</f>
        <v>1.388856856</v>
      </c>
      <c r="AG517" s="80">
        <f>IFERROR(__xludf.DUMMYFUNCTION("""COMPUTED_VALUE"""),0.7587967719080277)</f>
        <v>0.7587967719</v>
      </c>
      <c r="AH517" s="80">
        <f>IFERROR(__xludf.DUMMYFUNCTION("""COMPUTED_VALUE"""),0.5464320674828461)</f>
        <v>0.5464320675</v>
      </c>
      <c r="AI517" s="80">
        <f>IFERROR(__xludf.DUMMYFUNCTION("""COMPUTED_VALUE"""),0.9230446147958367)</f>
        <v>0.9230446148</v>
      </c>
      <c r="AJ517" s="80">
        <f>IFERROR(__xludf.DUMMYFUNCTION("""COMPUTED_VALUE"""),1.043247174258811)</f>
        <v>1.043247174</v>
      </c>
      <c r="AK517" s="80">
        <f>IFERROR(__xludf.DUMMYFUNCTION("""COMPUTED_VALUE"""),1.0386965504782917)</f>
        <v>1.03869655</v>
      </c>
      <c r="AL517" s="80">
        <f>IFERROR(__xludf.DUMMYFUNCTION("""COMPUTED_VALUE"""),0.6480725566208265)</f>
        <v>0.6480725566</v>
      </c>
      <c r="AM517" s="80">
        <f>IFERROR(__xludf.DUMMYFUNCTION("""COMPUTED_VALUE"""),1.0653594137145994)</f>
        <v>1.065359414</v>
      </c>
      <c r="AN517" s="80">
        <f>IFERROR(__xludf.DUMMYFUNCTION("""COMPUTED_VALUE"""),0.7753912103050715)</f>
        <v>0.7753912103</v>
      </c>
      <c r="AO517" s="80">
        <f>IFERROR(__xludf.DUMMYFUNCTION("""COMPUTED_VALUE"""),0.44051523797616554)</f>
        <v>0.440515238</v>
      </c>
      <c r="AP517" s="80">
        <f>IFERROR(__xludf.DUMMYFUNCTION("""COMPUTED_VALUE"""),1.4010760455920308)</f>
        <v>1.401076046</v>
      </c>
      <c r="AQ517" s="80">
        <f>IFERROR(__xludf.DUMMYFUNCTION("""COMPUTED_VALUE"""),0.7508303277366956)</f>
        <v>0.7508303277</v>
      </c>
      <c r="AR517" s="80">
        <f>IFERROR(__xludf.DUMMYFUNCTION("""COMPUTED_VALUE"""),0.568548080820131)</f>
        <v>0.5685480808</v>
      </c>
      <c r="AS517" s="80">
        <f>IFERROR(__xludf.DUMMYFUNCTION("""COMPUTED_VALUE"""),23.0)</f>
        <v>23</v>
      </c>
      <c r="AT517" s="80">
        <f>IFERROR(__xludf.DUMMYFUNCTION("""COMPUTED_VALUE"""),0.39717778100809875)</f>
        <v>0.397177781</v>
      </c>
      <c r="AU517" s="80">
        <f>IFERROR(__xludf.DUMMYFUNCTION("""COMPUTED_VALUE"""),2.249083646476023)</f>
        <v>2.249083646</v>
      </c>
      <c r="AV517" s="80">
        <f>IFERROR(__xludf.DUMMYFUNCTION("""COMPUTED_VALUE"""),28.159077555451628)</f>
        <v>28.15907756</v>
      </c>
      <c r="AW517" s="82">
        <f t="shared" si="1"/>
        <v>-5.231274303</v>
      </c>
      <c r="AX517" s="83">
        <f t="array" ref="AX517">IFERROR(DGET('SBV Import'!A:G,"SBV",{"RSC ID","Tier";B517,A517}))</f>
        <v>29.65955982</v>
      </c>
      <c r="AY517" s="82">
        <f t="shared" si="2"/>
        <v>-4.809264013</v>
      </c>
      <c r="AZ517" s="82">
        <v>0.42201029040688987</v>
      </c>
      <c r="BA517" s="84">
        <v>450.0</v>
      </c>
      <c r="BB517" s="84" t="b">
        <f>IFERROR(__xludf.DUMMYFUNCTION("iferror(if(A517="""",,E517&gt;=FILTER(Constants!$F$2:$F$10,Constants!$A$2:$A$10=A517)))"),TRUE)</f>
        <v>1</v>
      </c>
    </row>
    <row r="518">
      <c r="A518" s="80" t="str">
        <f>IFERROR(__xludf.DUMMYFUNCTION("""COMPUTED_VALUE"""),"Master")</f>
        <v>Master</v>
      </c>
      <c r="B518" s="80" t="str">
        <f>IFERROR(__xludf.DUMMYFUNCTION("""COMPUTED_VALUE"""),"RSC002059")</f>
        <v>RSC002059</v>
      </c>
      <c r="C518" s="80" t="str">
        <f>IFERROR(__xludf.DUMMYFUNCTION("""COMPUTED_VALUE"""),"Thermal")</f>
        <v>Thermal</v>
      </c>
      <c r="D518" s="80"/>
      <c r="E518" s="80">
        <f>IFERROR(__xludf.DUMMYFUNCTION("""COMPUTED_VALUE"""),12.0)</f>
        <v>12</v>
      </c>
      <c r="F518" s="80">
        <f>IFERROR(__xludf.DUMMYFUNCTION("""COMPUTED_VALUE"""),5.0)</f>
        <v>5</v>
      </c>
      <c r="G518" s="80">
        <f>IFERROR(__xludf.DUMMYFUNCTION("""COMPUTED_VALUE"""),7.0)</f>
        <v>7</v>
      </c>
      <c r="H518" s="81">
        <f>IFERROR(__xludf.DUMMYFUNCTION("""COMPUTED_VALUE"""),0.4166666666666667)</f>
        <v>0.4166666667</v>
      </c>
      <c r="I518" s="81">
        <f>IFERROR(__xludf.DUMMYFUNCTION("""COMPUTED_VALUE"""),0.21052631578947367)</f>
        <v>0.2105263158</v>
      </c>
      <c r="J518" s="80">
        <f>IFERROR(__xludf.DUMMYFUNCTION("""COMPUTED_VALUE"""),321.1666666666667)</f>
        <v>321.1666667</v>
      </c>
      <c r="K518" s="80">
        <f>IFERROR(__xludf.DUMMYFUNCTION("""COMPUTED_VALUE"""),0.6666666666666666)</f>
        <v>0.6666666667</v>
      </c>
      <c r="L518" s="80">
        <f>IFERROR(__xludf.DUMMYFUNCTION("""COMPUTED_VALUE"""),0.4166666666666667)</f>
        <v>0.4166666667</v>
      </c>
      <c r="M518" s="80">
        <f>IFERROR(__xludf.DUMMYFUNCTION("""COMPUTED_VALUE"""),1.1666666666666667)</f>
        <v>1.166666667</v>
      </c>
      <c r="N518" s="80">
        <f>IFERROR(__xludf.DUMMYFUNCTION("""COMPUTED_VALUE"""),3.1666666666666665)</f>
        <v>3.166666667</v>
      </c>
      <c r="O518" s="80">
        <f>IFERROR(__xludf.DUMMYFUNCTION("""COMPUTED_VALUE"""),441.4166666666667)</f>
        <v>441.4166667</v>
      </c>
      <c r="P518" s="80">
        <f>IFERROR(__xludf.DUMMYFUNCTION("""COMPUTED_VALUE"""),1.1111111111111112)</f>
        <v>1.111111111</v>
      </c>
      <c r="Q518" s="80">
        <f>IFERROR(__xludf.DUMMYFUNCTION("""COMPUTED_VALUE"""),0.9166666666666666)</f>
        <v>0.9166666667</v>
      </c>
      <c r="R518" s="80">
        <f>IFERROR(__xludf.DUMMYFUNCTION("""COMPUTED_VALUE"""),1.777777777777778)</f>
        <v>1.777777778</v>
      </c>
      <c r="S518" s="80">
        <f>IFERROR(__xludf.DUMMYFUNCTION("""COMPUTED_VALUE"""),2.777777777777778)</f>
        <v>2.777777778</v>
      </c>
      <c r="T518" s="80">
        <f>IFERROR(__xludf.DUMMYFUNCTION("""COMPUTED_VALUE"""),393.63151348950305)</f>
        <v>393.6315135</v>
      </c>
      <c r="U518" s="80">
        <f>IFERROR(__xludf.DUMMYFUNCTION("""COMPUTED_VALUE"""),0.9305884893247196)</f>
        <v>0.9305884893</v>
      </c>
      <c r="V518" s="80">
        <f>IFERROR(__xludf.DUMMYFUNCTION("""COMPUTED_VALUE"""),0.6984998124627412)</f>
        <v>0.6984998125</v>
      </c>
      <c r="W518" s="80">
        <f>IFERROR(__xludf.DUMMYFUNCTION("""COMPUTED_VALUE"""),1.49479851679909)</f>
        <v>1.494798517</v>
      </c>
      <c r="X518" s="80">
        <f>IFERROR(__xludf.DUMMYFUNCTION("""COMPUTED_VALUE"""),2.8862646799217413)</f>
        <v>2.88626468</v>
      </c>
      <c r="Y518" s="80">
        <f>IFERROR(__xludf.DUMMYFUNCTION("""COMPUTED_VALUE"""),391.78306334362856)</f>
        <v>391.7830633</v>
      </c>
      <c r="Z518" s="80">
        <f>IFERROR(__xludf.DUMMYFUNCTION("""COMPUTED_VALUE"""),0.9298519291919726)</f>
        <v>0.9298519292</v>
      </c>
      <c r="AA518" s="80">
        <f>IFERROR(__xludf.DUMMYFUNCTION("""COMPUTED_VALUE"""),0.6865571498943027)</f>
        <v>0.6865571499</v>
      </c>
      <c r="AB518" s="80">
        <f>IFERROR(__xludf.DUMMYFUNCTION("""COMPUTED_VALUE"""),1.4808783171785243)</f>
        <v>1.480878317</v>
      </c>
      <c r="AC518" s="80">
        <f>IFERROR(__xludf.DUMMYFUNCTION("""COMPUTED_VALUE"""),2.9026606367452916)</f>
        <v>2.902660637</v>
      </c>
      <c r="AD518" s="80">
        <f>IFERROR(__xludf.DUMMYFUNCTION("""COMPUTED_VALUE"""),0.8197563823349224)</f>
        <v>0.8197563823</v>
      </c>
      <c r="AE518" s="80">
        <f>IFERROR(__xludf.DUMMYFUNCTION("""COMPUTED_VALUE"""),0.7169600295887862)</f>
        <v>0.7169600296</v>
      </c>
      <c r="AF518" s="80">
        <f>IFERROR(__xludf.DUMMYFUNCTION("""COMPUTED_VALUE"""),0.606892910125273)</f>
        <v>0.6068929101</v>
      </c>
      <c r="AG518" s="80">
        <f>IFERROR(__xludf.DUMMYFUNCTION("""COMPUTED_VALUE"""),0.7878207501136784)</f>
        <v>0.7878207501</v>
      </c>
      <c r="AH518" s="80">
        <f>IFERROR(__xludf.DUMMYFUNCTION("""COMPUTED_VALUE"""),1.0909531161098462)</f>
        <v>1.090953116</v>
      </c>
      <c r="AI518" s="80">
        <f>IFERROR(__xludf.DUMMYFUNCTION("""COMPUTED_VALUE"""),1.1213956493309012)</f>
        <v>1.121395649</v>
      </c>
      <c r="AJ518" s="80">
        <f>IFERROR(__xludf.DUMMYFUNCTION("""COMPUTED_VALUE"""),1.1939875937186668)</f>
        <v>1.193987594</v>
      </c>
      <c r="AK518" s="80">
        <f>IFERROR(__xludf.DUMMYFUNCTION("""COMPUTED_VALUE"""),1.3123363103487773)</f>
        <v>1.31233631</v>
      </c>
      <c r="AL518" s="80">
        <f>IFERROR(__xludf.DUMMYFUNCTION("""COMPUTED_VALUE"""),1.1893093000818933)</f>
        <v>1.1893093</v>
      </c>
      <c r="AM518" s="80">
        <f>IFERROR(__xludf.DUMMYFUNCTION("""COMPUTED_VALUE"""),0.9624126980111524)</f>
        <v>0.962412698</v>
      </c>
      <c r="AN518" s="80">
        <f>IFERROR(__xludf.DUMMYFUNCTION("""COMPUTED_VALUE"""),0.8565753327515426)</f>
        <v>0.8565753328</v>
      </c>
      <c r="AO518" s="80">
        <f>IFERROR(__xludf.DUMMYFUNCTION("""COMPUTED_VALUE"""),0.80761126962297)</f>
        <v>0.8076112696</v>
      </c>
      <c r="AP518" s="80">
        <f>IFERROR(__xludf.DUMMYFUNCTION("""COMPUTED_VALUE"""),0.6421598542296808)</f>
        <v>0.6421598542</v>
      </c>
      <c r="AQ518" s="80">
        <f>IFERROR(__xludf.DUMMYFUNCTION("""COMPUTED_VALUE"""),0.8029713227184107)</f>
        <v>0.8029713227</v>
      </c>
      <c r="AR518" s="80">
        <f>IFERROR(__xludf.DUMMYFUNCTION("""COMPUTED_VALUE"""),1.1649661656020331)</f>
        <v>1.164966166</v>
      </c>
      <c r="AS518" s="80">
        <f>IFERROR(__xludf.DUMMYFUNCTION("""COMPUTED_VALUE"""),23.0)</f>
        <v>23</v>
      </c>
      <c r="AT518" s="80">
        <f>IFERROR(__xludf.DUMMYFUNCTION("""COMPUTED_VALUE"""),0.29097307772493375)</f>
        <v>0.2909730777</v>
      </c>
      <c r="AU518" s="80">
        <f>IFERROR(__xludf.DUMMYFUNCTION("""COMPUTED_VALUE"""),2.2338439938137413)</f>
        <v>2.233843994</v>
      </c>
      <c r="AV518" s="80">
        <f>IFERROR(__xludf.DUMMYFUNCTION("""COMPUTED_VALUE"""),27.752752341852194)</f>
        <v>27.75275234</v>
      </c>
      <c r="AW518" s="82">
        <f t="shared" si="1"/>
        <v>-5.354393888</v>
      </c>
      <c r="AX518" s="83">
        <f t="array" ref="AX518">IFERROR(DGET('SBV Import'!A:G,"SBV",{"RSC ID","Tier";B518,A518}))</f>
        <v>28.18159873</v>
      </c>
      <c r="AY518" s="82">
        <f t="shared" si="2"/>
        <v>-5.224565364</v>
      </c>
      <c r="AZ518" s="82">
        <v>0.12982852375347598</v>
      </c>
      <c r="BA518" s="84">
        <v>450.0</v>
      </c>
      <c r="BB518" s="84" t="b">
        <f>IFERROR(__xludf.DUMMYFUNCTION("iferror(if(A518="""",,E518&gt;=FILTER(Constants!$F$2:$F$10,Constants!$A$2:$A$10=A518)))"),TRUE)</f>
        <v>1</v>
      </c>
    </row>
    <row r="519">
      <c r="A519" s="80" t="str">
        <f>IFERROR(__xludf.DUMMYFUNCTION("""COMPUTED_VALUE"""),"Master")</f>
        <v>Master</v>
      </c>
      <c r="B519" s="80" t="str">
        <f>IFERROR(__xludf.DUMMYFUNCTION("""COMPUTED_VALUE"""),"RSC000824")</f>
        <v>RSC000824</v>
      </c>
      <c r="C519" s="80" t="str">
        <f>IFERROR(__xludf.DUMMYFUNCTION("""COMPUTED_VALUE"""),"Cart")</f>
        <v>Cart</v>
      </c>
      <c r="D519" s="80" t="str">
        <f>IFERROR(__xludf.DUMMYFUNCTION("""COMPUTED_VALUE"""),"Hard Hats")</f>
        <v>Hard Hats</v>
      </c>
      <c r="E519" s="80">
        <f>IFERROR(__xludf.DUMMYFUNCTION("""COMPUTED_VALUE"""),27.0)</f>
        <v>27</v>
      </c>
      <c r="F519" s="80">
        <f>IFERROR(__xludf.DUMMYFUNCTION("""COMPUTED_VALUE"""),11.0)</f>
        <v>11</v>
      </c>
      <c r="G519" s="80">
        <f>IFERROR(__xludf.DUMMYFUNCTION("""COMPUTED_VALUE"""),16.0)</f>
        <v>16</v>
      </c>
      <c r="H519" s="81">
        <f>IFERROR(__xludf.DUMMYFUNCTION("""COMPUTED_VALUE"""),0.4074074074074074)</f>
        <v>0.4074074074</v>
      </c>
      <c r="I519" s="81">
        <f>IFERROR(__xludf.DUMMYFUNCTION("""COMPUTED_VALUE"""),0.29411764705882354)</f>
        <v>0.2941176471</v>
      </c>
      <c r="J519" s="80">
        <f>IFERROR(__xludf.DUMMYFUNCTION("""COMPUTED_VALUE"""),334.4074074074074)</f>
        <v>334.4074074</v>
      </c>
      <c r="K519" s="80">
        <f>IFERROR(__xludf.DUMMYFUNCTION("""COMPUTED_VALUE"""),0.5555555555555556)</f>
        <v>0.5555555556</v>
      </c>
      <c r="L519" s="80">
        <f>IFERROR(__xludf.DUMMYFUNCTION("""COMPUTED_VALUE"""),0.6296296296296297)</f>
        <v>0.6296296296</v>
      </c>
      <c r="M519" s="80">
        <f>IFERROR(__xludf.DUMMYFUNCTION("""COMPUTED_VALUE"""),1.5555555555555556)</f>
        <v>1.555555556</v>
      </c>
      <c r="N519" s="80">
        <f>IFERROR(__xludf.DUMMYFUNCTION("""COMPUTED_VALUE"""),1.8888888888888888)</f>
        <v>1.888888889</v>
      </c>
      <c r="O519" s="80">
        <f>IFERROR(__xludf.DUMMYFUNCTION("""COMPUTED_VALUE"""),399.4567901234568)</f>
        <v>399.4567901</v>
      </c>
      <c r="P519" s="80">
        <f>IFERROR(__xludf.DUMMYFUNCTION("""COMPUTED_VALUE"""),1.0740740740740742)</f>
        <v>1.074074074</v>
      </c>
      <c r="Q519" s="80">
        <f>IFERROR(__xludf.DUMMYFUNCTION("""COMPUTED_VALUE"""),0.8888888888888888)</f>
        <v>0.8888888889</v>
      </c>
      <c r="R519" s="80">
        <f>IFERROR(__xludf.DUMMYFUNCTION("""COMPUTED_VALUE"""),1.3333333333333333)</f>
        <v>1.333333333</v>
      </c>
      <c r="S519" s="80">
        <f>IFERROR(__xludf.DUMMYFUNCTION("""COMPUTED_VALUE"""),3.0617283950617287)</f>
        <v>3.061728395</v>
      </c>
      <c r="T519" s="80">
        <f>IFERROR(__xludf.DUMMYFUNCTION("""COMPUTED_VALUE"""),394.8327682204873)</f>
        <v>394.8327682</v>
      </c>
      <c r="U519" s="80">
        <f>IFERROR(__xludf.DUMMYFUNCTION("""COMPUTED_VALUE"""),0.954849939572492)</f>
        <v>0.9548499396</v>
      </c>
      <c r="V519" s="80">
        <f>IFERROR(__xludf.DUMMYFUNCTION("""COMPUTED_VALUE"""),0.7051089446069804)</f>
        <v>0.7051089446</v>
      </c>
      <c r="W519" s="80">
        <f>IFERROR(__xludf.DUMMYFUNCTION("""COMPUTED_VALUE"""),1.461683391800853)</f>
        <v>1.461683392</v>
      </c>
      <c r="X519" s="80">
        <f>IFERROR(__xludf.DUMMYFUNCTION("""COMPUTED_VALUE"""),2.9455652943335675)</f>
        <v>2.945565294</v>
      </c>
      <c r="Y519" s="80">
        <f>IFERROR(__xludf.DUMMYFUNCTION("""COMPUTED_VALUE"""),384.8790456062747)</f>
        <v>384.8790456</v>
      </c>
      <c r="Z519" s="80">
        <f>IFERROR(__xludf.DUMMYFUNCTION("""COMPUTED_VALUE"""),0.8439791783342646)</f>
        <v>0.8439791783</v>
      </c>
      <c r="AA519" s="80">
        <f>IFERROR(__xludf.DUMMYFUNCTION("""COMPUTED_VALUE"""),0.6592441041153967)</f>
        <v>0.6592441041</v>
      </c>
      <c r="AB519" s="80">
        <f>IFERROR(__xludf.DUMMYFUNCTION("""COMPUTED_VALUE"""),1.5184985713780332)</f>
        <v>1.518498571</v>
      </c>
      <c r="AC519" s="80">
        <f>IFERROR(__xludf.DUMMYFUNCTION("""COMPUTED_VALUE"""),2.744066867921932)</f>
        <v>2.744066868</v>
      </c>
      <c r="AD519" s="80">
        <f>IFERROR(__xludf.DUMMYFUNCTION("""COMPUTED_VALUE"""),0.8688636370957461)</f>
        <v>0.8688636371</v>
      </c>
      <c r="AE519" s="80">
        <f>IFERROR(__xludf.DUMMYFUNCTION("""COMPUTED_VALUE"""),0.6582574189235785)</f>
        <v>0.6582574189</v>
      </c>
      <c r="AF519" s="80">
        <f>IFERROR(__xludf.DUMMYFUNCTION("""COMPUTED_VALUE"""),0.9550781352447512)</f>
        <v>0.9550781352</v>
      </c>
      <c r="AG519" s="80">
        <f>IFERROR(__xludf.DUMMYFUNCTION("""COMPUTED_VALUE"""),1.0244037003893216)</f>
        <v>1.0244037</v>
      </c>
      <c r="AH519" s="80">
        <f>IFERROR(__xludf.DUMMYFUNCTION("""COMPUTED_VALUE"""),0.6883538119897693)</f>
        <v>0.688353812</v>
      </c>
      <c r="AI519" s="80">
        <f>IFERROR(__xludf.DUMMYFUNCTION("""COMPUTED_VALUE"""),1.0117113428143514)</f>
        <v>1.011711343</v>
      </c>
      <c r="AJ519" s="80">
        <f>IFERROR(__xludf.DUMMYFUNCTION("""COMPUTED_VALUE"""),1.1248616453334663)</f>
        <v>1.124861645</v>
      </c>
      <c r="AK519" s="80">
        <f>IFERROR(__xludf.DUMMYFUNCTION("""COMPUTED_VALUE"""),1.2606404949016004)</f>
        <v>1.260640495</v>
      </c>
      <c r="AL519" s="80">
        <f>IFERROR(__xludf.DUMMYFUNCTION("""COMPUTED_VALUE"""),0.9121902464052853)</f>
        <v>0.9121902464</v>
      </c>
      <c r="AM519" s="80">
        <f>IFERROR(__xludf.DUMMYFUNCTION("""COMPUTED_VALUE"""),1.039436606939804)</f>
        <v>1.039436607</v>
      </c>
      <c r="AN519" s="80">
        <f>IFERROR(__xludf.DUMMYFUNCTION("""COMPUTED_VALUE"""),0.891889370860137)</f>
        <v>0.8918893709</v>
      </c>
      <c r="AO519" s="80">
        <f>IFERROR(__xludf.DUMMYFUNCTION("""COMPUTED_VALUE"""),0.6730093913524751)</f>
        <v>0.6730093914</v>
      </c>
      <c r="AP519" s="80">
        <f>IFERROR(__xludf.DUMMYFUNCTION("""COMPUTED_VALUE"""),0.9703748908359621)</f>
        <v>0.9703748908</v>
      </c>
      <c r="AQ519" s="80">
        <f>IFERROR(__xludf.DUMMYFUNCTION("""COMPUTED_VALUE"""),1.0706284302912141)</f>
        <v>1.07062843</v>
      </c>
      <c r="AR519" s="80">
        <f>IFERROR(__xludf.DUMMYFUNCTION("""COMPUTED_VALUE"""),0.6948920987801601)</f>
        <v>0.6948920988</v>
      </c>
      <c r="AS519" s="80">
        <f>IFERROR(__xludf.DUMMYFUNCTION("""COMPUTED_VALUE"""),54.0)</f>
        <v>54</v>
      </c>
      <c r="AT519" s="80">
        <f>IFERROR(__xludf.DUMMYFUNCTION("""COMPUTED_VALUE"""),0.317251403244247)</f>
        <v>0.3172514032</v>
      </c>
      <c r="AU519" s="80">
        <f>IFERROR(__xludf.DUMMYFUNCTION("""COMPUTED_VALUE"""),2.2071714259486757)</f>
        <v>2.207171426</v>
      </c>
      <c r="AV519" s="80">
        <f>IFERROR(__xludf.DUMMYFUNCTION("""COMPUTED_VALUE"""),27.041598546212107)</f>
        <v>27.04159855</v>
      </c>
      <c r="AW519" s="82">
        <f t="shared" si="1"/>
        <v>-5.579688403</v>
      </c>
      <c r="AX519" s="83">
        <f t="array" ref="AX519">IFERROR(DGET('SBV Import'!A:G,"SBV",{"RSC ID","Tier";B519,A519}))</f>
        <v>30.42028999</v>
      </c>
      <c r="AY519" s="82">
        <f t="shared" si="2"/>
        <v>-4.613434707</v>
      </c>
      <c r="AZ519" s="82">
        <v>0.9662536960042898</v>
      </c>
      <c r="BA519" s="84">
        <v>450.0</v>
      </c>
      <c r="BB519" s="84" t="b">
        <f>IFERROR(__xludf.DUMMYFUNCTION("iferror(if(A519="""",,E519&gt;=FILTER(Constants!$F$2:$F$10,Constants!$A$2:$A$10=A519)))"),TRUE)</f>
        <v>1</v>
      </c>
    </row>
    <row r="520">
      <c r="A520" s="80" t="str">
        <f>IFERROR(__xludf.DUMMYFUNCTION("""COMPUTED_VALUE"""),"Master")</f>
        <v>Master</v>
      </c>
      <c r="B520" s="80" t="str">
        <f>IFERROR(__xludf.DUMMYFUNCTION("""COMPUTED_VALUE"""),"RSC003323")</f>
        <v>RSC003323</v>
      </c>
      <c r="C520" s="80" t="str">
        <f>IFERROR(__xludf.DUMMYFUNCTION("""COMPUTED_VALUE"""),"Boog McCroog")</f>
        <v>Boog McCroog</v>
      </c>
      <c r="D520" s="80" t="str">
        <f>IFERROR(__xludf.DUMMYFUNCTION("""COMPUTED_VALUE"""),"Hard Hats")</f>
        <v>Hard Hats</v>
      </c>
      <c r="E520" s="80">
        <f>IFERROR(__xludf.DUMMYFUNCTION("""COMPUTED_VALUE"""),42.0)</f>
        <v>42</v>
      </c>
      <c r="F520" s="80">
        <f>IFERROR(__xludf.DUMMYFUNCTION("""COMPUTED_VALUE"""),16.0)</f>
        <v>16</v>
      </c>
      <c r="G520" s="80">
        <f>IFERROR(__xludf.DUMMYFUNCTION("""COMPUTED_VALUE"""),26.0)</f>
        <v>26</v>
      </c>
      <c r="H520" s="81">
        <f>IFERROR(__xludf.DUMMYFUNCTION("""COMPUTED_VALUE"""),0.38095238095238093)</f>
        <v>0.380952381</v>
      </c>
      <c r="I520" s="81">
        <f>IFERROR(__xludf.DUMMYFUNCTION("""COMPUTED_VALUE"""),0.18269230769230768)</f>
        <v>0.1826923077</v>
      </c>
      <c r="J520" s="80">
        <f>IFERROR(__xludf.DUMMYFUNCTION("""COMPUTED_VALUE"""),318.3809523809524)</f>
        <v>318.3809524</v>
      </c>
      <c r="K520" s="80">
        <f>IFERROR(__xludf.DUMMYFUNCTION("""COMPUTED_VALUE"""),0.4523809523809524)</f>
        <v>0.4523809524</v>
      </c>
      <c r="L520" s="80">
        <f>IFERROR(__xludf.DUMMYFUNCTION("""COMPUTED_VALUE"""),0.5)</f>
        <v>0.5</v>
      </c>
      <c r="M520" s="80">
        <f>IFERROR(__xludf.DUMMYFUNCTION("""COMPUTED_VALUE"""),1.5714285714285714)</f>
        <v>1.571428571</v>
      </c>
      <c r="N520" s="80">
        <f>IFERROR(__xludf.DUMMYFUNCTION("""COMPUTED_VALUE"""),2.4761904761904763)</f>
        <v>2.476190476</v>
      </c>
      <c r="O520" s="80">
        <f>IFERROR(__xludf.DUMMYFUNCTION("""COMPUTED_VALUE"""),403.8730158730159)</f>
        <v>403.8730159</v>
      </c>
      <c r="P520" s="80">
        <f>IFERROR(__xludf.DUMMYFUNCTION("""COMPUTED_VALUE"""),0.9603174603174603)</f>
        <v>0.9603174603</v>
      </c>
      <c r="Q520" s="80">
        <f>IFERROR(__xludf.DUMMYFUNCTION("""COMPUTED_VALUE"""),0.7380952380952381)</f>
        <v>0.7380952381</v>
      </c>
      <c r="R520" s="80">
        <f>IFERROR(__xludf.DUMMYFUNCTION("""COMPUTED_VALUE"""),1.6428571428571428)</f>
        <v>1.642857143</v>
      </c>
      <c r="S520" s="80">
        <f>IFERROR(__xludf.DUMMYFUNCTION("""COMPUTED_VALUE"""),2.9682539682539684)</f>
        <v>2.968253968</v>
      </c>
      <c r="T520" s="80">
        <f>IFERROR(__xludf.DUMMYFUNCTION("""COMPUTED_VALUE"""),392.11303685333377)</f>
        <v>392.1130369</v>
      </c>
      <c r="U520" s="80">
        <f>IFERROR(__xludf.DUMMYFUNCTION("""COMPUTED_VALUE"""),0.9244143006409326)</f>
        <v>0.9244143006</v>
      </c>
      <c r="V520" s="80">
        <f>IFERROR(__xludf.DUMMYFUNCTION("""COMPUTED_VALUE"""),0.7151411167314469)</f>
        <v>0.7151411167</v>
      </c>
      <c r="W520" s="80">
        <f>IFERROR(__xludf.DUMMYFUNCTION("""COMPUTED_VALUE"""),1.4668932942152824)</f>
        <v>1.466893294</v>
      </c>
      <c r="X520" s="80">
        <f>IFERROR(__xludf.DUMMYFUNCTION("""COMPUTED_VALUE"""),2.9017854252262745)</f>
        <v>2.901785425</v>
      </c>
      <c r="Y520" s="80">
        <f>IFERROR(__xludf.DUMMYFUNCTION("""COMPUTED_VALUE"""),382.7350191634915)</f>
        <v>382.7350192</v>
      </c>
      <c r="Z520" s="80">
        <f>IFERROR(__xludf.DUMMYFUNCTION("""COMPUTED_VALUE"""),0.8441823232715603)</f>
        <v>0.8441823233</v>
      </c>
      <c r="AA520" s="80">
        <f>IFERROR(__xludf.DUMMYFUNCTION("""COMPUTED_VALUE"""),0.6505346443335492)</f>
        <v>0.6505346443</v>
      </c>
      <c r="AB520" s="80">
        <f>IFERROR(__xludf.DUMMYFUNCTION("""COMPUTED_VALUE"""),1.5066966911371555)</f>
        <v>1.506696691</v>
      </c>
      <c r="AC520" s="80">
        <f>IFERROR(__xludf.DUMMYFUNCTION("""COMPUTED_VALUE"""),2.7699878958796305)</f>
        <v>2.769987896</v>
      </c>
      <c r="AD520" s="80">
        <f>IFERROR(__xludf.DUMMYFUNCTION("""COMPUTED_VALUE"""),0.8318573855008309)</f>
        <v>0.8318573855</v>
      </c>
      <c r="AE520" s="80">
        <f>IFERROR(__xludf.DUMMYFUNCTION("""COMPUTED_VALUE"""),0.5358806266255216)</f>
        <v>0.5358806266</v>
      </c>
      <c r="AF520" s="80">
        <f>IFERROR(__xludf.DUMMYFUNCTION("""COMPUTED_VALUE"""),0.7685985740424833)</f>
        <v>0.768598574</v>
      </c>
      <c r="AG520" s="80">
        <f>IFERROR(__xludf.DUMMYFUNCTION("""COMPUTED_VALUE"""),1.042962781210172)</f>
        <v>1.042962781</v>
      </c>
      <c r="AH520" s="80">
        <f>IFERROR(__xludf.DUMMYFUNCTION("""COMPUTED_VALUE"""),0.893935486098629)</f>
        <v>0.8939354861</v>
      </c>
      <c r="AI520" s="80">
        <f>IFERROR(__xludf.DUMMYFUNCTION("""COMPUTED_VALUE"""),1.0299912982084318)</f>
        <v>1.029991298</v>
      </c>
      <c r="AJ520" s="80">
        <f>IFERROR(__xludf.DUMMYFUNCTION("""COMPUTED_VALUE"""),1.038838818970709)</f>
        <v>1.038838819</v>
      </c>
      <c r="AK520" s="80">
        <f>IFERROR(__xludf.DUMMYFUNCTION("""COMPUTED_VALUE"""),1.032097331319311)</f>
        <v>1.032097331</v>
      </c>
      <c r="AL520" s="80">
        <f>IFERROR(__xludf.DUMMYFUNCTION("""COMPUTED_VALUE"""),1.1199568157655206)</f>
        <v>1.119956816</v>
      </c>
      <c r="AM520" s="80">
        <f>IFERROR(__xludf.DUMMYFUNCTION("""COMPUTED_VALUE"""),1.0229060848020872)</f>
        <v>1.022906085</v>
      </c>
      <c r="AN520" s="80">
        <f>IFERROR(__xludf.DUMMYFUNCTION("""COMPUTED_VALUE"""),0.8491456260325916)</f>
        <v>0.849145626</v>
      </c>
      <c r="AO520" s="80">
        <f>IFERROR(__xludf.DUMMYFUNCTION("""COMPUTED_VALUE"""),0.548021932958444)</f>
        <v>0.548021933</v>
      </c>
      <c r="AP520" s="80">
        <f>IFERROR(__xludf.DUMMYFUNCTION("""COMPUTED_VALUE"""),0.770591825075617)</f>
        <v>0.7705918251</v>
      </c>
      <c r="AQ520" s="80">
        <f>IFERROR(__xludf.DUMMYFUNCTION("""COMPUTED_VALUE"""),1.0815532101921448)</f>
        <v>1.08155321</v>
      </c>
      <c r="AR520" s="80">
        <f>IFERROR(__xludf.DUMMYFUNCTION("""COMPUTED_VALUE"""),0.9109509866361764)</f>
        <v>0.9109509866</v>
      </c>
      <c r="AS520" s="80">
        <f>IFERROR(__xludf.DUMMYFUNCTION("""COMPUTED_VALUE"""),85.0)</f>
        <v>85</v>
      </c>
      <c r="AT520" s="80">
        <f>IFERROR(__xludf.DUMMYFUNCTION("""COMPUTED_VALUE"""),0.36415329836339305)</f>
        <v>0.3641532984</v>
      </c>
      <c r="AU520" s="80">
        <f>IFERROR(__xludf.DUMMYFUNCTION("""COMPUTED_VALUE"""),2.061016650658606)</f>
        <v>2.061016651</v>
      </c>
      <c r="AV520" s="80">
        <f>IFERROR(__xludf.DUMMYFUNCTION("""COMPUTED_VALUE"""),23.144766275533357)</f>
        <v>23.14476628</v>
      </c>
      <c r="AW520" s="82">
        <f t="shared" si="1"/>
        <v>-7.073915191</v>
      </c>
      <c r="AX520" s="83">
        <f t="array" ref="AX520">IFERROR(DGET('SBV Import'!A:G,"SBV",{"RSC ID","Tier";B520,A520}))</f>
        <v>19.57307784</v>
      </c>
      <c r="AY520" s="82">
        <f t="shared" si="2"/>
        <v>-8.945545446</v>
      </c>
      <c r="AZ520" s="82">
        <v>1.8716302557066609</v>
      </c>
      <c r="BA520" s="84">
        <v>450.0</v>
      </c>
      <c r="BB520" s="84" t="b">
        <f>IFERROR(__xludf.DUMMYFUNCTION("iferror(if(A520="""",,E520&gt;=FILTER(Constants!$F$2:$F$10,Constants!$A$2:$A$10=A520)))"),TRUE)</f>
        <v>1</v>
      </c>
    </row>
    <row r="521">
      <c r="A521" s="80" t="str">
        <f>IFERROR(__xludf.DUMMYFUNCTION("""COMPUTED_VALUE"""),"Master")</f>
        <v>Master</v>
      </c>
      <c r="B521" s="80" t="str">
        <f>IFERROR(__xludf.DUMMYFUNCTION("""COMPUTED_VALUE"""),"RSC007878")</f>
        <v>RSC007878</v>
      </c>
      <c r="C521" s="80" t="str">
        <f>IFERROR(__xludf.DUMMYFUNCTION("""COMPUTED_VALUE"""),"oneam")</f>
        <v>oneam</v>
      </c>
      <c r="D521" s="80" t="str">
        <f>IFERROR(__xludf.DUMMYFUNCTION("""COMPUTED_VALUE"""),"Hard Hats")</f>
        <v>Hard Hats</v>
      </c>
      <c r="E521" s="80">
        <f>IFERROR(__xludf.DUMMYFUNCTION("""COMPUTED_VALUE"""),22.0)</f>
        <v>22</v>
      </c>
      <c r="F521" s="80">
        <f>IFERROR(__xludf.DUMMYFUNCTION("""COMPUTED_VALUE"""),5.0)</f>
        <v>5</v>
      </c>
      <c r="G521" s="80">
        <f>IFERROR(__xludf.DUMMYFUNCTION("""COMPUTED_VALUE"""),17.0)</f>
        <v>17</v>
      </c>
      <c r="H521" s="81">
        <f>IFERROR(__xludf.DUMMYFUNCTION("""COMPUTED_VALUE"""),0.22727272727272727)</f>
        <v>0.2272727273</v>
      </c>
      <c r="I521" s="81">
        <f>IFERROR(__xludf.DUMMYFUNCTION("""COMPUTED_VALUE"""),0.3111111111111111)</f>
        <v>0.3111111111</v>
      </c>
      <c r="J521" s="80">
        <f>IFERROR(__xludf.DUMMYFUNCTION("""COMPUTED_VALUE"""),333.72727272727275)</f>
        <v>333.7272727</v>
      </c>
      <c r="K521" s="80">
        <f>IFERROR(__xludf.DUMMYFUNCTION("""COMPUTED_VALUE"""),0.6363636363636364)</f>
        <v>0.6363636364</v>
      </c>
      <c r="L521" s="80">
        <f>IFERROR(__xludf.DUMMYFUNCTION("""COMPUTED_VALUE"""),0.3181818181818182)</f>
        <v>0.3181818182</v>
      </c>
      <c r="M521" s="80">
        <f>IFERROR(__xludf.DUMMYFUNCTION("""COMPUTED_VALUE"""),1.5909090909090908)</f>
        <v>1.590909091</v>
      </c>
      <c r="N521" s="80">
        <f>IFERROR(__xludf.DUMMYFUNCTION("""COMPUTED_VALUE"""),2.0454545454545454)</f>
        <v>2.045454545</v>
      </c>
      <c r="O521" s="80">
        <f>IFERROR(__xludf.DUMMYFUNCTION("""COMPUTED_VALUE"""),395.54545454545456)</f>
        <v>395.5454545</v>
      </c>
      <c r="P521" s="80">
        <f>IFERROR(__xludf.DUMMYFUNCTION("""COMPUTED_VALUE"""),0.9848484848484849)</f>
        <v>0.9848484848</v>
      </c>
      <c r="Q521" s="80">
        <f>IFERROR(__xludf.DUMMYFUNCTION("""COMPUTED_VALUE"""),0.7272727272727274)</f>
        <v>0.7272727273</v>
      </c>
      <c r="R521" s="80">
        <f>IFERROR(__xludf.DUMMYFUNCTION("""COMPUTED_VALUE"""),1.3939393939393943)</f>
        <v>1.393939394</v>
      </c>
      <c r="S521" s="80">
        <f>IFERROR(__xludf.DUMMYFUNCTION("""COMPUTED_VALUE"""),2.939393939393939)</f>
        <v>2.939393939</v>
      </c>
      <c r="T521" s="80">
        <f>IFERROR(__xludf.DUMMYFUNCTION("""COMPUTED_VALUE"""),394.01286753375274)</f>
        <v>394.0128675</v>
      </c>
      <c r="U521" s="80">
        <f>IFERROR(__xludf.DUMMYFUNCTION("""COMPUTED_VALUE"""),0.9204497626873391)</f>
        <v>0.9204497627</v>
      </c>
      <c r="V521" s="80">
        <f>IFERROR(__xludf.DUMMYFUNCTION("""COMPUTED_VALUE"""),0.7019178982213128)</f>
        <v>0.7019178982</v>
      </c>
      <c r="W521" s="80">
        <f>IFERROR(__xludf.DUMMYFUNCTION("""COMPUTED_VALUE"""),1.4459737076795987)</f>
        <v>1.445973708</v>
      </c>
      <c r="X521" s="80">
        <f>IFERROR(__xludf.DUMMYFUNCTION("""COMPUTED_VALUE"""),2.9094349236659323)</f>
        <v>2.909434924</v>
      </c>
      <c r="Y521" s="80">
        <f>IFERROR(__xludf.DUMMYFUNCTION("""COMPUTED_VALUE"""),370.87499357661216)</f>
        <v>370.8749936</v>
      </c>
      <c r="Z521" s="80">
        <f>IFERROR(__xludf.DUMMYFUNCTION("""COMPUTED_VALUE"""),0.7995257501454295)</f>
        <v>0.7995257501</v>
      </c>
      <c r="AA521" s="80">
        <f>IFERROR(__xludf.DUMMYFUNCTION("""COMPUTED_VALUE"""),0.5946294970198275)</f>
        <v>0.594629497</v>
      </c>
      <c r="AB521" s="80">
        <f>IFERROR(__xludf.DUMMYFUNCTION("""COMPUTED_VALUE"""),1.4808728236671604)</f>
        <v>1.480872824</v>
      </c>
      <c r="AC521" s="80">
        <f>IFERROR(__xludf.DUMMYFUNCTION("""COMPUTED_VALUE"""),2.6495335161120255)</f>
        <v>2.649533516</v>
      </c>
      <c r="AD521" s="80">
        <f>IFERROR(__xludf.DUMMYFUNCTION("""COMPUTED_VALUE"""),0.8998376232080318)</f>
        <v>0.8998376232</v>
      </c>
      <c r="AE521" s="80">
        <f>IFERROR(__xludf.DUMMYFUNCTION("""COMPUTED_VALUE"""),0.7959263804172476)</f>
        <v>0.7959263804</v>
      </c>
      <c r="AF521" s="80">
        <f>IFERROR(__xludf.DUMMYFUNCTION("""COMPUTED_VALUE"""),0.5350925572587406)</f>
        <v>0.5350925573</v>
      </c>
      <c r="AG521" s="80">
        <f>IFERROR(__xludf.DUMMYFUNCTION("""COMPUTED_VALUE"""),1.074305008156907)</f>
        <v>1.074305008</v>
      </c>
      <c r="AH521" s="80">
        <f>IFERROR(__xludf.DUMMYFUNCTION("""COMPUTED_VALUE"""),0.7720055372071999)</f>
        <v>0.7720055372</v>
      </c>
      <c r="AI521" s="80">
        <f>IFERROR(__xludf.DUMMYFUNCTION("""COMPUTED_VALUE"""),1.0038896877183092)</f>
        <v>1.003889688</v>
      </c>
      <c r="AJ521" s="80">
        <f>IFERROR(__xludf.DUMMYFUNCTION("""COMPUTED_VALUE"""),1.069964407370944)</f>
        <v>1.069964407</v>
      </c>
      <c r="AK521" s="80">
        <f>IFERROR(__xludf.DUMMYFUNCTION("""COMPUTED_VALUE"""),1.0361222147428706)</f>
        <v>1.036122215</v>
      </c>
      <c r="AL521" s="80">
        <f>IFERROR(__xludf.DUMMYFUNCTION("""COMPUTED_VALUE"""),0.9640143430936199)</f>
        <v>0.9640143431</v>
      </c>
      <c r="AM521" s="80">
        <f>IFERROR(__xludf.DUMMYFUNCTION("""COMPUTED_VALUE"""),1.0102971939617258)</f>
        <v>1.010297194</v>
      </c>
      <c r="AN521" s="80">
        <f>IFERROR(__xludf.DUMMYFUNCTION("""COMPUTED_VALUE"""),0.8900754011975976)</f>
        <v>0.8900754012</v>
      </c>
      <c r="AO521" s="80">
        <f>IFERROR(__xludf.DUMMYFUNCTION("""COMPUTED_VALUE"""),0.7709016664582896)</f>
        <v>0.7709016665</v>
      </c>
      <c r="AP521" s="80">
        <f>IFERROR(__xludf.DUMMYFUNCTION("""COMPUTED_VALUE"""),0.49037661595721077)</f>
        <v>0.490376616</v>
      </c>
      <c r="AQ521" s="80">
        <f>IFERROR(__xludf.DUMMYFUNCTION("""COMPUTED_VALUE"""),1.0949608946160143)</f>
        <v>1.094960895</v>
      </c>
      <c r="AR521" s="80">
        <f>IFERROR(__xludf.DUMMYFUNCTION("""COMPUTED_VALUE"""),0.7524901069678205)</f>
        <v>0.752490107</v>
      </c>
      <c r="AS521" s="80">
        <f>IFERROR(__xludf.DUMMYFUNCTION("""COMPUTED_VALUE"""),41.0)</f>
        <v>41</v>
      </c>
      <c r="AT521" s="80">
        <f>IFERROR(__xludf.DUMMYFUNCTION("""COMPUTED_VALUE"""),0.3265949729788528)</f>
        <v>0.326594973</v>
      </c>
      <c r="AU521" s="80">
        <f>IFERROR(__xludf.DUMMYFUNCTION("""COMPUTED_VALUE"""),2.0350522258856842)</f>
        <v>2.035052226</v>
      </c>
      <c r="AV521" s="80">
        <f>IFERROR(__xludf.DUMMYFUNCTION("""COMPUTED_VALUE"""),22.452493250967965)</f>
        <v>22.45249325</v>
      </c>
      <c r="AW521" s="82">
        <f t="shared" si="1"/>
        <v>-7.393577823</v>
      </c>
      <c r="AX521" s="83">
        <f t="array" ref="AX521">IFERROR(DGET('SBV Import'!A:G,"SBV",{"RSC ID","Tier";B521,A521}))</f>
        <v>25.9058207</v>
      </c>
      <c r="AY521" s="82">
        <f t="shared" si="2"/>
        <v>-5.967251689</v>
      </c>
      <c r="AZ521" s="82">
        <v>1.4263261343396199</v>
      </c>
      <c r="BA521" s="84">
        <v>450.0</v>
      </c>
      <c r="BB521" s="84" t="b">
        <f>IFERROR(__xludf.DUMMYFUNCTION("iferror(if(A521="""",,E521&gt;=FILTER(Constants!$F$2:$F$10,Constants!$A$2:$A$10=A521)))"),TRUE)</f>
        <v>1</v>
      </c>
    </row>
    <row r="522">
      <c r="A522" s="80" t="str">
        <f>IFERROR(__xludf.DUMMYFUNCTION("""COMPUTED_VALUE"""),"Master")</f>
        <v>Master</v>
      </c>
      <c r="B522" s="80" t="str">
        <f>IFERROR(__xludf.DUMMYFUNCTION("""COMPUTED_VALUE"""),"RSC007252")</f>
        <v>RSC007252</v>
      </c>
      <c r="C522" s="80" t="str">
        <f>IFERROR(__xludf.DUMMYFUNCTION("""COMPUTED_VALUE"""),"mario.")</f>
        <v>mario.</v>
      </c>
      <c r="D522" s="80"/>
      <c r="E522" s="80">
        <f>IFERROR(__xludf.DUMMYFUNCTION("""COMPUTED_VALUE"""),12.0)</f>
        <v>12</v>
      </c>
      <c r="F522" s="80">
        <f>IFERROR(__xludf.DUMMYFUNCTION("""COMPUTED_VALUE"""),3.0)</f>
        <v>3</v>
      </c>
      <c r="G522" s="80">
        <f>IFERROR(__xludf.DUMMYFUNCTION("""COMPUTED_VALUE"""),9.0)</f>
        <v>9</v>
      </c>
      <c r="H522" s="81">
        <f>IFERROR(__xludf.DUMMYFUNCTION("""COMPUTED_VALUE"""),0.25)</f>
        <v>0.25</v>
      </c>
      <c r="I522" s="81">
        <f>IFERROR(__xludf.DUMMYFUNCTION("""COMPUTED_VALUE"""),0.13793103448275862)</f>
        <v>0.1379310345</v>
      </c>
      <c r="J522" s="80">
        <f>IFERROR(__xludf.DUMMYFUNCTION("""COMPUTED_VALUE"""),301.9166666666667)</f>
        <v>301.9166667</v>
      </c>
      <c r="K522" s="80">
        <f>IFERROR(__xludf.DUMMYFUNCTION("""COMPUTED_VALUE"""),0.3333333333333333)</f>
        <v>0.3333333333</v>
      </c>
      <c r="L522" s="80">
        <f>IFERROR(__xludf.DUMMYFUNCTION("""COMPUTED_VALUE"""),0.5833333333333334)</f>
        <v>0.5833333333</v>
      </c>
      <c r="M522" s="80">
        <f>IFERROR(__xludf.DUMMYFUNCTION("""COMPUTED_VALUE"""),1.0)</f>
        <v>1</v>
      </c>
      <c r="N522" s="80">
        <f>IFERROR(__xludf.DUMMYFUNCTION("""COMPUTED_VALUE"""),2.4166666666666665)</f>
        <v>2.416666667</v>
      </c>
      <c r="O522" s="80">
        <f>IFERROR(__xludf.DUMMYFUNCTION("""COMPUTED_VALUE"""),435.4444444444445)</f>
        <v>435.4444444</v>
      </c>
      <c r="P522" s="80">
        <f>IFERROR(__xludf.DUMMYFUNCTION("""COMPUTED_VALUE"""),1.0277777777777777)</f>
        <v>1.027777778</v>
      </c>
      <c r="Q522" s="80">
        <f>IFERROR(__xludf.DUMMYFUNCTION("""COMPUTED_VALUE"""),0.8333333333333331)</f>
        <v>0.8333333333</v>
      </c>
      <c r="R522" s="80">
        <f>IFERROR(__xludf.DUMMYFUNCTION("""COMPUTED_VALUE"""),1.5)</f>
        <v>1.5</v>
      </c>
      <c r="S522" s="80">
        <f>IFERROR(__xludf.DUMMYFUNCTION("""COMPUTED_VALUE"""),3.361111111111111)</f>
        <v>3.361111111</v>
      </c>
      <c r="T522" s="80">
        <f>IFERROR(__xludf.DUMMYFUNCTION("""COMPUTED_VALUE"""),406.08654701475734)</f>
        <v>406.086547</v>
      </c>
      <c r="U522" s="80">
        <f>IFERROR(__xludf.DUMMYFUNCTION("""COMPUTED_VALUE"""),0.970740316727425)</f>
        <v>0.9707403167</v>
      </c>
      <c r="V522" s="80">
        <f>IFERROR(__xludf.DUMMYFUNCTION("""COMPUTED_VALUE"""),0.7124662379338823)</f>
        <v>0.7124662379</v>
      </c>
      <c r="W522" s="80">
        <f>IFERROR(__xludf.DUMMYFUNCTION("""COMPUTED_VALUE"""),1.5236329835483022)</f>
        <v>1.523632984</v>
      </c>
      <c r="X522" s="80">
        <f>IFERROR(__xludf.DUMMYFUNCTION("""COMPUTED_VALUE"""),3.171396064052788)</f>
        <v>3.171396064</v>
      </c>
      <c r="Y522" s="80">
        <f>IFERROR(__xludf.DUMMYFUNCTION("""COMPUTED_VALUE"""),391.0818400499686)</f>
        <v>391.08184</v>
      </c>
      <c r="Z522" s="80">
        <f>IFERROR(__xludf.DUMMYFUNCTION("""COMPUTED_VALUE"""),0.8783845271774999)</f>
        <v>0.8783845272</v>
      </c>
      <c r="AA522" s="80">
        <f>IFERROR(__xludf.DUMMYFUNCTION("""COMPUTED_VALUE"""),0.6829000799067364)</f>
        <v>0.6829000799</v>
      </c>
      <c r="AB522" s="80">
        <f>IFERROR(__xludf.DUMMYFUNCTION("""COMPUTED_VALUE"""),1.5556525776929384)</f>
        <v>1.555652578</v>
      </c>
      <c r="AC522" s="80">
        <f>IFERROR(__xludf.DUMMYFUNCTION("""COMPUTED_VALUE"""),2.839944026095863)</f>
        <v>2.839944026</v>
      </c>
      <c r="AD522" s="80">
        <f>IFERROR(__xludf.DUMMYFUNCTION("""COMPUTED_VALUE"""),0.7720038000948618)</f>
        <v>0.7720038001</v>
      </c>
      <c r="AE522" s="80">
        <f>IFERROR(__xludf.DUMMYFUNCTION("""COMPUTED_VALUE"""),0.37948452303050967)</f>
        <v>0.379484523</v>
      </c>
      <c r="AF522" s="80">
        <f>IFERROR(__xludf.DUMMYFUNCTION("""COMPUTED_VALUE"""),0.8542001245819142)</f>
        <v>0.8542001246</v>
      </c>
      <c r="AG522" s="80">
        <f>IFERROR(__xludf.DUMMYFUNCTION("""COMPUTED_VALUE"""),0.642817049474516)</f>
        <v>0.6428170495</v>
      </c>
      <c r="AH522" s="80">
        <f>IFERROR(__xludf.DUMMYFUNCTION("""COMPUTED_VALUE"""),0.8509557387259193)</f>
        <v>0.8509557387</v>
      </c>
      <c r="AI522" s="80">
        <f>IFERROR(__xludf.DUMMYFUNCTION("""COMPUTED_VALUE"""),1.0722946811351037)</f>
        <v>1.072294681</v>
      </c>
      <c r="AJ522" s="80">
        <f>IFERROR(__xludf.DUMMYFUNCTION("""COMPUTED_VALUE"""),1.0587566623817977)</f>
        <v>1.058756662</v>
      </c>
      <c r="AK522" s="80">
        <f>IFERROR(__xludf.DUMMYFUNCTION("""COMPUTED_VALUE"""),1.1696460673700968)</f>
        <v>1.169646067</v>
      </c>
      <c r="AL522" s="80">
        <f>IFERROR(__xludf.DUMMYFUNCTION("""COMPUTED_VALUE"""),0.9844890575332225)</f>
        <v>0.9844890575</v>
      </c>
      <c r="AM522" s="80">
        <f>IFERROR(__xludf.DUMMYFUNCTION("""COMPUTED_VALUE"""),1.0598206730495474)</f>
        <v>1.059820673</v>
      </c>
      <c r="AN522" s="80">
        <f>IFERROR(__xludf.DUMMYFUNCTION("""COMPUTED_VALUE"""),0.8052341542705861)</f>
        <v>0.8052341543</v>
      </c>
      <c r="AO522" s="80">
        <f>IFERROR(__xludf.DUMMYFUNCTION("""COMPUTED_VALUE"""),0.403805634811485)</f>
        <v>0.4038056348</v>
      </c>
      <c r="AP522" s="80">
        <f>IFERROR(__xludf.DUMMYFUNCTION("""COMPUTED_VALUE"""),0.8990237959215531)</f>
        <v>0.8990237959</v>
      </c>
      <c r="AQ522" s="80">
        <f>IFERROR(__xludf.DUMMYFUNCTION("""COMPUTED_VALUE"""),0.6882611337586376)</f>
        <v>0.6882611338</v>
      </c>
      <c r="AR522" s="80">
        <f>IFERROR(__xludf.DUMMYFUNCTION("""COMPUTED_VALUE"""),0.8890531263804989)</f>
        <v>0.8890531264</v>
      </c>
      <c r="AS522" s="80">
        <f>IFERROR(__xludf.DUMMYFUNCTION("""COMPUTED_VALUE"""),25.0)</f>
        <v>25</v>
      </c>
      <c r="AT522" s="80">
        <f>IFERROR(__xludf.DUMMYFUNCTION("""COMPUTED_VALUE"""),0.347943024864575)</f>
        <v>0.3479430249</v>
      </c>
      <c r="AU522" s="80">
        <f>IFERROR(__xludf.DUMMYFUNCTION("""COMPUTED_VALUE"""),1.8380889320062206)</f>
        <v>1.838088932</v>
      </c>
      <c r="AV522" s="80">
        <f>IFERROR(__xludf.DUMMYFUNCTION("""COMPUTED_VALUE"""),17.200985606381096)</f>
        <v>17.20098561</v>
      </c>
      <c r="AW522" s="82">
        <f t="shared" si="1"/>
        <v>-10.55222779</v>
      </c>
      <c r="AX522" s="83">
        <f t="array" ref="AX522">IFERROR(DGET('SBV Import'!A:G,"SBV",{"RSC ID","Tier";B522,A522}))</f>
        <v>8.518468231</v>
      </c>
      <c r="AY522" s="82">
        <f t="shared" si="2"/>
        <v>-20.60514087</v>
      </c>
      <c r="AZ522" s="82">
        <v>10.0529130851321</v>
      </c>
      <c r="BA522" s="84">
        <v>450.0</v>
      </c>
      <c r="BB522" s="84" t="b">
        <f>IFERROR(__xludf.DUMMYFUNCTION("iferror(if(A522="""",,E522&gt;=FILTER(Constants!$F$2:$F$10,Constants!$A$2:$A$10=A522)))"),TRUE)</f>
        <v>1</v>
      </c>
    </row>
    <row r="523">
      <c r="A523" s="80" t="str">
        <f>IFERROR(__xludf.DUMMYFUNCTION("""COMPUTED_VALUE"""),"Master")</f>
        <v>Master</v>
      </c>
      <c r="B523" s="80" t="str">
        <f>IFERROR(__xludf.DUMMYFUNCTION("""COMPUTED_VALUE"""),"RSC005109")</f>
        <v>RSC005109</v>
      </c>
      <c r="C523" s="80" t="str">
        <f>IFERROR(__xludf.DUMMYFUNCTION("""COMPUTED_VALUE"""),"delta ^_^")</f>
        <v>delta ^_^</v>
      </c>
      <c r="D523" s="80"/>
      <c r="E523" s="80">
        <f>IFERROR(__xludf.DUMMYFUNCTION("""COMPUTED_VALUE"""),8.0)</f>
        <v>8</v>
      </c>
      <c r="F523" s="80">
        <f>IFERROR(__xludf.DUMMYFUNCTION("""COMPUTED_VALUE"""),3.0)</f>
        <v>3</v>
      </c>
      <c r="G523" s="80">
        <f>IFERROR(__xludf.DUMMYFUNCTION("""COMPUTED_VALUE"""),5.0)</f>
        <v>5</v>
      </c>
      <c r="H523" s="81">
        <f>IFERROR(__xludf.DUMMYFUNCTION("""COMPUTED_VALUE"""),0.375)</f>
        <v>0.375</v>
      </c>
      <c r="I523" s="81">
        <f>IFERROR(__xludf.DUMMYFUNCTION("""COMPUTED_VALUE"""),0.3333333333333333)</f>
        <v>0.3333333333</v>
      </c>
      <c r="J523" s="80">
        <f>IFERROR(__xludf.DUMMYFUNCTION("""COMPUTED_VALUE"""),365.25)</f>
        <v>365.25</v>
      </c>
      <c r="K523" s="80">
        <f>IFERROR(__xludf.DUMMYFUNCTION("""COMPUTED_VALUE"""),0.625)</f>
        <v>0.625</v>
      </c>
      <c r="L523" s="80">
        <f>IFERROR(__xludf.DUMMYFUNCTION("""COMPUTED_VALUE"""),0.25)</f>
        <v>0.25</v>
      </c>
      <c r="M523" s="80">
        <f>IFERROR(__xludf.DUMMYFUNCTION("""COMPUTED_VALUE"""),1.875)</f>
        <v>1.875</v>
      </c>
      <c r="N523" s="80">
        <f>IFERROR(__xludf.DUMMYFUNCTION("""COMPUTED_VALUE"""),1.875)</f>
        <v>1.875</v>
      </c>
      <c r="O523" s="80">
        <f>IFERROR(__xludf.DUMMYFUNCTION("""COMPUTED_VALUE"""),435.4583333333333)</f>
        <v>435.4583333</v>
      </c>
      <c r="P523" s="80">
        <f>IFERROR(__xludf.DUMMYFUNCTION("""COMPUTED_VALUE"""),1.3333333333333333)</f>
        <v>1.333333333</v>
      </c>
      <c r="Q523" s="80">
        <f>IFERROR(__xludf.DUMMYFUNCTION("""COMPUTED_VALUE"""),1.125)</f>
        <v>1.125</v>
      </c>
      <c r="R523" s="80">
        <f>IFERROR(__xludf.DUMMYFUNCTION("""COMPUTED_VALUE"""),1.0833333333333335)</f>
        <v>1.083333333</v>
      </c>
      <c r="S523" s="80">
        <f>IFERROR(__xludf.DUMMYFUNCTION("""COMPUTED_VALUE"""),3.666666666666667)</f>
        <v>3.666666667</v>
      </c>
      <c r="T523" s="80">
        <f>IFERROR(__xludf.DUMMYFUNCTION("""COMPUTED_VALUE"""),408.64405820628656)</f>
        <v>408.6440582</v>
      </c>
      <c r="U523" s="80">
        <f>IFERROR(__xludf.DUMMYFUNCTION("""COMPUTED_VALUE"""),1.0370110264132004)</f>
        <v>1.037011026</v>
      </c>
      <c r="V523" s="80">
        <f>IFERROR(__xludf.DUMMYFUNCTION("""COMPUTED_VALUE"""),0.7824443973900496)</f>
        <v>0.7824443974</v>
      </c>
      <c r="W523" s="80">
        <f>IFERROR(__xludf.DUMMYFUNCTION("""COMPUTED_VALUE"""),1.4642355229311752)</f>
        <v>1.464235523</v>
      </c>
      <c r="X523" s="80">
        <f>IFERROR(__xludf.DUMMYFUNCTION("""COMPUTED_VALUE"""),3.003246361126796)</f>
        <v>3.003246361</v>
      </c>
      <c r="Y523" s="80">
        <f>IFERROR(__xludf.DUMMYFUNCTION("""COMPUTED_VALUE"""),357.6467933736955)</f>
        <v>357.6467934</v>
      </c>
      <c r="Z523" s="80">
        <f>IFERROR(__xludf.DUMMYFUNCTION("""COMPUTED_VALUE"""),0.7463990317251186)</f>
        <v>0.7463990317</v>
      </c>
      <c r="AA523" s="80">
        <f>IFERROR(__xludf.DUMMYFUNCTION("""COMPUTED_VALUE"""),0.5389202584854759)</f>
        <v>0.5389202585</v>
      </c>
      <c r="AB523" s="80">
        <f>IFERROR(__xludf.DUMMYFUNCTION("""COMPUTED_VALUE"""),1.4673816320555453)</f>
        <v>1.467381632</v>
      </c>
      <c r="AC523" s="80">
        <f>IFERROR(__xludf.DUMMYFUNCTION("""COMPUTED_VALUE"""),2.5927078758600492)</f>
        <v>2.592707876</v>
      </c>
      <c r="AD523" s="80">
        <f>IFERROR(__xludf.DUMMYFUNCTION("""COMPUTED_VALUE"""),1.0212589816745823)</f>
        <v>1.021258982</v>
      </c>
      <c r="AE523" s="80">
        <f>IFERROR(__xludf.DUMMYFUNCTION("""COMPUTED_VALUE"""),0.8373537122033312)</f>
        <v>0.8373537122</v>
      </c>
      <c r="AF523" s="80">
        <f>IFERROR(__xludf.DUMMYFUNCTION("""COMPUTED_VALUE"""),0.4638905219532355)</f>
        <v>0.463890522</v>
      </c>
      <c r="AG523" s="80">
        <f>IFERROR(__xludf.DUMMYFUNCTION("""COMPUTED_VALUE"""),1.2777862002902767)</f>
        <v>1.2777862</v>
      </c>
      <c r="AH523" s="80">
        <f>IFERROR(__xludf.DUMMYFUNCTION("""COMPUTED_VALUE"""),0.7231821284062045)</f>
        <v>0.7231821284</v>
      </c>
      <c r="AI523" s="80">
        <f>IFERROR(__xludf.DUMMYFUNCTION("""COMPUTED_VALUE"""),1.0656176802000892)</f>
        <v>1.06561768</v>
      </c>
      <c r="AJ523" s="80">
        <f>IFERROR(__xludf.DUMMYFUNCTION("""COMPUTED_VALUE"""),1.2857465343884031)</f>
        <v>1.285746534</v>
      </c>
      <c r="AK523" s="80">
        <f>IFERROR(__xludf.DUMMYFUNCTION("""COMPUTED_VALUE"""),1.4378018473294607)</f>
        <v>1.437801847</v>
      </c>
      <c r="AL523" s="80">
        <f>IFERROR(__xludf.DUMMYFUNCTION("""COMPUTED_VALUE"""),0.7398627586664924)</f>
        <v>0.7398627587</v>
      </c>
      <c r="AM523" s="80">
        <f>IFERROR(__xludf.DUMMYFUNCTION("""COMPUTED_VALUE"""),1.2209010603082728)</f>
        <v>1.22090106</v>
      </c>
      <c r="AN523" s="80">
        <f>IFERROR(__xludf.DUMMYFUNCTION("""COMPUTED_VALUE"""),0.9741488540347719)</f>
        <v>0.974148854</v>
      </c>
      <c r="AO523" s="80">
        <f>IFERROR(__xludf.DUMMYFUNCTION("""COMPUTED_VALUE"""),0.7571355652715345)</f>
        <v>0.7571355653</v>
      </c>
      <c r="AP523" s="80">
        <f>IFERROR(__xludf.DUMMYFUNCTION("""COMPUTED_VALUE"""),0.3852959125378085)</f>
        <v>0.3852959125</v>
      </c>
      <c r="AQ523" s="80">
        <f>IFERROR(__xludf.DUMMYFUNCTION("""COMPUTED_VALUE"""),1.2904896257974456)</f>
        <v>1.290489626</v>
      </c>
      <c r="AR523" s="80">
        <f>IFERROR(__xludf.DUMMYFUNCTION("""COMPUTED_VALUE"""),0.6897825980538355)</f>
        <v>0.6897825981</v>
      </c>
      <c r="AS523" s="80">
        <f>IFERROR(__xludf.DUMMYFUNCTION("""COMPUTED_VALUE"""),14.0)</f>
        <v>14</v>
      </c>
      <c r="AT523" s="80">
        <f>IFERROR(__xludf.DUMMYFUNCTION("""COMPUTED_VALUE"""),0.20331238634987853)</f>
        <v>0.2033123863</v>
      </c>
      <c r="AU523" s="80">
        <f>IFERROR(__xludf.DUMMYFUNCTION("""COMPUTED_VALUE"""),1.7770674515141864)</f>
        <v>1.777067452</v>
      </c>
      <c r="AV523" s="80">
        <f>IFERROR(__xludf.DUMMYFUNCTION("""COMPUTED_VALUE"""),15.57400849315291)</f>
        <v>15.57400849</v>
      </c>
      <c r="AW523" s="82">
        <f t="shared" si="1"/>
        <v>-11.86943717</v>
      </c>
      <c r="AX523" s="83">
        <f t="array" ref="AX523">IFERROR(DGET('SBV Import'!A:G,"SBV",{"RSC ID","Tier";B523,A523}))</f>
        <v>24.68639094</v>
      </c>
      <c r="AY523" s="82">
        <f t="shared" si="2"/>
        <v>-6.425127973</v>
      </c>
      <c r="AZ523" s="82">
        <v>5.444309193193871</v>
      </c>
      <c r="BA523" s="84">
        <v>450.0</v>
      </c>
      <c r="BB523" s="84" t="b">
        <f>IFERROR(__xludf.DUMMYFUNCTION("iferror(if(A523="""",,E523&gt;=FILTER(Constants!$F$2:$F$10,Constants!$A$2:$A$10=A523)))"),TRUE)</f>
        <v>1</v>
      </c>
    </row>
    <row r="524">
      <c r="A524" s="80" t="str">
        <f>IFERROR(__xludf.DUMMYFUNCTION("""COMPUTED_VALUE"""),"Master")</f>
        <v>Master</v>
      </c>
      <c r="B524" s="80" t="str">
        <f>IFERROR(__xludf.DUMMYFUNCTION("""COMPUTED_VALUE"""),"RSC000777")</f>
        <v>RSC000777</v>
      </c>
      <c r="C524" s="80" t="str">
        <f>IFERROR(__xludf.DUMMYFUNCTION("""COMPUTED_VALUE"""),"Marcus.")</f>
        <v>Marcus.</v>
      </c>
      <c r="D524" s="80" t="str">
        <f>IFERROR(__xludf.DUMMYFUNCTION("""COMPUTED_VALUE"""),"Care Bears")</f>
        <v>Care Bears</v>
      </c>
      <c r="E524" s="80">
        <f>IFERROR(__xludf.DUMMYFUNCTION("""COMPUTED_VALUE"""),15.0)</f>
        <v>15</v>
      </c>
      <c r="F524" s="80">
        <f>IFERROR(__xludf.DUMMYFUNCTION("""COMPUTED_VALUE"""),6.0)</f>
        <v>6</v>
      </c>
      <c r="G524" s="80">
        <f>IFERROR(__xludf.DUMMYFUNCTION("""COMPUTED_VALUE"""),9.0)</f>
        <v>9</v>
      </c>
      <c r="H524" s="81">
        <f>IFERROR(__xludf.DUMMYFUNCTION("""COMPUTED_VALUE"""),0.4)</f>
        <v>0.4</v>
      </c>
      <c r="I524" s="81">
        <f>IFERROR(__xludf.DUMMYFUNCTION("""COMPUTED_VALUE"""),0.09090909090909091)</f>
        <v>0.09090909091</v>
      </c>
      <c r="J524" s="80">
        <f>IFERROR(__xludf.DUMMYFUNCTION("""COMPUTED_VALUE"""),248.86666666666667)</f>
        <v>248.8666667</v>
      </c>
      <c r="K524" s="80">
        <f>IFERROR(__xludf.DUMMYFUNCTION("""COMPUTED_VALUE"""),0.2)</f>
        <v>0.2</v>
      </c>
      <c r="L524" s="80">
        <f>IFERROR(__xludf.DUMMYFUNCTION("""COMPUTED_VALUE"""),0.3333333333333333)</f>
        <v>0.3333333333</v>
      </c>
      <c r="M524" s="80">
        <f>IFERROR(__xludf.DUMMYFUNCTION("""COMPUTED_VALUE"""),1.6)</f>
        <v>1.6</v>
      </c>
      <c r="N524" s="80">
        <f>IFERROR(__xludf.DUMMYFUNCTION("""COMPUTED_VALUE"""),2.2)</f>
        <v>2.2</v>
      </c>
      <c r="O524" s="80">
        <f>IFERROR(__xludf.DUMMYFUNCTION("""COMPUTED_VALUE"""),350.1555555555555)</f>
        <v>350.1555556</v>
      </c>
      <c r="P524" s="80">
        <f>IFERROR(__xludf.DUMMYFUNCTION("""COMPUTED_VALUE"""),0.7555555555555554)</f>
        <v>0.7555555556</v>
      </c>
      <c r="Q524" s="80">
        <f>IFERROR(__xludf.DUMMYFUNCTION("""COMPUTED_VALUE"""),0.4888888888888888)</f>
        <v>0.4888888889</v>
      </c>
      <c r="R524" s="80">
        <f>IFERROR(__xludf.DUMMYFUNCTION("""COMPUTED_VALUE"""),1.3777777777777775)</f>
        <v>1.377777778</v>
      </c>
      <c r="S524" s="80">
        <f>IFERROR(__xludf.DUMMYFUNCTION("""COMPUTED_VALUE"""),2.866666666666667)</f>
        <v>2.866666667</v>
      </c>
      <c r="T524" s="80">
        <f>IFERROR(__xludf.DUMMYFUNCTION("""COMPUTED_VALUE"""),395.56281138697506)</f>
        <v>395.5628114</v>
      </c>
      <c r="U524" s="80">
        <f>IFERROR(__xludf.DUMMYFUNCTION("""COMPUTED_VALUE"""),0.9556774120299212)</f>
        <v>0.955677412</v>
      </c>
      <c r="V524" s="80">
        <f>IFERROR(__xludf.DUMMYFUNCTION("""COMPUTED_VALUE"""),0.753249966030464)</f>
        <v>0.753249966</v>
      </c>
      <c r="W524" s="80">
        <f>IFERROR(__xludf.DUMMYFUNCTION("""COMPUTED_VALUE"""),1.399887600876993)</f>
        <v>1.399887601</v>
      </c>
      <c r="X524" s="80">
        <f>IFERROR(__xludf.DUMMYFUNCTION("""COMPUTED_VALUE"""),2.932205737430136)</f>
        <v>2.932205737</v>
      </c>
      <c r="Y524" s="80">
        <f>IFERROR(__xludf.DUMMYFUNCTION("""COMPUTED_VALUE"""),367.7813732299303)</f>
        <v>367.7813732</v>
      </c>
      <c r="Z524" s="80">
        <f>IFERROR(__xludf.DUMMYFUNCTION("""COMPUTED_VALUE"""),0.7928665797032449)</f>
        <v>0.7928665797</v>
      </c>
      <c r="AA524" s="80">
        <f>IFERROR(__xludf.DUMMYFUNCTION("""COMPUTED_VALUE"""),0.5978998657980027)</f>
        <v>0.5978998658</v>
      </c>
      <c r="AB524" s="80">
        <f>IFERROR(__xludf.DUMMYFUNCTION("""COMPUTED_VALUE"""),1.487228970187626)</f>
        <v>1.48722897</v>
      </c>
      <c r="AC524" s="80">
        <f>IFERROR(__xludf.DUMMYFUNCTION("""COMPUTED_VALUE"""),2.59835094239215)</f>
        <v>2.598350942</v>
      </c>
      <c r="AD524" s="80">
        <f>IFERROR(__xludf.DUMMYFUNCTION("""COMPUTED_VALUE"""),0.6766701219288768)</f>
        <v>0.6766701219</v>
      </c>
      <c r="AE524" s="80">
        <f>IFERROR(__xludf.DUMMYFUNCTION("""COMPUTED_VALUE"""),0.252249249898837)</f>
        <v>0.2522492499</v>
      </c>
      <c r="AF524" s="80">
        <f>IFERROR(__xludf.DUMMYFUNCTION("""COMPUTED_VALUE"""),0.5575069545942133)</f>
        <v>0.5575069546</v>
      </c>
      <c r="AG524" s="80">
        <f>IFERROR(__xludf.DUMMYFUNCTION("""COMPUTED_VALUE"""),1.075826272936404)</f>
        <v>1.075826273</v>
      </c>
      <c r="AH524" s="80">
        <f>IFERROR(__xludf.DUMMYFUNCTION("""COMPUTED_VALUE"""),0.8466908623107657)</f>
        <v>0.8466908623</v>
      </c>
      <c r="AI524" s="80">
        <f>IFERROR(__xludf.DUMMYFUNCTION("""COMPUTED_VALUE"""),0.8852084813731438)</f>
        <v>0.8852084814</v>
      </c>
      <c r="AJ524" s="80">
        <f>IFERROR(__xludf.DUMMYFUNCTION("""COMPUTED_VALUE"""),0.7905968541735292)</f>
        <v>0.7905968542</v>
      </c>
      <c r="AK524" s="80">
        <f>IFERROR(__xludf.DUMMYFUNCTION("""COMPUTED_VALUE"""),0.6490393772803921)</f>
        <v>0.6490393773</v>
      </c>
      <c r="AL524" s="80">
        <f>IFERROR(__xludf.DUMMYFUNCTION("""COMPUTED_VALUE"""),0.9842060011922642)</f>
        <v>0.9842060012</v>
      </c>
      <c r="AM524" s="80">
        <f>IFERROR(__xludf.DUMMYFUNCTION("""COMPUTED_VALUE"""),0.97764854289491)</f>
        <v>0.9776485429</v>
      </c>
      <c r="AN524" s="80">
        <f>IFERROR(__xludf.DUMMYFUNCTION("""COMPUTED_VALUE"""),0.6637458675996905)</f>
        <v>0.6637458676</v>
      </c>
      <c r="AO524" s="80">
        <f>IFERROR(__xludf.DUMMYFUNCTION("""COMPUTED_VALUE"""),0.24228338088689105)</f>
        <v>0.2422833809</v>
      </c>
      <c r="AP524" s="80">
        <f>IFERROR(__xludf.DUMMYFUNCTION("""COMPUTED_VALUE"""),0.5137278833837446)</f>
        <v>0.5137278834</v>
      </c>
      <c r="AQ524" s="80">
        <f>IFERROR(__xludf.DUMMYFUNCTION("""COMPUTED_VALUE"""),1.1012178140138202)</f>
        <v>1.101217814</v>
      </c>
      <c r="AR524" s="80">
        <f>IFERROR(__xludf.DUMMYFUNCTION("""COMPUTED_VALUE"""),0.8093449150498336)</f>
        <v>0.809344915</v>
      </c>
      <c r="AS524" s="80">
        <f>IFERROR(__xludf.DUMMYFUNCTION("""COMPUTED_VALUE"""),22.0)</f>
        <v>22</v>
      </c>
      <c r="AT524" s="80">
        <f>IFERROR(__xludf.DUMMYFUNCTION("""COMPUTED_VALUE"""),0.3463032569963418)</f>
        <v>0.346303257</v>
      </c>
      <c r="AU524" s="80">
        <f>IFERROR(__xludf.DUMMYFUNCTION("""COMPUTED_VALUE"""),1.413899496466368)</f>
        <v>1.413899496</v>
      </c>
      <c r="AV524" s="80">
        <f>IFERROR(__xludf.DUMMYFUNCTION("""COMPUTED_VALUE"""),5.891091160496295)</f>
        <v>5.89109116</v>
      </c>
      <c r="AW524" s="82">
        <f t="shared" si="1"/>
        <v>-25.74930421</v>
      </c>
      <c r="AX524" s="83">
        <f t="array" ref="AX524">IFERROR(DGET('SBV Import'!A:G,"SBV",{"RSC ID","Tier";B524,A524}))</f>
        <v>-1.239837788</v>
      </c>
      <c r="AY524" s="82">
        <f t="shared" si="2"/>
        <v>-49.49990968</v>
      </c>
      <c r="AZ524" s="82">
        <v>23.750605465063426</v>
      </c>
      <c r="BA524" s="84">
        <v>450.0</v>
      </c>
      <c r="BB524" s="84" t="b">
        <f>IFERROR(__xludf.DUMMYFUNCTION("iferror(if(A524="""",,E524&gt;=FILTER(Constants!$F$2:$F$10,Constants!$A$2:$A$10=A524)))"),TRUE)</f>
        <v>1</v>
      </c>
    </row>
    <row r="525">
      <c r="A525" s="80" t="str">
        <f>IFERROR(__xludf.DUMMYFUNCTION("""COMPUTED_VALUE"""),"Master")</f>
        <v>Master</v>
      </c>
      <c r="B525" s="80" t="str">
        <f>IFERROR(__xludf.DUMMYFUNCTION("""COMPUTED_VALUE"""),"RSC003412")</f>
        <v>RSC003412</v>
      </c>
      <c r="C525" s="80" t="str">
        <f>IFERROR(__xludf.DUMMYFUNCTION("""COMPUTED_VALUE"""),"Python")</f>
        <v>Python</v>
      </c>
      <c r="D525" s="80"/>
      <c r="E525" s="80">
        <f>IFERROR(__xludf.DUMMYFUNCTION("""COMPUTED_VALUE"""),12.0)</f>
        <v>12</v>
      </c>
      <c r="F525" s="80">
        <f>IFERROR(__xludf.DUMMYFUNCTION("""COMPUTED_VALUE"""),5.0)</f>
        <v>5</v>
      </c>
      <c r="G525" s="80">
        <f>IFERROR(__xludf.DUMMYFUNCTION("""COMPUTED_VALUE"""),7.0)</f>
        <v>7</v>
      </c>
      <c r="H525" s="81">
        <f>IFERROR(__xludf.DUMMYFUNCTION("""COMPUTED_VALUE"""),0.4166666666666667)</f>
        <v>0.4166666667</v>
      </c>
      <c r="I525" s="81">
        <f>IFERROR(__xludf.DUMMYFUNCTION("""COMPUTED_VALUE"""),0.2608695652173913)</f>
        <v>0.2608695652</v>
      </c>
      <c r="J525" s="80">
        <f>IFERROR(__xludf.DUMMYFUNCTION("""COMPUTED_VALUE"""),269.4166666666667)</f>
        <v>269.4166667</v>
      </c>
      <c r="K525" s="80">
        <f>IFERROR(__xludf.DUMMYFUNCTION("""COMPUTED_VALUE"""),0.5)</f>
        <v>0.5</v>
      </c>
      <c r="L525" s="80">
        <f>IFERROR(__xludf.DUMMYFUNCTION("""COMPUTED_VALUE"""),0.3333333333333333)</f>
        <v>0.3333333333</v>
      </c>
      <c r="M525" s="80">
        <f>IFERROR(__xludf.DUMMYFUNCTION("""COMPUTED_VALUE"""),1.0833333333333333)</f>
        <v>1.083333333</v>
      </c>
      <c r="N525" s="80">
        <f>IFERROR(__xludf.DUMMYFUNCTION("""COMPUTED_VALUE"""),1.9166666666666667)</f>
        <v>1.916666667</v>
      </c>
      <c r="O525" s="80">
        <f>IFERROR(__xludf.DUMMYFUNCTION("""COMPUTED_VALUE"""),418.6111111111111)</f>
        <v>418.6111111</v>
      </c>
      <c r="P525" s="80">
        <f>IFERROR(__xludf.DUMMYFUNCTION("""COMPUTED_VALUE"""),1.138888888888889)</f>
        <v>1.138888889</v>
      </c>
      <c r="Q525" s="80">
        <f>IFERROR(__xludf.DUMMYFUNCTION("""COMPUTED_VALUE"""),0.9444444444444443)</f>
        <v>0.9444444444</v>
      </c>
      <c r="R525" s="80">
        <f>IFERROR(__xludf.DUMMYFUNCTION("""COMPUTED_VALUE"""),1.4722222222222223)</f>
        <v>1.472222222</v>
      </c>
      <c r="S525" s="80">
        <f>IFERROR(__xludf.DUMMYFUNCTION("""COMPUTED_VALUE"""),3.2500000000000004)</f>
        <v>3.25</v>
      </c>
      <c r="T525" s="80">
        <f>IFERROR(__xludf.DUMMYFUNCTION("""COMPUTED_VALUE"""),399.4469900107944)</f>
        <v>399.44699</v>
      </c>
      <c r="U525" s="80">
        <f>IFERROR(__xludf.DUMMYFUNCTION("""COMPUTED_VALUE"""),0.9640664649360303)</f>
        <v>0.9640664649</v>
      </c>
      <c r="V525" s="80">
        <f>IFERROR(__xludf.DUMMYFUNCTION("""COMPUTED_VALUE"""),0.661095804356674)</f>
        <v>0.6610958044</v>
      </c>
      <c r="W525" s="80">
        <f>IFERROR(__xludf.DUMMYFUNCTION("""COMPUTED_VALUE"""),1.5291106598715294)</f>
        <v>1.52911066</v>
      </c>
      <c r="X525" s="80">
        <f>IFERROR(__xludf.DUMMYFUNCTION("""COMPUTED_VALUE"""),2.915202792376705)</f>
        <v>2.915202792</v>
      </c>
      <c r="Y525" s="80">
        <f>IFERROR(__xludf.DUMMYFUNCTION("""COMPUTED_VALUE"""),376.2735076148028)</f>
        <v>376.2735076</v>
      </c>
      <c r="Z525" s="80">
        <f>IFERROR(__xludf.DUMMYFUNCTION("""COMPUTED_VALUE"""),0.7912502664190916)</f>
        <v>0.7912502664</v>
      </c>
      <c r="AA525" s="80">
        <f>IFERROR(__xludf.DUMMYFUNCTION("""COMPUTED_VALUE"""),0.6119172248304227)</f>
        <v>0.6119172248</v>
      </c>
      <c r="AB525" s="80">
        <f>IFERROR(__xludf.DUMMYFUNCTION("""COMPUTED_VALUE"""),1.4910886922319238)</f>
        <v>1.491088692</v>
      </c>
      <c r="AC525" s="80">
        <f>IFERROR(__xludf.DUMMYFUNCTION("""COMPUTED_VALUE"""),2.7230949436808207)</f>
        <v>2.723094944</v>
      </c>
      <c r="AD525" s="80">
        <f>IFERROR(__xludf.DUMMYFUNCTION("""COMPUTED_VALUE"""),0.7160128502654852)</f>
        <v>0.7160128503</v>
      </c>
      <c r="AE525" s="80">
        <f>IFERROR(__xludf.DUMMYFUNCTION("""COMPUTED_VALUE"""),0.6319113196167586)</f>
        <v>0.6319113196</v>
      </c>
      <c r="AF525" s="80">
        <f>IFERROR(__xludf.DUMMYFUNCTION("""COMPUTED_VALUE"""),0.5447359868415343)</f>
        <v>0.5447359868</v>
      </c>
      <c r="AG525" s="80">
        <f>IFERROR(__xludf.DUMMYFUNCTION("""COMPUTED_VALUE"""),0.7265384943076423)</f>
        <v>0.7265384943</v>
      </c>
      <c r="AH525" s="80">
        <f>IFERROR(__xludf.DUMMYFUNCTION("""COMPUTED_VALUE"""),0.7038559823683191)</f>
        <v>0.7038559824</v>
      </c>
      <c r="AI525" s="80">
        <f>IFERROR(__xludf.DUMMYFUNCTION("""COMPUTED_VALUE"""),1.047976631642158)</f>
        <v>1.047976632</v>
      </c>
      <c r="AJ525" s="80">
        <f>IFERROR(__xludf.DUMMYFUNCTION("""COMPUTED_VALUE"""),1.181338559436832)</f>
        <v>1.181338559</v>
      </c>
      <c r="AK525" s="80">
        <f>IFERROR(__xludf.DUMMYFUNCTION("""COMPUTED_VALUE"""),1.428604505157165)</f>
        <v>1.428604505</v>
      </c>
      <c r="AL525" s="80">
        <f>IFERROR(__xludf.DUMMYFUNCTION("""COMPUTED_VALUE"""),0.9627963893377823)</f>
        <v>0.9627963893</v>
      </c>
      <c r="AM525" s="80">
        <f>IFERROR(__xludf.DUMMYFUNCTION("""COMPUTED_VALUE"""),1.1148452548477226)</f>
        <v>1.114845255</v>
      </c>
      <c r="AN525" s="80">
        <f>IFERROR(__xludf.DUMMYFUNCTION("""COMPUTED_VALUE"""),0.7185542425494907)</f>
        <v>0.7185542425</v>
      </c>
      <c r="AO525" s="80">
        <f>IFERROR(__xludf.DUMMYFUNCTION("""COMPUTED_VALUE"""),0.6057084522172276)</f>
        <v>0.6057084522</v>
      </c>
      <c r="AP525" s="80">
        <f>IFERROR(__xludf.DUMMYFUNCTION("""COMPUTED_VALUE"""),0.5137278833837446)</f>
        <v>0.5137278834</v>
      </c>
      <c r="AQ525" s="80">
        <f>IFERROR(__xludf.DUMMYFUNCTION("""COMPUTED_VALUE"""),0.745616228238524)</f>
        <v>0.7456162282</v>
      </c>
      <c r="AR525" s="80">
        <f>IFERROR(__xludf.DUMMYFUNCTION("""COMPUTED_VALUE"""),0.7051111002328097)</f>
        <v>0.7051111002</v>
      </c>
      <c r="AS525" s="80">
        <f>IFERROR(__xludf.DUMMYFUNCTION("""COMPUTED_VALUE"""),21.0)</f>
        <v>21</v>
      </c>
      <c r="AT525" s="80">
        <f>IFERROR(__xludf.DUMMYFUNCTION("""COMPUTED_VALUE"""),0.2550440533677414)</f>
        <v>0.2550440534</v>
      </c>
      <c r="AU525" s="80">
        <f>IFERROR(__xludf.DUMMYFUNCTION("""COMPUTED_VALUE"""),1.4129657377351)</f>
        <v>1.412965738</v>
      </c>
      <c r="AV525" s="80">
        <f>IFERROR(__xludf.DUMMYFUNCTION("""COMPUTED_VALUE"""),5.866194942430127)</f>
        <v>5.866194942</v>
      </c>
      <c r="AW525" s="82">
        <f t="shared" si="1"/>
        <v>-25.8049229</v>
      </c>
      <c r="AX525" s="83">
        <f t="array" ref="AX525">IFERROR(DGET('SBV Import'!A:G,"SBV",{"RSC ID","Tier";B525,A525}))</f>
        <v>-0.1263848683</v>
      </c>
      <c r="AY525" s="82">
        <f t="shared" si="2"/>
        <v>-44.48683018</v>
      </c>
      <c r="AZ525" s="82">
        <v>18.681907285692024</v>
      </c>
      <c r="BA525" s="84">
        <v>450.0</v>
      </c>
      <c r="BB525" s="84" t="b">
        <f>IFERROR(__xludf.DUMMYFUNCTION("iferror(if(A525="""",,E525&gt;=FILTER(Constants!$F$2:$F$10,Constants!$A$2:$A$10=A525)))"),TRUE)</f>
        <v>1</v>
      </c>
    </row>
    <row r="526">
      <c r="A526" s="80" t="str">
        <f>IFERROR(__xludf.DUMMYFUNCTION("""COMPUTED_VALUE"""),"Master")</f>
        <v>Master</v>
      </c>
      <c r="B526" s="80" t="str">
        <f>IFERROR(__xludf.DUMMYFUNCTION("""COMPUTED_VALUE"""),"RSC007067")</f>
        <v>RSC007067</v>
      </c>
      <c r="C526" s="80" t="str">
        <f>IFERROR(__xludf.DUMMYFUNCTION("""COMPUTED_VALUE"""),"ThyChad_")</f>
        <v>ThyChad_</v>
      </c>
      <c r="D526" s="80"/>
      <c r="E526" s="80">
        <f>IFERROR(__xludf.DUMMYFUNCTION("""COMPUTED_VALUE"""),4.0)</f>
        <v>4</v>
      </c>
      <c r="F526" s="80">
        <f>IFERROR(__xludf.DUMMYFUNCTION("""COMPUTED_VALUE"""),0.0)</f>
        <v>0</v>
      </c>
      <c r="G526" s="80">
        <f>IFERROR(__xludf.DUMMYFUNCTION("""COMPUTED_VALUE"""),4.0)</f>
        <v>4</v>
      </c>
      <c r="H526" s="81">
        <f>IFERROR(__xludf.DUMMYFUNCTION("""COMPUTED_VALUE"""),0.0)</f>
        <v>0</v>
      </c>
      <c r="I526" s="81">
        <f>IFERROR(__xludf.DUMMYFUNCTION("""COMPUTED_VALUE"""),0.16666666666666666)</f>
        <v>0.1666666667</v>
      </c>
      <c r="J526" s="80">
        <f>IFERROR(__xludf.DUMMYFUNCTION("""COMPUTED_VALUE"""),338.0)</f>
        <v>338</v>
      </c>
      <c r="K526" s="80">
        <f>IFERROR(__xludf.DUMMYFUNCTION("""COMPUTED_VALUE"""),0.25)</f>
        <v>0.25</v>
      </c>
      <c r="L526" s="80">
        <f>IFERROR(__xludf.DUMMYFUNCTION("""COMPUTED_VALUE"""),0.0)</f>
        <v>0</v>
      </c>
      <c r="M526" s="80">
        <f>IFERROR(__xludf.DUMMYFUNCTION("""COMPUTED_VALUE"""),2.5)</f>
        <v>2.5</v>
      </c>
      <c r="N526" s="80">
        <f>IFERROR(__xludf.DUMMYFUNCTION("""COMPUTED_VALUE"""),1.5)</f>
        <v>1.5</v>
      </c>
      <c r="O526" s="80">
        <f>IFERROR(__xludf.DUMMYFUNCTION("""COMPUTED_VALUE"""),420.0)</f>
        <v>420</v>
      </c>
      <c r="P526" s="80">
        <f>IFERROR(__xludf.DUMMYFUNCTION("""COMPUTED_VALUE"""),1.1666666666666667)</f>
        <v>1.166666667</v>
      </c>
      <c r="Q526" s="80">
        <f>IFERROR(__xludf.DUMMYFUNCTION("""COMPUTED_VALUE"""),0.9999999999999999)</f>
        <v>1</v>
      </c>
      <c r="R526" s="80">
        <f>IFERROR(__xludf.DUMMYFUNCTION("""COMPUTED_VALUE"""),1.1666666666666665)</f>
        <v>1.166666667</v>
      </c>
      <c r="S526" s="80">
        <f>IFERROR(__xludf.DUMMYFUNCTION("""COMPUTED_VALUE"""),3.7499999999999996)</f>
        <v>3.75</v>
      </c>
      <c r="T526" s="80">
        <f>IFERROR(__xludf.DUMMYFUNCTION("""COMPUTED_VALUE"""),443.8611111111111)</f>
        <v>443.8611111</v>
      </c>
      <c r="U526" s="80">
        <f>IFERROR(__xludf.DUMMYFUNCTION("""COMPUTED_VALUE"""),1.2208333333333332)</f>
        <v>1.220833333</v>
      </c>
      <c r="V526" s="80">
        <f>IFERROR(__xludf.DUMMYFUNCTION("""COMPUTED_VALUE"""),0.9537037037037037)</f>
        <v>0.9537037037</v>
      </c>
      <c r="W526" s="80">
        <f>IFERROR(__xludf.DUMMYFUNCTION("""COMPUTED_VALUE"""),1.3643518518518518)</f>
        <v>1.364351852</v>
      </c>
      <c r="X526" s="80">
        <f>IFERROR(__xludf.DUMMYFUNCTION("""COMPUTED_VALUE"""),3.386574074074074)</f>
        <v>3.386574074</v>
      </c>
      <c r="Y526" s="80">
        <f>IFERROR(__xludf.DUMMYFUNCTION("""COMPUTED_VALUE"""),346.50493827160494)</f>
        <v>346.5049383</v>
      </c>
      <c r="Z526" s="80">
        <f>IFERROR(__xludf.DUMMYFUNCTION("""COMPUTED_VALUE"""),0.6223765432098765)</f>
        <v>0.6223765432</v>
      </c>
      <c r="AA526" s="80">
        <f>IFERROR(__xludf.DUMMYFUNCTION("""COMPUTED_VALUE"""),0.5023148148148149)</f>
        <v>0.5023148148</v>
      </c>
      <c r="AB526" s="80">
        <f>IFERROR(__xludf.DUMMYFUNCTION("""COMPUTED_VALUE"""),1.5697530864197529)</f>
        <v>1.569753086</v>
      </c>
      <c r="AC526" s="80">
        <f>IFERROR(__xludf.DUMMYFUNCTION("""COMPUTED_VALUE"""),2.3353395061728395)</f>
        <v>2.335339506</v>
      </c>
      <c r="AD526" s="80">
        <f>IFERROR(__xludf.DUMMYFUNCTION("""COMPUTED_VALUE"""),0.9754550734138789)</f>
        <v>0.9754550734</v>
      </c>
      <c r="AE526" s="80">
        <f>IFERROR(__xludf.DUMMYFUNCTION("""COMPUTED_VALUE"""),0.40168608975948433)</f>
        <v>0.4016860898</v>
      </c>
      <c r="AF526" s="80">
        <f>IFERROR(__xludf.DUMMYFUNCTION("""COMPUTED_VALUE"""),0.0)</f>
        <v>0</v>
      </c>
      <c r="AG526" s="80">
        <f>IFERROR(__xludf.DUMMYFUNCTION("""COMPUTED_VALUE"""),1.5926071569012978)</f>
        <v>1.592607157</v>
      </c>
      <c r="AH526" s="80">
        <f>IFERROR(__xludf.DUMMYFUNCTION("""COMPUTED_VALUE"""),0.6423048965836252)</f>
        <v>0.6423048966</v>
      </c>
      <c r="AI526" s="80">
        <f>IFERROR(__xludf.DUMMYFUNCTION("""COMPUTED_VALUE"""),0.9462419425495964)</f>
        <v>0.9462419425</v>
      </c>
      <c r="AJ526" s="80">
        <f>IFERROR(__xludf.DUMMYFUNCTION("""COMPUTED_VALUE"""),0.9556313993174063)</f>
        <v>0.9556313993</v>
      </c>
      <c r="AK526" s="80">
        <f>IFERROR(__xludf.DUMMYFUNCTION("""COMPUTED_VALUE"""),1.048543689320388)</f>
        <v>1.048543689</v>
      </c>
      <c r="AL526" s="80">
        <f>IFERROR(__xludf.DUMMYFUNCTION("""COMPUTED_VALUE"""),0.8551068883610451)</f>
        <v>0.8551068884</v>
      </c>
      <c r="AM526" s="80">
        <f>IFERROR(__xludf.DUMMYFUNCTION("""COMPUTED_VALUE"""),1.1073137388926861)</f>
        <v>1.107313739</v>
      </c>
      <c r="AN526" s="80">
        <f>IFERROR(__xludf.DUMMYFUNCTION("""COMPUTED_VALUE"""),0.901471081899392)</f>
        <v>0.9014710819</v>
      </c>
      <c r="AO526" s="80">
        <f>IFERROR(__xludf.DUMMYFUNCTION("""COMPUTED_VALUE"""),0.3028542261086138)</f>
        <v>0.3028542261</v>
      </c>
      <c r="AP526" s="80">
        <f>IFERROR(__xludf.DUMMYFUNCTION("""COMPUTED_VALUE"""),0.0)</f>
        <v>0</v>
      </c>
      <c r="AQ526" s="80">
        <f>IFERROR(__xludf.DUMMYFUNCTION("""COMPUTED_VALUE"""),1.720652834396594)</f>
        <v>1.720652834</v>
      </c>
      <c r="AR526" s="80">
        <f>IFERROR(__xludf.DUMMYFUNCTION("""COMPUTED_VALUE"""),0.5518260784430684)</f>
        <v>0.5518260784</v>
      </c>
      <c r="AS526" s="80">
        <f>IFERROR(__xludf.DUMMYFUNCTION("""COMPUTED_VALUE"""),3.0)</f>
        <v>3</v>
      </c>
      <c r="AT526" s="80">
        <f>IFERROR(__xludf.DUMMYFUNCTION("""COMPUTED_VALUE"""),0.08839229707775373)</f>
        <v>0.08839229708</v>
      </c>
      <c r="AU526" s="80">
        <f>IFERROR(__xludf.DUMMYFUNCTION("""COMPUTED_VALUE"""),0.8804015881452922)</f>
        <v>0.8804015881</v>
      </c>
      <c r="AV526" s="80">
        <f>IFERROR(__xludf.DUMMYFUNCTION("""COMPUTED_VALUE"""),-8.333225912682721)</f>
        <v>-8.333225913</v>
      </c>
      <c r="AW526" s="82">
        <f t="shared" si="1"/>
        <v>-101.8802894</v>
      </c>
      <c r="AX526" s="83">
        <f t="array" ref="AX526">IFERROR(DGET('SBV Import'!A:G,"SBV",{"RSC ID","Tier";B526,A526}))</f>
        <v>9.935138565</v>
      </c>
      <c r="AY526" s="82">
        <f t="shared" si="2"/>
        <v>-18.34454796</v>
      </c>
      <c r="AZ526" s="82">
        <v>83.5357414188007</v>
      </c>
      <c r="BA526" s="84">
        <v>450.0</v>
      </c>
      <c r="BB526" s="84" t="b">
        <f>IFERROR(__xludf.DUMMYFUNCTION("iferror(if(A526="""",,E526&gt;=FILTER(Constants!$F$2:$F$10,Constants!$A$2:$A$10=A526)))"),TRUE)</f>
        <v>1</v>
      </c>
    </row>
    <row r="527">
      <c r="A527" s="80" t="str">
        <f>IFERROR(__xludf.DUMMYFUNCTION("""COMPUTED_VALUE"""),"Master")</f>
        <v>Master</v>
      </c>
      <c r="B527" s="80" t="str">
        <f>IFERROR(__xludf.DUMMYFUNCTION("""COMPUTED_VALUE"""),"RSC006704")</f>
        <v>RSC006704</v>
      </c>
      <c r="C527" s="80" t="str">
        <f>IFERROR(__xludf.DUMMYFUNCTION("""COMPUTED_VALUE"""),"noah")</f>
        <v>noah</v>
      </c>
      <c r="D527" s="80"/>
      <c r="E527" s="80">
        <f>IFERROR(__xludf.DUMMYFUNCTION("""COMPUTED_VALUE"""),4.0)</f>
        <v>4</v>
      </c>
      <c r="F527" s="80">
        <f>IFERROR(__xludf.DUMMYFUNCTION("""COMPUTED_VALUE"""),0.0)</f>
        <v>0</v>
      </c>
      <c r="G527" s="80">
        <f>IFERROR(__xludf.DUMMYFUNCTION("""COMPUTED_VALUE"""),4.0)</f>
        <v>4</v>
      </c>
      <c r="H527" s="81">
        <f>IFERROR(__xludf.DUMMYFUNCTION("""COMPUTED_VALUE"""),0.0)</f>
        <v>0</v>
      </c>
      <c r="I527" s="81">
        <f>IFERROR(__xludf.DUMMYFUNCTION("""COMPUTED_VALUE"""),0.0)</f>
        <v>0</v>
      </c>
      <c r="J527" s="80">
        <f>IFERROR(__xludf.DUMMYFUNCTION("""COMPUTED_VALUE"""),175.25)</f>
        <v>175.25</v>
      </c>
      <c r="K527" s="80">
        <f>IFERROR(__xludf.DUMMYFUNCTION("""COMPUTED_VALUE"""),0.0)</f>
        <v>0</v>
      </c>
      <c r="L527" s="80">
        <f>IFERROR(__xludf.DUMMYFUNCTION("""COMPUTED_VALUE"""),0.25)</f>
        <v>0.25</v>
      </c>
      <c r="M527" s="80">
        <f>IFERROR(__xludf.DUMMYFUNCTION("""COMPUTED_VALUE"""),0.75)</f>
        <v>0.75</v>
      </c>
      <c r="N527" s="80">
        <f>IFERROR(__xludf.DUMMYFUNCTION("""COMPUTED_VALUE"""),2.25)</f>
        <v>2.25</v>
      </c>
      <c r="O527" s="80">
        <f>IFERROR(__xludf.DUMMYFUNCTION("""COMPUTED_VALUE"""),447.8333333333333)</f>
        <v>447.8333333</v>
      </c>
      <c r="P527" s="80">
        <f>IFERROR(__xludf.DUMMYFUNCTION("""COMPUTED_VALUE"""),1.1666666666666667)</f>
        <v>1.166666667</v>
      </c>
      <c r="Q527" s="80">
        <f>IFERROR(__xludf.DUMMYFUNCTION("""COMPUTED_VALUE"""),0.8333333333333334)</f>
        <v>0.8333333333</v>
      </c>
      <c r="R527" s="80">
        <f>IFERROR(__xludf.DUMMYFUNCTION("""COMPUTED_VALUE"""),2.0)</f>
        <v>2</v>
      </c>
      <c r="S527" s="80">
        <f>IFERROR(__xludf.DUMMYFUNCTION("""COMPUTED_VALUE"""),3.0)</f>
        <v>3</v>
      </c>
      <c r="T527" s="80">
        <f>IFERROR(__xludf.DUMMYFUNCTION("""COMPUTED_VALUE"""),443.8611111111111)</f>
        <v>443.8611111</v>
      </c>
      <c r="U527" s="80">
        <f>IFERROR(__xludf.DUMMYFUNCTION("""COMPUTED_VALUE"""),1.2208333333333334)</f>
        <v>1.220833333</v>
      </c>
      <c r="V527" s="80">
        <f>IFERROR(__xludf.DUMMYFUNCTION("""COMPUTED_VALUE"""),0.9537037037037037)</f>
        <v>0.9537037037</v>
      </c>
      <c r="W527" s="80">
        <f>IFERROR(__xludf.DUMMYFUNCTION("""COMPUTED_VALUE"""),1.3643518518518516)</f>
        <v>1.364351852</v>
      </c>
      <c r="X527" s="80">
        <f>IFERROR(__xludf.DUMMYFUNCTION("""COMPUTED_VALUE"""),3.386574074074074)</f>
        <v>3.386574074</v>
      </c>
      <c r="Y527" s="80">
        <f>IFERROR(__xludf.DUMMYFUNCTION("""COMPUTED_VALUE"""),346.50493827160494)</f>
        <v>346.5049383</v>
      </c>
      <c r="Z527" s="80">
        <f>IFERROR(__xludf.DUMMYFUNCTION("""COMPUTED_VALUE"""),0.6223765432098765)</f>
        <v>0.6223765432</v>
      </c>
      <c r="AA527" s="80">
        <f>IFERROR(__xludf.DUMMYFUNCTION("""COMPUTED_VALUE"""),0.5023148148148148)</f>
        <v>0.5023148148</v>
      </c>
      <c r="AB527" s="80">
        <f>IFERROR(__xludf.DUMMYFUNCTION("""COMPUTED_VALUE"""),1.5697530864197529)</f>
        <v>1.569753086</v>
      </c>
      <c r="AC527" s="80">
        <f>IFERROR(__xludf.DUMMYFUNCTION("""COMPUTED_VALUE"""),2.33533950617284)</f>
        <v>2.335339506</v>
      </c>
      <c r="AD527" s="80">
        <f>IFERROR(__xludf.DUMMYFUNCTION("""COMPUTED_VALUE"""),0.5057647976798293)</f>
        <v>0.5057647977</v>
      </c>
      <c r="AE527" s="80">
        <f>IFERROR(__xludf.DUMMYFUNCTION("""COMPUTED_VALUE"""),0.0)</f>
        <v>0</v>
      </c>
      <c r="AF527" s="80">
        <f>IFERROR(__xludf.DUMMYFUNCTION("""COMPUTED_VALUE"""),0.4976958525345623)</f>
        <v>0.4976958525</v>
      </c>
      <c r="AG527" s="80">
        <f>IFERROR(__xludf.DUMMYFUNCTION("""COMPUTED_VALUE"""),0.47778214707038935)</f>
        <v>0.4777821471</v>
      </c>
      <c r="AH527" s="80">
        <f>IFERROR(__xludf.DUMMYFUNCTION("""COMPUTED_VALUE"""),0.9634573448754377)</f>
        <v>0.9634573449</v>
      </c>
      <c r="AI527" s="80">
        <f>IFERROR(__xludf.DUMMYFUNCTION("""COMPUTED_VALUE"""),1.0089492458852243)</f>
        <v>1.008949246</v>
      </c>
      <c r="AJ527" s="80">
        <f>IFERROR(__xludf.DUMMYFUNCTION("""COMPUTED_VALUE"""),0.9556313993174061)</f>
        <v>0.9556313993</v>
      </c>
      <c r="AK527" s="80">
        <f>IFERROR(__xludf.DUMMYFUNCTION("""COMPUTED_VALUE"""),0.8737864077669903)</f>
        <v>0.8737864078</v>
      </c>
      <c r="AL527" s="80">
        <f>IFERROR(__xludf.DUMMYFUNCTION("""COMPUTED_VALUE"""),1.4658975229046491)</f>
        <v>1.465897523</v>
      </c>
      <c r="AM527" s="80">
        <f>IFERROR(__xludf.DUMMYFUNCTION("""COMPUTED_VALUE"""),0.885850991114149)</f>
        <v>0.8858509911</v>
      </c>
      <c r="AN527" s="80">
        <f>IFERROR(__xludf.DUMMYFUNCTION("""COMPUTED_VALUE"""),0.4674047547422143)</f>
        <v>0.4674047547</v>
      </c>
      <c r="AO527" s="80">
        <f>IFERROR(__xludf.DUMMYFUNCTION("""COMPUTED_VALUE"""),0.0)</f>
        <v>0</v>
      </c>
      <c r="AP527" s="80">
        <f>IFERROR(__xludf.DUMMYFUNCTION("""COMPUTED_VALUE"""),0.3852959125378085)</f>
        <v>0.3852959125</v>
      </c>
      <c r="AQ527" s="80">
        <f>IFERROR(__xludf.DUMMYFUNCTION("""COMPUTED_VALUE"""),0.5161958503189782)</f>
        <v>0.5161958503</v>
      </c>
      <c r="AR527" s="80">
        <f>IFERROR(__xludf.DUMMYFUNCTION("""COMPUTED_VALUE"""),0.8277391176646025)</f>
        <v>0.8277391177</v>
      </c>
      <c r="AS527" s="80">
        <f>IFERROR(__xludf.DUMMYFUNCTION("""COMPUTED_VALUE"""),2.0)</f>
        <v>2</v>
      </c>
      <c r="AT527" s="80">
        <f>IFERROR(__xludf.DUMMYFUNCTION("""COMPUTED_VALUE"""),0.052313469115238466)</f>
        <v>0.05231346912</v>
      </c>
      <c r="AU527" s="80">
        <f>IFERROR(__xludf.DUMMYFUNCTION("""COMPUTED_VALUE"""),0.7052329350788068)</f>
        <v>0.7052329351</v>
      </c>
      <c r="AV527" s="80">
        <f>IFERROR(__xludf.DUMMYFUNCTION("""COMPUTED_VALUE"""),-13.00363684332845)</f>
        <v>-13.00363684</v>
      </c>
      <c r="AW527" s="82">
        <f t="shared" si="1"/>
        <v>-170.4937659</v>
      </c>
      <c r="AX527" s="83">
        <f t="array" ref="AX527">IFERROR(DGET('SBV Import'!A:G,"SBV",{"RSC ID","Tier";B527,A527}))</f>
        <v>-29.98587786</v>
      </c>
      <c r="AY527" s="82">
        <f t="shared" si="2"/>
        <v>-1452.462586</v>
      </c>
      <c r="AZ527" s="82">
        <v>1281.9688199179197</v>
      </c>
      <c r="BA527" s="84">
        <v>450.0</v>
      </c>
      <c r="BB527" s="84" t="b">
        <f>IFERROR(__xludf.DUMMYFUNCTION("iferror(if(A527="""",,E527&gt;=FILTER(Constants!$F$2:$F$10,Constants!$A$2:$A$10=A527)))"),TRUE)</f>
        <v>1</v>
      </c>
    </row>
    <row r="528">
      <c r="A528" s="80" t="str">
        <f>IFERROR(__xludf.DUMMYFUNCTION("""COMPUTED_VALUE"""),"Master")</f>
        <v>Master</v>
      </c>
      <c r="B528" s="80" t="str">
        <f>IFERROR(__xludf.DUMMYFUNCTION("""COMPUTED_VALUE"""),"RSC007924")</f>
        <v>RSC007924</v>
      </c>
      <c r="C528" s="80" t="str">
        <f>IFERROR(__xludf.DUMMYFUNCTION("""COMPUTED_VALUE"""),"Kaorix")</f>
        <v>Kaorix</v>
      </c>
      <c r="D528" s="80"/>
      <c r="E528" s="80">
        <f>IFERROR(__xludf.DUMMYFUNCTION("""COMPUTED_VALUE"""),4.0)</f>
        <v>4</v>
      </c>
      <c r="F528" s="80">
        <f>IFERROR(__xludf.DUMMYFUNCTION("""COMPUTED_VALUE"""),1.0)</f>
        <v>1</v>
      </c>
      <c r="G528" s="80">
        <f>IFERROR(__xludf.DUMMYFUNCTION("""COMPUTED_VALUE"""),3.0)</f>
        <v>3</v>
      </c>
      <c r="H528" s="81">
        <f>IFERROR(__xludf.DUMMYFUNCTION("""COMPUTED_VALUE"""),0.25)</f>
        <v>0.25</v>
      </c>
      <c r="I528" s="81">
        <f>IFERROR(__xludf.DUMMYFUNCTION("""COMPUTED_VALUE"""),0.14285714285714285)</f>
        <v>0.1428571429</v>
      </c>
      <c r="J528" s="80">
        <f>IFERROR(__xludf.DUMMYFUNCTION("""COMPUTED_VALUE"""),249.25)</f>
        <v>249.25</v>
      </c>
      <c r="K528" s="80">
        <f>IFERROR(__xludf.DUMMYFUNCTION("""COMPUTED_VALUE"""),0.25)</f>
        <v>0.25</v>
      </c>
      <c r="L528" s="80">
        <f>IFERROR(__xludf.DUMMYFUNCTION("""COMPUTED_VALUE"""),0.0)</f>
        <v>0</v>
      </c>
      <c r="M528" s="80">
        <f>IFERROR(__xludf.DUMMYFUNCTION("""COMPUTED_VALUE"""),1.25)</f>
        <v>1.25</v>
      </c>
      <c r="N528" s="80">
        <f>IFERROR(__xludf.DUMMYFUNCTION("""COMPUTED_VALUE"""),1.75)</f>
        <v>1.75</v>
      </c>
      <c r="O528" s="80">
        <f>IFERROR(__xludf.DUMMYFUNCTION("""COMPUTED_VALUE"""),385.8333333333333)</f>
        <v>385.8333333</v>
      </c>
      <c r="P528" s="80">
        <f>IFERROR(__xludf.DUMMYFUNCTION("""COMPUTED_VALUE"""),1.0833333333333335)</f>
        <v>1.083333333</v>
      </c>
      <c r="Q528" s="80">
        <f>IFERROR(__xludf.DUMMYFUNCTION("""COMPUTED_VALUE"""),0.7499999999999999)</f>
        <v>0.75</v>
      </c>
      <c r="R528" s="80">
        <f>IFERROR(__xludf.DUMMYFUNCTION("""COMPUTED_VALUE"""),1.0833333333333333)</f>
        <v>1.083333333</v>
      </c>
      <c r="S528" s="80">
        <f>IFERROR(__xludf.DUMMYFUNCTION("""COMPUTED_VALUE"""),2.75)</f>
        <v>2.75</v>
      </c>
      <c r="T528" s="80">
        <f>IFERROR(__xludf.DUMMYFUNCTION("""COMPUTED_VALUE"""),402.99964367990685)</f>
        <v>402.9996437</v>
      </c>
      <c r="U528" s="80">
        <f>IFERROR(__xludf.DUMMYFUNCTION("""COMPUTED_VALUE"""),0.9452880939723045)</f>
        <v>0.945288094</v>
      </c>
      <c r="V528" s="80">
        <f>IFERROR(__xludf.DUMMYFUNCTION("""COMPUTED_VALUE"""),0.7048929141034403)</f>
        <v>0.7048929141</v>
      </c>
      <c r="W528" s="80">
        <f>IFERROR(__xludf.DUMMYFUNCTION("""COMPUTED_VALUE"""),1.420889977468925)</f>
        <v>1.420889977</v>
      </c>
      <c r="X528" s="80">
        <f>IFERROR(__xludf.DUMMYFUNCTION("""COMPUTED_VALUE"""),3.016977101845523)</f>
        <v>3.016977102</v>
      </c>
      <c r="Y528" s="80">
        <f>IFERROR(__xludf.DUMMYFUNCTION("""COMPUTED_VALUE"""),379.73705918837493)</f>
        <v>379.7370592</v>
      </c>
      <c r="Z528" s="80">
        <f>IFERROR(__xludf.DUMMYFUNCTION("""COMPUTED_VALUE"""),0.7524321114233394)</f>
        <v>0.7524321114</v>
      </c>
      <c r="AA528" s="80">
        <f>IFERROR(__xludf.DUMMYFUNCTION("""COMPUTED_VALUE"""),0.5585799515624077)</f>
        <v>0.5585799516</v>
      </c>
      <c r="AB528" s="80">
        <f>IFERROR(__xludf.DUMMYFUNCTION("""COMPUTED_VALUE"""),1.6299683341350006)</f>
        <v>1.629968334</v>
      </c>
      <c r="AC528" s="80">
        <f>IFERROR(__xludf.DUMMYFUNCTION("""COMPUTED_VALUE"""),2.6048673873235275)</f>
        <v>2.604867387</v>
      </c>
      <c r="AD528" s="80">
        <f>IFERROR(__xludf.DUMMYFUNCTION("""COMPUTED_VALUE"""),0.6563752311473907)</f>
        <v>0.6563752311</v>
      </c>
      <c r="AE528" s="80">
        <f>IFERROR(__xludf.DUMMYFUNCTION("""COMPUTED_VALUE"""),0.33225588887625634)</f>
        <v>0.3322558889</v>
      </c>
      <c r="AF528" s="80">
        <f>IFERROR(__xludf.DUMMYFUNCTION("""COMPUTED_VALUE"""),0.0)</f>
        <v>0</v>
      </c>
      <c r="AG528" s="80">
        <f>IFERROR(__xludf.DUMMYFUNCTION("""COMPUTED_VALUE"""),0.7668860638715144)</f>
        <v>0.7668860639</v>
      </c>
      <c r="AH528" s="80">
        <f>IFERROR(__xludf.DUMMYFUNCTION("""COMPUTED_VALUE"""),0.6718192290771876)</f>
        <v>0.6718192291</v>
      </c>
      <c r="AI528" s="80">
        <f>IFERROR(__xludf.DUMMYFUNCTION("""COMPUTED_VALUE"""),0.9574036587481245)</f>
        <v>0.9574036587</v>
      </c>
      <c r="AJ528" s="80">
        <f>IFERROR(__xludf.DUMMYFUNCTION("""COMPUTED_VALUE"""),1.1460350979148939)</f>
        <v>1.146035098</v>
      </c>
      <c r="AK528" s="80">
        <f>IFERROR(__xludf.DUMMYFUNCTION("""COMPUTED_VALUE"""),1.0639914020896801)</f>
        <v>1.063991402</v>
      </c>
      <c r="AL528" s="80">
        <f>IFERROR(__xludf.DUMMYFUNCTION("""COMPUTED_VALUE"""),0.7624329473159549)</f>
        <v>0.7624329473</v>
      </c>
      <c r="AM528" s="80">
        <f>IFERROR(__xludf.DUMMYFUNCTION("""COMPUTED_VALUE"""),0.9115084096322078)</f>
        <v>0.9115084096</v>
      </c>
      <c r="AN528" s="80">
        <f>IFERROR(__xludf.DUMMYFUNCTION("""COMPUTED_VALUE"""),0.6647682460456316)</f>
        <v>0.664768246</v>
      </c>
      <c r="AO528" s="80">
        <f>IFERROR(__xludf.DUMMYFUNCTION("""COMPUTED_VALUE"""),0.3028542261086138)</f>
        <v>0.3028542261</v>
      </c>
      <c r="AP528" s="80">
        <f>IFERROR(__xludf.DUMMYFUNCTION("""COMPUTED_VALUE"""),0.0)</f>
        <v>0</v>
      </c>
      <c r="AQ528" s="80">
        <f>IFERROR(__xludf.DUMMYFUNCTION("""COMPUTED_VALUE"""),0.860326417198297)</f>
        <v>0.8603264172</v>
      </c>
      <c r="AR528" s="80">
        <f>IFERROR(__xludf.DUMMYFUNCTION("""COMPUTED_VALUE"""),0.6437970915169131)</f>
        <v>0.6437970915</v>
      </c>
      <c r="AS528" s="80">
        <f>IFERROR(__xludf.DUMMYFUNCTION("""COMPUTED_VALUE"""),8.0)</f>
        <v>8</v>
      </c>
      <c r="AT528" s="80">
        <f>IFERROR(__xludf.DUMMYFUNCTION("""COMPUTED_VALUE"""),0.3140149230069259)</f>
        <v>0.314014923</v>
      </c>
      <c r="AU528" s="80">
        <f>IFERROR(__xludf.DUMMYFUNCTION("""COMPUTED_VALUE"""),0.5536483508672984)</f>
        <v>0.5536483509</v>
      </c>
      <c r="AV528" s="80">
        <f>IFERROR(__xludf.DUMMYFUNCTION("""COMPUTED_VALUE"""),-17.045240672696877)</f>
        <v>-17.04524067</v>
      </c>
      <c r="AW528" s="82">
        <f t="shared" si="1"/>
        <v>-273.1303252</v>
      </c>
      <c r="AX528" s="83">
        <f t="array" ref="AX528">IFERROR(DGET('SBV Import'!A:G,"SBV",{"RSC ID","Tier";B528,A528}))</f>
        <v>-11.42183338</v>
      </c>
      <c r="AY528" s="82">
        <f t="shared" si="2"/>
        <v>-142.7021149</v>
      </c>
      <c r="AZ528" s="82">
        <v>130.4282103532123</v>
      </c>
      <c r="BA528" s="84">
        <v>450.0</v>
      </c>
      <c r="BB528" s="84" t="b">
        <f>IFERROR(__xludf.DUMMYFUNCTION("iferror(if(A528="""",,E528&gt;=FILTER(Constants!$F$2:$F$10,Constants!$A$2:$A$10=A528)))"),TRUE)</f>
        <v>1</v>
      </c>
    </row>
    <row r="529">
      <c r="A529" s="80" t="str">
        <f>IFERROR(__xludf.DUMMYFUNCTION("""COMPUTED_VALUE"""),"Master")</f>
        <v>Master</v>
      </c>
      <c r="B529" s="80" t="str">
        <f>IFERROR(__xludf.DUMMYFUNCTION("""COMPUTED_VALUE"""),"RSC005301")</f>
        <v>RSC005301</v>
      </c>
      <c r="C529" s="80" t="str">
        <f>IFERROR(__xludf.DUMMYFUNCTION("""COMPUTED_VALUE"""),"Nehtaro")</f>
        <v>Nehtaro</v>
      </c>
      <c r="D529" s="80"/>
      <c r="E529" s="80">
        <f>IFERROR(__xludf.DUMMYFUNCTION("""COMPUTED_VALUE"""),2.0)</f>
        <v>2</v>
      </c>
      <c r="F529" s="80">
        <f>IFERROR(__xludf.DUMMYFUNCTION("""COMPUTED_VALUE"""),0.0)</f>
        <v>0</v>
      </c>
      <c r="G529" s="80">
        <f>IFERROR(__xludf.DUMMYFUNCTION("""COMPUTED_VALUE"""),2.0)</f>
        <v>2</v>
      </c>
      <c r="H529" s="81">
        <f>IFERROR(__xludf.DUMMYFUNCTION("""COMPUTED_VALUE"""),0.0)</f>
        <v>0</v>
      </c>
      <c r="I529" s="81">
        <f>IFERROR(__xludf.DUMMYFUNCTION("""COMPUTED_VALUE"""),0.0)</f>
        <v>0</v>
      </c>
      <c r="J529" s="80">
        <f>IFERROR(__xludf.DUMMYFUNCTION("""COMPUTED_VALUE"""),239.5)</f>
        <v>239.5</v>
      </c>
      <c r="K529" s="80">
        <f>IFERROR(__xludf.DUMMYFUNCTION("""COMPUTED_VALUE"""),0.0)</f>
        <v>0</v>
      </c>
      <c r="L529" s="80">
        <f>IFERROR(__xludf.DUMMYFUNCTION("""COMPUTED_VALUE"""),0.5)</f>
        <v>0.5</v>
      </c>
      <c r="M529" s="80">
        <f>IFERROR(__xludf.DUMMYFUNCTION("""COMPUTED_VALUE"""),1.5)</f>
        <v>1.5</v>
      </c>
      <c r="N529" s="80">
        <f>IFERROR(__xludf.DUMMYFUNCTION("""COMPUTED_VALUE"""),2.5)</f>
        <v>2.5</v>
      </c>
      <c r="O529" s="80">
        <f>IFERROR(__xludf.DUMMYFUNCTION("""COMPUTED_VALUE"""),530.0)</f>
        <v>530</v>
      </c>
      <c r="P529" s="80">
        <f>IFERROR(__xludf.DUMMYFUNCTION("""COMPUTED_VALUE"""),1.5)</f>
        <v>1.5</v>
      </c>
      <c r="Q529" s="80">
        <f>IFERROR(__xludf.DUMMYFUNCTION("""COMPUTED_VALUE"""),1.5)</f>
        <v>1.5</v>
      </c>
      <c r="R529" s="80">
        <f>IFERROR(__xludf.DUMMYFUNCTION("""COMPUTED_VALUE"""),2.0)</f>
        <v>2</v>
      </c>
      <c r="S529" s="80">
        <f>IFERROR(__xludf.DUMMYFUNCTION("""COMPUTED_VALUE"""),4.0)</f>
        <v>4</v>
      </c>
      <c r="T529" s="80">
        <f>IFERROR(__xludf.DUMMYFUNCTION("""COMPUTED_VALUE"""),382.66533776301213)</f>
        <v>382.6653378</v>
      </c>
      <c r="U529" s="80">
        <f>IFERROR(__xludf.DUMMYFUNCTION("""COMPUTED_VALUE"""),0.9502569781639548)</f>
        <v>0.9502569782</v>
      </c>
      <c r="V529" s="80">
        <f>IFERROR(__xludf.DUMMYFUNCTION("""COMPUTED_VALUE"""),0.7088735553851833)</f>
        <v>0.7088735554</v>
      </c>
      <c r="W529" s="80">
        <f>IFERROR(__xludf.DUMMYFUNCTION("""COMPUTED_VALUE"""),1.476076894681546)</f>
        <v>1.476076895</v>
      </c>
      <c r="X529" s="80">
        <f>IFERROR(__xludf.DUMMYFUNCTION("""COMPUTED_VALUE"""),3.026634863844166)</f>
        <v>3.026634864</v>
      </c>
      <c r="Y529" s="80">
        <f>IFERROR(__xludf.DUMMYFUNCTION("""COMPUTED_VALUE"""),420.75706808264954)</f>
        <v>420.7570681</v>
      </c>
      <c r="Z529" s="80">
        <f>IFERROR(__xludf.DUMMYFUNCTION("""COMPUTED_VALUE"""),1.0791189860957304)</f>
        <v>1.079118986</v>
      </c>
      <c r="AA529" s="80">
        <f>IFERROR(__xludf.DUMMYFUNCTION("""COMPUTED_VALUE"""),0.8508050089445437)</f>
        <v>0.8508050089</v>
      </c>
      <c r="AB529" s="80">
        <f>IFERROR(__xludf.DUMMYFUNCTION("""COMPUTED_VALUE"""),1.5624764554997117)</f>
        <v>1.562476455</v>
      </c>
      <c r="AC529" s="80">
        <f>IFERROR(__xludf.DUMMYFUNCTION("""COMPUTED_VALUE"""),3.067370872022035)</f>
        <v>3.067370872</v>
      </c>
      <c r="AD529" s="80">
        <f>IFERROR(__xludf.DUMMYFUNCTION("""COMPUTED_VALUE"""),0.5692120659823471)</f>
        <v>0.569212066</v>
      </c>
      <c r="AE529" s="80">
        <f>IFERROR(__xludf.DUMMYFUNCTION("""COMPUTED_VALUE"""),0.0)</f>
        <v>0</v>
      </c>
      <c r="AF529" s="80">
        <f>IFERROR(__xludf.DUMMYFUNCTION("""COMPUTED_VALUE"""),0.5876787216148025)</f>
        <v>0.5876787216</v>
      </c>
      <c r="AG529" s="80">
        <f>IFERROR(__xludf.DUMMYFUNCTION("""COMPUTED_VALUE"""),0.9600144659589571)</f>
        <v>0.960014466</v>
      </c>
      <c r="AH529" s="80">
        <f>IFERROR(__xludf.DUMMYFUNCTION("""COMPUTED_VALUE"""),0.8150302341340225)</f>
        <v>0.8150302341</v>
      </c>
      <c r="AI529" s="80">
        <f>IFERROR(__xludf.DUMMYFUNCTION("""COMPUTED_VALUE"""),1.3850222314314589)</f>
        <v>1.385022231</v>
      </c>
      <c r="AJ529" s="80">
        <f>IFERROR(__xludf.DUMMYFUNCTION("""COMPUTED_VALUE"""),1.5785203734028186)</f>
        <v>1.578520373</v>
      </c>
      <c r="AK529" s="80">
        <f>IFERROR(__xludf.DUMMYFUNCTION("""COMPUTED_VALUE"""),2.116033231321402)</f>
        <v>2.116033231</v>
      </c>
      <c r="AL529" s="80">
        <f>IFERROR(__xludf.DUMMYFUNCTION("""COMPUTED_VALUE"""),1.3549429621222322)</f>
        <v>1.354942962</v>
      </c>
      <c r="AM529" s="80">
        <f>IFERROR(__xludf.DUMMYFUNCTION("""COMPUTED_VALUE"""),1.3215997898469825)</f>
        <v>1.32159979</v>
      </c>
      <c r="AN529" s="80">
        <f>IFERROR(__xludf.DUMMYFUNCTION("""COMPUTED_VALUE"""),0.6387642725293029)</f>
        <v>0.6387642725</v>
      </c>
      <c r="AO529" s="80">
        <f>IFERROR(__xludf.DUMMYFUNCTION("""COMPUTED_VALUE"""),0.0)</f>
        <v>0</v>
      </c>
      <c r="AP529" s="80">
        <f>IFERROR(__xludf.DUMMYFUNCTION("""COMPUTED_VALUE"""),0.770591825075617)</f>
        <v>0.7705918251</v>
      </c>
      <c r="AQ529" s="80">
        <f>IFERROR(__xludf.DUMMYFUNCTION("""COMPUTED_VALUE"""),1.0323917006379564)</f>
        <v>1.032391701</v>
      </c>
      <c r="AR529" s="80">
        <f>IFERROR(__xludf.DUMMYFUNCTION("""COMPUTED_VALUE"""),0.9197101307384473)</f>
        <v>0.9197101307</v>
      </c>
      <c r="AS529" s="80">
        <f>IFERROR(__xludf.DUMMYFUNCTION("""COMPUTED_VALUE"""),5.0)</f>
        <v>5</v>
      </c>
      <c r="AT529" s="80">
        <f>IFERROR(__xludf.DUMMYFUNCTION("""COMPUTED_VALUE"""),0.26357777693216294)</f>
        <v>0.2635777769</v>
      </c>
      <c r="AU529" s="80">
        <f>IFERROR(__xludf.DUMMYFUNCTION("""COMPUTED_VALUE"""),0.3519053711496976)</f>
        <v>0.3519053711</v>
      </c>
      <c r="AV529" s="80">
        <f>IFERROR(__xludf.DUMMYFUNCTION("""COMPUTED_VALUE"""),-22.42418605567302)</f>
        <v>-22.42418606</v>
      </c>
      <c r="AW529" s="82">
        <f t="shared" si="1"/>
        <v>-530.8012613</v>
      </c>
      <c r="AX529" s="83">
        <f t="array" ref="AX529">IFERROR(DGET('SBV Import'!A:G,"SBV",{"RSC ID","Tier";B529,A529}))</f>
        <v>-26.13522381</v>
      </c>
      <c r="AY529" s="82">
        <f t="shared" si="2"/>
        <v>-860.7180822</v>
      </c>
      <c r="AZ529" s="82">
        <v>329.91682087721176</v>
      </c>
      <c r="BA529" s="84">
        <v>450.0</v>
      </c>
      <c r="BB529" s="84" t="b">
        <f>IFERROR(__xludf.DUMMYFUNCTION("iferror(if(A529="""",,E529&gt;=FILTER(Constants!$F$2:$F$10,Constants!$A$2:$A$10=A529)))"),TRUE)</f>
        <v>1</v>
      </c>
    </row>
    <row r="530">
      <c r="A530" s="80"/>
      <c r="B530" s="80"/>
      <c r="C530" s="80"/>
      <c r="D530" s="80"/>
      <c r="E530" s="80"/>
      <c r="F530" s="80"/>
      <c r="G530" s="80"/>
      <c r="H530" s="81"/>
      <c r="I530" s="81"/>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c r="AJ530" s="80"/>
      <c r="AK530" s="80"/>
      <c r="AL530" s="80"/>
      <c r="AM530" s="80"/>
      <c r="AN530" s="80">
        <f>IFERROR(__xludf.DUMMYFUNCTION("""COMPUTED_VALUE"""),0.0)</f>
        <v>0</v>
      </c>
      <c r="AO530" s="80">
        <f>IFERROR(__xludf.DUMMYFUNCTION("""COMPUTED_VALUE"""),0.0)</f>
        <v>0</v>
      </c>
      <c r="AP530" s="80">
        <f>IFERROR(__xludf.DUMMYFUNCTION("""COMPUTED_VALUE"""),0.0)</f>
        <v>0</v>
      </c>
      <c r="AQ530" s="80">
        <f>IFERROR(__xludf.DUMMYFUNCTION("""COMPUTED_VALUE"""),0.0)</f>
        <v>0</v>
      </c>
      <c r="AR530" s="80">
        <f>IFERROR(__xludf.DUMMYFUNCTION("""COMPUTED_VALUE"""),0.0)</f>
        <v>0</v>
      </c>
      <c r="AS530" s="80"/>
      <c r="AT530" s="80">
        <f>IFERROR(__xludf.DUMMYFUNCTION("""COMPUTED_VALUE"""),0.0)</f>
        <v>0</v>
      </c>
      <c r="AU530" s="80"/>
      <c r="AV530" s="80"/>
      <c r="AW530" s="82" t="str">
        <f t="shared" si="1"/>
        <v/>
      </c>
      <c r="AX530" s="83" t="str">
        <f t="array" ref="AX530">IFERROR(DGET('SBV Import'!A:G,"SBV",{"RSC ID","Tier";B530,A530}))</f>
        <v/>
      </c>
      <c r="AY530" s="82" t="str">
        <f t="shared" si="2"/>
        <v/>
      </c>
      <c r="AZ530" s="82"/>
      <c r="BA530" s="84" t="s">
        <v>152</v>
      </c>
      <c r="BB530" s="84" t="str">
        <f>IFERROR(__xludf.DUMMYFUNCTION("iferror(if(A530="""",,E530&gt;=FILTER(Constants!$F$2:$F$10,Constants!$A$2:$A$10=A530)))"),"")</f>
        <v/>
      </c>
    </row>
    <row r="531">
      <c r="A531" s="80"/>
      <c r="B531" s="80"/>
      <c r="C531" s="80"/>
      <c r="D531" s="80"/>
      <c r="E531" s="80"/>
      <c r="F531" s="80"/>
      <c r="G531" s="80"/>
      <c r="H531" s="81"/>
      <c r="I531" s="81"/>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c r="AJ531" s="80"/>
      <c r="AK531" s="80"/>
      <c r="AL531" s="80"/>
      <c r="AM531" s="80"/>
      <c r="AN531" s="80">
        <f>IFERROR(__xludf.DUMMYFUNCTION("""COMPUTED_VALUE"""),0.0)</f>
        <v>0</v>
      </c>
      <c r="AO531" s="80">
        <f>IFERROR(__xludf.DUMMYFUNCTION("""COMPUTED_VALUE"""),0.0)</f>
        <v>0</v>
      </c>
      <c r="AP531" s="80">
        <f>IFERROR(__xludf.DUMMYFUNCTION("""COMPUTED_VALUE"""),0.0)</f>
        <v>0</v>
      </c>
      <c r="AQ531" s="80">
        <f>IFERROR(__xludf.DUMMYFUNCTION("""COMPUTED_VALUE"""),0.0)</f>
        <v>0</v>
      </c>
      <c r="AR531" s="80">
        <f>IFERROR(__xludf.DUMMYFUNCTION("""COMPUTED_VALUE"""),0.0)</f>
        <v>0</v>
      </c>
      <c r="AS531" s="80"/>
      <c r="AT531" s="80">
        <f>IFERROR(__xludf.DUMMYFUNCTION("""COMPUTED_VALUE"""),0.0)</f>
        <v>0</v>
      </c>
      <c r="AU531" s="80"/>
      <c r="AV531" s="80"/>
      <c r="AW531" s="82" t="str">
        <f t="shared" si="1"/>
        <v/>
      </c>
      <c r="AX531" s="83" t="str">
        <f t="array" ref="AX531">IFERROR(DGET('SBV Import'!A:G,"SBV",{"RSC ID","Tier";B531,A531}))</f>
        <v/>
      </c>
      <c r="AY531" s="82" t="str">
        <f t="shared" si="2"/>
        <v/>
      </c>
      <c r="AZ531" s="82"/>
      <c r="BA531" s="84" t="s">
        <v>152</v>
      </c>
      <c r="BB531" s="84" t="str">
        <f>IFERROR(__xludf.DUMMYFUNCTION("iferror(if(A531="""",,E531&gt;=FILTER(Constants!$F$2:$F$10,Constants!$A$2:$A$10=A531)))"),"")</f>
        <v/>
      </c>
    </row>
    <row r="532">
      <c r="A532" s="80"/>
      <c r="B532" s="80"/>
      <c r="C532" s="80"/>
      <c r="D532" s="80"/>
      <c r="E532" s="80"/>
      <c r="F532" s="80"/>
      <c r="G532" s="80"/>
      <c r="H532" s="81"/>
      <c r="I532" s="81"/>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c r="AJ532" s="80"/>
      <c r="AK532" s="80"/>
      <c r="AL532" s="80"/>
      <c r="AM532" s="80"/>
      <c r="AN532" s="80">
        <f>IFERROR(__xludf.DUMMYFUNCTION("""COMPUTED_VALUE"""),0.0)</f>
        <v>0</v>
      </c>
      <c r="AO532" s="80">
        <f>IFERROR(__xludf.DUMMYFUNCTION("""COMPUTED_VALUE"""),0.0)</f>
        <v>0</v>
      </c>
      <c r="AP532" s="80">
        <f>IFERROR(__xludf.DUMMYFUNCTION("""COMPUTED_VALUE"""),0.0)</f>
        <v>0</v>
      </c>
      <c r="AQ532" s="80">
        <f>IFERROR(__xludf.DUMMYFUNCTION("""COMPUTED_VALUE"""),0.0)</f>
        <v>0</v>
      </c>
      <c r="AR532" s="80">
        <f>IFERROR(__xludf.DUMMYFUNCTION("""COMPUTED_VALUE"""),0.0)</f>
        <v>0</v>
      </c>
      <c r="AS532" s="80"/>
      <c r="AT532" s="80">
        <f>IFERROR(__xludf.DUMMYFUNCTION("""COMPUTED_VALUE"""),0.0)</f>
        <v>0</v>
      </c>
      <c r="AU532" s="80"/>
      <c r="AV532" s="80"/>
      <c r="AW532" s="82" t="str">
        <f t="shared" si="1"/>
        <v/>
      </c>
      <c r="AX532" s="83" t="str">
        <f t="array" ref="AX532">IFERROR(DGET('SBV Import'!A:G,"SBV",{"RSC ID","Tier";B532,A532}))</f>
        <v/>
      </c>
      <c r="AY532" s="82" t="str">
        <f t="shared" si="2"/>
        <v/>
      </c>
      <c r="AZ532" s="82"/>
      <c r="BA532" s="84" t="s">
        <v>152</v>
      </c>
      <c r="BB532" s="84" t="str">
        <f>IFERROR(__xludf.DUMMYFUNCTION("iferror(if(A532="""",,E532&gt;=FILTER(Constants!$F$2:$F$10,Constants!$A$2:$A$10=A532)))"),"")</f>
        <v/>
      </c>
    </row>
    <row r="533">
      <c r="A533" s="80"/>
      <c r="B533" s="80"/>
      <c r="C533" s="80"/>
      <c r="D533" s="80"/>
      <c r="E533" s="80"/>
      <c r="F533" s="80"/>
      <c r="G533" s="80"/>
      <c r="H533" s="81"/>
      <c r="I533" s="81"/>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c r="AJ533" s="80"/>
      <c r="AK533" s="80"/>
      <c r="AL533" s="80"/>
      <c r="AM533" s="80"/>
      <c r="AN533" s="80">
        <f>IFERROR(__xludf.DUMMYFUNCTION("""COMPUTED_VALUE"""),0.0)</f>
        <v>0</v>
      </c>
      <c r="AO533" s="80">
        <f>IFERROR(__xludf.DUMMYFUNCTION("""COMPUTED_VALUE"""),0.0)</f>
        <v>0</v>
      </c>
      <c r="AP533" s="80">
        <f>IFERROR(__xludf.DUMMYFUNCTION("""COMPUTED_VALUE"""),0.0)</f>
        <v>0</v>
      </c>
      <c r="AQ533" s="80">
        <f>IFERROR(__xludf.DUMMYFUNCTION("""COMPUTED_VALUE"""),0.0)</f>
        <v>0</v>
      </c>
      <c r="AR533" s="80">
        <f>IFERROR(__xludf.DUMMYFUNCTION("""COMPUTED_VALUE"""),0.0)</f>
        <v>0</v>
      </c>
      <c r="AS533" s="80"/>
      <c r="AT533" s="80">
        <f>IFERROR(__xludf.DUMMYFUNCTION("""COMPUTED_VALUE"""),0.0)</f>
        <v>0</v>
      </c>
      <c r="AU533" s="80"/>
      <c r="AV533" s="80"/>
      <c r="AW533" s="82" t="str">
        <f t="shared" si="1"/>
        <v/>
      </c>
      <c r="AX533" s="83" t="str">
        <f t="array" ref="AX533">IFERROR(DGET('SBV Import'!A:G,"SBV",{"RSC ID","Tier";B533,A533}))</f>
        <v/>
      </c>
      <c r="AY533" s="82" t="str">
        <f t="shared" si="2"/>
        <v/>
      </c>
      <c r="AZ533" s="82"/>
      <c r="BA533" s="84" t="s">
        <v>152</v>
      </c>
      <c r="BB533" s="84" t="str">
        <f>IFERROR(__xludf.DUMMYFUNCTION("iferror(if(A533="""",,E533&gt;=FILTER(Constants!$F$2:$F$10,Constants!$A$2:$A$10=A533)))"),"")</f>
        <v/>
      </c>
    </row>
    <row r="534">
      <c r="A534" s="80"/>
      <c r="B534" s="80"/>
      <c r="C534" s="80"/>
      <c r="D534" s="80"/>
      <c r="E534" s="80"/>
      <c r="F534" s="80"/>
      <c r="G534" s="80"/>
      <c r="H534" s="81"/>
      <c r="I534" s="81"/>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c r="AJ534" s="80"/>
      <c r="AK534" s="80"/>
      <c r="AL534" s="80"/>
      <c r="AM534" s="80"/>
      <c r="AN534" s="80">
        <f>IFERROR(__xludf.DUMMYFUNCTION("""COMPUTED_VALUE"""),0.0)</f>
        <v>0</v>
      </c>
      <c r="AO534" s="80">
        <f>IFERROR(__xludf.DUMMYFUNCTION("""COMPUTED_VALUE"""),0.0)</f>
        <v>0</v>
      </c>
      <c r="AP534" s="80">
        <f>IFERROR(__xludf.DUMMYFUNCTION("""COMPUTED_VALUE"""),0.0)</f>
        <v>0</v>
      </c>
      <c r="AQ534" s="80">
        <f>IFERROR(__xludf.DUMMYFUNCTION("""COMPUTED_VALUE"""),0.0)</f>
        <v>0</v>
      </c>
      <c r="AR534" s="80">
        <f>IFERROR(__xludf.DUMMYFUNCTION("""COMPUTED_VALUE"""),0.0)</f>
        <v>0</v>
      </c>
      <c r="AS534" s="80"/>
      <c r="AT534" s="80">
        <f>IFERROR(__xludf.DUMMYFUNCTION("""COMPUTED_VALUE"""),0.0)</f>
        <v>0</v>
      </c>
      <c r="AU534" s="80"/>
      <c r="AV534" s="80"/>
      <c r="AW534" s="82" t="str">
        <f t="shared" si="1"/>
        <v/>
      </c>
      <c r="AX534" s="83" t="str">
        <f t="array" ref="AX534">IFERROR(DGET('SBV Import'!A:G,"SBV",{"RSC ID","Tier";B534,A534}))</f>
        <v/>
      </c>
      <c r="AY534" s="82" t="str">
        <f t="shared" si="2"/>
        <v/>
      </c>
      <c r="AZ534" s="82"/>
      <c r="BA534" s="84" t="s">
        <v>152</v>
      </c>
      <c r="BB534" s="84" t="str">
        <f>IFERROR(__xludf.DUMMYFUNCTION("iferror(if(A534="""",,E534&gt;=FILTER(Constants!$F$2:$F$10,Constants!$A$2:$A$10=A534)))"),"")</f>
        <v/>
      </c>
    </row>
    <row r="535">
      <c r="A535" s="80"/>
      <c r="B535" s="80"/>
      <c r="C535" s="80"/>
      <c r="D535" s="80"/>
      <c r="E535" s="80"/>
      <c r="F535" s="80"/>
      <c r="G535" s="80"/>
      <c r="H535" s="81"/>
      <c r="I535" s="81"/>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c r="AJ535" s="80"/>
      <c r="AK535" s="80"/>
      <c r="AL535" s="80"/>
      <c r="AM535" s="80"/>
      <c r="AN535" s="80">
        <f>IFERROR(__xludf.DUMMYFUNCTION("""COMPUTED_VALUE"""),0.0)</f>
        <v>0</v>
      </c>
      <c r="AO535" s="80">
        <f>IFERROR(__xludf.DUMMYFUNCTION("""COMPUTED_VALUE"""),0.0)</f>
        <v>0</v>
      </c>
      <c r="AP535" s="80">
        <f>IFERROR(__xludf.DUMMYFUNCTION("""COMPUTED_VALUE"""),0.0)</f>
        <v>0</v>
      </c>
      <c r="AQ535" s="80">
        <f>IFERROR(__xludf.DUMMYFUNCTION("""COMPUTED_VALUE"""),0.0)</f>
        <v>0</v>
      </c>
      <c r="AR535" s="80">
        <f>IFERROR(__xludf.DUMMYFUNCTION("""COMPUTED_VALUE"""),0.0)</f>
        <v>0</v>
      </c>
      <c r="AS535" s="80"/>
      <c r="AT535" s="80">
        <f>IFERROR(__xludf.DUMMYFUNCTION("""COMPUTED_VALUE"""),0.0)</f>
        <v>0</v>
      </c>
      <c r="AU535" s="80"/>
      <c r="AV535" s="80"/>
      <c r="AW535" s="82" t="str">
        <f t="shared" si="1"/>
        <v/>
      </c>
      <c r="AX535" s="83" t="str">
        <f t="array" ref="AX535">IFERROR(DGET('SBV Import'!A:G,"SBV",{"RSC ID","Tier";B535,A535}))</f>
        <v/>
      </c>
      <c r="AY535" s="82" t="str">
        <f t="shared" si="2"/>
        <v/>
      </c>
      <c r="AZ535" s="82"/>
      <c r="BA535" s="84" t="s">
        <v>152</v>
      </c>
      <c r="BB535" s="84" t="str">
        <f>IFERROR(__xludf.DUMMYFUNCTION("iferror(if(A535="""",,E535&gt;=FILTER(Constants!$F$2:$F$10,Constants!$A$2:$A$10=A535)))"),"")</f>
        <v/>
      </c>
    </row>
    <row r="536">
      <c r="A536" s="80"/>
      <c r="B536" s="80"/>
      <c r="C536" s="80"/>
      <c r="D536" s="80"/>
      <c r="E536" s="80"/>
      <c r="F536" s="80"/>
      <c r="G536" s="80"/>
      <c r="H536" s="81"/>
      <c r="I536" s="81"/>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c r="AJ536" s="80"/>
      <c r="AK536" s="80"/>
      <c r="AL536" s="80"/>
      <c r="AM536" s="80"/>
      <c r="AN536" s="80">
        <f>IFERROR(__xludf.DUMMYFUNCTION("""COMPUTED_VALUE"""),0.0)</f>
        <v>0</v>
      </c>
      <c r="AO536" s="80">
        <f>IFERROR(__xludf.DUMMYFUNCTION("""COMPUTED_VALUE"""),0.0)</f>
        <v>0</v>
      </c>
      <c r="AP536" s="80">
        <f>IFERROR(__xludf.DUMMYFUNCTION("""COMPUTED_VALUE"""),0.0)</f>
        <v>0</v>
      </c>
      <c r="AQ536" s="80">
        <f>IFERROR(__xludf.DUMMYFUNCTION("""COMPUTED_VALUE"""),0.0)</f>
        <v>0</v>
      </c>
      <c r="AR536" s="80">
        <f>IFERROR(__xludf.DUMMYFUNCTION("""COMPUTED_VALUE"""),0.0)</f>
        <v>0</v>
      </c>
      <c r="AS536" s="80"/>
      <c r="AT536" s="80">
        <f>IFERROR(__xludf.DUMMYFUNCTION("""COMPUTED_VALUE"""),0.0)</f>
        <v>0</v>
      </c>
      <c r="AU536" s="80"/>
      <c r="AV536" s="80"/>
      <c r="AW536" s="82" t="str">
        <f t="shared" si="1"/>
        <v/>
      </c>
      <c r="AX536" s="83" t="str">
        <f t="array" ref="AX536">IFERROR(DGET('SBV Import'!A:G,"SBV",{"RSC ID","Tier";B536,A536}))</f>
        <v/>
      </c>
      <c r="AY536" s="82" t="str">
        <f t="shared" si="2"/>
        <v/>
      </c>
      <c r="AZ536" s="82"/>
      <c r="BA536" s="84" t="s">
        <v>152</v>
      </c>
      <c r="BB536" s="84" t="str">
        <f>IFERROR(__xludf.DUMMYFUNCTION("iferror(if(A536="""",,E536&gt;=FILTER(Constants!$F$2:$F$10,Constants!$A$2:$A$10=A536)))"),"")</f>
        <v/>
      </c>
    </row>
    <row r="537">
      <c r="A537" s="80"/>
      <c r="B537" s="80"/>
      <c r="C537" s="80"/>
      <c r="D537" s="80"/>
      <c r="E537" s="80"/>
      <c r="F537" s="80"/>
      <c r="G537" s="80"/>
      <c r="H537" s="81"/>
      <c r="I537" s="81"/>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c r="AJ537" s="80"/>
      <c r="AK537" s="80"/>
      <c r="AL537" s="80"/>
      <c r="AM537" s="80"/>
      <c r="AN537" s="80">
        <f>IFERROR(__xludf.DUMMYFUNCTION("""COMPUTED_VALUE"""),0.0)</f>
        <v>0</v>
      </c>
      <c r="AO537" s="80">
        <f>IFERROR(__xludf.DUMMYFUNCTION("""COMPUTED_VALUE"""),0.0)</f>
        <v>0</v>
      </c>
      <c r="AP537" s="80">
        <f>IFERROR(__xludf.DUMMYFUNCTION("""COMPUTED_VALUE"""),0.0)</f>
        <v>0</v>
      </c>
      <c r="AQ537" s="80">
        <f>IFERROR(__xludf.DUMMYFUNCTION("""COMPUTED_VALUE"""),0.0)</f>
        <v>0</v>
      </c>
      <c r="AR537" s="80">
        <f>IFERROR(__xludf.DUMMYFUNCTION("""COMPUTED_VALUE"""),0.0)</f>
        <v>0</v>
      </c>
      <c r="AS537" s="80"/>
      <c r="AT537" s="80">
        <f>IFERROR(__xludf.DUMMYFUNCTION("""COMPUTED_VALUE"""),0.0)</f>
        <v>0</v>
      </c>
      <c r="AU537" s="80"/>
      <c r="AV537" s="80"/>
      <c r="AW537" s="82" t="str">
        <f t="shared" si="1"/>
        <v/>
      </c>
      <c r="AX537" s="83" t="str">
        <f t="array" ref="AX537">IFERROR(DGET('SBV Import'!A:G,"SBV",{"RSC ID","Tier";B537,A537}))</f>
        <v/>
      </c>
      <c r="AY537" s="82" t="str">
        <f t="shared" si="2"/>
        <v/>
      </c>
      <c r="AZ537" s="82"/>
      <c r="BA537" s="84" t="s">
        <v>152</v>
      </c>
      <c r="BB537" s="84" t="str">
        <f>IFERROR(__xludf.DUMMYFUNCTION("iferror(if(A537="""",,E537&gt;=FILTER(Constants!$F$2:$F$10,Constants!$A$2:$A$10=A537)))"),"")</f>
        <v/>
      </c>
    </row>
    <row r="538">
      <c r="A538" s="80"/>
      <c r="B538" s="80"/>
      <c r="C538" s="80"/>
      <c r="D538" s="80"/>
      <c r="E538" s="80"/>
      <c r="F538" s="80"/>
      <c r="G538" s="80"/>
      <c r="H538" s="81"/>
      <c r="I538" s="81"/>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c r="AJ538" s="80"/>
      <c r="AK538" s="80"/>
      <c r="AL538" s="80"/>
      <c r="AM538" s="80"/>
      <c r="AN538" s="80">
        <f>IFERROR(__xludf.DUMMYFUNCTION("""COMPUTED_VALUE"""),0.0)</f>
        <v>0</v>
      </c>
      <c r="AO538" s="80">
        <f>IFERROR(__xludf.DUMMYFUNCTION("""COMPUTED_VALUE"""),0.0)</f>
        <v>0</v>
      </c>
      <c r="AP538" s="80">
        <f>IFERROR(__xludf.DUMMYFUNCTION("""COMPUTED_VALUE"""),0.0)</f>
        <v>0</v>
      </c>
      <c r="AQ538" s="80">
        <f>IFERROR(__xludf.DUMMYFUNCTION("""COMPUTED_VALUE"""),0.0)</f>
        <v>0</v>
      </c>
      <c r="AR538" s="80">
        <f>IFERROR(__xludf.DUMMYFUNCTION("""COMPUTED_VALUE"""),0.0)</f>
        <v>0</v>
      </c>
      <c r="AS538" s="80"/>
      <c r="AT538" s="80">
        <f>IFERROR(__xludf.DUMMYFUNCTION("""COMPUTED_VALUE"""),0.0)</f>
        <v>0</v>
      </c>
      <c r="AU538" s="80"/>
      <c r="AV538" s="80"/>
      <c r="AW538" s="82" t="str">
        <f t="shared" si="1"/>
        <v/>
      </c>
      <c r="AX538" s="83" t="str">
        <f t="array" ref="AX538">IFERROR(DGET('SBV Import'!A:G,"SBV",{"RSC ID","Tier";B538,A538}))</f>
        <v/>
      </c>
      <c r="AY538" s="82" t="str">
        <f t="shared" si="2"/>
        <v/>
      </c>
      <c r="AZ538" s="82"/>
      <c r="BA538" s="84" t="s">
        <v>152</v>
      </c>
      <c r="BB538" s="84" t="str">
        <f>IFERROR(__xludf.DUMMYFUNCTION("iferror(if(A538="""",,E538&gt;=FILTER(Constants!$F$2:$F$10,Constants!$A$2:$A$10=A538)))"),"")</f>
        <v/>
      </c>
    </row>
    <row r="539">
      <c r="A539" s="80"/>
      <c r="B539" s="80"/>
      <c r="C539" s="80"/>
      <c r="D539" s="80"/>
      <c r="E539" s="80"/>
      <c r="F539" s="80"/>
      <c r="G539" s="80"/>
      <c r="H539" s="81"/>
      <c r="I539" s="81"/>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c r="AJ539" s="80"/>
      <c r="AK539" s="80"/>
      <c r="AL539" s="80"/>
      <c r="AM539" s="80"/>
      <c r="AN539" s="80">
        <f>IFERROR(__xludf.DUMMYFUNCTION("""COMPUTED_VALUE"""),0.0)</f>
        <v>0</v>
      </c>
      <c r="AO539" s="80">
        <f>IFERROR(__xludf.DUMMYFUNCTION("""COMPUTED_VALUE"""),0.0)</f>
        <v>0</v>
      </c>
      <c r="AP539" s="80">
        <f>IFERROR(__xludf.DUMMYFUNCTION("""COMPUTED_VALUE"""),0.0)</f>
        <v>0</v>
      </c>
      <c r="AQ539" s="80">
        <f>IFERROR(__xludf.DUMMYFUNCTION("""COMPUTED_VALUE"""),0.0)</f>
        <v>0</v>
      </c>
      <c r="AR539" s="80">
        <f>IFERROR(__xludf.DUMMYFUNCTION("""COMPUTED_VALUE"""),0.0)</f>
        <v>0</v>
      </c>
      <c r="AS539" s="80"/>
      <c r="AT539" s="80">
        <f>IFERROR(__xludf.DUMMYFUNCTION("""COMPUTED_VALUE"""),0.0)</f>
        <v>0</v>
      </c>
      <c r="AU539" s="80"/>
      <c r="AV539" s="80"/>
      <c r="AW539" s="82" t="str">
        <f t="shared" si="1"/>
        <v/>
      </c>
      <c r="AX539" s="83" t="str">
        <f t="array" ref="AX539">IFERROR(DGET('SBV Import'!A:G,"SBV",{"RSC ID","Tier";B539,A539}))</f>
        <v/>
      </c>
      <c r="AY539" s="82" t="str">
        <f t="shared" si="2"/>
        <v/>
      </c>
      <c r="AZ539" s="82"/>
      <c r="BA539" s="84" t="s">
        <v>152</v>
      </c>
      <c r="BB539" s="84" t="str">
        <f>IFERROR(__xludf.DUMMYFUNCTION("iferror(if(A539="""",,E539&gt;=FILTER(Constants!$F$2:$F$10,Constants!$A$2:$A$10=A539)))"),"")</f>
        <v/>
      </c>
    </row>
    <row r="540">
      <c r="A540" s="80"/>
      <c r="B540" s="80"/>
      <c r="C540" s="80"/>
      <c r="D540" s="80"/>
      <c r="E540" s="80"/>
      <c r="F540" s="80"/>
      <c r="G540" s="80"/>
      <c r="H540" s="81"/>
      <c r="I540" s="81"/>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c r="AJ540" s="80"/>
      <c r="AK540" s="80"/>
      <c r="AL540" s="80"/>
      <c r="AM540" s="80"/>
      <c r="AN540" s="80">
        <f>IFERROR(__xludf.DUMMYFUNCTION("""COMPUTED_VALUE"""),0.0)</f>
        <v>0</v>
      </c>
      <c r="AO540" s="80">
        <f>IFERROR(__xludf.DUMMYFUNCTION("""COMPUTED_VALUE"""),0.0)</f>
        <v>0</v>
      </c>
      <c r="AP540" s="80">
        <f>IFERROR(__xludf.DUMMYFUNCTION("""COMPUTED_VALUE"""),0.0)</f>
        <v>0</v>
      </c>
      <c r="AQ540" s="80">
        <f>IFERROR(__xludf.DUMMYFUNCTION("""COMPUTED_VALUE"""),0.0)</f>
        <v>0</v>
      </c>
      <c r="AR540" s="80">
        <f>IFERROR(__xludf.DUMMYFUNCTION("""COMPUTED_VALUE"""),0.0)</f>
        <v>0</v>
      </c>
      <c r="AS540" s="80"/>
      <c r="AT540" s="80">
        <f>IFERROR(__xludf.DUMMYFUNCTION("""COMPUTED_VALUE"""),0.0)</f>
        <v>0</v>
      </c>
      <c r="AU540" s="80"/>
      <c r="AV540" s="80"/>
      <c r="AW540" s="82" t="str">
        <f t="shared" si="1"/>
        <v/>
      </c>
      <c r="AX540" s="83" t="str">
        <f t="array" ref="AX540">IFERROR(DGET('SBV Import'!A:G,"SBV",{"RSC ID","Tier";B540,A540}))</f>
        <v/>
      </c>
      <c r="AY540" s="82" t="str">
        <f t="shared" si="2"/>
        <v/>
      </c>
      <c r="AZ540" s="82"/>
      <c r="BA540" s="84" t="s">
        <v>152</v>
      </c>
      <c r="BB540" s="84" t="str">
        <f>IFERROR(__xludf.DUMMYFUNCTION("iferror(if(A540="""",,E540&gt;=FILTER(Constants!$F$2:$F$10,Constants!$A$2:$A$10=A540)))"),"")</f>
        <v/>
      </c>
    </row>
    <row r="541">
      <c r="A541" s="80"/>
      <c r="B541" s="80"/>
      <c r="C541" s="80"/>
      <c r="D541" s="80"/>
      <c r="E541" s="80"/>
      <c r="F541" s="80"/>
      <c r="G541" s="80"/>
      <c r="H541" s="81"/>
      <c r="I541" s="81"/>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c r="AJ541" s="80"/>
      <c r="AK541" s="80"/>
      <c r="AL541" s="80"/>
      <c r="AM541" s="80"/>
      <c r="AN541" s="80">
        <f>IFERROR(__xludf.DUMMYFUNCTION("""COMPUTED_VALUE"""),0.0)</f>
        <v>0</v>
      </c>
      <c r="AO541" s="80">
        <f>IFERROR(__xludf.DUMMYFUNCTION("""COMPUTED_VALUE"""),0.0)</f>
        <v>0</v>
      </c>
      <c r="AP541" s="80">
        <f>IFERROR(__xludf.DUMMYFUNCTION("""COMPUTED_VALUE"""),0.0)</f>
        <v>0</v>
      </c>
      <c r="AQ541" s="80">
        <f>IFERROR(__xludf.DUMMYFUNCTION("""COMPUTED_VALUE"""),0.0)</f>
        <v>0</v>
      </c>
      <c r="AR541" s="80">
        <f>IFERROR(__xludf.DUMMYFUNCTION("""COMPUTED_VALUE"""),0.0)</f>
        <v>0</v>
      </c>
      <c r="AS541" s="80"/>
      <c r="AT541" s="80">
        <f>IFERROR(__xludf.DUMMYFUNCTION("""COMPUTED_VALUE"""),0.0)</f>
        <v>0</v>
      </c>
      <c r="AU541" s="80"/>
      <c r="AV541" s="80"/>
      <c r="AW541" s="82" t="str">
        <f t="shared" si="1"/>
        <v/>
      </c>
      <c r="AX541" s="83" t="str">
        <f t="array" ref="AX541">IFERROR(DGET('SBV Import'!A:G,"SBV",{"RSC ID","Tier";B541,A541}))</f>
        <v/>
      </c>
      <c r="AY541" s="82" t="str">
        <f t="shared" si="2"/>
        <v/>
      </c>
      <c r="AZ541" s="82"/>
      <c r="BA541" s="84" t="s">
        <v>152</v>
      </c>
      <c r="BB541" s="84" t="str">
        <f>IFERROR(__xludf.DUMMYFUNCTION("iferror(if(A541="""",,E541&gt;=FILTER(Constants!$F$2:$F$10,Constants!$A$2:$A$10=A541)))"),"")</f>
        <v/>
      </c>
    </row>
    <row r="542">
      <c r="A542" s="80"/>
      <c r="B542" s="80"/>
      <c r="C542" s="80"/>
      <c r="D542" s="80"/>
      <c r="E542" s="80"/>
      <c r="F542" s="80"/>
      <c r="G542" s="80"/>
      <c r="H542" s="81"/>
      <c r="I542" s="81"/>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c r="AJ542" s="80"/>
      <c r="AK542" s="80"/>
      <c r="AL542" s="80"/>
      <c r="AM542" s="80"/>
      <c r="AN542" s="80">
        <f>IFERROR(__xludf.DUMMYFUNCTION("""COMPUTED_VALUE"""),0.0)</f>
        <v>0</v>
      </c>
      <c r="AO542" s="80">
        <f>IFERROR(__xludf.DUMMYFUNCTION("""COMPUTED_VALUE"""),0.0)</f>
        <v>0</v>
      </c>
      <c r="AP542" s="80">
        <f>IFERROR(__xludf.DUMMYFUNCTION("""COMPUTED_VALUE"""),0.0)</f>
        <v>0</v>
      </c>
      <c r="AQ542" s="80">
        <f>IFERROR(__xludf.DUMMYFUNCTION("""COMPUTED_VALUE"""),0.0)</f>
        <v>0</v>
      </c>
      <c r="AR542" s="80">
        <f>IFERROR(__xludf.DUMMYFUNCTION("""COMPUTED_VALUE"""),0.0)</f>
        <v>0</v>
      </c>
      <c r="AS542" s="80"/>
      <c r="AT542" s="80">
        <f>IFERROR(__xludf.DUMMYFUNCTION("""COMPUTED_VALUE"""),0.0)</f>
        <v>0</v>
      </c>
      <c r="AU542" s="80"/>
      <c r="AV542" s="80"/>
      <c r="AW542" s="82" t="str">
        <f t="shared" si="1"/>
        <v/>
      </c>
      <c r="AX542" s="83" t="str">
        <f t="array" ref="AX542">IFERROR(DGET('SBV Import'!A:G,"SBV",{"RSC ID","Tier";B542,A542}))</f>
        <v/>
      </c>
      <c r="AY542" s="82" t="str">
        <f t="shared" si="2"/>
        <v/>
      </c>
      <c r="AZ542" s="82"/>
      <c r="BA542" s="84" t="s">
        <v>152</v>
      </c>
      <c r="BB542" s="84" t="str">
        <f>IFERROR(__xludf.DUMMYFUNCTION("iferror(if(A542="""",,E542&gt;=FILTER(Constants!$F$2:$F$10,Constants!$A$2:$A$10=A542)))"),"")</f>
        <v/>
      </c>
    </row>
    <row r="543">
      <c r="A543" s="80"/>
      <c r="B543" s="80"/>
      <c r="C543" s="80"/>
      <c r="D543" s="80"/>
      <c r="E543" s="80"/>
      <c r="F543" s="80"/>
      <c r="G543" s="80"/>
      <c r="H543" s="81"/>
      <c r="I543" s="81"/>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c r="AJ543" s="80"/>
      <c r="AK543" s="80"/>
      <c r="AL543" s="80"/>
      <c r="AM543" s="80"/>
      <c r="AN543" s="80">
        <f>IFERROR(__xludf.DUMMYFUNCTION("""COMPUTED_VALUE"""),0.0)</f>
        <v>0</v>
      </c>
      <c r="AO543" s="80">
        <f>IFERROR(__xludf.DUMMYFUNCTION("""COMPUTED_VALUE"""),0.0)</f>
        <v>0</v>
      </c>
      <c r="AP543" s="80">
        <f>IFERROR(__xludf.DUMMYFUNCTION("""COMPUTED_VALUE"""),0.0)</f>
        <v>0</v>
      </c>
      <c r="AQ543" s="80">
        <f>IFERROR(__xludf.DUMMYFUNCTION("""COMPUTED_VALUE"""),0.0)</f>
        <v>0</v>
      </c>
      <c r="AR543" s="80">
        <f>IFERROR(__xludf.DUMMYFUNCTION("""COMPUTED_VALUE"""),0.0)</f>
        <v>0</v>
      </c>
      <c r="AS543" s="80"/>
      <c r="AT543" s="80">
        <f>IFERROR(__xludf.DUMMYFUNCTION("""COMPUTED_VALUE"""),0.0)</f>
        <v>0</v>
      </c>
      <c r="AU543" s="80"/>
      <c r="AV543" s="80"/>
      <c r="AW543" s="82" t="str">
        <f t="shared" si="1"/>
        <v/>
      </c>
      <c r="AX543" s="83" t="str">
        <f t="array" ref="AX543">IFERROR(DGET('SBV Import'!A:G,"SBV",{"RSC ID","Tier";B543,A543}))</f>
        <v/>
      </c>
      <c r="AY543" s="82" t="str">
        <f t="shared" si="2"/>
        <v/>
      </c>
      <c r="AZ543" s="82"/>
      <c r="BA543" s="84" t="s">
        <v>152</v>
      </c>
      <c r="BB543" s="84" t="str">
        <f>IFERROR(__xludf.DUMMYFUNCTION("iferror(if(A543="""",,E543&gt;=FILTER(Constants!$F$2:$F$10,Constants!$A$2:$A$10=A543)))"),"")</f>
        <v/>
      </c>
    </row>
    <row r="544">
      <c r="A544" s="80"/>
      <c r="B544" s="80"/>
      <c r="C544" s="80"/>
      <c r="D544" s="80"/>
      <c r="E544" s="80"/>
      <c r="F544" s="80"/>
      <c r="G544" s="80"/>
      <c r="H544" s="81"/>
      <c r="I544" s="81"/>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c r="AJ544" s="80"/>
      <c r="AK544" s="80"/>
      <c r="AL544" s="80"/>
      <c r="AM544" s="80"/>
      <c r="AN544" s="80">
        <f>IFERROR(__xludf.DUMMYFUNCTION("""COMPUTED_VALUE"""),0.0)</f>
        <v>0</v>
      </c>
      <c r="AO544" s="80">
        <f>IFERROR(__xludf.DUMMYFUNCTION("""COMPUTED_VALUE"""),0.0)</f>
        <v>0</v>
      </c>
      <c r="AP544" s="80">
        <f>IFERROR(__xludf.DUMMYFUNCTION("""COMPUTED_VALUE"""),0.0)</f>
        <v>0</v>
      </c>
      <c r="AQ544" s="80">
        <f>IFERROR(__xludf.DUMMYFUNCTION("""COMPUTED_VALUE"""),0.0)</f>
        <v>0</v>
      </c>
      <c r="AR544" s="80">
        <f>IFERROR(__xludf.DUMMYFUNCTION("""COMPUTED_VALUE"""),0.0)</f>
        <v>0</v>
      </c>
      <c r="AS544" s="80"/>
      <c r="AT544" s="80">
        <f>IFERROR(__xludf.DUMMYFUNCTION("""COMPUTED_VALUE"""),0.0)</f>
        <v>0</v>
      </c>
      <c r="AU544" s="80"/>
      <c r="AV544" s="80"/>
      <c r="AW544" s="82" t="str">
        <f t="shared" si="1"/>
        <v/>
      </c>
      <c r="AX544" s="83" t="str">
        <f t="array" ref="AX544">IFERROR(DGET('SBV Import'!A:G,"SBV",{"RSC ID","Tier";B544,A544}))</f>
        <v/>
      </c>
      <c r="AY544" s="82" t="str">
        <f t="shared" si="2"/>
        <v/>
      </c>
      <c r="AZ544" s="82"/>
      <c r="BA544" s="84" t="s">
        <v>152</v>
      </c>
      <c r="BB544" s="84" t="str">
        <f>IFERROR(__xludf.DUMMYFUNCTION("iferror(if(A544="""",,E544&gt;=FILTER(Constants!$F$2:$F$10,Constants!$A$2:$A$10=A544)))"),"")</f>
        <v/>
      </c>
    </row>
    <row r="545">
      <c r="A545" s="80"/>
      <c r="B545" s="80"/>
      <c r="C545" s="80"/>
      <c r="D545" s="80"/>
      <c r="E545" s="80"/>
      <c r="F545" s="80"/>
      <c r="G545" s="80"/>
      <c r="H545" s="81"/>
      <c r="I545" s="81"/>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c r="AJ545" s="80"/>
      <c r="AK545" s="80"/>
      <c r="AL545" s="80"/>
      <c r="AM545" s="80"/>
      <c r="AN545" s="80">
        <f>IFERROR(__xludf.DUMMYFUNCTION("""COMPUTED_VALUE"""),0.0)</f>
        <v>0</v>
      </c>
      <c r="AO545" s="80">
        <f>IFERROR(__xludf.DUMMYFUNCTION("""COMPUTED_VALUE"""),0.0)</f>
        <v>0</v>
      </c>
      <c r="AP545" s="80">
        <f>IFERROR(__xludf.DUMMYFUNCTION("""COMPUTED_VALUE"""),0.0)</f>
        <v>0</v>
      </c>
      <c r="AQ545" s="80">
        <f>IFERROR(__xludf.DUMMYFUNCTION("""COMPUTED_VALUE"""),0.0)</f>
        <v>0</v>
      </c>
      <c r="AR545" s="80">
        <f>IFERROR(__xludf.DUMMYFUNCTION("""COMPUTED_VALUE"""),0.0)</f>
        <v>0</v>
      </c>
      <c r="AS545" s="80"/>
      <c r="AT545" s="80">
        <f>IFERROR(__xludf.DUMMYFUNCTION("""COMPUTED_VALUE"""),0.0)</f>
        <v>0</v>
      </c>
      <c r="AU545" s="80"/>
      <c r="AV545" s="80"/>
      <c r="AW545" s="82" t="str">
        <f t="shared" si="1"/>
        <v/>
      </c>
      <c r="AX545" s="83" t="str">
        <f t="array" ref="AX545">IFERROR(DGET('SBV Import'!A:G,"SBV",{"RSC ID","Tier";B545,A545}))</f>
        <v/>
      </c>
      <c r="AY545" s="82" t="str">
        <f t="shared" si="2"/>
        <v/>
      </c>
      <c r="AZ545" s="82"/>
      <c r="BA545" s="84" t="s">
        <v>152</v>
      </c>
      <c r="BB545" s="84" t="str">
        <f>IFERROR(__xludf.DUMMYFUNCTION("iferror(if(A545="""",,E545&gt;=FILTER(Constants!$F$2:$F$10,Constants!$A$2:$A$10=A545)))"),"")</f>
        <v/>
      </c>
    </row>
    <row r="546">
      <c r="A546" s="80"/>
      <c r="B546" s="80"/>
      <c r="C546" s="80"/>
      <c r="D546" s="80"/>
      <c r="E546" s="80"/>
      <c r="F546" s="80"/>
      <c r="G546" s="80"/>
      <c r="H546" s="81"/>
      <c r="I546" s="81"/>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c r="AJ546" s="80"/>
      <c r="AK546" s="80"/>
      <c r="AL546" s="80"/>
      <c r="AM546" s="80"/>
      <c r="AN546" s="80">
        <f>IFERROR(__xludf.DUMMYFUNCTION("""COMPUTED_VALUE"""),0.0)</f>
        <v>0</v>
      </c>
      <c r="AO546" s="80">
        <f>IFERROR(__xludf.DUMMYFUNCTION("""COMPUTED_VALUE"""),0.0)</f>
        <v>0</v>
      </c>
      <c r="AP546" s="80">
        <f>IFERROR(__xludf.DUMMYFUNCTION("""COMPUTED_VALUE"""),0.0)</f>
        <v>0</v>
      </c>
      <c r="AQ546" s="80">
        <f>IFERROR(__xludf.DUMMYFUNCTION("""COMPUTED_VALUE"""),0.0)</f>
        <v>0</v>
      </c>
      <c r="AR546" s="80">
        <f>IFERROR(__xludf.DUMMYFUNCTION("""COMPUTED_VALUE"""),0.0)</f>
        <v>0</v>
      </c>
      <c r="AS546" s="80"/>
      <c r="AT546" s="80">
        <f>IFERROR(__xludf.DUMMYFUNCTION("""COMPUTED_VALUE"""),0.0)</f>
        <v>0</v>
      </c>
      <c r="AU546" s="80"/>
      <c r="AV546" s="80"/>
      <c r="AW546" s="82" t="str">
        <f t="shared" si="1"/>
        <v/>
      </c>
      <c r="AX546" s="83" t="str">
        <f t="array" ref="AX546">IFERROR(DGET('SBV Import'!A:G,"SBV",{"RSC ID","Tier";B546,A546}))</f>
        <v/>
      </c>
      <c r="AY546" s="82" t="str">
        <f t="shared" si="2"/>
        <v/>
      </c>
      <c r="AZ546" s="82"/>
      <c r="BA546" s="84" t="s">
        <v>152</v>
      </c>
      <c r="BB546" s="84" t="str">
        <f>IFERROR(__xludf.DUMMYFUNCTION("iferror(if(A546="""",,E546&gt;=FILTER(Constants!$F$2:$F$10,Constants!$A$2:$A$10=A546)))"),"")</f>
        <v/>
      </c>
    </row>
    <row r="547">
      <c r="A547" s="80"/>
      <c r="B547" s="80"/>
      <c r="C547" s="80"/>
      <c r="D547" s="80"/>
      <c r="E547" s="80"/>
      <c r="F547" s="80"/>
      <c r="G547" s="80"/>
      <c r="H547" s="81"/>
      <c r="I547" s="81"/>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c r="AJ547" s="80"/>
      <c r="AK547" s="80"/>
      <c r="AL547" s="80"/>
      <c r="AM547" s="80"/>
      <c r="AN547" s="80">
        <f>IFERROR(__xludf.DUMMYFUNCTION("""COMPUTED_VALUE"""),0.0)</f>
        <v>0</v>
      </c>
      <c r="AO547" s="80">
        <f>IFERROR(__xludf.DUMMYFUNCTION("""COMPUTED_VALUE"""),0.0)</f>
        <v>0</v>
      </c>
      <c r="AP547" s="80">
        <f>IFERROR(__xludf.DUMMYFUNCTION("""COMPUTED_VALUE"""),0.0)</f>
        <v>0</v>
      </c>
      <c r="AQ547" s="80">
        <f>IFERROR(__xludf.DUMMYFUNCTION("""COMPUTED_VALUE"""),0.0)</f>
        <v>0</v>
      </c>
      <c r="AR547" s="80">
        <f>IFERROR(__xludf.DUMMYFUNCTION("""COMPUTED_VALUE"""),0.0)</f>
        <v>0</v>
      </c>
      <c r="AS547" s="80"/>
      <c r="AT547" s="80">
        <f>IFERROR(__xludf.DUMMYFUNCTION("""COMPUTED_VALUE"""),0.0)</f>
        <v>0</v>
      </c>
      <c r="AU547" s="80"/>
      <c r="AV547" s="80"/>
      <c r="AW547" s="82" t="str">
        <f t="shared" si="1"/>
        <v/>
      </c>
      <c r="AX547" s="83" t="str">
        <f t="array" ref="AX547">IFERROR(DGET('SBV Import'!A:G,"SBV",{"RSC ID","Tier";B547,A547}))</f>
        <v/>
      </c>
      <c r="AY547" s="82" t="str">
        <f t="shared" si="2"/>
        <v/>
      </c>
      <c r="AZ547" s="82"/>
      <c r="BA547" s="84" t="s">
        <v>152</v>
      </c>
      <c r="BB547" s="84" t="str">
        <f>IFERROR(__xludf.DUMMYFUNCTION("iferror(if(A547="""",,E547&gt;=FILTER(Constants!$F$2:$F$10,Constants!$A$2:$A$10=A547)))"),"")</f>
        <v/>
      </c>
    </row>
    <row r="548">
      <c r="A548" s="80"/>
      <c r="B548" s="80"/>
      <c r="C548" s="80"/>
      <c r="D548" s="80"/>
      <c r="E548" s="80"/>
      <c r="F548" s="80"/>
      <c r="G548" s="80"/>
      <c r="H548" s="81"/>
      <c r="I548" s="81"/>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c r="AJ548" s="80"/>
      <c r="AK548" s="80"/>
      <c r="AL548" s="80"/>
      <c r="AM548" s="80"/>
      <c r="AN548" s="80">
        <f>IFERROR(__xludf.DUMMYFUNCTION("""COMPUTED_VALUE"""),0.0)</f>
        <v>0</v>
      </c>
      <c r="AO548" s="80">
        <f>IFERROR(__xludf.DUMMYFUNCTION("""COMPUTED_VALUE"""),0.0)</f>
        <v>0</v>
      </c>
      <c r="AP548" s="80">
        <f>IFERROR(__xludf.DUMMYFUNCTION("""COMPUTED_VALUE"""),0.0)</f>
        <v>0</v>
      </c>
      <c r="AQ548" s="80">
        <f>IFERROR(__xludf.DUMMYFUNCTION("""COMPUTED_VALUE"""),0.0)</f>
        <v>0</v>
      </c>
      <c r="AR548" s="80">
        <f>IFERROR(__xludf.DUMMYFUNCTION("""COMPUTED_VALUE"""),0.0)</f>
        <v>0</v>
      </c>
      <c r="AS548" s="80"/>
      <c r="AT548" s="80">
        <f>IFERROR(__xludf.DUMMYFUNCTION("""COMPUTED_VALUE"""),0.0)</f>
        <v>0</v>
      </c>
      <c r="AU548" s="80"/>
      <c r="AV548" s="80"/>
      <c r="AW548" s="82" t="str">
        <f t="shared" si="1"/>
        <v/>
      </c>
      <c r="AX548" s="83" t="str">
        <f t="array" ref="AX548">IFERROR(DGET('SBV Import'!A:G,"SBV",{"RSC ID","Tier";B548,A548}))</f>
        <v/>
      </c>
      <c r="AY548" s="82" t="str">
        <f t="shared" si="2"/>
        <v/>
      </c>
      <c r="AZ548" s="82"/>
      <c r="BA548" s="84" t="s">
        <v>152</v>
      </c>
      <c r="BB548" s="84" t="str">
        <f>IFERROR(__xludf.DUMMYFUNCTION("iferror(if(A548="""",,E548&gt;=FILTER(Constants!$F$2:$F$10,Constants!$A$2:$A$10=A548)))"),"")</f>
        <v/>
      </c>
    </row>
    <row r="549">
      <c r="A549" s="80"/>
      <c r="B549" s="80"/>
      <c r="C549" s="80"/>
      <c r="D549" s="80"/>
      <c r="E549" s="80"/>
      <c r="F549" s="80"/>
      <c r="G549" s="80"/>
      <c r="H549" s="81"/>
      <c r="I549" s="81"/>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c r="AJ549" s="80"/>
      <c r="AK549" s="80"/>
      <c r="AL549" s="80"/>
      <c r="AM549" s="80"/>
      <c r="AN549" s="80">
        <f>IFERROR(__xludf.DUMMYFUNCTION("""COMPUTED_VALUE"""),0.0)</f>
        <v>0</v>
      </c>
      <c r="AO549" s="80">
        <f>IFERROR(__xludf.DUMMYFUNCTION("""COMPUTED_VALUE"""),0.0)</f>
        <v>0</v>
      </c>
      <c r="AP549" s="80">
        <f>IFERROR(__xludf.DUMMYFUNCTION("""COMPUTED_VALUE"""),0.0)</f>
        <v>0</v>
      </c>
      <c r="AQ549" s="80">
        <f>IFERROR(__xludf.DUMMYFUNCTION("""COMPUTED_VALUE"""),0.0)</f>
        <v>0</v>
      </c>
      <c r="AR549" s="80">
        <f>IFERROR(__xludf.DUMMYFUNCTION("""COMPUTED_VALUE"""),0.0)</f>
        <v>0</v>
      </c>
      <c r="AS549" s="80"/>
      <c r="AT549" s="80">
        <f>IFERROR(__xludf.DUMMYFUNCTION("""COMPUTED_VALUE"""),0.0)</f>
        <v>0</v>
      </c>
      <c r="AU549" s="80"/>
      <c r="AV549" s="80"/>
      <c r="AW549" s="82" t="str">
        <f t="shared" si="1"/>
        <v/>
      </c>
      <c r="AX549" s="83" t="str">
        <f t="array" ref="AX549">IFERROR(DGET('SBV Import'!A:G,"SBV",{"RSC ID","Tier";B549,A549}))</f>
        <v/>
      </c>
      <c r="AY549" s="82" t="str">
        <f t="shared" si="2"/>
        <v/>
      </c>
      <c r="AZ549" s="82"/>
      <c r="BA549" s="84" t="s">
        <v>152</v>
      </c>
      <c r="BB549" s="84" t="str">
        <f>IFERROR(__xludf.DUMMYFUNCTION("iferror(if(A549="""",,E549&gt;=FILTER(Constants!$F$2:$F$10,Constants!$A$2:$A$10=A549)))"),"")</f>
        <v/>
      </c>
    </row>
    <row r="550">
      <c r="A550" s="80"/>
      <c r="B550" s="80"/>
      <c r="C550" s="80"/>
      <c r="D550" s="80"/>
      <c r="E550" s="80"/>
      <c r="F550" s="80"/>
      <c r="G550" s="80"/>
      <c r="H550" s="81"/>
      <c r="I550" s="81"/>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c r="AJ550" s="80"/>
      <c r="AK550" s="80"/>
      <c r="AL550" s="80"/>
      <c r="AM550" s="80"/>
      <c r="AN550" s="80">
        <f>IFERROR(__xludf.DUMMYFUNCTION("""COMPUTED_VALUE"""),0.0)</f>
        <v>0</v>
      </c>
      <c r="AO550" s="80">
        <f>IFERROR(__xludf.DUMMYFUNCTION("""COMPUTED_VALUE"""),0.0)</f>
        <v>0</v>
      </c>
      <c r="AP550" s="80">
        <f>IFERROR(__xludf.DUMMYFUNCTION("""COMPUTED_VALUE"""),0.0)</f>
        <v>0</v>
      </c>
      <c r="AQ550" s="80">
        <f>IFERROR(__xludf.DUMMYFUNCTION("""COMPUTED_VALUE"""),0.0)</f>
        <v>0</v>
      </c>
      <c r="AR550" s="80">
        <f>IFERROR(__xludf.DUMMYFUNCTION("""COMPUTED_VALUE"""),0.0)</f>
        <v>0</v>
      </c>
      <c r="AS550" s="80"/>
      <c r="AT550" s="80">
        <f>IFERROR(__xludf.DUMMYFUNCTION("""COMPUTED_VALUE"""),0.0)</f>
        <v>0</v>
      </c>
      <c r="AU550" s="80"/>
      <c r="AV550" s="80"/>
      <c r="AW550" s="82" t="str">
        <f t="shared" si="1"/>
        <v/>
      </c>
      <c r="AX550" s="83" t="str">
        <f t="array" ref="AX550">IFERROR(DGET('SBV Import'!A:G,"SBV",{"RSC ID","Tier";B550,A550}))</f>
        <v/>
      </c>
      <c r="AY550" s="82" t="str">
        <f t="shared" si="2"/>
        <v/>
      </c>
      <c r="AZ550" s="82"/>
      <c r="BA550" s="84" t="s">
        <v>152</v>
      </c>
      <c r="BB550" s="84" t="str">
        <f>IFERROR(__xludf.DUMMYFUNCTION("iferror(if(A550="""",,E550&gt;=FILTER(Constants!$F$2:$F$10,Constants!$A$2:$A$10=A550)))"),"")</f>
        <v/>
      </c>
    </row>
    <row r="551">
      <c r="A551" s="80"/>
      <c r="B551" s="80"/>
      <c r="C551" s="80"/>
      <c r="D551" s="80"/>
      <c r="E551" s="80"/>
      <c r="F551" s="80"/>
      <c r="G551" s="80"/>
      <c r="H551" s="81"/>
      <c r="I551" s="81"/>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c r="AJ551" s="80"/>
      <c r="AK551" s="80"/>
      <c r="AL551" s="80"/>
      <c r="AM551" s="80"/>
      <c r="AN551" s="80">
        <f>IFERROR(__xludf.DUMMYFUNCTION("""COMPUTED_VALUE"""),0.0)</f>
        <v>0</v>
      </c>
      <c r="AO551" s="80">
        <f>IFERROR(__xludf.DUMMYFUNCTION("""COMPUTED_VALUE"""),0.0)</f>
        <v>0</v>
      </c>
      <c r="AP551" s="80">
        <f>IFERROR(__xludf.DUMMYFUNCTION("""COMPUTED_VALUE"""),0.0)</f>
        <v>0</v>
      </c>
      <c r="AQ551" s="80">
        <f>IFERROR(__xludf.DUMMYFUNCTION("""COMPUTED_VALUE"""),0.0)</f>
        <v>0</v>
      </c>
      <c r="AR551" s="80">
        <f>IFERROR(__xludf.DUMMYFUNCTION("""COMPUTED_VALUE"""),0.0)</f>
        <v>0</v>
      </c>
      <c r="AS551" s="80"/>
      <c r="AT551" s="80">
        <f>IFERROR(__xludf.DUMMYFUNCTION("""COMPUTED_VALUE"""),0.0)</f>
        <v>0</v>
      </c>
      <c r="AU551" s="80"/>
      <c r="AV551" s="80"/>
      <c r="AW551" s="82" t="str">
        <f t="shared" si="1"/>
        <v/>
      </c>
      <c r="AX551" s="83" t="str">
        <f t="array" ref="AX551">IFERROR(DGET('SBV Import'!A:G,"SBV",{"RSC ID","Tier";B551,A551}))</f>
        <v/>
      </c>
      <c r="AY551" s="82" t="str">
        <f t="shared" si="2"/>
        <v/>
      </c>
      <c r="AZ551" s="82"/>
      <c r="BA551" s="84" t="s">
        <v>152</v>
      </c>
      <c r="BB551" s="84" t="str">
        <f>IFERROR(__xludf.DUMMYFUNCTION("iferror(if(A551="""",,E551&gt;=FILTER(Constants!$F$2:$F$10,Constants!$A$2:$A$10=A551)))"),"")</f>
        <v/>
      </c>
    </row>
    <row r="552">
      <c r="A552" s="80"/>
      <c r="B552" s="80"/>
      <c r="C552" s="80"/>
      <c r="D552" s="80"/>
      <c r="E552" s="80"/>
      <c r="F552" s="80"/>
      <c r="G552" s="80"/>
      <c r="H552" s="81"/>
      <c r="I552" s="81"/>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c r="AJ552" s="80"/>
      <c r="AK552" s="80"/>
      <c r="AL552" s="80"/>
      <c r="AM552" s="80"/>
      <c r="AN552" s="80">
        <f>IFERROR(__xludf.DUMMYFUNCTION("""COMPUTED_VALUE"""),0.0)</f>
        <v>0</v>
      </c>
      <c r="AO552" s="80">
        <f>IFERROR(__xludf.DUMMYFUNCTION("""COMPUTED_VALUE"""),0.0)</f>
        <v>0</v>
      </c>
      <c r="AP552" s="80">
        <f>IFERROR(__xludf.DUMMYFUNCTION("""COMPUTED_VALUE"""),0.0)</f>
        <v>0</v>
      </c>
      <c r="AQ552" s="80">
        <f>IFERROR(__xludf.DUMMYFUNCTION("""COMPUTED_VALUE"""),0.0)</f>
        <v>0</v>
      </c>
      <c r="AR552" s="80">
        <f>IFERROR(__xludf.DUMMYFUNCTION("""COMPUTED_VALUE"""),0.0)</f>
        <v>0</v>
      </c>
      <c r="AS552" s="80"/>
      <c r="AT552" s="80">
        <f>IFERROR(__xludf.DUMMYFUNCTION("""COMPUTED_VALUE"""),0.0)</f>
        <v>0</v>
      </c>
      <c r="AU552" s="80"/>
      <c r="AV552" s="80"/>
      <c r="AW552" s="82" t="str">
        <f t="shared" si="1"/>
        <v/>
      </c>
      <c r="AX552" s="83" t="str">
        <f t="array" ref="AX552">IFERROR(DGET('SBV Import'!A:G,"SBV",{"RSC ID","Tier";B552,A552}))</f>
        <v/>
      </c>
      <c r="AY552" s="82" t="str">
        <f t="shared" si="2"/>
        <v/>
      </c>
      <c r="AZ552" s="82"/>
      <c r="BA552" s="84" t="s">
        <v>152</v>
      </c>
      <c r="BB552" s="84" t="str">
        <f>IFERROR(__xludf.DUMMYFUNCTION("iferror(if(A552="""",,E552&gt;=FILTER(Constants!$F$2:$F$10,Constants!$A$2:$A$10=A552)))"),"")</f>
        <v/>
      </c>
    </row>
    <row r="553">
      <c r="A553" s="80"/>
      <c r="B553" s="80"/>
      <c r="C553" s="80"/>
      <c r="D553" s="80"/>
      <c r="E553" s="80"/>
      <c r="F553" s="80"/>
      <c r="G553" s="80"/>
      <c r="H553" s="81"/>
      <c r="I553" s="81"/>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c r="AJ553" s="80"/>
      <c r="AK553" s="80"/>
      <c r="AL553" s="80"/>
      <c r="AM553" s="80"/>
      <c r="AN553" s="80">
        <f>IFERROR(__xludf.DUMMYFUNCTION("""COMPUTED_VALUE"""),0.0)</f>
        <v>0</v>
      </c>
      <c r="AO553" s="80">
        <f>IFERROR(__xludf.DUMMYFUNCTION("""COMPUTED_VALUE"""),0.0)</f>
        <v>0</v>
      </c>
      <c r="AP553" s="80">
        <f>IFERROR(__xludf.DUMMYFUNCTION("""COMPUTED_VALUE"""),0.0)</f>
        <v>0</v>
      </c>
      <c r="AQ553" s="80">
        <f>IFERROR(__xludf.DUMMYFUNCTION("""COMPUTED_VALUE"""),0.0)</f>
        <v>0</v>
      </c>
      <c r="AR553" s="80">
        <f>IFERROR(__xludf.DUMMYFUNCTION("""COMPUTED_VALUE"""),0.0)</f>
        <v>0</v>
      </c>
      <c r="AS553" s="80"/>
      <c r="AT553" s="80">
        <f>IFERROR(__xludf.DUMMYFUNCTION("""COMPUTED_VALUE"""),0.0)</f>
        <v>0</v>
      </c>
      <c r="AU553" s="80"/>
      <c r="AV553" s="80"/>
      <c r="AW553" s="82" t="str">
        <f t="shared" si="1"/>
        <v/>
      </c>
      <c r="AX553" s="83" t="str">
        <f t="array" ref="AX553">IFERROR(DGET('SBV Import'!A:G,"SBV",{"RSC ID","Tier";B553,A553}))</f>
        <v/>
      </c>
      <c r="AY553" s="82" t="str">
        <f t="shared" si="2"/>
        <v/>
      </c>
      <c r="AZ553" s="82"/>
      <c r="BA553" s="84" t="s">
        <v>152</v>
      </c>
      <c r="BB553" s="84" t="str">
        <f>IFERROR(__xludf.DUMMYFUNCTION("iferror(if(A553="""",,E553&gt;=FILTER(Constants!$F$2:$F$10,Constants!$A$2:$A$10=A553)))"),"")</f>
        <v/>
      </c>
    </row>
    <row r="554">
      <c r="A554" s="80"/>
      <c r="B554" s="80"/>
      <c r="C554" s="80"/>
      <c r="D554" s="80"/>
      <c r="E554" s="80"/>
      <c r="F554" s="80"/>
      <c r="G554" s="80"/>
      <c r="H554" s="81"/>
      <c r="I554" s="81"/>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c r="AJ554" s="80"/>
      <c r="AK554" s="80"/>
      <c r="AL554" s="80"/>
      <c r="AM554" s="80"/>
      <c r="AN554" s="80">
        <f>IFERROR(__xludf.DUMMYFUNCTION("""COMPUTED_VALUE"""),0.0)</f>
        <v>0</v>
      </c>
      <c r="AO554" s="80">
        <f>IFERROR(__xludf.DUMMYFUNCTION("""COMPUTED_VALUE"""),0.0)</f>
        <v>0</v>
      </c>
      <c r="AP554" s="80">
        <f>IFERROR(__xludf.DUMMYFUNCTION("""COMPUTED_VALUE"""),0.0)</f>
        <v>0</v>
      </c>
      <c r="AQ554" s="80">
        <f>IFERROR(__xludf.DUMMYFUNCTION("""COMPUTED_VALUE"""),0.0)</f>
        <v>0</v>
      </c>
      <c r="AR554" s="80">
        <f>IFERROR(__xludf.DUMMYFUNCTION("""COMPUTED_VALUE"""),0.0)</f>
        <v>0</v>
      </c>
      <c r="AS554" s="80"/>
      <c r="AT554" s="80">
        <f>IFERROR(__xludf.DUMMYFUNCTION("""COMPUTED_VALUE"""),0.0)</f>
        <v>0</v>
      </c>
      <c r="AU554" s="80"/>
      <c r="AV554" s="80"/>
      <c r="AW554" s="82" t="str">
        <f t="shared" si="1"/>
        <v/>
      </c>
      <c r="AX554" s="83" t="str">
        <f t="array" ref="AX554">IFERROR(DGET('SBV Import'!A:G,"SBV",{"RSC ID","Tier";B554,A554}))</f>
        <v/>
      </c>
      <c r="AY554" s="82" t="str">
        <f t="shared" si="2"/>
        <v/>
      </c>
      <c r="AZ554" s="82"/>
      <c r="BA554" s="84" t="s">
        <v>152</v>
      </c>
      <c r="BB554" s="84" t="str">
        <f>IFERROR(__xludf.DUMMYFUNCTION("iferror(if(A554="""",,E554&gt;=FILTER(Constants!$F$2:$F$10,Constants!$A$2:$A$10=A554)))"),"")</f>
        <v/>
      </c>
    </row>
    <row r="555">
      <c r="A555" s="80"/>
      <c r="B555" s="80"/>
      <c r="C555" s="80"/>
      <c r="D555" s="80"/>
      <c r="E555" s="80"/>
      <c r="F555" s="80"/>
      <c r="G555" s="80"/>
      <c r="H555" s="81"/>
      <c r="I555" s="81"/>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c r="AJ555" s="80"/>
      <c r="AK555" s="80"/>
      <c r="AL555" s="80"/>
      <c r="AM555" s="80"/>
      <c r="AN555" s="80">
        <f>IFERROR(__xludf.DUMMYFUNCTION("""COMPUTED_VALUE"""),0.0)</f>
        <v>0</v>
      </c>
      <c r="AO555" s="80">
        <f>IFERROR(__xludf.DUMMYFUNCTION("""COMPUTED_VALUE"""),0.0)</f>
        <v>0</v>
      </c>
      <c r="AP555" s="80">
        <f>IFERROR(__xludf.DUMMYFUNCTION("""COMPUTED_VALUE"""),0.0)</f>
        <v>0</v>
      </c>
      <c r="AQ555" s="80">
        <f>IFERROR(__xludf.DUMMYFUNCTION("""COMPUTED_VALUE"""),0.0)</f>
        <v>0</v>
      </c>
      <c r="AR555" s="80">
        <f>IFERROR(__xludf.DUMMYFUNCTION("""COMPUTED_VALUE"""),0.0)</f>
        <v>0</v>
      </c>
      <c r="AS555" s="80"/>
      <c r="AT555" s="80">
        <f>IFERROR(__xludf.DUMMYFUNCTION("""COMPUTED_VALUE"""),0.0)</f>
        <v>0</v>
      </c>
      <c r="AU555" s="80"/>
      <c r="AV555" s="80"/>
      <c r="AW555" s="82" t="str">
        <f t="shared" si="1"/>
        <v/>
      </c>
      <c r="AX555" s="83" t="str">
        <f t="array" ref="AX555">IFERROR(DGET('SBV Import'!A:G,"SBV",{"RSC ID","Tier";B555,A555}))</f>
        <v/>
      </c>
      <c r="AY555" s="82" t="str">
        <f t="shared" si="2"/>
        <v/>
      </c>
      <c r="AZ555" s="82"/>
      <c r="BA555" s="84" t="s">
        <v>152</v>
      </c>
      <c r="BB555" s="84" t="str">
        <f>IFERROR(__xludf.DUMMYFUNCTION("iferror(if(A555="""",,E555&gt;=FILTER(Constants!$F$2:$F$10,Constants!$A$2:$A$10=A555)))"),"")</f>
        <v/>
      </c>
    </row>
    <row r="556">
      <c r="A556" s="80"/>
      <c r="B556" s="80"/>
      <c r="C556" s="80"/>
      <c r="D556" s="80"/>
      <c r="E556" s="80"/>
      <c r="F556" s="80"/>
      <c r="G556" s="80"/>
      <c r="H556" s="81"/>
      <c r="I556" s="81"/>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c r="AJ556" s="80"/>
      <c r="AK556" s="80"/>
      <c r="AL556" s="80"/>
      <c r="AM556" s="80"/>
      <c r="AN556" s="80">
        <f>IFERROR(__xludf.DUMMYFUNCTION("""COMPUTED_VALUE"""),0.0)</f>
        <v>0</v>
      </c>
      <c r="AO556" s="80">
        <f>IFERROR(__xludf.DUMMYFUNCTION("""COMPUTED_VALUE"""),0.0)</f>
        <v>0</v>
      </c>
      <c r="AP556" s="80">
        <f>IFERROR(__xludf.DUMMYFUNCTION("""COMPUTED_VALUE"""),0.0)</f>
        <v>0</v>
      </c>
      <c r="AQ556" s="80">
        <f>IFERROR(__xludf.DUMMYFUNCTION("""COMPUTED_VALUE"""),0.0)</f>
        <v>0</v>
      </c>
      <c r="AR556" s="80">
        <f>IFERROR(__xludf.DUMMYFUNCTION("""COMPUTED_VALUE"""),0.0)</f>
        <v>0</v>
      </c>
      <c r="AS556" s="80"/>
      <c r="AT556" s="80">
        <f>IFERROR(__xludf.DUMMYFUNCTION("""COMPUTED_VALUE"""),0.0)</f>
        <v>0</v>
      </c>
      <c r="AU556" s="80"/>
      <c r="AV556" s="80"/>
      <c r="AW556" s="82" t="str">
        <f t="shared" si="1"/>
        <v/>
      </c>
      <c r="AX556" s="83" t="str">
        <f t="array" ref="AX556">IFERROR(DGET('SBV Import'!A:G,"SBV",{"RSC ID","Tier";B556,A556}))</f>
        <v/>
      </c>
      <c r="AY556" s="82" t="str">
        <f t="shared" si="2"/>
        <v/>
      </c>
      <c r="AZ556" s="82"/>
      <c r="BA556" s="84" t="s">
        <v>152</v>
      </c>
      <c r="BB556" s="84" t="str">
        <f>IFERROR(__xludf.DUMMYFUNCTION("iferror(if(A556="""",,E556&gt;=FILTER(Constants!$F$2:$F$10,Constants!$A$2:$A$10=A556)))"),"")</f>
        <v/>
      </c>
    </row>
    <row r="557">
      <c r="A557" s="80"/>
      <c r="B557" s="80"/>
      <c r="C557" s="80"/>
      <c r="D557" s="80"/>
      <c r="E557" s="80"/>
      <c r="F557" s="80"/>
      <c r="G557" s="80"/>
      <c r="H557" s="81"/>
      <c r="I557" s="81"/>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c r="AJ557" s="80"/>
      <c r="AK557" s="80"/>
      <c r="AL557" s="80"/>
      <c r="AM557" s="80"/>
      <c r="AN557" s="80">
        <f>IFERROR(__xludf.DUMMYFUNCTION("""COMPUTED_VALUE"""),0.0)</f>
        <v>0</v>
      </c>
      <c r="AO557" s="80">
        <f>IFERROR(__xludf.DUMMYFUNCTION("""COMPUTED_VALUE"""),0.0)</f>
        <v>0</v>
      </c>
      <c r="AP557" s="80">
        <f>IFERROR(__xludf.DUMMYFUNCTION("""COMPUTED_VALUE"""),0.0)</f>
        <v>0</v>
      </c>
      <c r="AQ557" s="80">
        <f>IFERROR(__xludf.DUMMYFUNCTION("""COMPUTED_VALUE"""),0.0)</f>
        <v>0</v>
      </c>
      <c r="AR557" s="80">
        <f>IFERROR(__xludf.DUMMYFUNCTION("""COMPUTED_VALUE"""),0.0)</f>
        <v>0</v>
      </c>
      <c r="AS557" s="80"/>
      <c r="AT557" s="80">
        <f>IFERROR(__xludf.DUMMYFUNCTION("""COMPUTED_VALUE"""),0.0)</f>
        <v>0</v>
      </c>
      <c r="AU557" s="80"/>
      <c r="AV557" s="80"/>
      <c r="AW557" s="82" t="str">
        <f t="shared" si="1"/>
        <v/>
      </c>
      <c r="AX557" s="83" t="str">
        <f t="array" ref="AX557">IFERROR(DGET('SBV Import'!A:G,"SBV",{"RSC ID","Tier";B557,A557}))</f>
        <v/>
      </c>
      <c r="AY557" s="82" t="str">
        <f t="shared" si="2"/>
        <v/>
      </c>
      <c r="AZ557" s="82"/>
      <c r="BA557" s="84" t="s">
        <v>152</v>
      </c>
      <c r="BB557" s="84" t="str">
        <f>IFERROR(__xludf.DUMMYFUNCTION("iferror(if(A557="""",,E557&gt;=FILTER(Constants!$F$2:$F$10,Constants!$A$2:$A$10=A557)))"),"")</f>
        <v/>
      </c>
    </row>
    <row r="558">
      <c r="A558" s="80"/>
      <c r="B558" s="80"/>
      <c r="C558" s="80"/>
      <c r="D558" s="80"/>
      <c r="E558" s="80"/>
      <c r="F558" s="80"/>
      <c r="G558" s="80"/>
      <c r="H558" s="81"/>
      <c r="I558" s="81"/>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c r="AJ558" s="80"/>
      <c r="AK558" s="80"/>
      <c r="AL558" s="80"/>
      <c r="AM558" s="80"/>
      <c r="AN558" s="80">
        <f>IFERROR(__xludf.DUMMYFUNCTION("""COMPUTED_VALUE"""),0.0)</f>
        <v>0</v>
      </c>
      <c r="AO558" s="80">
        <f>IFERROR(__xludf.DUMMYFUNCTION("""COMPUTED_VALUE"""),0.0)</f>
        <v>0</v>
      </c>
      <c r="AP558" s="80">
        <f>IFERROR(__xludf.DUMMYFUNCTION("""COMPUTED_VALUE"""),0.0)</f>
        <v>0</v>
      </c>
      <c r="AQ558" s="80">
        <f>IFERROR(__xludf.DUMMYFUNCTION("""COMPUTED_VALUE"""),0.0)</f>
        <v>0</v>
      </c>
      <c r="AR558" s="80">
        <f>IFERROR(__xludf.DUMMYFUNCTION("""COMPUTED_VALUE"""),0.0)</f>
        <v>0</v>
      </c>
      <c r="AS558" s="80"/>
      <c r="AT558" s="80">
        <f>IFERROR(__xludf.DUMMYFUNCTION("""COMPUTED_VALUE"""),0.0)</f>
        <v>0</v>
      </c>
      <c r="AU558" s="80"/>
      <c r="AV558" s="80"/>
      <c r="AW558" s="82" t="str">
        <f t="shared" si="1"/>
        <v/>
      </c>
      <c r="AX558" s="83" t="str">
        <f t="array" ref="AX558">IFERROR(DGET('SBV Import'!A:G,"SBV",{"RSC ID","Tier";B558,A558}))</f>
        <v/>
      </c>
      <c r="AY558" s="82" t="str">
        <f t="shared" si="2"/>
        <v/>
      </c>
      <c r="AZ558" s="82"/>
      <c r="BA558" s="84" t="s">
        <v>152</v>
      </c>
      <c r="BB558" s="84" t="str">
        <f>IFERROR(__xludf.DUMMYFUNCTION("iferror(if(A558="""",,E558&gt;=FILTER(Constants!$F$2:$F$10,Constants!$A$2:$A$10=A558)))"),"")</f>
        <v/>
      </c>
    </row>
    <row r="559">
      <c r="A559" s="80"/>
      <c r="B559" s="80"/>
      <c r="C559" s="80"/>
      <c r="D559" s="80"/>
      <c r="E559" s="80"/>
      <c r="F559" s="80"/>
      <c r="G559" s="80"/>
      <c r="H559" s="81"/>
      <c r="I559" s="81"/>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c r="AJ559" s="80"/>
      <c r="AK559" s="80"/>
      <c r="AL559" s="80"/>
      <c r="AM559" s="80"/>
      <c r="AN559" s="80">
        <f>IFERROR(__xludf.DUMMYFUNCTION("""COMPUTED_VALUE"""),0.0)</f>
        <v>0</v>
      </c>
      <c r="AO559" s="80">
        <f>IFERROR(__xludf.DUMMYFUNCTION("""COMPUTED_VALUE"""),0.0)</f>
        <v>0</v>
      </c>
      <c r="AP559" s="80">
        <f>IFERROR(__xludf.DUMMYFUNCTION("""COMPUTED_VALUE"""),0.0)</f>
        <v>0</v>
      </c>
      <c r="AQ559" s="80">
        <f>IFERROR(__xludf.DUMMYFUNCTION("""COMPUTED_VALUE"""),0.0)</f>
        <v>0</v>
      </c>
      <c r="AR559" s="80">
        <f>IFERROR(__xludf.DUMMYFUNCTION("""COMPUTED_VALUE"""),0.0)</f>
        <v>0</v>
      </c>
      <c r="AS559" s="80"/>
      <c r="AT559" s="80">
        <f>IFERROR(__xludf.DUMMYFUNCTION("""COMPUTED_VALUE"""),0.0)</f>
        <v>0</v>
      </c>
      <c r="AU559" s="80"/>
      <c r="AV559" s="80"/>
      <c r="AW559" s="82" t="str">
        <f t="shared" si="1"/>
        <v/>
      </c>
      <c r="AX559" s="83" t="str">
        <f t="array" ref="AX559">IFERROR(DGET('SBV Import'!A:G,"SBV",{"RSC ID","Tier";B559,A559}))</f>
        <v/>
      </c>
      <c r="AY559" s="82" t="str">
        <f t="shared" si="2"/>
        <v/>
      </c>
      <c r="AZ559" s="82"/>
      <c r="BA559" s="84" t="s">
        <v>152</v>
      </c>
      <c r="BB559" s="84" t="str">
        <f>IFERROR(__xludf.DUMMYFUNCTION("iferror(if(A559="""",,E559&gt;=FILTER(Constants!$F$2:$F$10,Constants!$A$2:$A$10=A559)))"),"")</f>
        <v/>
      </c>
    </row>
    <row r="560">
      <c r="A560" s="80"/>
      <c r="B560" s="80"/>
      <c r="C560" s="80"/>
      <c r="D560" s="80"/>
      <c r="E560" s="80"/>
      <c r="F560" s="80"/>
      <c r="G560" s="80"/>
      <c r="H560" s="81"/>
      <c r="I560" s="81"/>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c r="AJ560" s="80"/>
      <c r="AK560" s="80"/>
      <c r="AL560" s="80"/>
      <c r="AM560" s="80"/>
      <c r="AN560" s="80">
        <f>IFERROR(__xludf.DUMMYFUNCTION("""COMPUTED_VALUE"""),0.0)</f>
        <v>0</v>
      </c>
      <c r="AO560" s="80">
        <f>IFERROR(__xludf.DUMMYFUNCTION("""COMPUTED_VALUE"""),0.0)</f>
        <v>0</v>
      </c>
      <c r="AP560" s="80">
        <f>IFERROR(__xludf.DUMMYFUNCTION("""COMPUTED_VALUE"""),0.0)</f>
        <v>0</v>
      </c>
      <c r="AQ560" s="80">
        <f>IFERROR(__xludf.DUMMYFUNCTION("""COMPUTED_VALUE"""),0.0)</f>
        <v>0</v>
      </c>
      <c r="AR560" s="80">
        <f>IFERROR(__xludf.DUMMYFUNCTION("""COMPUTED_VALUE"""),0.0)</f>
        <v>0</v>
      </c>
      <c r="AS560" s="80"/>
      <c r="AT560" s="80">
        <f>IFERROR(__xludf.DUMMYFUNCTION("""COMPUTED_VALUE"""),0.0)</f>
        <v>0</v>
      </c>
      <c r="AU560" s="80"/>
      <c r="AV560" s="80"/>
      <c r="AW560" s="82" t="str">
        <f t="shared" si="1"/>
        <v/>
      </c>
      <c r="AX560" s="83" t="str">
        <f t="array" ref="AX560">IFERROR(DGET('SBV Import'!A:G,"SBV",{"RSC ID","Tier";B560,A560}))</f>
        <v/>
      </c>
      <c r="AY560" s="82" t="str">
        <f t="shared" si="2"/>
        <v/>
      </c>
      <c r="AZ560" s="82"/>
      <c r="BA560" s="84" t="s">
        <v>152</v>
      </c>
      <c r="BB560" s="84" t="str">
        <f>IFERROR(__xludf.DUMMYFUNCTION("iferror(if(A560="""",,E560&gt;=FILTER(Constants!$F$2:$F$10,Constants!$A$2:$A$10=A560)))"),"")</f>
        <v/>
      </c>
    </row>
    <row r="561">
      <c r="A561" s="80"/>
      <c r="B561" s="80"/>
      <c r="C561" s="80"/>
      <c r="D561" s="80"/>
      <c r="E561" s="80"/>
      <c r="F561" s="80"/>
      <c r="G561" s="80"/>
      <c r="H561" s="81"/>
      <c r="I561" s="81"/>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c r="AJ561" s="80"/>
      <c r="AK561" s="80"/>
      <c r="AL561" s="80"/>
      <c r="AM561" s="80"/>
      <c r="AN561" s="80">
        <f>IFERROR(__xludf.DUMMYFUNCTION("""COMPUTED_VALUE"""),0.0)</f>
        <v>0</v>
      </c>
      <c r="AO561" s="80">
        <f>IFERROR(__xludf.DUMMYFUNCTION("""COMPUTED_VALUE"""),0.0)</f>
        <v>0</v>
      </c>
      <c r="AP561" s="80">
        <f>IFERROR(__xludf.DUMMYFUNCTION("""COMPUTED_VALUE"""),0.0)</f>
        <v>0</v>
      </c>
      <c r="AQ561" s="80">
        <f>IFERROR(__xludf.DUMMYFUNCTION("""COMPUTED_VALUE"""),0.0)</f>
        <v>0</v>
      </c>
      <c r="AR561" s="80">
        <f>IFERROR(__xludf.DUMMYFUNCTION("""COMPUTED_VALUE"""),0.0)</f>
        <v>0</v>
      </c>
      <c r="AS561" s="80"/>
      <c r="AT561" s="80">
        <f>IFERROR(__xludf.DUMMYFUNCTION("""COMPUTED_VALUE"""),0.0)</f>
        <v>0</v>
      </c>
      <c r="AU561" s="80"/>
      <c r="AV561" s="80"/>
      <c r="AW561" s="82" t="str">
        <f t="shared" si="1"/>
        <v/>
      </c>
      <c r="AX561" s="83" t="str">
        <f t="array" ref="AX561">IFERROR(DGET('SBV Import'!A:G,"SBV",{"RSC ID","Tier";B561,A561}))</f>
        <v/>
      </c>
      <c r="AY561" s="82" t="str">
        <f t="shared" si="2"/>
        <v/>
      </c>
      <c r="AZ561" s="82"/>
      <c r="BA561" s="84" t="s">
        <v>152</v>
      </c>
      <c r="BB561" s="84" t="str">
        <f>IFERROR(__xludf.DUMMYFUNCTION("iferror(if(A561="""",,E561&gt;=FILTER(Constants!$F$2:$F$10,Constants!$A$2:$A$10=A561)))"),"")</f>
        <v/>
      </c>
    </row>
    <row r="562">
      <c r="A562" s="80"/>
      <c r="B562" s="80"/>
      <c r="C562" s="80"/>
      <c r="D562" s="80"/>
      <c r="E562" s="80"/>
      <c r="F562" s="80"/>
      <c r="G562" s="80"/>
      <c r="H562" s="81"/>
      <c r="I562" s="81"/>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c r="AJ562" s="80"/>
      <c r="AK562" s="80"/>
      <c r="AL562" s="80"/>
      <c r="AM562" s="80"/>
      <c r="AN562" s="80">
        <f>IFERROR(__xludf.DUMMYFUNCTION("""COMPUTED_VALUE"""),0.0)</f>
        <v>0</v>
      </c>
      <c r="AO562" s="80">
        <f>IFERROR(__xludf.DUMMYFUNCTION("""COMPUTED_VALUE"""),0.0)</f>
        <v>0</v>
      </c>
      <c r="AP562" s="80">
        <f>IFERROR(__xludf.DUMMYFUNCTION("""COMPUTED_VALUE"""),0.0)</f>
        <v>0</v>
      </c>
      <c r="AQ562" s="80">
        <f>IFERROR(__xludf.DUMMYFUNCTION("""COMPUTED_VALUE"""),0.0)</f>
        <v>0</v>
      </c>
      <c r="AR562" s="80">
        <f>IFERROR(__xludf.DUMMYFUNCTION("""COMPUTED_VALUE"""),0.0)</f>
        <v>0</v>
      </c>
      <c r="AS562" s="80"/>
      <c r="AT562" s="80">
        <f>IFERROR(__xludf.DUMMYFUNCTION("""COMPUTED_VALUE"""),0.0)</f>
        <v>0</v>
      </c>
      <c r="AU562" s="80"/>
      <c r="AV562" s="80"/>
      <c r="AW562" s="82" t="str">
        <f t="shared" si="1"/>
        <v/>
      </c>
      <c r="AX562" s="83" t="str">
        <f t="array" ref="AX562">IFERROR(DGET('SBV Import'!A:G,"SBV",{"RSC ID","Tier";B562,A562}))</f>
        <v/>
      </c>
      <c r="AY562" s="82" t="str">
        <f t="shared" si="2"/>
        <v/>
      </c>
      <c r="AZ562" s="82"/>
      <c r="BA562" s="84" t="s">
        <v>152</v>
      </c>
      <c r="BB562" s="84" t="str">
        <f>IFERROR(__xludf.DUMMYFUNCTION("iferror(if(A562="""",,E562&gt;=FILTER(Constants!$F$2:$F$10,Constants!$A$2:$A$10=A562)))"),"")</f>
        <v/>
      </c>
    </row>
    <row r="563">
      <c r="A563" s="80"/>
      <c r="B563" s="80"/>
      <c r="C563" s="80"/>
      <c r="D563" s="80"/>
      <c r="E563" s="80"/>
      <c r="F563" s="80"/>
      <c r="G563" s="80"/>
      <c r="H563" s="81"/>
      <c r="I563" s="81"/>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c r="AJ563" s="80"/>
      <c r="AK563" s="80"/>
      <c r="AL563" s="80"/>
      <c r="AM563" s="80"/>
      <c r="AN563" s="80">
        <f>IFERROR(__xludf.DUMMYFUNCTION("""COMPUTED_VALUE"""),0.0)</f>
        <v>0</v>
      </c>
      <c r="AO563" s="80">
        <f>IFERROR(__xludf.DUMMYFUNCTION("""COMPUTED_VALUE"""),0.0)</f>
        <v>0</v>
      </c>
      <c r="AP563" s="80">
        <f>IFERROR(__xludf.DUMMYFUNCTION("""COMPUTED_VALUE"""),0.0)</f>
        <v>0</v>
      </c>
      <c r="AQ563" s="80">
        <f>IFERROR(__xludf.DUMMYFUNCTION("""COMPUTED_VALUE"""),0.0)</f>
        <v>0</v>
      </c>
      <c r="AR563" s="80">
        <f>IFERROR(__xludf.DUMMYFUNCTION("""COMPUTED_VALUE"""),0.0)</f>
        <v>0</v>
      </c>
      <c r="AS563" s="80"/>
      <c r="AT563" s="80">
        <f>IFERROR(__xludf.DUMMYFUNCTION("""COMPUTED_VALUE"""),0.0)</f>
        <v>0</v>
      </c>
      <c r="AU563" s="80"/>
      <c r="AV563" s="80"/>
      <c r="AW563" s="82" t="str">
        <f t="shared" si="1"/>
        <v/>
      </c>
      <c r="AX563" s="83" t="str">
        <f t="array" ref="AX563">IFERROR(DGET('SBV Import'!A:G,"SBV",{"RSC ID","Tier";B563,A563}))</f>
        <v/>
      </c>
      <c r="AY563" s="82" t="str">
        <f t="shared" si="2"/>
        <v/>
      </c>
      <c r="AZ563" s="82"/>
      <c r="BA563" s="84" t="s">
        <v>152</v>
      </c>
      <c r="BB563" s="84" t="str">
        <f>IFERROR(__xludf.DUMMYFUNCTION("iferror(if(A563="""",,E563&gt;=FILTER(Constants!$F$2:$F$10,Constants!$A$2:$A$10=A563)))"),"")</f>
        <v/>
      </c>
    </row>
    <row r="564">
      <c r="A564" s="80"/>
      <c r="B564" s="80"/>
      <c r="C564" s="80"/>
      <c r="D564" s="80"/>
      <c r="E564" s="80"/>
      <c r="F564" s="80"/>
      <c r="G564" s="80"/>
      <c r="H564" s="81"/>
      <c r="I564" s="81"/>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c r="AJ564" s="80"/>
      <c r="AK564" s="80"/>
      <c r="AL564" s="80"/>
      <c r="AM564" s="80"/>
      <c r="AN564" s="80">
        <f>IFERROR(__xludf.DUMMYFUNCTION("""COMPUTED_VALUE"""),0.0)</f>
        <v>0</v>
      </c>
      <c r="AO564" s="80">
        <f>IFERROR(__xludf.DUMMYFUNCTION("""COMPUTED_VALUE"""),0.0)</f>
        <v>0</v>
      </c>
      <c r="AP564" s="80">
        <f>IFERROR(__xludf.DUMMYFUNCTION("""COMPUTED_VALUE"""),0.0)</f>
        <v>0</v>
      </c>
      <c r="AQ564" s="80">
        <f>IFERROR(__xludf.DUMMYFUNCTION("""COMPUTED_VALUE"""),0.0)</f>
        <v>0</v>
      </c>
      <c r="AR564" s="80">
        <f>IFERROR(__xludf.DUMMYFUNCTION("""COMPUTED_VALUE"""),0.0)</f>
        <v>0</v>
      </c>
      <c r="AS564" s="80"/>
      <c r="AT564" s="80">
        <f>IFERROR(__xludf.DUMMYFUNCTION("""COMPUTED_VALUE"""),0.0)</f>
        <v>0</v>
      </c>
      <c r="AU564" s="80"/>
      <c r="AV564" s="80"/>
      <c r="AW564" s="82" t="str">
        <f t="shared" si="1"/>
        <v/>
      </c>
      <c r="AX564" s="83" t="str">
        <f t="array" ref="AX564">IFERROR(DGET('SBV Import'!A:G,"SBV",{"RSC ID","Tier";B564,A564}))</f>
        <v/>
      </c>
      <c r="AY564" s="82" t="str">
        <f t="shared" si="2"/>
        <v/>
      </c>
      <c r="AZ564" s="82"/>
      <c r="BA564" s="84" t="s">
        <v>152</v>
      </c>
      <c r="BB564" s="84" t="str">
        <f>IFERROR(__xludf.DUMMYFUNCTION("iferror(if(A564="""",,E564&gt;=FILTER(Constants!$F$2:$F$10,Constants!$A$2:$A$10=A564)))"),"")</f>
        <v/>
      </c>
    </row>
    <row r="565">
      <c r="A565" s="80"/>
      <c r="B565" s="80"/>
      <c r="C565" s="80"/>
      <c r="D565" s="80"/>
      <c r="E565" s="80"/>
      <c r="F565" s="80"/>
      <c r="G565" s="80"/>
      <c r="H565" s="81"/>
      <c r="I565" s="81"/>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c r="AJ565" s="80"/>
      <c r="AK565" s="80"/>
      <c r="AL565" s="80"/>
      <c r="AM565" s="80"/>
      <c r="AN565" s="80">
        <f>IFERROR(__xludf.DUMMYFUNCTION("""COMPUTED_VALUE"""),0.0)</f>
        <v>0</v>
      </c>
      <c r="AO565" s="80">
        <f>IFERROR(__xludf.DUMMYFUNCTION("""COMPUTED_VALUE"""),0.0)</f>
        <v>0</v>
      </c>
      <c r="AP565" s="80">
        <f>IFERROR(__xludf.DUMMYFUNCTION("""COMPUTED_VALUE"""),0.0)</f>
        <v>0</v>
      </c>
      <c r="AQ565" s="80">
        <f>IFERROR(__xludf.DUMMYFUNCTION("""COMPUTED_VALUE"""),0.0)</f>
        <v>0</v>
      </c>
      <c r="AR565" s="80">
        <f>IFERROR(__xludf.DUMMYFUNCTION("""COMPUTED_VALUE"""),0.0)</f>
        <v>0</v>
      </c>
      <c r="AS565" s="80"/>
      <c r="AT565" s="80">
        <f>IFERROR(__xludf.DUMMYFUNCTION("""COMPUTED_VALUE"""),0.0)</f>
        <v>0</v>
      </c>
      <c r="AU565" s="80"/>
      <c r="AV565" s="80"/>
      <c r="AW565" s="82" t="str">
        <f t="shared" si="1"/>
        <v/>
      </c>
      <c r="AX565" s="83" t="str">
        <f t="array" ref="AX565">IFERROR(DGET('SBV Import'!A:G,"SBV",{"RSC ID","Tier";B565,A565}))</f>
        <v/>
      </c>
      <c r="AY565" s="82" t="str">
        <f t="shared" si="2"/>
        <v/>
      </c>
      <c r="AZ565" s="82"/>
      <c r="BA565" s="84" t="s">
        <v>152</v>
      </c>
      <c r="BB565" s="84" t="str">
        <f>IFERROR(__xludf.DUMMYFUNCTION("iferror(if(A565="""",,E565&gt;=FILTER(Constants!$F$2:$F$10,Constants!$A$2:$A$10=A565)))"),"")</f>
        <v/>
      </c>
    </row>
    <row r="566">
      <c r="A566" s="80"/>
      <c r="B566" s="80"/>
      <c r="C566" s="80"/>
      <c r="D566" s="80"/>
      <c r="E566" s="80"/>
      <c r="F566" s="80"/>
      <c r="G566" s="80"/>
      <c r="H566" s="81"/>
      <c r="I566" s="81"/>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c r="AJ566" s="80"/>
      <c r="AK566" s="80"/>
      <c r="AL566" s="80"/>
      <c r="AM566" s="80"/>
      <c r="AN566" s="80">
        <f>IFERROR(__xludf.DUMMYFUNCTION("""COMPUTED_VALUE"""),0.0)</f>
        <v>0</v>
      </c>
      <c r="AO566" s="80">
        <f>IFERROR(__xludf.DUMMYFUNCTION("""COMPUTED_VALUE"""),0.0)</f>
        <v>0</v>
      </c>
      <c r="AP566" s="80">
        <f>IFERROR(__xludf.DUMMYFUNCTION("""COMPUTED_VALUE"""),0.0)</f>
        <v>0</v>
      </c>
      <c r="AQ566" s="80">
        <f>IFERROR(__xludf.DUMMYFUNCTION("""COMPUTED_VALUE"""),0.0)</f>
        <v>0</v>
      </c>
      <c r="AR566" s="80">
        <f>IFERROR(__xludf.DUMMYFUNCTION("""COMPUTED_VALUE"""),0.0)</f>
        <v>0</v>
      </c>
      <c r="AS566" s="80"/>
      <c r="AT566" s="80">
        <f>IFERROR(__xludf.DUMMYFUNCTION("""COMPUTED_VALUE"""),0.0)</f>
        <v>0</v>
      </c>
      <c r="AU566" s="80"/>
      <c r="AV566" s="80"/>
      <c r="AW566" s="82" t="str">
        <f t="shared" si="1"/>
        <v/>
      </c>
      <c r="AX566" s="83" t="str">
        <f t="array" ref="AX566">IFERROR(DGET('SBV Import'!A:G,"SBV",{"RSC ID","Tier";B566,A566}))</f>
        <v/>
      </c>
      <c r="AY566" s="82" t="str">
        <f t="shared" si="2"/>
        <v/>
      </c>
      <c r="AZ566" s="82"/>
      <c r="BA566" s="84" t="s">
        <v>152</v>
      </c>
      <c r="BB566" s="84" t="str">
        <f>IFERROR(__xludf.DUMMYFUNCTION("iferror(if(A566="""",,E566&gt;=FILTER(Constants!$F$2:$F$10,Constants!$A$2:$A$10=A566)))"),"")</f>
        <v/>
      </c>
    </row>
    <row r="567">
      <c r="A567" s="80"/>
      <c r="B567" s="80"/>
      <c r="C567" s="80"/>
      <c r="D567" s="80"/>
      <c r="E567" s="80"/>
      <c r="F567" s="80"/>
      <c r="G567" s="80"/>
      <c r="H567" s="81"/>
      <c r="I567" s="81"/>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c r="AJ567" s="80"/>
      <c r="AK567" s="80"/>
      <c r="AL567" s="80"/>
      <c r="AM567" s="80"/>
      <c r="AN567" s="80">
        <f>IFERROR(__xludf.DUMMYFUNCTION("""COMPUTED_VALUE"""),0.0)</f>
        <v>0</v>
      </c>
      <c r="AO567" s="80">
        <f>IFERROR(__xludf.DUMMYFUNCTION("""COMPUTED_VALUE"""),0.0)</f>
        <v>0</v>
      </c>
      <c r="AP567" s="80">
        <f>IFERROR(__xludf.DUMMYFUNCTION("""COMPUTED_VALUE"""),0.0)</f>
        <v>0</v>
      </c>
      <c r="AQ567" s="80">
        <f>IFERROR(__xludf.DUMMYFUNCTION("""COMPUTED_VALUE"""),0.0)</f>
        <v>0</v>
      </c>
      <c r="AR567" s="80">
        <f>IFERROR(__xludf.DUMMYFUNCTION("""COMPUTED_VALUE"""),0.0)</f>
        <v>0</v>
      </c>
      <c r="AS567" s="80"/>
      <c r="AT567" s="80">
        <f>IFERROR(__xludf.DUMMYFUNCTION("""COMPUTED_VALUE"""),0.0)</f>
        <v>0</v>
      </c>
      <c r="AU567" s="80"/>
      <c r="AV567" s="80"/>
      <c r="AW567" s="82" t="str">
        <f t="shared" si="1"/>
        <v/>
      </c>
      <c r="AX567" s="83" t="str">
        <f t="array" ref="AX567">IFERROR(DGET('SBV Import'!A:G,"SBV",{"RSC ID","Tier";B567,A567}))</f>
        <v/>
      </c>
      <c r="AY567" s="82" t="str">
        <f t="shared" si="2"/>
        <v/>
      </c>
      <c r="AZ567" s="82"/>
      <c r="BA567" s="84" t="s">
        <v>152</v>
      </c>
      <c r="BB567" s="84" t="str">
        <f>IFERROR(__xludf.DUMMYFUNCTION("iferror(if(A567="""",,E567&gt;=FILTER(Constants!$F$2:$F$10,Constants!$A$2:$A$10=A567)))"),"")</f>
        <v/>
      </c>
    </row>
    <row r="568">
      <c r="A568" s="80"/>
      <c r="B568" s="80"/>
      <c r="C568" s="80"/>
      <c r="D568" s="80"/>
      <c r="E568" s="80"/>
      <c r="F568" s="80"/>
      <c r="G568" s="80"/>
      <c r="H568" s="81"/>
      <c r="I568" s="81"/>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c r="AJ568" s="80"/>
      <c r="AK568" s="80"/>
      <c r="AL568" s="80"/>
      <c r="AM568" s="80"/>
      <c r="AN568" s="80">
        <f>IFERROR(__xludf.DUMMYFUNCTION("""COMPUTED_VALUE"""),0.0)</f>
        <v>0</v>
      </c>
      <c r="AO568" s="80">
        <f>IFERROR(__xludf.DUMMYFUNCTION("""COMPUTED_VALUE"""),0.0)</f>
        <v>0</v>
      </c>
      <c r="AP568" s="80">
        <f>IFERROR(__xludf.DUMMYFUNCTION("""COMPUTED_VALUE"""),0.0)</f>
        <v>0</v>
      </c>
      <c r="AQ568" s="80">
        <f>IFERROR(__xludf.DUMMYFUNCTION("""COMPUTED_VALUE"""),0.0)</f>
        <v>0</v>
      </c>
      <c r="AR568" s="80">
        <f>IFERROR(__xludf.DUMMYFUNCTION("""COMPUTED_VALUE"""),0.0)</f>
        <v>0</v>
      </c>
      <c r="AS568" s="80"/>
      <c r="AT568" s="80">
        <f>IFERROR(__xludf.DUMMYFUNCTION("""COMPUTED_VALUE"""),0.0)</f>
        <v>0</v>
      </c>
      <c r="AU568" s="80"/>
      <c r="AV568" s="80"/>
      <c r="AW568" s="82" t="str">
        <f t="shared" si="1"/>
        <v/>
      </c>
      <c r="AX568" s="83" t="str">
        <f t="array" ref="AX568">IFERROR(DGET('SBV Import'!A:G,"SBV",{"RSC ID","Tier";B568,A568}))</f>
        <v/>
      </c>
      <c r="AY568" s="82" t="str">
        <f t="shared" si="2"/>
        <v/>
      </c>
      <c r="AZ568" s="82"/>
      <c r="BA568" s="84" t="s">
        <v>152</v>
      </c>
      <c r="BB568" s="84" t="str">
        <f>IFERROR(__xludf.DUMMYFUNCTION("iferror(if(A568="""",,E568&gt;=FILTER(Constants!$F$2:$F$10,Constants!$A$2:$A$10=A568)))"),"")</f>
        <v/>
      </c>
    </row>
    <row r="569">
      <c r="A569" s="80"/>
      <c r="B569" s="80"/>
      <c r="C569" s="80"/>
      <c r="D569" s="80"/>
      <c r="E569" s="80"/>
      <c r="F569" s="80"/>
      <c r="G569" s="80"/>
      <c r="H569" s="81"/>
      <c r="I569" s="81"/>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c r="AJ569" s="80"/>
      <c r="AK569" s="80"/>
      <c r="AL569" s="80"/>
      <c r="AM569" s="80"/>
      <c r="AN569" s="80">
        <f>IFERROR(__xludf.DUMMYFUNCTION("""COMPUTED_VALUE"""),0.0)</f>
        <v>0</v>
      </c>
      <c r="AO569" s="80">
        <f>IFERROR(__xludf.DUMMYFUNCTION("""COMPUTED_VALUE"""),0.0)</f>
        <v>0</v>
      </c>
      <c r="AP569" s="80">
        <f>IFERROR(__xludf.DUMMYFUNCTION("""COMPUTED_VALUE"""),0.0)</f>
        <v>0</v>
      </c>
      <c r="AQ569" s="80">
        <f>IFERROR(__xludf.DUMMYFUNCTION("""COMPUTED_VALUE"""),0.0)</f>
        <v>0</v>
      </c>
      <c r="AR569" s="80">
        <f>IFERROR(__xludf.DUMMYFUNCTION("""COMPUTED_VALUE"""),0.0)</f>
        <v>0</v>
      </c>
      <c r="AS569" s="80"/>
      <c r="AT569" s="80">
        <f>IFERROR(__xludf.DUMMYFUNCTION("""COMPUTED_VALUE"""),0.0)</f>
        <v>0</v>
      </c>
      <c r="AU569" s="80"/>
      <c r="AV569" s="80"/>
      <c r="AW569" s="82" t="str">
        <f t="shared" si="1"/>
        <v/>
      </c>
      <c r="AX569" s="83" t="str">
        <f t="array" ref="AX569">IFERROR(DGET('SBV Import'!A:G,"SBV",{"RSC ID","Tier";B569,A569}))</f>
        <v/>
      </c>
      <c r="AY569" s="82" t="str">
        <f t="shared" si="2"/>
        <v/>
      </c>
      <c r="AZ569" s="82"/>
      <c r="BA569" s="84" t="s">
        <v>152</v>
      </c>
      <c r="BB569" s="84" t="str">
        <f>IFERROR(__xludf.DUMMYFUNCTION("iferror(if(A569="""",,E569&gt;=FILTER(Constants!$F$2:$F$10,Constants!$A$2:$A$10=A569)))"),"")</f>
        <v/>
      </c>
    </row>
    <row r="570">
      <c r="A570" s="80"/>
      <c r="B570" s="80"/>
      <c r="C570" s="80"/>
      <c r="D570" s="80"/>
      <c r="E570" s="80"/>
      <c r="F570" s="80"/>
      <c r="G570" s="80"/>
      <c r="H570" s="81"/>
      <c r="I570" s="81"/>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c r="AJ570" s="80"/>
      <c r="AK570" s="80"/>
      <c r="AL570" s="80"/>
      <c r="AM570" s="80"/>
      <c r="AN570" s="80">
        <f>IFERROR(__xludf.DUMMYFUNCTION("""COMPUTED_VALUE"""),0.0)</f>
        <v>0</v>
      </c>
      <c r="AO570" s="80">
        <f>IFERROR(__xludf.DUMMYFUNCTION("""COMPUTED_VALUE"""),0.0)</f>
        <v>0</v>
      </c>
      <c r="AP570" s="80">
        <f>IFERROR(__xludf.DUMMYFUNCTION("""COMPUTED_VALUE"""),0.0)</f>
        <v>0</v>
      </c>
      <c r="AQ570" s="80">
        <f>IFERROR(__xludf.DUMMYFUNCTION("""COMPUTED_VALUE"""),0.0)</f>
        <v>0</v>
      </c>
      <c r="AR570" s="80">
        <f>IFERROR(__xludf.DUMMYFUNCTION("""COMPUTED_VALUE"""),0.0)</f>
        <v>0</v>
      </c>
      <c r="AS570" s="80"/>
      <c r="AT570" s="80">
        <f>IFERROR(__xludf.DUMMYFUNCTION("""COMPUTED_VALUE"""),0.0)</f>
        <v>0</v>
      </c>
      <c r="AU570" s="80"/>
      <c r="AV570" s="80"/>
      <c r="AW570" s="82" t="str">
        <f t="shared" si="1"/>
        <v/>
      </c>
      <c r="AX570" s="83" t="str">
        <f t="array" ref="AX570">IFERROR(DGET('SBV Import'!A:G,"SBV",{"RSC ID","Tier";B570,A570}))</f>
        <v/>
      </c>
      <c r="AY570" s="82" t="str">
        <f t="shared" si="2"/>
        <v/>
      </c>
      <c r="AZ570" s="82"/>
      <c r="BA570" s="84" t="s">
        <v>152</v>
      </c>
      <c r="BB570" s="84" t="str">
        <f>IFERROR(__xludf.DUMMYFUNCTION("iferror(if(A570="""",,E570&gt;=FILTER(Constants!$F$2:$F$10,Constants!$A$2:$A$10=A570)))"),"")</f>
        <v/>
      </c>
    </row>
    <row r="571">
      <c r="A571" s="80"/>
      <c r="B571" s="80"/>
      <c r="C571" s="80"/>
      <c r="D571" s="80"/>
      <c r="E571" s="80"/>
      <c r="F571" s="80"/>
      <c r="G571" s="80"/>
      <c r="H571" s="81"/>
      <c r="I571" s="81"/>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c r="AJ571" s="80"/>
      <c r="AK571" s="80"/>
      <c r="AL571" s="80"/>
      <c r="AM571" s="80"/>
      <c r="AN571" s="80">
        <f>IFERROR(__xludf.DUMMYFUNCTION("""COMPUTED_VALUE"""),0.0)</f>
        <v>0</v>
      </c>
      <c r="AO571" s="80">
        <f>IFERROR(__xludf.DUMMYFUNCTION("""COMPUTED_VALUE"""),0.0)</f>
        <v>0</v>
      </c>
      <c r="AP571" s="80">
        <f>IFERROR(__xludf.DUMMYFUNCTION("""COMPUTED_VALUE"""),0.0)</f>
        <v>0</v>
      </c>
      <c r="AQ571" s="80">
        <f>IFERROR(__xludf.DUMMYFUNCTION("""COMPUTED_VALUE"""),0.0)</f>
        <v>0</v>
      </c>
      <c r="AR571" s="80">
        <f>IFERROR(__xludf.DUMMYFUNCTION("""COMPUTED_VALUE"""),0.0)</f>
        <v>0</v>
      </c>
      <c r="AS571" s="80"/>
      <c r="AT571" s="80">
        <f>IFERROR(__xludf.DUMMYFUNCTION("""COMPUTED_VALUE"""),0.0)</f>
        <v>0</v>
      </c>
      <c r="AU571" s="80"/>
      <c r="AV571" s="80"/>
      <c r="AW571" s="82" t="str">
        <f t="shared" si="1"/>
        <v/>
      </c>
      <c r="AX571" s="83" t="str">
        <f t="array" ref="AX571">IFERROR(DGET('SBV Import'!A:G,"SBV",{"RSC ID","Tier";B571,A571}))</f>
        <v/>
      </c>
      <c r="AY571" s="82" t="str">
        <f t="shared" si="2"/>
        <v/>
      </c>
      <c r="AZ571" s="82"/>
      <c r="BA571" s="84" t="s">
        <v>152</v>
      </c>
      <c r="BB571" s="84" t="str">
        <f>IFERROR(__xludf.DUMMYFUNCTION("iferror(if(A571="""",,E571&gt;=FILTER(Constants!$F$2:$F$10,Constants!$A$2:$A$10=A571)))"),"")</f>
        <v/>
      </c>
    </row>
    <row r="572">
      <c r="A572" s="80"/>
      <c r="B572" s="80"/>
      <c r="C572" s="80"/>
      <c r="D572" s="80"/>
      <c r="E572" s="80"/>
      <c r="F572" s="80"/>
      <c r="G572" s="80"/>
      <c r="H572" s="81"/>
      <c r="I572" s="81"/>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c r="AJ572" s="80"/>
      <c r="AK572" s="80"/>
      <c r="AL572" s="80"/>
      <c r="AM572" s="80"/>
      <c r="AN572" s="80">
        <f>IFERROR(__xludf.DUMMYFUNCTION("""COMPUTED_VALUE"""),0.0)</f>
        <v>0</v>
      </c>
      <c r="AO572" s="80">
        <f>IFERROR(__xludf.DUMMYFUNCTION("""COMPUTED_VALUE"""),0.0)</f>
        <v>0</v>
      </c>
      <c r="AP572" s="80">
        <f>IFERROR(__xludf.DUMMYFUNCTION("""COMPUTED_VALUE"""),0.0)</f>
        <v>0</v>
      </c>
      <c r="AQ572" s="80">
        <f>IFERROR(__xludf.DUMMYFUNCTION("""COMPUTED_VALUE"""),0.0)</f>
        <v>0</v>
      </c>
      <c r="AR572" s="80">
        <f>IFERROR(__xludf.DUMMYFUNCTION("""COMPUTED_VALUE"""),0.0)</f>
        <v>0</v>
      </c>
      <c r="AS572" s="80"/>
      <c r="AT572" s="80">
        <f>IFERROR(__xludf.DUMMYFUNCTION("""COMPUTED_VALUE"""),0.0)</f>
        <v>0</v>
      </c>
      <c r="AU572" s="80"/>
      <c r="AV572" s="80"/>
      <c r="AW572" s="82" t="str">
        <f t="shared" si="1"/>
        <v/>
      </c>
      <c r="AX572" s="83" t="str">
        <f t="array" ref="AX572">IFERROR(DGET('SBV Import'!A:G,"SBV",{"RSC ID","Tier";B572,A572}))</f>
        <v/>
      </c>
      <c r="AY572" s="82" t="str">
        <f t="shared" si="2"/>
        <v/>
      </c>
      <c r="AZ572" s="82"/>
      <c r="BA572" s="84" t="s">
        <v>152</v>
      </c>
      <c r="BB572" s="84" t="str">
        <f>IFERROR(__xludf.DUMMYFUNCTION("iferror(if(A572="""",,E572&gt;=FILTER(Constants!$F$2:$F$10,Constants!$A$2:$A$10=A572)))"),"")</f>
        <v/>
      </c>
    </row>
    <row r="573">
      <c r="A573" s="80"/>
      <c r="B573" s="80"/>
      <c r="C573" s="80"/>
      <c r="D573" s="80"/>
      <c r="E573" s="80"/>
      <c r="F573" s="80"/>
      <c r="G573" s="80"/>
      <c r="H573" s="81"/>
      <c r="I573" s="81"/>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c r="AJ573" s="80"/>
      <c r="AK573" s="80"/>
      <c r="AL573" s="80"/>
      <c r="AM573" s="80"/>
      <c r="AN573" s="80">
        <f>IFERROR(__xludf.DUMMYFUNCTION("""COMPUTED_VALUE"""),0.0)</f>
        <v>0</v>
      </c>
      <c r="AO573" s="80">
        <f>IFERROR(__xludf.DUMMYFUNCTION("""COMPUTED_VALUE"""),0.0)</f>
        <v>0</v>
      </c>
      <c r="AP573" s="80">
        <f>IFERROR(__xludf.DUMMYFUNCTION("""COMPUTED_VALUE"""),0.0)</f>
        <v>0</v>
      </c>
      <c r="AQ573" s="80">
        <f>IFERROR(__xludf.DUMMYFUNCTION("""COMPUTED_VALUE"""),0.0)</f>
        <v>0</v>
      </c>
      <c r="AR573" s="80">
        <f>IFERROR(__xludf.DUMMYFUNCTION("""COMPUTED_VALUE"""),0.0)</f>
        <v>0</v>
      </c>
      <c r="AS573" s="80"/>
      <c r="AT573" s="80">
        <f>IFERROR(__xludf.DUMMYFUNCTION("""COMPUTED_VALUE"""),0.0)</f>
        <v>0</v>
      </c>
      <c r="AU573" s="80"/>
      <c r="AV573" s="80"/>
      <c r="AW573" s="82" t="str">
        <f t="shared" si="1"/>
        <v/>
      </c>
      <c r="AX573" s="83" t="str">
        <f t="array" ref="AX573">IFERROR(DGET('SBV Import'!A:G,"SBV",{"RSC ID","Tier";B573,A573}))</f>
        <v/>
      </c>
      <c r="AY573" s="82" t="str">
        <f t="shared" si="2"/>
        <v/>
      </c>
      <c r="AZ573" s="82"/>
      <c r="BA573" s="84" t="s">
        <v>152</v>
      </c>
      <c r="BB573" s="84" t="str">
        <f>IFERROR(__xludf.DUMMYFUNCTION("iferror(if(A573="""",,E573&gt;=FILTER(Constants!$F$2:$F$10,Constants!$A$2:$A$10=A573)))"),"")</f>
        <v/>
      </c>
    </row>
    <row r="574">
      <c r="A574" s="80"/>
      <c r="B574" s="80"/>
      <c r="C574" s="80"/>
      <c r="D574" s="80"/>
      <c r="E574" s="80"/>
      <c r="F574" s="80"/>
      <c r="G574" s="80"/>
      <c r="H574" s="81"/>
      <c r="I574" s="81"/>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c r="AJ574" s="80"/>
      <c r="AK574" s="80"/>
      <c r="AL574" s="80"/>
      <c r="AM574" s="80"/>
      <c r="AN574" s="80">
        <f>IFERROR(__xludf.DUMMYFUNCTION("""COMPUTED_VALUE"""),0.0)</f>
        <v>0</v>
      </c>
      <c r="AO574" s="80">
        <f>IFERROR(__xludf.DUMMYFUNCTION("""COMPUTED_VALUE"""),0.0)</f>
        <v>0</v>
      </c>
      <c r="AP574" s="80">
        <f>IFERROR(__xludf.DUMMYFUNCTION("""COMPUTED_VALUE"""),0.0)</f>
        <v>0</v>
      </c>
      <c r="AQ574" s="80">
        <f>IFERROR(__xludf.DUMMYFUNCTION("""COMPUTED_VALUE"""),0.0)</f>
        <v>0</v>
      </c>
      <c r="AR574" s="80">
        <f>IFERROR(__xludf.DUMMYFUNCTION("""COMPUTED_VALUE"""),0.0)</f>
        <v>0</v>
      </c>
      <c r="AS574" s="80"/>
      <c r="AT574" s="80">
        <f>IFERROR(__xludf.DUMMYFUNCTION("""COMPUTED_VALUE"""),0.0)</f>
        <v>0</v>
      </c>
      <c r="AU574" s="80"/>
      <c r="AV574" s="80"/>
      <c r="AW574" s="82" t="str">
        <f t="shared" si="1"/>
        <v/>
      </c>
      <c r="AX574" s="83" t="str">
        <f t="array" ref="AX574">IFERROR(DGET('SBV Import'!A:G,"SBV",{"RSC ID","Tier";B574,A574}))</f>
        <v/>
      </c>
      <c r="AY574" s="82" t="str">
        <f t="shared" si="2"/>
        <v/>
      </c>
      <c r="AZ574" s="82"/>
      <c r="BA574" s="84" t="s">
        <v>152</v>
      </c>
      <c r="BB574" s="84" t="str">
        <f>IFERROR(__xludf.DUMMYFUNCTION("iferror(if(A574="""",,E574&gt;=FILTER(Constants!$F$2:$F$10,Constants!$A$2:$A$10=A574)))"),"")</f>
        <v/>
      </c>
    </row>
    <row r="575">
      <c r="A575" s="80"/>
      <c r="B575" s="80"/>
      <c r="C575" s="80"/>
      <c r="D575" s="80"/>
      <c r="E575" s="80"/>
      <c r="F575" s="80"/>
      <c r="G575" s="80"/>
      <c r="H575" s="81"/>
      <c r="I575" s="81"/>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c r="AJ575" s="80"/>
      <c r="AK575" s="80"/>
      <c r="AL575" s="80"/>
      <c r="AM575" s="80"/>
      <c r="AN575" s="80">
        <f>IFERROR(__xludf.DUMMYFUNCTION("""COMPUTED_VALUE"""),0.0)</f>
        <v>0</v>
      </c>
      <c r="AO575" s="80">
        <f>IFERROR(__xludf.DUMMYFUNCTION("""COMPUTED_VALUE"""),0.0)</f>
        <v>0</v>
      </c>
      <c r="AP575" s="80">
        <f>IFERROR(__xludf.DUMMYFUNCTION("""COMPUTED_VALUE"""),0.0)</f>
        <v>0</v>
      </c>
      <c r="AQ575" s="80">
        <f>IFERROR(__xludf.DUMMYFUNCTION("""COMPUTED_VALUE"""),0.0)</f>
        <v>0</v>
      </c>
      <c r="AR575" s="80">
        <f>IFERROR(__xludf.DUMMYFUNCTION("""COMPUTED_VALUE"""),0.0)</f>
        <v>0</v>
      </c>
      <c r="AS575" s="80"/>
      <c r="AT575" s="80">
        <f>IFERROR(__xludf.DUMMYFUNCTION("""COMPUTED_VALUE"""),0.0)</f>
        <v>0</v>
      </c>
      <c r="AU575" s="80"/>
      <c r="AV575" s="80"/>
      <c r="AW575" s="82" t="str">
        <f t="shared" si="1"/>
        <v/>
      </c>
      <c r="AX575" s="83" t="str">
        <f t="array" ref="AX575">IFERROR(DGET('SBV Import'!A:G,"SBV",{"RSC ID","Tier";B575,A575}))</f>
        <v/>
      </c>
      <c r="AY575" s="82" t="str">
        <f t="shared" si="2"/>
        <v/>
      </c>
      <c r="AZ575" s="82"/>
      <c r="BA575" s="84" t="s">
        <v>152</v>
      </c>
      <c r="BB575" s="84" t="str">
        <f>IFERROR(__xludf.DUMMYFUNCTION("iferror(if(A575="""",,E575&gt;=FILTER(Constants!$F$2:$F$10,Constants!$A$2:$A$10=A575)))"),"")</f>
        <v/>
      </c>
    </row>
    <row r="576">
      <c r="A576" s="80"/>
      <c r="B576" s="80"/>
      <c r="C576" s="80"/>
      <c r="D576" s="80"/>
      <c r="E576" s="80"/>
      <c r="F576" s="80"/>
      <c r="G576" s="80"/>
      <c r="H576" s="81"/>
      <c r="I576" s="81"/>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c r="AJ576" s="80"/>
      <c r="AK576" s="80"/>
      <c r="AL576" s="80"/>
      <c r="AM576" s="80"/>
      <c r="AN576" s="80">
        <f>IFERROR(__xludf.DUMMYFUNCTION("""COMPUTED_VALUE"""),0.0)</f>
        <v>0</v>
      </c>
      <c r="AO576" s="80">
        <f>IFERROR(__xludf.DUMMYFUNCTION("""COMPUTED_VALUE"""),0.0)</f>
        <v>0</v>
      </c>
      <c r="AP576" s="80">
        <f>IFERROR(__xludf.DUMMYFUNCTION("""COMPUTED_VALUE"""),0.0)</f>
        <v>0</v>
      </c>
      <c r="AQ576" s="80">
        <f>IFERROR(__xludf.DUMMYFUNCTION("""COMPUTED_VALUE"""),0.0)</f>
        <v>0</v>
      </c>
      <c r="AR576" s="80">
        <f>IFERROR(__xludf.DUMMYFUNCTION("""COMPUTED_VALUE"""),0.0)</f>
        <v>0</v>
      </c>
      <c r="AS576" s="80"/>
      <c r="AT576" s="80">
        <f>IFERROR(__xludf.DUMMYFUNCTION("""COMPUTED_VALUE"""),0.0)</f>
        <v>0</v>
      </c>
      <c r="AU576" s="80"/>
      <c r="AV576" s="80"/>
      <c r="AW576" s="82" t="str">
        <f t="shared" si="1"/>
        <v/>
      </c>
      <c r="AX576" s="83" t="str">
        <f t="array" ref="AX576">IFERROR(DGET('SBV Import'!A:G,"SBV",{"RSC ID","Tier";B576,A576}))</f>
        <v/>
      </c>
      <c r="AY576" s="82" t="str">
        <f t="shared" si="2"/>
        <v/>
      </c>
      <c r="AZ576" s="82"/>
      <c r="BA576" s="84" t="s">
        <v>152</v>
      </c>
      <c r="BB576" s="84" t="str">
        <f>IFERROR(__xludf.DUMMYFUNCTION("iferror(if(A576="""",,E576&gt;=FILTER(Constants!$F$2:$F$10,Constants!$A$2:$A$10=A576)))"),"")</f>
        <v/>
      </c>
    </row>
    <row r="577">
      <c r="A577" s="80"/>
      <c r="B577" s="80"/>
      <c r="C577" s="80"/>
      <c r="D577" s="80"/>
      <c r="E577" s="80"/>
      <c r="F577" s="80"/>
      <c r="G577" s="80"/>
      <c r="H577" s="81"/>
      <c r="I577" s="81"/>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c r="AJ577" s="80"/>
      <c r="AK577" s="80"/>
      <c r="AL577" s="80"/>
      <c r="AM577" s="80"/>
      <c r="AN577" s="80">
        <f>IFERROR(__xludf.DUMMYFUNCTION("""COMPUTED_VALUE"""),0.0)</f>
        <v>0</v>
      </c>
      <c r="AO577" s="80">
        <f>IFERROR(__xludf.DUMMYFUNCTION("""COMPUTED_VALUE"""),0.0)</f>
        <v>0</v>
      </c>
      <c r="AP577" s="80">
        <f>IFERROR(__xludf.DUMMYFUNCTION("""COMPUTED_VALUE"""),0.0)</f>
        <v>0</v>
      </c>
      <c r="AQ577" s="80">
        <f>IFERROR(__xludf.DUMMYFUNCTION("""COMPUTED_VALUE"""),0.0)</f>
        <v>0</v>
      </c>
      <c r="AR577" s="80">
        <f>IFERROR(__xludf.DUMMYFUNCTION("""COMPUTED_VALUE"""),0.0)</f>
        <v>0</v>
      </c>
      <c r="AS577" s="80"/>
      <c r="AT577" s="80">
        <f>IFERROR(__xludf.DUMMYFUNCTION("""COMPUTED_VALUE"""),0.0)</f>
        <v>0</v>
      </c>
      <c r="AU577" s="80"/>
      <c r="AV577" s="80"/>
      <c r="AW577" s="82" t="str">
        <f t="shared" si="1"/>
        <v/>
      </c>
      <c r="AX577" s="83" t="str">
        <f t="array" ref="AX577">IFERROR(DGET('SBV Import'!A:G,"SBV",{"RSC ID","Tier";B577,A577}))</f>
        <v/>
      </c>
      <c r="AY577" s="82" t="str">
        <f t="shared" si="2"/>
        <v/>
      </c>
      <c r="AZ577" s="82"/>
      <c r="BA577" s="84" t="s">
        <v>152</v>
      </c>
      <c r="BB577" s="84" t="str">
        <f>IFERROR(__xludf.DUMMYFUNCTION("iferror(if(A577="""",,E577&gt;=FILTER(Constants!$F$2:$F$10,Constants!$A$2:$A$10=A577)))"),"")</f>
        <v/>
      </c>
    </row>
    <row r="578">
      <c r="A578" s="80"/>
      <c r="B578" s="80"/>
      <c r="C578" s="80"/>
      <c r="D578" s="80"/>
      <c r="E578" s="80"/>
      <c r="F578" s="80"/>
      <c r="G578" s="80"/>
      <c r="H578" s="81"/>
      <c r="I578" s="81"/>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c r="AJ578" s="80"/>
      <c r="AK578" s="80"/>
      <c r="AL578" s="80"/>
      <c r="AM578" s="80"/>
      <c r="AN578" s="80">
        <f>IFERROR(__xludf.DUMMYFUNCTION("""COMPUTED_VALUE"""),0.0)</f>
        <v>0</v>
      </c>
      <c r="AO578" s="80">
        <f>IFERROR(__xludf.DUMMYFUNCTION("""COMPUTED_VALUE"""),0.0)</f>
        <v>0</v>
      </c>
      <c r="AP578" s="80">
        <f>IFERROR(__xludf.DUMMYFUNCTION("""COMPUTED_VALUE"""),0.0)</f>
        <v>0</v>
      </c>
      <c r="AQ578" s="80">
        <f>IFERROR(__xludf.DUMMYFUNCTION("""COMPUTED_VALUE"""),0.0)</f>
        <v>0</v>
      </c>
      <c r="AR578" s="80">
        <f>IFERROR(__xludf.DUMMYFUNCTION("""COMPUTED_VALUE"""),0.0)</f>
        <v>0</v>
      </c>
      <c r="AS578" s="80"/>
      <c r="AT578" s="80">
        <f>IFERROR(__xludf.DUMMYFUNCTION("""COMPUTED_VALUE"""),0.0)</f>
        <v>0</v>
      </c>
      <c r="AU578" s="80"/>
      <c r="AV578" s="80"/>
      <c r="AW578" s="82" t="str">
        <f t="shared" si="1"/>
        <v/>
      </c>
      <c r="AX578" s="83" t="str">
        <f t="array" ref="AX578">IFERROR(DGET('SBV Import'!A:G,"SBV",{"RSC ID","Tier";B578,A578}))</f>
        <v/>
      </c>
      <c r="AY578" s="82" t="str">
        <f t="shared" si="2"/>
        <v/>
      </c>
      <c r="AZ578" s="82"/>
      <c r="BA578" s="84" t="s">
        <v>152</v>
      </c>
      <c r="BB578" s="84" t="str">
        <f>IFERROR(__xludf.DUMMYFUNCTION("iferror(if(A578="""",,E578&gt;=FILTER(Constants!$F$2:$F$10,Constants!$A$2:$A$10=A578)))"),"")</f>
        <v/>
      </c>
    </row>
    <row r="579">
      <c r="A579" s="80"/>
      <c r="B579" s="80"/>
      <c r="C579" s="80"/>
      <c r="D579" s="80"/>
      <c r="E579" s="80"/>
      <c r="F579" s="80"/>
      <c r="G579" s="80"/>
      <c r="H579" s="81"/>
      <c r="I579" s="81"/>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c r="AJ579" s="80"/>
      <c r="AK579" s="80"/>
      <c r="AL579" s="80"/>
      <c r="AM579" s="80"/>
      <c r="AN579" s="80">
        <f>IFERROR(__xludf.DUMMYFUNCTION("""COMPUTED_VALUE"""),0.0)</f>
        <v>0</v>
      </c>
      <c r="AO579" s="80">
        <f>IFERROR(__xludf.DUMMYFUNCTION("""COMPUTED_VALUE"""),0.0)</f>
        <v>0</v>
      </c>
      <c r="AP579" s="80">
        <f>IFERROR(__xludf.DUMMYFUNCTION("""COMPUTED_VALUE"""),0.0)</f>
        <v>0</v>
      </c>
      <c r="AQ579" s="80">
        <f>IFERROR(__xludf.DUMMYFUNCTION("""COMPUTED_VALUE"""),0.0)</f>
        <v>0</v>
      </c>
      <c r="AR579" s="80">
        <f>IFERROR(__xludf.DUMMYFUNCTION("""COMPUTED_VALUE"""),0.0)</f>
        <v>0</v>
      </c>
      <c r="AS579" s="80"/>
      <c r="AT579" s="80">
        <f>IFERROR(__xludf.DUMMYFUNCTION("""COMPUTED_VALUE"""),0.0)</f>
        <v>0</v>
      </c>
      <c r="AU579" s="80"/>
      <c r="AV579" s="80"/>
      <c r="AW579" s="82" t="str">
        <f t="shared" si="1"/>
        <v/>
      </c>
      <c r="AX579" s="83" t="str">
        <f t="array" ref="AX579">IFERROR(DGET('SBV Import'!A:G,"SBV",{"RSC ID","Tier";B579,A579}))</f>
        <v/>
      </c>
      <c r="AY579" s="82" t="str">
        <f t="shared" si="2"/>
        <v/>
      </c>
      <c r="AZ579" s="82"/>
      <c r="BA579" s="84" t="s">
        <v>152</v>
      </c>
      <c r="BB579" s="84" t="str">
        <f>IFERROR(__xludf.DUMMYFUNCTION("iferror(if(A579="""",,E579&gt;=FILTER(Constants!$F$2:$F$10,Constants!$A$2:$A$10=A579)))"),"")</f>
        <v/>
      </c>
    </row>
    <row r="580">
      <c r="A580" s="80"/>
      <c r="B580" s="80"/>
      <c r="C580" s="80"/>
      <c r="D580" s="80"/>
      <c r="E580" s="80"/>
      <c r="F580" s="80"/>
      <c r="G580" s="80"/>
      <c r="H580" s="81"/>
      <c r="I580" s="81"/>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c r="AJ580" s="80"/>
      <c r="AK580" s="80"/>
      <c r="AL580" s="80"/>
      <c r="AM580" s="80"/>
      <c r="AN580" s="80">
        <f>IFERROR(__xludf.DUMMYFUNCTION("""COMPUTED_VALUE"""),0.0)</f>
        <v>0</v>
      </c>
      <c r="AO580" s="80">
        <f>IFERROR(__xludf.DUMMYFUNCTION("""COMPUTED_VALUE"""),0.0)</f>
        <v>0</v>
      </c>
      <c r="AP580" s="80">
        <f>IFERROR(__xludf.DUMMYFUNCTION("""COMPUTED_VALUE"""),0.0)</f>
        <v>0</v>
      </c>
      <c r="AQ580" s="80">
        <f>IFERROR(__xludf.DUMMYFUNCTION("""COMPUTED_VALUE"""),0.0)</f>
        <v>0</v>
      </c>
      <c r="AR580" s="80">
        <f>IFERROR(__xludf.DUMMYFUNCTION("""COMPUTED_VALUE"""),0.0)</f>
        <v>0</v>
      </c>
      <c r="AS580" s="80"/>
      <c r="AT580" s="80">
        <f>IFERROR(__xludf.DUMMYFUNCTION("""COMPUTED_VALUE"""),0.0)</f>
        <v>0</v>
      </c>
      <c r="AU580" s="80"/>
      <c r="AV580" s="80"/>
      <c r="AW580" s="82" t="str">
        <f t="shared" si="1"/>
        <v/>
      </c>
      <c r="AX580" s="83" t="str">
        <f t="array" ref="AX580">IFERROR(DGET('SBV Import'!A:G,"SBV",{"RSC ID","Tier";B580,A580}))</f>
        <v/>
      </c>
      <c r="AY580" s="82" t="str">
        <f t="shared" si="2"/>
        <v/>
      </c>
      <c r="AZ580" s="82"/>
      <c r="BA580" s="84" t="s">
        <v>152</v>
      </c>
      <c r="BB580" s="84" t="str">
        <f>IFERROR(__xludf.DUMMYFUNCTION("iferror(if(A580="""",,E580&gt;=FILTER(Constants!$F$2:$F$10,Constants!$A$2:$A$10=A580)))"),"")</f>
        <v/>
      </c>
    </row>
    <row r="581">
      <c r="A581" s="80"/>
      <c r="B581" s="80"/>
      <c r="C581" s="80"/>
      <c r="D581" s="80"/>
      <c r="E581" s="80"/>
      <c r="F581" s="80"/>
      <c r="G581" s="80"/>
      <c r="H581" s="81"/>
      <c r="I581" s="81"/>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c r="AJ581" s="80"/>
      <c r="AK581" s="80"/>
      <c r="AL581" s="80"/>
      <c r="AM581" s="80"/>
      <c r="AN581" s="80">
        <f>IFERROR(__xludf.DUMMYFUNCTION("""COMPUTED_VALUE"""),0.0)</f>
        <v>0</v>
      </c>
      <c r="AO581" s="80">
        <f>IFERROR(__xludf.DUMMYFUNCTION("""COMPUTED_VALUE"""),0.0)</f>
        <v>0</v>
      </c>
      <c r="AP581" s="80">
        <f>IFERROR(__xludf.DUMMYFUNCTION("""COMPUTED_VALUE"""),0.0)</f>
        <v>0</v>
      </c>
      <c r="AQ581" s="80">
        <f>IFERROR(__xludf.DUMMYFUNCTION("""COMPUTED_VALUE"""),0.0)</f>
        <v>0</v>
      </c>
      <c r="AR581" s="80">
        <f>IFERROR(__xludf.DUMMYFUNCTION("""COMPUTED_VALUE"""),0.0)</f>
        <v>0</v>
      </c>
      <c r="AS581" s="80"/>
      <c r="AT581" s="80">
        <f>IFERROR(__xludf.DUMMYFUNCTION("""COMPUTED_VALUE"""),0.0)</f>
        <v>0</v>
      </c>
      <c r="AU581" s="80"/>
      <c r="AV581" s="80"/>
      <c r="AW581" s="82" t="str">
        <f t="shared" si="1"/>
        <v/>
      </c>
      <c r="AX581" s="83" t="str">
        <f t="array" ref="AX581">IFERROR(DGET('SBV Import'!A:G,"SBV",{"RSC ID","Tier";B581,A581}))</f>
        <v/>
      </c>
      <c r="AY581" s="82" t="str">
        <f t="shared" si="2"/>
        <v/>
      </c>
      <c r="AZ581" s="82"/>
      <c r="BA581" s="84" t="s">
        <v>152</v>
      </c>
      <c r="BB581" s="84" t="str">
        <f>IFERROR(__xludf.DUMMYFUNCTION("iferror(if(A581="""",,E581&gt;=FILTER(Constants!$F$2:$F$10,Constants!$A$2:$A$10=A581)))"),"")</f>
        <v/>
      </c>
    </row>
    <row r="582">
      <c r="A582" s="80"/>
      <c r="B582" s="80"/>
      <c r="C582" s="80"/>
      <c r="D582" s="80"/>
      <c r="E582" s="80"/>
      <c r="F582" s="80"/>
      <c r="G582" s="80"/>
      <c r="H582" s="81"/>
      <c r="I582" s="81"/>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c r="AJ582" s="80"/>
      <c r="AK582" s="80"/>
      <c r="AL582" s="80"/>
      <c r="AM582" s="80"/>
      <c r="AN582" s="80">
        <f>IFERROR(__xludf.DUMMYFUNCTION("""COMPUTED_VALUE"""),0.0)</f>
        <v>0</v>
      </c>
      <c r="AO582" s="80">
        <f>IFERROR(__xludf.DUMMYFUNCTION("""COMPUTED_VALUE"""),0.0)</f>
        <v>0</v>
      </c>
      <c r="AP582" s="80">
        <f>IFERROR(__xludf.DUMMYFUNCTION("""COMPUTED_VALUE"""),0.0)</f>
        <v>0</v>
      </c>
      <c r="AQ582" s="80">
        <f>IFERROR(__xludf.DUMMYFUNCTION("""COMPUTED_VALUE"""),0.0)</f>
        <v>0</v>
      </c>
      <c r="AR582" s="80">
        <f>IFERROR(__xludf.DUMMYFUNCTION("""COMPUTED_VALUE"""),0.0)</f>
        <v>0</v>
      </c>
      <c r="AS582" s="80"/>
      <c r="AT582" s="80">
        <f>IFERROR(__xludf.DUMMYFUNCTION("""COMPUTED_VALUE"""),0.0)</f>
        <v>0</v>
      </c>
      <c r="AU582" s="80"/>
      <c r="AV582" s="80"/>
      <c r="AW582" s="82" t="str">
        <f t="shared" si="1"/>
        <v/>
      </c>
      <c r="AX582" s="83" t="str">
        <f t="array" ref="AX582">IFERROR(DGET('SBV Import'!A:G,"SBV",{"RSC ID","Tier";B582,A582}))</f>
        <v/>
      </c>
      <c r="AY582" s="82" t="str">
        <f t="shared" si="2"/>
        <v/>
      </c>
      <c r="AZ582" s="82"/>
      <c r="BA582" s="84" t="s">
        <v>152</v>
      </c>
      <c r="BB582" s="84" t="str">
        <f>IFERROR(__xludf.DUMMYFUNCTION("iferror(if(A582="""",,E582&gt;=FILTER(Constants!$F$2:$F$10,Constants!$A$2:$A$10=A582)))"),"")</f>
        <v/>
      </c>
    </row>
    <row r="583">
      <c r="A583" s="80"/>
      <c r="B583" s="80"/>
      <c r="C583" s="80"/>
      <c r="D583" s="80"/>
      <c r="E583" s="80"/>
      <c r="F583" s="80"/>
      <c r="G583" s="80"/>
      <c r="H583" s="81"/>
      <c r="I583" s="81"/>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c r="AJ583" s="80"/>
      <c r="AK583" s="80"/>
      <c r="AL583" s="80"/>
      <c r="AM583" s="80"/>
      <c r="AN583" s="80">
        <f>IFERROR(__xludf.DUMMYFUNCTION("""COMPUTED_VALUE"""),0.0)</f>
        <v>0</v>
      </c>
      <c r="AO583" s="80">
        <f>IFERROR(__xludf.DUMMYFUNCTION("""COMPUTED_VALUE"""),0.0)</f>
        <v>0</v>
      </c>
      <c r="AP583" s="80">
        <f>IFERROR(__xludf.DUMMYFUNCTION("""COMPUTED_VALUE"""),0.0)</f>
        <v>0</v>
      </c>
      <c r="AQ583" s="80">
        <f>IFERROR(__xludf.DUMMYFUNCTION("""COMPUTED_VALUE"""),0.0)</f>
        <v>0</v>
      </c>
      <c r="AR583" s="80">
        <f>IFERROR(__xludf.DUMMYFUNCTION("""COMPUTED_VALUE"""),0.0)</f>
        <v>0</v>
      </c>
      <c r="AS583" s="80"/>
      <c r="AT583" s="80">
        <f>IFERROR(__xludf.DUMMYFUNCTION("""COMPUTED_VALUE"""),0.0)</f>
        <v>0</v>
      </c>
      <c r="AU583" s="80"/>
      <c r="AV583" s="80"/>
      <c r="AW583" s="82" t="str">
        <f t="shared" si="1"/>
        <v/>
      </c>
      <c r="AX583" s="83" t="str">
        <f t="array" ref="AX583">IFERROR(DGET('SBV Import'!A:G,"SBV",{"RSC ID","Tier";B583,A583}))</f>
        <v/>
      </c>
      <c r="AY583" s="82" t="str">
        <f t="shared" si="2"/>
        <v/>
      </c>
      <c r="AZ583" s="82"/>
      <c r="BA583" s="84" t="s">
        <v>152</v>
      </c>
      <c r="BB583" s="84" t="str">
        <f>IFERROR(__xludf.DUMMYFUNCTION("iferror(if(A583="""",,E583&gt;=FILTER(Constants!$F$2:$F$10,Constants!$A$2:$A$10=A583)))"),"")</f>
        <v/>
      </c>
    </row>
    <row r="584">
      <c r="A584" s="80"/>
      <c r="B584" s="80"/>
      <c r="C584" s="80"/>
      <c r="D584" s="80"/>
      <c r="E584" s="80"/>
      <c r="F584" s="80"/>
      <c r="G584" s="80"/>
      <c r="H584" s="81"/>
      <c r="I584" s="81"/>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c r="AJ584" s="80"/>
      <c r="AK584" s="80"/>
      <c r="AL584" s="80"/>
      <c r="AM584" s="80"/>
      <c r="AN584" s="80">
        <f>IFERROR(__xludf.DUMMYFUNCTION("""COMPUTED_VALUE"""),0.0)</f>
        <v>0</v>
      </c>
      <c r="AO584" s="80">
        <f>IFERROR(__xludf.DUMMYFUNCTION("""COMPUTED_VALUE"""),0.0)</f>
        <v>0</v>
      </c>
      <c r="AP584" s="80">
        <f>IFERROR(__xludf.DUMMYFUNCTION("""COMPUTED_VALUE"""),0.0)</f>
        <v>0</v>
      </c>
      <c r="AQ584" s="80">
        <f>IFERROR(__xludf.DUMMYFUNCTION("""COMPUTED_VALUE"""),0.0)</f>
        <v>0</v>
      </c>
      <c r="AR584" s="80">
        <f>IFERROR(__xludf.DUMMYFUNCTION("""COMPUTED_VALUE"""),0.0)</f>
        <v>0</v>
      </c>
      <c r="AS584" s="80"/>
      <c r="AT584" s="80">
        <f>IFERROR(__xludf.DUMMYFUNCTION("""COMPUTED_VALUE"""),0.0)</f>
        <v>0</v>
      </c>
      <c r="AU584" s="80"/>
      <c r="AV584" s="80"/>
      <c r="AW584" s="82" t="str">
        <f t="shared" si="1"/>
        <v/>
      </c>
      <c r="AX584" s="83" t="str">
        <f t="array" ref="AX584">IFERROR(DGET('SBV Import'!A:G,"SBV",{"RSC ID","Tier";B584,A584}))</f>
        <v/>
      </c>
      <c r="AY584" s="82" t="str">
        <f t="shared" si="2"/>
        <v/>
      </c>
      <c r="AZ584" s="82"/>
      <c r="BA584" s="84" t="s">
        <v>152</v>
      </c>
      <c r="BB584" s="84" t="str">
        <f>IFERROR(__xludf.DUMMYFUNCTION("iferror(if(A584="""",,E584&gt;=FILTER(Constants!$F$2:$F$10,Constants!$A$2:$A$10=A584)))"),"")</f>
        <v/>
      </c>
    </row>
    <row r="585">
      <c r="A585" s="80"/>
      <c r="B585" s="80"/>
      <c r="C585" s="80"/>
      <c r="D585" s="80"/>
      <c r="E585" s="80"/>
      <c r="F585" s="80"/>
      <c r="G585" s="80"/>
      <c r="H585" s="81"/>
      <c r="I585" s="81"/>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c r="AJ585" s="80"/>
      <c r="AK585" s="80"/>
      <c r="AL585" s="80"/>
      <c r="AM585" s="80"/>
      <c r="AN585" s="80">
        <f>IFERROR(__xludf.DUMMYFUNCTION("""COMPUTED_VALUE"""),0.0)</f>
        <v>0</v>
      </c>
      <c r="AO585" s="80">
        <f>IFERROR(__xludf.DUMMYFUNCTION("""COMPUTED_VALUE"""),0.0)</f>
        <v>0</v>
      </c>
      <c r="AP585" s="80">
        <f>IFERROR(__xludf.DUMMYFUNCTION("""COMPUTED_VALUE"""),0.0)</f>
        <v>0</v>
      </c>
      <c r="AQ585" s="80">
        <f>IFERROR(__xludf.DUMMYFUNCTION("""COMPUTED_VALUE"""),0.0)</f>
        <v>0</v>
      </c>
      <c r="AR585" s="80">
        <f>IFERROR(__xludf.DUMMYFUNCTION("""COMPUTED_VALUE"""),0.0)</f>
        <v>0</v>
      </c>
      <c r="AS585" s="80"/>
      <c r="AT585" s="80">
        <f>IFERROR(__xludf.DUMMYFUNCTION("""COMPUTED_VALUE"""),0.0)</f>
        <v>0</v>
      </c>
      <c r="AU585" s="80"/>
      <c r="AV585" s="80"/>
      <c r="AW585" s="82" t="str">
        <f t="shared" si="1"/>
        <v/>
      </c>
      <c r="AX585" s="83" t="str">
        <f t="array" ref="AX585">IFERROR(DGET('SBV Import'!A:G,"SBV",{"RSC ID","Tier";B585,A585}))</f>
        <v/>
      </c>
      <c r="AY585" s="82" t="str">
        <f t="shared" si="2"/>
        <v/>
      </c>
      <c r="AZ585" s="82"/>
      <c r="BA585" s="84" t="s">
        <v>152</v>
      </c>
      <c r="BB585" s="84" t="str">
        <f>IFERROR(__xludf.DUMMYFUNCTION("iferror(if(A585="""",,E585&gt;=FILTER(Constants!$F$2:$F$10,Constants!$A$2:$A$10=A585)))"),"")</f>
        <v/>
      </c>
    </row>
    <row r="586">
      <c r="A586" s="80"/>
      <c r="B586" s="80"/>
      <c r="C586" s="80"/>
      <c r="D586" s="80"/>
      <c r="E586" s="80"/>
      <c r="F586" s="80"/>
      <c r="G586" s="80"/>
      <c r="H586" s="81"/>
      <c r="I586" s="81"/>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c r="AJ586" s="80"/>
      <c r="AK586" s="80"/>
      <c r="AL586" s="80"/>
      <c r="AM586" s="80"/>
      <c r="AN586" s="80">
        <f>IFERROR(__xludf.DUMMYFUNCTION("""COMPUTED_VALUE"""),0.0)</f>
        <v>0</v>
      </c>
      <c r="AO586" s="80">
        <f>IFERROR(__xludf.DUMMYFUNCTION("""COMPUTED_VALUE"""),0.0)</f>
        <v>0</v>
      </c>
      <c r="AP586" s="80">
        <f>IFERROR(__xludf.DUMMYFUNCTION("""COMPUTED_VALUE"""),0.0)</f>
        <v>0</v>
      </c>
      <c r="AQ586" s="80">
        <f>IFERROR(__xludf.DUMMYFUNCTION("""COMPUTED_VALUE"""),0.0)</f>
        <v>0</v>
      </c>
      <c r="AR586" s="80">
        <f>IFERROR(__xludf.DUMMYFUNCTION("""COMPUTED_VALUE"""),0.0)</f>
        <v>0</v>
      </c>
      <c r="AS586" s="80"/>
      <c r="AT586" s="80">
        <f>IFERROR(__xludf.DUMMYFUNCTION("""COMPUTED_VALUE"""),0.0)</f>
        <v>0</v>
      </c>
      <c r="AU586" s="80"/>
      <c r="AV586" s="80"/>
      <c r="AW586" s="82" t="str">
        <f t="shared" si="1"/>
        <v/>
      </c>
      <c r="AX586" s="83" t="str">
        <f t="array" ref="AX586">IFERROR(DGET('SBV Import'!A:G,"SBV",{"RSC ID","Tier";B586,A586}))</f>
        <v/>
      </c>
      <c r="AY586" s="82" t="str">
        <f t="shared" si="2"/>
        <v/>
      </c>
      <c r="AZ586" s="82"/>
      <c r="BA586" s="84" t="s">
        <v>152</v>
      </c>
      <c r="BB586" s="84" t="str">
        <f>IFERROR(__xludf.DUMMYFUNCTION("iferror(if(A586="""",,E586&gt;=FILTER(Constants!$F$2:$F$10,Constants!$A$2:$A$10=A586)))"),"")</f>
        <v/>
      </c>
    </row>
    <row r="587">
      <c r="A587" s="80"/>
      <c r="B587" s="80"/>
      <c r="C587" s="80"/>
      <c r="D587" s="80"/>
      <c r="E587" s="80"/>
      <c r="F587" s="80"/>
      <c r="G587" s="80"/>
      <c r="H587" s="81"/>
      <c r="I587" s="81"/>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c r="AJ587" s="80"/>
      <c r="AK587" s="80"/>
      <c r="AL587" s="80"/>
      <c r="AM587" s="80"/>
      <c r="AN587" s="80">
        <f>IFERROR(__xludf.DUMMYFUNCTION("""COMPUTED_VALUE"""),0.0)</f>
        <v>0</v>
      </c>
      <c r="AO587" s="80">
        <f>IFERROR(__xludf.DUMMYFUNCTION("""COMPUTED_VALUE"""),0.0)</f>
        <v>0</v>
      </c>
      <c r="AP587" s="80">
        <f>IFERROR(__xludf.DUMMYFUNCTION("""COMPUTED_VALUE"""),0.0)</f>
        <v>0</v>
      </c>
      <c r="AQ587" s="80">
        <f>IFERROR(__xludf.DUMMYFUNCTION("""COMPUTED_VALUE"""),0.0)</f>
        <v>0</v>
      </c>
      <c r="AR587" s="80">
        <f>IFERROR(__xludf.DUMMYFUNCTION("""COMPUTED_VALUE"""),0.0)</f>
        <v>0</v>
      </c>
      <c r="AS587" s="80"/>
      <c r="AT587" s="80">
        <f>IFERROR(__xludf.DUMMYFUNCTION("""COMPUTED_VALUE"""),0.0)</f>
        <v>0</v>
      </c>
      <c r="AU587" s="80"/>
      <c r="AV587" s="80"/>
      <c r="AW587" s="82" t="str">
        <f t="shared" si="1"/>
        <v/>
      </c>
      <c r="AX587" s="83" t="str">
        <f t="array" ref="AX587">IFERROR(DGET('SBV Import'!A:G,"SBV",{"RSC ID","Tier";B587,A587}))</f>
        <v/>
      </c>
      <c r="AY587" s="82" t="str">
        <f t="shared" si="2"/>
        <v/>
      </c>
      <c r="AZ587" s="82"/>
      <c r="BA587" s="84" t="s">
        <v>152</v>
      </c>
      <c r="BB587" s="84" t="str">
        <f>IFERROR(__xludf.DUMMYFUNCTION("iferror(if(A587="""",,E587&gt;=FILTER(Constants!$F$2:$F$10,Constants!$A$2:$A$10=A587)))"),"")</f>
        <v/>
      </c>
    </row>
    <row r="588">
      <c r="A588" s="80"/>
      <c r="B588" s="80"/>
      <c r="C588" s="80"/>
      <c r="D588" s="80"/>
      <c r="E588" s="80"/>
      <c r="F588" s="80"/>
      <c r="G588" s="80"/>
      <c r="H588" s="81"/>
      <c r="I588" s="81"/>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c r="AJ588" s="80"/>
      <c r="AK588" s="80"/>
      <c r="AL588" s="80"/>
      <c r="AM588" s="80"/>
      <c r="AN588" s="80">
        <f>IFERROR(__xludf.DUMMYFUNCTION("""COMPUTED_VALUE"""),0.0)</f>
        <v>0</v>
      </c>
      <c r="AO588" s="80">
        <f>IFERROR(__xludf.DUMMYFUNCTION("""COMPUTED_VALUE"""),0.0)</f>
        <v>0</v>
      </c>
      <c r="AP588" s="80">
        <f>IFERROR(__xludf.DUMMYFUNCTION("""COMPUTED_VALUE"""),0.0)</f>
        <v>0</v>
      </c>
      <c r="AQ588" s="80">
        <f>IFERROR(__xludf.DUMMYFUNCTION("""COMPUTED_VALUE"""),0.0)</f>
        <v>0</v>
      </c>
      <c r="AR588" s="80">
        <f>IFERROR(__xludf.DUMMYFUNCTION("""COMPUTED_VALUE"""),0.0)</f>
        <v>0</v>
      </c>
      <c r="AS588" s="80"/>
      <c r="AT588" s="80">
        <f>IFERROR(__xludf.DUMMYFUNCTION("""COMPUTED_VALUE"""),0.0)</f>
        <v>0</v>
      </c>
      <c r="AU588" s="80"/>
      <c r="AV588" s="80"/>
      <c r="AW588" s="82" t="str">
        <f t="shared" si="1"/>
        <v/>
      </c>
      <c r="AX588" s="83" t="str">
        <f t="array" ref="AX588">IFERROR(DGET('SBV Import'!A:G,"SBV",{"RSC ID","Tier";B588,A588}))</f>
        <v/>
      </c>
      <c r="AY588" s="82" t="str">
        <f t="shared" si="2"/>
        <v/>
      </c>
      <c r="AZ588" s="82"/>
      <c r="BA588" s="84" t="s">
        <v>152</v>
      </c>
      <c r="BB588" s="84" t="str">
        <f>IFERROR(__xludf.DUMMYFUNCTION("iferror(if(A588="""",,E588&gt;=FILTER(Constants!$F$2:$F$10,Constants!$A$2:$A$10=A588)))"),"")</f>
        <v/>
      </c>
    </row>
    <row r="589">
      <c r="A589" s="80"/>
      <c r="B589" s="80"/>
      <c r="C589" s="80"/>
      <c r="D589" s="80"/>
      <c r="E589" s="80"/>
      <c r="F589" s="80"/>
      <c r="G589" s="80"/>
      <c r="H589" s="81"/>
      <c r="I589" s="81"/>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c r="AJ589" s="80"/>
      <c r="AK589" s="80"/>
      <c r="AL589" s="80"/>
      <c r="AM589" s="80"/>
      <c r="AN589" s="80">
        <f>IFERROR(__xludf.DUMMYFUNCTION("""COMPUTED_VALUE"""),0.0)</f>
        <v>0</v>
      </c>
      <c r="AO589" s="80">
        <f>IFERROR(__xludf.DUMMYFUNCTION("""COMPUTED_VALUE"""),0.0)</f>
        <v>0</v>
      </c>
      <c r="AP589" s="80">
        <f>IFERROR(__xludf.DUMMYFUNCTION("""COMPUTED_VALUE"""),0.0)</f>
        <v>0</v>
      </c>
      <c r="AQ589" s="80">
        <f>IFERROR(__xludf.DUMMYFUNCTION("""COMPUTED_VALUE"""),0.0)</f>
        <v>0</v>
      </c>
      <c r="AR589" s="80">
        <f>IFERROR(__xludf.DUMMYFUNCTION("""COMPUTED_VALUE"""),0.0)</f>
        <v>0</v>
      </c>
      <c r="AS589" s="80"/>
      <c r="AT589" s="80">
        <f>IFERROR(__xludf.DUMMYFUNCTION("""COMPUTED_VALUE"""),0.0)</f>
        <v>0</v>
      </c>
      <c r="AU589" s="80"/>
      <c r="AV589" s="80"/>
      <c r="AW589" s="82" t="str">
        <f t="shared" si="1"/>
        <v/>
      </c>
      <c r="AX589" s="83" t="str">
        <f t="array" ref="AX589">IFERROR(DGET('SBV Import'!A:G,"SBV",{"RSC ID","Tier";B589,A589}))</f>
        <v/>
      </c>
      <c r="AY589" s="82" t="str">
        <f t="shared" si="2"/>
        <v/>
      </c>
      <c r="AZ589" s="82"/>
      <c r="BA589" s="84" t="s">
        <v>152</v>
      </c>
      <c r="BB589" s="84" t="str">
        <f>IFERROR(__xludf.DUMMYFUNCTION("iferror(if(A589="""",,E589&gt;=FILTER(Constants!$F$2:$F$10,Constants!$A$2:$A$10=A589)))"),"")</f>
        <v/>
      </c>
    </row>
    <row r="590">
      <c r="A590" s="80"/>
      <c r="B590" s="80"/>
      <c r="C590" s="80"/>
      <c r="D590" s="80"/>
      <c r="E590" s="80"/>
      <c r="F590" s="80"/>
      <c r="G590" s="80"/>
      <c r="H590" s="81"/>
      <c r="I590" s="81"/>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c r="AJ590" s="80"/>
      <c r="AK590" s="80"/>
      <c r="AL590" s="80"/>
      <c r="AM590" s="80"/>
      <c r="AN590" s="80">
        <f>IFERROR(__xludf.DUMMYFUNCTION("""COMPUTED_VALUE"""),0.0)</f>
        <v>0</v>
      </c>
      <c r="AO590" s="80">
        <f>IFERROR(__xludf.DUMMYFUNCTION("""COMPUTED_VALUE"""),0.0)</f>
        <v>0</v>
      </c>
      <c r="AP590" s="80">
        <f>IFERROR(__xludf.DUMMYFUNCTION("""COMPUTED_VALUE"""),0.0)</f>
        <v>0</v>
      </c>
      <c r="AQ590" s="80">
        <f>IFERROR(__xludf.DUMMYFUNCTION("""COMPUTED_VALUE"""),0.0)</f>
        <v>0</v>
      </c>
      <c r="AR590" s="80">
        <f>IFERROR(__xludf.DUMMYFUNCTION("""COMPUTED_VALUE"""),0.0)</f>
        <v>0</v>
      </c>
      <c r="AS590" s="80"/>
      <c r="AT590" s="80">
        <f>IFERROR(__xludf.DUMMYFUNCTION("""COMPUTED_VALUE"""),0.0)</f>
        <v>0</v>
      </c>
      <c r="AU590" s="80"/>
      <c r="AV590" s="80"/>
      <c r="AW590" s="82" t="str">
        <f t="shared" si="1"/>
        <v/>
      </c>
      <c r="AX590" s="83" t="str">
        <f t="array" ref="AX590">IFERROR(DGET('SBV Import'!A:G,"SBV",{"RSC ID","Tier";B590,A590}))</f>
        <v/>
      </c>
      <c r="AY590" s="82" t="str">
        <f t="shared" si="2"/>
        <v/>
      </c>
      <c r="AZ590" s="82"/>
      <c r="BA590" s="84" t="s">
        <v>152</v>
      </c>
      <c r="BB590" s="84" t="str">
        <f>IFERROR(__xludf.DUMMYFUNCTION("iferror(if(A590="""",,E590&gt;=FILTER(Constants!$F$2:$F$10,Constants!$A$2:$A$10=A590)))"),"")</f>
        <v/>
      </c>
    </row>
    <row r="591">
      <c r="A591" s="80"/>
      <c r="B591" s="80"/>
      <c r="C591" s="80"/>
      <c r="D591" s="80"/>
      <c r="E591" s="80"/>
      <c r="F591" s="80"/>
      <c r="G591" s="80"/>
      <c r="H591" s="81"/>
      <c r="I591" s="81"/>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c r="AJ591" s="80"/>
      <c r="AK591" s="80"/>
      <c r="AL591" s="80"/>
      <c r="AM591" s="80"/>
      <c r="AN591" s="80">
        <f>IFERROR(__xludf.DUMMYFUNCTION("""COMPUTED_VALUE"""),0.0)</f>
        <v>0</v>
      </c>
      <c r="AO591" s="80">
        <f>IFERROR(__xludf.DUMMYFUNCTION("""COMPUTED_VALUE"""),0.0)</f>
        <v>0</v>
      </c>
      <c r="AP591" s="80">
        <f>IFERROR(__xludf.DUMMYFUNCTION("""COMPUTED_VALUE"""),0.0)</f>
        <v>0</v>
      </c>
      <c r="AQ591" s="80">
        <f>IFERROR(__xludf.DUMMYFUNCTION("""COMPUTED_VALUE"""),0.0)</f>
        <v>0</v>
      </c>
      <c r="AR591" s="80">
        <f>IFERROR(__xludf.DUMMYFUNCTION("""COMPUTED_VALUE"""),0.0)</f>
        <v>0</v>
      </c>
      <c r="AS591" s="80"/>
      <c r="AT591" s="80">
        <f>IFERROR(__xludf.DUMMYFUNCTION("""COMPUTED_VALUE"""),0.0)</f>
        <v>0</v>
      </c>
      <c r="AU591" s="80"/>
      <c r="AV591" s="80"/>
      <c r="AW591" s="82" t="str">
        <f t="shared" si="1"/>
        <v/>
      </c>
      <c r="AX591" s="83" t="str">
        <f t="array" ref="AX591">IFERROR(DGET('SBV Import'!A:G,"SBV",{"RSC ID","Tier";B591,A591}))</f>
        <v/>
      </c>
      <c r="AY591" s="82" t="str">
        <f t="shared" si="2"/>
        <v/>
      </c>
      <c r="AZ591" s="82"/>
      <c r="BA591" s="84" t="s">
        <v>152</v>
      </c>
      <c r="BB591" s="84" t="str">
        <f>IFERROR(__xludf.DUMMYFUNCTION("iferror(if(A591="""",,E591&gt;=FILTER(Constants!$F$2:$F$10,Constants!$A$2:$A$10=A591)))"),"")</f>
        <v/>
      </c>
    </row>
    <row r="592">
      <c r="A592" s="80"/>
      <c r="B592" s="80"/>
      <c r="C592" s="80"/>
      <c r="D592" s="80"/>
      <c r="E592" s="80"/>
      <c r="F592" s="80"/>
      <c r="G592" s="80"/>
      <c r="H592" s="81"/>
      <c r="I592" s="81"/>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c r="AJ592" s="80"/>
      <c r="AK592" s="80"/>
      <c r="AL592" s="80"/>
      <c r="AM592" s="80"/>
      <c r="AN592" s="80">
        <f>IFERROR(__xludf.DUMMYFUNCTION("""COMPUTED_VALUE"""),0.0)</f>
        <v>0</v>
      </c>
      <c r="AO592" s="80">
        <f>IFERROR(__xludf.DUMMYFUNCTION("""COMPUTED_VALUE"""),0.0)</f>
        <v>0</v>
      </c>
      <c r="AP592" s="80">
        <f>IFERROR(__xludf.DUMMYFUNCTION("""COMPUTED_VALUE"""),0.0)</f>
        <v>0</v>
      </c>
      <c r="AQ592" s="80">
        <f>IFERROR(__xludf.DUMMYFUNCTION("""COMPUTED_VALUE"""),0.0)</f>
        <v>0</v>
      </c>
      <c r="AR592" s="80">
        <f>IFERROR(__xludf.DUMMYFUNCTION("""COMPUTED_VALUE"""),0.0)</f>
        <v>0</v>
      </c>
      <c r="AS592" s="80"/>
      <c r="AT592" s="80">
        <f>IFERROR(__xludf.DUMMYFUNCTION("""COMPUTED_VALUE"""),0.0)</f>
        <v>0</v>
      </c>
      <c r="AU592" s="80"/>
      <c r="AV592" s="80"/>
      <c r="AW592" s="82" t="str">
        <f t="shared" si="1"/>
        <v/>
      </c>
      <c r="AX592" s="83" t="str">
        <f t="array" ref="AX592">IFERROR(DGET('SBV Import'!A:G,"SBV",{"RSC ID","Tier";B592,A592}))</f>
        <v/>
      </c>
      <c r="AY592" s="82" t="str">
        <f t="shared" si="2"/>
        <v/>
      </c>
      <c r="AZ592" s="82"/>
      <c r="BA592" s="84" t="s">
        <v>152</v>
      </c>
      <c r="BB592" s="84" t="str">
        <f>IFERROR(__xludf.DUMMYFUNCTION("iferror(if(A592="""",,E592&gt;=FILTER(Constants!$F$2:$F$10,Constants!$A$2:$A$10=A592)))"),"")</f>
        <v/>
      </c>
    </row>
    <row r="593">
      <c r="A593" s="80"/>
      <c r="B593" s="80"/>
      <c r="C593" s="80"/>
      <c r="D593" s="80"/>
      <c r="E593" s="80"/>
      <c r="F593" s="80"/>
      <c r="G593" s="80"/>
      <c r="H593" s="81"/>
      <c r="I593" s="81"/>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c r="AJ593" s="80"/>
      <c r="AK593" s="80"/>
      <c r="AL593" s="80"/>
      <c r="AM593" s="80"/>
      <c r="AN593" s="80">
        <f>IFERROR(__xludf.DUMMYFUNCTION("""COMPUTED_VALUE"""),0.0)</f>
        <v>0</v>
      </c>
      <c r="AO593" s="80">
        <f>IFERROR(__xludf.DUMMYFUNCTION("""COMPUTED_VALUE"""),0.0)</f>
        <v>0</v>
      </c>
      <c r="AP593" s="80">
        <f>IFERROR(__xludf.DUMMYFUNCTION("""COMPUTED_VALUE"""),0.0)</f>
        <v>0</v>
      </c>
      <c r="AQ593" s="80">
        <f>IFERROR(__xludf.DUMMYFUNCTION("""COMPUTED_VALUE"""),0.0)</f>
        <v>0</v>
      </c>
      <c r="AR593" s="80">
        <f>IFERROR(__xludf.DUMMYFUNCTION("""COMPUTED_VALUE"""),0.0)</f>
        <v>0</v>
      </c>
      <c r="AS593" s="80"/>
      <c r="AT593" s="80">
        <f>IFERROR(__xludf.DUMMYFUNCTION("""COMPUTED_VALUE"""),0.0)</f>
        <v>0</v>
      </c>
      <c r="AU593" s="80"/>
      <c r="AV593" s="80"/>
      <c r="AW593" s="82" t="str">
        <f t="shared" si="1"/>
        <v/>
      </c>
      <c r="AX593" s="83" t="str">
        <f t="array" ref="AX593">IFERROR(DGET('SBV Import'!A:G,"SBV",{"RSC ID","Tier";B593,A593}))</f>
        <v/>
      </c>
      <c r="AY593" s="82" t="str">
        <f t="shared" si="2"/>
        <v/>
      </c>
      <c r="AZ593" s="82"/>
      <c r="BA593" s="84" t="s">
        <v>152</v>
      </c>
      <c r="BB593" s="84" t="str">
        <f>IFERROR(__xludf.DUMMYFUNCTION("iferror(if(A593="""",,E593&gt;=FILTER(Constants!$F$2:$F$10,Constants!$A$2:$A$10=A593)))"),"")</f>
        <v/>
      </c>
    </row>
    <row r="594">
      <c r="A594" s="80"/>
      <c r="B594" s="80"/>
      <c r="C594" s="80"/>
      <c r="D594" s="80"/>
      <c r="E594" s="80"/>
      <c r="F594" s="80"/>
      <c r="G594" s="80"/>
      <c r="H594" s="81"/>
      <c r="I594" s="81"/>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c r="AJ594" s="80"/>
      <c r="AK594" s="80"/>
      <c r="AL594" s="80"/>
      <c r="AM594" s="80"/>
      <c r="AN594" s="80">
        <f>IFERROR(__xludf.DUMMYFUNCTION("""COMPUTED_VALUE"""),0.0)</f>
        <v>0</v>
      </c>
      <c r="AO594" s="80">
        <f>IFERROR(__xludf.DUMMYFUNCTION("""COMPUTED_VALUE"""),0.0)</f>
        <v>0</v>
      </c>
      <c r="AP594" s="80">
        <f>IFERROR(__xludf.DUMMYFUNCTION("""COMPUTED_VALUE"""),0.0)</f>
        <v>0</v>
      </c>
      <c r="AQ594" s="80">
        <f>IFERROR(__xludf.DUMMYFUNCTION("""COMPUTED_VALUE"""),0.0)</f>
        <v>0</v>
      </c>
      <c r="AR594" s="80">
        <f>IFERROR(__xludf.DUMMYFUNCTION("""COMPUTED_VALUE"""),0.0)</f>
        <v>0</v>
      </c>
      <c r="AS594" s="80"/>
      <c r="AT594" s="80">
        <f>IFERROR(__xludf.DUMMYFUNCTION("""COMPUTED_VALUE"""),0.0)</f>
        <v>0</v>
      </c>
      <c r="AU594" s="80"/>
      <c r="AV594" s="80"/>
      <c r="AW594" s="82" t="str">
        <f t="shared" si="1"/>
        <v/>
      </c>
      <c r="AX594" s="83" t="str">
        <f t="array" ref="AX594">IFERROR(DGET('SBV Import'!A:G,"SBV",{"RSC ID","Tier";B594,A594}))</f>
        <v/>
      </c>
      <c r="AY594" s="82" t="str">
        <f t="shared" si="2"/>
        <v/>
      </c>
      <c r="AZ594" s="82"/>
      <c r="BA594" s="84" t="s">
        <v>152</v>
      </c>
      <c r="BB594" s="84" t="str">
        <f>IFERROR(__xludf.DUMMYFUNCTION("iferror(if(A594="""",,E594&gt;=FILTER(Constants!$F$2:$F$10,Constants!$A$2:$A$10=A594)))"),"")</f>
        <v/>
      </c>
    </row>
    <row r="595">
      <c r="A595" s="80"/>
      <c r="B595" s="80"/>
      <c r="C595" s="80"/>
      <c r="D595" s="80"/>
      <c r="E595" s="80"/>
      <c r="F595" s="80"/>
      <c r="G595" s="80"/>
      <c r="H595" s="81"/>
      <c r="I595" s="81"/>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c r="AJ595" s="80"/>
      <c r="AK595" s="80"/>
      <c r="AL595" s="80"/>
      <c r="AM595" s="80"/>
      <c r="AN595" s="80">
        <f>IFERROR(__xludf.DUMMYFUNCTION("""COMPUTED_VALUE"""),0.0)</f>
        <v>0</v>
      </c>
      <c r="AO595" s="80">
        <f>IFERROR(__xludf.DUMMYFUNCTION("""COMPUTED_VALUE"""),0.0)</f>
        <v>0</v>
      </c>
      <c r="AP595" s="80">
        <f>IFERROR(__xludf.DUMMYFUNCTION("""COMPUTED_VALUE"""),0.0)</f>
        <v>0</v>
      </c>
      <c r="AQ595" s="80">
        <f>IFERROR(__xludf.DUMMYFUNCTION("""COMPUTED_VALUE"""),0.0)</f>
        <v>0</v>
      </c>
      <c r="AR595" s="80">
        <f>IFERROR(__xludf.DUMMYFUNCTION("""COMPUTED_VALUE"""),0.0)</f>
        <v>0</v>
      </c>
      <c r="AS595" s="80"/>
      <c r="AT595" s="80">
        <f>IFERROR(__xludf.DUMMYFUNCTION("""COMPUTED_VALUE"""),0.0)</f>
        <v>0</v>
      </c>
      <c r="AU595" s="80"/>
      <c r="AV595" s="80"/>
      <c r="AW595" s="82" t="str">
        <f t="shared" si="1"/>
        <v/>
      </c>
      <c r="AX595" s="83" t="str">
        <f t="array" ref="AX595">IFERROR(DGET('SBV Import'!A:G,"SBV",{"RSC ID","Tier";B595,A595}))</f>
        <v/>
      </c>
      <c r="AY595" s="82" t="str">
        <f t="shared" si="2"/>
        <v/>
      </c>
      <c r="AZ595" s="82"/>
      <c r="BA595" s="84" t="s">
        <v>152</v>
      </c>
      <c r="BB595" s="84" t="str">
        <f>IFERROR(__xludf.DUMMYFUNCTION("iferror(if(A595="""",,E595&gt;=FILTER(Constants!$F$2:$F$10,Constants!$A$2:$A$10=A595)))"),"")</f>
        <v/>
      </c>
    </row>
    <row r="596">
      <c r="A596" s="80"/>
      <c r="B596" s="80"/>
      <c r="C596" s="80"/>
      <c r="D596" s="80"/>
      <c r="E596" s="80"/>
      <c r="F596" s="80"/>
      <c r="G596" s="80"/>
      <c r="H596" s="81"/>
      <c r="I596" s="81"/>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c r="AJ596" s="80"/>
      <c r="AK596" s="80"/>
      <c r="AL596" s="80"/>
      <c r="AM596" s="80"/>
      <c r="AN596" s="80">
        <f>IFERROR(__xludf.DUMMYFUNCTION("""COMPUTED_VALUE"""),0.0)</f>
        <v>0</v>
      </c>
      <c r="AO596" s="80">
        <f>IFERROR(__xludf.DUMMYFUNCTION("""COMPUTED_VALUE"""),0.0)</f>
        <v>0</v>
      </c>
      <c r="AP596" s="80">
        <f>IFERROR(__xludf.DUMMYFUNCTION("""COMPUTED_VALUE"""),0.0)</f>
        <v>0</v>
      </c>
      <c r="AQ596" s="80">
        <f>IFERROR(__xludf.DUMMYFUNCTION("""COMPUTED_VALUE"""),0.0)</f>
        <v>0</v>
      </c>
      <c r="AR596" s="80">
        <f>IFERROR(__xludf.DUMMYFUNCTION("""COMPUTED_VALUE"""),0.0)</f>
        <v>0</v>
      </c>
      <c r="AS596" s="80"/>
      <c r="AT596" s="80">
        <f>IFERROR(__xludf.DUMMYFUNCTION("""COMPUTED_VALUE"""),0.0)</f>
        <v>0</v>
      </c>
      <c r="AU596" s="80"/>
      <c r="AV596" s="80"/>
      <c r="AW596" s="82" t="str">
        <f t="shared" si="1"/>
        <v/>
      </c>
      <c r="AX596" s="83" t="str">
        <f t="array" ref="AX596">IFERROR(DGET('SBV Import'!A:G,"SBV",{"RSC ID","Tier";B596,A596}))</f>
        <v/>
      </c>
      <c r="AY596" s="82" t="str">
        <f t="shared" si="2"/>
        <v/>
      </c>
      <c r="AZ596" s="82"/>
      <c r="BA596" s="84" t="s">
        <v>152</v>
      </c>
      <c r="BB596" s="84" t="str">
        <f>IFERROR(__xludf.DUMMYFUNCTION("iferror(if(A596="""",,E596&gt;=FILTER(Constants!$F$2:$F$10,Constants!$A$2:$A$10=A596)))"),"")</f>
        <v/>
      </c>
    </row>
    <row r="597">
      <c r="A597" s="80"/>
      <c r="B597" s="80"/>
      <c r="C597" s="80"/>
      <c r="D597" s="80"/>
      <c r="E597" s="80"/>
      <c r="F597" s="80"/>
      <c r="G597" s="80"/>
      <c r="H597" s="81"/>
      <c r="I597" s="81"/>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c r="AJ597" s="80"/>
      <c r="AK597" s="80"/>
      <c r="AL597" s="80"/>
      <c r="AM597" s="80"/>
      <c r="AN597" s="80">
        <f>IFERROR(__xludf.DUMMYFUNCTION("""COMPUTED_VALUE"""),0.0)</f>
        <v>0</v>
      </c>
      <c r="AO597" s="80">
        <f>IFERROR(__xludf.DUMMYFUNCTION("""COMPUTED_VALUE"""),0.0)</f>
        <v>0</v>
      </c>
      <c r="AP597" s="80">
        <f>IFERROR(__xludf.DUMMYFUNCTION("""COMPUTED_VALUE"""),0.0)</f>
        <v>0</v>
      </c>
      <c r="AQ597" s="80">
        <f>IFERROR(__xludf.DUMMYFUNCTION("""COMPUTED_VALUE"""),0.0)</f>
        <v>0</v>
      </c>
      <c r="AR597" s="80">
        <f>IFERROR(__xludf.DUMMYFUNCTION("""COMPUTED_VALUE"""),0.0)</f>
        <v>0</v>
      </c>
      <c r="AS597" s="80"/>
      <c r="AT597" s="80">
        <f>IFERROR(__xludf.DUMMYFUNCTION("""COMPUTED_VALUE"""),0.0)</f>
        <v>0</v>
      </c>
      <c r="AU597" s="80"/>
      <c r="AV597" s="80"/>
      <c r="AW597" s="82" t="str">
        <f t="shared" si="1"/>
        <v/>
      </c>
      <c r="AX597" s="83" t="str">
        <f t="array" ref="AX597">IFERROR(DGET('SBV Import'!A:G,"SBV",{"RSC ID","Tier";B597,A597}))</f>
        <v/>
      </c>
      <c r="AY597" s="82" t="str">
        <f t="shared" si="2"/>
        <v/>
      </c>
      <c r="AZ597" s="82"/>
      <c r="BA597" s="84" t="s">
        <v>152</v>
      </c>
      <c r="BB597" s="84" t="str">
        <f>IFERROR(__xludf.DUMMYFUNCTION("iferror(if(A597="""",,E597&gt;=FILTER(Constants!$F$2:$F$10,Constants!$A$2:$A$10=A597)))"),"")</f>
        <v/>
      </c>
    </row>
    <row r="598">
      <c r="A598" s="80"/>
      <c r="B598" s="80"/>
      <c r="C598" s="80"/>
      <c r="D598" s="80"/>
      <c r="E598" s="80"/>
      <c r="F598" s="80"/>
      <c r="G598" s="80"/>
      <c r="H598" s="81"/>
      <c r="I598" s="81"/>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c r="AJ598" s="80"/>
      <c r="AK598" s="80"/>
      <c r="AL598" s="80"/>
      <c r="AM598" s="80"/>
      <c r="AN598" s="80">
        <f>IFERROR(__xludf.DUMMYFUNCTION("""COMPUTED_VALUE"""),0.0)</f>
        <v>0</v>
      </c>
      <c r="AO598" s="80">
        <f>IFERROR(__xludf.DUMMYFUNCTION("""COMPUTED_VALUE"""),0.0)</f>
        <v>0</v>
      </c>
      <c r="AP598" s="80">
        <f>IFERROR(__xludf.DUMMYFUNCTION("""COMPUTED_VALUE"""),0.0)</f>
        <v>0</v>
      </c>
      <c r="AQ598" s="80">
        <f>IFERROR(__xludf.DUMMYFUNCTION("""COMPUTED_VALUE"""),0.0)</f>
        <v>0</v>
      </c>
      <c r="AR598" s="80">
        <f>IFERROR(__xludf.DUMMYFUNCTION("""COMPUTED_VALUE"""),0.0)</f>
        <v>0</v>
      </c>
      <c r="AS598" s="80"/>
      <c r="AT598" s="80">
        <f>IFERROR(__xludf.DUMMYFUNCTION("""COMPUTED_VALUE"""),0.0)</f>
        <v>0</v>
      </c>
      <c r="AU598" s="80"/>
      <c r="AV598" s="80"/>
      <c r="AW598" s="82" t="str">
        <f t="shared" si="1"/>
        <v/>
      </c>
      <c r="AX598" s="83" t="str">
        <f t="array" ref="AX598">IFERROR(DGET('SBV Import'!A:G,"SBV",{"RSC ID","Tier";B598,A598}))</f>
        <v/>
      </c>
      <c r="AY598" s="82" t="str">
        <f t="shared" si="2"/>
        <v/>
      </c>
      <c r="AZ598" s="82"/>
      <c r="BA598" s="84" t="s">
        <v>152</v>
      </c>
      <c r="BB598" s="84" t="str">
        <f>IFERROR(__xludf.DUMMYFUNCTION("iferror(if(A598="""",,E598&gt;=FILTER(Constants!$F$2:$F$10,Constants!$A$2:$A$10=A598)))"),"")</f>
        <v/>
      </c>
    </row>
    <row r="599">
      <c r="A599" s="80"/>
      <c r="B599" s="80"/>
      <c r="C599" s="80"/>
      <c r="D599" s="80"/>
      <c r="E599" s="80"/>
      <c r="F599" s="80"/>
      <c r="G599" s="80"/>
      <c r="H599" s="81"/>
      <c r="I599" s="81"/>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c r="AJ599" s="80"/>
      <c r="AK599" s="80"/>
      <c r="AL599" s="80"/>
      <c r="AM599" s="80"/>
      <c r="AN599" s="80">
        <f>IFERROR(__xludf.DUMMYFUNCTION("""COMPUTED_VALUE"""),0.0)</f>
        <v>0</v>
      </c>
      <c r="AO599" s="80">
        <f>IFERROR(__xludf.DUMMYFUNCTION("""COMPUTED_VALUE"""),0.0)</f>
        <v>0</v>
      </c>
      <c r="AP599" s="80">
        <f>IFERROR(__xludf.DUMMYFUNCTION("""COMPUTED_VALUE"""),0.0)</f>
        <v>0</v>
      </c>
      <c r="AQ599" s="80">
        <f>IFERROR(__xludf.DUMMYFUNCTION("""COMPUTED_VALUE"""),0.0)</f>
        <v>0</v>
      </c>
      <c r="AR599" s="80">
        <f>IFERROR(__xludf.DUMMYFUNCTION("""COMPUTED_VALUE"""),0.0)</f>
        <v>0</v>
      </c>
      <c r="AS599" s="80"/>
      <c r="AT599" s="80">
        <f>IFERROR(__xludf.DUMMYFUNCTION("""COMPUTED_VALUE"""),0.0)</f>
        <v>0</v>
      </c>
      <c r="AU599" s="80"/>
      <c r="AV599" s="80"/>
      <c r="AW599" s="82" t="str">
        <f t="shared" si="1"/>
        <v/>
      </c>
      <c r="AX599" s="83" t="str">
        <f t="array" ref="AX599">IFERROR(DGET('SBV Import'!A:G,"SBV",{"RSC ID","Tier";B599,A599}))</f>
        <v/>
      </c>
      <c r="AY599" s="82" t="str">
        <f t="shared" si="2"/>
        <v/>
      </c>
      <c r="AZ599" s="82"/>
      <c r="BA599" s="84" t="s">
        <v>152</v>
      </c>
      <c r="BB599" s="84" t="str">
        <f>IFERROR(__xludf.DUMMYFUNCTION("iferror(if(A599="""",,E599&gt;=FILTER(Constants!$F$2:$F$10,Constants!$A$2:$A$10=A599)))"),"")</f>
        <v/>
      </c>
    </row>
    <row r="600">
      <c r="A600" s="80"/>
      <c r="B600" s="80"/>
      <c r="C600" s="80"/>
      <c r="D600" s="80"/>
      <c r="E600" s="80"/>
      <c r="F600" s="80"/>
      <c r="G600" s="80"/>
      <c r="H600" s="81"/>
      <c r="I600" s="81"/>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c r="AJ600" s="80"/>
      <c r="AK600" s="80"/>
      <c r="AL600" s="80"/>
      <c r="AM600" s="80"/>
      <c r="AN600" s="80">
        <f>IFERROR(__xludf.DUMMYFUNCTION("""COMPUTED_VALUE"""),0.0)</f>
        <v>0</v>
      </c>
      <c r="AO600" s="80">
        <f>IFERROR(__xludf.DUMMYFUNCTION("""COMPUTED_VALUE"""),0.0)</f>
        <v>0</v>
      </c>
      <c r="AP600" s="80">
        <f>IFERROR(__xludf.DUMMYFUNCTION("""COMPUTED_VALUE"""),0.0)</f>
        <v>0</v>
      </c>
      <c r="AQ600" s="80">
        <f>IFERROR(__xludf.DUMMYFUNCTION("""COMPUTED_VALUE"""),0.0)</f>
        <v>0</v>
      </c>
      <c r="AR600" s="80">
        <f>IFERROR(__xludf.DUMMYFUNCTION("""COMPUTED_VALUE"""),0.0)</f>
        <v>0</v>
      </c>
      <c r="AS600" s="80"/>
      <c r="AT600" s="80">
        <f>IFERROR(__xludf.DUMMYFUNCTION("""COMPUTED_VALUE"""),0.0)</f>
        <v>0</v>
      </c>
      <c r="AU600" s="80"/>
      <c r="AV600" s="80"/>
      <c r="AW600" s="82" t="str">
        <f t="shared" si="1"/>
        <v/>
      </c>
      <c r="AX600" s="83" t="str">
        <f t="array" ref="AX600">IFERROR(DGET('SBV Import'!A:G,"SBV",{"RSC ID","Tier";B600,A600}))</f>
        <v/>
      </c>
      <c r="AY600" s="82" t="str">
        <f t="shared" si="2"/>
        <v/>
      </c>
      <c r="AZ600" s="82"/>
      <c r="BA600" s="84" t="s">
        <v>152</v>
      </c>
      <c r="BB600" s="84" t="str">
        <f>IFERROR(__xludf.DUMMYFUNCTION("iferror(if(A600="""",,E600&gt;=FILTER(Constants!$F$2:$F$10,Constants!$A$2:$A$10=A600)))"),"")</f>
        <v/>
      </c>
    </row>
    <row r="601">
      <c r="A601" s="80"/>
      <c r="B601" s="80"/>
      <c r="C601" s="80"/>
      <c r="D601" s="80"/>
      <c r="E601" s="80"/>
      <c r="F601" s="80"/>
      <c r="G601" s="80"/>
      <c r="H601" s="81"/>
      <c r="I601" s="81"/>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c r="AJ601" s="80"/>
      <c r="AK601" s="80"/>
      <c r="AL601" s="80"/>
      <c r="AM601" s="80"/>
      <c r="AN601" s="80">
        <f>IFERROR(__xludf.DUMMYFUNCTION("""COMPUTED_VALUE"""),0.0)</f>
        <v>0</v>
      </c>
      <c r="AO601" s="80">
        <f>IFERROR(__xludf.DUMMYFUNCTION("""COMPUTED_VALUE"""),0.0)</f>
        <v>0</v>
      </c>
      <c r="AP601" s="80">
        <f>IFERROR(__xludf.DUMMYFUNCTION("""COMPUTED_VALUE"""),0.0)</f>
        <v>0</v>
      </c>
      <c r="AQ601" s="80">
        <f>IFERROR(__xludf.DUMMYFUNCTION("""COMPUTED_VALUE"""),0.0)</f>
        <v>0</v>
      </c>
      <c r="AR601" s="80">
        <f>IFERROR(__xludf.DUMMYFUNCTION("""COMPUTED_VALUE"""),0.0)</f>
        <v>0</v>
      </c>
      <c r="AS601" s="80"/>
      <c r="AT601" s="80">
        <f>IFERROR(__xludf.DUMMYFUNCTION("""COMPUTED_VALUE"""),0.0)</f>
        <v>0</v>
      </c>
      <c r="AU601" s="80"/>
      <c r="AV601" s="80"/>
      <c r="AW601" s="82" t="str">
        <f t="shared" si="1"/>
        <v/>
      </c>
      <c r="AX601" s="83" t="str">
        <f t="array" ref="AX601">IFERROR(DGET('SBV Import'!A:G,"SBV",{"RSC ID","Tier";B601,A601}))</f>
        <v/>
      </c>
      <c r="AY601" s="82" t="str">
        <f t="shared" si="2"/>
        <v/>
      </c>
      <c r="AZ601" s="82"/>
      <c r="BA601" s="84" t="s">
        <v>152</v>
      </c>
      <c r="BB601" s="84" t="str">
        <f>IFERROR(__xludf.DUMMYFUNCTION("iferror(if(A601="""",,E601&gt;=FILTER(Constants!$F$2:$F$10,Constants!$A$2:$A$10=A601)))"),"")</f>
        <v/>
      </c>
    </row>
    <row r="602">
      <c r="A602" s="80"/>
      <c r="B602" s="80"/>
      <c r="C602" s="80"/>
      <c r="D602" s="80"/>
      <c r="E602" s="80"/>
      <c r="F602" s="80"/>
      <c r="G602" s="80"/>
      <c r="H602" s="81"/>
      <c r="I602" s="81"/>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c r="AJ602" s="80"/>
      <c r="AK602" s="80"/>
      <c r="AL602" s="80"/>
      <c r="AM602" s="80"/>
      <c r="AN602" s="80">
        <f>IFERROR(__xludf.DUMMYFUNCTION("""COMPUTED_VALUE"""),0.0)</f>
        <v>0</v>
      </c>
      <c r="AO602" s="80">
        <f>IFERROR(__xludf.DUMMYFUNCTION("""COMPUTED_VALUE"""),0.0)</f>
        <v>0</v>
      </c>
      <c r="AP602" s="80">
        <f>IFERROR(__xludf.DUMMYFUNCTION("""COMPUTED_VALUE"""),0.0)</f>
        <v>0</v>
      </c>
      <c r="AQ602" s="80">
        <f>IFERROR(__xludf.DUMMYFUNCTION("""COMPUTED_VALUE"""),0.0)</f>
        <v>0</v>
      </c>
      <c r="AR602" s="80">
        <f>IFERROR(__xludf.DUMMYFUNCTION("""COMPUTED_VALUE"""),0.0)</f>
        <v>0</v>
      </c>
      <c r="AS602" s="80"/>
      <c r="AT602" s="80">
        <f>IFERROR(__xludf.DUMMYFUNCTION("""COMPUTED_VALUE"""),0.0)</f>
        <v>0</v>
      </c>
      <c r="AU602" s="80"/>
      <c r="AV602" s="80"/>
      <c r="AW602" s="82" t="str">
        <f t="shared" si="1"/>
        <v/>
      </c>
      <c r="AX602" s="83" t="str">
        <f t="array" ref="AX602">IFERROR(DGET('SBV Import'!A:G,"SBV",{"RSC ID","Tier";B602,A602}))</f>
        <v/>
      </c>
      <c r="AY602" s="82" t="str">
        <f t="shared" si="2"/>
        <v/>
      </c>
      <c r="AZ602" s="82"/>
      <c r="BA602" s="84" t="s">
        <v>152</v>
      </c>
      <c r="BB602" s="84" t="str">
        <f>IFERROR(__xludf.DUMMYFUNCTION("iferror(if(A602="""",,E602&gt;=FILTER(Constants!$F$2:$F$10,Constants!$A$2:$A$10=A602)))"),"")</f>
        <v/>
      </c>
    </row>
    <row r="603">
      <c r="A603" s="80"/>
      <c r="B603" s="80"/>
      <c r="C603" s="80"/>
      <c r="D603" s="80"/>
      <c r="E603" s="80"/>
      <c r="F603" s="80"/>
      <c r="G603" s="80"/>
      <c r="H603" s="81"/>
      <c r="I603" s="81"/>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c r="AJ603" s="80"/>
      <c r="AK603" s="80"/>
      <c r="AL603" s="80"/>
      <c r="AM603" s="80"/>
      <c r="AN603" s="80">
        <f>IFERROR(__xludf.DUMMYFUNCTION("""COMPUTED_VALUE"""),0.0)</f>
        <v>0</v>
      </c>
      <c r="AO603" s="80">
        <f>IFERROR(__xludf.DUMMYFUNCTION("""COMPUTED_VALUE"""),0.0)</f>
        <v>0</v>
      </c>
      <c r="AP603" s="80">
        <f>IFERROR(__xludf.DUMMYFUNCTION("""COMPUTED_VALUE"""),0.0)</f>
        <v>0</v>
      </c>
      <c r="AQ603" s="80">
        <f>IFERROR(__xludf.DUMMYFUNCTION("""COMPUTED_VALUE"""),0.0)</f>
        <v>0</v>
      </c>
      <c r="AR603" s="80">
        <f>IFERROR(__xludf.DUMMYFUNCTION("""COMPUTED_VALUE"""),0.0)</f>
        <v>0</v>
      </c>
      <c r="AS603" s="80"/>
      <c r="AT603" s="80">
        <f>IFERROR(__xludf.DUMMYFUNCTION("""COMPUTED_VALUE"""),0.0)</f>
        <v>0</v>
      </c>
      <c r="AU603" s="80"/>
      <c r="AV603" s="80"/>
      <c r="AW603" s="82" t="str">
        <f t="shared" si="1"/>
        <v/>
      </c>
      <c r="AX603" s="83" t="str">
        <f t="array" ref="AX603">IFERROR(DGET('SBV Import'!A:G,"SBV",{"RSC ID","Tier";B603,A603}))</f>
        <v/>
      </c>
      <c r="AY603" s="82" t="str">
        <f t="shared" si="2"/>
        <v/>
      </c>
      <c r="AZ603" s="82"/>
      <c r="BA603" s="84" t="s">
        <v>152</v>
      </c>
      <c r="BB603" s="84" t="str">
        <f>IFERROR(__xludf.DUMMYFUNCTION("iferror(if(A603="""",,E603&gt;=FILTER(Constants!$F$2:$F$10,Constants!$A$2:$A$10=A603)))"),"")</f>
        <v/>
      </c>
    </row>
    <row r="604">
      <c r="A604" s="80"/>
      <c r="B604" s="80"/>
      <c r="C604" s="80"/>
      <c r="D604" s="80"/>
      <c r="E604" s="80"/>
      <c r="F604" s="80"/>
      <c r="G604" s="80"/>
      <c r="H604" s="81"/>
      <c r="I604" s="81"/>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c r="AJ604" s="80"/>
      <c r="AK604" s="80"/>
      <c r="AL604" s="80"/>
      <c r="AM604" s="80"/>
      <c r="AN604" s="80">
        <f>IFERROR(__xludf.DUMMYFUNCTION("""COMPUTED_VALUE"""),0.0)</f>
        <v>0</v>
      </c>
      <c r="AO604" s="80">
        <f>IFERROR(__xludf.DUMMYFUNCTION("""COMPUTED_VALUE"""),0.0)</f>
        <v>0</v>
      </c>
      <c r="AP604" s="80">
        <f>IFERROR(__xludf.DUMMYFUNCTION("""COMPUTED_VALUE"""),0.0)</f>
        <v>0</v>
      </c>
      <c r="AQ604" s="80">
        <f>IFERROR(__xludf.DUMMYFUNCTION("""COMPUTED_VALUE"""),0.0)</f>
        <v>0</v>
      </c>
      <c r="AR604" s="80">
        <f>IFERROR(__xludf.DUMMYFUNCTION("""COMPUTED_VALUE"""),0.0)</f>
        <v>0</v>
      </c>
      <c r="AS604" s="80"/>
      <c r="AT604" s="80">
        <f>IFERROR(__xludf.DUMMYFUNCTION("""COMPUTED_VALUE"""),0.0)</f>
        <v>0</v>
      </c>
      <c r="AU604" s="80"/>
      <c r="AV604" s="80"/>
      <c r="AW604" s="82" t="str">
        <f t="shared" si="1"/>
        <v/>
      </c>
      <c r="AX604" s="83" t="str">
        <f t="array" ref="AX604">IFERROR(DGET('SBV Import'!A:G,"SBV",{"RSC ID","Tier";B604,A604}))</f>
        <v/>
      </c>
      <c r="AY604" s="82" t="str">
        <f t="shared" si="2"/>
        <v/>
      </c>
      <c r="AZ604" s="82"/>
      <c r="BA604" s="84" t="s">
        <v>152</v>
      </c>
      <c r="BB604" s="84" t="str">
        <f>IFERROR(__xludf.DUMMYFUNCTION("iferror(if(A604="""",,E604&gt;=FILTER(Constants!$F$2:$F$10,Constants!$A$2:$A$10=A604)))"),"")</f>
        <v/>
      </c>
    </row>
    <row r="605">
      <c r="A605" s="80"/>
      <c r="B605" s="80"/>
      <c r="C605" s="80"/>
      <c r="D605" s="80"/>
      <c r="E605" s="80"/>
      <c r="F605" s="80"/>
      <c r="G605" s="80"/>
      <c r="H605" s="81"/>
      <c r="I605" s="81"/>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c r="AJ605" s="80"/>
      <c r="AK605" s="80"/>
      <c r="AL605" s="80"/>
      <c r="AM605" s="80"/>
      <c r="AN605" s="80">
        <f>IFERROR(__xludf.DUMMYFUNCTION("""COMPUTED_VALUE"""),0.0)</f>
        <v>0</v>
      </c>
      <c r="AO605" s="80">
        <f>IFERROR(__xludf.DUMMYFUNCTION("""COMPUTED_VALUE"""),0.0)</f>
        <v>0</v>
      </c>
      <c r="AP605" s="80">
        <f>IFERROR(__xludf.DUMMYFUNCTION("""COMPUTED_VALUE"""),0.0)</f>
        <v>0</v>
      </c>
      <c r="AQ605" s="80">
        <f>IFERROR(__xludf.DUMMYFUNCTION("""COMPUTED_VALUE"""),0.0)</f>
        <v>0</v>
      </c>
      <c r="AR605" s="80">
        <f>IFERROR(__xludf.DUMMYFUNCTION("""COMPUTED_VALUE"""),0.0)</f>
        <v>0</v>
      </c>
      <c r="AS605" s="80"/>
      <c r="AT605" s="80">
        <f>IFERROR(__xludf.DUMMYFUNCTION("""COMPUTED_VALUE"""),0.0)</f>
        <v>0</v>
      </c>
      <c r="AU605" s="80"/>
      <c r="AV605" s="80"/>
      <c r="AW605" s="82" t="str">
        <f t="shared" si="1"/>
        <v/>
      </c>
      <c r="AX605" s="83" t="str">
        <f t="array" ref="AX605">IFERROR(DGET('SBV Import'!A:G,"SBV",{"RSC ID","Tier";B605,A605}))</f>
        <v/>
      </c>
      <c r="AY605" s="82" t="str">
        <f t="shared" si="2"/>
        <v/>
      </c>
      <c r="AZ605" s="82"/>
      <c r="BA605" s="84" t="s">
        <v>152</v>
      </c>
      <c r="BB605" s="84" t="str">
        <f>IFERROR(__xludf.DUMMYFUNCTION("iferror(if(A605="""",,E605&gt;=FILTER(Constants!$F$2:$F$10,Constants!$A$2:$A$10=A605)))"),"")</f>
        <v/>
      </c>
    </row>
    <row r="606">
      <c r="A606" s="80"/>
      <c r="B606" s="80"/>
      <c r="C606" s="80"/>
      <c r="D606" s="80"/>
      <c r="E606" s="80"/>
      <c r="F606" s="80"/>
      <c r="G606" s="80"/>
      <c r="H606" s="81"/>
      <c r="I606" s="81"/>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c r="AJ606" s="80"/>
      <c r="AK606" s="80"/>
      <c r="AL606" s="80"/>
      <c r="AM606" s="80"/>
      <c r="AN606" s="80">
        <f>IFERROR(__xludf.DUMMYFUNCTION("""COMPUTED_VALUE"""),0.0)</f>
        <v>0</v>
      </c>
      <c r="AO606" s="80">
        <f>IFERROR(__xludf.DUMMYFUNCTION("""COMPUTED_VALUE"""),0.0)</f>
        <v>0</v>
      </c>
      <c r="AP606" s="80">
        <f>IFERROR(__xludf.DUMMYFUNCTION("""COMPUTED_VALUE"""),0.0)</f>
        <v>0</v>
      </c>
      <c r="AQ606" s="80">
        <f>IFERROR(__xludf.DUMMYFUNCTION("""COMPUTED_VALUE"""),0.0)</f>
        <v>0</v>
      </c>
      <c r="AR606" s="80">
        <f>IFERROR(__xludf.DUMMYFUNCTION("""COMPUTED_VALUE"""),0.0)</f>
        <v>0</v>
      </c>
      <c r="AS606" s="80"/>
      <c r="AT606" s="80">
        <f>IFERROR(__xludf.DUMMYFUNCTION("""COMPUTED_VALUE"""),0.0)</f>
        <v>0</v>
      </c>
      <c r="AU606" s="80"/>
      <c r="AV606" s="80"/>
      <c r="AW606" s="82" t="str">
        <f t="shared" si="1"/>
        <v/>
      </c>
      <c r="AX606" s="83" t="str">
        <f t="array" ref="AX606">IFERROR(DGET('SBV Import'!A:G,"SBV",{"RSC ID","Tier";B606,A606}))</f>
        <v/>
      </c>
      <c r="AY606" s="82" t="str">
        <f t="shared" si="2"/>
        <v/>
      </c>
      <c r="AZ606" s="82"/>
      <c r="BA606" s="84" t="s">
        <v>152</v>
      </c>
      <c r="BB606" s="84" t="str">
        <f>IFERROR(__xludf.DUMMYFUNCTION("iferror(if(A606="""",,E606&gt;=FILTER(Constants!$F$2:$F$10,Constants!$A$2:$A$10=A606)))"),"")</f>
        <v/>
      </c>
    </row>
    <row r="607">
      <c r="A607" s="80"/>
      <c r="B607" s="80"/>
      <c r="C607" s="80"/>
      <c r="D607" s="80"/>
      <c r="E607" s="80"/>
      <c r="F607" s="80"/>
      <c r="G607" s="80"/>
      <c r="H607" s="81"/>
      <c r="I607" s="81"/>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c r="AJ607" s="80"/>
      <c r="AK607" s="80"/>
      <c r="AL607" s="80"/>
      <c r="AM607" s="80"/>
      <c r="AN607" s="80">
        <f>IFERROR(__xludf.DUMMYFUNCTION("""COMPUTED_VALUE"""),0.0)</f>
        <v>0</v>
      </c>
      <c r="AO607" s="80">
        <f>IFERROR(__xludf.DUMMYFUNCTION("""COMPUTED_VALUE"""),0.0)</f>
        <v>0</v>
      </c>
      <c r="AP607" s="80">
        <f>IFERROR(__xludf.DUMMYFUNCTION("""COMPUTED_VALUE"""),0.0)</f>
        <v>0</v>
      </c>
      <c r="AQ607" s="80">
        <f>IFERROR(__xludf.DUMMYFUNCTION("""COMPUTED_VALUE"""),0.0)</f>
        <v>0</v>
      </c>
      <c r="AR607" s="80">
        <f>IFERROR(__xludf.DUMMYFUNCTION("""COMPUTED_VALUE"""),0.0)</f>
        <v>0</v>
      </c>
      <c r="AS607" s="80"/>
      <c r="AT607" s="80">
        <f>IFERROR(__xludf.DUMMYFUNCTION("""COMPUTED_VALUE"""),0.0)</f>
        <v>0</v>
      </c>
      <c r="AU607" s="80"/>
      <c r="AV607" s="80"/>
      <c r="AW607" s="82" t="str">
        <f t="shared" si="1"/>
        <v/>
      </c>
      <c r="AX607" s="83" t="str">
        <f t="array" ref="AX607">IFERROR(DGET('SBV Import'!A:G,"SBV",{"RSC ID","Tier";B607,A607}))</f>
        <v/>
      </c>
      <c r="AY607" s="82" t="str">
        <f t="shared" si="2"/>
        <v/>
      </c>
      <c r="AZ607" s="82"/>
      <c r="BA607" s="84" t="s">
        <v>152</v>
      </c>
      <c r="BB607" s="84" t="str">
        <f>IFERROR(__xludf.DUMMYFUNCTION("iferror(if(A607="""",,E607&gt;=FILTER(Constants!$F$2:$F$10,Constants!$A$2:$A$10=A607)))"),"")</f>
        <v/>
      </c>
    </row>
    <row r="608">
      <c r="A608" s="80"/>
      <c r="B608" s="80"/>
      <c r="C608" s="80"/>
      <c r="D608" s="80"/>
      <c r="E608" s="80"/>
      <c r="F608" s="80"/>
      <c r="G608" s="80"/>
      <c r="H608" s="81"/>
      <c r="I608" s="81"/>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c r="AJ608" s="80"/>
      <c r="AK608" s="80"/>
      <c r="AL608" s="80"/>
      <c r="AM608" s="80"/>
      <c r="AN608" s="80">
        <f>IFERROR(__xludf.DUMMYFUNCTION("""COMPUTED_VALUE"""),0.0)</f>
        <v>0</v>
      </c>
      <c r="AO608" s="80">
        <f>IFERROR(__xludf.DUMMYFUNCTION("""COMPUTED_VALUE"""),0.0)</f>
        <v>0</v>
      </c>
      <c r="AP608" s="80">
        <f>IFERROR(__xludf.DUMMYFUNCTION("""COMPUTED_VALUE"""),0.0)</f>
        <v>0</v>
      </c>
      <c r="AQ608" s="80">
        <f>IFERROR(__xludf.DUMMYFUNCTION("""COMPUTED_VALUE"""),0.0)</f>
        <v>0</v>
      </c>
      <c r="AR608" s="80">
        <f>IFERROR(__xludf.DUMMYFUNCTION("""COMPUTED_VALUE"""),0.0)</f>
        <v>0</v>
      </c>
      <c r="AS608" s="80"/>
      <c r="AT608" s="80">
        <f>IFERROR(__xludf.DUMMYFUNCTION("""COMPUTED_VALUE"""),0.0)</f>
        <v>0</v>
      </c>
      <c r="AU608" s="80"/>
      <c r="AV608" s="80"/>
      <c r="AW608" s="82" t="str">
        <f t="shared" si="1"/>
        <v/>
      </c>
      <c r="AX608" s="83" t="str">
        <f t="array" ref="AX608">IFERROR(DGET('SBV Import'!A:G,"SBV",{"RSC ID","Tier";B608,A608}))</f>
        <v/>
      </c>
      <c r="AY608" s="82" t="str">
        <f t="shared" si="2"/>
        <v/>
      </c>
      <c r="AZ608" s="82"/>
      <c r="BA608" s="84" t="s">
        <v>152</v>
      </c>
      <c r="BB608" s="84" t="str">
        <f>IFERROR(__xludf.DUMMYFUNCTION("iferror(if(A608="""",,E608&gt;=FILTER(Constants!$F$2:$F$10,Constants!$A$2:$A$10=A608)))"),"")</f>
        <v/>
      </c>
    </row>
    <row r="609">
      <c r="A609" s="80"/>
      <c r="B609" s="80"/>
      <c r="C609" s="80"/>
      <c r="D609" s="80"/>
      <c r="E609" s="80"/>
      <c r="F609" s="80"/>
      <c r="G609" s="80"/>
      <c r="H609" s="81"/>
      <c r="I609" s="81"/>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c r="AJ609" s="80"/>
      <c r="AK609" s="80"/>
      <c r="AL609" s="80"/>
      <c r="AM609" s="80"/>
      <c r="AN609" s="80">
        <f>IFERROR(__xludf.DUMMYFUNCTION("""COMPUTED_VALUE"""),0.0)</f>
        <v>0</v>
      </c>
      <c r="AO609" s="80">
        <f>IFERROR(__xludf.DUMMYFUNCTION("""COMPUTED_VALUE"""),0.0)</f>
        <v>0</v>
      </c>
      <c r="AP609" s="80">
        <f>IFERROR(__xludf.DUMMYFUNCTION("""COMPUTED_VALUE"""),0.0)</f>
        <v>0</v>
      </c>
      <c r="AQ609" s="80">
        <f>IFERROR(__xludf.DUMMYFUNCTION("""COMPUTED_VALUE"""),0.0)</f>
        <v>0</v>
      </c>
      <c r="AR609" s="80">
        <f>IFERROR(__xludf.DUMMYFUNCTION("""COMPUTED_VALUE"""),0.0)</f>
        <v>0</v>
      </c>
      <c r="AS609" s="80"/>
      <c r="AT609" s="80">
        <f>IFERROR(__xludf.DUMMYFUNCTION("""COMPUTED_VALUE"""),0.0)</f>
        <v>0</v>
      </c>
      <c r="AU609" s="80"/>
      <c r="AV609" s="80"/>
      <c r="AW609" s="82" t="str">
        <f t="shared" si="1"/>
        <v/>
      </c>
      <c r="AX609" s="83" t="str">
        <f t="array" ref="AX609">IFERROR(DGET('SBV Import'!A:G,"SBV",{"RSC ID","Tier";B609,A609}))</f>
        <v/>
      </c>
      <c r="AY609" s="82" t="str">
        <f t="shared" si="2"/>
        <v/>
      </c>
      <c r="AZ609" s="82"/>
      <c r="BA609" s="84" t="s">
        <v>152</v>
      </c>
      <c r="BB609" s="84" t="str">
        <f>IFERROR(__xludf.DUMMYFUNCTION("iferror(if(A609="""",,E609&gt;=FILTER(Constants!$F$2:$F$10,Constants!$A$2:$A$10=A609)))"),"")</f>
        <v/>
      </c>
    </row>
    <row r="610">
      <c r="A610" s="80"/>
      <c r="B610" s="80"/>
      <c r="C610" s="80"/>
      <c r="D610" s="80"/>
      <c r="E610" s="80"/>
      <c r="F610" s="80"/>
      <c r="G610" s="80"/>
      <c r="H610" s="81"/>
      <c r="I610" s="81"/>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c r="AJ610" s="80"/>
      <c r="AK610" s="80"/>
      <c r="AL610" s="80"/>
      <c r="AM610" s="80"/>
      <c r="AN610" s="80">
        <f>IFERROR(__xludf.DUMMYFUNCTION("""COMPUTED_VALUE"""),0.0)</f>
        <v>0</v>
      </c>
      <c r="AO610" s="80">
        <f>IFERROR(__xludf.DUMMYFUNCTION("""COMPUTED_VALUE"""),0.0)</f>
        <v>0</v>
      </c>
      <c r="AP610" s="80">
        <f>IFERROR(__xludf.DUMMYFUNCTION("""COMPUTED_VALUE"""),0.0)</f>
        <v>0</v>
      </c>
      <c r="AQ610" s="80">
        <f>IFERROR(__xludf.DUMMYFUNCTION("""COMPUTED_VALUE"""),0.0)</f>
        <v>0</v>
      </c>
      <c r="AR610" s="80">
        <f>IFERROR(__xludf.DUMMYFUNCTION("""COMPUTED_VALUE"""),0.0)</f>
        <v>0</v>
      </c>
      <c r="AS610" s="80"/>
      <c r="AT610" s="80">
        <f>IFERROR(__xludf.DUMMYFUNCTION("""COMPUTED_VALUE"""),0.0)</f>
        <v>0</v>
      </c>
      <c r="AU610" s="80"/>
      <c r="AV610" s="80"/>
      <c r="AW610" s="82" t="str">
        <f t="shared" si="1"/>
        <v/>
      </c>
      <c r="AX610" s="83" t="str">
        <f t="array" ref="AX610">IFERROR(DGET('SBV Import'!A:G,"SBV",{"RSC ID","Tier";B610,A610}))</f>
        <v/>
      </c>
      <c r="AY610" s="82" t="str">
        <f t="shared" si="2"/>
        <v/>
      </c>
      <c r="AZ610" s="82"/>
      <c r="BA610" s="84" t="s">
        <v>152</v>
      </c>
      <c r="BB610" s="84" t="str">
        <f>IFERROR(__xludf.DUMMYFUNCTION("iferror(if(A610="""",,E610&gt;=FILTER(Constants!$F$2:$F$10,Constants!$A$2:$A$10=A610)))"),"")</f>
        <v/>
      </c>
    </row>
    <row r="611">
      <c r="A611" s="80"/>
      <c r="B611" s="73"/>
      <c r="C611" s="73"/>
      <c r="D611" s="73"/>
      <c r="E611" s="82"/>
      <c r="F611" s="82"/>
      <c r="G611" s="82"/>
      <c r="H611" s="86"/>
      <c r="I611" s="86"/>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82"/>
      <c r="AI611" s="82"/>
      <c r="AJ611" s="82"/>
      <c r="AK611" s="82"/>
      <c r="AL611" s="82"/>
      <c r="AM611" s="82"/>
      <c r="AN611" s="82">
        <f>IFERROR(__xludf.DUMMYFUNCTION("""COMPUTED_VALUE"""),0.0)</f>
        <v>0</v>
      </c>
      <c r="AO611" s="82">
        <f>IFERROR(__xludf.DUMMYFUNCTION("""COMPUTED_VALUE"""),0.0)</f>
        <v>0</v>
      </c>
      <c r="AP611" s="82">
        <f>IFERROR(__xludf.DUMMYFUNCTION("""COMPUTED_VALUE"""),0.0)</f>
        <v>0</v>
      </c>
      <c r="AQ611" s="82">
        <f>IFERROR(__xludf.DUMMYFUNCTION("""COMPUTED_VALUE"""),0.0)</f>
        <v>0</v>
      </c>
      <c r="AR611" s="82">
        <f>IFERROR(__xludf.DUMMYFUNCTION("""COMPUTED_VALUE"""),0.0)</f>
        <v>0</v>
      </c>
      <c r="AS611" s="82"/>
      <c r="AT611" s="82">
        <f>IFERROR(__xludf.DUMMYFUNCTION("""COMPUTED_VALUE"""),0.0)</f>
        <v>0</v>
      </c>
      <c r="AU611" s="82"/>
      <c r="AV611" s="82"/>
      <c r="AW611" s="82" t="str">
        <f t="shared" si="1"/>
        <v/>
      </c>
      <c r="AX611" s="83" t="str">
        <f t="array" ref="AX611">IFERROR(DGET('SBV Import'!A:G,"SBV",{"RSC ID","Tier";B611,A611}))</f>
        <v/>
      </c>
      <c r="AY611" s="82" t="str">
        <f t="shared" si="2"/>
        <v/>
      </c>
      <c r="AZ611" s="82"/>
      <c r="BA611" s="84" t="s">
        <v>152</v>
      </c>
      <c r="BB611" s="84" t="str">
        <f>IFERROR(__xludf.DUMMYFUNCTION("iferror(if(A611="""",,E611&gt;=FILTER(Constants!$F$2:$F$10,Constants!$A$2:$A$10=A611)))"),"")</f>
        <v/>
      </c>
    </row>
    <row r="612">
      <c r="A612" s="80"/>
      <c r="B612" s="87"/>
      <c r="C612" s="73"/>
      <c r="D612" s="73"/>
      <c r="E612" s="82"/>
      <c r="F612" s="82"/>
      <c r="G612" s="82"/>
      <c r="H612" s="86"/>
      <c r="I612" s="86"/>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82"/>
      <c r="AI612" s="82"/>
      <c r="AJ612" s="82"/>
      <c r="AK612" s="82"/>
      <c r="AL612" s="82"/>
      <c r="AM612" s="82"/>
      <c r="AN612" s="82">
        <f>IFERROR(__xludf.DUMMYFUNCTION("""COMPUTED_VALUE"""),0.0)</f>
        <v>0</v>
      </c>
      <c r="AO612" s="82">
        <f>IFERROR(__xludf.DUMMYFUNCTION("""COMPUTED_VALUE"""),0.0)</f>
        <v>0</v>
      </c>
      <c r="AP612" s="82">
        <f>IFERROR(__xludf.DUMMYFUNCTION("""COMPUTED_VALUE"""),0.0)</f>
        <v>0</v>
      </c>
      <c r="AQ612" s="82">
        <f>IFERROR(__xludf.DUMMYFUNCTION("""COMPUTED_VALUE"""),0.0)</f>
        <v>0</v>
      </c>
      <c r="AR612" s="82">
        <f>IFERROR(__xludf.DUMMYFUNCTION("""COMPUTED_VALUE"""),0.0)</f>
        <v>0</v>
      </c>
      <c r="AS612" s="82"/>
      <c r="AT612" s="82">
        <f>IFERROR(__xludf.DUMMYFUNCTION("""COMPUTED_VALUE"""),0.0)</f>
        <v>0</v>
      </c>
      <c r="AU612" s="82"/>
      <c r="AV612" s="82"/>
      <c r="AW612" s="82" t="str">
        <f t="shared" si="1"/>
        <v/>
      </c>
      <c r="AX612" s="83" t="str">
        <f t="array" ref="AX612">IFERROR(DGET('SBV Import'!A:G,"SBV",{"RSC ID","Tier";B612,A612}))</f>
        <v/>
      </c>
      <c r="AY612" s="82" t="str">
        <f t="shared" si="2"/>
        <v/>
      </c>
      <c r="AZ612" s="82"/>
      <c r="BA612" s="84" t="s">
        <v>152</v>
      </c>
      <c r="BB612" s="84" t="str">
        <f>IFERROR(__xludf.DUMMYFUNCTION("iferror(if(A612="""",,E612&gt;=FILTER(Constants!$F$2:$F$10,Constants!$A$2:$A$10=A612)))"),"")</f>
        <v/>
      </c>
    </row>
    <row r="613">
      <c r="A613" s="80"/>
      <c r="B613" s="87"/>
      <c r="C613" s="73"/>
      <c r="D613" s="73"/>
      <c r="E613" s="82"/>
      <c r="F613" s="82"/>
      <c r="G613" s="82"/>
      <c r="H613" s="86"/>
      <c r="I613" s="86"/>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82"/>
      <c r="AK613" s="82"/>
      <c r="AL613" s="82"/>
      <c r="AM613" s="82"/>
      <c r="AN613" s="82">
        <f>IFERROR(__xludf.DUMMYFUNCTION("""COMPUTED_VALUE"""),0.0)</f>
        <v>0</v>
      </c>
      <c r="AO613" s="82">
        <f>IFERROR(__xludf.DUMMYFUNCTION("""COMPUTED_VALUE"""),0.0)</f>
        <v>0</v>
      </c>
      <c r="AP613" s="82">
        <f>IFERROR(__xludf.DUMMYFUNCTION("""COMPUTED_VALUE"""),0.0)</f>
        <v>0</v>
      </c>
      <c r="AQ613" s="82">
        <f>IFERROR(__xludf.DUMMYFUNCTION("""COMPUTED_VALUE"""),0.0)</f>
        <v>0</v>
      </c>
      <c r="AR613" s="82">
        <f>IFERROR(__xludf.DUMMYFUNCTION("""COMPUTED_VALUE"""),0.0)</f>
        <v>0</v>
      </c>
      <c r="AS613" s="82"/>
      <c r="AT613" s="82">
        <f>IFERROR(__xludf.DUMMYFUNCTION("""COMPUTED_VALUE"""),0.0)</f>
        <v>0</v>
      </c>
      <c r="AU613" s="82"/>
      <c r="AV613" s="82"/>
      <c r="AW613" s="82" t="str">
        <f t="shared" si="1"/>
        <v/>
      </c>
      <c r="AX613" s="83" t="str">
        <f t="array" ref="AX613">IFERROR(DGET('SBV Import'!A:G,"SBV",{"RSC ID","Tier";B613,A613}))</f>
        <v/>
      </c>
      <c r="AY613" s="82" t="str">
        <f t="shared" si="2"/>
        <v/>
      </c>
      <c r="AZ613" s="82"/>
      <c r="BA613" s="84" t="s">
        <v>152</v>
      </c>
      <c r="BB613" s="84" t="str">
        <f>IFERROR(__xludf.DUMMYFUNCTION("iferror(if(A613="""",,E613&gt;=FILTER(Constants!$F$2:$F$10,Constants!$A$2:$A$10=A613)))"),"")</f>
        <v/>
      </c>
    </row>
    <row r="614">
      <c r="A614" s="80"/>
      <c r="B614" s="87"/>
      <c r="C614" s="73"/>
      <c r="D614" s="73"/>
      <c r="E614" s="82"/>
      <c r="F614" s="82"/>
      <c r="G614" s="82"/>
      <c r="H614" s="86"/>
      <c r="I614" s="86"/>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82"/>
      <c r="AI614" s="82"/>
      <c r="AJ614" s="82"/>
      <c r="AK614" s="82"/>
      <c r="AL614" s="82"/>
      <c r="AM614" s="82"/>
      <c r="AN614" s="82">
        <f>IFERROR(__xludf.DUMMYFUNCTION("""COMPUTED_VALUE"""),0.0)</f>
        <v>0</v>
      </c>
      <c r="AO614" s="82">
        <f>IFERROR(__xludf.DUMMYFUNCTION("""COMPUTED_VALUE"""),0.0)</f>
        <v>0</v>
      </c>
      <c r="AP614" s="82">
        <f>IFERROR(__xludf.DUMMYFUNCTION("""COMPUTED_VALUE"""),0.0)</f>
        <v>0</v>
      </c>
      <c r="AQ614" s="82">
        <f>IFERROR(__xludf.DUMMYFUNCTION("""COMPUTED_VALUE"""),0.0)</f>
        <v>0</v>
      </c>
      <c r="AR614" s="82">
        <f>IFERROR(__xludf.DUMMYFUNCTION("""COMPUTED_VALUE"""),0.0)</f>
        <v>0</v>
      </c>
      <c r="AS614" s="82"/>
      <c r="AT614" s="82">
        <f>IFERROR(__xludf.DUMMYFUNCTION("""COMPUTED_VALUE"""),0.0)</f>
        <v>0</v>
      </c>
      <c r="AU614" s="82"/>
      <c r="AV614" s="82"/>
      <c r="AW614" s="82" t="str">
        <f t="shared" si="1"/>
        <v/>
      </c>
      <c r="AX614" s="83" t="str">
        <f t="array" ref="AX614">IFERROR(DGET('SBV Import'!A:G,"SBV",{"RSC ID","Tier";B614,A614}))</f>
        <v/>
      </c>
      <c r="AY614" s="82" t="str">
        <f t="shared" si="2"/>
        <v/>
      </c>
      <c r="AZ614" s="82"/>
      <c r="BA614" s="84" t="s">
        <v>152</v>
      </c>
      <c r="BB614" s="84" t="str">
        <f>IFERROR(__xludf.DUMMYFUNCTION("iferror(if(A614="""",,E614&gt;=FILTER(Constants!$F$2:$F$10,Constants!$A$2:$A$10=A614)))"),"")</f>
        <v/>
      </c>
    </row>
    <row r="615">
      <c r="A615" s="80"/>
      <c r="B615" s="87"/>
      <c r="C615" s="73"/>
      <c r="D615" s="73"/>
      <c r="E615" s="82"/>
      <c r="F615" s="82"/>
      <c r="G615" s="82"/>
      <c r="H615" s="86"/>
      <c r="I615" s="86"/>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82"/>
      <c r="AI615" s="82"/>
      <c r="AJ615" s="82"/>
      <c r="AK615" s="82"/>
      <c r="AL615" s="82"/>
      <c r="AM615" s="82"/>
      <c r="AN615" s="82">
        <f>IFERROR(__xludf.DUMMYFUNCTION("""COMPUTED_VALUE"""),0.0)</f>
        <v>0</v>
      </c>
      <c r="AO615" s="82">
        <f>IFERROR(__xludf.DUMMYFUNCTION("""COMPUTED_VALUE"""),0.0)</f>
        <v>0</v>
      </c>
      <c r="AP615" s="82">
        <f>IFERROR(__xludf.DUMMYFUNCTION("""COMPUTED_VALUE"""),0.0)</f>
        <v>0</v>
      </c>
      <c r="AQ615" s="82">
        <f>IFERROR(__xludf.DUMMYFUNCTION("""COMPUTED_VALUE"""),0.0)</f>
        <v>0</v>
      </c>
      <c r="AR615" s="82">
        <f>IFERROR(__xludf.DUMMYFUNCTION("""COMPUTED_VALUE"""),0.0)</f>
        <v>0</v>
      </c>
      <c r="AS615" s="82"/>
      <c r="AT615" s="82">
        <f>IFERROR(__xludf.DUMMYFUNCTION("""COMPUTED_VALUE"""),0.0)</f>
        <v>0</v>
      </c>
      <c r="AU615" s="82"/>
      <c r="AV615" s="82"/>
      <c r="AW615" s="82" t="str">
        <f t="shared" si="1"/>
        <v/>
      </c>
      <c r="AX615" s="83" t="str">
        <f t="array" ref="AX615">IFERROR(DGET('SBV Import'!A:G,"SBV",{"RSC ID","Tier";B615,A615}))</f>
        <v/>
      </c>
      <c r="AY615" s="82" t="str">
        <f t="shared" si="2"/>
        <v/>
      </c>
      <c r="AZ615" s="82"/>
      <c r="BA615" s="84" t="s">
        <v>152</v>
      </c>
      <c r="BB615" s="84" t="str">
        <f>IFERROR(__xludf.DUMMYFUNCTION("iferror(if(A615="""",,E615&gt;=FILTER(Constants!$F$2:$F$10,Constants!$A$2:$A$10=A615)))"),"")</f>
        <v/>
      </c>
    </row>
    <row r="616">
      <c r="A616" s="80"/>
      <c r="B616" s="87"/>
      <c r="C616" s="73"/>
      <c r="D616" s="73"/>
      <c r="E616" s="82"/>
      <c r="F616" s="82"/>
      <c r="G616" s="82"/>
      <c r="H616" s="86"/>
      <c r="I616" s="86"/>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2"/>
      <c r="AJ616" s="82"/>
      <c r="AK616" s="82"/>
      <c r="AL616" s="82"/>
      <c r="AM616" s="82"/>
      <c r="AN616" s="82">
        <f>IFERROR(__xludf.DUMMYFUNCTION("""COMPUTED_VALUE"""),0.0)</f>
        <v>0</v>
      </c>
      <c r="AO616" s="82">
        <f>IFERROR(__xludf.DUMMYFUNCTION("""COMPUTED_VALUE"""),0.0)</f>
        <v>0</v>
      </c>
      <c r="AP616" s="82">
        <f>IFERROR(__xludf.DUMMYFUNCTION("""COMPUTED_VALUE"""),0.0)</f>
        <v>0</v>
      </c>
      <c r="AQ616" s="82">
        <f>IFERROR(__xludf.DUMMYFUNCTION("""COMPUTED_VALUE"""),0.0)</f>
        <v>0</v>
      </c>
      <c r="AR616" s="82">
        <f>IFERROR(__xludf.DUMMYFUNCTION("""COMPUTED_VALUE"""),0.0)</f>
        <v>0</v>
      </c>
      <c r="AS616" s="82"/>
      <c r="AT616" s="82">
        <f>IFERROR(__xludf.DUMMYFUNCTION("""COMPUTED_VALUE"""),0.0)</f>
        <v>0</v>
      </c>
      <c r="AU616" s="82"/>
      <c r="AV616" s="82"/>
      <c r="AW616" s="82" t="str">
        <f t="shared" si="1"/>
        <v/>
      </c>
      <c r="AX616" s="83" t="str">
        <f t="array" ref="AX616">IFERROR(DGET('SBV Import'!A:G,"SBV",{"RSC ID","Tier";B616,A616}))</f>
        <v/>
      </c>
      <c r="AY616" s="82" t="str">
        <f t="shared" si="2"/>
        <v/>
      </c>
      <c r="AZ616" s="82"/>
      <c r="BA616" s="84" t="s">
        <v>152</v>
      </c>
      <c r="BB616" s="84" t="str">
        <f>IFERROR(__xludf.DUMMYFUNCTION("iferror(if(A616="""",,E616&gt;=FILTER(Constants!$F$2:$F$10,Constants!$A$2:$A$10=A616)))"),"")</f>
        <v/>
      </c>
    </row>
    <row r="617">
      <c r="A617" s="80"/>
      <c r="B617" s="87"/>
      <c r="C617" s="73"/>
      <c r="D617" s="73"/>
      <c r="E617" s="82"/>
      <c r="F617" s="82"/>
      <c r="G617" s="82"/>
      <c r="H617" s="86"/>
      <c r="I617" s="86"/>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82"/>
      <c r="AK617" s="82"/>
      <c r="AL617" s="82"/>
      <c r="AM617" s="82"/>
      <c r="AN617" s="82">
        <f>IFERROR(__xludf.DUMMYFUNCTION("""COMPUTED_VALUE"""),0.0)</f>
        <v>0</v>
      </c>
      <c r="AO617" s="82">
        <f>IFERROR(__xludf.DUMMYFUNCTION("""COMPUTED_VALUE"""),0.0)</f>
        <v>0</v>
      </c>
      <c r="AP617" s="82">
        <f>IFERROR(__xludf.DUMMYFUNCTION("""COMPUTED_VALUE"""),0.0)</f>
        <v>0</v>
      </c>
      <c r="AQ617" s="82">
        <f>IFERROR(__xludf.DUMMYFUNCTION("""COMPUTED_VALUE"""),0.0)</f>
        <v>0</v>
      </c>
      <c r="AR617" s="82">
        <f>IFERROR(__xludf.DUMMYFUNCTION("""COMPUTED_VALUE"""),0.0)</f>
        <v>0</v>
      </c>
      <c r="AS617" s="82"/>
      <c r="AT617" s="82">
        <f>IFERROR(__xludf.DUMMYFUNCTION("""COMPUTED_VALUE"""),0.0)</f>
        <v>0</v>
      </c>
      <c r="AU617" s="82"/>
      <c r="AV617" s="82"/>
      <c r="AW617" s="82" t="str">
        <f t="shared" si="1"/>
        <v/>
      </c>
      <c r="AX617" s="83" t="str">
        <f t="array" ref="AX617">IFERROR(DGET('SBV Import'!A:G,"SBV",{"RSC ID","Tier";B617,A617}))</f>
        <v/>
      </c>
      <c r="AY617" s="82" t="str">
        <f t="shared" si="2"/>
        <v/>
      </c>
      <c r="AZ617" s="82"/>
      <c r="BA617" s="84" t="s">
        <v>152</v>
      </c>
      <c r="BB617" s="84" t="str">
        <f>IFERROR(__xludf.DUMMYFUNCTION("iferror(if(A617="""",,E617&gt;=FILTER(Constants!$F$2:$F$10,Constants!$A$2:$A$10=A617)))"),"")</f>
        <v/>
      </c>
    </row>
    <row r="618">
      <c r="A618" s="80"/>
      <c r="B618" s="87"/>
      <c r="C618" s="73"/>
      <c r="D618" s="73"/>
      <c r="E618" s="82"/>
      <c r="F618" s="82"/>
      <c r="G618" s="82"/>
      <c r="H618" s="86"/>
      <c r="I618" s="86"/>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82"/>
      <c r="AI618" s="82"/>
      <c r="AJ618" s="82"/>
      <c r="AK618" s="82"/>
      <c r="AL618" s="82"/>
      <c r="AM618" s="82"/>
      <c r="AN618" s="82">
        <f>IFERROR(__xludf.DUMMYFUNCTION("""COMPUTED_VALUE"""),0.0)</f>
        <v>0</v>
      </c>
      <c r="AO618" s="82">
        <f>IFERROR(__xludf.DUMMYFUNCTION("""COMPUTED_VALUE"""),0.0)</f>
        <v>0</v>
      </c>
      <c r="AP618" s="82">
        <f>IFERROR(__xludf.DUMMYFUNCTION("""COMPUTED_VALUE"""),0.0)</f>
        <v>0</v>
      </c>
      <c r="AQ618" s="82">
        <f>IFERROR(__xludf.DUMMYFUNCTION("""COMPUTED_VALUE"""),0.0)</f>
        <v>0</v>
      </c>
      <c r="AR618" s="82">
        <f>IFERROR(__xludf.DUMMYFUNCTION("""COMPUTED_VALUE"""),0.0)</f>
        <v>0</v>
      </c>
      <c r="AS618" s="82"/>
      <c r="AT618" s="82">
        <f>IFERROR(__xludf.DUMMYFUNCTION("""COMPUTED_VALUE"""),0.0)</f>
        <v>0</v>
      </c>
      <c r="AU618" s="82"/>
      <c r="AV618" s="82"/>
      <c r="AW618" s="82" t="str">
        <f t="shared" si="1"/>
        <v/>
      </c>
      <c r="AX618" s="83" t="str">
        <f t="array" ref="AX618">IFERROR(DGET('SBV Import'!A:G,"SBV",{"RSC ID","Tier";B618,A618}))</f>
        <v/>
      </c>
      <c r="AY618" s="82" t="str">
        <f t="shared" si="2"/>
        <v/>
      </c>
      <c r="AZ618" s="82"/>
      <c r="BA618" s="84" t="s">
        <v>152</v>
      </c>
      <c r="BB618" s="84" t="str">
        <f>IFERROR(__xludf.DUMMYFUNCTION("iferror(if(A618="""",,E618&gt;=FILTER(Constants!$F$2:$F$10,Constants!$A$2:$A$10=A618)))"),"")</f>
        <v/>
      </c>
    </row>
    <row r="619">
      <c r="A619" s="80"/>
      <c r="B619" s="87"/>
      <c r="C619" s="73"/>
      <c r="D619" s="73"/>
      <c r="E619" s="82"/>
      <c r="F619" s="82"/>
      <c r="G619" s="82"/>
      <c r="H619" s="86"/>
      <c r="I619" s="86"/>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82"/>
      <c r="AK619" s="82"/>
      <c r="AL619" s="82"/>
      <c r="AM619" s="82"/>
      <c r="AN619" s="82">
        <f>IFERROR(__xludf.DUMMYFUNCTION("""COMPUTED_VALUE"""),0.0)</f>
        <v>0</v>
      </c>
      <c r="AO619" s="82">
        <f>IFERROR(__xludf.DUMMYFUNCTION("""COMPUTED_VALUE"""),0.0)</f>
        <v>0</v>
      </c>
      <c r="AP619" s="82">
        <f>IFERROR(__xludf.DUMMYFUNCTION("""COMPUTED_VALUE"""),0.0)</f>
        <v>0</v>
      </c>
      <c r="AQ619" s="82">
        <f>IFERROR(__xludf.DUMMYFUNCTION("""COMPUTED_VALUE"""),0.0)</f>
        <v>0</v>
      </c>
      <c r="AR619" s="82">
        <f>IFERROR(__xludf.DUMMYFUNCTION("""COMPUTED_VALUE"""),0.0)</f>
        <v>0</v>
      </c>
      <c r="AS619" s="82"/>
      <c r="AT619" s="82">
        <f>IFERROR(__xludf.DUMMYFUNCTION("""COMPUTED_VALUE"""),0.0)</f>
        <v>0</v>
      </c>
      <c r="AU619" s="82"/>
      <c r="AV619" s="82"/>
      <c r="AW619" s="82" t="str">
        <f t="shared" si="1"/>
        <v/>
      </c>
      <c r="AX619" s="83" t="str">
        <f t="array" ref="AX619">IFERROR(DGET('SBV Import'!A:G,"SBV",{"RSC ID","Tier";B619,A619}))</f>
        <v/>
      </c>
      <c r="AY619" s="82" t="str">
        <f t="shared" si="2"/>
        <v/>
      </c>
      <c r="AZ619" s="82"/>
      <c r="BA619" s="84" t="s">
        <v>152</v>
      </c>
      <c r="BB619" s="84" t="str">
        <f>IFERROR(__xludf.DUMMYFUNCTION("iferror(if(A619="""",,E619&gt;=FILTER(Constants!$F$2:$F$10,Constants!$A$2:$A$10=A619)))"),"")</f>
        <v/>
      </c>
    </row>
    <row r="620">
      <c r="A620" s="80"/>
      <c r="B620" s="87"/>
      <c r="C620" s="73"/>
      <c r="D620" s="73"/>
      <c r="E620" s="82"/>
      <c r="F620" s="82"/>
      <c r="G620" s="82"/>
      <c r="H620" s="86"/>
      <c r="I620" s="86"/>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82"/>
      <c r="AI620" s="82"/>
      <c r="AJ620" s="82"/>
      <c r="AK620" s="82"/>
      <c r="AL620" s="82"/>
      <c r="AM620" s="82"/>
      <c r="AN620" s="82">
        <f>IFERROR(__xludf.DUMMYFUNCTION("""COMPUTED_VALUE"""),0.0)</f>
        <v>0</v>
      </c>
      <c r="AO620" s="82">
        <f>IFERROR(__xludf.DUMMYFUNCTION("""COMPUTED_VALUE"""),0.0)</f>
        <v>0</v>
      </c>
      <c r="AP620" s="82">
        <f>IFERROR(__xludf.DUMMYFUNCTION("""COMPUTED_VALUE"""),0.0)</f>
        <v>0</v>
      </c>
      <c r="AQ620" s="82">
        <f>IFERROR(__xludf.DUMMYFUNCTION("""COMPUTED_VALUE"""),0.0)</f>
        <v>0</v>
      </c>
      <c r="AR620" s="82">
        <f>IFERROR(__xludf.DUMMYFUNCTION("""COMPUTED_VALUE"""),0.0)</f>
        <v>0</v>
      </c>
      <c r="AS620" s="82"/>
      <c r="AT620" s="82">
        <f>IFERROR(__xludf.DUMMYFUNCTION("""COMPUTED_VALUE"""),0.0)</f>
        <v>0</v>
      </c>
      <c r="AU620" s="82"/>
      <c r="AV620" s="82"/>
      <c r="AW620" s="82" t="str">
        <f t="shared" si="1"/>
        <v/>
      </c>
      <c r="AX620" s="83" t="str">
        <f t="array" ref="AX620">IFERROR(DGET('SBV Import'!A:G,"SBV",{"RSC ID","Tier";B620,A620}))</f>
        <v/>
      </c>
      <c r="AY620" s="82" t="str">
        <f t="shared" si="2"/>
        <v/>
      </c>
      <c r="AZ620" s="82"/>
      <c r="BA620" s="84" t="s">
        <v>152</v>
      </c>
      <c r="BB620" s="84" t="str">
        <f>IFERROR(__xludf.DUMMYFUNCTION("iferror(if(A620="""",,E620&gt;=FILTER(Constants!$F$2:$F$10,Constants!$A$2:$A$10=A620)))"),"")</f>
        <v/>
      </c>
    </row>
    <row r="621">
      <c r="A621" s="80"/>
      <c r="B621" s="87"/>
      <c r="C621" s="73"/>
      <c r="D621" s="73"/>
      <c r="E621" s="82"/>
      <c r="F621" s="82"/>
      <c r="G621" s="82"/>
      <c r="H621" s="86"/>
      <c r="I621" s="86"/>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82"/>
      <c r="AI621" s="82"/>
      <c r="AJ621" s="82"/>
      <c r="AK621" s="82"/>
      <c r="AL621" s="82"/>
      <c r="AM621" s="82"/>
      <c r="AN621" s="82">
        <f>IFERROR(__xludf.DUMMYFUNCTION("""COMPUTED_VALUE"""),0.0)</f>
        <v>0</v>
      </c>
      <c r="AO621" s="82">
        <f>IFERROR(__xludf.DUMMYFUNCTION("""COMPUTED_VALUE"""),0.0)</f>
        <v>0</v>
      </c>
      <c r="AP621" s="82">
        <f>IFERROR(__xludf.DUMMYFUNCTION("""COMPUTED_VALUE"""),0.0)</f>
        <v>0</v>
      </c>
      <c r="AQ621" s="82">
        <f>IFERROR(__xludf.DUMMYFUNCTION("""COMPUTED_VALUE"""),0.0)</f>
        <v>0</v>
      </c>
      <c r="AR621" s="82">
        <f>IFERROR(__xludf.DUMMYFUNCTION("""COMPUTED_VALUE"""),0.0)</f>
        <v>0</v>
      </c>
      <c r="AS621" s="82"/>
      <c r="AT621" s="82">
        <f>IFERROR(__xludf.DUMMYFUNCTION("""COMPUTED_VALUE"""),0.0)</f>
        <v>0</v>
      </c>
      <c r="AU621" s="82"/>
      <c r="AV621" s="82"/>
      <c r="AW621" s="82" t="str">
        <f t="shared" si="1"/>
        <v/>
      </c>
      <c r="AX621" s="83" t="str">
        <f t="array" ref="AX621">IFERROR(DGET('SBV Import'!A:G,"SBV",{"RSC ID","Tier";B621,A621}))</f>
        <v/>
      </c>
      <c r="AY621" s="82" t="str">
        <f t="shared" si="2"/>
        <v/>
      </c>
      <c r="AZ621" s="82"/>
      <c r="BA621" s="84" t="s">
        <v>152</v>
      </c>
      <c r="BB621" s="84" t="str">
        <f>IFERROR(__xludf.DUMMYFUNCTION("iferror(if(A621="""",,E621&gt;=FILTER(Constants!$F$2:$F$10,Constants!$A$2:$A$10=A621)))"),"")</f>
        <v/>
      </c>
    </row>
    <row r="622">
      <c r="A622" s="80"/>
      <c r="B622" s="87"/>
      <c r="C622" s="73"/>
      <c r="D622" s="73"/>
      <c r="E622" s="82"/>
      <c r="F622" s="82"/>
      <c r="G622" s="82"/>
      <c r="H622" s="86"/>
      <c r="I622" s="86"/>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82"/>
      <c r="AI622" s="82"/>
      <c r="AJ622" s="82"/>
      <c r="AK622" s="82"/>
      <c r="AL622" s="82"/>
      <c r="AM622" s="82"/>
      <c r="AN622" s="82">
        <f>IFERROR(__xludf.DUMMYFUNCTION("""COMPUTED_VALUE"""),0.0)</f>
        <v>0</v>
      </c>
      <c r="AO622" s="82">
        <f>IFERROR(__xludf.DUMMYFUNCTION("""COMPUTED_VALUE"""),0.0)</f>
        <v>0</v>
      </c>
      <c r="AP622" s="82">
        <f>IFERROR(__xludf.DUMMYFUNCTION("""COMPUTED_VALUE"""),0.0)</f>
        <v>0</v>
      </c>
      <c r="AQ622" s="82">
        <f>IFERROR(__xludf.DUMMYFUNCTION("""COMPUTED_VALUE"""),0.0)</f>
        <v>0</v>
      </c>
      <c r="AR622" s="82">
        <f>IFERROR(__xludf.DUMMYFUNCTION("""COMPUTED_VALUE"""),0.0)</f>
        <v>0</v>
      </c>
      <c r="AS622" s="82"/>
      <c r="AT622" s="82">
        <f>IFERROR(__xludf.DUMMYFUNCTION("""COMPUTED_VALUE"""),0.0)</f>
        <v>0</v>
      </c>
      <c r="AU622" s="82"/>
      <c r="AV622" s="82"/>
      <c r="AW622" s="82" t="str">
        <f t="shared" si="1"/>
        <v/>
      </c>
      <c r="AX622" s="83" t="str">
        <f t="array" ref="AX622">IFERROR(DGET('SBV Import'!A:G,"SBV",{"RSC ID","Tier";B622,A622}))</f>
        <v/>
      </c>
      <c r="AY622" s="82" t="str">
        <f t="shared" si="2"/>
        <v/>
      </c>
      <c r="AZ622" s="82"/>
      <c r="BA622" s="84" t="s">
        <v>152</v>
      </c>
      <c r="BB622" s="84" t="str">
        <f>IFERROR(__xludf.DUMMYFUNCTION("iferror(if(A622="""",,E622&gt;=FILTER(Constants!$F$2:$F$10,Constants!$A$2:$A$10=A622)))"),"")</f>
        <v/>
      </c>
    </row>
    <row r="623">
      <c r="A623" s="80"/>
      <c r="B623" s="87"/>
      <c r="C623" s="73"/>
      <c r="D623" s="73"/>
      <c r="E623" s="82"/>
      <c r="F623" s="82"/>
      <c r="G623" s="82"/>
      <c r="H623" s="86"/>
      <c r="I623" s="86"/>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82"/>
      <c r="AI623" s="82"/>
      <c r="AJ623" s="82"/>
      <c r="AK623" s="82"/>
      <c r="AL623" s="82"/>
      <c r="AM623" s="82"/>
      <c r="AN623" s="82">
        <f>IFERROR(__xludf.DUMMYFUNCTION("""COMPUTED_VALUE"""),0.0)</f>
        <v>0</v>
      </c>
      <c r="AO623" s="82">
        <f>IFERROR(__xludf.DUMMYFUNCTION("""COMPUTED_VALUE"""),0.0)</f>
        <v>0</v>
      </c>
      <c r="AP623" s="82">
        <f>IFERROR(__xludf.DUMMYFUNCTION("""COMPUTED_VALUE"""),0.0)</f>
        <v>0</v>
      </c>
      <c r="AQ623" s="82">
        <f>IFERROR(__xludf.DUMMYFUNCTION("""COMPUTED_VALUE"""),0.0)</f>
        <v>0</v>
      </c>
      <c r="AR623" s="82">
        <f>IFERROR(__xludf.DUMMYFUNCTION("""COMPUTED_VALUE"""),0.0)</f>
        <v>0</v>
      </c>
      <c r="AS623" s="82"/>
      <c r="AT623" s="82">
        <f>IFERROR(__xludf.DUMMYFUNCTION("""COMPUTED_VALUE"""),0.0)</f>
        <v>0</v>
      </c>
      <c r="AU623" s="82"/>
      <c r="AV623" s="82"/>
      <c r="AW623" s="82" t="str">
        <f t="shared" si="1"/>
        <v/>
      </c>
      <c r="AX623" s="83" t="str">
        <f t="array" ref="AX623">IFERROR(DGET('SBV Import'!A:G,"SBV",{"RSC ID","Tier";B623,A623}))</f>
        <v/>
      </c>
      <c r="AY623" s="82" t="str">
        <f t="shared" si="2"/>
        <v/>
      </c>
      <c r="AZ623" s="82"/>
      <c r="BA623" s="84" t="s">
        <v>152</v>
      </c>
      <c r="BB623" s="84" t="str">
        <f>IFERROR(__xludf.DUMMYFUNCTION("iferror(if(A623="""",,E623&gt;=FILTER(Constants!$F$2:$F$10,Constants!$A$2:$A$10=A623)))"),"")</f>
        <v/>
      </c>
    </row>
    <row r="624">
      <c r="A624" s="80"/>
      <c r="B624" s="87"/>
      <c r="C624" s="73"/>
      <c r="D624" s="73"/>
      <c r="E624" s="82"/>
      <c r="F624" s="82"/>
      <c r="G624" s="82"/>
      <c r="H624" s="86"/>
      <c r="I624" s="86"/>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82"/>
      <c r="AI624" s="82"/>
      <c r="AJ624" s="82"/>
      <c r="AK624" s="82"/>
      <c r="AL624" s="82"/>
      <c r="AM624" s="82"/>
      <c r="AN624" s="82">
        <f>IFERROR(__xludf.DUMMYFUNCTION("""COMPUTED_VALUE"""),0.0)</f>
        <v>0</v>
      </c>
      <c r="AO624" s="82">
        <f>IFERROR(__xludf.DUMMYFUNCTION("""COMPUTED_VALUE"""),0.0)</f>
        <v>0</v>
      </c>
      <c r="AP624" s="82">
        <f>IFERROR(__xludf.DUMMYFUNCTION("""COMPUTED_VALUE"""),0.0)</f>
        <v>0</v>
      </c>
      <c r="AQ624" s="82">
        <f>IFERROR(__xludf.DUMMYFUNCTION("""COMPUTED_VALUE"""),0.0)</f>
        <v>0</v>
      </c>
      <c r="AR624" s="82">
        <f>IFERROR(__xludf.DUMMYFUNCTION("""COMPUTED_VALUE"""),0.0)</f>
        <v>0</v>
      </c>
      <c r="AS624" s="82"/>
      <c r="AT624" s="82">
        <f>IFERROR(__xludf.DUMMYFUNCTION("""COMPUTED_VALUE"""),0.0)</f>
        <v>0</v>
      </c>
      <c r="AU624" s="82"/>
      <c r="AV624" s="82"/>
      <c r="AW624" s="82" t="str">
        <f t="shared" si="1"/>
        <v/>
      </c>
      <c r="AX624" s="83" t="str">
        <f t="array" ref="AX624">IFERROR(DGET('SBV Import'!A:G,"SBV",{"RSC ID","Tier";B624,A624}))</f>
        <v/>
      </c>
      <c r="AY624" s="82" t="str">
        <f t="shared" si="2"/>
        <v/>
      </c>
      <c r="AZ624" s="82"/>
      <c r="BA624" s="84" t="s">
        <v>152</v>
      </c>
      <c r="BB624" s="84" t="str">
        <f>IFERROR(__xludf.DUMMYFUNCTION("iferror(if(A624="""",,E624&gt;=FILTER(Constants!$F$2:$F$10,Constants!$A$2:$A$10=A624)))"),"")</f>
        <v/>
      </c>
    </row>
    <row r="625">
      <c r="A625" s="80"/>
      <c r="B625" s="87"/>
      <c r="C625" s="73"/>
      <c r="D625" s="73"/>
      <c r="E625" s="82"/>
      <c r="F625" s="82"/>
      <c r="G625" s="82"/>
      <c r="H625" s="86"/>
      <c r="I625" s="86"/>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82"/>
      <c r="AI625" s="82"/>
      <c r="AJ625" s="82"/>
      <c r="AK625" s="82"/>
      <c r="AL625" s="82"/>
      <c r="AM625" s="82"/>
      <c r="AN625" s="82">
        <f>IFERROR(__xludf.DUMMYFUNCTION("""COMPUTED_VALUE"""),0.0)</f>
        <v>0</v>
      </c>
      <c r="AO625" s="82">
        <f>IFERROR(__xludf.DUMMYFUNCTION("""COMPUTED_VALUE"""),0.0)</f>
        <v>0</v>
      </c>
      <c r="AP625" s="82">
        <f>IFERROR(__xludf.DUMMYFUNCTION("""COMPUTED_VALUE"""),0.0)</f>
        <v>0</v>
      </c>
      <c r="AQ625" s="82">
        <f>IFERROR(__xludf.DUMMYFUNCTION("""COMPUTED_VALUE"""),0.0)</f>
        <v>0</v>
      </c>
      <c r="AR625" s="82">
        <f>IFERROR(__xludf.DUMMYFUNCTION("""COMPUTED_VALUE"""),0.0)</f>
        <v>0</v>
      </c>
      <c r="AS625" s="82"/>
      <c r="AT625" s="82">
        <f>IFERROR(__xludf.DUMMYFUNCTION("""COMPUTED_VALUE"""),0.0)</f>
        <v>0</v>
      </c>
      <c r="AU625" s="82"/>
      <c r="AV625" s="82"/>
      <c r="AW625" s="82" t="str">
        <f t="shared" si="1"/>
        <v/>
      </c>
      <c r="AX625" s="83" t="str">
        <f t="array" ref="AX625">IFERROR(DGET('SBV Import'!A:G,"SBV",{"RSC ID","Tier";B625,A625}))</f>
        <v/>
      </c>
      <c r="AY625" s="82" t="str">
        <f t="shared" si="2"/>
        <v/>
      </c>
      <c r="AZ625" s="82"/>
      <c r="BA625" s="84" t="s">
        <v>152</v>
      </c>
      <c r="BB625" s="84" t="str">
        <f>IFERROR(__xludf.DUMMYFUNCTION("iferror(if(A625="""",,E625&gt;=FILTER(Constants!$F$2:$F$10,Constants!$A$2:$A$10=A625)))"),"")</f>
        <v/>
      </c>
    </row>
    <row r="626">
      <c r="A626" s="80"/>
      <c r="B626" s="87"/>
      <c r="C626" s="73"/>
      <c r="D626" s="73"/>
      <c r="E626" s="82"/>
      <c r="F626" s="82"/>
      <c r="G626" s="82"/>
      <c r="H626" s="86"/>
      <c r="I626" s="86"/>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82"/>
      <c r="AI626" s="82"/>
      <c r="AJ626" s="82"/>
      <c r="AK626" s="82"/>
      <c r="AL626" s="82"/>
      <c r="AM626" s="82"/>
      <c r="AN626" s="82">
        <f>IFERROR(__xludf.DUMMYFUNCTION("""COMPUTED_VALUE"""),0.0)</f>
        <v>0</v>
      </c>
      <c r="AO626" s="82">
        <f>IFERROR(__xludf.DUMMYFUNCTION("""COMPUTED_VALUE"""),0.0)</f>
        <v>0</v>
      </c>
      <c r="AP626" s="82">
        <f>IFERROR(__xludf.DUMMYFUNCTION("""COMPUTED_VALUE"""),0.0)</f>
        <v>0</v>
      </c>
      <c r="AQ626" s="82">
        <f>IFERROR(__xludf.DUMMYFUNCTION("""COMPUTED_VALUE"""),0.0)</f>
        <v>0</v>
      </c>
      <c r="AR626" s="82">
        <f>IFERROR(__xludf.DUMMYFUNCTION("""COMPUTED_VALUE"""),0.0)</f>
        <v>0</v>
      </c>
      <c r="AS626" s="82"/>
      <c r="AT626" s="82">
        <f>IFERROR(__xludf.DUMMYFUNCTION("""COMPUTED_VALUE"""),0.0)</f>
        <v>0</v>
      </c>
      <c r="AU626" s="82"/>
      <c r="AV626" s="82"/>
      <c r="AW626" s="82" t="str">
        <f t="shared" si="1"/>
        <v/>
      </c>
      <c r="AX626" s="83" t="str">
        <f t="array" ref="AX626">IFERROR(DGET('SBV Import'!A:G,"SBV",{"RSC ID","Tier";B626,A626}))</f>
        <v/>
      </c>
      <c r="AY626" s="82" t="str">
        <f t="shared" si="2"/>
        <v/>
      </c>
      <c r="AZ626" s="82"/>
      <c r="BA626" s="84" t="s">
        <v>152</v>
      </c>
      <c r="BB626" s="84" t="str">
        <f>IFERROR(__xludf.DUMMYFUNCTION("iferror(if(A626="""",,E626&gt;=FILTER(Constants!$F$2:$F$10,Constants!$A$2:$A$10=A626)))"),"")</f>
        <v/>
      </c>
    </row>
    <row r="627">
      <c r="A627" s="80"/>
      <c r="B627" s="87"/>
      <c r="C627" s="73"/>
      <c r="D627" s="73"/>
      <c r="E627" s="82"/>
      <c r="F627" s="82"/>
      <c r="G627" s="82"/>
      <c r="H627" s="86"/>
      <c r="I627" s="86"/>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82"/>
      <c r="AI627" s="82"/>
      <c r="AJ627" s="82"/>
      <c r="AK627" s="82"/>
      <c r="AL627" s="82"/>
      <c r="AM627" s="82"/>
      <c r="AN627" s="82">
        <f>IFERROR(__xludf.DUMMYFUNCTION("""COMPUTED_VALUE"""),0.0)</f>
        <v>0</v>
      </c>
      <c r="AO627" s="82">
        <f>IFERROR(__xludf.DUMMYFUNCTION("""COMPUTED_VALUE"""),0.0)</f>
        <v>0</v>
      </c>
      <c r="AP627" s="82">
        <f>IFERROR(__xludf.DUMMYFUNCTION("""COMPUTED_VALUE"""),0.0)</f>
        <v>0</v>
      </c>
      <c r="AQ627" s="82">
        <f>IFERROR(__xludf.DUMMYFUNCTION("""COMPUTED_VALUE"""),0.0)</f>
        <v>0</v>
      </c>
      <c r="AR627" s="82">
        <f>IFERROR(__xludf.DUMMYFUNCTION("""COMPUTED_VALUE"""),0.0)</f>
        <v>0</v>
      </c>
      <c r="AS627" s="82"/>
      <c r="AT627" s="82">
        <f>IFERROR(__xludf.DUMMYFUNCTION("""COMPUTED_VALUE"""),0.0)</f>
        <v>0</v>
      </c>
      <c r="AU627" s="82"/>
      <c r="AV627" s="82"/>
      <c r="AW627" s="82" t="str">
        <f t="shared" si="1"/>
        <v/>
      </c>
      <c r="AX627" s="83" t="str">
        <f t="array" ref="AX627">IFERROR(DGET('SBV Import'!A:G,"SBV",{"RSC ID","Tier";B627,A627}))</f>
        <v/>
      </c>
      <c r="AY627" s="82" t="str">
        <f t="shared" si="2"/>
        <v/>
      </c>
      <c r="AZ627" s="82"/>
      <c r="BA627" s="84" t="s">
        <v>152</v>
      </c>
      <c r="BB627" s="84" t="str">
        <f>IFERROR(__xludf.DUMMYFUNCTION("iferror(if(A627="""",,E627&gt;=FILTER(Constants!$F$2:$F$10,Constants!$A$2:$A$10=A627)))"),"")</f>
        <v/>
      </c>
    </row>
    <row r="628">
      <c r="A628" s="80"/>
      <c r="B628" s="87"/>
      <c r="C628" s="73"/>
      <c r="D628" s="73"/>
      <c r="E628" s="82"/>
      <c r="F628" s="82"/>
      <c r="G628" s="82"/>
      <c r="H628" s="86"/>
      <c r="I628" s="86"/>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82"/>
      <c r="AI628" s="82"/>
      <c r="AJ628" s="82"/>
      <c r="AK628" s="82"/>
      <c r="AL628" s="82"/>
      <c r="AM628" s="82"/>
      <c r="AN628" s="82">
        <f>IFERROR(__xludf.DUMMYFUNCTION("""COMPUTED_VALUE"""),0.0)</f>
        <v>0</v>
      </c>
      <c r="AO628" s="82">
        <f>IFERROR(__xludf.DUMMYFUNCTION("""COMPUTED_VALUE"""),0.0)</f>
        <v>0</v>
      </c>
      <c r="AP628" s="82">
        <f>IFERROR(__xludf.DUMMYFUNCTION("""COMPUTED_VALUE"""),0.0)</f>
        <v>0</v>
      </c>
      <c r="AQ628" s="82">
        <f>IFERROR(__xludf.DUMMYFUNCTION("""COMPUTED_VALUE"""),0.0)</f>
        <v>0</v>
      </c>
      <c r="AR628" s="82">
        <f>IFERROR(__xludf.DUMMYFUNCTION("""COMPUTED_VALUE"""),0.0)</f>
        <v>0</v>
      </c>
      <c r="AS628" s="82"/>
      <c r="AT628" s="82">
        <f>IFERROR(__xludf.DUMMYFUNCTION("""COMPUTED_VALUE"""),0.0)</f>
        <v>0</v>
      </c>
      <c r="AU628" s="82"/>
      <c r="AV628" s="82"/>
      <c r="AW628" s="82" t="str">
        <f t="shared" si="1"/>
        <v/>
      </c>
      <c r="AX628" s="83" t="str">
        <f t="array" ref="AX628">IFERROR(DGET('SBV Import'!A:G,"SBV",{"RSC ID","Tier";B628,A628}))</f>
        <v/>
      </c>
      <c r="AY628" s="82" t="str">
        <f t="shared" si="2"/>
        <v/>
      </c>
      <c r="AZ628" s="82"/>
      <c r="BA628" s="84" t="s">
        <v>152</v>
      </c>
      <c r="BB628" s="84" t="str">
        <f>IFERROR(__xludf.DUMMYFUNCTION("iferror(if(A628="""",,E628&gt;=FILTER(Constants!$F$2:$F$10,Constants!$A$2:$A$10=A628)))"),"")</f>
        <v/>
      </c>
    </row>
    <row r="629">
      <c r="A629" s="80"/>
      <c r="B629" s="87"/>
      <c r="C629" s="73"/>
      <c r="D629" s="73"/>
      <c r="E629" s="82"/>
      <c r="F629" s="82"/>
      <c r="G629" s="82"/>
      <c r="H629" s="86"/>
      <c r="I629" s="86"/>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82"/>
      <c r="AI629" s="82"/>
      <c r="AJ629" s="82"/>
      <c r="AK629" s="82"/>
      <c r="AL629" s="82"/>
      <c r="AM629" s="82"/>
      <c r="AN629" s="82">
        <f>IFERROR(__xludf.DUMMYFUNCTION("""COMPUTED_VALUE"""),0.0)</f>
        <v>0</v>
      </c>
      <c r="AO629" s="82">
        <f>IFERROR(__xludf.DUMMYFUNCTION("""COMPUTED_VALUE"""),0.0)</f>
        <v>0</v>
      </c>
      <c r="AP629" s="82">
        <f>IFERROR(__xludf.DUMMYFUNCTION("""COMPUTED_VALUE"""),0.0)</f>
        <v>0</v>
      </c>
      <c r="AQ629" s="82">
        <f>IFERROR(__xludf.DUMMYFUNCTION("""COMPUTED_VALUE"""),0.0)</f>
        <v>0</v>
      </c>
      <c r="AR629" s="82">
        <f>IFERROR(__xludf.DUMMYFUNCTION("""COMPUTED_VALUE"""),0.0)</f>
        <v>0</v>
      </c>
      <c r="AS629" s="82"/>
      <c r="AT629" s="82">
        <f>IFERROR(__xludf.DUMMYFUNCTION("""COMPUTED_VALUE"""),0.0)</f>
        <v>0</v>
      </c>
      <c r="AU629" s="82"/>
      <c r="AV629" s="82"/>
      <c r="AW629" s="82" t="str">
        <f t="shared" si="1"/>
        <v/>
      </c>
      <c r="AX629" s="83" t="str">
        <f t="array" ref="AX629">IFERROR(DGET('SBV Import'!A:G,"SBV",{"RSC ID","Tier";B629,A629}))</f>
        <v/>
      </c>
      <c r="AY629" s="82" t="str">
        <f t="shared" si="2"/>
        <v/>
      </c>
      <c r="AZ629" s="82"/>
      <c r="BA629" s="84" t="s">
        <v>152</v>
      </c>
      <c r="BB629" s="84" t="str">
        <f>IFERROR(__xludf.DUMMYFUNCTION("iferror(if(A629="""",,E629&gt;=FILTER(Constants!$F$2:$F$10,Constants!$A$2:$A$10=A629)))"),"")</f>
        <v/>
      </c>
    </row>
    <row r="630">
      <c r="A630" s="80"/>
      <c r="B630" s="87"/>
      <c r="C630" s="73"/>
      <c r="D630" s="73"/>
      <c r="E630" s="82"/>
      <c r="F630" s="82"/>
      <c r="G630" s="82"/>
      <c r="H630" s="86"/>
      <c r="I630" s="86"/>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82"/>
      <c r="AI630" s="82"/>
      <c r="AJ630" s="82"/>
      <c r="AK630" s="82"/>
      <c r="AL630" s="82"/>
      <c r="AM630" s="82"/>
      <c r="AN630" s="82">
        <f>IFERROR(__xludf.DUMMYFUNCTION("""COMPUTED_VALUE"""),0.0)</f>
        <v>0</v>
      </c>
      <c r="AO630" s="82">
        <f>IFERROR(__xludf.DUMMYFUNCTION("""COMPUTED_VALUE"""),0.0)</f>
        <v>0</v>
      </c>
      <c r="AP630" s="82">
        <f>IFERROR(__xludf.DUMMYFUNCTION("""COMPUTED_VALUE"""),0.0)</f>
        <v>0</v>
      </c>
      <c r="AQ630" s="82">
        <f>IFERROR(__xludf.DUMMYFUNCTION("""COMPUTED_VALUE"""),0.0)</f>
        <v>0</v>
      </c>
      <c r="AR630" s="82">
        <f>IFERROR(__xludf.DUMMYFUNCTION("""COMPUTED_VALUE"""),0.0)</f>
        <v>0</v>
      </c>
      <c r="AS630" s="82"/>
      <c r="AT630" s="82">
        <f>IFERROR(__xludf.DUMMYFUNCTION("""COMPUTED_VALUE"""),0.0)</f>
        <v>0</v>
      </c>
      <c r="AU630" s="82"/>
      <c r="AV630" s="82"/>
      <c r="AW630" s="82" t="str">
        <f t="shared" si="1"/>
        <v/>
      </c>
      <c r="AX630" s="83" t="str">
        <f t="array" ref="AX630">IFERROR(DGET('SBV Import'!A:G,"SBV",{"RSC ID","Tier";B630,A630}))</f>
        <v/>
      </c>
      <c r="AY630" s="82" t="str">
        <f t="shared" si="2"/>
        <v/>
      </c>
      <c r="AZ630" s="82"/>
      <c r="BA630" s="84" t="s">
        <v>152</v>
      </c>
      <c r="BB630" s="84" t="str">
        <f>IFERROR(__xludf.DUMMYFUNCTION("iferror(if(A630="""",,E630&gt;=FILTER(Constants!$F$2:$F$10,Constants!$A$2:$A$10=A630)))"),"")</f>
        <v/>
      </c>
    </row>
    <row r="631">
      <c r="A631" s="80"/>
      <c r="B631" s="87"/>
      <c r="C631" s="73"/>
      <c r="D631" s="73"/>
      <c r="E631" s="82"/>
      <c r="F631" s="82"/>
      <c r="G631" s="82"/>
      <c r="H631" s="86"/>
      <c r="I631" s="86"/>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82"/>
      <c r="AI631" s="82"/>
      <c r="AJ631" s="82"/>
      <c r="AK631" s="82"/>
      <c r="AL631" s="82"/>
      <c r="AM631" s="82"/>
      <c r="AN631" s="82">
        <f>IFERROR(__xludf.DUMMYFUNCTION("""COMPUTED_VALUE"""),0.0)</f>
        <v>0</v>
      </c>
      <c r="AO631" s="82">
        <f>IFERROR(__xludf.DUMMYFUNCTION("""COMPUTED_VALUE"""),0.0)</f>
        <v>0</v>
      </c>
      <c r="AP631" s="82">
        <f>IFERROR(__xludf.DUMMYFUNCTION("""COMPUTED_VALUE"""),0.0)</f>
        <v>0</v>
      </c>
      <c r="AQ631" s="82">
        <f>IFERROR(__xludf.DUMMYFUNCTION("""COMPUTED_VALUE"""),0.0)</f>
        <v>0</v>
      </c>
      <c r="AR631" s="82">
        <f>IFERROR(__xludf.DUMMYFUNCTION("""COMPUTED_VALUE"""),0.0)</f>
        <v>0</v>
      </c>
      <c r="AS631" s="82"/>
      <c r="AT631" s="82">
        <f>IFERROR(__xludf.DUMMYFUNCTION("""COMPUTED_VALUE"""),0.0)</f>
        <v>0</v>
      </c>
      <c r="AU631" s="82"/>
      <c r="AV631" s="82"/>
      <c r="AW631" s="82" t="str">
        <f t="shared" si="1"/>
        <v/>
      </c>
      <c r="AX631" s="83" t="str">
        <f t="array" ref="AX631">IFERROR(DGET('SBV Import'!A:G,"SBV",{"RSC ID","Tier";B631,A631}))</f>
        <v/>
      </c>
      <c r="AY631" s="82" t="str">
        <f t="shared" si="2"/>
        <v/>
      </c>
      <c r="AZ631" s="82"/>
      <c r="BA631" s="84" t="s">
        <v>152</v>
      </c>
      <c r="BB631" s="84" t="str">
        <f>IFERROR(__xludf.DUMMYFUNCTION("iferror(if(A631="""",,E631&gt;=FILTER(Constants!$F$2:$F$10,Constants!$A$2:$A$10=A631)))"),"")</f>
        <v/>
      </c>
    </row>
    <row r="632">
      <c r="A632" s="80"/>
      <c r="B632" s="87"/>
      <c r="C632" s="73"/>
      <c r="D632" s="73"/>
      <c r="E632" s="82"/>
      <c r="F632" s="82"/>
      <c r="G632" s="82"/>
      <c r="H632" s="86"/>
      <c r="I632" s="86"/>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82"/>
      <c r="AI632" s="82"/>
      <c r="AJ632" s="82"/>
      <c r="AK632" s="82"/>
      <c r="AL632" s="82"/>
      <c r="AM632" s="82"/>
      <c r="AN632" s="82">
        <f>IFERROR(__xludf.DUMMYFUNCTION("""COMPUTED_VALUE"""),0.0)</f>
        <v>0</v>
      </c>
      <c r="AO632" s="82">
        <f>IFERROR(__xludf.DUMMYFUNCTION("""COMPUTED_VALUE"""),0.0)</f>
        <v>0</v>
      </c>
      <c r="AP632" s="82">
        <f>IFERROR(__xludf.DUMMYFUNCTION("""COMPUTED_VALUE"""),0.0)</f>
        <v>0</v>
      </c>
      <c r="AQ632" s="82">
        <f>IFERROR(__xludf.DUMMYFUNCTION("""COMPUTED_VALUE"""),0.0)</f>
        <v>0</v>
      </c>
      <c r="AR632" s="82">
        <f>IFERROR(__xludf.DUMMYFUNCTION("""COMPUTED_VALUE"""),0.0)</f>
        <v>0</v>
      </c>
      <c r="AS632" s="82"/>
      <c r="AT632" s="82">
        <f>IFERROR(__xludf.DUMMYFUNCTION("""COMPUTED_VALUE"""),0.0)</f>
        <v>0</v>
      </c>
      <c r="AU632" s="82"/>
      <c r="AV632" s="82"/>
      <c r="AW632" s="82" t="str">
        <f t="shared" si="1"/>
        <v/>
      </c>
      <c r="AX632" s="83" t="str">
        <f t="array" ref="AX632">IFERROR(DGET('SBV Import'!A:G,"SBV",{"RSC ID","Tier";B632,A632}))</f>
        <v/>
      </c>
      <c r="AY632" s="82" t="str">
        <f t="shared" si="2"/>
        <v/>
      </c>
      <c r="AZ632" s="82"/>
      <c r="BA632" s="84" t="s">
        <v>152</v>
      </c>
      <c r="BB632" s="84" t="str">
        <f>IFERROR(__xludf.DUMMYFUNCTION("iferror(if(A632="""",,E632&gt;=FILTER(Constants!$F$2:$F$10,Constants!$A$2:$A$10=A632)))"),"")</f>
        <v/>
      </c>
    </row>
    <row r="633">
      <c r="A633" s="80"/>
      <c r="B633" s="87"/>
      <c r="C633" s="73"/>
      <c r="D633" s="73"/>
      <c r="E633" s="82"/>
      <c r="F633" s="82"/>
      <c r="G633" s="82"/>
      <c r="H633" s="86"/>
      <c r="I633" s="86"/>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82"/>
      <c r="AI633" s="82"/>
      <c r="AJ633" s="82"/>
      <c r="AK633" s="82"/>
      <c r="AL633" s="82"/>
      <c r="AM633" s="82"/>
      <c r="AN633" s="82">
        <f>IFERROR(__xludf.DUMMYFUNCTION("""COMPUTED_VALUE"""),0.0)</f>
        <v>0</v>
      </c>
      <c r="AO633" s="82">
        <f>IFERROR(__xludf.DUMMYFUNCTION("""COMPUTED_VALUE"""),0.0)</f>
        <v>0</v>
      </c>
      <c r="AP633" s="82">
        <f>IFERROR(__xludf.DUMMYFUNCTION("""COMPUTED_VALUE"""),0.0)</f>
        <v>0</v>
      </c>
      <c r="AQ633" s="82">
        <f>IFERROR(__xludf.DUMMYFUNCTION("""COMPUTED_VALUE"""),0.0)</f>
        <v>0</v>
      </c>
      <c r="AR633" s="82">
        <f>IFERROR(__xludf.DUMMYFUNCTION("""COMPUTED_VALUE"""),0.0)</f>
        <v>0</v>
      </c>
      <c r="AS633" s="82"/>
      <c r="AT633" s="82">
        <f>IFERROR(__xludf.DUMMYFUNCTION("""COMPUTED_VALUE"""),0.0)</f>
        <v>0</v>
      </c>
      <c r="AU633" s="82"/>
      <c r="AV633" s="82"/>
      <c r="AW633" s="82" t="str">
        <f t="shared" si="1"/>
        <v/>
      </c>
      <c r="AX633" s="83" t="str">
        <f t="array" ref="AX633">IFERROR(DGET('SBV Import'!A:G,"SBV",{"RSC ID","Tier";B633,A633}))</f>
        <v/>
      </c>
      <c r="AY633" s="82" t="str">
        <f t="shared" si="2"/>
        <v/>
      </c>
      <c r="AZ633" s="82"/>
      <c r="BA633" s="84" t="s">
        <v>152</v>
      </c>
      <c r="BB633" s="84" t="str">
        <f>IFERROR(__xludf.DUMMYFUNCTION("iferror(if(A633="""",,E633&gt;=FILTER(Constants!$F$2:$F$10,Constants!$A$2:$A$10=A633)))"),"")</f>
        <v/>
      </c>
    </row>
    <row r="634">
      <c r="A634" s="80"/>
      <c r="B634" s="87"/>
      <c r="C634" s="73"/>
      <c r="D634" s="73"/>
      <c r="E634" s="82"/>
      <c r="F634" s="82"/>
      <c r="G634" s="82"/>
      <c r="H634" s="86"/>
      <c r="I634" s="86"/>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82"/>
      <c r="AI634" s="82"/>
      <c r="AJ634" s="82"/>
      <c r="AK634" s="82"/>
      <c r="AL634" s="82"/>
      <c r="AM634" s="82"/>
      <c r="AN634" s="82">
        <f>IFERROR(__xludf.DUMMYFUNCTION("""COMPUTED_VALUE"""),0.0)</f>
        <v>0</v>
      </c>
      <c r="AO634" s="82">
        <f>IFERROR(__xludf.DUMMYFUNCTION("""COMPUTED_VALUE"""),0.0)</f>
        <v>0</v>
      </c>
      <c r="AP634" s="82">
        <f>IFERROR(__xludf.DUMMYFUNCTION("""COMPUTED_VALUE"""),0.0)</f>
        <v>0</v>
      </c>
      <c r="AQ634" s="82">
        <f>IFERROR(__xludf.DUMMYFUNCTION("""COMPUTED_VALUE"""),0.0)</f>
        <v>0</v>
      </c>
      <c r="AR634" s="82">
        <f>IFERROR(__xludf.DUMMYFUNCTION("""COMPUTED_VALUE"""),0.0)</f>
        <v>0</v>
      </c>
      <c r="AS634" s="82"/>
      <c r="AT634" s="82">
        <f>IFERROR(__xludf.DUMMYFUNCTION("""COMPUTED_VALUE"""),0.0)</f>
        <v>0</v>
      </c>
      <c r="AU634" s="82"/>
      <c r="AV634" s="82"/>
      <c r="AW634" s="82" t="str">
        <f t="shared" si="1"/>
        <v/>
      </c>
      <c r="AX634" s="83" t="str">
        <f t="array" ref="AX634">IFERROR(DGET('SBV Import'!A:G,"SBV",{"RSC ID","Tier";B634,A634}))</f>
        <v/>
      </c>
      <c r="AY634" s="82" t="str">
        <f t="shared" si="2"/>
        <v/>
      </c>
      <c r="AZ634" s="82"/>
      <c r="BA634" s="84" t="s">
        <v>152</v>
      </c>
      <c r="BB634" s="84" t="str">
        <f>IFERROR(__xludf.DUMMYFUNCTION("iferror(if(A634="""",,E634&gt;=FILTER(Constants!$F$2:$F$10,Constants!$A$2:$A$10=A634)))"),"")</f>
        <v/>
      </c>
    </row>
    <row r="635">
      <c r="A635" s="85"/>
      <c r="B635" s="87"/>
      <c r="C635" s="73"/>
      <c r="D635" s="73"/>
      <c r="E635" s="82"/>
      <c r="F635" s="82"/>
      <c r="G635" s="82"/>
      <c r="H635" s="86"/>
      <c r="I635" s="86"/>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82"/>
      <c r="AI635" s="82"/>
      <c r="AJ635" s="82"/>
      <c r="AK635" s="82"/>
      <c r="AL635" s="82"/>
      <c r="AM635" s="82"/>
      <c r="AN635" s="82">
        <f>IFERROR(__xludf.DUMMYFUNCTION("""COMPUTED_VALUE"""),0.0)</f>
        <v>0</v>
      </c>
      <c r="AO635" s="82">
        <f>IFERROR(__xludf.DUMMYFUNCTION("""COMPUTED_VALUE"""),0.0)</f>
        <v>0</v>
      </c>
      <c r="AP635" s="82">
        <f>IFERROR(__xludf.DUMMYFUNCTION("""COMPUTED_VALUE"""),0.0)</f>
        <v>0</v>
      </c>
      <c r="AQ635" s="82">
        <f>IFERROR(__xludf.DUMMYFUNCTION("""COMPUTED_VALUE"""),0.0)</f>
        <v>0</v>
      </c>
      <c r="AR635" s="82">
        <f>IFERROR(__xludf.DUMMYFUNCTION("""COMPUTED_VALUE"""),0.0)</f>
        <v>0</v>
      </c>
      <c r="AS635" s="82"/>
      <c r="AT635" s="82">
        <f>IFERROR(__xludf.DUMMYFUNCTION("""COMPUTED_VALUE"""),0.0)</f>
        <v>0</v>
      </c>
      <c r="AU635" s="82"/>
      <c r="AV635" s="82"/>
      <c r="AW635" s="82" t="str">
        <f t="shared" si="1"/>
        <v/>
      </c>
      <c r="AX635" s="83" t="str">
        <f t="array" ref="AX635">IFERROR(DGET('SBV Import'!A:G,"SBV",{"RSC ID","Tier";B635,A635}))</f>
        <v/>
      </c>
      <c r="AY635" s="82" t="str">
        <f t="shared" si="2"/>
        <v/>
      </c>
      <c r="AZ635" s="82"/>
      <c r="BA635" s="84" t="s">
        <v>152</v>
      </c>
      <c r="BB635" s="84" t="str">
        <f>IFERROR(__xludf.DUMMYFUNCTION("iferror(if(A635="""",,E635&gt;=FILTER(Constants!$F$2:$F$10,Constants!$A$2:$A$10=A635)))"),"")</f>
        <v/>
      </c>
    </row>
    <row r="636">
      <c r="A636" s="80"/>
      <c r="B636" s="87"/>
      <c r="C636" s="73"/>
      <c r="D636" s="73"/>
      <c r="E636" s="82"/>
      <c r="F636" s="82"/>
      <c r="G636" s="82"/>
      <c r="H636" s="86"/>
      <c r="I636" s="86"/>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82"/>
      <c r="AI636" s="82"/>
      <c r="AJ636" s="82"/>
      <c r="AK636" s="82"/>
      <c r="AL636" s="82"/>
      <c r="AM636" s="82"/>
      <c r="AN636" s="82">
        <f>IFERROR(__xludf.DUMMYFUNCTION("""COMPUTED_VALUE"""),0.0)</f>
        <v>0</v>
      </c>
      <c r="AO636" s="82">
        <f>IFERROR(__xludf.DUMMYFUNCTION("""COMPUTED_VALUE"""),0.0)</f>
        <v>0</v>
      </c>
      <c r="AP636" s="82">
        <f>IFERROR(__xludf.DUMMYFUNCTION("""COMPUTED_VALUE"""),0.0)</f>
        <v>0</v>
      </c>
      <c r="AQ636" s="82">
        <f>IFERROR(__xludf.DUMMYFUNCTION("""COMPUTED_VALUE"""),0.0)</f>
        <v>0</v>
      </c>
      <c r="AR636" s="82">
        <f>IFERROR(__xludf.DUMMYFUNCTION("""COMPUTED_VALUE"""),0.0)</f>
        <v>0</v>
      </c>
      <c r="AS636" s="82"/>
      <c r="AT636" s="82">
        <f>IFERROR(__xludf.DUMMYFUNCTION("""COMPUTED_VALUE"""),0.0)</f>
        <v>0</v>
      </c>
      <c r="AU636" s="82"/>
      <c r="AV636" s="82"/>
      <c r="AW636" s="82" t="str">
        <f t="shared" si="1"/>
        <v/>
      </c>
      <c r="AX636" s="83" t="str">
        <f t="array" ref="AX636">IFERROR(DGET('SBV Import'!A:G,"SBV",{"RSC ID","Tier";B636,A636}))</f>
        <v/>
      </c>
      <c r="AY636" s="82" t="str">
        <f t="shared" si="2"/>
        <v/>
      </c>
      <c r="AZ636" s="82"/>
      <c r="BA636" s="84" t="s">
        <v>152</v>
      </c>
      <c r="BB636" s="84" t="str">
        <f>IFERROR(__xludf.DUMMYFUNCTION("iferror(if(A636="""",,E636&gt;=FILTER(Constants!$F$2:$F$10,Constants!$A$2:$A$10=A636)))"),"")</f>
        <v/>
      </c>
    </row>
    <row r="637">
      <c r="A637" s="80"/>
      <c r="B637" s="87"/>
      <c r="C637" s="73"/>
      <c r="D637" s="73"/>
      <c r="E637" s="82"/>
      <c r="F637" s="82"/>
      <c r="G637" s="82"/>
      <c r="H637" s="86"/>
      <c r="I637" s="86"/>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82"/>
      <c r="AK637" s="82"/>
      <c r="AL637" s="82"/>
      <c r="AM637" s="82"/>
      <c r="AN637" s="82">
        <f>IFERROR(__xludf.DUMMYFUNCTION("""COMPUTED_VALUE"""),0.0)</f>
        <v>0</v>
      </c>
      <c r="AO637" s="82">
        <f>IFERROR(__xludf.DUMMYFUNCTION("""COMPUTED_VALUE"""),0.0)</f>
        <v>0</v>
      </c>
      <c r="AP637" s="82">
        <f>IFERROR(__xludf.DUMMYFUNCTION("""COMPUTED_VALUE"""),0.0)</f>
        <v>0</v>
      </c>
      <c r="AQ637" s="82">
        <f>IFERROR(__xludf.DUMMYFUNCTION("""COMPUTED_VALUE"""),0.0)</f>
        <v>0</v>
      </c>
      <c r="AR637" s="82">
        <f>IFERROR(__xludf.DUMMYFUNCTION("""COMPUTED_VALUE"""),0.0)</f>
        <v>0</v>
      </c>
      <c r="AS637" s="82"/>
      <c r="AT637" s="82">
        <f>IFERROR(__xludf.DUMMYFUNCTION("""COMPUTED_VALUE"""),0.0)</f>
        <v>0</v>
      </c>
      <c r="AU637" s="82"/>
      <c r="AV637" s="82"/>
      <c r="AW637" s="82" t="str">
        <f t="shared" si="1"/>
        <v/>
      </c>
      <c r="AX637" s="83" t="str">
        <f t="array" ref="AX637">IFERROR(DGET('SBV Import'!A:G,"SBV",{"RSC ID","Tier";B637,A637}))</f>
        <v/>
      </c>
      <c r="AY637" s="82" t="str">
        <f t="shared" si="2"/>
        <v/>
      </c>
      <c r="AZ637" s="82"/>
      <c r="BA637" s="84" t="s">
        <v>152</v>
      </c>
      <c r="BB637" s="84" t="str">
        <f>IFERROR(__xludf.DUMMYFUNCTION("iferror(if(A637="""",,E637&gt;=FILTER(Constants!$F$2:$F$10,Constants!$A$2:$A$10=A637)))"),"")</f>
        <v/>
      </c>
    </row>
    <row r="638">
      <c r="A638" s="80"/>
      <c r="B638" s="87"/>
      <c r="C638" s="73"/>
      <c r="D638" s="73"/>
      <c r="E638" s="82"/>
      <c r="F638" s="82"/>
      <c r="G638" s="82"/>
      <c r="H638" s="86"/>
      <c r="I638" s="86"/>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82"/>
      <c r="AI638" s="82"/>
      <c r="AJ638" s="82"/>
      <c r="AK638" s="82"/>
      <c r="AL638" s="82"/>
      <c r="AM638" s="82"/>
      <c r="AN638" s="82">
        <f>IFERROR(__xludf.DUMMYFUNCTION("""COMPUTED_VALUE"""),0.0)</f>
        <v>0</v>
      </c>
      <c r="AO638" s="82">
        <f>IFERROR(__xludf.DUMMYFUNCTION("""COMPUTED_VALUE"""),0.0)</f>
        <v>0</v>
      </c>
      <c r="AP638" s="82">
        <f>IFERROR(__xludf.DUMMYFUNCTION("""COMPUTED_VALUE"""),0.0)</f>
        <v>0</v>
      </c>
      <c r="AQ638" s="82">
        <f>IFERROR(__xludf.DUMMYFUNCTION("""COMPUTED_VALUE"""),0.0)</f>
        <v>0</v>
      </c>
      <c r="AR638" s="82">
        <f>IFERROR(__xludf.DUMMYFUNCTION("""COMPUTED_VALUE"""),0.0)</f>
        <v>0</v>
      </c>
      <c r="AS638" s="82"/>
      <c r="AT638" s="82">
        <f>IFERROR(__xludf.DUMMYFUNCTION("""COMPUTED_VALUE"""),0.0)</f>
        <v>0</v>
      </c>
      <c r="AU638" s="82"/>
      <c r="AV638" s="82"/>
      <c r="AW638" s="82" t="str">
        <f t="shared" si="1"/>
        <v/>
      </c>
      <c r="AX638" s="83" t="str">
        <f t="array" ref="AX638">IFERROR(DGET('SBV Import'!A:G,"SBV",{"RSC ID","Tier";B638,A638}))</f>
        <v/>
      </c>
      <c r="AY638" s="82" t="str">
        <f t="shared" si="2"/>
        <v/>
      </c>
      <c r="AZ638" s="82"/>
      <c r="BA638" s="84" t="s">
        <v>152</v>
      </c>
      <c r="BB638" s="84" t="str">
        <f>IFERROR(__xludf.DUMMYFUNCTION("iferror(if(A638="""",,E638&gt;=FILTER(Constants!$F$2:$F$10,Constants!$A$2:$A$10=A638)))"),"")</f>
        <v/>
      </c>
    </row>
    <row r="639">
      <c r="A639" s="80"/>
      <c r="B639" s="87"/>
      <c r="C639" s="73"/>
      <c r="D639" s="73"/>
      <c r="E639" s="82"/>
      <c r="F639" s="82"/>
      <c r="G639" s="82"/>
      <c r="H639" s="86"/>
      <c r="I639" s="86"/>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82"/>
      <c r="AI639" s="82"/>
      <c r="AJ639" s="82"/>
      <c r="AK639" s="82"/>
      <c r="AL639" s="82"/>
      <c r="AM639" s="82"/>
      <c r="AN639" s="82">
        <f>IFERROR(__xludf.DUMMYFUNCTION("""COMPUTED_VALUE"""),0.0)</f>
        <v>0</v>
      </c>
      <c r="AO639" s="82">
        <f>IFERROR(__xludf.DUMMYFUNCTION("""COMPUTED_VALUE"""),0.0)</f>
        <v>0</v>
      </c>
      <c r="AP639" s="82">
        <f>IFERROR(__xludf.DUMMYFUNCTION("""COMPUTED_VALUE"""),0.0)</f>
        <v>0</v>
      </c>
      <c r="AQ639" s="82">
        <f>IFERROR(__xludf.DUMMYFUNCTION("""COMPUTED_VALUE"""),0.0)</f>
        <v>0</v>
      </c>
      <c r="AR639" s="82">
        <f>IFERROR(__xludf.DUMMYFUNCTION("""COMPUTED_VALUE"""),0.0)</f>
        <v>0</v>
      </c>
      <c r="AS639" s="82"/>
      <c r="AT639" s="82">
        <f>IFERROR(__xludf.DUMMYFUNCTION("""COMPUTED_VALUE"""),0.0)</f>
        <v>0</v>
      </c>
      <c r="AU639" s="82"/>
      <c r="AV639" s="82"/>
      <c r="AW639" s="82" t="str">
        <f t="shared" si="1"/>
        <v/>
      </c>
      <c r="AX639" s="83" t="str">
        <f t="array" ref="AX639">IFERROR(DGET('SBV Import'!A:G,"SBV",{"RSC ID","Tier";B639,A639}))</f>
        <v/>
      </c>
      <c r="AY639" s="82" t="str">
        <f t="shared" si="2"/>
        <v/>
      </c>
      <c r="AZ639" s="82"/>
      <c r="BA639" s="84" t="s">
        <v>152</v>
      </c>
      <c r="BB639" s="84" t="str">
        <f>IFERROR(__xludf.DUMMYFUNCTION("iferror(if(A639="""",,E639&gt;=FILTER(Constants!$F$2:$F$10,Constants!$A$2:$A$10=A639)))"),"")</f>
        <v/>
      </c>
    </row>
    <row r="640">
      <c r="A640" s="80"/>
      <c r="B640" s="87"/>
      <c r="C640" s="73"/>
      <c r="D640" s="73"/>
      <c r="E640" s="82"/>
      <c r="F640" s="82"/>
      <c r="G640" s="82"/>
      <c r="H640" s="86"/>
      <c r="I640" s="86"/>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82"/>
      <c r="AI640" s="82"/>
      <c r="AJ640" s="82"/>
      <c r="AK640" s="82"/>
      <c r="AL640" s="82"/>
      <c r="AM640" s="82"/>
      <c r="AN640" s="82">
        <f>IFERROR(__xludf.DUMMYFUNCTION("""COMPUTED_VALUE"""),0.0)</f>
        <v>0</v>
      </c>
      <c r="AO640" s="82">
        <f>IFERROR(__xludf.DUMMYFUNCTION("""COMPUTED_VALUE"""),0.0)</f>
        <v>0</v>
      </c>
      <c r="AP640" s="82">
        <f>IFERROR(__xludf.DUMMYFUNCTION("""COMPUTED_VALUE"""),0.0)</f>
        <v>0</v>
      </c>
      <c r="AQ640" s="82">
        <f>IFERROR(__xludf.DUMMYFUNCTION("""COMPUTED_VALUE"""),0.0)</f>
        <v>0</v>
      </c>
      <c r="AR640" s="82">
        <f>IFERROR(__xludf.DUMMYFUNCTION("""COMPUTED_VALUE"""),0.0)</f>
        <v>0</v>
      </c>
      <c r="AS640" s="82"/>
      <c r="AT640" s="82">
        <f>IFERROR(__xludf.DUMMYFUNCTION("""COMPUTED_VALUE"""),0.0)</f>
        <v>0</v>
      </c>
      <c r="AU640" s="82"/>
      <c r="AV640" s="82"/>
      <c r="AW640" s="82" t="str">
        <f t="shared" si="1"/>
        <v/>
      </c>
      <c r="AX640" s="83" t="str">
        <f t="array" ref="AX640">IFERROR(DGET('SBV Import'!A:G,"SBV",{"RSC ID","Tier";B640,A640}))</f>
        <v/>
      </c>
      <c r="AY640" s="82" t="str">
        <f t="shared" si="2"/>
        <v/>
      </c>
      <c r="AZ640" s="82"/>
      <c r="BA640" s="84" t="s">
        <v>152</v>
      </c>
      <c r="BB640" s="84" t="str">
        <f>IFERROR(__xludf.DUMMYFUNCTION("iferror(if(A640="""",,E640&gt;=FILTER(Constants!$F$2:$F$10,Constants!$A$2:$A$10=A640)))"),"")</f>
        <v/>
      </c>
    </row>
    <row r="641">
      <c r="A641" s="80"/>
      <c r="B641" s="87"/>
      <c r="C641" s="73"/>
      <c r="D641" s="73"/>
      <c r="E641" s="82"/>
      <c r="F641" s="82"/>
      <c r="G641" s="82"/>
      <c r="H641" s="86"/>
      <c r="I641" s="86"/>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82"/>
      <c r="AI641" s="82"/>
      <c r="AJ641" s="82"/>
      <c r="AK641" s="82"/>
      <c r="AL641" s="82"/>
      <c r="AM641" s="82"/>
      <c r="AN641" s="82">
        <f>IFERROR(__xludf.DUMMYFUNCTION("""COMPUTED_VALUE"""),0.0)</f>
        <v>0</v>
      </c>
      <c r="AO641" s="82">
        <f>IFERROR(__xludf.DUMMYFUNCTION("""COMPUTED_VALUE"""),0.0)</f>
        <v>0</v>
      </c>
      <c r="AP641" s="82">
        <f>IFERROR(__xludf.DUMMYFUNCTION("""COMPUTED_VALUE"""),0.0)</f>
        <v>0</v>
      </c>
      <c r="AQ641" s="82">
        <f>IFERROR(__xludf.DUMMYFUNCTION("""COMPUTED_VALUE"""),0.0)</f>
        <v>0</v>
      </c>
      <c r="AR641" s="82">
        <f>IFERROR(__xludf.DUMMYFUNCTION("""COMPUTED_VALUE"""),0.0)</f>
        <v>0</v>
      </c>
      <c r="AS641" s="82"/>
      <c r="AT641" s="82">
        <f>IFERROR(__xludf.DUMMYFUNCTION("""COMPUTED_VALUE"""),0.0)</f>
        <v>0</v>
      </c>
      <c r="AU641" s="82"/>
      <c r="AV641" s="82"/>
      <c r="AW641" s="82" t="str">
        <f t="shared" si="1"/>
        <v/>
      </c>
      <c r="AX641" s="83" t="str">
        <f t="array" ref="AX641">IFERROR(DGET('SBV Import'!A:G,"SBV",{"RSC ID","Tier";B641,A641}))</f>
        <v/>
      </c>
      <c r="AY641" s="82" t="str">
        <f t="shared" si="2"/>
        <v/>
      </c>
      <c r="AZ641" s="82"/>
      <c r="BA641" s="84" t="s">
        <v>152</v>
      </c>
      <c r="BB641" s="84" t="str">
        <f>IFERROR(__xludf.DUMMYFUNCTION("iferror(if(A641="""",,E641&gt;=FILTER(Constants!$F$2:$F$10,Constants!$A$2:$A$10=A641)))"),"")</f>
        <v/>
      </c>
    </row>
    <row r="642">
      <c r="A642" s="80"/>
      <c r="B642" s="87"/>
      <c r="C642" s="73"/>
      <c r="D642" s="73"/>
      <c r="E642" s="82"/>
      <c r="F642" s="82"/>
      <c r="G642" s="82"/>
      <c r="H642" s="86"/>
      <c r="I642" s="86"/>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82"/>
      <c r="AI642" s="82"/>
      <c r="AJ642" s="82"/>
      <c r="AK642" s="82"/>
      <c r="AL642" s="82"/>
      <c r="AM642" s="82"/>
      <c r="AN642" s="82">
        <f>IFERROR(__xludf.DUMMYFUNCTION("""COMPUTED_VALUE"""),0.0)</f>
        <v>0</v>
      </c>
      <c r="AO642" s="82">
        <f>IFERROR(__xludf.DUMMYFUNCTION("""COMPUTED_VALUE"""),0.0)</f>
        <v>0</v>
      </c>
      <c r="AP642" s="82">
        <f>IFERROR(__xludf.DUMMYFUNCTION("""COMPUTED_VALUE"""),0.0)</f>
        <v>0</v>
      </c>
      <c r="AQ642" s="82">
        <f>IFERROR(__xludf.DUMMYFUNCTION("""COMPUTED_VALUE"""),0.0)</f>
        <v>0</v>
      </c>
      <c r="AR642" s="82">
        <f>IFERROR(__xludf.DUMMYFUNCTION("""COMPUTED_VALUE"""),0.0)</f>
        <v>0</v>
      </c>
      <c r="AS642" s="82"/>
      <c r="AT642" s="82">
        <f>IFERROR(__xludf.DUMMYFUNCTION("""COMPUTED_VALUE"""),0.0)</f>
        <v>0</v>
      </c>
      <c r="AU642" s="82"/>
      <c r="AV642" s="82"/>
      <c r="AW642" s="82" t="str">
        <f t="shared" si="1"/>
        <v/>
      </c>
      <c r="AX642" s="83" t="str">
        <f t="array" ref="AX642">IFERROR(DGET('SBV Import'!A:G,"SBV",{"RSC ID","Tier";B642,A642}))</f>
        <v/>
      </c>
      <c r="AY642" s="82" t="str">
        <f t="shared" si="2"/>
        <v/>
      </c>
      <c r="AZ642" s="82"/>
      <c r="BA642" s="84" t="s">
        <v>152</v>
      </c>
      <c r="BB642" s="84" t="str">
        <f>IFERROR(__xludf.DUMMYFUNCTION("iferror(if(A642="""",,E642&gt;=FILTER(Constants!$F$2:$F$10,Constants!$A$2:$A$10=A642)))"),"")</f>
        <v/>
      </c>
    </row>
    <row r="643">
      <c r="A643" s="80"/>
      <c r="B643" s="87"/>
      <c r="C643" s="73"/>
      <c r="D643" s="73"/>
      <c r="E643" s="82"/>
      <c r="F643" s="82"/>
      <c r="G643" s="82"/>
      <c r="H643" s="86"/>
      <c r="I643" s="86"/>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82"/>
      <c r="AI643" s="82"/>
      <c r="AJ643" s="82"/>
      <c r="AK643" s="82"/>
      <c r="AL643" s="82"/>
      <c r="AM643" s="82"/>
      <c r="AN643" s="82">
        <f>IFERROR(__xludf.DUMMYFUNCTION("""COMPUTED_VALUE"""),0.0)</f>
        <v>0</v>
      </c>
      <c r="AO643" s="82">
        <f>IFERROR(__xludf.DUMMYFUNCTION("""COMPUTED_VALUE"""),0.0)</f>
        <v>0</v>
      </c>
      <c r="AP643" s="82">
        <f>IFERROR(__xludf.DUMMYFUNCTION("""COMPUTED_VALUE"""),0.0)</f>
        <v>0</v>
      </c>
      <c r="AQ643" s="82">
        <f>IFERROR(__xludf.DUMMYFUNCTION("""COMPUTED_VALUE"""),0.0)</f>
        <v>0</v>
      </c>
      <c r="AR643" s="82">
        <f>IFERROR(__xludf.DUMMYFUNCTION("""COMPUTED_VALUE"""),0.0)</f>
        <v>0</v>
      </c>
      <c r="AS643" s="82"/>
      <c r="AT643" s="82">
        <f>IFERROR(__xludf.DUMMYFUNCTION("""COMPUTED_VALUE"""),0.0)</f>
        <v>0</v>
      </c>
      <c r="AU643" s="82"/>
      <c r="AV643" s="82"/>
      <c r="AW643" s="82" t="str">
        <f t="shared" si="1"/>
        <v/>
      </c>
      <c r="AX643" s="83" t="str">
        <f t="array" ref="AX643">IFERROR(DGET('SBV Import'!A:G,"SBV",{"RSC ID","Tier";B643,A643}))</f>
        <v/>
      </c>
      <c r="AY643" s="82" t="str">
        <f t="shared" si="2"/>
        <v/>
      </c>
      <c r="AZ643" s="82"/>
      <c r="BA643" s="84" t="s">
        <v>152</v>
      </c>
      <c r="BB643" s="84" t="str">
        <f>IFERROR(__xludf.DUMMYFUNCTION("iferror(if(A643="""",,E643&gt;=FILTER(Constants!$F$2:$F$10,Constants!$A$2:$A$10=A643)))"),"")</f>
        <v/>
      </c>
    </row>
    <row r="644">
      <c r="A644" s="80"/>
      <c r="B644" s="87"/>
      <c r="C644" s="73"/>
      <c r="D644" s="73"/>
      <c r="E644" s="82"/>
      <c r="F644" s="82"/>
      <c r="G644" s="82"/>
      <c r="H644" s="86"/>
      <c r="I644" s="86"/>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82"/>
      <c r="AI644" s="82"/>
      <c r="AJ644" s="82"/>
      <c r="AK644" s="82"/>
      <c r="AL644" s="82"/>
      <c r="AM644" s="82"/>
      <c r="AN644" s="82">
        <f>IFERROR(__xludf.DUMMYFUNCTION("""COMPUTED_VALUE"""),0.0)</f>
        <v>0</v>
      </c>
      <c r="AO644" s="82">
        <f>IFERROR(__xludf.DUMMYFUNCTION("""COMPUTED_VALUE"""),0.0)</f>
        <v>0</v>
      </c>
      <c r="AP644" s="82">
        <f>IFERROR(__xludf.DUMMYFUNCTION("""COMPUTED_VALUE"""),0.0)</f>
        <v>0</v>
      </c>
      <c r="AQ644" s="82">
        <f>IFERROR(__xludf.DUMMYFUNCTION("""COMPUTED_VALUE"""),0.0)</f>
        <v>0</v>
      </c>
      <c r="AR644" s="82">
        <f>IFERROR(__xludf.DUMMYFUNCTION("""COMPUTED_VALUE"""),0.0)</f>
        <v>0</v>
      </c>
      <c r="AS644" s="82"/>
      <c r="AT644" s="82">
        <f>IFERROR(__xludf.DUMMYFUNCTION("""COMPUTED_VALUE"""),0.0)</f>
        <v>0</v>
      </c>
      <c r="AU644" s="82"/>
      <c r="AV644" s="82"/>
      <c r="AW644" s="82" t="str">
        <f t="shared" si="1"/>
        <v/>
      </c>
      <c r="AX644" s="83" t="str">
        <f t="array" ref="AX644">IFERROR(DGET('SBV Import'!A:G,"SBV",{"RSC ID","Tier";B644,A644}))</f>
        <v/>
      </c>
      <c r="AY644" s="82" t="str">
        <f t="shared" si="2"/>
        <v/>
      </c>
      <c r="AZ644" s="82"/>
      <c r="BA644" s="84" t="s">
        <v>152</v>
      </c>
      <c r="BB644" s="84" t="str">
        <f>IFERROR(__xludf.DUMMYFUNCTION("iferror(if(A644="""",,E644&gt;=FILTER(Constants!$F$2:$F$10,Constants!$A$2:$A$10=A644)))"),"")</f>
        <v/>
      </c>
    </row>
    <row r="645">
      <c r="A645" s="80"/>
      <c r="B645" s="87"/>
      <c r="C645" s="73"/>
      <c r="D645" s="73"/>
      <c r="E645" s="82"/>
      <c r="F645" s="82"/>
      <c r="G645" s="82"/>
      <c r="H645" s="86"/>
      <c r="I645" s="86"/>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82"/>
      <c r="AI645" s="82"/>
      <c r="AJ645" s="82"/>
      <c r="AK645" s="82"/>
      <c r="AL645" s="82"/>
      <c r="AM645" s="82"/>
      <c r="AN645" s="82">
        <f>IFERROR(__xludf.DUMMYFUNCTION("""COMPUTED_VALUE"""),0.0)</f>
        <v>0</v>
      </c>
      <c r="AO645" s="82">
        <f>IFERROR(__xludf.DUMMYFUNCTION("""COMPUTED_VALUE"""),0.0)</f>
        <v>0</v>
      </c>
      <c r="AP645" s="82">
        <f>IFERROR(__xludf.DUMMYFUNCTION("""COMPUTED_VALUE"""),0.0)</f>
        <v>0</v>
      </c>
      <c r="AQ645" s="82">
        <f>IFERROR(__xludf.DUMMYFUNCTION("""COMPUTED_VALUE"""),0.0)</f>
        <v>0</v>
      </c>
      <c r="AR645" s="82">
        <f>IFERROR(__xludf.DUMMYFUNCTION("""COMPUTED_VALUE"""),0.0)</f>
        <v>0</v>
      </c>
      <c r="AS645" s="82"/>
      <c r="AT645" s="82">
        <f>IFERROR(__xludf.DUMMYFUNCTION("""COMPUTED_VALUE"""),0.0)</f>
        <v>0</v>
      </c>
      <c r="AU645" s="82"/>
      <c r="AV645" s="82"/>
      <c r="AW645" s="82" t="str">
        <f t="shared" si="1"/>
        <v/>
      </c>
      <c r="AX645" s="83" t="str">
        <f t="array" ref="AX645">IFERROR(DGET('SBV Import'!A:G,"SBV",{"RSC ID","Tier";B645,A645}))</f>
        <v/>
      </c>
      <c r="AY645" s="82" t="str">
        <f t="shared" si="2"/>
        <v/>
      </c>
      <c r="AZ645" s="82"/>
      <c r="BA645" s="84" t="s">
        <v>152</v>
      </c>
      <c r="BB645" s="84" t="str">
        <f>IFERROR(__xludf.DUMMYFUNCTION("iferror(if(A645="""",,E645&gt;=FILTER(Constants!$F$2:$F$10,Constants!$A$2:$A$10=A645)))"),"")</f>
        <v/>
      </c>
    </row>
    <row r="646">
      <c r="A646" s="80"/>
      <c r="B646" s="87"/>
      <c r="C646" s="73"/>
      <c r="D646" s="73"/>
      <c r="E646" s="82"/>
      <c r="F646" s="82"/>
      <c r="G646" s="82"/>
      <c r="H646" s="86"/>
      <c r="I646" s="86"/>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82"/>
      <c r="AI646" s="82"/>
      <c r="AJ646" s="82"/>
      <c r="AK646" s="82"/>
      <c r="AL646" s="82"/>
      <c r="AM646" s="82"/>
      <c r="AN646" s="82">
        <f>IFERROR(__xludf.DUMMYFUNCTION("""COMPUTED_VALUE"""),0.0)</f>
        <v>0</v>
      </c>
      <c r="AO646" s="82">
        <f>IFERROR(__xludf.DUMMYFUNCTION("""COMPUTED_VALUE"""),0.0)</f>
        <v>0</v>
      </c>
      <c r="AP646" s="82">
        <f>IFERROR(__xludf.DUMMYFUNCTION("""COMPUTED_VALUE"""),0.0)</f>
        <v>0</v>
      </c>
      <c r="AQ646" s="82">
        <f>IFERROR(__xludf.DUMMYFUNCTION("""COMPUTED_VALUE"""),0.0)</f>
        <v>0</v>
      </c>
      <c r="AR646" s="82">
        <f>IFERROR(__xludf.DUMMYFUNCTION("""COMPUTED_VALUE"""),0.0)</f>
        <v>0</v>
      </c>
      <c r="AS646" s="82"/>
      <c r="AT646" s="82">
        <f>IFERROR(__xludf.DUMMYFUNCTION("""COMPUTED_VALUE"""),0.0)</f>
        <v>0</v>
      </c>
      <c r="AU646" s="82"/>
      <c r="AV646" s="82"/>
      <c r="AW646" s="82" t="str">
        <f t="shared" si="1"/>
        <v/>
      </c>
      <c r="AX646" s="83" t="str">
        <f t="array" ref="AX646">IFERROR(DGET('SBV Import'!A:G,"SBV",{"RSC ID","Tier";B646,A646}))</f>
        <v/>
      </c>
      <c r="AY646" s="82" t="str">
        <f t="shared" si="2"/>
        <v/>
      </c>
      <c r="AZ646" s="82"/>
      <c r="BA646" s="84" t="s">
        <v>152</v>
      </c>
      <c r="BB646" s="84" t="str">
        <f>IFERROR(__xludf.DUMMYFUNCTION("iferror(if(A646="""",,E646&gt;=FILTER(Constants!$F$2:$F$10,Constants!$A$2:$A$10=A646)))"),"")</f>
        <v/>
      </c>
    </row>
    <row r="647">
      <c r="A647" s="80"/>
      <c r="B647" s="87"/>
      <c r="C647" s="73"/>
      <c r="D647" s="73"/>
      <c r="E647" s="82"/>
      <c r="F647" s="82"/>
      <c r="G647" s="82"/>
      <c r="H647" s="86"/>
      <c r="I647" s="86"/>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82"/>
      <c r="AI647" s="82"/>
      <c r="AJ647" s="82"/>
      <c r="AK647" s="82"/>
      <c r="AL647" s="82"/>
      <c r="AM647" s="82"/>
      <c r="AN647" s="82">
        <f>IFERROR(__xludf.DUMMYFUNCTION("""COMPUTED_VALUE"""),0.0)</f>
        <v>0</v>
      </c>
      <c r="AO647" s="82">
        <f>IFERROR(__xludf.DUMMYFUNCTION("""COMPUTED_VALUE"""),0.0)</f>
        <v>0</v>
      </c>
      <c r="AP647" s="82">
        <f>IFERROR(__xludf.DUMMYFUNCTION("""COMPUTED_VALUE"""),0.0)</f>
        <v>0</v>
      </c>
      <c r="AQ647" s="82">
        <f>IFERROR(__xludf.DUMMYFUNCTION("""COMPUTED_VALUE"""),0.0)</f>
        <v>0</v>
      </c>
      <c r="AR647" s="82">
        <f>IFERROR(__xludf.DUMMYFUNCTION("""COMPUTED_VALUE"""),0.0)</f>
        <v>0</v>
      </c>
      <c r="AS647" s="82"/>
      <c r="AT647" s="82">
        <f>IFERROR(__xludf.DUMMYFUNCTION("""COMPUTED_VALUE"""),0.0)</f>
        <v>0</v>
      </c>
      <c r="AU647" s="82"/>
      <c r="AV647" s="82"/>
      <c r="AW647" s="82" t="str">
        <f t="shared" si="1"/>
        <v/>
      </c>
      <c r="AX647" s="83" t="str">
        <f t="array" ref="AX647">IFERROR(DGET('SBV Import'!A:G,"SBV",{"RSC ID","Tier";B647,A647}))</f>
        <v/>
      </c>
      <c r="AY647" s="82" t="str">
        <f t="shared" si="2"/>
        <v/>
      </c>
      <c r="AZ647" s="82"/>
      <c r="BA647" s="84" t="s">
        <v>152</v>
      </c>
      <c r="BB647" s="84" t="str">
        <f>IFERROR(__xludf.DUMMYFUNCTION("iferror(if(A647="""",,E647&gt;=FILTER(Constants!$F$2:$F$10,Constants!$A$2:$A$10=A647)))"),"")</f>
        <v/>
      </c>
    </row>
    <row r="648">
      <c r="A648" s="80"/>
      <c r="B648" s="87"/>
      <c r="C648" s="73"/>
      <c r="D648" s="73"/>
      <c r="E648" s="82"/>
      <c r="F648" s="82"/>
      <c r="G648" s="82"/>
      <c r="H648" s="86"/>
      <c r="I648" s="86"/>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82"/>
      <c r="AI648" s="82"/>
      <c r="AJ648" s="82"/>
      <c r="AK648" s="82"/>
      <c r="AL648" s="82"/>
      <c r="AM648" s="82"/>
      <c r="AN648" s="82">
        <f>IFERROR(__xludf.DUMMYFUNCTION("""COMPUTED_VALUE"""),0.0)</f>
        <v>0</v>
      </c>
      <c r="AO648" s="82">
        <f>IFERROR(__xludf.DUMMYFUNCTION("""COMPUTED_VALUE"""),0.0)</f>
        <v>0</v>
      </c>
      <c r="AP648" s="82">
        <f>IFERROR(__xludf.DUMMYFUNCTION("""COMPUTED_VALUE"""),0.0)</f>
        <v>0</v>
      </c>
      <c r="AQ648" s="82">
        <f>IFERROR(__xludf.DUMMYFUNCTION("""COMPUTED_VALUE"""),0.0)</f>
        <v>0</v>
      </c>
      <c r="AR648" s="82">
        <f>IFERROR(__xludf.DUMMYFUNCTION("""COMPUTED_VALUE"""),0.0)</f>
        <v>0</v>
      </c>
      <c r="AS648" s="82"/>
      <c r="AT648" s="82">
        <f>IFERROR(__xludf.DUMMYFUNCTION("""COMPUTED_VALUE"""),0.0)</f>
        <v>0</v>
      </c>
      <c r="AU648" s="82"/>
      <c r="AV648" s="82"/>
      <c r="AW648" s="82" t="str">
        <f t="shared" si="1"/>
        <v/>
      </c>
      <c r="AX648" s="83" t="str">
        <f t="array" ref="AX648">IFERROR(DGET('SBV Import'!A:G,"SBV",{"RSC ID","Tier";B648,A648}))</f>
        <v/>
      </c>
      <c r="AY648" s="82" t="str">
        <f t="shared" si="2"/>
        <v/>
      </c>
      <c r="AZ648" s="82"/>
      <c r="BA648" s="84" t="s">
        <v>152</v>
      </c>
      <c r="BB648" s="84" t="str">
        <f>IFERROR(__xludf.DUMMYFUNCTION("iferror(if(A648="""",,E648&gt;=FILTER(Constants!$F$2:$F$10,Constants!$A$2:$A$10=A648)))"),"")</f>
        <v/>
      </c>
    </row>
    <row r="649">
      <c r="A649" s="80"/>
      <c r="B649" s="87"/>
      <c r="C649" s="73"/>
      <c r="D649" s="73"/>
      <c r="E649" s="82"/>
      <c r="F649" s="82"/>
      <c r="G649" s="82"/>
      <c r="H649" s="86"/>
      <c r="I649" s="86"/>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82"/>
      <c r="AK649" s="82"/>
      <c r="AL649" s="82"/>
      <c r="AM649" s="82"/>
      <c r="AN649" s="82">
        <f>IFERROR(__xludf.DUMMYFUNCTION("""COMPUTED_VALUE"""),0.0)</f>
        <v>0</v>
      </c>
      <c r="AO649" s="82">
        <f>IFERROR(__xludf.DUMMYFUNCTION("""COMPUTED_VALUE"""),0.0)</f>
        <v>0</v>
      </c>
      <c r="AP649" s="82">
        <f>IFERROR(__xludf.DUMMYFUNCTION("""COMPUTED_VALUE"""),0.0)</f>
        <v>0</v>
      </c>
      <c r="AQ649" s="82">
        <f>IFERROR(__xludf.DUMMYFUNCTION("""COMPUTED_VALUE"""),0.0)</f>
        <v>0</v>
      </c>
      <c r="AR649" s="82">
        <f>IFERROR(__xludf.DUMMYFUNCTION("""COMPUTED_VALUE"""),0.0)</f>
        <v>0</v>
      </c>
      <c r="AS649" s="82"/>
      <c r="AT649" s="82">
        <f>IFERROR(__xludf.DUMMYFUNCTION("""COMPUTED_VALUE"""),0.0)</f>
        <v>0</v>
      </c>
      <c r="AU649" s="82"/>
      <c r="AV649" s="82"/>
      <c r="AW649" s="82" t="str">
        <f t="shared" si="1"/>
        <v/>
      </c>
      <c r="AX649" s="83" t="str">
        <f t="array" ref="AX649">IFERROR(DGET('SBV Import'!A:G,"SBV",{"RSC ID","Tier";B649,A649}))</f>
        <v/>
      </c>
      <c r="AY649" s="82" t="str">
        <f t="shared" si="2"/>
        <v/>
      </c>
      <c r="AZ649" s="82"/>
      <c r="BA649" s="84" t="s">
        <v>152</v>
      </c>
      <c r="BB649" s="84" t="str">
        <f>IFERROR(__xludf.DUMMYFUNCTION("iferror(if(A649="""",,E649&gt;=FILTER(Constants!$F$2:$F$10,Constants!$A$2:$A$10=A649)))"),"")</f>
        <v/>
      </c>
    </row>
    <row r="650">
      <c r="A650" s="85"/>
      <c r="B650" s="87"/>
      <c r="C650" s="73"/>
      <c r="D650" s="73"/>
      <c r="E650" s="82"/>
      <c r="F650" s="82"/>
      <c r="G650" s="82"/>
      <c r="H650" s="86"/>
      <c r="I650" s="86"/>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f>IFERROR(__xludf.DUMMYFUNCTION("""COMPUTED_VALUE"""),0.0)</f>
        <v>0</v>
      </c>
      <c r="AO650" s="82">
        <f>IFERROR(__xludf.DUMMYFUNCTION("""COMPUTED_VALUE"""),0.0)</f>
        <v>0</v>
      </c>
      <c r="AP650" s="82">
        <f>IFERROR(__xludf.DUMMYFUNCTION("""COMPUTED_VALUE"""),0.0)</f>
        <v>0</v>
      </c>
      <c r="AQ650" s="82">
        <f>IFERROR(__xludf.DUMMYFUNCTION("""COMPUTED_VALUE"""),0.0)</f>
        <v>0</v>
      </c>
      <c r="AR650" s="82">
        <f>IFERROR(__xludf.DUMMYFUNCTION("""COMPUTED_VALUE"""),0.0)</f>
        <v>0</v>
      </c>
      <c r="AS650" s="82"/>
      <c r="AT650" s="82">
        <f>IFERROR(__xludf.DUMMYFUNCTION("""COMPUTED_VALUE"""),0.0)</f>
        <v>0</v>
      </c>
      <c r="AU650" s="82"/>
      <c r="AV650" s="82"/>
      <c r="AW650" s="82" t="str">
        <f t="shared" si="1"/>
        <v/>
      </c>
      <c r="AX650" s="83" t="str">
        <f t="array" ref="AX650">IFERROR(DGET('SBV Import'!A:G,"SBV",{"RSC ID","Tier";B650,A650}))</f>
        <v/>
      </c>
      <c r="AY650" s="82" t="str">
        <f t="shared" si="2"/>
        <v/>
      </c>
      <c r="AZ650" s="82"/>
      <c r="BA650" s="84" t="s">
        <v>152</v>
      </c>
      <c r="BB650" s="84" t="str">
        <f>IFERROR(__xludf.DUMMYFUNCTION("iferror(if(A650="""",,E650&gt;=FILTER(Constants!$F$2:$F$10,Constants!$A$2:$A$10=A650)))"),"")</f>
        <v/>
      </c>
    </row>
    <row r="651">
      <c r="A651" s="80"/>
      <c r="B651" s="87"/>
      <c r="C651" s="73"/>
      <c r="D651" s="73"/>
      <c r="E651" s="82"/>
      <c r="F651" s="82"/>
      <c r="G651" s="82"/>
      <c r="H651" s="86"/>
      <c r="I651" s="86"/>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82"/>
      <c r="AI651" s="82"/>
      <c r="AJ651" s="82"/>
      <c r="AK651" s="82"/>
      <c r="AL651" s="82"/>
      <c r="AM651" s="82"/>
      <c r="AN651" s="82">
        <f>IFERROR(__xludf.DUMMYFUNCTION("""COMPUTED_VALUE"""),0.0)</f>
        <v>0</v>
      </c>
      <c r="AO651" s="82">
        <f>IFERROR(__xludf.DUMMYFUNCTION("""COMPUTED_VALUE"""),0.0)</f>
        <v>0</v>
      </c>
      <c r="AP651" s="82">
        <f>IFERROR(__xludf.DUMMYFUNCTION("""COMPUTED_VALUE"""),0.0)</f>
        <v>0</v>
      </c>
      <c r="AQ651" s="82">
        <f>IFERROR(__xludf.DUMMYFUNCTION("""COMPUTED_VALUE"""),0.0)</f>
        <v>0</v>
      </c>
      <c r="AR651" s="82">
        <f>IFERROR(__xludf.DUMMYFUNCTION("""COMPUTED_VALUE"""),0.0)</f>
        <v>0</v>
      </c>
      <c r="AS651" s="82"/>
      <c r="AT651" s="82">
        <f>IFERROR(__xludf.DUMMYFUNCTION("""COMPUTED_VALUE"""),0.0)</f>
        <v>0</v>
      </c>
      <c r="AU651" s="82"/>
      <c r="AV651" s="82"/>
      <c r="AW651" s="82" t="str">
        <f t="shared" si="1"/>
        <v/>
      </c>
      <c r="AX651" s="83" t="str">
        <f t="array" ref="AX651">IFERROR(DGET('SBV Import'!A:G,"SBV",{"RSC ID","Tier";B651,A651}))</f>
        <v/>
      </c>
      <c r="AY651" s="82" t="str">
        <f t="shared" si="2"/>
        <v/>
      </c>
      <c r="AZ651" s="82"/>
      <c r="BA651" s="84" t="s">
        <v>152</v>
      </c>
      <c r="BB651" s="84" t="str">
        <f>IFERROR(__xludf.DUMMYFUNCTION("iferror(if(A651="""",,E651&gt;=FILTER(Constants!$F$2:$F$10,Constants!$A$2:$A$10=A651)))"),"")</f>
        <v/>
      </c>
    </row>
    <row r="652">
      <c r="A652" s="80"/>
      <c r="B652" s="87"/>
      <c r="C652" s="73"/>
      <c r="D652" s="73"/>
      <c r="E652" s="82"/>
      <c r="F652" s="82"/>
      <c r="G652" s="82"/>
      <c r="H652" s="86"/>
      <c r="I652" s="86"/>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82"/>
      <c r="AK652" s="82"/>
      <c r="AL652" s="82"/>
      <c r="AM652" s="82"/>
      <c r="AN652" s="82">
        <f>IFERROR(__xludf.DUMMYFUNCTION("""COMPUTED_VALUE"""),0.0)</f>
        <v>0</v>
      </c>
      <c r="AO652" s="82">
        <f>IFERROR(__xludf.DUMMYFUNCTION("""COMPUTED_VALUE"""),0.0)</f>
        <v>0</v>
      </c>
      <c r="AP652" s="82">
        <f>IFERROR(__xludf.DUMMYFUNCTION("""COMPUTED_VALUE"""),0.0)</f>
        <v>0</v>
      </c>
      <c r="AQ652" s="82">
        <f>IFERROR(__xludf.DUMMYFUNCTION("""COMPUTED_VALUE"""),0.0)</f>
        <v>0</v>
      </c>
      <c r="AR652" s="82">
        <f>IFERROR(__xludf.DUMMYFUNCTION("""COMPUTED_VALUE"""),0.0)</f>
        <v>0</v>
      </c>
      <c r="AS652" s="82"/>
      <c r="AT652" s="82">
        <f>IFERROR(__xludf.DUMMYFUNCTION("""COMPUTED_VALUE"""),0.0)</f>
        <v>0</v>
      </c>
      <c r="AU652" s="82"/>
      <c r="AV652" s="82"/>
      <c r="AW652" s="82" t="str">
        <f t="shared" si="1"/>
        <v/>
      </c>
      <c r="AX652" s="83" t="str">
        <f t="array" ref="AX652">IFERROR(DGET('SBV Import'!A:G,"SBV",{"RSC ID","Tier";B652,A652}))</f>
        <v/>
      </c>
      <c r="AY652" s="82" t="str">
        <f t="shared" si="2"/>
        <v/>
      </c>
      <c r="AZ652" s="82"/>
      <c r="BA652" s="84" t="s">
        <v>152</v>
      </c>
      <c r="BB652" s="84" t="str">
        <f>IFERROR(__xludf.DUMMYFUNCTION("iferror(if(A652="""",,E652&gt;=FILTER(Constants!$F$2:$F$10,Constants!$A$2:$A$10=A652)))"),"")</f>
        <v/>
      </c>
    </row>
    <row r="653">
      <c r="A653" s="80"/>
      <c r="B653" s="87"/>
      <c r="C653" s="73"/>
      <c r="D653" s="73"/>
      <c r="E653" s="82"/>
      <c r="F653" s="82"/>
      <c r="G653" s="82"/>
      <c r="H653" s="86"/>
      <c r="I653" s="86"/>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82"/>
      <c r="AI653" s="82"/>
      <c r="AJ653" s="82"/>
      <c r="AK653" s="82"/>
      <c r="AL653" s="82"/>
      <c r="AM653" s="82"/>
      <c r="AN653" s="82">
        <f>IFERROR(__xludf.DUMMYFUNCTION("""COMPUTED_VALUE"""),0.0)</f>
        <v>0</v>
      </c>
      <c r="AO653" s="82">
        <f>IFERROR(__xludf.DUMMYFUNCTION("""COMPUTED_VALUE"""),0.0)</f>
        <v>0</v>
      </c>
      <c r="AP653" s="82">
        <f>IFERROR(__xludf.DUMMYFUNCTION("""COMPUTED_VALUE"""),0.0)</f>
        <v>0</v>
      </c>
      <c r="AQ653" s="82">
        <f>IFERROR(__xludf.DUMMYFUNCTION("""COMPUTED_VALUE"""),0.0)</f>
        <v>0</v>
      </c>
      <c r="AR653" s="82">
        <f>IFERROR(__xludf.DUMMYFUNCTION("""COMPUTED_VALUE"""),0.0)</f>
        <v>0</v>
      </c>
      <c r="AS653" s="82"/>
      <c r="AT653" s="82">
        <f>IFERROR(__xludf.DUMMYFUNCTION("""COMPUTED_VALUE"""),0.0)</f>
        <v>0</v>
      </c>
      <c r="AU653" s="82"/>
      <c r="AV653" s="82"/>
      <c r="AW653" s="82" t="str">
        <f t="shared" si="1"/>
        <v/>
      </c>
      <c r="AX653" s="83" t="str">
        <f t="array" ref="AX653">IFERROR(DGET('SBV Import'!A:G,"SBV",{"RSC ID","Tier";B653,A653}))</f>
        <v/>
      </c>
      <c r="AY653" s="82" t="str">
        <f t="shared" si="2"/>
        <v/>
      </c>
      <c r="AZ653" s="82"/>
      <c r="BA653" s="84" t="s">
        <v>152</v>
      </c>
      <c r="BB653" s="84" t="str">
        <f>IFERROR(__xludf.DUMMYFUNCTION("iferror(if(A653="""",,E653&gt;=FILTER(Constants!$F$2:$F$10,Constants!$A$2:$A$10=A653)))"),"")</f>
        <v/>
      </c>
    </row>
    <row r="654">
      <c r="A654" s="80"/>
      <c r="B654" s="87"/>
      <c r="C654" s="73"/>
      <c r="D654" s="73"/>
      <c r="E654" s="82"/>
      <c r="F654" s="82"/>
      <c r="G654" s="82"/>
      <c r="H654" s="86"/>
      <c r="I654" s="86"/>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82"/>
      <c r="AI654" s="82"/>
      <c r="AJ654" s="82"/>
      <c r="AK654" s="82"/>
      <c r="AL654" s="82"/>
      <c r="AM654" s="82"/>
      <c r="AN654" s="82">
        <f>IFERROR(__xludf.DUMMYFUNCTION("""COMPUTED_VALUE"""),0.0)</f>
        <v>0</v>
      </c>
      <c r="AO654" s="82">
        <f>IFERROR(__xludf.DUMMYFUNCTION("""COMPUTED_VALUE"""),0.0)</f>
        <v>0</v>
      </c>
      <c r="AP654" s="82">
        <f>IFERROR(__xludf.DUMMYFUNCTION("""COMPUTED_VALUE"""),0.0)</f>
        <v>0</v>
      </c>
      <c r="AQ654" s="82">
        <f>IFERROR(__xludf.DUMMYFUNCTION("""COMPUTED_VALUE"""),0.0)</f>
        <v>0</v>
      </c>
      <c r="AR654" s="82">
        <f>IFERROR(__xludf.DUMMYFUNCTION("""COMPUTED_VALUE"""),0.0)</f>
        <v>0</v>
      </c>
      <c r="AS654" s="82"/>
      <c r="AT654" s="82">
        <f>IFERROR(__xludf.DUMMYFUNCTION("""COMPUTED_VALUE"""),0.0)</f>
        <v>0</v>
      </c>
      <c r="AU654" s="82"/>
      <c r="AV654" s="82"/>
      <c r="AW654" s="82" t="str">
        <f t="shared" si="1"/>
        <v/>
      </c>
      <c r="AX654" s="83" t="str">
        <f t="array" ref="AX654">IFERROR(DGET('SBV Import'!A:G,"SBV",{"RSC ID","Tier";B654,A654}))</f>
        <v/>
      </c>
      <c r="AY654" s="82" t="str">
        <f t="shared" si="2"/>
        <v/>
      </c>
      <c r="AZ654" s="82"/>
      <c r="BA654" s="84" t="s">
        <v>152</v>
      </c>
      <c r="BB654" s="84" t="str">
        <f>IFERROR(__xludf.DUMMYFUNCTION("iferror(if(A654="""",,E654&gt;=FILTER(Constants!$F$2:$F$10,Constants!$A$2:$A$10=A654)))"),"")</f>
        <v/>
      </c>
    </row>
    <row r="655">
      <c r="A655" s="80"/>
      <c r="B655" s="87"/>
      <c r="C655" s="73"/>
      <c r="D655" s="73"/>
      <c r="E655" s="82"/>
      <c r="F655" s="82"/>
      <c r="G655" s="82"/>
      <c r="H655" s="86"/>
      <c r="I655" s="86"/>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82"/>
      <c r="AK655" s="82"/>
      <c r="AL655" s="82"/>
      <c r="AM655" s="82"/>
      <c r="AN655" s="82">
        <f>IFERROR(__xludf.DUMMYFUNCTION("""COMPUTED_VALUE"""),0.0)</f>
        <v>0</v>
      </c>
      <c r="AO655" s="82">
        <f>IFERROR(__xludf.DUMMYFUNCTION("""COMPUTED_VALUE"""),0.0)</f>
        <v>0</v>
      </c>
      <c r="AP655" s="82">
        <f>IFERROR(__xludf.DUMMYFUNCTION("""COMPUTED_VALUE"""),0.0)</f>
        <v>0</v>
      </c>
      <c r="AQ655" s="82">
        <f>IFERROR(__xludf.DUMMYFUNCTION("""COMPUTED_VALUE"""),0.0)</f>
        <v>0</v>
      </c>
      <c r="AR655" s="82">
        <f>IFERROR(__xludf.DUMMYFUNCTION("""COMPUTED_VALUE"""),0.0)</f>
        <v>0</v>
      </c>
      <c r="AS655" s="82"/>
      <c r="AT655" s="82">
        <f>IFERROR(__xludf.DUMMYFUNCTION("""COMPUTED_VALUE"""),0.0)</f>
        <v>0</v>
      </c>
      <c r="AU655" s="82"/>
      <c r="AV655" s="82"/>
      <c r="AW655" s="82" t="str">
        <f t="shared" si="1"/>
        <v/>
      </c>
      <c r="AX655" s="83" t="str">
        <f t="array" ref="AX655">IFERROR(DGET('SBV Import'!A:G,"SBV",{"RSC ID","Tier";B655,A655}))</f>
        <v/>
      </c>
      <c r="AY655" s="82" t="str">
        <f t="shared" si="2"/>
        <v/>
      </c>
      <c r="AZ655" s="82"/>
      <c r="BA655" s="84" t="s">
        <v>152</v>
      </c>
      <c r="BB655" s="84" t="str">
        <f>IFERROR(__xludf.DUMMYFUNCTION("iferror(if(A655="""",,E655&gt;=FILTER(Constants!$F$2:$F$10,Constants!$A$2:$A$10=A655)))"),"")</f>
        <v/>
      </c>
    </row>
    <row r="656">
      <c r="A656" s="80"/>
      <c r="B656" s="87"/>
      <c r="C656" s="73"/>
      <c r="D656" s="73"/>
      <c r="E656" s="82"/>
      <c r="F656" s="82"/>
      <c r="G656" s="82"/>
      <c r="H656" s="86"/>
      <c r="I656" s="86"/>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f>IFERROR(__xludf.DUMMYFUNCTION("""COMPUTED_VALUE"""),0.0)</f>
        <v>0</v>
      </c>
      <c r="AO656" s="82">
        <f>IFERROR(__xludf.DUMMYFUNCTION("""COMPUTED_VALUE"""),0.0)</f>
        <v>0</v>
      </c>
      <c r="AP656" s="82">
        <f>IFERROR(__xludf.DUMMYFUNCTION("""COMPUTED_VALUE"""),0.0)</f>
        <v>0</v>
      </c>
      <c r="AQ656" s="82">
        <f>IFERROR(__xludf.DUMMYFUNCTION("""COMPUTED_VALUE"""),0.0)</f>
        <v>0</v>
      </c>
      <c r="AR656" s="82">
        <f>IFERROR(__xludf.DUMMYFUNCTION("""COMPUTED_VALUE"""),0.0)</f>
        <v>0</v>
      </c>
      <c r="AS656" s="82"/>
      <c r="AT656" s="82">
        <f>IFERROR(__xludf.DUMMYFUNCTION("""COMPUTED_VALUE"""),0.0)</f>
        <v>0</v>
      </c>
      <c r="AU656" s="82"/>
      <c r="AV656" s="82"/>
      <c r="AW656" s="82" t="str">
        <f t="shared" si="1"/>
        <v/>
      </c>
      <c r="AX656" s="83" t="str">
        <f t="array" ref="AX656">IFERROR(DGET('SBV Import'!A:G,"SBV",{"RSC ID","Tier";B656,A656}))</f>
        <v/>
      </c>
      <c r="AY656" s="82" t="str">
        <f t="shared" si="2"/>
        <v/>
      </c>
      <c r="AZ656" s="82"/>
      <c r="BA656" s="84" t="s">
        <v>152</v>
      </c>
      <c r="BB656" s="84" t="str">
        <f>IFERROR(__xludf.DUMMYFUNCTION("iferror(if(A656="""",,E656&gt;=FILTER(Constants!$F$2:$F$10,Constants!$A$2:$A$10=A656)))"),"")</f>
        <v/>
      </c>
    </row>
    <row r="657">
      <c r="A657" s="80"/>
      <c r="B657" s="87"/>
      <c r="C657" s="73"/>
      <c r="D657" s="73"/>
      <c r="E657" s="82"/>
      <c r="F657" s="82"/>
      <c r="G657" s="82"/>
      <c r="H657" s="86"/>
      <c r="I657" s="86"/>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c r="AG657" s="82"/>
      <c r="AH657" s="82"/>
      <c r="AI657" s="82"/>
      <c r="AJ657" s="82"/>
      <c r="AK657" s="82"/>
      <c r="AL657" s="82"/>
      <c r="AM657" s="82"/>
      <c r="AN657" s="82">
        <f>IFERROR(__xludf.DUMMYFUNCTION("""COMPUTED_VALUE"""),0.0)</f>
        <v>0</v>
      </c>
      <c r="AO657" s="82">
        <f>IFERROR(__xludf.DUMMYFUNCTION("""COMPUTED_VALUE"""),0.0)</f>
        <v>0</v>
      </c>
      <c r="AP657" s="82">
        <f>IFERROR(__xludf.DUMMYFUNCTION("""COMPUTED_VALUE"""),0.0)</f>
        <v>0</v>
      </c>
      <c r="AQ657" s="82">
        <f>IFERROR(__xludf.DUMMYFUNCTION("""COMPUTED_VALUE"""),0.0)</f>
        <v>0</v>
      </c>
      <c r="AR657" s="82">
        <f>IFERROR(__xludf.DUMMYFUNCTION("""COMPUTED_VALUE"""),0.0)</f>
        <v>0</v>
      </c>
      <c r="AS657" s="82"/>
      <c r="AT657" s="82">
        <f>IFERROR(__xludf.DUMMYFUNCTION("""COMPUTED_VALUE"""),0.0)</f>
        <v>0</v>
      </c>
      <c r="AU657" s="82"/>
      <c r="AV657" s="82"/>
      <c r="AW657" s="82" t="str">
        <f t="shared" si="1"/>
        <v/>
      </c>
      <c r="AX657" s="83" t="str">
        <f t="array" ref="AX657">IFERROR(DGET('SBV Import'!A:G,"SBV",{"RSC ID","Tier";B657,A657}))</f>
        <v/>
      </c>
      <c r="AY657" s="82" t="str">
        <f t="shared" si="2"/>
        <v/>
      </c>
      <c r="AZ657" s="82"/>
      <c r="BA657" s="84" t="s">
        <v>152</v>
      </c>
      <c r="BB657" s="84" t="str">
        <f>IFERROR(__xludf.DUMMYFUNCTION("iferror(if(A657="""",,E657&gt;=FILTER(Constants!$F$2:$F$10,Constants!$A$2:$A$10=A657)))"),"")</f>
        <v/>
      </c>
    </row>
    <row r="658">
      <c r="A658" s="80"/>
      <c r="B658" s="87"/>
      <c r="C658" s="73"/>
      <c r="D658" s="73"/>
      <c r="E658" s="82"/>
      <c r="F658" s="82"/>
      <c r="G658" s="82"/>
      <c r="H658" s="86"/>
      <c r="I658" s="86"/>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c r="AG658" s="82"/>
      <c r="AH658" s="82"/>
      <c r="AI658" s="82"/>
      <c r="AJ658" s="82"/>
      <c r="AK658" s="82"/>
      <c r="AL658" s="82"/>
      <c r="AM658" s="82"/>
      <c r="AN658" s="82">
        <f>IFERROR(__xludf.DUMMYFUNCTION("""COMPUTED_VALUE"""),0.0)</f>
        <v>0</v>
      </c>
      <c r="AO658" s="82">
        <f>IFERROR(__xludf.DUMMYFUNCTION("""COMPUTED_VALUE"""),0.0)</f>
        <v>0</v>
      </c>
      <c r="AP658" s="82">
        <f>IFERROR(__xludf.DUMMYFUNCTION("""COMPUTED_VALUE"""),0.0)</f>
        <v>0</v>
      </c>
      <c r="AQ658" s="82">
        <f>IFERROR(__xludf.DUMMYFUNCTION("""COMPUTED_VALUE"""),0.0)</f>
        <v>0</v>
      </c>
      <c r="AR658" s="82">
        <f>IFERROR(__xludf.DUMMYFUNCTION("""COMPUTED_VALUE"""),0.0)</f>
        <v>0</v>
      </c>
      <c r="AS658" s="82"/>
      <c r="AT658" s="82">
        <f>IFERROR(__xludf.DUMMYFUNCTION("""COMPUTED_VALUE"""),0.0)</f>
        <v>0</v>
      </c>
      <c r="AU658" s="82"/>
      <c r="AV658" s="82"/>
      <c r="AW658" s="82" t="str">
        <f t="shared" si="1"/>
        <v/>
      </c>
      <c r="AX658" s="83" t="str">
        <f t="array" ref="AX658">IFERROR(DGET('SBV Import'!A:G,"SBV",{"RSC ID","Tier";B658,A658}))</f>
        <v/>
      </c>
      <c r="AY658" s="82" t="str">
        <f t="shared" si="2"/>
        <v/>
      </c>
      <c r="AZ658" s="82"/>
      <c r="BA658" s="84" t="s">
        <v>152</v>
      </c>
      <c r="BB658" s="84" t="str">
        <f>IFERROR(__xludf.DUMMYFUNCTION("iferror(if(A658="""",,E658&gt;=FILTER(Constants!$F$2:$F$10,Constants!$A$2:$A$10=A658)))"),"")</f>
        <v/>
      </c>
    </row>
    <row r="659">
      <c r="A659" s="80"/>
      <c r="B659" s="87"/>
      <c r="C659" s="73"/>
      <c r="D659" s="73"/>
      <c r="E659" s="82"/>
      <c r="F659" s="82"/>
      <c r="G659" s="82"/>
      <c r="H659" s="86"/>
      <c r="I659" s="86"/>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c r="AG659" s="82"/>
      <c r="AH659" s="82"/>
      <c r="AI659" s="82"/>
      <c r="AJ659" s="82"/>
      <c r="AK659" s="82"/>
      <c r="AL659" s="82"/>
      <c r="AM659" s="82"/>
      <c r="AN659" s="82">
        <f>IFERROR(__xludf.DUMMYFUNCTION("""COMPUTED_VALUE"""),0.0)</f>
        <v>0</v>
      </c>
      <c r="AO659" s="82">
        <f>IFERROR(__xludf.DUMMYFUNCTION("""COMPUTED_VALUE"""),0.0)</f>
        <v>0</v>
      </c>
      <c r="AP659" s="82">
        <f>IFERROR(__xludf.DUMMYFUNCTION("""COMPUTED_VALUE"""),0.0)</f>
        <v>0</v>
      </c>
      <c r="AQ659" s="82">
        <f>IFERROR(__xludf.DUMMYFUNCTION("""COMPUTED_VALUE"""),0.0)</f>
        <v>0</v>
      </c>
      <c r="AR659" s="82">
        <f>IFERROR(__xludf.DUMMYFUNCTION("""COMPUTED_VALUE"""),0.0)</f>
        <v>0</v>
      </c>
      <c r="AS659" s="82"/>
      <c r="AT659" s="82">
        <f>IFERROR(__xludf.DUMMYFUNCTION("""COMPUTED_VALUE"""),0.0)</f>
        <v>0</v>
      </c>
      <c r="AU659" s="82"/>
      <c r="AV659" s="82"/>
      <c r="AW659" s="82" t="str">
        <f t="shared" si="1"/>
        <v/>
      </c>
      <c r="AX659" s="83" t="str">
        <f t="array" ref="AX659">IFERROR(DGET('SBV Import'!A:G,"SBV",{"RSC ID","Tier";B659,A659}))</f>
        <v/>
      </c>
      <c r="AY659" s="82" t="str">
        <f t="shared" si="2"/>
        <v/>
      </c>
      <c r="AZ659" s="82"/>
      <c r="BA659" s="84" t="s">
        <v>152</v>
      </c>
      <c r="BB659" s="84" t="str">
        <f>IFERROR(__xludf.DUMMYFUNCTION("iferror(if(A659="""",,E659&gt;=FILTER(Constants!$F$2:$F$10,Constants!$A$2:$A$10=A659)))"),"")</f>
        <v/>
      </c>
    </row>
    <row r="660">
      <c r="A660" s="80"/>
      <c r="B660" s="87"/>
      <c r="C660" s="73"/>
      <c r="D660" s="73"/>
      <c r="E660" s="82"/>
      <c r="F660" s="82"/>
      <c r="G660" s="82"/>
      <c r="H660" s="86"/>
      <c r="I660" s="86"/>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c r="AG660" s="82"/>
      <c r="AH660" s="82"/>
      <c r="AI660" s="82"/>
      <c r="AJ660" s="82"/>
      <c r="AK660" s="82"/>
      <c r="AL660" s="82"/>
      <c r="AM660" s="82"/>
      <c r="AN660" s="82">
        <f>IFERROR(__xludf.DUMMYFUNCTION("""COMPUTED_VALUE"""),0.0)</f>
        <v>0</v>
      </c>
      <c r="AO660" s="82">
        <f>IFERROR(__xludf.DUMMYFUNCTION("""COMPUTED_VALUE"""),0.0)</f>
        <v>0</v>
      </c>
      <c r="AP660" s="82">
        <f>IFERROR(__xludf.DUMMYFUNCTION("""COMPUTED_VALUE"""),0.0)</f>
        <v>0</v>
      </c>
      <c r="AQ660" s="82">
        <f>IFERROR(__xludf.DUMMYFUNCTION("""COMPUTED_VALUE"""),0.0)</f>
        <v>0</v>
      </c>
      <c r="AR660" s="82">
        <f>IFERROR(__xludf.DUMMYFUNCTION("""COMPUTED_VALUE"""),0.0)</f>
        <v>0</v>
      </c>
      <c r="AS660" s="82"/>
      <c r="AT660" s="82">
        <f>IFERROR(__xludf.DUMMYFUNCTION("""COMPUTED_VALUE"""),0.0)</f>
        <v>0</v>
      </c>
      <c r="AU660" s="82"/>
      <c r="AV660" s="82"/>
      <c r="AW660" s="82" t="str">
        <f t="shared" si="1"/>
        <v/>
      </c>
      <c r="AX660" s="83" t="str">
        <f t="array" ref="AX660">IFERROR(DGET('SBV Import'!A:G,"SBV",{"RSC ID","Tier";B660,A660}))</f>
        <v/>
      </c>
      <c r="AY660" s="82" t="str">
        <f t="shared" si="2"/>
        <v/>
      </c>
      <c r="AZ660" s="82"/>
      <c r="BA660" s="84" t="s">
        <v>152</v>
      </c>
      <c r="BB660" s="84" t="str">
        <f>IFERROR(__xludf.DUMMYFUNCTION("iferror(if(A660="""",,E660&gt;=FILTER(Constants!$F$2:$F$10,Constants!$A$2:$A$10=A660)))"),"")</f>
        <v/>
      </c>
    </row>
    <row r="661">
      <c r="A661" s="80"/>
      <c r="B661" s="87"/>
      <c r="C661" s="73"/>
      <c r="D661" s="73"/>
      <c r="E661" s="82"/>
      <c r="F661" s="82"/>
      <c r="G661" s="82"/>
      <c r="H661" s="86"/>
      <c r="I661" s="86"/>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c r="AG661" s="82"/>
      <c r="AH661" s="82"/>
      <c r="AI661" s="82"/>
      <c r="AJ661" s="82"/>
      <c r="AK661" s="82"/>
      <c r="AL661" s="82"/>
      <c r="AM661" s="82"/>
      <c r="AN661" s="82">
        <f>IFERROR(__xludf.DUMMYFUNCTION("""COMPUTED_VALUE"""),0.0)</f>
        <v>0</v>
      </c>
      <c r="AO661" s="82">
        <f>IFERROR(__xludf.DUMMYFUNCTION("""COMPUTED_VALUE"""),0.0)</f>
        <v>0</v>
      </c>
      <c r="AP661" s="82">
        <f>IFERROR(__xludf.DUMMYFUNCTION("""COMPUTED_VALUE"""),0.0)</f>
        <v>0</v>
      </c>
      <c r="AQ661" s="82">
        <f>IFERROR(__xludf.DUMMYFUNCTION("""COMPUTED_VALUE"""),0.0)</f>
        <v>0</v>
      </c>
      <c r="AR661" s="82">
        <f>IFERROR(__xludf.DUMMYFUNCTION("""COMPUTED_VALUE"""),0.0)</f>
        <v>0</v>
      </c>
      <c r="AS661" s="82"/>
      <c r="AT661" s="82">
        <f>IFERROR(__xludf.DUMMYFUNCTION("""COMPUTED_VALUE"""),0.0)</f>
        <v>0</v>
      </c>
      <c r="AU661" s="82"/>
      <c r="AV661" s="82"/>
      <c r="AW661" s="82" t="str">
        <f t="shared" si="1"/>
        <v/>
      </c>
      <c r="AX661" s="83" t="str">
        <f t="array" ref="AX661">IFERROR(DGET('SBV Import'!A:G,"SBV",{"RSC ID","Tier";B661,A661}))</f>
        <v/>
      </c>
      <c r="AY661" s="82" t="str">
        <f t="shared" si="2"/>
        <v/>
      </c>
      <c r="AZ661" s="82"/>
      <c r="BA661" s="84" t="s">
        <v>152</v>
      </c>
      <c r="BB661" s="84" t="str">
        <f>IFERROR(__xludf.DUMMYFUNCTION("iferror(if(A661="""",,E661&gt;=FILTER(Constants!$F$2:$F$10,Constants!$A$2:$A$10=A661)))"),"")</f>
        <v/>
      </c>
    </row>
    <row r="662">
      <c r="A662" s="80"/>
      <c r="B662" s="87"/>
      <c r="C662" s="73"/>
      <c r="D662" s="73"/>
      <c r="E662" s="82"/>
      <c r="F662" s="82"/>
      <c r="G662" s="82"/>
      <c r="H662" s="86"/>
      <c r="I662" s="86"/>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c r="AG662" s="82"/>
      <c r="AH662" s="82"/>
      <c r="AI662" s="82"/>
      <c r="AJ662" s="82"/>
      <c r="AK662" s="82"/>
      <c r="AL662" s="82"/>
      <c r="AM662" s="82"/>
      <c r="AN662" s="82">
        <f>IFERROR(__xludf.DUMMYFUNCTION("""COMPUTED_VALUE"""),0.0)</f>
        <v>0</v>
      </c>
      <c r="AO662" s="82">
        <f>IFERROR(__xludf.DUMMYFUNCTION("""COMPUTED_VALUE"""),0.0)</f>
        <v>0</v>
      </c>
      <c r="AP662" s="82">
        <f>IFERROR(__xludf.DUMMYFUNCTION("""COMPUTED_VALUE"""),0.0)</f>
        <v>0</v>
      </c>
      <c r="AQ662" s="82">
        <f>IFERROR(__xludf.DUMMYFUNCTION("""COMPUTED_VALUE"""),0.0)</f>
        <v>0</v>
      </c>
      <c r="AR662" s="82">
        <f>IFERROR(__xludf.DUMMYFUNCTION("""COMPUTED_VALUE"""),0.0)</f>
        <v>0</v>
      </c>
      <c r="AS662" s="82"/>
      <c r="AT662" s="82">
        <f>IFERROR(__xludf.DUMMYFUNCTION("""COMPUTED_VALUE"""),0.0)</f>
        <v>0</v>
      </c>
      <c r="AU662" s="82"/>
      <c r="AV662" s="82"/>
      <c r="AW662" s="82" t="str">
        <f t="shared" si="1"/>
        <v/>
      </c>
      <c r="AX662" s="83" t="str">
        <f t="array" ref="AX662">IFERROR(DGET('SBV Import'!A:G,"SBV",{"RSC ID","Tier";B662,A662}))</f>
        <v/>
      </c>
      <c r="AY662" s="82" t="str">
        <f t="shared" si="2"/>
        <v/>
      </c>
      <c r="AZ662" s="82"/>
      <c r="BA662" s="84" t="s">
        <v>152</v>
      </c>
      <c r="BB662" s="84" t="str">
        <f>IFERROR(__xludf.DUMMYFUNCTION("iferror(if(A662="""",,E662&gt;=FILTER(Constants!$F$2:$F$10,Constants!$A$2:$A$10=A662)))"),"")</f>
        <v/>
      </c>
    </row>
    <row r="663">
      <c r="A663" s="80"/>
      <c r="B663" s="87"/>
      <c r="C663" s="73"/>
      <c r="D663" s="73"/>
      <c r="E663" s="82"/>
      <c r="F663" s="82"/>
      <c r="G663" s="82"/>
      <c r="H663" s="86"/>
      <c r="I663" s="86"/>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c r="AG663" s="82"/>
      <c r="AH663" s="82"/>
      <c r="AI663" s="82"/>
      <c r="AJ663" s="82"/>
      <c r="AK663" s="82"/>
      <c r="AL663" s="82"/>
      <c r="AM663" s="82"/>
      <c r="AN663" s="82">
        <f>IFERROR(__xludf.DUMMYFUNCTION("""COMPUTED_VALUE"""),0.0)</f>
        <v>0</v>
      </c>
      <c r="AO663" s="82">
        <f>IFERROR(__xludf.DUMMYFUNCTION("""COMPUTED_VALUE"""),0.0)</f>
        <v>0</v>
      </c>
      <c r="AP663" s="82">
        <f>IFERROR(__xludf.DUMMYFUNCTION("""COMPUTED_VALUE"""),0.0)</f>
        <v>0</v>
      </c>
      <c r="AQ663" s="82">
        <f>IFERROR(__xludf.DUMMYFUNCTION("""COMPUTED_VALUE"""),0.0)</f>
        <v>0</v>
      </c>
      <c r="AR663" s="82">
        <f>IFERROR(__xludf.DUMMYFUNCTION("""COMPUTED_VALUE"""),0.0)</f>
        <v>0</v>
      </c>
      <c r="AS663" s="82"/>
      <c r="AT663" s="82">
        <f>IFERROR(__xludf.DUMMYFUNCTION("""COMPUTED_VALUE"""),0.0)</f>
        <v>0</v>
      </c>
      <c r="AU663" s="82"/>
      <c r="AV663" s="82"/>
      <c r="AW663" s="82" t="str">
        <f t="shared" si="1"/>
        <v/>
      </c>
      <c r="AX663" s="83" t="str">
        <f t="array" ref="AX663">IFERROR(DGET('SBV Import'!A:G,"SBV",{"RSC ID","Tier";B663,A663}))</f>
        <v/>
      </c>
      <c r="AY663" s="82" t="str">
        <f t="shared" si="2"/>
        <v/>
      </c>
      <c r="AZ663" s="82"/>
      <c r="BA663" s="84" t="s">
        <v>152</v>
      </c>
      <c r="BB663" s="84" t="str">
        <f>IFERROR(__xludf.DUMMYFUNCTION("iferror(if(A663="""",,E663&gt;=FILTER(Constants!$F$2:$F$10,Constants!$A$2:$A$10=A663)))"),"")</f>
        <v/>
      </c>
    </row>
    <row r="664">
      <c r="A664" s="80"/>
      <c r="B664" s="87"/>
      <c r="C664" s="73"/>
      <c r="D664" s="73"/>
      <c r="E664" s="82"/>
      <c r="F664" s="82"/>
      <c r="G664" s="82"/>
      <c r="H664" s="86"/>
      <c r="I664" s="86"/>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c r="AG664" s="82"/>
      <c r="AH664" s="82"/>
      <c r="AI664" s="82"/>
      <c r="AJ664" s="82"/>
      <c r="AK664" s="82"/>
      <c r="AL664" s="82"/>
      <c r="AM664" s="82"/>
      <c r="AN664" s="82">
        <f>IFERROR(__xludf.DUMMYFUNCTION("""COMPUTED_VALUE"""),0.0)</f>
        <v>0</v>
      </c>
      <c r="AO664" s="82">
        <f>IFERROR(__xludf.DUMMYFUNCTION("""COMPUTED_VALUE"""),0.0)</f>
        <v>0</v>
      </c>
      <c r="AP664" s="82">
        <f>IFERROR(__xludf.DUMMYFUNCTION("""COMPUTED_VALUE"""),0.0)</f>
        <v>0</v>
      </c>
      <c r="AQ664" s="82">
        <f>IFERROR(__xludf.DUMMYFUNCTION("""COMPUTED_VALUE"""),0.0)</f>
        <v>0</v>
      </c>
      <c r="AR664" s="82">
        <f>IFERROR(__xludf.DUMMYFUNCTION("""COMPUTED_VALUE"""),0.0)</f>
        <v>0</v>
      </c>
      <c r="AS664" s="82"/>
      <c r="AT664" s="82">
        <f>IFERROR(__xludf.DUMMYFUNCTION("""COMPUTED_VALUE"""),0.0)</f>
        <v>0</v>
      </c>
      <c r="AU664" s="82"/>
      <c r="AV664" s="82"/>
      <c r="AW664" s="82" t="str">
        <f t="shared" si="1"/>
        <v/>
      </c>
      <c r="AX664" s="83" t="str">
        <f t="array" ref="AX664">IFERROR(DGET('SBV Import'!A:G,"SBV",{"RSC ID","Tier";B664,A664}))</f>
        <v/>
      </c>
      <c r="AY664" s="82" t="str">
        <f t="shared" si="2"/>
        <v/>
      </c>
      <c r="AZ664" s="82"/>
      <c r="BA664" s="84" t="s">
        <v>152</v>
      </c>
      <c r="BB664" s="84" t="str">
        <f>IFERROR(__xludf.DUMMYFUNCTION("iferror(if(A664="""",,E664&gt;=FILTER(Constants!$F$2:$F$10,Constants!$A$2:$A$10=A664)))"),"")</f>
        <v/>
      </c>
    </row>
    <row r="665">
      <c r="A665" s="80"/>
      <c r="B665" s="87"/>
      <c r="C665" s="73"/>
      <c r="D665" s="73"/>
      <c r="E665" s="82"/>
      <c r="F665" s="82"/>
      <c r="G665" s="82"/>
      <c r="H665" s="86"/>
      <c r="I665" s="86"/>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c r="AG665" s="82"/>
      <c r="AH665" s="82"/>
      <c r="AI665" s="82"/>
      <c r="AJ665" s="82"/>
      <c r="AK665" s="82"/>
      <c r="AL665" s="82"/>
      <c r="AM665" s="82"/>
      <c r="AN665" s="82">
        <f>IFERROR(__xludf.DUMMYFUNCTION("""COMPUTED_VALUE"""),0.0)</f>
        <v>0</v>
      </c>
      <c r="AO665" s="82">
        <f>IFERROR(__xludf.DUMMYFUNCTION("""COMPUTED_VALUE"""),0.0)</f>
        <v>0</v>
      </c>
      <c r="AP665" s="82">
        <f>IFERROR(__xludf.DUMMYFUNCTION("""COMPUTED_VALUE"""),0.0)</f>
        <v>0</v>
      </c>
      <c r="AQ665" s="82">
        <f>IFERROR(__xludf.DUMMYFUNCTION("""COMPUTED_VALUE"""),0.0)</f>
        <v>0</v>
      </c>
      <c r="AR665" s="82">
        <f>IFERROR(__xludf.DUMMYFUNCTION("""COMPUTED_VALUE"""),0.0)</f>
        <v>0</v>
      </c>
      <c r="AS665" s="82"/>
      <c r="AT665" s="82">
        <f>IFERROR(__xludf.DUMMYFUNCTION("""COMPUTED_VALUE"""),0.0)</f>
        <v>0</v>
      </c>
      <c r="AU665" s="82"/>
      <c r="AV665" s="82"/>
      <c r="AW665" s="82" t="str">
        <f t="shared" si="1"/>
        <v/>
      </c>
      <c r="AX665" s="83" t="str">
        <f t="array" ref="AX665">IFERROR(DGET('SBV Import'!A:G,"SBV",{"RSC ID","Tier";B665,A665}))</f>
        <v/>
      </c>
      <c r="AY665" s="82" t="str">
        <f t="shared" si="2"/>
        <v/>
      </c>
      <c r="AZ665" s="82"/>
      <c r="BA665" s="84" t="s">
        <v>152</v>
      </c>
      <c r="BB665" s="84" t="str">
        <f>IFERROR(__xludf.DUMMYFUNCTION("iferror(if(A665="""",,E665&gt;=FILTER(Constants!$F$2:$F$10,Constants!$A$2:$A$10=A665)))"),"")</f>
        <v/>
      </c>
    </row>
    <row r="666">
      <c r="A666" s="80"/>
      <c r="B666" s="87"/>
      <c r="C666" s="73"/>
      <c r="D666" s="73"/>
      <c r="E666" s="82"/>
      <c r="F666" s="82"/>
      <c r="G666" s="82"/>
      <c r="H666" s="86"/>
      <c r="I666" s="86"/>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82"/>
      <c r="AI666" s="82"/>
      <c r="AJ666" s="82"/>
      <c r="AK666" s="82"/>
      <c r="AL666" s="82"/>
      <c r="AM666" s="82"/>
      <c r="AN666" s="82">
        <f>IFERROR(__xludf.DUMMYFUNCTION("""COMPUTED_VALUE"""),0.0)</f>
        <v>0</v>
      </c>
      <c r="AO666" s="82">
        <f>IFERROR(__xludf.DUMMYFUNCTION("""COMPUTED_VALUE"""),0.0)</f>
        <v>0</v>
      </c>
      <c r="AP666" s="82">
        <f>IFERROR(__xludf.DUMMYFUNCTION("""COMPUTED_VALUE"""),0.0)</f>
        <v>0</v>
      </c>
      <c r="AQ666" s="82">
        <f>IFERROR(__xludf.DUMMYFUNCTION("""COMPUTED_VALUE"""),0.0)</f>
        <v>0</v>
      </c>
      <c r="AR666" s="82">
        <f>IFERROR(__xludf.DUMMYFUNCTION("""COMPUTED_VALUE"""),0.0)</f>
        <v>0</v>
      </c>
      <c r="AS666" s="82"/>
      <c r="AT666" s="82">
        <f>IFERROR(__xludf.DUMMYFUNCTION("""COMPUTED_VALUE"""),0.0)</f>
        <v>0</v>
      </c>
      <c r="AU666" s="82"/>
      <c r="AV666" s="82"/>
      <c r="AW666" s="82" t="str">
        <f t="shared" si="1"/>
        <v/>
      </c>
      <c r="AX666" s="83" t="str">
        <f t="array" ref="AX666">IFERROR(DGET('SBV Import'!A:G,"SBV",{"RSC ID","Tier";B666,A666}))</f>
        <v/>
      </c>
      <c r="AY666" s="82" t="str">
        <f t="shared" si="2"/>
        <v/>
      </c>
      <c r="AZ666" s="82"/>
      <c r="BA666" s="84" t="s">
        <v>152</v>
      </c>
      <c r="BB666" s="84" t="str">
        <f>IFERROR(__xludf.DUMMYFUNCTION("iferror(if(A666="""",,E666&gt;=FILTER(Constants!$F$2:$F$10,Constants!$A$2:$A$10=A666)))"),"")</f>
        <v/>
      </c>
    </row>
    <row r="667">
      <c r="A667" s="80"/>
      <c r="B667" s="87"/>
      <c r="C667" s="73"/>
      <c r="D667" s="73"/>
      <c r="E667" s="82"/>
      <c r="F667" s="82"/>
      <c r="G667" s="82"/>
      <c r="H667" s="86"/>
      <c r="I667" s="86"/>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82"/>
      <c r="AI667" s="82"/>
      <c r="AJ667" s="82"/>
      <c r="AK667" s="82"/>
      <c r="AL667" s="82"/>
      <c r="AM667" s="82"/>
      <c r="AN667" s="82">
        <f>IFERROR(__xludf.DUMMYFUNCTION("""COMPUTED_VALUE"""),0.0)</f>
        <v>0</v>
      </c>
      <c r="AO667" s="82">
        <f>IFERROR(__xludf.DUMMYFUNCTION("""COMPUTED_VALUE"""),0.0)</f>
        <v>0</v>
      </c>
      <c r="AP667" s="82">
        <f>IFERROR(__xludf.DUMMYFUNCTION("""COMPUTED_VALUE"""),0.0)</f>
        <v>0</v>
      </c>
      <c r="AQ667" s="82">
        <f>IFERROR(__xludf.DUMMYFUNCTION("""COMPUTED_VALUE"""),0.0)</f>
        <v>0</v>
      </c>
      <c r="AR667" s="82">
        <f>IFERROR(__xludf.DUMMYFUNCTION("""COMPUTED_VALUE"""),0.0)</f>
        <v>0</v>
      </c>
      <c r="AS667" s="82"/>
      <c r="AT667" s="82">
        <f>IFERROR(__xludf.DUMMYFUNCTION("""COMPUTED_VALUE"""),0.0)</f>
        <v>0</v>
      </c>
      <c r="AU667" s="82"/>
      <c r="AV667" s="82"/>
      <c r="AW667" s="82" t="str">
        <f t="shared" si="1"/>
        <v/>
      </c>
      <c r="AX667" s="83" t="str">
        <f t="array" ref="AX667">IFERROR(DGET('SBV Import'!A:G,"SBV",{"RSC ID","Tier";B667,A667}))</f>
        <v/>
      </c>
      <c r="AY667" s="82" t="str">
        <f t="shared" si="2"/>
        <v/>
      </c>
      <c r="AZ667" s="82"/>
      <c r="BA667" s="84" t="s">
        <v>152</v>
      </c>
      <c r="BB667" s="84" t="str">
        <f>IFERROR(__xludf.DUMMYFUNCTION("iferror(if(A667="""",,E667&gt;=FILTER(Constants!$F$2:$F$10,Constants!$A$2:$A$10=A667)))"),"")</f>
        <v/>
      </c>
    </row>
    <row r="668">
      <c r="A668" s="80"/>
      <c r="B668" s="87"/>
      <c r="C668" s="73"/>
      <c r="D668" s="73"/>
      <c r="E668" s="82"/>
      <c r="F668" s="82"/>
      <c r="G668" s="82"/>
      <c r="H668" s="86"/>
      <c r="I668" s="86"/>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c r="AG668" s="82"/>
      <c r="AH668" s="82"/>
      <c r="AI668" s="82"/>
      <c r="AJ668" s="82"/>
      <c r="AK668" s="82"/>
      <c r="AL668" s="82"/>
      <c r="AM668" s="82"/>
      <c r="AN668" s="82">
        <f>IFERROR(__xludf.DUMMYFUNCTION("""COMPUTED_VALUE"""),0.0)</f>
        <v>0</v>
      </c>
      <c r="AO668" s="82">
        <f>IFERROR(__xludf.DUMMYFUNCTION("""COMPUTED_VALUE"""),0.0)</f>
        <v>0</v>
      </c>
      <c r="AP668" s="82">
        <f>IFERROR(__xludf.DUMMYFUNCTION("""COMPUTED_VALUE"""),0.0)</f>
        <v>0</v>
      </c>
      <c r="AQ668" s="82">
        <f>IFERROR(__xludf.DUMMYFUNCTION("""COMPUTED_VALUE"""),0.0)</f>
        <v>0</v>
      </c>
      <c r="AR668" s="82">
        <f>IFERROR(__xludf.DUMMYFUNCTION("""COMPUTED_VALUE"""),0.0)</f>
        <v>0</v>
      </c>
      <c r="AS668" s="82"/>
      <c r="AT668" s="82">
        <f>IFERROR(__xludf.DUMMYFUNCTION("""COMPUTED_VALUE"""),0.0)</f>
        <v>0</v>
      </c>
      <c r="AU668" s="82"/>
      <c r="AV668" s="82"/>
      <c r="AW668" s="82" t="str">
        <f t="shared" si="1"/>
        <v/>
      </c>
      <c r="AX668" s="83" t="str">
        <f t="array" ref="AX668">IFERROR(DGET('SBV Import'!A:G,"SBV",{"RSC ID","Tier";B668,A668}))</f>
        <v/>
      </c>
      <c r="AY668" s="82" t="str">
        <f t="shared" si="2"/>
        <v/>
      </c>
      <c r="AZ668" s="82"/>
      <c r="BA668" s="84" t="s">
        <v>152</v>
      </c>
      <c r="BB668" s="84" t="str">
        <f>IFERROR(__xludf.DUMMYFUNCTION("iferror(if(A668="""",,E668&gt;=FILTER(Constants!$F$2:$F$10,Constants!$A$2:$A$10=A668)))"),"")</f>
        <v/>
      </c>
    </row>
    <row r="669">
      <c r="A669" s="80"/>
      <c r="B669" s="87"/>
      <c r="C669" s="73"/>
      <c r="D669" s="73"/>
      <c r="E669" s="82"/>
      <c r="F669" s="82"/>
      <c r="G669" s="82"/>
      <c r="H669" s="86"/>
      <c r="I669" s="86"/>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82"/>
      <c r="AI669" s="82"/>
      <c r="AJ669" s="82"/>
      <c r="AK669" s="82"/>
      <c r="AL669" s="82"/>
      <c r="AM669" s="82"/>
      <c r="AN669" s="82">
        <f>IFERROR(__xludf.DUMMYFUNCTION("""COMPUTED_VALUE"""),0.0)</f>
        <v>0</v>
      </c>
      <c r="AO669" s="82">
        <f>IFERROR(__xludf.DUMMYFUNCTION("""COMPUTED_VALUE"""),0.0)</f>
        <v>0</v>
      </c>
      <c r="AP669" s="82">
        <f>IFERROR(__xludf.DUMMYFUNCTION("""COMPUTED_VALUE"""),0.0)</f>
        <v>0</v>
      </c>
      <c r="AQ669" s="82">
        <f>IFERROR(__xludf.DUMMYFUNCTION("""COMPUTED_VALUE"""),0.0)</f>
        <v>0</v>
      </c>
      <c r="AR669" s="82">
        <f>IFERROR(__xludf.DUMMYFUNCTION("""COMPUTED_VALUE"""),0.0)</f>
        <v>0</v>
      </c>
      <c r="AS669" s="82"/>
      <c r="AT669" s="82">
        <f>IFERROR(__xludf.DUMMYFUNCTION("""COMPUTED_VALUE"""),0.0)</f>
        <v>0</v>
      </c>
      <c r="AU669" s="82"/>
      <c r="AV669" s="82"/>
      <c r="AW669" s="82" t="str">
        <f t="shared" si="1"/>
        <v/>
      </c>
      <c r="AX669" s="83" t="str">
        <f t="array" ref="AX669">IFERROR(DGET('SBV Import'!A:G,"SBV",{"RSC ID","Tier";B669,A669}))</f>
        <v/>
      </c>
      <c r="AY669" s="82" t="str">
        <f t="shared" si="2"/>
        <v/>
      </c>
      <c r="AZ669" s="82"/>
      <c r="BA669" s="84" t="s">
        <v>152</v>
      </c>
      <c r="BB669" s="84" t="str">
        <f>IFERROR(__xludf.DUMMYFUNCTION("iferror(if(A669="""",,E669&gt;=FILTER(Constants!$F$2:$F$10,Constants!$A$2:$A$10=A669)))"),"")</f>
        <v/>
      </c>
    </row>
    <row r="670">
      <c r="A670" s="80"/>
      <c r="B670" s="87"/>
      <c r="C670" s="73"/>
      <c r="D670" s="73"/>
      <c r="E670" s="82"/>
      <c r="F670" s="82"/>
      <c r="G670" s="82"/>
      <c r="H670" s="86"/>
      <c r="I670" s="86"/>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82"/>
      <c r="AI670" s="82"/>
      <c r="AJ670" s="82"/>
      <c r="AK670" s="82"/>
      <c r="AL670" s="82"/>
      <c r="AM670" s="82"/>
      <c r="AN670" s="82">
        <f>IFERROR(__xludf.DUMMYFUNCTION("""COMPUTED_VALUE"""),0.0)</f>
        <v>0</v>
      </c>
      <c r="AO670" s="82">
        <f>IFERROR(__xludf.DUMMYFUNCTION("""COMPUTED_VALUE"""),0.0)</f>
        <v>0</v>
      </c>
      <c r="AP670" s="82">
        <f>IFERROR(__xludf.DUMMYFUNCTION("""COMPUTED_VALUE"""),0.0)</f>
        <v>0</v>
      </c>
      <c r="AQ670" s="82">
        <f>IFERROR(__xludf.DUMMYFUNCTION("""COMPUTED_VALUE"""),0.0)</f>
        <v>0</v>
      </c>
      <c r="AR670" s="82">
        <f>IFERROR(__xludf.DUMMYFUNCTION("""COMPUTED_VALUE"""),0.0)</f>
        <v>0</v>
      </c>
      <c r="AS670" s="82"/>
      <c r="AT670" s="82">
        <f>IFERROR(__xludf.DUMMYFUNCTION("""COMPUTED_VALUE"""),0.0)</f>
        <v>0</v>
      </c>
      <c r="AU670" s="82"/>
      <c r="AV670" s="82"/>
      <c r="AW670" s="82" t="str">
        <f t="shared" si="1"/>
        <v/>
      </c>
      <c r="AX670" s="83" t="str">
        <f t="array" ref="AX670">IFERROR(DGET('SBV Import'!A:G,"SBV",{"RSC ID","Tier";B670,A670}))</f>
        <v/>
      </c>
      <c r="AY670" s="82" t="str">
        <f t="shared" si="2"/>
        <v/>
      </c>
      <c r="AZ670" s="82"/>
      <c r="BA670" s="84" t="s">
        <v>152</v>
      </c>
      <c r="BB670" s="84" t="str">
        <f>IFERROR(__xludf.DUMMYFUNCTION("iferror(if(A670="""",,E670&gt;=FILTER(Constants!$F$2:$F$10,Constants!$A$2:$A$10=A670)))"),"")</f>
        <v/>
      </c>
    </row>
    <row r="671">
      <c r="A671" s="80"/>
      <c r="B671" s="87"/>
      <c r="C671" s="73"/>
      <c r="D671" s="73"/>
      <c r="E671" s="82"/>
      <c r="F671" s="82"/>
      <c r="G671" s="82"/>
      <c r="H671" s="86"/>
      <c r="I671" s="86"/>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82"/>
      <c r="AI671" s="82"/>
      <c r="AJ671" s="82"/>
      <c r="AK671" s="82"/>
      <c r="AL671" s="82"/>
      <c r="AM671" s="82"/>
      <c r="AN671" s="82">
        <f>IFERROR(__xludf.DUMMYFUNCTION("""COMPUTED_VALUE"""),0.0)</f>
        <v>0</v>
      </c>
      <c r="AO671" s="82">
        <f>IFERROR(__xludf.DUMMYFUNCTION("""COMPUTED_VALUE"""),0.0)</f>
        <v>0</v>
      </c>
      <c r="AP671" s="82">
        <f>IFERROR(__xludf.DUMMYFUNCTION("""COMPUTED_VALUE"""),0.0)</f>
        <v>0</v>
      </c>
      <c r="AQ671" s="82">
        <f>IFERROR(__xludf.DUMMYFUNCTION("""COMPUTED_VALUE"""),0.0)</f>
        <v>0</v>
      </c>
      <c r="AR671" s="82">
        <f>IFERROR(__xludf.DUMMYFUNCTION("""COMPUTED_VALUE"""),0.0)</f>
        <v>0</v>
      </c>
      <c r="AS671" s="82"/>
      <c r="AT671" s="82">
        <f>IFERROR(__xludf.DUMMYFUNCTION("""COMPUTED_VALUE"""),0.0)</f>
        <v>0</v>
      </c>
      <c r="AU671" s="82"/>
      <c r="AV671" s="82"/>
      <c r="AW671" s="82" t="str">
        <f t="shared" si="1"/>
        <v/>
      </c>
      <c r="AX671" s="83" t="str">
        <f t="array" ref="AX671">IFERROR(DGET('SBV Import'!A:G,"SBV",{"RSC ID","Tier";B671,A671}))</f>
        <v/>
      </c>
      <c r="AY671" s="82" t="str">
        <f t="shared" si="2"/>
        <v/>
      </c>
      <c r="AZ671" s="82"/>
      <c r="BA671" s="84" t="s">
        <v>152</v>
      </c>
      <c r="BB671" s="84" t="str">
        <f>IFERROR(__xludf.DUMMYFUNCTION("iferror(if(A671="""",,E671&gt;=FILTER(Constants!$F$2:$F$10,Constants!$A$2:$A$10=A671)))"),"")</f>
        <v/>
      </c>
    </row>
    <row r="672">
      <c r="A672" s="80"/>
      <c r="B672" s="87"/>
      <c r="C672" s="73"/>
      <c r="D672" s="73"/>
      <c r="E672" s="82"/>
      <c r="F672" s="82"/>
      <c r="G672" s="82"/>
      <c r="H672" s="86"/>
      <c r="I672" s="86"/>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c r="AG672" s="82"/>
      <c r="AH672" s="82"/>
      <c r="AI672" s="82"/>
      <c r="AJ672" s="82"/>
      <c r="AK672" s="82"/>
      <c r="AL672" s="82"/>
      <c r="AM672" s="82"/>
      <c r="AN672" s="82">
        <f>IFERROR(__xludf.DUMMYFUNCTION("""COMPUTED_VALUE"""),0.0)</f>
        <v>0</v>
      </c>
      <c r="AO672" s="82">
        <f>IFERROR(__xludf.DUMMYFUNCTION("""COMPUTED_VALUE"""),0.0)</f>
        <v>0</v>
      </c>
      <c r="AP672" s="82">
        <f>IFERROR(__xludf.DUMMYFUNCTION("""COMPUTED_VALUE"""),0.0)</f>
        <v>0</v>
      </c>
      <c r="AQ672" s="82">
        <f>IFERROR(__xludf.DUMMYFUNCTION("""COMPUTED_VALUE"""),0.0)</f>
        <v>0</v>
      </c>
      <c r="AR672" s="82">
        <f>IFERROR(__xludf.DUMMYFUNCTION("""COMPUTED_VALUE"""),0.0)</f>
        <v>0</v>
      </c>
      <c r="AS672" s="82"/>
      <c r="AT672" s="82">
        <f>IFERROR(__xludf.DUMMYFUNCTION("""COMPUTED_VALUE"""),0.0)</f>
        <v>0</v>
      </c>
      <c r="AU672" s="82"/>
      <c r="AV672" s="82"/>
      <c r="AW672" s="82" t="str">
        <f t="shared" si="1"/>
        <v/>
      </c>
      <c r="AX672" s="83" t="str">
        <f t="array" ref="AX672">IFERROR(DGET('SBV Import'!A:G,"SBV",{"RSC ID","Tier";B672,A672}))</f>
        <v/>
      </c>
      <c r="AY672" s="82" t="str">
        <f t="shared" si="2"/>
        <v/>
      </c>
      <c r="AZ672" s="82"/>
      <c r="BA672" s="84" t="s">
        <v>152</v>
      </c>
      <c r="BB672" s="84" t="str">
        <f>IFERROR(__xludf.DUMMYFUNCTION("iferror(if(A672="""",,E672&gt;=FILTER(Constants!$F$2:$F$10,Constants!$A$2:$A$10=A672)))"),"")</f>
        <v/>
      </c>
    </row>
    <row r="673">
      <c r="A673" s="80"/>
      <c r="B673" s="87"/>
      <c r="C673" s="73"/>
      <c r="D673" s="73"/>
      <c r="E673" s="82"/>
      <c r="F673" s="82"/>
      <c r="G673" s="82"/>
      <c r="H673" s="86"/>
      <c r="I673" s="86"/>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82"/>
      <c r="AI673" s="82"/>
      <c r="AJ673" s="82"/>
      <c r="AK673" s="82"/>
      <c r="AL673" s="82"/>
      <c r="AM673" s="82"/>
      <c r="AN673" s="82">
        <f>IFERROR(__xludf.DUMMYFUNCTION("""COMPUTED_VALUE"""),0.0)</f>
        <v>0</v>
      </c>
      <c r="AO673" s="82">
        <f>IFERROR(__xludf.DUMMYFUNCTION("""COMPUTED_VALUE"""),0.0)</f>
        <v>0</v>
      </c>
      <c r="AP673" s="82">
        <f>IFERROR(__xludf.DUMMYFUNCTION("""COMPUTED_VALUE"""),0.0)</f>
        <v>0</v>
      </c>
      <c r="AQ673" s="82">
        <f>IFERROR(__xludf.DUMMYFUNCTION("""COMPUTED_VALUE"""),0.0)</f>
        <v>0</v>
      </c>
      <c r="AR673" s="82">
        <f>IFERROR(__xludf.DUMMYFUNCTION("""COMPUTED_VALUE"""),0.0)</f>
        <v>0</v>
      </c>
      <c r="AS673" s="82"/>
      <c r="AT673" s="82">
        <f>IFERROR(__xludf.DUMMYFUNCTION("""COMPUTED_VALUE"""),0.0)</f>
        <v>0</v>
      </c>
      <c r="AU673" s="82"/>
      <c r="AV673" s="82"/>
      <c r="AW673" s="82" t="str">
        <f t="shared" si="1"/>
        <v/>
      </c>
      <c r="AX673" s="83" t="str">
        <f t="array" ref="AX673">IFERROR(DGET('SBV Import'!A:G,"SBV",{"RSC ID","Tier";B673,A673}))</f>
        <v/>
      </c>
      <c r="AY673" s="82" t="str">
        <f t="shared" si="2"/>
        <v/>
      </c>
      <c r="AZ673" s="82"/>
      <c r="BA673" s="84" t="s">
        <v>152</v>
      </c>
      <c r="BB673" s="84" t="str">
        <f>IFERROR(__xludf.DUMMYFUNCTION("iferror(if(A673="""",,E673&gt;=FILTER(Constants!$F$2:$F$10,Constants!$A$2:$A$10=A673)))"),"")</f>
        <v/>
      </c>
    </row>
    <row r="674">
      <c r="A674" s="80"/>
      <c r="B674" s="87"/>
      <c r="C674" s="73"/>
      <c r="D674" s="73"/>
      <c r="E674" s="82"/>
      <c r="F674" s="82"/>
      <c r="G674" s="82"/>
      <c r="H674" s="86"/>
      <c r="I674" s="86"/>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c r="AG674" s="82"/>
      <c r="AH674" s="82"/>
      <c r="AI674" s="82"/>
      <c r="AJ674" s="82"/>
      <c r="AK674" s="82"/>
      <c r="AL674" s="82"/>
      <c r="AM674" s="82"/>
      <c r="AN674" s="82">
        <f>IFERROR(__xludf.DUMMYFUNCTION("""COMPUTED_VALUE"""),0.0)</f>
        <v>0</v>
      </c>
      <c r="AO674" s="82">
        <f>IFERROR(__xludf.DUMMYFUNCTION("""COMPUTED_VALUE"""),0.0)</f>
        <v>0</v>
      </c>
      <c r="AP674" s="82">
        <f>IFERROR(__xludf.DUMMYFUNCTION("""COMPUTED_VALUE"""),0.0)</f>
        <v>0</v>
      </c>
      <c r="AQ674" s="82">
        <f>IFERROR(__xludf.DUMMYFUNCTION("""COMPUTED_VALUE"""),0.0)</f>
        <v>0</v>
      </c>
      <c r="AR674" s="82">
        <f>IFERROR(__xludf.DUMMYFUNCTION("""COMPUTED_VALUE"""),0.0)</f>
        <v>0</v>
      </c>
      <c r="AS674" s="82"/>
      <c r="AT674" s="82">
        <f>IFERROR(__xludf.DUMMYFUNCTION("""COMPUTED_VALUE"""),0.0)</f>
        <v>0</v>
      </c>
      <c r="AU674" s="82"/>
      <c r="AV674" s="82"/>
      <c r="AW674" s="82" t="str">
        <f t="shared" si="1"/>
        <v/>
      </c>
      <c r="AX674" s="83" t="str">
        <f t="array" ref="AX674">IFERROR(DGET('SBV Import'!A:G,"SBV",{"RSC ID","Tier";B674,A674}))</f>
        <v/>
      </c>
      <c r="AY674" s="82" t="str">
        <f t="shared" si="2"/>
        <v/>
      </c>
      <c r="AZ674" s="82"/>
      <c r="BA674" s="84" t="s">
        <v>152</v>
      </c>
      <c r="BB674" s="84" t="str">
        <f>IFERROR(__xludf.DUMMYFUNCTION("iferror(if(A674="""",,E674&gt;=FILTER(Constants!$F$2:$F$10,Constants!$A$2:$A$10=A674)))"),"")</f>
        <v/>
      </c>
    </row>
    <row r="675">
      <c r="A675" s="80"/>
      <c r="B675" s="87"/>
      <c r="C675" s="73"/>
      <c r="D675" s="73"/>
      <c r="E675" s="82"/>
      <c r="F675" s="82"/>
      <c r="G675" s="82"/>
      <c r="H675" s="86"/>
      <c r="I675" s="86"/>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82"/>
      <c r="AI675" s="82"/>
      <c r="AJ675" s="82"/>
      <c r="AK675" s="82"/>
      <c r="AL675" s="82"/>
      <c r="AM675" s="82"/>
      <c r="AN675" s="82">
        <f>IFERROR(__xludf.DUMMYFUNCTION("""COMPUTED_VALUE"""),0.0)</f>
        <v>0</v>
      </c>
      <c r="AO675" s="82">
        <f>IFERROR(__xludf.DUMMYFUNCTION("""COMPUTED_VALUE"""),0.0)</f>
        <v>0</v>
      </c>
      <c r="AP675" s="82">
        <f>IFERROR(__xludf.DUMMYFUNCTION("""COMPUTED_VALUE"""),0.0)</f>
        <v>0</v>
      </c>
      <c r="AQ675" s="82">
        <f>IFERROR(__xludf.DUMMYFUNCTION("""COMPUTED_VALUE"""),0.0)</f>
        <v>0</v>
      </c>
      <c r="AR675" s="82">
        <f>IFERROR(__xludf.DUMMYFUNCTION("""COMPUTED_VALUE"""),0.0)</f>
        <v>0</v>
      </c>
      <c r="AS675" s="82"/>
      <c r="AT675" s="82">
        <f>IFERROR(__xludf.DUMMYFUNCTION("""COMPUTED_VALUE"""),0.0)</f>
        <v>0</v>
      </c>
      <c r="AU675" s="82"/>
      <c r="AV675" s="82"/>
      <c r="AW675" s="82" t="str">
        <f t="shared" si="1"/>
        <v/>
      </c>
      <c r="AX675" s="83" t="str">
        <f t="array" ref="AX675">IFERROR(DGET('SBV Import'!A:G,"SBV",{"RSC ID","Tier";B675,A675}))</f>
        <v/>
      </c>
      <c r="AY675" s="82" t="str">
        <f t="shared" si="2"/>
        <v/>
      </c>
      <c r="AZ675" s="82"/>
      <c r="BA675" s="84" t="s">
        <v>152</v>
      </c>
      <c r="BB675" s="84" t="str">
        <f>IFERROR(__xludf.DUMMYFUNCTION("iferror(if(A675="""",,E675&gt;=FILTER(Constants!$F$2:$F$10,Constants!$A$2:$A$10=A675)))"),"")</f>
        <v/>
      </c>
    </row>
    <row r="676">
      <c r="A676" s="80"/>
      <c r="B676" s="87"/>
      <c r="C676" s="73"/>
      <c r="D676" s="73"/>
      <c r="E676" s="82"/>
      <c r="F676" s="82"/>
      <c r="G676" s="82"/>
      <c r="H676" s="86"/>
      <c r="I676" s="86"/>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c r="AG676" s="82"/>
      <c r="AH676" s="82"/>
      <c r="AI676" s="82"/>
      <c r="AJ676" s="82"/>
      <c r="AK676" s="82"/>
      <c r="AL676" s="82"/>
      <c r="AM676" s="82"/>
      <c r="AN676" s="82">
        <f>IFERROR(__xludf.DUMMYFUNCTION("""COMPUTED_VALUE"""),0.0)</f>
        <v>0</v>
      </c>
      <c r="AO676" s="82">
        <f>IFERROR(__xludf.DUMMYFUNCTION("""COMPUTED_VALUE"""),0.0)</f>
        <v>0</v>
      </c>
      <c r="AP676" s="82">
        <f>IFERROR(__xludf.DUMMYFUNCTION("""COMPUTED_VALUE"""),0.0)</f>
        <v>0</v>
      </c>
      <c r="AQ676" s="82">
        <f>IFERROR(__xludf.DUMMYFUNCTION("""COMPUTED_VALUE"""),0.0)</f>
        <v>0</v>
      </c>
      <c r="AR676" s="82">
        <f>IFERROR(__xludf.DUMMYFUNCTION("""COMPUTED_VALUE"""),0.0)</f>
        <v>0</v>
      </c>
      <c r="AS676" s="82"/>
      <c r="AT676" s="82">
        <f>IFERROR(__xludf.DUMMYFUNCTION("""COMPUTED_VALUE"""),0.0)</f>
        <v>0</v>
      </c>
      <c r="AU676" s="82"/>
      <c r="AV676" s="82"/>
      <c r="AW676" s="82" t="str">
        <f t="shared" si="1"/>
        <v/>
      </c>
      <c r="AX676" s="83" t="str">
        <f t="array" ref="AX676">IFERROR(DGET('SBV Import'!A:G,"SBV",{"RSC ID","Tier";B676,A676}))</f>
        <v/>
      </c>
      <c r="AY676" s="82" t="str">
        <f t="shared" si="2"/>
        <v/>
      </c>
      <c r="AZ676" s="82"/>
      <c r="BA676" s="84" t="s">
        <v>152</v>
      </c>
      <c r="BB676" s="84" t="str">
        <f>IFERROR(__xludf.DUMMYFUNCTION("iferror(if(A676="""",,E676&gt;=FILTER(Constants!$F$2:$F$10,Constants!$A$2:$A$10=A676)))"),"")</f>
        <v/>
      </c>
    </row>
    <row r="677">
      <c r="A677" s="80"/>
      <c r="B677" s="87"/>
      <c r="C677" s="73"/>
      <c r="D677" s="73"/>
      <c r="E677" s="82"/>
      <c r="F677" s="82"/>
      <c r="G677" s="82"/>
      <c r="H677" s="86"/>
      <c r="I677" s="86"/>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82"/>
      <c r="AI677" s="82"/>
      <c r="AJ677" s="82"/>
      <c r="AK677" s="82"/>
      <c r="AL677" s="82"/>
      <c r="AM677" s="82"/>
      <c r="AN677" s="82">
        <f>IFERROR(__xludf.DUMMYFUNCTION("""COMPUTED_VALUE"""),0.0)</f>
        <v>0</v>
      </c>
      <c r="AO677" s="82">
        <f>IFERROR(__xludf.DUMMYFUNCTION("""COMPUTED_VALUE"""),0.0)</f>
        <v>0</v>
      </c>
      <c r="AP677" s="82">
        <f>IFERROR(__xludf.DUMMYFUNCTION("""COMPUTED_VALUE"""),0.0)</f>
        <v>0</v>
      </c>
      <c r="AQ677" s="82">
        <f>IFERROR(__xludf.DUMMYFUNCTION("""COMPUTED_VALUE"""),0.0)</f>
        <v>0</v>
      </c>
      <c r="AR677" s="82">
        <f>IFERROR(__xludf.DUMMYFUNCTION("""COMPUTED_VALUE"""),0.0)</f>
        <v>0</v>
      </c>
      <c r="AS677" s="82"/>
      <c r="AT677" s="82">
        <f>IFERROR(__xludf.DUMMYFUNCTION("""COMPUTED_VALUE"""),0.0)</f>
        <v>0</v>
      </c>
      <c r="AU677" s="82"/>
      <c r="AV677" s="82"/>
      <c r="AW677" s="82" t="str">
        <f t="shared" si="1"/>
        <v/>
      </c>
      <c r="AX677" s="83" t="str">
        <f t="array" ref="AX677">IFERROR(DGET('SBV Import'!A:G,"SBV",{"RSC ID","Tier";B677,A677}))</f>
        <v/>
      </c>
      <c r="AY677" s="82" t="str">
        <f t="shared" si="2"/>
        <v/>
      </c>
      <c r="AZ677" s="82"/>
      <c r="BA677" s="84" t="s">
        <v>152</v>
      </c>
      <c r="BB677" s="84" t="str">
        <f>IFERROR(__xludf.DUMMYFUNCTION("iferror(if(A677="""",,E677&gt;=FILTER(Constants!$F$2:$F$10,Constants!$A$2:$A$10=A677)))"),"")</f>
        <v/>
      </c>
    </row>
    <row r="678">
      <c r="A678" s="80"/>
      <c r="B678" s="87"/>
      <c r="C678" s="73"/>
      <c r="D678" s="73"/>
      <c r="E678" s="82"/>
      <c r="F678" s="82"/>
      <c r="G678" s="82"/>
      <c r="H678" s="86"/>
      <c r="I678" s="86"/>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c r="AG678" s="82"/>
      <c r="AH678" s="82"/>
      <c r="AI678" s="82"/>
      <c r="AJ678" s="82"/>
      <c r="AK678" s="82"/>
      <c r="AL678" s="82"/>
      <c r="AM678" s="82"/>
      <c r="AN678" s="82">
        <f>IFERROR(__xludf.DUMMYFUNCTION("""COMPUTED_VALUE"""),0.0)</f>
        <v>0</v>
      </c>
      <c r="AO678" s="82">
        <f>IFERROR(__xludf.DUMMYFUNCTION("""COMPUTED_VALUE"""),0.0)</f>
        <v>0</v>
      </c>
      <c r="AP678" s="82">
        <f>IFERROR(__xludf.DUMMYFUNCTION("""COMPUTED_VALUE"""),0.0)</f>
        <v>0</v>
      </c>
      <c r="AQ678" s="82">
        <f>IFERROR(__xludf.DUMMYFUNCTION("""COMPUTED_VALUE"""),0.0)</f>
        <v>0</v>
      </c>
      <c r="AR678" s="82">
        <f>IFERROR(__xludf.DUMMYFUNCTION("""COMPUTED_VALUE"""),0.0)</f>
        <v>0</v>
      </c>
      <c r="AS678" s="82"/>
      <c r="AT678" s="82">
        <f>IFERROR(__xludf.DUMMYFUNCTION("""COMPUTED_VALUE"""),0.0)</f>
        <v>0</v>
      </c>
      <c r="AU678" s="82"/>
      <c r="AV678" s="82"/>
      <c r="AW678" s="82" t="str">
        <f t="shared" si="1"/>
        <v/>
      </c>
      <c r="AX678" s="83" t="str">
        <f t="array" ref="AX678">IFERROR(DGET('SBV Import'!A:G,"SBV",{"RSC ID","Tier";B678,A678}))</f>
        <v/>
      </c>
      <c r="AY678" s="82" t="str">
        <f t="shared" si="2"/>
        <v/>
      </c>
      <c r="AZ678" s="82"/>
      <c r="BA678" s="84" t="s">
        <v>152</v>
      </c>
      <c r="BB678" s="84" t="str">
        <f>IFERROR(__xludf.DUMMYFUNCTION("iferror(if(A678="""",,E678&gt;=FILTER(Constants!$F$2:$F$10,Constants!$A$2:$A$10=A678)))"),"")</f>
        <v/>
      </c>
    </row>
    <row r="679">
      <c r="A679" s="80"/>
      <c r="B679" s="87"/>
      <c r="C679" s="73"/>
      <c r="D679" s="73"/>
      <c r="E679" s="82"/>
      <c r="F679" s="82"/>
      <c r="G679" s="82"/>
      <c r="H679" s="86"/>
      <c r="I679" s="86"/>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82"/>
      <c r="AI679" s="82"/>
      <c r="AJ679" s="82"/>
      <c r="AK679" s="82"/>
      <c r="AL679" s="82"/>
      <c r="AM679" s="82"/>
      <c r="AN679" s="82">
        <f>IFERROR(__xludf.DUMMYFUNCTION("""COMPUTED_VALUE"""),0.0)</f>
        <v>0</v>
      </c>
      <c r="AO679" s="82">
        <f>IFERROR(__xludf.DUMMYFUNCTION("""COMPUTED_VALUE"""),0.0)</f>
        <v>0</v>
      </c>
      <c r="AP679" s="82">
        <f>IFERROR(__xludf.DUMMYFUNCTION("""COMPUTED_VALUE"""),0.0)</f>
        <v>0</v>
      </c>
      <c r="AQ679" s="82">
        <f>IFERROR(__xludf.DUMMYFUNCTION("""COMPUTED_VALUE"""),0.0)</f>
        <v>0</v>
      </c>
      <c r="AR679" s="82">
        <f>IFERROR(__xludf.DUMMYFUNCTION("""COMPUTED_VALUE"""),0.0)</f>
        <v>0</v>
      </c>
      <c r="AS679" s="82"/>
      <c r="AT679" s="82">
        <f>IFERROR(__xludf.DUMMYFUNCTION("""COMPUTED_VALUE"""),0.0)</f>
        <v>0</v>
      </c>
      <c r="AU679" s="82"/>
      <c r="AV679" s="82"/>
      <c r="AW679" s="82" t="str">
        <f t="shared" si="1"/>
        <v/>
      </c>
      <c r="AX679" s="83" t="str">
        <f t="array" ref="AX679">IFERROR(DGET('SBV Import'!A:G,"SBV",{"RSC ID","Tier";B679,A679}))</f>
        <v/>
      </c>
      <c r="AY679" s="82" t="str">
        <f t="shared" si="2"/>
        <v/>
      </c>
      <c r="AZ679" s="82"/>
      <c r="BA679" s="84" t="s">
        <v>152</v>
      </c>
      <c r="BB679" s="84" t="str">
        <f>IFERROR(__xludf.DUMMYFUNCTION("iferror(if(A679="""",,E679&gt;=FILTER(Constants!$F$2:$F$10,Constants!$A$2:$A$10=A679)))"),"")</f>
        <v/>
      </c>
    </row>
    <row r="680">
      <c r="A680" s="85"/>
      <c r="B680" s="87"/>
      <c r="C680" s="73"/>
      <c r="D680" s="73"/>
      <c r="E680" s="82"/>
      <c r="F680" s="82"/>
      <c r="G680" s="82"/>
      <c r="H680" s="86"/>
      <c r="I680" s="86"/>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c r="AG680" s="82"/>
      <c r="AH680" s="82"/>
      <c r="AI680" s="82"/>
      <c r="AJ680" s="82"/>
      <c r="AK680" s="82"/>
      <c r="AL680" s="82"/>
      <c r="AM680" s="82"/>
      <c r="AN680" s="82">
        <f>IFERROR(__xludf.DUMMYFUNCTION("""COMPUTED_VALUE"""),0.0)</f>
        <v>0</v>
      </c>
      <c r="AO680" s="82">
        <f>IFERROR(__xludf.DUMMYFUNCTION("""COMPUTED_VALUE"""),0.0)</f>
        <v>0</v>
      </c>
      <c r="AP680" s="82">
        <f>IFERROR(__xludf.DUMMYFUNCTION("""COMPUTED_VALUE"""),0.0)</f>
        <v>0</v>
      </c>
      <c r="AQ680" s="82">
        <f>IFERROR(__xludf.DUMMYFUNCTION("""COMPUTED_VALUE"""),0.0)</f>
        <v>0</v>
      </c>
      <c r="AR680" s="82">
        <f>IFERROR(__xludf.DUMMYFUNCTION("""COMPUTED_VALUE"""),0.0)</f>
        <v>0</v>
      </c>
      <c r="AS680" s="82"/>
      <c r="AT680" s="82">
        <f>IFERROR(__xludf.DUMMYFUNCTION("""COMPUTED_VALUE"""),0.0)</f>
        <v>0</v>
      </c>
      <c r="AU680" s="82"/>
      <c r="AV680" s="82"/>
      <c r="AW680" s="82" t="str">
        <f t="shared" si="1"/>
        <v/>
      </c>
      <c r="AX680" s="83" t="str">
        <f t="array" ref="AX680">IFERROR(DGET('SBV Import'!A:G,"SBV",{"RSC ID","Tier";B680,A680}))</f>
        <v/>
      </c>
      <c r="AY680" s="82" t="str">
        <f t="shared" si="2"/>
        <v/>
      </c>
      <c r="AZ680" s="82"/>
      <c r="BA680" s="84" t="s">
        <v>152</v>
      </c>
      <c r="BB680" s="84" t="str">
        <f>IFERROR(__xludf.DUMMYFUNCTION("iferror(if(A680="""",,E680&gt;=FILTER(Constants!$F$2:$F$10,Constants!$A$2:$A$10=A680)))"),"")</f>
        <v/>
      </c>
    </row>
    <row r="681">
      <c r="A681" s="80"/>
      <c r="B681" s="87"/>
      <c r="C681" s="73"/>
      <c r="D681" s="73"/>
      <c r="E681" s="82"/>
      <c r="F681" s="82"/>
      <c r="G681" s="82"/>
      <c r="H681" s="86"/>
      <c r="I681" s="86"/>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c r="AG681" s="82"/>
      <c r="AH681" s="82"/>
      <c r="AI681" s="82"/>
      <c r="AJ681" s="82"/>
      <c r="AK681" s="82"/>
      <c r="AL681" s="82"/>
      <c r="AM681" s="82"/>
      <c r="AN681" s="82">
        <f>IFERROR(__xludf.DUMMYFUNCTION("""COMPUTED_VALUE"""),0.0)</f>
        <v>0</v>
      </c>
      <c r="AO681" s="82">
        <f>IFERROR(__xludf.DUMMYFUNCTION("""COMPUTED_VALUE"""),0.0)</f>
        <v>0</v>
      </c>
      <c r="AP681" s="82">
        <f>IFERROR(__xludf.DUMMYFUNCTION("""COMPUTED_VALUE"""),0.0)</f>
        <v>0</v>
      </c>
      <c r="AQ681" s="82">
        <f>IFERROR(__xludf.DUMMYFUNCTION("""COMPUTED_VALUE"""),0.0)</f>
        <v>0</v>
      </c>
      <c r="AR681" s="82">
        <f>IFERROR(__xludf.DUMMYFUNCTION("""COMPUTED_VALUE"""),0.0)</f>
        <v>0</v>
      </c>
      <c r="AS681" s="82"/>
      <c r="AT681" s="82">
        <f>IFERROR(__xludf.DUMMYFUNCTION("""COMPUTED_VALUE"""),0.0)</f>
        <v>0</v>
      </c>
      <c r="AU681" s="82"/>
      <c r="AV681" s="82"/>
      <c r="AW681" s="82" t="str">
        <f t="shared" si="1"/>
        <v/>
      </c>
      <c r="AX681" s="83" t="str">
        <f t="array" ref="AX681">IFERROR(DGET('SBV Import'!A:G,"SBV",{"RSC ID","Tier";B681,A681}))</f>
        <v/>
      </c>
      <c r="AY681" s="82" t="str">
        <f t="shared" si="2"/>
        <v/>
      </c>
      <c r="AZ681" s="82"/>
      <c r="BA681" s="84" t="s">
        <v>152</v>
      </c>
      <c r="BB681" s="84" t="str">
        <f>IFERROR(__xludf.DUMMYFUNCTION("iferror(if(A681="""",,E681&gt;=FILTER(Constants!$F$2:$F$10,Constants!$A$2:$A$10=A681)))"),"")</f>
        <v/>
      </c>
    </row>
    <row r="682">
      <c r="A682" s="80"/>
      <c r="B682" s="87"/>
      <c r="C682" s="73"/>
      <c r="D682" s="73"/>
      <c r="E682" s="82"/>
      <c r="F682" s="82"/>
      <c r="G682" s="82"/>
      <c r="H682" s="86"/>
      <c r="I682" s="86"/>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c r="AG682" s="82"/>
      <c r="AH682" s="82"/>
      <c r="AI682" s="82"/>
      <c r="AJ682" s="82"/>
      <c r="AK682" s="82"/>
      <c r="AL682" s="82"/>
      <c r="AM682" s="82"/>
      <c r="AN682" s="82">
        <f>IFERROR(__xludf.DUMMYFUNCTION("""COMPUTED_VALUE"""),0.0)</f>
        <v>0</v>
      </c>
      <c r="AO682" s="82">
        <f>IFERROR(__xludf.DUMMYFUNCTION("""COMPUTED_VALUE"""),0.0)</f>
        <v>0</v>
      </c>
      <c r="AP682" s="82">
        <f>IFERROR(__xludf.DUMMYFUNCTION("""COMPUTED_VALUE"""),0.0)</f>
        <v>0</v>
      </c>
      <c r="AQ682" s="82">
        <f>IFERROR(__xludf.DUMMYFUNCTION("""COMPUTED_VALUE"""),0.0)</f>
        <v>0</v>
      </c>
      <c r="AR682" s="82">
        <f>IFERROR(__xludf.DUMMYFUNCTION("""COMPUTED_VALUE"""),0.0)</f>
        <v>0</v>
      </c>
      <c r="AS682" s="82"/>
      <c r="AT682" s="82">
        <f>IFERROR(__xludf.DUMMYFUNCTION("""COMPUTED_VALUE"""),0.0)</f>
        <v>0</v>
      </c>
      <c r="AU682" s="82"/>
      <c r="AV682" s="82"/>
      <c r="AW682" s="82" t="str">
        <f t="shared" si="1"/>
        <v/>
      </c>
      <c r="AX682" s="83" t="str">
        <f t="array" ref="AX682">IFERROR(DGET('SBV Import'!A:G,"SBV",{"RSC ID","Tier";B682,A682}))</f>
        <v/>
      </c>
      <c r="AY682" s="82" t="str">
        <f t="shared" si="2"/>
        <v/>
      </c>
      <c r="AZ682" s="82"/>
      <c r="BA682" s="84" t="s">
        <v>152</v>
      </c>
      <c r="BB682" s="84" t="str">
        <f>IFERROR(__xludf.DUMMYFUNCTION("iferror(if(A682="""",,E682&gt;=FILTER(Constants!$F$2:$F$10,Constants!$A$2:$A$10=A682)))"),"")</f>
        <v/>
      </c>
    </row>
    <row r="683">
      <c r="A683" s="80"/>
      <c r="B683" s="87"/>
      <c r="C683" s="73"/>
      <c r="D683" s="73"/>
      <c r="E683" s="82"/>
      <c r="F683" s="82"/>
      <c r="G683" s="82"/>
      <c r="H683" s="86"/>
      <c r="I683" s="86"/>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82"/>
      <c r="AI683" s="82"/>
      <c r="AJ683" s="82"/>
      <c r="AK683" s="82"/>
      <c r="AL683" s="82"/>
      <c r="AM683" s="82"/>
      <c r="AN683" s="82">
        <f>IFERROR(__xludf.DUMMYFUNCTION("""COMPUTED_VALUE"""),0.0)</f>
        <v>0</v>
      </c>
      <c r="AO683" s="82">
        <f>IFERROR(__xludf.DUMMYFUNCTION("""COMPUTED_VALUE"""),0.0)</f>
        <v>0</v>
      </c>
      <c r="AP683" s="82">
        <f>IFERROR(__xludf.DUMMYFUNCTION("""COMPUTED_VALUE"""),0.0)</f>
        <v>0</v>
      </c>
      <c r="AQ683" s="82">
        <f>IFERROR(__xludf.DUMMYFUNCTION("""COMPUTED_VALUE"""),0.0)</f>
        <v>0</v>
      </c>
      <c r="AR683" s="82">
        <f>IFERROR(__xludf.DUMMYFUNCTION("""COMPUTED_VALUE"""),0.0)</f>
        <v>0</v>
      </c>
      <c r="AS683" s="82"/>
      <c r="AT683" s="82">
        <f>IFERROR(__xludf.DUMMYFUNCTION("""COMPUTED_VALUE"""),0.0)</f>
        <v>0</v>
      </c>
      <c r="AU683" s="82"/>
      <c r="AV683" s="82"/>
      <c r="AW683" s="82" t="str">
        <f t="shared" si="1"/>
        <v/>
      </c>
      <c r="AX683" s="83" t="str">
        <f t="array" ref="AX683">IFERROR(DGET('SBV Import'!A:G,"SBV",{"RSC ID","Tier";B683,A683}))</f>
        <v/>
      </c>
      <c r="AY683" s="82" t="str">
        <f t="shared" si="2"/>
        <v/>
      </c>
      <c r="AZ683" s="82"/>
      <c r="BA683" s="84" t="s">
        <v>152</v>
      </c>
      <c r="BB683" s="84" t="str">
        <f>IFERROR(__xludf.DUMMYFUNCTION("iferror(if(A683="""",,E683&gt;=FILTER(Constants!$F$2:$F$10,Constants!$A$2:$A$10=A683)))"),"")</f>
        <v/>
      </c>
    </row>
    <row r="684">
      <c r="A684" s="80"/>
      <c r="B684" s="87"/>
      <c r="C684" s="73"/>
      <c r="D684" s="73"/>
      <c r="E684" s="82"/>
      <c r="F684" s="82"/>
      <c r="G684" s="82"/>
      <c r="H684" s="86"/>
      <c r="I684" s="86"/>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c r="AG684" s="82"/>
      <c r="AH684" s="82"/>
      <c r="AI684" s="82"/>
      <c r="AJ684" s="82"/>
      <c r="AK684" s="82"/>
      <c r="AL684" s="82"/>
      <c r="AM684" s="82"/>
      <c r="AN684" s="82">
        <f>IFERROR(__xludf.DUMMYFUNCTION("""COMPUTED_VALUE"""),0.0)</f>
        <v>0</v>
      </c>
      <c r="AO684" s="82">
        <f>IFERROR(__xludf.DUMMYFUNCTION("""COMPUTED_VALUE"""),0.0)</f>
        <v>0</v>
      </c>
      <c r="AP684" s="82">
        <f>IFERROR(__xludf.DUMMYFUNCTION("""COMPUTED_VALUE"""),0.0)</f>
        <v>0</v>
      </c>
      <c r="AQ684" s="82">
        <f>IFERROR(__xludf.DUMMYFUNCTION("""COMPUTED_VALUE"""),0.0)</f>
        <v>0</v>
      </c>
      <c r="AR684" s="82">
        <f>IFERROR(__xludf.DUMMYFUNCTION("""COMPUTED_VALUE"""),0.0)</f>
        <v>0</v>
      </c>
      <c r="AS684" s="82"/>
      <c r="AT684" s="82">
        <f>IFERROR(__xludf.DUMMYFUNCTION("""COMPUTED_VALUE"""),0.0)</f>
        <v>0</v>
      </c>
      <c r="AU684" s="82"/>
      <c r="AV684" s="82"/>
      <c r="AW684" s="82" t="str">
        <f t="shared" si="1"/>
        <v/>
      </c>
      <c r="AX684" s="83" t="str">
        <f t="array" ref="AX684">IFERROR(DGET('SBV Import'!A:G,"SBV",{"RSC ID","Tier";B684,A684}))</f>
        <v/>
      </c>
      <c r="AY684" s="82" t="str">
        <f t="shared" si="2"/>
        <v/>
      </c>
      <c r="AZ684" s="82"/>
      <c r="BA684" s="84" t="s">
        <v>152</v>
      </c>
      <c r="BB684" s="84" t="str">
        <f>IFERROR(__xludf.DUMMYFUNCTION("iferror(if(A684="""",,E684&gt;=FILTER(Constants!$F$2:$F$10,Constants!$A$2:$A$10=A684)))"),"")</f>
        <v/>
      </c>
    </row>
    <row r="685">
      <c r="A685" s="80"/>
      <c r="B685" s="87"/>
      <c r="C685" s="73"/>
      <c r="D685" s="73"/>
      <c r="E685" s="82"/>
      <c r="F685" s="82"/>
      <c r="G685" s="82"/>
      <c r="H685" s="86"/>
      <c r="I685" s="86"/>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c r="AG685" s="82"/>
      <c r="AH685" s="82"/>
      <c r="AI685" s="82"/>
      <c r="AJ685" s="82"/>
      <c r="AK685" s="82"/>
      <c r="AL685" s="82"/>
      <c r="AM685" s="82"/>
      <c r="AN685" s="82">
        <f>IFERROR(__xludf.DUMMYFUNCTION("""COMPUTED_VALUE"""),0.0)</f>
        <v>0</v>
      </c>
      <c r="AO685" s="82">
        <f>IFERROR(__xludf.DUMMYFUNCTION("""COMPUTED_VALUE"""),0.0)</f>
        <v>0</v>
      </c>
      <c r="AP685" s="82">
        <f>IFERROR(__xludf.DUMMYFUNCTION("""COMPUTED_VALUE"""),0.0)</f>
        <v>0</v>
      </c>
      <c r="AQ685" s="82">
        <f>IFERROR(__xludf.DUMMYFUNCTION("""COMPUTED_VALUE"""),0.0)</f>
        <v>0</v>
      </c>
      <c r="AR685" s="82">
        <f>IFERROR(__xludf.DUMMYFUNCTION("""COMPUTED_VALUE"""),0.0)</f>
        <v>0</v>
      </c>
      <c r="AS685" s="82"/>
      <c r="AT685" s="82">
        <f>IFERROR(__xludf.DUMMYFUNCTION("""COMPUTED_VALUE"""),0.0)</f>
        <v>0</v>
      </c>
      <c r="AU685" s="82"/>
      <c r="AV685" s="82"/>
      <c r="AW685" s="82" t="str">
        <f t="shared" si="1"/>
        <v/>
      </c>
      <c r="AX685" s="83" t="str">
        <f t="array" ref="AX685">IFERROR(DGET('SBV Import'!A:G,"SBV",{"RSC ID","Tier";B685,A685}))</f>
        <v/>
      </c>
      <c r="AY685" s="82" t="str">
        <f t="shared" si="2"/>
        <v/>
      </c>
      <c r="AZ685" s="82"/>
      <c r="BA685" s="84" t="s">
        <v>152</v>
      </c>
      <c r="BB685" s="84" t="str">
        <f>IFERROR(__xludf.DUMMYFUNCTION("iferror(if(A685="""",,E685&gt;=FILTER(Constants!$F$2:$F$10,Constants!$A$2:$A$10=A685)))"),"")</f>
        <v/>
      </c>
    </row>
    <row r="686">
      <c r="A686" s="80"/>
      <c r="B686" s="87"/>
      <c r="C686" s="73"/>
      <c r="D686" s="73"/>
      <c r="E686" s="82"/>
      <c r="F686" s="82"/>
      <c r="G686" s="82"/>
      <c r="H686" s="86"/>
      <c r="I686" s="86"/>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c r="AG686" s="82"/>
      <c r="AH686" s="82"/>
      <c r="AI686" s="82"/>
      <c r="AJ686" s="82"/>
      <c r="AK686" s="82"/>
      <c r="AL686" s="82"/>
      <c r="AM686" s="82"/>
      <c r="AN686" s="82">
        <f>IFERROR(__xludf.DUMMYFUNCTION("""COMPUTED_VALUE"""),0.0)</f>
        <v>0</v>
      </c>
      <c r="AO686" s="82">
        <f>IFERROR(__xludf.DUMMYFUNCTION("""COMPUTED_VALUE"""),0.0)</f>
        <v>0</v>
      </c>
      <c r="AP686" s="82">
        <f>IFERROR(__xludf.DUMMYFUNCTION("""COMPUTED_VALUE"""),0.0)</f>
        <v>0</v>
      </c>
      <c r="AQ686" s="82">
        <f>IFERROR(__xludf.DUMMYFUNCTION("""COMPUTED_VALUE"""),0.0)</f>
        <v>0</v>
      </c>
      <c r="AR686" s="82">
        <f>IFERROR(__xludf.DUMMYFUNCTION("""COMPUTED_VALUE"""),0.0)</f>
        <v>0</v>
      </c>
      <c r="AS686" s="82"/>
      <c r="AT686" s="82">
        <f>IFERROR(__xludf.DUMMYFUNCTION("""COMPUTED_VALUE"""),0.0)</f>
        <v>0</v>
      </c>
      <c r="AU686" s="82"/>
      <c r="AV686" s="82"/>
      <c r="AW686" s="82" t="str">
        <f t="shared" si="1"/>
        <v/>
      </c>
      <c r="AX686" s="83" t="str">
        <f t="array" ref="AX686">IFERROR(DGET('SBV Import'!A:G,"SBV",{"RSC ID","Tier";B686,A686}))</f>
        <v/>
      </c>
      <c r="AY686" s="82" t="str">
        <f t="shared" si="2"/>
        <v/>
      </c>
      <c r="AZ686" s="82"/>
      <c r="BA686" s="84" t="s">
        <v>152</v>
      </c>
      <c r="BB686" s="84" t="str">
        <f>IFERROR(__xludf.DUMMYFUNCTION("iferror(if(A686="""",,E686&gt;=FILTER(Constants!$F$2:$F$10,Constants!$A$2:$A$10=A686)))"),"")</f>
        <v/>
      </c>
    </row>
    <row r="687">
      <c r="A687" s="80"/>
      <c r="B687" s="87"/>
      <c r="C687" s="73"/>
      <c r="D687" s="73"/>
      <c r="E687" s="82"/>
      <c r="F687" s="82"/>
      <c r="G687" s="82"/>
      <c r="H687" s="86"/>
      <c r="I687" s="86"/>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c r="AG687" s="82"/>
      <c r="AH687" s="82"/>
      <c r="AI687" s="82"/>
      <c r="AJ687" s="82"/>
      <c r="AK687" s="82"/>
      <c r="AL687" s="82"/>
      <c r="AM687" s="82"/>
      <c r="AN687" s="82">
        <f>IFERROR(__xludf.DUMMYFUNCTION("""COMPUTED_VALUE"""),0.0)</f>
        <v>0</v>
      </c>
      <c r="AO687" s="82">
        <f>IFERROR(__xludf.DUMMYFUNCTION("""COMPUTED_VALUE"""),0.0)</f>
        <v>0</v>
      </c>
      <c r="AP687" s="82">
        <f>IFERROR(__xludf.DUMMYFUNCTION("""COMPUTED_VALUE"""),0.0)</f>
        <v>0</v>
      </c>
      <c r="AQ687" s="82">
        <f>IFERROR(__xludf.DUMMYFUNCTION("""COMPUTED_VALUE"""),0.0)</f>
        <v>0</v>
      </c>
      <c r="AR687" s="82">
        <f>IFERROR(__xludf.DUMMYFUNCTION("""COMPUTED_VALUE"""),0.0)</f>
        <v>0</v>
      </c>
      <c r="AS687" s="82"/>
      <c r="AT687" s="82">
        <f>IFERROR(__xludf.DUMMYFUNCTION("""COMPUTED_VALUE"""),0.0)</f>
        <v>0</v>
      </c>
      <c r="AU687" s="82"/>
      <c r="AV687" s="82"/>
      <c r="AW687" s="82" t="str">
        <f t="shared" si="1"/>
        <v/>
      </c>
      <c r="AX687" s="83" t="str">
        <f t="array" ref="AX687">IFERROR(DGET('SBV Import'!A:G,"SBV",{"RSC ID","Tier";B687,A687}))</f>
        <v/>
      </c>
      <c r="AY687" s="82" t="str">
        <f t="shared" si="2"/>
        <v/>
      </c>
      <c r="AZ687" s="82"/>
      <c r="BA687" s="84" t="s">
        <v>152</v>
      </c>
      <c r="BB687" s="84" t="str">
        <f>IFERROR(__xludf.DUMMYFUNCTION("iferror(if(A687="""",,E687&gt;=FILTER(Constants!$F$2:$F$10,Constants!$A$2:$A$10=A687)))"),"")</f>
        <v/>
      </c>
    </row>
    <row r="688">
      <c r="A688" s="80"/>
      <c r="B688" s="87"/>
      <c r="C688" s="73"/>
      <c r="D688" s="73"/>
      <c r="E688" s="82"/>
      <c r="F688" s="82"/>
      <c r="G688" s="82"/>
      <c r="H688" s="86"/>
      <c r="I688" s="86"/>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c r="AG688" s="82"/>
      <c r="AH688" s="82"/>
      <c r="AI688" s="82"/>
      <c r="AJ688" s="82"/>
      <c r="AK688" s="82"/>
      <c r="AL688" s="82"/>
      <c r="AM688" s="82"/>
      <c r="AN688" s="82">
        <f>IFERROR(__xludf.DUMMYFUNCTION("""COMPUTED_VALUE"""),0.0)</f>
        <v>0</v>
      </c>
      <c r="AO688" s="82">
        <f>IFERROR(__xludf.DUMMYFUNCTION("""COMPUTED_VALUE"""),0.0)</f>
        <v>0</v>
      </c>
      <c r="AP688" s="82">
        <f>IFERROR(__xludf.DUMMYFUNCTION("""COMPUTED_VALUE"""),0.0)</f>
        <v>0</v>
      </c>
      <c r="AQ688" s="82">
        <f>IFERROR(__xludf.DUMMYFUNCTION("""COMPUTED_VALUE"""),0.0)</f>
        <v>0</v>
      </c>
      <c r="AR688" s="82">
        <f>IFERROR(__xludf.DUMMYFUNCTION("""COMPUTED_VALUE"""),0.0)</f>
        <v>0</v>
      </c>
      <c r="AS688" s="82"/>
      <c r="AT688" s="82">
        <f>IFERROR(__xludf.DUMMYFUNCTION("""COMPUTED_VALUE"""),0.0)</f>
        <v>0</v>
      </c>
      <c r="AU688" s="82"/>
      <c r="AV688" s="82"/>
      <c r="AW688" s="82" t="str">
        <f t="shared" si="1"/>
        <v/>
      </c>
      <c r="AX688" s="83" t="str">
        <f t="array" ref="AX688">IFERROR(DGET('SBV Import'!A:G,"SBV",{"RSC ID","Tier";B688,A688}))</f>
        <v/>
      </c>
      <c r="AY688" s="82" t="str">
        <f t="shared" si="2"/>
        <v/>
      </c>
      <c r="AZ688" s="82"/>
      <c r="BA688" s="84" t="s">
        <v>152</v>
      </c>
      <c r="BB688" s="84" t="str">
        <f>IFERROR(__xludf.DUMMYFUNCTION("iferror(if(A688="""",,E688&gt;=FILTER(Constants!$F$2:$F$10,Constants!$A$2:$A$10=A688)))"),"")</f>
        <v/>
      </c>
    </row>
    <row r="689">
      <c r="A689" s="80"/>
      <c r="B689" s="87"/>
      <c r="C689" s="73"/>
      <c r="D689" s="73"/>
      <c r="E689" s="82"/>
      <c r="F689" s="82"/>
      <c r="G689" s="82"/>
      <c r="H689" s="86"/>
      <c r="I689" s="86"/>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c r="AG689" s="82"/>
      <c r="AH689" s="82"/>
      <c r="AI689" s="82"/>
      <c r="AJ689" s="82"/>
      <c r="AK689" s="82"/>
      <c r="AL689" s="82"/>
      <c r="AM689" s="82"/>
      <c r="AN689" s="82">
        <f>IFERROR(__xludf.DUMMYFUNCTION("""COMPUTED_VALUE"""),0.0)</f>
        <v>0</v>
      </c>
      <c r="AO689" s="82">
        <f>IFERROR(__xludf.DUMMYFUNCTION("""COMPUTED_VALUE"""),0.0)</f>
        <v>0</v>
      </c>
      <c r="AP689" s="82">
        <f>IFERROR(__xludf.DUMMYFUNCTION("""COMPUTED_VALUE"""),0.0)</f>
        <v>0</v>
      </c>
      <c r="AQ689" s="82">
        <f>IFERROR(__xludf.DUMMYFUNCTION("""COMPUTED_VALUE"""),0.0)</f>
        <v>0</v>
      </c>
      <c r="AR689" s="82">
        <f>IFERROR(__xludf.DUMMYFUNCTION("""COMPUTED_VALUE"""),0.0)</f>
        <v>0</v>
      </c>
      <c r="AS689" s="82"/>
      <c r="AT689" s="82">
        <f>IFERROR(__xludf.DUMMYFUNCTION("""COMPUTED_VALUE"""),0.0)</f>
        <v>0</v>
      </c>
      <c r="AU689" s="82"/>
      <c r="AV689" s="82"/>
      <c r="AW689" s="82" t="str">
        <f t="shared" si="1"/>
        <v/>
      </c>
      <c r="AX689" s="83" t="str">
        <f t="array" ref="AX689">IFERROR(DGET('SBV Import'!A:G,"SBV",{"RSC ID","Tier";B689,A689}))</f>
        <v/>
      </c>
      <c r="AY689" s="82" t="str">
        <f t="shared" si="2"/>
        <v/>
      </c>
      <c r="AZ689" s="82"/>
      <c r="BA689" s="84" t="s">
        <v>152</v>
      </c>
      <c r="BB689" s="84" t="str">
        <f>IFERROR(__xludf.DUMMYFUNCTION("iferror(if(A689="""",,E689&gt;=FILTER(Constants!$F$2:$F$10,Constants!$A$2:$A$10=A689)))"),"")</f>
        <v/>
      </c>
    </row>
    <row r="690">
      <c r="A690" s="80"/>
      <c r="B690" s="87"/>
      <c r="C690" s="73"/>
      <c r="D690" s="73"/>
      <c r="E690" s="82"/>
      <c r="F690" s="82"/>
      <c r="G690" s="82"/>
      <c r="H690" s="86"/>
      <c r="I690" s="86"/>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c r="AG690" s="82"/>
      <c r="AH690" s="82"/>
      <c r="AI690" s="82"/>
      <c r="AJ690" s="82"/>
      <c r="AK690" s="82"/>
      <c r="AL690" s="82"/>
      <c r="AM690" s="82"/>
      <c r="AN690" s="82">
        <f>IFERROR(__xludf.DUMMYFUNCTION("""COMPUTED_VALUE"""),0.0)</f>
        <v>0</v>
      </c>
      <c r="AO690" s="82">
        <f>IFERROR(__xludf.DUMMYFUNCTION("""COMPUTED_VALUE"""),0.0)</f>
        <v>0</v>
      </c>
      <c r="AP690" s="82">
        <f>IFERROR(__xludf.DUMMYFUNCTION("""COMPUTED_VALUE"""),0.0)</f>
        <v>0</v>
      </c>
      <c r="AQ690" s="82">
        <f>IFERROR(__xludf.DUMMYFUNCTION("""COMPUTED_VALUE"""),0.0)</f>
        <v>0</v>
      </c>
      <c r="AR690" s="82">
        <f>IFERROR(__xludf.DUMMYFUNCTION("""COMPUTED_VALUE"""),0.0)</f>
        <v>0</v>
      </c>
      <c r="AS690" s="82"/>
      <c r="AT690" s="82">
        <f>IFERROR(__xludf.DUMMYFUNCTION("""COMPUTED_VALUE"""),0.0)</f>
        <v>0</v>
      </c>
      <c r="AU690" s="82"/>
      <c r="AV690" s="82"/>
      <c r="AW690" s="82" t="str">
        <f t="shared" si="1"/>
        <v/>
      </c>
      <c r="AX690" s="83" t="str">
        <f t="array" ref="AX690">IFERROR(DGET('SBV Import'!A:G,"SBV",{"RSC ID","Tier";B690,A690}))</f>
        <v/>
      </c>
      <c r="AY690" s="82" t="str">
        <f t="shared" si="2"/>
        <v/>
      </c>
      <c r="AZ690" s="82"/>
      <c r="BA690" s="84" t="s">
        <v>152</v>
      </c>
      <c r="BB690" s="84" t="str">
        <f>IFERROR(__xludf.DUMMYFUNCTION("iferror(if(A690="""",,E690&gt;=FILTER(Constants!$F$2:$F$10,Constants!$A$2:$A$10=A690)))"),"")</f>
        <v/>
      </c>
    </row>
    <row r="691">
      <c r="A691" s="80"/>
      <c r="B691" s="87"/>
      <c r="C691" s="73"/>
      <c r="D691" s="73"/>
      <c r="E691" s="82"/>
      <c r="F691" s="82"/>
      <c r="G691" s="82"/>
      <c r="H691" s="86"/>
      <c r="I691" s="86"/>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c r="AG691" s="82"/>
      <c r="AH691" s="82"/>
      <c r="AI691" s="82"/>
      <c r="AJ691" s="82"/>
      <c r="AK691" s="82"/>
      <c r="AL691" s="82"/>
      <c r="AM691" s="82"/>
      <c r="AN691" s="82">
        <f>IFERROR(__xludf.DUMMYFUNCTION("""COMPUTED_VALUE"""),0.0)</f>
        <v>0</v>
      </c>
      <c r="AO691" s="82">
        <f>IFERROR(__xludf.DUMMYFUNCTION("""COMPUTED_VALUE"""),0.0)</f>
        <v>0</v>
      </c>
      <c r="AP691" s="82">
        <f>IFERROR(__xludf.DUMMYFUNCTION("""COMPUTED_VALUE"""),0.0)</f>
        <v>0</v>
      </c>
      <c r="AQ691" s="82">
        <f>IFERROR(__xludf.DUMMYFUNCTION("""COMPUTED_VALUE"""),0.0)</f>
        <v>0</v>
      </c>
      <c r="AR691" s="82">
        <f>IFERROR(__xludf.DUMMYFUNCTION("""COMPUTED_VALUE"""),0.0)</f>
        <v>0</v>
      </c>
      <c r="AS691" s="82"/>
      <c r="AT691" s="82">
        <f>IFERROR(__xludf.DUMMYFUNCTION("""COMPUTED_VALUE"""),0.0)</f>
        <v>0</v>
      </c>
      <c r="AU691" s="82"/>
      <c r="AV691" s="82"/>
      <c r="AW691" s="82" t="str">
        <f t="shared" si="1"/>
        <v/>
      </c>
      <c r="AX691" s="83" t="str">
        <f t="array" ref="AX691">IFERROR(DGET('SBV Import'!A:G,"SBV",{"RSC ID","Tier";B691,A691}))</f>
        <v/>
      </c>
      <c r="AY691" s="82" t="str">
        <f t="shared" si="2"/>
        <v/>
      </c>
      <c r="AZ691" s="82"/>
      <c r="BA691" s="84" t="s">
        <v>152</v>
      </c>
      <c r="BB691" s="84" t="str">
        <f>IFERROR(__xludf.DUMMYFUNCTION("iferror(if(A691="""",,E691&gt;=FILTER(Constants!$F$2:$F$10,Constants!$A$2:$A$10=A691)))"),"")</f>
        <v/>
      </c>
    </row>
    <row r="692">
      <c r="A692" s="80"/>
      <c r="B692" s="87"/>
      <c r="C692" s="73"/>
      <c r="D692" s="73"/>
      <c r="E692" s="82"/>
      <c r="F692" s="82"/>
      <c r="G692" s="82"/>
      <c r="H692" s="86"/>
      <c r="I692" s="86"/>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c r="AG692" s="82"/>
      <c r="AH692" s="82"/>
      <c r="AI692" s="82"/>
      <c r="AJ692" s="82"/>
      <c r="AK692" s="82"/>
      <c r="AL692" s="82"/>
      <c r="AM692" s="82"/>
      <c r="AN692" s="82">
        <f>IFERROR(__xludf.DUMMYFUNCTION("""COMPUTED_VALUE"""),0.0)</f>
        <v>0</v>
      </c>
      <c r="AO692" s="82">
        <f>IFERROR(__xludf.DUMMYFUNCTION("""COMPUTED_VALUE"""),0.0)</f>
        <v>0</v>
      </c>
      <c r="AP692" s="82">
        <f>IFERROR(__xludf.DUMMYFUNCTION("""COMPUTED_VALUE"""),0.0)</f>
        <v>0</v>
      </c>
      <c r="AQ692" s="82">
        <f>IFERROR(__xludf.DUMMYFUNCTION("""COMPUTED_VALUE"""),0.0)</f>
        <v>0</v>
      </c>
      <c r="AR692" s="82">
        <f>IFERROR(__xludf.DUMMYFUNCTION("""COMPUTED_VALUE"""),0.0)</f>
        <v>0</v>
      </c>
      <c r="AS692" s="82"/>
      <c r="AT692" s="82">
        <f>IFERROR(__xludf.DUMMYFUNCTION("""COMPUTED_VALUE"""),0.0)</f>
        <v>0</v>
      </c>
      <c r="AU692" s="82"/>
      <c r="AV692" s="82"/>
      <c r="AW692" s="82" t="str">
        <f t="shared" si="1"/>
        <v/>
      </c>
      <c r="AX692" s="83" t="str">
        <f t="array" ref="AX692">IFERROR(DGET('SBV Import'!A:G,"SBV",{"RSC ID","Tier";B692,A692}))</f>
        <v/>
      </c>
      <c r="AY692" s="82" t="str">
        <f t="shared" si="2"/>
        <v/>
      </c>
      <c r="AZ692" s="82"/>
      <c r="BA692" s="84" t="s">
        <v>152</v>
      </c>
      <c r="BB692" s="84" t="str">
        <f>IFERROR(__xludf.DUMMYFUNCTION("iferror(if(A692="""",,E692&gt;=FILTER(Constants!$F$2:$F$10,Constants!$A$2:$A$10=A692)))"),"")</f>
        <v/>
      </c>
    </row>
    <row r="693">
      <c r="A693" s="80"/>
      <c r="B693" s="87"/>
      <c r="C693" s="73"/>
      <c r="D693" s="73"/>
      <c r="E693" s="82"/>
      <c r="F693" s="82"/>
      <c r="G693" s="82"/>
      <c r="H693" s="86"/>
      <c r="I693" s="86"/>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c r="AG693" s="82"/>
      <c r="AH693" s="82"/>
      <c r="AI693" s="82"/>
      <c r="AJ693" s="82"/>
      <c r="AK693" s="82"/>
      <c r="AL693" s="82"/>
      <c r="AM693" s="82"/>
      <c r="AN693" s="82">
        <f>IFERROR(__xludf.DUMMYFUNCTION("""COMPUTED_VALUE"""),0.0)</f>
        <v>0</v>
      </c>
      <c r="AO693" s="82">
        <f>IFERROR(__xludf.DUMMYFUNCTION("""COMPUTED_VALUE"""),0.0)</f>
        <v>0</v>
      </c>
      <c r="AP693" s="82">
        <f>IFERROR(__xludf.DUMMYFUNCTION("""COMPUTED_VALUE"""),0.0)</f>
        <v>0</v>
      </c>
      <c r="AQ693" s="82">
        <f>IFERROR(__xludf.DUMMYFUNCTION("""COMPUTED_VALUE"""),0.0)</f>
        <v>0</v>
      </c>
      <c r="AR693" s="82">
        <f>IFERROR(__xludf.DUMMYFUNCTION("""COMPUTED_VALUE"""),0.0)</f>
        <v>0</v>
      </c>
      <c r="AS693" s="82"/>
      <c r="AT693" s="82">
        <f>IFERROR(__xludf.DUMMYFUNCTION("""COMPUTED_VALUE"""),0.0)</f>
        <v>0</v>
      </c>
      <c r="AU693" s="82"/>
      <c r="AV693" s="82"/>
      <c r="AW693" s="82" t="str">
        <f t="shared" si="1"/>
        <v/>
      </c>
      <c r="AX693" s="83" t="str">
        <f t="array" ref="AX693">IFERROR(DGET('SBV Import'!A:G,"SBV",{"RSC ID","Tier";B693,A693}))</f>
        <v/>
      </c>
      <c r="AY693" s="82" t="str">
        <f t="shared" si="2"/>
        <v/>
      </c>
      <c r="AZ693" s="82"/>
      <c r="BA693" s="84" t="s">
        <v>152</v>
      </c>
      <c r="BB693" s="84" t="str">
        <f>IFERROR(__xludf.DUMMYFUNCTION("iferror(if(A693="""",,E693&gt;=FILTER(Constants!$F$2:$F$10,Constants!$A$2:$A$10=A693)))"),"")</f>
        <v/>
      </c>
    </row>
    <row r="694">
      <c r="A694" s="80"/>
      <c r="B694" s="87"/>
      <c r="C694" s="73"/>
      <c r="D694" s="73"/>
      <c r="E694" s="82"/>
      <c r="F694" s="82"/>
      <c r="G694" s="82"/>
      <c r="H694" s="86"/>
      <c r="I694" s="86"/>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c r="AG694" s="82"/>
      <c r="AH694" s="82"/>
      <c r="AI694" s="82"/>
      <c r="AJ694" s="82"/>
      <c r="AK694" s="82"/>
      <c r="AL694" s="82"/>
      <c r="AM694" s="82"/>
      <c r="AN694" s="82">
        <f>IFERROR(__xludf.DUMMYFUNCTION("""COMPUTED_VALUE"""),0.0)</f>
        <v>0</v>
      </c>
      <c r="AO694" s="82">
        <f>IFERROR(__xludf.DUMMYFUNCTION("""COMPUTED_VALUE"""),0.0)</f>
        <v>0</v>
      </c>
      <c r="AP694" s="82">
        <f>IFERROR(__xludf.DUMMYFUNCTION("""COMPUTED_VALUE"""),0.0)</f>
        <v>0</v>
      </c>
      <c r="AQ694" s="82">
        <f>IFERROR(__xludf.DUMMYFUNCTION("""COMPUTED_VALUE"""),0.0)</f>
        <v>0</v>
      </c>
      <c r="AR694" s="82">
        <f>IFERROR(__xludf.DUMMYFUNCTION("""COMPUTED_VALUE"""),0.0)</f>
        <v>0</v>
      </c>
      <c r="AS694" s="82"/>
      <c r="AT694" s="82">
        <f>IFERROR(__xludf.DUMMYFUNCTION("""COMPUTED_VALUE"""),0.0)</f>
        <v>0</v>
      </c>
      <c r="AU694" s="82"/>
      <c r="AV694" s="82"/>
      <c r="AW694" s="82" t="str">
        <f t="shared" si="1"/>
        <v/>
      </c>
      <c r="AX694" s="83" t="str">
        <f t="array" ref="AX694">IFERROR(DGET('SBV Import'!A:G,"SBV",{"RSC ID","Tier";B694,A694}))</f>
        <v/>
      </c>
      <c r="AY694" s="82" t="str">
        <f t="shared" si="2"/>
        <v/>
      </c>
      <c r="AZ694" s="82"/>
      <c r="BA694" s="84" t="s">
        <v>152</v>
      </c>
      <c r="BB694" s="84" t="str">
        <f>IFERROR(__xludf.DUMMYFUNCTION("iferror(if(A694="""",,E694&gt;=FILTER(Constants!$F$2:$F$10,Constants!$A$2:$A$10=A694)))"),"")</f>
        <v/>
      </c>
    </row>
    <row r="695">
      <c r="A695" s="80"/>
      <c r="B695" s="87"/>
      <c r="C695" s="88"/>
      <c r="D695" s="73"/>
      <c r="E695" s="82"/>
      <c r="F695" s="82"/>
      <c r="G695" s="82"/>
      <c r="H695" s="86"/>
      <c r="I695" s="86"/>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82"/>
      <c r="AI695" s="82"/>
      <c r="AJ695" s="82"/>
      <c r="AK695" s="82"/>
      <c r="AL695" s="82"/>
      <c r="AM695" s="82"/>
      <c r="AN695" s="82">
        <f>IFERROR(__xludf.DUMMYFUNCTION("""COMPUTED_VALUE"""),0.0)</f>
        <v>0</v>
      </c>
      <c r="AO695" s="82">
        <f>IFERROR(__xludf.DUMMYFUNCTION("""COMPUTED_VALUE"""),0.0)</f>
        <v>0</v>
      </c>
      <c r="AP695" s="82">
        <f>IFERROR(__xludf.DUMMYFUNCTION("""COMPUTED_VALUE"""),0.0)</f>
        <v>0</v>
      </c>
      <c r="AQ695" s="82">
        <f>IFERROR(__xludf.DUMMYFUNCTION("""COMPUTED_VALUE"""),0.0)</f>
        <v>0</v>
      </c>
      <c r="AR695" s="82">
        <f>IFERROR(__xludf.DUMMYFUNCTION("""COMPUTED_VALUE"""),0.0)</f>
        <v>0</v>
      </c>
      <c r="AS695" s="82"/>
      <c r="AT695" s="82">
        <f>IFERROR(__xludf.DUMMYFUNCTION("""COMPUTED_VALUE"""),0.0)</f>
        <v>0</v>
      </c>
      <c r="AU695" s="82"/>
      <c r="AV695" s="82"/>
      <c r="AW695" s="82" t="str">
        <f t="shared" si="1"/>
        <v/>
      </c>
      <c r="AX695" s="83" t="str">
        <f t="array" ref="AX695">IFERROR(DGET('SBV Import'!A:G,"SBV",{"RSC ID","Tier";B695,A695}))</f>
        <v/>
      </c>
      <c r="AY695" s="82" t="str">
        <f t="shared" si="2"/>
        <v/>
      </c>
      <c r="AZ695" s="82"/>
      <c r="BA695" s="84" t="s">
        <v>152</v>
      </c>
      <c r="BB695" s="84" t="str">
        <f>IFERROR(__xludf.DUMMYFUNCTION("iferror(if(A695="""",,E695&gt;=FILTER(Constants!$F$2:$F$10,Constants!$A$2:$A$10=A695)))"),"")</f>
        <v/>
      </c>
    </row>
    <row r="696">
      <c r="A696" s="80"/>
      <c r="B696" s="87"/>
      <c r="C696" s="73"/>
      <c r="D696" s="73"/>
      <c r="E696" s="82"/>
      <c r="F696" s="82"/>
      <c r="G696" s="82"/>
      <c r="H696" s="86"/>
      <c r="I696" s="86"/>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82"/>
      <c r="AI696" s="82"/>
      <c r="AJ696" s="82"/>
      <c r="AK696" s="82"/>
      <c r="AL696" s="82"/>
      <c r="AM696" s="82"/>
      <c r="AN696" s="82">
        <f>IFERROR(__xludf.DUMMYFUNCTION("""COMPUTED_VALUE"""),0.0)</f>
        <v>0</v>
      </c>
      <c r="AO696" s="82">
        <f>IFERROR(__xludf.DUMMYFUNCTION("""COMPUTED_VALUE"""),0.0)</f>
        <v>0</v>
      </c>
      <c r="AP696" s="82">
        <f>IFERROR(__xludf.DUMMYFUNCTION("""COMPUTED_VALUE"""),0.0)</f>
        <v>0</v>
      </c>
      <c r="AQ696" s="82">
        <f>IFERROR(__xludf.DUMMYFUNCTION("""COMPUTED_VALUE"""),0.0)</f>
        <v>0</v>
      </c>
      <c r="AR696" s="82">
        <f>IFERROR(__xludf.DUMMYFUNCTION("""COMPUTED_VALUE"""),0.0)</f>
        <v>0</v>
      </c>
      <c r="AS696" s="82"/>
      <c r="AT696" s="82">
        <f>IFERROR(__xludf.DUMMYFUNCTION("""COMPUTED_VALUE"""),0.0)</f>
        <v>0</v>
      </c>
      <c r="AU696" s="82"/>
      <c r="AV696" s="82"/>
      <c r="AW696" s="82" t="str">
        <f t="shared" si="1"/>
        <v/>
      </c>
      <c r="AX696" s="83" t="str">
        <f t="array" ref="AX696">IFERROR(DGET('SBV Import'!A:G,"SBV",{"RSC ID","Tier";B696,A696}))</f>
        <v/>
      </c>
      <c r="AY696" s="82" t="str">
        <f t="shared" si="2"/>
        <v/>
      </c>
      <c r="AZ696" s="82"/>
      <c r="BA696" s="84" t="s">
        <v>152</v>
      </c>
      <c r="BB696" s="84" t="str">
        <f>IFERROR(__xludf.DUMMYFUNCTION("iferror(if(A696="""",,E696&gt;=FILTER(Constants!$F$2:$F$10,Constants!$A$2:$A$10=A696)))"),"")</f>
        <v/>
      </c>
    </row>
    <row r="697">
      <c r="A697" s="80"/>
      <c r="B697" s="87"/>
      <c r="C697" s="73"/>
      <c r="D697" s="73"/>
      <c r="E697" s="82"/>
      <c r="F697" s="82"/>
      <c r="G697" s="82"/>
      <c r="H697" s="86"/>
      <c r="I697" s="86"/>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c r="AG697" s="82"/>
      <c r="AH697" s="82"/>
      <c r="AI697" s="82"/>
      <c r="AJ697" s="82"/>
      <c r="AK697" s="82"/>
      <c r="AL697" s="82"/>
      <c r="AM697" s="82"/>
      <c r="AN697" s="82">
        <f>IFERROR(__xludf.DUMMYFUNCTION("""COMPUTED_VALUE"""),0.0)</f>
        <v>0</v>
      </c>
      <c r="AO697" s="82">
        <f>IFERROR(__xludf.DUMMYFUNCTION("""COMPUTED_VALUE"""),0.0)</f>
        <v>0</v>
      </c>
      <c r="AP697" s="82">
        <f>IFERROR(__xludf.DUMMYFUNCTION("""COMPUTED_VALUE"""),0.0)</f>
        <v>0</v>
      </c>
      <c r="AQ697" s="82">
        <f>IFERROR(__xludf.DUMMYFUNCTION("""COMPUTED_VALUE"""),0.0)</f>
        <v>0</v>
      </c>
      <c r="AR697" s="82">
        <f>IFERROR(__xludf.DUMMYFUNCTION("""COMPUTED_VALUE"""),0.0)</f>
        <v>0</v>
      </c>
      <c r="AS697" s="82"/>
      <c r="AT697" s="82">
        <f>IFERROR(__xludf.DUMMYFUNCTION("""COMPUTED_VALUE"""),0.0)</f>
        <v>0</v>
      </c>
      <c r="AU697" s="82"/>
      <c r="AV697" s="82"/>
      <c r="AW697" s="82" t="str">
        <f t="shared" si="1"/>
        <v/>
      </c>
      <c r="AX697" s="83" t="str">
        <f t="array" ref="AX697">IFERROR(DGET('SBV Import'!A:G,"SBV",{"RSC ID","Tier";B697,A697}))</f>
        <v/>
      </c>
      <c r="AY697" s="82" t="str">
        <f t="shared" si="2"/>
        <v/>
      </c>
      <c r="AZ697" s="82"/>
      <c r="BA697" s="84" t="s">
        <v>152</v>
      </c>
      <c r="BB697" s="84" t="str">
        <f>IFERROR(__xludf.DUMMYFUNCTION("iferror(if(A697="""",,E697&gt;=FILTER(Constants!$F$2:$F$10,Constants!$A$2:$A$10=A697)))"),"")</f>
        <v/>
      </c>
    </row>
    <row r="698">
      <c r="A698" s="80"/>
      <c r="B698" s="87"/>
      <c r="C698" s="73"/>
      <c r="D698" s="73"/>
      <c r="E698" s="82"/>
      <c r="F698" s="82"/>
      <c r="G698" s="82"/>
      <c r="H698" s="86"/>
      <c r="I698" s="86"/>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c r="AG698" s="82"/>
      <c r="AH698" s="82"/>
      <c r="AI698" s="82"/>
      <c r="AJ698" s="82"/>
      <c r="AK698" s="82"/>
      <c r="AL698" s="82"/>
      <c r="AM698" s="82"/>
      <c r="AN698" s="82">
        <f>IFERROR(__xludf.DUMMYFUNCTION("""COMPUTED_VALUE"""),0.0)</f>
        <v>0</v>
      </c>
      <c r="AO698" s="82">
        <f>IFERROR(__xludf.DUMMYFUNCTION("""COMPUTED_VALUE"""),0.0)</f>
        <v>0</v>
      </c>
      <c r="AP698" s="82">
        <f>IFERROR(__xludf.DUMMYFUNCTION("""COMPUTED_VALUE"""),0.0)</f>
        <v>0</v>
      </c>
      <c r="AQ698" s="82">
        <f>IFERROR(__xludf.DUMMYFUNCTION("""COMPUTED_VALUE"""),0.0)</f>
        <v>0</v>
      </c>
      <c r="AR698" s="82">
        <f>IFERROR(__xludf.DUMMYFUNCTION("""COMPUTED_VALUE"""),0.0)</f>
        <v>0</v>
      </c>
      <c r="AS698" s="82"/>
      <c r="AT698" s="82">
        <f>IFERROR(__xludf.DUMMYFUNCTION("""COMPUTED_VALUE"""),0.0)</f>
        <v>0</v>
      </c>
      <c r="AU698" s="82"/>
      <c r="AV698" s="82"/>
      <c r="AW698" s="82" t="str">
        <f t="shared" si="1"/>
        <v/>
      </c>
      <c r="AX698" s="83" t="str">
        <f t="array" ref="AX698">IFERROR(DGET('SBV Import'!A:G,"SBV",{"RSC ID","Tier";B698,A698}))</f>
        <v/>
      </c>
      <c r="AY698" s="82" t="str">
        <f t="shared" si="2"/>
        <v/>
      </c>
      <c r="AZ698" s="82"/>
      <c r="BA698" s="84" t="s">
        <v>152</v>
      </c>
      <c r="BB698" s="84" t="str">
        <f>IFERROR(__xludf.DUMMYFUNCTION("iferror(if(A698="""",,E698&gt;=FILTER(Constants!$F$2:$F$10,Constants!$A$2:$A$10=A698)))"),"")</f>
        <v/>
      </c>
    </row>
    <row r="699">
      <c r="A699" s="80"/>
      <c r="B699" s="87"/>
      <c r="C699" s="73"/>
      <c r="D699" s="73"/>
      <c r="E699" s="82"/>
      <c r="F699" s="82"/>
      <c r="G699" s="82"/>
      <c r="H699" s="86"/>
      <c r="I699" s="86"/>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c r="AG699" s="82"/>
      <c r="AH699" s="82"/>
      <c r="AI699" s="82"/>
      <c r="AJ699" s="82"/>
      <c r="AK699" s="82"/>
      <c r="AL699" s="82"/>
      <c r="AM699" s="82"/>
      <c r="AN699" s="82">
        <f>IFERROR(__xludf.DUMMYFUNCTION("""COMPUTED_VALUE"""),0.0)</f>
        <v>0</v>
      </c>
      <c r="AO699" s="82">
        <f>IFERROR(__xludf.DUMMYFUNCTION("""COMPUTED_VALUE"""),0.0)</f>
        <v>0</v>
      </c>
      <c r="AP699" s="82">
        <f>IFERROR(__xludf.DUMMYFUNCTION("""COMPUTED_VALUE"""),0.0)</f>
        <v>0</v>
      </c>
      <c r="AQ699" s="82">
        <f>IFERROR(__xludf.DUMMYFUNCTION("""COMPUTED_VALUE"""),0.0)</f>
        <v>0</v>
      </c>
      <c r="AR699" s="82">
        <f>IFERROR(__xludf.DUMMYFUNCTION("""COMPUTED_VALUE"""),0.0)</f>
        <v>0</v>
      </c>
      <c r="AS699" s="82"/>
      <c r="AT699" s="82">
        <f>IFERROR(__xludf.DUMMYFUNCTION("""COMPUTED_VALUE"""),0.0)</f>
        <v>0</v>
      </c>
      <c r="AU699" s="82"/>
      <c r="AV699" s="82"/>
      <c r="AW699" s="82" t="str">
        <f t="shared" si="1"/>
        <v/>
      </c>
      <c r="AX699" s="83" t="str">
        <f t="array" ref="AX699">IFERROR(DGET('SBV Import'!A:G,"SBV",{"RSC ID","Tier";B699,A699}))</f>
        <v/>
      </c>
      <c r="AY699" s="82" t="str">
        <f t="shared" si="2"/>
        <v/>
      </c>
      <c r="AZ699" s="82"/>
      <c r="BA699" s="84" t="s">
        <v>152</v>
      </c>
      <c r="BB699" s="84" t="str">
        <f>IFERROR(__xludf.DUMMYFUNCTION("iferror(if(A699="""",,E699&gt;=FILTER(Constants!$F$2:$F$10,Constants!$A$2:$A$10=A699)))"),"")</f>
        <v/>
      </c>
    </row>
    <row r="700">
      <c r="A700" s="85"/>
      <c r="B700" s="87"/>
      <c r="C700" s="73"/>
      <c r="D700" s="73"/>
      <c r="E700" s="82"/>
      <c r="F700" s="82"/>
      <c r="G700" s="82"/>
      <c r="H700" s="86"/>
      <c r="I700" s="86"/>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c r="AG700" s="82"/>
      <c r="AH700" s="82"/>
      <c r="AI700" s="82"/>
      <c r="AJ700" s="82"/>
      <c r="AK700" s="82"/>
      <c r="AL700" s="82"/>
      <c r="AM700" s="82"/>
      <c r="AN700" s="82">
        <f>IFERROR(__xludf.DUMMYFUNCTION("""COMPUTED_VALUE"""),0.0)</f>
        <v>0</v>
      </c>
      <c r="AO700" s="82">
        <f>IFERROR(__xludf.DUMMYFUNCTION("""COMPUTED_VALUE"""),0.0)</f>
        <v>0</v>
      </c>
      <c r="AP700" s="82">
        <f>IFERROR(__xludf.DUMMYFUNCTION("""COMPUTED_VALUE"""),0.0)</f>
        <v>0</v>
      </c>
      <c r="AQ700" s="82">
        <f>IFERROR(__xludf.DUMMYFUNCTION("""COMPUTED_VALUE"""),0.0)</f>
        <v>0</v>
      </c>
      <c r="AR700" s="82">
        <f>IFERROR(__xludf.DUMMYFUNCTION("""COMPUTED_VALUE"""),0.0)</f>
        <v>0</v>
      </c>
      <c r="AS700" s="82"/>
      <c r="AT700" s="82">
        <f>IFERROR(__xludf.DUMMYFUNCTION("""COMPUTED_VALUE"""),0.0)</f>
        <v>0</v>
      </c>
      <c r="AU700" s="82"/>
      <c r="AV700" s="82"/>
      <c r="AW700" s="82" t="str">
        <f t="shared" si="1"/>
        <v/>
      </c>
      <c r="AX700" s="83" t="str">
        <f t="array" ref="AX700">IFERROR(DGET('SBV Import'!A:G,"SBV",{"RSC ID","Tier";B700,A700}))</f>
        <v/>
      </c>
      <c r="AY700" s="82" t="str">
        <f t="shared" si="2"/>
        <v/>
      </c>
      <c r="AZ700" s="82"/>
      <c r="BA700" s="84" t="s">
        <v>152</v>
      </c>
      <c r="BB700" s="84" t="str">
        <f>IFERROR(__xludf.DUMMYFUNCTION("iferror(if(A700="""",,E700&gt;=FILTER(Constants!$F$2:$F$10,Constants!$A$2:$A$10=A700)))"),"")</f>
        <v/>
      </c>
    </row>
    <row r="701">
      <c r="A701" s="80"/>
      <c r="B701" s="87"/>
      <c r="C701" s="73"/>
      <c r="D701" s="73"/>
      <c r="E701" s="82"/>
      <c r="F701" s="82"/>
      <c r="G701" s="82"/>
      <c r="H701" s="86"/>
      <c r="I701" s="86"/>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c r="AG701" s="82"/>
      <c r="AH701" s="82"/>
      <c r="AI701" s="82"/>
      <c r="AJ701" s="82"/>
      <c r="AK701" s="82"/>
      <c r="AL701" s="82"/>
      <c r="AM701" s="82"/>
      <c r="AN701" s="82">
        <f>IFERROR(__xludf.DUMMYFUNCTION("""COMPUTED_VALUE"""),0.0)</f>
        <v>0</v>
      </c>
      <c r="AO701" s="82">
        <f>IFERROR(__xludf.DUMMYFUNCTION("""COMPUTED_VALUE"""),0.0)</f>
        <v>0</v>
      </c>
      <c r="AP701" s="82">
        <f>IFERROR(__xludf.DUMMYFUNCTION("""COMPUTED_VALUE"""),0.0)</f>
        <v>0</v>
      </c>
      <c r="AQ701" s="82">
        <f>IFERROR(__xludf.DUMMYFUNCTION("""COMPUTED_VALUE"""),0.0)</f>
        <v>0</v>
      </c>
      <c r="AR701" s="82">
        <f>IFERROR(__xludf.DUMMYFUNCTION("""COMPUTED_VALUE"""),0.0)</f>
        <v>0</v>
      </c>
      <c r="AS701" s="82"/>
      <c r="AT701" s="82">
        <f>IFERROR(__xludf.DUMMYFUNCTION("""COMPUTED_VALUE"""),0.0)</f>
        <v>0</v>
      </c>
      <c r="AU701" s="82"/>
      <c r="AV701" s="82"/>
      <c r="AW701" s="82" t="str">
        <f t="shared" si="1"/>
        <v/>
      </c>
      <c r="AX701" s="83" t="str">
        <f t="array" ref="AX701">IFERROR(DGET('SBV Import'!A:G,"SBV",{"RSC ID","Tier";B701,A701}))</f>
        <v/>
      </c>
      <c r="AY701" s="82" t="str">
        <f t="shared" si="2"/>
        <v/>
      </c>
      <c r="AZ701" s="82"/>
      <c r="BA701" s="84" t="s">
        <v>152</v>
      </c>
      <c r="BB701" s="84" t="str">
        <f>IFERROR(__xludf.DUMMYFUNCTION("iferror(if(A701="""",,E701&gt;=FILTER(Constants!$F$2:$F$10,Constants!$A$2:$A$10=A701)))"),"")</f>
        <v/>
      </c>
    </row>
    <row r="702">
      <c r="A702" s="80"/>
      <c r="B702" s="87"/>
      <c r="C702" s="73"/>
      <c r="D702" s="73"/>
      <c r="E702" s="82"/>
      <c r="F702" s="82"/>
      <c r="G702" s="82"/>
      <c r="H702" s="86"/>
      <c r="I702" s="86"/>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c r="AG702" s="82"/>
      <c r="AH702" s="82"/>
      <c r="AI702" s="82"/>
      <c r="AJ702" s="82"/>
      <c r="AK702" s="82"/>
      <c r="AL702" s="82"/>
      <c r="AM702" s="82"/>
      <c r="AN702" s="82">
        <f>IFERROR(__xludf.DUMMYFUNCTION("""COMPUTED_VALUE"""),0.0)</f>
        <v>0</v>
      </c>
      <c r="AO702" s="82">
        <f>IFERROR(__xludf.DUMMYFUNCTION("""COMPUTED_VALUE"""),0.0)</f>
        <v>0</v>
      </c>
      <c r="AP702" s="82">
        <f>IFERROR(__xludf.DUMMYFUNCTION("""COMPUTED_VALUE"""),0.0)</f>
        <v>0</v>
      </c>
      <c r="AQ702" s="82">
        <f>IFERROR(__xludf.DUMMYFUNCTION("""COMPUTED_VALUE"""),0.0)</f>
        <v>0</v>
      </c>
      <c r="AR702" s="82">
        <f>IFERROR(__xludf.DUMMYFUNCTION("""COMPUTED_VALUE"""),0.0)</f>
        <v>0</v>
      </c>
      <c r="AS702" s="82"/>
      <c r="AT702" s="82">
        <f>IFERROR(__xludf.DUMMYFUNCTION("""COMPUTED_VALUE"""),0.0)</f>
        <v>0</v>
      </c>
      <c r="AU702" s="82"/>
      <c r="AV702" s="82"/>
      <c r="AW702" s="82" t="str">
        <f t="shared" si="1"/>
        <v/>
      </c>
      <c r="AX702" s="83" t="str">
        <f t="array" ref="AX702">IFERROR(DGET('SBV Import'!A:G,"SBV",{"RSC ID","Tier";B702,A702}))</f>
        <v/>
      </c>
      <c r="AY702" s="82" t="str">
        <f t="shared" si="2"/>
        <v/>
      </c>
      <c r="AZ702" s="82"/>
      <c r="BA702" s="84" t="s">
        <v>152</v>
      </c>
      <c r="BB702" s="84" t="str">
        <f>IFERROR(__xludf.DUMMYFUNCTION("iferror(if(A702="""",,E702&gt;=FILTER(Constants!$F$2:$F$10,Constants!$A$2:$A$10=A702)))"),"")</f>
        <v/>
      </c>
    </row>
    <row r="703">
      <c r="A703" s="80"/>
      <c r="B703" s="87"/>
      <c r="C703" s="73"/>
      <c r="D703" s="73"/>
      <c r="E703" s="82"/>
      <c r="F703" s="82"/>
      <c r="G703" s="82"/>
      <c r="H703" s="86"/>
      <c r="I703" s="86"/>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c r="AG703" s="82"/>
      <c r="AH703" s="82"/>
      <c r="AI703" s="82"/>
      <c r="AJ703" s="82"/>
      <c r="AK703" s="82"/>
      <c r="AL703" s="82"/>
      <c r="AM703" s="82"/>
      <c r="AN703" s="82">
        <f>IFERROR(__xludf.DUMMYFUNCTION("""COMPUTED_VALUE"""),0.0)</f>
        <v>0</v>
      </c>
      <c r="AO703" s="82">
        <f>IFERROR(__xludf.DUMMYFUNCTION("""COMPUTED_VALUE"""),0.0)</f>
        <v>0</v>
      </c>
      <c r="AP703" s="82">
        <f>IFERROR(__xludf.DUMMYFUNCTION("""COMPUTED_VALUE"""),0.0)</f>
        <v>0</v>
      </c>
      <c r="AQ703" s="82">
        <f>IFERROR(__xludf.DUMMYFUNCTION("""COMPUTED_VALUE"""),0.0)</f>
        <v>0</v>
      </c>
      <c r="AR703" s="82">
        <f>IFERROR(__xludf.DUMMYFUNCTION("""COMPUTED_VALUE"""),0.0)</f>
        <v>0</v>
      </c>
      <c r="AS703" s="82"/>
      <c r="AT703" s="82">
        <f>IFERROR(__xludf.DUMMYFUNCTION("""COMPUTED_VALUE"""),0.0)</f>
        <v>0</v>
      </c>
      <c r="AU703" s="82"/>
      <c r="AV703" s="82"/>
      <c r="AW703" s="82" t="str">
        <f t="shared" si="1"/>
        <v/>
      </c>
      <c r="AX703" s="83" t="str">
        <f t="array" ref="AX703">IFERROR(DGET('SBV Import'!A:G,"SBV",{"RSC ID","Tier";B703,A703}))</f>
        <v/>
      </c>
      <c r="AY703" s="82" t="str">
        <f t="shared" si="2"/>
        <v/>
      </c>
      <c r="AZ703" s="82"/>
      <c r="BA703" s="84" t="s">
        <v>152</v>
      </c>
      <c r="BB703" s="84" t="str">
        <f>IFERROR(__xludf.DUMMYFUNCTION("iferror(if(A703="""",,E703&gt;=FILTER(Constants!$F$2:$F$10,Constants!$A$2:$A$10=A703)))"),"")</f>
        <v/>
      </c>
    </row>
    <row r="704">
      <c r="A704" s="80"/>
      <c r="B704" s="87"/>
      <c r="C704" s="73"/>
      <c r="D704" s="73"/>
      <c r="E704" s="82"/>
      <c r="F704" s="82"/>
      <c r="G704" s="82"/>
      <c r="H704" s="86"/>
      <c r="I704" s="86"/>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c r="AG704" s="82"/>
      <c r="AH704" s="82"/>
      <c r="AI704" s="82"/>
      <c r="AJ704" s="82"/>
      <c r="AK704" s="82"/>
      <c r="AL704" s="82"/>
      <c r="AM704" s="82"/>
      <c r="AN704" s="82">
        <f>IFERROR(__xludf.DUMMYFUNCTION("""COMPUTED_VALUE"""),0.0)</f>
        <v>0</v>
      </c>
      <c r="AO704" s="82">
        <f>IFERROR(__xludf.DUMMYFUNCTION("""COMPUTED_VALUE"""),0.0)</f>
        <v>0</v>
      </c>
      <c r="AP704" s="82">
        <f>IFERROR(__xludf.DUMMYFUNCTION("""COMPUTED_VALUE"""),0.0)</f>
        <v>0</v>
      </c>
      <c r="AQ704" s="82">
        <f>IFERROR(__xludf.DUMMYFUNCTION("""COMPUTED_VALUE"""),0.0)</f>
        <v>0</v>
      </c>
      <c r="AR704" s="82">
        <f>IFERROR(__xludf.DUMMYFUNCTION("""COMPUTED_VALUE"""),0.0)</f>
        <v>0</v>
      </c>
      <c r="AS704" s="82"/>
      <c r="AT704" s="82">
        <f>IFERROR(__xludf.DUMMYFUNCTION("""COMPUTED_VALUE"""),0.0)</f>
        <v>0</v>
      </c>
      <c r="AU704" s="82"/>
      <c r="AV704" s="82"/>
      <c r="AW704" s="82" t="str">
        <f t="shared" si="1"/>
        <v/>
      </c>
      <c r="AX704" s="83" t="str">
        <f t="array" ref="AX704">IFERROR(DGET('SBV Import'!A:G,"SBV",{"RSC ID","Tier";B704,A704}))</f>
        <v/>
      </c>
      <c r="AY704" s="82" t="str">
        <f t="shared" si="2"/>
        <v/>
      </c>
      <c r="AZ704" s="82"/>
      <c r="BA704" s="84" t="s">
        <v>152</v>
      </c>
      <c r="BB704" s="84" t="str">
        <f>IFERROR(__xludf.DUMMYFUNCTION("iferror(if(A704="""",,E704&gt;=FILTER(Constants!$F$2:$F$10,Constants!$A$2:$A$10=A704)))"),"")</f>
        <v/>
      </c>
    </row>
    <row r="705">
      <c r="A705" s="80"/>
      <c r="B705" s="87"/>
      <c r="C705" s="73"/>
      <c r="D705" s="73"/>
      <c r="E705" s="82"/>
      <c r="F705" s="82"/>
      <c r="G705" s="82"/>
      <c r="H705" s="86"/>
      <c r="I705" s="86"/>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c r="AG705" s="82"/>
      <c r="AH705" s="82"/>
      <c r="AI705" s="82"/>
      <c r="AJ705" s="82"/>
      <c r="AK705" s="82"/>
      <c r="AL705" s="82"/>
      <c r="AM705" s="82"/>
      <c r="AN705" s="82">
        <f>IFERROR(__xludf.DUMMYFUNCTION("""COMPUTED_VALUE"""),0.0)</f>
        <v>0</v>
      </c>
      <c r="AO705" s="82">
        <f>IFERROR(__xludf.DUMMYFUNCTION("""COMPUTED_VALUE"""),0.0)</f>
        <v>0</v>
      </c>
      <c r="AP705" s="82">
        <f>IFERROR(__xludf.DUMMYFUNCTION("""COMPUTED_VALUE"""),0.0)</f>
        <v>0</v>
      </c>
      <c r="AQ705" s="82">
        <f>IFERROR(__xludf.DUMMYFUNCTION("""COMPUTED_VALUE"""),0.0)</f>
        <v>0</v>
      </c>
      <c r="AR705" s="82">
        <f>IFERROR(__xludf.DUMMYFUNCTION("""COMPUTED_VALUE"""),0.0)</f>
        <v>0</v>
      </c>
      <c r="AS705" s="82"/>
      <c r="AT705" s="82">
        <f>IFERROR(__xludf.DUMMYFUNCTION("""COMPUTED_VALUE"""),0.0)</f>
        <v>0</v>
      </c>
      <c r="AU705" s="82"/>
      <c r="AV705" s="82"/>
      <c r="AW705" s="82" t="str">
        <f t="shared" si="1"/>
        <v/>
      </c>
      <c r="AX705" s="83" t="str">
        <f t="array" ref="AX705">IFERROR(DGET('SBV Import'!A:G,"SBV",{"RSC ID","Tier";B705,A705}))</f>
        <v/>
      </c>
      <c r="AY705" s="82" t="str">
        <f t="shared" si="2"/>
        <v/>
      </c>
      <c r="AZ705" s="82"/>
      <c r="BA705" s="84" t="s">
        <v>152</v>
      </c>
      <c r="BB705" s="84" t="str">
        <f>IFERROR(__xludf.DUMMYFUNCTION("iferror(if(A705="""",,E705&gt;=FILTER(Constants!$F$2:$F$10,Constants!$A$2:$A$10=A705)))"),"")</f>
        <v/>
      </c>
    </row>
    <row r="706">
      <c r="A706" s="80"/>
      <c r="B706" s="87"/>
      <c r="C706" s="73"/>
      <c r="D706" s="73"/>
      <c r="E706" s="82"/>
      <c r="F706" s="82"/>
      <c r="G706" s="82"/>
      <c r="H706" s="86"/>
      <c r="I706" s="86"/>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c r="AG706" s="82"/>
      <c r="AH706" s="82"/>
      <c r="AI706" s="82"/>
      <c r="AJ706" s="82"/>
      <c r="AK706" s="82"/>
      <c r="AL706" s="82"/>
      <c r="AM706" s="82"/>
      <c r="AN706" s="82">
        <f>IFERROR(__xludf.DUMMYFUNCTION("""COMPUTED_VALUE"""),0.0)</f>
        <v>0</v>
      </c>
      <c r="AO706" s="82">
        <f>IFERROR(__xludf.DUMMYFUNCTION("""COMPUTED_VALUE"""),0.0)</f>
        <v>0</v>
      </c>
      <c r="AP706" s="82">
        <f>IFERROR(__xludf.DUMMYFUNCTION("""COMPUTED_VALUE"""),0.0)</f>
        <v>0</v>
      </c>
      <c r="AQ706" s="82">
        <f>IFERROR(__xludf.DUMMYFUNCTION("""COMPUTED_VALUE"""),0.0)</f>
        <v>0</v>
      </c>
      <c r="AR706" s="82">
        <f>IFERROR(__xludf.DUMMYFUNCTION("""COMPUTED_VALUE"""),0.0)</f>
        <v>0</v>
      </c>
      <c r="AS706" s="82"/>
      <c r="AT706" s="82">
        <f>IFERROR(__xludf.DUMMYFUNCTION("""COMPUTED_VALUE"""),0.0)</f>
        <v>0</v>
      </c>
      <c r="AU706" s="82"/>
      <c r="AV706" s="82"/>
      <c r="AW706" s="82" t="str">
        <f t="shared" si="1"/>
        <v/>
      </c>
      <c r="AX706" s="83" t="str">
        <f t="array" ref="AX706">IFERROR(DGET('SBV Import'!A:G,"SBV",{"RSC ID","Tier";B706,A706}))</f>
        <v/>
      </c>
      <c r="AY706" s="82" t="str">
        <f t="shared" si="2"/>
        <v/>
      </c>
      <c r="AZ706" s="82"/>
      <c r="BA706" s="84" t="s">
        <v>152</v>
      </c>
      <c r="BB706" s="84" t="str">
        <f>IFERROR(__xludf.DUMMYFUNCTION("iferror(if(A706="""",,E706&gt;=FILTER(Constants!$F$2:$F$10,Constants!$A$2:$A$10=A706)))"),"")</f>
        <v/>
      </c>
    </row>
    <row r="707">
      <c r="A707" s="80"/>
      <c r="B707" s="87"/>
      <c r="C707" s="73"/>
      <c r="D707" s="73"/>
      <c r="E707" s="82"/>
      <c r="F707" s="82"/>
      <c r="G707" s="82"/>
      <c r="H707" s="86"/>
      <c r="I707" s="86"/>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c r="AG707" s="82"/>
      <c r="AH707" s="82"/>
      <c r="AI707" s="82"/>
      <c r="AJ707" s="82"/>
      <c r="AK707" s="82"/>
      <c r="AL707" s="82"/>
      <c r="AM707" s="82"/>
      <c r="AN707" s="82">
        <f>IFERROR(__xludf.DUMMYFUNCTION("""COMPUTED_VALUE"""),0.0)</f>
        <v>0</v>
      </c>
      <c r="AO707" s="82">
        <f>IFERROR(__xludf.DUMMYFUNCTION("""COMPUTED_VALUE"""),0.0)</f>
        <v>0</v>
      </c>
      <c r="AP707" s="82">
        <f>IFERROR(__xludf.DUMMYFUNCTION("""COMPUTED_VALUE"""),0.0)</f>
        <v>0</v>
      </c>
      <c r="AQ707" s="82">
        <f>IFERROR(__xludf.DUMMYFUNCTION("""COMPUTED_VALUE"""),0.0)</f>
        <v>0</v>
      </c>
      <c r="AR707" s="82">
        <f>IFERROR(__xludf.DUMMYFUNCTION("""COMPUTED_VALUE"""),0.0)</f>
        <v>0</v>
      </c>
      <c r="AS707" s="82"/>
      <c r="AT707" s="82">
        <f>IFERROR(__xludf.DUMMYFUNCTION("""COMPUTED_VALUE"""),0.0)</f>
        <v>0</v>
      </c>
      <c r="AU707" s="82"/>
      <c r="AV707" s="82"/>
      <c r="AW707" s="82" t="str">
        <f t="shared" si="1"/>
        <v/>
      </c>
      <c r="AX707" s="83" t="str">
        <f t="array" ref="AX707">IFERROR(DGET('SBV Import'!A:G,"SBV",{"RSC ID","Tier";B707,A707}))</f>
        <v/>
      </c>
      <c r="AY707" s="82" t="str">
        <f t="shared" si="2"/>
        <v/>
      </c>
      <c r="AZ707" s="82"/>
      <c r="BA707" s="84" t="s">
        <v>152</v>
      </c>
      <c r="BB707" s="84" t="str">
        <f>IFERROR(__xludf.DUMMYFUNCTION("iferror(if(A707="""",,E707&gt;=FILTER(Constants!$F$2:$F$10,Constants!$A$2:$A$10=A707)))"),"")</f>
        <v/>
      </c>
    </row>
    <row r="708">
      <c r="A708" s="80"/>
      <c r="B708" s="87"/>
      <c r="C708" s="73"/>
      <c r="D708" s="73"/>
      <c r="E708" s="82"/>
      <c r="F708" s="82"/>
      <c r="G708" s="82"/>
      <c r="H708" s="86"/>
      <c r="I708" s="86"/>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c r="AG708" s="82"/>
      <c r="AH708" s="82"/>
      <c r="AI708" s="82"/>
      <c r="AJ708" s="82"/>
      <c r="AK708" s="82"/>
      <c r="AL708" s="82"/>
      <c r="AM708" s="82"/>
      <c r="AN708" s="82">
        <f>IFERROR(__xludf.DUMMYFUNCTION("""COMPUTED_VALUE"""),0.0)</f>
        <v>0</v>
      </c>
      <c r="AO708" s="82">
        <f>IFERROR(__xludf.DUMMYFUNCTION("""COMPUTED_VALUE"""),0.0)</f>
        <v>0</v>
      </c>
      <c r="AP708" s="82">
        <f>IFERROR(__xludf.DUMMYFUNCTION("""COMPUTED_VALUE"""),0.0)</f>
        <v>0</v>
      </c>
      <c r="AQ708" s="82">
        <f>IFERROR(__xludf.DUMMYFUNCTION("""COMPUTED_VALUE"""),0.0)</f>
        <v>0</v>
      </c>
      <c r="AR708" s="82">
        <f>IFERROR(__xludf.DUMMYFUNCTION("""COMPUTED_VALUE"""),0.0)</f>
        <v>0</v>
      </c>
      <c r="AS708" s="82"/>
      <c r="AT708" s="82">
        <f>IFERROR(__xludf.DUMMYFUNCTION("""COMPUTED_VALUE"""),0.0)</f>
        <v>0</v>
      </c>
      <c r="AU708" s="82"/>
      <c r="AV708" s="82"/>
      <c r="AW708" s="82" t="str">
        <f t="shared" si="1"/>
        <v/>
      </c>
      <c r="AX708" s="83" t="str">
        <f t="array" ref="AX708">IFERROR(DGET('SBV Import'!A:G,"SBV",{"RSC ID","Tier";B708,A708}))</f>
        <v/>
      </c>
      <c r="AY708" s="82" t="str">
        <f t="shared" si="2"/>
        <v/>
      </c>
      <c r="AZ708" s="82"/>
      <c r="BA708" s="84" t="s">
        <v>152</v>
      </c>
      <c r="BB708" s="84" t="str">
        <f>IFERROR(__xludf.DUMMYFUNCTION("iferror(if(A708="""",,E708&gt;=FILTER(Constants!$F$2:$F$10,Constants!$A$2:$A$10=A708)))"),"")</f>
        <v/>
      </c>
    </row>
    <row r="709">
      <c r="A709" s="80"/>
      <c r="B709" s="87"/>
      <c r="C709" s="73"/>
      <c r="D709" s="73"/>
      <c r="E709" s="82"/>
      <c r="F709" s="82"/>
      <c r="G709" s="82"/>
      <c r="H709" s="86"/>
      <c r="I709" s="86"/>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c r="AG709" s="82"/>
      <c r="AH709" s="82"/>
      <c r="AI709" s="82"/>
      <c r="AJ709" s="82"/>
      <c r="AK709" s="82"/>
      <c r="AL709" s="82"/>
      <c r="AM709" s="82"/>
      <c r="AN709" s="82">
        <f>IFERROR(__xludf.DUMMYFUNCTION("""COMPUTED_VALUE"""),0.0)</f>
        <v>0</v>
      </c>
      <c r="AO709" s="82">
        <f>IFERROR(__xludf.DUMMYFUNCTION("""COMPUTED_VALUE"""),0.0)</f>
        <v>0</v>
      </c>
      <c r="AP709" s="82">
        <f>IFERROR(__xludf.DUMMYFUNCTION("""COMPUTED_VALUE"""),0.0)</f>
        <v>0</v>
      </c>
      <c r="AQ709" s="82">
        <f>IFERROR(__xludf.DUMMYFUNCTION("""COMPUTED_VALUE"""),0.0)</f>
        <v>0</v>
      </c>
      <c r="AR709" s="82">
        <f>IFERROR(__xludf.DUMMYFUNCTION("""COMPUTED_VALUE"""),0.0)</f>
        <v>0</v>
      </c>
      <c r="AS709" s="82"/>
      <c r="AT709" s="82">
        <f>IFERROR(__xludf.DUMMYFUNCTION("""COMPUTED_VALUE"""),0.0)</f>
        <v>0</v>
      </c>
      <c r="AU709" s="82"/>
      <c r="AV709" s="82"/>
      <c r="AW709" s="82" t="str">
        <f t="shared" si="1"/>
        <v/>
      </c>
      <c r="AX709" s="83" t="str">
        <f t="array" ref="AX709">IFERROR(DGET('SBV Import'!A:G,"SBV",{"RSC ID","Tier";B709,A709}))</f>
        <v/>
      </c>
      <c r="AY709" s="82" t="str">
        <f t="shared" si="2"/>
        <v/>
      </c>
      <c r="AZ709" s="82"/>
      <c r="BA709" s="84" t="s">
        <v>152</v>
      </c>
      <c r="BB709" s="84" t="str">
        <f>IFERROR(__xludf.DUMMYFUNCTION("iferror(if(A709="""",,E709&gt;=FILTER(Constants!$F$2:$F$10,Constants!$A$2:$A$10=A709)))"),"")</f>
        <v/>
      </c>
    </row>
    <row r="710">
      <c r="A710" s="80"/>
      <c r="B710" s="87"/>
      <c r="C710" s="73"/>
      <c r="D710" s="73"/>
      <c r="E710" s="82"/>
      <c r="F710" s="82"/>
      <c r="G710" s="82"/>
      <c r="H710" s="86"/>
      <c r="I710" s="86"/>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c r="AH710" s="82"/>
      <c r="AI710" s="82"/>
      <c r="AJ710" s="82"/>
      <c r="AK710" s="82"/>
      <c r="AL710" s="82"/>
      <c r="AM710" s="82"/>
      <c r="AN710" s="82">
        <f>IFERROR(__xludf.DUMMYFUNCTION("""COMPUTED_VALUE"""),0.0)</f>
        <v>0</v>
      </c>
      <c r="AO710" s="82">
        <f>IFERROR(__xludf.DUMMYFUNCTION("""COMPUTED_VALUE"""),0.0)</f>
        <v>0</v>
      </c>
      <c r="AP710" s="82">
        <f>IFERROR(__xludf.DUMMYFUNCTION("""COMPUTED_VALUE"""),0.0)</f>
        <v>0</v>
      </c>
      <c r="AQ710" s="82">
        <f>IFERROR(__xludf.DUMMYFUNCTION("""COMPUTED_VALUE"""),0.0)</f>
        <v>0</v>
      </c>
      <c r="AR710" s="82">
        <f>IFERROR(__xludf.DUMMYFUNCTION("""COMPUTED_VALUE"""),0.0)</f>
        <v>0</v>
      </c>
      <c r="AS710" s="82"/>
      <c r="AT710" s="82">
        <f>IFERROR(__xludf.DUMMYFUNCTION("""COMPUTED_VALUE"""),0.0)</f>
        <v>0</v>
      </c>
      <c r="AU710" s="82"/>
      <c r="AV710" s="82"/>
      <c r="AW710" s="82" t="str">
        <f t="shared" si="1"/>
        <v/>
      </c>
      <c r="AX710" s="83" t="str">
        <f t="array" ref="AX710">IFERROR(DGET('SBV Import'!A:G,"SBV",{"RSC ID","Tier";B710,A710}))</f>
        <v/>
      </c>
      <c r="AY710" s="82" t="str">
        <f t="shared" si="2"/>
        <v/>
      </c>
      <c r="AZ710" s="82"/>
      <c r="BA710" s="84" t="s">
        <v>152</v>
      </c>
      <c r="BB710" s="84" t="str">
        <f>IFERROR(__xludf.DUMMYFUNCTION("iferror(if(A710="""",,E710&gt;=FILTER(Constants!$F$2:$F$10,Constants!$A$2:$A$10=A710)))"),"")</f>
        <v/>
      </c>
    </row>
    <row r="711">
      <c r="A711" s="80"/>
      <c r="B711" s="87"/>
      <c r="C711" s="73"/>
      <c r="D711" s="73"/>
      <c r="E711" s="82"/>
      <c r="F711" s="82"/>
      <c r="G711" s="82"/>
      <c r="H711" s="86"/>
      <c r="I711" s="86"/>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c r="AG711" s="82"/>
      <c r="AH711" s="82"/>
      <c r="AI711" s="82"/>
      <c r="AJ711" s="82"/>
      <c r="AK711" s="82"/>
      <c r="AL711" s="82"/>
      <c r="AM711" s="82"/>
      <c r="AN711" s="82">
        <f>IFERROR(__xludf.DUMMYFUNCTION("""COMPUTED_VALUE"""),0.0)</f>
        <v>0</v>
      </c>
      <c r="AO711" s="82">
        <f>IFERROR(__xludf.DUMMYFUNCTION("""COMPUTED_VALUE"""),0.0)</f>
        <v>0</v>
      </c>
      <c r="AP711" s="82">
        <f>IFERROR(__xludf.DUMMYFUNCTION("""COMPUTED_VALUE"""),0.0)</f>
        <v>0</v>
      </c>
      <c r="AQ711" s="82">
        <f>IFERROR(__xludf.DUMMYFUNCTION("""COMPUTED_VALUE"""),0.0)</f>
        <v>0</v>
      </c>
      <c r="AR711" s="82">
        <f>IFERROR(__xludf.DUMMYFUNCTION("""COMPUTED_VALUE"""),0.0)</f>
        <v>0</v>
      </c>
      <c r="AS711" s="82"/>
      <c r="AT711" s="82">
        <f>IFERROR(__xludf.DUMMYFUNCTION("""COMPUTED_VALUE"""),0.0)</f>
        <v>0</v>
      </c>
      <c r="AU711" s="82"/>
      <c r="AV711" s="82"/>
      <c r="AW711" s="82" t="str">
        <f t="shared" si="1"/>
        <v/>
      </c>
      <c r="AX711" s="83" t="str">
        <f t="array" ref="AX711">IFERROR(DGET('SBV Import'!A:G,"SBV",{"RSC ID","Tier";B711,A711}))</f>
        <v/>
      </c>
      <c r="AY711" s="82" t="str">
        <f t="shared" si="2"/>
        <v/>
      </c>
      <c r="AZ711" s="82"/>
      <c r="BA711" s="84" t="s">
        <v>152</v>
      </c>
      <c r="BB711" s="84" t="str">
        <f>IFERROR(__xludf.DUMMYFUNCTION("iferror(if(A711="""",,E711&gt;=FILTER(Constants!$F$2:$F$10,Constants!$A$2:$A$10=A711)))"),"")</f>
        <v/>
      </c>
    </row>
    <row r="712">
      <c r="A712" s="80"/>
      <c r="B712" s="87"/>
      <c r="C712" s="73"/>
      <c r="D712" s="73"/>
      <c r="E712" s="82"/>
      <c r="F712" s="82"/>
      <c r="G712" s="82"/>
      <c r="H712" s="86"/>
      <c r="I712" s="86"/>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82"/>
      <c r="AI712" s="82"/>
      <c r="AJ712" s="82"/>
      <c r="AK712" s="82"/>
      <c r="AL712" s="82"/>
      <c r="AM712" s="82"/>
      <c r="AN712" s="82">
        <f>IFERROR(__xludf.DUMMYFUNCTION("""COMPUTED_VALUE"""),0.0)</f>
        <v>0</v>
      </c>
      <c r="AO712" s="82">
        <f>IFERROR(__xludf.DUMMYFUNCTION("""COMPUTED_VALUE"""),0.0)</f>
        <v>0</v>
      </c>
      <c r="AP712" s="82">
        <f>IFERROR(__xludf.DUMMYFUNCTION("""COMPUTED_VALUE"""),0.0)</f>
        <v>0</v>
      </c>
      <c r="AQ712" s="82">
        <f>IFERROR(__xludf.DUMMYFUNCTION("""COMPUTED_VALUE"""),0.0)</f>
        <v>0</v>
      </c>
      <c r="AR712" s="82">
        <f>IFERROR(__xludf.DUMMYFUNCTION("""COMPUTED_VALUE"""),0.0)</f>
        <v>0</v>
      </c>
      <c r="AS712" s="82"/>
      <c r="AT712" s="82">
        <f>IFERROR(__xludf.DUMMYFUNCTION("""COMPUTED_VALUE"""),0.0)</f>
        <v>0</v>
      </c>
      <c r="AU712" s="82"/>
      <c r="AV712" s="82"/>
      <c r="AW712" s="82" t="str">
        <f t="shared" si="1"/>
        <v/>
      </c>
      <c r="AX712" s="83" t="str">
        <f t="array" ref="AX712">IFERROR(DGET('SBV Import'!A:G,"SBV",{"RSC ID","Tier";B712,A712}))</f>
        <v/>
      </c>
      <c r="AY712" s="82" t="str">
        <f t="shared" si="2"/>
        <v/>
      </c>
      <c r="AZ712" s="82"/>
      <c r="BA712" s="84" t="s">
        <v>152</v>
      </c>
      <c r="BB712" s="84" t="str">
        <f>IFERROR(__xludf.DUMMYFUNCTION("iferror(if(A712="""",,E712&gt;=FILTER(Constants!$F$2:$F$10,Constants!$A$2:$A$10=A712)))"),"")</f>
        <v/>
      </c>
    </row>
    <row r="713">
      <c r="A713" s="80"/>
      <c r="B713" s="87"/>
      <c r="C713" s="73"/>
      <c r="D713" s="73"/>
      <c r="E713" s="82"/>
      <c r="F713" s="82"/>
      <c r="G713" s="82"/>
      <c r="H713" s="86"/>
      <c r="I713" s="86"/>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c r="AG713" s="82"/>
      <c r="AH713" s="82"/>
      <c r="AI713" s="82"/>
      <c r="AJ713" s="82"/>
      <c r="AK713" s="82"/>
      <c r="AL713" s="82"/>
      <c r="AM713" s="82"/>
      <c r="AN713" s="82">
        <f>IFERROR(__xludf.DUMMYFUNCTION("""COMPUTED_VALUE"""),0.0)</f>
        <v>0</v>
      </c>
      <c r="AO713" s="82">
        <f>IFERROR(__xludf.DUMMYFUNCTION("""COMPUTED_VALUE"""),0.0)</f>
        <v>0</v>
      </c>
      <c r="AP713" s="82">
        <f>IFERROR(__xludf.DUMMYFUNCTION("""COMPUTED_VALUE"""),0.0)</f>
        <v>0</v>
      </c>
      <c r="AQ713" s="82">
        <f>IFERROR(__xludf.DUMMYFUNCTION("""COMPUTED_VALUE"""),0.0)</f>
        <v>0</v>
      </c>
      <c r="AR713" s="82">
        <f>IFERROR(__xludf.DUMMYFUNCTION("""COMPUTED_VALUE"""),0.0)</f>
        <v>0</v>
      </c>
      <c r="AS713" s="82"/>
      <c r="AT713" s="82">
        <f>IFERROR(__xludf.DUMMYFUNCTION("""COMPUTED_VALUE"""),0.0)</f>
        <v>0</v>
      </c>
      <c r="AU713" s="82"/>
      <c r="AV713" s="82"/>
      <c r="AW713" s="82" t="str">
        <f t="shared" si="1"/>
        <v/>
      </c>
      <c r="AX713" s="83" t="str">
        <f t="array" ref="AX713">IFERROR(DGET('SBV Import'!A:G,"SBV",{"RSC ID","Tier";B713,A713}))</f>
        <v/>
      </c>
      <c r="AY713" s="82" t="str">
        <f t="shared" si="2"/>
        <v/>
      </c>
      <c r="AZ713" s="82"/>
      <c r="BA713" s="84" t="s">
        <v>152</v>
      </c>
      <c r="BB713" s="84" t="str">
        <f>IFERROR(__xludf.DUMMYFUNCTION("iferror(if(A713="""",,E713&gt;=FILTER(Constants!$F$2:$F$10,Constants!$A$2:$A$10=A713)))"),"")</f>
        <v/>
      </c>
    </row>
    <row r="714">
      <c r="A714" s="80"/>
      <c r="B714" s="87"/>
      <c r="C714" s="73"/>
      <c r="D714" s="73"/>
      <c r="E714" s="82"/>
      <c r="F714" s="82"/>
      <c r="G714" s="82"/>
      <c r="H714" s="86"/>
      <c r="I714" s="86"/>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c r="AG714" s="82"/>
      <c r="AH714" s="82"/>
      <c r="AI714" s="82"/>
      <c r="AJ714" s="82"/>
      <c r="AK714" s="82"/>
      <c r="AL714" s="82"/>
      <c r="AM714" s="82"/>
      <c r="AN714" s="82">
        <f>IFERROR(__xludf.DUMMYFUNCTION("""COMPUTED_VALUE"""),0.0)</f>
        <v>0</v>
      </c>
      <c r="AO714" s="82">
        <f>IFERROR(__xludf.DUMMYFUNCTION("""COMPUTED_VALUE"""),0.0)</f>
        <v>0</v>
      </c>
      <c r="AP714" s="82">
        <f>IFERROR(__xludf.DUMMYFUNCTION("""COMPUTED_VALUE"""),0.0)</f>
        <v>0</v>
      </c>
      <c r="AQ714" s="82">
        <f>IFERROR(__xludf.DUMMYFUNCTION("""COMPUTED_VALUE"""),0.0)</f>
        <v>0</v>
      </c>
      <c r="AR714" s="82">
        <f>IFERROR(__xludf.DUMMYFUNCTION("""COMPUTED_VALUE"""),0.0)</f>
        <v>0</v>
      </c>
      <c r="AS714" s="82"/>
      <c r="AT714" s="82">
        <f>IFERROR(__xludf.DUMMYFUNCTION("""COMPUTED_VALUE"""),0.0)</f>
        <v>0</v>
      </c>
      <c r="AU714" s="82"/>
      <c r="AV714" s="82"/>
      <c r="AW714" s="82" t="str">
        <f t="shared" si="1"/>
        <v/>
      </c>
      <c r="AX714" s="83" t="str">
        <f t="array" ref="AX714">IFERROR(DGET('SBV Import'!A:G,"SBV",{"RSC ID","Tier";B714,A714}))</f>
        <v/>
      </c>
      <c r="AY714" s="82" t="str">
        <f t="shared" si="2"/>
        <v/>
      </c>
      <c r="AZ714" s="82"/>
      <c r="BA714" s="84" t="s">
        <v>152</v>
      </c>
      <c r="BB714" s="84" t="str">
        <f>IFERROR(__xludf.DUMMYFUNCTION("iferror(if(A714="""",,E714&gt;=FILTER(Constants!$F$2:$F$10,Constants!$A$2:$A$10=A714)))"),"")</f>
        <v/>
      </c>
    </row>
    <row r="715">
      <c r="A715" s="80"/>
      <c r="B715" s="87"/>
      <c r="C715" s="73"/>
      <c r="D715" s="73"/>
      <c r="E715" s="82"/>
      <c r="F715" s="82"/>
      <c r="G715" s="82"/>
      <c r="H715" s="86"/>
      <c r="I715" s="86"/>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c r="AG715" s="82"/>
      <c r="AH715" s="82"/>
      <c r="AI715" s="82"/>
      <c r="AJ715" s="82"/>
      <c r="AK715" s="82"/>
      <c r="AL715" s="82"/>
      <c r="AM715" s="82"/>
      <c r="AN715" s="82">
        <f>IFERROR(__xludf.DUMMYFUNCTION("""COMPUTED_VALUE"""),0.0)</f>
        <v>0</v>
      </c>
      <c r="AO715" s="82">
        <f>IFERROR(__xludf.DUMMYFUNCTION("""COMPUTED_VALUE"""),0.0)</f>
        <v>0</v>
      </c>
      <c r="AP715" s="82">
        <f>IFERROR(__xludf.DUMMYFUNCTION("""COMPUTED_VALUE"""),0.0)</f>
        <v>0</v>
      </c>
      <c r="AQ715" s="82">
        <f>IFERROR(__xludf.DUMMYFUNCTION("""COMPUTED_VALUE"""),0.0)</f>
        <v>0</v>
      </c>
      <c r="AR715" s="82">
        <f>IFERROR(__xludf.DUMMYFUNCTION("""COMPUTED_VALUE"""),0.0)</f>
        <v>0</v>
      </c>
      <c r="AS715" s="82"/>
      <c r="AT715" s="82">
        <f>IFERROR(__xludf.DUMMYFUNCTION("""COMPUTED_VALUE"""),0.0)</f>
        <v>0</v>
      </c>
      <c r="AU715" s="82"/>
      <c r="AV715" s="82"/>
      <c r="AW715" s="82" t="str">
        <f t="shared" si="1"/>
        <v/>
      </c>
      <c r="AX715" s="83" t="str">
        <f t="array" ref="AX715">IFERROR(DGET('SBV Import'!A:G,"SBV",{"RSC ID","Tier";B715,A715}))</f>
        <v/>
      </c>
      <c r="AY715" s="82" t="str">
        <f t="shared" si="2"/>
        <v/>
      </c>
      <c r="AZ715" s="82"/>
      <c r="BA715" s="84" t="s">
        <v>152</v>
      </c>
      <c r="BB715" s="84" t="str">
        <f>IFERROR(__xludf.DUMMYFUNCTION("iferror(if(A715="""",,E715&gt;=FILTER(Constants!$F$2:$F$10,Constants!$A$2:$A$10=A715)))"),"")</f>
        <v/>
      </c>
    </row>
    <row r="716">
      <c r="A716" s="80"/>
      <c r="B716" s="87"/>
      <c r="C716" s="73"/>
      <c r="D716" s="73"/>
      <c r="E716" s="82"/>
      <c r="F716" s="82"/>
      <c r="G716" s="82"/>
      <c r="H716" s="86"/>
      <c r="I716" s="86"/>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c r="AG716" s="82"/>
      <c r="AH716" s="82"/>
      <c r="AI716" s="82"/>
      <c r="AJ716" s="82"/>
      <c r="AK716" s="82"/>
      <c r="AL716" s="82"/>
      <c r="AM716" s="82"/>
      <c r="AN716" s="82">
        <f>IFERROR(__xludf.DUMMYFUNCTION("""COMPUTED_VALUE"""),0.0)</f>
        <v>0</v>
      </c>
      <c r="AO716" s="82">
        <f>IFERROR(__xludf.DUMMYFUNCTION("""COMPUTED_VALUE"""),0.0)</f>
        <v>0</v>
      </c>
      <c r="AP716" s="82">
        <f>IFERROR(__xludf.DUMMYFUNCTION("""COMPUTED_VALUE"""),0.0)</f>
        <v>0</v>
      </c>
      <c r="AQ716" s="82">
        <f>IFERROR(__xludf.DUMMYFUNCTION("""COMPUTED_VALUE"""),0.0)</f>
        <v>0</v>
      </c>
      <c r="AR716" s="82">
        <f>IFERROR(__xludf.DUMMYFUNCTION("""COMPUTED_VALUE"""),0.0)</f>
        <v>0</v>
      </c>
      <c r="AS716" s="82"/>
      <c r="AT716" s="82">
        <f>IFERROR(__xludf.DUMMYFUNCTION("""COMPUTED_VALUE"""),0.0)</f>
        <v>0</v>
      </c>
      <c r="AU716" s="82"/>
      <c r="AV716" s="82"/>
      <c r="AW716" s="82" t="str">
        <f t="shared" si="1"/>
        <v/>
      </c>
      <c r="AX716" s="83" t="str">
        <f t="array" ref="AX716">IFERROR(DGET('SBV Import'!A:G,"SBV",{"RSC ID","Tier";B716,A716}))</f>
        <v/>
      </c>
      <c r="AY716" s="82" t="str">
        <f t="shared" si="2"/>
        <v/>
      </c>
      <c r="AZ716" s="82"/>
      <c r="BA716" s="84" t="s">
        <v>152</v>
      </c>
      <c r="BB716" s="84" t="str">
        <f>IFERROR(__xludf.DUMMYFUNCTION("iferror(if(A716="""",,E716&gt;=FILTER(Constants!$F$2:$F$10,Constants!$A$2:$A$10=A716)))"),"")</f>
        <v/>
      </c>
    </row>
    <row r="717">
      <c r="A717" s="80"/>
      <c r="B717" s="87"/>
      <c r="C717" s="73"/>
      <c r="D717" s="73"/>
      <c r="E717" s="82"/>
      <c r="F717" s="82"/>
      <c r="G717" s="82"/>
      <c r="H717" s="86"/>
      <c r="I717" s="86"/>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c r="AG717" s="82"/>
      <c r="AH717" s="82"/>
      <c r="AI717" s="82"/>
      <c r="AJ717" s="82"/>
      <c r="AK717" s="82"/>
      <c r="AL717" s="82"/>
      <c r="AM717" s="82"/>
      <c r="AN717" s="82">
        <f>IFERROR(__xludf.DUMMYFUNCTION("""COMPUTED_VALUE"""),0.0)</f>
        <v>0</v>
      </c>
      <c r="AO717" s="82">
        <f>IFERROR(__xludf.DUMMYFUNCTION("""COMPUTED_VALUE"""),0.0)</f>
        <v>0</v>
      </c>
      <c r="AP717" s="82">
        <f>IFERROR(__xludf.DUMMYFUNCTION("""COMPUTED_VALUE"""),0.0)</f>
        <v>0</v>
      </c>
      <c r="AQ717" s="82">
        <f>IFERROR(__xludf.DUMMYFUNCTION("""COMPUTED_VALUE"""),0.0)</f>
        <v>0</v>
      </c>
      <c r="AR717" s="82">
        <f>IFERROR(__xludf.DUMMYFUNCTION("""COMPUTED_VALUE"""),0.0)</f>
        <v>0</v>
      </c>
      <c r="AS717" s="82"/>
      <c r="AT717" s="82">
        <f>IFERROR(__xludf.DUMMYFUNCTION("""COMPUTED_VALUE"""),0.0)</f>
        <v>0</v>
      </c>
      <c r="AU717" s="82"/>
      <c r="AV717" s="82"/>
      <c r="AW717" s="82" t="str">
        <f t="shared" si="1"/>
        <v/>
      </c>
      <c r="AX717" s="83" t="str">
        <f t="array" ref="AX717">IFERROR(DGET('SBV Import'!A:G,"SBV",{"RSC ID","Tier";B717,A717}))</f>
        <v/>
      </c>
      <c r="AY717" s="82" t="str">
        <f t="shared" si="2"/>
        <v/>
      </c>
      <c r="AZ717" s="82"/>
      <c r="BA717" s="84" t="s">
        <v>152</v>
      </c>
      <c r="BB717" s="84" t="str">
        <f>IFERROR(__xludf.DUMMYFUNCTION("iferror(if(A717="""",,E717&gt;=FILTER(Constants!$F$2:$F$10,Constants!$A$2:$A$10=A717)))"),"")</f>
        <v/>
      </c>
    </row>
    <row r="718">
      <c r="A718" s="80"/>
      <c r="B718" s="87"/>
      <c r="C718" s="73"/>
      <c r="D718" s="73"/>
      <c r="E718" s="82"/>
      <c r="F718" s="82"/>
      <c r="G718" s="82"/>
      <c r="H718" s="86"/>
      <c r="I718" s="86"/>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c r="AG718" s="82"/>
      <c r="AH718" s="82"/>
      <c r="AI718" s="82"/>
      <c r="AJ718" s="82"/>
      <c r="AK718" s="82"/>
      <c r="AL718" s="82"/>
      <c r="AM718" s="82"/>
      <c r="AN718" s="82">
        <f>IFERROR(__xludf.DUMMYFUNCTION("""COMPUTED_VALUE"""),0.0)</f>
        <v>0</v>
      </c>
      <c r="AO718" s="82">
        <f>IFERROR(__xludf.DUMMYFUNCTION("""COMPUTED_VALUE"""),0.0)</f>
        <v>0</v>
      </c>
      <c r="AP718" s="82">
        <f>IFERROR(__xludf.DUMMYFUNCTION("""COMPUTED_VALUE"""),0.0)</f>
        <v>0</v>
      </c>
      <c r="AQ718" s="82">
        <f>IFERROR(__xludf.DUMMYFUNCTION("""COMPUTED_VALUE"""),0.0)</f>
        <v>0</v>
      </c>
      <c r="AR718" s="82">
        <f>IFERROR(__xludf.DUMMYFUNCTION("""COMPUTED_VALUE"""),0.0)</f>
        <v>0</v>
      </c>
      <c r="AS718" s="82"/>
      <c r="AT718" s="82">
        <f>IFERROR(__xludf.DUMMYFUNCTION("""COMPUTED_VALUE"""),0.0)</f>
        <v>0</v>
      </c>
      <c r="AU718" s="82"/>
      <c r="AV718" s="82"/>
      <c r="AW718" s="82" t="str">
        <f t="shared" si="1"/>
        <v/>
      </c>
      <c r="AX718" s="83" t="str">
        <f t="array" ref="AX718">IFERROR(DGET('SBV Import'!A:G,"SBV",{"RSC ID","Tier";B718,A718}))</f>
        <v/>
      </c>
      <c r="AY718" s="82" t="str">
        <f t="shared" si="2"/>
        <v/>
      </c>
      <c r="AZ718" s="82"/>
      <c r="BA718" s="84" t="s">
        <v>152</v>
      </c>
      <c r="BB718" s="84" t="str">
        <f>IFERROR(__xludf.DUMMYFUNCTION("iferror(if(A718="""",,E718&gt;=FILTER(Constants!$F$2:$F$10,Constants!$A$2:$A$10=A718)))"),"")</f>
        <v/>
      </c>
    </row>
    <row r="719">
      <c r="A719" s="80"/>
      <c r="B719" s="87"/>
      <c r="C719" s="73"/>
      <c r="D719" s="73"/>
      <c r="E719" s="82"/>
      <c r="F719" s="82"/>
      <c r="G719" s="82"/>
      <c r="H719" s="86"/>
      <c r="I719" s="86"/>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c r="AG719" s="82"/>
      <c r="AH719" s="82"/>
      <c r="AI719" s="82"/>
      <c r="AJ719" s="82"/>
      <c r="AK719" s="82"/>
      <c r="AL719" s="82"/>
      <c r="AM719" s="82"/>
      <c r="AN719" s="82">
        <f>IFERROR(__xludf.DUMMYFUNCTION("""COMPUTED_VALUE"""),0.0)</f>
        <v>0</v>
      </c>
      <c r="AO719" s="82">
        <f>IFERROR(__xludf.DUMMYFUNCTION("""COMPUTED_VALUE"""),0.0)</f>
        <v>0</v>
      </c>
      <c r="AP719" s="82">
        <f>IFERROR(__xludf.DUMMYFUNCTION("""COMPUTED_VALUE"""),0.0)</f>
        <v>0</v>
      </c>
      <c r="AQ719" s="82">
        <f>IFERROR(__xludf.DUMMYFUNCTION("""COMPUTED_VALUE"""),0.0)</f>
        <v>0</v>
      </c>
      <c r="AR719" s="82">
        <f>IFERROR(__xludf.DUMMYFUNCTION("""COMPUTED_VALUE"""),0.0)</f>
        <v>0</v>
      </c>
      <c r="AS719" s="82"/>
      <c r="AT719" s="82">
        <f>IFERROR(__xludf.DUMMYFUNCTION("""COMPUTED_VALUE"""),0.0)</f>
        <v>0</v>
      </c>
      <c r="AU719" s="82"/>
      <c r="AV719" s="82"/>
      <c r="AW719" s="82" t="str">
        <f t="shared" si="1"/>
        <v/>
      </c>
      <c r="AX719" s="83" t="str">
        <f t="array" ref="AX719">IFERROR(DGET('SBV Import'!A:G,"SBV",{"RSC ID","Tier";B719,A719}))</f>
        <v/>
      </c>
      <c r="AY719" s="82" t="str">
        <f t="shared" si="2"/>
        <v/>
      </c>
      <c r="AZ719" s="82"/>
      <c r="BA719" s="84" t="s">
        <v>152</v>
      </c>
      <c r="BB719" s="84" t="str">
        <f>IFERROR(__xludf.DUMMYFUNCTION("iferror(if(A719="""",,E719&gt;=FILTER(Constants!$F$2:$F$10,Constants!$A$2:$A$10=A719)))"),"")</f>
        <v/>
      </c>
    </row>
    <row r="720">
      <c r="A720" s="80"/>
      <c r="B720" s="87"/>
      <c r="C720" s="73"/>
      <c r="D720" s="73"/>
      <c r="E720" s="82"/>
      <c r="F720" s="82"/>
      <c r="G720" s="82"/>
      <c r="H720" s="86"/>
      <c r="I720" s="86"/>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c r="AG720" s="82"/>
      <c r="AH720" s="82"/>
      <c r="AI720" s="82"/>
      <c r="AJ720" s="82"/>
      <c r="AK720" s="82"/>
      <c r="AL720" s="82"/>
      <c r="AM720" s="82"/>
      <c r="AN720" s="82">
        <f>IFERROR(__xludf.DUMMYFUNCTION("""COMPUTED_VALUE"""),0.0)</f>
        <v>0</v>
      </c>
      <c r="AO720" s="82">
        <f>IFERROR(__xludf.DUMMYFUNCTION("""COMPUTED_VALUE"""),0.0)</f>
        <v>0</v>
      </c>
      <c r="AP720" s="82">
        <f>IFERROR(__xludf.DUMMYFUNCTION("""COMPUTED_VALUE"""),0.0)</f>
        <v>0</v>
      </c>
      <c r="AQ720" s="82">
        <f>IFERROR(__xludf.DUMMYFUNCTION("""COMPUTED_VALUE"""),0.0)</f>
        <v>0</v>
      </c>
      <c r="AR720" s="82">
        <f>IFERROR(__xludf.DUMMYFUNCTION("""COMPUTED_VALUE"""),0.0)</f>
        <v>0</v>
      </c>
      <c r="AS720" s="82"/>
      <c r="AT720" s="82">
        <f>IFERROR(__xludf.DUMMYFUNCTION("""COMPUTED_VALUE"""),0.0)</f>
        <v>0</v>
      </c>
      <c r="AU720" s="82"/>
      <c r="AV720" s="82"/>
      <c r="AW720" s="82" t="str">
        <f t="shared" si="1"/>
        <v/>
      </c>
      <c r="AX720" s="83" t="str">
        <f t="array" ref="AX720">IFERROR(DGET('SBV Import'!A:G,"SBV",{"RSC ID","Tier";B720,A720}))</f>
        <v/>
      </c>
      <c r="AY720" s="82" t="str">
        <f t="shared" si="2"/>
        <v/>
      </c>
      <c r="AZ720" s="82"/>
      <c r="BA720" s="84" t="s">
        <v>152</v>
      </c>
      <c r="BB720" s="84" t="str">
        <f>IFERROR(__xludf.DUMMYFUNCTION("iferror(if(A720="""",,E720&gt;=FILTER(Constants!$F$2:$F$10,Constants!$A$2:$A$10=A720)))"),"")</f>
        <v/>
      </c>
    </row>
    <row r="721">
      <c r="A721" s="80"/>
      <c r="B721" s="87"/>
      <c r="C721" s="73"/>
      <c r="D721" s="73"/>
      <c r="E721" s="82"/>
      <c r="F721" s="82"/>
      <c r="G721" s="82"/>
      <c r="H721" s="86"/>
      <c r="I721" s="86"/>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c r="AG721" s="82"/>
      <c r="AH721" s="82"/>
      <c r="AI721" s="82"/>
      <c r="AJ721" s="82"/>
      <c r="AK721" s="82"/>
      <c r="AL721" s="82"/>
      <c r="AM721" s="82"/>
      <c r="AN721" s="82">
        <f>IFERROR(__xludf.DUMMYFUNCTION("""COMPUTED_VALUE"""),0.0)</f>
        <v>0</v>
      </c>
      <c r="AO721" s="82">
        <f>IFERROR(__xludf.DUMMYFUNCTION("""COMPUTED_VALUE"""),0.0)</f>
        <v>0</v>
      </c>
      <c r="AP721" s="82">
        <f>IFERROR(__xludf.DUMMYFUNCTION("""COMPUTED_VALUE"""),0.0)</f>
        <v>0</v>
      </c>
      <c r="AQ721" s="82">
        <f>IFERROR(__xludf.DUMMYFUNCTION("""COMPUTED_VALUE"""),0.0)</f>
        <v>0</v>
      </c>
      <c r="AR721" s="82">
        <f>IFERROR(__xludf.DUMMYFUNCTION("""COMPUTED_VALUE"""),0.0)</f>
        <v>0</v>
      </c>
      <c r="AS721" s="82"/>
      <c r="AT721" s="82">
        <f>IFERROR(__xludf.DUMMYFUNCTION("""COMPUTED_VALUE"""),0.0)</f>
        <v>0</v>
      </c>
      <c r="AU721" s="82"/>
      <c r="AV721" s="82"/>
      <c r="AW721" s="82" t="str">
        <f t="shared" si="1"/>
        <v/>
      </c>
      <c r="AX721" s="83" t="str">
        <f t="array" ref="AX721">IFERROR(DGET('SBV Import'!A:G,"SBV",{"RSC ID","Tier";B721,A721}))</f>
        <v/>
      </c>
      <c r="AY721" s="82" t="str">
        <f t="shared" si="2"/>
        <v/>
      </c>
      <c r="AZ721" s="82"/>
      <c r="BA721" s="84" t="s">
        <v>152</v>
      </c>
      <c r="BB721" s="84" t="str">
        <f>IFERROR(__xludf.DUMMYFUNCTION("iferror(if(A721="""",,E721&gt;=FILTER(Constants!$F$2:$F$10,Constants!$A$2:$A$10=A721)))"),"")</f>
        <v/>
      </c>
    </row>
    <row r="722">
      <c r="A722" s="80"/>
      <c r="B722" s="87"/>
      <c r="C722" s="73"/>
      <c r="D722" s="73"/>
      <c r="E722" s="82"/>
      <c r="F722" s="82"/>
      <c r="G722" s="82"/>
      <c r="H722" s="86"/>
      <c r="I722" s="86"/>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c r="AG722" s="82"/>
      <c r="AH722" s="82"/>
      <c r="AI722" s="82"/>
      <c r="AJ722" s="82"/>
      <c r="AK722" s="82"/>
      <c r="AL722" s="82"/>
      <c r="AM722" s="82"/>
      <c r="AN722" s="82">
        <f>IFERROR(__xludf.DUMMYFUNCTION("""COMPUTED_VALUE"""),0.0)</f>
        <v>0</v>
      </c>
      <c r="AO722" s="82">
        <f>IFERROR(__xludf.DUMMYFUNCTION("""COMPUTED_VALUE"""),0.0)</f>
        <v>0</v>
      </c>
      <c r="AP722" s="82">
        <f>IFERROR(__xludf.DUMMYFUNCTION("""COMPUTED_VALUE"""),0.0)</f>
        <v>0</v>
      </c>
      <c r="AQ722" s="82">
        <f>IFERROR(__xludf.DUMMYFUNCTION("""COMPUTED_VALUE"""),0.0)</f>
        <v>0</v>
      </c>
      <c r="AR722" s="82">
        <f>IFERROR(__xludf.DUMMYFUNCTION("""COMPUTED_VALUE"""),0.0)</f>
        <v>0</v>
      </c>
      <c r="AS722" s="82"/>
      <c r="AT722" s="82">
        <f>IFERROR(__xludf.DUMMYFUNCTION("""COMPUTED_VALUE"""),0.0)</f>
        <v>0</v>
      </c>
      <c r="AU722" s="82"/>
      <c r="AV722" s="82"/>
      <c r="AW722" s="82" t="str">
        <f t="shared" si="1"/>
        <v/>
      </c>
      <c r="AX722" s="83" t="str">
        <f t="array" ref="AX722">IFERROR(DGET('SBV Import'!A:G,"SBV",{"RSC ID","Tier";B722,A722}))</f>
        <v/>
      </c>
      <c r="AY722" s="82" t="str">
        <f t="shared" si="2"/>
        <v/>
      </c>
      <c r="AZ722" s="82"/>
      <c r="BA722" s="84" t="s">
        <v>152</v>
      </c>
      <c r="BB722" s="84" t="str">
        <f>IFERROR(__xludf.DUMMYFUNCTION("iferror(if(A722="""",,E722&gt;=FILTER(Constants!$F$2:$F$10,Constants!$A$2:$A$10=A722)))"),"")</f>
        <v/>
      </c>
    </row>
    <row r="723">
      <c r="A723" s="80"/>
      <c r="B723" s="87"/>
      <c r="C723" s="73"/>
      <c r="D723" s="73"/>
      <c r="E723" s="82"/>
      <c r="F723" s="82"/>
      <c r="G723" s="82"/>
      <c r="H723" s="86"/>
      <c r="I723" s="86"/>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c r="AG723" s="82"/>
      <c r="AH723" s="82"/>
      <c r="AI723" s="82"/>
      <c r="AJ723" s="82"/>
      <c r="AK723" s="82"/>
      <c r="AL723" s="82"/>
      <c r="AM723" s="82"/>
      <c r="AN723" s="82">
        <f>IFERROR(__xludf.DUMMYFUNCTION("""COMPUTED_VALUE"""),0.0)</f>
        <v>0</v>
      </c>
      <c r="AO723" s="82">
        <f>IFERROR(__xludf.DUMMYFUNCTION("""COMPUTED_VALUE"""),0.0)</f>
        <v>0</v>
      </c>
      <c r="AP723" s="82">
        <f>IFERROR(__xludf.DUMMYFUNCTION("""COMPUTED_VALUE"""),0.0)</f>
        <v>0</v>
      </c>
      <c r="AQ723" s="82">
        <f>IFERROR(__xludf.DUMMYFUNCTION("""COMPUTED_VALUE"""),0.0)</f>
        <v>0</v>
      </c>
      <c r="AR723" s="82">
        <f>IFERROR(__xludf.DUMMYFUNCTION("""COMPUTED_VALUE"""),0.0)</f>
        <v>0</v>
      </c>
      <c r="AS723" s="82"/>
      <c r="AT723" s="82">
        <f>IFERROR(__xludf.DUMMYFUNCTION("""COMPUTED_VALUE"""),0.0)</f>
        <v>0</v>
      </c>
      <c r="AU723" s="82"/>
      <c r="AV723" s="82"/>
      <c r="AW723" s="82" t="str">
        <f t="shared" si="1"/>
        <v/>
      </c>
      <c r="AX723" s="83" t="str">
        <f t="array" ref="AX723">IFERROR(DGET('SBV Import'!A:G,"SBV",{"RSC ID","Tier";B723,A723}))</f>
        <v/>
      </c>
      <c r="AY723" s="82" t="str">
        <f t="shared" si="2"/>
        <v/>
      </c>
      <c r="AZ723" s="82"/>
      <c r="BA723" s="84" t="s">
        <v>152</v>
      </c>
      <c r="BB723" s="84" t="str">
        <f>IFERROR(__xludf.DUMMYFUNCTION("iferror(if(A723="""",,E723&gt;=FILTER(Constants!$F$2:$F$10,Constants!$A$2:$A$10=A723)))"),"")</f>
        <v/>
      </c>
    </row>
    <row r="724">
      <c r="A724" s="80"/>
      <c r="B724" s="87"/>
      <c r="C724" s="73"/>
      <c r="D724" s="73"/>
      <c r="E724" s="82"/>
      <c r="F724" s="82"/>
      <c r="G724" s="82"/>
      <c r="H724" s="86"/>
      <c r="I724" s="86"/>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c r="AG724" s="82"/>
      <c r="AH724" s="82"/>
      <c r="AI724" s="82"/>
      <c r="AJ724" s="82"/>
      <c r="AK724" s="82"/>
      <c r="AL724" s="82"/>
      <c r="AM724" s="82"/>
      <c r="AN724" s="82">
        <f>IFERROR(__xludf.DUMMYFUNCTION("""COMPUTED_VALUE"""),0.0)</f>
        <v>0</v>
      </c>
      <c r="AO724" s="82">
        <f>IFERROR(__xludf.DUMMYFUNCTION("""COMPUTED_VALUE"""),0.0)</f>
        <v>0</v>
      </c>
      <c r="AP724" s="82">
        <f>IFERROR(__xludf.DUMMYFUNCTION("""COMPUTED_VALUE"""),0.0)</f>
        <v>0</v>
      </c>
      <c r="AQ724" s="82">
        <f>IFERROR(__xludf.DUMMYFUNCTION("""COMPUTED_VALUE"""),0.0)</f>
        <v>0</v>
      </c>
      <c r="AR724" s="82">
        <f>IFERROR(__xludf.DUMMYFUNCTION("""COMPUTED_VALUE"""),0.0)</f>
        <v>0</v>
      </c>
      <c r="AS724" s="82"/>
      <c r="AT724" s="82">
        <f>IFERROR(__xludf.DUMMYFUNCTION("""COMPUTED_VALUE"""),0.0)</f>
        <v>0</v>
      </c>
      <c r="AU724" s="82"/>
      <c r="AV724" s="82"/>
      <c r="AW724" s="82" t="str">
        <f t="shared" si="1"/>
        <v/>
      </c>
      <c r="AX724" s="83" t="str">
        <f t="array" ref="AX724">IFERROR(DGET('SBV Import'!A:G,"SBV",{"RSC ID","Tier";B724,A724}))</f>
        <v/>
      </c>
      <c r="AY724" s="82" t="str">
        <f t="shared" si="2"/>
        <v/>
      </c>
      <c r="AZ724" s="82"/>
      <c r="BA724" s="84" t="s">
        <v>152</v>
      </c>
      <c r="BB724" s="84" t="str">
        <f>IFERROR(__xludf.DUMMYFUNCTION("iferror(if(A724="""",,E724&gt;=FILTER(Constants!$F$2:$F$10,Constants!$A$2:$A$10=A724)))"),"")</f>
        <v/>
      </c>
    </row>
    <row r="725">
      <c r="A725" s="80"/>
      <c r="B725" s="73"/>
      <c r="C725" s="73"/>
      <c r="D725" s="73"/>
      <c r="E725" s="82"/>
      <c r="F725" s="82"/>
      <c r="G725" s="82"/>
      <c r="H725" s="86"/>
      <c r="I725" s="86"/>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c r="AG725" s="82"/>
      <c r="AH725" s="82"/>
      <c r="AI725" s="82"/>
      <c r="AJ725" s="82"/>
      <c r="AK725" s="82"/>
      <c r="AL725" s="82"/>
      <c r="AM725" s="82"/>
      <c r="AN725" s="82">
        <f>IFERROR(__xludf.DUMMYFUNCTION("""COMPUTED_VALUE"""),0.0)</f>
        <v>0</v>
      </c>
      <c r="AO725" s="82">
        <f>IFERROR(__xludf.DUMMYFUNCTION("""COMPUTED_VALUE"""),0.0)</f>
        <v>0</v>
      </c>
      <c r="AP725" s="82">
        <f>IFERROR(__xludf.DUMMYFUNCTION("""COMPUTED_VALUE"""),0.0)</f>
        <v>0</v>
      </c>
      <c r="AQ725" s="82">
        <f>IFERROR(__xludf.DUMMYFUNCTION("""COMPUTED_VALUE"""),0.0)</f>
        <v>0</v>
      </c>
      <c r="AR725" s="82">
        <f>IFERROR(__xludf.DUMMYFUNCTION("""COMPUTED_VALUE"""),0.0)</f>
        <v>0</v>
      </c>
      <c r="AS725" s="82"/>
      <c r="AT725" s="82">
        <f>IFERROR(__xludf.DUMMYFUNCTION("""COMPUTED_VALUE"""),0.0)</f>
        <v>0</v>
      </c>
      <c r="AU725" s="82"/>
      <c r="AV725" s="82"/>
      <c r="AW725" s="82" t="str">
        <f t="shared" si="1"/>
        <v/>
      </c>
      <c r="AX725" s="83" t="str">
        <f t="array" ref="AX725">IFERROR(DGET('SBV Import'!A:G,"SBV",{"RSC ID","Tier";B725,A725}))</f>
        <v/>
      </c>
      <c r="AY725" s="82" t="str">
        <f t="shared" si="2"/>
        <v/>
      </c>
      <c r="AZ725" s="82"/>
      <c r="BA725" s="84" t="s">
        <v>152</v>
      </c>
      <c r="BB725" s="84" t="str">
        <f>IFERROR(__xludf.DUMMYFUNCTION("iferror(if(A725="""",,E725&gt;=FILTER(Constants!$F$2:$F$10,Constants!$A$2:$A$10=A725)))"),"")</f>
        <v/>
      </c>
    </row>
    <row r="726">
      <c r="A726" s="80"/>
      <c r="B726" s="73"/>
      <c r="C726" s="73"/>
      <c r="D726" s="73"/>
      <c r="E726" s="82"/>
      <c r="F726" s="82"/>
      <c r="G726" s="82"/>
      <c r="H726" s="86"/>
      <c r="I726" s="86"/>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c r="AG726" s="82"/>
      <c r="AH726" s="82"/>
      <c r="AI726" s="82"/>
      <c r="AJ726" s="82"/>
      <c r="AK726" s="82"/>
      <c r="AL726" s="82"/>
      <c r="AM726" s="82"/>
      <c r="AN726" s="82">
        <f>IFERROR(__xludf.DUMMYFUNCTION("""COMPUTED_VALUE"""),0.0)</f>
        <v>0</v>
      </c>
      <c r="AO726" s="82">
        <f>IFERROR(__xludf.DUMMYFUNCTION("""COMPUTED_VALUE"""),0.0)</f>
        <v>0</v>
      </c>
      <c r="AP726" s="82">
        <f>IFERROR(__xludf.DUMMYFUNCTION("""COMPUTED_VALUE"""),0.0)</f>
        <v>0</v>
      </c>
      <c r="AQ726" s="82">
        <f>IFERROR(__xludf.DUMMYFUNCTION("""COMPUTED_VALUE"""),0.0)</f>
        <v>0</v>
      </c>
      <c r="AR726" s="82">
        <f>IFERROR(__xludf.DUMMYFUNCTION("""COMPUTED_VALUE"""),0.0)</f>
        <v>0</v>
      </c>
      <c r="AS726" s="82"/>
      <c r="AT726" s="82">
        <f>IFERROR(__xludf.DUMMYFUNCTION("""COMPUTED_VALUE"""),0.0)</f>
        <v>0</v>
      </c>
      <c r="AU726" s="82"/>
      <c r="AV726" s="82"/>
      <c r="AW726" s="82" t="str">
        <f t="shared" si="1"/>
        <v/>
      </c>
      <c r="AX726" s="83" t="str">
        <f t="array" ref="AX726">IFERROR(DGET('SBV Import'!A:G,"SBV",{"RSC ID","Tier";B726,A726}))</f>
        <v/>
      </c>
      <c r="AY726" s="82" t="str">
        <f t="shared" si="2"/>
        <v/>
      </c>
      <c r="AZ726" s="82"/>
      <c r="BA726" s="84" t="s">
        <v>152</v>
      </c>
      <c r="BB726" s="84" t="str">
        <f>IFERROR(__xludf.DUMMYFUNCTION("iferror(if(A726="""",,E726&gt;=FILTER(Constants!$F$2:$F$10,Constants!$A$2:$A$10=A726)))"),"")</f>
        <v/>
      </c>
    </row>
    <row r="727">
      <c r="A727" s="80"/>
      <c r="B727" s="73"/>
      <c r="C727" s="73"/>
      <c r="D727" s="73"/>
      <c r="E727" s="82"/>
      <c r="F727" s="82"/>
      <c r="G727" s="82"/>
      <c r="H727" s="86"/>
      <c r="I727" s="86"/>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c r="AG727" s="82"/>
      <c r="AH727" s="82"/>
      <c r="AI727" s="82"/>
      <c r="AJ727" s="82"/>
      <c r="AK727" s="82"/>
      <c r="AL727" s="82"/>
      <c r="AM727" s="82"/>
      <c r="AN727" s="82">
        <f>IFERROR(__xludf.DUMMYFUNCTION("""COMPUTED_VALUE"""),0.0)</f>
        <v>0</v>
      </c>
      <c r="AO727" s="82">
        <f>IFERROR(__xludf.DUMMYFUNCTION("""COMPUTED_VALUE"""),0.0)</f>
        <v>0</v>
      </c>
      <c r="AP727" s="82">
        <f>IFERROR(__xludf.DUMMYFUNCTION("""COMPUTED_VALUE"""),0.0)</f>
        <v>0</v>
      </c>
      <c r="AQ727" s="82">
        <f>IFERROR(__xludf.DUMMYFUNCTION("""COMPUTED_VALUE"""),0.0)</f>
        <v>0</v>
      </c>
      <c r="AR727" s="82">
        <f>IFERROR(__xludf.DUMMYFUNCTION("""COMPUTED_VALUE"""),0.0)</f>
        <v>0</v>
      </c>
      <c r="AS727" s="82"/>
      <c r="AT727" s="82">
        <f>IFERROR(__xludf.DUMMYFUNCTION("""COMPUTED_VALUE"""),0.0)</f>
        <v>0</v>
      </c>
      <c r="AU727" s="82"/>
      <c r="AV727" s="82"/>
      <c r="AW727" s="82" t="str">
        <f t="shared" si="1"/>
        <v/>
      </c>
      <c r="AX727" s="83" t="str">
        <f t="array" ref="AX727">IFERROR(DGET('SBV Import'!A:G,"SBV",{"RSC ID","Tier";B727,A727}))</f>
        <v/>
      </c>
      <c r="AY727" s="82" t="str">
        <f t="shared" si="2"/>
        <v/>
      </c>
      <c r="AZ727" s="82"/>
      <c r="BA727" s="84" t="s">
        <v>152</v>
      </c>
      <c r="BB727" s="84" t="str">
        <f>IFERROR(__xludf.DUMMYFUNCTION("iferror(if(A727="""",,E727&gt;=FILTER(Constants!$F$2:$F$10,Constants!$A$2:$A$10=A727)))"),"")</f>
        <v/>
      </c>
    </row>
    <row r="728">
      <c r="A728" s="80"/>
      <c r="B728" s="73"/>
      <c r="C728" s="73"/>
      <c r="D728" s="73"/>
      <c r="E728" s="82"/>
      <c r="F728" s="82"/>
      <c r="G728" s="82"/>
      <c r="H728" s="86"/>
      <c r="I728" s="86"/>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c r="AG728" s="82"/>
      <c r="AH728" s="82"/>
      <c r="AI728" s="82"/>
      <c r="AJ728" s="82"/>
      <c r="AK728" s="82"/>
      <c r="AL728" s="82"/>
      <c r="AM728" s="82"/>
      <c r="AN728" s="82">
        <f>IFERROR(__xludf.DUMMYFUNCTION("""COMPUTED_VALUE"""),0.0)</f>
        <v>0</v>
      </c>
      <c r="AO728" s="82">
        <f>IFERROR(__xludf.DUMMYFUNCTION("""COMPUTED_VALUE"""),0.0)</f>
        <v>0</v>
      </c>
      <c r="AP728" s="82">
        <f>IFERROR(__xludf.DUMMYFUNCTION("""COMPUTED_VALUE"""),0.0)</f>
        <v>0</v>
      </c>
      <c r="AQ728" s="82">
        <f>IFERROR(__xludf.DUMMYFUNCTION("""COMPUTED_VALUE"""),0.0)</f>
        <v>0</v>
      </c>
      <c r="AR728" s="82">
        <f>IFERROR(__xludf.DUMMYFUNCTION("""COMPUTED_VALUE"""),0.0)</f>
        <v>0</v>
      </c>
      <c r="AS728" s="82"/>
      <c r="AT728" s="82">
        <f>IFERROR(__xludf.DUMMYFUNCTION("""COMPUTED_VALUE"""),0.0)</f>
        <v>0</v>
      </c>
      <c r="AU728" s="82"/>
      <c r="AV728" s="82"/>
      <c r="AW728" s="82" t="str">
        <f t="shared" si="1"/>
        <v/>
      </c>
      <c r="AX728" s="83" t="str">
        <f t="array" ref="AX728">IFERROR(DGET('SBV Import'!A:G,"SBV",{"RSC ID","Tier";B728,A728}))</f>
        <v/>
      </c>
      <c r="AY728" s="82" t="str">
        <f t="shared" si="2"/>
        <v/>
      </c>
      <c r="AZ728" s="82"/>
      <c r="BA728" s="84" t="s">
        <v>152</v>
      </c>
      <c r="BB728" s="84" t="str">
        <f>IFERROR(__xludf.DUMMYFUNCTION("iferror(if(A728="""",,E728&gt;=FILTER(Constants!$F$2:$F$10,Constants!$A$2:$A$10=A728)))"),"")</f>
        <v/>
      </c>
    </row>
    <row r="729">
      <c r="A729" s="80"/>
      <c r="B729" s="73"/>
      <c r="C729" s="73"/>
      <c r="D729" s="73"/>
      <c r="E729" s="82"/>
      <c r="F729" s="82"/>
      <c r="G729" s="82"/>
      <c r="H729" s="86"/>
      <c r="I729" s="86"/>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c r="AG729" s="82"/>
      <c r="AH729" s="82"/>
      <c r="AI729" s="82"/>
      <c r="AJ729" s="82"/>
      <c r="AK729" s="82"/>
      <c r="AL729" s="82"/>
      <c r="AM729" s="82"/>
      <c r="AN729" s="82">
        <f>IFERROR(__xludf.DUMMYFUNCTION("""COMPUTED_VALUE"""),0.0)</f>
        <v>0</v>
      </c>
      <c r="AO729" s="82">
        <f>IFERROR(__xludf.DUMMYFUNCTION("""COMPUTED_VALUE"""),0.0)</f>
        <v>0</v>
      </c>
      <c r="AP729" s="82">
        <f>IFERROR(__xludf.DUMMYFUNCTION("""COMPUTED_VALUE"""),0.0)</f>
        <v>0</v>
      </c>
      <c r="AQ729" s="82">
        <f>IFERROR(__xludf.DUMMYFUNCTION("""COMPUTED_VALUE"""),0.0)</f>
        <v>0</v>
      </c>
      <c r="AR729" s="82">
        <f>IFERROR(__xludf.DUMMYFUNCTION("""COMPUTED_VALUE"""),0.0)</f>
        <v>0</v>
      </c>
      <c r="AS729" s="82"/>
      <c r="AT729" s="82">
        <f>IFERROR(__xludf.DUMMYFUNCTION("""COMPUTED_VALUE"""),0.0)</f>
        <v>0</v>
      </c>
      <c r="AU729" s="82"/>
      <c r="AV729" s="82"/>
      <c r="AW729" s="82" t="str">
        <f t="shared" si="1"/>
        <v/>
      </c>
      <c r="AX729" s="83" t="str">
        <f t="array" ref="AX729">IFERROR(DGET('SBV Import'!A:G,"SBV",{"RSC ID","Tier";B729,A729}))</f>
        <v/>
      </c>
      <c r="AY729" s="82" t="str">
        <f t="shared" si="2"/>
        <v/>
      </c>
      <c r="AZ729" s="82"/>
      <c r="BA729" s="84" t="s">
        <v>152</v>
      </c>
      <c r="BB729" s="84" t="str">
        <f>IFERROR(__xludf.DUMMYFUNCTION("iferror(if(A729="""",,E729&gt;=FILTER(Constants!$F$2:$F$10,Constants!$A$2:$A$10=A729)))"),"")</f>
        <v/>
      </c>
    </row>
    <row r="730">
      <c r="A730" s="80"/>
      <c r="B730" s="73"/>
      <c r="C730" s="73"/>
      <c r="D730" s="73"/>
      <c r="E730" s="82"/>
      <c r="F730" s="82"/>
      <c r="G730" s="82"/>
      <c r="H730" s="86"/>
      <c r="I730" s="86"/>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82"/>
      <c r="AI730" s="82"/>
      <c r="AJ730" s="82"/>
      <c r="AK730" s="82"/>
      <c r="AL730" s="82"/>
      <c r="AM730" s="82"/>
      <c r="AN730" s="82">
        <f>IFERROR(__xludf.DUMMYFUNCTION("""COMPUTED_VALUE"""),0.0)</f>
        <v>0</v>
      </c>
      <c r="AO730" s="82">
        <f>IFERROR(__xludf.DUMMYFUNCTION("""COMPUTED_VALUE"""),0.0)</f>
        <v>0</v>
      </c>
      <c r="AP730" s="82">
        <f>IFERROR(__xludf.DUMMYFUNCTION("""COMPUTED_VALUE"""),0.0)</f>
        <v>0</v>
      </c>
      <c r="AQ730" s="82">
        <f>IFERROR(__xludf.DUMMYFUNCTION("""COMPUTED_VALUE"""),0.0)</f>
        <v>0</v>
      </c>
      <c r="AR730" s="82">
        <f>IFERROR(__xludf.DUMMYFUNCTION("""COMPUTED_VALUE"""),0.0)</f>
        <v>0</v>
      </c>
      <c r="AS730" s="82"/>
      <c r="AT730" s="82">
        <f>IFERROR(__xludf.DUMMYFUNCTION("""COMPUTED_VALUE"""),0.0)</f>
        <v>0</v>
      </c>
      <c r="AU730" s="82"/>
      <c r="AV730" s="82"/>
      <c r="AW730" s="82" t="str">
        <f t="shared" si="1"/>
        <v/>
      </c>
      <c r="AX730" s="83" t="str">
        <f t="array" ref="AX730">IFERROR(DGET('SBV Import'!A:G,"SBV",{"RSC ID","Tier";B730,A730}))</f>
        <v/>
      </c>
      <c r="AY730" s="82" t="str">
        <f t="shared" si="2"/>
        <v/>
      </c>
      <c r="AZ730" s="82"/>
      <c r="BA730" s="84" t="s">
        <v>152</v>
      </c>
      <c r="BB730" s="84" t="str">
        <f>IFERROR(__xludf.DUMMYFUNCTION("iferror(if(A730="""",,E730&gt;=FILTER(Constants!$F$2:$F$10,Constants!$A$2:$A$10=A730)))"),"")</f>
        <v/>
      </c>
    </row>
    <row r="731">
      <c r="A731" s="80"/>
      <c r="B731" s="73"/>
      <c r="C731" s="73"/>
      <c r="D731" s="73"/>
      <c r="E731" s="82"/>
      <c r="F731" s="82"/>
      <c r="G731" s="82"/>
      <c r="H731" s="86"/>
      <c r="I731" s="86"/>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c r="AG731" s="82"/>
      <c r="AH731" s="82"/>
      <c r="AI731" s="82"/>
      <c r="AJ731" s="82"/>
      <c r="AK731" s="82"/>
      <c r="AL731" s="82"/>
      <c r="AM731" s="82"/>
      <c r="AN731" s="82">
        <f>IFERROR(__xludf.DUMMYFUNCTION("""COMPUTED_VALUE"""),0.0)</f>
        <v>0</v>
      </c>
      <c r="AO731" s="82">
        <f>IFERROR(__xludf.DUMMYFUNCTION("""COMPUTED_VALUE"""),0.0)</f>
        <v>0</v>
      </c>
      <c r="AP731" s="82">
        <f>IFERROR(__xludf.DUMMYFUNCTION("""COMPUTED_VALUE"""),0.0)</f>
        <v>0</v>
      </c>
      <c r="AQ731" s="82">
        <f>IFERROR(__xludf.DUMMYFUNCTION("""COMPUTED_VALUE"""),0.0)</f>
        <v>0</v>
      </c>
      <c r="AR731" s="82">
        <f>IFERROR(__xludf.DUMMYFUNCTION("""COMPUTED_VALUE"""),0.0)</f>
        <v>0</v>
      </c>
      <c r="AS731" s="82"/>
      <c r="AT731" s="82">
        <f>IFERROR(__xludf.DUMMYFUNCTION("""COMPUTED_VALUE"""),0.0)</f>
        <v>0</v>
      </c>
      <c r="AU731" s="82"/>
      <c r="AV731" s="82"/>
      <c r="AW731" s="82" t="str">
        <f t="shared" si="1"/>
        <v/>
      </c>
      <c r="AX731" s="83" t="str">
        <f t="array" ref="AX731">IFERROR(DGET('SBV Import'!A:G,"SBV",{"RSC ID","Tier";B731,A731}))</f>
        <v/>
      </c>
      <c r="AY731" s="82" t="str">
        <f t="shared" si="2"/>
        <v/>
      </c>
      <c r="AZ731" s="82"/>
      <c r="BA731" s="84" t="s">
        <v>152</v>
      </c>
      <c r="BB731" s="84" t="str">
        <f>IFERROR(__xludf.DUMMYFUNCTION("iferror(if(A731="""",,E731&gt;=FILTER(Constants!$F$2:$F$10,Constants!$A$2:$A$10=A731)))"),"")</f>
        <v/>
      </c>
    </row>
    <row r="732">
      <c r="A732" s="80"/>
      <c r="B732" s="73"/>
      <c r="C732" s="73"/>
      <c r="D732" s="73"/>
      <c r="E732" s="82"/>
      <c r="F732" s="82"/>
      <c r="G732" s="82"/>
      <c r="H732" s="86"/>
      <c r="I732" s="86"/>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c r="AG732" s="82"/>
      <c r="AH732" s="82"/>
      <c r="AI732" s="82"/>
      <c r="AJ732" s="82"/>
      <c r="AK732" s="82"/>
      <c r="AL732" s="82"/>
      <c r="AM732" s="82"/>
      <c r="AN732" s="82">
        <f>IFERROR(__xludf.DUMMYFUNCTION("""COMPUTED_VALUE"""),0.0)</f>
        <v>0</v>
      </c>
      <c r="AO732" s="82">
        <f>IFERROR(__xludf.DUMMYFUNCTION("""COMPUTED_VALUE"""),0.0)</f>
        <v>0</v>
      </c>
      <c r="AP732" s="82">
        <f>IFERROR(__xludf.DUMMYFUNCTION("""COMPUTED_VALUE"""),0.0)</f>
        <v>0</v>
      </c>
      <c r="AQ732" s="82">
        <f>IFERROR(__xludf.DUMMYFUNCTION("""COMPUTED_VALUE"""),0.0)</f>
        <v>0</v>
      </c>
      <c r="AR732" s="82">
        <f>IFERROR(__xludf.DUMMYFUNCTION("""COMPUTED_VALUE"""),0.0)</f>
        <v>0</v>
      </c>
      <c r="AS732" s="82"/>
      <c r="AT732" s="82">
        <f>IFERROR(__xludf.DUMMYFUNCTION("""COMPUTED_VALUE"""),0.0)</f>
        <v>0</v>
      </c>
      <c r="AU732" s="82"/>
      <c r="AV732" s="82"/>
      <c r="AW732" s="82" t="str">
        <f t="shared" si="1"/>
        <v/>
      </c>
      <c r="AX732" s="83" t="str">
        <f t="array" ref="AX732">IFERROR(DGET('SBV Import'!A:G,"SBV",{"RSC ID","Tier";B732,A732}))</f>
        <v/>
      </c>
      <c r="AY732" s="82" t="str">
        <f t="shared" si="2"/>
        <v/>
      </c>
      <c r="AZ732" s="82"/>
      <c r="BA732" s="84" t="s">
        <v>152</v>
      </c>
      <c r="BB732" s="84" t="str">
        <f>IFERROR(__xludf.DUMMYFUNCTION("iferror(if(A732="""",,E732&gt;=FILTER(Constants!$F$2:$F$10,Constants!$A$2:$A$10=A732)))"),"")</f>
        <v/>
      </c>
    </row>
    <row r="733">
      <c r="A733" s="80"/>
      <c r="B733" s="73"/>
      <c r="C733" s="73"/>
      <c r="D733" s="73"/>
      <c r="E733" s="82"/>
      <c r="F733" s="82"/>
      <c r="G733" s="82"/>
      <c r="H733" s="86"/>
      <c r="I733" s="86"/>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c r="AG733" s="82"/>
      <c r="AH733" s="82"/>
      <c r="AI733" s="82"/>
      <c r="AJ733" s="82"/>
      <c r="AK733" s="82"/>
      <c r="AL733" s="82"/>
      <c r="AM733" s="82"/>
      <c r="AN733" s="82">
        <f>IFERROR(__xludf.DUMMYFUNCTION("""COMPUTED_VALUE"""),0.0)</f>
        <v>0</v>
      </c>
      <c r="AO733" s="82">
        <f>IFERROR(__xludf.DUMMYFUNCTION("""COMPUTED_VALUE"""),0.0)</f>
        <v>0</v>
      </c>
      <c r="AP733" s="82">
        <f>IFERROR(__xludf.DUMMYFUNCTION("""COMPUTED_VALUE"""),0.0)</f>
        <v>0</v>
      </c>
      <c r="AQ733" s="82">
        <f>IFERROR(__xludf.DUMMYFUNCTION("""COMPUTED_VALUE"""),0.0)</f>
        <v>0</v>
      </c>
      <c r="AR733" s="82">
        <f>IFERROR(__xludf.DUMMYFUNCTION("""COMPUTED_VALUE"""),0.0)</f>
        <v>0</v>
      </c>
      <c r="AS733" s="82"/>
      <c r="AT733" s="82">
        <f>IFERROR(__xludf.DUMMYFUNCTION("""COMPUTED_VALUE"""),0.0)</f>
        <v>0</v>
      </c>
      <c r="AU733" s="82"/>
      <c r="AV733" s="82"/>
      <c r="AW733" s="82" t="str">
        <f t="shared" si="1"/>
        <v/>
      </c>
      <c r="AX733" s="83" t="str">
        <f t="array" ref="AX733">IFERROR(DGET('SBV Import'!A:G,"SBV",{"RSC ID","Tier";B733,A733}))</f>
        <v/>
      </c>
      <c r="AY733" s="82" t="str">
        <f t="shared" si="2"/>
        <v/>
      </c>
      <c r="AZ733" s="82"/>
      <c r="BA733" s="84" t="s">
        <v>152</v>
      </c>
      <c r="BB733" s="84" t="str">
        <f>IFERROR(__xludf.DUMMYFUNCTION("iferror(if(A733="""",,E733&gt;=FILTER(Constants!$F$2:$F$10,Constants!$A$2:$A$10=A733)))"),"")</f>
        <v/>
      </c>
    </row>
    <row r="734">
      <c r="A734" s="80"/>
      <c r="B734" s="73"/>
      <c r="C734" s="73"/>
      <c r="D734" s="73"/>
      <c r="E734" s="82"/>
      <c r="F734" s="82"/>
      <c r="G734" s="82"/>
      <c r="H734" s="86"/>
      <c r="I734" s="86"/>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c r="AG734" s="82"/>
      <c r="AH734" s="82"/>
      <c r="AI734" s="82"/>
      <c r="AJ734" s="82"/>
      <c r="AK734" s="82"/>
      <c r="AL734" s="82"/>
      <c r="AM734" s="82"/>
      <c r="AN734" s="82">
        <f>IFERROR(__xludf.DUMMYFUNCTION("""COMPUTED_VALUE"""),0.0)</f>
        <v>0</v>
      </c>
      <c r="AO734" s="82">
        <f>IFERROR(__xludf.DUMMYFUNCTION("""COMPUTED_VALUE"""),0.0)</f>
        <v>0</v>
      </c>
      <c r="AP734" s="82">
        <f>IFERROR(__xludf.DUMMYFUNCTION("""COMPUTED_VALUE"""),0.0)</f>
        <v>0</v>
      </c>
      <c r="AQ734" s="82">
        <f>IFERROR(__xludf.DUMMYFUNCTION("""COMPUTED_VALUE"""),0.0)</f>
        <v>0</v>
      </c>
      <c r="AR734" s="82">
        <f>IFERROR(__xludf.DUMMYFUNCTION("""COMPUTED_VALUE"""),0.0)</f>
        <v>0</v>
      </c>
      <c r="AS734" s="82"/>
      <c r="AT734" s="82">
        <f>IFERROR(__xludf.DUMMYFUNCTION("""COMPUTED_VALUE"""),0.0)</f>
        <v>0</v>
      </c>
      <c r="AU734" s="82"/>
      <c r="AV734" s="82"/>
      <c r="AW734" s="82" t="str">
        <f t="shared" si="1"/>
        <v/>
      </c>
      <c r="AX734" s="83" t="str">
        <f t="array" ref="AX734">IFERROR(DGET('SBV Import'!A:G,"SBV",{"RSC ID","Tier";B734,A734}))</f>
        <v/>
      </c>
      <c r="AY734" s="82" t="str">
        <f t="shared" si="2"/>
        <v/>
      </c>
      <c r="AZ734" s="82"/>
      <c r="BA734" s="84" t="s">
        <v>152</v>
      </c>
      <c r="BB734" s="84" t="str">
        <f>IFERROR(__xludf.DUMMYFUNCTION("iferror(if(A734="""",,E734&gt;=FILTER(Constants!$F$2:$F$10,Constants!$A$2:$A$10=A734)))"),"")</f>
        <v/>
      </c>
    </row>
    <row r="735">
      <c r="A735" s="80"/>
      <c r="B735" s="73"/>
      <c r="C735" s="73"/>
      <c r="D735" s="73"/>
      <c r="E735" s="82"/>
      <c r="F735" s="82"/>
      <c r="G735" s="82"/>
      <c r="H735" s="86"/>
      <c r="I735" s="86"/>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c r="AG735" s="82"/>
      <c r="AH735" s="82"/>
      <c r="AI735" s="82"/>
      <c r="AJ735" s="82"/>
      <c r="AK735" s="82"/>
      <c r="AL735" s="82"/>
      <c r="AM735" s="82"/>
      <c r="AN735" s="82">
        <f>IFERROR(__xludf.DUMMYFUNCTION("""COMPUTED_VALUE"""),0.0)</f>
        <v>0</v>
      </c>
      <c r="AO735" s="82">
        <f>IFERROR(__xludf.DUMMYFUNCTION("""COMPUTED_VALUE"""),0.0)</f>
        <v>0</v>
      </c>
      <c r="AP735" s="82">
        <f>IFERROR(__xludf.DUMMYFUNCTION("""COMPUTED_VALUE"""),0.0)</f>
        <v>0</v>
      </c>
      <c r="AQ735" s="82">
        <f>IFERROR(__xludf.DUMMYFUNCTION("""COMPUTED_VALUE"""),0.0)</f>
        <v>0</v>
      </c>
      <c r="AR735" s="82">
        <f>IFERROR(__xludf.DUMMYFUNCTION("""COMPUTED_VALUE"""),0.0)</f>
        <v>0</v>
      </c>
      <c r="AS735" s="82"/>
      <c r="AT735" s="82">
        <f>IFERROR(__xludf.DUMMYFUNCTION("""COMPUTED_VALUE"""),0.0)</f>
        <v>0</v>
      </c>
      <c r="AU735" s="82"/>
      <c r="AV735" s="82"/>
      <c r="AW735" s="82" t="str">
        <f t="shared" si="1"/>
        <v/>
      </c>
      <c r="AX735" s="83" t="str">
        <f t="array" ref="AX735">IFERROR(DGET('SBV Import'!A:G,"SBV",{"RSC ID","Tier";B735,A735}))</f>
        <v/>
      </c>
      <c r="AY735" s="82" t="str">
        <f t="shared" si="2"/>
        <v/>
      </c>
      <c r="AZ735" s="82"/>
      <c r="BA735" s="84" t="s">
        <v>152</v>
      </c>
      <c r="BB735" s="84" t="str">
        <f>IFERROR(__xludf.DUMMYFUNCTION("iferror(if(A735="""",,E735&gt;=FILTER(Constants!$F$2:$F$10,Constants!$A$2:$A$10=A735)))"),"")</f>
        <v/>
      </c>
    </row>
    <row r="736">
      <c r="A736" s="80"/>
      <c r="B736" s="73"/>
      <c r="C736" s="73"/>
      <c r="D736" s="73"/>
      <c r="E736" s="82"/>
      <c r="F736" s="82"/>
      <c r="G736" s="82"/>
      <c r="H736" s="86"/>
      <c r="I736" s="86"/>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82"/>
      <c r="AI736" s="82"/>
      <c r="AJ736" s="82"/>
      <c r="AK736" s="82"/>
      <c r="AL736" s="82"/>
      <c r="AM736" s="82"/>
      <c r="AN736" s="82">
        <f>IFERROR(__xludf.DUMMYFUNCTION("""COMPUTED_VALUE"""),0.0)</f>
        <v>0</v>
      </c>
      <c r="AO736" s="82">
        <f>IFERROR(__xludf.DUMMYFUNCTION("""COMPUTED_VALUE"""),0.0)</f>
        <v>0</v>
      </c>
      <c r="AP736" s="82">
        <f>IFERROR(__xludf.DUMMYFUNCTION("""COMPUTED_VALUE"""),0.0)</f>
        <v>0</v>
      </c>
      <c r="AQ736" s="82">
        <f>IFERROR(__xludf.DUMMYFUNCTION("""COMPUTED_VALUE"""),0.0)</f>
        <v>0</v>
      </c>
      <c r="AR736" s="82">
        <f>IFERROR(__xludf.DUMMYFUNCTION("""COMPUTED_VALUE"""),0.0)</f>
        <v>0</v>
      </c>
      <c r="AS736" s="82"/>
      <c r="AT736" s="82">
        <f>IFERROR(__xludf.DUMMYFUNCTION("""COMPUTED_VALUE"""),0.0)</f>
        <v>0</v>
      </c>
      <c r="AU736" s="82"/>
      <c r="AV736" s="82"/>
      <c r="AW736" s="82" t="str">
        <f t="shared" si="1"/>
        <v/>
      </c>
      <c r="AX736" s="83" t="str">
        <f t="array" ref="AX736">IFERROR(DGET('SBV Import'!A:G,"SBV",{"RSC ID","Tier";B736,A736}))</f>
        <v/>
      </c>
      <c r="AY736" s="82" t="str">
        <f t="shared" si="2"/>
        <v/>
      </c>
      <c r="AZ736" s="82"/>
      <c r="BA736" s="84" t="s">
        <v>152</v>
      </c>
      <c r="BB736" s="84" t="str">
        <f>IFERROR(__xludf.DUMMYFUNCTION("iferror(if(A736="""",,E736&gt;=FILTER(Constants!$F$2:$F$10,Constants!$A$2:$A$10=A736)))"),"")</f>
        <v/>
      </c>
    </row>
    <row r="737">
      <c r="A737" s="80"/>
      <c r="B737" s="73"/>
      <c r="C737" s="73"/>
      <c r="D737" s="73"/>
      <c r="E737" s="82"/>
      <c r="F737" s="82"/>
      <c r="G737" s="82"/>
      <c r="H737" s="86"/>
      <c r="I737" s="86"/>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c r="AG737" s="82"/>
      <c r="AH737" s="82"/>
      <c r="AI737" s="82"/>
      <c r="AJ737" s="82"/>
      <c r="AK737" s="82"/>
      <c r="AL737" s="82"/>
      <c r="AM737" s="82"/>
      <c r="AN737" s="82">
        <f>IFERROR(__xludf.DUMMYFUNCTION("""COMPUTED_VALUE"""),0.0)</f>
        <v>0</v>
      </c>
      <c r="AO737" s="82">
        <f>IFERROR(__xludf.DUMMYFUNCTION("""COMPUTED_VALUE"""),0.0)</f>
        <v>0</v>
      </c>
      <c r="AP737" s="82">
        <f>IFERROR(__xludf.DUMMYFUNCTION("""COMPUTED_VALUE"""),0.0)</f>
        <v>0</v>
      </c>
      <c r="AQ737" s="82">
        <f>IFERROR(__xludf.DUMMYFUNCTION("""COMPUTED_VALUE"""),0.0)</f>
        <v>0</v>
      </c>
      <c r="AR737" s="82">
        <f>IFERROR(__xludf.DUMMYFUNCTION("""COMPUTED_VALUE"""),0.0)</f>
        <v>0</v>
      </c>
      <c r="AS737" s="82"/>
      <c r="AT737" s="82">
        <f>IFERROR(__xludf.DUMMYFUNCTION("""COMPUTED_VALUE"""),0.0)</f>
        <v>0</v>
      </c>
      <c r="AU737" s="82"/>
      <c r="AV737" s="82"/>
      <c r="AW737" s="82" t="str">
        <f t="shared" si="1"/>
        <v/>
      </c>
      <c r="AX737" s="83" t="str">
        <f t="array" ref="AX737">IFERROR(DGET('SBV Import'!A:G,"SBV",{"RSC ID","Tier";B737,A737}))</f>
        <v/>
      </c>
      <c r="AY737" s="82" t="str">
        <f t="shared" si="2"/>
        <v/>
      </c>
      <c r="AZ737" s="82"/>
      <c r="BA737" s="84" t="s">
        <v>152</v>
      </c>
      <c r="BB737" s="84" t="str">
        <f>IFERROR(__xludf.DUMMYFUNCTION("iferror(if(A737="""",,E737&gt;=FILTER(Constants!$F$2:$F$10,Constants!$A$2:$A$10=A737)))"),"")</f>
        <v/>
      </c>
    </row>
    <row r="738">
      <c r="A738" s="80"/>
      <c r="B738" s="73"/>
      <c r="C738" s="73"/>
      <c r="D738" s="73"/>
      <c r="E738" s="82"/>
      <c r="F738" s="82"/>
      <c r="G738" s="82"/>
      <c r="H738" s="86"/>
      <c r="I738" s="86"/>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c r="AG738" s="82"/>
      <c r="AH738" s="82"/>
      <c r="AI738" s="82"/>
      <c r="AJ738" s="82"/>
      <c r="AK738" s="82"/>
      <c r="AL738" s="82"/>
      <c r="AM738" s="82"/>
      <c r="AN738" s="82">
        <f>IFERROR(__xludf.DUMMYFUNCTION("""COMPUTED_VALUE"""),0.0)</f>
        <v>0</v>
      </c>
      <c r="AO738" s="82">
        <f>IFERROR(__xludf.DUMMYFUNCTION("""COMPUTED_VALUE"""),0.0)</f>
        <v>0</v>
      </c>
      <c r="AP738" s="82">
        <f>IFERROR(__xludf.DUMMYFUNCTION("""COMPUTED_VALUE"""),0.0)</f>
        <v>0</v>
      </c>
      <c r="AQ738" s="82">
        <f>IFERROR(__xludf.DUMMYFUNCTION("""COMPUTED_VALUE"""),0.0)</f>
        <v>0</v>
      </c>
      <c r="AR738" s="82">
        <f>IFERROR(__xludf.DUMMYFUNCTION("""COMPUTED_VALUE"""),0.0)</f>
        <v>0</v>
      </c>
      <c r="AS738" s="82"/>
      <c r="AT738" s="82">
        <f>IFERROR(__xludf.DUMMYFUNCTION("""COMPUTED_VALUE"""),0.0)</f>
        <v>0</v>
      </c>
      <c r="AU738" s="82"/>
      <c r="AV738" s="82"/>
      <c r="AW738" s="82" t="str">
        <f t="shared" si="1"/>
        <v/>
      </c>
      <c r="AX738" s="83" t="str">
        <f t="array" ref="AX738">IFERROR(DGET('SBV Import'!A:G,"SBV",{"RSC ID","Tier";B738,A738}))</f>
        <v/>
      </c>
      <c r="AY738" s="82" t="str">
        <f t="shared" si="2"/>
        <v/>
      </c>
      <c r="AZ738" s="82"/>
      <c r="BA738" s="84" t="s">
        <v>152</v>
      </c>
      <c r="BB738" s="84" t="str">
        <f>IFERROR(__xludf.DUMMYFUNCTION("iferror(if(A738="""",,E738&gt;=FILTER(Constants!$F$2:$F$10,Constants!$A$2:$A$10=A738)))"),"")</f>
        <v/>
      </c>
    </row>
    <row r="739">
      <c r="A739" s="80"/>
      <c r="B739" s="73"/>
      <c r="C739" s="73"/>
      <c r="D739" s="73"/>
      <c r="E739" s="82"/>
      <c r="F739" s="82"/>
      <c r="G739" s="82"/>
      <c r="H739" s="86"/>
      <c r="I739" s="86"/>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c r="AG739" s="82"/>
      <c r="AH739" s="82"/>
      <c r="AI739" s="82"/>
      <c r="AJ739" s="82"/>
      <c r="AK739" s="82"/>
      <c r="AL739" s="82"/>
      <c r="AM739" s="82"/>
      <c r="AN739" s="82">
        <f>IFERROR(__xludf.DUMMYFUNCTION("""COMPUTED_VALUE"""),0.0)</f>
        <v>0</v>
      </c>
      <c r="AO739" s="82">
        <f>IFERROR(__xludf.DUMMYFUNCTION("""COMPUTED_VALUE"""),0.0)</f>
        <v>0</v>
      </c>
      <c r="AP739" s="82">
        <f>IFERROR(__xludf.DUMMYFUNCTION("""COMPUTED_VALUE"""),0.0)</f>
        <v>0</v>
      </c>
      <c r="AQ739" s="82">
        <f>IFERROR(__xludf.DUMMYFUNCTION("""COMPUTED_VALUE"""),0.0)</f>
        <v>0</v>
      </c>
      <c r="AR739" s="82">
        <f>IFERROR(__xludf.DUMMYFUNCTION("""COMPUTED_VALUE"""),0.0)</f>
        <v>0</v>
      </c>
      <c r="AS739" s="82"/>
      <c r="AT739" s="82">
        <f>IFERROR(__xludf.DUMMYFUNCTION("""COMPUTED_VALUE"""),0.0)</f>
        <v>0</v>
      </c>
      <c r="AU739" s="82"/>
      <c r="AV739" s="82"/>
      <c r="AW739" s="82" t="str">
        <f t="shared" si="1"/>
        <v/>
      </c>
      <c r="AX739" s="83" t="str">
        <f t="array" ref="AX739">IFERROR(DGET('SBV Import'!A:G,"SBV",{"RSC ID","Tier";B739,A739}))</f>
        <v/>
      </c>
      <c r="AY739" s="82" t="str">
        <f t="shared" si="2"/>
        <v/>
      </c>
      <c r="AZ739" s="82"/>
      <c r="BA739" s="84" t="s">
        <v>152</v>
      </c>
      <c r="BB739" s="84" t="str">
        <f>IFERROR(__xludf.DUMMYFUNCTION("iferror(if(A739="""",,E739&gt;=FILTER(Constants!$F$2:$F$10,Constants!$A$2:$A$10=A739)))"),"")</f>
        <v/>
      </c>
    </row>
    <row r="740">
      <c r="A740" s="80"/>
      <c r="B740" s="73"/>
      <c r="C740" s="73"/>
      <c r="D740" s="73"/>
      <c r="E740" s="82"/>
      <c r="F740" s="82"/>
      <c r="G740" s="82"/>
      <c r="H740" s="86"/>
      <c r="I740" s="86"/>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c r="AG740" s="82"/>
      <c r="AH740" s="82"/>
      <c r="AI740" s="82"/>
      <c r="AJ740" s="82"/>
      <c r="AK740" s="82"/>
      <c r="AL740" s="82"/>
      <c r="AM740" s="82"/>
      <c r="AN740" s="82">
        <f>IFERROR(__xludf.DUMMYFUNCTION("""COMPUTED_VALUE"""),0.0)</f>
        <v>0</v>
      </c>
      <c r="AO740" s="82">
        <f>IFERROR(__xludf.DUMMYFUNCTION("""COMPUTED_VALUE"""),0.0)</f>
        <v>0</v>
      </c>
      <c r="AP740" s="82">
        <f>IFERROR(__xludf.DUMMYFUNCTION("""COMPUTED_VALUE"""),0.0)</f>
        <v>0</v>
      </c>
      <c r="AQ740" s="82">
        <f>IFERROR(__xludf.DUMMYFUNCTION("""COMPUTED_VALUE"""),0.0)</f>
        <v>0</v>
      </c>
      <c r="AR740" s="82">
        <f>IFERROR(__xludf.DUMMYFUNCTION("""COMPUTED_VALUE"""),0.0)</f>
        <v>0</v>
      </c>
      <c r="AS740" s="82"/>
      <c r="AT740" s="82">
        <f>IFERROR(__xludf.DUMMYFUNCTION("""COMPUTED_VALUE"""),0.0)</f>
        <v>0</v>
      </c>
      <c r="AU740" s="82"/>
      <c r="AV740" s="82"/>
      <c r="AW740" s="82" t="str">
        <f t="shared" si="1"/>
        <v/>
      </c>
      <c r="AX740" s="83" t="str">
        <f t="array" ref="AX740">IFERROR(DGET('SBV Import'!A:G,"SBV",{"RSC ID","Tier";B740,A740}))</f>
        <v/>
      </c>
      <c r="AY740" s="82" t="str">
        <f t="shared" si="2"/>
        <v/>
      </c>
      <c r="AZ740" s="82"/>
      <c r="BA740" s="84" t="s">
        <v>152</v>
      </c>
      <c r="BB740" s="84" t="str">
        <f>IFERROR(__xludf.DUMMYFUNCTION("iferror(if(A740="""",,E740&gt;=FILTER(Constants!$F$2:$F$10,Constants!$A$2:$A$10=A740)))"),"")</f>
        <v/>
      </c>
    </row>
    <row r="741">
      <c r="A741" s="80"/>
      <c r="B741" s="73"/>
      <c r="C741" s="73"/>
      <c r="D741" s="73"/>
      <c r="E741" s="82"/>
      <c r="F741" s="82"/>
      <c r="G741" s="82"/>
      <c r="H741" s="86"/>
      <c r="I741" s="86"/>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82"/>
      <c r="AI741" s="82"/>
      <c r="AJ741" s="82"/>
      <c r="AK741" s="82"/>
      <c r="AL741" s="82"/>
      <c r="AM741" s="82"/>
      <c r="AN741" s="82">
        <f>IFERROR(__xludf.DUMMYFUNCTION("""COMPUTED_VALUE"""),0.0)</f>
        <v>0</v>
      </c>
      <c r="AO741" s="82">
        <f>IFERROR(__xludf.DUMMYFUNCTION("""COMPUTED_VALUE"""),0.0)</f>
        <v>0</v>
      </c>
      <c r="AP741" s="82">
        <f>IFERROR(__xludf.DUMMYFUNCTION("""COMPUTED_VALUE"""),0.0)</f>
        <v>0</v>
      </c>
      <c r="AQ741" s="82">
        <f>IFERROR(__xludf.DUMMYFUNCTION("""COMPUTED_VALUE"""),0.0)</f>
        <v>0</v>
      </c>
      <c r="AR741" s="82">
        <f>IFERROR(__xludf.DUMMYFUNCTION("""COMPUTED_VALUE"""),0.0)</f>
        <v>0</v>
      </c>
      <c r="AS741" s="82"/>
      <c r="AT741" s="82">
        <f>IFERROR(__xludf.DUMMYFUNCTION("""COMPUTED_VALUE"""),0.0)</f>
        <v>0</v>
      </c>
      <c r="AU741" s="82"/>
      <c r="AV741" s="82"/>
      <c r="AW741" s="82" t="str">
        <f t="shared" si="1"/>
        <v/>
      </c>
      <c r="AX741" s="83" t="str">
        <f t="array" ref="AX741">IFERROR(DGET('SBV Import'!A:G,"SBV",{"RSC ID","Tier";B741,A741}))</f>
        <v/>
      </c>
      <c r="AY741" s="82" t="str">
        <f t="shared" si="2"/>
        <v/>
      </c>
      <c r="AZ741" s="82"/>
      <c r="BA741" s="84" t="s">
        <v>152</v>
      </c>
      <c r="BB741" s="84" t="str">
        <f>IFERROR(__xludf.DUMMYFUNCTION("iferror(if(A741="""",,E741&gt;=FILTER(Constants!$F$2:$F$10,Constants!$A$2:$A$10=A741)))"),"")</f>
        <v/>
      </c>
    </row>
    <row r="742">
      <c r="A742" s="80"/>
      <c r="B742" s="73"/>
      <c r="C742" s="73"/>
      <c r="D742" s="73"/>
      <c r="E742" s="82"/>
      <c r="F742" s="82"/>
      <c r="G742" s="82"/>
      <c r="H742" s="86"/>
      <c r="I742" s="86"/>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82"/>
      <c r="AI742" s="82"/>
      <c r="AJ742" s="82"/>
      <c r="AK742" s="82"/>
      <c r="AL742" s="82"/>
      <c r="AM742" s="82"/>
      <c r="AN742" s="82">
        <f>IFERROR(__xludf.DUMMYFUNCTION("""COMPUTED_VALUE"""),0.0)</f>
        <v>0</v>
      </c>
      <c r="AO742" s="82">
        <f>IFERROR(__xludf.DUMMYFUNCTION("""COMPUTED_VALUE"""),0.0)</f>
        <v>0</v>
      </c>
      <c r="AP742" s="82">
        <f>IFERROR(__xludf.DUMMYFUNCTION("""COMPUTED_VALUE"""),0.0)</f>
        <v>0</v>
      </c>
      <c r="AQ742" s="82">
        <f>IFERROR(__xludf.DUMMYFUNCTION("""COMPUTED_VALUE"""),0.0)</f>
        <v>0</v>
      </c>
      <c r="AR742" s="82">
        <f>IFERROR(__xludf.DUMMYFUNCTION("""COMPUTED_VALUE"""),0.0)</f>
        <v>0</v>
      </c>
      <c r="AS742" s="82"/>
      <c r="AT742" s="82">
        <f>IFERROR(__xludf.DUMMYFUNCTION("""COMPUTED_VALUE"""),0.0)</f>
        <v>0</v>
      </c>
      <c r="AU742" s="82"/>
      <c r="AV742" s="82"/>
      <c r="AW742" s="82" t="str">
        <f t="shared" si="1"/>
        <v/>
      </c>
      <c r="AX742" s="83" t="str">
        <f t="array" ref="AX742">IFERROR(DGET('SBV Import'!A:G,"SBV",{"RSC ID","Tier";B742,A742}))</f>
        <v/>
      </c>
      <c r="AY742" s="82" t="str">
        <f t="shared" si="2"/>
        <v/>
      </c>
      <c r="AZ742" s="82"/>
      <c r="BA742" s="84" t="s">
        <v>152</v>
      </c>
      <c r="BB742" s="84" t="str">
        <f>IFERROR(__xludf.DUMMYFUNCTION("iferror(if(A742="""",,E742&gt;=FILTER(Constants!$F$2:$F$10,Constants!$A$2:$A$10=A742)))"),"")</f>
        <v/>
      </c>
    </row>
    <row r="743">
      <c r="A743" s="80"/>
      <c r="B743" s="73"/>
      <c r="C743" s="73"/>
      <c r="D743" s="73"/>
      <c r="E743" s="82"/>
      <c r="F743" s="82"/>
      <c r="G743" s="82"/>
      <c r="H743" s="86"/>
      <c r="I743" s="86"/>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c r="AG743" s="82"/>
      <c r="AH743" s="82"/>
      <c r="AI743" s="82"/>
      <c r="AJ743" s="82"/>
      <c r="AK743" s="82"/>
      <c r="AL743" s="82"/>
      <c r="AM743" s="82"/>
      <c r="AN743" s="82">
        <f>IFERROR(__xludf.DUMMYFUNCTION("""COMPUTED_VALUE"""),0.0)</f>
        <v>0</v>
      </c>
      <c r="AO743" s="82">
        <f>IFERROR(__xludf.DUMMYFUNCTION("""COMPUTED_VALUE"""),0.0)</f>
        <v>0</v>
      </c>
      <c r="AP743" s="82">
        <f>IFERROR(__xludf.DUMMYFUNCTION("""COMPUTED_VALUE"""),0.0)</f>
        <v>0</v>
      </c>
      <c r="AQ743" s="82">
        <f>IFERROR(__xludf.DUMMYFUNCTION("""COMPUTED_VALUE"""),0.0)</f>
        <v>0</v>
      </c>
      <c r="AR743" s="82">
        <f>IFERROR(__xludf.DUMMYFUNCTION("""COMPUTED_VALUE"""),0.0)</f>
        <v>0</v>
      </c>
      <c r="AS743" s="82"/>
      <c r="AT743" s="82">
        <f>IFERROR(__xludf.DUMMYFUNCTION("""COMPUTED_VALUE"""),0.0)</f>
        <v>0</v>
      </c>
      <c r="AU743" s="82"/>
      <c r="AV743" s="82"/>
      <c r="AW743" s="82" t="str">
        <f t="shared" si="1"/>
        <v/>
      </c>
      <c r="AX743" s="83" t="str">
        <f t="array" ref="AX743">IFERROR(DGET('SBV Import'!A:G,"SBV",{"RSC ID","Tier";B743,A743}))</f>
        <v/>
      </c>
      <c r="AY743" s="82" t="str">
        <f t="shared" si="2"/>
        <v/>
      </c>
      <c r="AZ743" s="82"/>
      <c r="BA743" s="84" t="s">
        <v>152</v>
      </c>
      <c r="BB743" s="84" t="str">
        <f>IFERROR(__xludf.DUMMYFUNCTION("iferror(if(A743="""",,E743&gt;=FILTER(Constants!$F$2:$F$10,Constants!$A$2:$A$10=A743)))"),"")</f>
        <v/>
      </c>
    </row>
    <row r="744">
      <c r="A744" s="80"/>
      <c r="B744" s="73"/>
      <c r="C744" s="73"/>
      <c r="D744" s="73"/>
      <c r="E744" s="82"/>
      <c r="F744" s="82"/>
      <c r="G744" s="82"/>
      <c r="H744" s="86"/>
      <c r="I744" s="86"/>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c r="AG744" s="82"/>
      <c r="AH744" s="82"/>
      <c r="AI744" s="82"/>
      <c r="AJ744" s="82"/>
      <c r="AK744" s="82"/>
      <c r="AL744" s="82"/>
      <c r="AM744" s="82"/>
      <c r="AN744" s="82">
        <f>IFERROR(__xludf.DUMMYFUNCTION("""COMPUTED_VALUE"""),0.0)</f>
        <v>0</v>
      </c>
      <c r="AO744" s="82">
        <f>IFERROR(__xludf.DUMMYFUNCTION("""COMPUTED_VALUE"""),0.0)</f>
        <v>0</v>
      </c>
      <c r="AP744" s="82">
        <f>IFERROR(__xludf.DUMMYFUNCTION("""COMPUTED_VALUE"""),0.0)</f>
        <v>0</v>
      </c>
      <c r="AQ744" s="82">
        <f>IFERROR(__xludf.DUMMYFUNCTION("""COMPUTED_VALUE"""),0.0)</f>
        <v>0</v>
      </c>
      <c r="AR744" s="82">
        <f>IFERROR(__xludf.DUMMYFUNCTION("""COMPUTED_VALUE"""),0.0)</f>
        <v>0</v>
      </c>
      <c r="AS744" s="82"/>
      <c r="AT744" s="82">
        <f>IFERROR(__xludf.DUMMYFUNCTION("""COMPUTED_VALUE"""),0.0)</f>
        <v>0</v>
      </c>
      <c r="AU744" s="82"/>
      <c r="AV744" s="82"/>
      <c r="AW744" s="82" t="str">
        <f t="shared" si="1"/>
        <v/>
      </c>
      <c r="AX744" s="83" t="str">
        <f t="array" ref="AX744">IFERROR(DGET('SBV Import'!A:G,"SBV",{"RSC ID","Tier";B744,A744}))</f>
        <v/>
      </c>
      <c r="AY744" s="82" t="str">
        <f t="shared" si="2"/>
        <v/>
      </c>
      <c r="AZ744" s="82"/>
      <c r="BA744" s="84" t="s">
        <v>152</v>
      </c>
      <c r="BB744" s="84" t="str">
        <f>IFERROR(__xludf.DUMMYFUNCTION("iferror(if(A744="""",,E744&gt;=FILTER(Constants!$F$2:$F$10,Constants!$A$2:$A$10=A744)))"),"")</f>
        <v/>
      </c>
    </row>
    <row r="745">
      <c r="A745" s="80"/>
      <c r="B745" s="73"/>
      <c r="C745" s="73"/>
      <c r="D745" s="73"/>
      <c r="E745" s="82"/>
      <c r="F745" s="82"/>
      <c r="G745" s="82"/>
      <c r="H745" s="86"/>
      <c r="I745" s="86"/>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82"/>
      <c r="AI745" s="82"/>
      <c r="AJ745" s="82"/>
      <c r="AK745" s="82"/>
      <c r="AL745" s="82"/>
      <c r="AM745" s="82"/>
      <c r="AN745" s="82">
        <f>IFERROR(__xludf.DUMMYFUNCTION("""COMPUTED_VALUE"""),0.0)</f>
        <v>0</v>
      </c>
      <c r="AO745" s="82">
        <f>IFERROR(__xludf.DUMMYFUNCTION("""COMPUTED_VALUE"""),0.0)</f>
        <v>0</v>
      </c>
      <c r="AP745" s="82">
        <f>IFERROR(__xludf.DUMMYFUNCTION("""COMPUTED_VALUE"""),0.0)</f>
        <v>0</v>
      </c>
      <c r="AQ745" s="82">
        <f>IFERROR(__xludf.DUMMYFUNCTION("""COMPUTED_VALUE"""),0.0)</f>
        <v>0</v>
      </c>
      <c r="AR745" s="82">
        <f>IFERROR(__xludf.DUMMYFUNCTION("""COMPUTED_VALUE"""),0.0)</f>
        <v>0</v>
      </c>
      <c r="AS745" s="82"/>
      <c r="AT745" s="82">
        <f>IFERROR(__xludf.DUMMYFUNCTION("""COMPUTED_VALUE"""),0.0)</f>
        <v>0</v>
      </c>
      <c r="AU745" s="82"/>
      <c r="AV745" s="82"/>
      <c r="AW745" s="82" t="str">
        <f t="shared" si="1"/>
        <v/>
      </c>
      <c r="AX745" s="83" t="str">
        <f t="array" ref="AX745">IFERROR(DGET('SBV Import'!A:G,"SBV",{"RSC ID","Tier";B745,A745}))</f>
        <v/>
      </c>
      <c r="AY745" s="82" t="str">
        <f t="shared" si="2"/>
        <v/>
      </c>
      <c r="AZ745" s="82"/>
      <c r="BA745" s="84" t="s">
        <v>152</v>
      </c>
      <c r="BB745" s="84" t="str">
        <f>IFERROR(__xludf.DUMMYFUNCTION("iferror(if(A745="""",,E745&gt;=FILTER(Constants!$F$2:$F$10,Constants!$A$2:$A$10=A745)))"),"")</f>
        <v/>
      </c>
    </row>
    <row r="746">
      <c r="A746" s="80"/>
      <c r="B746" s="73"/>
      <c r="C746" s="73"/>
      <c r="D746" s="73"/>
      <c r="E746" s="82"/>
      <c r="F746" s="82"/>
      <c r="G746" s="82"/>
      <c r="H746" s="86"/>
      <c r="I746" s="86"/>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c r="AG746" s="82"/>
      <c r="AH746" s="82"/>
      <c r="AI746" s="82"/>
      <c r="AJ746" s="82"/>
      <c r="AK746" s="82"/>
      <c r="AL746" s="82"/>
      <c r="AM746" s="82"/>
      <c r="AN746" s="82">
        <f>IFERROR(__xludf.DUMMYFUNCTION("""COMPUTED_VALUE"""),0.0)</f>
        <v>0</v>
      </c>
      <c r="AO746" s="82">
        <f>IFERROR(__xludf.DUMMYFUNCTION("""COMPUTED_VALUE"""),0.0)</f>
        <v>0</v>
      </c>
      <c r="AP746" s="82">
        <f>IFERROR(__xludf.DUMMYFUNCTION("""COMPUTED_VALUE"""),0.0)</f>
        <v>0</v>
      </c>
      <c r="AQ746" s="82">
        <f>IFERROR(__xludf.DUMMYFUNCTION("""COMPUTED_VALUE"""),0.0)</f>
        <v>0</v>
      </c>
      <c r="AR746" s="82">
        <f>IFERROR(__xludf.DUMMYFUNCTION("""COMPUTED_VALUE"""),0.0)</f>
        <v>0</v>
      </c>
      <c r="AS746" s="82"/>
      <c r="AT746" s="82">
        <f>IFERROR(__xludf.DUMMYFUNCTION("""COMPUTED_VALUE"""),0.0)</f>
        <v>0</v>
      </c>
      <c r="AU746" s="82"/>
      <c r="AV746" s="82"/>
      <c r="AW746" s="82" t="str">
        <f t="shared" si="1"/>
        <v/>
      </c>
      <c r="AX746" s="83" t="str">
        <f t="array" ref="AX746">IFERROR(DGET('SBV Import'!A:G,"SBV",{"RSC ID","Tier";B746,A746}))</f>
        <v/>
      </c>
      <c r="AY746" s="82" t="str">
        <f t="shared" si="2"/>
        <v/>
      </c>
      <c r="AZ746" s="82"/>
      <c r="BA746" s="84" t="s">
        <v>152</v>
      </c>
      <c r="BB746" s="84" t="str">
        <f>IFERROR(__xludf.DUMMYFUNCTION("iferror(if(A746="""",,E746&gt;=FILTER(Constants!$F$2:$F$10,Constants!$A$2:$A$10=A746)))"),"")</f>
        <v/>
      </c>
    </row>
    <row r="747">
      <c r="A747" s="80"/>
      <c r="B747" s="73"/>
      <c r="C747" s="73"/>
      <c r="D747" s="73"/>
      <c r="E747" s="82"/>
      <c r="F747" s="82"/>
      <c r="G747" s="82"/>
      <c r="H747" s="86"/>
      <c r="I747" s="86"/>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c r="AG747" s="82"/>
      <c r="AH747" s="82"/>
      <c r="AI747" s="82"/>
      <c r="AJ747" s="82"/>
      <c r="AK747" s="82"/>
      <c r="AL747" s="82"/>
      <c r="AM747" s="82"/>
      <c r="AN747" s="82">
        <f>IFERROR(__xludf.DUMMYFUNCTION("""COMPUTED_VALUE"""),0.0)</f>
        <v>0</v>
      </c>
      <c r="AO747" s="82">
        <f>IFERROR(__xludf.DUMMYFUNCTION("""COMPUTED_VALUE"""),0.0)</f>
        <v>0</v>
      </c>
      <c r="AP747" s="82">
        <f>IFERROR(__xludf.DUMMYFUNCTION("""COMPUTED_VALUE"""),0.0)</f>
        <v>0</v>
      </c>
      <c r="AQ747" s="82">
        <f>IFERROR(__xludf.DUMMYFUNCTION("""COMPUTED_VALUE"""),0.0)</f>
        <v>0</v>
      </c>
      <c r="AR747" s="82">
        <f>IFERROR(__xludf.DUMMYFUNCTION("""COMPUTED_VALUE"""),0.0)</f>
        <v>0</v>
      </c>
      <c r="AS747" s="82"/>
      <c r="AT747" s="82">
        <f>IFERROR(__xludf.DUMMYFUNCTION("""COMPUTED_VALUE"""),0.0)</f>
        <v>0</v>
      </c>
      <c r="AU747" s="82"/>
      <c r="AV747" s="82"/>
      <c r="AW747" s="82" t="str">
        <f t="shared" si="1"/>
        <v/>
      </c>
      <c r="AX747" s="83" t="str">
        <f t="array" ref="AX747">IFERROR(DGET('SBV Import'!A:G,"SBV",{"RSC ID","Tier";B747,A747}))</f>
        <v/>
      </c>
      <c r="AY747" s="82" t="str">
        <f t="shared" si="2"/>
        <v/>
      </c>
      <c r="AZ747" s="82"/>
      <c r="BA747" s="84" t="s">
        <v>152</v>
      </c>
      <c r="BB747" s="84" t="str">
        <f>IFERROR(__xludf.DUMMYFUNCTION("iferror(if(A747="""",,E747&gt;=FILTER(Constants!$F$2:$F$10,Constants!$A$2:$A$10=A747)))"),"")</f>
        <v/>
      </c>
    </row>
    <row r="748">
      <c r="A748" s="80"/>
      <c r="B748" s="73"/>
      <c r="C748" s="73"/>
      <c r="D748" s="73"/>
      <c r="E748" s="82"/>
      <c r="F748" s="82"/>
      <c r="G748" s="82"/>
      <c r="H748" s="86"/>
      <c r="I748" s="86"/>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82"/>
      <c r="AI748" s="82"/>
      <c r="AJ748" s="82"/>
      <c r="AK748" s="82"/>
      <c r="AL748" s="82"/>
      <c r="AM748" s="82"/>
      <c r="AN748" s="82">
        <f>IFERROR(__xludf.DUMMYFUNCTION("""COMPUTED_VALUE"""),0.0)</f>
        <v>0</v>
      </c>
      <c r="AO748" s="82">
        <f>IFERROR(__xludf.DUMMYFUNCTION("""COMPUTED_VALUE"""),0.0)</f>
        <v>0</v>
      </c>
      <c r="AP748" s="82">
        <f>IFERROR(__xludf.DUMMYFUNCTION("""COMPUTED_VALUE"""),0.0)</f>
        <v>0</v>
      </c>
      <c r="AQ748" s="82">
        <f>IFERROR(__xludf.DUMMYFUNCTION("""COMPUTED_VALUE"""),0.0)</f>
        <v>0</v>
      </c>
      <c r="AR748" s="82">
        <f>IFERROR(__xludf.DUMMYFUNCTION("""COMPUTED_VALUE"""),0.0)</f>
        <v>0</v>
      </c>
      <c r="AS748" s="82"/>
      <c r="AT748" s="82">
        <f>IFERROR(__xludf.DUMMYFUNCTION("""COMPUTED_VALUE"""),0.0)</f>
        <v>0</v>
      </c>
      <c r="AU748" s="82"/>
      <c r="AV748" s="82"/>
      <c r="AW748" s="82" t="str">
        <f t="shared" si="1"/>
        <v/>
      </c>
      <c r="AX748" s="83" t="str">
        <f t="array" ref="AX748">IFERROR(DGET('SBV Import'!A:G,"SBV",{"RSC ID","Tier";B748,A748}))</f>
        <v/>
      </c>
      <c r="AY748" s="82" t="str">
        <f t="shared" si="2"/>
        <v/>
      </c>
      <c r="AZ748" s="82"/>
      <c r="BA748" s="84" t="s">
        <v>152</v>
      </c>
      <c r="BB748" s="84" t="str">
        <f>IFERROR(__xludf.DUMMYFUNCTION("iferror(if(A748="""",,E748&gt;=FILTER(Constants!$F$2:$F$10,Constants!$A$2:$A$10=A748)))"),"")</f>
        <v/>
      </c>
    </row>
    <row r="749">
      <c r="A749" s="80"/>
      <c r="B749" s="73"/>
      <c r="C749" s="73"/>
      <c r="D749" s="73"/>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c r="AG749" s="82"/>
      <c r="AH749" s="82"/>
      <c r="AI749" s="82"/>
      <c r="AJ749" s="82"/>
      <c r="AK749" s="82"/>
      <c r="AL749" s="82"/>
      <c r="AM749" s="82"/>
      <c r="AN749" s="82"/>
      <c r="AO749" s="82"/>
      <c r="AP749" s="82"/>
      <c r="AQ749" s="82"/>
      <c r="AR749" s="82"/>
      <c r="AS749" s="82"/>
      <c r="AT749" s="82"/>
      <c r="AU749" s="82"/>
      <c r="AV749" s="82"/>
      <c r="AW749" s="82" t="str">
        <f t="shared" si="1"/>
        <v/>
      </c>
      <c r="AX749" s="83" t="str">
        <f t="array" ref="AX749">IFERROR(DGET('SBV Import'!A:G,"SBV",{"RSC ID","Tier";B749,A749}))</f>
        <v/>
      </c>
      <c r="AY749" s="82" t="str">
        <f t="shared" si="2"/>
        <v/>
      </c>
      <c r="AZ749" s="82"/>
      <c r="BA749" s="84" t="s">
        <v>152</v>
      </c>
      <c r="BB749" s="84" t="str">
        <f>IFERROR(__xludf.DUMMYFUNCTION("iferror(if(A749="""",,E749&gt;=FILTER(Constants!$F$2:$F$10,Constants!$A$2:$A$10=A749)))"),"")</f>
        <v/>
      </c>
    </row>
    <row r="750">
      <c r="A750" s="80"/>
      <c r="B750" s="73"/>
      <c r="C750" s="73"/>
      <c r="D750" s="73"/>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c r="AG750" s="82"/>
      <c r="AH750" s="82"/>
      <c r="AI750" s="82"/>
      <c r="AJ750" s="82"/>
      <c r="AK750" s="82"/>
      <c r="AL750" s="82"/>
      <c r="AM750" s="82"/>
      <c r="AN750" s="82"/>
      <c r="AO750" s="82"/>
      <c r="AP750" s="82"/>
      <c r="AQ750" s="82"/>
      <c r="AR750" s="82"/>
      <c r="AS750" s="82"/>
      <c r="AT750" s="82"/>
      <c r="AU750" s="82"/>
      <c r="AV750" s="82"/>
      <c r="AW750" s="82" t="str">
        <f t="shared" si="1"/>
        <v/>
      </c>
      <c r="AX750" s="83" t="str">
        <f t="array" ref="AX750">IFERROR(DGET('SBV Import'!A:G,"SBV",{"RSC ID","Tier";B750,A750}))</f>
        <v/>
      </c>
      <c r="AY750" s="82" t="str">
        <f t="shared" si="2"/>
        <v/>
      </c>
      <c r="AZ750" s="82"/>
      <c r="BA750" s="84" t="s">
        <v>152</v>
      </c>
      <c r="BB750" s="84" t="str">
        <f>IFERROR(__xludf.DUMMYFUNCTION("iferror(if(A750="""",,E750&gt;=FILTER(Constants!$F$2:$F$10,Constants!$A$2:$A$10=A750)))"),"")</f>
        <v/>
      </c>
    </row>
    <row r="751">
      <c r="A751" s="80"/>
      <c r="B751" s="73"/>
      <c r="C751" s="73"/>
      <c r="D751" s="73"/>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c r="AG751" s="82"/>
      <c r="AH751" s="82"/>
      <c r="AI751" s="82"/>
      <c r="AJ751" s="82"/>
      <c r="AK751" s="82"/>
      <c r="AL751" s="82"/>
      <c r="AM751" s="82"/>
      <c r="AN751" s="82"/>
      <c r="AO751" s="82"/>
      <c r="AP751" s="82"/>
      <c r="AQ751" s="82"/>
      <c r="AR751" s="82"/>
      <c r="AS751" s="82"/>
      <c r="AT751" s="82"/>
      <c r="AU751" s="82"/>
      <c r="AV751" s="82"/>
      <c r="AW751" s="82" t="str">
        <f t="shared" si="1"/>
        <v/>
      </c>
      <c r="AX751" s="83" t="str">
        <f t="array" ref="AX751">IFERROR(DGET('SBV Import'!A:G,"SBV",{"RSC ID","Tier";B751,A751}))</f>
        <v/>
      </c>
      <c r="AY751" s="82" t="str">
        <f t="shared" si="2"/>
        <v/>
      </c>
      <c r="AZ751" s="82"/>
      <c r="BA751" s="84" t="s">
        <v>152</v>
      </c>
      <c r="BB751" s="84" t="str">
        <f>IFERROR(__xludf.DUMMYFUNCTION("iferror(if(A751="""",,E751&gt;=FILTER(Constants!$F$2:$F$10,Constants!$A$2:$A$10=A751)))"),"")</f>
        <v/>
      </c>
    </row>
    <row r="752">
      <c r="A752" s="80"/>
      <c r="B752" s="73"/>
      <c r="C752" s="73"/>
      <c r="D752" s="73"/>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c r="AG752" s="82"/>
      <c r="AH752" s="82"/>
      <c r="AI752" s="82"/>
      <c r="AJ752" s="82"/>
      <c r="AK752" s="82"/>
      <c r="AL752" s="82"/>
      <c r="AM752" s="82"/>
      <c r="AN752" s="82"/>
      <c r="AO752" s="82"/>
      <c r="AP752" s="82"/>
      <c r="AQ752" s="82"/>
      <c r="AR752" s="82"/>
      <c r="AS752" s="82"/>
      <c r="AT752" s="82"/>
      <c r="AU752" s="82"/>
      <c r="AV752" s="82"/>
      <c r="AW752" s="82" t="str">
        <f t="shared" si="1"/>
        <v/>
      </c>
      <c r="AX752" s="83" t="str">
        <f t="array" ref="AX752">IFERROR(DGET('SBV Import'!A:G,"SBV",{"RSC ID","Tier";B752,A752}))</f>
        <v/>
      </c>
      <c r="AY752" s="82" t="str">
        <f t="shared" si="2"/>
        <v/>
      </c>
      <c r="AZ752" s="82"/>
      <c r="BA752" s="84" t="s">
        <v>152</v>
      </c>
      <c r="BB752" s="84" t="str">
        <f>IFERROR(__xludf.DUMMYFUNCTION("iferror(if(A752="""",,E752&gt;=FILTER(Constants!$F$2:$F$10,Constants!$A$2:$A$10=A752)))"),"")</f>
        <v/>
      </c>
    </row>
    <row r="753">
      <c r="A753" s="80"/>
      <c r="B753" s="73"/>
      <c r="C753" s="73"/>
      <c r="D753" s="73"/>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c r="AG753" s="82"/>
      <c r="AH753" s="82"/>
      <c r="AI753" s="82"/>
      <c r="AJ753" s="82"/>
      <c r="AK753" s="82"/>
      <c r="AL753" s="82"/>
      <c r="AM753" s="82"/>
      <c r="AN753" s="82"/>
      <c r="AO753" s="82"/>
      <c r="AP753" s="82"/>
      <c r="AQ753" s="82"/>
      <c r="AR753" s="82"/>
      <c r="AS753" s="82"/>
      <c r="AT753" s="82"/>
      <c r="AU753" s="82"/>
      <c r="AV753" s="82"/>
      <c r="AW753" s="82" t="str">
        <f t="shared" si="1"/>
        <v/>
      </c>
      <c r="AX753" s="83" t="str">
        <f t="array" ref="AX753">IFERROR(DGET('SBV Import'!A:G,"SBV",{"RSC ID","Tier";B753,A753}))</f>
        <v/>
      </c>
      <c r="AY753" s="82" t="str">
        <f t="shared" si="2"/>
        <v/>
      </c>
      <c r="AZ753" s="82"/>
      <c r="BA753" s="84" t="s">
        <v>152</v>
      </c>
      <c r="BB753" s="84" t="str">
        <f>IFERROR(__xludf.DUMMYFUNCTION("iferror(if(A753="""",,E753&gt;=FILTER(Constants!$F$2:$F$10,Constants!$A$2:$A$10=A753)))"),"")</f>
        <v/>
      </c>
    </row>
    <row r="754">
      <c r="A754" s="80"/>
      <c r="B754" s="73"/>
      <c r="C754" s="73"/>
      <c r="D754" s="73"/>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c r="AG754" s="82"/>
      <c r="AH754" s="82"/>
      <c r="AI754" s="82"/>
      <c r="AJ754" s="82"/>
      <c r="AK754" s="82"/>
      <c r="AL754" s="82"/>
      <c r="AM754" s="82"/>
      <c r="AN754" s="82"/>
      <c r="AO754" s="82"/>
      <c r="AP754" s="82"/>
      <c r="AQ754" s="82"/>
      <c r="AR754" s="82"/>
      <c r="AS754" s="82"/>
      <c r="AT754" s="82"/>
      <c r="AU754" s="82"/>
      <c r="AV754" s="82"/>
      <c r="AW754" s="82" t="str">
        <f t="shared" si="1"/>
        <v/>
      </c>
      <c r="AX754" s="83" t="str">
        <f t="array" ref="AX754">IFERROR(DGET('SBV Import'!A:G,"SBV",{"RSC ID","Tier";B754,A754}))</f>
        <v/>
      </c>
      <c r="AY754" s="82" t="str">
        <f t="shared" si="2"/>
        <v/>
      </c>
      <c r="AZ754" s="82"/>
      <c r="BA754" s="84" t="s">
        <v>152</v>
      </c>
      <c r="BB754" s="84" t="str">
        <f>IFERROR(__xludf.DUMMYFUNCTION("iferror(if(A754="""",,E754&gt;=FILTER(Constants!$F$2:$F$10,Constants!$A$2:$A$10=A754)))"),"")</f>
        <v/>
      </c>
    </row>
    <row r="755">
      <c r="A755" s="80"/>
      <c r="B755" s="73"/>
      <c r="C755" s="73"/>
      <c r="D755" s="73"/>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c r="AG755" s="82"/>
      <c r="AH755" s="82"/>
      <c r="AI755" s="82"/>
      <c r="AJ755" s="82"/>
      <c r="AK755" s="82"/>
      <c r="AL755" s="82"/>
      <c r="AM755" s="82"/>
      <c r="AN755" s="82"/>
      <c r="AO755" s="82"/>
      <c r="AP755" s="82"/>
      <c r="AQ755" s="82"/>
      <c r="AR755" s="82"/>
      <c r="AS755" s="82"/>
      <c r="AT755" s="82"/>
      <c r="AU755" s="82"/>
      <c r="AV755" s="82"/>
      <c r="AW755" s="82" t="str">
        <f t="shared" si="1"/>
        <v/>
      </c>
      <c r="AX755" s="83" t="str">
        <f t="array" ref="AX755">IFERROR(DGET('SBV Import'!A:G,"SBV",{"RSC ID","Tier";B755,A755}))</f>
        <v/>
      </c>
      <c r="AY755" s="82" t="str">
        <f t="shared" si="2"/>
        <v/>
      </c>
      <c r="AZ755" s="82"/>
      <c r="BA755" s="84" t="s">
        <v>152</v>
      </c>
      <c r="BB755" s="84" t="str">
        <f>IFERROR(__xludf.DUMMYFUNCTION("iferror(if(A755="""",,E755&gt;=FILTER(Constants!$F$2:$F$10,Constants!$A$2:$A$10=A755)))"),"")</f>
        <v/>
      </c>
    </row>
    <row r="756">
      <c r="A756" s="80"/>
      <c r="B756" s="73"/>
      <c r="C756" s="73"/>
      <c r="D756" s="73"/>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c r="AG756" s="82"/>
      <c r="AH756" s="82"/>
      <c r="AI756" s="82"/>
      <c r="AJ756" s="82"/>
      <c r="AK756" s="82"/>
      <c r="AL756" s="82"/>
      <c r="AM756" s="82"/>
      <c r="AN756" s="82"/>
      <c r="AO756" s="82"/>
      <c r="AP756" s="82"/>
      <c r="AQ756" s="82"/>
      <c r="AR756" s="82"/>
      <c r="AS756" s="82"/>
      <c r="AT756" s="82"/>
      <c r="AU756" s="82"/>
      <c r="AV756" s="82"/>
      <c r="AW756" s="82" t="str">
        <f t="shared" si="1"/>
        <v/>
      </c>
      <c r="AX756" s="83" t="str">
        <f t="array" ref="AX756">IFERROR(DGET('SBV Import'!A:G,"SBV",{"RSC ID","Tier";B756,A756}))</f>
        <v/>
      </c>
      <c r="AY756" s="82" t="str">
        <f t="shared" si="2"/>
        <v/>
      </c>
      <c r="AZ756" s="82"/>
      <c r="BA756" s="84" t="s">
        <v>152</v>
      </c>
      <c r="BB756" s="84" t="str">
        <f>IFERROR(__xludf.DUMMYFUNCTION("iferror(if(A756="""",,E756&gt;=FILTER(Constants!$F$2:$F$10,Constants!$A$2:$A$10=A756)))"),"")</f>
        <v/>
      </c>
    </row>
    <row r="757">
      <c r="A757" s="80"/>
      <c r="B757" s="73"/>
      <c r="C757" s="73"/>
      <c r="D757" s="73"/>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c r="AG757" s="82"/>
      <c r="AH757" s="82"/>
      <c r="AI757" s="82"/>
      <c r="AJ757" s="82"/>
      <c r="AK757" s="82"/>
      <c r="AL757" s="82"/>
      <c r="AM757" s="82"/>
      <c r="AN757" s="82"/>
      <c r="AO757" s="82"/>
      <c r="AP757" s="82"/>
      <c r="AQ757" s="82"/>
      <c r="AR757" s="82"/>
      <c r="AS757" s="82"/>
      <c r="AT757" s="82"/>
      <c r="AU757" s="82"/>
      <c r="AV757" s="82"/>
      <c r="AW757" s="82" t="str">
        <f t="shared" si="1"/>
        <v/>
      </c>
      <c r="AX757" s="83" t="str">
        <f t="array" ref="AX757">IFERROR(DGET('SBV Import'!A:G,"SBV",{"RSC ID","Tier";B757,A757}))</f>
        <v/>
      </c>
      <c r="AY757" s="82" t="str">
        <f t="shared" si="2"/>
        <v/>
      </c>
      <c r="AZ757" s="82"/>
      <c r="BA757" s="84" t="s">
        <v>152</v>
      </c>
      <c r="BB757" s="84" t="str">
        <f>IFERROR(__xludf.DUMMYFUNCTION("iferror(if(A757="""",,E757&gt;=FILTER(Constants!$F$2:$F$10,Constants!$A$2:$A$10=A757)))"),"")</f>
        <v/>
      </c>
    </row>
    <row r="758">
      <c r="A758" s="80"/>
      <c r="B758" s="73"/>
      <c r="C758" s="73"/>
      <c r="D758" s="73"/>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c r="AG758" s="82"/>
      <c r="AH758" s="82"/>
      <c r="AI758" s="82"/>
      <c r="AJ758" s="82"/>
      <c r="AK758" s="82"/>
      <c r="AL758" s="82"/>
      <c r="AM758" s="82"/>
      <c r="AN758" s="82"/>
      <c r="AO758" s="82"/>
      <c r="AP758" s="82"/>
      <c r="AQ758" s="82"/>
      <c r="AR758" s="82"/>
      <c r="AS758" s="82"/>
      <c r="AT758" s="82"/>
      <c r="AU758" s="82"/>
      <c r="AV758" s="82"/>
      <c r="AW758" s="82" t="str">
        <f t="shared" si="1"/>
        <v/>
      </c>
      <c r="AX758" s="83" t="str">
        <f t="array" ref="AX758">IFERROR(DGET('SBV Import'!A:G,"SBV",{"RSC ID","Tier";B758,A758}))</f>
        <v/>
      </c>
      <c r="AY758" s="82" t="str">
        <f t="shared" si="2"/>
        <v/>
      </c>
      <c r="AZ758" s="82"/>
      <c r="BA758" s="84" t="s">
        <v>152</v>
      </c>
      <c r="BB758" s="84" t="str">
        <f>IFERROR(__xludf.DUMMYFUNCTION("iferror(if(A758="""",,E758&gt;=FILTER(Constants!$F$2:$F$10,Constants!$A$2:$A$10=A758)))"),"")</f>
        <v/>
      </c>
    </row>
    <row r="759">
      <c r="A759" s="80"/>
      <c r="B759" s="73"/>
      <c r="C759" s="73"/>
      <c r="D759" s="73"/>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c r="AG759" s="82"/>
      <c r="AH759" s="82"/>
      <c r="AI759" s="82"/>
      <c r="AJ759" s="82"/>
      <c r="AK759" s="82"/>
      <c r="AL759" s="82"/>
      <c r="AM759" s="82"/>
      <c r="AN759" s="82"/>
      <c r="AO759" s="82"/>
      <c r="AP759" s="82"/>
      <c r="AQ759" s="82"/>
      <c r="AR759" s="82"/>
      <c r="AS759" s="82"/>
      <c r="AT759" s="82"/>
      <c r="AU759" s="82"/>
      <c r="AV759" s="82"/>
      <c r="AW759" s="82" t="str">
        <f t="shared" si="1"/>
        <v/>
      </c>
      <c r="AX759" s="83" t="str">
        <f t="array" ref="AX759">IFERROR(DGET('SBV Import'!A:G,"SBV",{"RSC ID","Tier";B759,A759}))</f>
        <v/>
      </c>
      <c r="AY759" s="82" t="str">
        <f t="shared" si="2"/>
        <v/>
      </c>
      <c r="AZ759" s="82"/>
      <c r="BA759" s="84" t="s">
        <v>152</v>
      </c>
      <c r="BB759" s="84" t="str">
        <f>IFERROR(__xludf.DUMMYFUNCTION("iferror(if(A759="""",,E759&gt;=FILTER(Constants!$F$2:$F$10,Constants!$A$2:$A$10=A759)))"),"")</f>
        <v/>
      </c>
    </row>
    <row r="760">
      <c r="A760" s="80"/>
      <c r="B760" s="73"/>
      <c r="C760" s="73"/>
      <c r="D760" s="73"/>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c r="AG760" s="82"/>
      <c r="AH760" s="82"/>
      <c r="AI760" s="82"/>
      <c r="AJ760" s="82"/>
      <c r="AK760" s="82"/>
      <c r="AL760" s="82"/>
      <c r="AM760" s="82"/>
      <c r="AN760" s="82"/>
      <c r="AO760" s="82"/>
      <c r="AP760" s="82"/>
      <c r="AQ760" s="82"/>
      <c r="AR760" s="82"/>
      <c r="AS760" s="82"/>
      <c r="AT760" s="82"/>
      <c r="AU760" s="82"/>
      <c r="AV760" s="82"/>
      <c r="AW760" s="82" t="str">
        <f t="shared" si="1"/>
        <v/>
      </c>
      <c r="AX760" s="83" t="str">
        <f t="array" ref="AX760">IFERROR(DGET('SBV Import'!A:G,"SBV",{"RSC ID","Tier";B760,A760}))</f>
        <v/>
      </c>
      <c r="AY760" s="82" t="str">
        <f t="shared" si="2"/>
        <v/>
      </c>
      <c r="AZ760" s="82"/>
      <c r="BA760" s="84" t="s">
        <v>152</v>
      </c>
      <c r="BB760" s="84" t="str">
        <f>IFERROR(__xludf.DUMMYFUNCTION("iferror(if(A760="""",,E760&gt;=FILTER(Constants!$F$2:$F$10,Constants!$A$2:$A$10=A760)))"),"")</f>
        <v/>
      </c>
    </row>
    <row r="761">
      <c r="A761" s="80"/>
      <c r="B761" s="73"/>
      <c r="C761" s="73"/>
      <c r="D761" s="73"/>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c r="AG761" s="82"/>
      <c r="AH761" s="82"/>
      <c r="AI761" s="82"/>
      <c r="AJ761" s="82"/>
      <c r="AK761" s="82"/>
      <c r="AL761" s="82"/>
      <c r="AM761" s="82"/>
      <c r="AN761" s="82"/>
      <c r="AO761" s="82"/>
      <c r="AP761" s="82"/>
      <c r="AQ761" s="82"/>
      <c r="AR761" s="82"/>
      <c r="AS761" s="82"/>
      <c r="AT761" s="82"/>
      <c r="AU761" s="82"/>
      <c r="AV761" s="82"/>
      <c r="AW761" s="82" t="str">
        <f t="shared" si="1"/>
        <v/>
      </c>
      <c r="AX761" s="83" t="str">
        <f t="array" ref="AX761">IFERROR(DGET('SBV Import'!A:G,"SBV",{"RSC ID","Tier";B761,A761}))</f>
        <v/>
      </c>
      <c r="AY761" s="82" t="str">
        <f t="shared" si="2"/>
        <v/>
      </c>
      <c r="AZ761" s="82"/>
      <c r="BA761" s="84" t="s">
        <v>152</v>
      </c>
      <c r="BB761" s="84" t="str">
        <f>IFERROR(__xludf.DUMMYFUNCTION("iferror(if(A761="""",,E761&gt;=FILTER(Constants!$F$2:$F$10,Constants!$A$2:$A$10=A761)))"),"")</f>
        <v/>
      </c>
    </row>
    <row r="762">
      <c r="A762" s="80"/>
      <c r="B762" s="73"/>
      <c r="C762" s="73"/>
      <c r="D762" s="73"/>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c r="AG762" s="82"/>
      <c r="AH762" s="82"/>
      <c r="AI762" s="82"/>
      <c r="AJ762" s="82"/>
      <c r="AK762" s="82"/>
      <c r="AL762" s="82"/>
      <c r="AM762" s="82"/>
      <c r="AN762" s="82"/>
      <c r="AO762" s="82"/>
      <c r="AP762" s="82"/>
      <c r="AQ762" s="82"/>
      <c r="AR762" s="82"/>
      <c r="AS762" s="82"/>
      <c r="AT762" s="82"/>
      <c r="AU762" s="82"/>
      <c r="AV762" s="82"/>
      <c r="AW762" s="82" t="str">
        <f t="shared" si="1"/>
        <v/>
      </c>
      <c r="AX762" s="83" t="str">
        <f t="array" ref="AX762">IFERROR(DGET('SBV Import'!A:G,"SBV",{"RSC ID","Tier";B762,A762}))</f>
        <v/>
      </c>
      <c r="AY762" s="82" t="str">
        <f t="shared" si="2"/>
        <v/>
      </c>
      <c r="AZ762" s="82"/>
      <c r="BA762" s="84" t="s">
        <v>152</v>
      </c>
      <c r="BB762" s="84" t="str">
        <f>IFERROR(__xludf.DUMMYFUNCTION("iferror(if(A762="""",,E762&gt;=FILTER(Constants!$F$2:$F$10,Constants!$A$2:$A$10=A762)))"),"")</f>
        <v/>
      </c>
    </row>
    <row r="763">
      <c r="A763" s="80"/>
      <c r="B763" s="73"/>
      <c r="C763" s="73"/>
      <c r="D763" s="73"/>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c r="AG763" s="82"/>
      <c r="AH763" s="82"/>
      <c r="AI763" s="82"/>
      <c r="AJ763" s="82"/>
      <c r="AK763" s="82"/>
      <c r="AL763" s="82"/>
      <c r="AM763" s="82"/>
      <c r="AN763" s="82"/>
      <c r="AO763" s="82"/>
      <c r="AP763" s="82"/>
      <c r="AQ763" s="82"/>
      <c r="AR763" s="82"/>
      <c r="AS763" s="82"/>
      <c r="AT763" s="82"/>
      <c r="AU763" s="82"/>
      <c r="AV763" s="82"/>
      <c r="AW763" s="82" t="str">
        <f t="shared" si="1"/>
        <v/>
      </c>
      <c r="AX763" s="83" t="str">
        <f t="array" ref="AX763">IFERROR(DGET('SBV Import'!A:G,"SBV",{"RSC ID","Tier";B763,A763}))</f>
        <v/>
      </c>
      <c r="AY763" s="82" t="str">
        <f t="shared" si="2"/>
        <v/>
      </c>
      <c r="AZ763" s="82"/>
      <c r="BA763" s="84" t="s">
        <v>152</v>
      </c>
      <c r="BB763" s="84" t="str">
        <f>IFERROR(__xludf.DUMMYFUNCTION("iferror(if(A763="""",,E763&gt;=FILTER(Constants!$F$2:$F$10,Constants!$A$2:$A$10=A763)))"),"")</f>
        <v/>
      </c>
    </row>
    <row r="764">
      <c r="A764" s="80"/>
      <c r="B764" s="73"/>
      <c r="C764" s="73"/>
      <c r="D764" s="73"/>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c r="AG764" s="82"/>
      <c r="AH764" s="82"/>
      <c r="AI764" s="82"/>
      <c r="AJ764" s="82"/>
      <c r="AK764" s="82"/>
      <c r="AL764" s="82"/>
      <c r="AM764" s="82"/>
      <c r="AN764" s="82"/>
      <c r="AO764" s="82"/>
      <c r="AP764" s="82"/>
      <c r="AQ764" s="82"/>
      <c r="AR764" s="82"/>
      <c r="AS764" s="82"/>
      <c r="AT764" s="82"/>
      <c r="AU764" s="82"/>
      <c r="AV764" s="82"/>
      <c r="AW764" s="82" t="str">
        <f t="shared" si="1"/>
        <v/>
      </c>
      <c r="AX764" s="83" t="str">
        <f t="array" ref="AX764">IFERROR(DGET('SBV Import'!A:G,"SBV",{"RSC ID","Tier";B764,A764}))</f>
        <v/>
      </c>
      <c r="AY764" s="82" t="str">
        <f t="shared" si="2"/>
        <v/>
      </c>
      <c r="AZ764" s="82"/>
      <c r="BA764" s="84" t="s">
        <v>152</v>
      </c>
      <c r="BB764" s="84" t="str">
        <f>IFERROR(__xludf.DUMMYFUNCTION("iferror(if(A764="""",,E764&gt;=FILTER(Constants!$F$2:$F$10,Constants!$A$2:$A$10=A764)))"),"")</f>
        <v/>
      </c>
    </row>
    <row r="765">
      <c r="A765" s="80"/>
      <c r="B765" s="73"/>
      <c r="C765" s="73"/>
      <c r="D765" s="73"/>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c r="AG765" s="82"/>
      <c r="AH765" s="82"/>
      <c r="AI765" s="82"/>
      <c r="AJ765" s="82"/>
      <c r="AK765" s="82"/>
      <c r="AL765" s="82"/>
      <c r="AM765" s="82"/>
      <c r="AN765" s="82"/>
      <c r="AO765" s="82"/>
      <c r="AP765" s="82"/>
      <c r="AQ765" s="82"/>
      <c r="AR765" s="82"/>
      <c r="AS765" s="82"/>
      <c r="AT765" s="82"/>
      <c r="AU765" s="82"/>
      <c r="AV765" s="82"/>
      <c r="AW765" s="82" t="str">
        <f t="shared" si="1"/>
        <v/>
      </c>
      <c r="AX765" s="83" t="str">
        <f t="array" ref="AX765">IFERROR(DGET('SBV Import'!A:G,"SBV",{"RSC ID","Tier";B765,A765}))</f>
        <v/>
      </c>
      <c r="AY765" s="82" t="str">
        <f t="shared" si="2"/>
        <v/>
      </c>
      <c r="AZ765" s="82"/>
      <c r="BA765" s="84" t="s">
        <v>152</v>
      </c>
      <c r="BB765" s="84" t="str">
        <f>IFERROR(__xludf.DUMMYFUNCTION("iferror(if(A765="""",,E765&gt;=FILTER(Constants!$F$2:$F$10,Constants!$A$2:$A$10=A765)))"),"")</f>
        <v/>
      </c>
    </row>
    <row r="766">
      <c r="A766" s="80"/>
      <c r="B766" s="73"/>
      <c r="C766" s="73"/>
      <c r="D766" s="73"/>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c r="AG766" s="82"/>
      <c r="AH766" s="82"/>
      <c r="AI766" s="82"/>
      <c r="AJ766" s="82"/>
      <c r="AK766" s="82"/>
      <c r="AL766" s="82"/>
      <c r="AM766" s="82"/>
      <c r="AN766" s="82"/>
      <c r="AO766" s="82"/>
      <c r="AP766" s="82"/>
      <c r="AQ766" s="82"/>
      <c r="AR766" s="82"/>
      <c r="AS766" s="82"/>
      <c r="AT766" s="82"/>
      <c r="AU766" s="82"/>
      <c r="AV766" s="82"/>
      <c r="AW766" s="82" t="str">
        <f t="shared" si="1"/>
        <v/>
      </c>
      <c r="AX766" s="83" t="str">
        <f t="array" ref="AX766">IFERROR(DGET('SBV Import'!A:G,"SBV",{"RSC ID","Tier";B766,A766}))</f>
        <v/>
      </c>
      <c r="AY766" s="82" t="str">
        <f t="shared" si="2"/>
        <v/>
      </c>
      <c r="AZ766" s="82"/>
      <c r="BA766" s="84" t="s">
        <v>152</v>
      </c>
      <c r="BB766" s="84" t="str">
        <f>IFERROR(__xludf.DUMMYFUNCTION("iferror(if(A766="""",,E766&gt;=FILTER(Constants!$F$2:$F$10,Constants!$A$2:$A$10=A766)))"),"")</f>
        <v/>
      </c>
    </row>
    <row r="767">
      <c r="A767" s="80"/>
      <c r="B767" s="73"/>
      <c r="C767" s="73"/>
      <c r="D767" s="73"/>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c r="AG767" s="82"/>
      <c r="AH767" s="82"/>
      <c r="AI767" s="82"/>
      <c r="AJ767" s="82"/>
      <c r="AK767" s="82"/>
      <c r="AL767" s="82"/>
      <c r="AM767" s="82"/>
      <c r="AN767" s="82"/>
      <c r="AO767" s="82"/>
      <c r="AP767" s="82"/>
      <c r="AQ767" s="82"/>
      <c r="AR767" s="82"/>
      <c r="AS767" s="82"/>
      <c r="AT767" s="82"/>
      <c r="AU767" s="82"/>
      <c r="AV767" s="82"/>
      <c r="AW767" s="82" t="str">
        <f t="shared" si="1"/>
        <v/>
      </c>
      <c r="AX767" s="83" t="str">
        <f t="array" ref="AX767">IFERROR(DGET('SBV Import'!A:G,"SBV",{"RSC ID","Tier";B767,A767}))</f>
        <v/>
      </c>
      <c r="AY767" s="82" t="str">
        <f t="shared" si="2"/>
        <v/>
      </c>
      <c r="AZ767" s="82"/>
      <c r="BA767" s="84" t="s">
        <v>152</v>
      </c>
      <c r="BB767" s="84" t="str">
        <f>IFERROR(__xludf.DUMMYFUNCTION("iferror(if(A767="""",,E767&gt;=FILTER(Constants!$F$2:$F$10,Constants!$A$2:$A$10=A767)))"),"")</f>
        <v/>
      </c>
    </row>
    <row r="768">
      <c r="A768" s="80"/>
      <c r="B768" s="73"/>
      <c r="C768" s="73"/>
      <c r="D768" s="73"/>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c r="AG768" s="82"/>
      <c r="AH768" s="82"/>
      <c r="AI768" s="82"/>
      <c r="AJ768" s="82"/>
      <c r="AK768" s="82"/>
      <c r="AL768" s="82"/>
      <c r="AM768" s="82"/>
      <c r="AN768" s="82"/>
      <c r="AO768" s="82"/>
      <c r="AP768" s="82"/>
      <c r="AQ768" s="82"/>
      <c r="AR768" s="82"/>
      <c r="AS768" s="82"/>
      <c r="AT768" s="82"/>
      <c r="AU768" s="82"/>
      <c r="AV768" s="82"/>
      <c r="AW768" s="82" t="str">
        <f t="shared" si="1"/>
        <v/>
      </c>
      <c r="AX768" s="83" t="str">
        <f t="array" ref="AX768">IFERROR(DGET('SBV Import'!A:G,"SBV",{"RSC ID","Tier";B768,A768}))</f>
        <v/>
      </c>
      <c r="AY768" s="82" t="str">
        <f t="shared" si="2"/>
        <v/>
      </c>
      <c r="AZ768" s="82"/>
      <c r="BA768" s="84" t="s">
        <v>152</v>
      </c>
      <c r="BB768" s="84" t="str">
        <f>IFERROR(__xludf.DUMMYFUNCTION("iferror(if(A768="""",,E768&gt;=FILTER(Constants!$F$2:$F$10,Constants!$A$2:$A$10=A768)))"),"")</f>
        <v/>
      </c>
    </row>
    <row r="769">
      <c r="A769" s="80"/>
      <c r="B769" s="73"/>
      <c r="C769" s="73"/>
      <c r="D769" s="73"/>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c r="AG769" s="82"/>
      <c r="AH769" s="82"/>
      <c r="AI769" s="82"/>
      <c r="AJ769" s="82"/>
      <c r="AK769" s="82"/>
      <c r="AL769" s="82"/>
      <c r="AM769" s="82"/>
      <c r="AN769" s="82"/>
      <c r="AO769" s="82"/>
      <c r="AP769" s="82"/>
      <c r="AQ769" s="82"/>
      <c r="AR769" s="82"/>
      <c r="AS769" s="82"/>
      <c r="AT769" s="82"/>
      <c r="AU769" s="82"/>
      <c r="AV769" s="82"/>
      <c r="AW769" s="82" t="str">
        <f t="shared" si="1"/>
        <v/>
      </c>
      <c r="AX769" s="83" t="str">
        <f t="array" ref="AX769">IFERROR(DGET('SBV Import'!A:G,"SBV",{"RSC ID","Tier";B769,A769}))</f>
        <v/>
      </c>
      <c r="AY769" s="82" t="str">
        <f t="shared" si="2"/>
        <v/>
      </c>
      <c r="AZ769" s="82"/>
      <c r="BA769" s="84" t="s">
        <v>152</v>
      </c>
      <c r="BB769" s="84" t="str">
        <f>IFERROR(__xludf.DUMMYFUNCTION("iferror(if(A769="""",,E769&gt;=FILTER(Constants!$F$2:$F$10,Constants!$A$2:$A$10=A769)))"),"")</f>
        <v/>
      </c>
    </row>
    <row r="770">
      <c r="A770" s="80"/>
      <c r="B770" s="73"/>
      <c r="C770" s="73"/>
      <c r="D770" s="73"/>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c r="AG770" s="82"/>
      <c r="AH770" s="82"/>
      <c r="AI770" s="82"/>
      <c r="AJ770" s="82"/>
      <c r="AK770" s="82"/>
      <c r="AL770" s="82"/>
      <c r="AM770" s="82"/>
      <c r="AN770" s="82"/>
      <c r="AO770" s="82"/>
      <c r="AP770" s="82"/>
      <c r="AQ770" s="82"/>
      <c r="AR770" s="82"/>
      <c r="AS770" s="82"/>
      <c r="AT770" s="82"/>
      <c r="AU770" s="82"/>
      <c r="AV770" s="82"/>
      <c r="AW770" s="82" t="str">
        <f t="shared" si="1"/>
        <v/>
      </c>
      <c r="AX770" s="83" t="str">
        <f t="array" ref="AX770">IFERROR(DGET('SBV Import'!A:G,"SBV",{"RSC ID","Tier";B770,A770}))</f>
        <v/>
      </c>
      <c r="AY770" s="82" t="str">
        <f t="shared" si="2"/>
        <v/>
      </c>
      <c r="AZ770" s="82"/>
      <c r="BA770" s="84" t="s">
        <v>152</v>
      </c>
      <c r="BB770" s="84" t="str">
        <f>IFERROR(__xludf.DUMMYFUNCTION("iferror(if(A770="""",,E770&gt;=FILTER(Constants!$F$2:$F$10,Constants!$A$2:$A$10=A770)))"),"")</f>
        <v/>
      </c>
    </row>
    <row r="771">
      <c r="A771" s="80"/>
      <c r="B771" s="73"/>
      <c r="C771" s="73"/>
      <c r="D771" s="73"/>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c r="AG771" s="82"/>
      <c r="AH771" s="82"/>
      <c r="AI771" s="82"/>
      <c r="AJ771" s="82"/>
      <c r="AK771" s="82"/>
      <c r="AL771" s="82"/>
      <c r="AM771" s="82"/>
      <c r="AN771" s="82"/>
      <c r="AO771" s="82"/>
      <c r="AP771" s="82"/>
      <c r="AQ771" s="82"/>
      <c r="AR771" s="82"/>
      <c r="AS771" s="82"/>
      <c r="AT771" s="82"/>
      <c r="AU771" s="82"/>
      <c r="AV771" s="82"/>
      <c r="AW771" s="82" t="str">
        <f t="shared" si="1"/>
        <v/>
      </c>
      <c r="AX771" s="83" t="str">
        <f t="array" ref="AX771">IFERROR(DGET('SBV Import'!A:G,"SBV",{"RSC ID","Tier";B771,A771}))</f>
        <v/>
      </c>
      <c r="AY771" s="82" t="str">
        <f t="shared" si="2"/>
        <v/>
      </c>
      <c r="AZ771" s="82"/>
      <c r="BA771" s="84" t="s">
        <v>152</v>
      </c>
      <c r="BB771" s="84" t="str">
        <f>IFERROR(__xludf.DUMMYFUNCTION("iferror(if(A771="""",,E771&gt;=FILTER(Constants!$F$2:$F$10,Constants!$A$2:$A$10=A771)))"),"")</f>
        <v/>
      </c>
    </row>
    <row r="772">
      <c r="A772" s="80"/>
      <c r="B772" s="73"/>
      <c r="C772" s="73"/>
      <c r="D772" s="73"/>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c r="AG772" s="82"/>
      <c r="AH772" s="82"/>
      <c r="AI772" s="82"/>
      <c r="AJ772" s="82"/>
      <c r="AK772" s="82"/>
      <c r="AL772" s="82"/>
      <c r="AM772" s="82"/>
      <c r="AN772" s="82"/>
      <c r="AO772" s="82"/>
      <c r="AP772" s="82"/>
      <c r="AQ772" s="82"/>
      <c r="AR772" s="82"/>
      <c r="AS772" s="82"/>
      <c r="AT772" s="82"/>
      <c r="AU772" s="82"/>
      <c r="AV772" s="82"/>
      <c r="AW772" s="82" t="str">
        <f t="shared" si="1"/>
        <v/>
      </c>
      <c r="AX772" s="83" t="str">
        <f t="array" ref="AX772">IFERROR(DGET('SBV Import'!A:G,"SBV",{"RSC ID","Tier";B772,A772}))</f>
        <v/>
      </c>
      <c r="AY772" s="82" t="str">
        <f t="shared" si="2"/>
        <v/>
      </c>
      <c r="AZ772" s="82"/>
      <c r="BA772" s="84" t="s">
        <v>152</v>
      </c>
      <c r="BB772" s="84" t="str">
        <f>IFERROR(__xludf.DUMMYFUNCTION("iferror(if(A772="""",,E772&gt;=FILTER(Constants!$F$2:$F$10,Constants!$A$2:$A$10=A772)))"),"")</f>
        <v/>
      </c>
    </row>
    <row r="773">
      <c r="A773" s="80"/>
      <c r="B773" s="73"/>
      <c r="C773" s="73"/>
      <c r="D773" s="73"/>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c r="AG773" s="82"/>
      <c r="AH773" s="82"/>
      <c r="AI773" s="82"/>
      <c r="AJ773" s="82"/>
      <c r="AK773" s="82"/>
      <c r="AL773" s="82"/>
      <c r="AM773" s="82"/>
      <c r="AN773" s="82"/>
      <c r="AO773" s="82"/>
      <c r="AP773" s="82"/>
      <c r="AQ773" s="82"/>
      <c r="AR773" s="82"/>
      <c r="AS773" s="82"/>
      <c r="AT773" s="82"/>
      <c r="AU773" s="82"/>
      <c r="AV773" s="82"/>
      <c r="AW773" s="82" t="str">
        <f t="shared" si="1"/>
        <v/>
      </c>
      <c r="AX773" s="83" t="str">
        <f t="array" ref="AX773">IFERROR(DGET('SBV Import'!A:G,"SBV",{"RSC ID","Tier";B773,A773}))</f>
        <v/>
      </c>
      <c r="AY773" s="82" t="str">
        <f t="shared" si="2"/>
        <v/>
      </c>
      <c r="AZ773" s="82"/>
      <c r="BA773" s="84" t="s">
        <v>152</v>
      </c>
      <c r="BB773" s="84" t="str">
        <f>IFERROR(__xludf.DUMMYFUNCTION("iferror(if(A773="""",,E773&gt;=FILTER(Constants!$F$2:$F$10,Constants!$A$2:$A$10=A773)))"),"")</f>
        <v/>
      </c>
    </row>
    <row r="774">
      <c r="A774" s="80"/>
      <c r="B774" s="73"/>
      <c r="C774" s="73"/>
      <c r="D774" s="73"/>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c r="AG774" s="82"/>
      <c r="AH774" s="82"/>
      <c r="AI774" s="82"/>
      <c r="AJ774" s="82"/>
      <c r="AK774" s="82"/>
      <c r="AL774" s="82"/>
      <c r="AM774" s="82"/>
      <c r="AN774" s="82"/>
      <c r="AO774" s="82"/>
      <c r="AP774" s="82"/>
      <c r="AQ774" s="82"/>
      <c r="AR774" s="82"/>
      <c r="AS774" s="82"/>
      <c r="AT774" s="82"/>
      <c r="AU774" s="82"/>
      <c r="AV774" s="82"/>
      <c r="AW774" s="82" t="str">
        <f t="shared" si="1"/>
        <v/>
      </c>
      <c r="AX774" s="83" t="str">
        <f t="array" ref="AX774">IFERROR(DGET('SBV Import'!A:G,"SBV",{"RSC ID","Tier";B774,A774}))</f>
        <v/>
      </c>
      <c r="AY774" s="82" t="str">
        <f t="shared" si="2"/>
        <v/>
      </c>
      <c r="AZ774" s="82"/>
      <c r="BA774" s="84" t="s">
        <v>152</v>
      </c>
      <c r="BB774" s="84" t="str">
        <f>IFERROR(__xludf.DUMMYFUNCTION("iferror(if(A774="""",,E774&gt;=FILTER(Constants!$F$2:$F$10,Constants!$A$2:$A$10=A774)))"),"")</f>
        <v/>
      </c>
    </row>
    <row r="775">
      <c r="A775" s="80"/>
      <c r="B775" s="73"/>
      <c r="C775" s="73"/>
      <c r="D775" s="73"/>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82"/>
      <c r="AI775" s="82"/>
      <c r="AJ775" s="82"/>
      <c r="AK775" s="82"/>
      <c r="AL775" s="82"/>
      <c r="AM775" s="82"/>
      <c r="AN775" s="82"/>
      <c r="AO775" s="82"/>
      <c r="AP775" s="82"/>
      <c r="AQ775" s="82"/>
      <c r="AR775" s="82"/>
      <c r="AS775" s="82"/>
      <c r="AT775" s="82"/>
      <c r="AU775" s="82"/>
      <c r="AV775" s="82"/>
      <c r="AW775" s="82" t="str">
        <f t="shared" si="1"/>
        <v/>
      </c>
      <c r="AX775" s="83" t="str">
        <f t="array" ref="AX775">IFERROR(DGET('SBV Import'!A:G,"SBV",{"RSC ID","Tier";B775,A775}))</f>
        <v/>
      </c>
      <c r="AY775" s="82" t="str">
        <f t="shared" si="2"/>
        <v/>
      </c>
      <c r="AZ775" s="82"/>
      <c r="BA775" s="84" t="s">
        <v>152</v>
      </c>
      <c r="BB775" s="84" t="str">
        <f>IFERROR(__xludf.DUMMYFUNCTION("iferror(if(A775="""",,E775&gt;=FILTER(Constants!$F$2:$F$10,Constants!$A$2:$A$10=A775)))"),"")</f>
        <v/>
      </c>
    </row>
    <row r="776">
      <c r="A776" s="80"/>
      <c r="B776" s="73"/>
      <c r="C776" s="73"/>
      <c r="D776" s="73"/>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c r="AG776" s="82"/>
      <c r="AH776" s="82"/>
      <c r="AI776" s="82"/>
      <c r="AJ776" s="82"/>
      <c r="AK776" s="82"/>
      <c r="AL776" s="82"/>
      <c r="AM776" s="82"/>
      <c r="AN776" s="82"/>
      <c r="AO776" s="82"/>
      <c r="AP776" s="82"/>
      <c r="AQ776" s="82"/>
      <c r="AR776" s="82"/>
      <c r="AS776" s="82"/>
      <c r="AT776" s="82"/>
      <c r="AU776" s="82"/>
      <c r="AV776" s="82"/>
      <c r="AW776" s="82" t="str">
        <f t="shared" si="1"/>
        <v/>
      </c>
      <c r="AX776" s="83" t="str">
        <f t="array" ref="AX776">IFERROR(DGET('SBV Import'!A:G,"SBV",{"RSC ID","Tier";B776,A776}))</f>
        <v/>
      </c>
      <c r="AY776" s="82" t="str">
        <f t="shared" si="2"/>
        <v/>
      </c>
      <c r="AZ776" s="82"/>
      <c r="BA776" s="84" t="s">
        <v>152</v>
      </c>
      <c r="BB776" s="84" t="str">
        <f>IFERROR(__xludf.DUMMYFUNCTION("iferror(if(A776="""",,E776&gt;=FILTER(Constants!$F$2:$F$10,Constants!$A$2:$A$10=A776)))"),"")</f>
        <v/>
      </c>
    </row>
    <row r="777">
      <c r="A777" s="80"/>
      <c r="B777" s="73"/>
      <c r="C777" s="73"/>
      <c r="D777" s="73"/>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c r="AG777" s="82"/>
      <c r="AH777" s="82"/>
      <c r="AI777" s="82"/>
      <c r="AJ777" s="82"/>
      <c r="AK777" s="82"/>
      <c r="AL777" s="82"/>
      <c r="AM777" s="82"/>
      <c r="AN777" s="82"/>
      <c r="AO777" s="82"/>
      <c r="AP777" s="82"/>
      <c r="AQ777" s="82"/>
      <c r="AR777" s="82"/>
      <c r="AS777" s="82"/>
      <c r="AT777" s="82"/>
      <c r="AU777" s="82"/>
      <c r="AV777" s="82"/>
      <c r="AW777" s="82" t="str">
        <f t="shared" si="1"/>
        <v/>
      </c>
      <c r="AX777" s="83" t="str">
        <f t="array" ref="AX777">IFERROR(DGET('SBV Import'!A:G,"SBV",{"RSC ID","Tier";B777,A777}))</f>
        <v/>
      </c>
      <c r="AY777" s="82" t="str">
        <f t="shared" si="2"/>
        <v/>
      </c>
      <c r="AZ777" s="82"/>
      <c r="BA777" s="84" t="s">
        <v>152</v>
      </c>
      <c r="BB777" s="84" t="str">
        <f>IFERROR(__xludf.DUMMYFUNCTION("iferror(if(A777="""",,E777&gt;=FILTER(Constants!$F$2:$F$10,Constants!$A$2:$A$10=A777)))"),"")</f>
        <v/>
      </c>
    </row>
    <row r="778">
      <c r="A778" s="80"/>
      <c r="B778" s="73"/>
      <c r="C778" s="73"/>
      <c r="D778" s="73"/>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c r="AG778" s="82"/>
      <c r="AH778" s="82"/>
      <c r="AI778" s="82"/>
      <c r="AJ778" s="82"/>
      <c r="AK778" s="82"/>
      <c r="AL778" s="82"/>
      <c r="AM778" s="82"/>
      <c r="AN778" s="82"/>
      <c r="AO778" s="82"/>
      <c r="AP778" s="82"/>
      <c r="AQ778" s="82"/>
      <c r="AR778" s="82"/>
      <c r="AS778" s="82"/>
      <c r="AT778" s="82"/>
      <c r="AU778" s="82"/>
      <c r="AV778" s="82"/>
      <c r="AW778" s="82" t="str">
        <f t="shared" si="1"/>
        <v/>
      </c>
      <c r="AX778" s="83" t="str">
        <f t="array" ref="AX778">IFERROR(DGET('SBV Import'!A:G,"SBV",{"RSC ID","Tier";B778,A778}))</f>
        <v/>
      </c>
      <c r="AY778" s="82" t="str">
        <f t="shared" si="2"/>
        <v/>
      </c>
      <c r="AZ778" s="82"/>
      <c r="BA778" s="84" t="s">
        <v>152</v>
      </c>
      <c r="BB778" s="84" t="str">
        <f>IFERROR(__xludf.DUMMYFUNCTION("iferror(if(A778="""",,E778&gt;=FILTER(Constants!$F$2:$F$10,Constants!$A$2:$A$10=A778)))"),"")</f>
        <v/>
      </c>
    </row>
    <row r="779">
      <c r="A779" s="80"/>
      <c r="B779" s="73"/>
      <c r="C779" s="73"/>
      <c r="D779" s="73"/>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c r="AG779" s="82"/>
      <c r="AH779" s="82"/>
      <c r="AI779" s="82"/>
      <c r="AJ779" s="82"/>
      <c r="AK779" s="82"/>
      <c r="AL779" s="82"/>
      <c r="AM779" s="82"/>
      <c r="AN779" s="82"/>
      <c r="AO779" s="82"/>
      <c r="AP779" s="82"/>
      <c r="AQ779" s="82"/>
      <c r="AR779" s="82"/>
      <c r="AS779" s="82"/>
      <c r="AT779" s="82"/>
      <c r="AU779" s="82"/>
      <c r="AV779" s="82"/>
      <c r="AW779" s="82" t="str">
        <f t="shared" si="1"/>
        <v/>
      </c>
      <c r="AX779" s="83" t="str">
        <f t="array" ref="AX779">IFERROR(DGET('SBV Import'!A:G,"SBV",{"RSC ID","Tier";B779,A779}))</f>
        <v/>
      </c>
      <c r="AY779" s="82" t="str">
        <f t="shared" si="2"/>
        <v/>
      </c>
      <c r="AZ779" s="82"/>
      <c r="BA779" s="84" t="s">
        <v>152</v>
      </c>
      <c r="BB779" s="84" t="str">
        <f>IFERROR(__xludf.DUMMYFUNCTION("iferror(if(A779="""",,E779&gt;=FILTER(Constants!$F$2:$F$10,Constants!$A$2:$A$10=A779)))"),"")</f>
        <v/>
      </c>
    </row>
    <row r="780">
      <c r="A780" s="80"/>
      <c r="B780" s="73"/>
      <c r="C780" s="73"/>
      <c r="D780" s="73"/>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c r="AG780" s="82"/>
      <c r="AH780" s="82"/>
      <c r="AI780" s="82"/>
      <c r="AJ780" s="82"/>
      <c r="AK780" s="82"/>
      <c r="AL780" s="82"/>
      <c r="AM780" s="82"/>
      <c r="AN780" s="82"/>
      <c r="AO780" s="82"/>
      <c r="AP780" s="82"/>
      <c r="AQ780" s="82"/>
      <c r="AR780" s="82"/>
      <c r="AS780" s="82"/>
      <c r="AT780" s="82"/>
      <c r="AU780" s="82"/>
      <c r="AV780" s="82"/>
      <c r="AW780" s="82" t="str">
        <f t="shared" si="1"/>
        <v/>
      </c>
      <c r="AX780" s="83" t="str">
        <f t="array" ref="AX780">IFERROR(DGET('SBV Import'!A:G,"SBV",{"RSC ID","Tier";B780,A780}))</f>
        <v/>
      </c>
      <c r="AY780" s="82" t="str">
        <f t="shared" si="2"/>
        <v/>
      </c>
      <c r="AZ780" s="82"/>
      <c r="BA780" s="84" t="s">
        <v>152</v>
      </c>
      <c r="BB780" s="84" t="str">
        <f>IFERROR(__xludf.DUMMYFUNCTION("iferror(if(A780="""",,E780&gt;=FILTER(Constants!$F$2:$F$10,Constants!$A$2:$A$10=A780)))"),"")</f>
        <v/>
      </c>
    </row>
    <row r="781">
      <c r="A781" s="80"/>
      <c r="B781" s="73"/>
      <c r="C781" s="73"/>
      <c r="D781" s="73"/>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82"/>
      <c r="AI781" s="82"/>
      <c r="AJ781" s="82"/>
      <c r="AK781" s="82"/>
      <c r="AL781" s="82"/>
      <c r="AM781" s="82"/>
      <c r="AN781" s="82"/>
      <c r="AO781" s="82"/>
      <c r="AP781" s="82"/>
      <c r="AQ781" s="82"/>
      <c r="AR781" s="82"/>
      <c r="AS781" s="82"/>
      <c r="AT781" s="82"/>
      <c r="AU781" s="82"/>
      <c r="AV781" s="82"/>
      <c r="AW781" s="82" t="str">
        <f t="shared" si="1"/>
        <v/>
      </c>
      <c r="AX781" s="83" t="str">
        <f t="array" ref="AX781">IFERROR(DGET('SBV Import'!A:G,"SBV",{"RSC ID","Tier";B781,A781}))</f>
        <v/>
      </c>
      <c r="AY781" s="82" t="str">
        <f t="shared" si="2"/>
        <v/>
      </c>
      <c r="AZ781" s="82"/>
      <c r="BA781" s="84" t="s">
        <v>152</v>
      </c>
      <c r="BB781" s="84" t="str">
        <f>IFERROR(__xludf.DUMMYFUNCTION("iferror(if(A781="""",,E781&gt;=FILTER(Constants!$F$2:$F$10,Constants!$A$2:$A$10=A781)))"),"")</f>
        <v/>
      </c>
    </row>
    <row r="782">
      <c r="A782" s="80"/>
      <c r="B782" s="73"/>
      <c r="C782" s="73"/>
      <c r="D782" s="73"/>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c r="AG782" s="82"/>
      <c r="AH782" s="82"/>
      <c r="AI782" s="82"/>
      <c r="AJ782" s="82"/>
      <c r="AK782" s="82"/>
      <c r="AL782" s="82"/>
      <c r="AM782" s="82"/>
      <c r="AN782" s="82"/>
      <c r="AO782" s="82"/>
      <c r="AP782" s="82"/>
      <c r="AQ782" s="82"/>
      <c r="AR782" s="82"/>
      <c r="AS782" s="82"/>
      <c r="AT782" s="82"/>
      <c r="AU782" s="82"/>
      <c r="AV782" s="82"/>
      <c r="AW782" s="82" t="str">
        <f t="shared" si="1"/>
        <v/>
      </c>
      <c r="AX782" s="83" t="str">
        <f t="array" ref="AX782">IFERROR(DGET('SBV Import'!A:G,"SBV",{"RSC ID","Tier";B782,A782}))</f>
        <v/>
      </c>
      <c r="AY782" s="82" t="str">
        <f t="shared" si="2"/>
        <v/>
      </c>
      <c r="AZ782" s="82"/>
      <c r="BA782" s="84" t="s">
        <v>152</v>
      </c>
      <c r="BB782" s="84" t="str">
        <f>IFERROR(__xludf.DUMMYFUNCTION("iferror(if(A782="""",,E782&gt;=FILTER(Constants!$F$2:$F$10,Constants!$A$2:$A$10=A782)))"),"")</f>
        <v/>
      </c>
    </row>
    <row r="783">
      <c r="A783" s="80"/>
      <c r="B783" s="73"/>
      <c r="C783" s="73"/>
      <c r="D783" s="73"/>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c r="AG783" s="82"/>
      <c r="AH783" s="82"/>
      <c r="AI783" s="82"/>
      <c r="AJ783" s="82"/>
      <c r="AK783" s="82"/>
      <c r="AL783" s="82"/>
      <c r="AM783" s="82"/>
      <c r="AN783" s="82"/>
      <c r="AO783" s="82"/>
      <c r="AP783" s="82"/>
      <c r="AQ783" s="82"/>
      <c r="AR783" s="82"/>
      <c r="AS783" s="82"/>
      <c r="AT783" s="82"/>
      <c r="AU783" s="82"/>
      <c r="AV783" s="82"/>
      <c r="AW783" s="82" t="str">
        <f t="shared" si="1"/>
        <v/>
      </c>
      <c r="AX783" s="83" t="str">
        <f t="array" ref="AX783">IFERROR(DGET('SBV Import'!A:G,"SBV",{"RSC ID","Tier";B783,A783}))</f>
        <v/>
      </c>
      <c r="AY783" s="82" t="str">
        <f t="shared" si="2"/>
        <v/>
      </c>
      <c r="AZ783" s="82"/>
      <c r="BA783" s="84" t="s">
        <v>152</v>
      </c>
      <c r="BB783" s="84" t="str">
        <f>IFERROR(__xludf.DUMMYFUNCTION("iferror(if(A783="""",,E783&gt;=FILTER(Constants!$F$2:$F$10,Constants!$A$2:$A$10=A783)))"),"")</f>
        <v/>
      </c>
    </row>
    <row r="784">
      <c r="A784" s="80"/>
      <c r="B784" s="73"/>
      <c r="C784" s="73"/>
      <c r="D784" s="73"/>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c r="AG784" s="82"/>
      <c r="AH784" s="82"/>
      <c r="AI784" s="82"/>
      <c r="AJ784" s="82"/>
      <c r="AK784" s="82"/>
      <c r="AL784" s="82"/>
      <c r="AM784" s="82"/>
      <c r="AN784" s="82"/>
      <c r="AO784" s="82"/>
      <c r="AP784" s="82"/>
      <c r="AQ784" s="82"/>
      <c r="AR784" s="82"/>
      <c r="AS784" s="82"/>
      <c r="AT784" s="82"/>
      <c r="AU784" s="82"/>
      <c r="AV784" s="82"/>
      <c r="AW784" s="82" t="str">
        <f t="shared" si="1"/>
        <v/>
      </c>
      <c r="AX784" s="83" t="str">
        <f t="array" ref="AX784">IFERROR(DGET('SBV Import'!A:G,"SBV",{"RSC ID","Tier";B784,A784}))</f>
        <v/>
      </c>
      <c r="AY784" s="82" t="str">
        <f t="shared" si="2"/>
        <v/>
      </c>
      <c r="AZ784" s="82"/>
      <c r="BA784" s="84" t="s">
        <v>152</v>
      </c>
      <c r="BB784" s="84" t="str">
        <f>IFERROR(__xludf.DUMMYFUNCTION("iferror(if(A784="""",,E784&gt;=FILTER(Constants!$F$2:$F$10,Constants!$A$2:$A$10=A784)))"),"")</f>
        <v/>
      </c>
    </row>
    <row r="785">
      <c r="A785" s="80"/>
      <c r="B785" s="73"/>
      <c r="C785" s="73"/>
      <c r="D785" s="73"/>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c r="AG785" s="82"/>
      <c r="AH785" s="82"/>
      <c r="AI785" s="82"/>
      <c r="AJ785" s="82"/>
      <c r="AK785" s="82"/>
      <c r="AL785" s="82"/>
      <c r="AM785" s="82"/>
      <c r="AN785" s="82"/>
      <c r="AO785" s="82"/>
      <c r="AP785" s="82"/>
      <c r="AQ785" s="82"/>
      <c r="AR785" s="82"/>
      <c r="AS785" s="82"/>
      <c r="AT785" s="82"/>
      <c r="AU785" s="82"/>
      <c r="AV785" s="82"/>
      <c r="AW785" s="82" t="str">
        <f t="shared" si="1"/>
        <v/>
      </c>
      <c r="AX785" s="83" t="str">
        <f t="array" ref="AX785">IFERROR(DGET('SBV Import'!A:G,"SBV",{"RSC ID","Tier";B785,A785}))</f>
        <v/>
      </c>
      <c r="AY785" s="82" t="str">
        <f t="shared" si="2"/>
        <v/>
      </c>
      <c r="AZ785" s="82"/>
      <c r="BA785" s="84" t="s">
        <v>152</v>
      </c>
      <c r="BB785" s="84" t="str">
        <f>IFERROR(__xludf.DUMMYFUNCTION("iferror(if(A785="""",,E785&gt;=FILTER(Constants!$F$2:$F$10,Constants!$A$2:$A$10=A785)))"),"")</f>
        <v/>
      </c>
    </row>
    <row r="786">
      <c r="A786" s="80"/>
      <c r="B786" s="73"/>
      <c r="C786" s="73"/>
      <c r="D786" s="73"/>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c r="AG786" s="82"/>
      <c r="AH786" s="82"/>
      <c r="AI786" s="82"/>
      <c r="AJ786" s="82"/>
      <c r="AK786" s="82"/>
      <c r="AL786" s="82"/>
      <c r="AM786" s="82"/>
      <c r="AN786" s="82"/>
      <c r="AO786" s="82"/>
      <c r="AP786" s="82"/>
      <c r="AQ786" s="82"/>
      <c r="AR786" s="82"/>
      <c r="AS786" s="82"/>
      <c r="AT786" s="82"/>
      <c r="AU786" s="82"/>
      <c r="AV786" s="82"/>
      <c r="AW786" s="82" t="str">
        <f t="shared" si="1"/>
        <v/>
      </c>
      <c r="AX786" s="83" t="str">
        <f t="array" ref="AX786">IFERROR(DGET('SBV Import'!A:G,"SBV",{"RSC ID","Tier";B786,A786}))</f>
        <v/>
      </c>
      <c r="AY786" s="82" t="str">
        <f t="shared" si="2"/>
        <v/>
      </c>
      <c r="AZ786" s="82"/>
      <c r="BA786" s="84" t="s">
        <v>152</v>
      </c>
      <c r="BB786" s="84" t="str">
        <f>IFERROR(__xludf.DUMMYFUNCTION("iferror(if(A786="""",,E786&gt;=FILTER(Constants!$F$2:$F$10,Constants!$A$2:$A$10=A786)))"),"")</f>
        <v/>
      </c>
    </row>
    <row r="787">
      <c r="A787" s="80"/>
      <c r="B787" s="73"/>
      <c r="C787" s="73"/>
      <c r="D787" s="73"/>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c r="AG787" s="82"/>
      <c r="AH787" s="82"/>
      <c r="AI787" s="82"/>
      <c r="AJ787" s="82"/>
      <c r="AK787" s="82"/>
      <c r="AL787" s="82"/>
      <c r="AM787" s="82"/>
      <c r="AN787" s="82"/>
      <c r="AO787" s="82"/>
      <c r="AP787" s="82"/>
      <c r="AQ787" s="82"/>
      <c r="AR787" s="82"/>
      <c r="AS787" s="82"/>
      <c r="AT787" s="82"/>
      <c r="AU787" s="82"/>
      <c r="AV787" s="82"/>
      <c r="AW787" s="82" t="str">
        <f t="shared" si="1"/>
        <v/>
      </c>
      <c r="AX787" s="83" t="str">
        <f t="array" ref="AX787">IFERROR(DGET('SBV Import'!A:G,"SBV",{"RSC ID","Tier";B787,A787}))</f>
        <v/>
      </c>
      <c r="AY787" s="82" t="str">
        <f t="shared" si="2"/>
        <v/>
      </c>
      <c r="AZ787" s="82"/>
      <c r="BA787" s="84" t="s">
        <v>152</v>
      </c>
      <c r="BB787" s="84" t="str">
        <f>IFERROR(__xludf.DUMMYFUNCTION("iferror(if(A787="""",,E787&gt;=FILTER(Constants!$F$2:$F$10,Constants!$A$2:$A$10=A787)))"),"")</f>
        <v/>
      </c>
    </row>
    <row r="788">
      <c r="A788" s="80"/>
      <c r="B788" s="73"/>
      <c r="C788" s="73"/>
      <c r="D788" s="73"/>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82"/>
      <c r="AI788" s="82"/>
      <c r="AJ788" s="82"/>
      <c r="AK788" s="82"/>
      <c r="AL788" s="82"/>
      <c r="AM788" s="82"/>
      <c r="AN788" s="82"/>
      <c r="AO788" s="82"/>
      <c r="AP788" s="82"/>
      <c r="AQ788" s="82"/>
      <c r="AR788" s="82"/>
      <c r="AS788" s="82"/>
      <c r="AT788" s="82"/>
      <c r="AU788" s="82"/>
      <c r="AV788" s="82"/>
      <c r="AW788" s="82" t="str">
        <f t="shared" si="1"/>
        <v/>
      </c>
      <c r="AX788" s="83" t="str">
        <f t="array" ref="AX788">IFERROR(DGET('SBV Import'!A:G,"SBV",{"RSC ID","Tier";B788,A788}))</f>
        <v/>
      </c>
      <c r="AY788" s="82" t="str">
        <f t="shared" si="2"/>
        <v/>
      </c>
      <c r="AZ788" s="82"/>
      <c r="BA788" s="84" t="s">
        <v>152</v>
      </c>
      <c r="BB788" s="84" t="str">
        <f>IFERROR(__xludf.DUMMYFUNCTION("iferror(if(A788="""",,E788&gt;=FILTER(Constants!$F$2:$F$10,Constants!$A$2:$A$10=A788)))"),"")</f>
        <v/>
      </c>
    </row>
    <row r="789">
      <c r="A789" s="80"/>
      <c r="B789" s="73"/>
      <c r="C789" s="73"/>
      <c r="D789" s="73"/>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c r="AG789" s="82"/>
      <c r="AH789" s="82"/>
      <c r="AI789" s="82"/>
      <c r="AJ789" s="82"/>
      <c r="AK789" s="82"/>
      <c r="AL789" s="82"/>
      <c r="AM789" s="82"/>
      <c r="AN789" s="82"/>
      <c r="AO789" s="82"/>
      <c r="AP789" s="82"/>
      <c r="AQ789" s="82"/>
      <c r="AR789" s="82"/>
      <c r="AS789" s="82"/>
      <c r="AT789" s="82"/>
      <c r="AU789" s="82"/>
      <c r="AV789" s="82"/>
      <c r="AW789" s="82" t="str">
        <f t="shared" si="1"/>
        <v/>
      </c>
      <c r="AX789" s="83" t="str">
        <f t="array" ref="AX789">IFERROR(DGET('SBV Import'!A:G,"SBV",{"RSC ID","Tier";B789,A789}))</f>
        <v/>
      </c>
      <c r="AY789" s="82" t="str">
        <f t="shared" si="2"/>
        <v/>
      </c>
      <c r="AZ789" s="82"/>
      <c r="BA789" s="84" t="s">
        <v>152</v>
      </c>
      <c r="BB789" s="84" t="str">
        <f>IFERROR(__xludf.DUMMYFUNCTION("iferror(if(A789="""",,E789&gt;=FILTER(Constants!$F$2:$F$10,Constants!$A$2:$A$10=A789)))"),"")</f>
        <v/>
      </c>
    </row>
    <row r="790">
      <c r="A790" s="80"/>
      <c r="B790" s="73"/>
      <c r="C790" s="73"/>
      <c r="D790" s="73"/>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c r="AG790" s="82"/>
      <c r="AH790" s="82"/>
      <c r="AI790" s="82"/>
      <c r="AJ790" s="82"/>
      <c r="AK790" s="82"/>
      <c r="AL790" s="82"/>
      <c r="AM790" s="82"/>
      <c r="AN790" s="82"/>
      <c r="AO790" s="82"/>
      <c r="AP790" s="82"/>
      <c r="AQ790" s="82"/>
      <c r="AR790" s="82"/>
      <c r="AS790" s="82"/>
      <c r="AT790" s="82"/>
      <c r="AU790" s="82"/>
      <c r="AV790" s="82"/>
      <c r="AW790" s="82" t="str">
        <f t="shared" si="1"/>
        <v/>
      </c>
      <c r="AX790" s="83" t="str">
        <f t="array" ref="AX790">IFERROR(DGET('SBV Import'!A:G,"SBV",{"RSC ID","Tier";B790,A790}))</f>
        <v/>
      </c>
      <c r="AY790" s="82" t="str">
        <f t="shared" si="2"/>
        <v/>
      </c>
      <c r="AZ790" s="82"/>
      <c r="BA790" s="84" t="s">
        <v>152</v>
      </c>
      <c r="BB790" s="84" t="str">
        <f>IFERROR(__xludf.DUMMYFUNCTION("iferror(if(A790="""",,E790&gt;=FILTER(Constants!$F$2:$F$10,Constants!$A$2:$A$10=A790)))"),"")</f>
        <v/>
      </c>
    </row>
    <row r="791">
      <c r="A791" s="80"/>
      <c r="B791" s="73"/>
      <c r="C791" s="73"/>
      <c r="D791" s="73"/>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c r="AG791" s="82"/>
      <c r="AH791" s="82"/>
      <c r="AI791" s="82"/>
      <c r="AJ791" s="82"/>
      <c r="AK791" s="82"/>
      <c r="AL791" s="82"/>
      <c r="AM791" s="82"/>
      <c r="AN791" s="82"/>
      <c r="AO791" s="82"/>
      <c r="AP791" s="82"/>
      <c r="AQ791" s="82"/>
      <c r="AR791" s="82"/>
      <c r="AS791" s="82"/>
      <c r="AT791" s="82"/>
      <c r="AU791" s="82"/>
      <c r="AV791" s="82"/>
      <c r="AW791" s="82" t="str">
        <f t="shared" si="1"/>
        <v/>
      </c>
      <c r="AX791" s="83" t="str">
        <f t="array" ref="AX791">IFERROR(DGET('SBV Import'!A:G,"SBV",{"RSC ID","Tier";B791,A791}))</f>
        <v/>
      </c>
      <c r="AY791" s="82" t="str">
        <f t="shared" si="2"/>
        <v/>
      </c>
      <c r="AZ791" s="82"/>
      <c r="BA791" s="84" t="s">
        <v>152</v>
      </c>
      <c r="BB791" s="84" t="str">
        <f>IFERROR(__xludf.DUMMYFUNCTION("iferror(if(A791="""",,E791&gt;=FILTER(Constants!$F$2:$F$10,Constants!$A$2:$A$10=A791)))"),"")</f>
        <v/>
      </c>
    </row>
    <row r="792">
      <c r="A792" s="80"/>
      <c r="B792" s="73"/>
      <c r="C792" s="73"/>
      <c r="D792" s="73"/>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c r="AG792" s="82"/>
      <c r="AH792" s="82"/>
      <c r="AI792" s="82"/>
      <c r="AJ792" s="82"/>
      <c r="AK792" s="82"/>
      <c r="AL792" s="82"/>
      <c r="AM792" s="82"/>
      <c r="AN792" s="82"/>
      <c r="AO792" s="82"/>
      <c r="AP792" s="82"/>
      <c r="AQ792" s="82"/>
      <c r="AR792" s="82"/>
      <c r="AS792" s="82"/>
      <c r="AT792" s="82"/>
      <c r="AU792" s="82"/>
      <c r="AV792" s="82"/>
      <c r="AW792" s="82" t="str">
        <f t="shared" si="1"/>
        <v/>
      </c>
      <c r="AX792" s="83" t="str">
        <f t="array" ref="AX792">IFERROR(DGET('SBV Import'!A:G,"SBV",{"RSC ID","Tier";B792,A792}))</f>
        <v/>
      </c>
      <c r="AY792" s="82" t="str">
        <f t="shared" si="2"/>
        <v/>
      </c>
      <c r="AZ792" s="82"/>
      <c r="BA792" s="84" t="s">
        <v>152</v>
      </c>
      <c r="BB792" s="84" t="str">
        <f>IFERROR(__xludf.DUMMYFUNCTION("iferror(if(A792="""",,E792&gt;=FILTER(Constants!$F$2:$F$10,Constants!$A$2:$A$10=A792)))"),"")</f>
        <v/>
      </c>
    </row>
    <row r="793">
      <c r="A793" s="80"/>
      <c r="B793" s="73"/>
      <c r="C793" s="73"/>
      <c r="D793" s="73"/>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c r="AG793" s="82"/>
      <c r="AH793" s="82"/>
      <c r="AI793" s="82"/>
      <c r="AJ793" s="82"/>
      <c r="AK793" s="82"/>
      <c r="AL793" s="82"/>
      <c r="AM793" s="82"/>
      <c r="AN793" s="82"/>
      <c r="AO793" s="82"/>
      <c r="AP793" s="82"/>
      <c r="AQ793" s="82"/>
      <c r="AR793" s="82"/>
      <c r="AS793" s="82"/>
      <c r="AT793" s="82"/>
      <c r="AU793" s="82"/>
      <c r="AV793" s="82"/>
      <c r="AW793" s="82" t="str">
        <f t="shared" si="1"/>
        <v/>
      </c>
      <c r="AX793" s="83" t="str">
        <f t="array" ref="AX793">IFERROR(DGET('SBV Import'!A:G,"SBV",{"RSC ID","Tier";B793,A793}))</f>
        <v/>
      </c>
      <c r="AY793" s="82" t="str">
        <f t="shared" si="2"/>
        <v/>
      </c>
      <c r="AZ793" s="82"/>
      <c r="BA793" s="84" t="s">
        <v>152</v>
      </c>
      <c r="BB793" s="84" t="str">
        <f>IFERROR(__xludf.DUMMYFUNCTION("iferror(if(A793="""",,E793&gt;=FILTER(Constants!$F$2:$F$10,Constants!$A$2:$A$10=A793)))"),"")</f>
        <v/>
      </c>
    </row>
    <row r="794">
      <c r="A794" s="80"/>
      <c r="B794" s="73"/>
      <c r="C794" s="73"/>
      <c r="D794" s="73"/>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c r="AG794" s="82"/>
      <c r="AH794" s="82"/>
      <c r="AI794" s="82"/>
      <c r="AJ794" s="82"/>
      <c r="AK794" s="82"/>
      <c r="AL794" s="82"/>
      <c r="AM794" s="82"/>
      <c r="AN794" s="82"/>
      <c r="AO794" s="82"/>
      <c r="AP794" s="82"/>
      <c r="AQ794" s="82"/>
      <c r="AR794" s="82"/>
      <c r="AS794" s="82"/>
      <c r="AT794" s="82"/>
      <c r="AU794" s="82"/>
      <c r="AV794" s="82"/>
      <c r="AW794" s="82" t="str">
        <f t="shared" si="1"/>
        <v/>
      </c>
      <c r="AX794" s="83" t="str">
        <f t="array" ref="AX794">IFERROR(DGET('SBV Import'!A:G,"SBV",{"RSC ID","Tier";B794,A794}))</f>
        <v/>
      </c>
      <c r="AY794" s="82" t="str">
        <f t="shared" si="2"/>
        <v/>
      </c>
      <c r="AZ794" s="82"/>
      <c r="BA794" s="84" t="s">
        <v>152</v>
      </c>
      <c r="BB794" s="84" t="str">
        <f>IFERROR(__xludf.DUMMYFUNCTION("iferror(if(A794="""",,E794&gt;=FILTER(Constants!$F$2:$F$10,Constants!$A$2:$A$10=A794)))"),"")</f>
        <v/>
      </c>
    </row>
    <row r="795">
      <c r="A795" s="80"/>
      <c r="B795" s="73"/>
      <c r="C795" s="73"/>
      <c r="D795" s="73"/>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c r="AG795" s="82"/>
      <c r="AH795" s="82"/>
      <c r="AI795" s="82"/>
      <c r="AJ795" s="82"/>
      <c r="AK795" s="82"/>
      <c r="AL795" s="82"/>
      <c r="AM795" s="82"/>
      <c r="AN795" s="82"/>
      <c r="AO795" s="82"/>
      <c r="AP795" s="82"/>
      <c r="AQ795" s="82"/>
      <c r="AR795" s="82"/>
      <c r="AS795" s="82"/>
      <c r="AT795" s="82"/>
      <c r="AU795" s="82"/>
      <c r="AV795" s="82"/>
      <c r="AW795" s="82" t="str">
        <f t="shared" si="1"/>
        <v/>
      </c>
      <c r="AX795" s="83" t="str">
        <f t="array" ref="AX795">IFERROR(DGET('SBV Import'!A:G,"SBV",{"RSC ID","Tier";B795,A795}))</f>
        <v/>
      </c>
      <c r="AY795" s="82" t="str">
        <f t="shared" si="2"/>
        <v/>
      </c>
      <c r="AZ795" s="82"/>
      <c r="BA795" s="84" t="s">
        <v>152</v>
      </c>
      <c r="BB795" s="84" t="str">
        <f>IFERROR(__xludf.DUMMYFUNCTION("iferror(if(A795="""",,E795&gt;=FILTER(Constants!$F$2:$F$10,Constants!$A$2:$A$10=A795)))"),"")</f>
        <v/>
      </c>
    </row>
    <row r="796">
      <c r="A796" s="80"/>
      <c r="B796" s="73"/>
      <c r="C796" s="73"/>
      <c r="D796" s="73"/>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c r="AG796" s="82"/>
      <c r="AH796" s="82"/>
      <c r="AI796" s="82"/>
      <c r="AJ796" s="82"/>
      <c r="AK796" s="82"/>
      <c r="AL796" s="82"/>
      <c r="AM796" s="82"/>
      <c r="AN796" s="82"/>
      <c r="AO796" s="82"/>
      <c r="AP796" s="82"/>
      <c r="AQ796" s="82"/>
      <c r="AR796" s="82"/>
      <c r="AS796" s="82"/>
      <c r="AT796" s="82"/>
      <c r="AU796" s="82"/>
      <c r="AV796" s="82"/>
      <c r="AW796" s="82" t="str">
        <f t="shared" si="1"/>
        <v/>
      </c>
      <c r="AX796" s="83" t="str">
        <f t="array" ref="AX796">IFERROR(DGET('SBV Import'!A:G,"SBV",{"RSC ID","Tier";B796,A796}))</f>
        <v/>
      </c>
      <c r="AY796" s="82" t="str">
        <f t="shared" si="2"/>
        <v/>
      </c>
      <c r="AZ796" s="82"/>
      <c r="BA796" s="84" t="s">
        <v>152</v>
      </c>
      <c r="BB796" s="84" t="str">
        <f>IFERROR(__xludf.DUMMYFUNCTION("iferror(if(A796="""",,E796&gt;=FILTER(Constants!$F$2:$F$10,Constants!$A$2:$A$10=A796)))"),"")</f>
        <v/>
      </c>
    </row>
    <row r="797">
      <c r="A797" s="80"/>
      <c r="B797" s="73"/>
      <c r="C797" s="73"/>
      <c r="D797" s="73"/>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c r="AG797" s="82"/>
      <c r="AH797" s="82"/>
      <c r="AI797" s="82"/>
      <c r="AJ797" s="82"/>
      <c r="AK797" s="82"/>
      <c r="AL797" s="82"/>
      <c r="AM797" s="82"/>
      <c r="AN797" s="82"/>
      <c r="AO797" s="82"/>
      <c r="AP797" s="82"/>
      <c r="AQ797" s="82"/>
      <c r="AR797" s="82"/>
      <c r="AS797" s="82"/>
      <c r="AT797" s="82"/>
      <c r="AU797" s="82"/>
      <c r="AV797" s="82"/>
      <c r="AW797" s="82" t="str">
        <f t="shared" si="1"/>
        <v/>
      </c>
      <c r="AX797" s="83" t="str">
        <f t="array" ref="AX797">IFERROR(DGET('SBV Import'!A:G,"SBV",{"RSC ID","Tier";B797,A797}))</f>
        <v/>
      </c>
      <c r="AY797" s="82" t="str">
        <f t="shared" si="2"/>
        <v/>
      </c>
      <c r="AZ797" s="82"/>
      <c r="BA797" s="84" t="s">
        <v>152</v>
      </c>
      <c r="BB797" s="84" t="str">
        <f>IFERROR(__xludf.DUMMYFUNCTION("iferror(if(A797="""",,E797&gt;=FILTER(Constants!$F$2:$F$10,Constants!$A$2:$A$10=A797)))"),"")</f>
        <v/>
      </c>
    </row>
    <row r="798">
      <c r="A798" s="80"/>
      <c r="B798" s="73"/>
      <c r="C798" s="73"/>
      <c r="D798" s="73"/>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c r="AG798" s="82"/>
      <c r="AH798" s="82"/>
      <c r="AI798" s="82"/>
      <c r="AJ798" s="82"/>
      <c r="AK798" s="82"/>
      <c r="AL798" s="82"/>
      <c r="AM798" s="82"/>
      <c r="AN798" s="82"/>
      <c r="AO798" s="82"/>
      <c r="AP798" s="82"/>
      <c r="AQ798" s="82"/>
      <c r="AR798" s="82"/>
      <c r="AS798" s="82"/>
      <c r="AT798" s="82"/>
      <c r="AU798" s="82"/>
      <c r="AV798" s="82"/>
      <c r="AW798" s="82" t="str">
        <f t="shared" si="1"/>
        <v/>
      </c>
      <c r="AX798" s="83" t="str">
        <f t="array" ref="AX798">IFERROR(DGET('SBV Import'!A:G,"SBV",{"RSC ID","Tier";B798,A798}))</f>
        <v/>
      </c>
      <c r="AY798" s="82" t="str">
        <f t="shared" si="2"/>
        <v/>
      </c>
      <c r="AZ798" s="82"/>
      <c r="BA798" s="84" t="s">
        <v>152</v>
      </c>
      <c r="BB798" s="84" t="str">
        <f>IFERROR(__xludf.DUMMYFUNCTION("iferror(if(A798="""",,E798&gt;=FILTER(Constants!$F$2:$F$10,Constants!$A$2:$A$10=A798)))"),"")</f>
        <v/>
      </c>
    </row>
    <row r="799">
      <c r="A799" s="80"/>
      <c r="B799" s="73"/>
      <c r="C799" s="73"/>
      <c r="D799" s="73"/>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c r="AG799" s="82"/>
      <c r="AH799" s="82"/>
      <c r="AI799" s="82"/>
      <c r="AJ799" s="82"/>
      <c r="AK799" s="82"/>
      <c r="AL799" s="82"/>
      <c r="AM799" s="82"/>
      <c r="AN799" s="82"/>
      <c r="AO799" s="82"/>
      <c r="AP799" s="82"/>
      <c r="AQ799" s="82"/>
      <c r="AR799" s="82"/>
      <c r="AS799" s="82"/>
      <c r="AT799" s="82"/>
      <c r="AU799" s="82"/>
      <c r="AV799" s="82"/>
      <c r="AW799" s="82" t="str">
        <f t="shared" si="1"/>
        <v/>
      </c>
      <c r="AX799" s="83" t="str">
        <f t="array" ref="AX799">IFERROR(DGET('SBV Import'!A:G,"SBV",{"RSC ID","Tier";B799,A799}))</f>
        <v/>
      </c>
      <c r="AY799" s="82" t="str">
        <f t="shared" si="2"/>
        <v/>
      </c>
      <c r="AZ799" s="82"/>
      <c r="BA799" s="84" t="s">
        <v>152</v>
      </c>
      <c r="BB799" s="84" t="str">
        <f>IFERROR(__xludf.DUMMYFUNCTION("iferror(if(A799="""",,E799&gt;=FILTER(Constants!$F$2:$F$10,Constants!$A$2:$A$10=A799)))"),"")</f>
        <v/>
      </c>
    </row>
    <row r="800">
      <c r="A800" s="85" t="str">
        <f>IFERROR(__xludf.DUMMYFUNCTION("QUERY(IMPORTRANGE(Constants!$B4, ""'Player Stats'!a2:AV""), ""Select * order by Col48 desc"")"),"Elite")</f>
        <v>Elite</v>
      </c>
      <c r="B800" s="73" t="str">
        <f>IFERROR(__xludf.DUMMYFUNCTION("""COMPUTED_VALUE"""),"RSC007869")</f>
        <v>RSC007869</v>
      </c>
      <c r="C800" s="73" t="str">
        <f>IFERROR(__xludf.DUMMYFUNCTION("""COMPUTED_VALUE"""),"Swishira")</f>
        <v>Swishira</v>
      </c>
      <c r="D800" s="73" t="str">
        <f>IFERROR(__xludf.DUMMYFUNCTION("""COMPUTED_VALUE"""),"Black-Holes")</f>
        <v>Black-Holes</v>
      </c>
      <c r="E800" s="82">
        <f>IFERROR(__xludf.DUMMYFUNCTION("""COMPUTED_VALUE"""),44.0)</f>
        <v>44</v>
      </c>
      <c r="F800" s="82">
        <f>IFERROR(__xludf.DUMMYFUNCTION("""COMPUTED_VALUE"""),33.0)</f>
        <v>33</v>
      </c>
      <c r="G800" s="82">
        <f>IFERROR(__xludf.DUMMYFUNCTION("""COMPUTED_VALUE"""),11.0)</f>
        <v>11</v>
      </c>
      <c r="H800" s="86">
        <f>IFERROR(__xludf.DUMMYFUNCTION("""COMPUTED_VALUE"""),0.75)</f>
        <v>0.75</v>
      </c>
      <c r="I800" s="86">
        <f>IFERROR(__xludf.DUMMYFUNCTION("""COMPUTED_VALUE"""),0.43195266272189353)</f>
        <v>0.4319526627</v>
      </c>
      <c r="J800" s="82">
        <f>IFERROR(__xludf.DUMMYFUNCTION("""COMPUTED_VALUE"""),506.75)</f>
        <v>506.75</v>
      </c>
      <c r="K800" s="82">
        <f>IFERROR(__xludf.DUMMYFUNCTION("""COMPUTED_VALUE"""),1.6590909090909092)</f>
        <v>1.659090909</v>
      </c>
      <c r="L800" s="82">
        <f>IFERROR(__xludf.DUMMYFUNCTION("""COMPUTED_VALUE"""),1.0909090909090908)</f>
        <v>1.090909091</v>
      </c>
      <c r="M800" s="82">
        <f>IFERROR(__xludf.DUMMYFUNCTION("""COMPUTED_VALUE"""),1.0454545454545454)</f>
        <v>1.045454545</v>
      </c>
      <c r="N800" s="82">
        <f>IFERROR(__xludf.DUMMYFUNCTION("""COMPUTED_VALUE"""),3.840909090909091)</f>
        <v>3.840909091</v>
      </c>
      <c r="O800" s="82">
        <f>IFERROR(__xludf.DUMMYFUNCTION("""COMPUTED_VALUE"""),358.74999999999994)</f>
        <v>358.75</v>
      </c>
      <c r="P800" s="82">
        <f>IFERROR(__xludf.DUMMYFUNCTION("""COMPUTED_VALUE"""),0.712121212121212)</f>
        <v>0.7121212121</v>
      </c>
      <c r="Q800" s="82">
        <f>IFERROR(__xludf.DUMMYFUNCTION("""COMPUTED_VALUE"""),0.5227272727272726)</f>
        <v>0.5227272727</v>
      </c>
      <c r="R800" s="82">
        <f>IFERROR(__xludf.DUMMYFUNCTION("""COMPUTED_VALUE"""),1.636363636363637)</f>
        <v>1.636363636</v>
      </c>
      <c r="S800" s="82">
        <f>IFERROR(__xludf.DUMMYFUNCTION("""COMPUTED_VALUE"""),2.3030303030303028)</f>
        <v>2.303030303</v>
      </c>
      <c r="T800" s="82">
        <f>IFERROR(__xludf.DUMMYFUNCTION("""COMPUTED_VALUE"""),343.57738286951707)</f>
        <v>343.5773829</v>
      </c>
      <c r="U800" s="82">
        <f>IFERROR(__xludf.DUMMYFUNCTION("""COMPUTED_VALUE"""),0.6772052985052306)</f>
        <v>0.6772052985</v>
      </c>
      <c r="V800" s="82">
        <f>IFERROR(__xludf.DUMMYFUNCTION("""COMPUTED_VALUE"""),0.508514680472076)</f>
        <v>0.5085146805</v>
      </c>
      <c r="W800" s="82">
        <f>IFERROR(__xludf.DUMMYFUNCTION("""COMPUTED_VALUE"""),1.4502443680414225)</f>
        <v>1.450244368</v>
      </c>
      <c r="X800" s="82">
        <f>IFERROR(__xludf.DUMMYFUNCTION("""COMPUTED_VALUE"""),2.4852384269988814)</f>
        <v>2.485238427</v>
      </c>
      <c r="Y800" s="82">
        <f>IFERROR(__xludf.DUMMYFUNCTION("""COMPUTED_VALUE"""),373.7245928659395)</f>
        <v>373.7245929</v>
      </c>
      <c r="Z800" s="82">
        <f>IFERROR(__xludf.DUMMYFUNCTION("""COMPUTED_VALUE"""),0.87562202592854)</f>
        <v>0.8756220259</v>
      </c>
      <c r="AA800" s="82">
        <f>IFERROR(__xludf.DUMMYFUNCTION("""COMPUTED_VALUE"""),0.6671629231432222)</f>
        <v>0.6671629231</v>
      </c>
      <c r="AB800" s="82">
        <f>IFERROR(__xludf.DUMMYFUNCTION("""COMPUTED_VALUE"""),1.3477849693761261)</f>
        <v>1.347784969</v>
      </c>
      <c r="AC800" s="82">
        <f>IFERROR(__xludf.DUMMYFUNCTION("""COMPUTED_VALUE"""),2.8493321190650813)</f>
        <v>2.849332119</v>
      </c>
      <c r="AD800" s="82">
        <f>IFERROR(__xludf.DUMMYFUNCTION("""COMPUTED_VALUE"""),1.355945018533417)</f>
        <v>1.355945019</v>
      </c>
      <c r="AE800" s="82">
        <f>IFERROR(__xludf.DUMMYFUNCTION("""COMPUTED_VALUE"""),1.8947569384536114)</f>
        <v>1.894756938</v>
      </c>
      <c r="AF800" s="82">
        <f>IFERROR(__xludf.DUMMYFUNCTION("""COMPUTED_VALUE"""),1.6351464583335389)</f>
        <v>1.635146458</v>
      </c>
      <c r="AG800" s="82">
        <f>IFERROR(__xludf.DUMMYFUNCTION("""COMPUTED_VALUE"""),0.7756834875065227)</f>
        <v>0.7756834875</v>
      </c>
      <c r="AH800" s="82">
        <f>IFERROR(__xludf.DUMMYFUNCTION("""COMPUTED_VALUE"""),1.3480032970566325)</f>
        <v>1.348003297</v>
      </c>
      <c r="AI800" s="82">
        <f>IFERROR(__xludf.DUMMYFUNCTION("""COMPUTED_VALUE"""),1.0441606982501672)</f>
        <v>1.044160698</v>
      </c>
      <c r="AJ800" s="82">
        <f>IFERROR(__xludf.DUMMYFUNCTION("""COMPUTED_VALUE"""),1.0515588311152468)</f>
        <v>1.051558831</v>
      </c>
      <c r="AK800" s="82">
        <f>IFERROR(__xludf.DUMMYFUNCTION("""COMPUTED_VALUE"""),1.0279492270351023)</f>
        <v>1.027949227</v>
      </c>
      <c r="AL800" s="82">
        <f>IFERROR(__xludf.DUMMYFUNCTION("""COMPUTED_VALUE"""),1.1283364875766222)</f>
        <v>1.128336488</v>
      </c>
      <c r="AM800" s="82">
        <f>IFERROR(__xludf.DUMMYFUNCTION("""COMPUTED_VALUE"""),0.926683845707066)</f>
        <v>0.9266838457</v>
      </c>
      <c r="AN800" s="82">
        <f>IFERROR(__xludf.DUMMYFUNCTION("""COMPUTED_VALUE"""),1.4454203195426825)</f>
        <v>1.44542032</v>
      </c>
      <c r="AO800" s="82">
        <f>IFERROR(__xludf.DUMMYFUNCTION("""COMPUTED_VALUE"""),2.340402186361107)</f>
        <v>2.340402186</v>
      </c>
      <c r="AP800" s="82">
        <f>IFERROR(__xludf.DUMMYFUNCTION("""COMPUTED_VALUE"""),1.910930686213385)</f>
        <v>1.910930686</v>
      </c>
      <c r="AQ800" s="82">
        <f>IFERROR(__xludf.DUMMYFUNCTION("""COMPUTED_VALUE"""),0.7334265997833905)</f>
        <v>0.7334265998</v>
      </c>
      <c r="AR800" s="82">
        <f>IFERROR(__xludf.DUMMYFUNCTION("""COMPUTED_VALUE"""),1.5322502810229675)</f>
        <v>1.532250281</v>
      </c>
      <c r="AS800" s="82">
        <f>IFERROR(__xludf.DUMMYFUNCTION("""COMPUTED_VALUE"""),164.0)</f>
        <v>164</v>
      </c>
      <c r="AT800" s="82">
        <f>IFERROR(__xludf.DUMMYFUNCTION("""COMPUTED_VALUE"""),0.7159919352282091)</f>
        <v>0.7159919352</v>
      </c>
      <c r="AU800" s="82">
        <f>IFERROR(__xludf.DUMMYFUNCTION("""COMPUTED_VALUE"""),5.181976468100388)</f>
        <v>5.181976468</v>
      </c>
      <c r="AV800" s="82">
        <f>IFERROR(__xludf.DUMMYFUNCTION("""COMPUTED_VALUE"""),130.20270500664375)</f>
        <v>130.202705</v>
      </c>
      <c r="AW800" s="82">
        <f t="shared" si="1"/>
        <v>1496.880265</v>
      </c>
      <c r="AX800" s="83">
        <f t="array" ref="AX800">IFERROR(DGET('SBV Import'!A:G,"SBV",{"RSC ID","Tier";B800,A800}))</f>
        <v>106.5145172</v>
      </c>
      <c r="AY800" s="82">
        <f t="shared" si="2"/>
        <v>84.08577936</v>
      </c>
      <c r="AZ800" s="82">
        <v>1412.7944860372231</v>
      </c>
      <c r="BA800" s="84">
        <v>800.0</v>
      </c>
      <c r="BB800" s="84" t="b">
        <f>IFERROR(__xludf.DUMMYFUNCTION("iferror(if(A800="""",,E800&gt;=FILTER(Constants!$F$2:$F$10,Constants!$A$2:$A$10=A800)))"),TRUE)</f>
        <v>1</v>
      </c>
    </row>
    <row r="801">
      <c r="A801" s="80" t="str">
        <f>IFERROR(__xludf.DUMMYFUNCTION("""COMPUTED_VALUE"""),"Elite")</f>
        <v>Elite</v>
      </c>
      <c r="B801" s="73" t="str">
        <f>IFERROR(__xludf.DUMMYFUNCTION("""COMPUTED_VALUE"""),"RSC000579")</f>
        <v>RSC000579</v>
      </c>
      <c r="C801" s="73" t="str">
        <f>IFERROR(__xludf.DUMMYFUNCTION("""COMPUTED_VALUE"""),"Cryptt.")</f>
        <v>Cryptt.</v>
      </c>
      <c r="D801" s="73" t="str">
        <f>IFERROR(__xludf.DUMMYFUNCTION("""COMPUTED_VALUE"""),"Cotija Cartel")</f>
        <v>Cotija Cartel</v>
      </c>
      <c r="E801" s="82">
        <f>IFERROR(__xludf.DUMMYFUNCTION("""COMPUTED_VALUE"""),46.0)</f>
        <v>46</v>
      </c>
      <c r="F801" s="82">
        <f>IFERROR(__xludf.DUMMYFUNCTION("""COMPUTED_VALUE"""),38.0)</f>
        <v>38</v>
      </c>
      <c r="G801" s="82">
        <f>IFERROR(__xludf.DUMMYFUNCTION("""COMPUTED_VALUE"""),8.0)</f>
        <v>8</v>
      </c>
      <c r="H801" s="86">
        <f>IFERROR(__xludf.DUMMYFUNCTION("""COMPUTED_VALUE"""),0.8260869565217391)</f>
        <v>0.8260869565</v>
      </c>
      <c r="I801" s="86">
        <f>IFERROR(__xludf.DUMMYFUNCTION("""COMPUTED_VALUE"""),0.3641304347826087)</f>
        <v>0.3641304348</v>
      </c>
      <c r="J801" s="82">
        <f>IFERROR(__xludf.DUMMYFUNCTION("""COMPUTED_VALUE"""),470.69565217391306)</f>
        <v>470.6956522</v>
      </c>
      <c r="K801" s="82">
        <f>IFERROR(__xludf.DUMMYFUNCTION("""COMPUTED_VALUE"""),1.4565217391304348)</f>
        <v>1.456521739</v>
      </c>
      <c r="L801" s="82">
        <f>IFERROR(__xludf.DUMMYFUNCTION("""COMPUTED_VALUE"""),0.6086956521739131)</f>
        <v>0.6086956522</v>
      </c>
      <c r="M801" s="82">
        <f>IFERROR(__xludf.DUMMYFUNCTION("""COMPUTED_VALUE"""),1.4565217391304348)</f>
        <v>1.456521739</v>
      </c>
      <c r="N801" s="82">
        <f>IFERROR(__xludf.DUMMYFUNCTION("""COMPUTED_VALUE"""),4.0)</f>
        <v>4</v>
      </c>
      <c r="O801" s="82">
        <f>IFERROR(__xludf.DUMMYFUNCTION("""COMPUTED_VALUE"""),323.60144927536237)</f>
        <v>323.6014493</v>
      </c>
      <c r="P801" s="82">
        <f>IFERROR(__xludf.DUMMYFUNCTION("""COMPUTED_VALUE"""),0.5724637681159421)</f>
        <v>0.5724637681</v>
      </c>
      <c r="Q801" s="82">
        <f>IFERROR(__xludf.DUMMYFUNCTION("""COMPUTED_VALUE"""),0.3768115942028985)</f>
        <v>0.3768115942</v>
      </c>
      <c r="R801" s="82">
        <f>IFERROR(__xludf.DUMMYFUNCTION("""COMPUTED_VALUE"""),1.3913043478260867)</f>
        <v>1.391304348</v>
      </c>
      <c r="S801" s="82">
        <f>IFERROR(__xludf.DUMMYFUNCTION("""COMPUTED_VALUE"""),2.260869565217391)</f>
        <v>2.260869565</v>
      </c>
      <c r="T801" s="82">
        <f>IFERROR(__xludf.DUMMYFUNCTION("""COMPUTED_VALUE"""),355.27758881441156)</f>
        <v>355.2775888</v>
      </c>
      <c r="U801" s="82">
        <f>IFERROR(__xludf.DUMMYFUNCTION("""COMPUTED_VALUE"""),0.7467770126823589)</f>
        <v>0.7467770127</v>
      </c>
      <c r="V801" s="82">
        <f>IFERROR(__xludf.DUMMYFUNCTION("""COMPUTED_VALUE"""),0.5312728009514456)</f>
        <v>0.531272801</v>
      </c>
      <c r="W801" s="82">
        <f>IFERROR(__xludf.DUMMYFUNCTION("""COMPUTED_VALUE"""),1.4315405421016136)</f>
        <v>1.431540542</v>
      </c>
      <c r="X801" s="82">
        <f>IFERROR(__xludf.DUMMYFUNCTION("""COMPUTED_VALUE"""),2.5416225697069548)</f>
        <v>2.54162257</v>
      </c>
      <c r="Y801" s="82">
        <f>IFERROR(__xludf.DUMMYFUNCTION("""COMPUTED_VALUE"""),363.9682177217932)</f>
        <v>363.9682177</v>
      </c>
      <c r="Z801" s="82">
        <f>IFERROR(__xludf.DUMMYFUNCTION("""COMPUTED_VALUE"""),0.8080636222417311)</f>
        <v>0.8080636222</v>
      </c>
      <c r="AA801" s="82">
        <f>IFERROR(__xludf.DUMMYFUNCTION("""COMPUTED_VALUE"""),0.6036658914544989)</f>
        <v>0.6036658915</v>
      </c>
      <c r="AB801" s="82">
        <f>IFERROR(__xludf.DUMMYFUNCTION("""COMPUTED_VALUE"""),1.370635112760502)</f>
        <v>1.370635113</v>
      </c>
      <c r="AC801" s="82">
        <f>IFERROR(__xludf.DUMMYFUNCTION("""COMPUTED_VALUE"""),2.736952176852704)</f>
        <v>2.736952177</v>
      </c>
      <c r="AD801" s="82">
        <f>IFERROR(__xludf.DUMMYFUNCTION("""COMPUTED_VALUE"""),1.2932328408237534)</f>
        <v>1.293232841</v>
      </c>
      <c r="AE801" s="82">
        <f>IFERROR(__xludf.DUMMYFUNCTION("""COMPUTED_VALUE"""),1.802483986458579)</f>
        <v>1.802483986</v>
      </c>
      <c r="AF801" s="82">
        <f>IFERROR(__xludf.DUMMYFUNCTION("""COMPUTED_VALUE"""),1.0083320273525729)</f>
        <v>1.008332027</v>
      </c>
      <c r="AG801" s="82">
        <f>IFERROR(__xludf.DUMMYFUNCTION("""COMPUTED_VALUE"""),1.0626619189675903)</f>
        <v>1.062661919</v>
      </c>
      <c r="AH801" s="82">
        <f>IFERROR(__xludf.DUMMYFUNCTION("""COMPUTED_VALUE"""),1.461479683068379)</f>
        <v>1.461479683</v>
      </c>
      <c r="AI801" s="82">
        <f>IFERROR(__xludf.DUMMYFUNCTION("""COMPUTED_VALUE"""),0.9108411548143105)</f>
        <v>0.9108411548</v>
      </c>
      <c r="AJ801" s="82">
        <f>IFERROR(__xludf.DUMMYFUNCTION("""COMPUTED_VALUE"""),0.7665792577890171)</f>
        <v>0.7665792578</v>
      </c>
      <c r="AK801" s="82">
        <f>IFERROR(__xludf.DUMMYFUNCTION("""COMPUTED_VALUE"""),0.7092619714919988)</f>
        <v>0.7092619715</v>
      </c>
      <c r="AL801" s="82">
        <f>IFERROR(__xludf.DUMMYFUNCTION("""COMPUTED_VALUE"""),0.9718930808508873)</f>
        <v>0.9718930809</v>
      </c>
      <c r="AM801" s="82">
        <f>IFERROR(__xludf.DUMMYFUNCTION("""COMPUTED_VALUE"""),0.8895378850361979)</f>
        <v>0.889537885</v>
      </c>
      <c r="AN801" s="82">
        <f>IFERROR(__xludf.DUMMYFUNCTION("""COMPUTED_VALUE"""),1.3425812727628392)</f>
        <v>1.342581273</v>
      </c>
      <c r="AO801" s="82">
        <f>IFERROR(__xludf.DUMMYFUNCTION("""COMPUTED_VALUE"""),2.0546473035713353)</f>
        <v>2.054647304</v>
      </c>
      <c r="AP801" s="82">
        <f>IFERROR(__xludf.DUMMYFUNCTION("""COMPUTED_VALUE"""),1.0662439336118166)</f>
        <v>1.066243934</v>
      </c>
      <c r="AQ801" s="82">
        <f>IFERROR(__xludf.DUMMYFUNCTION("""COMPUTED_VALUE"""),1.0218060567870677)</f>
        <v>1.021806057</v>
      </c>
      <c r="AR801" s="82">
        <f>IFERROR(__xludf.DUMMYFUNCTION("""COMPUTED_VALUE"""),1.595716268994333)</f>
        <v>1.595716269</v>
      </c>
      <c r="AS801" s="82">
        <f>IFERROR(__xludf.DUMMYFUNCTION("""COMPUTED_VALUE"""),155.0)</f>
        <v>155</v>
      </c>
      <c r="AT801" s="82">
        <f>IFERROR(__xludf.DUMMYFUNCTION("""COMPUTED_VALUE"""),0.7455420290483087)</f>
        <v>0.745542029</v>
      </c>
      <c r="AU801" s="82">
        <f>IFERROR(__xludf.DUMMYFUNCTION("""COMPUTED_VALUE"""),4.695921608434254)</f>
        <v>4.695921608</v>
      </c>
      <c r="AV801" s="82">
        <f>IFERROR(__xludf.DUMMYFUNCTION("""COMPUTED_VALUE"""),116.22171950282106)</f>
        <v>116.2217195</v>
      </c>
      <c r="AW801" s="82">
        <f t="shared" si="1"/>
        <v>247.642191</v>
      </c>
      <c r="AX801" s="83">
        <f t="array" ref="AX801">IFERROR(DGET('SBV Import'!A:G,"SBV",{"RSC ID","Tier";B801,A801}))</f>
        <v>93.09486835</v>
      </c>
      <c r="AY801" s="82">
        <f t="shared" si="2"/>
        <v>23.6002387</v>
      </c>
      <c r="AZ801" s="82">
        <v>224.04195228082733</v>
      </c>
      <c r="BA801" s="84">
        <v>800.0</v>
      </c>
      <c r="BB801" s="84" t="b">
        <f>IFERROR(__xludf.DUMMYFUNCTION("iferror(if(A801="""",,E801&gt;=FILTER(Constants!$F$2:$F$10,Constants!$A$2:$A$10=A801)))"),TRUE)</f>
        <v>1</v>
      </c>
    </row>
    <row r="802">
      <c r="A802" s="80" t="str">
        <f>IFERROR(__xludf.DUMMYFUNCTION("""COMPUTED_VALUE"""),"Elite")</f>
        <v>Elite</v>
      </c>
      <c r="B802" s="73" t="str">
        <f>IFERROR(__xludf.DUMMYFUNCTION("""COMPUTED_VALUE"""),"RSC001056")</f>
        <v>RSC001056</v>
      </c>
      <c r="C802" s="73" t="str">
        <f>IFERROR(__xludf.DUMMYFUNCTION("""COMPUTED_VALUE"""),"mysandislost")</f>
        <v>mysandislost</v>
      </c>
      <c r="D802" s="73" t="str">
        <f>IFERROR(__xludf.DUMMYFUNCTION("""COMPUTED_VALUE"""),"Orochi")</f>
        <v>Orochi</v>
      </c>
      <c r="E802" s="82">
        <f>IFERROR(__xludf.DUMMYFUNCTION("""COMPUTED_VALUE"""),20.0)</f>
        <v>20</v>
      </c>
      <c r="F802" s="82">
        <f>IFERROR(__xludf.DUMMYFUNCTION("""COMPUTED_VALUE"""),13.0)</f>
        <v>13</v>
      </c>
      <c r="G802" s="82">
        <f>IFERROR(__xludf.DUMMYFUNCTION("""COMPUTED_VALUE"""),7.0)</f>
        <v>7</v>
      </c>
      <c r="H802" s="86">
        <f>IFERROR(__xludf.DUMMYFUNCTION("""COMPUTED_VALUE"""),0.65)</f>
        <v>0.65</v>
      </c>
      <c r="I802" s="86">
        <f>IFERROR(__xludf.DUMMYFUNCTION("""COMPUTED_VALUE"""),0.24000000000000002)</f>
        <v>0.24</v>
      </c>
      <c r="J802" s="82">
        <f>IFERROR(__xludf.DUMMYFUNCTION("""COMPUTED_VALUE"""),418.45)</f>
        <v>418.45</v>
      </c>
      <c r="K802" s="82">
        <f>IFERROR(__xludf.DUMMYFUNCTION("""COMPUTED_VALUE"""),0.9)</f>
        <v>0.9</v>
      </c>
      <c r="L802" s="82">
        <f>IFERROR(__xludf.DUMMYFUNCTION("""COMPUTED_VALUE"""),0.85)</f>
        <v>0.85</v>
      </c>
      <c r="M802" s="82">
        <f>IFERROR(__xludf.DUMMYFUNCTION("""COMPUTED_VALUE"""),1.6)</f>
        <v>1.6</v>
      </c>
      <c r="N802" s="82">
        <f>IFERROR(__xludf.DUMMYFUNCTION("""COMPUTED_VALUE"""),3.75)</f>
        <v>3.75</v>
      </c>
      <c r="O802" s="82">
        <f>IFERROR(__xludf.DUMMYFUNCTION("""COMPUTED_VALUE"""),344.85)</f>
        <v>344.85</v>
      </c>
      <c r="P802" s="82">
        <f>IFERROR(__xludf.DUMMYFUNCTION("""COMPUTED_VALUE"""),0.6000000000000001)</f>
        <v>0.6</v>
      </c>
      <c r="Q802" s="82">
        <f>IFERROR(__xludf.DUMMYFUNCTION("""COMPUTED_VALUE"""),0.45)</f>
        <v>0.45</v>
      </c>
      <c r="R802" s="82">
        <f>IFERROR(__xludf.DUMMYFUNCTION("""COMPUTED_VALUE"""),1.516666666666667)</f>
        <v>1.516666667</v>
      </c>
      <c r="S802" s="82">
        <f>IFERROR(__xludf.DUMMYFUNCTION("""COMPUTED_VALUE"""),2.533333333333333)</f>
        <v>2.533333333</v>
      </c>
      <c r="T802" s="82">
        <f>IFERROR(__xludf.DUMMYFUNCTION("""COMPUTED_VALUE"""),360.90467137964225)</f>
        <v>360.9046714</v>
      </c>
      <c r="U802" s="82">
        <f>IFERROR(__xludf.DUMMYFUNCTION("""COMPUTED_VALUE"""),0.7354813337849206)</f>
        <v>0.7354813338</v>
      </c>
      <c r="V802" s="82">
        <f>IFERROR(__xludf.DUMMYFUNCTION("""COMPUTED_VALUE"""),0.5878064290640327)</f>
        <v>0.5878064291</v>
      </c>
      <c r="W802" s="82">
        <f>IFERROR(__xludf.DUMMYFUNCTION("""COMPUTED_VALUE"""),1.404486707795869)</f>
        <v>1.404486708</v>
      </c>
      <c r="X802" s="82">
        <f>IFERROR(__xludf.DUMMYFUNCTION("""COMPUTED_VALUE"""),2.749800322867097)</f>
        <v>2.749800323</v>
      </c>
      <c r="Y802" s="82">
        <f>IFERROR(__xludf.DUMMYFUNCTION("""COMPUTED_VALUE"""),351.77683061317555)</f>
        <v>351.7768306</v>
      </c>
      <c r="Z802" s="82">
        <f>IFERROR(__xludf.DUMMYFUNCTION("""COMPUTED_VALUE"""),0.671380067879341)</f>
        <v>0.6713800679</v>
      </c>
      <c r="AA802" s="82">
        <f>IFERROR(__xludf.DUMMYFUNCTION("""COMPUTED_VALUE"""),0.5134845109787083)</f>
        <v>0.513484511</v>
      </c>
      <c r="AB802" s="82">
        <f>IFERROR(__xludf.DUMMYFUNCTION("""COMPUTED_VALUE"""),1.5232281331245592)</f>
        <v>1.523228133</v>
      </c>
      <c r="AC802" s="82">
        <f>IFERROR(__xludf.DUMMYFUNCTION("""COMPUTED_VALUE"""),2.542811302882515)</f>
        <v>2.542811303</v>
      </c>
      <c r="AD802" s="82">
        <f>IFERROR(__xludf.DUMMYFUNCTION("""COMPUTED_VALUE"""),1.1895325774315713)</f>
        <v>1.189532577</v>
      </c>
      <c r="AE802" s="82">
        <f>IFERROR(__xludf.DUMMYFUNCTION("""COMPUTED_VALUE"""),1.3405223703509561)</f>
        <v>1.34052237</v>
      </c>
      <c r="AF802" s="82">
        <f>IFERROR(__xludf.DUMMYFUNCTION("""COMPUTED_VALUE"""),1.6553566501546244)</f>
        <v>1.65535665</v>
      </c>
      <c r="AG802" s="82">
        <f>IFERROR(__xludf.DUMMYFUNCTION("""COMPUTED_VALUE"""),1.0504007674267155)</f>
        <v>1.050400767</v>
      </c>
      <c r="AH802" s="82">
        <f>IFERROR(__xludf.DUMMYFUNCTION("""COMPUTED_VALUE"""),1.474745686299657)</f>
        <v>1.474745686</v>
      </c>
      <c r="AI802" s="82">
        <f>IFERROR(__xludf.DUMMYFUNCTION("""COMPUTED_VALUE"""),0.9555154791478051)</f>
        <v>0.9555154791</v>
      </c>
      <c r="AJ802" s="82">
        <f>IFERROR(__xludf.DUMMYFUNCTION("""COMPUTED_VALUE"""),0.8157922879052429)</f>
        <v>0.8157922879</v>
      </c>
      <c r="AK802" s="82">
        <f>IFERROR(__xludf.DUMMYFUNCTION("""COMPUTED_VALUE"""),0.7655581459300086)</f>
        <v>0.7655581459</v>
      </c>
      <c r="AL802" s="82">
        <f>IFERROR(__xludf.DUMMYFUNCTION("""COMPUTED_VALUE"""),1.0798725671436562)</f>
        <v>1.079872567</v>
      </c>
      <c r="AM802" s="82">
        <f>IFERROR(__xludf.DUMMYFUNCTION("""COMPUTED_VALUE"""),0.9212790151584305)</f>
        <v>0.9212790152</v>
      </c>
      <c r="AN802" s="82">
        <f>IFERROR(__xludf.DUMMYFUNCTION("""COMPUTED_VALUE"""),1.1935592160091475)</f>
        <v>1.193559216</v>
      </c>
      <c r="AO802" s="82">
        <f>IFERROR(__xludf.DUMMYFUNCTION("""COMPUTED_VALUE"""),1.2695880353410938)</f>
        <v>1.269588035</v>
      </c>
      <c r="AP802" s="82">
        <f>IFERROR(__xludf.DUMMYFUNCTION("""COMPUTED_VALUE"""),1.4889334930079292)</f>
        <v>1.488933493</v>
      </c>
      <c r="AQ802" s="82">
        <f>IFERROR(__xludf.DUMMYFUNCTION("""COMPUTED_VALUE"""),1.1224615787989283)</f>
        <v>1.122461579</v>
      </c>
      <c r="AR802" s="82">
        <f>IFERROR(__xludf.DUMMYFUNCTION("""COMPUTED_VALUE"""),1.4959840021821873)</f>
        <v>1.495984002</v>
      </c>
      <c r="AS802" s="82">
        <f>IFERROR(__xludf.DUMMYFUNCTION("""COMPUTED_VALUE"""),52.0)</f>
        <v>52</v>
      </c>
      <c r="AT802" s="82">
        <f>IFERROR(__xludf.DUMMYFUNCTION("""COMPUTED_VALUE"""),0.6370521454201967)</f>
        <v>0.6370521454</v>
      </c>
      <c r="AU802" s="82">
        <f>IFERROR(__xludf.DUMMYFUNCTION("""COMPUTED_VALUE"""),4.134917643403439)</f>
        <v>4.134917643</v>
      </c>
      <c r="AV802" s="82">
        <f>IFERROR(__xludf.DUMMYFUNCTION("""COMPUTED_VALUE"""),100.08488196956313)</f>
        <v>100.084882</v>
      </c>
      <c r="AW802" s="82">
        <f t="shared" si="1"/>
        <v>44.31162986</v>
      </c>
      <c r="AX802" s="83">
        <f t="array" ref="AX802">IFERROR(DGET('SBV Import'!A:G,"SBV",{"RSC ID","Tier";B802,A802}))</f>
        <v>82.50188782</v>
      </c>
      <c r="AY802" s="82">
        <f t="shared" si="2"/>
        <v>10.33190792</v>
      </c>
      <c r="AZ802" s="82">
        <v>33.97972193821602</v>
      </c>
      <c r="BA802" s="84">
        <v>800.0</v>
      </c>
      <c r="BB802" s="84" t="b">
        <f>IFERROR(__xludf.DUMMYFUNCTION("iferror(if(A802="""",,E802&gt;=FILTER(Constants!$F$2:$F$10,Constants!$A$2:$A$10=A802)))"),TRUE)</f>
        <v>1</v>
      </c>
    </row>
    <row r="803">
      <c r="A803" s="80" t="str">
        <f>IFERROR(__xludf.DUMMYFUNCTION("""COMPUTED_VALUE"""),"Elite")</f>
        <v>Elite</v>
      </c>
      <c r="B803" s="73" t="str">
        <f>IFERROR(__xludf.DUMMYFUNCTION("""COMPUTED_VALUE"""),"RSC006838")</f>
        <v>RSC006838</v>
      </c>
      <c r="C803" s="73" t="str">
        <f>IFERROR(__xludf.DUMMYFUNCTION("""COMPUTED_VALUE"""),"ZachOff")</f>
        <v>ZachOff</v>
      </c>
      <c r="D803" s="73" t="str">
        <f>IFERROR(__xludf.DUMMYFUNCTION("""COMPUTED_VALUE"""),"Great Whites")</f>
        <v>Great Whites</v>
      </c>
      <c r="E803" s="82">
        <f>IFERROR(__xludf.DUMMYFUNCTION("""COMPUTED_VALUE"""),44.0)</f>
        <v>44</v>
      </c>
      <c r="F803" s="82">
        <f>IFERROR(__xludf.DUMMYFUNCTION("""COMPUTED_VALUE"""),34.0)</f>
        <v>34</v>
      </c>
      <c r="G803" s="82">
        <f>IFERROR(__xludf.DUMMYFUNCTION("""COMPUTED_VALUE"""),10.0)</f>
        <v>10</v>
      </c>
      <c r="H803" s="86">
        <f>IFERROR(__xludf.DUMMYFUNCTION("""COMPUTED_VALUE"""),0.7727272727272727)</f>
        <v>0.7727272727</v>
      </c>
      <c r="I803" s="86">
        <f>IFERROR(__xludf.DUMMYFUNCTION("""COMPUTED_VALUE"""),0.3776223776223776)</f>
        <v>0.3776223776</v>
      </c>
      <c r="J803" s="82">
        <f>IFERROR(__xludf.DUMMYFUNCTION("""COMPUTED_VALUE"""),416.5)</f>
        <v>416.5</v>
      </c>
      <c r="K803" s="82">
        <f>IFERROR(__xludf.DUMMYFUNCTION("""COMPUTED_VALUE"""),1.2272727272727273)</f>
        <v>1.227272727</v>
      </c>
      <c r="L803" s="82">
        <f>IFERROR(__xludf.DUMMYFUNCTION("""COMPUTED_VALUE"""),0.6590909090909091)</f>
        <v>0.6590909091</v>
      </c>
      <c r="M803" s="82">
        <f>IFERROR(__xludf.DUMMYFUNCTION("""COMPUTED_VALUE"""),1.3636363636363635)</f>
        <v>1.363636364</v>
      </c>
      <c r="N803" s="82">
        <f>IFERROR(__xludf.DUMMYFUNCTION("""COMPUTED_VALUE"""),3.25)</f>
        <v>3.25</v>
      </c>
      <c r="O803" s="82">
        <f>IFERROR(__xludf.DUMMYFUNCTION("""COMPUTED_VALUE"""),314.2878787878788)</f>
        <v>314.2878788</v>
      </c>
      <c r="P803" s="82">
        <f>IFERROR(__xludf.DUMMYFUNCTION("""COMPUTED_VALUE"""),0.5151515151515151)</f>
        <v>0.5151515152</v>
      </c>
      <c r="Q803" s="82">
        <f>IFERROR(__xludf.DUMMYFUNCTION("""COMPUTED_VALUE"""),0.393939393939394)</f>
        <v>0.3939393939</v>
      </c>
      <c r="R803" s="82">
        <f>IFERROR(__xludf.DUMMYFUNCTION("""COMPUTED_VALUE"""),1.4848484848484844)</f>
        <v>1.484848485</v>
      </c>
      <c r="S803" s="82">
        <f>IFERROR(__xludf.DUMMYFUNCTION("""COMPUTED_VALUE"""),2.1363636363636362)</f>
        <v>2.136363636</v>
      </c>
      <c r="T803" s="82">
        <f>IFERROR(__xludf.DUMMYFUNCTION("""COMPUTED_VALUE"""),354.2233579819974)</f>
        <v>354.223358</v>
      </c>
      <c r="U803" s="82">
        <f>IFERROR(__xludf.DUMMYFUNCTION("""COMPUTED_VALUE"""),0.7180659361564579)</f>
        <v>0.7180659362</v>
      </c>
      <c r="V803" s="82">
        <f>IFERROR(__xludf.DUMMYFUNCTION("""COMPUTED_VALUE"""),0.5131907688291107)</f>
        <v>0.5131907688</v>
      </c>
      <c r="W803" s="82">
        <f>IFERROR(__xludf.DUMMYFUNCTION("""COMPUTED_VALUE"""),1.4754353748831444)</f>
        <v>1.475435375</v>
      </c>
      <c r="X803" s="82">
        <f>IFERROR(__xludf.DUMMYFUNCTION("""COMPUTED_VALUE"""),2.5794747098762474)</f>
        <v>2.57947471</v>
      </c>
      <c r="Y803" s="82">
        <f>IFERROR(__xludf.DUMMYFUNCTION("""COMPUTED_VALUE"""),370.5688483636428)</f>
        <v>370.5688484</v>
      </c>
      <c r="Z803" s="82">
        <f>IFERROR(__xludf.DUMMYFUNCTION("""COMPUTED_VALUE"""),0.8237177138403382)</f>
        <v>0.8237177138</v>
      </c>
      <c r="AA803" s="82">
        <f>IFERROR(__xludf.DUMMYFUNCTION("""COMPUTED_VALUE"""),0.6373716095630328)</f>
        <v>0.6373716096</v>
      </c>
      <c r="AB803" s="82">
        <f>IFERROR(__xludf.DUMMYFUNCTION("""COMPUTED_VALUE"""),1.4228870399125937)</f>
        <v>1.42288704</v>
      </c>
      <c r="AC803" s="82">
        <f>IFERROR(__xludf.DUMMYFUNCTION("""COMPUTED_VALUE"""),2.7742597685327857)</f>
        <v>2.774259769</v>
      </c>
      <c r="AD803" s="82">
        <f>IFERROR(__xludf.DUMMYFUNCTION("""COMPUTED_VALUE"""),1.12394768702005)</f>
        <v>1.123947687</v>
      </c>
      <c r="AE803" s="82">
        <f>IFERROR(__xludf.DUMMYFUNCTION("""COMPUTED_VALUE"""),1.4899190665099749)</f>
        <v>1.489919067</v>
      </c>
      <c r="AF803" s="82">
        <f>IFERROR(__xludf.DUMMYFUNCTION("""COMPUTED_VALUE"""),1.0340763523225744)</f>
        <v>1.034076352</v>
      </c>
      <c r="AG803" s="82">
        <f>IFERROR(__xludf.DUMMYFUNCTION("""COMPUTED_VALUE"""),0.9583588334040418)</f>
        <v>0.9583588334</v>
      </c>
      <c r="AH803" s="82">
        <f>IFERROR(__xludf.DUMMYFUNCTION("""COMPUTED_VALUE"""),1.171483664530383)</f>
        <v>1.171483665</v>
      </c>
      <c r="AI803" s="82">
        <f>IFERROR(__xludf.DUMMYFUNCTION("""COMPUTED_VALUE"""),0.8872590463214223)</f>
        <v>0.8872590463</v>
      </c>
      <c r="AJ803" s="82">
        <f>IFERROR(__xludf.DUMMYFUNCTION("""COMPUTED_VALUE"""),0.717415336408981)</f>
        <v>0.7174153364</v>
      </c>
      <c r="AK803" s="82">
        <f>IFERROR(__xludf.DUMMYFUNCTION("""COMPUTED_VALUE"""),0.7676275916618704)</f>
        <v>0.7676275917</v>
      </c>
      <c r="AL803" s="82">
        <f>IFERROR(__xludf.DUMMYFUNCTION("""COMPUTED_VALUE"""),1.0063798863207314)</f>
        <v>1.006379886</v>
      </c>
      <c r="AM803" s="82">
        <f>IFERROR(__xludf.DUMMYFUNCTION("""COMPUTED_VALUE"""),0.8282165466418278)</f>
        <v>0.8282165466</v>
      </c>
      <c r="AN803" s="82">
        <f>IFERROR(__xludf.DUMMYFUNCTION("""COMPUTED_VALUE"""),1.1879971644588598)</f>
        <v>1.187997164</v>
      </c>
      <c r="AO803" s="82">
        <f>IFERROR(__xludf.DUMMYFUNCTION("""COMPUTED_VALUE"""),1.731256411828764)</f>
        <v>1.731256412</v>
      </c>
      <c r="AP803" s="82">
        <f>IFERROR(__xludf.DUMMYFUNCTION("""COMPUTED_VALUE"""),1.1545206229205869)</f>
        <v>1.154520623</v>
      </c>
      <c r="AQ803" s="82">
        <f>IFERROR(__xludf.DUMMYFUNCTION("""COMPUTED_VALUE"""),0.9566433910218137)</f>
        <v>0.956643391</v>
      </c>
      <c r="AR803" s="82">
        <f>IFERROR(__xludf.DUMMYFUNCTION("""COMPUTED_VALUE"""),1.2965194685578956)</f>
        <v>1.296519469</v>
      </c>
      <c r="AS803" s="82">
        <f>IFERROR(__xludf.DUMMYFUNCTION("""COMPUTED_VALUE"""),128.0)</f>
        <v>128</v>
      </c>
      <c r="AT803" s="82">
        <f>IFERROR(__xludf.DUMMYFUNCTION("""COMPUTED_VALUE"""),0.7253470001700466)</f>
        <v>0.7253470002</v>
      </c>
      <c r="AU803" s="82">
        <f>IFERROR(__xludf.DUMMYFUNCTION("""COMPUTED_VALUE"""),3.94387977357912)</f>
        <v>3.943879774</v>
      </c>
      <c r="AV803" s="82">
        <f>IFERROR(__xludf.DUMMYFUNCTION("""COMPUTED_VALUE"""),94.58982799452502)</f>
        <v>94.58982799</v>
      </c>
      <c r="AW803" s="82">
        <f t="shared" si="1"/>
        <v>26.84931201</v>
      </c>
      <c r="AX803" s="83">
        <f t="array" ref="AX803">IFERROR(DGET('SBV Import'!A:G,"SBV",{"RSC ID","Tier";B803,A803}))</f>
        <v>80.29424759</v>
      </c>
      <c r="AY803" s="82">
        <f t="shared" si="2"/>
        <v>8.86522968</v>
      </c>
      <c r="AZ803" s="82">
        <v>17.984082326490473</v>
      </c>
      <c r="BA803" s="84">
        <v>800.0</v>
      </c>
      <c r="BB803" s="84" t="b">
        <f>IFERROR(__xludf.DUMMYFUNCTION("iferror(if(A803="""",,E803&gt;=FILTER(Constants!$F$2:$F$10,Constants!$A$2:$A$10=A803)))"),TRUE)</f>
        <v>1</v>
      </c>
    </row>
    <row r="804">
      <c r="A804" s="80" t="str">
        <f>IFERROR(__xludf.DUMMYFUNCTION("""COMPUTED_VALUE"""),"Elite")</f>
        <v>Elite</v>
      </c>
      <c r="B804" s="73" t="str">
        <f>IFERROR(__xludf.DUMMYFUNCTION("""COMPUTED_VALUE"""),"RSC002890")</f>
        <v>RSC002890</v>
      </c>
      <c r="C804" s="73" t="str">
        <f>IFERROR(__xludf.DUMMYFUNCTION("""COMPUTED_VALUE"""),"Myth1ck")</f>
        <v>Myth1ck</v>
      </c>
      <c r="D804" s="73" t="str">
        <f>IFERROR(__xludf.DUMMYFUNCTION("""COMPUTED_VALUE"""),"Black-Holes")</f>
        <v>Black-Holes</v>
      </c>
      <c r="E804" s="82">
        <f>IFERROR(__xludf.DUMMYFUNCTION("""COMPUTED_VALUE"""),48.0)</f>
        <v>48</v>
      </c>
      <c r="F804" s="82">
        <f>IFERROR(__xludf.DUMMYFUNCTION("""COMPUTED_VALUE"""),34.0)</f>
        <v>34</v>
      </c>
      <c r="G804" s="82">
        <f>IFERROR(__xludf.DUMMYFUNCTION("""COMPUTED_VALUE"""),14.0)</f>
        <v>14</v>
      </c>
      <c r="H804" s="86">
        <f>IFERROR(__xludf.DUMMYFUNCTION("""COMPUTED_VALUE"""),0.7083333333333334)</f>
        <v>0.7083333333</v>
      </c>
      <c r="I804" s="86">
        <f>IFERROR(__xludf.DUMMYFUNCTION("""COMPUTED_VALUE"""),0.34939759036144574)</f>
        <v>0.3493975904</v>
      </c>
      <c r="J804" s="82">
        <f>IFERROR(__xludf.DUMMYFUNCTION("""COMPUTED_VALUE"""),398.8333333333333)</f>
        <v>398.8333333</v>
      </c>
      <c r="K804" s="82">
        <f>IFERROR(__xludf.DUMMYFUNCTION("""COMPUTED_VALUE"""),1.2083333333333333)</f>
        <v>1.208333333</v>
      </c>
      <c r="L804" s="82">
        <f>IFERROR(__xludf.DUMMYFUNCTION("""COMPUTED_VALUE"""),0.8958333333333334)</f>
        <v>0.8958333333</v>
      </c>
      <c r="M804" s="82">
        <f>IFERROR(__xludf.DUMMYFUNCTION("""COMPUTED_VALUE"""),1.0833333333333333)</f>
        <v>1.083333333</v>
      </c>
      <c r="N804" s="82">
        <f>IFERROR(__xludf.DUMMYFUNCTION("""COMPUTED_VALUE"""),3.4583333333333335)</f>
        <v>3.458333333</v>
      </c>
      <c r="O804" s="82">
        <f>IFERROR(__xludf.DUMMYFUNCTION("""COMPUTED_VALUE"""),361.7847222222221)</f>
        <v>361.7847222</v>
      </c>
      <c r="P804" s="82">
        <f>IFERROR(__xludf.DUMMYFUNCTION("""COMPUTED_VALUE"""),0.736111111111111)</f>
        <v>0.7361111111</v>
      </c>
      <c r="Q804" s="82">
        <f>IFERROR(__xludf.DUMMYFUNCTION("""COMPUTED_VALUE"""),0.5208333333333333)</f>
        <v>0.5208333333</v>
      </c>
      <c r="R804" s="82">
        <f>IFERROR(__xludf.DUMMYFUNCTION("""COMPUTED_VALUE"""),1.6111111111111114)</f>
        <v>1.611111111</v>
      </c>
      <c r="S804" s="82">
        <f>IFERROR(__xludf.DUMMYFUNCTION("""COMPUTED_VALUE"""),2.361111111111111)</f>
        <v>2.361111111</v>
      </c>
      <c r="T804" s="82">
        <f>IFERROR(__xludf.DUMMYFUNCTION("""COMPUTED_VALUE"""),345.659294085417)</f>
        <v>345.6592941</v>
      </c>
      <c r="U804" s="82">
        <f>IFERROR(__xludf.DUMMYFUNCTION("""COMPUTED_VALUE"""),0.6872618234534277)</f>
        <v>0.6872618235</v>
      </c>
      <c r="V804" s="82">
        <f>IFERROR(__xludf.DUMMYFUNCTION("""COMPUTED_VALUE"""),0.5102301678577804)</f>
        <v>0.5102301679</v>
      </c>
      <c r="W804" s="82">
        <f>IFERROR(__xludf.DUMMYFUNCTION("""COMPUTED_VALUE"""),1.4546552209691868)</f>
        <v>1.454655221</v>
      </c>
      <c r="X804" s="82">
        <f>IFERROR(__xludf.DUMMYFUNCTION("""COMPUTED_VALUE"""),2.5076325792463288)</f>
        <v>2.507632579</v>
      </c>
      <c r="Y804" s="82">
        <f>IFERROR(__xludf.DUMMYFUNCTION("""COMPUTED_VALUE"""),371.5337280577401)</f>
        <v>371.5337281</v>
      </c>
      <c r="Z804" s="82">
        <f>IFERROR(__xludf.DUMMYFUNCTION("""COMPUTED_VALUE"""),0.8566805666837602)</f>
        <v>0.8566805667</v>
      </c>
      <c r="AA804" s="82">
        <f>IFERROR(__xludf.DUMMYFUNCTION("""COMPUTED_VALUE"""),0.6545995225814634)</f>
        <v>0.6545995226</v>
      </c>
      <c r="AB804" s="82">
        <f>IFERROR(__xludf.DUMMYFUNCTION("""COMPUTED_VALUE"""),1.3585001255142413)</f>
        <v>1.358500126</v>
      </c>
      <c r="AC804" s="82">
        <f>IFERROR(__xludf.DUMMYFUNCTION("""COMPUTED_VALUE"""),2.823542684686789)</f>
        <v>2.823542685</v>
      </c>
      <c r="AD804" s="82">
        <f>IFERROR(__xludf.DUMMYFUNCTION("""COMPUTED_VALUE"""),1.0734781345917284)</f>
        <v>1.073478135</v>
      </c>
      <c r="AE804" s="82">
        <f>IFERROR(__xludf.DUMMYFUNCTION("""COMPUTED_VALUE"""),1.4104829505014138)</f>
        <v>1.410482951</v>
      </c>
      <c r="AF804" s="82">
        <f>IFERROR(__xludf.DUMMYFUNCTION("""COMPUTED_VALUE"""),1.368521214009668)</f>
        <v>1.368521214</v>
      </c>
      <c r="AG804" s="82">
        <f>IFERROR(__xludf.DUMMYFUNCTION("""COMPUTED_VALUE"""),0.797448092191565)</f>
        <v>0.7974480922</v>
      </c>
      <c r="AH804" s="82">
        <f>IFERROR(__xludf.DUMMYFUNCTION("""COMPUTED_VALUE"""),1.224820631219521)</f>
        <v>1.224820631</v>
      </c>
      <c r="AI804" s="82">
        <f>IFERROR(__xludf.DUMMYFUNCTION("""COMPUTED_VALUE"""),1.046651221051271)</f>
        <v>1.046651221</v>
      </c>
      <c r="AJ804" s="82">
        <f>IFERROR(__xludf.DUMMYFUNCTION("""COMPUTED_VALUE"""),1.0710781335302755)</f>
        <v>1.071078134</v>
      </c>
      <c r="AK804" s="82">
        <f>IFERROR(__xludf.DUMMYFUNCTION("""COMPUTED_VALUE"""),1.020781141813058)</f>
        <v>1.020781142</v>
      </c>
      <c r="AL804" s="82">
        <f>IFERROR(__xludf.DUMMYFUNCTION("""COMPUTED_VALUE"""),1.1075553078740428)</f>
        <v>1.107555308</v>
      </c>
      <c r="AM804" s="82">
        <f>IFERROR(__xludf.DUMMYFUNCTION("""COMPUTED_VALUE"""),0.9415698019925811)</f>
        <v>0.941569802</v>
      </c>
      <c r="AN804" s="82">
        <f>IFERROR(__xludf.DUMMYFUNCTION("""COMPUTED_VALUE"""),1.1376059281912971)</f>
        <v>1.137605928</v>
      </c>
      <c r="AO804" s="82">
        <f>IFERROR(__xludf.DUMMYFUNCTION("""COMPUTED_VALUE"""),1.704539491893135)</f>
        <v>1.704539492</v>
      </c>
      <c r="AP804" s="82">
        <f>IFERROR(__xludf.DUMMYFUNCTION("""COMPUTED_VALUE"""),1.5692191225328669)</f>
        <v>1.569219123</v>
      </c>
      <c r="AQ804" s="82">
        <f>IFERROR(__xludf.DUMMYFUNCTION("""COMPUTED_VALUE"""),0.7600000273117742)</f>
        <v>0.7600000273</v>
      </c>
      <c r="AR804" s="82">
        <f>IFERROR(__xludf.DUMMYFUNCTION("""COMPUTED_VALUE"""),1.3796296909013506)</f>
        <v>1.379629691</v>
      </c>
      <c r="AS804" s="82">
        <f>IFERROR(__xludf.DUMMYFUNCTION("""COMPUTED_VALUE"""),172.0)</f>
        <v>172</v>
      </c>
      <c r="AT804" s="82">
        <f>IFERROR(__xludf.DUMMYFUNCTION("""COMPUTED_VALUE"""),0.690262172804142)</f>
        <v>0.6902621728</v>
      </c>
      <c r="AU804" s="82">
        <f>IFERROR(__xludf.DUMMYFUNCTION("""COMPUTED_VALUE"""),3.915603549592665)</f>
        <v>3.91560355</v>
      </c>
      <c r="AV804" s="82">
        <f>IFERROR(__xludf.DUMMYFUNCTION("""COMPUTED_VALUE"""),93.7764846654839)</f>
        <v>93.77648467</v>
      </c>
      <c r="AW804" s="82">
        <f t="shared" si="1"/>
        <v>25.02011585</v>
      </c>
      <c r="AX804" s="83">
        <f t="array" ref="AX804">IFERROR(DGET('SBV Import'!A:G,"SBV",{"RSC ID","Tier";B804,A804}))</f>
        <v>68.04210202</v>
      </c>
      <c r="AY804" s="82">
        <f t="shared" si="2"/>
        <v>4.250898833</v>
      </c>
      <c r="AZ804" s="82">
        <v>20.76921701683743</v>
      </c>
      <c r="BA804" s="84">
        <v>800.0</v>
      </c>
      <c r="BB804" s="84" t="b">
        <f>IFERROR(__xludf.DUMMYFUNCTION("iferror(if(A804="""",,E804&gt;=FILTER(Constants!$F$2:$F$10,Constants!$A$2:$A$10=A804)))"),TRUE)</f>
        <v>1</v>
      </c>
    </row>
    <row r="805">
      <c r="A805" s="80" t="str">
        <f>IFERROR(__xludf.DUMMYFUNCTION("""COMPUTED_VALUE"""),"Elite")</f>
        <v>Elite</v>
      </c>
      <c r="B805" s="73" t="str">
        <f>IFERROR(__xludf.DUMMYFUNCTION("""COMPUTED_VALUE"""),"RSC000714")</f>
        <v>RSC000714</v>
      </c>
      <c r="C805" s="73" t="str">
        <f>IFERROR(__xludf.DUMMYFUNCTION("""COMPUTED_VALUE"""),"duffy")</f>
        <v>duffy</v>
      </c>
      <c r="D805" s="73" t="str">
        <f>IFERROR(__xludf.DUMMYFUNCTION("""COMPUTED_VALUE"""),"Thrashers")</f>
        <v>Thrashers</v>
      </c>
      <c r="E805" s="82">
        <f>IFERROR(__xludf.DUMMYFUNCTION("""COMPUTED_VALUE"""),48.0)</f>
        <v>48</v>
      </c>
      <c r="F805" s="82">
        <f>IFERROR(__xludf.DUMMYFUNCTION("""COMPUTED_VALUE"""),29.0)</f>
        <v>29</v>
      </c>
      <c r="G805" s="82">
        <f>IFERROR(__xludf.DUMMYFUNCTION("""COMPUTED_VALUE"""),19.0)</f>
        <v>19</v>
      </c>
      <c r="H805" s="86">
        <f>IFERROR(__xludf.DUMMYFUNCTION("""COMPUTED_VALUE"""),0.6041666666666666)</f>
        <v>0.6041666667</v>
      </c>
      <c r="I805" s="86">
        <f>IFERROR(__xludf.DUMMYFUNCTION("""COMPUTED_VALUE"""),0.3170731707317073)</f>
        <v>0.3170731707</v>
      </c>
      <c r="J805" s="82">
        <f>IFERROR(__xludf.DUMMYFUNCTION("""COMPUTED_VALUE"""),431.875)</f>
        <v>431.875</v>
      </c>
      <c r="K805" s="82">
        <f>IFERROR(__xludf.DUMMYFUNCTION("""COMPUTED_VALUE"""),1.0833333333333333)</f>
        <v>1.083333333</v>
      </c>
      <c r="L805" s="82">
        <f>IFERROR(__xludf.DUMMYFUNCTION("""COMPUTED_VALUE"""),0.7083333333333334)</f>
        <v>0.7083333333</v>
      </c>
      <c r="M805" s="82">
        <f>IFERROR(__xludf.DUMMYFUNCTION("""COMPUTED_VALUE"""),1.4791666666666667)</f>
        <v>1.479166667</v>
      </c>
      <c r="N805" s="82">
        <f>IFERROR(__xludf.DUMMYFUNCTION("""COMPUTED_VALUE"""),3.4166666666666665)</f>
        <v>3.416666667</v>
      </c>
      <c r="O805" s="82">
        <f>IFERROR(__xludf.DUMMYFUNCTION("""COMPUTED_VALUE"""),367.125)</f>
        <v>367.125</v>
      </c>
      <c r="P805" s="82">
        <f>IFERROR(__xludf.DUMMYFUNCTION("""COMPUTED_VALUE"""),0.8263888888888887)</f>
        <v>0.8263888889</v>
      </c>
      <c r="Q805" s="82">
        <f>IFERROR(__xludf.DUMMYFUNCTION("""COMPUTED_VALUE"""),0.5902777777777778)</f>
        <v>0.5902777778</v>
      </c>
      <c r="R805" s="82">
        <f>IFERROR(__xludf.DUMMYFUNCTION("""COMPUTED_VALUE"""),1.5416666666666667)</f>
        <v>1.541666667</v>
      </c>
      <c r="S805" s="82">
        <f>IFERROR(__xludf.DUMMYFUNCTION("""COMPUTED_VALUE"""),2.4375)</f>
        <v>2.4375</v>
      </c>
      <c r="T805" s="82">
        <f>IFERROR(__xludf.DUMMYFUNCTION("""COMPUTED_VALUE"""),362.3278976752108)</f>
        <v>362.3278977</v>
      </c>
      <c r="U805" s="82">
        <f>IFERROR(__xludf.DUMMYFUNCTION("""COMPUTED_VALUE"""),0.7869802994226914)</f>
        <v>0.7869802994</v>
      </c>
      <c r="V805" s="82">
        <f>IFERROR(__xludf.DUMMYFUNCTION("""COMPUTED_VALUE"""),0.6088331276841656)</f>
        <v>0.6088331277</v>
      </c>
      <c r="W805" s="82">
        <f>IFERROR(__xludf.DUMMYFUNCTION("""COMPUTED_VALUE"""),1.417037600169829)</f>
        <v>1.4170376</v>
      </c>
      <c r="X805" s="82">
        <f>IFERROR(__xludf.DUMMYFUNCTION("""COMPUTED_VALUE"""),2.6432379253337057)</f>
        <v>2.643237925</v>
      </c>
      <c r="Y805" s="82">
        <f>IFERROR(__xludf.DUMMYFUNCTION("""COMPUTED_VALUE"""),353.04330751900625)</f>
        <v>353.0433075</v>
      </c>
      <c r="Z805" s="82">
        <f>IFERROR(__xludf.DUMMYFUNCTION("""COMPUTED_VALUE"""),0.7337792155586792)</f>
        <v>0.7337792156</v>
      </c>
      <c r="AA805" s="82">
        <f>IFERROR(__xludf.DUMMYFUNCTION("""COMPUTED_VALUE"""),0.5472720194130678)</f>
        <v>0.5472720194</v>
      </c>
      <c r="AB805" s="82">
        <f>IFERROR(__xludf.DUMMYFUNCTION("""COMPUTED_VALUE"""),1.4115004691492892)</f>
        <v>1.411500469</v>
      </c>
      <c r="AC805" s="82">
        <f>IFERROR(__xludf.DUMMYFUNCTION("""COMPUTED_VALUE"""),2.60754731959178)</f>
        <v>2.60754732</v>
      </c>
      <c r="AD805" s="82">
        <f>IFERROR(__xludf.DUMMYFUNCTION("""COMPUTED_VALUE"""),1.223291847776352)</f>
        <v>1.223291848</v>
      </c>
      <c r="AE805" s="82">
        <f>IFERROR(__xludf.DUMMYFUNCTION("""COMPUTED_VALUE"""),1.4763750599129648)</f>
        <v>1.47637506</v>
      </c>
      <c r="AF805" s="82">
        <f>IFERROR(__xludf.DUMMYFUNCTION("""COMPUTED_VALUE"""),1.294298462568941)</f>
        <v>1.294298463</v>
      </c>
      <c r="AG805" s="82">
        <f>IFERROR(__xludf.DUMMYFUNCTION("""COMPUTED_VALUE"""),1.0479391959098392)</f>
        <v>1.047939196</v>
      </c>
      <c r="AH805" s="82">
        <f>IFERROR(__xludf.DUMMYFUNCTION("""COMPUTED_VALUE"""),1.3102990081888741)</f>
        <v>1.310299008</v>
      </c>
      <c r="AI805" s="82">
        <f>IFERROR(__xludf.DUMMYFUNCTION("""COMPUTED_VALUE"""),1.0132396714566243)</f>
        <v>1.013239671</v>
      </c>
      <c r="AJ805" s="82">
        <f>IFERROR(__xludf.DUMMYFUNCTION("""COMPUTED_VALUE"""),1.0500757001097822)</f>
        <v>1.0500757</v>
      </c>
      <c r="AK805" s="82">
        <f>IFERROR(__xludf.DUMMYFUNCTION("""COMPUTED_VALUE"""),0.9695230941572327)</f>
        <v>0.9695230942</v>
      </c>
      <c r="AL805" s="82">
        <f>IFERROR(__xludf.DUMMYFUNCTION("""COMPUTED_VALUE"""),1.0879504301663563)</f>
        <v>1.08795043</v>
      </c>
      <c r="AM805" s="82">
        <f>IFERROR(__xludf.DUMMYFUNCTION("""COMPUTED_VALUE"""),0.9221644319787324)</f>
        <v>0.922164432</v>
      </c>
      <c r="AN805" s="82">
        <f>IFERROR(__xludf.DUMMYFUNCTION("""COMPUTED_VALUE"""),1.2318518016822813)</f>
        <v>1.231851802</v>
      </c>
      <c r="AO805" s="82">
        <f>IFERROR(__xludf.DUMMYFUNCTION("""COMPUTED_VALUE"""),1.528207820317983)</f>
        <v>1.52820782</v>
      </c>
      <c r="AP805" s="82">
        <f>IFERROR(__xludf.DUMMYFUNCTION("""COMPUTED_VALUE"""),1.2407779108399413)</f>
        <v>1.240777911</v>
      </c>
      <c r="AQ805" s="82">
        <f>IFERROR(__xludf.DUMMYFUNCTION("""COMPUTED_VALUE"""),1.0376923449833841)</f>
        <v>1.037692345</v>
      </c>
      <c r="AR805" s="82">
        <f>IFERROR(__xludf.DUMMYFUNCTION("""COMPUTED_VALUE"""),1.3630076464326595)</f>
        <v>1.363007646</v>
      </c>
      <c r="AS805" s="82">
        <f>IFERROR(__xludf.DUMMYFUNCTION("""COMPUTED_VALUE"""),134.0)</f>
        <v>134</v>
      </c>
      <c r="AT805" s="82">
        <f>IFERROR(__xludf.DUMMYFUNCTION("""COMPUTED_VALUE"""),0.5476769288218983)</f>
        <v>0.5476769288</v>
      </c>
      <c r="AU805" s="82">
        <f>IFERROR(__xludf.DUMMYFUNCTION("""COMPUTED_VALUE"""),3.851640059085702)</f>
        <v>3.851640059</v>
      </c>
      <c r="AV805" s="82">
        <f>IFERROR(__xludf.DUMMYFUNCTION("""COMPUTED_VALUE"""),91.93662520154189)</f>
        <v>91.9366252</v>
      </c>
      <c r="AW805" s="82">
        <f t="shared" si="1"/>
        <v>21.40145583</v>
      </c>
      <c r="AX805" s="83">
        <f t="array" ref="AX805">IFERROR(DGET('SBV Import'!A:G,"SBV",{"RSC ID","Tier";B805,A805}))</f>
        <v>77.6799458</v>
      </c>
      <c r="AY805" s="82">
        <f t="shared" si="2"/>
        <v>7.456887873</v>
      </c>
      <c r="AZ805" s="82">
        <v>13.944567953062622</v>
      </c>
      <c r="BA805" s="84">
        <v>800.0</v>
      </c>
      <c r="BB805" s="84" t="b">
        <f>IFERROR(__xludf.DUMMYFUNCTION("iferror(if(A805="""",,E805&gt;=FILTER(Constants!$F$2:$F$10,Constants!$A$2:$A$10=A805)))"),TRUE)</f>
        <v>1</v>
      </c>
    </row>
    <row r="806">
      <c r="A806" s="80" t="str">
        <f>IFERROR(__xludf.DUMMYFUNCTION("""COMPUTED_VALUE"""),"Elite")</f>
        <v>Elite</v>
      </c>
      <c r="B806" s="73" t="str">
        <f>IFERROR(__xludf.DUMMYFUNCTION("""COMPUTED_VALUE"""),"RSC005274")</f>
        <v>RSC005274</v>
      </c>
      <c r="C806" s="73" t="str">
        <f>IFERROR(__xludf.DUMMYFUNCTION("""COMPUTED_VALUE"""),"KING.")</f>
        <v>KING.</v>
      </c>
      <c r="D806" s="73" t="str">
        <f>IFERROR(__xludf.DUMMYFUNCTION("""COMPUTED_VALUE"""),"Cotija Cartel")</f>
        <v>Cotija Cartel</v>
      </c>
      <c r="E806" s="82">
        <f>IFERROR(__xludf.DUMMYFUNCTION("""COMPUTED_VALUE"""),18.0)</f>
        <v>18</v>
      </c>
      <c r="F806" s="82">
        <f>IFERROR(__xludf.DUMMYFUNCTION("""COMPUTED_VALUE"""),11.0)</f>
        <v>11</v>
      </c>
      <c r="G806" s="82">
        <f>IFERROR(__xludf.DUMMYFUNCTION("""COMPUTED_VALUE"""),7.0)</f>
        <v>7</v>
      </c>
      <c r="H806" s="86">
        <f>IFERROR(__xludf.DUMMYFUNCTION("""COMPUTED_VALUE"""),0.6111111111111112)</f>
        <v>0.6111111111</v>
      </c>
      <c r="I806" s="86">
        <f>IFERROR(__xludf.DUMMYFUNCTION("""COMPUTED_VALUE"""),0.3448275862068966)</f>
        <v>0.3448275862</v>
      </c>
      <c r="J806" s="82">
        <f>IFERROR(__xludf.DUMMYFUNCTION("""COMPUTED_VALUE"""),366.3333333333333)</f>
        <v>366.3333333</v>
      </c>
      <c r="K806" s="82">
        <f>IFERROR(__xludf.DUMMYFUNCTION("""COMPUTED_VALUE"""),1.1111111111111112)</f>
        <v>1.111111111</v>
      </c>
      <c r="L806" s="82">
        <f>IFERROR(__xludf.DUMMYFUNCTION("""COMPUTED_VALUE"""),0.8333333333333334)</f>
        <v>0.8333333333</v>
      </c>
      <c r="M806" s="82">
        <f>IFERROR(__xludf.DUMMYFUNCTION("""COMPUTED_VALUE"""),1.0)</f>
        <v>1</v>
      </c>
      <c r="N806" s="82">
        <f>IFERROR(__xludf.DUMMYFUNCTION("""COMPUTED_VALUE"""),3.2222222222222223)</f>
        <v>3.222222222</v>
      </c>
      <c r="O806" s="82">
        <f>IFERROR(__xludf.DUMMYFUNCTION("""COMPUTED_VALUE"""),351.5555555555555)</f>
        <v>351.5555556</v>
      </c>
      <c r="P806" s="82">
        <f>IFERROR(__xludf.DUMMYFUNCTION("""COMPUTED_VALUE"""),0.7222222222222222)</f>
        <v>0.7222222222</v>
      </c>
      <c r="Q806" s="82">
        <f>IFERROR(__xludf.DUMMYFUNCTION("""COMPUTED_VALUE"""),0.48148148148148134)</f>
        <v>0.4814814815</v>
      </c>
      <c r="R806" s="82">
        <f>IFERROR(__xludf.DUMMYFUNCTION("""COMPUTED_VALUE"""),1.5740740740740744)</f>
        <v>1.574074074</v>
      </c>
      <c r="S806" s="82">
        <f>IFERROR(__xludf.DUMMYFUNCTION("""COMPUTED_VALUE"""),2.259259259259259)</f>
        <v>2.259259259</v>
      </c>
      <c r="T806" s="82">
        <f>IFERROR(__xludf.DUMMYFUNCTION("""COMPUTED_VALUE"""),357.0273021076951)</f>
        <v>357.0273021</v>
      </c>
      <c r="U806" s="82">
        <f>IFERROR(__xludf.DUMMYFUNCTION("""COMPUTED_VALUE"""),0.7625693121232003)</f>
        <v>0.7625693121</v>
      </c>
      <c r="V806" s="82">
        <f>IFERROR(__xludf.DUMMYFUNCTION("""COMPUTED_VALUE"""),0.5567641447762604)</f>
        <v>0.5567641448</v>
      </c>
      <c r="W806" s="82">
        <f>IFERROR(__xludf.DUMMYFUNCTION("""COMPUTED_VALUE"""),1.4520323592047335)</f>
        <v>1.452032359</v>
      </c>
      <c r="X806" s="82">
        <f>IFERROR(__xludf.DUMMYFUNCTION("""COMPUTED_VALUE"""),2.5712594050776616)</f>
        <v>2.571259405</v>
      </c>
      <c r="Y806" s="82">
        <f>IFERROR(__xludf.DUMMYFUNCTION("""COMPUTED_VALUE"""),362.33740986813746)</f>
        <v>362.3374099</v>
      </c>
      <c r="Z806" s="82">
        <f>IFERROR(__xludf.DUMMYFUNCTION("""COMPUTED_VALUE"""),0.807752662734219)</f>
        <v>0.8077526627</v>
      </c>
      <c r="AA806" s="82">
        <f>IFERROR(__xludf.DUMMYFUNCTION("""COMPUTED_VALUE"""),0.6033348758810639)</f>
        <v>0.6033348759</v>
      </c>
      <c r="AB806" s="82">
        <f>IFERROR(__xludf.DUMMYFUNCTION("""COMPUTED_VALUE"""),1.3545021809649853)</f>
        <v>1.354502181</v>
      </c>
      <c r="AC806" s="82">
        <f>IFERROR(__xludf.DUMMYFUNCTION("""COMPUTED_VALUE"""),2.767625181293838)</f>
        <v>2.767625181</v>
      </c>
      <c r="AD806" s="82">
        <f>IFERROR(__xludf.DUMMYFUNCTION("""COMPUTED_VALUE"""),1.0110281835559018)</f>
        <v>1.011028184</v>
      </c>
      <c r="AE806" s="82">
        <f>IFERROR(__xludf.DUMMYFUNCTION("""COMPUTED_VALUE"""),1.3755585866470965)</f>
        <v>1.375558587</v>
      </c>
      <c r="AF806" s="82">
        <f>IFERROR(__xludf.DUMMYFUNCTION("""COMPUTED_VALUE"""),1.3812119382563413)</f>
        <v>1.381211938</v>
      </c>
      <c r="AG806" s="82">
        <f>IFERROR(__xludf.DUMMYFUNCTION("""COMPUTED_VALUE"""),0.7382786192987685)</f>
        <v>0.7382786193</v>
      </c>
      <c r="AH806" s="82">
        <f>IFERROR(__xludf.DUMMYFUNCTION("""COMPUTED_VALUE"""),1.1642552770515928)</f>
        <v>1.164255277</v>
      </c>
      <c r="AI806" s="82">
        <f>IFERROR(__xludf.DUMMYFUNCTION("""COMPUTED_VALUE"""),0.9846741509127246)</f>
        <v>0.9846741509</v>
      </c>
      <c r="AJ806" s="82">
        <f>IFERROR(__xludf.DUMMYFUNCTION("""COMPUTED_VALUE"""),0.9470905932620854)</f>
        <v>0.9470905933</v>
      </c>
      <c r="AK806" s="82">
        <f>IFERROR(__xludf.DUMMYFUNCTION("""COMPUTED_VALUE"""),0.8647853601904772)</f>
        <v>0.8647853602</v>
      </c>
      <c r="AL806" s="82">
        <f>IFERROR(__xludf.DUMMYFUNCTION("""COMPUTED_VALUE"""),1.0840488947065767)</f>
        <v>1.084048895</v>
      </c>
      <c r="AM806" s="82">
        <f>IFERROR(__xludf.DUMMYFUNCTION("""COMPUTED_VALUE"""),0.8786586272850292)</f>
        <v>0.8786586273</v>
      </c>
      <c r="AN806" s="82">
        <f>IFERROR(__xludf.DUMMYFUNCTION("""COMPUTED_VALUE"""),1.0449050690198376)</f>
        <v>1.044905069</v>
      </c>
      <c r="AO806" s="82">
        <f>IFERROR(__xludf.DUMMYFUNCTION("""COMPUTED_VALUE"""),1.5673926362235726)</f>
        <v>1.567392636</v>
      </c>
      <c r="AP806" s="82">
        <f>IFERROR(__xludf.DUMMYFUNCTION("""COMPUTED_VALUE"""),1.4597387186352249)</f>
        <v>1.459738719</v>
      </c>
      <c r="AQ806" s="82">
        <f>IFERROR(__xludf.DUMMYFUNCTION("""COMPUTED_VALUE"""),0.7015384867493301)</f>
        <v>0.7015384867</v>
      </c>
      <c r="AR806" s="82">
        <f>IFERROR(__xludf.DUMMYFUNCTION("""COMPUTED_VALUE"""),1.2854381055787683)</f>
        <v>1.285438106</v>
      </c>
      <c r="AS806" s="82">
        <f>IFERROR(__xludf.DUMMYFUNCTION("""COMPUTED_VALUE"""),60.0)</f>
        <v>60</v>
      </c>
      <c r="AT806" s="82">
        <f>IFERROR(__xludf.DUMMYFUNCTION("""COMPUTED_VALUE"""),0.6687763082557854)</f>
        <v>0.6687763083</v>
      </c>
      <c r="AU806" s="82">
        <f>IFERROR(__xludf.DUMMYFUNCTION("""COMPUTED_VALUE"""),3.749628615436704)</f>
        <v>3.749628615</v>
      </c>
      <c r="AV806" s="82">
        <f>IFERROR(__xludf.DUMMYFUNCTION("""COMPUTED_VALUE"""),89.00234630993626)</f>
        <v>89.00234631</v>
      </c>
      <c r="AW806" s="82">
        <f t="shared" si="1"/>
        <v>16.84384935</v>
      </c>
      <c r="AX806" s="83">
        <f t="array" ref="AX806">IFERROR(DGET('SBV Import'!A:G,"SBV",{"RSC ID","Tier";B806,A806}))</f>
        <v>56.48122537</v>
      </c>
      <c r="AY806" s="82">
        <f t="shared" si="2"/>
        <v>2.514321844</v>
      </c>
      <c r="AZ806" s="82">
        <v>14.329527502510729</v>
      </c>
      <c r="BA806" s="84">
        <v>800.0</v>
      </c>
      <c r="BB806" s="84" t="b">
        <f>IFERROR(__xludf.DUMMYFUNCTION("iferror(if(A806="""",,E806&gt;=FILTER(Constants!$F$2:$F$10,Constants!$A$2:$A$10=A806)))"),TRUE)</f>
        <v>1</v>
      </c>
    </row>
    <row r="807">
      <c r="A807" s="80" t="str">
        <f>IFERROR(__xludf.DUMMYFUNCTION("""COMPUTED_VALUE"""),"Elite")</f>
        <v>Elite</v>
      </c>
      <c r="B807" s="73" t="str">
        <f>IFERROR(__xludf.DUMMYFUNCTION("""COMPUTED_VALUE"""),"RSC007876")</f>
        <v>RSC007876</v>
      </c>
      <c r="C807" s="73" t="str">
        <f>IFERROR(__xludf.DUMMYFUNCTION("""COMPUTED_VALUE"""),"dwsn.")</f>
        <v>dwsn.</v>
      </c>
      <c r="D807" s="73" t="str">
        <f>IFERROR(__xludf.DUMMYFUNCTION("""COMPUTED_VALUE"""),"Great Whites")</f>
        <v>Great Whites</v>
      </c>
      <c r="E807" s="82">
        <f>IFERROR(__xludf.DUMMYFUNCTION("""COMPUTED_VALUE"""),43.0)</f>
        <v>43</v>
      </c>
      <c r="F807" s="82">
        <f>IFERROR(__xludf.DUMMYFUNCTION("""COMPUTED_VALUE"""),31.0)</f>
        <v>31</v>
      </c>
      <c r="G807" s="82">
        <f>IFERROR(__xludf.DUMMYFUNCTION("""COMPUTED_VALUE"""),12.0)</f>
        <v>12</v>
      </c>
      <c r="H807" s="86">
        <f>IFERROR(__xludf.DUMMYFUNCTION("""COMPUTED_VALUE"""),0.7209302325581395)</f>
        <v>0.7209302326</v>
      </c>
      <c r="I807" s="86">
        <f>IFERROR(__xludf.DUMMYFUNCTION("""COMPUTED_VALUE"""),0.25531914893617025)</f>
        <v>0.2553191489</v>
      </c>
      <c r="J807" s="82">
        <f>IFERROR(__xludf.DUMMYFUNCTION("""COMPUTED_VALUE"""),394.30232558139534)</f>
        <v>394.3023256</v>
      </c>
      <c r="K807" s="82">
        <f>IFERROR(__xludf.DUMMYFUNCTION("""COMPUTED_VALUE"""),0.8372093023255814)</f>
        <v>0.8372093023</v>
      </c>
      <c r="L807" s="82">
        <f>IFERROR(__xludf.DUMMYFUNCTION("""COMPUTED_VALUE"""),0.8604651162790697)</f>
        <v>0.8604651163</v>
      </c>
      <c r="M807" s="82">
        <f>IFERROR(__xludf.DUMMYFUNCTION("""COMPUTED_VALUE"""),1.4883720930232558)</f>
        <v>1.488372093</v>
      </c>
      <c r="N807" s="82">
        <f>IFERROR(__xludf.DUMMYFUNCTION("""COMPUTED_VALUE"""),3.2790697674418605)</f>
        <v>3.279069767</v>
      </c>
      <c r="O807" s="82">
        <f>IFERROR(__xludf.DUMMYFUNCTION("""COMPUTED_VALUE"""),310.35658914728685)</f>
        <v>310.3565891</v>
      </c>
      <c r="P807" s="82">
        <f>IFERROR(__xludf.DUMMYFUNCTION("""COMPUTED_VALUE"""),0.5271317829457363)</f>
        <v>0.5271317829</v>
      </c>
      <c r="Q807" s="82">
        <f>IFERROR(__xludf.DUMMYFUNCTION("""COMPUTED_VALUE"""),0.4108527131782946)</f>
        <v>0.4108527132</v>
      </c>
      <c r="R807" s="82">
        <f>IFERROR(__xludf.DUMMYFUNCTION("""COMPUTED_VALUE"""),1.457364341085271)</f>
        <v>1.457364341</v>
      </c>
      <c r="S807" s="82">
        <f>IFERROR(__xludf.DUMMYFUNCTION("""COMPUTED_VALUE"""),2.077519379844961)</f>
        <v>2.07751938</v>
      </c>
      <c r="T807" s="82">
        <f>IFERROR(__xludf.DUMMYFUNCTION("""COMPUTED_VALUE"""),353.95749436191704)</f>
        <v>353.9574944</v>
      </c>
      <c r="U807" s="82">
        <f>IFERROR(__xludf.DUMMYFUNCTION("""COMPUTED_VALUE"""),0.7297099899241133)</f>
        <v>0.7297099899</v>
      </c>
      <c r="V807" s="82">
        <f>IFERROR(__xludf.DUMMYFUNCTION("""COMPUTED_VALUE"""),0.5217567568311889)</f>
        <v>0.5217567568</v>
      </c>
      <c r="W807" s="82">
        <f>IFERROR(__xludf.DUMMYFUNCTION("""COMPUTED_VALUE"""),1.4622712257960662)</f>
        <v>1.462271226</v>
      </c>
      <c r="X807" s="82">
        <f>IFERROR(__xludf.DUMMYFUNCTION("""COMPUTED_VALUE"""),2.600684005400434)</f>
        <v>2.600684005</v>
      </c>
      <c r="Y807" s="82">
        <f>IFERROR(__xludf.DUMMYFUNCTION("""COMPUTED_VALUE"""),366.8768514791729)</f>
        <v>366.8768515</v>
      </c>
      <c r="Z807" s="82">
        <f>IFERROR(__xludf.DUMMYFUNCTION("""COMPUTED_VALUE"""),0.8087948871447359)</f>
        <v>0.8087948871</v>
      </c>
      <c r="AA807" s="82">
        <f>IFERROR(__xludf.DUMMYFUNCTION("""COMPUTED_VALUE"""),0.6236804967146372)</f>
        <v>0.6236804967</v>
      </c>
      <c r="AB807" s="82">
        <f>IFERROR(__xludf.DUMMYFUNCTION("""COMPUTED_VALUE"""),1.4212657043656833)</f>
        <v>1.421265704</v>
      </c>
      <c r="AC807" s="82">
        <f>IFERROR(__xludf.DUMMYFUNCTION("""COMPUTED_VALUE"""),2.7352595728321796)</f>
        <v>2.735259573</v>
      </c>
      <c r="AD807" s="82">
        <f>IFERROR(__xludf.DUMMYFUNCTION("""COMPUTED_VALUE"""),1.0747538962778613)</f>
        <v>1.074753896</v>
      </c>
      <c r="AE807" s="82">
        <f>IFERROR(__xludf.DUMMYFUNCTION("""COMPUTED_VALUE"""),1.035131793774261)</f>
        <v>1.035131794</v>
      </c>
      <c r="AF807" s="82">
        <f>IFERROR(__xludf.DUMMYFUNCTION("""COMPUTED_VALUE"""),1.3796569249988468)</f>
        <v>1.379656925</v>
      </c>
      <c r="AG807" s="82">
        <f>IFERROR(__xludf.DUMMYFUNCTION("""COMPUTED_VALUE"""),1.0472159346781131)</f>
        <v>1.047215935</v>
      </c>
      <c r="AH807" s="82">
        <f>IFERROR(__xludf.DUMMYFUNCTION("""COMPUTED_VALUE"""),1.1988148401018488)</f>
        <v>1.19881484</v>
      </c>
      <c r="AI807" s="82">
        <f>IFERROR(__xludf.DUMMYFUNCTION("""COMPUTED_VALUE"""),0.8768188104245963)</f>
        <v>0.8768188104</v>
      </c>
      <c r="AJ807" s="82">
        <f>IFERROR(__xludf.DUMMYFUNCTION("""COMPUTED_VALUE"""),0.7223853177624109)</f>
        <v>0.7223853178</v>
      </c>
      <c r="AK807" s="82">
        <f>IFERROR(__xludf.DUMMYFUNCTION("""COMPUTED_VALUE"""),0.787441097406283)</f>
        <v>0.7874410974</v>
      </c>
      <c r="AL807" s="82">
        <f>IFERROR(__xludf.DUMMYFUNCTION("""COMPUTED_VALUE"""),0.9966443402398732)</f>
        <v>0.9966443402</v>
      </c>
      <c r="AM807" s="82">
        <f>IFERROR(__xludf.DUMMYFUNCTION("""COMPUTED_VALUE"""),0.7988357584123642)</f>
        <v>0.7988357584</v>
      </c>
      <c r="AN807" s="82">
        <f>IFERROR(__xludf.DUMMYFUNCTION("""COMPUTED_VALUE"""),1.1246819801446142)</f>
        <v>1.12468198</v>
      </c>
      <c r="AO807" s="82">
        <f>IFERROR(__xludf.DUMMYFUNCTION("""COMPUTED_VALUE"""),1.1810121258986919)</f>
        <v>1.181012126</v>
      </c>
      <c r="AP807" s="82">
        <f>IFERROR(__xludf.DUMMYFUNCTION("""COMPUTED_VALUE"""),1.5072650955210227)</f>
        <v>1.507265096</v>
      </c>
      <c r="AQ807" s="82">
        <f>IFERROR(__xludf.DUMMYFUNCTION("""COMPUTED_VALUE"""),1.044150305859468)</f>
        <v>1.044150306</v>
      </c>
      <c r="AR807" s="82">
        <f>IFERROR(__xludf.DUMMYFUNCTION("""COMPUTED_VALUE"""),1.3081162437686102)</f>
        <v>1.308116244</v>
      </c>
      <c r="AS807" s="82">
        <f>IFERROR(__xludf.DUMMYFUNCTION("""COMPUTED_VALUE"""),123.0)</f>
        <v>123</v>
      </c>
      <c r="AT807" s="82">
        <f>IFERROR(__xludf.DUMMYFUNCTION("""COMPUTED_VALUE"""),0.7128405099510488)</f>
        <v>0.71284051</v>
      </c>
      <c r="AU807" s="82">
        <f>IFERROR(__xludf.DUMMYFUNCTION("""COMPUTED_VALUE"""),3.6068863470636567)</f>
        <v>3.606886347</v>
      </c>
      <c r="AV807" s="82">
        <f>IFERROR(__xludf.DUMMYFUNCTION("""COMPUTED_VALUE"""),84.89647730108169)</f>
        <v>84.8964773</v>
      </c>
      <c r="AW807" s="82">
        <f t="shared" si="1"/>
        <v>12.28826313</v>
      </c>
      <c r="AX807" s="83">
        <f t="array" ref="AX807">IFERROR(DGET('SBV Import'!A:G,"SBV",{"RSC ID","Tier";B807,A807}))</f>
        <v>83.33826814</v>
      </c>
      <c r="AY807" s="82">
        <f t="shared" si="2"/>
        <v>10.96745576</v>
      </c>
      <c r="AZ807" s="82">
        <v>1.3208073676673209</v>
      </c>
      <c r="BA807" s="84">
        <v>800.0</v>
      </c>
      <c r="BB807" s="84" t="b">
        <f>IFERROR(__xludf.DUMMYFUNCTION("iferror(if(A807="""",,E807&gt;=FILTER(Constants!$F$2:$F$10,Constants!$A$2:$A$10=A807)))"),TRUE)</f>
        <v>1</v>
      </c>
    </row>
    <row r="808">
      <c r="A808" s="80" t="str">
        <f>IFERROR(__xludf.DUMMYFUNCTION("""COMPUTED_VALUE"""),"Elite")</f>
        <v>Elite</v>
      </c>
      <c r="B808" s="73" t="str">
        <f>IFERROR(__xludf.DUMMYFUNCTION("""COMPUTED_VALUE"""),"RSC006972")</f>
        <v>RSC006972</v>
      </c>
      <c r="C808" s="73" t="str">
        <f>IFERROR(__xludf.DUMMYFUNCTION("""COMPUTED_VALUE"""),"galaxiezz.")</f>
        <v>galaxiezz.</v>
      </c>
      <c r="D808" s="73" t="str">
        <f>IFERROR(__xludf.DUMMYFUNCTION("""COMPUTED_VALUE"""),"Cotija Cartel")</f>
        <v>Cotija Cartel</v>
      </c>
      <c r="E808" s="82">
        <f>IFERROR(__xludf.DUMMYFUNCTION("""COMPUTED_VALUE"""),37.0)</f>
        <v>37</v>
      </c>
      <c r="F808" s="82">
        <f>IFERROR(__xludf.DUMMYFUNCTION("""COMPUTED_VALUE"""),30.0)</f>
        <v>30</v>
      </c>
      <c r="G808" s="82">
        <f>IFERROR(__xludf.DUMMYFUNCTION("""COMPUTED_VALUE"""),7.0)</f>
        <v>7</v>
      </c>
      <c r="H808" s="86">
        <f>IFERROR(__xludf.DUMMYFUNCTION("""COMPUTED_VALUE"""),0.8108108108108109)</f>
        <v>0.8108108108</v>
      </c>
      <c r="I808" s="86">
        <f>IFERROR(__xludf.DUMMYFUNCTION("""COMPUTED_VALUE"""),0.3557692307692307)</f>
        <v>0.3557692308</v>
      </c>
      <c r="J808" s="82">
        <f>IFERROR(__xludf.DUMMYFUNCTION("""COMPUTED_VALUE"""),399.6756756756757)</f>
        <v>399.6756757</v>
      </c>
      <c r="K808" s="82">
        <f>IFERROR(__xludf.DUMMYFUNCTION("""COMPUTED_VALUE"""),1.0)</f>
        <v>1</v>
      </c>
      <c r="L808" s="82">
        <f>IFERROR(__xludf.DUMMYFUNCTION("""COMPUTED_VALUE"""),0.7567567567567568)</f>
        <v>0.7567567568</v>
      </c>
      <c r="M808" s="82">
        <f>IFERROR(__xludf.DUMMYFUNCTION("""COMPUTED_VALUE"""),1.4594594594594594)</f>
        <v>1.459459459</v>
      </c>
      <c r="N808" s="82">
        <f>IFERROR(__xludf.DUMMYFUNCTION("""COMPUTED_VALUE"""),2.810810810810811)</f>
        <v>2.810810811</v>
      </c>
      <c r="O808" s="82">
        <f>IFERROR(__xludf.DUMMYFUNCTION("""COMPUTED_VALUE"""),319.018018018018)</f>
        <v>319.018018</v>
      </c>
      <c r="P808" s="82">
        <f>IFERROR(__xludf.DUMMYFUNCTION("""COMPUTED_VALUE"""),0.5495495495495498)</f>
        <v>0.5495495495</v>
      </c>
      <c r="Q808" s="82">
        <f>IFERROR(__xludf.DUMMYFUNCTION("""COMPUTED_VALUE"""),0.3603603603603604)</f>
        <v>0.3603603604</v>
      </c>
      <c r="R808" s="82">
        <f>IFERROR(__xludf.DUMMYFUNCTION("""COMPUTED_VALUE"""),1.3963963963963966)</f>
        <v>1.396396396</v>
      </c>
      <c r="S808" s="82">
        <f>IFERROR(__xludf.DUMMYFUNCTION("""COMPUTED_VALUE"""),2.234234234234234)</f>
        <v>2.234234234</v>
      </c>
      <c r="T808" s="82">
        <f>IFERROR(__xludf.DUMMYFUNCTION("""COMPUTED_VALUE"""),357.37823513598573)</f>
        <v>357.3782351</v>
      </c>
      <c r="U808" s="82">
        <f>IFERROR(__xludf.DUMMYFUNCTION("""COMPUTED_VALUE"""),0.769982609568446)</f>
        <v>0.7699826096</v>
      </c>
      <c r="V808" s="82">
        <f>IFERROR(__xludf.DUMMYFUNCTION("""COMPUTED_VALUE"""),0.5528183327777808)</f>
        <v>0.5528183328</v>
      </c>
      <c r="W808" s="82">
        <f>IFERROR(__xludf.DUMMYFUNCTION("""COMPUTED_VALUE"""),1.4131487386002668)</f>
        <v>1.413148739</v>
      </c>
      <c r="X808" s="82">
        <f>IFERROR(__xludf.DUMMYFUNCTION("""COMPUTED_VALUE"""),2.6128235579763444)</f>
        <v>2.612823558</v>
      </c>
      <c r="Y808" s="82">
        <f>IFERROR(__xludf.DUMMYFUNCTION("""COMPUTED_VALUE"""),366.2976596391383)</f>
        <v>366.2976596</v>
      </c>
      <c r="Z808" s="82">
        <f>IFERROR(__xludf.DUMMYFUNCTION("""COMPUTED_VALUE"""),0.8132472328199802)</f>
        <v>0.8132472328</v>
      </c>
      <c r="AA808" s="82">
        <f>IFERROR(__xludf.DUMMYFUNCTION("""COMPUTED_VALUE"""),0.609309447078219)</f>
        <v>0.6093094471</v>
      </c>
      <c r="AB808" s="82">
        <f>IFERROR(__xludf.DUMMYFUNCTION("""COMPUTED_VALUE"""),1.3976668526606575)</f>
        <v>1.397666853</v>
      </c>
      <c r="AC808" s="82">
        <f>IFERROR(__xludf.DUMMYFUNCTION("""COMPUTED_VALUE"""),2.712679057212078)</f>
        <v>2.712679057</v>
      </c>
      <c r="AD808" s="82">
        <f>IFERROR(__xludf.DUMMYFUNCTION("""COMPUTED_VALUE"""),1.091122657101932)</f>
        <v>1.091122657</v>
      </c>
      <c r="AE808" s="82">
        <f>IFERROR(__xludf.DUMMYFUNCTION("""COMPUTED_VALUE"""),1.2296383678213625)</f>
        <v>1.229638368</v>
      </c>
      <c r="AF808" s="82">
        <f>IFERROR(__xludf.DUMMYFUNCTION("""COMPUTED_VALUE"""),1.241990847812359)</f>
        <v>1.241990848</v>
      </c>
      <c r="AG808" s="82">
        <f>IFERROR(__xludf.DUMMYFUNCTION("""COMPUTED_VALUE"""),1.0442112558376633)</f>
        <v>1.044211256</v>
      </c>
      <c r="AH808" s="82">
        <f>IFERROR(__xludf.DUMMYFUNCTION("""COMPUTED_VALUE"""),1.0361752170194387)</f>
        <v>1.036175217</v>
      </c>
      <c r="AI808" s="82">
        <f>IFERROR(__xludf.DUMMYFUNCTION("""COMPUTED_VALUE"""),0.8926621339898572)</f>
        <v>0.892662134</v>
      </c>
      <c r="AJ808" s="82">
        <f>IFERROR(__xludf.DUMMYFUNCTION("""COMPUTED_VALUE"""),0.7137168329782891)</f>
        <v>0.713716833</v>
      </c>
      <c r="AK808" s="82">
        <f>IFERROR(__xludf.DUMMYFUNCTION("""COMPUTED_VALUE"""),0.6518603653204393)</f>
        <v>0.6518603653</v>
      </c>
      <c r="AL808" s="82">
        <f>IFERROR(__xludf.DUMMYFUNCTION("""COMPUTED_VALUE"""),0.9881453793600923)</f>
        <v>0.9881453794</v>
      </c>
      <c r="AM808" s="82">
        <f>IFERROR(__xludf.DUMMYFUNCTION("""COMPUTED_VALUE"""),0.8551033717579724)</f>
        <v>0.8551033718</v>
      </c>
      <c r="AN808" s="82">
        <f>IFERROR(__xludf.DUMMYFUNCTION("""COMPUTED_VALUE"""),1.1400085700021168)</f>
        <v>1.14000857</v>
      </c>
      <c r="AO808" s="82">
        <f>IFERROR(__xludf.DUMMYFUNCTION("""COMPUTED_VALUE"""),1.4106533726012151)</f>
        <v>1.410653373</v>
      </c>
      <c r="AP808" s="82">
        <f>IFERROR(__xludf.DUMMYFUNCTION("""COMPUTED_VALUE"""),1.325600566111988)</f>
        <v>1.325600566</v>
      </c>
      <c r="AQ808" s="82">
        <f>IFERROR(__xludf.DUMMYFUNCTION("""COMPUTED_VALUE"""),1.0238669806611844)</f>
        <v>1.023866981</v>
      </c>
      <c r="AR808" s="82">
        <f>IFERROR(__xludf.DUMMYFUNCTION("""COMPUTED_VALUE"""),1.1213141349689908)</f>
        <v>1.121314135</v>
      </c>
      <c r="AS808" s="82">
        <f>IFERROR(__xludf.DUMMYFUNCTION("""COMPUTED_VALUE"""),115.0)</f>
        <v>115</v>
      </c>
      <c r="AT808" s="82">
        <f>IFERROR(__xludf.DUMMYFUNCTION("""COMPUTED_VALUE"""),0.7294853643315657)</f>
        <v>0.7294853643</v>
      </c>
      <c r="AU808" s="82">
        <f>IFERROR(__xludf.DUMMYFUNCTION("""COMPUTED_VALUE"""),3.5713164519138574)</f>
        <v>3.571316452</v>
      </c>
      <c r="AV808" s="82">
        <f>IFERROR(__xludf.DUMMYFUNCTION("""COMPUTED_VALUE"""),83.87333726128571)</f>
        <v>83.87333726</v>
      </c>
      <c r="AW808" s="82">
        <f t="shared" si="1"/>
        <v>11.39999014</v>
      </c>
      <c r="AX808" s="83">
        <f t="array" ref="AX808">IFERROR(DGET('SBV Import'!A:G,"SBV",{"RSC ID","Tier";B808,A808}))</f>
        <v>68.31809396</v>
      </c>
      <c r="AY808" s="82">
        <f t="shared" si="2"/>
        <v>4.312883013</v>
      </c>
      <c r="AZ808" s="82">
        <v>7.087107126413539</v>
      </c>
      <c r="BA808" s="84">
        <v>800.0</v>
      </c>
      <c r="BB808" s="84" t="b">
        <f>IFERROR(__xludf.DUMMYFUNCTION("iferror(if(A808="""",,E808&gt;=FILTER(Constants!$F$2:$F$10,Constants!$A$2:$A$10=A808)))"),TRUE)</f>
        <v>1</v>
      </c>
    </row>
    <row r="809">
      <c r="A809" s="80" t="str">
        <f>IFERROR(__xludf.DUMMYFUNCTION("""COMPUTED_VALUE"""),"Elite")</f>
        <v>Elite</v>
      </c>
      <c r="B809" s="73" t="str">
        <f>IFERROR(__xludf.DUMMYFUNCTION("""COMPUTED_VALUE"""),"RSC007882")</f>
        <v>RSC007882</v>
      </c>
      <c r="C809" s="73" t="str">
        <f>IFERROR(__xludf.DUMMYFUNCTION("""COMPUTED_VALUE"""),"mirage")</f>
        <v>mirage</v>
      </c>
      <c r="D809" s="73"/>
      <c r="E809" s="82">
        <f>IFERROR(__xludf.DUMMYFUNCTION("""COMPUTED_VALUE"""),12.0)</f>
        <v>12</v>
      </c>
      <c r="F809" s="82">
        <f>IFERROR(__xludf.DUMMYFUNCTION("""COMPUTED_VALUE"""),8.0)</f>
        <v>8</v>
      </c>
      <c r="G809" s="82">
        <f>IFERROR(__xludf.DUMMYFUNCTION("""COMPUTED_VALUE"""),4.0)</f>
        <v>4</v>
      </c>
      <c r="H809" s="86">
        <f>IFERROR(__xludf.DUMMYFUNCTION("""COMPUTED_VALUE"""),0.6666666666666666)</f>
        <v>0.6666666667</v>
      </c>
      <c r="I809" s="86">
        <f>IFERROR(__xludf.DUMMYFUNCTION("""COMPUTED_VALUE"""),0.4358974358974359)</f>
        <v>0.4358974359</v>
      </c>
      <c r="J809" s="82">
        <f>IFERROR(__xludf.DUMMYFUNCTION("""COMPUTED_VALUE"""),473.5833333333333)</f>
        <v>473.5833333</v>
      </c>
      <c r="K809" s="82">
        <f>IFERROR(__xludf.DUMMYFUNCTION("""COMPUTED_VALUE"""),1.4166666666666667)</f>
        <v>1.416666667</v>
      </c>
      <c r="L809" s="82">
        <f>IFERROR(__xludf.DUMMYFUNCTION("""COMPUTED_VALUE"""),0.3333333333333333)</f>
        <v>0.3333333333</v>
      </c>
      <c r="M809" s="82">
        <f>IFERROR(__xludf.DUMMYFUNCTION("""COMPUTED_VALUE"""),1.75)</f>
        <v>1.75</v>
      </c>
      <c r="N809" s="82">
        <f>IFERROR(__xludf.DUMMYFUNCTION("""COMPUTED_VALUE"""),3.25)</f>
        <v>3.25</v>
      </c>
      <c r="O809" s="82">
        <f>IFERROR(__xludf.DUMMYFUNCTION("""COMPUTED_VALUE"""),343.0)</f>
        <v>343</v>
      </c>
      <c r="P809" s="82">
        <f>IFERROR(__xludf.DUMMYFUNCTION("""COMPUTED_VALUE"""),0.638888888888889)</f>
        <v>0.6388888889</v>
      </c>
      <c r="Q809" s="82">
        <f>IFERROR(__xludf.DUMMYFUNCTION("""COMPUTED_VALUE"""),0.4444444444444444)</f>
        <v>0.4444444444</v>
      </c>
      <c r="R809" s="82">
        <f>IFERROR(__xludf.DUMMYFUNCTION("""COMPUTED_VALUE"""),1.388888888888889)</f>
        <v>1.388888889</v>
      </c>
      <c r="S809" s="82">
        <f>IFERROR(__xludf.DUMMYFUNCTION("""COMPUTED_VALUE"""),2.472222222222222)</f>
        <v>2.472222222</v>
      </c>
      <c r="T809" s="82">
        <f>IFERROR(__xludf.DUMMYFUNCTION("""COMPUTED_VALUE"""),336.08590519260093)</f>
        <v>336.0859052</v>
      </c>
      <c r="U809" s="82">
        <f>IFERROR(__xludf.DUMMYFUNCTION("""COMPUTED_VALUE"""),0.6381233930483493)</f>
        <v>0.638123393</v>
      </c>
      <c r="V809" s="82">
        <f>IFERROR(__xludf.DUMMYFUNCTION("""COMPUTED_VALUE"""),0.4579864233768416)</f>
        <v>0.4579864234</v>
      </c>
      <c r="W809" s="82">
        <f>IFERROR(__xludf.DUMMYFUNCTION("""COMPUTED_VALUE"""),1.504533390990182)</f>
        <v>1.504533391</v>
      </c>
      <c r="X809" s="82">
        <f>IFERROR(__xludf.DUMMYFUNCTION("""COMPUTED_VALUE"""),2.3488274044283433)</f>
        <v>2.348827404</v>
      </c>
      <c r="Y809" s="82">
        <f>IFERROR(__xludf.DUMMYFUNCTION("""COMPUTED_VALUE"""),379.9621005066035)</f>
        <v>379.9621005</v>
      </c>
      <c r="Z809" s="82">
        <f>IFERROR(__xludf.DUMMYFUNCTION("""COMPUTED_VALUE"""),0.9122521926177551)</f>
        <v>0.9122521926</v>
      </c>
      <c r="AA809" s="82">
        <f>IFERROR(__xludf.DUMMYFUNCTION("""COMPUTED_VALUE"""),0.7243214352798976)</f>
        <v>0.7243214353</v>
      </c>
      <c r="AB809" s="82">
        <f>IFERROR(__xludf.DUMMYFUNCTION("""COMPUTED_VALUE"""),1.3311066545377281)</f>
        <v>1.331106655</v>
      </c>
      <c r="AC809" s="82">
        <f>IFERROR(__xludf.DUMMYFUNCTION("""COMPUTED_VALUE"""),2.9144364235132776)</f>
        <v>2.914436424</v>
      </c>
      <c r="AD809" s="82">
        <f>IFERROR(__xludf.DUMMYFUNCTION("""COMPUTED_VALUE"""),1.2463962397878752)</f>
        <v>1.24639624</v>
      </c>
      <c r="AE809" s="82">
        <f>IFERROR(__xludf.DUMMYFUNCTION("""COMPUTED_VALUE"""),1.5529331451662156)</f>
        <v>1.552933145</v>
      </c>
      <c r="AF809" s="82">
        <f>IFERROR(__xludf.DUMMYFUNCTION("""COMPUTED_VALUE"""),0.4602008405350095)</f>
        <v>0.4602008405</v>
      </c>
      <c r="AG809" s="82">
        <f>IFERROR(__xludf.DUMMYFUNCTION("""COMPUTED_VALUE"""),1.3146955535337976)</f>
        <v>1.314695554</v>
      </c>
      <c r="AH809" s="82">
        <f>IFERROR(__xludf.DUMMYFUNCTION("""COMPUTED_VALUE"""),1.1151384102186759)</f>
        <v>1.11513841</v>
      </c>
      <c r="AI809" s="82">
        <f>IFERROR(__xludf.DUMMYFUNCTION("""COMPUTED_VALUE"""),1.0205724033664452)</f>
        <v>1.020572403</v>
      </c>
      <c r="AJ809" s="82">
        <f>IFERROR(__xludf.DUMMYFUNCTION("""COMPUTED_VALUE"""),1.001199604729867)</f>
        <v>1.001199605</v>
      </c>
      <c r="AK809" s="82">
        <f>IFERROR(__xludf.DUMMYFUNCTION("""COMPUTED_VALUE"""),0.9704314839017519)</f>
        <v>0.9704314839</v>
      </c>
      <c r="AL809" s="82">
        <f>IFERROR(__xludf.DUMMYFUNCTION("""COMPUTED_VALUE"""),0.9231359684046736)</f>
        <v>0.9231359684</v>
      </c>
      <c r="AM809" s="82">
        <f>IFERROR(__xludf.DUMMYFUNCTION("""COMPUTED_VALUE"""),1.0525346466757146)</f>
        <v>1.052534647</v>
      </c>
      <c r="AN809" s="82">
        <f>IFERROR(__xludf.DUMMYFUNCTION("""COMPUTED_VALUE"""),1.3508179042856543)</f>
        <v>1.350817904</v>
      </c>
      <c r="AO809" s="82">
        <f>IFERROR(__xludf.DUMMYFUNCTION("""COMPUTED_VALUE"""),1.998425611185055)</f>
        <v>1.998425611</v>
      </c>
      <c r="AP809" s="82">
        <f>IFERROR(__xludf.DUMMYFUNCTION("""COMPUTED_VALUE"""),0.5838954874540899)</f>
        <v>0.5838954875</v>
      </c>
      <c r="AQ809" s="82">
        <f>IFERROR(__xludf.DUMMYFUNCTION("""COMPUTED_VALUE"""),1.2276923518113276)</f>
        <v>1.227692352</v>
      </c>
      <c r="AR809" s="82">
        <f>IFERROR(__xludf.DUMMYFUNCTION("""COMPUTED_VALUE"""),1.2965194685578956)</f>
        <v>1.296519469</v>
      </c>
      <c r="AS809" s="82">
        <f>IFERROR(__xludf.DUMMYFUNCTION("""COMPUTED_VALUE"""),31.0)</f>
        <v>31</v>
      </c>
      <c r="AT809" s="82">
        <f>IFERROR(__xludf.DUMMYFUNCTION("""COMPUTED_VALUE"""),0.6129258353462961)</f>
        <v>0.6129258353</v>
      </c>
      <c r="AU809" s="82">
        <f>IFERROR(__xludf.DUMMYFUNCTION("""COMPUTED_VALUE"""),3.5450856829484523)</f>
        <v>3.545085683</v>
      </c>
      <c r="AV809" s="82">
        <f>IFERROR(__xludf.DUMMYFUNCTION("""COMPUTED_VALUE"""),83.11882983611284)</f>
        <v>83.11882984</v>
      </c>
      <c r="AW809" s="82">
        <f t="shared" si="1"/>
        <v>10.79604509</v>
      </c>
      <c r="AX809" s="83">
        <f t="array" ref="AX809">IFERROR(DGET('SBV Import'!A:G,"SBV",{"RSC ID","Tier";B809,A809}))</f>
        <v>87.18715161</v>
      </c>
      <c r="AY809" s="82">
        <f t="shared" si="2"/>
        <v>14.6106466</v>
      </c>
      <c r="AZ809" s="82">
        <v>3.8146015057947196</v>
      </c>
      <c r="BA809" s="84">
        <v>800.0</v>
      </c>
      <c r="BB809" s="84" t="b">
        <f>IFERROR(__xludf.DUMMYFUNCTION("iferror(if(A809="""",,E809&gt;=FILTER(Constants!$F$2:$F$10,Constants!$A$2:$A$10=A809)))"),TRUE)</f>
        <v>1</v>
      </c>
    </row>
    <row r="810">
      <c r="A810" s="80" t="str">
        <f>IFERROR(__xludf.DUMMYFUNCTION("""COMPUTED_VALUE"""),"Elite")</f>
        <v>Elite</v>
      </c>
      <c r="B810" s="73" t="str">
        <f>IFERROR(__xludf.DUMMYFUNCTION("""COMPUTED_VALUE"""),"RSC000009")</f>
        <v>RSC000009</v>
      </c>
      <c r="C810" s="73" t="str">
        <f>IFERROR(__xludf.DUMMYFUNCTION("""COMPUTED_VALUE"""),"Timbo")</f>
        <v>Timbo</v>
      </c>
      <c r="D810" s="73" t="str">
        <f>IFERROR(__xludf.DUMMYFUNCTION("""COMPUTED_VALUE"""),"Menthol")</f>
        <v>Menthol</v>
      </c>
      <c r="E810" s="82">
        <f>IFERROR(__xludf.DUMMYFUNCTION("""COMPUTED_VALUE"""),48.0)</f>
        <v>48</v>
      </c>
      <c r="F810" s="82">
        <f>IFERROR(__xludf.DUMMYFUNCTION("""COMPUTED_VALUE"""),29.0)</f>
        <v>29</v>
      </c>
      <c r="G810" s="82">
        <f>IFERROR(__xludf.DUMMYFUNCTION("""COMPUTED_VALUE"""),19.0)</f>
        <v>19</v>
      </c>
      <c r="H810" s="86">
        <f>IFERROR(__xludf.DUMMYFUNCTION("""COMPUTED_VALUE"""),0.6041666666666666)</f>
        <v>0.6041666667</v>
      </c>
      <c r="I810" s="86">
        <f>IFERROR(__xludf.DUMMYFUNCTION("""COMPUTED_VALUE"""),0.33098591549295775)</f>
        <v>0.3309859155</v>
      </c>
      <c r="J810" s="82">
        <f>IFERROR(__xludf.DUMMYFUNCTION("""COMPUTED_VALUE"""),407.04545454545456)</f>
        <v>407.0454545</v>
      </c>
      <c r="K810" s="82">
        <f>IFERROR(__xludf.DUMMYFUNCTION("""COMPUTED_VALUE"""),1.0681818181818181)</f>
        <v>1.068181818</v>
      </c>
      <c r="L810" s="82">
        <f>IFERROR(__xludf.DUMMYFUNCTION("""COMPUTED_VALUE"""),0.7272727272727273)</f>
        <v>0.7272727273</v>
      </c>
      <c r="M810" s="82">
        <f>IFERROR(__xludf.DUMMYFUNCTION("""COMPUTED_VALUE"""),1.1590909090909092)</f>
        <v>1.159090909</v>
      </c>
      <c r="N810" s="82">
        <f>IFERROR(__xludf.DUMMYFUNCTION("""COMPUTED_VALUE"""),3.227272727272727)</f>
        <v>3.227272727</v>
      </c>
      <c r="O810" s="82">
        <f>IFERROR(__xludf.DUMMYFUNCTION("""COMPUTED_VALUE"""),369.63636363636374)</f>
        <v>369.6363636</v>
      </c>
      <c r="P810" s="82">
        <f>IFERROR(__xludf.DUMMYFUNCTION("""COMPUTED_VALUE"""),0.7424242424242425)</f>
        <v>0.7424242424</v>
      </c>
      <c r="Q810" s="82">
        <f>IFERROR(__xludf.DUMMYFUNCTION("""COMPUTED_VALUE"""),0.537878787878788)</f>
        <v>0.5378787879</v>
      </c>
      <c r="R810" s="82">
        <f>IFERROR(__xludf.DUMMYFUNCTION("""COMPUTED_VALUE"""),1.7045454545454546)</f>
        <v>1.704545455</v>
      </c>
      <c r="S810" s="82">
        <f>IFERROR(__xludf.DUMMYFUNCTION("""COMPUTED_VALUE"""),2.3409090909090913)</f>
        <v>2.340909091</v>
      </c>
      <c r="T810" s="82">
        <f>IFERROR(__xludf.DUMMYFUNCTION("""COMPUTED_VALUE"""),354.70716059130217)</f>
        <v>354.7071606</v>
      </c>
      <c r="U810" s="82">
        <f>IFERROR(__xludf.DUMMYFUNCTION("""COMPUTED_VALUE"""),0.7121770322687507)</f>
        <v>0.7121770323</v>
      </c>
      <c r="V810" s="82">
        <f>IFERROR(__xludf.DUMMYFUNCTION("""COMPUTED_VALUE"""),0.585342467931721)</f>
        <v>0.5853424679</v>
      </c>
      <c r="W810" s="82">
        <f>IFERROR(__xludf.DUMMYFUNCTION("""COMPUTED_VALUE"""),1.4981715286644006)</f>
        <v>1.498171529</v>
      </c>
      <c r="X810" s="82">
        <f>IFERROR(__xludf.DUMMYFUNCTION("""COMPUTED_VALUE"""),2.505670119860263)</f>
        <v>2.50567012</v>
      </c>
      <c r="Y810" s="82">
        <f>IFERROR(__xludf.DUMMYFUNCTION("""COMPUTED_VALUE"""),366.73375962509755)</f>
        <v>366.7337596</v>
      </c>
      <c r="Z810" s="82">
        <f>IFERROR(__xludf.DUMMYFUNCTION("""COMPUTED_VALUE"""),0.8225914887279102)</f>
        <v>0.8225914887</v>
      </c>
      <c r="AA810" s="82">
        <f>IFERROR(__xludf.DUMMYFUNCTION("""COMPUTED_VALUE"""),0.624477277504843)</f>
        <v>0.6244772775</v>
      </c>
      <c r="AB810" s="82">
        <f>IFERROR(__xludf.DUMMYFUNCTION("""COMPUTED_VALUE"""),1.3781213471316238)</f>
        <v>1.378121347</v>
      </c>
      <c r="AC810" s="82">
        <f>IFERROR(__xludf.DUMMYFUNCTION("""COMPUTED_VALUE"""),2.765592094841388)</f>
        <v>2.765592095</v>
      </c>
      <c r="AD810" s="82">
        <f>IFERROR(__xludf.DUMMYFUNCTION("""COMPUTED_VALUE"""),1.1099208727376684)</f>
        <v>1.109920873</v>
      </c>
      <c r="AE810" s="82">
        <f>IFERROR(__xludf.DUMMYFUNCTION("""COMPUTED_VALUE"""),1.2985568569809773)</f>
        <v>1.298556857</v>
      </c>
      <c r="AF810" s="82">
        <f>IFERROR(__xludf.DUMMYFUNCTION("""COMPUTED_VALUE"""),1.164610392516783)</f>
        <v>1.164610393</v>
      </c>
      <c r="AG810" s="82">
        <f>IFERROR(__xludf.DUMMYFUNCTION("""COMPUTED_VALUE"""),0.8410659275421593)</f>
        <v>0.8410659275</v>
      </c>
      <c r="AH810" s="82">
        <f>IFERROR(__xludf.DUMMYFUNCTION("""COMPUTED_VALUE"""),1.1669373561243916)</f>
        <v>1.166937356</v>
      </c>
      <c r="AI810" s="82">
        <f>IFERROR(__xludf.DUMMYFUNCTION("""COMPUTED_VALUE"""),1.0420888121349858)</f>
        <v>1.042088812</v>
      </c>
      <c r="AJ810" s="82">
        <f>IFERROR(__xludf.DUMMYFUNCTION("""COMPUTED_VALUE"""),1.0424714765921819)</f>
        <v>1.042471477</v>
      </c>
      <c r="AK810" s="82">
        <f>IFERROR(__xludf.DUMMYFUNCTION("""COMPUTED_VALUE"""),0.9189129737662063)</f>
        <v>0.9189129738</v>
      </c>
      <c r="AL810" s="82">
        <f>IFERROR(__xludf.DUMMYFUNCTION("""COMPUTED_VALUE"""),1.1377505325208213)</f>
        <v>1.137750533</v>
      </c>
      <c r="AM810" s="82">
        <f>IFERROR(__xludf.DUMMYFUNCTION("""COMPUTED_VALUE"""),0.9342447245368596)</f>
        <v>0.9342447245</v>
      </c>
      <c r="AN810" s="82">
        <f>IFERROR(__xludf.DUMMYFUNCTION("""COMPUTED_VALUE"""),1.161029641790799)</f>
        <v>1.161029642</v>
      </c>
      <c r="AO810" s="82">
        <f>IFERROR(__xludf.DUMMYFUNCTION("""COMPUTED_VALUE"""),1.5068342843694797)</f>
        <v>1.506834284</v>
      </c>
      <c r="AP810" s="82">
        <f>IFERROR(__xludf.DUMMYFUNCTION("""COMPUTED_VALUE"""),1.2739537908089236)</f>
        <v>1.273953791</v>
      </c>
      <c r="AQ810" s="82">
        <f>IFERROR(__xludf.DUMMYFUNCTION("""COMPUTED_VALUE"""),0.8131468823685417)</f>
        <v>0.8131468824</v>
      </c>
      <c r="AR810" s="82">
        <f>IFERROR(__xludf.DUMMYFUNCTION("""COMPUTED_VALUE"""),1.2874528988477005)</f>
        <v>1.287452899</v>
      </c>
      <c r="AS810" s="82">
        <f>IFERROR(__xludf.DUMMYFUNCTION("""COMPUTED_VALUE"""),120.0)</f>
        <v>120</v>
      </c>
      <c r="AT810" s="82">
        <f>IFERROR(__xludf.DUMMYFUNCTION("""COMPUTED_VALUE"""),0.5449788229394389)</f>
        <v>0.5449788229</v>
      </c>
      <c r="AU810" s="82">
        <f>IFERROR(__xludf.DUMMYFUNCTION("""COMPUTED_VALUE"""),3.5392447846871526)</f>
        <v>3.539244785</v>
      </c>
      <c r="AV810" s="82">
        <f>IFERROR(__xludf.DUMMYFUNCTION("""COMPUTED_VALUE"""),82.95082099452523)</f>
        <v>82.95082099</v>
      </c>
      <c r="AW810" s="82">
        <f t="shared" si="1"/>
        <v>10.66708454</v>
      </c>
      <c r="AX810" s="83">
        <f t="array" ref="AX810">IFERROR(DGET('SBV Import'!A:G,"SBV",{"RSC ID","Tier";B810,A810}))</f>
        <v>73.17249972</v>
      </c>
      <c r="AY810" s="82">
        <f t="shared" si="2"/>
        <v>5.650061257</v>
      </c>
      <c r="AZ810" s="82">
        <v>5.017023283976925</v>
      </c>
      <c r="BA810" s="84">
        <v>800.0</v>
      </c>
      <c r="BB810" s="84" t="b">
        <f>IFERROR(__xludf.DUMMYFUNCTION("iferror(if(A810="""",,E810&gt;=FILTER(Constants!$F$2:$F$10,Constants!$A$2:$A$10=A810)))"),TRUE)</f>
        <v>1</v>
      </c>
    </row>
    <row r="811">
      <c r="A811" s="80" t="str">
        <f>IFERROR(__xludf.DUMMYFUNCTION("""COMPUTED_VALUE"""),"Elite")</f>
        <v>Elite</v>
      </c>
      <c r="B811" s="73" t="str">
        <f>IFERROR(__xludf.DUMMYFUNCTION("""COMPUTED_VALUE"""),"RSC007868")</f>
        <v>RSC007868</v>
      </c>
      <c r="C811" s="73" t="str">
        <f>IFERROR(__xludf.DUMMYFUNCTION("""COMPUTED_VALUE"""),"JayX")</f>
        <v>JayX</v>
      </c>
      <c r="D811" s="73" t="str">
        <f>IFERROR(__xludf.DUMMYFUNCTION("""COMPUTED_VALUE"""),"Afterburners")</f>
        <v>Afterburners</v>
      </c>
      <c r="E811" s="82">
        <f>IFERROR(__xludf.DUMMYFUNCTION("""COMPUTED_VALUE"""),48.0)</f>
        <v>48</v>
      </c>
      <c r="F811" s="82">
        <f>IFERROR(__xludf.DUMMYFUNCTION("""COMPUTED_VALUE"""),28.0)</f>
        <v>28</v>
      </c>
      <c r="G811" s="82">
        <f>IFERROR(__xludf.DUMMYFUNCTION("""COMPUTED_VALUE"""),20.0)</f>
        <v>20</v>
      </c>
      <c r="H811" s="86">
        <f>IFERROR(__xludf.DUMMYFUNCTION("""COMPUTED_VALUE"""),0.5833333333333334)</f>
        <v>0.5833333333</v>
      </c>
      <c r="I811" s="86">
        <f>IFERROR(__xludf.DUMMYFUNCTION("""COMPUTED_VALUE"""),0.35526315789473684)</f>
        <v>0.3552631579</v>
      </c>
      <c r="J811" s="82">
        <f>IFERROR(__xludf.DUMMYFUNCTION("""COMPUTED_VALUE"""),393.875)</f>
        <v>393.875</v>
      </c>
      <c r="K811" s="82">
        <f>IFERROR(__xludf.DUMMYFUNCTION("""COMPUTED_VALUE"""),1.125)</f>
        <v>1.125</v>
      </c>
      <c r="L811" s="82">
        <f>IFERROR(__xludf.DUMMYFUNCTION("""COMPUTED_VALUE"""),0.6666666666666666)</f>
        <v>0.6666666667</v>
      </c>
      <c r="M811" s="82">
        <f>IFERROR(__xludf.DUMMYFUNCTION("""COMPUTED_VALUE"""),1.3125)</f>
        <v>1.3125</v>
      </c>
      <c r="N811" s="82">
        <f>IFERROR(__xludf.DUMMYFUNCTION("""COMPUTED_VALUE"""),3.1666666666666665)</f>
        <v>3.166666667</v>
      </c>
      <c r="O811" s="82">
        <f>IFERROR(__xludf.DUMMYFUNCTION("""COMPUTED_VALUE"""),358.77777777777766)</f>
        <v>358.7777778</v>
      </c>
      <c r="P811" s="82">
        <f>IFERROR(__xludf.DUMMYFUNCTION("""COMPUTED_VALUE"""),0.7291666666666666)</f>
        <v>0.7291666667</v>
      </c>
      <c r="Q811" s="82">
        <f>IFERROR(__xludf.DUMMYFUNCTION("""COMPUTED_VALUE"""),0.5277777777777778)</f>
        <v>0.5277777778</v>
      </c>
      <c r="R811" s="82">
        <f>IFERROR(__xludf.DUMMYFUNCTION("""COMPUTED_VALUE"""),1.5972222222222225)</f>
        <v>1.597222222</v>
      </c>
      <c r="S811" s="82">
        <f>IFERROR(__xludf.DUMMYFUNCTION("""COMPUTED_VALUE"""),2.5000000000000004)</f>
        <v>2.5</v>
      </c>
      <c r="T811" s="82">
        <f>IFERROR(__xludf.DUMMYFUNCTION("""COMPUTED_VALUE"""),357.3541955190107)</f>
        <v>357.3541955</v>
      </c>
      <c r="U811" s="82">
        <f>IFERROR(__xludf.DUMMYFUNCTION("""COMPUTED_VALUE"""),0.7649948953431198)</f>
        <v>0.7649948953</v>
      </c>
      <c r="V811" s="82">
        <f>IFERROR(__xludf.DUMMYFUNCTION("""COMPUTED_VALUE"""),0.5671636293459748)</f>
        <v>0.5671636293</v>
      </c>
      <c r="W811" s="82">
        <f>IFERROR(__xludf.DUMMYFUNCTION("""COMPUTED_VALUE"""),1.4477307557775758)</f>
        <v>1.447730756</v>
      </c>
      <c r="X811" s="82">
        <f>IFERROR(__xludf.DUMMYFUNCTION("""COMPUTED_VALUE"""),2.5625716291990908)</f>
        <v>2.562571629</v>
      </c>
      <c r="Y811" s="82">
        <f>IFERROR(__xludf.DUMMYFUNCTION("""COMPUTED_VALUE"""),370.12343903156665)</f>
        <v>370.123439</v>
      </c>
      <c r="Z811" s="82">
        <f>IFERROR(__xludf.DUMMYFUNCTION("""COMPUTED_VALUE"""),0.8525664723919281)</f>
        <v>0.8525664724</v>
      </c>
      <c r="AA811" s="82">
        <f>IFERROR(__xludf.DUMMYFUNCTION("""COMPUTED_VALUE"""),0.6466378723098416)</f>
        <v>0.6466378723</v>
      </c>
      <c r="AB811" s="82">
        <f>IFERROR(__xludf.DUMMYFUNCTION("""COMPUTED_VALUE"""),1.3774224711399166)</f>
        <v>1.377422471</v>
      </c>
      <c r="AC811" s="82">
        <f>IFERROR(__xludf.DUMMYFUNCTION("""COMPUTED_VALUE"""),2.76781728934535)</f>
        <v>2.767817289</v>
      </c>
      <c r="AD811" s="82">
        <f>IFERROR(__xludf.DUMMYFUNCTION("""COMPUTED_VALUE"""),1.0641719990243785)</f>
        <v>1.064171999</v>
      </c>
      <c r="AE811" s="82">
        <f>IFERROR(__xludf.DUMMYFUNCTION("""COMPUTED_VALUE"""),1.3195452043096918)</f>
        <v>1.319545204</v>
      </c>
      <c r="AF811" s="82">
        <f>IFERROR(__xludf.DUMMYFUNCTION("""COMPUTED_VALUE"""),1.030973741586277)</f>
        <v>1.030973742</v>
      </c>
      <c r="AG811" s="82">
        <f>IFERROR(__xludf.DUMMYFUNCTION("""COMPUTED_VALUE"""),0.9528666966742684)</f>
        <v>0.9528666967</v>
      </c>
      <c r="AH811" s="82">
        <f>IFERROR(__xludf.DUMMYFUNCTION("""COMPUTED_VALUE"""),1.1441024950803935)</f>
        <v>1.144102495</v>
      </c>
      <c r="AI811" s="82">
        <f>IFERROR(__xludf.DUMMYFUNCTION("""COMPUTED_VALUE"""),1.0039836729961975)</f>
        <v>1.003983673</v>
      </c>
      <c r="AJ811" s="82">
        <f>IFERROR(__xludf.DUMMYFUNCTION("""COMPUTED_VALUE"""),0.9531654016326693)</f>
        <v>0.9531654016</v>
      </c>
      <c r="AK811" s="82">
        <f>IFERROR(__xludf.DUMMYFUNCTION("""COMPUTED_VALUE"""),0.9305564575542075)</f>
        <v>0.9305564576</v>
      </c>
      <c r="AL811" s="82">
        <f>IFERROR(__xludf.DUMMYFUNCTION("""COMPUTED_VALUE"""),1.1032591632443112)</f>
        <v>1.103259163</v>
      </c>
      <c r="AM811" s="82">
        <f>IFERROR(__xludf.DUMMYFUNCTION("""COMPUTED_VALUE"""),0.9755824857786916)</f>
        <v>0.9755824858</v>
      </c>
      <c r="AN811" s="82">
        <f>IFERROR(__xludf.DUMMYFUNCTION("""COMPUTED_VALUE"""),1.1234631048048822)</f>
        <v>1.123463105</v>
      </c>
      <c r="AO811" s="82">
        <f>IFERROR(__xludf.DUMMYFUNCTION("""COMPUTED_VALUE"""),1.586985044176367)</f>
        <v>1.586985044</v>
      </c>
      <c r="AP811" s="82">
        <f>IFERROR(__xludf.DUMMYFUNCTION("""COMPUTED_VALUE"""),1.1677909749081798)</f>
        <v>1.167790975</v>
      </c>
      <c r="AQ811" s="82">
        <f>IFERROR(__xludf.DUMMYFUNCTION("""COMPUTED_VALUE"""),0.9207692638584958)</f>
        <v>0.9207692639</v>
      </c>
      <c r="AR811" s="82">
        <f>IFERROR(__xludf.DUMMYFUNCTION("""COMPUTED_VALUE"""),1.2632753796205136)</f>
        <v>1.26327538</v>
      </c>
      <c r="AS811" s="82">
        <f>IFERROR(__xludf.DUMMYFUNCTION("""COMPUTED_VALUE"""),136.0)</f>
        <v>136</v>
      </c>
      <c r="AT811" s="82">
        <f>IFERROR(__xludf.DUMMYFUNCTION("""COMPUTED_VALUE"""),0.6013430846598279)</f>
        <v>0.6013430847</v>
      </c>
      <c r="AU811" s="82">
        <f>IFERROR(__xludf.DUMMYFUNCTION("""COMPUTED_VALUE"""),3.4758912408823033)</f>
        <v>3.475891241</v>
      </c>
      <c r="AV811" s="82">
        <f>IFERROR(__xludf.DUMMYFUNCTION("""COMPUTED_VALUE"""),81.12850616742979)</f>
        <v>81.12850617</v>
      </c>
      <c r="AW811" s="82">
        <f t="shared" si="1"/>
        <v>9.386137136</v>
      </c>
      <c r="AX811" s="83">
        <f t="array" ref="AX811">IFERROR(DGET('SBV Import'!A:G,"SBV",{"RSC ID","Tier";B811,A811}))</f>
        <v>59.70833608</v>
      </c>
      <c r="AY811" s="82">
        <f t="shared" si="2"/>
        <v>2.866276898</v>
      </c>
      <c r="AZ811" s="82">
        <v>6.519860238725981</v>
      </c>
      <c r="BA811" s="84">
        <v>800.0</v>
      </c>
      <c r="BB811" s="84" t="b">
        <f>IFERROR(__xludf.DUMMYFUNCTION("iferror(if(A811="""",,E811&gt;=FILTER(Constants!$F$2:$F$10,Constants!$A$2:$A$10=A811)))"),TRUE)</f>
        <v>1</v>
      </c>
    </row>
    <row r="812">
      <c r="A812" s="80" t="str">
        <f>IFERROR(__xludf.DUMMYFUNCTION("""COMPUTED_VALUE"""),"Elite")</f>
        <v>Elite</v>
      </c>
      <c r="B812" s="73" t="str">
        <f>IFERROR(__xludf.DUMMYFUNCTION("""COMPUTED_VALUE"""),"RSC007049")</f>
        <v>RSC007049</v>
      </c>
      <c r="C812" s="73" t="str">
        <f>IFERROR(__xludf.DUMMYFUNCTION("""COMPUTED_VALUE"""),"dillyn.")</f>
        <v>dillyn.</v>
      </c>
      <c r="D812" s="73"/>
      <c r="E812" s="82">
        <f>IFERROR(__xludf.DUMMYFUNCTION("""COMPUTED_VALUE"""),8.0)</f>
        <v>8</v>
      </c>
      <c r="F812" s="82">
        <f>IFERROR(__xludf.DUMMYFUNCTION("""COMPUTED_VALUE"""),4.0)</f>
        <v>4</v>
      </c>
      <c r="G812" s="82">
        <f>IFERROR(__xludf.DUMMYFUNCTION("""COMPUTED_VALUE"""),4.0)</f>
        <v>4</v>
      </c>
      <c r="H812" s="86">
        <f>IFERROR(__xludf.DUMMYFUNCTION("""COMPUTED_VALUE"""),0.5)</f>
        <v>0.5</v>
      </c>
      <c r="I812" s="86">
        <f>IFERROR(__xludf.DUMMYFUNCTION("""COMPUTED_VALUE"""),0.3333333333333333)</f>
        <v>0.3333333333</v>
      </c>
      <c r="J812" s="82">
        <f>IFERROR(__xludf.DUMMYFUNCTION("""COMPUTED_VALUE"""),455.875)</f>
        <v>455.875</v>
      </c>
      <c r="K812" s="82">
        <f>IFERROR(__xludf.DUMMYFUNCTION("""COMPUTED_VALUE"""),1.0)</f>
        <v>1</v>
      </c>
      <c r="L812" s="82">
        <f>IFERROR(__xludf.DUMMYFUNCTION("""COMPUTED_VALUE"""),0.375)</f>
        <v>0.375</v>
      </c>
      <c r="M812" s="82">
        <f>IFERROR(__xludf.DUMMYFUNCTION("""COMPUTED_VALUE"""),2.375)</f>
        <v>2.375</v>
      </c>
      <c r="N812" s="82">
        <f>IFERROR(__xludf.DUMMYFUNCTION("""COMPUTED_VALUE"""),3.0)</f>
        <v>3</v>
      </c>
      <c r="O812" s="82">
        <f>IFERROR(__xludf.DUMMYFUNCTION("""COMPUTED_VALUE"""),348.375)</f>
        <v>348.375</v>
      </c>
      <c r="P812" s="82">
        <f>IFERROR(__xludf.DUMMYFUNCTION("""COMPUTED_VALUE"""),0.7499999999999999)</f>
        <v>0.75</v>
      </c>
      <c r="Q812" s="82">
        <f>IFERROR(__xludf.DUMMYFUNCTION("""COMPUTED_VALUE"""),0.5416666666666667)</f>
        <v>0.5416666667</v>
      </c>
      <c r="R812" s="82">
        <f>IFERROR(__xludf.DUMMYFUNCTION("""COMPUTED_VALUE"""),1.2083333333333333)</f>
        <v>1.208333333</v>
      </c>
      <c r="S812" s="82">
        <f>IFERROR(__xludf.DUMMYFUNCTION("""COMPUTED_VALUE"""),3.2916666666666665)</f>
        <v>3.291666667</v>
      </c>
      <c r="T812" s="82">
        <f>IFERROR(__xludf.DUMMYFUNCTION("""COMPUTED_VALUE"""),365.83282737933905)</f>
        <v>365.8328274</v>
      </c>
      <c r="U812" s="82">
        <f>IFERROR(__xludf.DUMMYFUNCTION("""COMPUTED_VALUE"""),0.8477988419848885)</f>
        <v>0.847798842</v>
      </c>
      <c r="V812" s="82">
        <f>IFERROR(__xludf.DUMMYFUNCTION("""COMPUTED_VALUE"""),0.6958306551329807)</f>
        <v>0.6958306551</v>
      </c>
      <c r="W812" s="82">
        <f>IFERROR(__xludf.DUMMYFUNCTION("""COMPUTED_VALUE"""),1.2159274833693439)</f>
        <v>1.215927483</v>
      </c>
      <c r="X812" s="82">
        <f>IFERROR(__xludf.DUMMYFUNCTION("""COMPUTED_VALUE"""),3.0308467372420855)</f>
        <v>3.030846737</v>
      </c>
      <c r="Y812" s="82">
        <f>IFERROR(__xludf.DUMMYFUNCTION("""COMPUTED_VALUE"""),352.83935530447155)</f>
        <v>352.8393553</v>
      </c>
      <c r="Z812" s="82">
        <f>IFERROR(__xludf.DUMMYFUNCTION("""COMPUTED_VALUE"""),0.6420279763303018)</f>
        <v>0.6420279763</v>
      </c>
      <c r="AA812" s="82">
        <f>IFERROR(__xludf.DUMMYFUNCTION("""COMPUTED_VALUE"""),0.4907152494361797)</f>
        <v>0.4907152494</v>
      </c>
      <c r="AB812" s="82">
        <f>IFERROR(__xludf.DUMMYFUNCTION("""COMPUTED_VALUE"""),1.7013245152780034)</f>
        <v>1.701324515</v>
      </c>
      <c r="AC812" s="82">
        <f>IFERROR(__xludf.DUMMYFUNCTION("""COMPUTED_VALUE"""),2.2430925018134324)</f>
        <v>2.243092502</v>
      </c>
      <c r="AD812" s="82">
        <f>IFERROR(__xludf.DUMMYFUNCTION("""COMPUTED_VALUE"""),1.292018572040007)</f>
        <v>1.292018572</v>
      </c>
      <c r="AE812" s="82">
        <f>IFERROR(__xludf.DUMMYFUNCTION("""COMPUTED_VALUE"""),1.557564525016171)</f>
        <v>1.557564525</v>
      </c>
      <c r="AF812" s="82">
        <f>IFERROR(__xludf.DUMMYFUNCTION("""COMPUTED_VALUE"""),0.7641906389313684)</f>
        <v>0.7641906389</v>
      </c>
      <c r="AG812" s="82">
        <f>IFERROR(__xludf.DUMMYFUNCTION("""COMPUTED_VALUE"""),1.39597118519856)</f>
        <v>1.395971185</v>
      </c>
      <c r="AH812" s="82">
        <f>IFERROR(__xludf.DUMMYFUNCTION("""COMPUTED_VALUE"""),1.337439270816805)</f>
        <v>1.337439271</v>
      </c>
      <c r="AI812" s="82">
        <f>IFERROR(__xludf.DUMMYFUNCTION("""COMPUTED_VALUE"""),0.9522792213470862)</f>
        <v>0.9522792213</v>
      </c>
      <c r="AJ812" s="82">
        <f>IFERROR(__xludf.DUMMYFUNCTION("""COMPUTED_VALUE"""),0.8846438127281238)</f>
        <v>0.8846438127</v>
      </c>
      <c r="AK812" s="82">
        <f>IFERROR(__xludf.DUMMYFUNCTION("""COMPUTED_VALUE"""),0.7784461099420066)</f>
        <v>0.7784461099</v>
      </c>
      <c r="AL812" s="82">
        <f>IFERROR(__xludf.DUMMYFUNCTION("""COMPUTED_VALUE"""),0.993754438369164)</f>
        <v>0.9937544384</v>
      </c>
      <c r="AM812" s="82">
        <f>IFERROR(__xludf.DUMMYFUNCTION("""COMPUTED_VALUE"""),1.0860551364144244)</f>
        <v>1.086055136</v>
      </c>
      <c r="AN812" s="82">
        <f>IFERROR(__xludf.DUMMYFUNCTION("""COMPUTED_VALUE"""),1.3003078207627436)</f>
        <v>1.300307821</v>
      </c>
      <c r="AO812" s="82">
        <f>IFERROR(__xludf.DUMMYFUNCTION("""COMPUTED_VALUE"""),1.4106533726012151)</f>
        <v>1.410653373</v>
      </c>
      <c r="AP812" s="82">
        <f>IFERROR(__xludf.DUMMYFUNCTION("""COMPUTED_VALUE"""),0.6568824233858512)</f>
        <v>0.6568824234</v>
      </c>
      <c r="AQ812" s="82">
        <f>IFERROR(__xludf.DUMMYFUNCTION("""COMPUTED_VALUE"""),1.6661539060296588)</f>
        <v>1.666153906</v>
      </c>
      <c r="AR812" s="82">
        <f>IFERROR(__xludf.DUMMYFUNCTION("""COMPUTED_VALUE"""),1.1967872017457497)</f>
        <v>1.196787202</v>
      </c>
      <c r="AS812" s="82">
        <f>IFERROR(__xludf.DUMMYFUNCTION("""COMPUTED_VALUE"""),16.0)</f>
        <v>16</v>
      </c>
      <c r="AT812" s="82">
        <f>IFERROR(__xludf.DUMMYFUNCTION("""COMPUTED_VALUE"""),0.45551429482502853)</f>
        <v>0.4555142948</v>
      </c>
      <c r="AU812" s="82">
        <f>IFERROR(__xludf.DUMMYFUNCTION("""COMPUTED_VALUE"""),3.4706774440582597)</f>
        <v>3.470677444</v>
      </c>
      <c r="AV812" s="82">
        <f>IFERROR(__xludf.DUMMYFUNCTION("""COMPUTED_VALUE"""),80.97853540514402)</f>
        <v>80.97853541</v>
      </c>
      <c r="AW812" s="82">
        <f t="shared" si="1"/>
        <v>9.289660036</v>
      </c>
      <c r="AX812" s="83">
        <f t="array" ref="AX812">IFERROR(DGET('SBV Import'!A:G,"SBV",{"RSC ID","Tier";B812,A812}))</f>
        <v>65.82572634</v>
      </c>
      <c r="AY812" s="82">
        <f t="shared" si="2"/>
        <v>3.797122261</v>
      </c>
      <c r="AZ812" s="82">
        <v>5.492537775009077</v>
      </c>
      <c r="BA812" s="84">
        <v>800.0</v>
      </c>
      <c r="BB812" s="84" t="b">
        <f>IFERROR(__xludf.DUMMYFUNCTION("iferror(if(A812="""",,E812&gt;=FILTER(Constants!$F$2:$F$10,Constants!$A$2:$A$10=A812)))"),TRUE)</f>
        <v>1</v>
      </c>
    </row>
    <row r="813">
      <c r="A813" s="80" t="str">
        <f>IFERROR(__xludf.DUMMYFUNCTION("""COMPUTED_VALUE"""),"Elite")</f>
        <v>Elite</v>
      </c>
      <c r="B813" s="73" t="str">
        <f>IFERROR(__xludf.DUMMYFUNCTION("""COMPUTED_VALUE"""),"RSC007901")</f>
        <v>RSC007901</v>
      </c>
      <c r="C813" s="73" t="str">
        <f>IFERROR(__xludf.DUMMYFUNCTION("""COMPUTED_VALUE"""),"JUICY")</f>
        <v>JUICY</v>
      </c>
      <c r="D813" s="73" t="str">
        <f>IFERROR(__xludf.DUMMYFUNCTION("""COMPUTED_VALUE"""),"Despair")</f>
        <v>Despair</v>
      </c>
      <c r="E813" s="82">
        <f>IFERROR(__xludf.DUMMYFUNCTION("""COMPUTED_VALUE"""),47.0)</f>
        <v>47</v>
      </c>
      <c r="F813" s="82">
        <f>IFERROR(__xludf.DUMMYFUNCTION("""COMPUTED_VALUE"""),26.0)</f>
        <v>26</v>
      </c>
      <c r="G813" s="82">
        <f>IFERROR(__xludf.DUMMYFUNCTION("""COMPUTED_VALUE"""),21.0)</f>
        <v>21</v>
      </c>
      <c r="H813" s="86">
        <f>IFERROR(__xludf.DUMMYFUNCTION("""COMPUTED_VALUE"""),0.5531914893617021)</f>
        <v>0.5531914894</v>
      </c>
      <c r="I813" s="86">
        <f>IFERROR(__xludf.DUMMYFUNCTION("""COMPUTED_VALUE"""),0.30379746835443033)</f>
        <v>0.3037974684</v>
      </c>
      <c r="J813" s="82">
        <f>IFERROR(__xludf.DUMMYFUNCTION("""COMPUTED_VALUE"""),423.1914893617021)</f>
        <v>423.1914894</v>
      </c>
      <c r="K813" s="82">
        <f>IFERROR(__xludf.DUMMYFUNCTION("""COMPUTED_VALUE"""),1.0212765957446808)</f>
        <v>1.021276596</v>
      </c>
      <c r="L813" s="82">
        <f>IFERROR(__xludf.DUMMYFUNCTION("""COMPUTED_VALUE"""),0.5531914893617021)</f>
        <v>0.5531914894</v>
      </c>
      <c r="M813" s="82">
        <f>IFERROR(__xludf.DUMMYFUNCTION("""COMPUTED_VALUE"""),1.702127659574468)</f>
        <v>1.70212766</v>
      </c>
      <c r="N813" s="82">
        <f>IFERROR(__xludf.DUMMYFUNCTION("""COMPUTED_VALUE"""),3.3617021276595747)</f>
        <v>3.361702128</v>
      </c>
      <c r="O813" s="82">
        <f>IFERROR(__xludf.DUMMYFUNCTION("""COMPUTED_VALUE"""),360.4255319148936)</f>
        <v>360.4255319</v>
      </c>
      <c r="P813" s="82">
        <f>IFERROR(__xludf.DUMMYFUNCTION("""COMPUTED_VALUE"""),0.6879432624113474)</f>
        <v>0.6879432624</v>
      </c>
      <c r="Q813" s="82">
        <f>IFERROR(__xludf.DUMMYFUNCTION("""COMPUTED_VALUE"""),0.5106382978723406)</f>
        <v>0.5106382979</v>
      </c>
      <c r="R813" s="82">
        <f>IFERROR(__xludf.DUMMYFUNCTION("""COMPUTED_VALUE"""),1.5531914893617018)</f>
        <v>1.553191489</v>
      </c>
      <c r="S813" s="82">
        <f>IFERROR(__xludf.DUMMYFUNCTION("""COMPUTED_VALUE"""),2.6312056737588656)</f>
        <v>2.631205674</v>
      </c>
      <c r="T813" s="82">
        <f>IFERROR(__xludf.DUMMYFUNCTION("""COMPUTED_VALUE"""),359.11708743792127)</f>
        <v>359.1170874</v>
      </c>
      <c r="U813" s="82">
        <f>IFERROR(__xludf.DUMMYFUNCTION("""COMPUTED_VALUE"""),0.7364306640588276)</f>
        <v>0.7364306641</v>
      </c>
      <c r="V813" s="82">
        <f>IFERROR(__xludf.DUMMYFUNCTION("""COMPUTED_VALUE"""),0.5980563820469997)</f>
        <v>0.598056382</v>
      </c>
      <c r="W813" s="82">
        <f>IFERROR(__xludf.DUMMYFUNCTION("""COMPUTED_VALUE"""),1.4901647827271014)</f>
        <v>1.490164783</v>
      </c>
      <c r="X813" s="82">
        <f>IFERROR(__xludf.DUMMYFUNCTION("""COMPUTED_VALUE"""),2.6183010447873283)</f>
        <v>2.618301045</v>
      </c>
      <c r="Y813" s="82">
        <f>IFERROR(__xludf.DUMMYFUNCTION("""COMPUTED_VALUE"""),366.98775665577085)</f>
        <v>366.9877567</v>
      </c>
      <c r="Z813" s="82">
        <f>IFERROR(__xludf.DUMMYFUNCTION("""COMPUTED_VALUE"""),0.8146400992575418)</f>
        <v>0.8146400993</v>
      </c>
      <c r="AA813" s="82">
        <f>IFERROR(__xludf.DUMMYFUNCTION("""COMPUTED_VALUE"""),0.6056761113257324)</f>
        <v>0.6056761113</v>
      </c>
      <c r="AB813" s="82">
        <f>IFERROR(__xludf.DUMMYFUNCTION("""COMPUTED_VALUE"""),1.413373351305896)</f>
        <v>1.413373351</v>
      </c>
      <c r="AC813" s="82">
        <f>IFERROR(__xludf.DUMMYFUNCTION("""COMPUTED_VALUE"""),2.7316457972935613)</f>
        <v>2.731645797</v>
      </c>
      <c r="AD813" s="82">
        <f>IFERROR(__xludf.DUMMYFUNCTION("""COMPUTED_VALUE"""),1.1531487949845955)</f>
        <v>1.153148795</v>
      </c>
      <c r="AE813" s="82">
        <f>IFERROR(__xludf.DUMMYFUNCTION("""COMPUTED_VALUE"""),1.253653725952683)</f>
        <v>1.253653726</v>
      </c>
      <c r="AF813" s="82">
        <f>IFERROR(__xludf.DUMMYFUNCTION("""COMPUTED_VALUE"""),0.9133453986667075)</f>
        <v>0.9133453987</v>
      </c>
      <c r="AG813" s="82">
        <f>IFERROR(__xludf.DUMMYFUNCTION("""COMPUTED_VALUE"""),1.2043015088700912)</f>
        <v>1.204301509</v>
      </c>
      <c r="AH813" s="82">
        <f>IFERROR(__xludf.DUMMYFUNCTION("""COMPUTED_VALUE"""),1.230650815340062)</f>
        <v>1.230650815</v>
      </c>
      <c r="AI813" s="82">
        <f>IFERROR(__xludf.DUMMYFUNCTION("""COMPUTED_VALUE"""),1.0036435038118272)</f>
        <v>1.003643504</v>
      </c>
      <c r="AJ813" s="82">
        <f>IFERROR(__xludf.DUMMYFUNCTION("""COMPUTED_VALUE"""),0.9341589045460946)</f>
        <v>0.9341589045</v>
      </c>
      <c r="AK813" s="82">
        <f>IFERROR(__xludf.DUMMYFUNCTION("""COMPUTED_VALUE"""),0.8538296943250592)</f>
        <v>0.8538296943</v>
      </c>
      <c r="AL813" s="82">
        <f>IFERROR(__xludf.DUMMYFUNCTION("""COMPUTED_VALUE"""),1.0422951255895723)</f>
        <v>1.042295126</v>
      </c>
      <c r="AM813" s="82">
        <f>IFERROR(__xludf.DUMMYFUNCTION("""COMPUTED_VALUE"""),1.0049286269037812)</f>
        <v>1.004928627</v>
      </c>
      <c r="AN813" s="82">
        <f>IFERROR(__xludf.DUMMYFUNCTION("""COMPUTED_VALUE"""),1.2070835279347512)</f>
        <v>1.207083528</v>
      </c>
      <c r="AO813" s="82">
        <f>IFERROR(__xludf.DUMMYFUNCTION("""COMPUTED_VALUE"""),1.4406672741459219)</f>
        <v>1.440667274</v>
      </c>
      <c r="AP813" s="82">
        <f>IFERROR(__xludf.DUMMYFUNCTION("""COMPUTED_VALUE"""),0.9690180430089153)</f>
        <v>0.969018043</v>
      </c>
      <c r="AQ813" s="82">
        <f>IFERROR(__xludf.DUMMYFUNCTION("""COMPUTED_VALUE"""),1.1941080625520513)</f>
        <v>1.194108063</v>
      </c>
      <c r="AR813" s="82">
        <f>IFERROR(__xludf.DUMMYFUNCTION("""COMPUTED_VALUE"""),1.341080694154812)</f>
        <v>1.341080694</v>
      </c>
      <c r="AS813" s="82">
        <f>IFERROR(__xludf.DUMMYFUNCTION("""COMPUTED_VALUE"""),119.0)</f>
        <v>119</v>
      </c>
      <c r="AT813" s="82">
        <f>IFERROR(__xludf.DUMMYFUNCTION("""COMPUTED_VALUE"""),0.5785119052466591)</f>
        <v>0.5785119052</v>
      </c>
      <c r="AU813" s="82">
        <f>IFERROR(__xludf.DUMMYFUNCTION("""COMPUTED_VALUE"""),3.4197050286445627)</f>
        <v>3.419705029</v>
      </c>
      <c r="AV813" s="82">
        <f>IFERROR(__xludf.DUMMYFUNCTION("""COMPUTED_VALUE"""),79.51235399203514)</f>
        <v>79.51235399</v>
      </c>
      <c r="AW813" s="82">
        <f t="shared" si="1"/>
        <v>8.410296944</v>
      </c>
      <c r="AX813" s="83">
        <f t="array" ref="AX813">IFERROR(DGET('SBV Import'!A:G,"SBV",{"RSC ID","Tier";B813,A813}))</f>
        <v>69.71861748</v>
      </c>
      <c r="AY813" s="82">
        <f t="shared" si="2"/>
        <v>4.648338795</v>
      </c>
      <c r="AZ813" s="82">
        <v>3.7619581486910585</v>
      </c>
      <c r="BA813" s="84">
        <v>800.0</v>
      </c>
      <c r="BB813" s="84" t="b">
        <f>IFERROR(__xludf.DUMMYFUNCTION("iferror(if(A813="""",,E813&gt;=FILTER(Constants!$F$2:$F$10,Constants!$A$2:$A$10=A813)))"),TRUE)</f>
        <v>1</v>
      </c>
    </row>
    <row r="814">
      <c r="A814" s="80" t="str">
        <f>IFERROR(__xludf.DUMMYFUNCTION("""COMPUTED_VALUE"""),"Elite")</f>
        <v>Elite</v>
      </c>
      <c r="B814" s="73" t="str">
        <f>IFERROR(__xludf.DUMMYFUNCTION("""COMPUTED_VALUE"""),"RSC006494")</f>
        <v>RSC006494</v>
      </c>
      <c r="C814" s="73" t="str">
        <f>IFERROR(__xludf.DUMMYFUNCTION("""COMPUTED_VALUE"""),"Jimbo")</f>
        <v>Jimbo</v>
      </c>
      <c r="D814" s="73" t="str">
        <f>IFERROR(__xludf.DUMMYFUNCTION("""COMPUTED_VALUE"""),"Desolation")</f>
        <v>Desolation</v>
      </c>
      <c r="E814" s="82">
        <f>IFERROR(__xludf.DUMMYFUNCTION("""COMPUTED_VALUE"""),48.0)</f>
        <v>48</v>
      </c>
      <c r="F814" s="82">
        <f>IFERROR(__xludf.DUMMYFUNCTION("""COMPUTED_VALUE"""),30.0)</f>
        <v>30</v>
      </c>
      <c r="G814" s="82">
        <f>IFERROR(__xludf.DUMMYFUNCTION("""COMPUTED_VALUE"""),18.0)</f>
        <v>18</v>
      </c>
      <c r="H814" s="86">
        <f>IFERROR(__xludf.DUMMYFUNCTION("""COMPUTED_VALUE"""),0.625)</f>
        <v>0.625</v>
      </c>
      <c r="I814" s="86">
        <f>IFERROR(__xludf.DUMMYFUNCTION("""COMPUTED_VALUE"""),0.3263888888888889)</f>
        <v>0.3263888889</v>
      </c>
      <c r="J814" s="82">
        <f>IFERROR(__xludf.DUMMYFUNCTION("""COMPUTED_VALUE"""),419.0416666666667)</f>
        <v>419.0416667</v>
      </c>
      <c r="K814" s="82">
        <f>IFERROR(__xludf.DUMMYFUNCTION("""COMPUTED_VALUE"""),0.9791666666666666)</f>
        <v>0.9791666667</v>
      </c>
      <c r="L814" s="82">
        <f>IFERROR(__xludf.DUMMYFUNCTION("""COMPUTED_VALUE"""),0.7291666666666666)</f>
        <v>0.7291666667</v>
      </c>
      <c r="M814" s="82">
        <f>IFERROR(__xludf.DUMMYFUNCTION("""COMPUTED_VALUE"""),1.5625)</f>
        <v>1.5625</v>
      </c>
      <c r="N814" s="82">
        <f>IFERROR(__xludf.DUMMYFUNCTION("""COMPUTED_VALUE"""),3.0)</f>
        <v>3</v>
      </c>
      <c r="O814" s="82">
        <f>IFERROR(__xludf.DUMMYFUNCTION("""COMPUTED_VALUE"""),352.51388888888886)</f>
        <v>352.5138889</v>
      </c>
      <c r="P814" s="82">
        <f>IFERROR(__xludf.DUMMYFUNCTION("""COMPUTED_VALUE"""),0.7638888888888888)</f>
        <v>0.7638888889</v>
      </c>
      <c r="Q814" s="82">
        <f>IFERROR(__xludf.DUMMYFUNCTION("""COMPUTED_VALUE"""),0.5347222222222222)</f>
        <v>0.5347222222</v>
      </c>
      <c r="R814" s="82">
        <f>IFERROR(__xludf.DUMMYFUNCTION("""COMPUTED_VALUE"""),1.3402777777777777)</f>
        <v>1.340277778</v>
      </c>
      <c r="S814" s="82">
        <f>IFERROR(__xludf.DUMMYFUNCTION("""COMPUTED_VALUE"""),2.5902777777777772)</f>
        <v>2.590277778</v>
      </c>
      <c r="T814" s="82">
        <f>IFERROR(__xludf.DUMMYFUNCTION("""COMPUTED_VALUE"""),360.2318791593454)</f>
        <v>360.2318792</v>
      </c>
      <c r="U814" s="82">
        <f>IFERROR(__xludf.DUMMYFUNCTION("""COMPUTED_VALUE"""),0.7301980097218151)</f>
        <v>0.7301980097</v>
      </c>
      <c r="V814" s="82">
        <f>IFERROR(__xludf.DUMMYFUNCTION("""COMPUTED_VALUE"""),0.5564747052754035)</f>
        <v>0.5564747053</v>
      </c>
      <c r="W814" s="82">
        <f>IFERROR(__xludf.DUMMYFUNCTION("""COMPUTED_VALUE"""),1.4581572606487627)</f>
        <v>1.458157261</v>
      </c>
      <c r="X814" s="82">
        <f>IFERROR(__xludf.DUMMYFUNCTION("""COMPUTED_VALUE"""),2.6085035463278867)</f>
        <v>2.608503546</v>
      </c>
      <c r="Y814" s="82">
        <f>IFERROR(__xludf.DUMMYFUNCTION("""COMPUTED_VALUE"""),368.0211925995861)</f>
        <v>368.0211926</v>
      </c>
      <c r="Z814" s="82">
        <f>IFERROR(__xludf.DUMMYFUNCTION("""COMPUTED_VALUE"""),0.794225216773821)</f>
        <v>0.7942252168</v>
      </c>
      <c r="AA814" s="82">
        <f>IFERROR(__xludf.DUMMYFUNCTION("""COMPUTED_VALUE"""),0.5968108581146178)</f>
        <v>0.5968108581</v>
      </c>
      <c r="AB814" s="82">
        <f>IFERROR(__xludf.DUMMYFUNCTION("""COMPUTED_VALUE"""),1.4625485817575774)</f>
        <v>1.462548582</v>
      </c>
      <c r="AC814" s="82">
        <f>IFERROR(__xludf.DUMMYFUNCTION("""COMPUTED_VALUE"""),2.706336104869411)</f>
        <v>2.706336105</v>
      </c>
      <c r="AD814" s="82">
        <f>IFERROR(__xludf.DUMMYFUNCTION("""COMPUTED_VALUE"""),1.1386346088025203)</f>
        <v>1.138634609</v>
      </c>
      <c r="AE814" s="82">
        <f>IFERROR(__xludf.DUMMYFUNCTION("""COMPUTED_VALUE"""),1.232857690724158)</f>
        <v>1.232857691</v>
      </c>
      <c r="AF814" s="82">
        <f>IFERROR(__xludf.DUMMYFUNCTION("""COMPUTED_VALUE"""),1.2217717837275506)</f>
        <v>1.221771784</v>
      </c>
      <c r="AG814" s="82">
        <f>IFERROR(__xludf.DUMMYFUNCTION("""COMPUTED_VALUE"""),1.0683405799226913)</f>
        <v>1.06834058</v>
      </c>
      <c r="AH814" s="82">
        <f>IFERROR(__xludf.DUMMYFUNCTION("""COMPUTED_VALUE"""),1.108509765140483)</f>
        <v>1.108509765</v>
      </c>
      <c r="AI814" s="82">
        <f>IFERROR(__xludf.DUMMYFUNCTION("""COMPUTED_VALUE"""),0.9785749382079465)</f>
        <v>0.9785749382</v>
      </c>
      <c r="AJ814" s="82">
        <f>IFERROR(__xludf.DUMMYFUNCTION("""COMPUTED_VALUE"""),1.0461393741403224)</f>
        <v>1.046139374</v>
      </c>
      <c r="AK814" s="82">
        <f>IFERROR(__xludf.DUMMYFUNCTION("""COMPUTED_VALUE"""),0.9609102033803749)</f>
        <v>0.9609102034</v>
      </c>
      <c r="AL814" s="82">
        <f>IFERROR(__xludf.DUMMYFUNCTION("""COMPUTED_VALUE"""),0.9191585941707425)</f>
        <v>0.9191585942</v>
      </c>
      <c r="AM814" s="82">
        <f>IFERROR(__xludf.DUMMYFUNCTION("""COMPUTED_VALUE"""),0.9930129408580768)</f>
        <v>0.9930129409</v>
      </c>
      <c r="AN814" s="82">
        <f>IFERROR(__xludf.DUMMYFUNCTION("""COMPUTED_VALUE"""),1.1952468470350894)</f>
        <v>1.195246847</v>
      </c>
      <c r="AO814" s="82">
        <f>IFERROR(__xludf.DUMMYFUNCTION("""COMPUTED_VALUE"""),1.3812647606720232)</f>
        <v>1.381264761</v>
      </c>
      <c r="AP814" s="82">
        <f>IFERROR(__xludf.DUMMYFUNCTION("""COMPUTED_VALUE"""),1.2772713788058216)</f>
        <v>1.277271379</v>
      </c>
      <c r="AQ814" s="82">
        <f>IFERROR(__xludf.DUMMYFUNCTION("""COMPUTED_VALUE"""),1.0961538855458282)</f>
        <v>1.096153886</v>
      </c>
      <c r="AR814" s="82">
        <f>IFERROR(__xludf.DUMMYFUNCTION("""COMPUTED_VALUE"""),1.1967872017457497)</f>
        <v>1.196787202</v>
      </c>
      <c r="AS814" s="82">
        <f>IFERROR(__xludf.DUMMYFUNCTION("""COMPUTED_VALUE"""),141.0)</f>
        <v>141</v>
      </c>
      <c r="AT814" s="82">
        <f>IFERROR(__xludf.DUMMYFUNCTION("""COMPUTED_VALUE"""),0.5984822937762609)</f>
        <v>0.5984822938</v>
      </c>
      <c r="AU814" s="82">
        <f>IFERROR(__xludf.DUMMYFUNCTION("""COMPUTED_VALUE"""),3.3700358344660506)</f>
        <v>3.370035834</v>
      </c>
      <c r="AV814" s="82">
        <f>IFERROR(__xludf.DUMMYFUNCTION("""COMPUTED_VALUE"""),78.08365871209632)</f>
        <v>78.08365871</v>
      </c>
      <c r="AW814" s="82">
        <f t="shared" si="1"/>
        <v>7.654317945</v>
      </c>
      <c r="AX814" s="83">
        <f t="array" ref="AX814">IFERROR(DGET('SBV Import'!A:G,"SBV",{"RSC ID","Tier";B814,A814}))</f>
        <v>71.68832237</v>
      </c>
      <c r="AY814" s="82">
        <f t="shared" si="2"/>
        <v>5.186048233</v>
      </c>
      <c r="AZ814" s="82">
        <v>2.468269712412984</v>
      </c>
      <c r="BA814" s="84">
        <v>800.0</v>
      </c>
      <c r="BB814" s="84" t="b">
        <f>IFERROR(__xludf.DUMMYFUNCTION("iferror(if(A814="""",,E814&gt;=FILTER(Constants!$F$2:$F$10,Constants!$A$2:$A$10=A814)))"),TRUE)</f>
        <v>1</v>
      </c>
    </row>
    <row r="815">
      <c r="A815" s="80" t="str">
        <f>IFERROR(__xludf.DUMMYFUNCTION("""COMPUTED_VALUE"""),"Elite")</f>
        <v>Elite</v>
      </c>
      <c r="B815" s="73" t="str">
        <f>IFERROR(__xludf.DUMMYFUNCTION("""COMPUTED_VALUE"""),"RSC007354")</f>
        <v>RSC007354</v>
      </c>
      <c r="C815" s="73" t="str">
        <f>IFERROR(__xludf.DUMMYFUNCTION("""COMPUTED_VALUE"""),"Fanatic")</f>
        <v>Fanatic</v>
      </c>
      <c r="D815" s="73" t="str">
        <f>IFERROR(__xludf.DUMMYFUNCTION("""COMPUTED_VALUE"""),"Desolation")</f>
        <v>Desolation</v>
      </c>
      <c r="E815" s="82">
        <f>IFERROR(__xludf.DUMMYFUNCTION("""COMPUTED_VALUE"""),44.0)</f>
        <v>44</v>
      </c>
      <c r="F815" s="82">
        <f>IFERROR(__xludf.DUMMYFUNCTION("""COMPUTED_VALUE"""),28.0)</f>
        <v>28</v>
      </c>
      <c r="G815" s="82">
        <f>IFERROR(__xludf.DUMMYFUNCTION("""COMPUTED_VALUE"""),16.0)</f>
        <v>16</v>
      </c>
      <c r="H815" s="86">
        <f>IFERROR(__xludf.DUMMYFUNCTION("""COMPUTED_VALUE"""),0.6363636363636364)</f>
        <v>0.6363636364</v>
      </c>
      <c r="I815" s="86">
        <f>IFERROR(__xludf.DUMMYFUNCTION("""COMPUTED_VALUE"""),0.33858267716535434)</f>
        <v>0.3385826772</v>
      </c>
      <c r="J815" s="82">
        <f>IFERROR(__xludf.DUMMYFUNCTION("""COMPUTED_VALUE"""),398.8863636363636)</f>
        <v>398.8863636</v>
      </c>
      <c r="K815" s="82">
        <f>IFERROR(__xludf.DUMMYFUNCTION("""COMPUTED_VALUE"""),0.9772727272727273)</f>
        <v>0.9772727273</v>
      </c>
      <c r="L815" s="82">
        <f>IFERROR(__xludf.DUMMYFUNCTION("""COMPUTED_VALUE"""),0.75)</f>
        <v>0.75</v>
      </c>
      <c r="M815" s="82">
        <f>IFERROR(__xludf.DUMMYFUNCTION("""COMPUTED_VALUE"""),1.4090909090909092)</f>
        <v>1.409090909</v>
      </c>
      <c r="N815" s="82">
        <f>IFERROR(__xludf.DUMMYFUNCTION("""COMPUTED_VALUE"""),2.8863636363636362)</f>
        <v>2.886363636</v>
      </c>
      <c r="O815" s="82">
        <f>IFERROR(__xludf.DUMMYFUNCTION("""COMPUTED_VALUE"""),349.3712121212121)</f>
        <v>349.3712121</v>
      </c>
      <c r="P815" s="82">
        <f>IFERROR(__xludf.DUMMYFUNCTION("""COMPUTED_VALUE"""),0.7272727272727273)</f>
        <v>0.7272727273</v>
      </c>
      <c r="Q815" s="82">
        <f>IFERROR(__xludf.DUMMYFUNCTION("""COMPUTED_VALUE"""),0.49242424242424254)</f>
        <v>0.4924242424</v>
      </c>
      <c r="R815" s="82">
        <f>IFERROR(__xludf.DUMMYFUNCTION("""COMPUTED_VALUE"""),1.409090909090909)</f>
        <v>1.409090909</v>
      </c>
      <c r="S815" s="82">
        <f>IFERROR(__xludf.DUMMYFUNCTION("""COMPUTED_VALUE"""),2.5606060606060606)</f>
        <v>2.560606061</v>
      </c>
      <c r="T815" s="82">
        <f>IFERROR(__xludf.DUMMYFUNCTION("""COMPUTED_VALUE"""),358.3684220126144)</f>
        <v>358.368422</v>
      </c>
      <c r="U815" s="82">
        <f>IFERROR(__xludf.DUMMYFUNCTION("""COMPUTED_VALUE"""),0.7145039492809072)</f>
        <v>0.7145039493</v>
      </c>
      <c r="V815" s="82">
        <f>IFERROR(__xludf.DUMMYFUNCTION("""COMPUTED_VALUE"""),0.5443611948315217)</f>
        <v>0.5443611948</v>
      </c>
      <c r="W815" s="82">
        <f>IFERROR(__xludf.DUMMYFUNCTION("""COMPUTED_VALUE"""),1.474625264102159)</f>
        <v>1.474625264</v>
      </c>
      <c r="X815" s="82">
        <f>IFERROR(__xludf.DUMMYFUNCTION("""COMPUTED_VALUE"""),2.5759971613312245)</f>
        <v>2.575997161</v>
      </c>
      <c r="Y815" s="82">
        <f>IFERROR(__xludf.DUMMYFUNCTION("""COMPUTED_VALUE"""),367.9823558346742)</f>
        <v>367.9823558</v>
      </c>
      <c r="Z815" s="82">
        <f>IFERROR(__xludf.DUMMYFUNCTION("""COMPUTED_VALUE"""),0.7963991624996162)</f>
        <v>0.7963991625</v>
      </c>
      <c r="AA815" s="82">
        <f>IFERROR(__xludf.DUMMYFUNCTION("""COMPUTED_VALUE"""),0.6009007021648824)</f>
        <v>0.6009007022</v>
      </c>
      <c r="AB815" s="82">
        <f>IFERROR(__xludf.DUMMYFUNCTION("""COMPUTED_VALUE"""),1.448723497742007)</f>
        <v>1.448723498</v>
      </c>
      <c r="AC815" s="82">
        <f>IFERROR(__xludf.DUMMYFUNCTION("""COMPUTED_VALUE"""),2.7353945673913755)</f>
        <v>2.735394567</v>
      </c>
      <c r="AD815" s="82">
        <f>IFERROR(__xludf.DUMMYFUNCTION("""COMPUTED_VALUE"""),1.0839823086940992)</f>
        <v>1.083982309</v>
      </c>
      <c r="AE815" s="82">
        <f>IFERROR(__xludf.DUMMYFUNCTION("""COMPUTED_VALUE"""),1.2271142076611592)</f>
        <v>1.227114208</v>
      </c>
      <c r="AF815" s="82">
        <f>IFERROR(__xludf.DUMMYFUNCTION("""COMPUTED_VALUE"""),1.248126349824444)</f>
        <v>1.24812635</v>
      </c>
      <c r="AG815" s="82">
        <f>IFERROR(__xludf.DUMMYFUNCTION("""COMPUTED_VALUE"""),0.9726430966896931)</f>
        <v>0.9726430967</v>
      </c>
      <c r="AH815" s="82">
        <f>IFERROR(__xludf.DUMMYFUNCTION("""COMPUTED_VALUE"""),1.0551909661487093)</f>
        <v>1.055190966</v>
      </c>
      <c r="AI815" s="82">
        <f>IFERROR(__xludf.DUMMYFUNCTION("""COMPUTED_VALUE"""),0.9748939657102779)</f>
        <v>0.9748939657</v>
      </c>
      <c r="AJ815" s="82">
        <f>IFERROR(__xludf.DUMMYFUNCTION("""COMPUTED_VALUE"""),1.0178708291321146)</f>
        <v>1.017870829</v>
      </c>
      <c r="AK815" s="82">
        <f>IFERROR(__xludf.DUMMYFUNCTION("""COMPUTED_VALUE"""),0.9045910088735228)</f>
        <v>0.9045910089</v>
      </c>
      <c r="AL815" s="82">
        <f>IFERROR(__xludf.DUMMYFUNCTION("""COMPUTED_VALUE"""),0.9555586381119332)</f>
        <v>0.9555586381</v>
      </c>
      <c r="AM815" s="82">
        <f>IFERROR(__xludf.DUMMYFUNCTION("""COMPUTED_VALUE"""),0.9940251872338205)</f>
        <v>0.9940251872</v>
      </c>
      <c r="AN815" s="82">
        <f>IFERROR(__xludf.DUMMYFUNCTION("""COMPUTED_VALUE"""),1.1377571883344675)</f>
        <v>1.137757188</v>
      </c>
      <c r="AO815" s="82">
        <f>IFERROR(__xludf.DUMMYFUNCTION("""COMPUTED_VALUE"""),1.3785930686784604)</f>
        <v>1.378593069</v>
      </c>
      <c r="AP815" s="82">
        <f>IFERROR(__xludf.DUMMYFUNCTION("""COMPUTED_VALUE"""),1.3137648467717025)</f>
        <v>1.313764847</v>
      </c>
      <c r="AQ815" s="82">
        <f>IFERROR(__xludf.DUMMYFUNCTION("""COMPUTED_VALUE"""),0.9885315040558743)</f>
        <v>0.9885315041</v>
      </c>
      <c r="AR815" s="82">
        <f>IFERROR(__xludf.DUMMYFUNCTION("""COMPUTED_VALUE"""),1.1514543531947743)</f>
        <v>1.151454353</v>
      </c>
      <c r="AS815" s="82">
        <f>IFERROR(__xludf.DUMMYFUNCTION("""COMPUTED_VALUE"""),127.0)</f>
        <v>127</v>
      </c>
      <c r="AT815" s="82">
        <f>IFERROR(__xludf.DUMMYFUNCTION("""COMPUTED_VALUE"""),0.6096549857744811)</f>
        <v>0.6096549858</v>
      </c>
      <c r="AU815" s="82">
        <f>IFERROR(__xludf.DUMMYFUNCTION("""COMPUTED_VALUE"""),3.3171046558997004)</f>
        <v>3.317104656</v>
      </c>
      <c r="AV815" s="82">
        <f>IFERROR(__xludf.DUMMYFUNCTION("""COMPUTED_VALUE"""),76.56113501848546)</f>
        <v>76.56113502</v>
      </c>
      <c r="AW815" s="82">
        <f t="shared" si="1"/>
        <v>6.943635987</v>
      </c>
      <c r="AX815" s="83">
        <f t="array" ref="AX815">IFERROR(DGET('SBV Import'!A:G,"SBV",{"RSC ID","Tier";B815,A815}))</f>
        <v>64.82746477</v>
      </c>
      <c r="AY815" s="82">
        <f t="shared" si="2"/>
        <v>3.615883447</v>
      </c>
      <c r="AZ815" s="82">
        <v>3.3277525401105725</v>
      </c>
      <c r="BA815" s="84">
        <v>800.0</v>
      </c>
      <c r="BB815" s="84" t="b">
        <f>IFERROR(__xludf.DUMMYFUNCTION("iferror(if(A815="""",,E815&gt;=FILTER(Constants!$F$2:$F$10,Constants!$A$2:$A$10=A815)))"),TRUE)</f>
        <v>1</v>
      </c>
    </row>
    <row r="816">
      <c r="A816" s="80" t="str">
        <f>IFERROR(__xludf.DUMMYFUNCTION("""COMPUTED_VALUE"""),"Elite")</f>
        <v>Elite</v>
      </c>
      <c r="B816" s="73" t="str">
        <f>IFERROR(__xludf.DUMMYFUNCTION("""COMPUTED_VALUE"""),"RSC005290")</f>
        <v>RSC005290</v>
      </c>
      <c r="C816" s="73" t="str">
        <f>IFERROR(__xludf.DUMMYFUNCTION("""COMPUTED_VALUE"""),"IMWASHEDGREG")</f>
        <v>IMWASHEDGREG</v>
      </c>
      <c r="D816" s="73" t="str">
        <f>IFERROR(__xludf.DUMMYFUNCTION("""COMPUTED_VALUE"""),"Geeky Ghouls")</f>
        <v>Geeky Ghouls</v>
      </c>
      <c r="E816" s="82">
        <f>IFERROR(__xludf.DUMMYFUNCTION("""COMPUTED_VALUE"""),43.0)</f>
        <v>43</v>
      </c>
      <c r="F816" s="82">
        <f>IFERROR(__xludf.DUMMYFUNCTION("""COMPUTED_VALUE"""),23.0)</f>
        <v>23</v>
      </c>
      <c r="G816" s="82">
        <f>IFERROR(__xludf.DUMMYFUNCTION("""COMPUTED_VALUE"""),20.0)</f>
        <v>20</v>
      </c>
      <c r="H816" s="86">
        <f>IFERROR(__xludf.DUMMYFUNCTION("""COMPUTED_VALUE"""),0.5348837209302325)</f>
        <v>0.5348837209</v>
      </c>
      <c r="I816" s="86">
        <f>IFERROR(__xludf.DUMMYFUNCTION("""COMPUTED_VALUE"""),0.25477707006369427)</f>
        <v>0.2547770701</v>
      </c>
      <c r="J816" s="82">
        <f>IFERROR(__xludf.DUMMYFUNCTION("""COMPUTED_VALUE"""),399.74418604651163)</f>
        <v>399.744186</v>
      </c>
      <c r="K816" s="82">
        <f>IFERROR(__xludf.DUMMYFUNCTION("""COMPUTED_VALUE"""),0.9302325581395349)</f>
        <v>0.9302325581</v>
      </c>
      <c r="L816" s="82">
        <f>IFERROR(__xludf.DUMMYFUNCTION("""COMPUTED_VALUE"""),0.4883720930232558)</f>
        <v>0.488372093</v>
      </c>
      <c r="M816" s="82">
        <f>IFERROR(__xludf.DUMMYFUNCTION("""COMPUTED_VALUE"""),1.441860465116279)</f>
        <v>1.441860465</v>
      </c>
      <c r="N816" s="82">
        <f>IFERROR(__xludf.DUMMYFUNCTION("""COMPUTED_VALUE"""),3.6511627906976742)</f>
        <v>3.651162791</v>
      </c>
      <c r="O816" s="82">
        <f>IFERROR(__xludf.DUMMYFUNCTION("""COMPUTED_VALUE"""),364.8837209302325)</f>
        <v>364.8837209</v>
      </c>
      <c r="P816" s="82">
        <f>IFERROR(__xludf.DUMMYFUNCTION("""COMPUTED_VALUE"""),0.6899224806201552)</f>
        <v>0.6899224806</v>
      </c>
      <c r="Q816" s="82">
        <f>IFERROR(__xludf.DUMMYFUNCTION("""COMPUTED_VALUE"""),0.5116279069767442)</f>
        <v>0.511627907</v>
      </c>
      <c r="R816" s="82">
        <f>IFERROR(__xludf.DUMMYFUNCTION("""COMPUTED_VALUE"""),1.6821705426356588)</f>
        <v>1.682170543</v>
      </c>
      <c r="S816" s="82">
        <f>IFERROR(__xludf.DUMMYFUNCTION("""COMPUTED_VALUE"""),2.472868217054264)</f>
        <v>2.472868217</v>
      </c>
      <c r="T816" s="82">
        <f>IFERROR(__xludf.DUMMYFUNCTION("""COMPUTED_VALUE"""),349.5091791216317)</f>
        <v>349.5091791</v>
      </c>
      <c r="U816" s="82">
        <f>IFERROR(__xludf.DUMMYFUNCTION("""COMPUTED_VALUE"""),0.7202265210863263)</f>
        <v>0.7202265211</v>
      </c>
      <c r="V816" s="82">
        <f>IFERROR(__xludf.DUMMYFUNCTION("""COMPUTED_VALUE"""),0.5746456307726443)</f>
        <v>0.5746456308</v>
      </c>
      <c r="W816" s="82">
        <f>IFERROR(__xludf.DUMMYFUNCTION("""COMPUTED_VALUE"""),1.398122836671694)</f>
        <v>1.398122837</v>
      </c>
      <c r="X816" s="82">
        <f>IFERROR(__xludf.DUMMYFUNCTION("""COMPUTED_VALUE"""),2.6158180151750443)</f>
        <v>2.615818015</v>
      </c>
      <c r="Y816" s="82">
        <f>IFERROR(__xludf.DUMMYFUNCTION("""COMPUTED_VALUE"""),360.0018166473357)</f>
        <v>360.0018166</v>
      </c>
      <c r="Z816" s="82">
        <f>IFERROR(__xludf.DUMMYFUNCTION("""COMPUTED_VALUE"""),0.7873940402716126)</f>
        <v>0.7873940403</v>
      </c>
      <c r="AA816" s="82">
        <f>IFERROR(__xludf.DUMMYFUNCTION("""COMPUTED_VALUE"""),0.5956585430773292)</f>
        <v>0.5956585431</v>
      </c>
      <c r="AB816" s="82">
        <f>IFERROR(__xludf.DUMMYFUNCTION("""COMPUTED_VALUE"""),1.4034248510665432)</f>
        <v>1.403424851</v>
      </c>
      <c r="AC816" s="82">
        <f>IFERROR(__xludf.DUMMYFUNCTION("""COMPUTED_VALUE"""),2.6969280963609936)</f>
        <v>2.696928096</v>
      </c>
      <c r="AD816" s="82">
        <f>IFERROR(__xludf.DUMMYFUNCTION("""COMPUTED_VALUE"""),1.1103949134737514)</f>
        <v>1.110394913</v>
      </c>
      <c r="AE816" s="82">
        <f>IFERROR(__xludf.DUMMYFUNCTION("""COMPUTED_VALUE"""),1.1814066535462344)</f>
        <v>1.181406654</v>
      </c>
      <c r="AF816" s="82">
        <f>IFERROR(__xludf.DUMMYFUNCTION("""COMPUTED_VALUE"""),0.8198859878684803)</f>
        <v>0.8198859879</v>
      </c>
      <c r="AG816" s="82">
        <f>IFERROR(__xludf.DUMMYFUNCTION("""COMPUTED_VALUE"""),1.0273870125789253)</f>
        <v>1.027387013</v>
      </c>
      <c r="AH816" s="82">
        <f>IFERROR(__xludf.DUMMYFUNCTION("""COMPUTED_VALUE"""),1.3538228162716848)</f>
        <v>1.353822816</v>
      </c>
      <c r="AI816" s="82">
        <f>IFERROR(__xludf.DUMMYFUNCTION("""COMPUTED_VALUE"""),1.0439889500105244)</f>
        <v>1.04398895</v>
      </c>
      <c r="AJ816" s="82">
        <f>IFERROR(__xludf.DUMMYFUNCTION("""COMPUTED_VALUE"""),0.9579242924566799)</f>
        <v>0.9579242925</v>
      </c>
      <c r="AK816" s="82">
        <f>IFERROR(__xludf.DUMMYFUNCTION("""COMPUTED_VALUE"""),0.8903363735469996)</f>
        <v>0.8903363735</v>
      </c>
      <c r="AL816" s="82">
        <f>IFERROR(__xludf.DUMMYFUNCTION("""COMPUTED_VALUE"""),1.203163626623935)</f>
        <v>1.203163627</v>
      </c>
      <c r="AM816" s="82">
        <f>IFERROR(__xludf.DUMMYFUNCTION("""COMPUTED_VALUE"""),0.9453517800965162)</f>
        <v>0.9453517801</v>
      </c>
      <c r="AN816" s="82">
        <f>IFERROR(__xludf.DUMMYFUNCTION("""COMPUTED_VALUE"""),1.1402039844709981)</f>
        <v>1.140203984</v>
      </c>
      <c r="AO816" s="82">
        <f>IFERROR(__xludf.DUMMYFUNCTION("""COMPUTED_VALUE"""),1.3122356954429908)</f>
        <v>1.312235695</v>
      </c>
      <c r="AP816" s="82">
        <f>IFERROR(__xludf.DUMMYFUNCTION("""COMPUTED_VALUE"""),0.8554747839443643)</f>
        <v>0.8554747839</v>
      </c>
      <c r="AQ816" s="82">
        <f>IFERROR(__xludf.DUMMYFUNCTION("""COMPUTED_VALUE"""),1.0115206088013595)</f>
        <v>1.011520609</v>
      </c>
      <c r="AR816" s="82">
        <f>IFERROR(__xludf.DUMMYFUNCTION("""COMPUTED_VALUE"""),1.4565549664657573)</f>
        <v>1.456554966</v>
      </c>
      <c r="AS816" s="82">
        <f>IFERROR(__xludf.DUMMYFUNCTION("""COMPUTED_VALUE"""),95.0)</f>
        <v>95</v>
      </c>
      <c r="AT816" s="82">
        <f>IFERROR(__xludf.DUMMYFUNCTION("""COMPUTED_VALUE"""),0.5247343251953641)</f>
        <v>0.5247343252</v>
      </c>
      <c r="AU816" s="82">
        <f>IFERROR(__xludf.DUMMYFUNCTION("""COMPUTED_VALUE"""),3.3049530624961734)</f>
        <v>3.304953062</v>
      </c>
      <c r="AV816" s="82">
        <f>IFERROR(__xludf.DUMMYFUNCTION("""COMPUTED_VALUE"""),76.21160399776949)</f>
        <v>76.211604</v>
      </c>
      <c r="AW816" s="82">
        <f t="shared" si="1"/>
        <v>6.792905881</v>
      </c>
      <c r="AX816" s="83">
        <f t="array" ref="AX816">IFERROR(DGET('SBV Import'!A:G,"SBV",{"RSC ID","Tier";B816,A816}))</f>
        <v>68.16869365</v>
      </c>
      <c r="AY816" s="82">
        <f t="shared" si="2"/>
        <v>4.279168698</v>
      </c>
      <c r="AZ816" s="82">
        <v>2.5137371827350803</v>
      </c>
      <c r="BA816" s="84">
        <v>800.0</v>
      </c>
      <c r="BB816" s="84" t="b">
        <f>IFERROR(__xludf.DUMMYFUNCTION("iferror(if(A816="""",,E816&gt;=FILTER(Constants!$F$2:$F$10,Constants!$A$2:$A$10=A816)))"),TRUE)</f>
        <v>1</v>
      </c>
    </row>
    <row r="817">
      <c r="A817" s="80" t="str">
        <f>IFERROR(__xludf.DUMMYFUNCTION("""COMPUTED_VALUE"""),"Elite")</f>
        <v>Elite</v>
      </c>
      <c r="B817" s="73" t="str">
        <f>IFERROR(__xludf.DUMMYFUNCTION("""COMPUTED_VALUE"""),"RSC001986")</f>
        <v>RSC001986</v>
      </c>
      <c r="C817" s="73" t="str">
        <f>IFERROR(__xludf.DUMMYFUNCTION("""COMPUTED_VALUE"""),"Colinn")</f>
        <v>Colinn</v>
      </c>
      <c r="D817" s="73" t="str">
        <f>IFERROR(__xludf.DUMMYFUNCTION("""COMPUTED_VALUE"""),"Desolation")</f>
        <v>Desolation</v>
      </c>
      <c r="E817" s="82">
        <f>IFERROR(__xludf.DUMMYFUNCTION("""COMPUTED_VALUE"""),40.0)</f>
        <v>40</v>
      </c>
      <c r="F817" s="82">
        <f>IFERROR(__xludf.DUMMYFUNCTION("""COMPUTED_VALUE"""),26.0)</f>
        <v>26</v>
      </c>
      <c r="G817" s="82">
        <f>IFERROR(__xludf.DUMMYFUNCTION("""COMPUTED_VALUE"""),14.0)</f>
        <v>14</v>
      </c>
      <c r="H817" s="86">
        <f>IFERROR(__xludf.DUMMYFUNCTION("""COMPUTED_VALUE"""),0.65)</f>
        <v>0.65</v>
      </c>
      <c r="I817" s="86">
        <f>IFERROR(__xludf.DUMMYFUNCTION("""COMPUTED_VALUE"""),0.4259259259259259)</f>
        <v>0.4259259259</v>
      </c>
      <c r="J817" s="82">
        <f>IFERROR(__xludf.DUMMYFUNCTION("""COMPUTED_VALUE"""),404.675)</f>
        <v>404.675</v>
      </c>
      <c r="K817" s="82">
        <f>IFERROR(__xludf.DUMMYFUNCTION("""COMPUTED_VALUE"""),1.15)</f>
        <v>1.15</v>
      </c>
      <c r="L817" s="82">
        <f>IFERROR(__xludf.DUMMYFUNCTION("""COMPUTED_VALUE"""),0.575)</f>
        <v>0.575</v>
      </c>
      <c r="M817" s="82">
        <f>IFERROR(__xludf.DUMMYFUNCTION("""COMPUTED_VALUE"""),1.6)</f>
        <v>1.6</v>
      </c>
      <c r="N817" s="82">
        <f>IFERROR(__xludf.DUMMYFUNCTION("""COMPUTED_VALUE"""),2.7)</f>
        <v>2.7</v>
      </c>
      <c r="O817" s="82">
        <f>IFERROR(__xludf.DUMMYFUNCTION("""COMPUTED_VALUE"""),340.6916666666667)</f>
        <v>340.6916667</v>
      </c>
      <c r="P817" s="82">
        <f>IFERROR(__xludf.DUMMYFUNCTION("""COMPUTED_VALUE"""),0.7333333333333333)</f>
        <v>0.7333333333</v>
      </c>
      <c r="Q817" s="82">
        <f>IFERROR(__xludf.DUMMYFUNCTION("""COMPUTED_VALUE"""),0.5083333333333334)</f>
        <v>0.5083333333</v>
      </c>
      <c r="R817" s="82">
        <f>IFERROR(__xludf.DUMMYFUNCTION("""COMPUTED_VALUE"""),1.275)</f>
        <v>1.275</v>
      </c>
      <c r="S817" s="82">
        <f>IFERROR(__xludf.DUMMYFUNCTION("""COMPUTED_VALUE"""),2.6416666666666666)</f>
        <v>2.641666667</v>
      </c>
      <c r="T817" s="82">
        <f>IFERROR(__xludf.DUMMYFUNCTION("""COMPUTED_VALUE"""),359.6079809563063)</f>
        <v>359.607981</v>
      </c>
      <c r="U817" s="82">
        <f>IFERROR(__xludf.DUMMYFUNCTION("""COMPUTED_VALUE"""),0.7375031753707665)</f>
        <v>0.7375031754</v>
      </c>
      <c r="V817" s="82">
        <f>IFERROR(__xludf.DUMMYFUNCTION("""COMPUTED_VALUE"""),0.5587663867174684)</f>
        <v>0.5587663867</v>
      </c>
      <c r="W817" s="82">
        <f>IFERROR(__xludf.DUMMYFUNCTION("""COMPUTED_VALUE"""),1.4396258742620174)</f>
        <v>1.439625874</v>
      </c>
      <c r="X817" s="82">
        <f>IFERROR(__xludf.DUMMYFUNCTION("""COMPUTED_VALUE"""),2.60812505599902)</f>
        <v>2.608125056</v>
      </c>
      <c r="Y817" s="82">
        <f>IFERROR(__xludf.DUMMYFUNCTION("""COMPUTED_VALUE"""),369.4558300312282)</f>
        <v>369.45583</v>
      </c>
      <c r="Z817" s="82">
        <f>IFERROR(__xludf.DUMMYFUNCTION("""COMPUTED_VALUE"""),0.8096829986772995)</f>
        <v>0.8096829987</v>
      </c>
      <c r="AA817" s="82">
        <f>IFERROR(__xludf.DUMMYFUNCTION("""COMPUTED_VALUE"""),0.6063046658295433)</f>
        <v>0.6063046658</v>
      </c>
      <c r="AB817" s="82">
        <f>IFERROR(__xludf.DUMMYFUNCTION("""COMPUTED_VALUE"""),1.4544085075202777)</f>
        <v>1.454408508</v>
      </c>
      <c r="AC817" s="82">
        <f>IFERROR(__xludf.DUMMYFUNCTION("""COMPUTED_VALUE"""),2.730078602373448)</f>
        <v>2.730078602</v>
      </c>
      <c r="AD817" s="82">
        <f>IFERROR(__xludf.DUMMYFUNCTION("""COMPUTED_VALUE"""),1.0953271463216454)</f>
        <v>1.095327146</v>
      </c>
      <c r="AE817" s="82">
        <f>IFERROR(__xludf.DUMMYFUNCTION("""COMPUTED_VALUE"""),1.4203089380395082)</f>
        <v>1.420308938</v>
      </c>
      <c r="AF817" s="82">
        <f>IFERROR(__xludf.DUMMYFUNCTION("""COMPUTED_VALUE"""),0.9483680934786928)</f>
        <v>0.9483680935</v>
      </c>
      <c r="AG817" s="82">
        <f>IFERROR(__xludf.DUMMYFUNCTION("""COMPUTED_VALUE"""),1.1001035759395765)</f>
        <v>1.100103576</v>
      </c>
      <c r="AH817" s="82">
        <f>IFERROR(__xludf.DUMMYFUNCTION("""COMPUTED_VALUE"""),0.9889825141491171)</f>
        <v>0.9889825141</v>
      </c>
      <c r="AI817" s="82">
        <f>IFERROR(__xludf.DUMMYFUNCTION("""COMPUTED_VALUE"""),0.9473974013609615)</f>
        <v>0.9473974014</v>
      </c>
      <c r="AJ817" s="82">
        <f>IFERROR(__xludf.DUMMYFUNCTION("""COMPUTED_VALUE"""),0.994346001242182)</f>
        <v>0.9943460012</v>
      </c>
      <c r="AK817" s="82">
        <f>IFERROR(__xludf.DUMMYFUNCTION("""COMPUTED_VALUE"""),0.9097421488067505)</f>
        <v>0.9097421488</v>
      </c>
      <c r="AL817" s="82">
        <f>IFERROR(__xludf.DUMMYFUNCTION("""COMPUTED_VALUE"""),0.8856467661458167)</f>
        <v>0.8856467661</v>
      </c>
      <c r="AM817" s="82">
        <f>IFERROR(__xludf.DUMMYFUNCTION("""COMPUTED_VALUE"""),1.0128604303656747)</f>
        <v>1.01286043</v>
      </c>
      <c r="AN817" s="82">
        <f>IFERROR(__xludf.DUMMYFUNCTION("""COMPUTED_VALUE"""),1.1542683133910903)</f>
        <v>1.154268313</v>
      </c>
      <c r="AO817" s="82">
        <f>IFERROR(__xludf.DUMMYFUNCTION("""COMPUTED_VALUE"""),1.6222513784913974)</f>
        <v>1.622251378</v>
      </c>
      <c r="AP817" s="82">
        <f>IFERROR(__xludf.DUMMYFUNCTION("""COMPUTED_VALUE"""),1.0072197158583052)</f>
        <v>1.007219716</v>
      </c>
      <c r="AQ817" s="82">
        <f>IFERROR(__xludf.DUMMYFUNCTION("""COMPUTED_VALUE"""),1.1224615787989283)</f>
        <v>1.122461579</v>
      </c>
      <c r="AR817" s="82">
        <f>IFERROR(__xludf.DUMMYFUNCTION("""COMPUTED_VALUE"""),1.077108481571175)</f>
        <v>1.077108482</v>
      </c>
      <c r="AS817" s="82">
        <f>IFERROR(__xludf.DUMMYFUNCTION("""COMPUTED_VALUE"""),122.0)</f>
        <v>122</v>
      </c>
      <c r="AT817" s="82">
        <f>IFERROR(__xludf.DUMMYFUNCTION("""COMPUTED_VALUE"""),0.6285011056482308)</f>
        <v>0.6285011056</v>
      </c>
      <c r="AU817" s="82">
        <f>IFERROR(__xludf.DUMMYFUNCTION("""COMPUTED_VALUE"""),3.2849615309445963)</f>
        <v>3.284961531</v>
      </c>
      <c r="AV817" s="82">
        <f>IFERROR(__xludf.DUMMYFUNCTION("""COMPUTED_VALUE"""),75.63656332640619)</f>
        <v>75.63656333</v>
      </c>
      <c r="AW817" s="82">
        <f t="shared" si="1"/>
        <v>6.55426119</v>
      </c>
      <c r="AX817" s="83">
        <f t="array" ref="AX817">IFERROR(DGET('SBV Import'!A:G,"SBV",{"RSC ID","Tier";B817,A817}))</f>
        <v>58.38652813</v>
      </c>
      <c r="AY817" s="82">
        <f t="shared" si="2"/>
        <v>2.712683674</v>
      </c>
      <c r="AZ817" s="82">
        <v>3.841577515821539</v>
      </c>
      <c r="BA817" s="84">
        <v>800.0</v>
      </c>
      <c r="BB817" s="84" t="b">
        <f>IFERROR(__xludf.DUMMYFUNCTION("iferror(if(A817="""",,E817&gt;=FILTER(Constants!$F$2:$F$10,Constants!$A$2:$A$10=A817)))"),TRUE)</f>
        <v>1</v>
      </c>
    </row>
    <row r="818">
      <c r="A818" s="80" t="str">
        <f>IFERROR(__xludf.DUMMYFUNCTION("""COMPUTED_VALUE"""),"Elite")</f>
        <v>Elite</v>
      </c>
      <c r="B818" s="73" t="str">
        <f>IFERROR(__xludf.DUMMYFUNCTION("""COMPUTED_VALUE"""),"RSC004797")</f>
        <v>RSC004797</v>
      </c>
      <c r="C818" s="73" t="str">
        <f>IFERROR(__xludf.DUMMYFUNCTION("""COMPUTED_VALUE"""),"Tempest")</f>
        <v>Tempest</v>
      </c>
      <c r="D818" s="73" t="str">
        <f>IFERROR(__xludf.DUMMYFUNCTION("""COMPUTED_VALUE"""),"Demons")</f>
        <v>Demons</v>
      </c>
      <c r="E818" s="82">
        <f>IFERROR(__xludf.DUMMYFUNCTION("""COMPUTED_VALUE"""),25.0)</f>
        <v>25</v>
      </c>
      <c r="F818" s="82">
        <f>IFERROR(__xludf.DUMMYFUNCTION("""COMPUTED_VALUE"""),11.0)</f>
        <v>11</v>
      </c>
      <c r="G818" s="82">
        <f>IFERROR(__xludf.DUMMYFUNCTION("""COMPUTED_VALUE"""),14.0)</f>
        <v>14</v>
      </c>
      <c r="H818" s="86">
        <f>IFERROR(__xludf.DUMMYFUNCTION("""COMPUTED_VALUE"""),0.44)</f>
        <v>0.44</v>
      </c>
      <c r="I818" s="86">
        <f>IFERROR(__xludf.DUMMYFUNCTION("""COMPUTED_VALUE"""),0.26666666666666666)</f>
        <v>0.2666666667</v>
      </c>
      <c r="J818" s="82">
        <f>IFERROR(__xludf.DUMMYFUNCTION("""COMPUTED_VALUE"""),400.72)</f>
        <v>400.72</v>
      </c>
      <c r="K818" s="82">
        <f>IFERROR(__xludf.DUMMYFUNCTION("""COMPUTED_VALUE"""),0.8)</f>
        <v>0.8</v>
      </c>
      <c r="L818" s="82">
        <f>IFERROR(__xludf.DUMMYFUNCTION("""COMPUTED_VALUE"""),0.8)</f>
        <v>0.8</v>
      </c>
      <c r="M818" s="82">
        <f>IFERROR(__xludf.DUMMYFUNCTION("""COMPUTED_VALUE"""),1.88)</f>
        <v>1.88</v>
      </c>
      <c r="N818" s="82">
        <f>IFERROR(__xludf.DUMMYFUNCTION("""COMPUTED_VALUE"""),3.0)</f>
        <v>3</v>
      </c>
      <c r="O818" s="82">
        <f>IFERROR(__xludf.DUMMYFUNCTION("""COMPUTED_VALUE"""),382.92)</f>
        <v>382.92</v>
      </c>
      <c r="P818" s="82">
        <f>IFERROR(__xludf.DUMMYFUNCTION("""COMPUTED_VALUE"""),0.8933333333333334)</f>
        <v>0.8933333333</v>
      </c>
      <c r="Q818" s="82">
        <f>IFERROR(__xludf.DUMMYFUNCTION("""COMPUTED_VALUE"""),0.72)</f>
        <v>0.72</v>
      </c>
      <c r="R818" s="82">
        <f>IFERROR(__xludf.DUMMYFUNCTION("""COMPUTED_VALUE"""),1.3200000000000003)</f>
        <v>1.32</v>
      </c>
      <c r="S818" s="82">
        <f>IFERROR(__xludf.DUMMYFUNCTION("""COMPUTED_VALUE"""),3.0000000000000004)</f>
        <v>3</v>
      </c>
      <c r="T818" s="82">
        <f>IFERROR(__xludf.DUMMYFUNCTION("""COMPUTED_VALUE"""),380.11097715106405)</f>
        <v>380.1109772</v>
      </c>
      <c r="U818" s="82">
        <f>IFERROR(__xludf.DUMMYFUNCTION("""COMPUTED_VALUE"""),0.905911461222887)</f>
        <v>0.9059114612</v>
      </c>
      <c r="V818" s="82">
        <f>IFERROR(__xludf.DUMMYFUNCTION("""COMPUTED_VALUE"""),0.6714192577802284)</f>
        <v>0.6714192578</v>
      </c>
      <c r="W818" s="82">
        <f>IFERROR(__xludf.DUMMYFUNCTION("""COMPUTED_VALUE"""),1.3934005864096861)</f>
        <v>1.393400586</v>
      </c>
      <c r="X818" s="82">
        <f>IFERROR(__xludf.DUMMYFUNCTION("""COMPUTED_VALUE"""),2.828832463692928)</f>
        <v>2.828832464</v>
      </c>
      <c r="Y818" s="82">
        <f>IFERROR(__xludf.DUMMYFUNCTION("""COMPUTED_VALUE"""),352.9561758489763)</f>
        <v>352.9561758</v>
      </c>
      <c r="Z818" s="82">
        <f>IFERROR(__xludf.DUMMYFUNCTION("""COMPUTED_VALUE"""),0.7222329416596355)</f>
        <v>0.7222329417</v>
      </c>
      <c r="AA818" s="82">
        <f>IFERROR(__xludf.DUMMYFUNCTION("""COMPUTED_VALUE"""),0.5282566842708399)</f>
        <v>0.5282566843</v>
      </c>
      <c r="AB818" s="82">
        <f>IFERROR(__xludf.DUMMYFUNCTION("""COMPUTED_VALUE"""),1.4858376212673485)</f>
        <v>1.485837621</v>
      </c>
      <c r="AC818" s="82">
        <f>IFERROR(__xludf.DUMMYFUNCTION("""COMPUTED_VALUE"""),2.4895880114791478)</f>
        <v>2.489588011</v>
      </c>
      <c r="AD818" s="82">
        <f>IFERROR(__xludf.DUMMYFUNCTION("""COMPUTED_VALUE"""),1.1353250840168356)</f>
        <v>1.135325084</v>
      </c>
      <c r="AE818" s="82">
        <f>IFERROR(__xludf.DUMMYFUNCTION("""COMPUTED_VALUE"""),1.1076758672370466)</f>
        <v>1.107675867</v>
      </c>
      <c r="AF818" s="82">
        <f>IFERROR(__xludf.DUMMYFUNCTION("""COMPUTED_VALUE"""),1.5144152905594581)</f>
        <v>1.514415291</v>
      </c>
      <c r="AG818" s="82">
        <f>IFERROR(__xludf.DUMMYFUNCTION("""COMPUTED_VALUE"""),1.2652795790676303)</f>
        <v>1.265279579</v>
      </c>
      <c r="AH818" s="82">
        <f>IFERROR(__xludf.DUMMYFUNCTION("""COMPUTED_VALUE"""),1.205018656166166)</f>
        <v>1.205018656</v>
      </c>
      <c r="AI818" s="82">
        <f>IFERROR(__xludf.DUMMYFUNCTION("""COMPUTED_VALUE"""),1.0073900071762978)</f>
        <v>1.007390007</v>
      </c>
      <c r="AJ818" s="82">
        <f>IFERROR(__xludf.DUMMYFUNCTION("""COMPUTED_VALUE"""),0.9861154997723791)</f>
        <v>0.9861154998</v>
      </c>
      <c r="AK818" s="82">
        <f>IFERROR(__xludf.DUMMYFUNCTION("""COMPUTED_VALUE"""),1.0723553005917403)</f>
        <v>1.072355301</v>
      </c>
      <c r="AL818" s="82">
        <f>IFERROR(__xludf.DUMMYFUNCTION("""COMPUTED_VALUE"""),0.9473226959098575)</f>
        <v>0.9473226959</v>
      </c>
      <c r="AM818" s="82">
        <f>IFERROR(__xludf.DUMMYFUNCTION("""COMPUTED_VALUE"""),1.060508191454937)</f>
        <v>1.060508191</v>
      </c>
      <c r="AN818" s="82">
        <f>IFERROR(__xludf.DUMMYFUNCTION("""COMPUTED_VALUE"""),1.1429873319134558)</f>
        <v>1.142987332</v>
      </c>
      <c r="AO818" s="82">
        <f>IFERROR(__xludf.DUMMYFUNCTION("""COMPUTED_VALUE"""),1.1285226980809722)</f>
        <v>1.128522698</v>
      </c>
      <c r="AP818" s="82">
        <f>IFERROR(__xludf.DUMMYFUNCTION("""COMPUTED_VALUE"""),1.401349169889816)</f>
        <v>1.40134917</v>
      </c>
      <c r="AQ818" s="82">
        <f>IFERROR(__xludf.DUMMYFUNCTION("""COMPUTED_VALUE"""),1.3188923550887406)</f>
        <v>1.318892355</v>
      </c>
      <c r="AR818" s="82">
        <f>IFERROR(__xludf.DUMMYFUNCTION("""COMPUTED_VALUE"""),1.1967872017457497)</f>
        <v>1.196787202</v>
      </c>
      <c r="AS818" s="82">
        <f>IFERROR(__xludf.DUMMYFUNCTION("""COMPUTED_VALUE"""),64.0)</f>
        <v>64</v>
      </c>
      <c r="AT818" s="82">
        <f>IFERROR(__xludf.DUMMYFUNCTION("""COMPUTED_VALUE"""),0.4815860261736789)</f>
        <v>0.4815860262</v>
      </c>
      <c r="AU818" s="82">
        <f>IFERROR(__xludf.DUMMYFUNCTION("""COMPUTED_VALUE"""),3.267198402709665)</f>
        <v>3.267198403</v>
      </c>
      <c r="AV818" s="82">
        <f>IFERROR(__xludf.DUMMYFUNCTION("""COMPUTED_VALUE"""),75.12562092265016)</f>
        <v>75.12562092</v>
      </c>
      <c r="AW818" s="82">
        <f t="shared" si="1"/>
        <v>6.351527369</v>
      </c>
      <c r="AX818" s="83">
        <f t="array" ref="AX818">IFERROR(DGET('SBV Import'!A:G,"SBV",{"RSC ID","Tier";B818,A818}))</f>
        <v>60.63763151</v>
      </c>
      <c r="AY818" s="82">
        <f t="shared" si="2"/>
        <v>2.98298926</v>
      </c>
      <c r="AZ818" s="82">
        <v>3.3685381084170642</v>
      </c>
      <c r="BA818" s="84">
        <v>800.0</v>
      </c>
      <c r="BB818" s="84" t="b">
        <f>IFERROR(__xludf.DUMMYFUNCTION("iferror(if(A818="""",,E818&gt;=FILTER(Constants!$F$2:$F$10,Constants!$A$2:$A$10=A818)))"),TRUE)</f>
        <v>1</v>
      </c>
    </row>
    <row r="819">
      <c r="A819" s="80" t="str">
        <f>IFERROR(__xludf.DUMMYFUNCTION("""COMPUTED_VALUE"""),"Elite")</f>
        <v>Elite</v>
      </c>
      <c r="B819" s="73" t="str">
        <f>IFERROR(__xludf.DUMMYFUNCTION("""COMPUTED_VALUE"""),"RSC006409")</f>
        <v>RSC006409</v>
      </c>
      <c r="C819" s="73" t="str">
        <f>IFERROR(__xludf.DUMMYFUNCTION("""COMPUTED_VALUE"""),"Reported.")</f>
        <v>Reported.</v>
      </c>
      <c r="D819" s="73" t="str">
        <f>IFERROR(__xludf.DUMMYFUNCTION("""COMPUTED_VALUE"""),"Forge Defenders")</f>
        <v>Forge Defenders</v>
      </c>
      <c r="E819" s="82">
        <f>IFERROR(__xludf.DUMMYFUNCTION("""COMPUTED_VALUE"""),29.0)</f>
        <v>29</v>
      </c>
      <c r="F819" s="82">
        <f>IFERROR(__xludf.DUMMYFUNCTION("""COMPUTED_VALUE"""),19.0)</f>
        <v>19</v>
      </c>
      <c r="G819" s="82">
        <f>IFERROR(__xludf.DUMMYFUNCTION("""COMPUTED_VALUE"""),10.0)</f>
        <v>10</v>
      </c>
      <c r="H819" s="86">
        <f>IFERROR(__xludf.DUMMYFUNCTION("""COMPUTED_VALUE"""),0.6551724137931034)</f>
        <v>0.6551724138</v>
      </c>
      <c r="I819" s="86">
        <f>IFERROR(__xludf.DUMMYFUNCTION("""COMPUTED_VALUE"""),0.30952380952380953)</f>
        <v>0.3095238095</v>
      </c>
      <c r="J819" s="82">
        <f>IFERROR(__xludf.DUMMYFUNCTION("""COMPUTED_VALUE"""),367.3448275862069)</f>
        <v>367.3448276</v>
      </c>
      <c r="K819" s="82">
        <f>IFERROR(__xludf.DUMMYFUNCTION("""COMPUTED_VALUE"""),0.896551724137931)</f>
        <v>0.8965517241</v>
      </c>
      <c r="L819" s="82">
        <f>IFERROR(__xludf.DUMMYFUNCTION("""COMPUTED_VALUE"""),0.6206896551724138)</f>
        <v>0.6206896552</v>
      </c>
      <c r="M819" s="82">
        <f>IFERROR(__xludf.DUMMYFUNCTION("""COMPUTED_VALUE"""),1.206896551724138)</f>
        <v>1.206896552</v>
      </c>
      <c r="N819" s="82">
        <f>IFERROR(__xludf.DUMMYFUNCTION("""COMPUTED_VALUE"""),2.896551724137931)</f>
        <v>2.896551724</v>
      </c>
      <c r="O819" s="82">
        <f>IFERROR(__xludf.DUMMYFUNCTION("""COMPUTED_VALUE"""),331.34482758620675)</f>
        <v>331.3448276</v>
      </c>
      <c r="P819" s="82">
        <f>IFERROR(__xludf.DUMMYFUNCTION("""COMPUTED_VALUE"""),0.5402298850574713)</f>
        <v>0.5402298851</v>
      </c>
      <c r="Q819" s="82">
        <f>IFERROR(__xludf.DUMMYFUNCTION("""COMPUTED_VALUE"""),0.41379310344827586)</f>
        <v>0.4137931034</v>
      </c>
      <c r="R819" s="82">
        <f>IFERROR(__xludf.DUMMYFUNCTION("""COMPUTED_VALUE"""),1.5977011494252877)</f>
        <v>1.597701149</v>
      </c>
      <c r="S819" s="82">
        <f>IFERROR(__xludf.DUMMYFUNCTION("""COMPUTED_VALUE"""),2.1839080459770113)</f>
        <v>2.183908046</v>
      </c>
      <c r="T819" s="82">
        <f>IFERROR(__xludf.DUMMYFUNCTION("""COMPUTED_VALUE"""),363.4423716119985)</f>
        <v>363.4423716</v>
      </c>
      <c r="U819" s="82">
        <f>IFERROR(__xludf.DUMMYFUNCTION("""COMPUTED_VALUE"""),0.7940606716550452)</f>
        <v>0.7940606717</v>
      </c>
      <c r="V819" s="82">
        <f>IFERROR(__xludf.DUMMYFUNCTION("""COMPUTED_VALUE"""),0.561270086987558)</f>
        <v>0.561270087</v>
      </c>
      <c r="W819" s="82">
        <f>IFERROR(__xludf.DUMMYFUNCTION("""COMPUTED_VALUE"""),1.4357639007746945)</f>
        <v>1.435763901</v>
      </c>
      <c r="X819" s="82">
        <f>IFERROR(__xludf.DUMMYFUNCTION("""COMPUTED_VALUE"""),2.655324697545246)</f>
        <v>2.655324698</v>
      </c>
      <c r="Y819" s="82">
        <f>IFERROR(__xludf.DUMMYFUNCTION("""COMPUTED_VALUE"""),363.7168408180278)</f>
        <v>363.7168408</v>
      </c>
      <c r="Z819" s="82">
        <f>IFERROR(__xludf.DUMMYFUNCTION("""COMPUTED_VALUE"""),0.7794382648680507)</f>
        <v>0.7794382649</v>
      </c>
      <c r="AA819" s="82">
        <f>IFERROR(__xludf.DUMMYFUNCTION("""COMPUTED_VALUE"""),0.5892621528354755)</f>
        <v>0.5892621528</v>
      </c>
      <c r="AB819" s="82">
        <f>IFERROR(__xludf.DUMMYFUNCTION("""COMPUTED_VALUE"""),1.4400456340471872)</f>
        <v>1.440045634</v>
      </c>
      <c r="AC819" s="82">
        <f>IFERROR(__xludf.DUMMYFUNCTION("""COMPUTED_VALUE"""),2.6586037790602335)</f>
        <v>2.658603779</v>
      </c>
      <c r="AD819" s="82">
        <f>IFERROR(__xludf.DUMMYFUNCTION("""COMPUTED_VALUE"""),1.0099747560767862)</f>
        <v>1.009974756</v>
      </c>
      <c r="AE819" s="82">
        <f>IFERROR(__xludf.DUMMYFUNCTION("""COMPUTED_VALUE"""),1.1502536692751493)</f>
        <v>1.150253669</v>
      </c>
      <c r="AF819" s="82">
        <f>IFERROR(__xludf.DUMMYFUNCTION("""COMPUTED_VALUE"""),1.0533336515601963)</f>
        <v>1.053333652</v>
      </c>
      <c r="AG819" s="82">
        <f>IFERROR(__xludf.DUMMYFUNCTION("""COMPUTED_VALUE"""),0.8380960458400241)</f>
        <v>0.8380960458</v>
      </c>
      <c r="AH819" s="82">
        <f>IFERROR(__xludf.DUMMYFUNCTION("""COMPUTED_VALUE"""),1.0895010933753384)</f>
        <v>1.089501093</v>
      </c>
      <c r="AI819" s="82">
        <f>IFERROR(__xludf.DUMMYFUNCTION("""COMPUTED_VALUE"""),0.9116846396213311)</f>
        <v>0.9116846396</v>
      </c>
      <c r="AJ819" s="82">
        <f>IFERROR(__xludf.DUMMYFUNCTION("""COMPUTED_VALUE"""),0.6803382969861492)</f>
        <v>0.680338297</v>
      </c>
      <c r="AK819" s="82">
        <f>IFERROR(__xludf.DUMMYFUNCTION("""COMPUTED_VALUE"""),0.7372441771646538)</f>
        <v>0.7372441772</v>
      </c>
      <c r="AL819" s="82">
        <f>IFERROR(__xludf.DUMMYFUNCTION("""COMPUTED_VALUE"""),1.1127882157806146)</f>
        <v>1.112788216</v>
      </c>
      <c r="AM819" s="82">
        <f>IFERROR(__xludf.DUMMYFUNCTION("""COMPUTED_VALUE"""),0.8224636512423348)</f>
        <v>0.8224636512</v>
      </c>
      <c r="AN819" s="82">
        <f>IFERROR(__xludf.DUMMYFUNCTION("""COMPUTED_VALUE"""),1.0477901885979415)</f>
        <v>1.047790189</v>
      </c>
      <c r="AO819" s="82">
        <f>IFERROR(__xludf.DUMMYFUNCTION("""COMPUTED_VALUE"""),1.2647237133666067)</f>
        <v>1.264723713</v>
      </c>
      <c r="AP819" s="82">
        <f>IFERROR(__xludf.DUMMYFUNCTION("""COMPUTED_VALUE"""),1.0872536662938226)</f>
        <v>1.087253666</v>
      </c>
      <c r="AQ819" s="82">
        <f>IFERROR(__xludf.DUMMYFUNCTION("""COMPUTED_VALUE"""),0.8466843805595363)</f>
        <v>0.8466843806</v>
      </c>
      <c r="AR819" s="82">
        <f>IFERROR(__xludf.DUMMYFUNCTION("""COMPUTED_VALUE"""),1.1555186775476205)</f>
        <v>1.155518678</v>
      </c>
      <c r="AS819" s="82">
        <f>IFERROR(__xludf.DUMMYFUNCTION("""COMPUTED_VALUE"""),66.0)</f>
        <v>66</v>
      </c>
      <c r="AT819" s="82">
        <f>IFERROR(__xludf.DUMMYFUNCTION("""COMPUTED_VALUE"""),0.6228397870442361)</f>
        <v>0.622839787</v>
      </c>
      <c r="AU819" s="82">
        <f>IFERROR(__xludf.DUMMYFUNCTION("""COMPUTED_VALUE"""),3.248778548090409)</f>
        <v>3.248778548</v>
      </c>
      <c r="AV819" s="82">
        <f>IFERROR(__xludf.DUMMYFUNCTION("""COMPUTED_VALUE"""),74.59578830130523)</f>
        <v>74.5957883</v>
      </c>
      <c r="AW819" s="82">
        <f t="shared" si="1"/>
        <v>6.150092653</v>
      </c>
      <c r="AX819" s="83">
        <f t="array" ref="AX819">IFERROR(DGET('SBV Import'!A:G,"SBV",{"RSC ID","Tier";B819,A819}))</f>
        <v>61.35493441</v>
      </c>
      <c r="AY819" s="82">
        <f t="shared" si="2"/>
        <v>3.078406531</v>
      </c>
      <c r="AZ819" s="82">
        <v>3.07168612177851</v>
      </c>
      <c r="BA819" s="84">
        <v>800.0</v>
      </c>
      <c r="BB819" s="84" t="b">
        <f>IFERROR(__xludf.DUMMYFUNCTION("iferror(if(A819="""",,E819&gt;=FILTER(Constants!$F$2:$F$10,Constants!$A$2:$A$10=A819)))"),TRUE)</f>
        <v>1</v>
      </c>
    </row>
    <row r="820">
      <c r="A820" s="80" t="str">
        <f>IFERROR(__xludf.DUMMYFUNCTION("""COMPUTED_VALUE"""),"Elite")</f>
        <v>Elite</v>
      </c>
      <c r="B820" s="73" t="str">
        <f>IFERROR(__xludf.DUMMYFUNCTION("""COMPUTED_VALUE"""),"RSC006751")</f>
        <v>RSC006751</v>
      </c>
      <c r="C820" s="73" t="str">
        <f>IFERROR(__xludf.DUMMYFUNCTION("""COMPUTED_VALUE"""),"cl0wdy.")</f>
        <v>cl0wdy.</v>
      </c>
      <c r="D820" s="73" t="str">
        <f>IFERROR(__xludf.DUMMYFUNCTION("""COMPUTED_VALUE"""),"Cotija Cartel")</f>
        <v>Cotija Cartel</v>
      </c>
      <c r="E820" s="82">
        <f>IFERROR(__xludf.DUMMYFUNCTION("""COMPUTED_VALUE"""),43.0)</f>
        <v>43</v>
      </c>
      <c r="F820" s="82">
        <f>IFERROR(__xludf.DUMMYFUNCTION("""COMPUTED_VALUE"""),35.0)</f>
        <v>35</v>
      </c>
      <c r="G820" s="82">
        <f>IFERROR(__xludf.DUMMYFUNCTION("""COMPUTED_VALUE"""),8.0)</f>
        <v>8</v>
      </c>
      <c r="H820" s="86">
        <f>IFERROR(__xludf.DUMMYFUNCTION("""COMPUTED_VALUE"""),0.813953488372093)</f>
        <v>0.8139534884</v>
      </c>
      <c r="I820" s="86">
        <f>IFERROR(__xludf.DUMMYFUNCTION("""COMPUTED_VALUE"""),0.31481481481481477)</f>
        <v>0.3148148148</v>
      </c>
      <c r="J820" s="82">
        <f>IFERROR(__xludf.DUMMYFUNCTION("""COMPUTED_VALUE"""),358.6511627906977)</f>
        <v>358.6511628</v>
      </c>
      <c r="K820" s="82">
        <f>IFERROR(__xludf.DUMMYFUNCTION("""COMPUTED_VALUE"""),0.7906976744186046)</f>
        <v>0.7906976744</v>
      </c>
      <c r="L820" s="82">
        <f>IFERROR(__xludf.DUMMYFUNCTION("""COMPUTED_VALUE"""),1.0)</f>
        <v>1</v>
      </c>
      <c r="M820" s="82">
        <f>IFERROR(__xludf.DUMMYFUNCTION("""COMPUTED_VALUE"""),1.0930232558139534)</f>
        <v>1.093023256</v>
      </c>
      <c r="N820" s="82">
        <f>IFERROR(__xludf.DUMMYFUNCTION("""COMPUTED_VALUE"""),2.511627906976744)</f>
        <v>2.511627907</v>
      </c>
      <c r="O820" s="82">
        <f>IFERROR(__xludf.DUMMYFUNCTION("""COMPUTED_VALUE"""),324.4573643410853)</f>
        <v>324.4573643</v>
      </c>
      <c r="P820" s="82">
        <f>IFERROR(__xludf.DUMMYFUNCTION("""COMPUTED_VALUE"""),0.5891472868217056)</f>
        <v>0.5891472868</v>
      </c>
      <c r="Q820" s="82">
        <f>IFERROR(__xludf.DUMMYFUNCTION("""COMPUTED_VALUE"""),0.38759689922480633)</f>
        <v>0.3875968992</v>
      </c>
      <c r="R820" s="82">
        <f>IFERROR(__xludf.DUMMYFUNCTION("""COMPUTED_VALUE"""),1.3720930232558133)</f>
        <v>1.372093023</v>
      </c>
      <c r="S820" s="82">
        <f>IFERROR(__xludf.DUMMYFUNCTION("""COMPUTED_VALUE"""),2.201550387596899)</f>
        <v>2.201550388</v>
      </c>
      <c r="T820" s="82">
        <f>IFERROR(__xludf.DUMMYFUNCTION("""COMPUTED_VALUE"""),352.7782972193169)</f>
        <v>352.7782972</v>
      </c>
      <c r="U820" s="82">
        <f>IFERROR(__xludf.DUMMYFUNCTION("""COMPUTED_VALUE"""),0.7275546672441076)</f>
        <v>0.7275546672</v>
      </c>
      <c r="V820" s="82">
        <f>IFERROR(__xludf.DUMMYFUNCTION("""COMPUTED_VALUE"""),0.5087163288958092)</f>
        <v>0.5087163289</v>
      </c>
      <c r="W820" s="82">
        <f>IFERROR(__xludf.DUMMYFUNCTION("""COMPUTED_VALUE"""),1.448396937718084)</f>
        <v>1.448396938</v>
      </c>
      <c r="X820" s="82">
        <f>IFERROR(__xludf.DUMMYFUNCTION("""COMPUTED_VALUE"""),2.487865025176228)</f>
        <v>2.487865025</v>
      </c>
      <c r="Y820" s="82">
        <f>IFERROR(__xludf.DUMMYFUNCTION("""COMPUTED_VALUE"""),365.5202635737784)</f>
        <v>365.5202636</v>
      </c>
      <c r="Z820" s="82">
        <f>IFERROR(__xludf.DUMMYFUNCTION("""COMPUTED_VALUE"""),0.8226960173594204)</f>
        <v>0.8226960174</v>
      </c>
      <c r="AA820" s="82">
        <f>IFERROR(__xludf.DUMMYFUNCTION("""COMPUTED_VALUE"""),0.6180891909560734)</f>
        <v>0.618089191</v>
      </c>
      <c r="AB820" s="82">
        <f>IFERROR(__xludf.DUMMYFUNCTION("""COMPUTED_VALUE"""),1.340590722554317)</f>
        <v>1.340590723</v>
      </c>
      <c r="AC820" s="82">
        <f>IFERROR(__xludf.DUMMYFUNCTION("""COMPUTED_VALUE"""),2.7827990683128103)</f>
        <v>2.782799068</v>
      </c>
      <c r="AD820" s="82">
        <f>IFERROR(__xludf.DUMMYFUNCTION("""COMPUTED_VALUE"""),0.9812073324857017)</f>
        <v>0.9812073325</v>
      </c>
      <c r="AE820" s="82">
        <f>IFERROR(__xludf.DUMMYFUNCTION("""COMPUTED_VALUE"""),0.9611055088810083)</f>
        <v>0.9611055089</v>
      </c>
      <c r="AF820" s="82">
        <f>IFERROR(__xludf.DUMMYFUNCTION("""COMPUTED_VALUE"""),1.6178894804052129)</f>
        <v>1.61788948</v>
      </c>
      <c r="AG820" s="82">
        <f>IFERROR(__xludf.DUMMYFUNCTION("""COMPUTED_VALUE"""),0.815329568842117)</f>
        <v>0.8153295688</v>
      </c>
      <c r="AH820" s="82">
        <f>IFERROR(__xludf.DUMMYFUNCTION("""COMPUTED_VALUE"""),0.9025545306436821)</f>
        <v>0.9025545306</v>
      </c>
      <c r="AI820" s="82">
        <f>IFERROR(__xludf.DUMMYFUNCTION("""COMPUTED_VALUE"""),0.9197203084728737)</f>
        <v>0.9197203085</v>
      </c>
      <c r="AJ820" s="82">
        <f>IFERROR(__xludf.DUMMYFUNCTION("""COMPUTED_VALUE"""),0.8097636003811604)</f>
        <v>0.8097636004</v>
      </c>
      <c r="AK820" s="82">
        <f>IFERROR(__xludf.DUMMYFUNCTION("""COMPUTED_VALUE"""),0.7619116533296704)</f>
        <v>0.7619116533</v>
      </c>
      <c r="AL820" s="82">
        <f>IFERROR(__xludf.DUMMYFUNCTION("""COMPUTED_VALUE"""),0.9473183680003592)</f>
        <v>0.947318368</v>
      </c>
      <c r="AM820" s="82">
        <f>IFERROR(__xludf.DUMMYFUNCTION("""COMPUTED_VALUE"""),0.8849155260908708)</f>
        <v>0.8849155261</v>
      </c>
      <c r="AN820" s="82">
        <f>IFERROR(__xludf.DUMMYFUNCTION("""COMPUTED_VALUE"""),1.0229929518012528)</f>
        <v>1.022992952</v>
      </c>
      <c r="AO820" s="82">
        <f>IFERROR(__xludf.DUMMYFUNCTION("""COMPUTED_VALUE"""),1.1154003411265423)</f>
        <v>1.115400341</v>
      </c>
      <c r="AP820" s="82">
        <f>IFERROR(__xludf.DUMMYFUNCTION("""COMPUTED_VALUE"""),1.7516864623622699)</f>
        <v>1.751686462</v>
      </c>
      <c r="AQ820" s="82">
        <f>IFERROR(__xludf.DUMMYFUNCTION("""COMPUTED_VALUE"""),0.7667978808655468)</f>
        <v>0.7667978809</v>
      </c>
      <c r="AR820" s="82">
        <f>IFERROR(__xludf.DUMMYFUNCTION("""COMPUTED_VALUE"""),1.001961378205744)</f>
        <v>1.001961378</v>
      </c>
      <c r="AS820" s="82">
        <f>IFERROR(__xludf.DUMMYFUNCTION("""COMPUTED_VALUE"""),144.0)</f>
        <v>144</v>
      </c>
      <c r="AT820" s="82">
        <f>IFERROR(__xludf.DUMMYFUNCTION("""COMPUTED_VALUE"""),0.7351670300514457)</f>
        <v>0.7351670301</v>
      </c>
      <c r="AU820" s="82">
        <f>IFERROR(__xludf.DUMMYFUNCTION("""COMPUTED_VALUE"""),3.225161764198893)</f>
        <v>3.225161764</v>
      </c>
      <c r="AV820" s="82">
        <f>IFERROR(__xludf.DUMMYFUNCTION("""COMPUTED_VALUE"""),73.91647009952653)</f>
        <v>73.9164701</v>
      </c>
      <c r="AW820" s="82">
        <f t="shared" si="1"/>
        <v>5.90424209</v>
      </c>
      <c r="AX820" s="83">
        <f t="array" ref="AX820">IFERROR(DGET('SBV Import'!A:G,"SBV",{"RSC ID","Tier";B820,A820}))</f>
        <v>57.78982461</v>
      </c>
      <c r="AY820" s="82">
        <f t="shared" si="2"/>
        <v>2.647779643</v>
      </c>
      <c r="AZ820" s="82">
        <v>3.2564624474376003</v>
      </c>
      <c r="BA820" s="84">
        <v>800.0</v>
      </c>
      <c r="BB820" s="84" t="b">
        <f>IFERROR(__xludf.DUMMYFUNCTION("iferror(if(A820="""",,E820&gt;=FILTER(Constants!$F$2:$F$10,Constants!$A$2:$A$10=A820)))"),TRUE)</f>
        <v>1</v>
      </c>
    </row>
    <row r="821">
      <c r="A821" s="80" t="str">
        <f>IFERROR(__xludf.DUMMYFUNCTION("""COMPUTED_VALUE"""),"Elite")</f>
        <v>Elite</v>
      </c>
      <c r="B821" s="73" t="str">
        <f>IFERROR(__xludf.DUMMYFUNCTION("""COMPUTED_VALUE"""),"RSC004630")</f>
        <v>RSC004630</v>
      </c>
      <c r="C821" s="73" t="str">
        <f>IFERROR(__xludf.DUMMYFUNCTION("""COMPUTED_VALUE"""),"Supe")</f>
        <v>Supe</v>
      </c>
      <c r="D821" s="73" t="str">
        <f>IFERROR(__xludf.DUMMYFUNCTION("""COMPUTED_VALUE"""),"Pylons")</f>
        <v>Pylons</v>
      </c>
      <c r="E821" s="82">
        <f>IFERROR(__xludf.DUMMYFUNCTION("""COMPUTED_VALUE"""),28.0)</f>
        <v>28</v>
      </c>
      <c r="F821" s="82">
        <f>IFERROR(__xludf.DUMMYFUNCTION("""COMPUTED_VALUE"""),13.0)</f>
        <v>13</v>
      </c>
      <c r="G821" s="82">
        <f>IFERROR(__xludf.DUMMYFUNCTION("""COMPUTED_VALUE"""),15.0)</f>
        <v>15</v>
      </c>
      <c r="H821" s="86">
        <f>IFERROR(__xludf.DUMMYFUNCTION("""COMPUTED_VALUE"""),0.4642857142857143)</f>
        <v>0.4642857143</v>
      </c>
      <c r="I821" s="86">
        <f>IFERROR(__xludf.DUMMYFUNCTION("""COMPUTED_VALUE"""),0.3146067415730337)</f>
        <v>0.3146067416</v>
      </c>
      <c r="J821" s="82">
        <f>IFERROR(__xludf.DUMMYFUNCTION("""COMPUTED_VALUE"""),416.0)</f>
        <v>416</v>
      </c>
      <c r="K821" s="82">
        <f>IFERROR(__xludf.DUMMYFUNCTION("""COMPUTED_VALUE"""),1.0)</f>
        <v>1</v>
      </c>
      <c r="L821" s="82">
        <f>IFERROR(__xludf.DUMMYFUNCTION("""COMPUTED_VALUE"""),0.6428571428571429)</f>
        <v>0.6428571429</v>
      </c>
      <c r="M821" s="82">
        <f>IFERROR(__xludf.DUMMYFUNCTION("""COMPUTED_VALUE"""),1.3928571428571428)</f>
        <v>1.392857143</v>
      </c>
      <c r="N821" s="82">
        <f>IFERROR(__xludf.DUMMYFUNCTION("""COMPUTED_VALUE"""),3.1785714285714284)</f>
        <v>3.178571429</v>
      </c>
      <c r="O821" s="82">
        <f>IFERROR(__xludf.DUMMYFUNCTION("""COMPUTED_VALUE"""),368.75)</f>
        <v>368.75</v>
      </c>
      <c r="P821" s="82">
        <f>IFERROR(__xludf.DUMMYFUNCTION("""COMPUTED_VALUE"""),0.8333333333333333)</f>
        <v>0.8333333333</v>
      </c>
      <c r="Q821" s="82">
        <f>IFERROR(__xludf.DUMMYFUNCTION("""COMPUTED_VALUE"""),0.6428571428571429)</f>
        <v>0.6428571429</v>
      </c>
      <c r="R821" s="82">
        <f>IFERROR(__xludf.DUMMYFUNCTION("""COMPUTED_VALUE"""),1.4404761904761905)</f>
        <v>1.44047619</v>
      </c>
      <c r="S821" s="82">
        <f>IFERROR(__xludf.DUMMYFUNCTION("""COMPUTED_VALUE"""),2.5714285714285716)</f>
        <v>2.571428571</v>
      </c>
      <c r="T821" s="82">
        <f>IFERROR(__xludf.DUMMYFUNCTION("""COMPUTED_VALUE"""),347.1501885679487)</f>
        <v>347.1501886</v>
      </c>
      <c r="U821" s="82">
        <f>IFERROR(__xludf.DUMMYFUNCTION("""COMPUTED_VALUE"""),0.7170816613681625)</f>
        <v>0.7170816614</v>
      </c>
      <c r="V821" s="82">
        <f>IFERROR(__xludf.DUMMYFUNCTION("""COMPUTED_VALUE"""),0.528809487068548)</f>
        <v>0.5288094871</v>
      </c>
      <c r="W821" s="82">
        <f>IFERROR(__xludf.DUMMYFUNCTION("""COMPUTED_VALUE"""),1.3913039430324434)</f>
        <v>1.391303943</v>
      </c>
      <c r="X821" s="82">
        <f>IFERROR(__xludf.DUMMYFUNCTION("""COMPUTED_VALUE"""),2.4300751417460087)</f>
        <v>2.430075142</v>
      </c>
      <c r="Y821" s="82">
        <f>IFERROR(__xludf.DUMMYFUNCTION("""COMPUTED_VALUE"""),356.3995563058293)</f>
        <v>356.3995563</v>
      </c>
      <c r="Z821" s="82">
        <f>IFERROR(__xludf.DUMMYFUNCTION("""COMPUTED_VALUE"""),0.7764769389441167)</f>
        <v>0.7764769389</v>
      </c>
      <c r="AA821" s="82">
        <f>IFERROR(__xludf.DUMMYFUNCTION("""COMPUTED_VALUE"""),0.5934403566156048)</f>
        <v>0.5934403566</v>
      </c>
      <c r="AB821" s="82">
        <f>IFERROR(__xludf.DUMMYFUNCTION("""COMPUTED_VALUE"""),1.3384780251135528)</f>
        <v>1.338478025</v>
      </c>
      <c r="AC821" s="82">
        <f>IFERROR(__xludf.DUMMYFUNCTION("""COMPUTED_VALUE"""),2.7089091659087465)</f>
        <v>2.708909166</v>
      </c>
      <c r="AD821" s="82">
        <f>IFERROR(__xludf.DUMMYFUNCTION("""COMPUTED_VALUE"""),1.1672292870169205)</f>
        <v>1.167229287</v>
      </c>
      <c r="AE821" s="82">
        <f>IFERROR(__xludf.DUMMYFUNCTION("""COMPUTED_VALUE"""),1.2878682544775104)</f>
        <v>1.287868254</v>
      </c>
      <c r="AF821" s="82">
        <f>IFERROR(__xludf.DUMMYFUNCTION("""COMPUTED_VALUE"""),1.083271698142274)</f>
        <v>1.083271698</v>
      </c>
      <c r="AG821" s="82">
        <f>IFERROR(__xludf.DUMMYFUNCTION("""COMPUTED_VALUE"""),1.0406275760403139)</f>
        <v>1.040627576</v>
      </c>
      <c r="AH821" s="82">
        <f>IFERROR(__xludf.DUMMYFUNCTION("""COMPUTED_VALUE"""),1.1733768959747035)</f>
        <v>1.173376896</v>
      </c>
      <c r="AI821" s="82">
        <f>IFERROR(__xludf.DUMMYFUNCTION("""COMPUTED_VALUE"""),1.0622203649698536)</f>
        <v>1.062220365</v>
      </c>
      <c r="AJ821" s="82">
        <f>IFERROR(__xludf.DUMMYFUNCTION("""COMPUTED_VALUE"""),1.1621177590058116)</f>
        <v>1.162117759</v>
      </c>
      <c r="AK821" s="82">
        <f>IFERROR(__xludf.DUMMYFUNCTION("""COMPUTED_VALUE"""),1.2156687022027863)</f>
        <v>1.215668702</v>
      </c>
      <c r="AL821" s="82">
        <f>IFERROR(__xludf.DUMMYFUNCTION("""COMPUTED_VALUE"""),1.0353425631329505)</f>
        <v>1.035342563</v>
      </c>
      <c r="AM821" s="82">
        <f>IFERROR(__xludf.DUMMYFUNCTION("""COMPUTED_VALUE"""),1.0581683369597372)</f>
        <v>1.058168337</v>
      </c>
      <c r="AN821" s="82">
        <f>IFERROR(__xludf.DUMMYFUNCTION("""COMPUTED_VALUE"""),1.1865709973946836)</f>
        <v>1.186570997</v>
      </c>
      <c r="AO821" s="82">
        <f>IFERROR(__xludf.DUMMYFUNCTION("""COMPUTED_VALUE"""),1.4106533726012151)</f>
        <v>1.410653373</v>
      </c>
      <c r="AP821" s="82">
        <f>IFERROR(__xludf.DUMMYFUNCTION("""COMPUTED_VALUE"""),1.126084154375745)</f>
        <v>1.126084154</v>
      </c>
      <c r="AQ821" s="82">
        <f>IFERROR(__xludf.DUMMYFUNCTION("""COMPUTED_VALUE"""),0.9771428922579954)</f>
        <v>0.9771428923</v>
      </c>
      <c r="AR821" s="82">
        <f>IFERROR(__xludf.DUMMYFUNCTION("""COMPUTED_VALUE"""),1.2680245351829966)</f>
        <v>1.268024535</v>
      </c>
      <c r="AS821" s="82">
        <f>IFERROR(__xludf.DUMMYFUNCTION("""COMPUTED_VALUE"""),68.0)</f>
        <v>68</v>
      </c>
      <c r="AT821" s="82">
        <f>IFERROR(__xludf.DUMMYFUNCTION("""COMPUTED_VALUE"""),0.488547869087821)</f>
        <v>0.4885478691</v>
      </c>
      <c r="AU821" s="82">
        <f>IFERROR(__xludf.DUMMYFUNCTION("""COMPUTED_VALUE"""),3.2245985984020797)</f>
        <v>3.224598598</v>
      </c>
      <c r="AV821" s="82">
        <f>IFERROR(__xludf.DUMMYFUNCTION("""COMPUTED_VALUE"""),73.90027107860345)</f>
        <v>73.90027108</v>
      </c>
      <c r="AW821" s="82">
        <f t="shared" si="1"/>
        <v>5.898543466</v>
      </c>
      <c r="AX821" s="83">
        <f t="array" ref="AX821">IFERROR(DGET('SBV Import'!A:G,"SBV",{"RSC ID","Tier";B821,A821}))</f>
        <v>73.98565891</v>
      </c>
      <c r="AY821" s="82">
        <f t="shared" si="2"/>
        <v>5.928666238</v>
      </c>
      <c r="AZ821" s="82">
        <v>0.030122772077019633</v>
      </c>
      <c r="BA821" s="84">
        <v>800.0</v>
      </c>
      <c r="BB821" s="84" t="b">
        <f>IFERROR(__xludf.DUMMYFUNCTION("iferror(if(A821="""",,E821&gt;=FILTER(Constants!$F$2:$F$10,Constants!$A$2:$A$10=A821)))"),TRUE)</f>
        <v>1</v>
      </c>
    </row>
    <row r="822">
      <c r="A822" s="80" t="str">
        <f>IFERROR(__xludf.DUMMYFUNCTION("""COMPUTED_VALUE"""),"Elite")</f>
        <v>Elite</v>
      </c>
      <c r="B822" s="73" t="str">
        <f>IFERROR(__xludf.DUMMYFUNCTION("""COMPUTED_VALUE"""),"RSC000623")</f>
        <v>RSC000623</v>
      </c>
      <c r="C822" s="73" t="str">
        <f>IFERROR(__xludf.DUMMYFUNCTION("""COMPUTED_VALUE"""),"wall2wall3")</f>
        <v>wall2wall3</v>
      </c>
      <c r="D822" s="73" t="str">
        <f>IFERROR(__xludf.DUMMYFUNCTION("""COMPUTED_VALUE"""),"Cyclones")</f>
        <v>Cyclones</v>
      </c>
      <c r="E822" s="82">
        <f>IFERROR(__xludf.DUMMYFUNCTION("""COMPUTED_VALUE"""),48.0)</f>
        <v>48</v>
      </c>
      <c r="F822" s="82">
        <f>IFERROR(__xludf.DUMMYFUNCTION("""COMPUTED_VALUE"""),27.0)</f>
        <v>27</v>
      </c>
      <c r="G822" s="82">
        <f>IFERROR(__xludf.DUMMYFUNCTION("""COMPUTED_VALUE"""),21.0)</f>
        <v>21</v>
      </c>
      <c r="H822" s="86">
        <f>IFERROR(__xludf.DUMMYFUNCTION("""COMPUTED_VALUE"""),0.5625)</f>
        <v>0.5625</v>
      </c>
      <c r="I822" s="86">
        <f>IFERROR(__xludf.DUMMYFUNCTION("""COMPUTED_VALUE"""),0.33783783783783783)</f>
        <v>0.3378378378</v>
      </c>
      <c r="J822" s="82">
        <f>IFERROR(__xludf.DUMMYFUNCTION("""COMPUTED_VALUE"""),408.6666666666667)</f>
        <v>408.6666667</v>
      </c>
      <c r="K822" s="82">
        <f>IFERROR(__xludf.DUMMYFUNCTION("""COMPUTED_VALUE"""),1.0416666666666667)</f>
        <v>1.041666667</v>
      </c>
      <c r="L822" s="82">
        <f>IFERROR(__xludf.DUMMYFUNCTION("""COMPUTED_VALUE"""),0.5208333333333334)</f>
        <v>0.5208333333</v>
      </c>
      <c r="M822" s="82">
        <f>IFERROR(__xludf.DUMMYFUNCTION("""COMPUTED_VALUE"""),1.625)</f>
        <v>1.625</v>
      </c>
      <c r="N822" s="82">
        <f>IFERROR(__xludf.DUMMYFUNCTION("""COMPUTED_VALUE"""),3.0833333333333335)</f>
        <v>3.083333333</v>
      </c>
      <c r="O822" s="82">
        <f>IFERROR(__xludf.DUMMYFUNCTION("""COMPUTED_VALUE"""),364.00000000000006)</f>
        <v>364</v>
      </c>
      <c r="P822" s="82">
        <f>IFERROR(__xludf.DUMMYFUNCTION("""COMPUTED_VALUE"""),0.7083333333333335)</f>
        <v>0.7083333333</v>
      </c>
      <c r="Q822" s="82">
        <f>IFERROR(__xludf.DUMMYFUNCTION("""COMPUTED_VALUE"""),0.5138888888888891)</f>
        <v>0.5138888889</v>
      </c>
      <c r="R822" s="82">
        <f>IFERROR(__xludf.DUMMYFUNCTION("""COMPUTED_VALUE"""),1.6180555555555556)</f>
        <v>1.618055556</v>
      </c>
      <c r="S822" s="82">
        <f>IFERROR(__xludf.DUMMYFUNCTION("""COMPUTED_VALUE"""),2.715277777777778)</f>
        <v>2.715277778</v>
      </c>
      <c r="T822" s="82">
        <f>IFERROR(__xludf.DUMMYFUNCTION("""COMPUTED_VALUE"""),359.41140749798063)</f>
        <v>359.4114075</v>
      </c>
      <c r="U822" s="82">
        <f>IFERROR(__xludf.DUMMYFUNCTION("""COMPUTED_VALUE"""),0.7549229969337804)</f>
        <v>0.7549229969</v>
      </c>
      <c r="V822" s="82">
        <f>IFERROR(__xludf.DUMMYFUNCTION("""COMPUTED_VALUE"""),0.5437342157226168)</f>
        <v>0.5437342157</v>
      </c>
      <c r="W822" s="82">
        <f>IFERROR(__xludf.DUMMYFUNCTION("""COMPUTED_VALUE"""),1.4738205500558317)</f>
        <v>1.47382055</v>
      </c>
      <c r="X822" s="82">
        <f>IFERROR(__xludf.DUMMYFUNCTION("""COMPUTED_VALUE"""),2.6426357128608866)</f>
        <v>2.642635713</v>
      </c>
      <c r="Y822" s="82">
        <f>IFERROR(__xludf.DUMMYFUNCTION("""COMPUTED_VALUE"""),371.07287066861454)</f>
        <v>371.0728707</v>
      </c>
      <c r="Z822" s="82">
        <f>IFERROR(__xludf.DUMMYFUNCTION("""COMPUTED_VALUE"""),0.828389339893238)</f>
        <v>0.8283893399</v>
      </c>
      <c r="AA822" s="82">
        <f>IFERROR(__xludf.DUMMYFUNCTION("""COMPUTED_VALUE"""),0.6324081470329085)</f>
        <v>0.632408147</v>
      </c>
      <c r="AB822" s="82">
        <f>IFERROR(__xludf.DUMMYFUNCTION("""COMPUTED_VALUE"""),1.430440744037018)</f>
        <v>1.430440744</v>
      </c>
      <c r="AC822" s="82">
        <f>IFERROR(__xludf.DUMMYFUNCTION("""COMPUTED_VALUE"""),2.7530174881342018)</f>
        <v>2.753017488</v>
      </c>
      <c r="AD822" s="82">
        <f>IFERROR(__xludf.DUMMYFUNCTION("""COMPUTED_VALUE"""),1.101311087308307)</f>
        <v>1.101311087</v>
      </c>
      <c r="AE822" s="82">
        <f>IFERROR(__xludf.DUMMYFUNCTION("""COMPUTED_VALUE"""),1.2574602502742438)</f>
        <v>1.25746025</v>
      </c>
      <c r="AF822" s="82">
        <f>IFERROR(__xludf.DUMMYFUNCTION("""COMPUTED_VALUE"""),0.8235715111782563)</f>
        <v>0.8235715112</v>
      </c>
      <c r="AG822" s="82">
        <f>IFERROR(__xludf.DUMMYFUNCTION("""COMPUTED_VALUE"""),1.1360135026732343)</f>
        <v>1.136013503</v>
      </c>
      <c r="AH822" s="82">
        <f>IFERROR(__xludf.DUMMYFUNCTION("""COMPUTED_VALUE"""),1.1199831990253706)</f>
        <v>1.119983199</v>
      </c>
      <c r="AI822" s="82">
        <f>IFERROR(__xludf.DUMMYFUNCTION("""COMPUTED_VALUE"""),1.0127669640036263)</f>
        <v>1.012766964</v>
      </c>
      <c r="AJ822" s="82">
        <f>IFERROR(__xludf.DUMMYFUNCTION("""COMPUTED_VALUE"""),0.9382855419828552)</f>
        <v>0.938285542</v>
      </c>
      <c r="AK822" s="82">
        <f>IFERROR(__xludf.DUMMYFUNCTION("""COMPUTED_VALUE"""),0.9451104492402347)</f>
        <v>0.9451104492</v>
      </c>
      <c r="AL822" s="82">
        <f>IFERROR(__xludf.DUMMYFUNCTION("""COMPUTED_VALUE"""),1.0978646996707027)</f>
        <v>1.0978647</v>
      </c>
      <c r="AM822" s="82">
        <f>IFERROR(__xludf.DUMMYFUNCTION("""COMPUTED_VALUE"""),1.0274884898298184)</f>
        <v>1.02748849</v>
      </c>
      <c r="AN822" s="82">
        <f>IFERROR(__xludf.DUMMYFUNCTION("""COMPUTED_VALUE"""),1.165653880453431)</f>
        <v>1.16565388</v>
      </c>
      <c r="AO822" s="82">
        <f>IFERROR(__xludf.DUMMYFUNCTION("""COMPUTED_VALUE"""),1.4694305964595993)</f>
        <v>1.469430596</v>
      </c>
      <c r="AP822" s="82">
        <f>IFERROR(__xludf.DUMMYFUNCTION("""COMPUTED_VALUE"""),0.9123366991470155)</f>
        <v>0.9123366991</v>
      </c>
      <c r="AQ822" s="82">
        <f>IFERROR(__xludf.DUMMYFUNCTION("""COMPUTED_VALUE"""),1.1400000409676614)</f>
        <v>1.140000041</v>
      </c>
      <c r="AR822" s="82">
        <f>IFERROR(__xludf.DUMMYFUNCTION("""COMPUTED_VALUE"""),1.2300312906831319)</f>
        <v>1.230031291</v>
      </c>
      <c r="AS822" s="82">
        <f>IFERROR(__xludf.DUMMYFUNCTION("""COMPUTED_VALUE"""),116.0)</f>
        <v>116</v>
      </c>
      <c r="AT822" s="82">
        <f>IFERROR(__xludf.DUMMYFUNCTION("""COMPUTED_VALUE"""),0.549480792435585)</f>
        <v>0.5494807924</v>
      </c>
      <c r="AU822" s="82">
        <f>IFERROR(__xludf.DUMMYFUNCTION("""COMPUTED_VALUE"""),3.1837261601926707)</f>
        <v>3.18372616</v>
      </c>
      <c r="AV822" s="82">
        <f>IFERROR(__xludf.DUMMYFUNCTION("""COMPUTED_VALUE"""),72.72460756090064)</f>
        <v>72.72460756</v>
      </c>
      <c r="AW822" s="82">
        <f t="shared" si="1"/>
        <v>5.504207236</v>
      </c>
      <c r="AX822" s="83">
        <f t="array" ref="AX822">IFERROR(DGET('SBV Import'!A:G,"SBV",{"RSC ID","Tier";B822,A822}))</f>
        <v>60.1235128</v>
      </c>
      <c r="AY822" s="82">
        <f t="shared" si="2"/>
        <v>2.917488018</v>
      </c>
      <c r="AZ822" s="82">
        <v>2.58671921759865</v>
      </c>
      <c r="BA822" s="84">
        <v>800.0</v>
      </c>
      <c r="BB822" s="84" t="b">
        <f>IFERROR(__xludf.DUMMYFUNCTION("iferror(if(A822="""",,E822&gt;=FILTER(Constants!$F$2:$F$10,Constants!$A$2:$A$10=A822)))"),TRUE)</f>
        <v>1</v>
      </c>
    </row>
    <row r="823">
      <c r="A823" s="80" t="str">
        <f>IFERROR(__xludf.DUMMYFUNCTION("""COMPUTED_VALUE"""),"Elite")</f>
        <v>Elite</v>
      </c>
      <c r="B823" s="73" t="str">
        <f>IFERROR(__xludf.DUMMYFUNCTION("""COMPUTED_VALUE"""),"RSC007382")</f>
        <v>RSC007382</v>
      </c>
      <c r="C823" s="73" t="str">
        <f>IFERROR(__xludf.DUMMYFUNCTION("""COMPUTED_VALUE"""),"takeeover")</f>
        <v>takeeover</v>
      </c>
      <c r="D823" s="73" t="str">
        <f>IFERROR(__xludf.DUMMYFUNCTION("""COMPUTED_VALUE"""),"Afterburners")</f>
        <v>Afterburners</v>
      </c>
      <c r="E823" s="82">
        <f>IFERROR(__xludf.DUMMYFUNCTION("""COMPUTED_VALUE"""),48.0)</f>
        <v>48</v>
      </c>
      <c r="F823" s="82">
        <f>IFERROR(__xludf.DUMMYFUNCTION("""COMPUTED_VALUE"""),28.0)</f>
        <v>28</v>
      </c>
      <c r="G823" s="82">
        <f>IFERROR(__xludf.DUMMYFUNCTION("""COMPUTED_VALUE"""),20.0)</f>
        <v>20</v>
      </c>
      <c r="H823" s="86">
        <f>IFERROR(__xludf.DUMMYFUNCTION("""COMPUTED_VALUE"""),0.5833333333333334)</f>
        <v>0.5833333333</v>
      </c>
      <c r="I823" s="86">
        <f>IFERROR(__xludf.DUMMYFUNCTION("""COMPUTED_VALUE"""),0.2589928057553957)</f>
        <v>0.2589928058</v>
      </c>
      <c r="J823" s="82">
        <f>IFERROR(__xludf.DUMMYFUNCTION("""COMPUTED_VALUE"""),411.7083333333333)</f>
        <v>411.7083333</v>
      </c>
      <c r="K823" s="82">
        <f>IFERROR(__xludf.DUMMYFUNCTION("""COMPUTED_VALUE"""),0.75)</f>
        <v>0.75</v>
      </c>
      <c r="L823" s="82">
        <f>IFERROR(__xludf.DUMMYFUNCTION("""COMPUTED_VALUE"""),0.9375)</f>
        <v>0.9375</v>
      </c>
      <c r="M823" s="82">
        <f>IFERROR(__xludf.DUMMYFUNCTION("""COMPUTED_VALUE"""),1.7708333333333333)</f>
        <v>1.770833333</v>
      </c>
      <c r="N823" s="82">
        <f>IFERROR(__xludf.DUMMYFUNCTION("""COMPUTED_VALUE"""),2.8958333333333335)</f>
        <v>2.895833333</v>
      </c>
      <c r="O823" s="82">
        <f>IFERROR(__xludf.DUMMYFUNCTION("""COMPUTED_VALUE"""),358.77777777777766)</f>
        <v>358.7777778</v>
      </c>
      <c r="P823" s="82">
        <f>IFERROR(__xludf.DUMMYFUNCTION("""COMPUTED_VALUE"""),0.7291666666666666)</f>
        <v>0.7291666667</v>
      </c>
      <c r="Q823" s="82">
        <f>IFERROR(__xludf.DUMMYFUNCTION("""COMPUTED_VALUE"""),0.5277777777777778)</f>
        <v>0.5277777778</v>
      </c>
      <c r="R823" s="82">
        <f>IFERROR(__xludf.DUMMYFUNCTION("""COMPUTED_VALUE"""),1.5972222222222225)</f>
        <v>1.597222222</v>
      </c>
      <c r="S823" s="82">
        <f>IFERROR(__xludf.DUMMYFUNCTION("""COMPUTED_VALUE"""),2.5000000000000004)</f>
        <v>2.5</v>
      </c>
      <c r="T823" s="82">
        <f>IFERROR(__xludf.DUMMYFUNCTION("""COMPUTED_VALUE"""),357.3541955190107)</f>
        <v>357.3541955</v>
      </c>
      <c r="U823" s="82">
        <f>IFERROR(__xludf.DUMMYFUNCTION("""COMPUTED_VALUE"""),0.7649948953431198)</f>
        <v>0.7649948953</v>
      </c>
      <c r="V823" s="82">
        <f>IFERROR(__xludf.DUMMYFUNCTION("""COMPUTED_VALUE"""),0.5671636293459748)</f>
        <v>0.5671636293</v>
      </c>
      <c r="W823" s="82">
        <f>IFERROR(__xludf.DUMMYFUNCTION("""COMPUTED_VALUE"""),1.4477307557775758)</f>
        <v>1.447730756</v>
      </c>
      <c r="X823" s="82">
        <f>IFERROR(__xludf.DUMMYFUNCTION("""COMPUTED_VALUE"""),2.5625716291990908)</f>
        <v>2.562571629</v>
      </c>
      <c r="Y823" s="82">
        <f>IFERROR(__xludf.DUMMYFUNCTION("""COMPUTED_VALUE"""),370.12343903156665)</f>
        <v>370.123439</v>
      </c>
      <c r="Z823" s="82">
        <f>IFERROR(__xludf.DUMMYFUNCTION("""COMPUTED_VALUE"""),0.8525664723919281)</f>
        <v>0.8525664724</v>
      </c>
      <c r="AA823" s="82">
        <f>IFERROR(__xludf.DUMMYFUNCTION("""COMPUTED_VALUE"""),0.6466378723098416)</f>
        <v>0.6466378723</v>
      </c>
      <c r="AB823" s="82">
        <f>IFERROR(__xludf.DUMMYFUNCTION("""COMPUTED_VALUE"""),1.3774224711399166)</f>
        <v>1.377422471</v>
      </c>
      <c r="AC823" s="82">
        <f>IFERROR(__xludf.DUMMYFUNCTION("""COMPUTED_VALUE"""),2.76781728934535)</f>
        <v>2.767817289</v>
      </c>
      <c r="AD823" s="82">
        <f>IFERROR(__xludf.DUMMYFUNCTION("""COMPUTED_VALUE"""),1.1123541227504374)</f>
        <v>1.112354123</v>
      </c>
      <c r="AE823" s="82">
        <f>IFERROR(__xludf.DUMMYFUNCTION("""COMPUTED_VALUE"""),0.8796968028731279)</f>
        <v>0.8796968029</v>
      </c>
      <c r="AF823" s="82">
        <f>IFERROR(__xludf.DUMMYFUNCTION("""COMPUTED_VALUE"""),1.449806824105702)</f>
        <v>1.449806824</v>
      </c>
      <c r="AG823" s="82">
        <f>IFERROR(__xludf.DUMMYFUNCTION("""COMPUTED_VALUE"""),1.2856137971002033)</f>
        <v>1.285613797</v>
      </c>
      <c r="AH823" s="82">
        <f>IFERROR(__xludf.DUMMYFUNCTION("""COMPUTED_VALUE"""),1.0462516237906232)</f>
        <v>1.046251624</v>
      </c>
      <c r="AI823" s="82">
        <f>IFERROR(__xludf.DUMMYFUNCTION("""COMPUTED_VALUE"""),1.0039836729961975)</f>
        <v>1.003983673</v>
      </c>
      <c r="AJ823" s="82">
        <f>IFERROR(__xludf.DUMMYFUNCTION("""COMPUTED_VALUE"""),0.9531654016326693)</f>
        <v>0.9531654016</v>
      </c>
      <c r="AK823" s="82">
        <f>IFERROR(__xludf.DUMMYFUNCTION("""COMPUTED_VALUE"""),0.9305564575542075)</f>
        <v>0.9305564576</v>
      </c>
      <c r="AL823" s="82">
        <f>IFERROR(__xludf.DUMMYFUNCTION("""COMPUTED_VALUE"""),1.1032591632443112)</f>
        <v>1.103259163</v>
      </c>
      <c r="AM823" s="82">
        <f>IFERROR(__xludf.DUMMYFUNCTION("""COMPUTED_VALUE"""),0.9755824857786916)</f>
        <v>0.9755824858</v>
      </c>
      <c r="AN823" s="82">
        <f>IFERROR(__xludf.DUMMYFUNCTION("""COMPUTED_VALUE"""),1.174329730093837)</f>
        <v>1.17432973</v>
      </c>
      <c r="AO823" s="82">
        <f>IFERROR(__xludf.DUMMYFUNCTION("""COMPUTED_VALUE"""),1.0579900294509115)</f>
        <v>1.057990029</v>
      </c>
      <c r="AP823" s="82">
        <f>IFERROR(__xludf.DUMMYFUNCTION("""COMPUTED_VALUE"""),1.6422060584646279)</f>
        <v>1.642206058</v>
      </c>
      <c r="AQ823" s="82">
        <f>IFERROR(__xludf.DUMMYFUNCTION("""COMPUTED_VALUE"""),1.2423077369519386)</f>
        <v>1.242307737</v>
      </c>
      <c r="AR823" s="82">
        <f>IFERROR(__xludf.DUMMYFUNCTION("""COMPUTED_VALUE"""),1.1552320905740223)</f>
        <v>1.155232091</v>
      </c>
      <c r="AS823" s="82">
        <f>IFERROR(__xludf.DUMMYFUNCTION("""COMPUTED_VALUE"""),136.0)</f>
        <v>136</v>
      </c>
      <c r="AT823" s="82">
        <f>IFERROR(__xludf.DUMMYFUNCTION("""COMPUTED_VALUE"""),0.6013430846598279)</f>
        <v>0.6013430847</v>
      </c>
      <c r="AU823" s="82">
        <f>IFERROR(__xludf.DUMMYFUNCTION("""COMPUTED_VALUE"""),3.179402224065811)</f>
        <v>3.179402224</v>
      </c>
      <c r="AV823" s="82">
        <f>IFERROR(__xludf.DUMMYFUNCTION("""COMPUTED_VALUE"""),72.60023294123198)</f>
        <v>72.60023294</v>
      </c>
      <c r="AW823" s="82">
        <f t="shared" si="1"/>
        <v>5.464623303</v>
      </c>
      <c r="AX823" s="83">
        <f t="array" ref="AX823">IFERROR(DGET('SBV Import'!A:G,"SBV",{"RSC ID","Tier";B823,A823}))</f>
        <v>67.57083701</v>
      </c>
      <c r="AY823" s="82">
        <f t="shared" si="2"/>
        <v>4.148004709</v>
      </c>
      <c r="AZ823" s="82">
        <v>1.3166185939077906</v>
      </c>
      <c r="BA823" s="84">
        <v>800.0</v>
      </c>
      <c r="BB823" s="84" t="b">
        <f>IFERROR(__xludf.DUMMYFUNCTION("iferror(if(A823="""",,E823&gt;=FILTER(Constants!$F$2:$F$10,Constants!$A$2:$A$10=A823)))"),TRUE)</f>
        <v>1</v>
      </c>
    </row>
    <row r="824">
      <c r="A824" s="80" t="str">
        <f>IFERROR(__xludf.DUMMYFUNCTION("""COMPUTED_VALUE"""),"Elite")</f>
        <v>Elite</v>
      </c>
      <c r="B824" s="73" t="str">
        <f>IFERROR(__xludf.DUMMYFUNCTION("""COMPUTED_VALUE"""),"RSC007895")</f>
        <v>RSC007895</v>
      </c>
      <c r="C824" s="73" t="str">
        <f>IFERROR(__xludf.DUMMYFUNCTION("""COMPUTED_VALUE"""),"Lup")</f>
        <v>Lup</v>
      </c>
      <c r="D824" s="73" t="str">
        <f>IFERROR(__xludf.DUMMYFUNCTION("""COMPUTED_VALUE"""),"Wyverns")</f>
        <v>Wyverns</v>
      </c>
      <c r="E824" s="82">
        <f>IFERROR(__xludf.DUMMYFUNCTION("""COMPUTED_VALUE"""),42.0)</f>
        <v>42</v>
      </c>
      <c r="F824" s="82">
        <f>IFERROR(__xludf.DUMMYFUNCTION("""COMPUTED_VALUE"""),22.0)</f>
        <v>22</v>
      </c>
      <c r="G824" s="82">
        <f>IFERROR(__xludf.DUMMYFUNCTION("""COMPUTED_VALUE"""),20.0)</f>
        <v>20</v>
      </c>
      <c r="H824" s="86">
        <f>IFERROR(__xludf.DUMMYFUNCTION("""COMPUTED_VALUE"""),0.5238095238095238)</f>
        <v>0.5238095238</v>
      </c>
      <c r="I824" s="86">
        <f>IFERROR(__xludf.DUMMYFUNCTION("""COMPUTED_VALUE"""),0.3170731707317073)</f>
        <v>0.3170731707</v>
      </c>
      <c r="J824" s="82">
        <f>IFERROR(__xludf.DUMMYFUNCTION("""COMPUTED_VALUE"""),385.6666666666667)</f>
        <v>385.6666667</v>
      </c>
      <c r="K824" s="82">
        <f>IFERROR(__xludf.DUMMYFUNCTION("""COMPUTED_VALUE"""),0.9285714285714286)</f>
        <v>0.9285714286</v>
      </c>
      <c r="L824" s="82">
        <f>IFERROR(__xludf.DUMMYFUNCTION("""COMPUTED_VALUE"""),0.5238095238095238)</f>
        <v>0.5238095238</v>
      </c>
      <c r="M824" s="82">
        <f>IFERROR(__xludf.DUMMYFUNCTION("""COMPUTED_VALUE"""),1.6428571428571428)</f>
        <v>1.642857143</v>
      </c>
      <c r="N824" s="82">
        <f>IFERROR(__xludf.DUMMYFUNCTION("""COMPUTED_VALUE"""),2.9285714285714284)</f>
        <v>2.928571429</v>
      </c>
      <c r="O824" s="82">
        <f>IFERROR(__xludf.DUMMYFUNCTION("""COMPUTED_VALUE"""),351.2142857142857)</f>
        <v>351.2142857</v>
      </c>
      <c r="P824" s="82">
        <f>IFERROR(__xludf.DUMMYFUNCTION("""COMPUTED_VALUE"""),0.6666666666666666)</f>
        <v>0.6666666667</v>
      </c>
      <c r="Q824" s="82">
        <f>IFERROR(__xludf.DUMMYFUNCTION("""COMPUTED_VALUE"""),0.5238095238095237)</f>
        <v>0.5238095238</v>
      </c>
      <c r="R824" s="82">
        <f>IFERROR(__xludf.DUMMYFUNCTION("""COMPUTED_VALUE"""),1.4841269841269842)</f>
        <v>1.484126984</v>
      </c>
      <c r="S824" s="82">
        <f>IFERROR(__xludf.DUMMYFUNCTION("""COMPUTED_VALUE"""),2.5714285714285716)</f>
        <v>2.571428571</v>
      </c>
      <c r="T824" s="82">
        <f>IFERROR(__xludf.DUMMYFUNCTION("""COMPUTED_VALUE"""),352.40637562465463)</f>
        <v>352.4063756</v>
      </c>
      <c r="U824" s="82">
        <f>IFERROR(__xludf.DUMMYFUNCTION("""COMPUTED_VALUE"""),0.7599169297648295)</f>
        <v>0.7599169298</v>
      </c>
      <c r="V824" s="82">
        <f>IFERROR(__xludf.DUMMYFUNCTION("""COMPUTED_VALUE"""),0.5765255685013113)</f>
        <v>0.5765255685</v>
      </c>
      <c r="W824" s="82">
        <f>IFERROR(__xludf.DUMMYFUNCTION("""COMPUTED_VALUE"""),1.3680526496561707)</f>
        <v>1.36805265</v>
      </c>
      <c r="X824" s="82">
        <f>IFERROR(__xludf.DUMMYFUNCTION("""COMPUTED_VALUE"""),2.6380185972453)</f>
        <v>2.638018597</v>
      </c>
      <c r="Y824" s="82">
        <f>IFERROR(__xludf.DUMMYFUNCTION("""COMPUTED_VALUE"""),353.723098590448)</f>
        <v>353.7230986</v>
      </c>
      <c r="Z824" s="82">
        <f>IFERROR(__xludf.DUMMYFUNCTION("""COMPUTED_VALUE"""),0.717787809102523)</f>
        <v>0.7177878091</v>
      </c>
      <c r="AA824" s="82">
        <f>IFERROR(__xludf.DUMMYFUNCTION("""COMPUTED_VALUE"""),0.5347500696343731)</f>
        <v>0.5347500696</v>
      </c>
      <c r="AB824" s="82">
        <f>IFERROR(__xludf.DUMMYFUNCTION("""COMPUTED_VALUE"""),1.47674004510047)</f>
        <v>1.476740045</v>
      </c>
      <c r="AC824" s="82">
        <f>IFERROR(__xludf.DUMMYFUNCTION("""COMPUTED_VALUE"""),2.5380812971029436)</f>
        <v>2.538081297</v>
      </c>
      <c r="AD824" s="82">
        <f>IFERROR(__xludf.DUMMYFUNCTION("""COMPUTED_VALUE"""),1.0903067065835133)</f>
        <v>1.090306707</v>
      </c>
      <c r="AE824" s="82">
        <f>IFERROR(__xludf.DUMMYFUNCTION("""COMPUTED_VALUE"""),1.2936572853368131)</f>
        <v>1.293657285</v>
      </c>
      <c r="AF824" s="82">
        <f>IFERROR(__xludf.DUMMYFUNCTION("""COMPUTED_VALUE"""),0.9795408239360684)</f>
        <v>0.9795408239</v>
      </c>
      <c r="AG824" s="82">
        <f>IFERROR(__xludf.DUMMYFUNCTION("""COMPUTED_VALUE"""),1.1124890587939402)</f>
        <v>1.112489059</v>
      </c>
      <c r="AH824" s="82">
        <f>IFERROR(__xludf.DUMMYFUNCTION("""COMPUTED_VALUE"""),1.1538524916101798)</f>
        <v>1.153852492</v>
      </c>
      <c r="AI824" s="82">
        <f>IFERROR(__xludf.DUMMYFUNCTION("""COMPUTED_VALUE"""),0.9966172861990482)</f>
        <v>0.9966172862</v>
      </c>
      <c r="AJ824" s="82">
        <f>IFERROR(__xludf.DUMMYFUNCTION("""COMPUTED_VALUE"""),0.8772888727100462)</f>
        <v>0.8772888727</v>
      </c>
      <c r="AK824" s="82">
        <f>IFERROR(__xludf.DUMMYFUNCTION("""COMPUTED_VALUE"""),0.9085625207762703)</f>
        <v>0.9085625208</v>
      </c>
      <c r="AL824" s="82">
        <f>IFERROR(__xludf.DUMMYFUNCTION("""COMPUTED_VALUE"""),1.0848463942524333)</f>
        <v>1.084846394</v>
      </c>
      <c r="AM824" s="82">
        <f>IFERROR(__xludf.DUMMYFUNCTION("""COMPUTED_VALUE"""),0.9747575601300674)</f>
        <v>0.9747575601</v>
      </c>
      <c r="AN824" s="82">
        <f>IFERROR(__xludf.DUMMYFUNCTION("""COMPUTED_VALUE"""),1.1000501955013213)</f>
        <v>1.100050196</v>
      </c>
      <c r="AO824" s="82">
        <f>IFERROR(__xludf.DUMMYFUNCTION("""COMPUTED_VALUE"""),1.3098924174154143)</f>
        <v>1.309892417</v>
      </c>
      <c r="AP824" s="82">
        <f>IFERROR(__xludf.DUMMYFUNCTION("""COMPUTED_VALUE"""),0.91755005171357)</f>
        <v>0.9175500517</v>
      </c>
      <c r="AQ824" s="82">
        <f>IFERROR(__xludf.DUMMYFUNCTION("""COMPUTED_VALUE"""),1.152527513945328)</f>
        <v>1.152527514</v>
      </c>
      <c r="AR824" s="82">
        <f>IFERROR(__xludf.DUMMYFUNCTION("""COMPUTED_VALUE"""),1.168292268370851)</f>
        <v>1.168292268</v>
      </c>
      <c r="AS824" s="82">
        <f>IFERROR(__xludf.DUMMYFUNCTION("""COMPUTED_VALUE"""),95.0)</f>
        <v>95</v>
      </c>
      <c r="AT824" s="82">
        <f>IFERROR(__xludf.DUMMYFUNCTION("""COMPUTED_VALUE"""),0.5465046605587687)</f>
        <v>0.5465046606</v>
      </c>
      <c r="AU824" s="82">
        <f>IFERROR(__xludf.DUMMYFUNCTION("""COMPUTED_VALUE"""),3.1535233247624888)</f>
        <v>3.153523325</v>
      </c>
      <c r="AV824" s="82">
        <f>IFERROR(__xludf.DUMMYFUNCTION("""COMPUTED_VALUE"""),71.85584676996078)</f>
        <v>71.85584677</v>
      </c>
      <c r="AW824" s="82">
        <f t="shared" si="1"/>
        <v>5.235726765</v>
      </c>
      <c r="AX824" s="83">
        <f t="array" ref="AX824">IFERROR(DGET('SBV Import'!A:G,"SBV",{"RSC ID","Tier";B824,A824}))</f>
        <v>60.61424309</v>
      </c>
      <c r="AY824" s="82">
        <f t="shared" si="2"/>
        <v>2.979958137</v>
      </c>
      <c r="AZ824" s="82">
        <v>2.2557686278512494</v>
      </c>
      <c r="BA824" s="84">
        <v>800.0</v>
      </c>
      <c r="BB824" s="84" t="b">
        <f>IFERROR(__xludf.DUMMYFUNCTION("iferror(if(A824="""",,E824&gt;=FILTER(Constants!$F$2:$F$10,Constants!$A$2:$A$10=A824)))"),TRUE)</f>
        <v>1</v>
      </c>
    </row>
    <row r="825">
      <c r="A825" s="80" t="str">
        <f>IFERROR(__xludf.DUMMYFUNCTION("""COMPUTED_VALUE"""),"Elite")</f>
        <v>Elite</v>
      </c>
      <c r="B825" s="73" t="str">
        <f>IFERROR(__xludf.DUMMYFUNCTION("""COMPUTED_VALUE"""),"RSC002498")</f>
        <v>RSC002498</v>
      </c>
      <c r="C825" s="73" t="str">
        <f>IFERROR(__xludf.DUMMYFUNCTION("""COMPUTED_VALUE"""),"Justin")</f>
        <v>Justin</v>
      </c>
      <c r="D825" s="73" t="str">
        <f>IFERROR(__xludf.DUMMYFUNCTION("""COMPUTED_VALUE"""),"Nightshade")</f>
        <v>Nightshade</v>
      </c>
      <c r="E825" s="82">
        <f>IFERROR(__xludf.DUMMYFUNCTION("""COMPUTED_VALUE"""),40.0)</f>
        <v>40</v>
      </c>
      <c r="F825" s="82">
        <f>IFERROR(__xludf.DUMMYFUNCTION("""COMPUTED_VALUE"""),25.0)</f>
        <v>25</v>
      </c>
      <c r="G825" s="82">
        <f>IFERROR(__xludf.DUMMYFUNCTION("""COMPUTED_VALUE"""),15.0)</f>
        <v>15</v>
      </c>
      <c r="H825" s="86">
        <f>IFERROR(__xludf.DUMMYFUNCTION("""COMPUTED_VALUE"""),0.625)</f>
        <v>0.625</v>
      </c>
      <c r="I825" s="86">
        <f>IFERROR(__xludf.DUMMYFUNCTION("""COMPUTED_VALUE"""),0.34453781512605036)</f>
        <v>0.3445378151</v>
      </c>
      <c r="J825" s="82">
        <f>IFERROR(__xludf.DUMMYFUNCTION("""COMPUTED_VALUE"""),364.725)</f>
        <v>364.725</v>
      </c>
      <c r="K825" s="82">
        <f>IFERROR(__xludf.DUMMYFUNCTION("""COMPUTED_VALUE"""),1.025)</f>
        <v>1.025</v>
      </c>
      <c r="L825" s="82">
        <f>IFERROR(__xludf.DUMMYFUNCTION("""COMPUTED_VALUE"""),0.575)</f>
        <v>0.575</v>
      </c>
      <c r="M825" s="82">
        <f>IFERROR(__xludf.DUMMYFUNCTION("""COMPUTED_VALUE"""),1.05)</f>
        <v>1.05</v>
      </c>
      <c r="N825" s="82">
        <f>IFERROR(__xludf.DUMMYFUNCTION("""COMPUTED_VALUE"""),2.975)</f>
        <v>2.975</v>
      </c>
      <c r="O825" s="82">
        <f>IFERROR(__xludf.DUMMYFUNCTION("""COMPUTED_VALUE"""),338.6166666666667)</f>
        <v>338.6166667</v>
      </c>
      <c r="P825" s="82">
        <f>IFERROR(__xludf.DUMMYFUNCTION("""COMPUTED_VALUE"""),0.6583333333333334)</f>
        <v>0.6583333333</v>
      </c>
      <c r="Q825" s="82">
        <f>IFERROR(__xludf.DUMMYFUNCTION("""COMPUTED_VALUE"""),0.5166666666666666)</f>
        <v>0.5166666667</v>
      </c>
      <c r="R825" s="82">
        <f>IFERROR(__xludf.DUMMYFUNCTION("""COMPUTED_VALUE"""),1.4083333333333332)</f>
        <v>1.408333333</v>
      </c>
      <c r="S825" s="82">
        <f>IFERROR(__xludf.DUMMYFUNCTION("""COMPUTED_VALUE"""),2.6333333333333333)</f>
        <v>2.633333333</v>
      </c>
      <c r="T825" s="82">
        <f>IFERROR(__xludf.DUMMYFUNCTION("""COMPUTED_VALUE"""),344.84370930770774)</f>
        <v>344.8437093</v>
      </c>
      <c r="U825" s="82">
        <f>IFERROR(__xludf.DUMMYFUNCTION("""COMPUTED_VALUE"""),0.7077187749571421)</f>
        <v>0.707718775</v>
      </c>
      <c r="V825" s="82">
        <f>IFERROR(__xludf.DUMMYFUNCTION("""COMPUTED_VALUE"""),0.5525580232936436)</f>
        <v>0.5525580233</v>
      </c>
      <c r="W825" s="82">
        <f>IFERROR(__xludf.DUMMYFUNCTION("""COMPUTED_VALUE"""),1.3541446721776222)</f>
        <v>1.354144672</v>
      </c>
      <c r="X825" s="82">
        <f>IFERROR(__xludf.DUMMYFUNCTION("""COMPUTED_VALUE"""),2.5431089825349145)</f>
        <v>2.543108983</v>
      </c>
      <c r="Y825" s="82">
        <f>IFERROR(__xludf.DUMMYFUNCTION("""COMPUTED_VALUE"""),363.9343787864508)</f>
        <v>363.9343788</v>
      </c>
      <c r="Z825" s="82">
        <f>IFERROR(__xludf.DUMMYFUNCTION("""COMPUTED_VALUE"""),0.8167703190330894)</f>
        <v>0.816770319</v>
      </c>
      <c r="AA825" s="82">
        <f>IFERROR(__xludf.DUMMYFUNCTION("""COMPUTED_VALUE"""),0.6261926843588487)</f>
        <v>0.6261926844</v>
      </c>
      <c r="AB825" s="82">
        <f>IFERROR(__xludf.DUMMYFUNCTION("""COMPUTED_VALUE"""),1.3691089572194737)</f>
        <v>1.369108957</v>
      </c>
      <c r="AC825" s="82">
        <f>IFERROR(__xludf.DUMMYFUNCTION("""COMPUTED_VALUE"""),2.677272320461094)</f>
        <v>2.67727232</v>
      </c>
      <c r="AD825" s="82">
        <f>IFERROR(__xludf.DUMMYFUNCTION("""COMPUTED_VALUE"""),1.0021724279420525)</f>
        <v>1.002172428</v>
      </c>
      <c r="AE825" s="82">
        <f>IFERROR(__xludf.DUMMYFUNCTION("""COMPUTED_VALUE"""),1.254942761893475)</f>
        <v>1.254942762</v>
      </c>
      <c r="AF825" s="82">
        <f>IFERROR(__xludf.DUMMYFUNCTION("""COMPUTED_VALUE"""),0.9182477125051943)</f>
        <v>0.9182477125</v>
      </c>
      <c r="AG825" s="82">
        <f>IFERROR(__xludf.DUMMYFUNCTION("""COMPUTED_VALUE"""),0.7669221609158465)</f>
        <v>0.7669221609</v>
      </c>
      <c r="AH825" s="82">
        <f>IFERROR(__xludf.DUMMYFUNCTION("""COMPUTED_VALUE"""),1.1112056017848906)</f>
        <v>1.111205602</v>
      </c>
      <c r="AI825" s="82">
        <f>IFERROR(__xludf.DUMMYFUNCTION("""COMPUTED_VALUE"""),0.9819424206590801)</f>
        <v>0.9819424207</v>
      </c>
      <c r="AJ825" s="82">
        <f>IFERROR(__xludf.DUMMYFUNCTION("""COMPUTED_VALUE"""),0.9302188335659184)</f>
        <v>0.9302188336</v>
      </c>
      <c r="AK825" s="82">
        <f>IFERROR(__xludf.DUMMYFUNCTION("""COMPUTED_VALUE"""),0.9350450900829588)</f>
        <v>0.9350450901</v>
      </c>
      <c r="AL825" s="82">
        <f>IFERROR(__xludf.DUMMYFUNCTION("""COMPUTED_VALUE"""),1.040016892041948)</f>
        <v>1.040016892</v>
      </c>
      <c r="AM825" s="82">
        <f>IFERROR(__xludf.DUMMYFUNCTION("""COMPUTED_VALUE"""),1.0354779725989114)</f>
        <v>1.035477973</v>
      </c>
      <c r="AN825" s="82">
        <f>IFERROR(__xludf.DUMMYFUNCTION("""COMPUTED_VALUE"""),1.0403175649634038)</f>
        <v>1.040317565</v>
      </c>
      <c r="AO825" s="82">
        <f>IFERROR(__xludf.DUMMYFUNCTION("""COMPUTED_VALUE"""),1.4459197069162455)</f>
        <v>1.445919707</v>
      </c>
      <c r="AP825" s="82">
        <f>IFERROR(__xludf.DUMMYFUNCTION("""COMPUTED_VALUE"""),1.0072197158583052)</f>
        <v>1.007219716</v>
      </c>
      <c r="AQ825" s="82">
        <f>IFERROR(__xludf.DUMMYFUNCTION("""COMPUTED_VALUE"""),0.7366154110867966)</f>
        <v>0.7366154111</v>
      </c>
      <c r="AR825" s="82">
        <f>IFERROR(__xludf.DUMMYFUNCTION("""COMPUTED_VALUE"""),1.1868139750645352)</f>
        <v>1.186813975</v>
      </c>
      <c r="AS825" s="82">
        <f>IFERROR(__xludf.DUMMYFUNCTION("""COMPUTED_VALUE"""),98.0)</f>
        <v>98</v>
      </c>
      <c r="AT825" s="82">
        <f>IFERROR(__xludf.DUMMYFUNCTION("""COMPUTED_VALUE"""),0.5818241100124103)</f>
        <v>0.58182411</v>
      </c>
      <c r="AU825" s="82">
        <f>IFERROR(__xludf.DUMMYFUNCTION("""COMPUTED_VALUE"""),3.1241956746835093)</f>
        <v>3.124195675</v>
      </c>
      <c r="AV825" s="82">
        <f>IFERROR(__xludf.DUMMYFUNCTION("""COMPUTED_VALUE"""),71.01225999686064)</f>
        <v>71.01226</v>
      </c>
      <c r="AW825" s="82">
        <f t="shared" si="1"/>
        <v>4.992093996</v>
      </c>
      <c r="AX825" s="83">
        <f t="array" ref="AX825">IFERROR(DGET('SBV Import'!A:G,"SBV",{"RSC ID","Tier";B825,A825}))</f>
        <v>56.73601161</v>
      </c>
      <c r="AY825" s="82">
        <f t="shared" si="2"/>
        <v>2.539389902</v>
      </c>
      <c r="AZ825" s="82">
        <v>2.4527040933291984</v>
      </c>
      <c r="BA825" s="84">
        <v>800.0</v>
      </c>
      <c r="BB825" s="84" t="b">
        <f>IFERROR(__xludf.DUMMYFUNCTION("iferror(if(A825="""",,E825&gt;=FILTER(Constants!$F$2:$F$10,Constants!$A$2:$A$10=A825)))"),TRUE)</f>
        <v>1</v>
      </c>
    </row>
    <row r="826">
      <c r="A826" s="80" t="str">
        <f>IFERROR(__xludf.DUMMYFUNCTION("""COMPUTED_VALUE"""),"Elite")</f>
        <v>Elite</v>
      </c>
      <c r="B826" s="73" t="str">
        <f>IFERROR(__xludf.DUMMYFUNCTION("""COMPUTED_VALUE"""),"RSC007836")</f>
        <v>RSC007836</v>
      </c>
      <c r="C826" s="73" t="str">
        <f>IFERROR(__xludf.DUMMYFUNCTION("""COMPUTED_VALUE"""),"Eclipse")</f>
        <v>Eclipse</v>
      </c>
      <c r="D826" s="73" t="str">
        <f>IFERROR(__xludf.DUMMYFUNCTION("""COMPUTED_VALUE"""),"Great Whites")</f>
        <v>Great Whites</v>
      </c>
      <c r="E826" s="82">
        <f>IFERROR(__xludf.DUMMYFUNCTION("""COMPUTED_VALUE"""),44.0)</f>
        <v>44</v>
      </c>
      <c r="F826" s="82">
        <f>IFERROR(__xludf.DUMMYFUNCTION("""COMPUTED_VALUE"""),32.0)</f>
        <v>32</v>
      </c>
      <c r="G826" s="82">
        <f>IFERROR(__xludf.DUMMYFUNCTION("""COMPUTED_VALUE"""),12.0)</f>
        <v>12</v>
      </c>
      <c r="H826" s="86">
        <f>IFERROR(__xludf.DUMMYFUNCTION("""COMPUTED_VALUE"""),0.7272727272727273)</f>
        <v>0.7272727273</v>
      </c>
      <c r="I826" s="86">
        <f>IFERROR(__xludf.DUMMYFUNCTION("""COMPUTED_VALUE"""),0.3482142857142857)</f>
        <v>0.3482142857</v>
      </c>
      <c r="J826" s="82">
        <f>IFERROR(__xludf.DUMMYFUNCTION("""COMPUTED_VALUE"""),358.8181818181818)</f>
        <v>358.8181818</v>
      </c>
      <c r="K826" s="82">
        <f>IFERROR(__xludf.DUMMYFUNCTION("""COMPUTED_VALUE"""),0.8863636363636364)</f>
        <v>0.8863636364</v>
      </c>
      <c r="L826" s="82">
        <f>IFERROR(__xludf.DUMMYFUNCTION("""COMPUTED_VALUE"""),0.7272727272727273)</f>
        <v>0.7272727273</v>
      </c>
      <c r="M826" s="82">
        <f>IFERROR(__xludf.DUMMYFUNCTION("""COMPUTED_VALUE"""),1.2045454545454546)</f>
        <v>1.204545455</v>
      </c>
      <c r="N826" s="82">
        <f>IFERROR(__xludf.DUMMYFUNCTION("""COMPUTED_VALUE"""),2.5454545454545454)</f>
        <v>2.545454545</v>
      </c>
      <c r="O826" s="82">
        <f>IFERROR(__xludf.DUMMYFUNCTION("""COMPUTED_VALUE"""),310.6363636363637)</f>
        <v>310.6363636</v>
      </c>
      <c r="P826" s="82">
        <f>IFERROR(__xludf.DUMMYFUNCTION("""COMPUTED_VALUE"""),0.5227272727272726)</f>
        <v>0.5227272727</v>
      </c>
      <c r="Q826" s="82">
        <f>IFERROR(__xludf.DUMMYFUNCTION("""COMPUTED_VALUE"""),0.40151515151515155)</f>
        <v>0.4015151515</v>
      </c>
      <c r="R826" s="82">
        <f>IFERROR(__xludf.DUMMYFUNCTION("""COMPUTED_VALUE"""),1.4696969696969695)</f>
        <v>1.46969697</v>
      </c>
      <c r="S826" s="82">
        <f>IFERROR(__xludf.DUMMYFUNCTION("""COMPUTED_VALUE"""),2.0984848484848486)</f>
        <v>2.098484848</v>
      </c>
      <c r="T826" s="82">
        <f>IFERROR(__xludf.DUMMYFUNCTION("""COMPUTED_VALUE"""),357.2612314906027)</f>
        <v>357.2612315</v>
      </c>
      <c r="U826" s="82">
        <f>IFERROR(__xludf.DUMMYFUNCTION("""COMPUTED_VALUE"""),0.7368969019386431)</f>
        <v>0.7368969019</v>
      </c>
      <c r="V826" s="82">
        <f>IFERROR(__xludf.DUMMYFUNCTION("""COMPUTED_VALUE"""),0.5127175970144754)</f>
        <v>0.512717597</v>
      </c>
      <c r="W826" s="82">
        <f>IFERROR(__xludf.DUMMYFUNCTION("""COMPUTED_VALUE"""),1.49640755987972)</f>
        <v>1.49640756</v>
      </c>
      <c r="X826" s="82">
        <f>IFERROR(__xludf.DUMMYFUNCTION("""COMPUTED_VALUE"""),2.6139990947055107)</f>
        <v>2.613999095</v>
      </c>
      <c r="Y826" s="82">
        <f>IFERROR(__xludf.DUMMYFUNCTION("""COMPUTED_VALUE"""),369.39955049800346)</f>
        <v>369.3995505</v>
      </c>
      <c r="Z826" s="82">
        <f>IFERROR(__xludf.DUMMYFUNCTION("""COMPUTED_VALUE"""),0.8063346001157611)</f>
        <v>0.8063346001</v>
      </c>
      <c r="AA826" s="82">
        <f>IFERROR(__xludf.DUMMYFUNCTION("""COMPUTED_VALUE"""),0.6255945767494148)</f>
        <v>0.6255945767</v>
      </c>
      <c r="AB826" s="82">
        <f>IFERROR(__xludf.DUMMYFUNCTION("""COMPUTED_VALUE"""),1.4411253621143305)</f>
        <v>1.441125362</v>
      </c>
      <c r="AC826" s="82">
        <f>IFERROR(__xludf.DUMMYFUNCTION("""COMPUTED_VALUE"""),2.759777356184519)</f>
        <v>2.759777356</v>
      </c>
      <c r="AD826" s="82">
        <f>IFERROR(__xludf.DUMMYFUNCTION("""COMPUTED_VALUE"""),0.9713552204772409)</f>
        <v>0.9713552205</v>
      </c>
      <c r="AE826" s="82">
        <f>IFERROR(__xludf.DUMMYFUNCTION("""COMPUTED_VALUE"""),1.099250405769994)</f>
        <v>1.099250406</v>
      </c>
      <c r="AF826" s="82">
        <f>IFERROR(__xludf.DUMMYFUNCTION("""COMPUTED_VALUE"""),1.1625304219413657)</f>
        <v>1.162530422</v>
      </c>
      <c r="AG826" s="82">
        <f>IFERROR(__xludf.DUMMYFUNCTION("""COMPUTED_VALUE"""),0.8358366913883325)</f>
        <v>0.8358366914</v>
      </c>
      <c r="AH826" s="82">
        <f>IFERROR(__xludf.DUMMYFUNCTION("""COMPUTED_VALUE"""),0.9223405430696476)</f>
        <v>0.9223405431</v>
      </c>
      <c r="AI826" s="82">
        <f>IFERROR(__xludf.DUMMYFUNCTION("""COMPUTED_VALUE"""),0.869493626107412)</f>
        <v>0.8694936261</v>
      </c>
      <c r="AJ826" s="82">
        <f>IFERROR(__xludf.DUMMYFUNCTION("""COMPUTED_VALUE"""),0.7093628312889785)</f>
        <v>0.7093628313</v>
      </c>
      <c r="AK826" s="82">
        <f>IFERROR(__xludf.DUMMYFUNCTION("""COMPUTED_VALUE"""),0.7831117048705775)</f>
        <v>0.7831117049</v>
      </c>
      <c r="AL826" s="82">
        <f>IFERROR(__xludf.DUMMYFUNCTION("""COMPUTED_VALUE"""),0.9821501902964875)</f>
        <v>0.9821501903</v>
      </c>
      <c r="AM826" s="82">
        <f>IFERROR(__xludf.DUMMYFUNCTION("""COMPUTED_VALUE"""),0.8027871366655009)</f>
        <v>0.8027871367</v>
      </c>
      <c r="AN826" s="82">
        <f>IFERROR(__xludf.DUMMYFUNCTION("""COMPUTED_VALUE"""),1.02346934587343)</f>
        <v>1.023469346</v>
      </c>
      <c r="AO826" s="82">
        <f>IFERROR(__xludf.DUMMYFUNCTION("""COMPUTED_VALUE"""),1.2503518529874407)</f>
        <v>1.250351853</v>
      </c>
      <c r="AP826" s="82">
        <f>IFERROR(__xludf.DUMMYFUNCTION("""COMPUTED_VALUE"""),1.2739537908089236)</f>
        <v>1.273953791</v>
      </c>
      <c r="AQ826" s="82">
        <f>IFERROR(__xludf.DUMMYFUNCTION("""COMPUTED_VALUE"""),0.8450349954026022)</f>
        <v>0.8450349954</v>
      </c>
      <c r="AR826" s="82">
        <f>IFERROR(__xludf.DUMMYFUNCTION("""COMPUTED_VALUE"""),1.0154558075418483)</f>
        <v>1.015455808</v>
      </c>
      <c r="AS826" s="82">
        <f>IFERROR(__xludf.DUMMYFUNCTION("""COMPUTED_VALUE"""),128.0)</f>
        <v>128</v>
      </c>
      <c r="AT826" s="82">
        <f>IFERROR(__xludf.DUMMYFUNCTION("""COMPUTED_VALUE"""),0.721138132592575)</f>
        <v>0.7211381326</v>
      </c>
      <c r="AU826" s="82">
        <f>IFERROR(__xludf.DUMMYFUNCTION("""COMPUTED_VALUE"""),3.1213349058611275)</f>
        <v>3.121334906</v>
      </c>
      <c r="AV826" s="82">
        <f>IFERROR(__xludf.DUMMYFUNCTION("""COMPUTED_VALUE"""),70.92997223316462)</f>
        <v>70.92997223</v>
      </c>
      <c r="AW826" s="82">
        <f t="shared" si="1"/>
        <v>4.969181365</v>
      </c>
      <c r="AX826" s="83">
        <f t="array" ref="AX826">IFERROR(DGET('SBV Import'!A:G,"SBV",{"RSC ID","Tier";B826,A826}))</f>
        <v>58.49794931</v>
      </c>
      <c r="AY826" s="82">
        <f t="shared" si="2"/>
        <v>2.725098959</v>
      </c>
      <c r="AZ826" s="82">
        <v>2.2440824055039528</v>
      </c>
      <c r="BA826" s="84">
        <v>800.0</v>
      </c>
      <c r="BB826" s="84" t="b">
        <f>IFERROR(__xludf.DUMMYFUNCTION("iferror(if(A826="""",,E826&gt;=FILTER(Constants!$F$2:$F$10,Constants!$A$2:$A$10=A826)))"),TRUE)</f>
        <v>1</v>
      </c>
    </row>
    <row r="827">
      <c r="A827" s="80" t="str">
        <f>IFERROR(__xludf.DUMMYFUNCTION("""COMPUTED_VALUE"""),"Elite")</f>
        <v>Elite</v>
      </c>
      <c r="B827" s="73" t="str">
        <f>IFERROR(__xludf.DUMMYFUNCTION("""COMPUTED_VALUE"""),"RSC003125")</f>
        <v>RSC003125</v>
      </c>
      <c r="C827" s="73" t="str">
        <f>IFERROR(__xludf.DUMMYFUNCTION("""COMPUTED_VALUE"""),"GrandPlat")</f>
        <v>GrandPlat</v>
      </c>
      <c r="D827" s="73" t="str">
        <f>IFERROR(__xludf.DUMMYFUNCTION("""COMPUTED_VALUE"""),"Despair")</f>
        <v>Despair</v>
      </c>
      <c r="E827" s="82">
        <f>IFERROR(__xludf.DUMMYFUNCTION("""COMPUTED_VALUE"""),43.0)</f>
        <v>43</v>
      </c>
      <c r="F827" s="82">
        <f>IFERROR(__xludf.DUMMYFUNCTION("""COMPUTED_VALUE"""),26.0)</f>
        <v>26</v>
      </c>
      <c r="G827" s="82">
        <f>IFERROR(__xludf.DUMMYFUNCTION("""COMPUTED_VALUE"""),17.0)</f>
        <v>17</v>
      </c>
      <c r="H827" s="86">
        <f>IFERROR(__xludf.DUMMYFUNCTION("""COMPUTED_VALUE"""),0.6046511627906976)</f>
        <v>0.6046511628</v>
      </c>
      <c r="I827" s="86">
        <f>IFERROR(__xludf.DUMMYFUNCTION("""COMPUTED_VALUE"""),0.3050847457627119)</f>
        <v>0.3050847458</v>
      </c>
      <c r="J827" s="82">
        <f>IFERROR(__xludf.DUMMYFUNCTION("""COMPUTED_VALUE"""),394.25581395348837)</f>
        <v>394.255814</v>
      </c>
      <c r="K827" s="82">
        <f>IFERROR(__xludf.DUMMYFUNCTION("""COMPUTED_VALUE"""),0.8372093023255814)</f>
        <v>0.8372093023</v>
      </c>
      <c r="L827" s="82">
        <f>IFERROR(__xludf.DUMMYFUNCTION("""COMPUTED_VALUE"""),0.7674418604651163)</f>
        <v>0.7674418605</v>
      </c>
      <c r="M827" s="82">
        <f>IFERROR(__xludf.DUMMYFUNCTION("""COMPUTED_VALUE"""),1.558139534883721)</f>
        <v>1.558139535</v>
      </c>
      <c r="N827" s="82">
        <f>IFERROR(__xludf.DUMMYFUNCTION("""COMPUTED_VALUE"""),2.744186046511628)</f>
        <v>2.744186047</v>
      </c>
      <c r="O827" s="82">
        <f>IFERROR(__xludf.DUMMYFUNCTION("""COMPUTED_VALUE"""),352.9534883720931)</f>
        <v>352.9534884</v>
      </c>
      <c r="P827" s="82">
        <f>IFERROR(__xludf.DUMMYFUNCTION("""COMPUTED_VALUE"""),0.6356589147286821)</f>
        <v>0.6356589147</v>
      </c>
      <c r="Q827" s="82">
        <f>IFERROR(__xludf.DUMMYFUNCTION("""COMPUTED_VALUE"""),0.4961240310077521)</f>
        <v>0.496124031</v>
      </c>
      <c r="R827" s="82">
        <f>IFERROR(__xludf.DUMMYFUNCTION("""COMPUTED_VALUE"""),1.5736434108527129)</f>
        <v>1.573643411</v>
      </c>
      <c r="S827" s="82">
        <f>IFERROR(__xludf.DUMMYFUNCTION("""COMPUTED_VALUE"""),2.5271317829457365)</f>
        <v>2.527131783</v>
      </c>
      <c r="T827" s="82">
        <f>IFERROR(__xludf.DUMMYFUNCTION("""COMPUTED_VALUE"""),357.81931121650166)</f>
        <v>357.8193112</v>
      </c>
      <c r="U827" s="82">
        <f>IFERROR(__xludf.DUMMYFUNCTION("""COMPUTED_VALUE"""),0.7174329057706658)</f>
        <v>0.7174329058</v>
      </c>
      <c r="V827" s="82">
        <f>IFERROR(__xludf.DUMMYFUNCTION("""COMPUTED_VALUE"""),0.5936120144854805)</f>
        <v>0.5936120145</v>
      </c>
      <c r="W827" s="82">
        <f>IFERROR(__xludf.DUMMYFUNCTION("""COMPUTED_VALUE"""),1.5173212905870799)</f>
        <v>1.517321291</v>
      </c>
      <c r="X827" s="82">
        <f>IFERROR(__xludf.DUMMYFUNCTION("""COMPUTED_VALUE"""),2.5755707684743805)</f>
        <v>2.575570768</v>
      </c>
      <c r="Y827" s="82">
        <f>IFERROR(__xludf.DUMMYFUNCTION("""COMPUTED_VALUE"""),367.01504151263833)</f>
        <v>367.0150415</v>
      </c>
      <c r="Z827" s="82">
        <f>IFERROR(__xludf.DUMMYFUNCTION("""COMPUTED_VALUE"""),0.8147413002533888)</f>
        <v>0.8147413003</v>
      </c>
      <c r="AA827" s="82">
        <f>IFERROR(__xludf.DUMMYFUNCTION("""COMPUTED_VALUE"""),0.6080285676921071)</f>
        <v>0.6080285677</v>
      </c>
      <c r="AB827" s="82">
        <f>IFERROR(__xludf.DUMMYFUNCTION("""COMPUTED_VALUE"""),1.399207470901182)</f>
        <v>1.399207471</v>
      </c>
      <c r="AC827" s="82">
        <f>IFERROR(__xludf.DUMMYFUNCTION("""COMPUTED_VALUE"""),2.7620032639903545)</f>
        <v>2.762003264</v>
      </c>
      <c r="AD827" s="82">
        <f>IFERROR(__xludf.DUMMYFUNCTION("""COMPUTED_VALUE"""),1.0742224959734028)</f>
        <v>1.074222496</v>
      </c>
      <c r="AE827" s="82">
        <f>IFERROR(__xludf.DUMMYFUNCTION("""COMPUTED_VALUE"""),1.0275768542299317)</f>
        <v>1.027576854</v>
      </c>
      <c r="AF827" s="82">
        <f>IFERROR(__xludf.DUMMYFUNCTION("""COMPUTED_VALUE"""),1.2621805968395432)</f>
        <v>1.262180597</v>
      </c>
      <c r="AG827" s="82">
        <f>IFERROR(__xludf.DUMMYFUNCTION("""COMPUTED_VALUE"""),1.1135872036762184)</f>
        <v>1.113587204</v>
      </c>
      <c r="AH827" s="82">
        <f>IFERROR(__xludf.DUMMYFUNCTION("""COMPUTED_VALUE"""),0.9935491685650706)</f>
        <v>0.9935491686</v>
      </c>
      <c r="AI827" s="82">
        <f>IFERROR(__xludf.DUMMYFUNCTION("""COMPUTED_VALUE"""),0.9864014526553474)</f>
        <v>0.9864014527</v>
      </c>
      <c r="AJ827" s="82">
        <f>IFERROR(__xludf.DUMMYFUNCTION("""COMPUTED_VALUE"""),0.886018622251314)</f>
        <v>0.8860186223</v>
      </c>
      <c r="AK827" s="82">
        <f>IFERROR(__xludf.DUMMYFUNCTION("""COMPUTED_VALUE"""),0.8357715458939503)</f>
        <v>0.8357715459</v>
      </c>
      <c r="AL827" s="82">
        <f>IFERROR(__xludf.DUMMYFUNCTION("""COMPUTED_VALUE"""),1.0371194424114625)</f>
        <v>1.037119442</v>
      </c>
      <c r="AM827" s="82">
        <f>IFERROR(__xludf.DUMMYFUNCTION("""COMPUTED_VALUE"""),0.9811929122190898)</f>
        <v>0.9811929122</v>
      </c>
      <c r="AN827" s="82">
        <f>IFERROR(__xludf.DUMMYFUNCTION("""COMPUTED_VALUE"""),1.1245493134409699)</f>
        <v>1.124549313</v>
      </c>
      <c r="AO827" s="82">
        <f>IFERROR(__xludf.DUMMYFUNCTION("""COMPUTED_VALUE"""),1.1810121258986919)</f>
        <v>1.181012126</v>
      </c>
      <c r="AP827" s="82">
        <f>IFERROR(__xludf.DUMMYFUNCTION("""COMPUTED_VALUE"""),1.3443175176268582)</f>
        <v>1.344317518</v>
      </c>
      <c r="AQ827" s="82">
        <f>IFERROR(__xludf.DUMMYFUNCTION("""COMPUTED_VALUE"""),1.0930948514466308)</f>
        <v>1.093094851</v>
      </c>
      <c r="AR827" s="82">
        <f>IFERROR(__xludf.DUMMYFUNCTION("""COMPUTED_VALUE"""),1.094735579891461)</f>
        <v>1.09473558</v>
      </c>
      <c r="AS827" s="82">
        <f>IFERROR(__xludf.DUMMYFUNCTION("""COMPUTED_VALUE"""),114.0)</f>
        <v>114</v>
      </c>
      <c r="AT827" s="82">
        <f>IFERROR(__xludf.DUMMYFUNCTION("""COMPUTED_VALUE"""),0.6246221212116913)</f>
        <v>0.6246221212</v>
      </c>
      <c r="AU827" s="82">
        <f>IFERROR(__xludf.DUMMYFUNCTION("""COMPUTED_VALUE"""),3.1048503594714143)</f>
        <v>3.104850359</v>
      </c>
      <c r="AV827" s="82">
        <f>IFERROR(__xludf.DUMMYFUNCTION("""COMPUTED_VALUE"""),70.4558072299179)</f>
        <v>70.45580723</v>
      </c>
      <c r="AW827" s="82">
        <f t="shared" si="1"/>
        <v>4.839983361</v>
      </c>
      <c r="AX827" s="83">
        <f t="array" ref="AX827">IFERROR(DGET('SBV Import'!A:G,"SBV",{"RSC ID","Tier";B827,A827}))</f>
        <v>62.87832752</v>
      </c>
      <c r="AY827" s="82">
        <f t="shared" si="2"/>
        <v>3.297826659</v>
      </c>
      <c r="AZ827" s="82">
        <v>1.5421567022193923</v>
      </c>
      <c r="BA827" s="84">
        <v>800.0</v>
      </c>
      <c r="BB827" s="84" t="b">
        <f>IFERROR(__xludf.DUMMYFUNCTION("iferror(if(A827="""",,E827&gt;=FILTER(Constants!$F$2:$F$10,Constants!$A$2:$A$10=A827)))"),TRUE)</f>
        <v>1</v>
      </c>
    </row>
    <row r="828">
      <c r="A828" s="80" t="str">
        <f>IFERROR(__xludf.DUMMYFUNCTION("""COMPUTED_VALUE"""),"Elite")</f>
        <v>Elite</v>
      </c>
      <c r="B828" s="73" t="str">
        <f>IFERROR(__xludf.DUMMYFUNCTION("""COMPUTED_VALUE"""),"RSC002097")</f>
        <v>RSC002097</v>
      </c>
      <c r="C828" s="73" t="str">
        <f>IFERROR(__xludf.DUMMYFUNCTION("""COMPUTED_VALUE"""),"NoobZ")</f>
        <v>NoobZ</v>
      </c>
      <c r="D828" s="73" t="str">
        <f>IFERROR(__xludf.DUMMYFUNCTION("""COMPUTED_VALUE"""),"Thrashers")</f>
        <v>Thrashers</v>
      </c>
      <c r="E828" s="82">
        <f>IFERROR(__xludf.DUMMYFUNCTION("""COMPUTED_VALUE"""),48.0)</f>
        <v>48</v>
      </c>
      <c r="F828" s="82">
        <f>IFERROR(__xludf.DUMMYFUNCTION("""COMPUTED_VALUE"""),29.0)</f>
        <v>29</v>
      </c>
      <c r="G828" s="82">
        <f>IFERROR(__xludf.DUMMYFUNCTION("""COMPUTED_VALUE"""),19.0)</f>
        <v>19</v>
      </c>
      <c r="H828" s="86">
        <f>IFERROR(__xludf.DUMMYFUNCTION("""COMPUTED_VALUE"""),0.6041666666666666)</f>
        <v>0.6041666667</v>
      </c>
      <c r="I828" s="86">
        <f>IFERROR(__xludf.DUMMYFUNCTION("""COMPUTED_VALUE"""),0.3157894736842105)</f>
        <v>0.3157894737</v>
      </c>
      <c r="J828" s="82">
        <f>IFERROR(__xludf.DUMMYFUNCTION("""COMPUTED_VALUE"""),358.375)</f>
        <v>358.375</v>
      </c>
      <c r="K828" s="82">
        <f>IFERROR(__xludf.DUMMYFUNCTION("""COMPUTED_VALUE"""),0.875)</f>
        <v>0.875</v>
      </c>
      <c r="L828" s="82">
        <f>IFERROR(__xludf.DUMMYFUNCTION("""COMPUTED_VALUE"""),0.7291666666666666)</f>
        <v>0.7291666667</v>
      </c>
      <c r="M828" s="82">
        <f>IFERROR(__xludf.DUMMYFUNCTION("""COMPUTED_VALUE"""),0.9791666666666666)</f>
        <v>0.9791666667</v>
      </c>
      <c r="N828" s="82">
        <f>IFERROR(__xludf.DUMMYFUNCTION("""COMPUTED_VALUE"""),2.7708333333333335)</f>
        <v>2.770833333</v>
      </c>
      <c r="O828" s="82">
        <f>IFERROR(__xludf.DUMMYFUNCTION("""COMPUTED_VALUE"""),367.125)</f>
        <v>367.125</v>
      </c>
      <c r="P828" s="82">
        <f>IFERROR(__xludf.DUMMYFUNCTION("""COMPUTED_VALUE"""),0.8263888888888887)</f>
        <v>0.8263888889</v>
      </c>
      <c r="Q828" s="82">
        <f>IFERROR(__xludf.DUMMYFUNCTION("""COMPUTED_VALUE"""),0.5902777777777778)</f>
        <v>0.5902777778</v>
      </c>
      <c r="R828" s="82">
        <f>IFERROR(__xludf.DUMMYFUNCTION("""COMPUTED_VALUE"""),1.5416666666666667)</f>
        <v>1.541666667</v>
      </c>
      <c r="S828" s="82">
        <f>IFERROR(__xludf.DUMMYFUNCTION("""COMPUTED_VALUE"""),2.4375)</f>
        <v>2.4375</v>
      </c>
      <c r="T828" s="82">
        <f>IFERROR(__xludf.DUMMYFUNCTION("""COMPUTED_VALUE"""),362.3278976752108)</f>
        <v>362.3278977</v>
      </c>
      <c r="U828" s="82">
        <f>IFERROR(__xludf.DUMMYFUNCTION("""COMPUTED_VALUE"""),0.7869802994226914)</f>
        <v>0.7869802994</v>
      </c>
      <c r="V828" s="82">
        <f>IFERROR(__xludf.DUMMYFUNCTION("""COMPUTED_VALUE"""),0.6088331276841656)</f>
        <v>0.6088331277</v>
      </c>
      <c r="W828" s="82">
        <f>IFERROR(__xludf.DUMMYFUNCTION("""COMPUTED_VALUE"""),1.417037600169829)</f>
        <v>1.4170376</v>
      </c>
      <c r="X828" s="82">
        <f>IFERROR(__xludf.DUMMYFUNCTION("""COMPUTED_VALUE"""),2.6432379253337057)</f>
        <v>2.643237925</v>
      </c>
      <c r="Y828" s="82">
        <f>IFERROR(__xludf.DUMMYFUNCTION("""COMPUTED_VALUE"""),353.04330751900625)</f>
        <v>353.0433075</v>
      </c>
      <c r="Z828" s="82">
        <f>IFERROR(__xludf.DUMMYFUNCTION("""COMPUTED_VALUE"""),0.7337792155586792)</f>
        <v>0.7337792156</v>
      </c>
      <c r="AA828" s="82">
        <f>IFERROR(__xludf.DUMMYFUNCTION("""COMPUTED_VALUE"""),0.5472720194130678)</f>
        <v>0.5472720194</v>
      </c>
      <c r="AB828" s="82">
        <f>IFERROR(__xludf.DUMMYFUNCTION("""COMPUTED_VALUE"""),1.4115004691492892)</f>
        <v>1.411500469</v>
      </c>
      <c r="AC828" s="82">
        <f>IFERROR(__xludf.DUMMYFUNCTION("""COMPUTED_VALUE"""),2.60754731959178)</f>
        <v>2.60754732</v>
      </c>
      <c r="AD828" s="82">
        <f>IFERROR(__xludf.DUMMYFUNCTION("""COMPUTED_VALUE"""),1.0151020919174534)</f>
        <v>1.015102092</v>
      </c>
      <c r="AE828" s="82">
        <f>IFERROR(__xludf.DUMMYFUNCTION("""COMPUTED_VALUE"""),1.1924567791604717)</f>
        <v>1.192456779</v>
      </c>
      <c r="AF828" s="82">
        <f>IFERROR(__xludf.DUMMYFUNCTION("""COMPUTED_VALUE"""),1.332366064409204)</f>
        <v>1.332366064</v>
      </c>
      <c r="AG828" s="82">
        <f>IFERROR(__xludf.DUMMYFUNCTION("""COMPUTED_VALUE"""),0.6937062282783442)</f>
        <v>0.6937062283</v>
      </c>
      <c r="AH828" s="82">
        <f>IFERROR(__xludf.DUMMYFUNCTION("""COMPUTED_VALUE"""),1.0626205371287822)</f>
        <v>1.062620537</v>
      </c>
      <c r="AI828" s="82">
        <f>IFERROR(__xludf.DUMMYFUNCTION("""COMPUTED_VALUE"""),1.0132396714566243)</f>
        <v>1.013239671</v>
      </c>
      <c r="AJ828" s="82">
        <f>IFERROR(__xludf.DUMMYFUNCTION("""COMPUTED_VALUE"""),1.0500757001097822)</f>
        <v>1.0500757</v>
      </c>
      <c r="AK828" s="82">
        <f>IFERROR(__xludf.DUMMYFUNCTION("""COMPUTED_VALUE"""),0.9695230941572327)</f>
        <v>0.9695230942</v>
      </c>
      <c r="AL828" s="82">
        <f>IFERROR(__xludf.DUMMYFUNCTION("""COMPUTED_VALUE"""),1.0879504301663563)</f>
        <v>1.08795043</v>
      </c>
      <c r="AM828" s="82">
        <f>IFERROR(__xludf.DUMMYFUNCTION("""COMPUTED_VALUE"""),0.9221644319787324)</f>
        <v>0.922164432</v>
      </c>
      <c r="AN828" s="82">
        <f>IFERROR(__xludf.DUMMYFUNCTION("""COMPUTED_VALUE"""),1.0222052432483648)</f>
        <v>1.022205243</v>
      </c>
      <c r="AO828" s="82">
        <f>IFERROR(__xludf.DUMMYFUNCTION("""COMPUTED_VALUE"""),1.2343217010260634)</f>
        <v>1.234321701</v>
      </c>
      <c r="AP828" s="82">
        <f>IFERROR(__xludf.DUMMYFUNCTION("""COMPUTED_VALUE"""),1.2772713788058216)</f>
        <v>1.277271379</v>
      </c>
      <c r="AQ828" s="82">
        <f>IFERROR(__xludf.DUMMYFUNCTION("""COMPUTED_VALUE"""),0.6869231016087191)</f>
        <v>0.6869231016</v>
      </c>
      <c r="AR828" s="82">
        <f>IFERROR(__xludf.DUMMYFUNCTION("""COMPUTED_VALUE"""),1.1053659571679495)</f>
        <v>1.105365957</v>
      </c>
      <c r="AS828" s="82">
        <f>IFERROR(__xludf.DUMMYFUNCTION("""COMPUTED_VALUE"""),134.0)</f>
        <v>134</v>
      </c>
      <c r="AT828" s="82">
        <f>IFERROR(__xludf.DUMMYFUNCTION("""COMPUTED_VALUE"""),0.5476769288218983)</f>
        <v>0.5476769288</v>
      </c>
      <c r="AU828" s="82">
        <f>IFERROR(__xludf.DUMMYFUNCTION("""COMPUTED_VALUE"""),3.0992797465776825)</f>
        <v>3.099279747</v>
      </c>
      <c r="AV828" s="82">
        <f>IFERROR(__xludf.DUMMYFUNCTION("""COMPUTED_VALUE"""),70.29557293420862)</f>
        <v>70.29557293</v>
      </c>
      <c r="AW828" s="82">
        <f t="shared" si="1"/>
        <v>4.797391179</v>
      </c>
      <c r="AX828" s="83">
        <f t="array" ref="AX828">IFERROR(DGET('SBV Import'!A:G,"SBV",{"RSC ID","Tier";B828,A828}))</f>
        <v>51.96350442</v>
      </c>
      <c r="AY828" s="82">
        <f t="shared" si="2"/>
        <v>2.133564618</v>
      </c>
      <c r="AZ828" s="82">
        <v>2.6638265618870665</v>
      </c>
      <c r="BA828" s="84">
        <v>800.0</v>
      </c>
      <c r="BB828" s="84" t="b">
        <f>IFERROR(__xludf.DUMMYFUNCTION("iferror(if(A828="""",,E828&gt;=FILTER(Constants!$F$2:$F$10,Constants!$A$2:$A$10=A828)))"),TRUE)</f>
        <v>1</v>
      </c>
    </row>
    <row r="829">
      <c r="A829" s="80" t="str">
        <f>IFERROR(__xludf.DUMMYFUNCTION("""COMPUTED_VALUE"""),"Elite")</f>
        <v>Elite</v>
      </c>
      <c r="B829" s="73" t="str">
        <f>IFERROR(__xludf.DUMMYFUNCTION("""COMPUTED_VALUE"""),"RSC007964")</f>
        <v>RSC007964</v>
      </c>
      <c r="C829" s="73" t="str">
        <f>IFERROR(__xludf.DUMMYFUNCTION("""COMPUTED_VALUE"""),"Buxter")</f>
        <v>Buxter</v>
      </c>
      <c r="D829" s="73" t="str">
        <f>IFERROR(__xludf.DUMMYFUNCTION("""COMPUTED_VALUE"""),"Afterburners")</f>
        <v>Afterburners</v>
      </c>
      <c r="E829" s="82">
        <f>IFERROR(__xludf.DUMMYFUNCTION("""COMPUTED_VALUE"""),37.0)</f>
        <v>37</v>
      </c>
      <c r="F829" s="82">
        <f>IFERROR(__xludf.DUMMYFUNCTION("""COMPUTED_VALUE"""),23.0)</f>
        <v>23</v>
      </c>
      <c r="G829" s="82">
        <f>IFERROR(__xludf.DUMMYFUNCTION("""COMPUTED_VALUE"""),14.0)</f>
        <v>14</v>
      </c>
      <c r="H829" s="86">
        <f>IFERROR(__xludf.DUMMYFUNCTION("""COMPUTED_VALUE"""),0.6216216216216216)</f>
        <v>0.6216216216</v>
      </c>
      <c r="I829" s="86">
        <f>IFERROR(__xludf.DUMMYFUNCTION("""COMPUTED_VALUE"""),0.2956521739130435)</f>
        <v>0.2956521739</v>
      </c>
      <c r="J829" s="82">
        <f>IFERROR(__xludf.DUMMYFUNCTION("""COMPUTED_VALUE"""),327.94594594594594)</f>
        <v>327.9459459</v>
      </c>
      <c r="K829" s="82">
        <f>IFERROR(__xludf.DUMMYFUNCTION("""COMPUTED_VALUE"""),0.918918918918919)</f>
        <v>0.9189189189</v>
      </c>
      <c r="L829" s="82">
        <f>IFERROR(__xludf.DUMMYFUNCTION("""COMPUTED_VALUE"""),0.7027027027027027)</f>
        <v>0.7027027027</v>
      </c>
      <c r="M829" s="82">
        <f>IFERROR(__xludf.DUMMYFUNCTION("""COMPUTED_VALUE"""),0.9459459459459459)</f>
        <v>0.9459459459</v>
      </c>
      <c r="N829" s="82">
        <f>IFERROR(__xludf.DUMMYFUNCTION("""COMPUTED_VALUE"""),3.108108108108108)</f>
        <v>3.108108108</v>
      </c>
      <c r="O829" s="82">
        <f>IFERROR(__xludf.DUMMYFUNCTION("""COMPUTED_VALUE"""),353.14414414414404)</f>
        <v>353.1441441</v>
      </c>
      <c r="P829" s="82">
        <f>IFERROR(__xludf.DUMMYFUNCTION("""COMPUTED_VALUE"""),0.6936936936936936)</f>
        <v>0.6936936937</v>
      </c>
      <c r="Q829" s="82">
        <f>IFERROR(__xludf.DUMMYFUNCTION("""COMPUTED_VALUE"""),0.5135135135135134)</f>
        <v>0.5135135135</v>
      </c>
      <c r="R829" s="82">
        <f>IFERROR(__xludf.DUMMYFUNCTION("""COMPUTED_VALUE"""),1.5945945945945943)</f>
        <v>1.594594595</v>
      </c>
      <c r="S829" s="82">
        <f>IFERROR(__xludf.DUMMYFUNCTION("""COMPUTED_VALUE"""),2.3873873873873874)</f>
        <v>2.387387387</v>
      </c>
      <c r="T829" s="82">
        <f>IFERROR(__xludf.DUMMYFUNCTION("""COMPUTED_VALUE"""),355.347256537287)</f>
        <v>355.3472565</v>
      </c>
      <c r="U829" s="82">
        <f>IFERROR(__xludf.DUMMYFUNCTION("""COMPUTED_VALUE"""),0.7480545158035635)</f>
        <v>0.7480545158</v>
      </c>
      <c r="V829" s="82">
        <f>IFERROR(__xludf.DUMMYFUNCTION("""COMPUTED_VALUE"""),0.5455826532786688)</f>
        <v>0.5455826533</v>
      </c>
      <c r="W829" s="82">
        <f>IFERROR(__xludf.DUMMYFUNCTION("""COMPUTED_VALUE"""),1.4468179053651309)</f>
        <v>1.446817905</v>
      </c>
      <c r="X829" s="82">
        <f>IFERROR(__xludf.DUMMYFUNCTION("""COMPUTED_VALUE"""),2.5306899549634188)</f>
        <v>2.530689955</v>
      </c>
      <c r="Y829" s="82">
        <f>IFERROR(__xludf.DUMMYFUNCTION("""COMPUTED_VALUE"""),368.2128816847769)</f>
        <v>368.2128817</v>
      </c>
      <c r="Z829" s="82">
        <f>IFERROR(__xludf.DUMMYFUNCTION("""COMPUTED_VALUE"""),0.8407705784720703)</f>
        <v>0.8407705785</v>
      </c>
      <c r="AA829" s="82">
        <f>IFERROR(__xludf.DUMMYFUNCTION("""COMPUTED_VALUE"""),0.6408229926857277)</f>
        <v>0.6408229927</v>
      </c>
      <c r="AB829" s="82">
        <f>IFERROR(__xludf.DUMMYFUNCTION("""COMPUTED_VALUE"""),1.3593439481305434)</f>
        <v>1.359343948</v>
      </c>
      <c r="AC829" s="82">
        <f>IFERROR(__xludf.DUMMYFUNCTION("""COMPUTED_VALUE"""),2.7856151671470655)</f>
        <v>2.785615167</v>
      </c>
      <c r="AD829" s="82">
        <f>IFERROR(__xludf.DUMMYFUNCTION("""COMPUTED_VALUE"""),0.8906422405577242)</f>
        <v>0.8906422406</v>
      </c>
      <c r="AE829" s="82">
        <f>IFERROR(__xludf.DUMMYFUNCTION("""COMPUTED_VALUE"""),1.0929484718517)</f>
        <v>1.092948472</v>
      </c>
      <c r="AF829" s="82">
        <f>IFERROR(__xludf.DUMMYFUNCTION("""COMPUTED_VALUE"""),1.096562874184076)</f>
        <v>1.096562874</v>
      </c>
      <c r="AG829" s="82">
        <f>IFERROR(__xludf.DUMMYFUNCTION("""COMPUTED_VALUE"""),0.6958841779866466)</f>
        <v>0.695884178</v>
      </c>
      <c r="AH829" s="82">
        <f>IFERROR(__xludf.DUMMYFUNCTION("""COMPUTED_VALUE"""),1.1157708159994437)</f>
        <v>1.115770816</v>
      </c>
      <c r="AI829" s="82">
        <f>IFERROR(__xludf.DUMMYFUNCTION("""COMPUTED_VALUE"""),0.9938001142470849)</f>
        <v>0.9938001142</v>
      </c>
      <c r="AJ829" s="82">
        <f>IFERROR(__xludf.DUMMYFUNCTION("""COMPUTED_VALUE"""),0.9273304004435088)</f>
        <v>0.9273304004</v>
      </c>
      <c r="AK829" s="82">
        <f>IFERROR(__xludf.DUMMYFUNCTION("""COMPUTED_VALUE"""),0.9412203823335721)</f>
        <v>0.9412203823</v>
      </c>
      <c r="AL829" s="82">
        <f>IFERROR(__xludf.DUMMYFUNCTION("""COMPUTED_VALUE"""),1.1021391072653122)</f>
        <v>1.102139107</v>
      </c>
      <c r="AM829" s="82">
        <f>IFERROR(__xludf.DUMMYFUNCTION("""COMPUTED_VALUE"""),0.9433741113584565)</f>
        <v>0.9433741114</v>
      </c>
      <c r="AN829" s="82">
        <f>IFERROR(__xludf.DUMMYFUNCTION("""COMPUTED_VALUE"""),0.9354114138765002)</f>
        <v>0.9354114139</v>
      </c>
      <c r="AO829" s="82">
        <f>IFERROR(__xludf.DUMMYFUNCTION("""COMPUTED_VALUE"""),1.2962760721200357)</f>
        <v>1.296276072</v>
      </c>
      <c r="AP829" s="82">
        <f>IFERROR(__xludf.DUMMYFUNCTION("""COMPUTED_VALUE"""),1.2309148113897033)</f>
        <v>1.230914811</v>
      </c>
      <c r="AQ829" s="82">
        <f>IFERROR(__xludf.DUMMYFUNCTION("""COMPUTED_VALUE"""),0.6636174874655825)</f>
        <v>0.6636174875</v>
      </c>
      <c r="AR829" s="82">
        <f>IFERROR(__xludf.DUMMYFUNCTION("""COMPUTED_VALUE"""),1.2399146684753262)</f>
        <v>1.239914668</v>
      </c>
      <c r="AS829" s="82">
        <f>IFERROR(__xludf.DUMMYFUNCTION("""COMPUTED_VALUE"""),108.0)</f>
        <v>108</v>
      </c>
      <c r="AT829" s="82">
        <f>IFERROR(__xludf.DUMMYFUNCTION("""COMPUTED_VALUE"""),0.631104256902169)</f>
        <v>0.6311042569</v>
      </c>
      <c r="AU829" s="82">
        <f>IFERROR(__xludf.DUMMYFUNCTION("""COMPUTED_VALUE"""),3.0697395394072555)</f>
        <v>3.069739539</v>
      </c>
      <c r="AV829" s="82">
        <f>IFERROR(__xludf.DUMMYFUNCTION("""COMPUTED_VALUE"""),69.4458721236595)</f>
        <v>69.44587212</v>
      </c>
      <c r="AW829" s="82">
        <f t="shared" si="1"/>
        <v>4.580155895</v>
      </c>
      <c r="AX829" s="83">
        <f t="array" ref="AX829">IFERROR(DGET('SBV Import'!A:G,"SBV",{"RSC ID","Tier";B829,A829}))</f>
        <v>44.12556261</v>
      </c>
      <c r="AY829" s="82">
        <f t="shared" si="2"/>
        <v>-2.456319877</v>
      </c>
      <c r="AZ829" s="82">
        <v>7.036475771640044</v>
      </c>
      <c r="BA829" s="84">
        <v>800.0</v>
      </c>
      <c r="BB829" s="84" t="b">
        <f>IFERROR(__xludf.DUMMYFUNCTION("iferror(if(A829="""",,E829&gt;=FILTER(Constants!$F$2:$F$10,Constants!$A$2:$A$10=A829)))"),TRUE)</f>
        <v>1</v>
      </c>
    </row>
    <row r="830">
      <c r="A830" s="80" t="str">
        <f>IFERROR(__xludf.DUMMYFUNCTION("""COMPUTED_VALUE"""),"Elite")</f>
        <v>Elite</v>
      </c>
      <c r="B830" s="73" t="str">
        <f>IFERROR(__xludf.DUMMYFUNCTION("""COMPUTED_VALUE"""),"RSC005298")</f>
        <v>RSC005298</v>
      </c>
      <c r="C830" s="73" t="str">
        <f>IFERROR(__xludf.DUMMYFUNCTION("""COMPUTED_VALUE"""),"Kaisaroh")</f>
        <v>Kaisaroh</v>
      </c>
      <c r="D830" s="73" t="str">
        <f>IFERROR(__xludf.DUMMYFUNCTION("""COMPUTED_VALUE"""),"Nightshade")</f>
        <v>Nightshade</v>
      </c>
      <c r="E830" s="82">
        <f>IFERROR(__xludf.DUMMYFUNCTION("""COMPUTED_VALUE"""),48.0)</f>
        <v>48</v>
      </c>
      <c r="F830" s="82">
        <f>IFERROR(__xludf.DUMMYFUNCTION("""COMPUTED_VALUE"""),27.0)</f>
        <v>27</v>
      </c>
      <c r="G830" s="82">
        <f>IFERROR(__xludf.DUMMYFUNCTION("""COMPUTED_VALUE"""),21.0)</f>
        <v>21</v>
      </c>
      <c r="H830" s="86">
        <f>IFERROR(__xludf.DUMMYFUNCTION("""COMPUTED_VALUE"""),0.5625)</f>
        <v>0.5625</v>
      </c>
      <c r="I830" s="86">
        <f>IFERROR(__xludf.DUMMYFUNCTION("""COMPUTED_VALUE"""),0.30714285714285716)</f>
        <v>0.3071428571</v>
      </c>
      <c r="J830" s="82">
        <f>IFERROR(__xludf.DUMMYFUNCTION("""COMPUTED_VALUE"""),384.5625)</f>
        <v>384.5625</v>
      </c>
      <c r="K830" s="82">
        <f>IFERROR(__xludf.DUMMYFUNCTION("""COMPUTED_VALUE"""),0.8958333333333334)</f>
        <v>0.8958333333</v>
      </c>
      <c r="L830" s="82">
        <f>IFERROR(__xludf.DUMMYFUNCTION("""COMPUTED_VALUE"""),0.6458333333333334)</f>
        <v>0.6458333333</v>
      </c>
      <c r="M830" s="82">
        <f>IFERROR(__xludf.DUMMYFUNCTION("""COMPUTED_VALUE"""),1.3958333333333333)</f>
        <v>1.395833333</v>
      </c>
      <c r="N830" s="82">
        <f>IFERROR(__xludf.DUMMYFUNCTION("""COMPUTED_VALUE"""),2.9166666666666665)</f>
        <v>2.916666667</v>
      </c>
      <c r="O830" s="82">
        <f>IFERROR(__xludf.DUMMYFUNCTION("""COMPUTED_VALUE"""),344.29861111111114)</f>
        <v>344.2986111</v>
      </c>
      <c r="P830" s="82">
        <f>IFERROR(__xludf.DUMMYFUNCTION("""COMPUTED_VALUE"""),0.7152777777777777)</f>
        <v>0.7152777778</v>
      </c>
      <c r="Q830" s="82">
        <f>IFERROR(__xludf.DUMMYFUNCTION("""COMPUTED_VALUE"""),0.5416666666666666)</f>
        <v>0.5416666667</v>
      </c>
      <c r="R830" s="82">
        <f>IFERROR(__xludf.DUMMYFUNCTION("""COMPUTED_VALUE"""),1.375)</f>
        <v>1.375</v>
      </c>
      <c r="S830" s="82">
        <f>IFERROR(__xludf.DUMMYFUNCTION("""COMPUTED_VALUE"""),2.604166666666667)</f>
        <v>2.604166667</v>
      </c>
      <c r="T830" s="82">
        <f>IFERROR(__xludf.DUMMYFUNCTION("""COMPUTED_VALUE"""),347.6425196387624)</f>
        <v>347.6425196</v>
      </c>
      <c r="U830" s="82">
        <f>IFERROR(__xludf.DUMMYFUNCTION("""COMPUTED_VALUE"""),0.7236245780219669)</f>
        <v>0.723624578</v>
      </c>
      <c r="V830" s="82">
        <f>IFERROR(__xludf.DUMMYFUNCTION("""COMPUTED_VALUE"""),0.5541511982233697)</f>
        <v>0.5541511982</v>
      </c>
      <c r="W830" s="82">
        <f>IFERROR(__xludf.DUMMYFUNCTION("""COMPUTED_VALUE"""),1.3580558040750617)</f>
        <v>1.358055804</v>
      </c>
      <c r="X830" s="82">
        <f>IFERROR(__xludf.DUMMYFUNCTION("""COMPUTED_VALUE"""),2.564262898044588)</f>
        <v>2.564262898</v>
      </c>
      <c r="Y830" s="82">
        <f>IFERROR(__xludf.DUMMYFUNCTION("""COMPUTED_VALUE"""),362.50986895667535)</f>
        <v>362.509869</v>
      </c>
      <c r="Z830" s="82">
        <f>IFERROR(__xludf.DUMMYFUNCTION("""COMPUTED_VALUE"""),0.8062176500398781)</f>
        <v>0.80621765</v>
      </c>
      <c r="AA830" s="82">
        <f>IFERROR(__xludf.DUMMYFUNCTION("""COMPUTED_VALUE"""),0.6149588411385546)</f>
        <v>0.6149588411</v>
      </c>
      <c r="AB830" s="82">
        <f>IFERROR(__xludf.DUMMYFUNCTION("""COMPUTED_VALUE"""),1.3780584199243935)</f>
        <v>1.37805842</v>
      </c>
      <c r="AC830" s="82">
        <f>IFERROR(__xludf.DUMMYFUNCTION("""COMPUTED_VALUE"""),2.6650514633231492)</f>
        <v>2.665051463</v>
      </c>
      <c r="AD830" s="82">
        <f>IFERROR(__xludf.DUMMYFUNCTION("""COMPUTED_VALUE"""),1.0608331880916606)</f>
        <v>1.060833188</v>
      </c>
      <c r="AE830" s="82">
        <f>IFERROR(__xludf.DUMMYFUNCTION("""COMPUTED_VALUE"""),1.1111556951017167)</f>
        <v>1.111155695</v>
      </c>
      <c r="AF830" s="82">
        <f>IFERROR(__xludf.DUMMYFUNCTION("""COMPUTED_VALUE"""),1.0502057863541188)</f>
        <v>1.050205786</v>
      </c>
      <c r="AG830" s="82">
        <f>IFERROR(__xludf.DUMMYFUNCTION("""COMPUTED_VALUE"""),1.0128985195053741)</f>
        <v>1.01289852</v>
      </c>
      <c r="AH830" s="82">
        <f>IFERROR(__xludf.DUMMYFUNCTION("""COMPUTED_VALUE"""),1.094412887258008)</f>
        <v>1.094412887</v>
      </c>
      <c r="AI830" s="82">
        <f>IFERROR(__xludf.DUMMYFUNCTION("""COMPUTED_VALUE"""),0.990381186596145)</f>
        <v>0.9903811866</v>
      </c>
      <c r="AJ830" s="82">
        <f>IFERROR(__xludf.DUMMYFUNCTION("""COMPUTED_VALUE"""),0.9884652891876541)</f>
        <v>0.9884652892</v>
      </c>
      <c r="AK830" s="82">
        <f>IFERROR(__xludf.DUMMYFUNCTION("""COMPUTED_VALUE"""),0.9774708931484243)</f>
        <v>0.9774708931</v>
      </c>
      <c r="AL830" s="82">
        <f>IFERROR(__xludf.DUMMYFUNCTION("""COMPUTED_VALUE"""),1.0124768038795569)</f>
        <v>1.012476804</v>
      </c>
      <c r="AM830" s="82">
        <f>IFERROR(__xludf.DUMMYFUNCTION("""COMPUTED_VALUE"""),1.0155614966985282)</f>
        <v>1.015561497</v>
      </c>
      <c r="AN830" s="82">
        <f>IFERROR(__xludf.DUMMYFUNCTION("""COMPUTED_VALUE"""),1.0969007432345985)</f>
        <v>1.096900743</v>
      </c>
      <c r="AO830" s="82">
        <f>IFERROR(__xludf.DUMMYFUNCTION("""COMPUTED_VALUE"""),1.2637103129552554)</f>
        <v>1.263710313</v>
      </c>
      <c r="AP830" s="82">
        <f>IFERROR(__xludf.DUMMYFUNCTION("""COMPUTED_VALUE"""),1.1312975069422992)</f>
        <v>1.131297507</v>
      </c>
      <c r="AQ830" s="82">
        <f>IFERROR(__xludf.DUMMYFUNCTION("""COMPUTED_VALUE"""),0.9792308044209399)</f>
        <v>0.9792308044</v>
      </c>
      <c r="AR830" s="82">
        <f>IFERROR(__xludf.DUMMYFUNCTION("""COMPUTED_VALUE"""),1.1635431128083678)</f>
        <v>1.163543113</v>
      </c>
      <c r="AS830" s="82">
        <f>IFERROR(__xludf.DUMMYFUNCTION("""COMPUTED_VALUE"""),114.0)</f>
        <v>114</v>
      </c>
      <c r="AT830" s="82">
        <f>IFERROR(__xludf.DUMMYFUNCTION("""COMPUTED_VALUE"""),0.5390335868822915)</f>
        <v>0.5390335869</v>
      </c>
      <c r="AU830" s="82">
        <f>IFERROR(__xludf.DUMMYFUNCTION("""COMPUTED_VALUE"""),3.0263828810376814)</f>
        <v>3.026382881</v>
      </c>
      <c r="AV830" s="82">
        <f>IFERROR(__xludf.DUMMYFUNCTION("""COMPUTED_VALUE"""),68.19875196817833)</f>
        <v>68.19875197</v>
      </c>
      <c r="AW830" s="82">
        <f t="shared" si="1"/>
        <v>4.285921118</v>
      </c>
      <c r="AX830" s="83">
        <f t="array" ref="AX830">IFERROR(DGET('SBV Import'!A:G,"SBV",{"RSC ID","Tier";B830,A830}))</f>
        <v>65.47220505</v>
      </c>
      <c r="AY830" s="82">
        <f t="shared" si="2"/>
        <v>3.731412821</v>
      </c>
      <c r="AZ830" s="82">
        <v>0.5545082973405417</v>
      </c>
      <c r="BA830" s="84">
        <v>800.0</v>
      </c>
      <c r="BB830" s="84" t="b">
        <f>IFERROR(__xludf.DUMMYFUNCTION("iferror(if(A830="""",,E830&gt;=FILTER(Constants!$F$2:$F$10,Constants!$A$2:$A$10=A830)))"),TRUE)</f>
        <v>1</v>
      </c>
    </row>
    <row r="831">
      <c r="A831" s="80" t="str">
        <f>IFERROR(__xludf.DUMMYFUNCTION("""COMPUTED_VALUE"""),"Elite")</f>
        <v>Elite</v>
      </c>
      <c r="B831" s="73" t="str">
        <f>IFERROR(__xludf.DUMMYFUNCTION("""COMPUTED_VALUE"""),"RSC001055")</f>
        <v>RSC001055</v>
      </c>
      <c r="C831" s="73" t="str">
        <f>IFERROR(__xludf.DUMMYFUNCTION("""COMPUTED_VALUE"""),"Scotti")</f>
        <v>Scotti</v>
      </c>
      <c r="D831" s="73" t="str">
        <f>IFERROR(__xludf.DUMMYFUNCTION("""COMPUTED_VALUE"""),"Menthol")</f>
        <v>Menthol</v>
      </c>
      <c r="E831" s="82">
        <f>IFERROR(__xludf.DUMMYFUNCTION("""COMPUTED_VALUE"""),48.0)</f>
        <v>48</v>
      </c>
      <c r="F831" s="82">
        <f>IFERROR(__xludf.DUMMYFUNCTION("""COMPUTED_VALUE"""),29.0)</f>
        <v>29</v>
      </c>
      <c r="G831" s="82">
        <f>IFERROR(__xludf.DUMMYFUNCTION("""COMPUTED_VALUE"""),19.0)</f>
        <v>19</v>
      </c>
      <c r="H831" s="86">
        <f>IFERROR(__xludf.DUMMYFUNCTION("""COMPUTED_VALUE"""),0.6041666666666666)</f>
        <v>0.6041666667</v>
      </c>
      <c r="I831" s="86">
        <f>IFERROR(__xludf.DUMMYFUNCTION("""COMPUTED_VALUE"""),0.248062015503876)</f>
        <v>0.2480620155</v>
      </c>
      <c r="J831" s="82">
        <f>IFERROR(__xludf.DUMMYFUNCTION("""COMPUTED_VALUE"""),385.3181818181818)</f>
        <v>385.3181818</v>
      </c>
      <c r="K831" s="82">
        <f>IFERROR(__xludf.DUMMYFUNCTION("""COMPUTED_VALUE"""),0.7272727272727273)</f>
        <v>0.7272727273</v>
      </c>
      <c r="L831" s="82">
        <f>IFERROR(__xludf.DUMMYFUNCTION("""COMPUTED_VALUE"""),0.8636363636363636)</f>
        <v>0.8636363636</v>
      </c>
      <c r="M831" s="82">
        <f>IFERROR(__xludf.DUMMYFUNCTION("""COMPUTED_VALUE"""),1.4545454545454546)</f>
        <v>1.454545455</v>
      </c>
      <c r="N831" s="82">
        <f>IFERROR(__xludf.DUMMYFUNCTION("""COMPUTED_VALUE"""),2.9318181818181817)</f>
        <v>2.931818182</v>
      </c>
      <c r="O831" s="82">
        <f>IFERROR(__xludf.DUMMYFUNCTION("""COMPUTED_VALUE"""),369.63636363636374)</f>
        <v>369.6363636</v>
      </c>
      <c r="P831" s="82">
        <f>IFERROR(__xludf.DUMMYFUNCTION("""COMPUTED_VALUE"""),0.7424242424242425)</f>
        <v>0.7424242424</v>
      </c>
      <c r="Q831" s="82">
        <f>IFERROR(__xludf.DUMMYFUNCTION("""COMPUTED_VALUE"""),0.537878787878788)</f>
        <v>0.5378787879</v>
      </c>
      <c r="R831" s="82">
        <f>IFERROR(__xludf.DUMMYFUNCTION("""COMPUTED_VALUE"""),1.7045454545454546)</f>
        <v>1.704545455</v>
      </c>
      <c r="S831" s="82">
        <f>IFERROR(__xludf.DUMMYFUNCTION("""COMPUTED_VALUE"""),2.3409090909090913)</f>
        <v>2.340909091</v>
      </c>
      <c r="T831" s="82">
        <f>IFERROR(__xludf.DUMMYFUNCTION("""COMPUTED_VALUE"""),354.70716059130217)</f>
        <v>354.7071606</v>
      </c>
      <c r="U831" s="82">
        <f>IFERROR(__xludf.DUMMYFUNCTION("""COMPUTED_VALUE"""),0.7121770322687507)</f>
        <v>0.7121770323</v>
      </c>
      <c r="V831" s="82">
        <f>IFERROR(__xludf.DUMMYFUNCTION("""COMPUTED_VALUE"""),0.585342467931721)</f>
        <v>0.5853424679</v>
      </c>
      <c r="W831" s="82">
        <f>IFERROR(__xludf.DUMMYFUNCTION("""COMPUTED_VALUE"""),1.4981715286644006)</f>
        <v>1.498171529</v>
      </c>
      <c r="X831" s="82">
        <f>IFERROR(__xludf.DUMMYFUNCTION("""COMPUTED_VALUE"""),2.505670119860263)</f>
        <v>2.50567012</v>
      </c>
      <c r="Y831" s="82">
        <f>IFERROR(__xludf.DUMMYFUNCTION("""COMPUTED_VALUE"""),366.73375962509755)</f>
        <v>366.7337596</v>
      </c>
      <c r="Z831" s="82">
        <f>IFERROR(__xludf.DUMMYFUNCTION("""COMPUTED_VALUE"""),0.8225914887279102)</f>
        <v>0.8225914887</v>
      </c>
      <c r="AA831" s="82">
        <f>IFERROR(__xludf.DUMMYFUNCTION("""COMPUTED_VALUE"""),0.624477277504843)</f>
        <v>0.6244772775</v>
      </c>
      <c r="AB831" s="82">
        <f>IFERROR(__xludf.DUMMYFUNCTION("""COMPUTED_VALUE"""),1.3781213471316238)</f>
        <v>1.378121347</v>
      </c>
      <c r="AC831" s="82">
        <f>IFERROR(__xludf.DUMMYFUNCTION("""COMPUTED_VALUE"""),2.765592094841388)</f>
        <v>2.765592095</v>
      </c>
      <c r="AD831" s="82">
        <f>IFERROR(__xludf.DUMMYFUNCTION("""COMPUTED_VALUE"""),1.0506755151532345)</f>
        <v>1.050675515</v>
      </c>
      <c r="AE831" s="82">
        <f>IFERROR(__xludf.DUMMYFUNCTION("""COMPUTED_VALUE"""),0.8841238175189634)</f>
        <v>0.8841238175</v>
      </c>
      <c r="AF831" s="82">
        <f>IFERROR(__xludf.DUMMYFUNCTION("""COMPUTED_VALUE"""),1.3829748411136797)</f>
        <v>1.382974841</v>
      </c>
      <c r="AG831" s="82">
        <f>IFERROR(__xludf.DUMMYFUNCTION("""COMPUTED_VALUE"""),1.055455281621533)</f>
        <v>1.055455282</v>
      </c>
      <c r="AH831" s="82">
        <f>IFERROR(__xludf.DUMMYFUNCTION("""COMPUTED_VALUE"""),1.0601050629580742)</f>
        <v>1.060105063</v>
      </c>
      <c r="AI831" s="82">
        <f>IFERROR(__xludf.DUMMYFUNCTION("""COMPUTED_VALUE"""),1.0420888121349858)</f>
        <v>1.042088812</v>
      </c>
      <c r="AJ831" s="82">
        <f>IFERROR(__xludf.DUMMYFUNCTION("""COMPUTED_VALUE"""),1.0424714765921819)</f>
        <v>1.042471477</v>
      </c>
      <c r="AK831" s="82">
        <f>IFERROR(__xludf.DUMMYFUNCTION("""COMPUTED_VALUE"""),0.9189129737662063)</f>
        <v>0.9189129738</v>
      </c>
      <c r="AL831" s="82">
        <f>IFERROR(__xludf.DUMMYFUNCTION("""COMPUTED_VALUE"""),1.1377505325208213)</f>
        <v>1.137750533</v>
      </c>
      <c r="AM831" s="82">
        <f>IFERROR(__xludf.DUMMYFUNCTION("""COMPUTED_VALUE"""),0.9342447245368596)</f>
        <v>0.9342447245</v>
      </c>
      <c r="AN831" s="82">
        <f>IFERROR(__xludf.DUMMYFUNCTION("""COMPUTED_VALUE"""),1.0990562002747741)</f>
        <v>1.0990562</v>
      </c>
      <c r="AO831" s="82">
        <f>IFERROR(__xludf.DUMMYFUNCTION("""COMPUTED_VALUE"""),1.0259297255281565)</f>
        <v>1.025929726</v>
      </c>
      <c r="AP831" s="82">
        <f>IFERROR(__xludf.DUMMYFUNCTION("""COMPUTED_VALUE"""),1.5128201265855967)</f>
        <v>1.512820127</v>
      </c>
      <c r="AQ831" s="82">
        <f>IFERROR(__xludf.DUMMYFUNCTION("""COMPUTED_VALUE"""),1.0204196170899347)</f>
        <v>1.020419617</v>
      </c>
      <c r="AR831" s="82">
        <f>IFERROR(__xludf.DUMMYFUNCTION("""COMPUTED_VALUE"""),1.1695874926151646)</f>
        <v>1.169587493</v>
      </c>
      <c r="AS831" s="82">
        <f>IFERROR(__xludf.DUMMYFUNCTION("""COMPUTED_VALUE"""),120.0)</f>
        <v>120</v>
      </c>
      <c r="AT831" s="82">
        <f>IFERROR(__xludf.DUMMYFUNCTION("""COMPUTED_VALUE"""),0.5449788229394389)</f>
        <v>0.5449788229</v>
      </c>
      <c r="AU831" s="82">
        <f>IFERROR(__xludf.DUMMYFUNCTION("""COMPUTED_VALUE"""),3.024647019624487)</f>
        <v>3.02464702</v>
      </c>
      <c r="AV831" s="82">
        <f>IFERROR(__xludf.DUMMYFUNCTION("""COMPUTED_VALUE"""),68.14882128078392)</f>
        <v>68.14882128</v>
      </c>
      <c r="AW831" s="82">
        <f t="shared" si="1"/>
        <v>4.27471293</v>
      </c>
      <c r="AX831" s="83">
        <f t="array" ref="AX831">IFERROR(DGET('SBV Import'!A:G,"SBV",{"RSC ID","Tier";B831,A831}))</f>
        <v>66.02097684</v>
      </c>
      <c r="AY831" s="82">
        <f t="shared" si="2"/>
        <v>3.834155568</v>
      </c>
      <c r="AZ831" s="82">
        <v>0.4405573623637289</v>
      </c>
      <c r="BA831" s="84">
        <v>800.0</v>
      </c>
      <c r="BB831" s="84" t="b">
        <f>IFERROR(__xludf.DUMMYFUNCTION("iferror(if(A831="""",,E831&gt;=FILTER(Constants!$F$2:$F$10,Constants!$A$2:$A$10=A831)))"),TRUE)</f>
        <v>1</v>
      </c>
    </row>
    <row r="832">
      <c r="A832" s="80" t="str">
        <f>IFERROR(__xludf.DUMMYFUNCTION("""COMPUTED_VALUE"""),"Elite")</f>
        <v>Elite</v>
      </c>
      <c r="B832" s="73" t="str">
        <f>IFERROR(__xludf.DUMMYFUNCTION("""COMPUTED_VALUE"""),"RSC002178")</f>
        <v>RSC002178</v>
      </c>
      <c r="C832" s="73" t="str">
        <f>IFERROR(__xludf.DUMMYFUNCTION("""COMPUTED_VALUE"""),"bird")</f>
        <v>bird</v>
      </c>
      <c r="D832" s="73" t="str">
        <f>IFERROR(__xludf.DUMMYFUNCTION("""COMPUTED_VALUE"""),"Afterburners")</f>
        <v>Afterburners</v>
      </c>
      <c r="E832" s="82">
        <f>IFERROR(__xludf.DUMMYFUNCTION("""COMPUTED_VALUE"""),11.0)</f>
        <v>11</v>
      </c>
      <c r="F832" s="82">
        <f>IFERROR(__xludf.DUMMYFUNCTION("""COMPUTED_VALUE"""),5.0)</f>
        <v>5</v>
      </c>
      <c r="G832" s="82">
        <f>IFERROR(__xludf.DUMMYFUNCTION("""COMPUTED_VALUE"""),6.0)</f>
        <v>6</v>
      </c>
      <c r="H832" s="86">
        <f>IFERROR(__xludf.DUMMYFUNCTION("""COMPUTED_VALUE"""),0.45454545454545453)</f>
        <v>0.4545454545</v>
      </c>
      <c r="I832" s="86">
        <f>IFERROR(__xludf.DUMMYFUNCTION("""COMPUTED_VALUE"""),0.34285714285714286)</f>
        <v>0.3428571429</v>
      </c>
      <c r="J832" s="82">
        <f>IFERROR(__xludf.DUMMYFUNCTION("""COMPUTED_VALUE"""),358.6363636363636)</f>
        <v>358.6363636</v>
      </c>
      <c r="K832" s="82">
        <f>IFERROR(__xludf.DUMMYFUNCTION("""COMPUTED_VALUE"""),1.0909090909090908)</f>
        <v>1.090909091</v>
      </c>
      <c r="L832" s="82">
        <f>IFERROR(__xludf.DUMMYFUNCTION("""COMPUTED_VALUE"""),0.45454545454545453)</f>
        <v>0.4545454545</v>
      </c>
      <c r="M832" s="82">
        <f>IFERROR(__xludf.DUMMYFUNCTION("""COMPUTED_VALUE"""),1.3636363636363635)</f>
        <v>1.363636364</v>
      </c>
      <c r="N832" s="82">
        <f>IFERROR(__xludf.DUMMYFUNCTION("""COMPUTED_VALUE"""),3.1818181818181817)</f>
        <v>3.181818182</v>
      </c>
      <c r="O832" s="82">
        <f>IFERROR(__xludf.DUMMYFUNCTION("""COMPUTED_VALUE"""),377.72727272727275)</f>
        <v>377.7272727</v>
      </c>
      <c r="P832" s="82">
        <f>IFERROR(__xludf.DUMMYFUNCTION("""COMPUTED_VALUE"""),0.8484848484848484)</f>
        <v>0.8484848485</v>
      </c>
      <c r="Q832" s="82">
        <f>IFERROR(__xludf.DUMMYFUNCTION("""COMPUTED_VALUE"""),0.5757575757575757)</f>
        <v>0.5757575758</v>
      </c>
      <c r="R832" s="82">
        <f>IFERROR(__xludf.DUMMYFUNCTION("""COMPUTED_VALUE"""),1.6060606060606062)</f>
        <v>1.606060606</v>
      </c>
      <c r="S832" s="82">
        <f>IFERROR(__xludf.DUMMYFUNCTION("""COMPUTED_VALUE"""),2.878787878787879)</f>
        <v>2.878787879</v>
      </c>
      <c r="T832" s="82">
        <f>IFERROR(__xludf.DUMMYFUNCTION("""COMPUTED_VALUE"""),364.1048084575357)</f>
        <v>364.1048085</v>
      </c>
      <c r="U832" s="82">
        <f>IFERROR(__xludf.DUMMYFUNCTION("""COMPUTED_VALUE"""),0.821976171976172)</f>
        <v>0.821976172</v>
      </c>
      <c r="V832" s="82">
        <f>IFERROR(__xludf.DUMMYFUNCTION("""COMPUTED_VALUE"""),0.6397541852087306)</f>
        <v>0.6397541852</v>
      </c>
      <c r="W832" s="82">
        <f>IFERROR(__xludf.DUMMYFUNCTION("""COMPUTED_VALUE"""),1.4508012526194347)</f>
        <v>1.450801253</v>
      </c>
      <c r="X832" s="82">
        <f>IFERROR(__xludf.DUMMYFUNCTION("""COMPUTED_VALUE"""),2.6698099879918065)</f>
        <v>2.669809988</v>
      </c>
      <c r="Y832" s="82">
        <f>IFERROR(__xludf.DUMMYFUNCTION("""COMPUTED_VALUE"""),376.5498591980411)</f>
        <v>376.5498592</v>
      </c>
      <c r="Z832" s="82">
        <f>IFERROR(__xludf.DUMMYFUNCTION("""COMPUTED_VALUE"""),0.8922435701223581)</f>
        <v>0.8922435701</v>
      </c>
      <c r="AA832" s="82">
        <f>IFERROR(__xludf.DUMMYFUNCTION("""COMPUTED_VALUE"""),0.6661970128636796)</f>
        <v>0.6661970129</v>
      </c>
      <c r="AB832" s="82">
        <f>IFERROR(__xludf.DUMMYFUNCTION("""COMPUTED_VALUE"""),1.4382320485350788)</f>
        <v>1.438232049</v>
      </c>
      <c r="AC832" s="82">
        <f>IFERROR(__xludf.DUMMYFUNCTION("""COMPUTED_VALUE"""),2.707951700375944)</f>
        <v>2.7079517</v>
      </c>
      <c r="AD832" s="82">
        <f>IFERROR(__xludf.DUMMYFUNCTION("""COMPUTED_VALUE"""),0.9524272944894235)</f>
        <v>0.9524272945</v>
      </c>
      <c r="AE832" s="82">
        <f>IFERROR(__xludf.DUMMYFUNCTION("""COMPUTED_VALUE"""),1.2226583944555507)</f>
        <v>1.222658394</v>
      </c>
      <c r="AF832" s="82">
        <f>IFERROR(__xludf.DUMMYFUNCTION("""COMPUTED_VALUE"""),0.682298848191422)</f>
        <v>0.6822988482</v>
      </c>
      <c r="AG832" s="82">
        <f>IFERROR(__xludf.DUMMYFUNCTION("""COMPUTED_VALUE"""),0.9481337625769811)</f>
        <v>0.9481337626</v>
      </c>
      <c r="AH832" s="82">
        <f>IFERROR(__xludf.DUMMYFUNCTION("""COMPUTED_VALUE"""),1.1749907435115814)</f>
        <v>1.174990744</v>
      </c>
      <c r="AI832" s="82">
        <f>IFERROR(__xludf.DUMMYFUNCTION("""COMPUTED_VALUE"""),1.0374135796982362)</f>
        <v>1.03741358</v>
      </c>
      <c r="AJ832" s="82">
        <f>IFERROR(__xludf.DUMMYFUNCTION("""COMPUTED_VALUE"""),1.0322499330423958)</f>
        <v>1.032249933</v>
      </c>
      <c r="AK832" s="82">
        <f>IFERROR(__xludf.DUMMYFUNCTION("""COMPUTED_VALUE"""),0.8999668764491553)</f>
        <v>0.8999668764</v>
      </c>
      <c r="AL832" s="82">
        <f>IFERROR(__xludf.DUMMYFUNCTION("""COMPUTED_VALUE"""),1.1070162802526187)</f>
        <v>1.10701628</v>
      </c>
      <c r="AM832" s="82">
        <f>IFERROR(__xludf.DUMMYFUNCTION("""COMPUTED_VALUE"""),1.078274443400844)</f>
        <v>1.078274443</v>
      </c>
      <c r="AN832" s="82">
        <f>IFERROR(__xludf.DUMMYFUNCTION("""COMPUTED_VALUE"""),1.022950739668275)</f>
        <v>1.02295074</v>
      </c>
      <c r="AO832" s="82">
        <f>IFERROR(__xludf.DUMMYFUNCTION("""COMPUTED_VALUE"""),1.5388945882922347)</f>
        <v>1.538894588</v>
      </c>
      <c r="AP832" s="82">
        <f>IFERROR(__xludf.DUMMYFUNCTION("""COMPUTED_VALUE"""),0.7962211192555771)</f>
        <v>0.7962211193</v>
      </c>
      <c r="AQ832" s="82">
        <f>IFERROR(__xludf.DUMMYFUNCTION("""COMPUTED_VALUE"""),0.9566433910218137)</f>
        <v>0.956643391</v>
      </c>
      <c r="AR832" s="82">
        <f>IFERROR(__xludf.DUMMYFUNCTION("""COMPUTED_VALUE"""),1.2693197594273102)</f>
        <v>1.269319759</v>
      </c>
      <c r="AS832" s="82">
        <f>IFERROR(__xludf.DUMMYFUNCTION("""COMPUTED_VALUE"""),28.0)</f>
        <v>28</v>
      </c>
      <c r="AT832" s="82">
        <f>IFERROR(__xludf.DUMMYFUNCTION("""COMPUTED_VALUE"""),0.5000000000000001)</f>
        <v>0.5</v>
      </c>
      <c r="AU832" s="82">
        <f>IFERROR(__xludf.DUMMYFUNCTION("""COMPUTED_VALUE"""),3.012153609412609)</f>
        <v>3.012153609</v>
      </c>
      <c r="AV832" s="82">
        <f>IFERROR(__xludf.DUMMYFUNCTION("""COMPUTED_VALUE"""),67.78945816859212)</f>
        <v>67.78945817</v>
      </c>
      <c r="AW832" s="82">
        <f t="shared" si="1"/>
        <v>4.195282585</v>
      </c>
      <c r="AX832" s="83">
        <f t="array" ref="AX832">IFERROR(DGET('SBV Import'!A:G,"SBV",{"RSC ID","Tier";B832,A832}))</f>
        <v>38.53025543</v>
      </c>
      <c r="AY832" s="82">
        <f t="shared" si="2"/>
        <v>-3.094130572</v>
      </c>
      <c r="AZ832" s="82">
        <v>7.2894131574958525</v>
      </c>
      <c r="BA832" s="84">
        <v>800.0</v>
      </c>
      <c r="BB832" s="84" t="b">
        <f>IFERROR(__xludf.DUMMYFUNCTION("iferror(if(A832="""",,E832&gt;=FILTER(Constants!$F$2:$F$10,Constants!$A$2:$A$10=A832)))"),TRUE)</f>
        <v>1</v>
      </c>
    </row>
    <row r="833">
      <c r="A833" s="80" t="str">
        <f>IFERROR(__xludf.DUMMYFUNCTION("""COMPUTED_VALUE"""),"Elite")</f>
        <v>Elite</v>
      </c>
      <c r="B833" s="73" t="str">
        <f>IFERROR(__xludf.DUMMYFUNCTION("""COMPUTED_VALUE"""),"RSC006703")</f>
        <v>RSC006703</v>
      </c>
      <c r="C833" s="73" t="str">
        <f>IFERROR(__xludf.DUMMYFUNCTION("""COMPUTED_VALUE"""),"cav")</f>
        <v>cav</v>
      </c>
      <c r="D833" s="73" t="str">
        <f>IFERROR(__xludf.DUMMYFUNCTION("""COMPUTED_VALUE"""),"Praetorian Guard")</f>
        <v>Praetorian Guard</v>
      </c>
      <c r="E833" s="82">
        <f>IFERROR(__xludf.DUMMYFUNCTION("""COMPUTED_VALUE"""),32.0)</f>
        <v>32</v>
      </c>
      <c r="F833" s="82">
        <f>IFERROR(__xludf.DUMMYFUNCTION("""COMPUTED_VALUE"""),20.0)</f>
        <v>20</v>
      </c>
      <c r="G833" s="82">
        <f>IFERROR(__xludf.DUMMYFUNCTION("""COMPUTED_VALUE"""),12.0)</f>
        <v>12</v>
      </c>
      <c r="H833" s="86">
        <f>IFERROR(__xludf.DUMMYFUNCTION("""COMPUTED_VALUE"""),0.625)</f>
        <v>0.625</v>
      </c>
      <c r="I833" s="86">
        <f>IFERROR(__xludf.DUMMYFUNCTION("""COMPUTED_VALUE"""),0.2978723404255319)</f>
        <v>0.2978723404</v>
      </c>
      <c r="J833" s="82">
        <f>IFERROR(__xludf.DUMMYFUNCTION("""COMPUTED_VALUE"""),394.59375)</f>
        <v>394.59375</v>
      </c>
      <c r="K833" s="82">
        <f>IFERROR(__xludf.DUMMYFUNCTION("""COMPUTED_VALUE"""),0.875)</f>
        <v>0.875</v>
      </c>
      <c r="L833" s="82">
        <f>IFERROR(__xludf.DUMMYFUNCTION("""COMPUTED_VALUE"""),0.5)</f>
        <v>0.5</v>
      </c>
      <c r="M833" s="82">
        <f>IFERROR(__xludf.DUMMYFUNCTION("""COMPUTED_VALUE"""),1.625)</f>
        <v>1.625</v>
      </c>
      <c r="N833" s="82">
        <f>IFERROR(__xludf.DUMMYFUNCTION("""COMPUTED_VALUE"""),2.9375)</f>
        <v>2.9375</v>
      </c>
      <c r="O833" s="82">
        <f>IFERROR(__xludf.DUMMYFUNCTION("""COMPUTED_VALUE"""),356.9583333333333)</f>
        <v>356.9583333</v>
      </c>
      <c r="P833" s="82">
        <f>IFERROR(__xludf.DUMMYFUNCTION("""COMPUTED_VALUE"""),0.6666666666666666)</f>
        <v>0.6666666667</v>
      </c>
      <c r="Q833" s="82">
        <f>IFERROR(__xludf.DUMMYFUNCTION("""COMPUTED_VALUE"""),0.5208333333333335)</f>
        <v>0.5208333333</v>
      </c>
      <c r="R833" s="82">
        <f>IFERROR(__xludf.DUMMYFUNCTION("""COMPUTED_VALUE"""),1.4687499999999998)</f>
        <v>1.46875</v>
      </c>
      <c r="S833" s="82">
        <f>IFERROR(__xludf.DUMMYFUNCTION("""COMPUTED_VALUE"""),2.6666666666666674)</f>
        <v>2.666666667</v>
      </c>
      <c r="T833" s="82">
        <f>IFERROR(__xludf.DUMMYFUNCTION("""COMPUTED_VALUE"""),372.6043295861661)</f>
        <v>372.6043296</v>
      </c>
      <c r="U833" s="82">
        <f>IFERROR(__xludf.DUMMYFUNCTION("""COMPUTED_VALUE"""),0.7994860590336192)</f>
        <v>0.799486059</v>
      </c>
      <c r="V833" s="82">
        <f>IFERROR(__xludf.DUMMYFUNCTION("""COMPUTED_VALUE"""),0.628504208292336)</f>
        <v>0.6285042083</v>
      </c>
      <c r="W833" s="82">
        <f>IFERROR(__xludf.DUMMYFUNCTION("""COMPUTED_VALUE"""),1.483074556967964)</f>
        <v>1.483074557</v>
      </c>
      <c r="X833" s="82">
        <f>IFERROR(__xludf.DUMMYFUNCTION("""COMPUTED_VALUE"""),2.7022420045252344)</f>
        <v>2.702242005</v>
      </c>
      <c r="Y833" s="82">
        <f>IFERROR(__xludf.DUMMYFUNCTION("""COMPUTED_VALUE"""),363.29453919329364)</f>
        <v>363.2945392</v>
      </c>
      <c r="Z833" s="82">
        <f>IFERROR(__xludf.DUMMYFUNCTION("""COMPUTED_VALUE"""),0.7911201214874999)</f>
        <v>0.7911201215</v>
      </c>
      <c r="AA833" s="82">
        <f>IFERROR(__xludf.DUMMYFUNCTION("""COMPUTED_VALUE"""),0.5871863694421595)</f>
        <v>0.5871863694</v>
      </c>
      <c r="AB833" s="82">
        <f>IFERROR(__xludf.DUMMYFUNCTION("""COMPUTED_VALUE"""),1.3953259840370682)</f>
        <v>1.395325984</v>
      </c>
      <c r="AC833" s="82">
        <f>IFERROR(__xludf.DUMMYFUNCTION("""COMPUTED_VALUE"""),2.71271425341929)</f>
        <v>2.712714253</v>
      </c>
      <c r="AD833" s="82">
        <f>IFERROR(__xludf.DUMMYFUNCTION("""COMPUTED_VALUE"""),1.0861538157887185)</f>
        <v>1.086153816</v>
      </c>
      <c r="AE833" s="82">
        <f>IFERROR(__xludf.DUMMYFUNCTION("""COMPUTED_VALUE"""),1.1060267287283572)</f>
        <v>1.106026729</v>
      </c>
      <c r="AF833" s="82">
        <f>IFERROR(__xludf.DUMMYFUNCTION("""COMPUTED_VALUE"""),0.8515184037310188)</f>
        <v>0.8515184037</v>
      </c>
      <c r="AG833" s="82">
        <f>IFERROR(__xludf.DUMMYFUNCTION("""COMPUTED_VALUE"""),1.1646024073159025)</f>
        <v>1.164602407</v>
      </c>
      <c r="AH833" s="82">
        <f>IFERROR(__xludf.DUMMYFUNCTION("""COMPUTED_VALUE"""),1.0828637761228905)</f>
        <v>1.082863776</v>
      </c>
      <c r="AI833" s="82">
        <f>IFERROR(__xludf.DUMMYFUNCTION("""COMPUTED_VALUE"""),0.9580090862867588)</f>
        <v>0.9580090863</v>
      </c>
      <c r="AJ833" s="82">
        <f>IFERROR(__xludf.DUMMYFUNCTION("""COMPUTED_VALUE"""),0.8338690326539298)</f>
        <v>0.8338690327</v>
      </c>
      <c r="AK833" s="82">
        <f>IFERROR(__xludf.DUMMYFUNCTION("""COMPUTED_VALUE"""),0.828687105768874)</f>
        <v>0.8286871058</v>
      </c>
      <c r="AL833" s="82">
        <f>IFERROR(__xludf.DUMMYFUNCTION("""COMPUTED_VALUE"""),0.9903413102863489)</f>
        <v>0.9903413103</v>
      </c>
      <c r="AM833" s="82">
        <f>IFERROR(__xludf.DUMMYFUNCTION("""COMPUTED_VALUE"""),0.9868348808881693)</f>
        <v>0.9868348809</v>
      </c>
      <c r="AN833" s="82">
        <f>IFERROR(__xludf.DUMMYFUNCTION("""COMPUTED_VALUE"""),1.1255132199596356)</f>
        <v>1.12551322</v>
      </c>
      <c r="AO833" s="82">
        <f>IFERROR(__xludf.DUMMYFUNCTION("""COMPUTED_VALUE"""),1.2343217010260634)</f>
        <v>1.234321701</v>
      </c>
      <c r="AP833" s="82">
        <f>IFERROR(__xludf.DUMMYFUNCTION("""COMPUTED_VALUE"""),0.8758432311811349)</f>
        <v>0.8758432312</v>
      </c>
      <c r="AQ833" s="82">
        <f>IFERROR(__xludf.DUMMYFUNCTION("""COMPUTED_VALUE"""),1.1400000409676614)</f>
        <v>1.140000041</v>
      </c>
      <c r="AR833" s="82">
        <f>IFERROR(__xludf.DUMMYFUNCTION("""COMPUTED_VALUE"""),1.1718541350427134)</f>
        <v>1.171854135</v>
      </c>
      <c r="AS833" s="82">
        <f>IFERROR(__xludf.DUMMYFUNCTION("""COMPUTED_VALUE"""),75.0)</f>
        <v>75</v>
      </c>
      <c r="AT833" s="82">
        <f>IFERROR(__xludf.DUMMYFUNCTION("""COMPUTED_VALUE"""),0.5601472886566349)</f>
        <v>0.5601472887</v>
      </c>
      <c r="AU833" s="82">
        <f>IFERROR(__xludf.DUMMYFUNCTION("""COMPUTED_VALUE"""),2.9802043545287)</f>
        <v>2.980204355</v>
      </c>
      <c r="AV833" s="82">
        <f>IFERROR(__xludf.DUMMYFUNCTION("""COMPUTED_VALUE"""),66.8704629965313)</f>
        <v>66.870463</v>
      </c>
      <c r="AW833" s="82">
        <f t="shared" si="1"/>
        <v>4.001672118</v>
      </c>
      <c r="AX833" s="83">
        <f t="array" ref="AX833">IFERROR(DGET('SBV Import'!A:G,"SBV",{"RSC ID","Tier";B833,A833}))</f>
        <v>54.83077034</v>
      </c>
      <c r="AY833" s="82">
        <f t="shared" si="2"/>
        <v>2.361893565</v>
      </c>
      <c r="AZ833" s="82">
        <v>1.6397785527946507</v>
      </c>
      <c r="BA833" s="84">
        <v>800.0</v>
      </c>
      <c r="BB833" s="84" t="b">
        <f>IFERROR(__xludf.DUMMYFUNCTION("iferror(if(A833="""",,E833&gt;=FILTER(Constants!$F$2:$F$10,Constants!$A$2:$A$10=A833)))"),TRUE)</f>
        <v>1</v>
      </c>
    </row>
    <row r="834">
      <c r="A834" s="80" t="str">
        <f>IFERROR(__xludf.DUMMYFUNCTION("""COMPUTED_VALUE"""),"Elite")</f>
        <v>Elite</v>
      </c>
      <c r="B834" s="73" t="str">
        <f>IFERROR(__xludf.DUMMYFUNCTION("""COMPUTED_VALUE"""),"RSC007975")</f>
        <v>RSC007975</v>
      </c>
      <c r="C834" s="73" t="str">
        <f>IFERROR(__xludf.DUMMYFUNCTION("""COMPUTED_VALUE"""),"egor")</f>
        <v>egor</v>
      </c>
      <c r="D834" s="73"/>
      <c r="E834" s="82">
        <f>IFERROR(__xludf.DUMMYFUNCTION("""COMPUTED_VALUE"""),1.0)</f>
        <v>1</v>
      </c>
      <c r="F834" s="82">
        <f>IFERROR(__xludf.DUMMYFUNCTION("""COMPUTED_VALUE"""),0.0)</f>
        <v>0</v>
      </c>
      <c r="G834" s="82">
        <f>IFERROR(__xludf.DUMMYFUNCTION("""COMPUTED_VALUE"""),1.0)</f>
        <v>1</v>
      </c>
      <c r="H834" s="86">
        <f>IFERROR(__xludf.DUMMYFUNCTION("""COMPUTED_VALUE"""),0.0)</f>
        <v>0</v>
      </c>
      <c r="I834" s="86">
        <f>IFERROR(__xludf.DUMMYFUNCTION("""COMPUTED_VALUE"""),0.3333333333333333)</f>
        <v>0.3333333333</v>
      </c>
      <c r="J834" s="82">
        <f>IFERROR(__xludf.DUMMYFUNCTION("""COMPUTED_VALUE"""),418.0)</f>
        <v>418</v>
      </c>
      <c r="K834" s="82">
        <f>IFERROR(__xludf.DUMMYFUNCTION("""COMPUTED_VALUE"""),1.0)</f>
        <v>1</v>
      </c>
      <c r="L834" s="82">
        <f>IFERROR(__xludf.DUMMYFUNCTION("""COMPUTED_VALUE"""),1.0)</f>
        <v>1</v>
      </c>
      <c r="M834" s="82">
        <f>IFERROR(__xludf.DUMMYFUNCTION("""COMPUTED_VALUE"""),2.0)</f>
        <v>2</v>
      </c>
      <c r="N834" s="82">
        <f>IFERROR(__xludf.DUMMYFUNCTION("""COMPUTED_VALUE"""),3.0)</f>
        <v>3</v>
      </c>
      <c r="O834" s="82">
        <f>IFERROR(__xludf.DUMMYFUNCTION("""COMPUTED_VALUE"""),488.0)</f>
        <v>488</v>
      </c>
      <c r="P834" s="82">
        <f>IFERROR(__xludf.DUMMYFUNCTION("""COMPUTED_VALUE"""),1.6666666666666667)</f>
        <v>1.666666667</v>
      </c>
      <c r="Q834" s="82">
        <f>IFERROR(__xludf.DUMMYFUNCTION("""COMPUTED_VALUE"""),1.0)</f>
        <v>1</v>
      </c>
      <c r="R834" s="82">
        <f>IFERROR(__xludf.DUMMYFUNCTION("""COMPUTED_VALUE"""),1.6666666666666667)</f>
        <v>1.666666667</v>
      </c>
      <c r="S834" s="82">
        <f>IFERROR(__xludf.DUMMYFUNCTION("""COMPUTED_VALUE"""),4.0)</f>
        <v>4</v>
      </c>
      <c r="T834" s="82">
        <f>IFERROR(__xludf.DUMMYFUNCTION("""COMPUTED_VALUE"""),361.5763888888889)</f>
        <v>361.5763889</v>
      </c>
      <c r="U834" s="82">
        <f>IFERROR(__xludf.DUMMYFUNCTION("""COMPUTED_VALUE"""),0.7125)</f>
        <v>0.7125</v>
      </c>
      <c r="V834" s="82">
        <f>IFERROR(__xludf.DUMMYFUNCTION("""COMPUTED_VALUE"""),0.5805555555555556)</f>
        <v>0.5805555556</v>
      </c>
      <c r="W834" s="82">
        <f>IFERROR(__xludf.DUMMYFUNCTION("""COMPUTED_VALUE"""),1.5458333333333334)</f>
        <v>1.545833333</v>
      </c>
      <c r="X834" s="82">
        <f>IFERROR(__xludf.DUMMYFUNCTION("""COMPUTED_VALUE"""),2.704166666666666)</f>
        <v>2.704166667</v>
      </c>
      <c r="Y834" s="82">
        <f>IFERROR(__xludf.DUMMYFUNCTION("""COMPUTED_VALUE"""),355.19074074074086)</f>
        <v>355.1907407</v>
      </c>
      <c r="Z834" s="82">
        <f>IFERROR(__xludf.DUMMYFUNCTION("""COMPUTED_VALUE"""),0.6999999999999997)</f>
        <v>0.7</v>
      </c>
      <c r="AA834" s="82">
        <f>IFERROR(__xludf.DUMMYFUNCTION("""COMPUTED_VALUE"""),0.5287037037037038)</f>
        <v>0.5287037037</v>
      </c>
      <c r="AB834" s="82">
        <f>IFERROR(__xludf.DUMMYFUNCTION("""COMPUTED_VALUE"""),1.4935185185185185)</f>
        <v>1.493518519</v>
      </c>
      <c r="AC834" s="82">
        <f>IFERROR(__xludf.DUMMYFUNCTION("""COMPUTED_VALUE"""),2.651851851851852)</f>
        <v>2.651851852</v>
      </c>
      <c r="AD834" s="82">
        <f>IFERROR(__xludf.DUMMYFUNCTION("""COMPUTED_VALUE"""),1.1768324791583027)</f>
        <v>1.176832479</v>
      </c>
      <c r="AE834" s="82">
        <f>IFERROR(__xludf.DUMMYFUNCTION("""COMPUTED_VALUE"""),1.428571428571429)</f>
        <v>1.428571429</v>
      </c>
      <c r="AF834" s="82">
        <f>IFERROR(__xludf.DUMMYFUNCTION("""COMPUTED_VALUE"""),1.891418563922942)</f>
        <v>1.891418564</v>
      </c>
      <c r="AG834" s="82">
        <f>IFERROR(__xludf.DUMMYFUNCTION("""COMPUTED_VALUE"""),1.339119652820831)</f>
        <v>1.339119653</v>
      </c>
      <c r="AH834" s="82">
        <f>IFERROR(__xludf.DUMMYFUNCTION("""COMPUTED_VALUE"""),1.1312849162011174)</f>
        <v>1.131284916</v>
      </c>
      <c r="AI834" s="82">
        <f>IFERROR(__xludf.DUMMYFUNCTION("""COMPUTED_VALUE"""),1.3496456488754873)</f>
        <v>1.349645649</v>
      </c>
      <c r="AJ834" s="82">
        <f>IFERROR(__xludf.DUMMYFUNCTION("""COMPUTED_VALUE"""),2.3391812865497075)</f>
        <v>2.339181287</v>
      </c>
      <c r="AK834" s="82">
        <f>IFERROR(__xludf.DUMMYFUNCTION("""COMPUTED_VALUE"""),1.7224880382775118)</f>
        <v>1.722488038</v>
      </c>
      <c r="AL834" s="82">
        <f>IFERROR(__xludf.DUMMYFUNCTION("""COMPUTED_VALUE"""),1.0781671159029649)</f>
        <v>1.078167116</v>
      </c>
      <c r="AM834" s="82">
        <f>IFERROR(__xludf.DUMMYFUNCTION("""COMPUTED_VALUE"""),1.4791987673343607)</f>
        <v>1.479198767</v>
      </c>
      <c r="AN834" s="82">
        <f>IFERROR(__xludf.DUMMYFUNCTION("""COMPUTED_VALUE"""),1.1922756656513889)</f>
        <v>1.192275666</v>
      </c>
      <c r="AO834" s="82">
        <f>IFERROR(__xludf.DUMMYFUNCTION("""COMPUTED_VALUE"""),1.4106533726012151)</f>
        <v>1.410653373</v>
      </c>
      <c r="AP834" s="82">
        <f>IFERROR(__xludf.DUMMYFUNCTION("""COMPUTED_VALUE"""),1.7516864623622699)</f>
        <v>1.751686462</v>
      </c>
      <c r="AQ834" s="82">
        <f>IFERROR(__xludf.DUMMYFUNCTION("""COMPUTED_VALUE"""),1.4030769734986601)</f>
        <v>1.403076973</v>
      </c>
      <c r="AR834" s="82">
        <f>IFERROR(__xludf.DUMMYFUNCTION("""COMPUTED_VALUE"""),1.1967872017457497)</f>
        <v>1.196787202</v>
      </c>
      <c r="AS834" s="82">
        <f>IFERROR(__xludf.DUMMYFUNCTION("""COMPUTED_VALUE"""),3.0)</f>
        <v>3</v>
      </c>
      <c r="AT834" s="82">
        <f>IFERROR(__xludf.DUMMYFUNCTION("""COMPUTED_VALUE"""),0.28336903342899195)</f>
        <v>0.2833690334</v>
      </c>
      <c r="AU834" s="82">
        <f>IFERROR(__xludf.DUMMYFUNCTION("""COMPUTED_VALUE"""),2.9652695994118603)</f>
        <v>2.965269599</v>
      </c>
      <c r="AV834" s="82">
        <f>IFERROR(__xludf.DUMMYFUNCTION("""COMPUTED_VALUE"""),66.44087651953342)</f>
        <v>66.44087652</v>
      </c>
      <c r="AW834" s="82">
        <f t="shared" si="1"/>
        <v>3.915636364</v>
      </c>
      <c r="AX834" s="83">
        <f t="array" ref="AX834">IFERROR(DGET('SBV Import'!A:G,"SBV",{"RSC ID","Tier";B834,A834}))</f>
        <v>23.83033284</v>
      </c>
      <c r="AY834" s="82">
        <f t="shared" si="2"/>
        <v>-6.775114293</v>
      </c>
      <c r="AZ834" s="82">
        <v>10.690750656799153</v>
      </c>
      <c r="BA834" s="84">
        <v>800.0</v>
      </c>
      <c r="BB834" s="84" t="b">
        <f>IFERROR(__xludf.DUMMYFUNCTION("iferror(if(A834="""",,E834&gt;=FILTER(Constants!$F$2:$F$10,Constants!$A$2:$A$10=A834)))"),TRUE)</f>
        <v>1</v>
      </c>
    </row>
    <row r="835">
      <c r="A835" s="80" t="str">
        <f>IFERROR(__xludf.DUMMYFUNCTION("""COMPUTED_VALUE"""),"Elite")</f>
        <v>Elite</v>
      </c>
      <c r="B835" s="73" t="str">
        <f>IFERROR(__xludf.DUMMYFUNCTION("""COMPUTED_VALUE"""),"RSC005024")</f>
        <v>RSC005024</v>
      </c>
      <c r="C835" s="73" t="str">
        <f>IFERROR(__xludf.DUMMYFUNCTION("""COMPUTED_VALUE"""),"SSpekky")</f>
        <v>SSpekky</v>
      </c>
      <c r="D835" s="73" t="str">
        <f>IFERROR(__xludf.DUMMYFUNCTION("""COMPUTED_VALUE"""),"Wyverns")</f>
        <v>Wyverns</v>
      </c>
      <c r="E835" s="82">
        <f>IFERROR(__xludf.DUMMYFUNCTION("""COMPUTED_VALUE"""),45.0)</f>
        <v>45</v>
      </c>
      <c r="F835" s="82">
        <f>IFERROR(__xludf.DUMMYFUNCTION("""COMPUTED_VALUE"""),24.0)</f>
        <v>24</v>
      </c>
      <c r="G835" s="82">
        <f>IFERROR(__xludf.DUMMYFUNCTION("""COMPUTED_VALUE"""),21.0)</f>
        <v>21</v>
      </c>
      <c r="H835" s="86">
        <f>IFERROR(__xludf.DUMMYFUNCTION("""COMPUTED_VALUE"""),0.5333333333333333)</f>
        <v>0.5333333333</v>
      </c>
      <c r="I835" s="86">
        <f>IFERROR(__xludf.DUMMYFUNCTION("""COMPUTED_VALUE"""),0.2740740740740741)</f>
        <v>0.2740740741</v>
      </c>
      <c r="J835" s="82">
        <f>IFERROR(__xludf.DUMMYFUNCTION("""COMPUTED_VALUE"""),386.1333333333333)</f>
        <v>386.1333333</v>
      </c>
      <c r="K835" s="82">
        <f>IFERROR(__xludf.DUMMYFUNCTION("""COMPUTED_VALUE"""),0.8222222222222222)</f>
        <v>0.8222222222</v>
      </c>
      <c r="L835" s="82">
        <f>IFERROR(__xludf.DUMMYFUNCTION("""COMPUTED_VALUE"""),0.4444444444444444)</f>
        <v>0.4444444444</v>
      </c>
      <c r="M835" s="82">
        <f>IFERROR(__xludf.DUMMYFUNCTION("""COMPUTED_VALUE"""),1.5333333333333334)</f>
        <v>1.533333333</v>
      </c>
      <c r="N835" s="82">
        <f>IFERROR(__xludf.DUMMYFUNCTION("""COMPUTED_VALUE"""),3.0)</f>
        <v>3</v>
      </c>
      <c r="O835" s="82">
        <f>IFERROR(__xludf.DUMMYFUNCTION("""COMPUTED_VALUE"""),346.5407407407408)</f>
        <v>346.5407407</v>
      </c>
      <c r="P835" s="82">
        <f>IFERROR(__xludf.DUMMYFUNCTION("""COMPUTED_VALUE"""),0.6592592592592591)</f>
        <v>0.6592592593</v>
      </c>
      <c r="Q835" s="82">
        <f>IFERROR(__xludf.DUMMYFUNCTION("""COMPUTED_VALUE"""),0.5333333333333332)</f>
        <v>0.5333333333</v>
      </c>
      <c r="R835" s="82">
        <f>IFERROR(__xludf.DUMMYFUNCTION("""COMPUTED_VALUE"""),1.4370370370370371)</f>
        <v>1.437037037</v>
      </c>
      <c r="S835" s="82">
        <f>IFERROR(__xludf.DUMMYFUNCTION("""COMPUTED_VALUE"""),2.5481481481481483)</f>
        <v>2.548148148</v>
      </c>
      <c r="T835" s="82">
        <f>IFERROR(__xludf.DUMMYFUNCTION("""COMPUTED_VALUE"""),357.29167141291947)</f>
        <v>357.2916714</v>
      </c>
      <c r="U835" s="82">
        <f>IFERROR(__xludf.DUMMYFUNCTION("""COMPUTED_VALUE"""),0.7892945381074143)</f>
        <v>0.7892945381</v>
      </c>
      <c r="V835" s="82">
        <f>IFERROR(__xludf.DUMMYFUNCTION("""COMPUTED_VALUE"""),0.5889167411915059)</f>
        <v>0.5889167412</v>
      </c>
      <c r="W835" s="82">
        <f>IFERROR(__xludf.DUMMYFUNCTION("""COMPUTED_VALUE"""),1.37400074711887)</f>
        <v>1.374000747</v>
      </c>
      <c r="X835" s="82">
        <f>IFERROR(__xludf.DUMMYFUNCTION("""COMPUTED_VALUE"""),2.6617585756027227)</f>
        <v>2.661758576</v>
      </c>
      <c r="Y835" s="82">
        <f>IFERROR(__xludf.DUMMYFUNCTION("""COMPUTED_VALUE"""),351.9389472605013)</f>
        <v>351.9389473</v>
      </c>
      <c r="Z835" s="82">
        <f>IFERROR(__xludf.DUMMYFUNCTION("""COMPUTED_VALUE"""),0.7152452169041449)</f>
        <v>0.7152452169</v>
      </c>
      <c r="AA835" s="82">
        <f>IFERROR(__xludf.DUMMYFUNCTION("""COMPUTED_VALUE"""),0.5306374178304119)</f>
        <v>0.5306374178</v>
      </c>
      <c r="AB835" s="82">
        <f>IFERROR(__xludf.DUMMYFUNCTION("""COMPUTED_VALUE"""),1.4657010010578224)</f>
        <v>1.465701001</v>
      </c>
      <c r="AC835" s="82">
        <f>IFERROR(__xludf.DUMMYFUNCTION("""COMPUTED_VALUE"""),2.525817895454816)</f>
        <v>2.525817895</v>
      </c>
      <c r="AD835" s="82">
        <f>IFERROR(__xludf.DUMMYFUNCTION("""COMPUTED_VALUE"""),1.0971599941950207)</f>
        <v>1.097159994</v>
      </c>
      <c r="AE835" s="82">
        <f>IFERROR(__xludf.DUMMYFUNCTION("""COMPUTED_VALUE"""),1.1495668936887333)</f>
        <v>1.149566894</v>
      </c>
      <c r="AF835" s="82">
        <f>IFERROR(__xludf.DUMMYFUNCTION("""COMPUTED_VALUE"""),0.8375671023382031)</f>
        <v>0.8375671023</v>
      </c>
      <c r="AG835" s="82">
        <f>IFERROR(__xludf.DUMMYFUNCTION("""COMPUTED_VALUE"""),1.0461433349821687)</f>
        <v>1.046143335</v>
      </c>
      <c r="AH835" s="82">
        <f>IFERROR(__xludf.DUMMYFUNCTION("""COMPUTED_VALUE"""),1.1877340822544926)</f>
        <v>1.187734082</v>
      </c>
      <c r="AI835" s="82">
        <f>IFERROR(__xludf.DUMMYFUNCTION("""COMPUTED_VALUE"""),0.969909932046096)</f>
        <v>0.969909932</v>
      </c>
      <c r="AJ835" s="82">
        <f>IFERROR(__xludf.DUMMYFUNCTION("""COMPUTED_VALUE"""),0.8352512622728185)</f>
        <v>0.8352512623</v>
      </c>
      <c r="AK835" s="82">
        <f>IFERROR(__xludf.DUMMYFUNCTION("""COMPUTED_VALUE"""),0.9056175449424048)</f>
        <v>0.9056175449</v>
      </c>
      <c r="AL835" s="82">
        <f>IFERROR(__xludf.DUMMYFUNCTION("""COMPUTED_VALUE"""),1.0458779153143456)</f>
        <v>1.045877915</v>
      </c>
      <c r="AM835" s="82">
        <f>IFERROR(__xludf.DUMMYFUNCTION("""COMPUTED_VALUE"""),0.9573175311630775)</f>
        <v>0.9573175312</v>
      </c>
      <c r="AN835" s="82">
        <f>IFERROR(__xludf.DUMMYFUNCTION("""COMPUTED_VALUE"""),1.101381284761219)</f>
        <v>1.101381285</v>
      </c>
      <c r="AO835" s="82">
        <f>IFERROR(__xludf.DUMMYFUNCTION("""COMPUTED_VALUE"""),1.1598705508054437)</f>
        <v>1.159870551</v>
      </c>
      <c r="AP835" s="82">
        <f>IFERROR(__xludf.DUMMYFUNCTION("""COMPUTED_VALUE"""),0.7785273166054532)</f>
        <v>0.7785273166</v>
      </c>
      <c r="AQ835" s="82">
        <f>IFERROR(__xludf.DUMMYFUNCTION("""COMPUTED_VALUE"""),1.075692346348973)</f>
        <v>1.075692346</v>
      </c>
      <c r="AR835" s="82">
        <f>IFERROR(__xludf.DUMMYFUNCTION("""COMPUTED_VALUE"""),1.1967872017457497)</f>
        <v>1.196787202</v>
      </c>
      <c r="AS835" s="82">
        <f>IFERROR(__xludf.DUMMYFUNCTION("""COMPUTED_VALUE"""),100.0)</f>
        <v>100</v>
      </c>
      <c r="AT835" s="82">
        <f>IFERROR(__xludf.DUMMYFUNCTION("""COMPUTED_VALUE"""),0.5438678605170787)</f>
        <v>0.5438678605</v>
      </c>
      <c r="AU835" s="82">
        <f>IFERROR(__xludf.DUMMYFUNCTION("""COMPUTED_VALUE"""),2.9534023705107875)</f>
        <v>2.953402371</v>
      </c>
      <c r="AV835" s="82">
        <f>IFERROR(__xludf.DUMMYFUNCTION("""COMPUTED_VALUE"""),66.09952501993025)</f>
        <v>66.09952502</v>
      </c>
      <c r="AW835" s="82">
        <f t="shared" si="1"/>
        <v>3.84920542</v>
      </c>
      <c r="AX835" s="83">
        <f t="array" ref="AX835">IFERROR(DGET('SBV Import'!A:G,"SBV",{"RSC ID","Tier";B835,A835}))</f>
        <v>63.91673438</v>
      </c>
      <c r="AY835" s="82">
        <f t="shared" si="2"/>
        <v>3.46168485</v>
      </c>
      <c r="AZ835" s="82">
        <v>0.3875205701534603</v>
      </c>
      <c r="BA835" s="84">
        <v>800.0</v>
      </c>
      <c r="BB835" s="84" t="b">
        <f>IFERROR(__xludf.DUMMYFUNCTION("iferror(if(A835="""",,E835&gt;=FILTER(Constants!$F$2:$F$10,Constants!$A$2:$A$10=A835)))"),TRUE)</f>
        <v>1</v>
      </c>
    </row>
    <row r="836">
      <c r="A836" s="80" t="str">
        <f>IFERROR(__xludf.DUMMYFUNCTION("""COMPUTED_VALUE"""),"Elite")</f>
        <v>Elite</v>
      </c>
      <c r="B836" s="73" t="str">
        <f>IFERROR(__xludf.DUMMYFUNCTION("""COMPUTED_VALUE"""),"RSC006197")</f>
        <v>RSC006197</v>
      </c>
      <c r="C836" s="73" t="str">
        <f>IFERROR(__xludf.DUMMYFUNCTION("""COMPUTED_VALUE"""),"Bullet")</f>
        <v>Bullet</v>
      </c>
      <c r="D836" s="73"/>
      <c r="E836" s="82">
        <f>IFERROR(__xludf.DUMMYFUNCTION("""COMPUTED_VALUE"""),11.0)</f>
        <v>11</v>
      </c>
      <c r="F836" s="82">
        <f>IFERROR(__xludf.DUMMYFUNCTION("""COMPUTED_VALUE"""),4.0)</f>
        <v>4</v>
      </c>
      <c r="G836" s="82">
        <f>IFERROR(__xludf.DUMMYFUNCTION("""COMPUTED_VALUE"""),7.0)</f>
        <v>7</v>
      </c>
      <c r="H836" s="86">
        <f>IFERROR(__xludf.DUMMYFUNCTION("""COMPUTED_VALUE"""),0.36363636363636365)</f>
        <v>0.3636363636</v>
      </c>
      <c r="I836" s="86">
        <f>IFERROR(__xludf.DUMMYFUNCTION("""COMPUTED_VALUE"""),0.2631578947368421)</f>
        <v>0.2631578947</v>
      </c>
      <c r="J836" s="82">
        <f>IFERROR(__xludf.DUMMYFUNCTION("""COMPUTED_VALUE"""),371.7142857142857)</f>
        <v>371.7142857</v>
      </c>
      <c r="K836" s="82">
        <f>IFERROR(__xludf.DUMMYFUNCTION("""COMPUTED_VALUE"""),0.7142857142857143)</f>
        <v>0.7142857143</v>
      </c>
      <c r="L836" s="82">
        <f>IFERROR(__xludf.DUMMYFUNCTION("""COMPUTED_VALUE"""),1.0)</f>
        <v>1</v>
      </c>
      <c r="M836" s="82">
        <f>IFERROR(__xludf.DUMMYFUNCTION("""COMPUTED_VALUE"""),1.2857142857142858)</f>
        <v>1.285714286</v>
      </c>
      <c r="N836" s="82">
        <f>IFERROR(__xludf.DUMMYFUNCTION("""COMPUTED_VALUE"""),2.7142857142857144)</f>
        <v>2.714285714</v>
      </c>
      <c r="O836" s="82">
        <f>IFERROR(__xludf.DUMMYFUNCTION("""COMPUTED_VALUE"""),393.047619047619)</f>
        <v>393.047619</v>
      </c>
      <c r="P836" s="82">
        <f>IFERROR(__xludf.DUMMYFUNCTION("""COMPUTED_VALUE"""),1.0)</f>
        <v>1</v>
      </c>
      <c r="Q836" s="82">
        <f>IFERROR(__xludf.DUMMYFUNCTION("""COMPUTED_VALUE"""),0.6666666666666666)</f>
        <v>0.6666666667</v>
      </c>
      <c r="R836" s="82">
        <f>IFERROR(__xludf.DUMMYFUNCTION("""COMPUTED_VALUE"""),1.2857142857142854)</f>
        <v>1.285714286</v>
      </c>
      <c r="S836" s="82">
        <f>IFERROR(__xludf.DUMMYFUNCTION("""COMPUTED_VALUE"""),2.9523809523809526)</f>
        <v>2.952380952</v>
      </c>
      <c r="T836" s="82">
        <f>IFERROR(__xludf.DUMMYFUNCTION("""COMPUTED_VALUE"""),365.8224690689612)</f>
        <v>365.8224691</v>
      </c>
      <c r="U836" s="82">
        <f>IFERROR(__xludf.DUMMYFUNCTION("""COMPUTED_VALUE"""),0.7913276958237433)</f>
        <v>0.7913276958</v>
      </c>
      <c r="V836" s="82">
        <f>IFERROR(__xludf.DUMMYFUNCTION("""COMPUTED_VALUE"""),0.5571799341562187)</f>
        <v>0.5571799342</v>
      </c>
      <c r="W836" s="82">
        <f>IFERROR(__xludf.DUMMYFUNCTION("""COMPUTED_VALUE"""),1.4261931757485116)</f>
        <v>1.426193176</v>
      </c>
      <c r="X836" s="82">
        <f>IFERROR(__xludf.DUMMYFUNCTION("""COMPUTED_VALUE"""),2.80656442914348)</f>
        <v>2.806564429</v>
      </c>
      <c r="Y836" s="82">
        <f>IFERROR(__xludf.DUMMYFUNCTION("""COMPUTED_VALUE"""),363.1482183764793)</f>
        <v>363.1482184</v>
      </c>
      <c r="Z836" s="82">
        <f>IFERROR(__xludf.DUMMYFUNCTION("""COMPUTED_VALUE"""),0.7619117140856271)</f>
        <v>0.7619117141</v>
      </c>
      <c r="AA836" s="82">
        <f>IFERROR(__xludf.DUMMYFUNCTION("""COMPUTED_VALUE"""),0.5678065507116892)</f>
        <v>0.5678065507</v>
      </c>
      <c r="AB836" s="82">
        <f>IFERROR(__xludf.DUMMYFUNCTION("""COMPUTED_VALUE"""),1.509789622536658)</f>
        <v>1.509789623</v>
      </c>
      <c r="AC836" s="82">
        <f>IFERROR(__xludf.DUMMYFUNCTION("""COMPUTED_VALUE"""),2.5803024368241765)</f>
        <v>2.580302437</v>
      </c>
      <c r="AD836" s="82">
        <f>IFERROR(__xludf.DUMMYFUNCTION("""COMPUTED_VALUE"""),1.0235883501676053)</f>
        <v>1.02358835</v>
      </c>
      <c r="AE836" s="82">
        <f>IFERROR(__xludf.DUMMYFUNCTION("""COMPUTED_VALUE"""),0.9374914456367573)</f>
        <v>0.9374914456</v>
      </c>
      <c r="AF836" s="82">
        <f>IFERROR(__xludf.DUMMYFUNCTION("""COMPUTED_VALUE"""),1.7611631967729136)</f>
        <v>1.761163197</v>
      </c>
      <c r="AG836" s="82">
        <f>IFERROR(__xludf.DUMMYFUNCTION("""COMPUTED_VALUE"""),0.851585059615197)</f>
        <v>0.8515850596</v>
      </c>
      <c r="AH836" s="82">
        <f>IFERROR(__xludf.DUMMYFUNCTION("""COMPUTED_VALUE"""),1.0519254160091573)</f>
        <v>1.051925416</v>
      </c>
      <c r="AI836" s="82">
        <f>IFERROR(__xludf.DUMMYFUNCTION("""COMPUTED_VALUE"""),1.074421754486397)</f>
        <v>1.074421754</v>
      </c>
      <c r="AJ836" s="82">
        <f>IFERROR(__xludf.DUMMYFUNCTION("""COMPUTED_VALUE"""),1.2636989773990361)</f>
        <v>1.263698977</v>
      </c>
      <c r="AK836" s="82">
        <f>IFERROR(__xludf.DUMMYFUNCTION("""COMPUTED_VALUE"""),1.196501571213709)</f>
        <v>1.196501571</v>
      </c>
      <c r="AL836" s="82">
        <f>IFERROR(__xludf.DUMMYFUNCTION("""COMPUTED_VALUE"""),0.901500797772014)</f>
        <v>0.9015007978</v>
      </c>
      <c r="AM836" s="82">
        <f>IFERROR(__xludf.DUMMYFUNCTION("""COMPUTED_VALUE"""),1.051955523173923)</f>
        <v>1.051955523</v>
      </c>
      <c r="AN836" s="82">
        <f>IFERROR(__xludf.DUMMYFUNCTION("""COMPUTED_VALUE"""),1.0602533431390682)</f>
        <v>1.060253343</v>
      </c>
      <c r="AO836" s="82">
        <f>IFERROR(__xludf.DUMMYFUNCTION("""COMPUTED_VALUE"""),1.0076095518580108)</f>
        <v>1.007609552</v>
      </c>
      <c r="AP836" s="82">
        <f>IFERROR(__xludf.DUMMYFUNCTION("""COMPUTED_VALUE"""),1.7516864623622699)</f>
        <v>1.751686462</v>
      </c>
      <c r="AQ836" s="82">
        <f>IFERROR(__xludf.DUMMYFUNCTION("""COMPUTED_VALUE"""),0.9019780543919959)</f>
        <v>0.9019780544</v>
      </c>
      <c r="AR836" s="82">
        <f>IFERROR(__xludf.DUMMYFUNCTION("""COMPUTED_VALUE"""),1.0828074682461546)</f>
        <v>1.082807468</v>
      </c>
      <c r="AS836" s="82">
        <f>IFERROR(__xludf.DUMMYFUNCTION("""COMPUTED_VALUE"""),14.0)</f>
        <v>14</v>
      </c>
      <c r="AT836" s="82">
        <f>IFERROR(__xludf.DUMMYFUNCTION("""COMPUTED_VALUE"""),0.2140249782377047)</f>
        <v>0.2140249782</v>
      </c>
      <c r="AU836" s="82">
        <f>IFERROR(__xludf.DUMMYFUNCTION("""COMPUTED_VALUE"""),2.9528226438072354)</f>
        <v>2.952822644</v>
      </c>
      <c r="AV836" s="82">
        <f>IFERROR(__xludf.DUMMYFUNCTION("""COMPUTED_VALUE"""),66.08284963755858)</f>
        <v>66.08284964</v>
      </c>
      <c r="AW836" s="82">
        <f t="shared" si="1"/>
        <v>3.846003088</v>
      </c>
      <c r="AX836" s="83">
        <f t="array" ref="AX836">IFERROR(DGET('SBV Import'!A:G,"SBV",{"RSC ID","Tier";B836,A836}))</f>
        <v>57.35519579</v>
      </c>
      <c r="AY836" s="82">
        <f t="shared" si="2"/>
        <v>2.602136808</v>
      </c>
      <c r="AZ836" s="82">
        <v>1.2438662806156144</v>
      </c>
      <c r="BA836" s="84">
        <v>800.0</v>
      </c>
      <c r="BB836" s="84" t="b">
        <f>IFERROR(__xludf.DUMMYFUNCTION("iferror(if(A836="""",,E836&gt;=FILTER(Constants!$F$2:$F$10,Constants!$A$2:$A$10=A836)))"),TRUE)</f>
        <v>1</v>
      </c>
    </row>
    <row r="837">
      <c r="A837" s="80" t="str">
        <f>IFERROR(__xludf.DUMMYFUNCTION("""COMPUTED_VALUE"""),"Elite")</f>
        <v>Elite</v>
      </c>
      <c r="B837" s="73" t="str">
        <f>IFERROR(__xludf.DUMMYFUNCTION("""COMPUTED_VALUE"""),"RSC004863")</f>
        <v>RSC004863</v>
      </c>
      <c r="C837" s="73" t="str">
        <f>IFERROR(__xludf.DUMMYFUNCTION("""COMPUTED_VALUE"""),"wicked")</f>
        <v>wicked</v>
      </c>
      <c r="D837" s="73" t="str">
        <f>IFERROR(__xludf.DUMMYFUNCTION("""COMPUTED_VALUE"""),"Forge Defenders")</f>
        <v>Forge Defenders</v>
      </c>
      <c r="E837" s="82">
        <f>IFERROR(__xludf.DUMMYFUNCTION("""COMPUTED_VALUE"""),40.0)</f>
        <v>40</v>
      </c>
      <c r="F837" s="82">
        <f>IFERROR(__xludf.DUMMYFUNCTION("""COMPUTED_VALUE"""),24.0)</f>
        <v>24</v>
      </c>
      <c r="G837" s="82">
        <f>IFERROR(__xludf.DUMMYFUNCTION("""COMPUTED_VALUE"""),16.0)</f>
        <v>16</v>
      </c>
      <c r="H837" s="86">
        <f>IFERROR(__xludf.DUMMYFUNCTION("""COMPUTED_VALUE"""),0.6)</f>
        <v>0.6</v>
      </c>
      <c r="I837" s="86">
        <f>IFERROR(__xludf.DUMMYFUNCTION("""COMPUTED_VALUE"""),0.22307692307692306)</f>
        <v>0.2230769231</v>
      </c>
      <c r="J837" s="82">
        <f>IFERROR(__xludf.DUMMYFUNCTION("""COMPUTED_VALUE"""),347.0)</f>
        <v>347</v>
      </c>
      <c r="K837" s="82">
        <f>IFERROR(__xludf.DUMMYFUNCTION("""COMPUTED_VALUE"""),0.725)</f>
        <v>0.725</v>
      </c>
      <c r="L837" s="82">
        <f>IFERROR(__xludf.DUMMYFUNCTION("""COMPUTED_VALUE"""),0.525)</f>
        <v>0.525</v>
      </c>
      <c r="M837" s="82">
        <f>IFERROR(__xludf.DUMMYFUNCTION("""COMPUTED_VALUE"""),1.275)</f>
        <v>1.275</v>
      </c>
      <c r="N837" s="82">
        <f>IFERROR(__xludf.DUMMYFUNCTION("""COMPUTED_VALUE"""),3.25)</f>
        <v>3.25</v>
      </c>
      <c r="O837" s="82">
        <f>IFERROR(__xludf.DUMMYFUNCTION("""COMPUTED_VALUE"""),333.1333333333334)</f>
        <v>333.1333333</v>
      </c>
      <c r="P837" s="82">
        <f>IFERROR(__xludf.DUMMYFUNCTION("""COMPUTED_VALUE"""),0.5833333333333333)</f>
        <v>0.5833333333</v>
      </c>
      <c r="Q837" s="82">
        <f>IFERROR(__xludf.DUMMYFUNCTION("""COMPUTED_VALUE"""),0.45000000000000007)</f>
        <v>0.45</v>
      </c>
      <c r="R837" s="82">
        <f>IFERROR(__xludf.DUMMYFUNCTION("""COMPUTED_VALUE"""),1.491666666666667)</f>
        <v>1.491666667</v>
      </c>
      <c r="S837" s="82">
        <f>IFERROR(__xludf.DUMMYFUNCTION("""COMPUTED_VALUE"""),2.3583333333333334)</f>
        <v>2.358333333</v>
      </c>
      <c r="T837" s="82">
        <f>IFERROR(__xludf.DUMMYFUNCTION("""COMPUTED_VALUE"""),365.1556246401242)</f>
        <v>365.1556246</v>
      </c>
      <c r="U837" s="82">
        <f>IFERROR(__xludf.DUMMYFUNCTION("""COMPUTED_VALUE"""),0.8131050761288069)</f>
        <v>0.8131050761</v>
      </c>
      <c r="V837" s="82">
        <f>IFERROR(__xludf.DUMMYFUNCTION("""COMPUTED_VALUE"""),0.5727982445716321)</f>
        <v>0.5727982446</v>
      </c>
      <c r="W837" s="82">
        <f>IFERROR(__xludf.DUMMYFUNCTION("""COMPUTED_VALUE"""),1.4270933904119152)</f>
        <v>1.42709339</v>
      </c>
      <c r="X837" s="82">
        <f>IFERROR(__xludf.DUMMYFUNCTION("""COMPUTED_VALUE"""),2.712165496043201)</f>
        <v>2.712165496</v>
      </c>
      <c r="Y837" s="82">
        <f>IFERROR(__xludf.DUMMYFUNCTION("""COMPUTED_VALUE"""),362.86796934896483)</f>
        <v>362.8679693</v>
      </c>
      <c r="Z837" s="82">
        <f>IFERROR(__xludf.DUMMYFUNCTION("""COMPUTED_VALUE"""),0.7799587069421499)</f>
        <v>0.7799587069</v>
      </c>
      <c r="AA837" s="82">
        <f>IFERROR(__xludf.DUMMYFUNCTION("""COMPUTED_VALUE"""),0.5820176181237106)</f>
        <v>0.5820176181</v>
      </c>
      <c r="AB837" s="82">
        <f>IFERROR(__xludf.DUMMYFUNCTION("""COMPUTED_VALUE"""),1.450763119902463)</f>
        <v>1.45076312</v>
      </c>
      <c r="AC837" s="82">
        <f>IFERROR(__xludf.DUMMYFUNCTION("""COMPUTED_VALUE"""),2.6407881856614965)</f>
        <v>2.640788186</v>
      </c>
      <c r="AD837" s="82">
        <f>IFERROR(__xludf.DUMMYFUNCTION("""COMPUTED_VALUE"""),0.9562706805523944)</f>
        <v>0.9562706806</v>
      </c>
      <c r="AE837" s="82">
        <f>IFERROR(__xludf.DUMMYFUNCTION("""COMPUTED_VALUE"""),0.9295363889742099)</f>
        <v>0.929536389</v>
      </c>
      <c r="AF837" s="82">
        <f>IFERROR(__xludf.DUMMYFUNCTION("""COMPUTED_VALUE"""),0.9020345495596472)</f>
        <v>0.9020345496</v>
      </c>
      <c r="AG837" s="82">
        <f>IFERROR(__xludf.DUMMYFUNCTION("""COMPUTED_VALUE"""),0.8788478163724758)</f>
        <v>0.8788478164</v>
      </c>
      <c r="AH837" s="82">
        <f>IFERROR(__xludf.DUMMYFUNCTION("""COMPUTED_VALUE"""),1.230693176244236)</f>
        <v>1.230693176</v>
      </c>
      <c r="AI837" s="82">
        <f>IFERROR(__xludf.DUMMYFUNCTION("""COMPUTED_VALUE"""),0.9123050854321357)</f>
        <v>0.9123050854</v>
      </c>
      <c r="AJ837" s="82">
        <f>IFERROR(__xludf.DUMMYFUNCTION("""COMPUTED_VALUE"""),0.7174144528903732)</f>
        <v>0.7174144529</v>
      </c>
      <c r="AK837" s="82">
        <f>IFERROR(__xludf.DUMMYFUNCTION("""COMPUTED_VALUE"""),0.7856169327762748)</f>
        <v>0.7856169328</v>
      </c>
      <c r="AL837" s="82">
        <f>IFERROR(__xludf.DUMMYFUNCTION("""COMPUTED_VALUE"""),1.0452481082798046)</f>
        <v>1.045248108</v>
      </c>
      <c r="AM837" s="82">
        <f>IFERROR(__xludf.DUMMYFUNCTION("""COMPUTED_VALUE"""),0.8695388746645158)</f>
        <v>0.8695388747</v>
      </c>
      <c r="AN837" s="82">
        <f>IFERROR(__xludf.DUMMYFUNCTION("""COMPUTED_VALUE"""),0.9897599425383539)</f>
        <v>0.9897599425</v>
      </c>
      <c r="AO837" s="82">
        <f>IFERROR(__xludf.DUMMYFUNCTION("""COMPUTED_VALUE"""),1.022723695135881)</f>
        <v>1.022723695</v>
      </c>
      <c r="AP837" s="82">
        <f>IFERROR(__xludf.DUMMYFUNCTION("""COMPUTED_VALUE"""),0.9196353927401917)</f>
        <v>0.9196353927</v>
      </c>
      <c r="AQ837" s="82">
        <f>IFERROR(__xludf.DUMMYFUNCTION("""COMPUTED_VALUE"""),0.8944615706053958)</f>
        <v>0.8944615706</v>
      </c>
      <c r="AR837" s="82">
        <f>IFERROR(__xludf.DUMMYFUNCTION("""COMPUTED_VALUE"""),1.2965194685578956)</f>
        <v>1.296519469</v>
      </c>
      <c r="AS837" s="82">
        <f>IFERROR(__xludf.DUMMYFUNCTION("""COMPUTED_VALUE"""),94.0)</f>
        <v>94</v>
      </c>
      <c r="AT837" s="82">
        <f>IFERROR(__xludf.DUMMYFUNCTION("""COMPUTED_VALUE"""),0.6087290637513761)</f>
        <v>0.6087290638</v>
      </c>
      <c r="AU837" s="82">
        <f>IFERROR(__xludf.DUMMYFUNCTION("""COMPUTED_VALUE"""),2.9409793032280365)</f>
        <v>2.940979303</v>
      </c>
      <c r="AV837" s="82">
        <f>IFERROR(__xludf.DUMMYFUNCTION("""COMPUTED_VALUE"""),65.74218526673354)</f>
        <v>65.74218527</v>
      </c>
      <c r="AW837" s="82">
        <f t="shared" si="1"/>
        <v>3.781439448</v>
      </c>
      <c r="AX837" s="83">
        <f t="array" ref="AX837">IFERROR(DGET('SBV Import'!A:G,"SBV",{"RSC ID","Tier";B837,A837}))</f>
        <v>56.0905294</v>
      </c>
      <c r="AY837" s="82">
        <f t="shared" si="2"/>
        <v>2.476705881</v>
      </c>
      <c r="AZ837" s="82">
        <v>1.3047335671895586</v>
      </c>
      <c r="BA837" s="84">
        <v>800.0</v>
      </c>
      <c r="BB837" s="84" t="b">
        <f>IFERROR(__xludf.DUMMYFUNCTION("iferror(if(A837="""",,E837&gt;=FILTER(Constants!$F$2:$F$10,Constants!$A$2:$A$10=A837)))"),TRUE)</f>
        <v>1</v>
      </c>
    </row>
    <row r="838">
      <c r="A838" s="80" t="str">
        <f>IFERROR(__xludf.DUMMYFUNCTION("""COMPUTED_VALUE"""),"Elite")</f>
        <v>Elite</v>
      </c>
      <c r="B838" s="73" t="str">
        <f>IFERROR(__xludf.DUMMYFUNCTION("""COMPUTED_VALUE"""),"RSC001292")</f>
        <v>RSC001292</v>
      </c>
      <c r="C838" s="73" t="str">
        <f>IFERROR(__xludf.DUMMYFUNCTION("""COMPUTED_VALUE"""),"flamethrowr")</f>
        <v>flamethrowr</v>
      </c>
      <c r="D838" s="73" t="str">
        <f>IFERROR(__xludf.DUMMYFUNCTION("""COMPUTED_VALUE"""),"Black-Holes")</f>
        <v>Black-Holes</v>
      </c>
      <c r="E838" s="82">
        <f>IFERROR(__xludf.DUMMYFUNCTION("""COMPUTED_VALUE"""),15.0)</f>
        <v>15</v>
      </c>
      <c r="F838" s="82">
        <f>IFERROR(__xludf.DUMMYFUNCTION("""COMPUTED_VALUE"""),11.0)</f>
        <v>11</v>
      </c>
      <c r="G838" s="82">
        <f>IFERROR(__xludf.DUMMYFUNCTION("""COMPUTED_VALUE"""),4.0)</f>
        <v>4</v>
      </c>
      <c r="H838" s="86">
        <f>IFERROR(__xludf.DUMMYFUNCTION("""COMPUTED_VALUE"""),0.7333333333333333)</f>
        <v>0.7333333333</v>
      </c>
      <c r="I838" s="86">
        <f>IFERROR(__xludf.DUMMYFUNCTION("""COMPUTED_VALUE"""),0.375)</f>
        <v>0.375</v>
      </c>
      <c r="J838" s="82">
        <f>IFERROR(__xludf.DUMMYFUNCTION("""COMPUTED_VALUE"""),364.26666666666665)</f>
        <v>364.2666667</v>
      </c>
      <c r="K838" s="82">
        <f>IFERROR(__xludf.DUMMYFUNCTION("""COMPUTED_VALUE"""),1.0)</f>
        <v>1</v>
      </c>
      <c r="L838" s="82">
        <f>IFERROR(__xludf.DUMMYFUNCTION("""COMPUTED_VALUE"""),0.8666666666666667)</f>
        <v>0.8666666667</v>
      </c>
      <c r="M838" s="82">
        <f>IFERROR(__xludf.DUMMYFUNCTION("""COMPUTED_VALUE"""),1.0)</f>
        <v>1</v>
      </c>
      <c r="N838" s="82">
        <f>IFERROR(__xludf.DUMMYFUNCTION("""COMPUTED_VALUE"""),2.6666666666666665)</f>
        <v>2.666666667</v>
      </c>
      <c r="O838" s="82">
        <f>IFERROR(__xludf.DUMMYFUNCTION("""COMPUTED_VALUE"""),346.93333333333334)</f>
        <v>346.9333333</v>
      </c>
      <c r="P838" s="82">
        <f>IFERROR(__xludf.DUMMYFUNCTION("""COMPUTED_VALUE"""),0.7111111111111111)</f>
        <v>0.7111111111</v>
      </c>
      <c r="Q838" s="82">
        <f>IFERROR(__xludf.DUMMYFUNCTION("""COMPUTED_VALUE"""),0.4888888888888888)</f>
        <v>0.4888888889</v>
      </c>
      <c r="R838" s="82">
        <f>IFERROR(__xludf.DUMMYFUNCTION("""COMPUTED_VALUE"""),1.3777777777777778)</f>
        <v>1.377777778</v>
      </c>
      <c r="S838" s="82">
        <f>IFERROR(__xludf.DUMMYFUNCTION("""COMPUTED_VALUE"""),2.3777777777777778)</f>
        <v>2.377777778</v>
      </c>
      <c r="T838" s="82">
        <f>IFERROR(__xludf.DUMMYFUNCTION("""COMPUTED_VALUE"""),328.6908804338433)</f>
        <v>328.6908804</v>
      </c>
      <c r="U838" s="82">
        <f>IFERROR(__xludf.DUMMYFUNCTION("""COMPUTED_VALUE"""),0.5723977400795842)</f>
        <v>0.5723977401</v>
      </c>
      <c r="V838" s="82">
        <f>IFERROR(__xludf.DUMMYFUNCTION("""COMPUTED_VALUE"""),0.4347913561679086)</f>
        <v>0.4347913562</v>
      </c>
      <c r="W838" s="82">
        <f>IFERROR(__xludf.DUMMYFUNCTION("""COMPUTED_VALUE"""),1.490275278833515)</f>
        <v>1.490275279</v>
      </c>
      <c r="X838" s="82">
        <f>IFERROR(__xludf.DUMMYFUNCTION("""COMPUTED_VALUE"""),2.2913504316520226)</f>
        <v>2.291350432</v>
      </c>
      <c r="Y838" s="82">
        <f>IFERROR(__xludf.DUMMYFUNCTION("""COMPUTED_VALUE"""),382.629357591319)</f>
        <v>382.6293576</v>
      </c>
      <c r="Z838" s="82">
        <f>IFERROR(__xludf.DUMMYFUNCTION("""COMPUTED_VALUE"""),0.9540900278981366)</f>
        <v>0.9540900279</v>
      </c>
      <c r="AA838" s="82">
        <f>IFERROR(__xludf.DUMMYFUNCTION("""COMPUTED_VALUE"""),0.7367062343523146)</f>
        <v>0.7367062344</v>
      </c>
      <c r="AB838" s="82">
        <f>IFERROR(__xludf.DUMMYFUNCTION("""COMPUTED_VALUE"""),1.2833347002967004)</f>
        <v>1.2833347</v>
      </c>
      <c r="AC838" s="82">
        <f>IFERROR(__xludf.DUMMYFUNCTION("""COMPUTED_VALUE"""),2.949745972832044)</f>
        <v>2.949745973</v>
      </c>
      <c r="AD838" s="82">
        <f>IFERROR(__xludf.DUMMYFUNCTION("""COMPUTED_VALUE"""),0.9520091949027465)</f>
        <v>0.9520091949</v>
      </c>
      <c r="AE838" s="82">
        <f>IFERROR(__xludf.DUMMYFUNCTION("""COMPUTED_VALUE"""),1.0481191195373913)</f>
        <v>1.04811912</v>
      </c>
      <c r="AF838" s="82">
        <f>IFERROR(__xludf.DUMMYFUNCTION("""COMPUTED_VALUE"""),1.1764074012874461)</f>
        <v>1.176407401</v>
      </c>
      <c r="AG838" s="82">
        <f>IFERROR(__xludf.DUMMYFUNCTION("""COMPUTED_VALUE"""),0.7792199492219801)</f>
        <v>0.7792199492</v>
      </c>
      <c r="AH838" s="82">
        <f>IFERROR(__xludf.DUMMYFUNCTION("""COMPUTED_VALUE"""),0.9040326493289205)</f>
        <v>0.9040326493</v>
      </c>
      <c r="AI838" s="82">
        <f>IFERROR(__xludf.DUMMYFUNCTION("""COMPUTED_VALUE"""),1.0555003317263065)</f>
        <v>1.055500332</v>
      </c>
      <c r="AJ838" s="82">
        <f>IFERROR(__xludf.DUMMYFUNCTION("""COMPUTED_VALUE"""),1.242337384162699)</f>
        <v>1.242337384</v>
      </c>
      <c r="AK838" s="82">
        <f>IFERROR(__xludf.DUMMYFUNCTION("""COMPUTED_VALUE"""),1.1244218219924518)</f>
        <v>1.124421822</v>
      </c>
      <c r="AL838" s="82">
        <f>IFERROR(__xludf.DUMMYFUNCTION("""COMPUTED_VALUE"""),0.9245122678651743)</f>
        <v>0.9245122679</v>
      </c>
      <c r="AM838" s="82">
        <f>IFERROR(__xludf.DUMMYFUNCTION("""COMPUTED_VALUE"""),1.0377189560059754)</f>
        <v>1.037718956</v>
      </c>
      <c r="AN838" s="82">
        <f>IFERROR(__xludf.DUMMYFUNCTION("""COMPUTED_VALUE"""),1.0390102451545755)</f>
        <v>1.039010245</v>
      </c>
      <c r="AO838" s="82">
        <f>IFERROR(__xludf.DUMMYFUNCTION("""COMPUTED_VALUE"""),1.4106533726012151)</f>
        <v>1.410653373</v>
      </c>
      <c r="AP838" s="82">
        <f>IFERROR(__xludf.DUMMYFUNCTION("""COMPUTED_VALUE"""),1.518128267380634)</f>
        <v>1.518128267</v>
      </c>
      <c r="AQ838" s="82">
        <f>IFERROR(__xludf.DUMMYFUNCTION("""COMPUTED_VALUE"""),0.7015384867493301)</f>
        <v>0.7015384867</v>
      </c>
      <c r="AR838" s="82">
        <f>IFERROR(__xludf.DUMMYFUNCTION("""COMPUTED_VALUE"""),1.0638108459962219)</f>
        <v>1.063810846</v>
      </c>
      <c r="AS838" s="82">
        <f>IFERROR(__xludf.DUMMYFUNCTION("""COMPUTED_VALUE"""),56.0)</f>
        <v>56</v>
      </c>
      <c r="AT838" s="82">
        <f>IFERROR(__xludf.DUMMYFUNCTION("""COMPUTED_VALUE"""),0.7170471978864944)</f>
        <v>0.7170471979</v>
      </c>
      <c r="AU838" s="82">
        <f>IFERROR(__xludf.DUMMYFUNCTION("""COMPUTED_VALUE"""),2.902196012859434)</f>
        <v>2.902196013</v>
      </c>
      <c r="AV838" s="82">
        <f>IFERROR(__xludf.DUMMYFUNCTION("""COMPUTED_VALUE"""),64.6266144424722)</f>
        <v>64.62661444</v>
      </c>
      <c r="AW838" s="82">
        <f t="shared" si="1"/>
        <v>3.580993048</v>
      </c>
      <c r="AX838" s="83">
        <f t="array" ref="AX838">IFERROR(DGET('SBV Import'!A:G,"SBV",{"RSC ID","Tier";B838,A838}))</f>
        <v>55.46964303</v>
      </c>
      <c r="AY838" s="82">
        <f t="shared" si="2"/>
        <v>2.418915035</v>
      </c>
      <c r="AZ838" s="82">
        <v>1.162078013385596</v>
      </c>
      <c r="BA838" s="84">
        <v>800.0</v>
      </c>
      <c r="BB838" s="84" t="b">
        <f>IFERROR(__xludf.DUMMYFUNCTION("iferror(if(A838="""",,E838&gt;=FILTER(Constants!$F$2:$F$10,Constants!$A$2:$A$10=A838)))"),TRUE)</f>
        <v>1</v>
      </c>
    </row>
    <row r="839">
      <c r="A839" s="80" t="str">
        <f>IFERROR(__xludf.DUMMYFUNCTION("""COMPUTED_VALUE"""),"Elite")</f>
        <v>Elite</v>
      </c>
      <c r="B839" s="73" t="str">
        <f>IFERROR(__xludf.DUMMYFUNCTION("""COMPUTED_VALUE"""),"RSC007166")</f>
        <v>RSC007166</v>
      </c>
      <c r="C839" s="73" t="str">
        <f>IFERROR(__xludf.DUMMYFUNCTION("""COMPUTED_VALUE"""),"nelz")</f>
        <v>nelz</v>
      </c>
      <c r="D839" s="73" t="str">
        <f>IFERROR(__xludf.DUMMYFUNCTION("""COMPUTED_VALUE"""),"Ghastly Goombahs")</f>
        <v>Ghastly Goombahs</v>
      </c>
      <c r="E839" s="82">
        <f>IFERROR(__xludf.DUMMYFUNCTION("""COMPUTED_VALUE"""),44.0)</f>
        <v>44</v>
      </c>
      <c r="F839" s="82">
        <f>IFERROR(__xludf.DUMMYFUNCTION("""COMPUTED_VALUE"""),19.0)</f>
        <v>19</v>
      </c>
      <c r="G839" s="82">
        <f>IFERROR(__xludf.DUMMYFUNCTION("""COMPUTED_VALUE"""),25.0)</f>
        <v>25</v>
      </c>
      <c r="H839" s="86">
        <f>IFERROR(__xludf.DUMMYFUNCTION("""COMPUTED_VALUE"""),0.4318181818181818)</f>
        <v>0.4318181818</v>
      </c>
      <c r="I839" s="86">
        <f>IFERROR(__xludf.DUMMYFUNCTION("""COMPUTED_VALUE"""),0.2595419847328244)</f>
        <v>0.2595419847</v>
      </c>
      <c r="J839" s="82">
        <f>IFERROR(__xludf.DUMMYFUNCTION("""COMPUTED_VALUE"""),387.0)</f>
        <v>387</v>
      </c>
      <c r="K839" s="82">
        <f>IFERROR(__xludf.DUMMYFUNCTION("""COMPUTED_VALUE"""),0.7727272727272727)</f>
        <v>0.7727272727</v>
      </c>
      <c r="L839" s="82">
        <f>IFERROR(__xludf.DUMMYFUNCTION("""COMPUTED_VALUE"""),0.6590909090909091)</f>
        <v>0.6590909091</v>
      </c>
      <c r="M839" s="82">
        <f>IFERROR(__xludf.DUMMYFUNCTION("""COMPUTED_VALUE"""),1.7272727272727273)</f>
        <v>1.727272727</v>
      </c>
      <c r="N839" s="82">
        <f>IFERROR(__xludf.DUMMYFUNCTION("""COMPUTED_VALUE"""),2.977272727272727)</f>
        <v>2.977272727</v>
      </c>
      <c r="O839" s="82">
        <f>IFERROR(__xludf.DUMMYFUNCTION("""COMPUTED_VALUE"""),377.48484848484856)</f>
        <v>377.4848485</v>
      </c>
      <c r="P839" s="82">
        <f>IFERROR(__xludf.DUMMYFUNCTION("""COMPUTED_VALUE"""),0.8939393939393938)</f>
        <v>0.8939393939</v>
      </c>
      <c r="Q839" s="82">
        <f>IFERROR(__xludf.DUMMYFUNCTION("""COMPUTED_VALUE"""),0.6363636363636361)</f>
        <v>0.6363636364</v>
      </c>
      <c r="R839" s="82">
        <f>IFERROR(__xludf.DUMMYFUNCTION("""COMPUTED_VALUE"""),1.4090909090909092)</f>
        <v>1.409090909</v>
      </c>
      <c r="S839" s="82">
        <f>IFERROR(__xludf.DUMMYFUNCTION("""COMPUTED_VALUE"""),2.8030303030303028)</f>
        <v>2.803030303</v>
      </c>
      <c r="T839" s="82">
        <f>IFERROR(__xludf.DUMMYFUNCTION("""COMPUTED_VALUE"""),365.7983325532408)</f>
        <v>365.7983326</v>
      </c>
      <c r="U839" s="82">
        <f>IFERROR(__xludf.DUMMYFUNCTION("""COMPUTED_VALUE"""),0.8029661448191547)</f>
        <v>0.8029661448</v>
      </c>
      <c r="V839" s="82">
        <f>IFERROR(__xludf.DUMMYFUNCTION("""COMPUTED_VALUE"""),0.606408224532617)</f>
        <v>0.6064082245</v>
      </c>
      <c r="W839" s="82">
        <f>IFERROR(__xludf.DUMMYFUNCTION("""COMPUTED_VALUE"""),1.4249416451096872)</f>
        <v>1.424941645</v>
      </c>
      <c r="X839" s="82">
        <f>IFERROR(__xludf.DUMMYFUNCTION("""COMPUTED_VALUE"""),2.7280820922821083)</f>
        <v>2.728082092</v>
      </c>
      <c r="Y839" s="82">
        <f>IFERROR(__xludf.DUMMYFUNCTION("""COMPUTED_VALUE"""),357.4139873835453)</f>
        <v>357.4139874</v>
      </c>
      <c r="Z839" s="82">
        <f>IFERROR(__xludf.DUMMYFUNCTION("""COMPUTED_VALUE"""),0.7487141268018185)</f>
        <v>0.7487141268</v>
      </c>
      <c r="AA839" s="82">
        <f>IFERROR(__xludf.DUMMYFUNCTION("""COMPUTED_VALUE"""),0.566439548334321)</f>
        <v>0.5664395483</v>
      </c>
      <c r="AB839" s="82">
        <f>IFERROR(__xludf.DUMMYFUNCTION("""COMPUTED_VALUE"""),1.4398440055508213)</f>
        <v>1.439844006</v>
      </c>
      <c r="AC839" s="82">
        <f>IFERROR(__xludf.DUMMYFUNCTION("""COMPUTED_VALUE"""),2.6154027812425653)</f>
        <v>2.615402781</v>
      </c>
      <c r="AD839" s="82">
        <f>IFERROR(__xludf.DUMMYFUNCTION("""COMPUTED_VALUE"""),1.0827779931978587)</f>
        <v>1.082777993</v>
      </c>
      <c r="AE839" s="82">
        <f>IFERROR(__xludf.DUMMYFUNCTION("""COMPUTED_VALUE"""),1.0320725161524973)</f>
        <v>1.032072516</v>
      </c>
      <c r="AF839" s="82">
        <f>IFERROR(__xludf.DUMMYFUNCTION("""COMPUTED_VALUE"""),1.1635679588917118)</f>
        <v>1.163567959</v>
      </c>
      <c r="AG839" s="82">
        <f>IFERROR(__xludf.DUMMYFUNCTION("""COMPUTED_VALUE"""),1.1996249042353364)</f>
        <v>1.199624904</v>
      </c>
      <c r="AH839" s="82">
        <f>IFERROR(__xludf.DUMMYFUNCTION("""COMPUTED_VALUE"""),1.1383610771638926)</f>
        <v>1.138361077</v>
      </c>
      <c r="AI839" s="82">
        <f>IFERROR(__xludf.DUMMYFUNCTION("""COMPUTED_VALUE"""),1.0319479748582692)</f>
        <v>1.031947975</v>
      </c>
      <c r="AJ839" s="82">
        <f>IFERROR(__xludf.DUMMYFUNCTION("""COMPUTED_VALUE"""),1.1132964941389007)</f>
        <v>1.113296494</v>
      </c>
      <c r="AK839" s="82">
        <f>IFERROR(__xludf.DUMMYFUNCTION("""COMPUTED_VALUE"""),1.0493980962314733)</f>
        <v>1.049398096</v>
      </c>
      <c r="AL839" s="82">
        <f>IFERROR(__xludf.DUMMYFUNCTION("""COMPUTED_VALUE"""),0.988876220950397)</f>
        <v>0.988876221</v>
      </c>
      <c r="AM839" s="82">
        <f>IFERROR(__xludf.DUMMYFUNCTION("""COMPUTED_VALUE"""),1.0274728575654768)</f>
        <v>1.027472858</v>
      </c>
      <c r="AN839" s="82">
        <f>IFERROR(__xludf.DUMMYFUNCTION("""COMPUTED_VALUE"""),1.1038533076724582)</f>
        <v>1.103853308</v>
      </c>
      <c r="AO839" s="82">
        <f>IFERROR(__xludf.DUMMYFUNCTION("""COMPUTED_VALUE"""),1.0900503333736662)</f>
        <v>1.090050333</v>
      </c>
      <c r="AP839" s="82">
        <f>IFERROR(__xludf.DUMMYFUNCTION("""COMPUTED_VALUE"""),1.1545206229205869)</f>
        <v>1.154520623</v>
      </c>
      <c r="AQ839" s="82">
        <f>IFERROR(__xludf.DUMMYFUNCTION("""COMPUTED_VALUE"""),1.2117482952942975)</f>
        <v>1.211748295</v>
      </c>
      <c r="AR839" s="82">
        <f>IFERROR(__xludf.DUMMYFUNCTION("""COMPUTED_VALUE"""),1.1877206320355547)</f>
        <v>1.187720632</v>
      </c>
      <c r="AS839" s="82">
        <f>IFERROR(__xludf.DUMMYFUNCTION("""COMPUTED_VALUE"""),97.0)</f>
        <v>97</v>
      </c>
      <c r="AT839" s="82">
        <f>IFERROR(__xludf.DUMMYFUNCTION("""COMPUTED_VALUE"""),0.423362647873589)</f>
        <v>0.4233626479</v>
      </c>
      <c r="AU839" s="82">
        <f>IFERROR(__xludf.DUMMYFUNCTION("""COMPUTED_VALUE"""),2.8911257263354937)</f>
        <v>2.891125726</v>
      </c>
      <c r="AV839" s="82">
        <f>IFERROR(__xludf.DUMMYFUNCTION("""COMPUTED_VALUE"""),64.30818636313836)</f>
        <v>64.30818636</v>
      </c>
      <c r="AW839" s="82">
        <f t="shared" si="1"/>
        <v>3.526713912</v>
      </c>
      <c r="AX839" s="83">
        <f t="array" ref="AX839">IFERROR(DGET('SBV Import'!A:G,"SBV",{"RSC ID","Tier";B839,A839}))</f>
        <v>58.50051997</v>
      </c>
      <c r="AY839" s="82">
        <f t="shared" si="2"/>
        <v>2.725386518</v>
      </c>
      <c r="AZ839" s="82">
        <v>0.8013273933601393</v>
      </c>
      <c r="BA839" s="84">
        <v>800.0</v>
      </c>
      <c r="BB839" s="84" t="b">
        <f>IFERROR(__xludf.DUMMYFUNCTION("iferror(if(A839="""",,E839&gt;=FILTER(Constants!$F$2:$F$10,Constants!$A$2:$A$10=A839)))"),TRUE)</f>
        <v>1</v>
      </c>
    </row>
    <row r="840">
      <c r="A840" s="80" t="str">
        <f>IFERROR(__xludf.DUMMYFUNCTION("""COMPUTED_VALUE"""),"Elite")</f>
        <v>Elite</v>
      </c>
      <c r="B840" s="73" t="str">
        <f>IFERROR(__xludf.DUMMYFUNCTION("""COMPUTED_VALUE"""),"RSC004966")</f>
        <v>RSC004966</v>
      </c>
      <c r="C840" s="73" t="str">
        <f>IFERROR(__xludf.DUMMYFUNCTION("""COMPUTED_VALUE"""),"Buck")</f>
        <v>Buck</v>
      </c>
      <c r="D840" s="73" t="str">
        <f>IFERROR(__xludf.DUMMYFUNCTION("""COMPUTED_VALUE"""),"Thrashers")</f>
        <v>Thrashers</v>
      </c>
      <c r="E840" s="82">
        <f>IFERROR(__xludf.DUMMYFUNCTION("""COMPUTED_VALUE"""),44.0)</f>
        <v>44</v>
      </c>
      <c r="F840" s="82">
        <f>IFERROR(__xludf.DUMMYFUNCTION("""COMPUTED_VALUE"""),29.0)</f>
        <v>29</v>
      </c>
      <c r="G840" s="82">
        <f>IFERROR(__xludf.DUMMYFUNCTION("""COMPUTED_VALUE"""),15.0)</f>
        <v>15</v>
      </c>
      <c r="H840" s="86">
        <f>IFERROR(__xludf.DUMMYFUNCTION("""COMPUTED_VALUE"""),0.6590909090909091)</f>
        <v>0.6590909091</v>
      </c>
      <c r="I840" s="86">
        <f>IFERROR(__xludf.DUMMYFUNCTION("""COMPUTED_VALUE"""),0.2835820895522388)</f>
        <v>0.2835820896</v>
      </c>
      <c r="J840" s="82">
        <f>IFERROR(__xludf.DUMMYFUNCTION("""COMPUTED_VALUE"""),328.95454545454544)</f>
        <v>328.9545455</v>
      </c>
      <c r="K840" s="82">
        <f>IFERROR(__xludf.DUMMYFUNCTION("""COMPUTED_VALUE"""),0.8636363636363636)</f>
        <v>0.8636363636</v>
      </c>
      <c r="L840" s="82">
        <f>IFERROR(__xludf.DUMMYFUNCTION("""COMPUTED_VALUE"""),0.5)</f>
        <v>0.5</v>
      </c>
      <c r="M840" s="82">
        <f>IFERROR(__xludf.DUMMYFUNCTION("""COMPUTED_VALUE"""),1.1363636363636365)</f>
        <v>1.136363636</v>
      </c>
      <c r="N840" s="82">
        <f>IFERROR(__xludf.DUMMYFUNCTION("""COMPUTED_VALUE"""),3.0454545454545454)</f>
        <v>3.045454545</v>
      </c>
      <c r="O840" s="82">
        <f>IFERROR(__xludf.DUMMYFUNCTION("""COMPUTED_VALUE"""),365.8333333333334)</f>
        <v>365.8333333</v>
      </c>
      <c r="P840" s="82">
        <f>IFERROR(__xludf.DUMMYFUNCTION("""COMPUTED_VALUE"""),0.787878787878788)</f>
        <v>0.7878787879</v>
      </c>
      <c r="Q840" s="82">
        <f>IFERROR(__xludf.DUMMYFUNCTION("""COMPUTED_VALUE"""),0.5606060606060607)</f>
        <v>0.5606060606</v>
      </c>
      <c r="R840" s="82">
        <f>IFERROR(__xludf.DUMMYFUNCTION("""COMPUTED_VALUE"""),1.6136363636363635)</f>
        <v>1.613636364</v>
      </c>
      <c r="S840" s="82">
        <f>IFERROR(__xludf.DUMMYFUNCTION("""COMPUTED_VALUE"""),2.3409090909090913)</f>
        <v>2.340909091</v>
      </c>
      <c r="T840" s="82">
        <f>IFERROR(__xludf.DUMMYFUNCTION("""COMPUTED_VALUE"""),362.3825095085556)</f>
        <v>362.3825095</v>
      </c>
      <c r="U840" s="82">
        <f>IFERROR(__xludf.DUMMYFUNCTION("""COMPUTED_VALUE"""),0.7976500725872278)</f>
        <v>0.7976500726</v>
      </c>
      <c r="V840" s="82">
        <f>IFERROR(__xludf.DUMMYFUNCTION("""COMPUTED_VALUE"""),0.6113808592183552)</f>
        <v>0.6113808592</v>
      </c>
      <c r="W840" s="82">
        <f>IFERROR(__xludf.DUMMYFUNCTION("""COMPUTED_VALUE"""),1.4097251322330187)</f>
        <v>1.409725132</v>
      </c>
      <c r="X840" s="82">
        <f>IFERROR(__xludf.DUMMYFUNCTION("""COMPUTED_VALUE"""),2.63455577468299)</f>
        <v>2.634555775</v>
      </c>
      <c r="Y840" s="82">
        <f>IFERROR(__xludf.DUMMYFUNCTION("""COMPUTED_VALUE"""),353.52827647619785)</f>
        <v>353.5282765</v>
      </c>
      <c r="Z840" s="82">
        <f>IFERROR(__xludf.DUMMYFUNCTION("""COMPUTED_VALUE"""),0.7419942988218956)</f>
        <v>0.7419942988</v>
      </c>
      <c r="AA840" s="82">
        <f>IFERROR(__xludf.DUMMYFUNCTION("""COMPUTED_VALUE"""),0.5484479830185205)</f>
        <v>0.548447983</v>
      </c>
      <c r="AB840" s="82">
        <f>IFERROR(__xludf.DUMMYFUNCTION("""COMPUTED_VALUE"""),1.4044084038510558)</f>
        <v>1.404408404</v>
      </c>
      <c r="AC840" s="82">
        <f>IFERROR(__xludf.DUMMYFUNCTION("""COMPUTED_VALUE"""),2.616157375887696)</f>
        <v>2.616157376</v>
      </c>
      <c r="AD840" s="82">
        <f>IFERROR(__xludf.DUMMYFUNCTION("""COMPUTED_VALUE"""),0.9304900550909486)</f>
        <v>0.9304900551</v>
      </c>
      <c r="AE840" s="82">
        <f>IFERROR(__xludf.DUMMYFUNCTION("""COMPUTED_VALUE"""),1.1639393523745476)</f>
        <v>1.163939352</v>
      </c>
      <c r="AF840" s="82">
        <f>IFERROR(__xludf.DUMMYFUNCTION("""COMPUTED_VALUE"""),0.9116634858389397)</f>
        <v>0.9116634858</v>
      </c>
      <c r="AG840" s="82">
        <f>IFERROR(__xludf.DUMMYFUNCTION("""COMPUTED_VALUE"""),0.80914044180282)</f>
        <v>0.8091404418</v>
      </c>
      <c r="AH840" s="82">
        <f>IFERROR(__xludf.DUMMYFUNCTION("""COMPUTED_VALUE"""),1.164094550856744)</f>
        <v>1.164094551</v>
      </c>
      <c r="AI840" s="82">
        <f>IFERROR(__xludf.DUMMYFUNCTION("""COMPUTED_VALUE"""),1.0095226003855917)</f>
        <v>1.0095226</v>
      </c>
      <c r="AJ840" s="82">
        <f>IFERROR(__xludf.DUMMYFUNCTION("""COMPUTED_VALUE"""),0.9877499105883034)</f>
        <v>0.9877499106</v>
      </c>
      <c r="AK840" s="82">
        <f>IFERROR(__xludf.DUMMYFUNCTION("""COMPUTED_VALUE"""),0.9169506243993153)</f>
        <v>0.9169506244</v>
      </c>
      <c r="AL840" s="82">
        <f>IFERROR(__xludf.DUMMYFUNCTION("""COMPUTED_VALUE"""),1.1446460921643267)</f>
        <v>1.144646092</v>
      </c>
      <c r="AM840" s="82">
        <f>IFERROR(__xludf.DUMMYFUNCTION("""COMPUTED_VALUE"""),0.888540342703797)</f>
        <v>0.8885403427</v>
      </c>
      <c r="AN840" s="82">
        <f>IFERROR(__xludf.DUMMYFUNCTION("""COMPUTED_VALUE"""),0.9382882766767182)</f>
        <v>0.9382882767</v>
      </c>
      <c r="AO840" s="82">
        <f>IFERROR(__xludf.DUMMYFUNCTION("""COMPUTED_VALUE"""),1.218291549064686)</f>
        <v>1.218291549</v>
      </c>
      <c r="AP840" s="82">
        <f>IFERROR(__xludf.DUMMYFUNCTION("""COMPUTED_VALUE"""),0.8758432311811349)</f>
        <v>0.8758432312</v>
      </c>
      <c r="AQ840" s="82">
        <f>IFERROR(__xludf.DUMMYFUNCTION("""COMPUTED_VALUE"""),0.7972028258515115)</f>
        <v>0.7972028259</v>
      </c>
      <c r="AR840" s="82">
        <f>IFERROR(__xludf.DUMMYFUNCTION("""COMPUTED_VALUE"""),1.21492034116614)</f>
        <v>1.214920341</v>
      </c>
      <c r="AS840" s="82">
        <f>IFERROR(__xludf.DUMMYFUNCTION("""COMPUTED_VALUE"""),127.0)</f>
        <v>127</v>
      </c>
      <c r="AT840" s="82">
        <f>IFERROR(__xludf.DUMMYFUNCTION("""COMPUTED_VALUE"""),0.5797063547450021)</f>
        <v>0.5797063547</v>
      </c>
      <c r="AU840" s="82">
        <f>IFERROR(__xludf.DUMMYFUNCTION("""COMPUTED_VALUE"""),2.8810997527398547)</f>
        <v>2.881099753</v>
      </c>
      <c r="AV840" s="82">
        <f>IFERROR(__xludf.DUMMYFUNCTION("""COMPUTED_VALUE"""),64.01979712329283)</f>
        <v>64.01979712</v>
      </c>
      <c r="AW840" s="82">
        <f t="shared" si="1"/>
        <v>3.478627369</v>
      </c>
      <c r="AX840" s="83">
        <f t="array" ref="AX840">IFERROR(DGET('SBV Import'!A:G,"SBV",{"RSC ID","Tier";B840,A840}))</f>
        <v>38.21052778</v>
      </c>
      <c r="AY840" s="82">
        <f t="shared" si="2"/>
        <v>-3.138596999</v>
      </c>
      <c r="AZ840" s="82">
        <v>6.617224367684457</v>
      </c>
      <c r="BA840" s="84">
        <v>800.0</v>
      </c>
      <c r="BB840" s="84" t="b">
        <f>IFERROR(__xludf.DUMMYFUNCTION("iferror(if(A840="""",,E840&gt;=FILTER(Constants!$F$2:$F$10,Constants!$A$2:$A$10=A840)))"),TRUE)</f>
        <v>1</v>
      </c>
    </row>
    <row r="841">
      <c r="A841" s="80" t="str">
        <f>IFERROR(__xludf.DUMMYFUNCTION("""COMPUTED_VALUE"""),"Elite")</f>
        <v>Elite</v>
      </c>
      <c r="B841" s="73" t="str">
        <f>IFERROR(__xludf.DUMMYFUNCTION("""COMPUTED_VALUE"""),"RSC006395")</f>
        <v>RSC006395</v>
      </c>
      <c r="C841" s="73" t="str">
        <f>IFERROR(__xludf.DUMMYFUNCTION("""COMPUTED_VALUE"""),"Gizmo")</f>
        <v>Gizmo</v>
      </c>
      <c r="D841" s="73" t="str">
        <f>IFERROR(__xludf.DUMMYFUNCTION("""COMPUTED_VALUE"""),"Forge Defenders")</f>
        <v>Forge Defenders</v>
      </c>
      <c r="E841" s="82">
        <f>IFERROR(__xludf.DUMMYFUNCTION("""COMPUTED_VALUE"""),48.0)</f>
        <v>48</v>
      </c>
      <c r="F841" s="82">
        <f>IFERROR(__xludf.DUMMYFUNCTION("""COMPUTED_VALUE"""),29.0)</f>
        <v>29</v>
      </c>
      <c r="G841" s="82">
        <f>IFERROR(__xludf.DUMMYFUNCTION("""COMPUTED_VALUE"""),19.0)</f>
        <v>19</v>
      </c>
      <c r="H841" s="86">
        <f>IFERROR(__xludf.DUMMYFUNCTION("""COMPUTED_VALUE"""),0.6041666666666666)</f>
        <v>0.6041666667</v>
      </c>
      <c r="I841" s="86">
        <f>IFERROR(__xludf.DUMMYFUNCTION("""COMPUTED_VALUE"""),0.28125)</f>
        <v>0.28125</v>
      </c>
      <c r="J841" s="82">
        <f>IFERROR(__xludf.DUMMYFUNCTION("""COMPUTED_VALUE"""),371.4583333333333)</f>
        <v>371.4583333</v>
      </c>
      <c r="K841" s="82">
        <f>IFERROR(__xludf.DUMMYFUNCTION("""COMPUTED_VALUE"""),0.75)</f>
        <v>0.75</v>
      </c>
      <c r="L841" s="82">
        <f>IFERROR(__xludf.DUMMYFUNCTION("""COMPUTED_VALUE"""),0.6041666666666666)</f>
        <v>0.6041666667</v>
      </c>
      <c r="M841" s="82">
        <f>IFERROR(__xludf.DUMMYFUNCTION("""COMPUTED_VALUE"""),1.375)</f>
        <v>1.375</v>
      </c>
      <c r="N841" s="82">
        <f>IFERROR(__xludf.DUMMYFUNCTION("""COMPUTED_VALUE"""),2.6666666666666665)</f>
        <v>2.666666667</v>
      </c>
      <c r="O841" s="82">
        <f>IFERROR(__xludf.DUMMYFUNCTION("""COMPUTED_VALUE"""),335.37500000000006)</f>
        <v>335.375</v>
      </c>
      <c r="P841" s="82">
        <f>IFERROR(__xludf.DUMMYFUNCTION("""COMPUTED_VALUE"""),0.5972222222222222)</f>
        <v>0.5972222222</v>
      </c>
      <c r="Q841" s="82">
        <f>IFERROR(__xludf.DUMMYFUNCTION("""COMPUTED_VALUE"""),0.4791666666666667)</f>
        <v>0.4791666667</v>
      </c>
      <c r="R841" s="82">
        <f>IFERROR(__xludf.DUMMYFUNCTION("""COMPUTED_VALUE"""),1.4791666666666663)</f>
        <v>1.479166667</v>
      </c>
      <c r="S841" s="82">
        <f>IFERROR(__xludf.DUMMYFUNCTION("""COMPUTED_VALUE"""),2.4166666666666674)</f>
        <v>2.416666667</v>
      </c>
      <c r="T841" s="82">
        <f>IFERROR(__xludf.DUMMYFUNCTION("""COMPUTED_VALUE"""),366.18834466800246)</f>
        <v>366.1883447</v>
      </c>
      <c r="U841" s="82">
        <f>IFERROR(__xludf.DUMMYFUNCTION("""COMPUTED_VALUE"""),0.8168631300949228)</f>
        <v>0.8168631301</v>
      </c>
      <c r="V841" s="82">
        <f>IFERROR(__xludf.DUMMYFUNCTION("""COMPUTED_VALUE"""),0.5730162583323687)</f>
        <v>0.5730162583</v>
      </c>
      <c r="W841" s="82">
        <f>IFERROR(__xludf.DUMMYFUNCTION("""COMPUTED_VALUE"""),1.4337928721528213)</f>
        <v>1.433792872</v>
      </c>
      <c r="X841" s="82">
        <f>IFERROR(__xludf.DUMMYFUNCTION("""COMPUTED_VALUE"""),2.7196099841790566)</f>
        <v>2.719609984</v>
      </c>
      <c r="Y841" s="82">
        <f>IFERROR(__xludf.DUMMYFUNCTION("""COMPUTED_VALUE"""),360.696425009782)</f>
        <v>360.696425</v>
      </c>
      <c r="Z841" s="82">
        <f>IFERROR(__xludf.DUMMYFUNCTION("""COMPUTED_VALUE"""),0.763661545203049)</f>
        <v>0.7636615452</v>
      </c>
      <c r="AA841" s="82">
        <f>IFERROR(__xludf.DUMMYFUNCTION("""COMPUTED_VALUE"""),0.5721172132669804)</f>
        <v>0.5721172133</v>
      </c>
      <c r="AB841" s="82">
        <f>IFERROR(__xludf.DUMMYFUNCTION("""COMPUTED_VALUE"""),1.4512248706401945)</f>
        <v>1.451224871</v>
      </c>
      <c r="AC841" s="82">
        <f>IFERROR(__xludf.DUMMYFUNCTION("""COMPUTED_VALUE"""),2.632317862834536)</f>
        <v>2.632317863</v>
      </c>
      <c r="AD841" s="82">
        <f>IFERROR(__xludf.DUMMYFUNCTION("""COMPUTED_VALUE"""),1.0298364707198289)</f>
        <v>1.029836471</v>
      </c>
      <c r="AE841" s="82">
        <f>IFERROR(__xludf.DUMMYFUNCTION("""COMPUTED_VALUE"""),0.9821104712043389)</f>
        <v>0.9821104712</v>
      </c>
      <c r="AF841" s="82">
        <f>IFERROR(__xludf.DUMMYFUNCTION("""COMPUTED_VALUE"""),1.0560190336114397)</f>
        <v>1.056019034</v>
      </c>
      <c r="AG841" s="82">
        <f>IFERROR(__xludf.DUMMYFUNCTION("""COMPUTED_VALUE"""),0.9474754931628421)</f>
        <v>0.9474754932</v>
      </c>
      <c r="AH841" s="82">
        <f>IFERROR(__xludf.DUMMYFUNCTION("""COMPUTED_VALUE"""),1.0130488814884777)</f>
        <v>1.013048881</v>
      </c>
      <c r="AI841" s="82">
        <f>IFERROR(__xludf.DUMMYFUNCTION("""COMPUTED_VALUE"""),0.9158538355557474)</f>
        <v>0.9158538356</v>
      </c>
      <c r="AJ841" s="82">
        <f>IFERROR(__xludf.DUMMYFUNCTION("""COMPUTED_VALUE"""),0.7311166341328473)</f>
        <v>0.7311166341</v>
      </c>
      <c r="AK841" s="82">
        <f>IFERROR(__xludf.DUMMYFUNCTION("""COMPUTED_VALUE"""),0.8362182742618341)</f>
        <v>0.8362182743</v>
      </c>
      <c r="AL841" s="82">
        <f>IFERROR(__xludf.DUMMYFUNCTION("""COMPUTED_VALUE"""),1.0316459897347074)</f>
        <v>1.03164599</v>
      </c>
      <c r="AM841" s="82">
        <f>IFERROR(__xludf.DUMMYFUNCTION("""COMPUTED_VALUE"""),0.8886078080038246)</f>
        <v>0.888607808</v>
      </c>
      <c r="AN841" s="82">
        <f>IFERROR(__xludf.DUMMYFUNCTION("""COMPUTED_VALUE"""),1.0595232814276445)</f>
        <v>1.059523281</v>
      </c>
      <c r="AO841" s="82">
        <f>IFERROR(__xludf.DUMMYFUNCTION("""COMPUTED_VALUE"""),1.0579900294509115)</f>
        <v>1.057990029</v>
      </c>
      <c r="AP841" s="82">
        <f>IFERROR(__xludf.DUMMYFUNCTION("""COMPUTED_VALUE"""),1.058310571010538)</f>
        <v>1.058310571</v>
      </c>
      <c r="AQ841" s="82">
        <f>IFERROR(__xludf.DUMMYFUNCTION("""COMPUTED_VALUE"""),0.9646154192803289)</f>
        <v>0.9646154193</v>
      </c>
      <c r="AR841" s="82">
        <f>IFERROR(__xludf.DUMMYFUNCTION("""COMPUTED_VALUE"""),1.0638108459962219)</f>
        <v>1.063810846</v>
      </c>
      <c r="AS841" s="82">
        <f>IFERROR(__xludf.DUMMYFUNCTION("""COMPUTED_VALUE"""),110.0)</f>
        <v>110</v>
      </c>
      <c r="AT841" s="82">
        <f>IFERROR(__xludf.DUMMYFUNCTION("""COMPUTED_VALUE"""),0.5911157009878967)</f>
        <v>0.591115701</v>
      </c>
      <c r="AU841" s="82">
        <f>IFERROR(__xludf.DUMMYFUNCTION("""COMPUTED_VALUE"""),2.8695396991444335)</f>
        <v>2.869539699</v>
      </c>
      <c r="AV841" s="82">
        <f>IFERROR(__xludf.DUMMYFUNCTION("""COMPUTED_VALUE"""),63.68728127960389)</f>
        <v>63.68728128</v>
      </c>
      <c r="AW841" s="82">
        <f t="shared" si="1"/>
        <v>3.424415483</v>
      </c>
      <c r="AX841" s="83">
        <f t="array" ref="AX841">IFERROR(DGET('SBV Import'!A:G,"SBV",{"RSC ID","Tier";B841,A841}))</f>
        <v>58.14069646</v>
      </c>
      <c r="AY841" s="82">
        <f t="shared" si="2"/>
        <v>2.685623834</v>
      </c>
      <c r="AZ841" s="82">
        <v>0.7387916493531748</v>
      </c>
      <c r="BA841" s="84">
        <v>800.0</v>
      </c>
      <c r="BB841" s="84" t="b">
        <f>IFERROR(__xludf.DUMMYFUNCTION("iferror(if(A841="""",,E841&gt;=FILTER(Constants!$F$2:$F$10,Constants!$A$2:$A$10=A841)))"),TRUE)</f>
        <v>1</v>
      </c>
    </row>
    <row r="842">
      <c r="A842" s="80" t="str">
        <f>IFERROR(__xludf.DUMMYFUNCTION("""COMPUTED_VALUE"""),"Elite")</f>
        <v>Elite</v>
      </c>
      <c r="B842" s="73" t="str">
        <f>IFERROR(__xludf.DUMMYFUNCTION("""COMPUTED_VALUE"""),"RSC006783")</f>
        <v>RSC006783</v>
      </c>
      <c r="C842" s="73" t="str">
        <f>IFERROR(__xludf.DUMMYFUNCTION("""COMPUTED_VALUE"""),"ImSouperGreat")</f>
        <v>ImSouperGreat</v>
      </c>
      <c r="D842" s="73" t="str">
        <f>IFERROR(__xludf.DUMMYFUNCTION("""COMPUTED_VALUE"""),"Sloths")</f>
        <v>Sloths</v>
      </c>
      <c r="E842" s="82">
        <f>IFERROR(__xludf.DUMMYFUNCTION("""COMPUTED_VALUE"""),48.0)</f>
        <v>48</v>
      </c>
      <c r="F842" s="82">
        <f>IFERROR(__xludf.DUMMYFUNCTION("""COMPUTED_VALUE"""),23.0)</f>
        <v>23</v>
      </c>
      <c r="G842" s="82">
        <f>IFERROR(__xludf.DUMMYFUNCTION("""COMPUTED_VALUE"""),25.0)</f>
        <v>25</v>
      </c>
      <c r="H842" s="86">
        <f>IFERROR(__xludf.DUMMYFUNCTION("""COMPUTED_VALUE"""),0.4791666666666667)</f>
        <v>0.4791666667</v>
      </c>
      <c r="I842" s="86">
        <f>IFERROR(__xludf.DUMMYFUNCTION("""COMPUTED_VALUE"""),0.3387096774193548)</f>
        <v>0.3387096774</v>
      </c>
      <c r="J842" s="82">
        <f>IFERROR(__xludf.DUMMYFUNCTION("""COMPUTED_VALUE"""),407.9375)</f>
        <v>407.9375</v>
      </c>
      <c r="K842" s="82">
        <f>IFERROR(__xludf.DUMMYFUNCTION("""COMPUTED_VALUE"""),0.875)</f>
        <v>0.875</v>
      </c>
      <c r="L842" s="82">
        <f>IFERROR(__xludf.DUMMYFUNCTION("""COMPUTED_VALUE"""),0.5416666666666666)</f>
        <v>0.5416666667</v>
      </c>
      <c r="M842" s="82">
        <f>IFERROR(__xludf.DUMMYFUNCTION("""COMPUTED_VALUE"""),1.9375)</f>
        <v>1.9375</v>
      </c>
      <c r="N842" s="82">
        <f>IFERROR(__xludf.DUMMYFUNCTION("""COMPUTED_VALUE"""),2.5833333333333335)</f>
        <v>2.583333333</v>
      </c>
      <c r="O842" s="82">
        <f>IFERROR(__xludf.DUMMYFUNCTION("""COMPUTED_VALUE"""),354.3194444444445)</f>
        <v>354.3194444</v>
      </c>
      <c r="P842" s="82">
        <f>IFERROR(__xludf.DUMMYFUNCTION("""COMPUTED_VALUE"""),0.7083333333333331)</f>
        <v>0.7083333333</v>
      </c>
      <c r="Q842" s="82">
        <f>IFERROR(__xludf.DUMMYFUNCTION("""COMPUTED_VALUE"""),0.5347222222222222)</f>
        <v>0.5347222222</v>
      </c>
      <c r="R842" s="82">
        <f>IFERROR(__xludf.DUMMYFUNCTION("""COMPUTED_VALUE"""),1.4652777777777777)</f>
        <v>1.465277778</v>
      </c>
      <c r="S842" s="82">
        <f>IFERROR(__xludf.DUMMYFUNCTION("""COMPUTED_VALUE"""),2.673611111111111)</f>
        <v>2.673611111</v>
      </c>
      <c r="T842" s="82">
        <f>IFERROR(__xludf.DUMMYFUNCTION("""COMPUTED_VALUE"""),363.23077200391594)</f>
        <v>363.230772</v>
      </c>
      <c r="U842" s="82">
        <f>IFERROR(__xludf.DUMMYFUNCTION("""COMPUTED_VALUE"""),0.7746166878774022)</f>
        <v>0.7746166879</v>
      </c>
      <c r="V842" s="82">
        <f>IFERROR(__xludf.DUMMYFUNCTION("""COMPUTED_VALUE"""),0.601334526419628)</f>
        <v>0.6013345264</v>
      </c>
      <c r="W842" s="82">
        <f>IFERROR(__xludf.DUMMYFUNCTION("""COMPUTED_VALUE"""),1.43489538020329)</f>
        <v>1.43489538</v>
      </c>
      <c r="X842" s="82">
        <f>IFERROR(__xludf.DUMMYFUNCTION("""COMPUTED_VALUE"""),2.6422969932430953)</f>
        <v>2.642296993</v>
      </c>
      <c r="Y842" s="82">
        <f>IFERROR(__xludf.DUMMYFUNCTION("""COMPUTED_VALUE"""),365.20386466708527)</f>
        <v>365.2038647</v>
      </c>
      <c r="Z842" s="82">
        <f>IFERROR(__xludf.DUMMYFUNCTION("""COMPUTED_VALUE"""),0.7816582281951159)</f>
        <v>0.7816582282</v>
      </c>
      <c r="AA842" s="82">
        <f>IFERROR(__xludf.DUMMYFUNCTION("""COMPUTED_VALUE"""),0.5855246266475067)</f>
        <v>0.5855246266</v>
      </c>
      <c r="AB842" s="82">
        <f>IFERROR(__xludf.DUMMYFUNCTION("""COMPUTED_VALUE"""),1.4746636218705822)</f>
        <v>1.474663622</v>
      </c>
      <c r="AC842" s="82">
        <f>IFERROR(__xludf.DUMMYFUNCTION("""COMPUTED_VALUE"""),2.6653824508141066)</f>
        <v>2.665382451</v>
      </c>
      <c r="AD842" s="82">
        <f>IFERROR(__xludf.DUMMYFUNCTION("""COMPUTED_VALUE"""),1.117013097251504)</f>
        <v>1.117013097</v>
      </c>
      <c r="AE842" s="82">
        <f>IFERROR(__xludf.DUMMYFUNCTION("""COMPUTED_VALUE"""),1.1194150697043317)</f>
        <v>1.11941507</v>
      </c>
      <c r="AF842" s="82">
        <f>IFERROR(__xludf.DUMMYFUNCTION("""COMPUTED_VALUE"""),0.9250963017013405)</f>
        <v>0.9250963017</v>
      </c>
      <c r="AG842" s="82">
        <f>IFERROR(__xludf.DUMMYFUNCTION("""COMPUTED_VALUE"""),1.313858951468755)</f>
        <v>1.313858951</v>
      </c>
      <c r="AH842" s="82">
        <f>IFERROR(__xludf.DUMMYFUNCTION("""COMPUTED_VALUE"""),0.969216756321138)</f>
        <v>0.9692167563</v>
      </c>
      <c r="AI842" s="82">
        <f>IFERROR(__xludf.DUMMYFUNCTION("""COMPUTED_VALUE"""),0.9754664850934619)</f>
        <v>0.9754664851</v>
      </c>
      <c r="AJ842" s="82">
        <f>IFERROR(__xludf.DUMMYFUNCTION("""COMPUTED_VALUE"""),0.9144307686867705)</f>
        <v>0.9144307687</v>
      </c>
      <c r="AK842" s="82">
        <f>IFERROR(__xludf.DUMMYFUNCTION("""COMPUTED_VALUE"""),0.8892258779917089)</f>
        <v>0.889225878</v>
      </c>
      <c r="AL842" s="82">
        <f>IFERROR(__xludf.DUMMYFUNCTION("""COMPUTED_VALUE"""),1.0211739461940308)</f>
        <v>1.021173946</v>
      </c>
      <c r="AM842" s="82">
        <f>IFERROR(__xludf.DUMMYFUNCTION("""COMPUTED_VALUE"""),1.0118510969615047)</f>
        <v>1.011851097</v>
      </c>
      <c r="AN842" s="82">
        <f>IFERROR(__xludf.DUMMYFUNCTION("""COMPUTED_VALUE"""),1.1635740534848407)</f>
        <v>1.163574053</v>
      </c>
      <c r="AO842" s="82">
        <f>IFERROR(__xludf.DUMMYFUNCTION("""COMPUTED_VALUE"""),1.2343217010260634)</f>
        <v>1.234321701</v>
      </c>
      <c r="AP842" s="82">
        <f>IFERROR(__xludf.DUMMYFUNCTION("""COMPUTED_VALUE"""),0.9488301671128961)</f>
        <v>0.9488301671</v>
      </c>
      <c r="AQ842" s="82">
        <f>IFERROR(__xludf.DUMMYFUNCTION("""COMPUTED_VALUE"""),1.359230818076827)</f>
        <v>1.359230818</v>
      </c>
      <c r="AR842" s="82">
        <f>IFERROR(__xludf.DUMMYFUNCTION("""COMPUTED_VALUE"""),1.0305667570588402)</f>
        <v>1.030566757</v>
      </c>
      <c r="AS842" s="82">
        <f>IFERROR(__xludf.DUMMYFUNCTION("""COMPUTED_VALUE"""),106.0)</f>
        <v>106</v>
      </c>
      <c r="AT842" s="82">
        <f>IFERROR(__xludf.DUMMYFUNCTION("""COMPUTED_VALUE"""),0.514644141701759)</f>
        <v>0.5146441417</v>
      </c>
      <c r="AU842" s="82">
        <f>IFERROR(__xludf.DUMMYFUNCTION("""COMPUTED_VALUE"""),2.8638628257012875)</f>
        <v>2.863862826</v>
      </c>
      <c r="AV842" s="82">
        <f>IFERROR(__xludf.DUMMYFUNCTION("""COMPUTED_VALUE"""),63.5239904828198)</f>
        <v>63.52399048</v>
      </c>
      <c r="AW842" s="82">
        <f t="shared" si="1"/>
        <v>3.39826618</v>
      </c>
      <c r="AX842" s="83">
        <f t="array" ref="AX842">IFERROR(DGET('SBV Import'!A:G,"SBV",{"RSC ID","Tier";B842,A842}))</f>
        <v>58.90440716</v>
      </c>
      <c r="AY842" s="82">
        <f t="shared" si="2"/>
        <v>2.771201756</v>
      </c>
      <c r="AZ842" s="82">
        <v>0.6270644244715888</v>
      </c>
      <c r="BA842" s="84">
        <v>800.0</v>
      </c>
      <c r="BB842" s="84" t="b">
        <f>IFERROR(__xludf.DUMMYFUNCTION("iferror(if(A842="""",,E842&gt;=FILTER(Constants!$F$2:$F$10,Constants!$A$2:$A$10=A842)))"),TRUE)</f>
        <v>1</v>
      </c>
    </row>
    <row r="843">
      <c r="A843" s="80" t="str">
        <f>IFERROR(__xludf.DUMMYFUNCTION("""COMPUTED_VALUE"""),"Elite")</f>
        <v>Elite</v>
      </c>
      <c r="B843" s="73" t="str">
        <f>IFERROR(__xludf.DUMMYFUNCTION("""COMPUTED_VALUE"""),"RSC003953")</f>
        <v>RSC003953</v>
      </c>
      <c r="C843" s="73" t="str">
        <f>IFERROR(__xludf.DUMMYFUNCTION("""COMPUTED_VALUE"""),"JustAWestGuy")</f>
        <v>JustAWestGuy</v>
      </c>
      <c r="D843" s="73" t="str">
        <f>IFERROR(__xludf.DUMMYFUNCTION("""COMPUTED_VALUE"""),"Sloths")</f>
        <v>Sloths</v>
      </c>
      <c r="E843" s="82">
        <f>IFERROR(__xludf.DUMMYFUNCTION("""COMPUTED_VALUE"""),8.0)</f>
        <v>8</v>
      </c>
      <c r="F843" s="82">
        <f>IFERROR(__xludf.DUMMYFUNCTION("""COMPUTED_VALUE"""),2.0)</f>
        <v>2</v>
      </c>
      <c r="G843" s="82">
        <f>IFERROR(__xludf.DUMMYFUNCTION("""COMPUTED_VALUE"""),6.0)</f>
        <v>6</v>
      </c>
      <c r="H843" s="86">
        <f>IFERROR(__xludf.DUMMYFUNCTION("""COMPUTED_VALUE"""),0.25)</f>
        <v>0.25</v>
      </c>
      <c r="I843" s="86">
        <f>IFERROR(__xludf.DUMMYFUNCTION("""COMPUTED_VALUE"""),0.4444444444444444)</f>
        <v>0.4444444444</v>
      </c>
      <c r="J843" s="82">
        <f>IFERROR(__xludf.DUMMYFUNCTION("""COMPUTED_VALUE"""),324.0)</f>
        <v>324</v>
      </c>
      <c r="K843" s="82">
        <f>IFERROR(__xludf.DUMMYFUNCTION("""COMPUTED_VALUE"""),1.0)</f>
        <v>1</v>
      </c>
      <c r="L843" s="82">
        <f>IFERROR(__xludf.DUMMYFUNCTION("""COMPUTED_VALUE"""),0.375)</f>
        <v>0.375</v>
      </c>
      <c r="M843" s="82">
        <f>IFERROR(__xludf.DUMMYFUNCTION("""COMPUTED_VALUE"""),0.875)</f>
        <v>0.875</v>
      </c>
      <c r="N843" s="82">
        <f>IFERROR(__xludf.DUMMYFUNCTION("""COMPUTED_VALUE"""),2.25)</f>
        <v>2.25</v>
      </c>
      <c r="O843" s="82">
        <f>IFERROR(__xludf.DUMMYFUNCTION("""COMPUTED_VALUE"""),341.25)</f>
        <v>341.25</v>
      </c>
      <c r="P843" s="82">
        <f>IFERROR(__xludf.DUMMYFUNCTION("""COMPUTED_VALUE"""),0.8333333333333333)</f>
        <v>0.8333333333</v>
      </c>
      <c r="Q843" s="82">
        <f>IFERROR(__xludf.DUMMYFUNCTION("""COMPUTED_VALUE"""),0.625)</f>
        <v>0.625</v>
      </c>
      <c r="R843" s="82">
        <f>IFERROR(__xludf.DUMMYFUNCTION("""COMPUTED_VALUE"""),1.0416666666666667)</f>
        <v>1.041666667</v>
      </c>
      <c r="S843" s="82">
        <f>IFERROR(__xludf.DUMMYFUNCTION("""COMPUTED_VALUE"""),2.9999999999999996)</f>
        <v>3</v>
      </c>
      <c r="T843" s="82">
        <f>IFERROR(__xludf.DUMMYFUNCTION("""COMPUTED_VALUE"""),366.4436859677938)</f>
        <v>366.443686</v>
      </c>
      <c r="U843" s="82">
        <f>IFERROR(__xludf.DUMMYFUNCTION("""COMPUTED_VALUE"""),0.852830188160815)</f>
        <v>0.8528301882</v>
      </c>
      <c r="V843" s="82">
        <f>IFERROR(__xludf.DUMMYFUNCTION("""COMPUTED_VALUE"""),0.6675523957575882)</f>
        <v>0.6675523958</v>
      </c>
      <c r="W843" s="82">
        <f>IFERROR(__xludf.DUMMYFUNCTION("""COMPUTED_VALUE"""),1.3103844701253482)</f>
        <v>1.31038447</v>
      </c>
      <c r="X843" s="82">
        <f>IFERROR(__xludf.DUMMYFUNCTION("""COMPUTED_VALUE"""),2.824266180212118)</f>
        <v>2.82426618</v>
      </c>
      <c r="Y843" s="82">
        <f>IFERROR(__xludf.DUMMYFUNCTION("""COMPUTED_VALUE"""),327.4308791411628)</f>
        <v>327.4308791</v>
      </c>
      <c r="Z843" s="82">
        <f>IFERROR(__xludf.DUMMYFUNCTION("""COMPUTED_VALUE"""),0.5747810551533933)</f>
        <v>0.5747810552</v>
      </c>
      <c r="AA843" s="82">
        <f>IFERROR(__xludf.DUMMYFUNCTION("""COMPUTED_VALUE"""),0.4595545427475393)</f>
        <v>0.4595545427</v>
      </c>
      <c r="AB843" s="82">
        <f>IFERROR(__xludf.DUMMYFUNCTION("""COMPUTED_VALUE"""),1.4743654526107413)</f>
        <v>1.474365453</v>
      </c>
      <c r="AC843" s="82">
        <f>IFERROR(__xludf.DUMMYFUNCTION("""COMPUTED_VALUE"""),2.313338703368386)</f>
        <v>2.313338703</v>
      </c>
      <c r="AD843" s="82">
        <f>IFERROR(__xludf.DUMMYFUNCTION("""COMPUTED_VALUE"""),0.9895218216737474)</f>
        <v>0.9895218217</v>
      </c>
      <c r="AE843" s="82">
        <f>IFERROR(__xludf.DUMMYFUNCTION("""COMPUTED_VALUE"""),1.739792902069689)</f>
        <v>1.739792902</v>
      </c>
      <c r="AF843" s="82">
        <f>IFERROR(__xludf.DUMMYFUNCTION("""COMPUTED_VALUE"""),0.8160076010955893)</f>
        <v>0.8160076011</v>
      </c>
      <c r="AG843" s="82">
        <f>IFERROR(__xludf.DUMMYFUNCTION("""COMPUTED_VALUE"""),0.5934756531703782)</f>
        <v>0.5934756532</v>
      </c>
      <c r="AH843" s="82">
        <f>IFERROR(__xludf.DUMMYFUNCTION("""COMPUTED_VALUE"""),0.9726202206031652)</f>
        <v>0.9726202206</v>
      </c>
      <c r="AI843" s="82">
        <f>IFERROR(__xludf.DUMMYFUNCTION("""COMPUTED_VALUE"""),0.93124813734679)</f>
        <v>0.9312481373</v>
      </c>
      <c r="AJ843" s="82">
        <f>IFERROR(__xludf.DUMMYFUNCTION("""COMPUTED_VALUE"""),0.9771386436618431)</f>
        <v>0.9771386437</v>
      </c>
      <c r="AK843" s="82">
        <f>IFERROR(__xludf.DUMMYFUNCTION("""COMPUTED_VALUE"""),0.9362560961086859)</f>
        <v>0.9362560961</v>
      </c>
      <c r="AL843" s="82">
        <f>IFERROR(__xludf.DUMMYFUNCTION("""COMPUTED_VALUE"""),0.7949320908595806)</f>
        <v>0.7949320909</v>
      </c>
      <c r="AM843" s="82">
        <f>IFERROR(__xludf.DUMMYFUNCTION("""COMPUTED_VALUE"""),1.0622228248240693)</f>
        <v>1.062222825</v>
      </c>
      <c r="AN843" s="82">
        <f>IFERROR(__xludf.DUMMYFUNCTION("""COMPUTED_VALUE"""),0.924156257586244)</f>
        <v>0.9241562576</v>
      </c>
      <c r="AO843" s="82">
        <f>IFERROR(__xludf.DUMMYFUNCTION("""COMPUTED_VALUE"""),1.4106533726012151)</f>
        <v>1.410653373</v>
      </c>
      <c r="AP843" s="82">
        <f>IFERROR(__xludf.DUMMYFUNCTION("""COMPUTED_VALUE"""),0.6568824233858512)</f>
        <v>0.6568824234</v>
      </c>
      <c r="AQ843" s="82">
        <f>IFERROR(__xludf.DUMMYFUNCTION("""COMPUTED_VALUE"""),0.6138461759056638)</f>
        <v>0.6138461759</v>
      </c>
      <c r="AR843" s="82">
        <f>IFERROR(__xludf.DUMMYFUNCTION("""COMPUTED_VALUE"""),0.8975904013093123)</f>
        <v>0.8975904013</v>
      </c>
      <c r="AS843" s="82">
        <f>IFERROR(__xludf.DUMMYFUNCTION("""COMPUTED_VALUE"""),13.0)</f>
        <v>13</v>
      </c>
      <c r="AT843" s="82">
        <f>IFERROR(__xludf.DUMMYFUNCTION("""COMPUTED_VALUE"""),0.3436723282162869)</f>
        <v>0.3436723282</v>
      </c>
      <c r="AU843" s="82">
        <f>IFERROR(__xludf.DUMMYFUNCTION("""COMPUTED_VALUE"""),2.8556848878640007)</f>
        <v>2.855684888</v>
      </c>
      <c r="AV843" s="82">
        <f>IFERROR(__xludf.DUMMYFUNCTION("""COMPUTED_VALUE"""),63.28875853712378)</f>
        <v>63.28875854</v>
      </c>
      <c r="AW843" s="82">
        <f t="shared" si="1"/>
        <v>3.361132894</v>
      </c>
      <c r="AX843" s="83">
        <f t="array" ref="AX843">IFERROR(DGET('SBV Import'!A:G,"SBV",{"RSC ID","Tier";B843,A843}))</f>
        <v>47.36082653</v>
      </c>
      <c r="AY843" s="82">
        <f t="shared" si="2"/>
        <v>-2.183582619</v>
      </c>
      <c r="AZ843" s="82">
        <v>5.544715512625686</v>
      </c>
      <c r="BA843" s="84">
        <v>800.0</v>
      </c>
      <c r="BB843" s="84" t="b">
        <f>IFERROR(__xludf.DUMMYFUNCTION("iferror(if(A843="""",,E843&gt;=FILTER(Constants!$F$2:$F$10,Constants!$A$2:$A$10=A843)))"),TRUE)</f>
        <v>1</v>
      </c>
    </row>
    <row r="844">
      <c r="A844" s="80" t="str">
        <f>IFERROR(__xludf.DUMMYFUNCTION("""COMPUTED_VALUE"""),"Elite")</f>
        <v>Elite</v>
      </c>
      <c r="B844" s="73" t="str">
        <f>IFERROR(__xludf.DUMMYFUNCTION("""COMPUTED_VALUE"""),"RSC007580")</f>
        <v>RSC007580</v>
      </c>
      <c r="C844" s="73" t="str">
        <f>IFERROR(__xludf.DUMMYFUNCTION("""COMPUTED_VALUE"""),"M4ttiusM4ximu5")</f>
        <v>M4ttiusM4ximu5</v>
      </c>
      <c r="D844" s="73" t="str">
        <f>IFERROR(__xludf.DUMMYFUNCTION("""COMPUTED_VALUE"""),"Pixel Picassos")</f>
        <v>Pixel Picassos</v>
      </c>
      <c r="E844" s="82">
        <f>IFERROR(__xludf.DUMMYFUNCTION("""COMPUTED_VALUE"""),40.0)</f>
        <v>40</v>
      </c>
      <c r="F844" s="82">
        <f>IFERROR(__xludf.DUMMYFUNCTION("""COMPUTED_VALUE"""),21.0)</f>
        <v>21</v>
      </c>
      <c r="G844" s="82">
        <f>IFERROR(__xludf.DUMMYFUNCTION("""COMPUTED_VALUE"""),19.0)</f>
        <v>19</v>
      </c>
      <c r="H844" s="86">
        <f>IFERROR(__xludf.DUMMYFUNCTION("""COMPUTED_VALUE"""),0.525)</f>
        <v>0.525</v>
      </c>
      <c r="I844" s="86">
        <f>IFERROR(__xludf.DUMMYFUNCTION("""COMPUTED_VALUE"""),0.2972972972972973)</f>
        <v>0.2972972973</v>
      </c>
      <c r="J844" s="82">
        <f>IFERROR(__xludf.DUMMYFUNCTION("""COMPUTED_VALUE"""),355.95)</f>
        <v>355.95</v>
      </c>
      <c r="K844" s="82">
        <f>IFERROR(__xludf.DUMMYFUNCTION("""COMPUTED_VALUE"""),0.825)</f>
        <v>0.825</v>
      </c>
      <c r="L844" s="82">
        <f>IFERROR(__xludf.DUMMYFUNCTION("""COMPUTED_VALUE"""),0.675)</f>
        <v>0.675</v>
      </c>
      <c r="M844" s="82">
        <f>IFERROR(__xludf.DUMMYFUNCTION("""COMPUTED_VALUE"""),1.175)</f>
        <v>1.175</v>
      </c>
      <c r="N844" s="82">
        <f>IFERROR(__xludf.DUMMYFUNCTION("""COMPUTED_VALUE"""),2.775)</f>
        <v>2.775</v>
      </c>
      <c r="O844" s="82">
        <f>IFERROR(__xludf.DUMMYFUNCTION("""COMPUTED_VALUE"""),375.17500000000007)</f>
        <v>375.175</v>
      </c>
      <c r="P844" s="82">
        <f>IFERROR(__xludf.DUMMYFUNCTION("""COMPUTED_VALUE"""),0.816666666666667)</f>
        <v>0.8166666667</v>
      </c>
      <c r="Q844" s="82">
        <f>IFERROR(__xludf.DUMMYFUNCTION("""COMPUTED_VALUE"""),0.5999999999999999)</f>
        <v>0.6</v>
      </c>
      <c r="R844" s="82">
        <f>IFERROR(__xludf.DUMMYFUNCTION("""COMPUTED_VALUE"""),1.5749999999999997)</f>
        <v>1.575</v>
      </c>
      <c r="S844" s="82">
        <f>IFERROR(__xludf.DUMMYFUNCTION("""COMPUTED_VALUE"""),2.5916666666666663)</f>
        <v>2.591666667</v>
      </c>
      <c r="T844" s="82">
        <f>IFERROR(__xludf.DUMMYFUNCTION("""COMPUTED_VALUE"""),363.61131848129924)</f>
        <v>363.6113185</v>
      </c>
      <c r="U844" s="82">
        <f>IFERROR(__xludf.DUMMYFUNCTION("""COMPUTED_VALUE"""),0.7667470410953247)</f>
        <v>0.7667470411</v>
      </c>
      <c r="V844" s="82">
        <f>IFERROR(__xludf.DUMMYFUNCTION("""COMPUTED_VALUE"""),0.5794876276746342)</f>
        <v>0.5794876277</v>
      </c>
      <c r="W844" s="82">
        <f>IFERROR(__xludf.DUMMYFUNCTION("""COMPUTED_VALUE"""),1.4967320417310426)</f>
        <v>1.496732042</v>
      </c>
      <c r="X844" s="82">
        <f>IFERROR(__xludf.DUMMYFUNCTION("""COMPUTED_VALUE"""),2.574691176998158)</f>
        <v>2.574691177</v>
      </c>
      <c r="Y844" s="82">
        <f>IFERROR(__xludf.DUMMYFUNCTION("""COMPUTED_VALUE"""),366.82572489139494)</f>
        <v>366.8257249</v>
      </c>
      <c r="Z844" s="82">
        <f>IFERROR(__xludf.DUMMYFUNCTION("""COMPUTED_VALUE"""),0.810453712909273)</f>
        <v>0.8104537129</v>
      </c>
      <c r="AA844" s="82">
        <f>IFERROR(__xludf.DUMMYFUNCTION("""COMPUTED_VALUE"""),0.6070340537964654)</f>
        <v>0.6070340538</v>
      </c>
      <c r="AB844" s="82">
        <f>IFERROR(__xludf.DUMMYFUNCTION("""COMPUTED_VALUE"""),1.400375262779021)</f>
        <v>1.400375263</v>
      </c>
      <c r="AC844" s="82">
        <f>IFERROR(__xludf.DUMMYFUNCTION("""COMPUTED_VALUE"""),2.761283518348395)</f>
        <v>2.761283518</v>
      </c>
      <c r="AD844" s="82">
        <f>IFERROR(__xludf.DUMMYFUNCTION("""COMPUTED_VALUE"""),0.9703517933628704)</f>
        <v>0.9703517934</v>
      </c>
      <c r="AE844" s="82">
        <f>IFERROR(__xludf.DUMMYFUNCTION("""COMPUTED_VALUE"""),1.0179483255601487)</f>
        <v>1.017948326</v>
      </c>
      <c r="AF844" s="82">
        <f>IFERROR(__xludf.DUMMYFUNCTION("""COMPUTED_VALUE"""),1.1119639759556608)</f>
        <v>1.111963976</v>
      </c>
      <c r="AG844" s="82">
        <f>IFERROR(__xludf.DUMMYFUNCTION("""COMPUTED_VALUE"""),0.8390608083637756)</f>
        <v>0.8390608084</v>
      </c>
      <c r="AH844" s="82">
        <f>IFERROR(__xludf.DUMMYFUNCTION("""COMPUTED_VALUE"""),1.0049674296610474)</f>
        <v>1.00496743</v>
      </c>
      <c r="AI844" s="82">
        <f>IFERROR(__xludf.DUMMYFUNCTION("""COMPUTED_VALUE"""),1.0318023145346493)</f>
        <v>1.031802315</v>
      </c>
      <c r="AJ844" s="82">
        <f>IFERROR(__xludf.DUMMYFUNCTION("""COMPUTED_VALUE"""),1.0651057296550248)</f>
        <v>1.06510573</v>
      </c>
      <c r="AK844" s="82">
        <f>IFERROR(__xludf.DUMMYFUNCTION("""COMPUTED_VALUE"""),1.0353974292905572)</f>
        <v>1.035397429</v>
      </c>
      <c r="AL844" s="82">
        <f>IFERROR(__xludf.DUMMYFUNCTION("""COMPUTED_VALUE"""),1.0522925654604391)</f>
        <v>1.052292565</v>
      </c>
      <c r="AM844" s="82">
        <f>IFERROR(__xludf.DUMMYFUNCTION("""COMPUTED_VALUE"""),1.006593213904706)</f>
        <v>1.006593214</v>
      </c>
      <c r="AN844" s="82">
        <f>IFERROR(__xludf.DUMMYFUNCTION("""COMPUTED_VALUE"""),1.0152883329871096)</f>
        <v>1.015288333</v>
      </c>
      <c r="AO844" s="82">
        <f>IFERROR(__xludf.DUMMYFUNCTION("""COMPUTED_VALUE"""),1.1637890323960025)</f>
        <v>1.163789032</v>
      </c>
      <c r="AP844" s="82">
        <f>IFERROR(__xludf.DUMMYFUNCTION("""COMPUTED_VALUE"""),1.1823883620945321)</f>
        <v>1.182388362</v>
      </c>
      <c r="AQ844" s="82">
        <f>IFERROR(__xludf.DUMMYFUNCTION("""COMPUTED_VALUE"""),0.8243077219304629)</f>
        <v>0.8243077219</v>
      </c>
      <c r="AR844" s="82">
        <f>IFERROR(__xludf.DUMMYFUNCTION("""COMPUTED_VALUE"""),1.1070281616148185)</f>
        <v>1.107028162</v>
      </c>
      <c r="AS844" s="82">
        <f>IFERROR(__xludf.DUMMYFUNCTION("""COMPUTED_VALUE"""),97.0)</f>
        <v>97</v>
      </c>
      <c r="AT844" s="82">
        <f>IFERROR(__xludf.DUMMYFUNCTION("""COMPUTED_VALUE"""),0.49596002698037644)</f>
        <v>0.495960027</v>
      </c>
      <c r="AU844" s="82">
        <f>IFERROR(__xludf.DUMMYFUNCTION("""COMPUTED_VALUE"""),2.7538534551443954)</f>
        <v>2.753853455</v>
      </c>
      <c r="AV844" s="82">
        <f>IFERROR(__xludf.DUMMYFUNCTION("""COMPUTED_VALUE"""),60.3596575182301)</f>
        <v>60.35965752</v>
      </c>
      <c r="AW844" s="82">
        <f t="shared" si="1"/>
        <v>2.94728246</v>
      </c>
      <c r="AX844" s="83">
        <f t="array" ref="AX844">IFERROR(DGET('SBV Import'!A:G,"SBV",{"RSC ID","Tier";B844,A844}))</f>
        <v>51.64237513</v>
      </c>
      <c r="AY844" s="82">
        <f t="shared" si="2"/>
        <v>2.110549197</v>
      </c>
      <c r="AZ844" s="82">
        <v>0.8367332627080479</v>
      </c>
      <c r="BA844" s="84">
        <v>800.0</v>
      </c>
      <c r="BB844" s="84" t="b">
        <f>IFERROR(__xludf.DUMMYFUNCTION("iferror(if(A844="""",,E844&gt;=FILTER(Constants!$F$2:$F$10,Constants!$A$2:$A$10=A844)))"),TRUE)</f>
        <v>1</v>
      </c>
    </row>
    <row r="845">
      <c r="A845" s="80" t="str">
        <f>IFERROR(__xludf.DUMMYFUNCTION("""COMPUTED_VALUE"""),"Elite")</f>
        <v>Elite</v>
      </c>
      <c r="B845" s="73" t="str">
        <f>IFERROR(__xludf.DUMMYFUNCTION("""COMPUTED_VALUE"""),"RSC000626")</f>
        <v>RSC000626</v>
      </c>
      <c r="C845" s="73" t="str">
        <f>IFERROR(__xludf.DUMMYFUNCTION("""COMPUTED_VALUE"""),"Canadian Things")</f>
        <v>Canadian Things</v>
      </c>
      <c r="D845" s="73" t="str">
        <f>IFERROR(__xludf.DUMMYFUNCTION("""COMPUTED_VALUE"""),"Menthol")</f>
        <v>Menthol</v>
      </c>
      <c r="E845" s="82">
        <f>IFERROR(__xludf.DUMMYFUNCTION("""COMPUTED_VALUE"""),27.0)</f>
        <v>27</v>
      </c>
      <c r="F845" s="82">
        <f>IFERROR(__xludf.DUMMYFUNCTION("""COMPUTED_VALUE"""),15.0)</f>
        <v>15</v>
      </c>
      <c r="G845" s="82">
        <f>IFERROR(__xludf.DUMMYFUNCTION("""COMPUTED_VALUE"""),12.0)</f>
        <v>12</v>
      </c>
      <c r="H845" s="86">
        <f>IFERROR(__xludf.DUMMYFUNCTION("""COMPUTED_VALUE"""),0.5555555555555556)</f>
        <v>0.5555555556</v>
      </c>
      <c r="I845" s="86">
        <f>IFERROR(__xludf.DUMMYFUNCTION("""COMPUTED_VALUE"""),0.3333333333333333)</f>
        <v>0.3333333333</v>
      </c>
      <c r="J845" s="82">
        <f>IFERROR(__xludf.DUMMYFUNCTION("""COMPUTED_VALUE"""),349.82608695652175)</f>
        <v>349.826087</v>
      </c>
      <c r="K845" s="82">
        <f>IFERROR(__xludf.DUMMYFUNCTION("""COMPUTED_VALUE"""),0.9130434782608695)</f>
        <v>0.9130434783</v>
      </c>
      <c r="L845" s="82">
        <f>IFERROR(__xludf.DUMMYFUNCTION("""COMPUTED_VALUE"""),0.4782608695652174)</f>
        <v>0.4782608696</v>
      </c>
      <c r="M845" s="82">
        <f>IFERROR(__xludf.DUMMYFUNCTION("""COMPUTED_VALUE"""),1.2173913043478262)</f>
        <v>1.217391304</v>
      </c>
      <c r="N845" s="82">
        <f>IFERROR(__xludf.DUMMYFUNCTION("""COMPUTED_VALUE"""),2.739130434782609)</f>
        <v>2.739130435</v>
      </c>
      <c r="O845" s="82">
        <f>IFERROR(__xludf.DUMMYFUNCTION("""COMPUTED_VALUE"""),366.07246376811594)</f>
        <v>366.0724638</v>
      </c>
      <c r="P845" s="82">
        <f>IFERROR(__xludf.DUMMYFUNCTION("""COMPUTED_VALUE"""),0.8260869565217391)</f>
        <v>0.8260869565</v>
      </c>
      <c r="Q845" s="82">
        <f>IFERROR(__xludf.DUMMYFUNCTION("""COMPUTED_VALUE"""),0.5797101449275361)</f>
        <v>0.5797101449</v>
      </c>
      <c r="R845" s="82">
        <f>IFERROR(__xludf.DUMMYFUNCTION("""COMPUTED_VALUE"""),1.434782608695652)</f>
        <v>1.434782609</v>
      </c>
      <c r="S845" s="82">
        <f>IFERROR(__xludf.DUMMYFUNCTION("""COMPUTED_VALUE"""),2.4782608695652173)</f>
        <v>2.47826087</v>
      </c>
      <c r="T845" s="82">
        <f>IFERROR(__xludf.DUMMYFUNCTION("""COMPUTED_VALUE"""),356.521956558853)</f>
        <v>356.5219566</v>
      </c>
      <c r="U845" s="82">
        <f>IFERROR(__xludf.DUMMYFUNCTION("""COMPUTED_VALUE"""),0.7564762797525432)</f>
        <v>0.7564762798</v>
      </c>
      <c r="V845" s="82">
        <f>IFERROR(__xludf.DUMMYFUNCTION("""COMPUTED_VALUE"""),0.6239527003842821)</f>
        <v>0.6239527004</v>
      </c>
      <c r="W845" s="82">
        <f>IFERROR(__xludf.DUMMYFUNCTION("""COMPUTED_VALUE"""),1.4025094710676158)</f>
        <v>1.402509471</v>
      </c>
      <c r="X845" s="82">
        <f>IFERROR(__xludf.DUMMYFUNCTION("""COMPUTED_VALUE"""),2.5922086213036035)</f>
        <v>2.592208621</v>
      </c>
      <c r="Y845" s="82">
        <f>IFERROR(__xludf.DUMMYFUNCTION("""COMPUTED_VALUE"""),359.1339092041419)</f>
        <v>359.1339092</v>
      </c>
      <c r="Z845" s="82">
        <f>IFERROR(__xludf.DUMMYFUNCTION("""COMPUTED_VALUE"""),0.7876143579219584)</f>
        <v>0.7876143579</v>
      </c>
      <c r="AA845" s="82">
        <f>IFERROR(__xludf.DUMMYFUNCTION("""COMPUTED_VALUE"""),0.5873407686376717)</f>
        <v>0.5873407686</v>
      </c>
      <c r="AB845" s="82">
        <f>IFERROR(__xludf.DUMMYFUNCTION("""COMPUTED_VALUE"""),1.385794649498059)</f>
        <v>1.385794649</v>
      </c>
      <c r="AC845" s="82">
        <f>IFERROR(__xludf.DUMMYFUNCTION("""COMPUTED_VALUE"""),2.612714206957393)</f>
        <v>2.612714207</v>
      </c>
      <c r="AD845" s="82">
        <f>IFERROR(__xludf.DUMMYFUNCTION("""COMPUTED_VALUE"""),0.9740825858848953)</f>
        <v>0.9740825859</v>
      </c>
      <c r="AE845" s="82">
        <f>IFERROR(__xludf.DUMMYFUNCTION("""COMPUTED_VALUE"""),1.1592519474503273)</f>
        <v>1.159251947</v>
      </c>
      <c r="AF845" s="82">
        <f>IFERROR(__xludf.DUMMYFUNCTION("""COMPUTED_VALUE"""),0.8142817510770392)</f>
        <v>0.8142817511</v>
      </c>
      <c r="AG845" s="82">
        <f>IFERROR(__xludf.DUMMYFUNCTION("""COMPUTED_VALUE"""),0.8784788603338674)</f>
        <v>0.8784788603</v>
      </c>
      <c r="AH845" s="82">
        <f>IFERROR(__xludf.DUMMYFUNCTION("""COMPUTED_VALUE"""),1.0483850194899167)</f>
        <v>1.048385019</v>
      </c>
      <c r="AI845" s="82">
        <f>IFERROR(__xludf.DUMMYFUNCTION("""COMPUTED_VALUE"""),1.0267879916890514)</f>
        <v>1.026787992</v>
      </c>
      <c r="AJ845" s="82">
        <f>IFERROR(__xludf.DUMMYFUNCTION("""COMPUTED_VALUE"""),1.0920196424294584)</f>
        <v>1.092019642</v>
      </c>
      <c r="AK845" s="82">
        <f>IFERROR(__xludf.DUMMYFUNCTION("""COMPUTED_VALUE"""),0.9290930940286055)</f>
        <v>0.929093094</v>
      </c>
      <c r="AL845" s="82">
        <f>IFERROR(__xludf.DUMMYFUNCTION("""COMPUTED_VALUE"""),1.0230109944309107)</f>
        <v>1.023010994</v>
      </c>
      <c r="AM845" s="82">
        <f>IFERROR(__xludf.DUMMYFUNCTION("""COMPUTED_VALUE"""),0.95604221404021)</f>
        <v>0.956042214</v>
      </c>
      <c r="AN845" s="82">
        <f>IFERROR(__xludf.DUMMYFUNCTION("""COMPUTED_VALUE"""),0.997820886814133)</f>
        <v>0.9978208868</v>
      </c>
      <c r="AO845" s="82">
        <f>IFERROR(__xludf.DUMMYFUNCTION("""COMPUTED_VALUE"""),1.2879878619402398)</f>
        <v>1.287987862</v>
      </c>
      <c r="AP845" s="82">
        <f>IFERROR(__xludf.DUMMYFUNCTION("""COMPUTED_VALUE"""),0.8377630906949987)</f>
        <v>0.8377630907</v>
      </c>
      <c r="AQ845" s="82">
        <f>IFERROR(__xludf.DUMMYFUNCTION("""COMPUTED_VALUE"""),0.8540468534339671)</f>
        <v>0.8540468534</v>
      </c>
      <c r="AR845" s="82">
        <f>IFERROR(__xludf.DUMMYFUNCTION("""COMPUTED_VALUE"""),1.0927187494200326)</f>
        <v>1.092718749</v>
      </c>
      <c r="AS845" s="82">
        <f>IFERROR(__xludf.DUMMYFUNCTION("""COMPUTED_VALUE"""),64.0)</f>
        <v>64</v>
      </c>
      <c r="AT845" s="82">
        <f>IFERROR(__xludf.DUMMYFUNCTION("""COMPUTED_VALUE"""),0.48250149110997625)</f>
        <v>0.4825014911</v>
      </c>
      <c r="AU845" s="82">
        <f>IFERROR(__xludf.DUMMYFUNCTION("""COMPUTED_VALUE"""),2.72080166391713)</f>
        <v>2.720801664</v>
      </c>
      <c r="AV845" s="82">
        <f>IFERROR(__xludf.DUMMYFUNCTION("""COMPUTED_VALUE"""),59.408948755969845)</f>
        <v>59.40894876</v>
      </c>
      <c r="AW845" s="82">
        <f t="shared" si="1"/>
        <v>2.830252216</v>
      </c>
      <c r="AX845" s="83">
        <f t="array" ref="AX845">IFERROR(DGET('SBV Import'!A:G,"SBV",{"RSC ID","Tier";B845,A845}))</f>
        <v>48.70590488</v>
      </c>
      <c r="AY845" s="82">
        <f t="shared" si="2"/>
        <v>-2.086121573</v>
      </c>
      <c r="AZ845" s="82">
        <v>4.916373788856525</v>
      </c>
      <c r="BA845" s="84">
        <v>800.0</v>
      </c>
      <c r="BB845" s="84" t="b">
        <f>IFERROR(__xludf.DUMMYFUNCTION("iferror(if(A845="""",,E845&gt;=FILTER(Constants!$F$2:$F$10,Constants!$A$2:$A$10=A845)))"),TRUE)</f>
        <v>1</v>
      </c>
    </row>
    <row r="846">
      <c r="A846" s="80" t="str">
        <f>IFERROR(__xludf.DUMMYFUNCTION("""COMPUTED_VALUE"""),"Elite")</f>
        <v>Elite</v>
      </c>
      <c r="B846" s="73" t="str">
        <f>IFERROR(__xludf.DUMMYFUNCTION("""COMPUTED_VALUE"""),"RSC000371")</f>
        <v>RSC000371</v>
      </c>
      <c r="C846" s="73" t="str">
        <f>IFERROR(__xludf.DUMMYFUNCTION("""COMPUTED_VALUE"""),"Capn' Clutch")</f>
        <v>Capn' Clutch</v>
      </c>
      <c r="D846" s="73" t="str">
        <f>IFERROR(__xludf.DUMMYFUNCTION("""COMPUTED_VALUE"""),"Teddy Bears")</f>
        <v>Teddy Bears</v>
      </c>
      <c r="E846" s="82">
        <f>IFERROR(__xludf.DUMMYFUNCTION("""COMPUTED_VALUE"""),23.0)</f>
        <v>23</v>
      </c>
      <c r="F846" s="82">
        <f>IFERROR(__xludf.DUMMYFUNCTION("""COMPUTED_VALUE"""),10.0)</f>
        <v>10</v>
      </c>
      <c r="G846" s="82">
        <f>IFERROR(__xludf.DUMMYFUNCTION("""COMPUTED_VALUE"""),13.0)</f>
        <v>13</v>
      </c>
      <c r="H846" s="86">
        <f>IFERROR(__xludf.DUMMYFUNCTION("""COMPUTED_VALUE"""),0.43478260869565216)</f>
        <v>0.4347826087</v>
      </c>
      <c r="I846" s="86">
        <f>IFERROR(__xludf.DUMMYFUNCTION("""COMPUTED_VALUE"""),0.2615384615384615)</f>
        <v>0.2615384615</v>
      </c>
      <c r="J846" s="82">
        <f>IFERROR(__xludf.DUMMYFUNCTION("""COMPUTED_VALUE"""),359.0)</f>
        <v>359</v>
      </c>
      <c r="K846" s="82">
        <f>IFERROR(__xludf.DUMMYFUNCTION("""COMPUTED_VALUE"""),0.7391304347826086)</f>
        <v>0.7391304348</v>
      </c>
      <c r="L846" s="82">
        <f>IFERROR(__xludf.DUMMYFUNCTION("""COMPUTED_VALUE"""),0.7391304347826086)</f>
        <v>0.7391304348</v>
      </c>
      <c r="M846" s="82">
        <f>IFERROR(__xludf.DUMMYFUNCTION("""COMPUTED_VALUE"""),1.3478260869565217)</f>
        <v>1.347826087</v>
      </c>
      <c r="N846" s="82">
        <f>IFERROR(__xludf.DUMMYFUNCTION("""COMPUTED_VALUE"""),2.8260869565217392)</f>
        <v>2.826086957</v>
      </c>
      <c r="O846" s="82">
        <f>IFERROR(__xludf.DUMMYFUNCTION("""COMPUTED_VALUE"""),361.31884057971007)</f>
        <v>361.3188406</v>
      </c>
      <c r="P846" s="82">
        <f>IFERROR(__xludf.DUMMYFUNCTION("""COMPUTED_VALUE"""),0.7391304347826086)</f>
        <v>0.7391304348</v>
      </c>
      <c r="Q846" s="82">
        <f>IFERROR(__xludf.DUMMYFUNCTION("""COMPUTED_VALUE"""),0.5652173913043478)</f>
        <v>0.5652173913</v>
      </c>
      <c r="R846" s="82">
        <f>IFERROR(__xludf.DUMMYFUNCTION("""COMPUTED_VALUE"""),1.565217391304348)</f>
        <v>1.565217391</v>
      </c>
      <c r="S846" s="82">
        <f>IFERROR(__xludf.DUMMYFUNCTION("""COMPUTED_VALUE"""),2.376811594202899)</f>
        <v>2.376811594</v>
      </c>
      <c r="T846" s="82">
        <f>IFERROR(__xludf.DUMMYFUNCTION("""COMPUTED_VALUE"""),344.8448688679606)</f>
        <v>344.8448689</v>
      </c>
      <c r="U846" s="82">
        <f>IFERROR(__xludf.DUMMYFUNCTION("""COMPUTED_VALUE"""),0.6588464319593552)</f>
        <v>0.658846432</v>
      </c>
      <c r="V846" s="82">
        <f>IFERROR(__xludf.DUMMYFUNCTION("""COMPUTED_VALUE"""),0.5007366821714683)</f>
        <v>0.5007366822</v>
      </c>
      <c r="W846" s="82">
        <f>IFERROR(__xludf.DUMMYFUNCTION("""COMPUTED_VALUE"""),1.5098484460402768)</f>
        <v>1.509848446</v>
      </c>
      <c r="X846" s="82">
        <f>IFERROR(__xludf.DUMMYFUNCTION("""COMPUTED_VALUE"""),2.411470416936277)</f>
        <v>2.411470417</v>
      </c>
      <c r="Y846" s="82">
        <f>IFERROR(__xludf.DUMMYFUNCTION("""COMPUTED_VALUE"""),359.6195886243141)</f>
        <v>359.6195886</v>
      </c>
      <c r="Z846" s="82">
        <f>IFERROR(__xludf.DUMMYFUNCTION("""COMPUTED_VALUE"""),0.8116236303210335)</f>
        <v>0.8116236303</v>
      </c>
      <c r="AA846" s="82">
        <f>IFERROR(__xludf.DUMMYFUNCTION("""COMPUTED_VALUE"""),0.6018531185643791)</f>
        <v>0.6018531186</v>
      </c>
      <c r="AB846" s="82">
        <f>IFERROR(__xludf.DUMMYFUNCTION("""COMPUTED_VALUE"""),1.2905151585015913)</f>
        <v>1.290515159</v>
      </c>
      <c r="AC846" s="82">
        <f>IFERROR(__xludf.DUMMYFUNCTION("""COMPUTED_VALUE"""),2.7857334605280646)</f>
        <v>2.785733461</v>
      </c>
      <c r="AD846" s="82">
        <f>IFERROR(__xludf.DUMMYFUNCTION("""COMPUTED_VALUE"""),0.9982770999024713)</f>
        <v>0.9982770999</v>
      </c>
      <c r="AE846" s="82">
        <f>IFERROR(__xludf.DUMMYFUNCTION("""COMPUTED_VALUE"""),0.9106812655149648)</f>
        <v>0.9106812655</v>
      </c>
      <c r="AF846" s="82">
        <f>IFERROR(__xludf.DUMMYFUNCTION("""COMPUTED_VALUE"""),1.2280910607320303)</f>
        <v>1.228091061</v>
      </c>
      <c r="AG846" s="82">
        <f>IFERROR(__xludf.DUMMYFUNCTION("""COMPUTED_VALUE"""),1.0444093415543245)</f>
        <v>1.044409342</v>
      </c>
      <c r="AH846" s="82">
        <f>IFERROR(__xludf.DUMMYFUNCTION("""COMPUTED_VALUE"""),1.014485770647284)</f>
        <v>1.014485771</v>
      </c>
      <c r="AI846" s="82">
        <f>IFERROR(__xludf.DUMMYFUNCTION("""COMPUTED_VALUE"""),1.047772123638752)</f>
        <v>1.047772124</v>
      </c>
      <c r="AJ846" s="82">
        <f>IFERROR(__xludf.DUMMYFUNCTION("""COMPUTED_VALUE"""),1.1218554111077075)</f>
        <v>1.121855411</v>
      </c>
      <c r="AK846" s="82">
        <f>IFERROR(__xludf.DUMMYFUNCTION("""COMPUTED_VALUE"""),1.128771690648378)</f>
        <v>1.128771691</v>
      </c>
      <c r="AL846" s="82">
        <f>IFERROR(__xludf.DUMMYFUNCTION("""COMPUTED_VALUE"""),1.0366718563106658)</f>
        <v>1.036671856</v>
      </c>
      <c r="AM846" s="82">
        <f>IFERROR(__xludf.DUMMYFUNCTION("""COMPUTED_VALUE"""),0.9856275148598291)</f>
        <v>0.9856275149</v>
      </c>
      <c r="AN846" s="82">
        <f>IFERROR(__xludf.DUMMYFUNCTION("""COMPUTED_VALUE"""),1.023987952078585)</f>
        <v>1.023987952</v>
      </c>
      <c r="AO846" s="82">
        <f>IFERROR(__xludf.DUMMYFUNCTION("""COMPUTED_VALUE"""),1.0426568406182894)</f>
        <v>1.042656841</v>
      </c>
      <c r="AP846" s="82">
        <f>IFERROR(__xludf.DUMMYFUNCTION("""COMPUTED_VALUE"""),1.294724776528634)</f>
        <v>1.294724777</v>
      </c>
      <c r="AQ846" s="82">
        <f>IFERROR(__xludf.DUMMYFUNCTION("""COMPUTED_VALUE"""),0.9455518734447492)</f>
        <v>0.9455518734</v>
      </c>
      <c r="AR846" s="82">
        <f>IFERROR(__xludf.DUMMYFUNCTION("""COMPUTED_VALUE"""),1.1274082335286049)</f>
        <v>1.127408234</v>
      </c>
      <c r="AS846" s="82">
        <f>IFERROR(__xludf.DUMMYFUNCTION("""COMPUTED_VALUE"""),55.0)</f>
        <v>55</v>
      </c>
      <c r="AT846" s="82">
        <f>IFERROR(__xludf.DUMMYFUNCTION("""COMPUTED_VALUE"""),0.5292335594025471)</f>
        <v>0.5292335594</v>
      </c>
      <c r="AU846" s="82">
        <f>IFERROR(__xludf.DUMMYFUNCTION("""COMPUTED_VALUE"""),2.690428124493107)</f>
        <v>2.690428124</v>
      </c>
      <c r="AV846" s="82">
        <f>IFERROR(__xludf.DUMMYFUNCTION("""COMPUTED_VALUE"""),58.53527779899446)</f>
        <v>58.5352778</v>
      </c>
      <c r="AW846" s="82">
        <f t="shared" si="1"/>
        <v>2.729279575</v>
      </c>
      <c r="AX846" s="83">
        <f t="array" ref="AX846">IFERROR(DGET('SBV Import'!A:G,"SBV",{"RSC ID","Tier";B846,A846}))</f>
        <v>58.56148474</v>
      </c>
      <c r="AY846" s="82">
        <f t="shared" si="2"/>
        <v>2.732221026</v>
      </c>
      <c r="AZ846" s="82">
        <v>0.0029414502024072142</v>
      </c>
      <c r="BA846" s="84">
        <v>800.0</v>
      </c>
      <c r="BB846" s="84" t="b">
        <f>IFERROR(__xludf.DUMMYFUNCTION("iferror(if(A846="""",,E846&gt;=FILTER(Constants!$F$2:$F$10,Constants!$A$2:$A$10=A846)))"),TRUE)</f>
        <v>1</v>
      </c>
    </row>
    <row r="847">
      <c r="A847" s="80" t="str">
        <f>IFERROR(__xludf.DUMMYFUNCTION("""COMPUTED_VALUE"""),"Elite")</f>
        <v>Elite</v>
      </c>
      <c r="B847" s="73" t="str">
        <f>IFERROR(__xludf.DUMMYFUNCTION("""COMPUTED_VALUE"""),"RSC000666")</f>
        <v>RSC000666</v>
      </c>
      <c r="C847" s="73" t="str">
        <f>IFERROR(__xludf.DUMMYFUNCTION("""COMPUTED_VALUE"""),"AEB311")</f>
        <v>AEB311</v>
      </c>
      <c r="D847" s="73" t="str">
        <f>IFERROR(__xludf.DUMMYFUNCTION("""COMPUTED_VALUE"""),"Teddy Bears")</f>
        <v>Teddy Bears</v>
      </c>
      <c r="E847" s="82">
        <f>IFERROR(__xludf.DUMMYFUNCTION("""COMPUTED_VALUE"""),35.0)</f>
        <v>35</v>
      </c>
      <c r="F847" s="82">
        <f>IFERROR(__xludf.DUMMYFUNCTION("""COMPUTED_VALUE"""),18.0)</f>
        <v>18</v>
      </c>
      <c r="G847" s="82">
        <f>IFERROR(__xludf.DUMMYFUNCTION("""COMPUTED_VALUE"""),17.0)</f>
        <v>17</v>
      </c>
      <c r="H847" s="86">
        <f>IFERROR(__xludf.DUMMYFUNCTION("""COMPUTED_VALUE"""),0.5142857142857142)</f>
        <v>0.5142857143</v>
      </c>
      <c r="I847" s="86">
        <f>IFERROR(__xludf.DUMMYFUNCTION("""COMPUTED_VALUE"""),0.2989690721649485)</f>
        <v>0.2989690722</v>
      </c>
      <c r="J847" s="82">
        <f>IFERROR(__xludf.DUMMYFUNCTION("""COMPUTED_VALUE"""),338.2)</f>
        <v>338.2</v>
      </c>
      <c r="K847" s="82">
        <f>IFERROR(__xludf.DUMMYFUNCTION("""COMPUTED_VALUE"""),0.8285714285714286)</f>
        <v>0.8285714286</v>
      </c>
      <c r="L847" s="82">
        <f>IFERROR(__xludf.DUMMYFUNCTION("""COMPUTED_VALUE"""),0.6)</f>
        <v>0.6</v>
      </c>
      <c r="M847" s="82">
        <f>IFERROR(__xludf.DUMMYFUNCTION("""COMPUTED_VALUE"""),0.9428571428571428)</f>
        <v>0.9428571429</v>
      </c>
      <c r="N847" s="82">
        <f>IFERROR(__xludf.DUMMYFUNCTION("""COMPUTED_VALUE"""),2.7714285714285714)</f>
        <v>2.771428571</v>
      </c>
      <c r="O847" s="82">
        <f>IFERROR(__xludf.DUMMYFUNCTION("""COMPUTED_VALUE"""),352.14285714285717)</f>
        <v>352.1428571</v>
      </c>
      <c r="P847" s="82">
        <f>IFERROR(__xludf.DUMMYFUNCTION("""COMPUTED_VALUE"""),0.7142857142857141)</f>
        <v>0.7142857143</v>
      </c>
      <c r="Q847" s="82">
        <f>IFERROR(__xludf.DUMMYFUNCTION("""COMPUTED_VALUE"""),0.5523809523809523)</f>
        <v>0.5523809524</v>
      </c>
      <c r="R847" s="82">
        <f>IFERROR(__xludf.DUMMYFUNCTION("""COMPUTED_VALUE"""),1.5238095238095237)</f>
        <v>1.523809524</v>
      </c>
      <c r="S847" s="82">
        <f>IFERROR(__xludf.DUMMYFUNCTION("""COMPUTED_VALUE"""),2.4190476190476193)</f>
        <v>2.419047619</v>
      </c>
      <c r="T847" s="82">
        <f>IFERROR(__xludf.DUMMYFUNCTION("""COMPUTED_VALUE"""),357.6867016439974)</f>
        <v>357.6867016</v>
      </c>
      <c r="U847" s="82">
        <f>IFERROR(__xludf.DUMMYFUNCTION("""COMPUTED_VALUE"""),0.743326583977333)</f>
        <v>0.743326584</v>
      </c>
      <c r="V847" s="82">
        <f>IFERROR(__xludf.DUMMYFUNCTION("""COMPUTED_VALUE"""),0.5618551724998567)</f>
        <v>0.5618551725</v>
      </c>
      <c r="W847" s="82">
        <f>IFERROR(__xludf.DUMMYFUNCTION("""COMPUTED_VALUE"""),1.473588683292485)</f>
        <v>1.473588683</v>
      </c>
      <c r="X847" s="82">
        <f>IFERROR(__xludf.DUMMYFUNCTION("""COMPUTED_VALUE"""),2.5732991243122267)</f>
        <v>2.573299124</v>
      </c>
      <c r="Y847" s="82">
        <f>IFERROR(__xludf.DUMMYFUNCTION("""COMPUTED_VALUE"""),366.689812178536)</f>
        <v>366.6898122</v>
      </c>
      <c r="Z847" s="82">
        <f>IFERROR(__xludf.DUMMYFUNCTION("""COMPUTED_VALUE"""),0.835698506165614)</f>
        <v>0.8356985062</v>
      </c>
      <c r="AA847" s="82">
        <f>IFERROR(__xludf.DUMMYFUNCTION("""COMPUTED_VALUE"""),0.6310568662241175)</f>
        <v>0.6310568662</v>
      </c>
      <c r="AB847" s="82">
        <f>IFERROR(__xludf.DUMMYFUNCTION("""COMPUTED_VALUE"""),1.3730621450537515)</f>
        <v>1.373062145</v>
      </c>
      <c r="AC847" s="82">
        <f>IFERROR(__xludf.DUMMYFUNCTION("""COMPUTED_VALUE"""),2.740753771446217)</f>
        <v>2.740753771</v>
      </c>
      <c r="AD847" s="82">
        <f>IFERROR(__xludf.DUMMYFUNCTION("""COMPUTED_VALUE"""),0.9223054166428144)</f>
        <v>0.9223054166</v>
      </c>
      <c r="AE847" s="82">
        <f>IFERROR(__xludf.DUMMYFUNCTION("""COMPUTED_VALUE"""),0.9914717119372558)</f>
        <v>0.9914717119</v>
      </c>
      <c r="AF847" s="82">
        <f>IFERROR(__xludf.DUMMYFUNCTION("""COMPUTED_VALUE"""),0.9507859467405149)</f>
        <v>0.9507859467</v>
      </c>
      <c r="AG847" s="82">
        <f>IFERROR(__xludf.DUMMYFUNCTION("""COMPUTED_VALUE"""),0.6866820604250455)</f>
        <v>0.6866820604</v>
      </c>
      <c r="AH847" s="82">
        <f>IFERROR(__xludf.DUMMYFUNCTION("""COMPUTED_VALUE"""),1.01119210353806)</f>
        <v>1.011192104</v>
      </c>
      <c r="AI847" s="82">
        <f>IFERROR(__xludf.DUMMYFUNCTION("""COMPUTED_VALUE"""),0.9845008369736429)</f>
        <v>0.984500837</v>
      </c>
      <c r="AJ847" s="82">
        <f>IFERROR(__xludf.DUMMYFUNCTION("""COMPUTED_VALUE"""),0.9609312106984936)</f>
        <v>0.9609312107</v>
      </c>
      <c r="AK847" s="82">
        <f>IFERROR(__xludf.DUMMYFUNCTION("""COMPUTED_VALUE"""),0.9831376116433157)</f>
        <v>0.9831376116</v>
      </c>
      <c r="AL847" s="82">
        <f>IFERROR(__xludf.DUMMYFUNCTION("""COMPUTED_VALUE"""),1.0340806366704913)</f>
        <v>1.034080637</v>
      </c>
      <c r="AM847" s="82">
        <f>IFERROR(__xludf.DUMMYFUNCTION("""COMPUTED_VALUE"""),0.9400569083449113)</f>
        <v>0.9400569083</v>
      </c>
      <c r="AN847" s="82">
        <f>IFERROR(__xludf.DUMMYFUNCTION("""COMPUTED_VALUE"""),0.9646594022088509)</f>
        <v>0.9646594022</v>
      </c>
      <c r="AO847" s="82">
        <f>IFERROR(__xludf.DUMMYFUNCTION("""COMPUTED_VALUE"""),1.1688270801552927)</f>
        <v>1.16882708</v>
      </c>
      <c r="AP847" s="82">
        <f>IFERROR(__xludf.DUMMYFUNCTION("""COMPUTED_VALUE"""),1.0510118774173618)</f>
        <v>1.051011877</v>
      </c>
      <c r="AQ847" s="82">
        <f>IFERROR(__xludf.DUMMYFUNCTION("""COMPUTED_VALUE"""),0.6614505732207969)</f>
        <v>0.6614505732</v>
      </c>
      <c r="AR847" s="82">
        <f>IFERROR(__xludf.DUMMYFUNCTION("""COMPUTED_VALUE"""),1.1056034149460736)</f>
        <v>1.105603415</v>
      </c>
      <c r="AS847" s="82">
        <f>IFERROR(__xludf.DUMMYFUNCTION("""COMPUTED_VALUE"""),76.0)</f>
        <v>76</v>
      </c>
      <c r="AT847" s="82">
        <f>IFERROR(__xludf.DUMMYFUNCTION("""COMPUTED_VALUE"""),0.5050373667017894)</f>
        <v>0.5050373667</v>
      </c>
      <c r="AU847" s="82">
        <f>IFERROR(__xludf.DUMMYFUNCTION("""COMPUTED_VALUE"""),2.6886073186629424)</f>
        <v>2.688607319</v>
      </c>
      <c r="AV847" s="82">
        <f>IFERROR(__xludf.DUMMYFUNCTION("""COMPUTED_VALUE"""),58.48290375229879)</f>
        <v>58.48290375</v>
      </c>
      <c r="AW847" s="82">
        <f t="shared" si="1"/>
        <v>2.723416947</v>
      </c>
      <c r="AX847" s="83">
        <f t="array" ref="AX847">IFERROR(DGET('SBV Import'!A:G,"SBV",{"RSC ID","Tier";B847,A847}))</f>
        <v>52.28849426</v>
      </c>
      <c r="AY847" s="82">
        <f t="shared" si="2"/>
        <v>2.157349043</v>
      </c>
      <c r="AZ847" s="82">
        <v>0.5660679045254557</v>
      </c>
      <c r="BA847" s="84">
        <v>800.0</v>
      </c>
      <c r="BB847" s="84" t="b">
        <f>IFERROR(__xludf.DUMMYFUNCTION("iferror(if(A847="""",,E847&gt;=FILTER(Constants!$F$2:$F$10,Constants!$A$2:$A$10=A847)))"),TRUE)</f>
        <v>1</v>
      </c>
    </row>
    <row r="848">
      <c r="A848" s="80" t="str">
        <f>IFERROR(__xludf.DUMMYFUNCTION("""COMPUTED_VALUE"""),"Elite")</f>
        <v>Elite</v>
      </c>
      <c r="B848" s="73" t="str">
        <f>IFERROR(__xludf.DUMMYFUNCTION("""COMPUTED_VALUE"""),"RSC000787")</f>
        <v>RSC000787</v>
      </c>
      <c r="C848" s="73" t="str">
        <f>IFERROR(__xludf.DUMMYFUNCTION("""COMPUTED_VALUE"""),"buckle")</f>
        <v>buckle</v>
      </c>
      <c r="D848" s="73" t="str">
        <f>IFERROR(__xludf.DUMMYFUNCTION("""COMPUTED_VALUE"""),"Praetorian Guard")</f>
        <v>Praetorian Guard</v>
      </c>
      <c r="E848" s="82">
        <f>IFERROR(__xludf.DUMMYFUNCTION("""COMPUTED_VALUE"""),32.0)</f>
        <v>32</v>
      </c>
      <c r="F848" s="82">
        <f>IFERROR(__xludf.DUMMYFUNCTION("""COMPUTED_VALUE"""),17.0)</f>
        <v>17</v>
      </c>
      <c r="G848" s="82">
        <f>IFERROR(__xludf.DUMMYFUNCTION("""COMPUTED_VALUE"""),15.0)</f>
        <v>15</v>
      </c>
      <c r="H848" s="86">
        <f>IFERROR(__xludf.DUMMYFUNCTION("""COMPUTED_VALUE"""),0.53125)</f>
        <v>0.53125</v>
      </c>
      <c r="I848" s="86">
        <f>IFERROR(__xludf.DUMMYFUNCTION("""COMPUTED_VALUE"""),0.35443037974683544)</f>
        <v>0.3544303797</v>
      </c>
      <c r="J848" s="82">
        <f>IFERROR(__xludf.DUMMYFUNCTION("""COMPUTED_VALUE"""),411.40625)</f>
        <v>411.40625</v>
      </c>
      <c r="K848" s="82">
        <f>IFERROR(__xludf.DUMMYFUNCTION("""COMPUTED_VALUE"""),0.875)</f>
        <v>0.875</v>
      </c>
      <c r="L848" s="82">
        <f>IFERROR(__xludf.DUMMYFUNCTION("""COMPUTED_VALUE"""),0.5)</f>
        <v>0.5</v>
      </c>
      <c r="M848" s="82">
        <f>IFERROR(__xludf.DUMMYFUNCTION("""COMPUTED_VALUE"""),2.0)</f>
        <v>2</v>
      </c>
      <c r="N848" s="82">
        <f>IFERROR(__xludf.DUMMYFUNCTION("""COMPUTED_VALUE"""),2.46875)</f>
        <v>2.46875</v>
      </c>
      <c r="O848" s="82">
        <f>IFERROR(__xludf.DUMMYFUNCTION("""COMPUTED_VALUE"""),355.48958333333337)</f>
        <v>355.4895833</v>
      </c>
      <c r="P848" s="82">
        <f>IFERROR(__xludf.DUMMYFUNCTION("""COMPUTED_VALUE"""),0.6979166666666665)</f>
        <v>0.6979166667</v>
      </c>
      <c r="Q848" s="82">
        <f>IFERROR(__xludf.DUMMYFUNCTION("""COMPUTED_VALUE"""),0.59375)</f>
        <v>0.59375</v>
      </c>
      <c r="R848" s="82">
        <f>IFERROR(__xludf.DUMMYFUNCTION("""COMPUTED_VALUE"""),1.4062499999999998)</f>
        <v>1.40625</v>
      </c>
      <c r="S848" s="82">
        <f>IFERROR(__xludf.DUMMYFUNCTION("""COMPUTED_VALUE"""),2.604166666666667)</f>
        <v>2.604166667</v>
      </c>
      <c r="T848" s="82">
        <f>IFERROR(__xludf.DUMMYFUNCTION("""COMPUTED_VALUE"""),357.9523823524329)</f>
        <v>357.9523824</v>
      </c>
      <c r="U848" s="82">
        <f>IFERROR(__xludf.DUMMYFUNCTION("""COMPUTED_VALUE"""),0.7690840673294413)</f>
        <v>0.7690840673</v>
      </c>
      <c r="V848" s="82">
        <f>IFERROR(__xludf.DUMMYFUNCTION("""COMPUTED_VALUE"""),0.5812337617360988)</f>
        <v>0.5812337617</v>
      </c>
      <c r="W848" s="82">
        <f>IFERROR(__xludf.DUMMYFUNCTION("""COMPUTED_VALUE"""),1.4299101330077986)</f>
        <v>1.429910133</v>
      </c>
      <c r="X848" s="82">
        <f>IFERROR(__xludf.DUMMYFUNCTION("""COMPUTED_VALUE"""),2.5111671876210417)</f>
        <v>2.511167188</v>
      </c>
      <c r="Y848" s="82">
        <f>IFERROR(__xludf.DUMMYFUNCTION("""COMPUTED_VALUE"""),361.5187157637376)</f>
        <v>361.5187158</v>
      </c>
      <c r="Z848" s="82">
        <f>IFERROR(__xludf.DUMMYFUNCTION("""COMPUTED_VALUE"""),0.8077197532934586)</f>
        <v>0.8077197533</v>
      </c>
      <c r="AA848" s="82">
        <f>IFERROR(__xludf.DUMMYFUNCTION("""COMPUTED_VALUE"""),0.5999234827046818)</f>
        <v>0.5999234827</v>
      </c>
      <c r="AB848" s="82">
        <f>IFERROR(__xludf.DUMMYFUNCTION("""COMPUTED_VALUE"""),1.3385688206967037)</f>
        <v>1.338568821</v>
      </c>
      <c r="AC848" s="82">
        <f>IFERROR(__xludf.DUMMYFUNCTION("""COMPUTED_VALUE"""),2.7009896784735634)</f>
        <v>2.700989678</v>
      </c>
      <c r="AD848" s="82">
        <f>IFERROR(__xludf.DUMMYFUNCTION("""COMPUTED_VALUE"""),1.1379943335184486)</f>
        <v>1.137994334</v>
      </c>
      <c r="AE848" s="82">
        <f>IFERROR(__xludf.DUMMYFUNCTION("""COMPUTED_VALUE"""),1.0832965226270719)</f>
        <v>1.083296523</v>
      </c>
      <c r="AF848" s="82">
        <f>IFERROR(__xludf.DUMMYFUNCTION("""COMPUTED_VALUE"""),0.8334396209093384)</f>
        <v>0.8334396209</v>
      </c>
      <c r="AG848" s="82">
        <f>IFERROR(__xludf.DUMMYFUNCTION("""COMPUTED_VALUE"""),1.4941331137229328)</f>
        <v>1.494133114</v>
      </c>
      <c r="AH848" s="82">
        <f>IFERROR(__xludf.DUMMYFUNCTION("""COMPUTED_VALUE"""),0.914016821195403)</f>
        <v>0.9140168212</v>
      </c>
      <c r="AI848" s="82">
        <f>IFERROR(__xludf.DUMMYFUNCTION("""COMPUTED_VALUE"""),0.9931197579887184)</f>
        <v>0.993119758</v>
      </c>
      <c r="AJ848" s="82">
        <f>IFERROR(__xludf.DUMMYFUNCTION("""COMPUTED_VALUE"""),0.9074647315086168)</f>
        <v>0.9074647315</v>
      </c>
      <c r="AK848" s="82">
        <f>IFERROR(__xludf.DUMMYFUNCTION("""COMPUTED_VALUE"""),1.021533914730824)</f>
        <v>1.021533915</v>
      </c>
      <c r="AL848" s="82">
        <f>IFERROR(__xludf.DUMMYFUNCTION("""COMPUTED_VALUE"""),0.983453412587524)</f>
        <v>0.9834534126</v>
      </c>
      <c r="AM848" s="82">
        <f>IFERROR(__xludf.DUMMYFUNCTION("""COMPUTED_VALUE"""),1.037034363742913)</f>
        <v>1.037034364</v>
      </c>
      <c r="AN848" s="82">
        <f>IFERROR(__xludf.DUMMYFUNCTION("""COMPUTED_VALUE"""),1.1734680874925638)</f>
        <v>1.173468087</v>
      </c>
      <c r="AO848" s="82">
        <f>IFERROR(__xludf.DUMMYFUNCTION("""COMPUTED_VALUE"""),1.2343217010260634)</f>
        <v>1.234321701</v>
      </c>
      <c r="AP848" s="82">
        <f>IFERROR(__xludf.DUMMYFUNCTION("""COMPUTED_VALUE"""),0.8758432311811349)</f>
        <v>0.8758432312</v>
      </c>
      <c r="AQ848" s="82">
        <f>IFERROR(__xludf.DUMMYFUNCTION("""COMPUTED_VALUE"""),1.4030769734986601)</f>
        <v>1.403076973</v>
      </c>
      <c r="AR848" s="82">
        <f>IFERROR(__xludf.DUMMYFUNCTION("""COMPUTED_VALUE"""),0.9848561347699399)</f>
        <v>0.9848561348</v>
      </c>
      <c r="AS848" s="82">
        <f>IFERROR(__xludf.DUMMYFUNCTION("""COMPUTED_VALUE"""),70.0)</f>
        <v>70</v>
      </c>
      <c r="AT848" s="82">
        <f>IFERROR(__xludf.DUMMYFUNCTION("""COMPUTED_VALUE"""),0.516616552405138)</f>
        <v>0.5166165524</v>
      </c>
      <c r="AU848" s="82">
        <f>IFERROR(__xludf.DUMMYFUNCTION("""COMPUTED_VALUE"""),2.6870846476646504)</f>
        <v>2.687084648</v>
      </c>
      <c r="AV848" s="82">
        <f>IFERROR(__xludf.DUMMYFUNCTION("""COMPUTED_VALUE"""),58.43910531940413)</f>
        <v>58.43910532</v>
      </c>
      <c r="AW848" s="82">
        <f t="shared" si="1"/>
        <v>2.718530373</v>
      </c>
      <c r="AX848" s="83">
        <f t="array" ref="AX848">IFERROR(DGET('SBV Import'!A:G,"SBV",{"RSC ID","Tier";B848,A848}))</f>
        <v>58.78620487</v>
      </c>
      <c r="AY848" s="82">
        <f t="shared" si="2"/>
        <v>2.757661665</v>
      </c>
      <c r="AZ848" s="82">
        <v>0.03913129164295048</v>
      </c>
      <c r="BA848" s="84">
        <v>800.0</v>
      </c>
      <c r="BB848" s="84" t="b">
        <f>IFERROR(__xludf.DUMMYFUNCTION("iferror(if(A848="""",,E848&gt;=FILTER(Constants!$F$2:$F$10,Constants!$A$2:$A$10=A848)))"),TRUE)</f>
        <v>1</v>
      </c>
    </row>
    <row r="849">
      <c r="A849" s="80" t="str">
        <f>IFERROR(__xludf.DUMMYFUNCTION("""COMPUTED_VALUE"""),"Elite")</f>
        <v>Elite</v>
      </c>
      <c r="B849" s="73" t="str">
        <f>IFERROR(__xludf.DUMMYFUNCTION("""COMPUTED_VALUE"""),"RSC006637")</f>
        <v>RSC006637</v>
      </c>
      <c r="C849" s="73" t="str">
        <f>IFERROR(__xludf.DUMMYFUNCTION("""COMPUTED_VALUE"""),"nekodah")</f>
        <v>nekodah</v>
      </c>
      <c r="D849" s="73" t="str">
        <f>IFERROR(__xludf.DUMMYFUNCTION("""COMPUTED_VALUE"""),"Stoked Blokes")</f>
        <v>Stoked Blokes</v>
      </c>
      <c r="E849" s="82">
        <f>IFERROR(__xludf.DUMMYFUNCTION("""COMPUTED_VALUE"""),18.0)</f>
        <v>18</v>
      </c>
      <c r="F849" s="82">
        <f>IFERROR(__xludf.DUMMYFUNCTION("""COMPUTED_VALUE"""),11.0)</f>
        <v>11</v>
      </c>
      <c r="G849" s="82">
        <f>IFERROR(__xludf.DUMMYFUNCTION("""COMPUTED_VALUE"""),7.0)</f>
        <v>7</v>
      </c>
      <c r="H849" s="86">
        <f>IFERROR(__xludf.DUMMYFUNCTION("""COMPUTED_VALUE"""),0.6111111111111112)</f>
        <v>0.6111111111</v>
      </c>
      <c r="I849" s="86">
        <f>IFERROR(__xludf.DUMMYFUNCTION("""COMPUTED_VALUE"""),0.3148148148148148)</f>
        <v>0.3148148148</v>
      </c>
      <c r="J849" s="82">
        <f>IFERROR(__xludf.DUMMYFUNCTION("""COMPUTED_VALUE"""),357.55555555555554)</f>
        <v>357.5555556</v>
      </c>
      <c r="K849" s="82">
        <f>IFERROR(__xludf.DUMMYFUNCTION("""COMPUTED_VALUE"""),0.9444444444444444)</f>
        <v>0.9444444444</v>
      </c>
      <c r="L849" s="82">
        <f>IFERROR(__xludf.DUMMYFUNCTION("""COMPUTED_VALUE"""),0.2777777777777778)</f>
        <v>0.2777777778</v>
      </c>
      <c r="M849" s="82">
        <f>IFERROR(__xludf.DUMMYFUNCTION("""COMPUTED_VALUE"""),1.1111111111111112)</f>
        <v>1.111111111</v>
      </c>
      <c r="N849" s="82">
        <f>IFERROR(__xludf.DUMMYFUNCTION("""COMPUTED_VALUE"""),3.0)</f>
        <v>3</v>
      </c>
      <c r="O849" s="82">
        <f>IFERROR(__xludf.DUMMYFUNCTION("""COMPUTED_VALUE"""),356.2037037037037)</f>
        <v>356.2037037</v>
      </c>
      <c r="P849" s="82">
        <f>IFERROR(__xludf.DUMMYFUNCTION("""COMPUTED_VALUE"""),0.7037037037037037)</f>
        <v>0.7037037037</v>
      </c>
      <c r="Q849" s="82">
        <f>IFERROR(__xludf.DUMMYFUNCTION("""COMPUTED_VALUE"""),0.5925925925925926)</f>
        <v>0.5925925926</v>
      </c>
      <c r="R849" s="82">
        <f>IFERROR(__xludf.DUMMYFUNCTION("""COMPUTED_VALUE"""),1.611111111111111)</f>
        <v>1.611111111</v>
      </c>
      <c r="S849" s="82">
        <f>IFERROR(__xludf.DUMMYFUNCTION("""COMPUTED_VALUE"""),2.5185185185185177)</f>
        <v>2.518518519</v>
      </c>
      <c r="T849" s="82">
        <f>IFERROR(__xludf.DUMMYFUNCTION("""COMPUTED_VALUE"""),363.3683948097131)</f>
        <v>363.3683948</v>
      </c>
      <c r="U849" s="82">
        <f>IFERROR(__xludf.DUMMYFUNCTION("""COMPUTED_VALUE"""),0.8019248387825887)</f>
        <v>0.8019248388</v>
      </c>
      <c r="V849" s="82">
        <f>IFERROR(__xludf.DUMMYFUNCTION("""COMPUTED_VALUE"""),0.6293523140544076)</f>
        <v>0.6293523141</v>
      </c>
      <c r="W849" s="82">
        <f>IFERROR(__xludf.DUMMYFUNCTION("""COMPUTED_VALUE"""),1.4486126392903718)</f>
        <v>1.448612639</v>
      </c>
      <c r="X849" s="82">
        <f>IFERROR(__xludf.DUMMYFUNCTION("""COMPUTED_VALUE"""),2.5080581933618102)</f>
        <v>2.508058193</v>
      </c>
      <c r="Y849" s="82">
        <f>IFERROR(__xludf.DUMMYFUNCTION("""COMPUTED_VALUE"""),359.5885564555108)</f>
        <v>359.5885565</v>
      </c>
      <c r="Z849" s="82">
        <f>IFERROR(__xludf.DUMMYFUNCTION("""COMPUTED_VALUE"""),0.8098415105200234)</f>
        <v>0.8098415105</v>
      </c>
      <c r="AA849" s="82">
        <f>IFERROR(__xludf.DUMMYFUNCTION("""COMPUTED_VALUE"""),0.5969998988716922)</f>
        <v>0.5969998989</v>
      </c>
      <c r="AB849" s="82">
        <f>IFERROR(__xludf.DUMMYFUNCTION("""COMPUTED_VALUE"""),1.3096272906286135)</f>
        <v>1.309627291</v>
      </c>
      <c r="AC849" s="82">
        <f>IFERROR(__xludf.DUMMYFUNCTION("""COMPUTED_VALUE"""),2.7123298600751196)</f>
        <v>2.71232986</v>
      </c>
      <c r="AD849" s="82">
        <f>IFERROR(__xludf.DUMMYFUNCTION("""COMPUTED_VALUE"""),0.9943463136869686)</f>
        <v>0.9943463137</v>
      </c>
      <c r="AE849" s="82">
        <f>IFERROR(__xludf.DUMMYFUNCTION("""COMPUTED_VALUE"""),1.1662089830860713)</f>
        <v>1.166208983</v>
      </c>
      <c r="AF849" s="82">
        <f>IFERROR(__xludf.DUMMYFUNCTION("""COMPUTED_VALUE"""),0.46528948883034577)</f>
        <v>0.4652894888</v>
      </c>
      <c r="AG849" s="82">
        <f>IFERROR(__xludf.DUMMYFUNCTION("""COMPUTED_VALUE"""),0.8484178048685778)</f>
        <v>0.8484178049</v>
      </c>
      <c r="AH849" s="82">
        <f>IFERROR(__xludf.DUMMYFUNCTION("""COMPUTED_VALUE"""),1.1060601603659348)</f>
        <v>1.10606016</v>
      </c>
      <c r="AI849" s="82">
        <f>IFERROR(__xludf.DUMMYFUNCTION("""COMPUTED_VALUE"""),0.9802825694024342)</f>
        <v>0.9802825694</v>
      </c>
      <c r="AJ849" s="82">
        <f>IFERROR(__xludf.DUMMYFUNCTION("""COMPUTED_VALUE"""),0.8775182781119543)</f>
        <v>0.8775182781</v>
      </c>
      <c r="AK849" s="82">
        <f>IFERROR(__xludf.DUMMYFUNCTION("""COMPUTED_VALUE"""),0.9415911872556694)</f>
        <v>0.9415911873</v>
      </c>
      <c r="AL849" s="82">
        <f>IFERROR(__xludf.DUMMYFUNCTION("""COMPUTED_VALUE"""),1.1121752409259262)</f>
        <v>1.112175241</v>
      </c>
      <c r="AM849" s="82">
        <f>IFERROR(__xludf.DUMMYFUNCTION("""COMPUTED_VALUE"""),1.0041706867824651)</f>
        <v>1.004170687</v>
      </c>
      <c r="AN849" s="82">
        <f>IFERROR(__xludf.DUMMYFUNCTION("""COMPUTED_VALUE"""),1.0198679138931868)</f>
        <v>1.019867914</v>
      </c>
      <c r="AO849" s="82">
        <f>IFERROR(__xludf.DUMMYFUNCTION("""COMPUTED_VALUE"""),1.3322837407900365)</f>
        <v>1.332283741</v>
      </c>
      <c r="AP849" s="82">
        <f>IFERROR(__xludf.DUMMYFUNCTION("""COMPUTED_VALUE"""),0.4865795728784083)</f>
        <v>0.4865795729</v>
      </c>
      <c r="AQ849" s="82">
        <f>IFERROR(__xludf.DUMMYFUNCTION("""COMPUTED_VALUE"""),0.7794872074992557)</f>
        <v>0.7794872075</v>
      </c>
      <c r="AR849" s="82">
        <f>IFERROR(__xludf.DUMMYFUNCTION("""COMPUTED_VALUE"""),1.1967872017457497)</f>
        <v>1.196787202</v>
      </c>
      <c r="AS849" s="82">
        <f>IFERROR(__xludf.DUMMYFUNCTION("""COMPUTED_VALUE"""),46.0)</f>
        <v>46</v>
      </c>
      <c r="AT849" s="82">
        <f>IFERROR(__xludf.DUMMYFUNCTION("""COMPUTED_VALUE"""),0.5737771546066581)</f>
        <v>0.5737771546</v>
      </c>
      <c r="AU849" s="82">
        <f>IFERROR(__xludf.DUMMYFUNCTION("""COMPUTED_VALUE"""),2.672074557056042)</f>
        <v>2.672074557</v>
      </c>
      <c r="AV849" s="82">
        <f>IFERROR(__xludf.DUMMYFUNCTION("""COMPUTED_VALUE"""),58.00735187627598)</f>
        <v>58.00735188</v>
      </c>
      <c r="AW849" s="82">
        <f t="shared" si="1"/>
        <v>2.671134891</v>
      </c>
      <c r="AX849" s="83">
        <f t="array" ref="AX849">IFERROR(DGET('SBV Import'!A:G,"SBV",{"RSC ID","Tier";B849,A849}))</f>
        <v>45.25216629</v>
      </c>
      <c r="AY849" s="82">
        <f t="shared" si="2"/>
        <v>-2.354666919</v>
      </c>
      <c r="AZ849" s="82">
        <v>5.025801809757974</v>
      </c>
      <c r="BA849" s="84">
        <v>800.0</v>
      </c>
      <c r="BB849" s="84" t="b">
        <f>IFERROR(__xludf.DUMMYFUNCTION("iferror(if(A849="""",,E849&gt;=FILTER(Constants!$F$2:$F$10,Constants!$A$2:$A$10=A849)))"),TRUE)</f>
        <v>1</v>
      </c>
    </row>
    <row r="850">
      <c r="A850" s="85" t="str">
        <f>IFERROR(__xludf.DUMMYFUNCTION("""COMPUTED_VALUE"""),"Elite")</f>
        <v>Elite</v>
      </c>
      <c r="B850" s="73" t="str">
        <f>IFERROR(__xludf.DUMMYFUNCTION("""COMPUTED_VALUE"""),"RSC000197")</f>
        <v>RSC000197</v>
      </c>
      <c r="C850" s="73" t="str">
        <f>IFERROR(__xludf.DUMMYFUNCTION("""COMPUTED_VALUE"""),"kareemostyle")</f>
        <v>kareemostyle</v>
      </c>
      <c r="D850" s="73"/>
      <c r="E850" s="82">
        <f>IFERROR(__xludf.DUMMYFUNCTION("""COMPUTED_VALUE"""),8.0)</f>
        <v>8</v>
      </c>
      <c r="F850" s="82">
        <f>IFERROR(__xludf.DUMMYFUNCTION("""COMPUTED_VALUE"""),3.0)</f>
        <v>3</v>
      </c>
      <c r="G850" s="82">
        <f>IFERROR(__xludf.DUMMYFUNCTION("""COMPUTED_VALUE"""),5.0)</f>
        <v>5</v>
      </c>
      <c r="H850" s="86">
        <f>IFERROR(__xludf.DUMMYFUNCTION("""COMPUTED_VALUE"""),0.375)</f>
        <v>0.375</v>
      </c>
      <c r="I850" s="86">
        <f>IFERROR(__xludf.DUMMYFUNCTION("""COMPUTED_VALUE"""),0.3888888888888889)</f>
        <v>0.3888888889</v>
      </c>
      <c r="J850" s="82">
        <f>IFERROR(__xludf.DUMMYFUNCTION("""COMPUTED_VALUE"""),394.875)</f>
        <v>394.875</v>
      </c>
      <c r="K850" s="82">
        <f>IFERROR(__xludf.DUMMYFUNCTION("""COMPUTED_VALUE"""),0.875)</f>
        <v>0.875</v>
      </c>
      <c r="L850" s="82">
        <f>IFERROR(__xludf.DUMMYFUNCTION("""COMPUTED_VALUE"""),0.625)</f>
        <v>0.625</v>
      </c>
      <c r="M850" s="82">
        <f>IFERROR(__xludf.DUMMYFUNCTION("""COMPUTED_VALUE"""),1.5)</f>
        <v>1.5</v>
      </c>
      <c r="N850" s="82">
        <f>IFERROR(__xludf.DUMMYFUNCTION("""COMPUTED_VALUE"""),2.25)</f>
        <v>2.25</v>
      </c>
      <c r="O850" s="82">
        <f>IFERROR(__xludf.DUMMYFUNCTION("""COMPUTED_VALUE"""),401.79166666666663)</f>
        <v>401.7916667</v>
      </c>
      <c r="P850" s="82">
        <f>IFERROR(__xludf.DUMMYFUNCTION("""COMPUTED_VALUE"""),1.2083333333333335)</f>
        <v>1.208333333</v>
      </c>
      <c r="Q850" s="82">
        <f>IFERROR(__xludf.DUMMYFUNCTION("""COMPUTED_VALUE"""),0.8333333333333334)</f>
        <v>0.8333333333</v>
      </c>
      <c r="R850" s="82">
        <f>IFERROR(__xludf.DUMMYFUNCTION("""COMPUTED_VALUE"""),1.0416666666666665)</f>
        <v>1.041666667</v>
      </c>
      <c r="S850" s="82">
        <f>IFERROR(__xludf.DUMMYFUNCTION("""COMPUTED_VALUE"""),3.25)</f>
        <v>3.25</v>
      </c>
      <c r="T850" s="82">
        <f>IFERROR(__xludf.DUMMYFUNCTION("""COMPUTED_VALUE"""),390.34943787948714)</f>
        <v>390.3494379</v>
      </c>
      <c r="U850" s="82">
        <f>IFERROR(__xludf.DUMMYFUNCTION("""COMPUTED_VALUE"""),0.9462958281840992)</f>
        <v>0.9462958282</v>
      </c>
      <c r="V850" s="82">
        <f>IFERROR(__xludf.DUMMYFUNCTION("""COMPUTED_VALUE"""),0.7024922826553262)</f>
        <v>0.7024922827</v>
      </c>
      <c r="W850" s="82">
        <f>IFERROR(__xludf.DUMMYFUNCTION("""COMPUTED_VALUE"""),1.4043142702141693)</f>
        <v>1.40431427</v>
      </c>
      <c r="X850" s="82">
        <f>IFERROR(__xludf.DUMMYFUNCTION("""COMPUTED_VALUE"""),2.951338277646417)</f>
        <v>2.951338278</v>
      </c>
      <c r="Y850" s="82">
        <f>IFERROR(__xludf.DUMMYFUNCTION("""COMPUTED_VALUE"""),348.0953878549934)</f>
        <v>348.0953879</v>
      </c>
      <c r="Z850" s="82">
        <f>IFERROR(__xludf.DUMMYFUNCTION("""COMPUTED_VALUE"""),0.7325887460598449)</f>
        <v>0.7325887461</v>
      </c>
      <c r="AA850" s="82">
        <f>IFERROR(__xludf.DUMMYFUNCTION("""COMPUTED_VALUE"""),0.5214874659073345)</f>
        <v>0.5214874659</v>
      </c>
      <c r="AB850" s="82">
        <f>IFERROR(__xludf.DUMMYFUNCTION("""COMPUTED_VALUE"""),1.4114605752413298)</f>
        <v>1.411460575</v>
      </c>
      <c r="AC850" s="82">
        <f>IFERROR(__xludf.DUMMYFUNCTION("""COMPUTED_VALUE"""),2.421108971591361)</f>
        <v>2.421108972</v>
      </c>
      <c r="AD850" s="82">
        <f>IFERROR(__xludf.DUMMYFUNCTION("""COMPUTED_VALUE"""),1.1343873368540396)</f>
        <v>1.134387337</v>
      </c>
      <c r="AE850" s="82">
        <f>IFERROR(__xludf.DUMMYFUNCTION("""COMPUTED_VALUE"""),1.1943945422395577)</f>
        <v>1.194394542</v>
      </c>
      <c r="AF850" s="82">
        <f>IFERROR(__xludf.DUMMYFUNCTION("""COMPUTED_VALUE"""),1.1984947690210814)</f>
        <v>1.198494769</v>
      </c>
      <c r="AG850" s="82">
        <f>IFERROR(__xludf.DUMMYFUNCTION("""COMPUTED_VALUE"""),1.0627289393070947)</f>
        <v>1.062728939</v>
      </c>
      <c r="AH850" s="82">
        <f>IFERROR(__xludf.DUMMYFUNCTION("""COMPUTED_VALUE"""),0.9293261998534113)</f>
        <v>0.9293261999</v>
      </c>
      <c r="AI850" s="82">
        <f>IFERROR(__xludf.DUMMYFUNCTION("""COMPUTED_VALUE"""),1.029312784077102)</f>
        <v>1.029312784</v>
      </c>
      <c r="AJ850" s="82">
        <f>IFERROR(__xludf.DUMMYFUNCTION("""COMPUTED_VALUE"""),1.2769086551423068)</f>
        <v>1.276908655</v>
      </c>
      <c r="AK850" s="82">
        <f>IFERROR(__xludf.DUMMYFUNCTION("""COMPUTED_VALUE"""),1.1862526520340488)</f>
        <v>1.186252652</v>
      </c>
      <c r="AL850" s="82">
        <f>IFERROR(__xludf.DUMMYFUNCTION("""COMPUTED_VALUE"""),0.7417617899074713)</f>
        <v>0.7417617899</v>
      </c>
      <c r="AM850" s="82">
        <f>IFERROR(__xludf.DUMMYFUNCTION("""COMPUTED_VALUE"""),1.1011953541942858)</f>
        <v>1.101195354</v>
      </c>
      <c r="AN850" s="82">
        <f>IFERROR(__xludf.DUMMYFUNCTION("""COMPUTED_VALUE"""),1.1263154389332348)</f>
        <v>1.126315439</v>
      </c>
      <c r="AO850" s="82">
        <f>IFERROR(__xludf.DUMMYFUNCTION("""COMPUTED_VALUE"""),1.2343217010260634)</f>
        <v>1.234321701</v>
      </c>
      <c r="AP850" s="82">
        <f>IFERROR(__xludf.DUMMYFUNCTION("""COMPUTED_VALUE"""),1.0948040389764186)</f>
        <v>1.094804039</v>
      </c>
      <c r="AQ850" s="82">
        <f>IFERROR(__xludf.DUMMYFUNCTION("""COMPUTED_VALUE"""),1.0523077301239951)</f>
        <v>1.05230773</v>
      </c>
      <c r="AR850" s="82">
        <f>IFERROR(__xludf.DUMMYFUNCTION("""COMPUTED_VALUE"""),0.8975904013093123)</f>
        <v>0.8975904013</v>
      </c>
      <c r="AS850" s="82">
        <f>IFERROR(__xludf.DUMMYFUNCTION("""COMPUTED_VALUE"""),16.0)</f>
        <v>16</v>
      </c>
      <c r="AT850" s="82">
        <f>IFERROR(__xludf.DUMMYFUNCTION("""COMPUTED_VALUE"""),0.27362432488834365)</f>
        <v>0.2736243249</v>
      </c>
      <c r="AU850" s="82">
        <f>IFERROR(__xludf.DUMMYFUNCTION("""COMPUTED_VALUE"""),2.6675198419937747)</f>
        <v>2.667519842</v>
      </c>
      <c r="AV850" s="82">
        <f>IFERROR(__xludf.DUMMYFUNCTION("""COMPUTED_VALUE"""),57.876339082157756)</f>
        <v>57.87633908</v>
      </c>
      <c r="AW850" s="82">
        <f t="shared" si="1"/>
        <v>2.657027024</v>
      </c>
      <c r="AX850" s="83">
        <f t="array" ref="AX850">IFERROR(DGET('SBV Import'!A:G,"SBV",{"RSC ID","Tier";B850,A850}))</f>
        <v>59.73099156</v>
      </c>
      <c r="AY850" s="82">
        <f t="shared" si="2"/>
        <v>2.869033501</v>
      </c>
      <c r="AZ850" s="82">
        <v>0.2120064771845369</v>
      </c>
      <c r="BA850" s="84">
        <v>800.0</v>
      </c>
      <c r="BB850" s="84" t="b">
        <f>IFERROR(__xludf.DUMMYFUNCTION("iferror(if(A850="""",,E850&gt;=FILTER(Constants!$F$2:$F$10,Constants!$A$2:$A$10=A850)))"),TRUE)</f>
        <v>1</v>
      </c>
    </row>
    <row r="851">
      <c r="A851" s="80" t="str">
        <f>IFERROR(__xludf.DUMMYFUNCTION("""COMPUTED_VALUE"""),"Elite")</f>
        <v>Elite</v>
      </c>
      <c r="B851" s="73" t="str">
        <f>IFERROR(__xludf.DUMMYFUNCTION("""COMPUTED_VALUE"""),"RSC000438")</f>
        <v>RSC000438</v>
      </c>
      <c r="C851" s="73" t="str">
        <f>IFERROR(__xludf.DUMMYFUNCTION("""COMPUTED_VALUE"""),"Limon")</f>
        <v>Limon</v>
      </c>
      <c r="D851" s="73" t="str">
        <f>IFERROR(__xludf.DUMMYFUNCTION("""COMPUTED_VALUE"""),"Menthol")</f>
        <v>Menthol</v>
      </c>
      <c r="E851" s="82">
        <f>IFERROR(__xludf.DUMMYFUNCTION("""COMPUTED_VALUE"""),21.0)</f>
        <v>21</v>
      </c>
      <c r="F851" s="82">
        <f>IFERROR(__xludf.DUMMYFUNCTION("""COMPUTED_VALUE"""),14.0)</f>
        <v>14</v>
      </c>
      <c r="G851" s="82">
        <f>IFERROR(__xludf.DUMMYFUNCTION("""COMPUTED_VALUE"""),7.0)</f>
        <v>7</v>
      </c>
      <c r="H851" s="86">
        <f>IFERROR(__xludf.DUMMYFUNCTION("""COMPUTED_VALUE"""),0.6666666666666666)</f>
        <v>0.6666666667</v>
      </c>
      <c r="I851" s="86">
        <f>IFERROR(__xludf.DUMMYFUNCTION("""COMPUTED_VALUE"""),0.3125)</f>
        <v>0.3125</v>
      </c>
      <c r="J851" s="82">
        <f>IFERROR(__xludf.DUMMYFUNCTION("""COMPUTED_VALUE"""),349.6666666666667)</f>
        <v>349.6666667</v>
      </c>
      <c r="K851" s="82">
        <f>IFERROR(__xludf.DUMMYFUNCTION("""COMPUTED_VALUE"""),0.9523809523809523)</f>
        <v>0.9523809524</v>
      </c>
      <c r="L851" s="82">
        <f>IFERROR(__xludf.DUMMYFUNCTION("""COMPUTED_VALUE"""),0.38095238095238093)</f>
        <v>0.380952381</v>
      </c>
      <c r="M851" s="82">
        <f>IFERROR(__xludf.DUMMYFUNCTION("""COMPUTED_VALUE"""),1.1428571428571428)</f>
        <v>1.142857143</v>
      </c>
      <c r="N851" s="82">
        <f>IFERROR(__xludf.DUMMYFUNCTION("""COMPUTED_VALUE"""),3.0476190476190474)</f>
        <v>3.047619048</v>
      </c>
      <c r="O851" s="82">
        <f>IFERROR(__xludf.DUMMYFUNCTION("""COMPUTED_VALUE"""),373.53968253968253)</f>
        <v>373.5396825</v>
      </c>
      <c r="P851" s="82">
        <f>IFERROR(__xludf.DUMMYFUNCTION("""COMPUTED_VALUE"""),0.6507936507936508)</f>
        <v>0.6507936508</v>
      </c>
      <c r="Q851" s="82">
        <f>IFERROR(__xludf.DUMMYFUNCTION("""COMPUTED_VALUE"""),0.4920634920634919)</f>
        <v>0.4920634921</v>
      </c>
      <c r="R851" s="82">
        <f>IFERROR(__xludf.DUMMYFUNCTION("""COMPUTED_VALUE"""),2.0000000000000004)</f>
        <v>2</v>
      </c>
      <c r="S851" s="82">
        <f>IFERROR(__xludf.DUMMYFUNCTION("""COMPUTED_VALUE"""),2.1904761904761907)</f>
        <v>2.19047619</v>
      </c>
      <c r="T851" s="82">
        <f>IFERROR(__xludf.DUMMYFUNCTION("""COMPUTED_VALUE"""),352.37385149016563)</f>
        <v>352.3738515</v>
      </c>
      <c r="U851" s="82">
        <f>IFERROR(__xludf.DUMMYFUNCTION("""COMPUTED_VALUE"""),0.655220856932446)</f>
        <v>0.6552208569</v>
      </c>
      <c r="V851" s="82">
        <f>IFERROR(__xludf.DUMMYFUNCTION("""COMPUTED_VALUE"""),0.5357007404927135)</f>
        <v>0.5357007405</v>
      </c>
      <c r="W851" s="82">
        <f>IFERROR(__xludf.DUMMYFUNCTION("""COMPUTED_VALUE"""),1.6211656027174088)</f>
        <v>1.621165603</v>
      </c>
      <c r="X851" s="82">
        <f>IFERROR(__xludf.DUMMYFUNCTION("""COMPUTED_VALUE"""),2.3944063322902536)</f>
        <v>2.394406332</v>
      </c>
      <c r="Y851" s="82">
        <f>IFERROR(__xludf.DUMMYFUNCTION("""COMPUTED_VALUE"""),376.50499588061183)</f>
        <v>376.5049959</v>
      </c>
      <c r="Z851" s="82">
        <f>IFERROR(__xludf.DUMMYFUNCTION("""COMPUTED_VALUE"""),0.8675620854784197)</f>
        <v>0.8675620855</v>
      </c>
      <c r="AA851" s="82">
        <f>IFERROR(__xludf.DUMMYFUNCTION("""COMPUTED_VALUE"""),0.67222421747692)</f>
        <v>0.6722242175</v>
      </c>
      <c r="AB851" s="82">
        <f>IFERROR(__xludf.DUMMYFUNCTION("""COMPUTED_VALUE"""),1.3682556726604918)</f>
        <v>1.368255673</v>
      </c>
      <c r="AC851" s="82">
        <f>IFERROR(__xludf.DUMMYFUNCTION("""COMPUTED_VALUE"""),2.962149379263667)</f>
        <v>2.962149379</v>
      </c>
      <c r="AD851" s="82">
        <f>IFERROR(__xludf.DUMMYFUNCTION("""COMPUTED_VALUE"""),0.9287172029386418)</f>
        <v>0.9287172029</v>
      </c>
      <c r="AE851" s="82">
        <f>IFERROR(__xludf.DUMMYFUNCTION("""COMPUTED_VALUE"""),1.097766912964804)</f>
        <v>1.097766913</v>
      </c>
      <c r="AF851" s="82">
        <f>IFERROR(__xludf.DUMMYFUNCTION("""COMPUTED_VALUE"""),0.5667043391894171)</f>
        <v>0.5667043392</v>
      </c>
      <c r="AG851" s="82">
        <f>IFERROR(__xludf.DUMMYFUNCTION("""COMPUTED_VALUE"""),0.8352657808718783)</f>
        <v>0.8352657809</v>
      </c>
      <c r="AH851" s="82">
        <f>IFERROR(__xludf.DUMMYFUNCTION("""COMPUTED_VALUE"""),1.0288539359134639)</f>
        <v>1.028853936</v>
      </c>
      <c r="AI851" s="82">
        <f>IFERROR(__xludf.DUMMYFUNCTION("""COMPUTED_VALUE"""),1.060066406630367)</f>
        <v>1.060066407</v>
      </c>
      <c r="AJ851" s="82">
        <f>IFERROR(__xludf.DUMMYFUNCTION("""COMPUTED_VALUE"""),0.9932431849628198)</f>
        <v>0.993243185</v>
      </c>
      <c r="AK851" s="82">
        <f>IFERROR(__xludf.DUMMYFUNCTION("""COMPUTED_VALUE"""),0.9185417433078662)</f>
        <v>0.9185417433</v>
      </c>
      <c r="AL851" s="82">
        <f>IFERROR(__xludf.DUMMYFUNCTION("""COMPUTED_VALUE"""),1.2336802586038014)</f>
        <v>1.233680259</v>
      </c>
      <c r="AM851" s="82">
        <f>IFERROR(__xludf.DUMMYFUNCTION("""COMPUTED_VALUE"""),0.9148306037016686)</f>
        <v>0.9148306037</v>
      </c>
      <c r="AN851" s="82">
        <f>IFERROR(__xludf.DUMMYFUNCTION("""COMPUTED_VALUE"""),0.9973661668806275)</f>
        <v>0.9973661669</v>
      </c>
      <c r="AO851" s="82">
        <f>IFERROR(__xludf.DUMMYFUNCTION("""COMPUTED_VALUE"""),1.3434794024773478)</f>
        <v>1.343479402</v>
      </c>
      <c r="AP851" s="82">
        <f>IFERROR(__xludf.DUMMYFUNCTION("""COMPUTED_VALUE"""),0.6673091285189598)</f>
        <v>0.6673091285</v>
      </c>
      <c r="AQ851" s="82">
        <f>IFERROR(__xludf.DUMMYFUNCTION("""COMPUTED_VALUE"""),0.801758270570663)</f>
        <v>0.8017582706</v>
      </c>
      <c r="AR851" s="82">
        <f>IFERROR(__xludf.DUMMYFUNCTION("""COMPUTED_VALUE"""),1.2157838239956822)</f>
        <v>1.215783824</v>
      </c>
      <c r="AS851" s="82">
        <f>IFERROR(__xludf.DUMMYFUNCTION("""COMPUTED_VALUE"""),56.0)</f>
        <v>56</v>
      </c>
      <c r="AT851" s="82">
        <f>IFERROR(__xludf.DUMMYFUNCTION("""COMPUTED_VALUE"""),0.6186207192700075)</f>
        <v>0.6186207193</v>
      </c>
      <c r="AU851" s="82">
        <f>IFERROR(__xludf.DUMMYFUNCTION("""COMPUTED_VALUE"""),2.6660336650985412)</f>
        <v>2.666033665</v>
      </c>
      <c r="AV851" s="82">
        <f>IFERROR(__xludf.DUMMYFUNCTION("""COMPUTED_VALUE"""),57.833590373416015)</f>
        <v>57.83359037</v>
      </c>
      <c r="AW851" s="82">
        <f t="shared" si="1"/>
        <v>2.652450883</v>
      </c>
      <c r="AX851" s="83">
        <f t="array" ref="AX851">IFERROR(DGET('SBV Import'!A:G,"SBV",{"RSC ID","Tier";B851,A851}))</f>
        <v>40.58641638</v>
      </c>
      <c r="AY851" s="82">
        <f t="shared" si="2"/>
        <v>-2.830804254</v>
      </c>
      <c r="AZ851" s="82">
        <v>5.4832551375446</v>
      </c>
      <c r="BA851" s="84">
        <v>800.0</v>
      </c>
      <c r="BB851" s="84" t="b">
        <f>IFERROR(__xludf.DUMMYFUNCTION("iferror(if(A851="""",,E851&gt;=FILTER(Constants!$F$2:$F$10,Constants!$A$2:$A$10=A851)))"),TRUE)</f>
        <v>1</v>
      </c>
    </row>
    <row r="852">
      <c r="A852" s="80" t="str">
        <f>IFERROR(__xludf.DUMMYFUNCTION("""COMPUTED_VALUE"""),"Elite")</f>
        <v>Elite</v>
      </c>
      <c r="B852" s="73" t="str">
        <f>IFERROR(__xludf.DUMMYFUNCTION("""COMPUTED_VALUE"""),"RSC005899")</f>
        <v>RSC005899</v>
      </c>
      <c r="C852" s="73" t="str">
        <f>IFERROR(__xludf.DUMMYFUNCTION("""COMPUTED_VALUE"""),"DJDancingDuckGif")</f>
        <v>DJDancingDuckGif</v>
      </c>
      <c r="D852" s="73" t="str">
        <f>IFERROR(__xludf.DUMMYFUNCTION("""COMPUTED_VALUE"""),"Black-Holes")</f>
        <v>Black-Holes</v>
      </c>
      <c r="E852" s="82">
        <f>IFERROR(__xludf.DUMMYFUNCTION("""COMPUTED_VALUE"""),32.0)</f>
        <v>32</v>
      </c>
      <c r="F852" s="82">
        <f>IFERROR(__xludf.DUMMYFUNCTION("""COMPUTED_VALUE"""),21.0)</f>
        <v>21</v>
      </c>
      <c r="G852" s="82">
        <f>IFERROR(__xludf.DUMMYFUNCTION("""COMPUTED_VALUE"""),11.0)</f>
        <v>11</v>
      </c>
      <c r="H852" s="86">
        <f>IFERROR(__xludf.DUMMYFUNCTION("""COMPUTED_VALUE"""),0.65625)</f>
        <v>0.65625</v>
      </c>
      <c r="I852" s="86">
        <f>IFERROR(__xludf.DUMMYFUNCTION("""COMPUTED_VALUE"""),0.27380952380952384)</f>
        <v>0.2738095238</v>
      </c>
      <c r="J852" s="82">
        <f>IFERROR(__xludf.DUMMYFUNCTION("""COMPUTED_VALUE"""),381.375)</f>
        <v>381.375</v>
      </c>
      <c r="K852" s="82">
        <f>IFERROR(__xludf.DUMMYFUNCTION("""COMPUTED_VALUE"""),0.71875)</f>
        <v>0.71875</v>
      </c>
      <c r="L852" s="82">
        <f>IFERROR(__xludf.DUMMYFUNCTION("""COMPUTED_VALUE"""),0.65625)</f>
        <v>0.65625</v>
      </c>
      <c r="M852" s="82">
        <f>IFERROR(__xludf.DUMMYFUNCTION("""COMPUTED_VALUE"""),1.8125)</f>
        <v>1.8125</v>
      </c>
      <c r="N852" s="82">
        <f>IFERROR(__xludf.DUMMYFUNCTION("""COMPUTED_VALUE"""),2.625)</f>
        <v>2.625</v>
      </c>
      <c r="O852" s="82">
        <f>IFERROR(__xludf.DUMMYFUNCTION("""COMPUTED_VALUE"""),365.7916666666667)</f>
        <v>365.7916667</v>
      </c>
      <c r="P852" s="82">
        <f>IFERROR(__xludf.DUMMYFUNCTION("""COMPUTED_VALUE"""),0.7291666666666667)</f>
        <v>0.7291666667</v>
      </c>
      <c r="Q852" s="82">
        <f>IFERROR(__xludf.DUMMYFUNCTION("""COMPUTED_VALUE"""),0.4895833333333334)</f>
        <v>0.4895833333</v>
      </c>
      <c r="R852" s="82">
        <f>IFERROR(__xludf.DUMMYFUNCTION("""COMPUTED_VALUE"""),1.6875000000000002)</f>
        <v>1.6875</v>
      </c>
      <c r="S852" s="82">
        <f>IFERROR(__xludf.DUMMYFUNCTION("""COMPUTED_VALUE"""),2.4479166666666665)</f>
        <v>2.447916667</v>
      </c>
      <c r="T852" s="82">
        <f>IFERROR(__xludf.DUMMYFUNCTION("""COMPUTED_VALUE"""),354.0870899326982)</f>
        <v>354.0870899</v>
      </c>
      <c r="U852" s="82">
        <f>IFERROR(__xludf.DUMMYFUNCTION("""COMPUTED_VALUE"""),0.732631311052228)</f>
        <v>0.7326313111</v>
      </c>
      <c r="V852" s="82">
        <f>IFERROR(__xludf.DUMMYFUNCTION("""COMPUTED_VALUE"""),0.5377045449850797)</f>
        <v>0.537704545</v>
      </c>
      <c r="W852" s="82">
        <f>IFERROR(__xludf.DUMMYFUNCTION("""COMPUTED_VALUE"""),1.4586147071989841)</f>
        <v>1.458614707</v>
      </c>
      <c r="X852" s="82">
        <f>IFERROR(__xludf.DUMMYFUNCTION("""COMPUTED_VALUE"""),2.5963503282389566)</f>
        <v>2.596350328</v>
      </c>
      <c r="Y852" s="82">
        <f>IFERROR(__xludf.DUMMYFUNCTION("""COMPUTED_VALUE"""),364.8430056219847)</f>
        <v>364.8430056</v>
      </c>
      <c r="Z852" s="82">
        <f>IFERROR(__xludf.DUMMYFUNCTION("""COMPUTED_VALUE"""),0.8091708066353376)</f>
        <v>0.8091708066</v>
      </c>
      <c r="AA852" s="82">
        <f>IFERROR(__xludf.DUMMYFUNCTION("""COMPUTED_VALUE"""),0.6177582993502359)</f>
        <v>0.6177582994</v>
      </c>
      <c r="AB852" s="82">
        <f>IFERROR(__xludf.DUMMYFUNCTION("""COMPUTED_VALUE"""),1.3726874057524336)</f>
        <v>1.372687406</v>
      </c>
      <c r="AC852" s="82">
        <f>IFERROR(__xludf.DUMMYFUNCTION("""COMPUTED_VALUE"""),2.764139561700788)</f>
        <v>2.764139562</v>
      </c>
      <c r="AD852" s="82">
        <f>IFERROR(__xludf.DUMMYFUNCTION("""COMPUTED_VALUE"""),1.0453126252203508)</f>
        <v>1.045312625</v>
      </c>
      <c r="AE852" s="82">
        <f>IFERROR(__xludf.DUMMYFUNCTION("""COMPUTED_VALUE"""),0.8882549816505098)</f>
        <v>0.8882549817</v>
      </c>
      <c r="AF852" s="82">
        <f>IFERROR(__xludf.DUMMYFUNCTION("""COMPUTED_VALUE"""),1.0623086742666996)</f>
        <v>1.062308674</v>
      </c>
      <c r="AG852" s="82">
        <f>IFERROR(__xludf.DUMMYFUNCTION("""COMPUTED_VALUE"""),1.3204025857631327)</f>
        <v>1.320402586</v>
      </c>
      <c r="AH852" s="82">
        <f>IFERROR(__xludf.DUMMYFUNCTION("""COMPUTED_VALUE"""),0.9496626134119022)</f>
        <v>0.9496626134</v>
      </c>
      <c r="AI852" s="82">
        <f>IFERROR(__xludf.DUMMYFUNCTION("""COMPUTED_VALUE"""),1.0330556438422909)</f>
        <v>1.033055644</v>
      </c>
      <c r="AJ852" s="82">
        <f>IFERROR(__xludf.DUMMYFUNCTION("""COMPUTED_VALUE"""),0.9952709578019737)</f>
        <v>0.9952709578</v>
      </c>
      <c r="AK852" s="82">
        <f>IFERROR(__xludf.DUMMYFUNCTION("""COMPUTED_VALUE"""),0.9105062211198502)</f>
        <v>0.9105062211</v>
      </c>
      <c r="AL852" s="82">
        <f>IFERROR(__xludf.DUMMYFUNCTION("""COMPUTED_VALUE"""),1.156919638662187)</f>
        <v>1.156919639</v>
      </c>
      <c r="AM852" s="82">
        <f>IFERROR(__xludf.DUMMYFUNCTION("""COMPUTED_VALUE"""),0.9428298793279684)</f>
        <v>0.9428298793</v>
      </c>
      <c r="AN852" s="82">
        <f>IFERROR(__xludf.DUMMYFUNCTION("""COMPUTED_VALUE"""),1.0878089282004746)</f>
        <v>1.087808928</v>
      </c>
      <c r="AO852" s="82">
        <f>IFERROR(__xludf.DUMMYFUNCTION("""COMPUTED_VALUE"""),1.0139071115571234)</f>
        <v>1.013907112</v>
      </c>
      <c r="AP852" s="82">
        <f>IFERROR(__xludf.DUMMYFUNCTION("""COMPUTED_VALUE"""),1.1495442409252397)</f>
        <v>1.149544241</v>
      </c>
      <c r="AQ852" s="82">
        <f>IFERROR(__xludf.DUMMYFUNCTION("""COMPUTED_VALUE"""),1.2715385072331609)</f>
        <v>1.271538507</v>
      </c>
      <c r="AR852" s="82">
        <f>IFERROR(__xludf.DUMMYFUNCTION("""COMPUTED_VALUE"""),1.047188801527531)</f>
        <v>1.047188802</v>
      </c>
      <c r="AS852" s="82">
        <f>IFERROR(__xludf.DUMMYFUNCTION("""COMPUTED_VALUE"""),107.0)</f>
        <v>107</v>
      </c>
      <c r="AT852" s="82">
        <f>IFERROR(__xludf.DUMMYFUNCTION("""COMPUTED_VALUE"""),0.6666922887484898)</f>
        <v>0.6666922887</v>
      </c>
      <c r="AU852" s="82">
        <f>IFERROR(__xludf.DUMMYFUNCTION("""COMPUTED_VALUE"""),2.6504588655560126)</f>
        <v>2.650458866</v>
      </c>
      <c r="AV852" s="82">
        <f>IFERROR(__xludf.DUMMYFUNCTION("""COMPUTED_VALUE"""),57.3855935222404)</f>
        <v>57.38559352</v>
      </c>
      <c r="AW852" s="82">
        <f t="shared" si="1"/>
        <v>2.605285448</v>
      </c>
      <c r="AX852" s="83">
        <f t="array" ref="AX852">IFERROR(DGET('SBV Import'!A:G,"SBV",{"RSC ID","Tier";B852,A852}))</f>
        <v>44.72504538</v>
      </c>
      <c r="AY852" s="82">
        <f t="shared" si="2"/>
        <v>-2.401281263</v>
      </c>
      <c r="AZ852" s="82">
        <v>5.006566710739973</v>
      </c>
      <c r="BA852" s="84">
        <v>800.0</v>
      </c>
      <c r="BB852" s="84" t="b">
        <f>IFERROR(__xludf.DUMMYFUNCTION("iferror(if(A852="""",,E852&gt;=FILTER(Constants!$F$2:$F$10,Constants!$A$2:$A$10=A852)))"),TRUE)</f>
        <v>1</v>
      </c>
    </row>
    <row r="853">
      <c r="A853" s="80" t="str">
        <f>IFERROR(__xludf.DUMMYFUNCTION("""COMPUTED_VALUE"""),"Elite")</f>
        <v>Elite</v>
      </c>
      <c r="B853" s="73" t="str">
        <f>IFERROR(__xludf.DUMMYFUNCTION("""COMPUTED_VALUE"""),"RSC005705")</f>
        <v>RSC005705</v>
      </c>
      <c r="C853" s="73" t="str">
        <f>IFERROR(__xludf.DUMMYFUNCTION("""COMPUTED_VALUE"""),"Rapidz (Goofy and Silly)")</f>
        <v>Rapidz (Goofy and Silly)</v>
      </c>
      <c r="D853" s="73" t="str">
        <f>IFERROR(__xludf.DUMMYFUNCTION("""COMPUTED_VALUE"""),"Keno")</f>
        <v>Keno</v>
      </c>
      <c r="E853" s="82">
        <f>IFERROR(__xludf.DUMMYFUNCTION("""COMPUTED_VALUE"""),36.0)</f>
        <v>36</v>
      </c>
      <c r="F853" s="82">
        <f>IFERROR(__xludf.DUMMYFUNCTION("""COMPUTED_VALUE"""),19.0)</f>
        <v>19</v>
      </c>
      <c r="G853" s="82">
        <f>IFERROR(__xludf.DUMMYFUNCTION("""COMPUTED_VALUE"""),17.0)</f>
        <v>17</v>
      </c>
      <c r="H853" s="86">
        <f>IFERROR(__xludf.DUMMYFUNCTION("""COMPUTED_VALUE"""),0.5277777777777778)</f>
        <v>0.5277777778</v>
      </c>
      <c r="I853" s="86">
        <f>IFERROR(__xludf.DUMMYFUNCTION("""COMPUTED_VALUE"""),0.27722772277227725)</f>
        <v>0.2772277228</v>
      </c>
      <c r="J853" s="82">
        <f>IFERROR(__xludf.DUMMYFUNCTION("""COMPUTED_VALUE"""),362.1388888888889)</f>
        <v>362.1388889</v>
      </c>
      <c r="K853" s="82">
        <f>IFERROR(__xludf.DUMMYFUNCTION("""COMPUTED_VALUE"""),0.7777777777777778)</f>
        <v>0.7777777778</v>
      </c>
      <c r="L853" s="82">
        <f>IFERROR(__xludf.DUMMYFUNCTION("""COMPUTED_VALUE"""),0.5277777777777778)</f>
        <v>0.5277777778</v>
      </c>
      <c r="M853" s="82">
        <f>IFERROR(__xludf.DUMMYFUNCTION("""COMPUTED_VALUE"""),1.3611111111111112)</f>
        <v>1.361111111</v>
      </c>
      <c r="N853" s="82">
        <f>IFERROR(__xludf.DUMMYFUNCTION("""COMPUTED_VALUE"""),2.8055555555555554)</f>
        <v>2.805555556</v>
      </c>
      <c r="O853" s="82">
        <f>IFERROR(__xludf.DUMMYFUNCTION("""COMPUTED_VALUE"""),335.46296296296293)</f>
        <v>335.462963</v>
      </c>
      <c r="P853" s="82">
        <f>IFERROR(__xludf.DUMMYFUNCTION("""COMPUTED_VALUE"""),0.6574074074074074)</f>
        <v>0.6574074074</v>
      </c>
      <c r="Q853" s="82">
        <f>IFERROR(__xludf.DUMMYFUNCTION("""COMPUTED_VALUE"""),0.48148148148148145)</f>
        <v>0.4814814815</v>
      </c>
      <c r="R853" s="82">
        <f>IFERROR(__xludf.DUMMYFUNCTION("""COMPUTED_VALUE"""),1.3611111111111114)</f>
        <v>1.361111111</v>
      </c>
      <c r="S853" s="82">
        <f>IFERROR(__xludf.DUMMYFUNCTION("""COMPUTED_VALUE"""),2.398148148148149)</f>
        <v>2.398148148</v>
      </c>
      <c r="T853" s="82">
        <f>IFERROR(__xludf.DUMMYFUNCTION("""COMPUTED_VALUE"""),347.5846312388487)</f>
        <v>347.5846312</v>
      </c>
      <c r="U853" s="82">
        <f>IFERROR(__xludf.DUMMYFUNCTION("""COMPUTED_VALUE"""),0.7146412729168081)</f>
        <v>0.7146412729</v>
      </c>
      <c r="V853" s="82">
        <f>IFERROR(__xludf.DUMMYFUNCTION("""COMPUTED_VALUE"""),0.5481930161058883)</f>
        <v>0.5481930161</v>
      </c>
      <c r="W853" s="82">
        <f>IFERROR(__xludf.DUMMYFUNCTION("""COMPUTED_VALUE"""),1.4179144070832088)</f>
        <v>1.417914407</v>
      </c>
      <c r="X853" s="82">
        <f>IFERROR(__xludf.DUMMYFUNCTION("""COMPUTED_VALUE"""),2.5341485982319427)</f>
        <v>2.534148598</v>
      </c>
      <c r="Y853" s="82">
        <f>IFERROR(__xludf.DUMMYFUNCTION("""COMPUTED_VALUE"""),368.40350239481205)</f>
        <v>368.4035024</v>
      </c>
      <c r="Z853" s="82">
        <f>IFERROR(__xludf.DUMMYFUNCTION("""COMPUTED_VALUE"""),0.8521673811348339)</f>
        <v>0.8521673811</v>
      </c>
      <c r="AA853" s="82">
        <f>IFERROR(__xludf.DUMMYFUNCTION("""COMPUTED_VALUE"""),0.6441871115158482)</f>
        <v>0.6441871115</v>
      </c>
      <c r="AB853" s="82">
        <f>IFERROR(__xludf.DUMMYFUNCTION("""COMPUTED_VALUE"""),1.374960032618138)</f>
        <v>1.374960033</v>
      </c>
      <c r="AC853" s="82">
        <f>IFERROR(__xludf.DUMMYFUNCTION("""COMPUTED_VALUE"""),2.7255849952455993)</f>
        <v>2.725584995</v>
      </c>
      <c r="AD853" s="82">
        <f>IFERROR(__xludf.DUMMYFUNCTION("""COMPUTED_VALUE"""),0.9829952390104874)</f>
        <v>0.982995239</v>
      </c>
      <c r="AE853" s="82">
        <f>IFERROR(__xludf.DUMMYFUNCTION("""COMPUTED_VALUE"""),0.9127054085806579)</f>
        <v>0.9127054086</v>
      </c>
      <c r="AF853" s="82">
        <f>IFERROR(__xludf.DUMMYFUNCTION("""COMPUTED_VALUE"""),0.8192926687649098)</f>
        <v>0.8192926688</v>
      </c>
      <c r="AG853" s="82">
        <f>IFERROR(__xludf.DUMMYFUNCTION("""COMPUTED_VALUE"""),0.9899277643142425)</f>
        <v>0.9899277643</v>
      </c>
      <c r="AH853" s="82">
        <f>IFERROR(__xludf.DUMMYFUNCTION("""COMPUTED_VALUE"""),1.0293406958320703)</f>
        <v>1.029340696</v>
      </c>
      <c r="AI853" s="82">
        <f>IFERROR(__xludf.DUMMYFUNCTION("""COMPUTED_VALUE"""),0.9651259946888844)</f>
        <v>0.9651259947</v>
      </c>
      <c r="AJ853" s="82">
        <f>IFERROR(__xludf.DUMMYFUNCTION("""COMPUTED_VALUE"""),0.9199124544321368)</f>
        <v>0.9199124544</v>
      </c>
      <c r="AK853" s="82">
        <f>IFERROR(__xludf.DUMMYFUNCTION("""COMPUTED_VALUE"""),0.8783064857369125)</f>
        <v>0.8783064857</v>
      </c>
      <c r="AL853" s="82">
        <f>IFERROR(__xludf.DUMMYFUNCTION("""COMPUTED_VALUE"""),0.9599388399692281)</f>
        <v>0.95993884</v>
      </c>
      <c r="AM853" s="82">
        <f>IFERROR(__xludf.DUMMYFUNCTION("""COMPUTED_VALUE"""),0.9463328826972971)</f>
        <v>0.9463328827</v>
      </c>
      <c r="AN853" s="82">
        <f>IFERROR(__xludf.DUMMYFUNCTION("""COMPUTED_VALUE"""),1.0329411119814698)</f>
        <v>1.032941112</v>
      </c>
      <c r="AO853" s="82">
        <f>IFERROR(__xludf.DUMMYFUNCTION("""COMPUTED_VALUE"""),1.0971748453565007)</f>
        <v>1.097174845</v>
      </c>
      <c r="AP853" s="82">
        <f>IFERROR(__xludf.DUMMYFUNCTION("""COMPUTED_VALUE"""),0.9245011884689758)</f>
        <v>0.9245011885</v>
      </c>
      <c r="AQ853" s="82">
        <f>IFERROR(__xludf.DUMMYFUNCTION("""COMPUTED_VALUE"""),0.9548718291865882)</f>
        <v>0.9548718292</v>
      </c>
      <c r="AR853" s="82">
        <f>IFERROR(__xludf.DUMMYFUNCTION("""COMPUTED_VALUE"""),1.1192176608918585)</f>
        <v>1.119217661</v>
      </c>
      <c r="AS853" s="82">
        <f>IFERROR(__xludf.DUMMYFUNCTION("""COMPUTED_VALUE"""),75.0)</f>
        <v>75</v>
      </c>
      <c r="AT853" s="82">
        <f>IFERROR(__xludf.DUMMYFUNCTION("""COMPUTED_VALUE"""),0.520466969699649)</f>
        <v>0.5204669697</v>
      </c>
      <c r="AU853" s="82">
        <f>IFERROR(__xludf.DUMMYFUNCTION("""COMPUTED_VALUE"""),2.636206267183646)</f>
        <v>2.636206267</v>
      </c>
      <c r="AV853" s="82">
        <f>IFERROR(__xludf.DUMMYFUNCTION("""COMPUTED_VALUE"""),56.97562874712686)</f>
        <v>56.97562875</v>
      </c>
      <c r="AW853" s="82">
        <f t="shared" si="1"/>
        <v>2.56336141</v>
      </c>
      <c r="AX853" s="83">
        <f t="array" ref="AX853">IFERROR(DGET('SBV Import'!A:G,"SBV",{"RSC ID","Tier";B853,A853}))</f>
        <v>61.04972455</v>
      </c>
      <c r="AY853" s="82">
        <f t="shared" si="2"/>
        <v>3.037218782</v>
      </c>
      <c r="AZ853" s="82">
        <v>0.4738573717256891</v>
      </c>
      <c r="BA853" s="84">
        <v>800.0</v>
      </c>
      <c r="BB853" s="84" t="b">
        <f>IFERROR(__xludf.DUMMYFUNCTION("iferror(if(A853="""",,E853&gt;=FILTER(Constants!$F$2:$F$10,Constants!$A$2:$A$10=A853)))"),TRUE)</f>
        <v>1</v>
      </c>
    </row>
    <row r="854">
      <c r="A854" s="80" t="str">
        <f>IFERROR(__xludf.DUMMYFUNCTION("""COMPUTED_VALUE"""),"Elite")</f>
        <v>Elite</v>
      </c>
      <c r="B854" s="73" t="str">
        <f>IFERROR(__xludf.DUMMYFUNCTION("""COMPUTED_VALUE"""),"RSC007843")</f>
        <v>RSC007843</v>
      </c>
      <c r="C854" s="73" t="str">
        <f>IFERROR(__xludf.DUMMYFUNCTION("""COMPUTED_VALUE"""),"BLOO")</f>
        <v>BLOO</v>
      </c>
      <c r="D854" s="73" t="str">
        <f>IFERROR(__xludf.DUMMYFUNCTION("""COMPUTED_VALUE"""),"Praetorian Guard")</f>
        <v>Praetorian Guard</v>
      </c>
      <c r="E854" s="82">
        <f>IFERROR(__xludf.DUMMYFUNCTION("""COMPUTED_VALUE"""),36.0)</f>
        <v>36</v>
      </c>
      <c r="F854" s="82">
        <f>IFERROR(__xludf.DUMMYFUNCTION("""COMPUTED_VALUE"""),20.0)</f>
        <v>20</v>
      </c>
      <c r="G854" s="82">
        <f>IFERROR(__xludf.DUMMYFUNCTION("""COMPUTED_VALUE"""),16.0)</f>
        <v>16</v>
      </c>
      <c r="H854" s="86">
        <f>IFERROR(__xludf.DUMMYFUNCTION("""COMPUTED_VALUE"""),0.5555555555555556)</f>
        <v>0.5555555556</v>
      </c>
      <c r="I854" s="75">
        <f>IFERROR(__xludf.DUMMYFUNCTION("""COMPUTED_VALUE"""),0.19642857142857145)</f>
        <v>0.1964285714</v>
      </c>
      <c r="J854" s="82">
        <f>IFERROR(__xludf.DUMMYFUNCTION("""COMPUTED_VALUE"""),336.6388888888889)</f>
        <v>336.6388889</v>
      </c>
      <c r="K854" s="82">
        <f>IFERROR(__xludf.DUMMYFUNCTION("""COMPUTED_VALUE"""),0.6111111111111112)</f>
        <v>0.6111111111</v>
      </c>
      <c r="L854" s="82">
        <f>IFERROR(__xludf.DUMMYFUNCTION("""COMPUTED_VALUE"""),0.5833333333333334)</f>
        <v>0.5833333333</v>
      </c>
      <c r="M854" s="82">
        <f>IFERROR(__xludf.DUMMYFUNCTION("""COMPUTED_VALUE"""),1.0833333333333333)</f>
        <v>1.083333333</v>
      </c>
      <c r="N854" s="82">
        <f>IFERROR(__xludf.DUMMYFUNCTION("""COMPUTED_VALUE"""),3.111111111111111)</f>
        <v>3.111111111</v>
      </c>
      <c r="O854" s="82">
        <f>IFERROR(__xludf.DUMMYFUNCTION("""COMPUTED_VALUE"""),345.6666666666667)</f>
        <v>345.6666667</v>
      </c>
      <c r="P854" s="82">
        <f>IFERROR(__xludf.DUMMYFUNCTION("""COMPUTED_VALUE"""),0.611111111111111)</f>
        <v>0.6111111111</v>
      </c>
      <c r="Q854" s="82">
        <f>IFERROR(__xludf.DUMMYFUNCTION("""COMPUTED_VALUE"""),0.5092592592592592)</f>
        <v>0.5092592593</v>
      </c>
      <c r="R854" s="82">
        <f>IFERROR(__xludf.DUMMYFUNCTION("""COMPUTED_VALUE"""),1.5925925925925923)</f>
        <v>1.592592593</v>
      </c>
      <c r="S854" s="82">
        <f>IFERROR(__xludf.DUMMYFUNCTION("""COMPUTED_VALUE"""),2.472222222222222)</f>
        <v>2.472222222</v>
      </c>
      <c r="T854" s="82">
        <f>IFERROR(__xludf.DUMMYFUNCTION("""COMPUTED_VALUE"""),354.9473653931984)</f>
        <v>354.9473654</v>
      </c>
      <c r="U854" s="82">
        <f>IFERROR(__xludf.DUMMYFUNCTION("""COMPUTED_VALUE"""),0.7737264124560718)</f>
        <v>0.7737264125</v>
      </c>
      <c r="V854" s="82">
        <f>IFERROR(__xludf.DUMMYFUNCTION("""COMPUTED_VALUE"""),0.5759278547609248)</f>
        <v>0.5759278548</v>
      </c>
      <c r="W854" s="82">
        <f>IFERROR(__xludf.DUMMYFUNCTION("""COMPUTED_VALUE"""),1.3974264895519097)</f>
        <v>1.39742649</v>
      </c>
      <c r="X854" s="82">
        <f>IFERROR(__xludf.DUMMYFUNCTION("""COMPUTED_VALUE"""),2.524891698756186)</f>
        <v>2.524891699</v>
      </c>
      <c r="Y854" s="82">
        <f>IFERROR(__xludf.DUMMYFUNCTION("""COMPUTED_VALUE"""),357.9530859987526)</f>
        <v>357.953086</v>
      </c>
      <c r="Z854" s="82">
        <f>IFERROR(__xludf.DUMMYFUNCTION("""COMPUTED_VALUE"""),0.7803486080989567)</f>
        <v>0.7803486081</v>
      </c>
      <c r="AA854" s="82">
        <f>IFERROR(__xludf.DUMMYFUNCTION("""COMPUTED_VALUE"""),0.5877569598632015)</f>
        <v>0.5877569599</v>
      </c>
      <c r="AB854" s="82">
        <f>IFERROR(__xludf.DUMMYFUNCTION("""COMPUTED_VALUE"""),1.3516824001064998)</f>
        <v>1.3516824</v>
      </c>
      <c r="AC854" s="82">
        <f>IFERROR(__xludf.DUMMYFUNCTION("""COMPUTED_VALUE"""),2.706836277989604)</f>
        <v>2.706836278</v>
      </c>
      <c r="AD854" s="82">
        <f>IFERROR(__xludf.DUMMYFUNCTION("""COMPUTED_VALUE"""),0.9404553335519003)</f>
        <v>0.9404553336</v>
      </c>
      <c r="AE854" s="82">
        <f>IFERROR(__xludf.DUMMYFUNCTION("""COMPUTED_VALUE"""),0.7831257783618878)</f>
        <v>0.7831257784</v>
      </c>
      <c r="AF854" s="82">
        <f>IFERROR(__xludf.DUMMYFUNCTION("""COMPUTED_VALUE"""),0.9924737147631604)</f>
        <v>0.9924737148</v>
      </c>
      <c r="AG854" s="82">
        <f>IFERROR(__xludf.DUMMYFUNCTION("""COMPUTED_VALUE"""),0.8014703256090164)</f>
        <v>0.8014703256</v>
      </c>
      <c r="AH854" s="82">
        <f>IFERROR(__xludf.DUMMYFUNCTION("""COMPUTED_VALUE"""),1.149353263959417)</f>
        <v>1.149353264</v>
      </c>
      <c r="AI854" s="82">
        <f>IFERROR(__xludf.DUMMYFUNCTION("""COMPUTED_VALUE"""),0.9738533100076657)</f>
        <v>0.97385331</v>
      </c>
      <c r="AJ854" s="82">
        <f>IFERROR(__xludf.DUMMYFUNCTION("""COMPUTED_VALUE"""),0.7898284216138308)</f>
        <v>0.7898284216</v>
      </c>
      <c r="AK854" s="82">
        <f>IFERROR(__xludf.DUMMYFUNCTION("""COMPUTED_VALUE"""),0.8842414115751692)</f>
        <v>0.8842414116</v>
      </c>
      <c r="AL854" s="82">
        <f>IFERROR(__xludf.DUMMYFUNCTION("""COMPUTED_VALUE"""),1.1396610873630022)</f>
        <v>1.139661087</v>
      </c>
      <c r="AM854" s="82">
        <f>IFERROR(__xludf.DUMMYFUNCTION("""COMPUTED_VALUE"""),0.9791399066502892)</f>
        <v>0.9791399067</v>
      </c>
      <c r="AN854" s="82">
        <f>IFERROR(__xludf.DUMMYFUNCTION("""COMPUTED_VALUE"""),0.9602065917084783)</f>
        <v>0.9602065917</v>
      </c>
      <c r="AO854" s="82">
        <f>IFERROR(__xludf.DUMMYFUNCTION("""COMPUTED_VALUE"""),0.8620659499229649)</f>
        <v>0.8620659499</v>
      </c>
      <c r="AP854" s="82">
        <f>IFERROR(__xludf.DUMMYFUNCTION("""COMPUTED_VALUE"""),1.0218171030446574)</f>
        <v>1.021817103</v>
      </c>
      <c r="AQ854" s="82">
        <f>IFERROR(__xludf.DUMMYFUNCTION("""COMPUTED_VALUE"""),0.7600000273117742)</f>
        <v>0.7600000273</v>
      </c>
      <c r="AR854" s="82">
        <f>IFERROR(__xludf.DUMMYFUNCTION("""COMPUTED_VALUE"""),1.241112653662259)</f>
        <v>1.241112654</v>
      </c>
      <c r="AS854" s="82">
        <f>IFERROR(__xludf.DUMMYFUNCTION("""COMPUTED_VALUE"""),66.0)</f>
        <v>66</v>
      </c>
      <c r="AT854" s="82">
        <f>IFERROR(__xludf.DUMMYFUNCTION("""COMPUTED_VALUE"""),0.5000000000000001)</f>
        <v>0.5</v>
      </c>
      <c r="AU854" s="82">
        <f>IFERROR(__xludf.DUMMYFUNCTION("""COMPUTED_VALUE"""),2.633862559321198)</f>
        <v>2.633862559</v>
      </c>
      <c r="AV854" s="82">
        <f>IFERROR(__xludf.DUMMYFUNCTION("""COMPUTED_VALUE"""),56.90821383500648)</f>
        <v>56.90821384</v>
      </c>
      <c r="AW854" s="82">
        <f t="shared" si="1"/>
        <v>2.556577943</v>
      </c>
      <c r="AX854" s="83">
        <f t="array" ref="AX854">IFERROR(DGET('SBV Import'!A:G,"SBV",{"RSC ID","Tier";B854,A854}))</f>
        <v>49.98352787</v>
      </c>
      <c r="AY854" s="82">
        <f t="shared" si="2"/>
        <v>-2.001051981</v>
      </c>
      <c r="AZ854" s="82">
        <v>4.557629924050827</v>
      </c>
      <c r="BA854" s="84">
        <v>800.0</v>
      </c>
      <c r="BB854" s="84" t="b">
        <f>IFERROR(__xludf.DUMMYFUNCTION("iferror(if(A854="""",,E854&gt;=FILTER(Constants!$F$2:$F$10,Constants!$A$2:$A$10=A854)))"),TRUE)</f>
        <v>1</v>
      </c>
    </row>
    <row r="855">
      <c r="A855" s="80" t="str">
        <f>IFERROR(__xludf.DUMMYFUNCTION("""COMPUTED_VALUE"""),"Elite")</f>
        <v>Elite</v>
      </c>
      <c r="B855" s="73" t="str">
        <f>IFERROR(__xludf.DUMMYFUNCTION("""COMPUTED_VALUE"""),"RSC005030")</f>
        <v>RSC005030</v>
      </c>
      <c r="C855" s="73" t="str">
        <f>IFERROR(__xludf.DUMMYFUNCTION("""COMPUTED_VALUE"""),"Joe")</f>
        <v>Joe</v>
      </c>
      <c r="D855" s="73" t="str">
        <f>IFERROR(__xludf.DUMMYFUNCTION("""COMPUTED_VALUE"""),"Fire")</f>
        <v>Fire</v>
      </c>
      <c r="E855" s="82">
        <f>IFERROR(__xludf.DUMMYFUNCTION("""COMPUTED_VALUE"""),44.0)</f>
        <v>44</v>
      </c>
      <c r="F855" s="82">
        <f>IFERROR(__xludf.DUMMYFUNCTION("""COMPUTED_VALUE"""),19.0)</f>
        <v>19</v>
      </c>
      <c r="G855" s="82">
        <f>IFERROR(__xludf.DUMMYFUNCTION("""COMPUTED_VALUE"""),25.0)</f>
        <v>25</v>
      </c>
      <c r="H855" s="86">
        <f>IFERROR(__xludf.DUMMYFUNCTION("""COMPUTED_VALUE"""),0.4318181818181818)</f>
        <v>0.4318181818</v>
      </c>
      <c r="I855" s="86">
        <f>IFERROR(__xludf.DUMMYFUNCTION("""COMPUTED_VALUE"""),0.26666666666666666)</f>
        <v>0.2666666667</v>
      </c>
      <c r="J855" s="82">
        <f>IFERROR(__xludf.DUMMYFUNCTION("""COMPUTED_VALUE"""),382.8636363636364)</f>
        <v>382.8636364</v>
      </c>
      <c r="K855" s="82">
        <f>IFERROR(__xludf.DUMMYFUNCTION("""COMPUTED_VALUE"""),0.8181818181818182)</f>
        <v>0.8181818182</v>
      </c>
      <c r="L855" s="82">
        <f>IFERROR(__xludf.DUMMYFUNCTION("""COMPUTED_VALUE"""),0.3409090909090909)</f>
        <v>0.3409090909</v>
      </c>
      <c r="M855" s="82">
        <f>IFERROR(__xludf.DUMMYFUNCTION("""COMPUTED_VALUE"""),1.7954545454545454)</f>
        <v>1.795454545</v>
      </c>
      <c r="N855" s="82">
        <f>IFERROR(__xludf.DUMMYFUNCTION("""COMPUTED_VALUE"""),3.0681818181818183)</f>
        <v>3.068181818</v>
      </c>
      <c r="O855" s="82">
        <f>IFERROR(__xludf.DUMMYFUNCTION("""COMPUTED_VALUE"""),376.310606060606)</f>
        <v>376.3106061</v>
      </c>
      <c r="P855" s="82">
        <f>IFERROR(__xludf.DUMMYFUNCTION("""COMPUTED_VALUE"""),0.8484848484848484)</f>
        <v>0.8484848485</v>
      </c>
      <c r="Q855" s="82">
        <f>IFERROR(__xludf.DUMMYFUNCTION("""COMPUTED_VALUE"""),0.6515151515151515)</f>
        <v>0.6515151515</v>
      </c>
      <c r="R855" s="82">
        <f>IFERROR(__xludf.DUMMYFUNCTION("""COMPUTED_VALUE"""),1.4469696969696968)</f>
        <v>1.446969697</v>
      </c>
      <c r="S855" s="82">
        <f>IFERROR(__xludf.DUMMYFUNCTION("""COMPUTED_VALUE"""),2.818181818181819)</f>
        <v>2.818181818</v>
      </c>
      <c r="T855" s="82">
        <f>IFERROR(__xludf.DUMMYFUNCTION("""COMPUTED_VALUE"""),371.68332919003876)</f>
        <v>371.6833292</v>
      </c>
      <c r="U855" s="82">
        <f>IFERROR(__xludf.DUMMYFUNCTION("""COMPUTED_VALUE"""),0.8210946082332616)</f>
        <v>0.8210946082</v>
      </c>
      <c r="V855" s="82">
        <f>IFERROR(__xludf.DUMMYFUNCTION("""COMPUTED_VALUE"""),0.6114236948090969)</f>
        <v>0.6114236948</v>
      </c>
      <c r="W855" s="82">
        <f>IFERROR(__xludf.DUMMYFUNCTION("""COMPUTED_VALUE"""),1.4765781588150342)</f>
        <v>1.476578159</v>
      </c>
      <c r="X855" s="82">
        <f>IFERROR(__xludf.DUMMYFUNCTION("""COMPUTED_VALUE"""),2.720749057820974)</f>
        <v>2.720749058</v>
      </c>
      <c r="Y855" s="82">
        <f>IFERROR(__xludf.DUMMYFUNCTION("""COMPUTED_VALUE"""),356.8563315240836)</f>
        <v>356.8563315</v>
      </c>
      <c r="Z855" s="82">
        <f>IFERROR(__xludf.DUMMYFUNCTION("""COMPUTED_VALUE"""),0.744304111894153)</f>
        <v>0.7443041119</v>
      </c>
      <c r="AA855" s="82">
        <f>IFERROR(__xludf.DUMMYFUNCTION("""COMPUTED_VALUE"""),0.5445757131880214)</f>
        <v>0.5445757132</v>
      </c>
      <c r="AB855" s="82">
        <f>IFERROR(__xludf.DUMMYFUNCTION("""COMPUTED_VALUE"""),1.443006730186912)</f>
        <v>1.44300673</v>
      </c>
      <c r="AC855" s="82">
        <f>IFERROR(__xludf.DUMMYFUNCTION("""COMPUTED_VALUE"""),2.638785414670241)</f>
        <v>2.638785415</v>
      </c>
      <c r="AD855" s="82">
        <f>IFERROR(__xludf.DUMMYFUNCTION("""COMPUTED_VALUE"""),1.0728789222499688)</f>
        <v>1.072878922</v>
      </c>
      <c r="AE855" s="82">
        <f>IFERROR(__xludf.DUMMYFUNCTION("""COMPUTED_VALUE"""),1.099257420598761)</f>
        <v>1.099257421</v>
      </c>
      <c r="AF855" s="82">
        <f>IFERROR(__xludf.DUMMYFUNCTION("""COMPUTED_VALUE"""),0.6260086203869835)</f>
        <v>0.6260086204</v>
      </c>
      <c r="AG855" s="82">
        <f>IFERROR(__xludf.DUMMYFUNCTION("""COMPUTED_VALUE"""),1.2442454410604038)</f>
        <v>1.244245441</v>
      </c>
      <c r="AH855" s="82">
        <f>IFERROR(__xludf.DUMMYFUNCTION("""COMPUTED_VALUE"""),1.1627250177768764)</f>
        <v>1.162725018</v>
      </c>
      <c r="AI855" s="82">
        <f>IFERROR(__xludf.DUMMYFUNCTION("""COMPUTED_VALUE"""),1.0124495141620984)</f>
        <v>1.012449514</v>
      </c>
      <c r="AJ855" s="82">
        <f>IFERROR(__xludf.DUMMYFUNCTION("""COMPUTED_VALUE"""),1.0333582025468684)</f>
        <v>1.033358203</v>
      </c>
      <c r="AK855" s="82">
        <f>IFERROR(__xludf.DUMMYFUNCTION("""COMPUTED_VALUE"""),1.0655706624496655)</f>
        <v>1.065570662</v>
      </c>
      <c r="AL855" s="82">
        <f>IFERROR(__xludf.DUMMYFUNCTION("""COMPUTED_VALUE"""),0.9799479210304056)</f>
        <v>0.979947921</v>
      </c>
      <c r="AM855" s="82">
        <f>IFERROR(__xludf.DUMMYFUNCTION("""COMPUTED_VALUE"""),1.0358110058260492)</f>
        <v>1.035811006</v>
      </c>
      <c r="AN855" s="82">
        <f>IFERROR(__xludf.DUMMYFUNCTION("""COMPUTED_VALUE"""),1.0920550165051814)</f>
        <v>1.092055017</v>
      </c>
      <c r="AO855" s="82">
        <f>IFERROR(__xludf.DUMMYFUNCTION("""COMPUTED_VALUE"""),1.154170941219176)</f>
        <v>1.154170941</v>
      </c>
      <c r="AP855" s="82">
        <f>IFERROR(__xludf.DUMMYFUNCTION("""COMPUTED_VALUE"""),0.5971658394416829)</f>
        <v>0.5971658394</v>
      </c>
      <c r="AQ855" s="82">
        <f>IFERROR(__xludf.DUMMYFUNCTION("""COMPUTED_VALUE"""),1.259580464845388)</f>
        <v>1.259580465</v>
      </c>
      <c r="AR855" s="82">
        <f>IFERROR(__xludf.DUMMYFUNCTION("""COMPUTED_VALUE"""),1.223986910876335)</f>
        <v>1.223986911</v>
      </c>
      <c r="AS855" s="82">
        <f>IFERROR(__xludf.DUMMYFUNCTION("""COMPUTED_VALUE"""),90.0)</f>
        <v>90</v>
      </c>
      <c r="AT855" s="82">
        <f>IFERROR(__xludf.DUMMYFUNCTION("""COMPUTED_VALUE"""),0.41612964266410507)</f>
        <v>0.4161296427</v>
      </c>
      <c r="AU855" s="82">
        <f>IFERROR(__xludf.DUMMYFUNCTION("""COMPUTED_VALUE"""),2.6180313858977655)</f>
        <v>2.618031386</v>
      </c>
      <c r="AV855" s="82">
        <f>IFERROR(__xludf.DUMMYFUNCTION("""COMPUTED_VALUE"""),56.452842590917804)</f>
        <v>56.45284259</v>
      </c>
      <c r="AW855" s="82">
        <f t="shared" si="1"/>
        <v>2.511555807</v>
      </c>
      <c r="AX855" s="83">
        <f t="array" ref="AX855">IFERROR(DGET('SBV Import'!A:G,"SBV",{"RSC ID","Tier";B855,A855}))</f>
        <v>48.55921451</v>
      </c>
      <c r="AY855" s="82">
        <f t="shared" si="2"/>
        <v>-2.096343279</v>
      </c>
      <c r="AZ855" s="82">
        <v>4.607899085930294</v>
      </c>
      <c r="BA855" s="84">
        <v>800.0</v>
      </c>
      <c r="BB855" s="84" t="b">
        <f>IFERROR(__xludf.DUMMYFUNCTION("iferror(if(A855="""",,E855&gt;=FILTER(Constants!$F$2:$F$10,Constants!$A$2:$A$10=A855)))"),TRUE)</f>
        <v>1</v>
      </c>
    </row>
    <row r="856">
      <c r="A856" s="80" t="str">
        <f>IFERROR(__xludf.DUMMYFUNCTION("""COMPUTED_VALUE"""),"Elite")</f>
        <v>Elite</v>
      </c>
      <c r="B856" s="73" t="str">
        <f>IFERROR(__xludf.DUMMYFUNCTION("""COMPUTED_VALUE"""),"RSC003831")</f>
        <v>RSC003831</v>
      </c>
      <c r="C856" s="73" t="str">
        <f>IFERROR(__xludf.DUMMYFUNCTION("""COMPUTED_VALUE"""),"Aki")</f>
        <v>Aki</v>
      </c>
      <c r="D856" s="73" t="str">
        <f>IFERROR(__xludf.DUMMYFUNCTION("""COMPUTED_VALUE"""),"Stoked Blokes")</f>
        <v>Stoked Blokes</v>
      </c>
      <c r="E856" s="82">
        <f>IFERROR(__xludf.DUMMYFUNCTION("""COMPUTED_VALUE"""),39.0)</f>
        <v>39</v>
      </c>
      <c r="F856" s="82">
        <f>IFERROR(__xludf.DUMMYFUNCTION("""COMPUTED_VALUE"""),20.0)</f>
        <v>20</v>
      </c>
      <c r="G856" s="82">
        <f>IFERROR(__xludf.DUMMYFUNCTION("""COMPUTED_VALUE"""),19.0)</f>
        <v>19</v>
      </c>
      <c r="H856" s="86">
        <f>IFERROR(__xludf.DUMMYFUNCTION("""COMPUTED_VALUE"""),0.5128205128205128)</f>
        <v>0.5128205128</v>
      </c>
      <c r="I856" s="86">
        <f>IFERROR(__xludf.DUMMYFUNCTION("""COMPUTED_VALUE"""),0.22429906542056074)</f>
        <v>0.2242990654</v>
      </c>
      <c r="J856" s="82">
        <f>IFERROR(__xludf.DUMMYFUNCTION("""COMPUTED_VALUE"""),357.7692307692308)</f>
        <v>357.7692308</v>
      </c>
      <c r="K856" s="82">
        <f>IFERROR(__xludf.DUMMYFUNCTION("""COMPUTED_VALUE"""),0.6153846153846154)</f>
        <v>0.6153846154</v>
      </c>
      <c r="L856" s="82">
        <f>IFERROR(__xludf.DUMMYFUNCTION("""COMPUTED_VALUE"""),0.717948717948718)</f>
        <v>0.7179487179</v>
      </c>
      <c r="M856" s="82">
        <f>IFERROR(__xludf.DUMMYFUNCTION("""COMPUTED_VALUE"""),1.358974358974359)</f>
        <v>1.358974359</v>
      </c>
      <c r="N856" s="82">
        <f>IFERROR(__xludf.DUMMYFUNCTION("""COMPUTED_VALUE"""),2.7435897435897436)</f>
        <v>2.743589744</v>
      </c>
      <c r="O856" s="82">
        <f>IFERROR(__xludf.DUMMYFUNCTION("""COMPUTED_VALUE"""),352.0000000000001)</f>
        <v>352</v>
      </c>
      <c r="P856" s="82">
        <f>IFERROR(__xludf.DUMMYFUNCTION("""COMPUTED_VALUE"""),0.6923076923076926)</f>
        <v>0.6923076923</v>
      </c>
      <c r="Q856" s="82">
        <f>IFERROR(__xludf.DUMMYFUNCTION("""COMPUTED_VALUE"""),0.4957264957264957)</f>
        <v>0.4957264957</v>
      </c>
      <c r="R856" s="82">
        <f>IFERROR(__xludf.DUMMYFUNCTION("""COMPUTED_VALUE"""),1.5128205128205128)</f>
        <v>1.512820513</v>
      </c>
      <c r="S856" s="82">
        <f>IFERROR(__xludf.DUMMYFUNCTION("""COMPUTED_VALUE"""),2.5470085470085464)</f>
        <v>2.547008547</v>
      </c>
      <c r="T856" s="82">
        <f>IFERROR(__xludf.DUMMYFUNCTION("""COMPUTED_VALUE"""),355.2348977170891)</f>
        <v>355.2348977</v>
      </c>
      <c r="U856" s="82">
        <f>IFERROR(__xludf.DUMMYFUNCTION("""COMPUTED_VALUE"""),0.7461772879388799)</f>
        <v>0.7461772879</v>
      </c>
      <c r="V856" s="82">
        <f>IFERROR(__xludf.DUMMYFUNCTION("""COMPUTED_VALUE"""),0.5805341258821292)</f>
        <v>0.5805341259</v>
      </c>
      <c r="W856" s="82">
        <f>IFERROR(__xludf.DUMMYFUNCTION("""COMPUTED_VALUE"""),1.4284420171247134)</f>
        <v>1.428442017</v>
      </c>
      <c r="X856" s="82">
        <f>IFERROR(__xludf.DUMMYFUNCTION("""COMPUTED_VALUE"""),2.534670616482823)</f>
        <v>2.534670616</v>
      </c>
      <c r="Y856" s="82">
        <f>IFERROR(__xludf.DUMMYFUNCTION("""COMPUTED_VALUE"""),365.09269973471606)</f>
        <v>365.0926997</v>
      </c>
      <c r="Z856" s="82">
        <f>IFERROR(__xludf.DUMMYFUNCTION("""COMPUTED_VALUE"""),0.8231891414312529)</f>
        <v>0.8231891414</v>
      </c>
      <c r="AA856" s="82">
        <f>IFERROR(__xludf.DUMMYFUNCTION("""COMPUTED_VALUE"""),0.613547109413512)</f>
        <v>0.6135471094</v>
      </c>
      <c r="AB856" s="82">
        <f>IFERROR(__xludf.DUMMYFUNCTION("""COMPUTED_VALUE"""),1.3503239254423045)</f>
        <v>1.350323925</v>
      </c>
      <c r="AC856" s="82">
        <f>IFERROR(__xludf.DUMMYFUNCTION("""COMPUTED_VALUE"""),2.725689335941651)</f>
        <v>2.725689336</v>
      </c>
      <c r="AD856" s="82">
        <f>IFERROR(__xludf.DUMMYFUNCTION("""COMPUTED_VALUE"""),0.9799407959381092)</f>
        <v>0.9799407959</v>
      </c>
      <c r="AE856" s="82">
        <f>IFERROR(__xludf.DUMMYFUNCTION("""COMPUTED_VALUE"""),0.747561628807039)</f>
        <v>0.7475616288</v>
      </c>
      <c r="AF856" s="82">
        <f>IFERROR(__xludf.DUMMYFUNCTION("""COMPUTED_VALUE"""),1.1701607047501261)</f>
        <v>1.170160705</v>
      </c>
      <c r="AG856" s="82">
        <f>IFERROR(__xludf.DUMMYFUNCTION("""COMPUTED_VALUE"""),1.0064061914101248)</f>
        <v>1.006406191</v>
      </c>
      <c r="AH856" s="82">
        <f>IFERROR(__xludf.DUMMYFUNCTION("""COMPUTED_VALUE"""),1.0065672956239191)</f>
        <v>1.006567296</v>
      </c>
      <c r="AI856" s="82">
        <f>IFERROR(__xludf.DUMMYFUNCTION("""COMPUTED_VALUE"""),0.990893637596199)</f>
        <v>0.9908936376</v>
      </c>
      <c r="AJ856" s="82">
        <f>IFERROR(__xludf.DUMMYFUNCTION("""COMPUTED_VALUE"""),0.9278059028304279)</f>
        <v>0.9278059028</v>
      </c>
      <c r="AK856" s="82">
        <f>IFERROR(__xludf.DUMMYFUNCTION("""COMPUTED_VALUE"""),0.8539144791414851)</f>
        <v>0.8539144791</v>
      </c>
      <c r="AL856" s="82">
        <f>IFERROR(__xludf.DUMMYFUNCTION("""COMPUTED_VALUE"""),1.0590702980479694)</f>
        <v>1.059070298</v>
      </c>
      <c r="AM856" s="82">
        <f>IFERROR(__xludf.DUMMYFUNCTION("""COMPUTED_VALUE"""),1.004867666214888)</f>
        <v>1.004867666</v>
      </c>
      <c r="AN856" s="82">
        <f>IFERROR(__xludf.DUMMYFUNCTION("""COMPUTED_VALUE"""),1.0204773869975359)</f>
        <v>1.020477387</v>
      </c>
      <c r="AO856" s="82">
        <f>IFERROR(__xludf.DUMMYFUNCTION("""COMPUTED_VALUE"""),0.8680943831392094)</f>
        <v>0.8680943831</v>
      </c>
      <c r="AP856" s="82">
        <f>IFERROR(__xludf.DUMMYFUNCTION("""COMPUTED_VALUE"""),1.257621049901117)</f>
        <v>1.25762105</v>
      </c>
      <c r="AQ856" s="82">
        <f>IFERROR(__xludf.DUMMYFUNCTION("""COMPUTED_VALUE"""),0.9533728153260127)</f>
        <v>0.9533728153</v>
      </c>
      <c r="AR856" s="82">
        <f>IFERROR(__xludf.DUMMYFUNCTION("""COMPUTED_VALUE"""),1.094497697323036)</f>
        <v>1.094497697</v>
      </c>
      <c r="AS856" s="82">
        <f>IFERROR(__xludf.DUMMYFUNCTION("""COMPUTED_VALUE"""),88.0)</f>
        <v>88</v>
      </c>
      <c r="AT856" s="82">
        <f>IFERROR(__xludf.DUMMYFUNCTION("""COMPUTED_VALUE"""),0.5315225571418253)</f>
        <v>0.5315225571</v>
      </c>
      <c r="AU856" s="82">
        <f>IFERROR(__xludf.DUMMYFUNCTION("""COMPUTED_VALUE"""),2.603708660187142)</f>
        <v>2.60370866</v>
      </c>
      <c r="AV856" s="82">
        <f>IFERROR(__xludf.DUMMYFUNCTION("""COMPUTED_VALUE"""),56.04086065811087)</f>
        <v>56.04086066</v>
      </c>
      <c r="AW856" s="82">
        <f t="shared" si="1"/>
        <v>2.471994026</v>
      </c>
      <c r="AX856" s="83">
        <f t="array" ref="AX856">IFERROR(DGET('SBV Import'!A:G,"SBV",{"RSC ID","Tier";B856,A856}))</f>
        <v>56.39184029</v>
      </c>
      <c r="AY856" s="82">
        <f t="shared" si="2"/>
        <v>2.505628666</v>
      </c>
      <c r="AZ856" s="82">
        <v>0.03363464067037958</v>
      </c>
      <c r="BA856" s="84">
        <v>800.0</v>
      </c>
      <c r="BB856" s="84" t="b">
        <f>IFERROR(__xludf.DUMMYFUNCTION("iferror(if(A856="""",,E856&gt;=FILTER(Constants!$F$2:$F$10,Constants!$A$2:$A$10=A856)))"),TRUE)</f>
        <v>1</v>
      </c>
    </row>
    <row r="857">
      <c r="A857" s="80" t="str">
        <f>IFERROR(__xludf.DUMMYFUNCTION("""COMPUTED_VALUE"""),"Elite")</f>
        <v>Elite</v>
      </c>
      <c r="B857" s="73" t="str">
        <f>IFERROR(__xludf.DUMMYFUNCTION("""COMPUTED_VALUE"""),"RSC002892")</f>
        <v>RSC002892</v>
      </c>
      <c r="C857" s="73" t="str">
        <f>IFERROR(__xludf.DUMMYFUNCTION("""COMPUTED_VALUE"""),"nickm")</f>
        <v>nickm</v>
      </c>
      <c r="D857" s="73" t="str">
        <f>IFERROR(__xludf.DUMMYFUNCTION("""COMPUTED_VALUE"""),"Cyclones")</f>
        <v>Cyclones</v>
      </c>
      <c r="E857" s="82">
        <f>IFERROR(__xludf.DUMMYFUNCTION("""COMPUTED_VALUE"""),16.0)</f>
        <v>16</v>
      </c>
      <c r="F857" s="82">
        <f>IFERROR(__xludf.DUMMYFUNCTION("""COMPUTED_VALUE"""),10.0)</f>
        <v>10</v>
      </c>
      <c r="G857" s="82">
        <f>IFERROR(__xludf.DUMMYFUNCTION("""COMPUTED_VALUE"""),6.0)</f>
        <v>6</v>
      </c>
      <c r="H857" s="86">
        <f>IFERROR(__xludf.DUMMYFUNCTION("""COMPUTED_VALUE"""),0.625)</f>
        <v>0.625</v>
      </c>
      <c r="I857" s="86">
        <f>IFERROR(__xludf.DUMMYFUNCTION("""COMPUTED_VALUE"""),0.2682926829268293)</f>
        <v>0.2682926829</v>
      </c>
      <c r="J857" s="82">
        <f>IFERROR(__xludf.DUMMYFUNCTION("""COMPUTED_VALUE"""),303.0)</f>
        <v>303</v>
      </c>
      <c r="K857" s="82">
        <f>IFERROR(__xludf.DUMMYFUNCTION("""COMPUTED_VALUE"""),0.6875)</f>
        <v>0.6875</v>
      </c>
      <c r="L857" s="82">
        <f>IFERROR(__xludf.DUMMYFUNCTION("""COMPUTED_VALUE"""),0.625)</f>
        <v>0.625</v>
      </c>
      <c r="M857" s="82">
        <f>IFERROR(__xludf.DUMMYFUNCTION("""COMPUTED_VALUE"""),1.0)</f>
        <v>1</v>
      </c>
      <c r="N857" s="82">
        <f>IFERROR(__xludf.DUMMYFUNCTION("""COMPUTED_VALUE"""),2.5625)</f>
        <v>2.5625</v>
      </c>
      <c r="O857" s="82">
        <f>IFERROR(__xludf.DUMMYFUNCTION("""COMPUTED_VALUE"""),374.8958333333333)</f>
        <v>374.8958333</v>
      </c>
      <c r="P857" s="82">
        <f>IFERROR(__xludf.DUMMYFUNCTION("""COMPUTED_VALUE"""),0.6875)</f>
        <v>0.6875</v>
      </c>
      <c r="Q857" s="82">
        <f>IFERROR(__xludf.DUMMYFUNCTION("""COMPUTED_VALUE"""),0.5208333333333334)</f>
        <v>0.5208333333</v>
      </c>
      <c r="R857" s="82">
        <f>IFERROR(__xludf.DUMMYFUNCTION("""COMPUTED_VALUE"""),1.791666666666667)</f>
        <v>1.791666667</v>
      </c>
      <c r="S857" s="82">
        <f>IFERROR(__xludf.DUMMYFUNCTION("""COMPUTED_VALUE"""),2.6041666666666674)</f>
        <v>2.604166667</v>
      </c>
      <c r="T857" s="82">
        <f>IFERROR(__xludf.DUMMYFUNCTION("""COMPUTED_VALUE"""),370.0551732834402)</f>
        <v>370.0551733</v>
      </c>
      <c r="U857" s="82">
        <f>IFERROR(__xludf.DUMMYFUNCTION("""COMPUTED_VALUE"""),0.8329601792180246)</f>
        <v>0.8329601792</v>
      </c>
      <c r="V857" s="82">
        <f>IFERROR(__xludf.DUMMYFUNCTION("""COMPUTED_VALUE"""),0.6466211738087663)</f>
        <v>0.6466211738</v>
      </c>
      <c r="W857" s="82">
        <f>IFERROR(__xludf.DUMMYFUNCTION("""COMPUTED_VALUE"""),1.299784374948875)</f>
        <v>1.299784375</v>
      </c>
      <c r="X857" s="82">
        <f>IFERROR(__xludf.DUMMYFUNCTION("""COMPUTED_VALUE"""),2.918858608894854)</f>
        <v>2.918858609</v>
      </c>
      <c r="Y857" s="82">
        <f>IFERROR(__xludf.DUMMYFUNCTION("""COMPUTED_VALUE"""),364.3611561645891)</f>
        <v>364.3611562</v>
      </c>
      <c r="Z857" s="82">
        <f>IFERROR(__xludf.DUMMYFUNCTION("""COMPUTED_VALUE"""),0.7546000407349741)</f>
        <v>0.7546000407</v>
      </c>
      <c r="AA857" s="82">
        <f>IFERROR(__xludf.DUMMYFUNCTION("""COMPUTED_VALUE"""),0.5794323521138609)</f>
        <v>0.5794323521</v>
      </c>
      <c r="AB857" s="82">
        <f>IFERROR(__xludf.DUMMYFUNCTION("""COMPUTED_VALUE"""),1.5308104238462672)</f>
        <v>1.530810424</v>
      </c>
      <c r="AC857" s="82">
        <f>IFERROR(__xludf.DUMMYFUNCTION("""COMPUTED_VALUE"""),2.5285529177141663)</f>
        <v>2.528552918</v>
      </c>
      <c r="AD857" s="82">
        <f>IFERROR(__xludf.DUMMYFUNCTION("""COMPUTED_VALUE"""),0.8315924869420739)</f>
        <v>0.8315924869</v>
      </c>
      <c r="AE857" s="82">
        <f>IFERROR(__xludf.DUMMYFUNCTION("""COMPUTED_VALUE"""),0.9110786680191281)</f>
        <v>0.911078668</v>
      </c>
      <c r="AF857" s="82">
        <f>IFERROR(__xludf.DUMMYFUNCTION("""COMPUTED_VALUE"""),1.0786418772094812)</f>
        <v>1.078641877</v>
      </c>
      <c r="AG857" s="82">
        <f>IFERROR(__xludf.DUMMYFUNCTION("""COMPUTED_VALUE"""),0.6532487527014813)</f>
        <v>0.6532487527</v>
      </c>
      <c r="AH857" s="82">
        <f>IFERROR(__xludf.DUMMYFUNCTION("""COMPUTED_VALUE"""),1.013425498057807)</f>
        <v>1.013425498</v>
      </c>
      <c r="AI857" s="82">
        <f>IFERROR(__xludf.DUMMYFUNCTION("""COMPUTED_VALUE"""),1.0130809144132285)</f>
        <v>1.013080914</v>
      </c>
      <c r="AJ857" s="82">
        <f>IFERROR(__xludf.DUMMYFUNCTION("""COMPUTED_VALUE"""),0.8253695880701268)</f>
        <v>0.8253695881</v>
      </c>
      <c r="AK857" s="82">
        <f>IFERROR(__xludf.DUMMYFUNCTION("""COMPUTED_VALUE"""),0.8054690357036873)</f>
        <v>0.8054690357</v>
      </c>
      <c r="AL857" s="82">
        <f>IFERROR(__xludf.DUMMYFUNCTION("""COMPUTED_VALUE"""),1.3784337627055558)</f>
        <v>1.378433763</v>
      </c>
      <c r="AM857" s="82">
        <f>IFERROR(__xludf.DUMMYFUNCTION("""COMPUTED_VALUE"""),0.8921866440295524)</f>
        <v>0.892186644</v>
      </c>
      <c r="AN857" s="82">
        <f>IFERROR(__xludf.DUMMYFUNCTION("""COMPUTED_VALUE"""),0.8642572408908392)</f>
        <v>0.8642572409</v>
      </c>
      <c r="AO857" s="82">
        <f>IFERROR(__xludf.DUMMYFUNCTION("""COMPUTED_VALUE"""),0.9698241936633355)</f>
        <v>0.9698241937</v>
      </c>
      <c r="AP857" s="82">
        <f>IFERROR(__xludf.DUMMYFUNCTION("""COMPUTED_VALUE"""),1.0948040389764186)</f>
        <v>1.094804039</v>
      </c>
      <c r="AQ857" s="82">
        <f>IFERROR(__xludf.DUMMYFUNCTION("""COMPUTED_VALUE"""),0.7015384867493301)</f>
        <v>0.7015384867</v>
      </c>
      <c r="AR857" s="82">
        <f>IFERROR(__xludf.DUMMYFUNCTION("""COMPUTED_VALUE"""),1.0222557348244945)</f>
        <v>1.022255735</v>
      </c>
      <c r="AS857" s="82">
        <f>IFERROR(__xludf.DUMMYFUNCTION("""COMPUTED_VALUE"""),41.0)</f>
        <v>41</v>
      </c>
      <c r="AT857" s="82">
        <f>IFERROR(__xludf.DUMMYFUNCTION("""COMPUTED_VALUE"""),0.5834325621886477)</f>
        <v>0.5834325622</v>
      </c>
      <c r="AU857" s="82">
        <f>IFERROR(__xludf.DUMMYFUNCTION("""COMPUTED_VALUE"""),2.5687417228510037)</f>
        <v>2.568741723</v>
      </c>
      <c r="AV857" s="82">
        <f>IFERROR(__xludf.DUMMYFUNCTION("""COMPUTED_VALUE"""),55.03506422528552)</f>
        <v>55.03506423</v>
      </c>
      <c r="AW857" s="82">
        <f t="shared" si="1"/>
        <v>2.379864991</v>
      </c>
      <c r="AX857" s="83">
        <f t="array" ref="AX857">IFERROR(DGET('SBV Import'!A:G,"SBV",{"RSC ID","Tier";B857,A857}))</f>
        <v>27.57608558</v>
      </c>
      <c r="AY857" s="82">
        <f t="shared" si="2"/>
        <v>-5.409175916</v>
      </c>
      <c r="AZ857" s="82">
        <v>7.789040906550415</v>
      </c>
      <c r="BA857" s="84">
        <v>800.0</v>
      </c>
      <c r="BB857" s="84" t="b">
        <f>IFERROR(__xludf.DUMMYFUNCTION("iferror(if(A857="""",,E857&gt;=FILTER(Constants!$F$2:$F$10,Constants!$A$2:$A$10=A857)))"),TRUE)</f>
        <v>1</v>
      </c>
    </row>
    <row r="858">
      <c r="A858" s="80" t="str">
        <f>IFERROR(__xludf.DUMMYFUNCTION("""COMPUTED_VALUE"""),"Elite")</f>
        <v>Elite</v>
      </c>
      <c r="B858" s="73" t="str">
        <f>IFERROR(__xludf.DUMMYFUNCTION("""COMPUTED_VALUE"""),"RSC000508")</f>
        <v>RSC000508</v>
      </c>
      <c r="C858" s="73" t="str">
        <f>IFERROR(__xludf.DUMMYFUNCTION("""COMPUTED_VALUE"""),"Bender_Escobar")</f>
        <v>Bender_Escobar</v>
      </c>
      <c r="D858" s="73" t="str">
        <f>IFERROR(__xludf.DUMMYFUNCTION("""COMPUTED_VALUE"""),"Demons")</f>
        <v>Demons</v>
      </c>
      <c r="E858" s="82">
        <f>IFERROR(__xludf.DUMMYFUNCTION("""COMPUTED_VALUE"""),44.0)</f>
        <v>44</v>
      </c>
      <c r="F858" s="82">
        <f>IFERROR(__xludf.DUMMYFUNCTION("""COMPUTED_VALUE"""),15.0)</f>
        <v>15</v>
      </c>
      <c r="G858" s="82">
        <f>IFERROR(__xludf.DUMMYFUNCTION("""COMPUTED_VALUE"""),29.0)</f>
        <v>29</v>
      </c>
      <c r="H858" s="86">
        <f>IFERROR(__xludf.DUMMYFUNCTION("""COMPUTED_VALUE"""),0.3409090909090909)</f>
        <v>0.3409090909</v>
      </c>
      <c r="I858" s="86">
        <f>IFERROR(__xludf.DUMMYFUNCTION("""COMPUTED_VALUE"""),0.35344827586206895)</f>
        <v>0.3534482759</v>
      </c>
      <c r="J858" s="82">
        <f>IFERROR(__xludf.DUMMYFUNCTION("""COMPUTED_VALUE"""),346.9318181818182)</f>
        <v>346.9318182</v>
      </c>
      <c r="K858" s="82">
        <f>IFERROR(__xludf.DUMMYFUNCTION("""COMPUTED_VALUE"""),0.9318181818181818)</f>
        <v>0.9318181818</v>
      </c>
      <c r="L858" s="82">
        <f>IFERROR(__xludf.DUMMYFUNCTION("""COMPUTED_VALUE"""),0.4090909090909091)</f>
        <v>0.4090909091</v>
      </c>
      <c r="M858" s="82">
        <f>IFERROR(__xludf.DUMMYFUNCTION("""COMPUTED_VALUE"""),1.4545454545454546)</f>
        <v>1.454545455</v>
      </c>
      <c r="N858" s="82">
        <f>IFERROR(__xludf.DUMMYFUNCTION("""COMPUTED_VALUE"""),2.6363636363636362)</f>
        <v>2.636363636</v>
      </c>
      <c r="O858" s="82">
        <f>IFERROR(__xludf.DUMMYFUNCTION("""COMPUTED_VALUE"""),394.1136363636364)</f>
        <v>394.1136364</v>
      </c>
      <c r="P858" s="82">
        <f>IFERROR(__xludf.DUMMYFUNCTION("""COMPUTED_VALUE"""),0.9848484848484851)</f>
        <v>0.9848484848</v>
      </c>
      <c r="Q858" s="82">
        <f>IFERROR(__xludf.DUMMYFUNCTION("""COMPUTED_VALUE"""),0.7803030303030305)</f>
        <v>0.7803030303</v>
      </c>
      <c r="R858" s="82">
        <f>IFERROR(__xludf.DUMMYFUNCTION("""COMPUTED_VALUE"""),1.287878787878788)</f>
        <v>1.287878788</v>
      </c>
      <c r="S858" s="82">
        <f>IFERROR(__xludf.DUMMYFUNCTION("""COMPUTED_VALUE"""),3.0606060606060606)</f>
        <v>3.060606061</v>
      </c>
      <c r="T858" s="82">
        <f>IFERROR(__xludf.DUMMYFUNCTION("""COMPUTED_VALUE"""),378.5643879197609)</f>
        <v>378.5643879</v>
      </c>
      <c r="U858" s="82">
        <f>IFERROR(__xludf.DUMMYFUNCTION("""COMPUTED_VALUE"""),0.9103292804839423)</f>
        <v>0.9103292805</v>
      </c>
      <c r="V858" s="82">
        <f>IFERROR(__xludf.DUMMYFUNCTION("""COMPUTED_VALUE"""),0.6409340902549864)</f>
        <v>0.6409340903</v>
      </c>
      <c r="W858" s="82">
        <f>IFERROR(__xludf.DUMMYFUNCTION("""COMPUTED_VALUE"""),1.3687209770340851)</f>
        <v>1.368720977</v>
      </c>
      <c r="X858" s="82">
        <f>IFERROR(__xludf.DUMMYFUNCTION("""COMPUTED_VALUE"""),2.8270416896050587)</f>
        <v>2.82704169</v>
      </c>
      <c r="Y858" s="82">
        <f>IFERROR(__xludf.DUMMYFUNCTION("""COMPUTED_VALUE"""),355.7398251597321)</f>
        <v>355.7398252</v>
      </c>
      <c r="Z858" s="82">
        <f>IFERROR(__xludf.DUMMYFUNCTION("""COMPUTED_VALUE"""),0.7274587491582319)</f>
        <v>0.7274587492</v>
      </c>
      <c r="AA858" s="82">
        <f>IFERROR(__xludf.DUMMYFUNCTION("""COMPUTED_VALUE"""),0.5330938930515935)</f>
        <v>0.5330938931</v>
      </c>
      <c r="AB858" s="82">
        <f>IFERROR(__xludf.DUMMYFUNCTION("""COMPUTED_VALUE"""),1.5060121138307914)</f>
        <v>1.506012114</v>
      </c>
      <c r="AC858" s="82">
        <f>IFERROR(__xludf.DUMMYFUNCTION("""COMPUTED_VALUE"""),2.501133516061529)</f>
        <v>2.501133516</v>
      </c>
      <c r="AD858" s="82">
        <f>IFERROR(__xludf.DUMMYFUNCTION("""COMPUTED_VALUE"""),0.9752403122873324)</f>
        <v>0.9752403123</v>
      </c>
      <c r="AE858" s="82">
        <f>IFERROR(__xludf.DUMMYFUNCTION("""COMPUTED_VALUE"""),1.2809223655587636)</f>
        <v>1.280922366</v>
      </c>
      <c r="AF858" s="82">
        <f>IFERROR(__xludf.DUMMYFUNCTION("""COMPUTED_VALUE"""),0.7673899746799703)</f>
        <v>0.7673899747</v>
      </c>
      <c r="AG858" s="82">
        <f>IFERROR(__xludf.DUMMYFUNCTION("""COMPUTED_VALUE"""),0.9658258663309004)</f>
        <v>0.9658258663</v>
      </c>
      <c r="AH858" s="82">
        <f>IFERROR(__xludf.DUMMYFUNCTION("""COMPUTED_VALUE"""),1.0540675335537668)</f>
        <v>1.054067534</v>
      </c>
      <c r="AI858" s="82">
        <f>IFERROR(__xludf.DUMMYFUNCTION("""COMPUTED_VALUE"""),1.041074250352284)</f>
        <v>1.04107425</v>
      </c>
      <c r="AJ858" s="82">
        <f>IFERROR(__xludf.DUMMYFUNCTION("""COMPUTED_VALUE"""),1.0818596149350788)</f>
        <v>1.081859615</v>
      </c>
      <c r="AK858" s="82">
        <f>IFERROR(__xludf.DUMMYFUNCTION("""COMPUTED_VALUE"""),1.2174466020251757)</f>
        <v>1.217446602</v>
      </c>
      <c r="AL858" s="82">
        <f>IFERROR(__xludf.DUMMYFUNCTION("""COMPUTED_VALUE"""),0.940935961009032)</f>
        <v>0.940935961</v>
      </c>
      <c r="AM858" s="82">
        <f>IFERROR(__xludf.DUMMYFUNCTION("""COMPUTED_VALUE"""),1.0826179436475276)</f>
        <v>1.082617944</v>
      </c>
      <c r="AN858" s="82">
        <f>IFERROR(__xludf.DUMMYFUNCTION("""COMPUTED_VALUE"""),0.9895654652114207)</f>
        <v>0.9895654652</v>
      </c>
      <c r="AO858" s="82">
        <f>IFERROR(__xludf.DUMMYFUNCTION("""COMPUTED_VALUE"""),1.3144724608329506)</f>
        <v>1.314472461</v>
      </c>
      <c r="AP858" s="82">
        <f>IFERROR(__xludf.DUMMYFUNCTION("""COMPUTED_VALUE"""),0.7165990073300195)</f>
        <v>0.7165990073</v>
      </c>
      <c r="AQ858" s="82">
        <f>IFERROR(__xludf.DUMMYFUNCTION("""COMPUTED_VALUE"""),1.0204196170899347)</f>
        <v>1.020419617</v>
      </c>
      <c r="AR858" s="82">
        <f>IFERROR(__xludf.DUMMYFUNCTION("""COMPUTED_VALUE"""),1.0517220863826287)</f>
        <v>1.051722086</v>
      </c>
      <c r="AS858" s="82">
        <f>IFERROR(__xludf.DUMMYFUNCTION("""COMPUTED_VALUE"""),102.0)</f>
        <v>102</v>
      </c>
      <c r="AT858" s="82">
        <f>IFERROR(__xludf.DUMMYFUNCTION("""COMPUTED_VALUE"""),0.403504870209922)</f>
        <v>0.4035048702</v>
      </c>
      <c r="AU858" s="82">
        <f>IFERROR(__xludf.DUMMYFUNCTION("""COMPUTED_VALUE"""),2.5664107001465077)</f>
        <v>2.5664107</v>
      </c>
      <c r="AV858" s="82">
        <f>IFERROR(__xludf.DUMMYFUNCTION("""COMPUTED_VALUE"""),54.96801419175016)</f>
        <v>54.96801419</v>
      </c>
      <c r="AW858" s="82">
        <f t="shared" si="1"/>
        <v>2.373939836</v>
      </c>
      <c r="AX858" s="83">
        <f t="array" ref="AX858">IFERROR(DGET('SBV Import'!A:G,"SBV",{"RSC ID","Tier";B858,A858}))</f>
        <v>35.11647984</v>
      </c>
      <c r="AY858" s="82">
        <f t="shared" si="2"/>
        <v>-3.625712713</v>
      </c>
      <c r="AZ858" s="82">
        <v>5.999652548825112</v>
      </c>
      <c r="BA858" s="84">
        <v>800.0</v>
      </c>
      <c r="BB858" s="84" t="b">
        <f>IFERROR(__xludf.DUMMYFUNCTION("iferror(if(A858="""",,E858&gt;=FILTER(Constants!$F$2:$F$10,Constants!$A$2:$A$10=A858)))"),TRUE)</f>
        <v>1</v>
      </c>
    </row>
    <row r="859">
      <c r="A859" s="80" t="str">
        <f>IFERROR(__xludf.DUMMYFUNCTION("""COMPUTED_VALUE"""),"Elite")</f>
        <v>Elite</v>
      </c>
      <c r="B859" s="73" t="str">
        <f>IFERROR(__xludf.DUMMYFUNCTION("""COMPUTED_VALUE"""),"RSC007941")</f>
        <v>RSC007941</v>
      </c>
      <c r="C859" s="73" t="str">
        <f>IFERROR(__xludf.DUMMYFUNCTION("""COMPUTED_VALUE"""),"Shepherd")</f>
        <v>Shepherd</v>
      </c>
      <c r="D859" s="73" t="str">
        <f>IFERROR(__xludf.DUMMYFUNCTION("""COMPUTED_VALUE"""),"Demons")</f>
        <v>Demons</v>
      </c>
      <c r="E859" s="82">
        <f>IFERROR(__xludf.DUMMYFUNCTION("""COMPUTED_VALUE"""),39.0)</f>
        <v>39</v>
      </c>
      <c r="F859" s="82">
        <f>IFERROR(__xludf.DUMMYFUNCTION("""COMPUTED_VALUE"""),16.0)</f>
        <v>16</v>
      </c>
      <c r="G859" s="82">
        <f>IFERROR(__xludf.DUMMYFUNCTION("""COMPUTED_VALUE"""),23.0)</f>
        <v>23</v>
      </c>
      <c r="H859" s="86">
        <f>IFERROR(__xludf.DUMMYFUNCTION("""COMPUTED_VALUE"""),0.41025641025641024)</f>
        <v>0.4102564103</v>
      </c>
      <c r="I859" s="86">
        <f>IFERROR(__xludf.DUMMYFUNCTION("""COMPUTED_VALUE"""),0.3815789473684211)</f>
        <v>0.3815789474</v>
      </c>
      <c r="J859" s="82">
        <f>IFERROR(__xludf.DUMMYFUNCTION("""COMPUTED_VALUE"""),393.94871794871796)</f>
        <v>393.9487179</v>
      </c>
      <c r="K859" s="82">
        <f>IFERROR(__xludf.DUMMYFUNCTION("""COMPUTED_VALUE"""),0.7435897435897436)</f>
        <v>0.7435897436</v>
      </c>
      <c r="L859" s="82">
        <f>IFERROR(__xludf.DUMMYFUNCTION("""COMPUTED_VALUE"""),0.7948717948717948)</f>
        <v>0.7948717949</v>
      </c>
      <c r="M859" s="82">
        <f>IFERROR(__xludf.DUMMYFUNCTION("""COMPUTED_VALUE"""),1.8461538461538463)</f>
        <v>1.846153846</v>
      </c>
      <c r="N859" s="82">
        <f>IFERROR(__xludf.DUMMYFUNCTION("""COMPUTED_VALUE"""),1.9487179487179487)</f>
        <v>1.948717949</v>
      </c>
      <c r="O859" s="82">
        <f>IFERROR(__xludf.DUMMYFUNCTION("""COMPUTED_VALUE"""),371.77777777777777)</f>
        <v>371.7777778</v>
      </c>
      <c r="P859" s="82">
        <f>IFERROR(__xludf.DUMMYFUNCTION("""COMPUTED_VALUE"""),0.8717948717948718)</f>
        <v>0.8717948718</v>
      </c>
      <c r="Q859" s="82">
        <f>IFERROR(__xludf.DUMMYFUNCTION("""COMPUTED_VALUE"""),0.7094017094017094)</f>
        <v>0.7094017094</v>
      </c>
      <c r="R859" s="82">
        <f>IFERROR(__xludf.DUMMYFUNCTION("""COMPUTED_VALUE"""),1.2735042735042734)</f>
        <v>1.273504274</v>
      </c>
      <c r="S859" s="82">
        <f>IFERROR(__xludf.DUMMYFUNCTION("""COMPUTED_VALUE"""),2.9914529914529924)</f>
        <v>2.991452991</v>
      </c>
      <c r="T859" s="82">
        <f>IFERROR(__xludf.DUMMYFUNCTION("""COMPUTED_VALUE"""),369.63455099476096)</f>
        <v>369.634551</v>
      </c>
      <c r="U859" s="82">
        <f>IFERROR(__xludf.DUMMYFUNCTION("""COMPUTED_VALUE"""),0.85086029005101)</f>
        <v>0.8508602901</v>
      </c>
      <c r="V859" s="82">
        <f>IFERROR(__xludf.DUMMYFUNCTION("""COMPUTED_VALUE"""),0.5860260719098479)</f>
        <v>0.5860260719</v>
      </c>
      <c r="W859" s="82">
        <f>IFERROR(__xludf.DUMMYFUNCTION("""COMPUTED_VALUE"""),1.3981376509662842)</f>
        <v>1.398137651</v>
      </c>
      <c r="X859" s="82">
        <f>IFERROR(__xludf.DUMMYFUNCTION("""COMPUTED_VALUE"""),2.7260537668825653)</f>
        <v>2.726053767</v>
      </c>
      <c r="Y859" s="82">
        <f>IFERROR(__xludf.DUMMYFUNCTION("""COMPUTED_VALUE"""),358.33372340889446)</f>
        <v>358.3337234</v>
      </c>
      <c r="Z859" s="82">
        <f>IFERROR(__xludf.DUMMYFUNCTION("""COMPUTED_VALUE"""),0.756315052745221)</f>
        <v>0.7563150527</v>
      </c>
      <c r="AA859" s="82">
        <f>IFERROR(__xludf.DUMMYFUNCTION("""COMPUTED_VALUE"""),0.5613038019715132)</f>
        <v>0.561303802</v>
      </c>
      <c r="AB859" s="82">
        <f>IFERROR(__xludf.DUMMYFUNCTION("""COMPUTED_VALUE"""),1.474763265057032)</f>
        <v>1.474763265</v>
      </c>
      <c r="AC859" s="82">
        <f>IFERROR(__xludf.DUMMYFUNCTION("""COMPUTED_VALUE"""),2.5678961490296186)</f>
        <v>2.567896149</v>
      </c>
      <c r="AD859" s="82">
        <f>IFERROR(__xludf.DUMMYFUNCTION("""COMPUTED_VALUE"""),1.099390574241831)</f>
        <v>1.099390574</v>
      </c>
      <c r="AE859" s="82">
        <f>IFERROR(__xludf.DUMMYFUNCTION("""COMPUTED_VALUE"""),0.9831745922426269)</f>
        <v>0.9831745922</v>
      </c>
      <c r="AF859" s="82">
        <f>IFERROR(__xludf.DUMMYFUNCTION("""COMPUTED_VALUE"""),1.416116890852871)</f>
        <v>1.416116891</v>
      </c>
      <c r="AG859" s="82">
        <f>IFERROR(__xludf.DUMMYFUNCTION("""COMPUTED_VALUE"""),1.2518306428540258)</f>
        <v>1.251830643</v>
      </c>
      <c r="AH859" s="82">
        <f>IFERROR(__xludf.DUMMYFUNCTION("""COMPUTED_VALUE"""),0.7588772425451664)</f>
        <v>0.7588772425</v>
      </c>
      <c r="AI859" s="82">
        <f>IFERROR(__xludf.DUMMYFUNCTION("""COMPUTED_VALUE"""),1.0057982317325287)</f>
        <v>1.005798232</v>
      </c>
      <c r="AJ859" s="82">
        <f>IFERROR(__xludf.DUMMYFUNCTION("""COMPUTED_VALUE"""),1.0246040178260132)</f>
        <v>1.024604018</v>
      </c>
      <c r="AK859" s="82">
        <f>IFERROR(__xludf.DUMMYFUNCTION("""COMPUTED_VALUE"""),1.2105292638086607)</f>
        <v>1.210529264</v>
      </c>
      <c r="AL859" s="82">
        <f>IFERROR(__xludf.DUMMYFUNCTION("""COMPUTED_VALUE"""),0.9108575773094488)</f>
        <v>0.9108575773</v>
      </c>
      <c r="AM859" s="82">
        <f>IFERROR(__xludf.DUMMYFUNCTION("""COMPUTED_VALUE"""),1.0973565627335113)</f>
        <v>1.097356563</v>
      </c>
      <c r="AN859" s="82">
        <f>IFERROR(__xludf.DUMMYFUNCTION("""COMPUTED_VALUE"""),1.1236733730258825)</f>
        <v>1.123673373</v>
      </c>
      <c r="AO859" s="82">
        <f>IFERROR(__xludf.DUMMYFUNCTION("""COMPUTED_VALUE"""),1.0489473796265447)</f>
        <v>1.04894738</v>
      </c>
      <c r="AP859" s="82">
        <f>IFERROR(__xludf.DUMMYFUNCTION("""COMPUTED_VALUE"""),1.3923661623905221)</f>
        <v>1.392366162</v>
      </c>
      <c r="AQ859" s="82">
        <f>IFERROR(__xludf.DUMMYFUNCTION("""COMPUTED_VALUE"""),1.2951479755372248)</f>
        <v>1.295147976</v>
      </c>
      <c r="AR859" s="82">
        <f>IFERROR(__xludf.DUMMYFUNCTION("""COMPUTED_VALUE"""),0.7774002336126238)</f>
        <v>0.7774002336</v>
      </c>
      <c r="AS859" s="82">
        <f>IFERROR(__xludf.DUMMYFUNCTION("""COMPUTED_VALUE"""),89.0)</f>
        <v>89</v>
      </c>
      <c r="AT859" s="82">
        <f>IFERROR(__xludf.DUMMYFUNCTION("""COMPUTED_VALUE"""),0.44643229130573225)</f>
        <v>0.4464322913</v>
      </c>
      <c r="AU859" s="82">
        <f>IFERROR(__xludf.DUMMYFUNCTION("""COMPUTED_VALUE"""),2.5442614584675005)</f>
        <v>2.544261458</v>
      </c>
      <c r="AV859" s="82">
        <f>IFERROR(__xludf.DUMMYFUNCTION("""COMPUTED_VALUE"""),54.33090868673047)</f>
        <v>54.33090869</v>
      </c>
      <c r="AW859" s="82">
        <f t="shared" si="1"/>
        <v>2.318932922</v>
      </c>
      <c r="AX859" s="83">
        <f t="array" ref="AX859">IFERROR(DGET('SBV Import'!A:G,"SBV",{"RSC ID","Tier";B859,A859}))</f>
        <v>52.71026636</v>
      </c>
      <c r="AY859" s="82">
        <f t="shared" si="2"/>
        <v>2.188974257</v>
      </c>
      <c r="AZ859" s="82">
        <v>0.12995866443937665</v>
      </c>
      <c r="BA859" s="84">
        <v>800.0</v>
      </c>
      <c r="BB859" s="84" t="b">
        <f>IFERROR(__xludf.DUMMYFUNCTION("iferror(if(A859="""",,E859&gt;=FILTER(Constants!$F$2:$F$10,Constants!$A$2:$A$10=A859)))"),TRUE)</f>
        <v>1</v>
      </c>
    </row>
    <row r="860">
      <c r="A860" s="80" t="str">
        <f>IFERROR(__xludf.DUMMYFUNCTION("""COMPUTED_VALUE"""),"Elite")</f>
        <v>Elite</v>
      </c>
      <c r="B860" s="73" t="str">
        <f>IFERROR(__xludf.DUMMYFUNCTION("""COMPUTED_VALUE"""),"RSC007263")</f>
        <v>RSC007263</v>
      </c>
      <c r="C860" s="73" t="str">
        <f>IFERROR(__xludf.DUMMYFUNCTION("""COMPUTED_VALUE"""),"HardPointy")</f>
        <v>HardPointy</v>
      </c>
      <c r="D860" s="73"/>
      <c r="E860" s="82">
        <f>IFERROR(__xludf.DUMMYFUNCTION("""COMPUTED_VALUE"""),15.0)</f>
        <v>15</v>
      </c>
      <c r="F860" s="82">
        <f>IFERROR(__xludf.DUMMYFUNCTION("""COMPUTED_VALUE"""),5.0)</f>
        <v>5</v>
      </c>
      <c r="G860" s="82">
        <f>IFERROR(__xludf.DUMMYFUNCTION("""COMPUTED_VALUE"""),10.0)</f>
        <v>10</v>
      </c>
      <c r="H860" s="86">
        <f>IFERROR(__xludf.DUMMYFUNCTION("""COMPUTED_VALUE"""),0.3333333333333333)</f>
        <v>0.3333333333</v>
      </c>
      <c r="I860" s="86">
        <f>IFERROR(__xludf.DUMMYFUNCTION("""COMPUTED_VALUE"""),0.18181818181818182)</f>
        <v>0.1818181818</v>
      </c>
      <c r="J860" s="82">
        <f>IFERROR(__xludf.DUMMYFUNCTION("""COMPUTED_VALUE"""),404.53333333333336)</f>
        <v>404.5333333</v>
      </c>
      <c r="K860" s="82">
        <f>IFERROR(__xludf.DUMMYFUNCTION("""COMPUTED_VALUE"""),0.5333333333333333)</f>
        <v>0.5333333333</v>
      </c>
      <c r="L860" s="82">
        <f>IFERROR(__xludf.DUMMYFUNCTION("""COMPUTED_VALUE"""),0.8)</f>
        <v>0.8</v>
      </c>
      <c r="M860" s="82">
        <f>IFERROR(__xludf.DUMMYFUNCTION("""COMPUTED_VALUE"""),2.0)</f>
        <v>2</v>
      </c>
      <c r="N860" s="82">
        <f>IFERROR(__xludf.DUMMYFUNCTION("""COMPUTED_VALUE"""),2.933333333333333)</f>
        <v>2.933333333</v>
      </c>
      <c r="O860" s="82">
        <f>IFERROR(__xludf.DUMMYFUNCTION("""COMPUTED_VALUE"""),395.64444444444445)</f>
        <v>395.6444444</v>
      </c>
      <c r="P860" s="82">
        <f>IFERROR(__xludf.DUMMYFUNCTION("""COMPUTED_VALUE"""),0.977777777777778)</f>
        <v>0.9777777778</v>
      </c>
      <c r="Q860" s="82">
        <f>IFERROR(__xludf.DUMMYFUNCTION("""COMPUTED_VALUE"""),0.7555555555555554)</f>
        <v>0.7555555556</v>
      </c>
      <c r="R860" s="82">
        <f>IFERROR(__xludf.DUMMYFUNCTION("""COMPUTED_VALUE"""),1.333333333333333)</f>
        <v>1.333333333</v>
      </c>
      <c r="S860" s="82">
        <f>IFERROR(__xludf.DUMMYFUNCTION("""COMPUTED_VALUE"""),3.2888888888888888)</f>
        <v>3.288888889</v>
      </c>
      <c r="T860" s="82">
        <f>IFERROR(__xludf.DUMMYFUNCTION("""COMPUTED_VALUE"""),363.9565035644874)</f>
        <v>363.9565036</v>
      </c>
      <c r="U860" s="82">
        <f>IFERROR(__xludf.DUMMYFUNCTION("""COMPUTED_VALUE"""),0.773351291081556)</f>
        <v>0.7733512911</v>
      </c>
      <c r="V860" s="82">
        <f>IFERROR(__xludf.DUMMYFUNCTION("""COMPUTED_VALUE"""),0.5815896874062886)</f>
        <v>0.5815896874</v>
      </c>
      <c r="W860" s="82">
        <f>IFERROR(__xludf.DUMMYFUNCTION("""COMPUTED_VALUE"""),1.415722626473514)</f>
        <v>1.415722626</v>
      </c>
      <c r="X860" s="82">
        <f>IFERROR(__xludf.DUMMYFUNCTION("""COMPUTED_VALUE"""),2.7922199179473375)</f>
        <v>2.792219918</v>
      </c>
      <c r="Y860" s="82">
        <f>IFERROR(__xludf.DUMMYFUNCTION("""COMPUTED_VALUE"""),358.53232847369685)</f>
        <v>358.5323285</v>
      </c>
      <c r="Z860" s="82">
        <f>IFERROR(__xludf.DUMMYFUNCTION("""COMPUTED_VALUE"""),0.7289984352081839)</f>
        <v>0.7289984352</v>
      </c>
      <c r="AA860" s="82">
        <f>IFERROR(__xludf.DUMMYFUNCTION("""COMPUTED_VALUE"""),0.5512144212622042)</f>
        <v>0.5512144213</v>
      </c>
      <c r="AB860" s="82">
        <f>IFERROR(__xludf.DUMMYFUNCTION("""COMPUTED_VALUE"""),1.4732680659610802)</f>
        <v>1.473268066</v>
      </c>
      <c r="AC860" s="82">
        <f>IFERROR(__xludf.DUMMYFUNCTION("""COMPUTED_VALUE"""),2.611365380878591)</f>
        <v>2.611365381</v>
      </c>
      <c r="AD860" s="82">
        <f>IFERROR(__xludf.DUMMYFUNCTION("""COMPUTED_VALUE"""),1.1283036457422593)</f>
        <v>1.128303646</v>
      </c>
      <c r="AE860" s="82">
        <f>IFERROR(__xludf.DUMMYFUNCTION("""COMPUTED_VALUE"""),0.7315973636912219)</f>
        <v>0.7315973637</v>
      </c>
      <c r="AF860" s="82">
        <f>IFERROR(__xludf.DUMMYFUNCTION("""COMPUTED_VALUE"""),1.4513408378687036)</f>
        <v>1.451340838</v>
      </c>
      <c r="AG860" s="82">
        <f>IFERROR(__xludf.DUMMYFUNCTION("""COMPUTED_VALUE"""),1.3575262005664315)</f>
        <v>1.357526201</v>
      </c>
      <c r="AH860" s="82">
        <f>IFERROR(__xludf.DUMMYFUNCTION("""COMPUTED_VALUE"""),1.1232948689648388)</f>
        <v>1.123294869</v>
      </c>
      <c r="AI860" s="82">
        <f>IFERROR(__xludf.DUMMYFUNCTION("""COMPUTED_VALUE"""),1.0870651865528278)</f>
        <v>1.087065187</v>
      </c>
      <c r="AJ860" s="82">
        <f>IFERROR(__xludf.DUMMYFUNCTION("""COMPUTED_VALUE"""),1.2643384566027234)</f>
        <v>1.264338457</v>
      </c>
      <c r="AK860" s="82">
        <f>IFERROR(__xludf.DUMMYFUNCTION("""COMPUTED_VALUE"""),1.2991213082286606)</f>
        <v>1.299121308</v>
      </c>
      <c r="AL860" s="82">
        <f>IFERROR(__xludf.DUMMYFUNCTION("""COMPUTED_VALUE"""),0.9418040712216289)</f>
        <v>0.9418040712</v>
      </c>
      <c r="AM860" s="82">
        <f>IFERROR(__xludf.DUMMYFUNCTION("""COMPUTED_VALUE"""),1.1778760217807882)</f>
        <v>1.177876022</v>
      </c>
      <c r="AN860" s="82">
        <f>IFERROR(__xludf.DUMMYFUNCTION("""COMPUTED_VALUE"""),1.1538642327229072)</f>
        <v>1.153864233</v>
      </c>
      <c r="AO860" s="82">
        <f>IFERROR(__xludf.DUMMYFUNCTION("""COMPUTED_VALUE"""),0.7523484653873148)</f>
        <v>0.7523484654</v>
      </c>
      <c r="AP860" s="82">
        <f>IFERROR(__xludf.DUMMYFUNCTION("""COMPUTED_VALUE"""),1.401349169889816)</f>
        <v>1.40134917</v>
      </c>
      <c r="AQ860" s="82">
        <f>IFERROR(__xludf.DUMMYFUNCTION("""COMPUTED_VALUE"""),1.4030769734986601)</f>
        <v>1.403076973</v>
      </c>
      <c r="AR860" s="82">
        <f>IFERROR(__xludf.DUMMYFUNCTION("""COMPUTED_VALUE"""),1.1701919305958441)</f>
        <v>1.170191931</v>
      </c>
      <c r="AS860" s="82">
        <f>IFERROR(__xludf.DUMMYFUNCTION("""COMPUTED_VALUE"""),33.0)</f>
        <v>33</v>
      </c>
      <c r="AT860" s="82">
        <f>IFERROR(__xludf.DUMMYFUNCTION("""COMPUTED_VALUE"""),0.38697586972956277)</f>
        <v>0.3869758697</v>
      </c>
      <c r="AU860" s="82">
        <f>IFERROR(__xludf.DUMMYFUNCTION("""COMPUTED_VALUE"""),2.5427806473448906)</f>
        <v>2.542780647</v>
      </c>
      <c r="AV860" s="82">
        <f>IFERROR(__xludf.DUMMYFUNCTION("""COMPUTED_VALUE"""),54.28831432021528)</f>
        <v>54.28831432</v>
      </c>
      <c r="AW860" s="82">
        <f t="shared" si="1"/>
        <v>2.315337318</v>
      </c>
      <c r="AX860" s="83">
        <f t="array" ref="AX860">IFERROR(DGET('SBV Import'!A:G,"SBV",{"RSC ID","Tier";B860,A860}))</f>
        <v>55.11856371</v>
      </c>
      <c r="AY860" s="82">
        <f t="shared" si="2"/>
        <v>2.387280733</v>
      </c>
      <c r="AZ860" s="82">
        <v>0.07194341469240406</v>
      </c>
      <c r="BA860" s="84">
        <v>800.0</v>
      </c>
      <c r="BB860" s="84" t="b">
        <f>IFERROR(__xludf.DUMMYFUNCTION("iferror(if(A860="""",,E860&gt;=FILTER(Constants!$F$2:$F$10,Constants!$A$2:$A$10=A860)))"),TRUE)</f>
        <v>1</v>
      </c>
    </row>
    <row r="861">
      <c r="A861" s="80" t="str">
        <f>IFERROR(__xludf.DUMMYFUNCTION("""COMPUTED_VALUE"""),"Elite")</f>
        <v>Elite</v>
      </c>
      <c r="B861" s="73" t="str">
        <f>IFERROR(__xludf.DUMMYFUNCTION("""COMPUTED_VALUE"""),"RSC002164")</f>
        <v>RSC002164</v>
      </c>
      <c r="C861" s="73" t="str">
        <f>IFERROR(__xludf.DUMMYFUNCTION("""COMPUTED_VALUE"""),"Dosia")</f>
        <v>Dosia</v>
      </c>
      <c r="D861" s="73" t="str">
        <f>IFERROR(__xludf.DUMMYFUNCTION("""COMPUTED_VALUE"""),"Wyverns")</f>
        <v>Wyverns</v>
      </c>
      <c r="E861" s="82">
        <f>IFERROR(__xludf.DUMMYFUNCTION("""COMPUTED_VALUE"""),42.0)</f>
        <v>42</v>
      </c>
      <c r="F861" s="82">
        <f>IFERROR(__xludf.DUMMYFUNCTION("""COMPUTED_VALUE"""),21.0)</f>
        <v>21</v>
      </c>
      <c r="G861" s="82">
        <f>IFERROR(__xludf.DUMMYFUNCTION("""COMPUTED_VALUE"""),21.0)</f>
        <v>21</v>
      </c>
      <c r="H861" s="86">
        <f>IFERROR(__xludf.DUMMYFUNCTION("""COMPUTED_VALUE"""),0.5)</f>
        <v>0.5</v>
      </c>
      <c r="I861" s="86">
        <f>IFERROR(__xludf.DUMMYFUNCTION("""COMPUTED_VALUE"""),0.2755102040816327)</f>
        <v>0.2755102041</v>
      </c>
      <c r="J861" s="82">
        <f>IFERROR(__xludf.DUMMYFUNCTION("""COMPUTED_VALUE"""),333.8809523809524)</f>
        <v>333.8809524</v>
      </c>
      <c r="K861" s="82">
        <f>IFERROR(__xludf.DUMMYFUNCTION("""COMPUTED_VALUE"""),0.6428571428571429)</f>
        <v>0.6428571429</v>
      </c>
      <c r="L861" s="82">
        <f>IFERROR(__xludf.DUMMYFUNCTION("""COMPUTED_VALUE"""),0.6190476190476191)</f>
        <v>0.619047619</v>
      </c>
      <c r="M861" s="82">
        <f>IFERROR(__xludf.DUMMYFUNCTION("""COMPUTED_VALUE"""),1.3333333333333333)</f>
        <v>1.333333333</v>
      </c>
      <c r="N861" s="82">
        <f>IFERROR(__xludf.DUMMYFUNCTION("""COMPUTED_VALUE"""),2.3333333333333335)</f>
        <v>2.333333333</v>
      </c>
      <c r="O861" s="82">
        <f>IFERROR(__xludf.DUMMYFUNCTION("""COMPUTED_VALUE"""),344.5476190476191)</f>
        <v>344.547619</v>
      </c>
      <c r="P861" s="82">
        <f>IFERROR(__xludf.DUMMYFUNCTION("""COMPUTED_VALUE"""),0.6190476190476191)</f>
        <v>0.619047619</v>
      </c>
      <c r="Q861" s="82">
        <f>IFERROR(__xludf.DUMMYFUNCTION("""COMPUTED_VALUE"""),0.4920634920634922)</f>
        <v>0.4920634921</v>
      </c>
      <c r="R861" s="82">
        <f>IFERROR(__xludf.DUMMYFUNCTION("""COMPUTED_VALUE"""),1.5079365079365081)</f>
        <v>1.507936508</v>
      </c>
      <c r="S861" s="82">
        <f>IFERROR(__xludf.DUMMYFUNCTION("""COMPUTED_VALUE"""),2.5)</f>
        <v>2.5</v>
      </c>
      <c r="T861" s="82">
        <f>IFERROR(__xludf.DUMMYFUNCTION("""COMPUTED_VALUE"""),359.21511054444954)</f>
        <v>359.2151105</v>
      </c>
      <c r="U861" s="82">
        <f>IFERROR(__xludf.DUMMYFUNCTION("""COMPUTED_VALUE"""),0.7929013948522529)</f>
        <v>0.7929013949</v>
      </c>
      <c r="V861" s="82">
        <f>IFERROR(__xludf.DUMMYFUNCTION("""COMPUTED_VALUE"""),0.5949468119538222)</f>
        <v>0.594946812</v>
      </c>
      <c r="W861" s="82">
        <f>IFERROR(__xludf.DUMMYFUNCTION("""COMPUTED_VALUE"""),1.3927334381894232)</f>
        <v>1.392733438</v>
      </c>
      <c r="X861" s="82">
        <f>IFERROR(__xludf.DUMMYFUNCTION("""COMPUTED_VALUE"""),2.662558014666433)</f>
        <v>2.662558015</v>
      </c>
      <c r="Y861" s="82">
        <f>IFERROR(__xludf.DUMMYFUNCTION("""COMPUTED_VALUE"""),350.5024683916762)</f>
        <v>350.5024684</v>
      </c>
      <c r="Z861" s="82">
        <f>IFERROR(__xludf.DUMMYFUNCTION("""COMPUTED_VALUE"""),0.7093252086939641)</f>
        <v>0.7093252087</v>
      </c>
      <c r="AA861" s="82">
        <f>IFERROR(__xludf.DUMMYFUNCTION("""COMPUTED_VALUE"""),0.526386370755231)</f>
        <v>0.5263863708</v>
      </c>
      <c r="AB861" s="82">
        <f>IFERROR(__xludf.DUMMYFUNCTION("""COMPUTED_VALUE"""),1.4502592328986192)</f>
        <v>1.450259233</v>
      </c>
      <c r="AC861" s="82">
        <f>IFERROR(__xludf.DUMMYFUNCTION("""COMPUTED_VALUE"""),2.5420706381004483)</f>
        <v>2.542070638</v>
      </c>
      <c r="AD861" s="82">
        <f>IFERROR(__xludf.DUMMYFUNCTION("""COMPUTED_VALUE"""),0.9525780343659386)</f>
        <v>0.9525780344</v>
      </c>
      <c r="AE861" s="82">
        <f>IFERROR(__xludf.DUMMYFUNCTION("""COMPUTED_VALUE"""),0.9062939466662906)</f>
        <v>0.9062939467</v>
      </c>
      <c r="AF861" s="82">
        <f>IFERROR(__xludf.DUMMYFUNCTION("""COMPUTED_VALUE"""),1.176032764981059)</f>
        <v>1.176032765</v>
      </c>
      <c r="AG861" s="82">
        <f>IFERROR(__xludf.DUMMYFUNCTION("""COMPUTED_VALUE"""),0.9193758626645063)</f>
        <v>0.9193758627</v>
      </c>
      <c r="AH861" s="82">
        <f>IFERROR(__xludf.DUMMYFUNCTION("""COMPUTED_VALUE"""),0.9178868983266756)</f>
        <v>0.9178868983</v>
      </c>
      <c r="AI861" s="82">
        <f>IFERROR(__xludf.DUMMYFUNCTION("""COMPUTED_VALUE"""),0.9591679440360973)</f>
        <v>0.959167944</v>
      </c>
      <c r="AJ861" s="82">
        <f>IFERROR(__xludf.DUMMYFUNCTION("""COMPUTED_VALUE"""),0.7807372052397142)</f>
        <v>0.7807372052</v>
      </c>
      <c r="AK861" s="82">
        <f>IFERROR(__xludf.DUMMYFUNCTION("""COMPUTED_VALUE"""),0.8270713989500033)</f>
        <v>0.827071399</v>
      </c>
      <c r="AL861" s="82">
        <f>IFERROR(__xludf.DUMMYFUNCTION("""COMPUTED_VALUE"""),1.082717242645406)</f>
        <v>1.082717243</v>
      </c>
      <c r="AM861" s="82">
        <f>IFERROR(__xludf.DUMMYFUNCTION("""COMPUTED_VALUE"""),0.9389466769283529)</f>
        <v>0.9389466769</v>
      </c>
      <c r="AN861" s="82">
        <f>IFERROR(__xludf.DUMMYFUNCTION("""COMPUTED_VALUE"""),0.9523400352830614)</f>
        <v>0.9523400353</v>
      </c>
      <c r="AO861" s="82">
        <f>IFERROR(__xludf.DUMMYFUNCTION("""COMPUTED_VALUE"""),0.9068485966722099)</f>
        <v>0.9068485967</v>
      </c>
      <c r="AP861" s="82">
        <f>IFERROR(__xludf.DUMMYFUNCTION("""COMPUTED_VALUE"""),1.08437733384331)</f>
        <v>1.084377334</v>
      </c>
      <c r="AQ861" s="82">
        <f>IFERROR(__xludf.DUMMYFUNCTION("""COMPUTED_VALUE"""),0.9353846489991068)</f>
        <v>0.935384649</v>
      </c>
      <c r="AR861" s="82">
        <f>IFERROR(__xludf.DUMMYFUNCTION("""COMPUTED_VALUE"""),0.9308344902466943)</f>
        <v>0.9308344902</v>
      </c>
      <c r="AS861" s="82">
        <f>IFERROR(__xludf.DUMMYFUNCTION("""COMPUTED_VALUE"""),92.0)</f>
        <v>92</v>
      </c>
      <c r="AT861" s="82">
        <f>IFERROR(__xludf.DUMMYFUNCTION("""COMPUTED_VALUE"""),0.5613348585743463)</f>
        <v>0.5613348586</v>
      </c>
      <c r="AU861" s="82">
        <f>IFERROR(__xludf.DUMMYFUNCTION("""COMPUTED_VALUE"""),2.5375466105511157)</f>
        <v>2.537546611</v>
      </c>
      <c r="AV861" s="82">
        <f>IFERROR(__xludf.DUMMYFUNCTION("""COMPUTED_VALUE"""),54.137761371129436)</f>
        <v>54.13776137</v>
      </c>
      <c r="AW861" s="82">
        <f t="shared" si="1"/>
        <v>2.302709011</v>
      </c>
      <c r="AX861" s="83">
        <f t="array" ref="AX861">IFERROR(DGET('SBV Import'!A:G,"SBV",{"RSC ID","Tier";B861,A861}))</f>
        <v>44.13899195</v>
      </c>
      <c r="AY861" s="82">
        <f t="shared" si="2"/>
        <v>-2.455062661</v>
      </c>
      <c r="AZ861" s="82">
        <v>4.757771671948264</v>
      </c>
      <c r="BA861" s="84">
        <v>800.0</v>
      </c>
      <c r="BB861" s="84" t="b">
        <f>IFERROR(__xludf.DUMMYFUNCTION("iferror(if(A861="""",,E861&gt;=FILTER(Constants!$F$2:$F$10,Constants!$A$2:$A$10=A861)))"),TRUE)</f>
        <v>1</v>
      </c>
    </row>
    <row r="862">
      <c r="A862" s="80" t="str">
        <f>IFERROR(__xludf.DUMMYFUNCTION("""COMPUTED_VALUE"""),"Elite")</f>
        <v>Elite</v>
      </c>
      <c r="B862" s="73" t="str">
        <f>IFERROR(__xludf.DUMMYFUNCTION("""COMPUTED_VALUE"""),"RSC005373")</f>
        <v>RSC005373</v>
      </c>
      <c r="C862" s="73" t="str">
        <f>IFERROR(__xludf.DUMMYFUNCTION("""COMPUTED_VALUE"""),"dvorl.ttv")</f>
        <v>dvorl.ttv</v>
      </c>
      <c r="D862" s="73" t="str">
        <f>IFERROR(__xludf.DUMMYFUNCTION("""COMPUTED_VALUE"""),"Despair")</f>
        <v>Despair</v>
      </c>
      <c r="E862" s="82">
        <f>IFERROR(__xludf.DUMMYFUNCTION("""COMPUTED_VALUE"""),43.0)</f>
        <v>43</v>
      </c>
      <c r="F862" s="82">
        <f>IFERROR(__xludf.DUMMYFUNCTION("""COMPUTED_VALUE"""),25.0)</f>
        <v>25</v>
      </c>
      <c r="G862" s="82">
        <f>IFERROR(__xludf.DUMMYFUNCTION("""COMPUTED_VALUE"""),18.0)</f>
        <v>18</v>
      </c>
      <c r="H862" s="86">
        <f>IFERROR(__xludf.DUMMYFUNCTION("""COMPUTED_VALUE"""),0.5813953488372093)</f>
        <v>0.5813953488</v>
      </c>
      <c r="I862" s="86">
        <f>IFERROR(__xludf.DUMMYFUNCTION("""COMPUTED_VALUE"""),0.3214285714285714)</f>
        <v>0.3214285714</v>
      </c>
      <c r="J862" s="82">
        <f>IFERROR(__xludf.DUMMYFUNCTION("""COMPUTED_VALUE"""),326.74418604651163)</f>
        <v>326.744186</v>
      </c>
      <c r="K862" s="82">
        <f>IFERROR(__xludf.DUMMYFUNCTION("""COMPUTED_VALUE"""),0.8372093023255814)</f>
        <v>0.8372093023</v>
      </c>
      <c r="L862" s="82">
        <f>IFERROR(__xludf.DUMMYFUNCTION("""COMPUTED_VALUE"""),0.5116279069767442)</f>
        <v>0.511627907</v>
      </c>
      <c r="M862" s="82">
        <f>IFERROR(__xludf.DUMMYFUNCTION("""COMPUTED_VALUE"""),1.0465116279069768)</f>
        <v>1.046511628</v>
      </c>
      <c r="N862" s="82">
        <f>IFERROR(__xludf.DUMMYFUNCTION("""COMPUTED_VALUE"""),2.604651162790698)</f>
        <v>2.604651163</v>
      </c>
      <c r="O862" s="82">
        <f>IFERROR(__xludf.DUMMYFUNCTION("""COMPUTED_VALUE"""),359.94573643410854)</f>
        <v>359.9457364</v>
      </c>
      <c r="P862" s="82">
        <f>IFERROR(__xludf.DUMMYFUNCTION("""COMPUTED_VALUE"""),0.7209302325581396)</f>
        <v>0.7209302326</v>
      </c>
      <c r="Q862" s="82">
        <f>IFERROR(__xludf.DUMMYFUNCTION("""COMPUTED_VALUE"""),0.5426356589147289)</f>
        <v>0.5426356589</v>
      </c>
      <c r="R862" s="82">
        <f>IFERROR(__xludf.DUMMYFUNCTION("""COMPUTED_VALUE"""),1.542635658914729)</f>
        <v>1.542635659</v>
      </c>
      <c r="S862" s="82">
        <f>IFERROR(__xludf.DUMMYFUNCTION("""COMPUTED_VALUE"""),2.5658914728682167)</f>
        <v>2.565891473</v>
      </c>
      <c r="T862" s="82">
        <f>IFERROR(__xludf.DUMMYFUNCTION("""COMPUTED_VALUE"""),360.133691086785)</f>
        <v>360.1336911</v>
      </c>
      <c r="U862" s="82">
        <f>IFERROR(__xludf.DUMMYFUNCTION("""COMPUTED_VALUE"""),0.7482566252868633)</f>
        <v>0.7482566253</v>
      </c>
      <c r="V862" s="82">
        <f>IFERROR(__xludf.DUMMYFUNCTION("""COMPUTED_VALUE"""),0.604514041616021)</f>
        <v>0.6045140416</v>
      </c>
      <c r="W862" s="82">
        <f>IFERROR(__xludf.DUMMYFUNCTION("""COMPUTED_VALUE"""),1.484145849430239)</f>
        <v>1.484145849</v>
      </c>
      <c r="X862" s="82">
        <f>IFERROR(__xludf.DUMMYFUNCTION("""COMPUTED_VALUE"""),2.6152551262428374)</f>
        <v>2.615255126</v>
      </c>
      <c r="Y862" s="82">
        <f>IFERROR(__xludf.DUMMYFUNCTION("""COMPUTED_VALUE"""),367.4842398003066)</f>
        <v>367.4842398</v>
      </c>
      <c r="Z862" s="82">
        <f>IFERROR(__xludf.DUMMYFUNCTION("""COMPUTED_VALUE"""),0.8238482534946565)</f>
        <v>0.8238482535</v>
      </c>
      <c r="AA862" s="82">
        <f>IFERROR(__xludf.DUMMYFUNCTION("""COMPUTED_VALUE"""),0.6096942908037155)</f>
        <v>0.6096942908</v>
      </c>
      <c r="AB862" s="82">
        <f>IFERROR(__xludf.DUMMYFUNCTION("""COMPUTED_VALUE"""),1.4030401125356418)</f>
        <v>1.403040113</v>
      </c>
      <c r="AC862" s="82">
        <f>IFERROR(__xludf.DUMMYFUNCTION("""COMPUTED_VALUE"""),2.732057978931847)</f>
        <v>2.732057979</v>
      </c>
      <c r="AD862" s="82">
        <f>IFERROR(__xludf.DUMMYFUNCTION("""COMPUTED_VALUE"""),0.8891379565666996)</f>
        <v>0.8891379566</v>
      </c>
      <c r="AE862" s="82">
        <f>IFERROR(__xludf.DUMMYFUNCTION("""COMPUTED_VALUE"""),1.0162178517393818)</f>
        <v>1.016217852</v>
      </c>
      <c r="AF862" s="82">
        <f>IFERROR(__xludf.DUMMYFUNCTION("""COMPUTED_VALUE"""),0.8391548267612978)</f>
        <v>0.8391548268</v>
      </c>
      <c r="AG862" s="82">
        <f>IFERROR(__xludf.DUMMYFUNCTION("""COMPUTED_VALUE"""),0.7458886018701707)</f>
        <v>0.7458886019</v>
      </c>
      <c r="AH862" s="82">
        <f>IFERROR(__xludf.DUMMYFUNCTION("""COMPUTED_VALUE"""),0.9533659910867041)</f>
        <v>0.9533659911</v>
      </c>
      <c r="AI862" s="82">
        <f>IFERROR(__xludf.DUMMYFUNCTION("""COMPUTED_VALUE"""),0.9994780975584115)</f>
        <v>0.9994780976</v>
      </c>
      <c r="AJ862" s="82">
        <f>IFERROR(__xludf.DUMMYFUNCTION("""COMPUTED_VALUE"""),0.963479918780208)</f>
        <v>0.9634799188</v>
      </c>
      <c r="AK862" s="82">
        <f>IFERROR(__xludf.DUMMYFUNCTION("""COMPUTED_VALUE"""),0.897639461713949)</f>
        <v>0.8976394617</v>
      </c>
      <c r="AL862" s="82">
        <f>IFERROR(__xludf.DUMMYFUNCTION("""COMPUTED_VALUE"""),1.0394097450105353)</f>
        <v>1.039409745</v>
      </c>
      <c r="AM862" s="82">
        <f>IFERROR(__xludf.DUMMYFUNCTION("""COMPUTED_VALUE"""),0.9811247274197917)</f>
        <v>0.9811247274</v>
      </c>
      <c r="AN862" s="82">
        <f>IFERROR(__xludf.DUMMYFUNCTION("""COMPUTED_VALUE"""),0.9319835931012581)</f>
        <v>0.9319835931</v>
      </c>
      <c r="AO862" s="82">
        <f>IFERROR(__xludf.DUMMYFUNCTION("""COMPUTED_VALUE"""),1.1810121258986919)</f>
        <v>1.181012126</v>
      </c>
      <c r="AP862" s="82">
        <f>IFERROR(__xludf.DUMMYFUNCTION("""COMPUTED_VALUE"""),0.8962116784179055)</f>
        <v>0.8962116784</v>
      </c>
      <c r="AQ862" s="82">
        <f>IFERROR(__xludf.DUMMYFUNCTION("""COMPUTED_VALUE"""),0.7341681838074385)</f>
        <v>0.7341681838</v>
      </c>
      <c r="AR862" s="82">
        <f>IFERROR(__xludf.DUMMYFUNCTION("""COMPUTED_VALUE"""),1.039071058880031)</f>
        <v>1.039071059</v>
      </c>
      <c r="AS862" s="82">
        <f>IFERROR(__xludf.DUMMYFUNCTION("""COMPUTED_VALUE"""),120.0)</f>
        <v>120</v>
      </c>
      <c r="AT862" s="82">
        <f>IFERROR(__xludf.DUMMYFUNCTION("""COMPUTED_VALUE"""),0.5995177064540537)</f>
        <v>0.5995177065</v>
      </c>
      <c r="AU862" s="82">
        <f>IFERROR(__xludf.DUMMYFUNCTION("""COMPUTED_VALUE"""),2.524255705706513)</f>
        <v>2.524255706</v>
      </c>
      <c r="AV862" s="82">
        <f>IFERROR(__xludf.DUMMYFUNCTION("""COMPUTED_VALUE"""),53.75545895347083)</f>
        <v>53.75545895</v>
      </c>
      <c r="AW862" s="82">
        <f t="shared" si="1"/>
        <v>2.271198492</v>
      </c>
      <c r="AX862" s="83">
        <f t="array" ref="AX862">IFERROR(DGET('SBV Import'!A:G,"SBV",{"RSC ID","Tier";B862,A862}))</f>
        <v>35.26047616</v>
      </c>
      <c r="AY862" s="82">
        <f t="shared" si="2"/>
        <v>-3.600543958</v>
      </c>
      <c r="AZ862" s="82">
        <v>5.871742449650041</v>
      </c>
      <c r="BA862" s="84">
        <v>800.0</v>
      </c>
      <c r="BB862" s="84" t="b">
        <f>IFERROR(__xludf.DUMMYFUNCTION("iferror(if(A862="""",,E862&gt;=FILTER(Constants!$F$2:$F$10,Constants!$A$2:$A$10=A862)))"),TRUE)</f>
        <v>1</v>
      </c>
    </row>
    <row r="863">
      <c r="A863" s="80" t="str">
        <f>IFERROR(__xludf.DUMMYFUNCTION("""COMPUTED_VALUE"""),"Elite")</f>
        <v>Elite</v>
      </c>
      <c r="B863" s="73" t="str">
        <f>IFERROR(__xludf.DUMMYFUNCTION("""COMPUTED_VALUE"""),"RSC007077")</f>
        <v>RSC007077</v>
      </c>
      <c r="C863" s="73" t="str">
        <f>IFERROR(__xludf.DUMMYFUNCTION("""COMPUTED_VALUE"""),"higsn")</f>
        <v>higsn</v>
      </c>
      <c r="D863" s="73" t="str">
        <f>IFERROR(__xludf.DUMMYFUNCTION("""COMPUTED_VALUE"""),"Stoked Blokes")</f>
        <v>Stoked Blokes</v>
      </c>
      <c r="E863" s="82">
        <f>IFERROR(__xludf.DUMMYFUNCTION("""COMPUTED_VALUE"""),44.0)</f>
        <v>44</v>
      </c>
      <c r="F863" s="82">
        <f>IFERROR(__xludf.DUMMYFUNCTION("""COMPUTED_VALUE"""),22.0)</f>
        <v>22</v>
      </c>
      <c r="G863" s="82">
        <f>IFERROR(__xludf.DUMMYFUNCTION("""COMPUTED_VALUE"""),22.0)</f>
        <v>22</v>
      </c>
      <c r="H863" s="86">
        <f>IFERROR(__xludf.DUMMYFUNCTION("""COMPUTED_VALUE"""),0.5)</f>
        <v>0.5</v>
      </c>
      <c r="I863" s="86">
        <f>IFERROR(__xludf.DUMMYFUNCTION("""COMPUTED_VALUE"""),0.3137254901960784)</f>
        <v>0.3137254902</v>
      </c>
      <c r="J863" s="82">
        <f>IFERROR(__xludf.DUMMYFUNCTION("""COMPUTED_VALUE"""),366.09090909090907)</f>
        <v>366.0909091</v>
      </c>
      <c r="K863" s="82">
        <f>IFERROR(__xludf.DUMMYFUNCTION("""COMPUTED_VALUE"""),0.7272727272727273)</f>
        <v>0.7272727273</v>
      </c>
      <c r="L863" s="82">
        <f>IFERROR(__xludf.DUMMYFUNCTION("""COMPUTED_VALUE"""),0.6363636363636364)</f>
        <v>0.6363636364</v>
      </c>
      <c r="M863" s="82">
        <f>IFERROR(__xludf.DUMMYFUNCTION("""COMPUTED_VALUE"""),1.4318181818181819)</f>
        <v>1.431818182</v>
      </c>
      <c r="N863" s="82">
        <f>IFERROR(__xludf.DUMMYFUNCTION("""COMPUTED_VALUE"""),2.3181818181818183)</f>
        <v>2.318181818</v>
      </c>
      <c r="O863" s="82">
        <f>IFERROR(__xludf.DUMMYFUNCTION("""COMPUTED_VALUE"""),341.40909090909105)</f>
        <v>341.4090909</v>
      </c>
      <c r="P863" s="82">
        <f>IFERROR(__xludf.DUMMYFUNCTION("""COMPUTED_VALUE"""),0.7196969696969698)</f>
        <v>0.7196969697</v>
      </c>
      <c r="Q863" s="82">
        <f>IFERROR(__xludf.DUMMYFUNCTION("""COMPUTED_VALUE"""),0.5303030303030303)</f>
        <v>0.5303030303</v>
      </c>
      <c r="R863" s="82">
        <f>IFERROR(__xludf.DUMMYFUNCTION("""COMPUTED_VALUE"""),1.2348484848484849)</f>
        <v>1.234848485</v>
      </c>
      <c r="S863" s="82">
        <f>IFERROR(__xludf.DUMMYFUNCTION("""COMPUTED_VALUE"""),2.727272727272727)</f>
        <v>2.727272727</v>
      </c>
      <c r="T863" s="82">
        <f>IFERROR(__xludf.DUMMYFUNCTION("""COMPUTED_VALUE"""),361.20621707047025)</f>
        <v>361.2062171</v>
      </c>
      <c r="U863" s="82">
        <f>IFERROR(__xludf.DUMMYFUNCTION("""COMPUTED_VALUE"""),0.7832925114445828)</f>
        <v>0.7832925114</v>
      </c>
      <c r="V863" s="82">
        <f>IFERROR(__xludf.DUMMYFUNCTION("""COMPUTED_VALUE"""),0.6117931049605875)</f>
        <v>0.611793105</v>
      </c>
      <c r="W863" s="82">
        <f>IFERROR(__xludf.DUMMYFUNCTION("""COMPUTED_VALUE"""),1.4277050396443325)</f>
        <v>1.42770504</v>
      </c>
      <c r="X863" s="82">
        <f>IFERROR(__xludf.DUMMYFUNCTION("""COMPUTED_VALUE"""),2.6202231258755373)</f>
        <v>2.620223126</v>
      </c>
      <c r="Y863" s="82">
        <f>IFERROR(__xludf.DUMMYFUNCTION("""COMPUTED_VALUE"""),364.9313017560691)</f>
        <v>364.9313018</v>
      </c>
      <c r="Z863" s="82">
        <f>IFERROR(__xludf.DUMMYFUNCTION("""COMPUTED_VALUE"""),0.8210087268670023)</f>
        <v>0.8210087269</v>
      </c>
      <c r="AA863" s="82">
        <f>IFERROR(__xludf.DUMMYFUNCTION("""COMPUTED_VALUE"""),0.6098199526615694)</f>
        <v>0.6098199527</v>
      </c>
      <c r="AB863" s="82">
        <f>IFERROR(__xludf.DUMMYFUNCTION("""COMPUTED_VALUE"""),1.3797989419255199)</f>
        <v>1.379798942</v>
      </c>
      <c r="AC863" s="82">
        <f>IFERROR(__xludf.DUMMYFUNCTION("""COMPUTED_VALUE"""),2.689296016611681)</f>
        <v>2.689296017</v>
      </c>
      <c r="AD863" s="82">
        <f>IFERROR(__xludf.DUMMYFUNCTION("""COMPUTED_VALUE"""),1.003177604467635)</f>
        <v>1.003177604</v>
      </c>
      <c r="AE863" s="82">
        <f>IFERROR(__xludf.DUMMYFUNCTION("""COMPUTED_VALUE"""),0.8858282542842452)</f>
        <v>0.8858282543</v>
      </c>
      <c r="AF863" s="82">
        <f>IFERROR(__xludf.DUMMYFUNCTION("""COMPUTED_VALUE"""),1.0435270830123162)</f>
        <v>1.043527083</v>
      </c>
      <c r="AG863" s="82">
        <f>IFERROR(__xludf.DUMMYFUNCTION("""COMPUTED_VALUE"""),1.0377005941315398)</f>
        <v>1.037700594</v>
      </c>
      <c r="AH863" s="82">
        <f>IFERROR(__xludf.DUMMYFUNCTION("""COMPUTED_VALUE"""),0.8620032171477204)</f>
        <v>0.8620032171</v>
      </c>
      <c r="AI863" s="82">
        <f>IFERROR(__xludf.DUMMYFUNCTION("""COMPUTED_VALUE"""),0.9451916239926822)</f>
        <v>0.945191624</v>
      </c>
      <c r="AJ863" s="82">
        <f>IFERROR(__xludf.DUMMYFUNCTION("""COMPUTED_VALUE"""),0.9188099709643244)</f>
        <v>0.918809971</v>
      </c>
      <c r="AK863" s="82">
        <f>IFERROR(__xludf.DUMMYFUNCTION("""COMPUTED_VALUE"""),0.8668012535662577)</f>
        <v>0.8668012536</v>
      </c>
      <c r="AL863" s="82">
        <f>IFERROR(__xludf.DUMMYFUNCTION("""COMPUTED_VALUE"""),0.8649184884548059)</f>
        <v>0.8649184885</v>
      </c>
      <c r="AM863" s="82">
        <f>IFERROR(__xludf.DUMMYFUNCTION("""COMPUTED_VALUE"""),1.0408551471590495)</f>
        <v>1.040855147</v>
      </c>
      <c r="AN863" s="82">
        <f>IFERROR(__xludf.DUMMYFUNCTION("""COMPUTED_VALUE"""),1.0442135940796309)</f>
        <v>1.044213594</v>
      </c>
      <c r="AO863" s="82">
        <f>IFERROR(__xludf.DUMMYFUNCTION("""COMPUTED_VALUE"""),1.0259297255281565)</f>
        <v>1.025929726</v>
      </c>
      <c r="AP863" s="82">
        <f>IFERROR(__xludf.DUMMYFUNCTION("""COMPUTED_VALUE"""),1.114709566957808)</f>
        <v>1.114709567</v>
      </c>
      <c r="AQ863" s="82">
        <f>IFERROR(__xludf.DUMMYFUNCTION("""COMPUTED_VALUE"""),1.0044755605729045)</f>
        <v>1.004475561</v>
      </c>
      <c r="AR863" s="82">
        <f>IFERROR(__xludf.DUMMYFUNCTION("""COMPUTED_VALUE"""),0.9247901104398977)</f>
        <v>0.9247901104</v>
      </c>
      <c r="AS863" s="82">
        <f>IFERROR(__xludf.DUMMYFUNCTION("""COMPUTED_VALUE"""),98.0)</f>
        <v>98</v>
      </c>
      <c r="AT863" s="82">
        <f>IFERROR(__xludf.DUMMYFUNCTION("""COMPUTED_VALUE"""),0.511878763415549)</f>
        <v>0.5118787634</v>
      </c>
      <c r="AU863" s="82">
        <f>IFERROR(__xludf.DUMMYFUNCTION("""COMPUTED_VALUE"""),2.512928799174404)</f>
        <v>2.512928799</v>
      </c>
      <c r="AV863" s="82">
        <f>IFERROR(__xludf.DUMMYFUNCTION("""COMPUTED_VALUE"""),53.42964940156686)</f>
        <v>53.4296494</v>
      </c>
      <c r="AW863" s="82">
        <f t="shared" si="1"/>
        <v>2.2449617</v>
      </c>
      <c r="AX863" s="83">
        <f t="array" ref="AX863">IFERROR(DGET('SBV Import'!A:G,"SBV",{"RSC ID","Tier";B863,A863}))</f>
        <v>55.29150013</v>
      </c>
      <c r="AY863" s="82">
        <f t="shared" si="2"/>
        <v>2.402770994</v>
      </c>
      <c r="AZ863" s="82">
        <v>0.15780929414525335</v>
      </c>
      <c r="BA863" s="84">
        <v>800.0</v>
      </c>
      <c r="BB863" s="84" t="b">
        <f>IFERROR(__xludf.DUMMYFUNCTION("iferror(if(A863="""",,E863&gt;=FILTER(Constants!$F$2:$F$10,Constants!$A$2:$A$10=A863)))"),TRUE)</f>
        <v>1</v>
      </c>
    </row>
    <row r="864">
      <c r="A864" s="80" t="str">
        <f>IFERROR(__xludf.DUMMYFUNCTION("""COMPUTED_VALUE"""),"Elite")</f>
        <v>Elite</v>
      </c>
      <c r="B864" s="73" t="str">
        <f>IFERROR(__xludf.DUMMYFUNCTION("""COMPUTED_VALUE"""),"RSC005193")</f>
        <v>RSC005193</v>
      </c>
      <c r="C864" s="73" t="str">
        <f>IFERROR(__xludf.DUMMYFUNCTION("""COMPUTED_VALUE"""),"RegularlyJones")</f>
        <v>RegularlyJones</v>
      </c>
      <c r="D864" s="73" t="str">
        <f>IFERROR(__xludf.DUMMYFUNCTION("""COMPUTED_VALUE"""),"Sloths")</f>
        <v>Sloths</v>
      </c>
      <c r="E864" s="82">
        <f>IFERROR(__xludf.DUMMYFUNCTION("""COMPUTED_VALUE"""),40.0)</f>
        <v>40</v>
      </c>
      <c r="F864" s="82">
        <f>IFERROR(__xludf.DUMMYFUNCTION("""COMPUTED_VALUE"""),21.0)</f>
        <v>21</v>
      </c>
      <c r="G864" s="82">
        <f>IFERROR(__xludf.DUMMYFUNCTION("""COMPUTED_VALUE"""),19.0)</f>
        <v>19</v>
      </c>
      <c r="H864" s="86">
        <f>IFERROR(__xludf.DUMMYFUNCTION("""COMPUTED_VALUE"""),0.525)</f>
        <v>0.525</v>
      </c>
      <c r="I864" s="86">
        <f>IFERROR(__xludf.DUMMYFUNCTION("""COMPUTED_VALUE"""),0.20535714285714285)</f>
        <v>0.2053571429</v>
      </c>
      <c r="J864" s="82">
        <f>IFERROR(__xludf.DUMMYFUNCTION("""COMPUTED_VALUE"""),340.25)</f>
        <v>340.25</v>
      </c>
      <c r="K864" s="82">
        <f>IFERROR(__xludf.DUMMYFUNCTION("""COMPUTED_VALUE"""),0.575)</f>
        <v>0.575</v>
      </c>
      <c r="L864" s="82">
        <f>IFERROR(__xludf.DUMMYFUNCTION("""COMPUTED_VALUE"""),0.7)</f>
        <v>0.7</v>
      </c>
      <c r="M864" s="82">
        <f>IFERROR(__xludf.DUMMYFUNCTION("""COMPUTED_VALUE"""),1.325)</f>
        <v>1.325</v>
      </c>
      <c r="N864" s="82">
        <f>IFERROR(__xludf.DUMMYFUNCTION("""COMPUTED_VALUE"""),2.8)</f>
        <v>2.8</v>
      </c>
      <c r="O864" s="82">
        <f>IFERROR(__xludf.DUMMYFUNCTION("""COMPUTED_VALUE"""),356.9333333333334)</f>
        <v>356.9333333</v>
      </c>
      <c r="P864" s="82">
        <f>IFERROR(__xludf.DUMMYFUNCTION("""COMPUTED_VALUE"""),0.6833333333333331)</f>
        <v>0.6833333333</v>
      </c>
      <c r="Q864" s="82">
        <f>IFERROR(__xludf.DUMMYFUNCTION("""COMPUTED_VALUE"""),0.5166666666666668)</f>
        <v>0.5166666667</v>
      </c>
      <c r="R864" s="82">
        <f>IFERROR(__xludf.DUMMYFUNCTION("""COMPUTED_VALUE"""),1.55)</f>
        <v>1.55</v>
      </c>
      <c r="S864" s="82">
        <f>IFERROR(__xludf.DUMMYFUNCTION("""COMPUTED_VALUE"""),2.6083333333333334)</f>
        <v>2.608333333</v>
      </c>
      <c r="T864" s="82">
        <f>IFERROR(__xludf.DUMMYFUNCTION("""COMPUTED_VALUE"""),362.58818921114045)</f>
        <v>362.5881892</v>
      </c>
      <c r="U864" s="82">
        <f>IFERROR(__xludf.DUMMYFUNCTION("""COMPUTED_VALUE"""),0.7589739878207198)</f>
        <v>0.7589739878</v>
      </c>
      <c r="V864" s="82">
        <f>IFERROR(__xludf.DUMMYFUNCTION("""COMPUTED_VALUE"""),0.5880909525520358)</f>
        <v>0.5880909526</v>
      </c>
      <c r="W864" s="82">
        <f>IFERROR(__xludf.DUMMYFUNCTION("""COMPUTED_VALUE"""),1.4597975622188781)</f>
        <v>1.459797562</v>
      </c>
      <c r="X864" s="82">
        <f>IFERROR(__xludf.DUMMYFUNCTION("""COMPUTED_VALUE"""),2.605903155849291)</f>
        <v>2.605903156</v>
      </c>
      <c r="Y864" s="82">
        <f>IFERROR(__xludf.DUMMYFUNCTION("""COMPUTED_VALUE"""),372.7584617722697)</f>
        <v>372.7584618</v>
      </c>
      <c r="Z864" s="82">
        <f>IFERROR(__xludf.DUMMYFUNCTION("""COMPUTED_VALUE"""),0.8230336628034607)</f>
        <v>0.8230336628</v>
      </c>
      <c r="AA864" s="82">
        <f>IFERROR(__xludf.DUMMYFUNCTION("""COMPUTED_VALUE"""),0.6107186434275003)</f>
        <v>0.6107186434</v>
      </c>
      <c r="AB864" s="82">
        <f>IFERROR(__xludf.DUMMYFUNCTION("""COMPUTED_VALUE"""),1.4747232557225503)</f>
        <v>1.474723256</v>
      </c>
      <c r="AC864" s="82">
        <f>IFERROR(__xludf.DUMMYFUNCTION("""COMPUTED_VALUE"""),2.7357912003032503)</f>
        <v>2.7357912</v>
      </c>
      <c r="AD864" s="82">
        <f>IFERROR(__xludf.DUMMYFUNCTION("""COMPUTED_VALUE"""),0.9127894733288974)</f>
        <v>0.9127894733</v>
      </c>
      <c r="AE864" s="82">
        <f>IFERROR(__xludf.DUMMYFUNCTION("""COMPUTED_VALUE"""),0.6986348505374672)</f>
        <v>0.6986348505</v>
      </c>
      <c r="AF864" s="82">
        <f>IFERROR(__xludf.DUMMYFUNCTION("""COMPUTED_VALUE"""),1.146190651838351)</f>
        <v>1.146190652</v>
      </c>
      <c r="AG864" s="82">
        <f>IFERROR(__xludf.DUMMYFUNCTION("""COMPUTED_VALUE"""),0.8984736592838278)</f>
        <v>0.8984736593</v>
      </c>
      <c r="AH864" s="82">
        <f>IFERROR(__xludf.DUMMYFUNCTION("""COMPUTED_VALUE"""),1.0234699196669805)</f>
        <v>1.02346992</v>
      </c>
      <c r="AI864" s="82">
        <f>IFERROR(__xludf.DUMMYFUNCTION("""COMPUTED_VALUE"""),0.9844041917357818)</f>
        <v>0.9844041917</v>
      </c>
      <c r="AJ864" s="82">
        <f>IFERROR(__xludf.DUMMYFUNCTION("""COMPUTED_VALUE"""),0.9003382781212601)</f>
        <v>0.9003382781</v>
      </c>
      <c r="AK864" s="82">
        <f>IFERROR(__xludf.DUMMYFUNCTION("""COMPUTED_VALUE"""),0.8785489122466151)</f>
        <v>0.8785489122</v>
      </c>
      <c r="AL864" s="82">
        <f>IFERROR(__xludf.DUMMYFUNCTION("""COMPUTED_VALUE"""),1.0617910593329223)</f>
        <v>1.061791059</v>
      </c>
      <c r="AM864" s="82">
        <f>IFERROR(__xludf.DUMMYFUNCTION("""COMPUTED_VALUE"""),1.0009325663076112)</f>
        <v>1.000932566</v>
      </c>
      <c r="AN864" s="82">
        <f>IFERROR(__xludf.DUMMYFUNCTION("""COMPUTED_VALUE"""),0.9705066871719737)</f>
        <v>0.9705066872</v>
      </c>
      <c r="AO864" s="82">
        <f>IFERROR(__xludf.DUMMYFUNCTION("""COMPUTED_VALUE"""),0.8111256892456987)</f>
        <v>0.8111256892</v>
      </c>
      <c r="AP864" s="82">
        <f>IFERROR(__xludf.DUMMYFUNCTION("""COMPUTED_VALUE"""),1.2261805236535888)</f>
        <v>1.226180524</v>
      </c>
      <c r="AQ864" s="82">
        <f>IFERROR(__xludf.DUMMYFUNCTION("""COMPUTED_VALUE"""),0.9295384949428623)</f>
        <v>0.9295384949</v>
      </c>
      <c r="AR864" s="82">
        <f>IFERROR(__xludf.DUMMYFUNCTION("""COMPUTED_VALUE"""),1.117001388296033)</f>
        <v>1.117001388</v>
      </c>
      <c r="AS864" s="82">
        <f>IFERROR(__xludf.DUMMYFUNCTION("""COMPUTED_VALUE"""),93.0)</f>
        <v>93</v>
      </c>
      <c r="AT864" s="82">
        <f>IFERROR(__xludf.DUMMYFUNCTION("""COMPUTED_VALUE"""),0.5479207076070163)</f>
        <v>0.5479207076</v>
      </c>
      <c r="AU864" s="82">
        <f>IFERROR(__xludf.DUMMYFUNCTION("""COMPUTED_VALUE"""),2.502006718117283)</f>
        <v>2.502006718</v>
      </c>
      <c r="AV864" s="82">
        <f>IFERROR(__xludf.DUMMYFUNCTION("""COMPUTED_VALUE"""),53.11548433584553)</f>
        <v>53.11548434</v>
      </c>
      <c r="AW864" s="82">
        <f t="shared" si="1"/>
        <v>2.220187321</v>
      </c>
      <c r="AX864" s="83">
        <f t="array" ref="AX864">IFERROR(DGET('SBV Import'!A:G,"SBV",{"RSC ID","Tier";B864,A864}))</f>
        <v>44.55919051</v>
      </c>
      <c r="AY864" s="82">
        <f t="shared" si="2"/>
        <v>-2.416289015</v>
      </c>
      <c r="AZ864" s="82">
        <v>4.636476336072477</v>
      </c>
      <c r="BA864" s="84">
        <v>800.0</v>
      </c>
      <c r="BB864" s="84" t="b">
        <f>IFERROR(__xludf.DUMMYFUNCTION("iferror(if(A864="""",,E864&gt;=FILTER(Constants!$F$2:$F$10,Constants!$A$2:$A$10=A864)))"),TRUE)</f>
        <v>1</v>
      </c>
    </row>
    <row r="865">
      <c r="A865" s="80" t="str">
        <f>IFERROR(__xludf.DUMMYFUNCTION("""COMPUTED_VALUE"""),"Elite")</f>
        <v>Elite</v>
      </c>
      <c r="B865" s="73" t="str">
        <f>IFERROR(__xludf.DUMMYFUNCTION("""COMPUTED_VALUE"""),"RSC001889")</f>
        <v>RSC001889</v>
      </c>
      <c r="C865" s="73" t="str">
        <f>IFERROR(__xludf.DUMMYFUNCTION("""COMPUTED_VALUE"""),"Phelpsy")</f>
        <v>Phelpsy</v>
      </c>
      <c r="D865" s="73" t="str">
        <f>IFERROR(__xludf.DUMMYFUNCTION("""COMPUTED_VALUE"""),"Forge Defenders")</f>
        <v>Forge Defenders</v>
      </c>
      <c r="E865" s="82">
        <f>IFERROR(__xludf.DUMMYFUNCTION("""COMPUTED_VALUE"""),27.0)</f>
        <v>27</v>
      </c>
      <c r="F865" s="82">
        <f>IFERROR(__xludf.DUMMYFUNCTION("""COMPUTED_VALUE"""),15.0)</f>
        <v>15</v>
      </c>
      <c r="G865" s="82">
        <f>IFERROR(__xludf.DUMMYFUNCTION("""COMPUTED_VALUE"""),12.0)</f>
        <v>12</v>
      </c>
      <c r="H865" s="86">
        <f>IFERROR(__xludf.DUMMYFUNCTION("""COMPUTED_VALUE"""),0.5555555555555556)</f>
        <v>0.5555555556</v>
      </c>
      <c r="I865" s="86">
        <f>IFERROR(__xludf.DUMMYFUNCTION("""COMPUTED_VALUE"""),0.3392857142857143)</f>
        <v>0.3392857143</v>
      </c>
      <c r="J865" s="82">
        <f>IFERROR(__xludf.DUMMYFUNCTION("""COMPUTED_VALUE"""),329.1111111111111)</f>
        <v>329.1111111</v>
      </c>
      <c r="K865" s="82">
        <f>IFERROR(__xludf.DUMMYFUNCTION("""COMPUTED_VALUE"""),0.7037037037037037)</f>
        <v>0.7037037037</v>
      </c>
      <c r="L865" s="82">
        <f>IFERROR(__xludf.DUMMYFUNCTION("""COMPUTED_VALUE"""),0.6666666666666666)</f>
        <v>0.6666666667</v>
      </c>
      <c r="M865" s="82">
        <f>IFERROR(__xludf.DUMMYFUNCTION("""COMPUTED_VALUE"""),1.3333333333333333)</f>
        <v>1.333333333</v>
      </c>
      <c r="N865" s="82">
        <f>IFERROR(__xludf.DUMMYFUNCTION("""COMPUTED_VALUE"""),2.074074074074074)</f>
        <v>2.074074074</v>
      </c>
      <c r="O865" s="82">
        <f>IFERROR(__xludf.DUMMYFUNCTION("""COMPUTED_VALUE"""),343.0246913580247)</f>
        <v>343.0246914</v>
      </c>
      <c r="P865" s="82">
        <f>IFERROR(__xludf.DUMMYFUNCTION("""COMPUTED_VALUE"""),0.6790123456790123)</f>
        <v>0.6790123457</v>
      </c>
      <c r="Q865" s="82">
        <f>IFERROR(__xludf.DUMMYFUNCTION("""COMPUTED_VALUE"""),0.5925925925925926)</f>
        <v>0.5925925926</v>
      </c>
      <c r="R865" s="82">
        <f>IFERROR(__xludf.DUMMYFUNCTION("""COMPUTED_VALUE"""),1.3333333333333337)</f>
        <v>1.333333333</v>
      </c>
      <c r="S865" s="82">
        <f>IFERROR(__xludf.DUMMYFUNCTION("""COMPUTED_VALUE"""),2.753086419753086)</f>
        <v>2.75308642</v>
      </c>
      <c r="T865" s="82">
        <f>IFERROR(__xludf.DUMMYFUNCTION("""COMPUTED_VALUE"""),370.6676787324195)</f>
        <v>370.6676787</v>
      </c>
      <c r="U865" s="82">
        <f>IFERROR(__xludf.DUMMYFUNCTION("""COMPUTED_VALUE"""),0.8469221468875564)</f>
        <v>0.8469221469</v>
      </c>
      <c r="V865" s="82">
        <f>IFERROR(__xludf.DUMMYFUNCTION("""COMPUTED_VALUE"""),0.5859554997927016)</f>
        <v>0.5859554998</v>
      </c>
      <c r="W865" s="82">
        <f>IFERROR(__xludf.DUMMYFUNCTION("""COMPUTED_VALUE"""),1.4416009995454868)</f>
        <v>1.441601</v>
      </c>
      <c r="X865" s="82">
        <f>IFERROR(__xludf.DUMMYFUNCTION("""COMPUTED_VALUE"""),2.799686015209232)</f>
        <v>2.799686015</v>
      </c>
      <c r="Y865" s="82">
        <f>IFERROR(__xludf.DUMMYFUNCTION("""COMPUTED_VALUE"""),354.2351719725069)</f>
        <v>354.235172</v>
      </c>
      <c r="Z865" s="82">
        <f>IFERROR(__xludf.DUMMYFUNCTION("""COMPUTED_VALUE"""),0.72257223631975)</f>
        <v>0.7225722363</v>
      </c>
      <c r="AA865" s="82">
        <f>IFERROR(__xludf.DUMMYFUNCTION("""COMPUTED_VALUE"""),0.5390350117204774)</f>
        <v>0.5390350117</v>
      </c>
      <c r="AB865" s="82">
        <f>IFERROR(__xludf.DUMMYFUNCTION("""COMPUTED_VALUE"""),1.4639162739996916)</f>
        <v>1.463916274</v>
      </c>
      <c r="AC865" s="82">
        <f>IFERROR(__xludf.DUMMYFUNCTION("""COMPUTED_VALUE"""),2.5915362152929187)</f>
        <v>2.591536215</v>
      </c>
      <c r="AD865" s="82">
        <f>IFERROR(__xludf.DUMMYFUNCTION("""COMPUTED_VALUE"""),0.9290751939693166)</f>
        <v>0.929075194</v>
      </c>
      <c r="AE865" s="82">
        <f>IFERROR(__xludf.DUMMYFUNCTION("""COMPUTED_VALUE"""),0.9738869947285151)</f>
        <v>0.9738869947</v>
      </c>
      <c r="AF865" s="82">
        <f>IFERROR(__xludf.DUMMYFUNCTION("""COMPUTED_VALUE"""),1.2367780425594581)</f>
        <v>1.236778043</v>
      </c>
      <c r="AG865" s="82">
        <f>IFERROR(__xludf.DUMMYFUNCTION("""COMPUTED_VALUE"""),0.9107989008759487)</f>
        <v>0.9107989009</v>
      </c>
      <c r="AH865" s="82">
        <f>IFERROR(__xludf.DUMMYFUNCTION("""COMPUTED_VALUE"""),0.8003261007254122)</f>
        <v>0.8003261007</v>
      </c>
      <c r="AI865" s="82">
        <f>IFERROR(__xludf.DUMMYFUNCTION("""COMPUTED_VALUE"""),0.9254237988353176)</f>
        <v>0.9254237988</v>
      </c>
      <c r="AJ865" s="82">
        <f>IFERROR(__xludf.DUMMYFUNCTION("""COMPUTED_VALUE"""),0.8017411614212551)</f>
        <v>0.8017411614</v>
      </c>
      <c r="AK865" s="82">
        <f>IFERROR(__xludf.DUMMYFUNCTION("""COMPUTED_VALUE"""),1.011326957085033)</f>
        <v>1.011326957</v>
      </c>
      <c r="AL865" s="82">
        <f>IFERROR(__xludf.DUMMYFUNCTION("""COMPUTED_VALUE"""),0.9248976199057242)</f>
        <v>0.9248976199</v>
      </c>
      <c r="AM865" s="82">
        <f>IFERROR(__xludf.DUMMYFUNCTION("""COMPUTED_VALUE"""),0.9833554208568409)</f>
        <v>0.9833554209</v>
      </c>
      <c r="AN865" s="82">
        <f>IFERROR(__xludf.DUMMYFUNCTION("""COMPUTED_VALUE"""),0.9387348542422683)</f>
        <v>0.9387348542</v>
      </c>
      <c r="AO865" s="82">
        <f>IFERROR(__xludf.DUMMYFUNCTION("""COMPUTED_VALUE"""),0.9926820029415959)</f>
        <v>0.9926820029</v>
      </c>
      <c r="AP865" s="82">
        <f>IFERROR(__xludf.DUMMYFUNCTION("""COMPUTED_VALUE"""),1.1677909749081798)</f>
        <v>1.167790975</v>
      </c>
      <c r="AQ865" s="82">
        <f>IFERROR(__xludf.DUMMYFUNCTION("""COMPUTED_VALUE"""),0.9353846489991068)</f>
        <v>0.935384649</v>
      </c>
      <c r="AR865" s="82">
        <f>IFERROR(__xludf.DUMMYFUNCTION("""COMPUTED_VALUE"""),0.8274084357748394)</f>
        <v>0.8274084358</v>
      </c>
      <c r="AS865" s="82">
        <f>IFERROR(__xludf.DUMMYFUNCTION("""COMPUTED_VALUE"""),60.0)</f>
        <v>60</v>
      </c>
      <c r="AT865" s="82">
        <f>IFERROR(__xludf.DUMMYFUNCTION("""COMPUTED_VALUE"""),0.5329235056550655)</f>
        <v>0.5329235057</v>
      </c>
      <c r="AU865" s="82">
        <f>IFERROR(__xludf.DUMMYFUNCTION("""COMPUTED_VALUE"""),2.4628689407684456)</f>
        <v>2.462868941</v>
      </c>
      <c r="AV865" s="82">
        <f>IFERROR(__xludf.DUMMYFUNCTION("""COMPUTED_VALUE"""),51.98971697258577)</f>
        <v>51.98971697</v>
      </c>
      <c r="AW865" s="82">
        <f t="shared" si="1"/>
        <v>2.135464471</v>
      </c>
      <c r="AX865" s="83">
        <f t="array" ref="AX865">IFERROR(DGET('SBV Import'!A:G,"SBV",{"RSC ID","Tier";B865,A865}))</f>
        <v>37.21680073</v>
      </c>
      <c r="AY865" s="82">
        <f t="shared" si="2"/>
        <v>-3.283417603</v>
      </c>
      <c r="AZ865" s="82">
        <v>5.418882073919619</v>
      </c>
      <c r="BA865" s="84">
        <v>800.0</v>
      </c>
      <c r="BB865" s="84" t="b">
        <f>IFERROR(__xludf.DUMMYFUNCTION("iferror(if(A865="""",,E865&gt;=FILTER(Constants!$F$2:$F$10,Constants!$A$2:$A$10=A865)))"),TRUE)</f>
        <v>1</v>
      </c>
    </row>
    <row r="866">
      <c r="A866" s="80" t="str">
        <f>IFERROR(__xludf.DUMMYFUNCTION("""COMPUTED_VALUE"""),"Elite")</f>
        <v>Elite</v>
      </c>
      <c r="B866" s="73" t="str">
        <f>IFERROR(__xludf.DUMMYFUNCTION("""COMPUTED_VALUE"""),"RSC003399")</f>
        <v>RSC003399</v>
      </c>
      <c r="C866" s="73" t="str">
        <f>IFERROR(__xludf.DUMMYFUNCTION("""COMPUTED_VALUE"""),"josan")</f>
        <v>josan</v>
      </c>
      <c r="D866" s="73"/>
      <c r="E866" s="82">
        <f>IFERROR(__xludf.DUMMYFUNCTION("""COMPUTED_VALUE"""),3.0)</f>
        <v>3</v>
      </c>
      <c r="F866" s="82">
        <f>IFERROR(__xludf.DUMMYFUNCTION("""COMPUTED_VALUE"""),2.0)</f>
        <v>2</v>
      </c>
      <c r="G866" s="82">
        <f>IFERROR(__xludf.DUMMYFUNCTION("""COMPUTED_VALUE"""),1.0)</f>
        <v>1</v>
      </c>
      <c r="H866" s="86">
        <f>IFERROR(__xludf.DUMMYFUNCTION("""COMPUTED_VALUE"""),0.6666666666666666)</f>
        <v>0.6666666667</v>
      </c>
      <c r="I866" s="86">
        <f>IFERROR(__xludf.DUMMYFUNCTION("""COMPUTED_VALUE"""),0.125)</f>
        <v>0.125</v>
      </c>
      <c r="J866" s="82">
        <f>IFERROR(__xludf.DUMMYFUNCTION("""COMPUTED_VALUE"""),273.6666666666667)</f>
        <v>273.6666667</v>
      </c>
      <c r="K866" s="82">
        <f>IFERROR(__xludf.DUMMYFUNCTION("""COMPUTED_VALUE"""),0.3333333333333333)</f>
        <v>0.3333333333</v>
      </c>
      <c r="L866" s="82">
        <f>IFERROR(__xludf.DUMMYFUNCTION("""COMPUTED_VALUE"""),1.3333333333333333)</f>
        <v>1.333333333</v>
      </c>
      <c r="M866" s="82">
        <f>IFERROR(__xludf.DUMMYFUNCTION("""COMPUTED_VALUE"""),0.0)</f>
        <v>0</v>
      </c>
      <c r="N866" s="82">
        <f>IFERROR(__xludf.DUMMYFUNCTION("""COMPUTED_VALUE"""),2.6666666666666665)</f>
        <v>2.666666667</v>
      </c>
      <c r="O866" s="82">
        <f>IFERROR(__xludf.DUMMYFUNCTION("""COMPUTED_VALUE"""),422.3333333333333)</f>
        <v>422.3333333</v>
      </c>
      <c r="P866" s="82">
        <f>IFERROR(__xludf.DUMMYFUNCTION("""COMPUTED_VALUE"""),1.111111111111111)</f>
        <v>1.111111111</v>
      </c>
      <c r="Q866" s="82">
        <f>IFERROR(__xludf.DUMMYFUNCTION("""COMPUTED_VALUE"""),1.0)</f>
        <v>1</v>
      </c>
      <c r="R866" s="82">
        <f>IFERROR(__xludf.DUMMYFUNCTION("""COMPUTED_VALUE"""),1.6666666666666667)</f>
        <v>1.666666667</v>
      </c>
      <c r="S866" s="82">
        <f>IFERROR(__xludf.DUMMYFUNCTION("""COMPUTED_VALUE"""),2.111111111111111)</f>
        <v>2.111111111</v>
      </c>
      <c r="T866" s="82">
        <f>IFERROR(__xludf.DUMMYFUNCTION("""COMPUTED_VALUE"""),355.87222222222226)</f>
        <v>355.8722222</v>
      </c>
      <c r="U866" s="82">
        <f>IFERROR(__xludf.DUMMYFUNCTION("""COMPUTED_VALUE"""),0.8513888888888889)</f>
        <v>0.8513888889</v>
      </c>
      <c r="V866" s="82">
        <f>IFERROR(__xludf.DUMMYFUNCTION("""COMPUTED_VALUE"""),0.6069444444444444)</f>
        <v>0.6069444444</v>
      </c>
      <c r="W866" s="82">
        <f>IFERROR(__xludf.DUMMYFUNCTION("""COMPUTED_VALUE"""),1.2666666666666666)</f>
        <v>1.266666667</v>
      </c>
      <c r="X866" s="82">
        <f>IFERROR(__xludf.DUMMYFUNCTION("""COMPUTED_VALUE"""),2.806944444444445)</f>
        <v>2.806944444</v>
      </c>
      <c r="Y866" s="82">
        <f>IFERROR(__xludf.DUMMYFUNCTION("""COMPUTED_VALUE"""),371.3569444444445)</f>
        <v>371.3569444</v>
      </c>
      <c r="Z866" s="82">
        <f>IFERROR(__xludf.DUMMYFUNCTION("""COMPUTED_VALUE"""),0.7375000000000002)</f>
        <v>0.7375</v>
      </c>
      <c r="AA866" s="82">
        <f>IFERROR(__xludf.DUMMYFUNCTION("""COMPUTED_VALUE"""),0.5449074074074074)</f>
        <v>0.5449074074</v>
      </c>
      <c r="AB866" s="82">
        <f>IFERROR(__xludf.DUMMYFUNCTION("""COMPUTED_VALUE"""),1.661574074074074)</f>
        <v>1.661574074</v>
      </c>
      <c r="AC866" s="82">
        <f>IFERROR(__xludf.DUMMYFUNCTION("""COMPUTED_VALUE"""),2.6370370370370373)</f>
        <v>2.637037037</v>
      </c>
      <c r="AD866" s="82">
        <f>IFERROR(__xludf.DUMMYFUNCTION("""COMPUTED_VALUE"""),0.7369369841085808)</f>
        <v>0.7369369841</v>
      </c>
      <c r="AE866" s="82">
        <f>IFERROR(__xludf.DUMMYFUNCTION("""COMPUTED_VALUE"""),0.4519774011299434)</f>
        <v>0.4519774011</v>
      </c>
      <c r="AF866" s="82">
        <f>IFERROR(__xludf.DUMMYFUNCTION("""COMPUTED_VALUE"""),2.4468988954970263)</f>
        <v>2.446898895</v>
      </c>
      <c r="AG866" s="82">
        <f>IFERROR(__xludf.DUMMYFUNCTION("""COMPUTED_VALUE"""),0.0)</f>
        <v>0</v>
      </c>
      <c r="AH866" s="82">
        <f>IFERROR(__xludf.DUMMYFUNCTION("""COMPUTED_VALUE"""),1.0112359550561796)</f>
        <v>1.011235955</v>
      </c>
      <c r="AI866" s="82">
        <f>IFERROR(__xludf.DUMMYFUNCTION("""COMPUTED_VALUE"""),1.1867555458419843)</f>
        <v>1.186755546</v>
      </c>
      <c r="AJ866" s="82">
        <f>IFERROR(__xludf.DUMMYFUNCTION("""COMPUTED_VALUE"""),1.3050570962479606)</f>
        <v>1.305057096</v>
      </c>
      <c r="AK866" s="82">
        <f>IFERROR(__xludf.DUMMYFUNCTION("""COMPUTED_VALUE"""),1.6475972540045767)</f>
        <v>1.647597254</v>
      </c>
      <c r="AL866" s="82">
        <f>IFERROR(__xludf.DUMMYFUNCTION("""COMPUTED_VALUE"""),1.3157894736842106)</f>
        <v>1.315789474</v>
      </c>
      <c r="AM866" s="82">
        <f>IFERROR(__xludf.DUMMYFUNCTION("""COMPUTED_VALUE"""),0.7521029193468579)</f>
        <v>0.7521029193</v>
      </c>
      <c r="AN866" s="82">
        <f>IFERROR(__xludf.DUMMYFUNCTION("""COMPUTED_VALUE"""),0.7805887731258295)</f>
        <v>0.7805887731</v>
      </c>
      <c r="AO866" s="82">
        <f>IFERROR(__xludf.DUMMYFUNCTION("""COMPUTED_VALUE"""),0.4702177908670717)</f>
        <v>0.4702177909</v>
      </c>
      <c r="AP866" s="82">
        <f>IFERROR(__xludf.DUMMYFUNCTION("""COMPUTED_VALUE"""),2.3355819498163597)</f>
        <v>2.33558195</v>
      </c>
      <c r="AQ866" s="82">
        <f>IFERROR(__xludf.DUMMYFUNCTION("""COMPUTED_VALUE"""),0.0)</f>
        <v>0</v>
      </c>
      <c r="AR866" s="82">
        <f>IFERROR(__xludf.DUMMYFUNCTION("""COMPUTED_VALUE"""),1.0638108459962219)</f>
        <v>1.063810846</v>
      </c>
      <c r="AS866" s="82">
        <f>IFERROR(__xludf.DUMMYFUNCTION("""COMPUTED_VALUE"""),12.0)</f>
        <v>12</v>
      </c>
      <c r="AT866" s="82">
        <f>IFERROR(__xludf.DUMMYFUNCTION("""COMPUTED_VALUE"""),0.5800510352544836)</f>
        <v>0.5800510353</v>
      </c>
      <c r="AU866" s="82">
        <f>IFERROR(__xludf.DUMMYFUNCTION("""COMPUTED_VALUE"""),2.4608391731805)</f>
        <v>2.460839173</v>
      </c>
      <c r="AV866" s="82">
        <f>IFERROR(__xludf.DUMMYFUNCTION("""COMPUTED_VALUE"""),51.93133230538444)</f>
        <v>51.93133231</v>
      </c>
      <c r="AW866" s="82">
        <f t="shared" si="1"/>
        <v>2.131237225</v>
      </c>
      <c r="AX866" s="83">
        <f t="array" ref="AX866">IFERROR(DGET('SBV Import'!A:G,"SBV",{"RSC ID","Tier";B866,A866}))</f>
        <v>43.18175785</v>
      </c>
      <c r="AY866" s="82">
        <f t="shared" si="2"/>
        <v>-2.547572694</v>
      </c>
      <c r="AZ866" s="82">
        <v>4.678809918831261</v>
      </c>
      <c r="BA866" s="84">
        <v>800.0</v>
      </c>
      <c r="BB866" s="84" t="b">
        <f>IFERROR(__xludf.DUMMYFUNCTION("iferror(if(A866="""",,E866&gt;=FILTER(Constants!$F$2:$F$10,Constants!$A$2:$A$10=A866)))"),TRUE)</f>
        <v>1</v>
      </c>
    </row>
    <row r="867">
      <c r="A867" s="80" t="str">
        <f>IFERROR(__xludf.DUMMYFUNCTION("""COMPUTED_VALUE"""),"Elite")</f>
        <v>Elite</v>
      </c>
      <c r="B867" s="73" t="str">
        <f>IFERROR(__xludf.DUMMYFUNCTION("""COMPUTED_VALUE"""),"RSC005464")</f>
        <v>RSC005464</v>
      </c>
      <c r="C867" s="73" t="str">
        <f>IFERROR(__xludf.DUMMYFUNCTION("""COMPUTED_VALUE"""),"taz.rm")</f>
        <v>taz.rm</v>
      </c>
      <c r="D867" s="73" t="str">
        <f>IFERROR(__xludf.DUMMYFUNCTION("""COMPUTED_VALUE"""),"Sloths")</f>
        <v>Sloths</v>
      </c>
      <c r="E867" s="82">
        <f>IFERROR(__xludf.DUMMYFUNCTION("""COMPUTED_VALUE"""),48.0)</f>
        <v>48</v>
      </c>
      <c r="F867" s="82">
        <f>IFERROR(__xludf.DUMMYFUNCTION("""COMPUTED_VALUE"""),23.0)</f>
        <v>23</v>
      </c>
      <c r="G867" s="82">
        <f>IFERROR(__xludf.DUMMYFUNCTION("""COMPUTED_VALUE"""),25.0)</f>
        <v>25</v>
      </c>
      <c r="H867" s="86">
        <f>IFERROR(__xludf.DUMMYFUNCTION("""COMPUTED_VALUE"""),0.4791666666666667)</f>
        <v>0.4791666667</v>
      </c>
      <c r="I867" s="86">
        <f>IFERROR(__xludf.DUMMYFUNCTION("""COMPUTED_VALUE"""),0.2519083969465649)</f>
        <v>0.2519083969</v>
      </c>
      <c r="J867" s="82">
        <f>IFERROR(__xludf.DUMMYFUNCTION("""COMPUTED_VALUE"""),336.5416666666667)</f>
        <v>336.5416667</v>
      </c>
      <c r="K867" s="82">
        <f>IFERROR(__xludf.DUMMYFUNCTION("""COMPUTED_VALUE"""),0.6875)</f>
        <v>0.6875</v>
      </c>
      <c r="L867" s="82">
        <f>IFERROR(__xludf.DUMMYFUNCTION("""COMPUTED_VALUE"""),0.5)</f>
        <v>0.5</v>
      </c>
      <c r="M867" s="82">
        <f>IFERROR(__xludf.DUMMYFUNCTION("""COMPUTED_VALUE"""),1.375)</f>
        <v>1.375</v>
      </c>
      <c r="N867" s="82">
        <f>IFERROR(__xludf.DUMMYFUNCTION("""COMPUTED_VALUE"""),2.7291666666666665)</f>
        <v>2.729166667</v>
      </c>
      <c r="O867" s="82">
        <f>IFERROR(__xludf.DUMMYFUNCTION("""COMPUTED_VALUE"""),354.3194444444445)</f>
        <v>354.3194444</v>
      </c>
      <c r="P867" s="82">
        <f>IFERROR(__xludf.DUMMYFUNCTION("""COMPUTED_VALUE"""),0.7083333333333331)</f>
        <v>0.7083333333</v>
      </c>
      <c r="Q867" s="82">
        <f>IFERROR(__xludf.DUMMYFUNCTION("""COMPUTED_VALUE"""),0.5347222222222222)</f>
        <v>0.5347222222</v>
      </c>
      <c r="R867" s="82">
        <f>IFERROR(__xludf.DUMMYFUNCTION("""COMPUTED_VALUE"""),1.4652777777777777)</f>
        <v>1.465277778</v>
      </c>
      <c r="S867" s="82">
        <f>IFERROR(__xludf.DUMMYFUNCTION("""COMPUTED_VALUE"""),2.673611111111111)</f>
        <v>2.673611111</v>
      </c>
      <c r="T867" s="82">
        <f>IFERROR(__xludf.DUMMYFUNCTION("""COMPUTED_VALUE"""),363.23077200391594)</f>
        <v>363.230772</v>
      </c>
      <c r="U867" s="82">
        <f>IFERROR(__xludf.DUMMYFUNCTION("""COMPUTED_VALUE"""),0.7746166878774022)</f>
        <v>0.7746166879</v>
      </c>
      <c r="V867" s="82">
        <f>IFERROR(__xludf.DUMMYFUNCTION("""COMPUTED_VALUE"""),0.601334526419628)</f>
        <v>0.6013345264</v>
      </c>
      <c r="W867" s="82">
        <f>IFERROR(__xludf.DUMMYFUNCTION("""COMPUTED_VALUE"""),1.43489538020329)</f>
        <v>1.43489538</v>
      </c>
      <c r="X867" s="82">
        <f>IFERROR(__xludf.DUMMYFUNCTION("""COMPUTED_VALUE"""),2.6422969932430953)</f>
        <v>2.642296993</v>
      </c>
      <c r="Y867" s="82">
        <f>IFERROR(__xludf.DUMMYFUNCTION("""COMPUTED_VALUE"""),365.20386466708527)</f>
        <v>365.2038647</v>
      </c>
      <c r="Z867" s="82">
        <f>IFERROR(__xludf.DUMMYFUNCTION("""COMPUTED_VALUE"""),0.7816582281951159)</f>
        <v>0.7816582282</v>
      </c>
      <c r="AA867" s="82">
        <f>IFERROR(__xludf.DUMMYFUNCTION("""COMPUTED_VALUE"""),0.5855246266475067)</f>
        <v>0.5855246266</v>
      </c>
      <c r="AB867" s="82">
        <f>IFERROR(__xludf.DUMMYFUNCTION("""COMPUTED_VALUE"""),1.4746636218705822)</f>
        <v>1.474663622</v>
      </c>
      <c r="AC867" s="82">
        <f>IFERROR(__xludf.DUMMYFUNCTION("""COMPUTED_VALUE"""),2.6653824508141066)</f>
        <v>2.665382451</v>
      </c>
      <c r="AD867" s="82">
        <f>IFERROR(__xludf.DUMMYFUNCTION("""COMPUTED_VALUE"""),0.9215172653593174)</f>
        <v>0.9215172654</v>
      </c>
      <c r="AE867" s="82">
        <f>IFERROR(__xludf.DUMMYFUNCTION("""COMPUTED_VALUE"""),0.8795404119105463)</f>
        <v>0.8795404119</v>
      </c>
      <c r="AF867" s="82">
        <f>IFERROR(__xludf.DUMMYFUNCTION("""COMPUTED_VALUE"""),0.8539350477243144)</f>
        <v>0.8539350477</v>
      </c>
      <c r="AG867" s="82">
        <f>IFERROR(__xludf.DUMMYFUNCTION("""COMPUTED_VALUE"""),0.9324160300746005)</f>
        <v>0.9324160301</v>
      </c>
      <c r="AH867" s="82">
        <f>IFERROR(__xludf.DUMMYFUNCTION("""COMPUTED_VALUE"""),1.0239306054682988)</f>
        <v>1.023930605</v>
      </c>
      <c r="AI867" s="82">
        <f>IFERROR(__xludf.DUMMYFUNCTION("""COMPUTED_VALUE"""),0.9754664850934619)</f>
        <v>0.9754664851</v>
      </c>
      <c r="AJ867" s="82">
        <f>IFERROR(__xludf.DUMMYFUNCTION("""COMPUTED_VALUE"""),0.9144307686867705)</f>
        <v>0.9144307687</v>
      </c>
      <c r="AK867" s="82">
        <f>IFERROR(__xludf.DUMMYFUNCTION("""COMPUTED_VALUE"""),0.8892258779917089)</f>
        <v>0.889225878</v>
      </c>
      <c r="AL867" s="82">
        <f>IFERROR(__xludf.DUMMYFUNCTION("""COMPUTED_VALUE"""),1.0211739461940308)</f>
        <v>1.021173946</v>
      </c>
      <c r="AM867" s="82">
        <f>IFERROR(__xludf.DUMMYFUNCTION("""COMPUTED_VALUE"""),1.0118510969615047)</f>
        <v>1.011851097</v>
      </c>
      <c r="AN867" s="82">
        <f>IFERROR(__xludf.DUMMYFUNCTION("""COMPUTED_VALUE"""),0.9599292814459995)</f>
        <v>0.9599292814</v>
      </c>
      <c r="AO867" s="82">
        <f>IFERROR(__xludf.DUMMYFUNCTION("""COMPUTED_VALUE"""),0.9698241936633355)</f>
        <v>0.9698241937</v>
      </c>
      <c r="AP867" s="82">
        <f>IFERROR(__xludf.DUMMYFUNCTION("""COMPUTED_VALUE"""),0.8758432311811349)</f>
        <v>0.8758432312</v>
      </c>
      <c r="AQ867" s="82">
        <f>IFERROR(__xludf.DUMMYFUNCTION("""COMPUTED_VALUE"""),0.9646154192803289)</f>
        <v>0.9646154193</v>
      </c>
      <c r="AR867" s="82">
        <f>IFERROR(__xludf.DUMMYFUNCTION("""COMPUTED_VALUE"""),1.0887439126992584)</f>
        <v>1.088743913</v>
      </c>
      <c r="AS867" s="82">
        <f>IFERROR(__xludf.DUMMYFUNCTION("""COMPUTED_VALUE"""),106.0)</f>
        <v>106</v>
      </c>
      <c r="AT867" s="82">
        <f>IFERROR(__xludf.DUMMYFUNCTION("""COMPUTED_VALUE"""),0.514644141701759)</f>
        <v>0.5146441417</v>
      </c>
      <c r="AU867" s="82">
        <f>IFERROR(__xludf.DUMMYFUNCTION("""COMPUTED_VALUE"""),2.4280085841294987)</f>
        <v>2.428008584</v>
      </c>
      <c r="AV867" s="82">
        <f>IFERROR(__xludf.DUMMYFUNCTION("""COMPUTED_VALUE"""),50.98698624963407)</f>
        <v>50.98698625</v>
      </c>
      <c r="AW867" s="82">
        <f t="shared" si="1"/>
        <v>2.065031695</v>
      </c>
      <c r="AX867" s="83">
        <f t="array" ref="AX867">IFERROR(DGET('SBV Import'!A:G,"SBV",{"RSC ID","Tier";B867,A867}))</f>
        <v>40.54791504</v>
      </c>
      <c r="AY867" s="82">
        <f t="shared" si="2"/>
        <v>-2.835396819</v>
      </c>
      <c r="AZ867" s="82">
        <v>4.900428513958531</v>
      </c>
      <c r="BA867" s="84">
        <v>800.0</v>
      </c>
      <c r="BB867" s="84" t="b">
        <f>IFERROR(__xludf.DUMMYFUNCTION("iferror(if(A867="""",,E867&gt;=FILTER(Constants!$F$2:$F$10,Constants!$A$2:$A$10=A867)))"),TRUE)</f>
        <v>1</v>
      </c>
    </row>
    <row r="868">
      <c r="A868" s="80" t="str">
        <f>IFERROR(__xludf.DUMMYFUNCTION("""COMPUTED_VALUE"""),"Elite")</f>
        <v>Elite</v>
      </c>
      <c r="B868" s="73" t="str">
        <f>IFERROR(__xludf.DUMMYFUNCTION("""COMPUTED_VALUE"""),"RSC005872")</f>
        <v>RSC005872</v>
      </c>
      <c r="C868" s="73" t="str">
        <f>IFERROR(__xludf.DUMMYFUNCTION("""COMPUTED_VALUE"""),"Ditto")</f>
        <v>Ditto</v>
      </c>
      <c r="D868" s="73" t="str">
        <f>IFERROR(__xludf.DUMMYFUNCTION("""COMPUTED_VALUE"""),"Pixel Picassos")</f>
        <v>Pixel Picassos</v>
      </c>
      <c r="E868" s="82">
        <f>IFERROR(__xludf.DUMMYFUNCTION("""COMPUTED_VALUE"""),40.0)</f>
        <v>40</v>
      </c>
      <c r="F868" s="82">
        <f>IFERROR(__xludf.DUMMYFUNCTION("""COMPUTED_VALUE"""),10.0)</f>
        <v>10</v>
      </c>
      <c r="G868" s="82">
        <f>IFERROR(__xludf.DUMMYFUNCTION("""COMPUTED_VALUE"""),30.0)</f>
        <v>30</v>
      </c>
      <c r="H868" s="86">
        <f>IFERROR(__xludf.DUMMYFUNCTION("""COMPUTED_VALUE"""),0.25)</f>
        <v>0.25</v>
      </c>
      <c r="I868" s="86">
        <f>IFERROR(__xludf.DUMMYFUNCTION("""COMPUTED_VALUE"""),0.2830188679245283)</f>
        <v>0.2830188679</v>
      </c>
      <c r="J868" s="82">
        <f>IFERROR(__xludf.DUMMYFUNCTION("""COMPUTED_VALUE"""),366.25)</f>
        <v>366.25</v>
      </c>
      <c r="K868" s="82">
        <f>IFERROR(__xludf.DUMMYFUNCTION("""COMPUTED_VALUE"""),0.75)</f>
        <v>0.75</v>
      </c>
      <c r="L868" s="82">
        <f>IFERROR(__xludf.DUMMYFUNCTION("""COMPUTED_VALUE"""),0.45)</f>
        <v>0.45</v>
      </c>
      <c r="M868" s="82">
        <f>IFERROR(__xludf.DUMMYFUNCTION("""COMPUTED_VALUE"""),1.65)</f>
        <v>1.65</v>
      </c>
      <c r="N868" s="82">
        <f>IFERROR(__xludf.DUMMYFUNCTION("""COMPUTED_VALUE"""),2.65)</f>
        <v>2.65</v>
      </c>
      <c r="O868" s="82">
        <f>IFERROR(__xludf.DUMMYFUNCTION("""COMPUTED_VALUE"""),387.4666666666666)</f>
        <v>387.4666667</v>
      </c>
      <c r="P868" s="82">
        <f>IFERROR(__xludf.DUMMYFUNCTION("""COMPUTED_VALUE"""),0.9666666666666665)</f>
        <v>0.9666666667</v>
      </c>
      <c r="Q868" s="82">
        <f>IFERROR(__xludf.DUMMYFUNCTION("""COMPUTED_VALUE"""),0.7166666666666665)</f>
        <v>0.7166666667</v>
      </c>
      <c r="R868" s="82">
        <f>IFERROR(__xludf.DUMMYFUNCTION("""COMPUTED_VALUE"""),1.2666666666666662)</f>
        <v>1.266666667</v>
      </c>
      <c r="S868" s="82">
        <f>IFERROR(__xludf.DUMMYFUNCTION("""COMPUTED_VALUE"""),3.1666666666666665)</f>
        <v>3.166666667</v>
      </c>
      <c r="T868" s="82">
        <f>IFERROR(__xludf.DUMMYFUNCTION("""COMPUTED_VALUE"""),368.3277018497583)</f>
        <v>368.3277018</v>
      </c>
      <c r="U868" s="82">
        <f>IFERROR(__xludf.DUMMYFUNCTION("""COMPUTED_VALUE"""),0.8554566159418723)</f>
        <v>0.8554566159</v>
      </c>
      <c r="V868" s="82">
        <f>IFERROR(__xludf.DUMMYFUNCTION("""COMPUTED_VALUE"""),0.6436323297545832)</f>
        <v>0.6436323298</v>
      </c>
      <c r="W868" s="82">
        <f>IFERROR(__xludf.DUMMYFUNCTION("""COMPUTED_VALUE"""),1.325842344997133)</f>
        <v>1.325842345</v>
      </c>
      <c r="X868" s="82">
        <f>IFERROR(__xludf.DUMMYFUNCTION("""COMPUTED_VALUE"""),2.825474915340746)</f>
        <v>2.825474915</v>
      </c>
      <c r="Y868" s="82">
        <f>IFERROR(__xludf.DUMMYFUNCTION("""COMPUTED_VALUE"""),353.79182317037055)</f>
        <v>353.7918232</v>
      </c>
      <c r="Z868" s="82">
        <f>IFERROR(__xludf.DUMMYFUNCTION("""COMPUTED_VALUE"""),0.7031505302784837)</f>
        <v>0.7031505303</v>
      </c>
      <c r="AA868" s="82">
        <f>IFERROR(__xludf.DUMMYFUNCTION("""COMPUTED_VALUE"""),0.5207266694859587)</f>
        <v>0.5207266695</v>
      </c>
      <c r="AB868" s="82">
        <f>IFERROR(__xludf.DUMMYFUNCTION("""COMPUTED_VALUE"""),1.5154245284588517)</f>
        <v>1.515424528</v>
      </c>
      <c r="AC868" s="82">
        <f>IFERROR(__xludf.DUMMYFUNCTION("""COMPUTED_VALUE"""),2.4847400714824017)</f>
        <v>2.484740071</v>
      </c>
      <c r="AD868" s="82">
        <f>IFERROR(__xludf.DUMMYFUNCTION("""COMPUTED_VALUE"""),1.0352132978031834)</f>
        <v>1.035213298</v>
      </c>
      <c r="AE868" s="82">
        <f>IFERROR(__xludf.DUMMYFUNCTION("""COMPUTED_VALUE"""),1.0666279376948795)</f>
        <v>1.066627938</v>
      </c>
      <c r="AF868" s="82">
        <f>IFERROR(__xludf.DUMMYFUNCTION("""COMPUTED_VALUE"""),0.8641769787674264)</f>
        <v>0.8641769788</v>
      </c>
      <c r="AG868" s="82">
        <f>IFERROR(__xludf.DUMMYFUNCTION("""COMPUTED_VALUE"""),1.0888038097667643)</f>
        <v>1.08880381</v>
      </c>
      <c r="AH868" s="82">
        <f>IFERROR(__xludf.DUMMYFUNCTION("""COMPUTED_VALUE"""),1.0665099462170318)</f>
        <v>1.066509946</v>
      </c>
      <c r="AI868" s="82">
        <f>IFERROR(__xludf.DUMMYFUNCTION("""COMPUTED_VALUE"""),1.0519617849018457)</f>
        <v>1.051961785</v>
      </c>
      <c r="AJ868" s="82">
        <f>IFERROR(__xludf.DUMMYFUNCTION("""COMPUTED_VALUE"""),1.1300008073493593)</f>
        <v>1.130000807</v>
      </c>
      <c r="AK868" s="82">
        <f>IFERROR(__xludf.DUMMYFUNCTION("""COMPUTED_VALUE"""),1.1134721385731683)</f>
        <v>1.113472139</v>
      </c>
      <c r="AL868" s="82">
        <f>IFERROR(__xludf.DUMMYFUNCTION("""COMPUTED_VALUE"""),0.9553674850152755)</f>
        <v>0.955367485</v>
      </c>
      <c r="AM868" s="82">
        <f>IFERROR(__xludf.DUMMYFUNCTION("""COMPUTED_VALUE"""),1.1207555407671257)</f>
        <v>1.120755541</v>
      </c>
      <c r="AN868" s="82">
        <f>IFERROR(__xludf.DUMMYFUNCTION("""COMPUTED_VALUE"""),1.0446673745091415)</f>
        <v>1.044667375</v>
      </c>
      <c r="AO868" s="82">
        <f>IFERROR(__xludf.DUMMYFUNCTION("""COMPUTED_VALUE"""),1.0579900294509115)</f>
        <v>1.057990029</v>
      </c>
      <c r="AP868" s="82">
        <f>IFERROR(__xludf.DUMMYFUNCTION("""COMPUTED_VALUE"""),0.7882589080630215)</f>
        <v>0.7882589081</v>
      </c>
      <c r="AQ868" s="82">
        <f>IFERROR(__xludf.DUMMYFUNCTION("""COMPUTED_VALUE"""),1.1575385031363945)</f>
        <v>1.157538503</v>
      </c>
      <c r="AR868" s="82">
        <f>IFERROR(__xludf.DUMMYFUNCTION("""COMPUTED_VALUE"""),1.0571620282087455)</f>
        <v>1.057162028</v>
      </c>
      <c r="AS868" s="82">
        <f>IFERROR(__xludf.DUMMYFUNCTION("""COMPUTED_VALUE"""),70.0)</f>
        <v>70</v>
      </c>
      <c r="AT868" s="82">
        <f>IFERROR(__xludf.DUMMYFUNCTION("""COMPUTED_VALUE"""),0.3132190216530544)</f>
        <v>0.3132190217</v>
      </c>
      <c r="AU868" s="82">
        <f>IFERROR(__xludf.DUMMYFUNCTION("""COMPUTED_VALUE"""),2.4216307786762483)</f>
        <v>2.421630779</v>
      </c>
      <c r="AV868" s="82">
        <f>IFERROR(__xludf.DUMMYFUNCTION("""COMPUTED_VALUE"""),50.803533695226236)</f>
        <v>50.8035337</v>
      </c>
      <c r="AW868" s="82">
        <f t="shared" si="1"/>
        <v>2.05263083</v>
      </c>
      <c r="AX868" s="83">
        <f t="array" ref="AX868">IFERROR(DGET('SBV Import'!A:G,"SBV",{"RSC ID","Tier";B868,A868}))</f>
        <v>42.67105104</v>
      </c>
      <c r="AY868" s="82">
        <f t="shared" si="2"/>
        <v>-2.599423337</v>
      </c>
      <c r="AZ868" s="82">
        <v>4.6520541674589495</v>
      </c>
      <c r="BA868" s="84">
        <v>800.0</v>
      </c>
      <c r="BB868" s="84" t="b">
        <f>IFERROR(__xludf.DUMMYFUNCTION("iferror(if(A868="""",,E868&gt;=FILTER(Constants!$F$2:$F$10,Constants!$A$2:$A$10=A868)))"),TRUE)</f>
        <v>1</v>
      </c>
    </row>
    <row r="869">
      <c r="A869" s="80" t="str">
        <f>IFERROR(__xludf.DUMMYFUNCTION("""COMPUTED_VALUE"""),"Elite")</f>
        <v>Elite</v>
      </c>
      <c r="B869" s="73" t="str">
        <f>IFERROR(__xludf.DUMMYFUNCTION("""COMPUTED_VALUE"""),"RSC007884")</f>
        <v>RSC007884</v>
      </c>
      <c r="C869" s="73" t="str">
        <f>IFERROR(__xludf.DUMMYFUNCTION("""COMPUTED_VALUE"""),"Luis.")</f>
        <v>Luis.</v>
      </c>
      <c r="D869" s="73" t="str">
        <f>IFERROR(__xludf.DUMMYFUNCTION("""COMPUTED_VALUE"""),"Fire")</f>
        <v>Fire</v>
      </c>
      <c r="E869" s="82">
        <f>IFERROR(__xludf.DUMMYFUNCTION("""COMPUTED_VALUE"""),40.0)</f>
        <v>40</v>
      </c>
      <c r="F869" s="82">
        <f>IFERROR(__xludf.DUMMYFUNCTION("""COMPUTED_VALUE"""),18.0)</f>
        <v>18</v>
      </c>
      <c r="G869" s="82">
        <f>IFERROR(__xludf.DUMMYFUNCTION("""COMPUTED_VALUE"""),22.0)</f>
        <v>22</v>
      </c>
      <c r="H869" s="86">
        <f>IFERROR(__xludf.DUMMYFUNCTION("""COMPUTED_VALUE"""),0.45)</f>
        <v>0.45</v>
      </c>
      <c r="I869" s="86">
        <f>IFERROR(__xludf.DUMMYFUNCTION("""COMPUTED_VALUE"""),0.27522935779816515)</f>
        <v>0.2752293578</v>
      </c>
      <c r="J869" s="82">
        <f>IFERROR(__xludf.DUMMYFUNCTION("""COMPUTED_VALUE"""),348.3)</f>
        <v>348.3</v>
      </c>
      <c r="K869" s="82">
        <f>IFERROR(__xludf.DUMMYFUNCTION("""COMPUTED_VALUE"""),0.75)</f>
        <v>0.75</v>
      </c>
      <c r="L869" s="82">
        <f>IFERROR(__xludf.DUMMYFUNCTION("""COMPUTED_VALUE"""),0.475)</f>
        <v>0.475</v>
      </c>
      <c r="M869" s="82">
        <f>IFERROR(__xludf.DUMMYFUNCTION("""COMPUTED_VALUE"""),1.175)</f>
        <v>1.175</v>
      </c>
      <c r="N869" s="82">
        <f>IFERROR(__xludf.DUMMYFUNCTION("""COMPUTED_VALUE"""),2.725)</f>
        <v>2.725</v>
      </c>
      <c r="O869" s="82">
        <f>IFERROR(__xludf.DUMMYFUNCTION("""COMPUTED_VALUE"""),364.9666666666667)</f>
        <v>364.9666667</v>
      </c>
      <c r="P869" s="82">
        <f>IFERROR(__xludf.DUMMYFUNCTION("""COMPUTED_VALUE"""),0.8666666666666665)</f>
        <v>0.8666666667</v>
      </c>
      <c r="Q869" s="82">
        <f>IFERROR(__xludf.DUMMYFUNCTION("""COMPUTED_VALUE"""),0.6833333333333333)</f>
        <v>0.6833333333</v>
      </c>
      <c r="R869" s="82">
        <f>IFERROR(__xludf.DUMMYFUNCTION("""COMPUTED_VALUE"""),1.2999999999999998)</f>
        <v>1.3</v>
      </c>
      <c r="S869" s="82">
        <f>IFERROR(__xludf.DUMMYFUNCTION("""COMPUTED_VALUE"""),2.7750000000000004)</f>
        <v>2.775</v>
      </c>
      <c r="T869" s="82">
        <f>IFERROR(__xludf.DUMMYFUNCTION("""COMPUTED_VALUE"""),366.54669168055057)</f>
        <v>366.5466917</v>
      </c>
      <c r="U869" s="82">
        <f>IFERROR(__xludf.DUMMYFUNCTION("""COMPUTED_VALUE"""),0.7889010549850042)</f>
        <v>0.788901055</v>
      </c>
      <c r="V869" s="82">
        <f>IFERROR(__xludf.DUMMYFUNCTION("""COMPUTED_VALUE"""),0.6061209695888472)</f>
        <v>0.6061209696</v>
      </c>
      <c r="W869" s="82">
        <f>IFERROR(__xludf.DUMMYFUNCTION("""COMPUTED_VALUE"""),1.4703844208780634)</f>
        <v>1.470384421</v>
      </c>
      <c r="X869" s="82">
        <f>IFERROR(__xludf.DUMMYFUNCTION("""COMPUTED_VALUE"""),2.710420438024174)</f>
        <v>2.710420438</v>
      </c>
      <c r="Y869" s="82">
        <f>IFERROR(__xludf.DUMMYFUNCTION("""COMPUTED_VALUE"""),360.38599901223995)</f>
        <v>360.385999</v>
      </c>
      <c r="Z869" s="82">
        <f>IFERROR(__xludf.DUMMYFUNCTION("""COMPUTED_VALUE"""),0.7633428898058418)</f>
        <v>0.7633428898</v>
      </c>
      <c r="AA869" s="82">
        <f>IFERROR(__xludf.DUMMYFUNCTION("""COMPUTED_VALUE"""),0.5621330827416959)</f>
        <v>0.5621330827</v>
      </c>
      <c r="AB869" s="82">
        <f>IFERROR(__xludf.DUMMYFUNCTION("""COMPUTED_VALUE"""),1.4468702635345099)</f>
        <v>1.446870264</v>
      </c>
      <c r="AC869" s="82">
        <f>IFERROR(__xludf.DUMMYFUNCTION("""COMPUTED_VALUE"""),2.6701028302557543)</f>
        <v>2.67010283</v>
      </c>
      <c r="AD869" s="82">
        <f>IFERROR(__xludf.DUMMYFUNCTION("""COMPUTED_VALUE"""),0.9664637387540977)</f>
        <v>0.9664637388</v>
      </c>
      <c r="AE869" s="82">
        <f>IFERROR(__xludf.DUMMYFUNCTION("""COMPUTED_VALUE"""),0.9825204505288108)</f>
        <v>0.9825204505</v>
      </c>
      <c r="AF869" s="82">
        <f>IFERROR(__xludf.DUMMYFUNCTION("""COMPUTED_VALUE"""),0.8449956328549084)</f>
        <v>0.8449956329</v>
      </c>
      <c r="AG869" s="82">
        <f>IFERROR(__xludf.DUMMYFUNCTION("""COMPUTED_VALUE"""),0.8120976908666522)</f>
        <v>0.8120976909</v>
      </c>
      <c r="AH869" s="82">
        <f>IFERROR(__xludf.DUMMYFUNCTION("""COMPUTED_VALUE"""),1.0205599459025283)</f>
        <v>1.020559946</v>
      </c>
      <c r="AI869" s="82">
        <f>IFERROR(__xludf.DUMMYFUNCTION("""COMPUTED_VALUE"""),0.9956894304334334)</f>
        <v>0.9956894304</v>
      </c>
      <c r="AJ869" s="82">
        <f>IFERROR(__xludf.DUMMYFUNCTION("""COMPUTED_VALUE"""),1.098574607284738)</f>
        <v>1.098574607</v>
      </c>
      <c r="AK869" s="82">
        <f>IFERROR(__xludf.DUMMYFUNCTION("""COMPUTED_VALUE"""),1.127387712384975)</f>
        <v>1.127387712</v>
      </c>
      <c r="AL869" s="82">
        <f>IFERROR(__xludf.DUMMYFUNCTION("""COMPUTED_VALUE"""),0.8841225339042181)</f>
        <v>0.8841225339</v>
      </c>
      <c r="AM869" s="82">
        <f>IFERROR(__xludf.DUMMYFUNCTION("""COMPUTED_VALUE"""),1.023826400166501)</f>
        <v>1.0238264</v>
      </c>
      <c r="AN869" s="82">
        <f>IFERROR(__xludf.DUMMYFUNCTION("""COMPUTED_VALUE"""),0.9934679769052123)</f>
        <v>0.9934679769</v>
      </c>
      <c r="AO869" s="82">
        <f>IFERROR(__xludf.DUMMYFUNCTION("""COMPUTED_VALUE"""),1.0579900294509115)</f>
        <v>1.057990029</v>
      </c>
      <c r="AP869" s="82">
        <f>IFERROR(__xludf.DUMMYFUNCTION("""COMPUTED_VALUE"""),0.8320510696220781)</f>
        <v>0.8320510696</v>
      </c>
      <c r="AQ869" s="82">
        <f>IFERROR(__xludf.DUMMYFUNCTION("""COMPUTED_VALUE"""),0.8243077219304629)</f>
        <v>0.8243077219</v>
      </c>
      <c r="AR869" s="82">
        <f>IFERROR(__xludf.DUMMYFUNCTION("""COMPUTED_VALUE"""),1.0870817082523894)</f>
        <v>1.087081708</v>
      </c>
      <c r="AS869" s="82">
        <f>IFERROR(__xludf.DUMMYFUNCTION("""COMPUTED_VALUE"""),82.0)</f>
        <v>82</v>
      </c>
      <c r="AT869" s="82">
        <f>IFERROR(__xludf.DUMMYFUNCTION("""COMPUTED_VALUE"""),0.40867789289319756)</f>
        <v>0.4086778929</v>
      </c>
      <c r="AU869" s="82">
        <f>IFERROR(__xludf.DUMMYFUNCTION("""COMPUTED_VALUE"""),2.3894955153317388)</f>
        <v>2.389495515</v>
      </c>
      <c r="AV869" s="82">
        <f>IFERROR(__xludf.DUMMYFUNCTION("""COMPUTED_VALUE"""),49.879188136188475)</f>
        <v>49.87918814</v>
      </c>
      <c r="AW869" s="82">
        <f t="shared" si="1"/>
        <v>-2.007741332</v>
      </c>
      <c r="AX869" s="83">
        <f t="array" ref="AX869">IFERROR(DGET('SBV Import'!A:G,"SBV",{"RSC ID","Tier";B869,A869}))</f>
        <v>45.17184482</v>
      </c>
      <c r="AY869" s="82">
        <f t="shared" si="2"/>
        <v>-2.361665088</v>
      </c>
      <c r="AZ869" s="82">
        <v>0.3539237553626253</v>
      </c>
      <c r="BA869" s="84">
        <v>800.0</v>
      </c>
      <c r="BB869" s="84" t="b">
        <f>IFERROR(__xludf.DUMMYFUNCTION("iferror(if(A869="""",,E869&gt;=FILTER(Constants!$F$2:$F$10,Constants!$A$2:$A$10=A869)))"),TRUE)</f>
        <v>1</v>
      </c>
    </row>
    <row r="870">
      <c r="A870" s="80" t="str">
        <f>IFERROR(__xludf.DUMMYFUNCTION("""COMPUTED_VALUE"""),"Elite")</f>
        <v>Elite</v>
      </c>
      <c r="B870" s="73" t="str">
        <f>IFERROR(__xludf.DUMMYFUNCTION("""COMPUTED_VALUE"""),"RSC005508")</f>
        <v>RSC005508</v>
      </c>
      <c r="C870" s="73" t="str">
        <f>IFERROR(__xludf.DUMMYFUNCTION("""COMPUTED_VALUE"""),"Lil Windex")</f>
        <v>Lil Windex</v>
      </c>
      <c r="D870" s="73" t="str">
        <f>IFERROR(__xludf.DUMMYFUNCTION("""COMPUTED_VALUE"""),"Cyclones")</f>
        <v>Cyclones</v>
      </c>
      <c r="E870" s="82">
        <f>IFERROR(__xludf.DUMMYFUNCTION("""COMPUTED_VALUE"""),40.0)</f>
        <v>40</v>
      </c>
      <c r="F870" s="82">
        <f>IFERROR(__xludf.DUMMYFUNCTION("""COMPUTED_VALUE"""),24.0)</f>
        <v>24</v>
      </c>
      <c r="G870" s="82">
        <f>IFERROR(__xludf.DUMMYFUNCTION("""COMPUTED_VALUE"""),16.0)</f>
        <v>16</v>
      </c>
      <c r="H870" s="86">
        <f>IFERROR(__xludf.DUMMYFUNCTION("""COMPUTED_VALUE"""),0.6)</f>
        <v>0.6</v>
      </c>
      <c r="I870" s="86">
        <f>IFERROR(__xludf.DUMMYFUNCTION("""COMPUTED_VALUE"""),0.19811320754716982)</f>
        <v>0.1981132075</v>
      </c>
      <c r="J870" s="82">
        <f>IFERROR(__xludf.DUMMYFUNCTION("""COMPUTED_VALUE"""),382.225)</f>
        <v>382.225</v>
      </c>
      <c r="K870" s="82">
        <f>IFERROR(__xludf.DUMMYFUNCTION("""COMPUTED_VALUE"""),0.525)</f>
        <v>0.525</v>
      </c>
      <c r="L870" s="82">
        <f>IFERROR(__xludf.DUMMYFUNCTION("""COMPUTED_VALUE"""),0.7)</f>
        <v>0.7</v>
      </c>
      <c r="M870" s="82">
        <f>IFERROR(__xludf.DUMMYFUNCTION("""COMPUTED_VALUE"""),1.875)</f>
        <v>1.875</v>
      </c>
      <c r="N870" s="82">
        <f>IFERROR(__xludf.DUMMYFUNCTION("""COMPUTED_VALUE"""),2.65)</f>
        <v>2.65</v>
      </c>
      <c r="O870" s="82">
        <f>IFERROR(__xludf.DUMMYFUNCTION("""COMPUTED_VALUE"""),357.26666666666665)</f>
        <v>357.2666667</v>
      </c>
      <c r="P870" s="82">
        <f>IFERROR(__xludf.DUMMYFUNCTION("""COMPUTED_VALUE"""),0.65)</f>
        <v>0.65</v>
      </c>
      <c r="Q870" s="82">
        <f>IFERROR(__xludf.DUMMYFUNCTION("""COMPUTED_VALUE"""),0.4583333333333333)</f>
        <v>0.4583333333</v>
      </c>
      <c r="R870" s="82">
        <f>IFERROR(__xludf.DUMMYFUNCTION("""COMPUTED_VALUE"""),1.6666666666666665)</f>
        <v>1.666666667</v>
      </c>
      <c r="S870" s="82">
        <f>IFERROR(__xludf.DUMMYFUNCTION("""COMPUTED_VALUE"""),2.658333333333334)</f>
        <v>2.658333333</v>
      </c>
      <c r="T870" s="82">
        <f>IFERROR(__xludf.DUMMYFUNCTION("""COMPUTED_VALUE"""),354.8408684120364)</f>
        <v>354.8408684</v>
      </c>
      <c r="U870" s="82">
        <f>IFERROR(__xludf.DUMMYFUNCTION("""COMPUTED_VALUE"""),0.7205479293599046)</f>
        <v>0.7205479294</v>
      </c>
      <c r="V870" s="82">
        <f>IFERROR(__xludf.DUMMYFUNCTION("""COMPUTED_VALUE"""),0.49171061665100896)</f>
        <v>0.4917106167</v>
      </c>
      <c r="W870" s="82">
        <f>IFERROR(__xludf.DUMMYFUNCTION("""COMPUTED_VALUE"""),1.5485624232126565)</f>
        <v>1.548562423</v>
      </c>
      <c r="X870" s="82">
        <f>IFERROR(__xludf.DUMMYFUNCTION("""COMPUTED_VALUE"""),2.547279221105584)</f>
        <v>2.547279221</v>
      </c>
      <c r="Y870" s="82">
        <f>IFERROR(__xludf.DUMMYFUNCTION("""COMPUTED_VALUE"""),371.18848835871074)</f>
        <v>371.1884884</v>
      </c>
      <c r="Z870" s="82">
        <f>IFERROR(__xludf.DUMMYFUNCTION("""COMPUTED_VALUE"""),0.8391021005542543)</f>
        <v>0.8391021006</v>
      </c>
      <c r="AA870" s="82">
        <f>IFERROR(__xludf.DUMMYFUNCTION("""COMPUTED_VALUE"""),0.6412812760083865)</f>
        <v>0.641281276</v>
      </c>
      <c r="AB870" s="82">
        <f>IFERROR(__xludf.DUMMYFUNCTION("""COMPUTED_VALUE"""),1.3945824787199022)</f>
        <v>1.394582479</v>
      </c>
      <c r="AC870" s="82">
        <f>IFERROR(__xludf.DUMMYFUNCTION("""COMPUTED_VALUE"""),2.822240017094197)</f>
        <v>2.822240017</v>
      </c>
      <c r="AD870" s="82">
        <f>IFERROR(__xludf.DUMMYFUNCTION("""COMPUTED_VALUE"""),1.029732903868031)</f>
        <v>1.029732904</v>
      </c>
      <c r="AE870" s="82">
        <f>IFERROR(__xludf.DUMMYFUNCTION("""COMPUTED_VALUE"""),0.625668794838221)</f>
        <v>0.6256687948</v>
      </c>
      <c r="AF870" s="82">
        <f>IFERROR(__xludf.DUMMYFUNCTION("""COMPUTED_VALUE"""),1.091564694290007)</f>
        <v>1.091564694</v>
      </c>
      <c r="AG870" s="82">
        <f>IFERROR(__xludf.DUMMYFUNCTION("""COMPUTED_VALUE"""),1.3444884247513829)</f>
        <v>1.344488425</v>
      </c>
      <c r="AH870" s="82">
        <f>IFERROR(__xludf.DUMMYFUNCTION("""COMPUTED_VALUE"""),0.9389704574908774)</f>
        <v>0.9389704575</v>
      </c>
      <c r="AI870" s="82">
        <f>IFERROR(__xludf.DUMMYFUNCTION("""COMPUTED_VALUE"""),1.006836298945739)</f>
        <v>1.006836299</v>
      </c>
      <c r="AJ870" s="82">
        <f>IFERROR(__xludf.DUMMYFUNCTION("""COMPUTED_VALUE"""),0.9020912745907471)</f>
        <v>0.9020912746</v>
      </c>
      <c r="AK870" s="82">
        <f>IFERROR(__xludf.DUMMYFUNCTION("""COMPUTED_VALUE"""),0.9321200678053182)</f>
        <v>0.9321200678</v>
      </c>
      <c r="AL870" s="82">
        <f>IFERROR(__xludf.DUMMYFUNCTION("""COMPUTED_VALUE"""),1.076267021389419)</f>
        <v>1.076267021</v>
      </c>
      <c r="AM870" s="82">
        <f>IFERROR(__xludf.DUMMYFUNCTION("""COMPUTED_VALUE"""),1.0435971491886742)</f>
        <v>1.043597149</v>
      </c>
      <c r="AN870" s="82">
        <f>IFERROR(__xludf.DUMMYFUNCTION("""COMPUTED_VALUE"""),1.0902334122095745)</f>
        <v>1.090233412</v>
      </c>
      <c r="AO870" s="82">
        <f>IFERROR(__xludf.DUMMYFUNCTION("""COMPUTED_VALUE"""),0.740593020615638)</f>
        <v>0.7405930206</v>
      </c>
      <c r="AP870" s="82">
        <f>IFERROR(__xludf.DUMMYFUNCTION("""COMPUTED_VALUE"""),1.2261805236535888)</f>
        <v>1.226180524</v>
      </c>
      <c r="AQ870" s="82">
        <f>IFERROR(__xludf.DUMMYFUNCTION("""COMPUTED_VALUE"""),1.3153846626549939)</f>
        <v>1.315384663</v>
      </c>
      <c r="AR870" s="82">
        <f>IFERROR(__xludf.DUMMYFUNCTION("""COMPUTED_VALUE"""),1.0571620282087455)</f>
        <v>1.057162028</v>
      </c>
      <c r="AS870" s="82">
        <f>IFERROR(__xludf.DUMMYFUNCTION("""COMPUTED_VALUE"""),96.0)</f>
        <v>96</v>
      </c>
      <c r="AT870" s="82">
        <f>IFERROR(__xludf.DUMMYFUNCTION("""COMPUTED_VALUE"""),0.5785034580193539)</f>
        <v>0.578503458</v>
      </c>
      <c r="AU870" s="82">
        <f>IFERROR(__xludf.DUMMYFUNCTION("""COMPUTED_VALUE"""),2.3843368536971767)</f>
        <v>2.384336854</v>
      </c>
      <c r="AV870" s="82">
        <f>IFERROR(__xludf.DUMMYFUNCTION("""COMPUTED_VALUE"""),49.7308032942357)</f>
        <v>49.73080329</v>
      </c>
      <c r="AW870" s="82">
        <f t="shared" si="1"/>
        <v>-2.017331601</v>
      </c>
      <c r="AX870" s="83">
        <f t="array" ref="AX870">IFERROR(DGET('SBV Import'!A:G,"SBV",{"RSC ID","Tier";B870,A870}))</f>
        <v>52.39032139</v>
      </c>
      <c r="AY870" s="82">
        <f t="shared" si="2"/>
        <v>2.164905027</v>
      </c>
      <c r="AZ870" s="82">
        <v>4.1822366284243575</v>
      </c>
      <c r="BA870" s="84">
        <v>800.0</v>
      </c>
      <c r="BB870" s="84" t="b">
        <f>IFERROR(__xludf.DUMMYFUNCTION("iferror(if(A870="""",,E870&gt;=FILTER(Constants!$F$2:$F$10,Constants!$A$2:$A$10=A870)))"),TRUE)</f>
        <v>1</v>
      </c>
    </row>
    <row r="871">
      <c r="A871" s="80" t="str">
        <f>IFERROR(__xludf.DUMMYFUNCTION("""COMPUTED_VALUE"""),"Elite")</f>
        <v>Elite</v>
      </c>
      <c r="B871" s="73" t="str">
        <f>IFERROR(__xludf.DUMMYFUNCTION("""COMPUTED_VALUE"""),"RSC006193")</f>
        <v>RSC006193</v>
      </c>
      <c r="C871" s="73" t="str">
        <f>IFERROR(__xludf.DUMMYFUNCTION("""COMPUTED_VALUE"""),"Saucy Rexy")</f>
        <v>Saucy Rexy</v>
      </c>
      <c r="D871" s="73" t="str">
        <f>IFERROR(__xludf.DUMMYFUNCTION("""COMPUTED_VALUE"""),"Keno")</f>
        <v>Keno</v>
      </c>
      <c r="E871" s="82">
        <f>IFERROR(__xludf.DUMMYFUNCTION("""COMPUTED_VALUE"""),30.0)</f>
        <v>30</v>
      </c>
      <c r="F871" s="82">
        <f>IFERROR(__xludf.DUMMYFUNCTION("""COMPUTED_VALUE"""),13.0)</f>
        <v>13</v>
      </c>
      <c r="G871" s="82">
        <f>IFERROR(__xludf.DUMMYFUNCTION("""COMPUTED_VALUE"""),17.0)</f>
        <v>17</v>
      </c>
      <c r="H871" s="86">
        <f>IFERROR(__xludf.DUMMYFUNCTION("""COMPUTED_VALUE"""),0.43333333333333335)</f>
        <v>0.4333333333</v>
      </c>
      <c r="I871" s="86">
        <f>IFERROR(__xludf.DUMMYFUNCTION("""COMPUTED_VALUE"""),0.4642857142857143)</f>
        <v>0.4642857143</v>
      </c>
      <c r="J871" s="82">
        <f>IFERROR(__xludf.DUMMYFUNCTION("""COMPUTED_VALUE"""),354.03333333333336)</f>
        <v>354.0333333</v>
      </c>
      <c r="K871" s="82">
        <f>IFERROR(__xludf.DUMMYFUNCTION("""COMPUTED_VALUE"""),0.8666666666666667)</f>
        <v>0.8666666667</v>
      </c>
      <c r="L871" s="82">
        <f>IFERROR(__xludf.DUMMYFUNCTION("""COMPUTED_VALUE"""),0.4)</f>
        <v>0.4</v>
      </c>
      <c r="M871" s="82">
        <f>IFERROR(__xludf.DUMMYFUNCTION("""COMPUTED_VALUE"""),1.6333333333333333)</f>
        <v>1.633333333</v>
      </c>
      <c r="N871" s="82">
        <f>IFERROR(__xludf.DUMMYFUNCTION("""COMPUTED_VALUE"""),1.8666666666666667)</f>
        <v>1.866666667</v>
      </c>
      <c r="O871" s="82">
        <f>IFERROR(__xludf.DUMMYFUNCTION("""COMPUTED_VALUE"""),341.23333333333335)</f>
        <v>341.2333333</v>
      </c>
      <c r="P871" s="82">
        <f>IFERROR(__xludf.DUMMYFUNCTION("""COMPUTED_VALUE"""),0.6999999999999998)</f>
        <v>0.7</v>
      </c>
      <c r="Q871" s="82">
        <f>IFERROR(__xludf.DUMMYFUNCTION("""COMPUTED_VALUE"""),0.5111111111111112)</f>
        <v>0.5111111111</v>
      </c>
      <c r="R871" s="82">
        <f>IFERROR(__xludf.DUMMYFUNCTION("""COMPUTED_VALUE"""),1.1777777777777783)</f>
        <v>1.177777778</v>
      </c>
      <c r="S871" s="82">
        <f>IFERROR(__xludf.DUMMYFUNCTION("""COMPUTED_VALUE"""),2.9333333333333327)</f>
        <v>2.933333333</v>
      </c>
      <c r="T871" s="82">
        <f>IFERROR(__xludf.DUMMYFUNCTION("""COMPUTED_VALUE"""),366.4183095117142)</f>
        <v>366.4183095</v>
      </c>
      <c r="U871" s="82">
        <f>IFERROR(__xludf.DUMMYFUNCTION("""COMPUTED_VALUE"""),0.8099368054704053)</f>
        <v>0.8099368055</v>
      </c>
      <c r="V871" s="82">
        <f>IFERROR(__xludf.DUMMYFUNCTION("""COMPUTED_VALUE"""),0.6048455669244274)</f>
        <v>0.6048455669</v>
      </c>
      <c r="W871" s="82">
        <f>IFERROR(__xludf.DUMMYFUNCTION("""COMPUTED_VALUE"""),1.3810617616963483)</f>
        <v>1.381061762</v>
      </c>
      <c r="X871" s="82">
        <f>IFERROR(__xludf.DUMMYFUNCTION("""COMPUTED_VALUE"""),2.806567863718776)</f>
        <v>2.806567864</v>
      </c>
      <c r="Y871" s="82">
        <f>IFERROR(__xludf.DUMMYFUNCTION("""COMPUTED_VALUE"""),353.16946727393463)</f>
        <v>353.1694673</v>
      </c>
      <c r="Z871" s="82">
        <f>IFERROR(__xludf.DUMMYFUNCTION("""COMPUTED_VALUE"""),0.7189501926971958)</f>
        <v>0.7189501927</v>
      </c>
      <c r="AA871" s="82">
        <f>IFERROR(__xludf.DUMMYFUNCTION("""COMPUTED_VALUE"""),0.5397282695527036)</f>
        <v>0.5397282696</v>
      </c>
      <c r="AB871" s="82">
        <f>IFERROR(__xludf.DUMMYFUNCTION("""COMPUTED_VALUE"""),1.4654179487508814)</f>
        <v>1.465417949</v>
      </c>
      <c r="AC871" s="82">
        <f>IFERROR(__xludf.DUMMYFUNCTION("""COMPUTED_VALUE"""),2.532499939516741)</f>
        <v>2.53249994</v>
      </c>
      <c r="AD871" s="82">
        <f>IFERROR(__xludf.DUMMYFUNCTION("""COMPUTED_VALUE"""),1.0024460383454628)</f>
        <v>1.002446038</v>
      </c>
      <c r="AE871" s="82">
        <f>IFERROR(__xludf.DUMMYFUNCTION("""COMPUTED_VALUE"""),1.2054613455423127)</f>
        <v>1.205461346</v>
      </c>
      <c r="AF871" s="82">
        <f>IFERROR(__xludf.DUMMYFUNCTION("""COMPUTED_VALUE"""),0.7411136724994922)</f>
        <v>0.7411136725</v>
      </c>
      <c r="AG871" s="82">
        <f>IFERROR(__xludf.DUMMYFUNCTION("""COMPUTED_VALUE"""),1.1145853199939189)</f>
        <v>1.11458532</v>
      </c>
      <c r="AH871" s="82">
        <f>IFERROR(__xludf.DUMMYFUNCTION("""COMPUTED_VALUE"""),0.7370845848955359)</f>
        <v>0.7370845849</v>
      </c>
      <c r="AI871" s="82">
        <f>IFERROR(__xludf.DUMMYFUNCTION("""COMPUTED_VALUE"""),0.9312671459787527)</f>
        <v>0.931267146</v>
      </c>
      <c r="AJ871" s="82">
        <f>IFERROR(__xludf.DUMMYFUNCTION("""COMPUTED_VALUE"""),0.8642649590339891)</f>
        <v>0.864264959</v>
      </c>
      <c r="AK871" s="82">
        <f>IFERROR(__xludf.DUMMYFUNCTION("""COMPUTED_VALUE"""),0.8450274566945319)</f>
        <v>0.8450274567</v>
      </c>
      <c r="AL871" s="82">
        <f>IFERROR(__xludf.DUMMYFUNCTION("""COMPUTED_VALUE"""),0.8528060152292698)</f>
        <v>0.8528060152</v>
      </c>
      <c r="AM871" s="82">
        <f>IFERROR(__xludf.DUMMYFUNCTION("""COMPUTED_VALUE"""),1.0451674343076776)</f>
        <v>1.045167434</v>
      </c>
      <c r="AN871" s="82">
        <f>IFERROR(__xludf.DUMMYFUNCTION("""COMPUTED_VALUE"""),1.0098213592411005)</f>
        <v>1.009821359</v>
      </c>
      <c r="AO871" s="82">
        <f>IFERROR(__xludf.DUMMYFUNCTION("""COMPUTED_VALUE"""),1.2225662562543866)</f>
        <v>1.222566256</v>
      </c>
      <c r="AP871" s="82">
        <f>IFERROR(__xludf.DUMMYFUNCTION("""COMPUTED_VALUE"""),0.700674584944908)</f>
        <v>0.7006745849</v>
      </c>
      <c r="AQ871" s="82">
        <f>IFERROR(__xludf.DUMMYFUNCTION("""COMPUTED_VALUE"""),1.1458461950239058)</f>
        <v>1.145846195</v>
      </c>
      <c r="AR871" s="82">
        <f>IFERROR(__xludf.DUMMYFUNCTION("""COMPUTED_VALUE"""),0.7446675921973555)</f>
        <v>0.7446675922</v>
      </c>
      <c r="AS871" s="82">
        <f>IFERROR(__xludf.DUMMYFUNCTION("""COMPUTED_VALUE"""),57.0)</f>
        <v>57</v>
      </c>
      <c r="AT871" s="82">
        <f>IFERROR(__xludf.DUMMYFUNCTION("""COMPUTED_VALUE"""),0.46282155599257707)</f>
        <v>0.462821556</v>
      </c>
      <c r="AU871" s="82">
        <f>IFERROR(__xludf.DUMMYFUNCTION("""COMPUTED_VALUE"""),2.368876294609343)</f>
        <v>2.368876295</v>
      </c>
      <c r="AV871" s="82">
        <f>IFERROR(__xludf.DUMMYFUNCTION("""COMPUTED_VALUE"""),49.28609247982995)</f>
        <v>49.28609248</v>
      </c>
      <c r="AW871" s="82">
        <f t="shared" si="1"/>
        <v>-2.046625266</v>
      </c>
      <c r="AX871" s="83">
        <f t="array" ref="AX871">IFERROR(DGET('SBV Import'!A:G,"SBV",{"RSC ID","Tier";B871,A871}))</f>
        <v>41.46648315</v>
      </c>
      <c r="AY871" s="82">
        <f t="shared" si="2"/>
        <v>-2.729082117</v>
      </c>
      <c r="AZ871" s="82">
        <v>0.6824568509539009</v>
      </c>
      <c r="BA871" s="84">
        <v>800.0</v>
      </c>
      <c r="BB871" s="84" t="b">
        <f>IFERROR(__xludf.DUMMYFUNCTION("iferror(if(A871="""",,E871&gt;=FILTER(Constants!$F$2:$F$10,Constants!$A$2:$A$10=A871)))"),TRUE)</f>
        <v>1</v>
      </c>
    </row>
    <row r="872">
      <c r="A872" s="80" t="str">
        <f>IFERROR(__xludf.DUMMYFUNCTION("""COMPUTED_VALUE"""),"Elite")</f>
        <v>Elite</v>
      </c>
      <c r="B872" s="73" t="str">
        <f>IFERROR(__xludf.DUMMYFUNCTION("""COMPUTED_VALUE"""),"RSC007295")</f>
        <v>RSC007295</v>
      </c>
      <c r="C872" s="73" t="str">
        <f>IFERROR(__xludf.DUMMYFUNCTION("""COMPUTED_VALUE"""),"TheLegendaryChance")</f>
        <v>TheLegendaryChance</v>
      </c>
      <c r="D872" s="73" t="str">
        <f>IFERROR(__xludf.DUMMYFUNCTION("""COMPUTED_VALUE"""),"Geeky Ghouls")</f>
        <v>Geeky Ghouls</v>
      </c>
      <c r="E872" s="82">
        <f>IFERROR(__xludf.DUMMYFUNCTION("""COMPUTED_VALUE"""),41.0)</f>
        <v>41</v>
      </c>
      <c r="F872" s="82">
        <f>IFERROR(__xludf.DUMMYFUNCTION("""COMPUTED_VALUE"""),23.0)</f>
        <v>23</v>
      </c>
      <c r="G872" s="82">
        <f>IFERROR(__xludf.DUMMYFUNCTION("""COMPUTED_VALUE"""),18.0)</f>
        <v>18</v>
      </c>
      <c r="H872" s="86">
        <f>IFERROR(__xludf.DUMMYFUNCTION("""COMPUTED_VALUE"""),0.5609756097560976)</f>
        <v>0.5609756098</v>
      </c>
      <c r="I872" s="86">
        <f>IFERROR(__xludf.DUMMYFUNCTION("""COMPUTED_VALUE"""),0.27272727272727276)</f>
        <v>0.2727272727</v>
      </c>
      <c r="J872" s="82">
        <f>IFERROR(__xludf.DUMMYFUNCTION("""COMPUTED_VALUE"""),336.0487804878049)</f>
        <v>336.0487805</v>
      </c>
      <c r="K872" s="82">
        <f>IFERROR(__xludf.DUMMYFUNCTION("""COMPUTED_VALUE"""),0.6585365853658537)</f>
        <v>0.6585365854</v>
      </c>
      <c r="L872" s="82">
        <f>IFERROR(__xludf.DUMMYFUNCTION("""COMPUTED_VALUE"""),0.5853658536585366)</f>
        <v>0.5853658537</v>
      </c>
      <c r="M872" s="82">
        <f>IFERROR(__xludf.DUMMYFUNCTION("""COMPUTED_VALUE"""),1.2195121951219512)</f>
        <v>1.219512195</v>
      </c>
      <c r="N872" s="82">
        <f>IFERROR(__xludf.DUMMYFUNCTION("""COMPUTED_VALUE"""),2.4146341463414633)</f>
        <v>2.414634146</v>
      </c>
      <c r="O872" s="82">
        <f>IFERROR(__xludf.DUMMYFUNCTION("""COMPUTED_VALUE"""),362.9268292682927)</f>
        <v>362.9268293</v>
      </c>
      <c r="P872" s="82">
        <f>IFERROR(__xludf.DUMMYFUNCTION("""COMPUTED_VALUE"""),0.6747967479674797)</f>
        <v>0.674796748</v>
      </c>
      <c r="Q872" s="82">
        <f>IFERROR(__xludf.DUMMYFUNCTION("""COMPUTED_VALUE"""),0.5447154471544715)</f>
        <v>0.5447154472</v>
      </c>
      <c r="R872" s="82">
        <f>IFERROR(__xludf.DUMMYFUNCTION("""COMPUTED_VALUE"""),1.6747967479674797)</f>
        <v>1.674796748</v>
      </c>
      <c r="S872" s="82">
        <f>IFERROR(__xludf.DUMMYFUNCTION("""COMPUTED_VALUE"""),2.3739837398373984)</f>
        <v>2.37398374</v>
      </c>
      <c r="T872" s="82">
        <f>IFERROR(__xludf.DUMMYFUNCTION("""COMPUTED_VALUE"""),352.14414362997024)</f>
        <v>352.1441436</v>
      </c>
      <c r="U872" s="82">
        <f>IFERROR(__xludf.DUMMYFUNCTION("""COMPUTED_VALUE"""),0.7356535581366639)</f>
        <v>0.7356535581</v>
      </c>
      <c r="V872" s="82">
        <f>IFERROR(__xludf.DUMMYFUNCTION("""COMPUTED_VALUE"""),0.6048346613030627)</f>
        <v>0.6048346613</v>
      </c>
      <c r="W872" s="82">
        <f>IFERROR(__xludf.DUMMYFUNCTION("""COMPUTED_VALUE"""),1.3856358348096853)</f>
        <v>1.385635835</v>
      </c>
      <c r="X872" s="82">
        <f>IFERROR(__xludf.DUMMYFUNCTION("""COMPUTED_VALUE"""),2.6046613644180936)</f>
        <v>2.604661364</v>
      </c>
      <c r="Y872" s="82">
        <f>IFERROR(__xludf.DUMMYFUNCTION("""COMPUTED_VALUE"""),358.8319884402152)</f>
        <v>358.8319884</v>
      </c>
      <c r="Z872" s="82">
        <f>IFERROR(__xludf.DUMMYFUNCTION("""COMPUTED_VALUE"""),0.7888522418831856)</f>
        <v>0.7888522419</v>
      </c>
      <c r="AA872" s="82">
        <f>IFERROR(__xludf.DUMMYFUNCTION("""COMPUTED_VALUE"""),0.59072012815284)</f>
        <v>0.5907201282</v>
      </c>
      <c r="AB872" s="82">
        <f>IFERROR(__xludf.DUMMYFUNCTION("""COMPUTED_VALUE"""),1.3853149004853986)</f>
        <v>1.3853149</v>
      </c>
      <c r="AC872" s="82">
        <f>IFERROR(__xludf.DUMMYFUNCTION("""COMPUTED_VALUE"""),2.669618958285404)</f>
        <v>2.669618958</v>
      </c>
      <c r="AD872" s="82">
        <f>IFERROR(__xludf.DUMMYFUNCTION("""COMPUTED_VALUE"""),0.9365073107014644)</f>
        <v>0.9365073107</v>
      </c>
      <c r="AE872" s="82">
        <f>IFERROR(__xludf.DUMMYFUNCTION("""COMPUTED_VALUE"""),0.8348034655942206)</f>
        <v>0.8348034656</v>
      </c>
      <c r="AF872" s="82">
        <f>IFERROR(__xludf.DUMMYFUNCTION("""COMPUTED_VALUE"""),0.9909360215792102)</f>
        <v>0.9909360216</v>
      </c>
      <c r="AG872" s="82">
        <f>IFERROR(__xludf.DUMMYFUNCTION("""COMPUTED_VALUE"""),0.8803140677218212)</f>
        <v>0.8803140677</v>
      </c>
      <c r="AH872" s="82">
        <f>IFERROR(__xludf.DUMMYFUNCTION("""COMPUTED_VALUE"""),0.9044864394775994)</f>
        <v>0.9044864395</v>
      </c>
      <c r="AI872" s="82">
        <f>IFERROR(__xludf.DUMMYFUNCTION("""COMPUTED_VALUE"""),1.0306200907593477)</f>
        <v>1.030620091</v>
      </c>
      <c r="AJ872" s="82">
        <f>IFERROR(__xludf.DUMMYFUNCTION("""COMPUTED_VALUE"""),0.9172751772949643)</f>
        <v>0.9172751773</v>
      </c>
      <c r="AK872" s="82">
        <f>IFERROR(__xludf.DUMMYFUNCTION("""COMPUTED_VALUE"""),0.9006022339740423)</f>
        <v>0.900602234</v>
      </c>
      <c r="AL872" s="82">
        <f>IFERROR(__xludf.DUMMYFUNCTION("""COMPUTED_VALUE"""),1.208684638411874)</f>
        <v>1.208684638</v>
      </c>
      <c r="AM872" s="82">
        <f>IFERROR(__xludf.DUMMYFUNCTION("""COMPUTED_VALUE"""),0.9114366160100698)</f>
        <v>0.911436616</v>
      </c>
      <c r="AN872" s="82">
        <f>IFERROR(__xludf.DUMMYFUNCTION("""COMPUTED_VALUE"""),0.9585234053766388)</f>
        <v>0.9585234054</v>
      </c>
      <c r="AO872" s="82">
        <f>IFERROR(__xludf.DUMMYFUNCTION("""COMPUTED_VALUE"""),0.9289668551276296)</f>
        <v>0.9289668551</v>
      </c>
      <c r="AP872" s="82">
        <f>IFERROR(__xludf.DUMMYFUNCTION("""COMPUTED_VALUE"""),1.025377441382792)</f>
        <v>1.025377441</v>
      </c>
      <c r="AQ872" s="82">
        <f>IFERROR(__xludf.DUMMYFUNCTION("""COMPUTED_VALUE"""),0.8555347399382074)</f>
        <v>0.8555347399</v>
      </c>
      <c r="AR872" s="82">
        <f>IFERROR(__xludf.DUMMYFUNCTION("""COMPUTED_VALUE"""),0.9632677477465791)</f>
        <v>0.9632677477</v>
      </c>
      <c r="AS872" s="82">
        <f>IFERROR(__xludf.DUMMYFUNCTION("""COMPUTED_VALUE"""),92.0)</f>
        <v>92</v>
      </c>
      <c r="AT872" s="82">
        <f>IFERROR(__xludf.DUMMYFUNCTION("""COMPUTED_VALUE"""),0.5389546872807588)</f>
        <v>0.5389546873</v>
      </c>
      <c r="AU872" s="82">
        <f>IFERROR(__xludf.DUMMYFUNCTION("""COMPUTED_VALUE"""),2.3649349331148586)</f>
        <v>2.364934933</v>
      </c>
      <c r="AV872" s="82">
        <f>IFERROR(__xludf.DUMMYFUNCTION("""COMPUTED_VALUE"""),49.17272231836801)</f>
        <v>49.17272232</v>
      </c>
      <c r="AW872" s="82">
        <f t="shared" si="1"/>
        <v>-2.054227636</v>
      </c>
      <c r="AX872" s="83">
        <f t="array" ref="AX872">IFERROR(DGET('SBV Import'!A:G,"SBV",{"RSC ID","Tier";B872,A872}))</f>
        <v>42.57329014</v>
      </c>
      <c r="AY872" s="82">
        <f t="shared" si="2"/>
        <v>-2.609554673</v>
      </c>
      <c r="AZ872" s="82">
        <v>0.5553270364013203</v>
      </c>
      <c r="BA872" s="84">
        <v>800.0</v>
      </c>
      <c r="BB872" s="84" t="b">
        <f>IFERROR(__xludf.DUMMYFUNCTION("iferror(if(A872="""",,E872&gt;=FILTER(Constants!$F$2:$F$10,Constants!$A$2:$A$10=A872)))"),TRUE)</f>
        <v>1</v>
      </c>
    </row>
    <row r="873">
      <c r="A873" s="80" t="str">
        <f>IFERROR(__xludf.DUMMYFUNCTION("""COMPUTED_VALUE"""),"Elite")</f>
        <v>Elite</v>
      </c>
      <c r="B873" s="73" t="str">
        <f>IFERROR(__xludf.DUMMYFUNCTION("""COMPUTED_VALUE"""),"RSC000488")</f>
        <v>RSC000488</v>
      </c>
      <c r="C873" s="73" t="str">
        <f>IFERROR(__xludf.DUMMYFUNCTION("""COMPUTED_VALUE"""),"theblobofglob22")</f>
        <v>theblobofglob22</v>
      </c>
      <c r="D873" s="73"/>
      <c r="E873" s="82">
        <f>IFERROR(__xludf.DUMMYFUNCTION("""COMPUTED_VALUE"""),4.0)</f>
        <v>4</v>
      </c>
      <c r="F873" s="82">
        <f>IFERROR(__xludf.DUMMYFUNCTION("""COMPUTED_VALUE"""),1.0)</f>
        <v>1</v>
      </c>
      <c r="G873" s="82">
        <f>IFERROR(__xludf.DUMMYFUNCTION("""COMPUTED_VALUE"""),3.0)</f>
        <v>3</v>
      </c>
      <c r="H873" s="86">
        <f>IFERROR(__xludf.DUMMYFUNCTION("""COMPUTED_VALUE"""),0.25)</f>
        <v>0.25</v>
      </c>
      <c r="I873" s="86">
        <f>IFERROR(__xludf.DUMMYFUNCTION("""COMPUTED_VALUE"""),0.4444444444444444)</f>
        <v>0.4444444444</v>
      </c>
      <c r="J873" s="82">
        <f>IFERROR(__xludf.DUMMYFUNCTION("""COMPUTED_VALUE"""),368.5)</f>
        <v>368.5</v>
      </c>
      <c r="K873" s="82">
        <f>IFERROR(__xludf.DUMMYFUNCTION("""COMPUTED_VALUE"""),1.0)</f>
        <v>1</v>
      </c>
      <c r="L873" s="82">
        <f>IFERROR(__xludf.DUMMYFUNCTION("""COMPUTED_VALUE"""),0.25)</f>
        <v>0.25</v>
      </c>
      <c r="M873" s="82">
        <f>IFERROR(__xludf.DUMMYFUNCTION("""COMPUTED_VALUE"""),1.75)</f>
        <v>1.75</v>
      </c>
      <c r="N873" s="82">
        <f>IFERROR(__xludf.DUMMYFUNCTION("""COMPUTED_VALUE"""),2.25)</f>
        <v>2.25</v>
      </c>
      <c r="O873" s="82">
        <f>IFERROR(__xludf.DUMMYFUNCTION("""COMPUTED_VALUE"""),339.5833333333333)</f>
        <v>339.5833333</v>
      </c>
      <c r="P873" s="82">
        <f>IFERROR(__xludf.DUMMYFUNCTION("""COMPUTED_VALUE"""),0.9999999999999999)</f>
        <v>1</v>
      </c>
      <c r="Q873" s="82">
        <f>IFERROR(__xludf.DUMMYFUNCTION("""COMPUTED_VALUE"""),0.6666666666666666)</f>
        <v>0.6666666667</v>
      </c>
      <c r="R873" s="82">
        <f>IFERROR(__xludf.DUMMYFUNCTION("""COMPUTED_VALUE"""),0.9166666666666666)</f>
        <v>0.9166666667</v>
      </c>
      <c r="S873" s="82">
        <f>IFERROR(__xludf.DUMMYFUNCTION("""COMPUTED_VALUE"""),3.0833333333333335)</f>
        <v>3.083333333</v>
      </c>
      <c r="T873" s="82">
        <f>IFERROR(__xludf.DUMMYFUNCTION("""COMPUTED_VALUE"""),382.28055555555557)</f>
        <v>382.2805556</v>
      </c>
      <c r="U873" s="82">
        <f>IFERROR(__xludf.DUMMYFUNCTION("""COMPUTED_VALUE"""),0.7972222222222222)</f>
        <v>0.7972222222</v>
      </c>
      <c r="V873" s="82">
        <f>IFERROR(__xludf.DUMMYFUNCTION("""COMPUTED_VALUE"""),0.6319444444444445)</f>
        <v>0.6319444444</v>
      </c>
      <c r="W873" s="82">
        <f>IFERROR(__xludf.DUMMYFUNCTION("""COMPUTED_VALUE"""),1.5583333333333333)</f>
        <v>1.558333333</v>
      </c>
      <c r="X873" s="82">
        <f>IFERROR(__xludf.DUMMYFUNCTION("""COMPUTED_VALUE"""),2.836111111111111)</f>
        <v>2.836111111</v>
      </c>
      <c r="Y873" s="82">
        <f>IFERROR(__xludf.DUMMYFUNCTION("""COMPUTED_VALUE"""),365.4805555555556)</f>
        <v>365.4805556</v>
      </c>
      <c r="Z873" s="82">
        <f>IFERROR(__xludf.DUMMYFUNCTION("""COMPUTED_VALUE"""),0.7250000000000001)</f>
        <v>0.725</v>
      </c>
      <c r="AA873" s="82">
        <f>IFERROR(__xludf.DUMMYFUNCTION("""COMPUTED_VALUE"""),0.524074074074074)</f>
        <v>0.5240740741</v>
      </c>
      <c r="AB873" s="82">
        <f>IFERROR(__xludf.DUMMYFUNCTION("""COMPUTED_VALUE"""),1.6199074074074074)</f>
        <v>1.619907407</v>
      </c>
      <c r="AC873" s="82">
        <f>IFERROR(__xludf.DUMMYFUNCTION("""COMPUTED_VALUE"""),2.655092592592593)</f>
        <v>2.655092593</v>
      </c>
      <c r="AD873" s="82">
        <f>IFERROR(__xludf.DUMMYFUNCTION("""COMPUTED_VALUE"""),1.0082615734231186)</f>
        <v>1.008261573</v>
      </c>
      <c r="AE873" s="82">
        <f>IFERROR(__xludf.DUMMYFUNCTION("""COMPUTED_VALUE"""),1.379310344827586)</f>
        <v>1.379310345</v>
      </c>
      <c r="AF873" s="82">
        <f>IFERROR(__xludf.DUMMYFUNCTION("""COMPUTED_VALUE"""),0.4770318021201414)</f>
        <v>0.4770318021</v>
      </c>
      <c r="AG873" s="82">
        <f>IFERROR(__xludf.DUMMYFUNCTION("""COMPUTED_VALUE"""),1.0803086596170335)</f>
        <v>1.08030866</v>
      </c>
      <c r="AH873" s="82">
        <f>IFERROR(__xludf.DUMMYFUNCTION("""COMPUTED_VALUE"""),0.8474280732345247)</f>
        <v>0.8474280732</v>
      </c>
      <c r="AI873" s="82">
        <f>IFERROR(__xludf.DUMMYFUNCTION("""COMPUTED_VALUE"""),0.8883091969975512)</f>
        <v>0.888309197</v>
      </c>
      <c r="AJ873" s="82">
        <f>IFERROR(__xludf.DUMMYFUNCTION("""COMPUTED_VALUE"""),1.254355400696864)</f>
        <v>1.254355401</v>
      </c>
      <c r="AK873" s="82">
        <f>IFERROR(__xludf.DUMMYFUNCTION("""COMPUTED_VALUE"""),1.0549450549450547)</f>
        <v>1.054945055</v>
      </c>
      <c r="AL873" s="82">
        <f>IFERROR(__xludf.DUMMYFUNCTION("""COMPUTED_VALUE"""),0.5882352941176471)</f>
        <v>0.5882352941</v>
      </c>
      <c r="AM873" s="82">
        <f>IFERROR(__xludf.DUMMYFUNCTION("""COMPUTED_VALUE"""),1.0871694417238003)</f>
        <v>1.087169442</v>
      </c>
      <c r="AN873" s="82">
        <f>IFERROR(__xludf.DUMMYFUNCTION("""COMPUTED_VALUE"""),1.0510851262979348)</f>
        <v>1.051085126</v>
      </c>
      <c r="AO873" s="82">
        <f>IFERROR(__xludf.DUMMYFUNCTION("""COMPUTED_VALUE"""),1.4106533726012151)</f>
        <v>1.410653373</v>
      </c>
      <c r="AP873" s="82">
        <f>IFERROR(__xludf.DUMMYFUNCTION("""COMPUTED_VALUE"""),0.43792161559056747)</f>
        <v>0.4379216156</v>
      </c>
      <c r="AQ873" s="82">
        <f>IFERROR(__xludf.DUMMYFUNCTION("""COMPUTED_VALUE"""),1.2276923518113276)</f>
        <v>1.227692352</v>
      </c>
      <c r="AR873" s="82">
        <f>IFERROR(__xludf.DUMMYFUNCTION("""COMPUTED_VALUE"""),0.8975904013093123)</f>
        <v>0.8975904013</v>
      </c>
      <c r="AS873" s="82">
        <f>IFERROR(__xludf.DUMMYFUNCTION("""COMPUTED_VALUE"""),7.0)</f>
        <v>7</v>
      </c>
      <c r="AT873" s="82">
        <f>IFERROR(__xludf.DUMMYFUNCTION("""COMPUTED_VALUE"""),0.3009158051485651)</f>
        <v>0.3009158051</v>
      </c>
      <c r="AU873" s="82">
        <f>IFERROR(__xludf.DUMMYFUNCTION("""COMPUTED_VALUE"""),2.34961228786353)</f>
        <v>2.349612288</v>
      </c>
      <c r="AV873" s="82">
        <f>IFERROR(__xludf.DUMMYFUNCTION("""COMPUTED_VALUE"""),48.731978486928504)</f>
        <v>48.73197849</v>
      </c>
      <c r="AW873" s="82">
        <f t="shared" si="1"/>
        <v>-2.084314799</v>
      </c>
      <c r="AX873" s="83">
        <f t="array" ref="AX873">IFERROR(DGET('SBV Import'!A:G,"SBV",{"RSC ID","Tier";B873,A873}))</f>
        <v>45.69012023</v>
      </c>
      <c r="AY873" s="82">
        <f t="shared" si="2"/>
        <v>-2.317156503</v>
      </c>
      <c r="AZ873" s="82">
        <v>0.23284170469139465</v>
      </c>
      <c r="BA873" s="84">
        <v>800.0</v>
      </c>
      <c r="BB873" s="84" t="b">
        <f>IFERROR(__xludf.DUMMYFUNCTION("iferror(if(A873="""",,E873&gt;=FILTER(Constants!$F$2:$F$10,Constants!$A$2:$A$10=A873)))"),TRUE)</f>
        <v>1</v>
      </c>
    </row>
    <row r="874">
      <c r="A874" s="80" t="str">
        <f>IFERROR(__xludf.DUMMYFUNCTION("""COMPUTED_VALUE"""),"Elite")</f>
        <v>Elite</v>
      </c>
      <c r="B874" s="73" t="str">
        <f>IFERROR(__xludf.DUMMYFUNCTION("""COMPUTED_VALUE"""),"RSC003427")</f>
        <v>RSC003427</v>
      </c>
      <c r="C874" s="73" t="str">
        <f>IFERROR(__xludf.DUMMYFUNCTION("""COMPUTED_VALUE"""),"(P|F)ineapple")</f>
        <v>(P|F)ineapple</v>
      </c>
      <c r="D874" s="73" t="str">
        <f>IFERROR(__xludf.DUMMYFUNCTION("""COMPUTED_VALUE"""),"Orochi")</f>
        <v>Orochi</v>
      </c>
      <c r="E874" s="82">
        <f>IFERROR(__xludf.DUMMYFUNCTION("""COMPUTED_VALUE"""),41.0)</f>
        <v>41</v>
      </c>
      <c r="F874" s="82">
        <f>IFERROR(__xludf.DUMMYFUNCTION("""COMPUTED_VALUE"""),17.0)</f>
        <v>17</v>
      </c>
      <c r="G874" s="82">
        <f>IFERROR(__xludf.DUMMYFUNCTION("""COMPUTED_VALUE"""),24.0)</f>
        <v>24</v>
      </c>
      <c r="H874" s="86">
        <f>IFERROR(__xludf.DUMMYFUNCTION("""COMPUTED_VALUE"""),0.4146341463414634)</f>
        <v>0.4146341463</v>
      </c>
      <c r="I874" s="86">
        <f>IFERROR(__xludf.DUMMYFUNCTION("""COMPUTED_VALUE"""),0.367816091954023)</f>
        <v>0.367816092</v>
      </c>
      <c r="J874" s="82">
        <f>IFERROR(__xludf.DUMMYFUNCTION("""COMPUTED_VALUE"""),348.2926829268293)</f>
        <v>348.2926829</v>
      </c>
      <c r="K874" s="82">
        <f>IFERROR(__xludf.DUMMYFUNCTION("""COMPUTED_VALUE"""),0.7804878048780488)</f>
        <v>0.7804878049</v>
      </c>
      <c r="L874" s="82">
        <f>IFERROR(__xludf.DUMMYFUNCTION("""COMPUTED_VALUE"""),0.4634146341463415)</f>
        <v>0.4634146341</v>
      </c>
      <c r="M874" s="82">
        <f>IFERROR(__xludf.DUMMYFUNCTION("""COMPUTED_VALUE"""),1.6097560975609757)</f>
        <v>1.609756098</v>
      </c>
      <c r="N874" s="82">
        <f>IFERROR(__xludf.DUMMYFUNCTION("""COMPUTED_VALUE"""),2.1219512195121952)</f>
        <v>2.12195122</v>
      </c>
      <c r="O874" s="82">
        <f>IFERROR(__xludf.DUMMYFUNCTION("""COMPUTED_VALUE"""),353.130081300813)</f>
        <v>353.1300813</v>
      </c>
      <c r="P874" s="82">
        <f>IFERROR(__xludf.DUMMYFUNCTION("""COMPUTED_VALUE"""),0.7967479674796746)</f>
        <v>0.7967479675</v>
      </c>
      <c r="Q874" s="82">
        <f>IFERROR(__xludf.DUMMYFUNCTION("""COMPUTED_VALUE"""),0.5853658536585366)</f>
        <v>0.5853658537</v>
      </c>
      <c r="R874" s="82">
        <f>IFERROR(__xludf.DUMMYFUNCTION("""COMPUTED_VALUE"""),1.2520325203252032)</f>
        <v>1.25203252</v>
      </c>
      <c r="S874" s="82">
        <f>IFERROR(__xludf.DUMMYFUNCTION("""COMPUTED_VALUE"""),2.8536585365853666)</f>
        <v>2.853658537</v>
      </c>
      <c r="T874" s="82">
        <f>IFERROR(__xludf.DUMMYFUNCTION("""COMPUTED_VALUE"""),366.0562428389915)</f>
        <v>366.0562428</v>
      </c>
      <c r="U874" s="82">
        <f>IFERROR(__xludf.DUMMYFUNCTION("""COMPUTED_VALUE"""),0.7857346084795688)</f>
        <v>0.7857346085</v>
      </c>
      <c r="V874" s="82">
        <f>IFERROR(__xludf.DUMMYFUNCTION("""COMPUTED_VALUE"""),0.604760345969929)</f>
        <v>0.604760346</v>
      </c>
      <c r="W874" s="82">
        <f>IFERROR(__xludf.DUMMYFUNCTION("""COMPUTED_VALUE"""),1.4022603910974258)</f>
        <v>1.402260391</v>
      </c>
      <c r="X874" s="82">
        <f>IFERROR(__xludf.DUMMYFUNCTION("""COMPUTED_VALUE"""),2.801707833371502)</f>
        <v>2.801707833</v>
      </c>
      <c r="Y874" s="82">
        <f>IFERROR(__xludf.DUMMYFUNCTION("""COMPUTED_VALUE"""),354.7548419618872)</f>
        <v>354.754842</v>
      </c>
      <c r="Z874" s="82">
        <f>IFERROR(__xludf.DUMMYFUNCTION("""COMPUTED_VALUE"""),0.7026089276397505)</f>
        <v>0.7026089276</v>
      </c>
      <c r="AA874" s="82">
        <f>IFERROR(__xludf.DUMMYFUNCTION("""COMPUTED_VALUE"""),0.5330417719434628)</f>
        <v>0.5330417719</v>
      </c>
      <c r="AB874" s="82">
        <f>IFERROR(__xludf.DUMMYFUNCTION("""COMPUTED_VALUE"""),1.5079865398921417)</f>
        <v>1.50798654</v>
      </c>
      <c r="AC874" s="82">
        <f>IFERROR(__xludf.DUMMYFUNCTION("""COMPUTED_VALUE"""),2.556285485990196)</f>
        <v>2.556285486</v>
      </c>
      <c r="AD874" s="82">
        <f>IFERROR(__xludf.DUMMYFUNCTION("""COMPUTED_VALUE"""),0.98178415550491)</f>
        <v>0.9817841555</v>
      </c>
      <c r="AE874" s="82">
        <f>IFERROR(__xludf.DUMMYFUNCTION("""COMPUTED_VALUE"""),1.1108424248179056)</f>
        <v>1.110842425</v>
      </c>
      <c r="AF874" s="82">
        <f>IFERROR(__xludf.DUMMYFUNCTION("""COMPUTED_VALUE"""),0.8693777083487064)</f>
        <v>0.8693777083</v>
      </c>
      <c r="AG874" s="82">
        <f>IFERROR(__xludf.DUMMYFUNCTION("""COMPUTED_VALUE"""),1.0674870464534205)</f>
        <v>1.067487046</v>
      </c>
      <c r="AH874" s="82">
        <f>IFERROR(__xludf.DUMMYFUNCTION("""COMPUTED_VALUE"""),0.8300916431836806)</f>
        <v>0.8300916432</v>
      </c>
      <c r="AI874" s="82">
        <f>IFERROR(__xludf.DUMMYFUNCTION("""COMPUTED_VALUE"""),0.9646880450994957)</f>
        <v>0.9646880451</v>
      </c>
      <c r="AJ874" s="82">
        <f>IFERROR(__xludf.DUMMYFUNCTION("""COMPUTED_VALUE"""),1.0140166398186496)</f>
        <v>1.01401664</v>
      </c>
      <c r="AK874" s="82">
        <f>IFERROR(__xludf.DUMMYFUNCTION("""COMPUTED_VALUE"""),0.9679302843834989)</f>
        <v>0.9679302844</v>
      </c>
      <c r="AL874" s="82">
        <f>IFERROR(__xludf.DUMMYFUNCTION("""COMPUTED_VALUE"""),0.8928673506532888)</f>
        <v>0.8928673507</v>
      </c>
      <c r="AM874" s="82">
        <f>IFERROR(__xludf.DUMMYFUNCTION("""COMPUTED_VALUE"""),1.0185425127470726)</f>
        <v>1.018542513</v>
      </c>
      <c r="AN874" s="82">
        <f>IFERROR(__xludf.DUMMYFUNCTION("""COMPUTED_VALUE"""),0.9934471061676877)</f>
        <v>0.9934471062</v>
      </c>
      <c r="AO874" s="82">
        <f>IFERROR(__xludf.DUMMYFUNCTION("""COMPUTED_VALUE"""),1.1009977542253389)</f>
        <v>1.100997754</v>
      </c>
      <c r="AP874" s="82">
        <f>IFERROR(__xludf.DUMMYFUNCTION("""COMPUTED_VALUE"""),0.8117571410947104)</f>
        <v>0.8117571411</v>
      </c>
      <c r="AQ874" s="82">
        <f>IFERROR(__xludf.DUMMYFUNCTION("""COMPUTED_VALUE"""),1.1293058567184338)</f>
        <v>1.129305857</v>
      </c>
      <c r="AR874" s="82">
        <f>IFERROR(__xludf.DUMMYFUNCTION("""COMPUTED_VALUE"""),0.8465080207469938)</f>
        <v>0.8465080207</v>
      </c>
      <c r="AS874" s="82">
        <f>IFERROR(__xludf.DUMMYFUNCTION("""COMPUTED_VALUE"""),77.0)</f>
        <v>77</v>
      </c>
      <c r="AT874" s="82">
        <f>IFERROR(__xludf.DUMMYFUNCTION("""COMPUTED_VALUE"""),0.40956682190022914)</f>
        <v>0.4095668219</v>
      </c>
      <c r="AU874" s="82">
        <f>IFERROR(__xludf.DUMMYFUNCTION("""COMPUTED_VALUE"""),2.334231638823566)</f>
        <v>2.334231639</v>
      </c>
      <c r="AV874" s="82">
        <f>IFERROR(__xludf.DUMMYFUNCTION("""COMPUTED_VALUE"""),48.289566222158996)</f>
        <v>48.28956622</v>
      </c>
      <c r="AW874" s="82">
        <f t="shared" si="1"/>
        <v>-2.115387156</v>
      </c>
      <c r="AX874" s="83">
        <f t="array" ref="AX874">IFERROR(DGET('SBV Import'!A:G,"SBV",{"RSC ID","Tier";B874,A874}))</f>
        <v>40.91268209</v>
      </c>
      <c r="AY874" s="82">
        <f t="shared" si="2"/>
        <v>-2.792372372</v>
      </c>
      <c r="AZ874" s="82">
        <v>0.6769852161934735</v>
      </c>
      <c r="BA874" s="84">
        <v>800.0</v>
      </c>
      <c r="BB874" s="84" t="b">
        <f>IFERROR(__xludf.DUMMYFUNCTION("iferror(if(A874="""",,E874&gt;=FILTER(Constants!$F$2:$F$10,Constants!$A$2:$A$10=A874)))"),TRUE)</f>
        <v>1</v>
      </c>
    </row>
    <row r="875">
      <c r="A875" s="80" t="str">
        <f>IFERROR(__xludf.DUMMYFUNCTION("""COMPUTED_VALUE"""),"Elite")</f>
        <v>Elite</v>
      </c>
      <c r="B875" s="73" t="str">
        <f>IFERROR(__xludf.DUMMYFUNCTION("""COMPUTED_VALUE"""),"RSC007839")</f>
        <v>RSC007839</v>
      </c>
      <c r="C875" s="73" t="str">
        <f>IFERROR(__xludf.DUMMYFUNCTION("""COMPUTED_VALUE"""),"DoxxyWoxxyy")</f>
        <v>DoxxyWoxxyy</v>
      </c>
      <c r="D875" s="73" t="str">
        <f>IFERROR(__xludf.DUMMYFUNCTION("""COMPUTED_VALUE"""),"Pylons")</f>
        <v>Pylons</v>
      </c>
      <c r="E875" s="82">
        <f>IFERROR(__xludf.DUMMYFUNCTION("""COMPUTED_VALUE"""),36.0)</f>
        <v>36</v>
      </c>
      <c r="F875" s="82">
        <f>IFERROR(__xludf.DUMMYFUNCTION("""COMPUTED_VALUE"""),12.0)</f>
        <v>12</v>
      </c>
      <c r="G875" s="82">
        <f>IFERROR(__xludf.DUMMYFUNCTION("""COMPUTED_VALUE"""),24.0)</f>
        <v>24</v>
      </c>
      <c r="H875" s="86">
        <f>IFERROR(__xludf.DUMMYFUNCTION("""COMPUTED_VALUE"""),0.3333333333333333)</f>
        <v>0.3333333333</v>
      </c>
      <c r="I875" s="86">
        <f>IFERROR(__xludf.DUMMYFUNCTION("""COMPUTED_VALUE"""),0.28735632183908044)</f>
        <v>0.2873563218</v>
      </c>
      <c r="J875" s="82">
        <f>IFERROR(__xludf.DUMMYFUNCTION("""COMPUTED_VALUE"""),370.47222222222223)</f>
        <v>370.4722222</v>
      </c>
      <c r="K875" s="82">
        <f>IFERROR(__xludf.DUMMYFUNCTION("""COMPUTED_VALUE"""),0.6944444444444444)</f>
        <v>0.6944444444</v>
      </c>
      <c r="L875" s="82">
        <f>IFERROR(__xludf.DUMMYFUNCTION("""COMPUTED_VALUE"""),0.6666666666666666)</f>
        <v>0.6666666667</v>
      </c>
      <c r="M875" s="82">
        <f>IFERROR(__xludf.DUMMYFUNCTION("""COMPUTED_VALUE"""),1.7222222222222223)</f>
        <v>1.722222222</v>
      </c>
      <c r="N875" s="82">
        <f>IFERROR(__xludf.DUMMYFUNCTION("""COMPUTED_VALUE"""),2.4166666666666665)</f>
        <v>2.416666667</v>
      </c>
      <c r="O875" s="82">
        <f>IFERROR(__xludf.DUMMYFUNCTION("""COMPUTED_VALUE"""),369.86111111111103)</f>
        <v>369.8611111</v>
      </c>
      <c r="P875" s="82">
        <f>IFERROR(__xludf.DUMMYFUNCTION("""COMPUTED_VALUE"""),0.8981481481481483)</f>
        <v>0.8981481481</v>
      </c>
      <c r="Q875" s="82">
        <f>IFERROR(__xludf.DUMMYFUNCTION("""COMPUTED_VALUE"""),0.6574074074074074)</f>
        <v>0.6574074074</v>
      </c>
      <c r="R875" s="82">
        <f>IFERROR(__xludf.DUMMYFUNCTION("""COMPUTED_VALUE"""),1.4074074074074072)</f>
        <v>1.407407407</v>
      </c>
      <c r="S875" s="82">
        <f>IFERROR(__xludf.DUMMYFUNCTION("""COMPUTED_VALUE"""),2.564814814814815)</f>
        <v>2.564814815</v>
      </c>
      <c r="T875" s="82">
        <f>IFERROR(__xludf.DUMMYFUNCTION("""COMPUTED_VALUE"""),357.53967934536945)</f>
        <v>357.5396793</v>
      </c>
      <c r="U875" s="82">
        <f>IFERROR(__xludf.DUMMYFUNCTION("""COMPUTED_VALUE"""),0.7744450053250053)</f>
        <v>0.7744450053</v>
      </c>
      <c r="V875" s="82">
        <f>IFERROR(__xludf.DUMMYFUNCTION("""COMPUTED_VALUE"""),0.5718943816395715)</f>
        <v>0.5718943816</v>
      </c>
      <c r="W875" s="82">
        <f>IFERROR(__xludf.DUMMYFUNCTION("""COMPUTED_VALUE"""),1.4312730074593376)</f>
        <v>1.431273007</v>
      </c>
      <c r="X875" s="82">
        <f>IFERROR(__xludf.DUMMYFUNCTION("""COMPUTED_VALUE"""),2.5660973569664756)</f>
        <v>2.566097357</v>
      </c>
      <c r="Y875" s="82">
        <f>IFERROR(__xludf.DUMMYFUNCTION("""COMPUTED_VALUE"""),367.610852785639)</f>
        <v>367.6108528</v>
      </c>
      <c r="Z875" s="82">
        <f>IFERROR(__xludf.DUMMYFUNCTION("""COMPUTED_VALUE"""),0.8442754504090831)</f>
        <v>0.8442754504</v>
      </c>
      <c r="AA875" s="82">
        <f>IFERROR(__xludf.DUMMYFUNCTION("""COMPUTED_VALUE"""),0.6316045337758814)</f>
        <v>0.6316045338</v>
      </c>
      <c r="AB875" s="82">
        <f>IFERROR(__xludf.DUMMYFUNCTION("""COMPUTED_VALUE"""),1.3570898159988252)</f>
        <v>1.357089816</v>
      </c>
      <c r="AC875" s="82">
        <f>IFERROR(__xludf.DUMMYFUNCTION("""COMPUTED_VALUE"""),2.7628916068568965)</f>
        <v>2.762891607</v>
      </c>
      <c r="AD875" s="82">
        <f>IFERROR(__xludf.DUMMYFUNCTION("""COMPUTED_VALUE"""),1.0077836914087293)</f>
        <v>1.007783691</v>
      </c>
      <c r="AE875" s="82">
        <f>IFERROR(__xludf.DUMMYFUNCTION("""COMPUTED_VALUE"""),0.8225330300768073)</f>
        <v>0.8225330301</v>
      </c>
      <c r="AF875" s="82">
        <f>IFERROR(__xludf.DUMMYFUNCTION("""COMPUTED_VALUE"""),1.0555127948198464)</f>
        <v>1.055512795</v>
      </c>
      <c r="AG875" s="82">
        <f>IFERROR(__xludf.DUMMYFUNCTION("""COMPUTED_VALUE"""),1.2690554463815336)</f>
        <v>1.269055446</v>
      </c>
      <c r="AH875" s="82">
        <f>IFERROR(__xludf.DUMMYFUNCTION("""COMPUTED_VALUE"""),0.87468746897961)</f>
        <v>0.874687469</v>
      </c>
      <c r="AI875" s="82">
        <f>IFERROR(__xludf.DUMMYFUNCTION("""COMPUTED_VALUE"""),1.0344617184540223)</f>
        <v>1.034461718</v>
      </c>
      <c r="AJ875" s="82">
        <f>IFERROR(__xludf.DUMMYFUNCTION("""COMPUTED_VALUE"""),1.159731345637938)</f>
        <v>1.159731346</v>
      </c>
      <c r="AK875" s="82">
        <f>IFERROR(__xludf.DUMMYFUNCTION("""COMPUTED_VALUE"""),1.149525906379212)</f>
        <v>1.149525906</v>
      </c>
      <c r="AL875" s="82">
        <f>IFERROR(__xludf.DUMMYFUNCTION("""COMPUTED_VALUE"""),0.9833256129840006)</f>
        <v>0.983325613</v>
      </c>
      <c r="AM875" s="82">
        <f>IFERROR(__xludf.DUMMYFUNCTION("""COMPUTED_VALUE"""),0.999500197391896)</f>
        <v>0.9995001974</v>
      </c>
      <c r="AN875" s="82">
        <f>IFERROR(__xludf.DUMMYFUNCTION("""COMPUTED_VALUE"""),1.0567105630510747)</f>
        <v>1.056710563</v>
      </c>
      <c r="AO875" s="82">
        <f>IFERROR(__xludf.DUMMYFUNCTION("""COMPUTED_VALUE"""),0.9796203976397327)</f>
        <v>0.9796203976</v>
      </c>
      <c r="AP875" s="82">
        <f>IFERROR(__xludf.DUMMYFUNCTION("""COMPUTED_VALUE"""),1.1677909749081798)</f>
        <v>1.167790975</v>
      </c>
      <c r="AQ875" s="82">
        <f>IFERROR(__xludf.DUMMYFUNCTION("""COMPUTED_VALUE"""),1.2082051716238462)</f>
        <v>1.208205172</v>
      </c>
      <c r="AR875" s="82">
        <f>IFERROR(__xludf.DUMMYFUNCTION("""COMPUTED_VALUE"""),0.9640785791840761)</f>
        <v>0.9640785792</v>
      </c>
      <c r="AS875" s="82">
        <f>IFERROR(__xludf.DUMMYFUNCTION("""COMPUTED_VALUE"""),79.0)</f>
        <v>79</v>
      </c>
      <c r="AT875" s="82">
        <f>IFERROR(__xludf.DUMMYFUNCTION("""COMPUTED_VALUE"""),0.41977945843329884)</f>
        <v>0.4197794584</v>
      </c>
      <c r="AU875" s="82">
        <f>IFERROR(__xludf.DUMMYFUNCTION("""COMPUTED_VALUE"""),2.329185957329627)</f>
        <v>2.329185957</v>
      </c>
      <c r="AV875" s="82">
        <f>IFERROR(__xludf.DUMMYFUNCTION("""COMPUTED_VALUE"""),48.14443116503371)</f>
        <v>48.14443117</v>
      </c>
      <c r="AW875" s="82">
        <f t="shared" si="1"/>
        <v>-2.125775456</v>
      </c>
      <c r="AX875" s="83">
        <f t="array" ref="AX875">IFERROR(DGET('SBV Import'!A:G,"SBV",{"RSC ID","Tier";B875,A875}))</f>
        <v>55.74011814</v>
      </c>
      <c r="AY875" s="82">
        <f t="shared" si="2"/>
        <v>2.443795948</v>
      </c>
      <c r="AZ875" s="82">
        <v>4.569571404233635</v>
      </c>
      <c r="BA875" s="84">
        <v>800.0</v>
      </c>
      <c r="BB875" s="84" t="b">
        <f>IFERROR(__xludf.DUMMYFUNCTION("iferror(if(A875="""",,E875&gt;=FILTER(Constants!$F$2:$F$10,Constants!$A$2:$A$10=A875)))"),TRUE)</f>
        <v>1</v>
      </c>
    </row>
    <row r="876">
      <c r="A876" s="80" t="str">
        <f>IFERROR(__xludf.DUMMYFUNCTION("""COMPUTED_VALUE"""),"Elite")</f>
        <v>Elite</v>
      </c>
      <c r="B876" s="73" t="str">
        <f>IFERROR(__xludf.DUMMYFUNCTION("""COMPUTED_VALUE"""),"RSC005236")</f>
        <v>RSC005236</v>
      </c>
      <c r="C876" s="73" t="str">
        <f>IFERROR(__xludf.DUMMYFUNCTION("""COMPUTED_VALUE"""),"Rozi-")</f>
        <v>Rozi-</v>
      </c>
      <c r="D876" s="73" t="str">
        <f>IFERROR(__xludf.DUMMYFUNCTION("""COMPUTED_VALUE"""),"Praetorian Guard")</f>
        <v>Praetorian Guard</v>
      </c>
      <c r="E876" s="82">
        <f>IFERROR(__xludf.DUMMYFUNCTION("""COMPUTED_VALUE"""),44.0)</f>
        <v>44</v>
      </c>
      <c r="F876" s="82">
        <f>IFERROR(__xludf.DUMMYFUNCTION("""COMPUTED_VALUE"""),27.0)</f>
        <v>27</v>
      </c>
      <c r="G876" s="82">
        <f>IFERROR(__xludf.DUMMYFUNCTION("""COMPUTED_VALUE"""),17.0)</f>
        <v>17</v>
      </c>
      <c r="H876" s="86">
        <f>IFERROR(__xludf.DUMMYFUNCTION("""COMPUTED_VALUE"""),0.6136363636363636)</f>
        <v>0.6136363636</v>
      </c>
      <c r="I876" s="86">
        <f>IFERROR(__xludf.DUMMYFUNCTION("""COMPUTED_VALUE"""),0.19827586206896552)</f>
        <v>0.1982758621</v>
      </c>
      <c r="J876" s="82">
        <f>IFERROR(__xludf.DUMMYFUNCTION("""COMPUTED_VALUE"""),337.1363636363636)</f>
        <v>337.1363636</v>
      </c>
      <c r="K876" s="82">
        <f>IFERROR(__xludf.DUMMYFUNCTION("""COMPUTED_VALUE"""),0.5227272727272727)</f>
        <v>0.5227272727</v>
      </c>
      <c r="L876" s="82">
        <f>IFERROR(__xludf.DUMMYFUNCTION("""COMPUTED_VALUE"""),0.6590909090909091)</f>
        <v>0.6590909091</v>
      </c>
      <c r="M876" s="82">
        <f>IFERROR(__xludf.DUMMYFUNCTION("""COMPUTED_VALUE"""),1.4090909090909092)</f>
        <v>1.409090909</v>
      </c>
      <c r="N876" s="82">
        <f>IFERROR(__xludf.DUMMYFUNCTION("""COMPUTED_VALUE"""),2.6363636363636362)</f>
        <v>2.636363636</v>
      </c>
      <c r="O876" s="82">
        <f>IFERROR(__xludf.DUMMYFUNCTION("""COMPUTED_VALUE"""),341.96969696969694)</f>
        <v>341.969697</v>
      </c>
      <c r="P876" s="82">
        <f>IFERROR(__xludf.DUMMYFUNCTION("""COMPUTED_VALUE"""),0.6212121212121211)</f>
        <v>0.6212121212</v>
      </c>
      <c r="Q876" s="82">
        <f>IFERROR(__xludf.DUMMYFUNCTION("""COMPUTED_VALUE"""),0.49999999999999983)</f>
        <v>0.5</v>
      </c>
      <c r="R876" s="82">
        <f>IFERROR(__xludf.DUMMYFUNCTION("""COMPUTED_VALUE"""),1.4696969696969695)</f>
        <v>1.46969697</v>
      </c>
      <c r="S876" s="82">
        <f>IFERROR(__xludf.DUMMYFUNCTION("""COMPUTED_VALUE"""),2.462121212121213)</f>
        <v>2.462121212</v>
      </c>
      <c r="T876" s="82">
        <f>IFERROR(__xludf.DUMMYFUNCTION("""COMPUTED_VALUE"""),354.9980678821496)</f>
        <v>354.9980679</v>
      </c>
      <c r="U876" s="82">
        <f>IFERROR(__xludf.DUMMYFUNCTION("""COMPUTED_VALUE"""),0.7393126958845496)</f>
        <v>0.7393126959</v>
      </c>
      <c r="V876" s="82">
        <f>IFERROR(__xludf.DUMMYFUNCTION("""COMPUTED_VALUE"""),0.5679910020065967)</f>
        <v>0.567991002</v>
      </c>
      <c r="W876" s="82">
        <f>IFERROR(__xludf.DUMMYFUNCTION("""COMPUTED_VALUE"""),1.4487141577895197)</f>
        <v>1.448714158</v>
      </c>
      <c r="X876" s="82">
        <f>IFERROR(__xludf.DUMMYFUNCTION("""COMPUTED_VALUE"""),2.504948186735834)</f>
        <v>2.504948187</v>
      </c>
      <c r="Y876" s="82">
        <f>IFERROR(__xludf.DUMMYFUNCTION("""COMPUTED_VALUE"""),366.04577190957076)</f>
        <v>366.0457719</v>
      </c>
      <c r="Z876" s="82">
        <f>IFERROR(__xludf.DUMMYFUNCTION("""COMPUTED_VALUE"""),0.8228498121205036)</f>
        <v>0.8228498121</v>
      </c>
      <c r="AA876" s="82">
        <f>IFERROR(__xludf.DUMMYFUNCTION("""COMPUTED_VALUE"""),0.620996481916158)</f>
        <v>0.6209964819</v>
      </c>
      <c r="AB876" s="82">
        <f>IFERROR(__xludf.DUMMYFUNCTION("""COMPUTED_VALUE"""),1.358023012334108)</f>
        <v>1.358023012</v>
      </c>
      <c r="AC876" s="82">
        <f>IFERROR(__xludf.DUMMYFUNCTION("""COMPUTED_VALUE"""),2.771568353181853)</f>
        <v>2.771568353</v>
      </c>
      <c r="AD876" s="82">
        <f>IFERROR(__xludf.DUMMYFUNCTION("""COMPUTED_VALUE"""),0.9210224226265643)</f>
        <v>0.9210224226</v>
      </c>
      <c r="AE876" s="82">
        <f>IFERROR(__xludf.DUMMYFUNCTION("""COMPUTED_VALUE"""),0.6352644978798647)</f>
        <v>0.6352644979</v>
      </c>
      <c r="AF876" s="82">
        <f>IFERROR(__xludf.DUMMYFUNCTION("""COMPUTED_VALUE"""),1.0613440305768018)</f>
        <v>1.061344031</v>
      </c>
      <c r="AG876" s="82">
        <f>IFERROR(__xludf.DUMMYFUNCTION("""COMPUTED_VALUE"""),1.0376045886505474)</f>
        <v>1.037604589</v>
      </c>
      <c r="AH876" s="82">
        <f>IFERROR(__xludf.DUMMYFUNCTION("""COMPUTED_VALUE"""),0.9512172533421386)</f>
        <v>0.9512172533</v>
      </c>
      <c r="AI876" s="82">
        <f>IFERROR(__xludf.DUMMYFUNCTION("""COMPUTED_VALUE"""),0.9633001638848983)</f>
        <v>0.9633001639</v>
      </c>
      <c r="AJ876" s="82">
        <f>IFERROR(__xludf.DUMMYFUNCTION("""COMPUTED_VALUE"""),0.8402562605378672)</f>
        <v>0.8402562605</v>
      </c>
      <c r="AK876" s="82">
        <f>IFERROR(__xludf.DUMMYFUNCTION("""COMPUTED_VALUE"""),0.8802956353773238)</f>
        <v>0.8802956354</v>
      </c>
      <c r="AL876" s="82">
        <f>IFERROR(__xludf.DUMMYFUNCTION("""COMPUTED_VALUE"""),1.0144837487744758)</f>
        <v>1.014483749</v>
      </c>
      <c r="AM876" s="82">
        <f>IFERROR(__xludf.DUMMYFUNCTION("""COMPUTED_VALUE"""),0.9829030497152005)</f>
        <v>0.9829030497</v>
      </c>
      <c r="AN876" s="82">
        <f>IFERROR(__xludf.DUMMYFUNCTION("""COMPUTED_VALUE"""),0.961625555908694)</f>
        <v>0.9616255559</v>
      </c>
      <c r="AO876" s="82">
        <f>IFERROR(__xludf.DUMMYFUNCTION("""COMPUTED_VALUE"""),0.7373869902233625)</f>
        <v>0.7373869902</v>
      </c>
      <c r="AP876" s="82">
        <f>IFERROR(__xludf.DUMMYFUNCTION("""COMPUTED_VALUE"""),1.1545206229205869)</f>
        <v>1.154520623</v>
      </c>
      <c r="AQ876" s="82">
        <f>IFERROR(__xludf.DUMMYFUNCTION("""COMPUTED_VALUE"""),0.9885315040558743)</f>
        <v>0.9885315041</v>
      </c>
      <c r="AR876" s="82">
        <f>IFERROR(__xludf.DUMMYFUNCTION("""COMPUTED_VALUE"""),1.0517220863826287)</f>
        <v>1.051722086</v>
      </c>
      <c r="AS876" s="82">
        <f>IFERROR(__xludf.DUMMYFUNCTION("""COMPUTED_VALUE"""),92.0)</f>
        <v>92</v>
      </c>
      <c r="AT876" s="82">
        <f>IFERROR(__xludf.DUMMYFUNCTION("""COMPUTED_VALUE"""),0.5425807288471001)</f>
        <v>0.5425807288</v>
      </c>
      <c r="AU876" s="82">
        <f>IFERROR(__xludf.DUMMYFUNCTION("""COMPUTED_VALUE"""),2.3222397313243457)</f>
        <v>2.322239731</v>
      </c>
      <c r="AV876" s="82">
        <f>IFERROR(__xludf.DUMMYFUNCTION("""COMPUTED_VALUE"""),47.94462844080455)</f>
        <v>47.94462844</v>
      </c>
      <c r="AW876" s="82">
        <f t="shared" si="1"/>
        <v>-2.140237214</v>
      </c>
      <c r="AX876" s="83">
        <f t="array" ref="AX876">IFERROR(DGET('SBV Import'!A:G,"SBV",{"RSC ID","Tier";B876,A876}))</f>
        <v>46.82293735</v>
      </c>
      <c r="AY876" s="82">
        <f t="shared" si="2"/>
        <v>-2.225003236</v>
      </c>
      <c r="AZ876" s="82">
        <v>0.08476602225916396</v>
      </c>
      <c r="BA876" s="84">
        <v>800.0</v>
      </c>
      <c r="BB876" s="84" t="b">
        <f>IFERROR(__xludf.DUMMYFUNCTION("iferror(if(A876="""",,E876&gt;=FILTER(Constants!$F$2:$F$10,Constants!$A$2:$A$10=A876)))"),TRUE)</f>
        <v>1</v>
      </c>
    </row>
    <row r="877">
      <c r="A877" s="80" t="str">
        <f>IFERROR(__xludf.DUMMYFUNCTION("""COMPUTED_VALUE"""),"Elite")</f>
        <v>Elite</v>
      </c>
      <c r="B877" s="73" t="str">
        <f>IFERROR(__xludf.DUMMYFUNCTION("""COMPUTED_VALUE"""),"RSC006185")</f>
        <v>RSC006185</v>
      </c>
      <c r="C877" s="73" t="str">
        <f>IFERROR(__xludf.DUMMYFUNCTION("""COMPUTED_VALUE"""),"sandro")</f>
        <v>sandro</v>
      </c>
      <c r="D877" s="73" t="str">
        <f>IFERROR(__xludf.DUMMYFUNCTION("""COMPUTED_VALUE"""),"Summoned")</f>
        <v>Summoned</v>
      </c>
      <c r="E877" s="82">
        <f>IFERROR(__xludf.DUMMYFUNCTION("""COMPUTED_VALUE"""),24.0)</f>
        <v>24</v>
      </c>
      <c r="F877" s="82">
        <f>IFERROR(__xludf.DUMMYFUNCTION("""COMPUTED_VALUE"""),8.0)</f>
        <v>8</v>
      </c>
      <c r="G877" s="82">
        <f>IFERROR(__xludf.DUMMYFUNCTION("""COMPUTED_VALUE"""),16.0)</f>
        <v>16</v>
      </c>
      <c r="H877" s="86">
        <f>IFERROR(__xludf.DUMMYFUNCTION("""COMPUTED_VALUE"""),0.3333333333333333)</f>
        <v>0.3333333333</v>
      </c>
      <c r="I877" s="86">
        <f>IFERROR(__xludf.DUMMYFUNCTION("""COMPUTED_VALUE"""),0.31666666666666665)</f>
        <v>0.3166666667</v>
      </c>
      <c r="J877" s="82">
        <f>IFERROR(__xludf.DUMMYFUNCTION("""COMPUTED_VALUE"""),363.0833333333333)</f>
        <v>363.0833333</v>
      </c>
      <c r="K877" s="82">
        <f>IFERROR(__xludf.DUMMYFUNCTION("""COMPUTED_VALUE"""),0.7916666666666666)</f>
        <v>0.7916666667</v>
      </c>
      <c r="L877" s="82">
        <f>IFERROR(__xludf.DUMMYFUNCTION("""COMPUTED_VALUE"""),0.4166666666666667)</f>
        <v>0.4166666667</v>
      </c>
      <c r="M877" s="82">
        <f>IFERROR(__xludf.DUMMYFUNCTION("""COMPUTED_VALUE"""),1.25)</f>
        <v>1.25</v>
      </c>
      <c r="N877" s="82">
        <f>IFERROR(__xludf.DUMMYFUNCTION("""COMPUTED_VALUE"""),2.5)</f>
        <v>2.5</v>
      </c>
      <c r="O877" s="82">
        <f>IFERROR(__xludf.DUMMYFUNCTION("""COMPUTED_VALUE"""),342.8194444444445)</f>
        <v>342.8194444</v>
      </c>
      <c r="P877" s="82">
        <f>IFERROR(__xludf.DUMMYFUNCTION("""COMPUTED_VALUE"""),0.8055555555555557)</f>
        <v>0.8055555556</v>
      </c>
      <c r="Q877" s="82">
        <f>IFERROR(__xludf.DUMMYFUNCTION("""COMPUTED_VALUE"""),0.5972222222222222)</f>
        <v>0.5972222222</v>
      </c>
      <c r="R877" s="82">
        <f>IFERROR(__xludf.DUMMYFUNCTION("""COMPUTED_VALUE"""),1.152777777777778)</f>
        <v>1.152777778</v>
      </c>
      <c r="S877" s="82">
        <f>IFERROR(__xludf.DUMMYFUNCTION("""COMPUTED_VALUE"""),2.8472222222222228)</f>
        <v>2.847222222</v>
      </c>
      <c r="T877" s="82">
        <f>IFERROR(__xludf.DUMMYFUNCTION("""COMPUTED_VALUE"""),357.06665422008587)</f>
        <v>357.0666542</v>
      </c>
      <c r="U877" s="82">
        <f>IFERROR(__xludf.DUMMYFUNCTION("""COMPUTED_VALUE"""),0.7502781049908441)</f>
        <v>0.750278105</v>
      </c>
      <c r="V877" s="82">
        <f>IFERROR(__xludf.DUMMYFUNCTION("""COMPUTED_VALUE"""),0.5908806854543472)</f>
        <v>0.5908806855</v>
      </c>
      <c r="W877" s="82">
        <f>IFERROR(__xludf.DUMMYFUNCTION("""COMPUTED_VALUE"""),1.4167148203529616)</f>
        <v>1.41671482</v>
      </c>
      <c r="X877" s="82">
        <f>IFERROR(__xludf.DUMMYFUNCTION("""COMPUTED_VALUE"""),2.6707942346813685)</f>
        <v>2.670794235</v>
      </c>
      <c r="Y877" s="82">
        <f>IFERROR(__xludf.DUMMYFUNCTION("""COMPUTED_VALUE"""),364.73676277885005)</f>
        <v>364.7367628</v>
      </c>
      <c r="Z877" s="82">
        <f>IFERROR(__xludf.DUMMYFUNCTION("""COMPUTED_VALUE"""),0.7972308896424011)</f>
        <v>0.7972308896</v>
      </c>
      <c r="AA877" s="82">
        <f>IFERROR(__xludf.DUMMYFUNCTION("""COMPUTED_VALUE"""),0.6325009584031585)</f>
        <v>0.6325009584</v>
      </c>
      <c r="AB877" s="82">
        <f>IFERROR(__xludf.DUMMYFUNCTION("""COMPUTED_VALUE"""),1.435785522263634)</f>
        <v>1.435785522</v>
      </c>
      <c r="AC877" s="82">
        <f>IFERROR(__xludf.DUMMYFUNCTION("""COMPUTED_VALUE"""),2.650604757626643)</f>
        <v>2.650604758</v>
      </c>
      <c r="AD877" s="82">
        <f>IFERROR(__xludf.DUMMYFUNCTION("""COMPUTED_VALUE"""),0.9954667869700887)</f>
        <v>0.995466787</v>
      </c>
      <c r="AE877" s="82">
        <f>IFERROR(__xludf.DUMMYFUNCTION("""COMPUTED_VALUE"""),0.9930205627403245)</f>
        <v>0.9930205627</v>
      </c>
      <c r="AF877" s="82">
        <f>IFERROR(__xludf.DUMMYFUNCTION("""COMPUTED_VALUE"""),0.6587605301320062)</f>
        <v>0.6587605301</v>
      </c>
      <c r="AG877" s="82">
        <f>IFERROR(__xludf.DUMMYFUNCTION("""COMPUTED_VALUE"""),0.8706035689991303)</f>
        <v>0.870603569</v>
      </c>
      <c r="AH877" s="82">
        <f>IFERROR(__xludf.DUMMYFUNCTION("""COMPUTED_VALUE"""),0.9431809826820446)</f>
        <v>0.9431809827</v>
      </c>
      <c r="AI877" s="82">
        <f>IFERROR(__xludf.DUMMYFUNCTION("""COMPUTED_VALUE"""),0.9600992990881199)</f>
        <v>0.9600992991</v>
      </c>
      <c r="AJ877" s="82">
        <f>IFERROR(__xludf.DUMMYFUNCTION("""COMPUTED_VALUE"""),1.073675947887865)</f>
        <v>1.073675948</v>
      </c>
      <c r="AK877" s="82">
        <f>IFERROR(__xludf.DUMMYFUNCTION("""COMPUTED_VALUE"""),1.010732347365524)</f>
        <v>1.010732347</v>
      </c>
      <c r="AL877" s="82">
        <f>IFERROR(__xludf.DUMMYFUNCTION("""COMPUTED_VALUE"""),0.8136978319253932)</f>
        <v>0.8136978319</v>
      </c>
      <c r="AM877" s="82">
        <f>IFERROR(__xludf.DUMMYFUNCTION("""COMPUTED_VALUE"""),1.0660582478612033)</f>
        <v>1.066058248</v>
      </c>
      <c r="AN877" s="82">
        <f>IFERROR(__xludf.DUMMYFUNCTION("""COMPUTED_VALUE"""),1.0356349831026914)</f>
        <v>1.035634983</v>
      </c>
      <c r="AO877" s="82">
        <f>IFERROR(__xludf.DUMMYFUNCTION("""COMPUTED_VALUE"""),1.1167672533092954)</f>
        <v>1.116767253</v>
      </c>
      <c r="AP877" s="82">
        <f>IFERROR(__xludf.DUMMYFUNCTION("""COMPUTED_VALUE"""),0.7298693593176124)</f>
        <v>0.7298693593</v>
      </c>
      <c r="AQ877" s="82">
        <f>IFERROR(__xludf.DUMMYFUNCTION("""COMPUTED_VALUE"""),0.8769231084366627)</f>
        <v>0.8769231084</v>
      </c>
      <c r="AR877" s="82">
        <f>IFERROR(__xludf.DUMMYFUNCTION("""COMPUTED_VALUE"""),0.9973226681214582)</f>
        <v>0.9973226681</v>
      </c>
      <c r="AS877" s="82">
        <f>IFERROR(__xludf.DUMMYFUNCTION("""COMPUTED_VALUE"""),47.0)</f>
        <v>47</v>
      </c>
      <c r="AT877" s="82">
        <f>IFERROR(__xludf.DUMMYFUNCTION("""COMPUTED_VALUE"""),0.42038063106397283)</f>
        <v>0.4203806311</v>
      </c>
      <c r="AU877" s="82">
        <f>IFERROR(__xludf.DUMMYFUNCTION("""COMPUTED_VALUE"""),2.31251220780948)</f>
        <v>2.312512208</v>
      </c>
      <c r="AV877" s="82">
        <f>IFERROR(__xludf.DUMMYFUNCTION("""COMPUTED_VALUE"""),47.66482388264655)</f>
        <v>47.66482388</v>
      </c>
      <c r="AW877" s="82">
        <f t="shared" si="1"/>
        <v>-2.160806824</v>
      </c>
      <c r="AX877" s="83">
        <f t="array" ref="AX877">IFERROR(DGET('SBV Import'!A:G,"SBV",{"RSC ID","Tier";B877,A877}))</f>
        <v>54.018109</v>
      </c>
      <c r="AY877" s="82">
        <f t="shared" si="2"/>
        <v>2.292761573</v>
      </c>
      <c r="AZ877" s="82">
        <v>4.453568397827433</v>
      </c>
      <c r="BA877" s="84">
        <v>800.0</v>
      </c>
      <c r="BB877" s="84" t="b">
        <f>IFERROR(__xludf.DUMMYFUNCTION("iferror(if(A877="""",,E877&gt;=FILTER(Constants!$F$2:$F$10,Constants!$A$2:$A$10=A877)))"),TRUE)</f>
        <v>1</v>
      </c>
    </row>
    <row r="878">
      <c r="A878" s="80" t="str">
        <f>IFERROR(__xludf.DUMMYFUNCTION("""COMPUTED_VALUE"""),"Elite")</f>
        <v>Elite</v>
      </c>
      <c r="B878" s="73" t="str">
        <f>IFERROR(__xludf.DUMMYFUNCTION("""COMPUTED_VALUE"""),"RSC003360")</f>
        <v>RSC003360</v>
      </c>
      <c r="C878" s="73" t="str">
        <f>IFERROR(__xludf.DUMMYFUNCTION("""COMPUTED_VALUE"""),"flossy")</f>
        <v>flossy</v>
      </c>
      <c r="D878" s="73" t="str">
        <f>IFERROR(__xludf.DUMMYFUNCTION("""COMPUTED_VALUE"""),"Geeky Ghouls")</f>
        <v>Geeky Ghouls</v>
      </c>
      <c r="E878" s="82">
        <f>IFERROR(__xludf.DUMMYFUNCTION("""COMPUTED_VALUE"""),48.0)</f>
        <v>48</v>
      </c>
      <c r="F878" s="82">
        <f>IFERROR(__xludf.DUMMYFUNCTION("""COMPUTED_VALUE"""),24.0)</f>
        <v>24</v>
      </c>
      <c r="G878" s="82">
        <f>IFERROR(__xludf.DUMMYFUNCTION("""COMPUTED_VALUE"""),24.0)</f>
        <v>24</v>
      </c>
      <c r="H878" s="86">
        <f>IFERROR(__xludf.DUMMYFUNCTION("""COMPUTED_VALUE"""),0.5)</f>
        <v>0.5</v>
      </c>
      <c r="I878" s="86">
        <f>IFERROR(__xludf.DUMMYFUNCTION("""COMPUTED_VALUE"""),0.256)</f>
        <v>0.256</v>
      </c>
      <c r="J878" s="82">
        <f>IFERROR(__xludf.DUMMYFUNCTION("""COMPUTED_VALUE"""),323.7083333333333)</f>
        <v>323.7083333</v>
      </c>
      <c r="K878" s="82">
        <f>IFERROR(__xludf.DUMMYFUNCTION("""COMPUTED_VALUE"""),0.6666666666666666)</f>
        <v>0.6666666667</v>
      </c>
      <c r="L878" s="82">
        <f>IFERROR(__xludf.DUMMYFUNCTION("""COMPUTED_VALUE"""),0.5)</f>
        <v>0.5</v>
      </c>
      <c r="M878" s="82">
        <f>IFERROR(__xludf.DUMMYFUNCTION("""COMPUTED_VALUE"""),1.4166666666666667)</f>
        <v>1.416666667</v>
      </c>
      <c r="N878" s="82">
        <f>IFERROR(__xludf.DUMMYFUNCTION("""COMPUTED_VALUE"""),2.6041666666666665)</f>
        <v>2.604166667</v>
      </c>
      <c r="O878" s="82">
        <f>IFERROR(__xludf.DUMMYFUNCTION("""COMPUTED_VALUE"""),368.97222222222234)</f>
        <v>368.9722222</v>
      </c>
      <c r="P878" s="82">
        <f>IFERROR(__xludf.DUMMYFUNCTION("""COMPUTED_VALUE"""),0.7499999999999999)</f>
        <v>0.75</v>
      </c>
      <c r="Q878" s="82">
        <f>IFERROR(__xludf.DUMMYFUNCTION("""COMPUTED_VALUE"""),0.5625)</f>
        <v>0.5625</v>
      </c>
      <c r="R878" s="82">
        <f>IFERROR(__xludf.DUMMYFUNCTION("""COMPUTED_VALUE"""),1.6041666666666663)</f>
        <v>1.604166667</v>
      </c>
      <c r="S878" s="82">
        <f>IFERROR(__xludf.DUMMYFUNCTION("""COMPUTED_VALUE"""),2.590277777777778)</f>
        <v>2.590277778</v>
      </c>
      <c r="T878" s="82">
        <f>IFERROR(__xludf.DUMMYFUNCTION("""COMPUTED_VALUE"""),353.8958678315776)</f>
        <v>353.8958678</v>
      </c>
      <c r="U878" s="82">
        <f>IFERROR(__xludf.DUMMYFUNCTION("""COMPUTED_VALUE"""),0.7405152303074223)</f>
        <v>0.7405152303</v>
      </c>
      <c r="V878" s="82">
        <f>IFERROR(__xludf.DUMMYFUNCTION("""COMPUTED_VALUE"""),0.6009408356068179)</f>
        <v>0.6009408356</v>
      </c>
      <c r="W878" s="82">
        <f>IFERROR(__xludf.DUMMYFUNCTION("""COMPUTED_VALUE"""),1.383847900183156)</f>
        <v>1.3838479</v>
      </c>
      <c r="X878" s="82">
        <f>IFERROR(__xludf.DUMMYFUNCTION("""COMPUTED_VALUE"""),2.6767751047559436)</f>
        <v>2.676775105</v>
      </c>
      <c r="Y878" s="82">
        <f>IFERROR(__xludf.DUMMYFUNCTION("""COMPUTED_VALUE"""),356.24605642155444)</f>
        <v>356.2460564</v>
      </c>
      <c r="Z878" s="82">
        <f>IFERROR(__xludf.DUMMYFUNCTION("""COMPUTED_VALUE"""),0.7526988132581852)</f>
        <v>0.7526988133</v>
      </c>
      <c r="AA878" s="82">
        <f>IFERROR(__xludf.DUMMYFUNCTION("""COMPUTED_VALUE"""),0.5699450049557212)</f>
        <v>0.569945005</v>
      </c>
      <c r="AB878" s="82">
        <f>IFERROR(__xludf.DUMMYFUNCTION("""COMPUTED_VALUE"""),1.4434572899564528)</f>
        <v>1.44345729</v>
      </c>
      <c r="AC878" s="82">
        <f>IFERROR(__xludf.DUMMYFUNCTION("""COMPUTED_VALUE"""),2.6045201397047286)</f>
        <v>2.60452014</v>
      </c>
      <c r="AD878" s="82">
        <f>IFERROR(__xludf.DUMMYFUNCTION("""COMPUTED_VALUE"""),0.9086650294039509)</f>
        <v>0.9086650294</v>
      </c>
      <c r="AE878" s="82">
        <f>IFERROR(__xludf.DUMMYFUNCTION("""COMPUTED_VALUE"""),0.885701764004232)</f>
        <v>0.885701764</v>
      </c>
      <c r="AF878" s="82">
        <f>IFERROR(__xludf.DUMMYFUNCTION("""COMPUTED_VALUE"""),0.8772776244242105)</f>
        <v>0.8772776244</v>
      </c>
      <c r="AG878" s="82">
        <f>IFERROR(__xludf.DUMMYFUNCTION("""COMPUTED_VALUE"""),0.9814399612124344)</f>
        <v>0.9814399612</v>
      </c>
      <c r="AH878" s="82">
        <f>IFERROR(__xludf.DUMMYFUNCTION("""COMPUTED_VALUE"""),0.9998642847745066)</f>
        <v>0.9998642848</v>
      </c>
      <c r="AI878" s="82">
        <f>IFERROR(__xludf.DUMMYFUNCTION("""COMPUTED_VALUE"""),1.0426011032087543)</f>
        <v>1.042601103</v>
      </c>
      <c r="AJ878" s="82">
        <f>IFERROR(__xludf.DUMMYFUNCTION("""COMPUTED_VALUE"""),1.0128083384438158)</f>
        <v>1.012808338</v>
      </c>
      <c r="AK878" s="82">
        <f>IFERROR(__xludf.DUMMYFUNCTION("""COMPUTED_VALUE"""),0.9360322458898951)</f>
        <v>0.9360322459</v>
      </c>
      <c r="AL878" s="82">
        <f>IFERROR(__xludf.DUMMYFUNCTION("""COMPUTED_VALUE"""),1.1592073568593415)</f>
        <v>1.159207357</v>
      </c>
      <c r="AM878" s="82">
        <f>IFERROR(__xludf.DUMMYFUNCTION("""COMPUTED_VALUE"""),0.9676859939318466)</f>
        <v>0.9676859939</v>
      </c>
      <c r="AN878" s="82">
        <f>IFERROR(__xludf.DUMMYFUNCTION("""COMPUTED_VALUE"""),0.9233243267988077)</f>
        <v>0.9233243268</v>
      </c>
      <c r="AO878" s="82">
        <f>IFERROR(__xludf.DUMMYFUNCTION("""COMPUTED_VALUE"""),0.9404355817341434)</f>
        <v>0.9404355817</v>
      </c>
      <c r="AP878" s="82">
        <f>IFERROR(__xludf.DUMMYFUNCTION("""COMPUTED_VALUE"""),0.8758432311811349)</f>
        <v>0.8758432312</v>
      </c>
      <c r="AQ878" s="82">
        <f>IFERROR(__xludf.DUMMYFUNCTION("""COMPUTED_VALUE"""),0.993846189561551)</f>
        <v>0.9938461896</v>
      </c>
      <c r="AR878" s="82">
        <f>IFERROR(__xludf.DUMMYFUNCTION("""COMPUTED_VALUE"""),1.0388777792931856)</f>
        <v>1.038877779</v>
      </c>
      <c r="AS878" s="82">
        <f>IFERROR(__xludf.DUMMYFUNCTION("""COMPUTED_VALUE"""),101.0)</f>
        <v>101</v>
      </c>
      <c r="AT878" s="82">
        <f>IFERROR(__xludf.DUMMYFUNCTION("""COMPUTED_VALUE"""),0.47446874901317043)</f>
        <v>0.474468749</v>
      </c>
      <c r="AU878" s="82">
        <f>IFERROR(__xludf.DUMMYFUNCTION("""COMPUTED_VALUE"""),2.3045740382953612)</f>
        <v>2.304574038</v>
      </c>
      <c r="AV878" s="82">
        <f>IFERROR(__xludf.DUMMYFUNCTION("""COMPUTED_VALUE"""),47.4364886840642)</f>
        <v>47.43648868</v>
      </c>
      <c r="AW878" s="82">
        <f t="shared" si="1"/>
        <v>-2.177871786</v>
      </c>
      <c r="AX878" s="83">
        <f t="array" ref="AX878">IFERROR(DGET('SBV Import'!A:G,"SBV",{"RSC ID","Tier";B878,A878}))</f>
        <v>35.12135909</v>
      </c>
      <c r="AY878" s="82">
        <f t="shared" si="2"/>
        <v>-3.62485554</v>
      </c>
      <c r="AZ878" s="82">
        <v>1.4469837545563542</v>
      </c>
      <c r="BA878" s="84">
        <v>800.0</v>
      </c>
      <c r="BB878" s="84" t="b">
        <f>IFERROR(__xludf.DUMMYFUNCTION("iferror(if(A878="""",,E878&gt;=FILTER(Constants!$F$2:$F$10,Constants!$A$2:$A$10=A878)))"),TRUE)</f>
        <v>1</v>
      </c>
    </row>
    <row r="879">
      <c r="A879" s="80" t="str">
        <f>IFERROR(__xludf.DUMMYFUNCTION("""COMPUTED_VALUE"""),"Elite")</f>
        <v>Elite</v>
      </c>
      <c r="B879" s="73" t="str">
        <f>IFERROR(__xludf.DUMMYFUNCTION("""COMPUTED_VALUE"""),"RSC002161")</f>
        <v>RSC002161</v>
      </c>
      <c r="C879" s="73" t="str">
        <f>IFERROR(__xludf.DUMMYFUNCTION("""COMPUTED_VALUE"""),"TheAngryTryhard")</f>
        <v>TheAngryTryhard</v>
      </c>
      <c r="D879" s="73" t="str">
        <f>IFERROR(__xludf.DUMMYFUNCTION("""COMPUTED_VALUE"""),"Loonie")</f>
        <v>Loonie</v>
      </c>
      <c r="E879" s="82">
        <f>IFERROR(__xludf.DUMMYFUNCTION("""COMPUTED_VALUE"""),32.0)</f>
        <v>32</v>
      </c>
      <c r="F879" s="82">
        <f>IFERROR(__xludf.DUMMYFUNCTION("""COMPUTED_VALUE"""),10.0)</f>
        <v>10</v>
      </c>
      <c r="G879" s="82">
        <f>IFERROR(__xludf.DUMMYFUNCTION("""COMPUTED_VALUE"""),22.0)</f>
        <v>22</v>
      </c>
      <c r="H879" s="86">
        <f>IFERROR(__xludf.DUMMYFUNCTION("""COMPUTED_VALUE"""),0.3125)</f>
        <v>0.3125</v>
      </c>
      <c r="I879" s="86">
        <f>IFERROR(__xludf.DUMMYFUNCTION("""COMPUTED_VALUE"""),0.26373626373626374)</f>
        <v>0.2637362637</v>
      </c>
      <c r="J879" s="82">
        <f>IFERROR(__xludf.DUMMYFUNCTION("""COMPUTED_VALUE"""),342.15625)</f>
        <v>342.15625</v>
      </c>
      <c r="K879" s="82">
        <f>IFERROR(__xludf.DUMMYFUNCTION("""COMPUTED_VALUE"""),0.75)</f>
        <v>0.75</v>
      </c>
      <c r="L879" s="82">
        <f>IFERROR(__xludf.DUMMYFUNCTION("""COMPUTED_VALUE"""),0.375)</f>
        <v>0.375</v>
      </c>
      <c r="M879" s="82">
        <f>IFERROR(__xludf.DUMMYFUNCTION("""COMPUTED_VALUE"""),1.4375)</f>
        <v>1.4375</v>
      </c>
      <c r="N879" s="82">
        <f>IFERROR(__xludf.DUMMYFUNCTION("""COMPUTED_VALUE"""),2.84375)</f>
        <v>2.84375</v>
      </c>
      <c r="O879" s="82">
        <f>IFERROR(__xludf.DUMMYFUNCTION("""COMPUTED_VALUE"""),401.56250000000006)</f>
        <v>401.5625</v>
      </c>
      <c r="P879" s="82">
        <f>IFERROR(__xludf.DUMMYFUNCTION("""COMPUTED_VALUE"""),1.03125)</f>
        <v>1.03125</v>
      </c>
      <c r="Q879" s="82">
        <f>IFERROR(__xludf.DUMMYFUNCTION("""COMPUTED_VALUE"""),0.8541666666666666)</f>
        <v>0.8541666667</v>
      </c>
      <c r="R879" s="82">
        <f>IFERROR(__xludf.DUMMYFUNCTION("""COMPUTED_VALUE"""),1.3333333333333335)</f>
        <v>1.333333333</v>
      </c>
      <c r="S879" s="82">
        <f>IFERROR(__xludf.DUMMYFUNCTION("""COMPUTED_VALUE"""),3.104166666666667)</f>
        <v>3.104166667</v>
      </c>
      <c r="T879" s="82">
        <f>IFERROR(__xludf.DUMMYFUNCTION("""COMPUTED_VALUE"""),382.31666125793333)</f>
        <v>382.3166613</v>
      </c>
      <c r="U879" s="82">
        <f>IFERROR(__xludf.DUMMYFUNCTION("""COMPUTED_VALUE"""),0.898552408392278)</f>
        <v>0.8985524084</v>
      </c>
      <c r="V879" s="82">
        <f>IFERROR(__xludf.DUMMYFUNCTION("""COMPUTED_VALUE"""),0.6541307804988592)</f>
        <v>0.6541307805</v>
      </c>
      <c r="W879" s="82">
        <f>IFERROR(__xludf.DUMMYFUNCTION("""COMPUTED_VALUE"""),1.4042404219594165)</f>
        <v>1.404240422</v>
      </c>
      <c r="X879" s="82">
        <f>IFERROR(__xludf.DUMMYFUNCTION("""COMPUTED_VALUE"""),2.9039812345448737)</f>
        <v>2.903981235</v>
      </c>
      <c r="Y879" s="82">
        <f>IFERROR(__xludf.DUMMYFUNCTION("""COMPUTED_VALUE"""),352.38032663277795)</f>
        <v>352.3803266</v>
      </c>
      <c r="Z879" s="82">
        <f>IFERROR(__xludf.DUMMYFUNCTION("""COMPUTED_VALUE"""),0.6961603863600136)</f>
        <v>0.6961603864</v>
      </c>
      <c r="AA879" s="82">
        <f>IFERROR(__xludf.DUMMYFUNCTION("""COMPUTED_VALUE"""),0.5130680478667059)</f>
        <v>0.5130680479</v>
      </c>
      <c r="AB879" s="82">
        <f>IFERROR(__xludf.DUMMYFUNCTION("""COMPUTED_VALUE"""),1.5234870708135309)</f>
        <v>1.523487071</v>
      </c>
      <c r="AC879" s="82">
        <f>IFERROR(__xludf.DUMMYFUNCTION("""COMPUTED_VALUE"""),2.5174682835179234)</f>
        <v>2.517468284</v>
      </c>
      <c r="AD879" s="82">
        <f>IFERROR(__xludf.DUMMYFUNCTION("""COMPUTED_VALUE"""),0.9709856769517311)</f>
        <v>0.970985677</v>
      </c>
      <c r="AE879" s="82">
        <f>IFERROR(__xludf.DUMMYFUNCTION("""COMPUTED_VALUE"""),1.0773379449547473)</f>
        <v>1.077337945</v>
      </c>
      <c r="AF879" s="82">
        <f>IFERROR(__xludf.DUMMYFUNCTION("""COMPUTED_VALUE"""),0.7308972007888986)</f>
        <v>0.7308972008</v>
      </c>
      <c r="AG879" s="82">
        <f>IFERROR(__xludf.DUMMYFUNCTION("""COMPUTED_VALUE"""),0.9435590413198489)</f>
        <v>0.9435590413</v>
      </c>
      <c r="AH879" s="82">
        <f>IFERROR(__xludf.DUMMYFUNCTION("""COMPUTED_VALUE"""),1.1296070812960268)</f>
        <v>1.129607081</v>
      </c>
      <c r="AI879" s="82">
        <f>IFERROR(__xludf.DUMMYFUNCTION("""COMPUTED_VALUE"""),1.0503400471189048)</f>
        <v>1.050340047</v>
      </c>
      <c r="AJ879" s="82">
        <f>IFERROR(__xludf.DUMMYFUNCTION("""COMPUTED_VALUE"""),1.1476793010272481)</f>
        <v>1.147679301</v>
      </c>
      <c r="AK879" s="82">
        <f>IFERROR(__xludf.DUMMYFUNCTION("""COMPUTED_VALUE"""),1.3058041176647492)</f>
        <v>1.305804118</v>
      </c>
      <c r="AL879" s="82">
        <f>IFERROR(__xludf.DUMMYFUNCTION("""COMPUTED_VALUE"""),0.9495050224183532)</f>
        <v>0.9495050224</v>
      </c>
      <c r="AM879" s="82">
        <f>IFERROR(__xludf.DUMMYFUNCTION("""COMPUTED_VALUE"""),1.0689348229046554)</f>
        <v>1.068934823</v>
      </c>
      <c r="AN879" s="82">
        <f>IFERROR(__xludf.DUMMYFUNCTION("""COMPUTED_VALUE"""),0.975943949104146)</f>
        <v>0.9759439491</v>
      </c>
      <c r="AO879" s="82">
        <f>IFERROR(__xludf.DUMMYFUNCTION("""COMPUTED_VALUE"""),1.0579900294509115)</f>
        <v>1.057990029</v>
      </c>
      <c r="AP879" s="82">
        <f>IFERROR(__xludf.DUMMYFUNCTION("""COMPUTED_VALUE"""),0.6568824233858512)</f>
        <v>0.6568824234</v>
      </c>
      <c r="AQ879" s="82">
        <f>IFERROR(__xludf.DUMMYFUNCTION("""COMPUTED_VALUE"""),1.008461574702162)</f>
        <v>1.008461575</v>
      </c>
      <c r="AR879" s="82">
        <f>IFERROR(__xludf.DUMMYFUNCTION("""COMPUTED_VALUE"""),1.1344545349881587)</f>
        <v>1.134454535</v>
      </c>
      <c r="AS879" s="82">
        <f>IFERROR(__xludf.DUMMYFUNCTION("""COMPUTED_VALUE"""),55.0)</f>
        <v>55</v>
      </c>
      <c r="AT879" s="82">
        <f>IFERROR(__xludf.DUMMYFUNCTION("""COMPUTED_VALUE"""),0.28440823823840294)</f>
        <v>0.2844082382</v>
      </c>
      <c r="AU879" s="82">
        <f>IFERROR(__xludf.DUMMYFUNCTION("""COMPUTED_VALUE"""),2.301470107119682)</f>
        <v>2.301470107</v>
      </c>
      <c r="AV879" s="82">
        <f>IFERROR(__xludf.DUMMYFUNCTION("""COMPUTED_VALUE"""),47.34720654664901)</f>
        <v>47.34720655</v>
      </c>
      <c r="AW879" s="82">
        <f t="shared" si="1"/>
        <v>-2.184613618</v>
      </c>
      <c r="AX879" s="83">
        <f t="array" ref="AX879">IFERROR(DGET('SBV Import'!A:G,"SBV",{"RSC ID","Tier";B879,A879}))</f>
        <v>37.46379816</v>
      </c>
      <c r="AY879" s="82">
        <f t="shared" si="2"/>
        <v>-3.246459095</v>
      </c>
      <c r="AZ879" s="82">
        <v>1.0618454765139922</v>
      </c>
      <c r="BA879" s="84">
        <v>800.0</v>
      </c>
      <c r="BB879" s="84" t="b">
        <f>IFERROR(__xludf.DUMMYFUNCTION("iferror(if(A879="""",,E879&gt;=FILTER(Constants!$F$2:$F$10,Constants!$A$2:$A$10=A879)))"),TRUE)</f>
        <v>1</v>
      </c>
    </row>
    <row r="880">
      <c r="A880" s="80" t="str">
        <f>IFERROR(__xludf.DUMMYFUNCTION("""COMPUTED_VALUE"""),"Elite")</f>
        <v>Elite</v>
      </c>
      <c r="B880" s="73" t="str">
        <f>IFERROR(__xludf.DUMMYFUNCTION("""COMPUTED_VALUE"""),"RSC005845")</f>
        <v>RSC005845</v>
      </c>
      <c r="C880" s="73" t="str">
        <f>IFERROR(__xludf.DUMMYFUNCTION("""COMPUTED_VALUE"""),"Milk_shakes.")</f>
        <v>Milk_shakes.</v>
      </c>
      <c r="D880" s="73"/>
      <c r="E880" s="82">
        <f>IFERROR(__xludf.DUMMYFUNCTION("""COMPUTED_VALUE"""),24.0)</f>
        <v>24</v>
      </c>
      <c r="F880" s="82">
        <f>IFERROR(__xludf.DUMMYFUNCTION("""COMPUTED_VALUE"""),10.0)</f>
        <v>10</v>
      </c>
      <c r="G880" s="82">
        <f>IFERROR(__xludf.DUMMYFUNCTION("""COMPUTED_VALUE"""),14.0)</f>
        <v>14</v>
      </c>
      <c r="H880" s="86">
        <f>IFERROR(__xludf.DUMMYFUNCTION("""COMPUTED_VALUE"""),0.4166666666666667)</f>
        <v>0.4166666667</v>
      </c>
      <c r="I880" s="86">
        <f>IFERROR(__xludf.DUMMYFUNCTION("""COMPUTED_VALUE"""),0.28571428571428575)</f>
        <v>0.2857142857</v>
      </c>
      <c r="J880" s="82">
        <f>IFERROR(__xludf.DUMMYFUNCTION("""COMPUTED_VALUE"""),332.375)</f>
        <v>332.375</v>
      </c>
      <c r="K880" s="82">
        <f>IFERROR(__xludf.DUMMYFUNCTION("""COMPUTED_VALUE"""),0.5833333333333334)</f>
        <v>0.5833333333</v>
      </c>
      <c r="L880" s="82">
        <f>IFERROR(__xludf.DUMMYFUNCTION("""COMPUTED_VALUE"""),0.5833333333333334)</f>
        <v>0.5833333333</v>
      </c>
      <c r="M880" s="82">
        <f>IFERROR(__xludf.DUMMYFUNCTION("""COMPUTED_VALUE"""),1.4583333333333333)</f>
        <v>1.458333333</v>
      </c>
      <c r="N880" s="82">
        <f>IFERROR(__xludf.DUMMYFUNCTION("""COMPUTED_VALUE"""),2.0416666666666665)</f>
        <v>2.041666667</v>
      </c>
      <c r="O880" s="82">
        <f>IFERROR(__xludf.DUMMYFUNCTION("""COMPUTED_VALUE"""),329.15277777777777)</f>
        <v>329.1527778</v>
      </c>
      <c r="P880" s="82">
        <f>IFERROR(__xludf.DUMMYFUNCTION("""COMPUTED_VALUE"""),0.6805555555555555)</f>
        <v>0.6805555556</v>
      </c>
      <c r="Q880" s="82">
        <f>IFERROR(__xludf.DUMMYFUNCTION("""COMPUTED_VALUE"""),0.513888888888889)</f>
        <v>0.5138888889</v>
      </c>
      <c r="R880" s="82">
        <f>IFERROR(__xludf.DUMMYFUNCTION("""COMPUTED_VALUE"""),1.1250000000000002)</f>
        <v>1.125</v>
      </c>
      <c r="S880" s="82">
        <f>IFERROR(__xludf.DUMMYFUNCTION("""COMPUTED_VALUE"""),2.6527777777777772)</f>
        <v>2.652777778</v>
      </c>
      <c r="T880" s="82">
        <f>IFERROR(__xludf.DUMMYFUNCTION("""COMPUTED_VALUE"""),368.6285662928706)</f>
        <v>368.6285663</v>
      </c>
      <c r="U880" s="82">
        <f>IFERROR(__xludf.DUMMYFUNCTION("""COMPUTED_VALUE"""),0.8346482077291816)</f>
        <v>0.8346482077</v>
      </c>
      <c r="V880" s="82">
        <f>IFERROR(__xludf.DUMMYFUNCTION("""COMPUTED_VALUE"""),0.6310394651248209)</f>
        <v>0.6310394651</v>
      </c>
      <c r="W880" s="82">
        <f>IFERROR(__xludf.DUMMYFUNCTION("""COMPUTED_VALUE"""),1.3302938893244756)</f>
        <v>1.330293889</v>
      </c>
      <c r="X880" s="82">
        <f>IFERROR(__xludf.DUMMYFUNCTION("""COMPUTED_VALUE"""),2.8443135446284677)</f>
        <v>2.844313545</v>
      </c>
      <c r="Y880" s="82">
        <f>IFERROR(__xludf.DUMMYFUNCTION("""COMPUTED_VALUE"""),350.76159186798344)</f>
        <v>350.7615919</v>
      </c>
      <c r="Z880" s="82">
        <f>IFERROR(__xludf.DUMMYFUNCTION("""COMPUTED_VALUE"""),0.7182458869723644)</f>
        <v>0.718245887</v>
      </c>
      <c r="AA880" s="82">
        <f>IFERROR(__xludf.DUMMYFUNCTION("""COMPUTED_VALUE"""),0.5354564386593793)</f>
        <v>0.5354564387</v>
      </c>
      <c r="AB880" s="82">
        <f>IFERROR(__xludf.DUMMYFUNCTION("""COMPUTED_VALUE"""),1.4598121026566566)</f>
        <v>1.459812103</v>
      </c>
      <c r="AC880" s="82">
        <f>IFERROR(__xludf.DUMMYFUNCTION("""COMPUTED_VALUE"""),2.4778162366979637)</f>
        <v>2.477816237</v>
      </c>
      <c r="AD880" s="82">
        <f>IFERROR(__xludf.DUMMYFUNCTION("""COMPUTED_VALUE"""),0.947580943027241)</f>
        <v>0.947580943</v>
      </c>
      <c r="AE880" s="82">
        <f>IFERROR(__xludf.DUMMYFUNCTION("""COMPUTED_VALUE"""),0.8121638340210614)</f>
        <v>0.812163834</v>
      </c>
      <c r="AF880" s="82">
        <f>IFERROR(__xludf.DUMMYFUNCTION("""COMPUTED_VALUE"""),1.0894132392801612)</f>
        <v>1.089413239</v>
      </c>
      <c r="AG880" s="82">
        <f>IFERROR(__xludf.DUMMYFUNCTION("""COMPUTED_VALUE"""),0.9989870139310174)</f>
        <v>0.9989870139</v>
      </c>
      <c r="AH880" s="82">
        <f>IFERROR(__xludf.DUMMYFUNCTION("""COMPUTED_VALUE"""),0.8239782419811215)</f>
        <v>0.823978242</v>
      </c>
      <c r="AI880" s="82">
        <f>IFERROR(__xludf.DUMMYFUNCTION("""COMPUTED_VALUE"""),0.8929117487771422)</f>
        <v>0.8929117488</v>
      </c>
      <c r="AJ880" s="82">
        <f>IFERROR(__xludf.DUMMYFUNCTION("""COMPUTED_VALUE"""),0.8153801197358773)</f>
        <v>0.8153801197</v>
      </c>
      <c r="AK880" s="82">
        <f>IFERROR(__xludf.DUMMYFUNCTION("""COMPUTED_VALUE"""),0.814353011641262)</f>
        <v>0.8143530116</v>
      </c>
      <c r="AL880" s="82">
        <f>IFERROR(__xludf.DUMMYFUNCTION("""COMPUTED_VALUE"""),0.8456777927253926)</f>
        <v>0.8456777927</v>
      </c>
      <c r="AM880" s="82">
        <f>IFERROR(__xludf.DUMMYFUNCTION("""COMPUTED_VALUE"""),0.9326601080206474)</f>
        <v>0.932660108</v>
      </c>
      <c r="AN880" s="82">
        <f>IFERROR(__xludf.DUMMYFUNCTION("""COMPUTED_VALUE"""),0.948044555911197)</f>
        <v>0.9480445559</v>
      </c>
      <c r="AO880" s="82">
        <f>IFERROR(__xludf.DUMMYFUNCTION("""COMPUTED_VALUE"""),0.8228811340173756)</f>
        <v>0.822881134</v>
      </c>
      <c r="AP880" s="82">
        <f>IFERROR(__xludf.DUMMYFUNCTION("""COMPUTED_VALUE"""),1.0218171030446574)</f>
        <v>1.021817103</v>
      </c>
      <c r="AQ880" s="82">
        <f>IFERROR(__xludf.DUMMYFUNCTION("""COMPUTED_VALUE"""),1.023076959842773)</f>
        <v>1.02307696</v>
      </c>
      <c r="AR880" s="82">
        <f>IFERROR(__xludf.DUMMYFUNCTION("""COMPUTED_VALUE"""),0.8144801789658574)</f>
        <v>0.814480179</v>
      </c>
      <c r="AS880" s="82">
        <f>IFERROR(__xludf.DUMMYFUNCTION("""COMPUTED_VALUE"""),50.0)</f>
        <v>50</v>
      </c>
      <c r="AT880" s="82">
        <f>IFERROR(__xludf.DUMMYFUNCTION("""COMPUTED_VALUE"""),0.5075847791430991)</f>
        <v>0.5075847791</v>
      </c>
      <c r="AU880" s="82">
        <f>IFERROR(__xludf.DUMMYFUNCTION("""COMPUTED_VALUE"""),2.2763601256066126)</f>
        <v>2.276360126</v>
      </c>
      <c r="AV880" s="82">
        <f>IFERROR(__xludf.DUMMYFUNCTION("""COMPUTED_VALUE"""),46.624937690461415)</f>
        <v>46.62493769</v>
      </c>
      <c r="AW880" s="82">
        <f t="shared" si="1"/>
        <v>-2.240620445</v>
      </c>
      <c r="AX880" s="83">
        <f t="array" ref="AX880">IFERROR(DGET('SBV Import'!A:G,"SBV",{"RSC ID","Tier";B880,A880}))</f>
        <v>49.92653389</v>
      </c>
      <c r="AY880" s="82">
        <f t="shared" si="2"/>
        <v>-2.004700412</v>
      </c>
      <c r="AZ880" s="82">
        <v>0.23592003291061792</v>
      </c>
      <c r="BA880" s="84">
        <v>800.0</v>
      </c>
      <c r="BB880" s="84" t="b">
        <f>IFERROR(__xludf.DUMMYFUNCTION("iferror(if(A880="""",,E880&gt;=FILTER(Constants!$F$2:$F$10,Constants!$A$2:$A$10=A880)))"),TRUE)</f>
        <v>1</v>
      </c>
    </row>
    <row r="881">
      <c r="A881" s="80" t="str">
        <f>IFERROR(__xludf.DUMMYFUNCTION("""COMPUTED_VALUE"""),"Elite")</f>
        <v>Elite</v>
      </c>
      <c r="B881" s="73" t="str">
        <f>IFERROR(__xludf.DUMMYFUNCTION("""COMPUTED_VALUE"""),"RSC007269")</f>
        <v>RSC007269</v>
      </c>
      <c r="C881" s="73" t="str">
        <f>IFERROR(__xludf.DUMMYFUNCTION("""COMPUTED_VALUE"""),"Navik")</f>
        <v>Navik</v>
      </c>
      <c r="D881" s="73" t="str">
        <f>IFERROR(__xludf.DUMMYFUNCTION("""COMPUTED_VALUE"""),"Stoked Blokes")</f>
        <v>Stoked Blokes</v>
      </c>
      <c r="E881" s="82">
        <f>IFERROR(__xludf.DUMMYFUNCTION("""COMPUTED_VALUE"""),43.0)</f>
        <v>43</v>
      </c>
      <c r="F881" s="82">
        <f>IFERROR(__xludf.DUMMYFUNCTION("""COMPUTED_VALUE"""),21.0)</f>
        <v>21</v>
      </c>
      <c r="G881" s="82">
        <f>IFERROR(__xludf.DUMMYFUNCTION("""COMPUTED_VALUE"""),22.0)</f>
        <v>22</v>
      </c>
      <c r="H881" s="86">
        <f>IFERROR(__xludf.DUMMYFUNCTION("""COMPUTED_VALUE"""),0.4883720930232558)</f>
        <v>0.488372093</v>
      </c>
      <c r="I881" s="86">
        <f>IFERROR(__xludf.DUMMYFUNCTION("""COMPUTED_VALUE"""),0.3131313131313131)</f>
        <v>0.3131313131</v>
      </c>
      <c r="J881" s="82">
        <f>IFERROR(__xludf.DUMMYFUNCTION("""COMPUTED_VALUE"""),347.69767441860466)</f>
        <v>347.6976744</v>
      </c>
      <c r="K881" s="82">
        <f>IFERROR(__xludf.DUMMYFUNCTION("""COMPUTED_VALUE"""),0.7209302325581395)</f>
        <v>0.7209302326</v>
      </c>
      <c r="L881" s="82">
        <f>IFERROR(__xludf.DUMMYFUNCTION("""COMPUTED_VALUE"""),0.4186046511627907)</f>
        <v>0.4186046512</v>
      </c>
      <c r="M881" s="82">
        <f>IFERROR(__xludf.DUMMYFUNCTION("""COMPUTED_VALUE"""),1.4883720930232558)</f>
        <v>1.488372093</v>
      </c>
      <c r="N881" s="82">
        <f>IFERROR(__xludf.DUMMYFUNCTION("""COMPUTED_VALUE"""),2.302325581395349)</f>
        <v>2.302325581</v>
      </c>
      <c r="O881" s="82">
        <f>IFERROR(__xludf.DUMMYFUNCTION("""COMPUTED_VALUE"""),337.70542635658927)</f>
        <v>337.7054264</v>
      </c>
      <c r="P881" s="82">
        <f>IFERROR(__xludf.DUMMYFUNCTION("""COMPUTED_VALUE"""),0.6666666666666669)</f>
        <v>0.6666666667</v>
      </c>
      <c r="Q881" s="82">
        <f>IFERROR(__xludf.DUMMYFUNCTION("""COMPUTED_VALUE"""),0.496124031007752)</f>
        <v>0.496124031</v>
      </c>
      <c r="R881" s="82">
        <f>IFERROR(__xludf.DUMMYFUNCTION("""COMPUTED_VALUE"""),1.3255813953488371)</f>
        <v>1.325581395</v>
      </c>
      <c r="S881" s="82">
        <f>IFERROR(__xludf.DUMMYFUNCTION("""COMPUTED_VALUE"""),2.5658914728682167)</f>
        <v>2.565891473</v>
      </c>
      <c r="T881" s="82">
        <f>IFERROR(__xludf.DUMMYFUNCTION("""COMPUTED_VALUE"""),360.25252808596696)</f>
        <v>360.2525281</v>
      </c>
      <c r="U881" s="82">
        <f>IFERROR(__xludf.DUMMYFUNCTION("""COMPUTED_VALUE"""),0.7761903481844858)</f>
        <v>0.7761903482</v>
      </c>
      <c r="V881" s="82">
        <f>IFERROR(__xludf.DUMMYFUNCTION("""COMPUTED_VALUE"""),0.602024042370007)</f>
        <v>0.6020240424</v>
      </c>
      <c r="W881" s="82">
        <f>IFERROR(__xludf.DUMMYFUNCTION("""COMPUTED_VALUE"""),1.4492382185644765)</f>
        <v>1.449238219</v>
      </c>
      <c r="X881" s="82">
        <f>IFERROR(__xludf.DUMMYFUNCTION("""COMPUTED_VALUE"""),2.5718450845448473)</f>
        <v>2.571845085</v>
      </c>
      <c r="Y881" s="82">
        <f>IFERROR(__xludf.DUMMYFUNCTION("""COMPUTED_VALUE"""),360.78506844862784)</f>
        <v>360.7850684</v>
      </c>
      <c r="Z881" s="82">
        <f>IFERROR(__xludf.DUMMYFUNCTION("""COMPUTED_VALUE"""),0.7983836215487309)</f>
        <v>0.7983836215</v>
      </c>
      <c r="AA881" s="82">
        <f>IFERROR(__xludf.DUMMYFUNCTION("""COMPUTED_VALUE"""),0.5944808073767313)</f>
        <v>0.5944808074</v>
      </c>
      <c r="AB881" s="82">
        <f>IFERROR(__xludf.DUMMYFUNCTION("""COMPUTED_VALUE"""),1.3603259215767518)</f>
        <v>1.360325922</v>
      </c>
      <c r="AC881" s="82">
        <f>IFERROR(__xludf.DUMMYFUNCTION("""COMPUTED_VALUE"""),2.6884007958189353)</f>
        <v>2.688400796</v>
      </c>
      <c r="AD881" s="82">
        <f>IFERROR(__xludf.DUMMYFUNCTION("""COMPUTED_VALUE"""),0.9637252337345921)</f>
        <v>0.9637252337</v>
      </c>
      <c r="AE881" s="82">
        <f>IFERROR(__xludf.DUMMYFUNCTION("""COMPUTED_VALUE"""),0.9029872521177917)</f>
        <v>0.9029872521</v>
      </c>
      <c r="AF881" s="82">
        <f>IFERROR(__xludf.DUMMYFUNCTION("""COMPUTED_VALUE"""),0.7041516664095007)</f>
        <v>0.7041516664</v>
      </c>
      <c r="AG881" s="82">
        <f>IFERROR(__xludf.DUMMYFUNCTION("""COMPUTED_VALUE"""),1.094129038795413)</f>
        <v>1.094129039</v>
      </c>
      <c r="AH881" s="82">
        <f>IFERROR(__xludf.DUMMYFUNCTION("""COMPUTED_VALUE"""),0.8563922406867236)</f>
        <v>0.8563922407</v>
      </c>
      <c r="AI881" s="82">
        <f>IFERROR(__xludf.DUMMYFUNCTION("""COMPUTED_VALUE"""),0.9374130645267886)</f>
        <v>0.9374130645</v>
      </c>
      <c r="AJ881" s="82">
        <f>IFERROR(__xludf.DUMMYFUNCTION("""COMPUTED_VALUE"""),0.8588958471668765)</f>
        <v>0.8588958472</v>
      </c>
      <c r="AK881" s="82">
        <f>IFERROR(__xludf.DUMMYFUNCTION("""COMPUTED_VALUE"""),0.8240933851323361)</f>
        <v>0.8240933851</v>
      </c>
      <c r="AL881" s="82">
        <f>IFERROR(__xludf.DUMMYFUNCTION("""COMPUTED_VALUE"""),0.914674605160409)</f>
        <v>0.9146746052</v>
      </c>
      <c r="AM881" s="82">
        <f>IFERROR(__xludf.DUMMYFUNCTION("""COMPUTED_VALUE"""),0.9976850815344952)</f>
        <v>0.9976850815</v>
      </c>
      <c r="AN881" s="82">
        <f>IFERROR(__xludf.DUMMYFUNCTION("""COMPUTED_VALUE"""),0.9917499430930184)</f>
        <v>0.9917499431</v>
      </c>
      <c r="AO881" s="82">
        <f>IFERROR(__xludf.DUMMYFUNCTION("""COMPUTED_VALUE"""),1.016982663968318)</f>
        <v>1.016982664</v>
      </c>
      <c r="AP881" s="82">
        <f>IFERROR(__xludf.DUMMYFUNCTION("""COMPUTED_VALUE"""),0.7332641005237409)</f>
        <v>0.7332641005</v>
      </c>
      <c r="AQ881" s="82">
        <f>IFERROR(__xludf.DUMMYFUNCTION("""COMPUTED_VALUE"""),1.044150305859468)</f>
        <v>1.044150306</v>
      </c>
      <c r="AR881" s="82">
        <f>IFERROR(__xludf.DUMMYFUNCTION("""COMPUTED_VALUE"""),0.9184645966885987)</f>
        <v>0.9184645967</v>
      </c>
      <c r="AS881" s="82">
        <f>IFERROR(__xludf.DUMMYFUNCTION("""COMPUTED_VALUE"""),90.0)</f>
        <v>90</v>
      </c>
      <c r="AT881" s="82">
        <f>IFERROR(__xludf.DUMMYFUNCTION("""COMPUTED_VALUE"""),0.5170247556929914)</f>
        <v>0.5170247557</v>
      </c>
      <c r="AU881" s="82">
        <f>IFERROR(__xludf.DUMMYFUNCTION("""COMPUTED_VALUE"""),2.259915275475704)</f>
        <v>2.259915275</v>
      </c>
      <c r="AV881" s="82">
        <f>IFERROR(__xludf.DUMMYFUNCTION("""COMPUTED_VALUE"""),46.151914518857495)</f>
        <v>46.15191452</v>
      </c>
      <c r="AW881" s="82">
        <f t="shared" si="1"/>
        <v>-2.278760503</v>
      </c>
      <c r="AX881" s="83">
        <f t="array" ref="AX881">IFERROR(DGET('SBV Import'!A:G,"SBV",{"RSC ID","Tier";B881,A881}))</f>
        <v>46.23793606</v>
      </c>
      <c r="AY881" s="82">
        <f t="shared" si="2"/>
        <v>-2.271736199</v>
      </c>
      <c r="AZ881" s="82">
        <v>0.007024303805308829</v>
      </c>
      <c r="BA881" s="84">
        <v>800.0</v>
      </c>
      <c r="BB881" s="84" t="b">
        <f>IFERROR(__xludf.DUMMYFUNCTION("iferror(if(A881="""",,E881&gt;=FILTER(Constants!$F$2:$F$10,Constants!$A$2:$A$10=A881)))"),TRUE)</f>
        <v>1</v>
      </c>
    </row>
    <row r="882">
      <c r="A882" s="80" t="str">
        <f>IFERROR(__xludf.DUMMYFUNCTION("""COMPUTED_VALUE"""),"Elite")</f>
        <v>Elite</v>
      </c>
      <c r="B882" s="73" t="str">
        <f>IFERROR(__xludf.DUMMYFUNCTION("""COMPUTED_VALUE"""),"RSC006056")</f>
        <v>RSC006056</v>
      </c>
      <c r="C882" s="73" t="str">
        <f>IFERROR(__xludf.DUMMYFUNCTION("""COMPUTED_VALUE"""),"redsteel43br")</f>
        <v>redsteel43br</v>
      </c>
      <c r="D882" s="73" t="str">
        <f>IFERROR(__xludf.DUMMYFUNCTION("""COMPUTED_VALUE"""),"Great Whites")</f>
        <v>Great Whites</v>
      </c>
      <c r="E882" s="82">
        <f>IFERROR(__xludf.DUMMYFUNCTION("""COMPUTED_VALUE"""),13.0)</f>
        <v>13</v>
      </c>
      <c r="F882" s="82">
        <f>IFERROR(__xludf.DUMMYFUNCTION("""COMPUTED_VALUE"""),8.0)</f>
        <v>8</v>
      </c>
      <c r="G882" s="82">
        <f>IFERROR(__xludf.DUMMYFUNCTION("""COMPUTED_VALUE"""),5.0)</f>
        <v>5</v>
      </c>
      <c r="H882" s="86">
        <f>IFERROR(__xludf.DUMMYFUNCTION("""COMPUTED_VALUE"""),0.6153846153846154)</f>
        <v>0.6153846154</v>
      </c>
      <c r="I882" s="86">
        <f>IFERROR(__xludf.DUMMYFUNCTION("""COMPUTED_VALUE"""),0.1951219512195122)</f>
        <v>0.1951219512</v>
      </c>
      <c r="J882" s="82">
        <f>IFERROR(__xludf.DUMMYFUNCTION("""COMPUTED_VALUE"""),299.84615384615387)</f>
        <v>299.8461538</v>
      </c>
      <c r="K882" s="82">
        <f>IFERROR(__xludf.DUMMYFUNCTION("""COMPUTED_VALUE"""),0.6153846153846154)</f>
        <v>0.6153846154</v>
      </c>
      <c r="L882" s="82">
        <f>IFERROR(__xludf.DUMMYFUNCTION("""COMPUTED_VALUE"""),0.6153846153846154)</f>
        <v>0.6153846154</v>
      </c>
      <c r="M882" s="82">
        <f>IFERROR(__xludf.DUMMYFUNCTION("""COMPUTED_VALUE"""),0.8461538461538461)</f>
        <v>0.8461538462</v>
      </c>
      <c r="N882" s="82">
        <f>IFERROR(__xludf.DUMMYFUNCTION("""COMPUTED_VALUE"""),3.1538461538461537)</f>
        <v>3.153846154</v>
      </c>
      <c r="O882" s="82">
        <f>IFERROR(__xludf.DUMMYFUNCTION("""COMPUTED_VALUE"""),383.2307692307692)</f>
        <v>383.2307692</v>
      </c>
      <c r="P882" s="82">
        <f>IFERROR(__xludf.DUMMYFUNCTION("""COMPUTED_VALUE"""),0.6666666666666666)</f>
        <v>0.6666666667</v>
      </c>
      <c r="Q882" s="82">
        <f>IFERROR(__xludf.DUMMYFUNCTION("""COMPUTED_VALUE"""),0.5641025641025641)</f>
        <v>0.5641025641</v>
      </c>
      <c r="R882" s="82">
        <f>IFERROR(__xludf.DUMMYFUNCTION("""COMPUTED_VALUE"""),1.8717948717948718)</f>
        <v>1.871794872</v>
      </c>
      <c r="S882" s="82">
        <f>IFERROR(__xludf.DUMMYFUNCTION("""COMPUTED_VALUE"""),2.41025641025641)</f>
        <v>2.41025641</v>
      </c>
      <c r="T882" s="82">
        <f>IFERROR(__xludf.DUMMYFUNCTION("""COMPUTED_VALUE"""),364.8840864851903)</f>
        <v>364.8840865</v>
      </c>
      <c r="U882" s="82">
        <f>IFERROR(__xludf.DUMMYFUNCTION("""COMPUTED_VALUE"""),0.705955924300768)</f>
        <v>0.7059559243</v>
      </c>
      <c r="V882" s="82">
        <f>IFERROR(__xludf.DUMMYFUNCTION("""COMPUTED_VALUE"""),0.42456395239762)</f>
        <v>0.4245639524</v>
      </c>
      <c r="W882" s="82">
        <f>IFERROR(__xludf.DUMMYFUNCTION("""COMPUTED_VALUE"""),1.7480314386683669)</f>
        <v>1.748031439</v>
      </c>
      <c r="X882" s="82">
        <f>IFERROR(__xludf.DUMMYFUNCTION("""COMPUTED_VALUE"""),2.3886825857357006)</f>
        <v>2.388682586</v>
      </c>
      <c r="Y882" s="82">
        <f>IFERROR(__xludf.DUMMYFUNCTION("""COMPUTED_VALUE"""),374.0525411212402)</f>
        <v>374.0525411</v>
      </c>
      <c r="Z882" s="82">
        <f>IFERROR(__xludf.DUMMYFUNCTION("""COMPUTED_VALUE"""),0.8782498565808716)</f>
        <v>0.8782498566</v>
      </c>
      <c r="AA882" s="82">
        <f>IFERROR(__xludf.DUMMYFUNCTION("""COMPUTED_VALUE"""),0.6540314605495431)</f>
        <v>0.6540314605</v>
      </c>
      <c r="AB882" s="82">
        <f>IFERROR(__xludf.DUMMYFUNCTION("""COMPUTED_VALUE"""),1.3037114132964716)</f>
        <v>1.303711413</v>
      </c>
      <c r="AC882" s="82">
        <f>IFERROR(__xludf.DUMMYFUNCTION("""COMPUTED_VALUE"""),3.0793004808539846)</f>
        <v>3.079300481</v>
      </c>
      <c r="AD882" s="82">
        <f>IFERROR(__xludf.DUMMYFUNCTION("""COMPUTED_VALUE"""),0.8016150697635974)</f>
        <v>0.8016150698</v>
      </c>
      <c r="AE882" s="82">
        <f>IFERROR(__xludf.DUMMYFUNCTION("""COMPUTED_VALUE"""),0.7006942395417848)</f>
        <v>0.7006942395</v>
      </c>
      <c r="AF882" s="82">
        <f>IFERROR(__xludf.DUMMYFUNCTION("""COMPUTED_VALUE"""),0.9409098071024671)</f>
        <v>0.9409098071</v>
      </c>
      <c r="AG882" s="82">
        <f>IFERROR(__xludf.DUMMYFUNCTION("""COMPUTED_VALUE"""),0.6490346234020625)</f>
        <v>0.6490346234</v>
      </c>
      <c r="AH882" s="82">
        <f>IFERROR(__xludf.DUMMYFUNCTION("""COMPUTED_VALUE"""),1.0242086387657419)</f>
        <v>1.024208639</v>
      </c>
      <c r="AI882" s="82">
        <f>IFERROR(__xludf.DUMMYFUNCTION("""COMPUTED_VALUE"""),1.050280851988659)</f>
        <v>1.050280852</v>
      </c>
      <c r="AJ882" s="82">
        <f>IFERROR(__xludf.DUMMYFUNCTION("""COMPUTED_VALUE"""),0.9443460189486809)</f>
        <v>0.9443460189</v>
      </c>
      <c r="AK882" s="82">
        <f>IFERROR(__xludf.DUMMYFUNCTION("""COMPUTED_VALUE"""),1.3286633519330462)</f>
        <v>1.328663352</v>
      </c>
      <c r="AL882" s="82">
        <f>IFERROR(__xludf.DUMMYFUNCTION("""COMPUTED_VALUE"""),1.070801605960123)</f>
        <v>1.070801606</v>
      </c>
      <c r="AM882" s="82">
        <f>IFERROR(__xludf.DUMMYFUNCTION("""COMPUTED_VALUE"""),1.0090316832590234)</f>
        <v>1.009031683</v>
      </c>
      <c r="AN882" s="82">
        <f>IFERROR(__xludf.DUMMYFUNCTION("""COMPUTED_VALUE"""),0.8552614178706504)</f>
        <v>0.8552614179</v>
      </c>
      <c r="AO882" s="82">
        <f>IFERROR(__xludf.DUMMYFUNCTION("""COMPUTED_VALUE"""),0.8680943831392094)</f>
        <v>0.8680943831</v>
      </c>
      <c r="AP882" s="82">
        <f>IFERROR(__xludf.DUMMYFUNCTION("""COMPUTED_VALUE"""),1.077960899915243)</f>
        <v>1.0779609</v>
      </c>
      <c r="AQ882" s="82">
        <f>IFERROR(__xludf.DUMMYFUNCTION("""COMPUTED_VALUE"""),0.5936094887878947)</f>
        <v>0.5936094888</v>
      </c>
      <c r="AR882" s="82">
        <f>IFERROR(__xludf.DUMMYFUNCTION("""COMPUTED_VALUE"""),1.258160904399378)</f>
        <v>1.258160904</v>
      </c>
      <c r="AS882" s="82">
        <f>IFERROR(__xludf.DUMMYFUNCTION("""COMPUTED_VALUE"""),32.0)</f>
        <v>32</v>
      </c>
      <c r="AT882" s="82">
        <f>IFERROR(__xludf.DUMMYFUNCTION("""COMPUTED_VALUE"""),0.5790664004237931)</f>
        <v>0.5790664004</v>
      </c>
      <c r="AU882" s="82">
        <f>IFERROR(__xludf.DUMMYFUNCTION("""COMPUTED_VALUE"""),2.2163011316071937)</f>
        <v>2.216301132</v>
      </c>
      <c r="AV882" s="82">
        <f>IFERROR(__xludf.DUMMYFUNCTION("""COMPUTED_VALUE"""),44.897387995645445)</f>
        <v>44.897388</v>
      </c>
      <c r="AW882" s="82">
        <f t="shared" si="1"/>
        <v>-2.385860854</v>
      </c>
      <c r="AX882" s="83">
        <f t="array" ref="AX882">IFERROR(DGET('SBV Import'!A:G,"SBV",{"RSC ID","Tier";B882,A882}))</f>
        <v>24.42773274</v>
      </c>
      <c r="AY882" s="82">
        <f t="shared" si="2"/>
        <v>-6.528277376</v>
      </c>
      <c r="AZ882" s="82">
        <v>4.142416521996545</v>
      </c>
      <c r="BA882" s="84">
        <v>800.0</v>
      </c>
      <c r="BB882" s="84" t="b">
        <f>IFERROR(__xludf.DUMMYFUNCTION("iferror(if(A882="""",,E882&gt;=FILTER(Constants!$F$2:$F$10,Constants!$A$2:$A$10=A882)))"),TRUE)</f>
        <v>1</v>
      </c>
    </row>
    <row r="883">
      <c r="A883" s="80" t="str">
        <f>IFERROR(__xludf.DUMMYFUNCTION("""COMPUTED_VALUE"""),"Elite")</f>
        <v>Elite</v>
      </c>
      <c r="B883" s="73" t="str">
        <f>IFERROR(__xludf.DUMMYFUNCTION("""COMPUTED_VALUE"""),"RSC003113")</f>
        <v>RSC003113</v>
      </c>
      <c r="C883" s="73" t="str">
        <f>IFERROR(__xludf.DUMMYFUNCTION("""COMPUTED_VALUE"""),"Nebulade")</f>
        <v>Nebulade</v>
      </c>
      <c r="D883" s="73" t="str">
        <f>IFERROR(__xludf.DUMMYFUNCTION("""COMPUTED_VALUE"""),"Pylons")</f>
        <v>Pylons</v>
      </c>
      <c r="E883" s="82">
        <f>IFERROR(__xludf.DUMMYFUNCTION("""COMPUTED_VALUE"""),48.0)</f>
        <v>48</v>
      </c>
      <c r="F883" s="82">
        <f>IFERROR(__xludf.DUMMYFUNCTION("""COMPUTED_VALUE"""),18.0)</f>
        <v>18</v>
      </c>
      <c r="G883" s="82">
        <f>IFERROR(__xludf.DUMMYFUNCTION("""COMPUTED_VALUE"""),30.0)</f>
        <v>30</v>
      </c>
      <c r="H883" s="86">
        <f>IFERROR(__xludf.DUMMYFUNCTION("""COMPUTED_VALUE"""),0.375)</f>
        <v>0.375</v>
      </c>
      <c r="I883" s="86">
        <f>IFERROR(__xludf.DUMMYFUNCTION("""COMPUTED_VALUE"""),0.26356589147286824)</f>
        <v>0.2635658915</v>
      </c>
      <c r="J883" s="82">
        <f>IFERROR(__xludf.DUMMYFUNCTION("""COMPUTED_VALUE"""),334.9375)</f>
        <v>334.9375</v>
      </c>
      <c r="K883" s="82">
        <f>IFERROR(__xludf.DUMMYFUNCTION("""COMPUTED_VALUE"""),0.7083333333333334)</f>
        <v>0.7083333333</v>
      </c>
      <c r="L883" s="82">
        <f>IFERROR(__xludf.DUMMYFUNCTION("""COMPUTED_VALUE"""),0.5208333333333334)</f>
        <v>0.5208333333</v>
      </c>
      <c r="M883" s="82">
        <f>IFERROR(__xludf.DUMMYFUNCTION("""COMPUTED_VALUE"""),1.4166666666666667)</f>
        <v>1.416666667</v>
      </c>
      <c r="N883" s="82">
        <f>IFERROR(__xludf.DUMMYFUNCTION("""COMPUTED_VALUE"""),2.6875)</f>
        <v>2.6875</v>
      </c>
      <c r="O883" s="82">
        <f>IFERROR(__xludf.DUMMYFUNCTION("""COMPUTED_VALUE"""),374.74999999999994)</f>
        <v>374.75</v>
      </c>
      <c r="P883" s="82">
        <f>IFERROR(__xludf.DUMMYFUNCTION("""COMPUTED_VALUE"""),0.9097222222222227)</f>
        <v>0.9097222222</v>
      </c>
      <c r="Q883" s="82">
        <f>IFERROR(__xludf.DUMMYFUNCTION("""COMPUTED_VALUE"""),0.673611111111111)</f>
        <v>0.6736111111</v>
      </c>
      <c r="R883" s="82">
        <f>IFERROR(__xludf.DUMMYFUNCTION("""COMPUTED_VALUE"""),1.4166666666666667)</f>
        <v>1.416666667</v>
      </c>
      <c r="S883" s="82">
        <f>IFERROR(__xludf.DUMMYFUNCTION("""COMPUTED_VALUE"""),2.6875000000000004)</f>
        <v>2.6875</v>
      </c>
      <c r="T883" s="82">
        <f>IFERROR(__xludf.DUMMYFUNCTION("""COMPUTED_VALUE"""),357.4619168875608)</f>
        <v>357.4619169</v>
      </c>
      <c r="U883" s="82">
        <f>IFERROR(__xludf.DUMMYFUNCTION("""COMPUTED_VALUE"""),0.7732782047981267)</f>
        <v>0.7732782048</v>
      </c>
      <c r="V883" s="82">
        <f>IFERROR(__xludf.DUMMYFUNCTION("""COMPUTED_VALUE"""),0.5725940871213808)</f>
        <v>0.5725940871</v>
      </c>
      <c r="W883" s="82">
        <f>IFERROR(__xludf.DUMMYFUNCTION("""COMPUTED_VALUE"""),1.4080868732781198)</f>
        <v>1.408086873</v>
      </c>
      <c r="X883" s="82">
        <f>IFERROR(__xludf.DUMMYFUNCTION("""COMPUTED_VALUE"""),2.593024367232999)</f>
        <v>2.593024367</v>
      </c>
      <c r="Y883" s="82">
        <f>IFERROR(__xludf.DUMMYFUNCTION("""COMPUTED_VALUE"""),364.08790059090256)</f>
        <v>364.0879006</v>
      </c>
      <c r="Z883" s="82">
        <f>IFERROR(__xludf.DUMMYFUNCTION("""COMPUTED_VALUE"""),0.8108670488386184)</f>
        <v>0.8108670488</v>
      </c>
      <c r="AA883" s="82">
        <f>IFERROR(__xludf.DUMMYFUNCTION("""COMPUTED_VALUE"""),0.6120644348443526)</f>
        <v>0.6120644348</v>
      </c>
      <c r="AB883" s="82">
        <f>IFERROR(__xludf.DUMMYFUNCTION("""COMPUTED_VALUE"""),1.3871786424287726)</f>
        <v>1.387178642</v>
      </c>
      <c r="AC883" s="82">
        <f>IFERROR(__xludf.DUMMYFUNCTION("""COMPUTED_VALUE"""),2.71603454040496)</f>
        <v>2.71603454</v>
      </c>
      <c r="AD883" s="82">
        <f>IFERROR(__xludf.DUMMYFUNCTION("""COMPUTED_VALUE"""),0.9199358162037452)</f>
        <v>0.9199358162</v>
      </c>
      <c r="AE883" s="82">
        <f>IFERROR(__xludf.DUMMYFUNCTION("""COMPUTED_VALUE"""),0.8735505214422745)</f>
        <v>0.8735505214</v>
      </c>
      <c r="AF883" s="82">
        <f>IFERROR(__xludf.DUMMYFUNCTION("""COMPUTED_VALUE"""),0.8509452660254321)</f>
        <v>0.850945266</v>
      </c>
      <c r="AG883" s="82">
        <f>IFERROR(__xludf.DUMMYFUNCTION("""COMPUTED_VALUE"""),1.021257553523362)</f>
        <v>1.021257554</v>
      </c>
      <c r="AH883" s="82">
        <f>IFERROR(__xludf.DUMMYFUNCTION("""COMPUTED_VALUE"""),0.9894940436211442)</f>
        <v>0.9894940436</v>
      </c>
      <c r="AI883" s="82">
        <f>IFERROR(__xludf.DUMMYFUNCTION("""COMPUTED_VALUE"""),1.0483634264118746)</f>
        <v>1.048363426</v>
      </c>
      <c r="AJ883" s="82">
        <f>IFERROR(__xludf.DUMMYFUNCTION("""COMPUTED_VALUE"""),1.1764488079160542)</f>
        <v>1.176448808</v>
      </c>
      <c r="AK883" s="82">
        <f>IFERROR(__xludf.DUMMYFUNCTION("""COMPUTED_VALUE"""),1.1764199565831637)</f>
        <v>1.176419957</v>
      </c>
      <c r="AL883" s="82">
        <f>IFERROR(__xludf.DUMMYFUNCTION("""COMPUTED_VALUE"""),1.0060932273081793)</f>
        <v>1.006093227</v>
      </c>
      <c r="AM883" s="82">
        <f>IFERROR(__xludf.DUMMYFUNCTION("""COMPUTED_VALUE"""),1.0364345333429381)</f>
        <v>1.036434533</v>
      </c>
      <c r="AN883" s="82">
        <f>IFERROR(__xludf.DUMMYFUNCTION("""COMPUTED_VALUE"""),0.9553536621151005)</f>
        <v>0.9553536621</v>
      </c>
      <c r="AO883" s="82">
        <f>IFERROR(__xludf.DUMMYFUNCTION("""COMPUTED_VALUE"""),0.9992128055925275)</f>
        <v>0.9992128056</v>
      </c>
      <c r="AP883" s="82">
        <f>IFERROR(__xludf.DUMMYFUNCTION("""COMPUTED_VALUE"""),0.9123366991470155)</f>
        <v>0.9123366991</v>
      </c>
      <c r="AQ883" s="82">
        <f>IFERROR(__xludf.DUMMYFUNCTION("""COMPUTED_VALUE"""),0.993846189561551)</f>
        <v>0.9938461896</v>
      </c>
      <c r="AR883" s="82">
        <f>IFERROR(__xludf.DUMMYFUNCTION("""COMPUTED_VALUE"""),1.0721218682305675)</f>
        <v>1.072121868</v>
      </c>
      <c r="AS883" s="82">
        <f>IFERROR(__xludf.DUMMYFUNCTION("""COMPUTED_VALUE"""),109.0)</f>
        <v>109</v>
      </c>
      <c r="AT883" s="82">
        <f>IFERROR(__xludf.DUMMYFUNCTION("""COMPUTED_VALUE"""),0.4275663103056406)</f>
        <v>0.4275663103</v>
      </c>
      <c r="AU883" s="82">
        <f>IFERROR(__xludf.DUMMYFUNCTION("""COMPUTED_VALUE"""),2.214274142803461)</f>
        <v>2.214274143</v>
      </c>
      <c r="AV883" s="82">
        <f>IFERROR(__xludf.DUMMYFUNCTION("""COMPUTED_VALUE"""),44.839083257985045)</f>
        <v>44.83908326</v>
      </c>
      <c r="AW883" s="82">
        <f t="shared" si="1"/>
        <v>-2.391057933</v>
      </c>
      <c r="AX883" s="83">
        <f t="array" ref="AX883">IFERROR(DGET('SBV Import'!A:G,"SBV",{"RSC ID","Tier";B883,A883}))</f>
        <v>41.19440799</v>
      </c>
      <c r="AY883" s="82">
        <f t="shared" si="2"/>
        <v>-2.759874933</v>
      </c>
      <c r="AZ883" s="82">
        <v>0.3688169996458459</v>
      </c>
      <c r="BA883" s="84">
        <v>800.0</v>
      </c>
      <c r="BB883" s="84" t="b">
        <f>IFERROR(__xludf.DUMMYFUNCTION("iferror(if(A883="""",,E883&gt;=FILTER(Constants!$F$2:$F$10,Constants!$A$2:$A$10=A883)))"),TRUE)</f>
        <v>1</v>
      </c>
    </row>
    <row r="884">
      <c r="A884" s="80" t="str">
        <f>IFERROR(__xludf.DUMMYFUNCTION("""COMPUTED_VALUE"""),"Elite")</f>
        <v>Elite</v>
      </c>
      <c r="B884" s="73" t="str">
        <f>IFERROR(__xludf.DUMMYFUNCTION("""COMPUTED_VALUE"""),"RSC000344")</f>
        <v>RSC000344</v>
      </c>
      <c r="C884" s="73" t="str">
        <f>IFERROR(__xludf.DUMMYFUNCTION("""COMPUTED_VALUE"""),"Mezmer")</f>
        <v>Mezmer</v>
      </c>
      <c r="D884" s="73" t="str">
        <f>IFERROR(__xludf.DUMMYFUNCTION("""COMPUTED_VALUE"""),"Demons")</f>
        <v>Demons</v>
      </c>
      <c r="E884" s="82">
        <f>IFERROR(__xludf.DUMMYFUNCTION("""COMPUTED_VALUE"""),36.0)</f>
        <v>36</v>
      </c>
      <c r="F884" s="82">
        <f>IFERROR(__xludf.DUMMYFUNCTION("""COMPUTED_VALUE"""),15.0)</f>
        <v>15</v>
      </c>
      <c r="G884" s="82">
        <f>IFERROR(__xludf.DUMMYFUNCTION("""COMPUTED_VALUE"""),21.0)</f>
        <v>21</v>
      </c>
      <c r="H884" s="86">
        <f>IFERROR(__xludf.DUMMYFUNCTION("""COMPUTED_VALUE"""),0.4166666666666667)</f>
        <v>0.4166666667</v>
      </c>
      <c r="I884" s="86">
        <f>IFERROR(__xludf.DUMMYFUNCTION("""COMPUTED_VALUE"""),0.27586206896551724)</f>
        <v>0.275862069</v>
      </c>
      <c r="J884" s="82">
        <f>IFERROR(__xludf.DUMMYFUNCTION("""COMPUTED_VALUE"""),319.05555555555554)</f>
        <v>319.0555556</v>
      </c>
      <c r="K884" s="82">
        <f>IFERROR(__xludf.DUMMYFUNCTION("""COMPUTED_VALUE"""),0.6666666666666666)</f>
        <v>0.6666666667</v>
      </c>
      <c r="L884" s="82">
        <f>IFERROR(__xludf.DUMMYFUNCTION("""COMPUTED_VALUE"""),0.5277777777777778)</f>
        <v>0.5277777778</v>
      </c>
      <c r="M884" s="82">
        <f>IFERROR(__xludf.DUMMYFUNCTION("""COMPUTED_VALUE"""),1.1666666666666667)</f>
        <v>1.166666667</v>
      </c>
      <c r="N884" s="82">
        <f>IFERROR(__xludf.DUMMYFUNCTION("""COMPUTED_VALUE"""),2.4166666666666665)</f>
        <v>2.416666667</v>
      </c>
      <c r="O884" s="82">
        <f>IFERROR(__xludf.DUMMYFUNCTION("""COMPUTED_VALUE"""),376.65740740740745)</f>
        <v>376.6574074</v>
      </c>
      <c r="P884" s="82">
        <f>IFERROR(__xludf.DUMMYFUNCTION("""COMPUTED_VALUE"""),0.9537037037037037)</f>
        <v>0.9537037037</v>
      </c>
      <c r="Q884" s="82">
        <f>IFERROR(__xludf.DUMMYFUNCTION("""COMPUTED_VALUE"""),0.7222222222222221)</f>
        <v>0.7222222222</v>
      </c>
      <c r="R884" s="82">
        <f>IFERROR(__xludf.DUMMYFUNCTION("""COMPUTED_VALUE"""),1.212962962962963)</f>
        <v>1.212962963</v>
      </c>
      <c r="S884" s="82">
        <f>IFERROR(__xludf.DUMMYFUNCTION("""COMPUTED_VALUE"""),2.9629629629629637)</f>
        <v>2.962962963</v>
      </c>
      <c r="T884" s="82">
        <f>IFERROR(__xludf.DUMMYFUNCTION("""COMPUTED_VALUE"""),379.697678933025)</f>
        <v>379.6976789</v>
      </c>
      <c r="U884" s="82">
        <f>IFERROR(__xludf.DUMMYFUNCTION("""COMPUTED_VALUE"""),0.9182060171611981)</f>
        <v>0.9182060172</v>
      </c>
      <c r="V884" s="82">
        <f>IFERROR(__xludf.DUMMYFUNCTION("""COMPUTED_VALUE"""),0.6438435655587695)</f>
        <v>0.6438435656</v>
      </c>
      <c r="W884" s="82">
        <f>IFERROR(__xludf.DUMMYFUNCTION("""COMPUTED_VALUE"""),1.3511282912952165)</f>
        <v>1.351128291</v>
      </c>
      <c r="X884" s="82">
        <f>IFERROR(__xludf.DUMMYFUNCTION("""COMPUTED_VALUE"""),2.837761856976905)</f>
        <v>2.837761857</v>
      </c>
      <c r="Y884" s="82">
        <f>IFERROR(__xludf.DUMMYFUNCTION("""COMPUTED_VALUE"""),357.1085340863156)</f>
        <v>357.1085341</v>
      </c>
      <c r="Z884" s="82">
        <f>IFERROR(__xludf.DUMMYFUNCTION("""COMPUTED_VALUE"""),0.7477211953076)</f>
        <v>0.7477211953</v>
      </c>
      <c r="AA884" s="82">
        <f>IFERROR(__xludf.DUMMYFUNCTION("""COMPUTED_VALUE"""),0.5424433379956438)</f>
        <v>0.542443338</v>
      </c>
      <c r="AB884" s="82">
        <f>IFERROR(__xludf.DUMMYFUNCTION("""COMPUTED_VALUE"""),1.4937434876558071)</f>
        <v>1.493743488</v>
      </c>
      <c r="AC884" s="82">
        <f>IFERROR(__xludf.DUMMYFUNCTION("""COMPUTED_VALUE"""),2.503062429511912)</f>
        <v>2.50306243</v>
      </c>
      <c r="AD884" s="82">
        <f>IFERROR(__xludf.DUMMYFUNCTION("""COMPUTED_VALUE"""),0.8934414193485435)</f>
        <v>0.8934414193</v>
      </c>
      <c r="AE884" s="82">
        <f>IFERROR(__xludf.DUMMYFUNCTION("""COMPUTED_VALUE"""),0.8915979256043574)</f>
        <v>0.8915979256</v>
      </c>
      <c r="AF884" s="82">
        <f>IFERROR(__xludf.DUMMYFUNCTION("""COMPUTED_VALUE"""),0.972963885459344)</f>
        <v>0.9729638855</v>
      </c>
      <c r="AG884" s="82">
        <f>IFERROR(__xludf.DUMMYFUNCTION("""COMPUTED_VALUE"""),0.7810354832057307)</f>
        <v>0.7810354832</v>
      </c>
      <c r="AH884" s="82">
        <f>IFERROR(__xludf.DUMMYFUNCTION("""COMPUTED_VALUE"""),0.9654839760180922)</f>
        <v>0.965483976</v>
      </c>
      <c r="AI884" s="82">
        <f>IFERROR(__xludf.DUMMYFUNCTION("""COMPUTED_VALUE"""),0.9919929151682968)</f>
        <v>0.9919929152</v>
      </c>
      <c r="AJ884" s="82">
        <f>IFERROR(__xludf.DUMMYFUNCTION("""COMPUTED_VALUE"""),1.0386598278371701)</f>
        <v>1.038659828</v>
      </c>
      <c r="AK884" s="82">
        <f>IFERROR(__xludf.DUMMYFUNCTION("""COMPUTED_VALUE"""),1.1217355594684408)</f>
        <v>1.121735559</v>
      </c>
      <c r="AL884" s="82">
        <f>IFERROR(__xludf.DUMMYFUNCTION("""COMPUTED_VALUE"""),0.8977407776727067)</f>
        <v>0.8977407777</v>
      </c>
      <c r="AM884" s="82">
        <f>IFERROR(__xludf.DUMMYFUNCTION("""COMPUTED_VALUE"""),1.0441196662356427)</f>
        <v>1.044119666</v>
      </c>
      <c r="AN884" s="82">
        <f>IFERROR(__xludf.DUMMYFUNCTION("""COMPUTED_VALUE"""),0.9100530499516116)</f>
        <v>0.91005305</v>
      </c>
      <c r="AO884" s="82">
        <f>IFERROR(__xludf.DUMMYFUNCTION("""COMPUTED_VALUE"""),0.9404355817341434)</f>
        <v>0.9404355817</v>
      </c>
      <c r="AP884" s="82">
        <f>IFERROR(__xludf.DUMMYFUNCTION("""COMPUTED_VALUE"""),0.9245011884689758)</f>
        <v>0.9245011885</v>
      </c>
      <c r="AQ884" s="82">
        <f>IFERROR(__xludf.DUMMYFUNCTION("""COMPUTED_VALUE"""),0.8184615678742185)</f>
        <v>0.8184615679</v>
      </c>
      <c r="AR884" s="82">
        <f>IFERROR(__xludf.DUMMYFUNCTION("""COMPUTED_VALUE"""),0.9640785791840761)</f>
        <v>0.9640785792</v>
      </c>
      <c r="AS884" s="82">
        <f>IFERROR(__xludf.DUMMYFUNCTION("""COMPUTED_VALUE"""),87.0)</f>
        <v>87</v>
      </c>
      <c r="AT884" s="82">
        <f>IFERROR(__xludf.DUMMYFUNCTION("""COMPUTED_VALUE"""),0.43238530732411573)</f>
        <v>0.4323853073</v>
      </c>
      <c r="AU884" s="82">
        <f>IFERROR(__xludf.DUMMYFUNCTION("""COMPUTED_VALUE"""),2.1969613227462426)</f>
        <v>2.196961323</v>
      </c>
      <c r="AV884" s="82">
        <f>IFERROR(__xludf.DUMMYFUNCTION("""COMPUTED_VALUE"""),44.34109361455976)</f>
        <v>44.34109361</v>
      </c>
      <c r="AW884" s="82">
        <f t="shared" si="1"/>
        <v>-2.436278087</v>
      </c>
      <c r="AX884" s="83">
        <f t="array" ref="AX884">IFERROR(DGET('SBV Import'!A:G,"SBV",{"RSC ID","Tier";B884,A884}))</f>
        <v>32.99235125</v>
      </c>
      <c r="AY884" s="82">
        <f t="shared" si="2"/>
        <v>-4.029733323</v>
      </c>
      <c r="AZ884" s="82">
        <v>1.5934552363857448</v>
      </c>
      <c r="BA884" s="84">
        <v>800.0</v>
      </c>
      <c r="BB884" s="84" t="b">
        <f>IFERROR(__xludf.DUMMYFUNCTION("iferror(if(A884="""",,E884&gt;=FILTER(Constants!$F$2:$F$10,Constants!$A$2:$A$10=A884)))"),TRUE)</f>
        <v>1</v>
      </c>
    </row>
    <row r="885">
      <c r="A885" s="80" t="str">
        <f>IFERROR(__xludf.DUMMYFUNCTION("""COMPUTED_VALUE"""),"Elite")</f>
        <v>Elite</v>
      </c>
      <c r="B885" s="73" t="str">
        <f>IFERROR(__xludf.DUMMYFUNCTION("""COMPUTED_VALUE"""),"RSC002102")</f>
        <v>RSC002102</v>
      </c>
      <c r="C885" s="73" t="str">
        <f>IFERROR(__xludf.DUMMYFUNCTION("""COMPUTED_VALUE"""),"Cable")</f>
        <v>Cable</v>
      </c>
      <c r="D885" s="73" t="str">
        <f>IFERROR(__xludf.DUMMYFUNCTION("""COMPUTED_VALUE"""),"Teddy Bears")</f>
        <v>Teddy Bears</v>
      </c>
      <c r="E885" s="82">
        <f>IFERROR(__xludf.DUMMYFUNCTION("""COMPUTED_VALUE"""),42.0)</f>
        <v>42</v>
      </c>
      <c r="F885" s="82">
        <f>IFERROR(__xludf.DUMMYFUNCTION("""COMPUTED_VALUE"""),20.0)</f>
        <v>20</v>
      </c>
      <c r="G885" s="82">
        <f>IFERROR(__xludf.DUMMYFUNCTION("""COMPUTED_VALUE"""),22.0)</f>
        <v>22</v>
      </c>
      <c r="H885" s="86">
        <f>IFERROR(__xludf.DUMMYFUNCTION("""COMPUTED_VALUE"""),0.47619047619047616)</f>
        <v>0.4761904762</v>
      </c>
      <c r="I885" s="86">
        <f>IFERROR(__xludf.DUMMYFUNCTION("""COMPUTED_VALUE"""),0.24561403508771928)</f>
        <v>0.2456140351</v>
      </c>
      <c r="J885" s="82">
        <f>IFERROR(__xludf.DUMMYFUNCTION("""COMPUTED_VALUE"""),324.9047619047619)</f>
        <v>324.9047619</v>
      </c>
      <c r="K885" s="82">
        <f>IFERROR(__xludf.DUMMYFUNCTION("""COMPUTED_VALUE"""),0.6666666666666666)</f>
        <v>0.6666666667</v>
      </c>
      <c r="L885" s="82">
        <f>IFERROR(__xludf.DUMMYFUNCTION("""COMPUTED_VALUE"""),0.47619047619047616)</f>
        <v>0.4761904762</v>
      </c>
      <c r="M885" s="82">
        <f>IFERROR(__xludf.DUMMYFUNCTION("""COMPUTED_VALUE"""),1.1904761904761905)</f>
        <v>1.19047619</v>
      </c>
      <c r="N885" s="82">
        <f>IFERROR(__xludf.DUMMYFUNCTION("""COMPUTED_VALUE"""),2.7142857142857144)</f>
        <v>2.714285714</v>
      </c>
      <c r="O885" s="82">
        <f>IFERROR(__xludf.DUMMYFUNCTION("""COMPUTED_VALUE"""),353.31746031746036)</f>
        <v>353.3174603</v>
      </c>
      <c r="P885" s="82">
        <f>IFERROR(__xludf.DUMMYFUNCTION("""COMPUTED_VALUE"""),0.738095238095238)</f>
        <v>0.7380952381</v>
      </c>
      <c r="Q885" s="82">
        <f>IFERROR(__xludf.DUMMYFUNCTION("""COMPUTED_VALUE"""),0.5952380952380951)</f>
        <v>0.5952380952</v>
      </c>
      <c r="R885" s="82">
        <f>IFERROR(__xludf.DUMMYFUNCTION("""COMPUTED_VALUE"""),1.4047619047619047)</f>
        <v>1.404761905</v>
      </c>
      <c r="S885" s="82">
        <f>IFERROR(__xludf.DUMMYFUNCTION("""COMPUTED_VALUE"""),2.3571428571428563)</f>
        <v>2.357142857</v>
      </c>
      <c r="T885" s="82">
        <f>IFERROR(__xludf.DUMMYFUNCTION("""COMPUTED_VALUE"""),351.2561237217444)</f>
        <v>351.2561237</v>
      </c>
      <c r="U885" s="82">
        <f>IFERROR(__xludf.DUMMYFUNCTION("""COMPUTED_VALUE"""),0.6940036175299225)</f>
        <v>0.6940036175</v>
      </c>
      <c r="V885" s="82">
        <f>IFERROR(__xludf.DUMMYFUNCTION("""COMPUTED_VALUE"""),0.526692385330484)</f>
        <v>0.5266923853</v>
      </c>
      <c r="W885" s="82">
        <f>IFERROR(__xludf.DUMMYFUNCTION("""COMPUTED_VALUE"""),1.4880169007720643)</f>
        <v>1.488016901</v>
      </c>
      <c r="X885" s="82">
        <f>IFERROR(__xludf.DUMMYFUNCTION("""COMPUTED_VALUE"""),2.488846233872578)</f>
        <v>2.488846234</v>
      </c>
      <c r="Y885" s="82">
        <f>IFERROR(__xludf.DUMMYFUNCTION("""COMPUTED_VALUE"""),361.4716203208442)</f>
        <v>361.4716203</v>
      </c>
      <c r="Z885" s="82">
        <f>IFERROR(__xludf.DUMMYFUNCTION("""COMPUTED_VALUE"""),0.8122511083053952)</f>
        <v>0.8122511083</v>
      </c>
      <c r="AA885" s="82">
        <f>IFERROR(__xludf.DUMMYFUNCTION("""COMPUTED_VALUE"""),0.6081903368019714)</f>
        <v>0.6081903368</v>
      </c>
      <c r="AB885" s="82">
        <f>IFERROR(__xludf.DUMMYFUNCTION("""COMPUTED_VALUE"""),1.33956247890979)</f>
        <v>1.339562479</v>
      </c>
      <c r="AC885" s="82">
        <f>IFERROR(__xludf.DUMMYFUNCTION("""COMPUTED_VALUE"""),2.7414523998365334)</f>
        <v>2.7414524</v>
      </c>
      <c r="AD885" s="82">
        <f>IFERROR(__xludf.DUMMYFUNCTION("""COMPUTED_VALUE"""),0.8988389230014093)</f>
        <v>0.898838923</v>
      </c>
      <c r="AE885" s="82">
        <f>IFERROR(__xludf.DUMMYFUNCTION("""COMPUTED_VALUE"""),0.820764243778673)</f>
        <v>0.8207642438</v>
      </c>
      <c r="AF885" s="82">
        <f>IFERROR(__xludf.DUMMYFUNCTION("""COMPUTED_VALUE"""),0.7829629104178372)</f>
        <v>0.7829629104</v>
      </c>
      <c r="AG885" s="82">
        <f>IFERROR(__xludf.DUMMYFUNCTION("""COMPUTED_VALUE"""),0.8887052371346396)</f>
        <v>0.8887052371</v>
      </c>
      <c r="AH885" s="82">
        <f>IFERROR(__xludf.DUMMYFUNCTION("""COMPUTED_VALUE"""),0.9900904040674064)</f>
        <v>0.9900904041</v>
      </c>
      <c r="AI885" s="82">
        <f>IFERROR(__xludf.DUMMYFUNCTION("""COMPUTED_VALUE"""),1.0058684716265585)</f>
        <v>1.005868472</v>
      </c>
      <c r="AJ885" s="82">
        <f>IFERROR(__xludf.DUMMYFUNCTION("""COMPUTED_VALUE"""),1.0635322633075677)</f>
        <v>1.063532263</v>
      </c>
      <c r="AK885" s="82">
        <f>IFERROR(__xludf.DUMMYFUNCTION("""COMPUTED_VALUE"""),1.1301437268066836)</f>
        <v>1.130143727</v>
      </c>
      <c r="AL885" s="82">
        <f>IFERROR(__xludf.DUMMYFUNCTION("""COMPUTED_VALUE"""),0.9440496973072265)</f>
        <v>0.9440496973</v>
      </c>
      <c r="AM885" s="82">
        <f>IFERROR(__xludf.DUMMYFUNCTION("""COMPUTED_VALUE"""),0.94708255779836)</f>
        <v>0.9470825578</v>
      </c>
      <c r="AN885" s="82">
        <f>IFERROR(__xludf.DUMMYFUNCTION("""COMPUTED_VALUE"""),0.9267369408452297)</f>
        <v>0.9267369408</v>
      </c>
      <c r="AO885" s="82">
        <f>IFERROR(__xludf.DUMMYFUNCTION("""COMPUTED_VALUE"""),0.9404355817341434)</f>
        <v>0.9404355817</v>
      </c>
      <c r="AP885" s="82">
        <f>IFERROR(__xludf.DUMMYFUNCTION("""COMPUTED_VALUE"""),0.8341364106486998)</f>
        <v>0.8341364106</v>
      </c>
      <c r="AQ885" s="82">
        <f>IFERROR(__xludf.DUMMYFUNCTION("""COMPUTED_VALUE"""),0.8351648651777739)</f>
        <v>0.8351648652</v>
      </c>
      <c r="AR885" s="82">
        <f>IFERROR(__xludf.DUMMYFUNCTION("""COMPUTED_VALUE"""),1.0828074682461546)</f>
        <v>1.082807468</v>
      </c>
      <c r="AS885" s="82">
        <f>IFERROR(__xludf.DUMMYFUNCTION("""COMPUTED_VALUE"""),89.0)</f>
        <v>89</v>
      </c>
      <c r="AT885" s="82">
        <f>IFERROR(__xludf.DUMMYFUNCTION("""COMPUTED_VALUE"""),0.4832646717946537)</f>
        <v>0.4832646718</v>
      </c>
      <c r="AU885" s="82">
        <f>IFERROR(__xludf.DUMMYFUNCTION("""COMPUTED_VALUE"""),2.1778352140346287)</f>
        <v>2.177835214</v>
      </c>
      <c r="AV885" s="82">
        <f>IFERROR(__xludf.DUMMYFUNCTION("""COMPUTED_VALUE"""),43.790946150083656)</f>
        <v>43.79094615</v>
      </c>
      <c r="AW885" s="82">
        <f t="shared" si="1"/>
        <v>-2.488013333</v>
      </c>
      <c r="AX885" s="83">
        <f t="array" ref="AX885">IFERROR(DGET('SBV Import'!A:G,"SBV",{"RSC ID","Tier";B885,A885}))</f>
        <v>48.67979991</v>
      </c>
      <c r="AY885" s="82">
        <f t="shared" si="2"/>
        <v>-2.087933563</v>
      </c>
      <c r="AZ885" s="82">
        <v>0.4000797700152674</v>
      </c>
      <c r="BA885" s="84">
        <v>800.0</v>
      </c>
      <c r="BB885" s="84" t="b">
        <f>IFERROR(__xludf.DUMMYFUNCTION("iferror(if(A885="""",,E885&gt;=FILTER(Constants!$F$2:$F$10,Constants!$A$2:$A$10=A885)))"),TRUE)</f>
        <v>1</v>
      </c>
    </row>
    <row r="886">
      <c r="A886" s="80" t="str">
        <f>IFERROR(__xludf.DUMMYFUNCTION("""COMPUTED_VALUE"""),"Elite")</f>
        <v>Elite</v>
      </c>
      <c r="B886" s="73" t="str">
        <f>IFERROR(__xludf.DUMMYFUNCTION("""COMPUTED_VALUE"""),"RSC006446")</f>
        <v>RSC006446</v>
      </c>
      <c r="C886" s="73" t="str">
        <f>IFERROR(__xludf.DUMMYFUNCTION("""COMPUTED_VALUE"""),"ACE_Cosplays.TTV")</f>
        <v>ACE_Cosplays.TTV</v>
      </c>
      <c r="D886" s="73" t="str">
        <f>IFERROR(__xludf.DUMMYFUNCTION("""COMPUTED_VALUE"""),"Majesties")</f>
        <v>Majesties</v>
      </c>
      <c r="E886" s="82">
        <f>IFERROR(__xludf.DUMMYFUNCTION("""COMPUTED_VALUE"""),15.0)</f>
        <v>15</v>
      </c>
      <c r="F886" s="82">
        <f>IFERROR(__xludf.DUMMYFUNCTION("""COMPUTED_VALUE"""),3.0)</f>
        <v>3</v>
      </c>
      <c r="G886" s="82">
        <f>IFERROR(__xludf.DUMMYFUNCTION("""COMPUTED_VALUE"""),12.0)</f>
        <v>12</v>
      </c>
      <c r="H886" s="86">
        <f>IFERROR(__xludf.DUMMYFUNCTION("""COMPUTED_VALUE"""),0.2)</f>
        <v>0.2</v>
      </c>
      <c r="I886" s="86">
        <f>IFERROR(__xludf.DUMMYFUNCTION("""COMPUTED_VALUE"""),0.2142857142857143)</f>
        <v>0.2142857143</v>
      </c>
      <c r="J886" s="82">
        <f>IFERROR(__xludf.DUMMYFUNCTION("""COMPUTED_VALUE"""),370.6666666666667)</f>
        <v>370.6666667</v>
      </c>
      <c r="K886" s="82">
        <f>IFERROR(__xludf.DUMMYFUNCTION("""COMPUTED_VALUE"""),0.6)</f>
        <v>0.6</v>
      </c>
      <c r="L886" s="82">
        <f>IFERROR(__xludf.DUMMYFUNCTION("""COMPUTED_VALUE"""),0.6)</f>
        <v>0.6</v>
      </c>
      <c r="M886" s="82">
        <f>IFERROR(__xludf.DUMMYFUNCTION("""COMPUTED_VALUE"""),1.4666666666666666)</f>
        <v>1.466666667</v>
      </c>
      <c r="N886" s="82">
        <f>IFERROR(__xludf.DUMMYFUNCTION("""COMPUTED_VALUE"""),2.8)</f>
        <v>2.8</v>
      </c>
      <c r="O886" s="82">
        <f>IFERROR(__xludf.DUMMYFUNCTION("""COMPUTED_VALUE"""),419.0444444444445)</f>
        <v>419.0444444</v>
      </c>
      <c r="P886" s="82">
        <f>IFERROR(__xludf.DUMMYFUNCTION("""COMPUTED_VALUE"""),1.2)</f>
        <v>1.2</v>
      </c>
      <c r="Q886" s="82">
        <f>IFERROR(__xludf.DUMMYFUNCTION("""COMPUTED_VALUE"""),0.9111111111111111)</f>
        <v>0.9111111111</v>
      </c>
      <c r="R886" s="82">
        <f>IFERROR(__xludf.DUMMYFUNCTION("""COMPUTED_VALUE"""),1.222222222222222)</f>
        <v>1.222222222</v>
      </c>
      <c r="S886" s="82">
        <f>IFERROR(__xludf.DUMMYFUNCTION("""COMPUTED_VALUE"""),2.9777777777777774)</f>
        <v>2.977777778</v>
      </c>
      <c r="T886" s="82">
        <f>IFERROR(__xludf.DUMMYFUNCTION("""COMPUTED_VALUE"""),376.0943739685651)</f>
        <v>376.094374</v>
      </c>
      <c r="U886" s="82">
        <f>IFERROR(__xludf.DUMMYFUNCTION("""COMPUTED_VALUE"""),0.8459370404453824)</f>
        <v>0.8459370404</v>
      </c>
      <c r="V886" s="82">
        <f>IFERROR(__xludf.DUMMYFUNCTION("""COMPUTED_VALUE"""),0.6578557606131754)</f>
        <v>0.6578557606</v>
      </c>
      <c r="W886" s="82">
        <f>IFERROR(__xludf.DUMMYFUNCTION("""COMPUTED_VALUE"""),1.4044622571206662)</f>
        <v>1.404462257</v>
      </c>
      <c r="X886" s="82">
        <f>IFERROR(__xludf.DUMMYFUNCTION("""COMPUTED_VALUE"""),2.757632804093876)</f>
        <v>2.757632804</v>
      </c>
      <c r="Y886" s="82">
        <f>IFERROR(__xludf.DUMMYFUNCTION("""COMPUTED_VALUE"""),361.0572069854833)</f>
        <v>361.057207</v>
      </c>
      <c r="Z886" s="82">
        <f>IFERROR(__xludf.DUMMYFUNCTION("""COMPUTED_VALUE"""),0.7761713585988949)</f>
        <v>0.7761713586</v>
      </c>
      <c r="AA886" s="82">
        <f>IFERROR(__xludf.DUMMYFUNCTION("""COMPUTED_VALUE"""),0.5649227271313273)</f>
        <v>0.5649227271</v>
      </c>
      <c r="AB886" s="82">
        <f>IFERROR(__xludf.DUMMYFUNCTION("""COMPUTED_VALUE"""),1.4702354540729443)</f>
        <v>1.470235454</v>
      </c>
      <c r="AC886" s="82">
        <f>IFERROR(__xludf.DUMMYFUNCTION("""COMPUTED_VALUE"""),2.55654416844241)</f>
        <v>2.556544168</v>
      </c>
      <c r="AD886" s="82">
        <f>IFERROR(__xludf.DUMMYFUNCTION("""COMPUTED_VALUE"""),1.026614784292534)</f>
        <v>1.026614784</v>
      </c>
      <c r="AE886" s="82">
        <f>IFERROR(__xludf.DUMMYFUNCTION("""COMPUTED_VALUE"""),0.7730251745994461)</f>
        <v>0.7730251746</v>
      </c>
      <c r="AF886" s="82">
        <f>IFERROR(__xludf.DUMMYFUNCTION("""COMPUTED_VALUE"""),1.0620921608992344)</f>
        <v>1.062092161</v>
      </c>
      <c r="AG886" s="82">
        <f>IFERROR(__xludf.DUMMYFUNCTION("""COMPUTED_VALUE"""),0.9975726422618967)</f>
        <v>0.9975726423</v>
      </c>
      <c r="AH886" s="82">
        <f>IFERROR(__xludf.DUMMYFUNCTION("""COMPUTED_VALUE"""),1.0952284863929875)</f>
        <v>1.095228486</v>
      </c>
      <c r="AI886" s="82">
        <f>IFERROR(__xludf.DUMMYFUNCTION("""COMPUTED_VALUE"""),1.1142002471950545)</f>
        <v>1.114200247</v>
      </c>
      <c r="AJ886" s="82">
        <f>IFERROR(__xludf.DUMMYFUNCTION("""COMPUTED_VALUE"""),1.418545284845554)</f>
        <v>1.418545285</v>
      </c>
      <c r="AK886" s="82">
        <f>IFERROR(__xludf.DUMMYFUNCTION("""COMPUTED_VALUE"""),1.3849709399244008)</f>
        <v>1.38497094</v>
      </c>
      <c r="AL886" s="82">
        <f>IFERROR(__xludf.DUMMYFUNCTION("""COMPUTED_VALUE"""),0.8702421272095554)</f>
        <v>0.8702421272</v>
      </c>
      <c r="AM886" s="82">
        <f>IFERROR(__xludf.DUMMYFUNCTION("""COMPUTED_VALUE"""),1.0798311411719075)</f>
        <v>1.079831141</v>
      </c>
      <c r="AN886" s="82">
        <f>IFERROR(__xludf.DUMMYFUNCTION("""COMPUTED_VALUE"""),1.0572651835760323)</f>
        <v>1.057265184</v>
      </c>
      <c r="AO886" s="82">
        <f>IFERROR(__xludf.DUMMYFUNCTION("""COMPUTED_VALUE"""),0.8463920235607291)</f>
        <v>0.8463920236</v>
      </c>
      <c r="AP886" s="82">
        <f>IFERROR(__xludf.DUMMYFUNCTION("""COMPUTED_VALUE"""),1.0510118774173618)</f>
        <v>1.051011877</v>
      </c>
      <c r="AQ886" s="82">
        <f>IFERROR(__xludf.DUMMYFUNCTION("""COMPUTED_VALUE"""),1.0289231138990174)</f>
        <v>1.028923114</v>
      </c>
      <c r="AR886" s="82">
        <f>IFERROR(__xludf.DUMMYFUNCTION("""COMPUTED_VALUE"""),1.117001388296033)</f>
        <v>1.117001388</v>
      </c>
      <c r="AS886" s="82">
        <f>IFERROR(__xludf.DUMMYFUNCTION("""COMPUTED_VALUE"""),27.0)</f>
        <v>27</v>
      </c>
      <c r="AT886" s="82">
        <f>IFERROR(__xludf.DUMMYFUNCTION("""COMPUTED_VALUE"""),0.2451473397307273)</f>
        <v>0.2451473397</v>
      </c>
      <c r="AU886" s="82">
        <f>IFERROR(__xludf.DUMMYFUNCTION("""COMPUTED_VALUE"""),2.174783449929341)</f>
        <v>2.17478345</v>
      </c>
      <c r="AV886" s="82">
        <f>IFERROR(__xludf.DUMMYFUNCTION("""COMPUTED_VALUE"""),43.7031645573918)</f>
        <v>43.70316456</v>
      </c>
      <c r="AW886" s="82">
        <f t="shared" si="1"/>
        <v>-2.496445976</v>
      </c>
      <c r="AX886" s="83">
        <f t="array" ref="AX886">IFERROR(DGET('SBV Import'!A:G,"SBV",{"RSC ID","Tier";B886,A886}))</f>
        <v>57.43381594</v>
      </c>
      <c r="AY886" s="82">
        <f t="shared" si="2"/>
        <v>2.610293723</v>
      </c>
      <c r="AZ886" s="82">
        <v>5.10673969854642</v>
      </c>
      <c r="BA886" s="84">
        <v>800.0</v>
      </c>
      <c r="BB886" s="84" t="b">
        <f>IFERROR(__xludf.DUMMYFUNCTION("iferror(if(A886="""",,E886&gt;=FILTER(Constants!$F$2:$F$10,Constants!$A$2:$A$10=A886)))"),TRUE)</f>
        <v>1</v>
      </c>
    </row>
    <row r="887">
      <c r="A887" s="80" t="str">
        <f>IFERROR(__xludf.DUMMYFUNCTION("""COMPUTED_VALUE"""),"Elite")</f>
        <v>Elite</v>
      </c>
      <c r="B887" s="73" t="str">
        <f>IFERROR(__xludf.DUMMYFUNCTION("""COMPUTED_VALUE"""),"RSC006468")</f>
        <v>RSC006468</v>
      </c>
      <c r="C887" s="73" t="str">
        <f>IFERROR(__xludf.DUMMYFUNCTION("""COMPUTED_VALUE"""),"AlphaChuck")</f>
        <v>AlphaChuck</v>
      </c>
      <c r="D887" s="73" t="str">
        <f>IFERROR(__xludf.DUMMYFUNCTION("""COMPUTED_VALUE"""),"Teddy Bears")</f>
        <v>Teddy Bears</v>
      </c>
      <c r="E887" s="82">
        <f>IFERROR(__xludf.DUMMYFUNCTION("""COMPUTED_VALUE"""),40.0)</f>
        <v>40</v>
      </c>
      <c r="F887" s="82">
        <f>IFERROR(__xludf.DUMMYFUNCTION("""COMPUTED_VALUE"""),21.0)</f>
        <v>21</v>
      </c>
      <c r="G887" s="82">
        <f>IFERROR(__xludf.DUMMYFUNCTION("""COMPUTED_VALUE"""),19.0)</f>
        <v>19</v>
      </c>
      <c r="H887" s="86">
        <f>IFERROR(__xludf.DUMMYFUNCTION("""COMPUTED_VALUE"""),0.525)</f>
        <v>0.525</v>
      </c>
      <c r="I887" s="86">
        <f>IFERROR(__xludf.DUMMYFUNCTION("""COMPUTED_VALUE"""),0.2736842105263158)</f>
        <v>0.2736842105</v>
      </c>
      <c r="J887" s="82">
        <f>IFERROR(__xludf.DUMMYFUNCTION("""COMPUTED_VALUE"""),322.4)</f>
        <v>322.4</v>
      </c>
      <c r="K887" s="82">
        <f>IFERROR(__xludf.DUMMYFUNCTION("""COMPUTED_VALUE"""),0.65)</f>
        <v>0.65</v>
      </c>
      <c r="L887" s="82">
        <f>IFERROR(__xludf.DUMMYFUNCTION("""COMPUTED_VALUE"""),0.5)</f>
        <v>0.5</v>
      </c>
      <c r="M887" s="82">
        <f>IFERROR(__xludf.DUMMYFUNCTION("""COMPUTED_VALUE"""),1.3)</f>
        <v>1.3</v>
      </c>
      <c r="N887" s="82">
        <f>IFERROR(__xludf.DUMMYFUNCTION("""COMPUTED_VALUE"""),2.375)</f>
        <v>2.375</v>
      </c>
      <c r="O887" s="82">
        <f>IFERROR(__xludf.DUMMYFUNCTION("""COMPUTED_VALUE"""),343.25833333333344)</f>
        <v>343.2583333</v>
      </c>
      <c r="P887" s="82">
        <f>IFERROR(__xludf.DUMMYFUNCTION("""COMPUTED_VALUE"""),0.675)</f>
        <v>0.675</v>
      </c>
      <c r="Q887" s="82">
        <f>IFERROR(__xludf.DUMMYFUNCTION("""COMPUTED_VALUE"""),0.5333333333333332)</f>
        <v>0.5333333333</v>
      </c>
      <c r="R887" s="82">
        <f>IFERROR(__xludf.DUMMYFUNCTION("""COMPUTED_VALUE"""),1.4583333333333333)</f>
        <v>1.458333333</v>
      </c>
      <c r="S887" s="82">
        <f>IFERROR(__xludf.DUMMYFUNCTION("""COMPUTED_VALUE"""),2.316666666666666)</f>
        <v>2.316666667</v>
      </c>
      <c r="T887" s="82">
        <f>IFERROR(__xludf.DUMMYFUNCTION("""COMPUTED_VALUE"""),355.7209778113698)</f>
        <v>355.7209778</v>
      </c>
      <c r="U887" s="82">
        <f>IFERROR(__xludf.DUMMYFUNCTION("""COMPUTED_VALUE"""),0.7298413728872767)</f>
        <v>0.7298413729</v>
      </c>
      <c r="V887" s="82">
        <f>IFERROR(__xludf.DUMMYFUNCTION("""COMPUTED_VALUE"""),0.5479055805314874)</f>
        <v>0.5479055805</v>
      </c>
      <c r="W887" s="82">
        <f>IFERROR(__xludf.DUMMYFUNCTION("""COMPUTED_VALUE"""),1.4686195613542758)</f>
        <v>1.468619561</v>
      </c>
      <c r="X887" s="82">
        <f>IFERROR(__xludf.DUMMYFUNCTION("""COMPUTED_VALUE"""),2.5362202561212457)</f>
        <v>2.536220256</v>
      </c>
      <c r="Y887" s="82">
        <f>IFERROR(__xludf.DUMMYFUNCTION("""COMPUTED_VALUE"""),362.8383947482479)</f>
        <v>362.8383947</v>
      </c>
      <c r="Z887" s="82">
        <f>IFERROR(__xludf.DUMMYFUNCTION("""COMPUTED_VALUE"""),0.8151845004054431)</f>
        <v>0.8151845004</v>
      </c>
      <c r="AA887" s="82">
        <f>IFERROR(__xludf.DUMMYFUNCTION("""COMPUTED_VALUE"""),0.6134052103593233)</f>
        <v>0.6134052104</v>
      </c>
      <c r="AB887" s="82">
        <f>IFERROR(__xludf.DUMMYFUNCTION("""COMPUTED_VALUE"""),1.3596450670228988)</f>
        <v>1.359645067</v>
      </c>
      <c r="AC887" s="82">
        <f>IFERROR(__xludf.DUMMYFUNCTION("""COMPUTED_VALUE"""),2.720125239952468)</f>
        <v>2.72012524</v>
      </c>
      <c r="AD887" s="82">
        <f>IFERROR(__xludf.DUMMYFUNCTION("""COMPUTED_VALUE"""),0.8885498466161341)</f>
        <v>0.8885498466</v>
      </c>
      <c r="AE887" s="82">
        <f>IFERROR(__xludf.DUMMYFUNCTION("""COMPUTED_VALUE"""),0.7973655039769693)</f>
        <v>0.797365504</v>
      </c>
      <c r="AF887" s="82">
        <f>IFERROR(__xludf.DUMMYFUNCTION("""COMPUTED_VALUE"""),0.8151218665180684)</f>
        <v>0.8151218665</v>
      </c>
      <c r="AG887" s="82">
        <f>IFERROR(__xludf.DUMMYFUNCTION("""COMPUTED_VALUE"""),0.956131884364867)</f>
        <v>0.9561318844</v>
      </c>
      <c r="AH887" s="82">
        <f>IFERROR(__xludf.DUMMYFUNCTION("""COMPUTED_VALUE"""),0.8731215626091912)</f>
        <v>0.8731215626</v>
      </c>
      <c r="AI887" s="82">
        <f>IFERROR(__xludf.DUMMYFUNCTION("""COMPUTED_VALUE"""),0.9649651123902933)</f>
        <v>0.9649651124</v>
      </c>
      <c r="AJ887" s="82">
        <f>IFERROR(__xludf.DUMMYFUNCTION("""COMPUTED_VALUE"""),0.9248585036083631)</f>
        <v>0.9248585036</v>
      </c>
      <c r="AK887" s="82">
        <f>IFERROR(__xludf.DUMMYFUNCTION("""COMPUTED_VALUE"""),0.973403725539684)</f>
        <v>0.9734037255</v>
      </c>
      <c r="AL887" s="82">
        <f>IFERROR(__xludf.DUMMYFUNCTION("""COMPUTED_VALUE"""),0.9929959886878688)</f>
        <v>0.9929959887</v>
      </c>
      <c r="AM887" s="82">
        <f>IFERROR(__xludf.DUMMYFUNCTION("""COMPUTED_VALUE"""),0.9134327592705404)</f>
        <v>0.9134327593</v>
      </c>
      <c r="AN887" s="82">
        <f>IFERROR(__xludf.DUMMYFUNCTION("""COMPUTED_VALUE"""),0.9195925229808797)</f>
        <v>0.919592523</v>
      </c>
      <c r="AO887" s="82">
        <f>IFERROR(__xludf.DUMMYFUNCTION("""COMPUTED_VALUE"""),0.91692469219079)</f>
        <v>0.9169246922</v>
      </c>
      <c r="AP887" s="82">
        <f>IFERROR(__xludf.DUMMYFUNCTION("""COMPUTED_VALUE"""),0.8758432311811349)</f>
        <v>0.8758432312</v>
      </c>
      <c r="AQ887" s="82">
        <f>IFERROR(__xludf.DUMMYFUNCTION("""COMPUTED_VALUE"""),0.9120000327741291)</f>
        <v>0.9120000328</v>
      </c>
      <c r="AR887" s="82">
        <f>IFERROR(__xludf.DUMMYFUNCTION("""COMPUTED_VALUE"""),0.9474565347153853)</f>
        <v>0.9474565347</v>
      </c>
      <c r="AS887" s="82">
        <f>IFERROR(__xludf.DUMMYFUNCTION("""COMPUTED_VALUE"""),81.0)</f>
        <v>81</v>
      </c>
      <c r="AT887" s="82">
        <f>IFERROR(__xludf.DUMMYFUNCTION("""COMPUTED_VALUE"""),0.5)</f>
        <v>0.5</v>
      </c>
      <c r="AU887" s="82">
        <f>IFERROR(__xludf.DUMMYFUNCTION("""COMPUTED_VALUE"""),2.151103575682899)</f>
        <v>2.151103576</v>
      </c>
      <c r="AV887" s="82">
        <f>IFERROR(__xludf.DUMMYFUNCTION("""COMPUTED_VALUE"""),43.02203161120697)</f>
        <v>43.02203161</v>
      </c>
      <c r="AW887" s="82">
        <f t="shared" si="1"/>
        <v>-2.563597386</v>
      </c>
      <c r="AX887" s="83">
        <f t="array" ref="AX887">IFERROR(DGET('SBV Import'!A:G,"SBV",{"RSC ID","Tier";B887,A887}))</f>
        <v>45.95363682</v>
      </c>
      <c r="AY887" s="82">
        <f t="shared" si="2"/>
        <v>-2.295103455</v>
      </c>
      <c r="AZ887" s="82">
        <v>0.26849393109928865</v>
      </c>
      <c r="BA887" s="84">
        <v>800.0</v>
      </c>
      <c r="BB887" s="84" t="b">
        <f>IFERROR(__xludf.DUMMYFUNCTION("iferror(if(A887="""",,E887&gt;=FILTER(Constants!$F$2:$F$10,Constants!$A$2:$A$10=A887)))"),TRUE)</f>
        <v>1</v>
      </c>
    </row>
    <row r="888">
      <c r="A888" s="80" t="str">
        <f>IFERROR(__xludf.DUMMYFUNCTION("""COMPUTED_VALUE"""),"Elite")</f>
        <v>Elite</v>
      </c>
      <c r="B888" s="73" t="str">
        <f>IFERROR(__xludf.DUMMYFUNCTION("""COMPUTED_VALUE"""),"RSC007925")</f>
        <v>RSC007925</v>
      </c>
      <c r="C888" s="73" t="str">
        <f>IFERROR(__xludf.DUMMYFUNCTION("""COMPUTED_VALUE"""),"Monkey")</f>
        <v>Monkey</v>
      </c>
      <c r="D888" s="73" t="str">
        <f>IFERROR(__xludf.DUMMYFUNCTION("""COMPUTED_VALUE"""),"Fire")</f>
        <v>Fire</v>
      </c>
      <c r="E888" s="82">
        <f>IFERROR(__xludf.DUMMYFUNCTION("""COMPUTED_VALUE"""),37.0)</f>
        <v>37</v>
      </c>
      <c r="F888" s="82">
        <f>IFERROR(__xludf.DUMMYFUNCTION("""COMPUTED_VALUE"""),20.0)</f>
        <v>20</v>
      </c>
      <c r="G888" s="82">
        <f>IFERROR(__xludf.DUMMYFUNCTION("""COMPUTED_VALUE"""),17.0)</f>
        <v>17</v>
      </c>
      <c r="H888" s="86">
        <f>IFERROR(__xludf.DUMMYFUNCTION("""COMPUTED_VALUE"""),0.5405405405405406)</f>
        <v>0.5405405405</v>
      </c>
      <c r="I888" s="86">
        <f>IFERROR(__xludf.DUMMYFUNCTION("""COMPUTED_VALUE"""),0.2727272727272727)</f>
        <v>0.2727272727</v>
      </c>
      <c r="J888" s="82">
        <f>IFERROR(__xludf.DUMMYFUNCTION("""COMPUTED_VALUE"""),331.13513513513516)</f>
        <v>331.1351351</v>
      </c>
      <c r="K888" s="82">
        <f>IFERROR(__xludf.DUMMYFUNCTION("""COMPUTED_VALUE"""),0.6486486486486487)</f>
        <v>0.6486486486</v>
      </c>
      <c r="L888" s="82">
        <f>IFERROR(__xludf.DUMMYFUNCTION("""COMPUTED_VALUE"""),0.40540540540540543)</f>
        <v>0.4054054054</v>
      </c>
      <c r="M888" s="82">
        <f>IFERROR(__xludf.DUMMYFUNCTION("""COMPUTED_VALUE"""),1.4864864864864864)</f>
        <v>1.486486486</v>
      </c>
      <c r="N888" s="82">
        <f>IFERROR(__xludf.DUMMYFUNCTION("""COMPUTED_VALUE"""),2.3783783783783785)</f>
        <v>2.378378378</v>
      </c>
      <c r="O888" s="82">
        <f>IFERROR(__xludf.DUMMYFUNCTION("""COMPUTED_VALUE"""),350.1711711711711)</f>
        <v>350.1711712</v>
      </c>
      <c r="P888" s="82">
        <f>IFERROR(__xludf.DUMMYFUNCTION("""COMPUTED_VALUE"""),0.6846846846846846)</f>
        <v>0.6846846847</v>
      </c>
      <c r="Q888" s="82">
        <f>IFERROR(__xludf.DUMMYFUNCTION("""COMPUTED_VALUE"""),0.5045045045045045)</f>
        <v>0.5045045045</v>
      </c>
      <c r="R888" s="82">
        <f>IFERROR(__xludf.DUMMYFUNCTION("""COMPUTED_VALUE"""),1.5045045045045045)</f>
        <v>1.504504505</v>
      </c>
      <c r="S888" s="82">
        <f>IFERROR(__xludf.DUMMYFUNCTION("""COMPUTED_VALUE"""),2.567567567567568)</f>
        <v>2.567567568</v>
      </c>
      <c r="T888" s="82">
        <f>IFERROR(__xludf.DUMMYFUNCTION("""COMPUTED_VALUE"""),366.7394977910578)</f>
        <v>366.7394978</v>
      </c>
      <c r="U888" s="82">
        <f>IFERROR(__xludf.DUMMYFUNCTION("""COMPUTED_VALUE"""),0.7925711349269949)</f>
        <v>0.7925711349</v>
      </c>
      <c r="V888" s="82">
        <f>IFERROR(__xludf.DUMMYFUNCTION("""COMPUTED_VALUE"""),0.5890066413573984)</f>
        <v>0.5890066414</v>
      </c>
      <c r="W888" s="82">
        <f>IFERROR(__xludf.DUMMYFUNCTION("""COMPUTED_VALUE"""),1.5041830181330444)</f>
        <v>1.504183018</v>
      </c>
      <c r="X888" s="82">
        <f>IFERROR(__xludf.DUMMYFUNCTION("""COMPUTED_VALUE"""),2.6252388339931527)</f>
        <v>2.625238834</v>
      </c>
      <c r="Y888" s="82">
        <f>IFERROR(__xludf.DUMMYFUNCTION("""COMPUTED_VALUE"""),358.8555747921126)</f>
        <v>358.8555748</v>
      </c>
      <c r="Z888" s="82">
        <f>IFERROR(__xludf.DUMMYFUNCTION("""COMPUTED_VALUE"""),0.7691473714787123)</f>
        <v>0.7691473715</v>
      </c>
      <c r="AA888" s="82">
        <f>IFERROR(__xludf.DUMMYFUNCTION("""COMPUTED_VALUE"""),0.5638627226408636)</f>
        <v>0.5638627226</v>
      </c>
      <c r="AB888" s="82">
        <f>IFERROR(__xludf.DUMMYFUNCTION("""COMPUTED_VALUE"""),1.3976421068849667)</f>
        <v>1.397642107</v>
      </c>
      <c r="AC888" s="82">
        <f>IFERROR(__xludf.DUMMYFUNCTION("""COMPUTED_VALUE"""),2.7142314904560623)</f>
        <v>2.71423149</v>
      </c>
      <c r="AD888" s="82">
        <f>IFERROR(__xludf.DUMMYFUNCTION("""COMPUTED_VALUE"""),0.9227532143731192)</f>
        <v>0.9227532144</v>
      </c>
      <c r="AE888" s="82">
        <f>IFERROR(__xludf.DUMMYFUNCTION("""COMPUTED_VALUE"""),0.8433346751242214)</f>
        <v>0.8433346751</v>
      </c>
      <c r="AF888" s="82">
        <f>IFERROR(__xludf.DUMMYFUNCTION("""COMPUTED_VALUE"""),0.7189789094527835)</f>
        <v>0.7189789095</v>
      </c>
      <c r="AG888" s="82">
        <f>IFERROR(__xludf.DUMMYFUNCTION("""COMPUTED_VALUE"""),1.0635673318397183)</f>
        <v>1.063567332</v>
      </c>
      <c r="AH888" s="82">
        <f>IFERROR(__xludf.DUMMYFUNCTION("""COMPUTED_VALUE"""),0.876262170983341)</f>
        <v>0.876262171</v>
      </c>
      <c r="AI888" s="82">
        <f>IFERROR(__xludf.DUMMYFUNCTION("""COMPUTED_VALUE"""),0.9548226282697095)</f>
        <v>0.9548226283</v>
      </c>
      <c r="AJ888" s="82">
        <f>IFERROR(__xludf.DUMMYFUNCTION("""COMPUTED_VALUE"""),0.8638778962695279)</f>
        <v>0.8638778963</v>
      </c>
      <c r="AK888" s="82">
        <f>IFERROR(__xludf.DUMMYFUNCTION("""COMPUTED_VALUE"""),0.8565344922798254)</f>
        <v>0.8565344923</v>
      </c>
      <c r="AL888" s="82">
        <f>IFERROR(__xludf.DUMMYFUNCTION("""COMPUTED_VALUE"""),1.0002137282282704)</f>
        <v>1.000213728</v>
      </c>
      <c r="AM888" s="82">
        <f>IFERROR(__xludf.DUMMYFUNCTION("""COMPUTED_VALUE"""),0.9780319924881413)</f>
        <v>0.9780319925</v>
      </c>
      <c r="AN888" s="82">
        <f>IFERROR(__xludf.DUMMYFUNCTION("""COMPUTED_VALUE"""),0.9445080470425977)</f>
        <v>0.944508047</v>
      </c>
      <c r="AO888" s="82">
        <f>IFERROR(__xludf.DUMMYFUNCTION("""COMPUTED_VALUE"""),0.915018403849437)</f>
        <v>0.9150184038</v>
      </c>
      <c r="AP888" s="82">
        <f>IFERROR(__xludf.DUMMYFUNCTION("""COMPUTED_VALUE"""),0.7101431604171364)</f>
        <v>0.7101431604</v>
      </c>
      <c r="AQ888" s="82">
        <f>IFERROR(__xludf.DUMMYFUNCTION("""COMPUTED_VALUE"""),1.0428274803030582)</f>
        <v>1.04282748</v>
      </c>
      <c r="AR888" s="82">
        <f>IFERROR(__xludf.DUMMYFUNCTION("""COMPUTED_VALUE"""),0.9488042680506845)</f>
        <v>0.9488042681</v>
      </c>
      <c r="AS888" s="82">
        <f>IFERROR(__xludf.DUMMYFUNCTION("""COMPUTED_VALUE"""),77.0)</f>
        <v>77</v>
      </c>
      <c r="AT888" s="82">
        <f>IFERROR(__xludf.DUMMYFUNCTION("""COMPUTED_VALUE"""),0.5049113777134693)</f>
        <v>0.5049113777</v>
      </c>
      <c r="AU888" s="82">
        <f>IFERROR(__xludf.DUMMYFUNCTION("""COMPUTED_VALUE"""),2.142913958071706)</f>
        <v>2.142913958</v>
      </c>
      <c r="AV888" s="82">
        <f>IFERROR(__xludf.DUMMYFUNCTION("""COMPUTED_VALUE"""),42.78646370600674)</f>
        <v>42.78646371</v>
      </c>
      <c r="AW888" s="82">
        <f t="shared" si="1"/>
        <v>-2.587548724</v>
      </c>
      <c r="AX888" s="83">
        <f t="array" ref="AX888">IFERROR(DGET('SBV Import'!A:G,"SBV",{"RSC ID","Tier";B888,A888}))</f>
        <v>33.17550162</v>
      </c>
      <c r="AY888" s="82">
        <f t="shared" si="2"/>
        <v>-3.99233427</v>
      </c>
      <c r="AZ888" s="82">
        <v>1.4047855460007725</v>
      </c>
      <c r="BA888" s="84">
        <v>800.0</v>
      </c>
      <c r="BB888" s="84" t="b">
        <f>IFERROR(__xludf.DUMMYFUNCTION("iferror(if(A888="""",,E888&gt;=FILTER(Constants!$F$2:$F$10,Constants!$A$2:$A$10=A888)))"),TRUE)</f>
        <v>1</v>
      </c>
    </row>
    <row r="889">
      <c r="A889" s="80" t="str">
        <f>IFERROR(__xludf.DUMMYFUNCTION("""COMPUTED_VALUE"""),"Elite")</f>
        <v>Elite</v>
      </c>
      <c r="B889" s="73" t="str">
        <f>IFERROR(__xludf.DUMMYFUNCTION("""COMPUTED_VALUE"""),"RSC007514")</f>
        <v>RSC007514</v>
      </c>
      <c r="C889" s="73" t="str">
        <f>IFERROR(__xludf.DUMMYFUNCTION("""COMPUTED_VALUE"""),"Sauce_Boss_36")</f>
        <v>Sauce_Boss_36</v>
      </c>
      <c r="D889" s="73" t="str">
        <f>IFERROR(__xludf.DUMMYFUNCTION("""COMPUTED_VALUE"""),"Majesties")</f>
        <v>Majesties</v>
      </c>
      <c r="E889" s="82">
        <f>IFERROR(__xludf.DUMMYFUNCTION("""COMPUTED_VALUE"""),45.0)</f>
        <v>45</v>
      </c>
      <c r="F889" s="82">
        <f>IFERROR(__xludf.DUMMYFUNCTION("""COMPUTED_VALUE"""),12.0)</f>
        <v>12</v>
      </c>
      <c r="G889" s="82">
        <f>IFERROR(__xludf.DUMMYFUNCTION("""COMPUTED_VALUE"""),33.0)</f>
        <v>33</v>
      </c>
      <c r="H889" s="86">
        <f>IFERROR(__xludf.DUMMYFUNCTION("""COMPUTED_VALUE"""),0.26666666666666666)</f>
        <v>0.2666666667</v>
      </c>
      <c r="I889" s="86">
        <f>IFERROR(__xludf.DUMMYFUNCTION("""COMPUTED_VALUE"""),0.35185185185185186)</f>
        <v>0.3518518519</v>
      </c>
      <c r="J889" s="82">
        <f>IFERROR(__xludf.DUMMYFUNCTION("""COMPUTED_VALUE"""),336.2888888888889)</f>
        <v>336.2888889</v>
      </c>
      <c r="K889" s="82">
        <f>IFERROR(__xludf.DUMMYFUNCTION("""COMPUTED_VALUE"""),0.8444444444444444)</f>
        <v>0.8444444444</v>
      </c>
      <c r="L889" s="82">
        <f>IFERROR(__xludf.DUMMYFUNCTION("""COMPUTED_VALUE"""),0.4444444444444444)</f>
        <v>0.4444444444</v>
      </c>
      <c r="M889" s="82">
        <f>IFERROR(__xludf.DUMMYFUNCTION("""COMPUTED_VALUE"""),1.3555555555555556)</f>
        <v>1.355555556</v>
      </c>
      <c r="N889" s="82">
        <f>IFERROR(__xludf.DUMMYFUNCTION("""COMPUTED_VALUE"""),2.4)</f>
        <v>2.4</v>
      </c>
      <c r="O889" s="82">
        <f>IFERROR(__xludf.DUMMYFUNCTION("""COMPUTED_VALUE"""),404.05925925925936)</f>
        <v>404.0592593</v>
      </c>
      <c r="P889" s="82">
        <f>IFERROR(__xludf.DUMMYFUNCTION("""COMPUTED_VALUE"""),1.0888888888888888)</f>
        <v>1.088888889</v>
      </c>
      <c r="Q889" s="82">
        <f>IFERROR(__xludf.DUMMYFUNCTION("""COMPUTED_VALUE"""),0.7925925925925927)</f>
        <v>0.7925925926</v>
      </c>
      <c r="R889" s="82">
        <f>IFERROR(__xludf.DUMMYFUNCTION("""COMPUTED_VALUE"""),1.3185185185185184)</f>
        <v>1.318518519</v>
      </c>
      <c r="S889" s="82">
        <f>IFERROR(__xludf.DUMMYFUNCTION("""COMPUTED_VALUE"""),3.0962962962962957)</f>
        <v>3.096296296</v>
      </c>
      <c r="T889" s="82">
        <f>IFERROR(__xludf.DUMMYFUNCTION("""COMPUTED_VALUE"""),362.8882447217658)</f>
        <v>362.8882447</v>
      </c>
      <c r="U889" s="82">
        <f>IFERROR(__xludf.DUMMYFUNCTION("""COMPUTED_VALUE"""),0.7852069000481063)</f>
        <v>0.7852069</v>
      </c>
      <c r="V889" s="82">
        <f>IFERROR(__xludf.DUMMYFUNCTION("""COMPUTED_VALUE"""),0.5986682329870703)</f>
        <v>0.598668233</v>
      </c>
      <c r="W889" s="82">
        <f>IFERROR(__xludf.DUMMYFUNCTION("""COMPUTED_VALUE"""),1.3886815518492495)</f>
        <v>1.388681552</v>
      </c>
      <c r="X889" s="82">
        <f>IFERROR(__xludf.DUMMYFUNCTION("""COMPUTED_VALUE"""),2.702645652576125)</f>
        <v>2.702645653</v>
      </c>
      <c r="Y889" s="82">
        <f>IFERROR(__xludf.DUMMYFUNCTION("""COMPUTED_VALUE"""),354.9824707742901)</f>
        <v>354.9824708</v>
      </c>
      <c r="Z889" s="82">
        <f>IFERROR(__xludf.DUMMYFUNCTION("""COMPUTED_VALUE"""),0.740591552411726)</f>
        <v>0.7405915524</v>
      </c>
      <c r="AA889" s="82">
        <f>IFERROR(__xludf.DUMMYFUNCTION("""COMPUTED_VALUE"""),0.5510292078585786)</f>
        <v>0.5510292079</v>
      </c>
      <c r="AB889" s="82">
        <f>IFERROR(__xludf.DUMMYFUNCTION("""COMPUTED_VALUE"""),1.4258545807033907)</f>
        <v>1.425854581</v>
      </c>
      <c r="AC889" s="82">
        <f>IFERROR(__xludf.DUMMYFUNCTION("""COMPUTED_VALUE"""),2.5609623573184925)</f>
        <v>2.560962357</v>
      </c>
      <c r="AD889" s="82">
        <f>IFERROR(__xludf.DUMMYFUNCTION("""COMPUTED_VALUE"""),0.9473394225787356)</f>
        <v>0.9473394226</v>
      </c>
      <c r="AE889" s="82">
        <f>IFERROR(__xludf.DUMMYFUNCTION("""COMPUTED_VALUE"""),1.1402296470902522)</f>
        <v>1.140229647</v>
      </c>
      <c r="AF889" s="82">
        <f>IFERROR(__xludf.DUMMYFUNCTION("""COMPUTED_VALUE"""),0.8065714813406242)</f>
        <v>0.8065714813</v>
      </c>
      <c r="AG889" s="82">
        <f>IFERROR(__xludf.DUMMYFUNCTION("""COMPUTED_VALUE"""),0.9506969181154815)</f>
        <v>0.9506969181</v>
      </c>
      <c r="AH889" s="82">
        <f>IFERROR(__xludf.DUMMYFUNCTION("""COMPUTED_VALUE"""),0.9371477066585893)</f>
        <v>0.9371477067</v>
      </c>
      <c r="AI889" s="82">
        <f>IFERROR(__xludf.DUMMYFUNCTION("""COMPUTED_VALUE"""),1.113453701342848)</f>
        <v>1.113453701</v>
      </c>
      <c r="AJ889" s="82">
        <f>IFERROR(__xludf.DUMMYFUNCTION("""COMPUTED_VALUE"""),1.3867541011447775)</f>
        <v>1.386754101</v>
      </c>
      <c r="AK889" s="82">
        <f>IFERROR(__xludf.DUMMYFUNCTION("""COMPUTED_VALUE"""),1.3239262565142833)</f>
        <v>1.323926257</v>
      </c>
      <c r="AL889" s="82">
        <f>IFERROR(__xludf.DUMMYFUNCTION("""COMPUTED_VALUE"""),0.9494750735060188)</f>
        <v>0.9494750735</v>
      </c>
      <c r="AM889" s="82">
        <f>IFERROR(__xludf.DUMMYFUNCTION("""COMPUTED_VALUE"""),1.1456538127167903)</f>
        <v>1.145653813</v>
      </c>
      <c r="AN889" s="82">
        <f>IFERROR(__xludf.DUMMYFUNCTION("""COMPUTED_VALUE"""),0.9592082747635549)</f>
        <v>0.9592082748</v>
      </c>
      <c r="AO889" s="82">
        <f>IFERROR(__xludf.DUMMYFUNCTION("""COMPUTED_VALUE"""),1.1912184035299151)</f>
        <v>1.191218404</v>
      </c>
      <c r="AP889" s="82">
        <f>IFERROR(__xludf.DUMMYFUNCTION("""COMPUTED_VALUE"""),0.7785273166054532)</f>
        <v>0.7785273166</v>
      </c>
      <c r="AQ889" s="82">
        <f>IFERROR(__xludf.DUMMYFUNCTION("""COMPUTED_VALUE"""),0.9509743931490919)</f>
        <v>0.9509743931</v>
      </c>
      <c r="AR889" s="82">
        <f>IFERROR(__xludf.DUMMYFUNCTION("""COMPUTED_VALUE"""),0.9574297613965997)</f>
        <v>0.9574297614</v>
      </c>
      <c r="AS889" s="82">
        <f>IFERROR(__xludf.DUMMYFUNCTION("""COMPUTED_VALUE"""),88.0)</f>
        <v>88</v>
      </c>
      <c r="AT889" s="82">
        <f>IFERROR(__xludf.DUMMYFUNCTION("""COMPUTED_VALUE"""),0.3047962918979469)</f>
        <v>0.3047962919</v>
      </c>
      <c r="AU889" s="82">
        <f>IFERROR(__xludf.DUMMYFUNCTION("""COMPUTED_VALUE"""),2.139508624976047)</f>
        <v>2.139508625</v>
      </c>
      <c r="AV889" s="82">
        <f>IFERROR(__xludf.DUMMYFUNCTION("""COMPUTED_VALUE"""),42.688511979572404)</f>
        <v>42.68851198</v>
      </c>
      <c r="AW889" s="82">
        <f t="shared" si="1"/>
        <v>-2.597620847</v>
      </c>
      <c r="AX889" s="83">
        <f t="array" ref="AX889">IFERROR(DGET('SBV Import'!A:G,"SBV",{"RSC ID","Tier";B889,A889}))</f>
        <v>32.05268752</v>
      </c>
      <c r="AY889" s="82">
        <f t="shared" si="2"/>
        <v>-4.229907547</v>
      </c>
      <c r="AZ889" s="82">
        <v>1.6322866995392755</v>
      </c>
      <c r="BA889" s="84">
        <v>800.0</v>
      </c>
      <c r="BB889" s="84" t="b">
        <f>IFERROR(__xludf.DUMMYFUNCTION("iferror(if(A889="""",,E889&gt;=FILTER(Constants!$F$2:$F$10,Constants!$A$2:$A$10=A889)))"),TRUE)</f>
        <v>1</v>
      </c>
    </row>
    <row r="890">
      <c r="A890" s="80" t="str">
        <f>IFERROR(__xludf.DUMMYFUNCTION("""COMPUTED_VALUE"""),"Elite")</f>
        <v>Elite</v>
      </c>
      <c r="B890" s="73" t="str">
        <f>IFERROR(__xludf.DUMMYFUNCTION("""COMPUTED_VALUE"""),"RSC003986")</f>
        <v>RSC003986</v>
      </c>
      <c r="C890" s="73" t="str">
        <f>IFERROR(__xludf.DUMMYFUNCTION("""COMPUTED_VALUE"""),"Reprise")</f>
        <v>Reprise</v>
      </c>
      <c r="D890" s="73"/>
      <c r="E890" s="82">
        <f>IFERROR(__xludf.DUMMYFUNCTION("""COMPUTED_VALUE"""),4.0)</f>
        <v>4</v>
      </c>
      <c r="F890" s="82">
        <f>IFERROR(__xludf.DUMMYFUNCTION("""COMPUTED_VALUE"""),2.0)</f>
        <v>2</v>
      </c>
      <c r="G890" s="82">
        <f>IFERROR(__xludf.DUMMYFUNCTION("""COMPUTED_VALUE"""),2.0)</f>
        <v>2</v>
      </c>
      <c r="H890" s="86">
        <f>IFERROR(__xludf.DUMMYFUNCTION("""COMPUTED_VALUE"""),0.5)</f>
        <v>0.5</v>
      </c>
      <c r="I890" s="86">
        <f>IFERROR(__xludf.DUMMYFUNCTION("""COMPUTED_VALUE"""),0.2)</f>
        <v>0.2</v>
      </c>
      <c r="J890" s="82">
        <f>IFERROR(__xludf.DUMMYFUNCTION("""COMPUTED_VALUE"""),369.75)</f>
        <v>369.75</v>
      </c>
      <c r="K890" s="82">
        <f>IFERROR(__xludf.DUMMYFUNCTION("""COMPUTED_VALUE"""),0.5)</f>
        <v>0.5</v>
      </c>
      <c r="L890" s="82">
        <f>IFERROR(__xludf.DUMMYFUNCTION("""COMPUTED_VALUE"""),0.5)</f>
        <v>0.5</v>
      </c>
      <c r="M890" s="82">
        <f>IFERROR(__xludf.DUMMYFUNCTION("""COMPUTED_VALUE"""),1.5)</f>
        <v>1.5</v>
      </c>
      <c r="N890" s="82">
        <f>IFERROR(__xludf.DUMMYFUNCTION("""COMPUTED_VALUE"""),2.5)</f>
        <v>2.5</v>
      </c>
      <c r="O890" s="82">
        <f>IFERROR(__xludf.DUMMYFUNCTION("""COMPUTED_VALUE"""),362.5833333333333)</f>
        <v>362.5833333</v>
      </c>
      <c r="P890" s="82">
        <f>IFERROR(__xludf.DUMMYFUNCTION("""COMPUTED_VALUE"""),0.8333333333333333)</f>
        <v>0.8333333333</v>
      </c>
      <c r="Q890" s="82">
        <f>IFERROR(__xludf.DUMMYFUNCTION("""COMPUTED_VALUE"""),0.49999999999999994)</f>
        <v>0.5</v>
      </c>
      <c r="R890" s="82">
        <f>IFERROR(__xludf.DUMMYFUNCTION("""COMPUTED_VALUE"""),1.25)</f>
        <v>1.25</v>
      </c>
      <c r="S890" s="82">
        <f>IFERROR(__xludf.DUMMYFUNCTION("""COMPUTED_VALUE"""),3.0000000000000004)</f>
        <v>3</v>
      </c>
      <c r="T890" s="82">
        <f>IFERROR(__xludf.DUMMYFUNCTION("""COMPUTED_VALUE"""),381.0454545454545)</f>
        <v>381.0454545</v>
      </c>
      <c r="U890" s="82">
        <f>IFERROR(__xludf.DUMMYFUNCTION("""COMPUTED_VALUE"""),0.7575757575757575)</f>
        <v>0.7575757576</v>
      </c>
      <c r="V890" s="82">
        <f>IFERROR(__xludf.DUMMYFUNCTION("""COMPUTED_VALUE"""),0.5530303030303031)</f>
        <v>0.553030303</v>
      </c>
      <c r="W890" s="82">
        <f>IFERROR(__xludf.DUMMYFUNCTION("""COMPUTED_VALUE"""),1.678030303030303)</f>
        <v>1.678030303</v>
      </c>
      <c r="X890" s="82">
        <f>IFERROR(__xludf.DUMMYFUNCTION("""COMPUTED_VALUE"""),2.6808712121212124)</f>
        <v>2.680871212</v>
      </c>
      <c r="Y890" s="82">
        <f>IFERROR(__xludf.DUMMYFUNCTION("""COMPUTED_VALUE"""),351.47253787878793)</f>
        <v>351.4725379</v>
      </c>
      <c r="Z890" s="82">
        <f>IFERROR(__xludf.DUMMYFUNCTION("""COMPUTED_VALUE"""),0.661931818181818)</f>
        <v>0.6619318182</v>
      </c>
      <c r="AA890" s="82">
        <f>IFERROR(__xludf.DUMMYFUNCTION("""COMPUTED_VALUE"""),0.5381944444444444)</f>
        <v>0.5381944444</v>
      </c>
      <c r="AB890" s="82">
        <f>IFERROR(__xludf.DUMMYFUNCTION("""COMPUTED_VALUE"""),1.4482323232323229)</f>
        <v>1.448232323</v>
      </c>
      <c r="AC890" s="82">
        <f>IFERROR(__xludf.DUMMYFUNCTION("""COMPUTED_VALUE"""),2.5776515151515156)</f>
        <v>2.577651515</v>
      </c>
      <c r="AD890" s="82">
        <f>IFERROR(__xludf.DUMMYFUNCTION("""COMPUTED_VALUE"""),1.0520025326346134)</f>
        <v>1.052002533</v>
      </c>
      <c r="AE890" s="82">
        <f>IFERROR(__xludf.DUMMYFUNCTION("""COMPUTED_VALUE"""),0.755364806866953)</f>
        <v>0.7553648069</v>
      </c>
      <c r="AF890" s="82">
        <f>IFERROR(__xludf.DUMMYFUNCTION("""COMPUTED_VALUE"""),0.9290322580645162)</f>
        <v>0.9290322581</v>
      </c>
      <c r="AG890" s="82">
        <f>IFERROR(__xludf.DUMMYFUNCTION("""COMPUTED_VALUE"""),1.0357454228421974)</f>
        <v>1.035745423</v>
      </c>
      <c r="AH890" s="82">
        <f>IFERROR(__xludf.DUMMYFUNCTION("""COMPUTED_VALUE"""),0.969875091844232)</f>
        <v>0.9698750918</v>
      </c>
      <c r="AI890" s="82">
        <f>IFERROR(__xludf.DUMMYFUNCTION("""COMPUTED_VALUE"""),0.9515487693347648)</f>
        <v>0.9515487693</v>
      </c>
      <c r="AJ890" s="82">
        <f>IFERROR(__xludf.DUMMYFUNCTION("""COMPUTED_VALUE"""),1.1)</f>
        <v>1.1</v>
      </c>
      <c r="AK890" s="82">
        <f>IFERROR(__xludf.DUMMYFUNCTION("""COMPUTED_VALUE"""),0.9041095890410957)</f>
        <v>0.904109589</v>
      </c>
      <c r="AL890" s="82">
        <f>IFERROR(__xludf.DUMMYFUNCTION("""COMPUTED_VALUE"""),0.744920993227991)</f>
        <v>0.7449209932</v>
      </c>
      <c r="AM890" s="82">
        <f>IFERROR(__xludf.DUMMYFUNCTION("""COMPUTED_VALUE"""),1.1190392087601555)</f>
        <v>1.119039209</v>
      </c>
      <c r="AN890" s="82">
        <f>IFERROR(__xludf.DUMMYFUNCTION("""COMPUTED_VALUE"""),1.0546505439583755)</f>
        <v>1.054650544</v>
      </c>
      <c r="AO890" s="82">
        <f>IFERROR(__xludf.DUMMYFUNCTION("""COMPUTED_VALUE"""),0.7053266863006076)</f>
        <v>0.7053266863</v>
      </c>
      <c r="AP890" s="82">
        <f>IFERROR(__xludf.DUMMYFUNCTION("""COMPUTED_VALUE"""),0.8758432311811349)</f>
        <v>0.8758432312</v>
      </c>
      <c r="AQ890" s="82">
        <f>IFERROR(__xludf.DUMMYFUNCTION("""COMPUTED_VALUE"""),1.0523077301239951)</f>
        <v>1.05230773</v>
      </c>
      <c r="AR890" s="82">
        <f>IFERROR(__xludf.DUMMYFUNCTION("""COMPUTED_VALUE"""),0.9973226681214582)</f>
        <v>0.9973226681</v>
      </c>
      <c r="AS890" s="82">
        <f>IFERROR(__xludf.DUMMYFUNCTION("""COMPUTED_VALUE"""),10.0)</f>
        <v>10</v>
      </c>
      <c r="AT890" s="82">
        <f>IFERROR(__xludf.DUMMYFUNCTION("""COMPUTED_VALUE"""),0.5)</f>
        <v>0.5</v>
      </c>
      <c r="AU890" s="82">
        <f>IFERROR(__xludf.DUMMYFUNCTION("""COMPUTED_VALUE"""),2.138630211222644)</f>
        <v>2.138630211</v>
      </c>
      <c r="AV890" s="82">
        <f>IFERROR(__xludf.DUMMYFUNCTION("""COMPUTED_VALUE"""),42.66324509928419)</f>
        <v>42.6632451</v>
      </c>
      <c r="AW890" s="82">
        <f t="shared" si="1"/>
        <v>-2.600229833</v>
      </c>
      <c r="AX890" s="83">
        <f t="array" ref="AX890">IFERROR(DGET('SBV Import'!A:G,"SBV",{"RSC ID","Tier";B890,A890}))</f>
        <v>49.24595368</v>
      </c>
      <c r="AY890" s="82">
        <f t="shared" si="2"/>
        <v>-2.049310569</v>
      </c>
      <c r="AZ890" s="82">
        <v>0.5509192643216636</v>
      </c>
      <c r="BA890" s="84">
        <v>800.0</v>
      </c>
      <c r="BB890" s="84" t="b">
        <f>IFERROR(__xludf.DUMMYFUNCTION("iferror(if(A890="""",,E890&gt;=FILTER(Constants!$F$2:$F$10,Constants!$A$2:$A$10=A890)))"),TRUE)</f>
        <v>1</v>
      </c>
    </row>
    <row r="891">
      <c r="A891" s="80" t="str">
        <f>IFERROR(__xludf.DUMMYFUNCTION("""COMPUTED_VALUE"""),"Elite")</f>
        <v>Elite</v>
      </c>
      <c r="B891" s="73" t="str">
        <f>IFERROR(__xludf.DUMMYFUNCTION("""COMPUTED_VALUE"""),"RSC003561")</f>
        <v>RSC003561</v>
      </c>
      <c r="C891" s="73" t="str">
        <f>IFERROR(__xludf.DUMMYFUNCTION("""COMPUTED_VALUE"""),"Dooober")</f>
        <v>Dooober</v>
      </c>
      <c r="D891" s="73" t="str">
        <f>IFERROR(__xludf.DUMMYFUNCTION("""COMPUTED_VALUE"""),"Drive Bye")</f>
        <v>Drive Bye</v>
      </c>
      <c r="E891" s="82">
        <f>IFERROR(__xludf.DUMMYFUNCTION("""COMPUTED_VALUE"""),38.0)</f>
        <v>38</v>
      </c>
      <c r="F891" s="82">
        <f>IFERROR(__xludf.DUMMYFUNCTION("""COMPUTED_VALUE"""),13.0)</f>
        <v>13</v>
      </c>
      <c r="G891" s="82">
        <f>IFERROR(__xludf.DUMMYFUNCTION("""COMPUTED_VALUE"""),25.0)</f>
        <v>25</v>
      </c>
      <c r="H891" s="86">
        <f>IFERROR(__xludf.DUMMYFUNCTION("""COMPUTED_VALUE"""),0.34210526315789475)</f>
        <v>0.3421052632</v>
      </c>
      <c r="I891" s="86">
        <f>IFERROR(__xludf.DUMMYFUNCTION("""COMPUTED_VALUE"""),0.3181818181818182)</f>
        <v>0.3181818182</v>
      </c>
      <c r="J891" s="82">
        <f>IFERROR(__xludf.DUMMYFUNCTION("""COMPUTED_VALUE"""),354.6578947368421)</f>
        <v>354.6578947</v>
      </c>
      <c r="K891" s="82">
        <f>IFERROR(__xludf.DUMMYFUNCTION("""COMPUTED_VALUE"""),0.7368421052631579)</f>
        <v>0.7368421053</v>
      </c>
      <c r="L891" s="82">
        <f>IFERROR(__xludf.DUMMYFUNCTION("""COMPUTED_VALUE"""),0.4473684210526316)</f>
        <v>0.4473684211</v>
      </c>
      <c r="M891" s="82">
        <f>IFERROR(__xludf.DUMMYFUNCTION("""COMPUTED_VALUE"""),1.868421052631579)</f>
        <v>1.868421053</v>
      </c>
      <c r="N891" s="82">
        <f>IFERROR(__xludf.DUMMYFUNCTION("""COMPUTED_VALUE"""),2.3157894736842106)</f>
        <v>2.315789474</v>
      </c>
      <c r="O891" s="82">
        <f>IFERROR(__xludf.DUMMYFUNCTION("""COMPUTED_VALUE"""),387.40350877192986)</f>
        <v>387.4035088</v>
      </c>
      <c r="P891" s="82">
        <f>IFERROR(__xludf.DUMMYFUNCTION("""COMPUTED_VALUE"""),0.9035087719298246)</f>
        <v>0.9035087719</v>
      </c>
      <c r="Q891" s="82">
        <f>IFERROR(__xludf.DUMMYFUNCTION("""COMPUTED_VALUE"""),0.7368421052631579)</f>
        <v>0.7368421053</v>
      </c>
      <c r="R891" s="82">
        <f>IFERROR(__xludf.DUMMYFUNCTION("""COMPUTED_VALUE"""),1.307017543859649)</f>
        <v>1.307017544</v>
      </c>
      <c r="S891" s="82">
        <f>IFERROR(__xludf.DUMMYFUNCTION("""COMPUTED_VALUE"""),3.070175438596491)</f>
        <v>3.070175439</v>
      </c>
      <c r="T891" s="82">
        <f>IFERROR(__xludf.DUMMYFUNCTION("""COMPUTED_VALUE"""),364.8894310835613)</f>
        <v>364.8894311</v>
      </c>
      <c r="U891" s="82">
        <f>IFERROR(__xludf.DUMMYFUNCTION("""COMPUTED_VALUE"""),0.7799956693236343)</f>
        <v>0.7799956693</v>
      </c>
      <c r="V891" s="82">
        <f>IFERROR(__xludf.DUMMYFUNCTION("""COMPUTED_VALUE"""),0.6087196037570275)</f>
        <v>0.6087196038</v>
      </c>
      <c r="W891" s="82">
        <f>IFERROR(__xludf.DUMMYFUNCTION("""COMPUTED_VALUE"""),1.4206508160988547)</f>
        <v>1.420650816</v>
      </c>
      <c r="X891" s="82">
        <f>IFERROR(__xludf.DUMMYFUNCTION("""COMPUTED_VALUE"""),2.715510605178998)</f>
        <v>2.715510605</v>
      </c>
      <c r="Y891" s="82">
        <f>IFERROR(__xludf.DUMMYFUNCTION("""COMPUTED_VALUE"""),353.17663967989637)</f>
        <v>353.1766397</v>
      </c>
      <c r="Z891" s="82">
        <f>IFERROR(__xludf.DUMMYFUNCTION("""COMPUTED_VALUE"""),0.7287653583694013)</f>
        <v>0.7287653584</v>
      </c>
      <c r="AA891" s="82">
        <f>IFERROR(__xludf.DUMMYFUNCTION("""COMPUTED_VALUE"""),0.5478376125900021)</f>
        <v>0.5478376126</v>
      </c>
      <c r="AB891" s="82">
        <f>IFERROR(__xludf.DUMMYFUNCTION("""COMPUTED_VALUE"""),1.452183486484092)</f>
        <v>1.452183486</v>
      </c>
      <c r="AC891" s="82">
        <f>IFERROR(__xludf.DUMMYFUNCTION("""COMPUTED_VALUE"""),2.5477241825471366)</f>
        <v>2.547724183</v>
      </c>
      <c r="AD891" s="82">
        <f>IFERROR(__xludf.DUMMYFUNCTION("""COMPUTED_VALUE"""),1.0041940912578144)</f>
        <v>1.004194091</v>
      </c>
      <c r="AE891" s="82">
        <f>IFERROR(__xludf.DUMMYFUNCTION("""COMPUTED_VALUE"""),1.011082781036448)</f>
        <v>1.011082781</v>
      </c>
      <c r="AF891" s="82">
        <f>IFERROR(__xludf.DUMMYFUNCTION("""COMPUTED_VALUE"""),0.8166077150811458)</f>
        <v>0.8166077151</v>
      </c>
      <c r="AG891" s="82">
        <f>IFERROR(__xludf.DUMMYFUNCTION("""COMPUTED_VALUE"""),1.2866287697260954)</f>
        <v>1.28662877</v>
      </c>
      <c r="AH891" s="82">
        <f>IFERROR(__xludf.DUMMYFUNCTION("""COMPUTED_VALUE"""),0.908963964603482)</f>
        <v>0.9089639646</v>
      </c>
      <c r="AI891" s="82">
        <f>IFERROR(__xludf.DUMMYFUNCTION("""COMPUTED_VALUE"""),1.0617010956483766)</f>
        <v>1.061701096</v>
      </c>
      <c r="AJ891" s="82">
        <f>IFERROR(__xludf.DUMMYFUNCTION("""COMPUTED_VALUE"""),1.1583510107348334)</f>
        <v>1.158351011</v>
      </c>
      <c r="AK891" s="82">
        <f>IFERROR(__xludf.DUMMYFUNCTION("""COMPUTED_VALUE"""),1.2104786846281212)</f>
        <v>1.210478685</v>
      </c>
      <c r="AL891" s="82">
        <f>IFERROR(__xludf.DUMMYFUNCTION("""COMPUTED_VALUE"""),0.9200132284784478)</f>
        <v>0.9200132285</v>
      </c>
      <c r="AM891" s="82">
        <f>IFERROR(__xludf.DUMMYFUNCTION("""COMPUTED_VALUE"""),1.130607051484564)</f>
        <v>1.130607051</v>
      </c>
      <c r="AN891" s="82">
        <f>IFERROR(__xludf.DUMMYFUNCTION("""COMPUTED_VALUE"""),1.0116028170475804)</f>
        <v>1.011602817</v>
      </c>
      <c r="AO891" s="82">
        <f>IFERROR(__xludf.DUMMYFUNCTION("""COMPUTED_VALUE"""),1.0394288008640533)</f>
        <v>1.039428801</v>
      </c>
      <c r="AP891" s="82">
        <f>IFERROR(__xludf.DUMMYFUNCTION("""COMPUTED_VALUE"""),0.7836492068462786)</f>
        <v>0.7836492068</v>
      </c>
      <c r="AQ891" s="82">
        <f>IFERROR(__xludf.DUMMYFUNCTION("""COMPUTED_VALUE"""),1.3107692778737483)</f>
        <v>1.310769278</v>
      </c>
      <c r="AR891" s="82">
        <f>IFERROR(__xludf.DUMMYFUNCTION("""COMPUTED_VALUE"""),0.9238357346809297)</f>
        <v>0.9238357347</v>
      </c>
      <c r="AS891" s="82">
        <f>IFERROR(__xludf.DUMMYFUNCTION("""COMPUTED_VALUE"""),66.0)</f>
        <v>66</v>
      </c>
      <c r="AT891" s="82">
        <f>IFERROR(__xludf.DUMMYFUNCTION("""COMPUTED_VALUE"""),0.33558597777087357)</f>
        <v>0.3355859778</v>
      </c>
      <c r="AU891" s="82">
        <f>IFERROR(__xludf.DUMMYFUNCTION("""COMPUTED_VALUE"""),2.1289550900952863)</f>
        <v>2.12895509</v>
      </c>
      <c r="AV891" s="82">
        <f>IFERROR(__xludf.DUMMYFUNCTION("""COMPUTED_VALUE"""),42.384947854561176)</f>
        <v>42.38494785</v>
      </c>
      <c r="AW891" s="82">
        <f t="shared" si="1"/>
        <v>-2.629263703</v>
      </c>
      <c r="AX891" s="83">
        <f t="array" ref="AX891">IFERROR(DGET('SBV Import'!A:G,"SBV",{"RSC ID","Tier";B891,A891}))</f>
        <v>41.25953435</v>
      </c>
      <c r="AY891" s="82">
        <f t="shared" si="2"/>
        <v>-2.752451664</v>
      </c>
      <c r="AZ891" s="82">
        <v>0.12318796098254703</v>
      </c>
      <c r="BA891" s="84">
        <v>800.0</v>
      </c>
      <c r="BB891" s="84" t="b">
        <f>IFERROR(__xludf.DUMMYFUNCTION("iferror(if(A891="""",,E891&gt;=FILTER(Constants!$F$2:$F$10,Constants!$A$2:$A$10=A891)))"),TRUE)</f>
        <v>1</v>
      </c>
    </row>
    <row r="892">
      <c r="A892" s="80" t="str">
        <f>IFERROR(__xludf.DUMMYFUNCTION("""COMPUTED_VALUE"""),"Elite")</f>
        <v>Elite</v>
      </c>
      <c r="B892" s="73" t="str">
        <f>IFERROR(__xludf.DUMMYFUNCTION("""COMPUTED_VALUE"""),"RSC007642")</f>
        <v>RSC007642</v>
      </c>
      <c r="C892" s="73" t="str">
        <f>IFERROR(__xludf.DUMMYFUNCTION("""COMPUTED_VALUE"""),"Luminati7")</f>
        <v>Luminati7</v>
      </c>
      <c r="D892" s="73"/>
      <c r="E892" s="82">
        <f>IFERROR(__xludf.DUMMYFUNCTION("""COMPUTED_VALUE"""),8.0)</f>
        <v>8</v>
      </c>
      <c r="F892" s="82">
        <f>IFERROR(__xludf.DUMMYFUNCTION("""COMPUTED_VALUE"""),2.0)</f>
        <v>2</v>
      </c>
      <c r="G892" s="82">
        <f>IFERROR(__xludf.DUMMYFUNCTION("""COMPUTED_VALUE"""),6.0)</f>
        <v>6</v>
      </c>
      <c r="H892" s="86">
        <f>IFERROR(__xludf.DUMMYFUNCTION("""COMPUTED_VALUE"""),0.25)</f>
        <v>0.25</v>
      </c>
      <c r="I892" s="86">
        <f>IFERROR(__xludf.DUMMYFUNCTION("""COMPUTED_VALUE"""),0.35294117647058826)</f>
        <v>0.3529411765</v>
      </c>
      <c r="J892" s="82">
        <f>IFERROR(__xludf.DUMMYFUNCTION("""COMPUTED_VALUE"""),458.25)</f>
        <v>458.25</v>
      </c>
      <c r="K892" s="82">
        <f>IFERROR(__xludf.DUMMYFUNCTION("""COMPUTED_VALUE"""),0.75)</f>
        <v>0.75</v>
      </c>
      <c r="L892" s="82">
        <f>IFERROR(__xludf.DUMMYFUNCTION("""COMPUTED_VALUE"""),0.25)</f>
        <v>0.25</v>
      </c>
      <c r="M892" s="82">
        <f>IFERROR(__xludf.DUMMYFUNCTION("""COMPUTED_VALUE"""),2.75)</f>
        <v>2.75</v>
      </c>
      <c r="N892" s="82">
        <f>IFERROR(__xludf.DUMMYFUNCTION("""COMPUTED_VALUE"""),2.125)</f>
        <v>2.125</v>
      </c>
      <c r="O892" s="82">
        <f>IFERROR(__xludf.DUMMYFUNCTION("""COMPUTED_VALUE"""),427.9166666666667)</f>
        <v>427.9166667</v>
      </c>
      <c r="P892" s="82">
        <f>IFERROR(__xludf.DUMMYFUNCTION("""COMPUTED_VALUE"""),0.9166666666666666)</f>
        <v>0.9166666667</v>
      </c>
      <c r="Q892" s="82">
        <f>IFERROR(__xludf.DUMMYFUNCTION("""COMPUTED_VALUE"""),0.7916666666666666)</f>
        <v>0.7916666667</v>
      </c>
      <c r="R892" s="82">
        <f>IFERROR(__xludf.DUMMYFUNCTION("""COMPUTED_VALUE"""),1.5416666666666667)</f>
        <v>1.541666667</v>
      </c>
      <c r="S892" s="82">
        <f>IFERROR(__xludf.DUMMYFUNCTION("""COMPUTED_VALUE"""),3.791666666666667)</f>
        <v>3.791666667</v>
      </c>
      <c r="T892" s="82">
        <f>IFERROR(__xludf.DUMMYFUNCTION("""COMPUTED_VALUE"""),370.3343337218337)</f>
        <v>370.3343337</v>
      </c>
      <c r="U892" s="82">
        <f>IFERROR(__xludf.DUMMYFUNCTION("""COMPUTED_VALUE"""),0.8534479409479411)</f>
        <v>0.8534479409</v>
      </c>
      <c r="V892" s="82">
        <f>IFERROR(__xludf.DUMMYFUNCTION("""COMPUTED_VALUE"""),0.6495969308469309)</f>
        <v>0.6495969308</v>
      </c>
      <c r="W892" s="82">
        <f>IFERROR(__xludf.DUMMYFUNCTION("""COMPUTED_VALUE"""),1.3482226107226107)</f>
        <v>1.348222611</v>
      </c>
      <c r="X892" s="82">
        <f>IFERROR(__xludf.DUMMYFUNCTION("""COMPUTED_VALUE"""),2.909605672105672)</f>
        <v>2.909605672</v>
      </c>
      <c r="Y892" s="82">
        <f>IFERROR(__xludf.DUMMYFUNCTION("""COMPUTED_VALUE"""),350.766113053613)</f>
        <v>350.7661131</v>
      </c>
      <c r="Z892" s="82">
        <f>IFERROR(__xludf.DUMMYFUNCTION("""COMPUTED_VALUE"""),0.646590909090909)</f>
        <v>0.6465909091</v>
      </c>
      <c r="AA892" s="82">
        <f>IFERROR(__xludf.DUMMYFUNCTION("""COMPUTED_VALUE"""),0.48862988862988865)</f>
        <v>0.4886298886</v>
      </c>
      <c r="AB892" s="82">
        <f>IFERROR(__xludf.DUMMYFUNCTION("""COMPUTED_VALUE"""),1.6143437580937579)</f>
        <v>1.614343758</v>
      </c>
      <c r="AC892" s="82">
        <f>IFERROR(__xludf.DUMMYFUNCTION("""COMPUTED_VALUE"""),2.435063778813779)</f>
        <v>2.435063779</v>
      </c>
      <c r="AD892" s="82">
        <f>IFERROR(__xludf.DUMMYFUNCTION("""COMPUTED_VALUE"""),1.3064260854923535)</f>
        <v>1.306426085</v>
      </c>
      <c r="AE892" s="82">
        <f>IFERROR(__xludf.DUMMYFUNCTION("""COMPUTED_VALUE"""),1.1599297012302285)</f>
        <v>1.159929701</v>
      </c>
      <c r="AF892" s="82">
        <f>IFERROR(__xludf.DUMMYFUNCTION("""COMPUTED_VALUE"""),0.5116346867380472)</f>
        <v>0.5116346867</v>
      </c>
      <c r="AG892" s="82">
        <f>IFERROR(__xludf.DUMMYFUNCTION("""COMPUTED_VALUE"""),1.70347857215197)</f>
        <v>1.703478572</v>
      </c>
      <c r="AH892" s="82">
        <f>IFERROR(__xludf.DUMMYFUNCTION("""COMPUTED_VALUE"""),0.8726670810385)</f>
        <v>0.872667081</v>
      </c>
      <c r="AI892" s="82">
        <f>IFERROR(__xludf.DUMMYFUNCTION("""COMPUTED_VALUE"""),1.1554874277146672)</f>
        <v>1.155487428</v>
      </c>
      <c r="AJ892" s="82">
        <f>IFERROR(__xludf.DUMMYFUNCTION("""COMPUTED_VALUE"""),1.0740744955673656)</f>
        <v>1.074074496</v>
      </c>
      <c r="AK892" s="82">
        <f>IFERROR(__xludf.DUMMYFUNCTION("""COMPUTED_VALUE"""),1.21870444436138)</f>
        <v>1.218704444</v>
      </c>
      <c r="AL892" s="82">
        <f>IFERROR(__xludf.DUMMYFUNCTION("""COMPUTED_VALUE"""),1.1434807979079769)</f>
        <v>1.143480798</v>
      </c>
      <c r="AM892" s="82">
        <f>IFERROR(__xludf.DUMMYFUNCTION("""COMPUTED_VALUE"""),1.303154823699065)</f>
        <v>1.303154824</v>
      </c>
      <c r="AN892" s="82">
        <f>IFERROR(__xludf.DUMMYFUNCTION("""COMPUTED_VALUE"""),1.307082114317581)</f>
        <v>1.307082114</v>
      </c>
      <c r="AO892" s="82">
        <f>IFERROR(__xludf.DUMMYFUNCTION("""COMPUTED_VALUE"""),1.0579900294509115)</f>
        <v>1.057990029</v>
      </c>
      <c r="AP892" s="82">
        <f>IFERROR(__xludf.DUMMYFUNCTION("""COMPUTED_VALUE"""),0.43792161559056747)</f>
        <v>0.4379216156</v>
      </c>
      <c r="AQ892" s="82">
        <f>IFERROR(__xludf.DUMMYFUNCTION("""COMPUTED_VALUE"""),1.9292308385606578)</f>
        <v>1.929230839</v>
      </c>
      <c r="AR892" s="82">
        <f>IFERROR(__xludf.DUMMYFUNCTION("""COMPUTED_VALUE"""),0.8477242679032394)</f>
        <v>0.8477242679</v>
      </c>
      <c r="AS892" s="82">
        <f>IFERROR(__xludf.DUMMYFUNCTION("""COMPUTED_VALUE"""),13.0)</f>
        <v>13</v>
      </c>
      <c r="AT892" s="82">
        <f>IFERROR(__xludf.DUMMYFUNCTION("""COMPUTED_VALUE"""),0.3092625416068513)</f>
        <v>0.3092625416</v>
      </c>
      <c r="AU892" s="82">
        <f>IFERROR(__xludf.DUMMYFUNCTION("""COMPUTED_VALUE"""),2.1035377580247454)</f>
        <v>2.103537758</v>
      </c>
      <c r="AV892" s="82">
        <f>IFERROR(__xludf.DUMMYFUNCTION("""COMPUTED_VALUE"""),41.653838301478686)</f>
        <v>41.6538383</v>
      </c>
      <c r="AW892" s="82">
        <f t="shared" si="1"/>
        <v>-2.708209089</v>
      </c>
      <c r="AX892" s="83">
        <f t="array" ref="AX892">IFERROR(DGET('SBV Import'!A:G,"SBV",{"RSC ID","Tier";B892,A892}))</f>
        <v>37.4919844</v>
      </c>
      <c r="AY892" s="82">
        <f t="shared" si="2"/>
        <v>-3.242282821</v>
      </c>
      <c r="AZ892" s="82">
        <v>0.5340737318627715</v>
      </c>
      <c r="BA892" s="84">
        <v>800.0</v>
      </c>
      <c r="BB892" s="84" t="b">
        <f>IFERROR(__xludf.DUMMYFUNCTION("iferror(if(A892="""",,E892&gt;=FILTER(Constants!$F$2:$F$10,Constants!$A$2:$A$10=A892)))"),TRUE)</f>
        <v>1</v>
      </c>
    </row>
    <row r="893">
      <c r="A893" s="80" t="str">
        <f>IFERROR(__xludf.DUMMYFUNCTION("""COMPUTED_VALUE"""),"Elite")</f>
        <v>Elite</v>
      </c>
      <c r="B893" s="73" t="str">
        <f>IFERROR(__xludf.DUMMYFUNCTION("""COMPUTED_VALUE"""),"RSC000867")</f>
        <v>RSC000867</v>
      </c>
      <c r="C893" s="73" t="str">
        <f>IFERROR(__xludf.DUMMYFUNCTION("""COMPUTED_VALUE"""),"Ritter")</f>
        <v>Ritter</v>
      </c>
      <c r="D893" s="73" t="str">
        <f>IFERROR(__xludf.DUMMYFUNCTION("""COMPUTED_VALUE"""),"Pylons")</f>
        <v>Pylons</v>
      </c>
      <c r="E893" s="82">
        <f>IFERROR(__xludf.DUMMYFUNCTION("""COMPUTED_VALUE"""),20.0)</f>
        <v>20</v>
      </c>
      <c r="F893" s="82">
        <f>IFERROR(__xludf.DUMMYFUNCTION("""COMPUTED_VALUE"""),7.0)</f>
        <v>7</v>
      </c>
      <c r="G893" s="82">
        <f>IFERROR(__xludf.DUMMYFUNCTION("""COMPUTED_VALUE"""),13.0)</f>
        <v>13</v>
      </c>
      <c r="H893" s="86">
        <f>IFERROR(__xludf.DUMMYFUNCTION("""COMPUTED_VALUE"""),0.35)</f>
        <v>0.35</v>
      </c>
      <c r="I893" s="86">
        <f>IFERROR(__xludf.DUMMYFUNCTION("""COMPUTED_VALUE"""),0.35)</f>
        <v>0.35</v>
      </c>
      <c r="J893" s="82">
        <f>IFERROR(__xludf.DUMMYFUNCTION("""COMPUTED_VALUE"""),323.05)</f>
        <v>323.05</v>
      </c>
      <c r="K893" s="82">
        <f>IFERROR(__xludf.DUMMYFUNCTION("""COMPUTED_VALUE"""),0.7)</f>
        <v>0.7</v>
      </c>
      <c r="L893" s="82">
        <f>IFERROR(__xludf.DUMMYFUNCTION("""COMPUTED_VALUE"""),0.65)</f>
        <v>0.65</v>
      </c>
      <c r="M893" s="82">
        <f>IFERROR(__xludf.DUMMYFUNCTION("""COMPUTED_VALUE"""),1.35)</f>
        <v>1.35</v>
      </c>
      <c r="N893" s="82">
        <f>IFERROR(__xludf.DUMMYFUNCTION("""COMPUTED_VALUE"""),2.0)</f>
        <v>2</v>
      </c>
      <c r="O893" s="82">
        <f>IFERROR(__xludf.DUMMYFUNCTION("""COMPUTED_VALUE"""),400.2333333333334)</f>
        <v>400.2333333</v>
      </c>
      <c r="P893" s="82">
        <f>IFERROR(__xludf.DUMMYFUNCTION("""COMPUTED_VALUE"""),1.05)</f>
        <v>1.05</v>
      </c>
      <c r="Q893" s="82">
        <f>IFERROR(__xludf.DUMMYFUNCTION("""COMPUTED_VALUE"""),0.7666666666666667)</f>
        <v>0.7666666667</v>
      </c>
      <c r="R893" s="82">
        <f>IFERROR(__xludf.DUMMYFUNCTION("""COMPUTED_VALUE"""),1.4333333333333331)</f>
        <v>1.433333333</v>
      </c>
      <c r="S893" s="82">
        <f>IFERROR(__xludf.DUMMYFUNCTION("""COMPUTED_VALUE"""),3.0833333333333335)</f>
        <v>3.083333333</v>
      </c>
      <c r="T893" s="82">
        <f>IFERROR(__xludf.DUMMYFUNCTION("""COMPUTED_VALUE"""),366.56546053676385)</f>
        <v>366.5654605</v>
      </c>
      <c r="U893" s="82">
        <f>IFERROR(__xludf.DUMMYFUNCTION("""COMPUTED_VALUE"""),0.8477252677890796)</f>
        <v>0.8477252678</v>
      </c>
      <c r="V893" s="82">
        <f>IFERROR(__xludf.DUMMYFUNCTION("""COMPUTED_VALUE"""),0.611230063554227)</f>
        <v>0.6112300636</v>
      </c>
      <c r="W893" s="82">
        <f>IFERROR(__xludf.DUMMYFUNCTION("""COMPUTED_VALUE"""),1.3392281935517896)</f>
        <v>1.339228194</v>
      </c>
      <c r="X893" s="82">
        <f>IFERROR(__xludf.DUMMYFUNCTION("""COMPUTED_VALUE"""),2.8361014206377226)</f>
        <v>2.836101421</v>
      </c>
      <c r="Y893" s="82">
        <f>IFERROR(__xludf.DUMMYFUNCTION("""COMPUTED_VALUE"""),358.46917051176035)</f>
        <v>358.4691705</v>
      </c>
      <c r="Z893" s="82">
        <f>IFERROR(__xludf.DUMMYFUNCTION("""COMPUTED_VALUE"""),0.7428834229746502)</f>
        <v>0.742883423</v>
      </c>
      <c r="AA893" s="82">
        <f>IFERROR(__xludf.DUMMYFUNCTION("""COMPUTED_VALUE"""),0.5568981326615094)</f>
        <v>0.5568981327</v>
      </c>
      <c r="AB893" s="82">
        <f>IFERROR(__xludf.DUMMYFUNCTION("""COMPUTED_VALUE"""),1.5196320561961518)</f>
        <v>1.519632056</v>
      </c>
      <c r="AC893" s="82">
        <f>IFERROR(__xludf.DUMMYFUNCTION("""COMPUTED_VALUE"""),2.5515911359426195)</f>
        <v>2.551591136</v>
      </c>
      <c r="AD893" s="82">
        <f>IFERROR(__xludf.DUMMYFUNCTION("""COMPUTED_VALUE"""),0.9011932589315981)</f>
        <v>0.9011932589</v>
      </c>
      <c r="AE893" s="82">
        <f>IFERROR(__xludf.DUMMYFUNCTION("""COMPUTED_VALUE"""),0.9422743573911818)</f>
        <v>0.9422743574</v>
      </c>
      <c r="AF893" s="82">
        <f>IFERROR(__xludf.DUMMYFUNCTION("""COMPUTED_VALUE"""),1.1671793491092188)</f>
        <v>1.167179349</v>
      </c>
      <c r="AG893" s="82">
        <f>IFERROR(__xludf.DUMMYFUNCTION("""COMPUTED_VALUE"""),0.888372941657493)</f>
        <v>0.8883729417</v>
      </c>
      <c r="AH893" s="82">
        <f>IFERROR(__xludf.DUMMYFUNCTION("""COMPUTED_VALUE"""),0.7838246386058053)</f>
        <v>0.7838246386</v>
      </c>
      <c r="AI893" s="82">
        <f>IFERROR(__xludf.DUMMYFUNCTION("""COMPUTED_VALUE"""),1.0918468225218751)</f>
        <v>1.091846823</v>
      </c>
      <c r="AJ893" s="82">
        <f>IFERROR(__xludf.DUMMYFUNCTION("""COMPUTED_VALUE"""),1.2386088275255325)</f>
        <v>1.238608828</v>
      </c>
      <c r="AK893" s="82">
        <f>IFERROR(__xludf.DUMMYFUNCTION("""COMPUTED_VALUE"""),1.2543013054832335)</f>
        <v>1.254301305</v>
      </c>
      <c r="AL893" s="82">
        <f>IFERROR(__xludf.DUMMYFUNCTION("""COMPUTED_VALUE"""),1.0702681889723107)</f>
        <v>1.070268189</v>
      </c>
      <c r="AM893" s="82">
        <f>IFERROR(__xludf.DUMMYFUNCTION("""COMPUTED_VALUE"""),1.087173156395803)</f>
        <v>1.087173156</v>
      </c>
      <c r="AN893" s="82">
        <f>IFERROR(__xludf.DUMMYFUNCTION("""COMPUTED_VALUE"""),0.921446540164309)</f>
        <v>0.9214465402</v>
      </c>
      <c r="AO893" s="82">
        <f>IFERROR(__xludf.DUMMYFUNCTION("""COMPUTED_VALUE"""),0.9874573608208506)</f>
        <v>0.9874573608</v>
      </c>
      <c r="AP893" s="82">
        <f>IFERROR(__xludf.DUMMYFUNCTION("""COMPUTED_VALUE"""),1.1385962005354755)</f>
        <v>1.138596201</v>
      </c>
      <c r="AQ893" s="82">
        <f>IFERROR(__xludf.DUMMYFUNCTION("""COMPUTED_VALUE"""),0.9470769571115957)</f>
        <v>0.9470769571</v>
      </c>
      <c r="AR893" s="82">
        <f>IFERROR(__xludf.DUMMYFUNCTION("""COMPUTED_VALUE"""),0.7978581344971665)</f>
        <v>0.7978581345</v>
      </c>
      <c r="AS893" s="82">
        <f>IFERROR(__xludf.DUMMYFUNCTION("""COMPUTED_VALUE"""),47.0)</f>
        <v>47</v>
      </c>
      <c r="AT893" s="82">
        <f>IFERROR(__xludf.DUMMYFUNCTION("""COMPUTED_VALUE"""),0.38274927675446535)</f>
        <v>0.3827492768</v>
      </c>
      <c r="AU893" s="82">
        <f>IFERROR(__xludf.DUMMYFUNCTION("""COMPUTED_VALUE"""),2.061150592238562)</f>
        <v>2.061150592</v>
      </c>
      <c r="AV893" s="82">
        <f>IFERROR(__xludf.DUMMYFUNCTION("""COMPUTED_VALUE"""),40.434604837149536)</f>
        <v>40.43460484</v>
      </c>
      <c r="AW893" s="82">
        <f t="shared" si="1"/>
        <v>-2.848983983</v>
      </c>
      <c r="AX893" s="83">
        <f t="array" ref="AX893">IFERROR(DGET('SBV Import'!A:G,"SBV",{"RSC ID","Tier";B893,A893}))</f>
        <v>24.80483901</v>
      </c>
      <c r="AY893" s="82">
        <f t="shared" si="2"/>
        <v>-6.378621031</v>
      </c>
      <c r="AZ893" s="82">
        <v>3.5296370476955987</v>
      </c>
      <c r="BA893" s="84">
        <v>800.0</v>
      </c>
      <c r="BB893" s="84" t="b">
        <f>IFERROR(__xludf.DUMMYFUNCTION("iferror(if(A893="""",,E893&gt;=FILTER(Constants!$F$2:$F$10,Constants!$A$2:$A$10=A893)))"),TRUE)</f>
        <v>1</v>
      </c>
    </row>
    <row r="894">
      <c r="A894" s="80" t="str">
        <f>IFERROR(__xludf.DUMMYFUNCTION("""COMPUTED_VALUE"""),"Elite")</f>
        <v>Elite</v>
      </c>
      <c r="B894" s="73" t="str">
        <f>IFERROR(__xludf.DUMMYFUNCTION("""COMPUTED_VALUE"""),"RSC006218")</f>
        <v>RSC006218</v>
      </c>
      <c r="C894" s="73" t="str">
        <f>IFERROR(__xludf.DUMMYFUNCTION("""COMPUTED_VALUE"""),"Stingray")</f>
        <v>Stingray</v>
      </c>
      <c r="D894" s="73" t="str">
        <f>IFERROR(__xludf.DUMMYFUNCTION("""COMPUTED_VALUE"""),"Keno")</f>
        <v>Keno</v>
      </c>
      <c r="E894" s="82">
        <f>IFERROR(__xludf.DUMMYFUNCTION("""COMPUTED_VALUE"""),44.0)</f>
        <v>44</v>
      </c>
      <c r="F894" s="82">
        <f>IFERROR(__xludf.DUMMYFUNCTION("""COMPUTED_VALUE"""),22.0)</f>
        <v>22</v>
      </c>
      <c r="G894" s="82">
        <f>IFERROR(__xludf.DUMMYFUNCTION("""COMPUTED_VALUE"""),22.0)</f>
        <v>22</v>
      </c>
      <c r="H894" s="86">
        <f>IFERROR(__xludf.DUMMYFUNCTION("""COMPUTED_VALUE"""),0.5)</f>
        <v>0.5</v>
      </c>
      <c r="I894" s="86">
        <f>IFERROR(__xludf.DUMMYFUNCTION("""COMPUTED_VALUE"""),0.26881720430107525)</f>
        <v>0.2688172043</v>
      </c>
      <c r="J894" s="82">
        <f>IFERROR(__xludf.DUMMYFUNCTION("""COMPUTED_VALUE"""),353.3863636363636)</f>
        <v>353.3863636</v>
      </c>
      <c r="K894" s="82">
        <f>IFERROR(__xludf.DUMMYFUNCTION("""COMPUTED_VALUE"""),0.5681818181818182)</f>
        <v>0.5681818182</v>
      </c>
      <c r="L894" s="82">
        <f>IFERROR(__xludf.DUMMYFUNCTION("""COMPUTED_VALUE"""),0.5454545454545454)</f>
        <v>0.5454545455</v>
      </c>
      <c r="M894" s="82">
        <f>IFERROR(__xludf.DUMMYFUNCTION("""COMPUTED_VALUE"""),1.6818181818181819)</f>
        <v>1.681818182</v>
      </c>
      <c r="N894" s="82">
        <f>IFERROR(__xludf.DUMMYFUNCTION("""COMPUTED_VALUE"""),2.1136363636363638)</f>
        <v>2.113636364</v>
      </c>
      <c r="O894" s="82">
        <f>IFERROR(__xludf.DUMMYFUNCTION("""COMPUTED_VALUE"""),331.1515151515151)</f>
        <v>331.1515152</v>
      </c>
      <c r="P894" s="82">
        <f>IFERROR(__xludf.DUMMYFUNCTION("""COMPUTED_VALUE"""),0.6893939393939393)</f>
        <v>0.6893939394</v>
      </c>
      <c r="Q894" s="82">
        <f>IFERROR(__xludf.DUMMYFUNCTION("""COMPUTED_VALUE"""),0.49242424242424254)</f>
        <v>0.4924242424</v>
      </c>
      <c r="R894" s="82">
        <f>IFERROR(__xludf.DUMMYFUNCTION("""COMPUTED_VALUE"""),1.113636363636364)</f>
        <v>1.113636364</v>
      </c>
      <c r="S894" s="82">
        <f>IFERROR(__xludf.DUMMYFUNCTION("""COMPUTED_VALUE"""),2.6515151515151514)</f>
        <v>2.651515152</v>
      </c>
      <c r="T894" s="82">
        <f>IFERROR(__xludf.DUMMYFUNCTION("""COMPUTED_VALUE"""),353.33173783186385)</f>
        <v>353.3317378</v>
      </c>
      <c r="U894" s="82">
        <f>IFERROR(__xludf.DUMMYFUNCTION("""COMPUTED_VALUE"""),0.7397111594984959)</f>
        <v>0.7397111595</v>
      </c>
      <c r="V894" s="82">
        <f>IFERROR(__xludf.DUMMYFUNCTION("""COMPUTED_VALUE"""),0.5447936234377742)</f>
        <v>0.5447936234</v>
      </c>
      <c r="W894" s="82">
        <f>IFERROR(__xludf.DUMMYFUNCTION("""COMPUTED_VALUE"""),1.422114543404855)</f>
        <v>1.422114543</v>
      </c>
      <c r="X894" s="82">
        <f>IFERROR(__xludf.DUMMYFUNCTION("""COMPUTED_VALUE"""),2.6374080244243747)</f>
        <v>2.637408024</v>
      </c>
      <c r="Y894" s="82">
        <f>IFERROR(__xludf.DUMMYFUNCTION("""COMPUTED_VALUE"""),364.7497753353419)</f>
        <v>364.7497753</v>
      </c>
      <c r="Z894" s="82">
        <f>IFERROR(__xludf.DUMMYFUNCTION("""COMPUTED_VALUE"""),0.8047324313344016)</f>
        <v>0.8047324313</v>
      </c>
      <c r="AA894" s="82">
        <f>IFERROR(__xludf.DUMMYFUNCTION("""COMPUTED_VALUE"""),0.6110107285829236)</f>
        <v>0.6110107286</v>
      </c>
      <c r="AB894" s="82">
        <f>IFERROR(__xludf.DUMMYFUNCTION("""COMPUTED_VALUE"""),1.4323546209412599)</f>
        <v>1.432354621</v>
      </c>
      <c r="AC894" s="82">
        <f>IFERROR(__xludf.DUMMYFUNCTION("""COMPUTED_VALUE"""),2.645702110034097)</f>
        <v>2.64570211</v>
      </c>
      <c r="AD894" s="82">
        <f>IFERROR(__xludf.DUMMYFUNCTION("""COMPUTED_VALUE"""),0.9688460076814824)</f>
        <v>0.9688460077</v>
      </c>
      <c r="AE894" s="82">
        <f>IFERROR(__xludf.DUMMYFUNCTION("""COMPUTED_VALUE"""),0.7060506027322189)</f>
        <v>0.7060506027</v>
      </c>
      <c r="AF894" s="82">
        <f>IFERROR(__xludf.DUMMYFUNCTION("""COMPUTED_VALUE"""),0.8927086218593604)</f>
        <v>0.8927086219</v>
      </c>
      <c r="AG894" s="82">
        <f>IFERROR(__xludf.DUMMYFUNCTION("""COMPUTED_VALUE"""),1.1741632674127789)</f>
        <v>1.174163267</v>
      </c>
      <c r="AH894" s="82">
        <f>IFERROR(__xludf.DUMMYFUNCTION("""COMPUTED_VALUE"""),0.7988943107465428)</f>
        <v>0.7988943107</v>
      </c>
      <c r="AI894" s="82">
        <f>IFERROR(__xludf.DUMMYFUNCTION("""COMPUTED_VALUE"""),0.9372255014042826)</f>
        <v>0.9372255014</v>
      </c>
      <c r="AJ894" s="82">
        <f>IFERROR(__xludf.DUMMYFUNCTION("""COMPUTED_VALUE"""),0.9319772056181088)</f>
        <v>0.9319772056</v>
      </c>
      <c r="AK894" s="82">
        <f>IFERROR(__xludf.DUMMYFUNCTION("""COMPUTED_VALUE"""),0.9038729919725039)</f>
        <v>0.903872992</v>
      </c>
      <c r="AL894" s="82">
        <f>IFERROR(__xludf.DUMMYFUNCTION("""COMPUTED_VALUE"""),0.7830848568428768)</f>
        <v>0.7830848568</v>
      </c>
      <c r="AM894" s="82">
        <f>IFERROR(__xludf.DUMMYFUNCTION("""COMPUTED_VALUE"""),1.0053488603053202)</f>
        <v>1.00534886</v>
      </c>
      <c r="AN894" s="82">
        <f>IFERROR(__xludf.DUMMYFUNCTION("""COMPUTED_VALUE"""),1.007975985494424)</f>
        <v>1.007975985</v>
      </c>
      <c r="AO894" s="82">
        <f>IFERROR(__xludf.DUMMYFUNCTION("""COMPUTED_VALUE"""),0.8015075980688724)</f>
        <v>0.8015075981</v>
      </c>
      <c r="AP894" s="82">
        <f>IFERROR(__xludf.DUMMYFUNCTION("""COMPUTED_VALUE"""),0.9554653431066925)</f>
        <v>0.9554653431</v>
      </c>
      <c r="AQ894" s="82">
        <f>IFERROR(__xludf.DUMMYFUNCTION("""COMPUTED_VALUE"""),1.179860182260237)</f>
        <v>1.179860182</v>
      </c>
      <c r="AR894" s="82">
        <f>IFERROR(__xludf.DUMMYFUNCTION("""COMPUTED_VALUE"""),0.8431909830481419)</f>
        <v>0.843190983</v>
      </c>
      <c r="AS894" s="82">
        <f>IFERROR(__xludf.DUMMYFUNCTION("""COMPUTED_VALUE"""),91.0)</f>
        <v>91</v>
      </c>
      <c r="AT894" s="82">
        <f>IFERROR(__xludf.DUMMYFUNCTION("""COMPUTED_VALUE"""),0.5000000000000001)</f>
        <v>0.5</v>
      </c>
      <c r="AU894" s="82">
        <f>IFERROR(__xludf.DUMMYFUNCTION("""COMPUTED_VALUE"""),2.0581703193507384)</f>
        <v>2.058170319</v>
      </c>
      <c r="AV894" s="82">
        <f>IFERROR(__xludf.DUMMYFUNCTION("""COMPUTED_VALUE"""),40.34887963306307)</f>
        <v>40.34887963</v>
      </c>
      <c r="AW894" s="82">
        <f t="shared" si="1"/>
        <v>-2.859334418</v>
      </c>
      <c r="AX894" s="83">
        <f t="array" ref="AX894">IFERROR(DGET('SBV Import'!A:G,"SBV",{"RSC ID","Tier";B894,A894}))</f>
        <v>56.68664113</v>
      </c>
      <c r="AY894" s="82">
        <f t="shared" si="2"/>
        <v>2.534498767</v>
      </c>
      <c r="AZ894" s="82">
        <v>5.393833185196547</v>
      </c>
      <c r="BA894" s="84">
        <v>800.0</v>
      </c>
      <c r="BB894" s="84" t="b">
        <f>IFERROR(__xludf.DUMMYFUNCTION("iferror(if(A894="""",,E894&gt;=FILTER(Constants!$F$2:$F$10,Constants!$A$2:$A$10=A894)))"),TRUE)</f>
        <v>1</v>
      </c>
    </row>
    <row r="895">
      <c r="A895" s="80" t="str">
        <f>IFERROR(__xludf.DUMMYFUNCTION("""COMPUTED_VALUE"""),"Elite")</f>
        <v>Elite</v>
      </c>
      <c r="B895" s="73" t="str">
        <f>IFERROR(__xludf.DUMMYFUNCTION("""COMPUTED_VALUE"""),"RSC006877")</f>
        <v>RSC006877</v>
      </c>
      <c r="C895" s="73" t="str">
        <f>IFERROR(__xludf.DUMMYFUNCTION("""COMPUTED_VALUE"""),"Jolt")</f>
        <v>Jolt</v>
      </c>
      <c r="D895" s="73"/>
      <c r="E895" s="82">
        <f>IFERROR(__xludf.DUMMYFUNCTION("""COMPUTED_VALUE"""),7.0)</f>
        <v>7</v>
      </c>
      <c r="F895" s="82">
        <f>IFERROR(__xludf.DUMMYFUNCTION("""COMPUTED_VALUE"""),4.0)</f>
        <v>4</v>
      </c>
      <c r="G895" s="82">
        <f>IFERROR(__xludf.DUMMYFUNCTION("""COMPUTED_VALUE"""),3.0)</f>
        <v>3</v>
      </c>
      <c r="H895" s="86">
        <f>IFERROR(__xludf.DUMMYFUNCTION("""COMPUTED_VALUE"""),0.5714285714285714)</f>
        <v>0.5714285714</v>
      </c>
      <c r="I895" s="86">
        <f>IFERROR(__xludf.DUMMYFUNCTION("""COMPUTED_VALUE"""),0.09090909090909091)</f>
        <v>0.09090909091</v>
      </c>
      <c r="J895" s="82">
        <f>IFERROR(__xludf.DUMMYFUNCTION("""COMPUTED_VALUE"""),331.14285714285717)</f>
        <v>331.1428571</v>
      </c>
      <c r="K895" s="82">
        <f>IFERROR(__xludf.DUMMYFUNCTION("""COMPUTED_VALUE"""),0.14285714285714285)</f>
        <v>0.1428571429</v>
      </c>
      <c r="L895" s="82">
        <f>IFERROR(__xludf.DUMMYFUNCTION("""COMPUTED_VALUE"""),1.2857142857142858)</f>
        <v>1.285714286</v>
      </c>
      <c r="M895" s="82">
        <f>IFERROR(__xludf.DUMMYFUNCTION("""COMPUTED_VALUE"""),1.7142857142857142)</f>
        <v>1.714285714</v>
      </c>
      <c r="N895" s="82">
        <f>IFERROR(__xludf.DUMMYFUNCTION("""COMPUTED_VALUE"""),1.5714285714285714)</f>
        <v>1.571428571</v>
      </c>
      <c r="O895" s="82">
        <f>IFERROR(__xludf.DUMMYFUNCTION("""COMPUTED_VALUE"""),415.2857142857143)</f>
        <v>415.2857143</v>
      </c>
      <c r="P895" s="82">
        <f>IFERROR(__xludf.DUMMYFUNCTION("""COMPUTED_VALUE"""),0.8571428571428571)</f>
        <v>0.8571428571</v>
      </c>
      <c r="Q895" s="82">
        <f>IFERROR(__xludf.DUMMYFUNCTION("""COMPUTED_VALUE"""),0.8571428571428571)</f>
        <v>0.8571428571</v>
      </c>
      <c r="R895" s="82">
        <f>IFERROR(__xludf.DUMMYFUNCTION("""COMPUTED_VALUE"""),1.7619047619047616)</f>
        <v>1.761904762</v>
      </c>
      <c r="S895" s="82">
        <f>IFERROR(__xludf.DUMMYFUNCTION("""COMPUTED_VALUE"""),3.095238095238095)</f>
        <v>3.095238095</v>
      </c>
      <c r="T895" s="82">
        <f>IFERROR(__xludf.DUMMYFUNCTION("""COMPUTED_VALUE"""),377.8547465482501)</f>
        <v>377.8547465</v>
      </c>
      <c r="U895" s="82">
        <f>IFERROR(__xludf.DUMMYFUNCTION("""COMPUTED_VALUE"""),0.8752790643481096)</f>
        <v>0.8752790643</v>
      </c>
      <c r="V895" s="82">
        <f>IFERROR(__xludf.DUMMYFUNCTION("""COMPUTED_VALUE"""),0.6661849401340952)</f>
        <v>0.6661849401</v>
      </c>
      <c r="W895" s="82">
        <f>IFERROR(__xludf.DUMMYFUNCTION("""COMPUTED_VALUE"""),1.3681963096848264)</f>
        <v>1.36819631</v>
      </c>
      <c r="X895" s="82">
        <f>IFERROR(__xludf.DUMMYFUNCTION("""COMPUTED_VALUE"""),2.9374138039564874)</f>
        <v>2.937413804</v>
      </c>
      <c r="Y895" s="82">
        <f>IFERROR(__xludf.DUMMYFUNCTION("""COMPUTED_VALUE"""),349.1750532501509)</f>
        <v>349.1750533</v>
      </c>
      <c r="Z895" s="82">
        <f>IFERROR(__xludf.DUMMYFUNCTION("""COMPUTED_VALUE"""),0.6624876597287402)</f>
        <v>0.6624876597</v>
      </c>
      <c r="AA895" s="82">
        <f>IFERROR(__xludf.DUMMYFUNCTION("""COMPUTED_VALUE"""),0.49409269503881675)</f>
        <v>0.494092695</v>
      </c>
      <c r="AB895" s="82">
        <f>IFERROR(__xludf.DUMMYFUNCTION("""COMPUTED_VALUE"""),1.592713620873378)</f>
        <v>1.592713621</v>
      </c>
      <c r="AC895" s="82">
        <f>IFERROR(__xludf.DUMMYFUNCTION("""COMPUTED_VALUE"""),2.354310220784293)</f>
        <v>2.354310221</v>
      </c>
      <c r="AD895" s="82">
        <f>IFERROR(__xludf.DUMMYFUNCTION("""COMPUTED_VALUE"""),0.9483577193174354)</f>
        <v>0.9483577193</v>
      </c>
      <c r="AE895" s="82">
        <f>IFERROR(__xludf.DUMMYFUNCTION("""COMPUTED_VALUE"""),0.21563743982134945)</f>
        <v>0.2156374398</v>
      </c>
      <c r="AF895" s="82">
        <f>IFERROR(__xludf.DUMMYFUNCTION("""COMPUTED_VALUE"""),2.6021722211725433)</f>
        <v>2.602172221</v>
      </c>
      <c r="AG895" s="82">
        <f>IFERROR(__xludf.DUMMYFUNCTION("""COMPUTED_VALUE"""),1.0763301649581367)</f>
        <v>1.076330165</v>
      </c>
      <c r="AH895" s="82">
        <f>IFERROR(__xludf.DUMMYFUNCTION("""COMPUTED_VALUE"""),0.6674687802634099)</f>
        <v>0.6674687803</v>
      </c>
      <c r="AI895" s="82">
        <f>IFERROR(__xludf.DUMMYFUNCTION("""COMPUTED_VALUE"""),1.0990617904880136)</f>
        <v>1.09906179</v>
      </c>
      <c r="AJ895" s="82">
        <f>IFERROR(__xludf.DUMMYFUNCTION("""COMPUTED_VALUE"""),0.97927951444976)</f>
        <v>0.9792795144</v>
      </c>
      <c r="AK895" s="82">
        <f>IFERROR(__xludf.DUMMYFUNCTION("""COMPUTED_VALUE"""),1.2866440015445624)</f>
        <v>1.286644002</v>
      </c>
      <c r="AL895" s="82">
        <f>IFERROR(__xludf.DUMMYFUNCTION("""COMPUTED_VALUE"""),1.2877572826597001)</f>
        <v>1.287757283</v>
      </c>
      <c r="AM895" s="82">
        <f>IFERROR(__xludf.DUMMYFUNCTION("""COMPUTED_VALUE"""),1.053728994896473)</f>
        <v>1.053728995</v>
      </c>
      <c r="AN895" s="82">
        <f>IFERROR(__xludf.DUMMYFUNCTION("""COMPUTED_VALUE"""),0.9445300727887627)</f>
        <v>0.9445300728</v>
      </c>
      <c r="AO895" s="82">
        <f>IFERROR(__xludf.DUMMYFUNCTION("""COMPUTED_VALUE"""),0.20152191037160216)</f>
        <v>0.2015219104</v>
      </c>
      <c r="AP895" s="82">
        <f>IFERROR(__xludf.DUMMYFUNCTION("""COMPUTED_VALUE"""),2.25216830875149)</f>
        <v>2.252168309</v>
      </c>
      <c r="AQ895" s="82">
        <f>IFERROR(__xludf.DUMMYFUNCTION("""COMPUTED_VALUE"""),1.2026374058559943)</f>
        <v>1.202637406</v>
      </c>
      <c r="AR895" s="82">
        <f>IFERROR(__xludf.DUMMYFUNCTION("""COMPUTED_VALUE"""),0.6268885342477737)</f>
        <v>0.6268885342</v>
      </c>
      <c r="AS895" s="82">
        <f>IFERROR(__xludf.DUMMYFUNCTION("""COMPUTED_VALUE"""),17.0)</f>
        <v>17</v>
      </c>
      <c r="AT895" s="82">
        <f>IFERROR(__xludf.DUMMYFUNCTION("""COMPUTED_VALUE"""),0.4773365052970361)</f>
        <v>0.4773365053</v>
      </c>
      <c r="AU895" s="82">
        <f>IFERROR(__xludf.DUMMYFUNCTION("""COMPUTED_VALUE"""),2.0530571494437817)</f>
        <v>2.053057149</v>
      </c>
      <c r="AV895" s="82">
        <f>IFERROR(__xludf.DUMMYFUNCTION("""COMPUTED_VALUE"""),40.20180332485201)</f>
        <v>40.20180332</v>
      </c>
      <c r="AW895" s="82">
        <f t="shared" si="1"/>
        <v>-2.877236192</v>
      </c>
      <c r="AX895" s="83">
        <f t="array" ref="AX895">IFERROR(DGET('SBV Import'!A:G,"SBV",{"RSC ID","Tier";B895,A895}))</f>
        <v>30.85257156</v>
      </c>
      <c r="AY895" s="82">
        <f t="shared" si="2"/>
        <v>-4.507169122</v>
      </c>
      <c r="AZ895" s="82">
        <v>1.629932929340351</v>
      </c>
      <c r="BA895" s="84">
        <v>800.0</v>
      </c>
      <c r="BB895" s="84" t="b">
        <f>IFERROR(__xludf.DUMMYFUNCTION("iferror(if(A895="""",,E895&gt;=FILTER(Constants!$F$2:$F$10,Constants!$A$2:$A$10=A895)))"),TRUE)</f>
        <v>1</v>
      </c>
    </row>
    <row r="896">
      <c r="A896" s="80" t="str">
        <f>IFERROR(__xludf.DUMMYFUNCTION("""COMPUTED_VALUE"""),"Elite")</f>
        <v>Elite</v>
      </c>
      <c r="B896" s="73" t="str">
        <f>IFERROR(__xludf.DUMMYFUNCTION("""COMPUTED_VALUE"""),"RSC003305")</f>
        <v>RSC003305</v>
      </c>
      <c r="C896" s="73" t="str">
        <f>IFERROR(__xludf.DUMMYFUNCTION("""COMPUTED_VALUE"""),"Sobes")</f>
        <v>Sobes</v>
      </c>
      <c r="D896" s="73" t="str">
        <f>IFERROR(__xludf.DUMMYFUNCTION("""COMPUTED_VALUE"""),"Cyclones")</f>
        <v>Cyclones</v>
      </c>
      <c r="E896" s="82">
        <f>IFERROR(__xludf.DUMMYFUNCTION("""COMPUTED_VALUE"""),8.0)</f>
        <v>8</v>
      </c>
      <c r="F896" s="82">
        <f>IFERROR(__xludf.DUMMYFUNCTION("""COMPUTED_VALUE"""),3.0)</f>
        <v>3</v>
      </c>
      <c r="G896" s="82">
        <f>IFERROR(__xludf.DUMMYFUNCTION("""COMPUTED_VALUE"""),5.0)</f>
        <v>5</v>
      </c>
      <c r="H896" s="86">
        <f>IFERROR(__xludf.DUMMYFUNCTION("""COMPUTED_VALUE"""),0.375)</f>
        <v>0.375</v>
      </c>
      <c r="I896" s="86">
        <f>IFERROR(__xludf.DUMMYFUNCTION("""COMPUTED_VALUE"""),0.3157894736842105)</f>
        <v>0.3157894737</v>
      </c>
      <c r="J896" s="82">
        <f>IFERROR(__xludf.DUMMYFUNCTION("""COMPUTED_VALUE"""),369.625)</f>
        <v>369.625</v>
      </c>
      <c r="K896" s="82">
        <f>IFERROR(__xludf.DUMMYFUNCTION("""COMPUTED_VALUE"""),0.75)</f>
        <v>0.75</v>
      </c>
      <c r="L896" s="82">
        <f>IFERROR(__xludf.DUMMYFUNCTION("""COMPUTED_VALUE"""),0.5)</f>
        <v>0.5</v>
      </c>
      <c r="M896" s="82">
        <f>IFERROR(__xludf.DUMMYFUNCTION("""COMPUTED_VALUE"""),1.375)</f>
        <v>1.375</v>
      </c>
      <c r="N896" s="82">
        <f>IFERROR(__xludf.DUMMYFUNCTION("""COMPUTED_VALUE"""),2.375)</f>
        <v>2.375</v>
      </c>
      <c r="O896" s="82">
        <f>IFERROR(__xludf.DUMMYFUNCTION("""COMPUTED_VALUE"""),359.0833333333333)</f>
        <v>359.0833333</v>
      </c>
      <c r="P896" s="82">
        <f>IFERROR(__xludf.DUMMYFUNCTION("""COMPUTED_VALUE"""),0.7499999999999999)</f>
        <v>0.75</v>
      </c>
      <c r="Q896" s="82">
        <f>IFERROR(__xludf.DUMMYFUNCTION("""COMPUTED_VALUE"""),0.6249999999999999)</f>
        <v>0.625</v>
      </c>
      <c r="R896" s="82">
        <f>IFERROR(__xludf.DUMMYFUNCTION("""COMPUTED_VALUE"""),1.2083333333333333)</f>
        <v>1.208333333</v>
      </c>
      <c r="S896" s="82">
        <f>IFERROR(__xludf.DUMMYFUNCTION("""COMPUTED_VALUE"""),3.5833333333333335)</f>
        <v>3.583333333</v>
      </c>
      <c r="T896" s="82">
        <f>IFERROR(__xludf.DUMMYFUNCTION("""COMPUTED_VALUE"""),339.92441829004326)</f>
        <v>339.9244183</v>
      </c>
      <c r="U896" s="82">
        <f>IFERROR(__xludf.DUMMYFUNCTION("""COMPUTED_VALUE"""),0.7330733808674985)</f>
        <v>0.7330733809</v>
      </c>
      <c r="V896" s="82">
        <f>IFERROR(__xludf.DUMMYFUNCTION("""COMPUTED_VALUE"""),0.49199929971988804)</f>
        <v>0.4919992997</v>
      </c>
      <c r="W896" s="82">
        <f>IFERROR(__xludf.DUMMYFUNCTION("""COMPUTED_VALUE"""),1.2995538366861896)</f>
        <v>1.299553837</v>
      </c>
      <c r="X896" s="82">
        <f>IFERROR(__xludf.DUMMYFUNCTION("""COMPUTED_VALUE"""),2.7059213458110514)</f>
        <v>2.705921346</v>
      </c>
      <c r="Y896" s="82">
        <f>IFERROR(__xludf.DUMMYFUNCTION("""COMPUTED_VALUE"""),382.0888246965453)</f>
        <v>382.0888247</v>
      </c>
      <c r="Z896" s="82">
        <f>IFERROR(__xludf.DUMMYFUNCTION("""COMPUTED_VALUE"""),0.9152757441360383)</f>
        <v>0.9152757441</v>
      </c>
      <c r="AA896" s="82">
        <f>IFERROR(__xludf.DUMMYFUNCTION("""COMPUTED_VALUE"""),0.7112428557281498)</f>
        <v>0.7112428557</v>
      </c>
      <c r="AB896" s="82">
        <f>IFERROR(__xludf.DUMMYFUNCTION("""COMPUTED_VALUE"""),1.4627769289533996)</f>
        <v>1.462776929</v>
      </c>
      <c r="AC896" s="82">
        <f>IFERROR(__xludf.DUMMYFUNCTION("""COMPUTED_VALUE"""),2.6972301799507683)</f>
        <v>2.69723018</v>
      </c>
      <c r="AD896" s="82">
        <f>IFERROR(__xludf.DUMMYFUNCTION("""COMPUTED_VALUE"""),0.9673797716893603)</f>
        <v>0.9673797717</v>
      </c>
      <c r="AE896" s="82">
        <f>IFERROR(__xludf.DUMMYFUNCTION("""COMPUTED_VALUE"""),0.8194251894088508)</f>
        <v>0.8194251894</v>
      </c>
      <c r="AF896" s="82">
        <f>IFERROR(__xludf.DUMMYFUNCTION("""COMPUTED_VALUE"""),0.7029947590659655)</f>
        <v>0.7029947591</v>
      </c>
      <c r="AG896" s="82">
        <f>IFERROR(__xludf.DUMMYFUNCTION("""COMPUTED_VALUE"""),0.9399929495632645)</f>
        <v>0.9399929496</v>
      </c>
      <c r="AH896" s="82">
        <f>IFERROR(__xludf.DUMMYFUNCTION("""COMPUTED_VALUE"""),0.8805329325075808)</f>
        <v>0.8805329325</v>
      </c>
      <c r="AI896" s="82">
        <f>IFERROR(__xludf.DUMMYFUNCTION("""COMPUTED_VALUE"""),1.0563622794139564)</f>
        <v>1.056362279</v>
      </c>
      <c r="AJ896" s="82">
        <f>IFERROR(__xludf.DUMMYFUNCTION("""COMPUTED_VALUE"""),1.0230899382984973)</f>
        <v>1.023089938</v>
      </c>
      <c r="AK896" s="82">
        <f>IFERROR(__xludf.DUMMYFUNCTION("""COMPUTED_VALUE"""),1.270327011351101)</f>
        <v>1.270327011</v>
      </c>
      <c r="AL896" s="82">
        <f>IFERROR(__xludf.DUMMYFUNCTION("""COMPUTED_VALUE"""),0.929806291376535)</f>
        <v>0.9298062914</v>
      </c>
      <c r="AM896" s="82">
        <f>IFERROR(__xludf.DUMMYFUNCTION("""COMPUTED_VALUE"""),1.3242562792449881)</f>
        <v>1.324256279</v>
      </c>
      <c r="AN896" s="82">
        <f>IFERROR(__xludf.DUMMYFUNCTION("""COMPUTED_VALUE"""),1.0542940021923315)</f>
        <v>1.054294002</v>
      </c>
      <c r="AO896" s="82">
        <f>IFERROR(__xludf.DUMMYFUNCTION("""COMPUTED_VALUE"""),1.0579900294509115)</f>
        <v>1.057990029</v>
      </c>
      <c r="AP896" s="82">
        <f>IFERROR(__xludf.DUMMYFUNCTION("""COMPUTED_VALUE"""),0.8758432311811349)</f>
        <v>0.8758432312</v>
      </c>
      <c r="AQ896" s="82">
        <f>IFERROR(__xludf.DUMMYFUNCTION("""COMPUTED_VALUE"""),0.9646154192803289)</f>
        <v>0.9646154193</v>
      </c>
      <c r="AR896" s="82">
        <f>IFERROR(__xludf.DUMMYFUNCTION("""COMPUTED_VALUE"""),0.9474565347153853)</f>
        <v>0.9474565347</v>
      </c>
      <c r="AS896" s="82">
        <f>IFERROR(__xludf.DUMMYFUNCTION("""COMPUTED_VALUE"""),16.0)</f>
        <v>16</v>
      </c>
      <c r="AT896" s="82">
        <f>IFERROR(__xludf.DUMMYFUNCTION("""COMPUTED_VALUE"""),0.45551429482502853)</f>
        <v>0.4555142948</v>
      </c>
      <c r="AU896" s="82">
        <f>IFERROR(__xludf.DUMMYFUNCTION("""COMPUTED_VALUE"""),2.015794800089515)</f>
        <v>2.0157948</v>
      </c>
      <c r="AV896" s="82">
        <f>IFERROR(__xludf.DUMMYFUNCTION("""COMPUTED_VALUE"""),39.12998117185836)</f>
        <v>39.12998117</v>
      </c>
      <c r="AW896" s="82">
        <f t="shared" si="1"/>
        <v>-3.013377627</v>
      </c>
      <c r="AX896" s="83">
        <f t="array" ref="AX896">IFERROR(DGET('SBV Import'!A:G,"SBV",{"RSC ID","Tier";B896,A896}))</f>
        <v>34.17303164</v>
      </c>
      <c r="AY896" s="82">
        <f t="shared" si="2"/>
        <v>-3.797356151</v>
      </c>
      <c r="AZ896" s="82">
        <v>0.7839785243100152</v>
      </c>
      <c r="BA896" s="84">
        <v>800.0</v>
      </c>
      <c r="BB896" s="84" t="b">
        <f>IFERROR(__xludf.DUMMYFUNCTION("iferror(if(A896="""",,E896&gt;=FILTER(Constants!$F$2:$F$10,Constants!$A$2:$A$10=A896)))"),TRUE)</f>
        <v>1</v>
      </c>
    </row>
    <row r="897">
      <c r="A897" s="80" t="str">
        <f>IFERROR(__xludf.DUMMYFUNCTION("""COMPUTED_VALUE"""),"Elite")</f>
        <v>Elite</v>
      </c>
      <c r="B897" s="73" t="str">
        <f>IFERROR(__xludf.DUMMYFUNCTION("""COMPUTED_VALUE"""),"RSC005009")</f>
        <v>RSC005009</v>
      </c>
      <c r="C897" s="73" t="str">
        <f>IFERROR(__xludf.DUMMYFUNCTION("""COMPUTED_VALUE"""),"Qeetz")</f>
        <v>Qeetz</v>
      </c>
      <c r="D897" s="73"/>
      <c r="E897" s="82">
        <f>IFERROR(__xludf.DUMMYFUNCTION("""COMPUTED_VALUE"""),2.0)</f>
        <v>2</v>
      </c>
      <c r="F897" s="82">
        <f>IFERROR(__xludf.DUMMYFUNCTION("""COMPUTED_VALUE"""),1.0)</f>
        <v>1</v>
      </c>
      <c r="G897" s="82">
        <f>IFERROR(__xludf.DUMMYFUNCTION("""COMPUTED_VALUE"""),1.0)</f>
        <v>1</v>
      </c>
      <c r="H897" s="86">
        <f>IFERROR(__xludf.DUMMYFUNCTION("""COMPUTED_VALUE"""),0.5)</f>
        <v>0.5</v>
      </c>
      <c r="I897" s="86">
        <f>IFERROR(__xludf.DUMMYFUNCTION("""COMPUTED_VALUE"""),0.4)</f>
        <v>0.4</v>
      </c>
      <c r="J897" s="82">
        <f>IFERROR(__xludf.DUMMYFUNCTION("""COMPUTED_VALUE"""),241.0)</f>
        <v>241</v>
      </c>
      <c r="K897" s="82">
        <f>IFERROR(__xludf.DUMMYFUNCTION("""COMPUTED_VALUE"""),1.0)</f>
        <v>1</v>
      </c>
      <c r="L897" s="82">
        <f>IFERROR(__xludf.DUMMYFUNCTION("""COMPUTED_VALUE"""),0.0)</f>
        <v>0</v>
      </c>
      <c r="M897" s="82">
        <f>IFERROR(__xludf.DUMMYFUNCTION("""COMPUTED_VALUE"""),0.0)</f>
        <v>0</v>
      </c>
      <c r="N897" s="82">
        <f>IFERROR(__xludf.DUMMYFUNCTION("""COMPUTED_VALUE"""),2.5)</f>
        <v>2.5</v>
      </c>
      <c r="O897" s="82">
        <f>IFERROR(__xludf.DUMMYFUNCTION("""COMPUTED_VALUE"""),385.0)</f>
        <v>385</v>
      </c>
      <c r="P897" s="82">
        <f>IFERROR(__xludf.DUMMYFUNCTION("""COMPUTED_VALUE"""),1.0)</f>
        <v>1</v>
      </c>
      <c r="Q897" s="82">
        <f>IFERROR(__xludf.DUMMYFUNCTION("""COMPUTED_VALUE"""),0.5)</f>
        <v>0.5</v>
      </c>
      <c r="R897" s="82">
        <f>IFERROR(__xludf.DUMMYFUNCTION("""COMPUTED_VALUE"""),1.5)</f>
        <v>1.5</v>
      </c>
      <c r="S897" s="82">
        <f>IFERROR(__xludf.DUMMYFUNCTION("""COMPUTED_VALUE"""),2.5)</f>
        <v>2.5</v>
      </c>
      <c r="T897" s="82">
        <f>IFERROR(__xludf.DUMMYFUNCTION("""COMPUTED_VALUE"""),368.5603174603175)</f>
        <v>368.5603175</v>
      </c>
      <c r="U897" s="82">
        <f>IFERROR(__xludf.DUMMYFUNCTION("""COMPUTED_VALUE"""),0.797883597883598)</f>
        <v>0.7978835979</v>
      </c>
      <c r="V897" s="82">
        <f>IFERROR(__xludf.DUMMYFUNCTION("""COMPUTED_VALUE"""),0.5291005291005291)</f>
        <v>0.5291005291</v>
      </c>
      <c r="W897" s="82">
        <f>IFERROR(__xludf.DUMMYFUNCTION("""COMPUTED_VALUE"""),1.5031746031746032)</f>
        <v>1.503174603</v>
      </c>
      <c r="X897" s="82">
        <f>IFERROR(__xludf.DUMMYFUNCTION("""COMPUTED_VALUE"""),2.7539682539682544)</f>
        <v>2.753968254</v>
      </c>
      <c r="Y897" s="82">
        <f>IFERROR(__xludf.DUMMYFUNCTION("""COMPUTED_VALUE"""),347.43421516754853)</f>
        <v>347.4342152</v>
      </c>
      <c r="Z897" s="82">
        <f>IFERROR(__xludf.DUMMYFUNCTION("""COMPUTED_VALUE"""),0.6483245149911815)</f>
        <v>0.648324515</v>
      </c>
      <c r="AA897" s="82">
        <f>IFERROR(__xludf.DUMMYFUNCTION("""COMPUTED_VALUE"""),0.5164021164021163)</f>
        <v>0.5164021164</v>
      </c>
      <c r="AB897" s="82">
        <f>IFERROR(__xludf.DUMMYFUNCTION("""COMPUTED_VALUE"""),1.4763668430335097)</f>
        <v>1.476366843</v>
      </c>
      <c r="AC897" s="82">
        <f>IFERROR(__xludf.DUMMYFUNCTION("""COMPUTED_VALUE"""),2.5398589065255734)</f>
        <v>2.539858907</v>
      </c>
      <c r="AD897" s="82">
        <f>IFERROR(__xludf.DUMMYFUNCTION("""COMPUTED_VALUE"""),0.6936564951836389)</f>
        <v>0.6936564952</v>
      </c>
      <c r="AE897" s="82">
        <f>IFERROR(__xludf.DUMMYFUNCTION("""COMPUTED_VALUE"""),1.5424374319912952)</f>
        <v>1.542437432</v>
      </c>
      <c r="AF897" s="82">
        <f>IFERROR(__xludf.DUMMYFUNCTION("""COMPUTED_VALUE"""),0.0)</f>
        <v>0</v>
      </c>
      <c r="AG897" s="82">
        <f>IFERROR(__xludf.DUMMYFUNCTION("""COMPUTED_VALUE"""),0.0)</f>
        <v>0</v>
      </c>
      <c r="AH897" s="82">
        <f>IFERROR(__xludf.DUMMYFUNCTION("""COMPUTED_VALUE"""),0.9843066453718491)</f>
        <v>0.9843066454</v>
      </c>
      <c r="AI897" s="82">
        <f>IFERROR(__xludf.DUMMYFUNCTION("""COMPUTED_VALUE"""),1.0446051345217124)</f>
        <v>1.044605135</v>
      </c>
      <c r="AJ897" s="82">
        <f>IFERROR(__xludf.DUMMYFUNCTION("""COMPUTED_VALUE"""),1.2533156498673739)</f>
        <v>1.25331565</v>
      </c>
      <c r="AK897" s="82">
        <f>IFERROR(__xludf.DUMMYFUNCTION("""COMPUTED_VALUE"""),0.9450000000000001)</f>
        <v>0.945</v>
      </c>
      <c r="AL897" s="82">
        <f>IFERROR(__xludf.DUMMYFUNCTION("""COMPUTED_VALUE"""),0.9978880675818373)</f>
        <v>0.9978880676</v>
      </c>
      <c r="AM897" s="82">
        <f>IFERROR(__xludf.DUMMYFUNCTION("""COMPUTED_VALUE"""),0.9077809798270892)</f>
        <v>0.9077809798</v>
      </c>
      <c r="AN897" s="82">
        <f>IFERROR(__xludf.DUMMYFUNCTION("""COMPUTED_VALUE"""),0.6874125249329778)</f>
        <v>0.6874125249</v>
      </c>
      <c r="AO897" s="82">
        <f>IFERROR(__xludf.DUMMYFUNCTION("""COMPUTED_VALUE"""),1.4106533726012151)</f>
        <v>1.410653373</v>
      </c>
      <c r="AP897" s="82">
        <f>IFERROR(__xludf.DUMMYFUNCTION("""COMPUTED_VALUE"""),0.0)</f>
        <v>0</v>
      </c>
      <c r="AQ897" s="82">
        <f>IFERROR(__xludf.DUMMYFUNCTION("""COMPUTED_VALUE"""),0.0)</f>
        <v>0</v>
      </c>
      <c r="AR897" s="82">
        <f>IFERROR(__xludf.DUMMYFUNCTION("""COMPUTED_VALUE"""),0.9973226681214582)</f>
        <v>0.9973226681</v>
      </c>
      <c r="AS897" s="82">
        <f>IFERROR(__xludf.DUMMYFUNCTION("""COMPUTED_VALUE"""),5.0)</f>
        <v>5</v>
      </c>
      <c r="AT897" s="82">
        <f>IFERROR(__xludf.DUMMYFUNCTION("""COMPUTED_VALUE"""),0.42619635446806875)</f>
        <v>0.4261963545</v>
      </c>
      <c r="AU897" s="82">
        <f>IFERROR(__xludf.DUMMYFUNCTION("""COMPUTED_VALUE"""),2.013765100269366)</f>
        <v>2.0137651</v>
      </c>
      <c r="AV897" s="82">
        <f>IFERROR(__xludf.DUMMYFUNCTION("""COMPUTED_VALUE"""),39.07159845394436)</f>
        <v>39.07159845</v>
      </c>
      <c r="AW897" s="82">
        <f t="shared" si="1"/>
        <v>-3.021090189</v>
      </c>
      <c r="AX897" s="83">
        <f t="array" ref="AX897">IFERROR(DGET('SBV Import'!A:G,"SBV",{"RSC ID","Tier";B897,A897}))</f>
        <v>5.727712459</v>
      </c>
      <c r="AY897" s="82">
        <f t="shared" si="2"/>
        <v>-26.11690722</v>
      </c>
      <c r="AZ897" s="82">
        <v>23.095817031716766</v>
      </c>
      <c r="BA897" s="84">
        <v>800.0</v>
      </c>
      <c r="BB897" s="84" t="b">
        <f>IFERROR(__xludf.DUMMYFUNCTION("iferror(if(A897="""",,E897&gt;=FILTER(Constants!$F$2:$F$10,Constants!$A$2:$A$10=A897)))"),TRUE)</f>
        <v>1</v>
      </c>
    </row>
    <row r="898">
      <c r="A898" s="80" t="str">
        <f>IFERROR(__xludf.DUMMYFUNCTION("""COMPUTED_VALUE"""),"Elite")</f>
        <v>Elite</v>
      </c>
      <c r="B898" s="73" t="str">
        <f>IFERROR(__xludf.DUMMYFUNCTION("""COMPUTED_VALUE"""),"RSC005515")</f>
        <v>RSC005515</v>
      </c>
      <c r="C898" s="73" t="str">
        <f>IFERROR(__xludf.DUMMYFUNCTION("""COMPUTED_VALUE"""),"BaronTac0")</f>
        <v>BaronTac0</v>
      </c>
      <c r="D898" s="73" t="str">
        <f>IFERROR(__xludf.DUMMYFUNCTION("""COMPUTED_VALUE"""),"Nightshade")</f>
        <v>Nightshade</v>
      </c>
      <c r="E898" s="82">
        <f>IFERROR(__xludf.DUMMYFUNCTION("""COMPUTED_VALUE"""),20.0)</f>
        <v>20</v>
      </c>
      <c r="F898" s="82">
        <f>IFERROR(__xludf.DUMMYFUNCTION("""COMPUTED_VALUE"""),11.0)</f>
        <v>11</v>
      </c>
      <c r="G898" s="82">
        <f>IFERROR(__xludf.DUMMYFUNCTION("""COMPUTED_VALUE"""),9.0)</f>
        <v>9</v>
      </c>
      <c r="H898" s="86">
        <f>IFERROR(__xludf.DUMMYFUNCTION("""COMPUTED_VALUE"""),0.55)</f>
        <v>0.55</v>
      </c>
      <c r="I898" s="86">
        <f>IFERROR(__xludf.DUMMYFUNCTION("""COMPUTED_VALUE"""),0.2894736842105263)</f>
        <v>0.2894736842</v>
      </c>
      <c r="J898" s="82">
        <f>IFERROR(__xludf.DUMMYFUNCTION("""COMPUTED_VALUE"""),332.3)</f>
        <v>332.3</v>
      </c>
      <c r="K898" s="82">
        <f>IFERROR(__xludf.DUMMYFUNCTION("""COMPUTED_VALUE"""),0.55)</f>
        <v>0.55</v>
      </c>
      <c r="L898" s="82">
        <f>IFERROR(__xludf.DUMMYFUNCTION("""COMPUTED_VALUE"""),0.75)</f>
        <v>0.75</v>
      </c>
      <c r="M898" s="82">
        <f>IFERROR(__xludf.DUMMYFUNCTION("""COMPUTED_VALUE"""),1.4)</f>
        <v>1.4</v>
      </c>
      <c r="N898" s="82">
        <f>IFERROR(__xludf.DUMMYFUNCTION("""COMPUTED_VALUE"""),1.9)</f>
        <v>1.9</v>
      </c>
      <c r="O898" s="82">
        <f>IFERROR(__xludf.DUMMYFUNCTION("""COMPUTED_VALUE"""),365.1833333333334)</f>
        <v>365.1833333</v>
      </c>
      <c r="P898" s="82">
        <f>IFERROR(__xludf.DUMMYFUNCTION("""COMPUTED_VALUE"""),0.8166666666666668)</f>
        <v>0.8166666667</v>
      </c>
      <c r="Q898" s="82">
        <f>IFERROR(__xludf.DUMMYFUNCTION("""COMPUTED_VALUE"""),0.7333333333333334)</f>
        <v>0.7333333333</v>
      </c>
      <c r="R898" s="82">
        <f>IFERROR(__xludf.DUMMYFUNCTION("""COMPUTED_VALUE"""),1.3833333333333333)</f>
        <v>1.383333333</v>
      </c>
      <c r="S898" s="82">
        <f>IFERROR(__xludf.DUMMYFUNCTION("""COMPUTED_VALUE"""),2.683333333333333)</f>
        <v>2.683333333</v>
      </c>
      <c r="T898" s="82">
        <f>IFERROR(__xludf.DUMMYFUNCTION("""COMPUTED_VALUE"""),358.374654865905)</f>
        <v>358.3746549</v>
      </c>
      <c r="U898" s="82">
        <f>IFERROR(__xludf.DUMMYFUNCTION("""COMPUTED_VALUE"""),0.776152041152041)</f>
        <v>0.7761520412</v>
      </c>
      <c r="V898" s="82">
        <f>IFERROR(__xludf.DUMMYFUNCTION("""COMPUTED_VALUE"""),0.6336800961800961)</f>
        <v>0.6336800962</v>
      </c>
      <c r="W898" s="82">
        <f>IFERROR(__xludf.DUMMYFUNCTION("""COMPUTED_VALUE"""),1.3510117960117956)</f>
        <v>1.351011796</v>
      </c>
      <c r="X898" s="82">
        <f>IFERROR(__xludf.DUMMYFUNCTION("""COMPUTED_VALUE"""),2.754758884758884)</f>
        <v>2.754758885</v>
      </c>
      <c r="Y898" s="82">
        <f>IFERROR(__xludf.DUMMYFUNCTION("""COMPUTED_VALUE"""),363.41810662810656)</f>
        <v>363.4181066</v>
      </c>
      <c r="Z898" s="82">
        <f>IFERROR(__xludf.DUMMYFUNCTION("""COMPUTED_VALUE"""),0.8019540494540494)</f>
        <v>0.8019540495</v>
      </c>
      <c r="AA898" s="82">
        <f>IFERROR(__xludf.DUMMYFUNCTION("""COMPUTED_VALUE"""),0.6024455407788742)</f>
        <v>0.6024455408</v>
      </c>
      <c r="AB898" s="82">
        <f>IFERROR(__xludf.DUMMYFUNCTION("""COMPUTED_VALUE"""),1.4441385712219048)</f>
        <v>1.444138571</v>
      </c>
      <c r="AC898" s="82">
        <f>IFERROR(__xludf.DUMMYFUNCTION("""COMPUTED_VALUE"""),2.636402548902549)</f>
        <v>2.636402549</v>
      </c>
      <c r="AD898" s="82">
        <f>IFERROR(__xludf.DUMMYFUNCTION("""COMPUTED_VALUE"""),0.9143738133555619)</f>
        <v>0.9143738134</v>
      </c>
      <c r="AE898" s="82">
        <f>IFERROR(__xludf.DUMMYFUNCTION("""COMPUTED_VALUE"""),0.6858248304555935)</f>
        <v>0.6858248305</v>
      </c>
      <c r="AF898" s="82">
        <f>IFERROR(__xludf.DUMMYFUNCTION("""COMPUTED_VALUE"""),1.2449258052941339)</f>
        <v>1.244925805</v>
      </c>
      <c r="AG898" s="82">
        <f>IFERROR(__xludf.DUMMYFUNCTION("""COMPUTED_VALUE"""),0.969436055444071)</f>
        <v>0.9694360554</v>
      </c>
      <c r="AH898" s="82">
        <f>IFERROR(__xludf.DUMMYFUNCTION("""COMPUTED_VALUE"""),0.7206790180015983)</f>
        <v>0.720679018</v>
      </c>
      <c r="AI898" s="82">
        <f>IFERROR(__xludf.DUMMYFUNCTION("""COMPUTED_VALUE"""),1.0189987723042973)</f>
        <v>1.018998772</v>
      </c>
      <c r="AJ898" s="82">
        <f>IFERROR(__xludf.DUMMYFUNCTION("""COMPUTED_VALUE"""),1.0521993415806652)</f>
        <v>1.052199342</v>
      </c>
      <c r="AK898" s="82">
        <f>IFERROR(__xludf.DUMMYFUNCTION("""COMPUTED_VALUE"""),1.1572611129084842)</f>
        <v>1.157261113</v>
      </c>
      <c r="AL898" s="82">
        <f>IFERROR(__xludf.DUMMYFUNCTION("""COMPUTED_VALUE"""),1.0239239490113643)</f>
        <v>1.023923949</v>
      </c>
      <c r="AM898" s="82">
        <f>IFERROR(__xludf.DUMMYFUNCTION("""COMPUTED_VALUE"""),0.974071940807334)</f>
        <v>0.9740719408</v>
      </c>
      <c r="AN898" s="82">
        <f>IFERROR(__xludf.DUMMYFUNCTION("""COMPUTED_VALUE"""),0.9478306308515706)</f>
        <v>0.9478306309</v>
      </c>
      <c r="AO898" s="82">
        <f>IFERROR(__xludf.DUMMYFUNCTION("""COMPUTED_VALUE"""),0.7758593549306685)</f>
        <v>0.7758593549</v>
      </c>
      <c r="AP898" s="82">
        <f>IFERROR(__xludf.DUMMYFUNCTION("""COMPUTED_VALUE"""),1.3137648467717025)</f>
        <v>1.313764847</v>
      </c>
      <c r="AQ898" s="82">
        <f>IFERROR(__xludf.DUMMYFUNCTION("""COMPUTED_VALUE"""),0.982153881449062)</f>
        <v>0.9821538814</v>
      </c>
      <c r="AR898" s="82">
        <f>IFERROR(__xludf.DUMMYFUNCTION("""COMPUTED_VALUE"""),0.7579652277723081)</f>
        <v>0.7579652278</v>
      </c>
      <c r="AS898" s="82">
        <f>IFERROR(__xludf.DUMMYFUNCTION("""COMPUTED_VALUE"""),47.0)</f>
        <v>47</v>
      </c>
      <c r="AT898" s="82">
        <f>IFERROR(__xludf.DUMMYFUNCTION("""COMPUTED_VALUE"""),0.48366371737178215)</f>
        <v>0.4836637174</v>
      </c>
      <c r="AU898" s="82">
        <f>IFERROR(__xludf.DUMMYFUNCTION("""COMPUTED_VALUE"""),2.010111175560016)</f>
        <v>2.010111176</v>
      </c>
      <c r="AV898" s="82">
        <f>IFERROR(__xludf.DUMMYFUNCTION("""COMPUTED_VALUE"""),38.966496185388564)</f>
        <v>38.96649619</v>
      </c>
      <c r="AW898" s="82">
        <f t="shared" si="1"/>
        <v>-3.035054446</v>
      </c>
      <c r="AX898" s="83">
        <f t="array" ref="AX898">IFERROR(DGET('SBV Import'!A:G,"SBV",{"RSC ID","Tier";B898,A898}))</f>
        <v>40.0759933</v>
      </c>
      <c r="AY898" s="82">
        <f t="shared" si="2"/>
        <v>-2.892695071</v>
      </c>
      <c r="AZ898" s="82">
        <v>0.14235937541163057</v>
      </c>
      <c r="BA898" s="84">
        <v>800.0</v>
      </c>
      <c r="BB898" s="84" t="b">
        <f>IFERROR(__xludf.DUMMYFUNCTION("iferror(if(A898="""",,E898&gt;=FILTER(Constants!$F$2:$F$10,Constants!$A$2:$A$10=A898)))"),TRUE)</f>
        <v>1</v>
      </c>
    </row>
    <row r="899">
      <c r="A899" s="80" t="str">
        <f>IFERROR(__xludf.DUMMYFUNCTION("""COMPUTED_VALUE"""),"Elite")</f>
        <v>Elite</v>
      </c>
      <c r="B899" s="73" t="str">
        <f>IFERROR(__xludf.DUMMYFUNCTION("""COMPUTED_VALUE"""),"RSC006745")</f>
        <v>RSC006745</v>
      </c>
      <c r="C899" s="73" t="str">
        <f>IFERROR(__xludf.DUMMYFUNCTION("""COMPUTED_VALUE"""),"Angel &lt;3")</f>
        <v>Angel &lt;3</v>
      </c>
      <c r="D899" s="73" t="str">
        <f>IFERROR(__xludf.DUMMYFUNCTION("""COMPUTED_VALUE"""),"Majesties")</f>
        <v>Majesties</v>
      </c>
      <c r="E899" s="82">
        <f>IFERROR(__xludf.DUMMYFUNCTION("""COMPUTED_VALUE"""),39.0)</f>
        <v>39</v>
      </c>
      <c r="F899" s="82">
        <f>IFERROR(__xludf.DUMMYFUNCTION("""COMPUTED_VALUE"""),11.0)</f>
        <v>11</v>
      </c>
      <c r="G899" s="82">
        <f>IFERROR(__xludf.DUMMYFUNCTION("""COMPUTED_VALUE"""),28.0)</f>
        <v>28</v>
      </c>
      <c r="H899" s="86">
        <f>IFERROR(__xludf.DUMMYFUNCTION("""COMPUTED_VALUE"""),0.28205128205128205)</f>
        <v>0.2820512821</v>
      </c>
      <c r="I899" s="86">
        <f>IFERROR(__xludf.DUMMYFUNCTION("""COMPUTED_VALUE"""),0.25)</f>
        <v>0.25</v>
      </c>
      <c r="J899" s="82">
        <f>IFERROR(__xludf.DUMMYFUNCTION("""COMPUTED_VALUE"""),330.1794871794872)</f>
        <v>330.1794872</v>
      </c>
      <c r="K899" s="82">
        <f>IFERROR(__xludf.DUMMYFUNCTION("""COMPUTED_VALUE"""),0.6410256410256411)</f>
        <v>0.641025641</v>
      </c>
      <c r="L899" s="82">
        <f>IFERROR(__xludf.DUMMYFUNCTION("""COMPUTED_VALUE"""),0.5128205128205128)</f>
        <v>0.5128205128</v>
      </c>
      <c r="M899" s="82">
        <f>IFERROR(__xludf.DUMMYFUNCTION("""COMPUTED_VALUE"""),1.4102564102564104)</f>
        <v>1.41025641</v>
      </c>
      <c r="N899" s="82">
        <f>IFERROR(__xludf.DUMMYFUNCTION("""COMPUTED_VALUE"""),2.5641025641025643)</f>
        <v>2.564102564</v>
      </c>
      <c r="O899" s="82">
        <f>IFERROR(__xludf.DUMMYFUNCTION("""COMPUTED_VALUE"""),399.6239316239317)</f>
        <v>399.6239316</v>
      </c>
      <c r="P899" s="82">
        <f>IFERROR(__xludf.DUMMYFUNCTION("""COMPUTED_VALUE"""),1.0854700854700856)</f>
        <v>1.085470085</v>
      </c>
      <c r="Q899" s="82">
        <f>IFERROR(__xludf.DUMMYFUNCTION("""COMPUTED_VALUE"""),0.794871794871795)</f>
        <v>0.7948717949</v>
      </c>
      <c r="R899" s="82">
        <f>IFERROR(__xludf.DUMMYFUNCTION("""COMPUTED_VALUE"""),1.3162393162393162)</f>
        <v>1.316239316</v>
      </c>
      <c r="S899" s="82">
        <f>IFERROR(__xludf.DUMMYFUNCTION("""COMPUTED_VALUE"""),3.0427350427350426)</f>
        <v>3.042735043</v>
      </c>
      <c r="T899" s="82">
        <f>IFERROR(__xludf.DUMMYFUNCTION("""COMPUTED_VALUE"""),365.4212313520476)</f>
        <v>365.4212314</v>
      </c>
      <c r="U899" s="82">
        <f>IFERROR(__xludf.DUMMYFUNCTION("""COMPUTED_VALUE"""),0.8070511940763003)</f>
        <v>0.8070511941</v>
      </c>
      <c r="V899" s="82">
        <f>IFERROR(__xludf.DUMMYFUNCTION("""COMPUTED_VALUE"""),0.6118286095013392)</f>
        <v>0.6118286095</v>
      </c>
      <c r="W899" s="82">
        <f>IFERROR(__xludf.DUMMYFUNCTION("""COMPUTED_VALUE"""),1.3981213081256738)</f>
        <v>1.398121308</v>
      </c>
      <c r="X899" s="82">
        <f>IFERROR(__xludf.DUMMYFUNCTION("""COMPUTED_VALUE"""),2.7243304147138807)</f>
        <v>2.724330415</v>
      </c>
      <c r="Y899" s="82">
        <f>IFERROR(__xludf.DUMMYFUNCTION("""COMPUTED_VALUE"""),355.03039271039836)</f>
        <v>355.0303927</v>
      </c>
      <c r="Z899" s="82">
        <f>IFERROR(__xludf.DUMMYFUNCTION("""COMPUTED_VALUE"""),0.7432067823006653)</f>
        <v>0.7432067823</v>
      </c>
      <c r="AA899" s="82">
        <f>IFERROR(__xludf.DUMMYFUNCTION("""COMPUTED_VALUE"""),0.5520579930095147)</f>
        <v>0.552057993</v>
      </c>
      <c r="AB899" s="82">
        <f>IFERROR(__xludf.DUMMYFUNCTION("""COMPUTED_VALUE"""),1.4220407033496978)</f>
        <v>1.422040703</v>
      </c>
      <c r="AC899" s="82">
        <f>IFERROR(__xludf.DUMMYFUNCTION("""COMPUTED_VALUE"""),2.562685046158614)</f>
        <v>2.562685046</v>
      </c>
      <c r="AD899" s="82">
        <f>IFERROR(__xludf.DUMMYFUNCTION("""COMPUTED_VALUE"""),0.9300034418428444)</f>
        <v>0.9300034418</v>
      </c>
      <c r="AE899" s="82">
        <f>IFERROR(__xludf.DUMMYFUNCTION("""COMPUTED_VALUE"""),0.8625131743836983)</f>
        <v>0.8625131744</v>
      </c>
      <c r="AF899" s="82">
        <f>IFERROR(__xludf.DUMMYFUNCTION("""COMPUTED_VALUE"""),0.9289250754706024)</f>
        <v>0.9289250755</v>
      </c>
      <c r="AG899" s="82">
        <f>IFERROR(__xludf.DUMMYFUNCTION("""COMPUTED_VALUE"""),0.9917131112593832)</f>
        <v>0.9917131113</v>
      </c>
      <c r="AH899" s="82">
        <f>IFERROR(__xludf.DUMMYFUNCTION("""COMPUTED_VALUE"""),1.0005531377904107)</f>
        <v>1.000553138</v>
      </c>
      <c r="AI899" s="82">
        <f>IFERROR(__xludf.DUMMYFUNCTION("""COMPUTED_VALUE"""),1.0935980105625913)</f>
        <v>1.093598011</v>
      </c>
      <c r="AJ899" s="82">
        <f>IFERROR(__xludf.DUMMYFUNCTION("""COMPUTED_VALUE"""),1.3449829371883228)</f>
        <v>1.344982937</v>
      </c>
      <c r="AK899" s="82">
        <f>IFERROR(__xludf.DUMMYFUNCTION("""COMPUTED_VALUE"""),1.2991739557907274)</f>
        <v>1.299173956</v>
      </c>
      <c r="AL899" s="82">
        <f>IFERROR(__xludf.DUMMYFUNCTION("""COMPUTED_VALUE"""),0.9414342722548669)</f>
        <v>0.9414342723</v>
      </c>
      <c r="AM899" s="82">
        <f>IFERROR(__xludf.DUMMYFUNCTION("""COMPUTED_VALUE"""),1.116874453370812)</f>
        <v>1.116874453</v>
      </c>
      <c r="AN899" s="82">
        <f>IFERROR(__xludf.DUMMYFUNCTION("""COMPUTED_VALUE"""),0.9417822197640127)</f>
        <v>0.9417822198</v>
      </c>
      <c r="AO899" s="82">
        <f>IFERROR(__xludf.DUMMYFUNCTION("""COMPUTED_VALUE"""),0.9042649824366765)</f>
        <v>0.9042649824</v>
      </c>
      <c r="AP899" s="82">
        <f>IFERROR(__xludf.DUMMYFUNCTION("""COMPUTED_VALUE"""),0.898300749929369)</f>
        <v>0.8983007499</v>
      </c>
      <c r="AQ899" s="82">
        <f>IFERROR(__xludf.DUMMYFUNCTION("""COMPUTED_VALUE"""),0.9893491479798245)</f>
        <v>0.989349148</v>
      </c>
      <c r="AR899" s="82">
        <f>IFERROR(__xludf.DUMMYFUNCTION("""COMPUTED_VALUE"""),1.0228950442271367)</f>
        <v>1.022895044</v>
      </c>
      <c r="AS899" s="82">
        <f>IFERROR(__xludf.DUMMYFUNCTION("""COMPUTED_VALUE"""),75.0)</f>
        <v>75</v>
      </c>
      <c r="AT899" s="82">
        <f>IFERROR(__xludf.DUMMYFUNCTION("""COMPUTED_VALUE"""),0.3006029563555437)</f>
        <v>0.3006029564</v>
      </c>
      <c r="AU899" s="82">
        <f>IFERROR(__xludf.DUMMYFUNCTION("""COMPUTED_VALUE"""),2.0051188368042805)</f>
        <v>2.005118837</v>
      </c>
      <c r="AV899" s="82">
        <f>IFERROR(__xludf.DUMMYFUNCTION("""COMPUTED_VALUE"""),38.822895490145946)</f>
        <v>38.82289549</v>
      </c>
      <c r="AW899" s="82">
        <f t="shared" si="1"/>
        <v>-3.054301134</v>
      </c>
      <c r="AX899" s="83">
        <f t="array" ref="AX899">IFERROR(DGET('SBV Import'!A:G,"SBV",{"RSC ID","Tier";B899,A899}))</f>
        <v>36.11656607</v>
      </c>
      <c r="AY899" s="82">
        <f t="shared" si="2"/>
        <v>-3.456237536</v>
      </c>
      <c r="AZ899" s="82">
        <v>0.4019364020850831</v>
      </c>
      <c r="BA899" s="84">
        <v>800.0</v>
      </c>
      <c r="BB899" s="84" t="b">
        <f>IFERROR(__xludf.DUMMYFUNCTION("iferror(if(A899="""",,E899&gt;=FILTER(Constants!$F$2:$F$10,Constants!$A$2:$A$10=A899)))"),TRUE)</f>
        <v>1</v>
      </c>
    </row>
    <row r="900">
      <c r="A900" s="80" t="str">
        <f>IFERROR(__xludf.DUMMYFUNCTION("""COMPUTED_VALUE"""),"Elite")</f>
        <v>Elite</v>
      </c>
      <c r="B900" s="73" t="str">
        <f>IFERROR(__xludf.DUMMYFUNCTION("""COMPUTED_VALUE"""),"RSC005008")</f>
        <v>RSC005008</v>
      </c>
      <c r="C900" s="73" t="str">
        <f>IFERROR(__xludf.DUMMYFUNCTION("""COMPUTED_VALUE"""),"W0NDER")</f>
        <v>W0NDER</v>
      </c>
      <c r="D900" s="73" t="str">
        <f>IFERROR(__xludf.DUMMYFUNCTION("""COMPUTED_VALUE"""),"Ghastly Goombahs")</f>
        <v>Ghastly Goombahs</v>
      </c>
      <c r="E900" s="82">
        <f>IFERROR(__xludf.DUMMYFUNCTION("""COMPUTED_VALUE"""),35.0)</f>
        <v>35</v>
      </c>
      <c r="F900" s="82">
        <f>IFERROR(__xludf.DUMMYFUNCTION("""COMPUTED_VALUE"""),11.0)</f>
        <v>11</v>
      </c>
      <c r="G900" s="82">
        <f>IFERROR(__xludf.DUMMYFUNCTION("""COMPUTED_VALUE"""),24.0)</f>
        <v>24</v>
      </c>
      <c r="H900" s="86">
        <f>IFERROR(__xludf.DUMMYFUNCTION("""COMPUTED_VALUE"""),0.3142857142857143)</f>
        <v>0.3142857143</v>
      </c>
      <c r="I900" s="86">
        <f>IFERROR(__xludf.DUMMYFUNCTION("""COMPUTED_VALUE"""),0.3076923076923077)</f>
        <v>0.3076923077</v>
      </c>
      <c r="J900" s="82">
        <f>IFERROR(__xludf.DUMMYFUNCTION("""COMPUTED_VALUE"""),338.8285714285714)</f>
        <v>338.8285714</v>
      </c>
      <c r="K900" s="82">
        <f>IFERROR(__xludf.DUMMYFUNCTION("""COMPUTED_VALUE"""),0.6857142857142857)</f>
        <v>0.6857142857</v>
      </c>
      <c r="L900" s="82">
        <f>IFERROR(__xludf.DUMMYFUNCTION("""COMPUTED_VALUE"""),0.37142857142857144)</f>
        <v>0.3714285714</v>
      </c>
      <c r="M900" s="82">
        <f>IFERROR(__xludf.DUMMYFUNCTION("""COMPUTED_VALUE"""),1.3428571428571427)</f>
        <v>1.342857143</v>
      </c>
      <c r="N900" s="82">
        <f>IFERROR(__xludf.DUMMYFUNCTION("""COMPUTED_VALUE"""),2.2285714285714286)</f>
        <v>2.228571429</v>
      </c>
      <c r="O900" s="82">
        <f>IFERROR(__xludf.DUMMYFUNCTION("""COMPUTED_VALUE"""),386.38095238095246)</f>
        <v>386.3809524</v>
      </c>
      <c r="P900" s="82">
        <f>IFERROR(__xludf.DUMMYFUNCTION("""COMPUTED_VALUE"""),0.9523809523809522)</f>
        <v>0.9523809524</v>
      </c>
      <c r="Q900" s="82">
        <f>IFERROR(__xludf.DUMMYFUNCTION("""COMPUTED_VALUE"""),0.6666666666666665)</f>
        <v>0.6666666667</v>
      </c>
      <c r="R900" s="82">
        <f>IFERROR(__xludf.DUMMYFUNCTION("""COMPUTED_VALUE"""),1.314285714285714)</f>
        <v>1.314285714</v>
      </c>
      <c r="S900" s="82">
        <f>IFERROR(__xludf.DUMMYFUNCTION("""COMPUTED_VALUE"""),2.942857142857142)</f>
        <v>2.942857143</v>
      </c>
      <c r="T900" s="82">
        <f>IFERROR(__xludf.DUMMYFUNCTION("""COMPUTED_VALUE"""),369.95005351655755)</f>
        <v>369.9500535</v>
      </c>
      <c r="U900" s="82">
        <f>IFERROR(__xludf.DUMMYFUNCTION("""COMPUTED_VALUE"""),0.8151609406464577)</f>
        <v>0.8151609406</v>
      </c>
      <c r="V900" s="82">
        <f>IFERROR(__xludf.DUMMYFUNCTION("""COMPUTED_VALUE"""),0.6245007739853551)</f>
        <v>0.624500774</v>
      </c>
      <c r="W900" s="82">
        <f>IFERROR(__xludf.DUMMYFUNCTION("""COMPUTED_VALUE"""),1.426876741117441)</f>
        <v>1.426876741</v>
      </c>
      <c r="X900" s="82">
        <f>IFERROR(__xludf.DUMMYFUNCTION("""COMPUTED_VALUE"""),2.788798432311659)</f>
        <v>2.788798432</v>
      </c>
      <c r="Y900" s="82">
        <f>IFERROR(__xludf.DUMMYFUNCTION("""COMPUTED_VALUE"""),353.805983091316)</f>
        <v>353.8059831</v>
      </c>
      <c r="Z900" s="82">
        <f>IFERROR(__xludf.DUMMYFUNCTION("""COMPUTED_VALUE"""),0.7305812174677672)</f>
        <v>0.7305812175</v>
      </c>
      <c r="AA900" s="82">
        <f>IFERROR(__xludf.DUMMYFUNCTION("""COMPUTED_VALUE"""),0.5434628231428835)</f>
        <v>0.5434628231</v>
      </c>
      <c r="AB900" s="82">
        <f>IFERROR(__xludf.DUMMYFUNCTION("""COMPUTED_VALUE"""),1.4404370388708012)</f>
        <v>1.440437039</v>
      </c>
      <c r="AC900" s="82">
        <f>IFERROR(__xludf.DUMMYFUNCTION("""COMPUTED_VALUE"""),2.5685854087604216)</f>
        <v>2.568585409</v>
      </c>
      <c r="AD900" s="82">
        <f>IFERROR(__xludf.DUMMYFUNCTION("""COMPUTED_VALUE"""),0.9576677264418137)</f>
        <v>0.9576677264</v>
      </c>
      <c r="AE900" s="82">
        <f>IFERROR(__xludf.DUMMYFUNCTION("""COMPUTED_VALUE"""),0.938587345690336)</f>
        <v>0.9385873457</v>
      </c>
      <c r="AF900" s="82">
        <f>IFERROR(__xludf.DUMMYFUNCTION("""COMPUTED_VALUE"""),0.6834479850536491)</f>
        <v>0.6834479851</v>
      </c>
      <c r="AG900" s="82">
        <f>IFERROR(__xludf.DUMMYFUNCTION("""COMPUTED_VALUE"""),0.9322567433491199)</f>
        <v>0.9322567433</v>
      </c>
      <c r="AH900" s="82">
        <f>IFERROR(__xludf.DUMMYFUNCTION("""COMPUTED_VALUE"""),0.8676259784746341)</f>
        <v>0.8676259785</v>
      </c>
      <c r="AI900" s="82">
        <f>IFERROR(__xludf.DUMMYFUNCTION("""COMPUTED_VALUE"""),1.0444138302135955)</f>
        <v>1.04441383</v>
      </c>
      <c r="AJ900" s="82">
        <f>IFERROR(__xludf.DUMMYFUNCTION("""COMPUTED_VALUE"""),1.168334870934411)</f>
        <v>1.168334871</v>
      </c>
      <c r="AK900" s="82">
        <f>IFERROR(__xludf.DUMMYFUNCTION("""COMPUTED_VALUE"""),1.0675193601638358)</f>
        <v>1.06751936</v>
      </c>
      <c r="AL900" s="82">
        <f>IFERROR(__xludf.DUMMYFUNCTION("""COMPUTED_VALUE"""),0.9210926749401265)</f>
        <v>0.9210926749</v>
      </c>
      <c r="AM900" s="82">
        <f>IFERROR(__xludf.DUMMYFUNCTION("""COMPUTED_VALUE"""),1.0552419668487059)</f>
        <v>1.055241967</v>
      </c>
      <c r="AN900" s="82">
        <f>IFERROR(__xludf.DUMMYFUNCTION("""COMPUTED_VALUE"""),0.9664522979466725)</f>
        <v>0.9664522979</v>
      </c>
      <c r="AO900" s="82">
        <f>IFERROR(__xludf.DUMMYFUNCTION("""COMPUTED_VALUE"""),0.9673051697836904)</f>
        <v>0.9673051698</v>
      </c>
      <c r="AP900" s="82">
        <f>IFERROR(__xludf.DUMMYFUNCTION("""COMPUTED_VALUE"""),0.650626400305986)</f>
        <v>0.6506264003</v>
      </c>
      <c r="AQ900" s="82">
        <f>IFERROR(__xludf.DUMMYFUNCTION("""COMPUTED_VALUE"""),0.9420659679205289)</f>
        <v>0.9420659679</v>
      </c>
      <c r="AR900" s="82">
        <f>IFERROR(__xludf.DUMMYFUNCTION("""COMPUTED_VALUE"""),0.8890419212968427)</f>
        <v>0.8890419213</v>
      </c>
      <c r="AS900" s="82">
        <f>IFERROR(__xludf.DUMMYFUNCTION("""COMPUTED_VALUE"""),68.0)</f>
        <v>68</v>
      </c>
      <c r="AT900" s="82">
        <f>IFERROR(__xludf.DUMMYFUNCTION("""COMPUTED_VALUE"""),0.35321071109769614)</f>
        <v>0.3532107111</v>
      </c>
      <c r="AU900" s="82">
        <f>IFERROR(__xludf.DUMMYFUNCTION("""COMPUTED_VALUE"""),1.9479781998892192)</f>
        <v>1.9479782</v>
      </c>
      <c r="AV900" s="82">
        <f>IFERROR(__xludf.DUMMYFUNCTION("""COMPUTED_VALUE"""),37.17929004005866)</f>
        <v>37.17929004</v>
      </c>
      <c r="AW900" s="82">
        <f t="shared" si="1"/>
        <v>-3.289087633</v>
      </c>
      <c r="AX900" s="83">
        <f t="array" ref="AX900">IFERROR(DGET('SBV Import'!A:G,"SBV",{"RSC ID","Tier";B900,A900}))</f>
        <v>32.33276028</v>
      </c>
      <c r="AY900" s="82">
        <f t="shared" si="2"/>
        <v>-4.168756248</v>
      </c>
      <c r="AZ900" s="82">
        <v>0.8796686144260519</v>
      </c>
      <c r="BA900" s="84">
        <v>800.0</v>
      </c>
      <c r="BB900" s="84" t="b">
        <f>IFERROR(__xludf.DUMMYFUNCTION("iferror(if(A900="""",,E900&gt;=FILTER(Constants!$F$2:$F$10,Constants!$A$2:$A$10=A900)))"),TRUE)</f>
        <v>1</v>
      </c>
    </row>
    <row r="901">
      <c r="A901" s="80" t="str">
        <f>IFERROR(__xludf.DUMMYFUNCTION("""COMPUTED_VALUE"""),"Elite")</f>
        <v>Elite</v>
      </c>
      <c r="B901" s="73" t="str">
        <f>IFERROR(__xludf.DUMMYFUNCTION("""COMPUTED_VALUE"""),"RSC000016")</f>
        <v>RSC000016</v>
      </c>
      <c r="C901" s="73" t="str">
        <f>IFERROR(__xludf.DUMMYFUNCTION("""COMPUTED_VALUE"""),"Beans")</f>
        <v>Beans</v>
      </c>
      <c r="D901" s="73" t="str">
        <f>IFERROR(__xludf.DUMMYFUNCTION("""COMPUTED_VALUE"""),"Nightshade")</f>
        <v>Nightshade</v>
      </c>
      <c r="E901" s="82">
        <f>IFERROR(__xludf.DUMMYFUNCTION("""COMPUTED_VALUE"""),27.0)</f>
        <v>27</v>
      </c>
      <c r="F901" s="82">
        <f>IFERROR(__xludf.DUMMYFUNCTION("""COMPUTED_VALUE"""),12.0)</f>
        <v>12</v>
      </c>
      <c r="G901" s="82">
        <f>IFERROR(__xludf.DUMMYFUNCTION("""COMPUTED_VALUE"""),15.0)</f>
        <v>15</v>
      </c>
      <c r="H901" s="86">
        <f>IFERROR(__xludf.DUMMYFUNCTION("""COMPUTED_VALUE"""),0.4444444444444444)</f>
        <v>0.4444444444</v>
      </c>
      <c r="I901" s="86">
        <f>IFERROR(__xludf.DUMMYFUNCTION("""COMPUTED_VALUE"""),0.2962962962962963)</f>
        <v>0.2962962963</v>
      </c>
      <c r="J901" s="82">
        <f>IFERROR(__xludf.DUMMYFUNCTION("""COMPUTED_VALUE"""),363.3703703703704)</f>
        <v>363.3703704</v>
      </c>
      <c r="K901" s="82">
        <f>IFERROR(__xludf.DUMMYFUNCTION("""COMPUTED_VALUE"""),0.5925925925925926)</f>
        <v>0.5925925926</v>
      </c>
      <c r="L901" s="82">
        <f>IFERROR(__xludf.DUMMYFUNCTION("""COMPUTED_VALUE"""),0.5925925925925926)</f>
        <v>0.5925925926</v>
      </c>
      <c r="M901" s="82">
        <f>IFERROR(__xludf.DUMMYFUNCTION("""COMPUTED_VALUE"""),1.8888888888888888)</f>
        <v>1.888888889</v>
      </c>
      <c r="N901" s="82">
        <f>IFERROR(__xludf.DUMMYFUNCTION("""COMPUTED_VALUE"""),2.0)</f>
        <v>2</v>
      </c>
      <c r="O901" s="82">
        <f>IFERROR(__xludf.DUMMYFUNCTION("""COMPUTED_VALUE"""),361.25925925925924)</f>
        <v>361.2592593</v>
      </c>
      <c r="P901" s="82">
        <f>IFERROR(__xludf.DUMMYFUNCTION("""COMPUTED_VALUE"""),0.8271604938271603)</f>
        <v>0.8271604938</v>
      </c>
      <c r="Q901" s="82">
        <f>IFERROR(__xludf.DUMMYFUNCTION("""COMPUTED_VALUE"""),0.5925925925925926)</f>
        <v>0.5925925926</v>
      </c>
      <c r="R901" s="82">
        <f>IFERROR(__xludf.DUMMYFUNCTION("""COMPUTED_VALUE"""),1.382716049382716)</f>
        <v>1.382716049</v>
      </c>
      <c r="S901" s="82">
        <f>IFERROR(__xludf.DUMMYFUNCTION("""COMPUTED_VALUE"""),2.691358024691358)</f>
        <v>2.691358025</v>
      </c>
      <c r="T901" s="82">
        <f>IFERROR(__xludf.DUMMYFUNCTION("""COMPUTED_VALUE"""),347.50182108866)</f>
        <v>347.5018211</v>
      </c>
      <c r="U901" s="82">
        <f>IFERROR(__xludf.DUMMYFUNCTION("""COMPUTED_VALUE"""),0.72623627942423)</f>
        <v>0.7262362794</v>
      </c>
      <c r="V901" s="82">
        <f>IFERROR(__xludf.DUMMYFUNCTION("""COMPUTED_VALUE"""),0.5288433780272386)</f>
        <v>0.528843378</v>
      </c>
      <c r="W901" s="82">
        <f>IFERROR(__xludf.DUMMYFUNCTION("""COMPUTED_VALUE"""),1.3879382364169155)</f>
        <v>1.387938236</v>
      </c>
      <c r="X901" s="82">
        <f>IFERROR(__xludf.DUMMYFUNCTION("""COMPUTED_VALUE"""),2.5480097409364486)</f>
        <v>2.548009741</v>
      </c>
      <c r="Y901" s="82">
        <f>IFERROR(__xludf.DUMMYFUNCTION("""COMPUTED_VALUE"""),363.8725638891083)</f>
        <v>363.8725639</v>
      </c>
      <c r="Z901" s="82">
        <f>IFERROR(__xludf.DUMMYFUNCTION("""COMPUTED_VALUE"""),0.8024859887255053)</f>
        <v>0.8024859887</v>
      </c>
      <c r="AA901" s="82">
        <f>IFERROR(__xludf.DUMMYFUNCTION("""COMPUTED_VALUE"""),0.6145860975475635)</f>
        <v>0.6145860975</v>
      </c>
      <c r="AB901" s="82">
        <f>IFERROR(__xludf.DUMMYFUNCTION("""COMPUTED_VALUE"""),1.3912073881666496)</f>
        <v>1.391207388</v>
      </c>
      <c r="AC901" s="82">
        <f>IFERROR(__xludf.DUMMYFUNCTION("""COMPUTED_VALUE"""),2.6827097240816085)</f>
        <v>2.682709724</v>
      </c>
      <c r="AD901" s="82">
        <f>IFERROR(__xludf.DUMMYFUNCTION("""COMPUTED_VALUE"""),0.9986198642915795)</f>
        <v>0.9986198643</v>
      </c>
      <c r="AE901" s="82">
        <f>IFERROR(__xludf.DUMMYFUNCTION("""COMPUTED_VALUE"""),0.7384460301091837)</f>
        <v>0.7384460301</v>
      </c>
      <c r="AF901" s="82">
        <f>IFERROR(__xludf.DUMMYFUNCTION("""COMPUTED_VALUE"""),0.9642141189936877)</f>
        <v>0.964214119</v>
      </c>
      <c r="AG901" s="82">
        <f>IFERROR(__xludf.DUMMYFUNCTION("""COMPUTED_VALUE"""),1.3577335090047862)</f>
        <v>1.357733509</v>
      </c>
      <c r="AH901" s="82">
        <f>IFERROR(__xludf.DUMMYFUNCTION("""COMPUTED_VALUE"""),0.7455148732815938)</f>
        <v>0.7455148733</v>
      </c>
      <c r="AI901" s="82">
        <f>IFERROR(__xludf.DUMMYFUNCTION("""COMPUTED_VALUE"""),1.039589542660524)</f>
        <v>1.039589543</v>
      </c>
      <c r="AJ901" s="82">
        <f>IFERROR(__xludf.DUMMYFUNCTION("""COMPUTED_VALUE"""),1.138968841494595)</f>
        <v>1.138968841</v>
      </c>
      <c r="AK901" s="82">
        <f>IFERROR(__xludf.DUMMYFUNCTION("""COMPUTED_VALUE"""),1.1205446020770076)</f>
        <v>1.120544602</v>
      </c>
      <c r="AL901" s="82">
        <f>IFERROR(__xludf.DUMMYFUNCTION("""COMPUTED_VALUE"""),0.9962374499835951)</f>
        <v>0.99623745</v>
      </c>
      <c r="AM901" s="82">
        <f>IFERROR(__xludf.DUMMYFUNCTION("""COMPUTED_VALUE"""),1.0562589229750063)</f>
        <v>1.056258923</v>
      </c>
      <c r="AN901" s="82">
        <f>IFERROR(__xludf.DUMMYFUNCTION("""COMPUTED_VALUE"""),1.0364537086395336)</f>
        <v>1.036453709</v>
      </c>
      <c r="AO901" s="82">
        <f>IFERROR(__xludf.DUMMYFUNCTION("""COMPUTED_VALUE"""),0.8359427393192386)</f>
        <v>0.8359427393</v>
      </c>
      <c r="AP901" s="82">
        <f>IFERROR(__xludf.DUMMYFUNCTION("""COMPUTED_VALUE"""),1.0380364221406042)</f>
        <v>1.038036422</v>
      </c>
      <c r="AQ901" s="82">
        <f>IFERROR(__xludf.DUMMYFUNCTION("""COMPUTED_VALUE"""),1.3251282527487345)</f>
        <v>1.325128253</v>
      </c>
      <c r="AR901" s="82">
        <f>IFERROR(__xludf.DUMMYFUNCTION("""COMPUTED_VALUE"""),0.7978581344971665)</f>
        <v>0.7978581345</v>
      </c>
      <c r="AS901" s="82">
        <f>IFERROR(__xludf.DUMMYFUNCTION("""COMPUTED_VALUE"""),63.0)</f>
        <v>63</v>
      </c>
      <c r="AT901" s="82">
        <f>IFERROR(__xludf.DUMMYFUNCTION("""COMPUTED_VALUE"""),0.4758572777266791)</f>
        <v>0.4758572777</v>
      </c>
      <c r="AU901" s="82">
        <f>IFERROR(__xludf.DUMMYFUNCTION("""COMPUTED_VALUE"""),1.9339782608304767)</f>
        <v>1.933978261</v>
      </c>
      <c r="AV901" s="82">
        <f>IFERROR(__xludf.DUMMYFUNCTION("""COMPUTED_VALUE"""),36.77659281125382)</f>
        <v>36.77659281</v>
      </c>
      <c r="AW901" s="82">
        <f t="shared" si="1"/>
        <v>-3.350927669</v>
      </c>
      <c r="AX901" s="83">
        <f t="array" ref="AX901">IFERROR(DGET('SBV Import'!A:G,"SBV",{"RSC ID","Tier";B901,A901}))</f>
        <v>42.73261984</v>
      </c>
      <c r="AY901" s="82">
        <f t="shared" si="2"/>
        <v>-2.593077082</v>
      </c>
      <c r="AZ901" s="82">
        <v>0.7578505866298864</v>
      </c>
      <c r="BA901" s="84">
        <v>800.0</v>
      </c>
      <c r="BB901" s="84" t="b">
        <f>IFERROR(__xludf.DUMMYFUNCTION("iferror(if(A901="""",,E901&gt;=FILTER(Constants!$F$2:$F$10,Constants!$A$2:$A$10=A901)))"),TRUE)</f>
        <v>1</v>
      </c>
    </row>
    <row r="902">
      <c r="A902" s="80" t="str">
        <f>IFERROR(__xludf.DUMMYFUNCTION("""COMPUTED_VALUE"""),"Elite")</f>
        <v>Elite</v>
      </c>
      <c r="B902" s="73" t="str">
        <f>IFERROR(__xludf.DUMMYFUNCTION("""COMPUTED_VALUE"""),"RSC006484")</f>
        <v>RSC006484</v>
      </c>
      <c r="C902" s="73" t="str">
        <f>IFERROR(__xludf.DUMMYFUNCTION("""COMPUTED_VALUE"""),"Sunny.-._")</f>
        <v>Sunny.-._</v>
      </c>
      <c r="D902" s="73" t="str">
        <f>IFERROR(__xludf.DUMMYFUNCTION("""COMPUTED_VALUE"""),"Ghastly Goombahs")</f>
        <v>Ghastly Goombahs</v>
      </c>
      <c r="E902" s="82">
        <f>IFERROR(__xludf.DUMMYFUNCTION("""COMPUTED_VALUE"""),25.0)</f>
        <v>25</v>
      </c>
      <c r="F902" s="82">
        <f>IFERROR(__xludf.DUMMYFUNCTION("""COMPUTED_VALUE"""),8.0)</f>
        <v>8</v>
      </c>
      <c r="G902" s="82">
        <f>IFERROR(__xludf.DUMMYFUNCTION("""COMPUTED_VALUE"""),17.0)</f>
        <v>17</v>
      </c>
      <c r="H902" s="86">
        <f>IFERROR(__xludf.DUMMYFUNCTION("""COMPUTED_VALUE"""),0.32)</f>
        <v>0.32</v>
      </c>
      <c r="I902" s="86">
        <f>IFERROR(__xludf.DUMMYFUNCTION("""COMPUTED_VALUE"""),0.3829787234042553)</f>
        <v>0.3829787234</v>
      </c>
      <c r="J902" s="82">
        <f>IFERROR(__xludf.DUMMYFUNCTION("""COMPUTED_VALUE"""),331.28)</f>
        <v>331.28</v>
      </c>
      <c r="K902" s="82">
        <f>IFERROR(__xludf.DUMMYFUNCTION("""COMPUTED_VALUE"""),0.72)</f>
        <v>0.72</v>
      </c>
      <c r="L902" s="82">
        <f>IFERROR(__xludf.DUMMYFUNCTION("""COMPUTED_VALUE"""),0.52)</f>
        <v>0.52</v>
      </c>
      <c r="M902" s="82">
        <f>IFERROR(__xludf.DUMMYFUNCTION("""COMPUTED_VALUE"""),1.2)</f>
        <v>1.2</v>
      </c>
      <c r="N902" s="82">
        <f>IFERROR(__xludf.DUMMYFUNCTION("""COMPUTED_VALUE"""),1.88)</f>
        <v>1.88</v>
      </c>
      <c r="O902" s="82">
        <f>IFERROR(__xludf.DUMMYFUNCTION("""COMPUTED_VALUE"""),394.88)</f>
        <v>394.88</v>
      </c>
      <c r="P902" s="82">
        <f>IFERROR(__xludf.DUMMYFUNCTION("""COMPUTED_VALUE"""),1.08)</f>
        <v>1.08</v>
      </c>
      <c r="Q902" s="82">
        <f>IFERROR(__xludf.DUMMYFUNCTION("""COMPUTED_VALUE"""),0.7733333333333333)</f>
        <v>0.7733333333</v>
      </c>
      <c r="R902" s="82">
        <f>IFERROR(__xludf.DUMMYFUNCTION("""COMPUTED_VALUE"""),1.2266666666666668)</f>
        <v>1.226666667</v>
      </c>
      <c r="S902" s="82">
        <f>IFERROR(__xludf.DUMMYFUNCTION("""COMPUTED_VALUE"""),3.0933333333333333)</f>
        <v>3.093333333</v>
      </c>
      <c r="T902" s="82">
        <f>IFERROR(__xludf.DUMMYFUNCTION("""COMPUTED_VALUE"""),373.4100006803489)</f>
        <v>373.4100007</v>
      </c>
      <c r="U902" s="82">
        <f>IFERROR(__xludf.DUMMYFUNCTION("""COMPUTED_VALUE"""),0.8461082115945447)</f>
        <v>0.8461082116</v>
      </c>
      <c r="V902" s="82">
        <f>IFERROR(__xludf.DUMMYFUNCTION("""COMPUTED_VALUE"""),0.6318870721155353)</f>
        <v>0.6318870721</v>
      </c>
      <c r="W902" s="82">
        <f>IFERROR(__xludf.DUMMYFUNCTION("""COMPUTED_VALUE"""),1.4623513735447145)</f>
        <v>1.462351374</v>
      </c>
      <c r="X902" s="82">
        <f>IFERROR(__xludf.DUMMYFUNCTION("""COMPUTED_VALUE"""),2.777212988191156)</f>
        <v>2.777212988</v>
      </c>
      <c r="Y902" s="82">
        <f>IFERROR(__xludf.DUMMYFUNCTION("""COMPUTED_VALUE"""),357.00416079973564)</f>
        <v>357.0041608</v>
      </c>
      <c r="Z902" s="82">
        <f>IFERROR(__xludf.DUMMYFUNCTION("""COMPUTED_VALUE"""),0.7342290222332645)</f>
        <v>0.7342290222</v>
      </c>
      <c r="AA902" s="82">
        <f>IFERROR(__xludf.DUMMYFUNCTION("""COMPUTED_VALUE"""),0.5500292344678702)</f>
        <v>0.5500292345</v>
      </c>
      <c r="AB902" s="82">
        <f>IFERROR(__xludf.DUMMYFUNCTION("""COMPUTED_VALUE"""),1.4603980678925021)</f>
        <v>1.460398068</v>
      </c>
      <c r="AC902" s="82">
        <f>IFERROR(__xludf.DUMMYFUNCTION("""COMPUTED_VALUE"""),2.630446137719651)</f>
        <v>2.630446138</v>
      </c>
      <c r="AD902" s="82">
        <f>IFERROR(__xludf.DUMMYFUNCTION("""COMPUTED_VALUE"""),0.9279443669728941)</f>
        <v>0.927944367</v>
      </c>
      <c r="AE902" s="82">
        <f>IFERROR(__xludf.DUMMYFUNCTION("""COMPUTED_VALUE"""),0.9806204579192677)</f>
        <v>0.9806204579</v>
      </c>
      <c r="AF902" s="82">
        <f>IFERROR(__xludf.DUMMYFUNCTION("""COMPUTED_VALUE"""),0.9454042938337228)</f>
        <v>0.9454042938</v>
      </c>
      <c r="AG902" s="82">
        <f>IFERROR(__xludf.DUMMYFUNCTION("""COMPUTED_VALUE"""),0.8216937740349916)</f>
        <v>0.821693774</v>
      </c>
      <c r="AH902" s="82">
        <f>IFERROR(__xludf.DUMMYFUNCTION("""COMPUTED_VALUE"""),0.7147076585380239)</f>
        <v>0.7147076585</v>
      </c>
      <c r="AI902" s="82">
        <f>IFERROR(__xludf.DUMMYFUNCTION("""COMPUTED_VALUE"""),1.0574971192001634)</f>
        <v>1.057497119</v>
      </c>
      <c r="AJ902" s="82">
        <f>IFERROR(__xludf.DUMMYFUNCTION("""COMPUTED_VALUE"""),1.2764324766032837)</f>
        <v>1.276432477</v>
      </c>
      <c r="AK902" s="82">
        <f>IFERROR(__xludf.DUMMYFUNCTION("""COMPUTED_VALUE"""),1.2238473731457127)</f>
        <v>1.223847373</v>
      </c>
      <c r="AL902" s="82">
        <f>IFERROR(__xludf.DUMMYFUNCTION("""COMPUTED_VALUE"""),0.8388316849549284)</f>
        <v>0.838831685</v>
      </c>
      <c r="AM902" s="82">
        <f>IFERROR(__xludf.DUMMYFUNCTION("""COMPUTED_VALUE"""),1.1138264679325411)</f>
        <v>1.113826468</v>
      </c>
      <c r="AN902" s="82">
        <f>IFERROR(__xludf.DUMMYFUNCTION("""COMPUTED_VALUE"""),0.9449212500406509)</f>
        <v>0.94492125</v>
      </c>
      <c r="AO902" s="82">
        <f>IFERROR(__xludf.DUMMYFUNCTION("""COMPUTED_VALUE"""),1.015670428272875)</f>
        <v>1.015670428</v>
      </c>
      <c r="AP902" s="82">
        <f>IFERROR(__xludf.DUMMYFUNCTION("""COMPUTED_VALUE"""),0.9108769604283803)</f>
        <v>0.9108769604</v>
      </c>
      <c r="AQ902" s="82">
        <f>IFERROR(__xludf.DUMMYFUNCTION("""COMPUTED_VALUE"""),0.8418461840991961)</f>
        <v>0.8418461841</v>
      </c>
      <c r="AR902" s="82">
        <f>IFERROR(__xludf.DUMMYFUNCTION("""COMPUTED_VALUE"""),0.7499866464273365)</f>
        <v>0.7499866464</v>
      </c>
      <c r="AS902" s="82">
        <f>IFERROR(__xludf.DUMMYFUNCTION("""COMPUTED_VALUE"""),49.0)</f>
        <v>49</v>
      </c>
      <c r="AT902" s="82">
        <f>IFERROR(__xludf.DUMMYFUNCTION("""COMPUTED_VALUE"""),0.30858292663019127)</f>
        <v>0.3085829266</v>
      </c>
      <c r="AU902" s="82">
        <f>IFERROR(__xludf.DUMMYFUNCTION("""COMPUTED_VALUE"""),1.8901465862475757)</f>
        <v>1.890146586</v>
      </c>
      <c r="AV902" s="82">
        <f>IFERROR(__xludf.DUMMYFUNCTION("""COMPUTED_VALUE"""),35.51580918824314)</f>
        <v>35.51580919</v>
      </c>
      <c r="AW902" s="82">
        <f t="shared" si="1"/>
        <v>-3.556559996</v>
      </c>
      <c r="AX902" s="83">
        <f t="array" ref="AX902">IFERROR(DGET('SBV Import'!A:G,"SBV",{"RSC ID","Tier";B902,A902}))</f>
        <v>34.17064256</v>
      </c>
      <c r="AY902" s="82">
        <f t="shared" si="2"/>
        <v>-3.797806109</v>
      </c>
      <c r="AZ902" s="82">
        <v>0.24124611309168742</v>
      </c>
      <c r="BA902" s="84">
        <v>800.0</v>
      </c>
      <c r="BB902" s="84" t="b">
        <f>IFERROR(__xludf.DUMMYFUNCTION("iferror(if(A902="""",,E902&gt;=FILTER(Constants!$F$2:$F$10,Constants!$A$2:$A$10=A902)))"),TRUE)</f>
        <v>1</v>
      </c>
    </row>
    <row r="903">
      <c r="A903" s="80" t="str">
        <f>IFERROR(__xludf.DUMMYFUNCTION("""COMPUTED_VALUE"""),"Elite")</f>
        <v>Elite</v>
      </c>
      <c r="B903" s="73" t="str">
        <f>IFERROR(__xludf.DUMMYFUNCTION("""COMPUTED_VALUE"""),"RSC006188")</f>
        <v>RSC006188</v>
      </c>
      <c r="C903" s="73" t="str">
        <f>IFERROR(__xludf.DUMMYFUNCTION("""COMPUTED_VALUE"""),"Billy_Man_Fi3h")</f>
        <v>Billy_Man_Fi3h</v>
      </c>
      <c r="D903" s="73" t="str">
        <f>IFERROR(__xludf.DUMMYFUNCTION("""COMPUTED_VALUE"""),"Pixel Picassos")</f>
        <v>Pixel Picassos</v>
      </c>
      <c r="E903" s="82">
        <f>IFERROR(__xludf.DUMMYFUNCTION("""COMPUTED_VALUE"""),32.0)</f>
        <v>32</v>
      </c>
      <c r="F903" s="82">
        <f>IFERROR(__xludf.DUMMYFUNCTION("""COMPUTED_VALUE"""),8.0)</f>
        <v>8</v>
      </c>
      <c r="G903" s="82">
        <f>IFERROR(__xludf.DUMMYFUNCTION("""COMPUTED_VALUE"""),24.0)</f>
        <v>24</v>
      </c>
      <c r="H903" s="86">
        <f>IFERROR(__xludf.DUMMYFUNCTION("""COMPUTED_VALUE"""),0.25)</f>
        <v>0.25</v>
      </c>
      <c r="I903" s="86">
        <f>IFERROR(__xludf.DUMMYFUNCTION("""COMPUTED_VALUE"""),0.2073170731707317)</f>
        <v>0.2073170732</v>
      </c>
      <c r="J903" s="82">
        <f>IFERROR(__xludf.DUMMYFUNCTION("""COMPUTED_VALUE"""),317.0)</f>
        <v>317</v>
      </c>
      <c r="K903" s="82">
        <f>IFERROR(__xludf.DUMMYFUNCTION("""COMPUTED_VALUE"""),0.53125)</f>
        <v>0.53125</v>
      </c>
      <c r="L903" s="82">
        <f>IFERROR(__xludf.DUMMYFUNCTION("""COMPUTED_VALUE"""),0.375)</f>
        <v>0.375</v>
      </c>
      <c r="M903" s="82">
        <f>IFERROR(__xludf.DUMMYFUNCTION("""COMPUTED_VALUE"""),1.3125)</f>
        <v>1.3125</v>
      </c>
      <c r="N903" s="82">
        <f>IFERROR(__xludf.DUMMYFUNCTION("""COMPUTED_VALUE"""),2.5625)</f>
        <v>2.5625</v>
      </c>
      <c r="O903" s="82">
        <f>IFERROR(__xludf.DUMMYFUNCTION("""COMPUTED_VALUE"""),396.3437499999999)</f>
        <v>396.34375</v>
      </c>
      <c r="P903" s="82">
        <f>IFERROR(__xludf.DUMMYFUNCTION("""COMPUTED_VALUE"""),0.9375)</f>
        <v>0.9375</v>
      </c>
      <c r="Q903" s="82">
        <f>IFERROR(__xludf.DUMMYFUNCTION("""COMPUTED_VALUE"""),0.6666666666666663)</f>
        <v>0.6666666667</v>
      </c>
      <c r="R903" s="82">
        <f>IFERROR(__xludf.DUMMYFUNCTION("""COMPUTED_VALUE"""),1.46875)</f>
        <v>1.46875</v>
      </c>
      <c r="S903" s="82">
        <f>IFERROR(__xludf.DUMMYFUNCTION("""COMPUTED_VALUE"""),2.9791666666666665)</f>
        <v>2.979166667</v>
      </c>
      <c r="T903" s="82">
        <f>IFERROR(__xludf.DUMMYFUNCTION("""COMPUTED_VALUE"""),366.05769411974165)</f>
        <v>366.0576941</v>
      </c>
      <c r="U903" s="82">
        <f>IFERROR(__xludf.DUMMYFUNCTION("""COMPUTED_VALUE"""),0.8525357996097616)</f>
        <v>0.8525357996</v>
      </c>
      <c r="V903" s="82">
        <f>IFERROR(__xludf.DUMMYFUNCTION("""COMPUTED_VALUE"""),0.6512370459652703)</f>
        <v>0.651237046</v>
      </c>
      <c r="W903" s="82">
        <f>IFERROR(__xludf.DUMMYFUNCTION("""COMPUTED_VALUE"""),1.307330074955625)</f>
        <v>1.307330075</v>
      </c>
      <c r="X903" s="82">
        <f>IFERROR(__xludf.DUMMYFUNCTION("""COMPUTED_VALUE"""),2.8143386767049328)</f>
        <v>2.814338677</v>
      </c>
      <c r="Y903" s="82">
        <f>IFERROR(__xludf.DUMMYFUNCTION("""COMPUTED_VALUE"""),351.454197560432)</f>
        <v>351.4541976</v>
      </c>
      <c r="Z903" s="82">
        <f>IFERROR(__xludf.DUMMYFUNCTION("""COMPUTED_VALUE"""),0.6926813442882972)</f>
        <v>0.6926813443</v>
      </c>
      <c r="AA903" s="82">
        <f>IFERROR(__xludf.DUMMYFUNCTION("""COMPUTED_VALUE"""),0.5150697689876305)</f>
        <v>0.515069769</v>
      </c>
      <c r="AB903" s="82">
        <f>IFERROR(__xludf.DUMMYFUNCTION("""COMPUTED_VALUE"""),1.5020360861448865)</f>
        <v>1.502036086</v>
      </c>
      <c r="AC903" s="82">
        <f>IFERROR(__xludf.DUMMYFUNCTION("""COMPUTED_VALUE"""),2.4748456900161298)</f>
        <v>2.47484569</v>
      </c>
      <c r="AD903" s="82">
        <f>IFERROR(__xludf.DUMMYFUNCTION("""COMPUTED_VALUE"""),0.9019667490114194)</f>
        <v>0.901966749</v>
      </c>
      <c r="AE903" s="82">
        <f>IFERROR(__xludf.DUMMYFUNCTION("""COMPUTED_VALUE"""),0.7669471747443096)</f>
        <v>0.7669471747</v>
      </c>
      <c r="AF903" s="82">
        <f>IFERROR(__xludf.DUMMYFUNCTION("""COMPUTED_VALUE"""),0.7280567072244648)</f>
        <v>0.7280567072</v>
      </c>
      <c r="AG903" s="82">
        <f>IFERROR(__xludf.DUMMYFUNCTION("""COMPUTED_VALUE"""),0.8738138930927097)</f>
        <v>0.8738138931</v>
      </c>
      <c r="AH903" s="82">
        <f>IFERROR(__xludf.DUMMYFUNCTION("""COMPUTED_VALUE"""),1.0354180910500723)</f>
        <v>1.035418091</v>
      </c>
      <c r="AI903" s="82">
        <f>IFERROR(__xludf.DUMMYFUNCTION("""COMPUTED_VALUE"""),1.0827357445746006)</f>
        <v>1.082735745</v>
      </c>
      <c r="AJ903" s="82">
        <f>IFERROR(__xludf.DUMMYFUNCTION("""COMPUTED_VALUE"""),1.09966056607726)</f>
        <v>1.099660566</v>
      </c>
      <c r="AK903" s="82">
        <f>IFERROR(__xludf.DUMMYFUNCTION("""COMPUTED_VALUE"""),1.0236927871302623)</f>
        <v>1.023692787</v>
      </c>
      <c r="AL903" s="82">
        <f>IFERROR(__xludf.DUMMYFUNCTION("""COMPUTED_VALUE"""),1.1234729684084215)</f>
        <v>1.123472968</v>
      </c>
      <c r="AM903" s="82">
        <f>IFERROR(__xludf.DUMMYFUNCTION("""COMPUTED_VALUE"""),1.058567219121871)</f>
        <v>1.058567219</v>
      </c>
      <c r="AN903" s="82">
        <f>IFERROR(__xludf.DUMMYFUNCTION("""COMPUTED_VALUE"""),0.9041899186877758)</f>
        <v>0.9041899187</v>
      </c>
      <c r="AO903" s="82">
        <f>IFERROR(__xludf.DUMMYFUNCTION("""COMPUTED_VALUE"""),0.7494096041943956)</f>
        <v>0.7494096042</v>
      </c>
      <c r="AP903" s="82">
        <f>IFERROR(__xludf.DUMMYFUNCTION("""COMPUTED_VALUE"""),0.6568824233858512)</f>
        <v>0.6568824234</v>
      </c>
      <c r="AQ903" s="82">
        <f>IFERROR(__xludf.DUMMYFUNCTION("""COMPUTED_VALUE"""),0.9207692638584958)</f>
        <v>0.9207692639</v>
      </c>
      <c r="AR903" s="82">
        <f>IFERROR(__xludf.DUMMYFUNCTION("""COMPUTED_VALUE"""),1.0222557348244945)</f>
        <v>1.022255735</v>
      </c>
      <c r="AS903" s="82">
        <f>IFERROR(__xludf.DUMMYFUNCTION("""COMPUTED_VALUE"""),56.0)</f>
        <v>56</v>
      </c>
      <c r="AT903" s="82">
        <f>IFERROR(__xludf.DUMMYFUNCTION("""COMPUTED_VALUE"""),0.3244312695693934)</f>
        <v>0.3244312696</v>
      </c>
      <c r="AU903" s="82">
        <f>IFERROR(__xludf.DUMMYFUNCTION("""COMPUTED_VALUE"""),1.8887988825899398)</f>
        <v>1.888798883</v>
      </c>
      <c r="AV903" s="82">
        <f>IFERROR(__xludf.DUMMYFUNCTION("""COMPUTED_VALUE"""),35.477043553199806)</f>
        <v>35.47704355</v>
      </c>
      <c r="AW903" s="82">
        <f t="shared" si="1"/>
        <v>-3.563185228</v>
      </c>
      <c r="AX903" s="83">
        <f t="array" ref="AX903">IFERROR(DGET('SBV Import'!A:G,"SBV",{"RSC ID","Tier";B903,A903}))</f>
        <v>25.62774012</v>
      </c>
      <c r="AY903" s="82">
        <f t="shared" si="2"/>
        <v>-6.067691821</v>
      </c>
      <c r="AZ903" s="82">
        <v>2.5045065926299652</v>
      </c>
      <c r="BA903" s="84">
        <v>800.0</v>
      </c>
      <c r="BB903" s="84" t="b">
        <f>IFERROR(__xludf.DUMMYFUNCTION("iferror(if(A903="""",,E903&gt;=FILTER(Constants!$F$2:$F$10,Constants!$A$2:$A$10=A903)))"),TRUE)</f>
        <v>1</v>
      </c>
    </row>
    <row r="904">
      <c r="A904" s="80" t="str">
        <f>IFERROR(__xludf.DUMMYFUNCTION("""COMPUTED_VALUE"""),"Elite")</f>
        <v>Elite</v>
      </c>
      <c r="B904" s="73" t="str">
        <f>IFERROR(__xludf.DUMMYFUNCTION("""COMPUTED_VALUE"""),"RSC003445")</f>
        <v>RSC003445</v>
      </c>
      <c r="C904" s="73" t="str">
        <f>IFERROR(__xludf.DUMMYFUNCTION("""COMPUTED_VALUE"""),"bosco")</f>
        <v>bosco</v>
      </c>
      <c r="D904" s="73"/>
      <c r="E904" s="82">
        <f>IFERROR(__xludf.DUMMYFUNCTION("""COMPUTED_VALUE"""),11.0)</f>
        <v>11</v>
      </c>
      <c r="F904" s="82">
        <f>IFERROR(__xludf.DUMMYFUNCTION("""COMPUTED_VALUE"""),4.0)</f>
        <v>4</v>
      </c>
      <c r="G904" s="82">
        <f>IFERROR(__xludf.DUMMYFUNCTION("""COMPUTED_VALUE"""),7.0)</f>
        <v>7</v>
      </c>
      <c r="H904" s="86">
        <f>IFERROR(__xludf.DUMMYFUNCTION("""COMPUTED_VALUE"""),0.36363636363636365)</f>
        <v>0.3636363636</v>
      </c>
      <c r="I904" s="86">
        <f>IFERROR(__xludf.DUMMYFUNCTION("""COMPUTED_VALUE"""),0.13793103448275862)</f>
        <v>0.1379310345</v>
      </c>
      <c r="J904" s="82">
        <f>IFERROR(__xludf.DUMMYFUNCTION("""COMPUTED_VALUE"""),305.27272727272725)</f>
        <v>305.2727273</v>
      </c>
      <c r="K904" s="82">
        <f>IFERROR(__xludf.DUMMYFUNCTION("""COMPUTED_VALUE"""),0.36363636363636365)</f>
        <v>0.3636363636</v>
      </c>
      <c r="L904" s="82">
        <f>IFERROR(__xludf.DUMMYFUNCTION("""COMPUTED_VALUE"""),0.5454545454545454)</f>
        <v>0.5454545455</v>
      </c>
      <c r="M904" s="82">
        <f>IFERROR(__xludf.DUMMYFUNCTION("""COMPUTED_VALUE"""),1.3636363636363635)</f>
        <v>1.363636364</v>
      </c>
      <c r="N904" s="82">
        <f>IFERROR(__xludf.DUMMYFUNCTION("""COMPUTED_VALUE"""),2.6363636363636362)</f>
        <v>2.636363636</v>
      </c>
      <c r="O904" s="82">
        <f>IFERROR(__xludf.DUMMYFUNCTION("""COMPUTED_VALUE"""),404.7083333333333)</f>
        <v>404.7083333</v>
      </c>
      <c r="P904" s="82">
        <f>IFERROR(__xludf.DUMMYFUNCTION("""COMPUTED_VALUE"""),0.8749999999999999)</f>
        <v>0.875</v>
      </c>
      <c r="Q904" s="82">
        <f>IFERROR(__xludf.DUMMYFUNCTION("""COMPUTED_VALUE"""),0.7083333333333333)</f>
        <v>0.7083333333</v>
      </c>
      <c r="R904" s="82">
        <f>IFERROR(__xludf.DUMMYFUNCTION("""COMPUTED_VALUE"""),1.875)</f>
        <v>1.875</v>
      </c>
      <c r="S904" s="82">
        <f>IFERROR(__xludf.DUMMYFUNCTION("""COMPUTED_VALUE"""),2.125)</f>
        <v>2.125</v>
      </c>
      <c r="T904" s="82">
        <f>IFERROR(__xludf.DUMMYFUNCTION("""COMPUTED_VALUE"""),381.22130883301094)</f>
        <v>381.2213088</v>
      </c>
      <c r="U904" s="82">
        <f>IFERROR(__xludf.DUMMYFUNCTION("""COMPUTED_VALUE"""),0.8280704121871859)</f>
        <v>0.8280704122</v>
      </c>
      <c r="V904" s="82">
        <f>IFERROR(__xludf.DUMMYFUNCTION("""COMPUTED_VALUE"""),0.5818920276490787)</f>
        <v>0.5818920276</v>
      </c>
      <c r="W904" s="82">
        <f>IFERROR(__xludf.DUMMYFUNCTION("""COMPUTED_VALUE"""),1.556811621909346)</f>
        <v>1.556811622</v>
      </c>
      <c r="X904" s="82">
        <f>IFERROR(__xludf.DUMMYFUNCTION("""COMPUTED_VALUE"""),2.7921921622209234)</f>
        <v>2.792192162</v>
      </c>
      <c r="Y904" s="82">
        <f>IFERROR(__xludf.DUMMYFUNCTION("""COMPUTED_VALUE"""),354.62372839290987)</f>
        <v>354.6237284</v>
      </c>
      <c r="Z904" s="82">
        <f>IFERROR(__xludf.DUMMYFUNCTION("""COMPUTED_VALUE"""),0.6717213107072706)</f>
        <v>0.6717213107</v>
      </c>
      <c r="AA904" s="82">
        <f>IFERROR(__xludf.DUMMYFUNCTION("""COMPUTED_VALUE"""),0.5273302201880258)</f>
        <v>0.5273302202</v>
      </c>
      <c r="AB904" s="82">
        <f>IFERROR(__xludf.DUMMYFUNCTION("""COMPUTED_VALUE"""),1.502361254804352)</f>
        <v>1.502361255</v>
      </c>
      <c r="AC904" s="82">
        <f>IFERROR(__xludf.DUMMYFUNCTION("""COMPUTED_VALUE"""),2.5761972458378946)</f>
        <v>2.576197246</v>
      </c>
      <c r="AD904" s="82">
        <f>IFERROR(__xludf.DUMMYFUNCTION("""COMPUTED_VALUE"""),0.8608355922943105)</f>
        <v>0.8608355923</v>
      </c>
      <c r="AE904" s="82">
        <f>IFERROR(__xludf.DUMMYFUNCTION("""COMPUTED_VALUE"""),0.541350047765319)</f>
        <v>0.5413500478</v>
      </c>
      <c r="AF904" s="82">
        <f>IFERROR(__xludf.DUMMYFUNCTION("""COMPUTED_VALUE"""),1.0343699726900863)</f>
        <v>1.034369973</v>
      </c>
      <c r="AG904" s="82">
        <f>IFERROR(__xludf.DUMMYFUNCTION("""COMPUTED_VALUE"""),0.9076620947695738)</f>
        <v>0.9076620948</v>
      </c>
      <c r="AH904" s="82">
        <f>IFERROR(__xludf.DUMMYFUNCTION("""COMPUTED_VALUE"""),1.0233547297758145)</f>
        <v>1.02335473</v>
      </c>
      <c r="AI904" s="82">
        <f>IFERROR(__xludf.DUMMYFUNCTION("""COMPUTED_VALUE"""),1.0616099466533508)</f>
        <v>1.061609947</v>
      </c>
      <c r="AJ904" s="82">
        <f>IFERROR(__xludf.DUMMYFUNCTION("""COMPUTED_VALUE"""),1.056673426706382)</f>
        <v>1.056673427</v>
      </c>
      <c r="AK904" s="82">
        <f>IFERROR(__xludf.DUMMYFUNCTION("""COMPUTED_VALUE"""),1.2172934147166345)</f>
        <v>1.217293415</v>
      </c>
      <c r="AL904" s="82">
        <f>IFERROR(__xludf.DUMMYFUNCTION("""COMPUTED_VALUE"""),1.2043846369160665)</f>
        <v>1.204384637</v>
      </c>
      <c r="AM904" s="82">
        <f>IFERROR(__xludf.DUMMYFUNCTION("""COMPUTED_VALUE"""),0.761050771774162)</f>
        <v>0.7610507718</v>
      </c>
      <c r="AN904" s="82">
        <f>IFERROR(__xludf.DUMMYFUNCTION("""COMPUTED_VALUE"""),0.8707398184552769)</f>
        <v>0.8707398185</v>
      </c>
      <c r="AO904" s="82">
        <f>IFERROR(__xludf.DUMMYFUNCTION("""COMPUTED_VALUE"""),0.5129648627640783)</f>
        <v>0.5129648628</v>
      </c>
      <c r="AP904" s="82">
        <f>IFERROR(__xludf.DUMMYFUNCTION("""COMPUTED_VALUE"""),0.9554653431066925)</f>
        <v>0.9554653431</v>
      </c>
      <c r="AQ904" s="82">
        <f>IFERROR(__xludf.DUMMYFUNCTION("""COMPUTED_VALUE"""),0.9566433910218137)</f>
        <v>0.956643391</v>
      </c>
      <c r="AR904" s="82">
        <f>IFERROR(__xludf.DUMMYFUNCTION("""COMPUTED_VALUE"""),1.0517220863826287)</f>
        <v>1.051722086</v>
      </c>
      <c r="AS904" s="82">
        <f>IFERROR(__xludf.DUMMYFUNCTION("""COMPUTED_VALUE"""),21.0)</f>
        <v>21</v>
      </c>
      <c r="AT904" s="82">
        <f>IFERROR(__xludf.DUMMYFUNCTION("""COMPUTED_VALUE"""),0.37955745474218655)</f>
        <v>0.3795574547</v>
      </c>
      <c r="AU904" s="82">
        <f>IFERROR(__xludf.DUMMYFUNCTION("""COMPUTED_VALUE"""),1.8774626655465654)</f>
        <v>1.877462666</v>
      </c>
      <c r="AV904" s="82">
        <f>IFERROR(__xludf.DUMMYFUNCTION("""COMPUTED_VALUE"""),35.15096619176684)</f>
        <v>35.15096619</v>
      </c>
      <c r="AW904" s="82">
        <f t="shared" si="1"/>
        <v>-3.619660795</v>
      </c>
      <c r="AX904" s="83">
        <f t="array" ref="AX904">IFERROR(DGET('SBV Import'!A:G,"SBV",{"RSC ID","Tier";B904,A904}))</f>
        <v>29.71359937</v>
      </c>
      <c r="AY904" s="82">
        <f t="shared" si="2"/>
        <v>-4.79496908</v>
      </c>
      <c r="AZ904" s="82">
        <v>1.1753082852042533</v>
      </c>
      <c r="BA904" s="84">
        <v>800.0</v>
      </c>
      <c r="BB904" s="84" t="b">
        <f>IFERROR(__xludf.DUMMYFUNCTION("iferror(if(A904="""",,E904&gt;=FILTER(Constants!$F$2:$F$10,Constants!$A$2:$A$10=A904)))"),TRUE)</f>
        <v>1</v>
      </c>
    </row>
    <row r="905">
      <c r="A905" s="80" t="str">
        <f>IFERROR(__xludf.DUMMYFUNCTION("""COMPUTED_VALUE"""),"Elite")</f>
        <v>Elite</v>
      </c>
      <c r="B905" s="73" t="str">
        <f>IFERROR(__xludf.DUMMYFUNCTION("""COMPUTED_VALUE"""),"RSC006668")</f>
        <v>RSC006668</v>
      </c>
      <c r="C905" s="73" t="str">
        <f>IFERROR(__xludf.DUMMYFUNCTION("""COMPUTED_VALUE"""),"anubis")</f>
        <v>anubis</v>
      </c>
      <c r="D905" s="73" t="str">
        <f>IFERROR(__xludf.DUMMYFUNCTION("""COMPUTED_VALUE"""),"Thrashers")</f>
        <v>Thrashers</v>
      </c>
      <c r="E905" s="82">
        <f>IFERROR(__xludf.DUMMYFUNCTION("""COMPUTED_VALUE"""),6.0)</f>
        <v>6</v>
      </c>
      <c r="F905" s="82">
        <f>IFERROR(__xludf.DUMMYFUNCTION("""COMPUTED_VALUE"""),1.0)</f>
        <v>1</v>
      </c>
      <c r="G905" s="82">
        <f>IFERROR(__xludf.DUMMYFUNCTION("""COMPUTED_VALUE"""),5.0)</f>
        <v>5</v>
      </c>
      <c r="H905" s="86">
        <f>IFERROR(__xludf.DUMMYFUNCTION("""COMPUTED_VALUE"""),0.16666666666666666)</f>
        <v>0.1666666667</v>
      </c>
      <c r="I905" s="86">
        <f>IFERROR(__xludf.DUMMYFUNCTION("""COMPUTED_VALUE"""),0.14285714285714285)</f>
        <v>0.1428571429</v>
      </c>
      <c r="J905" s="82">
        <f>IFERROR(__xludf.DUMMYFUNCTION("""COMPUTED_VALUE"""),273.5)</f>
        <v>273.5</v>
      </c>
      <c r="K905" s="82">
        <f>IFERROR(__xludf.DUMMYFUNCTION("""COMPUTED_VALUE"""),0.3333333333333333)</f>
        <v>0.3333333333</v>
      </c>
      <c r="L905" s="82">
        <f>IFERROR(__xludf.DUMMYFUNCTION("""COMPUTED_VALUE"""),0.6666666666666666)</f>
        <v>0.6666666667</v>
      </c>
      <c r="M905" s="82">
        <f>IFERROR(__xludf.DUMMYFUNCTION("""COMPUTED_VALUE"""),0.6666666666666666)</f>
        <v>0.6666666667</v>
      </c>
      <c r="N905" s="82">
        <f>IFERROR(__xludf.DUMMYFUNCTION("""COMPUTED_VALUE"""),2.3333333333333335)</f>
        <v>2.333333333</v>
      </c>
      <c r="O905" s="82">
        <f>IFERROR(__xludf.DUMMYFUNCTION("""COMPUTED_VALUE"""),348.6111111111111)</f>
        <v>348.6111111</v>
      </c>
      <c r="P905" s="82">
        <f>IFERROR(__xludf.DUMMYFUNCTION("""COMPUTED_VALUE"""),0.8333333333333331)</f>
        <v>0.8333333333</v>
      </c>
      <c r="Q905" s="82">
        <f>IFERROR(__xludf.DUMMYFUNCTION("""COMPUTED_VALUE"""),0.7222222222222222)</f>
        <v>0.7222222222</v>
      </c>
      <c r="R905" s="82">
        <f>IFERROR(__xludf.DUMMYFUNCTION("""COMPUTED_VALUE"""),1.1111111111111112)</f>
        <v>1.111111111</v>
      </c>
      <c r="S905" s="82">
        <f>IFERROR(__xludf.DUMMYFUNCTION("""COMPUTED_VALUE"""),2.111111111111111)</f>
        <v>2.111111111</v>
      </c>
      <c r="T905" s="82">
        <f>IFERROR(__xludf.DUMMYFUNCTION("""COMPUTED_VALUE"""),354.16598124098124)</f>
        <v>354.1659812</v>
      </c>
      <c r="U905" s="82">
        <f>IFERROR(__xludf.DUMMYFUNCTION("""COMPUTED_VALUE"""),0.8038961038961038)</f>
        <v>0.8038961039</v>
      </c>
      <c r="V905" s="82">
        <f>IFERROR(__xludf.DUMMYFUNCTION("""COMPUTED_VALUE"""),0.666468253968254)</f>
        <v>0.666468254</v>
      </c>
      <c r="W905" s="82">
        <f>IFERROR(__xludf.DUMMYFUNCTION("""COMPUTED_VALUE"""),1.196897546897547)</f>
        <v>1.196897547</v>
      </c>
      <c r="X905" s="82">
        <f>IFERROR(__xludf.DUMMYFUNCTION("""COMPUTED_VALUE"""),2.779587542087542)</f>
        <v>2.779587542</v>
      </c>
      <c r="Y905" s="82">
        <f>IFERROR(__xludf.DUMMYFUNCTION("""COMPUTED_VALUE"""),350.65004409171075)</f>
        <v>350.6500441</v>
      </c>
      <c r="Z905" s="82">
        <f>IFERROR(__xludf.DUMMYFUNCTION("""COMPUTED_VALUE"""),0.7281064614397947)</f>
        <v>0.7281064614</v>
      </c>
      <c r="AA905" s="82">
        <f>IFERROR(__xludf.DUMMYFUNCTION("""COMPUTED_VALUE"""),0.5379950296616963)</f>
        <v>0.5379950297</v>
      </c>
      <c r="AB905" s="82">
        <f>IFERROR(__xludf.DUMMYFUNCTION("""COMPUTED_VALUE"""),1.4437550104216772)</f>
        <v>1.44375501</v>
      </c>
      <c r="AC905" s="82">
        <f>IFERROR(__xludf.DUMMYFUNCTION("""COMPUTED_VALUE"""),2.508866442199776)</f>
        <v>2.508866442</v>
      </c>
      <c r="AD905" s="82">
        <f>IFERROR(__xludf.DUMMYFUNCTION("""COMPUTED_VALUE"""),0.7799799389971486)</f>
        <v>0.779979939</v>
      </c>
      <c r="AE905" s="82">
        <f>IFERROR(__xludf.DUMMYFUNCTION("""COMPUTED_VALUE"""),0.4578085087642033)</f>
        <v>0.4578085088</v>
      </c>
      <c r="AF905" s="82">
        <f>IFERROR(__xludf.DUMMYFUNCTION("""COMPUTED_VALUE"""),1.2391688211058047)</f>
        <v>1.239168821</v>
      </c>
      <c r="AG905" s="82">
        <f>IFERROR(__xludf.DUMMYFUNCTION("""COMPUTED_VALUE"""),0.46175885926238514)</f>
        <v>0.4617588593</v>
      </c>
      <c r="AH905" s="82">
        <f>IFERROR(__xludf.DUMMYFUNCTION("""COMPUTED_VALUE"""),0.9300348930840117)</f>
        <v>0.9300348931</v>
      </c>
      <c r="AI905" s="82">
        <f>IFERROR(__xludf.DUMMYFUNCTION("""COMPUTED_VALUE"""),0.9843156304555108)</f>
        <v>0.9843156305</v>
      </c>
      <c r="AJ905" s="82">
        <f>IFERROR(__xludf.DUMMYFUNCTION("""COMPUTED_VALUE"""),1.0366182014001075)</f>
        <v>1.036618201</v>
      </c>
      <c r="AK905" s="82">
        <f>IFERROR(__xludf.DUMMYFUNCTION("""COMPUTED_VALUE"""),1.0836558499553437)</f>
        <v>1.08365585</v>
      </c>
      <c r="AL905" s="82">
        <f>IFERROR(__xludf.DUMMYFUNCTION("""COMPUTED_VALUE"""),0.9283259991560673)</f>
        <v>0.9283259992</v>
      </c>
      <c r="AM905" s="82">
        <f>IFERROR(__xludf.DUMMYFUNCTION("""COMPUTED_VALUE"""),0.7595051708735218)</f>
        <v>0.7595051709</v>
      </c>
      <c r="AN905" s="82">
        <f>IFERROR(__xludf.DUMMYFUNCTION("""COMPUTED_VALUE"""),0.7801133841044374)</f>
        <v>0.7801133841</v>
      </c>
      <c r="AO905" s="82">
        <f>IFERROR(__xludf.DUMMYFUNCTION("""COMPUTED_VALUE"""),0.4702177908670717)</f>
        <v>0.4702177909</v>
      </c>
      <c r="AP905" s="82">
        <f>IFERROR(__xludf.DUMMYFUNCTION("""COMPUTED_VALUE"""),1.1677909749081798)</f>
        <v>1.167790975</v>
      </c>
      <c r="AQ905" s="82">
        <f>IFERROR(__xludf.DUMMYFUNCTION("""COMPUTED_VALUE"""),0.4676923244995534)</f>
        <v>0.4676923245</v>
      </c>
      <c r="AR905" s="82">
        <f>IFERROR(__xludf.DUMMYFUNCTION("""COMPUTED_VALUE"""),0.9308344902466943)</f>
        <v>0.9308344902</v>
      </c>
      <c r="AS905" s="82">
        <f>IFERROR(__xludf.DUMMYFUNCTION("""COMPUTED_VALUE"""),10.0)</f>
        <v>10</v>
      </c>
      <c r="AT905" s="82">
        <f>IFERROR(__xludf.DUMMYFUNCTION("""COMPUTED_VALUE"""),0.35189795038587734)</f>
        <v>0.3518979504</v>
      </c>
      <c r="AU905" s="82">
        <f>IFERROR(__xludf.DUMMYFUNCTION("""COMPUTED_VALUE"""),1.8410383278368894)</f>
        <v>1.841038328</v>
      </c>
      <c r="AV905" s="82">
        <f>IFERROR(__xludf.DUMMYFUNCTION("""COMPUTED_VALUE"""),34.10324878419865)</f>
        <v>34.10324878</v>
      </c>
      <c r="AW905" s="82">
        <f t="shared" si="1"/>
        <v>-3.810531779</v>
      </c>
      <c r="AX905" s="83">
        <f t="array" ref="AX905">IFERROR(DGET('SBV Import'!A:G,"SBV",{"RSC ID","Tier";B905,A905}))</f>
        <v>58.35880904</v>
      </c>
      <c r="AY905" s="82">
        <f t="shared" si="2"/>
        <v>2.709609707</v>
      </c>
      <c r="AZ905" s="82">
        <v>6.5201414861880345</v>
      </c>
      <c r="BA905" s="84">
        <v>800.0</v>
      </c>
      <c r="BB905" s="84" t="b">
        <f>IFERROR(__xludf.DUMMYFUNCTION("iferror(if(A905="""",,E905&gt;=FILTER(Constants!$F$2:$F$10,Constants!$A$2:$A$10=A905)))"),TRUE)</f>
        <v>1</v>
      </c>
    </row>
    <row r="906">
      <c r="A906" s="80" t="str">
        <f>IFERROR(__xludf.DUMMYFUNCTION("""COMPUTED_VALUE"""),"Elite")</f>
        <v>Elite</v>
      </c>
      <c r="B906" s="73" t="str">
        <f>IFERROR(__xludf.DUMMYFUNCTION("""COMPUTED_VALUE"""),"RSC005754")</f>
        <v>RSC005754</v>
      </c>
      <c r="C906" s="73" t="str">
        <f>IFERROR(__xludf.DUMMYFUNCTION("""COMPUTED_VALUE"""),"Monty.")</f>
        <v>Monty.</v>
      </c>
      <c r="D906" s="73" t="str">
        <f>IFERROR(__xludf.DUMMYFUNCTION("""COMPUTED_VALUE"""),"Fire")</f>
        <v>Fire</v>
      </c>
      <c r="E906" s="82">
        <f>IFERROR(__xludf.DUMMYFUNCTION("""COMPUTED_VALUE"""),23.0)</f>
        <v>23</v>
      </c>
      <c r="F906" s="82">
        <f>IFERROR(__xludf.DUMMYFUNCTION("""COMPUTED_VALUE"""),9.0)</f>
        <v>9</v>
      </c>
      <c r="G906" s="82">
        <f>IFERROR(__xludf.DUMMYFUNCTION("""COMPUTED_VALUE"""),14.0)</f>
        <v>14</v>
      </c>
      <c r="H906" s="86">
        <f>IFERROR(__xludf.DUMMYFUNCTION("""COMPUTED_VALUE"""),0.391304347826087)</f>
        <v>0.3913043478</v>
      </c>
      <c r="I906" s="86">
        <f>IFERROR(__xludf.DUMMYFUNCTION("""COMPUTED_VALUE"""),0.1509433962264151)</f>
        <v>0.1509433962</v>
      </c>
      <c r="J906" s="82">
        <f>IFERROR(__xludf.DUMMYFUNCTION("""COMPUTED_VALUE"""),297.9130434782609)</f>
        <v>297.9130435</v>
      </c>
      <c r="K906" s="82">
        <f>IFERROR(__xludf.DUMMYFUNCTION("""COMPUTED_VALUE"""),0.34782608695652173)</f>
        <v>0.347826087</v>
      </c>
      <c r="L906" s="82">
        <f>IFERROR(__xludf.DUMMYFUNCTION("""COMPUTED_VALUE"""),0.6956521739130435)</f>
        <v>0.6956521739</v>
      </c>
      <c r="M906" s="82">
        <f>IFERROR(__xludf.DUMMYFUNCTION("""COMPUTED_VALUE"""),1.391304347826087)</f>
        <v>1.391304348</v>
      </c>
      <c r="N906" s="82">
        <f>IFERROR(__xludf.DUMMYFUNCTION("""COMPUTED_VALUE"""),2.3043478260869565)</f>
        <v>2.304347826</v>
      </c>
      <c r="O906" s="82">
        <f>IFERROR(__xludf.DUMMYFUNCTION("""COMPUTED_VALUE"""),388.7971014492754)</f>
        <v>388.7971014</v>
      </c>
      <c r="P906" s="82">
        <f>IFERROR(__xludf.DUMMYFUNCTION("""COMPUTED_VALUE"""),0.898550724637681)</f>
        <v>0.8985507246</v>
      </c>
      <c r="Q906" s="82">
        <f>IFERROR(__xludf.DUMMYFUNCTION("""COMPUTED_VALUE"""),0.6666666666666667)</f>
        <v>0.6666666667</v>
      </c>
      <c r="R906" s="82">
        <f>IFERROR(__xludf.DUMMYFUNCTION("""COMPUTED_VALUE"""),1.4637681159420295)</f>
        <v>1.463768116</v>
      </c>
      <c r="S906" s="82">
        <f>IFERROR(__xludf.DUMMYFUNCTION("""COMPUTED_VALUE"""),2.9130434782608687)</f>
        <v>2.913043478</v>
      </c>
      <c r="T906" s="82">
        <f>IFERROR(__xludf.DUMMYFUNCTION("""COMPUTED_VALUE"""),379.85930104614164)</f>
        <v>379.859301</v>
      </c>
      <c r="U906" s="82">
        <f>IFERROR(__xludf.DUMMYFUNCTION("""COMPUTED_VALUE"""),0.8595098356213423)</f>
        <v>0.8595098356</v>
      </c>
      <c r="V906" s="82">
        <f>IFERROR(__xludf.DUMMYFUNCTION("""COMPUTED_VALUE"""),0.5901223907662372)</f>
        <v>0.5901223908</v>
      </c>
      <c r="W906" s="82">
        <f>IFERROR(__xludf.DUMMYFUNCTION("""COMPUTED_VALUE"""),1.5017057950566242)</f>
        <v>1.501705795</v>
      </c>
      <c r="X906" s="82">
        <f>IFERROR(__xludf.DUMMYFUNCTION("""COMPUTED_VALUE"""),2.797101463040459)</f>
        <v>2.797101463</v>
      </c>
      <c r="Y906" s="82">
        <f>IFERROR(__xludf.DUMMYFUNCTION("""COMPUTED_VALUE"""),351.2986391831818)</f>
        <v>351.2986392</v>
      </c>
      <c r="Z906" s="82">
        <f>IFERROR(__xludf.DUMMYFUNCTION("""COMPUTED_VALUE"""),0.7001860784525428)</f>
        <v>0.7001860785</v>
      </c>
      <c r="AA906" s="82">
        <f>IFERROR(__xludf.DUMMYFUNCTION("""COMPUTED_VALUE"""),0.5150768441977949)</f>
        <v>0.5150768442</v>
      </c>
      <c r="AB906" s="82">
        <f>IFERROR(__xludf.DUMMYFUNCTION("""COMPUTED_VALUE"""),1.4610029436745458)</f>
        <v>1.461002944</v>
      </c>
      <c r="AC906" s="82">
        <f>IFERROR(__xludf.DUMMYFUNCTION("""COMPUTED_VALUE"""),2.5685703198884924)</f>
        <v>2.56857032</v>
      </c>
      <c r="AD906" s="82">
        <f>IFERROR(__xludf.DUMMYFUNCTION("""COMPUTED_VALUE"""),0.848033582398583)</f>
        <v>0.8480335824</v>
      </c>
      <c r="AE906" s="82">
        <f>IFERROR(__xludf.DUMMYFUNCTION("""COMPUTED_VALUE"""),0.49676235740824815)</f>
        <v>0.4967623574</v>
      </c>
      <c r="AF906" s="82">
        <f>IFERROR(__xludf.DUMMYFUNCTION("""COMPUTED_VALUE"""),1.3505793975197724)</f>
        <v>1.350579398</v>
      </c>
      <c r="AG906" s="82">
        <f>IFERROR(__xludf.DUMMYFUNCTION("""COMPUTED_VALUE"""),0.9522940072432976)</f>
        <v>0.9522940072</v>
      </c>
      <c r="AH906" s="82">
        <f>IFERROR(__xludf.DUMMYFUNCTION("""COMPUTED_VALUE"""),0.897132466354666)</f>
        <v>0.8971324664</v>
      </c>
      <c r="AI906" s="82">
        <f>IFERROR(__xludf.DUMMYFUNCTION("""COMPUTED_VALUE"""),1.023529239322346)</f>
        <v>1.023529239</v>
      </c>
      <c r="AJ906" s="82">
        <f>IFERROR(__xludf.DUMMYFUNCTION("""COMPUTED_VALUE"""),1.0454222713904326)</f>
        <v>1.045422271</v>
      </c>
      <c r="AK906" s="82">
        <f>IFERROR(__xludf.DUMMYFUNCTION("""COMPUTED_VALUE"""),1.1297091537249444)</f>
        <v>1.129709154</v>
      </c>
      <c r="AL906" s="82">
        <f>IFERROR(__xludf.DUMMYFUNCTION("""COMPUTED_VALUE"""),0.9747369429887802)</f>
        <v>0.974736943</v>
      </c>
      <c r="AM906" s="82">
        <f>IFERROR(__xludf.DUMMYFUNCTION("""COMPUTED_VALUE"""),1.0414507720768844)</f>
        <v>1.041450772</v>
      </c>
      <c r="AN906" s="82">
        <f>IFERROR(__xludf.DUMMYFUNCTION("""COMPUTED_VALUE"""),0.8497475411944369)</f>
        <v>0.8497475412</v>
      </c>
      <c r="AO906" s="82">
        <f>IFERROR(__xludf.DUMMYFUNCTION("""COMPUTED_VALUE"""),0.49066204264390095)</f>
        <v>0.4906620426</v>
      </c>
      <c r="AP906" s="82">
        <f>IFERROR(__xludf.DUMMYFUNCTION("""COMPUTED_VALUE"""),1.2185644955563615)</f>
        <v>1.218564496</v>
      </c>
      <c r="AQ906" s="82">
        <f>IFERROR(__xludf.DUMMYFUNCTION("""COMPUTED_VALUE"""),0.9760535467816767)</f>
        <v>0.9760535468</v>
      </c>
      <c r="AR906" s="82">
        <f>IFERROR(__xludf.DUMMYFUNCTION("""COMPUTED_VALUE"""),0.9192713288771701)</f>
        <v>0.9192713289</v>
      </c>
      <c r="AS906" s="82">
        <f>IFERROR(__xludf.DUMMYFUNCTION("""COMPUTED_VALUE"""),45.0)</f>
        <v>45</v>
      </c>
      <c r="AT906" s="82">
        <f>IFERROR(__xludf.DUMMYFUNCTION("""COMPUTED_VALUE"""),0.37796282983019036)</f>
        <v>0.3779628298</v>
      </c>
      <c r="AU906" s="82">
        <f>IFERROR(__xludf.DUMMYFUNCTION("""COMPUTED_VALUE"""),1.8386113719098687)</f>
        <v>1.838611372</v>
      </c>
      <c r="AV906" s="82">
        <f>IFERROR(__xludf.DUMMYFUNCTION("""COMPUTED_VALUE"""),34.03343930701864)</f>
        <v>34.03343931</v>
      </c>
      <c r="AW906" s="82">
        <f t="shared" si="1"/>
        <v>-3.823780612</v>
      </c>
      <c r="AX906" s="83">
        <f t="array" ref="AX906">IFERROR(DGET('SBV Import'!A:G,"SBV",{"RSC ID","Tier";B906,A906}))</f>
        <v>21.8042865</v>
      </c>
      <c r="AY906" s="82">
        <f t="shared" si="2"/>
        <v>-7.71032798</v>
      </c>
      <c r="AZ906" s="82">
        <v>3.8865473677794746</v>
      </c>
      <c r="BA906" s="84">
        <v>800.0</v>
      </c>
      <c r="BB906" s="84" t="b">
        <f>IFERROR(__xludf.DUMMYFUNCTION("iferror(if(A906="""",,E906&gt;=FILTER(Constants!$F$2:$F$10,Constants!$A$2:$A$10=A906)))"),TRUE)</f>
        <v>1</v>
      </c>
    </row>
    <row r="907">
      <c r="A907" s="80" t="str">
        <f>IFERROR(__xludf.DUMMYFUNCTION("""COMPUTED_VALUE"""),"Elite")</f>
        <v>Elite</v>
      </c>
      <c r="B907" s="73" t="str">
        <f>IFERROR(__xludf.DUMMYFUNCTION("""COMPUTED_VALUE"""),"RSC005374")</f>
        <v>RSC005374</v>
      </c>
      <c r="C907" s="73" t="str">
        <f>IFERROR(__xludf.DUMMYFUNCTION("""COMPUTED_VALUE"""),"A Yapping Panda")</f>
        <v>A Yapping Panda</v>
      </c>
      <c r="D907" s="73" t="str">
        <f>IFERROR(__xludf.DUMMYFUNCTION("""COMPUTED_VALUE"""),"Loonie")</f>
        <v>Loonie</v>
      </c>
      <c r="E907" s="82">
        <f>IFERROR(__xludf.DUMMYFUNCTION("""COMPUTED_VALUE"""),35.0)</f>
        <v>35</v>
      </c>
      <c r="F907" s="82">
        <f>IFERROR(__xludf.DUMMYFUNCTION("""COMPUTED_VALUE"""),10.0)</f>
        <v>10</v>
      </c>
      <c r="G907" s="82">
        <f>IFERROR(__xludf.DUMMYFUNCTION("""COMPUTED_VALUE"""),25.0)</f>
        <v>25</v>
      </c>
      <c r="H907" s="86">
        <f>IFERROR(__xludf.DUMMYFUNCTION("""COMPUTED_VALUE"""),0.2857142857142857)</f>
        <v>0.2857142857</v>
      </c>
      <c r="I907" s="86">
        <f>IFERROR(__xludf.DUMMYFUNCTION("""COMPUTED_VALUE"""),0.25)</f>
        <v>0.25</v>
      </c>
      <c r="J907" s="82">
        <f>IFERROR(__xludf.DUMMYFUNCTION("""COMPUTED_VALUE"""),347.1714285714286)</f>
        <v>347.1714286</v>
      </c>
      <c r="K907" s="82">
        <f>IFERROR(__xludf.DUMMYFUNCTION("""COMPUTED_VALUE"""),0.6)</f>
        <v>0.6</v>
      </c>
      <c r="L907" s="82">
        <f>IFERROR(__xludf.DUMMYFUNCTION("""COMPUTED_VALUE"""),0.3142857142857143)</f>
        <v>0.3142857143</v>
      </c>
      <c r="M907" s="82">
        <f>IFERROR(__xludf.DUMMYFUNCTION("""COMPUTED_VALUE"""),1.5714285714285714)</f>
        <v>1.571428571</v>
      </c>
      <c r="N907" s="82">
        <f>IFERROR(__xludf.DUMMYFUNCTION("""COMPUTED_VALUE"""),2.4)</f>
        <v>2.4</v>
      </c>
      <c r="O907" s="82">
        <f>IFERROR(__xludf.DUMMYFUNCTION("""COMPUTED_VALUE"""),393.4095238095238)</f>
        <v>393.4095238</v>
      </c>
      <c r="P907" s="82">
        <f>IFERROR(__xludf.DUMMYFUNCTION("""COMPUTED_VALUE"""),0.9904761904761902)</f>
        <v>0.9904761905</v>
      </c>
      <c r="Q907" s="82">
        <f>IFERROR(__xludf.DUMMYFUNCTION("""COMPUTED_VALUE"""),0.8285714285714284)</f>
        <v>0.8285714286</v>
      </c>
      <c r="R907" s="82">
        <f>IFERROR(__xludf.DUMMYFUNCTION("""COMPUTED_VALUE"""),1.3142857142857143)</f>
        <v>1.314285714</v>
      </c>
      <c r="S907" s="82">
        <f>IFERROR(__xludf.DUMMYFUNCTION("""COMPUTED_VALUE"""),3.028571428571428)</f>
        <v>3.028571429</v>
      </c>
      <c r="T907" s="82">
        <f>IFERROR(__xludf.DUMMYFUNCTION("""COMPUTED_VALUE"""),377.4456534071984)</f>
        <v>377.4456534</v>
      </c>
      <c r="U907" s="82">
        <f>IFERROR(__xludf.DUMMYFUNCTION("""COMPUTED_VALUE"""),0.8767056006201465)</f>
        <v>0.8767056006</v>
      </c>
      <c r="V907" s="82">
        <f>IFERROR(__xludf.DUMMYFUNCTION("""COMPUTED_VALUE"""),0.6186909339527545)</f>
        <v>0.618690934</v>
      </c>
      <c r="W907" s="82">
        <f>IFERROR(__xludf.DUMMYFUNCTION("""COMPUTED_VALUE"""),1.3764256422339425)</f>
        <v>1.376425642</v>
      </c>
      <c r="X907" s="82">
        <f>IFERROR(__xludf.DUMMYFUNCTION("""COMPUTED_VALUE"""),2.822132300317876)</f>
        <v>2.8221323</v>
      </c>
      <c r="Y907" s="82">
        <f>IFERROR(__xludf.DUMMYFUNCTION("""COMPUTED_VALUE"""),344.6641728718614)</f>
        <v>344.6641729</v>
      </c>
      <c r="Z907" s="82">
        <f>IFERROR(__xludf.DUMMYFUNCTION("""COMPUTED_VALUE"""),0.6760202833187051)</f>
        <v>0.6760202833</v>
      </c>
      <c r="AA907" s="82">
        <f>IFERROR(__xludf.DUMMYFUNCTION("""COMPUTED_VALUE"""),0.5009724470817208)</f>
        <v>0.5009724471</v>
      </c>
      <c r="AB907" s="82">
        <f>IFERROR(__xludf.DUMMYFUNCTION("""COMPUTED_VALUE"""),1.4479346953857424)</f>
        <v>1.447934695</v>
      </c>
      <c r="AC907" s="82">
        <f>IFERROR(__xludf.DUMMYFUNCTION("""COMPUTED_VALUE"""),2.485508302164326)</f>
        <v>2.485508302</v>
      </c>
      <c r="AD907" s="82">
        <f>IFERROR(__xludf.DUMMYFUNCTION("""COMPUTED_VALUE"""),1.0072744888993708)</f>
        <v>1.007274489</v>
      </c>
      <c r="AE907" s="82">
        <f>IFERROR(__xludf.DUMMYFUNCTION("""COMPUTED_VALUE"""),0.8875473337197696)</f>
        <v>0.8875473337</v>
      </c>
      <c r="AF907" s="82">
        <f>IFERROR(__xludf.DUMMYFUNCTION("""COMPUTED_VALUE"""),0.6273512966960568)</f>
        <v>0.6273512967</v>
      </c>
      <c r="AG907" s="82">
        <f>IFERROR(__xludf.DUMMYFUNCTION("""COMPUTED_VALUE"""),1.0852896725497203)</f>
        <v>1.085289673</v>
      </c>
      <c r="AH907" s="82">
        <f>IFERROR(__xludf.DUMMYFUNCTION("""COMPUTED_VALUE"""),0.9655972574745105)</f>
        <v>0.9655972575</v>
      </c>
      <c r="AI907" s="82">
        <f>IFERROR(__xludf.DUMMYFUNCTION("""COMPUTED_VALUE"""),1.0422944873208095)</f>
        <v>1.042294487</v>
      </c>
      <c r="AJ907" s="82">
        <f>IFERROR(__xludf.DUMMYFUNCTION("""COMPUTED_VALUE"""),1.129770574951919)</f>
        <v>1.129770575</v>
      </c>
      <c r="AK907" s="82">
        <f>IFERROR(__xludf.DUMMYFUNCTION("""COMPUTED_VALUE"""),1.3392331826777684)</f>
        <v>1.339233183</v>
      </c>
      <c r="AL907" s="82">
        <f>IFERROR(__xludf.DUMMYFUNCTION("""COMPUTED_VALUE"""),0.9548541337493721)</f>
        <v>0.9548541337</v>
      </c>
      <c r="AM907" s="82">
        <f>IFERROR(__xludf.DUMMYFUNCTION("""COMPUTED_VALUE"""),1.0731500533232616)</f>
        <v>1.073150053</v>
      </c>
      <c r="AN907" s="82">
        <f>IFERROR(__xludf.DUMMYFUNCTION("""COMPUTED_VALUE"""),0.9902489141032144)</f>
        <v>0.9902489141</v>
      </c>
      <c r="AO907" s="82">
        <f>IFERROR(__xludf.DUMMYFUNCTION("""COMPUTED_VALUE"""),0.8463920235607291)</f>
        <v>0.8463920236</v>
      </c>
      <c r="AP907" s="82">
        <f>IFERROR(__xludf.DUMMYFUNCTION("""COMPUTED_VALUE"""),0.5505300310281419)</f>
        <v>0.550530031</v>
      </c>
      <c r="AQ907" s="82">
        <f>IFERROR(__xludf.DUMMYFUNCTION("""COMPUTED_VALUE"""),1.1024176220346615)</f>
        <v>1.102417622</v>
      </c>
      <c r="AR907" s="82">
        <f>IFERROR(__xludf.DUMMYFUNCTION("""COMPUTED_VALUE"""),0.9574297613965997)</f>
        <v>0.9574297614</v>
      </c>
      <c r="AS907" s="82">
        <f>IFERROR(__xludf.DUMMYFUNCTION("""COMPUTED_VALUE"""),50.0)</f>
        <v>50</v>
      </c>
      <c r="AT907" s="82">
        <f>IFERROR(__xludf.DUMMYFUNCTION("""COMPUTED_VALUE"""),0.24592412233053668)</f>
        <v>0.2459241223</v>
      </c>
      <c r="AU907" s="82">
        <f>IFERROR(__xludf.DUMMYFUNCTION("""COMPUTED_VALUE"""),1.8233640735181793)</f>
        <v>1.823364074</v>
      </c>
      <c r="AV907" s="82">
        <f>IFERROR(__xludf.DUMMYFUNCTION("""COMPUTED_VALUE"""),33.59486276869724)</f>
        <v>33.59486277</v>
      </c>
      <c r="AW907" s="82">
        <f t="shared" si="1"/>
        <v>-3.908601898</v>
      </c>
      <c r="AX907" s="83">
        <f t="array" ref="AX907">IFERROR(DGET('SBV Import'!A:G,"SBV",{"RSC ID","Tier";B907,A907}))</f>
        <v>41.14395961</v>
      </c>
      <c r="AY907" s="82">
        <f t="shared" si="2"/>
        <v>-2.765648036</v>
      </c>
      <c r="AZ907" s="82">
        <v>1.1429538619326385</v>
      </c>
      <c r="BA907" s="84">
        <v>800.0</v>
      </c>
      <c r="BB907" s="84" t="b">
        <f>IFERROR(__xludf.DUMMYFUNCTION("iferror(if(A907="""",,E907&gt;=FILTER(Constants!$F$2:$F$10,Constants!$A$2:$A$10=A907)))"),TRUE)</f>
        <v>1</v>
      </c>
    </row>
    <row r="908">
      <c r="A908" s="80" t="str">
        <f>IFERROR(__xludf.DUMMYFUNCTION("""COMPUTED_VALUE"""),"Elite")</f>
        <v>Elite</v>
      </c>
      <c r="B908" s="73" t="str">
        <f>IFERROR(__xludf.DUMMYFUNCTION("""COMPUTED_VALUE"""),"RSC001019")</f>
        <v>RSC001019</v>
      </c>
      <c r="C908" s="73" t="str">
        <f>IFERROR(__xludf.DUMMYFUNCTION("""COMPUTED_VALUE"""),"Surge")</f>
        <v>Surge</v>
      </c>
      <c r="D908" s="73"/>
      <c r="E908" s="82">
        <f>IFERROR(__xludf.DUMMYFUNCTION("""COMPUTED_VALUE"""),8.0)</f>
        <v>8</v>
      </c>
      <c r="F908" s="82">
        <f>IFERROR(__xludf.DUMMYFUNCTION("""COMPUTED_VALUE"""),4.0)</f>
        <v>4</v>
      </c>
      <c r="G908" s="82">
        <f>IFERROR(__xludf.DUMMYFUNCTION("""COMPUTED_VALUE"""),4.0)</f>
        <v>4</v>
      </c>
      <c r="H908" s="86">
        <f>IFERROR(__xludf.DUMMYFUNCTION("""COMPUTED_VALUE"""),0.5)</f>
        <v>0.5</v>
      </c>
      <c r="I908" s="86">
        <f>IFERROR(__xludf.DUMMYFUNCTION("""COMPUTED_VALUE"""),0.5)</f>
        <v>0.5</v>
      </c>
      <c r="J908" s="82">
        <f>IFERROR(__xludf.DUMMYFUNCTION("""COMPUTED_VALUE"""),287.25)</f>
        <v>287.25</v>
      </c>
      <c r="K908" s="82">
        <f>IFERROR(__xludf.DUMMYFUNCTION("""COMPUTED_VALUE"""),0.625)</f>
        <v>0.625</v>
      </c>
      <c r="L908" s="82">
        <f>IFERROR(__xludf.DUMMYFUNCTION("""COMPUTED_VALUE"""),0.75)</f>
        <v>0.75</v>
      </c>
      <c r="M908" s="82">
        <f>IFERROR(__xludf.DUMMYFUNCTION("""COMPUTED_VALUE"""),1.125)</f>
        <v>1.125</v>
      </c>
      <c r="N908" s="82">
        <f>IFERROR(__xludf.DUMMYFUNCTION("""COMPUTED_VALUE"""),1.25)</f>
        <v>1.25</v>
      </c>
      <c r="O908" s="82">
        <f>IFERROR(__xludf.DUMMYFUNCTION("""COMPUTED_VALUE"""),352.0)</f>
        <v>352</v>
      </c>
      <c r="P908" s="82">
        <f>IFERROR(__xludf.DUMMYFUNCTION("""COMPUTED_VALUE"""),0.875)</f>
        <v>0.875</v>
      </c>
      <c r="Q908" s="82">
        <f>IFERROR(__xludf.DUMMYFUNCTION("""COMPUTED_VALUE"""),0.5833333333333333)</f>
        <v>0.5833333333</v>
      </c>
      <c r="R908" s="82">
        <f>IFERROR(__xludf.DUMMYFUNCTION("""COMPUTED_VALUE"""),1.25)</f>
        <v>1.25</v>
      </c>
      <c r="S908" s="82">
        <f>IFERROR(__xludf.DUMMYFUNCTION("""COMPUTED_VALUE"""),2.583333333333333)</f>
        <v>2.583333333</v>
      </c>
      <c r="T908" s="82">
        <f>IFERROR(__xludf.DUMMYFUNCTION("""COMPUTED_VALUE"""),373.8263395380786)</f>
        <v>373.8263395</v>
      </c>
      <c r="U908" s="82">
        <f>IFERROR(__xludf.DUMMYFUNCTION("""COMPUTED_VALUE"""),0.8528732137427788)</f>
        <v>0.8528732137</v>
      </c>
      <c r="V908" s="82">
        <f>IFERROR(__xludf.DUMMYFUNCTION("""COMPUTED_VALUE"""),0.6561702588876501)</f>
        <v>0.6561702589</v>
      </c>
      <c r="W908" s="82">
        <f>IFERROR(__xludf.DUMMYFUNCTION("""COMPUTED_VALUE"""),1.4425100503361374)</f>
        <v>1.44251005</v>
      </c>
      <c r="X908" s="82">
        <f>IFERROR(__xludf.DUMMYFUNCTION("""COMPUTED_VALUE"""),2.6986060437147392)</f>
        <v>2.698606044</v>
      </c>
      <c r="Y908" s="82">
        <f>IFERROR(__xludf.DUMMYFUNCTION("""COMPUTED_VALUE"""),375.1708848143268)</f>
        <v>375.1708848</v>
      </c>
      <c r="Z908" s="82">
        <f>IFERROR(__xludf.DUMMYFUNCTION("""COMPUTED_VALUE"""),0.8485162194220167)</f>
        <v>0.8485162194</v>
      </c>
      <c r="AA908" s="82">
        <f>IFERROR(__xludf.DUMMYFUNCTION("""COMPUTED_VALUE"""),0.6443805952501606)</f>
        <v>0.6443805953</v>
      </c>
      <c r="AB908" s="82">
        <f>IFERROR(__xludf.DUMMYFUNCTION("""COMPUTED_VALUE"""),1.445289676775184)</f>
        <v>1.445289677</v>
      </c>
      <c r="AC908" s="82">
        <f>IFERROR(__xludf.DUMMYFUNCTION("""COMPUTED_VALUE"""),2.698936597487323)</f>
        <v>2.698936597</v>
      </c>
      <c r="AD908" s="82">
        <f>IFERROR(__xludf.DUMMYFUNCTION("""COMPUTED_VALUE"""),0.7656510982779511)</f>
        <v>0.7656510983</v>
      </c>
      <c r="AE908" s="82">
        <f>IFERROR(__xludf.DUMMYFUNCTION("""COMPUTED_VALUE"""),0.7365799093690052)</f>
        <v>0.7365799094</v>
      </c>
      <c r="AF908" s="82">
        <f>IFERROR(__xludf.DUMMYFUNCTION("""COMPUTED_VALUE"""),1.1639084192298434)</f>
        <v>1.163908419</v>
      </c>
      <c r="AG908" s="82">
        <f>IFERROR(__xludf.DUMMYFUNCTION("""COMPUTED_VALUE"""),0.7783906701043951)</f>
        <v>0.7783906701</v>
      </c>
      <c r="AH908" s="82">
        <f>IFERROR(__xludf.DUMMYFUNCTION("""COMPUTED_VALUE"""),0.4631453740572249)</f>
        <v>0.4631453741</v>
      </c>
      <c r="AI908" s="82">
        <f>IFERROR(__xludf.DUMMYFUNCTION("""COMPUTED_VALUE"""),0.9416136926973939)</f>
        <v>0.9416136927</v>
      </c>
      <c r="AJ908" s="82">
        <f>IFERROR(__xludf.DUMMYFUNCTION("""COMPUTED_VALUE"""),1.0259438166197286)</f>
        <v>1.025943817</v>
      </c>
      <c r="AK908" s="82">
        <f>IFERROR(__xludf.DUMMYFUNCTION("""COMPUTED_VALUE"""),0.8889969111404239)</f>
        <v>0.8889969111</v>
      </c>
      <c r="AL908" s="82">
        <f>IFERROR(__xludf.DUMMYFUNCTION("""COMPUTED_VALUE"""),0.8665450890333289)</f>
        <v>0.866545089</v>
      </c>
      <c r="AM908" s="82">
        <f>IFERROR(__xludf.DUMMYFUNCTION("""COMPUTED_VALUE"""),0.9572843503223135)</f>
        <v>0.9572843503</v>
      </c>
      <c r="AN908" s="82">
        <f>IFERROR(__xludf.DUMMYFUNCTION("""COMPUTED_VALUE"""),0.8193329783692858)</f>
        <v>0.8193329784</v>
      </c>
      <c r="AO908" s="82">
        <f>IFERROR(__xludf.DUMMYFUNCTION("""COMPUTED_VALUE"""),0.8816583578757595)</f>
        <v>0.8816583579</v>
      </c>
      <c r="AP908" s="82">
        <f>IFERROR(__xludf.DUMMYFUNCTION("""COMPUTED_VALUE"""),1.3137648467717025)</f>
        <v>1.313764847</v>
      </c>
      <c r="AQ908" s="82">
        <f>IFERROR(__xludf.DUMMYFUNCTION("""COMPUTED_VALUE"""),0.7892307975929963)</f>
        <v>0.7892307976</v>
      </c>
      <c r="AR908" s="82">
        <f>IFERROR(__xludf.DUMMYFUNCTION("""COMPUTED_VALUE"""),0.4986613340607291)</f>
        <v>0.4986613341</v>
      </c>
      <c r="AS908" s="82">
        <f>IFERROR(__xludf.DUMMYFUNCTION("""COMPUTED_VALUE"""),20.0)</f>
        <v>20</v>
      </c>
      <c r="AT908" s="82">
        <f>IFERROR(__xludf.DUMMYFUNCTION("""COMPUTED_VALUE"""),0.480513474921211)</f>
        <v>0.4805134749</v>
      </c>
      <c r="AU908" s="82">
        <f>IFERROR(__xludf.DUMMYFUNCTION("""COMPUTED_VALUE"""),1.8015128511817748)</f>
        <v>1.801512851</v>
      </c>
      <c r="AV908" s="82">
        <f>IFERROR(__xludf.DUMMYFUNCTION("""COMPUTED_VALUE"""),32.966329555520595)</f>
        <v>32.96632956</v>
      </c>
      <c r="AW908" s="82">
        <f t="shared" si="1"/>
        <v>-4.035088601</v>
      </c>
      <c r="AX908" s="83">
        <f t="array" ref="AX908">IFERROR(DGET('SBV Import'!A:G,"SBV",{"RSC ID","Tier";B908,A908}))</f>
        <v>29.8481054</v>
      </c>
      <c r="AY908" s="82">
        <f t="shared" si="2"/>
        <v>-4.759647856</v>
      </c>
      <c r="AZ908" s="82">
        <v>0.7245592556494476</v>
      </c>
      <c r="BA908" s="84">
        <v>800.0</v>
      </c>
      <c r="BB908" s="84" t="b">
        <f>IFERROR(__xludf.DUMMYFUNCTION("iferror(if(A908="""",,E908&gt;=FILTER(Constants!$F$2:$F$10,Constants!$A$2:$A$10=A908)))"),TRUE)</f>
        <v>1</v>
      </c>
    </row>
    <row r="909">
      <c r="A909" s="80" t="str">
        <f>IFERROR(__xludf.DUMMYFUNCTION("""COMPUTED_VALUE"""),"Elite")</f>
        <v>Elite</v>
      </c>
      <c r="B909" s="73" t="str">
        <f>IFERROR(__xludf.DUMMYFUNCTION("""COMPUTED_VALUE"""),"RSC005709")</f>
        <v>RSC005709</v>
      </c>
      <c r="C909" s="73" t="str">
        <f>IFERROR(__xludf.DUMMYFUNCTION("""COMPUTED_VALUE"""),"ZavaRL")</f>
        <v>ZavaRL</v>
      </c>
      <c r="D909" s="73" t="str">
        <f>IFERROR(__xludf.DUMMYFUNCTION("""COMPUTED_VALUE"""),"Orochi")</f>
        <v>Orochi</v>
      </c>
      <c r="E909" s="82">
        <f>IFERROR(__xludf.DUMMYFUNCTION("""COMPUTED_VALUE"""),21.0)</f>
        <v>21</v>
      </c>
      <c r="F909" s="82">
        <f>IFERROR(__xludf.DUMMYFUNCTION("""COMPUTED_VALUE"""),10.0)</f>
        <v>10</v>
      </c>
      <c r="G909" s="82">
        <f>IFERROR(__xludf.DUMMYFUNCTION("""COMPUTED_VALUE"""),11.0)</f>
        <v>11</v>
      </c>
      <c r="H909" s="86">
        <f>IFERROR(__xludf.DUMMYFUNCTION("""COMPUTED_VALUE"""),0.47619047619047616)</f>
        <v>0.4761904762</v>
      </c>
      <c r="I909" s="86">
        <f>IFERROR(__xludf.DUMMYFUNCTION("""COMPUTED_VALUE"""),0.14285714285714285)</f>
        <v>0.1428571429</v>
      </c>
      <c r="J909" s="82">
        <f>IFERROR(__xludf.DUMMYFUNCTION("""COMPUTED_VALUE"""),284.85714285714283)</f>
        <v>284.8571429</v>
      </c>
      <c r="K909" s="82">
        <f>IFERROR(__xludf.DUMMYFUNCTION("""COMPUTED_VALUE"""),0.2857142857142857)</f>
        <v>0.2857142857</v>
      </c>
      <c r="L909" s="82">
        <f>IFERROR(__xludf.DUMMYFUNCTION("""COMPUTED_VALUE"""),0.8095238095238095)</f>
        <v>0.8095238095</v>
      </c>
      <c r="M909" s="82">
        <f>IFERROR(__xludf.DUMMYFUNCTION("""COMPUTED_VALUE"""),1.1428571428571428)</f>
        <v>1.142857143</v>
      </c>
      <c r="N909" s="82">
        <f>IFERROR(__xludf.DUMMYFUNCTION("""COMPUTED_VALUE"""),2.0)</f>
        <v>2</v>
      </c>
      <c r="O909" s="82">
        <f>IFERROR(__xludf.DUMMYFUNCTION("""COMPUTED_VALUE"""),344.9682539682539)</f>
        <v>344.968254</v>
      </c>
      <c r="P909" s="82">
        <f>IFERROR(__xludf.DUMMYFUNCTION("""COMPUTED_VALUE"""),0.6825396825396826)</f>
        <v>0.6825396825</v>
      </c>
      <c r="Q909" s="82">
        <f>IFERROR(__xludf.DUMMYFUNCTION("""COMPUTED_VALUE"""),0.4920634920634921)</f>
        <v>0.4920634921</v>
      </c>
      <c r="R909" s="82">
        <f>IFERROR(__xludf.DUMMYFUNCTION("""COMPUTED_VALUE"""),1.3650793650793651)</f>
        <v>1.365079365</v>
      </c>
      <c r="S909" s="82">
        <f>IFERROR(__xludf.DUMMYFUNCTION("""COMPUTED_VALUE"""),2.4444444444444446)</f>
        <v>2.444444444</v>
      </c>
      <c r="T909" s="82">
        <f>IFERROR(__xludf.DUMMYFUNCTION("""COMPUTED_VALUE"""),349.5015246903268)</f>
        <v>349.5015247</v>
      </c>
      <c r="U909" s="82">
        <f>IFERROR(__xludf.DUMMYFUNCTION("""COMPUTED_VALUE"""),0.7413616395134641)</f>
        <v>0.7413616395</v>
      </c>
      <c r="V909" s="82">
        <f>IFERROR(__xludf.DUMMYFUNCTION("""COMPUTED_VALUE"""),0.5389506693061239)</f>
        <v>0.5389506693</v>
      </c>
      <c r="W909" s="82">
        <f>IFERROR(__xludf.DUMMYFUNCTION("""COMPUTED_VALUE"""),1.3352108004216152)</f>
        <v>1.3352108</v>
      </c>
      <c r="X909" s="82">
        <f>IFERROR(__xludf.DUMMYFUNCTION("""COMPUTED_VALUE"""),2.618612721881299)</f>
        <v>2.618612722</v>
      </c>
      <c r="Y909" s="82">
        <f>IFERROR(__xludf.DUMMYFUNCTION("""COMPUTED_VALUE"""),361.2353061522644)</f>
        <v>361.2353062</v>
      </c>
      <c r="Z909" s="82">
        <f>IFERROR(__xludf.DUMMYFUNCTION("""COMPUTED_VALUE"""),0.7779357972904327)</f>
        <v>0.7779357973</v>
      </c>
      <c r="AA909" s="82">
        <f>IFERROR(__xludf.DUMMYFUNCTION("""COMPUTED_VALUE"""),0.5828857270300203)</f>
        <v>0.582885727</v>
      </c>
      <c r="AB909" s="82">
        <f>IFERROR(__xludf.DUMMYFUNCTION("""COMPUTED_VALUE"""),1.4205396191901205)</f>
        <v>1.420539619</v>
      </c>
      <c r="AC909" s="82">
        <f>IFERROR(__xludf.DUMMYFUNCTION("""COMPUTED_VALUE"""),2.619469379130154)</f>
        <v>2.619469379</v>
      </c>
      <c r="AD909" s="82">
        <f>IFERROR(__xludf.DUMMYFUNCTION("""COMPUTED_VALUE"""),0.7885639581892713)</f>
        <v>0.7885639582</v>
      </c>
      <c r="AE909" s="82">
        <f>IFERROR(__xludf.DUMMYFUNCTION("""COMPUTED_VALUE"""),0.36727232081289324)</f>
        <v>0.3672723208</v>
      </c>
      <c r="AF909" s="82">
        <f>IFERROR(__xludf.DUMMYFUNCTION("""COMPUTED_VALUE"""),1.3888207790720475)</f>
        <v>1.388820779</v>
      </c>
      <c r="AG909" s="82">
        <f>IFERROR(__xludf.DUMMYFUNCTION("""COMPUTED_VALUE"""),0.8045232441378225)</f>
        <v>0.8045232441</v>
      </c>
      <c r="AH909" s="82">
        <f>IFERROR(__xludf.DUMMYFUNCTION("""COMPUTED_VALUE"""),0.7635134107443314)</f>
        <v>0.7635134107</v>
      </c>
      <c r="AI909" s="82">
        <f>IFERROR(__xludf.DUMMYFUNCTION("""COMPUTED_VALUE"""),0.9870293249046923)</f>
        <v>0.9870293249</v>
      </c>
      <c r="AJ909" s="82">
        <f>IFERROR(__xludf.DUMMYFUNCTION("""COMPUTED_VALUE"""),0.92065686456021)</f>
        <v>0.9206568646</v>
      </c>
      <c r="AK909" s="82">
        <f>IFERROR(__xludf.DUMMYFUNCTION("""COMPUTED_VALUE"""),0.9130028406811387)</f>
        <v>0.9130028407</v>
      </c>
      <c r="AL909" s="82">
        <f>IFERROR(__xludf.DUMMYFUNCTION("""COMPUTED_VALUE"""),1.0223699243956972)</f>
        <v>1.022369924</v>
      </c>
      <c r="AM909" s="82">
        <f>IFERROR(__xludf.DUMMYFUNCTION("""COMPUTED_VALUE"""),0.9334883406081805)</f>
        <v>0.9334883406</v>
      </c>
      <c r="AN909" s="82">
        <f>IFERROR(__xludf.DUMMYFUNCTION("""COMPUTED_VALUE"""),0.812507750276442)</f>
        <v>0.8125077503</v>
      </c>
      <c r="AO909" s="82">
        <f>IFERROR(__xludf.DUMMYFUNCTION("""COMPUTED_VALUE"""),0.40304382074320433)</f>
        <v>0.4030438207</v>
      </c>
      <c r="AP909" s="82">
        <f>IFERROR(__xludf.DUMMYFUNCTION("""COMPUTED_VALUE"""),1.41803189810279)</f>
        <v>1.418031898</v>
      </c>
      <c r="AQ909" s="82">
        <f>IFERROR(__xludf.DUMMYFUNCTION("""COMPUTED_VALUE"""),0.801758270570663)</f>
        <v>0.8017582706</v>
      </c>
      <c r="AR909" s="82">
        <f>IFERROR(__xludf.DUMMYFUNCTION("""COMPUTED_VALUE"""),0.7978581344971665)</f>
        <v>0.7978581345</v>
      </c>
      <c r="AS909" s="82">
        <f>IFERROR(__xludf.DUMMYFUNCTION("""COMPUTED_VALUE"""),41.0)</f>
        <v>41</v>
      </c>
      <c r="AT909" s="82">
        <f>IFERROR(__xludf.DUMMYFUNCTION("""COMPUTED_VALUE"""),0.4822821043999863)</f>
        <v>0.4822821044</v>
      </c>
      <c r="AU909" s="82">
        <f>IFERROR(__xludf.DUMMYFUNCTION("""COMPUTED_VALUE"""),1.7955850866738001)</f>
        <v>1.795585087</v>
      </c>
      <c r="AV909" s="82">
        <f>IFERROR(__xludf.DUMMYFUNCTION("""COMPUTED_VALUE"""),32.79582207471278)</f>
        <v>32.79582207</v>
      </c>
      <c r="AW909" s="82">
        <f t="shared" si="1"/>
        <v>-4.070438542</v>
      </c>
      <c r="AX909" s="83">
        <f t="array" ref="AX909">IFERROR(DGET('SBV Import'!A:G,"SBV",{"RSC ID","Tier";B909,A909}))</f>
        <v>40.8391199</v>
      </c>
      <c r="AY909" s="82">
        <f t="shared" si="2"/>
        <v>-2.80096214</v>
      </c>
      <c r="AZ909" s="82">
        <v>1.2694764023634417</v>
      </c>
      <c r="BA909" s="84">
        <v>800.0</v>
      </c>
      <c r="BB909" s="84" t="b">
        <f>IFERROR(__xludf.DUMMYFUNCTION("iferror(if(A909="""",,E909&gt;=FILTER(Constants!$F$2:$F$10,Constants!$A$2:$A$10=A909)))"),TRUE)</f>
        <v>1</v>
      </c>
    </row>
    <row r="910">
      <c r="A910" s="80" t="str">
        <f>IFERROR(__xludf.DUMMYFUNCTION("""COMPUTED_VALUE"""),"Elite")</f>
        <v>Elite</v>
      </c>
      <c r="B910" s="73" t="str">
        <f>IFERROR(__xludf.DUMMYFUNCTION("""COMPUTED_VALUE"""),"RSC004734")</f>
        <v>RSC004734</v>
      </c>
      <c r="C910" s="73" t="str">
        <f>IFERROR(__xludf.DUMMYFUNCTION("""COMPUTED_VALUE"""),"siiderij23")</f>
        <v>siiderij23</v>
      </c>
      <c r="D910" s="73"/>
      <c r="E910" s="82">
        <f>IFERROR(__xludf.DUMMYFUNCTION("""COMPUTED_VALUE"""),4.0)</f>
        <v>4</v>
      </c>
      <c r="F910" s="82">
        <f>IFERROR(__xludf.DUMMYFUNCTION("""COMPUTED_VALUE"""),1.0)</f>
        <v>1</v>
      </c>
      <c r="G910" s="82">
        <f>IFERROR(__xludf.DUMMYFUNCTION("""COMPUTED_VALUE"""),3.0)</f>
        <v>3</v>
      </c>
      <c r="H910" s="86">
        <f>IFERROR(__xludf.DUMMYFUNCTION("""COMPUTED_VALUE"""),0.25)</f>
        <v>0.25</v>
      </c>
      <c r="I910" s="86">
        <f>IFERROR(__xludf.DUMMYFUNCTION("""COMPUTED_VALUE"""),0.2222222222222222)</f>
        <v>0.2222222222</v>
      </c>
      <c r="J910" s="82">
        <f>IFERROR(__xludf.DUMMYFUNCTION("""COMPUTED_VALUE"""),305.0)</f>
        <v>305</v>
      </c>
      <c r="K910" s="82">
        <f>IFERROR(__xludf.DUMMYFUNCTION("""COMPUTED_VALUE"""),0.5)</f>
        <v>0.5</v>
      </c>
      <c r="L910" s="82">
        <f>IFERROR(__xludf.DUMMYFUNCTION("""COMPUTED_VALUE"""),0.25)</f>
        <v>0.25</v>
      </c>
      <c r="M910" s="82">
        <f>IFERROR(__xludf.DUMMYFUNCTION("""COMPUTED_VALUE"""),1.75)</f>
        <v>1.75</v>
      </c>
      <c r="N910" s="82">
        <f>IFERROR(__xludf.DUMMYFUNCTION("""COMPUTED_VALUE"""),2.25)</f>
        <v>2.25</v>
      </c>
      <c r="O910" s="82">
        <f>IFERROR(__xludf.DUMMYFUNCTION("""COMPUTED_VALUE"""),308.5833333333333)</f>
        <v>308.5833333</v>
      </c>
      <c r="P910" s="82">
        <f>IFERROR(__xludf.DUMMYFUNCTION("""COMPUTED_VALUE"""),0.75)</f>
        <v>0.75</v>
      </c>
      <c r="Q910" s="82">
        <f>IFERROR(__xludf.DUMMYFUNCTION("""COMPUTED_VALUE"""),0.3333333333333333)</f>
        <v>0.3333333333</v>
      </c>
      <c r="R910" s="82">
        <f>IFERROR(__xludf.DUMMYFUNCTION("""COMPUTED_VALUE"""),1.1666666666666665)</f>
        <v>1.166666667</v>
      </c>
      <c r="S910" s="82">
        <f>IFERROR(__xludf.DUMMYFUNCTION("""COMPUTED_VALUE"""),2.666666666666667)</f>
        <v>2.666666667</v>
      </c>
      <c r="T910" s="82">
        <f>IFERROR(__xludf.DUMMYFUNCTION("""COMPUTED_VALUE"""),363.5000626566416)</f>
        <v>363.5000627</v>
      </c>
      <c r="U910" s="82">
        <f>IFERROR(__xludf.DUMMYFUNCTION("""COMPUTED_VALUE"""),0.7706279587858536)</f>
        <v>0.7706279588</v>
      </c>
      <c r="V910" s="82">
        <f>IFERROR(__xludf.DUMMYFUNCTION("""COMPUTED_VALUE"""),0.5169869117237539)</f>
        <v>0.5169869117</v>
      </c>
      <c r="W910" s="82">
        <f>IFERROR(__xludf.DUMMYFUNCTION("""COMPUTED_VALUE"""),1.4929406850459481)</f>
        <v>1.492940685</v>
      </c>
      <c r="X910" s="82">
        <f>IFERROR(__xludf.DUMMYFUNCTION("""COMPUTED_VALUE"""),2.6998746867167926)</f>
        <v>2.699874687</v>
      </c>
      <c r="Y910" s="82">
        <f>IFERROR(__xludf.DUMMYFUNCTION("""COMPUTED_VALUE"""),348.0274691358025)</f>
        <v>348.0274691</v>
      </c>
      <c r="Z910" s="82">
        <f>IFERROR(__xludf.DUMMYFUNCTION("""COMPUTED_VALUE"""),0.6669126520003712)</f>
        <v>0.666912652</v>
      </c>
      <c r="AA910" s="82">
        <f>IFERROR(__xludf.DUMMYFUNCTION("""COMPUTED_VALUE"""),0.5324143692564745)</f>
        <v>0.5324143693</v>
      </c>
      <c r="AB910" s="82">
        <f>IFERROR(__xludf.DUMMYFUNCTION("""COMPUTED_VALUE"""),1.4515826603545903)</f>
        <v>1.45158266</v>
      </c>
      <c r="AC910" s="82">
        <f>IFERROR(__xludf.DUMMYFUNCTION("""COMPUTED_VALUE"""),2.5435138772858075)</f>
        <v>2.543513877</v>
      </c>
      <c r="AD910" s="82">
        <f>IFERROR(__xludf.DUMMYFUNCTION("""COMPUTED_VALUE"""),0.8763676061471661)</f>
        <v>0.8763676061</v>
      </c>
      <c r="AE910" s="82">
        <f>IFERROR(__xludf.DUMMYFUNCTION("""COMPUTED_VALUE"""),0.7497233685704942)</f>
        <v>0.7497233686</v>
      </c>
      <c r="AF910" s="82">
        <f>IFERROR(__xludf.DUMMYFUNCTION("""COMPUTED_VALUE"""),0.46955907735760244)</f>
        <v>0.4695590774</v>
      </c>
      <c r="AG910" s="82">
        <f>IFERROR(__xludf.DUMMYFUNCTION("""COMPUTED_VALUE"""),1.205580672596704)</f>
        <v>1.205580673</v>
      </c>
      <c r="AH910" s="82">
        <f>IFERROR(__xludf.DUMMYFUNCTION("""COMPUTED_VALUE"""),0.8846029974882554)</f>
        <v>0.8846029975</v>
      </c>
      <c r="AI910" s="82">
        <f>IFERROR(__xludf.DUMMYFUNCTION("""COMPUTED_VALUE"""),0.8489223662798043)</f>
        <v>0.8489223663</v>
      </c>
      <c r="AJ910" s="82">
        <f>IFERROR(__xludf.DUMMYFUNCTION("""COMPUTED_VALUE"""),0.9732322730434625)</f>
        <v>0.973232273</v>
      </c>
      <c r="AK910" s="82">
        <f>IFERROR(__xludf.DUMMYFUNCTION("""COMPUTED_VALUE"""),0.6447616482628601)</f>
        <v>0.6447616483</v>
      </c>
      <c r="AL910" s="82">
        <f>IFERROR(__xludf.DUMMYFUNCTION("""COMPUTED_VALUE"""),0.781455471307462)</f>
        <v>0.7814554713</v>
      </c>
      <c r="AM910" s="82">
        <f>IFERROR(__xludf.DUMMYFUNCTION("""COMPUTED_VALUE"""),0.9877001624506845)</f>
        <v>0.9877001625</v>
      </c>
      <c r="AN910" s="82">
        <f>IFERROR(__xludf.DUMMYFUNCTION("""COMPUTED_VALUE"""),0.8699619091475445)</f>
        <v>0.8699619091</v>
      </c>
      <c r="AO910" s="82">
        <f>IFERROR(__xludf.DUMMYFUNCTION("""COMPUTED_VALUE"""),0.7053266863006076)</f>
        <v>0.7053266863</v>
      </c>
      <c r="AP910" s="82">
        <f>IFERROR(__xludf.DUMMYFUNCTION("""COMPUTED_VALUE"""),0.43792161559056747)</f>
        <v>0.4379216156</v>
      </c>
      <c r="AQ910" s="82">
        <f>IFERROR(__xludf.DUMMYFUNCTION("""COMPUTED_VALUE"""),1.2276923518113276)</f>
        <v>1.227692352</v>
      </c>
      <c r="AR910" s="82">
        <f>IFERROR(__xludf.DUMMYFUNCTION("""COMPUTED_VALUE"""),0.8975904013093123)</f>
        <v>0.8975904013</v>
      </c>
      <c r="AS910" s="82">
        <f>IFERROR(__xludf.DUMMYFUNCTION("""COMPUTED_VALUE"""),6.0)</f>
        <v>6</v>
      </c>
      <c r="AT910" s="82">
        <f>IFERROR(__xludf.DUMMYFUNCTION("""COMPUTED_VALUE"""),0.35605765700782405)</f>
        <v>0.356057657</v>
      </c>
      <c r="AU910" s="82">
        <f>IFERROR(__xludf.DUMMYFUNCTION("""COMPUTED_VALUE"""),1.7636458935230133)</f>
        <v>1.763645894</v>
      </c>
      <c r="AV910" s="82">
        <f>IFERROR(__xludf.DUMMYFUNCTION("""COMPUTED_VALUE"""),31.877116320486458)</f>
        <v>31.87711632</v>
      </c>
      <c r="AW910" s="82">
        <f t="shared" si="1"/>
        <v>-4.268907308</v>
      </c>
      <c r="AX910" s="83">
        <f t="array" ref="AX910">IFERROR(DGET('SBV Import'!A:G,"SBV",{"RSC ID","Tier";B910,A910}))</f>
        <v>30.38483439</v>
      </c>
      <c r="AY910" s="82">
        <f t="shared" si="2"/>
        <v>-4.622308354</v>
      </c>
      <c r="AZ910" s="82">
        <v>0.35340104654934734</v>
      </c>
      <c r="BA910" s="84">
        <v>800.0</v>
      </c>
      <c r="BB910" s="84" t="b">
        <f>IFERROR(__xludf.DUMMYFUNCTION("iferror(if(A910="""",,E910&gt;=FILTER(Constants!$F$2:$F$10,Constants!$A$2:$A$10=A910)))"),TRUE)</f>
        <v>1</v>
      </c>
    </row>
    <row r="911">
      <c r="A911" s="80" t="str">
        <f>IFERROR(__xludf.DUMMYFUNCTION("""COMPUTED_VALUE"""),"Elite")</f>
        <v>Elite</v>
      </c>
      <c r="B911" s="73" t="str">
        <f>IFERROR(__xludf.DUMMYFUNCTION("""COMPUTED_VALUE"""),"RSC005308")</f>
        <v>RSC005308</v>
      </c>
      <c r="C911" s="73" t="str">
        <f>IFERROR(__xludf.DUMMYFUNCTION("""COMPUTED_VALUE"""),"6 lbs of Yeet")</f>
        <v>6 lbs of Yeet</v>
      </c>
      <c r="D911" s="73" t="str">
        <f>IFERROR(__xludf.DUMMYFUNCTION("""COMPUTED_VALUE"""),"Pixel Picassos")</f>
        <v>Pixel Picassos</v>
      </c>
      <c r="E911" s="82">
        <f>IFERROR(__xludf.DUMMYFUNCTION("""COMPUTED_VALUE"""),29.0)</f>
        <v>29</v>
      </c>
      <c r="F911" s="82">
        <f>IFERROR(__xludf.DUMMYFUNCTION("""COMPUTED_VALUE"""),8.0)</f>
        <v>8</v>
      </c>
      <c r="G911" s="82">
        <f>IFERROR(__xludf.DUMMYFUNCTION("""COMPUTED_VALUE"""),21.0)</f>
        <v>21</v>
      </c>
      <c r="H911" s="86">
        <f>IFERROR(__xludf.DUMMYFUNCTION("""COMPUTED_VALUE"""),0.27586206896551724)</f>
        <v>0.275862069</v>
      </c>
      <c r="I911" s="86">
        <f>IFERROR(__xludf.DUMMYFUNCTION("""COMPUTED_VALUE"""),0.24590163934426232)</f>
        <v>0.2459016393</v>
      </c>
      <c r="J911" s="82">
        <f>IFERROR(__xludf.DUMMYFUNCTION("""COMPUTED_VALUE"""),328.62068965517244)</f>
        <v>328.6206897</v>
      </c>
      <c r="K911" s="82">
        <f>IFERROR(__xludf.DUMMYFUNCTION("""COMPUTED_VALUE"""),0.5172413793103449)</f>
        <v>0.5172413793</v>
      </c>
      <c r="L911" s="82">
        <f>IFERROR(__xludf.DUMMYFUNCTION("""COMPUTED_VALUE"""),0.4482758620689655)</f>
        <v>0.4482758621</v>
      </c>
      <c r="M911" s="82">
        <f>IFERROR(__xludf.DUMMYFUNCTION("""COMPUTED_VALUE"""),1.8275862068965518)</f>
        <v>1.827586207</v>
      </c>
      <c r="N911" s="82">
        <f>IFERROR(__xludf.DUMMYFUNCTION("""COMPUTED_VALUE"""),2.103448275862069)</f>
        <v>2.103448276</v>
      </c>
      <c r="O911" s="82">
        <f>IFERROR(__xludf.DUMMYFUNCTION("""COMPUTED_VALUE"""),378.448275862069)</f>
        <v>378.4482759</v>
      </c>
      <c r="P911" s="82">
        <f>IFERROR(__xludf.DUMMYFUNCTION("""COMPUTED_VALUE"""),0.9770114942528738)</f>
        <v>0.9770114943</v>
      </c>
      <c r="Q911" s="82">
        <f>IFERROR(__xludf.DUMMYFUNCTION("""COMPUTED_VALUE"""),0.7126436781609194)</f>
        <v>0.7126436782</v>
      </c>
      <c r="R911" s="82">
        <f>IFERROR(__xludf.DUMMYFUNCTION("""COMPUTED_VALUE"""),1.1954022988505746)</f>
        <v>1.195402299</v>
      </c>
      <c r="S911" s="82">
        <f>IFERROR(__xludf.DUMMYFUNCTION("""COMPUTED_VALUE"""),3.172413793103449)</f>
        <v>3.172413793</v>
      </c>
      <c r="T911" s="82">
        <f>IFERROR(__xludf.DUMMYFUNCTION("""COMPUTED_VALUE"""),369.1589634890485)</f>
        <v>369.1589635</v>
      </c>
      <c r="U911" s="82">
        <f>IFERROR(__xludf.DUMMYFUNCTION("""COMPUTED_VALUE"""),0.8749290385571366)</f>
        <v>0.8749290386</v>
      </c>
      <c r="V911" s="82">
        <f>IFERROR(__xludf.DUMMYFUNCTION("""COMPUTED_VALUE"""),0.6512214573946721)</f>
        <v>0.6512214574</v>
      </c>
      <c r="W911" s="82">
        <f>IFERROR(__xludf.DUMMYFUNCTION("""COMPUTED_VALUE"""),1.289248196779421)</f>
        <v>1.289248197</v>
      </c>
      <c r="X911" s="82">
        <f>IFERROR(__xludf.DUMMYFUNCTION("""COMPUTED_VALUE"""),2.895050039983104)</f>
        <v>2.89505004</v>
      </c>
      <c r="Y911" s="82">
        <f>IFERROR(__xludf.DUMMYFUNCTION("""COMPUTED_VALUE"""),354.05080716841485)</f>
        <v>354.0508072</v>
      </c>
      <c r="Z911" s="82">
        <f>IFERROR(__xludf.DUMMYFUNCTION("""COMPUTED_VALUE"""),0.7002834513800645)</f>
        <v>0.7002834514</v>
      </c>
      <c r="AA911" s="82">
        <f>IFERROR(__xludf.DUMMYFUNCTION("""COMPUTED_VALUE"""),0.5249376447778594)</f>
        <v>0.5249376448</v>
      </c>
      <c r="AB911" s="82">
        <f>IFERROR(__xludf.DUMMYFUNCTION("""COMPUTED_VALUE"""),1.5326347260018225)</f>
        <v>1.532634726</v>
      </c>
      <c r="AC911" s="82">
        <f>IFERROR(__xludf.DUMMYFUNCTION("""COMPUTED_VALUE"""),2.4402487193781504)</f>
        <v>2.440248719</v>
      </c>
      <c r="AD911" s="82">
        <f>IFERROR(__xludf.DUMMYFUNCTION("""COMPUTED_VALUE"""),0.9281738185639955)</f>
        <v>0.9281738186</v>
      </c>
      <c r="AE911" s="82">
        <f>IFERROR(__xludf.DUMMYFUNCTION("""COMPUTED_VALUE"""),0.7386171675069653)</f>
        <v>0.7386171675</v>
      </c>
      <c r="AF911" s="82">
        <f>IFERROR(__xludf.DUMMYFUNCTION("""COMPUTED_VALUE"""),0.8539602113288421)</f>
        <v>0.8539602113</v>
      </c>
      <c r="AG911" s="82">
        <f>IFERROR(__xludf.DUMMYFUNCTION("""COMPUTED_VALUE"""),1.1924473430562075)</f>
        <v>1.192447343</v>
      </c>
      <c r="AH911" s="82">
        <f>IFERROR(__xludf.DUMMYFUNCTION("""COMPUTED_VALUE"""),0.8619811001880544)</f>
        <v>0.8619811002</v>
      </c>
      <c r="AI911" s="82">
        <f>IFERROR(__xludf.DUMMYFUNCTION("""COMPUTED_VALUE"""),1.0251634479770557)</f>
        <v>1.025163448</v>
      </c>
      <c r="AJ911" s="82">
        <f>IFERROR(__xludf.DUMMYFUNCTION("""COMPUTED_VALUE"""),1.116675125864017)</f>
        <v>1.116675126</v>
      </c>
      <c r="AK911" s="82">
        <f>IFERROR(__xludf.DUMMYFUNCTION("""COMPUTED_VALUE"""),1.094318484240335)</f>
        <v>1.094318484</v>
      </c>
      <c r="AL911" s="82">
        <f>IFERROR(__xludf.DUMMYFUNCTION("""COMPUTED_VALUE"""),0.9272088197111494)</f>
        <v>0.9272088197</v>
      </c>
      <c r="AM911" s="82">
        <f>IFERROR(__xludf.DUMMYFUNCTION("""COMPUTED_VALUE"""),1.0958062034471652)</f>
        <v>1.095806203</v>
      </c>
      <c r="AN911" s="82">
        <f>IFERROR(__xludf.DUMMYFUNCTION("""COMPUTED_VALUE"""),0.9373360083862181)</f>
        <v>0.9373360084</v>
      </c>
      <c r="AO911" s="82">
        <f>IFERROR(__xludf.DUMMYFUNCTION("""COMPUTED_VALUE"""),0.7296482961730424)</f>
        <v>0.7296482962</v>
      </c>
      <c r="AP911" s="82">
        <f>IFERROR(__xludf.DUMMYFUNCTION("""COMPUTED_VALUE"""),0.7852387589899831)</f>
        <v>0.785238759</v>
      </c>
      <c r="AQ911" s="82">
        <f>IFERROR(__xludf.DUMMYFUNCTION("""COMPUTED_VALUE"""),1.282122061990155)</f>
        <v>1.282122062</v>
      </c>
      <c r="AR911" s="82">
        <f>IFERROR(__xludf.DUMMYFUNCTION("""COMPUTED_VALUE"""),0.8391266586952958)</f>
        <v>0.8391266587</v>
      </c>
      <c r="AS911" s="82">
        <f>IFERROR(__xludf.DUMMYFUNCTION("""COMPUTED_VALUE"""),53.0)</f>
        <v>53</v>
      </c>
      <c r="AT911" s="82">
        <f>IFERROR(__xludf.DUMMYFUNCTION("""COMPUTED_VALUE"""),0.3231986052872916)</f>
        <v>0.3231986053</v>
      </c>
      <c r="AU911" s="82">
        <f>IFERROR(__xludf.DUMMYFUNCTION("""COMPUTED_VALUE"""),1.750910185893096)</f>
        <v>1.750910186</v>
      </c>
      <c r="AV911" s="82">
        <f>IFERROR(__xludf.DUMMYFUNCTION("""COMPUTED_VALUE"""),31.51078371375745)</f>
        <v>31.51078371</v>
      </c>
      <c r="AW911" s="82">
        <f t="shared" si="1"/>
        <v>-4.351972105</v>
      </c>
      <c r="AX911" s="83">
        <f t="array" ref="AX911">IFERROR(DGET('SBV Import'!A:G,"SBV",{"RSC ID","Tier";B911,A911}))</f>
        <v>25.17212278</v>
      </c>
      <c r="AY911" s="82">
        <f t="shared" si="2"/>
        <v>-6.237255114</v>
      </c>
      <c r="AZ911" s="82">
        <v>1.8852830088896848</v>
      </c>
      <c r="BA911" s="84">
        <v>800.0</v>
      </c>
      <c r="BB911" s="84" t="b">
        <f>IFERROR(__xludf.DUMMYFUNCTION("iferror(if(A911="""",,E911&gt;=FILTER(Constants!$F$2:$F$10,Constants!$A$2:$A$10=A911)))"),TRUE)</f>
        <v>1</v>
      </c>
    </row>
    <row r="912">
      <c r="A912" s="80" t="str">
        <f>IFERROR(__xludf.DUMMYFUNCTION("""COMPUTED_VALUE"""),"Elite")</f>
        <v>Elite</v>
      </c>
      <c r="B912" s="73" t="str">
        <f>IFERROR(__xludf.DUMMYFUNCTION("""COMPUTED_VALUE"""),"RSC003815")</f>
        <v>RSC003815</v>
      </c>
      <c r="C912" s="73" t="str">
        <f>IFERROR(__xludf.DUMMYFUNCTION("""COMPUTED_VALUE"""),"WashedDonk")</f>
        <v>WashedDonk</v>
      </c>
      <c r="D912" s="73" t="str">
        <f>IFERROR(__xludf.DUMMYFUNCTION("""COMPUTED_VALUE"""),"Geeky Ghouls")</f>
        <v>Geeky Ghouls</v>
      </c>
      <c r="E912" s="82">
        <f>IFERROR(__xludf.DUMMYFUNCTION("""COMPUTED_VALUE"""),13.0)</f>
        <v>13</v>
      </c>
      <c r="F912" s="82">
        <f>IFERROR(__xludf.DUMMYFUNCTION("""COMPUTED_VALUE"""),3.0)</f>
        <v>3</v>
      </c>
      <c r="G912" s="82">
        <f>IFERROR(__xludf.DUMMYFUNCTION("""COMPUTED_VALUE"""),10.0)</f>
        <v>10</v>
      </c>
      <c r="H912" s="86">
        <f>IFERROR(__xludf.DUMMYFUNCTION("""COMPUTED_VALUE"""),0.23076923076923078)</f>
        <v>0.2307692308</v>
      </c>
      <c r="I912" s="86">
        <f>IFERROR(__xludf.DUMMYFUNCTION("""COMPUTED_VALUE"""),0.25)</f>
        <v>0.25</v>
      </c>
      <c r="J912" s="82">
        <f>IFERROR(__xludf.DUMMYFUNCTION("""COMPUTED_VALUE"""),343.15384615384613)</f>
        <v>343.1538462</v>
      </c>
      <c r="K912" s="82">
        <f>IFERROR(__xludf.DUMMYFUNCTION("""COMPUTED_VALUE"""),0.6153846153846154)</f>
        <v>0.6153846154</v>
      </c>
      <c r="L912" s="82">
        <f>IFERROR(__xludf.DUMMYFUNCTION("""COMPUTED_VALUE"""),0.3076923076923077)</f>
        <v>0.3076923077</v>
      </c>
      <c r="M912" s="82">
        <f>IFERROR(__xludf.DUMMYFUNCTION("""COMPUTED_VALUE"""),1.6923076923076923)</f>
        <v>1.692307692</v>
      </c>
      <c r="N912" s="82">
        <f>IFERROR(__xludf.DUMMYFUNCTION("""COMPUTED_VALUE"""),2.4615384615384617)</f>
        <v>2.461538462</v>
      </c>
      <c r="O912" s="82">
        <f>IFERROR(__xludf.DUMMYFUNCTION("""COMPUTED_VALUE"""),395.7435897435897)</f>
        <v>395.7435897</v>
      </c>
      <c r="P912" s="82">
        <f>IFERROR(__xludf.DUMMYFUNCTION("""COMPUTED_VALUE"""),0.9487179487179488)</f>
        <v>0.9487179487</v>
      </c>
      <c r="Q912" s="82">
        <f>IFERROR(__xludf.DUMMYFUNCTION("""COMPUTED_VALUE"""),0.641025641025641)</f>
        <v>0.641025641</v>
      </c>
      <c r="R912" s="82">
        <f>IFERROR(__xludf.DUMMYFUNCTION("""COMPUTED_VALUE"""),1.487179487179487)</f>
        <v>1.487179487</v>
      </c>
      <c r="S912" s="82">
        <f>IFERROR(__xludf.DUMMYFUNCTION("""COMPUTED_VALUE"""),2.871794871794872)</f>
        <v>2.871794872</v>
      </c>
      <c r="T912" s="82">
        <f>IFERROR(__xludf.DUMMYFUNCTION("""COMPUTED_VALUE"""),354.3173024598812)</f>
        <v>354.3173025</v>
      </c>
      <c r="U912" s="82">
        <f>IFERROR(__xludf.DUMMYFUNCTION("""COMPUTED_VALUE"""),0.7447823444856178)</f>
        <v>0.7447823445</v>
      </c>
      <c r="V912" s="82">
        <f>IFERROR(__xludf.DUMMYFUNCTION("""COMPUTED_VALUE"""),0.6289007594105046)</f>
        <v>0.6289007594</v>
      </c>
      <c r="W912" s="82">
        <f>IFERROR(__xludf.DUMMYFUNCTION("""COMPUTED_VALUE"""),1.3630620732757164)</f>
        <v>1.363062073</v>
      </c>
      <c r="X912" s="82">
        <f>IFERROR(__xludf.DUMMYFUNCTION("""COMPUTED_VALUE"""),2.650650288362682)</f>
        <v>2.650650288</v>
      </c>
      <c r="Y912" s="82">
        <f>IFERROR(__xludf.DUMMYFUNCTION("""COMPUTED_VALUE"""),363.83098614159854)</f>
        <v>363.8309861</v>
      </c>
      <c r="Z912" s="82">
        <f>IFERROR(__xludf.DUMMYFUNCTION("""COMPUTED_VALUE"""),0.79423938261811)</f>
        <v>0.7942393826</v>
      </c>
      <c r="AA912" s="82">
        <f>IFERROR(__xludf.DUMMYFUNCTION("""COMPUTED_VALUE"""),0.5900223677335122)</f>
        <v>0.5900223677</v>
      </c>
      <c r="AB912" s="82">
        <f>IFERROR(__xludf.DUMMYFUNCTION("""COMPUTED_VALUE"""),1.4012519259989271)</f>
        <v>1.401251926</v>
      </c>
      <c r="AC912" s="82">
        <f>IFERROR(__xludf.DUMMYFUNCTION("""COMPUTED_VALUE"""),2.666126473908)</f>
        <v>2.666126474</v>
      </c>
      <c r="AD912" s="82">
        <f>IFERROR(__xludf.DUMMYFUNCTION("""COMPUTED_VALUE"""),0.9431682820448253)</f>
        <v>0.943168282</v>
      </c>
      <c r="AE912" s="82">
        <f>IFERROR(__xludf.DUMMYFUNCTION("""COMPUTED_VALUE"""),0.7748099991668477)</f>
        <v>0.7748099992</v>
      </c>
      <c r="AF912" s="82">
        <f>IFERROR(__xludf.DUMMYFUNCTION("""COMPUTED_VALUE"""),0.5214926153973862)</f>
        <v>0.5214926154</v>
      </c>
      <c r="AG912" s="82">
        <f>IFERROR(__xludf.DUMMYFUNCTION("""COMPUTED_VALUE"""),1.207711233724997)</f>
        <v>1.207711234</v>
      </c>
      <c r="AH912" s="82">
        <f>IFERROR(__xludf.DUMMYFUNCTION("""COMPUTED_VALUE"""),0.923263950764626)</f>
        <v>0.9232639508</v>
      </c>
      <c r="AI912" s="82">
        <f>IFERROR(__xludf.DUMMYFUNCTION("""COMPUTED_VALUE"""),1.1169186122046613)</f>
        <v>1.116918612</v>
      </c>
      <c r="AJ912" s="82">
        <f>IFERROR(__xludf.DUMMYFUNCTION("""COMPUTED_VALUE"""),1.2738190637066977)</f>
        <v>1.273819064</v>
      </c>
      <c r="AK912" s="82">
        <f>IFERROR(__xludf.DUMMYFUNCTION("""COMPUTED_VALUE"""),1.019279483183486)</f>
        <v>1.019279483</v>
      </c>
      <c r="AL912" s="82">
        <f>IFERROR(__xludf.DUMMYFUNCTION("""COMPUTED_VALUE"""),1.0910577855089836)</f>
        <v>1.091057786</v>
      </c>
      <c r="AM912" s="82">
        <f>IFERROR(__xludf.DUMMYFUNCTION("""COMPUTED_VALUE"""),1.0834303130832064)</f>
        <v>1.083430313</v>
      </c>
      <c r="AN912" s="82">
        <f>IFERROR(__xludf.DUMMYFUNCTION("""COMPUTED_VALUE"""),0.9787894266600745)</f>
        <v>0.9787894267</v>
      </c>
      <c r="AO912" s="82">
        <f>IFERROR(__xludf.DUMMYFUNCTION("""COMPUTED_VALUE"""),0.8680943831392094)</f>
        <v>0.8680943831</v>
      </c>
      <c r="AP912" s="82">
        <f>IFERROR(__xludf.DUMMYFUNCTION("""COMPUTED_VALUE"""),0.5389804499576215)</f>
        <v>0.53898045</v>
      </c>
      <c r="AQ912" s="82">
        <f>IFERROR(__xludf.DUMMYFUNCTION("""COMPUTED_VALUE"""),1.1872189775757893)</f>
        <v>1.187218978</v>
      </c>
      <c r="AR912" s="82">
        <f>IFERROR(__xludf.DUMMYFUNCTION("""COMPUTED_VALUE"""),0.9819792424580511)</f>
        <v>0.9819792425</v>
      </c>
      <c r="AS912" s="82">
        <f>IFERROR(__xludf.DUMMYFUNCTION("""COMPUTED_VALUE"""),25.0)</f>
        <v>25</v>
      </c>
      <c r="AT912" s="82">
        <f>IFERROR(__xludf.DUMMYFUNCTION("""COMPUTED_VALUE"""),0.3511862585679025)</f>
        <v>0.3511862586</v>
      </c>
      <c r="AU912" s="82">
        <f>IFERROR(__xludf.DUMMYFUNCTION("""COMPUTED_VALUE"""),1.7482305827336422)</f>
        <v>1.748230583</v>
      </c>
      <c r="AV912" s="82">
        <f>IFERROR(__xludf.DUMMYFUNCTION("""COMPUTED_VALUE"""),31.433707037774713)</f>
        <v>31.43370704</v>
      </c>
      <c r="AW912" s="82">
        <f t="shared" si="1"/>
        <v>-4.369745415</v>
      </c>
      <c r="AX912" s="83">
        <f t="array" ref="AX912">IFERROR(DGET('SBV Import'!A:G,"SBV",{"RSC ID","Tier";B912,A912}))</f>
        <v>32.888555</v>
      </c>
      <c r="AY912" s="82">
        <f t="shared" si="2"/>
        <v>-4.051156972</v>
      </c>
      <c r="AZ912" s="82">
        <v>0.3185884432339616</v>
      </c>
      <c r="BA912" s="84">
        <v>800.0</v>
      </c>
      <c r="BB912" s="84" t="b">
        <f>IFERROR(__xludf.DUMMYFUNCTION("iferror(if(A912="""",,E912&gt;=FILTER(Constants!$F$2:$F$10,Constants!$A$2:$A$10=A912)))"),TRUE)</f>
        <v>1</v>
      </c>
    </row>
    <row r="913">
      <c r="A913" s="80" t="str">
        <f>IFERROR(__xludf.DUMMYFUNCTION("""COMPUTED_VALUE"""),"Elite")</f>
        <v>Elite</v>
      </c>
      <c r="B913" s="73" t="str">
        <f>IFERROR(__xludf.DUMMYFUNCTION("""COMPUTED_VALUE"""),"RSC004214")</f>
        <v>RSC004214</v>
      </c>
      <c r="C913" s="73" t="str">
        <f>IFERROR(__xludf.DUMMYFUNCTION("""COMPUTED_VALUE"""),"Miserable")</f>
        <v>Miserable</v>
      </c>
      <c r="D913" s="73" t="str">
        <f>IFERROR(__xludf.DUMMYFUNCTION("""COMPUTED_VALUE"""),"Summoned")</f>
        <v>Summoned</v>
      </c>
      <c r="E913" s="82">
        <f>IFERROR(__xludf.DUMMYFUNCTION("""COMPUTED_VALUE"""),30.0)</f>
        <v>30</v>
      </c>
      <c r="F913" s="82">
        <f>IFERROR(__xludf.DUMMYFUNCTION("""COMPUTED_VALUE"""),6.0)</f>
        <v>6</v>
      </c>
      <c r="G913" s="82">
        <f>IFERROR(__xludf.DUMMYFUNCTION("""COMPUTED_VALUE"""),24.0)</f>
        <v>24</v>
      </c>
      <c r="H913" s="86">
        <f>IFERROR(__xludf.DUMMYFUNCTION("""COMPUTED_VALUE"""),0.2)</f>
        <v>0.2</v>
      </c>
      <c r="I913" s="86">
        <f>IFERROR(__xludf.DUMMYFUNCTION("""COMPUTED_VALUE"""),0.2727272727272727)</f>
        <v>0.2727272727</v>
      </c>
      <c r="J913" s="82">
        <f>IFERROR(__xludf.DUMMYFUNCTION("""COMPUTED_VALUE"""),365.0)</f>
        <v>365</v>
      </c>
      <c r="K913" s="82">
        <f>IFERROR(__xludf.DUMMYFUNCTION("""COMPUTED_VALUE"""),0.5769230769230769)</f>
        <v>0.5769230769</v>
      </c>
      <c r="L913" s="82">
        <f>IFERROR(__xludf.DUMMYFUNCTION("""COMPUTED_VALUE"""),0.4230769230769231)</f>
        <v>0.4230769231</v>
      </c>
      <c r="M913" s="82">
        <f>IFERROR(__xludf.DUMMYFUNCTION("""COMPUTED_VALUE"""),2.230769230769231)</f>
        <v>2.230769231</v>
      </c>
      <c r="N913" s="82">
        <f>IFERROR(__xludf.DUMMYFUNCTION("""COMPUTED_VALUE"""),2.1153846153846154)</f>
        <v>2.115384615</v>
      </c>
      <c r="O913" s="82">
        <f>IFERROR(__xludf.DUMMYFUNCTION("""COMPUTED_VALUE"""),409.6923076923077)</f>
        <v>409.6923077</v>
      </c>
      <c r="P913" s="82">
        <f>IFERROR(__xludf.DUMMYFUNCTION("""COMPUTED_VALUE"""),1.141025641025641)</f>
        <v>1.141025641</v>
      </c>
      <c r="Q913" s="82">
        <f>IFERROR(__xludf.DUMMYFUNCTION("""COMPUTED_VALUE"""),0.8333333333333335)</f>
        <v>0.8333333333</v>
      </c>
      <c r="R913" s="82">
        <f>IFERROR(__xludf.DUMMYFUNCTION("""COMPUTED_VALUE"""),1.205128205128205)</f>
        <v>1.205128205</v>
      </c>
      <c r="S913" s="82">
        <f>IFERROR(__xludf.DUMMYFUNCTION("""COMPUTED_VALUE"""),3.4615384615384617)</f>
        <v>3.461538462</v>
      </c>
      <c r="T913" s="82">
        <f>IFERROR(__xludf.DUMMYFUNCTION("""COMPUTED_VALUE"""),381.331315017015)</f>
        <v>381.331315</v>
      </c>
      <c r="U913" s="82">
        <f>IFERROR(__xludf.DUMMYFUNCTION("""COMPUTED_VALUE"""),0.904161871343368)</f>
        <v>0.9041618713</v>
      </c>
      <c r="V913" s="82">
        <f>IFERROR(__xludf.DUMMYFUNCTION("""COMPUTED_VALUE"""),0.6647074454127034)</f>
        <v>0.6647074454</v>
      </c>
      <c r="W913" s="82">
        <f>IFERROR(__xludf.DUMMYFUNCTION("""COMPUTED_VALUE"""),1.3743078425459623)</f>
        <v>1.374307843</v>
      </c>
      <c r="X913" s="82">
        <f>IFERROR(__xludf.DUMMYFUNCTION("""COMPUTED_VALUE"""),2.925406082473827)</f>
        <v>2.925406082</v>
      </c>
      <c r="Y913" s="82">
        <f>IFERROR(__xludf.DUMMYFUNCTION("""COMPUTED_VALUE"""),355.5900839903107)</f>
        <v>355.590084</v>
      </c>
      <c r="Z913" s="82">
        <f>IFERROR(__xludf.DUMMYFUNCTION("""COMPUTED_VALUE"""),0.7188310612754493)</f>
        <v>0.7188310613</v>
      </c>
      <c r="AA913" s="82">
        <f>IFERROR(__xludf.DUMMYFUNCTION("""COMPUTED_VALUE"""),0.5327027262601917)</f>
        <v>0.5327027263</v>
      </c>
      <c r="AB913" s="82">
        <f>IFERROR(__xludf.DUMMYFUNCTION("""COMPUTED_VALUE"""),1.510337232898742)</f>
        <v>1.510337233</v>
      </c>
      <c r="AC913" s="82">
        <f>IFERROR(__xludf.DUMMYFUNCTION("""COMPUTED_VALUE"""),2.5182527804696666)</f>
        <v>2.51825278</v>
      </c>
      <c r="AD913" s="82">
        <f>IFERROR(__xludf.DUMMYFUNCTION("""COMPUTED_VALUE"""),1.0264628189405465)</f>
        <v>1.026462819</v>
      </c>
      <c r="AE913" s="82">
        <f>IFERROR(__xludf.DUMMYFUNCTION("""COMPUTED_VALUE"""),0.8025850690138797)</f>
        <v>0.802585069</v>
      </c>
      <c r="AF913" s="82">
        <f>IFERROR(__xludf.DUMMYFUNCTION("""COMPUTED_VALUE"""),0.7942082933329624)</f>
        <v>0.7942082933</v>
      </c>
      <c r="AG913" s="82">
        <f>IFERROR(__xludf.DUMMYFUNCTION("""COMPUTED_VALUE"""),1.4770007533269816)</f>
        <v>1.477000753</v>
      </c>
      <c r="AH913" s="82">
        <f>IFERROR(__xludf.DUMMYFUNCTION("""COMPUTED_VALUE"""),0.8400207603424489)</f>
        <v>0.8400207603</v>
      </c>
      <c r="AI913" s="82">
        <f>IFERROR(__xludf.DUMMYFUNCTION("""COMPUTED_VALUE"""),1.0743736261839056)</f>
        <v>1.074373626</v>
      </c>
      <c r="AJ913" s="82">
        <f>IFERROR(__xludf.DUMMYFUNCTION("""COMPUTED_VALUE"""),1.261970535574952)</f>
        <v>1.261970536</v>
      </c>
      <c r="AK913" s="82">
        <f>IFERROR(__xludf.DUMMYFUNCTION("""COMPUTED_VALUE"""),1.2536843675881104)</f>
        <v>1.253684368</v>
      </c>
      <c r="AL913" s="82">
        <f>IFERROR(__xludf.DUMMYFUNCTION("""COMPUTED_VALUE"""),0.876898295869181)</f>
        <v>0.8768982959</v>
      </c>
      <c r="AM913" s="82">
        <f>IFERROR(__xludf.DUMMYFUNCTION("""COMPUTED_VALUE"""),1.183267677700069)</f>
        <v>1.183267678</v>
      </c>
      <c r="AN913" s="82">
        <f>IFERROR(__xludf.DUMMYFUNCTION("""COMPUTED_VALUE"""),1.0411019568487008)</f>
        <v>1.041101957</v>
      </c>
      <c r="AO913" s="82">
        <f>IFERROR(__xludf.DUMMYFUNCTION("""COMPUTED_VALUE"""),0.8138384841930087)</f>
        <v>0.8138384842</v>
      </c>
      <c r="AP913" s="82">
        <f>IFERROR(__xludf.DUMMYFUNCTION("""COMPUTED_VALUE"""),0.7410981186917295)</f>
        <v>0.7410981187</v>
      </c>
      <c r="AQ913" s="82">
        <f>IFERROR(__xludf.DUMMYFUNCTION("""COMPUTED_VALUE"""),1.5649704704408134)</f>
        <v>1.56497047</v>
      </c>
      <c r="AR913" s="82">
        <f>IFERROR(__xludf.DUMMYFUNCTION("""COMPUTED_VALUE"""),0.8438884114873877)</f>
        <v>0.8438884115</v>
      </c>
      <c r="AS913" s="82">
        <f>IFERROR(__xludf.DUMMYFUNCTION("""COMPUTED_VALUE"""),43.0)</f>
        <v>43</v>
      </c>
      <c r="AT913" s="82">
        <f>IFERROR(__xludf.DUMMYFUNCTION("""COMPUTED_VALUE"""),0.2025998539253701)</f>
        <v>0.2025998539</v>
      </c>
      <c r="AU913" s="82">
        <f>IFERROR(__xludf.DUMMYFUNCTION("""COMPUTED_VALUE"""),1.7286261531498734)</f>
        <v>1.728626153</v>
      </c>
      <c r="AV913" s="82">
        <f>IFERROR(__xludf.DUMMYFUNCTION("""COMPUTED_VALUE"""),30.869801049858754)</f>
        <v>30.86980105</v>
      </c>
      <c r="AW913" s="82">
        <f t="shared" si="1"/>
        <v>-4.503006325</v>
      </c>
      <c r="AX913" s="83">
        <f t="array" ref="AX913">IFERROR(DGET('SBV Import'!A:G,"SBV",{"RSC ID","Tier";B913,A913}))</f>
        <v>28.7903033</v>
      </c>
      <c r="AY913" s="82">
        <f t="shared" si="2"/>
        <v>-5.047675334</v>
      </c>
      <c r="AZ913" s="82">
        <v>0.5446690084490982</v>
      </c>
      <c r="BA913" s="84">
        <v>800.0</v>
      </c>
      <c r="BB913" s="84" t="b">
        <f>IFERROR(__xludf.DUMMYFUNCTION("iferror(if(A913="""",,E913&gt;=FILTER(Constants!$F$2:$F$10,Constants!$A$2:$A$10=A913)))"),TRUE)</f>
        <v>1</v>
      </c>
    </row>
    <row r="914">
      <c r="A914" s="80" t="str">
        <f>IFERROR(__xludf.DUMMYFUNCTION("""COMPUTED_VALUE"""),"Elite")</f>
        <v>Elite</v>
      </c>
      <c r="B914" s="73" t="str">
        <f>IFERROR(__xludf.DUMMYFUNCTION("""COMPUTED_VALUE"""),"RSC000030")</f>
        <v>RSC000030</v>
      </c>
      <c r="C914" s="73" t="str">
        <f>IFERROR(__xludf.DUMMYFUNCTION("""COMPUTED_VALUE"""),"ADeadM0053")</f>
        <v>ADeadM0053</v>
      </c>
      <c r="D914" s="73" t="str">
        <f>IFERROR(__xludf.DUMMYFUNCTION("""COMPUTED_VALUE"""),"Drive Bye")</f>
        <v>Drive Bye</v>
      </c>
      <c r="E914" s="82">
        <f>IFERROR(__xludf.DUMMYFUNCTION("""COMPUTED_VALUE"""),47.0)</f>
        <v>47</v>
      </c>
      <c r="F914" s="82">
        <f>IFERROR(__xludf.DUMMYFUNCTION("""COMPUTED_VALUE"""),14.0)</f>
        <v>14</v>
      </c>
      <c r="G914" s="82">
        <f>IFERROR(__xludf.DUMMYFUNCTION("""COMPUTED_VALUE"""),33.0)</f>
        <v>33</v>
      </c>
      <c r="H914" s="86">
        <f>IFERROR(__xludf.DUMMYFUNCTION("""COMPUTED_VALUE"""),0.2978723404255319)</f>
        <v>0.2978723404</v>
      </c>
      <c r="I914" s="86">
        <f>IFERROR(__xludf.DUMMYFUNCTION("""COMPUTED_VALUE"""),0.2571428571428572)</f>
        <v>0.2571428571</v>
      </c>
      <c r="J914" s="82">
        <f>IFERROR(__xludf.DUMMYFUNCTION("""COMPUTED_VALUE"""),319.02127659574467)</f>
        <v>319.0212766</v>
      </c>
      <c r="K914" s="82">
        <f>IFERROR(__xludf.DUMMYFUNCTION("""COMPUTED_VALUE"""),0.574468085106383)</f>
        <v>0.5744680851</v>
      </c>
      <c r="L914" s="82">
        <f>IFERROR(__xludf.DUMMYFUNCTION("""COMPUTED_VALUE"""),0.40425531914893614)</f>
        <v>0.4042553191</v>
      </c>
      <c r="M914" s="82">
        <f>IFERROR(__xludf.DUMMYFUNCTION("""COMPUTED_VALUE"""),1.5106382978723405)</f>
        <v>1.510638298</v>
      </c>
      <c r="N914" s="82">
        <f>IFERROR(__xludf.DUMMYFUNCTION("""COMPUTED_VALUE"""),2.234042553191489)</f>
        <v>2.234042553</v>
      </c>
      <c r="O914" s="82">
        <f>IFERROR(__xludf.DUMMYFUNCTION("""COMPUTED_VALUE"""),396.68794326241147)</f>
        <v>396.6879433</v>
      </c>
      <c r="P914" s="82">
        <f>IFERROR(__xludf.DUMMYFUNCTION("""COMPUTED_VALUE"""),0.9858156028368795)</f>
        <v>0.9858156028</v>
      </c>
      <c r="Q914" s="82">
        <f>IFERROR(__xludf.DUMMYFUNCTION("""COMPUTED_VALUE"""),0.7943262411347517)</f>
        <v>0.7943262411</v>
      </c>
      <c r="R914" s="82">
        <f>IFERROR(__xludf.DUMMYFUNCTION("""COMPUTED_VALUE"""),1.304964539007092)</f>
        <v>1.304964539</v>
      </c>
      <c r="S914" s="82">
        <f>IFERROR(__xludf.DUMMYFUNCTION("""COMPUTED_VALUE"""),3.134751773049645)</f>
        <v>3.134751773</v>
      </c>
      <c r="T914" s="82">
        <f>IFERROR(__xludf.DUMMYFUNCTION("""COMPUTED_VALUE"""),368.536969587516)</f>
        <v>368.5369696</v>
      </c>
      <c r="U914" s="82">
        <f>IFERROR(__xludf.DUMMYFUNCTION("""COMPUTED_VALUE"""),0.8125829808362184)</f>
        <v>0.8125829808</v>
      </c>
      <c r="V914" s="82">
        <f>IFERROR(__xludf.DUMMYFUNCTION("""COMPUTED_VALUE"""),0.6279387765783464)</f>
        <v>0.6279387766</v>
      </c>
      <c r="W914" s="82">
        <f>IFERROR(__xludf.DUMMYFUNCTION("""COMPUTED_VALUE"""),1.407330902633555)</f>
        <v>1.407330903</v>
      </c>
      <c r="X914" s="82">
        <f>IFERROR(__xludf.DUMMYFUNCTION("""COMPUTED_VALUE"""),2.7517332696665466)</f>
        <v>2.75173327</v>
      </c>
      <c r="Y914" s="82">
        <f>IFERROR(__xludf.DUMMYFUNCTION("""COMPUTED_VALUE"""),351.7324616191765)</f>
        <v>351.7324616</v>
      </c>
      <c r="Z914" s="82">
        <f>IFERROR(__xludf.DUMMYFUNCTION("""COMPUTED_VALUE"""),0.7238824913044816)</f>
        <v>0.7238824913</v>
      </c>
      <c r="AA914" s="82">
        <f>IFERROR(__xludf.DUMMYFUNCTION("""COMPUTED_VALUE"""),0.5380050674224381)</f>
        <v>0.5380050674</v>
      </c>
      <c r="AB914" s="82">
        <f>IFERROR(__xludf.DUMMYFUNCTION("""COMPUTED_VALUE"""),1.4478945328189332)</f>
        <v>1.447894533</v>
      </c>
      <c r="AC914" s="82">
        <f>IFERROR(__xludf.DUMMYFUNCTION("""COMPUTED_VALUE"""),2.532727871189295)</f>
        <v>2.532727871</v>
      </c>
      <c r="AD914" s="82">
        <f>IFERROR(__xludf.DUMMYFUNCTION("""COMPUTED_VALUE"""),0.9069998120934073)</f>
        <v>0.9069998121</v>
      </c>
      <c r="AE914" s="82">
        <f>IFERROR(__xludf.DUMMYFUNCTION("""COMPUTED_VALUE"""),0.7935930099250716)</f>
        <v>0.7935930099</v>
      </c>
      <c r="AF914" s="82">
        <f>IFERROR(__xludf.DUMMYFUNCTION("""COMPUTED_VALUE"""),0.7513968615308924)</f>
        <v>0.7513968615</v>
      </c>
      <c r="AG914" s="82">
        <f>IFERROR(__xludf.DUMMYFUNCTION("""COMPUTED_VALUE"""),1.0433344857869242)</f>
        <v>1.043334486</v>
      </c>
      <c r="AH914" s="82">
        <f>IFERROR(__xludf.DUMMYFUNCTION("""COMPUTED_VALUE"""),0.882069715662918)</f>
        <v>0.8820697157</v>
      </c>
      <c r="AI914" s="82">
        <f>IFERROR(__xludf.DUMMYFUNCTION("""COMPUTED_VALUE"""),1.07638575230703)</f>
        <v>1.076385752</v>
      </c>
      <c r="AJ914" s="82">
        <f>IFERROR(__xludf.DUMMYFUNCTION("""COMPUTED_VALUE"""),1.2131876080180632)</f>
        <v>1.213187608</v>
      </c>
      <c r="AK914" s="82">
        <f>IFERROR(__xludf.DUMMYFUNCTION("""COMPUTED_VALUE"""),1.2649740241605314)</f>
        <v>1.264974024</v>
      </c>
      <c r="AL914" s="82">
        <f>IFERROR(__xludf.DUMMYFUNCTION("""COMPUTED_VALUE"""),0.9272620508546331)</f>
        <v>0.9272620509</v>
      </c>
      <c r="AM914" s="82">
        <f>IFERROR(__xludf.DUMMYFUNCTION("""COMPUTED_VALUE"""),1.1391917260314668)</f>
        <v>1.139191726</v>
      </c>
      <c r="AN914" s="82">
        <f>IFERROR(__xludf.DUMMYFUNCTION("""COMPUTED_VALUE"""),0.9099552749046586)</f>
        <v>0.9099552749</v>
      </c>
      <c r="AO914" s="82">
        <f>IFERROR(__xludf.DUMMYFUNCTION("""COMPUTED_VALUE"""),0.8103753417070811)</f>
        <v>0.8103753417</v>
      </c>
      <c r="AP914" s="82">
        <f>IFERROR(__xludf.DUMMYFUNCTION("""COMPUTED_VALUE"""),0.7081285698911303)</f>
        <v>0.7081285699</v>
      </c>
      <c r="AQ914" s="82">
        <f>IFERROR(__xludf.DUMMYFUNCTION("""COMPUTED_VALUE"""),1.0597709055149456)</f>
        <v>1.059770906</v>
      </c>
      <c r="AR914" s="82">
        <f>IFERROR(__xludf.DUMMYFUNCTION("""COMPUTED_VALUE"""),0.8912245119383242)</f>
        <v>0.8912245119</v>
      </c>
      <c r="AS914" s="82">
        <f>IFERROR(__xludf.DUMMYFUNCTION("""COMPUTED_VALUE"""),79.0)</f>
        <v>79</v>
      </c>
      <c r="AT914" s="82">
        <f>IFERROR(__xludf.DUMMYFUNCTION("""COMPUTED_VALUE"""),0.293668319028366)</f>
        <v>0.293668319</v>
      </c>
      <c r="AU914" s="82">
        <f>IFERROR(__xludf.DUMMYFUNCTION("""COMPUTED_VALUE"""),1.6684026489872394)</f>
        <v>1.668402649</v>
      </c>
      <c r="AV914" s="82">
        <f>IFERROR(__xludf.DUMMYFUNCTION("""COMPUTED_VALUE"""),29.137519349670544)</f>
        <v>29.13751935</v>
      </c>
      <c r="AW914" s="82">
        <f t="shared" si="1"/>
        <v>-4.95049844</v>
      </c>
      <c r="AX914" s="83">
        <f t="array" ref="AX914">IFERROR(DGET('SBV Import'!A:G,"SBV",{"RSC ID","Tier";B914,A914}))</f>
        <v>28.62018441</v>
      </c>
      <c r="AY914" s="82">
        <f t="shared" si="2"/>
        <v>-5.096261769</v>
      </c>
      <c r="AZ914" s="82">
        <v>0.14576332962249605</v>
      </c>
      <c r="BA914" s="84">
        <v>800.0</v>
      </c>
      <c r="BB914" s="84" t="b">
        <f>IFERROR(__xludf.DUMMYFUNCTION("iferror(if(A914="""",,E914&gt;=FILTER(Constants!$F$2:$F$10,Constants!$A$2:$A$10=A914)))"),TRUE)</f>
        <v>1</v>
      </c>
    </row>
    <row r="915">
      <c r="A915" s="80" t="str">
        <f>IFERROR(__xludf.DUMMYFUNCTION("""COMPUTED_VALUE"""),"Elite")</f>
        <v>Elite</v>
      </c>
      <c r="B915" s="73" t="str">
        <f>IFERROR(__xludf.DUMMYFUNCTION("""COMPUTED_VALUE"""),"RSC003709")</f>
        <v>RSC003709</v>
      </c>
      <c r="C915" s="73" t="str">
        <f>IFERROR(__xludf.DUMMYFUNCTION("""COMPUTED_VALUE"""),"donald.")</f>
        <v>donald.</v>
      </c>
      <c r="D915" s="73"/>
      <c r="E915" s="82">
        <f>IFERROR(__xludf.DUMMYFUNCTION("""COMPUTED_VALUE"""),37.0)</f>
        <v>37</v>
      </c>
      <c r="F915" s="82">
        <f>IFERROR(__xludf.DUMMYFUNCTION("""COMPUTED_VALUE"""),13.0)</f>
        <v>13</v>
      </c>
      <c r="G915" s="82">
        <f>IFERROR(__xludf.DUMMYFUNCTION("""COMPUTED_VALUE"""),24.0)</f>
        <v>24</v>
      </c>
      <c r="H915" s="86">
        <f>IFERROR(__xludf.DUMMYFUNCTION("""COMPUTED_VALUE"""),0.35135135135135137)</f>
        <v>0.3513513514</v>
      </c>
      <c r="I915" s="86">
        <f>IFERROR(__xludf.DUMMYFUNCTION("""COMPUTED_VALUE"""),0.2898550724637681)</f>
        <v>0.2898550725</v>
      </c>
      <c r="J915" s="82">
        <f>IFERROR(__xludf.DUMMYFUNCTION("""COMPUTED_VALUE"""),341.7567567567568)</f>
        <v>341.7567568</v>
      </c>
      <c r="K915" s="82">
        <f>IFERROR(__xludf.DUMMYFUNCTION("""COMPUTED_VALUE"""),0.5405405405405406)</f>
        <v>0.5405405405</v>
      </c>
      <c r="L915" s="82">
        <f>IFERROR(__xludf.DUMMYFUNCTION("""COMPUTED_VALUE"""),0.4594594594594595)</f>
        <v>0.4594594595</v>
      </c>
      <c r="M915" s="82">
        <f>IFERROR(__xludf.DUMMYFUNCTION("""COMPUTED_VALUE"""),1.7837837837837838)</f>
        <v>1.783783784</v>
      </c>
      <c r="N915" s="82">
        <f>IFERROR(__xludf.DUMMYFUNCTION("""COMPUTED_VALUE"""),1.864864864864865)</f>
        <v>1.864864865</v>
      </c>
      <c r="O915" s="82">
        <f>IFERROR(__xludf.DUMMYFUNCTION("""COMPUTED_VALUE"""),356.82882882882876)</f>
        <v>356.8288288</v>
      </c>
      <c r="P915" s="82">
        <f>IFERROR(__xludf.DUMMYFUNCTION("""COMPUTED_VALUE"""),0.8828828828828829)</f>
        <v>0.8828828829</v>
      </c>
      <c r="Q915" s="82">
        <f>IFERROR(__xludf.DUMMYFUNCTION("""COMPUTED_VALUE"""),0.6486486486486487)</f>
        <v>0.6486486486</v>
      </c>
      <c r="R915" s="82">
        <f>IFERROR(__xludf.DUMMYFUNCTION("""COMPUTED_VALUE"""),0.9549549549549549)</f>
        <v>0.954954955</v>
      </c>
      <c r="S915" s="82">
        <f>IFERROR(__xludf.DUMMYFUNCTION("""COMPUTED_VALUE"""),3.1981981981981984)</f>
        <v>3.198198198</v>
      </c>
      <c r="T915" s="82">
        <f>IFERROR(__xludf.DUMMYFUNCTION("""COMPUTED_VALUE"""),362.51552934989246)</f>
        <v>362.5155293</v>
      </c>
      <c r="U915" s="82">
        <f>IFERROR(__xludf.DUMMYFUNCTION("""COMPUTED_VALUE"""),0.8063765466896331)</f>
        <v>0.8063765467</v>
      </c>
      <c r="V915" s="82">
        <f>IFERROR(__xludf.DUMMYFUNCTION("""COMPUTED_VALUE"""),0.6178277225151819)</f>
        <v>0.6178277225</v>
      </c>
      <c r="W915" s="82">
        <f>IFERROR(__xludf.DUMMYFUNCTION("""COMPUTED_VALUE"""),1.3550964588361283)</f>
        <v>1.355096459</v>
      </c>
      <c r="X915" s="82">
        <f>IFERROR(__xludf.DUMMYFUNCTION("""COMPUTED_VALUE"""),2.804878875237816)</f>
        <v>2.804878875</v>
      </c>
      <c r="Y915" s="82">
        <f>IFERROR(__xludf.DUMMYFUNCTION("""COMPUTED_VALUE"""),363.85139538242913)</f>
        <v>363.8513954</v>
      </c>
      <c r="Z915" s="82">
        <f>IFERROR(__xludf.DUMMYFUNCTION("""COMPUTED_VALUE"""),0.7819137506447624)</f>
        <v>0.7819137506</v>
      </c>
      <c r="AA915" s="82">
        <f>IFERROR(__xludf.DUMMYFUNCTION("""COMPUTED_VALUE"""),0.5752833782968267)</f>
        <v>0.5752833783</v>
      </c>
      <c r="AB915" s="82">
        <f>IFERROR(__xludf.DUMMYFUNCTION("""COMPUTED_VALUE"""),1.4931764426596559)</f>
        <v>1.493176443</v>
      </c>
      <c r="AC915" s="82">
        <f>IFERROR(__xludf.DUMMYFUNCTION("""COMPUTED_VALUE"""),2.537324818791204)</f>
        <v>2.537324819</v>
      </c>
      <c r="AD915" s="82">
        <f>IFERROR(__xludf.DUMMYFUNCTION("""COMPUTED_VALUE"""),0.9392756523512859)</f>
        <v>0.9392756524</v>
      </c>
      <c r="AE915" s="82">
        <f>IFERROR(__xludf.DUMMYFUNCTION("""COMPUTED_VALUE"""),0.6913045589680619)</f>
        <v>0.691304559</v>
      </c>
      <c r="AF915" s="82">
        <f>IFERROR(__xludf.DUMMYFUNCTION("""COMPUTED_VALUE"""),0.7986663213175507)</f>
        <v>0.7986663213</v>
      </c>
      <c r="AG915" s="82">
        <f>IFERROR(__xludf.DUMMYFUNCTION("""COMPUTED_VALUE"""),1.1946235775100338)</f>
        <v>1.194623578</v>
      </c>
      <c r="AH915" s="82">
        <f>IFERROR(__xludf.DUMMYFUNCTION("""COMPUTED_VALUE"""),0.7349728545016546)</f>
        <v>0.7349728545</v>
      </c>
      <c r="AI915" s="82">
        <f>IFERROR(__xludf.DUMMYFUNCTION("""COMPUTED_VALUE"""),0.9843132223017816)</f>
        <v>0.9843132223</v>
      </c>
      <c r="AJ915" s="82">
        <f>IFERROR(__xludf.DUMMYFUNCTION("""COMPUTED_VALUE"""),1.094876688201469)</f>
        <v>1.094876688</v>
      </c>
      <c r="AK915" s="82">
        <f>IFERROR(__xludf.DUMMYFUNCTION("""COMPUTED_VALUE"""),1.0498859552756787)</f>
        <v>1.049885955</v>
      </c>
      <c r="AL915" s="82">
        <f>IFERROR(__xludf.DUMMYFUNCTION("""COMPUTED_VALUE"""),0.7047136377104484)</f>
        <v>0.7047136377</v>
      </c>
      <c r="AM915" s="82">
        <f>IFERROR(__xludf.DUMMYFUNCTION("""COMPUTED_VALUE"""),1.1402268477375994)</f>
        <v>1.140226848</v>
      </c>
      <c r="AN915" s="82">
        <f>IFERROR(__xludf.DUMMYFUNCTION("""COMPUTED_VALUE"""),0.974804460892397)</f>
        <v>0.9748044609</v>
      </c>
      <c r="AO915" s="82">
        <f>IFERROR(__xludf.DUMMYFUNCTION("""COMPUTED_VALUE"""),0.7625153365411974)</f>
        <v>0.7625153365</v>
      </c>
      <c r="AP915" s="82">
        <f>IFERROR(__xludf.DUMMYFUNCTION("""COMPUTED_VALUE"""),0.8048289151394213)</f>
        <v>0.8048289151</v>
      </c>
      <c r="AQ915" s="82">
        <f>IFERROR(__xludf.DUMMYFUNCTION("""COMPUTED_VALUE"""),1.25139297636367)</f>
        <v>1.251392976</v>
      </c>
      <c r="AR915" s="82">
        <f>IFERROR(__xludf.DUMMYFUNCTION("""COMPUTED_VALUE"""),0.7439488010851958)</f>
        <v>0.7439488011</v>
      </c>
      <c r="AS915" s="82">
        <f>IFERROR(__xludf.DUMMYFUNCTION("""COMPUTED_VALUE"""),63.0)</f>
        <v>63</v>
      </c>
      <c r="AT915" s="82">
        <f>IFERROR(__xludf.DUMMYFUNCTION("""COMPUTED_VALUE"""),0.33764230555574526)</f>
        <v>0.3376423056</v>
      </c>
      <c r="AU915" s="82">
        <f>IFERROR(__xludf.DUMMYFUNCTION("""COMPUTED_VALUE"""),1.655598782730884)</f>
        <v>1.655598783</v>
      </c>
      <c r="AV915" s="82">
        <f>IFERROR(__xludf.DUMMYFUNCTION("""COMPUTED_VALUE"""),28.76922621369419)</f>
        <v>28.76922621</v>
      </c>
      <c r="AW915" s="82">
        <f t="shared" si="1"/>
        <v>-5.053659839</v>
      </c>
      <c r="AX915" s="83">
        <f t="array" ref="AX915">IFERROR(DGET('SBV Import'!A:G,"SBV",{"RSC ID","Tier";B915,A915}))</f>
        <v>36.61192678</v>
      </c>
      <c r="AY915" s="82">
        <f t="shared" si="2"/>
        <v>-3.376733893</v>
      </c>
      <c r="AZ915" s="82">
        <v>1.676925946752183</v>
      </c>
      <c r="BA915" s="84">
        <v>800.0</v>
      </c>
      <c r="BB915" s="84" t="b">
        <f>IFERROR(__xludf.DUMMYFUNCTION("iferror(if(A915="""",,E915&gt;=FILTER(Constants!$F$2:$F$10,Constants!$A$2:$A$10=A915)))"),TRUE)</f>
        <v>1</v>
      </c>
    </row>
    <row r="916">
      <c r="A916" s="80" t="str">
        <f>IFERROR(__xludf.DUMMYFUNCTION("""COMPUTED_VALUE"""),"Elite")</f>
        <v>Elite</v>
      </c>
      <c r="B916" s="73" t="str">
        <f>IFERROR(__xludf.DUMMYFUNCTION("""COMPUTED_VALUE"""),"RSC007629")</f>
        <v>RSC007629</v>
      </c>
      <c r="C916" s="73" t="str">
        <f>IFERROR(__xludf.DUMMYFUNCTION("""COMPUTED_VALUE"""),"Mochi")</f>
        <v>Mochi</v>
      </c>
      <c r="D916" s="73" t="str">
        <f>IFERROR(__xludf.DUMMYFUNCTION("""COMPUTED_VALUE"""),"Desolation")</f>
        <v>Desolation</v>
      </c>
      <c r="E916" s="82">
        <f>IFERROR(__xludf.DUMMYFUNCTION("""COMPUTED_VALUE"""),8.0)</f>
        <v>8</v>
      </c>
      <c r="F916" s="82">
        <f>IFERROR(__xludf.DUMMYFUNCTION("""COMPUTED_VALUE"""),5.0)</f>
        <v>5</v>
      </c>
      <c r="G916" s="82">
        <f>IFERROR(__xludf.DUMMYFUNCTION("""COMPUTED_VALUE"""),3.0)</f>
        <v>3</v>
      </c>
      <c r="H916" s="86">
        <f>IFERROR(__xludf.DUMMYFUNCTION("""COMPUTED_VALUE"""),0.625)</f>
        <v>0.625</v>
      </c>
      <c r="I916" s="86">
        <f>IFERROR(__xludf.DUMMYFUNCTION("""COMPUTED_VALUE"""),0.23076923076923078)</f>
        <v>0.2307692308</v>
      </c>
      <c r="J916" s="82">
        <f>IFERROR(__xludf.DUMMYFUNCTION("""COMPUTED_VALUE"""),268.75)</f>
        <v>268.75</v>
      </c>
      <c r="K916" s="82">
        <f>IFERROR(__xludf.DUMMYFUNCTION("""COMPUTED_VALUE"""),0.375)</f>
        <v>0.375</v>
      </c>
      <c r="L916" s="82">
        <f>IFERROR(__xludf.DUMMYFUNCTION("""COMPUTED_VALUE"""),0.875)</f>
        <v>0.875</v>
      </c>
      <c r="M916" s="82">
        <f>IFERROR(__xludf.DUMMYFUNCTION("""COMPUTED_VALUE"""),1.0)</f>
        <v>1</v>
      </c>
      <c r="N916" s="82">
        <f>IFERROR(__xludf.DUMMYFUNCTION("""COMPUTED_VALUE"""),1.625)</f>
        <v>1.625</v>
      </c>
      <c r="O916" s="82">
        <f>IFERROR(__xludf.DUMMYFUNCTION("""COMPUTED_VALUE"""),368.20833333333337)</f>
        <v>368.2083333</v>
      </c>
      <c r="P916" s="82">
        <f>IFERROR(__xludf.DUMMYFUNCTION("""COMPUTED_VALUE"""),0.9583333333333333)</f>
        <v>0.9583333333</v>
      </c>
      <c r="Q916" s="82">
        <f>IFERROR(__xludf.DUMMYFUNCTION("""COMPUTED_VALUE"""),0.7083333333333333)</f>
        <v>0.7083333333</v>
      </c>
      <c r="R916" s="82">
        <f>IFERROR(__xludf.DUMMYFUNCTION("""COMPUTED_VALUE"""),0.9166666666666666)</f>
        <v>0.9166666667</v>
      </c>
      <c r="S916" s="82">
        <f>IFERROR(__xludf.DUMMYFUNCTION("""COMPUTED_VALUE"""),2.625)</f>
        <v>2.625</v>
      </c>
      <c r="T916" s="82">
        <f>IFERROR(__xludf.DUMMYFUNCTION("""COMPUTED_VALUE"""),363.1935967885066)</f>
        <v>363.1935968</v>
      </c>
      <c r="U916" s="82">
        <f>IFERROR(__xludf.DUMMYFUNCTION("""COMPUTED_VALUE"""),0.7663006399750832)</f>
        <v>0.76630064</v>
      </c>
      <c r="V916" s="82">
        <f>IFERROR(__xludf.DUMMYFUNCTION("""COMPUTED_VALUE"""),0.6133628066289785)</f>
        <v>0.6133628066</v>
      </c>
      <c r="W916" s="82">
        <f>IFERROR(__xludf.DUMMYFUNCTION("""COMPUTED_VALUE"""),1.350303652398032)</f>
        <v>1.350303652</v>
      </c>
      <c r="X916" s="82">
        <f>IFERROR(__xludf.DUMMYFUNCTION("""COMPUTED_VALUE"""),2.7529972825571978)</f>
        <v>2.752997283</v>
      </c>
      <c r="Y916" s="82">
        <f>IFERROR(__xludf.DUMMYFUNCTION("""COMPUTED_VALUE"""),369.33593500878766)</f>
        <v>369.335935</v>
      </c>
      <c r="Z916" s="82">
        <f>IFERROR(__xludf.DUMMYFUNCTION("""COMPUTED_VALUE"""),0.7711263050605576)</f>
        <v>0.7711263051</v>
      </c>
      <c r="AA916" s="82">
        <f>IFERROR(__xludf.DUMMYFUNCTION("""COMPUTED_VALUE"""),0.55615588409862)</f>
        <v>0.5561558841</v>
      </c>
      <c r="AB916" s="82">
        <f>IFERROR(__xludf.DUMMYFUNCTION("""COMPUTED_VALUE"""),1.58644504429234)</f>
        <v>1.586445044</v>
      </c>
      <c r="AC916" s="82">
        <f>IFERROR(__xludf.DUMMYFUNCTION("""COMPUTED_VALUE"""),2.4921443683373696)</f>
        <v>2.492144368</v>
      </c>
      <c r="AD916" s="82">
        <f>IFERROR(__xludf.DUMMYFUNCTION("""COMPUTED_VALUE"""),0.7276573290752377)</f>
        <v>0.7276573291</v>
      </c>
      <c r="AE916" s="82">
        <f>IFERROR(__xludf.DUMMYFUNCTION("""COMPUTED_VALUE"""),0.48630165712029594)</f>
        <v>0.4863016571</v>
      </c>
      <c r="AF916" s="82">
        <f>IFERROR(__xludf.DUMMYFUNCTION("""COMPUTED_VALUE"""),1.573299905687667)</f>
        <v>1.573299906</v>
      </c>
      <c r="AG916" s="82">
        <f>IFERROR(__xludf.DUMMYFUNCTION("""COMPUTED_VALUE"""),0.6303401454703819)</f>
        <v>0.6303401455</v>
      </c>
      <c r="AH916" s="82">
        <f>IFERROR(__xludf.DUMMYFUNCTION("""COMPUTED_VALUE"""),0.6520489024013149)</f>
        <v>0.6520489024</v>
      </c>
      <c r="AI916" s="82">
        <f>IFERROR(__xludf.DUMMYFUNCTION("""COMPUTED_VALUE"""),1.0138073374342744)</f>
        <v>1.013807337</v>
      </c>
      <c r="AJ916" s="82">
        <f>IFERROR(__xludf.DUMMYFUNCTION("""COMPUTED_VALUE"""),1.2505970677050382)</f>
        <v>1.250597068</v>
      </c>
      <c r="AK916" s="82">
        <f>IFERROR(__xludf.DUMMYFUNCTION("""COMPUTED_VALUE"""),1.154835809537115)</f>
        <v>1.15483581</v>
      </c>
      <c r="AL916" s="82">
        <f>IFERROR(__xludf.DUMMYFUNCTION("""COMPUTED_VALUE"""),0.6788596513374895)</f>
        <v>0.6788596513</v>
      </c>
      <c r="AM916" s="82">
        <f>IFERROR(__xludf.DUMMYFUNCTION("""COMPUTED_VALUE"""),0.9535062081723873)</f>
        <v>0.9535062082</v>
      </c>
      <c r="AN916" s="82">
        <f>IFERROR(__xludf.DUMMYFUNCTION("""COMPUTED_VALUE"""),0.7665647969947625)</f>
        <v>0.766564797</v>
      </c>
      <c r="AO916" s="82">
        <f>IFERROR(__xludf.DUMMYFUNCTION("""COMPUTED_VALUE"""),0.5289950147254557)</f>
        <v>0.5289950147</v>
      </c>
      <c r="AP916" s="82">
        <f>IFERROR(__xludf.DUMMYFUNCTION("""COMPUTED_VALUE"""),1.532725654566986)</f>
        <v>1.532725655</v>
      </c>
      <c r="AQ916" s="82">
        <f>IFERROR(__xludf.DUMMYFUNCTION("""COMPUTED_VALUE"""),0.7015384867493301)</f>
        <v>0.7015384867</v>
      </c>
      <c r="AR916" s="82">
        <f>IFERROR(__xludf.DUMMYFUNCTION("""COMPUTED_VALUE"""),0.6482597342789478)</f>
        <v>0.6482597343</v>
      </c>
      <c r="AS916" s="82">
        <f>IFERROR(__xludf.DUMMYFUNCTION("""COMPUTED_VALUE"""),26.0)</f>
        <v>26</v>
      </c>
      <c r="AT916" s="82">
        <f>IFERROR(__xludf.DUMMYFUNCTION("""COMPUTED_VALUE"""),0.5513809810810274)</f>
        <v>0.5513809811</v>
      </c>
      <c r="AU916" s="82">
        <f>IFERROR(__xludf.DUMMYFUNCTION("""COMPUTED_VALUE"""),1.6385135605920518)</f>
        <v>1.638513561</v>
      </c>
      <c r="AV916" s="82">
        <f>IFERROR(__xludf.DUMMYFUNCTION("""COMPUTED_VALUE"""),28.277783245267372)</f>
        <v>28.27778325</v>
      </c>
      <c r="AW916" s="82">
        <f t="shared" si="1"/>
        <v>-5.196046481</v>
      </c>
      <c r="AX916" s="83">
        <f t="array" ref="AX916">IFERROR(DGET('SBV Import'!A:G,"SBV",{"RSC ID","Tier";B916,A916}))</f>
        <v>26.43832996</v>
      </c>
      <c r="AY916" s="82">
        <f t="shared" si="2"/>
        <v>-5.781120417</v>
      </c>
      <c r="AZ916" s="82">
        <v>0.5850739356787003</v>
      </c>
      <c r="BA916" s="84">
        <v>800.0</v>
      </c>
      <c r="BB916" s="84" t="b">
        <f>IFERROR(__xludf.DUMMYFUNCTION("iferror(if(A916="""",,E916&gt;=FILTER(Constants!$F$2:$F$10,Constants!$A$2:$A$10=A916)))"),TRUE)</f>
        <v>1</v>
      </c>
    </row>
    <row r="917">
      <c r="A917" s="80" t="str">
        <f>IFERROR(__xludf.DUMMYFUNCTION("""COMPUTED_VALUE"""),"Elite")</f>
        <v>Elite</v>
      </c>
      <c r="B917" s="73" t="str">
        <f>IFERROR(__xludf.DUMMYFUNCTION("""COMPUTED_VALUE"""),"RSC006478")</f>
        <v>RSC006478</v>
      </c>
      <c r="C917" s="73" t="str">
        <f>IFERROR(__xludf.DUMMYFUNCTION("""COMPUTED_VALUE"""),"Wontay")</f>
        <v>Wontay</v>
      </c>
      <c r="D917" s="73"/>
      <c r="E917" s="82">
        <f>IFERROR(__xludf.DUMMYFUNCTION("""COMPUTED_VALUE"""),4.0)</f>
        <v>4</v>
      </c>
      <c r="F917" s="82">
        <f>IFERROR(__xludf.DUMMYFUNCTION("""COMPUTED_VALUE"""),1.0)</f>
        <v>1</v>
      </c>
      <c r="G917" s="82">
        <f>IFERROR(__xludf.DUMMYFUNCTION("""COMPUTED_VALUE"""),3.0)</f>
        <v>3</v>
      </c>
      <c r="H917" s="86">
        <f>IFERROR(__xludf.DUMMYFUNCTION("""COMPUTED_VALUE"""),0.25)</f>
        <v>0.25</v>
      </c>
      <c r="I917" s="86">
        <f>IFERROR(__xludf.DUMMYFUNCTION("""COMPUTED_VALUE"""),0.2222222222222222)</f>
        <v>0.2222222222</v>
      </c>
      <c r="J917" s="82">
        <f>IFERROR(__xludf.DUMMYFUNCTION("""COMPUTED_VALUE"""),310.5)</f>
        <v>310.5</v>
      </c>
      <c r="K917" s="82">
        <f>IFERROR(__xludf.DUMMYFUNCTION("""COMPUTED_VALUE"""),0.5)</f>
        <v>0.5</v>
      </c>
      <c r="L917" s="82">
        <f>IFERROR(__xludf.DUMMYFUNCTION("""COMPUTED_VALUE"""),0.5)</f>
        <v>0.5</v>
      </c>
      <c r="M917" s="82">
        <f>IFERROR(__xludf.DUMMYFUNCTION("""COMPUTED_VALUE"""),1.75)</f>
        <v>1.75</v>
      </c>
      <c r="N917" s="82">
        <f>IFERROR(__xludf.DUMMYFUNCTION("""COMPUTED_VALUE"""),2.25)</f>
        <v>2.25</v>
      </c>
      <c r="O917" s="82">
        <f>IFERROR(__xludf.DUMMYFUNCTION("""COMPUTED_VALUE"""),348.0833333333333)</f>
        <v>348.0833333</v>
      </c>
      <c r="P917" s="82">
        <f>IFERROR(__xludf.DUMMYFUNCTION("""COMPUTED_VALUE"""),0.9166666666666665)</f>
        <v>0.9166666667</v>
      </c>
      <c r="Q917" s="82">
        <f>IFERROR(__xludf.DUMMYFUNCTION("""COMPUTED_VALUE"""),0.7499999999999999)</f>
        <v>0.75</v>
      </c>
      <c r="R917" s="82">
        <f>IFERROR(__xludf.DUMMYFUNCTION("""COMPUTED_VALUE"""),1.0833333333333333)</f>
        <v>1.083333333</v>
      </c>
      <c r="S917" s="82">
        <f>IFERROR(__xludf.DUMMYFUNCTION("""COMPUTED_VALUE"""),3.2499999999999996)</f>
        <v>3.25</v>
      </c>
      <c r="T917" s="82">
        <f>IFERROR(__xludf.DUMMYFUNCTION("""COMPUTED_VALUE"""),353.16709995588326)</f>
        <v>353.1671</v>
      </c>
      <c r="U917" s="82">
        <f>IFERROR(__xludf.DUMMYFUNCTION("""COMPUTED_VALUE"""),0.7518119367240184)</f>
        <v>0.7518119367</v>
      </c>
      <c r="V917" s="82">
        <f>IFERROR(__xludf.DUMMYFUNCTION("""COMPUTED_VALUE"""),0.5245793155605974)</f>
        <v>0.5245793156</v>
      </c>
      <c r="W917" s="82">
        <f>IFERROR(__xludf.DUMMYFUNCTION("""COMPUTED_VALUE"""),1.3593464423016322)</f>
        <v>1.359346442</v>
      </c>
      <c r="X917" s="82">
        <f>IFERROR(__xludf.DUMMYFUNCTION("""COMPUTED_VALUE"""),2.889987867901935)</f>
        <v>2.889987868</v>
      </c>
      <c r="Y917" s="82">
        <f>IFERROR(__xludf.DUMMYFUNCTION("""COMPUTED_VALUE"""),365.5942574735825)</f>
        <v>365.5942575</v>
      </c>
      <c r="Z917" s="82">
        <f>IFERROR(__xludf.DUMMYFUNCTION("""COMPUTED_VALUE"""),0.7049064095292117)</f>
        <v>0.7049064095</v>
      </c>
      <c r="AA917" s="82">
        <f>IFERROR(__xludf.DUMMYFUNCTION("""COMPUTED_VALUE"""),0.5396144513770719)</f>
        <v>0.5396144514</v>
      </c>
      <c r="AB917" s="82">
        <f>IFERROR(__xludf.DUMMYFUNCTION("""COMPUTED_VALUE"""),1.653711319089935)</f>
        <v>1.653711319</v>
      </c>
      <c r="AC917" s="82">
        <f>IFERROR(__xludf.DUMMYFUNCTION("""COMPUTED_VALUE"""),2.4790432448898136)</f>
        <v>2.479043245</v>
      </c>
      <c r="AD917" s="82">
        <f>IFERROR(__xludf.DUMMYFUNCTION("""COMPUTED_VALUE"""),0.849302180361617)</f>
        <v>0.8493021804</v>
      </c>
      <c r="AE917" s="82">
        <f>IFERROR(__xludf.DUMMYFUNCTION("""COMPUTED_VALUE"""),0.7093140213236773)</f>
        <v>0.7093140213</v>
      </c>
      <c r="AF917" s="82">
        <f>IFERROR(__xludf.DUMMYFUNCTION("""COMPUTED_VALUE"""),0.9265874898717453)</f>
        <v>0.9265874899</v>
      </c>
      <c r="AG917" s="82">
        <f>IFERROR(__xludf.DUMMYFUNCTION("""COMPUTED_VALUE"""),1.0582258099092254)</f>
        <v>1.05822581</v>
      </c>
      <c r="AH917" s="82">
        <f>IFERROR(__xludf.DUMMYFUNCTION("""COMPUTED_VALUE"""),0.9076082091903992)</f>
        <v>0.9076082092</v>
      </c>
      <c r="AI917" s="82">
        <f>IFERROR(__xludf.DUMMYFUNCTION("""COMPUTED_VALUE"""),0.9856052089133303)</f>
        <v>0.9856052089</v>
      </c>
      <c r="AJ917" s="82">
        <f>IFERROR(__xludf.DUMMYFUNCTION("""COMPUTED_VALUE"""),1.2192765529382177)</f>
        <v>1.219276553</v>
      </c>
      <c r="AK917" s="82">
        <f>IFERROR(__xludf.DUMMYFUNCTION("""COMPUTED_VALUE"""),1.4297170661380427)</f>
        <v>1.429717066</v>
      </c>
      <c r="AL917" s="82">
        <f>IFERROR(__xludf.DUMMYFUNCTION("""COMPUTED_VALUE"""),0.7969516082294987)</f>
        <v>0.7969516082</v>
      </c>
      <c r="AM917" s="82">
        <f>IFERROR(__xludf.DUMMYFUNCTION("""COMPUTED_VALUE"""),1.1245721949550693)</f>
        <v>1.124572195</v>
      </c>
      <c r="AN917" s="82">
        <f>IFERROR(__xludf.DUMMYFUNCTION("""COMPUTED_VALUE"""),0.8856497468534837)</f>
        <v>0.8856497469</v>
      </c>
      <c r="AO917" s="82">
        <f>IFERROR(__xludf.DUMMYFUNCTION("""COMPUTED_VALUE"""),0.7053266863006076)</f>
        <v>0.7053266863</v>
      </c>
      <c r="AP917" s="82">
        <f>IFERROR(__xludf.DUMMYFUNCTION("""COMPUTED_VALUE"""),0.8758432311811349)</f>
        <v>0.8758432312</v>
      </c>
      <c r="AQ917" s="82">
        <f>IFERROR(__xludf.DUMMYFUNCTION("""COMPUTED_VALUE"""),1.2276923518113276)</f>
        <v>1.227692352</v>
      </c>
      <c r="AR917" s="82">
        <f>IFERROR(__xludf.DUMMYFUNCTION("""COMPUTED_VALUE"""),0.8975904013093123)</f>
        <v>0.8975904013</v>
      </c>
      <c r="AS917" s="82">
        <f>IFERROR(__xludf.DUMMYFUNCTION("""COMPUTED_VALUE"""),5.0)</f>
        <v>5</v>
      </c>
      <c r="AT917" s="82">
        <f>IFERROR(__xludf.DUMMYFUNCTION("""COMPUTED_VALUE"""),0.23618083429829864)</f>
        <v>0.2361808343</v>
      </c>
      <c r="AU917" s="82">
        <f>IFERROR(__xludf.DUMMYFUNCTION("""COMPUTED_VALUE"""),1.6383036858091624)</f>
        <v>1.638303686</v>
      </c>
      <c r="AV917" s="82">
        <f>IFERROR(__xludf.DUMMYFUNCTION("""COMPUTED_VALUE"""),28.27174636231303)</f>
        <v>28.27174636</v>
      </c>
      <c r="AW917" s="82">
        <f t="shared" si="1"/>
        <v>-5.197830064</v>
      </c>
      <c r="AX917" s="83">
        <f t="array" ref="AX917">IFERROR(DGET('SBV Import'!A:G,"SBV",{"RSC ID","Tier";B917,A917}))</f>
        <v>30.04883501</v>
      </c>
      <c r="AY917" s="82">
        <f t="shared" si="2"/>
        <v>-4.707616435</v>
      </c>
      <c r="AZ917" s="82">
        <v>0.49021362892333276</v>
      </c>
      <c r="BA917" s="84">
        <v>800.0</v>
      </c>
      <c r="BB917" s="84" t="b">
        <f>IFERROR(__xludf.DUMMYFUNCTION("iferror(if(A917="""",,E917&gt;=FILTER(Constants!$F$2:$F$10,Constants!$A$2:$A$10=A917)))"),TRUE)</f>
        <v>1</v>
      </c>
    </row>
    <row r="918">
      <c r="A918" s="80" t="str">
        <f>IFERROR(__xludf.DUMMYFUNCTION("""COMPUTED_VALUE"""),"Elite")</f>
        <v>Elite</v>
      </c>
      <c r="B918" s="73" t="str">
        <f>IFERROR(__xludf.DUMMYFUNCTION("""COMPUTED_VALUE"""),"RSC003277")</f>
        <v>RSC003277</v>
      </c>
      <c r="C918" s="73" t="str">
        <f>IFERROR(__xludf.DUMMYFUNCTION("""COMPUTED_VALUE"""),"Miikey.RL")</f>
        <v>Miikey.RL</v>
      </c>
      <c r="D918" s="73" t="str">
        <f>IFERROR(__xludf.DUMMYFUNCTION("""COMPUTED_VALUE"""),"Orochi")</f>
        <v>Orochi</v>
      </c>
      <c r="E918" s="82">
        <f>IFERROR(__xludf.DUMMYFUNCTION("""COMPUTED_VALUE"""),35.0)</f>
        <v>35</v>
      </c>
      <c r="F918" s="82">
        <f>IFERROR(__xludf.DUMMYFUNCTION("""COMPUTED_VALUE"""),15.0)</f>
        <v>15</v>
      </c>
      <c r="G918" s="82">
        <f>IFERROR(__xludf.DUMMYFUNCTION("""COMPUTED_VALUE"""),20.0)</f>
        <v>20</v>
      </c>
      <c r="H918" s="86">
        <f>IFERROR(__xludf.DUMMYFUNCTION("""COMPUTED_VALUE"""),0.42857142857142855)</f>
        <v>0.4285714286</v>
      </c>
      <c r="I918" s="86">
        <f>IFERROR(__xludf.DUMMYFUNCTION("""COMPUTED_VALUE"""),0.25)</f>
        <v>0.25</v>
      </c>
      <c r="J918" s="82">
        <f>IFERROR(__xludf.DUMMYFUNCTION("""COMPUTED_VALUE"""),300.4)</f>
        <v>300.4</v>
      </c>
      <c r="K918" s="82">
        <f>IFERROR(__xludf.DUMMYFUNCTION("""COMPUTED_VALUE"""),0.4857142857142857)</f>
        <v>0.4857142857</v>
      </c>
      <c r="L918" s="82">
        <f>IFERROR(__xludf.DUMMYFUNCTION("""COMPUTED_VALUE"""),0.37142857142857144)</f>
        <v>0.3714285714</v>
      </c>
      <c r="M918" s="82">
        <f>IFERROR(__xludf.DUMMYFUNCTION("""COMPUTED_VALUE"""),1.3142857142857143)</f>
        <v>1.314285714</v>
      </c>
      <c r="N918" s="82">
        <f>IFERROR(__xludf.DUMMYFUNCTION("""COMPUTED_VALUE"""),1.9428571428571428)</f>
        <v>1.942857143</v>
      </c>
      <c r="O918" s="82">
        <f>IFERROR(__xludf.DUMMYFUNCTION("""COMPUTED_VALUE"""),347.3714285714286)</f>
        <v>347.3714286</v>
      </c>
      <c r="P918" s="82">
        <f>IFERROR(__xludf.DUMMYFUNCTION("""COMPUTED_VALUE"""),0.6857142857142857)</f>
        <v>0.6857142857</v>
      </c>
      <c r="Q918" s="82">
        <f>IFERROR(__xludf.DUMMYFUNCTION("""COMPUTED_VALUE"""),0.5238095238095237)</f>
        <v>0.5238095238</v>
      </c>
      <c r="R918" s="82">
        <f>IFERROR(__xludf.DUMMYFUNCTION("""COMPUTED_VALUE"""),1.361904761904762)</f>
        <v>1.361904762</v>
      </c>
      <c r="S918" s="82">
        <f>IFERROR(__xludf.DUMMYFUNCTION("""COMPUTED_VALUE"""),2.7238095238095235)</f>
        <v>2.723809524</v>
      </c>
      <c r="T918" s="82">
        <f>IFERROR(__xludf.DUMMYFUNCTION("""COMPUTED_VALUE"""),364.6014392443173)</f>
        <v>364.6014392</v>
      </c>
      <c r="U918" s="82">
        <f>IFERROR(__xludf.DUMMYFUNCTION("""COMPUTED_VALUE"""),0.775497715496382)</f>
        <v>0.7754977155</v>
      </c>
      <c r="V918" s="82">
        <f>IFERROR(__xludf.DUMMYFUNCTION("""COMPUTED_VALUE"""),0.5741567994524979)</f>
        <v>0.5741567995</v>
      </c>
      <c r="W918" s="82">
        <f>IFERROR(__xludf.DUMMYFUNCTION("""COMPUTED_VALUE"""),1.4132011281183936)</f>
        <v>1.413201128</v>
      </c>
      <c r="X918" s="82">
        <f>IFERROR(__xludf.DUMMYFUNCTION("""COMPUTED_VALUE"""),2.7790046063961467)</f>
        <v>2.779004606</v>
      </c>
      <c r="Y918" s="82">
        <f>IFERROR(__xludf.DUMMYFUNCTION("""COMPUTED_VALUE"""),357.5586102414024)</f>
        <v>357.5586102</v>
      </c>
      <c r="Z918" s="82">
        <f>IFERROR(__xludf.DUMMYFUNCTION("""COMPUTED_VALUE"""),0.7171488666584762)</f>
        <v>0.7171488667</v>
      </c>
      <c r="AA918" s="82">
        <f>IFERROR(__xludf.DUMMYFUNCTION("""COMPUTED_VALUE"""),0.5436973352259742)</f>
        <v>0.5436973352</v>
      </c>
      <c r="AB918" s="82">
        <f>IFERROR(__xludf.DUMMYFUNCTION("""COMPUTED_VALUE"""),1.5034777869211085)</f>
        <v>1.503477787</v>
      </c>
      <c r="AC918" s="82">
        <f>IFERROR(__xludf.DUMMYFUNCTION("""COMPUTED_VALUE"""),2.5906668236743067)</f>
        <v>2.590666824</v>
      </c>
      <c r="AD918" s="82">
        <f>IFERROR(__xludf.DUMMYFUNCTION("""COMPUTED_VALUE"""),0.840141983428081)</f>
        <v>0.8401419834</v>
      </c>
      <c r="AE918" s="82">
        <f>IFERROR(__xludf.DUMMYFUNCTION("""COMPUTED_VALUE"""),0.6772851611373942)</f>
        <v>0.6772851611</v>
      </c>
      <c r="AF918" s="82">
        <f>IFERROR(__xludf.DUMMYFUNCTION("""COMPUTED_VALUE"""),0.6831531945511494)</f>
        <v>0.6831531946</v>
      </c>
      <c r="AG918" s="82">
        <f>IFERROR(__xludf.DUMMYFUNCTION("""COMPUTED_VALUE"""),0.8741637061211057)</f>
        <v>0.8741637061</v>
      </c>
      <c r="AH918" s="82">
        <f>IFERROR(__xludf.DUMMYFUNCTION("""COMPUTED_VALUE"""),0.7499448115453209)</f>
        <v>0.7499448115</v>
      </c>
      <c r="AI918" s="82">
        <f>IFERROR(__xludf.DUMMYFUNCTION("""COMPUTED_VALUE"""),0.9527428890335703)</f>
        <v>0.952742889</v>
      </c>
      <c r="AJ918" s="82">
        <f>IFERROR(__xludf.DUMMYFUNCTION("""COMPUTED_VALUE"""),0.8842247656079456)</f>
        <v>0.8842247656</v>
      </c>
      <c r="AK918" s="82">
        <f>IFERROR(__xludf.DUMMYFUNCTION("""COMPUTED_VALUE"""),0.9123109302354616)</f>
        <v>0.9123109302</v>
      </c>
      <c r="AL918" s="82">
        <f>IFERROR(__xludf.DUMMYFUNCTION("""COMPUTED_VALUE"""),0.9637020058978227)</f>
        <v>0.9637020059</v>
      </c>
      <c r="AM918" s="82">
        <f>IFERROR(__xludf.DUMMYFUNCTION("""COMPUTED_VALUE"""),0.9801385422465344)</f>
        <v>0.9801385422</v>
      </c>
      <c r="AN918" s="82">
        <f>IFERROR(__xludf.DUMMYFUNCTION("""COMPUTED_VALUE"""),0.8568411721571224)</f>
        <v>0.8568411722</v>
      </c>
      <c r="AO918" s="82">
        <f>IFERROR(__xludf.DUMMYFUNCTION("""COMPUTED_VALUE"""),0.6851744952634474)</f>
        <v>0.6851744953</v>
      </c>
      <c r="AP918" s="82">
        <f>IFERROR(__xludf.DUMMYFUNCTION("""COMPUTED_VALUE"""),0.650626400305986)</f>
        <v>0.6506264003</v>
      </c>
      <c r="AQ918" s="82">
        <f>IFERROR(__xludf.DUMMYFUNCTION("""COMPUTED_VALUE"""),0.9220220111562624)</f>
        <v>0.9220220112</v>
      </c>
      <c r="AR918" s="82">
        <f>IFERROR(__xludf.DUMMYFUNCTION("""COMPUTED_VALUE"""),0.7750621877972474)</f>
        <v>0.7750621878</v>
      </c>
      <c r="AS918" s="82">
        <f>IFERROR(__xludf.DUMMYFUNCTION("""COMPUTED_VALUE"""),67.0)</f>
        <v>67</v>
      </c>
      <c r="AT918" s="82">
        <f>IFERROR(__xludf.DUMMYFUNCTION("""COMPUTED_VALUE"""),0.47329473646226766)</f>
        <v>0.4732947365</v>
      </c>
      <c r="AU918" s="82">
        <f>IFERROR(__xludf.DUMMYFUNCTION("""COMPUTED_VALUE"""),1.6158843531152711)</f>
        <v>1.615884353</v>
      </c>
      <c r="AV918" s="82">
        <f>IFERROR(__xludf.DUMMYFUNCTION("""COMPUTED_VALUE"""),27.626871901816997)</f>
        <v>27.6268719</v>
      </c>
      <c r="AW918" s="82">
        <f t="shared" si="1"/>
        <v>-5.39334886</v>
      </c>
      <c r="AX918" s="83">
        <f t="array" ref="AX918">IFERROR(DGET('SBV Import'!A:G,"SBV",{"RSC ID","Tier";B918,A918}))</f>
        <v>23.62842145</v>
      </c>
      <c r="AY918" s="82">
        <f t="shared" si="2"/>
        <v>-6.861347771</v>
      </c>
      <c r="AZ918" s="82">
        <v>1.46799891063627</v>
      </c>
      <c r="BA918" s="84">
        <v>800.0</v>
      </c>
      <c r="BB918" s="84" t="b">
        <f>IFERROR(__xludf.DUMMYFUNCTION("iferror(if(A918="""",,E918&gt;=FILTER(Constants!$F$2:$F$10,Constants!$A$2:$A$10=A918)))"),TRUE)</f>
        <v>1</v>
      </c>
    </row>
    <row r="919">
      <c r="A919" s="80" t="str">
        <f>IFERROR(__xludf.DUMMYFUNCTION("""COMPUTED_VALUE"""),"Elite")</f>
        <v>Elite</v>
      </c>
      <c r="B919" s="73" t="str">
        <f>IFERROR(__xludf.DUMMYFUNCTION("""COMPUTED_VALUE"""),"RSC004239")</f>
        <v>RSC004239</v>
      </c>
      <c r="C919" s="73" t="str">
        <f>IFERROR(__xludf.DUMMYFUNCTION("""COMPUTED_VALUE"""),"Nitro")</f>
        <v>Nitro</v>
      </c>
      <c r="D919" s="73" t="str">
        <f>IFERROR(__xludf.DUMMYFUNCTION("""COMPUTED_VALUE"""),"Mosaic Maestros")</f>
        <v>Mosaic Maestros</v>
      </c>
      <c r="E919" s="82">
        <f>IFERROR(__xludf.DUMMYFUNCTION("""COMPUTED_VALUE"""),4.0)</f>
        <v>4</v>
      </c>
      <c r="F919" s="82">
        <f>IFERROR(__xludf.DUMMYFUNCTION("""COMPUTED_VALUE"""),0.0)</f>
        <v>0</v>
      </c>
      <c r="G919" s="82">
        <f>IFERROR(__xludf.DUMMYFUNCTION("""COMPUTED_VALUE"""),4.0)</f>
        <v>4</v>
      </c>
      <c r="H919" s="86">
        <f>IFERROR(__xludf.DUMMYFUNCTION("""COMPUTED_VALUE"""),0.0)</f>
        <v>0</v>
      </c>
      <c r="I919" s="86">
        <f>IFERROR(__xludf.DUMMYFUNCTION("""COMPUTED_VALUE"""),0.1)</f>
        <v>0.1</v>
      </c>
      <c r="J919" s="82">
        <f>IFERROR(__xludf.DUMMYFUNCTION("""COMPUTED_VALUE"""),390.25)</f>
        <v>390.25</v>
      </c>
      <c r="K919" s="82">
        <f>IFERROR(__xludf.DUMMYFUNCTION("""COMPUTED_VALUE"""),0.25)</f>
        <v>0.25</v>
      </c>
      <c r="L919" s="82">
        <f>IFERROR(__xludf.DUMMYFUNCTION("""COMPUTED_VALUE"""),0.75)</f>
        <v>0.75</v>
      </c>
      <c r="M919" s="82">
        <f>IFERROR(__xludf.DUMMYFUNCTION("""COMPUTED_VALUE"""),2.5)</f>
        <v>2.5</v>
      </c>
      <c r="N919" s="82">
        <f>IFERROR(__xludf.DUMMYFUNCTION("""COMPUTED_VALUE"""),2.5)</f>
        <v>2.5</v>
      </c>
      <c r="O919" s="82">
        <f>IFERROR(__xludf.DUMMYFUNCTION("""COMPUTED_VALUE"""),443.5)</f>
        <v>443.5</v>
      </c>
      <c r="P919" s="82">
        <f>IFERROR(__xludf.DUMMYFUNCTION("""COMPUTED_VALUE"""),1.3333333333333333)</f>
        <v>1.333333333</v>
      </c>
      <c r="Q919" s="82">
        <f>IFERROR(__xludf.DUMMYFUNCTION("""COMPUTED_VALUE"""),0.9166666666666666)</f>
        <v>0.9166666667</v>
      </c>
      <c r="R919" s="82">
        <f>IFERROR(__xludf.DUMMYFUNCTION("""COMPUTED_VALUE"""),1.0833333333333335)</f>
        <v>1.083333333</v>
      </c>
      <c r="S919" s="82">
        <f>IFERROR(__xludf.DUMMYFUNCTION("""COMPUTED_VALUE"""),4.166666666666667)</f>
        <v>4.166666667</v>
      </c>
      <c r="T919" s="82">
        <f>IFERROR(__xludf.DUMMYFUNCTION("""COMPUTED_VALUE"""),381.3971631205674)</f>
        <v>381.3971631</v>
      </c>
      <c r="U919" s="82">
        <f>IFERROR(__xludf.DUMMYFUNCTION("""COMPUTED_VALUE"""),0.8985650667986146)</f>
        <v>0.8985650668</v>
      </c>
      <c r="V919" s="82">
        <f>IFERROR(__xludf.DUMMYFUNCTION("""COMPUTED_VALUE"""),0.6107537522678542)</f>
        <v>0.6107537523</v>
      </c>
      <c r="W919" s="82">
        <f>IFERROR(__xludf.DUMMYFUNCTION("""COMPUTED_VALUE"""),1.4355929407883885)</f>
        <v>1.435592941</v>
      </c>
      <c r="X919" s="82">
        <f>IFERROR(__xludf.DUMMYFUNCTION("""COMPUTED_VALUE"""),2.9035131123206335)</f>
        <v>2.903513112</v>
      </c>
      <c r="Y919" s="82">
        <f>IFERROR(__xludf.DUMMYFUNCTION("""COMPUTED_VALUE"""),357.7749189070317)</f>
        <v>357.7749189</v>
      </c>
      <c r="Z919" s="82">
        <f>IFERROR(__xludf.DUMMYFUNCTION("""COMPUTED_VALUE"""),0.681510803232723)</f>
        <v>0.6815108032</v>
      </c>
      <c r="AA919" s="82">
        <f>IFERROR(__xludf.DUMMYFUNCTION("""COMPUTED_VALUE"""),0.5164659959316071)</f>
        <v>0.5164659959</v>
      </c>
      <c r="AB919" s="82">
        <f>IFERROR(__xludf.DUMMYFUNCTION("""COMPUTED_VALUE"""),1.5564901863763811)</f>
        <v>1.556490186</v>
      </c>
      <c r="AC919" s="82">
        <f>IFERROR(__xludf.DUMMYFUNCTION("""COMPUTED_VALUE"""),2.574742976524273)</f>
        <v>2.574742977</v>
      </c>
      <c r="AD919" s="82">
        <f>IFERROR(__xludf.DUMMYFUNCTION("""COMPUTED_VALUE"""),1.0907695855041393)</f>
        <v>1.090769586</v>
      </c>
      <c r="AE919" s="82">
        <f>IFERROR(__xludf.DUMMYFUNCTION("""COMPUTED_VALUE"""),0.36683204259438534)</f>
        <v>0.3668320426</v>
      </c>
      <c r="AF919" s="82">
        <f>IFERROR(__xludf.DUMMYFUNCTION("""COMPUTED_VALUE"""),1.4521769214392162)</f>
        <v>1.452176921</v>
      </c>
      <c r="AG919" s="82">
        <f>IFERROR(__xludf.DUMMYFUNCTION("""COMPUTED_VALUE"""),1.6061778107449403)</f>
        <v>1.606177811</v>
      </c>
      <c r="AH919" s="82">
        <f>IFERROR(__xludf.DUMMYFUNCTION("""COMPUTED_VALUE"""),0.9709707037922787)</f>
        <v>0.9709707038</v>
      </c>
      <c r="AI919" s="82">
        <f>IFERROR(__xludf.DUMMYFUNCTION("""COMPUTED_VALUE"""),1.1628298343157855)</f>
        <v>1.162829834</v>
      </c>
      <c r="AJ919" s="82">
        <f>IFERROR(__xludf.DUMMYFUNCTION("""COMPUTED_VALUE"""),1.4838472834067546)</f>
        <v>1.483847283</v>
      </c>
      <c r="AK919" s="82">
        <f>IFERROR(__xludf.DUMMYFUNCTION("""COMPUTED_VALUE"""),1.5008776667566837)</f>
        <v>1.500877667</v>
      </c>
      <c r="AL919" s="82">
        <f>IFERROR(__xludf.DUMMYFUNCTION("""COMPUTED_VALUE"""),0.7546243106617648)</f>
        <v>0.7546243107</v>
      </c>
      <c r="AM919" s="82">
        <f>IFERROR(__xludf.DUMMYFUNCTION("""COMPUTED_VALUE"""),1.4350431720063623)</f>
        <v>1.435043172</v>
      </c>
      <c r="AN919" s="82">
        <f>IFERROR(__xludf.DUMMYFUNCTION("""COMPUTED_VALUE"""),1.113123393589604)</f>
        <v>1.113123394</v>
      </c>
      <c r="AO919" s="82">
        <f>IFERROR(__xludf.DUMMYFUNCTION("""COMPUTED_VALUE"""),0.3526633431503038)</f>
        <v>0.3526633432</v>
      </c>
      <c r="AP919" s="82">
        <f>IFERROR(__xludf.DUMMYFUNCTION("""COMPUTED_VALUE"""),1.3137648467717025)</f>
        <v>1.313764847</v>
      </c>
      <c r="AQ919" s="82">
        <f>IFERROR(__xludf.DUMMYFUNCTION("""COMPUTED_VALUE"""),1.7538462168733253)</f>
        <v>1.753846217</v>
      </c>
      <c r="AR919" s="82">
        <f>IFERROR(__xludf.DUMMYFUNCTION("""COMPUTED_VALUE"""),0.9973226681214582)</f>
        <v>0.9973226681</v>
      </c>
      <c r="AS919" s="82">
        <f>IFERROR(__xludf.DUMMYFUNCTION("""COMPUTED_VALUE"""),5.0)</f>
        <v>5</v>
      </c>
      <c r="AT919" s="82">
        <f>IFERROR(__xludf.DUMMYFUNCTION("""COMPUTED_VALUE"""),0.13330255539805816)</f>
        <v>0.1333025554</v>
      </c>
      <c r="AU919" s="82">
        <f>IFERROR(__xludf.DUMMYFUNCTION("""COMPUTED_VALUE"""),1.6147116108809865)</f>
        <v>1.614711611</v>
      </c>
      <c r="AV919" s="82">
        <f>IFERROR(__xludf.DUMMYFUNCTION("""COMPUTED_VALUE"""),27.593138894418374)</f>
        <v>27.59313889</v>
      </c>
      <c r="AW919" s="82">
        <f t="shared" si="1"/>
        <v>-5.403854286</v>
      </c>
      <c r="AX919" s="83">
        <f t="array" ref="AX919">IFERROR(DGET('SBV Import'!A:G,"SBV",{"RSC ID","Tier";B919,A919}))</f>
        <v>43.80070457</v>
      </c>
      <c r="AY919" s="82">
        <f t="shared" si="2"/>
        <v>-2.487078964</v>
      </c>
      <c r="AZ919" s="82">
        <v>2.916775322713852</v>
      </c>
      <c r="BA919" s="84">
        <v>800.0</v>
      </c>
      <c r="BB919" s="84" t="b">
        <f>IFERROR(__xludf.DUMMYFUNCTION("iferror(if(A919="""",,E919&gt;=FILTER(Constants!$F$2:$F$10,Constants!$A$2:$A$10=A919)))"),TRUE)</f>
        <v>1</v>
      </c>
    </row>
    <row r="920">
      <c r="A920" s="80" t="str">
        <f>IFERROR(__xludf.DUMMYFUNCTION("""COMPUTED_VALUE"""),"Elite")</f>
        <v>Elite</v>
      </c>
      <c r="B920" s="73" t="str">
        <f>IFERROR(__xludf.DUMMYFUNCTION("""COMPUTED_VALUE"""),"RSC004820")</f>
        <v>RSC004820</v>
      </c>
      <c r="C920" s="73" t="str">
        <f>IFERROR(__xludf.DUMMYFUNCTION("""COMPUTED_VALUE"""),"AoS Arctic")</f>
        <v>AoS Arctic</v>
      </c>
      <c r="D920" s="73" t="str">
        <f>IFERROR(__xludf.DUMMYFUNCTION("""COMPUTED_VALUE"""),"Summoned")</f>
        <v>Summoned</v>
      </c>
      <c r="E920" s="82">
        <f>IFERROR(__xludf.DUMMYFUNCTION("""COMPUTED_VALUE"""),39.0)</f>
        <v>39</v>
      </c>
      <c r="F920" s="82">
        <f>IFERROR(__xludf.DUMMYFUNCTION("""COMPUTED_VALUE"""),13.0)</f>
        <v>13</v>
      </c>
      <c r="G920" s="82">
        <f>IFERROR(__xludf.DUMMYFUNCTION("""COMPUTED_VALUE"""),26.0)</f>
        <v>26</v>
      </c>
      <c r="H920" s="86">
        <f>IFERROR(__xludf.DUMMYFUNCTION("""COMPUTED_VALUE"""),0.3333333333333333)</f>
        <v>0.3333333333</v>
      </c>
      <c r="I920" s="86">
        <f>IFERROR(__xludf.DUMMYFUNCTION("""COMPUTED_VALUE"""),0.23188405797101447)</f>
        <v>0.231884058</v>
      </c>
      <c r="J920" s="82">
        <f>IFERROR(__xludf.DUMMYFUNCTION("""COMPUTED_VALUE"""),299.54285714285714)</f>
        <v>299.5428571</v>
      </c>
      <c r="K920" s="82">
        <f>IFERROR(__xludf.DUMMYFUNCTION("""COMPUTED_VALUE"""),0.45714285714285713)</f>
        <v>0.4571428571</v>
      </c>
      <c r="L920" s="82">
        <f>IFERROR(__xludf.DUMMYFUNCTION("""COMPUTED_VALUE"""),0.5142857142857142)</f>
        <v>0.5142857143</v>
      </c>
      <c r="M920" s="82">
        <f>IFERROR(__xludf.DUMMYFUNCTION("""COMPUTED_VALUE"""),1.2285714285714286)</f>
        <v>1.228571429</v>
      </c>
      <c r="N920" s="82">
        <f>IFERROR(__xludf.DUMMYFUNCTION("""COMPUTED_VALUE"""),1.9714285714285715)</f>
        <v>1.971428571</v>
      </c>
      <c r="O920" s="82">
        <f>IFERROR(__xludf.DUMMYFUNCTION("""COMPUTED_VALUE"""),356.55238095238093)</f>
        <v>356.552381</v>
      </c>
      <c r="P920" s="82">
        <f>IFERROR(__xludf.DUMMYFUNCTION("""COMPUTED_VALUE"""),0.9238095238095239)</f>
        <v>0.9238095238</v>
      </c>
      <c r="Q920" s="82">
        <f>IFERROR(__xludf.DUMMYFUNCTION("""COMPUTED_VALUE"""),0.6476190476190478)</f>
        <v>0.6476190476</v>
      </c>
      <c r="R920" s="82">
        <f>IFERROR(__xludf.DUMMYFUNCTION("""COMPUTED_VALUE"""),1.104761904761905)</f>
        <v>1.104761905</v>
      </c>
      <c r="S920" s="82">
        <f>IFERROR(__xludf.DUMMYFUNCTION("""COMPUTED_VALUE"""),2.904761904761905)</f>
        <v>2.904761905</v>
      </c>
      <c r="T920" s="82">
        <f>IFERROR(__xludf.DUMMYFUNCTION("""COMPUTED_VALUE"""),367.4867677131463)</f>
        <v>367.4867677</v>
      </c>
      <c r="U920" s="82">
        <f>IFERROR(__xludf.DUMMYFUNCTION("""COMPUTED_VALUE"""),0.820477283619906)</f>
        <v>0.8204772836</v>
      </c>
      <c r="V920" s="82">
        <f>IFERROR(__xludf.DUMMYFUNCTION("""COMPUTED_VALUE"""),0.6086115548681451)</f>
        <v>0.6086115549</v>
      </c>
      <c r="W920" s="82">
        <f>IFERROR(__xludf.DUMMYFUNCTION("""COMPUTED_VALUE"""),1.3803707520995754)</f>
        <v>1.380370752</v>
      </c>
      <c r="X920" s="82">
        <f>IFERROR(__xludf.DUMMYFUNCTION("""COMPUTED_VALUE"""),2.817692954081692)</f>
        <v>2.817692954</v>
      </c>
      <c r="Y920" s="82">
        <f>IFERROR(__xludf.DUMMYFUNCTION("""COMPUTED_VALUE"""),362.33016996376296)</f>
        <v>362.33017</v>
      </c>
      <c r="Z920" s="82">
        <f>IFERROR(__xludf.DUMMYFUNCTION("""COMPUTED_VALUE"""),0.7599613584901442)</f>
        <v>0.7599613585</v>
      </c>
      <c r="AA920" s="82">
        <f>IFERROR(__xludf.DUMMYFUNCTION("""COMPUTED_VALUE"""),0.5802078697875962)</f>
        <v>0.5802078698</v>
      </c>
      <c r="AB920" s="82">
        <f>IFERROR(__xludf.DUMMYFUNCTION("""COMPUTED_VALUE"""),1.5062182399966684)</f>
        <v>1.50621824</v>
      </c>
      <c r="AC920" s="82">
        <f>IFERROR(__xludf.DUMMYFUNCTION("""COMPUTED_VALUE"""),2.5661484551082245)</f>
        <v>2.566148455</v>
      </c>
      <c r="AD920" s="82">
        <f>IFERROR(__xludf.DUMMYFUNCTION("""COMPUTED_VALUE"""),0.8267124351604912)</f>
        <v>0.8267124352</v>
      </c>
      <c r="AE920" s="82">
        <f>IFERROR(__xludf.DUMMYFUNCTION("""COMPUTED_VALUE"""),0.601534343865966)</f>
        <v>0.6015343439</v>
      </c>
      <c r="AF920" s="82">
        <f>IFERROR(__xludf.DUMMYFUNCTION("""COMPUTED_VALUE"""),0.886381831521839)</f>
        <v>0.8863818315</v>
      </c>
      <c r="AG920" s="82">
        <f>IFERROR(__xludf.DUMMYFUNCTION("""COMPUTED_VALUE"""),0.8156662799237819)</f>
        <v>0.8156662799</v>
      </c>
      <c r="AH920" s="82">
        <f>IFERROR(__xludf.DUMMYFUNCTION("""COMPUTED_VALUE"""),0.7682441627662686)</f>
        <v>0.7682441628</v>
      </c>
      <c r="AI920" s="82">
        <f>IFERROR(__xludf.DUMMYFUNCTION("""COMPUTED_VALUE"""),0.9702454952900492)</f>
        <v>0.9702454953</v>
      </c>
      <c r="AJ920" s="82">
        <f>IFERROR(__xludf.DUMMYFUNCTION("""COMPUTED_VALUE"""),1.125941622336844)</f>
        <v>1.125941622</v>
      </c>
      <c r="AK920" s="82">
        <f>IFERROR(__xludf.DUMMYFUNCTION("""COMPUTED_VALUE"""),1.0640925931144267)</f>
        <v>1.064092593</v>
      </c>
      <c r="AL920" s="82">
        <f>IFERROR(__xludf.DUMMYFUNCTION("""COMPUTED_VALUE"""),0.8003370855848235)</f>
        <v>0.8003370856</v>
      </c>
      <c r="AM920" s="82">
        <f>IFERROR(__xludf.DUMMYFUNCTION("""COMPUTED_VALUE"""),1.0309007944084487)</f>
        <v>1.030900794</v>
      </c>
      <c r="AN920" s="82">
        <f>IFERROR(__xludf.DUMMYFUNCTION("""COMPUTED_VALUE"""),0.8543963143328203)</f>
        <v>0.8543963143</v>
      </c>
      <c r="AO920" s="82">
        <f>IFERROR(__xludf.DUMMYFUNCTION("""COMPUTED_VALUE"""),0.6448701131891269)</f>
        <v>0.6448701132</v>
      </c>
      <c r="AP920" s="82">
        <f>IFERROR(__xludf.DUMMYFUNCTION("""COMPUTED_VALUE"""),0.9008673235005958)</f>
        <v>0.9008673235</v>
      </c>
      <c r="AQ920" s="82">
        <f>IFERROR(__xludf.DUMMYFUNCTION("""COMPUTED_VALUE"""),0.8618901408634627)</f>
        <v>0.8618901409</v>
      </c>
      <c r="AR920" s="82">
        <f>IFERROR(__xludf.DUMMYFUNCTION("""COMPUTED_VALUE"""),0.7864601611472071)</f>
        <v>0.7864601611</v>
      </c>
      <c r="AS920" s="82">
        <f>IFERROR(__xludf.DUMMYFUNCTION("""COMPUTED_VALUE"""),69.0)</f>
        <v>69</v>
      </c>
      <c r="AT920" s="82">
        <f>IFERROR(__xludf.DUMMYFUNCTION("""COMPUTED_VALUE"""),0.3333907850497247)</f>
        <v>0.333390785</v>
      </c>
      <c r="AU920" s="82">
        <f>IFERROR(__xludf.DUMMYFUNCTION("""COMPUTED_VALUE"""),1.5761265208252087)</f>
        <v>1.576126521</v>
      </c>
      <c r="AV920" s="82">
        <f>IFERROR(__xludf.DUMMYFUNCTION("""COMPUTED_VALUE"""),26.483269146168002)</f>
        <v>26.48326915</v>
      </c>
      <c r="AW920" s="82">
        <f t="shared" si="1"/>
        <v>-5.765775906</v>
      </c>
      <c r="AX920" s="83">
        <f t="array" ref="AX920">IFERROR(DGET('SBV Import'!A:G,"SBV",{"RSC ID","Tier";B920,A920}))</f>
        <v>27.79309281</v>
      </c>
      <c r="AY920" s="82">
        <f t="shared" si="2"/>
        <v>-5.341992323</v>
      </c>
      <c r="AZ920" s="82">
        <v>0.4237835831040062</v>
      </c>
      <c r="BA920" s="84">
        <v>800.0</v>
      </c>
      <c r="BB920" s="84" t="b">
        <f>IFERROR(__xludf.DUMMYFUNCTION("iferror(if(A920="""",,E920&gt;=FILTER(Constants!$F$2:$F$10,Constants!$A$2:$A$10=A920)))"),TRUE)</f>
        <v>1</v>
      </c>
    </row>
    <row r="921">
      <c r="A921" s="80" t="str">
        <f>IFERROR(__xludf.DUMMYFUNCTION("""COMPUTED_VALUE"""),"Elite")</f>
        <v>Elite</v>
      </c>
      <c r="B921" s="73" t="str">
        <f>IFERROR(__xludf.DUMMYFUNCTION("""COMPUTED_VALUE"""),"RSC003082")</f>
        <v>RSC003082</v>
      </c>
      <c r="C921" s="73" t="str">
        <f>IFERROR(__xludf.DUMMYFUNCTION("""COMPUTED_VALUE"""),"Skulzy9")</f>
        <v>Skulzy9</v>
      </c>
      <c r="D921" s="73" t="str">
        <f>IFERROR(__xludf.DUMMYFUNCTION("""COMPUTED_VALUE"""),"Drive Bye")</f>
        <v>Drive Bye</v>
      </c>
      <c r="E921" s="82">
        <f>IFERROR(__xludf.DUMMYFUNCTION("""COMPUTED_VALUE"""),28.0)</f>
        <v>28</v>
      </c>
      <c r="F921" s="82">
        <f>IFERROR(__xludf.DUMMYFUNCTION("""COMPUTED_VALUE"""),7.0)</f>
        <v>7</v>
      </c>
      <c r="G921" s="82">
        <f>IFERROR(__xludf.DUMMYFUNCTION("""COMPUTED_VALUE"""),21.0)</f>
        <v>21</v>
      </c>
      <c r="H921" s="86">
        <f>IFERROR(__xludf.DUMMYFUNCTION("""COMPUTED_VALUE"""),0.25)</f>
        <v>0.25</v>
      </c>
      <c r="I921" s="86">
        <f>IFERROR(__xludf.DUMMYFUNCTION("""COMPUTED_VALUE"""),0.1896551724137931)</f>
        <v>0.1896551724</v>
      </c>
      <c r="J921" s="82">
        <f>IFERROR(__xludf.DUMMYFUNCTION("""COMPUTED_VALUE"""),329.7857142857143)</f>
        <v>329.7857143</v>
      </c>
      <c r="K921" s="82">
        <f>IFERROR(__xludf.DUMMYFUNCTION("""COMPUTED_VALUE"""),0.39285714285714285)</f>
        <v>0.3928571429</v>
      </c>
      <c r="L921" s="82">
        <f>IFERROR(__xludf.DUMMYFUNCTION("""COMPUTED_VALUE"""),0.5)</f>
        <v>0.5</v>
      </c>
      <c r="M921" s="82">
        <f>IFERROR(__xludf.DUMMYFUNCTION("""COMPUTED_VALUE"""),1.4642857142857142)</f>
        <v>1.464285714</v>
      </c>
      <c r="N921" s="82">
        <f>IFERROR(__xludf.DUMMYFUNCTION("""COMPUTED_VALUE"""),2.0714285714285716)</f>
        <v>2.071428571</v>
      </c>
      <c r="O921" s="82">
        <f>IFERROR(__xludf.DUMMYFUNCTION("""COMPUTED_VALUE"""),383.1904761904761)</f>
        <v>383.1904762</v>
      </c>
      <c r="P921" s="82">
        <f>IFERROR(__xludf.DUMMYFUNCTION("""COMPUTED_VALUE"""),0.988095238095238)</f>
        <v>0.9880952381</v>
      </c>
      <c r="Q921" s="82">
        <f>IFERROR(__xludf.DUMMYFUNCTION("""COMPUTED_VALUE"""),0.8095238095238095)</f>
        <v>0.8095238095</v>
      </c>
      <c r="R921" s="82">
        <f>IFERROR(__xludf.DUMMYFUNCTION("""COMPUTED_VALUE"""),1.1785714285714284)</f>
        <v>1.178571429</v>
      </c>
      <c r="S921" s="82">
        <f>IFERROR(__xludf.DUMMYFUNCTION("""COMPUTED_VALUE"""),2.976190476190476)</f>
        <v>2.976190476</v>
      </c>
      <c r="T921" s="82">
        <f>IFERROR(__xludf.DUMMYFUNCTION("""COMPUTED_VALUE"""),367.95867620297605)</f>
        <v>367.9586762</v>
      </c>
      <c r="U921" s="82">
        <f>IFERROR(__xludf.DUMMYFUNCTION("""COMPUTED_VALUE"""),0.8295698048352247)</f>
        <v>0.8295698048</v>
      </c>
      <c r="V921" s="82">
        <f>IFERROR(__xludf.DUMMYFUNCTION("""COMPUTED_VALUE"""),0.6378707810541311)</f>
        <v>0.6378707811</v>
      </c>
      <c r="W921" s="82">
        <f>IFERROR(__xludf.DUMMYFUNCTION("""COMPUTED_VALUE"""),1.3843109613205673)</f>
        <v>1.384310961</v>
      </c>
      <c r="X921" s="82">
        <f>IFERROR(__xludf.DUMMYFUNCTION("""COMPUTED_VALUE"""),2.7051012086864796)</f>
        <v>2.705101209</v>
      </c>
      <c r="Y921" s="82">
        <f>IFERROR(__xludf.DUMMYFUNCTION("""COMPUTED_VALUE"""),345.6120352891936)</f>
        <v>345.6120353</v>
      </c>
      <c r="Z921" s="82">
        <f>IFERROR(__xludf.DUMMYFUNCTION("""COMPUTED_VALUE"""),0.7172852833157853)</f>
        <v>0.7172852833</v>
      </c>
      <c r="AA921" s="82">
        <f>IFERROR(__xludf.DUMMYFUNCTION("""COMPUTED_VALUE"""),0.5203866001276404)</f>
        <v>0.5203866001</v>
      </c>
      <c r="AB921" s="82">
        <f>IFERROR(__xludf.DUMMYFUNCTION("""COMPUTED_VALUE"""),1.3912690231502725)</f>
        <v>1.391269023</v>
      </c>
      <c r="AC921" s="82">
        <f>IFERROR(__xludf.DUMMYFUNCTION("""COMPUTED_VALUE"""),2.5229655537050775)</f>
        <v>2.522965554</v>
      </c>
      <c r="AD921" s="82">
        <f>IFERROR(__xludf.DUMMYFUNCTION("""COMPUTED_VALUE"""),0.9542078417777421)</f>
        <v>0.9542078418</v>
      </c>
      <c r="AE921" s="82">
        <f>IFERROR(__xludf.DUMMYFUNCTION("""COMPUTED_VALUE"""),0.5476999904990205)</f>
        <v>0.5476999905</v>
      </c>
      <c r="AF921" s="82">
        <f>IFERROR(__xludf.DUMMYFUNCTION("""COMPUTED_VALUE"""),0.9608241255200654)</f>
        <v>0.9608241255</v>
      </c>
      <c r="AG921" s="82">
        <f>IFERROR(__xludf.DUMMYFUNCTION("""COMPUTED_VALUE"""),1.052482079253162)</f>
        <v>1.052482079</v>
      </c>
      <c r="AH921" s="82">
        <f>IFERROR(__xludf.DUMMYFUNCTION("""COMPUTED_VALUE"""),0.8210292718371024)</f>
        <v>0.8210292718</v>
      </c>
      <c r="AI921" s="82">
        <f>IFERROR(__xludf.DUMMYFUNCTION("""COMPUTED_VALUE"""),1.0413954092472542)</f>
        <v>1.041395409</v>
      </c>
      <c r="AJ921" s="82">
        <f>IFERROR(__xludf.DUMMYFUNCTION("""COMPUTED_VALUE"""),1.1910935431063585)</f>
        <v>1.191093543</v>
      </c>
      <c r="AK921" s="82">
        <f>IFERROR(__xludf.DUMMYFUNCTION("""COMPUTED_VALUE"""),1.269103137450517)</f>
        <v>1.269103137</v>
      </c>
      <c r="AL921" s="82">
        <f>IFERROR(__xludf.DUMMYFUNCTION("""COMPUTED_VALUE"""),0.8513776611630142)</f>
        <v>0.8513776612</v>
      </c>
      <c r="AM921" s="82">
        <f>IFERROR(__xludf.DUMMYFUNCTION("""COMPUTED_VALUE"""),1.1002140942577263)</f>
        <v>1.100214094</v>
      </c>
      <c r="AN921" s="82">
        <f>IFERROR(__xludf.DUMMYFUNCTION("""COMPUTED_VALUE"""),0.940659047900284)</f>
        <v>0.9406590479</v>
      </c>
      <c r="AO921" s="82">
        <f>IFERROR(__xludf.DUMMYFUNCTION("""COMPUTED_VALUE"""),0.554185253521906)</f>
        <v>0.5541852535</v>
      </c>
      <c r="AP921" s="82">
        <f>IFERROR(__xludf.DUMMYFUNCTION("""COMPUTED_VALUE"""),0.8758432311811349)</f>
        <v>0.8758432312</v>
      </c>
      <c r="AQ921" s="82">
        <f>IFERROR(__xludf.DUMMYFUNCTION("""COMPUTED_VALUE"""),1.0272527841686618)</f>
        <v>1.027252784</v>
      </c>
      <c r="AR921" s="82">
        <f>IFERROR(__xludf.DUMMYFUNCTION("""COMPUTED_VALUE"""),0.8263530678720654)</f>
        <v>0.8263530679</v>
      </c>
      <c r="AS921" s="82">
        <f>IFERROR(__xludf.DUMMYFUNCTION("""COMPUTED_VALUE"""),43.0)</f>
        <v>43</v>
      </c>
      <c r="AT921" s="82">
        <f>IFERROR(__xludf.DUMMYFUNCTION("""COMPUTED_VALUE"""),0.2664610285836145)</f>
        <v>0.2664610286</v>
      </c>
      <c r="AU921" s="82">
        <f>IFERROR(__xludf.DUMMYFUNCTION("""COMPUTED_VALUE"""),1.5080218721636713)</f>
        <v>1.508021872</v>
      </c>
      <c r="AV921" s="82">
        <f>IFERROR(__xludf.DUMMYFUNCTION("""COMPUTED_VALUE"""),24.524292527080338)</f>
        <v>24.52429253</v>
      </c>
      <c r="AW921" s="82">
        <f t="shared" si="1"/>
        <v>-6.489513086</v>
      </c>
      <c r="AX921" s="83">
        <f t="array" ref="AX921">IFERROR(DGET('SBV Import'!A:G,"SBV",{"RSC ID","Tier";B921,A921}))</f>
        <v>40.1585988</v>
      </c>
      <c r="AY921" s="82">
        <f t="shared" si="2"/>
        <v>-2.882529729</v>
      </c>
      <c r="AZ921" s="82">
        <v>3.6069833568897223</v>
      </c>
      <c r="BA921" s="84">
        <v>800.0</v>
      </c>
      <c r="BB921" s="84" t="b">
        <f>IFERROR(__xludf.DUMMYFUNCTION("iferror(if(A921="""",,E921&gt;=FILTER(Constants!$F$2:$F$10,Constants!$A$2:$A$10=A921)))"),TRUE)</f>
        <v>1</v>
      </c>
    </row>
    <row r="922">
      <c r="A922" s="80" t="str">
        <f>IFERROR(__xludf.DUMMYFUNCTION("""COMPUTED_VALUE"""),"Elite")</f>
        <v>Elite</v>
      </c>
      <c r="B922" s="73" t="str">
        <f>IFERROR(__xludf.DUMMYFUNCTION("""COMPUTED_VALUE"""),"RSC005469")</f>
        <v>RSC005469</v>
      </c>
      <c r="C922" s="73" t="str">
        <f>IFERROR(__xludf.DUMMYFUNCTION("""COMPUTED_VALUE"""),"Axlos (Goofy and Silly)")</f>
        <v>Axlos (Goofy and Silly)</v>
      </c>
      <c r="D922" s="73" t="str">
        <f>IFERROR(__xludf.DUMMYFUNCTION("""COMPUTED_VALUE"""),"Keno")</f>
        <v>Keno</v>
      </c>
      <c r="E922" s="82">
        <f>IFERROR(__xludf.DUMMYFUNCTION("""COMPUTED_VALUE"""),27.0)</f>
        <v>27</v>
      </c>
      <c r="F922" s="82">
        <f>IFERROR(__xludf.DUMMYFUNCTION("""COMPUTED_VALUE"""),12.0)</f>
        <v>12</v>
      </c>
      <c r="G922" s="82">
        <f>IFERROR(__xludf.DUMMYFUNCTION("""COMPUTED_VALUE"""),15.0)</f>
        <v>15</v>
      </c>
      <c r="H922" s="86">
        <f>IFERROR(__xludf.DUMMYFUNCTION("""COMPUTED_VALUE"""),0.4444444444444444)</f>
        <v>0.4444444444</v>
      </c>
      <c r="I922" s="86">
        <f>IFERROR(__xludf.DUMMYFUNCTION("""COMPUTED_VALUE"""),0.2545454545454545)</f>
        <v>0.2545454545</v>
      </c>
      <c r="J922" s="82">
        <f>IFERROR(__xludf.DUMMYFUNCTION("""COMPUTED_VALUE"""),292.4074074074074)</f>
        <v>292.4074074</v>
      </c>
      <c r="K922" s="82">
        <f>IFERROR(__xludf.DUMMYFUNCTION("""COMPUTED_VALUE"""),0.5185185185185185)</f>
        <v>0.5185185185</v>
      </c>
      <c r="L922" s="82">
        <f>IFERROR(__xludf.DUMMYFUNCTION("""COMPUTED_VALUE"""),0.3333333333333333)</f>
        <v>0.3333333333</v>
      </c>
      <c r="M922" s="82">
        <f>IFERROR(__xludf.DUMMYFUNCTION("""COMPUTED_VALUE"""),1.1111111111111112)</f>
        <v>1.111111111</v>
      </c>
      <c r="N922" s="82">
        <f>IFERROR(__xludf.DUMMYFUNCTION("""COMPUTED_VALUE"""),2.037037037037037)</f>
        <v>2.037037037</v>
      </c>
      <c r="O922" s="82">
        <f>IFERROR(__xludf.DUMMYFUNCTION("""COMPUTED_VALUE"""),333.7654320987654)</f>
        <v>333.7654321</v>
      </c>
      <c r="P922" s="82">
        <f>IFERROR(__xludf.DUMMYFUNCTION("""COMPUTED_VALUE"""),0.7283950617283952)</f>
        <v>0.7283950617</v>
      </c>
      <c r="Q922" s="82">
        <f>IFERROR(__xludf.DUMMYFUNCTION("""COMPUTED_VALUE"""),0.5061728395061728)</f>
        <v>0.5061728395</v>
      </c>
      <c r="R922" s="82">
        <f>IFERROR(__xludf.DUMMYFUNCTION("""COMPUTED_VALUE"""),1.1975308641975304)</f>
        <v>1.197530864</v>
      </c>
      <c r="S922" s="82">
        <f>IFERROR(__xludf.DUMMYFUNCTION("""COMPUTED_VALUE"""),2.481481481481482)</f>
        <v>2.481481481</v>
      </c>
      <c r="T922" s="82">
        <f>IFERROR(__xludf.DUMMYFUNCTION("""COMPUTED_VALUE"""),347.1070558929915)</f>
        <v>347.1070559</v>
      </c>
      <c r="U922" s="82">
        <f>IFERROR(__xludf.DUMMYFUNCTION("""COMPUTED_VALUE"""),0.7071262616321716)</f>
        <v>0.7071262616</v>
      </c>
      <c r="V922" s="82">
        <f>IFERROR(__xludf.DUMMYFUNCTION("""COMPUTED_VALUE"""),0.5351702926759684)</f>
        <v>0.5351702927</v>
      </c>
      <c r="W922" s="82">
        <f>IFERROR(__xludf.DUMMYFUNCTION("""COMPUTED_VALUE"""),1.4493527244343085)</f>
        <v>1.449352724</v>
      </c>
      <c r="X922" s="82">
        <f>IFERROR(__xludf.DUMMYFUNCTION("""COMPUTED_VALUE"""),2.4655975173828377)</f>
        <v>2.465597517</v>
      </c>
      <c r="Y922" s="82">
        <f>IFERROR(__xludf.DUMMYFUNCTION("""COMPUTED_VALUE"""),365.99030059786963)</f>
        <v>365.9903006</v>
      </c>
      <c r="Z922" s="82">
        <f>IFERROR(__xludf.DUMMYFUNCTION("""COMPUTED_VALUE"""),0.8449468793300416)</f>
        <v>0.8449468793</v>
      </c>
      <c r="AA922" s="82">
        <f>IFERROR(__xludf.DUMMYFUNCTION("""COMPUTED_VALUE"""),0.6380657056110749)</f>
        <v>0.6380657056</v>
      </c>
      <c r="AB922" s="82">
        <f>IFERROR(__xludf.DUMMYFUNCTION("""COMPUTED_VALUE"""),1.3483464164173466)</f>
        <v>1.348346416</v>
      </c>
      <c r="AC922" s="82">
        <f>IFERROR(__xludf.DUMMYFUNCTION("""COMPUTED_VALUE"""),2.7383134382929573)</f>
        <v>2.738313438</v>
      </c>
      <c r="AD922" s="82">
        <f>IFERROR(__xludf.DUMMYFUNCTION("""COMPUTED_VALUE"""),0.7989485156566727)</f>
        <v>0.7989485157</v>
      </c>
      <c r="AE922" s="82">
        <f>IFERROR(__xludf.DUMMYFUNCTION("""COMPUTED_VALUE"""),0.6136699610390322)</f>
        <v>0.613669961</v>
      </c>
      <c r="AF922" s="82">
        <f>IFERROR(__xludf.DUMMYFUNCTION("""COMPUTED_VALUE"""),0.5224122381159795)</f>
        <v>0.5224122381</v>
      </c>
      <c r="AG922" s="82">
        <f>IFERROR(__xludf.DUMMYFUNCTION("""COMPUTED_VALUE"""),0.8240546328319789)</f>
        <v>0.8240546328</v>
      </c>
      <c r="AH922" s="82">
        <f>IFERROR(__xludf.DUMMYFUNCTION("""COMPUTED_VALUE"""),0.7439020707238357)</f>
        <v>0.7439020707</v>
      </c>
      <c r="AI922" s="82">
        <f>IFERROR(__xludf.DUMMYFUNCTION("""COMPUTED_VALUE"""),0.9615633748501524)</f>
        <v>0.9615633749</v>
      </c>
      <c r="AJ922" s="82">
        <f>IFERROR(__xludf.DUMMYFUNCTION("""COMPUTED_VALUE"""),1.0300777969229022)</f>
        <v>1.030077797</v>
      </c>
      <c r="AK922" s="82">
        <f>IFERROR(__xludf.DUMMYFUNCTION("""COMPUTED_VALUE"""),0.9458163998139695)</f>
        <v>0.9458163998</v>
      </c>
      <c r="AL922" s="82">
        <f>IFERROR(__xludf.DUMMYFUNCTION("""COMPUTED_VALUE"""),0.8262521910702822)</f>
        <v>0.8262521911</v>
      </c>
      <c r="AM922" s="82">
        <f>IFERROR(__xludf.DUMMYFUNCTION("""COMPUTED_VALUE"""),1.0064422372210629)</f>
        <v>1.006442237</v>
      </c>
      <c r="AN922" s="82">
        <f>IFERROR(__xludf.DUMMYFUNCTION("""COMPUTED_VALUE"""),0.8340436275312524)</f>
        <v>0.8340436275</v>
      </c>
      <c r="AO922" s="82">
        <f>IFERROR(__xludf.DUMMYFUNCTION("""COMPUTED_VALUE"""),0.7314498969043338)</f>
        <v>0.7314498969</v>
      </c>
      <c r="AP922" s="82">
        <f>IFERROR(__xludf.DUMMYFUNCTION("""COMPUTED_VALUE"""),0.5838954874540899)</f>
        <v>0.5838954875</v>
      </c>
      <c r="AQ922" s="82">
        <f>IFERROR(__xludf.DUMMYFUNCTION("""COMPUTED_VALUE"""),0.7794872074992557)</f>
        <v>0.7794872075</v>
      </c>
      <c r="AR922" s="82">
        <f>IFERROR(__xludf.DUMMYFUNCTION("""COMPUTED_VALUE"""),0.812633285136003)</f>
        <v>0.8126332851</v>
      </c>
      <c r="AS922" s="82">
        <f>IFERROR(__xludf.DUMMYFUNCTION("""COMPUTED_VALUE"""),53.0)</f>
        <v>53</v>
      </c>
      <c r="AT922" s="82">
        <f>IFERROR(__xludf.DUMMYFUNCTION("""COMPUTED_VALUE"""),0.45975583706766865)</f>
        <v>0.4597558371</v>
      </c>
      <c r="AU922" s="82">
        <f>IFERROR(__xludf.DUMMYFUNCTION("""COMPUTED_VALUE"""),1.4600092761098986)</f>
        <v>1.460009276</v>
      </c>
      <c r="AV922" s="82">
        <f>IFERROR(__xludf.DUMMYFUNCTION("""COMPUTED_VALUE"""),23.143247988425227)</f>
        <v>23.14324799</v>
      </c>
      <c r="AW922" s="82">
        <f t="shared" si="1"/>
        <v>-7.074596116</v>
      </c>
      <c r="AX922" s="83">
        <f t="array" ref="AX922">IFERROR(DGET('SBV Import'!A:G,"SBV",{"RSC ID","Tier";B922,A922}))</f>
        <v>33.05268957</v>
      </c>
      <c r="AY922" s="82">
        <f t="shared" si="2"/>
        <v>-4.017355715</v>
      </c>
      <c r="AZ922" s="82">
        <v>3.057240400995563</v>
      </c>
      <c r="BA922" s="84">
        <v>800.0</v>
      </c>
      <c r="BB922" s="84" t="b">
        <f>IFERROR(__xludf.DUMMYFUNCTION("iferror(if(A922="""",,E922&gt;=FILTER(Constants!$F$2:$F$10,Constants!$A$2:$A$10=A922)))"),TRUE)</f>
        <v>1</v>
      </c>
    </row>
    <row r="923">
      <c r="A923" s="80" t="str">
        <f>IFERROR(__xludf.DUMMYFUNCTION("""COMPUTED_VALUE"""),"Elite")</f>
        <v>Elite</v>
      </c>
      <c r="B923" s="73" t="str">
        <f>IFERROR(__xludf.DUMMYFUNCTION("""COMPUTED_VALUE"""),"RSC008102")</f>
        <v>RSC008102</v>
      </c>
      <c r="C923" s="73" t="str">
        <f>IFERROR(__xludf.DUMMYFUNCTION("""COMPUTED_VALUE"""),"Talent?")</f>
        <v>Talent?</v>
      </c>
      <c r="D923" s="73"/>
      <c r="E923" s="82">
        <f>IFERROR(__xludf.DUMMYFUNCTION("""COMPUTED_VALUE"""),4.0)</f>
        <v>4</v>
      </c>
      <c r="F923" s="82">
        <f>IFERROR(__xludf.DUMMYFUNCTION("""COMPUTED_VALUE"""),1.0)</f>
        <v>1</v>
      </c>
      <c r="G923" s="82">
        <f>IFERROR(__xludf.DUMMYFUNCTION("""COMPUTED_VALUE"""),3.0)</f>
        <v>3</v>
      </c>
      <c r="H923" s="86">
        <f>IFERROR(__xludf.DUMMYFUNCTION("""COMPUTED_VALUE"""),0.25)</f>
        <v>0.25</v>
      </c>
      <c r="I923" s="86">
        <f>IFERROR(__xludf.DUMMYFUNCTION("""COMPUTED_VALUE"""),0.2857142857142857)</f>
        <v>0.2857142857</v>
      </c>
      <c r="J923" s="82">
        <f>IFERROR(__xludf.DUMMYFUNCTION("""COMPUTED_VALUE"""),340.0)</f>
        <v>340</v>
      </c>
      <c r="K923" s="82">
        <f>IFERROR(__xludf.DUMMYFUNCTION("""COMPUTED_VALUE"""),0.5)</f>
        <v>0.5</v>
      </c>
      <c r="L923" s="82">
        <f>IFERROR(__xludf.DUMMYFUNCTION("""COMPUTED_VALUE"""),0.5)</f>
        <v>0.5</v>
      </c>
      <c r="M923" s="82">
        <f>IFERROR(__xludf.DUMMYFUNCTION("""COMPUTED_VALUE"""),2.0)</f>
        <v>2</v>
      </c>
      <c r="N923" s="82">
        <f>IFERROR(__xludf.DUMMYFUNCTION("""COMPUTED_VALUE"""),1.75)</f>
        <v>1.75</v>
      </c>
      <c r="O923" s="82">
        <f>IFERROR(__xludf.DUMMYFUNCTION("""COMPUTED_VALUE"""),360.1666666666667)</f>
        <v>360.1666667</v>
      </c>
      <c r="P923" s="82">
        <f>IFERROR(__xludf.DUMMYFUNCTION("""COMPUTED_VALUE"""),1.0)</f>
        <v>1</v>
      </c>
      <c r="Q923" s="82">
        <f>IFERROR(__xludf.DUMMYFUNCTION("""COMPUTED_VALUE"""),0.5833333333333333)</f>
        <v>0.5833333333</v>
      </c>
      <c r="R923" s="82">
        <f>IFERROR(__xludf.DUMMYFUNCTION("""COMPUTED_VALUE"""),1.25)</f>
        <v>1.25</v>
      </c>
      <c r="S923" s="82">
        <f>IFERROR(__xludf.DUMMYFUNCTION("""COMPUTED_VALUE"""),3.0833333333333335)</f>
        <v>3.083333333</v>
      </c>
      <c r="T923" s="82">
        <f>IFERROR(__xludf.DUMMYFUNCTION("""COMPUTED_VALUE"""),335.97755331088666)</f>
        <v>335.9775533</v>
      </c>
      <c r="U923" s="82">
        <f>IFERROR(__xludf.DUMMYFUNCTION("""COMPUTED_VALUE"""),0.6214927048260382)</f>
        <v>0.6214927048</v>
      </c>
      <c r="V923" s="82">
        <f>IFERROR(__xludf.DUMMYFUNCTION("""COMPUTED_VALUE"""),0.46885521885521886)</f>
        <v>0.4688552189</v>
      </c>
      <c r="W923" s="82">
        <f>IFERROR(__xludf.DUMMYFUNCTION("""COMPUTED_VALUE"""),1.384680134680135)</f>
        <v>1.384680135</v>
      </c>
      <c r="X923" s="82">
        <f>IFERROR(__xludf.DUMMYFUNCTION("""COMPUTED_VALUE"""),2.318742985409652)</f>
        <v>2.318742985</v>
      </c>
      <c r="Y923" s="82">
        <f>IFERROR(__xludf.DUMMYFUNCTION("""COMPUTED_VALUE"""),333.45997007108116)</f>
        <v>333.4599701</v>
      </c>
      <c r="Z923" s="82">
        <f>IFERROR(__xludf.DUMMYFUNCTION("""COMPUTED_VALUE"""),0.6917321361765807)</f>
        <v>0.6917321362</v>
      </c>
      <c r="AA923" s="82">
        <f>IFERROR(__xludf.DUMMYFUNCTION("""COMPUTED_VALUE"""),0.4933595211372989)</f>
        <v>0.4933595211</v>
      </c>
      <c r="AB923" s="82">
        <f>IFERROR(__xludf.DUMMYFUNCTION("""COMPUTED_VALUE"""),1.2240927796483352)</f>
        <v>1.22409278</v>
      </c>
      <c r="AC923" s="82">
        <f>IFERROR(__xludf.DUMMYFUNCTION("""COMPUTED_VALUE"""),2.510381593714927)</f>
        <v>2.510381594</v>
      </c>
      <c r="AD923" s="82">
        <f>IFERROR(__xludf.DUMMYFUNCTION("""COMPUTED_VALUE"""),1.0196126387449886)</f>
        <v>1.019612639</v>
      </c>
      <c r="AE923" s="82">
        <f>IFERROR(__xludf.DUMMYFUNCTION("""COMPUTED_VALUE"""),0.7228231476473769)</f>
        <v>0.7228231476</v>
      </c>
      <c r="AF923" s="82">
        <f>IFERROR(__xludf.DUMMYFUNCTION("""COMPUTED_VALUE"""),1.0134597156398104)</f>
        <v>1.013459716</v>
      </c>
      <c r="AG923" s="82">
        <f>IFERROR(__xludf.DUMMYFUNCTION("""COMPUTED_VALUE"""),1.6338630806845966)</f>
        <v>1.633863081</v>
      </c>
      <c r="AH923" s="82">
        <f>IFERROR(__xludf.DUMMYFUNCTION("""COMPUTED_VALUE"""),0.6971051749189672)</f>
        <v>0.6971051749</v>
      </c>
      <c r="AI923" s="82">
        <f>IFERROR(__xludf.DUMMYFUNCTION("""COMPUTED_VALUE"""),1.0719962185491523)</f>
        <v>1.071996219</v>
      </c>
      <c r="AJ923" s="82">
        <f>IFERROR(__xludf.DUMMYFUNCTION("""COMPUTED_VALUE"""),1.6090293453724602)</f>
        <v>1.609029345</v>
      </c>
      <c r="AK923" s="82">
        <f>IFERROR(__xludf.DUMMYFUNCTION("""COMPUTED_VALUE"""),1.2441651705565528)</f>
        <v>1.244165171</v>
      </c>
      <c r="AL923" s="82">
        <f>IFERROR(__xludf.DUMMYFUNCTION("""COMPUTED_VALUE"""),0.9027355623100303)</f>
        <v>0.9027355623</v>
      </c>
      <c r="AM923" s="82">
        <f>IFERROR(__xludf.DUMMYFUNCTION("""COMPUTED_VALUE"""),1.3297434656340756)</f>
        <v>1.329743466</v>
      </c>
      <c r="AN923" s="82">
        <f>IFERROR(__xludf.DUMMYFUNCTION("""COMPUTED_VALUE"""),0.9697936036398856)</f>
        <v>0.9697936036</v>
      </c>
      <c r="AO923" s="82">
        <f>IFERROR(__xludf.DUMMYFUNCTION("""COMPUTED_VALUE"""),0.7053266863006076)</f>
        <v>0.7053266863</v>
      </c>
      <c r="AP923" s="82">
        <f>IFERROR(__xludf.DUMMYFUNCTION("""COMPUTED_VALUE"""),0.8758432311811349)</f>
        <v>0.8758432312</v>
      </c>
      <c r="AQ923" s="82">
        <f>IFERROR(__xludf.DUMMYFUNCTION("""COMPUTED_VALUE"""),1.4030769734986601)</f>
        <v>1.403076973</v>
      </c>
      <c r="AR923" s="82">
        <f>IFERROR(__xludf.DUMMYFUNCTION("""COMPUTED_VALUE"""),0.6981258676850207)</f>
        <v>0.6981258677</v>
      </c>
      <c r="AS923" s="82">
        <f>IFERROR(__xludf.DUMMYFUNCTION("""COMPUTED_VALUE"""),8.0)</f>
        <v>8</v>
      </c>
      <c r="AT923" s="82">
        <f>IFERROR(__xludf.DUMMYFUNCTION("""COMPUTED_VALUE"""),0.34445266793706497)</f>
        <v>0.3444526679</v>
      </c>
      <c r="AU923" s="82">
        <f>IFERROR(__xludf.DUMMYFUNCTION("""COMPUTED_VALUE"""),1.3889829870402937)</f>
        <v>1.388982987</v>
      </c>
      <c r="AV923" s="82">
        <f>IFERROR(__xludf.DUMMYFUNCTION("""COMPUTED_VALUE"""),21.100232682386395)</f>
        <v>21.10023268</v>
      </c>
      <c r="AW923" s="82">
        <f t="shared" si="1"/>
        <v>-8.074773566</v>
      </c>
      <c r="AX923" s="83">
        <f t="array" ref="AX923">IFERROR(DGET('SBV Import'!A:G,"SBV",{"RSC ID","Tier";B923,A923}))</f>
        <v>26.87812356</v>
      </c>
      <c r="AY923" s="82">
        <f t="shared" si="2"/>
        <v>-5.633312446</v>
      </c>
      <c r="AZ923" s="82">
        <v>2.4414611197352416</v>
      </c>
      <c r="BA923" s="84">
        <v>800.0</v>
      </c>
      <c r="BB923" s="84" t="b">
        <f>IFERROR(__xludf.DUMMYFUNCTION("iferror(if(A923="""",,E923&gt;=FILTER(Constants!$F$2:$F$10,Constants!$A$2:$A$10=A923)))"),TRUE)</f>
        <v>1</v>
      </c>
    </row>
    <row r="924">
      <c r="A924" s="80" t="str">
        <f>IFERROR(__xludf.DUMMYFUNCTION("""COMPUTED_VALUE"""),"Elite")</f>
        <v>Elite</v>
      </c>
      <c r="B924" s="73" t="str">
        <f>IFERROR(__xludf.DUMMYFUNCTION("""COMPUTED_VALUE"""),"RSC000690")</f>
        <v>RSC000690</v>
      </c>
      <c r="C924" s="73" t="str">
        <f>IFERROR(__xludf.DUMMYFUNCTION("""COMPUTED_VALUE"""),"paco")</f>
        <v>paco</v>
      </c>
      <c r="D924" s="73" t="str">
        <f>IFERROR(__xludf.DUMMYFUNCTION("""COMPUTED_VALUE"""),"Drive Bye")</f>
        <v>Drive Bye</v>
      </c>
      <c r="E924" s="82">
        <f>IFERROR(__xludf.DUMMYFUNCTION("""COMPUTED_VALUE"""),21.0)</f>
        <v>21</v>
      </c>
      <c r="F924" s="82">
        <f>IFERROR(__xludf.DUMMYFUNCTION("""COMPUTED_VALUE"""),8.0)</f>
        <v>8</v>
      </c>
      <c r="G924" s="82">
        <f>IFERROR(__xludf.DUMMYFUNCTION("""COMPUTED_VALUE"""),13.0)</f>
        <v>13</v>
      </c>
      <c r="H924" s="86">
        <f>IFERROR(__xludf.DUMMYFUNCTION("""COMPUTED_VALUE"""),0.38095238095238093)</f>
        <v>0.380952381</v>
      </c>
      <c r="I924" s="86">
        <f>IFERROR(__xludf.DUMMYFUNCTION("""COMPUTED_VALUE"""),0.2972972972972973)</f>
        <v>0.2972972973</v>
      </c>
      <c r="J924" s="82">
        <f>IFERROR(__xludf.DUMMYFUNCTION("""COMPUTED_VALUE"""),295.4761904761905)</f>
        <v>295.4761905</v>
      </c>
      <c r="K924" s="82">
        <f>IFERROR(__xludf.DUMMYFUNCTION("""COMPUTED_VALUE"""),0.5238095238095238)</f>
        <v>0.5238095238</v>
      </c>
      <c r="L924" s="82">
        <f>IFERROR(__xludf.DUMMYFUNCTION("""COMPUTED_VALUE"""),0.38095238095238093)</f>
        <v>0.380952381</v>
      </c>
      <c r="M924" s="82">
        <f>IFERROR(__xludf.DUMMYFUNCTION("""COMPUTED_VALUE"""),1.4285714285714286)</f>
        <v>1.428571429</v>
      </c>
      <c r="N924" s="82">
        <f>IFERROR(__xludf.DUMMYFUNCTION("""COMPUTED_VALUE"""),1.7619047619047619)</f>
        <v>1.761904762</v>
      </c>
      <c r="O924" s="82">
        <f>IFERROR(__xludf.DUMMYFUNCTION("""COMPUTED_VALUE"""),377.5873015873016)</f>
        <v>377.5873016</v>
      </c>
      <c r="P924" s="82">
        <f>IFERROR(__xludf.DUMMYFUNCTION("""COMPUTED_VALUE"""),0.888888888888889)</f>
        <v>0.8888888889</v>
      </c>
      <c r="Q924" s="82">
        <f>IFERROR(__xludf.DUMMYFUNCTION("""COMPUTED_VALUE"""),0.6984126984126985)</f>
        <v>0.6984126984</v>
      </c>
      <c r="R924" s="82">
        <f>IFERROR(__xludf.DUMMYFUNCTION("""COMPUTED_VALUE"""),1.2380952380952384)</f>
        <v>1.238095238</v>
      </c>
      <c r="S924" s="82">
        <f>IFERROR(__xludf.DUMMYFUNCTION("""COMPUTED_VALUE"""),3.142857142857143)</f>
        <v>3.142857143</v>
      </c>
      <c r="T924" s="82">
        <f>IFERROR(__xludf.DUMMYFUNCTION("""COMPUTED_VALUE"""),360.8312020249458)</f>
        <v>360.831202</v>
      </c>
      <c r="U924" s="82">
        <f>IFERROR(__xludf.DUMMYFUNCTION("""COMPUTED_VALUE"""),0.7724802228994492)</f>
        <v>0.7724802229</v>
      </c>
      <c r="V924" s="82">
        <f>IFERROR(__xludf.DUMMYFUNCTION("""COMPUTED_VALUE"""),0.5958859951840574)</f>
        <v>0.5958859952</v>
      </c>
      <c r="W924" s="82">
        <f>IFERROR(__xludf.DUMMYFUNCTION("""COMPUTED_VALUE"""),1.392905897570455)</f>
        <v>1.392905898</v>
      </c>
      <c r="X924" s="82">
        <f>IFERROR(__xludf.DUMMYFUNCTION("""COMPUTED_VALUE"""),2.7263616283843173)</f>
        <v>2.726361628</v>
      </c>
      <c r="Y924" s="82">
        <f>IFERROR(__xludf.DUMMYFUNCTION("""COMPUTED_VALUE"""),355.2827343886154)</f>
        <v>355.2827344</v>
      </c>
      <c r="Z924" s="82">
        <f>IFERROR(__xludf.DUMMYFUNCTION("""COMPUTED_VALUE"""),0.730627216234704)</f>
        <v>0.7306272162</v>
      </c>
      <c r="AA924" s="82">
        <f>IFERROR(__xludf.DUMMYFUNCTION("""COMPUTED_VALUE"""),0.5576962811026596)</f>
        <v>0.5576962811</v>
      </c>
      <c r="AB924" s="82">
        <f>IFERROR(__xludf.DUMMYFUNCTION("""COMPUTED_VALUE"""),1.4622656460695957)</f>
        <v>1.462265646</v>
      </c>
      <c r="AC924" s="82">
        <f>IFERROR(__xludf.DUMMYFUNCTION("""COMPUTED_VALUE"""),2.5417903339745784)</f>
        <v>2.541790334</v>
      </c>
      <c r="AD924" s="82">
        <f>IFERROR(__xludf.DUMMYFUNCTION("""COMPUTED_VALUE"""),0.8316649301426303)</f>
        <v>0.8316649301</v>
      </c>
      <c r="AE924" s="82">
        <f>IFERROR(__xludf.DUMMYFUNCTION("""COMPUTED_VALUE"""),0.7169313052817584)</f>
        <v>0.7169313053</v>
      </c>
      <c r="AF924" s="82">
        <f>IFERROR(__xludf.DUMMYFUNCTION("""COMPUTED_VALUE"""),0.683082161134684)</f>
        <v>0.6830821611</v>
      </c>
      <c r="AG924" s="82">
        <f>IFERROR(__xludf.DUMMYFUNCTION("""COMPUTED_VALUE"""),0.9769575264325375)</f>
        <v>0.9769575264</v>
      </c>
      <c r="AH924" s="82">
        <f>IFERROR(__xludf.DUMMYFUNCTION("""COMPUTED_VALUE"""),0.6931747038118934)</f>
        <v>0.6931747038</v>
      </c>
      <c r="AI924" s="82">
        <f>IFERROR(__xludf.DUMMYFUNCTION("""COMPUTED_VALUE"""),1.0464375017136056)</f>
        <v>1.046437502</v>
      </c>
      <c r="AJ924" s="82">
        <f>IFERROR(__xludf.DUMMYFUNCTION("""COMPUTED_VALUE"""),1.150694687758488)</f>
        <v>1.150694688</v>
      </c>
      <c r="AK924" s="82">
        <f>IFERROR(__xludf.DUMMYFUNCTION("""COMPUTED_VALUE"""),1.1720575815797998)</f>
        <v>1.172057582</v>
      </c>
      <c r="AL924" s="82">
        <f>IFERROR(__xludf.DUMMYFUNCTION("""COMPUTED_VALUE"""),0.8888577758589137)</f>
        <v>0.8888577759</v>
      </c>
      <c r="AM924" s="82">
        <f>IFERROR(__xludf.DUMMYFUNCTION("""COMPUTED_VALUE"""),1.1527660564675886)</f>
        <v>1.152766056</v>
      </c>
      <c r="AN924" s="82">
        <f>IFERROR(__xludf.DUMMYFUNCTION("""COMPUTED_VALUE"""),0.842796822210853)</f>
        <v>0.8427968222</v>
      </c>
      <c r="AO924" s="82">
        <f>IFERROR(__xludf.DUMMYFUNCTION("""COMPUTED_VALUE"""),0.7389136713625414)</f>
        <v>0.7389136714</v>
      </c>
      <c r="AP924" s="82">
        <f>IFERROR(__xludf.DUMMYFUNCTION("""COMPUTED_VALUE"""),0.6673091285189598)</f>
        <v>0.6673091285</v>
      </c>
      <c r="AQ924" s="82">
        <f>IFERROR(__xludf.DUMMYFUNCTION("""COMPUTED_VALUE"""),1.0021978382133288)</f>
        <v>1.002197838</v>
      </c>
      <c r="AR924" s="82">
        <f>IFERROR(__xludf.DUMMYFUNCTION("""COMPUTED_VALUE"""),0.7028750232475038)</f>
        <v>0.7028750232</v>
      </c>
      <c r="AS924" s="82">
        <f>IFERROR(__xludf.DUMMYFUNCTION("""COMPUTED_VALUE"""),39.0)</f>
        <v>39</v>
      </c>
      <c r="AT924" s="82">
        <f>IFERROR(__xludf.DUMMYFUNCTION("""COMPUTED_VALUE"""),0.3640245794921876)</f>
        <v>0.3640245795</v>
      </c>
      <c r="AU924" s="82">
        <f>IFERROR(__xludf.DUMMYFUNCTION("""COMPUTED_VALUE"""),1.3349399496818344)</f>
        <v>1.33493995</v>
      </c>
      <c r="AV924" s="82">
        <f>IFERROR(__xludf.DUMMYFUNCTION("""COMPUTED_VALUE"""),19.545727245674655)</f>
        <v>19.54572725</v>
      </c>
      <c r="AW924" s="82">
        <f t="shared" si="1"/>
        <v>-8.962218492</v>
      </c>
      <c r="AX924" s="83">
        <f t="array" ref="AX924">IFERROR(DGET('SBV Import'!A:G,"SBV",{"RSC ID","Tier";B924,A924}))</f>
        <v>15.99898989</v>
      </c>
      <c r="AY924" s="82">
        <f t="shared" si="2"/>
        <v>-11.50634523</v>
      </c>
      <c r="AZ924" s="82">
        <v>2.5441267386623636</v>
      </c>
      <c r="BA924" s="84">
        <v>800.0</v>
      </c>
      <c r="BB924" s="84" t="b">
        <f>IFERROR(__xludf.DUMMYFUNCTION("iferror(if(A924="""",,E924&gt;=FILTER(Constants!$F$2:$F$10,Constants!$A$2:$A$10=A924)))"),TRUE)</f>
        <v>1</v>
      </c>
    </row>
    <row r="925">
      <c r="A925" s="80" t="str">
        <f>IFERROR(__xludf.DUMMYFUNCTION("""COMPUTED_VALUE"""),"Elite")</f>
        <v>Elite</v>
      </c>
      <c r="B925" s="73" t="str">
        <f>IFERROR(__xludf.DUMMYFUNCTION("""COMPUTED_VALUE"""),"RSC007877")</f>
        <v>RSC007877</v>
      </c>
      <c r="C925" s="73" t="str">
        <f>IFERROR(__xludf.DUMMYFUNCTION("""COMPUTED_VALUE"""),"Torro")</f>
        <v>Torro</v>
      </c>
      <c r="D925" s="73" t="str">
        <f>IFERROR(__xludf.DUMMYFUNCTION("""COMPUTED_VALUE"""),"Wyverns")</f>
        <v>Wyverns</v>
      </c>
      <c r="E925" s="82">
        <f>IFERROR(__xludf.DUMMYFUNCTION("""COMPUTED_VALUE"""),19.0)</f>
        <v>19</v>
      </c>
      <c r="F925" s="82">
        <f>IFERROR(__xludf.DUMMYFUNCTION("""COMPUTED_VALUE"""),8.0)</f>
        <v>8</v>
      </c>
      <c r="G925" s="82">
        <f>IFERROR(__xludf.DUMMYFUNCTION("""COMPUTED_VALUE"""),11.0)</f>
        <v>11</v>
      </c>
      <c r="H925" s="86">
        <f>IFERROR(__xludf.DUMMYFUNCTION("""COMPUTED_VALUE"""),0.42105263157894735)</f>
        <v>0.4210526316</v>
      </c>
      <c r="I925" s="86">
        <f>IFERROR(__xludf.DUMMYFUNCTION("""COMPUTED_VALUE"""),0.1875)</f>
        <v>0.1875</v>
      </c>
      <c r="J925" s="82">
        <f>IFERROR(__xludf.DUMMYFUNCTION("""COMPUTED_VALUE"""),273.1578947368421)</f>
        <v>273.1578947</v>
      </c>
      <c r="K925" s="82">
        <f>IFERROR(__xludf.DUMMYFUNCTION("""COMPUTED_VALUE"""),0.3157894736842105)</f>
        <v>0.3157894737</v>
      </c>
      <c r="L925" s="82">
        <f>IFERROR(__xludf.DUMMYFUNCTION("""COMPUTED_VALUE"""),0.47368421052631576)</f>
        <v>0.4736842105</v>
      </c>
      <c r="M925" s="82">
        <f>IFERROR(__xludf.DUMMYFUNCTION("""COMPUTED_VALUE"""),1.2105263157894737)</f>
        <v>1.210526316</v>
      </c>
      <c r="N925" s="82">
        <f>IFERROR(__xludf.DUMMYFUNCTION("""COMPUTED_VALUE"""),1.6842105263157894)</f>
        <v>1.684210526</v>
      </c>
      <c r="O925" s="82">
        <f>IFERROR(__xludf.DUMMYFUNCTION("""COMPUTED_VALUE"""),351.66666666666663)</f>
        <v>351.6666667</v>
      </c>
      <c r="P925" s="82">
        <f>IFERROR(__xludf.DUMMYFUNCTION("""COMPUTED_VALUE"""),0.8421052631578947)</f>
        <v>0.8421052632</v>
      </c>
      <c r="Q925" s="82">
        <f>IFERROR(__xludf.DUMMYFUNCTION("""COMPUTED_VALUE"""),0.6842105263157895)</f>
        <v>0.6842105263</v>
      </c>
      <c r="R925" s="82">
        <f>IFERROR(__xludf.DUMMYFUNCTION("""COMPUTED_VALUE"""),1.2105263157894735)</f>
        <v>1.210526316</v>
      </c>
      <c r="S925" s="82">
        <f>IFERROR(__xludf.DUMMYFUNCTION("""COMPUTED_VALUE"""),2.543859649122807)</f>
        <v>2.543859649</v>
      </c>
      <c r="T925" s="82">
        <f>IFERROR(__xludf.DUMMYFUNCTION("""COMPUTED_VALUE"""),382.5124367808919)</f>
        <v>382.5124368</v>
      </c>
      <c r="U925" s="82">
        <f>IFERROR(__xludf.DUMMYFUNCTION("""COMPUTED_VALUE"""),0.9160829724228328)</f>
        <v>0.9160829724</v>
      </c>
      <c r="V925" s="82">
        <f>IFERROR(__xludf.DUMMYFUNCTION("""COMPUTED_VALUE"""),0.6358021886067875)</f>
        <v>0.6358021886</v>
      </c>
      <c r="W925" s="82">
        <f>IFERROR(__xludf.DUMMYFUNCTION("""COMPUTED_VALUE"""),1.4106217447855116)</f>
        <v>1.410621745</v>
      </c>
      <c r="X925" s="82">
        <f>IFERROR(__xludf.DUMMYFUNCTION("""COMPUTED_VALUE"""),2.8063666866008012)</f>
        <v>2.806366687</v>
      </c>
      <c r="Y925" s="82">
        <f>IFERROR(__xludf.DUMMYFUNCTION("""COMPUTED_VALUE"""),349.7020460794888)</f>
        <v>349.7020461</v>
      </c>
      <c r="Z925" s="82">
        <f>IFERROR(__xludf.DUMMYFUNCTION("""COMPUTED_VALUE"""),0.7221234407148523)</f>
        <v>0.7221234407</v>
      </c>
      <c r="AA925" s="82">
        <f>IFERROR(__xludf.DUMMYFUNCTION("""COMPUTED_VALUE"""),0.5177304120005675)</f>
        <v>0.517730412</v>
      </c>
      <c r="AB925" s="82">
        <f>IFERROR(__xludf.DUMMYFUNCTION("""COMPUTED_VALUE"""),1.4171316237467846)</f>
        <v>1.417131624</v>
      </c>
      <c r="AC925" s="82">
        <f>IFERROR(__xludf.DUMMYFUNCTION("""COMPUTED_VALUE"""),2.5450234716149183)</f>
        <v>2.545023472</v>
      </c>
      <c r="AD925" s="82">
        <f>IFERROR(__xludf.DUMMYFUNCTION("""COMPUTED_VALUE"""),0.7811160895374117)</f>
        <v>0.7811160895</v>
      </c>
      <c r="AE925" s="82">
        <f>IFERROR(__xludf.DUMMYFUNCTION("""COMPUTED_VALUE"""),0.43730677593238176)</f>
        <v>0.4373067759</v>
      </c>
      <c r="AF925" s="82">
        <f>IFERROR(__xludf.DUMMYFUNCTION("""COMPUTED_VALUE"""),0.9149244462884606)</f>
        <v>0.9149244463</v>
      </c>
      <c r="AG925" s="82">
        <f>IFERROR(__xludf.DUMMYFUNCTION("""COMPUTED_VALUE"""),0.8542088084866367)</f>
        <v>0.8542088085</v>
      </c>
      <c r="AH925" s="82">
        <f>IFERROR(__xludf.DUMMYFUNCTION("""COMPUTED_VALUE"""),0.6617662057344764)</f>
        <v>0.6617662057</v>
      </c>
      <c r="AI925" s="82">
        <f>IFERROR(__xludf.DUMMYFUNCTION("""COMPUTED_VALUE"""),0.9193600857169145)</f>
        <v>0.9193600857</v>
      </c>
      <c r="AJ925" s="82">
        <f>IFERROR(__xludf.DUMMYFUNCTION("""COMPUTED_VALUE"""),0.9192456234949071)</f>
        <v>0.9192456235</v>
      </c>
      <c r="AK925" s="82">
        <f>IFERROR(__xludf.DUMMYFUNCTION("""COMPUTED_VALUE"""),1.0761374191162782)</f>
        <v>1.076137419</v>
      </c>
      <c r="AL925" s="82">
        <f>IFERROR(__xludf.DUMMYFUNCTION("""COMPUTED_VALUE"""),0.8581508971234078)</f>
        <v>0.8581508971</v>
      </c>
      <c r="AM925" s="82">
        <f>IFERROR(__xludf.DUMMYFUNCTION("""COMPUTED_VALUE"""),0.9064601790167504)</f>
        <v>0.906460179</v>
      </c>
      <c r="AN925" s="82">
        <f>IFERROR(__xludf.DUMMYFUNCTION("""COMPUTED_VALUE"""),0.779137585586843)</f>
        <v>0.7791375856</v>
      </c>
      <c r="AO925" s="82">
        <f>IFERROR(__xludf.DUMMYFUNCTION("""COMPUTED_VALUE"""),0.44546948608459425)</f>
        <v>0.4454694861</v>
      </c>
      <c r="AP925" s="82">
        <f>IFERROR(__xludf.DUMMYFUNCTION("""COMPUTED_VALUE"""),0.8297462190137067)</f>
        <v>0.829746219</v>
      </c>
      <c r="AQ925" s="82">
        <f>IFERROR(__xludf.DUMMYFUNCTION("""COMPUTED_VALUE"""),0.849230799749189)</f>
        <v>0.8492307997</v>
      </c>
      <c r="AR925" s="82">
        <f>IFERROR(__xludf.DUMMYFUNCTION("""COMPUTED_VALUE"""),0.6718805343134033)</f>
        <v>0.6718805343</v>
      </c>
      <c r="AS925" s="82">
        <f>IFERROR(__xludf.DUMMYFUNCTION("""COMPUTED_VALUE"""),32.0)</f>
        <v>32</v>
      </c>
      <c r="AT925" s="82">
        <f>IFERROR(__xludf.DUMMYFUNCTION("""COMPUTED_VALUE"""),0.3514788578728219)</f>
        <v>0.3514788579</v>
      </c>
      <c r="AU925" s="82">
        <f>IFERROR(__xludf.DUMMYFUNCTION("""COMPUTED_VALUE"""),1.2912857611730593)</f>
        <v>1.291285761</v>
      </c>
      <c r="AV925" s="82">
        <f>IFERROR(__xludf.DUMMYFUNCTION("""COMPUTED_VALUE"""),18.290048869901277)</f>
        <v>18.29004887</v>
      </c>
      <c r="AW925" s="82">
        <f t="shared" si="1"/>
        <v>-9.772503957</v>
      </c>
      <c r="AX925" s="83">
        <f t="array" ref="AX925">IFERROR(DGET('SBV Import'!A:G,"SBV",{"RSC ID","Tier";B925,A925}))</f>
        <v>26.36063236</v>
      </c>
      <c r="AY925" s="82">
        <f t="shared" si="2"/>
        <v>-5.807781866</v>
      </c>
      <c r="AZ925" s="82">
        <v>3.964722090779591</v>
      </c>
      <c r="BA925" s="84">
        <v>800.0</v>
      </c>
      <c r="BB925" s="84" t="b">
        <f>IFERROR(__xludf.DUMMYFUNCTION("iferror(if(A925="""",,E925&gt;=FILTER(Constants!$F$2:$F$10,Constants!$A$2:$A$10=A925)))"),TRUE)</f>
        <v>1</v>
      </c>
    </row>
    <row r="926">
      <c r="A926" s="80" t="str">
        <f>IFERROR(__xludf.DUMMYFUNCTION("""COMPUTED_VALUE"""),"Elite")</f>
        <v>Elite</v>
      </c>
      <c r="B926" s="73" t="str">
        <f>IFERROR(__xludf.DUMMYFUNCTION("""COMPUTED_VALUE"""),"RSC004990")</f>
        <v>RSC004990</v>
      </c>
      <c r="C926" s="73" t="str">
        <f>IFERROR(__xludf.DUMMYFUNCTION("""COMPUTED_VALUE"""),"Legend")</f>
        <v>Legend</v>
      </c>
      <c r="D926" s="73" t="str">
        <f>IFERROR(__xludf.DUMMYFUNCTION("""COMPUTED_VALUE"""),"Majesties")</f>
        <v>Majesties</v>
      </c>
      <c r="E926" s="82">
        <f>IFERROR(__xludf.DUMMYFUNCTION("""COMPUTED_VALUE"""),22.0)</f>
        <v>22</v>
      </c>
      <c r="F926" s="82">
        <f>IFERROR(__xludf.DUMMYFUNCTION("""COMPUTED_VALUE"""),6.0)</f>
        <v>6</v>
      </c>
      <c r="G926" s="82">
        <f>IFERROR(__xludf.DUMMYFUNCTION("""COMPUTED_VALUE"""),16.0)</f>
        <v>16</v>
      </c>
      <c r="H926" s="86">
        <f>IFERROR(__xludf.DUMMYFUNCTION("""COMPUTED_VALUE"""),0.2727272727272727)</f>
        <v>0.2727272727</v>
      </c>
      <c r="I926" s="86">
        <f>IFERROR(__xludf.DUMMYFUNCTION("""COMPUTED_VALUE"""),0.27777777777777773)</f>
        <v>0.2777777778</v>
      </c>
      <c r="J926" s="82">
        <f>IFERROR(__xludf.DUMMYFUNCTION("""COMPUTED_VALUE"""),324.72727272727275)</f>
        <v>324.7272727</v>
      </c>
      <c r="K926" s="82">
        <f>IFERROR(__xludf.DUMMYFUNCTION("""COMPUTED_VALUE"""),0.45454545454545453)</f>
        <v>0.4545454545</v>
      </c>
      <c r="L926" s="82">
        <f>IFERROR(__xludf.DUMMYFUNCTION("""COMPUTED_VALUE"""),0.4090909090909091)</f>
        <v>0.4090909091</v>
      </c>
      <c r="M926" s="82">
        <f>IFERROR(__xludf.DUMMYFUNCTION("""COMPUTED_VALUE"""),1.4090909090909092)</f>
        <v>1.409090909</v>
      </c>
      <c r="N926" s="82">
        <f>IFERROR(__xludf.DUMMYFUNCTION("""COMPUTED_VALUE"""),1.6363636363636365)</f>
        <v>1.636363636</v>
      </c>
      <c r="O926" s="82">
        <f>IFERROR(__xludf.DUMMYFUNCTION("""COMPUTED_VALUE"""),397.8636363636364)</f>
        <v>397.8636364</v>
      </c>
      <c r="P926" s="82">
        <f>IFERROR(__xludf.DUMMYFUNCTION("""COMPUTED_VALUE"""),1.090909090909091)</f>
        <v>1.090909091</v>
      </c>
      <c r="Q926" s="82">
        <f>IFERROR(__xludf.DUMMYFUNCTION("""COMPUTED_VALUE"""),0.7575757575757575)</f>
        <v>0.7575757576</v>
      </c>
      <c r="R926" s="82">
        <f>IFERROR(__xludf.DUMMYFUNCTION("""COMPUTED_VALUE"""),1.2424242424242424)</f>
        <v>1.242424242</v>
      </c>
      <c r="S926" s="82">
        <f>IFERROR(__xludf.DUMMYFUNCTION("""COMPUTED_VALUE"""),3.0909090909090917)</f>
        <v>3.090909091</v>
      </c>
      <c r="T926" s="82">
        <f>IFERROR(__xludf.DUMMYFUNCTION("""COMPUTED_VALUE"""),370.38031549282454)</f>
        <v>370.3803155</v>
      </c>
      <c r="U926" s="82">
        <f>IFERROR(__xludf.DUMMYFUNCTION("""COMPUTED_VALUE"""),0.853330243119354)</f>
        <v>0.8533302431</v>
      </c>
      <c r="V926" s="82">
        <f>IFERROR(__xludf.DUMMYFUNCTION("""COMPUTED_VALUE"""),0.6538947063542305)</f>
        <v>0.6538947064</v>
      </c>
      <c r="W926" s="82">
        <f>IFERROR(__xludf.DUMMYFUNCTION("""COMPUTED_VALUE"""),1.337133318323062)</f>
        <v>1.337133318</v>
      </c>
      <c r="X926" s="82">
        <f>IFERROR(__xludf.DUMMYFUNCTION("""COMPUTED_VALUE"""),2.800966255326424)</f>
        <v>2.800966255</v>
      </c>
      <c r="Y926" s="82">
        <f>IFERROR(__xludf.DUMMYFUNCTION("""COMPUTED_VALUE"""),352.0051377832531)</f>
        <v>352.0051378</v>
      </c>
      <c r="Z926" s="82">
        <f>IFERROR(__xludf.DUMMYFUNCTION("""COMPUTED_VALUE"""),0.7158762503264368)</f>
        <v>0.7158762503</v>
      </c>
      <c r="AA926" s="82">
        <f>IFERROR(__xludf.DUMMYFUNCTION("""COMPUTED_VALUE"""),0.5352244692299528)</f>
        <v>0.5352244692</v>
      </c>
      <c r="AB926" s="82">
        <f>IFERROR(__xludf.DUMMYFUNCTION("""COMPUTED_VALUE"""),1.455404155628926)</f>
        <v>1.455404156</v>
      </c>
      <c r="AC926" s="82">
        <f>IFERROR(__xludf.DUMMYFUNCTION("""COMPUTED_VALUE"""),2.502111692013458)</f>
        <v>2.502111692</v>
      </c>
      <c r="AD926" s="82">
        <f>IFERROR(__xludf.DUMMYFUNCTION("""COMPUTED_VALUE"""),0.9225071962649117)</f>
        <v>0.9225071963</v>
      </c>
      <c r="AE926" s="82">
        <f>IFERROR(__xludf.DUMMYFUNCTION("""COMPUTED_VALUE"""),0.6349497616916102)</f>
        <v>0.6349497617</v>
      </c>
      <c r="AF926" s="82">
        <f>IFERROR(__xludf.DUMMYFUNCTION("""COMPUTED_VALUE"""),0.7643352137458949)</f>
        <v>0.7643352137</v>
      </c>
      <c r="AG926" s="82">
        <f>IFERROR(__xludf.DUMMYFUNCTION("""COMPUTED_VALUE"""),0.9681784290920872)</f>
        <v>0.9681784291</v>
      </c>
      <c r="AH926" s="82">
        <f>IFERROR(__xludf.DUMMYFUNCTION("""COMPUTED_VALUE"""),0.6539930417921708)</f>
        <v>0.6539930418</v>
      </c>
      <c r="AI926" s="82">
        <f>IFERROR(__xludf.DUMMYFUNCTION("""COMPUTED_VALUE"""),1.0742029738655057)</f>
        <v>1.074202974</v>
      </c>
      <c r="AJ926" s="82">
        <f>IFERROR(__xludf.DUMMYFUNCTION("""COMPUTED_VALUE"""),1.2784137204855954)</f>
        <v>1.27841372</v>
      </c>
      <c r="AK926" s="82">
        <f>IFERROR(__xludf.DUMMYFUNCTION("""COMPUTED_VALUE"""),1.158559245416739)</f>
        <v>1.158559245</v>
      </c>
      <c r="AL926" s="82">
        <f>IFERROR(__xludf.DUMMYFUNCTION("""COMPUTED_VALUE"""),0.929170057614302)</f>
        <v>0.9291700576</v>
      </c>
      <c r="AM926" s="82">
        <f>IFERROR(__xludf.DUMMYFUNCTION("""COMPUTED_VALUE"""),1.1035152904935221)</f>
        <v>1.10351529</v>
      </c>
      <c r="AN926" s="82">
        <f>IFERROR(__xludf.DUMMYFUNCTION("""COMPUTED_VALUE"""),0.9262306824068641)</f>
        <v>0.9262306824</v>
      </c>
      <c r="AO926" s="82">
        <f>IFERROR(__xludf.DUMMYFUNCTION("""COMPUTED_VALUE"""),0.6412060784550978)</f>
        <v>0.6412060785</v>
      </c>
      <c r="AP926" s="82">
        <f>IFERROR(__xludf.DUMMYFUNCTION("""COMPUTED_VALUE"""),0.7165990073300195)</f>
        <v>0.7165990073</v>
      </c>
      <c r="AQ926" s="82">
        <f>IFERROR(__xludf.DUMMYFUNCTION("""COMPUTED_VALUE"""),0.9885315040558743)</f>
        <v>0.9885315041</v>
      </c>
      <c r="AR926" s="82">
        <f>IFERROR(__xludf.DUMMYFUNCTION("""COMPUTED_VALUE"""),0.6527930191340454)</f>
        <v>0.6527930191</v>
      </c>
      <c r="AS926" s="82">
        <f>IFERROR(__xludf.DUMMYFUNCTION("""COMPUTED_VALUE"""),39.0)</f>
        <v>39</v>
      </c>
      <c r="AT926" s="82">
        <f>IFERROR(__xludf.DUMMYFUNCTION("""COMPUTED_VALUE"""),0.27376790982560467)</f>
        <v>0.2737679098</v>
      </c>
      <c r="AU926" s="82">
        <f>IFERROR(__xludf.DUMMYFUNCTION("""COMPUTED_VALUE"""),1.2706874356482076)</f>
        <v>1.270687436</v>
      </c>
      <c r="AV926" s="82">
        <f>IFERROR(__xludf.DUMMYFUNCTION("""COMPUTED_VALUE"""),17.697554247455187)</f>
        <v>17.69755425</v>
      </c>
      <c r="AW926" s="82">
        <f t="shared" si="1"/>
        <v>-10.18727952</v>
      </c>
      <c r="AX926" s="83">
        <f t="array" ref="AX926">IFERROR(DGET('SBV Import'!A:G,"SBV",{"RSC ID","Tier";B926,A926}))</f>
        <v>21.7740474</v>
      </c>
      <c r="AY926" s="82">
        <f t="shared" si="2"/>
        <v>-7.725534625</v>
      </c>
      <c r="AZ926" s="82">
        <v>2.4617448951424894</v>
      </c>
      <c r="BA926" s="84">
        <v>800.0</v>
      </c>
      <c r="BB926" s="84" t="b">
        <f>IFERROR(__xludf.DUMMYFUNCTION("iferror(if(A926="""",,E926&gt;=FILTER(Constants!$F$2:$F$10,Constants!$A$2:$A$10=A926)))"),TRUE)</f>
        <v>1</v>
      </c>
    </row>
    <row r="927">
      <c r="A927" s="80" t="str">
        <f>IFERROR(__xludf.DUMMYFUNCTION("""COMPUTED_VALUE"""),"Elite")</f>
        <v>Elite</v>
      </c>
      <c r="B927" s="73" t="str">
        <f>IFERROR(__xludf.DUMMYFUNCTION("""COMPUTED_VALUE"""),"RSC004889")</f>
        <v>RSC004889</v>
      </c>
      <c r="C927" s="73" t="str">
        <f>IFERROR(__xludf.DUMMYFUNCTION("""COMPUTED_VALUE"""),"Steeltoehammer")</f>
        <v>Steeltoehammer</v>
      </c>
      <c r="D927" s="73" t="str">
        <f>IFERROR(__xludf.DUMMYFUNCTION("""COMPUTED_VALUE"""),"Despair")</f>
        <v>Despair</v>
      </c>
      <c r="E927" s="82">
        <f>IFERROR(__xludf.DUMMYFUNCTION("""COMPUTED_VALUE"""),11.0)</f>
        <v>11</v>
      </c>
      <c r="F927" s="82">
        <f>IFERROR(__xludf.DUMMYFUNCTION("""COMPUTED_VALUE"""),4.0)</f>
        <v>4</v>
      </c>
      <c r="G927" s="82">
        <f>IFERROR(__xludf.DUMMYFUNCTION("""COMPUTED_VALUE"""),7.0)</f>
        <v>7</v>
      </c>
      <c r="H927" s="86">
        <f>IFERROR(__xludf.DUMMYFUNCTION("""COMPUTED_VALUE"""),0.36363636363636365)</f>
        <v>0.3636363636</v>
      </c>
      <c r="I927" s="86">
        <f>IFERROR(__xludf.DUMMYFUNCTION("""COMPUTED_VALUE"""),0.23529411764705885)</f>
        <v>0.2352941176</v>
      </c>
      <c r="J927" s="82">
        <f>IFERROR(__xludf.DUMMYFUNCTION("""COMPUTED_VALUE"""),288.90909090909093)</f>
        <v>288.9090909</v>
      </c>
      <c r="K927" s="82">
        <f>IFERROR(__xludf.DUMMYFUNCTION("""COMPUTED_VALUE"""),0.36363636363636365)</f>
        <v>0.3636363636</v>
      </c>
      <c r="L927" s="82">
        <f>IFERROR(__xludf.DUMMYFUNCTION("""COMPUTED_VALUE"""),0.2727272727272727)</f>
        <v>0.2727272727</v>
      </c>
      <c r="M927" s="82">
        <f>IFERROR(__xludf.DUMMYFUNCTION("""COMPUTED_VALUE"""),1.2727272727272727)</f>
        <v>1.272727273</v>
      </c>
      <c r="N927" s="82">
        <f>IFERROR(__xludf.DUMMYFUNCTION("""COMPUTED_VALUE"""),1.5454545454545454)</f>
        <v>1.545454545</v>
      </c>
      <c r="O927" s="82">
        <f>IFERROR(__xludf.DUMMYFUNCTION("""COMPUTED_VALUE"""),377.8484848484848)</f>
        <v>377.8484848</v>
      </c>
      <c r="P927" s="82">
        <f>IFERROR(__xludf.DUMMYFUNCTION("""COMPUTED_VALUE"""),0.7575757575757575)</f>
        <v>0.7575757576</v>
      </c>
      <c r="Q927" s="82">
        <f>IFERROR(__xludf.DUMMYFUNCTION("""COMPUTED_VALUE"""),0.4848484848484848)</f>
        <v>0.4848484848</v>
      </c>
      <c r="R927" s="82">
        <f>IFERROR(__xludf.DUMMYFUNCTION("""COMPUTED_VALUE"""),1.272727272727273)</f>
        <v>1.272727273</v>
      </c>
      <c r="S927" s="82">
        <f>IFERROR(__xludf.DUMMYFUNCTION("""COMPUTED_VALUE"""),3.1212121212121215)</f>
        <v>3.121212121</v>
      </c>
      <c r="T927" s="82">
        <f>IFERROR(__xludf.DUMMYFUNCTION("""COMPUTED_VALUE"""),374.00451006941444)</f>
        <v>374.0045101</v>
      </c>
      <c r="U927" s="82">
        <f>IFERROR(__xludf.DUMMYFUNCTION("""COMPUTED_VALUE"""),0.8588229090550077)</f>
        <v>0.8588229091</v>
      </c>
      <c r="V927" s="82">
        <f>IFERROR(__xludf.DUMMYFUNCTION("""COMPUTED_VALUE"""),0.6421210826349166)</f>
        <v>0.6421210826</v>
      </c>
      <c r="W927" s="82">
        <f>IFERROR(__xludf.DUMMYFUNCTION("""COMPUTED_VALUE"""),1.3655824554551463)</f>
        <v>1.365582455</v>
      </c>
      <c r="X927" s="82">
        <f>IFERROR(__xludf.DUMMYFUNCTION("""COMPUTED_VALUE"""),2.9306566777232734)</f>
        <v>2.930656678</v>
      </c>
      <c r="Y927" s="82">
        <f>IFERROR(__xludf.DUMMYFUNCTION("""COMPUTED_VALUE"""),352.76880552911666)</f>
        <v>352.7688055</v>
      </c>
      <c r="Z927" s="82">
        <f>IFERROR(__xludf.DUMMYFUNCTION("""COMPUTED_VALUE"""),0.7116344657754713)</f>
        <v>0.7116344658</v>
      </c>
      <c r="AA927" s="82">
        <f>IFERROR(__xludf.DUMMYFUNCTION("""COMPUTED_VALUE"""),0.5178400366442314)</f>
        <v>0.5178400366</v>
      </c>
      <c r="AB927" s="82">
        <f>IFERROR(__xludf.DUMMYFUNCTION("""COMPUTED_VALUE"""),1.5018402456771867)</f>
        <v>1.501840246</v>
      </c>
      <c r="AC927" s="82">
        <f>IFERROR(__xludf.DUMMYFUNCTION("""COMPUTED_VALUE"""),2.4751568806353257)</f>
        <v>2.475156881</v>
      </c>
      <c r="AD927" s="82">
        <f>IFERROR(__xludf.DUMMYFUNCTION("""COMPUTED_VALUE"""),0.8189757324935725)</f>
        <v>0.8189757325</v>
      </c>
      <c r="AE927" s="82">
        <f>IFERROR(__xludf.DUMMYFUNCTION("""COMPUTED_VALUE"""),0.5109875661237226)</f>
        <v>0.5109875661</v>
      </c>
      <c r="AF927" s="82">
        <f>IFERROR(__xludf.DUMMYFUNCTION("""COMPUTED_VALUE"""),0.5266631651245671)</f>
        <v>0.5266631651</v>
      </c>
      <c r="AG927" s="82">
        <f>IFERROR(__xludf.DUMMYFUNCTION("""COMPUTED_VALUE"""),0.8474451769358425)</f>
        <v>0.8474451769</v>
      </c>
      <c r="AH927" s="82">
        <f>IFERROR(__xludf.DUMMYFUNCTION("""COMPUTED_VALUE"""),0.6243865015367659)</f>
        <v>0.6243865015</v>
      </c>
      <c r="AI927" s="82">
        <f>IFERROR(__xludf.DUMMYFUNCTION("""COMPUTED_VALUE"""),1.0102778834895787)</f>
        <v>1.010277883</v>
      </c>
      <c r="AJ927" s="82">
        <f>IFERROR(__xludf.DUMMYFUNCTION("""COMPUTED_VALUE"""),0.8821093959979992)</f>
        <v>0.882109396</v>
      </c>
      <c r="AK927" s="82">
        <f>IFERROR(__xludf.DUMMYFUNCTION("""COMPUTED_VALUE"""),0.7550732999747175)</f>
        <v>0.7550733</v>
      </c>
      <c r="AL927" s="82">
        <f>IFERROR(__xludf.DUMMYFUNCTION("""COMPUTED_VALUE"""),0.9320032398212638)</f>
        <v>0.9320032398</v>
      </c>
      <c r="AM927" s="82">
        <f>IFERROR(__xludf.DUMMYFUNCTION("""COMPUTED_VALUE"""),1.065021414803485)</f>
        <v>1.065021415</v>
      </c>
      <c r="AN927" s="82">
        <f>IFERROR(__xludf.DUMMYFUNCTION("""COMPUTED_VALUE"""),0.8240652599913253)</f>
        <v>0.82406526</v>
      </c>
      <c r="AO927" s="82">
        <f>IFERROR(__xludf.DUMMYFUNCTION("""COMPUTED_VALUE"""),0.5129648627640783)</f>
        <v>0.5129648628</v>
      </c>
      <c r="AP927" s="82">
        <f>IFERROR(__xludf.DUMMYFUNCTION("""COMPUTED_VALUE"""),0.47773267155334626)</f>
        <v>0.4777326716</v>
      </c>
      <c r="AQ927" s="82">
        <f>IFERROR(__xludf.DUMMYFUNCTION("""COMPUTED_VALUE"""),0.8928671649536928)</f>
        <v>0.892867165</v>
      </c>
      <c r="AR927" s="82">
        <f>IFERROR(__xludf.DUMMYFUNCTION("""COMPUTED_VALUE"""),0.616526740293265)</f>
        <v>0.6165267403</v>
      </c>
      <c r="AS927" s="82">
        <f>IFERROR(__xludf.DUMMYFUNCTION("""COMPUTED_VALUE"""),19.0)</f>
        <v>19</v>
      </c>
      <c r="AT927" s="82">
        <f>IFERROR(__xludf.DUMMYFUNCTION("""COMPUTED_VALUE"""),0.3992624672770685)</f>
        <v>0.3992624673</v>
      </c>
      <c r="AU927" s="82">
        <f>IFERROR(__xludf.DUMMYFUNCTION("""COMPUTED_VALUE"""),1.1359238978895119)</f>
        <v>1.135923898</v>
      </c>
      <c r="AV927" s="82">
        <f>IFERROR(__xludf.DUMMYFUNCTION("""COMPUTED_VALUE"""),13.821187145308791)</f>
        <v>13.82118715</v>
      </c>
      <c r="AW927" s="82">
        <f t="shared" si="1"/>
        <v>-13.52683811</v>
      </c>
      <c r="AX927" s="83">
        <f t="array" ref="AX927">IFERROR(DGET('SBV Import'!A:G,"SBV",{"RSC ID","Tier";B927,A927}))</f>
        <v>6.638650197</v>
      </c>
      <c r="AY927" s="82">
        <f t="shared" si="2"/>
        <v>-24.1436366</v>
      </c>
      <c r="AZ927" s="82">
        <v>10.61679849183159</v>
      </c>
      <c r="BA927" s="84">
        <v>800.0</v>
      </c>
      <c r="BB927" s="84" t="b">
        <f>IFERROR(__xludf.DUMMYFUNCTION("iferror(if(A927="""",,E927&gt;=FILTER(Constants!$F$2:$F$10,Constants!$A$2:$A$10=A927)))"),TRUE)</f>
        <v>1</v>
      </c>
    </row>
    <row r="928">
      <c r="A928" s="80" t="str">
        <f>IFERROR(__xludf.DUMMYFUNCTION("""COMPUTED_VALUE"""),"Elite")</f>
        <v>Elite</v>
      </c>
      <c r="B928" s="73" t="str">
        <f>IFERROR(__xludf.DUMMYFUNCTION("""COMPUTED_VALUE"""),"RSC007386")</f>
        <v>RSC007386</v>
      </c>
      <c r="C928" s="73" t="str">
        <f>IFERROR(__xludf.DUMMYFUNCTION("""COMPUTED_VALUE"""),"oddtrip")</f>
        <v>oddtrip</v>
      </c>
      <c r="D928" s="73" t="str">
        <f>IFERROR(__xludf.DUMMYFUNCTION("""COMPUTED_VALUE"""),"Loonie")</f>
        <v>Loonie</v>
      </c>
      <c r="E928" s="82">
        <f>IFERROR(__xludf.DUMMYFUNCTION("""COMPUTED_VALUE"""),20.0)</f>
        <v>20</v>
      </c>
      <c r="F928" s="82">
        <f>IFERROR(__xludf.DUMMYFUNCTION("""COMPUTED_VALUE"""),4.0)</f>
        <v>4</v>
      </c>
      <c r="G928" s="82">
        <f>IFERROR(__xludf.DUMMYFUNCTION("""COMPUTED_VALUE"""),16.0)</f>
        <v>16</v>
      </c>
      <c r="H928" s="86">
        <f>IFERROR(__xludf.DUMMYFUNCTION("""COMPUTED_VALUE"""),0.2)</f>
        <v>0.2</v>
      </c>
      <c r="I928" s="86">
        <f>IFERROR(__xludf.DUMMYFUNCTION("""COMPUTED_VALUE"""),0.1627906976744186)</f>
        <v>0.1627906977</v>
      </c>
      <c r="J928" s="82">
        <f>IFERROR(__xludf.DUMMYFUNCTION("""COMPUTED_VALUE"""),261.85)</f>
        <v>261.85</v>
      </c>
      <c r="K928" s="82">
        <f>IFERROR(__xludf.DUMMYFUNCTION("""COMPUTED_VALUE"""),0.35)</f>
        <v>0.35</v>
      </c>
      <c r="L928" s="82">
        <f>IFERROR(__xludf.DUMMYFUNCTION("""COMPUTED_VALUE"""),0.35)</f>
        <v>0.35</v>
      </c>
      <c r="M928" s="82">
        <f>IFERROR(__xludf.DUMMYFUNCTION("""COMPUTED_VALUE"""),1.2)</f>
        <v>1.2</v>
      </c>
      <c r="N928" s="82">
        <f>IFERROR(__xludf.DUMMYFUNCTION("""COMPUTED_VALUE"""),2.15)</f>
        <v>2.15</v>
      </c>
      <c r="O928" s="82">
        <f>IFERROR(__xludf.DUMMYFUNCTION("""COMPUTED_VALUE"""),395.29999999999995)</f>
        <v>395.3</v>
      </c>
      <c r="P928" s="82">
        <f>IFERROR(__xludf.DUMMYFUNCTION("""COMPUTED_VALUE"""),1.0000000000000002)</f>
        <v>1</v>
      </c>
      <c r="Q928" s="82">
        <f>IFERROR(__xludf.DUMMYFUNCTION("""COMPUTED_VALUE"""),0.8166666666666667)</f>
        <v>0.8166666667</v>
      </c>
      <c r="R928" s="82">
        <f>IFERROR(__xludf.DUMMYFUNCTION("""COMPUTED_VALUE"""),1.4666666666666666)</f>
        <v>1.466666667</v>
      </c>
      <c r="S928" s="82">
        <f>IFERROR(__xludf.DUMMYFUNCTION("""COMPUTED_VALUE"""),2.8)</f>
        <v>2.8</v>
      </c>
      <c r="T928" s="82">
        <f>IFERROR(__xludf.DUMMYFUNCTION("""COMPUTED_VALUE"""),363.15220444438626)</f>
        <v>363.1522044</v>
      </c>
      <c r="U928" s="82">
        <f>IFERROR(__xludf.DUMMYFUNCTION("""COMPUTED_VALUE"""),0.7734700822915791)</f>
        <v>0.7734700823</v>
      </c>
      <c r="V928" s="82">
        <f>IFERROR(__xludf.DUMMYFUNCTION("""COMPUTED_VALUE"""),0.5838575085192821)</f>
        <v>0.5838575085</v>
      </c>
      <c r="W928" s="82">
        <f>IFERROR(__xludf.DUMMYFUNCTION("""COMPUTED_VALUE"""),1.399550370796581)</f>
        <v>1.399550371</v>
      </c>
      <c r="X928" s="82">
        <f>IFERROR(__xludf.DUMMYFUNCTION("""COMPUTED_VALUE"""),2.781223492812053)</f>
        <v>2.781223493</v>
      </c>
      <c r="Y928" s="82">
        <f>IFERROR(__xludf.DUMMYFUNCTION("""COMPUTED_VALUE"""),349.8710362168821)</f>
        <v>349.8710362</v>
      </c>
      <c r="Z928" s="82">
        <f>IFERROR(__xludf.DUMMYFUNCTION("""COMPUTED_VALUE"""),0.6780707625393843)</f>
        <v>0.6780707625</v>
      </c>
      <c r="AA928" s="82">
        <f>IFERROR(__xludf.DUMMYFUNCTION("""COMPUTED_VALUE"""),0.5072115319299562)</f>
        <v>0.5072115319</v>
      </c>
      <c r="AB928" s="82">
        <f>IFERROR(__xludf.DUMMYFUNCTION("""COMPUTED_VALUE"""),1.498936091571202)</f>
        <v>1.498936092</v>
      </c>
      <c r="AC928" s="82">
        <f>IFERROR(__xludf.DUMMYFUNCTION("""COMPUTED_VALUE"""),2.5514342929082057)</f>
        <v>2.551434293</v>
      </c>
      <c r="AD928" s="82">
        <f>IFERROR(__xludf.DUMMYFUNCTION("""COMPUTED_VALUE"""),0.7484186254208292)</f>
        <v>0.7484186254</v>
      </c>
      <c r="AE928" s="82">
        <f>IFERROR(__xludf.DUMMYFUNCTION("""COMPUTED_VALUE"""),0.5161703163387331)</f>
        <v>0.5161703163</v>
      </c>
      <c r="AF928" s="82">
        <f>IFERROR(__xludf.DUMMYFUNCTION("""COMPUTED_VALUE"""),0.6900474022509676)</f>
        <v>0.6900474023</v>
      </c>
      <c r="AG928" s="82">
        <f>IFERROR(__xludf.DUMMYFUNCTION("""COMPUTED_VALUE"""),0.8005678205680845)</f>
        <v>0.8005678206</v>
      </c>
      <c r="AH928" s="82">
        <f>IFERROR(__xludf.DUMMYFUNCTION("""COMPUTED_VALUE"""),0.8426632839324902)</f>
        <v>0.8426632839</v>
      </c>
      <c r="AI928" s="82">
        <f>IFERROR(__xludf.DUMMYFUNCTION("""COMPUTED_VALUE"""),1.08852430237839)</f>
        <v>1.088524302</v>
      </c>
      <c r="AJ928" s="82">
        <f>IFERROR(__xludf.DUMMYFUNCTION("""COMPUTED_VALUE"""),1.2928748285095595)</f>
        <v>1.292874829</v>
      </c>
      <c r="AK928" s="82">
        <f>IFERROR(__xludf.DUMMYFUNCTION("""COMPUTED_VALUE"""),1.3987431089784401)</f>
        <v>1.398743109</v>
      </c>
      <c r="AL928" s="82">
        <f>IFERROR(__xludf.DUMMYFUNCTION("""COMPUTED_VALUE"""),1.0479556129386647)</f>
        <v>1.047955613</v>
      </c>
      <c r="AM928" s="82">
        <f>IFERROR(__xludf.DUMMYFUNCTION("""COMPUTED_VALUE"""),1.0067511680512098)</f>
        <v>1.006751168</v>
      </c>
      <c r="AN928" s="82">
        <f>IFERROR(__xludf.DUMMYFUNCTION("""COMPUTED_VALUE"""),0.7468836915091296)</f>
        <v>0.7468836915</v>
      </c>
      <c r="AO928" s="82">
        <f>IFERROR(__xludf.DUMMYFUNCTION("""COMPUTED_VALUE"""),0.4937286804104253)</f>
        <v>0.4937286804</v>
      </c>
      <c r="AP928" s="82">
        <f>IFERROR(__xludf.DUMMYFUNCTION("""COMPUTED_VALUE"""),0.6130902618267944)</f>
        <v>0.6130902618</v>
      </c>
      <c r="AQ928" s="82">
        <f>IFERROR(__xludf.DUMMYFUNCTION("""COMPUTED_VALUE"""),0.8418461840991961)</f>
        <v>0.8418461841</v>
      </c>
      <c r="AR928" s="82">
        <f>IFERROR(__xludf.DUMMYFUNCTION("""COMPUTED_VALUE"""),0.857697494584454)</f>
        <v>0.8576974946</v>
      </c>
      <c r="AS928" s="82">
        <f>IFERROR(__xludf.DUMMYFUNCTION("""COMPUTED_VALUE"""),26.0)</f>
        <v>26</v>
      </c>
      <c r="AT928" s="82">
        <f>IFERROR(__xludf.DUMMYFUNCTION("""COMPUTED_VALUE"""),0.21908861970803326)</f>
        <v>0.2190886197</v>
      </c>
      <c r="AU928" s="82">
        <f>IFERROR(__xludf.DUMMYFUNCTION("""COMPUTED_VALUE"""),1.0703153963407401)</f>
        <v>1.070315396</v>
      </c>
      <c r="AV928" s="82">
        <f>IFERROR(__xludf.DUMMYFUNCTION("""COMPUTED_VALUE"""),11.934010233404294)</f>
        <v>11.93401023</v>
      </c>
      <c r="AW928" s="82">
        <f t="shared" si="1"/>
        <v>-15.64346674</v>
      </c>
      <c r="AX928" s="83">
        <f t="array" ref="AX928">IFERROR(DGET('SBV Import'!A:G,"SBV",{"RSC ID","Tier";B928,A928}))</f>
        <v>12.33898484</v>
      </c>
      <c r="AY928" s="82">
        <f t="shared" si="2"/>
        <v>-15.1567852</v>
      </c>
      <c r="AZ928" s="82">
        <v>0.4866815326238836</v>
      </c>
      <c r="BA928" s="84">
        <v>800.0</v>
      </c>
      <c r="BB928" s="84" t="b">
        <f>IFERROR(__xludf.DUMMYFUNCTION("iferror(if(A928="""",,E928&gt;=FILTER(Constants!$F$2:$F$10,Constants!$A$2:$A$10=A928)))"),TRUE)</f>
        <v>1</v>
      </c>
    </row>
    <row r="929">
      <c r="A929" s="80" t="str">
        <f>IFERROR(__xludf.DUMMYFUNCTION("""COMPUTED_VALUE"""),"Elite")</f>
        <v>Elite</v>
      </c>
      <c r="B929" s="73" t="str">
        <f>IFERROR(__xludf.DUMMYFUNCTION("""COMPUTED_VALUE"""),"RSC006438")</f>
        <v>RSC006438</v>
      </c>
      <c r="C929" s="73" t="str">
        <f>IFERROR(__xludf.DUMMYFUNCTION("""COMPUTED_VALUE"""),"WestyzWorld")</f>
        <v>WestyzWorld</v>
      </c>
      <c r="D929" s="73"/>
      <c r="E929" s="82">
        <f>IFERROR(__xludf.DUMMYFUNCTION("""COMPUTED_VALUE"""),7.0)</f>
        <v>7</v>
      </c>
      <c r="F929" s="82">
        <f>IFERROR(__xludf.DUMMYFUNCTION("""COMPUTED_VALUE"""),0.0)</f>
        <v>0</v>
      </c>
      <c r="G929" s="82">
        <f>IFERROR(__xludf.DUMMYFUNCTION("""COMPUTED_VALUE"""),7.0)</f>
        <v>7</v>
      </c>
      <c r="H929" s="86">
        <f>IFERROR(__xludf.DUMMYFUNCTION("""COMPUTED_VALUE"""),0.0)</f>
        <v>0</v>
      </c>
      <c r="I929" s="86">
        <f>IFERROR(__xludf.DUMMYFUNCTION("""COMPUTED_VALUE"""),0.15384615384615383)</f>
        <v>0.1538461538</v>
      </c>
      <c r="J929" s="82">
        <f>IFERROR(__xludf.DUMMYFUNCTION("""COMPUTED_VALUE"""),261.2857142857143)</f>
        <v>261.2857143</v>
      </c>
      <c r="K929" s="82">
        <f>IFERROR(__xludf.DUMMYFUNCTION("""COMPUTED_VALUE"""),0.2857142857142857)</f>
        <v>0.2857142857</v>
      </c>
      <c r="L929" s="82">
        <f>IFERROR(__xludf.DUMMYFUNCTION("""COMPUTED_VALUE"""),0.42857142857142855)</f>
        <v>0.4285714286</v>
      </c>
      <c r="M929" s="82">
        <f>IFERROR(__xludf.DUMMYFUNCTION("""COMPUTED_VALUE"""),0.8571428571428571)</f>
        <v>0.8571428571</v>
      </c>
      <c r="N929" s="82">
        <f>IFERROR(__xludf.DUMMYFUNCTION("""COMPUTED_VALUE"""),1.8571428571428572)</f>
        <v>1.857142857</v>
      </c>
      <c r="O929" s="82">
        <f>IFERROR(__xludf.DUMMYFUNCTION("""COMPUTED_VALUE"""),408.61904761904765)</f>
        <v>408.6190476</v>
      </c>
      <c r="P929" s="82">
        <f>IFERROR(__xludf.DUMMYFUNCTION("""COMPUTED_VALUE"""),1.2857142857142858)</f>
        <v>1.285714286</v>
      </c>
      <c r="Q929" s="82">
        <f>IFERROR(__xludf.DUMMYFUNCTION("""COMPUTED_VALUE"""),1.0476190476190477)</f>
        <v>1.047619048</v>
      </c>
      <c r="R929" s="82">
        <f>IFERROR(__xludf.DUMMYFUNCTION("""COMPUTED_VALUE"""),0.9047619047619048)</f>
        <v>0.9047619048</v>
      </c>
      <c r="S929" s="82">
        <f>IFERROR(__xludf.DUMMYFUNCTION("""COMPUTED_VALUE"""),2.7619047619047623)</f>
        <v>2.761904762</v>
      </c>
      <c r="T929" s="82">
        <f>IFERROR(__xludf.DUMMYFUNCTION("""COMPUTED_VALUE"""),396.38869047619045)</f>
        <v>396.3886905</v>
      </c>
      <c r="U929" s="82">
        <f>IFERROR(__xludf.DUMMYFUNCTION("""COMPUTED_VALUE"""),1.0896284271284273)</f>
        <v>1.089628427</v>
      </c>
      <c r="V929" s="82">
        <f>IFERROR(__xludf.DUMMYFUNCTION("""COMPUTED_VALUE"""),0.8250541125541125)</f>
        <v>0.8250541126</v>
      </c>
      <c r="W929" s="82">
        <f>IFERROR(__xludf.DUMMYFUNCTION("""COMPUTED_VALUE"""),1.145364357864358)</f>
        <v>1.145364358</v>
      </c>
      <c r="X929" s="82">
        <f>IFERROR(__xludf.DUMMYFUNCTION("""COMPUTED_VALUE"""),3.0113636363636362)</f>
        <v>3.011363636</v>
      </c>
      <c r="Y929" s="82">
        <f>IFERROR(__xludf.DUMMYFUNCTION("""COMPUTED_VALUE"""),353.0556216931217)</f>
        <v>353.0556217</v>
      </c>
      <c r="Z929" s="82">
        <f>IFERROR(__xludf.DUMMYFUNCTION("""COMPUTED_VALUE"""),0.7242003367003367)</f>
        <v>0.7242003367</v>
      </c>
      <c r="AA929" s="82">
        <f>IFERROR(__xludf.DUMMYFUNCTION("""COMPUTED_VALUE"""),0.5478475228475228)</f>
        <v>0.5478475228</v>
      </c>
      <c r="AB929" s="82">
        <f>IFERROR(__xludf.DUMMYFUNCTION("""COMPUTED_VALUE"""),1.4762385762385761)</f>
        <v>1.476238576</v>
      </c>
      <c r="AC929" s="82">
        <f>IFERROR(__xludf.DUMMYFUNCTION("""COMPUTED_VALUE"""),2.4728655603655603)</f>
        <v>2.47286556</v>
      </c>
      <c r="AD929" s="82">
        <f>IFERROR(__xludf.DUMMYFUNCTION("""COMPUTED_VALUE"""),0.7400695477746154)</f>
        <v>0.7400695478</v>
      </c>
      <c r="AE929" s="82">
        <f>IFERROR(__xludf.DUMMYFUNCTION("""COMPUTED_VALUE"""),0.3945238233609245)</f>
        <v>0.3945238234</v>
      </c>
      <c r="AF929" s="82">
        <f>IFERROR(__xludf.DUMMYFUNCTION("""COMPUTED_VALUE"""),0.7822823152395795)</f>
        <v>0.7822823152</v>
      </c>
      <c r="AG929" s="82">
        <f>IFERROR(__xludf.DUMMYFUNCTION("""COMPUTED_VALUE"""),0.5806262422208465)</f>
        <v>0.5806262422</v>
      </c>
      <c r="AH929" s="82">
        <f>IFERROR(__xludf.DUMMYFUNCTION("""COMPUTED_VALUE"""),0.751008419911157)</f>
        <v>0.7510084199</v>
      </c>
      <c r="AI929" s="82">
        <f>IFERROR(__xludf.DUMMYFUNCTION("""COMPUTED_VALUE"""),1.0308544553280887)</f>
        <v>1.030854455</v>
      </c>
      <c r="AJ929" s="82">
        <f>IFERROR(__xludf.DUMMYFUNCTION("""COMPUTED_VALUE"""),1.1799566289791255)</f>
        <v>1.179956629</v>
      </c>
      <c r="AK929" s="82">
        <f>IFERROR(__xludf.DUMMYFUNCTION("""COMPUTED_VALUE"""),1.2697579851774121)</f>
        <v>1.269757985</v>
      </c>
      <c r="AL929" s="82">
        <f>IFERROR(__xludf.DUMMYFUNCTION("""COMPUTED_VALUE"""),0.789933699743303)</f>
        <v>0.7899336997</v>
      </c>
      <c r="AM929" s="82">
        <f>IFERROR(__xludf.DUMMYFUNCTION("""COMPUTED_VALUE"""),0.917160826594789)</f>
        <v>0.9171608266</v>
      </c>
      <c r="AN929" s="82">
        <f>IFERROR(__xludf.DUMMYFUNCTION("""COMPUTED_VALUE"""),0.7452741601081305)</f>
        <v>0.7452741601</v>
      </c>
      <c r="AO929" s="82">
        <f>IFERROR(__xludf.DUMMYFUNCTION("""COMPUTED_VALUE"""),0.40304382074320433)</f>
        <v>0.4030438207</v>
      </c>
      <c r="AP929" s="82">
        <f>IFERROR(__xludf.DUMMYFUNCTION("""COMPUTED_VALUE"""),0.7507227695838299)</f>
        <v>0.7507227696</v>
      </c>
      <c r="AQ929" s="82">
        <f>IFERROR(__xludf.DUMMYFUNCTION("""COMPUTED_VALUE"""),0.6013187029279972)</f>
        <v>0.6013187029</v>
      </c>
      <c r="AR929" s="82">
        <f>IFERROR(__xludf.DUMMYFUNCTION("""COMPUTED_VALUE"""),0.7408682677473689)</f>
        <v>0.7408682677</v>
      </c>
      <c r="AS929" s="82">
        <f>IFERROR(__xludf.DUMMYFUNCTION("""COMPUTED_VALUE"""),12.0)</f>
        <v>12</v>
      </c>
      <c r="AT929" s="82">
        <f>IFERROR(__xludf.DUMMYFUNCTION("""COMPUTED_VALUE"""),0.20955225349780962)</f>
        <v>0.2095522535</v>
      </c>
      <c r="AU929" s="82">
        <f>IFERROR(__xludf.DUMMYFUNCTION("""COMPUTED_VALUE"""),1.0432868664552881)</f>
        <v>1.043286866</v>
      </c>
      <c r="AV929" s="82">
        <f>IFERROR(__xludf.DUMMYFUNCTION("""COMPUTED_VALUE"""),11.156555843219387)</f>
        <v>11.15655584</v>
      </c>
      <c r="AW929" s="82">
        <f t="shared" si="1"/>
        <v>-16.63243425</v>
      </c>
      <c r="AX929" s="83">
        <f t="array" ref="AX929">IFERROR(DGET('SBV Import'!A:G,"SBV",{"RSC ID","Tier";B929,A929}))</f>
        <v>25.80812252</v>
      </c>
      <c r="AY929" s="82">
        <f t="shared" si="2"/>
        <v>-6.002281024</v>
      </c>
      <c r="AZ929" s="82">
        <v>10.630153228837727</v>
      </c>
      <c r="BA929" s="84">
        <v>800.0</v>
      </c>
      <c r="BB929" s="84" t="b">
        <f>IFERROR(__xludf.DUMMYFUNCTION("iferror(if(A929="""",,E929&gt;=FILTER(Constants!$F$2:$F$10,Constants!$A$2:$A$10=A929)))"),TRUE)</f>
        <v>1</v>
      </c>
    </row>
    <row r="930">
      <c r="A930" s="85" t="str">
        <f>IFERROR(__xludf.DUMMYFUNCTION("""COMPUTED_VALUE"""),"Elite")</f>
        <v>Elite</v>
      </c>
      <c r="B930" s="73" t="str">
        <f>IFERROR(__xludf.DUMMYFUNCTION("""COMPUTED_VALUE"""),"RSC007494")</f>
        <v>RSC007494</v>
      </c>
      <c r="C930" s="73" t="str">
        <f>IFERROR(__xludf.DUMMYFUNCTION("""COMPUTED_VALUE"""),"CantaloupeLover-")</f>
        <v>CantaloupeLover-</v>
      </c>
      <c r="D930" s="73"/>
      <c r="E930" s="82">
        <f>IFERROR(__xludf.DUMMYFUNCTION("""COMPUTED_VALUE"""),4.0)</f>
        <v>4</v>
      </c>
      <c r="F930" s="82">
        <f>IFERROR(__xludf.DUMMYFUNCTION("""COMPUTED_VALUE"""),1.0)</f>
        <v>1</v>
      </c>
      <c r="G930" s="82">
        <f>IFERROR(__xludf.DUMMYFUNCTION("""COMPUTED_VALUE"""),3.0)</f>
        <v>3</v>
      </c>
      <c r="H930" s="86">
        <f>IFERROR(__xludf.DUMMYFUNCTION("""COMPUTED_VALUE"""),0.25)</f>
        <v>0.25</v>
      </c>
      <c r="I930" s="86">
        <f>IFERROR(__xludf.DUMMYFUNCTION("""COMPUTED_VALUE"""),0.25)</f>
        <v>0.25</v>
      </c>
      <c r="J930" s="82">
        <f>IFERROR(__xludf.DUMMYFUNCTION("""COMPUTED_VALUE"""),318.75)</f>
        <v>318.75</v>
      </c>
      <c r="K930" s="82">
        <f>IFERROR(__xludf.DUMMYFUNCTION("""COMPUTED_VALUE"""),0.25)</f>
        <v>0.25</v>
      </c>
      <c r="L930" s="82">
        <f>IFERROR(__xludf.DUMMYFUNCTION("""COMPUTED_VALUE"""),0.5)</f>
        <v>0.5</v>
      </c>
      <c r="M930" s="82">
        <f>IFERROR(__xludf.DUMMYFUNCTION("""COMPUTED_VALUE"""),2.0)</f>
        <v>2</v>
      </c>
      <c r="N930" s="82">
        <f>IFERROR(__xludf.DUMMYFUNCTION("""COMPUTED_VALUE"""),1.0)</f>
        <v>1</v>
      </c>
      <c r="O930" s="82">
        <f>IFERROR(__xludf.DUMMYFUNCTION("""COMPUTED_VALUE"""),389.08333333333337)</f>
        <v>389.0833333</v>
      </c>
      <c r="P930" s="82">
        <f>IFERROR(__xludf.DUMMYFUNCTION("""COMPUTED_VALUE"""),1.0)</f>
        <v>1</v>
      </c>
      <c r="Q930" s="82">
        <f>IFERROR(__xludf.DUMMYFUNCTION("""COMPUTED_VALUE"""),0.5833333333333333)</f>
        <v>0.5833333333</v>
      </c>
      <c r="R930" s="82">
        <f>IFERROR(__xludf.DUMMYFUNCTION("""COMPUTED_VALUE"""),1.3333333333333335)</f>
        <v>1.333333333</v>
      </c>
      <c r="S930" s="82">
        <f>IFERROR(__xludf.DUMMYFUNCTION("""COMPUTED_VALUE"""),3.333333333333333)</f>
        <v>3.333333333</v>
      </c>
      <c r="T930" s="82">
        <f>IFERROR(__xludf.DUMMYFUNCTION("""COMPUTED_VALUE"""),381.39716312056737)</f>
        <v>381.3971631</v>
      </c>
      <c r="U930" s="82">
        <f>IFERROR(__xludf.DUMMYFUNCTION("""COMPUTED_VALUE"""),0.8985650667986146)</f>
        <v>0.8985650668</v>
      </c>
      <c r="V930" s="82">
        <f>IFERROR(__xludf.DUMMYFUNCTION("""COMPUTED_VALUE"""),0.6107537522678542)</f>
        <v>0.6107537523</v>
      </c>
      <c r="W930" s="82">
        <f>IFERROR(__xludf.DUMMYFUNCTION("""COMPUTED_VALUE"""),1.4355929407883885)</f>
        <v>1.435592941</v>
      </c>
      <c r="X930" s="82">
        <f>IFERROR(__xludf.DUMMYFUNCTION("""COMPUTED_VALUE"""),2.9035131123206335)</f>
        <v>2.903513112</v>
      </c>
      <c r="Y930" s="82">
        <f>IFERROR(__xludf.DUMMYFUNCTION("""COMPUTED_VALUE"""),357.7749189070317)</f>
        <v>357.7749189</v>
      </c>
      <c r="Z930" s="82">
        <f>IFERROR(__xludf.DUMMYFUNCTION("""COMPUTED_VALUE"""),0.681510803232723)</f>
        <v>0.6815108032</v>
      </c>
      <c r="AA930" s="82">
        <f>IFERROR(__xludf.DUMMYFUNCTION("""COMPUTED_VALUE"""),0.5164659959316071)</f>
        <v>0.5164659959</v>
      </c>
      <c r="AB930" s="82">
        <f>IFERROR(__xludf.DUMMYFUNCTION("""COMPUTED_VALUE"""),1.5564901863763811)</f>
        <v>1.556490186</v>
      </c>
      <c r="AC930" s="82">
        <f>IFERROR(__xludf.DUMMYFUNCTION("""COMPUTED_VALUE"""),2.574742976524273)</f>
        <v>2.574742977</v>
      </c>
      <c r="AD930" s="82">
        <f>IFERROR(__xludf.DUMMYFUNCTION("""COMPUTED_VALUE"""),0.8909232681087621)</f>
        <v>0.8909232681</v>
      </c>
      <c r="AE930" s="82">
        <f>IFERROR(__xludf.DUMMYFUNCTION("""COMPUTED_VALUE"""),0.36683204259438534)</f>
        <v>0.3668320426</v>
      </c>
      <c r="AF930" s="82">
        <f>IFERROR(__xludf.DUMMYFUNCTION("""COMPUTED_VALUE"""),0.9681179476261441)</f>
        <v>0.9681179476</v>
      </c>
      <c r="AG930" s="82">
        <f>IFERROR(__xludf.DUMMYFUNCTION("""COMPUTED_VALUE"""),1.2849422485959523)</f>
        <v>1.284942249</v>
      </c>
      <c r="AH930" s="82">
        <f>IFERROR(__xludf.DUMMYFUNCTION("""COMPUTED_VALUE"""),0.38838828151691146)</f>
        <v>0.3883882815</v>
      </c>
      <c r="AI930" s="82">
        <f>IFERROR(__xludf.DUMMYFUNCTION("""COMPUTED_VALUE"""),1.0201526674972574)</f>
        <v>1.020152667</v>
      </c>
      <c r="AJ930" s="82">
        <f>IFERROR(__xludf.DUMMYFUNCTION("""COMPUTED_VALUE"""),1.112885462555066)</f>
        <v>1.112885463</v>
      </c>
      <c r="AK930" s="82">
        <f>IFERROR(__xludf.DUMMYFUNCTION("""COMPUTED_VALUE"""),0.9551039697542532)</f>
        <v>0.9551039698</v>
      </c>
      <c r="AL930" s="82">
        <f>IFERROR(__xludf.DUMMYFUNCTION("""COMPUTED_VALUE"""),0.9287683823529413)</f>
        <v>0.9287683824</v>
      </c>
      <c r="AM930" s="82">
        <f>IFERROR(__xludf.DUMMYFUNCTION("""COMPUTED_VALUE"""),1.1480345376050896)</f>
        <v>1.148034538</v>
      </c>
      <c r="AN930" s="82">
        <f>IFERROR(__xludf.DUMMYFUNCTION("""COMPUTED_VALUE"""),0.9091815034123928)</f>
        <v>0.9091815034</v>
      </c>
      <c r="AO930" s="82">
        <f>IFERROR(__xludf.DUMMYFUNCTION("""COMPUTED_VALUE"""),0.3526633431503038)</f>
        <v>0.3526633432</v>
      </c>
      <c r="AP930" s="82">
        <f>IFERROR(__xludf.DUMMYFUNCTION("""COMPUTED_VALUE"""),0.8758432311811349)</f>
        <v>0.8758432312</v>
      </c>
      <c r="AQ930" s="82">
        <f>IFERROR(__xludf.DUMMYFUNCTION("""COMPUTED_VALUE"""),1.4030769734986601)</f>
        <v>1.403076973</v>
      </c>
      <c r="AR930" s="82">
        <f>IFERROR(__xludf.DUMMYFUNCTION("""COMPUTED_VALUE"""),0.39892906724858324)</f>
        <v>0.3989290672</v>
      </c>
      <c r="AS930" s="82">
        <f>IFERROR(__xludf.DUMMYFUNCTION("""COMPUTED_VALUE"""),8.0)</f>
        <v>8</v>
      </c>
      <c r="AT930" s="82">
        <f>IFERROR(__xludf.DUMMYFUNCTION("""COMPUTED_VALUE"""),0.34445266793706497)</f>
        <v>0.3444526679</v>
      </c>
      <c r="AU930" s="82">
        <f>IFERROR(__xludf.DUMMYFUNCTION("""COMPUTED_VALUE"""),0.8999700781347171)</f>
        <v>0.8999700781</v>
      </c>
      <c r="AV930" s="82">
        <f>IFERROR(__xludf.DUMMYFUNCTION("""COMPUTED_VALUE"""),7.034161220232477)</f>
        <v>7.03416122</v>
      </c>
      <c r="AW930" s="82">
        <f t="shared" si="1"/>
        <v>-23.3423657</v>
      </c>
      <c r="AX930" s="83">
        <f t="array" ref="AX930">IFERROR(DGET('SBV Import'!A:G,"SBV",{"RSC ID","Tier";B930,A930}))</f>
        <v>10.03088056</v>
      </c>
      <c r="AY930" s="82">
        <f t="shared" si="2"/>
        <v>-18.20285437</v>
      </c>
      <c r="AZ930" s="82">
        <v>5.139511327840367</v>
      </c>
      <c r="BA930" s="84">
        <v>800.0</v>
      </c>
      <c r="BB930" s="84" t="b">
        <f>IFERROR(__xludf.DUMMYFUNCTION("iferror(if(A930="""",,E930&gt;=FILTER(Constants!$F$2:$F$10,Constants!$A$2:$A$10=A930)))"),TRUE)</f>
        <v>1</v>
      </c>
    </row>
    <row r="931">
      <c r="A931" s="80" t="str">
        <f>IFERROR(__xludf.DUMMYFUNCTION("""COMPUTED_VALUE"""),"Elite")</f>
        <v>Elite</v>
      </c>
      <c r="B931" s="73" t="str">
        <f>IFERROR(__xludf.DUMMYFUNCTION("""COMPUTED_VALUE"""),"RSC007907")</f>
        <v>RSC007907</v>
      </c>
      <c r="C931" s="73" t="str">
        <f>IFERROR(__xludf.DUMMYFUNCTION("""COMPUTED_VALUE"""),"Chazie.")</f>
        <v>Chazie.</v>
      </c>
      <c r="D931" s="73"/>
      <c r="E931" s="82">
        <f>IFERROR(__xludf.DUMMYFUNCTION("""COMPUTED_VALUE"""),4.0)</f>
        <v>4</v>
      </c>
      <c r="F931" s="82">
        <f>IFERROR(__xludf.DUMMYFUNCTION("""COMPUTED_VALUE"""),0.0)</f>
        <v>0</v>
      </c>
      <c r="G931" s="82">
        <f>IFERROR(__xludf.DUMMYFUNCTION("""COMPUTED_VALUE"""),4.0)</f>
        <v>4</v>
      </c>
      <c r="H931" s="86">
        <f>IFERROR(__xludf.DUMMYFUNCTION("""COMPUTED_VALUE"""),0.0)</f>
        <v>0</v>
      </c>
      <c r="I931" s="86">
        <f>IFERROR(__xludf.DUMMYFUNCTION("""COMPUTED_VALUE"""),0.0)</f>
        <v>0</v>
      </c>
      <c r="J931" s="82">
        <f>IFERROR(__xludf.DUMMYFUNCTION("""COMPUTED_VALUE"""),318.75)</f>
        <v>318.75</v>
      </c>
      <c r="K931" s="82">
        <f>IFERROR(__xludf.DUMMYFUNCTION("""COMPUTED_VALUE"""),0.0)</f>
        <v>0</v>
      </c>
      <c r="L931" s="82">
        <f>IFERROR(__xludf.DUMMYFUNCTION("""COMPUTED_VALUE"""),1.0)</f>
        <v>1</v>
      </c>
      <c r="M931" s="82">
        <f>IFERROR(__xludf.DUMMYFUNCTION("""COMPUTED_VALUE"""),1.75)</f>
        <v>1.75</v>
      </c>
      <c r="N931" s="82">
        <f>IFERROR(__xludf.DUMMYFUNCTION("""COMPUTED_VALUE"""),1.0)</f>
        <v>1</v>
      </c>
      <c r="O931" s="82">
        <f>IFERROR(__xludf.DUMMYFUNCTION("""COMPUTED_VALUE"""),460.75)</f>
        <v>460.75</v>
      </c>
      <c r="P931" s="82">
        <f>IFERROR(__xludf.DUMMYFUNCTION("""COMPUTED_VALUE"""),1.1666666666666665)</f>
        <v>1.166666667</v>
      </c>
      <c r="Q931" s="82">
        <f>IFERROR(__xludf.DUMMYFUNCTION("""COMPUTED_VALUE"""),0.8333333333333333)</f>
        <v>0.8333333333</v>
      </c>
      <c r="R931" s="82">
        <f>IFERROR(__xludf.DUMMYFUNCTION("""COMPUTED_VALUE"""),1.9166666666666667)</f>
        <v>1.916666667</v>
      </c>
      <c r="S931" s="82">
        <f>IFERROR(__xludf.DUMMYFUNCTION("""COMPUTED_VALUE"""),3.583333333333333)</f>
        <v>3.583333333</v>
      </c>
      <c r="T931" s="82">
        <f>IFERROR(__xludf.DUMMYFUNCTION("""COMPUTED_VALUE"""),375.901672979798)</f>
        <v>375.901673</v>
      </c>
      <c r="U931" s="82">
        <f>IFERROR(__xludf.DUMMYFUNCTION("""COMPUTED_VALUE"""),0.8650838744588744)</f>
        <v>0.8650838745</v>
      </c>
      <c r="V931" s="82">
        <f>IFERROR(__xludf.DUMMYFUNCTION("""COMPUTED_VALUE"""),0.6381042568542569)</f>
        <v>0.6381042569</v>
      </c>
      <c r="W931" s="82">
        <f>IFERROR(__xludf.DUMMYFUNCTION("""COMPUTED_VALUE"""),1.32558170995671)</f>
        <v>1.32558171</v>
      </c>
      <c r="X931" s="82">
        <f>IFERROR(__xludf.DUMMYFUNCTION("""COMPUTED_VALUE"""),2.9777191558441554)</f>
        <v>2.977719156</v>
      </c>
      <c r="Y931" s="82">
        <f>IFERROR(__xludf.DUMMYFUNCTION("""COMPUTED_VALUE"""),367.0007876382877)</f>
        <v>367.0007876</v>
      </c>
      <c r="Z931" s="82">
        <f>IFERROR(__xludf.DUMMYFUNCTION("""COMPUTED_VALUE"""),0.7089105339105339)</f>
        <v>0.7089105339</v>
      </c>
      <c r="AA931" s="82">
        <f>IFERROR(__xludf.DUMMYFUNCTION("""COMPUTED_VALUE"""),0.5241311928811929)</f>
        <v>0.5241311929</v>
      </c>
      <c r="AB931" s="82">
        <f>IFERROR(__xludf.DUMMYFUNCTION("""COMPUTED_VALUE"""),1.7256523569023572)</f>
        <v>1.725652357</v>
      </c>
      <c r="AC931" s="82">
        <f>IFERROR(__xludf.DUMMYFUNCTION("""COMPUTED_VALUE"""),2.3810365560365563)</f>
        <v>2.381036556</v>
      </c>
      <c r="AD931" s="82">
        <f>IFERROR(__xludf.DUMMYFUNCTION("""COMPUTED_VALUE"""),0.8685267463626176)</f>
        <v>0.8685267464</v>
      </c>
      <c r="AE931" s="82">
        <f>IFERROR(__xludf.DUMMYFUNCTION("""COMPUTED_VALUE"""),0.0)</f>
        <v>0</v>
      </c>
      <c r="AF931" s="82">
        <f>IFERROR(__xludf.DUMMYFUNCTION("""COMPUTED_VALUE"""),1.9079192644553675)</f>
        <v>1.907919264</v>
      </c>
      <c r="AG931" s="82">
        <f>IFERROR(__xludf.DUMMYFUNCTION("""COMPUTED_VALUE"""),1.0141092399058569)</f>
        <v>1.01410924</v>
      </c>
      <c r="AH931" s="82">
        <f>IFERROR(__xludf.DUMMYFUNCTION("""COMPUTED_VALUE"""),0.41998515204007936)</f>
        <v>0.419985152</v>
      </c>
      <c r="AI931" s="82">
        <f>IFERROR(__xludf.DUMMYFUNCTION("""COMPUTED_VALUE"""),1.2257194716575843)</f>
        <v>1.225719472</v>
      </c>
      <c r="AJ931" s="82">
        <f>IFERROR(__xludf.DUMMYFUNCTION("""COMPUTED_VALUE"""),1.348616823306801)</f>
        <v>1.348616823</v>
      </c>
      <c r="AK931" s="82">
        <f>IFERROR(__xludf.DUMMYFUNCTION("""COMPUTED_VALUE"""),1.3059516910943705)</f>
        <v>1.305951691</v>
      </c>
      <c r="AL931" s="82">
        <f>IFERROR(__xludf.DUMMYFUNCTION("""COMPUTED_VALUE"""),1.445906089583312)</f>
        <v>1.44590609</v>
      </c>
      <c r="AM931" s="82">
        <f>IFERROR(__xludf.DUMMYFUNCTION("""COMPUTED_VALUE"""),1.2033818992971792)</f>
        <v>1.203381899</v>
      </c>
      <c r="AN931" s="82">
        <f>IFERROR(__xludf.DUMMYFUNCTION("""COMPUTED_VALUE"""),0.9091815034123928)</f>
        <v>0.9091815034</v>
      </c>
      <c r="AO931" s="82">
        <f>IFERROR(__xludf.DUMMYFUNCTION("""COMPUTED_VALUE"""),0.0)</f>
        <v>0</v>
      </c>
      <c r="AP931" s="82">
        <f>IFERROR(__xludf.DUMMYFUNCTION("""COMPUTED_VALUE"""),1.7516864623622699)</f>
        <v>1.751686462</v>
      </c>
      <c r="AQ931" s="82">
        <f>IFERROR(__xludf.DUMMYFUNCTION("""COMPUTED_VALUE"""),1.2276923518113276)</f>
        <v>1.227692352</v>
      </c>
      <c r="AR931" s="82">
        <f>IFERROR(__xludf.DUMMYFUNCTION("""COMPUTED_VALUE"""),0.39892906724858324)</f>
        <v>0.3989290672</v>
      </c>
      <c r="AS931" s="82">
        <f>IFERROR(__xludf.DUMMYFUNCTION("""COMPUTED_VALUE"""),6.0)</f>
        <v>6</v>
      </c>
      <c r="AT931" s="82">
        <f>IFERROR(__xludf.DUMMYFUNCTION("""COMPUTED_VALUE"""),0.2067305421964463)</f>
        <v>0.2067305422</v>
      </c>
      <c r="AU931" s="82">
        <f>IFERROR(__xludf.DUMMYFUNCTION("""COMPUTED_VALUE"""),0.8832064127643467)</f>
        <v>0.8832064128</v>
      </c>
      <c r="AV931" s="82">
        <f>IFERROR(__xludf.DUMMYFUNCTION("""COMPUTED_VALUE"""),6.551967579179134)</f>
        <v>6.551967579</v>
      </c>
      <c r="AW931" s="82">
        <f t="shared" si="1"/>
        <v>-24.3235965</v>
      </c>
      <c r="AX931" s="83">
        <f t="array" ref="AX931">IFERROR(DGET('SBV Import'!A:G,"SBV",{"RSC ID","Tier";B931,A931}))</f>
        <v>10.75234137</v>
      </c>
      <c r="AY931" s="82">
        <f t="shared" si="2"/>
        <v>-17.17668521</v>
      </c>
      <c r="AZ931" s="82">
        <v>7.146911282774205</v>
      </c>
      <c r="BA931" s="84">
        <v>800.0</v>
      </c>
      <c r="BB931" s="84" t="b">
        <f>IFERROR(__xludf.DUMMYFUNCTION("iferror(if(A931="""",,E931&gt;=FILTER(Constants!$F$2:$F$10,Constants!$A$2:$A$10=A931)))"),TRUE)</f>
        <v>1</v>
      </c>
    </row>
    <row r="932">
      <c r="A932" s="80" t="str">
        <f>IFERROR(__xludf.DUMMYFUNCTION("""COMPUTED_VALUE"""),"Elite")</f>
        <v>Elite</v>
      </c>
      <c r="B932" s="73" t="str">
        <f>IFERROR(__xludf.DUMMYFUNCTION("""COMPUTED_VALUE"""),"RSC007470")</f>
        <v>RSC007470</v>
      </c>
      <c r="C932" s="73" t="str">
        <f>IFERROR(__xludf.DUMMYFUNCTION("""COMPUTED_VALUE"""),"Fused Gavin")</f>
        <v>Fused Gavin</v>
      </c>
      <c r="D932" s="73" t="str">
        <f>IFERROR(__xludf.DUMMYFUNCTION("""COMPUTED_VALUE"""),"Loonie")</f>
        <v>Loonie</v>
      </c>
      <c r="E932" s="82">
        <f>IFERROR(__xludf.DUMMYFUNCTION("""COMPUTED_VALUE"""),34.0)</f>
        <v>34</v>
      </c>
      <c r="F932" s="82">
        <f>IFERROR(__xludf.DUMMYFUNCTION("""COMPUTED_VALUE"""),9.0)</f>
        <v>9</v>
      </c>
      <c r="G932" s="82">
        <f>IFERROR(__xludf.DUMMYFUNCTION("""COMPUTED_VALUE"""),25.0)</f>
        <v>25</v>
      </c>
      <c r="H932" s="86">
        <f>IFERROR(__xludf.DUMMYFUNCTION("""COMPUTED_VALUE"""),0.2647058823529412)</f>
        <v>0.2647058824</v>
      </c>
      <c r="I932" s="86">
        <f>IFERROR(__xludf.DUMMYFUNCTION("""COMPUTED_VALUE"""),0.2181818181818182)</f>
        <v>0.2181818182</v>
      </c>
      <c r="J932" s="82">
        <f>IFERROR(__xludf.DUMMYFUNCTION("""COMPUTED_VALUE"""),285.5)</f>
        <v>285.5</v>
      </c>
      <c r="K932" s="82">
        <f>IFERROR(__xludf.DUMMYFUNCTION("""COMPUTED_VALUE"""),0.35294117647058826)</f>
        <v>0.3529411765</v>
      </c>
      <c r="L932" s="82">
        <f>IFERROR(__xludf.DUMMYFUNCTION("""COMPUTED_VALUE"""),0.2647058823529412)</f>
        <v>0.2647058824</v>
      </c>
      <c r="M932" s="82">
        <f>IFERROR(__xludf.DUMMYFUNCTION("""COMPUTED_VALUE"""),1.5588235294117647)</f>
        <v>1.558823529</v>
      </c>
      <c r="N932" s="82">
        <f>IFERROR(__xludf.DUMMYFUNCTION("""COMPUTED_VALUE"""),1.6176470588235294)</f>
        <v>1.617647059</v>
      </c>
      <c r="O932" s="82">
        <f>IFERROR(__xludf.DUMMYFUNCTION("""COMPUTED_VALUE"""),397.76470588235304)</f>
        <v>397.7647059</v>
      </c>
      <c r="P932" s="82">
        <f>IFERROR(__xludf.DUMMYFUNCTION("""COMPUTED_VALUE"""),1.049019607843137)</f>
        <v>1.049019608</v>
      </c>
      <c r="Q932" s="82">
        <f>IFERROR(__xludf.DUMMYFUNCTION("""COMPUTED_VALUE"""),0.8823529411764702)</f>
        <v>0.8823529412</v>
      </c>
      <c r="R932" s="82">
        <f>IFERROR(__xludf.DUMMYFUNCTION("""COMPUTED_VALUE"""),1.2450980392156863)</f>
        <v>1.245098039</v>
      </c>
      <c r="S932" s="82">
        <f>IFERROR(__xludf.DUMMYFUNCTION("""COMPUTED_VALUE"""),3.0980392156862746)</f>
        <v>3.098039216</v>
      </c>
      <c r="T932" s="82">
        <f>IFERROR(__xludf.DUMMYFUNCTION("""COMPUTED_VALUE"""),381.17758141887776)</f>
        <v>381.1775814</v>
      </c>
      <c r="U932" s="82">
        <f>IFERROR(__xludf.DUMMYFUNCTION("""COMPUTED_VALUE"""),0.906517670106173)</f>
        <v>0.9065176701</v>
      </c>
      <c r="V932" s="82">
        <f>IFERROR(__xludf.DUMMYFUNCTION("""COMPUTED_VALUE"""),0.6281968255251703)</f>
        <v>0.6281968255</v>
      </c>
      <c r="W932" s="82">
        <f>IFERROR(__xludf.DUMMYFUNCTION("""COMPUTED_VALUE"""),1.3615134094043067)</f>
        <v>1.361513409</v>
      </c>
      <c r="X932" s="82">
        <f>IFERROR(__xludf.DUMMYFUNCTION("""COMPUTED_VALUE"""),2.8456208702236685)</f>
        <v>2.84562087</v>
      </c>
      <c r="Y932" s="82">
        <f>IFERROR(__xludf.DUMMYFUNCTION("""COMPUTED_VALUE"""),344.3668157629657)</f>
        <v>344.3668158</v>
      </c>
      <c r="Z932" s="82">
        <f>IFERROR(__xludf.DUMMYFUNCTION("""COMPUTED_VALUE"""),0.6781055076774125)</f>
        <v>0.6781055077</v>
      </c>
      <c r="AA932" s="82">
        <f>IFERROR(__xludf.DUMMYFUNCTION("""COMPUTED_VALUE"""),0.49898473689134226)</f>
        <v>0.4989847369</v>
      </c>
      <c r="AB932" s="82">
        <f>IFERROR(__xludf.DUMMYFUNCTION("""COMPUTED_VALUE"""),1.4467524419226379)</f>
        <v>1.446752442</v>
      </c>
      <c r="AC932" s="82">
        <f>IFERROR(__xludf.DUMMYFUNCTION("""COMPUTED_VALUE"""),2.4667994596806606)</f>
        <v>2.46679946</v>
      </c>
      <c r="AD932" s="82">
        <f>IFERROR(__xludf.DUMMYFUNCTION("""COMPUTED_VALUE"""),0.8290578154792799)</f>
        <v>0.8290578155</v>
      </c>
      <c r="AE932" s="82">
        <f>IFERROR(__xludf.DUMMYFUNCTION("""COMPUTED_VALUE"""),0.5204812119568994)</f>
        <v>0.520481212</v>
      </c>
      <c r="AF932" s="82">
        <f>IFERROR(__xludf.DUMMYFUNCTION("""COMPUTED_VALUE"""),0.5304889363992368)</f>
        <v>0.5304889364</v>
      </c>
      <c r="AG932" s="82">
        <f>IFERROR(__xludf.DUMMYFUNCTION("""COMPUTED_VALUE"""),1.0774639006934674)</f>
        <v>1.077463901</v>
      </c>
      <c r="AH932" s="82">
        <f>IFERROR(__xludf.DUMMYFUNCTION("""COMPUTED_VALUE"""),0.655767558434986)</f>
        <v>0.6557675584</v>
      </c>
      <c r="AI932" s="82">
        <f>IFERROR(__xludf.DUMMYFUNCTION("""COMPUTED_VALUE"""),1.043515477488818)</f>
        <v>1.043515477</v>
      </c>
      <c r="AJ932" s="82">
        <f>IFERROR(__xludf.DUMMYFUNCTION("""COMPUTED_VALUE"""),1.1571970877526017)</f>
        <v>1.157197088</v>
      </c>
      <c r="AK932" s="82">
        <f>IFERROR(__xludf.DUMMYFUNCTION("""COMPUTED_VALUE"""),1.4045803883819794)</f>
        <v>1.404580388</v>
      </c>
      <c r="AL932" s="82">
        <f>IFERROR(__xludf.DUMMYFUNCTION("""COMPUTED_VALUE"""),0.914495612467339)</f>
        <v>0.9144956125</v>
      </c>
      <c r="AM932" s="82">
        <f>IFERROR(__xludf.DUMMYFUNCTION("""COMPUTED_VALUE"""),1.088704137681829)</f>
        <v>1.088704138</v>
      </c>
      <c r="AN932" s="82">
        <f>IFERROR(__xludf.DUMMYFUNCTION("""COMPUTED_VALUE"""),0.8143413936446686)</f>
        <v>0.8143413936</v>
      </c>
      <c r="AO932" s="82">
        <f>IFERROR(__xludf.DUMMYFUNCTION("""COMPUTED_VALUE"""),0.497877660918076)</f>
        <v>0.4978776609</v>
      </c>
      <c r="AP932" s="82">
        <f>IFERROR(__xludf.DUMMYFUNCTION("""COMPUTED_VALUE"""),0.4636817106253067)</f>
        <v>0.4636817106</v>
      </c>
      <c r="AQ932" s="82">
        <f>IFERROR(__xludf.DUMMYFUNCTION("""COMPUTED_VALUE"""),1.0935746999327793)</f>
        <v>1.0935747</v>
      </c>
      <c r="AR932" s="82">
        <f>IFERROR(__xludf.DUMMYFUNCTION("""COMPUTED_VALUE"""),0.6453264323138846)</f>
        <v>0.6453264323</v>
      </c>
      <c r="AS932" s="82">
        <f>IFERROR(__xludf.DUMMYFUNCTION("""COMPUTED_VALUE"""),49.0)</f>
        <v>49</v>
      </c>
      <c r="AT932" s="82">
        <f>IFERROR(__xludf.DUMMYFUNCTION("""COMPUTED_VALUE"""),0.22981801213129777)</f>
        <v>0.2298180121</v>
      </c>
      <c r="AU932" s="82">
        <f>IFERROR(__xludf.DUMMYFUNCTION("""COMPUTED_VALUE"""),0.827450616266051)</f>
        <v>0.8274506163</v>
      </c>
      <c r="AV932" s="82">
        <f>IFERROR(__xludf.DUMMYFUNCTION("""COMPUTED_VALUE"""),4.948195973784209)</f>
        <v>4.948195974</v>
      </c>
      <c r="AW932" s="82">
        <f t="shared" si="1"/>
        <v>-27.95871219</v>
      </c>
      <c r="AX932" s="83">
        <f t="array" ref="AX932">IFERROR(DGET('SBV Import'!A:G,"SBV",{"RSC ID","Tier";B932,A932}))</f>
        <v>10.04199453</v>
      </c>
      <c r="AY932" s="82">
        <f t="shared" si="2"/>
        <v>-18.18649212</v>
      </c>
      <c r="AZ932" s="82">
        <v>9.77222006998861</v>
      </c>
      <c r="BA932" s="84">
        <v>800.0</v>
      </c>
      <c r="BB932" s="84" t="b">
        <f>IFERROR(__xludf.DUMMYFUNCTION("iferror(if(A932="""",,E932&gt;=FILTER(Constants!$F$2:$F$10,Constants!$A$2:$A$10=A932)))"),TRUE)</f>
        <v>1</v>
      </c>
    </row>
    <row r="933">
      <c r="A933" s="80" t="str">
        <f>IFERROR(__xludf.DUMMYFUNCTION("""COMPUTED_VALUE"""),"Elite")</f>
        <v>Elite</v>
      </c>
      <c r="B933" s="73" t="str">
        <f>IFERROR(__xludf.DUMMYFUNCTION("""COMPUTED_VALUE"""),"RSC007260")</f>
        <v>RSC007260</v>
      </c>
      <c r="C933" s="73" t="str">
        <f>IFERROR(__xludf.DUMMYFUNCTION("""COMPUTED_VALUE"""),"Veoloux")</f>
        <v>Veoloux</v>
      </c>
      <c r="D933" s="73" t="str">
        <f>IFERROR(__xludf.DUMMYFUNCTION("""COMPUTED_VALUE"""),"Ghastly Goombahs")</f>
        <v>Ghastly Goombahs</v>
      </c>
      <c r="E933" s="82">
        <f>IFERROR(__xludf.DUMMYFUNCTION("""COMPUTED_VALUE"""),6.0)</f>
        <v>6</v>
      </c>
      <c r="F933" s="82">
        <f>IFERROR(__xludf.DUMMYFUNCTION("""COMPUTED_VALUE"""),2.0)</f>
        <v>2</v>
      </c>
      <c r="G933" s="82">
        <f>IFERROR(__xludf.DUMMYFUNCTION("""COMPUTED_VALUE"""),4.0)</f>
        <v>4</v>
      </c>
      <c r="H933" s="86">
        <f>IFERROR(__xludf.DUMMYFUNCTION("""COMPUTED_VALUE"""),0.3333333333333333)</f>
        <v>0.3333333333</v>
      </c>
      <c r="I933" s="86">
        <f>IFERROR(__xludf.DUMMYFUNCTION("""COMPUTED_VALUE"""),0.1111111111111111)</f>
        <v>0.1111111111</v>
      </c>
      <c r="J933" s="82">
        <f>IFERROR(__xludf.DUMMYFUNCTION("""COMPUTED_VALUE"""),230.0)</f>
        <v>230</v>
      </c>
      <c r="K933" s="82">
        <f>IFERROR(__xludf.DUMMYFUNCTION("""COMPUTED_VALUE"""),0.16666666666666666)</f>
        <v>0.1666666667</v>
      </c>
      <c r="L933" s="82">
        <f>IFERROR(__xludf.DUMMYFUNCTION("""COMPUTED_VALUE"""),0.3333333333333333)</f>
        <v>0.3333333333</v>
      </c>
      <c r="M933" s="82">
        <f>IFERROR(__xludf.DUMMYFUNCTION("""COMPUTED_VALUE"""),1.1666666666666667)</f>
        <v>1.166666667</v>
      </c>
      <c r="N933" s="82">
        <f>IFERROR(__xludf.DUMMYFUNCTION("""COMPUTED_VALUE"""),1.5)</f>
        <v>1.5</v>
      </c>
      <c r="O933" s="82">
        <f>IFERROR(__xludf.DUMMYFUNCTION("""COMPUTED_VALUE"""),362.8888888888889)</f>
        <v>362.8888889</v>
      </c>
      <c r="P933" s="82">
        <f>IFERROR(__xludf.DUMMYFUNCTION("""COMPUTED_VALUE"""),0.6666666666666666)</f>
        <v>0.6666666667</v>
      </c>
      <c r="Q933" s="82">
        <f>IFERROR(__xludf.DUMMYFUNCTION("""COMPUTED_VALUE"""),0.6666666666666666)</f>
        <v>0.6666666667</v>
      </c>
      <c r="R933" s="82">
        <f>IFERROR(__xludf.DUMMYFUNCTION("""COMPUTED_VALUE"""),1.3333333333333333)</f>
        <v>1.333333333</v>
      </c>
      <c r="S933" s="82">
        <f>IFERROR(__xludf.DUMMYFUNCTION("""COMPUTED_VALUE"""),2.7222222222222228)</f>
        <v>2.722222222</v>
      </c>
      <c r="T933" s="82">
        <f>IFERROR(__xludf.DUMMYFUNCTION("""COMPUTED_VALUE"""),366.351673964605)</f>
        <v>366.351674</v>
      </c>
      <c r="U933" s="82">
        <f>IFERROR(__xludf.DUMMYFUNCTION("""COMPUTED_VALUE"""),0.7954281457155021)</f>
        <v>0.7954281457</v>
      </c>
      <c r="V933" s="82">
        <f>IFERROR(__xludf.DUMMYFUNCTION("""COMPUTED_VALUE"""),0.5471621662713617)</f>
        <v>0.5471621663</v>
      </c>
      <c r="W933" s="82">
        <f>IFERROR(__xludf.DUMMYFUNCTION("""COMPUTED_VALUE"""),1.430660463419084)</f>
        <v>1.430660463</v>
      </c>
      <c r="X933" s="82">
        <f>IFERROR(__xludf.DUMMYFUNCTION("""COMPUTED_VALUE"""),2.8152253238460134)</f>
        <v>2.815225324</v>
      </c>
      <c r="Y933" s="82">
        <f>IFERROR(__xludf.DUMMYFUNCTION("""COMPUTED_VALUE"""),342.7176057694257)</f>
        <v>342.7176058</v>
      </c>
      <c r="Z933" s="82">
        <f>IFERROR(__xludf.DUMMYFUNCTION("""COMPUTED_VALUE"""),0.6234147256177905)</f>
        <v>0.6234147256</v>
      </c>
      <c r="AA933" s="82">
        <f>IFERROR(__xludf.DUMMYFUNCTION("""COMPUTED_VALUE"""),0.4934858298364045)</f>
        <v>0.4934858298</v>
      </c>
      <c r="AB933" s="82">
        <f>IFERROR(__xludf.DUMMYFUNCTION("""COMPUTED_VALUE"""),1.4918595045510754)</f>
        <v>1.491859505</v>
      </c>
      <c r="AC933" s="82">
        <f>IFERROR(__xludf.DUMMYFUNCTION("""COMPUTED_VALUE"""),2.4664512761256057)</f>
        <v>2.466451276</v>
      </c>
      <c r="AD933" s="82">
        <f>IFERROR(__xludf.DUMMYFUNCTION("""COMPUTED_VALUE"""),0.6711064623704798)</f>
        <v>0.6711064624</v>
      </c>
      <c r="AE933" s="82">
        <f>IFERROR(__xludf.DUMMYFUNCTION("""COMPUTED_VALUE"""),0.2673447703717675)</f>
        <v>0.2673447704</v>
      </c>
      <c r="AF933" s="82">
        <f>IFERROR(__xludf.DUMMYFUNCTION("""COMPUTED_VALUE"""),0.6754668790466317)</f>
        <v>0.675466879</v>
      </c>
      <c r="AG933" s="82">
        <f>IFERROR(__xludf.DUMMYFUNCTION("""COMPUTED_VALUE"""),0.7820218077557749)</f>
        <v>0.7820218078</v>
      </c>
      <c r="AH933" s="82">
        <f>IFERROR(__xludf.DUMMYFUNCTION("""COMPUTED_VALUE"""),0.6081612130429985)</f>
        <v>0.608161213</v>
      </c>
      <c r="AI933" s="82">
        <f>IFERROR(__xludf.DUMMYFUNCTION("""COMPUTED_VALUE"""),0.9905479206953189)</f>
        <v>0.9905479207</v>
      </c>
      <c r="AJ933" s="82">
        <f>IFERROR(__xludf.DUMMYFUNCTION("""COMPUTED_VALUE"""),0.8381230539271247)</f>
        <v>0.8381230539</v>
      </c>
      <c r="AK933" s="82">
        <f>IFERROR(__xludf.DUMMYFUNCTION("""COMPUTED_VALUE"""),1.2184078281758197)</f>
        <v>1.218407828</v>
      </c>
      <c r="AL933" s="82">
        <f>IFERROR(__xludf.DUMMYFUNCTION("""COMPUTED_VALUE"""),0.9319704901516939)</f>
        <v>0.9319704902</v>
      </c>
      <c r="AM933" s="82">
        <f>IFERROR(__xludf.DUMMYFUNCTION("""COMPUTED_VALUE"""),0.9669642423162297)</f>
        <v>0.9669642423</v>
      </c>
      <c r="AN933" s="82">
        <f>IFERROR(__xludf.DUMMYFUNCTION("""COMPUTED_VALUE"""),0.6560368495210991)</f>
        <v>0.6560368495</v>
      </c>
      <c r="AO933" s="82">
        <f>IFERROR(__xludf.DUMMYFUNCTION("""COMPUTED_VALUE"""),0.23510889543353586)</f>
        <v>0.2351088954</v>
      </c>
      <c r="AP933" s="82">
        <f>IFERROR(__xludf.DUMMYFUNCTION("""COMPUTED_VALUE"""),0.5838954874540899)</f>
        <v>0.5838954875</v>
      </c>
      <c r="AQ933" s="82">
        <f>IFERROR(__xludf.DUMMYFUNCTION("""COMPUTED_VALUE"""),0.8184615678742185)</f>
        <v>0.8184615679</v>
      </c>
      <c r="AR933" s="82">
        <f>IFERROR(__xludf.DUMMYFUNCTION("""COMPUTED_VALUE"""),0.5983936008728749)</f>
        <v>0.5983936009</v>
      </c>
      <c r="AS933" s="82">
        <f>IFERROR(__xludf.DUMMYFUNCTION("""COMPUTED_VALUE"""),7.0)</f>
        <v>7</v>
      </c>
      <c r="AT933" s="82">
        <f>IFERROR(__xludf.DUMMYFUNCTION("""COMPUTED_VALUE"""),0.3207469495151578)</f>
        <v>0.3207469495</v>
      </c>
      <c r="AU933" s="82">
        <f>IFERROR(__xludf.DUMMYFUNCTION("""COMPUTED_VALUE"""),0.6721679875371052)</f>
        <v>0.6721679875</v>
      </c>
      <c r="AV933" s="82">
        <f>IFERROR(__xludf.DUMMYFUNCTION("""COMPUTED_VALUE"""),0.4816133687957276)</f>
        <v>0.4816133688</v>
      </c>
      <c r="AW933" s="82">
        <f t="shared" si="1"/>
        <v>-41.99832452</v>
      </c>
      <c r="AX933" s="83">
        <f t="array" ref="AX933">IFERROR(DGET('SBV Import'!A:G,"SBV",{"RSC ID","Tier";B933,A933}))</f>
        <v>5.929223344</v>
      </c>
      <c r="AY933" s="82">
        <f t="shared" si="2"/>
        <v>-25.66439138</v>
      </c>
      <c r="AZ933" s="82">
        <v>16.333933131229212</v>
      </c>
      <c r="BA933" s="84">
        <v>800.0</v>
      </c>
      <c r="BB933" s="84" t="b">
        <f>IFERROR(__xludf.DUMMYFUNCTION("iferror(if(A933="""",,E933&gt;=FILTER(Constants!$F$2:$F$10,Constants!$A$2:$A$10=A933)))"),TRUE)</f>
        <v>1</v>
      </c>
    </row>
    <row r="934">
      <c r="A934" s="80" t="str">
        <f>IFERROR(__xludf.DUMMYFUNCTION("""COMPUTED_VALUE"""),"Elite")</f>
        <v>Elite</v>
      </c>
      <c r="B934" s="73" t="str">
        <f>IFERROR(__xludf.DUMMYFUNCTION("""COMPUTED_VALUE"""),"RSC003110")</f>
        <v>RSC003110</v>
      </c>
      <c r="C934" s="73" t="str">
        <f>IFERROR(__xludf.DUMMYFUNCTION("""COMPUTED_VALUE"""),"Rev")</f>
        <v>Rev</v>
      </c>
      <c r="D934" s="73"/>
      <c r="E934" s="82">
        <f>IFERROR(__xludf.DUMMYFUNCTION("""COMPUTED_VALUE"""),8.0)</f>
        <v>8</v>
      </c>
      <c r="F934" s="82">
        <f>IFERROR(__xludf.DUMMYFUNCTION("""COMPUTED_VALUE"""),0.0)</f>
        <v>0</v>
      </c>
      <c r="G934" s="82">
        <f>IFERROR(__xludf.DUMMYFUNCTION("""COMPUTED_VALUE"""),8.0)</f>
        <v>8</v>
      </c>
      <c r="H934" s="86">
        <f>IFERROR(__xludf.DUMMYFUNCTION("""COMPUTED_VALUE"""),0.0)</f>
        <v>0</v>
      </c>
      <c r="I934" s="86">
        <f>IFERROR(__xludf.DUMMYFUNCTION("""COMPUTED_VALUE"""),0.058823529411764705)</f>
        <v>0.05882352941</v>
      </c>
      <c r="J934" s="82">
        <f>IFERROR(__xludf.DUMMYFUNCTION("""COMPUTED_VALUE"""),241.125)</f>
        <v>241.125</v>
      </c>
      <c r="K934" s="82">
        <f>IFERROR(__xludf.DUMMYFUNCTION("""COMPUTED_VALUE"""),0.125)</f>
        <v>0.125</v>
      </c>
      <c r="L934" s="82">
        <f>IFERROR(__xludf.DUMMYFUNCTION("""COMPUTED_VALUE"""),0.25)</f>
        <v>0.25</v>
      </c>
      <c r="M934" s="82">
        <f>IFERROR(__xludf.DUMMYFUNCTION("""COMPUTED_VALUE"""),1.125)</f>
        <v>1.125</v>
      </c>
      <c r="N934" s="82">
        <f>IFERROR(__xludf.DUMMYFUNCTION("""COMPUTED_VALUE"""),2.125)</f>
        <v>2.125</v>
      </c>
      <c r="O934" s="82">
        <f>IFERROR(__xludf.DUMMYFUNCTION("""COMPUTED_VALUE"""),413.04166666666663)</f>
        <v>413.0416667</v>
      </c>
      <c r="P934" s="82">
        <f>IFERROR(__xludf.DUMMYFUNCTION("""COMPUTED_VALUE"""),1.0833333333333333)</f>
        <v>1.083333333</v>
      </c>
      <c r="Q934" s="82">
        <f>IFERROR(__xludf.DUMMYFUNCTION("""COMPUTED_VALUE"""),0.9166666666666666)</f>
        <v>0.9166666667</v>
      </c>
      <c r="R934" s="82">
        <f>IFERROR(__xludf.DUMMYFUNCTION("""COMPUTED_VALUE"""),1.2916666666666667)</f>
        <v>1.291666667</v>
      </c>
      <c r="S934" s="82">
        <f>IFERROR(__xludf.DUMMYFUNCTION("""COMPUTED_VALUE"""),3.291666666666667)</f>
        <v>3.291666667</v>
      </c>
      <c r="T934" s="82">
        <f>IFERROR(__xludf.DUMMYFUNCTION("""COMPUTED_VALUE"""),391.5428508053508)</f>
        <v>391.5428508</v>
      </c>
      <c r="U934" s="82">
        <f>IFERROR(__xludf.DUMMYFUNCTION("""COMPUTED_VALUE"""),0.9671674515424517)</f>
        <v>0.9671674515</v>
      </c>
      <c r="V934" s="82">
        <f>IFERROR(__xludf.DUMMYFUNCTION("""COMPUTED_VALUE"""),0.6440511534261535)</f>
        <v>0.6440511534</v>
      </c>
      <c r="W934" s="82">
        <f>IFERROR(__xludf.DUMMYFUNCTION("""COMPUTED_VALUE"""),1.3997048184548184)</f>
        <v>1.399704818</v>
      </c>
      <c r="X934" s="82">
        <f>IFERROR(__xludf.DUMMYFUNCTION("""COMPUTED_VALUE"""),3.015967103467104)</f>
        <v>3.015967103</v>
      </c>
      <c r="Y934" s="82">
        <f>IFERROR(__xludf.DUMMYFUNCTION("""COMPUTED_VALUE"""),362.96247213122206)</f>
        <v>362.9624721</v>
      </c>
      <c r="Z934" s="82">
        <f>IFERROR(__xludf.DUMMYFUNCTION("""COMPUTED_VALUE"""),0.7628725316225317)</f>
        <v>0.7628725316</v>
      </c>
      <c r="AA934" s="82">
        <f>IFERROR(__xludf.DUMMYFUNCTION("""COMPUTED_VALUE"""),0.5620828214578214)</f>
        <v>0.5620828215</v>
      </c>
      <c r="AB934" s="82">
        <f>IFERROR(__xludf.DUMMYFUNCTION("""COMPUTED_VALUE"""),1.531074824824825)</f>
        <v>1.531074825</v>
      </c>
      <c r="AC934" s="82">
        <f>IFERROR(__xludf.DUMMYFUNCTION("""COMPUTED_VALUE"""),2.5454679110929113)</f>
        <v>2.545467911</v>
      </c>
      <c r="AD934" s="82">
        <f>IFERROR(__xludf.DUMMYFUNCTION("""COMPUTED_VALUE"""),0.6643248779527431)</f>
        <v>0.664324878</v>
      </c>
      <c r="AE934" s="82">
        <f>IFERROR(__xludf.DUMMYFUNCTION("""COMPUTED_VALUE"""),0.16385437254391777)</f>
        <v>0.1638543725</v>
      </c>
      <c r="AF934" s="82">
        <f>IFERROR(__xludf.DUMMYFUNCTION("""COMPUTED_VALUE"""),0.4447743116425414)</f>
        <v>0.4447743116</v>
      </c>
      <c r="AG934" s="82">
        <f>IFERROR(__xludf.DUMMYFUNCTION("""COMPUTED_VALUE"""),0.7347779362309839)</f>
        <v>0.7347779362</v>
      </c>
      <c r="AH934" s="82">
        <f>IFERROR(__xludf.DUMMYFUNCTION("""COMPUTED_VALUE"""),0.8348170451253574)</f>
        <v>0.8348170451</v>
      </c>
      <c r="AI934" s="82">
        <f>IFERROR(__xludf.DUMMYFUNCTION("""COMPUTED_VALUE"""),1.0549079514977624)</f>
        <v>1.054907951</v>
      </c>
      <c r="AJ934" s="82">
        <f>IFERROR(__xludf.DUMMYFUNCTION("""COMPUTED_VALUE"""),1.1201093787902174)</f>
        <v>1.120109379</v>
      </c>
      <c r="AK934" s="82">
        <f>IFERROR(__xludf.DUMMYFUNCTION("""COMPUTED_VALUE"""),1.4232823926954912)</f>
        <v>1.423282393</v>
      </c>
      <c r="AL934" s="82">
        <f>IFERROR(__xludf.DUMMYFUNCTION("""COMPUTED_VALUE"""),0.9228136172972394)</f>
        <v>0.9228136173</v>
      </c>
      <c r="AM934" s="82">
        <f>IFERROR(__xludf.DUMMYFUNCTION("""COMPUTED_VALUE"""),1.0914133190917843)</f>
        <v>1.091413319</v>
      </c>
      <c r="AN934" s="82">
        <f>IFERROR(__xludf.DUMMYFUNCTION("""COMPUTED_VALUE"""),0.6877690666990218)</f>
        <v>0.6877690667</v>
      </c>
      <c r="AO934" s="82">
        <f>IFERROR(__xludf.DUMMYFUNCTION("""COMPUTED_VALUE"""),0.1763316715751519)</f>
        <v>0.1763316716</v>
      </c>
      <c r="AP934" s="82">
        <f>IFERROR(__xludf.DUMMYFUNCTION("""COMPUTED_VALUE"""),0.43792161559056747)</f>
        <v>0.4379216156</v>
      </c>
      <c r="AQ934" s="82">
        <f>IFERROR(__xludf.DUMMYFUNCTION("""COMPUTED_VALUE"""),0.7892307975929963)</f>
        <v>0.7892307976</v>
      </c>
      <c r="AR934" s="82">
        <f>IFERROR(__xludf.DUMMYFUNCTION("""COMPUTED_VALUE"""),0.8477242679032394)</f>
        <v>0.8477242679</v>
      </c>
      <c r="AS934" s="82">
        <f>IFERROR(__xludf.DUMMYFUNCTION("""COMPUTED_VALUE"""),5.0)</f>
        <v>5</v>
      </c>
      <c r="AT934" s="82">
        <f>IFERROR(__xludf.DUMMYFUNCTION("""COMPUTED_VALUE"""),0.08076438143893805)</f>
        <v>0.08076438144</v>
      </c>
      <c r="AU934" s="82">
        <f>IFERROR(__xludf.DUMMYFUNCTION("""COMPUTED_VALUE"""),0.5126731608447863)</f>
        <v>0.5126731608</v>
      </c>
      <c r="AV934" s="82">
        <f>IFERROR(__xludf.DUMMYFUNCTION("""COMPUTED_VALUE"""),-4.106129795528801)</f>
        <v>-4.106129796</v>
      </c>
      <c r="AW934" s="82">
        <f t="shared" si="1"/>
        <v>-65.69107401</v>
      </c>
      <c r="AX934" s="83">
        <f t="array" ref="AX934">IFERROR(DGET('SBV Import'!A:G,"SBV",{"RSC ID","Tier";B934,A934}))</f>
        <v>6.553169246</v>
      </c>
      <c r="AY934" s="82">
        <f t="shared" si="2"/>
        <v>-24.32109086</v>
      </c>
      <c r="AZ934" s="82">
        <v>41.36998315069215</v>
      </c>
      <c r="BA934" s="84">
        <v>800.0</v>
      </c>
      <c r="BB934" s="84" t="b">
        <f>IFERROR(__xludf.DUMMYFUNCTION("iferror(if(A934="""",,E934&gt;=FILTER(Constants!$F$2:$F$10,Constants!$A$2:$A$10=A934)))"),TRUE)</f>
        <v>1</v>
      </c>
    </row>
    <row r="935">
      <c r="A935" s="80" t="str">
        <f>IFERROR(__xludf.DUMMYFUNCTION("""COMPUTED_VALUE"""),"Elite")</f>
        <v>Elite</v>
      </c>
      <c r="B935" s="73" t="str">
        <f>IFERROR(__xludf.DUMMYFUNCTION("""COMPUTED_VALUE"""),"RSC005522")</f>
        <v>RSC005522</v>
      </c>
      <c r="C935" s="73" t="str">
        <f>IFERROR(__xludf.DUMMYFUNCTION("""COMPUTED_VALUE"""),"Diviniation")</f>
        <v>Diviniation</v>
      </c>
      <c r="D935" s="73"/>
      <c r="E935" s="82">
        <f>IFERROR(__xludf.DUMMYFUNCTION("""COMPUTED_VALUE"""),2.0)</f>
        <v>2</v>
      </c>
      <c r="F935" s="82">
        <f>IFERROR(__xludf.DUMMYFUNCTION("""COMPUTED_VALUE"""),1.0)</f>
        <v>1</v>
      </c>
      <c r="G935" s="82">
        <f>IFERROR(__xludf.DUMMYFUNCTION("""COMPUTED_VALUE"""),1.0)</f>
        <v>1</v>
      </c>
      <c r="H935" s="86">
        <f>IFERROR(__xludf.DUMMYFUNCTION("""COMPUTED_VALUE"""),0.5)</f>
        <v>0.5</v>
      </c>
      <c r="I935" s="86">
        <f>IFERROR(__xludf.DUMMYFUNCTION("""COMPUTED_VALUE"""),0.0)</f>
        <v>0</v>
      </c>
      <c r="J935" s="82">
        <f>IFERROR(__xludf.DUMMYFUNCTION("""COMPUTED_VALUE"""),280.0)</f>
        <v>280</v>
      </c>
      <c r="K935" s="82">
        <f>IFERROR(__xludf.DUMMYFUNCTION("""COMPUTED_VALUE"""),0.0)</f>
        <v>0</v>
      </c>
      <c r="L935" s="82">
        <f>IFERROR(__xludf.DUMMYFUNCTION("""COMPUTED_VALUE"""),0.5)</f>
        <v>0.5</v>
      </c>
      <c r="M935" s="82">
        <f>IFERROR(__xludf.DUMMYFUNCTION("""COMPUTED_VALUE"""),2.0)</f>
        <v>2</v>
      </c>
      <c r="N935" s="82">
        <f>IFERROR(__xludf.DUMMYFUNCTION("""COMPUTED_VALUE"""),1.5)</f>
        <v>1.5</v>
      </c>
      <c r="O935" s="82">
        <f>IFERROR(__xludf.DUMMYFUNCTION("""COMPUTED_VALUE"""),323.5)</f>
        <v>323.5</v>
      </c>
      <c r="P935" s="82">
        <f>IFERROR(__xludf.DUMMYFUNCTION("""COMPUTED_VALUE"""),1.0)</f>
        <v>1</v>
      </c>
      <c r="Q935" s="82">
        <f>IFERROR(__xludf.DUMMYFUNCTION("""COMPUTED_VALUE"""),0.6666666666666666)</f>
        <v>0.6666666667</v>
      </c>
      <c r="R935" s="82">
        <f>IFERROR(__xludf.DUMMYFUNCTION("""COMPUTED_VALUE"""),0.5)</f>
        <v>0.5</v>
      </c>
      <c r="S935" s="82">
        <f>IFERROR(__xludf.DUMMYFUNCTION("""COMPUTED_VALUE"""),3.5)</f>
        <v>3.5</v>
      </c>
      <c r="T935" s="82">
        <f>IFERROR(__xludf.DUMMYFUNCTION("""COMPUTED_VALUE"""),340.7015873015873)</f>
        <v>340.7015873</v>
      </c>
      <c r="U935" s="82">
        <f>IFERROR(__xludf.DUMMYFUNCTION("""COMPUTED_VALUE"""),0.7447895100069012)</f>
        <v>0.74478951</v>
      </c>
      <c r="V935" s="82">
        <f>IFERROR(__xludf.DUMMYFUNCTION("""COMPUTED_VALUE"""),0.6051069703243616)</f>
        <v>0.6051069703</v>
      </c>
      <c r="W935" s="82">
        <f>IFERROR(__xludf.DUMMYFUNCTION("""COMPUTED_VALUE"""),1.1603864734299518)</f>
        <v>1.160386473</v>
      </c>
      <c r="X935" s="82">
        <f>IFERROR(__xludf.DUMMYFUNCTION("""COMPUTED_VALUE"""),2.7706004140786753)</f>
        <v>2.770600414</v>
      </c>
      <c r="Y935" s="82">
        <f>IFERROR(__xludf.DUMMYFUNCTION("""COMPUTED_VALUE"""),355.5930526800092)</f>
        <v>355.5930527</v>
      </c>
      <c r="Z935" s="82">
        <f>IFERROR(__xludf.DUMMYFUNCTION("""COMPUTED_VALUE"""),0.730503795721187)</f>
        <v>0.7305037957</v>
      </c>
      <c r="AA935" s="82">
        <f>IFERROR(__xludf.DUMMYFUNCTION("""COMPUTED_VALUE"""),0.5709454796411317)</f>
        <v>0.5709454796</v>
      </c>
      <c r="AB935" s="82">
        <f>IFERROR(__xludf.DUMMYFUNCTION("""COMPUTED_VALUE"""),1.4979296066252588)</f>
        <v>1.497929607</v>
      </c>
      <c r="AC935" s="82">
        <f>IFERROR(__xludf.DUMMYFUNCTION("""COMPUTED_VALUE"""),2.384334023464458)</f>
        <v>2.384334023</v>
      </c>
      <c r="AD935" s="82">
        <f>IFERROR(__xludf.DUMMYFUNCTION("""COMPUTED_VALUE"""),0.787416958485874)</f>
        <v>0.7874169585</v>
      </c>
      <c r="AE935" s="82">
        <f>IFERROR(__xludf.DUMMYFUNCTION("""COMPUTED_VALUE"""),0.0)</f>
        <v>0</v>
      </c>
      <c r="AF935" s="82">
        <f>IFERROR(__xludf.DUMMYFUNCTION("""COMPUTED_VALUE"""),0.8757403602079054)</f>
        <v>0.8757403602</v>
      </c>
      <c r="AG935" s="82">
        <f>IFERROR(__xludf.DUMMYFUNCTION("""COMPUTED_VALUE"""),1.335176226675881)</f>
        <v>1.335176227</v>
      </c>
      <c r="AH935" s="82">
        <f>IFERROR(__xludf.DUMMYFUNCTION("""COMPUTED_VALUE"""),0.6291064864395497)</f>
        <v>0.6291064864</v>
      </c>
      <c r="AI935" s="82">
        <f>IFERROR(__xludf.DUMMYFUNCTION("""COMPUTED_VALUE"""),0.949511279246373)</f>
        <v>0.9495112792</v>
      </c>
      <c r="AJ935" s="82">
        <f>IFERROR(__xludf.DUMMYFUNCTION("""COMPUTED_VALUE"""),1.3426612305411418)</f>
        <v>1.342661231</v>
      </c>
      <c r="AK935" s="82">
        <f>IFERROR(__xludf.DUMMYFUNCTION("""COMPUTED_VALUE"""),1.1017335766423357)</f>
        <v>1.101733577</v>
      </c>
      <c r="AL935" s="82">
        <f>IFERROR(__xludf.DUMMYFUNCTION("""COMPUTED_VALUE"""),0.43089092422980846)</f>
        <v>0.4308909242</v>
      </c>
      <c r="AM935" s="82">
        <f>IFERROR(__xludf.DUMMYFUNCTION("""COMPUTED_VALUE"""),1.2632640860857867)</f>
        <v>1.263264086</v>
      </c>
      <c r="AN935" s="82">
        <f>IFERROR(__xludf.DUMMYFUNCTION("""COMPUTED_VALUE"""),0.7986535559387293)</f>
        <v>0.7986535559</v>
      </c>
      <c r="AO935" s="82">
        <f>IFERROR(__xludf.DUMMYFUNCTION("""COMPUTED_VALUE"""),0.0)</f>
        <v>0</v>
      </c>
      <c r="AP935" s="82">
        <f>IFERROR(__xludf.DUMMYFUNCTION("""COMPUTED_VALUE"""),0.8758432311811349)</f>
        <v>0.8758432312</v>
      </c>
      <c r="AQ935" s="82">
        <f>IFERROR(__xludf.DUMMYFUNCTION("""COMPUTED_VALUE"""),1.4030769734986601)</f>
        <v>1.403076973</v>
      </c>
      <c r="AR935" s="82">
        <f>IFERROR(__xludf.DUMMYFUNCTION("""COMPUTED_VALUE"""),0.5983936008728749)</f>
        <v>0.5983936009</v>
      </c>
      <c r="AS935" s="82">
        <f>IFERROR(__xludf.DUMMYFUNCTION("""COMPUTED_VALUE"""),3.0)</f>
        <v>3</v>
      </c>
      <c r="AT935" s="82">
        <f>IFERROR(__xludf.DUMMYFUNCTION("""COMPUTED_VALUE"""),0.25591176740996385)</f>
        <v>0.2559117674</v>
      </c>
      <c r="AU935" s="82">
        <f>IFERROR(__xludf.DUMMYFUNCTION("""COMPUTED_VALUE"""),0.48333410378297287)</f>
        <v>0.4833341038</v>
      </c>
      <c r="AV935" s="82">
        <f>IFERROR(__xludf.DUMMYFUNCTION("""COMPUTED_VALUE"""),-4.950044681512658)</f>
        <v>-4.950044682</v>
      </c>
      <c r="AW935" s="82">
        <f t="shared" si="1"/>
        <v>-71.55896573</v>
      </c>
      <c r="AX935" s="83">
        <f t="array" ref="AX935">IFERROR(DGET('SBV Import'!A:G,"SBV",{"RSC ID","Tier";B935,A935}))</f>
        <v>5.726228898</v>
      </c>
      <c r="AY935" s="82">
        <f t="shared" si="2"/>
        <v>-26.12027362</v>
      </c>
      <c r="AZ935" s="82">
        <v>45.43869210501343</v>
      </c>
      <c r="BA935" s="84">
        <v>800.0</v>
      </c>
      <c r="BB935" s="84" t="b">
        <f>IFERROR(__xludf.DUMMYFUNCTION("iferror(if(A935="""",,E935&gt;=FILTER(Constants!$F$2:$F$10,Constants!$A$2:$A$10=A935)))"),TRUE)</f>
        <v>1</v>
      </c>
    </row>
    <row r="936">
      <c r="A936" s="80" t="str">
        <f>IFERROR(__xludf.DUMMYFUNCTION("""COMPUTED_VALUE"""),"Elite")</f>
        <v>Elite</v>
      </c>
      <c r="B936" s="73" t="str">
        <f>IFERROR(__xludf.DUMMYFUNCTION("""COMPUTED_VALUE"""),"RSC004650")</f>
        <v>RSC004650</v>
      </c>
      <c r="C936" s="73" t="str">
        <f>IFERROR(__xludf.DUMMYFUNCTION("""COMPUTED_VALUE"""),"xolzkii")</f>
        <v>xolzkii</v>
      </c>
      <c r="D936" s="73" t="str">
        <f>IFERROR(__xludf.DUMMYFUNCTION("""COMPUTED_VALUE"""),"Summoned")</f>
        <v>Summoned</v>
      </c>
      <c r="E936" s="82">
        <f>IFERROR(__xludf.DUMMYFUNCTION("""COMPUTED_VALUE"""),4.0)</f>
        <v>4</v>
      </c>
      <c r="F936" s="82">
        <f>IFERROR(__xludf.DUMMYFUNCTION("""COMPUTED_VALUE"""),0.0)</f>
        <v>0</v>
      </c>
      <c r="G936" s="82">
        <f>IFERROR(__xludf.DUMMYFUNCTION("""COMPUTED_VALUE"""),4.0)</f>
        <v>4</v>
      </c>
      <c r="H936" s="86">
        <f>IFERROR(__xludf.DUMMYFUNCTION("""COMPUTED_VALUE"""),0.0)</f>
        <v>0</v>
      </c>
      <c r="I936" s="86">
        <f>IFERROR(__xludf.DUMMYFUNCTION("""COMPUTED_VALUE"""),0.16666666666666666)</f>
        <v>0.1666666667</v>
      </c>
      <c r="J936" s="82">
        <f>IFERROR(__xludf.DUMMYFUNCTION("""COMPUTED_VALUE"""),345.5)</f>
        <v>345.5</v>
      </c>
      <c r="K936" s="82">
        <f>IFERROR(__xludf.DUMMYFUNCTION("""COMPUTED_VALUE"""),0.25)</f>
        <v>0.25</v>
      </c>
      <c r="L936" s="82">
        <f>IFERROR(__xludf.DUMMYFUNCTION("""COMPUTED_VALUE"""),0.25)</f>
        <v>0.25</v>
      </c>
      <c r="M936" s="82">
        <f>IFERROR(__xludf.DUMMYFUNCTION("""COMPUTED_VALUE"""),1.75)</f>
        <v>1.75</v>
      </c>
      <c r="N936" s="82">
        <f>IFERROR(__xludf.DUMMYFUNCTION("""COMPUTED_VALUE"""),1.5)</f>
        <v>1.5</v>
      </c>
      <c r="O936" s="82">
        <f>IFERROR(__xludf.DUMMYFUNCTION("""COMPUTED_VALUE"""),492.0)</f>
        <v>492</v>
      </c>
      <c r="P936" s="82">
        <f>IFERROR(__xludf.DUMMYFUNCTION("""COMPUTED_VALUE"""),1.3333333333333333)</f>
        <v>1.333333333</v>
      </c>
      <c r="Q936" s="82">
        <f>IFERROR(__xludf.DUMMYFUNCTION("""COMPUTED_VALUE"""),0.9166666666666666)</f>
        <v>0.9166666667</v>
      </c>
      <c r="R936" s="82">
        <f>IFERROR(__xludf.DUMMYFUNCTION("""COMPUTED_VALUE"""),1.4166666666666667)</f>
        <v>1.416666667</v>
      </c>
      <c r="S936" s="82">
        <f>IFERROR(__xludf.DUMMYFUNCTION("""COMPUTED_VALUE"""),4.666666666666666)</f>
        <v>4.666666667</v>
      </c>
      <c r="T936" s="82">
        <f>IFERROR(__xludf.DUMMYFUNCTION("""COMPUTED_VALUE"""),407.5343434343434)</f>
        <v>407.5343434</v>
      </c>
      <c r="U936" s="82">
        <f>IFERROR(__xludf.DUMMYFUNCTION("""COMPUTED_VALUE"""),1.035479797979798)</f>
        <v>1.035479798</v>
      </c>
      <c r="V936" s="82">
        <f>IFERROR(__xludf.DUMMYFUNCTION("""COMPUTED_VALUE"""),0.6847222222222222)</f>
        <v>0.6847222222</v>
      </c>
      <c r="W936" s="82">
        <f>IFERROR(__xludf.DUMMYFUNCTION("""COMPUTED_VALUE"""),1.5238636363636366)</f>
        <v>1.523863636</v>
      </c>
      <c r="X936" s="82">
        <f>IFERROR(__xludf.DUMMYFUNCTION("""COMPUTED_VALUE"""),2.862121212121212)</f>
        <v>2.862121212</v>
      </c>
      <c r="Y936" s="82">
        <f>IFERROR(__xludf.DUMMYFUNCTION("""COMPUTED_VALUE"""),347.5255892255893)</f>
        <v>347.5255892</v>
      </c>
      <c r="Z936" s="82">
        <f>IFERROR(__xludf.DUMMYFUNCTION("""COMPUTED_VALUE"""),0.7414983164983164)</f>
        <v>0.7414983165</v>
      </c>
      <c r="AA936" s="82">
        <f>IFERROR(__xludf.DUMMYFUNCTION("""COMPUTED_VALUE"""),0.5118265993265995)</f>
        <v>0.5118265993</v>
      </c>
      <c r="AB936" s="82">
        <f>IFERROR(__xludf.DUMMYFUNCTION("""COMPUTED_VALUE"""),1.3414562289562288)</f>
        <v>1.341456229</v>
      </c>
      <c r="AC936" s="82">
        <f>IFERROR(__xludf.DUMMYFUNCTION("""COMPUTED_VALUE"""),2.597516835016835)</f>
        <v>2.597516835</v>
      </c>
      <c r="AD936" s="82">
        <f>IFERROR(__xludf.DUMMYFUNCTION("""COMPUTED_VALUE"""),0.9941713954644232)</f>
        <v>0.9941713955</v>
      </c>
      <c r="AE936" s="82">
        <f>IFERROR(__xludf.DUMMYFUNCTION("""COMPUTED_VALUE"""),0.3371551822000227)</f>
        <v>0.3371551822</v>
      </c>
      <c r="AF936" s="82">
        <f>IFERROR(__xludf.DUMMYFUNCTION("""COMPUTED_VALUE"""),0.48844667379327344)</f>
        <v>0.4884466738</v>
      </c>
      <c r="AG936" s="82">
        <f>IFERROR(__xludf.DUMMYFUNCTION("""COMPUTED_VALUE"""),1.3045524425061965)</f>
        <v>1.304552443</v>
      </c>
      <c r="AH936" s="82">
        <f>IFERROR(__xludf.DUMMYFUNCTION("""COMPUTED_VALUE"""),0.5774746018114945)</f>
        <v>0.5774746018</v>
      </c>
      <c r="AI936" s="82">
        <f>IFERROR(__xludf.DUMMYFUNCTION("""COMPUTED_VALUE"""),1.207260217271148)</f>
        <v>1.207260217</v>
      </c>
      <c r="AJ936" s="82">
        <f>IFERROR(__xludf.DUMMYFUNCTION("""COMPUTED_VALUE"""),1.287647847823436)</f>
        <v>1.287647848</v>
      </c>
      <c r="AK936" s="82">
        <f>IFERROR(__xludf.DUMMYFUNCTION("""COMPUTED_VALUE"""),1.3387423935091278)</f>
        <v>1.338742394</v>
      </c>
      <c r="AL936" s="82">
        <f>IFERROR(__xludf.DUMMYFUNCTION("""COMPUTED_VALUE"""),0.9296544867014664)</f>
        <v>0.9296544867</v>
      </c>
      <c r="AM936" s="82">
        <f>IFERROR(__xludf.DUMMYFUNCTION("""COMPUTED_VALUE"""),1.6304923239809423)</f>
        <v>1.630492324</v>
      </c>
      <c r="AN936" s="82">
        <f>IFERROR(__xludf.DUMMYFUNCTION("""COMPUTED_VALUE"""),0.9854814413458249)</f>
        <v>0.9854814413</v>
      </c>
      <c r="AO936" s="82">
        <f>IFERROR(__xludf.DUMMYFUNCTION("""COMPUTED_VALUE"""),0.3526633431503038)</f>
        <v>0.3526633432</v>
      </c>
      <c r="AP936" s="82">
        <f>IFERROR(__xludf.DUMMYFUNCTION("""COMPUTED_VALUE"""),0.43792161559056747)</f>
        <v>0.4379216156</v>
      </c>
      <c r="AQ936" s="82">
        <f>IFERROR(__xludf.DUMMYFUNCTION("""COMPUTED_VALUE"""),1.2276923518113276)</f>
        <v>1.227692352</v>
      </c>
      <c r="AR936" s="82">
        <f>IFERROR(__xludf.DUMMYFUNCTION("""COMPUTED_VALUE"""),0.5983936008728749)</f>
        <v>0.5983936009</v>
      </c>
      <c r="AS936" s="82">
        <f>IFERROR(__xludf.DUMMYFUNCTION("""COMPUTED_VALUE"""),3.0)</f>
        <v>3</v>
      </c>
      <c r="AT936" s="82">
        <f>IFERROR(__xludf.DUMMYFUNCTION("""COMPUTED_VALUE"""),0.06799244525268718)</f>
        <v>0.06799244525</v>
      </c>
      <c r="AU936" s="82">
        <f>IFERROR(__xludf.DUMMYFUNCTION("""COMPUTED_VALUE"""),0.451772884846715)</f>
        <v>0.4517728848</v>
      </c>
      <c r="AV936" s="82">
        <f>IFERROR(__xludf.DUMMYFUNCTION("""COMPUTED_VALUE"""),-5.857878304930978)</f>
        <v>-5.857878305</v>
      </c>
      <c r="AW936" s="82">
        <f t="shared" si="1"/>
        <v>-78.5473597</v>
      </c>
      <c r="AX936" s="83">
        <f t="array" ref="AX936">IFERROR(DGET('SBV Import'!A:G,"SBV",{"RSC ID","Tier";B936,A936}))</f>
        <v>3.945625037</v>
      </c>
      <c r="AY936" s="82">
        <f t="shared" si="2"/>
        <v>-30.55788479</v>
      </c>
      <c r="AZ936" s="82">
        <v>47.989474904100646</v>
      </c>
      <c r="BA936" s="84">
        <v>800.0</v>
      </c>
      <c r="BB936" s="84" t="b">
        <f>IFERROR(__xludf.DUMMYFUNCTION("iferror(if(A936="""",,E936&gt;=FILTER(Constants!$F$2:$F$10,Constants!$A$2:$A$10=A936)))"),TRUE)</f>
        <v>1</v>
      </c>
    </row>
    <row r="937">
      <c r="A937" s="80" t="str">
        <f>IFERROR(__xludf.DUMMYFUNCTION("""COMPUTED_VALUE"""),"Elite")</f>
        <v>Elite</v>
      </c>
      <c r="B937" s="73" t="str">
        <f>IFERROR(__xludf.DUMMYFUNCTION("""COMPUTED_VALUE"""),"RSC004794")</f>
        <v>RSC004794</v>
      </c>
      <c r="C937" s="73" t="str">
        <f>IFERROR(__xludf.DUMMYFUNCTION("""COMPUTED_VALUE"""),"Buddha")</f>
        <v>Buddha</v>
      </c>
      <c r="D937" s="73"/>
      <c r="E937" s="82">
        <f>IFERROR(__xludf.DUMMYFUNCTION("""COMPUTED_VALUE"""),4.0)</f>
        <v>4</v>
      </c>
      <c r="F937" s="82">
        <f>IFERROR(__xludf.DUMMYFUNCTION("""COMPUTED_VALUE"""),0.0)</f>
        <v>0</v>
      </c>
      <c r="G937" s="82">
        <f>IFERROR(__xludf.DUMMYFUNCTION("""COMPUTED_VALUE"""),4.0)</f>
        <v>4</v>
      </c>
      <c r="H937" s="86">
        <f>IFERROR(__xludf.DUMMYFUNCTION("""COMPUTED_VALUE"""),0.0)</f>
        <v>0</v>
      </c>
      <c r="I937" s="86">
        <f>IFERROR(__xludf.DUMMYFUNCTION("""COMPUTED_VALUE"""),0.6666666666666666)</f>
        <v>0.6666666667</v>
      </c>
      <c r="J937" s="82">
        <f>IFERROR(__xludf.DUMMYFUNCTION("""COMPUTED_VALUE"""),216.75)</f>
        <v>216.75</v>
      </c>
      <c r="K937" s="82">
        <f>IFERROR(__xludf.DUMMYFUNCTION("""COMPUTED_VALUE"""),0.5)</f>
        <v>0.5</v>
      </c>
      <c r="L937" s="82">
        <f>IFERROR(__xludf.DUMMYFUNCTION("""COMPUTED_VALUE"""),0.25)</f>
        <v>0.25</v>
      </c>
      <c r="M937" s="82">
        <f>IFERROR(__xludf.DUMMYFUNCTION("""COMPUTED_VALUE"""),0.75)</f>
        <v>0.75</v>
      </c>
      <c r="N937" s="82">
        <f>IFERROR(__xludf.DUMMYFUNCTION("""COMPUTED_VALUE"""),0.75)</f>
        <v>0.75</v>
      </c>
      <c r="O937" s="82">
        <f>IFERROR(__xludf.DUMMYFUNCTION("""COMPUTED_VALUE"""),381.3333333333333)</f>
        <v>381.3333333</v>
      </c>
      <c r="P937" s="82">
        <f>IFERROR(__xludf.DUMMYFUNCTION("""COMPUTED_VALUE"""),1.25)</f>
        <v>1.25</v>
      </c>
      <c r="Q937" s="82">
        <f>IFERROR(__xludf.DUMMYFUNCTION("""COMPUTED_VALUE"""),0.9166666666666666)</f>
        <v>0.9166666667</v>
      </c>
      <c r="R937" s="82">
        <f>IFERROR(__xludf.DUMMYFUNCTION("""COMPUTED_VALUE"""),0.7499999999999999)</f>
        <v>0.75</v>
      </c>
      <c r="S937" s="82">
        <f>IFERROR(__xludf.DUMMYFUNCTION("""COMPUTED_VALUE"""),3.5)</f>
        <v>3.5</v>
      </c>
      <c r="T937" s="82">
        <f>IFERROR(__xludf.DUMMYFUNCTION("""COMPUTED_VALUE"""),361.72716750841755)</f>
        <v>361.7271675</v>
      </c>
      <c r="U937" s="82">
        <f>IFERROR(__xludf.DUMMYFUNCTION("""COMPUTED_VALUE"""),0.6696127946127947)</f>
        <v>0.6696127946</v>
      </c>
      <c r="V937" s="82">
        <f>IFERROR(__xludf.DUMMYFUNCTION("""COMPUTED_VALUE"""),0.5808080808080809)</f>
        <v>0.5808080808</v>
      </c>
      <c r="W937" s="82">
        <f>IFERROR(__xludf.DUMMYFUNCTION("""COMPUTED_VALUE"""),1.4974747474747474)</f>
        <v>1.497474747</v>
      </c>
      <c r="X937" s="82">
        <f>IFERROR(__xludf.DUMMYFUNCTION("""COMPUTED_VALUE"""),2.7387415824915826)</f>
        <v>2.738741582</v>
      </c>
      <c r="Y937" s="82">
        <f>IFERROR(__xludf.DUMMYFUNCTION("""COMPUTED_VALUE"""),347.708648989899)</f>
        <v>347.708649</v>
      </c>
      <c r="Z937" s="82">
        <f>IFERROR(__xludf.DUMMYFUNCTION("""COMPUTED_VALUE"""),0.6434132996632996)</f>
        <v>0.6434132997</v>
      </c>
      <c r="AA937" s="82">
        <f>IFERROR(__xludf.DUMMYFUNCTION("""COMPUTED_VALUE"""),0.5343364197530863)</f>
        <v>0.5343364198</v>
      </c>
      <c r="AB937" s="82">
        <f>IFERROR(__xludf.DUMMYFUNCTION("""COMPUTED_VALUE"""),1.4895131874298537)</f>
        <v>1.489513187</v>
      </c>
      <c r="AC937" s="82">
        <f>IFERROR(__xludf.DUMMYFUNCTION("""COMPUTED_VALUE"""),2.5128367003367007)</f>
        <v>2.5128367</v>
      </c>
      <c r="AD937" s="82">
        <f>IFERROR(__xludf.DUMMYFUNCTION("""COMPUTED_VALUE"""),0.6233667198951287)</f>
        <v>0.6233667199</v>
      </c>
      <c r="AE937" s="82">
        <f>IFERROR(__xludf.DUMMYFUNCTION("""COMPUTED_VALUE"""),0.7771054783319706)</f>
        <v>0.7771054783</v>
      </c>
      <c r="AF937" s="82">
        <f>IFERROR(__xludf.DUMMYFUNCTION("""COMPUTED_VALUE"""),0.46787003610108313)</f>
        <v>0.4678700361</v>
      </c>
      <c r="AG937" s="82">
        <f>IFERROR(__xludf.DUMMYFUNCTION("""COMPUTED_VALUE"""),0.5035202147448729)</f>
        <v>0.5035202147</v>
      </c>
      <c r="AH937" s="82">
        <f>IFERROR(__xludf.DUMMYFUNCTION("""COMPUTED_VALUE"""),0.29846746503642907)</f>
        <v>0.298467465</v>
      </c>
      <c r="AI937" s="82">
        <f>IFERROR(__xludf.DUMMYFUNCTION("""COMPUTED_VALUE"""),1.0542015297329292)</f>
        <v>1.05420153</v>
      </c>
      <c r="AJ937" s="82">
        <f>IFERROR(__xludf.DUMMYFUNCTION("""COMPUTED_VALUE"""),1.866750471401634)</f>
        <v>1.866750471</v>
      </c>
      <c r="AK937" s="82">
        <f>IFERROR(__xludf.DUMMYFUNCTION("""COMPUTED_VALUE"""),1.5782608695652172)</f>
        <v>1.57826087</v>
      </c>
      <c r="AL937" s="82">
        <f>IFERROR(__xludf.DUMMYFUNCTION("""COMPUTED_VALUE"""),0.5008431703204047)</f>
        <v>0.5008431703</v>
      </c>
      <c r="AM937" s="82">
        <f>IFERROR(__xludf.DUMMYFUNCTION("""COMPUTED_VALUE"""),1.277959199354566)</f>
        <v>1.277959199</v>
      </c>
      <c r="AN937" s="82">
        <f>IFERROR(__xludf.DUMMYFUNCTION("""COMPUTED_VALUE"""),0.6182434223204271)</f>
        <v>0.6182434223</v>
      </c>
      <c r="AO937" s="82">
        <f>IFERROR(__xludf.DUMMYFUNCTION("""COMPUTED_VALUE"""),0.7053266863006076)</f>
        <v>0.7053266863</v>
      </c>
      <c r="AP937" s="82">
        <f>IFERROR(__xludf.DUMMYFUNCTION("""COMPUTED_VALUE"""),0.43792161559056747)</f>
        <v>0.4379216156</v>
      </c>
      <c r="AQ937" s="82">
        <f>IFERROR(__xludf.DUMMYFUNCTION("""COMPUTED_VALUE"""),0.5261538650619976)</f>
        <v>0.5261538651</v>
      </c>
      <c r="AR937" s="82">
        <f>IFERROR(__xludf.DUMMYFUNCTION("""COMPUTED_VALUE"""),0.2991968004364374)</f>
        <v>0.2991968004</v>
      </c>
      <c r="AS937" s="82">
        <f>IFERROR(__xludf.DUMMYFUNCTION("""COMPUTED_VALUE"""),7.0)</f>
        <v>7</v>
      </c>
      <c r="AT937" s="82">
        <f>IFERROR(__xludf.DUMMYFUNCTION("""COMPUTED_VALUE"""),0.2238904750056121)</f>
        <v>0.223890475</v>
      </c>
      <c r="AU937" s="82">
        <f>IFERROR(__xludf.DUMMYFUNCTION("""COMPUTED_VALUE"""),0.1391238940694088)</f>
        <v>0.1391238941</v>
      </c>
      <c r="AV937" s="82">
        <f>IFERROR(__xludf.DUMMYFUNCTION("""COMPUTED_VALUE"""),-14.850980463902914)</f>
        <v>-14.85098046</v>
      </c>
      <c r="AW937" s="82">
        <f t="shared" si="1"/>
        <v>-210.8466561</v>
      </c>
      <c r="AX937" s="83">
        <f t="array" ref="AX937">IFERROR(DGET('SBV Import'!A:G,"SBV",{"RSC ID","Tier";B937,A937}))</f>
        <v>-13.65267039</v>
      </c>
      <c r="AY937" s="82">
        <f t="shared" si="2"/>
        <v>-183.6010309</v>
      </c>
      <c r="AZ937" s="82">
        <v>27.245625145989464</v>
      </c>
      <c r="BA937" s="84">
        <v>800.0</v>
      </c>
      <c r="BB937" s="84" t="b">
        <f>IFERROR(__xludf.DUMMYFUNCTION("iferror(if(A937="""",,E937&gt;=FILTER(Constants!$F$2:$F$10,Constants!$A$2:$A$10=A937)))"),TRUE)</f>
        <v>1</v>
      </c>
    </row>
    <row r="938">
      <c r="A938" s="80" t="str">
        <f>IFERROR(__xludf.DUMMYFUNCTION("""COMPUTED_VALUE"""),"Elite")</f>
        <v>Elite</v>
      </c>
      <c r="B938" s="73" t="str">
        <f>IFERROR(__xludf.DUMMYFUNCTION("""COMPUTED_VALUE"""),"RSC005490")</f>
        <v>RSC005490</v>
      </c>
      <c r="C938" s="73" t="str">
        <f>IFERROR(__xludf.DUMMYFUNCTION("""COMPUTED_VALUE"""),"iProfessorEx")</f>
        <v>iProfessorEx</v>
      </c>
      <c r="D938" s="73" t="str">
        <f>IFERROR(__xludf.DUMMYFUNCTION("""COMPUTED_VALUE"""),"Repossessed")</f>
        <v>Repossessed</v>
      </c>
      <c r="E938" s="82">
        <f>IFERROR(__xludf.DUMMYFUNCTION("""COMPUTED_VALUE"""),4.0)</f>
        <v>4</v>
      </c>
      <c r="F938" s="82">
        <f>IFERROR(__xludf.DUMMYFUNCTION("""COMPUTED_VALUE"""),0.0)</f>
        <v>0</v>
      </c>
      <c r="G938" s="82">
        <f>IFERROR(__xludf.DUMMYFUNCTION("""COMPUTED_VALUE"""),4.0)</f>
        <v>4</v>
      </c>
      <c r="H938" s="86">
        <f>IFERROR(__xludf.DUMMYFUNCTION("""COMPUTED_VALUE"""),0.0)</f>
        <v>0</v>
      </c>
      <c r="I938" s="86">
        <f>IFERROR(__xludf.DUMMYFUNCTION("""COMPUTED_VALUE"""),0.0)</f>
        <v>0</v>
      </c>
      <c r="J938" s="82">
        <f>IFERROR(__xludf.DUMMYFUNCTION("""COMPUTED_VALUE"""),233.0)</f>
        <v>233</v>
      </c>
      <c r="K938" s="82">
        <f>IFERROR(__xludf.DUMMYFUNCTION("""COMPUTED_VALUE"""),0.0)</f>
        <v>0</v>
      </c>
      <c r="L938" s="82">
        <f>IFERROR(__xludf.DUMMYFUNCTION("""COMPUTED_VALUE"""),0.25)</f>
        <v>0.25</v>
      </c>
      <c r="M938" s="82">
        <f>IFERROR(__xludf.DUMMYFUNCTION("""COMPUTED_VALUE"""),1.5)</f>
        <v>1.5</v>
      </c>
      <c r="N938" s="82">
        <f>IFERROR(__xludf.DUMMYFUNCTION("""COMPUTED_VALUE"""),1.25)</f>
        <v>1.25</v>
      </c>
      <c r="O938" s="82">
        <f>IFERROR(__xludf.DUMMYFUNCTION("""COMPUTED_VALUE"""),443.0833333333333)</f>
        <v>443.0833333</v>
      </c>
      <c r="P938" s="82">
        <f>IFERROR(__xludf.DUMMYFUNCTION("""COMPUTED_VALUE"""),1.0833333333333335)</f>
        <v>1.083333333</v>
      </c>
      <c r="Q938" s="82">
        <f>IFERROR(__xludf.DUMMYFUNCTION("""COMPUTED_VALUE"""),0.9999999999999999)</f>
        <v>1</v>
      </c>
      <c r="R938" s="82">
        <f>IFERROR(__xludf.DUMMYFUNCTION("""COMPUTED_VALUE"""),1.6666666666666667)</f>
        <v>1.666666667</v>
      </c>
      <c r="S938" s="82">
        <f>IFERROR(__xludf.DUMMYFUNCTION("""COMPUTED_VALUE"""),3.0833333333333335)</f>
        <v>3.083333333</v>
      </c>
      <c r="T938" s="82">
        <f>IFERROR(__xludf.DUMMYFUNCTION("""COMPUTED_VALUE"""),382.28055555555557)</f>
        <v>382.2805556</v>
      </c>
      <c r="U938" s="82">
        <f>IFERROR(__xludf.DUMMYFUNCTION("""COMPUTED_VALUE"""),0.7972222222222222)</f>
        <v>0.7972222222</v>
      </c>
      <c r="V938" s="82">
        <f>IFERROR(__xludf.DUMMYFUNCTION("""COMPUTED_VALUE"""),0.6319444444444444)</f>
        <v>0.6319444444</v>
      </c>
      <c r="W938" s="82">
        <f>IFERROR(__xludf.DUMMYFUNCTION("""COMPUTED_VALUE"""),1.5583333333333333)</f>
        <v>1.558333333</v>
      </c>
      <c r="X938" s="82">
        <f>IFERROR(__xludf.DUMMYFUNCTION("""COMPUTED_VALUE"""),2.836111111111111)</f>
        <v>2.836111111</v>
      </c>
      <c r="Y938" s="82">
        <f>IFERROR(__xludf.DUMMYFUNCTION("""COMPUTED_VALUE"""),365.4805555555556)</f>
        <v>365.4805556</v>
      </c>
      <c r="Z938" s="82">
        <f>IFERROR(__xludf.DUMMYFUNCTION("""COMPUTED_VALUE"""),0.7250000000000001)</f>
        <v>0.725</v>
      </c>
      <c r="AA938" s="82">
        <f>IFERROR(__xludf.DUMMYFUNCTION("""COMPUTED_VALUE"""),0.524074074074074)</f>
        <v>0.5240740741</v>
      </c>
      <c r="AB938" s="82">
        <f>IFERROR(__xludf.DUMMYFUNCTION("""COMPUTED_VALUE"""),1.6199074074074074)</f>
        <v>1.619907407</v>
      </c>
      <c r="AC938" s="82">
        <f>IFERROR(__xludf.DUMMYFUNCTION("""COMPUTED_VALUE"""),2.655092592592593)</f>
        <v>2.655092593</v>
      </c>
      <c r="AD938" s="82">
        <f>IFERROR(__xludf.DUMMYFUNCTION("""COMPUTED_VALUE"""),0.6375168157600722)</f>
        <v>0.6375168158</v>
      </c>
      <c r="AE938" s="82">
        <f>IFERROR(__xludf.DUMMYFUNCTION("""COMPUTED_VALUE"""),0.0)</f>
        <v>0</v>
      </c>
      <c r="AF938" s="82">
        <f>IFERROR(__xludf.DUMMYFUNCTION("""COMPUTED_VALUE"""),0.4770318021201414)</f>
        <v>0.4770318021</v>
      </c>
      <c r="AG938" s="82">
        <f>IFERROR(__xludf.DUMMYFUNCTION("""COMPUTED_VALUE"""),0.9259788511003144)</f>
        <v>0.9259788511</v>
      </c>
      <c r="AH938" s="82">
        <f>IFERROR(__xludf.DUMMYFUNCTION("""COMPUTED_VALUE"""),0.4707933740191804)</f>
        <v>0.470793374</v>
      </c>
      <c r="AI938" s="82">
        <f>IFERROR(__xludf.DUMMYFUNCTION("""COMPUTED_VALUE"""),1.159052760843185)</f>
        <v>1.159052761</v>
      </c>
      <c r="AJ938" s="82">
        <f>IFERROR(__xludf.DUMMYFUNCTION("""COMPUTED_VALUE"""),1.3588850174216032)</f>
        <v>1.358885017</v>
      </c>
      <c r="AK938" s="82">
        <f>IFERROR(__xludf.DUMMYFUNCTION("""COMPUTED_VALUE"""),1.5824175824175823)</f>
        <v>1.582417582</v>
      </c>
      <c r="AL938" s="82">
        <f>IFERROR(__xludf.DUMMYFUNCTION("""COMPUTED_VALUE"""),1.0695187165775402)</f>
        <v>1.069518717</v>
      </c>
      <c r="AM938" s="82">
        <f>IFERROR(__xludf.DUMMYFUNCTION("""COMPUTED_VALUE"""),1.0871694417238003)</f>
        <v>1.087169442</v>
      </c>
      <c r="AN938" s="82">
        <f>IFERROR(__xludf.DUMMYFUNCTION("""COMPUTED_VALUE"""),0.6645938519061569)</f>
        <v>0.6645938519</v>
      </c>
      <c r="AO938" s="82">
        <f>IFERROR(__xludf.DUMMYFUNCTION("""COMPUTED_VALUE"""),0.0)</f>
        <v>0</v>
      </c>
      <c r="AP938" s="82">
        <f>IFERROR(__xludf.DUMMYFUNCTION("""COMPUTED_VALUE"""),0.43792161559056747)</f>
        <v>0.4379216156</v>
      </c>
      <c r="AQ938" s="82">
        <f>IFERROR(__xludf.DUMMYFUNCTION("""COMPUTED_VALUE"""),1.0523077301239951)</f>
        <v>1.05230773</v>
      </c>
      <c r="AR938" s="82">
        <f>IFERROR(__xludf.DUMMYFUNCTION("""COMPUTED_VALUE"""),0.4986613340607291)</f>
        <v>0.4986613341</v>
      </c>
      <c r="AS938" s="82">
        <f>IFERROR(__xludf.DUMMYFUNCTION("""COMPUTED_VALUE"""),3.0)</f>
        <v>3</v>
      </c>
      <c r="AT938" s="82">
        <f>IFERROR(__xludf.DUMMYFUNCTION("""COMPUTED_VALUE"""),0.10130065033179315)</f>
        <v>0.1013006503</v>
      </c>
      <c r="AU938" s="82">
        <f>IFERROR(__xludf.DUMMYFUNCTION("""COMPUTED_VALUE"""),-0.2481537381369066)</f>
        <v>-0.2481537381</v>
      </c>
      <c r="AV938" s="82">
        <f>IFERROR(__xludf.DUMMYFUNCTION("""COMPUTED_VALUE"""),-25.99071675941174)</f>
        <v>-25.99071676</v>
      </c>
      <c r="AW938" s="82">
        <f t="shared" si="1"/>
        <v>-844.3450111</v>
      </c>
      <c r="AX938" s="83">
        <f t="array" ref="AX938">IFERROR(DGET('SBV Import'!A:G,"SBV",{"RSC ID","Tier";B938,A938}))</f>
        <v>-7.650046391</v>
      </c>
      <c r="AY938" s="82">
        <f t="shared" si="2"/>
        <v>-94.739456</v>
      </c>
      <c r="AZ938" s="82">
        <v>749.6055550949196</v>
      </c>
      <c r="BA938" s="84">
        <v>800.0</v>
      </c>
      <c r="BB938" s="84" t="b">
        <f>IFERROR(__xludf.DUMMYFUNCTION("iferror(if(A938="""",,E938&gt;=FILTER(Constants!$F$2:$F$10,Constants!$A$2:$A$10=A938)))"),TRUE)</f>
        <v>1</v>
      </c>
    </row>
    <row r="939">
      <c r="A939" s="80"/>
      <c r="B939" s="73"/>
      <c r="C939" s="73"/>
      <c r="D939" s="73"/>
      <c r="E939" s="82"/>
      <c r="F939" s="82"/>
      <c r="G939" s="82"/>
      <c r="H939" s="86"/>
      <c r="I939" s="86"/>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c r="AG939" s="82"/>
      <c r="AH939" s="82"/>
      <c r="AI939" s="82"/>
      <c r="AJ939" s="82"/>
      <c r="AK939" s="82"/>
      <c r="AL939" s="82"/>
      <c r="AM939" s="82"/>
      <c r="AN939" s="82">
        <f>IFERROR(__xludf.DUMMYFUNCTION("""COMPUTED_VALUE"""),0.0)</f>
        <v>0</v>
      </c>
      <c r="AO939" s="82">
        <f>IFERROR(__xludf.DUMMYFUNCTION("""COMPUTED_VALUE"""),0.0)</f>
        <v>0</v>
      </c>
      <c r="AP939" s="82">
        <f>IFERROR(__xludf.DUMMYFUNCTION("""COMPUTED_VALUE"""),0.0)</f>
        <v>0</v>
      </c>
      <c r="AQ939" s="82">
        <f>IFERROR(__xludf.DUMMYFUNCTION("""COMPUTED_VALUE"""),0.0)</f>
        <v>0</v>
      </c>
      <c r="AR939" s="82">
        <f>IFERROR(__xludf.DUMMYFUNCTION("""COMPUTED_VALUE"""),0.0)</f>
        <v>0</v>
      </c>
      <c r="AS939" s="82"/>
      <c r="AT939" s="82">
        <f>IFERROR(__xludf.DUMMYFUNCTION("""COMPUTED_VALUE"""),0.0)</f>
        <v>0</v>
      </c>
      <c r="AU939" s="82"/>
      <c r="AV939" s="82"/>
      <c r="AW939" s="82" t="str">
        <f t="shared" si="1"/>
        <v/>
      </c>
      <c r="AX939" s="83" t="str">
        <f t="array" ref="AX939">IFERROR(DGET('SBV Import'!A:G,"SBV",{"RSC ID","Tier";B939,A939}))</f>
        <v/>
      </c>
      <c r="AY939" s="82" t="str">
        <f t="shared" si="2"/>
        <v/>
      </c>
      <c r="AZ939" s="82"/>
      <c r="BA939" s="84" t="s">
        <v>152</v>
      </c>
      <c r="BB939" s="84" t="str">
        <f>IFERROR(__xludf.DUMMYFUNCTION("iferror(if(A939="""",,E939&gt;=FILTER(Constants!$F$2:$F$10,Constants!$A$2:$A$10=A939)))"),"")</f>
        <v/>
      </c>
    </row>
    <row r="940">
      <c r="A940" s="80"/>
      <c r="B940" s="73"/>
      <c r="C940" s="73"/>
      <c r="D940" s="73"/>
      <c r="E940" s="82"/>
      <c r="F940" s="82"/>
      <c r="G940" s="82"/>
      <c r="H940" s="86"/>
      <c r="I940" s="86"/>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c r="AG940" s="82"/>
      <c r="AH940" s="82"/>
      <c r="AI940" s="82"/>
      <c r="AJ940" s="82"/>
      <c r="AK940" s="82"/>
      <c r="AL940" s="82"/>
      <c r="AM940" s="82"/>
      <c r="AN940" s="82">
        <f>IFERROR(__xludf.DUMMYFUNCTION("""COMPUTED_VALUE"""),0.0)</f>
        <v>0</v>
      </c>
      <c r="AO940" s="82">
        <f>IFERROR(__xludf.DUMMYFUNCTION("""COMPUTED_VALUE"""),0.0)</f>
        <v>0</v>
      </c>
      <c r="AP940" s="82">
        <f>IFERROR(__xludf.DUMMYFUNCTION("""COMPUTED_VALUE"""),0.0)</f>
        <v>0</v>
      </c>
      <c r="AQ940" s="82">
        <f>IFERROR(__xludf.DUMMYFUNCTION("""COMPUTED_VALUE"""),0.0)</f>
        <v>0</v>
      </c>
      <c r="AR940" s="82">
        <f>IFERROR(__xludf.DUMMYFUNCTION("""COMPUTED_VALUE"""),0.0)</f>
        <v>0</v>
      </c>
      <c r="AS940" s="82"/>
      <c r="AT940" s="82">
        <f>IFERROR(__xludf.DUMMYFUNCTION("""COMPUTED_VALUE"""),0.0)</f>
        <v>0</v>
      </c>
      <c r="AU940" s="82"/>
      <c r="AV940" s="82"/>
      <c r="AW940" s="82" t="str">
        <f t="shared" si="1"/>
        <v/>
      </c>
      <c r="AX940" s="83" t="str">
        <f t="array" ref="AX940">IFERROR(DGET('SBV Import'!A:G,"SBV",{"RSC ID","Tier";B940,A940}))</f>
        <v/>
      </c>
      <c r="AY940" s="82" t="str">
        <f t="shared" si="2"/>
        <v/>
      </c>
      <c r="AZ940" s="82"/>
      <c r="BA940" s="84" t="s">
        <v>152</v>
      </c>
      <c r="BB940" s="84" t="str">
        <f>IFERROR(__xludf.DUMMYFUNCTION("iferror(if(A940="""",,E940&gt;=FILTER(Constants!$F$2:$F$10,Constants!$A$2:$A$10=A940)))"),"")</f>
        <v/>
      </c>
    </row>
    <row r="941">
      <c r="A941" s="80"/>
      <c r="B941" s="73"/>
      <c r="C941" s="73"/>
      <c r="D941" s="73"/>
      <c r="E941" s="82"/>
      <c r="F941" s="82"/>
      <c r="G941" s="82"/>
      <c r="H941" s="86"/>
      <c r="I941" s="86"/>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c r="AG941" s="82"/>
      <c r="AH941" s="82"/>
      <c r="AI941" s="82"/>
      <c r="AJ941" s="82"/>
      <c r="AK941" s="82"/>
      <c r="AL941" s="82"/>
      <c r="AM941" s="82"/>
      <c r="AN941" s="82">
        <f>IFERROR(__xludf.DUMMYFUNCTION("""COMPUTED_VALUE"""),0.0)</f>
        <v>0</v>
      </c>
      <c r="AO941" s="82">
        <f>IFERROR(__xludf.DUMMYFUNCTION("""COMPUTED_VALUE"""),0.0)</f>
        <v>0</v>
      </c>
      <c r="AP941" s="82">
        <f>IFERROR(__xludf.DUMMYFUNCTION("""COMPUTED_VALUE"""),0.0)</f>
        <v>0</v>
      </c>
      <c r="AQ941" s="82">
        <f>IFERROR(__xludf.DUMMYFUNCTION("""COMPUTED_VALUE"""),0.0)</f>
        <v>0</v>
      </c>
      <c r="AR941" s="82">
        <f>IFERROR(__xludf.DUMMYFUNCTION("""COMPUTED_VALUE"""),0.0)</f>
        <v>0</v>
      </c>
      <c r="AS941" s="82"/>
      <c r="AT941" s="82">
        <f>IFERROR(__xludf.DUMMYFUNCTION("""COMPUTED_VALUE"""),0.0)</f>
        <v>0</v>
      </c>
      <c r="AU941" s="82"/>
      <c r="AV941" s="82"/>
      <c r="AW941" s="82" t="str">
        <f t="shared" si="1"/>
        <v/>
      </c>
      <c r="AX941" s="83" t="str">
        <f t="array" ref="AX941">IFERROR(DGET('SBV Import'!A:G,"SBV",{"RSC ID","Tier";B941,A941}))</f>
        <v/>
      </c>
      <c r="AY941" s="82" t="str">
        <f t="shared" si="2"/>
        <v/>
      </c>
      <c r="AZ941" s="82"/>
      <c r="BA941" s="84" t="s">
        <v>152</v>
      </c>
      <c r="BB941" s="84" t="str">
        <f>IFERROR(__xludf.DUMMYFUNCTION("iferror(if(A941="""",,E941&gt;=FILTER(Constants!$F$2:$F$10,Constants!$A$2:$A$10=A941)))"),"")</f>
        <v/>
      </c>
    </row>
    <row r="942">
      <c r="A942" s="80"/>
      <c r="B942" s="73"/>
      <c r="C942" s="73"/>
      <c r="D942" s="73"/>
      <c r="E942" s="82"/>
      <c r="F942" s="82"/>
      <c r="G942" s="82"/>
      <c r="H942" s="86"/>
      <c r="I942" s="86"/>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c r="AG942" s="82"/>
      <c r="AH942" s="82"/>
      <c r="AI942" s="82"/>
      <c r="AJ942" s="82"/>
      <c r="AK942" s="82"/>
      <c r="AL942" s="82"/>
      <c r="AM942" s="82"/>
      <c r="AN942" s="82">
        <f>IFERROR(__xludf.DUMMYFUNCTION("""COMPUTED_VALUE"""),0.0)</f>
        <v>0</v>
      </c>
      <c r="AO942" s="82">
        <f>IFERROR(__xludf.DUMMYFUNCTION("""COMPUTED_VALUE"""),0.0)</f>
        <v>0</v>
      </c>
      <c r="AP942" s="82">
        <f>IFERROR(__xludf.DUMMYFUNCTION("""COMPUTED_VALUE"""),0.0)</f>
        <v>0</v>
      </c>
      <c r="AQ942" s="82">
        <f>IFERROR(__xludf.DUMMYFUNCTION("""COMPUTED_VALUE"""),0.0)</f>
        <v>0</v>
      </c>
      <c r="AR942" s="82">
        <f>IFERROR(__xludf.DUMMYFUNCTION("""COMPUTED_VALUE"""),0.0)</f>
        <v>0</v>
      </c>
      <c r="AS942" s="82"/>
      <c r="AT942" s="82">
        <f>IFERROR(__xludf.DUMMYFUNCTION("""COMPUTED_VALUE"""),0.0)</f>
        <v>0</v>
      </c>
      <c r="AU942" s="82"/>
      <c r="AV942" s="82"/>
      <c r="AW942" s="82" t="str">
        <f t="shared" si="1"/>
        <v/>
      </c>
      <c r="AX942" s="83" t="str">
        <f t="array" ref="AX942">IFERROR(DGET('SBV Import'!A:G,"SBV",{"RSC ID","Tier";B942,A942}))</f>
        <v/>
      </c>
      <c r="AY942" s="82" t="str">
        <f t="shared" si="2"/>
        <v/>
      </c>
      <c r="AZ942" s="82"/>
      <c r="BA942" s="84" t="s">
        <v>152</v>
      </c>
      <c r="BB942" s="84" t="str">
        <f>IFERROR(__xludf.DUMMYFUNCTION("iferror(if(A942="""",,E942&gt;=FILTER(Constants!$F$2:$F$10,Constants!$A$2:$A$10=A942)))"),"")</f>
        <v/>
      </c>
    </row>
    <row r="943">
      <c r="A943" s="80"/>
      <c r="B943" s="73"/>
      <c r="C943" s="73"/>
      <c r="D943" s="73"/>
      <c r="E943" s="82"/>
      <c r="F943" s="82"/>
      <c r="G943" s="82"/>
      <c r="H943" s="86"/>
      <c r="I943" s="86"/>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c r="AG943" s="82"/>
      <c r="AH943" s="82"/>
      <c r="AI943" s="82"/>
      <c r="AJ943" s="82"/>
      <c r="AK943" s="82"/>
      <c r="AL943" s="82"/>
      <c r="AM943" s="82"/>
      <c r="AN943" s="82">
        <f>IFERROR(__xludf.DUMMYFUNCTION("""COMPUTED_VALUE"""),0.0)</f>
        <v>0</v>
      </c>
      <c r="AO943" s="82">
        <f>IFERROR(__xludf.DUMMYFUNCTION("""COMPUTED_VALUE"""),0.0)</f>
        <v>0</v>
      </c>
      <c r="AP943" s="82">
        <f>IFERROR(__xludf.DUMMYFUNCTION("""COMPUTED_VALUE"""),0.0)</f>
        <v>0</v>
      </c>
      <c r="AQ943" s="82">
        <f>IFERROR(__xludf.DUMMYFUNCTION("""COMPUTED_VALUE"""),0.0)</f>
        <v>0</v>
      </c>
      <c r="AR943" s="82">
        <f>IFERROR(__xludf.DUMMYFUNCTION("""COMPUTED_VALUE"""),0.0)</f>
        <v>0</v>
      </c>
      <c r="AS943" s="82"/>
      <c r="AT943" s="82">
        <f>IFERROR(__xludf.DUMMYFUNCTION("""COMPUTED_VALUE"""),0.0)</f>
        <v>0</v>
      </c>
      <c r="AU943" s="82"/>
      <c r="AV943" s="82"/>
      <c r="AW943" s="82" t="str">
        <f t="shared" si="1"/>
        <v/>
      </c>
      <c r="AX943" s="83" t="str">
        <f t="array" ref="AX943">IFERROR(DGET('SBV Import'!A:G,"SBV",{"RSC ID","Tier";B943,A943}))</f>
        <v/>
      </c>
      <c r="AY943" s="82" t="str">
        <f t="shared" si="2"/>
        <v/>
      </c>
      <c r="AZ943" s="82"/>
      <c r="BA943" s="84" t="s">
        <v>152</v>
      </c>
      <c r="BB943" s="84" t="str">
        <f>IFERROR(__xludf.DUMMYFUNCTION("iferror(if(A943="""",,E943&gt;=FILTER(Constants!$F$2:$F$10,Constants!$A$2:$A$10=A943)))"),"")</f>
        <v/>
      </c>
    </row>
    <row r="944">
      <c r="A944" s="80"/>
      <c r="B944" s="73"/>
      <c r="C944" s="73"/>
      <c r="D944" s="73"/>
      <c r="E944" s="82"/>
      <c r="F944" s="82"/>
      <c r="G944" s="82"/>
      <c r="H944" s="86"/>
      <c r="I944" s="86"/>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82"/>
      <c r="AI944" s="82"/>
      <c r="AJ944" s="82"/>
      <c r="AK944" s="82"/>
      <c r="AL944" s="82"/>
      <c r="AM944" s="82"/>
      <c r="AN944" s="82">
        <f>IFERROR(__xludf.DUMMYFUNCTION("""COMPUTED_VALUE"""),0.0)</f>
        <v>0</v>
      </c>
      <c r="AO944" s="82">
        <f>IFERROR(__xludf.DUMMYFUNCTION("""COMPUTED_VALUE"""),0.0)</f>
        <v>0</v>
      </c>
      <c r="AP944" s="82">
        <f>IFERROR(__xludf.DUMMYFUNCTION("""COMPUTED_VALUE"""),0.0)</f>
        <v>0</v>
      </c>
      <c r="AQ944" s="82">
        <f>IFERROR(__xludf.DUMMYFUNCTION("""COMPUTED_VALUE"""),0.0)</f>
        <v>0</v>
      </c>
      <c r="AR944" s="82">
        <f>IFERROR(__xludf.DUMMYFUNCTION("""COMPUTED_VALUE"""),0.0)</f>
        <v>0</v>
      </c>
      <c r="AS944" s="82"/>
      <c r="AT944" s="82">
        <f>IFERROR(__xludf.DUMMYFUNCTION("""COMPUTED_VALUE"""),0.0)</f>
        <v>0</v>
      </c>
      <c r="AU944" s="82"/>
      <c r="AV944" s="82"/>
      <c r="AW944" s="82" t="str">
        <f t="shared" si="1"/>
        <v/>
      </c>
      <c r="AX944" s="83" t="str">
        <f t="array" ref="AX944">IFERROR(DGET('SBV Import'!A:G,"SBV",{"RSC ID","Tier";B944,A944}))</f>
        <v/>
      </c>
      <c r="AY944" s="82" t="str">
        <f t="shared" si="2"/>
        <v/>
      </c>
      <c r="AZ944" s="82"/>
      <c r="BA944" s="84" t="s">
        <v>152</v>
      </c>
      <c r="BB944" s="84" t="str">
        <f>IFERROR(__xludf.DUMMYFUNCTION("iferror(if(A944="""",,E944&gt;=FILTER(Constants!$F$2:$F$10,Constants!$A$2:$A$10=A944)))"),"")</f>
        <v/>
      </c>
    </row>
    <row r="945">
      <c r="A945" s="80"/>
      <c r="B945" s="73"/>
      <c r="C945" s="73"/>
      <c r="D945" s="73"/>
      <c r="E945" s="82"/>
      <c r="F945" s="82"/>
      <c r="G945" s="82"/>
      <c r="H945" s="86"/>
      <c r="I945" s="86"/>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c r="AG945" s="82"/>
      <c r="AH945" s="82"/>
      <c r="AI945" s="82"/>
      <c r="AJ945" s="82"/>
      <c r="AK945" s="82"/>
      <c r="AL945" s="82"/>
      <c r="AM945" s="82"/>
      <c r="AN945" s="82">
        <f>IFERROR(__xludf.DUMMYFUNCTION("""COMPUTED_VALUE"""),0.0)</f>
        <v>0</v>
      </c>
      <c r="AO945" s="82">
        <f>IFERROR(__xludf.DUMMYFUNCTION("""COMPUTED_VALUE"""),0.0)</f>
        <v>0</v>
      </c>
      <c r="AP945" s="82">
        <f>IFERROR(__xludf.DUMMYFUNCTION("""COMPUTED_VALUE"""),0.0)</f>
        <v>0</v>
      </c>
      <c r="AQ945" s="82">
        <f>IFERROR(__xludf.DUMMYFUNCTION("""COMPUTED_VALUE"""),0.0)</f>
        <v>0</v>
      </c>
      <c r="AR945" s="82">
        <f>IFERROR(__xludf.DUMMYFUNCTION("""COMPUTED_VALUE"""),0.0)</f>
        <v>0</v>
      </c>
      <c r="AS945" s="82"/>
      <c r="AT945" s="82">
        <f>IFERROR(__xludf.DUMMYFUNCTION("""COMPUTED_VALUE"""),0.0)</f>
        <v>0</v>
      </c>
      <c r="AU945" s="82"/>
      <c r="AV945" s="82"/>
      <c r="AW945" s="82" t="str">
        <f t="shared" si="1"/>
        <v/>
      </c>
      <c r="AX945" s="83" t="str">
        <f t="array" ref="AX945">IFERROR(DGET('SBV Import'!A:G,"SBV",{"RSC ID","Tier";B945,A945}))</f>
        <v/>
      </c>
      <c r="AY945" s="82" t="str">
        <f t="shared" si="2"/>
        <v/>
      </c>
      <c r="AZ945" s="82"/>
      <c r="BA945" s="84" t="s">
        <v>152</v>
      </c>
      <c r="BB945" s="84" t="str">
        <f>IFERROR(__xludf.DUMMYFUNCTION("iferror(if(A945="""",,E945&gt;=FILTER(Constants!$F$2:$F$10,Constants!$A$2:$A$10=A945)))"),"")</f>
        <v/>
      </c>
    </row>
    <row r="946">
      <c r="A946" s="80"/>
      <c r="B946" s="73"/>
      <c r="C946" s="73"/>
      <c r="D946" s="73"/>
      <c r="E946" s="82"/>
      <c r="F946" s="82"/>
      <c r="G946" s="82"/>
      <c r="H946" s="86"/>
      <c r="I946" s="86"/>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c r="AG946" s="82"/>
      <c r="AH946" s="82"/>
      <c r="AI946" s="82"/>
      <c r="AJ946" s="82"/>
      <c r="AK946" s="82"/>
      <c r="AL946" s="82"/>
      <c r="AM946" s="82"/>
      <c r="AN946" s="82">
        <f>IFERROR(__xludf.DUMMYFUNCTION("""COMPUTED_VALUE"""),0.0)</f>
        <v>0</v>
      </c>
      <c r="AO946" s="82">
        <f>IFERROR(__xludf.DUMMYFUNCTION("""COMPUTED_VALUE"""),0.0)</f>
        <v>0</v>
      </c>
      <c r="AP946" s="82">
        <f>IFERROR(__xludf.DUMMYFUNCTION("""COMPUTED_VALUE"""),0.0)</f>
        <v>0</v>
      </c>
      <c r="AQ946" s="82">
        <f>IFERROR(__xludf.DUMMYFUNCTION("""COMPUTED_VALUE"""),0.0)</f>
        <v>0</v>
      </c>
      <c r="AR946" s="82">
        <f>IFERROR(__xludf.DUMMYFUNCTION("""COMPUTED_VALUE"""),0.0)</f>
        <v>0</v>
      </c>
      <c r="AS946" s="82"/>
      <c r="AT946" s="82">
        <f>IFERROR(__xludf.DUMMYFUNCTION("""COMPUTED_VALUE"""),0.0)</f>
        <v>0</v>
      </c>
      <c r="AU946" s="82"/>
      <c r="AV946" s="82"/>
      <c r="AW946" s="82" t="str">
        <f t="shared" si="1"/>
        <v/>
      </c>
      <c r="AX946" s="83" t="str">
        <f t="array" ref="AX946">IFERROR(DGET('SBV Import'!A:G,"SBV",{"RSC ID","Tier";B946,A946}))</f>
        <v/>
      </c>
      <c r="AY946" s="82" t="str">
        <f t="shared" si="2"/>
        <v/>
      </c>
      <c r="AZ946" s="82"/>
      <c r="BA946" s="84" t="s">
        <v>152</v>
      </c>
      <c r="BB946" s="84" t="str">
        <f>IFERROR(__xludf.DUMMYFUNCTION("iferror(if(A946="""",,E946&gt;=FILTER(Constants!$F$2:$F$10,Constants!$A$2:$A$10=A946)))"),"")</f>
        <v/>
      </c>
    </row>
    <row r="947">
      <c r="A947" s="80"/>
      <c r="B947" s="73"/>
      <c r="C947" s="73"/>
      <c r="D947" s="73"/>
      <c r="E947" s="82"/>
      <c r="F947" s="82"/>
      <c r="G947" s="82"/>
      <c r="H947" s="86"/>
      <c r="I947" s="86"/>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c r="AG947" s="82"/>
      <c r="AH947" s="82"/>
      <c r="AI947" s="82"/>
      <c r="AJ947" s="82"/>
      <c r="AK947" s="82"/>
      <c r="AL947" s="82"/>
      <c r="AM947" s="82"/>
      <c r="AN947" s="82">
        <f>IFERROR(__xludf.DUMMYFUNCTION("""COMPUTED_VALUE"""),0.0)</f>
        <v>0</v>
      </c>
      <c r="AO947" s="82">
        <f>IFERROR(__xludf.DUMMYFUNCTION("""COMPUTED_VALUE"""),0.0)</f>
        <v>0</v>
      </c>
      <c r="AP947" s="82">
        <f>IFERROR(__xludf.DUMMYFUNCTION("""COMPUTED_VALUE"""),0.0)</f>
        <v>0</v>
      </c>
      <c r="AQ947" s="82">
        <f>IFERROR(__xludf.DUMMYFUNCTION("""COMPUTED_VALUE"""),0.0)</f>
        <v>0</v>
      </c>
      <c r="AR947" s="82">
        <f>IFERROR(__xludf.DUMMYFUNCTION("""COMPUTED_VALUE"""),0.0)</f>
        <v>0</v>
      </c>
      <c r="AS947" s="82"/>
      <c r="AT947" s="82">
        <f>IFERROR(__xludf.DUMMYFUNCTION("""COMPUTED_VALUE"""),0.0)</f>
        <v>0</v>
      </c>
      <c r="AU947" s="82"/>
      <c r="AV947" s="82"/>
      <c r="AW947" s="82" t="str">
        <f t="shared" si="1"/>
        <v/>
      </c>
      <c r="AX947" s="83" t="str">
        <f t="array" ref="AX947">IFERROR(DGET('SBV Import'!A:G,"SBV",{"RSC ID","Tier";B947,A947}))</f>
        <v/>
      </c>
      <c r="AY947" s="82" t="str">
        <f t="shared" si="2"/>
        <v/>
      </c>
      <c r="AZ947" s="82"/>
      <c r="BA947" s="84" t="s">
        <v>152</v>
      </c>
      <c r="BB947" s="84" t="str">
        <f>IFERROR(__xludf.DUMMYFUNCTION("iferror(if(A947="""",,E947&gt;=FILTER(Constants!$F$2:$F$10,Constants!$A$2:$A$10=A947)))"),"")</f>
        <v/>
      </c>
    </row>
    <row r="948">
      <c r="A948" s="80"/>
      <c r="B948" s="73"/>
      <c r="C948" s="73"/>
      <c r="D948" s="73"/>
      <c r="E948" s="82"/>
      <c r="F948" s="82"/>
      <c r="G948" s="82"/>
      <c r="H948" s="86"/>
      <c r="I948" s="86"/>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c r="AG948" s="82"/>
      <c r="AH948" s="82"/>
      <c r="AI948" s="82"/>
      <c r="AJ948" s="82"/>
      <c r="AK948" s="82"/>
      <c r="AL948" s="82"/>
      <c r="AM948" s="82"/>
      <c r="AN948" s="82">
        <f>IFERROR(__xludf.DUMMYFUNCTION("""COMPUTED_VALUE"""),0.0)</f>
        <v>0</v>
      </c>
      <c r="AO948" s="82">
        <f>IFERROR(__xludf.DUMMYFUNCTION("""COMPUTED_VALUE"""),0.0)</f>
        <v>0</v>
      </c>
      <c r="AP948" s="82">
        <f>IFERROR(__xludf.DUMMYFUNCTION("""COMPUTED_VALUE"""),0.0)</f>
        <v>0</v>
      </c>
      <c r="AQ948" s="82">
        <f>IFERROR(__xludf.DUMMYFUNCTION("""COMPUTED_VALUE"""),0.0)</f>
        <v>0</v>
      </c>
      <c r="AR948" s="82">
        <f>IFERROR(__xludf.DUMMYFUNCTION("""COMPUTED_VALUE"""),0.0)</f>
        <v>0</v>
      </c>
      <c r="AS948" s="82"/>
      <c r="AT948" s="82">
        <f>IFERROR(__xludf.DUMMYFUNCTION("""COMPUTED_VALUE"""),0.0)</f>
        <v>0</v>
      </c>
      <c r="AU948" s="82"/>
      <c r="AV948" s="82"/>
      <c r="AW948" s="82" t="str">
        <f t="shared" si="1"/>
        <v/>
      </c>
      <c r="AX948" s="83" t="str">
        <f t="array" ref="AX948">IFERROR(DGET('SBV Import'!A:G,"SBV",{"RSC ID","Tier";B948,A948}))</f>
        <v/>
      </c>
      <c r="AY948" s="82" t="str">
        <f t="shared" si="2"/>
        <v/>
      </c>
      <c r="AZ948" s="82"/>
      <c r="BA948" s="84" t="s">
        <v>152</v>
      </c>
      <c r="BB948" s="84" t="str">
        <f>IFERROR(__xludf.DUMMYFUNCTION("iferror(if(A948="""",,E948&gt;=FILTER(Constants!$F$2:$F$10,Constants!$A$2:$A$10=A948)))"),"")</f>
        <v/>
      </c>
    </row>
    <row r="949">
      <c r="A949" s="80"/>
      <c r="B949" s="73"/>
      <c r="C949" s="73"/>
      <c r="D949" s="73"/>
      <c r="E949" s="82"/>
      <c r="F949" s="82"/>
      <c r="G949" s="82"/>
      <c r="H949" s="86"/>
      <c r="I949" s="86"/>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c r="AG949" s="82"/>
      <c r="AH949" s="82"/>
      <c r="AI949" s="82"/>
      <c r="AJ949" s="82"/>
      <c r="AK949" s="82"/>
      <c r="AL949" s="82"/>
      <c r="AM949" s="82"/>
      <c r="AN949" s="82">
        <f>IFERROR(__xludf.DUMMYFUNCTION("""COMPUTED_VALUE"""),0.0)</f>
        <v>0</v>
      </c>
      <c r="AO949" s="82">
        <f>IFERROR(__xludf.DUMMYFUNCTION("""COMPUTED_VALUE"""),0.0)</f>
        <v>0</v>
      </c>
      <c r="AP949" s="82">
        <f>IFERROR(__xludf.DUMMYFUNCTION("""COMPUTED_VALUE"""),0.0)</f>
        <v>0</v>
      </c>
      <c r="AQ949" s="82">
        <f>IFERROR(__xludf.DUMMYFUNCTION("""COMPUTED_VALUE"""),0.0)</f>
        <v>0</v>
      </c>
      <c r="AR949" s="82">
        <f>IFERROR(__xludf.DUMMYFUNCTION("""COMPUTED_VALUE"""),0.0)</f>
        <v>0</v>
      </c>
      <c r="AS949" s="82"/>
      <c r="AT949" s="82">
        <f>IFERROR(__xludf.DUMMYFUNCTION("""COMPUTED_VALUE"""),0.0)</f>
        <v>0</v>
      </c>
      <c r="AU949" s="82"/>
      <c r="AV949" s="82"/>
      <c r="AW949" s="82" t="str">
        <f t="shared" si="1"/>
        <v/>
      </c>
      <c r="AX949" s="83" t="str">
        <f t="array" ref="AX949">IFERROR(DGET('SBV Import'!A:G,"SBV",{"RSC ID","Tier";B949,A949}))</f>
        <v/>
      </c>
      <c r="AY949" s="82" t="str">
        <f t="shared" si="2"/>
        <v/>
      </c>
      <c r="AZ949" s="82"/>
      <c r="BA949" s="84" t="s">
        <v>152</v>
      </c>
      <c r="BB949" s="84" t="str">
        <f>IFERROR(__xludf.DUMMYFUNCTION("iferror(if(A949="""",,E949&gt;=FILTER(Constants!$F$2:$F$10,Constants!$A$2:$A$10=A949)))"),"")</f>
        <v/>
      </c>
    </row>
    <row r="950">
      <c r="A950" s="80"/>
      <c r="B950" s="73"/>
      <c r="C950" s="73"/>
      <c r="D950" s="73"/>
      <c r="E950" s="82"/>
      <c r="F950" s="82"/>
      <c r="G950" s="82"/>
      <c r="H950" s="86"/>
      <c r="I950" s="86"/>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c r="AG950" s="82"/>
      <c r="AH950" s="82"/>
      <c r="AI950" s="82"/>
      <c r="AJ950" s="82"/>
      <c r="AK950" s="82"/>
      <c r="AL950" s="82"/>
      <c r="AM950" s="82"/>
      <c r="AN950" s="82">
        <f>IFERROR(__xludf.DUMMYFUNCTION("""COMPUTED_VALUE"""),0.0)</f>
        <v>0</v>
      </c>
      <c r="AO950" s="82">
        <f>IFERROR(__xludf.DUMMYFUNCTION("""COMPUTED_VALUE"""),0.0)</f>
        <v>0</v>
      </c>
      <c r="AP950" s="82">
        <f>IFERROR(__xludf.DUMMYFUNCTION("""COMPUTED_VALUE"""),0.0)</f>
        <v>0</v>
      </c>
      <c r="AQ950" s="82">
        <f>IFERROR(__xludf.DUMMYFUNCTION("""COMPUTED_VALUE"""),0.0)</f>
        <v>0</v>
      </c>
      <c r="AR950" s="82">
        <f>IFERROR(__xludf.DUMMYFUNCTION("""COMPUTED_VALUE"""),0.0)</f>
        <v>0</v>
      </c>
      <c r="AS950" s="82"/>
      <c r="AT950" s="82">
        <f>IFERROR(__xludf.DUMMYFUNCTION("""COMPUTED_VALUE"""),0.0)</f>
        <v>0</v>
      </c>
      <c r="AU950" s="82"/>
      <c r="AV950" s="82"/>
      <c r="AW950" s="82" t="str">
        <f t="shared" si="1"/>
        <v/>
      </c>
      <c r="AX950" s="83" t="str">
        <f t="array" ref="AX950">IFERROR(DGET('SBV Import'!A:G,"SBV",{"RSC ID","Tier";B950,A950}))</f>
        <v/>
      </c>
      <c r="AY950" s="82" t="str">
        <f t="shared" si="2"/>
        <v/>
      </c>
      <c r="AZ950" s="82"/>
      <c r="BA950" s="84" t="s">
        <v>152</v>
      </c>
      <c r="BB950" s="84" t="str">
        <f>IFERROR(__xludf.DUMMYFUNCTION("iferror(if(A950="""",,E950&gt;=FILTER(Constants!$F$2:$F$10,Constants!$A$2:$A$10=A950)))"),"")</f>
        <v/>
      </c>
    </row>
    <row r="951">
      <c r="A951" s="80"/>
      <c r="B951" s="73"/>
      <c r="C951" s="73"/>
      <c r="D951" s="73"/>
      <c r="E951" s="82"/>
      <c r="F951" s="82"/>
      <c r="G951" s="82"/>
      <c r="H951" s="86"/>
      <c r="I951" s="86"/>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c r="AG951" s="82"/>
      <c r="AH951" s="82"/>
      <c r="AI951" s="82"/>
      <c r="AJ951" s="82"/>
      <c r="AK951" s="82"/>
      <c r="AL951" s="82"/>
      <c r="AM951" s="82"/>
      <c r="AN951" s="82">
        <f>IFERROR(__xludf.DUMMYFUNCTION("""COMPUTED_VALUE"""),0.0)</f>
        <v>0</v>
      </c>
      <c r="AO951" s="82">
        <f>IFERROR(__xludf.DUMMYFUNCTION("""COMPUTED_VALUE"""),0.0)</f>
        <v>0</v>
      </c>
      <c r="AP951" s="82">
        <f>IFERROR(__xludf.DUMMYFUNCTION("""COMPUTED_VALUE"""),0.0)</f>
        <v>0</v>
      </c>
      <c r="AQ951" s="82">
        <f>IFERROR(__xludf.DUMMYFUNCTION("""COMPUTED_VALUE"""),0.0)</f>
        <v>0</v>
      </c>
      <c r="AR951" s="82">
        <f>IFERROR(__xludf.DUMMYFUNCTION("""COMPUTED_VALUE"""),0.0)</f>
        <v>0</v>
      </c>
      <c r="AS951" s="82"/>
      <c r="AT951" s="82">
        <f>IFERROR(__xludf.DUMMYFUNCTION("""COMPUTED_VALUE"""),0.0)</f>
        <v>0</v>
      </c>
      <c r="AU951" s="82"/>
      <c r="AV951" s="82"/>
      <c r="AW951" s="82" t="str">
        <f t="shared" si="1"/>
        <v/>
      </c>
      <c r="AX951" s="83" t="str">
        <f t="array" ref="AX951">IFERROR(DGET('SBV Import'!A:G,"SBV",{"RSC ID","Tier";B951,A951}))</f>
        <v/>
      </c>
      <c r="AY951" s="82" t="str">
        <f t="shared" si="2"/>
        <v/>
      </c>
      <c r="AZ951" s="82"/>
      <c r="BA951" s="84" t="s">
        <v>152</v>
      </c>
      <c r="BB951" s="84" t="str">
        <f>IFERROR(__xludf.DUMMYFUNCTION("iferror(if(A951="""",,E951&gt;=FILTER(Constants!$F$2:$F$10,Constants!$A$2:$A$10=A951)))"),"")</f>
        <v/>
      </c>
    </row>
    <row r="952">
      <c r="A952" s="80"/>
      <c r="B952" s="73"/>
      <c r="C952" s="73"/>
      <c r="D952" s="73"/>
      <c r="E952" s="82"/>
      <c r="F952" s="82"/>
      <c r="G952" s="82"/>
      <c r="H952" s="86"/>
      <c r="I952" s="86"/>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c r="AG952" s="82"/>
      <c r="AH952" s="82"/>
      <c r="AI952" s="82"/>
      <c r="AJ952" s="82"/>
      <c r="AK952" s="82"/>
      <c r="AL952" s="82"/>
      <c r="AM952" s="82"/>
      <c r="AN952" s="82">
        <f>IFERROR(__xludf.DUMMYFUNCTION("""COMPUTED_VALUE"""),0.0)</f>
        <v>0</v>
      </c>
      <c r="AO952" s="82">
        <f>IFERROR(__xludf.DUMMYFUNCTION("""COMPUTED_VALUE"""),0.0)</f>
        <v>0</v>
      </c>
      <c r="AP952" s="82">
        <f>IFERROR(__xludf.DUMMYFUNCTION("""COMPUTED_VALUE"""),0.0)</f>
        <v>0</v>
      </c>
      <c r="AQ952" s="82">
        <f>IFERROR(__xludf.DUMMYFUNCTION("""COMPUTED_VALUE"""),0.0)</f>
        <v>0</v>
      </c>
      <c r="AR952" s="82">
        <f>IFERROR(__xludf.DUMMYFUNCTION("""COMPUTED_VALUE"""),0.0)</f>
        <v>0</v>
      </c>
      <c r="AS952" s="82"/>
      <c r="AT952" s="82">
        <f>IFERROR(__xludf.DUMMYFUNCTION("""COMPUTED_VALUE"""),0.0)</f>
        <v>0</v>
      </c>
      <c r="AU952" s="82"/>
      <c r="AV952" s="82"/>
      <c r="AW952" s="82" t="str">
        <f t="shared" si="1"/>
        <v/>
      </c>
      <c r="AX952" s="83" t="str">
        <f t="array" ref="AX952">IFERROR(DGET('SBV Import'!A:G,"SBV",{"RSC ID","Tier";B952,A952}))</f>
        <v/>
      </c>
      <c r="AY952" s="82" t="str">
        <f t="shared" si="2"/>
        <v/>
      </c>
      <c r="AZ952" s="82"/>
      <c r="BA952" s="84" t="s">
        <v>152</v>
      </c>
      <c r="BB952" s="84" t="str">
        <f>IFERROR(__xludf.DUMMYFUNCTION("iferror(if(A952="""",,E952&gt;=FILTER(Constants!$F$2:$F$10,Constants!$A$2:$A$10=A952)))"),"")</f>
        <v/>
      </c>
    </row>
    <row r="953">
      <c r="A953" s="80"/>
      <c r="B953" s="73"/>
      <c r="C953" s="73"/>
      <c r="D953" s="73"/>
      <c r="E953" s="82"/>
      <c r="F953" s="82"/>
      <c r="G953" s="82"/>
      <c r="H953" s="86"/>
      <c r="I953" s="86"/>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c r="AG953" s="82"/>
      <c r="AH953" s="82"/>
      <c r="AI953" s="82"/>
      <c r="AJ953" s="82"/>
      <c r="AK953" s="82"/>
      <c r="AL953" s="82"/>
      <c r="AM953" s="82"/>
      <c r="AN953" s="82">
        <f>IFERROR(__xludf.DUMMYFUNCTION("""COMPUTED_VALUE"""),0.0)</f>
        <v>0</v>
      </c>
      <c r="AO953" s="82">
        <f>IFERROR(__xludf.DUMMYFUNCTION("""COMPUTED_VALUE"""),0.0)</f>
        <v>0</v>
      </c>
      <c r="AP953" s="82">
        <f>IFERROR(__xludf.DUMMYFUNCTION("""COMPUTED_VALUE"""),0.0)</f>
        <v>0</v>
      </c>
      <c r="AQ953" s="82">
        <f>IFERROR(__xludf.DUMMYFUNCTION("""COMPUTED_VALUE"""),0.0)</f>
        <v>0</v>
      </c>
      <c r="AR953" s="82">
        <f>IFERROR(__xludf.DUMMYFUNCTION("""COMPUTED_VALUE"""),0.0)</f>
        <v>0</v>
      </c>
      <c r="AS953" s="82"/>
      <c r="AT953" s="82">
        <f>IFERROR(__xludf.DUMMYFUNCTION("""COMPUTED_VALUE"""),0.0)</f>
        <v>0</v>
      </c>
      <c r="AU953" s="82"/>
      <c r="AV953" s="82"/>
      <c r="AW953" s="82" t="str">
        <f t="shared" si="1"/>
        <v/>
      </c>
      <c r="AX953" s="83" t="str">
        <f t="array" ref="AX953">IFERROR(DGET('SBV Import'!A:G,"SBV",{"RSC ID","Tier";B953,A953}))</f>
        <v/>
      </c>
      <c r="AY953" s="82" t="str">
        <f t="shared" si="2"/>
        <v/>
      </c>
      <c r="AZ953" s="82"/>
      <c r="BA953" s="84" t="s">
        <v>152</v>
      </c>
      <c r="BB953" s="84" t="str">
        <f>IFERROR(__xludf.DUMMYFUNCTION("iferror(if(A953="""",,E953&gt;=FILTER(Constants!$F$2:$F$10,Constants!$A$2:$A$10=A953)))"),"")</f>
        <v/>
      </c>
    </row>
    <row r="954">
      <c r="A954" s="80"/>
      <c r="B954" s="73"/>
      <c r="C954" s="73"/>
      <c r="D954" s="73"/>
      <c r="E954" s="82"/>
      <c r="F954" s="82"/>
      <c r="G954" s="82"/>
      <c r="H954" s="86"/>
      <c r="I954" s="86"/>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c r="AG954" s="82"/>
      <c r="AH954" s="82"/>
      <c r="AI954" s="82"/>
      <c r="AJ954" s="82"/>
      <c r="AK954" s="82"/>
      <c r="AL954" s="82"/>
      <c r="AM954" s="82"/>
      <c r="AN954" s="82">
        <f>IFERROR(__xludf.DUMMYFUNCTION("""COMPUTED_VALUE"""),0.0)</f>
        <v>0</v>
      </c>
      <c r="AO954" s="82">
        <f>IFERROR(__xludf.DUMMYFUNCTION("""COMPUTED_VALUE"""),0.0)</f>
        <v>0</v>
      </c>
      <c r="AP954" s="82">
        <f>IFERROR(__xludf.DUMMYFUNCTION("""COMPUTED_VALUE"""),0.0)</f>
        <v>0</v>
      </c>
      <c r="AQ954" s="82">
        <f>IFERROR(__xludf.DUMMYFUNCTION("""COMPUTED_VALUE"""),0.0)</f>
        <v>0</v>
      </c>
      <c r="AR954" s="82">
        <f>IFERROR(__xludf.DUMMYFUNCTION("""COMPUTED_VALUE"""),0.0)</f>
        <v>0</v>
      </c>
      <c r="AS954" s="82"/>
      <c r="AT954" s="82">
        <f>IFERROR(__xludf.DUMMYFUNCTION("""COMPUTED_VALUE"""),0.0)</f>
        <v>0</v>
      </c>
      <c r="AU954" s="82"/>
      <c r="AV954" s="82"/>
      <c r="AW954" s="82" t="str">
        <f t="shared" si="1"/>
        <v/>
      </c>
      <c r="AX954" s="83" t="str">
        <f t="array" ref="AX954">IFERROR(DGET('SBV Import'!A:G,"SBV",{"RSC ID","Tier";B954,A954}))</f>
        <v/>
      </c>
      <c r="AY954" s="82" t="str">
        <f t="shared" si="2"/>
        <v/>
      </c>
      <c r="AZ954" s="82"/>
      <c r="BA954" s="84" t="s">
        <v>152</v>
      </c>
      <c r="BB954" s="84" t="str">
        <f>IFERROR(__xludf.DUMMYFUNCTION("iferror(if(A954="""",,E954&gt;=FILTER(Constants!$F$2:$F$10,Constants!$A$2:$A$10=A954)))"),"")</f>
        <v/>
      </c>
    </row>
    <row r="955">
      <c r="A955" s="80"/>
      <c r="B955" s="73"/>
      <c r="C955" s="73"/>
      <c r="D955" s="73"/>
      <c r="E955" s="82"/>
      <c r="F955" s="82"/>
      <c r="G955" s="82"/>
      <c r="H955" s="86"/>
      <c r="I955" s="86"/>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c r="AG955" s="82"/>
      <c r="AH955" s="82"/>
      <c r="AI955" s="82"/>
      <c r="AJ955" s="82"/>
      <c r="AK955" s="82"/>
      <c r="AL955" s="82"/>
      <c r="AM955" s="82"/>
      <c r="AN955" s="82">
        <f>IFERROR(__xludf.DUMMYFUNCTION("""COMPUTED_VALUE"""),0.0)</f>
        <v>0</v>
      </c>
      <c r="AO955" s="82">
        <f>IFERROR(__xludf.DUMMYFUNCTION("""COMPUTED_VALUE"""),0.0)</f>
        <v>0</v>
      </c>
      <c r="AP955" s="82">
        <f>IFERROR(__xludf.DUMMYFUNCTION("""COMPUTED_VALUE"""),0.0)</f>
        <v>0</v>
      </c>
      <c r="AQ955" s="82">
        <f>IFERROR(__xludf.DUMMYFUNCTION("""COMPUTED_VALUE"""),0.0)</f>
        <v>0</v>
      </c>
      <c r="AR955" s="82">
        <f>IFERROR(__xludf.DUMMYFUNCTION("""COMPUTED_VALUE"""),0.0)</f>
        <v>0</v>
      </c>
      <c r="AS955" s="82"/>
      <c r="AT955" s="82">
        <f>IFERROR(__xludf.DUMMYFUNCTION("""COMPUTED_VALUE"""),0.0)</f>
        <v>0</v>
      </c>
      <c r="AU955" s="82"/>
      <c r="AV955" s="82"/>
      <c r="AW955" s="82" t="str">
        <f t="shared" si="1"/>
        <v/>
      </c>
      <c r="AX955" s="83" t="str">
        <f t="array" ref="AX955">IFERROR(DGET('SBV Import'!A:G,"SBV",{"RSC ID","Tier";B955,A955}))</f>
        <v/>
      </c>
      <c r="AY955" s="82" t="str">
        <f t="shared" si="2"/>
        <v/>
      </c>
      <c r="AZ955" s="82"/>
      <c r="BA955" s="84" t="s">
        <v>152</v>
      </c>
      <c r="BB955" s="84" t="str">
        <f>IFERROR(__xludf.DUMMYFUNCTION("iferror(if(A955="""",,E955&gt;=FILTER(Constants!$F$2:$F$10,Constants!$A$2:$A$10=A955)))"),"")</f>
        <v/>
      </c>
    </row>
    <row r="956">
      <c r="A956" s="80"/>
      <c r="B956" s="73"/>
      <c r="C956" s="73"/>
      <c r="D956" s="73"/>
      <c r="E956" s="82"/>
      <c r="F956" s="82"/>
      <c r="G956" s="82"/>
      <c r="H956" s="86"/>
      <c r="I956" s="86"/>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c r="AG956" s="82"/>
      <c r="AH956" s="82"/>
      <c r="AI956" s="82"/>
      <c r="AJ956" s="82"/>
      <c r="AK956" s="82"/>
      <c r="AL956" s="82"/>
      <c r="AM956" s="82"/>
      <c r="AN956" s="82">
        <f>IFERROR(__xludf.DUMMYFUNCTION("""COMPUTED_VALUE"""),0.0)</f>
        <v>0</v>
      </c>
      <c r="AO956" s="82">
        <f>IFERROR(__xludf.DUMMYFUNCTION("""COMPUTED_VALUE"""),0.0)</f>
        <v>0</v>
      </c>
      <c r="AP956" s="82">
        <f>IFERROR(__xludf.DUMMYFUNCTION("""COMPUTED_VALUE"""),0.0)</f>
        <v>0</v>
      </c>
      <c r="AQ956" s="82">
        <f>IFERROR(__xludf.DUMMYFUNCTION("""COMPUTED_VALUE"""),0.0)</f>
        <v>0</v>
      </c>
      <c r="AR956" s="82">
        <f>IFERROR(__xludf.DUMMYFUNCTION("""COMPUTED_VALUE"""),0.0)</f>
        <v>0</v>
      </c>
      <c r="AS956" s="82"/>
      <c r="AT956" s="82">
        <f>IFERROR(__xludf.DUMMYFUNCTION("""COMPUTED_VALUE"""),0.0)</f>
        <v>0</v>
      </c>
      <c r="AU956" s="82"/>
      <c r="AV956" s="82"/>
      <c r="AW956" s="82" t="str">
        <f t="shared" si="1"/>
        <v/>
      </c>
      <c r="AX956" s="83" t="str">
        <f t="array" ref="AX956">IFERROR(DGET('SBV Import'!A:G,"SBV",{"RSC ID","Tier";B956,A956}))</f>
        <v/>
      </c>
      <c r="AY956" s="82" t="str">
        <f t="shared" si="2"/>
        <v/>
      </c>
      <c r="AZ956" s="82"/>
      <c r="BA956" s="84" t="s">
        <v>152</v>
      </c>
      <c r="BB956" s="84" t="str">
        <f>IFERROR(__xludf.DUMMYFUNCTION("iferror(if(A956="""",,E956&gt;=FILTER(Constants!$F$2:$F$10,Constants!$A$2:$A$10=A956)))"),"")</f>
        <v/>
      </c>
    </row>
    <row r="957">
      <c r="A957" s="80"/>
      <c r="B957" s="73"/>
      <c r="C957" s="73"/>
      <c r="D957" s="73"/>
      <c r="E957" s="82"/>
      <c r="F957" s="82"/>
      <c r="G957" s="82"/>
      <c r="H957" s="86"/>
      <c r="I957" s="86"/>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c r="AG957" s="82"/>
      <c r="AH957" s="82"/>
      <c r="AI957" s="82"/>
      <c r="AJ957" s="82"/>
      <c r="AK957" s="82"/>
      <c r="AL957" s="82"/>
      <c r="AM957" s="82"/>
      <c r="AN957" s="82">
        <f>IFERROR(__xludf.DUMMYFUNCTION("""COMPUTED_VALUE"""),0.0)</f>
        <v>0</v>
      </c>
      <c r="AO957" s="82">
        <f>IFERROR(__xludf.DUMMYFUNCTION("""COMPUTED_VALUE"""),0.0)</f>
        <v>0</v>
      </c>
      <c r="AP957" s="82">
        <f>IFERROR(__xludf.DUMMYFUNCTION("""COMPUTED_VALUE"""),0.0)</f>
        <v>0</v>
      </c>
      <c r="AQ957" s="82">
        <f>IFERROR(__xludf.DUMMYFUNCTION("""COMPUTED_VALUE"""),0.0)</f>
        <v>0</v>
      </c>
      <c r="AR957" s="82">
        <f>IFERROR(__xludf.DUMMYFUNCTION("""COMPUTED_VALUE"""),0.0)</f>
        <v>0</v>
      </c>
      <c r="AS957" s="82"/>
      <c r="AT957" s="82">
        <f>IFERROR(__xludf.DUMMYFUNCTION("""COMPUTED_VALUE"""),0.0)</f>
        <v>0</v>
      </c>
      <c r="AU957" s="82"/>
      <c r="AV957" s="82"/>
      <c r="AW957" s="82" t="str">
        <f t="shared" si="1"/>
        <v/>
      </c>
      <c r="AX957" s="83" t="str">
        <f t="array" ref="AX957">IFERROR(DGET('SBV Import'!A:G,"SBV",{"RSC ID","Tier";B957,A957}))</f>
        <v/>
      </c>
      <c r="AY957" s="82" t="str">
        <f t="shared" si="2"/>
        <v/>
      </c>
      <c r="AZ957" s="82"/>
      <c r="BA957" s="84" t="s">
        <v>152</v>
      </c>
      <c r="BB957" s="84" t="str">
        <f>IFERROR(__xludf.DUMMYFUNCTION("iferror(if(A957="""",,E957&gt;=FILTER(Constants!$F$2:$F$10,Constants!$A$2:$A$10=A957)))"),"")</f>
        <v/>
      </c>
    </row>
    <row r="958">
      <c r="A958" s="80"/>
      <c r="B958" s="73"/>
      <c r="C958" s="73"/>
      <c r="D958" s="73"/>
      <c r="E958" s="82"/>
      <c r="F958" s="82"/>
      <c r="G958" s="82"/>
      <c r="H958" s="86"/>
      <c r="I958" s="86"/>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c r="AG958" s="82"/>
      <c r="AH958" s="82"/>
      <c r="AI958" s="82"/>
      <c r="AJ958" s="82"/>
      <c r="AK958" s="82"/>
      <c r="AL958" s="82"/>
      <c r="AM958" s="82"/>
      <c r="AN958" s="82">
        <f>IFERROR(__xludf.DUMMYFUNCTION("""COMPUTED_VALUE"""),0.0)</f>
        <v>0</v>
      </c>
      <c r="AO958" s="82">
        <f>IFERROR(__xludf.DUMMYFUNCTION("""COMPUTED_VALUE"""),0.0)</f>
        <v>0</v>
      </c>
      <c r="AP958" s="82">
        <f>IFERROR(__xludf.DUMMYFUNCTION("""COMPUTED_VALUE"""),0.0)</f>
        <v>0</v>
      </c>
      <c r="AQ958" s="82">
        <f>IFERROR(__xludf.DUMMYFUNCTION("""COMPUTED_VALUE"""),0.0)</f>
        <v>0</v>
      </c>
      <c r="AR958" s="82">
        <f>IFERROR(__xludf.DUMMYFUNCTION("""COMPUTED_VALUE"""),0.0)</f>
        <v>0</v>
      </c>
      <c r="AS958" s="82"/>
      <c r="AT958" s="82">
        <f>IFERROR(__xludf.DUMMYFUNCTION("""COMPUTED_VALUE"""),0.0)</f>
        <v>0</v>
      </c>
      <c r="AU958" s="82"/>
      <c r="AV958" s="82"/>
      <c r="AW958" s="82" t="str">
        <f t="shared" si="1"/>
        <v/>
      </c>
      <c r="AX958" s="83" t="str">
        <f t="array" ref="AX958">IFERROR(DGET('SBV Import'!A:G,"SBV",{"RSC ID","Tier";B958,A958}))</f>
        <v/>
      </c>
      <c r="AY958" s="82" t="str">
        <f t="shared" si="2"/>
        <v/>
      </c>
      <c r="AZ958" s="82"/>
      <c r="BA958" s="84" t="s">
        <v>152</v>
      </c>
      <c r="BB958" s="84" t="str">
        <f>IFERROR(__xludf.DUMMYFUNCTION("iferror(if(A958="""",,E958&gt;=FILTER(Constants!$F$2:$F$10,Constants!$A$2:$A$10=A958)))"),"")</f>
        <v/>
      </c>
    </row>
    <row r="959">
      <c r="A959" s="80"/>
      <c r="B959" s="73"/>
      <c r="C959" s="73"/>
      <c r="D959" s="73"/>
      <c r="E959" s="82"/>
      <c r="F959" s="82"/>
      <c r="G959" s="82"/>
      <c r="H959" s="86"/>
      <c r="I959" s="86"/>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c r="AG959" s="82"/>
      <c r="AH959" s="82"/>
      <c r="AI959" s="82"/>
      <c r="AJ959" s="82"/>
      <c r="AK959" s="82"/>
      <c r="AL959" s="82"/>
      <c r="AM959" s="82"/>
      <c r="AN959" s="82">
        <f>IFERROR(__xludf.DUMMYFUNCTION("""COMPUTED_VALUE"""),0.0)</f>
        <v>0</v>
      </c>
      <c r="AO959" s="82">
        <f>IFERROR(__xludf.DUMMYFUNCTION("""COMPUTED_VALUE"""),0.0)</f>
        <v>0</v>
      </c>
      <c r="AP959" s="82">
        <f>IFERROR(__xludf.DUMMYFUNCTION("""COMPUTED_VALUE"""),0.0)</f>
        <v>0</v>
      </c>
      <c r="AQ959" s="82">
        <f>IFERROR(__xludf.DUMMYFUNCTION("""COMPUTED_VALUE"""),0.0)</f>
        <v>0</v>
      </c>
      <c r="AR959" s="82">
        <f>IFERROR(__xludf.DUMMYFUNCTION("""COMPUTED_VALUE"""),0.0)</f>
        <v>0</v>
      </c>
      <c r="AS959" s="82"/>
      <c r="AT959" s="82">
        <f>IFERROR(__xludf.DUMMYFUNCTION("""COMPUTED_VALUE"""),0.0)</f>
        <v>0</v>
      </c>
      <c r="AU959" s="82"/>
      <c r="AV959" s="82"/>
      <c r="AW959" s="82" t="str">
        <f t="shared" si="1"/>
        <v/>
      </c>
      <c r="AX959" s="83" t="str">
        <f t="array" ref="AX959">IFERROR(DGET('SBV Import'!A:G,"SBV",{"RSC ID","Tier";B959,A959}))</f>
        <v/>
      </c>
      <c r="AY959" s="82" t="str">
        <f t="shared" si="2"/>
        <v/>
      </c>
      <c r="AZ959" s="82"/>
      <c r="BA959" s="84" t="s">
        <v>152</v>
      </c>
      <c r="BB959" s="84" t="str">
        <f>IFERROR(__xludf.DUMMYFUNCTION("iferror(if(A959="""",,E959&gt;=FILTER(Constants!$F$2:$F$10,Constants!$A$2:$A$10=A959)))"),"")</f>
        <v/>
      </c>
    </row>
    <row r="960">
      <c r="A960" s="80"/>
      <c r="B960" s="73"/>
      <c r="C960" s="73"/>
      <c r="D960" s="73"/>
      <c r="E960" s="82"/>
      <c r="F960" s="82"/>
      <c r="G960" s="82"/>
      <c r="H960" s="86"/>
      <c r="I960" s="86"/>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c r="AG960" s="82"/>
      <c r="AH960" s="82"/>
      <c r="AI960" s="82"/>
      <c r="AJ960" s="82"/>
      <c r="AK960" s="82"/>
      <c r="AL960" s="82"/>
      <c r="AM960" s="82"/>
      <c r="AN960" s="82">
        <f>IFERROR(__xludf.DUMMYFUNCTION("""COMPUTED_VALUE"""),0.0)</f>
        <v>0</v>
      </c>
      <c r="AO960" s="82">
        <f>IFERROR(__xludf.DUMMYFUNCTION("""COMPUTED_VALUE"""),0.0)</f>
        <v>0</v>
      </c>
      <c r="AP960" s="82">
        <f>IFERROR(__xludf.DUMMYFUNCTION("""COMPUTED_VALUE"""),0.0)</f>
        <v>0</v>
      </c>
      <c r="AQ960" s="82">
        <f>IFERROR(__xludf.DUMMYFUNCTION("""COMPUTED_VALUE"""),0.0)</f>
        <v>0</v>
      </c>
      <c r="AR960" s="82">
        <f>IFERROR(__xludf.DUMMYFUNCTION("""COMPUTED_VALUE"""),0.0)</f>
        <v>0</v>
      </c>
      <c r="AS960" s="82"/>
      <c r="AT960" s="82">
        <f>IFERROR(__xludf.DUMMYFUNCTION("""COMPUTED_VALUE"""),0.0)</f>
        <v>0</v>
      </c>
      <c r="AU960" s="82"/>
      <c r="AV960" s="82"/>
      <c r="AW960" s="82" t="str">
        <f t="shared" si="1"/>
        <v/>
      </c>
      <c r="AX960" s="83" t="str">
        <f t="array" ref="AX960">IFERROR(DGET('SBV Import'!A:G,"SBV",{"RSC ID","Tier";B960,A960}))</f>
        <v/>
      </c>
      <c r="AY960" s="82" t="str">
        <f t="shared" si="2"/>
        <v/>
      </c>
      <c r="AZ960" s="82"/>
      <c r="BA960" s="84" t="s">
        <v>152</v>
      </c>
      <c r="BB960" s="84" t="str">
        <f>IFERROR(__xludf.DUMMYFUNCTION("iferror(if(A960="""",,E960&gt;=FILTER(Constants!$F$2:$F$10,Constants!$A$2:$A$10=A960)))"),"")</f>
        <v/>
      </c>
    </row>
    <row r="961">
      <c r="A961" s="80"/>
      <c r="B961" s="73"/>
      <c r="C961" s="73"/>
      <c r="D961" s="73"/>
      <c r="E961" s="82"/>
      <c r="F961" s="82"/>
      <c r="G961" s="82"/>
      <c r="H961" s="86"/>
      <c r="I961" s="86"/>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c r="AG961" s="82"/>
      <c r="AH961" s="82"/>
      <c r="AI961" s="82"/>
      <c r="AJ961" s="82"/>
      <c r="AK961" s="82"/>
      <c r="AL961" s="82"/>
      <c r="AM961" s="82"/>
      <c r="AN961" s="82">
        <f>IFERROR(__xludf.DUMMYFUNCTION("""COMPUTED_VALUE"""),0.0)</f>
        <v>0</v>
      </c>
      <c r="AO961" s="82">
        <f>IFERROR(__xludf.DUMMYFUNCTION("""COMPUTED_VALUE"""),0.0)</f>
        <v>0</v>
      </c>
      <c r="AP961" s="82">
        <f>IFERROR(__xludf.DUMMYFUNCTION("""COMPUTED_VALUE"""),0.0)</f>
        <v>0</v>
      </c>
      <c r="AQ961" s="82">
        <f>IFERROR(__xludf.DUMMYFUNCTION("""COMPUTED_VALUE"""),0.0)</f>
        <v>0</v>
      </c>
      <c r="AR961" s="82">
        <f>IFERROR(__xludf.DUMMYFUNCTION("""COMPUTED_VALUE"""),0.0)</f>
        <v>0</v>
      </c>
      <c r="AS961" s="82"/>
      <c r="AT961" s="82">
        <f>IFERROR(__xludf.DUMMYFUNCTION("""COMPUTED_VALUE"""),0.0)</f>
        <v>0</v>
      </c>
      <c r="AU961" s="82"/>
      <c r="AV961" s="82"/>
      <c r="AW961" s="82" t="str">
        <f t="shared" si="1"/>
        <v/>
      </c>
      <c r="AX961" s="83" t="str">
        <f t="array" ref="AX961">IFERROR(DGET('SBV Import'!A:G,"SBV",{"RSC ID","Tier";B961,A961}))</f>
        <v/>
      </c>
      <c r="AY961" s="82" t="str">
        <f t="shared" si="2"/>
        <v/>
      </c>
      <c r="AZ961" s="82"/>
      <c r="BA961" s="84" t="s">
        <v>152</v>
      </c>
      <c r="BB961" s="84" t="str">
        <f>IFERROR(__xludf.DUMMYFUNCTION("iferror(if(A961="""",,E961&gt;=FILTER(Constants!$F$2:$F$10,Constants!$A$2:$A$10=A961)))"),"")</f>
        <v/>
      </c>
    </row>
    <row r="962">
      <c r="A962" s="80"/>
      <c r="B962" s="73"/>
      <c r="C962" s="73"/>
      <c r="D962" s="73"/>
      <c r="E962" s="82"/>
      <c r="F962" s="82"/>
      <c r="G962" s="82"/>
      <c r="H962" s="86"/>
      <c r="I962" s="86"/>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c r="AG962" s="82"/>
      <c r="AH962" s="82"/>
      <c r="AI962" s="82"/>
      <c r="AJ962" s="82"/>
      <c r="AK962" s="82"/>
      <c r="AL962" s="82"/>
      <c r="AM962" s="82"/>
      <c r="AN962" s="82">
        <f>IFERROR(__xludf.DUMMYFUNCTION("""COMPUTED_VALUE"""),0.0)</f>
        <v>0</v>
      </c>
      <c r="AO962" s="82">
        <f>IFERROR(__xludf.DUMMYFUNCTION("""COMPUTED_VALUE"""),0.0)</f>
        <v>0</v>
      </c>
      <c r="AP962" s="82">
        <f>IFERROR(__xludf.DUMMYFUNCTION("""COMPUTED_VALUE"""),0.0)</f>
        <v>0</v>
      </c>
      <c r="AQ962" s="82">
        <f>IFERROR(__xludf.DUMMYFUNCTION("""COMPUTED_VALUE"""),0.0)</f>
        <v>0</v>
      </c>
      <c r="AR962" s="82">
        <f>IFERROR(__xludf.DUMMYFUNCTION("""COMPUTED_VALUE"""),0.0)</f>
        <v>0</v>
      </c>
      <c r="AS962" s="82"/>
      <c r="AT962" s="82">
        <f>IFERROR(__xludf.DUMMYFUNCTION("""COMPUTED_VALUE"""),0.0)</f>
        <v>0</v>
      </c>
      <c r="AU962" s="82"/>
      <c r="AV962" s="82"/>
      <c r="AW962" s="82" t="str">
        <f t="shared" si="1"/>
        <v/>
      </c>
      <c r="AX962" s="83" t="str">
        <f t="array" ref="AX962">IFERROR(DGET('SBV Import'!A:G,"SBV",{"RSC ID","Tier";B962,A962}))</f>
        <v/>
      </c>
      <c r="AY962" s="82" t="str">
        <f t="shared" si="2"/>
        <v/>
      </c>
      <c r="AZ962" s="82"/>
      <c r="BA962" s="84" t="s">
        <v>152</v>
      </c>
      <c r="BB962" s="84" t="str">
        <f>IFERROR(__xludf.DUMMYFUNCTION("iferror(if(A962="""",,E962&gt;=FILTER(Constants!$F$2:$F$10,Constants!$A$2:$A$10=A962)))"),"")</f>
        <v/>
      </c>
    </row>
    <row r="963">
      <c r="A963" s="80"/>
      <c r="B963" s="73"/>
      <c r="C963" s="73"/>
      <c r="D963" s="73"/>
      <c r="E963" s="82"/>
      <c r="F963" s="82"/>
      <c r="G963" s="82"/>
      <c r="H963" s="86"/>
      <c r="I963" s="86"/>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c r="AG963" s="82"/>
      <c r="AH963" s="82"/>
      <c r="AI963" s="82"/>
      <c r="AJ963" s="82"/>
      <c r="AK963" s="82"/>
      <c r="AL963" s="82"/>
      <c r="AM963" s="82"/>
      <c r="AN963" s="82">
        <f>IFERROR(__xludf.DUMMYFUNCTION("""COMPUTED_VALUE"""),0.0)</f>
        <v>0</v>
      </c>
      <c r="AO963" s="82">
        <f>IFERROR(__xludf.DUMMYFUNCTION("""COMPUTED_VALUE"""),0.0)</f>
        <v>0</v>
      </c>
      <c r="AP963" s="82">
        <f>IFERROR(__xludf.DUMMYFUNCTION("""COMPUTED_VALUE"""),0.0)</f>
        <v>0</v>
      </c>
      <c r="AQ963" s="82">
        <f>IFERROR(__xludf.DUMMYFUNCTION("""COMPUTED_VALUE"""),0.0)</f>
        <v>0</v>
      </c>
      <c r="AR963" s="82">
        <f>IFERROR(__xludf.DUMMYFUNCTION("""COMPUTED_VALUE"""),0.0)</f>
        <v>0</v>
      </c>
      <c r="AS963" s="82"/>
      <c r="AT963" s="82">
        <f>IFERROR(__xludf.DUMMYFUNCTION("""COMPUTED_VALUE"""),0.0)</f>
        <v>0</v>
      </c>
      <c r="AU963" s="82"/>
      <c r="AV963" s="82"/>
      <c r="AW963" s="82" t="str">
        <f t="shared" si="1"/>
        <v/>
      </c>
      <c r="AX963" s="83" t="str">
        <f t="array" ref="AX963">IFERROR(DGET('SBV Import'!A:G,"SBV",{"RSC ID","Tier";B963,A963}))</f>
        <v/>
      </c>
      <c r="AY963" s="82" t="str">
        <f t="shared" si="2"/>
        <v/>
      </c>
      <c r="AZ963" s="82"/>
      <c r="BA963" s="84" t="s">
        <v>152</v>
      </c>
      <c r="BB963" s="84" t="str">
        <f>IFERROR(__xludf.DUMMYFUNCTION("iferror(if(A963="""",,E963&gt;=FILTER(Constants!$F$2:$F$10,Constants!$A$2:$A$10=A963)))"),"")</f>
        <v/>
      </c>
    </row>
    <row r="964">
      <c r="A964" s="80"/>
      <c r="B964" s="73"/>
      <c r="C964" s="73"/>
      <c r="D964" s="73"/>
      <c r="E964" s="82"/>
      <c r="F964" s="82"/>
      <c r="G964" s="82"/>
      <c r="H964" s="86"/>
      <c r="I964" s="86"/>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c r="AG964" s="82"/>
      <c r="AH964" s="82"/>
      <c r="AI964" s="82"/>
      <c r="AJ964" s="82"/>
      <c r="AK964" s="82"/>
      <c r="AL964" s="82"/>
      <c r="AM964" s="82"/>
      <c r="AN964" s="82">
        <f>IFERROR(__xludf.DUMMYFUNCTION("""COMPUTED_VALUE"""),0.0)</f>
        <v>0</v>
      </c>
      <c r="AO964" s="82">
        <f>IFERROR(__xludf.DUMMYFUNCTION("""COMPUTED_VALUE"""),0.0)</f>
        <v>0</v>
      </c>
      <c r="AP964" s="82">
        <f>IFERROR(__xludf.DUMMYFUNCTION("""COMPUTED_VALUE"""),0.0)</f>
        <v>0</v>
      </c>
      <c r="AQ964" s="82">
        <f>IFERROR(__xludf.DUMMYFUNCTION("""COMPUTED_VALUE"""),0.0)</f>
        <v>0</v>
      </c>
      <c r="AR964" s="82">
        <f>IFERROR(__xludf.DUMMYFUNCTION("""COMPUTED_VALUE"""),0.0)</f>
        <v>0</v>
      </c>
      <c r="AS964" s="82"/>
      <c r="AT964" s="82">
        <f>IFERROR(__xludf.DUMMYFUNCTION("""COMPUTED_VALUE"""),0.0)</f>
        <v>0</v>
      </c>
      <c r="AU964" s="82"/>
      <c r="AV964" s="82"/>
      <c r="AW964" s="82" t="str">
        <f t="shared" si="1"/>
        <v/>
      </c>
      <c r="AX964" s="83" t="str">
        <f t="array" ref="AX964">IFERROR(DGET('SBV Import'!A:G,"SBV",{"RSC ID","Tier";B964,A964}))</f>
        <v/>
      </c>
      <c r="AY964" s="82" t="str">
        <f t="shared" si="2"/>
        <v/>
      </c>
      <c r="AZ964" s="82"/>
      <c r="BA964" s="84" t="s">
        <v>152</v>
      </c>
      <c r="BB964" s="84" t="str">
        <f>IFERROR(__xludf.DUMMYFUNCTION("iferror(if(A964="""",,E964&gt;=FILTER(Constants!$F$2:$F$10,Constants!$A$2:$A$10=A964)))"),"")</f>
        <v/>
      </c>
    </row>
    <row r="965">
      <c r="A965" s="80"/>
      <c r="B965" s="73"/>
      <c r="C965" s="73"/>
      <c r="D965" s="73"/>
      <c r="E965" s="82"/>
      <c r="F965" s="82"/>
      <c r="G965" s="82"/>
      <c r="H965" s="86"/>
      <c r="I965" s="86"/>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c r="AG965" s="82"/>
      <c r="AH965" s="82"/>
      <c r="AI965" s="82"/>
      <c r="AJ965" s="82"/>
      <c r="AK965" s="82"/>
      <c r="AL965" s="82"/>
      <c r="AM965" s="82"/>
      <c r="AN965" s="82">
        <f>IFERROR(__xludf.DUMMYFUNCTION("""COMPUTED_VALUE"""),0.0)</f>
        <v>0</v>
      </c>
      <c r="AO965" s="82">
        <f>IFERROR(__xludf.DUMMYFUNCTION("""COMPUTED_VALUE"""),0.0)</f>
        <v>0</v>
      </c>
      <c r="AP965" s="82">
        <f>IFERROR(__xludf.DUMMYFUNCTION("""COMPUTED_VALUE"""),0.0)</f>
        <v>0</v>
      </c>
      <c r="AQ965" s="82">
        <f>IFERROR(__xludf.DUMMYFUNCTION("""COMPUTED_VALUE"""),0.0)</f>
        <v>0</v>
      </c>
      <c r="AR965" s="82">
        <f>IFERROR(__xludf.DUMMYFUNCTION("""COMPUTED_VALUE"""),0.0)</f>
        <v>0</v>
      </c>
      <c r="AS965" s="82"/>
      <c r="AT965" s="82">
        <f>IFERROR(__xludf.DUMMYFUNCTION("""COMPUTED_VALUE"""),0.0)</f>
        <v>0</v>
      </c>
      <c r="AU965" s="82"/>
      <c r="AV965" s="82"/>
      <c r="AW965" s="82" t="str">
        <f t="shared" si="1"/>
        <v/>
      </c>
      <c r="AX965" s="83" t="str">
        <f t="array" ref="AX965">IFERROR(DGET('SBV Import'!A:G,"SBV",{"RSC ID","Tier";B965,A965}))</f>
        <v/>
      </c>
      <c r="AY965" s="82" t="str">
        <f t="shared" si="2"/>
        <v/>
      </c>
      <c r="AZ965" s="82"/>
      <c r="BA965" s="84" t="s">
        <v>152</v>
      </c>
      <c r="BB965" s="84" t="str">
        <f>IFERROR(__xludf.DUMMYFUNCTION("iferror(if(A965="""",,E965&gt;=FILTER(Constants!$F$2:$F$10,Constants!$A$2:$A$10=A965)))"),"")</f>
        <v/>
      </c>
    </row>
    <row r="966">
      <c r="A966" s="80"/>
      <c r="B966" s="73"/>
      <c r="C966" s="73"/>
      <c r="D966" s="73"/>
      <c r="E966" s="82"/>
      <c r="F966" s="82"/>
      <c r="G966" s="82"/>
      <c r="H966" s="86"/>
      <c r="I966" s="86"/>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c r="AG966" s="82"/>
      <c r="AH966" s="82"/>
      <c r="AI966" s="82"/>
      <c r="AJ966" s="82"/>
      <c r="AK966" s="82"/>
      <c r="AL966" s="82"/>
      <c r="AM966" s="82"/>
      <c r="AN966" s="82">
        <f>IFERROR(__xludf.DUMMYFUNCTION("""COMPUTED_VALUE"""),0.0)</f>
        <v>0</v>
      </c>
      <c r="AO966" s="82">
        <f>IFERROR(__xludf.DUMMYFUNCTION("""COMPUTED_VALUE"""),0.0)</f>
        <v>0</v>
      </c>
      <c r="AP966" s="82">
        <f>IFERROR(__xludf.DUMMYFUNCTION("""COMPUTED_VALUE"""),0.0)</f>
        <v>0</v>
      </c>
      <c r="AQ966" s="82">
        <f>IFERROR(__xludf.DUMMYFUNCTION("""COMPUTED_VALUE"""),0.0)</f>
        <v>0</v>
      </c>
      <c r="AR966" s="82">
        <f>IFERROR(__xludf.DUMMYFUNCTION("""COMPUTED_VALUE"""),0.0)</f>
        <v>0</v>
      </c>
      <c r="AS966" s="82"/>
      <c r="AT966" s="82">
        <f>IFERROR(__xludf.DUMMYFUNCTION("""COMPUTED_VALUE"""),0.0)</f>
        <v>0</v>
      </c>
      <c r="AU966" s="82"/>
      <c r="AV966" s="82"/>
      <c r="AW966" s="82" t="str">
        <f t="shared" si="1"/>
        <v/>
      </c>
      <c r="AX966" s="83" t="str">
        <f t="array" ref="AX966">IFERROR(DGET('SBV Import'!A:G,"SBV",{"RSC ID","Tier";B966,A966}))</f>
        <v/>
      </c>
      <c r="AY966" s="82" t="str">
        <f t="shared" si="2"/>
        <v/>
      </c>
      <c r="AZ966" s="82"/>
      <c r="BA966" s="84" t="s">
        <v>152</v>
      </c>
      <c r="BB966" s="84" t="str">
        <f>IFERROR(__xludf.DUMMYFUNCTION("iferror(if(A966="""",,E966&gt;=FILTER(Constants!$F$2:$F$10,Constants!$A$2:$A$10=A966)))"),"")</f>
        <v/>
      </c>
    </row>
    <row r="967">
      <c r="A967" s="80"/>
      <c r="B967" s="73"/>
      <c r="C967" s="73"/>
      <c r="D967" s="73"/>
      <c r="E967" s="82"/>
      <c r="F967" s="82"/>
      <c r="G967" s="82"/>
      <c r="H967" s="86"/>
      <c r="I967" s="86"/>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c r="AG967" s="82"/>
      <c r="AH967" s="82"/>
      <c r="AI967" s="82"/>
      <c r="AJ967" s="82"/>
      <c r="AK967" s="82"/>
      <c r="AL967" s="82"/>
      <c r="AM967" s="82"/>
      <c r="AN967" s="82">
        <f>IFERROR(__xludf.DUMMYFUNCTION("""COMPUTED_VALUE"""),0.0)</f>
        <v>0</v>
      </c>
      <c r="AO967" s="82">
        <f>IFERROR(__xludf.DUMMYFUNCTION("""COMPUTED_VALUE"""),0.0)</f>
        <v>0</v>
      </c>
      <c r="AP967" s="82">
        <f>IFERROR(__xludf.DUMMYFUNCTION("""COMPUTED_VALUE"""),0.0)</f>
        <v>0</v>
      </c>
      <c r="AQ967" s="82">
        <f>IFERROR(__xludf.DUMMYFUNCTION("""COMPUTED_VALUE"""),0.0)</f>
        <v>0</v>
      </c>
      <c r="AR967" s="82">
        <f>IFERROR(__xludf.DUMMYFUNCTION("""COMPUTED_VALUE"""),0.0)</f>
        <v>0</v>
      </c>
      <c r="AS967" s="82"/>
      <c r="AT967" s="82">
        <f>IFERROR(__xludf.DUMMYFUNCTION("""COMPUTED_VALUE"""),0.0)</f>
        <v>0</v>
      </c>
      <c r="AU967" s="82"/>
      <c r="AV967" s="82"/>
      <c r="AW967" s="82" t="str">
        <f t="shared" si="1"/>
        <v/>
      </c>
      <c r="AX967" s="83" t="str">
        <f t="array" ref="AX967">IFERROR(DGET('SBV Import'!A:G,"SBV",{"RSC ID","Tier";B967,A967}))</f>
        <v/>
      </c>
      <c r="AY967" s="82" t="str">
        <f t="shared" si="2"/>
        <v/>
      </c>
      <c r="AZ967" s="82"/>
      <c r="BA967" s="84" t="s">
        <v>152</v>
      </c>
      <c r="BB967" s="84" t="str">
        <f>IFERROR(__xludf.DUMMYFUNCTION("iferror(if(A967="""",,E967&gt;=FILTER(Constants!$F$2:$F$10,Constants!$A$2:$A$10=A967)))"),"")</f>
        <v/>
      </c>
    </row>
    <row r="968">
      <c r="A968" s="80"/>
      <c r="B968" s="73"/>
      <c r="C968" s="73"/>
      <c r="D968" s="73"/>
      <c r="E968" s="82"/>
      <c r="F968" s="82"/>
      <c r="G968" s="82"/>
      <c r="H968" s="86"/>
      <c r="I968" s="86"/>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c r="AG968" s="82"/>
      <c r="AH968" s="82"/>
      <c r="AI968" s="82"/>
      <c r="AJ968" s="82"/>
      <c r="AK968" s="82"/>
      <c r="AL968" s="82"/>
      <c r="AM968" s="82"/>
      <c r="AN968" s="82">
        <f>IFERROR(__xludf.DUMMYFUNCTION("""COMPUTED_VALUE"""),0.0)</f>
        <v>0</v>
      </c>
      <c r="AO968" s="82">
        <f>IFERROR(__xludf.DUMMYFUNCTION("""COMPUTED_VALUE"""),0.0)</f>
        <v>0</v>
      </c>
      <c r="AP968" s="82">
        <f>IFERROR(__xludf.DUMMYFUNCTION("""COMPUTED_VALUE"""),0.0)</f>
        <v>0</v>
      </c>
      <c r="AQ968" s="82">
        <f>IFERROR(__xludf.DUMMYFUNCTION("""COMPUTED_VALUE"""),0.0)</f>
        <v>0</v>
      </c>
      <c r="AR968" s="82">
        <f>IFERROR(__xludf.DUMMYFUNCTION("""COMPUTED_VALUE"""),0.0)</f>
        <v>0</v>
      </c>
      <c r="AS968" s="82"/>
      <c r="AT968" s="82">
        <f>IFERROR(__xludf.DUMMYFUNCTION("""COMPUTED_VALUE"""),0.0)</f>
        <v>0</v>
      </c>
      <c r="AU968" s="82"/>
      <c r="AV968" s="82"/>
      <c r="AW968" s="82" t="str">
        <f t="shared" si="1"/>
        <v/>
      </c>
      <c r="AX968" s="83" t="str">
        <f t="array" ref="AX968">IFERROR(DGET('SBV Import'!A:G,"SBV",{"RSC ID","Tier";B968,A968}))</f>
        <v/>
      </c>
      <c r="AY968" s="82" t="str">
        <f t="shared" si="2"/>
        <v/>
      </c>
      <c r="AZ968" s="82"/>
      <c r="BA968" s="84" t="s">
        <v>152</v>
      </c>
      <c r="BB968" s="84" t="str">
        <f>IFERROR(__xludf.DUMMYFUNCTION("iferror(if(A968="""",,E968&gt;=FILTER(Constants!$F$2:$F$10,Constants!$A$2:$A$10=A968)))"),"")</f>
        <v/>
      </c>
    </row>
    <row r="969">
      <c r="A969" s="80"/>
      <c r="B969" s="73"/>
      <c r="C969" s="73"/>
      <c r="D969" s="73"/>
      <c r="E969" s="82"/>
      <c r="F969" s="82"/>
      <c r="G969" s="82"/>
      <c r="H969" s="86"/>
      <c r="I969" s="86"/>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c r="AH969" s="82"/>
      <c r="AI969" s="82"/>
      <c r="AJ969" s="82"/>
      <c r="AK969" s="82"/>
      <c r="AL969" s="82"/>
      <c r="AM969" s="82"/>
      <c r="AN969" s="82">
        <f>IFERROR(__xludf.DUMMYFUNCTION("""COMPUTED_VALUE"""),0.0)</f>
        <v>0</v>
      </c>
      <c r="AO969" s="82">
        <f>IFERROR(__xludf.DUMMYFUNCTION("""COMPUTED_VALUE"""),0.0)</f>
        <v>0</v>
      </c>
      <c r="AP969" s="82">
        <f>IFERROR(__xludf.DUMMYFUNCTION("""COMPUTED_VALUE"""),0.0)</f>
        <v>0</v>
      </c>
      <c r="AQ969" s="82">
        <f>IFERROR(__xludf.DUMMYFUNCTION("""COMPUTED_VALUE"""),0.0)</f>
        <v>0</v>
      </c>
      <c r="AR969" s="82">
        <f>IFERROR(__xludf.DUMMYFUNCTION("""COMPUTED_VALUE"""),0.0)</f>
        <v>0</v>
      </c>
      <c r="AS969" s="82"/>
      <c r="AT969" s="82">
        <f>IFERROR(__xludf.DUMMYFUNCTION("""COMPUTED_VALUE"""),0.0)</f>
        <v>0</v>
      </c>
      <c r="AU969" s="82"/>
      <c r="AV969" s="82"/>
      <c r="AW969" s="82" t="str">
        <f t="shared" si="1"/>
        <v/>
      </c>
      <c r="AX969" s="83" t="str">
        <f t="array" ref="AX969">IFERROR(DGET('SBV Import'!A:G,"SBV",{"RSC ID","Tier";B969,A969}))</f>
        <v/>
      </c>
      <c r="AY969" s="82" t="str">
        <f t="shared" si="2"/>
        <v/>
      </c>
      <c r="AZ969" s="82"/>
      <c r="BA969" s="84" t="s">
        <v>152</v>
      </c>
      <c r="BB969" s="84" t="str">
        <f>IFERROR(__xludf.DUMMYFUNCTION("iferror(if(A969="""",,E969&gt;=FILTER(Constants!$F$2:$F$10,Constants!$A$2:$A$10=A969)))"),"")</f>
        <v/>
      </c>
    </row>
    <row r="970">
      <c r="A970" s="80"/>
      <c r="B970" s="73"/>
      <c r="C970" s="73"/>
      <c r="D970" s="73"/>
      <c r="E970" s="82"/>
      <c r="F970" s="82"/>
      <c r="G970" s="82"/>
      <c r="H970" s="86"/>
      <c r="I970" s="86"/>
      <c r="J970" s="82"/>
      <c r="K970" s="82"/>
      <c r="L970" s="82"/>
      <c r="M970" s="82"/>
      <c r="N970" s="82"/>
      <c r="O970" s="82"/>
      <c r="P970" s="82"/>
      <c r="Q970" s="82"/>
      <c r="R970" s="82"/>
      <c r="S970" s="82"/>
      <c r="T970" s="82"/>
      <c r="U970" s="82"/>
      <c r="V970" s="82"/>
      <c r="W970" s="82"/>
      <c r="X970" s="82"/>
      <c r="Y970" s="82"/>
      <c r="Z970" s="82"/>
      <c r="AA970" s="82"/>
      <c r="AB970" s="82"/>
      <c r="AC970" s="82"/>
      <c r="AD970" s="82"/>
      <c r="AE970" s="82"/>
      <c r="AF970" s="82"/>
      <c r="AG970" s="82"/>
      <c r="AH970" s="82"/>
      <c r="AI970" s="82"/>
      <c r="AJ970" s="82"/>
      <c r="AK970" s="82"/>
      <c r="AL970" s="82"/>
      <c r="AM970" s="82"/>
      <c r="AN970" s="82">
        <f>IFERROR(__xludf.DUMMYFUNCTION("""COMPUTED_VALUE"""),0.0)</f>
        <v>0</v>
      </c>
      <c r="AO970" s="82">
        <f>IFERROR(__xludf.DUMMYFUNCTION("""COMPUTED_VALUE"""),0.0)</f>
        <v>0</v>
      </c>
      <c r="AP970" s="82">
        <f>IFERROR(__xludf.DUMMYFUNCTION("""COMPUTED_VALUE"""),0.0)</f>
        <v>0</v>
      </c>
      <c r="AQ970" s="82">
        <f>IFERROR(__xludf.DUMMYFUNCTION("""COMPUTED_VALUE"""),0.0)</f>
        <v>0</v>
      </c>
      <c r="AR970" s="82">
        <f>IFERROR(__xludf.DUMMYFUNCTION("""COMPUTED_VALUE"""),0.0)</f>
        <v>0</v>
      </c>
      <c r="AS970" s="82"/>
      <c r="AT970" s="82">
        <f>IFERROR(__xludf.DUMMYFUNCTION("""COMPUTED_VALUE"""),0.0)</f>
        <v>0</v>
      </c>
      <c r="AU970" s="82"/>
      <c r="AV970" s="82"/>
      <c r="AW970" s="82" t="str">
        <f t="shared" si="1"/>
        <v/>
      </c>
      <c r="AX970" s="83" t="str">
        <f t="array" ref="AX970">IFERROR(DGET('SBV Import'!A:G,"SBV",{"RSC ID","Tier";B970,A970}))</f>
        <v/>
      </c>
      <c r="AY970" s="82" t="str">
        <f t="shared" si="2"/>
        <v/>
      </c>
      <c r="AZ970" s="82"/>
      <c r="BA970" s="84" t="s">
        <v>152</v>
      </c>
      <c r="BB970" s="84" t="str">
        <f>IFERROR(__xludf.DUMMYFUNCTION("iferror(if(A970="""",,E970&gt;=FILTER(Constants!$F$2:$F$10,Constants!$A$2:$A$10=A970)))"),"")</f>
        <v/>
      </c>
    </row>
    <row r="971">
      <c r="A971" s="80"/>
      <c r="B971" s="73"/>
      <c r="C971" s="73"/>
      <c r="D971" s="73"/>
      <c r="E971" s="82"/>
      <c r="F971" s="82"/>
      <c r="G971" s="82"/>
      <c r="H971" s="86"/>
      <c r="I971" s="86"/>
      <c r="J971" s="82"/>
      <c r="K971" s="82"/>
      <c r="L971" s="82"/>
      <c r="M971" s="82"/>
      <c r="N971" s="82"/>
      <c r="O971" s="82"/>
      <c r="P971" s="82"/>
      <c r="Q971" s="82"/>
      <c r="R971" s="82"/>
      <c r="S971" s="82"/>
      <c r="T971" s="82"/>
      <c r="U971" s="82"/>
      <c r="V971" s="82"/>
      <c r="W971" s="82"/>
      <c r="X971" s="82"/>
      <c r="Y971" s="82"/>
      <c r="Z971" s="82"/>
      <c r="AA971" s="82"/>
      <c r="AB971" s="82"/>
      <c r="AC971" s="82"/>
      <c r="AD971" s="82"/>
      <c r="AE971" s="82"/>
      <c r="AF971" s="82"/>
      <c r="AG971" s="82"/>
      <c r="AH971" s="82"/>
      <c r="AI971" s="82"/>
      <c r="AJ971" s="82"/>
      <c r="AK971" s="82"/>
      <c r="AL971" s="82"/>
      <c r="AM971" s="82"/>
      <c r="AN971" s="82">
        <f>IFERROR(__xludf.DUMMYFUNCTION("""COMPUTED_VALUE"""),0.0)</f>
        <v>0</v>
      </c>
      <c r="AO971" s="82">
        <f>IFERROR(__xludf.DUMMYFUNCTION("""COMPUTED_VALUE"""),0.0)</f>
        <v>0</v>
      </c>
      <c r="AP971" s="82">
        <f>IFERROR(__xludf.DUMMYFUNCTION("""COMPUTED_VALUE"""),0.0)</f>
        <v>0</v>
      </c>
      <c r="AQ971" s="82">
        <f>IFERROR(__xludf.DUMMYFUNCTION("""COMPUTED_VALUE"""),0.0)</f>
        <v>0</v>
      </c>
      <c r="AR971" s="82">
        <f>IFERROR(__xludf.DUMMYFUNCTION("""COMPUTED_VALUE"""),0.0)</f>
        <v>0</v>
      </c>
      <c r="AS971" s="82"/>
      <c r="AT971" s="82">
        <f>IFERROR(__xludf.DUMMYFUNCTION("""COMPUTED_VALUE"""),0.0)</f>
        <v>0</v>
      </c>
      <c r="AU971" s="82"/>
      <c r="AV971" s="82"/>
      <c r="AW971" s="82" t="str">
        <f t="shared" si="1"/>
        <v/>
      </c>
      <c r="AX971" s="83" t="str">
        <f t="array" ref="AX971">IFERROR(DGET('SBV Import'!A:G,"SBV",{"RSC ID","Tier";B971,A971}))</f>
        <v/>
      </c>
      <c r="AY971" s="82" t="str">
        <f t="shared" si="2"/>
        <v/>
      </c>
      <c r="AZ971" s="82"/>
      <c r="BA971" s="84" t="s">
        <v>152</v>
      </c>
      <c r="BB971" s="84" t="str">
        <f>IFERROR(__xludf.DUMMYFUNCTION("iferror(if(A971="""",,E971&gt;=FILTER(Constants!$F$2:$F$10,Constants!$A$2:$A$10=A971)))"),"")</f>
        <v/>
      </c>
    </row>
    <row r="972">
      <c r="A972" s="80"/>
      <c r="B972" s="73"/>
      <c r="C972" s="73"/>
      <c r="D972" s="73"/>
      <c r="E972" s="82"/>
      <c r="F972" s="82"/>
      <c r="G972" s="82"/>
      <c r="H972" s="86"/>
      <c r="I972" s="86"/>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c r="AG972" s="82"/>
      <c r="AH972" s="82"/>
      <c r="AI972" s="82"/>
      <c r="AJ972" s="82"/>
      <c r="AK972" s="82"/>
      <c r="AL972" s="82"/>
      <c r="AM972" s="82"/>
      <c r="AN972" s="82">
        <f>IFERROR(__xludf.DUMMYFUNCTION("""COMPUTED_VALUE"""),0.0)</f>
        <v>0</v>
      </c>
      <c r="AO972" s="82">
        <f>IFERROR(__xludf.DUMMYFUNCTION("""COMPUTED_VALUE"""),0.0)</f>
        <v>0</v>
      </c>
      <c r="AP972" s="82">
        <f>IFERROR(__xludf.DUMMYFUNCTION("""COMPUTED_VALUE"""),0.0)</f>
        <v>0</v>
      </c>
      <c r="AQ972" s="82">
        <f>IFERROR(__xludf.DUMMYFUNCTION("""COMPUTED_VALUE"""),0.0)</f>
        <v>0</v>
      </c>
      <c r="AR972" s="82">
        <f>IFERROR(__xludf.DUMMYFUNCTION("""COMPUTED_VALUE"""),0.0)</f>
        <v>0</v>
      </c>
      <c r="AS972" s="82"/>
      <c r="AT972" s="82">
        <f>IFERROR(__xludf.DUMMYFUNCTION("""COMPUTED_VALUE"""),0.0)</f>
        <v>0</v>
      </c>
      <c r="AU972" s="82"/>
      <c r="AV972" s="82"/>
      <c r="AW972" s="82" t="str">
        <f t="shared" si="1"/>
        <v/>
      </c>
      <c r="AX972" s="83" t="str">
        <f t="array" ref="AX972">IFERROR(DGET('SBV Import'!A:G,"SBV",{"RSC ID","Tier";B972,A972}))</f>
        <v/>
      </c>
      <c r="AY972" s="82" t="str">
        <f t="shared" si="2"/>
        <v/>
      </c>
      <c r="AZ972" s="82"/>
      <c r="BA972" s="84" t="s">
        <v>152</v>
      </c>
      <c r="BB972" s="84" t="str">
        <f>IFERROR(__xludf.DUMMYFUNCTION("iferror(if(A972="""",,E972&gt;=FILTER(Constants!$F$2:$F$10,Constants!$A$2:$A$10=A972)))"),"")</f>
        <v/>
      </c>
    </row>
    <row r="973">
      <c r="A973" s="80"/>
      <c r="B973" s="73"/>
      <c r="C973" s="73"/>
      <c r="D973" s="73"/>
      <c r="E973" s="82"/>
      <c r="F973" s="82"/>
      <c r="G973" s="82"/>
      <c r="H973" s="86"/>
      <c r="I973" s="86"/>
      <c r="J973" s="82"/>
      <c r="K973" s="82"/>
      <c r="L973" s="82"/>
      <c r="M973" s="82"/>
      <c r="N973" s="82"/>
      <c r="O973" s="82"/>
      <c r="P973" s="82"/>
      <c r="Q973" s="82"/>
      <c r="R973" s="82"/>
      <c r="S973" s="82"/>
      <c r="T973" s="82"/>
      <c r="U973" s="82"/>
      <c r="V973" s="82"/>
      <c r="W973" s="82"/>
      <c r="X973" s="82"/>
      <c r="Y973" s="82"/>
      <c r="Z973" s="82"/>
      <c r="AA973" s="82"/>
      <c r="AB973" s="82"/>
      <c r="AC973" s="82"/>
      <c r="AD973" s="82"/>
      <c r="AE973" s="82"/>
      <c r="AF973" s="82"/>
      <c r="AG973" s="82"/>
      <c r="AH973" s="82"/>
      <c r="AI973" s="82"/>
      <c r="AJ973" s="82"/>
      <c r="AK973" s="82"/>
      <c r="AL973" s="82"/>
      <c r="AM973" s="82"/>
      <c r="AN973" s="82">
        <f>IFERROR(__xludf.DUMMYFUNCTION("""COMPUTED_VALUE"""),0.0)</f>
        <v>0</v>
      </c>
      <c r="AO973" s="82">
        <f>IFERROR(__xludf.DUMMYFUNCTION("""COMPUTED_VALUE"""),0.0)</f>
        <v>0</v>
      </c>
      <c r="AP973" s="82">
        <f>IFERROR(__xludf.DUMMYFUNCTION("""COMPUTED_VALUE"""),0.0)</f>
        <v>0</v>
      </c>
      <c r="AQ973" s="82">
        <f>IFERROR(__xludf.DUMMYFUNCTION("""COMPUTED_VALUE"""),0.0)</f>
        <v>0</v>
      </c>
      <c r="AR973" s="82">
        <f>IFERROR(__xludf.DUMMYFUNCTION("""COMPUTED_VALUE"""),0.0)</f>
        <v>0</v>
      </c>
      <c r="AS973" s="82"/>
      <c r="AT973" s="82">
        <f>IFERROR(__xludf.DUMMYFUNCTION("""COMPUTED_VALUE"""),0.0)</f>
        <v>0</v>
      </c>
      <c r="AU973" s="82"/>
      <c r="AV973" s="82"/>
      <c r="AW973" s="82" t="str">
        <f t="shared" si="1"/>
        <v/>
      </c>
      <c r="AX973" s="83" t="str">
        <f t="array" ref="AX973">IFERROR(DGET('SBV Import'!A:G,"SBV",{"RSC ID","Tier";B973,A973}))</f>
        <v/>
      </c>
      <c r="AY973" s="82" t="str">
        <f t="shared" si="2"/>
        <v/>
      </c>
      <c r="AZ973" s="82"/>
      <c r="BA973" s="84" t="s">
        <v>152</v>
      </c>
      <c r="BB973" s="84" t="str">
        <f>IFERROR(__xludf.DUMMYFUNCTION("iferror(if(A973="""",,E973&gt;=FILTER(Constants!$F$2:$F$10,Constants!$A$2:$A$10=A973)))"),"")</f>
        <v/>
      </c>
    </row>
    <row r="974">
      <c r="A974" s="80"/>
      <c r="B974" s="73"/>
      <c r="C974" s="73"/>
      <c r="D974" s="73"/>
      <c r="E974" s="82"/>
      <c r="F974" s="82"/>
      <c r="G974" s="82"/>
      <c r="H974" s="86"/>
      <c r="I974" s="86"/>
      <c r="J974" s="82"/>
      <c r="K974" s="82"/>
      <c r="L974" s="82"/>
      <c r="M974" s="82"/>
      <c r="N974" s="82"/>
      <c r="O974" s="82"/>
      <c r="P974" s="82"/>
      <c r="Q974" s="82"/>
      <c r="R974" s="82"/>
      <c r="S974" s="82"/>
      <c r="T974" s="82"/>
      <c r="U974" s="82"/>
      <c r="V974" s="82"/>
      <c r="W974" s="82"/>
      <c r="X974" s="82"/>
      <c r="Y974" s="82"/>
      <c r="Z974" s="82"/>
      <c r="AA974" s="82"/>
      <c r="AB974" s="82"/>
      <c r="AC974" s="82"/>
      <c r="AD974" s="82"/>
      <c r="AE974" s="82"/>
      <c r="AF974" s="82"/>
      <c r="AG974" s="82"/>
      <c r="AH974" s="82"/>
      <c r="AI974" s="82"/>
      <c r="AJ974" s="82"/>
      <c r="AK974" s="82"/>
      <c r="AL974" s="82"/>
      <c r="AM974" s="82"/>
      <c r="AN974" s="82">
        <f>IFERROR(__xludf.DUMMYFUNCTION("""COMPUTED_VALUE"""),0.0)</f>
        <v>0</v>
      </c>
      <c r="AO974" s="82">
        <f>IFERROR(__xludf.DUMMYFUNCTION("""COMPUTED_VALUE"""),0.0)</f>
        <v>0</v>
      </c>
      <c r="AP974" s="82">
        <f>IFERROR(__xludf.DUMMYFUNCTION("""COMPUTED_VALUE"""),0.0)</f>
        <v>0</v>
      </c>
      <c r="AQ974" s="82">
        <f>IFERROR(__xludf.DUMMYFUNCTION("""COMPUTED_VALUE"""),0.0)</f>
        <v>0</v>
      </c>
      <c r="AR974" s="82">
        <f>IFERROR(__xludf.DUMMYFUNCTION("""COMPUTED_VALUE"""),0.0)</f>
        <v>0</v>
      </c>
      <c r="AS974" s="82"/>
      <c r="AT974" s="82">
        <f>IFERROR(__xludf.DUMMYFUNCTION("""COMPUTED_VALUE"""),0.0)</f>
        <v>0</v>
      </c>
      <c r="AU974" s="82"/>
      <c r="AV974" s="82"/>
      <c r="AW974" s="82" t="str">
        <f t="shared" si="1"/>
        <v/>
      </c>
      <c r="AX974" s="83" t="str">
        <f t="array" ref="AX974">IFERROR(DGET('SBV Import'!A:G,"SBV",{"RSC ID","Tier";B974,A974}))</f>
        <v/>
      </c>
      <c r="AY974" s="82" t="str">
        <f t="shared" si="2"/>
        <v/>
      </c>
      <c r="AZ974" s="82"/>
      <c r="BA974" s="84" t="s">
        <v>152</v>
      </c>
      <c r="BB974" s="84" t="str">
        <f>IFERROR(__xludf.DUMMYFUNCTION("iferror(if(A974="""",,E974&gt;=FILTER(Constants!$F$2:$F$10,Constants!$A$2:$A$10=A974)))"),"")</f>
        <v/>
      </c>
    </row>
    <row r="975">
      <c r="A975" s="80"/>
      <c r="B975" s="73"/>
      <c r="C975" s="73"/>
      <c r="D975" s="73"/>
      <c r="E975" s="82"/>
      <c r="F975" s="82"/>
      <c r="G975" s="82"/>
      <c r="H975" s="86"/>
      <c r="I975" s="86"/>
      <c r="J975" s="82"/>
      <c r="K975" s="82"/>
      <c r="L975" s="82"/>
      <c r="M975" s="82"/>
      <c r="N975" s="82"/>
      <c r="O975" s="82"/>
      <c r="P975" s="82"/>
      <c r="Q975" s="82"/>
      <c r="R975" s="82"/>
      <c r="S975" s="82"/>
      <c r="T975" s="82"/>
      <c r="U975" s="82"/>
      <c r="V975" s="82"/>
      <c r="W975" s="82"/>
      <c r="X975" s="82"/>
      <c r="Y975" s="82"/>
      <c r="Z975" s="82"/>
      <c r="AA975" s="82"/>
      <c r="AB975" s="82"/>
      <c r="AC975" s="82"/>
      <c r="AD975" s="82"/>
      <c r="AE975" s="82"/>
      <c r="AF975" s="82"/>
      <c r="AG975" s="82"/>
      <c r="AH975" s="82"/>
      <c r="AI975" s="82"/>
      <c r="AJ975" s="82"/>
      <c r="AK975" s="82"/>
      <c r="AL975" s="82"/>
      <c r="AM975" s="82"/>
      <c r="AN975" s="82">
        <f>IFERROR(__xludf.DUMMYFUNCTION("""COMPUTED_VALUE"""),0.0)</f>
        <v>0</v>
      </c>
      <c r="AO975" s="82">
        <f>IFERROR(__xludf.DUMMYFUNCTION("""COMPUTED_VALUE"""),0.0)</f>
        <v>0</v>
      </c>
      <c r="AP975" s="82">
        <f>IFERROR(__xludf.DUMMYFUNCTION("""COMPUTED_VALUE"""),0.0)</f>
        <v>0</v>
      </c>
      <c r="AQ975" s="82">
        <f>IFERROR(__xludf.DUMMYFUNCTION("""COMPUTED_VALUE"""),0.0)</f>
        <v>0</v>
      </c>
      <c r="AR975" s="82">
        <f>IFERROR(__xludf.DUMMYFUNCTION("""COMPUTED_VALUE"""),0.0)</f>
        <v>0</v>
      </c>
      <c r="AS975" s="82"/>
      <c r="AT975" s="82">
        <f>IFERROR(__xludf.DUMMYFUNCTION("""COMPUTED_VALUE"""),0.0)</f>
        <v>0</v>
      </c>
      <c r="AU975" s="82"/>
      <c r="AV975" s="82"/>
      <c r="AW975" s="82" t="str">
        <f t="shared" si="1"/>
        <v/>
      </c>
      <c r="AX975" s="83" t="str">
        <f t="array" ref="AX975">IFERROR(DGET('SBV Import'!A:G,"SBV",{"RSC ID","Tier";B975,A975}))</f>
        <v/>
      </c>
      <c r="AY975" s="82" t="str">
        <f t="shared" si="2"/>
        <v/>
      </c>
      <c r="AZ975" s="82"/>
      <c r="BA975" s="84" t="s">
        <v>152</v>
      </c>
      <c r="BB975" s="84" t="str">
        <f>IFERROR(__xludf.DUMMYFUNCTION("iferror(if(A975="""",,E975&gt;=FILTER(Constants!$F$2:$F$10,Constants!$A$2:$A$10=A975)))"),"")</f>
        <v/>
      </c>
    </row>
    <row r="976">
      <c r="A976" s="80"/>
      <c r="B976" s="73"/>
      <c r="C976" s="73"/>
      <c r="D976" s="73"/>
      <c r="E976" s="82"/>
      <c r="F976" s="82"/>
      <c r="G976" s="82"/>
      <c r="H976" s="86"/>
      <c r="I976" s="86"/>
      <c r="J976" s="82"/>
      <c r="K976" s="82"/>
      <c r="L976" s="82"/>
      <c r="M976" s="82"/>
      <c r="N976" s="82"/>
      <c r="O976" s="82"/>
      <c r="P976" s="82"/>
      <c r="Q976" s="82"/>
      <c r="R976" s="82"/>
      <c r="S976" s="82"/>
      <c r="T976" s="82"/>
      <c r="U976" s="82"/>
      <c r="V976" s="82"/>
      <c r="W976" s="82"/>
      <c r="X976" s="82"/>
      <c r="Y976" s="82"/>
      <c r="Z976" s="82"/>
      <c r="AA976" s="82"/>
      <c r="AB976" s="82"/>
      <c r="AC976" s="82"/>
      <c r="AD976" s="82"/>
      <c r="AE976" s="82"/>
      <c r="AF976" s="82"/>
      <c r="AG976" s="82"/>
      <c r="AH976" s="82"/>
      <c r="AI976" s="82"/>
      <c r="AJ976" s="82"/>
      <c r="AK976" s="82"/>
      <c r="AL976" s="82"/>
      <c r="AM976" s="82"/>
      <c r="AN976" s="82">
        <f>IFERROR(__xludf.DUMMYFUNCTION("""COMPUTED_VALUE"""),0.0)</f>
        <v>0</v>
      </c>
      <c r="AO976" s="82">
        <f>IFERROR(__xludf.DUMMYFUNCTION("""COMPUTED_VALUE"""),0.0)</f>
        <v>0</v>
      </c>
      <c r="AP976" s="82">
        <f>IFERROR(__xludf.DUMMYFUNCTION("""COMPUTED_VALUE"""),0.0)</f>
        <v>0</v>
      </c>
      <c r="AQ976" s="82">
        <f>IFERROR(__xludf.DUMMYFUNCTION("""COMPUTED_VALUE"""),0.0)</f>
        <v>0</v>
      </c>
      <c r="AR976" s="82">
        <f>IFERROR(__xludf.DUMMYFUNCTION("""COMPUTED_VALUE"""),0.0)</f>
        <v>0</v>
      </c>
      <c r="AS976" s="82"/>
      <c r="AT976" s="82">
        <f>IFERROR(__xludf.DUMMYFUNCTION("""COMPUTED_VALUE"""),0.0)</f>
        <v>0</v>
      </c>
      <c r="AU976" s="82"/>
      <c r="AV976" s="82"/>
      <c r="AW976" s="82" t="str">
        <f t="shared" si="1"/>
        <v/>
      </c>
      <c r="AX976" s="83" t="str">
        <f t="array" ref="AX976">IFERROR(DGET('SBV Import'!A:G,"SBV",{"RSC ID","Tier";B976,A976}))</f>
        <v/>
      </c>
      <c r="AY976" s="82" t="str">
        <f t="shared" si="2"/>
        <v/>
      </c>
      <c r="AZ976" s="82"/>
      <c r="BA976" s="84" t="s">
        <v>152</v>
      </c>
      <c r="BB976" s="84" t="str">
        <f>IFERROR(__xludf.DUMMYFUNCTION("iferror(if(A976="""",,E976&gt;=FILTER(Constants!$F$2:$F$10,Constants!$A$2:$A$10=A976)))"),"")</f>
        <v/>
      </c>
    </row>
    <row r="977">
      <c r="A977" s="80"/>
      <c r="B977" s="73"/>
      <c r="C977" s="73"/>
      <c r="D977" s="73"/>
      <c r="E977" s="82"/>
      <c r="F977" s="82"/>
      <c r="G977" s="82"/>
      <c r="H977" s="86"/>
      <c r="I977" s="86"/>
      <c r="J977" s="82"/>
      <c r="K977" s="82"/>
      <c r="L977" s="82"/>
      <c r="M977" s="82"/>
      <c r="N977" s="82"/>
      <c r="O977" s="82"/>
      <c r="P977" s="82"/>
      <c r="Q977" s="82"/>
      <c r="R977" s="82"/>
      <c r="S977" s="82"/>
      <c r="T977" s="82"/>
      <c r="U977" s="82"/>
      <c r="V977" s="82"/>
      <c r="W977" s="82"/>
      <c r="X977" s="82"/>
      <c r="Y977" s="82"/>
      <c r="Z977" s="82"/>
      <c r="AA977" s="82"/>
      <c r="AB977" s="82"/>
      <c r="AC977" s="82"/>
      <c r="AD977" s="82"/>
      <c r="AE977" s="82"/>
      <c r="AF977" s="82"/>
      <c r="AG977" s="82"/>
      <c r="AH977" s="82"/>
      <c r="AI977" s="82"/>
      <c r="AJ977" s="82"/>
      <c r="AK977" s="82"/>
      <c r="AL977" s="82"/>
      <c r="AM977" s="82"/>
      <c r="AN977" s="82">
        <f>IFERROR(__xludf.DUMMYFUNCTION("""COMPUTED_VALUE"""),0.0)</f>
        <v>0</v>
      </c>
      <c r="AO977" s="82">
        <f>IFERROR(__xludf.DUMMYFUNCTION("""COMPUTED_VALUE"""),0.0)</f>
        <v>0</v>
      </c>
      <c r="AP977" s="82">
        <f>IFERROR(__xludf.DUMMYFUNCTION("""COMPUTED_VALUE"""),0.0)</f>
        <v>0</v>
      </c>
      <c r="AQ977" s="82">
        <f>IFERROR(__xludf.DUMMYFUNCTION("""COMPUTED_VALUE"""),0.0)</f>
        <v>0</v>
      </c>
      <c r="AR977" s="82">
        <f>IFERROR(__xludf.DUMMYFUNCTION("""COMPUTED_VALUE"""),0.0)</f>
        <v>0</v>
      </c>
      <c r="AS977" s="82"/>
      <c r="AT977" s="82">
        <f>IFERROR(__xludf.DUMMYFUNCTION("""COMPUTED_VALUE"""),0.0)</f>
        <v>0</v>
      </c>
      <c r="AU977" s="82"/>
      <c r="AV977" s="82"/>
      <c r="AW977" s="82" t="str">
        <f t="shared" si="1"/>
        <v/>
      </c>
      <c r="AX977" s="83" t="str">
        <f t="array" ref="AX977">IFERROR(DGET('SBV Import'!A:G,"SBV",{"RSC ID","Tier";B977,A977}))</f>
        <v/>
      </c>
      <c r="AY977" s="82" t="str">
        <f t="shared" si="2"/>
        <v/>
      </c>
      <c r="AZ977" s="82"/>
      <c r="BA977" s="84" t="s">
        <v>152</v>
      </c>
      <c r="BB977" s="84" t="str">
        <f>IFERROR(__xludf.DUMMYFUNCTION("iferror(if(A977="""",,E977&gt;=FILTER(Constants!$F$2:$F$10,Constants!$A$2:$A$10=A977)))"),"")</f>
        <v/>
      </c>
    </row>
    <row r="978">
      <c r="A978" s="80"/>
      <c r="B978" s="73"/>
      <c r="C978" s="73"/>
      <c r="D978" s="73"/>
      <c r="E978" s="82"/>
      <c r="F978" s="82"/>
      <c r="G978" s="82"/>
      <c r="H978" s="86"/>
      <c r="I978" s="86"/>
      <c r="J978" s="82"/>
      <c r="K978" s="82"/>
      <c r="L978" s="82"/>
      <c r="M978" s="82"/>
      <c r="N978" s="82"/>
      <c r="O978" s="82"/>
      <c r="P978" s="82"/>
      <c r="Q978" s="82"/>
      <c r="R978" s="82"/>
      <c r="S978" s="82"/>
      <c r="T978" s="82"/>
      <c r="U978" s="82"/>
      <c r="V978" s="82"/>
      <c r="W978" s="82"/>
      <c r="X978" s="82"/>
      <c r="Y978" s="82"/>
      <c r="Z978" s="82"/>
      <c r="AA978" s="82"/>
      <c r="AB978" s="82"/>
      <c r="AC978" s="82"/>
      <c r="AD978" s="82"/>
      <c r="AE978" s="82"/>
      <c r="AF978" s="82"/>
      <c r="AG978" s="82"/>
      <c r="AH978" s="82"/>
      <c r="AI978" s="82"/>
      <c r="AJ978" s="82"/>
      <c r="AK978" s="82"/>
      <c r="AL978" s="82"/>
      <c r="AM978" s="82"/>
      <c r="AN978" s="82">
        <f>IFERROR(__xludf.DUMMYFUNCTION("""COMPUTED_VALUE"""),0.0)</f>
        <v>0</v>
      </c>
      <c r="AO978" s="82">
        <f>IFERROR(__xludf.DUMMYFUNCTION("""COMPUTED_VALUE"""),0.0)</f>
        <v>0</v>
      </c>
      <c r="AP978" s="82">
        <f>IFERROR(__xludf.DUMMYFUNCTION("""COMPUTED_VALUE"""),0.0)</f>
        <v>0</v>
      </c>
      <c r="AQ978" s="82">
        <f>IFERROR(__xludf.DUMMYFUNCTION("""COMPUTED_VALUE"""),0.0)</f>
        <v>0</v>
      </c>
      <c r="AR978" s="82">
        <f>IFERROR(__xludf.DUMMYFUNCTION("""COMPUTED_VALUE"""),0.0)</f>
        <v>0</v>
      </c>
      <c r="AS978" s="82"/>
      <c r="AT978" s="82">
        <f>IFERROR(__xludf.DUMMYFUNCTION("""COMPUTED_VALUE"""),0.0)</f>
        <v>0</v>
      </c>
      <c r="AU978" s="82"/>
      <c r="AV978" s="82"/>
      <c r="AW978" s="82" t="str">
        <f t="shared" si="1"/>
        <v/>
      </c>
      <c r="AX978" s="83" t="str">
        <f t="array" ref="AX978">IFERROR(DGET('SBV Import'!A:G,"SBV",{"RSC ID","Tier";B978,A978}))</f>
        <v/>
      </c>
      <c r="AY978" s="82" t="str">
        <f t="shared" si="2"/>
        <v/>
      </c>
      <c r="AZ978" s="82"/>
      <c r="BA978" s="84" t="s">
        <v>152</v>
      </c>
      <c r="BB978" s="84" t="str">
        <f>IFERROR(__xludf.DUMMYFUNCTION("iferror(if(A978="""",,E978&gt;=FILTER(Constants!$F$2:$F$10,Constants!$A$2:$A$10=A978)))"),"")</f>
        <v/>
      </c>
    </row>
    <row r="979">
      <c r="A979" s="80"/>
      <c r="B979" s="73"/>
      <c r="C979" s="73"/>
      <c r="D979" s="73"/>
      <c r="E979" s="82"/>
      <c r="F979" s="82"/>
      <c r="G979" s="82"/>
      <c r="H979" s="86"/>
      <c r="I979" s="86"/>
      <c r="J979" s="82"/>
      <c r="K979" s="82"/>
      <c r="L979" s="82"/>
      <c r="M979" s="82"/>
      <c r="N979" s="82"/>
      <c r="O979" s="82"/>
      <c r="P979" s="82"/>
      <c r="Q979" s="82"/>
      <c r="R979" s="82"/>
      <c r="S979" s="82"/>
      <c r="T979" s="82"/>
      <c r="U979" s="82"/>
      <c r="V979" s="82"/>
      <c r="W979" s="82"/>
      <c r="X979" s="82"/>
      <c r="Y979" s="82"/>
      <c r="Z979" s="82"/>
      <c r="AA979" s="82"/>
      <c r="AB979" s="82"/>
      <c r="AC979" s="82"/>
      <c r="AD979" s="82"/>
      <c r="AE979" s="82"/>
      <c r="AF979" s="82"/>
      <c r="AG979" s="82"/>
      <c r="AH979" s="82"/>
      <c r="AI979" s="82"/>
      <c r="AJ979" s="82"/>
      <c r="AK979" s="82"/>
      <c r="AL979" s="82"/>
      <c r="AM979" s="82"/>
      <c r="AN979" s="82">
        <f>IFERROR(__xludf.DUMMYFUNCTION("""COMPUTED_VALUE"""),0.0)</f>
        <v>0</v>
      </c>
      <c r="AO979" s="82">
        <f>IFERROR(__xludf.DUMMYFUNCTION("""COMPUTED_VALUE"""),0.0)</f>
        <v>0</v>
      </c>
      <c r="AP979" s="82">
        <f>IFERROR(__xludf.DUMMYFUNCTION("""COMPUTED_VALUE"""),0.0)</f>
        <v>0</v>
      </c>
      <c r="AQ979" s="82">
        <f>IFERROR(__xludf.DUMMYFUNCTION("""COMPUTED_VALUE"""),0.0)</f>
        <v>0</v>
      </c>
      <c r="AR979" s="82">
        <f>IFERROR(__xludf.DUMMYFUNCTION("""COMPUTED_VALUE"""),0.0)</f>
        <v>0</v>
      </c>
      <c r="AS979" s="82"/>
      <c r="AT979" s="82">
        <f>IFERROR(__xludf.DUMMYFUNCTION("""COMPUTED_VALUE"""),0.0)</f>
        <v>0</v>
      </c>
      <c r="AU979" s="82"/>
      <c r="AV979" s="82"/>
      <c r="AW979" s="82" t="str">
        <f t="shared" si="1"/>
        <v/>
      </c>
      <c r="AX979" s="83" t="str">
        <f t="array" ref="AX979">IFERROR(DGET('SBV Import'!A:G,"SBV",{"RSC ID","Tier";B979,A979}))</f>
        <v/>
      </c>
      <c r="AY979" s="82" t="str">
        <f t="shared" si="2"/>
        <v/>
      </c>
      <c r="AZ979" s="82"/>
      <c r="BA979" s="84" t="s">
        <v>152</v>
      </c>
      <c r="BB979" s="84" t="str">
        <f>IFERROR(__xludf.DUMMYFUNCTION("iferror(if(A979="""",,E979&gt;=FILTER(Constants!$F$2:$F$10,Constants!$A$2:$A$10=A979)))"),"")</f>
        <v/>
      </c>
    </row>
    <row r="980">
      <c r="A980" s="80"/>
      <c r="B980" s="73"/>
      <c r="C980" s="73"/>
      <c r="D980" s="73"/>
      <c r="E980" s="82"/>
      <c r="F980" s="82"/>
      <c r="G980" s="82"/>
      <c r="H980" s="86"/>
      <c r="I980" s="86"/>
      <c r="J980" s="82"/>
      <c r="K980" s="82"/>
      <c r="L980" s="82"/>
      <c r="M980" s="82"/>
      <c r="N980" s="82"/>
      <c r="O980" s="82"/>
      <c r="P980" s="82"/>
      <c r="Q980" s="82"/>
      <c r="R980" s="82"/>
      <c r="S980" s="82"/>
      <c r="T980" s="82"/>
      <c r="U980" s="82"/>
      <c r="V980" s="82"/>
      <c r="W980" s="82"/>
      <c r="X980" s="82"/>
      <c r="Y980" s="82"/>
      <c r="Z980" s="82"/>
      <c r="AA980" s="82"/>
      <c r="AB980" s="82"/>
      <c r="AC980" s="82"/>
      <c r="AD980" s="82"/>
      <c r="AE980" s="82"/>
      <c r="AF980" s="82"/>
      <c r="AG980" s="82"/>
      <c r="AH980" s="82"/>
      <c r="AI980" s="82"/>
      <c r="AJ980" s="82"/>
      <c r="AK980" s="82"/>
      <c r="AL980" s="82"/>
      <c r="AM980" s="82"/>
      <c r="AN980" s="82">
        <f>IFERROR(__xludf.DUMMYFUNCTION("""COMPUTED_VALUE"""),0.0)</f>
        <v>0</v>
      </c>
      <c r="AO980" s="82">
        <f>IFERROR(__xludf.DUMMYFUNCTION("""COMPUTED_VALUE"""),0.0)</f>
        <v>0</v>
      </c>
      <c r="AP980" s="82">
        <f>IFERROR(__xludf.DUMMYFUNCTION("""COMPUTED_VALUE"""),0.0)</f>
        <v>0</v>
      </c>
      <c r="AQ980" s="82">
        <f>IFERROR(__xludf.DUMMYFUNCTION("""COMPUTED_VALUE"""),0.0)</f>
        <v>0</v>
      </c>
      <c r="AR980" s="82">
        <f>IFERROR(__xludf.DUMMYFUNCTION("""COMPUTED_VALUE"""),0.0)</f>
        <v>0</v>
      </c>
      <c r="AS980" s="82"/>
      <c r="AT980" s="82">
        <f>IFERROR(__xludf.DUMMYFUNCTION("""COMPUTED_VALUE"""),0.0)</f>
        <v>0</v>
      </c>
      <c r="AU980" s="82"/>
      <c r="AV980" s="82"/>
      <c r="AW980" s="82" t="str">
        <f t="shared" si="1"/>
        <v/>
      </c>
      <c r="AX980" s="83" t="str">
        <f t="array" ref="AX980">IFERROR(DGET('SBV Import'!A:G,"SBV",{"RSC ID","Tier";B980,A980}))</f>
        <v/>
      </c>
      <c r="AY980" s="82" t="str">
        <f t="shared" si="2"/>
        <v/>
      </c>
      <c r="AZ980" s="82"/>
      <c r="BA980" s="84" t="s">
        <v>152</v>
      </c>
      <c r="BB980" s="84" t="str">
        <f>IFERROR(__xludf.DUMMYFUNCTION("iferror(if(A980="""",,E980&gt;=FILTER(Constants!$F$2:$F$10,Constants!$A$2:$A$10=A980)))"),"")</f>
        <v/>
      </c>
    </row>
    <row r="981">
      <c r="A981" s="80"/>
      <c r="B981" s="73"/>
      <c r="C981" s="73"/>
      <c r="D981" s="73"/>
      <c r="E981" s="82"/>
      <c r="F981" s="82"/>
      <c r="G981" s="82"/>
      <c r="H981" s="86"/>
      <c r="I981" s="86"/>
      <c r="J981" s="82"/>
      <c r="K981" s="82"/>
      <c r="L981" s="82"/>
      <c r="M981" s="82"/>
      <c r="N981" s="82"/>
      <c r="O981" s="82"/>
      <c r="P981" s="82"/>
      <c r="Q981" s="82"/>
      <c r="R981" s="82"/>
      <c r="S981" s="82"/>
      <c r="T981" s="82"/>
      <c r="U981" s="82"/>
      <c r="V981" s="82"/>
      <c r="W981" s="82"/>
      <c r="X981" s="82"/>
      <c r="Y981" s="82"/>
      <c r="Z981" s="82"/>
      <c r="AA981" s="82"/>
      <c r="AB981" s="82"/>
      <c r="AC981" s="82"/>
      <c r="AD981" s="82"/>
      <c r="AE981" s="82"/>
      <c r="AF981" s="82"/>
      <c r="AG981" s="82"/>
      <c r="AH981" s="82"/>
      <c r="AI981" s="82"/>
      <c r="AJ981" s="82"/>
      <c r="AK981" s="82"/>
      <c r="AL981" s="82"/>
      <c r="AM981" s="82"/>
      <c r="AN981" s="82">
        <f>IFERROR(__xludf.DUMMYFUNCTION("""COMPUTED_VALUE"""),0.0)</f>
        <v>0</v>
      </c>
      <c r="AO981" s="82">
        <f>IFERROR(__xludf.DUMMYFUNCTION("""COMPUTED_VALUE"""),0.0)</f>
        <v>0</v>
      </c>
      <c r="AP981" s="82">
        <f>IFERROR(__xludf.DUMMYFUNCTION("""COMPUTED_VALUE"""),0.0)</f>
        <v>0</v>
      </c>
      <c r="AQ981" s="82">
        <f>IFERROR(__xludf.DUMMYFUNCTION("""COMPUTED_VALUE"""),0.0)</f>
        <v>0</v>
      </c>
      <c r="AR981" s="82">
        <f>IFERROR(__xludf.DUMMYFUNCTION("""COMPUTED_VALUE"""),0.0)</f>
        <v>0</v>
      </c>
      <c r="AS981" s="82"/>
      <c r="AT981" s="82">
        <f>IFERROR(__xludf.DUMMYFUNCTION("""COMPUTED_VALUE"""),0.0)</f>
        <v>0</v>
      </c>
      <c r="AU981" s="82"/>
      <c r="AV981" s="82"/>
      <c r="AW981" s="82" t="str">
        <f t="shared" si="1"/>
        <v/>
      </c>
      <c r="AX981" s="83" t="str">
        <f t="array" ref="AX981">IFERROR(DGET('SBV Import'!A:G,"SBV",{"RSC ID","Tier";B981,A981}))</f>
        <v/>
      </c>
      <c r="AY981" s="82" t="str">
        <f t="shared" si="2"/>
        <v/>
      </c>
      <c r="AZ981" s="82"/>
      <c r="BA981" s="84" t="s">
        <v>152</v>
      </c>
      <c r="BB981" s="84" t="str">
        <f>IFERROR(__xludf.DUMMYFUNCTION("iferror(if(A981="""",,E981&gt;=FILTER(Constants!$F$2:$F$10,Constants!$A$2:$A$10=A981)))"),"")</f>
        <v/>
      </c>
    </row>
    <row r="982">
      <c r="A982" s="80"/>
      <c r="B982" s="73"/>
      <c r="C982" s="73"/>
      <c r="D982" s="73"/>
      <c r="E982" s="82"/>
      <c r="F982" s="82"/>
      <c r="G982" s="82"/>
      <c r="H982" s="86"/>
      <c r="I982" s="86"/>
      <c r="J982" s="82"/>
      <c r="K982" s="82"/>
      <c r="L982" s="82"/>
      <c r="M982" s="82"/>
      <c r="N982" s="82"/>
      <c r="O982" s="82"/>
      <c r="P982" s="82"/>
      <c r="Q982" s="82"/>
      <c r="R982" s="82"/>
      <c r="S982" s="82"/>
      <c r="T982" s="82"/>
      <c r="U982" s="82"/>
      <c r="V982" s="82"/>
      <c r="W982" s="82"/>
      <c r="X982" s="82"/>
      <c r="Y982" s="82"/>
      <c r="Z982" s="82"/>
      <c r="AA982" s="82"/>
      <c r="AB982" s="82"/>
      <c r="AC982" s="82"/>
      <c r="AD982" s="82"/>
      <c r="AE982" s="82"/>
      <c r="AF982" s="82"/>
      <c r="AG982" s="82"/>
      <c r="AH982" s="82"/>
      <c r="AI982" s="82"/>
      <c r="AJ982" s="82"/>
      <c r="AK982" s="82"/>
      <c r="AL982" s="82"/>
      <c r="AM982" s="82"/>
      <c r="AN982" s="82">
        <f>IFERROR(__xludf.DUMMYFUNCTION("""COMPUTED_VALUE"""),0.0)</f>
        <v>0</v>
      </c>
      <c r="AO982" s="82">
        <f>IFERROR(__xludf.DUMMYFUNCTION("""COMPUTED_VALUE"""),0.0)</f>
        <v>0</v>
      </c>
      <c r="AP982" s="82">
        <f>IFERROR(__xludf.DUMMYFUNCTION("""COMPUTED_VALUE"""),0.0)</f>
        <v>0</v>
      </c>
      <c r="AQ982" s="82">
        <f>IFERROR(__xludf.DUMMYFUNCTION("""COMPUTED_VALUE"""),0.0)</f>
        <v>0</v>
      </c>
      <c r="AR982" s="82">
        <f>IFERROR(__xludf.DUMMYFUNCTION("""COMPUTED_VALUE"""),0.0)</f>
        <v>0</v>
      </c>
      <c r="AS982" s="82"/>
      <c r="AT982" s="82">
        <f>IFERROR(__xludf.DUMMYFUNCTION("""COMPUTED_VALUE"""),0.0)</f>
        <v>0</v>
      </c>
      <c r="AU982" s="82"/>
      <c r="AV982" s="82"/>
      <c r="AW982" s="82" t="str">
        <f t="shared" si="1"/>
        <v/>
      </c>
      <c r="AX982" s="83" t="str">
        <f t="array" ref="AX982">IFERROR(DGET('SBV Import'!A:G,"SBV",{"RSC ID","Tier";B982,A982}))</f>
        <v/>
      </c>
      <c r="AY982" s="82" t="str">
        <f t="shared" si="2"/>
        <v/>
      </c>
      <c r="AZ982" s="82"/>
      <c r="BA982" s="84" t="s">
        <v>152</v>
      </c>
      <c r="BB982" s="84" t="str">
        <f>IFERROR(__xludf.DUMMYFUNCTION("iferror(if(A982="""",,E982&gt;=FILTER(Constants!$F$2:$F$10,Constants!$A$2:$A$10=A982)))"),"")</f>
        <v/>
      </c>
    </row>
    <row r="983">
      <c r="A983" s="80"/>
      <c r="B983" s="73"/>
      <c r="C983" s="73"/>
      <c r="D983" s="73"/>
      <c r="E983" s="82"/>
      <c r="F983" s="82"/>
      <c r="G983" s="82"/>
      <c r="H983" s="86"/>
      <c r="I983" s="86"/>
      <c r="J983" s="82"/>
      <c r="K983" s="82"/>
      <c r="L983" s="82"/>
      <c r="M983" s="82"/>
      <c r="N983" s="82"/>
      <c r="O983" s="82"/>
      <c r="P983" s="82"/>
      <c r="Q983" s="82"/>
      <c r="R983" s="82"/>
      <c r="S983" s="82"/>
      <c r="T983" s="82"/>
      <c r="U983" s="82"/>
      <c r="V983" s="82"/>
      <c r="W983" s="82"/>
      <c r="X983" s="82"/>
      <c r="Y983" s="82"/>
      <c r="Z983" s="82"/>
      <c r="AA983" s="82"/>
      <c r="AB983" s="82"/>
      <c r="AC983" s="82"/>
      <c r="AD983" s="82"/>
      <c r="AE983" s="82"/>
      <c r="AF983" s="82"/>
      <c r="AG983" s="82"/>
      <c r="AH983" s="82"/>
      <c r="AI983" s="82"/>
      <c r="AJ983" s="82"/>
      <c r="AK983" s="82"/>
      <c r="AL983" s="82"/>
      <c r="AM983" s="82"/>
      <c r="AN983" s="82">
        <f>IFERROR(__xludf.DUMMYFUNCTION("""COMPUTED_VALUE"""),0.0)</f>
        <v>0</v>
      </c>
      <c r="AO983" s="82">
        <f>IFERROR(__xludf.DUMMYFUNCTION("""COMPUTED_VALUE"""),0.0)</f>
        <v>0</v>
      </c>
      <c r="AP983" s="82">
        <f>IFERROR(__xludf.DUMMYFUNCTION("""COMPUTED_VALUE"""),0.0)</f>
        <v>0</v>
      </c>
      <c r="AQ983" s="82">
        <f>IFERROR(__xludf.DUMMYFUNCTION("""COMPUTED_VALUE"""),0.0)</f>
        <v>0</v>
      </c>
      <c r="AR983" s="82">
        <f>IFERROR(__xludf.DUMMYFUNCTION("""COMPUTED_VALUE"""),0.0)</f>
        <v>0</v>
      </c>
      <c r="AS983" s="82"/>
      <c r="AT983" s="82">
        <f>IFERROR(__xludf.DUMMYFUNCTION("""COMPUTED_VALUE"""),0.0)</f>
        <v>0</v>
      </c>
      <c r="AU983" s="82"/>
      <c r="AV983" s="82"/>
      <c r="AW983" s="82" t="str">
        <f t="shared" si="1"/>
        <v/>
      </c>
      <c r="AX983" s="83" t="str">
        <f t="array" ref="AX983">IFERROR(DGET('SBV Import'!A:G,"SBV",{"RSC ID","Tier";B983,A983}))</f>
        <v/>
      </c>
      <c r="AY983" s="82" t="str">
        <f t="shared" si="2"/>
        <v/>
      </c>
      <c r="AZ983" s="82"/>
      <c r="BA983" s="84" t="s">
        <v>152</v>
      </c>
      <c r="BB983" s="84" t="str">
        <f>IFERROR(__xludf.DUMMYFUNCTION("iferror(if(A983="""",,E983&gt;=FILTER(Constants!$F$2:$F$10,Constants!$A$2:$A$10=A983)))"),"")</f>
        <v/>
      </c>
    </row>
    <row r="984">
      <c r="A984" s="80"/>
      <c r="B984" s="73"/>
      <c r="C984" s="88"/>
      <c r="D984" s="73"/>
      <c r="E984" s="82"/>
      <c r="F984" s="82"/>
      <c r="G984" s="82"/>
      <c r="H984" s="86"/>
      <c r="I984" s="86"/>
      <c r="J984" s="82"/>
      <c r="K984" s="82"/>
      <c r="L984" s="82"/>
      <c r="M984" s="82"/>
      <c r="N984" s="82"/>
      <c r="O984" s="82"/>
      <c r="P984" s="82"/>
      <c r="Q984" s="82"/>
      <c r="R984" s="82"/>
      <c r="S984" s="82"/>
      <c r="T984" s="82"/>
      <c r="U984" s="82"/>
      <c r="V984" s="82"/>
      <c r="W984" s="82"/>
      <c r="X984" s="82"/>
      <c r="Y984" s="82"/>
      <c r="Z984" s="82"/>
      <c r="AA984" s="82"/>
      <c r="AB984" s="82"/>
      <c r="AC984" s="82"/>
      <c r="AD984" s="82"/>
      <c r="AE984" s="82"/>
      <c r="AF984" s="82"/>
      <c r="AG984" s="82"/>
      <c r="AH984" s="82"/>
      <c r="AI984" s="82"/>
      <c r="AJ984" s="82"/>
      <c r="AK984" s="82"/>
      <c r="AL984" s="82"/>
      <c r="AM984" s="82"/>
      <c r="AN984" s="82">
        <f>IFERROR(__xludf.DUMMYFUNCTION("""COMPUTED_VALUE"""),0.0)</f>
        <v>0</v>
      </c>
      <c r="AO984" s="82">
        <f>IFERROR(__xludf.DUMMYFUNCTION("""COMPUTED_VALUE"""),0.0)</f>
        <v>0</v>
      </c>
      <c r="AP984" s="82">
        <f>IFERROR(__xludf.DUMMYFUNCTION("""COMPUTED_VALUE"""),0.0)</f>
        <v>0</v>
      </c>
      <c r="AQ984" s="82">
        <f>IFERROR(__xludf.DUMMYFUNCTION("""COMPUTED_VALUE"""),0.0)</f>
        <v>0</v>
      </c>
      <c r="AR984" s="82">
        <f>IFERROR(__xludf.DUMMYFUNCTION("""COMPUTED_VALUE"""),0.0)</f>
        <v>0</v>
      </c>
      <c r="AS984" s="82"/>
      <c r="AT984" s="82">
        <f>IFERROR(__xludf.DUMMYFUNCTION("""COMPUTED_VALUE"""),0.0)</f>
        <v>0</v>
      </c>
      <c r="AU984" s="82"/>
      <c r="AV984" s="82"/>
      <c r="AW984" s="82" t="str">
        <f t="shared" si="1"/>
        <v/>
      </c>
      <c r="AX984" s="83" t="str">
        <f t="array" ref="AX984">IFERROR(DGET('SBV Import'!A:G,"SBV",{"RSC ID","Tier";B984,A984}))</f>
        <v/>
      </c>
      <c r="AY984" s="82" t="str">
        <f t="shared" si="2"/>
        <v/>
      </c>
      <c r="AZ984" s="82"/>
      <c r="BA984" s="84" t="s">
        <v>152</v>
      </c>
      <c r="BB984" s="84" t="str">
        <f>IFERROR(__xludf.DUMMYFUNCTION("iferror(if(A984="""",,E984&gt;=FILTER(Constants!$F$2:$F$10,Constants!$A$2:$A$10=A984)))"),"")</f>
        <v/>
      </c>
    </row>
    <row r="985">
      <c r="A985" s="80"/>
      <c r="B985" s="73"/>
      <c r="C985" s="73"/>
      <c r="D985" s="73"/>
      <c r="E985" s="82"/>
      <c r="F985" s="82"/>
      <c r="G985" s="82"/>
      <c r="H985" s="86"/>
      <c r="I985" s="86"/>
      <c r="J985" s="82"/>
      <c r="K985" s="82"/>
      <c r="L985" s="82"/>
      <c r="M985" s="82"/>
      <c r="N985" s="82"/>
      <c r="O985" s="82"/>
      <c r="P985" s="82"/>
      <c r="Q985" s="82"/>
      <c r="R985" s="82"/>
      <c r="S985" s="82"/>
      <c r="T985" s="82"/>
      <c r="U985" s="82"/>
      <c r="V985" s="82"/>
      <c r="W985" s="82"/>
      <c r="X985" s="82"/>
      <c r="Y985" s="82"/>
      <c r="Z985" s="82"/>
      <c r="AA985" s="82"/>
      <c r="AB985" s="82"/>
      <c r="AC985" s="82"/>
      <c r="AD985" s="82"/>
      <c r="AE985" s="82"/>
      <c r="AF985" s="82"/>
      <c r="AG985" s="82"/>
      <c r="AH985" s="82"/>
      <c r="AI985" s="82"/>
      <c r="AJ985" s="82"/>
      <c r="AK985" s="82"/>
      <c r="AL985" s="82"/>
      <c r="AM985" s="82"/>
      <c r="AN985" s="82">
        <f>IFERROR(__xludf.DUMMYFUNCTION("""COMPUTED_VALUE"""),0.0)</f>
        <v>0</v>
      </c>
      <c r="AO985" s="82">
        <f>IFERROR(__xludf.DUMMYFUNCTION("""COMPUTED_VALUE"""),0.0)</f>
        <v>0</v>
      </c>
      <c r="AP985" s="82">
        <f>IFERROR(__xludf.DUMMYFUNCTION("""COMPUTED_VALUE"""),0.0)</f>
        <v>0</v>
      </c>
      <c r="AQ985" s="82">
        <f>IFERROR(__xludf.DUMMYFUNCTION("""COMPUTED_VALUE"""),0.0)</f>
        <v>0</v>
      </c>
      <c r="AR985" s="82">
        <f>IFERROR(__xludf.DUMMYFUNCTION("""COMPUTED_VALUE"""),0.0)</f>
        <v>0</v>
      </c>
      <c r="AS985" s="82"/>
      <c r="AT985" s="82">
        <f>IFERROR(__xludf.DUMMYFUNCTION("""COMPUTED_VALUE"""),0.0)</f>
        <v>0</v>
      </c>
      <c r="AU985" s="82"/>
      <c r="AV985" s="82"/>
      <c r="AW985" s="82" t="str">
        <f t="shared" si="1"/>
        <v/>
      </c>
      <c r="AX985" s="83" t="str">
        <f t="array" ref="AX985">IFERROR(DGET('SBV Import'!A:G,"SBV",{"RSC ID","Tier";B985,A985}))</f>
        <v/>
      </c>
      <c r="AY985" s="82" t="str">
        <f t="shared" si="2"/>
        <v/>
      </c>
      <c r="AZ985" s="82"/>
      <c r="BA985" s="84" t="s">
        <v>152</v>
      </c>
      <c r="BB985" s="84" t="str">
        <f>IFERROR(__xludf.DUMMYFUNCTION("iferror(if(A985="""",,E985&gt;=FILTER(Constants!$F$2:$F$10,Constants!$A$2:$A$10=A985)))"),"")</f>
        <v/>
      </c>
    </row>
    <row r="986">
      <c r="A986" s="80"/>
      <c r="B986" s="73"/>
      <c r="C986" s="73"/>
      <c r="D986" s="73"/>
      <c r="E986" s="82"/>
      <c r="F986" s="82"/>
      <c r="G986" s="82"/>
      <c r="H986" s="86"/>
      <c r="I986" s="86"/>
      <c r="J986" s="82"/>
      <c r="K986" s="82"/>
      <c r="L986" s="82"/>
      <c r="M986" s="82"/>
      <c r="N986" s="82"/>
      <c r="O986" s="82"/>
      <c r="P986" s="82"/>
      <c r="Q986" s="82"/>
      <c r="R986" s="82"/>
      <c r="S986" s="82"/>
      <c r="T986" s="82"/>
      <c r="U986" s="82"/>
      <c r="V986" s="82"/>
      <c r="W986" s="82"/>
      <c r="X986" s="82"/>
      <c r="Y986" s="82"/>
      <c r="Z986" s="82"/>
      <c r="AA986" s="82"/>
      <c r="AB986" s="82"/>
      <c r="AC986" s="82"/>
      <c r="AD986" s="82"/>
      <c r="AE986" s="82"/>
      <c r="AF986" s="82"/>
      <c r="AG986" s="82"/>
      <c r="AH986" s="82"/>
      <c r="AI986" s="82"/>
      <c r="AJ986" s="82"/>
      <c r="AK986" s="82"/>
      <c r="AL986" s="82"/>
      <c r="AM986" s="82"/>
      <c r="AN986" s="82">
        <f>IFERROR(__xludf.DUMMYFUNCTION("""COMPUTED_VALUE"""),0.0)</f>
        <v>0</v>
      </c>
      <c r="AO986" s="82">
        <f>IFERROR(__xludf.DUMMYFUNCTION("""COMPUTED_VALUE"""),0.0)</f>
        <v>0</v>
      </c>
      <c r="AP986" s="82">
        <f>IFERROR(__xludf.DUMMYFUNCTION("""COMPUTED_VALUE"""),0.0)</f>
        <v>0</v>
      </c>
      <c r="AQ986" s="82">
        <f>IFERROR(__xludf.DUMMYFUNCTION("""COMPUTED_VALUE"""),0.0)</f>
        <v>0</v>
      </c>
      <c r="AR986" s="82">
        <f>IFERROR(__xludf.DUMMYFUNCTION("""COMPUTED_VALUE"""),0.0)</f>
        <v>0</v>
      </c>
      <c r="AS986" s="82"/>
      <c r="AT986" s="82">
        <f>IFERROR(__xludf.DUMMYFUNCTION("""COMPUTED_VALUE"""),0.0)</f>
        <v>0</v>
      </c>
      <c r="AU986" s="82"/>
      <c r="AV986" s="82"/>
      <c r="AW986" s="82" t="str">
        <f t="shared" si="1"/>
        <v/>
      </c>
      <c r="AX986" s="83" t="str">
        <f t="array" ref="AX986">IFERROR(DGET('SBV Import'!A:G,"SBV",{"RSC ID","Tier";B986,A986}))</f>
        <v/>
      </c>
      <c r="AY986" s="82" t="str">
        <f t="shared" si="2"/>
        <v/>
      </c>
      <c r="AZ986" s="82"/>
      <c r="BA986" s="84" t="s">
        <v>152</v>
      </c>
      <c r="BB986" s="84" t="str">
        <f>IFERROR(__xludf.DUMMYFUNCTION("iferror(if(A986="""",,E986&gt;=FILTER(Constants!$F$2:$F$10,Constants!$A$2:$A$10=A986)))"),"")</f>
        <v/>
      </c>
    </row>
    <row r="987">
      <c r="A987" s="80"/>
      <c r="B987" s="73"/>
      <c r="C987" s="73"/>
      <c r="D987" s="73"/>
      <c r="E987" s="82"/>
      <c r="F987" s="82"/>
      <c r="G987" s="82"/>
      <c r="H987" s="86"/>
      <c r="I987" s="86"/>
      <c r="J987" s="82"/>
      <c r="K987" s="82"/>
      <c r="L987" s="82"/>
      <c r="M987" s="82"/>
      <c r="N987" s="82"/>
      <c r="O987" s="82"/>
      <c r="P987" s="82"/>
      <c r="Q987" s="82"/>
      <c r="R987" s="82"/>
      <c r="S987" s="82"/>
      <c r="T987" s="82"/>
      <c r="U987" s="82"/>
      <c r="V987" s="82"/>
      <c r="W987" s="82"/>
      <c r="X987" s="82"/>
      <c r="Y987" s="82"/>
      <c r="Z987" s="82"/>
      <c r="AA987" s="82"/>
      <c r="AB987" s="82"/>
      <c r="AC987" s="82"/>
      <c r="AD987" s="82"/>
      <c r="AE987" s="82"/>
      <c r="AF987" s="82"/>
      <c r="AG987" s="82"/>
      <c r="AH987" s="82"/>
      <c r="AI987" s="82"/>
      <c r="AJ987" s="82"/>
      <c r="AK987" s="82"/>
      <c r="AL987" s="82"/>
      <c r="AM987" s="82"/>
      <c r="AN987" s="82">
        <f>IFERROR(__xludf.DUMMYFUNCTION("""COMPUTED_VALUE"""),0.0)</f>
        <v>0</v>
      </c>
      <c r="AO987" s="82">
        <f>IFERROR(__xludf.DUMMYFUNCTION("""COMPUTED_VALUE"""),0.0)</f>
        <v>0</v>
      </c>
      <c r="AP987" s="82">
        <f>IFERROR(__xludf.DUMMYFUNCTION("""COMPUTED_VALUE"""),0.0)</f>
        <v>0</v>
      </c>
      <c r="AQ987" s="82">
        <f>IFERROR(__xludf.DUMMYFUNCTION("""COMPUTED_VALUE"""),0.0)</f>
        <v>0</v>
      </c>
      <c r="AR987" s="82">
        <f>IFERROR(__xludf.DUMMYFUNCTION("""COMPUTED_VALUE"""),0.0)</f>
        <v>0</v>
      </c>
      <c r="AS987" s="82"/>
      <c r="AT987" s="82">
        <f>IFERROR(__xludf.DUMMYFUNCTION("""COMPUTED_VALUE"""),0.0)</f>
        <v>0</v>
      </c>
      <c r="AU987" s="82"/>
      <c r="AV987" s="82"/>
      <c r="AW987" s="82" t="str">
        <f t="shared" si="1"/>
        <v/>
      </c>
      <c r="AX987" s="83" t="str">
        <f t="array" ref="AX987">IFERROR(DGET('SBV Import'!A:G,"SBV",{"RSC ID","Tier";B987,A987}))</f>
        <v/>
      </c>
      <c r="AY987" s="82" t="str">
        <f t="shared" si="2"/>
        <v/>
      </c>
      <c r="AZ987" s="82"/>
      <c r="BA987" s="84" t="s">
        <v>152</v>
      </c>
      <c r="BB987" s="84" t="str">
        <f>IFERROR(__xludf.DUMMYFUNCTION("iferror(if(A987="""",,E987&gt;=FILTER(Constants!$F$2:$F$10,Constants!$A$2:$A$10=A987)))"),"")</f>
        <v/>
      </c>
    </row>
    <row r="988">
      <c r="A988" s="80"/>
      <c r="B988" s="73"/>
      <c r="C988" s="73"/>
      <c r="D988" s="73"/>
      <c r="E988" s="82"/>
      <c r="F988" s="82"/>
      <c r="G988" s="82"/>
      <c r="H988" s="86"/>
      <c r="I988" s="86"/>
      <c r="J988" s="82"/>
      <c r="K988" s="82"/>
      <c r="L988" s="82"/>
      <c r="M988" s="82"/>
      <c r="N988" s="82"/>
      <c r="O988" s="82"/>
      <c r="P988" s="82"/>
      <c r="Q988" s="82"/>
      <c r="R988" s="82"/>
      <c r="S988" s="82"/>
      <c r="T988" s="82"/>
      <c r="U988" s="82"/>
      <c r="V988" s="82"/>
      <c r="W988" s="82"/>
      <c r="X988" s="82"/>
      <c r="Y988" s="82"/>
      <c r="Z988" s="82"/>
      <c r="AA988" s="82"/>
      <c r="AB988" s="82"/>
      <c r="AC988" s="82"/>
      <c r="AD988" s="82"/>
      <c r="AE988" s="82"/>
      <c r="AF988" s="82"/>
      <c r="AG988" s="82"/>
      <c r="AH988" s="82"/>
      <c r="AI988" s="82"/>
      <c r="AJ988" s="82"/>
      <c r="AK988" s="82"/>
      <c r="AL988" s="82"/>
      <c r="AM988" s="82"/>
      <c r="AN988" s="82">
        <f>IFERROR(__xludf.DUMMYFUNCTION("""COMPUTED_VALUE"""),0.0)</f>
        <v>0</v>
      </c>
      <c r="AO988" s="82">
        <f>IFERROR(__xludf.DUMMYFUNCTION("""COMPUTED_VALUE"""),0.0)</f>
        <v>0</v>
      </c>
      <c r="AP988" s="82">
        <f>IFERROR(__xludf.DUMMYFUNCTION("""COMPUTED_VALUE"""),0.0)</f>
        <v>0</v>
      </c>
      <c r="AQ988" s="82">
        <f>IFERROR(__xludf.DUMMYFUNCTION("""COMPUTED_VALUE"""),0.0)</f>
        <v>0</v>
      </c>
      <c r="AR988" s="82">
        <f>IFERROR(__xludf.DUMMYFUNCTION("""COMPUTED_VALUE"""),0.0)</f>
        <v>0</v>
      </c>
      <c r="AS988" s="82"/>
      <c r="AT988" s="82">
        <f>IFERROR(__xludf.DUMMYFUNCTION("""COMPUTED_VALUE"""),0.0)</f>
        <v>0</v>
      </c>
      <c r="AU988" s="82"/>
      <c r="AV988" s="82"/>
      <c r="AW988" s="82" t="str">
        <f t="shared" si="1"/>
        <v/>
      </c>
      <c r="AX988" s="83" t="str">
        <f t="array" ref="AX988">IFERROR(DGET('SBV Import'!A:G,"SBV",{"RSC ID","Tier";B988,A988}))</f>
        <v/>
      </c>
      <c r="AY988" s="82" t="str">
        <f t="shared" si="2"/>
        <v/>
      </c>
      <c r="AZ988" s="82"/>
      <c r="BA988" s="84" t="s">
        <v>152</v>
      </c>
      <c r="BB988" s="84" t="str">
        <f>IFERROR(__xludf.DUMMYFUNCTION("iferror(if(A988="""",,E988&gt;=FILTER(Constants!$F$2:$F$10,Constants!$A$2:$A$10=A988)))"),"")</f>
        <v/>
      </c>
    </row>
    <row r="989">
      <c r="A989" s="80"/>
      <c r="B989" s="73"/>
      <c r="C989" s="73"/>
      <c r="D989" s="73"/>
      <c r="E989" s="82"/>
      <c r="F989" s="82"/>
      <c r="G989" s="82"/>
      <c r="H989" s="86"/>
      <c r="I989" s="86"/>
      <c r="J989" s="82"/>
      <c r="K989" s="82"/>
      <c r="L989" s="82"/>
      <c r="M989" s="82"/>
      <c r="N989" s="82"/>
      <c r="O989" s="82"/>
      <c r="P989" s="82"/>
      <c r="Q989" s="82"/>
      <c r="R989" s="82"/>
      <c r="S989" s="82"/>
      <c r="T989" s="82"/>
      <c r="U989" s="82"/>
      <c r="V989" s="82"/>
      <c r="W989" s="82"/>
      <c r="X989" s="82"/>
      <c r="Y989" s="82"/>
      <c r="Z989" s="82"/>
      <c r="AA989" s="82"/>
      <c r="AB989" s="82"/>
      <c r="AC989" s="82"/>
      <c r="AD989" s="82"/>
      <c r="AE989" s="82"/>
      <c r="AF989" s="82"/>
      <c r="AG989" s="82"/>
      <c r="AH989" s="82"/>
      <c r="AI989" s="82"/>
      <c r="AJ989" s="82"/>
      <c r="AK989" s="82"/>
      <c r="AL989" s="82"/>
      <c r="AM989" s="82"/>
      <c r="AN989" s="82">
        <f>IFERROR(__xludf.DUMMYFUNCTION("""COMPUTED_VALUE"""),0.0)</f>
        <v>0</v>
      </c>
      <c r="AO989" s="82">
        <f>IFERROR(__xludf.DUMMYFUNCTION("""COMPUTED_VALUE"""),0.0)</f>
        <v>0</v>
      </c>
      <c r="AP989" s="82">
        <f>IFERROR(__xludf.DUMMYFUNCTION("""COMPUTED_VALUE"""),0.0)</f>
        <v>0</v>
      </c>
      <c r="AQ989" s="82">
        <f>IFERROR(__xludf.DUMMYFUNCTION("""COMPUTED_VALUE"""),0.0)</f>
        <v>0</v>
      </c>
      <c r="AR989" s="82">
        <f>IFERROR(__xludf.DUMMYFUNCTION("""COMPUTED_VALUE"""),0.0)</f>
        <v>0</v>
      </c>
      <c r="AS989" s="82"/>
      <c r="AT989" s="82">
        <f>IFERROR(__xludf.DUMMYFUNCTION("""COMPUTED_VALUE"""),0.0)</f>
        <v>0</v>
      </c>
      <c r="AU989" s="82"/>
      <c r="AV989" s="82"/>
      <c r="AW989" s="82" t="str">
        <f t="shared" si="1"/>
        <v/>
      </c>
      <c r="AX989" s="83" t="str">
        <f t="array" ref="AX989">IFERROR(DGET('SBV Import'!A:G,"SBV",{"RSC ID","Tier";B989,A989}))</f>
        <v/>
      </c>
      <c r="AY989" s="82" t="str">
        <f t="shared" si="2"/>
        <v/>
      </c>
      <c r="AZ989" s="82"/>
      <c r="BA989" s="84" t="s">
        <v>152</v>
      </c>
      <c r="BB989" s="84" t="str">
        <f>IFERROR(__xludf.DUMMYFUNCTION("iferror(if(A989="""",,E989&gt;=FILTER(Constants!$F$2:$F$10,Constants!$A$2:$A$10=A989)))"),"")</f>
        <v/>
      </c>
    </row>
    <row r="990">
      <c r="A990" s="80"/>
      <c r="B990" s="73"/>
      <c r="C990" s="73"/>
      <c r="D990" s="73"/>
      <c r="E990" s="82"/>
      <c r="F990" s="82"/>
      <c r="G990" s="82"/>
      <c r="H990" s="86"/>
      <c r="I990" s="86"/>
      <c r="J990" s="82"/>
      <c r="K990" s="82"/>
      <c r="L990" s="82"/>
      <c r="M990" s="82"/>
      <c r="N990" s="82"/>
      <c r="O990" s="82"/>
      <c r="P990" s="82"/>
      <c r="Q990" s="82"/>
      <c r="R990" s="82"/>
      <c r="S990" s="82"/>
      <c r="T990" s="82"/>
      <c r="U990" s="82"/>
      <c r="V990" s="82"/>
      <c r="W990" s="82"/>
      <c r="X990" s="82"/>
      <c r="Y990" s="82"/>
      <c r="Z990" s="82"/>
      <c r="AA990" s="82"/>
      <c r="AB990" s="82"/>
      <c r="AC990" s="82"/>
      <c r="AD990" s="82"/>
      <c r="AE990" s="82"/>
      <c r="AF990" s="82"/>
      <c r="AG990" s="82"/>
      <c r="AH990" s="82"/>
      <c r="AI990" s="82"/>
      <c r="AJ990" s="82"/>
      <c r="AK990" s="82"/>
      <c r="AL990" s="82"/>
      <c r="AM990" s="82"/>
      <c r="AN990" s="82">
        <f>IFERROR(__xludf.DUMMYFUNCTION("""COMPUTED_VALUE"""),0.0)</f>
        <v>0</v>
      </c>
      <c r="AO990" s="82">
        <f>IFERROR(__xludf.DUMMYFUNCTION("""COMPUTED_VALUE"""),0.0)</f>
        <v>0</v>
      </c>
      <c r="AP990" s="82">
        <f>IFERROR(__xludf.DUMMYFUNCTION("""COMPUTED_VALUE"""),0.0)</f>
        <v>0</v>
      </c>
      <c r="AQ990" s="82">
        <f>IFERROR(__xludf.DUMMYFUNCTION("""COMPUTED_VALUE"""),0.0)</f>
        <v>0</v>
      </c>
      <c r="AR990" s="82">
        <f>IFERROR(__xludf.DUMMYFUNCTION("""COMPUTED_VALUE"""),0.0)</f>
        <v>0</v>
      </c>
      <c r="AS990" s="82"/>
      <c r="AT990" s="82">
        <f>IFERROR(__xludf.DUMMYFUNCTION("""COMPUTED_VALUE"""),0.0)</f>
        <v>0</v>
      </c>
      <c r="AU990" s="82"/>
      <c r="AV990" s="82"/>
      <c r="AW990" s="82" t="str">
        <f t="shared" si="1"/>
        <v/>
      </c>
      <c r="AX990" s="83" t="str">
        <f t="array" ref="AX990">IFERROR(DGET('SBV Import'!A:G,"SBV",{"RSC ID","Tier";B990,A990}))</f>
        <v/>
      </c>
      <c r="AY990" s="82" t="str">
        <f t="shared" si="2"/>
        <v/>
      </c>
      <c r="AZ990" s="82"/>
      <c r="BA990" s="84" t="s">
        <v>152</v>
      </c>
      <c r="BB990" s="84" t="str">
        <f>IFERROR(__xludf.DUMMYFUNCTION("iferror(if(A990="""",,E990&gt;=FILTER(Constants!$F$2:$F$10,Constants!$A$2:$A$10=A990)))"),"")</f>
        <v/>
      </c>
    </row>
    <row r="991">
      <c r="A991" s="80"/>
      <c r="B991" s="73"/>
      <c r="C991" s="73"/>
      <c r="D991" s="73"/>
      <c r="E991" s="82"/>
      <c r="F991" s="82"/>
      <c r="G991" s="82"/>
      <c r="H991" s="86"/>
      <c r="I991" s="86"/>
      <c r="J991" s="82"/>
      <c r="K991" s="82"/>
      <c r="L991" s="82"/>
      <c r="M991" s="82"/>
      <c r="N991" s="82"/>
      <c r="O991" s="82"/>
      <c r="P991" s="82"/>
      <c r="Q991" s="82"/>
      <c r="R991" s="82"/>
      <c r="S991" s="82"/>
      <c r="T991" s="82"/>
      <c r="U991" s="82"/>
      <c r="V991" s="82"/>
      <c r="W991" s="82"/>
      <c r="X991" s="82"/>
      <c r="Y991" s="82"/>
      <c r="Z991" s="82"/>
      <c r="AA991" s="82"/>
      <c r="AB991" s="82"/>
      <c r="AC991" s="82"/>
      <c r="AD991" s="82"/>
      <c r="AE991" s="82"/>
      <c r="AF991" s="82"/>
      <c r="AG991" s="82"/>
      <c r="AH991" s="82"/>
      <c r="AI991" s="82"/>
      <c r="AJ991" s="82"/>
      <c r="AK991" s="82"/>
      <c r="AL991" s="82"/>
      <c r="AM991" s="82"/>
      <c r="AN991" s="82">
        <f>IFERROR(__xludf.DUMMYFUNCTION("""COMPUTED_VALUE"""),0.0)</f>
        <v>0</v>
      </c>
      <c r="AO991" s="82">
        <f>IFERROR(__xludf.DUMMYFUNCTION("""COMPUTED_VALUE"""),0.0)</f>
        <v>0</v>
      </c>
      <c r="AP991" s="82">
        <f>IFERROR(__xludf.DUMMYFUNCTION("""COMPUTED_VALUE"""),0.0)</f>
        <v>0</v>
      </c>
      <c r="AQ991" s="82">
        <f>IFERROR(__xludf.DUMMYFUNCTION("""COMPUTED_VALUE"""),0.0)</f>
        <v>0</v>
      </c>
      <c r="AR991" s="82">
        <f>IFERROR(__xludf.DUMMYFUNCTION("""COMPUTED_VALUE"""),0.0)</f>
        <v>0</v>
      </c>
      <c r="AS991" s="82"/>
      <c r="AT991" s="82">
        <f>IFERROR(__xludf.DUMMYFUNCTION("""COMPUTED_VALUE"""),0.0)</f>
        <v>0</v>
      </c>
      <c r="AU991" s="82"/>
      <c r="AV991" s="82"/>
      <c r="AW991" s="82" t="str">
        <f t="shared" si="1"/>
        <v/>
      </c>
      <c r="AX991" s="83" t="str">
        <f t="array" ref="AX991">IFERROR(DGET('SBV Import'!A:G,"SBV",{"RSC ID","Tier";B991,A991}))</f>
        <v/>
      </c>
      <c r="AY991" s="82" t="str">
        <f t="shared" si="2"/>
        <v/>
      </c>
      <c r="AZ991" s="82"/>
      <c r="BA991" s="84" t="s">
        <v>152</v>
      </c>
      <c r="BB991" s="84" t="str">
        <f>IFERROR(__xludf.DUMMYFUNCTION("iferror(if(A991="""",,E991&gt;=FILTER(Constants!$F$2:$F$10,Constants!$A$2:$A$10=A991)))"),"")</f>
        <v/>
      </c>
    </row>
    <row r="992">
      <c r="A992" s="80"/>
      <c r="B992" s="73"/>
      <c r="C992" s="73"/>
      <c r="D992" s="73"/>
      <c r="E992" s="82"/>
      <c r="F992" s="82"/>
      <c r="G992" s="82"/>
      <c r="H992" s="86"/>
      <c r="I992" s="86"/>
      <c r="J992" s="82"/>
      <c r="K992" s="82"/>
      <c r="L992" s="82"/>
      <c r="M992" s="82"/>
      <c r="N992" s="82"/>
      <c r="O992" s="82"/>
      <c r="P992" s="82"/>
      <c r="Q992" s="82"/>
      <c r="R992" s="82"/>
      <c r="S992" s="82"/>
      <c r="T992" s="82"/>
      <c r="U992" s="82"/>
      <c r="V992" s="82"/>
      <c r="W992" s="82"/>
      <c r="X992" s="82"/>
      <c r="Y992" s="82"/>
      <c r="Z992" s="82"/>
      <c r="AA992" s="82"/>
      <c r="AB992" s="82"/>
      <c r="AC992" s="82"/>
      <c r="AD992" s="82"/>
      <c r="AE992" s="82"/>
      <c r="AF992" s="82"/>
      <c r="AG992" s="82"/>
      <c r="AH992" s="82"/>
      <c r="AI992" s="82"/>
      <c r="AJ992" s="82"/>
      <c r="AK992" s="82"/>
      <c r="AL992" s="82"/>
      <c r="AM992" s="82"/>
      <c r="AN992" s="82">
        <f>IFERROR(__xludf.DUMMYFUNCTION("""COMPUTED_VALUE"""),0.0)</f>
        <v>0</v>
      </c>
      <c r="AO992" s="82">
        <f>IFERROR(__xludf.DUMMYFUNCTION("""COMPUTED_VALUE"""),0.0)</f>
        <v>0</v>
      </c>
      <c r="AP992" s="82">
        <f>IFERROR(__xludf.DUMMYFUNCTION("""COMPUTED_VALUE"""),0.0)</f>
        <v>0</v>
      </c>
      <c r="AQ992" s="82">
        <f>IFERROR(__xludf.DUMMYFUNCTION("""COMPUTED_VALUE"""),0.0)</f>
        <v>0</v>
      </c>
      <c r="AR992" s="82">
        <f>IFERROR(__xludf.DUMMYFUNCTION("""COMPUTED_VALUE"""),0.0)</f>
        <v>0</v>
      </c>
      <c r="AS992" s="82"/>
      <c r="AT992" s="82">
        <f>IFERROR(__xludf.DUMMYFUNCTION("""COMPUTED_VALUE"""),0.0)</f>
        <v>0</v>
      </c>
      <c r="AU992" s="82"/>
      <c r="AV992" s="82"/>
      <c r="AW992" s="82" t="str">
        <f t="shared" si="1"/>
        <v/>
      </c>
      <c r="AX992" s="83" t="str">
        <f t="array" ref="AX992">IFERROR(DGET('SBV Import'!A:G,"SBV",{"RSC ID","Tier";B992,A992}))</f>
        <v/>
      </c>
      <c r="AY992" s="82" t="str">
        <f t="shared" si="2"/>
        <v/>
      </c>
      <c r="AZ992" s="82"/>
      <c r="BA992" s="84" t="s">
        <v>152</v>
      </c>
      <c r="BB992" s="84" t="str">
        <f>IFERROR(__xludf.DUMMYFUNCTION("iferror(if(A992="""",,E992&gt;=FILTER(Constants!$F$2:$F$10,Constants!$A$2:$A$10=A992)))"),"")</f>
        <v/>
      </c>
    </row>
    <row r="993">
      <c r="A993" s="80"/>
      <c r="B993" s="73"/>
      <c r="C993" s="73"/>
      <c r="D993" s="73"/>
      <c r="E993" s="82"/>
      <c r="F993" s="82"/>
      <c r="G993" s="82"/>
      <c r="H993" s="86"/>
      <c r="I993" s="86"/>
      <c r="J993" s="82"/>
      <c r="K993" s="82"/>
      <c r="L993" s="82"/>
      <c r="M993" s="82"/>
      <c r="N993" s="82"/>
      <c r="O993" s="82"/>
      <c r="P993" s="82"/>
      <c r="Q993" s="82"/>
      <c r="R993" s="82"/>
      <c r="S993" s="82"/>
      <c r="T993" s="82"/>
      <c r="U993" s="82"/>
      <c r="V993" s="82"/>
      <c r="W993" s="82"/>
      <c r="X993" s="82"/>
      <c r="Y993" s="82"/>
      <c r="Z993" s="82"/>
      <c r="AA993" s="82"/>
      <c r="AB993" s="82"/>
      <c r="AC993" s="82"/>
      <c r="AD993" s="82"/>
      <c r="AE993" s="82"/>
      <c r="AF993" s="82"/>
      <c r="AG993" s="82"/>
      <c r="AH993" s="82"/>
      <c r="AI993" s="82"/>
      <c r="AJ993" s="82"/>
      <c r="AK993" s="82"/>
      <c r="AL993" s="82"/>
      <c r="AM993" s="82"/>
      <c r="AN993" s="82">
        <f>IFERROR(__xludf.DUMMYFUNCTION("""COMPUTED_VALUE"""),0.0)</f>
        <v>0</v>
      </c>
      <c r="AO993" s="82">
        <f>IFERROR(__xludf.DUMMYFUNCTION("""COMPUTED_VALUE"""),0.0)</f>
        <v>0</v>
      </c>
      <c r="AP993" s="82">
        <f>IFERROR(__xludf.DUMMYFUNCTION("""COMPUTED_VALUE"""),0.0)</f>
        <v>0</v>
      </c>
      <c r="AQ993" s="82">
        <f>IFERROR(__xludf.DUMMYFUNCTION("""COMPUTED_VALUE"""),0.0)</f>
        <v>0</v>
      </c>
      <c r="AR993" s="82">
        <f>IFERROR(__xludf.DUMMYFUNCTION("""COMPUTED_VALUE"""),0.0)</f>
        <v>0</v>
      </c>
      <c r="AS993" s="82"/>
      <c r="AT993" s="82">
        <f>IFERROR(__xludf.DUMMYFUNCTION("""COMPUTED_VALUE"""),0.0)</f>
        <v>0</v>
      </c>
      <c r="AU993" s="82"/>
      <c r="AV993" s="82"/>
      <c r="AW993" s="82" t="str">
        <f t="shared" si="1"/>
        <v/>
      </c>
      <c r="AX993" s="83" t="str">
        <f t="array" ref="AX993">IFERROR(DGET('SBV Import'!A:G,"SBV",{"RSC ID","Tier";B993,A993}))</f>
        <v/>
      </c>
      <c r="AY993" s="82" t="str">
        <f t="shared" si="2"/>
        <v/>
      </c>
      <c r="AZ993" s="82"/>
      <c r="BA993" s="84" t="s">
        <v>152</v>
      </c>
      <c r="BB993" s="84" t="str">
        <f>IFERROR(__xludf.DUMMYFUNCTION("iferror(if(A993="""",,E993&gt;=FILTER(Constants!$F$2:$F$10,Constants!$A$2:$A$10=A993)))"),"")</f>
        <v/>
      </c>
    </row>
    <row r="994">
      <c r="A994" s="80"/>
      <c r="B994" s="73"/>
      <c r="C994" s="73"/>
      <c r="D994" s="73"/>
      <c r="E994" s="82"/>
      <c r="F994" s="82"/>
      <c r="G994" s="82"/>
      <c r="H994" s="86"/>
      <c r="I994" s="86"/>
      <c r="J994" s="82"/>
      <c r="K994" s="82"/>
      <c r="L994" s="82"/>
      <c r="M994" s="82"/>
      <c r="N994" s="82"/>
      <c r="O994" s="82"/>
      <c r="P994" s="82"/>
      <c r="Q994" s="82"/>
      <c r="R994" s="82"/>
      <c r="S994" s="82"/>
      <c r="T994" s="82"/>
      <c r="U994" s="82"/>
      <c r="V994" s="82"/>
      <c r="W994" s="82"/>
      <c r="X994" s="82"/>
      <c r="Y994" s="82"/>
      <c r="Z994" s="82"/>
      <c r="AA994" s="82"/>
      <c r="AB994" s="82"/>
      <c r="AC994" s="82"/>
      <c r="AD994" s="82"/>
      <c r="AE994" s="82"/>
      <c r="AF994" s="82"/>
      <c r="AG994" s="82"/>
      <c r="AH994" s="82"/>
      <c r="AI994" s="82"/>
      <c r="AJ994" s="82"/>
      <c r="AK994" s="82"/>
      <c r="AL994" s="82"/>
      <c r="AM994" s="82"/>
      <c r="AN994" s="82">
        <f>IFERROR(__xludf.DUMMYFUNCTION("""COMPUTED_VALUE"""),0.0)</f>
        <v>0</v>
      </c>
      <c r="AO994" s="82">
        <f>IFERROR(__xludf.DUMMYFUNCTION("""COMPUTED_VALUE"""),0.0)</f>
        <v>0</v>
      </c>
      <c r="AP994" s="82">
        <f>IFERROR(__xludf.DUMMYFUNCTION("""COMPUTED_VALUE"""),0.0)</f>
        <v>0</v>
      </c>
      <c r="AQ994" s="82">
        <f>IFERROR(__xludf.DUMMYFUNCTION("""COMPUTED_VALUE"""),0.0)</f>
        <v>0</v>
      </c>
      <c r="AR994" s="82">
        <f>IFERROR(__xludf.DUMMYFUNCTION("""COMPUTED_VALUE"""),0.0)</f>
        <v>0</v>
      </c>
      <c r="AS994" s="82"/>
      <c r="AT994" s="82">
        <f>IFERROR(__xludf.DUMMYFUNCTION("""COMPUTED_VALUE"""),0.0)</f>
        <v>0</v>
      </c>
      <c r="AU994" s="82"/>
      <c r="AV994" s="82"/>
      <c r="AW994" s="82" t="str">
        <f t="shared" si="1"/>
        <v/>
      </c>
      <c r="AX994" s="83" t="str">
        <f t="array" ref="AX994">IFERROR(DGET('SBV Import'!A:G,"SBV",{"RSC ID","Tier";B994,A994}))</f>
        <v/>
      </c>
      <c r="AY994" s="82" t="str">
        <f t="shared" si="2"/>
        <v/>
      </c>
      <c r="AZ994" s="82"/>
      <c r="BA994" s="84" t="s">
        <v>152</v>
      </c>
      <c r="BB994" s="84" t="str">
        <f>IFERROR(__xludf.DUMMYFUNCTION("iferror(if(A994="""",,E994&gt;=FILTER(Constants!$F$2:$F$10,Constants!$A$2:$A$10=A994)))"),"")</f>
        <v/>
      </c>
    </row>
    <row r="995">
      <c r="A995" s="80"/>
      <c r="B995" s="73"/>
      <c r="C995" s="73"/>
      <c r="D995" s="73"/>
      <c r="E995" s="82"/>
      <c r="F995" s="82"/>
      <c r="G995" s="82"/>
      <c r="H995" s="86"/>
      <c r="I995" s="86"/>
      <c r="J995" s="82"/>
      <c r="K995" s="82"/>
      <c r="L995" s="82"/>
      <c r="M995" s="82"/>
      <c r="N995" s="82"/>
      <c r="O995" s="82"/>
      <c r="P995" s="82"/>
      <c r="Q995" s="82"/>
      <c r="R995" s="82"/>
      <c r="S995" s="82"/>
      <c r="T995" s="82"/>
      <c r="U995" s="82"/>
      <c r="V995" s="82"/>
      <c r="W995" s="82"/>
      <c r="X995" s="82"/>
      <c r="Y995" s="82"/>
      <c r="Z995" s="82"/>
      <c r="AA995" s="82"/>
      <c r="AB995" s="82"/>
      <c r="AC995" s="82"/>
      <c r="AD995" s="82"/>
      <c r="AE995" s="82"/>
      <c r="AF995" s="82"/>
      <c r="AG995" s="82"/>
      <c r="AH995" s="82"/>
      <c r="AI995" s="82"/>
      <c r="AJ995" s="82"/>
      <c r="AK995" s="82"/>
      <c r="AL995" s="82"/>
      <c r="AM995" s="82"/>
      <c r="AN995" s="82">
        <f>IFERROR(__xludf.DUMMYFUNCTION("""COMPUTED_VALUE"""),0.0)</f>
        <v>0</v>
      </c>
      <c r="AO995" s="82">
        <f>IFERROR(__xludf.DUMMYFUNCTION("""COMPUTED_VALUE"""),0.0)</f>
        <v>0</v>
      </c>
      <c r="AP995" s="82">
        <f>IFERROR(__xludf.DUMMYFUNCTION("""COMPUTED_VALUE"""),0.0)</f>
        <v>0</v>
      </c>
      <c r="AQ995" s="82">
        <f>IFERROR(__xludf.DUMMYFUNCTION("""COMPUTED_VALUE"""),0.0)</f>
        <v>0</v>
      </c>
      <c r="AR995" s="82">
        <f>IFERROR(__xludf.DUMMYFUNCTION("""COMPUTED_VALUE"""),0.0)</f>
        <v>0</v>
      </c>
      <c r="AS995" s="82"/>
      <c r="AT995" s="82">
        <f>IFERROR(__xludf.DUMMYFUNCTION("""COMPUTED_VALUE"""),0.0)</f>
        <v>0</v>
      </c>
      <c r="AU995" s="82"/>
      <c r="AV995" s="82"/>
      <c r="AW995" s="82" t="str">
        <f t="shared" si="1"/>
        <v/>
      </c>
      <c r="AX995" s="83" t="str">
        <f t="array" ref="AX995">IFERROR(DGET('SBV Import'!A:G,"SBV",{"RSC ID","Tier";B995,A995}))</f>
        <v/>
      </c>
      <c r="AY995" s="82" t="str">
        <f t="shared" si="2"/>
        <v/>
      </c>
      <c r="AZ995" s="82"/>
      <c r="BA995" s="84" t="s">
        <v>152</v>
      </c>
      <c r="BB995" s="84" t="str">
        <f>IFERROR(__xludf.DUMMYFUNCTION("iferror(if(A995="""",,E995&gt;=FILTER(Constants!$F$2:$F$10,Constants!$A$2:$A$10=A995)))"),"")</f>
        <v/>
      </c>
    </row>
    <row r="996">
      <c r="A996" s="80"/>
      <c r="B996" s="73"/>
      <c r="C996" s="73"/>
      <c r="D996" s="73"/>
      <c r="E996" s="82"/>
      <c r="F996" s="82"/>
      <c r="G996" s="82"/>
      <c r="H996" s="86"/>
      <c r="I996" s="86"/>
      <c r="J996" s="82"/>
      <c r="K996" s="82"/>
      <c r="L996" s="82"/>
      <c r="M996" s="82"/>
      <c r="N996" s="82"/>
      <c r="O996" s="82"/>
      <c r="P996" s="82"/>
      <c r="Q996" s="82"/>
      <c r="R996" s="82"/>
      <c r="S996" s="82"/>
      <c r="T996" s="82"/>
      <c r="U996" s="82"/>
      <c r="V996" s="82"/>
      <c r="W996" s="82"/>
      <c r="X996" s="82"/>
      <c r="Y996" s="82"/>
      <c r="Z996" s="82"/>
      <c r="AA996" s="82"/>
      <c r="AB996" s="82"/>
      <c r="AC996" s="82"/>
      <c r="AD996" s="82"/>
      <c r="AE996" s="82"/>
      <c r="AF996" s="82"/>
      <c r="AG996" s="82"/>
      <c r="AH996" s="82"/>
      <c r="AI996" s="82"/>
      <c r="AJ996" s="82"/>
      <c r="AK996" s="82"/>
      <c r="AL996" s="82"/>
      <c r="AM996" s="82"/>
      <c r="AN996" s="82">
        <f>IFERROR(__xludf.DUMMYFUNCTION("""COMPUTED_VALUE"""),0.0)</f>
        <v>0</v>
      </c>
      <c r="AO996" s="82">
        <f>IFERROR(__xludf.DUMMYFUNCTION("""COMPUTED_VALUE"""),0.0)</f>
        <v>0</v>
      </c>
      <c r="AP996" s="82">
        <f>IFERROR(__xludf.DUMMYFUNCTION("""COMPUTED_VALUE"""),0.0)</f>
        <v>0</v>
      </c>
      <c r="AQ996" s="82">
        <f>IFERROR(__xludf.DUMMYFUNCTION("""COMPUTED_VALUE"""),0.0)</f>
        <v>0</v>
      </c>
      <c r="AR996" s="82">
        <f>IFERROR(__xludf.DUMMYFUNCTION("""COMPUTED_VALUE"""),0.0)</f>
        <v>0</v>
      </c>
      <c r="AS996" s="82"/>
      <c r="AT996" s="82">
        <f>IFERROR(__xludf.DUMMYFUNCTION("""COMPUTED_VALUE"""),0.0)</f>
        <v>0</v>
      </c>
      <c r="AU996" s="82"/>
      <c r="AV996" s="82"/>
      <c r="AW996" s="82" t="str">
        <f t="shared" si="1"/>
        <v/>
      </c>
      <c r="AX996" s="83" t="str">
        <f t="array" ref="AX996">IFERROR(DGET('SBV Import'!A:G,"SBV",{"RSC ID","Tier";B996,A996}))</f>
        <v/>
      </c>
      <c r="AY996" s="82" t="str">
        <f t="shared" si="2"/>
        <v/>
      </c>
      <c r="AZ996" s="82"/>
      <c r="BA996" s="84" t="s">
        <v>152</v>
      </c>
      <c r="BB996" s="84" t="str">
        <f>IFERROR(__xludf.DUMMYFUNCTION("iferror(if(A996="""",,E996&gt;=FILTER(Constants!$F$2:$F$10,Constants!$A$2:$A$10=A996)))"),"")</f>
        <v/>
      </c>
    </row>
    <row r="997">
      <c r="A997" s="80"/>
      <c r="B997" s="73"/>
      <c r="C997" s="73"/>
      <c r="D997" s="73"/>
      <c r="E997" s="82"/>
      <c r="F997" s="82"/>
      <c r="G997" s="82"/>
      <c r="H997" s="86"/>
      <c r="I997" s="86"/>
      <c r="J997" s="82"/>
      <c r="K997" s="82"/>
      <c r="L997" s="82"/>
      <c r="M997" s="82"/>
      <c r="N997" s="82"/>
      <c r="O997" s="82"/>
      <c r="P997" s="82"/>
      <c r="Q997" s="82"/>
      <c r="R997" s="82"/>
      <c r="S997" s="82"/>
      <c r="T997" s="82"/>
      <c r="U997" s="82"/>
      <c r="V997" s="82"/>
      <c r="W997" s="82"/>
      <c r="X997" s="82"/>
      <c r="Y997" s="82"/>
      <c r="Z997" s="82"/>
      <c r="AA997" s="82"/>
      <c r="AB997" s="82"/>
      <c r="AC997" s="82"/>
      <c r="AD997" s="82"/>
      <c r="AE997" s="82"/>
      <c r="AF997" s="82"/>
      <c r="AG997" s="82"/>
      <c r="AH997" s="82"/>
      <c r="AI997" s="82"/>
      <c r="AJ997" s="82"/>
      <c r="AK997" s="82"/>
      <c r="AL997" s="82"/>
      <c r="AM997" s="82"/>
      <c r="AN997" s="82">
        <f>IFERROR(__xludf.DUMMYFUNCTION("""COMPUTED_VALUE"""),0.0)</f>
        <v>0</v>
      </c>
      <c r="AO997" s="82">
        <f>IFERROR(__xludf.DUMMYFUNCTION("""COMPUTED_VALUE"""),0.0)</f>
        <v>0</v>
      </c>
      <c r="AP997" s="82">
        <f>IFERROR(__xludf.DUMMYFUNCTION("""COMPUTED_VALUE"""),0.0)</f>
        <v>0</v>
      </c>
      <c r="AQ997" s="82">
        <f>IFERROR(__xludf.DUMMYFUNCTION("""COMPUTED_VALUE"""),0.0)</f>
        <v>0</v>
      </c>
      <c r="AR997" s="82">
        <f>IFERROR(__xludf.DUMMYFUNCTION("""COMPUTED_VALUE"""),0.0)</f>
        <v>0</v>
      </c>
      <c r="AS997" s="82"/>
      <c r="AT997" s="82">
        <f>IFERROR(__xludf.DUMMYFUNCTION("""COMPUTED_VALUE"""),0.0)</f>
        <v>0</v>
      </c>
      <c r="AU997" s="82"/>
      <c r="AV997" s="82"/>
      <c r="AW997" s="82" t="str">
        <f t="shared" si="1"/>
        <v/>
      </c>
      <c r="AX997" s="83" t="str">
        <f t="array" ref="AX997">IFERROR(DGET('SBV Import'!A:G,"SBV",{"RSC ID","Tier";B997,A997}))</f>
        <v/>
      </c>
      <c r="AY997" s="82" t="str">
        <f t="shared" si="2"/>
        <v/>
      </c>
      <c r="AZ997" s="82"/>
      <c r="BA997" s="84" t="s">
        <v>152</v>
      </c>
      <c r="BB997" s="84" t="str">
        <f>IFERROR(__xludf.DUMMYFUNCTION("iferror(if(A997="""",,E997&gt;=FILTER(Constants!$F$2:$F$10,Constants!$A$2:$A$10=A997)))"),"")</f>
        <v/>
      </c>
    </row>
    <row r="998">
      <c r="A998" s="80"/>
      <c r="B998" s="73"/>
      <c r="C998" s="73"/>
      <c r="D998" s="73"/>
      <c r="E998" s="82"/>
      <c r="F998" s="82"/>
      <c r="G998" s="82"/>
      <c r="H998" s="86"/>
      <c r="I998" s="86"/>
      <c r="J998" s="82"/>
      <c r="K998" s="82"/>
      <c r="L998" s="82"/>
      <c r="M998" s="82"/>
      <c r="N998" s="82"/>
      <c r="O998" s="82"/>
      <c r="P998" s="82"/>
      <c r="Q998" s="82"/>
      <c r="R998" s="82"/>
      <c r="S998" s="82"/>
      <c r="T998" s="82"/>
      <c r="U998" s="82"/>
      <c r="V998" s="82"/>
      <c r="W998" s="82"/>
      <c r="X998" s="82"/>
      <c r="Y998" s="82"/>
      <c r="Z998" s="82"/>
      <c r="AA998" s="82"/>
      <c r="AB998" s="82"/>
      <c r="AC998" s="82"/>
      <c r="AD998" s="82"/>
      <c r="AE998" s="82"/>
      <c r="AF998" s="82"/>
      <c r="AG998" s="82"/>
      <c r="AH998" s="82"/>
      <c r="AI998" s="82"/>
      <c r="AJ998" s="82"/>
      <c r="AK998" s="82"/>
      <c r="AL998" s="82"/>
      <c r="AM998" s="82"/>
      <c r="AN998" s="82">
        <f>IFERROR(__xludf.DUMMYFUNCTION("""COMPUTED_VALUE"""),0.0)</f>
        <v>0</v>
      </c>
      <c r="AO998" s="82">
        <f>IFERROR(__xludf.DUMMYFUNCTION("""COMPUTED_VALUE"""),0.0)</f>
        <v>0</v>
      </c>
      <c r="AP998" s="82">
        <f>IFERROR(__xludf.DUMMYFUNCTION("""COMPUTED_VALUE"""),0.0)</f>
        <v>0</v>
      </c>
      <c r="AQ998" s="82">
        <f>IFERROR(__xludf.DUMMYFUNCTION("""COMPUTED_VALUE"""),0.0)</f>
        <v>0</v>
      </c>
      <c r="AR998" s="82">
        <f>IFERROR(__xludf.DUMMYFUNCTION("""COMPUTED_VALUE"""),0.0)</f>
        <v>0</v>
      </c>
      <c r="AS998" s="82"/>
      <c r="AT998" s="82">
        <f>IFERROR(__xludf.DUMMYFUNCTION("""COMPUTED_VALUE"""),0.0)</f>
        <v>0</v>
      </c>
      <c r="AU998" s="82"/>
      <c r="AV998" s="82"/>
      <c r="AW998" s="82" t="str">
        <f t="shared" si="1"/>
        <v/>
      </c>
      <c r="AX998" s="83" t="str">
        <f t="array" ref="AX998">IFERROR(DGET('SBV Import'!A:G,"SBV",{"RSC ID","Tier";B998,A998}))</f>
        <v/>
      </c>
      <c r="AY998" s="82" t="str">
        <f t="shared" si="2"/>
        <v/>
      </c>
      <c r="AZ998" s="82"/>
      <c r="BA998" s="84" t="s">
        <v>152</v>
      </c>
      <c r="BB998" s="84" t="str">
        <f>IFERROR(__xludf.DUMMYFUNCTION("iferror(if(A998="""",,E998&gt;=FILTER(Constants!$F$2:$F$10,Constants!$A$2:$A$10=A998)))"),"")</f>
        <v/>
      </c>
    </row>
    <row r="999">
      <c r="A999" s="80"/>
      <c r="B999" s="73"/>
      <c r="C999" s="73"/>
      <c r="D999" s="73"/>
      <c r="E999" s="82"/>
      <c r="F999" s="82"/>
      <c r="G999" s="82"/>
      <c r="H999" s="86"/>
      <c r="I999" s="86"/>
      <c r="J999" s="82"/>
      <c r="K999" s="82"/>
      <c r="L999" s="82"/>
      <c r="M999" s="82"/>
      <c r="N999" s="82"/>
      <c r="O999" s="82"/>
      <c r="P999" s="82"/>
      <c r="Q999" s="82"/>
      <c r="R999" s="82"/>
      <c r="S999" s="82"/>
      <c r="T999" s="82"/>
      <c r="U999" s="82"/>
      <c r="V999" s="82"/>
      <c r="W999" s="82"/>
      <c r="X999" s="82"/>
      <c r="Y999" s="82"/>
      <c r="Z999" s="82"/>
      <c r="AA999" s="82"/>
      <c r="AB999" s="82"/>
      <c r="AC999" s="82"/>
      <c r="AD999" s="82"/>
      <c r="AE999" s="82"/>
      <c r="AF999" s="82"/>
      <c r="AG999" s="82"/>
      <c r="AH999" s="82"/>
      <c r="AI999" s="82"/>
      <c r="AJ999" s="82"/>
      <c r="AK999" s="82"/>
      <c r="AL999" s="82"/>
      <c r="AM999" s="82"/>
      <c r="AN999" s="82">
        <f>IFERROR(__xludf.DUMMYFUNCTION("""COMPUTED_VALUE"""),0.0)</f>
        <v>0</v>
      </c>
      <c r="AO999" s="82">
        <f>IFERROR(__xludf.DUMMYFUNCTION("""COMPUTED_VALUE"""),0.0)</f>
        <v>0</v>
      </c>
      <c r="AP999" s="82">
        <f>IFERROR(__xludf.DUMMYFUNCTION("""COMPUTED_VALUE"""),0.0)</f>
        <v>0</v>
      </c>
      <c r="AQ999" s="82">
        <f>IFERROR(__xludf.DUMMYFUNCTION("""COMPUTED_VALUE"""),0.0)</f>
        <v>0</v>
      </c>
      <c r="AR999" s="82">
        <f>IFERROR(__xludf.DUMMYFUNCTION("""COMPUTED_VALUE"""),0.0)</f>
        <v>0</v>
      </c>
      <c r="AS999" s="82"/>
      <c r="AT999" s="82">
        <f>IFERROR(__xludf.DUMMYFUNCTION("""COMPUTED_VALUE"""),0.0)</f>
        <v>0</v>
      </c>
      <c r="AU999" s="82"/>
      <c r="AV999" s="82"/>
      <c r="AW999" s="82" t="str">
        <f t="shared" si="1"/>
        <v/>
      </c>
      <c r="AX999" s="83" t="str">
        <f t="array" ref="AX999">IFERROR(DGET('SBV Import'!A:G,"SBV",{"RSC ID","Tier";B999,A999}))</f>
        <v/>
      </c>
      <c r="AY999" s="82" t="str">
        <f t="shared" si="2"/>
        <v/>
      </c>
      <c r="AZ999" s="82"/>
      <c r="BA999" s="84" t="s">
        <v>152</v>
      </c>
      <c r="BB999" s="84" t="str">
        <f>IFERROR(__xludf.DUMMYFUNCTION("iferror(if(A999="""",,E999&gt;=FILTER(Constants!$F$2:$F$10,Constants!$A$2:$A$10=A999)))"),"")</f>
        <v/>
      </c>
    </row>
    <row r="1000">
      <c r="A1000" s="80"/>
      <c r="B1000" s="73"/>
      <c r="C1000" s="73"/>
      <c r="D1000" s="73"/>
      <c r="E1000" s="82"/>
      <c r="F1000" s="82"/>
      <c r="G1000" s="82"/>
      <c r="H1000" s="86"/>
      <c r="I1000" s="86"/>
      <c r="J1000" s="82"/>
      <c r="K1000" s="82"/>
      <c r="L1000" s="82"/>
      <c r="M1000" s="82"/>
      <c r="N1000" s="82"/>
      <c r="O1000" s="82"/>
      <c r="P1000" s="82"/>
      <c r="Q1000" s="82"/>
      <c r="R1000" s="82"/>
      <c r="S1000" s="82"/>
      <c r="T1000" s="82"/>
      <c r="U1000" s="82"/>
      <c r="V1000" s="82"/>
      <c r="W1000" s="82"/>
      <c r="X1000" s="82"/>
      <c r="Y1000" s="82"/>
      <c r="Z1000" s="82"/>
      <c r="AA1000" s="82"/>
      <c r="AB1000" s="82"/>
      <c r="AC1000" s="82"/>
      <c r="AD1000" s="82"/>
      <c r="AE1000" s="82"/>
      <c r="AF1000" s="82"/>
      <c r="AG1000" s="82"/>
      <c r="AH1000" s="82"/>
      <c r="AI1000" s="82"/>
      <c r="AJ1000" s="82"/>
      <c r="AK1000" s="82"/>
      <c r="AL1000" s="82"/>
      <c r="AM1000" s="82"/>
      <c r="AN1000" s="82">
        <f>IFERROR(__xludf.DUMMYFUNCTION("""COMPUTED_VALUE"""),0.0)</f>
        <v>0</v>
      </c>
      <c r="AO1000" s="82">
        <f>IFERROR(__xludf.DUMMYFUNCTION("""COMPUTED_VALUE"""),0.0)</f>
        <v>0</v>
      </c>
      <c r="AP1000" s="82">
        <f>IFERROR(__xludf.DUMMYFUNCTION("""COMPUTED_VALUE"""),0.0)</f>
        <v>0</v>
      </c>
      <c r="AQ1000" s="82">
        <f>IFERROR(__xludf.DUMMYFUNCTION("""COMPUTED_VALUE"""),0.0)</f>
        <v>0</v>
      </c>
      <c r="AR1000" s="82">
        <f>IFERROR(__xludf.DUMMYFUNCTION("""COMPUTED_VALUE"""),0.0)</f>
        <v>0</v>
      </c>
      <c r="AS1000" s="82"/>
      <c r="AT1000" s="82">
        <f>IFERROR(__xludf.DUMMYFUNCTION("""COMPUTED_VALUE"""),0.0)</f>
        <v>0</v>
      </c>
      <c r="AU1000" s="82"/>
      <c r="AV1000" s="82"/>
      <c r="AW1000" s="82" t="str">
        <f t="shared" si="1"/>
        <v/>
      </c>
      <c r="AX1000" s="83" t="str">
        <f t="array" ref="AX1000">IFERROR(DGET('SBV Import'!A:G,"SBV",{"RSC ID","Tier";B1000,A1000}))</f>
        <v/>
      </c>
      <c r="AY1000" s="82" t="str">
        <f t="shared" si="2"/>
        <v/>
      </c>
      <c r="AZ1000" s="82"/>
      <c r="BA1000" s="84" t="s">
        <v>152</v>
      </c>
      <c r="BB1000" s="84" t="str">
        <f>IFERROR(__xludf.DUMMYFUNCTION("iferror(if(A1000="""",,E1000&gt;=FILTER(Constants!$F$2:$F$10,Constants!$A$2:$A$10=A1000)))"),"")</f>
        <v/>
      </c>
    </row>
    <row r="1001">
      <c r="A1001" s="80"/>
      <c r="B1001" s="73"/>
      <c r="C1001" s="73"/>
      <c r="D1001" s="73"/>
      <c r="E1001" s="82"/>
      <c r="F1001" s="82"/>
      <c r="G1001" s="82"/>
      <c r="H1001" s="86"/>
      <c r="I1001" s="86"/>
      <c r="J1001" s="82"/>
      <c r="K1001" s="82"/>
      <c r="L1001" s="82"/>
      <c r="M1001" s="82"/>
      <c r="N1001" s="82"/>
      <c r="O1001" s="82"/>
      <c r="P1001" s="82"/>
      <c r="Q1001" s="82"/>
      <c r="R1001" s="82"/>
      <c r="S1001" s="82"/>
      <c r="T1001" s="82"/>
      <c r="U1001" s="82"/>
      <c r="V1001" s="82"/>
      <c r="W1001" s="82"/>
      <c r="X1001" s="82"/>
      <c r="Y1001" s="82"/>
      <c r="Z1001" s="82"/>
      <c r="AA1001" s="82"/>
      <c r="AB1001" s="82"/>
      <c r="AC1001" s="82"/>
      <c r="AD1001" s="82"/>
      <c r="AE1001" s="82"/>
      <c r="AF1001" s="82"/>
      <c r="AG1001" s="82"/>
      <c r="AH1001" s="82"/>
      <c r="AI1001" s="82"/>
      <c r="AJ1001" s="82"/>
      <c r="AK1001" s="82"/>
      <c r="AL1001" s="82"/>
      <c r="AM1001" s="82"/>
      <c r="AN1001" s="82">
        <f>IFERROR(__xludf.DUMMYFUNCTION("""COMPUTED_VALUE"""),0.0)</f>
        <v>0</v>
      </c>
      <c r="AO1001" s="82">
        <f>IFERROR(__xludf.DUMMYFUNCTION("""COMPUTED_VALUE"""),0.0)</f>
        <v>0</v>
      </c>
      <c r="AP1001" s="82">
        <f>IFERROR(__xludf.DUMMYFUNCTION("""COMPUTED_VALUE"""),0.0)</f>
        <v>0</v>
      </c>
      <c r="AQ1001" s="82">
        <f>IFERROR(__xludf.DUMMYFUNCTION("""COMPUTED_VALUE"""),0.0)</f>
        <v>0</v>
      </c>
      <c r="AR1001" s="82">
        <f>IFERROR(__xludf.DUMMYFUNCTION("""COMPUTED_VALUE"""),0.0)</f>
        <v>0</v>
      </c>
      <c r="AS1001" s="82"/>
      <c r="AT1001" s="82">
        <f>IFERROR(__xludf.DUMMYFUNCTION("""COMPUTED_VALUE"""),0.0)</f>
        <v>0</v>
      </c>
      <c r="AU1001" s="82"/>
      <c r="AV1001" s="82"/>
      <c r="AW1001" s="82" t="str">
        <f t="shared" si="1"/>
        <v/>
      </c>
      <c r="AX1001" s="83" t="str">
        <f t="array" ref="AX1001">IFERROR(DGET('SBV Import'!A:G,"SBV",{"RSC ID","Tier";B1001,A1001}))</f>
        <v/>
      </c>
      <c r="AY1001" s="82" t="str">
        <f t="shared" si="2"/>
        <v/>
      </c>
      <c r="AZ1001" s="82"/>
      <c r="BA1001" s="84" t="s">
        <v>152</v>
      </c>
      <c r="BB1001" s="84" t="str">
        <f>IFERROR(__xludf.DUMMYFUNCTION("iferror(if(A1001="""",,E1001&gt;=FILTER(Constants!$F$2:$F$10,Constants!$A$2:$A$10=A1001)))"),"")</f>
        <v/>
      </c>
    </row>
    <row r="1002">
      <c r="A1002" s="80"/>
      <c r="B1002" s="73"/>
      <c r="C1002" s="73"/>
      <c r="D1002" s="73"/>
      <c r="E1002" s="82"/>
      <c r="F1002" s="82"/>
      <c r="G1002" s="82"/>
      <c r="H1002" s="86"/>
      <c r="I1002" s="86"/>
      <c r="J1002" s="82"/>
      <c r="K1002" s="82"/>
      <c r="L1002" s="82"/>
      <c r="M1002" s="82"/>
      <c r="N1002" s="82"/>
      <c r="O1002" s="82"/>
      <c r="P1002" s="82"/>
      <c r="Q1002" s="82"/>
      <c r="R1002" s="82"/>
      <c r="S1002" s="82"/>
      <c r="T1002" s="82"/>
      <c r="U1002" s="82"/>
      <c r="V1002" s="82"/>
      <c r="W1002" s="82"/>
      <c r="X1002" s="82"/>
      <c r="Y1002" s="82"/>
      <c r="Z1002" s="82"/>
      <c r="AA1002" s="82"/>
      <c r="AB1002" s="82"/>
      <c r="AC1002" s="82"/>
      <c r="AD1002" s="82"/>
      <c r="AE1002" s="82"/>
      <c r="AF1002" s="82"/>
      <c r="AG1002" s="82"/>
      <c r="AH1002" s="82"/>
      <c r="AI1002" s="82"/>
      <c r="AJ1002" s="82"/>
      <c r="AK1002" s="82"/>
      <c r="AL1002" s="82"/>
      <c r="AM1002" s="82"/>
      <c r="AN1002" s="82">
        <f>IFERROR(__xludf.DUMMYFUNCTION("""COMPUTED_VALUE"""),0.0)</f>
        <v>0</v>
      </c>
      <c r="AO1002" s="82">
        <f>IFERROR(__xludf.DUMMYFUNCTION("""COMPUTED_VALUE"""),0.0)</f>
        <v>0</v>
      </c>
      <c r="AP1002" s="82">
        <f>IFERROR(__xludf.DUMMYFUNCTION("""COMPUTED_VALUE"""),0.0)</f>
        <v>0</v>
      </c>
      <c r="AQ1002" s="82">
        <f>IFERROR(__xludf.DUMMYFUNCTION("""COMPUTED_VALUE"""),0.0)</f>
        <v>0</v>
      </c>
      <c r="AR1002" s="82">
        <f>IFERROR(__xludf.DUMMYFUNCTION("""COMPUTED_VALUE"""),0.0)</f>
        <v>0</v>
      </c>
      <c r="AS1002" s="82"/>
      <c r="AT1002" s="82">
        <f>IFERROR(__xludf.DUMMYFUNCTION("""COMPUTED_VALUE"""),0.0)</f>
        <v>0</v>
      </c>
      <c r="AU1002" s="82"/>
      <c r="AV1002" s="82"/>
      <c r="AW1002" s="82" t="str">
        <f t="shared" si="1"/>
        <v/>
      </c>
      <c r="AX1002" s="83" t="str">
        <f t="array" ref="AX1002">IFERROR(DGET('SBV Import'!A:G,"SBV",{"RSC ID","Tier";B1002,A1002}))</f>
        <v/>
      </c>
      <c r="AY1002" s="82" t="str">
        <f t="shared" si="2"/>
        <v/>
      </c>
      <c r="AZ1002" s="82"/>
      <c r="BA1002" s="84" t="s">
        <v>152</v>
      </c>
      <c r="BB1002" s="84" t="str">
        <f>IFERROR(__xludf.DUMMYFUNCTION("iferror(if(A1002="""",,E1002&gt;=FILTER(Constants!$F$2:$F$10,Constants!$A$2:$A$10=A1002)))"),"")</f>
        <v/>
      </c>
    </row>
    <row r="1003">
      <c r="A1003" s="80"/>
      <c r="B1003" s="73"/>
      <c r="C1003" s="73"/>
      <c r="D1003" s="73"/>
      <c r="E1003" s="82"/>
      <c r="F1003" s="82"/>
      <c r="G1003" s="82"/>
      <c r="H1003" s="86"/>
      <c r="I1003" s="86"/>
      <c r="J1003" s="82"/>
      <c r="K1003" s="82"/>
      <c r="L1003" s="82"/>
      <c r="M1003" s="82"/>
      <c r="N1003" s="82"/>
      <c r="O1003" s="82"/>
      <c r="P1003" s="82"/>
      <c r="Q1003" s="82"/>
      <c r="R1003" s="82"/>
      <c r="S1003" s="82"/>
      <c r="T1003" s="82"/>
      <c r="U1003" s="82"/>
      <c r="V1003" s="82"/>
      <c r="W1003" s="82"/>
      <c r="X1003" s="82"/>
      <c r="Y1003" s="82"/>
      <c r="Z1003" s="82"/>
      <c r="AA1003" s="82"/>
      <c r="AB1003" s="82"/>
      <c r="AC1003" s="82"/>
      <c r="AD1003" s="82"/>
      <c r="AE1003" s="82"/>
      <c r="AF1003" s="82"/>
      <c r="AG1003" s="82"/>
      <c r="AH1003" s="82"/>
      <c r="AI1003" s="82"/>
      <c r="AJ1003" s="82"/>
      <c r="AK1003" s="82"/>
      <c r="AL1003" s="82"/>
      <c r="AM1003" s="82"/>
      <c r="AN1003" s="82">
        <f>IFERROR(__xludf.DUMMYFUNCTION("""COMPUTED_VALUE"""),0.0)</f>
        <v>0</v>
      </c>
      <c r="AO1003" s="82">
        <f>IFERROR(__xludf.DUMMYFUNCTION("""COMPUTED_VALUE"""),0.0)</f>
        <v>0</v>
      </c>
      <c r="AP1003" s="82">
        <f>IFERROR(__xludf.DUMMYFUNCTION("""COMPUTED_VALUE"""),0.0)</f>
        <v>0</v>
      </c>
      <c r="AQ1003" s="82">
        <f>IFERROR(__xludf.DUMMYFUNCTION("""COMPUTED_VALUE"""),0.0)</f>
        <v>0</v>
      </c>
      <c r="AR1003" s="82">
        <f>IFERROR(__xludf.DUMMYFUNCTION("""COMPUTED_VALUE"""),0.0)</f>
        <v>0</v>
      </c>
      <c r="AS1003" s="82"/>
      <c r="AT1003" s="82">
        <f>IFERROR(__xludf.DUMMYFUNCTION("""COMPUTED_VALUE"""),0.0)</f>
        <v>0</v>
      </c>
      <c r="AU1003" s="82"/>
      <c r="AV1003" s="82"/>
      <c r="AW1003" s="82" t="str">
        <f t="shared" si="1"/>
        <v/>
      </c>
      <c r="AX1003" s="83" t="str">
        <f t="array" ref="AX1003">IFERROR(DGET('SBV Import'!A:G,"SBV",{"RSC ID","Tier";B1003,A1003}))</f>
        <v/>
      </c>
      <c r="AY1003" s="82" t="str">
        <f t="shared" si="2"/>
        <v/>
      </c>
      <c r="AZ1003" s="82"/>
      <c r="BA1003" s="84" t="s">
        <v>152</v>
      </c>
      <c r="BB1003" s="84" t="str">
        <f>IFERROR(__xludf.DUMMYFUNCTION("iferror(if(A1003="""",,E1003&gt;=FILTER(Constants!$F$2:$F$10,Constants!$A$2:$A$10=A1003)))"),"")</f>
        <v/>
      </c>
    </row>
    <row r="1004">
      <c r="A1004" s="80"/>
      <c r="B1004" s="73"/>
      <c r="C1004" s="73"/>
      <c r="D1004" s="73"/>
      <c r="E1004" s="82"/>
      <c r="F1004" s="82"/>
      <c r="G1004" s="82"/>
      <c r="H1004" s="86"/>
      <c r="I1004" s="86"/>
      <c r="J1004" s="82"/>
      <c r="K1004" s="82"/>
      <c r="L1004" s="82"/>
      <c r="M1004" s="82"/>
      <c r="N1004" s="82"/>
      <c r="O1004" s="82"/>
      <c r="P1004" s="82"/>
      <c r="Q1004" s="82"/>
      <c r="R1004" s="82"/>
      <c r="S1004" s="82"/>
      <c r="T1004" s="82"/>
      <c r="U1004" s="82"/>
      <c r="V1004" s="82"/>
      <c r="W1004" s="82"/>
      <c r="X1004" s="82"/>
      <c r="Y1004" s="82"/>
      <c r="Z1004" s="82"/>
      <c r="AA1004" s="82"/>
      <c r="AB1004" s="82"/>
      <c r="AC1004" s="82"/>
      <c r="AD1004" s="82"/>
      <c r="AE1004" s="82"/>
      <c r="AF1004" s="82"/>
      <c r="AG1004" s="82"/>
      <c r="AH1004" s="82"/>
      <c r="AI1004" s="82"/>
      <c r="AJ1004" s="82"/>
      <c r="AK1004" s="82"/>
      <c r="AL1004" s="82"/>
      <c r="AM1004" s="82"/>
      <c r="AN1004" s="82">
        <f>IFERROR(__xludf.DUMMYFUNCTION("""COMPUTED_VALUE"""),0.0)</f>
        <v>0</v>
      </c>
      <c r="AO1004" s="82">
        <f>IFERROR(__xludf.DUMMYFUNCTION("""COMPUTED_VALUE"""),0.0)</f>
        <v>0</v>
      </c>
      <c r="AP1004" s="82">
        <f>IFERROR(__xludf.DUMMYFUNCTION("""COMPUTED_VALUE"""),0.0)</f>
        <v>0</v>
      </c>
      <c r="AQ1004" s="82">
        <f>IFERROR(__xludf.DUMMYFUNCTION("""COMPUTED_VALUE"""),0.0)</f>
        <v>0</v>
      </c>
      <c r="AR1004" s="82">
        <f>IFERROR(__xludf.DUMMYFUNCTION("""COMPUTED_VALUE"""),0.0)</f>
        <v>0</v>
      </c>
      <c r="AS1004" s="82"/>
      <c r="AT1004" s="82">
        <f>IFERROR(__xludf.DUMMYFUNCTION("""COMPUTED_VALUE"""),0.0)</f>
        <v>0</v>
      </c>
      <c r="AU1004" s="82"/>
      <c r="AV1004" s="82"/>
      <c r="AW1004" s="82" t="str">
        <f t="shared" si="1"/>
        <v/>
      </c>
      <c r="AX1004" s="83" t="str">
        <f t="array" ref="AX1004">IFERROR(DGET('SBV Import'!A:G,"SBV",{"RSC ID","Tier";B1004,A1004}))</f>
        <v/>
      </c>
      <c r="AY1004" s="82" t="str">
        <f t="shared" si="2"/>
        <v/>
      </c>
      <c r="AZ1004" s="82"/>
      <c r="BA1004" s="84" t="s">
        <v>152</v>
      </c>
      <c r="BB1004" s="84" t="str">
        <f>IFERROR(__xludf.DUMMYFUNCTION("iferror(if(A1004="""",,E1004&gt;=FILTER(Constants!$F$2:$F$10,Constants!$A$2:$A$10=A1004)))"),"")</f>
        <v/>
      </c>
    </row>
    <row r="1005">
      <c r="A1005" s="80"/>
      <c r="B1005" s="73"/>
      <c r="C1005" s="73"/>
      <c r="D1005" s="73"/>
      <c r="E1005" s="82"/>
      <c r="F1005" s="82"/>
      <c r="G1005" s="82"/>
      <c r="H1005" s="86"/>
      <c r="I1005" s="86"/>
      <c r="J1005" s="82"/>
      <c r="K1005" s="82"/>
      <c r="L1005" s="82"/>
      <c r="M1005" s="82"/>
      <c r="N1005" s="82"/>
      <c r="O1005" s="82"/>
      <c r="P1005" s="82"/>
      <c r="Q1005" s="82"/>
      <c r="R1005" s="82"/>
      <c r="S1005" s="82"/>
      <c r="T1005" s="82"/>
      <c r="U1005" s="82"/>
      <c r="V1005" s="82"/>
      <c r="W1005" s="82"/>
      <c r="X1005" s="82"/>
      <c r="Y1005" s="82"/>
      <c r="Z1005" s="82"/>
      <c r="AA1005" s="82"/>
      <c r="AB1005" s="82"/>
      <c r="AC1005" s="82"/>
      <c r="AD1005" s="82"/>
      <c r="AE1005" s="82"/>
      <c r="AF1005" s="82"/>
      <c r="AG1005" s="82"/>
      <c r="AH1005" s="82"/>
      <c r="AI1005" s="82"/>
      <c r="AJ1005" s="82"/>
      <c r="AK1005" s="82"/>
      <c r="AL1005" s="82"/>
      <c r="AM1005" s="82"/>
      <c r="AN1005" s="82">
        <f>IFERROR(__xludf.DUMMYFUNCTION("""COMPUTED_VALUE"""),0.0)</f>
        <v>0</v>
      </c>
      <c r="AO1005" s="82">
        <f>IFERROR(__xludf.DUMMYFUNCTION("""COMPUTED_VALUE"""),0.0)</f>
        <v>0</v>
      </c>
      <c r="AP1005" s="82">
        <f>IFERROR(__xludf.DUMMYFUNCTION("""COMPUTED_VALUE"""),0.0)</f>
        <v>0</v>
      </c>
      <c r="AQ1005" s="82">
        <f>IFERROR(__xludf.DUMMYFUNCTION("""COMPUTED_VALUE"""),0.0)</f>
        <v>0</v>
      </c>
      <c r="AR1005" s="82">
        <f>IFERROR(__xludf.DUMMYFUNCTION("""COMPUTED_VALUE"""),0.0)</f>
        <v>0</v>
      </c>
      <c r="AS1005" s="82"/>
      <c r="AT1005" s="82">
        <f>IFERROR(__xludf.DUMMYFUNCTION("""COMPUTED_VALUE"""),0.0)</f>
        <v>0</v>
      </c>
      <c r="AU1005" s="82"/>
      <c r="AV1005" s="82"/>
      <c r="AW1005" s="82" t="str">
        <f t="shared" si="1"/>
        <v/>
      </c>
      <c r="AX1005" s="83" t="str">
        <f t="array" ref="AX1005">IFERROR(DGET('SBV Import'!A:G,"SBV",{"RSC ID","Tier";B1005,A1005}))</f>
        <v/>
      </c>
      <c r="AY1005" s="82" t="str">
        <f t="shared" si="2"/>
        <v/>
      </c>
      <c r="AZ1005" s="82"/>
      <c r="BA1005" s="84" t="s">
        <v>152</v>
      </c>
      <c r="BB1005" s="84" t="str">
        <f>IFERROR(__xludf.DUMMYFUNCTION("iferror(if(A1005="""",,E1005&gt;=FILTER(Constants!$F$2:$F$10,Constants!$A$2:$A$10=A1005)))"),"")</f>
        <v/>
      </c>
    </row>
    <row r="1006">
      <c r="A1006" s="80"/>
      <c r="B1006" s="73"/>
      <c r="C1006" s="73"/>
      <c r="D1006" s="73"/>
      <c r="E1006" s="82"/>
      <c r="F1006" s="82"/>
      <c r="G1006" s="82"/>
      <c r="H1006" s="86"/>
      <c r="I1006" s="86"/>
      <c r="J1006" s="82"/>
      <c r="K1006" s="82"/>
      <c r="L1006" s="82"/>
      <c r="M1006" s="82"/>
      <c r="N1006" s="82"/>
      <c r="O1006" s="82"/>
      <c r="P1006" s="82"/>
      <c r="Q1006" s="82"/>
      <c r="R1006" s="82"/>
      <c r="S1006" s="82"/>
      <c r="T1006" s="82"/>
      <c r="U1006" s="82"/>
      <c r="V1006" s="82"/>
      <c r="W1006" s="82"/>
      <c r="X1006" s="82"/>
      <c r="Y1006" s="82"/>
      <c r="Z1006" s="82"/>
      <c r="AA1006" s="82"/>
      <c r="AB1006" s="82"/>
      <c r="AC1006" s="82"/>
      <c r="AD1006" s="82"/>
      <c r="AE1006" s="82"/>
      <c r="AF1006" s="82"/>
      <c r="AG1006" s="82"/>
      <c r="AH1006" s="82"/>
      <c r="AI1006" s="82"/>
      <c r="AJ1006" s="82"/>
      <c r="AK1006" s="82"/>
      <c r="AL1006" s="82"/>
      <c r="AM1006" s="82"/>
      <c r="AN1006" s="82">
        <f>IFERROR(__xludf.DUMMYFUNCTION("""COMPUTED_VALUE"""),0.0)</f>
        <v>0</v>
      </c>
      <c r="AO1006" s="82">
        <f>IFERROR(__xludf.DUMMYFUNCTION("""COMPUTED_VALUE"""),0.0)</f>
        <v>0</v>
      </c>
      <c r="AP1006" s="82">
        <f>IFERROR(__xludf.DUMMYFUNCTION("""COMPUTED_VALUE"""),0.0)</f>
        <v>0</v>
      </c>
      <c r="AQ1006" s="82">
        <f>IFERROR(__xludf.DUMMYFUNCTION("""COMPUTED_VALUE"""),0.0)</f>
        <v>0</v>
      </c>
      <c r="AR1006" s="82">
        <f>IFERROR(__xludf.DUMMYFUNCTION("""COMPUTED_VALUE"""),0.0)</f>
        <v>0</v>
      </c>
      <c r="AS1006" s="82"/>
      <c r="AT1006" s="82">
        <f>IFERROR(__xludf.DUMMYFUNCTION("""COMPUTED_VALUE"""),0.0)</f>
        <v>0</v>
      </c>
      <c r="AU1006" s="82"/>
      <c r="AV1006" s="82"/>
      <c r="AW1006" s="82" t="str">
        <f t="shared" si="1"/>
        <v/>
      </c>
      <c r="AX1006" s="83" t="str">
        <f t="array" ref="AX1006">IFERROR(DGET('SBV Import'!A:G,"SBV",{"RSC ID","Tier";B1006,A1006}))</f>
        <v/>
      </c>
      <c r="AY1006" s="82" t="str">
        <f t="shared" si="2"/>
        <v/>
      </c>
      <c r="AZ1006" s="82"/>
      <c r="BA1006" s="84" t="s">
        <v>152</v>
      </c>
      <c r="BB1006" s="84" t="str">
        <f>IFERROR(__xludf.DUMMYFUNCTION("iferror(if(A1006="""",,E1006&gt;=FILTER(Constants!$F$2:$F$10,Constants!$A$2:$A$10=A1006)))"),"")</f>
        <v/>
      </c>
    </row>
    <row r="1007">
      <c r="A1007" s="80"/>
      <c r="B1007" s="73"/>
      <c r="C1007" s="73"/>
      <c r="D1007" s="73"/>
      <c r="E1007" s="82"/>
      <c r="F1007" s="82"/>
      <c r="G1007" s="82"/>
      <c r="H1007" s="86"/>
      <c r="I1007" s="86"/>
      <c r="J1007" s="82"/>
      <c r="K1007" s="82"/>
      <c r="L1007" s="82"/>
      <c r="M1007" s="82"/>
      <c r="N1007" s="82"/>
      <c r="O1007" s="82"/>
      <c r="P1007" s="82"/>
      <c r="Q1007" s="82"/>
      <c r="R1007" s="82"/>
      <c r="S1007" s="82"/>
      <c r="T1007" s="82"/>
      <c r="U1007" s="82"/>
      <c r="V1007" s="82"/>
      <c r="W1007" s="82"/>
      <c r="X1007" s="82"/>
      <c r="Y1007" s="82"/>
      <c r="Z1007" s="82"/>
      <c r="AA1007" s="82"/>
      <c r="AB1007" s="82"/>
      <c r="AC1007" s="82"/>
      <c r="AD1007" s="82"/>
      <c r="AE1007" s="82"/>
      <c r="AF1007" s="82"/>
      <c r="AG1007" s="82"/>
      <c r="AH1007" s="82"/>
      <c r="AI1007" s="82"/>
      <c r="AJ1007" s="82"/>
      <c r="AK1007" s="82"/>
      <c r="AL1007" s="82"/>
      <c r="AM1007" s="82"/>
      <c r="AN1007" s="82">
        <f>IFERROR(__xludf.DUMMYFUNCTION("""COMPUTED_VALUE"""),0.0)</f>
        <v>0</v>
      </c>
      <c r="AO1007" s="82">
        <f>IFERROR(__xludf.DUMMYFUNCTION("""COMPUTED_VALUE"""),0.0)</f>
        <v>0</v>
      </c>
      <c r="AP1007" s="82">
        <f>IFERROR(__xludf.DUMMYFUNCTION("""COMPUTED_VALUE"""),0.0)</f>
        <v>0</v>
      </c>
      <c r="AQ1007" s="82">
        <f>IFERROR(__xludf.DUMMYFUNCTION("""COMPUTED_VALUE"""),0.0)</f>
        <v>0</v>
      </c>
      <c r="AR1007" s="82">
        <f>IFERROR(__xludf.DUMMYFUNCTION("""COMPUTED_VALUE"""),0.0)</f>
        <v>0</v>
      </c>
      <c r="AS1007" s="82"/>
      <c r="AT1007" s="82">
        <f>IFERROR(__xludf.DUMMYFUNCTION("""COMPUTED_VALUE"""),0.0)</f>
        <v>0</v>
      </c>
      <c r="AU1007" s="82"/>
      <c r="AV1007" s="82"/>
      <c r="AW1007" s="82" t="str">
        <f t="shared" si="1"/>
        <v/>
      </c>
      <c r="AX1007" s="83" t="str">
        <f t="array" ref="AX1007">IFERROR(DGET('SBV Import'!A:G,"SBV",{"RSC ID","Tier";B1007,A1007}))</f>
        <v/>
      </c>
      <c r="AY1007" s="82" t="str">
        <f t="shared" si="2"/>
        <v/>
      </c>
      <c r="AZ1007" s="82"/>
      <c r="BA1007" s="84" t="s">
        <v>152</v>
      </c>
      <c r="BB1007" s="84" t="str">
        <f>IFERROR(__xludf.DUMMYFUNCTION("iferror(if(A1007="""",,E1007&gt;=FILTER(Constants!$F$2:$F$10,Constants!$A$2:$A$10=A1007)))"),"")</f>
        <v/>
      </c>
    </row>
    <row r="1008">
      <c r="A1008" s="80"/>
      <c r="B1008" s="73"/>
      <c r="C1008" s="73"/>
      <c r="D1008" s="73"/>
      <c r="E1008" s="82"/>
      <c r="F1008" s="82"/>
      <c r="G1008" s="82"/>
      <c r="H1008" s="86"/>
      <c r="I1008" s="86"/>
      <c r="J1008" s="82"/>
      <c r="K1008" s="82"/>
      <c r="L1008" s="82"/>
      <c r="M1008" s="82"/>
      <c r="N1008" s="82"/>
      <c r="O1008" s="82"/>
      <c r="P1008" s="82"/>
      <c r="Q1008" s="82"/>
      <c r="R1008" s="82"/>
      <c r="S1008" s="82"/>
      <c r="T1008" s="82"/>
      <c r="U1008" s="82"/>
      <c r="V1008" s="82"/>
      <c r="W1008" s="82"/>
      <c r="X1008" s="82"/>
      <c r="Y1008" s="82"/>
      <c r="Z1008" s="82"/>
      <c r="AA1008" s="82"/>
      <c r="AB1008" s="82"/>
      <c r="AC1008" s="82"/>
      <c r="AD1008" s="82"/>
      <c r="AE1008" s="82"/>
      <c r="AF1008" s="82"/>
      <c r="AG1008" s="82"/>
      <c r="AH1008" s="82"/>
      <c r="AI1008" s="82"/>
      <c r="AJ1008" s="82"/>
      <c r="AK1008" s="82"/>
      <c r="AL1008" s="82"/>
      <c r="AM1008" s="82"/>
      <c r="AN1008" s="82">
        <f>IFERROR(__xludf.DUMMYFUNCTION("""COMPUTED_VALUE"""),0.0)</f>
        <v>0</v>
      </c>
      <c r="AO1008" s="82">
        <f>IFERROR(__xludf.DUMMYFUNCTION("""COMPUTED_VALUE"""),0.0)</f>
        <v>0</v>
      </c>
      <c r="AP1008" s="82">
        <f>IFERROR(__xludf.DUMMYFUNCTION("""COMPUTED_VALUE"""),0.0)</f>
        <v>0</v>
      </c>
      <c r="AQ1008" s="82">
        <f>IFERROR(__xludf.DUMMYFUNCTION("""COMPUTED_VALUE"""),0.0)</f>
        <v>0</v>
      </c>
      <c r="AR1008" s="82">
        <f>IFERROR(__xludf.DUMMYFUNCTION("""COMPUTED_VALUE"""),0.0)</f>
        <v>0</v>
      </c>
      <c r="AS1008" s="82"/>
      <c r="AT1008" s="82">
        <f>IFERROR(__xludf.DUMMYFUNCTION("""COMPUTED_VALUE"""),0.0)</f>
        <v>0</v>
      </c>
      <c r="AU1008" s="82"/>
      <c r="AV1008" s="82"/>
      <c r="AW1008" s="82" t="str">
        <f t="shared" si="1"/>
        <v/>
      </c>
      <c r="AX1008" s="83" t="str">
        <f t="array" ref="AX1008">IFERROR(DGET('SBV Import'!A:G,"SBV",{"RSC ID","Tier";B1008,A1008}))</f>
        <v/>
      </c>
      <c r="AY1008" s="82" t="str">
        <f t="shared" si="2"/>
        <v/>
      </c>
      <c r="AZ1008" s="82"/>
      <c r="BA1008" s="84" t="s">
        <v>152</v>
      </c>
      <c r="BB1008" s="84" t="str">
        <f>IFERROR(__xludf.DUMMYFUNCTION("iferror(if(A1008="""",,E1008&gt;=FILTER(Constants!$F$2:$F$10,Constants!$A$2:$A$10=A1008)))"),"")</f>
        <v/>
      </c>
    </row>
    <row r="1009">
      <c r="A1009" s="80"/>
      <c r="B1009" s="73"/>
      <c r="C1009" s="73"/>
      <c r="D1009" s="73"/>
      <c r="E1009" s="82"/>
      <c r="F1009" s="82"/>
      <c r="G1009" s="82"/>
      <c r="H1009" s="86"/>
      <c r="I1009" s="86"/>
      <c r="J1009" s="82"/>
      <c r="K1009" s="82"/>
      <c r="L1009" s="82"/>
      <c r="M1009" s="82"/>
      <c r="N1009" s="82"/>
      <c r="O1009" s="82"/>
      <c r="P1009" s="82"/>
      <c r="Q1009" s="82"/>
      <c r="R1009" s="82"/>
      <c r="S1009" s="82"/>
      <c r="T1009" s="82"/>
      <c r="U1009" s="82"/>
      <c r="V1009" s="82"/>
      <c r="W1009" s="82"/>
      <c r="X1009" s="82"/>
      <c r="Y1009" s="82"/>
      <c r="Z1009" s="82"/>
      <c r="AA1009" s="82"/>
      <c r="AB1009" s="82"/>
      <c r="AC1009" s="82"/>
      <c r="AD1009" s="82"/>
      <c r="AE1009" s="82"/>
      <c r="AF1009" s="82"/>
      <c r="AG1009" s="82"/>
      <c r="AH1009" s="82"/>
      <c r="AI1009" s="82"/>
      <c r="AJ1009" s="82"/>
      <c r="AK1009" s="82"/>
      <c r="AL1009" s="82"/>
      <c r="AM1009" s="82"/>
      <c r="AN1009" s="82">
        <f>IFERROR(__xludf.DUMMYFUNCTION("""COMPUTED_VALUE"""),0.0)</f>
        <v>0</v>
      </c>
      <c r="AO1009" s="82">
        <f>IFERROR(__xludf.DUMMYFUNCTION("""COMPUTED_VALUE"""),0.0)</f>
        <v>0</v>
      </c>
      <c r="AP1009" s="82">
        <f>IFERROR(__xludf.DUMMYFUNCTION("""COMPUTED_VALUE"""),0.0)</f>
        <v>0</v>
      </c>
      <c r="AQ1009" s="82">
        <f>IFERROR(__xludf.DUMMYFUNCTION("""COMPUTED_VALUE"""),0.0)</f>
        <v>0</v>
      </c>
      <c r="AR1009" s="82">
        <f>IFERROR(__xludf.DUMMYFUNCTION("""COMPUTED_VALUE"""),0.0)</f>
        <v>0</v>
      </c>
      <c r="AS1009" s="82"/>
      <c r="AT1009" s="82">
        <f>IFERROR(__xludf.DUMMYFUNCTION("""COMPUTED_VALUE"""),0.0)</f>
        <v>0</v>
      </c>
      <c r="AU1009" s="82"/>
      <c r="AV1009" s="82"/>
      <c r="AW1009" s="82" t="str">
        <f t="shared" si="1"/>
        <v/>
      </c>
      <c r="AX1009" s="83" t="str">
        <f t="array" ref="AX1009">IFERROR(DGET('SBV Import'!A:G,"SBV",{"RSC ID","Tier";B1009,A1009}))</f>
        <v/>
      </c>
      <c r="AY1009" s="82" t="str">
        <f t="shared" si="2"/>
        <v/>
      </c>
      <c r="AZ1009" s="82"/>
      <c r="BA1009" s="84" t="s">
        <v>152</v>
      </c>
      <c r="BB1009" s="84" t="str">
        <f>IFERROR(__xludf.DUMMYFUNCTION("iferror(if(A1009="""",,E1009&gt;=FILTER(Constants!$F$2:$F$10,Constants!$A$2:$A$10=A1009)))"),"")</f>
        <v/>
      </c>
    </row>
    <row r="1010">
      <c r="A1010" s="80"/>
      <c r="B1010" s="73"/>
      <c r="C1010" s="73"/>
      <c r="D1010" s="73"/>
      <c r="E1010" s="82"/>
      <c r="F1010" s="82"/>
      <c r="G1010" s="82"/>
      <c r="H1010" s="86"/>
      <c r="I1010" s="86"/>
      <c r="J1010" s="82"/>
      <c r="K1010" s="82"/>
      <c r="L1010" s="82"/>
      <c r="M1010" s="82"/>
      <c r="N1010" s="82"/>
      <c r="O1010" s="82"/>
      <c r="P1010" s="82"/>
      <c r="Q1010" s="82"/>
      <c r="R1010" s="82"/>
      <c r="S1010" s="82"/>
      <c r="T1010" s="82"/>
      <c r="U1010" s="82"/>
      <c r="V1010" s="82"/>
      <c r="W1010" s="82"/>
      <c r="X1010" s="82"/>
      <c r="Y1010" s="82"/>
      <c r="Z1010" s="82"/>
      <c r="AA1010" s="82"/>
      <c r="AB1010" s="82"/>
      <c r="AC1010" s="82"/>
      <c r="AD1010" s="82"/>
      <c r="AE1010" s="82"/>
      <c r="AF1010" s="82"/>
      <c r="AG1010" s="82"/>
      <c r="AH1010" s="82"/>
      <c r="AI1010" s="82"/>
      <c r="AJ1010" s="82"/>
      <c r="AK1010" s="82"/>
      <c r="AL1010" s="82"/>
      <c r="AM1010" s="82"/>
      <c r="AN1010" s="82">
        <f>IFERROR(__xludf.DUMMYFUNCTION("""COMPUTED_VALUE"""),0.0)</f>
        <v>0</v>
      </c>
      <c r="AO1010" s="82">
        <f>IFERROR(__xludf.DUMMYFUNCTION("""COMPUTED_VALUE"""),0.0)</f>
        <v>0</v>
      </c>
      <c r="AP1010" s="82">
        <f>IFERROR(__xludf.DUMMYFUNCTION("""COMPUTED_VALUE"""),0.0)</f>
        <v>0</v>
      </c>
      <c r="AQ1010" s="82">
        <f>IFERROR(__xludf.DUMMYFUNCTION("""COMPUTED_VALUE"""),0.0)</f>
        <v>0</v>
      </c>
      <c r="AR1010" s="82">
        <f>IFERROR(__xludf.DUMMYFUNCTION("""COMPUTED_VALUE"""),0.0)</f>
        <v>0</v>
      </c>
      <c r="AS1010" s="82"/>
      <c r="AT1010" s="82">
        <f>IFERROR(__xludf.DUMMYFUNCTION("""COMPUTED_VALUE"""),0.0)</f>
        <v>0</v>
      </c>
      <c r="AU1010" s="82"/>
      <c r="AV1010" s="82"/>
      <c r="AW1010" s="82" t="str">
        <f t="shared" si="1"/>
        <v/>
      </c>
      <c r="AX1010" s="83" t="str">
        <f t="array" ref="AX1010">IFERROR(DGET('SBV Import'!A:G,"SBV",{"RSC ID","Tier";B1010,A1010}))</f>
        <v/>
      </c>
      <c r="AY1010" s="82" t="str">
        <f t="shared" si="2"/>
        <v/>
      </c>
      <c r="AZ1010" s="82"/>
      <c r="BA1010" s="84" t="s">
        <v>152</v>
      </c>
      <c r="BB1010" s="84" t="str">
        <f>IFERROR(__xludf.DUMMYFUNCTION("iferror(if(A1010="""",,E1010&gt;=FILTER(Constants!$F$2:$F$10,Constants!$A$2:$A$10=A1010)))"),"")</f>
        <v/>
      </c>
    </row>
    <row r="1011">
      <c r="A1011" s="80"/>
      <c r="B1011" s="73"/>
      <c r="C1011" s="73"/>
      <c r="D1011" s="73"/>
      <c r="E1011" s="82"/>
      <c r="F1011" s="82"/>
      <c r="G1011" s="82"/>
      <c r="H1011" s="86"/>
      <c r="I1011" s="86"/>
      <c r="J1011" s="82"/>
      <c r="K1011" s="82"/>
      <c r="L1011" s="82"/>
      <c r="M1011" s="82"/>
      <c r="N1011" s="82"/>
      <c r="O1011" s="82"/>
      <c r="P1011" s="82"/>
      <c r="Q1011" s="82"/>
      <c r="R1011" s="82"/>
      <c r="S1011" s="82"/>
      <c r="T1011" s="82"/>
      <c r="U1011" s="82"/>
      <c r="V1011" s="82"/>
      <c r="W1011" s="82"/>
      <c r="X1011" s="82"/>
      <c r="Y1011" s="82"/>
      <c r="Z1011" s="82"/>
      <c r="AA1011" s="82"/>
      <c r="AB1011" s="82"/>
      <c r="AC1011" s="82"/>
      <c r="AD1011" s="82"/>
      <c r="AE1011" s="82"/>
      <c r="AF1011" s="82"/>
      <c r="AG1011" s="82"/>
      <c r="AH1011" s="82"/>
      <c r="AI1011" s="82"/>
      <c r="AJ1011" s="82"/>
      <c r="AK1011" s="82"/>
      <c r="AL1011" s="82"/>
      <c r="AM1011" s="82"/>
      <c r="AN1011" s="82">
        <f>IFERROR(__xludf.DUMMYFUNCTION("""COMPUTED_VALUE"""),0.0)</f>
        <v>0</v>
      </c>
      <c r="AO1011" s="82">
        <f>IFERROR(__xludf.DUMMYFUNCTION("""COMPUTED_VALUE"""),0.0)</f>
        <v>0</v>
      </c>
      <c r="AP1011" s="82">
        <f>IFERROR(__xludf.DUMMYFUNCTION("""COMPUTED_VALUE"""),0.0)</f>
        <v>0</v>
      </c>
      <c r="AQ1011" s="82">
        <f>IFERROR(__xludf.DUMMYFUNCTION("""COMPUTED_VALUE"""),0.0)</f>
        <v>0</v>
      </c>
      <c r="AR1011" s="82">
        <f>IFERROR(__xludf.DUMMYFUNCTION("""COMPUTED_VALUE"""),0.0)</f>
        <v>0</v>
      </c>
      <c r="AS1011" s="82"/>
      <c r="AT1011" s="82">
        <f>IFERROR(__xludf.DUMMYFUNCTION("""COMPUTED_VALUE"""),0.0)</f>
        <v>0</v>
      </c>
      <c r="AU1011" s="82"/>
      <c r="AV1011" s="82"/>
      <c r="AW1011" s="82" t="str">
        <f t="shared" si="1"/>
        <v/>
      </c>
      <c r="AX1011" s="83" t="str">
        <f t="array" ref="AX1011">IFERROR(DGET('SBV Import'!A:G,"SBV",{"RSC ID","Tier";B1011,A1011}))</f>
        <v/>
      </c>
      <c r="AY1011" s="82" t="str">
        <f t="shared" si="2"/>
        <v/>
      </c>
      <c r="AZ1011" s="82"/>
      <c r="BA1011" s="84" t="s">
        <v>152</v>
      </c>
      <c r="BB1011" s="84" t="str">
        <f>IFERROR(__xludf.DUMMYFUNCTION("iferror(if(A1011="""",,E1011&gt;=FILTER(Constants!$F$2:$F$10,Constants!$A$2:$A$10=A1011)))"),"")</f>
        <v/>
      </c>
    </row>
    <row r="1012">
      <c r="A1012" s="80"/>
      <c r="B1012" s="73"/>
      <c r="C1012" s="73"/>
      <c r="D1012" s="73"/>
      <c r="E1012" s="82"/>
      <c r="F1012" s="82"/>
      <c r="G1012" s="82"/>
      <c r="H1012" s="86"/>
      <c r="I1012" s="86"/>
      <c r="J1012" s="82"/>
      <c r="K1012" s="82"/>
      <c r="L1012" s="82"/>
      <c r="M1012" s="82"/>
      <c r="N1012" s="82"/>
      <c r="O1012" s="82"/>
      <c r="P1012" s="82"/>
      <c r="Q1012" s="82"/>
      <c r="R1012" s="82"/>
      <c r="S1012" s="82"/>
      <c r="T1012" s="82"/>
      <c r="U1012" s="82"/>
      <c r="V1012" s="82"/>
      <c r="W1012" s="82"/>
      <c r="X1012" s="82"/>
      <c r="Y1012" s="82"/>
      <c r="Z1012" s="82"/>
      <c r="AA1012" s="82"/>
      <c r="AB1012" s="82"/>
      <c r="AC1012" s="82"/>
      <c r="AD1012" s="82"/>
      <c r="AE1012" s="82"/>
      <c r="AF1012" s="82"/>
      <c r="AG1012" s="82"/>
      <c r="AH1012" s="82"/>
      <c r="AI1012" s="82"/>
      <c r="AJ1012" s="82"/>
      <c r="AK1012" s="82"/>
      <c r="AL1012" s="82"/>
      <c r="AM1012" s="82"/>
      <c r="AN1012" s="82">
        <f>IFERROR(__xludf.DUMMYFUNCTION("""COMPUTED_VALUE"""),0.0)</f>
        <v>0</v>
      </c>
      <c r="AO1012" s="82">
        <f>IFERROR(__xludf.DUMMYFUNCTION("""COMPUTED_VALUE"""),0.0)</f>
        <v>0</v>
      </c>
      <c r="AP1012" s="82">
        <f>IFERROR(__xludf.DUMMYFUNCTION("""COMPUTED_VALUE"""),0.0)</f>
        <v>0</v>
      </c>
      <c r="AQ1012" s="82">
        <f>IFERROR(__xludf.DUMMYFUNCTION("""COMPUTED_VALUE"""),0.0)</f>
        <v>0</v>
      </c>
      <c r="AR1012" s="82">
        <f>IFERROR(__xludf.DUMMYFUNCTION("""COMPUTED_VALUE"""),0.0)</f>
        <v>0</v>
      </c>
      <c r="AS1012" s="82"/>
      <c r="AT1012" s="82">
        <f>IFERROR(__xludf.DUMMYFUNCTION("""COMPUTED_VALUE"""),0.0)</f>
        <v>0</v>
      </c>
      <c r="AU1012" s="82"/>
      <c r="AV1012" s="82"/>
      <c r="AW1012" s="82" t="str">
        <f t="shared" si="1"/>
        <v/>
      </c>
      <c r="AX1012" s="83" t="str">
        <f t="array" ref="AX1012">IFERROR(DGET('SBV Import'!A:G,"SBV",{"RSC ID","Tier";B1012,A1012}))</f>
        <v/>
      </c>
      <c r="AY1012" s="82" t="str">
        <f t="shared" si="2"/>
        <v/>
      </c>
      <c r="AZ1012" s="82"/>
      <c r="BA1012" s="84" t="s">
        <v>152</v>
      </c>
      <c r="BB1012" s="84" t="str">
        <f>IFERROR(__xludf.DUMMYFUNCTION("iferror(if(A1012="""",,E1012&gt;=FILTER(Constants!$F$2:$F$10,Constants!$A$2:$A$10=A1012)))"),"")</f>
        <v/>
      </c>
    </row>
    <row r="1013">
      <c r="A1013" s="80"/>
      <c r="B1013" s="73"/>
      <c r="C1013" s="73"/>
      <c r="D1013" s="73"/>
      <c r="E1013" s="82"/>
      <c r="F1013" s="82"/>
      <c r="G1013" s="82"/>
      <c r="H1013" s="86"/>
      <c r="I1013" s="86"/>
      <c r="J1013" s="82"/>
      <c r="K1013" s="82"/>
      <c r="L1013" s="82"/>
      <c r="M1013" s="82"/>
      <c r="N1013" s="82"/>
      <c r="O1013" s="82"/>
      <c r="P1013" s="82"/>
      <c r="Q1013" s="82"/>
      <c r="R1013" s="82"/>
      <c r="S1013" s="82"/>
      <c r="T1013" s="82"/>
      <c r="U1013" s="82"/>
      <c r="V1013" s="82"/>
      <c r="W1013" s="82"/>
      <c r="X1013" s="82"/>
      <c r="Y1013" s="82"/>
      <c r="Z1013" s="82"/>
      <c r="AA1013" s="82"/>
      <c r="AB1013" s="82"/>
      <c r="AC1013" s="82"/>
      <c r="AD1013" s="82"/>
      <c r="AE1013" s="82"/>
      <c r="AF1013" s="82"/>
      <c r="AG1013" s="82"/>
      <c r="AH1013" s="82"/>
      <c r="AI1013" s="82"/>
      <c r="AJ1013" s="82"/>
      <c r="AK1013" s="82"/>
      <c r="AL1013" s="82"/>
      <c r="AM1013" s="82"/>
      <c r="AN1013" s="82">
        <f>IFERROR(__xludf.DUMMYFUNCTION("""COMPUTED_VALUE"""),0.0)</f>
        <v>0</v>
      </c>
      <c r="AO1013" s="82">
        <f>IFERROR(__xludf.DUMMYFUNCTION("""COMPUTED_VALUE"""),0.0)</f>
        <v>0</v>
      </c>
      <c r="AP1013" s="82">
        <f>IFERROR(__xludf.DUMMYFUNCTION("""COMPUTED_VALUE"""),0.0)</f>
        <v>0</v>
      </c>
      <c r="AQ1013" s="82">
        <f>IFERROR(__xludf.DUMMYFUNCTION("""COMPUTED_VALUE"""),0.0)</f>
        <v>0</v>
      </c>
      <c r="AR1013" s="82">
        <f>IFERROR(__xludf.DUMMYFUNCTION("""COMPUTED_VALUE"""),0.0)</f>
        <v>0</v>
      </c>
      <c r="AS1013" s="82"/>
      <c r="AT1013" s="82">
        <f>IFERROR(__xludf.DUMMYFUNCTION("""COMPUTED_VALUE"""),0.0)</f>
        <v>0</v>
      </c>
      <c r="AU1013" s="82"/>
      <c r="AV1013" s="82"/>
      <c r="AW1013" s="82" t="str">
        <f t="shared" si="1"/>
        <v/>
      </c>
      <c r="AX1013" s="83" t="str">
        <f t="array" ref="AX1013">IFERROR(DGET('SBV Import'!A:G,"SBV",{"RSC ID","Tier";B1013,A1013}))</f>
        <v/>
      </c>
      <c r="AY1013" s="82" t="str">
        <f t="shared" si="2"/>
        <v/>
      </c>
      <c r="AZ1013" s="82"/>
      <c r="BA1013" s="84" t="s">
        <v>152</v>
      </c>
      <c r="BB1013" s="84" t="str">
        <f>IFERROR(__xludf.DUMMYFUNCTION("iferror(if(A1013="""",,E1013&gt;=FILTER(Constants!$F$2:$F$10,Constants!$A$2:$A$10=A1013)))"),"")</f>
        <v/>
      </c>
    </row>
    <row r="1014">
      <c r="A1014" s="80"/>
      <c r="B1014" s="73"/>
      <c r="C1014" s="73"/>
      <c r="D1014" s="73"/>
      <c r="E1014" s="82"/>
      <c r="F1014" s="82"/>
      <c r="G1014" s="82"/>
      <c r="H1014" s="86"/>
      <c r="I1014" s="86"/>
      <c r="J1014" s="82"/>
      <c r="K1014" s="82"/>
      <c r="L1014" s="82"/>
      <c r="M1014" s="82"/>
      <c r="N1014" s="82"/>
      <c r="O1014" s="82"/>
      <c r="P1014" s="82"/>
      <c r="Q1014" s="82"/>
      <c r="R1014" s="82"/>
      <c r="S1014" s="82"/>
      <c r="T1014" s="82"/>
      <c r="U1014" s="82"/>
      <c r="V1014" s="82"/>
      <c r="W1014" s="82"/>
      <c r="X1014" s="82"/>
      <c r="Y1014" s="82"/>
      <c r="Z1014" s="82"/>
      <c r="AA1014" s="82"/>
      <c r="AB1014" s="82"/>
      <c r="AC1014" s="82"/>
      <c r="AD1014" s="82"/>
      <c r="AE1014" s="82"/>
      <c r="AF1014" s="82"/>
      <c r="AG1014" s="82"/>
      <c r="AH1014" s="82"/>
      <c r="AI1014" s="82"/>
      <c r="AJ1014" s="82"/>
      <c r="AK1014" s="82"/>
      <c r="AL1014" s="82"/>
      <c r="AM1014" s="82"/>
      <c r="AN1014" s="82">
        <f>IFERROR(__xludf.DUMMYFUNCTION("""COMPUTED_VALUE"""),0.0)</f>
        <v>0</v>
      </c>
      <c r="AO1014" s="82">
        <f>IFERROR(__xludf.DUMMYFUNCTION("""COMPUTED_VALUE"""),0.0)</f>
        <v>0</v>
      </c>
      <c r="AP1014" s="82">
        <f>IFERROR(__xludf.DUMMYFUNCTION("""COMPUTED_VALUE"""),0.0)</f>
        <v>0</v>
      </c>
      <c r="AQ1014" s="82">
        <f>IFERROR(__xludf.DUMMYFUNCTION("""COMPUTED_VALUE"""),0.0)</f>
        <v>0</v>
      </c>
      <c r="AR1014" s="82">
        <f>IFERROR(__xludf.DUMMYFUNCTION("""COMPUTED_VALUE"""),0.0)</f>
        <v>0</v>
      </c>
      <c r="AS1014" s="82"/>
      <c r="AT1014" s="82">
        <f>IFERROR(__xludf.DUMMYFUNCTION("""COMPUTED_VALUE"""),0.0)</f>
        <v>0</v>
      </c>
      <c r="AU1014" s="82"/>
      <c r="AV1014" s="82"/>
      <c r="AW1014" s="82" t="str">
        <f t="shared" si="1"/>
        <v/>
      </c>
      <c r="AX1014" s="83" t="str">
        <f t="array" ref="AX1014">IFERROR(DGET('SBV Import'!A:G,"SBV",{"RSC ID","Tier";B1014,A1014}))</f>
        <v/>
      </c>
      <c r="AY1014" s="82" t="str">
        <f t="shared" si="2"/>
        <v/>
      </c>
      <c r="AZ1014" s="82"/>
      <c r="BA1014" s="84" t="s">
        <v>152</v>
      </c>
      <c r="BB1014" s="84" t="str">
        <f>IFERROR(__xludf.DUMMYFUNCTION("iferror(if(A1014="""",,E1014&gt;=FILTER(Constants!$F$2:$F$10,Constants!$A$2:$A$10=A1014)))"),"")</f>
        <v/>
      </c>
    </row>
    <row r="1015">
      <c r="A1015" s="80"/>
      <c r="B1015" s="73"/>
      <c r="C1015" s="73"/>
      <c r="D1015" s="73"/>
      <c r="E1015" s="82"/>
      <c r="F1015" s="82"/>
      <c r="G1015" s="82"/>
      <c r="H1015" s="86"/>
      <c r="I1015" s="86"/>
      <c r="J1015" s="82"/>
      <c r="K1015" s="82"/>
      <c r="L1015" s="82"/>
      <c r="M1015" s="82"/>
      <c r="N1015" s="82"/>
      <c r="O1015" s="82"/>
      <c r="P1015" s="82"/>
      <c r="Q1015" s="82"/>
      <c r="R1015" s="82"/>
      <c r="S1015" s="82"/>
      <c r="T1015" s="82"/>
      <c r="U1015" s="82"/>
      <c r="V1015" s="82"/>
      <c r="W1015" s="82"/>
      <c r="X1015" s="82"/>
      <c r="Y1015" s="82"/>
      <c r="Z1015" s="82"/>
      <c r="AA1015" s="82"/>
      <c r="AB1015" s="82"/>
      <c r="AC1015" s="82"/>
      <c r="AD1015" s="82"/>
      <c r="AE1015" s="82"/>
      <c r="AF1015" s="82"/>
      <c r="AG1015" s="82"/>
      <c r="AH1015" s="82"/>
      <c r="AI1015" s="82"/>
      <c r="AJ1015" s="82"/>
      <c r="AK1015" s="82"/>
      <c r="AL1015" s="82"/>
      <c r="AM1015" s="82"/>
      <c r="AN1015" s="82">
        <f>IFERROR(__xludf.DUMMYFUNCTION("""COMPUTED_VALUE"""),0.0)</f>
        <v>0</v>
      </c>
      <c r="AO1015" s="82">
        <f>IFERROR(__xludf.DUMMYFUNCTION("""COMPUTED_VALUE"""),0.0)</f>
        <v>0</v>
      </c>
      <c r="AP1015" s="82">
        <f>IFERROR(__xludf.DUMMYFUNCTION("""COMPUTED_VALUE"""),0.0)</f>
        <v>0</v>
      </c>
      <c r="AQ1015" s="82">
        <f>IFERROR(__xludf.DUMMYFUNCTION("""COMPUTED_VALUE"""),0.0)</f>
        <v>0</v>
      </c>
      <c r="AR1015" s="82">
        <f>IFERROR(__xludf.DUMMYFUNCTION("""COMPUTED_VALUE"""),0.0)</f>
        <v>0</v>
      </c>
      <c r="AS1015" s="82"/>
      <c r="AT1015" s="82">
        <f>IFERROR(__xludf.DUMMYFUNCTION("""COMPUTED_VALUE"""),0.0)</f>
        <v>0</v>
      </c>
      <c r="AU1015" s="82"/>
      <c r="AV1015" s="82"/>
      <c r="AW1015" s="82" t="str">
        <f t="shared" si="1"/>
        <v/>
      </c>
      <c r="AX1015" s="83" t="str">
        <f t="array" ref="AX1015">IFERROR(DGET('SBV Import'!A:G,"SBV",{"RSC ID","Tier";B1015,A1015}))</f>
        <v/>
      </c>
      <c r="AY1015" s="82" t="str">
        <f t="shared" si="2"/>
        <v/>
      </c>
      <c r="AZ1015" s="82"/>
      <c r="BA1015" s="84" t="s">
        <v>152</v>
      </c>
      <c r="BB1015" s="84" t="str">
        <f>IFERROR(__xludf.DUMMYFUNCTION("iferror(if(A1015="""",,E1015&gt;=FILTER(Constants!$F$2:$F$10,Constants!$A$2:$A$10=A1015)))"),"")</f>
        <v/>
      </c>
    </row>
    <row r="1016">
      <c r="A1016" s="80"/>
      <c r="B1016" s="73"/>
      <c r="C1016" s="73"/>
      <c r="D1016" s="73"/>
      <c r="E1016" s="82"/>
      <c r="F1016" s="82"/>
      <c r="G1016" s="82"/>
      <c r="H1016" s="86"/>
      <c r="I1016" s="86"/>
      <c r="J1016" s="82"/>
      <c r="K1016" s="82"/>
      <c r="L1016" s="82"/>
      <c r="M1016" s="82"/>
      <c r="N1016" s="82"/>
      <c r="O1016" s="82"/>
      <c r="P1016" s="82"/>
      <c r="Q1016" s="82"/>
      <c r="R1016" s="82"/>
      <c r="S1016" s="82"/>
      <c r="T1016" s="82"/>
      <c r="U1016" s="82"/>
      <c r="V1016" s="82"/>
      <c r="W1016" s="82"/>
      <c r="X1016" s="82"/>
      <c r="Y1016" s="82"/>
      <c r="Z1016" s="82"/>
      <c r="AA1016" s="82"/>
      <c r="AB1016" s="82"/>
      <c r="AC1016" s="82"/>
      <c r="AD1016" s="82"/>
      <c r="AE1016" s="82"/>
      <c r="AF1016" s="82"/>
      <c r="AG1016" s="82"/>
      <c r="AH1016" s="82"/>
      <c r="AI1016" s="82"/>
      <c r="AJ1016" s="82"/>
      <c r="AK1016" s="82"/>
      <c r="AL1016" s="82"/>
      <c r="AM1016" s="82"/>
      <c r="AN1016" s="82">
        <f>IFERROR(__xludf.DUMMYFUNCTION("""COMPUTED_VALUE"""),0.0)</f>
        <v>0</v>
      </c>
      <c r="AO1016" s="82">
        <f>IFERROR(__xludf.DUMMYFUNCTION("""COMPUTED_VALUE"""),0.0)</f>
        <v>0</v>
      </c>
      <c r="AP1016" s="82">
        <f>IFERROR(__xludf.DUMMYFUNCTION("""COMPUTED_VALUE"""),0.0)</f>
        <v>0</v>
      </c>
      <c r="AQ1016" s="82">
        <f>IFERROR(__xludf.DUMMYFUNCTION("""COMPUTED_VALUE"""),0.0)</f>
        <v>0</v>
      </c>
      <c r="AR1016" s="82">
        <f>IFERROR(__xludf.DUMMYFUNCTION("""COMPUTED_VALUE"""),0.0)</f>
        <v>0</v>
      </c>
      <c r="AS1016" s="82"/>
      <c r="AT1016" s="82">
        <f>IFERROR(__xludf.DUMMYFUNCTION("""COMPUTED_VALUE"""),0.0)</f>
        <v>0</v>
      </c>
      <c r="AU1016" s="82"/>
      <c r="AV1016" s="82"/>
      <c r="AW1016" s="82" t="str">
        <f t="shared" si="1"/>
        <v/>
      </c>
      <c r="AX1016" s="83" t="str">
        <f t="array" ref="AX1016">IFERROR(DGET('SBV Import'!A:G,"SBV",{"RSC ID","Tier";B1016,A1016}))</f>
        <v/>
      </c>
      <c r="AY1016" s="82" t="str">
        <f t="shared" si="2"/>
        <v/>
      </c>
      <c r="AZ1016" s="82"/>
      <c r="BA1016" s="84" t="s">
        <v>152</v>
      </c>
      <c r="BB1016" s="84" t="str">
        <f>IFERROR(__xludf.DUMMYFUNCTION("iferror(if(A1016="""",,E1016&gt;=FILTER(Constants!$F$2:$F$10,Constants!$A$2:$A$10=A1016)))"),"")</f>
        <v/>
      </c>
    </row>
    <row r="1017">
      <c r="A1017" s="80"/>
      <c r="B1017" s="73"/>
      <c r="C1017" s="73"/>
      <c r="D1017" s="73"/>
      <c r="E1017" s="82"/>
      <c r="F1017" s="82"/>
      <c r="G1017" s="82"/>
      <c r="H1017" s="86"/>
      <c r="I1017" s="86"/>
      <c r="J1017" s="82"/>
      <c r="K1017" s="82"/>
      <c r="L1017" s="82"/>
      <c r="M1017" s="82"/>
      <c r="N1017" s="82"/>
      <c r="O1017" s="82"/>
      <c r="P1017" s="82"/>
      <c r="Q1017" s="82"/>
      <c r="R1017" s="82"/>
      <c r="S1017" s="82"/>
      <c r="T1017" s="82"/>
      <c r="U1017" s="82"/>
      <c r="V1017" s="82"/>
      <c r="W1017" s="82"/>
      <c r="X1017" s="82"/>
      <c r="Y1017" s="82"/>
      <c r="Z1017" s="82"/>
      <c r="AA1017" s="82"/>
      <c r="AB1017" s="82"/>
      <c r="AC1017" s="82"/>
      <c r="AD1017" s="82"/>
      <c r="AE1017" s="82"/>
      <c r="AF1017" s="82"/>
      <c r="AG1017" s="82"/>
      <c r="AH1017" s="82"/>
      <c r="AI1017" s="82"/>
      <c r="AJ1017" s="82"/>
      <c r="AK1017" s="82"/>
      <c r="AL1017" s="82"/>
      <c r="AM1017" s="82"/>
      <c r="AN1017" s="82">
        <f>IFERROR(__xludf.DUMMYFUNCTION("""COMPUTED_VALUE"""),0.0)</f>
        <v>0</v>
      </c>
      <c r="AO1017" s="82">
        <f>IFERROR(__xludf.DUMMYFUNCTION("""COMPUTED_VALUE"""),0.0)</f>
        <v>0</v>
      </c>
      <c r="AP1017" s="82">
        <f>IFERROR(__xludf.DUMMYFUNCTION("""COMPUTED_VALUE"""),0.0)</f>
        <v>0</v>
      </c>
      <c r="AQ1017" s="82">
        <f>IFERROR(__xludf.DUMMYFUNCTION("""COMPUTED_VALUE"""),0.0)</f>
        <v>0</v>
      </c>
      <c r="AR1017" s="82">
        <f>IFERROR(__xludf.DUMMYFUNCTION("""COMPUTED_VALUE"""),0.0)</f>
        <v>0</v>
      </c>
      <c r="AS1017" s="82"/>
      <c r="AT1017" s="82">
        <f>IFERROR(__xludf.DUMMYFUNCTION("""COMPUTED_VALUE"""),0.0)</f>
        <v>0</v>
      </c>
      <c r="AU1017" s="82"/>
      <c r="AV1017" s="82"/>
      <c r="AW1017" s="82" t="str">
        <f t="shared" si="1"/>
        <v/>
      </c>
      <c r="AX1017" s="83" t="str">
        <f t="array" ref="AX1017">IFERROR(DGET('SBV Import'!A:G,"SBV",{"RSC ID","Tier";B1017,A1017}))</f>
        <v/>
      </c>
      <c r="AY1017" s="82" t="str">
        <f t="shared" si="2"/>
        <v/>
      </c>
      <c r="AZ1017" s="82"/>
      <c r="BA1017" s="84" t="s">
        <v>152</v>
      </c>
      <c r="BB1017" s="84" t="str">
        <f>IFERROR(__xludf.DUMMYFUNCTION("iferror(if(A1017="""",,E1017&gt;=FILTER(Constants!$F$2:$F$10,Constants!$A$2:$A$10=A1017)))"),"")</f>
        <v/>
      </c>
    </row>
    <row r="1018">
      <c r="A1018" s="80"/>
      <c r="B1018" s="73"/>
      <c r="C1018" s="73"/>
      <c r="D1018" s="73"/>
      <c r="E1018" s="82"/>
      <c r="F1018" s="82"/>
      <c r="G1018" s="82"/>
      <c r="H1018" s="86"/>
      <c r="I1018" s="86"/>
      <c r="J1018" s="82"/>
      <c r="K1018" s="82"/>
      <c r="L1018" s="82"/>
      <c r="M1018" s="82"/>
      <c r="N1018" s="82"/>
      <c r="O1018" s="82"/>
      <c r="P1018" s="82"/>
      <c r="Q1018" s="82"/>
      <c r="R1018" s="82"/>
      <c r="S1018" s="82"/>
      <c r="T1018" s="82"/>
      <c r="U1018" s="82"/>
      <c r="V1018" s="82"/>
      <c r="W1018" s="82"/>
      <c r="X1018" s="82"/>
      <c r="Y1018" s="82"/>
      <c r="Z1018" s="82"/>
      <c r="AA1018" s="82"/>
      <c r="AB1018" s="82"/>
      <c r="AC1018" s="82"/>
      <c r="AD1018" s="82"/>
      <c r="AE1018" s="82"/>
      <c r="AF1018" s="82"/>
      <c r="AG1018" s="82"/>
      <c r="AH1018" s="82"/>
      <c r="AI1018" s="82"/>
      <c r="AJ1018" s="82"/>
      <c r="AK1018" s="82"/>
      <c r="AL1018" s="82"/>
      <c r="AM1018" s="82"/>
      <c r="AN1018" s="82">
        <f>IFERROR(__xludf.DUMMYFUNCTION("""COMPUTED_VALUE"""),0.0)</f>
        <v>0</v>
      </c>
      <c r="AO1018" s="82">
        <f>IFERROR(__xludf.DUMMYFUNCTION("""COMPUTED_VALUE"""),0.0)</f>
        <v>0</v>
      </c>
      <c r="AP1018" s="82">
        <f>IFERROR(__xludf.DUMMYFUNCTION("""COMPUTED_VALUE"""),0.0)</f>
        <v>0</v>
      </c>
      <c r="AQ1018" s="82">
        <f>IFERROR(__xludf.DUMMYFUNCTION("""COMPUTED_VALUE"""),0.0)</f>
        <v>0</v>
      </c>
      <c r="AR1018" s="82">
        <f>IFERROR(__xludf.DUMMYFUNCTION("""COMPUTED_VALUE"""),0.0)</f>
        <v>0</v>
      </c>
      <c r="AS1018" s="82"/>
      <c r="AT1018" s="82">
        <f>IFERROR(__xludf.DUMMYFUNCTION("""COMPUTED_VALUE"""),0.0)</f>
        <v>0</v>
      </c>
      <c r="AU1018" s="82"/>
      <c r="AV1018" s="82"/>
      <c r="AW1018" s="82" t="str">
        <f t="shared" si="1"/>
        <v/>
      </c>
      <c r="AX1018" s="83" t="str">
        <f t="array" ref="AX1018">IFERROR(DGET('SBV Import'!A:G,"SBV",{"RSC ID","Tier";B1018,A1018}))</f>
        <v/>
      </c>
      <c r="AY1018" s="82" t="str">
        <f t="shared" si="2"/>
        <v/>
      </c>
      <c r="AZ1018" s="82"/>
      <c r="BA1018" s="84" t="s">
        <v>152</v>
      </c>
      <c r="BB1018" s="84" t="str">
        <f>IFERROR(__xludf.DUMMYFUNCTION("iferror(if(A1018="""",,E1018&gt;=FILTER(Constants!$F$2:$F$10,Constants!$A$2:$A$10=A1018)))"),"")</f>
        <v/>
      </c>
    </row>
    <row r="1019">
      <c r="A1019" s="80"/>
      <c r="B1019" s="73"/>
      <c r="C1019" s="73"/>
      <c r="D1019" s="73"/>
      <c r="E1019" s="82"/>
      <c r="F1019" s="82"/>
      <c r="G1019" s="82"/>
      <c r="H1019" s="86"/>
      <c r="I1019" s="86"/>
      <c r="J1019" s="82"/>
      <c r="K1019" s="82"/>
      <c r="L1019" s="82"/>
      <c r="M1019" s="82"/>
      <c r="N1019" s="82"/>
      <c r="O1019" s="82"/>
      <c r="P1019" s="82"/>
      <c r="Q1019" s="82"/>
      <c r="R1019" s="82"/>
      <c r="S1019" s="82"/>
      <c r="T1019" s="82"/>
      <c r="U1019" s="82"/>
      <c r="V1019" s="82"/>
      <c r="W1019" s="82"/>
      <c r="X1019" s="82"/>
      <c r="Y1019" s="82"/>
      <c r="Z1019" s="82"/>
      <c r="AA1019" s="82"/>
      <c r="AB1019" s="82"/>
      <c r="AC1019" s="82"/>
      <c r="AD1019" s="82"/>
      <c r="AE1019" s="82"/>
      <c r="AF1019" s="82"/>
      <c r="AG1019" s="82"/>
      <c r="AH1019" s="82"/>
      <c r="AI1019" s="82"/>
      <c r="AJ1019" s="82"/>
      <c r="AK1019" s="82"/>
      <c r="AL1019" s="82"/>
      <c r="AM1019" s="82"/>
      <c r="AN1019" s="82">
        <f>IFERROR(__xludf.DUMMYFUNCTION("""COMPUTED_VALUE"""),0.0)</f>
        <v>0</v>
      </c>
      <c r="AO1019" s="82">
        <f>IFERROR(__xludf.DUMMYFUNCTION("""COMPUTED_VALUE"""),0.0)</f>
        <v>0</v>
      </c>
      <c r="AP1019" s="82">
        <f>IFERROR(__xludf.DUMMYFUNCTION("""COMPUTED_VALUE"""),0.0)</f>
        <v>0</v>
      </c>
      <c r="AQ1019" s="82">
        <f>IFERROR(__xludf.DUMMYFUNCTION("""COMPUTED_VALUE"""),0.0)</f>
        <v>0</v>
      </c>
      <c r="AR1019" s="82">
        <f>IFERROR(__xludf.DUMMYFUNCTION("""COMPUTED_VALUE"""),0.0)</f>
        <v>0</v>
      </c>
      <c r="AS1019" s="82"/>
      <c r="AT1019" s="82">
        <f>IFERROR(__xludf.DUMMYFUNCTION("""COMPUTED_VALUE"""),0.0)</f>
        <v>0</v>
      </c>
      <c r="AU1019" s="82"/>
      <c r="AV1019" s="82"/>
      <c r="AW1019" s="82" t="str">
        <f t="shared" si="1"/>
        <v/>
      </c>
      <c r="AX1019" s="83" t="str">
        <f t="array" ref="AX1019">IFERROR(DGET('SBV Import'!A:G,"SBV",{"RSC ID","Tier";B1019,A1019}))</f>
        <v/>
      </c>
      <c r="AY1019" s="82" t="str">
        <f t="shared" si="2"/>
        <v/>
      </c>
      <c r="AZ1019" s="82"/>
      <c r="BA1019" s="84" t="s">
        <v>152</v>
      </c>
      <c r="BB1019" s="84" t="str">
        <f>IFERROR(__xludf.DUMMYFUNCTION("iferror(if(A1019="""",,E1019&gt;=FILTER(Constants!$F$2:$F$10,Constants!$A$2:$A$10=A1019)))"),"")</f>
        <v/>
      </c>
    </row>
    <row r="1020">
      <c r="A1020" s="80"/>
      <c r="B1020" s="73"/>
      <c r="C1020" s="73"/>
      <c r="D1020" s="73"/>
      <c r="E1020" s="82"/>
      <c r="F1020" s="82"/>
      <c r="G1020" s="82"/>
      <c r="H1020" s="86"/>
      <c r="I1020" s="86"/>
      <c r="J1020" s="82"/>
      <c r="K1020" s="82"/>
      <c r="L1020" s="82"/>
      <c r="M1020" s="82"/>
      <c r="N1020" s="82"/>
      <c r="O1020" s="82"/>
      <c r="P1020" s="82"/>
      <c r="Q1020" s="82"/>
      <c r="R1020" s="82"/>
      <c r="S1020" s="82"/>
      <c r="T1020" s="82"/>
      <c r="U1020" s="82"/>
      <c r="V1020" s="82"/>
      <c r="W1020" s="82"/>
      <c r="X1020" s="82"/>
      <c r="Y1020" s="82"/>
      <c r="Z1020" s="82"/>
      <c r="AA1020" s="82"/>
      <c r="AB1020" s="82"/>
      <c r="AC1020" s="82"/>
      <c r="AD1020" s="82"/>
      <c r="AE1020" s="82"/>
      <c r="AF1020" s="82"/>
      <c r="AG1020" s="82"/>
      <c r="AH1020" s="82"/>
      <c r="AI1020" s="82"/>
      <c r="AJ1020" s="82"/>
      <c r="AK1020" s="82"/>
      <c r="AL1020" s="82"/>
      <c r="AM1020" s="82"/>
      <c r="AN1020" s="82">
        <f>IFERROR(__xludf.DUMMYFUNCTION("""COMPUTED_VALUE"""),0.0)</f>
        <v>0</v>
      </c>
      <c r="AO1020" s="82">
        <f>IFERROR(__xludf.DUMMYFUNCTION("""COMPUTED_VALUE"""),0.0)</f>
        <v>0</v>
      </c>
      <c r="AP1020" s="82">
        <f>IFERROR(__xludf.DUMMYFUNCTION("""COMPUTED_VALUE"""),0.0)</f>
        <v>0</v>
      </c>
      <c r="AQ1020" s="82">
        <f>IFERROR(__xludf.DUMMYFUNCTION("""COMPUTED_VALUE"""),0.0)</f>
        <v>0</v>
      </c>
      <c r="AR1020" s="82">
        <f>IFERROR(__xludf.DUMMYFUNCTION("""COMPUTED_VALUE"""),0.0)</f>
        <v>0</v>
      </c>
      <c r="AS1020" s="82"/>
      <c r="AT1020" s="82">
        <f>IFERROR(__xludf.DUMMYFUNCTION("""COMPUTED_VALUE"""),0.0)</f>
        <v>0</v>
      </c>
      <c r="AU1020" s="82"/>
      <c r="AV1020" s="82"/>
      <c r="AW1020" s="82" t="str">
        <f t="shared" si="1"/>
        <v/>
      </c>
      <c r="AX1020" s="83" t="str">
        <f t="array" ref="AX1020">IFERROR(DGET('SBV Import'!A:G,"SBV",{"RSC ID","Tier";B1020,A1020}))</f>
        <v/>
      </c>
      <c r="AY1020" s="82" t="str">
        <f t="shared" si="2"/>
        <v/>
      </c>
      <c r="AZ1020" s="82"/>
      <c r="BA1020" s="84" t="s">
        <v>152</v>
      </c>
      <c r="BB1020" s="84" t="str">
        <f>IFERROR(__xludf.DUMMYFUNCTION("iferror(if(A1020="""",,E1020&gt;=FILTER(Constants!$F$2:$F$10,Constants!$A$2:$A$10=A1020)))"),"")</f>
        <v/>
      </c>
    </row>
    <row r="1021">
      <c r="A1021" s="80"/>
      <c r="B1021" s="73"/>
      <c r="C1021" s="73"/>
      <c r="D1021" s="73"/>
      <c r="E1021" s="82"/>
      <c r="F1021" s="82"/>
      <c r="G1021" s="82"/>
      <c r="H1021" s="86"/>
      <c r="I1021" s="86"/>
      <c r="J1021" s="82"/>
      <c r="K1021" s="82"/>
      <c r="L1021" s="82"/>
      <c r="M1021" s="82"/>
      <c r="N1021" s="82"/>
      <c r="O1021" s="82"/>
      <c r="P1021" s="82"/>
      <c r="Q1021" s="82"/>
      <c r="R1021" s="82"/>
      <c r="S1021" s="82"/>
      <c r="T1021" s="82"/>
      <c r="U1021" s="82"/>
      <c r="V1021" s="82"/>
      <c r="W1021" s="82"/>
      <c r="X1021" s="82"/>
      <c r="Y1021" s="82"/>
      <c r="Z1021" s="82"/>
      <c r="AA1021" s="82"/>
      <c r="AB1021" s="82"/>
      <c r="AC1021" s="82"/>
      <c r="AD1021" s="82"/>
      <c r="AE1021" s="82"/>
      <c r="AF1021" s="82"/>
      <c r="AG1021" s="82"/>
      <c r="AH1021" s="82"/>
      <c r="AI1021" s="82"/>
      <c r="AJ1021" s="82"/>
      <c r="AK1021" s="82"/>
      <c r="AL1021" s="82"/>
      <c r="AM1021" s="82"/>
      <c r="AN1021" s="82">
        <f>IFERROR(__xludf.DUMMYFUNCTION("""COMPUTED_VALUE"""),0.0)</f>
        <v>0</v>
      </c>
      <c r="AO1021" s="82">
        <f>IFERROR(__xludf.DUMMYFUNCTION("""COMPUTED_VALUE"""),0.0)</f>
        <v>0</v>
      </c>
      <c r="AP1021" s="82">
        <f>IFERROR(__xludf.DUMMYFUNCTION("""COMPUTED_VALUE"""),0.0)</f>
        <v>0</v>
      </c>
      <c r="AQ1021" s="82">
        <f>IFERROR(__xludf.DUMMYFUNCTION("""COMPUTED_VALUE"""),0.0)</f>
        <v>0</v>
      </c>
      <c r="AR1021" s="82">
        <f>IFERROR(__xludf.DUMMYFUNCTION("""COMPUTED_VALUE"""),0.0)</f>
        <v>0</v>
      </c>
      <c r="AS1021" s="82"/>
      <c r="AT1021" s="82">
        <f>IFERROR(__xludf.DUMMYFUNCTION("""COMPUTED_VALUE"""),0.0)</f>
        <v>0</v>
      </c>
      <c r="AU1021" s="82"/>
      <c r="AV1021" s="82"/>
      <c r="AW1021" s="82" t="str">
        <f t="shared" si="1"/>
        <v/>
      </c>
      <c r="AX1021" s="83" t="str">
        <f t="array" ref="AX1021">IFERROR(DGET('SBV Import'!A:G,"SBV",{"RSC ID","Tier";B1021,A1021}))</f>
        <v/>
      </c>
      <c r="AY1021" s="82" t="str">
        <f t="shared" si="2"/>
        <v/>
      </c>
      <c r="AZ1021" s="82"/>
      <c r="BA1021" s="84" t="s">
        <v>152</v>
      </c>
      <c r="BB1021" s="84" t="str">
        <f>IFERROR(__xludf.DUMMYFUNCTION("iferror(if(A1021="""",,E1021&gt;=FILTER(Constants!$F$2:$F$10,Constants!$A$2:$A$10=A1021)))"),"")</f>
        <v/>
      </c>
    </row>
    <row r="1022">
      <c r="A1022" s="80"/>
      <c r="B1022" s="73"/>
      <c r="C1022" s="73"/>
      <c r="D1022" s="73"/>
      <c r="E1022" s="82"/>
      <c r="F1022" s="82"/>
      <c r="G1022" s="82"/>
      <c r="H1022" s="86"/>
      <c r="I1022" s="86"/>
      <c r="J1022" s="82"/>
      <c r="K1022" s="82"/>
      <c r="L1022" s="82"/>
      <c r="M1022" s="82"/>
      <c r="N1022" s="82"/>
      <c r="O1022" s="82"/>
      <c r="P1022" s="82"/>
      <c r="Q1022" s="82"/>
      <c r="R1022" s="82"/>
      <c r="S1022" s="82"/>
      <c r="T1022" s="82"/>
      <c r="U1022" s="82"/>
      <c r="V1022" s="82"/>
      <c r="W1022" s="82"/>
      <c r="X1022" s="82"/>
      <c r="Y1022" s="82"/>
      <c r="Z1022" s="82"/>
      <c r="AA1022" s="82"/>
      <c r="AB1022" s="82"/>
      <c r="AC1022" s="82"/>
      <c r="AD1022" s="82"/>
      <c r="AE1022" s="82"/>
      <c r="AF1022" s="82"/>
      <c r="AG1022" s="82"/>
      <c r="AH1022" s="82"/>
      <c r="AI1022" s="82"/>
      <c r="AJ1022" s="82"/>
      <c r="AK1022" s="82"/>
      <c r="AL1022" s="82"/>
      <c r="AM1022" s="82"/>
      <c r="AN1022" s="82">
        <f>IFERROR(__xludf.DUMMYFUNCTION("""COMPUTED_VALUE"""),0.0)</f>
        <v>0</v>
      </c>
      <c r="AO1022" s="82">
        <f>IFERROR(__xludf.DUMMYFUNCTION("""COMPUTED_VALUE"""),0.0)</f>
        <v>0</v>
      </c>
      <c r="AP1022" s="82">
        <f>IFERROR(__xludf.DUMMYFUNCTION("""COMPUTED_VALUE"""),0.0)</f>
        <v>0</v>
      </c>
      <c r="AQ1022" s="82">
        <f>IFERROR(__xludf.DUMMYFUNCTION("""COMPUTED_VALUE"""),0.0)</f>
        <v>0</v>
      </c>
      <c r="AR1022" s="82">
        <f>IFERROR(__xludf.DUMMYFUNCTION("""COMPUTED_VALUE"""),0.0)</f>
        <v>0</v>
      </c>
      <c r="AS1022" s="82"/>
      <c r="AT1022" s="82">
        <f>IFERROR(__xludf.DUMMYFUNCTION("""COMPUTED_VALUE"""),0.0)</f>
        <v>0</v>
      </c>
      <c r="AU1022" s="82"/>
      <c r="AV1022" s="82"/>
      <c r="AW1022" s="82" t="str">
        <f t="shared" si="1"/>
        <v/>
      </c>
      <c r="AX1022" s="83" t="str">
        <f t="array" ref="AX1022">IFERROR(DGET('SBV Import'!A:G,"SBV",{"RSC ID","Tier";B1022,A1022}))</f>
        <v/>
      </c>
      <c r="AY1022" s="82" t="str">
        <f t="shared" si="2"/>
        <v/>
      </c>
      <c r="AZ1022" s="82"/>
      <c r="BA1022" s="84" t="s">
        <v>152</v>
      </c>
      <c r="BB1022" s="84" t="str">
        <f>IFERROR(__xludf.DUMMYFUNCTION("iferror(if(A1022="""",,E1022&gt;=FILTER(Constants!$F$2:$F$10,Constants!$A$2:$A$10=A1022)))"),"")</f>
        <v/>
      </c>
    </row>
    <row r="1023">
      <c r="A1023" s="80"/>
      <c r="B1023" s="73"/>
      <c r="C1023" s="73"/>
      <c r="D1023" s="73"/>
      <c r="E1023" s="82"/>
      <c r="F1023" s="82"/>
      <c r="G1023" s="82"/>
      <c r="H1023" s="86"/>
      <c r="I1023" s="86"/>
      <c r="J1023" s="82"/>
      <c r="K1023" s="82"/>
      <c r="L1023" s="82"/>
      <c r="M1023" s="82"/>
      <c r="N1023" s="82"/>
      <c r="O1023" s="82"/>
      <c r="P1023" s="82"/>
      <c r="Q1023" s="82"/>
      <c r="R1023" s="82"/>
      <c r="S1023" s="82"/>
      <c r="T1023" s="82"/>
      <c r="U1023" s="82"/>
      <c r="V1023" s="82"/>
      <c r="W1023" s="82"/>
      <c r="X1023" s="82"/>
      <c r="Y1023" s="82"/>
      <c r="Z1023" s="82"/>
      <c r="AA1023" s="82"/>
      <c r="AB1023" s="82"/>
      <c r="AC1023" s="82"/>
      <c r="AD1023" s="82"/>
      <c r="AE1023" s="82"/>
      <c r="AF1023" s="82"/>
      <c r="AG1023" s="82"/>
      <c r="AH1023" s="82"/>
      <c r="AI1023" s="82"/>
      <c r="AJ1023" s="82"/>
      <c r="AK1023" s="82"/>
      <c r="AL1023" s="82"/>
      <c r="AM1023" s="82"/>
      <c r="AN1023" s="82">
        <f>IFERROR(__xludf.DUMMYFUNCTION("""COMPUTED_VALUE"""),0.0)</f>
        <v>0</v>
      </c>
      <c r="AO1023" s="82">
        <f>IFERROR(__xludf.DUMMYFUNCTION("""COMPUTED_VALUE"""),0.0)</f>
        <v>0</v>
      </c>
      <c r="AP1023" s="82">
        <f>IFERROR(__xludf.DUMMYFUNCTION("""COMPUTED_VALUE"""),0.0)</f>
        <v>0</v>
      </c>
      <c r="AQ1023" s="82">
        <f>IFERROR(__xludf.DUMMYFUNCTION("""COMPUTED_VALUE"""),0.0)</f>
        <v>0</v>
      </c>
      <c r="AR1023" s="82">
        <f>IFERROR(__xludf.DUMMYFUNCTION("""COMPUTED_VALUE"""),0.0)</f>
        <v>0</v>
      </c>
      <c r="AS1023" s="82"/>
      <c r="AT1023" s="82">
        <f>IFERROR(__xludf.DUMMYFUNCTION("""COMPUTED_VALUE"""),0.0)</f>
        <v>0</v>
      </c>
      <c r="AU1023" s="82"/>
      <c r="AV1023" s="82"/>
      <c r="AW1023" s="82" t="str">
        <f t="shared" si="1"/>
        <v/>
      </c>
      <c r="AX1023" s="83" t="str">
        <f t="array" ref="AX1023">IFERROR(DGET('SBV Import'!A:G,"SBV",{"RSC ID","Tier";B1023,A1023}))</f>
        <v/>
      </c>
      <c r="AY1023" s="82" t="str">
        <f t="shared" si="2"/>
        <v/>
      </c>
      <c r="AZ1023" s="82"/>
      <c r="BA1023" s="84" t="s">
        <v>152</v>
      </c>
      <c r="BB1023" s="84" t="str">
        <f>IFERROR(__xludf.DUMMYFUNCTION("iferror(if(A1023="""",,E1023&gt;=FILTER(Constants!$F$2:$F$10,Constants!$A$2:$A$10=A1023)))"),"")</f>
        <v/>
      </c>
    </row>
    <row r="1024">
      <c r="A1024" s="80"/>
      <c r="B1024" s="73"/>
      <c r="C1024" s="73"/>
      <c r="D1024" s="73"/>
      <c r="E1024" s="82"/>
      <c r="F1024" s="82"/>
      <c r="G1024" s="82"/>
      <c r="H1024" s="86"/>
      <c r="I1024" s="86"/>
      <c r="J1024" s="82"/>
      <c r="K1024" s="82"/>
      <c r="L1024" s="82"/>
      <c r="M1024" s="82"/>
      <c r="N1024" s="82"/>
      <c r="O1024" s="82"/>
      <c r="P1024" s="82"/>
      <c r="Q1024" s="82"/>
      <c r="R1024" s="82"/>
      <c r="S1024" s="82"/>
      <c r="T1024" s="82"/>
      <c r="U1024" s="82"/>
      <c r="V1024" s="82"/>
      <c r="W1024" s="82"/>
      <c r="X1024" s="82"/>
      <c r="Y1024" s="82"/>
      <c r="Z1024" s="82"/>
      <c r="AA1024" s="82"/>
      <c r="AB1024" s="82"/>
      <c r="AC1024" s="82"/>
      <c r="AD1024" s="82"/>
      <c r="AE1024" s="82"/>
      <c r="AF1024" s="82"/>
      <c r="AG1024" s="82"/>
      <c r="AH1024" s="82"/>
      <c r="AI1024" s="82"/>
      <c r="AJ1024" s="82"/>
      <c r="AK1024" s="82"/>
      <c r="AL1024" s="82"/>
      <c r="AM1024" s="82"/>
      <c r="AN1024" s="82">
        <f>IFERROR(__xludf.DUMMYFUNCTION("""COMPUTED_VALUE"""),0.0)</f>
        <v>0</v>
      </c>
      <c r="AO1024" s="82">
        <f>IFERROR(__xludf.DUMMYFUNCTION("""COMPUTED_VALUE"""),0.0)</f>
        <v>0</v>
      </c>
      <c r="AP1024" s="82">
        <f>IFERROR(__xludf.DUMMYFUNCTION("""COMPUTED_VALUE"""),0.0)</f>
        <v>0</v>
      </c>
      <c r="AQ1024" s="82">
        <f>IFERROR(__xludf.DUMMYFUNCTION("""COMPUTED_VALUE"""),0.0)</f>
        <v>0</v>
      </c>
      <c r="AR1024" s="82">
        <f>IFERROR(__xludf.DUMMYFUNCTION("""COMPUTED_VALUE"""),0.0)</f>
        <v>0</v>
      </c>
      <c r="AS1024" s="82"/>
      <c r="AT1024" s="82">
        <f>IFERROR(__xludf.DUMMYFUNCTION("""COMPUTED_VALUE"""),0.0)</f>
        <v>0</v>
      </c>
      <c r="AU1024" s="82"/>
      <c r="AV1024" s="82"/>
      <c r="AW1024" s="82" t="str">
        <f t="shared" si="1"/>
        <v/>
      </c>
      <c r="AX1024" s="83" t="str">
        <f t="array" ref="AX1024">IFERROR(DGET('SBV Import'!A:G,"SBV",{"RSC ID","Tier";B1024,A1024}))</f>
        <v/>
      </c>
      <c r="AY1024" s="82" t="str">
        <f t="shared" si="2"/>
        <v/>
      </c>
      <c r="AZ1024" s="82"/>
      <c r="BA1024" s="84" t="s">
        <v>152</v>
      </c>
      <c r="BB1024" s="84" t="str">
        <f>IFERROR(__xludf.DUMMYFUNCTION("iferror(if(A1024="""",,E1024&gt;=FILTER(Constants!$F$2:$F$10,Constants!$A$2:$A$10=A1024)))"),"")</f>
        <v/>
      </c>
    </row>
    <row r="1025">
      <c r="A1025" s="80"/>
      <c r="B1025" s="73"/>
      <c r="C1025" s="73"/>
      <c r="D1025" s="73"/>
      <c r="E1025" s="82"/>
      <c r="F1025" s="82"/>
      <c r="G1025" s="82"/>
      <c r="H1025" s="86"/>
      <c r="I1025" s="86"/>
      <c r="J1025" s="82"/>
      <c r="K1025" s="82"/>
      <c r="L1025" s="82"/>
      <c r="M1025" s="82"/>
      <c r="N1025" s="82"/>
      <c r="O1025" s="82"/>
      <c r="P1025" s="82"/>
      <c r="Q1025" s="82"/>
      <c r="R1025" s="82"/>
      <c r="S1025" s="82"/>
      <c r="T1025" s="82"/>
      <c r="U1025" s="82"/>
      <c r="V1025" s="82"/>
      <c r="W1025" s="82"/>
      <c r="X1025" s="82"/>
      <c r="Y1025" s="82"/>
      <c r="Z1025" s="82"/>
      <c r="AA1025" s="82"/>
      <c r="AB1025" s="82"/>
      <c r="AC1025" s="82"/>
      <c r="AD1025" s="82"/>
      <c r="AE1025" s="82"/>
      <c r="AF1025" s="82"/>
      <c r="AG1025" s="82"/>
      <c r="AH1025" s="82"/>
      <c r="AI1025" s="82"/>
      <c r="AJ1025" s="82"/>
      <c r="AK1025" s="82"/>
      <c r="AL1025" s="82"/>
      <c r="AM1025" s="82"/>
      <c r="AN1025" s="82">
        <f>IFERROR(__xludf.DUMMYFUNCTION("""COMPUTED_VALUE"""),0.0)</f>
        <v>0</v>
      </c>
      <c r="AO1025" s="82">
        <f>IFERROR(__xludf.DUMMYFUNCTION("""COMPUTED_VALUE"""),0.0)</f>
        <v>0</v>
      </c>
      <c r="AP1025" s="82">
        <f>IFERROR(__xludf.DUMMYFUNCTION("""COMPUTED_VALUE"""),0.0)</f>
        <v>0</v>
      </c>
      <c r="AQ1025" s="82">
        <f>IFERROR(__xludf.DUMMYFUNCTION("""COMPUTED_VALUE"""),0.0)</f>
        <v>0</v>
      </c>
      <c r="AR1025" s="82">
        <f>IFERROR(__xludf.DUMMYFUNCTION("""COMPUTED_VALUE"""),0.0)</f>
        <v>0</v>
      </c>
      <c r="AS1025" s="82"/>
      <c r="AT1025" s="82">
        <f>IFERROR(__xludf.DUMMYFUNCTION("""COMPUTED_VALUE"""),0.0)</f>
        <v>0</v>
      </c>
      <c r="AU1025" s="82"/>
      <c r="AV1025" s="82"/>
      <c r="AW1025" s="82" t="str">
        <f t="shared" si="1"/>
        <v/>
      </c>
      <c r="AX1025" s="83" t="str">
        <f t="array" ref="AX1025">IFERROR(DGET('SBV Import'!A:G,"SBV",{"RSC ID","Tier";B1025,A1025}))</f>
        <v/>
      </c>
      <c r="AY1025" s="82" t="str">
        <f t="shared" si="2"/>
        <v/>
      </c>
      <c r="AZ1025" s="82"/>
      <c r="BA1025" s="84" t="s">
        <v>152</v>
      </c>
      <c r="BB1025" s="84" t="str">
        <f>IFERROR(__xludf.DUMMYFUNCTION("iferror(if(A1025="""",,E1025&gt;=FILTER(Constants!$F$2:$F$10,Constants!$A$2:$A$10=A1025)))"),"")</f>
        <v/>
      </c>
    </row>
    <row r="1026">
      <c r="A1026" s="80"/>
      <c r="B1026" s="73"/>
      <c r="C1026" s="73"/>
      <c r="D1026" s="73"/>
      <c r="E1026" s="82"/>
      <c r="F1026" s="82"/>
      <c r="G1026" s="82"/>
      <c r="H1026" s="86"/>
      <c r="I1026" s="86"/>
      <c r="J1026" s="82"/>
      <c r="K1026" s="82"/>
      <c r="L1026" s="82"/>
      <c r="M1026" s="82"/>
      <c r="N1026" s="82"/>
      <c r="O1026" s="82"/>
      <c r="P1026" s="82"/>
      <c r="Q1026" s="82"/>
      <c r="R1026" s="82"/>
      <c r="S1026" s="82"/>
      <c r="T1026" s="82"/>
      <c r="U1026" s="82"/>
      <c r="V1026" s="82"/>
      <c r="W1026" s="82"/>
      <c r="X1026" s="82"/>
      <c r="Y1026" s="82"/>
      <c r="Z1026" s="82"/>
      <c r="AA1026" s="82"/>
      <c r="AB1026" s="82"/>
      <c r="AC1026" s="82"/>
      <c r="AD1026" s="82"/>
      <c r="AE1026" s="82"/>
      <c r="AF1026" s="82"/>
      <c r="AG1026" s="82"/>
      <c r="AH1026" s="82"/>
      <c r="AI1026" s="82"/>
      <c r="AJ1026" s="82"/>
      <c r="AK1026" s="82"/>
      <c r="AL1026" s="82"/>
      <c r="AM1026" s="82"/>
      <c r="AN1026" s="82">
        <f>IFERROR(__xludf.DUMMYFUNCTION("""COMPUTED_VALUE"""),0.0)</f>
        <v>0</v>
      </c>
      <c r="AO1026" s="82">
        <f>IFERROR(__xludf.DUMMYFUNCTION("""COMPUTED_VALUE"""),0.0)</f>
        <v>0</v>
      </c>
      <c r="AP1026" s="82">
        <f>IFERROR(__xludf.DUMMYFUNCTION("""COMPUTED_VALUE"""),0.0)</f>
        <v>0</v>
      </c>
      <c r="AQ1026" s="82">
        <f>IFERROR(__xludf.DUMMYFUNCTION("""COMPUTED_VALUE"""),0.0)</f>
        <v>0</v>
      </c>
      <c r="AR1026" s="82">
        <f>IFERROR(__xludf.DUMMYFUNCTION("""COMPUTED_VALUE"""),0.0)</f>
        <v>0</v>
      </c>
      <c r="AS1026" s="82"/>
      <c r="AT1026" s="82">
        <f>IFERROR(__xludf.DUMMYFUNCTION("""COMPUTED_VALUE"""),0.0)</f>
        <v>0</v>
      </c>
      <c r="AU1026" s="82"/>
      <c r="AV1026" s="82"/>
      <c r="AW1026" s="82" t="str">
        <f t="shared" si="1"/>
        <v/>
      </c>
      <c r="AX1026" s="83" t="str">
        <f t="array" ref="AX1026">IFERROR(DGET('SBV Import'!A:G,"SBV",{"RSC ID","Tier";B1026,A1026}))</f>
        <v/>
      </c>
      <c r="AY1026" s="82" t="str">
        <f t="shared" si="2"/>
        <v/>
      </c>
      <c r="AZ1026" s="82"/>
      <c r="BA1026" s="84" t="s">
        <v>152</v>
      </c>
      <c r="BB1026" s="84" t="str">
        <f>IFERROR(__xludf.DUMMYFUNCTION("iferror(if(A1026="""",,E1026&gt;=FILTER(Constants!$F$2:$F$10,Constants!$A$2:$A$10=A1026)))"),"")</f>
        <v/>
      </c>
    </row>
    <row r="1027">
      <c r="A1027" s="80"/>
      <c r="B1027" s="73"/>
      <c r="C1027" s="73"/>
      <c r="D1027" s="73"/>
      <c r="E1027" s="82"/>
      <c r="F1027" s="82"/>
      <c r="G1027" s="82"/>
      <c r="H1027" s="86"/>
      <c r="I1027" s="86"/>
      <c r="J1027" s="82"/>
      <c r="K1027" s="82"/>
      <c r="L1027" s="82"/>
      <c r="M1027" s="82"/>
      <c r="N1027" s="82"/>
      <c r="O1027" s="82"/>
      <c r="P1027" s="82"/>
      <c r="Q1027" s="82"/>
      <c r="R1027" s="82"/>
      <c r="S1027" s="82"/>
      <c r="T1027" s="82"/>
      <c r="U1027" s="82"/>
      <c r="V1027" s="82"/>
      <c r="W1027" s="82"/>
      <c r="X1027" s="82"/>
      <c r="Y1027" s="82"/>
      <c r="Z1027" s="82"/>
      <c r="AA1027" s="82"/>
      <c r="AB1027" s="82"/>
      <c r="AC1027" s="82"/>
      <c r="AD1027" s="82"/>
      <c r="AE1027" s="82"/>
      <c r="AF1027" s="82"/>
      <c r="AG1027" s="82"/>
      <c r="AH1027" s="82"/>
      <c r="AI1027" s="82"/>
      <c r="AJ1027" s="82"/>
      <c r="AK1027" s="82"/>
      <c r="AL1027" s="82"/>
      <c r="AM1027" s="82"/>
      <c r="AN1027" s="82">
        <f>IFERROR(__xludf.DUMMYFUNCTION("""COMPUTED_VALUE"""),0.0)</f>
        <v>0</v>
      </c>
      <c r="AO1027" s="82">
        <f>IFERROR(__xludf.DUMMYFUNCTION("""COMPUTED_VALUE"""),0.0)</f>
        <v>0</v>
      </c>
      <c r="AP1027" s="82">
        <f>IFERROR(__xludf.DUMMYFUNCTION("""COMPUTED_VALUE"""),0.0)</f>
        <v>0</v>
      </c>
      <c r="AQ1027" s="82">
        <f>IFERROR(__xludf.DUMMYFUNCTION("""COMPUTED_VALUE"""),0.0)</f>
        <v>0</v>
      </c>
      <c r="AR1027" s="82">
        <f>IFERROR(__xludf.DUMMYFUNCTION("""COMPUTED_VALUE"""),0.0)</f>
        <v>0</v>
      </c>
      <c r="AS1027" s="82"/>
      <c r="AT1027" s="82">
        <f>IFERROR(__xludf.DUMMYFUNCTION("""COMPUTED_VALUE"""),0.0)</f>
        <v>0</v>
      </c>
      <c r="AU1027" s="82"/>
      <c r="AV1027" s="82"/>
      <c r="AW1027" s="82" t="str">
        <f t="shared" si="1"/>
        <v/>
      </c>
      <c r="AX1027" s="83" t="str">
        <f t="array" ref="AX1027">IFERROR(DGET('SBV Import'!A:G,"SBV",{"RSC ID","Tier";B1027,A1027}))</f>
        <v/>
      </c>
      <c r="AY1027" s="82" t="str">
        <f t="shared" si="2"/>
        <v/>
      </c>
      <c r="AZ1027" s="82"/>
      <c r="BA1027" s="84" t="s">
        <v>152</v>
      </c>
      <c r="BB1027" s="84" t="str">
        <f>IFERROR(__xludf.DUMMYFUNCTION("iferror(if(A1027="""",,E1027&gt;=FILTER(Constants!$F$2:$F$10,Constants!$A$2:$A$10=A1027)))"),"")</f>
        <v/>
      </c>
    </row>
    <row r="1028">
      <c r="A1028" s="80"/>
      <c r="B1028" s="73"/>
      <c r="C1028" s="73"/>
      <c r="D1028" s="73"/>
      <c r="E1028" s="82"/>
      <c r="F1028" s="82"/>
      <c r="G1028" s="82"/>
      <c r="H1028" s="86"/>
      <c r="I1028" s="86"/>
      <c r="J1028" s="82"/>
      <c r="K1028" s="82"/>
      <c r="L1028" s="82"/>
      <c r="M1028" s="82"/>
      <c r="N1028" s="82"/>
      <c r="O1028" s="82"/>
      <c r="P1028" s="82"/>
      <c r="Q1028" s="82"/>
      <c r="R1028" s="82"/>
      <c r="S1028" s="82"/>
      <c r="T1028" s="82"/>
      <c r="U1028" s="82"/>
      <c r="V1028" s="82"/>
      <c r="W1028" s="82"/>
      <c r="X1028" s="82"/>
      <c r="Y1028" s="82"/>
      <c r="Z1028" s="82"/>
      <c r="AA1028" s="82"/>
      <c r="AB1028" s="82"/>
      <c r="AC1028" s="82"/>
      <c r="AD1028" s="82"/>
      <c r="AE1028" s="82"/>
      <c r="AF1028" s="82"/>
      <c r="AG1028" s="82"/>
      <c r="AH1028" s="82"/>
      <c r="AI1028" s="82"/>
      <c r="AJ1028" s="82"/>
      <c r="AK1028" s="82"/>
      <c r="AL1028" s="82"/>
      <c r="AM1028" s="82"/>
      <c r="AN1028" s="82">
        <f>IFERROR(__xludf.DUMMYFUNCTION("""COMPUTED_VALUE"""),0.0)</f>
        <v>0</v>
      </c>
      <c r="AO1028" s="82">
        <f>IFERROR(__xludf.DUMMYFUNCTION("""COMPUTED_VALUE"""),0.0)</f>
        <v>0</v>
      </c>
      <c r="AP1028" s="82">
        <f>IFERROR(__xludf.DUMMYFUNCTION("""COMPUTED_VALUE"""),0.0)</f>
        <v>0</v>
      </c>
      <c r="AQ1028" s="82">
        <f>IFERROR(__xludf.DUMMYFUNCTION("""COMPUTED_VALUE"""),0.0)</f>
        <v>0</v>
      </c>
      <c r="AR1028" s="82">
        <f>IFERROR(__xludf.DUMMYFUNCTION("""COMPUTED_VALUE"""),0.0)</f>
        <v>0</v>
      </c>
      <c r="AS1028" s="82"/>
      <c r="AT1028" s="82">
        <f>IFERROR(__xludf.DUMMYFUNCTION("""COMPUTED_VALUE"""),0.0)</f>
        <v>0</v>
      </c>
      <c r="AU1028" s="82"/>
      <c r="AV1028" s="82"/>
      <c r="AW1028" s="82" t="str">
        <f t="shared" si="1"/>
        <v/>
      </c>
      <c r="AX1028" s="83" t="str">
        <f t="array" ref="AX1028">IFERROR(DGET('SBV Import'!A:G,"SBV",{"RSC ID","Tier";B1028,A1028}))</f>
        <v/>
      </c>
      <c r="AY1028" s="82" t="str">
        <f t="shared" si="2"/>
        <v/>
      </c>
      <c r="AZ1028" s="82"/>
      <c r="BA1028" s="84" t="s">
        <v>152</v>
      </c>
      <c r="BB1028" s="84" t="str">
        <f>IFERROR(__xludf.DUMMYFUNCTION("iferror(if(A1028="""",,E1028&gt;=FILTER(Constants!$F$2:$F$10,Constants!$A$2:$A$10=A1028)))"),"")</f>
        <v/>
      </c>
    </row>
    <row r="1029">
      <c r="A1029" s="80"/>
      <c r="B1029" s="73"/>
      <c r="C1029" s="73"/>
      <c r="D1029" s="73"/>
      <c r="E1029" s="82"/>
      <c r="F1029" s="82"/>
      <c r="G1029" s="82"/>
      <c r="H1029" s="86"/>
      <c r="I1029" s="86"/>
      <c r="J1029" s="82"/>
      <c r="K1029" s="82"/>
      <c r="L1029" s="82"/>
      <c r="M1029" s="82"/>
      <c r="N1029" s="82"/>
      <c r="O1029" s="82"/>
      <c r="P1029" s="82"/>
      <c r="Q1029" s="82"/>
      <c r="R1029" s="82"/>
      <c r="S1029" s="82"/>
      <c r="T1029" s="82"/>
      <c r="U1029" s="82"/>
      <c r="V1029" s="82"/>
      <c r="W1029" s="82"/>
      <c r="X1029" s="82"/>
      <c r="Y1029" s="82"/>
      <c r="Z1029" s="82"/>
      <c r="AA1029" s="82"/>
      <c r="AB1029" s="82"/>
      <c r="AC1029" s="82"/>
      <c r="AD1029" s="82"/>
      <c r="AE1029" s="82"/>
      <c r="AF1029" s="82"/>
      <c r="AG1029" s="82"/>
      <c r="AH1029" s="82"/>
      <c r="AI1029" s="82"/>
      <c r="AJ1029" s="82"/>
      <c r="AK1029" s="82"/>
      <c r="AL1029" s="82"/>
      <c r="AM1029" s="82"/>
      <c r="AN1029" s="82">
        <f>IFERROR(__xludf.DUMMYFUNCTION("""COMPUTED_VALUE"""),0.0)</f>
        <v>0</v>
      </c>
      <c r="AO1029" s="82">
        <f>IFERROR(__xludf.DUMMYFUNCTION("""COMPUTED_VALUE"""),0.0)</f>
        <v>0</v>
      </c>
      <c r="AP1029" s="82">
        <f>IFERROR(__xludf.DUMMYFUNCTION("""COMPUTED_VALUE"""),0.0)</f>
        <v>0</v>
      </c>
      <c r="AQ1029" s="82">
        <f>IFERROR(__xludf.DUMMYFUNCTION("""COMPUTED_VALUE"""),0.0)</f>
        <v>0</v>
      </c>
      <c r="AR1029" s="82">
        <f>IFERROR(__xludf.DUMMYFUNCTION("""COMPUTED_VALUE"""),0.0)</f>
        <v>0</v>
      </c>
      <c r="AS1029" s="82"/>
      <c r="AT1029" s="82">
        <f>IFERROR(__xludf.DUMMYFUNCTION("""COMPUTED_VALUE"""),0.0)</f>
        <v>0</v>
      </c>
      <c r="AU1029" s="82"/>
      <c r="AV1029" s="82"/>
      <c r="AW1029" s="82" t="str">
        <f t="shared" si="1"/>
        <v/>
      </c>
      <c r="AX1029" s="83" t="str">
        <f t="array" ref="AX1029">IFERROR(DGET('SBV Import'!A:G,"SBV",{"RSC ID","Tier";B1029,A1029}))</f>
        <v/>
      </c>
      <c r="AY1029" s="82" t="str">
        <f t="shared" si="2"/>
        <v/>
      </c>
      <c r="AZ1029" s="82"/>
      <c r="BA1029" s="84" t="s">
        <v>152</v>
      </c>
      <c r="BB1029" s="84" t="str">
        <f>IFERROR(__xludf.DUMMYFUNCTION("iferror(if(A1029="""",,E1029&gt;=FILTER(Constants!$F$2:$F$10,Constants!$A$2:$A$10=A1029)))"),"")</f>
        <v/>
      </c>
    </row>
    <row r="1030">
      <c r="A1030" s="80"/>
      <c r="B1030" s="73"/>
      <c r="C1030" s="73"/>
      <c r="D1030" s="73"/>
      <c r="E1030" s="82"/>
      <c r="F1030" s="82"/>
      <c r="G1030" s="82"/>
      <c r="H1030" s="86"/>
      <c r="I1030" s="86"/>
      <c r="J1030" s="82"/>
      <c r="K1030" s="82"/>
      <c r="L1030" s="82"/>
      <c r="M1030" s="82"/>
      <c r="N1030" s="82"/>
      <c r="O1030" s="82"/>
      <c r="P1030" s="82"/>
      <c r="Q1030" s="82"/>
      <c r="R1030" s="82"/>
      <c r="S1030" s="82"/>
      <c r="T1030" s="82"/>
      <c r="U1030" s="82"/>
      <c r="V1030" s="82"/>
      <c r="W1030" s="82"/>
      <c r="X1030" s="82"/>
      <c r="Y1030" s="82"/>
      <c r="Z1030" s="82"/>
      <c r="AA1030" s="82"/>
      <c r="AB1030" s="82"/>
      <c r="AC1030" s="82"/>
      <c r="AD1030" s="82"/>
      <c r="AE1030" s="82"/>
      <c r="AF1030" s="82"/>
      <c r="AG1030" s="82"/>
      <c r="AH1030" s="82"/>
      <c r="AI1030" s="82"/>
      <c r="AJ1030" s="82"/>
      <c r="AK1030" s="82"/>
      <c r="AL1030" s="82"/>
      <c r="AM1030" s="82"/>
      <c r="AN1030" s="82">
        <f>IFERROR(__xludf.DUMMYFUNCTION("""COMPUTED_VALUE"""),0.0)</f>
        <v>0</v>
      </c>
      <c r="AO1030" s="82">
        <f>IFERROR(__xludf.DUMMYFUNCTION("""COMPUTED_VALUE"""),0.0)</f>
        <v>0</v>
      </c>
      <c r="AP1030" s="82">
        <f>IFERROR(__xludf.DUMMYFUNCTION("""COMPUTED_VALUE"""),0.0)</f>
        <v>0</v>
      </c>
      <c r="AQ1030" s="82">
        <f>IFERROR(__xludf.DUMMYFUNCTION("""COMPUTED_VALUE"""),0.0)</f>
        <v>0</v>
      </c>
      <c r="AR1030" s="82">
        <f>IFERROR(__xludf.DUMMYFUNCTION("""COMPUTED_VALUE"""),0.0)</f>
        <v>0</v>
      </c>
      <c r="AS1030" s="82"/>
      <c r="AT1030" s="82">
        <f>IFERROR(__xludf.DUMMYFUNCTION("""COMPUTED_VALUE"""),0.0)</f>
        <v>0</v>
      </c>
      <c r="AU1030" s="82"/>
      <c r="AV1030" s="82"/>
      <c r="AW1030" s="82" t="str">
        <f t="shared" si="1"/>
        <v/>
      </c>
      <c r="AX1030" s="83" t="str">
        <f t="array" ref="AX1030">IFERROR(DGET('SBV Import'!A:G,"SBV",{"RSC ID","Tier";B1030,A1030}))</f>
        <v/>
      </c>
      <c r="AY1030" s="82" t="str">
        <f t="shared" si="2"/>
        <v/>
      </c>
      <c r="AZ1030" s="82"/>
      <c r="BA1030" s="84" t="s">
        <v>152</v>
      </c>
      <c r="BB1030" s="84" t="str">
        <f>IFERROR(__xludf.DUMMYFUNCTION("iferror(if(A1030="""",,E1030&gt;=FILTER(Constants!$F$2:$F$10,Constants!$A$2:$A$10=A1030)))"),"")</f>
        <v/>
      </c>
    </row>
    <row r="1031">
      <c r="A1031" s="80"/>
      <c r="B1031" s="73"/>
      <c r="C1031" s="73"/>
      <c r="D1031" s="73"/>
      <c r="E1031" s="82"/>
      <c r="F1031" s="82"/>
      <c r="G1031" s="82"/>
      <c r="H1031" s="86"/>
      <c r="I1031" s="86"/>
      <c r="J1031" s="82"/>
      <c r="K1031" s="82"/>
      <c r="L1031" s="82"/>
      <c r="M1031" s="82"/>
      <c r="N1031" s="82"/>
      <c r="O1031" s="82"/>
      <c r="P1031" s="82"/>
      <c r="Q1031" s="82"/>
      <c r="R1031" s="82"/>
      <c r="S1031" s="82"/>
      <c r="T1031" s="82"/>
      <c r="U1031" s="82"/>
      <c r="V1031" s="82"/>
      <c r="W1031" s="82"/>
      <c r="X1031" s="82"/>
      <c r="Y1031" s="82"/>
      <c r="Z1031" s="82"/>
      <c r="AA1031" s="82"/>
      <c r="AB1031" s="82"/>
      <c r="AC1031" s="82"/>
      <c r="AD1031" s="82"/>
      <c r="AE1031" s="82"/>
      <c r="AF1031" s="82"/>
      <c r="AG1031" s="82"/>
      <c r="AH1031" s="82"/>
      <c r="AI1031" s="82"/>
      <c r="AJ1031" s="82"/>
      <c r="AK1031" s="82"/>
      <c r="AL1031" s="82"/>
      <c r="AM1031" s="82"/>
      <c r="AN1031" s="82">
        <f>IFERROR(__xludf.DUMMYFUNCTION("""COMPUTED_VALUE"""),0.0)</f>
        <v>0</v>
      </c>
      <c r="AO1031" s="82">
        <f>IFERROR(__xludf.DUMMYFUNCTION("""COMPUTED_VALUE"""),0.0)</f>
        <v>0</v>
      </c>
      <c r="AP1031" s="82">
        <f>IFERROR(__xludf.DUMMYFUNCTION("""COMPUTED_VALUE"""),0.0)</f>
        <v>0</v>
      </c>
      <c r="AQ1031" s="82">
        <f>IFERROR(__xludf.DUMMYFUNCTION("""COMPUTED_VALUE"""),0.0)</f>
        <v>0</v>
      </c>
      <c r="AR1031" s="82">
        <f>IFERROR(__xludf.DUMMYFUNCTION("""COMPUTED_VALUE"""),0.0)</f>
        <v>0</v>
      </c>
      <c r="AS1031" s="82"/>
      <c r="AT1031" s="82">
        <f>IFERROR(__xludf.DUMMYFUNCTION("""COMPUTED_VALUE"""),0.0)</f>
        <v>0</v>
      </c>
      <c r="AU1031" s="82"/>
      <c r="AV1031" s="82"/>
      <c r="AW1031" s="82" t="str">
        <f t="shared" si="1"/>
        <v/>
      </c>
      <c r="AX1031" s="83" t="str">
        <f t="array" ref="AX1031">IFERROR(DGET('SBV Import'!A:G,"SBV",{"RSC ID","Tier";B1031,A1031}))</f>
        <v/>
      </c>
      <c r="AY1031" s="82" t="str">
        <f t="shared" si="2"/>
        <v/>
      </c>
      <c r="AZ1031" s="82"/>
      <c r="BA1031" s="84" t="s">
        <v>152</v>
      </c>
      <c r="BB1031" s="84" t="str">
        <f>IFERROR(__xludf.DUMMYFUNCTION("iferror(if(A1031="""",,E1031&gt;=FILTER(Constants!$F$2:$F$10,Constants!$A$2:$A$10=A1031)))"),"")</f>
        <v/>
      </c>
    </row>
    <row r="1032">
      <c r="A1032" s="80"/>
      <c r="B1032" s="73"/>
      <c r="C1032" s="73"/>
      <c r="D1032" s="73"/>
      <c r="E1032" s="82"/>
      <c r="F1032" s="82"/>
      <c r="G1032" s="82"/>
      <c r="H1032" s="86"/>
      <c r="I1032" s="86"/>
      <c r="J1032" s="82"/>
      <c r="K1032" s="82"/>
      <c r="L1032" s="82"/>
      <c r="M1032" s="82"/>
      <c r="N1032" s="82"/>
      <c r="O1032" s="82"/>
      <c r="P1032" s="82"/>
      <c r="Q1032" s="82"/>
      <c r="R1032" s="82"/>
      <c r="S1032" s="82"/>
      <c r="T1032" s="82"/>
      <c r="U1032" s="82"/>
      <c r="V1032" s="82"/>
      <c r="W1032" s="82"/>
      <c r="X1032" s="82"/>
      <c r="Y1032" s="82"/>
      <c r="Z1032" s="82"/>
      <c r="AA1032" s="82"/>
      <c r="AB1032" s="82"/>
      <c r="AC1032" s="82"/>
      <c r="AD1032" s="82"/>
      <c r="AE1032" s="82"/>
      <c r="AF1032" s="82"/>
      <c r="AG1032" s="82"/>
      <c r="AH1032" s="82"/>
      <c r="AI1032" s="82"/>
      <c r="AJ1032" s="82"/>
      <c r="AK1032" s="82"/>
      <c r="AL1032" s="82"/>
      <c r="AM1032" s="82"/>
      <c r="AN1032" s="82">
        <f>IFERROR(__xludf.DUMMYFUNCTION("""COMPUTED_VALUE"""),0.0)</f>
        <v>0</v>
      </c>
      <c r="AO1032" s="82">
        <f>IFERROR(__xludf.DUMMYFUNCTION("""COMPUTED_VALUE"""),0.0)</f>
        <v>0</v>
      </c>
      <c r="AP1032" s="82">
        <f>IFERROR(__xludf.DUMMYFUNCTION("""COMPUTED_VALUE"""),0.0)</f>
        <v>0</v>
      </c>
      <c r="AQ1032" s="82">
        <f>IFERROR(__xludf.DUMMYFUNCTION("""COMPUTED_VALUE"""),0.0)</f>
        <v>0</v>
      </c>
      <c r="AR1032" s="82">
        <f>IFERROR(__xludf.DUMMYFUNCTION("""COMPUTED_VALUE"""),0.0)</f>
        <v>0</v>
      </c>
      <c r="AS1032" s="82"/>
      <c r="AT1032" s="82">
        <f>IFERROR(__xludf.DUMMYFUNCTION("""COMPUTED_VALUE"""),0.0)</f>
        <v>0</v>
      </c>
      <c r="AU1032" s="82"/>
      <c r="AV1032" s="82"/>
      <c r="AW1032" s="82" t="str">
        <f t="shared" si="1"/>
        <v/>
      </c>
      <c r="AX1032" s="83" t="str">
        <f t="array" ref="AX1032">IFERROR(DGET('SBV Import'!A:G,"SBV",{"RSC ID","Tier";B1032,A1032}))</f>
        <v/>
      </c>
      <c r="AY1032" s="82" t="str">
        <f t="shared" si="2"/>
        <v/>
      </c>
      <c r="AZ1032" s="82"/>
      <c r="BA1032" s="84" t="s">
        <v>152</v>
      </c>
      <c r="BB1032" s="84" t="str">
        <f>IFERROR(__xludf.DUMMYFUNCTION("iferror(if(A1032="""",,E1032&gt;=FILTER(Constants!$F$2:$F$10,Constants!$A$2:$A$10=A1032)))"),"")</f>
        <v/>
      </c>
    </row>
    <row r="1033">
      <c r="A1033" s="80"/>
      <c r="B1033" s="73"/>
      <c r="C1033" s="73"/>
      <c r="D1033" s="73"/>
      <c r="E1033" s="82"/>
      <c r="F1033" s="82"/>
      <c r="G1033" s="82"/>
      <c r="H1033" s="86"/>
      <c r="I1033" s="86"/>
      <c r="J1033" s="82"/>
      <c r="K1033" s="82"/>
      <c r="L1033" s="82"/>
      <c r="M1033" s="82"/>
      <c r="N1033" s="82"/>
      <c r="O1033" s="82"/>
      <c r="P1033" s="82"/>
      <c r="Q1033" s="82"/>
      <c r="R1033" s="82"/>
      <c r="S1033" s="82"/>
      <c r="T1033" s="82"/>
      <c r="U1033" s="82"/>
      <c r="V1033" s="82"/>
      <c r="W1033" s="82"/>
      <c r="X1033" s="82"/>
      <c r="Y1033" s="82"/>
      <c r="Z1033" s="82"/>
      <c r="AA1033" s="82"/>
      <c r="AB1033" s="82"/>
      <c r="AC1033" s="82"/>
      <c r="AD1033" s="82"/>
      <c r="AE1033" s="82"/>
      <c r="AF1033" s="82"/>
      <c r="AG1033" s="82"/>
      <c r="AH1033" s="82"/>
      <c r="AI1033" s="82"/>
      <c r="AJ1033" s="82"/>
      <c r="AK1033" s="82"/>
      <c r="AL1033" s="82"/>
      <c r="AM1033" s="82"/>
      <c r="AN1033" s="82">
        <f>IFERROR(__xludf.DUMMYFUNCTION("""COMPUTED_VALUE"""),0.0)</f>
        <v>0</v>
      </c>
      <c r="AO1033" s="82">
        <f>IFERROR(__xludf.DUMMYFUNCTION("""COMPUTED_VALUE"""),0.0)</f>
        <v>0</v>
      </c>
      <c r="AP1033" s="82">
        <f>IFERROR(__xludf.DUMMYFUNCTION("""COMPUTED_VALUE"""),0.0)</f>
        <v>0</v>
      </c>
      <c r="AQ1033" s="82">
        <f>IFERROR(__xludf.DUMMYFUNCTION("""COMPUTED_VALUE"""),0.0)</f>
        <v>0</v>
      </c>
      <c r="AR1033" s="82">
        <f>IFERROR(__xludf.DUMMYFUNCTION("""COMPUTED_VALUE"""),0.0)</f>
        <v>0</v>
      </c>
      <c r="AS1033" s="82"/>
      <c r="AT1033" s="82">
        <f>IFERROR(__xludf.DUMMYFUNCTION("""COMPUTED_VALUE"""),0.0)</f>
        <v>0</v>
      </c>
      <c r="AU1033" s="82"/>
      <c r="AV1033" s="82"/>
      <c r="AW1033" s="82" t="str">
        <f t="shared" si="1"/>
        <v/>
      </c>
      <c r="AX1033" s="83" t="str">
        <f t="array" ref="AX1033">IFERROR(DGET('SBV Import'!A:G,"SBV",{"RSC ID","Tier";B1033,A1033}))</f>
        <v/>
      </c>
      <c r="AY1033" s="82" t="str">
        <f t="shared" si="2"/>
        <v/>
      </c>
      <c r="AZ1033" s="82"/>
      <c r="BA1033" s="84" t="s">
        <v>152</v>
      </c>
      <c r="BB1033" s="84" t="str">
        <f>IFERROR(__xludf.DUMMYFUNCTION("iferror(if(A1033="""",,E1033&gt;=FILTER(Constants!$F$2:$F$10,Constants!$A$2:$A$10=A1033)))"),"")</f>
        <v/>
      </c>
    </row>
    <row r="1034">
      <c r="A1034" s="80"/>
      <c r="B1034" s="73"/>
      <c r="C1034" s="73"/>
      <c r="D1034" s="73"/>
      <c r="E1034" s="82"/>
      <c r="F1034" s="82"/>
      <c r="G1034" s="82"/>
      <c r="H1034" s="86"/>
      <c r="I1034" s="86"/>
      <c r="J1034" s="82"/>
      <c r="K1034" s="82"/>
      <c r="L1034" s="82"/>
      <c r="M1034" s="82"/>
      <c r="N1034" s="82"/>
      <c r="O1034" s="82"/>
      <c r="P1034" s="82"/>
      <c r="Q1034" s="82"/>
      <c r="R1034" s="82"/>
      <c r="S1034" s="82"/>
      <c r="T1034" s="82"/>
      <c r="U1034" s="82"/>
      <c r="V1034" s="82"/>
      <c r="W1034" s="82"/>
      <c r="X1034" s="82"/>
      <c r="Y1034" s="82"/>
      <c r="Z1034" s="82"/>
      <c r="AA1034" s="82"/>
      <c r="AB1034" s="82"/>
      <c r="AC1034" s="82"/>
      <c r="AD1034" s="82"/>
      <c r="AE1034" s="82"/>
      <c r="AF1034" s="82"/>
      <c r="AG1034" s="82"/>
      <c r="AH1034" s="82"/>
      <c r="AI1034" s="82"/>
      <c r="AJ1034" s="82"/>
      <c r="AK1034" s="82"/>
      <c r="AL1034" s="82"/>
      <c r="AM1034" s="82"/>
      <c r="AN1034" s="82">
        <f>IFERROR(__xludf.DUMMYFUNCTION("""COMPUTED_VALUE"""),0.0)</f>
        <v>0</v>
      </c>
      <c r="AO1034" s="82">
        <f>IFERROR(__xludf.DUMMYFUNCTION("""COMPUTED_VALUE"""),0.0)</f>
        <v>0</v>
      </c>
      <c r="AP1034" s="82">
        <f>IFERROR(__xludf.DUMMYFUNCTION("""COMPUTED_VALUE"""),0.0)</f>
        <v>0</v>
      </c>
      <c r="AQ1034" s="82">
        <f>IFERROR(__xludf.DUMMYFUNCTION("""COMPUTED_VALUE"""),0.0)</f>
        <v>0</v>
      </c>
      <c r="AR1034" s="82">
        <f>IFERROR(__xludf.DUMMYFUNCTION("""COMPUTED_VALUE"""),0.0)</f>
        <v>0</v>
      </c>
      <c r="AS1034" s="82"/>
      <c r="AT1034" s="82">
        <f>IFERROR(__xludf.DUMMYFUNCTION("""COMPUTED_VALUE"""),0.0)</f>
        <v>0</v>
      </c>
      <c r="AU1034" s="82"/>
      <c r="AV1034" s="82"/>
      <c r="AW1034" s="82" t="str">
        <f t="shared" si="1"/>
        <v/>
      </c>
      <c r="AX1034" s="83" t="str">
        <f t="array" ref="AX1034">IFERROR(DGET('SBV Import'!A:G,"SBV",{"RSC ID","Tier";B1034,A1034}))</f>
        <v/>
      </c>
      <c r="AY1034" s="82" t="str">
        <f t="shared" si="2"/>
        <v/>
      </c>
      <c r="AZ1034" s="82"/>
      <c r="BA1034" s="84" t="s">
        <v>152</v>
      </c>
      <c r="BB1034" s="84" t="str">
        <f>IFERROR(__xludf.DUMMYFUNCTION("iferror(if(A1034="""",,E1034&gt;=FILTER(Constants!$F$2:$F$10,Constants!$A$2:$A$10=A1034)))"),"")</f>
        <v/>
      </c>
    </row>
    <row r="1035">
      <c r="A1035" s="80"/>
      <c r="B1035" s="73"/>
      <c r="C1035" s="73"/>
      <c r="D1035" s="73"/>
      <c r="E1035" s="82"/>
      <c r="F1035" s="82"/>
      <c r="G1035" s="82"/>
      <c r="H1035" s="86"/>
      <c r="I1035" s="86"/>
      <c r="J1035" s="82"/>
      <c r="K1035" s="82"/>
      <c r="L1035" s="82"/>
      <c r="M1035" s="82"/>
      <c r="N1035" s="82"/>
      <c r="O1035" s="82"/>
      <c r="P1035" s="82"/>
      <c r="Q1035" s="82"/>
      <c r="R1035" s="82"/>
      <c r="S1035" s="82"/>
      <c r="T1035" s="82"/>
      <c r="U1035" s="82"/>
      <c r="V1035" s="82"/>
      <c r="W1035" s="82"/>
      <c r="X1035" s="82"/>
      <c r="Y1035" s="82"/>
      <c r="Z1035" s="82"/>
      <c r="AA1035" s="82"/>
      <c r="AB1035" s="82"/>
      <c r="AC1035" s="82"/>
      <c r="AD1035" s="82"/>
      <c r="AE1035" s="82"/>
      <c r="AF1035" s="82"/>
      <c r="AG1035" s="82"/>
      <c r="AH1035" s="82"/>
      <c r="AI1035" s="82"/>
      <c r="AJ1035" s="82"/>
      <c r="AK1035" s="82"/>
      <c r="AL1035" s="82"/>
      <c r="AM1035" s="82"/>
      <c r="AN1035" s="82">
        <f>IFERROR(__xludf.DUMMYFUNCTION("""COMPUTED_VALUE"""),0.0)</f>
        <v>0</v>
      </c>
      <c r="AO1035" s="82">
        <f>IFERROR(__xludf.DUMMYFUNCTION("""COMPUTED_VALUE"""),0.0)</f>
        <v>0</v>
      </c>
      <c r="AP1035" s="82">
        <f>IFERROR(__xludf.DUMMYFUNCTION("""COMPUTED_VALUE"""),0.0)</f>
        <v>0</v>
      </c>
      <c r="AQ1035" s="82">
        <f>IFERROR(__xludf.DUMMYFUNCTION("""COMPUTED_VALUE"""),0.0)</f>
        <v>0</v>
      </c>
      <c r="AR1035" s="82">
        <f>IFERROR(__xludf.DUMMYFUNCTION("""COMPUTED_VALUE"""),0.0)</f>
        <v>0</v>
      </c>
      <c r="AS1035" s="82"/>
      <c r="AT1035" s="82">
        <f>IFERROR(__xludf.DUMMYFUNCTION("""COMPUTED_VALUE"""),0.0)</f>
        <v>0</v>
      </c>
      <c r="AU1035" s="82"/>
      <c r="AV1035" s="82"/>
      <c r="AW1035" s="82" t="str">
        <f t="shared" si="1"/>
        <v/>
      </c>
      <c r="AX1035" s="83" t="str">
        <f t="array" ref="AX1035">IFERROR(DGET('SBV Import'!A:G,"SBV",{"RSC ID","Tier";B1035,A1035}))</f>
        <v/>
      </c>
      <c r="AY1035" s="82" t="str">
        <f t="shared" si="2"/>
        <v/>
      </c>
      <c r="AZ1035" s="82"/>
      <c r="BA1035" s="84" t="s">
        <v>152</v>
      </c>
      <c r="BB1035" s="84" t="str">
        <f>IFERROR(__xludf.DUMMYFUNCTION("iferror(if(A1035="""",,E1035&gt;=FILTER(Constants!$F$2:$F$10,Constants!$A$2:$A$10=A1035)))"),"")</f>
        <v/>
      </c>
    </row>
    <row r="1036">
      <c r="A1036" s="80"/>
      <c r="B1036" s="73"/>
      <c r="C1036" s="73"/>
      <c r="D1036" s="73"/>
      <c r="E1036" s="82"/>
      <c r="F1036" s="82"/>
      <c r="G1036" s="82"/>
      <c r="H1036" s="86"/>
      <c r="I1036" s="86"/>
      <c r="J1036" s="82"/>
      <c r="K1036" s="82"/>
      <c r="L1036" s="82"/>
      <c r="M1036" s="82"/>
      <c r="N1036" s="82"/>
      <c r="O1036" s="82"/>
      <c r="P1036" s="82"/>
      <c r="Q1036" s="82"/>
      <c r="R1036" s="82"/>
      <c r="S1036" s="82"/>
      <c r="T1036" s="82"/>
      <c r="U1036" s="82"/>
      <c r="V1036" s="82"/>
      <c r="W1036" s="82"/>
      <c r="X1036" s="82"/>
      <c r="Y1036" s="82"/>
      <c r="Z1036" s="82"/>
      <c r="AA1036" s="82"/>
      <c r="AB1036" s="82"/>
      <c r="AC1036" s="82"/>
      <c r="AD1036" s="82"/>
      <c r="AE1036" s="82"/>
      <c r="AF1036" s="82"/>
      <c r="AG1036" s="82"/>
      <c r="AH1036" s="82"/>
      <c r="AI1036" s="82"/>
      <c r="AJ1036" s="82"/>
      <c r="AK1036" s="82"/>
      <c r="AL1036" s="82"/>
      <c r="AM1036" s="82"/>
      <c r="AN1036" s="82">
        <f>IFERROR(__xludf.DUMMYFUNCTION("""COMPUTED_VALUE"""),0.0)</f>
        <v>0</v>
      </c>
      <c r="AO1036" s="82">
        <f>IFERROR(__xludf.DUMMYFUNCTION("""COMPUTED_VALUE"""),0.0)</f>
        <v>0</v>
      </c>
      <c r="AP1036" s="82">
        <f>IFERROR(__xludf.DUMMYFUNCTION("""COMPUTED_VALUE"""),0.0)</f>
        <v>0</v>
      </c>
      <c r="AQ1036" s="82">
        <f>IFERROR(__xludf.DUMMYFUNCTION("""COMPUTED_VALUE"""),0.0)</f>
        <v>0</v>
      </c>
      <c r="AR1036" s="82">
        <f>IFERROR(__xludf.DUMMYFUNCTION("""COMPUTED_VALUE"""),0.0)</f>
        <v>0</v>
      </c>
      <c r="AS1036" s="82"/>
      <c r="AT1036" s="82">
        <f>IFERROR(__xludf.DUMMYFUNCTION("""COMPUTED_VALUE"""),0.0)</f>
        <v>0</v>
      </c>
      <c r="AU1036" s="82"/>
      <c r="AV1036" s="82"/>
      <c r="AW1036" s="82" t="str">
        <f t="shared" si="1"/>
        <v/>
      </c>
      <c r="AX1036" s="83" t="str">
        <f t="array" ref="AX1036">IFERROR(DGET('SBV Import'!A:G,"SBV",{"RSC ID","Tier";B1036,A1036}))</f>
        <v/>
      </c>
      <c r="AY1036" s="82" t="str">
        <f t="shared" si="2"/>
        <v/>
      </c>
      <c r="AZ1036" s="82"/>
      <c r="BA1036" s="84" t="s">
        <v>152</v>
      </c>
      <c r="BB1036" s="84" t="str">
        <f>IFERROR(__xludf.DUMMYFUNCTION("iferror(if(A1036="""",,E1036&gt;=FILTER(Constants!$F$2:$F$10,Constants!$A$2:$A$10=A1036)))"),"")</f>
        <v/>
      </c>
    </row>
    <row r="1037">
      <c r="A1037" s="80"/>
      <c r="B1037" s="73"/>
      <c r="C1037" s="73"/>
      <c r="D1037" s="73"/>
      <c r="E1037" s="82"/>
      <c r="F1037" s="82"/>
      <c r="G1037" s="82"/>
      <c r="H1037" s="86"/>
      <c r="I1037" s="86"/>
      <c r="J1037" s="82"/>
      <c r="K1037" s="82"/>
      <c r="L1037" s="82"/>
      <c r="M1037" s="82"/>
      <c r="N1037" s="82"/>
      <c r="O1037" s="82"/>
      <c r="P1037" s="82"/>
      <c r="Q1037" s="82"/>
      <c r="R1037" s="82"/>
      <c r="S1037" s="82"/>
      <c r="T1037" s="82"/>
      <c r="U1037" s="82"/>
      <c r="V1037" s="82"/>
      <c r="W1037" s="82"/>
      <c r="X1037" s="82"/>
      <c r="Y1037" s="82"/>
      <c r="Z1037" s="82"/>
      <c r="AA1037" s="82"/>
      <c r="AB1037" s="82"/>
      <c r="AC1037" s="82"/>
      <c r="AD1037" s="82"/>
      <c r="AE1037" s="82"/>
      <c r="AF1037" s="82"/>
      <c r="AG1037" s="82"/>
      <c r="AH1037" s="82"/>
      <c r="AI1037" s="82"/>
      <c r="AJ1037" s="82"/>
      <c r="AK1037" s="82"/>
      <c r="AL1037" s="82"/>
      <c r="AM1037" s="82"/>
      <c r="AN1037" s="82">
        <f>IFERROR(__xludf.DUMMYFUNCTION("""COMPUTED_VALUE"""),0.0)</f>
        <v>0</v>
      </c>
      <c r="AO1037" s="82">
        <f>IFERROR(__xludf.DUMMYFUNCTION("""COMPUTED_VALUE"""),0.0)</f>
        <v>0</v>
      </c>
      <c r="AP1037" s="82">
        <f>IFERROR(__xludf.DUMMYFUNCTION("""COMPUTED_VALUE"""),0.0)</f>
        <v>0</v>
      </c>
      <c r="AQ1037" s="82">
        <f>IFERROR(__xludf.DUMMYFUNCTION("""COMPUTED_VALUE"""),0.0)</f>
        <v>0</v>
      </c>
      <c r="AR1037" s="82">
        <f>IFERROR(__xludf.DUMMYFUNCTION("""COMPUTED_VALUE"""),0.0)</f>
        <v>0</v>
      </c>
      <c r="AS1037" s="82"/>
      <c r="AT1037" s="82">
        <f>IFERROR(__xludf.DUMMYFUNCTION("""COMPUTED_VALUE"""),0.0)</f>
        <v>0</v>
      </c>
      <c r="AU1037" s="82"/>
      <c r="AV1037" s="82"/>
      <c r="AW1037" s="82" t="str">
        <f t="shared" si="1"/>
        <v/>
      </c>
      <c r="AX1037" s="83" t="str">
        <f t="array" ref="AX1037">IFERROR(DGET('SBV Import'!A:G,"SBV",{"RSC ID","Tier";B1037,A1037}))</f>
        <v/>
      </c>
      <c r="AY1037" s="82" t="str">
        <f t="shared" si="2"/>
        <v/>
      </c>
      <c r="AZ1037" s="82"/>
      <c r="BA1037" s="84" t="s">
        <v>152</v>
      </c>
      <c r="BB1037" s="84" t="str">
        <f>IFERROR(__xludf.DUMMYFUNCTION("iferror(if(A1037="""",,E1037&gt;=FILTER(Constants!$F$2:$F$10,Constants!$A$2:$A$10=A1037)))"),"")</f>
        <v/>
      </c>
    </row>
    <row r="1038">
      <c r="A1038" s="80"/>
      <c r="B1038" s="73"/>
      <c r="C1038" s="73"/>
      <c r="D1038" s="73"/>
      <c r="E1038" s="82"/>
      <c r="F1038" s="82"/>
      <c r="G1038" s="82"/>
      <c r="H1038" s="86"/>
      <c r="I1038" s="86"/>
      <c r="J1038" s="82"/>
      <c r="K1038" s="82"/>
      <c r="L1038" s="82"/>
      <c r="M1038" s="82"/>
      <c r="N1038" s="82"/>
      <c r="O1038" s="82"/>
      <c r="P1038" s="82"/>
      <c r="Q1038" s="82"/>
      <c r="R1038" s="82"/>
      <c r="S1038" s="82"/>
      <c r="T1038" s="82"/>
      <c r="U1038" s="82"/>
      <c r="V1038" s="82"/>
      <c r="W1038" s="82"/>
      <c r="X1038" s="82"/>
      <c r="Y1038" s="82"/>
      <c r="Z1038" s="82"/>
      <c r="AA1038" s="82"/>
      <c r="AB1038" s="82"/>
      <c r="AC1038" s="82"/>
      <c r="AD1038" s="82"/>
      <c r="AE1038" s="82"/>
      <c r="AF1038" s="82"/>
      <c r="AG1038" s="82"/>
      <c r="AH1038" s="82"/>
      <c r="AI1038" s="82"/>
      <c r="AJ1038" s="82"/>
      <c r="AK1038" s="82"/>
      <c r="AL1038" s="82"/>
      <c r="AM1038" s="82"/>
      <c r="AN1038" s="82">
        <f>IFERROR(__xludf.DUMMYFUNCTION("""COMPUTED_VALUE"""),0.0)</f>
        <v>0</v>
      </c>
      <c r="AO1038" s="82">
        <f>IFERROR(__xludf.DUMMYFUNCTION("""COMPUTED_VALUE"""),0.0)</f>
        <v>0</v>
      </c>
      <c r="AP1038" s="82">
        <f>IFERROR(__xludf.DUMMYFUNCTION("""COMPUTED_VALUE"""),0.0)</f>
        <v>0</v>
      </c>
      <c r="AQ1038" s="82">
        <f>IFERROR(__xludf.DUMMYFUNCTION("""COMPUTED_VALUE"""),0.0)</f>
        <v>0</v>
      </c>
      <c r="AR1038" s="82">
        <f>IFERROR(__xludf.DUMMYFUNCTION("""COMPUTED_VALUE"""),0.0)</f>
        <v>0</v>
      </c>
      <c r="AS1038" s="82"/>
      <c r="AT1038" s="82">
        <f>IFERROR(__xludf.DUMMYFUNCTION("""COMPUTED_VALUE"""),0.0)</f>
        <v>0</v>
      </c>
      <c r="AU1038" s="82"/>
      <c r="AV1038" s="82"/>
      <c r="AW1038" s="82" t="str">
        <f t="shared" si="1"/>
        <v/>
      </c>
      <c r="AX1038" s="83" t="str">
        <f t="array" ref="AX1038">IFERROR(DGET('SBV Import'!A:G,"SBV",{"RSC ID","Tier";B1038,A1038}))</f>
        <v/>
      </c>
      <c r="AY1038" s="82" t="str">
        <f t="shared" si="2"/>
        <v/>
      </c>
      <c r="AZ1038" s="82"/>
      <c r="BA1038" s="84" t="s">
        <v>152</v>
      </c>
      <c r="BB1038" s="84" t="str">
        <f>IFERROR(__xludf.DUMMYFUNCTION("iferror(if(A1038="""",,E1038&gt;=FILTER(Constants!$F$2:$F$10,Constants!$A$2:$A$10=A1038)))"),"")</f>
        <v/>
      </c>
    </row>
    <row r="1039">
      <c r="A1039" s="80"/>
      <c r="B1039" s="73"/>
      <c r="C1039" s="73"/>
      <c r="D1039" s="73"/>
      <c r="E1039" s="82"/>
      <c r="F1039" s="82"/>
      <c r="G1039" s="82"/>
      <c r="H1039" s="86"/>
      <c r="I1039" s="86"/>
      <c r="J1039" s="82"/>
      <c r="K1039" s="82"/>
      <c r="L1039" s="82"/>
      <c r="M1039" s="82"/>
      <c r="N1039" s="82"/>
      <c r="O1039" s="82"/>
      <c r="P1039" s="82"/>
      <c r="Q1039" s="82"/>
      <c r="R1039" s="82"/>
      <c r="S1039" s="82"/>
      <c r="T1039" s="82"/>
      <c r="U1039" s="82"/>
      <c r="V1039" s="82"/>
      <c r="W1039" s="82"/>
      <c r="X1039" s="82"/>
      <c r="Y1039" s="82"/>
      <c r="Z1039" s="82"/>
      <c r="AA1039" s="82"/>
      <c r="AB1039" s="82"/>
      <c r="AC1039" s="82"/>
      <c r="AD1039" s="82"/>
      <c r="AE1039" s="82"/>
      <c r="AF1039" s="82"/>
      <c r="AG1039" s="82"/>
      <c r="AH1039" s="82"/>
      <c r="AI1039" s="82"/>
      <c r="AJ1039" s="82"/>
      <c r="AK1039" s="82"/>
      <c r="AL1039" s="82"/>
      <c r="AM1039" s="82"/>
      <c r="AN1039" s="82">
        <f>IFERROR(__xludf.DUMMYFUNCTION("""COMPUTED_VALUE"""),0.0)</f>
        <v>0</v>
      </c>
      <c r="AO1039" s="82">
        <f>IFERROR(__xludf.DUMMYFUNCTION("""COMPUTED_VALUE"""),0.0)</f>
        <v>0</v>
      </c>
      <c r="AP1039" s="82">
        <f>IFERROR(__xludf.DUMMYFUNCTION("""COMPUTED_VALUE"""),0.0)</f>
        <v>0</v>
      </c>
      <c r="AQ1039" s="82">
        <f>IFERROR(__xludf.DUMMYFUNCTION("""COMPUTED_VALUE"""),0.0)</f>
        <v>0</v>
      </c>
      <c r="AR1039" s="82">
        <f>IFERROR(__xludf.DUMMYFUNCTION("""COMPUTED_VALUE"""),0.0)</f>
        <v>0</v>
      </c>
      <c r="AS1039" s="82"/>
      <c r="AT1039" s="82">
        <f>IFERROR(__xludf.DUMMYFUNCTION("""COMPUTED_VALUE"""),0.0)</f>
        <v>0</v>
      </c>
      <c r="AU1039" s="82"/>
      <c r="AV1039" s="82"/>
      <c r="AW1039" s="82" t="str">
        <f t="shared" si="1"/>
        <v/>
      </c>
      <c r="AX1039" s="83" t="str">
        <f t="array" ref="AX1039">IFERROR(DGET('SBV Import'!A:G,"SBV",{"RSC ID","Tier";B1039,A1039}))</f>
        <v/>
      </c>
      <c r="AY1039" s="82" t="str">
        <f t="shared" si="2"/>
        <v/>
      </c>
      <c r="AZ1039" s="82"/>
      <c r="BA1039" s="84" t="s">
        <v>152</v>
      </c>
      <c r="BB1039" s="84" t="str">
        <f>IFERROR(__xludf.DUMMYFUNCTION("iferror(if(A1039="""",,E1039&gt;=FILTER(Constants!$F$2:$F$10,Constants!$A$2:$A$10=A1039)))"),"")</f>
        <v/>
      </c>
    </row>
    <row r="1040">
      <c r="A1040" s="80"/>
      <c r="B1040" s="73"/>
      <c r="C1040" s="73"/>
      <c r="D1040" s="73"/>
      <c r="E1040" s="82"/>
      <c r="F1040" s="82"/>
      <c r="G1040" s="82"/>
      <c r="H1040" s="86"/>
      <c r="I1040" s="86"/>
      <c r="J1040" s="82"/>
      <c r="K1040" s="82"/>
      <c r="L1040" s="82"/>
      <c r="M1040" s="82"/>
      <c r="N1040" s="82"/>
      <c r="O1040" s="82"/>
      <c r="P1040" s="82"/>
      <c r="Q1040" s="82"/>
      <c r="R1040" s="82"/>
      <c r="S1040" s="82"/>
      <c r="T1040" s="82"/>
      <c r="U1040" s="82"/>
      <c r="V1040" s="82"/>
      <c r="W1040" s="82"/>
      <c r="X1040" s="82"/>
      <c r="Y1040" s="82"/>
      <c r="Z1040" s="82"/>
      <c r="AA1040" s="82"/>
      <c r="AB1040" s="82"/>
      <c r="AC1040" s="82"/>
      <c r="AD1040" s="82"/>
      <c r="AE1040" s="82"/>
      <c r="AF1040" s="82"/>
      <c r="AG1040" s="82"/>
      <c r="AH1040" s="82"/>
      <c r="AI1040" s="82"/>
      <c r="AJ1040" s="82"/>
      <c r="AK1040" s="82"/>
      <c r="AL1040" s="82"/>
      <c r="AM1040" s="82"/>
      <c r="AN1040" s="82">
        <f>IFERROR(__xludf.DUMMYFUNCTION("""COMPUTED_VALUE"""),0.0)</f>
        <v>0</v>
      </c>
      <c r="AO1040" s="82">
        <f>IFERROR(__xludf.DUMMYFUNCTION("""COMPUTED_VALUE"""),0.0)</f>
        <v>0</v>
      </c>
      <c r="AP1040" s="82">
        <f>IFERROR(__xludf.DUMMYFUNCTION("""COMPUTED_VALUE"""),0.0)</f>
        <v>0</v>
      </c>
      <c r="AQ1040" s="82">
        <f>IFERROR(__xludf.DUMMYFUNCTION("""COMPUTED_VALUE"""),0.0)</f>
        <v>0</v>
      </c>
      <c r="AR1040" s="82">
        <f>IFERROR(__xludf.DUMMYFUNCTION("""COMPUTED_VALUE"""),0.0)</f>
        <v>0</v>
      </c>
      <c r="AS1040" s="82"/>
      <c r="AT1040" s="82">
        <f>IFERROR(__xludf.DUMMYFUNCTION("""COMPUTED_VALUE"""),0.0)</f>
        <v>0</v>
      </c>
      <c r="AU1040" s="82"/>
      <c r="AV1040" s="82"/>
      <c r="AW1040" s="82" t="str">
        <f t="shared" si="1"/>
        <v/>
      </c>
      <c r="AX1040" s="83" t="str">
        <f t="array" ref="AX1040">IFERROR(DGET('SBV Import'!A:G,"SBV",{"RSC ID","Tier";B1040,A1040}))</f>
        <v/>
      </c>
      <c r="AY1040" s="82" t="str">
        <f t="shared" si="2"/>
        <v/>
      </c>
      <c r="AZ1040" s="82"/>
      <c r="BA1040" s="84" t="s">
        <v>152</v>
      </c>
      <c r="BB1040" s="84" t="str">
        <f>IFERROR(__xludf.DUMMYFUNCTION("iferror(if(A1040="""",,E1040&gt;=FILTER(Constants!$F$2:$F$10,Constants!$A$2:$A$10=A1040)))"),"")</f>
        <v/>
      </c>
    </row>
    <row r="1041">
      <c r="A1041" s="80"/>
      <c r="B1041" s="73"/>
      <c r="C1041" s="73"/>
      <c r="D1041" s="73"/>
      <c r="E1041" s="82"/>
      <c r="F1041" s="82"/>
      <c r="G1041" s="82"/>
      <c r="H1041" s="86"/>
      <c r="I1041" s="86"/>
      <c r="J1041" s="82"/>
      <c r="K1041" s="82"/>
      <c r="L1041" s="82"/>
      <c r="M1041" s="82"/>
      <c r="N1041" s="82"/>
      <c r="O1041" s="82"/>
      <c r="P1041" s="82"/>
      <c r="Q1041" s="82"/>
      <c r="R1041" s="82"/>
      <c r="S1041" s="82"/>
      <c r="T1041" s="82"/>
      <c r="U1041" s="82"/>
      <c r="V1041" s="82"/>
      <c r="W1041" s="82"/>
      <c r="X1041" s="82"/>
      <c r="Y1041" s="82"/>
      <c r="Z1041" s="82"/>
      <c r="AA1041" s="82"/>
      <c r="AB1041" s="82"/>
      <c r="AC1041" s="82"/>
      <c r="AD1041" s="82"/>
      <c r="AE1041" s="82"/>
      <c r="AF1041" s="82"/>
      <c r="AG1041" s="82"/>
      <c r="AH1041" s="82"/>
      <c r="AI1041" s="82"/>
      <c r="AJ1041" s="82"/>
      <c r="AK1041" s="82"/>
      <c r="AL1041" s="82"/>
      <c r="AM1041" s="82"/>
      <c r="AN1041" s="82">
        <f>IFERROR(__xludf.DUMMYFUNCTION("""COMPUTED_VALUE"""),0.0)</f>
        <v>0</v>
      </c>
      <c r="AO1041" s="82">
        <f>IFERROR(__xludf.DUMMYFUNCTION("""COMPUTED_VALUE"""),0.0)</f>
        <v>0</v>
      </c>
      <c r="AP1041" s="82">
        <f>IFERROR(__xludf.DUMMYFUNCTION("""COMPUTED_VALUE"""),0.0)</f>
        <v>0</v>
      </c>
      <c r="AQ1041" s="82">
        <f>IFERROR(__xludf.DUMMYFUNCTION("""COMPUTED_VALUE"""),0.0)</f>
        <v>0</v>
      </c>
      <c r="AR1041" s="82">
        <f>IFERROR(__xludf.DUMMYFUNCTION("""COMPUTED_VALUE"""),0.0)</f>
        <v>0</v>
      </c>
      <c r="AS1041" s="82"/>
      <c r="AT1041" s="82">
        <f>IFERROR(__xludf.DUMMYFUNCTION("""COMPUTED_VALUE"""),0.0)</f>
        <v>0</v>
      </c>
      <c r="AU1041" s="82"/>
      <c r="AV1041" s="82"/>
      <c r="AW1041" s="82" t="str">
        <f t="shared" si="1"/>
        <v/>
      </c>
      <c r="AX1041" s="83" t="str">
        <f t="array" ref="AX1041">IFERROR(DGET('SBV Import'!A:G,"SBV",{"RSC ID","Tier";B1041,A1041}))</f>
        <v/>
      </c>
      <c r="AY1041" s="82" t="str">
        <f t="shared" si="2"/>
        <v/>
      </c>
      <c r="AZ1041" s="82"/>
      <c r="BA1041" s="84" t="s">
        <v>152</v>
      </c>
      <c r="BB1041" s="84" t="str">
        <f>IFERROR(__xludf.DUMMYFUNCTION("iferror(if(A1041="""",,E1041&gt;=FILTER(Constants!$F$2:$F$10,Constants!$A$2:$A$10=A1041)))"),"")</f>
        <v/>
      </c>
    </row>
    <row r="1042">
      <c r="A1042" s="80"/>
      <c r="B1042" s="73"/>
      <c r="C1042" s="73"/>
      <c r="D1042" s="73"/>
      <c r="E1042" s="82"/>
      <c r="F1042" s="82"/>
      <c r="G1042" s="82"/>
      <c r="H1042" s="86"/>
      <c r="I1042" s="86"/>
      <c r="J1042" s="82"/>
      <c r="K1042" s="82"/>
      <c r="L1042" s="82"/>
      <c r="M1042" s="82"/>
      <c r="N1042" s="82"/>
      <c r="O1042" s="82"/>
      <c r="P1042" s="82"/>
      <c r="Q1042" s="82"/>
      <c r="R1042" s="82"/>
      <c r="S1042" s="82"/>
      <c r="T1042" s="82"/>
      <c r="U1042" s="82"/>
      <c r="V1042" s="82"/>
      <c r="W1042" s="82"/>
      <c r="X1042" s="82"/>
      <c r="Y1042" s="82"/>
      <c r="Z1042" s="82"/>
      <c r="AA1042" s="82"/>
      <c r="AB1042" s="82"/>
      <c r="AC1042" s="82"/>
      <c r="AD1042" s="82"/>
      <c r="AE1042" s="82"/>
      <c r="AF1042" s="82"/>
      <c r="AG1042" s="82"/>
      <c r="AH1042" s="82"/>
      <c r="AI1042" s="82"/>
      <c r="AJ1042" s="82"/>
      <c r="AK1042" s="82"/>
      <c r="AL1042" s="82"/>
      <c r="AM1042" s="82"/>
      <c r="AN1042" s="82">
        <f>IFERROR(__xludf.DUMMYFUNCTION("""COMPUTED_VALUE"""),0.0)</f>
        <v>0</v>
      </c>
      <c r="AO1042" s="82">
        <f>IFERROR(__xludf.DUMMYFUNCTION("""COMPUTED_VALUE"""),0.0)</f>
        <v>0</v>
      </c>
      <c r="AP1042" s="82">
        <f>IFERROR(__xludf.DUMMYFUNCTION("""COMPUTED_VALUE"""),0.0)</f>
        <v>0</v>
      </c>
      <c r="AQ1042" s="82">
        <f>IFERROR(__xludf.DUMMYFUNCTION("""COMPUTED_VALUE"""),0.0)</f>
        <v>0</v>
      </c>
      <c r="AR1042" s="82">
        <f>IFERROR(__xludf.DUMMYFUNCTION("""COMPUTED_VALUE"""),0.0)</f>
        <v>0</v>
      </c>
      <c r="AS1042" s="82"/>
      <c r="AT1042" s="82">
        <f>IFERROR(__xludf.DUMMYFUNCTION("""COMPUTED_VALUE"""),0.0)</f>
        <v>0</v>
      </c>
      <c r="AU1042" s="82"/>
      <c r="AV1042" s="82"/>
      <c r="AW1042" s="82" t="str">
        <f t="shared" si="1"/>
        <v/>
      </c>
      <c r="AX1042" s="83" t="str">
        <f t="array" ref="AX1042">IFERROR(DGET('SBV Import'!A:G,"SBV",{"RSC ID","Tier";B1042,A1042}))</f>
        <v/>
      </c>
      <c r="AY1042" s="82" t="str">
        <f t="shared" si="2"/>
        <v/>
      </c>
      <c r="AZ1042" s="82"/>
      <c r="BA1042" s="84" t="s">
        <v>152</v>
      </c>
      <c r="BB1042" s="84" t="str">
        <f>IFERROR(__xludf.DUMMYFUNCTION("iferror(if(A1042="""",,E1042&gt;=FILTER(Constants!$F$2:$F$10,Constants!$A$2:$A$10=A1042)))"),"")</f>
        <v/>
      </c>
    </row>
    <row r="1043">
      <c r="A1043" s="80"/>
      <c r="B1043" s="73"/>
      <c r="C1043" s="73"/>
      <c r="D1043" s="73"/>
      <c r="E1043" s="82"/>
      <c r="F1043" s="82"/>
      <c r="G1043" s="82"/>
      <c r="H1043" s="86"/>
      <c r="I1043" s="86"/>
      <c r="J1043" s="82"/>
      <c r="K1043" s="82"/>
      <c r="L1043" s="82"/>
      <c r="M1043" s="82"/>
      <c r="N1043" s="82"/>
      <c r="O1043" s="82"/>
      <c r="P1043" s="82"/>
      <c r="Q1043" s="82"/>
      <c r="R1043" s="82"/>
      <c r="S1043" s="82"/>
      <c r="T1043" s="82"/>
      <c r="U1043" s="82"/>
      <c r="V1043" s="82"/>
      <c r="W1043" s="82"/>
      <c r="X1043" s="82"/>
      <c r="Y1043" s="82"/>
      <c r="Z1043" s="82"/>
      <c r="AA1043" s="82"/>
      <c r="AB1043" s="82"/>
      <c r="AC1043" s="82"/>
      <c r="AD1043" s="82"/>
      <c r="AE1043" s="82"/>
      <c r="AF1043" s="82"/>
      <c r="AG1043" s="82"/>
      <c r="AH1043" s="82"/>
      <c r="AI1043" s="82"/>
      <c r="AJ1043" s="82"/>
      <c r="AK1043" s="82"/>
      <c r="AL1043" s="82"/>
      <c r="AM1043" s="82"/>
      <c r="AN1043" s="82">
        <f>IFERROR(__xludf.DUMMYFUNCTION("""COMPUTED_VALUE"""),0.0)</f>
        <v>0</v>
      </c>
      <c r="AO1043" s="82">
        <f>IFERROR(__xludf.DUMMYFUNCTION("""COMPUTED_VALUE"""),0.0)</f>
        <v>0</v>
      </c>
      <c r="AP1043" s="82">
        <f>IFERROR(__xludf.DUMMYFUNCTION("""COMPUTED_VALUE"""),0.0)</f>
        <v>0</v>
      </c>
      <c r="AQ1043" s="82">
        <f>IFERROR(__xludf.DUMMYFUNCTION("""COMPUTED_VALUE"""),0.0)</f>
        <v>0</v>
      </c>
      <c r="AR1043" s="82">
        <f>IFERROR(__xludf.DUMMYFUNCTION("""COMPUTED_VALUE"""),0.0)</f>
        <v>0</v>
      </c>
      <c r="AS1043" s="82"/>
      <c r="AT1043" s="82">
        <f>IFERROR(__xludf.DUMMYFUNCTION("""COMPUTED_VALUE"""),0.0)</f>
        <v>0</v>
      </c>
      <c r="AU1043" s="82"/>
      <c r="AV1043" s="82"/>
      <c r="AW1043" s="82" t="str">
        <f t="shared" si="1"/>
        <v/>
      </c>
      <c r="AX1043" s="83" t="str">
        <f t="array" ref="AX1043">IFERROR(DGET('SBV Import'!A:G,"SBV",{"RSC ID","Tier";B1043,A1043}))</f>
        <v/>
      </c>
      <c r="AY1043" s="82" t="str">
        <f t="shared" si="2"/>
        <v/>
      </c>
      <c r="AZ1043" s="82"/>
      <c r="BA1043" s="84" t="s">
        <v>152</v>
      </c>
      <c r="BB1043" s="84" t="str">
        <f>IFERROR(__xludf.DUMMYFUNCTION("iferror(if(A1043="""",,E1043&gt;=FILTER(Constants!$F$2:$F$10,Constants!$A$2:$A$10=A1043)))"),"")</f>
        <v/>
      </c>
    </row>
    <row r="1044">
      <c r="A1044" s="80"/>
      <c r="B1044" s="73"/>
      <c r="C1044" s="73"/>
      <c r="D1044" s="73"/>
      <c r="E1044" s="82"/>
      <c r="F1044" s="82"/>
      <c r="G1044" s="82"/>
      <c r="H1044" s="86"/>
      <c r="I1044" s="86"/>
      <c r="J1044" s="82"/>
      <c r="K1044" s="82"/>
      <c r="L1044" s="82"/>
      <c r="M1044" s="82"/>
      <c r="N1044" s="82"/>
      <c r="O1044" s="82"/>
      <c r="P1044" s="82"/>
      <c r="Q1044" s="82"/>
      <c r="R1044" s="82"/>
      <c r="S1044" s="82"/>
      <c r="T1044" s="82"/>
      <c r="U1044" s="82"/>
      <c r="V1044" s="82"/>
      <c r="W1044" s="82"/>
      <c r="X1044" s="82"/>
      <c r="Y1044" s="82"/>
      <c r="Z1044" s="82"/>
      <c r="AA1044" s="82"/>
      <c r="AB1044" s="82"/>
      <c r="AC1044" s="82"/>
      <c r="AD1044" s="82"/>
      <c r="AE1044" s="82"/>
      <c r="AF1044" s="82"/>
      <c r="AG1044" s="82"/>
      <c r="AH1044" s="82"/>
      <c r="AI1044" s="82"/>
      <c r="AJ1044" s="82"/>
      <c r="AK1044" s="82"/>
      <c r="AL1044" s="82"/>
      <c r="AM1044" s="82"/>
      <c r="AN1044" s="82">
        <f>IFERROR(__xludf.DUMMYFUNCTION("""COMPUTED_VALUE"""),0.0)</f>
        <v>0</v>
      </c>
      <c r="AO1044" s="82">
        <f>IFERROR(__xludf.DUMMYFUNCTION("""COMPUTED_VALUE"""),0.0)</f>
        <v>0</v>
      </c>
      <c r="AP1044" s="82">
        <f>IFERROR(__xludf.DUMMYFUNCTION("""COMPUTED_VALUE"""),0.0)</f>
        <v>0</v>
      </c>
      <c r="AQ1044" s="82">
        <f>IFERROR(__xludf.DUMMYFUNCTION("""COMPUTED_VALUE"""),0.0)</f>
        <v>0</v>
      </c>
      <c r="AR1044" s="82">
        <f>IFERROR(__xludf.DUMMYFUNCTION("""COMPUTED_VALUE"""),0.0)</f>
        <v>0</v>
      </c>
      <c r="AS1044" s="82"/>
      <c r="AT1044" s="82">
        <f>IFERROR(__xludf.DUMMYFUNCTION("""COMPUTED_VALUE"""),0.0)</f>
        <v>0</v>
      </c>
      <c r="AU1044" s="82"/>
      <c r="AV1044" s="82"/>
      <c r="AW1044" s="82" t="str">
        <f t="shared" si="1"/>
        <v/>
      </c>
      <c r="AX1044" s="83" t="str">
        <f t="array" ref="AX1044">IFERROR(DGET('SBV Import'!A:G,"SBV",{"RSC ID","Tier";B1044,A1044}))</f>
        <v/>
      </c>
      <c r="AY1044" s="82" t="str">
        <f t="shared" si="2"/>
        <v/>
      </c>
      <c r="AZ1044" s="82"/>
      <c r="BA1044" s="84" t="s">
        <v>152</v>
      </c>
      <c r="BB1044" s="84" t="str">
        <f>IFERROR(__xludf.DUMMYFUNCTION("iferror(if(A1044="""",,E1044&gt;=FILTER(Constants!$F$2:$F$10,Constants!$A$2:$A$10=A1044)))"),"")</f>
        <v/>
      </c>
    </row>
    <row r="1045">
      <c r="A1045" s="80"/>
      <c r="B1045" s="73"/>
      <c r="C1045" s="73"/>
      <c r="D1045" s="73"/>
      <c r="E1045" s="82"/>
      <c r="F1045" s="82"/>
      <c r="G1045" s="82"/>
      <c r="H1045" s="86"/>
      <c r="I1045" s="86"/>
      <c r="J1045" s="82"/>
      <c r="K1045" s="82"/>
      <c r="L1045" s="82"/>
      <c r="M1045" s="82"/>
      <c r="N1045" s="82"/>
      <c r="O1045" s="82"/>
      <c r="P1045" s="82"/>
      <c r="Q1045" s="82"/>
      <c r="R1045" s="82"/>
      <c r="S1045" s="82"/>
      <c r="T1045" s="82"/>
      <c r="U1045" s="82"/>
      <c r="V1045" s="82"/>
      <c r="W1045" s="82"/>
      <c r="X1045" s="82"/>
      <c r="Y1045" s="82"/>
      <c r="Z1045" s="82"/>
      <c r="AA1045" s="82"/>
      <c r="AB1045" s="82"/>
      <c r="AC1045" s="82"/>
      <c r="AD1045" s="82"/>
      <c r="AE1045" s="82"/>
      <c r="AF1045" s="82"/>
      <c r="AG1045" s="82"/>
      <c r="AH1045" s="82"/>
      <c r="AI1045" s="82"/>
      <c r="AJ1045" s="82"/>
      <c r="AK1045" s="82"/>
      <c r="AL1045" s="82"/>
      <c r="AM1045" s="82"/>
      <c r="AN1045" s="82">
        <f>IFERROR(__xludf.DUMMYFUNCTION("""COMPUTED_VALUE"""),0.0)</f>
        <v>0</v>
      </c>
      <c r="AO1045" s="82">
        <f>IFERROR(__xludf.DUMMYFUNCTION("""COMPUTED_VALUE"""),0.0)</f>
        <v>0</v>
      </c>
      <c r="AP1045" s="82">
        <f>IFERROR(__xludf.DUMMYFUNCTION("""COMPUTED_VALUE"""),0.0)</f>
        <v>0</v>
      </c>
      <c r="AQ1045" s="82">
        <f>IFERROR(__xludf.DUMMYFUNCTION("""COMPUTED_VALUE"""),0.0)</f>
        <v>0</v>
      </c>
      <c r="AR1045" s="82">
        <f>IFERROR(__xludf.DUMMYFUNCTION("""COMPUTED_VALUE"""),0.0)</f>
        <v>0</v>
      </c>
      <c r="AS1045" s="82"/>
      <c r="AT1045" s="82">
        <f>IFERROR(__xludf.DUMMYFUNCTION("""COMPUTED_VALUE"""),0.0)</f>
        <v>0</v>
      </c>
      <c r="AU1045" s="82"/>
      <c r="AV1045" s="82"/>
      <c r="AW1045" s="82" t="str">
        <f t="shared" si="1"/>
        <v/>
      </c>
      <c r="AX1045" s="83" t="str">
        <f t="array" ref="AX1045">IFERROR(DGET('SBV Import'!A:G,"SBV",{"RSC ID","Tier";B1045,A1045}))</f>
        <v/>
      </c>
      <c r="AY1045" s="82" t="str">
        <f t="shared" si="2"/>
        <v/>
      </c>
      <c r="AZ1045" s="82"/>
      <c r="BA1045" s="84" t="s">
        <v>152</v>
      </c>
      <c r="BB1045" s="84" t="str">
        <f>IFERROR(__xludf.DUMMYFUNCTION("iferror(if(A1045="""",,E1045&gt;=FILTER(Constants!$F$2:$F$10,Constants!$A$2:$A$10=A1045)))"),"")</f>
        <v/>
      </c>
    </row>
    <row r="1046">
      <c r="A1046" s="80"/>
      <c r="B1046" s="73"/>
      <c r="C1046" s="73"/>
      <c r="D1046" s="73"/>
      <c r="E1046" s="82"/>
      <c r="F1046" s="82"/>
      <c r="G1046" s="82"/>
      <c r="H1046" s="86"/>
      <c r="I1046" s="86"/>
      <c r="J1046" s="82"/>
      <c r="K1046" s="82"/>
      <c r="L1046" s="82"/>
      <c r="M1046" s="82"/>
      <c r="N1046" s="82"/>
      <c r="O1046" s="82"/>
      <c r="P1046" s="82"/>
      <c r="Q1046" s="82"/>
      <c r="R1046" s="82"/>
      <c r="S1046" s="82"/>
      <c r="T1046" s="82"/>
      <c r="U1046" s="82"/>
      <c r="V1046" s="82"/>
      <c r="W1046" s="82"/>
      <c r="X1046" s="82"/>
      <c r="Y1046" s="82"/>
      <c r="Z1046" s="82"/>
      <c r="AA1046" s="82"/>
      <c r="AB1046" s="82"/>
      <c r="AC1046" s="82"/>
      <c r="AD1046" s="82"/>
      <c r="AE1046" s="82"/>
      <c r="AF1046" s="82"/>
      <c r="AG1046" s="82"/>
      <c r="AH1046" s="82"/>
      <c r="AI1046" s="82"/>
      <c r="AJ1046" s="82"/>
      <c r="AK1046" s="82"/>
      <c r="AL1046" s="82"/>
      <c r="AM1046" s="82"/>
      <c r="AN1046" s="82">
        <f>IFERROR(__xludf.DUMMYFUNCTION("""COMPUTED_VALUE"""),0.0)</f>
        <v>0</v>
      </c>
      <c r="AO1046" s="82">
        <f>IFERROR(__xludf.DUMMYFUNCTION("""COMPUTED_VALUE"""),0.0)</f>
        <v>0</v>
      </c>
      <c r="AP1046" s="82">
        <f>IFERROR(__xludf.DUMMYFUNCTION("""COMPUTED_VALUE"""),0.0)</f>
        <v>0</v>
      </c>
      <c r="AQ1046" s="82">
        <f>IFERROR(__xludf.DUMMYFUNCTION("""COMPUTED_VALUE"""),0.0)</f>
        <v>0</v>
      </c>
      <c r="AR1046" s="82">
        <f>IFERROR(__xludf.DUMMYFUNCTION("""COMPUTED_VALUE"""),0.0)</f>
        <v>0</v>
      </c>
      <c r="AS1046" s="82"/>
      <c r="AT1046" s="82">
        <f>IFERROR(__xludf.DUMMYFUNCTION("""COMPUTED_VALUE"""),0.0)</f>
        <v>0</v>
      </c>
      <c r="AU1046" s="82"/>
      <c r="AV1046" s="82"/>
      <c r="AW1046" s="82" t="str">
        <f t="shared" si="1"/>
        <v/>
      </c>
      <c r="AX1046" s="83" t="str">
        <f t="array" ref="AX1046">IFERROR(DGET('SBV Import'!A:G,"SBV",{"RSC ID","Tier";B1046,A1046}))</f>
        <v/>
      </c>
      <c r="AY1046" s="82" t="str">
        <f t="shared" si="2"/>
        <v/>
      </c>
      <c r="AZ1046" s="82"/>
      <c r="BA1046" s="84" t="s">
        <v>152</v>
      </c>
      <c r="BB1046" s="84" t="str">
        <f>IFERROR(__xludf.DUMMYFUNCTION("iferror(if(A1046="""",,E1046&gt;=FILTER(Constants!$F$2:$F$10,Constants!$A$2:$A$10=A1046)))"),"")</f>
        <v/>
      </c>
    </row>
    <row r="1047">
      <c r="A1047" s="80"/>
      <c r="B1047" s="73"/>
      <c r="C1047" s="88"/>
      <c r="D1047" s="73"/>
      <c r="E1047" s="82"/>
      <c r="F1047" s="82"/>
      <c r="G1047" s="82"/>
      <c r="H1047" s="86"/>
      <c r="I1047" s="86"/>
      <c r="J1047" s="82"/>
      <c r="K1047" s="82"/>
      <c r="L1047" s="82"/>
      <c r="M1047" s="82"/>
      <c r="N1047" s="82"/>
      <c r="O1047" s="82"/>
      <c r="P1047" s="82"/>
      <c r="Q1047" s="82"/>
      <c r="R1047" s="82"/>
      <c r="S1047" s="82"/>
      <c r="T1047" s="82"/>
      <c r="U1047" s="82"/>
      <c r="V1047" s="82"/>
      <c r="W1047" s="82"/>
      <c r="X1047" s="82"/>
      <c r="Y1047" s="82"/>
      <c r="Z1047" s="82"/>
      <c r="AA1047" s="82"/>
      <c r="AB1047" s="82"/>
      <c r="AC1047" s="82"/>
      <c r="AD1047" s="82"/>
      <c r="AE1047" s="82"/>
      <c r="AF1047" s="82"/>
      <c r="AG1047" s="82"/>
      <c r="AH1047" s="82"/>
      <c r="AI1047" s="82"/>
      <c r="AJ1047" s="82"/>
      <c r="AK1047" s="82"/>
      <c r="AL1047" s="82"/>
      <c r="AM1047" s="82"/>
      <c r="AN1047" s="82">
        <f>IFERROR(__xludf.DUMMYFUNCTION("""COMPUTED_VALUE"""),0.0)</f>
        <v>0</v>
      </c>
      <c r="AO1047" s="82">
        <f>IFERROR(__xludf.DUMMYFUNCTION("""COMPUTED_VALUE"""),0.0)</f>
        <v>0</v>
      </c>
      <c r="AP1047" s="82">
        <f>IFERROR(__xludf.DUMMYFUNCTION("""COMPUTED_VALUE"""),0.0)</f>
        <v>0</v>
      </c>
      <c r="AQ1047" s="82">
        <f>IFERROR(__xludf.DUMMYFUNCTION("""COMPUTED_VALUE"""),0.0)</f>
        <v>0</v>
      </c>
      <c r="AR1047" s="82">
        <f>IFERROR(__xludf.DUMMYFUNCTION("""COMPUTED_VALUE"""),0.0)</f>
        <v>0</v>
      </c>
      <c r="AS1047" s="82"/>
      <c r="AT1047" s="82">
        <f>IFERROR(__xludf.DUMMYFUNCTION("""COMPUTED_VALUE"""),0.0)</f>
        <v>0</v>
      </c>
      <c r="AU1047" s="82"/>
      <c r="AV1047" s="82"/>
      <c r="AW1047" s="82" t="str">
        <f t="shared" si="1"/>
        <v/>
      </c>
      <c r="AX1047" s="83" t="str">
        <f t="array" ref="AX1047">IFERROR(DGET('SBV Import'!A:G,"SBV",{"RSC ID","Tier";B1047,A1047}))</f>
        <v/>
      </c>
      <c r="AY1047" s="82" t="str">
        <f t="shared" si="2"/>
        <v/>
      </c>
      <c r="AZ1047" s="82"/>
      <c r="BA1047" s="84" t="s">
        <v>152</v>
      </c>
      <c r="BB1047" s="84" t="str">
        <f>IFERROR(__xludf.DUMMYFUNCTION("iferror(if(A1047="""",,E1047&gt;=FILTER(Constants!$F$2:$F$10,Constants!$A$2:$A$10=A1047)))"),"")</f>
        <v/>
      </c>
    </row>
    <row r="1048">
      <c r="A1048" s="80"/>
      <c r="B1048" s="73"/>
      <c r="C1048" s="73"/>
      <c r="D1048" s="73"/>
      <c r="E1048" s="82"/>
      <c r="F1048" s="82"/>
      <c r="G1048" s="82"/>
      <c r="H1048" s="86"/>
      <c r="I1048" s="86"/>
      <c r="J1048" s="82"/>
      <c r="K1048" s="82"/>
      <c r="L1048" s="82"/>
      <c r="M1048" s="82"/>
      <c r="N1048" s="82"/>
      <c r="O1048" s="82"/>
      <c r="P1048" s="82"/>
      <c r="Q1048" s="82"/>
      <c r="R1048" s="82"/>
      <c r="S1048" s="82"/>
      <c r="T1048" s="82"/>
      <c r="U1048" s="82"/>
      <c r="V1048" s="82"/>
      <c r="W1048" s="82"/>
      <c r="X1048" s="82"/>
      <c r="Y1048" s="82"/>
      <c r="Z1048" s="82"/>
      <c r="AA1048" s="82"/>
      <c r="AB1048" s="82"/>
      <c r="AC1048" s="82"/>
      <c r="AD1048" s="82"/>
      <c r="AE1048" s="82"/>
      <c r="AF1048" s="82"/>
      <c r="AG1048" s="82"/>
      <c r="AH1048" s="82"/>
      <c r="AI1048" s="82"/>
      <c r="AJ1048" s="82"/>
      <c r="AK1048" s="82"/>
      <c r="AL1048" s="82"/>
      <c r="AM1048" s="82"/>
      <c r="AN1048" s="82">
        <f>IFERROR(__xludf.DUMMYFUNCTION("""COMPUTED_VALUE"""),0.0)</f>
        <v>0</v>
      </c>
      <c r="AO1048" s="82">
        <f>IFERROR(__xludf.DUMMYFUNCTION("""COMPUTED_VALUE"""),0.0)</f>
        <v>0</v>
      </c>
      <c r="AP1048" s="82">
        <f>IFERROR(__xludf.DUMMYFUNCTION("""COMPUTED_VALUE"""),0.0)</f>
        <v>0</v>
      </c>
      <c r="AQ1048" s="82">
        <f>IFERROR(__xludf.DUMMYFUNCTION("""COMPUTED_VALUE"""),0.0)</f>
        <v>0</v>
      </c>
      <c r="AR1048" s="82">
        <f>IFERROR(__xludf.DUMMYFUNCTION("""COMPUTED_VALUE"""),0.0)</f>
        <v>0</v>
      </c>
      <c r="AS1048" s="82"/>
      <c r="AT1048" s="82">
        <f>IFERROR(__xludf.DUMMYFUNCTION("""COMPUTED_VALUE"""),0.0)</f>
        <v>0</v>
      </c>
      <c r="AU1048" s="82"/>
      <c r="AV1048" s="82"/>
      <c r="AW1048" s="82" t="str">
        <f t="shared" si="1"/>
        <v/>
      </c>
      <c r="AX1048" s="83" t="str">
        <f t="array" ref="AX1048">IFERROR(DGET('SBV Import'!A:G,"SBV",{"RSC ID","Tier";B1048,A1048}))</f>
        <v/>
      </c>
      <c r="AY1048" s="82" t="str">
        <f t="shared" si="2"/>
        <v/>
      </c>
      <c r="AZ1048" s="82"/>
      <c r="BA1048" s="84" t="s">
        <v>152</v>
      </c>
      <c r="BB1048" s="84" t="str">
        <f>IFERROR(__xludf.DUMMYFUNCTION("iferror(if(A1048="""",,E1048&gt;=FILTER(Constants!$F$2:$F$10,Constants!$A$2:$A$10=A1048)))"),"")</f>
        <v/>
      </c>
    </row>
    <row r="1049">
      <c r="A1049" s="80"/>
      <c r="B1049" s="73"/>
      <c r="C1049" s="73"/>
      <c r="D1049" s="73"/>
      <c r="E1049" s="82"/>
      <c r="F1049" s="82"/>
      <c r="G1049" s="82"/>
      <c r="H1049" s="86"/>
      <c r="I1049" s="86"/>
      <c r="J1049" s="82"/>
      <c r="K1049" s="82"/>
      <c r="L1049" s="82"/>
      <c r="M1049" s="82"/>
      <c r="N1049" s="82"/>
      <c r="O1049" s="82"/>
      <c r="P1049" s="82"/>
      <c r="Q1049" s="82"/>
      <c r="R1049" s="82"/>
      <c r="S1049" s="82"/>
      <c r="T1049" s="82"/>
      <c r="U1049" s="82"/>
      <c r="V1049" s="82"/>
      <c r="W1049" s="82"/>
      <c r="X1049" s="82"/>
      <c r="Y1049" s="82"/>
      <c r="Z1049" s="82"/>
      <c r="AA1049" s="82"/>
      <c r="AB1049" s="82"/>
      <c r="AC1049" s="82"/>
      <c r="AD1049" s="82"/>
      <c r="AE1049" s="82"/>
      <c r="AF1049" s="82"/>
      <c r="AG1049" s="82"/>
      <c r="AH1049" s="82"/>
      <c r="AI1049" s="82"/>
      <c r="AJ1049" s="82"/>
      <c r="AK1049" s="82"/>
      <c r="AL1049" s="82"/>
      <c r="AM1049" s="82"/>
      <c r="AN1049" s="82">
        <f>IFERROR(__xludf.DUMMYFUNCTION("""COMPUTED_VALUE"""),0.0)</f>
        <v>0</v>
      </c>
      <c r="AO1049" s="82">
        <f>IFERROR(__xludf.DUMMYFUNCTION("""COMPUTED_VALUE"""),0.0)</f>
        <v>0</v>
      </c>
      <c r="AP1049" s="82">
        <f>IFERROR(__xludf.DUMMYFUNCTION("""COMPUTED_VALUE"""),0.0)</f>
        <v>0</v>
      </c>
      <c r="AQ1049" s="82">
        <f>IFERROR(__xludf.DUMMYFUNCTION("""COMPUTED_VALUE"""),0.0)</f>
        <v>0</v>
      </c>
      <c r="AR1049" s="82">
        <f>IFERROR(__xludf.DUMMYFUNCTION("""COMPUTED_VALUE"""),0.0)</f>
        <v>0</v>
      </c>
      <c r="AS1049" s="82"/>
      <c r="AT1049" s="82">
        <f>IFERROR(__xludf.DUMMYFUNCTION("""COMPUTED_VALUE"""),0.0)</f>
        <v>0</v>
      </c>
      <c r="AU1049" s="82"/>
      <c r="AV1049" s="82"/>
      <c r="AW1049" s="82" t="str">
        <f t="shared" si="1"/>
        <v/>
      </c>
      <c r="AX1049" s="83" t="str">
        <f t="array" ref="AX1049">IFERROR(DGET('SBV Import'!A:G,"SBV",{"RSC ID","Tier";B1049,A1049}))</f>
        <v/>
      </c>
      <c r="AY1049" s="82" t="str">
        <f t="shared" si="2"/>
        <v/>
      </c>
      <c r="AZ1049" s="82"/>
      <c r="BA1049" s="84" t="s">
        <v>152</v>
      </c>
      <c r="BB1049" s="84" t="str">
        <f>IFERROR(__xludf.DUMMYFUNCTION("iferror(if(A1049="""",,E1049&gt;=FILTER(Constants!$F$2:$F$10,Constants!$A$2:$A$10=A1049)))"),"")</f>
        <v/>
      </c>
    </row>
    <row r="1050">
      <c r="A1050" s="85"/>
      <c r="B1050" s="73"/>
      <c r="C1050" s="73"/>
      <c r="D1050" s="73"/>
      <c r="E1050" s="82"/>
      <c r="F1050" s="82"/>
      <c r="G1050" s="82"/>
      <c r="H1050" s="86"/>
      <c r="I1050" s="86"/>
      <c r="J1050" s="82"/>
      <c r="K1050" s="82"/>
      <c r="L1050" s="82"/>
      <c r="M1050" s="82"/>
      <c r="N1050" s="82"/>
      <c r="O1050" s="82"/>
      <c r="P1050" s="82"/>
      <c r="Q1050" s="82"/>
      <c r="R1050" s="82"/>
      <c r="S1050" s="82"/>
      <c r="T1050" s="82"/>
      <c r="U1050" s="82"/>
      <c r="V1050" s="82"/>
      <c r="W1050" s="82"/>
      <c r="X1050" s="82"/>
      <c r="Y1050" s="82"/>
      <c r="Z1050" s="82"/>
      <c r="AA1050" s="82"/>
      <c r="AB1050" s="82"/>
      <c r="AC1050" s="82"/>
      <c r="AD1050" s="82"/>
      <c r="AE1050" s="82"/>
      <c r="AF1050" s="82"/>
      <c r="AG1050" s="82"/>
      <c r="AH1050" s="82"/>
      <c r="AI1050" s="82"/>
      <c r="AJ1050" s="82"/>
      <c r="AK1050" s="82"/>
      <c r="AL1050" s="82"/>
      <c r="AM1050" s="82"/>
      <c r="AN1050" s="82">
        <f>IFERROR(__xludf.DUMMYFUNCTION("""COMPUTED_VALUE"""),0.0)</f>
        <v>0</v>
      </c>
      <c r="AO1050" s="82">
        <f>IFERROR(__xludf.DUMMYFUNCTION("""COMPUTED_VALUE"""),0.0)</f>
        <v>0</v>
      </c>
      <c r="AP1050" s="82">
        <f>IFERROR(__xludf.DUMMYFUNCTION("""COMPUTED_VALUE"""),0.0)</f>
        <v>0</v>
      </c>
      <c r="AQ1050" s="82">
        <f>IFERROR(__xludf.DUMMYFUNCTION("""COMPUTED_VALUE"""),0.0)</f>
        <v>0</v>
      </c>
      <c r="AR1050" s="82">
        <f>IFERROR(__xludf.DUMMYFUNCTION("""COMPUTED_VALUE"""),0.0)</f>
        <v>0</v>
      </c>
      <c r="AS1050" s="82"/>
      <c r="AT1050" s="82">
        <f>IFERROR(__xludf.DUMMYFUNCTION("""COMPUTED_VALUE"""),0.0)</f>
        <v>0</v>
      </c>
      <c r="AU1050" s="82"/>
      <c r="AV1050" s="82"/>
      <c r="AW1050" s="82" t="str">
        <f t="shared" si="1"/>
        <v/>
      </c>
      <c r="AX1050" s="83" t="str">
        <f t="array" ref="AX1050">IFERROR(DGET('SBV Import'!A:G,"SBV",{"RSC ID","Tier";B1050,A1050}))</f>
        <v/>
      </c>
      <c r="AY1050" s="82" t="str">
        <f t="shared" si="2"/>
        <v/>
      </c>
      <c r="AZ1050" s="82"/>
      <c r="BA1050" s="84" t="s">
        <v>152</v>
      </c>
      <c r="BB1050" s="84" t="str">
        <f>IFERROR(__xludf.DUMMYFUNCTION("iferror(if(A1050="""",,E1050&gt;=FILTER(Constants!$F$2:$F$10,Constants!$A$2:$A$10=A1050)))"),"")</f>
        <v/>
      </c>
    </row>
    <row r="1051">
      <c r="A1051" s="80"/>
      <c r="B1051" s="73"/>
      <c r="C1051" s="88"/>
      <c r="D1051" s="73"/>
      <c r="E1051" s="82"/>
      <c r="F1051" s="82"/>
      <c r="G1051" s="82"/>
      <c r="H1051" s="86"/>
      <c r="I1051" s="86"/>
      <c r="J1051" s="82"/>
      <c r="K1051" s="82"/>
      <c r="L1051" s="82"/>
      <c r="M1051" s="82"/>
      <c r="N1051" s="82"/>
      <c r="O1051" s="82"/>
      <c r="P1051" s="82"/>
      <c r="Q1051" s="82"/>
      <c r="R1051" s="82"/>
      <c r="S1051" s="82"/>
      <c r="T1051" s="82"/>
      <c r="U1051" s="82"/>
      <c r="V1051" s="82"/>
      <c r="W1051" s="82"/>
      <c r="X1051" s="82"/>
      <c r="Y1051" s="82"/>
      <c r="Z1051" s="82"/>
      <c r="AA1051" s="82"/>
      <c r="AB1051" s="82"/>
      <c r="AC1051" s="82"/>
      <c r="AD1051" s="82"/>
      <c r="AE1051" s="82"/>
      <c r="AF1051" s="82"/>
      <c r="AG1051" s="82"/>
      <c r="AH1051" s="82"/>
      <c r="AI1051" s="82"/>
      <c r="AJ1051" s="82"/>
      <c r="AK1051" s="82"/>
      <c r="AL1051" s="82"/>
      <c r="AM1051" s="82"/>
      <c r="AN1051" s="82">
        <f>IFERROR(__xludf.DUMMYFUNCTION("""COMPUTED_VALUE"""),0.0)</f>
        <v>0</v>
      </c>
      <c r="AO1051" s="82">
        <f>IFERROR(__xludf.DUMMYFUNCTION("""COMPUTED_VALUE"""),0.0)</f>
        <v>0</v>
      </c>
      <c r="AP1051" s="82">
        <f>IFERROR(__xludf.DUMMYFUNCTION("""COMPUTED_VALUE"""),0.0)</f>
        <v>0</v>
      </c>
      <c r="AQ1051" s="82">
        <f>IFERROR(__xludf.DUMMYFUNCTION("""COMPUTED_VALUE"""),0.0)</f>
        <v>0</v>
      </c>
      <c r="AR1051" s="82">
        <f>IFERROR(__xludf.DUMMYFUNCTION("""COMPUTED_VALUE"""),0.0)</f>
        <v>0</v>
      </c>
      <c r="AS1051" s="82"/>
      <c r="AT1051" s="82">
        <f>IFERROR(__xludf.DUMMYFUNCTION("""COMPUTED_VALUE"""),0.0)</f>
        <v>0</v>
      </c>
      <c r="AU1051" s="82"/>
      <c r="AV1051" s="82"/>
      <c r="AW1051" s="82" t="str">
        <f t="shared" si="1"/>
        <v/>
      </c>
      <c r="AX1051" s="83" t="str">
        <f t="array" ref="AX1051">IFERROR(DGET('SBV Import'!A:G,"SBV",{"RSC ID","Tier";B1051,A1051}))</f>
        <v/>
      </c>
      <c r="AY1051" s="82" t="str">
        <f t="shared" si="2"/>
        <v/>
      </c>
      <c r="AZ1051" s="82"/>
      <c r="BA1051" s="84" t="s">
        <v>152</v>
      </c>
      <c r="BB1051" s="84" t="str">
        <f>IFERROR(__xludf.DUMMYFUNCTION("iferror(if(A1051="""",,E1051&gt;=FILTER(Constants!$F$2:$F$10,Constants!$A$2:$A$10=A1051)))"),"")</f>
        <v/>
      </c>
    </row>
    <row r="1052">
      <c r="A1052" s="80"/>
      <c r="B1052" s="73"/>
      <c r="C1052" s="73"/>
      <c r="D1052" s="73"/>
      <c r="E1052" s="82"/>
      <c r="F1052" s="82"/>
      <c r="G1052" s="82"/>
      <c r="H1052" s="86"/>
      <c r="I1052" s="86"/>
      <c r="J1052" s="82"/>
      <c r="K1052" s="82"/>
      <c r="L1052" s="82"/>
      <c r="M1052" s="82"/>
      <c r="N1052" s="82"/>
      <c r="O1052" s="82"/>
      <c r="P1052" s="82"/>
      <c r="Q1052" s="82"/>
      <c r="R1052" s="82"/>
      <c r="S1052" s="82"/>
      <c r="T1052" s="82"/>
      <c r="U1052" s="82"/>
      <c r="V1052" s="82"/>
      <c r="W1052" s="82"/>
      <c r="X1052" s="82"/>
      <c r="Y1052" s="82"/>
      <c r="Z1052" s="82"/>
      <c r="AA1052" s="82"/>
      <c r="AB1052" s="82"/>
      <c r="AC1052" s="82"/>
      <c r="AD1052" s="82"/>
      <c r="AE1052" s="82"/>
      <c r="AF1052" s="82"/>
      <c r="AG1052" s="82"/>
      <c r="AH1052" s="82"/>
      <c r="AI1052" s="82"/>
      <c r="AJ1052" s="82"/>
      <c r="AK1052" s="82"/>
      <c r="AL1052" s="82"/>
      <c r="AM1052" s="82"/>
      <c r="AN1052" s="82">
        <f>IFERROR(__xludf.DUMMYFUNCTION("""COMPUTED_VALUE"""),0.0)</f>
        <v>0</v>
      </c>
      <c r="AO1052" s="82">
        <f>IFERROR(__xludf.DUMMYFUNCTION("""COMPUTED_VALUE"""),0.0)</f>
        <v>0</v>
      </c>
      <c r="AP1052" s="82">
        <f>IFERROR(__xludf.DUMMYFUNCTION("""COMPUTED_VALUE"""),0.0)</f>
        <v>0</v>
      </c>
      <c r="AQ1052" s="82">
        <f>IFERROR(__xludf.DUMMYFUNCTION("""COMPUTED_VALUE"""),0.0)</f>
        <v>0</v>
      </c>
      <c r="AR1052" s="82">
        <f>IFERROR(__xludf.DUMMYFUNCTION("""COMPUTED_VALUE"""),0.0)</f>
        <v>0</v>
      </c>
      <c r="AS1052" s="82"/>
      <c r="AT1052" s="82">
        <f>IFERROR(__xludf.DUMMYFUNCTION("""COMPUTED_VALUE"""),0.0)</f>
        <v>0</v>
      </c>
      <c r="AU1052" s="82"/>
      <c r="AV1052" s="82"/>
      <c r="AW1052" s="82" t="str">
        <f t="shared" si="1"/>
        <v/>
      </c>
      <c r="AX1052" s="83" t="str">
        <f t="array" ref="AX1052">IFERROR(DGET('SBV Import'!A:G,"SBV",{"RSC ID","Tier";B1052,A1052}))</f>
        <v/>
      </c>
      <c r="AY1052" s="82" t="str">
        <f t="shared" si="2"/>
        <v/>
      </c>
      <c r="AZ1052" s="82"/>
      <c r="BA1052" s="84" t="s">
        <v>152</v>
      </c>
      <c r="BB1052" s="84" t="str">
        <f>IFERROR(__xludf.DUMMYFUNCTION("iferror(if(A1052="""",,E1052&gt;=FILTER(Constants!$F$2:$F$10,Constants!$A$2:$A$10=A1052)))"),"")</f>
        <v/>
      </c>
    </row>
    <row r="1053">
      <c r="A1053" s="80"/>
      <c r="B1053" s="73"/>
      <c r="C1053" s="73"/>
      <c r="D1053" s="73"/>
      <c r="E1053" s="82"/>
      <c r="F1053" s="82"/>
      <c r="G1053" s="82"/>
      <c r="H1053" s="86"/>
      <c r="I1053" s="86"/>
      <c r="J1053" s="82"/>
      <c r="K1053" s="82"/>
      <c r="L1053" s="82"/>
      <c r="M1053" s="82"/>
      <c r="N1053" s="82"/>
      <c r="O1053" s="82"/>
      <c r="P1053" s="82"/>
      <c r="Q1053" s="82"/>
      <c r="R1053" s="82"/>
      <c r="S1053" s="82"/>
      <c r="T1053" s="82"/>
      <c r="U1053" s="82"/>
      <c r="V1053" s="82"/>
      <c r="W1053" s="82"/>
      <c r="X1053" s="82"/>
      <c r="Y1053" s="82"/>
      <c r="Z1053" s="82"/>
      <c r="AA1053" s="82"/>
      <c r="AB1053" s="82"/>
      <c r="AC1053" s="82"/>
      <c r="AD1053" s="82"/>
      <c r="AE1053" s="82"/>
      <c r="AF1053" s="82"/>
      <c r="AG1053" s="82"/>
      <c r="AH1053" s="82"/>
      <c r="AI1053" s="82"/>
      <c r="AJ1053" s="82"/>
      <c r="AK1053" s="82"/>
      <c r="AL1053" s="82"/>
      <c r="AM1053" s="82"/>
      <c r="AN1053" s="82">
        <f>IFERROR(__xludf.DUMMYFUNCTION("""COMPUTED_VALUE"""),0.0)</f>
        <v>0</v>
      </c>
      <c r="AO1053" s="82">
        <f>IFERROR(__xludf.DUMMYFUNCTION("""COMPUTED_VALUE"""),0.0)</f>
        <v>0</v>
      </c>
      <c r="AP1053" s="82">
        <f>IFERROR(__xludf.DUMMYFUNCTION("""COMPUTED_VALUE"""),0.0)</f>
        <v>0</v>
      </c>
      <c r="AQ1053" s="82">
        <f>IFERROR(__xludf.DUMMYFUNCTION("""COMPUTED_VALUE"""),0.0)</f>
        <v>0</v>
      </c>
      <c r="AR1053" s="82">
        <f>IFERROR(__xludf.DUMMYFUNCTION("""COMPUTED_VALUE"""),0.0)</f>
        <v>0</v>
      </c>
      <c r="AS1053" s="82"/>
      <c r="AT1053" s="82">
        <f>IFERROR(__xludf.DUMMYFUNCTION("""COMPUTED_VALUE"""),0.0)</f>
        <v>0</v>
      </c>
      <c r="AU1053" s="82"/>
      <c r="AV1053" s="82"/>
      <c r="AW1053" s="82" t="str">
        <f t="shared" si="1"/>
        <v/>
      </c>
      <c r="AX1053" s="83" t="str">
        <f t="array" ref="AX1053">IFERROR(DGET('SBV Import'!A:G,"SBV",{"RSC ID","Tier";B1053,A1053}))</f>
        <v/>
      </c>
      <c r="AY1053" s="82" t="str">
        <f t="shared" si="2"/>
        <v/>
      </c>
      <c r="AZ1053" s="82"/>
      <c r="BA1053" s="84" t="s">
        <v>152</v>
      </c>
      <c r="BB1053" s="84" t="str">
        <f>IFERROR(__xludf.DUMMYFUNCTION("iferror(if(A1053="""",,E1053&gt;=FILTER(Constants!$F$2:$F$10,Constants!$A$2:$A$10=A1053)))"),"")</f>
        <v/>
      </c>
    </row>
    <row r="1054">
      <c r="A1054" s="80"/>
      <c r="B1054" s="73"/>
      <c r="C1054" s="73"/>
      <c r="D1054" s="73"/>
      <c r="E1054" s="82"/>
      <c r="F1054" s="82"/>
      <c r="G1054" s="82"/>
      <c r="H1054" s="86"/>
      <c r="I1054" s="86"/>
      <c r="J1054" s="82"/>
      <c r="K1054" s="82"/>
      <c r="L1054" s="82"/>
      <c r="M1054" s="82"/>
      <c r="N1054" s="82"/>
      <c r="O1054" s="82"/>
      <c r="P1054" s="82"/>
      <c r="Q1054" s="82"/>
      <c r="R1054" s="82"/>
      <c r="S1054" s="82"/>
      <c r="T1054" s="82"/>
      <c r="U1054" s="82"/>
      <c r="V1054" s="82"/>
      <c r="W1054" s="82"/>
      <c r="X1054" s="82"/>
      <c r="Y1054" s="82"/>
      <c r="Z1054" s="82"/>
      <c r="AA1054" s="82"/>
      <c r="AB1054" s="82"/>
      <c r="AC1054" s="82"/>
      <c r="AD1054" s="82"/>
      <c r="AE1054" s="82"/>
      <c r="AF1054" s="82"/>
      <c r="AG1054" s="82"/>
      <c r="AH1054" s="82"/>
      <c r="AI1054" s="82"/>
      <c r="AJ1054" s="82"/>
      <c r="AK1054" s="82"/>
      <c r="AL1054" s="82"/>
      <c r="AM1054" s="82"/>
      <c r="AN1054" s="82">
        <f>IFERROR(__xludf.DUMMYFUNCTION("""COMPUTED_VALUE"""),0.0)</f>
        <v>0</v>
      </c>
      <c r="AO1054" s="82">
        <f>IFERROR(__xludf.DUMMYFUNCTION("""COMPUTED_VALUE"""),0.0)</f>
        <v>0</v>
      </c>
      <c r="AP1054" s="82">
        <f>IFERROR(__xludf.DUMMYFUNCTION("""COMPUTED_VALUE"""),0.0)</f>
        <v>0</v>
      </c>
      <c r="AQ1054" s="82">
        <f>IFERROR(__xludf.DUMMYFUNCTION("""COMPUTED_VALUE"""),0.0)</f>
        <v>0</v>
      </c>
      <c r="AR1054" s="82">
        <f>IFERROR(__xludf.DUMMYFUNCTION("""COMPUTED_VALUE"""),0.0)</f>
        <v>0</v>
      </c>
      <c r="AS1054" s="82"/>
      <c r="AT1054" s="82">
        <f>IFERROR(__xludf.DUMMYFUNCTION("""COMPUTED_VALUE"""),0.0)</f>
        <v>0</v>
      </c>
      <c r="AU1054" s="82"/>
      <c r="AV1054" s="82"/>
      <c r="AW1054" s="82" t="str">
        <f t="shared" si="1"/>
        <v/>
      </c>
      <c r="AX1054" s="83" t="str">
        <f t="array" ref="AX1054">IFERROR(DGET('SBV Import'!A:G,"SBV",{"RSC ID","Tier";B1054,A1054}))</f>
        <v/>
      </c>
      <c r="AY1054" s="82" t="str">
        <f t="shared" si="2"/>
        <v/>
      </c>
      <c r="AZ1054" s="82"/>
      <c r="BA1054" s="84" t="s">
        <v>152</v>
      </c>
      <c r="BB1054" s="84" t="str">
        <f>IFERROR(__xludf.DUMMYFUNCTION("iferror(if(A1054="""",,E1054&gt;=FILTER(Constants!$F$2:$F$10,Constants!$A$2:$A$10=A1054)))"),"")</f>
        <v/>
      </c>
    </row>
    <row r="1055">
      <c r="A1055" s="80"/>
      <c r="B1055" s="73"/>
      <c r="C1055" s="73"/>
      <c r="D1055" s="73"/>
      <c r="E1055" s="82"/>
      <c r="F1055" s="82"/>
      <c r="G1055" s="82"/>
      <c r="H1055" s="86"/>
      <c r="I1055" s="86"/>
      <c r="J1055" s="82"/>
      <c r="K1055" s="82"/>
      <c r="L1055" s="82"/>
      <c r="M1055" s="82"/>
      <c r="N1055" s="82"/>
      <c r="O1055" s="82"/>
      <c r="P1055" s="82"/>
      <c r="Q1055" s="82"/>
      <c r="R1055" s="82"/>
      <c r="S1055" s="82"/>
      <c r="T1055" s="82"/>
      <c r="U1055" s="82"/>
      <c r="V1055" s="82"/>
      <c r="W1055" s="82"/>
      <c r="X1055" s="82"/>
      <c r="Y1055" s="82"/>
      <c r="Z1055" s="82"/>
      <c r="AA1055" s="82"/>
      <c r="AB1055" s="82"/>
      <c r="AC1055" s="82"/>
      <c r="AD1055" s="82"/>
      <c r="AE1055" s="82"/>
      <c r="AF1055" s="82"/>
      <c r="AG1055" s="82"/>
      <c r="AH1055" s="82"/>
      <c r="AI1055" s="82"/>
      <c r="AJ1055" s="82"/>
      <c r="AK1055" s="82"/>
      <c r="AL1055" s="82"/>
      <c r="AM1055" s="82"/>
      <c r="AN1055" s="82">
        <f>IFERROR(__xludf.DUMMYFUNCTION("""COMPUTED_VALUE"""),0.0)</f>
        <v>0</v>
      </c>
      <c r="AO1055" s="82">
        <f>IFERROR(__xludf.DUMMYFUNCTION("""COMPUTED_VALUE"""),0.0)</f>
        <v>0</v>
      </c>
      <c r="AP1055" s="82">
        <f>IFERROR(__xludf.DUMMYFUNCTION("""COMPUTED_VALUE"""),0.0)</f>
        <v>0</v>
      </c>
      <c r="AQ1055" s="82">
        <f>IFERROR(__xludf.DUMMYFUNCTION("""COMPUTED_VALUE"""),0.0)</f>
        <v>0</v>
      </c>
      <c r="AR1055" s="82">
        <f>IFERROR(__xludf.DUMMYFUNCTION("""COMPUTED_VALUE"""),0.0)</f>
        <v>0</v>
      </c>
      <c r="AS1055" s="82"/>
      <c r="AT1055" s="82">
        <f>IFERROR(__xludf.DUMMYFUNCTION("""COMPUTED_VALUE"""),0.0)</f>
        <v>0</v>
      </c>
      <c r="AU1055" s="82"/>
      <c r="AV1055" s="82"/>
      <c r="AW1055" s="82" t="str">
        <f t="shared" si="1"/>
        <v/>
      </c>
      <c r="AX1055" s="83" t="str">
        <f t="array" ref="AX1055">IFERROR(DGET('SBV Import'!A:G,"SBV",{"RSC ID","Tier";B1055,A1055}))</f>
        <v/>
      </c>
      <c r="AY1055" s="82" t="str">
        <f t="shared" si="2"/>
        <v/>
      </c>
      <c r="AZ1055" s="82"/>
      <c r="BA1055" s="84" t="s">
        <v>152</v>
      </c>
      <c r="BB1055" s="84" t="str">
        <f>IFERROR(__xludf.DUMMYFUNCTION("iferror(if(A1055="""",,E1055&gt;=FILTER(Constants!$F$2:$F$10,Constants!$A$2:$A$10=A1055)))"),"")</f>
        <v/>
      </c>
    </row>
    <row r="1056">
      <c r="A1056" s="80"/>
      <c r="B1056" s="73"/>
      <c r="C1056" s="73"/>
      <c r="D1056" s="73"/>
      <c r="E1056" s="82"/>
      <c r="F1056" s="82"/>
      <c r="G1056" s="82"/>
      <c r="H1056" s="86"/>
      <c r="I1056" s="86"/>
      <c r="J1056" s="82"/>
      <c r="K1056" s="82"/>
      <c r="L1056" s="82"/>
      <c r="M1056" s="82"/>
      <c r="N1056" s="82"/>
      <c r="O1056" s="82"/>
      <c r="P1056" s="82"/>
      <c r="Q1056" s="82"/>
      <c r="R1056" s="82"/>
      <c r="S1056" s="82"/>
      <c r="T1056" s="82"/>
      <c r="U1056" s="82"/>
      <c r="V1056" s="82"/>
      <c r="W1056" s="82"/>
      <c r="X1056" s="82"/>
      <c r="Y1056" s="82"/>
      <c r="Z1056" s="82"/>
      <c r="AA1056" s="82"/>
      <c r="AB1056" s="82"/>
      <c r="AC1056" s="82"/>
      <c r="AD1056" s="82"/>
      <c r="AE1056" s="82"/>
      <c r="AF1056" s="82"/>
      <c r="AG1056" s="82"/>
      <c r="AH1056" s="82"/>
      <c r="AI1056" s="82"/>
      <c r="AJ1056" s="82"/>
      <c r="AK1056" s="82"/>
      <c r="AL1056" s="82"/>
      <c r="AM1056" s="82"/>
      <c r="AN1056" s="82">
        <f>IFERROR(__xludf.DUMMYFUNCTION("""COMPUTED_VALUE"""),0.0)</f>
        <v>0</v>
      </c>
      <c r="AO1056" s="82">
        <f>IFERROR(__xludf.DUMMYFUNCTION("""COMPUTED_VALUE"""),0.0)</f>
        <v>0</v>
      </c>
      <c r="AP1056" s="82">
        <f>IFERROR(__xludf.DUMMYFUNCTION("""COMPUTED_VALUE"""),0.0)</f>
        <v>0</v>
      </c>
      <c r="AQ1056" s="82">
        <f>IFERROR(__xludf.DUMMYFUNCTION("""COMPUTED_VALUE"""),0.0)</f>
        <v>0</v>
      </c>
      <c r="AR1056" s="82">
        <f>IFERROR(__xludf.DUMMYFUNCTION("""COMPUTED_VALUE"""),0.0)</f>
        <v>0</v>
      </c>
      <c r="AS1056" s="82"/>
      <c r="AT1056" s="82">
        <f>IFERROR(__xludf.DUMMYFUNCTION("""COMPUTED_VALUE"""),0.0)</f>
        <v>0</v>
      </c>
      <c r="AU1056" s="82"/>
      <c r="AV1056" s="82"/>
      <c r="AW1056" s="82" t="str">
        <f t="shared" si="1"/>
        <v/>
      </c>
      <c r="AX1056" s="83" t="str">
        <f t="array" ref="AX1056">IFERROR(DGET('SBV Import'!A:G,"SBV",{"RSC ID","Tier";B1056,A1056}))</f>
        <v/>
      </c>
      <c r="AY1056" s="82" t="str">
        <f t="shared" si="2"/>
        <v/>
      </c>
      <c r="AZ1056" s="82"/>
      <c r="BA1056" s="84" t="s">
        <v>152</v>
      </c>
      <c r="BB1056" s="84" t="str">
        <f>IFERROR(__xludf.DUMMYFUNCTION("iferror(if(A1056="""",,E1056&gt;=FILTER(Constants!$F$2:$F$10,Constants!$A$2:$A$10=A1056)))"),"")</f>
        <v/>
      </c>
    </row>
    <row r="1057">
      <c r="A1057" s="80"/>
      <c r="B1057" s="73"/>
      <c r="C1057" s="73"/>
      <c r="D1057" s="73"/>
      <c r="E1057" s="82"/>
      <c r="F1057" s="82"/>
      <c r="G1057" s="82"/>
      <c r="H1057" s="86"/>
      <c r="I1057" s="86"/>
      <c r="J1057" s="82"/>
      <c r="K1057" s="82"/>
      <c r="L1057" s="82"/>
      <c r="M1057" s="82"/>
      <c r="N1057" s="82"/>
      <c r="O1057" s="82"/>
      <c r="P1057" s="82"/>
      <c r="Q1057" s="82"/>
      <c r="R1057" s="82"/>
      <c r="S1057" s="82"/>
      <c r="T1057" s="82"/>
      <c r="U1057" s="82"/>
      <c r="V1057" s="82"/>
      <c r="W1057" s="82"/>
      <c r="X1057" s="82"/>
      <c r="Y1057" s="82"/>
      <c r="Z1057" s="82"/>
      <c r="AA1057" s="82"/>
      <c r="AB1057" s="82"/>
      <c r="AC1057" s="82"/>
      <c r="AD1057" s="82"/>
      <c r="AE1057" s="82"/>
      <c r="AF1057" s="82"/>
      <c r="AG1057" s="82"/>
      <c r="AH1057" s="82"/>
      <c r="AI1057" s="82"/>
      <c r="AJ1057" s="82"/>
      <c r="AK1057" s="82"/>
      <c r="AL1057" s="82"/>
      <c r="AM1057" s="82"/>
      <c r="AN1057" s="82">
        <f>IFERROR(__xludf.DUMMYFUNCTION("""COMPUTED_VALUE"""),0.0)</f>
        <v>0</v>
      </c>
      <c r="AO1057" s="82">
        <f>IFERROR(__xludf.DUMMYFUNCTION("""COMPUTED_VALUE"""),0.0)</f>
        <v>0</v>
      </c>
      <c r="AP1057" s="82">
        <f>IFERROR(__xludf.DUMMYFUNCTION("""COMPUTED_VALUE"""),0.0)</f>
        <v>0</v>
      </c>
      <c r="AQ1057" s="82">
        <f>IFERROR(__xludf.DUMMYFUNCTION("""COMPUTED_VALUE"""),0.0)</f>
        <v>0</v>
      </c>
      <c r="AR1057" s="82">
        <f>IFERROR(__xludf.DUMMYFUNCTION("""COMPUTED_VALUE"""),0.0)</f>
        <v>0</v>
      </c>
      <c r="AS1057" s="82"/>
      <c r="AT1057" s="82">
        <f>IFERROR(__xludf.DUMMYFUNCTION("""COMPUTED_VALUE"""),0.0)</f>
        <v>0</v>
      </c>
      <c r="AU1057" s="82"/>
      <c r="AV1057" s="82"/>
      <c r="AW1057" s="82" t="str">
        <f t="shared" si="1"/>
        <v/>
      </c>
      <c r="AX1057" s="83" t="str">
        <f t="array" ref="AX1057">IFERROR(DGET('SBV Import'!A:G,"SBV",{"RSC ID","Tier";B1057,A1057}))</f>
        <v/>
      </c>
      <c r="AY1057" s="82" t="str">
        <f t="shared" si="2"/>
        <v/>
      </c>
      <c r="AZ1057" s="82"/>
      <c r="BA1057" s="84" t="s">
        <v>152</v>
      </c>
      <c r="BB1057" s="84" t="str">
        <f>IFERROR(__xludf.DUMMYFUNCTION("iferror(if(A1057="""",,E1057&gt;=FILTER(Constants!$F$2:$F$10,Constants!$A$2:$A$10=A1057)))"),"")</f>
        <v/>
      </c>
    </row>
    <row r="1058">
      <c r="A1058" s="80"/>
      <c r="B1058" s="73"/>
      <c r="C1058" s="73"/>
      <c r="D1058" s="73"/>
      <c r="E1058" s="82"/>
      <c r="F1058" s="82"/>
      <c r="G1058" s="82"/>
      <c r="H1058" s="86"/>
      <c r="I1058" s="86"/>
      <c r="J1058" s="82"/>
      <c r="K1058" s="82"/>
      <c r="L1058" s="82"/>
      <c r="M1058" s="82"/>
      <c r="N1058" s="82"/>
      <c r="O1058" s="82"/>
      <c r="P1058" s="82"/>
      <c r="Q1058" s="82"/>
      <c r="R1058" s="82"/>
      <c r="S1058" s="82"/>
      <c r="T1058" s="82"/>
      <c r="U1058" s="82"/>
      <c r="V1058" s="82"/>
      <c r="W1058" s="82"/>
      <c r="X1058" s="82"/>
      <c r="Y1058" s="82"/>
      <c r="Z1058" s="82"/>
      <c r="AA1058" s="82"/>
      <c r="AB1058" s="82"/>
      <c r="AC1058" s="82"/>
      <c r="AD1058" s="82"/>
      <c r="AE1058" s="82"/>
      <c r="AF1058" s="82"/>
      <c r="AG1058" s="82"/>
      <c r="AH1058" s="82"/>
      <c r="AI1058" s="82"/>
      <c r="AJ1058" s="82"/>
      <c r="AK1058" s="82"/>
      <c r="AL1058" s="82"/>
      <c r="AM1058" s="82"/>
      <c r="AN1058" s="82">
        <f>IFERROR(__xludf.DUMMYFUNCTION("""COMPUTED_VALUE"""),0.0)</f>
        <v>0</v>
      </c>
      <c r="AO1058" s="82">
        <f>IFERROR(__xludf.DUMMYFUNCTION("""COMPUTED_VALUE"""),0.0)</f>
        <v>0</v>
      </c>
      <c r="AP1058" s="82">
        <f>IFERROR(__xludf.DUMMYFUNCTION("""COMPUTED_VALUE"""),0.0)</f>
        <v>0</v>
      </c>
      <c r="AQ1058" s="82">
        <f>IFERROR(__xludf.DUMMYFUNCTION("""COMPUTED_VALUE"""),0.0)</f>
        <v>0</v>
      </c>
      <c r="AR1058" s="82">
        <f>IFERROR(__xludf.DUMMYFUNCTION("""COMPUTED_VALUE"""),0.0)</f>
        <v>0</v>
      </c>
      <c r="AS1058" s="82"/>
      <c r="AT1058" s="82">
        <f>IFERROR(__xludf.DUMMYFUNCTION("""COMPUTED_VALUE"""),0.0)</f>
        <v>0</v>
      </c>
      <c r="AU1058" s="82"/>
      <c r="AV1058" s="82"/>
      <c r="AW1058" s="82" t="str">
        <f t="shared" si="1"/>
        <v/>
      </c>
      <c r="AX1058" s="83" t="str">
        <f t="array" ref="AX1058">IFERROR(DGET('SBV Import'!A:G,"SBV",{"RSC ID","Tier";B1058,A1058}))</f>
        <v/>
      </c>
      <c r="AY1058" s="82" t="str">
        <f t="shared" si="2"/>
        <v/>
      </c>
      <c r="AZ1058" s="82"/>
      <c r="BA1058" s="84" t="s">
        <v>152</v>
      </c>
      <c r="BB1058" s="84" t="str">
        <f>IFERROR(__xludf.DUMMYFUNCTION("iferror(if(A1058="""",,E1058&gt;=FILTER(Constants!$F$2:$F$10,Constants!$A$2:$A$10=A1058)))"),"")</f>
        <v/>
      </c>
    </row>
    <row r="1059">
      <c r="A1059" s="80"/>
      <c r="B1059" s="73"/>
      <c r="C1059" s="73"/>
      <c r="D1059" s="73"/>
      <c r="E1059" s="82"/>
      <c r="F1059" s="82"/>
      <c r="G1059" s="82"/>
      <c r="H1059" s="86"/>
      <c r="I1059" s="86"/>
      <c r="J1059" s="82"/>
      <c r="K1059" s="82"/>
      <c r="L1059" s="82"/>
      <c r="M1059" s="82"/>
      <c r="N1059" s="82"/>
      <c r="O1059" s="82"/>
      <c r="P1059" s="82"/>
      <c r="Q1059" s="82"/>
      <c r="R1059" s="82"/>
      <c r="S1059" s="82"/>
      <c r="T1059" s="82"/>
      <c r="U1059" s="82"/>
      <c r="V1059" s="82"/>
      <c r="W1059" s="82"/>
      <c r="X1059" s="82"/>
      <c r="Y1059" s="82"/>
      <c r="Z1059" s="82"/>
      <c r="AA1059" s="82"/>
      <c r="AB1059" s="82"/>
      <c r="AC1059" s="82"/>
      <c r="AD1059" s="82"/>
      <c r="AE1059" s="82"/>
      <c r="AF1059" s="82"/>
      <c r="AG1059" s="82"/>
      <c r="AH1059" s="82"/>
      <c r="AI1059" s="82"/>
      <c r="AJ1059" s="82"/>
      <c r="AK1059" s="82"/>
      <c r="AL1059" s="82"/>
      <c r="AM1059" s="82"/>
      <c r="AN1059" s="82">
        <f>IFERROR(__xludf.DUMMYFUNCTION("""COMPUTED_VALUE"""),0.0)</f>
        <v>0</v>
      </c>
      <c r="AO1059" s="82">
        <f>IFERROR(__xludf.DUMMYFUNCTION("""COMPUTED_VALUE"""),0.0)</f>
        <v>0</v>
      </c>
      <c r="AP1059" s="82">
        <f>IFERROR(__xludf.DUMMYFUNCTION("""COMPUTED_VALUE"""),0.0)</f>
        <v>0</v>
      </c>
      <c r="AQ1059" s="82">
        <f>IFERROR(__xludf.DUMMYFUNCTION("""COMPUTED_VALUE"""),0.0)</f>
        <v>0</v>
      </c>
      <c r="AR1059" s="82">
        <f>IFERROR(__xludf.DUMMYFUNCTION("""COMPUTED_VALUE"""),0.0)</f>
        <v>0</v>
      </c>
      <c r="AS1059" s="82"/>
      <c r="AT1059" s="82">
        <f>IFERROR(__xludf.DUMMYFUNCTION("""COMPUTED_VALUE"""),0.0)</f>
        <v>0</v>
      </c>
      <c r="AU1059" s="82"/>
      <c r="AV1059" s="82"/>
      <c r="AW1059" s="82" t="str">
        <f t="shared" si="1"/>
        <v/>
      </c>
      <c r="AX1059" s="83" t="str">
        <f t="array" ref="AX1059">IFERROR(DGET('SBV Import'!A:G,"SBV",{"RSC ID","Tier";B1059,A1059}))</f>
        <v/>
      </c>
      <c r="AY1059" s="82" t="str">
        <f t="shared" si="2"/>
        <v/>
      </c>
      <c r="AZ1059" s="82"/>
      <c r="BA1059" s="84" t="s">
        <v>152</v>
      </c>
      <c r="BB1059" s="84" t="str">
        <f>IFERROR(__xludf.DUMMYFUNCTION("iferror(if(A1059="""",,E1059&gt;=FILTER(Constants!$F$2:$F$10,Constants!$A$2:$A$10=A1059)))"),"")</f>
        <v/>
      </c>
    </row>
    <row r="1060">
      <c r="A1060" s="80"/>
      <c r="B1060" s="73"/>
      <c r="C1060" s="73"/>
      <c r="D1060" s="73"/>
      <c r="E1060" s="82"/>
      <c r="F1060" s="82"/>
      <c r="G1060" s="82"/>
      <c r="H1060" s="86"/>
      <c r="I1060" s="86"/>
      <c r="J1060" s="82"/>
      <c r="K1060" s="82"/>
      <c r="L1060" s="82"/>
      <c r="M1060" s="82"/>
      <c r="N1060" s="82"/>
      <c r="O1060" s="82"/>
      <c r="P1060" s="82"/>
      <c r="Q1060" s="82"/>
      <c r="R1060" s="82"/>
      <c r="S1060" s="82"/>
      <c r="T1060" s="82"/>
      <c r="U1060" s="82"/>
      <c r="V1060" s="82"/>
      <c r="W1060" s="82"/>
      <c r="X1060" s="82"/>
      <c r="Y1060" s="82"/>
      <c r="Z1060" s="82"/>
      <c r="AA1060" s="82"/>
      <c r="AB1060" s="82"/>
      <c r="AC1060" s="82"/>
      <c r="AD1060" s="82"/>
      <c r="AE1060" s="82"/>
      <c r="AF1060" s="82"/>
      <c r="AG1060" s="82"/>
      <c r="AH1060" s="82"/>
      <c r="AI1060" s="82"/>
      <c r="AJ1060" s="82"/>
      <c r="AK1060" s="82"/>
      <c r="AL1060" s="82"/>
      <c r="AM1060" s="82"/>
      <c r="AN1060" s="82">
        <f>IFERROR(__xludf.DUMMYFUNCTION("""COMPUTED_VALUE"""),0.0)</f>
        <v>0</v>
      </c>
      <c r="AO1060" s="82">
        <f>IFERROR(__xludf.DUMMYFUNCTION("""COMPUTED_VALUE"""),0.0)</f>
        <v>0</v>
      </c>
      <c r="AP1060" s="82">
        <f>IFERROR(__xludf.DUMMYFUNCTION("""COMPUTED_VALUE"""),0.0)</f>
        <v>0</v>
      </c>
      <c r="AQ1060" s="82">
        <f>IFERROR(__xludf.DUMMYFUNCTION("""COMPUTED_VALUE"""),0.0)</f>
        <v>0</v>
      </c>
      <c r="AR1060" s="82">
        <f>IFERROR(__xludf.DUMMYFUNCTION("""COMPUTED_VALUE"""),0.0)</f>
        <v>0</v>
      </c>
      <c r="AS1060" s="82"/>
      <c r="AT1060" s="82">
        <f>IFERROR(__xludf.DUMMYFUNCTION("""COMPUTED_VALUE"""),0.0)</f>
        <v>0</v>
      </c>
      <c r="AU1060" s="82"/>
      <c r="AV1060" s="82"/>
      <c r="AW1060" s="82" t="str">
        <f t="shared" si="1"/>
        <v/>
      </c>
      <c r="AX1060" s="83" t="str">
        <f t="array" ref="AX1060">IFERROR(DGET('SBV Import'!A:G,"SBV",{"RSC ID","Tier";B1060,A1060}))</f>
        <v/>
      </c>
      <c r="AY1060" s="82" t="str">
        <f t="shared" si="2"/>
        <v/>
      </c>
      <c r="AZ1060" s="82"/>
      <c r="BA1060" s="84" t="s">
        <v>152</v>
      </c>
      <c r="BB1060" s="84" t="str">
        <f>IFERROR(__xludf.DUMMYFUNCTION("iferror(if(A1060="""",,E1060&gt;=FILTER(Constants!$F$2:$F$10,Constants!$A$2:$A$10=A1060)))"),"")</f>
        <v/>
      </c>
    </row>
    <row r="1061">
      <c r="A1061" s="80"/>
      <c r="B1061" s="73"/>
      <c r="C1061" s="73"/>
      <c r="D1061" s="73"/>
      <c r="E1061" s="82"/>
      <c r="F1061" s="82"/>
      <c r="G1061" s="82"/>
      <c r="H1061" s="86"/>
      <c r="I1061" s="86"/>
      <c r="J1061" s="82"/>
      <c r="K1061" s="82"/>
      <c r="L1061" s="82"/>
      <c r="M1061" s="82"/>
      <c r="N1061" s="82"/>
      <c r="O1061" s="82"/>
      <c r="P1061" s="82"/>
      <c r="Q1061" s="82"/>
      <c r="R1061" s="82"/>
      <c r="S1061" s="82"/>
      <c r="T1061" s="82"/>
      <c r="U1061" s="82"/>
      <c r="V1061" s="82"/>
      <c r="W1061" s="82"/>
      <c r="X1061" s="82"/>
      <c r="Y1061" s="82"/>
      <c r="Z1061" s="82"/>
      <c r="AA1061" s="82"/>
      <c r="AB1061" s="82"/>
      <c r="AC1061" s="82"/>
      <c r="AD1061" s="82"/>
      <c r="AE1061" s="82"/>
      <c r="AF1061" s="82"/>
      <c r="AG1061" s="82"/>
      <c r="AH1061" s="82"/>
      <c r="AI1061" s="82"/>
      <c r="AJ1061" s="82"/>
      <c r="AK1061" s="82"/>
      <c r="AL1061" s="82"/>
      <c r="AM1061" s="82"/>
      <c r="AN1061" s="82">
        <f>IFERROR(__xludf.DUMMYFUNCTION("""COMPUTED_VALUE"""),0.0)</f>
        <v>0</v>
      </c>
      <c r="AO1061" s="82">
        <f>IFERROR(__xludf.DUMMYFUNCTION("""COMPUTED_VALUE"""),0.0)</f>
        <v>0</v>
      </c>
      <c r="AP1061" s="82">
        <f>IFERROR(__xludf.DUMMYFUNCTION("""COMPUTED_VALUE"""),0.0)</f>
        <v>0</v>
      </c>
      <c r="AQ1061" s="82">
        <f>IFERROR(__xludf.DUMMYFUNCTION("""COMPUTED_VALUE"""),0.0)</f>
        <v>0</v>
      </c>
      <c r="AR1061" s="82">
        <f>IFERROR(__xludf.DUMMYFUNCTION("""COMPUTED_VALUE"""),0.0)</f>
        <v>0</v>
      </c>
      <c r="AS1061" s="82"/>
      <c r="AT1061" s="82">
        <f>IFERROR(__xludf.DUMMYFUNCTION("""COMPUTED_VALUE"""),0.0)</f>
        <v>0</v>
      </c>
      <c r="AU1061" s="82"/>
      <c r="AV1061" s="82"/>
      <c r="AW1061" s="82" t="str">
        <f t="shared" si="1"/>
        <v/>
      </c>
      <c r="AX1061" s="83" t="str">
        <f t="array" ref="AX1061">IFERROR(DGET('SBV Import'!A:G,"SBV",{"RSC ID","Tier";B1061,A1061}))</f>
        <v/>
      </c>
      <c r="AY1061" s="82" t="str">
        <f t="shared" si="2"/>
        <v/>
      </c>
      <c r="AZ1061" s="82"/>
      <c r="BA1061" s="84" t="s">
        <v>152</v>
      </c>
      <c r="BB1061" s="84" t="str">
        <f>IFERROR(__xludf.DUMMYFUNCTION("iferror(if(A1061="""",,E1061&gt;=FILTER(Constants!$F$2:$F$10,Constants!$A$2:$A$10=A1061)))"),"")</f>
        <v/>
      </c>
    </row>
    <row r="1062">
      <c r="A1062" s="80"/>
      <c r="B1062" s="73"/>
      <c r="C1062" s="73"/>
      <c r="D1062" s="73"/>
      <c r="E1062" s="82"/>
      <c r="F1062" s="82"/>
      <c r="G1062" s="82"/>
      <c r="H1062" s="86"/>
      <c r="I1062" s="86"/>
      <c r="J1062" s="82"/>
      <c r="K1062" s="82"/>
      <c r="L1062" s="82"/>
      <c r="M1062" s="82"/>
      <c r="N1062" s="82"/>
      <c r="O1062" s="82"/>
      <c r="P1062" s="82"/>
      <c r="Q1062" s="82"/>
      <c r="R1062" s="82"/>
      <c r="S1062" s="82"/>
      <c r="T1062" s="82"/>
      <c r="U1062" s="82"/>
      <c r="V1062" s="82"/>
      <c r="W1062" s="82"/>
      <c r="X1062" s="82"/>
      <c r="Y1062" s="82"/>
      <c r="Z1062" s="82"/>
      <c r="AA1062" s="82"/>
      <c r="AB1062" s="82"/>
      <c r="AC1062" s="82"/>
      <c r="AD1062" s="82"/>
      <c r="AE1062" s="82"/>
      <c r="AF1062" s="82"/>
      <c r="AG1062" s="82"/>
      <c r="AH1062" s="82"/>
      <c r="AI1062" s="82"/>
      <c r="AJ1062" s="82"/>
      <c r="AK1062" s="82"/>
      <c r="AL1062" s="82"/>
      <c r="AM1062" s="82"/>
      <c r="AN1062" s="82">
        <f>IFERROR(__xludf.DUMMYFUNCTION("""COMPUTED_VALUE"""),0.0)</f>
        <v>0</v>
      </c>
      <c r="AO1062" s="82">
        <f>IFERROR(__xludf.DUMMYFUNCTION("""COMPUTED_VALUE"""),0.0)</f>
        <v>0</v>
      </c>
      <c r="AP1062" s="82">
        <f>IFERROR(__xludf.DUMMYFUNCTION("""COMPUTED_VALUE"""),0.0)</f>
        <v>0</v>
      </c>
      <c r="AQ1062" s="82">
        <f>IFERROR(__xludf.DUMMYFUNCTION("""COMPUTED_VALUE"""),0.0)</f>
        <v>0</v>
      </c>
      <c r="AR1062" s="82">
        <f>IFERROR(__xludf.DUMMYFUNCTION("""COMPUTED_VALUE"""),0.0)</f>
        <v>0</v>
      </c>
      <c r="AS1062" s="82"/>
      <c r="AT1062" s="82">
        <f>IFERROR(__xludf.DUMMYFUNCTION("""COMPUTED_VALUE"""),0.0)</f>
        <v>0</v>
      </c>
      <c r="AU1062" s="82"/>
      <c r="AV1062" s="82"/>
      <c r="AW1062" s="82" t="str">
        <f t="shared" si="1"/>
        <v/>
      </c>
      <c r="AX1062" s="83" t="str">
        <f t="array" ref="AX1062">IFERROR(DGET('SBV Import'!A:G,"SBV",{"RSC ID","Tier";B1062,A1062}))</f>
        <v/>
      </c>
      <c r="AY1062" s="82" t="str">
        <f t="shared" si="2"/>
        <v/>
      </c>
      <c r="AZ1062" s="82"/>
      <c r="BA1062" s="84" t="s">
        <v>152</v>
      </c>
      <c r="BB1062" s="84" t="str">
        <f>IFERROR(__xludf.DUMMYFUNCTION("iferror(if(A1062="""",,E1062&gt;=FILTER(Constants!$F$2:$F$10,Constants!$A$2:$A$10=A1062)))"),"")</f>
        <v/>
      </c>
    </row>
    <row r="1063">
      <c r="A1063" s="80"/>
      <c r="B1063" s="73"/>
      <c r="C1063" s="73"/>
      <c r="D1063" s="73"/>
      <c r="E1063" s="82"/>
      <c r="F1063" s="82"/>
      <c r="G1063" s="82"/>
      <c r="H1063" s="86"/>
      <c r="I1063" s="86"/>
      <c r="J1063" s="82"/>
      <c r="K1063" s="82"/>
      <c r="L1063" s="82"/>
      <c r="M1063" s="82"/>
      <c r="N1063" s="82"/>
      <c r="O1063" s="82"/>
      <c r="P1063" s="82"/>
      <c r="Q1063" s="82"/>
      <c r="R1063" s="82"/>
      <c r="S1063" s="82"/>
      <c r="T1063" s="82"/>
      <c r="U1063" s="82"/>
      <c r="V1063" s="82"/>
      <c r="W1063" s="82"/>
      <c r="X1063" s="82"/>
      <c r="Y1063" s="82"/>
      <c r="Z1063" s="82"/>
      <c r="AA1063" s="82"/>
      <c r="AB1063" s="82"/>
      <c r="AC1063" s="82"/>
      <c r="AD1063" s="82"/>
      <c r="AE1063" s="82"/>
      <c r="AF1063" s="82"/>
      <c r="AG1063" s="82"/>
      <c r="AH1063" s="82"/>
      <c r="AI1063" s="82"/>
      <c r="AJ1063" s="82"/>
      <c r="AK1063" s="82"/>
      <c r="AL1063" s="82"/>
      <c r="AM1063" s="82"/>
      <c r="AN1063" s="82">
        <f>IFERROR(__xludf.DUMMYFUNCTION("""COMPUTED_VALUE"""),0.0)</f>
        <v>0</v>
      </c>
      <c r="AO1063" s="82">
        <f>IFERROR(__xludf.DUMMYFUNCTION("""COMPUTED_VALUE"""),0.0)</f>
        <v>0</v>
      </c>
      <c r="AP1063" s="82">
        <f>IFERROR(__xludf.DUMMYFUNCTION("""COMPUTED_VALUE"""),0.0)</f>
        <v>0</v>
      </c>
      <c r="AQ1063" s="82">
        <f>IFERROR(__xludf.DUMMYFUNCTION("""COMPUTED_VALUE"""),0.0)</f>
        <v>0</v>
      </c>
      <c r="AR1063" s="82">
        <f>IFERROR(__xludf.DUMMYFUNCTION("""COMPUTED_VALUE"""),0.0)</f>
        <v>0</v>
      </c>
      <c r="AS1063" s="82"/>
      <c r="AT1063" s="82">
        <f>IFERROR(__xludf.DUMMYFUNCTION("""COMPUTED_VALUE"""),0.0)</f>
        <v>0</v>
      </c>
      <c r="AU1063" s="82"/>
      <c r="AV1063" s="82"/>
      <c r="AW1063" s="82" t="str">
        <f t="shared" si="1"/>
        <v/>
      </c>
      <c r="AX1063" s="83" t="str">
        <f t="array" ref="AX1063">IFERROR(DGET('SBV Import'!A:G,"SBV",{"RSC ID","Tier";B1063,A1063}))</f>
        <v/>
      </c>
      <c r="AY1063" s="82" t="str">
        <f t="shared" si="2"/>
        <v/>
      </c>
      <c r="AZ1063" s="82"/>
      <c r="BA1063" s="84" t="s">
        <v>152</v>
      </c>
      <c r="BB1063" s="84" t="str">
        <f>IFERROR(__xludf.DUMMYFUNCTION("iferror(if(A1063="""",,E1063&gt;=FILTER(Constants!$F$2:$F$10,Constants!$A$2:$A$10=A1063)))"),"")</f>
        <v/>
      </c>
    </row>
    <row r="1064">
      <c r="A1064" s="80"/>
      <c r="B1064" s="73"/>
      <c r="C1064" s="73"/>
      <c r="D1064" s="73"/>
      <c r="E1064" s="82"/>
      <c r="F1064" s="82"/>
      <c r="G1064" s="82"/>
      <c r="H1064" s="86"/>
      <c r="I1064" s="86"/>
      <c r="J1064" s="82"/>
      <c r="K1064" s="82"/>
      <c r="L1064" s="82"/>
      <c r="M1064" s="82"/>
      <c r="N1064" s="82"/>
      <c r="O1064" s="82"/>
      <c r="P1064" s="82"/>
      <c r="Q1064" s="82"/>
      <c r="R1064" s="82"/>
      <c r="S1064" s="82"/>
      <c r="T1064" s="82"/>
      <c r="U1064" s="82"/>
      <c r="V1064" s="82"/>
      <c r="W1064" s="82"/>
      <c r="X1064" s="82"/>
      <c r="Y1064" s="82"/>
      <c r="Z1064" s="82"/>
      <c r="AA1064" s="82"/>
      <c r="AB1064" s="82"/>
      <c r="AC1064" s="82"/>
      <c r="AD1064" s="82"/>
      <c r="AE1064" s="82"/>
      <c r="AF1064" s="82"/>
      <c r="AG1064" s="82"/>
      <c r="AH1064" s="82"/>
      <c r="AI1064" s="82"/>
      <c r="AJ1064" s="82"/>
      <c r="AK1064" s="82"/>
      <c r="AL1064" s="82"/>
      <c r="AM1064" s="82"/>
      <c r="AN1064" s="82">
        <f>IFERROR(__xludf.DUMMYFUNCTION("""COMPUTED_VALUE"""),0.0)</f>
        <v>0</v>
      </c>
      <c r="AO1064" s="82">
        <f>IFERROR(__xludf.DUMMYFUNCTION("""COMPUTED_VALUE"""),0.0)</f>
        <v>0</v>
      </c>
      <c r="AP1064" s="82">
        <f>IFERROR(__xludf.DUMMYFUNCTION("""COMPUTED_VALUE"""),0.0)</f>
        <v>0</v>
      </c>
      <c r="AQ1064" s="82">
        <f>IFERROR(__xludf.DUMMYFUNCTION("""COMPUTED_VALUE"""),0.0)</f>
        <v>0</v>
      </c>
      <c r="AR1064" s="82">
        <f>IFERROR(__xludf.DUMMYFUNCTION("""COMPUTED_VALUE"""),0.0)</f>
        <v>0</v>
      </c>
      <c r="AS1064" s="82"/>
      <c r="AT1064" s="82">
        <f>IFERROR(__xludf.DUMMYFUNCTION("""COMPUTED_VALUE"""),0.0)</f>
        <v>0</v>
      </c>
      <c r="AU1064" s="82"/>
      <c r="AV1064" s="82"/>
      <c r="AW1064" s="82" t="str">
        <f t="shared" si="1"/>
        <v/>
      </c>
      <c r="AX1064" s="83" t="str">
        <f t="array" ref="AX1064">IFERROR(DGET('SBV Import'!A:G,"SBV",{"RSC ID","Tier";B1064,A1064}))</f>
        <v/>
      </c>
      <c r="AY1064" s="82" t="str">
        <f t="shared" si="2"/>
        <v/>
      </c>
      <c r="AZ1064" s="82"/>
      <c r="BA1064" s="84" t="s">
        <v>152</v>
      </c>
      <c r="BB1064" s="84" t="str">
        <f>IFERROR(__xludf.DUMMYFUNCTION("iferror(if(A1064="""",,E1064&gt;=FILTER(Constants!$F$2:$F$10,Constants!$A$2:$A$10=A1064)))"),"")</f>
        <v/>
      </c>
    </row>
    <row r="1065">
      <c r="A1065" s="80"/>
      <c r="B1065" s="73"/>
      <c r="C1065" s="73"/>
      <c r="D1065" s="73"/>
      <c r="E1065" s="82"/>
      <c r="F1065" s="82"/>
      <c r="G1065" s="82"/>
      <c r="H1065" s="86"/>
      <c r="I1065" s="86"/>
      <c r="J1065" s="82"/>
      <c r="K1065" s="82"/>
      <c r="L1065" s="82"/>
      <c r="M1065" s="82"/>
      <c r="N1065" s="82"/>
      <c r="O1065" s="82"/>
      <c r="P1065" s="82"/>
      <c r="Q1065" s="82"/>
      <c r="R1065" s="82"/>
      <c r="S1065" s="82"/>
      <c r="T1065" s="82"/>
      <c r="U1065" s="82"/>
      <c r="V1065" s="82"/>
      <c r="W1065" s="82"/>
      <c r="X1065" s="82"/>
      <c r="Y1065" s="82"/>
      <c r="Z1065" s="82"/>
      <c r="AA1065" s="82"/>
      <c r="AB1065" s="82"/>
      <c r="AC1065" s="82"/>
      <c r="AD1065" s="82"/>
      <c r="AE1065" s="82"/>
      <c r="AF1065" s="82"/>
      <c r="AG1065" s="82"/>
      <c r="AH1065" s="82"/>
      <c r="AI1065" s="82"/>
      <c r="AJ1065" s="82"/>
      <c r="AK1065" s="82"/>
      <c r="AL1065" s="82"/>
      <c r="AM1065" s="82"/>
      <c r="AN1065" s="82">
        <f>IFERROR(__xludf.DUMMYFUNCTION("""COMPUTED_VALUE"""),0.0)</f>
        <v>0</v>
      </c>
      <c r="AO1065" s="82">
        <f>IFERROR(__xludf.DUMMYFUNCTION("""COMPUTED_VALUE"""),0.0)</f>
        <v>0</v>
      </c>
      <c r="AP1065" s="82">
        <f>IFERROR(__xludf.DUMMYFUNCTION("""COMPUTED_VALUE"""),0.0)</f>
        <v>0</v>
      </c>
      <c r="AQ1065" s="82">
        <f>IFERROR(__xludf.DUMMYFUNCTION("""COMPUTED_VALUE"""),0.0)</f>
        <v>0</v>
      </c>
      <c r="AR1065" s="82">
        <f>IFERROR(__xludf.DUMMYFUNCTION("""COMPUTED_VALUE"""),0.0)</f>
        <v>0</v>
      </c>
      <c r="AS1065" s="82"/>
      <c r="AT1065" s="82">
        <f>IFERROR(__xludf.DUMMYFUNCTION("""COMPUTED_VALUE"""),0.0)</f>
        <v>0</v>
      </c>
      <c r="AU1065" s="82"/>
      <c r="AV1065" s="82"/>
      <c r="AW1065" s="82" t="str">
        <f t="shared" si="1"/>
        <v/>
      </c>
      <c r="AX1065" s="83" t="str">
        <f t="array" ref="AX1065">IFERROR(DGET('SBV Import'!A:G,"SBV",{"RSC ID","Tier";B1065,A1065}))</f>
        <v/>
      </c>
      <c r="AY1065" s="82" t="str">
        <f t="shared" si="2"/>
        <v/>
      </c>
      <c r="AZ1065" s="82"/>
      <c r="BA1065" s="84" t="s">
        <v>152</v>
      </c>
      <c r="BB1065" s="84" t="str">
        <f>IFERROR(__xludf.DUMMYFUNCTION("iferror(if(A1065="""",,E1065&gt;=FILTER(Constants!$F$2:$F$10,Constants!$A$2:$A$10=A1065)))"),"")</f>
        <v/>
      </c>
    </row>
    <row r="1066">
      <c r="A1066" s="80"/>
      <c r="B1066" s="73"/>
      <c r="C1066" s="73"/>
      <c r="D1066" s="73"/>
      <c r="E1066" s="82"/>
      <c r="F1066" s="82"/>
      <c r="G1066" s="82"/>
      <c r="H1066" s="86"/>
      <c r="I1066" s="86"/>
      <c r="J1066" s="82"/>
      <c r="K1066" s="82"/>
      <c r="L1066" s="82"/>
      <c r="M1066" s="82"/>
      <c r="N1066" s="82"/>
      <c r="O1066" s="82"/>
      <c r="P1066" s="82"/>
      <c r="Q1066" s="82"/>
      <c r="R1066" s="82"/>
      <c r="S1066" s="82"/>
      <c r="T1066" s="82"/>
      <c r="U1066" s="82"/>
      <c r="V1066" s="82"/>
      <c r="W1066" s="82"/>
      <c r="X1066" s="82"/>
      <c r="Y1066" s="82"/>
      <c r="Z1066" s="82"/>
      <c r="AA1066" s="82"/>
      <c r="AB1066" s="82"/>
      <c r="AC1066" s="82"/>
      <c r="AD1066" s="82"/>
      <c r="AE1066" s="82"/>
      <c r="AF1066" s="82"/>
      <c r="AG1066" s="82"/>
      <c r="AH1066" s="82"/>
      <c r="AI1066" s="82"/>
      <c r="AJ1066" s="82"/>
      <c r="AK1066" s="82"/>
      <c r="AL1066" s="82"/>
      <c r="AM1066" s="82"/>
      <c r="AN1066" s="82">
        <f>IFERROR(__xludf.DUMMYFUNCTION("""COMPUTED_VALUE"""),0.0)</f>
        <v>0</v>
      </c>
      <c r="AO1066" s="82">
        <f>IFERROR(__xludf.DUMMYFUNCTION("""COMPUTED_VALUE"""),0.0)</f>
        <v>0</v>
      </c>
      <c r="AP1066" s="82">
        <f>IFERROR(__xludf.DUMMYFUNCTION("""COMPUTED_VALUE"""),0.0)</f>
        <v>0</v>
      </c>
      <c r="AQ1066" s="82">
        <f>IFERROR(__xludf.DUMMYFUNCTION("""COMPUTED_VALUE"""),0.0)</f>
        <v>0</v>
      </c>
      <c r="AR1066" s="82">
        <f>IFERROR(__xludf.DUMMYFUNCTION("""COMPUTED_VALUE"""),0.0)</f>
        <v>0</v>
      </c>
      <c r="AS1066" s="82"/>
      <c r="AT1066" s="82">
        <f>IFERROR(__xludf.DUMMYFUNCTION("""COMPUTED_VALUE"""),0.0)</f>
        <v>0</v>
      </c>
      <c r="AU1066" s="82"/>
      <c r="AV1066" s="82"/>
      <c r="AW1066" s="82" t="str">
        <f t="shared" si="1"/>
        <v/>
      </c>
      <c r="AX1066" s="83" t="str">
        <f t="array" ref="AX1066">IFERROR(DGET('SBV Import'!A:G,"SBV",{"RSC ID","Tier";B1066,A1066}))</f>
        <v/>
      </c>
      <c r="AY1066" s="82" t="str">
        <f t="shared" si="2"/>
        <v/>
      </c>
      <c r="AZ1066" s="82"/>
      <c r="BA1066" s="84" t="s">
        <v>152</v>
      </c>
      <c r="BB1066" s="84" t="str">
        <f>IFERROR(__xludf.DUMMYFUNCTION("iferror(if(A1066="""",,E1066&gt;=FILTER(Constants!$F$2:$F$10,Constants!$A$2:$A$10=A1066)))"),"")</f>
        <v/>
      </c>
    </row>
    <row r="1067">
      <c r="A1067" s="80"/>
      <c r="B1067" s="73"/>
      <c r="C1067" s="73"/>
      <c r="D1067" s="73"/>
      <c r="E1067" s="82"/>
      <c r="F1067" s="82"/>
      <c r="G1067" s="82"/>
      <c r="H1067" s="86"/>
      <c r="I1067" s="86"/>
      <c r="J1067" s="82"/>
      <c r="K1067" s="82"/>
      <c r="L1067" s="82"/>
      <c r="M1067" s="82"/>
      <c r="N1067" s="82"/>
      <c r="O1067" s="82"/>
      <c r="P1067" s="82"/>
      <c r="Q1067" s="82"/>
      <c r="R1067" s="82"/>
      <c r="S1067" s="82"/>
      <c r="T1067" s="82"/>
      <c r="U1067" s="82"/>
      <c r="V1067" s="82"/>
      <c r="W1067" s="82"/>
      <c r="X1067" s="82"/>
      <c r="Y1067" s="82"/>
      <c r="Z1067" s="82"/>
      <c r="AA1067" s="82"/>
      <c r="AB1067" s="82"/>
      <c r="AC1067" s="82"/>
      <c r="AD1067" s="82"/>
      <c r="AE1067" s="82"/>
      <c r="AF1067" s="82"/>
      <c r="AG1067" s="82"/>
      <c r="AH1067" s="82"/>
      <c r="AI1067" s="82"/>
      <c r="AJ1067" s="82"/>
      <c r="AK1067" s="82"/>
      <c r="AL1067" s="82"/>
      <c r="AM1067" s="82"/>
      <c r="AN1067" s="82">
        <f>IFERROR(__xludf.DUMMYFUNCTION("""COMPUTED_VALUE"""),0.0)</f>
        <v>0</v>
      </c>
      <c r="AO1067" s="82">
        <f>IFERROR(__xludf.DUMMYFUNCTION("""COMPUTED_VALUE"""),0.0)</f>
        <v>0</v>
      </c>
      <c r="AP1067" s="82">
        <f>IFERROR(__xludf.DUMMYFUNCTION("""COMPUTED_VALUE"""),0.0)</f>
        <v>0</v>
      </c>
      <c r="AQ1067" s="82">
        <f>IFERROR(__xludf.DUMMYFUNCTION("""COMPUTED_VALUE"""),0.0)</f>
        <v>0</v>
      </c>
      <c r="AR1067" s="82">
        <f>IFERROR(__xludf.DUMMYFUNCTION("""COMPUTED_VALUE"""),0.0)</f>
        <v>0</v>
      </c>
      <c r="AS1067" s="82"/>
      <c r="AT1067" s="82">
        <f>IFERROR(__xludf.DUMMYFUNCTION("""COMPUTED_VALUE"""),0.0)</f>
        <v>0</v>
      </c>
      <c r="AU1067" s="82"/>
      <c r="AV1067" s="82"/>
      <c r="AW1067" s="82" t="str">
        <f t="shared" si="1"/>
        <v/>
      </c>
      <c r="AX1067" s="83" t="str">
        <f t="array" ref="AX1067">IFERROR(DGET('SBV Import'!A:G,"SBV",{"RSC ID","Tier";B1067,A1067}))</f>
        <v/>
      </c>
      <c r="AY1067" s="82" t="str">
        <f t="shared" si="2"/>
        <v/>
      </c>
      <c r="AZ1067" s="82"/>
      <c r="BA1067" s="84" t="s">
        <v>152</v>
      </c>
      <c r="BB1067" s="84" t="str">
        <f>IFERROR(__xludf.DUMMYFUNCTION("iferror(if(A1067="""",,E1067&gt;=FILTER(Constants!$F$2:$F$10,Constants!$A$2:$A$10=A1067)))"),"")</f>
        <v/>
      </c>
    </row>
    <row r="1068">
      <c r="A1068" s="80"/>
      <c r="B1068" s="73"/>
      <c r="C1068" s="73"/>
      <c r="D1068" s="73"/>
      <c r="E1068" s="82"/>
      <c r="F1068" s="82"/>
      <c r="G1068" s="82"/>
      <c r="H1068" s="86"/>
      <c r="I1068" s="86"/>
      <c r="J1068" s="82"/>
      <c r="K1068" s="82"/>
      <c r="L1068" s="82"/>
      <c r="M1068" s="82"/>
      <c r="N1068" s="82"/>
      <c r="O1068" s="82"/>
      <c r="P1068" s="82"/>
      <c r="Q1068" s="82"/>
      <c r="R1068" s="82"/>
      <c r="S1068" s="82"/>
      <c r="T1068" s="82"/>
      <c r="U1068" s="82"/>
      <c r="V1068" s="82"/>
      <c r="W1068" s="82"/>
      <c r="X1068" s="82"/>
      <c r="Y1068" s="82"/>
      <c r="Z1068" s="82"/>
      <c r="AA1068" s="82"/>
      <c r="AB1068" s="82"/>
      <c r="AC1068" s="82"/>
      <c r="AD1068" s="82"/>
      <c r="AE1068" s="82"/>
      <c r="AF1068" s="82"/>
      <c r="AG1068" s="82"/>
      <c r="AH1068" s="82"/>
      <c r="AI1068" s="82"/>
      <c r="AJ1068" s="82"/>
      <c r="AK1068" s="82"/>
      <c r="AL1068" s="82"/>
      <c r="AM1068" s="82"/>
      <c r="AN1068" s="82">
        <f>IFERROR(__xludf.DUMMYFUNCTION("""COMPUTED_VALUE"""),0.0)</f>
        <v>0</v>
      </c>
      <c r="AO1068" s="82">
        <f>IFERROR(__xludf.DUMMYFUNCTION("""COMPUTED_VALUE"""),0.0)</f>
        <v>0</v>
      </c>
      <c r="AP1068" s="82">
        <f>IFERROR(__xludf.DUMMYFUNCTION("""COMPUTED_VALUE"""),0.0)</f>
        <v>0</v>
      </c>
      <c r="AQ1068" s="82">
        <f>IFERROR(__xludf.DUMMYFUNCTION("""COMPUTED_VALUE"""),0.0)</f>
        <v>0</v>
      </c>
      <c r="AR1068" s="82">
        <f>IFERROR(__xludf.DUMMYFUNCTION("""COMPUTED_VALUE"""),0.0)</f>
        <v>0</v>
      </c>
      <c r="AS1068" s="82"/>
      <c r="AT1068" s="82">
        <f>IFERROR(__xludf.DUMMYFUNCTION("""COMPUTED_VALUE"""),0.0)</f>
        <v>0</v>
      </c>
      <c r="AU1068" s="82"/>
      <c r="AV1068" s="82"/>
      <c r="AW1068" s="82" t="str">
        <f t="shared" si="1"/>
        <v/>
      </c>
      <c r="AX1068" s="83" t="str">
        <f t="array" ref="AX1068">IFERROR(DGET('SBV Import'!A:G,"SBV",{"RSC ID","Tier";B1068,A1068}))</f>
        <v/>
      </c>
      <c r="AY1068" s="82" t="str">
        <f t="shared" si="2"/>
        <v/>
      </c>
      <c r="AZ1068" s="82"/>
      <c r="BA1068" s="84" t="s">
        <v>152</v>
      </c>
      <c r="BB1068" s="84" t="str">
        <f>IFERROR(__xludf.DUMMYFUNCTION("iferror(if(A1068="""",,E1068&gt;=FILTER(Constants!$F$2:$F$10,Constants!$A$2:$A$10=A1068)))"),"")</f>
        <v/>
      </c>
    </row>
    <row r="1069">
      <c r="A1069" s="80"/>
      <c r="B1069" s="73"/>
      <c r="C1069" s="73"/>
      <c r="D1069" s="73"/>
      <c r="E1069" s="82"/>
      <c r="F1069" s="82"/>
      <c r="G1069" s="82"/>
      <c r="H1069" s="86"/>
      <c r="I1069" s="86"/>
      <c r="J1069" s="82"/>
      <c r="K1069" s="82"/>
      <c r="L1069" s="82"/>
      <c r="M1069" s="82"/>
      <c r="N1069" s="82"/>
      <c r="O1069" s="82"/>
      <c r="P1069" s="82"/>
      <c r="Q1069" s="82"/>
      <c r="R1069" s="82"/>
      <c r="S1069" s="82"/>
      <c r="T1069" s="82"/>
      <c r="U1069" s="82"/>
      <c r="V1069" s="82"/>
      <c r="W1069" s="82"/>
      <c r="X1069" s="82"/>
      <c r="Y1069" s="82"/>
      <c r="Z1069" s="82"/>
      <c r="AA1069" s="82"/>
      <c r="AB1069" s="82"/>
      <c r="AC1069" s="82"/>
      <c r="AD1069" s="82"/>
      <c r="AE1069" s="82"/>
      <c r="AF1069" s="82"/>
      <c r="AG1069" s="82"/>
      <c r="AH1069" s="82"/>
      <c r="AI1069" s="82"/>
      <c r="AJ1069" s="82"/>
      <c r="AK1069" s="82"/>
      <c r="AL1069" s="82"/>
      <c r="AM1069" s="82"/>
      <c r="AN1069" s="82">
        <f>IFERROR(__xludf.DUMMYFUNCTION("""COMPUTED_VALUE"""),0.0)</f>
        <v>0</v>
      </c>
      <c r="AO1069" s="82">
        <f>IFERROR(__xludf.DUMMYFUNCTION("""COMPUTED_VALUE"""),0.0)</f>
        <v>0</v>
      </c>
      <c r="AP1069" s="82">
        <f>IFERROR(__xludf.DUMMYFUNCTION("""COMPUTED_VALUE"""),0.0)</f>
        <v>0</v>
      </c>
      <c r="AQ1069" s="82">
        <f>IFERROR(__xludf.DUMMYFUNCTION("""COMPUTED_VALUE"""),0.0)</f>
        <v>0</v>
      </c>
      <c r="AR1069" s="82">
        <f>IFERROR(__xludf.DUMMYFUNCTION("""COMPUTED_VALUE"""),0.0)</f>
        <v>0</v>
      </c>
      <c r="AS1069" s="82"/>
      <c r="AT1069" s="82">
        <f>IFERROR(__xludf.DUMMYFUNCTION("""COMPUTED_VALUE"""),0.0)</f>
        <v>0</v>
      </c>
      <c r="AU1069" s="82"/>
      <c r="AV1069" s="82"/>
      <c r="AW1069" s="82" t="str">
        <f t="shared" si="1"/>
        <v/>
      </c>
      <c r="AX1069" s="83" t="str">
        <f t="array" ref="AX1069">IFERROR(DGET('SBV Import'!A:G,"SBV",{"RSC ID","Tier";B1069,A1069}))</f>
        <v/>
      </c>
      <c r="AY1069" s="82" t="str">
        <f t="shared" si="2"/>
        <v/>
      </c>
      <c r="AZ1069" s="82"/>
      <c r="BA1069" s="84" t="s">
        <v>152</v>
      </c>
      <c r="BB1069" s="84" t="str">
        <f>IFERROR(__xludf.DUMMYFUNCTION("iferror(if(A1069="""",,E1069&gt;=FILTER(Constants!$F$2:$F$10,Constants!$A$2:$A$10=A1069)))"),"")</f>
        <v/>
      </c>
    </row>
    <row r="1070">
      <c r="A1070" s="80"/>
      <c r="B1070" s="73"/>
      <c r="C1070" s="73"/>
      <c r="D1070" s="73"/>
      <c r="E1070" s="82"/>
      <c r="F1070" s="82"/>
      <c r="G1070" s="82"/>
      <c r="H1070" s="86"/>
      <c r="I1070" s="86"/>
      <c r="J1070" s="82"/>
      <c r="K1070" s="82"/>
      <c r="L1070" s="82"/>
      <c r="M1070" s="82"/>
      <c r="N1070" s="82"/>
      <c r="O1070" s="82"/>
      <c r="P1070" s="82"/>
      <c r="Q1070" s="82"/>
      <c r="R1070" s="82"/>
      <c r="S1070" s="82"/>
      <c r="T1070" s="82"/>
      <c r="U1070" s="82"/>
      <c r="V1070" s="82"/>
      <c r="W1070" s="82"/>
      <c r="X1070" s="82"/>
      <c r="Y1070" s="82"/>
      <c r="Z1070" s="82"/>
      <c r="AA1070" s="82"/>
      <c r="AB1070" s="82"/>
      <c r="AC1070" s="82"/>
      <c r="AD1070" s="82"/>
      <c r="AE1070" s="82"/>
      <c r="AF1070" s="82"/>
      <c r="AG1070" s="82"/>
      <c r="AH1070" s="82"/>
      <c r="AI1070" s="82"/>
      <c r="AJ1070" s="82"/>
      <c r="AK1070" s="82"/>
      <c r="AL1070" s="82"/>
      <c r="AM1070" s="82"/>
      <c r="AN1070" s="82">
        <f>IFERROR(__xludf.DUMMYFUNCTION("""COMPUTED_VALUE"""),0.0)</f>
        <v>0</v>
      </c>
      <c r="AO1070" s="82">
        <f>IFERROR(__xludf.DUMMYFUNCTION("""COMPUTED_VALUE"""),0.0)</f>
        <v>0</v>
      </c>
      <c r="AP1070" s="82">
        <f>IFERROR(__xludf.DUMMYFUNCTION("""COMPUTED_VALUE"""),0.0)</f>
        <v>0</v>
      </c>
      <c r="AQ1070" s="82">
        <f>IFERROR(__xludf.DUMMYFUNCTION("""COMPUTED_VALUE"""),0.0)</f>
        <v>0</v>
      </c>
      <c r="AR1070" s="82">
        <f>IFERROR(__xludf.DUMMYFUNCTION("""COMPUTED_VALUE"""),0.0)</f>
        <v>0</v>
      </c>
      <c r="AS1070" s="82"/>
      <c r="AT1070" s="82">
        <f>IFERROR(__xludf.DUMMYFUNCTION("""COMPUTED_VALUE"""),0.0)</f>
        <v>0</v>
      </c>
      <c r="AU1070" s="82"/>
      <c r="AV1070" s="82"/>
      <c r="AW1070" s="82" t="str">
        <f t="shared" si="1"/>
        <v/>
      </c>
      <c r="AX1070" s="83" t="str">
        <f t="array" ref="AX1070">IFERROR(DGET('SBV Import'!A:G,"SBV",{"RSC ID","Tier";B1070,A1070}))</f>
        <v/>
      </c>
      <c r="AY1070" s="82" t="str">
        <f t="shared" si="2"/>
        <v/>
      </c>
      <c r="AZ1070" s="82"/>
      <c r="BA1070" s="84" t="s">
        <v>152</v>
      </c>
      <c r="BB1070" s="84" t="str">
        <f>IFERROR(__xludf.DUMMYFUNCTION("iferror(if(A1070="""",,E1070&gt;=FILTER(Constants!$F$2:$F$10,Constants!$A$2:$A$10=A1070)))"),"")</f>
        <v/>
      </c>
    </row>
    <row r="1071">
      <c r="A1071" s="80"/>
      <c r="B1071" s="73"/>
      <c r="C1071" s="73"/>
      <c r="D1071" s="73"/>
      <c r="E1071" s="82"/>
      <c r="F1071" s="82"/>
      <c r="G1071" s="82"/>
      <c r="H1071" s="86"/>
      <c r="I1071" s="86"/>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c r="AG1071" s="82"/>
      <c r="AH1071" s="82"/>
      <c r="AI1071" s="82"/>
      <c r="AJ1071" s="82"/>
      <c r="AK1071" s="82"/>
      <c r="AL1071" s="82"/>
      <c r="AM1071" s="82"/>
      <c r="AN1071" s="82">
        <f>IFERROR(__xludf.DUMMYFUNCTION("""COMPUTED_VALUE"""),0.0)</f>
        <v>0</v>
      </c>
      <c r="AO1071" s="82">
        <f>IFERROR(__xludf.DUMMYFUNCTION("""COMPUTED_VALUE"""),0.0)</f>
        <v>0</v>
      </c>
      <c r="AP1071" s="82">
        <f>IFERROR(__xludf.DUMMYFUNCTION("""COMPUTED_VALUE"""),0.0)</f>
        <v>0</v>
      </c>
      <c r="AQ1071" s="82">
        <f>IFERROR(__xludf.DUMMYFUNCTION("""COMPUTED_VALUE"""),0.0)</f>
        <v>0</v>
      </c>
      <c r="AR1071" s="82">
        <f>IFERROR(__xludf.DUMMYFUNCTION("""COMPUTED_VALUE"""),0.0)</f>
        <v>0</v>
      </c>
      <c r="AS1071" s="82"/>
      <c r="AT1071" s="82">
        <f>IFERROR(__xludf.DUMMYFUNCTION("""COMPUTED_VALUE"""),0.0)</f>
        <v>0</v>
      </c>
      <c r="AU1071" s="82"/>
      <c r="AV1071" s="82"/>
      <c r="AW1071" s="82" t="str">
        <f t="shared" si="1"/>
        <v/>
      </c>
      <c r="AX1071" s="83" t="str">
        <f t="array" ref="AX1071">IFERROR(DGET('SBV Import'!A:G,"SBV",{"RSC ID","Tier";B1071,A1071}))</f>
        <v/>
      </c>
      <c r="AY1071" s="82" t="str">
        <f t="shared" si="2"/>
        <v/>
      </c>
      <c r="AZ1071" s="82"/>
      <c r="BA1071" s="84" t="s">
        <v>152</v>
      </c>
      <c r="BB1071" s="84" t="str">
        <f>IFERROR(__xludf.DUMMYFUNCTION("iferror(if(A1071="""",,E1071&gt;=FILTER(Constants!$F$2:$F$10,Constants!$A$2:$A$10=A1071)))"),"")</f>
        <v/>
      </c>
    </row>
    <row r="1072">
      <c r="A1072" s="89"/>
      <c r="B1072" s="87"/>
      <c r="C1072" s="73"/>
      <c r="D1072" s="73"/>
      <c r="E1072" s="82"/>
      <c r="F1072" s="82"/>
      <c r="G1072" s="86"/>
      <c r="H1072" s="86"/>
      <c r="I1072" s="86"/>
      <c r="J1072" s="82"/>
      <c r="K1072" s="82"/>
      <c r="L1072" s="82"/>
      <c r="M1072" s="82"/>
      <c r="N1072" s="82"/>
      <c r="O1072" s="82"/>
      <c r="P1072" s="82"/>
      <c r="Q1072" s="82"/>
      <c r="R1072" s="82"/>
      <c r="S1072" s="82"/>
      <c r="T1072" s="82"/>
      <c r="U1072" s="82"/>
      <c r="V1072" s="82"/>
      <c r="W1072" s="82"/>
      <c r="X1072" s="82"/>
      <c r="Y1072" s="82"/>
      <c r="Z1072" s="82"/>
      <c r="AA1072" s="82"/>
      <c r="AB1072" s="82"/>
      <c r="AC1072" s="82"/>
      <c r="AD1072" s="82"/>
      <c r="AE1072" s="82"/>
      <c r="AF1072" s="82"/>
      <c r="AG1072" s="82"/>
      <c r="AH1072" s="82"/>
      <c r="AI1072" s="82"/>
      <c r="AJ1072" s="82"/>
      <c r="AK1072" s="82"/>
      <c r="AL1072" s="82"/>
      <c r="AM1072" s="82"/>
      <c r="AN1072" s="82">
        <f>IFERROR(__xludf.DUMMYFUNCTION("""COMPUTED_VALUE"""),0.0)</f>
        <v>0</v>
      </c>
      <c r="AO1072" s="82">
        <f>IFERROR(__xludf.DUMMYFUNCTION("""COMPUTED_VALUE"""),0.0)</f>
        <v>0</v>
      </c>
      <c r="AP1072" s="82">
        <f>IFERROR(__xludf.DUMMYFUNCTION("""COMPUTED_VALUE"""),0.0)</f>
        <v>0</v>
      </c>
      <c r="AQ1072" s="82">
        <f>IFERROR(__xludf.DUMMYFUNCTION("""COMPUTED_VALUE"""),0.0)</f>
        <v>0</v>
      </c>
      <c r="AR1072" s="82">
        <f>IFERROR(__xludf.DUMMYFUNCTION("""COMPUTED_VALUE"""),0.0)</f>
        <v>0</v>
      </c>
      <c r="AS1072" s="82"/>
      <c r="AT1072" s="82">
        <f>IFERROR(__xludf.DUMMYFUNCTION("""COMPUTED_VALUE"""),0.0)</f>
        <v>0</v>
      </c>
      <c r="AU1072" s="82"/>
      <c r="AV1072" s="82"/>
      <c r="AW1072" s="82" t="str">
        <f t="shared" si="1"/>
        <v/>
      </c>
      <c r="AX1072" s="83" t="str">
        <f t="array" ref="AX1072">IFERROR(DGET('SBV Import'!A:G,"SBV",{"RSC ID","Tier";B1072,A1072}))</f>
        <v/>
      </c>
      <c r="AY1072" s="82" t="str">
        <f t="shared" si="2"/>
        <v/>
      </c>
      <c r="AZ1072" s="82"/>
      <c r="BA1072" s="84" t="s">
        <v>152</v>
      </c>
      <c r="BB1072" s="84" t="str">
        <f>IFERROR(__xludf.DUMMYFUNCTION("iferror(if(A1072="""",,E1072&gt;=FILTER(Constants!$F$2:$F$10,Constants!$A$2:$A$10=A1072)))"),"")</f>
        <v/>
      </c>
    </row>
    <row r="1073">
      <c r="A1073" s="89"/>
      <c r="B1073" s="87"/>
      <c r="C1073" s="73"/>
      <c r="D1073" s="73"/>
      <c r="E1073" s="82"/>
      <c r="F1073" s="82"/>
      <c r="G1073" s="86"/>
      <c r="H1073" s="86"/>
      <c r="I1073" s="86"/>
      <c r="J1073" s="82"/>
      <c r="K1073" s="82"/>
      <c r="L1073" s="82"/>
      <c r="M1073" s="82"/>
      <c r="N1073" s="82"/>
      <c r="O1073" s="82"/>
      <c r="P1073" s="82"/>
      <c r="Q1073" s="82"/>
      <c r="R1073" s="82"/>
      <c r="S1073" s="82"/>
      <c r="T1073" s="82"/>
      <c r="U1073" s="82"/>
      <c r="V1073" s="82"/>
      <c r="W1073" s="82"/>
      <c r="X1073" s="82"/>
      <c r="Y1073" s="82"/>
      <c r="Z1073" s="82"/>
      <c r="AA1073" s="82"/>
      <c r="AB1073" s="82"/>
      <c r="AC1073" s="82"/>
      <c r="AD1073" s="82"/>
      <c r="AE1073" s="82"/>
      <c r="AF1073" s="82"/>
      <c r="AG1073" s="82"/>
      <c r="AH1073" s="82"/>
      <c r="AI1073" s="82"/>
      <c r="AJ1073" s="82"/>
      <c r="AK1073" s="82"/>
      <c r="AL1073" s="82"/>
      <c r="AM1073" s="82"/>
      <c r="AN1073" s="82">
        <f>IFERROR(__xludf.DUMMYFUNCTION("""COMPUTED_VALUE"""),0.0)</f>
        <v>0</v>
      </c>
      <c r="AO1073" s="82">
        <f>IFERROR(__xludf.DUMMYFUNCTION("""COMPUTED_VALUE"""),0.0)</f>
        <v>0</v>
      </c>
      <c r="AP1073" s="82">
        <f>IFERROR(__xludf.DUMMYFUNCTION("""COMPUTED_VALUE"""),0.0)</f>
        <v>0</v>
      </c>
      <c r="AQ1073" s="82">
        <f>IFERROR(__xludf.DUMMYFUNCTION("""COMPUTED_VALUE"""),0.0)</f>
        <v>0</v>
      </c>
      <c r="AR1073" s="82">
        <f>IFERROR(__xludf.DUMMYFUNCTION("""COMPUTED_VALUE"""),0.0)</f>
        <v>0</v>
      </c>
      <c r="AS1073" s="82"/>
      <c r="AT1073" s="82">
        <f>IFERROR(__xludf.DUMMYFUNCTION("""COMPUTED_VALUE"""),0.0)</f>
        <v>0</v>
      </c>
      <c r="AU1073" s="82"/>
      <c r="AV1073" s="82"/>
      <c r="AW1073" s="82" t="str">
        <f t="shared" si="1"/>
        <v/>
      </c>
      <c r="AX1073" s="83" t="str">
        <f t="array" ref="AX1073">IFERROR(DGET('SBV Import'!A:G,"SBV",{"RSC ID","Tier";B1073,A1073}))</f>
        <v/>
      </c>
      <c r="AY1073" s="82" t="str">
        <f t="shared" si="2"/>
        <v/>
      </c>
      <c r="AZ1073" s="82"/>
      <c r="BA1073" s="84" t="s">
        <v>152</v>
      </c>
      <c r="BB1073" s="84" t="str">
        <f>IFERROR(__xludf.DUMMYFUNCTION("iferror(if(A1073="""",,E1073&gt;=FILTER(Constants!$F$2:$F$10,Constants!$A$2:$A$10=A1073)))"),"")</f>
        <v/>
      </c>
    </row>
    <row r="1074">
      <c r="A1074" s="89"/>
      <c r="B1074" s="87"/>
      <c r="C1074" s="73"/>
      <c r="D1074" s="73"/>
      <c r="E1074" s="82"/>
      <c r="F1074" s="82"/>
      <c r="G1074" s="86"/>
      <c r="H1074" s="86"/>
      <c r="I1074" s="86"/>
      <c r="J1074" s="82"/>
      <c r="K1074" s="82"/>
      <c r="L1074" s="82"/>
      <c r="M1074" s="82"/>
      <c r="N1074" s="82"/>
      <c r="O1074" s="82"/>
      <c r="P1074" s="82"/>
      <c r="Q1074" s="82"/>
      <c r="R1074" s="82"/>
      <c r="S1074" s="82"/>
      <c r="T1074" s="82"/>
      <c r="U1074" s="82"/>
      <c r="V1074" s="82"/>
      <c r="W1074" s="82"/>
      <c r="X1074" s="82"/>
      <c r="Y1074" s="82"/>
      <c r="Z1074" s="82"/>
      <c r="AA1074" s="82"/>
      <c r="AB1074" s="82"/>
      <c r="AC1074" s="82"/>
      <c r="AD1074" s="82"/>
      <c r="AE1074" s="82"/>
      <c r="AF1074" s="82"/>
      <c r="AG1074" s="82"/>
      <c r="AH1074" s="82"/>
      <c r="AI1074" s="82"/>
      <c r="AJ1074" s="82"/>
      <c r="AK1074" s="82"/>
      <c r="AL1074" s="82"/>
      <c r="AM1074" s="82"/>
      <c r="AN1074" s="82">
        <f>IFERROR(__xludf.DUMMYFUNCTION("""COMPUTED_VALUE"""),0.0)</f>
        <v>0</v>
      </c>
      <c r="AO1074" s="82">
        <f>IFERROR(__xludf.DUMMYFUNCTION("""COMPUTED_VALUE"""),0.0)</f>
        <v>0</v>
      </c>
      <c r="AP1074" s="82">
        <f>IFERROR(__xludf.DUMMYFUNCTION("""COMPUTED_VALUE"""),0.0)</f>
        <v>0</v>
      </c>
      <c r="AQ1074" s="82">
        <f>IFERROR(__xludf.DUMMYFUNCTION("""COMPUTED_VALUE"""),0.0)</f>
        <v>0</v>
      </c>
      <c r="AR1074" s="82">
        <f>IFERROR(__xludf.DUMMYFUNCTION("""COMPUTED_VALUE"""),0.0)</f>
        <v>0</v>
      </c>
      <c r="AS1074" s="82"/>
      <c r="AT1074" s="82">
        <f>IFERROR(__xludf.DUMMYFUNCTION("""COMPUTED_VALUE"""),0.0)</f>
        <v>0</v>
      </c>
      <c r="AU1074" s="82"/>
      <c r="AV1074" s="82"/>
      <c r="AW1074" s="82" t="str">
        <f t="shared" si="1"/>
        <v/>
      </c>
      <c r="AX1074" s="83" t="str">
        <f t="array" ref="AX1074">IFERROR(DGET('SBV Import'!A:G,"SBV",{"RSC ID","Tier";B1074,A1074}))</f>
        <v/>
      </c>
      <c r="AY1074" s="82" t="str">
        <f t="shared" si="2"/>
        <v/>
      </c>
      <c r="AZ1074" s="82"/>
      <c r="BA1074" s="84" t="s">
        <v>152</v>
      </c>
      <c r="BB1074" s="84" t="str">
        <f>IFERROR(__xludf.DUMMYFUNCTION("iferror(if(A1074="""",,E1074&gt;=FILTER(Constants!$F$2:$F$10,Constants!$A$2:$A$10=A1074)))"),"")</f>
        <v/>
      </c>
    </row>
    <row r="1075">
      <c r="A1075" s="89"/>
      <c r="B1075" s="87"/>
      <c r="C1075" s="73"/>
      <c r="D1075" s="73"/>
      <c r="E1075" s="82"/>
      <c r="F1075" s="82"/>
      <c r="G1075" s="86"/>
      <c r="H1075" s="86"/>
      <c r="I1075" s="86"/>
      <c r="J1075" s="82"/>
      <c r="K1075" s="82"/>
      <c r="L1075" s="82"/>
      <c r="M1075" s="82"/>
      <c r="N1075" s="82"/>
      <c r="O1075" s="82"/>
      <c r="P1075" s="82"/>
      <c r="Q1075" s="82"/>
      <c r="R1075" s="82"/>
      <c r="S1075" s="82"/>
      <c r="T1075" s="82"/>
      <c r="U1075" s="82"/>
      <c r="V1075" s="82"/>
      <c r="W1075" s="82"/>
      <c r="X1075" s="82"/>
      <c r="Y1075" s="82"/>
      <c r="Z1075" s="82"/>
      <c r="AA1075" s="82"/>
      <c r="AB1075" s="82"/>
      <c r="AC1075" s="82"/>
      <c r="AD1075" s="82"/>
      <c r="AE1075" s="82"/>
      <c r="AF1075" s="82"/>
      <c r="AG1075" s="82"/>
      <c r="AH1075" s="82"/>
      <c r="AI1075" s="82"/>
      <c r="AJ1075" s="82"/>
      <c r="AK1075" s="82"/>
      <c r="AL1075" s="82"/>
      <c r="AM1075" s="82"/>
      <c r="AN1075" s="82">
        <f>IFERROR(__xludf.DUMMYFUNCTION("""COMPUTED_VALUE"""),0.0)</f>
        <v>0</v>
      </c>
      <c r="AO1075" s="82">
        <f>IFERROR(__xludf.DUMMYFUNCTION("""COMPUTED_VALUE"""),0.0)</f>
        <v>0</v>
      </c>
      <c r="AP1075" s="82">
        <f>IFERROR(__xludf.DUMMYFUNCTION("""COMPUTED_VALUE"""),0.0)</f>
        <v>0</v>
      </c>
      <c r="AQ1075" s="82">
        <f>IFERROR(__xludf.DUMMYFUNCTION("""COMPUTED_VALUE"""),0.0)</f>
        <v>0</v>
      </c>
      <c r="AR1075" s="82">
        <f>IFERROR(__xludf.DUMMYFUNCTION("""COMPUTED_VALUE"""),0.0)</f>
        <v>0</v>
      </c>
      <c r="AS1075" s="82"/>
      <c r="AT1075" s="82">
        <f>IFERROR(__xludf.DUMMYFUNCTION("""COMPUTED_VALUE"""),0.0)</f>
        <v>0</v>
      </c>
      <c r="AU1075" s="82"/>
      <c r="AV1075" s="82"/>
      <c r="AW1075" s="82" t="str">
        <f t="shared" si="1"/>
        <v/>
      </c>
      <c r="AX1075" s="83" t="str">
        <f t="array" ref="AX1075">IFERROR(DGET('SBV Import'!A:G,"SBV",{"RSC ID","Tier";B1075,A1075}))</f>
        <v/>
      </c>
      <c r="AY1075" s="82" t="str">
        <f t="shared" si="2"/>
        <v/>
      </c>
      <c r="AZ1075" s="82"/>
      <c r="BA1075" s="84" t="s">
        <v>152</v>
      </c>
      <c r="BB1075" s="84" t="str">
        <f>IFERROR(__xludf.DUMMYFUNCTION("iferror(if(A1075="""",,E1075&gt;=FILTER(Constants!$F$2:$F$10,Constants!$A$2:$A$10=A1075)))"),"")</f>
        <v/>
      </c>
    </row>
    <row r="1076">
      <c r="A1076" s="89"/>
      <c r="B1076" s="87"/>
      <c r="C1076" s="73"/>
      <c r="D1076" s="73"/>
      <c r="E1076" s="82"/>
      <c r="F1076" s="82"/>
      <c r="G1076" s="86"/>
      <c r="H1076" s="86"/>
      <c r="I1076" s="86"/>
      <c r="J1076" s="82"/>
      <c r="K1076" s="82"/>
      <c r="L1076" s="82"/>
      <c r="M1076" s="82"/>
      <c r="N1076" s="82"/>
      <c r="O1076" s="82"/>
      <c r="P1076" s="82"/>
      <c r="Q1076" s="82"/>
      <c r="R1076" s="82"/>
      <c r="S1076" s="82"/>
      <c r="T1076" s="82"/>
      <c r="U1076" s="82"/>
      <c r="V1076" s="82"/>
      <c r="W1076" s="82"/>
      <c r="X1076" s="82"/>
      <c r="Y1076" s="82"/>
      <c r="Z1076" s="82"/>
      <c r="AA1076" s="82"/>
      <c r="AB1076" s="82"/>
      <c r="AC1076" s="82"/>
      <c r="AD1076" s="82"/>
      <c r="AE1076" s="82"/>
      <c r="AF1076" s="82"/>
      <c r="AG1076" s="82"/>
      <c r="AH1076" s="82"/>
      <c r="AI1076" s="82"/>
      <c r="AJ1076" s="82"/>
      <c r="AK1076" s="82"/>
      <c r="AL1076" s="82"/>
      <c r="AM1076" s="82"/>
      <c r="AN1076" s="82">
        <f>IFERROR(__xludf.DUMMYFUNCTION("""COMPUTED_VALUE"""),0.0)</f>
        <v>0</v>
      </c>
      <c r="AO1076" s="82">
        <f>IFERROR(__xludf.DUMMYFUNCTION("""COMPUTED_VALUE"""),0.0)</f>
        <v>0</v>
      </c>
      <c r="AP1076" s="82">
        <f>IFERROR(__xludf.DUMMYFUNCTION("""COMPUTED_VALUE"""),0.0)</f>
        <v>0</v>
      </c>
      <c r="AQ1076" s="82">
        <f>IFERROR(__xludf.DUMMYFUNCTION("""COMPUTED_VALUE"""),0.0)</f>
        <v>0</v>
      </c>
      <c r="AR1076" s="82">
        <f>IFERROR(__xludf.DUMMYFUNCTION("""COMPUTED_VALUE"""),0.0)</f>
        <v>0</v>
      </c>
      <c r="AS1076" s="82"/>
      <c r="AT1076" s="82">
        <f>IFERROR(__xludf.DUMMYFUNCTION("""COMPUTED_VALUE"""),0.0)</f>
        <v>0</v>
      </c>
      <c r="AU1076" s="82"/>
      <c r="AV1076" s="82"/>
      <c r="AW1076" s="82" t="str">
        <f t="shared" si="1"/>
        <v/>
      </c>
      <c r="AX1076" s="83" t="str">
        <f t="array" ref="AX1076">IFERROR(DGET('SBV Import'!A:G,"SBV",{"RSC ID","Tier";B1076,A1076}))</f>
        <v/>
      </c>
      <c r="AY1076" s="82" t="str">
        <f t="shared" si="2"/>
        <v/>
      </c>
      <c r="AZ1076" s="82"/>
      <c r="BA1076" s="84" t="s">
        <v>152</v>
      </c>
      <c r="BB1076" s="84" t="str">
        <f>IFERROR(__xludf.DUMMYFUNCTION("iferror(if(A1076="""",,E1076&gt;=FILTER(Constants!$F$2:$F$10,Constants!$A$2:$A$10=A1076)))"),"")</f>
        <v/>
      </c>
    </row>
    <row r="1077">
      <c r="A1077" s="89"/>
      <c r="B1077" s="87"/>
      <c r="C1077" s="73"/>
      <c r="D1077" s="73"/>
      <c r="E1077" s="82"/>
      <c r="F1077" s="82"/>
      <c r="G1077" s="86"/>
      <c r="H1077" s="86"/>
      <c r="I1077" s="86"/>
      <c r="J1077" s="82"/>
      <c r="K1077" s="82"/>
      <c r="L1077" s="82"/>
      <c r="M1077" s="82"/>
      <c r="N1077" s="82"/>
      <c r="O1077" s="82"/>
      <c r="P1077" s="82"/>
      <c r="Q1077" s="82"/>
      <c r="R1077" s="82"/>
      <c r="S1077" s="82"/>
      <c r="T1077" s="82"/>
      <c r="U1077" s="82"/>
      <c r="V1077" s="82"/>
      <c r="W1077" s="82"/>
      <c r="X1077" s="82"/>
      <c r="Y1077" s="82"/>
      <c r="Z1077" s="82"/>
      <c r="AA1077" s="82"/>
      <c r="AB1077" s="82"/>
      <c r="AC1077" s="82"/>
      <c r="AD1077" s="82"/>
      <c r="AE1077" s="82"/>
      <c r="AF1077" s="82"/>
      <c r="AG1077" s="82"/>
      <c r="AH1077" s="82"/>
      <c r="AI1077" s="82"/>
      <c r="AJ1077" s="82"/>
      <c r="AK1077" s="82"/>
      <c r="AL1077" s="82"/>
      <c r="AM1077" s="82"/>
      <c r="AN1077" s="82">
        <f>IFERROR(__xludf.DUMMYFUNCTION("""COMPUTED_VALUE"""),0.0)</f>
        <v>0</v>
      </c>
      <c r="AO1077" s="82">
        <f>IFERROR(__xludf.DUMMYFUNCTION("""COMPUTED_VALUE"""),0.0)</f>
        <v>0</v>
      </c>
      <c r="AP1077" s="82">
        <f>IFERROR(__xludf.DUMMYFUNCTION("""COMPUTED_VALUE"""),0.0)</f>
        <v>0</v>
      </c>
      <c r="AQ1077" s="82">
        <f>IFERROR(__xludf.DUMMYFUNCTION("""COMPUTED_VALUE"""),0.0)</f>
        <v>0</v>
      </c>
      <c r="AR1077" s="82">
        <f>IFERROR(__xludf.DUMMYFUNCTION("""COMPUTED_VALUE"""),0.0)</f>
        <v>0</v>
      </c>
      <c r="AS1077" s="82"/>
      <c r="AT1077" s="82">
        <f>IFERROR(__xludf.DUMMYFUNCTION("""COMPUTED_VALUE"""),0.0)</f>
        <v>0</v>
      </c>
      <c r="AU1077" s="82"/>
      <c r="AV1077" s="82"/>
      <c r="AW1077" s="82" t="str">
        <f t="shared" si="1"/>
        <v/>
      </c>
      <c r="AX1077" s="83" t="str">
        <f t="array" ref="AX1077">IFERROR(DGET('SBV Import'!A:G,"SBV",{"RSC ID","Tier";B1077,A1077}))</f>
        <v/>
      </c>
      <c r="AY1077" s="82" t="str">
        <f t="shared" si="2"/>
        <v/>
      </c>
      <c r="AZ1077" s="82"/>
      <c r="BA1077" s="84" t="s">
        <v>152</v>
      </c>
      <c r="BB1077" s="84" t="str">
        <f>IFERROR(__xludf.DUMMYFUNCTION("iferror(if(A1077="""",,E1077&gt;=FILTER(Constants!$F$2:$F$10,Constants!$A$2:$A$10=A1077)))"),"")</f>
        <v/>
      </c>
    </row>
    <row r="1078">
      <c r="A1078" s="89"/>
      <c r="B1078" s="87"/>
      <c r="C1078" s="73"/>
      <c r="D1078" s="73"/>
      <c r="E1078" s="82"/>
      <c r="F1078" s="82"/>
      <c r="G1078" s="86"/>
      <c r="H1078" s="86"/>
      <c r="I1078" s="86"/>
      <c r="J1078" s="82"/>
      <c r="K1078" s="82"/>
      <c r="L1078" s="82"/>
      <c r="M1078" s="82"/>
      <c r="N1078" s="82"/>
      <c r="O1078" s="82"/>
      <c r="P1078" s="82"/>
      <c r="Q1078" s="82"/>
      <c r="R1078" s="82"/>
      <c r="S1078" s="82"/>
      <c r="T1078" s="82"/>
      <c r="U1078" s="82"/>
      <c r="V1078" s="82"/>
      <c r="W1078" s="82"/>
      <c r="X1078" s="82"/>
      <c r="Y1078" s="82"/>
      <c r="Z1078" s="82"/>
      <c r="AA1078" s="82"/>
      <c r="AB1078" s="82"/>
      <c r="AC1078" s="82"/>
      <c r="AD1078" s="82"/>
      <c r="AE1078" s="82"/>
      <c r="AF1078" s="82"/>
      <c r="AG1078" s="82"/>
      <c r="AH1078" s="82"/>
      <c r="AI1078" s="82"/>
      <c r="AJ1078" s="82"/>
      <c r="AK1078" s="82"/>
      <c r="AL1078" s="82"/>
      <c r="AM1078" s="82"/>
      <c r="AN1078" s="82">
        <f>IFERROR(__xludf.DUMMYFUNCTION("""COMPUTED_VALUE"""),0.0)</f>
        <v>0</v>
      </c>
      <c r="AO1078" s="82">
        <f>IFERROR(__xludf.DUMMYFUNCTION("""COMPUTED_VALUE"""),0.0)</f>
        <v>0</v>
      </c>
      <c r="AP1078" s="82">
        <f>IFERROR(__xludf.DUMMYFUNCTION("""COMPUTED_VALUE"""),0.0)</f>
        <v>0</v>
      </c>
      <c r="AQ1078" s="82">
        <f>IFERROR(__xludf.DUMMYFUNCTION("""COMPUTED_VALUE"""),0.0)</f>
        <v>0</v>
      </c>
      <c r="AR1078" s="82">
        <f>IFERROR(__xludf.DUMMYFUNCTION("""COMPUTED_VALUE"""),0.0)</f>
        <v>0</v>
      </c>
      <c r="AS1078" s="82"/>
      <c r="AT1078" s="82">
        <f>IFERROR(__xludf.DUMMYFUNCTION("""COMPUTED_VALUE"""),0.0)</f>
        <v>0</v>
      </c>
      <c r="AU1078" s="82"/>
      <c r="AV1078" s="82"/>
      <c r="AW1078" s="82" t="str">
        <f t="shared" si="1"/>
        <v/>
      </c>
      <c r="AX1078" s="83" t="str">
        <f t="array" ref="AX1078">IFERROR(DGET('SBV Import'!A:G,"SBV",{"RSC ID","Tier";B1078,A1078}))</f>
        <v/>
      </c>
      <c r="AY1078" s="82" t="str">
        <f t="shared" si="2"/>
        <v/>
      </c>
      <c r="AZ1078" s="82"/>
      <c r="BA1078" s="84" t="s">
        <v>152</v>
      </c>
      <c r="BB1078" s="84" t="str">
        <f>IFERROR(__xludf.DUMMYFUNCTION("iferror(if(A1078="""",,E1078&gt;=FILTER(Constants!$F$2:$F$10,Constants!$A$2:$A$10=A1078)))"),"")</f>
        <v/>
      </c>
    </row>
    <row r="1079">
      <c r="A1079" s="89"/>
      <c r="B1079" s="87"/>
      <c r="C1079" s="73"/>
      <c r="D1079" s="73"/>
      <c r="E1079" s="82"/>
      <c r="F1079" s="82"/>
      <c r="G1079" s="86"/>
      <c r="H1079" s="86"/>
      <c r="I1079" s="86"/>
      <c r="J1079" s="82"/>
      <c r="K1079" s="82"/>
      <c r="L1079" s="82"/>
      <c r="M1079" s="82"/>
      <c r="N1079" s="82"/>
      <c r="O1079" s="82"/>
      <c r="P1079" s="82"/>
      <c r="Q1079" s="82"/>
      <c r="R1079" s="82"/>
      <c r="S1079" s="82"/>
      <c r="T1079" s="82"/>
      <c r="U1079" s="82"/>
      <c r="V1079" s="82"/>
      <c r="W1079" s="82"/>
      <c r="X1079" s="82"/>
      <c r="Y1079" s="82"/>
      <c r="Z1079" s="82"/>
      <c r="AA1079" s="82"/>
      <c r="AB1079" s="82"/>
      <c r="AC1079" s="82"/>
      <c r="AD1079" s="82"/>
      <c r="AE1079" s="82"/>
      <c r="AF1079" s="82"/>
      <c r="AG1079" s="82"/>
      <c r="AH1079" s="82"/>
      <c r="AI1079" s="82"/>
      <c r="AJ1079" s="82"/>
      <c r="AK1079" s="82"/>
      <c r="AL1079" s="82"/>
      <c r="AM1079" s="82"/>
      <c r="AN1079" s="82">
        <f>IFERROR(__xludf.DUMMYFUNCTION("""COMPUTED_VALUE"""),0.0)</f>
        <v>0</v>
      </c>
      <c r="AO1079" s="82">
        <f>IFERROR(__xludf.DUMMYFUNCTION("""COMPUTED_VALUE"""),0.0)</f>
        <v>0</v>
      </c>
      <c r="AP1079" s="82">
        <f>IFERROR(__xludf.DUMMYFUNCTION("""COMPUTED_VALUE"""),0.0)</f>
        <v>0</v>
      </c>
      <c r="AQ1079" s="82">
        <f>IFERROR(__xludf.DUMMYFUNCTION("""COMPUTED_VALUE"""),0.0)</f>
        <v>0</v>
      </c>
      <c r="AR1079" s="82">
        <f>IFERROR(__xludf.DUMMYFUNCTION("""COMPUTED_VALUE"""),0.0)</f>
        <v>0</v>
      </c>
      <c r="AS1079" s="82"/>
      <c r="AT1079" s="82">
        <f>IFERROR(__xludf.DUMMYFUNCTION("""COMPUTED_VALUE"""),0.0)</f>
        <v>0</v>
      </c>
      <c r="AU1079" s="82"/>
      <c r="AV1079" s="82"/>
      <c r="AW1079" s="82" t="str">
        <f t="shared" si="1"/>
        <v/>
      </c>
      <c r="AX1079" s="83" t="str">
        <f t="array" ref="AX1079">IFERROR(DGET('SBV Import'!A:G,"SBV",{"RSC ID","Tier";B1079,A1079}))</f>
        <v/>
      </c>
      <c r="AY1079" s="82" t="str">
        <f t="shared" si="2"/>
        <v/>
      </c>
      <c r="AZ1079" s="82"/>
      <c r="BA1079" s="84" t="s">
        <v>152</v>
      </c>
      <c r="BB1079" s="84" t="str">
        <f>IFERROR(__xludf.DUMMYFUNCTION("iferror(if(A1079="""",,E1079&gt;=FILTER(Constants!$F$2:$F$10,Constants!$A$2:$A$10=A1079)))"),"")</f>
        <v/>
      </c>
    </row>
    <row r="1080">
      <c r="A1080" s="89"/>
      <c r="B1080" s="87"/>
      <c r="C1080" s="73"/>
      <c r="D1080" s="73"/>
      <c r="E1080" s="82"/>
      <c r="F1080" s="82"/>
      <c r="G1080" s="86"/>
      <c r="H1080" s="86"/>
      <c r="I1080" s="86"/>
      <c r="J1080" s="82"/>
      <c r="K1080" s="82"/>
      <c r="L1080" s="82"/>
      <c r="M1080" s="82"/>
      <c r="N1080" s="82"/>
      <c r="O1080" s="82"/>
      <c r="P1080" s="82"/>
      <c r="Q1080" s="82"/>
      <c r="R1080" s="82"/>
      <c r="S1080" s="82"/>
      <c r="T1080" s="82"/>
      <c r="U1080" s="82"/>
      <c r="V1080" s="82"/>
      <c r="W1080" s="82"/>
      <c r="X1080" s="82"/>
      <c r="Y1080" s="82"/>
      <c r="Z1080" s="82"/>
      <c r="AA1080" s="82"/>
      <c r="AB1080" s="82"/>
      <c r="AC1080" s="82"/>
      <c r="AD1080" s="82"/>
      <c r="AE1080" s="82"/>
      <c r="AF1080" s="82"/>
      <c r="AG1080" s="82"/>
      <c r="AH1080" s="82"/>
      <c r="AI1080" s="82"/>
      <c r="AJ1080" s="82"/>
      <c r="AK1080" s="82"/>
      <c r="AL1080" s="82"/>
      <c r="AM1080" s="82"/>
      <c r="AN1080" s="82">
        <f>IFERROR(__xludf.DUMMYFUNCTION("""COMPUTED_VALUE"""),0.0)</f>
        <v>0</v>
      </c>
      <c r="AO1080" s="82">
        <f>IFERROR(__xludf.DUMMYFUNCTION("""COMPUTED_VALUE"""),0.0)</f>
        <v>0</v>
      </c>
      <c r="AP1080" s="82">
        <f>IFERROR(__xludf.DUMMYFUNCTION("""COMPUTED_VALUE"""),0.0)</f>
        <v>0</v>
      </c>
      <c r="AQ1080" s="82">
        <f>IFERROR(__xludf.DUMMYFUNCTION("""COMPUTED_VALUE"""),0.0)</f>
        <v>0</v>
      </c>
      <c r="AR1080" s="82">
        <f>IFERROR(__xludf.DUMMYFUNCTION("""COMPUTED_VALUE"""),0.0)</f>
        <v>0</v>
      </c>
      <c r="AS1080" s="82"/>
      <c r="AT1080" s="82">
        <f>IFERROR(__xludf.DUMMYFUNCTION("""COMPUTED_VALUE"""),0.0)</f>
        <v>0</v>
      </c>
      <c r="AU1080" s="82"/>
      <c r="AV1080" s="82"/>
      <c r="AW1080" s="82" t="str">
        <f t="shared" si="1"/>
        <v/>
      </c>
      <c r="AX1080" s="83" t="str">
        <f t="array" ref="AX1080">IFERROR(DGET('SBV Import'!A:G,"SBV",{"RSC ID","Tier";B1080,A1080}))</f>
        <v/>
      </c>
      <c r="AY1080" s="82" t="str">
        <f t="shared" si="2"/>
        <v/>
      </c>
      <c r="AZ1080" s="82"/>
      <c r="BA1080" s="84" t="s">
        <v>152</v>
      </c>
      <c r="BB1080" s="84" t="str">
        <f>IFERROR(__xludf.DUMMYFUNCTION("iferror(if(A1080="""",,E1080&gt;=FILTER(Constants!$F$2:$F$10,Constants!$A$2:$A$10=A1080)))"),"")</f>
        <v/>
      </c>
    </row>
    <row r="1081">
      <c r="A1081" s="89"/>
      <c r="B1081" s="87"/>
      <c r="C1081" s="73"/>
      <c r="D1081" s="73"/>
      <c r="E1081" s="82"/>
      <c r="F1081" s="82"/>
      <c r="G1081" s="86"/>
      <c r="H1081" s="86"/>
      <c r="I1081" s="86"/>
      <c r="J1081" s="82"/>
      <c r="K1081" s="82"/>
      <c r="L1081" s="82"/>
      <c r="M1081" s="82"/>
      <c r="N1081" s="82"/>
      <c r="O1081" s="82"/>
      <c r="P1081" s="82"/>
      <c r="Q1081" s="82"/>
      <c r="R1081" s="82"/>
      <c r="S1081" s="82"/>
      <c r="T1081" s="82"/>
      <c r="U1081" s="82"/>
      <c r="V1081" s="82"/>
      <c r="W1081" s="82"/>
      <c r="X1081" s="82"/>
      <c r="Y1081" s="82"/>
      <c r="Z1081" s="82"/>
      <c r="AA1081" s="82"/>
      <c r="AB1081" s="82"/>
      <c r="AC1081" s="82"/>
      <c r="AD1081" s="82"/>
      <c r="AE1081" s="82"/>
      <c r="AF1081" s="82"/>
      <c r="AG1081" s="82"/>
      <c r="AH1081" s="82"/>
      <c r="AI1081" s="82"/>
      <c r="AJ1081" s="82"/>
      <c r="AK1081" s="82"/>
      <c r="AL1081" s="82"/>
      <c r="AM1081" s="82"/>
      <c r="AN1081" s="82">
        <f>IFERROR(__xludf.DUMMYFUNCTION("""COMPUTED_VALUE"""),0.0)</f>
        <v>0</v>
      </c>
      <c r="AO1081" s="82">
        <f>IFERROR(__xludf.DUMMYFUNCTION("""COMPUTED_VALUE"""),0.0)</f>
        <v>0</v>
      </c>
      <c r="AP1081" s="82">
        <f>IFERROR(__xludf.DUMMYFUNCTION("""COMPUTED_VALUE"""),0.0)</f>
        <v>0</v>
      </c>
      <c r="AQ1081" s="82">
        <f>IFERROR(__xludf.DUMMYFUNCTION("""COMPUTED_VALUE"""),0.0)</f>
        <v>0</v>
      </c>
      <c r="AR1081" s="82">
        <f>IFERROR(__xludf.DUMMYFUNCTION("""COMPUTED_VALUE"""),0.0)</f>
        <v>0</v>
      </c>
      <c r="AS1081" s="82"/>
      <c r="AT1081" s="82">
        <f>IFERROR(__xludf.DUMMYFUNCTION("""COMPUTED_VALUE"""),0.0)</f>
        <v>0</v>
      </c>
      <c r="AU1081" s="82"/>
      <c r="AV1081" s="82"/>
      <c r="AW1081" s="82" t="str">
        <f t="shared" si="1"/>
        <v/>
      </c>
      <c r="AX1081" s="83" t="str">
        <f t="array" ref="AX1081">IFERROR(DGET('SBV Import'!A:G,"SBV",{"RSC ID","Tier";B1081,A1081}))</f>
        <v/>
      </c>
      <c r="AY1081" s="82" t="str">
        <f t="shared" si="2"/>
        <v/>
      </c>
      <c r="AZ1081" s="82"/>
      <c r="BA1081" s="84" t="s">
        <v>152</v>
      </c>
      <c r="BB1081" s="84" t="str">
        <f>IFERROR(__xludf.DUMMYFUNCTION("iferror(if(A1081="""",,E1081&gt;=FILTER(Constants!$F$2:$F$10,Constants!$A$2:$A$10=A1081)))"),"")</f>
        <v/>
      </c>
    </row>
    <row r="1082">
      <c r="A1082" s="89"/>
      <c r="B1082" s="87"/>
      <c r="C1082" s="73"/>
      <c r="D1082" s="73"/>
      <c r="E1082" s="82"/>
      <c r="F1082" s="82"/>
      <c r="G1082" s="86"/>
      <c r="H1082" s="86"/>
      <c r="I1082" s="86"/>
      <c r="J1082" s="82"/>
      <c r="K1082" s="82"/>
      <c r="L1082" s="82"/>
      <c r="M1082" s="82"/>
      <c r="N1082" s="82"/>
      <c r="O1082" s="82"/>
      <c r="P1082" s="82"/>
      <c r="Q1082" s="82"/>
      <c r="R1082" s="82"/>
      <c r="S1082" s="82"/>
      <c r="T1082" s="82"/>
      <c r="U1082" s="82"/>
      <c r="V1082" s="82"/>
      <c r="W1082" s="82"/>
      <c r="X1082" s="82"/>
      <c r="Y1082" s="82"/>
      <c r="Z1082" s="82"/>
      <c r="AA1082" s="82"/>
      <c r="AB1082" s="82"/>
      <c r="AC1082" s="82"/>
      <c r="AD1082" s="82"/>
      <c r="AE1082" s="82"/>
      <c r="AF1082" s="82"/>
      <c r="AG1082" s="82"/>
      <c r="AH1082" s="82"/>
      <c r="AI1082" s="82"/>
      <c r="AJ1082" s="82"/>
      <c r="AK1082" s="82"/>
      <c r="AL1082" s="82"/>
      <c r="AM1082" s="82"/>
      <c r="AN1082" s="82">
        <f>IFERROR(__xludf.DUMMYFUNCTION("""COMPUTED_VALUE"""),0.0)</f>
        <v>0</v>
      </c>
      <c r="AO1082" s="82">
        <f>IFERROR(__xludf.DUMMYFUNCTION("""COMPUTED_VALUE"""),0.0)</f>
        <v>0</v>
      </c>
      <c r="AP1082" s="82">
        <f>IFERROR(__xludf.DUMMYFUNCTION("""COMPUTED_VALUE"""),0.0)</f>
        <v>0</v>
      </c>
      <c r="AQ1082" s="82">
        <f>IFERROR(__xludf.DUMMYFUNCTION("""COMPUTED_VALUE"""),0.0)</f>
        <v>0</v>
      </c>
      <c r="AR1082" s="82">
        <f>IFERROR(__xludf.DUMMYFUNCTION("""COMPUTED_VALUE"""),0.0)</f>
        <v>0</v>
      </c>
      <c r="AS1082" s="82"/>
      <c r="AT1082" s="82">
        <f>IFERROR(__xludf.DUMMYFUNCTION("""COMPUTED_VALUE"""),0.0)</f>
        <v>0</v>
      </c>
      <c r="AU1082" s="82"/>
      <c r="AV1082" s="82"/>
      <c r="AW1082" s="82" t="str">
        <f t="shared" si="1"/>
        <v/>
      </c>
      <c r="AX1082" s="83" t="str">
        <f t="array" ref="AX1082">IFERROR(DGET('SBV Import'!A:G,"SBV",{"RSC ID","Tier";B1082,A1082}))</f>
        <v/>
      </c>
      <c r="AY1082" s="82" t="str">
        <f t="shared" si="2"/>
        <v/>
      </c>
      <c r="AZ1082" s="82"/>
      <c r="BA1082" s="84" t="s">
        <v>152</v>
      </c>
      <c r="BB1082" s="84" t="str">
        <f>IFERROR(__xludf.DUMMYFUNCTION("iferror(if(A1082="""",,E1082&gt;=FILTER(Constants!$F$2:$F$10,Constants!$A$2:$A$10=A1082)))"),"")</f>
        <v/>
      </c>
    </row>
    <row r="1083">
      <c r="A1083" s="89"/>
      <c r="B1083" s="87"/>
      <c r="C1083" s="73"/>
      <c r="D1083" s="73"/>
      <c r="E1083" s="82"/>
      <c r="F1083" s="82"/>
      <c r="G1083" s="86"/>
      <c r="H1083" s="86"/>
      <c r="I1083" s="86"/>
      <c r="J1083" s="82"/>
      <c r="K1083" s="82"/>
      <c r="L1083" s="82"/>
      <c r="M1083" s="82"/>
      <c r="N1083" s="82"/>
      <c r="O1083" s="82"/>
      <c r="P1083" s="82"/>
      <c r="Q1083" s="82"/>
      <c r="R1083" s="82"/>
      <c r="S1083" s="82"/>
      <c r="T1083" s="82"/>
      <c r="U1083" s="82"/>
      <c r="V1083" s="82"/>
      <c r="W1083" s="82"/>
      <c r="X1083" s="82"/>
      <c r="Y1083" s="82"/>
      <c r="Z1083" s="82"/>
      <c r="AA1083" s="82"/>
      <c r="AB1083" s="82"/>
      <c r="AC1083" s="82"/>
      <c r="AD1083" s="82"/>
      <c r="AE1083" s="82"/>
      <c r="AF1083" s="82"/>
      <c r="AG1083" s="82"/>
      <c r="AH1083" s="82"/>
      <c r="AI1083" s="82"/>
      <c r="AJ1083" s="82"/>
      <c r="AK1083" s="82"/>
      <c r="AL1083" s="82"/>
      <c r="AM1083" s="82"/>
      <c r="AN1083" s="82">
        <f>IFERROR(__xludf.DUMMYFUNCTION("""COMPUTED_VALUE"""),0.0)</f>
        <v>0</v>
      </c>
      <c r="AO1083" s="82">
        <f>IFERROR(__xludf.DUMMYFUNCTION("""COMPUTED_VALUE"""),0.0)</f>
        <v>0</v>
      </c>
      <c r="AP1083" s="82">
        <f>IFERROR(__xludf.DUMMYFUNCTION("""COMPUTED_VALUE"""),0.0)</f>
        <v>0</v>
      </c>
      <c r="AQ1083" s="82">
        <f>IFERROR(__xludf.DUMMYFUNCTION("""COMPUTED_VALUE"""),0.0)</f>
        <v>0</v>
      </c>
      <c r="AR1083" s="82">
        <f>IFERROR(__xludf.DUMMYFUNCTION("""COMPUTED_VALUE"""),0.0)</f>
        <v>0</v>
      </c>
      <c r="AS1083" s="82"/>
      <c r="AT1083" s="82">
        <f>IFERROR(__xludf.DUMMYFUNCTION("""COMPUTED_VALUE"""),0.0)</f>
        <v>0</v>
      </c>
      <c r="AU1083" s="82"/>
      <c r="AV1083" s="82"/>
      <c r="AW1083" s="82" t="str">
        <f t="shared" si="1"/>
        <v/>
      </c>
      <c r="AX1083" s="83" t="str">
        <f t="array" ref="AX1083">IFERROR(DGET('SBV Import'!A:G,"SBV",{"RSC ID","Tier";B1083,A1083}))</f>
        <v/>
      </c>
      <c r="AY1083" s="82" t="str">
        <f t="shared" si="2"/>
        <v/>
      </c>
      <c r="AZ1083" s="82"/>
      <c r="BA1083" s="84" t="s">
        <v>152</v>
      </c>
      <c r="BB1083" s="84" t="str">
        <f>IFERROR(__xludf.DUMMYFUNCTION("iferror(if(A1083="""",,E1083&gt;=FILTER(Constants!$F$2:$F$10,Constants!$A$2:$A$10=A1083)))"),"")</f>
        <v/>
      </c>
    </row>
    <row r="1084">
      <c r="A1084" s="89"/>
      <c r="B1084" s="87"/>
      <c r="C1084" s="73"/>
      <c r="D1084" s="73"/>
      <c r="E1084" s="82"/>
      <c r="F1084" s="82"/>
      <c r="G1084" s="86"/>
      <c r="H1084" s="86"/>
      <c r="I1084" s="86"/>
      <c r="J1084" s="82"/>
      <c r="K1084" s="82"/>
      <c r="L1084" s="82"/>
      <c r="M1084" s="82"/>
      <c r="N1084" s="82"/>
      <c r="O1084" s="82"/>
      <c r="P1084" s="82"/>
      <c r="Q1084" s="82"/>
      <c r="R1084" s="82"/>
      <c r="S1084" s="82"/>
      <c r="T1084" s="82"/>
      <c r="U1084" s="82"/>
      <c r="V1084" s="82"/>
      <c r="W1084" s="82"/>
      <c r="X1084" s="82"/>
      <c r="Y1084" s="82"/>
      <c r="Z1084" s="82"/>
      <c r="AA1084" s="82"/>
      <c r="AB1084" s="82"/>
      <c r="AC1084" s="82"/>
      <c r="AD1084" s="82"/>
      <c r="AE1084" s="82"/>
      <c r="AF1084" s="82"/>
      <c r="AG1084" s="82"/>
      <c r="AH1084" s="82"/>
      <c r="AI1084" s="82"/>
      <c r="AJ1084" s="82"/>
      <c r="AK1084" s="82"/>
      <c r="AL1084" s="82"/>
      <c r="AM1084" s="82"/>
      <c r="AN1084" s="82">
        <f>IFERROR(__xludf.DUMMYFUNCTION("""COMPUTED_VALUE"""),0.0)</f>
        <v>0</v>
      </c>
      <c r="AO1084" s="82">
        <f>IFERROR(__xludf.DUMMYFUNCTION("""COMPUTED_VALUE"""),0.0)</f>
        <v>0</v>
      </c>
      <c r="AP1084" s="82">
        <f>IFERROR(__xludf.DUMMYFUNCTION("""COMPUTED_VALUE"""),0.0)</f>
        <v>0</v>
      </c>
      <c r="AQ1084" s="82">
        <f>IFERROR(__xludf.DUMMYFUNCTION("""COMPUTED_VALUE"""),0.0)</f>
        <v>0</v>
      </c>
      <c r="AR1084" s="82">
        <f>IFERROR(__xludf.DUMMYFUNCTION("""COMPUTED_VALUE"""),0.0)</f>
        <v>0</v>
      </c>
      <c r="AS1084" s="82"/>
      <c r="AT1084" s="82">
        <f>IFERROR(__xludf.DUMMYFUNCTION("""COMPUTED_VALUE"""),0.0)</f>
        <v>0</v>
      </c>
      <c r="AU1084" s="82"/>
      <c r="AV1084" s="82"/>
      <c r="AW1084" s="82" t="str">
        <f t="shared" si="1"/>
        <v/>
      </c>
      <c r="AX1084" s="83" t="str">
        <f t="array" ref="AX1084">IFERROR(DGET('SBV Import'!A:G,"SBV",{"RSC ID","Tier";B1084,A1084}))</f>
        <v/>
      </c>
      <c r="AY1084" s="82" t="str">
        <f t="shared" si="2"/>
        <v/>
      </c>
      <c r="AZ1084" s="82"/>
      <c r="BA1084" s="84" t="s">
        <v>152</v>
      </c>
      <c r="BB1084" s="84" t="str">
        <f>IFERROR(__xludf.DUMMYFUNCTION("iferror(if(A1084="""",,E1084&gt;=FILTER(Constants!$F$2:$F$10,Constants!$A$2:$A$10=A1084)))"),"")</f>
        <v/>
      </c>
    </row>
    <row r="1085">
      <c r="A1085" s="89"/>
      <c r="B1085" s="87"/>
      <c r="C1085" s="73"/>
      <c r="D1085" s="73"/>
      <c r="E1085" s="82"/>
      <c r="F1085" s="82"/>
      <c r="G1085" s="86"/>
      <c r="H1085" s="86"/>
      <c r="I1085" s="86"/>
      <c r="J1085" s="82"/>
      <c r="K1085" s="82"/>
      <c r="L1085" s="82"/>
      <c r="M1085" s="82"/>
      <c r="N1085" s="82"/>
      <c r="O1085" s="82"/>
      <c r="P1085" s="82"/>
      <c r="Q1085" s="82"/>
      <c r="R1085" s="82"/>
      <c r="S1085" s="82"/>
      <c r="T1085" s="82"/>
      <c r="U1085" s="82"/>
      <c r="V1085" s="82"/>
      <c r="W1085" s="82"/>
      <c r="X1085" s="82"/>
      <c r="Y1085" s="82"/>
      <c r="Z1085" s="82"/>
      <c r="AA1085" s="82"/>
      <c r="AB1085" s="82"/>
      <c r="AC1085" s="82"/>
      <c r="AD1085" s="82"/>
      <c r="AE1085" s="82"/>
      <c r="AF1085" s="82"/>
      <c r="AG1085" s="82"/>
      <c r="AH1085" s="82"/>
      <c r="AI1085" s="82"/>
      <c r="AJ1085" s="82"/>
      <c r="AK1085" s="82"/>
      <c r="AL1085" s="82"/>
      <c r="AM1085" s="82"/>
      <c r="AN1085" s="82">
        <f>IFERROR(__xludf.DUMMYFUNCTION("""COMPUTED_VALUE"""),0.0)</f>
        <v>0</v>
      </c>
      <c r="AO1085" s="82">
        <f>IFERROR(__xludf.DUMMYFUNCTION("""COMPUTED_VALUE"""),0.0)</f>
        <v>0</v>
      </c>
      <c r="AP1085" s="82">
        <f>IFERROR(__xludf.DUMMYFUNCTION("""COMPUTED_VALUE"""),0.0)</f>
        <v>0</v>
      </c>
      <c r="AQ1085" s="82">
        <f>IFERROR(__xludf.DUMMYFUNCTION("""COMPUTED_VALUE"""),0.0)</f>
        <v>0</v>
      </c>
      <c r="AR1085" s="82">
        <f>IFERROR(__xludf.DUMMYFUNCTION("""COMPUTED_VALUE"""),0.0)</f>
        <v>0</v>
      </c>
      <c r="AS1085" s="82"/>
      <c r="AT1085" s="82">
        <f>IFERROR(__xludf.DUMMYFUNCTION("""COMPUTED_VALUE"""),0.0)</f>
        <v>0</v>
      </c>
      <c r="AU1085" s="82"/>
      <c r="AV1085" s="82"/>
      <c r="AW1085" s="82" t="str">
        <f t="shared" si="1"/>
        <v/>
      </c>
      <c r="AX1085" s="83" t="str">
        <f t="array" ref="AX1085">IFERROR(DGET('SBV Import'!A:G,"SBV",{"RSC ID","Tier";B1085,A1085}))</f>
        <v/>
      </c>
      <c r="AY1085" s="82" t="str">
        <f t="shared" si="2"/>
        <v/>
      </c>
      <c r="AZ1085" s="82"/>
      <c r="BA1085" s="84" t="s">
        <v>152</v>
      </c>
      <c r="BB1085" s="84" t="str">
        <f>IFERROR(__xludf.DUMMYFUNCTION("iferror(if(A1085="""",,E1085&gt;=FILTER(Constants!$F$2:$F$10,Constants!$A$2:$A$10=A1085)))"),"")</f>
        <v/>
      </c>
    </row>
    <row r="1086">
      <c r="A1086" s="89"/>
      <c r="B1086" s="87"/>
      <c r="C1086" s="73"/>
      <c r="D1086" s="73"/>
      <c r="E1086" s="82"/>
      <c r="F1086" s="82"/>
      <c r="G1086" s="86"/>
      <c r="H1086" s="86"/>
      <c r="I1086" s="86"/>
      <c r="J1086" s="82"/>
      <c r="K1086" s="82"/>
      <c r="L1086" s="82"/>
      <c r="M1086" s="82"/>
      <c r="N1086" s="82"/>
      <c r="O1086" s="82"/>
      <c r="P1086" s="82"/>
      <c r="Q1086" s="82"/>
      <c r="R1086" s="82"/>
      <c r="S1086" s="82"/>
      <c r="T1086" s="82"/>
      <c r="U1086" s="82"/>
      <c r="V1086" s="82"/>
      <c r="W1086" s="82"/>
      <c r="X1086" s="82"/>
      <c r="Y1086" s="82"/>
      <c r="Z1086" s="82"/>
      <c r="AA1086" s="82"/>
      <c r="AB1086" s="82"/>
      <c r="AC1086" s="82"/>
      <c r="AD1086" s="82"/>
      <c r="AE1086" s="82"/>
      <c r="AF1086" s="82"/>
      <c r="AG1086" s="82"/>
      <c r="AH1086" s="82"/>
      <c r="AI1086" s="82"/>
      <c r="AJ1086" s="82"/>
      <c r="AK1086" s="82"/>
      <c r="AL1086" s="82"/>
      <c r="AM1086" s="82"/>
      <c r="AN1086" s="82">
        <f>IFERROR(__xludf.DUMMYFUNCTION("""COMPUTED_VALUE"""),0.0)</f>
        <v>0</v>
      </c>
      <c r="AO1086" s="82">
        <f>IFERROR(__xludf.DUMMYFUNCTION("""COMPUTED_VALUE"""),0.0)</f>
        <v>0</v>
      </c>
      <c r="AP1086" s="82">
        <f>IFERROR(__xludf.DUMMYFUNCTION("""COMPUTED_VALUE"""),0.0)</f>
        <v>0</v>
      </c>
      <c r="AQ1086" s="82">
        <f>IFERROR(__xludf.DUMMYFUNCTION("""COMPUTED_VALUE"""),0.0)</f>
        <v>0</v>
      </c>
      <c r="AR1086" s="82">
        <f>IFERROR(__xludf.DUMMYFUNCTION("""COMPUTED_VALUE"""),0.0)</f>
        <v>0</v>
      </c>
      <c r="AS1086" s="82"/>
      <c r="AT1086" s="82">
        <f>IFERROR(__xludf.DUMMYFUNCTION("""COMPUTED_VALUE"""),0.0)</f>
        <v>0</v>
      </c>
      <c r="AU1086" s="82"/>
      <c r="AV1086" s="82"/>
      <c r="AW1086" s="82" t="str">
        <f t="shared" si="1"/>
        <v/>
      </c>
      <c r="AX1086" s="83" t="str">
        <f t="array" ref="AX1086">IFERROR(DGET('SBV Import'!A:G,"SBV",{"RSC ID","Tier";B1086,A1086}))</f>
        <v/>
      </c>
      <c r="AY1086" s="82" t="str">
        <f t="shared" si="2"/>
        <v/>
      </c>
      <c r="AZ1086" s="82"/>
      <c r="BA1086" s="84" t="s">
        <v>152</v>
      </c>
      <c r="BB1086" s="84" t="str">
        <f>IFERROR(__xludf.DUMMYFUNCTION("iferror(if(A1086="""",,E1086&gt;=FILTER(Constants!$F$2:$F$10,Constants!$A$2:$A$10=A1086)))"),"")</f>
        <v/>
      </c>
    </row>
    <row r="1087">
      <c r="A1087" s="89"/>
      <c r="B1087" s="87"/>
      <c r="C1087" s="73"/>
      <c r="D1087" s="73"/>
      <c r="E1087" s="82"/>
      <c r="F1087" s="82"/>
      <c r="G1087" s="86"/>
      <c r="H1087" s="86"/>
      <c r="I1087" s="86"/>
      <c r="J1087" s="82"/>
      <c r="K1087" s="82"/>
      <c r="L1087" s="82"/>
      <c r="M1087" s="82"/>
      <c r="N1087" s="82"/>
      <c r="O1087" s="82"/>
      <c r="P1087" s="82"/>
      <c r="Q1087" s="82"/>
      <c r="R1087" s="82"/>
      <c r="S1087" s="82"/>
      <c r="T1087" s="82"/>
      <c r="U1087" s="82"/>
      <c r="V1087" s="82"/>
      <c r="W1087" s="82"/>
      <c r="X1087" s="82"/>
      <c r="Y1087" s="82"/>
      <c r="Z1087" s="82"/>
      <c r="AA1087" s="82"/>
      <c r="AB1087" s="82"/>
      <c r="AC1087" s="82"/>
      <c r="AD1087" s="82"/>
      <c r="AE1087" s="82"/>
      <c r="AF1087" s="82"/>
      <c r="AG1087" s="82"/>
      <c r="AH1087" s="82"/>
      <c r="AI1087" s="82"/>
      <c r="AJ1087" s="82"/>
      <c r="AK1087" s="82"/>
      <c r="AL1087" s="82"/>
      <c r="AM1087" s="82"/>
      <c r="AN1087" s="82">
        <f>IFERROR(__xludf.DUMMYFUNCTION("""COMPUTED_VALUE"""),0.0)</f>
        <v>0</v>
      </c>
      <c r="AO1087" s="82">
        <f>IFERROR(__xludf.DUMMYFUNCTION("""COMPUTED_VALUE"""),0.0)</f>
        <v>0</v>
      </c>
      <c r="AP1087" s="82">
        <f>IFERROR(__xludf.DUMMYFUNCTION("""COMPUTED_VALUE"""),0.0)</f>
        <v>0</v>
      </c>
      <c r="AQ1087" s="82">
        <f>IFERROR(__xludf.DUMMYFUNCTION("""COMPUTED_VALUE"""),0.0)</f>
        <v>0</v>
      </c>
      <c r="AR1087" s="82">
        <f>IFERROR(__xludf.DUMMYFUNCTION("""COMPUTED_VALUE"""),0.0)</f>
        <v>0</v>
      </c>
      <c r="AS1087" s="82"/>
      <c r="AT1087" s="82">
        <f>IFERROR(__xludf.DUMMYFUNCTION("""COMPUTED_VALUE"""),0.0)</f>
        <v>0</v>
      </c>
      <c r="AU1087" s="82"/>
      <c r="AV1087" s="82"/>
      <c r="AW1087" s="82" t="str">
        <f t="shared" si="1"/>
        <v/>
      </c>
      <c r="AX1087" s="83" t="str">
        <f t="array" ref="AX1087">IFERROR(DGET('SBV Import'!A:G,"SBV",{"RSC ID","Tier";B1087,A1087}))</f>
        <v/>
      </c>
      <c r="AY1087" s="82" t="str">
        <f t="shared" si="2"/>
        <v/>
      </c>
      <c r="AZ1087" s="82"/>
      <c r="BA1087" s="84" t="s">
        <v>152</v>
      </c>
      <c r="BB1087" s="84" t="str">
        <f>IFERROR(__xludf.DUMMYFUNCTION("iferror(if(A1087="""",,E1087&gt;=FILTER(Constants!$F$2:$F$10,Constants!$A$2:$A$10=A1087)))"),"")</f>
        <v/>
      </c>
    </row>
    <row r="1088">
      <c r="A1088" s="89"/>
      <c r="B1088" s="87"/>
      <c r="C1088" s="73"/>
      <c r="D1088" s="73"/>
      <c r="E1088" s="82"/>
      <c r="F1088" s="82"/>
      <c r="G1088" s="86"/>
      <c r="H1088" s="86"/>
      <c r="I1088" s="86"/>
      <c r="J1088" s="82"/>
      <c r="K1088" s="82"/>
      <c r="L1088" s="82"/>
      <c r="M1088" s="82"/>
      <c r="N1088" s="82"/>
      <c r="O1088" s="82"/>
      <c r="P1088" s="82"/>
      <c r="Q1088" s="82"/>
      <c r="R1088" s="82"/>
      <c r="S1088" s="82"/>
      <c r="T1088" s="82"/>
      <c r="U1088" s="82"/>
      <c r="V1088" s="82"/>
      <c r="W1088" s="82"/>
      <c r="X1088" s="82"/>
      <c r="Y1088" s="82"/>
      <c r="Z1088" s="82"/>
      <c r="AA1088" s="82"/>
      <c r="AB1088" s="82"/>
      <c r="AC1088" s="82"/>
      <c r="AD1088" s="82"/>
      <c r="AE1088" s="82"/>
      <c r="AF1088" s="82"/>
      <c r="AG1088" s="82"/>
      <c r="AH1088" s="82"/>
      <c r="AI1088" s="82"/>
      <c r="AJ1088" s="82"/>
      <c r="AK1088" s="82"/>
      <c r="AL1088" s="82"/>
      <c r="AM1088" s="82"/>
      <c r="AN1088" s="82">
        <f>IFERROR(__xludf.DUMMYFUNCTION("""COMPUTED_VALUE"""),0.0)</f>
        <v>0</v>
      </c>
      <c r="AO1088" s="82">
        <f>IFERROR(__xludf.DUMMYFUNCTION("""COMPUTED_VALUE"""),0.0)</f>
        <v>0</v>
      </c>
      <c r="AP1088" s="82">
        <f>IFERROR(__xludf.DUMMYFUNCTION("""COMPUTED_VALUE"""),0.0)</f>
        <v>0</v>
      </c>
      <c r="AQ1088" s="82">
        <f>IFERROR(__xludf.DUMMYFUNCTION("""COMPUTED_VALUE"""),0.0)</f>
        <v>0</v>
      </c>
      <c r="AR1088" s="82">
        <f>IFERROR(__xludf.DUMMYFUNCTION("""COMPUTED_VALUE"""),0.0)</f>
        <v>0</v>
      </c>
      <c r="AS1088" s="82"/>
      <c r="AT1088" s="82">
        <f>IFERROR(__xludf.DUMMYFUNCTION("""COMPUTED_VALUE"""),0.0)</f>
        <v>0</v>
      </c>
      <c r="AU1088" s="82"/>
      <c r="AV1088" s="82"/>
      <c r="AW1088" s="82" t="str">
        <f t="shared" si="1"/>
        <v/>
      </c>
      <c r="AX1088" s="83" t="str">
        <f t="array" ref="AX1088">IFERROR(DGET('SBV Import'!A:G,"SBV",{"RSC ID","Tier";B1088,A1088}))</f>
        <v/>
      </c>
      <c r="AY1088" s="82" t="str">
        <f t="shared" si="2"/>
        <v/>
      </c>
      <c r="AZ1088" s="82"/>
      <c r="BA1088" s="84" t="s">
        <v>152</v>
      </c>
      <c r="BB1088" s="84" t="str">
        <f>IFERROR(__xludf.DUMMYFUNCTION("iferror(if(A1088="""",,E1088&gt;=FILTER(Constants!$F$2:$F$10,Constants!$A$2:$A$10=A1088)))"),"")</f>
        <v/>
      </c>
    </row>
    <row r="1089">
      <c r="A1089" s="89"/>
      <c r="B1089" s="87"/>
      <c r="C1089" s="73"/>
      <c r="D1089" s="73"/>
      <c r="E1089" s="82"/>
      <c r="F1089" s="82"/>
      <c r="G1089" s="86"/>
      <c r="H1089" s="86"/>
      <c r="I1089" s="86"/>
      <c r="J1089" s="82"/>
      <c r="K1089" s="82"/>
      <c r="L1089" s="82"/>
      <c r="M1089" s="82"/>
      <c r="N1089" s="82"/>
      <c r="O1089" s="82"/>
      <c r="P1089" s="82"/>
      <c r="Q1089" s="82"/>
      <c r="R1089" s="82"/>
      <c r="S1089" s="82"/>
      <c r="T1089" s="82"/>
      <c r="U1089" s="82"/>
      <c r="V1089" s="82"/>
      <c r="W1089" s="82"/>
      <c r="X1089" s="82"/>
      <c r="Y1089" s="82"/>
      <c r="Z1089" s="82"/>
      <c r="AA1089" s="82"/>
      <c r="AB1089" s="82"/>
      <c r="AC1089" s="82"/>
      <c r="AD1089" s="82"/>
      <c r="AE1089" s="82"/>
      <c r="AF1089" s="82"/>
      <c r="AG1089" s="82"/>
      <c r="AH1089" s="82"/>
      <c r="AI1089" s="82"/>
      <c r="AJ1089" s="82"/>
      <c r="AK1089" s="82"/>
      <c r="AL1089" s="82"/>
      <c r="AM1089" s="82"/>
      <c r="AN1089" s="82">
        <f>IFERROR(__xludf.DUMMYFUNCTION("""COMPUTED_VALUE"""),0.0)</f>
        <v>0</v>
      </c>
      <c r="AO1089" s="82">
        <f>IFERROR(__xludf.DUMMYFUNCTION("""COMPUTED_VALUE"""),0.0)</f>
        <v>0</v>
      </c>
      <c r="AP1089" s="82">
        <f>IFERROR(__xludf.DUMMYFUNCTION("""COMPUTED_VALUE"""),0.0)</f>
        <v>0</v>
      </c>
      <c r="AQ1089" s="82">
        <f>IFERROR(__xludf.DUMMYFUNCTION("""COMPUTED_VALUE"""),0.0)</f>
        <v>0</v>
      </c>
      <c r="AR1089" s="82">
        <f>IFERROR(__xludf.DUMMYFUNCTION("""COMPUTED_VALUE"""),0.0)</f>
        <v>0</v>
      </c>
      <c r="AS1089" s="82"/>
      <c r="AT1089" s="82">
        <f>IFERROR(__xludf.DUMMYFUNCTION("""COMPUTED_VALUE"""),0.0)</f>
        <v>0</v>
      </c>
      <c r="AU1089" s="82"/>
      <c r="AV1089" s="82"/>
      <c r="AW1089" s="82" t="str">
        <f t="shared" si="1"/>
        <v/>
      </c>
      <c r="AX1089" s="83" t="str">
        <f t="array" ref="AX1089">IFERROR(DGET('SBV Import'!A:G,"SBV",{"RSC ID","Tier";B1089,A1089}))</f>
        <v/>
      </c>
      <c r="AY1089" s="82" t="str">
        <f t="shared" si="2"/>
        <v/>
      </c>
      <c r="AZ1089" s="82"/>
      <c r="BA1089" s="84" t="s">
        <v>152</v>
      </c>
      <c r="BB1089" s="84" t="str">
        <f>IFERROR(__xludf.DUMMYFUNCTION("iferror(if(A1089="""",,E1089&gt;=FILTER(Constants!$F$2:$F$10,Constants!$A$2:$A$10=A1089)))"),"")</f>
        <v/>
      </c>
    </row>
    <row r="1090">
      <c r="A1090" s="89"/>
      <c r="B1090" s="87"/>
      <c r="C1090" s="73"/>
      <c r="D1090" s="73"/>
      <c r="E1090" s="82"/>
      <c r="F1090" s="82"/>
      <c r="G1090" s="86"/>
      <c r="H1090" s="86"/>
      <c r="I1090" s="86"/>
      <c r="J1090" s="82"/>
      <c r="K1090" s="82"/>
      <c r="L1090" s="82"/>
      <c r="M1090" s="82"/>
      <c r="N1090" s="82"/>
      <c r="O1090" s="82"/>
      <c r="P1090" s="82"/>
      <c r="Q1090" s="82"/>
      <c r="R1090" s="82"/>
      <c r="S1090" s="82"/>
      <c r="T1090" s="82"/>
      <c r="U1090" s="82"/>
      <c r="V1090" s="82"/>
      <c r="W1090" s="82"/>
      <c r="X1090" s="82"/>
      <c r="Y1090" s="82"/>
      <c r="Z1090" s="82"/>
      <c r="AA1090" s="82"/>
      <c r="AB1090" s="82"/>
      <c r="AC1090" s="82"/>
      <c r="AD1090" s="82"/>
      <c r="AE1090" s="82"/>
      <c r="AF1090" s="82"/>
      <c r="AG1090" s="82"/>
      <c r="AH1090" s="82"/>
      <c r="AI1090" s="82"/>
      <c r="AJ1090" s="82"/>
      <c r="AK1090" s="82"/>
      <c r="AL1090" s="82"/>
      <c r="AM1090" s="82"/>
      <c r="AN1090" s="82">
        <f>IFERROR(__xludf.DUMMYFUNCTION("""COMPUTED_VALUE"""),0.0)</f>
        <v>0</v>
      </c>
      <c r="AO1090" s="82">
        <f>IFERROR(__xludf.DUMMYFUNCTION("""COMPUTED_VALUE"""),0.0)</f>
        <v>0</v>
      </c>
      <c r="AP1090" s="82">
        <f>IFERROR(__xludf.DUMMYFUNCTION("""COMPUTED_VALUE"""),0.0)</f>
        <v>0</v>
      </c>
      <c r="AQ1090" s="82">
        <f>IFERROR(__xludf.DUMMYFUNCTION("""COMPUTED_VALUE"""),0.0)</f>
        <v>0</v>
      </c>
      <c r="AR1090" s="82">
        <f>IFERROR(__xludf.DUMMYFUNCTION("""COMPUTED_VALUE"""),0.0)</f>
        <v>0</v>
      </c>
      <c r="AS1090" s="82"/>
      <c r="AT1090" s="82">
        <f>IFERROR(__xludf.DUMMYFUNCTION("""COMPUTED_VALUE"""),0.0)</f>
        <v>0</v>
      </c>
      <c r="AU1090" s="82"/>
      <c r="AV1090" s="82"/>
      <c r="AW1090" s="82" t="str">
        <f t="shared" si="1"/>
        <v/>
      </c>
      <c r="AX1090" s="83" t="str">
        <f t="array" ref="AX1090">IFERROR(DGET('SBV Import'!A:G,"SBV",{"RSC ID","Tier";B1090,A1090}))</f>
        <v/>
      </c>
      <c r="AY1090" s="82" t="str">
        <f t="shared" si="2"/>
        <v/>
      </c>
      <c r="AZ1090" s="82"/>
      <c r="BA1090" s="84" t="s">
        <v>152</v>
      </c>
      <c r="BB1090" s="84" t="str">
        <f>IFERROR(__xludf.DUMMYFUNCTION("iferror(if(A1090="""",,E1090&gt;=FILTER(Constants!$F$2:$F$10,Constants!$A$2:$A$10=A1090)))"),"")</f>
        <v/>
      </c>
    </row>
    <row r="1091">
      <c r="A1091" s="89"/>
      <c r="B1091" s="87"/>
      <c r="C1091" s="73"/>
      <c r="D1091" s="73"/>
      <c r="E1091" s="82"/>
      <c r="F1091" s="82"/>
      <c r="G1091" s="86"/>
      <c r="H1091" s="86"/>
      <c r="I1091" s="86"/>
      <c r="J1091" s="82"/>
      <c r="K1091" s="82"/>
      <c r="L1091" s="82"/>
      <c r="M1091" s="82"/>
      <c r="N1091" s="82"/>
      <c r="O1091" s="82"/>
      <c r="P1091" s="82"/>
      <c r="Q1091" s="82"/>
      <c r="R1091" s="82"/>
      <c r="S1091" s="82"/>
      <c r="T1091" s="82"/>
      <c r="U1091" s="82"/>
      <c r="V1091" s="82"/>
      <c r="W1091" s="82"/>
      <c r="X1091" s="82"/>
      <c r="Y1091" s="82"/>
      <c r="Z1091" s="82"/>
      <c r="AA1091" s="82"/>
      <c r="AB1091" s="82"/>
      <c r="AC1091" s="82"/>
      <c r="AD1091" s="82"/>
      <c r="AE1091" s="82"/>
      <c r="AF1091" s="82"/>
      <c r="AG1091" s="82"/>
      <c r="AH1091" s="82"/>
      <c r="AI1091" s="82"/>
      <c r="AJ1091" s="82"/>
      <c r="AK1091" s="82"/>
      <c r="AL1091" s="82"/>
      <c r="AM1091" s="82"/>
      <c r="AN1091" s="82">
        <f>IFERROR(__xludf.DUMMYFUNCTION("""COMPUTED_VALUE"""),0.0)</f>
        <v>0</v>
      </c>
      <c r="AO1091" s="82">
        <f>IFERROR(__xludf.DUMMYFUNCTION("""COMPUTED_VALUE"""),0.0)</f>
        <v>0</v>
      </c>
      <c r="AP1091" s="82">
        <f>IFERROR(__xludf.DUMMYFUNCTION("""COMPUTED_VALUE"""),0.0)</f>
        <v>0</v>
      </c>
      <c r="AQ1091" s="82">
        <f>IFERROR(__xludf.DUMMYFUNCTION("""COMPUTED_VALUE"""),0.0)</f>
        <v>0</v>
      </c>
      <c r="AR1091" s="82">
        <f>IFERROR(__xludf.DUMMYFUNCTION("""COMPUTED_VALUE"""),0.0)</f>
        <v>0</v>
      </c>
      <c r="AS1091" s="82"/>
      <c r="AT1091" s="82">
        <f>IFERROR(__xludf.DUMMYFUNCTION("""COMPUTED_VALUE"""),0.0)</f>
        <v>0</v>
      </c>
      <c r="AU1091" s="82"/>
      <c r="AV1091" s="82"/>
      <c r="AW1091" s="82" t="str">
        <f t="shared" si="1"/>
        <v/>
      </c>
      <c r="AX1091" s="83" t="str">
        <f t="array" ref="AX1091">IFERROR(DGET('SBV Import'!A:G,"SBV",{"RSC ID","Tier";B1091,A1091}))</f>
        <v/>
      </c>
      <c r="AY1091" s="82" t="str">
        <f t="shared" si="2"/>
        <v/>
      </c>
      <c r="AZ1091" s="82"/>
      <c r="BA1091" s="84" t="s">
        <v>152</v>
      </c>
      <c r="BB1091" s="84" t="str">
        <f>IFERROR(__xludf.DUMMYFUNCTION("iferror(if(A1091="""",,E1091&gt;=FILTER(Constants!$F$2:$F$10,Constants!$A$2:$A$10=A1091)))"),"")</f>
        <v/>
      </c>
    </row>
    <row r="1092">
      <c r="A1092" s="89"/>
      <c r="B1092" s="87"/>
      <c r="C1092" s="73"/>
      <c r="D1092" s="73"/>
      <c r="E1092" s="82"/>
      <c r="F1092" s="82"/>
      <c r="G1092" s="86"/>
      <c r="H1092" s="86"/>
      <c r="I1092" s="86"/>
      <c r="J1092" s="82"/>
      <c r="K1092" s="82"/>
      <c r="L1092" s="82"/>
      <c r="M1092" s="82"/>
      <c r="N1092" s="82"/>
      <c r="O1092" s="82"/>
      <c r="P1092" s="82"/>
      <c r="Q1092" s="82"/>
      <c r="R1092" s="82"/>
      <c r="S1092" s="82"/>
      <c r="T1092" s="82"/>
      <c r="U1092" s="82"/>
      <c r="V1092" s="82"/>
      <c r="W1092" s="82"/>
      <c r="X1092" s="82"/>
      <c r="Y1092" s="82"/>
      <c r="Z1092" s="82"/>
      <c r="AA1092" s="82"/>
      <c r="AB1092" s="82"/>
      <c r="AC1092" s="82"/>
      <c r="AD1092" s="82"/>
      <c r="AE1092" s="82"/>
      <c r="AF1092" s="82"/>
      <c r="AG1092" s="82"/>
      <c r="AH1092" s="82"/>
      <c r="AI1092" s="82"/>
      <c r="AJ1092" s="82"/>
      <c r="AK1092" s="82"/>
      <c r="AL1092" s="82"/>
      <c r="AM1092" s="82"/>
      <c r="AN1092" s="82">
        <f>IFERROR(__xludf.DUMMYFUNCTION("""COMPUTED_VALUE"""),0.0)</f>
        <v>0</v>
      </c>
      <c r="AO1092" s="82">
        <f>IFERROR(__xludf.DUMMYFUNCTION("""COMPUTED_VALUE"""),0.0)</f>
        <v>0</v>
      </c>
      <c r="AP1092" s="82">
        <f>IFERROR(__xludf.DUMMYFUNCTION("""COMPUTED_VALUE"""),0.0)</f>
        <v>0</v>
      </c>
      <c r="AQ1092" s="82">
        <f>IFERROR(__xludf.DUMMYFUNCTION("""COMPUTED_VALUE"""),0.0)</f>
        <v>0</v>
      </c>
      <c r="AR1092" s="82">
        <f>IFERROR(__xludf.DUMMYFUNCTION("""COMPUTED_VALUE"""),0.0)</f>
        <v>0</v>
      </c>
      <c r="AS1092" s="82"/>
      <c r="AT1092" s="82">
        <f>IFERROR(__xludf.DUMMYFUNCTION("""COMPUTED_VALUE"""),0.0)</f>
        <v>0</v>
      </c>
      <c r="AU1092" s="82"/>
      <c r="AV1092" s="82"/>
      <c r="AW1092" s="82" t="str">
        <f t="shared" si="1"/>
        <v/>
      </c>
      <c r="AX1092" s="83" t="str">
        <f t="array" ref="AX1092">IFERROR(DGET('SBV Import'!A:G,"SBV",{"RSC ID","Tier";B1092,A1092}))</f>
        <v/>
      </c>
      <c r="AY1092" s="82" t="str">
        <f t="shared" si="2"/>
        <v/>
      </c>
      <c r="AZ1092" s="82"/>
      <c r="BA1092" s="84" t="s">
        <v>152</v>
      </c>
      <c r="BB1092" s="84" t="str">
        <f>IFERROR(__xludf.DUMMYFUNCTION("iferror(if(A1092="""",,E1092&gt;=FILTER(Constants!$F$2:$F$10,Constants!$A$2:$A$10=A1092)))"),"")</f>
        <v/>
      </c>
    </row>
    <row r="1093">
      <c r="A1093" s="89"/>
      <c r="B1093" s="87"/>
      <c r="C1093" s="73"/>
      <c r="D1093" s="73"/>
      <c r="E1093" s="82"/>
      <c r="F1093" s="82"/>
      <c r="G1093" s="86"/>
      <c r="H1093" s="86"/>
      <c r="I1093" s="86"/>
      <c r="J1093" s="82"/>
      <c r="K1093" s="82"/>
      <c r="L1093" s="82"/>
      <c r="M1093" s="82"/>
      <c r="N1093" s="82"/>
      <c r="O1093" s="82"/>
      <c r="P1093" s="82"/>
      <c r="Q1093" s="82"/>
      <c r="R1093" s="82"/>
      <c r="S1093" s="82"/>
      <c r="T1093" s="82"/>
      <c r="U1093" s="82"/>
      <c r="V1093" s="82"/>
      <c r="W1093" s="82"/>
      <c r="X1093" s="82"/>
      <c r="Y1093" s="82"/>
      <c r="Z1093" s="82"/>
      <c r="AA1093" s="82"/>
      <c r="AB1093" s="82"/>
      <c r="AC1093" s="82"/>
      <c r="AD1093" s="82"/>
      <c r="AE1093" s="82"/>
      <c r="AF1093" s="82"/>
      <c r="AG1093" s="82"/>
      <c r="AH1093" s="82"/>
      <c r="AI1093" s="82"/>
      <c r="AJ1093" s="82"/>
      <c r="AK1093" s="82"/>
      <c r="AL1093" s="82"/>
      <c r="AM1093" s="82"/>
      <c r="AN1093" s="82">
        <f>IFERROR(__xludf.DUMMYFUNCTION("""COMPUTED_VALUE"""),0.0)</f>
        <v>0</v>
      </c>
      <c r="AO1093" s="82">
        <f>IFERROR(__xludf.DUMMYFUNCTION("""COMPUTED_VALUE"""),0.0)</f>
        <v>0</v>
      </c>
      <c r="AP1093" s="82">
        <f>IFERROR(__xludf.DUMMYFUNCTION("""COMPUTED_VALUE"""),0.0)</f>
        <v>0</v>
      </c>
      <c r="AQ1093" s="82">
        <f>IFERROR(__xludf.DUMMYFUNCTION("""COMPUTED_VALUE"""),0.0)</f>
        <v>0</v>
      </c>
      <c r="AR1093" s="82">
        <f>IFERROR(__xludf.DUMMYFUNCTION("""COMPUTED_VALUE"""),0.0)</f>
        <v>0</v>
      </c>
      <c r="AS1093" s="82"/>
      <c r="AT1093" s="82">
        <f>IFERROR(__xludf.DUMMYFUNCTION("""COMPUTED_VALUE"""),0.0)</f>
        <v>0</v>
      </c>
      <c r="AU1093" s="82"/>
      <c r="AV1093" s="82"/>
      <c r="AW1093" s="82" t="str">
        <f t="shared" si="1"/>
        <v/>
      </c>
      <c r="AX1093" s="83" t="str">
        <f t="array" ref="AX1093">IFERROR(DGET('SBV Import'!A:G,"SBV",{"RSC ID","Tier";B1093,A1093}))</f>
        <v/>
      </c>
      <c r="AY1093" s="82" t="str">
        <f t="shared" si="2"/>
        <v/>
      </c>
      <c r="AZ1093" s="82"/>
      <c r="BA1093" s="84" t="s">
        <v>152</v>
      </c>
      <c r="BB1093" s="84" t="str">
        <f>IFERROR(__xludf.DUMMYFUNCTION("iferror(if(A1093="""",,E1093&gt;=FILTER(Constants!$F$2:$F$10,Constants!$A$2:$A$10=A1093)))"),"")</f>
        <v/>
      </c>
    </row>
    <row r="1094">
      <c r="A1094" s="89"/>
      <c r="B1094" s="87"/>
      <c r="C1094" s="73"/>
      <c r="D1094" s="73"/>
      <c r="E1094" s="82"/>
      <c r="F1094" s="82"/>
      <c r="G1094" s="86"/>
      <c r="H1094" s="86"/>
      <c r="I1094" s="86"/>
      <c r="J1094" s="82"/>
      <c r="K1094" s="82"/>
      <c r="L1094" s="82"/>
      <c r="M1094" s="82"/>
      <c r="N1094" s="82"/>
      <c r="O1094" s="82"/>
      <c r="P1094" s="82"/>
      <c r="Q1094" s="82"/>
      <c r="R1094" s="82"/>
      <c r="S1094" s="82"/>
      <c r="T1094" s="82"/>
      <c r="U1094" s="82"/>
      <c r="V1094" s="82"/>
      <c r="W1094" s="82"/>
      <c r="X1094" s="82"/>
      <c r="Y1094" s="82"/>
      <c r="Z1094" s="82"/>
      <c r="AA1094" s="82"/>
      <c r="AB1094" s="82"/>
      <c r="AC1094" s="82"/>
      <c r="AD1094" s="82"/>
      <c r="AE1094" s="82"/>
      <c r="AF1094" s="82"/>
      <c r="AG1094" s="82"/>
      <c r="AH1094" s="82"/>
      <c r="AI1094" s="82"/>
      <c r="AJ1094" s="82"/>
      <c r="AK1094" s="82"/>
      <c r="AL1094" s="82"/>
      <c r="AM1094" s="82"/>
      <c r="AN1094" s="82">
        <f>IFERROR(__xludf.DUMMYFUNCTION("""COMPUTED_VALUE"""),0.0)</f>
        <v>0</v>
      </c>
      <c r="AO1094" s="82">
        <f>IFERROR(__xludf.DUMMYFUNCTION("""COMPUTED_VALUE"""),0.0)</f>
        <v>0</v>
      </c>
      <c r="AP1094" s="82">
        <f>IFERROR(__xludf.DUMMYFUNCTION("""COMPUTED_VALUE"""),0.0)</f>
        <v>0</v>
      </c>
      <c r="AQ1094" s="82">
        <f>IFERROR(__xludf.DUMMYFUNCTION("""COMPUTED_VALUE"""),0.0)</f>
        <v>0</v>
      </c>
      <c r="AR1094" s="82">
        <f>IFERROR(__xludf.DUMMYFUNCTION("""COMPUTED_VALUE"""),0.0)</f>
        <v>0</v>
      </c>
      <c r="AS1094" s="82"/>
      <c r="AT1094" s="82">
        <f>IFERROR(__xludf.DUMMYFUNCTION("""COMPUTED_VALUE"""),0.0)</f>
        <v>0</v>
      </c>
      <c r="AU1094" s="82"/>
      <c r="AV1094" s="82"/>
      <c r="AW1094" s="82" t="str">
        <f t="shared" si="1"/>
        <v/>
      </c>
      <c r="AX1094" s="83" t="str">
        <f t="array" ref="AX1094">IFERROR(DGET('SBV Import'!A:G,"SBV",{"RSC ID","Tier";B1094,A1094}))</f>
        <v/>
      </c>
      <c r="AY1094" s="82" t="str">
        <f t="shared" si="2"/>
        <v/>
      </c>
      <c r="AZ1094" s="82"/>
      <c r="BA1094" s="84" t="s">
        <v>152</v>
      </c>
      <c r="BB1094" s="84" t="str">
        <f>IFERROR(__xludf.DUMMYFUNCTION("iferror(if(A1094="""",,E1094&gt;=FILTER(Constants!$F$2:$F$10,Constants!$A$2:$A$10=A1094)))"),"")</f>
        <v/>
      </c>
    </row>
    <row r="1095">
      <c r="A1095" s="89"/>
      <c r="B1095" s="87"/>
      <c r="C1095" s="73"/>
      <c r="D1095" s="73"/>
      <c r="E1095" s="82"/>
      <c r="F1095" s="82"/>
      <c r="G1095" s="86"/>
      <c r="H1095" s="86"/>
      <c r="I1095" s="86"/>
      <c r="J1095" s="82"/>
      <c r="K1095" s="82"/>
      <c r="L1095" s="82"/>
      <c r="M1095" s="82"/>
      <c r="N1095" s="82"/>
      <c r="O1095" s="82"/>
      <c r="P1095" s="82"/>
      <c r="Q1095" s="82"/>
      <c r="R1095" s="82"/>
      <c r="S1095" s="82"/>
      <c r="T1095" s="82"/>
      <c r="U1095" s="82"/>
      <c r="V1095" s="82"/>
      <c r="W1095" s="82"/>
      <c r="X1095" s="82"/>
      <c r="Y1095" s="82"/>
      <c r="Z1095" s="82"/>
      <c r="AA1095" s="82"/>
      <c r="AB1095" s="82"/>
      <c r="AC1095" s="82"/>
      <c r="AD1095" s="82"/>
      <c r="AE1095" s="82"/>
      <c r="AF1095" s="82"/>
      <c r="AG1095" s="82"/>
      <c r="AH1095" s="82"/>
      <c r="AI1095" s="82"/>
      <c r="AJ1095" s="82"/>
      <c r="AK1095" s="82"/>
      <c r="AL1095" s="82"/>
      <c r="AM1095" s="82"/>
      <c r="AN1095" s="82">
        <f>IFERROR(__xludf.DUMMYFUNCTION("""COMPUTED_VALUE"""),0.0)</f>
        <v>0</v>
      </c>
      <c r="AO1095" s="82">
        <f>IFERROR(__xludf.DUMMYFUNCTION("""COMPUTED_VALUE"""),0.0)</f>
        <v>0</v>
      </c>
      <c r="AP1095" s="82">
        <f>IFERROR(__xludf.DUMMYFUNCTION("""COMPUTED_VALUE"""),0.0)</f>
        <v>0</v>
      </c>
      <c r="AQ1095" s="82">
        <f>IFERROR(__xludf.DUMMYFUNCTION("""COMPUTED_VALUE"""),0.0)</f>
        <v>0</v>
      </c>
      <c r="AR1095" s="82">
        <f>IFERROR(__xludf.DUMMYFUNCTION("""COMPUTED_VALUE"""),0.0)</f>
        <v>0</v>
      </c>
      <c r="AS1095" s="82"/>
      <c r="AT1095" s="82">
        <f>IFERROR(__xludf.DUMMYFUNCTION("""COMPUTED_VALUE"""),0.0)</f>
        <v>0</v>
      </c>
      <c r="AU1095" s="82"/>
      <c r="AV1095" s="82"/>
      <c r="AW1095" s="82" t="str">
        <f t="shared" si="1"/>
        <v/>
      </c>
      <c r="AX1095" s="83" t="str">
        <f t="array" ref="AX1095">IFERROR(DGET('SBV Import'!A:G,"SBV",{"RSC ID","Tier";B1095,A1095}))</f>
        <v/>
      </c>
      <c r="AY1095" s="82" t="str">
        <f t="shared" si="2"/>
        <v/>
      </c>
      <c r="AZ1095" s="82"/>
      <c r="BA1095" s="84" t="s">
        <v>152</v>
      </c>
      <c r="BB1095" s="84" t="str">
        <f>IFERROR(__xludf.DUMMYFUNCTION("iferror(if(A1095="""",,E1095&gt;=FILTER(Constants!$F$2:$F$10,Constants!$A$2:$A$10=A1095)))"),"")</f>
        <v/>
      </c>
    </row>
    <row r="1096">
      <c r="A1096" s="89"/>
      <c r="B1096" s="87"/>
      <c r="C1096" s="73"/>
      <c r="D1096" s="73"/>
      <c r="E1096" s="82"/>
      <c r="F1096" s="82"/>
      <c r="G1096" s="86"/>
      <c r="H1096" s="86"/>
      <c r="I1096" s="86"/>
      <c r="J1096" s="82"/>
      <c r="K1096" s="82"/>
      <c r="L1096" s="82"/>
      <c r="M1096" s="82"/>
      <c r="N1096" s="82"/>
      <c r="O1096" s="82"/>
      <c r="P1096" s="82"/>
      <c r="Q1096" s="82"/>
      <c r="R1096" s="82"/>
      <c r="S1096" s="82"/>
      <c r="T1096" s="82"/>
      <c r="U1096" s="82"/>
      <c r="V1096" s="82"/>
      <c r="W1096" s="82"/>
      <c r="X1096" s="82"/>
      <c r="Y1096" s="82"/>
      <c r="Z1096" s="82"/>
      <c r="AA1096" s="82"/>
      <c r="AB1096" s="82"/>
      <c r="AC1096" s="82"/>
      <c r="AD1096" s="82"/>
      <c r="AE1096" s="82"/>
      <c r="AF1096" s="82"/>
      <c r="AG1096" s="82"/>
      <c r="AH1096" s="82"/>
      <c r="AI1096" s="82"/>
      <c r="AJ1096" s="82"/>
      <c r="AK1096" s="82"/>
      <c r="AL1096" s="82"/>
      <c r="AM1096" s="82"/>
      <c r="AN1096" s="82">
        <f>IFERROR(__xludf.DUMMYFUNCTION("""COMPUTED_VALUE"""),0.0)</f>
        <v>0</v>
      </c>
      <c r="AO1096" s="82">
        <f>IFERROR(__xludf.DUMMYFUNCTION("""COMPUTED_VALUE"""),0.0)</f>
        <v>0</v>
      </c>
      <c r="AP1096" s="82">
        <f>IFERROR(__xludf.DUMMYFUNCTION("""COMPUTED_VALUE"""),0.0)</f>
        <v>0</v>
      </c>
      <c r="AQ1096" s="82">
        <f>IFERROR(__xludf.DUMMYFUNCTION("""COMPUTED_VALUE"""),0.0)</f>
        <v>0</v>
      </c>
      <c r="AR1096" s="82">
        <f>IFERROR(__xludf.DUMMYFUNCTION("""COMPUTED_VALUE"""),0.0)</f>
        <v>0</v>
      </c>
      <c r="AS1096" s="82"/>
      <c r="AT1096" s="82">
        <f>IFERROR(__xludf.DUMMYFUNCTION("""COMPUTED_VALUE"""),0.0)</f>
        <v>0</v>
      </c>
      <c r="AU1096" s="82"/>
      <c r="AV1096" s="82"/>
      <c r="AW1096" s="82" t="str">
        <f t="shared" si="1"/>
        <v/>
      </c>
      <c r="AX1096" s="83" t="str">
        <f t="array" ref="AX1096">IFERROR(DGET('SBV Import'!A:G,"SBV",{"RSC ID","Tier";B1096,A1096}))</f>
        <v/>
      </c>
      <c r="AY1096" s="82" t="str">
        <f t="shared" si="2"/>
        <v/>
      </c>
      <c r="AZ1096" s="82"/>
      <c r="BA1096" s="84" t="s">
        <v>152</v>
      </c>
      <c r="BB1096" s="84" t="str">
        <f>IFERROR(__xludf.DUMMYFUNCTION("iferror(if(A1096="""",,E1096&gt;=FILTER(Constants!$F$2:$F$10,Constants!$A$2:$A$10=A1096)))"),"")</f>
        <v/>
      </c>
    </row>
    <row r="1097">
      <c r="A1097" s="89"/>
      <c r="B1097" s="87"/>
      <c r="C1097" s="73"/>
      <c r="D1097" s="73"/>
      <c r="E1097" s="82"/>
      <c r="F1097" s="82"/>
      <c r="G1097" s="86"/>
      <c r="H1097" s="86"/>
      <c r="I1097" s="86"/>
      <c r="J1097" s="82"/>
      <c r="K1097" s="82"/>
      <c r="L1097" s="82"/>
      <c r="M1097" s="82"/>
      <c r="N1097" s="82"/>
      <c r="O1097" s="82"/>
      <c r="P1097" s="82"/>
      <c r="Q1097" s="82"/>
      <c r="R1097" s="82"/>
      <c r="S1097" s="82"/>
      <c r="T1097" s="82"/>
      <c r="U1097" s="82"/>
      <c r="V1097" s="82"/>
      <c r="W1097" s="82"/>
      <c r="X1097" s="82"/>
      <c r="Y1097" s="82"/>
      <c r="Z1097" s="82"/>
      <c r="AA1097" s="82"/>
      <c r="AB1097" s="82"/>
      <c r="AC1097" s="82"/>
      <c r="AD1097" s="82"/>
      <c r="AE1097" s="82"/>
      <c r="AF1097" s="82"/>
      <c r="AG1097" s="82"/>
      <c r="AH1097" s="82"/>
      <c r="AI1097" s="82"/>
      <c r="AJ1097" s="82"/>
      <c r="AK1097" s="82"/>
      <c r="AL1097" s="82"/>
      <c r="AM1097" s="82"/>
      <c r="AN1097" s="82">
        <f>IFERROR(__xludf.DUMMYFUNCTION("""COMPUTED_VALUE"""),0.0)</f>
        <v>0</v>
      </c>
      <c r="AO1097" s="82">
        <f>IFERROR(__xludf.DUMMYFUNCTION("""COMPUTED_VALUE"""),0.0)</f>
        <v>0</v>
      </c>
      <c r="AP1097" s="82">
        <f>IFERROR(__xludf.DUMMYFUNCTION("""COMPUTED_VALUE"""),0.0)</f>
        <v>0</v>
      </c>
      <c r="AQ1097" s="82">
        <f>IFERROR(__xludf.DUMMYFUNCTION("""COMPUTED_VALUE"""),0.0)</f>
        <v>0</v>
      </c>
      <c r="AR1097" s="82">
        <f>IFERROR(__xludf.DUMMYFUNCTION("""COMPUTED_VALUE"""),0.0)</f>
        <v>0</v>
      </c>
      <c r="AS1097" s="82"/>
      <c r="AT1097" s="82">
        <f>IFERROR(__xludf.DUMMYFUNCTION("""COMPUTED_VALUE"""),0.0)</f>
        <v>0</v>
      </c>
      <c r="AU1097" s="82"/>
      <c r="AV1097" s="82"/>
      <c r="AW1097" s="82" t="str">
        <f t="shared" si="1"/>
        <v/>
      </c>
      <c r="AX1097" s="83" t="str">
        <f t="array" ref="AX1097">IFERROR(DGET('SBV Import'!A:G,"SBV",{"RSC ID","Tier";B1097,A1097}))</f>
        <v/>
      </c>
      <c r="AY1097" s="82" t="str">
        <f t="shared" si="2"/>
        <v/>
      </c>
      <c r="AZ1097" s="82"/>
      <c r="BA1097" s="84" t="s">
        <v>152</v>
      </c>
      <c r="BB1097" s="84" t="str">
        <f>IFERROR(__xludf.DUMMYFUNCTION("iferror(if(A1097="""",,E1097&gt;=FILTER(Constants!$F$2:$F$10,Constants!$A$2:$A$10=A1097)))"),"")</f>
        <v/>
      </c>
    </row>
    <row r="1098">
      <c r="A1098" s="89"/>
      <c r="B1098" s="87"/>
      <c r="C1098" s="73"/>
      <c r="D1098" s="73"/>
      <c r="E1098" s="82"/>
      <c r="F1098" s="82"/>
      <c r="G1098" s="86"/>
      <c r="H1098" s="86"/>
      <c r="I1098" s="86"/>
      <c r="J1098" s="82"/>
      <c r="K1098" s="82"/>
      <c r="L1098" s="82"/>
      <c r="M1098" s="82"/>
      <c r="N1098" s="82"/>
      <c r="O1098" s="82"/>
      <c r="P1098" s="82"/>
      <c r="Q1098" s="82"/>
      <c r="R1098" s="82"/>
      <c r="S1098" s="82"/>
      <c r="T1098" s="82"/>
      <c r="U1098" s="82"/>
      <c r="V1098" s="82"/>
      <c r="W1098" s="82"/>
      <c r="X1098" s="82"/>
      <c r="Y1098" s="82"/>
      <c r="Z1098" s="82"/>
      <c r="AA1098" s="82"/>
      <c r="AB1098" s="82"/>
      <c r="AC1098" s="82"/>
      <c r="AD1098" s="82"/>
      <c r="AE1098" s="82"/>
      <c r="AF1098" s="82"/>
      <c r="AG1098" s="82"/>
      <c r="AH1098" s="82"/>
      <c r="AI1098" s="82"/>
      <c r="AJ1098" s="82"/>
      <c r="AK1098" s="82"/>
      <c r="AL1098" s="82"/>
      <c r="AM1098" s="82"/>
      <c r="AN1098" s="82">
        <f>IFERROR(__xludf.DUMMYFUNCTION("""COMPUTED_VALUE"""),0.0)</f>
        <v>0</v>
      </c>
      <c r="AO1098" s="82">
        <f>IFERROR(__xludf.DUMMYFUNCTION("""COMPUTED_VALUE"""),0.0)</f>
        <v>0</v>
      </c>
      <c r="AP1098" s="82">
        <f>IFERROR(__xludf.DUMMYFUNCTION("""COMPUTED_VALUE"""),0.0)</f>
        <v>0</v>
      </c>
      <c r="AQ1098" s="82">
        <f>IFERROR(__xludf.DUMMYFUNCTION("""COMPUTED_VALUE"""),0.0)</f>
        <v>0</v>
      </c>
      <c r="AR1098" s="82">
        <f>IFERROR(__xludf.DUMMYFUNCTION("""COMPUTED_VALUE"""),0.0)</f>
        <v>0</v>
      </c>
      <c r="AS1098" s="82"/>
      <c r="AT1098" s="82">
        <f>IFERROR(__xludf.DUMMYFUNCTION("""COMPUTED_VALUE"""),0.0)</f>
        <v>0</v>
      </c>
      <c r="AU1098" s="82"/>
      <c r="AV1098" s="82"/>
      <c r="AW1098" s="82" t="str">
        <f t="shared" si="1"/>
        <v/>
      </c>
      <c r="AX1098" s="83" t="str">
        <f t="array" ref="AX1098">IFERROR(DGET('SBV Import'!A:G,"SBV",{"RSC ID","Tier";B1098,A1098}))</f>
        <v/>
      </c>
      <c r="AY1098" s="82" t="str">
        <f t="shared" si="2"/>
        <v/>
      </c>
      <c r="AZ1098" s="82"/>
      <c r="BA1098" s="84" t="s">
        <v>152</v>
      </c>
      <c r="BB1098" s="84" t="str">
        <f>IFERROR(__xludf.DUMMYFUNCTION("iferror(if(A1098="""",,E1098&gt;=FILTER(Constants!$F$2:$F$10,Constants!$A$2:$A$10=A1098)))"),"")</f>
        <v/>
      </c>
    </row>
    <row r="1099">
      <c r="A1099" s="89"/>
      <c r="B1099" s="87"/>
      <c r="C1099" s="73"/>
      <c r="D1099" s="73"/>
      <c r="E1099" s="82"/>
      <c r="F1099" s="82"/>
      <c r="G1099" s="86"/>
      <c r="H1099" s="86"/>
      <c r="I1099" s="86"/>
      <c r="J1099" s="82"/>
      <c r="K1099" s="82"/>
      <c r="L1099" s="82"/>
      <c r="M1099" s="82"/>
      <c r="N1099" s="82"/>
      <c r="O1099" s="82"/>
      <c r="P1099" s="82"/>
      <c r="Q1099" s="82"/>
      <c r="R1099" s="82"/>
      <c r="S1099" s="82"/>
      <c r="T1099" s="82"/>
      <c r="U1099" s="82"/>
      <c r="V1099" s="82"/>
      <c r="W1099" s="82"/>
      <c r="X1099" s="82"/>
      <c r="Y1099" s="82"/>
      <c r="Z1099" s="82"/>
      <c r="AA1099" s="82"/>
      <c r="AB1099" s="82"/>
      <c r="AC1099" s="82"/>
      <c r="AD1099" s="82"/>
      <c r="AE1099" s="82"/>
      <c r="AF1099" s="82"/>
      <c r="AG1099" s="82"/>
      <c r="AH1099" s="82"/>
      <c r="AI1099" s="82"/>
      <c r="AJ1099" s="82"/>
      <c r="AK1099" s="82"/>
      <c r="AL1099" s="82"/>
      <c r="AM1099" s="82"/>
      <c r="AN1099" s="82"/>
      <c r="AO1099" s="82"/>
      <c r="AP1099" s="82"/>
      <c r="AQ1099" s="82"/>
      <c r="AR1099" s="82"/>
      <c r="AS1099" s="82"/>
      <c r="AT1099" s="82"/>
      <c r="AU1099" s="82"/>
      <c r="AV1099" s="82"/>
      <c r="AW1099" s="82" t="str">
        <f t="shared" si="1"/>
        <v/>
      </c>
      <c r="AX1099" s="83" t="str">
        <f t="array" ref="AX1099">IFERROR(DGET('SBV Import'!A:G,"SBV",{"RSC ID","Tier";B1099,A1099}))</f>
        <v/>
      </c>
      <c r="AY1099" s="82" t="str">
        <f t="shared" si="2"/>
        <v/>
      </c>
      <c r="AZ1099" s="82"/>
      <c r="BA1099" s="84" t="s">
        <v>152</v>
      </c>
      <c r="BB1099" s="84" t="str">
        <f>IFERROR(__xludf.DUMMYFUNCTION("iferror(if(A1099="""",,E1099&gt;=FILTER(Constants!$F$2:$F$10,Constants!$A$2:$A$10=A1099)))"),"")</f>
        <v/>
      </c>
    </row>
    <row r="1100">
      <c r="A1100" s="89"/>
      <c r="B1100" s="87"/>
      <c r="C1100" s="73"/>
      <c r="D1100" s="73"/>
      <c r="E1100" s="82"/>
      <c r="F1100" s="82"/>
      <c r="G1100" s="86"/>
      <c r="H1100" s="86"/>
      <c r="I1100" s="86"/>
      <c r="J1100" s="82"/>
      <c r="K1100" s="82"/>
      <c r="L1100" s="82"/>
      <c r="M1100" s="82"/>
      <c r="N1100" s="82"/>
      <c r="O1100" s="82"/>
      <c r="P1100" s="82"/>
      <c r="Q1100" s="82"/>
      <c r="R1100" s="82"/>
      <c r="S1100" s="82"/>
      <c r="T1100" s="82"/>
      <c r="U1100" s="82"/>
      <c r="V1100" s="82"/>
      <c r="W1100" s="82"/>
      <c r="X1100" s="82"/>
      <c r="Y1100" s="82"/>
      <c r="Z1100" s="82"/>
      <c r="AA1100" s="82"/>
      <c r="AB1100" s="82"/>
      <c r="AC1100" s="82"/>
      <c r="AD1100" s="82"/>
      <c r="AE1100" s="82"/>
      <c r="AF1100" s="82"/>
      <c r="AG1100" s="82"/>
      <c r="AH1100" s="82"/>
      <c r="AI1100" s="82"/>
      <c r="AJ1100" s="82"/>
      <c r="AK1100" s="82"/>
      <c r="AL1100" s="82"/>
      <c r="AM1100" s="82"/>
      <c r="AN1100" s="82"/>
      <c r="AO1100" s="82"/>
      <c r="AP1100" s="82"/>
      <c r="AQ1100" s="82"/>
      <c r="AR1100" s="82"/>
      <c r="AS1100" s="82"/>
      <c r="AT1100" s="82"/>
      <c r="AU1100" s="82"/>
      <c r="AV1100" s="82"/>
      <c r="AW1100" s="82" t="str">
        <f t="shared" si="1"/>
        <v/>
      </c>
      <c r="AX1100" s="83" t="str">
        <f t="array" ref="AX1100">IFERROR(DGET('SBV Import'!A:G,"SBV",{"RSC ID","Tier";B1100,A1100}))</f>
        <v/>
      </c>
      <c r="AY1100" s="82" t="str">
        <f t="shared" si="2"/>
        <v/>
      </c>
      <c r="AZ1100" s="82"/>
      <c r="BA1100" s="84" t="s">
        <v>152</v>
      </c>
      <c r="BB1100" s="84" t="str">
        <f>IFERROR(__xludf.DUMMYFUNCTION("iferror(if(A1100="""",,E1100&gt;=FILTER(Constants!$F$2:$F$10,Constants!$A$2:$A$10=A1100)))"),"")</f>
        <v/>
      </c>
    </row>
    <row r="1101">
      <c r="A1101" s="89"/>
      <c r="B1101" s="87"/>
      <c r="C1101" s="73"/>
      <c r="D1101" s="73"/>
      <c r="E1101" s="82"/>
      <c r="F1101" s="82"/>
      <c r="G1101" s="86"/>
      <c r="H1101" s="86"/>
      <c r="I1101" s="86"/>
      <c r="J1101" s="82"/>
      <c r="K1101" s="82"/>
      <c r="L1101" s="82"/>
      <c r="M1101" s="82"/>
      <c r="N1101" s="82"/>
      <c r="O1101" s="82"/>
      <c r="P1101" s="82"/>
      <c r="Q1101" s="82"/>
      <c r="R1101" s="82"/>
      <c r="S1101" s="82"/>
      <c r="T1101" s="82"/>
      <c r="U1101" s="82"/>
      <c r="V1101" s="82"/>
      <c r="W1101" s="82"/>
      <c r="X1101" s="82"/>
      <c r="Y1101" s="82"/>
      <c r="Z1101" s="82"/>
      <c r="AA1101" s="82"/>
      <c r="AB1101" s="82"/>
      <c r="AC1101" s="82"/>
      <c r="AD1101" s="82"/>
      <c r="AE1101" s="82"/>
      <c r="AF1101" s="82"/>
      <c r="AG1101" s="82"/>
      <c r="AH1101" s="82"/>
      <c r="AI1101" s="82"/>
      <c r="AJ1101" s="82"/>
      <c r="AK1101" s="82"/>
      <c r="AL1101" s="82"/>
      <c r="AM1101" s="82"/>
      <c r="AN1101" s="82"/>
      <c r="AO1101" s="82"/>
      <c r="AP1101" s="82"/>
      <c r="AQ1101" s="82"/>
      <c r="AR1101" s="82"/>
      <c r="AS1101" s="82"/>
      <c r="AT1101" s="82"/>
      <c r="AU1101" s="82"/>
      <c r="AV1101" s="82"/>
      <c r="AW1101" s="82" t="str">
        <f t="shared" si="1"/>
        <v/>
      </c>
      <c r="AX1101" s="83" t="str">
        <f t="array" ref="AX1101">IFERROR(DGET('SBV Import'!A:G,"SBV",{"RSC ID","Tier";B1101,A1101}))</f>
        <v/>
      </c>
      <c r="AY1101" s="82" t="str">
        <f t="shared" si="2"/>
        <v/>
      </c>
      <c r="AZ1101" s="82"/>
      <c r="BA1101" s="84" t="s">
        <v>152</v>
      </c>
      <c r="BB1101" s="84" t="str">
        <f>IFERROR(__xludf.DUMMYFUNCTION("iferror(if(A1101="""",,E1101&gt;=FILTER(Constants!$F$2:$F$10,Constants!$A$2:$A$10=A1101)))"),"")</f>
        <v/>
      </c>
    </row>
    <row r="1102">
      <c r="A1102" s="89"/>
      <c r="B1102" s="87"/>
      <c r="C1102" s="73"/>
      <c r="D1102" s="73"/>
      <c r="E1102" s="82"/>
      <c r="F1102" s="82"/>
      <c r="G1102" s="86"/>
      <c r="H1102" s="86"/>
      <c r="I1102" s="86"/>
      <c r="J1102" s="82"/>
      <c r="K1102" s="82"/>
      <c r="L1102" s="82"/>
      <c r="M1102" s="82"/>
      <c r="N1102" s="82"/>
      <c r="O1102" s="82"/>
      <c r="P1102" s="82"/>
      <c r="Q1102" s="82"/>
      <c r="R1102" s="82"/>
      <c r="S1102" s="82"/>
      <c r="T1102" s="82"/>
      <c r="U1102" s="82"/>
      <c r="V1102" s="82"/>
      <c r="W1102" s="82"/>
      <c r="X1102" s="82"/>
      <c r="Y1102" s="82"/>
      <c r="Z1102" s="82"/>
      <c r="AA1102" s="82"/>
      <c r="AB1102" s="82"/>
      <c r="AC1102" s="82"/>
      <c r="AD1102" s="82"/>
      <c r="AE1102" s="82"/>
      <c r="AF1102" s="82"/>
      <c r="AG1102" s="82"/>
      <c r="AH1102" s="82"/>
      <c r="AI1102" s="82"/>
      <c r="AJ1102" s="82"/>
      <c r="AK1102" s="82"/>
      <c r="AL1102" s="82"/>
      <c r="AM1102" s="82"/>
      <c r="AN1102" s="82"/>
      <c r="AO1102" s="82"/>
      <c r="AP1102" s="82"/>
      <c r="AQ1102" s="82"/>
      <c r="AR1102" s="82"/>
      <c r="AS1102" s="82"/>
      <c r="AT1102" s="82"/>
      <c r="AU1102" s="82"/>
      <c r="AV1102" s="82"/>
      <c r="AW1102" s="82" t="str">
        <f t="shared" si="1"/>
        <v/>
      </c>
      <c r="AX1102" s="83" t="str">
        <f t="array" ref="AX1102">IFERROR(DGET('SBV Import'!A:G,"SBV",{"RSC ID","Tier";B1102,A1102}))</f>
        <v/>
      </c>
      <c r="AY1102" s="82" t="str">
        <f t="shared" si="2"/>
        <v/>
      </c>
      <c r="AZ1102" s="82"/>
      <c r="BA1102" s="84" t="s">
        <v>152</v>
      </c>
      <c r="BB1102" s="84" t="str">
        <f>IFERROR(__xludf.DUMMYFUNCTION("iferror(if(A1102="""",,E1102&gt;=FILTER(Constants!$F$2:$F$10,Constants!$A$2:$A$10=A1102)))"),"")</f>
        <v/>
      </c>
    </row>
    <row r="1103">
      <c r="A1103" s="89"/>
      <c r="B1103" s="87"/>
      <c r="C1103" s="73"/>
      <c r="D1103" s="73"/>
      <c r="E1103" s="82"/>
      <c r="F1103" s="82"/>
      <c r="G1103" s="86"/>
      <c r="H1103" s="86"/>
      <c r="I1103" s="86"/>
      <c r="J1103" s="82"/>
      <c r="K1103" s="82"/>
      <c r="L1103" s="82"/>
      <c r="M1103" s="82"/>
      <c r="N1103" s="82"/>
      <c r="O1103" s="82"/>
      <c r="P1103" s="82"/>
      <c r="Q1103" s="82"/>
      <c r="R1103" s="82"/>
      <c r="S1103" s="82"/>
      <c r="T1103" s="82"/>
      <c r="U1103" s="82"/>
      <c r="V1103" s="82"/>
      <c r="W1103" s="82"/>
      <c r="X1103" s="82"/>
      <c r="Y1103" s="82"/>
      <c r="Z1103" s="82"/>
      <c r="AA1103" s="82"/>
      <c r="AB1103" s="82"/>
      <c r="AC1103" s="82"/>
      <c r="AD1103" s="82"/>
      <c r="AE1103" s="82"/>
      <c r="AF1103" s="82"/>
      <c r="AG1103" s="82"/>
      <c r="AH1103" s="82"/>
      <c r="AI1103" s="82"/>
      <c r="AJ1103" s="82"/>
      <c r="AK1103" s="82"/>
      <c r="AL1103" s="82"/>
      <c r="AM1103" s="82"/>
      <c r="AN1103" s="82"/>
      <c r="AO1103" s="82"/>
      <c r="AP1103" s="82"/>
      <c r="AQ1103" s="82"/>
      <c r="AR1103" s="82"/>
      <c r="AS1103" s="82"/>
      <c r="AT1103" s="82"/>
      <c r="AU1103" s="82"/>
      <c r="AV1103" s="82"/>
      <c r="AW1103" s="82" t="str">
        <f t="shared" si="1"/>
        <v/>
      </c>
      <c r="AX1103" s="83" t="str">
        <f t="array" ref="AX1103">IFERROR(DGET('SBV Import'!A:G,"SBV",{"RSC ID","Tier";B1103,A1103}))</f>
        <v/>
      </c>
      <c r="AY1103" s="82" t="str">
        <f t="shared" si="2"/>
        <v/>
      </c>
      <c r="AZ1103" s="82"/>
      <c r="BA1103" s="84" t="s">
        <v>152</v>
      </c>
      <c r="BB1103" s="84" t="str">
        <f>IFERROR(__xludf.DUMMYFUNCTION("iferror(if(A1103="""",,E1103&gt;=FILTER(Constants!$F$2:$F$10,Constants!$A$2:$A$10=A1103)))"),"")</f>
        <v/>
      </c>
    </row>
    <row r="1104">
      <c r="A1104" s="89"/>
      <c r="B1104" s="87"/>
      <c r="C1104" s="73"/>
      <c r="D1104" s="73"/>
      <c r="E1104" s="82"/>
      <c r="F1104" s="82"/>
      <c r="G1104" s="86"/>
      <c r="H1104" s="86"/>
      <c r="I1104" s="86"/>
      <c r="J1104" s="82"/>
      <c r="K1104" s="82"/>
      <c r="L1104" s="82"/>
      <c r="M1104" s="82"/>
      <c r="N1104" s="82"/>
      <c r="O1104" s="82"/>
      <c r="P1104" s="82"/>
      <c r="Q1104" s="82"/>
      <c r="R1104" s="82"/>
      <c r="S1104" s="82"/>
      <c r="T1104" s="82"/>
      <c r="U1104" s="82"/>
      <c r="V1104" s="82"/>
      <c r="W1104" s="82"/>
      <c r="X1104" s="82"/>
      <c r="Y1104" s="82"/>
      <c r="Z1104" s="82"/>
      <c r="AA1104" s="82"/>
      <c r="AB1104" s="82"/>
      <c r="AC1104" s="82"/>
      <c r="AD1104" s="82"/>
      <c r="AE1104" s="82"/>
      <c r="AF1104" s="82"/>
      <c r="AG1104" s="82"/>
      <c r="AH1104" s="82"/>
      <c r="AI1104" s="82"/>
      <c r="AJ1104" s="82"/>
      <c r="AK1104" s="82"/>
      <c r="AL1104" s="82"/>
      <c r="AM1104" s="82"/>
      <c r="AN1104" s="82"/>
      <c r="AO1104" s="82"/>
      <c r="AP1104" s="82"/>
      <c r="AQ1104" s="82"/>
      <c r="AR1104" s="82"/>
      <c r="AS1104" s="82"/>
      <c r="AT1104" s="82"/>
      <c r="AU1104" s="82"/>
      <c r="AV1104" s="82"/>
      <c r="AW1104" s="82" t="str">
        <f t="shared" si="1"/>
        <v/>
      </c>
      <c r="AX1104" s="83" t="str">
        <f t="array" ref="AX1104">IFERROR(DGET('SBV Import'!A:G,"SBV",{"RSC ID","Tier";B1104,A1104}))</f>
        <v/>
      </c>
      <c r="AY1104" s="82" t="str">
        <f t="shared" si="2"/>
        <v/>
      </c>
      <c r="AZ1104" s="82"/>
      <c r="BA1104" s="84" t="s">
        <v>152</v>
      </c>
      <c r="BB1104" s="84" t="str">
        <f>IFERROR(__xludf.DUMMYFUNCTION("iferror(if(A1104="""",,E1104&gt;=FILTER(Constants!$F$2:$F$10,Constants!$A$2:$A$10=A1104)))"),"")</f>
        <v/>
      </c>
    </row>
    <row r="1105">
      <c r="A1105" s="89"/>
      <c r="B1105" s="87"/>
      <c r="C1105" s="73"/>
      <c r="D1105" s="73"/>
      <c r="E1105" s="82"/>
      <c r="F1105" s="82"/>
      <c r="G1105" s="86"/>
      <c r="H1105" s="86"/>
      <c r="I1105" s="86"/>
      <c r="J1105" s="82"/>
      <c r="K1105" s="82"/>
      <c r="L1105" s="82"/>
      <c r="M1105" s="82"/>
      <c r="N1105" s="82"/>
      <c r="O1105" s="82"/>
      <c r="P1105" s="82"/>
      <c r="Q1105" s="82"/>
      <c r="R1105" s="82"/>
      <c r="S1105" s="82"/>
      <c r="T1105" s="82"/>
      <c r="U1105" s="82"/>
      <c r="V1105" s="82"/>
      <c r="W1105" s="82"/>
      <c r="X1105" s="82"/>
      <c r="Y1105" s="82"/>
      <c r="Z1105" s="82"/>
      <c r="AA1105" s="82"/>
      <c r="AB1105" s="82"/>
      <c r="AC1105" s="82"/>
      <c r="AD1105" s="82"/>
      <c r="AE1105" s="82"/>
      <c r="AF1105" s="82"/>
      <c r="AG1105" s="82"/>
      <c r="AH1105" s="82"/>
      <c r="AI1105" s="82"/>
      <c r="AJ1105" s="82"/>
      <c r="AK1105" s="82"/>
      <c r="AL1105" s="82"/>
      <c r="AM1105" s="82"/>
      <c r="AN1105" s="82"/>
      <c r="AO1105" s="82"/>
      <c r="AP1105" s="82"/>
      <c r="AQ1105" s="82"/>
      <c r="AR1105" s="82"/>
      <c r="AS1105" s="82"/>
      <c r="AT1105" s="82"/>
      <c r="AU1105" s="82"/>
      <c r="AV1105" s="82"/>
      <c r="AW1105" s="82" t="str">
        <f t="shared" si="1"/>
        <v/>
      </c>
      <c r="AX1105" s="83" t="str">
        <f t="array" ref="AX1105">IFERROR(DGET('SBV Import'!A:G,"SBV",{"RSC ID","Tier";B1105,A1105}))</f>
        <v/>
      </c>
      <c r="AY1105" s="82" t="str">
        <f t="shared" si="2"/>
        <v/>
      </c>
      <c r="AZ1105" s="82"/>
      <c r="BA1105" s="84" t="s">
        <v>152</v>
      </c>
      <c r="BB1105" s="84" t="str">
        <f>IFERROR(__xludf.DUMMYFUNCTION("iferror(if(A1105="""",,E1105&gt;=FILTER(Constants!$F$2:$F$10,Constants!$A$2:$A$10=A1105)))"),"")</f>
        <v/>
      </c>
    </row>
    <row r="1106">
      <c r="A1106" s="89"/>
      <c r="B1106" s="87"/>
      <c r="C1106" s="73"/>
      <c r="D1106" s="73"/>
      <c r="E1106" s="82"/>
      <c r="F1106" s="82"/>
      <c r="G1106" s="86"/>
      <c r="H1106" s="86"/>
      <c r="I1106" s="86"/>
      <c r="J1106" s="82"/>
      <c r="K1106" s="82"/>
      <c r="L1106" s="82"/>
      <c r="M1106" s="82"/>
      <c r="N1106" s="82"/>
      <c r="O1106" s="82"/>
      <c r="P1106" s="82"/>
      <c r="Q1106" s="82"/>
      <c r="R1106" s="82"/>
      <c r="S1106" s="82"/>
      <c r="T1106" s="82"/>
      <c r="U1106" s="82"/>
      <c r="V1106" s="82"/>
      <c r="W1106" s="82"/>
      <c r="X1106" s="82"/>
      <c r="Y1106" s="82"/>
      <c r="Z1106" s="82"/>
      <c r="AA1106" s="82"/>
      <c r="AB1106" s="82"/>
      <c r="AC1106" s="82"/>
      <c r="AD1106" s="82"/>
      <c r="AE1106" s="82"/>
      <c r="AF1106" s="82"/>
      <c r="AG1106" s="82"/>
      <c r="AH1106" s="82"/>
      <c r="AI1106" s="82"/>
      <c r="AJ1106" s="82"/>
      <c r="AK1106" s="82"/>
      <c r="AL1106" s="82"/>
      <c r="AM1106" s="82"/>
      <c r="AN1106" s="82"/>
      <c r="AO1106" s="82"/>
      <c r="AP1106" s="82"/>
      <c r="AQ1106" s="82"/>
      <c r="AR1106" s="82"/>
      <c r="AS1106" s="82"/>
      <c r="AT1106" s="82"/>
      <c r="AU1106" s="82"/>
      <c r="AV1106" s="82"/>
      <c r="AW1106" s="82" t="str">
        <f t="shared" si="1"/>
        <v/>
      </c>
      <c r="AX1106" s="83" t="str">
        <f t="array" ref="AX1106">IFERROR(DGET('SBV Import'!A:G,"SBV",{"RSC ID","Tier";B1106,A1106}))</f>
        <v/>
      </c>
      <c r="AY1106" s="82" t="str">
        <f t="shared" si="2"/>
        <v/>
      </c>
      <c r="AZ1106" s="82"/>
      <c r="BA1106" s="84" t="s">
        <v>152</v>
      </c>
      <c r="BB1106" s="84" t="str">
        <f>IFERROR(__xludf.DUMMYFUNCTION("iferror(if(A1106="""",,E1106&gt;=FILTER(Constants!$F$2:$F$10,Constants!$A$2:$A$10=A1106)))"),"")</f>
        <v/>
      </c>
    </row>
    <row r="1107">
      <c r="A1107" s="89"/>
      <c r="B1107" s="87"/>
      <c r="C1107" s="73"/>
      <c r="D1107" s="73"/>
      <c r="E1107" s="82"/>
      <c r="F1107" s="82"/>
      <c r="G1107" s="86"/>
      <c r="H1107" s="86"/>
      <c r="I1107" s="86"/>
      <c r="J1107" s="82"/>
      <c r="K1107" s="82"/>
      <c r="L1107" s="82"/>
      <c r="M1107" s="82"/>
      <c r="N1107" s="82"/>
      <c r="O1107" s="82"/>
      <c r="P1107" s="82"/>
      <c r="Q1107" s="82"/>
      <c r="R1107" s="82"/>
      <c r="S1107" s="82"/>
      <c r="T1107" s="82"/>
      <c r="U1107" s="82"/>
      <c r="V1107" s="82"/>
      <c r="W1107" s="82"/>
      <c r="X1107" s="82"/>
      <c r="Y1107" s="82"/>
      <c r="Z1107" s="82"/>
      <c r="AA1107" s="82"/>
      <c r="AB1107" s="82"/>
      <c r="AC1107" s="82"/>
      <c r="AD1107" s="82"/>
      <c r="AE1107" s="82"/>
      <c r="AF1107" s="82"/>
      <c r="AG1107" s="82"/>
      <c r="AH1107" s="82"/>
      <c r="AI1107" s="82"/>
      <c r="AJ1107" s="82"/>
      <c r="AK1107" s="82"/>
      <c r="AL1107" s="82"/>
      <c r="AM1107" s="82"/>
      <c r="AN1107" s="82"/>
      <c r="AO1107" s="82"/>
      <c r="AP1107" s="82"/>
      <c r="AQ1107" s="82"/>
      <c r="AR1107" s="82"/>
      <c r="AS1107" s="82"/>
      <c r="AT1107" s="82"/>
      <c r="AU1107" s="82"/>
      <c r="AV1107" s="82"/>
      <c r="AW1107" s="82" t="str">
        <f t="shared" si="1"/>
        <v/>
      </c>
      <c r="AX1107" s="83" t="str">
        <f t="array" ref="AX1107">IFERROR(DGET('SBV Import'!A:G,"SBV",{"RSC ID","Tier";B1107,A1107}))</f>
        <v/>
      </c>
      <c r="AY1107" s="82" t="str">
        <f t="shared" si="2"/>
        <v/>
      </c>
      <c r="AZ1107" s="82"/>
      <c r="BA1107" s="84" t="s">
        <v>152</v>
      </c>
      <c r="BB1107" s="84" t="str">
        <f>IFERROR(__xludf.DUMMYFUNCTION("iferror(if(A1107="""",,E1107&gt;=FILTER(Constants!$F$2:$F$10,Constants!$A$2:$A$10=A1107)))"),"")</f>
        <v/>
      </c>
    </row>
    <row r="1108">
      <c r="A1108" s="89"/>
      <c r="B1108" s="87"/>
      <c r="C1108" s="73"/>
      <c r="D1108" s="73"/>
      <c r="E1108" s="82"/>
      <c r="F1108" s="82"/>
      <c r="G1108" s="86"/>
      <c r="H1108" s="86"/>
      <c r="I1108" s="86"/>
      <c r="J1108" s="82"/>
      <c r="K1108" s="82"/>
      <c r="L1108" s="82"/>
      <c r="M1108" s="82"/>
      <c r="N1108" s="82"/>
      <c r="O1108" s="82"/>
      <c r="P1108" s="82"/>
      <c r="Q1108" s="82"/>
      <c r="R1108" s="82"/>
      <c r="S1108" s="82"/>
      <c r="T1108" s="82"/>
      <c r="U1108" s="82"/>
      <c r="V1108" s="82"/>
      <c r="W1108" s="82"/>
      <c r="X1108" s="82"/>
      <c r="Y1108" s="82"/>
      <c r="Z1108" s="82"/>
      <c r="AA1108" s="82"/>
      <c r="AB1108" s="82"/>
      <c r="AC1108" s="82"/>
      <c r="AD1108" s="82"/>
      <c r="AE1108" s="82"/>
      <c r="AF1108" s="82"/>
      <c r="AG1108" s="82"/>
      <c r="AH1108" s="82"/>
      <c r="AI1108" s="82"/>
      <c r="AJ1108" s="82"/>
      <c r="AK1108" s="82"/>
      <c r="AL1108" s="82"/>
      <c r="AM1108" s="82"/>
      <c r="AN1108" s="82"/>
      <c r="AO1108" s="82"/>
      <c r="AP1108" s="82"/>
      <c r="AQ1108" s="82"/>
      <c r="AR1108" s="82"/>
      <c r="AS1108" s="82"/>
      <c r="AT1108" s="82"/>
      <c r="AU1108" s="82"/>
      <c r="AV1108" s="82"/>
      <c r="AW1108" s="82" t="str">
        <f t="shared" si="1"/>
        <v/>
      </c>
      <c r="AX1108" s="83" t="str">
        <f t="array" ref="AX1108">IFERROR(DGET('SBV Import'!A:G,"SBV",{"RSC ID","Tier";B1108,A1108}))</f>
        <v/>
      </c>
      <c r="AY1108" s="82" t="str">
        <f t="shared" si="2"/>
        <v/>
      </c>
      <c r="AZ1108" s="82"/>
      <c r="BA1108" s="84" t="s">
        <v>152</v>
      </c>
      <c r="BB1108" s="84" t="str">
        <f>IFERROR(__xludf.DUMMYFUNCTION("iferror(if(A1108="""",,E1108&gt;=FILTER(Constants!$F$2:$F$10,Constants!$A$2:$A$10=A1108)))"),"")</f>
        <v/>
      </c>
    </row>
    <row r="1109">
      <c r="A1109" s="89"/>
      <c r="B1109" s="87"/>
      <c r="C1109" s="73"/>
      <c r="D1109" s="73"/>
      <c r="E1109" s="82"/>
      <c r="F1109" s="82"/>
      <c r="G1109" s="86"/>
      <c r="H1109" s="86"/>
      <c r="I1109" s="86"/>
      <c r="J1109" s="82"/>
      <c r="K1109" s="82"/>
      <c r="L1109" s="82"/>
      <c r="M1109" s="82"/>
      <c r="N1109" s="82"/>
      <c r="O1109" s="82"/>
      <c r="P1109" s="82"/>
      <c r="Q1109" s="82"/>
      <c r="R1109" s="82"/>
      <c r="S1109" s="82"/>
      <c r="T1109" s="82"/>
      <c r="U1109" s="82"/>
      <c r="V1109" s="82"/>
      <c r="W1109" s="82"/>
      <c r="X1109" s="82"/>
      <c r="Y1109" s="82"/>
      <c r="Z1109" s="82"/>
      <c r="AA1109" s="82"/>
      <c r="AB1109" s="82"/>
      <c r="AC1109" s="82"/>
      <c r="AD1109" s="82"/>
      <c r="AE1109" s="82"/>
      <c r="AF1109" s="82"/>
      <c r="AG1109" s="82"/>
      <c r="AH1109" s="82"/>
      <c r="AI1109" s="82"/>
      <c r="AJ1109" s="82"/>
      <c r="AK1109" s="82"/>
      <c r="AL1109" s="82"/>
      <c r="AM1109" s="82"/>
      <c r="AN1109" s="82"/>
      <c r="AO1109" s="82"/>
      <c r="AP1109" s="82"/>
      <c r="AQ1109" s="82"/>
      <c r="AR1109" s="82"/>
      <c r="AS1109" s="82"/>
      <c r="AT1109" s="82"/>
      <c r="AU1109" s="82"/>
      <c r="AV1109" s="82"/>
      <c r="AW1109" s="82" t="str">
        <f t="shared" si="1"/>
        <v/>
      </c>
      <c r="AX1109" s="83" t="str">
        <f t="array" ref="AX1109">IFERROR(DGET('SBV Import'!A:G,"SBV",{"RSC ID","Tier";B1109,A1109}))</f>
        <v/>
      </c>
      <c r="AY1109" s="82" t="str">
        <f t="shared" si="2"/>
        <v/>
      </c>
      <c r="AZ1109" s="82"/>
      <c r="BA1109" s="84" t="s">
        <v>152</v>
      </c>
      <c r="BB1109" s="84" t="str">
        <f>IFERROR(__xludf.DUMMYFUNCTION("iferror(if(A1109="""",,E1109&gt;=FILTER(Constants!$F$2:$F$10,Constants!$A$2:$A$10=A1109)))"),"")</f>
        <v/>
      </c>
    </row>
    <row r="1110">
      <c r="A1110" s="89"/>
      <c r="B1110" s="87"/>
      <c r="C1110" s="73"/>
      <c r="D1110" s="73"/>
      <c r="E1110" s="82"/>
      <c r="F1110" s="82"/>
      <c r="G1110" s="86"/>
      <c r="H1110" s="86"/>
      <c r="I1110" s="86"/>
      <c r="J1110" s="82"/>
      <c r="K1110" s="82"/>
      <c r="L1110" s="82"/>
      <c r="M1110" s="82"/>
      <c r="N1110" s="82"/>
      <c r="O1110" s="82"/>
      <c r="P1110" s="82"/>
      <c r="Q1110" s="82"/>
      <c r="R1110" s="82"/>
      <c r="S1110" s="82"/>
      <c r="T1110" s="82"/>
      <c r="U1110" s="82"/>
      <c r="V1110" s="82"/>
      <c r="W1110" s="82"/>
      <c r="X1110" s="82"/>
      <c r="Y1110" s="82"/>
      <c r="Z1110" s="82"/>
      <c r="AA1110" s="82"/>
      <c r="AB1110" s="82"/>
      <c r="AC1110" s="82"/>
      <c r="AD1110" s="82"/>
      <c r="AE1110" s="82"/>
      <c r="AF1110" s="82"/>
      <c r="AG1110" s="82"/>
      <c r="AH1110" s="82"/>
      <c r="AI1110" s="82"/>
      <c r="AJ1110" s="82"/>
      <c r="AK1110" s="82"/>
      <c r="AL1110" s="82"/>
      <c r="AM1110" s="82"/>
      <c r="AN1110" s="82"/>
      <c r="AO1110" s="82"/>
      <c r="AP1110" s="82"/>
      <c r="AQ1110" s="82"/>
      <c r="AR1110" s="82"/>
      <c r="AS1110" s="82"/>
      <c r="AT1110" s="82"/>
      <c r="AU1110" s="82"/>
      <c r="AV1110" s="82"/>
      <c r="AW1110" s="82" t="str">
        <f t="shared" si="1"/>
        <v/>
      </c>
      <c r="AX1110" s="83" t="str">
        <f t="array" ref="AX1110">IFERROR(DGET('SBV Import'!A:G,"SBV",{"RSC ID","Tier";B1110,A1110}))</f>
        <v/>
      </c>
      <c r="AY1110" s="82" t="str">
        <f t="shared" si="2"/>
        <v/>
      </c>
      <c r="AZ1110" s="82"/>
      <c r="BA1110" s="84" t="s">
        <v>152</v>
      </c>
      <c r="BB1110" s="84" t="str">
        <f>IFERROR(__xludf.DUMMYFUNCTION("iferror(if(A1110="""",,E1110&gt;=FILTER(Constants!$F$2:$F$10,Constants!$A$2:$A$10=A1110)))"),"")</f>
        <v/>
      </c>
    </row>
    <row r="1111">
      <c r="A1111" s="89"/>
      <c r="B1111" s="87"/>
      <c r="C1111" s="73"/>
      <c r="D1111" s="73"/>
      <c r="E1111" s="82"/>
      <c r="F1111" s="82"/>
      <c r="G1111" s="86"/>
      <c r="H1111" s="86"/>
      <c r="I1111" s="86"/>
      <c r="J1111" s="82"/>
      <c r="K1111" s="82"/>
      <c r="L1111" s="82"/>
      <c r="M1111" s="82"/>
      <c r="N1111" s="82"/>
      <c r="O1111" s="82"/>
      <c r="P1111" s="82"/>
      <c r="Q1111" s="82"/>
      <c r="R1111" s="82"/>
      <c r="S1111" s="82"/>
      <c r="T1111" s="82"/>
      <c r="U1111" s="82"/>
      <c r="V1111" s="82"/>
      <c r="W1111" s="82"/>
      <c r="X1111" s="82"/>
      <c r="Y1111" s="82"/>
      <c r="Z1111" s="82"/>
      <c r="AA1111" s="82"/>
      <c r="AB1111" s="82"/>
      <c r="AC1111" s="82"/>
      <c r="AD1111" s="82"/>
      <c r="AE1111" s="82"/>
      <c r="AF1111" s="82"/>
      <c r="AG1111" s="82"/>
      <c r="AH1111" s="82"/>
      <c r="AI1111" s="82"/>
      <c r="AJ1111" s="82"/>
      <c r="AK1111" s="82"/>
      <c r="AL1111" s="82"/>
      <c r="AM1111" s="82"/>
      <c r="AN1111" s="82"/>
      <c r="AO1111" s="82"/>
      <c r="AP1111" s="82"/>
      <c r="AQ1111" s="82"/>
      <c r="AR1111" s="82"/>
      <c r="AS1111" s="82"/>
      <c r="AT1111" s="82"/>
      <c r="AU1111" s="82"/>
      <c r="AV1111" s="82"/>
      <c r="AW1111" s="82" t="str">
        <f t="shared" si="1"/>
        <v/>
      </c>
      <c r="AX1111" s="83" t="str">
        <f t="array" ref="AX1111">IFERROR(DGET('SBV Import'!A:G,"SBV",{"RSC ID","Tier";B1111,A1111}))</f>
        <v/>
      </c>
      <c r="AY1111" s="82" t="str">
        <f t="shared" si="2"/>
        <v/>
      </c>
      <c r="AZ1111" s="82"/>
      <c r="BA1111" s="84" t="s">
        <v>152</v>
      </c>
      <c r="BB1111" s="84" t="str">
        <f>IFERROR(__xludf.DUMMYFUNCTION("iferror(if(A1111="""",,E1111&gt;=FILTER(Constants!$F$2:$F$10,Constants!$A$2:$A$10=A1111)))"),"")</f>
        <v/>
      </c>
    </row>
    <row r="1112">
      <c r="A1112" s="89"/>
      <c r="B1112" s="87"/>
      <c r="C1112" s="73"/>
      <c r="D1112" s="73"/>
      <c r="E1112" s="82"/>
      <c r="F1112" s="82"/>
      <c r="G1112" s="86"/>
      <c r="H1112" s="86"/>
      <c r="I1112" s="86"/>
      <c r="J1112" s="82"/>
      <c r="K1112" s="82"/>
      <c r="L1112" s="82"/>
      <c r="M1112" s="82"/>
      <c r="N1112" s="82"/>
      <c r="O1112" s="82"/>
      <c r="P1112" s="82"/>
      <c r="Q1112" s="82"/>
      <c r="R1112" s="82"/>
      <c r="S1112" s="82"/>
      <c r="T1112" s="82"/>
      <c r="U1112" s="82"/>
      <c r="V1112" s="82"/>
      <c r="W1112" s="82"/>
      <c r="X1112" s="82"/>
      <c r="Y1112" s="82"/>
      <c r="Z1112" s="82"/>
      <c r="AA1112" s="82"/>
      <c r="AB1112" s="82"/>
      <c r="AC1112" s="82"/>
      <c r="AD1112" s="82"/>
      <c r="AE1112" s="82"/>
      <c r="AF1112" s="82"/>
      <c r="AG1112" s="82"/>
      <c r="AH1112" s="82"/>
      <c r="AI1112" s="82"/>
      <c r="AJ1112" s="82"/>
      <c r="AK1112" s="82"/>
      <c r="AL1112" s="82"/>
      <c r="AM1112" s="82"/>
      <c r="AN1112" s="82"/>
      <c r="AO1112" s="82"/>
      <c r="AP1112" s="82"/>
      <c r="AQ1112" s="82"/>
      <c r="AR1112" s="82"/>
      <c r="AS1112" s="82"/>
      <c r="AT1112" s="82"/>
      <c r="AU1112" s="82"/>
      <c r="AV1112" s="82"/>
      <c r="AW1112" s="82" t="str">
        <f t="shared" si="1"/>
        <v/>
      </c>
      <c r="AX1112" s="83" t="str">
        <f t="array" ref="AX1112">IFERROR(DGET('SBV Import'!A:G,"SBV",{"RSC ID","Tier";B1112,A1112}))</f>
        <v/>
      </c>
      <c r="AY1112" s="82" t="str">
        <f t="shared" si="2"/>
        <v/>
      </c>
      <c r="AZ1112" s="82"/>
      <c r="BA1112" s="84" t="s">
        <v>152</v>
      </c>
      <c r="BB1112" s="84" t="str">
        <f>IFERROR(__xludf.DUMMYFUNCTION("iferror(if(A1112="""",,E1112&gt;=FILTER(Constants!$F$2:$F$10,Constants!$A$2:$A$10=A1112)))"),"")</f>
        <v/>
      </c>
    </row>
    <row r="1113">
      <c r="A1113" s="89"/>
      <c r="B1113" s="87"/>
      <c r="C1113" s="73"/>
      <c r="D1113" s="73"/>
      <c r="E1113" s="82"/>
      <c r="F1113" s="82"/>
      <c r="G1113" s="86"/>
      <c r="H1113" s="86"/>
      <c r="I1113" s="86"/>
      <c r="J1113" s="82"/>
      <c r="K1113" s="82"/>
      <c r="L1113" s="82"/>
      <c r="M1113" s="82"/>
      <c r="N1113" s="82"/>
      <c r="O1113" s="82"/>
      <c r="P1113" s="82"/>
      <c r="Q1113" s="82"/>
      <c r="R1113" s="82"/>
      <c r="S1113" s="82"/>
      <c r="T1113" s="82"/>
      <c r="U1113" s="82"/>
      <c r="V1113" s="82"/>
      <c r="W1113" s="82"/>
      <c r="X1113" s="82"/>
      <c r="Y1113" s="82"/>
      <c r="Z1113" s="82"/>
      <c r="AA1113" s="82"/>
      <c r="AB1113" s="82"/>
      <c r="AC1113" s="82"/>
      <c r="AD1113" s="82"/>
      <c r="AE1113" s="82"/>
      <c r="AF1113" s="82"/>
      <c r="AG1113" s="82"/>
      <c r="AH1113" s="82"/>
      <c r="AI1113" s="82"/>
      <c r="AJ1113" s="82"/>
      <c r="AK1113" s="82"/>
      <c r="AL1113" s="82"/>
      <c r="AM1113" s="82"/>
      <c r="AN1113" s="82"/>
      <c r="AO1113" s="82"/>
      <c r="AP1113" s="82"/>
      <c r="AQ1113" s="82"/>
      <c r="AR1113" s="82"/>
      <c r="AS1113" s="82"/>
      <c r="AT1113" s="82"/>
      <c r="AU1113" s="82"/>
      <c r="AV1113" s="82"/>
      <c r="AW1113" s="82" t="str">
        <f t="shared" si="1"/>
        <v/>
      </c>
      <c r="AX1113" s="83" t="str">
        <f t="array" ref="AX1113">IFERROR(DGET('SBV Import'!A:G,"SBV",{"RSC ID","Tier";B1113,A1113}))</f>
        <v/>
      </c>
      <c r="AY1113" s="82" t="str">
        <f t="shared" si="2"/>
        <v/>
      </c>
      <c r="AZ1113" s="82"/>
      <c r="BA1113" s="84" t="s">
        <v>152</v>
      </c>
      <c r="BB1113" s="84" t="str">
        <f>IFERROR(__xludf.DUMMYFUNCTION("iferror(if(A1113="""",,E1113&gt;=FILTER(Constants!$F$2:$F$10,Constants!$A$2:$A$10=A1113)))"),"")</f>
        <v/>
      </c>
    </row>
    <row r="1114">
      <c r="A1114" s="89"/>
      <c r="B1114" s="87"/>
      <c r="C1114" s="73"/>
      <c r="D1114" s="73"/>
      <c r="E1114" s="82"/>
      <c r="F1114" s="82"/>
      <c r="G1114" s="86"/>
      <c r="H1114" s="86"/>
      <c r="I1114" s="86"/>
      <c r="J1114" s="82"/>
      <c r="K1114" s="82"/>
      <c r="L1114" s="82"/>
      <c r="M1114" s="82"/>
      <c r="N1114" s="82"/>
      <c r="O1114" s="82"/>
      <c r="P1114" s="82"/>
      <c r="Q1114" s="82"/>
      <c r="R1114" s="82"/>
      <c r="S1114" s="82"/>
      <c r="T1114" s="82"/>
      <c r="U1114" s="82"/>
      <c r="V1114" s="82"/>
      <c r="W1114" s="82"/>
      <c r="X1114" s="82"/>
      <c r="Y1114" s="82"/>
      <c r="Z1114" s="82"/>
      <c r="AA1114" s="82"/>
      <c r="AB1114" s="82"/>
      <c r="AC1114" s="82"/>
      <c r="AD1114" s="82"/>
      <c r="AE1114" s="82"/>
      <c r="AF1114" s="82"/>
      <c r="AG1114" s="82"/>
      <c r="AH1114" s="82"/>
      <c r="AI1114" s="82"/>
      <c r="AJ1114" s="82"/>
      <c r="AK1114" s="82"/>
      <c r="AL1114" s="82"/>
      <c r="AM1114" s="82"/>
      <c r="AN1114" s="82"/>
      <c r="AO1114" s="82"/>
      <c r="AP1114" s="82"/>
      <c r="AQ1114" s="82"/>
      <c r="AR1114" s="82"/>
      <c r="AS1114" s="82"/>
      <c r="AT1114" s="82"/>
      <c r="AU1114" s="82"/>
      <c r="AV1114" s="82"/>
      <c r="AW1114" s="82" t="str">
        <f t="shared" si="1"/>
        <v/>
      </c>
      <c r="AX1114" s="83" t="str">
        <f t="array" ref="AX1114">IFERROR(DGET('SBV Import'!A:G,"SBV",{"RSC ID","Tier";B1114,A1114}))</f>
        <v/>
      </c>
      <c r="AY1114" s="82" t="str">
        <f t="shared" si="2"/>
        <v/>
      </c>
      <c r="AZ1114" s="82"/>
      <c r="BA1114" s="84" t="s">
        <v>152</v>
      </c>
      <c r="BB1114" s="84" t="str">
        <f>IFERROR(__xludf.DUMMYFUNCTION("iferror(if(A1114="""",,E1114&gt;=FILTER(Constants!$F$2:$F$10,Constants!$A$2:$A$10=A1114)))"),"")</f>
        <v/>
      </c>
    </row>
    <row r="1115">
      <c r="A1115" s="89"/>
      <c r="B1115" s="87"/>
      <c r="C1115" s="73"/>
      <c r="D1115" s="73"/>
      <c r="E1115" s="82"/>
      <c r="F1115" s="82"/>
      <c r="G1115" s="86"/>
      <c r="H1115" s="86"/>
      <c r="I1115" s="86"/>
      <c r="J1115" s="82"/>
      <c r="K1115" s="82"/>
      <c r="L1115" s="82"/>
      <c r="M1115" s="82"/>
      <c r="N1115" s="82"/>
      <c r="O1115" s="82"/>
      <c r="P1115" s="82"/>
      <c r="Q1115" s="82"/>
      <c r="R1115" s="82"/>
      <c r="S1115" s="82"/>
      <c r="T1115" s="82"/>
      <c r="U1115" s="82"/>
      <c r="V1115" s="82"/>
      <c r="W1115" s="82"/>
      <c r="X1115" s="82"/>
      <c r="Y1115" s="82"/>
      <c r="Z1115" s="82"/>
      <c r="AA1115" s="82"/>
      <c r="AB1115" s="82"/>
      <c r="AC1115" s="82"/>
      <c r="AD1115" s="82"/>
      <c r="AE1115" s="82"/>
      <c r="AF1115" s="82"/>
      <c r="AG1115" s="82"/>
      <c r="AH1115" s="82"/>
      <c r="AI1115" s="82"/>
      <c r="AJ1115" s="82"/>
      <c r="AK1115" s="82"/>
      <c r="AL1115" s="82"/>
      <c r="AM1115" s="82"/>
      <c r="AN1115" s="82"/>
      <c r="AO1115" s="82"/>
      <c r="AP1115" s="82"/>
      <c r="AQ1115" s="82"/>
      <c r="AR1115" s="82"/>
      <c r="AS1115" s="82"/>
      <c r="AT1115" s="82"/>
      <c r="AU1115" s="82"/>
      <c r="AV1115" s="82"/>
      <c r="AW1115" s="82" t="str">
        <f t="shared" si="1"/>
        <v/>
      </c>
      <c r="AX1115" s="83" t="str">
        <f t="array" ref="AX1115">IFERROR(DGET('SBV Import'!A:G,"SBV",{"RSC ID","Tier";B1115,A1115}))</f>
        <v/>
      </c>
      <c r="AY1115" s="82" t="str">
        <f t="shared" si="2"/>
        <v/>
      </c>
      <c r="AZ1115" s="82"/>
      <c r="BA1115" s="84" t="s">
        <v>152</v>
      </c>
      <c r="BB1115" s="84" t="str">
        <f>IFERROR(__xludf.DUMMYFUNCTION("iferror(if(A1115="""",,E1115&gt;=FILTER(Constants!$F$2:$F$10,Constants!$A$2:$A$10=A1115)))"),"")</f>
        <v/>
      </c>
    </row>
    <row r="1116">
      <c r="A1116" s="89"/>
      <c r="B1116" s="87"/>
      <c r="C1116" s="73"/>
      <c r="D1116" s="73"/>
      <c r="E1116" s="82"/>
      <c r="F1116" s="82"/>
      <c r="G1116" s="86"/>
      <c r="H1116" s="86"/>
      <c r="I1116" s="86"/>
      <c r="J1116" s="82"/>
      <c r="K1116" s="82"/>
      <c r="L1116" s="82"/>
      <c r="M1116" s="82"/>
      <c r="N1116" s="82"/>
      <c r="O1116" s="82"/>
      <c r="P1116" s="82"/>
      <c r="Q1116" s="82"/>
      <c r="R1116" s="82"/>
      <c r="S1116" s="82"/>
      <c r="T1116" s="82"/>
      <c r="U1116" s="82"/>
      <c r="V1116" s="82"/>
      <c r="W1116" s="82"/>
      <c r="X1116" s="82"/>
      <c r="Y1116" s="82"/>
      <c r="Z1116" s="82"/>
      <c r="AA1116" s="82"/>
      <c r="AB1116" s="82"/>
      <c r="AC1116" s="82"/>
      <c r="AD1116" s="82"/>
      <c r="AE1116" s="82"/>
      <c r="AF1116" s="82"/>
      <c r="AG1116" s="82"/>
      <c r="AH1116" s="82"/>
      <c r="AI1116" s="82"/>
      <c r="AJ1116" s="82"/>
      <c r="AK1116" s="82"/>
      <c r="AL1116" s="82"/>
      <c r="AM1116" s="82"/>
      <c r="AN1116" s="82"/>
      <c r="AO1116" s="82"/>
      <c r="AP1116" s="82"/>
      <c r="AQ1116" s="82"/>
      <c r="AR1116" s="82"/>
      <c r="AS1116" s="82"/>
      <c r="AT1116" s="82"/>
      <c r="AU1116" s="82"/>
      <c r="AV1116" s="82"/>
      <c r="AW1116" s="82" t="str">
        <f t="shared" si="1"/>
        <v/>
      </c>
      <c r="AX1116" s="83" t="str">
        <f t="array" ref="AX1116">IFERROR(DGET('SBV Import'!A:G,"SBV",{"RSC ID","Tier";B1116,A1116}))</f>
        <v/>
      </c>
      <c r="AY1116" s="82" t="str">
        <f t="shared" si="2"/>
        <v/>
      </c>
      <c r="AZ1116" s="82"/>
      <c r="BA1116" s="84" t="s">
        <v>152</v>
      </c>
      <c r="BB1116" s="84" t="str">
        <f>IFERROR(__xludf.DUMMYFUNCTION("iferror(if(A1116="""",,E1116&gt;=FILTER(Constants!$F$2:$F$10,Constants!$A$2:$A$10=A1116)))"),"")</f>
        <v/>
      </c>
    </row>
    <row r="1117">
      <c r="A1117" s="89"/>
      <c r="B1117" s="87"/>
      <c r="C1117" s="73"/>
      <c r="D1117" s="73"/>
      <c r="E1117" s="82"/>
      <c r="F1117" s="82"/>
      <c r="G1117" s="86"/>
      <c r="H1117" s="86"/>
      <c r="I1117" s="86"/>
      <c r="J1117" s="82"/>
      <c r="K1117" s="82"/>
      <c r="L1117" s="82"/>
      <c r="M1117" s="82"/>
      <c r="N1117" s="82"/>
      <c r="O1117" s="82"/>
      <c r="P1117" s="82"/>
      <c r="Q1117" s="82"/>
      <c r="R1117" s="82"/>
      <c r="S1117" s="82"/>
      <c r="T1117" s="82"/>
      <c r="U1117" s="82"/>
      <c r="V1117" s="82"/>
      <c r="W1117" s="82"/>
      <c r="X1117" s="82"/>
      <c r="Y1117" s="82"/>
      <c r="Z1117" s="82"/>
      <c r="AA1117" s="82"/>
      <c r="AB1117" s="82"/>
      <c r="AC1117" s="82"/>
      <c r="AD1117" s="82"/>
      <c r="AE1117" s="82"/>
      <c r="AF1117" s="82"/>
      <c r="AG1117" s="82"/>
      <c r="AH1117" s="82"/>
      <c r="AI1117" s="82"/>
      <c r="AJ1117" s="82"/>
      <c r="AK1117" s="82"/>
      <c r="AL1117" s="82"/>
      <c r="AM1117" s="82"/>
      <c r="AN1117" s="82"/>
      <c r="AO1117" s="82"/>
      <c r="AP1117" s="82"/>
      <c r="AQ1117" s="82"/>
      <c r="AR1117" s="82"/>
      <c r="AS1117" s="82"/>
      <c r="AT1117" s="82"/>
      <c r="AU1117" s="82"/>
      <c r="AV1117" s="82"/>
      <c r="AW1117" s="82" t="str">
        <f t="shared" si="1"/>
        <v/>
      </c>
      <c r="AX1117" s="83" t="str">
        <f t="array" ref="AX1117">IFERROR(DGET('SBV Import'!A:G,"SBV",{"RSC ID","Tier";B1117,A1117}))</f>
        <v/>
      </c>
      <c r="AY1117" s="82" t="str">
        <f t="shared" si="2"/>
        <v/>
      </c>
      <c r="AZ1117" s="82"/>
      <c r="BA1117" s="84" t="s">
        <v>152</v>
      </c>
      <c r="BB1117" s="84" t="str">
        <f>IFERROR(__xludf.DUMMYFUNCTION("iferror(if(A1117="""",,E1117&gt;=FILTER(Constants!$F$2:$F$10,Constants!$A$2:$A$10=A1117)))"),"")</f>
        <v/>
      </c>
    </row>
    <row r="1118">
      <c r="A1118" s="89"/>
      <c r="B1118" s="87"/>
      <c r="C1118" s="73"/>
      <c r="D1118" s="73"/>
      <c r="E1118" s="82"/>
      <c r="F1118" s="82"/>
      <c r="G1118" s="86"/>
      <c r="H1118" s="86"/>
      <c r="I1118" s="86"/>
      <c r="J1118" s="82"/>
      <c r="K1118" s="82"/>
      <c r="L1118" s="82"/>
      <c r="M1118" s="82"/>
      <c r="N1118" s="82"/>
      <c r="O1118" s="82"/>
      <c r="P1118" s="82"/>
      <c r="Q1118" s="82"/>
      <c r="R1118" s="82"/>
      <c r="S1118" s="82"/>
      <c r="T1118" s="82"/>
      <c r="U1118" s="82"/>
      <c r="V1118" s="82"/>
      <c r="W1118" s="82"/>
      <c r="X1118" s="82"/>
      <c r="Y1118" s="82"/>
      <c r="Z1118" s="82"/>
      <c r="AA1118" s="82"/>
      <c r="AB1118" s="82"/>
      <c r="AC1118" s="82"/>
      <c r="AD1118" s="82"/>
      <c r="AE1118" s="82"/>
      <c r="AF1118" s="82"/>
      <c r="AG1118" s="82"/>
      <c r="AH1118" s="82"/>
      <c r="AI1118" s="82"/>
      <c r="AJ1118" s="82"/>
      <c r="AK1118" s="82"/>
      <c r="AL1118" s="82"/>
      <c r="AM1118" s="82"/>
      <c r="AN1118" s="82"/>
      <c r="AO1118" s="82"/>
      <c r="AP1118" s="82"/>
      <c r="AQ1118" s="82"/>
      <c r="AR1118" s="82"/>
      <c r="AS1118" s="82"/>
      <c r="AT1118" s="82"/>
      <c r="AU1118" s="82"/>
      <c r="AV1118" s="82"/>
      <c r="AW1118" s="82" t="str">
        <f t="shared" si="1"/>
        <v/>
      </c>
      <c r="AX1118" s="83" t="str">
        <f t="array" ref="AX1118">IFERROR(DGET('SBV Import'!A:G,"SBV",{"RSC ID","Tier";B1118,A1118}))</f>
        <v/>
      </c>
      <c r="AY1118" s="82" t="str">
        <f t="shared" si="2"/>
        <v/>
      </c>
      <c r="AZ1118" s="82"/>
      <c r="BA1118" s="84" t="s">
        <v>152</v>
      </c>
      <c r="BB1118" s="84" t="str">
        <f>IFERROR(__xludf.DUMMYFUNCTION("iferror(if(A1118="""",,E1118&gt;=FILTER(Constants!$F$2:$F$10,Constants!$A$2:$A$10=A1118)))"),"")</f>
        <v/>
      </c>
    </row>
    <row r="1119">
      <c r="A1119" s="89"/>
      <c r="B1119" s="87"/>
      <c r="C1119" s="73"/>
      <c r="D1119" s="73"/>
      <c r="E1119" s="82"/>
      <c r="F1119" s="82"/>
      <c r="G1119" s="86"/>
      <c r="H1119" s="86"/>
      <c r="I1119" s="86"/>
      <c r="J1119" s="82"/>
      <c r="K1119" s="82"/>
      <c r="L1119" s="82"/>
      <c r="M1119" s="82"/>
      <c r="N1119" s="82"/>
      <c r="O1119" s="82"/>
      <c r="P1119" s="82"/>
      <c r="Q1119" s="82"/>
      <c r="R1119" s="82"/>
      <c r="S1119" s="82"/>
      <c r="T1119" s="82"/>
      <c r="U1119" s="82"/>
      <c r="V1119" s="82"/>
      <c r="W1119" s="82"/>
      <c r="X1119" s="82"/>
      <c r="Y1119" s="82"/>
      <c r="Z1119" s="82"/>
      <c r="AA1119" s="82"/>
      <c r="AB1119" s="82"/>
      <c r="AC1119" s="82"/>
      <c r="AD1119" s="82"/>
      <c r="AE1119" s="82"/>
      <c r="AF1119" s="82"/>
      <c r="AG1119" s="82"/>
      <c r="AH1119" s="82"/>
      <c r="AI1119" s="82"/>
      <c r="AJ1119" s="82"/>
      <c r="AK1119" s="82"/>
      <c r="AL1119" s="82"/>
      <c r="AM1119" s="82"/>
      <c r="AN1119" s="82"/>
      <c r="AO1119" s="82"/>
      <c r="AP1119" s="82"/>
      <c r="AQ1119" s="82"/>
      <c r="AR1119" s="82"/>
      <c r="AS1119" s="82"/>
      <c r="AT1119" s="82"/>
      <c r="AU1119" s="82"/>
      <c r="AV1119" s="82"/>
      <c r="AW1119" s="82" t="str">
        <f t="shared" si="1"/>
        <v/>
      </c>
      <c r="AX1119" s="83" t="str">
        <f t="array" ref="AX1119">IFERROR(DGET('SBV Import'!A:G,"SBV",{"RSC ID","Tier";B1119,A1119}))</f>
        <v/>
      </c>
      <c r="AY1119" s="82" t="str">
        <f t="shared" si="2"/>
        <v/>
      </c>
      <c r="AZ1119" s="82"/>
      <c r="BA1119" s="84" t="s">
        <v>152</v>
      </c>
      <c r="BB1119" s="84" t="str">
        <f>IFERROR(__xludf.DUMMYFUNCTION("iferror(if(A1119="""",,E1119&gt;=FILTER(Constants!$F$2:$F$10,Constants!$A$2:$A$10=A1119)))"),"")</f>
        <v/>
      </c>
    </row>
    <row r="1120">
      <c r="A1120" s="89"/>
      <c r="B1120" s="87"/>
      <c r="C1120" s="73"/>
      <c r="D1120" s="73"/>
      <c r="E1120" s="82"/>
      <c r="F1120" s="82"/>
      <c r="G1120" s="86"/>
      <c r="H1120" s="86"/>
      <c r="I1120" s="86"/>
      <c r="J1120" s="82"/>
      <c r="K1120" s="82"/>
      <c r="L1120" s="82"/>
      <c r="M1120" s="82"/>
      <c r="N1120" s="82"/>
      <c r="O1120" s="82"/>
      <c r="P1120" s="82"/>
      <c r="Q1120" s="82"/>
      <c r="R1120" s="82"/>
      <c r="S1120" s="82"/>
      <c r="T1120" s="82"/>
      <c r="U1120" s="82"/>
      <c r="V1120" s="82"/>
      <c r="W1120" s="82"/>
      <c r="X1120" s="82"/>
      <c r="Y1120" s="82"/>
      <c r="Z1120" s="82"/>
      <c r="AA1120" s="82"/>
      <c r="AB1120" s="82"/>
      <c r="AC1120" s="82"/>
      <c r="AD1120" s="82"/>
      <c r="AE1120" s="82"/>
      <c r="AF1120" s="82"/>
      <c r="AG1120" s="82"/>
      <c r="AH1120" s="82"/>
      <c r="AI1120" s="82"/>
      <c r="AJ1120" s="82"/>
      <c r="AK1120" s="82"/>
      <c r="AL1120" s="82"/>
      <c r="AM1120" s="82"/>
      <c r="AN1120" s="82"/>
      <c r="AO1120" s="82"/>
      <c r="AP1120" s="82"/>
      <c r="AQ1120" s="82"/>
      <c r="AR1120" s="82"/>
      <c r="AS1120" s="82"/>
      <c r="AT1120" s="82"/>
      <c r="AU1120" s="82"/>
      <c r="AV1120" s="82"/>
      <c r="AW1120" s="82" t="str">
        <f t="shared" si="1"/>
        <v/>
      </c>
      <c r="AX1120" s="83" t="str">
        <f t="array" ref="AX1120">IFERROR(DGET('SBV Import'!A:G,"SBV",{"RSC ID","Tier";B1120,A1120}))</f>
        <v/>
      </c>
      <c r="AY1120" s="82" t="str">
        <f t="shared" si="2"/>
        <v/>
      </c>
      <c r="AZ1120" s="82"/>
      <c r="BA1120" s="84" t="s">
        <v>152</v>
      </c>
      <c r="BB1120" s="84" t="str">
        <f>IFERROR(__xludf.DUMMYFUNCTION("iferror(if(A1120="""",,E1120&gt;=FILTER(Constants!$F$2:$F$10,Constants!$A$2:$A$10=A1120)))"),"")</f>
        <v/>
      </c>
    </row>
    <row r="1121">
      <c r="A1121" s="89"/>
      <c r="B1121" s="87"/>
      <c r="C1121" s="73"/>
      <c r="D1121" s="73"/>
      <c r="E1121" s="82"/>
      <c r="F1121" s="82"/>
      <c r="G1121" s="86"/>
      <c r="H1121" s="86"/>
      <c r="I1121" s="86"/>
      <c r="J1121" s="82"/>
      <c r="K1121" s="82"/>
      <c r="L1121" s="82"/>
      <c r="M1121" s="82"/>
      <c r="N1121" s="82"/>
      <c r="O1121" s="82"/>
      <c r="P1121" s="82"/>
      <c r="Q1121" s="82"/>
      <c r="R1121" s="82"/>
      <c r="S1121" s="82"/>
      <c r="T1121" s="82"/>
      <c r="U1121" s="82"/>
      <c r="V1121" s="82"/>
      <c r="W1121" s="82"/>
      <c r="X1121" s="82"/>
      <c r="Y1121" s="82"/>
      <c r="Z1121" s="82"/>
      <c r="AA1121" s="82"/>
      <c r="AB1121" s="82"/>
      <c r="AC1121" s="82"/>
      <c r="AD1121" s="82"/>
      <c r="AE1121" s="82"/>
      <c r="AF1121" s="82"/>
      <c r="AG1121" s="82"/>
      <c r="AH1121" s="82"/>
      <c r="AI1121" s="82"/>
      <c r="AJ1121" s="82"/>
      <c r="AK1121" s="82"/>
      <c r="AL1121" s="82"/>
      <c r="AM1121" s="82"/>
      <c r="AN1121" s="82"/>
      <c r="AO1121" s="82"/>
      <c r="AP1121" s="82"/>
      <c r="AQ1121" s="82"/>
      <c r="AR1121" s="82"/>
      <c r="AS1121" s="82"/>
      <c r="AT1121" s="82"/>
      <c r="AU1121" s="82"/>
      <c r="AV1121" s="82"/>
      <c r="AW1121" s="82" t="str">
        <f t="shared" si="1"/>
        <v/>
      </c>
      <c r="AX1121" s="83" t="str">
        <f t="array" ref="AX1121">IFERROR(DGET('SBV Import'!A:G,"SBV",{"RSC ID","Tier";B1121,A1121}))</f>
        <v/>
      </c>
      <c r="AY1121" s="82" t="str">
        <f t="shared" si="2"/>
        <v/>
      </c>
      <c r="AZ1121" s="82"/>
      <c r="BA1121" s="84" t="s">
        <v>152</v>
      </c>
      <c r="BB1121" s="84" t="str">
        <f>IFERROR(__xludf.DUMMYFUNCTION("iferror(if(A1121="""",,E1121&gt;=FILTER(Constants!$F$2:$F$10,Constants!$A$2:$A$10=A1121)))"),"")</f>
        <v/>
      </c>
    </row>
    <row r="1122">
      <c r="A1122" s="89"/>
      <c r="B1122" s="87"/>
      <c r="C1122" s="73"/>
      <c r="D1122" s="73"/>
      <c r="E1122" s="82"/>
      <c r="F1122" s="82"/>
      <c r="G1122" s="86"/>
      <c r="H1122" s="86"/>
      <c r="I1122" s="86"/>
      <c r="J1122" s="82"/>
      <c r="K1122" s="82"/>
      <c r="L1122" s="82"/>
      <c r="M1122" s="82"/>
      <c r="N1122" s="82"/>
      <c r="O1122" s="82"/>
      <c r="P1122" s="82"/>
      <c r="Q1122" s="82"/>
      <c r="R1122" s="82"/>
      <c r="S1122" s="82"/>
      <c r="T1122" s="82"/>
      <c r="U1122" s="82"/>
      <c r="V1122" s="82"/>
      <c r="W1122" s="82"/>
      <c r="X1122" s="82"/>
      <c r="Y1122" s="82"/>
      <c r="Z1122" s="82"/>
      <c r="AA1122" s="82"/>
      <c r="AB1122" s="82"/>
      <c r="AC1122" s="82"/>
      <c r="AD1122" s="82"/>
      <c r="AE1122" s="82"/>
      <c r="AF1122" s="82"/>
      <c r="AG1122" s="82"/>
      <c r="AH1122" s="82"/>
      <c r="AI1122" s="82"/>
      <c r="AJ1122" s="82"/>
      <c r="AK1122" s="82"/>
      <c r="AL1122" s="82"/>
      <c r="AM1122" s="82"/>
      <c r="AN1122" s="82"/>
      <c r="AO1122" s="82"/>
      <c r="AP1122" s="82"/>
      <c r="AQ1122" s="82"/>
      <c r="AR1122" s="82"/>
      <c r="AS1122" s="82"/>
      <c r="AT1122" s="82"/>
      <c r="AU1122" s="82"/>
      <c r="AV1122" s="82"/>
      <c r="AW1122" s="82" t="str">
        <f t="shared" si="1"/>
        <v/>
      </c>
      <c r="AX1122" s="83" t="str">
        <f t="array" ref="AX1122">IFERROR(DGET('SBV Import'!A:G,"SBV",{"RSC ID","Tier";B1122,A1122}))</f>
        <v/>
      </c>
      <c r="AY1122" s="82" t="str">
        <f t="shared" si="2"/>
        <v/>
      </c>
      <c r="AZ1122" s="82"/>
      <c r="BA1122" s="84" t="s">
        <v>152</v>
      </c>
      <c r="BB1122" s="84" t="str">
        <f>IFERROR(__xludf.DUMMYFUNCTION("iferror(if(A1122="""",,E1122&gt;=FILTER(Constants!$F$2:$F$10,Constants!$A$2:$A$10=A1122)))"),"")</f>
        <v/>
      </c>
    </row>
    <row r="1123">
      <c r="A1123" s="89"/>
      <c r="B1123" s="87"/>
      <c r="C1123" s="73"/>
      <c r="D1123" s="73"/>
      <c r="E1123" s="82"/>
      <c r="F1123" s="82"/>
      <c r="G1123" s="86"/>
      <c r="H1123" s="86"/>
      <c r="I1123" s="86"/>
      <c r="J1123" s="82"/>
      <c r="K1123" s="82"/>
      <c r="L1123" s="82"/>
      <c r="M1123" s="82"/>
      <c r="N1123" s="82"/>
      <c r="O1123" s="82"/>
      <c r="P1123" s="82"/>
      <c r="Q1123" s="82"/>
      <c r="R1123" s="82"/>
      <c r="S1123" s="82"/>
      <c r="T1123" s="82"/>
      <c r="U1123" s="82"/>
      <c r="V1123" s="82"/>
      <c r="W1123" s="82"/>
      <c r="X1123" s="82"/>
      <c r="Y1123" s="82"/>
      <c r="Z1123" s="82"/>
      <c r="AA1123" s="82"/>
      <c r="AB1123" s="82"/>
      <c r="AC1123" s="82"/>
      <c r="AD1123" s="82"/>
      <c r="AE1123" s="82"/>
      <c r="AF1123" s="82"/>
      <c r="AG1123" s="82"/>
      <c r="AH1123" s="82"/>
      <c r="AI1123" s="82"/>
      <c r="AJ1123" s="82"/>
      <c r="AK1123" s="82"/>
      <c r="AL1123" s="82"/>
      <c r="AM1123" s="82"/>
      <c r="AN1123" s="82"/>
      <c r="AO1123" s="82"/>
      <c r="AP1123" s="82"/>
      <c r="AQ1123" s="82"/>
      <c r="AR1123" s="82"/>
      <c r="AS1123" s="82"/>
      <c r="AT1123" s="82"/>
      <c r="AU1123" s="82"/>
      <c r="AV1123" s="82"/>
      <c r="AW1123" s="82" t="str">
        <f t="shared" si="1"/>
        <v/>
      </c>
      <c r="AX1123" s="83" t="str">
        <f t="array" ref="AX1123">IFERROR(DGET('SBV Import'!A:G,"SBV",{"RSC ID","Tier";B1123,A1123}))</f>
        <v/>
      </c>
      <c r="AY1123" s="82" t="str">
        <f t="shared" si="2"/>
        <v/>
      </c>
      <c r="AZ1123" s="82"/>
      <c r="BA1123" s="84" t="s">
        <v>152</v>
      </c>
      <c r="BB1123" s="84" t="str">
        <f>IFERROR(__xludf.DUMMYFUNCTION("iferror(if(A1123="""",,E1123&gt;=FILTER(Constants!$F$2:$F$10,Constants!$A$2:$A$10=A1123)))"),"")</f>
        <v/>
      </c>
    </row>
    <row r="1124">
      <c r="A1124" s="89"/>
      <c r="B1124" s="87"/>
      <c r="C1124" s="73"/>
      <c r="D1124" s="73"/>
      <c r="E1124" s="82"/>
      <c r="F1124" s="82"/>
      <c r="G1124" s="86"/>
      <c r="H1124" s="86"/>
      <c r="I1124" s="86"/>
      <c r="J1124" s="82"/>
      <c r="K1124" s="82"/>
      <c r="L1124" s="82"/>
      <c r="M1124" s="82"/>
      <c r="N1124" s="82"/>
      <c r="O1124" s="82"/>
      <c r="P1124" s="82"/>
      <c r="Q1124" s="82"/>
      <c r="R1124" s="82"/>
      <c r="S1124" s="82"/>
      <c r="T1124" s="82"/>
      <c r="U1124" s="82"/>
      <c r="V1124" s="82"/>
      <c r="W1124" s="82"/>
      <c r="X1124" s="82"/>
      <c r="Y1124" s="82"/>
      <c r="Z1124" s="82"/>
      <c r="AA1124" s="82"/>
      <c r="AB1124" s="82"/>
      <c r="AC1124" s="82"/>
      <c r="AD1124" s="82"/>
      <c r="AE1124" s="82"/>
      <c r="AF1124" s="82"/>
      <c r="AG1124" s="82"/>
      <c r="AH1124" s="82"/>
      <c r="AI1124" s="82"/>
      <c r="AJ1124" s="82"/>
      <c r="AK1124" s="82"/>
      <c r="AL1124" s="82"/>
      <c r="AM1124" s="82"/>
      <c r="AN1124" s="82"/>
      <c r="AO1124" s="82"/>
      <c r="AP1124" s="82"/>
      <c r="AQ1124" s="82"/>
      <c r="AR1124" s="82"/>
      <c r="AS1124" s="82"/>
      <c r="AT1124" s="82"/>
      <c r="AU1124" s="82"/>
      <c r="AV1124" s="82"/>
      <c r="AW1124" s="82" t="str">
        <f t="shared" si="1"/>
        <v/>
      </c>
      <c r="AX1124" s="83" t="str">
        <f t="array" ref="AX1124">IFERROR(DGET('SBV Import'!A:G,"SBV",{"RSC ID","Tier";B1124,A1124}))</f>
        <v/>
      </c>
      <c r="AY1124" s="82" t="str">
        <f t="shared" si="2"/>
        <v/>
      </c>
      <c r="AZ1124" s="82"/>
      <c r="BA1124" s="84" t="s">
        <v>152</v>
      </c>
      <c r="BB1124" s="84" t="str">
        <f>IFERROR(__xludf.DUMMYFUNCTION("iferror(if(A1124="""",,E1124&gt;=FILTER(Constants!$F$2:$F$10,Constants!$A$2:$A$10=A1124)))"),"")</f>
        <v/>
      </c>
    </row>
    <row r="1125">
      <c r="A1125" s="89"/>
      <c r="B1125" s="87"/>
      <c r="C1125" s="73"/>
      <c r="D1125" s="73"/>
      <c r="E1125" s="82"/>
      <c r="F1125" s="82"/>
      <c r="G1125" s="86"/>
      <c r="H1125" s="86"/>
      <c r="I1125" s="86"/>
      <c r="J1125" s="82"/>
      <c r="K1125" s="82"/>
      <c r="L1125" s="82"/>
      <c r="M1125" s="82"/>
      <c r="N1125" s="82"/>
      <c r="O1125" s="82"/>
      <c r="P1125" s="82"/>
      <c r="Q1125" s="82"/>
      <c r="R1125" s="82"/>
      <c r="S1125" s="82"/>
      <c r="T1125" s="82"/>
      <c r="U1125" s="82"/>
      <c r="V1125" s="82"/>
      <c r="W1125" s="82"/>
      <c r="X1125" s="82"/>
      <c r="Y1125" s="82"/>
      <c r="Z1125" s="82"/>
      <c r="AA1125" s="82"/>
      <c r="AB1125" s="82"/>
      <c r="AC1125" s="82"/>
      <c r="AD1125" s="82"/>
      <c r="AE1125" s="82"/>
      <c r="AF1125" s="82"/>
      <c r="AG1125" s="82"/>
      <c r="AH1125" s="82"/>
      <c r="AI1125" s="82"/>
      <c r="AJ1125" s="82"/>
      <c r="AK1125" s="82"/>
      <c r="AL1125" s="82"/>
      <c r="AM1125" s="82"/>
      <c r="AN1125" s="82"/>
      <c r="AO1125" s="82"/>
      <c r="AP1125" s="82"/>
      <c r="AQ1125" s="82"/>
      <c r="AR1125" s="82"/>
      <c r="AS1125" s="82"/>
      <c r="AT1125" s="82"/>
      <c r="AU1125" s="82"/>
      <c r="AV1125" s="82"/>
      <c r="AW1125" s="82" t="str">
        <f t="shared" si="1"/>
        <v/>
      </c>
      <c r="AX1125" s="83" t="str">
        <f t="array" ref="AX1125">IFERROR(DGET('SBV Import'!A:G,"SBV",{"RSC ID","Tier";B1125,A1125}))</f>
        <v/>
      </c>
      <c r="AY1125" s="82" t="str">
        <f t="shared" si="2"/>
        <v/>
      </c>
      <c r="AZ1125" s="82"/>
      <c r="BA1125" s="84" t="s">
        <v>152</v>
      </c>
      <c r="BB1125" s="84" t="str">
        <f>IFERROR(__xludf.DUMMYFUNCTION("iferror(if(A1125="""",,E1125&gt;=FILTER(Constants!$F$2:$F$10,Constants!$A$2:$A$10=A1125)))"),"")</f>
        <v/>
      </c>
    </row>
    <row r="1126">
      <c r="A1126" s="89"/>
      <c r="B1126" s="87"/>
      <c r="C1126" s="73"/>
      <c r="D1126" s="73"/>
      <c r="E1126" s="82"/>
      <c r="F1126" s="82"/>
      <c r="G1126" s="86"/>
      <c r="H1126" s="86"/>
      <c r="I1126" s="86"/>
      <c r="J1126" s="82"/>
      <c r="K1126" s="82"/>
      <c r="L1126" s="82"/>
      <c r="M1126" s="82"/>
      <c r="N1126" s="82"/>
      <c r="O1126" s="82"/>
      <c r="P1126" s="82"/>
      <c r="Q1126" s="82"/>
      <c r="R1126" s="82"/>
      <c r="S1126" s="82"/>
      <c r="T1126" s="82"/>
      <c r="U1126" s="82"/>
      <c r="V1126" s="82"/>
      <c r="W1126" s="82"/>
      <c r="X1126" s="82"/>
      <c r="Y1126" s="8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82"/>
      <c r="AW1126" s="82" t="str">
        <f t="shared" si="1"/>
        <v/>
      </c>
      <c r="AX1126" s="83" t="str">
        <f t="array" ref="AX1126">IFERROR(DGET('SBV Import'!A:G,"SBV",{"RSC ID","Tier";B1126,A1126}))</f>
        <v/>
      </c>
      <c r="AY1126" s="82" t="str">
        <f t="shared" si="2"/>
        <v/>
      </c>
      <c r="AZ1126" s="82"/>
      <c r="BA1126" s="84" t="s">
        <v>152</v>
      </c>
      <c r="BB1126" s="84" t="str">
        <f>IFERROR(__xludf.DUMMYFUNCTION("iferror(if(A1126="""",,E1126&gt;=FILTER(Constants!$F$2:$F$10,Constants!$A$2:$A$10=A1126)))"),"")</f>
        <v/>
      </c>
    </row>
    <row r="1127">
      <c r="A1127" s="89"/>
      <c r="B1127" s="87"/>
      <c r="C1127" s="73"/>
      <c r="D1127" s="73"/>
      <c r="E1127" s="82"/>
      <c r="F1127" s="82"/>
      <c r="G1127" s="86"/>
      <c r="H1127" s="86"/>
      <c r="I1127" s="86"/>
      <c r="J1127" s="82"/>
      <c r="K1127" s="82"/>
      <c r="L1127" s="82"/>
      <c r="M1127" s="82"/>
      <c r="N1127" s="82"/>
      <c r="O1127" s="82"/>
      <c r="P1127" s="82"/>
      <c r="Q1127" s="82"/>
      <c r="R1127" s="82"/>
      <c r="S1127" s="82"/>
      <c r="T1127" s="82"/>
      <c r="U1127" s="82"/>
      <c r="V1127" s="82"/>
      <c r="W1127" s="82"/>
      <c r="X1127" s="82"/>
      <c r="Y1127" s="8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82"/>
      <c r="AW1127" s="82" t="str">
        <f t="shared" si="1"/>
        <v/>
      </c>
      <c r="AX1127" s="83" t="str">
        <f t="array" ref="AX1127">IFERROR(DGET('SBV Import'!A:G,"SBV",{"RSC ID","Tier";B1127,A1127}))</f>
        <v/>
      </c>
      <c r="AY1127" s="82" t="str">
        <f t="shared" si="2"/>
        <v/>
      </c>
      <c r="AZ1127" s="82"/>
      <c r="BA1127" s="84" t="s">
        <v>152</v>
      </c>
      <c r="BB1127" s="84" t="str">
        <f>IFERROR(__xludf.DUMMYFUNCTION("iferror(if(A1127="""",,E1127&gt;=FILTER(Constants!$F$2:$F$10,Constants!$A$2:$A$10=A1127)))"),"")</f>
        <v/>
      </c>
    </row>
    <row r="1128">
      <c r="A1128" s="89"/>
      <c r="B1128" s="87"/>
      <c r="C1128" s="73"/>
      <c r="D1128" s="73"/>
      <c r="E1128" s="82"/>
      <c r="F1128" s="82"/>
      <c r="G1128" s="86"/>
      <c r="H1128" s="86"/>
      <c r="I1128" s="86"/>
      <c r="J1128" s="82"/>
      <c r="K1128" s="82"/>
      <c r="L1128" s="82"/>
      <c r="M1128" s="82"/>
      <c r="N1128" s="82"/>
      <c r="O1128" s="82"/>
      <c r="P1128" s="82"/>
      <c r="Q1128" s="82"/>
      <c r="R1128" s="82"/>
      <c r="S1128" s="82"/>
      <c r="T1128" s="82"/>
      <c r="U1128" s="82"/>
      <c r="V1128" s="82"/>
      <c r="W1128" s="82"/>
      <c r="X1128" s="82"/>
      <c r="Y1128" s="8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82"/>
      <c r="AW1128" s="82" t="str">
        <f t="shared" si="1"/>
        <v/>
      </c>
      <c r="AX1128" s="83" t="str">
        <f t="array" ref="AX1128">IFERROR(DGET('SBV Import'!A:G,"SBV",{"RSC ID","Tier";B1128,A1128}))</f>
        <v/>
      </c>
      <c r="AY1128" s="82" t="str">
        <f t="shared" si="2"/>
        <v/>
      </c>
      <c r="AZ1128" s="82"/>
      <c r="BA1128" s="84" t="s">
        <v>152</v>
      </c>
      <c r="BB1128" s="84" t="str">
        <f>IFERROR(__xludf.DUMMYFUNCTION("iferror(if(A1128="""",,E1128&gt;=FILTER(Constants!$F$2:$F$10,Constants!$A$2:$A$10=A1128)))"),"")</f>
        <v/>
      </c>
    </row>
    <row r="1129">
      <c r="A1129" s="89"/>
      <c r="B1129" s="87"/>
      <c r="C1129" s="73"/>
      <c r="D1129" s="73"/>
      <c r="E1129" s="82"/>
      <c r="F1129" s="82"/>
      <c r="G1129" s="86"/>
      <c r="H1129" s="86"/>
      <c r="I1129" s="86"/>
      <c r="J1129" s="82"/>
      <c r="K1129" s="82"/>
      <c r="L1129" s="82"/>
      <c r="M1129" s="82"/>
      <c r="N1129" s="82"/>
      <c r="O1129" s="82"/>
      <c r="P1129" s="82"/>
      <c r="Q1129" s="82"/>
      <c r="R1129" s="82"/>
      <c r="S1129" s="82"/>
      <c r="T1129" s="82"/>
      <c r="U1129" s="82"/>
      <c r="V1129" s="82"/>
      <c r="W1129" s="82"/>
      <c r="X1129" s="82"/>
      <c r="Y1129" s="8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82"/>
      <c r="AW1129" s="82" t="str">
        <f t="shared" si="1"/>
        <v/>
      </c>
      <c r="AX1129" s="83" t="str">
        <f t="array" ref="AX1129">IFERROR(DGET('SBV Import'!A:G,"SBV",{"RSC ID","Tier";B1129,A1129}))</f>
        <v/>
      </c>
      <c r="AY1129" s="82" t="str">
        <f t="shared" si="2"/>
        <v/>
      </c>
      <c r="AZ1129" s="82"/>
      <c r="BA1129" s="84" t="s">
        <v>152</v>
      </c>
      <c r="BB1129" s="84" t="str">
        <f>IFERROR(__xludf.DUMMYFUNCTION("iferror(if(A1129="""",,E1129&gt;=FILTER(Constants!$F$2:$F$10,Constants!$A$2:$A$10=A1129)))"),"")</f>
        <v/>
      </c>
    </row>
    <row r="1130">
      <c r="A1130" s="89"/>
      <c r="B1130" s="87"/>
      <c r="C1130" s="73"/>
      <c r="D1130" s="73"/>
      <c r="E1130" s="82"/>
      <c r="F1130" s="82"/>
      <c r="G1130" s="86"/>
      <c r="H1130" s="86"/>
      <c r="I1130" s="86"/>
      <c r="J1130" s="82"/>
      <c r="K1130" s="82"/>
      <c r="L1130" s="82"/>
      <c r="M1130" s="82"/>
      <c r="N1130" s="82"/>
      <c r="O1130" s="82"/>
      <c r="P1130" s="82"/>
      <c r="Q1130" s="82"/>
      <c r="R1130" s="82"/>
      <c r="S1130" s="82"/>
      <c r="T1130" s="82"/>
      <c r="U1130" s="82"/>
      <c r="V1130" s="82"/>
      <c r="W1130" s="82"/>
      <c r="X1130" s="82"/>
      <c r="Y1130" s="8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82"/>
      <c r="AW1130" s="82" t="str">
        <f t="shared" si="1"/>
        <v/>
      </c>
      <c r="AX1130" s="83" t="str">
        <f t="array" ref="AX1130">IFERROR(DGET('SBV Import'!A:G,"SBV",{"RSC ID","Tier";B1130,A1130}))</f>
        <v/>
      </c>
      <c r="AY1130" s="82" t="str">
        <f t="shared" si="2"/>
        <v/>
      </c>
      <c r="AZ1130" s="82"/>
      <c r="BA1130" s="84" t="s">
        <v>152</v>
      </c>
      <c r="BB1130" s="84" t="str">
        <f>IFERROR(__xludf.DUMMYFUNCTION("iferror(if(A1130="""",,E1130&gt;=FILTER(Constants!$F$2:$F$10,Constants!$A$2:$A$10=A1130)))"),"")</f>
        <v/>
      </c>
    </row>
    <row r="1131">
      <c r="A1131" s="89"/>
      <c r="B1131" s="87"/>
      <c r="C1131" s="73"/>
      <c r="D1131" s="73"/>
      <c r="E1131" s="82"/>
      <c r="F1131" s="82"/>
      <c r="G1131" s="86"/>
      <c r="H1131" s="86"/>
      <c r="I1131" s="86"/>
      <c r="J1131" s="82"/>
      <c r="K1131" s="82"/>
      <c r="L1131" s="82"/>
      <c r="M1131" s="82"/>
      <c r="N1131" s="82"/>
      <c r="O1131" s="82"/>
      <c r="P1131" s="82"/>
      <c r="Q1131" s="82"/>
      <c r="R1131" s="82"/>
      <c r="S1131" s="82"/>
      <c r="T1131" s="82"/>
      <c r="U1131" s="82"/>
      <c r="V1131" s="82"/>
      <c r="W1131" s="82"/>
      <c r="X1131" s="82"/>
      <c r="Y1131" s="8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82"/>
      <c r="AW1131" s="82" t="str">
        <f t="shared" si="1"/>
        <v/>
      </c>
      <c r="AX1131" s="83" t="str">
        <f t="array" ref="AX1131">IFERROR(DGET('SBV Import'!A:G,"SBV",{"RSC ID","Tier";B1131,A1131}))</f>
        <v/>
      </c>
      <c r="AY1131" s="82" t="str">
        <f t="shared" si="2"/>
        <v/>
      </c>
      <c r="AZ1131" s="82"/>
      <c r="BA1131" s="84" t="s">
        <v>152</v>
      </c>
      <c r="BB1131" s="84" t="str">
        <f>IFERROR(__xludf.DUMMYFUNCTION("iferror(if(A1131="""",,E1131&gt;=FILTER(Constants!$F$2:$F$10,Constants!$A$2:$A$10=A1131)))"),"")</f>
        <v/>
      </c>
    </row>
    <row r="1132">
      <c r="A1132" s="89"/>
      <c r="B1132" s="87"/>
      <c r="C1132" s="73"/>
      <c r="D1132" s="73"/>
      <c r="E1132" s="82"/>
      <c r="F1132" s="82"/>
      <c r="G1132" s="86"/>
      <c r="H1132" s="86"/>
      <c r="I1132" s="86"/>
      <c r="J1132" s="82"/>
      <c r="K1132" s="82"/>
      <c r="L1132" s="82"/>
      <c r="M1132" s="82"/>
      <c r="N1132" s="82"/>
      <c r="O1132" s="82"/>
      <c r="P1132" s="82"/>
      <c r="Q1132" s="82"/>
      <c r="R1132" s="82"/>
      <c r="S1132" s="82"/>
      <c r="T1132" s="82"/>
      <c r="U1132" s="82"/>
      <c r="V1132" s="82"/>
      <c r="W1132" s="82"/>
      <c r="X1132" s="82"/>
      <c r="Y1132" s="8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82"/>
      <c r="AW1132" s="82" t="str">
        <f t="shared" si="1"/>
        <v/>
      </c>
      <c r="AX1132" s="83" t="str">
        <f t="array" ref="AX1132">IFERROR(DGET('SBV Import'!A:G,"SBV",{"RSC ID","Tier";B1132,A1132}))</f>
        <v/>
      </c>
      <c r="AY1132" s="82" t="str">
        <f t="shared" si="2"/>
        <v/>
      </c>
      <c r="AZ1132" s="82"/>
      <c r="BA1132" s="84" t="s">
        <v>152</v>
      </c>
      <c r="BB1132" s="84" t="str">
        <f>IFERROR(__xludf.DUMMYFUNCTION("iferror(if(A1132="""",,E1132&gt;=FILTER(Constants!$F$2:$F$10,Constants!$A$2:$A$10=A1132)))"),"")</f>
        <v/>
      </c>
    </row>
    <row r="1133">
      <c r="A1133" s="89"/>
      <c r="B1133" s="87"/>
      <c r="C1133" s="73"/>
      <c r="D1133" s="73"/>
      <c r="E1133" s="82"/>
      <c r="F1133" s="82"/>
      <c r="G1133" s="86"/>
      <c r="H1133" s="86"/>
      <c r="I1133" s="86"/>
      <c r="J1133" s="82"/>
      <c r="K1133" s="82"/>
      <c r="L1133" s="82"/>
      <c r="M1133" s="82"/>
      <c r="N1133" s="82"/>
      <c r="O1133" s="82"/>
      <c r="P1133" s="82"/>
      <c r="Q1133" s="82"/>
      <c r="R1133" s="82"/>
      <c r="S1133" s="82"/>
      <c r="T1133" s="82"/>
      <c r="U1133" s="82"/>
      <c r="V1133" s="82"/>
      <c r="W1133" s="82"/>
      <c r="X1133" s="82"/>
      <c r="Y1133" s="8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82"/>
      <c r="AW1133" s="82" t="str">
        <f t="shared" si="1"/>
        <v/>
      </c>
      <c r="AX1133" s="83" t="str">
        <f t="array" ref="AX1133">IFERROR(DGET('SBV Import'!A:G,"SBV",{"RSC ID","Tier";B1133,A1133}))</f>
        <v/>
      </c>
      <c r="AY1133" s="82" t="str">
        <f t="shared" si="2"/>
        <v/>
      </c>
      <c r="AZ1133" s="82"/>
      <c r="BA1133" s="84" t="s">
        <v>152</v>
      </c>
      <c r="BB1133" s="84" t="str">
        <f>IFERROR(__xludf.DUMMYFUNCTION("iferror(if(A1133="""",,E1133&gt;=FILTER(Constants!$F$2:$F$10,Constants!$A$2:$A$10=A1133)))"),"")</f>
        <v/>
      </c>
    </row>
    <row r="1134">
      <c r="A1134" s="89"/>
      <c r="B1134" s="87"/>
      <c r="C1134" s="73"/>
      <c r="D1134" s="73"/>
      <c r="E1134" s="82"/>
      <c r="F1134" s="82"/>
      <c r="G1134" s="86"/>
      <c r="H1134" s="86"/>
      <c r="I1134" s="86"/>
      <c r="J1134" s="82"/>
      <c r="K1134" s="82"/>
      <c r="L1134" s="82"/>
      <c r="M1134" s="82"/>
      <c r="N1134" s="82"/>
      <c r="O1134" s="82"/>
      <c r="P1134" s="82"/>
      <c r="Q1134" s="82"/>
      <c r="R1134" s="82"/>
      <c r="S1134" s="82"/>
      <c r="T1134" s="82"/>
      <c r="U1134" s="82"/>
      <c r="V1134" s="82"/>
      <c r="W1134" s="82"/>
      <c r="X1134" s="82"/>
      <c r="Y1134" s="8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82"/>
      <c r="AW1134" s="82" t="str">
        <f t="shared" si="1"/>
        <v/>
      </c>
      <c r="AX1134" s="83" t="str">
        <f t="array" ref="AX1134">IFERROR(DGET('SBV Import'!A:G,"SBV",{"RSC ID","Tier";B1134,A1134}))</f>
        <v/>
      </c>
      <c r="AY1134" s="82" t="str">
        <f t="shared" si="2"/>
        <v/>
      </c>
      <c r="AZ1134" s="82"/>
      <c r="BA1134" s="84" t="s">
        <v>152</v>
      </c>
      <c r="BB1134" s="84" t="str">
        <f>IFERROR(__xludf.DUMMYFUNCTION("iferror(if(A1134="""",,E1134&gt;=FILTER(Constants!$F$2:$F$10,Constants!$A$2:$A$10=A1134)))"),"")</f>
        <v/>
      </c>
    </row>
    <row r="1135">
      <c r="A1135" s="89"/>
      <c r="B1135" s="87"/>
      <c r="C1135" s="73"/>
      <c r="D1135" s="73"/>
      <c r="E1135" s="82"/>
      <c r="F1135" s="82"/>
      <c r="G1135" s="86"/>
      <c r="H1135" s="86"/>
      <c r="I1135" s="86"/>
      <c r="J1135" s="82"/>
      <c r="K1135" s="82"/>
      <c r="L1135" s="82"/>
      <c r="M1135" s="82"/>
      <c r="N1135" s="82"/>
      <c r="O1135" s="82"/>
      <c r="P1135" s="82"/>
      <c r="Q1135" s="82"/>
      <c r="R1135" s="82"/>
      <c r="S1135" s="82"/>
      <c r="T1135" s="82"/>
      <c r="U1135" s="82"/>
      <c r="V1135" s="82"/>
      <c r="W1135" s="82"/>
      <c r="X1135" s="82"/>
      <c r="Y1135" s="82"/>
      <c r="Z1135" s="82"/>
      <c r="AA1135" s="82"/>
      <c r="AB1135" s="82"/>
      <c r="AC1135" s="82"/>
      <c r="AD1135" s="82"/>
      <c r="AE1135" s="82"/>
      <c r="AF1135" s="82"/>
      <c r="AG1135" s="82"/>
      <c r="AH1135" s="82"/>
      <c r="AI1135" s="82"/>
      <c r="AJ1135" s="82"/>
      <c r="AK1135" s="82"/>
      <c r="AL1135" s="82"/>
      <c r="AM1135" s="82"/>
      <c r="AN1135" s="82"/>
      <c r="AO1135" s="82"/>
      <c r="AP1135" s="82"/>
      <c r="AQ1135" s="82"/>
      <c r="AR1135" s="82"/>
      <c r="AS1135" s="82"/>
      <c r="AT1135" s="82"/>
      <c r="AU1135" s="82"/>
      <c r="AV1135" s="82"/>
      <c r="AW1135" s="82" t="str">
        <f t="shared" si="1"/>
        <v/>
      </c>
      <c r="AX1135" s="83" t="str">
        <f t="array" ref="AX1135">IFERROR(DGET('SBV Import'!A:G,"SBV",{"RSC ID","Tier";B1135,A1135}))</f>
        <v/>
      </c>
      <c r="AY1135" s="82" t="str">
        <f t="shared" si="2"/>
        <v/>
      </c>
      <c r="AZ1135" s="82"/>
      <c r="BA1135" s="84" t="s">
        <v>152</v>
      </c>
      <c r="BB1135" s="84" t="str">
        <f>IFERROR(__xludf.DUMMYFUNCTION("iferror(if(A1135="""",,E1135&gt;=FILTER(Constants!$F$2:$F$10,Constants!$A$2:$A$10=A1135)))"),"")</f>
        <v/>
      </c>
    </row>
    <row r="1136">
      <c r="A1136" s="89"/>
      <c r="B1136" s="87"/>
      <c r="C1136" s="73"/>
      <c r="D1136" s="73"/>
      <c r="E1136" s="82"/>
      <c r="F1136" s="82"/>
      <c r="G1136" s="86"/>
      <c r="H1136" s="86"/>
      <c r="I1136" s="86"/>
      <c r="J1136" s="82"/>
      <c r="K1136" s="82"/>
      <c r="L1136" s="82"/>
      <c r="M1136" s="82"/>
      <c r="N1136" s="82"/>
      <c r="O1136" s="82"/>
      <c r="P1136" s="82"/>
      <c r="Q1136" s="82"/>
      <c r="R1136" s="82"/>
      <c r="S1136" s="82"/>
      <c r="T1136" s="82"/>
      <c r="U1136" s="82"/>
      <c r="V1136" s="82"/>
      <c r="W1136" s="82"/>
      <c r="X1136" s="82"/>
      <c r="Y1136" s="82"/>
      <c r="Z1136" s="82"/>
      <c r="AA1136" s="82"/>
      <c r="AB1136" s="82"/>
      <c r="AC1136" s="82"/>
      <c r="AD1136" s="82"/>
      <c r="AE1136" s="82"/>
      <c r="AF1136" s="82"/>
      <c r="AG1136" s="82"/>
      <c r="AH1136" s="82"/>
      <c r="AI1136" s="82"/>
      <c r="AJ1136" s="82"/>
      <c r="AK1136" s="82"/>
      <c r="AL1136" s="82"/>
      <c r="AM1136" s="82"/>
      <c r="AN1136" s="82"/>
      <c r="AO1136" s="82"/>
      <c r="AP1136" s="82"/>
      <c r="AQ1136" s="82"/>
      <c r="AR1136" s="82"/>
      <c r="AS1136" s="82"/>
      <c r="AT1136" s="82"/>
      <c r="AU1136" s="82"/>
      <c r="AV1136" s="82"/>
      <c r="AW1136" s="82" t="str">
        <f t="shared" si="1"/>
        <v/>
      </c>
      <c r="AX1136" s="83" t="str">
        <f t="array" ref="AX1136">IFERROR(DGET('SBV Import'!A:G,"SBV",{"RSC ID","Tier";B1136,A1136}))</f>
        <v/>
      </c>
      <c r="AY1136" s="82" t="str">
        <f t="shared" si="2"/>
        <v/>
      </c>
      <c r="AZ1136" s="82"/>
      <c r="BA1136" s="84" t="s">
        <v>152</v>
      </c>
      <c r="BB1136" s="84" t="str">
        <f>IFERROR(__xludf.DUMMYFUNCTION("iferror(if(A1136="""",,E1136&gt;=FILTER(Constants!$F$2:$F$10,Constants!$A$2:$A$10=A1136)))"),"")</f>
        <v/>
      </c>
    </row>
    <row r="1137">
      <c r="A1137" s="89"/>
      <c r="B1137" s="87"/>
      <c r="C1137" s="73"/>
      <c r="D1137" s="73"/>
      <c r="E1137" s="82"/>
      <c r="F1137" s="82"/>
      <c r="G1137" s="86"/>
      <c r="H1137" s="86"/>
      <c r="I1137" s="86"/>
      <c r="J1137" s="82"/>
      <c r="K1137" s="82"/>
      <c r="L1137" s="82"/>
      <c r="M1137" s="82"/>
      <c r="N1137" s="82"/>
      <c r="O1137" s="82"/>
      <c r="P1137" s="82"/>
      <c r="Q1137" s="82"/>
      <c r="R1137" s="82"/>
      <c r="S1137" s="82"/>
      <c r="T1137" s="82"/>
      <c r="U1137" s="82"/>
      <c r="V1137" s="82"/>
      <c r="W1137" s="82"/>
      <c r="X1137" s="82"/>
      <c r="Y1137" s="82"/>
      <c r="Z1137" s="82"/>
      <c r="AA1137" s="82"/>
      <c r="AB1137" s="82"/>
      <c r="AC1137" s="82"/>
      <c r="AD1137" s="82"/>
      <c r="AE1137" s="82"/>
      <c r="AF1137" s="82"/>
      <c r="AG1137" s="82"/>
      <c r="AH1137" s="82"/>
      <c r="AI1137" s="82"/>
      <c r="AJ1137" s="82"/>
      <c r="AK1137" s="82"/>
      <c r="AL1137" s="82"/>
      <c r="AM1137" s="82"/>
      <c r="AN1137" s="82"/>
      <c r="AO1137" s="82"/>
      <c r="AP1137" s="82"/>
      <c r="AQ1137" s="82"/>
      <c r="AR1137" s="82"/>
      <c r="AS1137" s="82"/>
      <c r="AT1137" s="82"/>
      <c r="AU1137" s="82"/>
      <c r="AV1137" s="82"/>
      <c r="AW1137" s="82" t="str">
        <f t="shared" si="1"/>
        <v/>
      </c>
      <c r="AX1137" s="83" t="str">
        <f t="array" ref="AX1137">IFERROR(DGET('SBV Import'!A:G,"SBV",{"RSC ID","Tier";B1137,A1137}))</f>
        <v/>
      </c>
      <c r="AY1137" s="82" t="str">
        <f t="shared" si="2"/>
        <v/>
      </c>
      <c r="AZ1137" s="82"/>
      <c r="BA1137" s="84" t="s">
        <v>152</v>
      </c>
      <c r="BB1137" s="84" t="str">
        <f>IFERROR(__xludf.DUMMYFUNCTION("iferror(if(A1137="""",,E1137&gt;=FILTER(Constants!$F$2:$F$10,Constants!$A$2:$A$10=A1137)))"),"")</f>
        <v/>
      </c>
    </row>
    <row r="1138">
      <c r="A1138" s="89"/>
      <c r="B1138" s="87"/>
      <c r="C1138" s="73"/>
      <c r="D1138" s="73"/>
      <c r="E1138" s="82"/>
      <c r="F1138" s="82"/>
      <c r="G1138" s="86"/>
      <c r="H1138" s="86"/>
      <c r="I1138" s="86"/>
      <c r="J1138" s="82"/>
      <c r="K1138" s="82"/>
      <c r="L1138" s="82"/>
      <c r="M1138" s="82"/>
      <c r="N1138" s="82"/>
      <c r="O1138" s="82"/>
      <c r="P1138" s="82"/>
      <c r="Q1138" s="82"/>
      <c r="R1138" s="82"/>
      <c r="S1138" s="82"/>
      <c r="T1138" s="82"/>
      <c r="U1138" s="82"/>
      <c r="V1138" s="82"/>
      <c r="W1138" s="82"/>
      <c r="X1138" s="82"/>
      <c r="Y1138" s="82"/>
      <c r="Z1138" s="82"/>
      <c r="AA1138" s="82"/>
      <c r="AB1138" s="82"/>
      <c r="AC1138" s="82"/>
      <c r="AD1138" s="82"/>
      <c r="AE1138" s="82"/>
      <c r="AF1138" s="82"/>
      <c r="AG1138" s="82"/>
      <c r="AH1138" s="82"/>
      <c r="AI1138" s="82"/>
      <c r="AJ1138" s="82"/>
      <c r="AK1138" s="82"/>
      <c r="AL1138" s="82"/>
      <c r="AM1138" s="82"/>
      <c r="AN1138" s="82"/>
      <c r="AO1138" s="82"/>
      <c r="AP1138" s="82"/>
      <c r="AQ1138" s="82"/>
      <c r="AR1138" s="82"/>
      <c r="AS1138" s="82"/>
      <c r="AT1138" s="82"/>
      <c r="AU1138" s="82"/>
      <c r="AV1138" s="82"/>
      <c r="AW1138" s="82" t="str">
        <f t="shared" si="1"/>
        <v/>
      </c>
      <c r="AX1138" s="83" t="str">
        <f t="array" ref="AX1138">IFERROR(DGET('SBV Import'!A:G,"SBV",{"RSC ID","Tier";B1138,A1138}))</f>
        <v/>
      </c>
      <c r="AY1138" s="82" t="str">
        <f t="shared" si="2"/>
        <v/>
      </c>
      <c r="AZ1138" s="82"/>
      <c r="BA1138" s="84" t="s">
        <v>152</v>
      </c>
      <c r="BB1138" s="84" t="str">
        <f>IFERROR(__xludf.DUMMYFUNCTION("iferror(if(A1138="""",,E1138&gt;=FILTER(Constants!$F$2:$F$10,Constants!$A$2:$A$10=A1138)))"),"")</f>
        <v/>
      </c>
    </row>
    <row r="1139">
      <c r="A1139" s="89"/>
      <c r="B1139" s="87"/>
      <c r="C1139" s="73"/>
      <c r="D1139" s="73"/>
      <c r="E1139" s="82"/>
      <c r="F1139" s="82"/>
      <c r="G1139" s="86"/>
      <c r="H1139" s="86"/>
      <c r="I1139" s="86"/>
      <c r="J1139" s="82"/>
      <c r="K1139" s="82"/>
      <c r="L1139" s="82"/>
      <c r="M1139" s="82"/>
      <c r="N1139" s="82"/>
      <c r="O1139" s="82"/>
      <c r="P1139" s="82"/>
      <c r="Q1139" s="82"/>
      <c r="R1139" s="82"/>
      <c r="S1139" s="82"/>
      <c r="T1139" s="82"/>
      <c r="U1139" s="82"/>
      <c r="V1139" s="82"/>
      <c r="W1139" s="82"/>
      <c r="X1139" s="82"/>
      <c r="Y1139" s="82"/>
      <c r="Z1139" s="82"/>
      <c r="AA1139" s="82"/>
      <c r="AB1139" s="82"/>
      <c r="AC1139" s="82"/>
      <c r="AD1139" s="82"/>
      <c r="AE1139" s="82"/>
      <c r="AF1139" s="82"/>
      <c r="AG1139" s="82"/>
      <c r="AH1139" s="82"/>
      <c r="AI1139" s="82"/>
      <c r="AJ1139" s="82"/>
      <c r="AK1139" s="82"/>
      <c r="AL1139" s="82"/>
      <c r="AM1139" s="82"/>
      <c r="AN1139" s="82"/>
      <c r="AO1139" s="82"/>
      <c r="AP1139" s="82"/>
      <c r="AQ1139" s="82"/>
      <c r="AR1139" s="82"/>
      <c r="AS1139" s="82"/>
      <c r="AT1139" s="82"/>
      <c r="AU1139" s="82"/>
      <c r="AV1139" s="82"/>
      <c r="AW1139" s="82" t="str">
        <f t="shared" si="1"/>
        <v/>
      </c>
      <c r="AX1139" s="83" t="str">
        <f t="array" ref="AX1139">IFERROR(DGET('SBV Import'!A:G,"SBV",{"RSC ID","Tier";B1139,A1139}))</f>
        <v/>
      </c>
      <c r="AY1139" s="82" t="str">
        <f t="shared" si="2"/>
        <v/>
      </c>
      <c r="AZ1139" s="82"/>
      <c r="BA1139" s="84" t="s">
        <v>152</v>
      </c>
      <c r="BB1139" s="84" t="str">
        <f>IFERROR(__xludf.DUMMYFUNCTION("iferror(if(A1139="""",,E1139&gt;=FILTER(Constants!$F$2:$F$10,Constants!$A$2:$A$10=A1139)))"),"")</f>
        <v/>
      </c>
    </row>
    <row r="1140">
      <c r="A1140" s="89"/>
      <c r="B1140" s="87"/>
      <c r="C1140" s="73"/>
      <c r="D1140" s="73"/>
      <c r="E1140" s="82"/>
      <c r="F1140" s="82"/>
      <c r="G1140" s="86"/>
      <c r="H1140" s="86"/>
      <c r="I1140" s="86"/>
      <c r="J1140" s="82"/>
      <c r="K1140" s="82"/>
      <c r="L1140" s="82"/>
      <c r="M1140" s="82"/>
      <c r="N1140" s="82"/>
      <c r="O1140" s="82"/>
      <c r="P1140" s="82"/>
      <c r="Q1140" s="82"/>
      <c r="R1140" s="82"/>
      <c r="S1140" s="82"/>
      <c r="T1140" s="82"/>
      <c r="U1140" s="82"/>
      <c r="V1140" s="82"/>
      <c r="W1140" s="82"/>
      <c r="X1140" s="82"/>
      <c r="Y1140" s="82"/>
      <c r="Z1140" s="82"/>
      <c r="AA1140" s="82"/>
      <c r="AB1140" s="82"/>
      <c r="AC1140" s="82"/>
      <c r="AD1140" s="82"/>
      <c r="AE1140" s="82"/>
      <c r="AF1140" s="82"/>
      <c r="AG1140" s="82"/>
      <c r="AH1140" s="82"/>
      <c r="AI1140" s="82"/>
      <c r="AJ1140" s="82"/>
      <c r="AK1140" s="82"/>
      <c r="AL1140" s="82"/>
      <c r="AM1140" s="82"/>
      <c r="AN1140" s="82"/>
      <c r="AO1140" s="82"/>
      <c r="AP1140" s="82"/>
      <c r="AQ1140" s="82"/>
      <c r="AR1140" s="82"/>
      <c r="AS1140" s="82"/>
      <c r="AT1140" s="82"/>
      <c r="AU1140" s="82"/>
      <c r="AV1140" s="82"/>
      <c r="AW1140" s="82" t="str">
        <f t="shared" si="1"/>
        <v/>
      </c>
      <c r="AX1140" s="83" t="str">
        <f t="array" ref="AX1140">IFERROR(DGET('SBV Import'!A:G,"SBV",{"RSC ID","Tier";B1140,A1140}))</f>
        <v/>
      </c>
      <c r="AY1140" s="82" t="str">
        <f t="shared" si="2"/>
        <v/>
      </c>
      <c r="AZ1140" s="82"/>
      <c r="BA1140" s="84" t="s">
        <v>152</v>
      </c>
      <c r="BB1140" s="84" t="str">
        <f>IFERROR(__xludf.DUMMYFUNCTION("iferror(if(A1140="""",,E1140&gt;=FILTER(Constants!$F$2:$F$10,Constants!$A$2:$A$10=A1140)))"),"")</f>
        <v/>
      </c>
    </row>
    <row r="1141">
      <c r="A1141" s="89"/>
      <c r="B1141" s="87"/>
      <c r="C1141" s="73"/>
      <c r="D1141" s="73"/>
      <c r="E1141" s="82"/>
      <c r="F1141" s="82"/>
      <c r="G1141" s="86"/>
      <c r="H1141" s="86"/>
      <c r="I1141" s="86"/>
      <c r="J1141" s="82"/>
      <c r="K1141" s="82"/>
      <c r="L1141" s="82"/>
      <c r="M1141" s="82"/>
      <c r="N1141" s="82"/>
      <c r="O1141" s="82"/>
      <c r="P1141" s="82"/>
      <c r="Q1141" s="82"/>
      <c r="R1141" s="82"/>
      <c r="S1141" s="82"/>
      <c r="T1141" s="82"/>
      <c r="U1141" s="82"/>
      <c r="V1141" s="82"/>
      <c r="W1141" s="82"/>
      <c r="X1141" s="82"/>
      <c r="Y1141" s="8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82"/>
      <c r="AW1141" s="82" t="str">
        <f t="shared" si="1"/>
        <v/>
      </c>
      <c r="AX1141" s="83" t="str">
        <f t="array" ref="AX1141">IFERROR(DGET('SBV Import'!A:G,"SBV",{"RSC ID","Tier";B1141,A1141}))</f>
        <v/>
      </c>
      <c r="AY1141" s="82" t="str">
        <f t="shared" si="2"/>
        <v/>
      </c>
      <c r="AZ1141" s="82"/>
      <c r="BA1141" s="84" t="s">
        <v>152</v>
      </c>
      <c r="BB1141" s="84" t="str">
        <f>IFERROR(__xludf.DUMMYFUNCTION("iferror(if(A1141="""",,E1141&gt;=FILTER(Constants!$F$2:$F$10,Constants!$A$2:$A$10=A1141)))"),"")</f>
        <v/>
      </c>
    </row>
    <row r="1142">
      <c r="A1142" s="89"/>
      <c r="B1142" s="87"/>
      <c r="C1142" s="73"/>
      <c r="D1142" s="73"/>
      <c r="E1142" s="82"/>
      <c r="F1142" s="82"/>
      <c r="G1142" s="86"/>
      <c r="H1142" s="86"/>
      <c r="I1142" s="86"/>
      <c r="J1142" s="82"/>
      <c r="K1142" s="82"/>
      <c r="L1142" s="82"/>
      <c r="M1142" s="82"/>
      <c r="N1142" s="82"/>
      <c r="O1142" s="82"/>
      <c r="P1142" s="82"/>
      <c r="Q1142" s="82"/>
      <c r="R1142" s="82"/>
      <c r="S1142" s="82"/>
      <c r="T1142" s="82"/>
      <c r="U1142" s="82"/>
      <c r="V1142" s="82"/>
      <c r="W1142" s="82"/>
      <c r="X1142" s="82"/>
      <c r="Y1142" s="8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82"/>
      <c r="AW1142" s="82" t="str">
        <f t="shared" si="1"/>
        <v/>
      </c>
      <c r="AX1142" s="83" t="str">
        <f t="array" ref="AX1142">IFERROR(DGET('SBV Import'!A:G,"SBV",{"RSC ID","Tier";B1142,A1142}))</f>
        <v/>
      </c>
      <c r="AY1142" s="82" t="str">
        <f t="shared" si="2"/>
        <v/>
      </c>
      <c r="AZ1142" s="82"/>
      <c r="BA1142" s="84" t="s">
        <v>152</v>
      </c>
      <c r="BB1142" s="84" t="str">
        <f>IFERROR(__xludf.DUMMYFUNCTION("iferror(if(A1142="""",,E1142&gt;=FILTER(Constants!$F$2:$F$10,Constants!$A$2:$A$10=A1142)))"),"")</f>
        <v/>
      </c>
    </row>
    <row r="1143">
      <c r="A1143" s="89"/>
      <c r="B1143" s="87"/>
      <c r="C1143" s="73"/>
      <c r="D1143" s="73"/>
      <c r="E1143" s="82"/>
      <c r="F1143" s="82"/>
      <c r="G1143" s="86"/>
      <c r="H1143" s="86"/>
      <c r="I1143" s="86"/>
      <c r="J1143" s="82"/>
      <c r="K1143" s="82"/>
      <c r="L1143" s="82"/>
      <c r="M1143" s="82"/>
      <c r="N1143" s="82"/>
      <c r="O1143" s="82"/>
      <c r="P1143" s="82"/>
      <c r="Q1143" s="82"/>
      <c r="R1143" s="82"/>
      <c r="S1143" s="82"/>
      <c r="T1143" s="82"/>
      <c r="U1143" s="82"/>
      <c r="V1143" s="82"/>
      <c r="W1143" s="82"/>
      <c r="X1143" s="82"/>
      <c r="Y1143" s="8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82"/>
      <c r="AW1143" s="82" t="str">
        <f t="shared" si="1"/>
        <v/>
      </c>
      <c r="AX1143" s="83" t="str">
        <f t="array" ref="AX1143">IFERROR(DGET('SBV Import'!A:G,"SBV",{"RSC ID","Tier";B1143,A1143}))</f>
        <v/>
      </c>
      <c r="AY1143" s="82" t="str">
        <f t="shared" si="2"/>
        <v/>
      </c>
      <c r="AZ1143" s="82"/>
      <c r="BA1143" s="84" t="s">
        <v>152</v>
      </c>
      <c r="BB1143" s="84" t="str">
        <f>IFERROR(__xludf.DUMMYFUNCTION("iferror(if(A1143="""",,E1143&gt;=FILTER(Constants!$F$2:$F$10,Constants!$A$2:$A$10=A1143)))"),"")</f>
        <v/>
      </c>
    </row>
    <row r="1144">
      <c r="A1144" s="89"/>
      <c r="B1144" s="87"/>
      <c r="C1144" s="73"/>
      <c r="D1144" s="73"/>
      <c r="E1144" s="82"/>
      <c r="F1144" s="82"/>
      <c r="G1144" s="86"/>
      <c r="H1144" s="86"/>
      <c r="I1144" s="86"/>
      <c r="J1144" s="82"/>
      <c r="K1144" s="82"/>
      <c r="L1144" s="82"/>
      <c r="M1144" s="82"/>
      <c r="N1144" s="82"/>
      <c r="O1144" s="82"/>
      <c r="P1144" s="82"/>
      <c r="Q1144" s="82"/>
      <c r="R1144" s="82"/>
      <c r="S1144" s="82"/>
      <c r="T1144" s="82"/>
      <c r="U1144" s="82"/>
      <c r="V1144" s="82"/>
      <c r="W1144" s="82"/>
      <c r="X1144" s="82"/>
      <c r="Y1144" s="8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82"/>
      <c r="AW1144" s="82" t="str">
        <f t="shared" si="1"/>
        <v/>
      </c>
      <c r="AX1144" s="83" t="str">
        <f t="array" ref="AX1144">IFERROR(DGET('SBV Import'!A:G,"SBV",{"RSC ID","Tier";B1144,A1144}))</f>
        <v/>
      </c>
      <c r="AY1144" s="82" t="str">
        <f t="shared" si="2"/>
        <v/>
      </c>
      <c r="AZ1144" s="82"/>
      <c r="BA1144" s="84" t="s">
        <v>152</v>
      </c>
      <c r="BB1144" s="84" t="str">
        <f>IFERROR(__xludf.DUMMYFUNCTION("iferror(if(A1144="""",,E1144&gt;=FILTER(Constants!$F$2:$F$10,Constants!$A$2:$A$10=A1144)))"),"")</f>
        <v/>
      </c>
    </row>
    <row r="1145">
      <c r="A1145" s="89"/>
      <c r="B1145" s="87"/>
      <c r="C1145" s="73"/>
      <c r="D1145" s="73"/>
      <c r="E1145" s="82"/>
      <c r="F1145" s="82"/>
      <c r="G1145" s="86"/>
      <c r="H1145" s="86"/>
      <c r="I1145" s="86"/>
      <c r="J1145" s="82"/>
      <c r="K1145" s="82"/>
      <c r="L1145" s="82"/>
      <c r="M1145" s="82"/>
      <c r="N1145" s="82"/>
      <c r="O1145" s="82"/>
      <c r="P1145" s="82"/>
      <c r="Q1145" s="82"/>
      <c r="R1145" s="82"/>
      <c r="S1145" s="82"/>
      <c r="T1145" s="82"/>
      <c r="U1145" s="82"/>
      <c r="V1145" s="82"/>
      <c r="W1145" s="82"/>
      <c r="X1145" s="82"/>
      <c r="Y1145" s="8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82"/>
      <c r="AW1145" s="82" t="str">
        <f t="shared" si="1"/>
        <v/>
      </c>
      <c r="AX1145" s="83" t="str">
        <f t="array" ref="AX1145">IFERROR(DGET('SBV Import'!A:G,"SBV",{"RSC ID","Tier";B1145,A1145}))</f>
        <v/>
      </c>
      <c r="AY1145" s="82" t="str">
        <f t="shared" si="2"/>
        <v/>
      </c>
      <c r="AZ1145" s="82"/>
      <c r="BA1145" s="84" t="s">
        <v>152</v>
      </c>
      <c r="BB1145" s="84" t="str">
        <f>IFERROR(__xludf.DUMMYFUNCTION("iferror(if(A1145="""",,E1145&gt;=FILTER(Constants!$F$2:$F$10,Constants!$A$2:$A$10=A1145)))"),"")</f>
        <v/>
      </c>
    </row>
    <row r="1146">
      <c r="A1146" s="89"/>
      <c r="B1146" s="87"/>
      <c r="C1146" s="73"/>
      <c r="D1146" s="73"/>
      <c r="E1146" s="82"/>
      <c r="F1146" s="82"/>
      <c r="G1146" s="86"/>
      <c r="H1146" s="86"/>
      <c r="I1146" s="86"/>
      <c r="J1146" s="82"/>
      <c r="K1146" s="82"/>
      <c r="L1146" s="82"/>
      <c r="M1146" s="82"/>
      <c r="N1146" s="82"/>
      <c r="O1146" s="82"/>
      <c r="P1146" s="82"/>
      <c r="Q1146" s="82"/>
      <c r="R1146" s="82"/>
      <c r="S1146" s="82"/>
      <c r="T1146" s="82"/>
      <c r="U1146" s="82"/>
      <c r="V1146" s="82"/>
      <c r="W1146" s="82"/>
      <c r="X1146" s="82"/>
      <c r="Y1146" s="8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82"/>
      <c r="AW1146" s="82" t="str">
        <f t="shared" si="1"/>
        <v/>
      </c>
      <c r="AX1146" s="83" t="str">
        <f t="array" ref="AX1146">IFERROR(DGET('SBV Import'!A:G,"SBV",{"RSC ID","Tier";B1146,A1146}))</f>
        <v/>
      </c>
      <c r="AY1146" s="82" t="str">
        <f t="shared" si="2"/>
        <v/>
      </c>
      <c r="AZ1146" s="82"/>
      <c r="BA1146" s="84" t="s">
        <v>152</v>
      </c>
      <c r="BB1146" s="84" t="str">
        <f>IFERROR(__xludf.DUMMYFUNCTION("iferror(if(A1146="""",,E1146&gt;=FILTER(Constants!$F$2:$F$10,Constants!$A$2:$A$10=A1146)))"),"")</f>
        <v/>
      </c>
    </row>
    <row r="1147">
      <c r="A1147" s="89"/>
      <c r="B1147" s="87"/>
      <c r="C1147" s="73"/>
      <c r="D1147" s="73"/>
      <c r="E1147" s="82"/>
      <c r="F1147" s="82"/>
      <c r="G1147" s="86"/>
      <c r="H1147" s="86"/>
      <c r="I1147" s="86"/>
      <c r="J1147" s="82"/>
      <c r="K1147" s="82"/>
      <c r="L1147" s="82"/>
      <c r="M1147" s="82"/>
      <c r="N1147" s="82"/>
      <c r="O1147" s="82"/>
      <c r="P1147" s="82"/>
      <c r="Q1147" s="82"/>
      <c r="R1147" s="82"/>
      <c r="S1147" s="82"/>
      <c r="T1147" s="82"/>
      <c r="U1147" s="82"/>
      <c r="V1147" s="82"/>
      <c r="W1147" s="82"/>
      <c r="X1147" s="82"/>
      <c r="Y1147" s="8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82"/>
      <c r="AW1147" s="82" t="str">
        <f t="shared" si="1"/>
        <v/>
      </c>
      <c r="AX1147" s="83" t="str">
        <f t="array" ref="AX1147">IFERROR(DGET('SBV Import'!A:G,"SBV",{"RSC ID","Tier";B1147,A1147}))</f>
        <v/>
      </c>
      <c r="AY1147" s="82" t="str">
        <f t="shared" si="2"/>
        <v/>
      </c>
      <c r="AZ1147" s="82"/>
      <c r="BA1147" s="84" t="s">
        <v>152</v>
      </c>
      <c r="BB1147" s="84" t="str">
        <f>IFERROR(__xludf.DUMMYFUNCTION("iferror(if(A1147="""",,E1147&gt;=FILTER(Constants!$F$2:$F$10,Constants!$A$2:$A$10=A1147)))"),"")</f>
        <v/>
      </c>
    </row>
    <row r="1148">
      <c r="A1148" s="89"/>
      <c r="B1148" s="87"/>
      <c r="C1148" s="73"/>
      <c r="D1148" s="73"/>
      <c r="E1148" s="82"/>
      <c r="F1148" s="82"/>
      <c r="G1148" s="86"/>
      <c r="H1148" s="86"/>
      <c r="I1148" s="86"/>
      <c r="J1148" s="82"/>
      <c r="K1148" s="82"/>
      <c r="L1148" s="82"/>
      <c r="M1148" s="82"/>
      <c r="N1148" s="82"/>
      <c r="O1148" s="82"/>
      <c r="P1148" s="82"/>
      <c r="Q1148" s="82"/>
      <c r="R1148" s="82"/>
      <c r="S1148" s="82"/>
      <c r="T1148" s="82"/>
      <c r="U1148" s="82"/>
      <c r="V1148" s="82"/>
      <c r="W1148" s="82"/>
      <c r="X1148" s="82"/>
      <c r="Y1148" s="8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82"/>
      <c r="AW1148" s="82" t="str">
        <f t="shared" si="1"/>
        <v/>
      </c>
      <c r="AX1148" s="83" t="str">
        <f t="array" ref="AX1148">IFERROR(DGET('SBV Import'!A:G,"SBV",{"RSC ID","Tier";B1148,A1148}))</f>
        <v/>
      </c>
      <c r="AY1148" s="82" t="str">
        <f t="shared" si="2"/>
        <v/>
      </c>
      <c r="AZ1148" s="82"/>
      <c r="BA1148" s="84" t="s">
        <v>152</v>
      </c>
      <c r="BB1148" s="84" t="str">
        <f>IFERROR(__xludf.DUMMYFUNCTION("iferror(if(A1148="""",,E1148&gt;=FILTER(Constants!$F$2:$F$10,Constants!$A$2:$A$10=A1148)))"),"")</f>
        <v/>
      </c>
    </row>
    <row r="1149">
      <c r="A1149" s="89"/>
      <c r="B1149" s="87"/>
      <c r="C1149" s="73"/>
      <c r="D1149" s="73"/>
      <c r="E1149" s="82"/>
      <c r="F1149" s="82"/>
      <c r="G1149" s="86"/>
      <c r="H1149" s="86"/>
      <c r="I1149" s="86"/>
      <c r="J1149" s="82"/>
      <c r="K1149" s="82"/>
      <c r="L1149" s="82"/>
      <c r="M1149" s="82"/>
      <c r="N1149" s="82"/>
      <c r="O1149" s="82"/>
      <c r="P1149" s="82"/>
      <c r="Q1149" s="82"/>
      <c r="R1149" s="82"/>
      <c r="S1149" s="82"/>
      <c r="T1149" s="82"/>
      <c r="U1149" s="82"/>
      <c r="V1149" s="82"/>
      <c r="W1149" s="82"/>
      <c r="X1149" s="82"/>
      <c r="Y1149" s="8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82"/>
      <c r="AW1149" s="82" t="str">
        <f t="shared" si="1"/>
        <v/>
      </c>
      <c r="AX1149" s="83" t="str">
        <f t="array" ref="AX1149">IFERROR(DGET('SBV Import'!A:G,"SBV",{"RSC ID","Tier";B1149,A1149}))</f>
        <v/>
      </c>
      <c r="AY1149" s="82" t="str">
        <f t="shared" si="2"/>
        <v/>
      </c>
      <c r="AZ1149" s="82"/>
      <c r="BA1149" s="84" t="s">
        <v>152</v>
      </c>
      <c r="BB1149" s="84" t="str">
        <f>IFERROR(__xludf.DUMMYFUNCTION("iferror(if(A1149="""",,E1149&gt;=FILTER(Constants!$F$2:$F$10,Constants!$A$2:$A$10=A1149)))"),"")</f>
        <v/>
      </c>
    </row>
    <row r="1150">
      <c r="A1150" s="89"/>
      <c r="B1150" s="87"/>
      <c r="C1150" s="73"/>
      <c r="D1150" s="73"/>
      <c r="E1150" s="82"/>
      <c r="F1150" s="82"/>
      <c r="G1150" s="86"/>
      <c r="H1150" s="86"/>
      <c r="I1150" s="86"/>
      <c r="J1150" s="82"/>
      <c r="K1150" s="82"/>
      <c r="L1150" s="82"/>
      <c r="M1150" s="82"/>
      <c r="N1150" s="82"/>
      <c r="O1150" s="82"/>
      <c r="P1150" s="82"/>
      <c r="Q1150" s="82"/>
      <c r="R1150" s="82"/>
      <c r="S1150" s="82"/>
      <c r="T1150" s="82"/>
      <c r="U1150" s="82"/>
      <c r="V1150" s="82"/>
      <c r="W1150" s="82"/>
      <c r="X1150" s="82"/>
      <c r="Y1150" s="8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82"/>
      <c r="AW1150" s="82" t="str">
        <f t="shared" si="1"/>
        <v/>
      </c>
      <c r="AX1150" s="83" t="str">
        <f t="array" ref="AX1150">IFERROR(DGET('SBV Import'!A:G,"SBV",{"RSC ID","Tier";B1150,A1150}))</f>
        <v/>
      </c>
      <c r="AY1150" s="82" t="str">
        <f t="shared" si="2"/>
        <v/>
      </c>
      <c r="AZ1150" s="82"/>
      <c r="BA1150" s="84" t="s">
        <v>152</v>
      </c>
      <c r="BB1150" s="84" t="str">
        <f>IFERROR(__xludf.DUMMYFUNCTION("iferror(if(A1150="""",,E1150&gt;=FILTER(Constants!$F$2:$F$10,Constants!$A$2:$A$10=A1150)))"),"")</f>
        <v/>
      </c>
    </row>
    <row r="1151">
      <c r="A1151" s="89"/>
      <c r="B1151" s="87"/>
      <c r="C1151" s="73"/>
      <c r="D1151" s="73"/>
      <c r="E1151" s="82"/>
      <c r="F1151" s="82"/>
      <c r="G1151" s="86"/>
      <c r="H1151" s="86"/>
      <c r="I1151" s="86"/>
      <c r="J1151" s="82"/>
      <c r="K1151" s="82"/>
      <c r="L1151" s="82"/>
      <c r="M1151" s="82"/>
      <c r="N1151" s="82"/>
      <c r="O1151" s="82"/>
      <c r="P1151" s="82"/>
      <c r="Q1151" s="82"/>
      <c r="R1151" s="82"/>
      <c r="S1151" s="82"/>
      <c r="T1151" s="82"/>
      <c r="U1151" s="82"/>
      <c r="V1151" s="82"/>
      <c r="W1151" s="82"/>
      <c r="X1151" s="82"/>
      <c r="Y1151" s="8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82"/>
      <c r="AW1151" s="82" t="str">
        <f t="shared" si="1"/>
        <v/>
      </c>
      <c r="AX1151" s="83" t="str">
        <f t="array" ref="AX1151">IFERROR(DGET('SBV Import'!A:G,"SBV",{"RSC ID","Tier";B1151,A1151}))</f>
        <v/>
      </c>
      <c r="AY1151" s="82" t="str">
        <f t="shared" si="2"/>
        <v/>
      </c>
      <c r="AZ1151" s="82"/>
      <c r="BA1151" s="84" t="s">
        <v>152</v>
      </c>
      <c r="BB1151" s="84" t="str">
        <f>IFERROR(__xludf.DUMMYFUNCTION("iferror(if(A1151="""",,E1151&gt;=FILTER(Constants!$F$2:$F$10,Constants!$A$2:$A$10=A1151)))"),"")</f>
        <v/>
      </c>
    </row>
    <row r="1152">
      <c r="A1152" s="89"/>
      <c r="B1152" s="87"/>
      <c r="C1152" s="73"/>
      <c r="D1152" s="73"/>
      <c r="E1152" s="82"/>
      <c r="F1152" s="82"/>
      <c r="G1152" s="86"/>
      <c r="H1152" s="86"/>
      <c r="I1152" s="86"/>
      <c r="J1152" s="82"/>
      <c r="K1152" s="82"/>
      <c r="L1152" s="82"/>
      <c r="M1152" s="82"/>
      <c r="N1152" s="82"/>
      <c r="O1152" s="82"/>
      <c r="P1152" s="82"/>
      <c r="Q1152" s="82"/>
      <c r="R1152" s="82"/>
      <c r="S1152" s="82"/>
      <c r="T1152" s="82"/>
      <c r="U1152" s="82"/>
      <c r="V1152" s="82"/>
      <c r="W1152" s="82"/>
      <c r="X1152" s="82"/>
      <c r="Y1152" s="8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82"/>
      <c r="AW1152" s="82" t="str">
        <f t="shared" si="1"/>
        <v/>
      </c>
      <c r="AX1152" s="83" t="str">
        <f t="array" ref="AX1152">IFERROR(DGET('SBV Import'!A:G,"SBV",{"RSC ID","Tier";B1152,A1152}))</f>
        <v/>
      </c>
      <c r="AY1152" s="82" t="str">
        <f t="shared" si="2"/>
        <v/>
      </c>
      <c r="AZ1152" s="82"/>
      <c r="BA1152" s="84" t="s">
        <v>152</v>
      </c>
      <c r="BB1152" s="84" t="str">
        <f>IFERROR(__xludf.DUMMYFUNCTION("iferror(if(A1152="""",,E1152&gt;=FILTER(Constants!$F$2:$F$10,Constants!$A$2:$A$10=A1152)))"),"")</f>
        <v/>
      </c>
    </row>
    <row r="1153">
      <c r="A1153" s="89"/>
      <c r="B1153" s="87"/>
      <c r="C1153" s="73"/>
      <c r="D1153" s="73"/>
      <c r="E1153" s="82"/>
      <c r="F1153" s="82"/>
      <c r="G1153" s="86"/>
      <c r="H1153" s="86"/>
      <c r="I1153" s="86"/>
      <c r="J1153" s="82"/>
      <c r="K1153" s="82"/>
      <c r="L1153" s="82"/>
      <c r="M1153" s="82"/>
      <c r="N1153" s="82"/>
      <c r="O1153" s="82"/>
      <c r="P1153" s="82"/>
      <c r="Q1153" s="82"/>
      <c r="R1153" s="82"/>
      <c r="S1153" s="82"/>
      <c r="T1153" s="82"/>
      <c r="U1153" s="82"/>
      <c r="V1153" s="82"/>
      <c r="W1153" s="82"/>
      <c r="X1153" s="82"/>
      <c r="Y1153" s="8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82"/>
      <c r="AW1153" s="82" t="str">
        <f t="shared" si="1"/>
        <v/>
      </c>
      <c r="AX1153" s="83" t="str">
        <f t="array" ref="AX1153">IFERROR(DGET('SBV Import'!A:G,"SBV",{"RSC ID","Tier";B1153,A1153}))</f>
        <v/>
      </c>
      <c r="AY1153" s="82" t="str">
        <f t="shared" si="2"/>
        <v/>
      </c>
      <c r="AZ1153" s="82"/>
      <c r="BA1153" s="84" t="s">
        <v>152</v>
      </c>
      <c r="BB1153" s="84" t="str">
        <f>IFERROR(__xludf.DUMMYFUNCTION("iferror(if(A1153="""",,E1153&gt;=FILTER(Constants!$F$2:$F$10,Constants!$A$2:$A$10=A1153)))"),"")</f>
        <v/>
      </c>
    </row>
    <row r="1154">
      <c r="A1154" s="89"/>
      <c r="B1154" s="87"/>
      <c r="C1154" s="73"/>
      <c r="D1154" s="73"/>
      <c r="E1154" s="82"/>
      <c r="F1154" s="82"/>
      <c r="G1154" s="86"/>
      <c r="H1154" s="86"/>
      <c r="I1154" s="86"/>
      <c r="J1154" s="82"/>
      <c r="K1154" s="82"/>
      <c r="L1154" s="82"/>
      <c r="M1154" s="82"/>
      <c r="N1154" s="82"/>
      <c r="O1154" s="82"/>
      <c r="P1154" s="82"/>
      <c r="Q1154" s="82"/>
      <c r="R1154" s="82"/>
      <c r="S1154" s="82"/>
      <c r="T1154" s="82"/>
      <c r="U1154" s="82"/>
      <c r="V1154" s="82"/>
      <c r="W1154" s="82"/>
      <c r="X1154" s="82"/>
      <c r="Y1154" s="8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82"/>
      <c r="AW1154" s="82" t="str">
        <f t="shared" si="1"/>
        <v/>
      </c>
      <c r="AX1154" s="83" t="str">
        <f t="array" ref="AX1154">IFERROR(DGET('SBV Import'!A:G,"SBV",{"RSC ID","Tier";B1154,A1154}))</f>
        <v/>
      </c>
      <c r="AY1154" s="82" t="str">
        <f t="shared" si="2"/>
        <v/>
      </c>
      <c r="AZ1154" s="82"/>
      <c r="BA1154" s="84" t="s">
        <v>152</v>
      </c>
      <c r="BB1154" s="84" t="str">
        <f>IFERROR(__xludf.DUMMYFUNCTION("iferror(if(A1154="""",,E1154&gt;=FILTER(Constants!$F$2:$F$10,Constants!$A$2:$A$10=A1154)))"),"")</f>
        <v/>
      </c>
    </row>
    <row r="1155">
      <c r="A1155" s="89"/>
      <c r="B1155" s="87"/>
      <c r="C1155" s="73"/>
      <c r="D1155" s="73"/>
      <c r="E1155" s="82"/>
      <c r="F1155" s="82"/>
      <c r="G1155" s="86"/>
      <c r="H1155" s="86"/>
      <c r="I1155" s="86"/>
      <c r="J1155" s="82"/>
      <c r="K1155" s="82"/>
      <c r="L1155" s="82"/>
      <c r="M1155" s="82"/>
      <c r="N1155" s="82"/>
      <c r="O1155" s="82"/>
      <c r="P1155" s="82"/>
      <c r="Q1155" s="82"/>
      <c r="R1155" s="82"/>
      <c r="S1155" s="82"/>
      <c r="T1155" s="82"/>
      <c r="U1155" s="82"/>
      <c r="V1155" s="82"/>
      <c r="W1155" s="82"/>
      <c r="X1155" s="82"/>
      <c r="Y1155" s="8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82"/>
      <c r="AW1155" s="82" t="str">
        <f t="shared" si="1"/>
        <v/>
      </c>
      <c r="AX1155" s="83" t="str">
        <f t="array" ref="AX1155">IFERROR(DGET('SBV Import'!A:G,"SBV",{"RSC ID","Tier";B1155,A1155}))</f>
        <v/>
      </c>
      <c r="AY1155" s="82" t="str">
        <f t="shared" si="2"/>
        <v/>
      </c>
      <c r="AZ1155" s="82"/>
      <c r="BA1155" s="84" t="s">
        <v>152</v>
      </c>
      <c r="BB1155" s="84" t="str">
        <f>IFERROR(__xludf.DUMMYFUNCTION("iferror(if(A1155="""",,E1155&gt;=FILTER(Constants!$F$2:$F$10,Constants!$A$2:$A$10=A1155)))"),"")</f>
        <v/>
      </c>
    </row>
    <row r="1156">
      <c r="A1156" s="89"/>
      <c r="B1156" s="87"/>
      <c r="C1156" s="73"/>
      <c r="D1156" s="73"/>
      <c r="E1156" s="82"/>
      <c r="F1156" s="82"/>
      <c r="G1156" s="86"/>
      <c r="H1156" s="86"/>
      <c r="I1156" s="86"/>
      <c r="J1156" s="82"/>
      <c r="K1156" s="82"/>
      <c r="L1156" s="82"/>
      <c r="M1156" s="82"/>
      <c r="N1156" s="82"/>
      <c r="O1156" s="82"/>
      <c r="P1156" s="82"/>
      <c r="Q1156" s="82"/>
      <c r="R1156" s="82"/>
      <c r="S1156" s="82"/>
      <c r="T1156" s="82"/>
      <c r="U1156" s="82"/>
      <c r="V1156" s="82"/>
      <c r="W1156" s="82"/>
      <c r="X1156" s="82"/>
      <c r="Y1156" s="8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82"/>
      <c r="AW1156" s="82" t="str">
        <f t="shared" si="1"/>
        <v/>
      </c>
      <c r="AX1156" s="83" t="str">
        <f t="array" ref="AX1156">IFERROR(DGET('SBV Import'!A:G,"SBV",{"RSC ID","Tier";B1156,A1156}))</f>
        <v/>
      </c>
      <c r="AY1156" s="82" t="str">
        <f t="shared" si="2"/>
        <v/>
      </c>
      <c r="AZ1156" s="82"/>
      <c r="BA1156" s="84" t="s">
        <v>152</v>
      </c>
      <c r="BB1156" s="84" t="str">
        <f>IFERROR(__xludf.DUMMYFUNCTION("iferror(if(A1156="""",,E1156&gt;=FILTER(Constants!$F$2:$F$10,Constants!$A$2:$A$10=A1156)))"),"")</f>
        <v/>
      </c>
    </row>
    <row r="1157">
      <c r="A1157" s="89"/>
      <c r="B1157" s="87"/>
      <c r="C1157" s="73"/>
      <c r="D1157" s="73"/>
      <c r="E1157" s="82"/>
      <c r="F1157" s="82"/>
      <c r="G1157" s="86"/>
      <c r="H1157" s="86"/>
      <c r="I1157" s="86"/>
      <c r="J1157" s="82"/>
      <c r="K1157" s="82"/>
      <c r="L1157" s="82"/>
      <c r="M1157" s="82"/>
      <c r="N1157" s="82"/>
      <c r="O1157" s="82"/>
      <c r="P1157" s="82"/>
      <c r="Q1157" s="82"/>
      <c r="R1157" s="82"/>
      <c r="S1157" s="82"/>
      <c r="T1157" s="82"/>
      <c r="U1157" s="82"/>
      <c r="V1157" s="82"/>
      <c r="W1157" s="82"/>
      <c r="X1157" s="82"/>
      <c r="Y1157" s="8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82"/>
      <c r="AW1157" s="82" t="str">
        <f t="shared" si="1"/>
        <v/>
      </c>
      <c r="AX1157" s="83" t="str">
        <f t="array" ref="AX1157">IFERROR(DGET('SBV Import'!A:G,"SBV",{"RSC ID","Tier";B1157,A1157}))</f>
        <v/>
      </c>
      <c r="AY1157" s="82" t="str">
        <f t="shared" si="2"/>
        <v/>
      </c>
      <c r="AZ1157" s="82"/>
      <c r="BA1157" s="84" t="s">
        <v>152</v>
      </c>
      <c r="BB1157" s="84" t="str">
        <f>IFERROR(__xludf.DUMMYFUNCTION("iferror(if(A1157="""",,E1157&gt;=FILTER(Constants!$F$2:$F$10,Constants!$A$2:$A$10=A1157)))"),"")</f>
        <v/>
      </c>
    </row>
    <row r="1158">
      <c r="A1158" s="89"/>
      <c r="B1158" s="87"/>
      <c r="C1158" s="73"/>
      <c r="D1158" s="73"/>
      <c r="E1158" s="82"/>
      <c r="F1158" s="82"/>
      <c r="G1158" s="86"/>
      <c r="H1158" s="86"/>
      <c r="I1158" s="86"/>
      <c r="J1158" s="82"/>
      <c r="K1158" s="82"/>
      <c r="L1158" s="82"/>
      <c r="M1158" s="82"/>
      <c r="N1158" s="82"/>
      <c r="O1158" s="82"/>
      <c r="P1158" s="82"/>
      <c r="Q1158" s="82"/>
      <c r="R1158" s="82"/>
      <c r="S1158" s="82"/>
      <c r="T1158" s="82"/>
      <c r="U1158" s="82"/>
      <c r="V1158" s="82"/>
      <c r="W1158" s="82"/>
      <c r="X1158" s="82"/>
      <c r="Y1158" s="8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82"/>
      <c r="AW1158" s="82" t="str">
        <f t="shared" si="1"/>
        <v/>
      </c>
      <c r="AX1158" s="83" t="str">
        <f t="array" ref="AX1158">IFERROR(DGET('SBV Import'!A:G,"SBV",{"RSC ID","Tier";B1158,A1158}))</f>
        <v/>
      </c>
      <c r="AY1158" s="82" t="str">
        <f t="shared" si="2"/>
        <v/>
      </c>
      <c r="AZ1158" s="82"/>
      <c r="BA1158" s="84" t="s">
        <v>152</v>
      </c>
      <c r="BB1158" s="84" t="str">
        <f>IFERROR(__xludf.DUMMYFUNCTION("iferror(if(A1158="""",,E1158&gt;=FILTER(Constants!$F$2:$F$10,Constants!$A$2:$A$10=A1158)))"),"")</f>
        <v/>
      </c>
    </row>
    <row r="1159">
      <c r="A1159" s="89"/>
      <c r="B1159" s="87"/>
      <c r="C1159" s="73"/>
      <c r="D1159" s="73"/>
      <c r="E1159" s="82"/>
      <c r="F1159" s="82"/>
      <c r="G1159" s="86"/>
      <c r="H1159" s="86"/>
      <c r="I1159" s="86"/>
      <c r="J1159" s="82"/>
      <c r="K1159" s="82"/>
      <c r="L1159" s="82"/>
      <c r="M1159" s="82"/>
      <c r="N1159" s="82"/>
      <c r="O1159" s="82"/>
      <c r="P1159" s="82"/>
      <c r="Q1159" s="82"/>
      <c r="R1159" s="82"/>
      <c r="S1159" s="82"/>
      <c r="T1159" s="82"/>
      <c r="U1159" s="82"/>
      <c r="V1159" s="82"/>
      <c r="W1159" s="82"/>
      <c r="X1159" s="82"/>
      <c r="Y1159" s="8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82"/>
      <c r="AW1159" s="82" t="str">
        <f t="shared" si="1"/>
        <v/>
      </c>
      <c r="AX1159" s="83" t="str">
        <f t="array" ref="AX1159">IFERROR(DGET('SBV Import'!A:G,"SBV",{"RSC ID","Tier";B1159,A1159}))</f>
        <v/>
      </c>
      <c r="AY1159" s="82" t="str">
        <f t="shared" si="2"/>
        <v/>
      </c>
      <c r="AZ1159" s="82"/>
      <c r="BA1159" s="84" t="s">
        <v>152</v>
      </c>
      <c r="BB1159" s="84" t="str">
        <f>IFERROR(__xludf.DUMMYFUNCTION("iferror(if(A1159="""",,E1159&gt;=FILTER(Constants!$F$2:$F$10,Constants!$A$2:$A$10=A1159)))"),"")</f>
        <v/>
      </c>
    </row>
    <row r="1160">
      <c r="A1160" s="89"/>
      <c r="B1160" s="87"/>
      <c r="C1160" s="73"/>
      <c r="D1160" s="73"/>
      <c r="E1160" s="82"/>
      <c r="F1160" s="82"/>
      <c r="G1160" s="86"/>
      <c r="H1160" s="86"/>
      <c r="I1160" s="86"/>
      <c r="J1160" s="82"/>
      <c r="K1160" s="82"/>
      <c r="L1160" s="82"/>
      <c r="M1160" s="82"/>
      <c r="N1160" s="82"/>
      <c r="O1160" s="82"/>
      <c r="P1160" s="82"/>
      <c r="Q1160" s="82"/>
      <c r="R1160" s="82"/>
      <c r="S1160" s="82"/>
      <c r="T1160" s="82"/>
      <c r="U1160" s="82"/>
      <c r="V1160" s="82"/>
      <c r="W1160" s="82"/>
      <c r="X1160" s="82"/>
      <c r="Y1160" s="8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82"/>
      <c r="AW1160" s="82" t="str">
        <f t="shared" si="1"/>
        <v/>
      </c>
      <c r="AX1160" s="83" t="str">
        <f t="array" ref="AX1160">IFERROR(DGET('SBV Import'!A:G,"SBV",{"RSC ID","Tier";B1160,A1160}))</f>
        <v/>
      </c>
      <c r="AY1160" s="82" t="str">
        <f t="shared" si="2"/>
        <v/>
      </c>
      <c r="AZ1160" s="82"/>
      <c r="BA1160" s="84" t="s">
        <v>152</v>
      </c>
      <c r="BB1160" s="84" t="str">
        <f>IFERROR(__xludf.DUMMYFUNCTION("iferror(if(A1160="""",,E1160&gt;=FILTER(Constants!$F$2:$F$10,Constants!$A$2:$A$10=A1160)))"),"")</f>
        <v/>
      </c>
    </row>
    <row r="1161">
      <c r="A1161" s="89"/>
      <c r="B1161" s="87"/>
      <c r="C1161" s="73"/>
      <c r="D1161" s="73"/>
      <c r="E1161" s="82"/>
      <c r="F1161" s="82"/>
      <c r="G1161" s="86"/>
      <c r="H1161" s="86"/>
      <c r="I1161" s="86"/>
      <c r="J1161" s="82"/>
      <c r="K1161" s="82"/>
      <c r="L1161" s="82"/>
      <c r="M1161" s="82"/>
      <c r="N1161" s="82"/>
      <c r="O1161" s="82"/>
      <c r="P1161" s="82"/>
      <c r="Q1161" s="82"/>
      <c r="R1161" s="82"/>
      <c r="S1161" s="82"/>
      <c r="T1161" s="82"/>
      <c r="U1161" s="82"/>
      <c r="V1161" s="82"/>
      <c r="W1161" s="82"/>
      <c r="X1161" s="82"/>
      <c r="Y1161" s="8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82"/>
      <c r="AW1161" s="82" t="str">
        <f t="shared" si="1"/>
        <v/>
      </c>
      <c r="AX1161" s="83" t="str">
        <f t="array" ref="AX1161">IFERROR(DGET('SBV Import'!A:G,"SBV",{"RSC ID","Tier";B1161,A1161}))</f>
        <v/>
      </c>
      <c r="AY1161" s="82" t="str">
        <f t="shared" si="2"/>
        <v/>
      </c>
      <c r="AZ1161" s="82"/>
      <c r="BA1161" s="84" t="s">
        <v>152</v>
      </c>
      <c r="BB1161" s="84" t="str">
        <f>IFERROR(__xludf.DUMMYFUNCTION("iferror(if(A1161="""",,E1161&gt;=FILTER(Constants!$F$2:$F$10,Constants!$A$2:$A$10=A1161)))"),"")</f>
        <v/>
      </c>
    </row>
    <row r="1162">
      <c r="A1162" s="89"/>
      <c r="B1162" s="87"/>
      <c r="C1162" s="73"/>
      <c r="D1162" s="73"/>
      <c r="E1162" s="82"/>
      <c r="F1162" s="82"/>
      <c r="G1162" s="86"/>
      <c r="H1162" s="86"/>
      <c r="I1162" s="86"/>
      <c r="J1162" s="82"/>
      <c r="K1162" s="82"/>
      <c r="L1162" s="82"/>
      <c r="M1162" s="82"/>
      <c r="N1162" s="82"/>
      <c r="O1162" s="82"/>
      <c r="P1162" s="82"/>
      <c r="Q1162" s="82"/>
      <c r="R1162" s="82"/>
      <c r="S1162" s="82"/>
      <c r="T1162" s="82"/>
      <c r="U1162" s="82"/>
      <c r="V1162" s="82"/>
      <c r="W1162" s="82"/>
      <c r="X1162" s="82"/>
      <c r="Y1162" s="8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82"/>
      <c r="AW1162" s="82" t="str">
        <f t="shared" si="1"/>
        <v/>
      </c>
      <c r="AX1162" s="83" t="str">
        <f t="array" ref="AX1162">IFERROR(DGET('SBV Import'!A:G,"SBV",{"RSC ID","Tier";B1162,A1162}))</f>
        <v/>
      </c>
      <c r="AY1162" s="82" t="str">
        <f t="shared" si="2"/>
        <v/>
      </c>
      <c r="AZ1162" s="82"/>
      <c r="BA1162" s="84" t="s">
        <v>152</v>
      </c>
      <c r="BB1162" s="84" t="str">
        <f>IFERROR(__xludf.DUMMYFUNCTION("iferror(if(A1162="""",,E1162&gt;=FILTER(Constants!$F$2:$F$10,Constants!$A$2:$A$10=A1162)))"),"")</f>
        <v/>
      </c>
    </row>
    <row r="1163">
      <c r="A1163" s="89"/>
      <c r="B1163" s="87"/>
      <c r="C1163" s="73"/>
      <c r="D1163" s="73"/>
      <c r="E1163" s="82"/>
      <c r="F1163" s="82"/>
      <c r="G1163" s="86"/>
      <c r="H1163" s="86"/>
      <c r="I1163" s="86"/>
      <c r="J1163" s="82"/>
      <c r="K1163" s="82"/>
      <c r="L1163" s="82"/>
      <c r="M1163" s="82"/>
      <c r="N1163" s="82"/>
      <c r="O1163" s="82"/>
      <c r="P1163" s="82"/>
      <c r="Q1163" s="82"/>
      <c r="R1163" s="82"/>
      <c r="S1163" s="82"/>
      <c r="T1163" s="82"/>
      <c r="U1163" s="82"/>
      <c r="V1163" s="82"/>
      <c r="W1163" s="82"/>
      <c r="X1163" s="82"/>
      <c r="Y1163" s="8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82"/>
      <c r="AW1163" s="82" t="str">
        <f t="shared" si="1"/>
        <v/>
      </c>
      <c r="AX1163" s="83" t="str">
        <f t="array" ref="AX1163">IFERROR(DGET('SBV Import'!A:G,"SBV",{"RSC ID","Tier";B1163,A1163}))</f>
        <v/>
      </c>
      <c r="AY1163" s="82" t="str">
        <f t="shared" si="2"/>
        <v/>
      </c>
      <c r="AZ1163" s="82"/>
      <c r="BA1163" s="84" t="s">
        <v>152</v>
      </c>
      <c r="BB1163" s="84" t="str">
        <f>IFERROR(__xludf.DUMMYFUNCTION("iferror(if(A1163="""",,E1163&gt;=FILTER(Constants!$F$2:$F$10,Constants!$A$2:$A$10=A1163)))"),"")</f>
        <v/>
      </c>
    </row>
    <row r="1164">
      <c r="A1164" s="89"/>
      <c r="B1164" s="87"/>
      <c r="C1164" s="73"/>
      <c r="D1164" s="73"/>
      <c r="E1164" s="82"/>
      <c r="F1164" s="82"/>
      <c r="G1164" s="86"/>
      <c r="H1164" s="86"/>
      <c r="I1164" s="86"/>
      <c r="J1164" s="82"/>
      <c r="K1164" s="82"/>
      <c r="L1164" s="82"/>
      <c r="M1164" s="82"/>
      <c r="N1164" s="82"/>
      <c r="O1164" s="82"/>
      <c r="P1164" s="82"/>
      <c r="Q1164" s="82"/>
      <c r="R1164" s="82"/>
      <c r="S1164" s="82"/>
      <c r="T1164" s="82"/>
      <c r="U1164" s="82"/>
      <c r="V1164" s="82"/>
      <c r="W1164" s="82"/>
      <c r="X1164" s="82"/>
      <c r="Y1164" s="8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82"/>
      <c r="AW1164" s="82" t="str">
        <f t="shared" si="1"/>
        <v/>
      </c>
      <c r="AX1164" s="83" t="str">
        <f t="array" ref="AX1164">IFERROR(DGET('SBV Import'!A:G,"SBV",{"RSC ID","Tier";B1164,A1164}))</f>
        <v/>
      </c>
      <c r="AY1164" s="82" t="str">
        <f t="shared" si="2"/>
        <v/>
      </c>
      <c r="AZ1164" s="82"/>
      <c r="BA1164" s="84" t="s">
        <v>152</v>
      </c>
      <c r="BB1164" s="84" t="str">
        <f>IFERROR(__xludf.DUMMYFUNCTION("iferror(if(A1164="""",,E1164&gt;=FILTER(Constants!$F$2:$F$10,Constants!$A$2:$A$10=A1164)))"),"")</f>
        <v/>
      </c>
    </row>
    <row r="1165">
      <c r="A1165" s="89"/>
      <c r="B1165" s="87"/>
      <c r="C1165" s="73"/>
      <c r="D1165" s="73"/>
      <c r="E1165" s="82"/>
      <c r="F1165" s="82"/>
      <c r="G1165" s="86"/>
      <c r="H1165" s="86"/>
      <c r="I1165" s="86"/>
      <c r="J1165" s="82"/>
      <c r="K1165" s="82"/>
      <c r="L1165" s="82"/>
      <c r="M1165" s="82"/>
      <c r="N1165" s="82"/>
      <c r="O1165" s="82"/>
      <c r="P1165" s="82"/>
      <c r="Q1165" s="82"/>
      <c r="R1165" s="82"/>
      <c r="S1165" s="82"/>
      <c r="T1165" s="82"/>
      <c r="U1165" s="82"/>
      <c r="V1165" s="82"/>
      <c r="W1165" s="82"/>
      <c r="X1165" s="82"/>
      <c r="Y1165" s="82"/>
      <c r="Z1165" s="82"/>
      <c r="AA1165" s="82"/>
      <c r="AB1165" s="82"/>
      <c r="AC1165" s="82"/>
      <c r="AD1165" s="82"/>
      <c r="AE1165" s="82"/>
      <c r="AF1165" s="82"/>
      <c r="AG1165" s="82"/>
      <c r="AH1165" s="82"/>
      <c r="AI1165" s="82"/>
      <c r="AJ1165" s="82"/>
      <c r="AK1165" s="82"/>
      <c r="AL1165" s="82"/>
      <c r="AM1165" s="82"/>
      <c r="AN1165" s="82"/>
      <c r="AO1165" s="82"/>
      <c r="AP1165" s="82"/>
      <c r="AQ1165" s="82"/>
      <c r="AR1165" s="82"/>
      <c r="AS1165" s="82"/>
      <c r="AT1165" s="82"/>
      <c r="AU1165" s="82"/>
      <c r="AV1165" s="82"/>
      <c r="AW1165" s="82" t="str">
        <f t="shared" si="1"/>
        <v/>
      </c>
      <c r="AX1165" s="83" t="str">
        <f t="array" ref="AX1165">IFERROR(DGET('SBV Import'!A:G,"SBV",{"RSC ID","Tier";B1165,A1165}))</f>
        <v/>
      </c>
      <c r="AY1165" s="82" t="str">
        <f t="shared" si="2"/>
        <v/>
      </c>
      <c r="AZ1165" s="82"/>
      <c r="BA1165" s="84" t="s">
        <v>152</v>
      </c>
      <c r="BB1165" s="84" t="str">
        <f>IFERROR(__xludf.DUMMYFUNCTION("iferror(if(A1165="""",,E1165&gt;=FILTER(Constants!$F$2:$F$10,Constants!$A$2:$A$10=A1165)))"),"")</f>
        <v/>
      </c>
    </row>
    <row r="1166">
      <c r="A1166" s="89"/>
      <c r="B1166" s="87"/>
      <c r="C1166" s="73"/>
      <c r="D1166" s="73"/>
      <c r="E1166" s="82"/>
      <c r="F1166" s="82"/>
      <c r="G1166" s="86"/>
      <c r="H1166" s="86"/>
      <c r="I1166" s="86"/>
      <c r="J1166" s="82"/>
      <c r="K1166" s="82"/>
      <c r="L1166" s="82"/>
      <c r="M1166" s="82"/>
      <c r="N1166" s="82"/>
      <c r="O1166" s="82"/>
      <c r="P1166" s="82"/>
      <c r="Q1166" s="82"/>
      <c r="R1166" s="82"/>
      <c r="S1166" s="82"/>
      <c r="T1166" s="82"/>
      <c r="U1166" s="82"/>
      <c r="V1166" s="82"/>
      <c r="W1166" s="82"/>
      <c r="X1166" s="82"/>
      <c r="Y1166" s="8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82"/>
      <c r="AW1166" s="82" t="str">
        <f t="shared" si="1"/>
        <v/>
      </c>
      <c r="AX1166" s="83" t="str">
        <f t="array" ref="AX1166">IFERROR(DGET('SBV Import'!A:G,"SBV",{"RSC ID","Tier";B1166,A1166}))</f>
        <v/>
      </c>
      <c r="AY1166" s="82" t="str">
        <f t="shared" si="2"/>
        <v/>
      </c>
      <c r="AZ1166" s="82"/>
      <c r="BA1166" s="84" t="s">
        <v>152</v>
      </c>
      <c r="BB1166" s="84" t="str">
        <f>IFERROR(__xludf.DUMMYFUNCTION("iferror(if(A1166="""",,E1166&gt;=FILTER(Constants!$F$2:$F$10,Constants!$A$2:$A$10=A1166)))"),"")</f>
        <v/>
      </c>
    </row>
    <row r="1167">
      <c r="A1167" s="89"/>
      <c r="B1167" s="87"/>
      <c r="C1167" s="73"/>
      <c r="D1167" s="73"/>
      <c r="E1167" s="82"/>
      <c r="F1167" s="82"/>
      <c r="G1167" s="86"/>
      <c r="H1167" s="86"/>
      <c r="I1167" s="86"/>
      <c r="J1167" s="82"/>
      <c r="K1167" s="82"/>
      <c r="L1167" s="82"/>
      <c r="M1167" s="82"/>
      <c r="N1167" s="82"/>
      <c r="O1167" s="82"/>
      <c r="P1167" s="82"/>
      <c r="Q1167" s="82"/>
      <c r="R1167" s="82"/>
      <c r="S1167" s="82"/>
      <c r="T1167" s="82"/>
      <c r="U1167" s="82"/>
      <c r="V1167" s="82"/>
      <c r="W1167" s="82"/>
      <c r="X1167" s="82"/>
      <c r="Y1167" s="8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82"/>
      <c r="AW1167" s="82" t="str">
        <f t="shared" si="1"/>
        <v/>
      </c>
      <c r="AX1167" s="83" t="str">
        <f t="array" ref="AX1167">IFERROR(DGET('SBV Import'!A:G,"SBV",{"RSC ID","Tier";B1167,A1167}))</f>
        <v/>
      </c>
      <c r="AY1167" s="82" t="str">
        <f t="shared" si="2"/>
        <v/>
      </c>
      <c r="AZ1167" s="82"/>
      <c r="BA1167" s="84" t="s">
        <v>152</v>
      </c>
      <c r="BB1167" s="84" t="str">
        <f>IFERROR(__xludf.DUMMYFUNCTION("iferror(if(A1167="""",,E1167&gt;=FILTER(Constants!$F$2:$F$10,Constants!$A$2:$A$10=A1167)))"),"")</f>
        <v/>
      </c>
    </row>
    <row r="1168">
      <c r="A1168" s="89"/>
      <c r="B1168" s="87"/>
      <c r="C1168" s="73"/>
      <c r="D1168" s="73"/>
      <c r="E1168" s="82"/>
      <c r="F1168" s="82"/>
      <c r="G1168" s="86"/>
      <c r="H1168" s="86"/>
      <c r="I1168" s="86"/>
      <c r="J1168" s="82"/>
      <c r="K1168" s="82"/>
      <c r="L1168" s="82"/>
      <c r="M1168" s="82"/>
      <c r="N1168" s="82"/>
      <c r="O1168" s="82"/>
      <c r="P1168" s="82"/>
      <c r="Q1168" s="82"/>
      <c r="R1168" s="82"/>
      <c r="S1168" s="82"/>
      <c r="T1168" s="82"/>
      <c r="U1168" s="82"/>
      <c r="V1168" s="82"/>
      <c r="W1168" s="82"/>
      <c r="X1168" s="82"/>
      <c r="Y1168" s="82"/>
      <c r="Z1168" s="82"/>
      <c r="AA1168" s="82"/>
      <c r="AB1168" s="82"/>
      <c r="AC1168" s="82"/>
      <c r="AD1168" s="82"/>
      <c r="AE1168" s="82"/>
      <c r="AF1168" s="82"/>
      <c r="AG1168" s="82"/>
      <c r="AH1168" s="82"/>
      <c r="AI1168" s="82"/>
      <c r="AJ1168" s="82"/>
      <c r="AK1168" s="82"/>
      <c r="AL1168" s="82"/>
      <c r="AM1168" s="82"/>
      <c r="AN1168" s="82"/>
      <c r="AO1168" s="82"/>
      <c r="AP1168" s="82"/>
      <c r="AQ1168" s="82"/>
      <c r="AR1168" s="82"/>
      <c r="AS1168" s="82"/>
      <c r="AT1168" s="82"/>
      <c r="AU1168" s="82"/>
      <c r="AV1168" s="82"/>
      <c r="AW1168" s="82" t="str">
        <f t="shared" si="1"/>
        <v/>
      </c>
      <c r="AX1168" s="83" t="str">
        <f t="array" ref="AX1168">IFERROR(DGET('SBV Import'!A:G,"SBV",{"RSC ID","Tier";B1168,A1168}))</f>
        <v/>
      </c>
      <c r="AY1168" s="82" t="str">
        <f t="shared" si="2"/>
        <v/>
      </c>
      <c r="AZ1168" s="82"/>
      <c r="BA1168" s="84" t="s">
        <v>152</v>
      </c>
      <c r="BB1168" s="84" t="str">
        <f>IFERROR(__xludf.DUMMYFUNCTION("iferror(if(A1168="""",,E1168&gt;=FILTER(Constants!$F$2:$F$10,Constants!$A$2:$A$10=A1168)))"),"")</f>
        <v/>
      </c>
    </row>
    <row r="1169">
      <c r="A1169" s="89"/>
      <c r="B1169" s="87"/>
      <c r="C1169" s="73"/>
      <c r="D1169" s="73"/>
      <c r="E1169" s="82"/>
      <c r="F1169" s="82"/>
      <c r="G1169" s="86"/>
      <c r="H1169" s="86"/>
      <c r="I1169" s="86"/>
      <c r="J1169" s="82"/>
      <c r="K1169" s="82"/>
      <c r="L1169" s="82"/>
      <c r="M1169" s="82"/>
      <c r="N1169" s="82"/>
      <c r="O1169" s="82"/>
      <c r="P1169" s="82"/>
      <c r="Q1169" s="82"/>
      <c r="R1169" s="82"/>
      <c r="S1169" s="82"/>
      <c r="T1169" s="82"/>
      <c r="U1169" s="82"/>
      <c r="V1169" s="82"/>
      <c r="W1169" s="82"/>
      <c r="X1169" s="82"/>
      <c r="Y1169" s="8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82"/>
      <c r="AW1169" s="82" t="str">
        <f t="shared" si="1"/>
        <v/>
      </c>
      <c r="AX1169" s="83" t="str">
        <f t="array" ref="AX1169">IFERROR(DGET('SBV Import'!A:G,"SBV",{"RSC ID","Tier";B1169,A1169}))</f>
        <v/>
      </c>
      <c r="AY1169" s="82" t="str">
        <f t="shared" si="2"/>
        <v/>
      </c>
      <c r="AZ1169" s="82"/>
      <c r="BA1169" s="84" t="s">
        <v>152</v>
      </c>
      <c r="BB1169" s="84" t="str">
        <f>IFERROR(__xludf.DUMMYFUNCTION("iferror(if(A1169="""",,E1169&gt;=FILTER(Constants!$F$2:$F$10,Constants!$A$2:$A$10=A1169)))"),"")</f>
        <v/>
      </c>
    </row>
    <row r="1170">
      <c r="A1170" s="89"/>
      <c r="B1170" s="87"/>
      <c r="C1170" s="73"/>
      <c r="D1170" s="73"/>
      <c r="E1170" s="82"/>
      <c r="F1170" s="82"/>
      <c r="G1170" s="86"/>
      <c r="H1170" s="86"/>
      <c r="I1170" s="86"/>
      <c r="J1170" s="82"/>
      <c r="K1170" s="82"/>
      <c r="L1170" s="82"/>
      <c r="M1170" s="82"/>
      <c r="N1170" s="82"/>
      <c r="O1170" s="82"/>
      <c r="P1170" s="82"/>
      <c r="Q1170" s="82"/>
      <c r="R1170" s="82"/>
      <c r="S1170" s="82"/>
      <c r="T1170" s="82"/>
      <c r="U1170" s="82"/>
      <c r="V1170" s="82"/>
      <c r="W1170" s="82"/>
      <c r="X1170" s="82"/>
      <c r="Y1170" s="8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82"/>
      <c r="AW1170" s="82" t="str">
        <f t="shared" si="1"/>
        <v/>
      </c>
      <c r="AX1170" s="83" t="str">
        <f t="array" ref="AX1170">IFERROR(DGET('SBV Import'!A:G,"SBV",{"RSC ID","Tier";B1170,A1170}))</f>
        <v/>
      </c>
      <c r="AY1170" s="82" t="str">
        <f t="shared" si="2"/>
        <v/>
      </c>
      <c r="AZ1170" s="82"/>
      <c r="BA1170" s="84" t="s">
        <v>152</v>
      </c>
      <c r="BB1170" s="84" t="str">
        <f>IFERROR(__xludf.DUMMYFUNCTION("iferror(if(A1170="""",,E1170&gt;=FILTER(Constants!$F$2:$F$10,Constants!$A$2:$A$10=A1170)))"),"")</f>
        <v/>
      </c>
    </row>
    <row r="1171">
      <c r="A1171" s="89"/>
      <c r="B1171" s="87"/>
      <c r="C1171" s="73"/>
      <c r="D1171" s="73"/>
      <c r="E1171" s="82"/>
      <c r="F1171" s="82"/>
      <c r="G1171" s="86"/>
      <c r="H1171" s="86"/>
      <c r="I1171" s="86"/>
      <c r="J1171" s="82"/>
      <c r="K1171" s="82"/>
      <c r="L1171" s="82"/>
      <c r="M1171" s="82"/>
      <c r="N1171" s="82"/>
      <c r="O1171" s="82"/>
      <c r="P1171" s="82"/>
      <c r="Q1171" s="82"/>
      <c r="R1171" s="82"/>
      <c r="S1171" s="82"/>
      <c r="T1171" s="82"/>
      <c r="U1171" s="82"/>
      <c r="V1171" s="82"/>
      <c r="W1171" s="82"/>
      <c r="X1171" s="82"/>
      <c r="Y1171" s="82"/>
      <c r="Z1171" s="82"/>
      <c r="AA1171" s="82"/>
      <c r="AB1171" s="82"/>
      <c r="AC1171" s="82"/>
      <c r="AD1171" s="82"/>
      <c r="AE1171" s="82"/>
      <c r="AF1171" s="82"/>
      <c r="AG1171" s="82"/>
      <c r="AH1171" s="82"/>
      <c r="AI1171" s="82"/>
      <c r="AJ1171" s="82"/>
      <c r="AK1171" s="82"/>
      <c r="AL1171" s="82"/>
      <c r="AM1171" s="82"/>
      <c r="AN1171" s="82"/>
      <c r="AO1171" s="82"/>
      <c r="AP1171" s="82"/>
      <c r="AQ1171" s="82"/>
      <c r="AR1171" s="82"/>
      <c r="AS1171" s="82"/>
      <c r="AT1171" s="82"/>
      <c r="AU1171" s="82"/>
      <c r="AV1171" s="82"/>
      <c r="AW1171" s="82" t="str">
        <f t="shared" si="1"/>
        <v/>
      </c>
      <c r="AX1171" s="83" t="str">
        <f t="array" ref="AX1171">IFERROR(DGET('SBV Import'!A:G,"SBV",{"RSC ID","Tier";B1171,A1171}))</f>
        <v/>
      </c>
      <c r="AY1171" s="82" t="str">
        <f t="shared" si="2"/>
        <v/>
      </c>
      <c r="AZ1171" s="82"/>
      <c r="BA1171" s="84" t="s">
        <v>152</v>
      </c>
      <c r="BB1171" s="84" t="str">
        <f>IFERROR(__xludf.DUMMYFUNCTION("iferror(if(A1171="""",,E1171&gt;=FILTER(Constants!$F$2:$F$10,Constants!$A$2:$A$10=A1171)))"),"")</f>
        <v/>
      </c>
    </row>
    <row r="1172">
      <c r="A1172" s="89"/>
      <c r="B1172" s="87"/>
      <c r="C1172" s="73"/>
      <c r="D1172" s="73"/>
      <c r="E1172" s="82"/>
      <c r="F1172" s="82"/>
      <c r="G1172" s="86"/>
      <c r="H1172" s="86"/>
      <c r="I1172" s="86"/>
      <c r="J1172" s="82"/>
      <c r="K1172" s="82"/>
      <c r="L1172" s="82"/>
      <c r="M1172" s="82"/>
      <c r="N1172" s="82"/>
      <c r="O1172" s="82"/>
      <c r="P1172" s="82"/>
      <c r="Q1172" s="82"/>
      <c r="R1172" s="82"/>
      <c r="S1172" s="82"/>
      <c r="T1172" s="82"/>
      <c r="U1172" s="82"/>
      <c r="V1172" s="82"/>
      <c r="W1172" s="82"/>
      <c r="X1172" s="82"/>
      <c r="Y1172" s="8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82"/>
      <c r="AW1172" s="82" t="str">
        <f t="shared" si="1"/>
        <v/>
      </c>
      <c r="AX1172" s="83" t="str">
        <f t="array" ref="AX1172">IFERROR(DGET('SBV Import'!A:G,"SBV",{"RSC ID","Tier";B1172,A1172}))</f>
        <v/>
      </c>
      <c r="AY1172" s="82" t="str">
        <f t="shared" si="2"/>
        <v/>
      </c>
      <c r="AZ1172" s="82"/>
      <c r="BA1172" s="84" t="s">
        <v>152</v>
      </c>
      <c r="BB1172" s="84" t="str">
        <f>IFERROR(__xludf.DUMMYFUNCTION("iferror(if(A1172="""",,E1172&gt;=FILTER(Constants!$F$2:$F$10,Constants!$A$2:$A$10=A1172)))"),"")</f>
        <v/>
      </c>
    </row>
    <row r="1173">
      <c r="A1173" s="89"/>
      <c r="B1173" s="87"/>
      <c r="C1173" s="73"/>
      <c r="D1173" s="73"/>
      <c r="E1173" s="82"/>
      <c r="F1173" s="82"/>
      <c r="G1173" s="86"/>
      <c r="H1173" s="86"/>
      <c r="I1173" s="86"/>
      <c r="J1173" s="82"/>
      <c r="K1173" s="82"/>
      <c r="L1173" s="82"/>
      <c r="M1173" s="82"/>
      <c r="N1173" s="82"/>
      <c r="O1173" s="82"/>
      <c r="P1173" s="82"/>
      <c r="Q1173" s="82"/>
      <c r="R1173" s="82"/>
      <c r="S1173" s="82"/>
      <c r="T1173" s="82"/>
      <c r="U1173" s="82"/>
      <c r="V1173" s="82"/>
      <c r="W1173" s="82"/>
      <c r="X1173" s="82"/>
      <c r="Y1173" s="8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82"/>
      <c r="AW1173" s="82" t="str">
        <f t="shared" si="1"/>
        <v/>
      </c>
      <c r="AX1173" s="83" t="str">
        <f t="array" ref="AX1173">IFERROR(DGET('SBV Import'!A:G,"SBV",{"RSC ID","Tier";B1173,A1173}))</f>
        <v/>
      </c>
      <c r="AY1173" s="82" t="str">
        <f t="shared" si="2"/>
        <v/>
      </c>
      <c r="AZ1173" s="82"/>
      <c r="BA1173" s="84" t="s">
        <v>152</v>
      </c>
      <c r="BB1173" s="84" t="str">
        <f>IFERROR(__xludf.DUMMYFUNCTION("iferror(if(A1173="""",,E1173&gt;=FILTER(Constants!$F$2:$F$10,Constants!$A$2:$A$10=A1173)))"),"")</f>
        <v/>
      </c>
    </row>
    <row r="1174">
      <c r="A1174" s="89"/>
      <c r="B1174" s="87"/>
      <c r="C1174" s="73"/>
      <c r="D1174" s="73"/>
      <c r="E1174" s="82"/>
      <c r="F1174" s="82"/>
      <c r="G1174" s="86"/>
      <c r="H1174" s="86"/>
      <c r="I1174" s="86"/>
      <c r="J1174" s="82"/>
      <c r="K1174" s="82"/>
      <c r="L1174" s="82"/>
      <c r="M1174" s="82"/>
      <c r="N1174" s="82"/>
      <c r="O1174" s="82"/>
      <c r="P1174" s="82"/>
      <c r="Q1174" s="82"/>
      <c r="R1174" s="82"/>
      <c r="S1174" s="82"/>
      <c r="T1174" s="82"/>
      <c r="U1174" s="82"/>
      <c r="V1174" s="82"/>
      <c r="W1174" s="82"/>
      <c r="X1174" s="82"/>
      <c r="Y1174" s="82"/>
      <c r="Z1174" s="82"/>
      <c r="AA1174" s="82"/>
      <c r="AB1174" s="82"/>
      <c r="AC1174" s="82"/>
      <c r="AD1174" s="82"/>
      <c r="AE1174" s="82"/>
      <c r="AF1174" s="82"/>
      <c r="AG1174" s="82"/>
      <c r="AH1174" s="82"/>
      <c r="AI1174" s="82"/>
      <c r="AJ1174" s="82"/>
      <c r="AK1174" s="82"/>
      <c r="AL1174" s="82"/>
      <c r="AM1174" s="82"/>
      <c r="AN1174" s="82"/>
      <c r="AO1174" s="82"/>
      <c r="AP1174" s="82"/>
      <c r="AQ1174" s="82"/>
      <c r="AR1174" s="82"/>
      <c r="AS1174" s="82"/>
      <c r="AT1174" s="82"/>
      <c r="AU1174" s="82"/>
      <c r="AV1174" s="82"/>
      <c r="AW1174" s="82" t="str">
        <f t="shared" si="1"/>
        <v/>
      </c>
      <c r="AX1174" s="83" t="str">
        <f t="array" ref="AX1174">IFERROR(DGET('SBV Import'!A:G,"SBV",{"RSC ID","Tier";B1174,A1174}))</f>
        <v/>
      </c>
      <c r="AY1174" s="82" t="str">
        <f t="shared" si="2"/>
        <v/>
      </c>
      <c r="AZ1174" s="82"/>
      <c r="BA1174" s="84" t="s">
        <v>152</v>
      </c>
      <c r="BB1174" s="84" t="str">
        <f>IFERROR(__xludf.DUMMYFUNCTION("iferror(if(A1174="""",,E1174&gt;=FILTER(Constants!$F$2:$F$10,Constants!$A$2:$A$10=A1174)))"),"")</f>
        <v/>
      </c>
    </row>
    <row r="1175">
      <c r="A1175" s="89"/>
      <c r="B1175" s="87"/>
      <c r="C1175" s="73"/>
      <c r="D1175" s="73"/>
      <c r="E1175" s="82"/>
      <c r="F1175" s="82"/>
      <c r="G1175" s="86"/>
      <c r="H1175" s="86"/>
      <c r="I1175" s="86"/>
      <c r="J1175" s="82"/>
      <c r="K1175" s="82"/>
      <c r="L1175" s="82"/>
      <c r="M1175" s="82"/>
      <c r="N1175" s="82"/>
      <c r="O1175" s="82"/>
      <c r="P1175" s="82"/>
      <c r="Q1175" s="82"/>
      <c r="R1175" s="82"/>
      <c r="S1175" s="82"/>
      <c r="T1175" s="82"/>
      <c r="U1175" s="82"/>
      <c r="V1175" s="82"/>
      <c r="W1175" s="82"/>
      <c r="X1175" s="82"/>
      <c r="Y1175" s="8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82"/>
      <c r="AW1175" s="82" t="str">
        <f t="shared" si="1"/>
        <v/>
      </c>
      <c r="AX1175" s="83" t="str">
        <f t="array" ref="AX1175">IFERROR(DGET('SBV Import'!A:G,"SBV",{"RSC ID","Tier";B1175,A1175}))</f>
        <v/>
      </c>
      <c r="AY1175" s="82" t="str">
        <f t="shared" si="2"/>
        <v/>
      </c>
      <c r="AZ1175" s="82"/>
      <c r="BA1175" s="84" t="s">
        <v>152</v>
      </c>
      <c r="BB1175" s="84" t="str">
        <f>IFERROR(__xludf.DUMMYFUNCTION("iferror(if(A1175="""",,E1175&gt;=FILTER(Constants!$F$2:$F$10,Constants!$A$2:$A$10=A1175)))"),"")</f>
        <v/>
      </c>
    </row>
    <row r="1176">
      <c r="A1176" s="89"/>
      <c r="B1176" s="87"/>
      <c r="C1176" s="73"/>
      <c r="D1176" s="73"/>
      <c r="E1176" s="82"/>
      <c r="F1176" s="82"/>
      <c r="G1176" s="86"/>
      <c r="H1176" s="86"/>
      <c r="I1176" s="86"/>
      <c r="J1176" s="82"/>
      <c r="K1176" s="82"/>
      <c r="L1176" s="82"/>
      <c r="M1176" s="82"/>
      <c r="N1176" s="82"/>
      <c r="O1176" s="82"/>
      <c r="P1176" s="82"/>
      <c r="Q1176" s="82"/>
      <c r="R1176" s="82"/>
      <c r="S1176" s="82"/>
      <c r="T1176" s="82"/>
      <c r="U1176" s="82"/>
      <c r="V1176" s="82"/>
      <c r="W1176" s="82"/>
      <c r="X1176" s="82"/>
      <c r="Y1176" s="8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82"/>
      <c r="AW1176" s="82" t="str">
        <f t="shared" si="1"/>
        <v/>
      </c>
      <c r="AX1176" s="83" t="str">
        <f t="array" ref="AX1176">IFERROR(DGET('SBV Import'!A:G,"SBV",{"RSC ID","Tier";B1176,A1176}))</f>
        <v/>
      </c>
      <c r="AY1176" s="82" t="str">
        <f t="shared" si="2"/>
        <v/>
      </c>
      <c r="AZ1176" s="82"/>
      <c r="BA1176" s="84" t="s">
        <v>152</v>
      </c>
      <c r="BB1176" s="84" t="str">
        <f>IFERROR(__xludf.DUMMYFUNCTION("iferror(if(A1176="""",,E1176&gt;=FILTER(Constants!$F$2:$F$10,Constants!$A$2:$A$10=A1176)))"),"")</f>
        <v/>
      </c>
    </row>
    <row r="1177">
      <c r="A1177" s="89"/>
      <c r="B1177" s="87"/>
      <c r="C1177" s="73"/>
      <c r="D1177" s="73"/>
      <c r="E1177" s="82"/>
      <c r="F1177" s="82"/>
      <c r="G1177" s="86"/>
      <c r="H1177" s="86"/>
      <c r="I1177" s="86"/>
      <c r="J1177" s="82"/>
      <c r="K1177" s="82"/>
      <c r="L1177" s="82"/>
      <c r="M1177" s="82"/>
      <c r="N1177" s="82"/>
      <c r="O1177" s="82"/>
      <c r="P1177" s="82"/>
      <c r="Q1177" s="82"/>
      <c r="R1177" s="82"/>
      <c r="S1177" s="82"/>
      <c r="T1177" s="82"/>
      <c r="U1177" s="82"/>
      <c r="V1177" s="82"/>
      <c r="W1177" s="82"/>
      <c r="X1177" s="82"/>
      <c r="Y1177" s="82"/>
      <c r="Z1177" s="82"/>
      <c r="AA1177" s="82"/>
      <c r="AB1177" s="82"/>
      <c r="AC1177" s="82"/>
      <c r="AD1177" s="82"/>
      <c r="AE1177" s="82"/>
      <c r="AF1177" s="82"/>
      <c r="AG1177" s="82"/>
      <c r="AH1177" s="82"/>
      <c r="AI1177" s="82"/>
      <c r="AJ1177" s="82"/>
      <c r="AK1177" s="82"/>
      <c r="AL1177" s="82"/>
      <c r="AM1177" s="82"/>
      <c r="AN1177" s="82"/>
      <c r="AO1177" s="82"/>
      <c r="AP1177" s="82"/>
      <c r="AQ1177" s="82"/>
      <c r="AR1177" s="82"/>
      <c r="AS1177" s="82"/>
      <c r="AT1177" s="82"/>
      <c r="AU1177" s="82"/>
      <c r="AV1177" s="82"/>
      <c r="AW1177" s="82" t="str">
        <f t="shared" si="1"/>
        <v/>
      </c>
      <c r="AX1177" s="83" t="str">
        <f t="array" ref="AX1177">IFERROR(DGET('SBV Import'!A:G,"SBV",{"RSC ID","Tier";B1177,A1177}))</f>
        <v/>
      </c>
      <c r="AY1177" s="82" t="str">
        <f t="shared" si="2"/>
        <v/>
      </c>
      <c r="AZ1177" s="82"/>
      <c r="BA1177" s="84" t="s">
        <v>152</v>
      </c>
      <c r="BB1177" s="84" t="str">
        <f>IFERROR(__xludf.DUMMYFUNCTION("iferror(if(A1177="""",,E1177&gt;=FILTER(Constants!$F$2:$F$10,Constants!$A$2:$A$10=A1177)))"),"")</f>
        <v/>
      </c>
    </row>
    <row r="1178">
      <c r="A1178" s="89"/>
      <c r="B1178" s="87"/>
      <c r="C1178" s="73"/>
      <c r="D1178" s="73"/>
      <c r="E1178" s="82"/>
      <c r="F1178" s="82"/>
      <c r="G1178" s="86"/>
      <c r="H1178" s="86"/>
      <c r="I1178" s="86"/>
      <c r="J1178" s="82"/>
      <c r="K1178" s="82"/>
      <c r="L1178" s="82"/>
      <c r="M1178" s="82"/>
      <c r="N1178" s="82"/>
      <c r="O1178" s="82"/>
      <c r="P1178" s="82"/>
      <c r="Q1178" s="82"/>
      <c r="R1178" s="82"/>
      <c r="S1178" s="82"/>
      <c r="T1178" s="82"/>
      <c r="U1178" s="82"/>
      <c r="V1178" s="82"/>
      <c r="W1178" s="82"/>
      <c r="X1178" s="82"/>
      <c r="Y1178" s="82"/>
      <c r="Z1178" s="82"/>
      <c r="AA1178" s="82"/>
      <c r="AB1178" s="82"/>
      <c r="AC1178" s="82"/>
      <c r="AD1178" s="82"/>
      <c r="AE1178" s="82"/>
      <c r="AF1178" s="82"/>
      <c r="AG1178" s="82"/>
      <c r="AH1178" s="82"/>
      <c r="AI1178" s="82"/>
      <c r="AJ1178" s="82"/>
      <c r="AK1178" s="82"/>
      <c r="AL1178" s="82"/>
      <c r="AM1178" s="82"/>
      <c r="AN1178" s="82"/>
      <c r="AO1178" s="82"/>
      <c r="AP1178" s="82"/>
      <c r="AQ1178" s="82"/>
      <c r="AR1178" s="82"/>
      <c r="AS1178" s="82"/>
      <c r="AT1178" s="82"/>
      <c r="AU1178" s="82"/>
      <c r="AV1178" s="82"/>
      <c r="AW1178" s="82" t="str">
        <f t="shared" si="1"/>
        <v/>
      </c>
      <c r="AX1178" s="83" t="str">
        <f t="array" ref="AX1178">IFERROR(DGET('SBV Import'!A:G,"SBV",{"RSC ID","Tier";B1178,A1178}))</f>
        <v/>
      </c>
      <c r="AY1178" s="82" t="str">
        <f t="shared" si="2"/>
        <v/>
      </c>
      <c r="AZ1178" s="82"/>
      <c r="BA1178" s="84" t="s">
        <v>152</v>
      </c>
      <c r="BB1178" s="84" t="str">
        <f>IFERROR(__xludf.DUMMYFUNCTION("iferror(if(A1178="""",,E1178&gt;=FILTER(Constants!$F$2:$F$10,Constants!$A$2:$A$10=A1178)))"),"")</f>
        <v/>
      </c>
    </row>
    <row r="1179">
      <c r="A1179" s="89"/>
      <c r="B1179" s="87"/>
      <c r="C1179" s="73"/>
      <c r="D1179" s="73"/>
      <c r="E1179" s="82"/>
      <c r="F1179" s="82"/>
      <c r="G1179" s="86"/>
      <c r="H1179" s="86"/>
      <c r="I1179" s="86"/>
      <c r="J1179" s="82"/>
      <c r="K1179" s="82"/>
      <c r="L1179" s="82"/>
      <c r="M1179" s="82"/>
      <c r="N1179" s="82"/>
      <c r="O1179" s="82"/>
      <c r="P1179" s="82"/>
      <c r="Q1179" s="82"/>
      <c r="R1179" s="82"/>
      <c r="S1179" s="82"/>
      <c r="T1179" s="82"/>
      <c r="U1179" s="82"/>
      <c r="V1179" s="82"/>
      <c r="W1179" s="82"/>
      <c r="X1179" s="82"/>
      <c r="Y1179" s="82"/>
      <c r="Z1179" s="82"/>
      <c r="AA1179" s="82"/>
      <c r="AB1179" s="82"/>
      <c r="AC1179" s="82"/>
      <c r="AD1179" s="82"/>
      <c r="AE1179" s="82"/>
      <c r="AF1179" s="82"/>
      <c r="AG1179" s="82"/>
      <c r="AH1179" s="82"/>
      <c r="AI1179" s="82"/>
      <c r="AJ1179" s="82"/>
      <c r="AK1179" s="82"/>
      <c r="AL1179" s="82"/>
      <c r="AM1179" s="82"/>
      <c r="AN1179" s="82"/>
      <c r="AO1179" s="82"/>
      <c r="AP1179" s="82"/>
      <c r="AQ1179" s="82"/>
      <c r="AR1179" s="82"/>
      <c r="AS1179" s="82"/>
      <c r="AT1179" s="82"/>
      <c r="AU1179" s="82"/>
      <c r="AV1179" s="82"/>
      <c r="AW1179" s="82" t="str">
        <f t="shared" si="1"/>
        <v/>
      </c>
      <c r="AX1179" s="83" t="str">
        <f t="array" ref="AX1179">IFERROR(DGET('SBV Import'!A:G,"SBV",{"RSC ID","Tier";B1179,A1179}))</f>
        <v/>
      </c>
      <c r="AY1179" s="82" t="str">
        <f t="shared" si="2"/>
        <v/>
      </c>
      <c r="AZ1179" s="82"/>
      <c r="BA1179" s="84" t="s">
        <v>152</v>
      </c>
      <c r="BB1179" s="84" t="str">
        <f>IFERROR(__xludf.DUMMYFUNCTION("iferror(if(A1179="""",,E1179&gt;=FILTER(Constants!$F$2:$F$10,Constants!$A$2:$A$10=A1179)))"),"")</f>
        <v/>
      </c>
    </row>
    <row r="1180">
      <c r="A1180" s="89"/>
      <c r="B1180" s="87"/>
      <c r="C1180" s="73"/>
      <c r="D1180" s="73"/>
      <c r="E1180" s="82"/>
      <c r="F1180" s="82"/>
      <c r="G1180" s="86"/>
      <c r="H1180" s="86"/>
      <c r="I1180" s="86"/>
      <c r="J1180" s="82"/>
      <c r="K1180" s="82"/>
      <c r="L1180" s="82"/>
      <c r="M1180" s="82"/>
      <c r="N1180" s="82"/>
      <c r="O1180" s="82"/>
      <c r="P1180" s="82"/>
      <c r="Q1180" s="82"/>
      <c r="R1180" s="82"/>
      <c r="S1180" s="82"/>
      <c r="T1180" s="82"/>
      <c r="U1180" s="82"/>
      <c r="V1180" s="82"/>
      <c r="W1180" s="82"/>
      <c r="X1180" s="82"/>
      <c r="Y1180" s="82"/>
      <c r="Z1180" s="82"/>
      <c r="AA1180" s="82"/>
      <c r="AB1180" s="82"/>
      <c r="AC1180" s="82"/>
      <c r="AD1180" s="82"/>
      <c r="AE1180" s="82"/>
      <c r="AF1180" s="82"/>
      <c r="AG1180" s="82"/>
      <c r="AH1180" s="82"/>
      <c r="AI1180" s="82"/>
      <c r="AJ1180" s="82"/>
      <c r="AK1180" s="82"/>
      <c r="AL1180" s="82"/>
      <c r="AM1180" s="82"/>
      <c r="AN1180" s="82"/>
      <c r="AO1180" s="82"/>
      <c r="AP1180" s="82"/>
      <c r="AQ1180" s="82"/>
      <c r="AR1180" s="82"/>
      <c r="AS1180" s="82"/>
      <c r="AT1180" s="82"/>
      <c r="AU1180" s="82"/>
      <c r="AV1180" s="82"/>
      <c r="AW1180" s="82" t="str">
        <f t="shared" si="1"/>
        <v/>
      </c>
      <c r="AX1180" s="83" t="str">
        <f t="array" ref="AX1180">IFERROR(DGET('SBV Import'!A:G,"SBV",{"RSC ID","Tier";B1180,A1180}))</f>
        <v/>
      </c>
      <c r="AY1180" s="82" t="str">
        <f t="shared" si="2"/>
        <v/>
      </c>
      <c r="AZ1180" s="82"/>
      <c r="BA1180" s="84" t="s">
        <v>152</v>
      </c>
      <c r="BB1180" s="84" t="str">
        <f>IFERROR(__xludf.DUMMYFUNCTION("iferror(if(A1180="""",,E1180&gt;=FILTER(Constants!$F$2:$F$10,Constants!$A$2:$A$10=A1180)))"),"")</f>
        <v/>
      </c>
    </row>
    <row r="1181">
      <c r="A1181" s="89"/>
      <c r="B1181" s="87"/>
      <c r="C1181" s="73"/>
      <c r="D1181" s="73"/>
      <c r="E1181" s="82"/>
      <c r="F1181" s="82"/>
      <c r="G1181" s="86"/>
      <c r="H1181" s="86"/>
      <c r="I1181" s="86"/>
      <c r="J1181" s="82"/>
      <c r="K1181" s="82"/>
      <c r="L1181" s="82"/>
      <c r="M1181" s="82"/>
      <c r="N1181" s="82"/>
      <c r="O1181" s="82"/>
      <c r="P1181" s="82"/>
      <c r="Q1181" s="82"/>
      <c r="R1181" s="82"/>
      <c r="S1181" s="82"/>
      <c r="T1181" s="82"/>
      <c r="U1181" s="82"/>
      <c r="V1181" s="82"/>
      <c r="W1181" s="82"/>
      <c r="X1181" s="82"/>
      <c r="Y1181" s="82"/>
      <c r="Z1181" s="82"/>
      <c r="AA1181" s="82"/>
      <c r="AB1181" s="82"/>
      <c r="AC1181" s="82"/>
      <c r="AD1181" s="82"/>
      <c r="AE1181" s="82"/>
      <c r="AF1181" s="82"/>
      <c r="AG1181" s="82"/>
      <c r="AH1181" s="82"/>
      <c r="AI1181" s="82"/>
      <c r="AJ1181" s="82"/>
      <c r="AK1181" s="82"/>
      <c r="AL1181" s="82"/>
      <c r="AM1181" s="82"/>
      <c r="AN1181" s="82"/>
      <c r="AO1181" s="82"/>
      <c r="AP1181" s="82"/>
      <c r="AQ1181" s="82"/>
      <c r="AR1181" s="82"/>
      <c r="AS1181" s="82"/>
      <c r="AT1181" s="82"/>
      <c r="AU1181" s="82"/>
      <c r="AV1181" s="82"/>
      <c r="AW1181" s="82" t="str">
        <f t="shared" si="1"/>
        <v/>
      </c>
      <c r="AX1181" s="83" t="str">
        <f t="array" ref="AX1181">IFERROR(DGET('SBV Import'!A:G,"SBV",{"RSC ID","Tier";B1181,A1181}))</f>
        <v/>
      </c>
      <c r="AY1181" s="82" t="str">
        <f t="shared" si="2"/>
        <v/>
      </c>
      <c r="AZ1181" s="82"/>
      <c r="BA1181" s="84" t="s">
        <v>152</v>
      </c>
      <c r="BB1181" s="84" t="str">
        <f>IFERROR(__xludf.DUMMYFUNCTION("iferror(if(A1181="""",,E1181&gt;=FILTER(Constants!$F$2:$F$10,Constants!$A$2:$A$10=A1181)))"),"")</f>
        <v/>
      </c>
    </row>
    <row r="1182">
      <c r="A1182" s="89"/>
      <c r="B1182" s="87"/>
      <c r="C1182" s="73"/>
      <c r="D1182" s="73"/>
      <c r="E1182" s="82"/>
      <c r="F1182" s="82"/>
      <c r="G1182" s="86"/>
      <c r="H1182" s="86"/>
      <c r="I1182" s="86"/>
      <c r="J1182" s="82"/>
      <c r="K1182" s="82"/>
      <c r="L1182" s="82"/>
      <c r="M1182" s="82"/>
      <c r="N1182" s="82"/>
      <c r="O1182" s="82"/>
      <c r="P1182" s="82"/>
      <c r="Q1182" s="82"/>
      <c r="R1182" s="82"/>
      <c r="S1182" s="82"/>
      <c r="T1182" s="82"/>
      <c r="U1182" s="82"/>
      <c r="V1182" s="82"/>
      <c r="W1182" s="82"/>
      <c r="X1182" s="82"/>
      <c r="Y1182" s="82"/>
      <c r="Z1182" s="82"/>
      <c r="AA1182" s="82"/>
      <c r="AB1182" s="82"/>
      <c r="AC1182" s="82"/>
      <c r="AD1182" s="82"/>
      <c r="AE1182" s="82"/>
      <c r="AF1182" s="82"/>
      <c r="AG1182" s="82"/>
      <c r="AH1182" s="82"/>
      <c r="AI1182" s="82"/>
      <c r="AJ1182" s="82"/>
      <c r="AK1182" s="82"/>
      <c r="AL1182" s="82"/>
      <c r="AM1182" s="82"/>
      <c r="AN1182" s="82"/>
      <c r="AO1182" s="82"/>
      <c r="AP1182" s="82"/>
      <c r="AQ1182" s="82"/>
      <c r="AR1182" s="82"/>
      <c r="AS1182" s="82"/>
      <c r="AT1182" s="82"/>
      <c r="AU1182" s="82"/>
      <c r="AV1182" s="82"/>
      <c r="AW1182" s="82" t="str">
        <f t="shared" si="1"/>
        <v/>
      </c>
      <c r="AX1182" s="83" t="str">
        <f t="array" ref="AX1182">IFERROR(DGET('SBV Import'!A:G,"SBV",{"RSC ID","Tier";B1182,A1182}))</f>
        <v/>
      </c>
      <c r="AY1182" s="82" t="str">
        <f t="shared" si="2"/>
        <v/>
      </c>
      <c r="AZ1182" s="82"/>
      <c r="BA1182" s="84" t="s">
        <v>152</v>
      </c>
      <c r="BB1182" s="84" t="str">
        <f>IFERROR(__xludf.DUMMYFUNCTION("iferror(if(A1182="""",,E1182&gt;=FILTER(Constants!$F$2:$F$10,Constants!$A$2:$A$10=A1182)))"),"")</f>
        <v/>
      </c>
    </row>
    <row r="1183">
      <c r="A1183" s="89"/>
      <c r="B1183" s="87"/>
      <c r="C1183" s="73"/>
      <c r="D1183" s="73"/>
      <c r="E1183" s="82"/>
      <c r="F1183" s="82"/>
      <c r="G1183" s="86"/>
      <c r="H1183" s="86"/>
      <c r="I1183" s="86"/>
      <c r="J1183" s="82"/>
      <c r="K1183" s="82"/>
      <c r="L1183" s="82"/>
      <c r="M1183" s="82"/>
      <c r="N1183" s="82"/>
      <c r="O1183" s="82"/>
      <c r="P1183" s="82"/>
      <c r="Q1183" s="82"/>
      <c r="R1183" s="82"/>
      <c r="S1183" s="82"/>
      <c r="T1183" s="82"/>
      <c r="U1183" s="82"/>
      <c r="V1183" s="82"/>
      <c r="W1183" s="82"/>
      <c r="X1183" s="82"/>
      <c r="Y1183" s="82"/>
      <c r="Z1183" s="82"/>
      <c r="AA1183" s="82"/>
      <c r="AB1183" s="82"/>
      <c r="AC1183" s="82"/>
      <c r="AD1183" s="82"/>
      <c r="AE1183" s="82"/>
      <c r="AF1183" s="82"/>
      <c r="AG1183" s="82"/>
      <c r="AH1183" s="82"/>
      <c r="AI1183" s="82"/>
      <c r="AJ1183" s="82"/>
      <c r="AK1183" s="82"/>
      <c r="AL1183" s="82"/>
      <c r="AM1183" s="82"/>
      <c r="AN1183" s="82"/>
      <c r="AO1183" s="82"/>
      <c r="AP1183" s="82"/>
      <c r="AQ1183" s="82"/>
      <c r="AR1183" s="82"/>
      <c r="AS1183" s="82"/>
      <c r="AT1183" s="82"/>
      <c r="AU1183" s="82"/>
      <c r="AV1183" s="82"/>
      <c r="AW1183" s="82" t="str">
        <f t="shared" si="1"/>
        <v/>
      </c>
      <c r="AX1183" s="83" t="str">
        <f t="array" ref="AX1183">IFERROR(DGET('SBV Import'!A:G,"SBV",{"RSC ID","Tier";B1183,A1183}))</f>
        <v/>
      </c>
      <c r="AY1183" s="82" t="str">
        <f t="shared" si="2"/>
        <v/>
      </c>
      <c r="AZ1183" s="82"/>
      <c r="BA1183" s="84" t="s">
        <v>152</v>
      </c>
      <c r="BB1183" s="84" t="str">
        <f>IFERROR(__xludf.DUMMYFUNCTION("iferror(if(A1183="""",,E1183&gt;=FILTER(Constants!$F$2:$F$10,Constants!$A$2:$A$10=A1183)))"),"")</f>
        <v/>
      </c>
    </row>
    <row r="1184">
      <c r="A1184" s="89"/>
      <c r="B1184" s="87"/>
      <c r="C1184" s="73"/>
      <c r="D1184" s="73"/>
      <c r="E1184" s="82"/>
      <c r="F1184" s="82"/>
      <c r="G1184" s="86"/>
      <c r="H1184" s="86"/>
      <c r="I1184" s="86"/>
      <c r="J1184" s="82"/>
      <c r="K1184" s="82"/>
      <c r="L1184" s="82"/>
      <c r="M1184" s="82"/>
      <c r="N1184" s="82"/>
      <c r="O1184" s="82"/>
      <c r="P1184" s="82"/>
      <c r="Q1184" s="82"/>
      <c r="R1184" s="82"/>
      <c r="S1184" s="82"/>
      <c r="T1184" s="82"/>
      <c r="U1184" s="82"/>
      <c r="V1184" s="82"/>
      <c r="W1184" s="82"/>
      <c r="X1184" s="82"/>
      <c r="Y1184" s="82"/>
      <c r="Z1184" s="82"/>
      <c r="AA1184" s="82"/>
      <c r="AB1184" s="82"/>
      <c r="AC1184" s="82"/>
      <c r="AD1184" s="82"/>
      <c r="AE1184" s="82"/>
      <c r="AF1184" s="82"/>
      <c r="AG1184" s="82"/>
      <c r="AH1184" s="82"/>
      <c r="AI1184" s="82"/>
      <c r="AJ1184" s="82"/>
      <c r="AK1184" s="82"/>
      <c r="AL1184" s="82"/>
      <c r="AM1184" s="82"/>
      <c r="AN1184" s="82"/>
      <c r="AO1184" s="82"/>
      <c r="AP1184" s="82"/>
      <c r="AQ1184" s="82"/>
      <c r="AR1184" s="82"/>
      <c r="AS1184" s="82"/>
      <c r="AT1184" s="82"/>
      <c r="AU1184" s="82"/>
      <c r="AV1184" s="82"/>
      <c r="AW1184" s="82" t="str">
        <f t="shared" si="1"/>
        <v/>
      </c>
      <c r="AX1184" s="83" t="str">
        <f t="array" ref="AX1184">IFERROR(DGET('SBV Import'!A:G,"SBV",{"RSC ID","Tier";B1184,A1184}))</f>
        <v/>
      </c>
      <c r="AY1184" s="82" t="str">
        <f t="shared" si="2"/>
        <v/>
      </c>
      <c r="AZ1184" s="82"/>
      <c r="BA1184" s="84" t="s">
        <v>152</v>
      </c>
      <c r="BB1184" s="84" t="str">
        <f>IFERROR(__xludf.DUMMYFUNCTION("iferror(if(A1184="""",,E1184&gt;=FILTER(Constants!$F$2:$F$10,Constants!$A$2:$A$10=A1184)))"),"")</f>
        <v/>
      </c>
    </row>
    <row r="1185">
      <c r="A1185" s="89"/>
      <c r="B1185" s="87"/>
      <c r="C1185" s="73"/>
      <c r="D1185" s="73"/>
      <c r="E1185" s="82"/>
      <c r="F1185" s="82"/>
      <c r="G1185" s="86"/>
      <c r="H1185" s="86"/>
      <c r="I1185" s="86"/>
      <c r="J1185" s="82"/>
      <c r="K1185" s="82"/>
      <c r="L1185" s="82"/>
      <c r="M1185" s="82"/>
      <c r="N1185" s="82"/>
      <c r="O1185" s="82"/>
      <c r="P1185" s="82"/>
      <c r="Q1185" s="82"/>
      <c r="R1185" s="82"/>
      <c r="S1185" s="82"/>
      <c r="T1185" s="82"/>
      <c r="U1185" s="82"/>
      <c r="V1185" s="82"/>
      <c r="W1185" s="82"/>
      <c r="X1185" s="82"/>
      <c r="Y1185" s="82"/>
      <c r="Z1185" s="82"/>
      <c r="AA1185" s="82"/>
      <c r="AB1185" s="82"/>
      <c r="AC1185" s="82"/>
      <c r="AD1185" s="82"/>
      <c r="AE1185" s="82"/>
      <c r="AF1185" s="82"/>
      <c r="AG1185" s="82"/>
      <c r="AH1185" s="82"/>
      <c r="AI1185" s="82"/>
      <c r="AJ1185" s="82"/>
      <c r="AK1185" s="82"/>
      <c r="AL1185" s="82"/>
      <c r="AM1185" s="82"/>
      <c r="AN1185" s="82"/>
      <c r="AO1185" s="82"/>
      <c r="AP1185" s="82"/>
      <c r="AQ1185" s="82"/>
      <c r="AR1185" s="82"/>
      <c r="AS1185" s="82"/>
      <c r="AT1185" s="82"/>
      <c r="AU1185" s="82"/>
      <c r="AV1185" s="82"/>
      <c r="AW1185" s="82" t="str">
        <f t="shared" si="1"/>
        <v/>
      </c>
      <c r="AX1185" s="83" t="str">
        <f t="array" ref="AX1185">IFERROR(DGET('SBV Import'!A:G,"SBV",{"RSC ID","Tier";B1185,A1185}))</f>
        <v/>
      </c>
      <c r="AY1185" s="82" t="str">
        <f t="shared" si="2"/>
        <v/>
      </c>
      <c r="AZ1185" s="82"/>
      <c r="BA1185" s="84" t="s">
        <v>152</v>
      </c>
      <c r="BB1185" s="84" t="str">
        <f>IFERROR(__xludf.DUMMYFUNCTION("iferror(if(A1185="""",,E1185&gt;=FILTER(Constants!$F$2:$F$10,Constants!$A$2:$A$10=A1185)))"),"")</f>
        <v/>
      </c>
    </row>
    <row r="1186">
      <c r="A1186" s="89"/>
      <c r="B1186" s="87"/>
      <c r="C1186" s="73"/>
      <c r="D1186" s="73"/>
      <c r="E1186" s="82"/>
      <c r="F1186" s="82"/>
      <c r="G1186" s="86"/>
      <c r="H1186" s="86"/>
      <c r="I1186" s="86"/>
      <c r="J1186" s="82"/>
      <c r="K1186" s="82"/>
      <c r="L1186" s="82"/>
      <c r="M1186" s="82"/>
      <c r="N1186" s="82"/>
      <c r="O1186" s="82"/>
      <c r="P1186" s="82"/>
      <c r="Q1186" s="82"/>
      <c r="R1186" s="82"/>
      <c r="S1186" s="82"/>
      <c r="T1186" s="82"/>
      <c r="U1186" s="82"/>
      <c r="V1186" s="82"/>
      <c r="W1186" s="82"/>
      <c r="X1186" s="82"/>
      <c r="Y1186" s="82"/>
      <c r="Z1186" s="82"/>
      <c r="AA1186" s="82"/>
      <c r="AB1186" s="82"/>
      <c r="AC1186" s="82"/>
      <c r="AD1186" s="82"/>
      <c r="AE1186" s="82"/>
      <c r="AF1186" s="82"/>
      <c r="AG1186" s="82"/>
      <c r="AH1186" s="82"/>
      <c r="AI1186" s="82"/>
      <c r="AJ1186" s="82"/>
      <c r="AK1186" s="82"/>
      <c r="AL1186" s="82"/>
      <c r="AM1186" s="82"/>
      <c r="AN1186" s="82"/>
      <c r="AO1186" s="82"/>
      <c r="AP1186" s="82"/>
      <c r="AQ1186" s="82"/>
      <c r="AR1186" s="82"/>
      <c r="AS1186" s="82"/>
      <c r="AT1186" s="82"/>
      <c r="AU1186" s="82"/>
      <c r="AV1186" s="82"/>
      <c r="AW1186" s="82" t="str">
        <f t="shared" si="1"/>
        <v/>
      </c>
      <c r="AX1186" s="83" t="str">
        <f t="array" ref="AX1186">IFERROR(DGET('SBV Import'!A:G,"SBV",{"RSC ID","Tier";B1186,A1186}))</f>
        <v/>
      </c>
      <c r="AY1186" s="82" t="str">
        <f t="shared" si="2"/>
        <v/>
      </c>
      <c r="AZ1186" s="82"/>
      <c r="BA1186" s="84" t="s">
        <v>152</v>
      </c>
      <c r="BB1186" s="84" t="str">
        <f>IFERROR(__xludf.DUMMYFUNCTION("iferror(if(A1186="""",,E1186&gt;=FILTER(Constants!$F$2:$F$10,Constants!$A$2:$A$10=A1186)))"),"")</f>
        <v/>
      </c>
    </row>
    <row r="1187">
      <c r="A1187" s="89"/>
      <c r="B1187" s="87"/>
      <c r="C1187" s="73"/>
      <c r="D1187" s="73"/>
      <c r="E1187" s="82"/>
      <c r="F1187" s="82"/>
      <c r="G1187" s="86"/>
      <c r="H1187" s="86"/>
      <c r="I1187" s="86"/>
      <c r="J1187" s="82"/>
      <c r="K1187" s="82"/>
      <c r="L1187" s="82"/>
      <c r="M1187" s="82"/>
      <c r="N1187" s="82"/>
      <c r="O1187" s="82"/>
      <c r="P1187" s="82"/>
      <c r="Q1187" s="82"/>
      <c r="R1187" s="82"/>
      <c r="S1187" s="82"/>
      <c r="T1187" s="82"/>
      <c r="U1187" s="82"/>
      <c r="V1187" s="82"/>
      <c r="W1187" s="82"/>
      <c r="X1187" s="82"/>
      <c r="Y1187" s="82"/>
      <c r="Z1187" s="82"/>
      <c r="AA1187" s="82"/>
      <c r="AB1187" s="82"/>
      <c r="AC1187" s="82"/>
      <c r="AD1187" s="82"/>
      <c r="AE1187" s="82"/>
      <c r="AF1187" s="82"/>
      <c r="AG1187" s="82"/>
      <c r="AH1187" s="82"/>
      <c r="AI1187" s="82"/>
      <c r="AJ1187" s="82"/>
      <c r="AK1187" s="82"/>
      <c r="AL1187" s="82"/>
      <c r="AM1187" s="82"/>
      <c r="AN1187" s="82"/>
      <c r="AO1187" s="82"/>
      <c r="AP1187" s="82"/>
      <c r="AQ1187" s="82"/>
      <c r="AR1187" s="82"/>
      <c r="AS1187" s="82"/>
      <c r="AT1187" s="82"/>
      <c r="AU1187" s="82"/>
      <c r="AV1187" s="82"/>
      <c r="AW1187" s="82" t="str">
        <f t="shared" si="1"/>
        <v/>
      </c>
      <c r="AX1187" s="83" t="str">
        <f t="array" ref="AX1187">IFERROR(DGET('SBV Import'!A:G,"SBV",{"RSC ID","Tier";B1187,A1187}))</f>
        <v/>
      </c>
      <c r="AY1187" s="82" t="str">
        <f t="shared" si="2"/>
        <v/>
      </c>
      <c r="AZ1187" s="82"/>
      <c r="BA1187" s="84" t="s">
        <v>152</v>
      </c>
      <c r="BB1187" s="84" t="str">
        <f>IFERROR(__xludf.DUMMYFUNCTION("iferror(if(A1187="""",,E1187&gt;=FILTER(Constants!$F$2:$F$10,Constants!$A$2:$A$10=A1187)))"),"")</f>
        <v/>
      </c>
    </row>
    <row r="1188">
      <c r="A1188" s="89"/>
      <c r="B1188" s="87"/>
      <c r="C1188" s="73"/>
      <c r="D1188" s="73"/>
      <c r="E1188" s="82"/>
      <c r="F1188" s="82"/>
      <c r="G1188" s="86"/>
      <c r="H1188" s="86"/>
      <c r="I1188" s="86"/>
      <c r="J1188" s="82"/>
      <c r="K1188" s="82"/>
      <c r="L1188" s="82"/>
      <c r="M1188" s="82"/>
      <c r="N1188" s="82"/>
      <c r="O1188" s="82"/>
      <c r="P1188" s="82"/>
      <c r="Q1188" s="82"/>
      <c r="R1188" s="82"/>
      <c r="S1188" s="82"/>
      <c r="T1188" s="82"/>
      <c r="U1188" s="82"/>
      <c r="V1188" s="82"/>
      <c r="W1188" s="82"/>
      <c r="X1188" s="82"/>
      <c r="Y1188" s="82"/>
      <c r="Z1188" s="82"/>
      <c r="AA1188" s="82"/>
      <c r="AB1188" s="82"/>
      <c r="AC1188" s="82"/>
      <c r="AD1188" s="82"/>
      <c r="AE1188" s="82"/>
      <c r="AF1188" s="82"/>
      <c r="AG1188" s="82"/>
      <c r="AH1188" s="82"/>
      <c r="AI1188" s="82"/>
      <c r="AJ1188" s="82"/>
      <c r="AK1188" s="82"/>
      <c r="AL1188" s="82"/>
      <c r="AM1188" s="82"/>
      <c r="AN1188" s="82"/>
      <c r="AO1188" s="82"/>
      <c r="AP1188" s="82"/>
      <c r="AQ1188" s="82"/>
      <c r="AR1188" s="82"/>
      <c r="AS1188" s="82"/>
      <c r="AT1188" s="82"/>
      <c r="AU1188" s="82"/>
      <c r="AV1188" s="82"/>
      <c r="AW1188" s="82" t="str">
        <f t="shared" si="1"/>
        <v/>
      </c>
      <c r="AX1188" s="83" t="str">
        <f t="array" ref="AX1188">IFERROR(DGET('SBV Import'!A:G,"SBV",{"RSC ID","Tier";B1188,A1188}))</f>
        <v/>
      </c>
      <c r="AY1188" s="82" t="str">
        <f t="shared" si="2"/>
        <v/>
      </c>
      <c r="AZ1188" s="82"/>
      <c r="BA1188" s="84" t="s">
        <v>152</v>
      </c>
      <c r="BB1188" s="84" t="str">
        <f>IFERROR(__xludf.DUMMYFUNCTION("iferror(if(A1188="""",,E1188&gt;=FILTER(Constants!$F$2:$F$10,Constants!$A$2:$A$10=A1188)))"),"")</f>
        <v/>
      </c>
    </row>
    <row r="1189">
      <c r="A1189" s="89"/>
      <c r="B1189" s="87"/>
      <c r="C1189" s="73"/>
      <c r="D1189" s="73"/>
      <c r="E1189" s="82"/>
      <c r="F1189" s="82"/>
      <c r="G1189" s="86"/>
      <c r="H1189" s="86"/>
      <c r="I1189" s="86"/>
      <c r="J1189" s="82"/>
      <c r="K1189" s="82"/>
      <c r="L1189" s="82"/>
      <c r="M1189" s="82"/>
      <c r="N1189" s="82"/>
      <c r="O1189" s="82"/>
      <c r="P1189" s="82"/>
      <c r="Q1189" s="82"/>
      <c r="R1189" s="82"/>
      <c r="S1189" s="82"/>
      <c r="T1189" s="82"/>
      <c r="U1189" s="82"/>
      <c r="V1189" s="82"/>
      <c r="W1189" s="82"/>
      <c r="X1189" s="82"/>
      <c r="Y1189" s="82"/>
      <c r="Z1189" s="82"/>
      <c r="AA1189" s="82"/>
      <c r="AB1189" s="82"/>
      <c r="AC1189" s="82"/>
      <c r="AD1189" s="82"/>
      <c r="AE1189" s="82"/>
      <c r="AF1189" s="82"/>
      <c r="AG1189" s="82"/>
      <c r="AH1189" s="82"/>
      <c r="AI1189" s="82"/>
      <c r="AJ1189" s="82"/>
      <c r="AK1189" s="82"/>
      <c r="AL1189" s="82"/>
      <c r="AM1189" s="82"/>
      <c r="AN1189" s="82"/>
      <c r="AO1189" s="82"/>
      <c r="AP1189" s="82"/>
      <c r="AQ1189" s="82"/>
      <c r="AR1189" s="82"/>
      <c r="AS1189" s="82"/>
      <c r="AT1189" s="82"/>
      <c r="AU1189" s="82"/>
      <c r="AV1189" s="82"/>
      <c r="AW1189" s="82" t="str">
        <f t="shared" si="1"/>
        <v/>
      </c>
      <c r="AX1189" s="83" t="str">
        <f t="array" ref="AX1189">IFERROR(DGET('SBV Import'!A:G,"SBV",{"RSC ID","Tier";B1189,A1189}))</f>
        <v/>
      </c>
      <c r="AY1189" s="82" t="str">
        <f t="shared" si="2"/>
        <v/>
      </c>
      <c r="AZ1189" s="82"/>
      <c r="BA1189" s="84" t="s">
        <v>152</v>
      </c>
      <c r="BB1189" s="84" t="str">
        <f>IFERROR(__xludf.DUMMYFUNCTION("iferror(if(A1189="""",,E1189&gt;=FILTER(Constants!$F$2:$F$10,Constants!$A$2:$A$10=A1189)))"),"")</f>
        <v/>
      </c>
    </row>
    <row r="1190">
      <c r="A1190" s="89"/>
      <c r="B1190" s="87"/>
      <c r="C1190" s="73"/>
      <c r="D1190" s="73"/>
      <c r="E1190" s="82"/>
      <c r="F1190" s="82"/>
      <c r="G1190" s="86"/>
      <c r="H1190" s="86"/>
      <c r="I1190" s="86"/>
      <c r="J1190" s="82"/>
      <c r="K1190" s="82"/>
      <c r="L1190" s="82"/>
      <c r="M1190" s="82"/>
      <c r="N1190" s="82"/>
      <c r="O1190" s="82"/>
      <c r="P1190" s="82"/>
      <c r="Q1190" s="82"/>
      <c r="R1190" s="82"/>
      <c r="S1190" s="82"/>
      <c r="T1190" s="82"/>
      <c r="U1190" s="82"/>
      <c r="V1190" s="82"/>
      <c r="W1190" s="82"/>
      <c r="X1190" s="82"/>
      <c r="Y1190" s="82"/>
      <c r="Z1190" s="82"/>
      <c r="AA1190" s="82"/>
      <c r="AB1190" s="82"/>
      <c r="AC1190" s="82"/>
      <c r="AD1190" s="82"/>
      <c r="AE1190" s="82"/>
      <c r="AF1190" s="82"/>
      <c r="AG1190" s="82"/>
      <c r="AH1190" s="82"/>
      <c r="AI1190" s="82"/>
      <c r="AJ1190" s="82"/>
      <c r="AK1190" s="82"/>
      <c r="AL1190" s="82"/>
      <c r="AM1190" s="82"/>
      <c r="AN1190" s="82"/>
      <c r="AO1190" s="82"/>
      <c r="AP1190" s="82"/>
      <c r="AQ1190" s="82"/>
      <c r="AR1190" s="82"/>
      <c r="AS1190" s="82"/>
      <c r="AT1190" s="82"/>
      <c r="AU1190" s="82"/>
      <c r="AV1190" s="82"/>
      <c r="AW1190" s="82" t="str">
        <f t="shared" si="1"/>
        <v/>
      </c>
      <c r="AX1190" s="83" t="str">
        <f t="array" ref="AX1190">IFERROR(DGET('SBV Import'!A:G,"SBV",{"RSC ID","Tier";B1190,A1190}))</f>
        <v/>
      </c>
      <c r="AY1190" s="82" t="str">
        <f t="shared" si="2"/>
        <v/>
      </c>
      <c r="AZ1190" s="82"/>
      <c r="BA1190" s="84" t="s">
        <v>152</v>
      </c>
      <c r="BB1190" s="84" t="str">
        <f>IFERROR(__xludf.DUMMYFUNCTION("iferror(if(A1190="""",,E1190&gt;=FILTER(Constants!$F$2:$F$10,Constants!$A$2:$A$10=A1190)))"),"")</f>
        <v/>
      </c>
    </row>
    <row r="1191">
      <c r="A1191" s="89"/>
      <c r="B1191" s="87"/>
      <c r="C1191" s="73"/>
      <c r="D1191" s="73"/>
      <c r="E1191" s="82"/>
      <c r="F1191" s="82"/>
      <c r="G1191" s="86"/>
      <c r="H1191" s="86"/>
      <c r="I1191" s="86"/>
      <c r="J1191" s="82"/>
      <c r="K1191" s="82"/>
      <c r="L1191" s="82"/>
      <c r="M1191" s="82"/>
      <c r="N1191" s="82"/>
      <c r="O1191" s="82"/>
      <c r="P1191" s="82"/>
      <c r="Q1191" s="82"/>
      <c r="R1191" s="82"/>
      <c r="S1191" s="82"/>
      <c r="T1191" s="82"/>
      <c r="U1191" s="82"/>
      <c r="V1191" s="82"/>
      <c r="W1191" s="82"/>
      <c r="X1191" s="82"/>
      <c r="Y1191" s="82"/>
      <c r="Z1191" s="82"/>
      <c r="AA1191" s="82"/>
      <c r="AB1191" s="82"/>
      <c r="AC1191" s="82"/>
      <c r="AD1191" s="82"/>
      <c r="AE1191" s="82"/>
      <c r="AF1191" s="82"/>
      <c r="AG1191" s="82"/>
      <c r="AH1191" s="82"/>
      <c r="AI1191" s="82"/>
      <c r="AJ1191" s="82"/>
      <c r="AK1191" s="82"/>
      <c r="AL1191" s="82"/>
      <c r="AM1191" s="82"/>
      <c r="AN1191" s="82"/>
      <c r="AO1191" s="82"/>
      <c r="AP1191" s="82"/>
      <c r="AQ1191" s="82"/>
      <c r="AR1191" s="82"/>
      <c r="AS1191" s="82"/>
      <c r="AT1191" s="82"/>
      <c r="AU1191" s="82"/>
      <c r="AV1191" s="82"/>
      <c r="AW1191" s="82" t="str">
        <f t="shared" si="1"/>
        <v/>
      </c>
      <c r="AX1191" s="83" t="str">
        <f t="array" ref="AX1191">IFERROR(DGET('SBV Import'!A:G,"SBV",{"RSC ID","Tier";B1191,A1191}))</f>
        <v/>
      </c>
      <c r="AY1191" s="82" t="str">
        <f t="shared" si="2"/>
        <v/>
      </c>
      <c r="AZ1191" s="82"/>
      <c r="BA1191" s="84" t="s">
        <v>152</v>
      </c>
      <c r="BB1191" s="84" t="str">
        <f>IFERROR(__xludf.DUMMYFUNCTION("iferror(if(A1191="""",,E1191&gt;=FILTER(Constants!$F$2:$F$10,Constants!$A$2:$A$10=A1191)))"),"")</f>
        <v/>
      </c>
    </row>
    <row r="1192">
      <c r="A1192" s="89"/>
      <c r="B1192" s="87"/>
      <c r="C1192" s="73"/>
      <c r="D1192" s="73"/>
      <c r="E1192" s="82"/>
      <c r="F1192" s="82"/>
      <c r="G1192" s="86"/>
      <c r="H1192" s="86"/>
      <c r="I1192" s="86"/>
      <c r="J1192" s="82"/>
      <c r="K1192" s="82"/>
      <c r="L1192" s="82"/>
      <c r="M1192" s="82"/>
      <c r="N1192" s="82"/>
      <c r="O1192" s="82"/>
      <c r="P1192" s="82"/>
      <c r="Q1192" s="82"/>
      <c r="R1192" s="82"/>
      <c r="S1192" s="82"/>
      <c r="T1192" s="82"/>
      <c r="U1192" s="82"/>
      <c r="V1192" s="82"/>
      <c r="W1192" s="82"/>
      <c r="X1192" s="82"/>
      <c r="Y1192" s="82"/>
      <c r="Z1192" s="82"/>
      <c r="AA1192" s="82"/>
      <c r="AB1192" s="82"/>
      <c r="AC1192" s="82"/>
      <c r="AD1192" s="82"/>
      <c r="AE1192" s="82"/>
      <c r="AF1192" s="82"/>
      <c r="AG1192" s="82"/>
      <c r="AH1192" s="82"/>
      <c r="AI1192" s="82"/>
      <c r="AJ1192" s="82"/>
      <c r="AK1192" s="82"/>
      <c r="AL1192" s="82"/>
      <c r="AM1192" s="82"/>
      <c r="AN1192" s="82"/>
      <c r="AO1192" s="82"/>
      <c r="AP1192" s="82"/>
      <c r="AQ1192" s="82"/>
      <c r="AR1192" s="82"/>
      <c r="AS1192" s="82"/>
      <c r="AT1192" s="82"/>
      <c r="AU1192" s="82"/>
      <c r="AV1192" s="82"/>
      <c r="AW1192" s="82" t="str">
        <f t="shared" si="1"/>
        <v/>
      </c>
      <c r="AX1192" s="83" t="str">
        <f t="array" ref="AX1192">IFERROR(DGET('SBV Import'!A:G,"SBV",{"RSC ID","Tier";B1192,A1192}))</f>
        <v/>
      </c>
      <c r="AY1192" s="82" t="str">
        <f t="shared" si="2"/>
        <v/>
      </c>
      <c r="AZ1192" s="82"/>
      <c r="BA1192" s="84" t="s">
        <v>152</v>
      </c>
      <c r="BB1192" s="84" t="str">
        <f>IFERROR(__xludf.DUMMYFUNCTION("iferror(if(A1192="""",,E1192&gt;=FILTER(Constants!$F$2:$F$10,Constants!$A$2:$A$10=A1192)))"),"")</f>
        <v/>
      </c>
    </row>
    <row r="1193">
      <c r="A1193" s="89"/>
      <c r="B1193" s="87"/>
      <c r="C1193" s="73"/>
      <c r="D1193" s="73"/>
      <c r="E1193" s="82"/>
      <c r="F1193" s="82"/>
      <c r="G1193" s="86"/>
      <c r="H1193" s="86"/>
      <c r="I1193" s="86"/>
      <c r="J1193" s="82"/>
      <c r="K1193" s="82"/>
      <c r="L1193" s="82"/>
      <c r="M1193" s="82"/>
      <c r="N1193" s="82"/>
      <c r="O1193" s="82"/>
      <c r="P1193" s="82"/>
      <c r="Q1193" s="82"/>
      <c r="R1193" s="82"/>
      <c r="S1193" s="82"/>
      <c r="T1193" s="82"/>
      <c r="U1193" s="82"/>
      <c r="V1193" s="82"/>
      <c r="W1193" s="82"/>
      <c r="X1193" s="82"/>
      <c r="Y1193" s="82"/>
      <c r="Z1193" s="82"/>
      <c r="AA1193" s="82"/>
      <c r="AB1193" s="82"/>
      <c r="AC1193" s="82"/>
      <c r="AD1193" s="82"/>
      <c r="AE1193" s="82"/>
      <c r="AF1193" s="82"/>
      <c r="AG1193" s="82"/>
      <c r="AH1193" s="82"/>
      <c r="AI1193" s="82"/>
      <c r="AJ1193" s="82"/>
      <c r="AK1193" s="82"/>
      <c r="AL1193" s="82"/>
      <c r="AM1193" s="82"/>
      <c r="AN1193" s="82"/>
      <c r="AO1193" s="82"/>
      <c r="AP1193" s="82"/>
      <c r="AQ1193" s="82"/>
      <c r="AR1193" s="82"/>
      <c r="AS1193" s="82"/>
      <c r="AT1193" s="82"/>
      <c r="AU1193" s="82"/>
      <c r="AV1193" s="82"/>
      <c r="AW1193" s="82" t="str">
        <f t="shared" si="1"/>
        <v/>
      </c>
      <c r="AX1193" s="83" t="str">
        <f t="array" ref="AX1193">IFERROR(DGET('SBV Import'!A:G,"SBV",{"RSC ID","Tier";B1193,A1193}))</f>
        <v/>
      </c>
      <c r="AY1193" s="82" t="str">
        <f t="shared" si="2"/>
        <v/>
      </c>
      <c r="AZ1193" s="82"/>
      <c r="BA1193" s="84" t="s">
        <v>152</v>
      </c>
      <c r="BB1193" s="84" t="str">
        <f>IFERROR(__xludf.DUMMYFUNCTION("iferror(if(A1193="""",,E1193&gt;=FILTER(Constants!$F$2:$F$10,Constants!$A$2:$A$10=A1193)))"),"")</f>
        <v/>
      </c>
    </row>
    <row r="1194">
      <c r="A1194" s="89"/>
      <c r="B1194" s="87"/>
      <c r="C1194" s="73"/>
      <c r="D1194" s="73"/>
      <c r="E1194" s="82"/>
      <c r="F1194" s="82"/>
      <c r="G1194" s="86"/>
      <c r="H1194" s="86"/>
      <c r="I1194" s="86"/>
      <c r="J1194" s="82"/>
      <c r="K1194" s="82"/>
      <c r="L1194" s="82"/>
      <c r="M1194" s="82"/>
      <c r="N1194" s="82"/>
      <c r="O1194" s="82"/>
      <c r="P1194" s="82"/>
      <c r="Q1194" s="82"/>
      <c r="R1194" s="82"/>
      <c r="S1194" s="82"/>
      <c r="T1194" s="82"/>
      <c r="U1194" s="82"/>
      <c r="V1194" s="82"/>
      <c r="W1194" s="82"/>
      <c r="X1194" s="82"/>
      <c r="Y1194" s="82"/>
      <c r="Z1194" s="82"/>
      <c r="AA1194" s="82"/>
      <c r="AB1194" s="82"/>
      <c r="AC1194" s="82"/>
      <c r="AD1194" s="82"/>
      <c r="AE1194" s="82"/>
      <c r="AF1194" s="82"/>
      <c r="AG1194" s="82"/>
      <c r="AH1194" s="82"/>
      <c r="AI1194" s="82"/>
      <c r="AJ1194" s="82"/>
      <c r="AK1194" s="82"/>
      <c r="AL1194" s="82"/>
      <c r="AM1194" s="82"/>
      <c r="AN1194" s="82"/>
      <c r="AO1194" s="82"/>
      <c r="AP1194" s="82"/>
      <c r="AQ1194" s="82"/>
      <c r="AR1194" s="82"/>
      <c r="AS1194" s="82"/>
      <c r="AT1194" s="82"/>
      <c r="AU1194" s="82"/>
      <c r="AV1194" s="82"/>
      <c r="AW1194" s="82" t="str">
        <f t="shared" si="1"/>
        <v/>
      </c>
      <c r="AX1194" s="83" t="str">
        <f t="array" ref="AX1194">IFERROR(DGET('SBV Import'!A:G,"SBV",{"RSC ID","Tier";B1194,A1194}))</f>
        <v/>
      </c>
      <c r="AY1194" s="82" t="str">
        <f t="shared" si="2"/>
        <v/>
      </c>
      <c r="AZ1194" s="82"/>
      <c r="BA1194" s="84" t="s">
        <v>152</v>
      </c>
      <c r="BB1194" s="84" t="str">
        <f>IFERROR(__xludf.DUMMYFUNCTION("iferror(if(A1194="""",,E1194&gt;=FILTER(Constants!$F$2:$F$10,Constants!$A$2:$A$10=A1194)))"),"")</f>
        <v/>
      </c>
    </row>
    <row r="1195">
      <c r="A1195" s="89"/>
      <c r="B1195" s="87"/>
      <c r="C1195" s="73"/>
      <c r="D1195" s="73"/>
      <c r="E1195" s="82"/>
      <c r="F1195" s="82"/>
      <c r="G1195" s="86"/>
      <c r="H1195" s="86"/>
      <c r="I1195" s="86"/>
      <c r="J1195" s="82"/>
      <c r="K1195" s="82"/>
      <c r="L1195" s="82"/>
      <c r="M1195" s="82"/>
      <c r="N1195" s="82"/>
      <c r="O1195" s="82"/>
      <c r="P1195" s="82"/>
      <c r="Q1195" s="82"/>
      <c r="R1195" s="82"/>
      <c r="S1195" s="82"/>
      <c r="T1195" s="82"/>
      <c r="U1195" s="82"/>
      <c r="V1195" s="82"/>
      <c r="W1195" s="82"/>
      <c r="X1195" s="82"/>
      <c r="Y1195" s="82"/>
      <c r="Z1195" s="82"/>
      <c r="AA1195" s="82"/>
      <c r="AB1195" s="82"/>
      <c r="AC1195" s="82"/>
      <c r="AD1195" s="82"/>
      <c r="AE1195" s="82"/>
      <c r="AF1195" s="82"/>
      <c r="AG1195" s="82"/>
      <c r="AH1195" s="82"/>
      <c r="AI1195" s="82"/>
      <c r="AJ1195" s="82"/>
      <c r="AK1195" s="82"/>
      <c r="AL1195" s="82"/>
      <c r="AM1195" s="82"/>
      <c r="AN1195" s="82"/>
      <c r="AO1195" s="82"/>
      <c r="AP1195" s="82"/>
      <c r="AQ1195" s="82"/>
      <c r="AR1195" s="82"/>
      <c r="AS1195" s="82"/>
      <c r="AT1195" s="82"/>
      <c r="AU1195" s="82"/>
      <c r="AV1195" s="82"/>
      <c r="AW1195" s="82" t="str">
        <f t="shared" si="1"/>
        <v/>
      </c>
      <c r="AX1195" s="83" t="str">
        <f t="array" ref="AX1195">IFERROR(DGET('SBV Import'!A:G,"SBV",{"RSC ID","Tier";B1195,A1195}))</f>
        <v/>
      </c>
      <c r="AY1195" s="82" t="str">
        <f t="shared" si="2"/>
        <v/>
      </c>
      <c r="AZ1195" s="82"/>
      <c r="BA1195" s="84" t="s">
        <v>152</v>
      </c>
      <c r="BB1195" s="84" t="str">
        <f>IFERROR(__xludf.DUMMYFUNCTION("iferror(if(A1195="""",,E1195&gt;=FILTER(Constants!$F$2:$F$10,Constants!$A$2:$A$10=A1195)))"),"")</f>
        <v/>
      </c>
    </row>
    <row r="1196">
      <c r="A1196" s="89"/>
      <c r="B1196" s="87"/>
      <c r="C1196" s="73"/>
      <c r="D1196" s="73"/>
      <c r="E1196" s="82"/>
      <c r="F1196" s="82"/>
      <c r="G1196" s="86"/>
      <c r="H1196" s="86"/>
      <c r="I1196" s="86"/>
      <c r="J1196" s="82"/>
      <c r="K1196" s="82"/>
      <c r="L1196" s="82"/>
      <c r="M1196" s="82"/>
      <c r="N1196" s="82"/>
      <c r="O1196" s="82"/>
      <c r="P1196" s="82"/>
      <c r="Q1196" s="82"/>
      <c r="R1196" s="82"/>
      <c r="S1196" s="82"/>
      <c r="T1196" s="82"/>
      <c r="U1196" s="82"/>
      <c r="V1196" s="82"/>
      <c r="W1196" s="82"/>
      <c r="X1196" s="82"/>
      <c r="Y1196" s="82"/>
      <c r="Z1196" s="82"/>
      <c r="AA1196" s="82"/>
      <c r="AB1196" s="82"/>
      <c r="AC1196" s="82"/>
      <c r="AD1196" s="82"/>
      <c r="AE1196" s="82"/>
      <c r="AF1196" s="82"/>
      <c r="AG1196" s="82"/>
      <c r="AH1196" s="82"/>
      <c r="AI1196" s="82"/>
      <c r="AJ1196" s="82"/>
      <c r="AK1196" s="82"/>
      <c r="AL1196" s="82"/>
      <c r="AM1196" s="82"/>
      <c r="AN1196" s="82"/>
      <c r="AO1196" s="82"/>
      <c r="AP1196" s="82"/>
      <c r="AQ1196" s="82"/>
      <c r="AR1196" s="82"/>
      <c r="AS1196" s="82"/>
      <c r="AT1196" s="82"/>
      <c r="AU1196" s="82"/>
      <c r="AV1196" s="82"/>
      <c r="AW1196" s="82" t="str">
        <f t="shared" si="1"/>
        <v/>
      </c>
      <c r="AX1196" s="83" t="str">
        <f t="array" ref="AX1196">IFERROR(DGET('SBV Import'!A:G,"SBV",{"RSC ID","Tier";B1196,A1196}))</f>
        <v/>
      </c>
      <c r="AY1196" s="82" t="str">
        <f t="shared" si="2"/>
        <v/>
      </c>
      <c r="AZ1196" s="82"/>
      <c r="BA1196" s="84" t="s">
        <v>152</v>
      </c>
      <c r="BB1196" s="84" t="str">
        <f>IFERROR(__xludf.DUMMYFUNCTION("iferror(if(A1196="""",,E1196&gt;=FILTER(Constants!$F$2:$F$10,Constants!$A$2:$A$10=A1196)))"),"")</f>
        <v/>
      </c>
    </row>
    <row r="1197">
      <c r="A1197" s="89"/>
      <c r="B1197" s="87"/>
      <c r="C1197" s="73"/>
      <c r="D1197" s="73"/>
      <c r="E1197" s="82"/>
      <c r="F1197" s="82"/>
      <c r="G1197" s="86"/>
      <c r="H1197" s="86"/>
      <c r="I1197" s="86"/>
      <c r="J1197" s="82"/>
      <c r="K1197" s="82"/>
      <c r="L1197" s="82"/>
      <c r="M1197" s="82"/>
      <c r="N1197" s="82"/>
      <c r="O1197" s="82"/>
      <c r="P1197" s="82"/>
      <c r="Q1197" s="82"/>
      <c r="R1197" s="82"/>
      <c r="S1197" s="82"/>
      <c r="T1197" s="82"/>
      <c r="U1197" s="82"/>
      <c r="V1197" s="82"/>
      <c r="W1197" s="82"/>
      <c r="X1197" s="82"/>
      <c r="Y1197" s="82"/>
      <c r="Z1197" s="82"/>
      <c r="AA1197" s="82"/>
      <c r="AB1197" s="82"/>
      <c r="AC1197" s="82"/>
      <c r="AD1197" s="82"/>
      <c r="AE1197" s="82"/>
      <c r="AF1197" s="82"/>
      <c r="AG1197" s="82"/>
      <c r="AH1197" s="82"/>
      <c r="AI1197" s="82"/>
      <c r="AJ1197" s="82"/>
      <c r="AK1197" s="82"/>
      <c r="AL1197" s="82"/>
      <c r="AM1197" s="82"/>
      <c r="AN1197" s="82"/>
      <c r="AO1197" s="82"/>
      <c r="AP1197" s="82"/>
      <c r="AQ1197" s="82"/>
      <c r="AR1197" s="82"/>
      <c r="AS1197" s="82"/>
      <c r="AT1197" s="82"/>
      <c r="AU1197" s="82"/>
      <c r="AV1197" s="82"/>
      <c r="AW1197" s="82" t="str">
        <f t="shared" si="1"/>
        <v/>
      </c>
      <c r="AX1197" s="83" t="str">
        <f t="array" ref="AX1197">IFERROR(DGET('SBV Import'!A:G,"SBV",{"RSC ID","Tier";B1197,A1197}))</f>
        <v/>
      </c>
      <c r="AY1197" s="82" t="str">
        <f t="shared" si="2"/>
        <v/>
      </c>
      <c r="AZ1197" s="82"/>
      <c r="BA1197" s="84" t="s">
        <v>152</v>
      </c>
      <c r="BB1197" s="84" t="str">
        <f>IFERROR(__xludf.DUMMYFUNCTION("iferror(if(A1197="""",,E1197&gt;=FILTER(Constants!$F$2:$F$10,Constants!$A$2:$A$10=A1197)))"),"")</f>
        <v/>
      </c>
    </row>
    <row r="1198">
      <c r="A1198" s="89"/>
      <c r="B1198" s="87"/>
      <c r="C1198" s="73"/>
      <c r="D1198" s="73"/>
      <c r="E1198" s="82"/>
      <c r="F1198" s="82"/>
      <c r="G1198" s="86"/>
      <c r="H1198" s="86"/>
      <c r="I1198" s="86"/>
      <c r="J1198" s="82"/>
      <c r="K1198" s="82"/>
      <c r="L1198" s="82"/>
      <c r="M1198" s="82"/>
      <c r="N1198" s="82"/>
      <c r="O1198" s="82"/>
      <c r="P1198" s="82"/>
      <c r="Q1198" s="82"/>
      <c r="R1198" s="82"/>
      <c r="S1198" s="82"/>
      <c r="T1198" s="82"/>
      <c r="U1198" s="82"/>
      <c r="V1198" s="82"/>
      <c r="W1198" s="82"/>
      <c r="X1198" s="82"/>
      <c r="Y1198" s="82"/>
      <c r="Z1198" s="82"/>
      <c r="AA1198" s="82"/>
      <c r="AB1198" s="82"/>
      <c r="AC1198" s="82"/>
      <c r="AD1198" s="82"/>
      <c r="AE1198" s="82"/>
      <c r="AF1198" s="82"/>
      <c r="AG1198" s="82"/>
      <c r="AH1198" s="82"/>
      <c r="AI1198" s="82"/>
      <c r="AJ1198" s="82"/>
      <c r="AK1198" s="82"/>
      <c r="AL1198" s="82"/>
      <c r="AM1198" s="82"/>
      <c r="AN1198" s="82"/>
      <c r="AO1198" s="82"/>
      <c r="AP1198" s="82"/>
      <c r="AQ1198" s="82"/>
      <c r="AR1198" s="82"/>
      <c r="AS1198" s="82"/>
      <c r="AT1198" s="82"/>
      <c r="AU1198" s="82"/>
      <c r="AV1198" s="82"/>
      <c r="AW1198" s="82" t="str">
        <f t="shared" si="1"/>
        <v/>
      </c>
      <c r="AX1198" s="83" t="str">
        <f t="array" ref="AX1198">IFERROR(DGET('SBV Import'!A:G,"SBV",{"RSC ID","Tier";B1198,A1198}))</f>
        <v/>
      </c>
      <c r="AY1198" s="82" t="str">
        <f t="shared" si="2"/>
        <v/>
      </c>
      <c r="AZ1198" s="82"/>
      <c r="BA1198" s="84" t="s">
        <v>152</v>
      </c>
      <c r="BB1198" s="84" t="str">
        <f>IFERROR(__xludf.DUMMYFUNCTION("iferror(if(A1198="""",,E1198&gt;=FILTER(Constants!$F$2:$F$10,Constants!$A$2:$A$10=A1198)))"),"")</f>
        <v/>
      </c>
    </row>
    <row r="1199">
      <c r="A1199" s="89"/>
      <c r="B1199" s="87"/>
      <c r="C1199" s="73"/>
      <c r="D1199" s="73"/>
      <c r="E1199" s="82"/>
      <c r="F1199" s="82"/>
      <c r="G1199" s="86"/>
      <c r="H1199" s="86"/>
      <c r="I1199" s="86"/>
      <c r="J1199" s="82"/>
      <c r="K1199" s="82"/>
      <c r="L1199" s="82"/>
      <c r="M1199" s="82"/>
      <c r="N1199" s="82"/>
      <c r="O1199" s="82"/>
      <c r="P1199" s="82"/>
      <c r="Q1199" s="82"/>
      <c r="R1199" s="82"/>
      <c r="S1199" s="82"/>
      <c r="T1199" s="82"/>
      <c r="U1199" s="82"/>
      <c r="V1199" s="82"/>
      <c r="W1199" s="82"/>
      <c r="X1199" s="82"/>
      <c r="Y1199" s="82"/>
      <c r="Z1199" s="82"/>
      <c r="AA1199" s="82"/>
      <c r="AB1199" s="82"/>
      <c r="AC1199" s="82"/>
      <c r="AD1199" s="82"/>
      <c r="AE1199" s="82"/>
      <c r="AF1199" s="82"/>
      <c r="AG1199" s="82"/>
      <c r="AH1199" s="82"/>
      <c r="AI1199" s="82"/>
      <c r="AJ1199" s="82"/>
      <c r="AK1199" s="82"/>
      <c r="AL1199" s="82"/>
      <c r="AM1199" s="82"/>
      <c r="AN1199" s="82"/>
      <c r="AO1199" s="82"/>
      <c r="AP1199" s="82"/>
      <c r="AQ1199" s="82"/>
      <c r="AR1199" s="82"/>
      <c r="AS1199" s="82"/>
      <c r="AT1199" s="82"/>
      <c r="AU1199" s="82"/>
      <c r="AV1199" s="82"/>
      <c r="AW1199" s="82" t="str">
        <f t="shared" si="1"/>
        <v/>
      </c>
      <c r="AX1199" s="83" t="str">
        <f t="array" ref="AX1199">IFERROR(DGET('SBV Import'!A:G,"SBV",{"RSC ID","Tier";B1199,A1199}))</f>
        <v/>
      </c>
      <c r="AY1199" s="82" t="str">
        <f t="shared" si="2"/>
        <v/>
      </c>
      <c r="AZ1199" s="82"/>
      <c r="BA1199" s="84" t="s">
        <v>152</v>
      </c>
      <c r="BB1199" s="84" t="str">
        <f>IFERROR(__xludf.DUMMYFUNCTION("iferror(if(A1199="""",,E1199&gt;=FILTER(Constants!$F$2:$F$10,Constants!$A$2:$A$10=A1199)))"),"")</f>
        <v/>
      </c>
    </row>
    <row r="1200">
      <c r="A1200" s="90" t="str">
        <f>IFERROR(__xludf.DUMMYFUNCTION("QUERY(IMPORTRANGE(Constants!$B5, ""'Player Stats'!a2:AV""), ""Select * order by Col48 desc"")"),"Veteran")</f>
        <v>Veteran</v>
      </c>
      <c r="B1200" s="87" t="str">
        <f>IFERROR(__xludf.DUMMYFUNCTION("""COMPUTED_VALUE"""),"RSC004313")</f>
        <v>RSC004313</v>
      </c>
      <c r="C1200" s="73" t="str">
        <f>IFERROR(__xludf.DUMMYFUNCTION("""COMPUTED_VALUE"""),"Causing .")</f>
        <v>Causing .</v>
      </c>
      <c r="D1200" s="73" t="str">
        <f>IFERROR(__xludf.DUMMYFUNCTION("""COMPUTED_VALUE"""),"Mellow Fellows")</f>
        <v>Mellow Fellows</v>
      </c>
      <c r="E1200" s="82">
        <f>IFERROR(__xludf.DUMMYFUNCTION("""COMPUTED_VALUE"""),16.0)</f>
        <v>16</v>
      </c>
      <c r="F1200" s="82">
        <f>IFERROR(__xludf.DUMMYFUNCTION("""COMPUTED_VALUE"""),10.0)</f>
        <v>10</v>
      </c>
      <c r="G1200" s="86">
        <f>IFERROR(__xludf.DUMMYFUNCTION("""COMPUTED_VALUE"""),6.0)</f>
        <v>6</v>
      </c>
      <c r="H1200" s="86">
        <f>IFERROR(__xludf.DUMMYFUNCTION("""COMPUTED_VALUE"""),0.625)</f>
        <v>0.625</v>
      </c>
      <c r="I1200" s="86">
        <f>IFERROR(__xludf.DUMMYFUNCTION("""COMPUTED_VALUE"""),0.3770491803278688)</f>
        <v>0.3770491803</v>
      </c>
      <c r="J1200" s="82">
        <f>IFERROR(__xludf.DUMMYFUNCTION("""COMPUTED_VALUE"""),435.8125)</f>
        <v>435.8125</v>
      </c>
      <c r="K1200" s="82">
        <f>IFERROR(__xludf.DUMMYFUNCTION("""COMPUTED_VALUE"""),1.4375)</f>
        <v>1.4375</v>
      </c>
      <c r="L1200" s="82">
        <f>IFERROR(__xludf.DUMMYFUNCTION("""COMPUTED_VALUE"""),0.5)</f>
        <v>0.5</v>
      </c>
      <c r="M1200" s="82">
        <f>IFERROR(__xludf.DUMMYFUNCTION("""COMPUTED_VALUE"""),1.25)</f>
        <v>1.25</v>
      </c>
      <c r="N1200" s="82">
        <f>IFERROR(__xludf.DUMMYFUNCTION("""COMPUTED_VALUE"""),3.8125)</f>
        <v>3.8125</v>
      </c>
      <c r="O1200" s="82">
        <f>IFERROR(__xludf.DUMMYFUNCTION("""COMPUTED_VALUE"""),321.3125)</f>
        <v>321.3125</v>
      </c>
      <c r="P1200" s="82">
        <f>IFERROR(__xludf.DUMMYFUNCTION("""COMPUTED_VALUE"""),0.5625)</f>
        <v>0.5625</v>
      </c>
      <c r="Q1200" s="82">
        <f>IFERROR(__xludf.DUMMYFUNCTION("""COMPUTED_VALUE"""),0.5)</f>
        <v>0.5</v>
      </c>
      <c r="R1200" s="82">
        <f>IFERROR(__xludf.DUMMYFUNCTION("""COMPUTED_VALUE"""),1.3333333333333333)</f>
        <v>1.333333333</v>
      </c>
      <c r="S1200" s="82">
        <f>IFERROR(__xludf.DUMMYFUNCTION("""COMPUTED_VALUE"""),2.520833333333333)</f>
        <v>2.520833333</v>
      </c>
      <c r="T1200" s="82">
        <f>IFERROR(__xludf.DUMMYFUNCTION("""COMPUTED_VALUE"""),351.4839017121567)</f>
        <v>351.4839017</v>
      </c>
      <c r="U1200" s="82">
        <f>IFERROR(__xludf.DUMMYFUNCTION("""COMPUTED_VALUE"""),0.7615439366470572)</f>
        <v>0.7615439366</v>
      </c>
      <c r="V1200" s="82">
        <f>IFERROR(__xludf.DUMMYFUNCTION("""COMPUTED_VALUE"""),0.5840664229742422)</f>
        <v>0.584066423</v>
      </c>
      <c r="W1200" s="82">
        <f>IFERROR(__xludf.DUMMYFUNCTION("""COMPUTED_VALUE"""),1.3090311000551316)</f>
        <v>1.3090311</v>
      </c>
      <c r="X1200" s="82">
        <f>IFERROR(__xludf.DUMMYFUNCTION("""COMPUTED_VALUE"""),2.6164219063923158)</f>
        <v>2.616421906</v>
      </c>
      <c r="Y1200" s="82">
        <f>IFERROR(__xludf.DUMMYFUNCTION("""COMPUTED_VALUE"""),358.75395619002154)</f>
        <v>358.7539562</v>
      </c>
      <c r="Z1200" s="82">
        <f>IFERROR(__xludf.DUMMYFUNCTION("""COMPUTED_VALUE"""),0.8214102932688536)</f>
        <v>0.8214102933</v>
      </c>
      <c r="AA1200" s="82">
        <f>IFERROR(__xludf.DUMMYFUNCTION("""COMPUTED_VALUE"""),0.6270597204510403)</f>
        <v>0.6270597205</v>
      </c>
      <c r="AB1200" s="82">
        <f>IFERROR(__xludf.DUMMYFUNCTION("""COMPUTED_VALUE"""),1.3379137794638751)</f>
        <v>1.337913779</v>
      </c>
      <c r="AC1200" s="82">
        <f>IFERROR(__xludf.DUMMYFUNCTION("""COMPUTED_VALUE"""),2.625736485358078)</f>
        <v>2.625736485</v>
      </c>
      <c r="AD1200" s="82">
        <f>IFERROR(__xludf.DUMMYFUNCTION("""COMPUTED_VALUE"""),1.21479496596593)</f>
        <v>1.214794966</v>
      </c>
      <c r="AE1200" s="82">
        <f>IFERROR(__xludf.DUMMYFUNCTION("""COMPUTED_VALUE"""),1.7500389412937338)</f>
        <v>1.750038941</v>
      </c>
      <c r="AF1200" s="82">
        <f>IFERROR(__xludf.DUMMYFUNCTION("""COMPUTED_VALUE"""),0.7973722178173922)</f>
        <v>0.7973722178</v>
      </c>
      <c r="AG1200" s="82">
        <f>IFERROR(__xludf.DUMMYFUNCTION("""COMPUTED_VALUE"""),0.9342903998648525)</f>
        <v>0.9342903999</v>
      </c>
      <c r="AH1200" s="82">
        <f>IFERROR(__xludf.DUMMYFUNCTION("""COMPUTED_VALUE"""),1.451973578178802)</f>
        <v>1.451973578</v>
      </c>
      <c r="AI1200" s="82">
        <f>IFERROR(__xludf.DUMMYFUNCTION("""COMPUTED_VALUE"""),0.9141599328868689)</f>
        <v>0.9141599329</v>
      </c>
      <c r="AJ1200" s="82">
        <f>IFERROR(__xludf.DUMMYFUNCTION("""COMPUTED_VALUE"""),0.7386310532214171)</f>
        <v>0.7386310532</v>
      </c>
      <c r="AK1200" s="82">
        <f>IFERROR(__xludf.DUMMYFUNCTION("""COMPUTED_VALUE"""),0.8560670162373817)</f>
        <v>0.8560670162</v>
      </c>
      <c r="AL1200" s="82">
        <f>IFERROR(__xludf.DUMMYFUNCTION("""COMPUTED_VALUE"""),1.0185650541665345)</f>
        <v>1.018565054</v>
      </c>
      <c r="AM1200" s="82">
        <f>IFERROR(__xludf.DUMMYFUNCTION("""COMPUTED_VALUE"""),0.963465917776699)</f>
        <v>0.9634659178</v>
      </c>
      <c r="AN1200" s="82">
        <f>IFERROR(__xludf.DUMMYFUNCTION("""COMPUTED_VALUE"""),1.260656223384742)</f>
        <v>1.260656223</v>
      </c>
      <c r="AO1200" s="82">
        <f>IFERROR(__xludf.DUMMYFUNCTION("""COMPUTED_VALUE"""),1.9025548844341447)</f>
        <v>1.902554884</v>
      </c>
      <c r="AP1200" s="82">
        <f>IFERROR(__xludf.DUMMYFUNCTION("""COMPUTED_VALUE"""),0.8995109900699465)</f>
        <v>0.8995109901</v>
      </c>
      <c r="AQ1200" s="82">
        <f>IFERROR(__xludf.DUMMYFUNCTION("""COMPUTED_VALUE"""),0.9238928223378052)</f>
        <v>0.9238928223</v>
      </c>
      <c r="AR1200" s="82">
        <f>IFERROR(__xludf.DUMMYFUNCTION("""COMPUTED_VALUE"""),1.4953836618099707)</f>
        <v>1.495383662</v>
      </c>
      <c r="AS1200" s="82">
        <f>IFERROR(__xludf.DUMMYFUNCTION("""COMPUTED_VALUE"""),40.0)</f>
        <v>40</v>
      </c>
      <c r="AT1200" s="82">
        <f>IFERROR(__xludf.DUMMYFUNCTION("""COMPUTED_VALUE"""),0.6440174923649813)</f>
        <v>0.6440174924</v>
      </c>
      <c r="AU1200" s="82">
        <f>IFERROR(__xludf.DUMMYFUNCTION("""COMPUTED_VALUE"""),3.3503381478545253)</f>
        <v>3.350338148</v>
      </c>
      <c r="AV1200" s="82">
        <f>IFERROR(__xludf.DUMMYFUNCTION("""COMPUTED_VALUE"""),104.99559815688372)</f>
        <v>104.9955982</v>
      </c>
      <c r="AW1200" s="82">
        <f t="shared" si="1"/>
        <v>71.89230314</v>
      </c>
      <c r="AX1200" s="83">
        <f t="array" ref="AX1200">IFERROR(DGET('SBV Import'!A:G,"SBV",{"RSC ID","Tier";B1200,A1200}))</f>
        <v>89.12159935</v>
      </c>
      <c r="AY1200" s="82">
        <f t="shared" si="2"/>
        <v>17.00466159</v>
      </c>
      <c r="AZ1200" s="82">
        <v>54.887641551348466</v>
      </c>
      <c r="BA1200" s="84">
        <v>1200.0</v>
      </c>
      <c r="BB1200" s="84" t="b">
        <f>IFERROR(__xludf.DUMMYFUNCTION("iferror(if(A1200="""",,E1200&gt;=FILTER(Constants!$F$2:$F$10,Constants!$A$2:$A$10=A1200)))"),TRUE)</f>
        <v>1</v>
      </c>
    </row>
    <row r="1201">
      <c r="A1201" s="89" t="str">
        <f>IFERROR(__xludf.DUMMYFUNCTION("""COMPUTED_VALUE"""),"Veteran")</f>
        <v>Veteran</v>
      </c>
      <c r="B1201" s="87" t="str">
        <f>IFERROR(__xludf.DUMMYFUNCTION("""COMPUTED_VALUE"""),"RSC004872")</f>
        <v>RSC004872</v>
      </c>
      <c r="C1201" s="73" t="str">
        <f>IFERROR(__xludf.DUMMYFUNCTION("""COMPUTED_VALUE"""),"JustLaben")</f>
        <v>JustLaben</v>
      </c>
      <c r="D1201" s="73" t="str">
        <f>IFERROR(__xludf.DUMMYFUNCTION("""COMPUTED_VALUE"""),"Cannoli")</f>
        <v>Cannoli</v>
      </c>
      <c r="E1201" s="82">
        <f>IFERROR(__xludf.DUMMYFUNCTION("""COMPUTED_VALUE"""),43.0)</f>
        <v>43</v>
      </c>
      <c r="F1201" s="82">
        <f>IFERROR(__xludf.DUMMYFUNCTION("""COMPUTED_VALUE"""),25.0)</f>
        <v>25</v>
      </c>
      <c r="G1201" s="86">
        <f>IFERROR(__xludf.DUMMYFUNCTION("""COMPUTED_VALUE"""),18.0)</f>
        <v>18</v>
      </c>
      <c r="H1201" s="86">
        <f>IFERROR(__xludf.DUMMYFUNCTION("""COMPUTED_VALUE"""),0.5813953488372093)</f>
        <v>0.5813953488</v>
      </c>
      <c r="I1201" s="86">
        <f>IFERROR(__xludf.DUMMYFUNCTION("""COMPUTED_VALUE"""),0.38028169014084506)</f>
        <v>0.3802816901</v>
      </c>
      <c r="J1201" s="82">
        <f>IFERROR(__xludf.DUMMYFUNCTION("""COMPUTED_VALUE"""),424.2093023255814)</f>
        <v>424.2093023</v>
      </c>
      <c r="K1201" s="82">
        <f>IFERROR(__xludf.DUMMYFUNCTION("""COMPUTED_VALUE"""),1.255813953488372)</f>
        <v>1.255813953</v>
      </c>
      <c r="L1201" s="82">
        <f>IFERROR(__xludf.DUMMYFUNCTION("""COMPUTED_VALUE"""),0.6744186046511628)</f>
        <v>0.6744186047</v>
      </c>
      <c r="M1201" s="82">
        <f>IFERROR(__xludf.DUMMYFUNCTION("""COMPUTED_VALUE"""),1.4651162790697674)</f>
        <v>1.465116279</v>
      </c>
      <c r="N1201" s="82">
        <f>IFERROR(__xludf.DUMMYFUNCTION("""COMPUTED_VALUE"""),3.302325581395349)</f>
        <v>3.302325581</v>
      </c>
      <c r="O1201" s="82">
        <f>IFERROR(__xludf.DUMMYFUNCTION("""COMPUTED_VALUE"""),350.015503875969)</f>
        <v>350.0155039</v>
      </c>
      <c r="P1201" s="82">
        <f>IFERROR(__xludf.DUMMYFUNCTION("""COMPUTED_VALUE"""),0.6744186046511628)</f>
        <v>0.6744186047</v>
      </c>
      <c r="Q1201" s="82">
        <f>IFERROR(__xludf.DUMMYFUNCTION("""COMPUTED_VALUE"""),0.4651162790697674)</f>
        <v>0.4651162791</v>
      </c>
      <c r="R1201" s="82">
        <f>IFERROR(__xludf.DUMMYFUNCTION("""COMPUTED_VALUE"""),1.6511627906976747)</f>
        <v>1.651162791</v>
      </c>
      <c r="S1201" s="82">
        <f>IFERROR(__xludf.DUMMYFUNCTION("""COMPUTED_VALUE"""),2.387596899224806)</f>
        <v>2.387596899</v>
      </c>
      <c r="T1201" s="82">
        <f>IFERROR(__xludf.DUMMYFUNCTION("""COMPUTED_VALUE"""),360.37373688840955)</f>
        <v>360.3737369</v>
      </c>
      <c r="U1201" s="82">
        <f>IFERROR(__xludf.DUMMYFUNCTION("""COMPUTED_VALUE"""),0.8219972570408599)</f>
        <v>0.821997257</v>
      </c>
      <c r="V1201" s="82">
        <f>IFERROR(__xludf.DUMMYFUNCTION("""COMPUTED_VALUE"""),0.5666333193076235)</f>
        <v>0.5666333193</v>
      </c>
      <c r="W1201" s="82">
        <f>IFERROR(__xludf.DUMMYFUNCTION("""COMPUTED_VALUE"""),1.376445295958873)</f>
        <v>1.376445296</v>
      </c>
      <c r="X1201" s="82">
        <f>IFERROR(__xludf.DUMMYFUNCTION("""COMPUTED_VALUE"""),2.6740591662789894)</f>
        <v>2.674059166</v>
      </c>
      <c r="Y1201" s="82">
        <f>IFERROR(__xludf.DUMMYFUNCTION("""COMPUTED_VALUE"""),354.6515185855158)</f>
        <v>354.6515186</v>
      </c>
      <c r="Z1201" s="82">
        <f>IFERROR(__xludf.DUMMYFUNCTION("""COMPUTED_VALUE"""),0.7963695126681867)</f>
        <v>0.7963695127</v>
      </c>
      <c r="AA1201" s="82">
        <f>IFERROR(__xludf.DUMMYFUNCTION("""COMPUTED_VALUE"""),0.5830372139006932)</f>
        <v>0.5830372139</v>
      </c>
      <c r="AB1201" s="82">
        <f>IFERROR(__xludf.DUMMYFUNCTION("""COMPUTED_VALUE"""),1.3152929435530085)</f>
        <v>1.315292944</v>
      </c>
      <c r="AC1201" s="82">
        <f>IFERROR(__xludf.DUMMYFUNCTION("""COMPUTED_VALUE"""),2.6752603324315585)</f>
        <v>2.675260332</v>
      </c>
      <c r="AD1201" s="82">
        <f>IFERROR(__xludf.DUMMYFUNCTION("""COMPUTED_VALUE"""),1.1961299475538363)</f>
        <v>1.196129948</v>
      </c>
      <c r="AE1201" s="82">
        <f>IFERROR(__xludf.DUMMYFUNCTION("""COMPUTED_VALUE"""),1.5769236937271058)</f>
        <v>1.576923694</v>
      </c>
      <c r="AF1201" s="82">
        <f>IFERROR(__xludf.DUMMYFUNCTION("""COMPUTED_VALUE"""),1.15673337579792)</f>
        <v>1.156733376</v>
      </c>
      <c r="AG1201" s="82">
        <f>IFERROR(__xludf.DUMMYFUNCTION("""COMPUTED_VALUE"""),1.1139087199175874)</f>
        <v>1.11390872</v>
      </c>
      <c r="AH1201" s="82">
        <f>IFERROR(__xludf.DUMMYFUNCTION("""COMPUTED_VALUE"""),1.2343941041408286)</f>
        <v>1.234394104</v>
      </c>
      <c r="AI1201" s="82">
        <f>IFERROR(__xludf.DUMMYFUNCTION("""COMPUTED_VALUE"""),0.9712569703278682)</f>
        <v>0.9712569703</v>
      </c>
      <c r="AJ1201" s="82">
        <f>IFERROR(__xludf.DUMMYFUNCTION("""COMPUTED_VALUE"""),0.820463327431321)</f>
        <v>0.8204633274</v>
      </c>
      <c r="AK1201" s="82">
        <f>IFERROR(__xludf.DUMMYFUNCTION("""COMPUTED_VALUE"""),0.8208417387775553)</f>
        <v>0.8208417388</v>
      </c>
      <c r="AL1201" s="82">
        <f>IFERROR(__xludf.DUMMYFUNCTION("""COMPUTED_VALUE"""),1.1995847532374508)</f>
        <v>1.199584753</v>
      </c>
      <c r="AM1201" s="82">
        <f>IFERROR(__xludf.DUMMYFUNCTION("""COMPUTED_VALUE"""),0.8928736242389125)</f>
        <v>0.8928736242</v>
      </c>
      <c r="AN1201" s="82">
        <f>IFERROR(__xludf.DUMMYFUNCTION("""COMPUTED_VALUE"""),1.2270921485603183)</f>
        <v>1.227092149</v>
      </c>
      <c r="AO1201" s="82">
        <f>IFERROR(__xludf.DUMMYFUNCTION("""COMPUTED_VALUE"""),1.6620904147129434)</f>
        <v>1.662090415</v>
      </c>
      <c r="AP1201" s="82">
        <f>IFERROR(__xludf.DUMMYFUNCTION("""COMPUTED_VALUE"""),1.2132938935827187)</f>
        <v>1.213293894</v>
      </c>
      <c r="AQ1201" s="82">
        <f>IFERROR(__xludf.DUMMYFUNCTION("""COMPUTED_VALUE"""),1.0828883312982647)</f>
        <v>1.082888331</v>
      </c>
      <c r="AR1201" s="82">
        <f>IFERROR(__xludf.DUMMYFUNCTION("""COMPUTED_VALUE"""),1.2952770414152701)</f>
        <v>1.295277041</v>
      </c>
      <c r="AS1201" s="82">
        <f>IFERROR(__xludf.DUMMYFUNCTION("""COMPUTED_VALUE"""),118.0)</f>
        <v>118</v>
      </c>
      <c r="AT1201" s="82">
        <f>IFERROR(__xludf.DUMMYFUNCTION("""COMPUTED_VALUE"""),0.6170732273788674)</f>
        <v>0.6170732274</v>
      </c>
      <c r="AU1201" s="82">
        <f>IFERROR(__xludf.DUMMYFUNCTION("""COMPUTED_VALUE"""),3.185373105548274)</f>
        <v>3.185373106</v>
      </c>
      <c r="AV1201" s="82">
        <f>IFERROR(__xludf.DUMMYFUNCTION("""COMPUTED_VALUE"""),99.09775250073957)</f>
        <v>99.0977525</v>
      </c>
      <c r="AW1201" s="82">
        <f t="shared" si="1"/>
        <v>40.37099461</v>
      </c>
      <c r="AX1201" s="83">
        <f t="array" ref="AX1201">IFERROR(DGET('SBV Import'!A:G,"SBV",{"RSC ID","Tier";B1201,A1201}))</f>
        <v>75.11464706</v>
      </c>
      <c r="AY1201" s="82">
        <f t="shared" si="2"/>
        <v>6.347265938</v>
      </c>
      <c r="AZ1201" s="82">
        <v>34.02372867264583</v>
      </c>
      <c r="BA1201" s="84">
        <v>1200.0</v>
      </c>
      <c r="BB1201" s="84" t="b">
        <f>IFERROR(__xludf.DUMMYFUNCTION("iferror(if(A1201="""",,E1201&gt;=FILTER(Constants!$F$2:$F$10,Constants!$A$2:$A$10=A1201)))"),TRUE)</f>
        <v>1</v>
      </c>
    </row>
    <row r="1202">
      <c r="A1202" s="89" t="str">
        <f>IFERROR(__xludf.DUMMYFUNCTION("""COMPUTED_VALUE"""),"Veteran")</f>
        <v>Veteran</v>
      </c>
      <c r="B1202" s="87" t="str">
        <f>IFERROR(__xludf.DUMMYFUNCTION("""COMPUTED_VALUE"""),"RSC002906")</f>
        <v>RSC002906</v>
      </c>
      <c r="C1202" s="73" t="str">
        <f>IFERROR(__xludf.DUMMYFUNCTION("""COMPUTED_VALUE"""),"PackRL")</f>
        <v>PackRL</v>
      </c>
      <c r="D1202" s="73" t="str">
        <f>IFERROR(__xludf.DUMMYFUNCTION("""COMPUTED_VALUE"""),"Legati")</f>
        <v>Legati</v>
      </c>
      <c r="E1202" s="82">
        <f>IFERROR(__xludf.DUMMYFUNCTION("""COMPUTED_VALUE"""),30.0)</f>
        <v>30</v>
      </c>
      <c r="F1202" s="82">
        <f>IFERROR(__xludf.DUMMYFUNCTION("""COMPUTED_VALUE"""),20.0)</f>
        <v>20</v>
      </c>
      <c r="G1202" s="86">
        <f>IFERROR(__xludf.DUMMYFUNCTION("""COMPUTED_VALUE"""),10.0)</f>
        <v>10</v>
      </c>
      <c r="H1202" s="86">
        <f>IFERROR(__xludf.DUMMYFUNCTION("""COMPUTED_VALUE"""),0.6666666666666666)</f>
        <v>0.6666666667</v>
      </c>
      <c r="I1202" s="86">
        <f>IFERROR(__xludf.DUMMYFUNCTION("""COMPUTED_VALUE"""),0.37142857142857144)</f>
        <v>0.3714285714</v>
      </c>
      <c r="J1202" s="82">
        <f>IFERROR(__xludf.DUMMYFUNCTION("""COMPUTED_VALUE"""),467.8666666666667)</f>
        <v>467.8666667</v>
      </c>
      <c r="K1202" s="82">
        <f>IFERROR(__xludf.DUMMYFUNCTION("""COMPUTED_VALUE"""),1.3)</f>
        <v>1.3</v>
      </c>
      <c r="L1202" s="82">
        <f>IFERROR(__xludf.DUMMYFUNCTION("""COMPUTED_VALUE"""),0.6)</f>
        <v>0.6</v>
      </c>
      <c r="M1202" s="82">
        <f>IFERROR(__xludf.DUMMYFUNCTION("""COMPUTED_VALUE"""),2.1333333333333333)</f>
        <v>2.133333333</v>
      </c>
      <c r="N1202" s="82">
        <f>IFERROR(__xludf.DUMMYFUNCTION("""COMPUTED_VALUE"""),3.5)</f>
        <v>3.5</v>
      </c>
      <c r="O1202" s="82">
        <f>IFERROR(__xludf.DUMMYFUNCTION("""COMPUTED_VALUE"""),366.11111111111114)</f>
        <v>366.1111111</v>
      </c>
      <c r="P1202" s="82">
        <f>IFERROR(__xludf.DUMMYFUNCTION("""COMPUTED_VALUE"""),0.788888888888889)</f>
        <v>0.7888888889</v>
      </c>
      <c r="Q1202" s="82">
        <f>IFERROR(__xludf.DUMMYFUNCTION("""COMPUTED_VALUE"""),0.6000000000000001)</f>
        <v>0.6</v>
      </c>
      <c r="R1202" s="82">
        <f>IFERROR(__xludf.DUMMYFUNCTION("""COMPUTED_VALUE"""),1.5111111111111108)</f>
        <v>1.511111111</v>
      </c>
      <c r="S1202" s="82">
        <f>IFERROR(__xludf.DUMMYFUNCTION("""COMPUTED_VALUE"""),2.8888888888888884)</f>
        <v>2.888888889</v>
      </c>
      <c r="T1202" s="82">
        <f>IFERROR(__xludf.DUMMYFUNCTION("""COMPUTED_VALUE"""),367.98811053578424)</f>
        <v>367.9881105</v>
      </c>
      <c r="U1202" s="82">
        <f>IFERROR(__xludf.DUMMYFUNCTION("""COMPUTED_VALUE"""),0.823634447717271)</f>
        <v>0.8236344477</v>
      </c>
      <c r="V1202" s="82">
        <f>IFERROR(__xludf.DUMMYFUNCTION("""COMPUTED_VALUE"""),0.5959998178635868)</f>
        <v>0.5959998179</v>
      </c>
      <c r="W1202" s="82">
        <f>IFERROR(__xludf.DUMMYFUNCTION("""COMPUTED_VALUE"""),1.4426999795263824)</f>
        <v>1.44269998</v>
      </c>
      <c r="X1202" s="82">
        <f>IFERROR(__xludf.DUMMYFUNCTION("""COMPUTED_VALUE"""),2.680085593266562)</f>
        <v>2.680085593</v>
      </c>
      <c r="Y1202" s="82">
        <f>IFERROR(__xludf.DUMMYFUNCTION("""COMPUTED_VALUE"""),352.2590248195848)</f>
        <v>352.2590248</v>
      </c>
      <c r="Z1202" s="82">
        <f>IFERROR(__xludf.DUMMYFUNCTION("""COMPUTED_VALUE"""),0.7773101940412456)</f>
        <v>0.777310194</v>
      </c>
      <c r="AA1202" s="82">
        <f>IFERROR(__xludf.DUMMYFUNCTION("""COMPUTED_VALUE"""),0.5630070856721981)</f>
        <v>0.5630070857</v>
      </c>
      <c r="AB1202" s="82">
        <f>IFERROR(__xludf.DUMMYFUNCTION("""COMPUTED_VALUE"""),1.3341694643069884)</f>
        <v>1.334169464</v>
      </c>
      <c r="AC1202" s="82">
        <f>IFERROR(__xludf.DUMMYFUNCTION("""COMPUTED_VALUE"""),2.679186664711884)</f>
        <v>2.679186665</v>
      </c>
      <c r="AD1202" s="82">
        <f>IFERROR(__xludf.DUMMYFUNCTION("""COMPUTED_VALUE"""),1.3281892973680156)</f>
        <v>1.328189297</v>
      </c>
      <c r="AE1202" s="82">
        <f>IFERROR(__xludf.DUMMYFUNCTION("""COMPUTED_VALUE"""),1.6724340037807603)</f>
        <v>1.672434004</v>
      </c>
      <c r="AF1202" s="82">
        <f>IFERROR(__xludf.DUMMYFUNCTION("""COMPUTED_VALUE"""),1.065705948058601)</f>
        <v>1.065705948</v>
      </c>
      <c r="AG1202" s="82">
        <f>IFERROR(__xludf.DUMMYFUNCTION("""COMPUTED_VALUE"""),1.5989972716407934)</f>
        <v>1.598997272</v>
      </c>
      <c r="AH1202" s="82">
        <f>IFERROR(__xludf.DUMMYFUNCTION("""COMPUTED_VALUE"""),1.3063666097249649)</f>
        <v>1.30636661</v>
      </c>
      <c r="AI1202" s="82">
        <f>IFERROR(__xludf.DUMMYFUNCTION("""COMPUTED_VALUE"""),0.9948992932898287)</f>
        <v>0.9948992933</v>
      </c>
      <c r="AJ1202" s="82">
        <f>IFERROR(__xludf.DUMMYFUNCTION("""COMPUTED_VALUE"""),0.9578143447925467)</f>
        <v>0.9578143448</v>
      </c>
      <c r="AK1202" s="82">
        <f>IFERROR(__xludf.DUMMYFUNCTION("""COMPUTED_VALUE"""),1.0067117170450695)</f>
        <v>1.006711717</v>
      </c>
      <c r="AL1202" s="82">
        <f>IFERROR(__xludf.DUMMYFUNCTION("""COMPUTED_VALUE"""),1.0474188206526396)</f>
        <v>1.047418821</v>
      </c>
      <c r="AM1202" s="82">
        <f>IFERROR(__xludf.DUMMYFUNCTION("""COMPUTED_VALUE"""),1.077909189224002)</f>
        <v>1.077909189</v>
      </c>
      <c r="AN1202" s="82">
        <f>IFERROR(__xludf.DUMMYFUNCTION("""COMPUTED_VALUE"""),1.3533779436055826)</f>
        <v>1.353377944</v>
      </c>
      <c r="AO1202" s="82">
        <f>IFERROR(__xludf.DUMMYFUNCTION("""COMPUTED_VALUE"""),1.7205713737491395)</f>
        <v>1.720571374</v>
      </c>
      <c r="AP1202" s="82">
        <f>IFERROR(__xludf.DUMMYFUNCTION("""COMPUTED_VALUE"""),1.0794131880839357)</f>
        <v>1.079413188</v>
      </c>
      <c r="AQ1202" s="82">
        <f>IFERROR(__xludf.DUMMYFUNCTION("""COMPUTED_VALUE"""),1.576777083456521)</f>
        <v>1.576777083</v>
      </c>
      <c r="AR1202" s="82">
        <f>IFERROR(__xludf.DUMMYFUNCTION("""COMPUTED_VALUE"""),1.3728112305140714)</f>
        <v>1.372811231</v>
      </c>
      <c r="AS1202" s="82">
        <f>IFERROR(__xludf.DUMMYFUNCTION("""COMPUTED_VALUE"""),89.0)</f>
        <v>89</v>
      </c>
      <c r="AT1202" s="82">
        <f>IFERROR(__xludf.DUMMYFUNCTION("""COMPUTED_VALUE"""),0.5903276454804592)</f>
        <v>0.5903276455</v>
      </c>
      <c r="AU1202" s="82">
        <f>IFERROR(__xludf.DUMMYFUNCTION("""COMPUTED_VALUE"""),3.177028265207057)</f>
        <v>3.177028265</v>
      </c>
      <c r="AV1202" s="82">
        <f>IFERROR(__xludf.DUMMYFUNCTION("""COMPUTED_VALUE"""),98.79940698662578)</f>
        <v>98.79940699</v>
      </c>
      <c r="AW1202" s="82">
        <f t="shared" si="1"/>
        <v>39.26108987</v>
      </c>
      <c r="AX1202" s="83">
        <f t="array" ref="AX1202">IFERROR(DGET('SBV Import'!A:G,"SBV",{"RSC ID","Tier";B1202,A1202}))</f>
        <v>79.0359401</v>
      </c>
      <c r="AY1202" s="82">
        <f t="shared" si="2"/>
        <v>8.147834838</v>
      </c>
      <c r="AZ1202" s="82">
        <v>31.113255036376287</v>
      </c>
      <c r="BA1202" s="84">
        <v>1200.0</v>
      </c>
      <c r="BB1202" s="84" t="b">
        <f>IFERROR(__xludf.DUMMYFUNCTION("iferror(if(A1202="""",,E1202&gt;=FILTER(Constants!$F$2:$F$10,Constants!$A$2:$A$10=A1202)))"),TRUE)</f>
        <v>1</v>
      </c>
    </row>
    <row r="1203">
      <c r="A1203" s="89" t="str">
        <f>IFERROR(__xludf.DUMMYFUNCTION("""COMPUTED_VALUE"""),"Veteran")</f>
        <v>Veteran</v>
      </c>
      <c r="B1203" s="87" t="str">
        <f>IFERROR(__xludf.DUMMYFUNCTION("""COMPUTED_VALUE"""),"RSC004662")</f>
        <v>RSC004662</v>
      </c>
      <c r="C1203" s="73" t="str">
        <f>IFERROR(__xludf.DUMMYFUNCTION("""COMPUTED_VALUE"""),"D_MATT_")</f>
        <v>D_MATT_</v>
      </c>
      <c r="D1203" s="73" t="str">
        <f>IFERROR(__xludf.DUMMYFUNCTION("""COMPUTED_VALUE"""),"Penguins")</f>
        <v>Penguins</v>
      </c>
      <c r="E1203" s="82">
        <f>IFERROR(__xludf.DUMMYFUNCTION("""COMPUTED_VALUE"""),44.0)</f>
        <v>44</v>
      </c>
      <c r="F1203" s="82">
        <f>IFERROR(__xludf.DUMMYFUNCTION("""COMPUTED_VALUE"""),27.0)</f>
        <v>27</v>
      </c>
      <c r="G1203" s="86">
        <f>IFERROR(__xludf.DUMMYFUNCTION("""COMPUTED_VALUE"""),17.0)</f>
        <v>17</v>
      </c>
      <c r="H1203" s="86">
        <f>IFERROR(__xludf.DUMMYFUNCTION("""COMPUTED_VALUE"""),0.6136363636363636)</f>
        <v>0.6136363636</v>
      </c>
      <c r="I1203" s="86">
        <f>IFERROR(__xludf.DUMMYFUNCTION("""COMPUTED_VALUE"""),0.38620689655172413)</f>
        <v>0.3862068966</v>
      </c>
      <c r="J1203" s="82">
        <f>IFERROR(__xludf.DUMMYFUNCTION("""COMPUTED_VALUE"""),418.8636363636364)</f>
        <v>418.8636364</v>
      </c>
      <c r="K1203" s="82">
        <f>IFERROR(__xludf.DUMMYFUNCTION("""COMPUTED_VALUE"""),1.2727272727272727)</f>
        <v>1.272727273</v>
      </c>
      <c r="L1203" s="82">
        <f>IFERROR(__xludf.DUMMYFUNCTION("""COMPUTED_VALUE"""),0.5227272727272727)</f>
        <v>0.5227272727</v>
      </c>
      <c r="M1203" s="82">
        <f>IFERROR(__xludf.DUMMYFUNCTION("""COMPUTED_VALUE"""),1.1590909090909092)</f>
        <v>1.159090909</v>
      </c>
      <c r="N1203" s="82">
        <f>IFERROR(__xludf.DUMMYFUNCTION("""COMPUTED_VALUE"""),3.2954545454545454)</f>
        <v>3.295454545</v>
      </c>
      <c r="O1203" s="82">
        <f>IFERROR(__xludf.DUMMYFUNCTION("""COMPUTED_VALUE"""),321.93181818181813)</f>
        <v>321.9318182</v>
      </c>
      <c r="P1203" s="82">
        <f>IFERROR(__xludf.DUMMYFUNCTION("""COMPUTED_VALUE"""),0.6666666666666666)</f>
        <v>0.6666666667</v>
      </c>
      <c r="Q1203" s="82">
        <f>IFERROR(__xludf.DUMMYFUNCTION("""COMPUTED_VALUE"""),0.4318181818181817)</f>
        <v>0.4318181818</v>
      </c>
      <c r="R1203" s="82">
        <f>IFERROR(__xludf.DUMMYFUNCTION("""COMPUTED_VALUE"""),1.401515151515151)</f>
        <v>1.401515152</v>
      </c>
      <c r="S1203" s="82">
        <f>IFERROR(__xludf.DUMMYFUNCTION("""COMPUTED_VALUE"""),2.295454545454545)</f>
        <v>2.295454545</v>
      </c>
      <c r="T1203" s="82">
        <f>IFERROR(__xludf.DUMMYFUNCTION("""COMPUTED_VALUE"""),359.2474451872563)</f>
        <v>359.2474452</v>
      </c>
      <c r="U1203" s="82">
        <f>IFERROR(__xludf.DUMMYFUNCTION("""COMPUTED_VALUE"""),0.7922075069237343)</f>
        <v>0.7922075069</v>
      </c>
      <c r="V1203" s="82">
        <f>IFERROR(__xludf.DUMMYFUNCTION("""COMPUTED_VALUE"""),0.5900755819354676)</f>
        <v>0.5900755819</v>
      </c>
      <c r="W1203" s="82">
        <f>IFERROR(__xludf.DUMMYFUNCTION("""COMPUTED_VALUE"""),1.396612452621565)</f>
        <v>1.396612453</v>
      </c>
      <c r="X1203" s="82">
        <f>IFERROR(__xludf.DUMMYFUNCTION("""COMPUTED_VALUE"""),2.6283852737437154)</f>
        <v>2.628385274</v>
      </c>
      <c r="Y1203" s="82">
        <f>IFERROR(__xludf.DUMMYFUNCTION("""COMPUTED_VALUE"""),352.63740709300026)</f>
        <v>352.6374071</v>
      </c>
      <c r="Z1203" s="82">
        <f>IFERROR(__xludf.DUMMYFUNCTION("""COMPUTED_VALUE"""),0.7953624254002674)</f>
        <v>0.7953624254</v>
      </c>
      <c r="AA1203" s="82">
        <f>IFERROR(__xludf.DUMMYFUNCTION("""COMPUTED_VALUE"""),0.5766563437873896)</f>
        <v>0.5766563438</v>
      </c>
      <c r="AB1203" s="82">
        <f>IFERROR(__xludf.DUMMYFUNCTION("""COMPUTED_VALUE"""),1.3192993429661934)</f>
        <v>1.319299343</v>
      </c>
      <c r="AC1203" s="82">
        <f>IFERROR(__xludf.DUMMYFUNCTION("""COMPUTED_VALUE"""),2.6651620169361054)</f>
        <v>2.665162017</v>
      </c>
      <c r="AD1203" s="82">
        <f>IFERROR(__xludf.DUMMYFUNCTION("""COMPUTED_VALUE"""),1.187802620875018)</f>
        <v>1.187802621</v>
      </c>
      <c r="AE1203" s="82">
        <f>IFERROR(__xludf.DUMMYFUNCTION("""COMPUTED_VALUE"""),1.6001853143700757)</f>
        <v>1.600185314</v>
      </c>
      <c r="AF1203" s="82">
        <f>IFERROR(__xludf.DUMMYFUNCTION("""COMPUTED_VALUE"""),0.9064797055627289)</f>
        <v>0.9064797056</v>
      </c>
      <c r="AG1203" s="82">
        <f>IFERROR(__xludf.DUMMYFUNCTION("""COMPUTED_VALUE"""),0.878565516818127)</f>
        <v>0.8785655168</v>
      </c>
      <c r="AH1203" s="82">
        <f>IFERROR(__xludf.DUMMYFUNCTION("""COMPUTED_VALUE"""),1.2364931379455235)</f>
        <v>1.236493138</v>
      </c>
      <c r="AI1203" s="82">
        <f>IFERROR(__xludf.DUMMYFUNCTION("""COMPUTED_VALUE"""),0.8961283441111528)</f>
        <v>0.8961283441</v>
      </c>
      <c r="AJ1203" s="82">
        <f>IFERROR(__xludf.DUMMYFUNCTION("""COMPUTED_VALUE"""),0.841530357690547)</f>
        <v>0.8415303577</v>
      </c>
      <c r="AK1203" s="82">
        <f>IFERROR(__xludf.DUMMYFUNCTION("""COMPUTED_VALUE"""),0.7318014760105878)</f>
        <v>0.731801476</v>
      </c>
      <c r="AL1203" s="82">
        <f>IFERROR(__xludf.DUMMYFUNCTION("""COMPUTED_VALUE"""),1.0035104218671278)</f>
        <v>1.003510422</v>
      </c>
      <c r="AM1203" s="82">
        <f>IFERROR(__xludf.DUMMYFUNCTION("""COMPUTED_VALUE"""),0.8733326002032556)</f>
        <v>0.8733326002</v>
      </c>
      <c r="AN1203" s="82">
        <f>IFERROR(__xludf.DUMMYFUNCTION("""COMPUTED_VALUE"""),1.2116289687225166)</f>
        <v>1.211628969</v>
      </c>
      <c r="AO1203" s="82">
        <f>IFERROR(__xludf.DUMMYFUNCTION("""COMPUTED_VALUE"""),1.6844754708033534)</f>
        <v>1.684475471</v>
      </c>
      <c r="AP1203" s="82">
        <f>IFERROR(__xludf.DUMMYFUNCTION("""COMPUTED_VALUE"""),0.9403978532549441)</f>
        <v>0.9403978533</v>
      </c>
      <c r="AQ1203" s="82">
        <f>IFERROR(__xludf.DUMMYFUNCTION("""COMPUTED_VALUE"""),0.8567006170768741)</f>
        <v>0.8567006171</v>
      </c>
      <c r="AR1203" s="82">
        <f>IFERROR(__xludf.DUMMYFUNCTION("""COMPUTED_VALUE"""),1.2925820027567556)</f>
        <v>1.292582003</v>
      </c>
      <c r="AS1203" s="82">
        <f>IFERROR(__xludf.DUMMYFUNCTION("""COMPUTED_VALUE"""),114.0)</f>
        <v>114</v>
      </c>
      <c r="AT1203" s="82">
        <f>IFERROR(__xludf.DUMMYFUNCTION("""COMPUTED_VALUE"""),0.5989031120295647)</f>
        <v>0.598903112</v>
      </c>
      <c r="AU1203" s="82">
        <f>IFERROR(__xludf.DUMMYFUNCTION("""COMPUTED_VALUE"""),3.0745089536003882)</f>
        <v>3.074508954</v>
      </c>
      <c r="AV1203" s="82">
        <f>IFERROR(__xludf.DUMMYFUNCTION("""COMPUTED_VALUE"""),95.13412694803564)</f>
        <v>95.13412695</v>
      </c>
      <c r="AW1203" s="82">
        <f t="shared" si="1"/>
        <v>28.16204412</v>
      </c>
      <c r="AX1203" s="83">
        <f t="array" ref="AX1203">IFERROR(DGET('SBV Import'!A:G,"SBV",{"RSC ID","Tier";B1203,A1203}))</f>
        <v>88.305417</v>
      </c>
      <c r="AY1203" s="82">
        <f t="shared" si="2"/>
        <v>15.94019574</v>
      </c>
      <c r="AZ1203" s="82">
        <v>12.221848387155605</v>
      </c>
      <c r="BA1203" s="84">
        <v>1200.0</v>
      </c>
      <c r="BB1203" s="84" t="b">
        <f>IFERROR(__xludf.DUMMYFUNCTION("iferror(if(A1203="""",,E1203&gt;=FILTER(Constants!$F$2:$F$10,Constants!$A$2:$A$10=A1203)))"),TRUE)</f>
        <v>1</v>
      </c>
    </row>
    <row r="1204">
      <c r="A1204" s="89" t="str">
        <f>IFERROR(__xludf.DUMMYFUNCTION("""COMPUTED_VALUE"""),"Veteran")</f>
        <v>Veteran</v>
      </c>
      <c r="B1204" s="87" t="str">
        <f>IFERROR(__xludf.DUMMYFUNCTION("""COMPUTED_VALUE"""),"RSC007143")</f>
        <v>RSC007143</v>
      </c>
      <c r="C1204" s="73" t="str">
        <f>IFERROR(__xludf.DUMMYFUNCTION("""COMPUTED_VALUE"""),"OmniMurders")</f>
        <v>OmniMurders</v>
      </c>
      <c r="D1204" s="73"/>
      <c r="E1204" s="82">
        <f>IFERROR(__xludf.DUMMYFUNCTION("""COMPUTED_VALUE"""),4.0)</f>
        <v>4</v>
      </c>
      <c r="F1204" s="82">
        <f>IFERROR(__xludf.DUMMYFUNCTION("""COMPUTED_VALUE"""),4.0)</f>
        <v>4</v>
      </c>
      <c r="G1204" s="86">
        <f>IFERROR(__xludf.DUMMYFUNCTION("""COMPUTED_VALUE"""),0.0)</f>
        <v>0</v>
      </c>
      <c r="H1204" s="86">
        <f>IFERROR(__xludf.DUMMYFUNCTION("""COMPUTED_VALUE"""),1.0)</f>
        <v>1</v>
      </c>
      <c r="I1204" s="86">
        <f>IFERROR(__xludf.DUMMYFUNCTION("""COMPUTED_VALUE"""),0.15384615384615385)</f>
        <v>0.1538461538</v>
      </c>
      <c r="J1204" s="82">
        <f>IFERROR(__xludf.DUMMYFUNCTION("""COMPUTED_VALUE"""),422.0)</f>
        <v>422</v>
      </c>
      <c r="K1204" s="82">
        <f>IFERROR(__xludf.DUMMYFUNCTION("""COMPUTED_VALUE"""),0.5)</f>
        <v>0.5</v>
      </c>
      <c r="L1204" s="82">
        <f>IFERROR(__xludf.DUMMYFUNCTION("""COMPUTED_VALUE"""),1.5)</f>
        <v>1.5</v>
      </c>
      <c r="M1204" s="82">
        <f>IFERROR(__xludf.DUMMYFUNCTION("""COMPUTED_VALUE"""),2.25)</f>
        <v>2.25</v>
      </c>
      <c r="N1204" s="82">
        <f>IFERROR(__xludf.DUMMYFUNCTION("""COMPUTED_VALUE"""),3.25)</f>
        <v>3.25</v>
      </c>
      <c r="O1204" s="82">
        <f>IFERROR(__xludf.DUMMYFUNCTION("""COMPUTED_VALUE"""),332.41666666666663)</f>
        <v>332.4166667</v>
      </c>
      <c r="P1204" s="82">
        <f>IFERROR(__xludf.DUMMYFUNCTION("""COMPUTED_VALUE"""),0.75)</f>
        <v>0.75</v>
      </c>
      <c r="Q1204" s="82">
        <f>IFERROR(__xludf.DUMMYFUNCTION("""COMPUTED_VALUE"""),0.16666666666666666)</f>
        <v>0.1666666667</v>
      </c>
      <c r="R1204" s="82">
        <f>IFERROR(__xludf.DUMMYFUNCTION("""COMPUTED_VALUE"""),1.4166666666666665)</f>
        <v>1.416666667</v>
      </c>
      <c r="S1204" s="82">
        <f>IFERROR(__xludf.DUMMYFUNCTION("""COMPUTED_VALUE"""),2.8333333333333335)</f>
        <v>2.833333333</v>
      </c>
      <c r="T1204" s="82">
        <f>IFERROR(__xludf.DUMMYFUNCTION("""COMPUTED_VALUE"""),332.54781560581023)</f>
        <v>332.5478156</v>
      </c>
      <c r="U1204" s="82">
        <f>IFERROR(__xludf.DUMMYFUNCTION("""COMPUTED_VALUE"""),0.6634282285649304)</f>
        <v>0.6634282286</v>
      </c>
      <c r="V1204" s="82">
        <f>IFERROR(__xludf.DUMMYFUNCTION("""COMPUTED_VALUE"""),0.48314827161885654)</f>
        <v>0.4831482716</v>
      </c>
      <c r="W1204" s="82">
        <f>IFERROR(__xludf.DUMMYFUNCTION("""COMPUTED_VALUE"""),1.359364983703824)</f>
        <v>1.359364984</v>
      </c>
      <c r="X1204" s="82">
        <f>IFERROR(__xludf.DUMMYFUNCTION("""COMPUTED_VALUE"""),2.2776267063912874)</f>
        <v>2.277626706</v>
      </c>
      <c r="Y1204" s="82">
        <f>IFERROR(__xludf.DUMMYFUNCTION("""COMPUTED_VALUE"""),360.9032678977724)</f>
        <v>360.9032679</v>
      </c>
      <c r="Z1204" s="82">
        <f>IFERROR(__xludf.DUMMYFUNCTION("""COMPUTED_VALUE"""),0.8413520891537457)</f>
        <v>0.8413520892</v>
      </c>
      <c r="AA1204" s="82">
        <f>IFERROR(__xludf.DUMMYFUNCTION("""COMPUTED_VALUE"""),0.6319729328230616)</f>
        <v>0.6319729328</v>
      </c>
      <c r="AB1204" s="82">
        <f>IFERROR(__xludf.DUMMYFUNCTION("""COMPUTED_VALUE"""),1.2598002750379353)</f>
        <v>1.259800275</v>
      </c>
      <c r="AC1204" s="82">
        <f>IFERROR(__xludf.DUMMYFUNCTION("""COMPUTED_VALUE"""),2.7845518098098316)</f>
        <v>2.78455181</v>
      </c>
      <c r="AD1204" s="82">
        <f>IFERROR(__xludf.DUMMYFUNCTION("""COMPUTED_VALUE"""),1.1692883870465078)</f>
        <v>1.169288387</v>
      </c>
      <c r="AE1204" s="82">
        <f>IFERROR(__xludf.DUMMYFUNCTION("""COMPUTED_VALUE"""),0.5942815219047156)</f>
        <v>0.5942815219</v>
      </c>
      <c r="AF1204" s="82">
        <f>IFERROR(__xludf.DUMMYFUNCTION("""COMPUTED_VALUE"""),2.3735193741596)</f>
        <v>2.373519374</v>
      </c>
      <c r="AG1204" s="82">
        <f>IFERROR(__xludf.DUMMYFUNCTION("""COMPUTED_VALUE"""),1.7859973875083077)</f>
        <v>1.785997388</v>
      </c>
      <c r="AH1204" s="82">
        <f>IFERROR(__xludf.DUMMYFUNCTION("""COMPUTED_VALUE"""),1.167153718796116)</f>
        <v>1.167153719</v>
      </c>
      <c r="AI1204" s="82">
        <f>IFERROR(__xludf.DUMMYFUNCTION("""COMPUTED_VALUE"""),0.9996056238141132)</f>
        <v>0.9996056238</v>
      </c>
      <c r="AJ1204" s="82">
        <f>IFERROR(__xludf.DUMMYFUNCTION("""COMPUTED_VALUE"""),1.1304915403167786)</f>
        <v>1.13049154</v>
      </c>
      <c r="AK1204" s="82">
        <f>IFERROR(__xludf.DUMMYFUNCTION("""COMPUTED_VALUE"""),0.3449596665392726)</f>
        <v>0.3449596665</v>
      </c>
      <c r="AL1204" s="82">
        <f>IFERROR(__xludf.DUMMYFUNCTION("""COMPUTED_VALUE"""),1.0421532727779366)</f>
        <v>1.042153273</v>
      </c>
      <c r="AM1204" s="82">
        <f>IFERROR(__xludf.DUMMYFUNCTION("""COMPUTED_VALUE"""),1.243984945110921)</f>
        <v>1.243984945</v>
      </c>
      <c r="AN1204" s="82">
        <f>IFERROR(__xludf.DUMMYFUNCTION("""COMPUTED_VALUE"""),1.2207013939902163)</f>
        <v>1.220701394</v>
      </c>
      <c r="AO1204" s="82">
        <f>IFERROR(__xludf.DUMMYFUNCTION("""COMPUTED_VALUE"""),0.6617582206727459)</f>
        <v>0.6617582207</v>
      </c>
      <c r="AP1204" s="82">
        <f>IFERROR(__xludf.DUMMYFUNCTION("""COMPUTED_VALUE"""),2.6985329702098397)</f>
        <v>2.69853297</v>
      </c>
      <c r="AQ1204" s="82">
        <f>IFERROR(__xludf.DUMMYFUNCTION("""COMPUTED_VALUE"""),1.6630070802080494)</f>
        <v>1.66300708</v>
      </c>
      <c r="AR1204" s="82">
        <f>IFERROR(__xludf.DUMMYFUNCTION("""COMPUTED_VALUE"""),1.274753285477352)</f>
        <v>1.274753285</v>
      </c>
      <c r="AS1204" s="82">
        <f>IFERROR(__xludf.DUMMYFUNCTION("""COMPUTED_VALUE"""),14.0)</f>
        <v>14</v>
      </c>
      <c r="AT1204" s="82">
        <f>IFERROR(__xludf.DUMMYFUNCTION("""COMPUTED_VALUE"""),0.6747904145339012)</f>
        <v>0.6747904145</v>
      </c>
      <c r="AU1204" s="82">
        <f>IFERROR(__xludf.DUMMYFUNCTION("""COMPUTED_VALUE"""),2.9931685658130593)</f>
        <v>2.993168566</v>
      </c>
      <c r="AV1204" s="82">
        <f>IFERROR(__xludf.DUMMYFUNCTION("""COMPUTED_VALUE"""),92.22603777911965)</f>
        <v>92.22603778</v>
      </c>
      <c r="AW1204" s="82">
        <f t="shared" si="1"/>
        <v>21.92706561</v>
      </c>
      <c r="AX1204" s="83">
        <f t="array" ref="AX1204">IFERROR(DGET('SBV Import'!A:G,"SBV",{"RSC ID","Tier";B1204,A1204}))</f>
        <v>70.32623291</v>
      </c>
      <c r="AY1204" s="82">
        <f t="shared" si="2"/>
        <v>4.805499987</v>
      </c>
      <c r="AZ1204" s="82">
        <v>17.121565621518755</v>
      </c>
      <c r="BA1204" s="84">
        <v>1200.0</v>
      </c>
      <c r="BB1204" s="84" t="b">
        <f>IFERROR(__xludf.DUMMYFUNCTION("iferror(if(A1204="""",,E1204&gt;=FILTER(Constants!$F$2:$F$10,Constants!$A$2:$A$10=A1204)))"),TRUE)</f>
        <v>1</v>
      </c>
    </row>
    <row r="1205">
      <c r="A1205" s="89" t="str">
        <f>IFERROR(__xludf.DUMMYFUNCTION("""COMPUTED_VALUE"""),"Veteran")</f>
        <v>Veteran</v>
      </c>
      <c r="B1205" s="87" t="str">
        <f>IFERROR(__xludf.DUMMYFUNCTION("""COMPUTED_VALUE"""),"RSC006860")</f>
        <v>RSC006860</v>
      </c>
      <c r="C1205" s="73" t="str">
        <f>IFERROR(__xludf.DUMMYFUNCTION("""COMPUTED_VALUE"""),"RyAndGav")</f>
        <v>RyAndGav</v>
      </c>
      <c r="D1205" s="73" t="str">
        <f>IFERROR(__xludf.DUMMYFUNCTION("""COMPUTED_VALUE"""),"Water")</f>
        <v>Water</v>
      </c>
      <c r="E1205" s="82">
        <f>IFERROR(__xludf.DUMMYFUNCTION("""COMPUTED_VALUE"""),15.0)</f>
        <v>15</v>
      </c>
      <c r="F1205" s="82">
        <f>IFERROR(__xludf.DUMMYFUNCTION("""COMPUTED_VALUE"""),9.0)</f>
        <v>9</v>
      </c>
      <c r="G1205" s="86">
        <f>IFERROR(__xludf.DUMMYFUNCTION("""COMPUTED_VALUE"""),6.0)</f>
        <v>6</v>
      </c>
      <c r="H1205" s="86">
        <f>IFERROR(__xludf.DUMMYFUNCTION("""COMPUTED_VALUE"""),0.6)</f>
        <v>0.6</v>
      </c>
      <c r="I1205" s="86">
        <f>IFERROR(__xludf.DUMMYFUNCTION("""COMPUTED_VALUE"""),0.42857142857142855)</f>
        <v>0.4285714286</v>
      </c>
      <c r="J1205" s="82">
        <f>IFERROR(__xludf.DUMMYFUNCTION("""COMPUTED_VALUE"""),402.06666666666666)</f>
        <v>402.0666667</v>
      </c>
      <c r="K1205" s="82">
        <f>IFERROR(__xludf.DUMMYFUNCTION("""COMPUTED_VALUE"""),1.0)</f>
        <v>1</v>
      </c>
      <c r="L1205" s="82">
        <f>IFERROR(__xludf.DUMMYFUNCTION("""COMPUTED_VALUE"""),0.9333333333333333)</f>
        <v>0.9333333333</v>
      </c>
      <c r="M1205" s="82">
        <f>IFERROR(__xludf.DUMMYFUNCTION("""COMPUTED_VALUE"""),1.4)</f>
        <v>1.4</v>
      </c>
      <c r="N1205" s="82">
        <f>IFERROR(__xludf.DUMMYFUNCTION("""COMPUTED_VALUE"""),2.3333333333333335)</f>
        <v>2.333333333</v>
      </c>
      <c r="O1205" s="82">
        <f>IFERROR(__xludf.DUMMYFUNCTION("""COMPUTED_VALUE"""),307.0444444444444)</f>
        <v>307.0444444</v>
      </c>
      <c r="P1205" s="82">
        <f>IFERROR(__xludf.DUMMYFUNCTION("""COMPUTED_VALUE"""),0.6222222222222221)</f>
        <v>0.6222222222</v>
      </c>
      <c r="Q1205" s="82">
        <f>IFERROR(__xludf.DUMMYFUNCTION("""COMPUTED_VALUE"""),0.3777777777777779)</f>
        <v>0.3777777778</v>
      </c>
      <c r="R1205" s="82">
        <f>IFERROR(__xludf.DUMMYFUNCTION("""COMPUTED_VALUE"""),1.1111111111111112)</f>
        <v>1.111111111</v>
      </c>
      <c r="S1205" s="82">
        <f>IFERROR(__xludf.DUMMYFUNCTION("""COMPUTED_VALUE"""),2.111111111111111)</f>
        <v>2.111111111</v>
      </c>
      <c r="T1205" s="82">
        <f>IFERROR(__xludf.DUMMYFUNCTION("""COMPUTED_VALUE"""),352.34299942627837)</f>
        <v>352.3429994</v>
      </c>
      <c r="U1205" s="82">
        <f>IFERROR(__xludf.DUMMYFUNCTION("""COMPUTED_VALUE"""),0.8122547994424539)</f>
        <v>0.8122547994</v>
      </c>
      <c r="V1205" s="82">
        <f>IFERROR(__xludf.DUMMYFUNCTION("""COMPUTED_VALUE"""),0.5469890755319623)</f>
        <v>0.5469890755</v>
      </c>
      <c r="W1205" s="82">
        <f>IFERROR(__xludf.DUMMYFUNCTION("""COMPUTED_VALUE"""),1.3169866396092387)</f>
        <v>1.31698664</v>
      </c>
      <c r="X1205" s="82">
        <f>IFERROR(__xludf.DUMMYFUNCTION("""COMPUTED_VALUE"""),2.646484192636923)</f>
        <v>2.646484193</v>
      </c>
      <c r="Y1205" s="82">
        <f>IFERROR(__xludf.DUMMYFUNCTION("""COMPUTED_VALUE"""),357.4525442932469)</f>
        <v>357.4525443</v>
      </c>
      <c r="Z1205" s="82">
        <f>IFERROR(__xludf.DUMMYFUNCTION("""COMPUTED_VALUE"""),0.7934492036662204)</f>
        <v>0.7934492037</v>
      </c>
      <c r="AA1205" s="82">
        <f>IFERROR(__xludf.DUMMYFUNCTION("""COMPUTED_VALUE"""),0.5986150895615835)</f>
        <v>0.5986150896</v>
      </c>
      <c r="AB1205" s="82">
        <f>IFERROR(__xludf.DUMMYFUNCTION("""COMPUTED_VALUE"""),1.3741462457737408)</f>
        <v>1.374146246</v>
      </c>
      <c r="AC1205" s="82">
        <f>IFERROR(__xludf.DUMMYFUNCTION("""COMPUTED_VALUE"""),2.616669296839743)</f>
        <v>2.616669297</v>
      </c>
      <c r="AD1205" s="82">
        <f>IFERROR(__xludf.DUMMYFUNCTION("""COMPUTED_VALUE"""),1.1248113157555797)</f>
        <v>1.124811316</v>
      </c>
      <c r="AE1205" s="82">
        <f>IFERROR(__xludf.DUMMYFUNCTION("""COMPUTED_VALUE"""),1.260320125572486)</f>
        <v>1.260320126</v>
      </c>
      <c r="AF1205" s="82">
        <f>IFERROR(__xludf.DUMMYFUNCTION("""COMPUTED_VALUE"""),1.5591543708276587)</f>
        <v>1.559154371</v>
      </c>
      <c r="AG1205" s="82">
        <f>IFERROR(__xludf.DUMMYFUNCTION("""COMPUTED_VALUE"""),1.0188144124439256)</f>
        <v>1.018814412</v>
      </c>
      <c r="AH1205" s="82">
        <f>IFERROR(__xludf.DUMMYFUNCTION("""COMPUTED_VALUE"""),0.8917188489013091)</f>
        <v>0.8917188489</v>
      </c>
      <c r="AI1205" s="82">
        <f>IFERROR(__xludf.DUMMYFUNCTION("""COMPUTED_VALUE"""),0.8714361997951037)</f>
        <v>0.8714361998</v>
      </c>
      <c r="AJ1205" s="82">
        <f>IFERROR(__xludf.DUMMYFUNCTION("""COMPUTED_VALUE"""),0.766043146373929)</f>
        <v>0.7660431464</v>
      </c>
      <c r="AK1205" s="82">
        <f>IFERROR(__xludf.DUMMYFUNCTION("""COMPUTED_VALUE"""),0.6906495845650634)</f>
        <v>0.6906495846</v>
      </c>
      <c r="AL1205" s="82">
        <f>IFERROR(__xludf.DUMMYFUNCTION("""COMPUTED_VALUE"""),0.8436768283699426)</f>
        <v>0.8436768284</v>
      </c>
      <c r="AM1205" s="82">
        <f>IFERROR(__xludf.DUMMYFUNCTION("""COMPUTED_VALUE"""),0.7977040320076981)</f>
        <v>0.797704032</v>
      </c>
      <c r="AN1205" s="82">
        <f>IFERROR(__xludf.DUMMYFUNCTION("""COMPUTED_VALUE"""),1.1630410911777243)</f>
        <v>1.163041091</v>
      </c>
      <c r="AO1205" s="82">
        <f>IFERROR(__xludf.DUMMYFUNCTION("""COMPUTED_VALUE"""),1.3235164413454918)</f>
        <v>1.323516441</v>
      </c>
      <c r="AP1205" s="82">
        <f>IFERROR(__xludf.DUMMYFUNCTION("""COMPUTED_VALUE"""),1.6790871814639003)</f>
        <v>1.679087181</v>
      </c>
      <c r="AQ1205" s="82">
        <f>IFERROR(__xludf.DUMMYFUNCTION("""COMPUTED_VALUE"""),1.0347599610183418)</f>
        <v>1.034759961</v>
      </c>
      <c r="AR1205" s="82">
        <f>IFERROR(__xludf.DUMMYFUNCTION("""COMPUTED_VALUE"""),0.915207487009381)</f>
        <v>0.915207487</v>
      </c>
      <c r="AS1205" s="82">
        <f>IFERROR(__xludf.DUMMYFUNCTION("""COMPUTED_VALUE"""),49.0)</f>
        <v>49</v>
      </c>
      <c r="AT1205" s="82">
        <f>IFERROR(__xludf.DUMMYFUNCTION("""COMPUTED_VALUE"""),0.7099003657633652)</f>
        <v>0.7099003658</v>
      </c>
      <c r="AU1205" s="82">
        <f>IFERROR(__xludf.DUMMYFUNCTION("""COMPUTED_VALUE"""),2.972948477915431)</f>
        <v>2.972948478</v>
      </c>
      <c r="AV1205" s="82">
        <f>IFERROR(__xludf.DUMMYFUNCTION("""COMPUTED_VALUE"""),91.50312730119859)</f>
        <v>91.5031273</v>
      </c>
      <c r="AW1205" s="82">
        <f t="shared" si="1"/>
        <v>20.64211637</v>
      </c>
      <c r="AX1205" s="83">
        <f t="array" ref="AX1205">IFERROR(DGET('SBV Import'!A:G,"SBV",{"RSC ID","Tier";B1205,A1205}))</f>
        <v>83.87617807</v>
      </c>
      <c r="AY1205" s="82">
        <f t="shared" si="2"/>
        <v>11.40234317</v>
      </c>
      <c r="AZ1205" s="82">
        <v>9.239773198220455</v>
      </c>
      <c r="BA1205" s="84">
        <v>1200.0</v>
      </c>
      <c r="BB1205" s="84" t="b">
        <f>IFERROR(__xludf.DUMMYFUNCTION("iferror(if(A1205="""",,E1205&gt;=FILTER(Constants!$F$2:$F$10,Constants!$A$2:$A$10=A1205)))"),TRUE)</f>
        <v>1</v>
      </c>
    </row>
    <row r="1206">
      <c r="A1206" s="89" t="str">
        <f>IFERROR(__xludf.DUMMYFUNCTION("""COMPUTED_VALUE"""),"Veteran")</f>
        <v>Veteran</v>
      </c>
      <c r="B1206" s="87" t="str">
        <f>IFERROR(__xludf.DUMMYFUNCTION("""COMPUTED_VALUE"""),"RSC006945")</f>
        <v>RSC006945</v>
      </c>
      <c r="C1206" s="73" t="str">
        <f>IFERROR(__xludf.DUMMYFUNCTION("""COMPUTED_VALUE"""),"nuummite")</f>
        <v>nuummite</v>
      </c>
      <c r="D1206" s="73" t="str">
        <f>IFERROR(__xludf.DUMMYFUNCTION("""COMPUTED_VALUE"""),"Paradox Paloma")</f>
        <v>Paradox Paloma</v>
      </c>
      <c r="E1206" s="82">
        <f>IFERROR(__xludf.DUMMYFUNCTION("""COMPUTED_VALUE"""),48.0)</f>
        <v>48</v>
      </c>
      <c r="F1206" s="82">
        <f>IFERROR(__xludf.DUMMYFUNCTION("""COMPUTED_VALUE"""),30.0)</f>
        <v>30</v>
      </c>
      <c r="G1206" s="86">
        <f>IFERROR(__xludf.DUMMYFUNCTION("""COMPUTED_VALUE"""),18.0)</f>
        <v>18</v>
      </c>
      <c r="H1206" s="86">
        <f>IFERROR(__xludf.DUMMYFUNCTION("""COMPUTED_VALUE"""),0.625)</f>
        <v>0.625</v>
      </c>
      <c r="I1206" s="86">
        <f>IFERROR(__xludf.DUMMYFUNCTION("""COMPUTED_VALUE"""),0.31818181818181823)</f>
        <v>0.3181818182</v>
      </c>
      <c r="J1206" s="82">
        <f>IFERROR(__xludf.DUMMYFUNCTION("""COMPUTED_VALUE"""),409.9583333333333)</f>
        <v>409.9583333</v>
      </c>
      <c r="K1206" s="82">
        <f>IFERROR(__xludf.DUMMYFUNCTION("""COMPUTED_VALUE"""),1.1666666666666667)</f>
        <v>1.166666667</v>
      </c>
      <c r="L1206" s="82">
        <f>IFERROR(__xludf.DUMMYFUNCTION("""COMPUTED_VALUE"""),0.6458333333333334)</f>
        <v>0.6458333333</v>
      </c>
      <c r="M1206" s="82">
        <f>IFERROR(__xludf.DUMMYFUNCTION("""COMPUTED_VALUE"""),1.1875)</f>
        <v>1.1875</v>
      </c>
      <c r="N1206" s="82">
        <f>IFERROR(__xludf.DUMMYFUNCTION("""COMPUTED_VALUE"""),3.6666666666666665)</f>
        <v>3.666666667</v>
      </c>
      <c r="O1206" s="82">
        <f>IFERROR(__xludf.DUMMYFUNCTION("""COMPUTED_VALUE"""),370.04861111111103)</f>
        <v>370.0486111</v>
      </c>
      <c r="P1206" s="82">
        <f>IFERROR(__xludf.DUMMYFUNCTION("""COMPUTED_VALUE"""),0.7430555555555557)</f>
        <v>0.7430555556</v>
      </c>
      <c r="Q1206" s="82">
        <f>IFERROR(__xludf.DUMMYFUNCTION("""COMPUTED_VALUE"""),0.5763888888888888)</f>
        <v>0.5763888889</v>
      </c>
      <c r="R1206" s="82">
        <f>IFERROR(__xludf.DUMMYFUNCTION("""COMPUTED_VALUE"""),1.6458333333333333)</f>
        <v>1.645833333</v>
      </c>
      <c r="S1206" s="82">
        <f>IFERROR(__xludf.DUMMYFUNCTION("""COMPUTED_VALUE"""),2.541666666666667)</f>
        <v>2.541666667</v>
      </c>
      <c r="T1206" s="82">
        <f>IFERROR(__xludf.DUMMYFUNCTION("""COMPUTED_VALUE"""),358.4060457137385)</f>
        <v>358.4060457</v>
      </c>
      <c r="U1206" s="82">
        <f>IFERROR(__xludf.DUMMYFUNCTION("""COMPUTED_VALUE"""),0.7841275391017467)</f>
        <v>0.7841275391</v>
      </c>
      <c r="V1206" s="82">
        <f>IFERROR(__xludf.DUMMYFUNCTION("""COMPUTED_VALUE"""),0.576074458615064)</f>
        <v>0.5760744586</v>
      </c>
      <c r="W1206" s="82">
        <f>IFERROR(__xludf.DUMMYFUNCTION("""COMPUTED_VALUE"""),1.3945418795184015)</f>
        <v>1.39454188</v>
      </c>
      <c r="X1206" s="82">
        <f>IFERROR(__xludf.DUMMYFUNCTION("""COMPUTED_VALUE"""),2.5699879736593654)</f>
        <v>2.569987974</v>
      </c>
      <c r="Y1206" s="82">
        <f>IFERROR(__xludf.DUMMYFUNCTION("""COMPUTED_VALUE"""),353.6552627796262)</f>
        <v>353.6552628</v>
      </c>
      <c r="Z1206" s="82">
        <f>IFERROR(__xludf.DUMMYFUNCTION("""COMPUTED_VALUE"""),0.7972746076988436)</f>
        <v>0.7972746077</v>
      </c>
      <c r="AA1206" s="82">
        <f>IFERROR(__xludf.DUMMYFUNCTION("""COMPUTED_VALUE"""),0.5845740712602071)</f>
        <v>0.5845740713</v>
      </c>
      <c r="AB1206" s="82">
        <f>IFERROR(__xludf.DUMMYFUNCTION("""COMPUTED_VALUE"""),1.3147564387683095)</f>
        <v>1.314756439</v>
      </c>
      <c r="AC1206" s="82">
        <f>IFERROR(__xludf.DUMMYFUNCTION("""COMPUTED_VALUE"""),2.635948485634124)</f>
        <v>2.635948486</v>
      </c>
      <c r="AD1206" s="82">
        <f>IFERROR(__xludf.DUMMYFUNCTION("""COMPUTED_VALUE"""),1.1592032594430564)</f>
        <v>1.159203259</v>
      </c>
      <c r="AE1206" s="82">
        <f>IFERROR(__xludf.DUMMYFUNCTION("""COMPUTED_VALUE"""),1.4633184794809801)</f>
        <v>1.463318479</v>
      </c>
      <c r="AF1206" s="82">
        <f>IFERROR(__xludf.DUMMYFUNCTION("""COMPUTED_VALUE"""),1.104792985328729)</f>
        <v>1.104792985</v>
      </c>
      <c r="AG1206" s="82">
        <f>IFERROR(__xludf.DUMMYFUNCTION("""COMPUTED_VALUE"""),0.9032091153799361)</f>
        <v>0.9032091154</v>
      </c>
      <c r="AH1206" s="82">
        <f>IFERROR(__xludf.DUMMYFUNCTION("""COMPUTED_VALUE"""),1.3910236435385364)</f>
        <v>1.391023644</v>
      </c>
      <c r="AI1206" s="82">
        <f>IFERROR(__xludf.DUMMYFUNCTION("""COMPUTED_VALUE"""),1.0324842885230556)</f>
        <v>1.032484289</v>
      </c>
      <c r="AJ1206" s="82">
        <f>IFERROR(__xludf.DUMMYFUNCTION("""COMPUTED_VALUE"""),0.9476207868005238)</f>
        <v>0.9476207868</v>
      </c>
      <c r="AK1206" s="82">
        <f>IFERROR(__xludf.DUMMYFUNCTION("""COMPUTED_VALUE"""),1.0005458153353661)</f>
        <v>1.000545815</v>
      </c>
      <c r="AL1206" s="82">
        <f>IFERROR(__xludf.DUMMYFUNCTION("""COMPUTED_VALUE"""),1.1801964197028734)</f>
        <v>1.18019642</v>
      </c>
      <c r="AM1206" s="82">
        <f>IFERROR(__xludf.DUMMYFUNCTION("""COMPUTED_VALUE"""),0.9889799846213396)</f>
        <v>0.9889799846</v>
      </c>
      <c r="AN1206" s="82">
        <f>IFERROR(__xludf.DUMMYFUNCTION("""COMPUTED_VALUE"""),1.1858689786206298)</f>
        <v>1.185868979</v>
      </c>
      <c r="AO1206" s="82">
        <f>IFERROR(__xludf.DUMMYFUNCTION("""COMPUTED_VALUE"""),1.544102514903074)</f>
        <v>1.544102515</v>
      </c>
      <c r="AP1206" s="82">
        <f>IFERROR(__xludf.DUMMYFUNCTION("""COMPUTED_VALUE"""),1.161868362173681)</f>
        <v>1.161868362</v>
      </c>
      <c r="AQ1206" s="82">
        <f>IFERROR(__xludf.DUMMYFUNCTION("""COMPUTED_VALUE"""),0.877698181220915)</f>
        <v>0.8776981812</v>
      </c>
      <c r="AR1206" s="82">
        <f>IFERROR(__xludf.DUMMYFUNCTION("""COMPUTED_VALUE"""),1.4381831938718843)</f>
        <v>1.438183194</v>
      </c>
      <c r="AS1206" s="82">
        <f>IFERROR(__xludf.DUMMYFUNCTION("""COMPUTED_VALUE"""),125.0)</f>
        <v>125</v>
      </c>
      <c r="AT1206" s="82">
        <f>IFERROR(__xludf.DUMMYFUNCTION("""COMPUTED_VALUE"""),0.5607929390890145)</f>
        <v>0.5607929391</v>
      </c>
      <c r="AU1206" s="82">
        <f>IFERROR(__xludf.DUMMYFUNCTION("""COMPUTED_VALUE"""),2.941127378676548)</f>
        <v>2.941127379</v>
      </c>
      <c r="AV1206" s="82">
        <f>IFERROR(__xludf.DUMMYFUNCTION("""COMPUTED_VALUE"""),90.36545637834112)</f>
        <v>90.36545638</v>
      </c>
      <c r="AW1206" s="82">
        <f t="shared" si="1"/>
        <v>18.79816035</v>
      </c>
      <c r="AX1206" s="83">
        <f t="array" ref="AX1206">IFERROR(DGET('SBV Import'!A:G,"SBV",{"RSC ID","Tier";B1206,A1206}))</f>
        <v>70.91387656</v>
      </c>
      <c r="AY1206" s="82">
        <f t="shared" si="2"/>
        <v>4.964716826</v>
      </c>
      <c r="AZ1206" s="82">
        <v>13.833443528463059</v>
      </c>
      <c r="BA1206" s="84">
        <v>1200.0</v>
      </c>
      <c r="BB1206" s="84" t="b">
        <f>IFERROR(__xludf.DUMMYFUNCTION("iferror(if(A1206="""",,E1206&gt;=FILTER(Constants!$F$2:$F$10,Constants!$A$2:$A$10=A1206)))"),TRUE)</f>
        <v>1</v>
      </c>
    </row>
    <row r="1207">
      <c r="A1207" s="89" t="str">
        <f>IFERROR(__xludf.DUMMYFUNCTION("""COMPUTED_VALUE"""),"Veteran")</f>
        <v>Veteran</v>
      </c>
      <c r="B1207" s="87" t="str">
        <f>IFERROR(__xludf.DUMMYFUNCTION("""COMPUTED_VALUE"""),"RSC007811")</f>
        <v>RSC007811</v>
      </c>
      <c r="C1207" s="73" t="str">
        <f>IFERROR(__xludf.DUMMYFUNCTION("""COMPUTED_VALUE"""),"Gray")</f>
        <v>Gray</v>
      </c>
      <c r="D1207" s="73" t="str">
        <f>IFERROR(__xludf.DUMMYFUNCTION("""COMPUTED_VALUE"""),"Gorillas")</f>
        <v>Gorillas</v>
      </c>
      <c r="E1207" s="82">
        <f>IFERROR(__xludf.DUMMYFUNCTION("""COMPUTED_VALUE"""),48.0)</f>
        <v>48</v>
      </c>
      <c r="F1207" s="82">
        <f>IFERROR(__xludf.DUMMYFUNCTION("""COMPUTED_VALUE"""),25.0)</f>
        <v>25</v>
      </c>
      <c r="G1207" s="86">
        <f>IFERROR(__xludf.DUMMYFUNCTION("""COMPUTED_VALUE"""),23.0)</f>
        <v>23</v>
      </c>
      <c r="H1207" s="86">
        <f>IFERROR(__xludf.DUMMYFUNCTION("""COMPUTED_VALUE"""),0.5208333333333334)</f>
        <v>0.5208333333</v>
      </c>
      <c r="I1207" s="86">
        <f>IFERROR(__xludf.DUMMYFUNCTION("""COMPUTED_VALUE"""),0.3668639053254438)</f>
        <v>0.3668639053</v>
      </c>
      <c r="J1207" s="82">
        <f>IFERROR(__xludf.DUMMYFUNCTION("""COMPUTED_VALUE"""),428.6458333333333)</f>
        <v>428.6458333</v>
      </c>
      <c r="K1207" s="82">
        <f>IFERROR(__xludf.DUMMYFUNCTION("""COMPUTED_VALUE"""),1.2916666666666667)</f>
        <v>1.291666667</v>
      </c>
      <c r="L1207" s="82">
        <f>IFERROR(__xludf.DUMMYFUNCTION("""COMPUTED_VALUE"""),0.4375)</f>
        <v>0.4375</v>
      </c>
      <c r="M1207" s="82">
        <f>IFERROR(__xludf.DUMMYFUNCTION("""COMPUTED_VALUE"""),1.4375)</f>
        <v>1.4375</v>
      </c>
      <c r="N1207" s="82">
        <f>IFERROR(__xludf.DUMMYFUNCTION("""COMPUTED_VALUE"""),3.5208333333333335)</f>
        <v>3.520833333</v>
      </c>
      <c r="O1207" s="82">
        <f>IFERROR(__xludf.DUMMYFUNCTION("""COMPUTED_VALUE"""),348.2222222222222)</f>
        <v>348.2222222</v>
      </c>
      <c r="P1207" s="82">
        <f>IFERROR(__xludf.DUMMYFUNCTION("""COMPUTED_VALUE"""),0.7638888888888892)</f>
        <v>0.7638888889</v>
      </c>
      <c r="Q1207" s="82">
        <f>IFERROR(__xludf.DUMMYFUNCTION("""COMPUTED_VALUE"""),0.5347222222222223)</f>
        <v>0.5347222222</v>
      </c>
      <c r="R1207" s="82">
        <f>IFERROR(__xludf.DUMMYFUNCTION("""COMPUTED_VALUE"""),1.4374999999999998)</f>
        <v>1.4375</v>
      </c>
      <c r="S1207" s="82">
        <f>IFERROR(__xludf.DUMMYFUNCTION("""COMPUTED_VALUE"""),2.4444444444444446)</f>
        <v>2.444444444</v>
      </c>
      <c r="T1207" s="82">
        <f>IFERROR(__xludf.DUMMYFUNCTION("""COMPUTED_VALUE"""),352.08397359989266)</f>
        <v>352.0839736</v>
      </c>
      <c r="U1207" s="82">
        <f>IFERROR(__xludf.DUMMYFUNCTION("""COMPUTED_VALUE"""),0.7753080445982747)</f>
        <v>0.7753080446</v>
      </c>
      <c r="V1207" s="82">
        <f>IFERROR(__xludf.DUMMYFUNCTION("""COMPUTED_VALUE"""),0.569631845881312)</f>
        <v>0.5696318459</v>
      </c>
      <c r="W1207" s="82">
        <f>IFERROR(__xludf.DUMMYFUNCTION("""COMPUTED_VALUE"""),1.3555657442868407)</f>
        <v>1.355565744</v>
      </c>
      <c r="X1207" s="82">
        <f>IFERROR(__xludf.DUMMYFUNCTION("""COMPUTED_VALUE"""),2.6651999717564814)</f>
        <v>2.665199972</v>
      </c>
      <c r="Y1207" s="82">
        <f>IFERROR(__xludf.DUMMYFUNCTION("""COMPUTED_VALUE"""),363.03290202115244)</f>
        <v>363.032902</v>
      </c>
      <c r="Z1207" s="82">
        <f>IFERROR(__xludf.DUMMYFUNCTION("""COMPUTED_VALUE"""),0.8156920149736814)</f>
        <v>0.815692015</v>
      </c>
      <c r="AA1207" s="82">
        <f>IFERROR(__xludf.DUMMYFUNCTION("""COMPUTED_VALUE"""),0.613771778153689)</f>
        <v>0.6137717782</v>
      </c>
      <c r="AB1207" s="82">
        <f>IFERROR(__xludf.DUMMYFUNCTION("""COMPUTED_VALUE"""),1.396098854679189)</f>
        <v>1.396098855</v>
      </c>
      <c r="AC1207" s="82">
        <f>IFERROR(__xludf.DUMMYFUNCTION("""COMPUTED_VALUE"""),2.617702210573915)</f>
        <v>2.617702211</v>
      </c>
      <c r="AD1207" s="82">
        <f>IFERROR(__xludf.DUMMYFUNCTION("""COMPUTED_VALUE"""),1.1807354951765718)</f>
        <v>1.180735495</v>
      </c>
      <c r="AE1207" s="82">
        <f>IFERROR(__xludf.DUMMYFUNCTION("""COMPUTED_VALUE"""),1.5835225096672583)</f>
        <v>1.58352251</v>
      </c>
      <c r="AF1207" s="82">
        <f>IFERROR(__xludf.DUMMYFUNCTION("""COMPUTED_VALUE"""),0.7128056642096855)</f>
        <v>0.7128056642</v>
      </c>
      <c r="AG1207" s="82">
        <f>IFERROR(__xludf.DUMMYFUNCTION("""COMPUTED_VALUE"""),1.0296548809434591)</f>
        <v>1.029654881</v>
      </c>
      <c r="AH1207" s="82">
        <f>IFERROR(__xludf.DUMMYFUNCTION("""COMPUTED_VALUE"""),1.3450091149066998)</f>
        <v>1.345009115</v>
      </c>
      <c r="AI1207" s="82">
        <f>IFERROR(__xludf.DUMMYFUNCTION("""COMPUTED_VALUE"""),0.9890317320093105)</f>
        <v>0.989031732</v>
      </c>
      <c r="AJ1207" s="82">
        <f>IFERROR(__xludf.DUMMYFUNCTION("""COMPUTED_VALUE"""),0.9852714597907953)</f>
        <v>0.9852714598</v>
      </c>
      <c r="AK1207" s="82">
        <f>IFERROR(__xludf.DUMMYFUNCTION("""COMPUTED_VALUE"""),0.9387154634848779)</f>
        <v>0.9387154635</v>
      </c>
      <c r="AL1207" s="82">
        <f>IFERROR(__xludf.DUMMYFUNCTION("""COMPUTED_VALUE"""),1.0604428490897462)</f>
        <v>1.060442849</v>
      </c>
      <c r="AM1207" s="82">
        <f>IFERROR(__xludf.DUMMYFUNCTION("""COMPUTED_VALUE"""),0.9171711204969925)</f>
        <v>0.9171711205</v>
      </c>
      <c r="AN1207" s="82">
        <f>IFERROR(__xludf.DUMMYFUNCTION("""COMPUTED_VALUE"""),1.239925512507341)</f>
        <v>1.239925513</v>
      </c>
      <c r="AO1207" s="82">
        <f>IFERROR(__xludf.DUMMYFUNCTION("""COMPUTED_VALUE"""),1.7095420700712605)</f>
        <v>1.70954207</v>
      </c>
      <c r="AP1207" s="82">
        <f>IFERROR(__xludf.DUMMYFUNCTION("""COMPUTED_VALUE"""),0.7870721163112032)</f>
        <v>0.7870721163</v>
      </c>
      <c r="AQ1207" s="82">
        <f>IFERROR(__xludf.DUMMYFUNCTION("""COMPUTED_VALUE"""),1.062476745688476)</f>
        <v>1.062476746</v>
      </c>
      <c r="AR1207" s="82">
        <f>IFERROR(__xludf.DUMMYFUNCTION("""COMPUTED_VALUE"""),1.3809827259337981)</f>
        <v>1.380982726</v>
      </c>
      <c r="AS1207" s="82">
        <f>IFERROR(__xludf.DUMMYFUNCTION("""COMPUTED_VALUE"""),130.0)</f>
        <v>130</v>
      </c>
      <c r="AT1207" s="82">
        <f>IFERROR(__xludf.DUMMYFUNCTION("""COMPUTED_VALUE"""),0.5658973313578336)</f>
        <v>0.5658973314</v>
      </c>
      <c r="AU1207" s="82">
        <f>IFERROR(__xludf.DUMMYFUNCTION("""COMPUTED_VALUE"""),2.8723062833287756)</f>
        <v>2.872306283</v>
      </c>
      <c r="AV1207" s="82">
        <f>IFERROR(__xludf.DUMMYFUNCTION("""COMPUTED_VALUE"""),87.90495812626652)</f>
        <v>87.90495813</v>
      </c>
      <c r="AW1207" s="82">
        <f t="shared" si="1"/>
        <v>15.44768812</v>
      </c>
      <c r="AX1207" s="83">
        <f t="array" ref="AX1207">IFERROR(DGET('SBV Import'!A:G,"SBV",{"RSC ID","Tier";B1207,A1207}))</f>
        <v>78.22689677</v>
      </c>
      <c r="AY1207" s="82">
        <f t="shared" si="2"/>
        <v>7.72601006</v>
      </c>
      <c r="AZ1207" s="82">
        <v>7.7216780598093075</v>
      </c>
      <c r="BA1207" s="84">
        <v>1200.0</v>
      </c>
      <c r="BB1207" s="84" t="b">
        <f>IFERROR(__xludf.DUMMYFUNCTION("iferror(if(A1207="""",,E1207&gt;=FILTER(Constants!$F$2:$F$10,Constants!$A$2:$A$10=A1207)))"),TRUE)</f>
        <v>1</v>
      </c>
    </row>
    <row r="1208">
      <c r="A1208" s="89" t="str">
        <f>IFERROR(__xludf.DUMMYFUNCTION("""COMPUTED_VALUE"""),"Veteran")</f>
        <v>Veteran</v>
      </c>
      <c r="B1208" s="87" t="str">
        <f>IFERROR(__xludf.DUMMYFUNCTION("""COMPUTED_VALUE"""),"RSC006417")</f>
        <v>RSC006417</v>
      </c>
      <c r="C1208" s="73" t="str">
        <f>IFERROR(__xludf.DUMMYFUNCTION("""COMPUTED_VALUE"""),"TangentOgive")</f>
        <v>TangentOgive</v>
      </c>
      <c r="D1208" s="73" t="str">
        <f>IFERROR(__xludf.DUMMYFUNCTION("""COMPUTED_VALUE"""),"Cannoli")</f>
        <v>Cannoli</v>
      </c>
      <c r="E1208" s="82">
        <f>IFERROR(__xludf.DUMMYFUNCTION("""COMPUTED_VALUE"""),48.0)</f>
        <v>48</v>
      </c>
      <c r="F1208" s="82">
        <f>IFERROR(__xludf.DUMMYFUNCTION("""COMPUTED_VALUE"""),28.0)</f>
        <v>28</v>
      </c>
      <c r="G1208" s="86">
        <f>IFERROR(__xludf.DUMMYFUNCTION("""COMPUTED_VALUE"""),20.0)</f>
        <v>20</v>
      </c>
      <c r="H1208" s="86">
        <f>IFERROR(__xludf.DUMMYFUNCTION("""COMPUTED_VALUE"""),0.5833333333333334)</f>
        <v>0.5833333333</v>
      </c>
      <c r="I1208" s="86">
        <f>IFERROR(__xludf.DUMMYFUNCTION("""COMPUTED_VALUE"""),0.24550898203592814)</f>
        <v>0.245508982</v>
      </c>
      <c r="J1208" s="82">
        <f>IFERROR(__xludf.DUMMYFUNCTION("""COMPUTED_VALUE"""),382.5208333333333)</f>
        <v>382.5208333</v>
      </c>
      <c r="K1208" s="82">
        <f>IFERROR(__xludf.DUMMYFUNCTION("""COMPUTED_VALUE"""),0.8541666666666666)</f>
        <v>0.8541666667</v>
      </c>
      <c r="L1208" s="82">
        <f>IFERROR(__xludf.DUMMYFUNCTION("""COMPUTED_VALUE"""),0.875)</f>
        <v>0.875</v>
      </c>
      <c r="M1208" s="82">
        <f>IFERROR(__xludf.DUMMYFUNCTION("""COMPUTED_VALUE"""),1.1458333333333333)</f>
        <v>1.145833333</v>
      </c>
      <c r="N1208" s="82">
        <f>IFERROR(__xludf.DUMMYFUNCTION("""COMPUTED_VALUE"""),3.4791666666666665)</f>
        <v>3.479166667</v>
      </c>
      <c r="O1208" s="82">
        <f>IFERROR(__xludf.DUMMYFUNCTION("""COMPUTED_VALUE"""),349.9583333333333)</f>
        <v>349.9583333</v>
      </c>
      <c r="P1208" s="82">
        <f>IFERROR(__xludf.DUMMYFUNCTION("""COMPUTED_VALUE"""),0.6805555555555557)</f>
        <v>0.6805555556</v>
      </c>
      <c r="Q1208" s="82">
        <f>IFERROR(__xludf.DUMMYFUNCTION("""COMPUTED_VALUE"""),0.46527777777777773)</f>
        <v>0.4652777778</v>
      </c>
      <c r="R1208" s="82">
        <f>IFERROR(__xludf.DUMMYFUNCTION("""COMPUTED_VALUE"""),1.6458333333333333)</f>
        <v>1.645833333</v>
      </c>
      <c r="S1208" s="82">
        <f>IFERROR(__xludf.DUMMYFUNCTION("""COMPUTED_VALUE"""),2.3749999999999996)</f>
        <v>2.375</v>
      </c>
      <c r="T1208" s="82">
        <f>IFERROR(__xludf.DUMMYFUNCTION("""COMPUTED_VALUE"""),358.6654856119631)</f>
        <v>358.6654856</v>
      </c>
      <c r="U1208" s="82">
        <f>IFERROR(__xludf.DUMMYFUNCTION("""COMPUTED_VALUE"""),0.8138401327333603)</f>
        <v>0.8138401327</v>
      </c>
      <c r="V1208" s="82">
        <f>IFERROR(__xludf.DUMMYFUNCTION("""COMPUTED_VALUE"""),0.5650521882812525)</f>
        <v>0.5650521883</v>
      </c>
      <c r="W1208" s="82">
        <f>IFERROR(__xludf.DUMMYFUNCTION("""COMPUTED_VALUE"""),1.3790622736265201)</f>
        <v>1.379062274</v>
      </c>
      <c r="X1208" s="82">
        <f>IFERROR(__xludf.DUMMYFUNCTION("""COMPUTED_VALUE"""),2.6400407309876557)</f>
        <v>2.640040731</v>
      </c>
      <c r="Y1208" s="82">
        <f>IFERROR(__xludf.DUMMYFUNCTION("""COMPUTED_VALUE"""),355.11359166071423)</f>
        <v>355.1135917</v>
      </c>
      <c r="Z1208" s="82">
        <f>IFERROR(__xludf.DUMMYFUNCTION("""COMPUTED_VALUE"""),0.8044951128460084)</f>
        <v>0.8044951128</v>
      </c>
      <c r="AA1208" s="82">
        <f>IFERROR(__xludf.DUMMYFUNCTION("""COMPUTED_VALUE"""),0.5910675926744594)</f>
        <v>0.5910675927</v>
      </c>
      <c r="AB1208" s="82">
        <f>IFERROR(__xludf.DUMMYFUNCTION("""COMPUTED_VALUE"""),1.303181440997749)</f>
        <v>1.303181441</v>
      </c>
      <c r="AC1208" s="82">
        <f>IFERROR(__xludf.DUMMYFUNCTION("""COMPUTED_VALUE"""),2.68350293680216)</f>
        <v>2.683502937</v>
      </c>
      <c r="AD1208" s="82">
        <f>IFERROR(__xludf.DUMMYFUNCTION("""COMPUTED_VALUE"""),1.0771788022656277)</f>
        <v>1.077178802</v>
      </c>
      <c r="AE1208" s="82">
        <f>IFERROR(__xludf.DUMMYFUNCTION("""COMPUTED_VALUE"""),1.061742517794718)</f>
        <v>1.061742518</v>
      </c>
      <c r="AF1208" s="82">
        <f>IFERROR(__xludf.DUMMYFUNCTION("""COMPUTED_VALUE"""),1.4803721449873521)</f>
        <v>1.480372145</v>
      </c>
      <c r="AG1208" s="82">
        <f>IFERROR(__xludf.DUMMYFUNCTION("""COMPUTED_VALUE"""),0.8792584802742848)</f>
        <v>0.8792584803</v>
      </c>
      <c r="AH1208" s="82">
        <f>IFERROR(__xludf.DUMMYFUNCTION("""COMPUTED_VALUE"""),1.2965019038930778)</f>
        <v>1.296501904</v>
      </c>
      <c r="AI1208" s="82">
        <f>IFERROR(__xludf.DUMMYFUNCTION("""COMPUTED_VALUE"""),0.975723473186238)</f>
        <v>0.9757234732</v>
      </c>
      <c r="AJ1208" s="82">
        <f>IFERROR(__xludf.DUMMYFUNCTION("""COMPUTED_VALUE"""),0.8362275687607644)</f>
        <v>0.8362275688</v>
      </c>
      <c r="AK1208" s="82">
        <f>IFERROR(__xludf.DUMMYFUNCTION("""COMPUTED_VALUE"""),0.8234244330475676)</f>
        <v>0.823424433</v>
      </c>
      <c r="AL1208" s="82">
        <f>IFERROR(__xludf.DUMMYFUNCTION("""COMPUTED_VALUE"""),1.1934438094701012)</f>
        <v>1.193443809</v>
      </c>
      <c r="AM1208" s="82">
        <f>IFERROR(__xludf.DUMMYFUNCTION("""COMPUTED_VALUE"""),0.8996073326154697)</f>
        <v>0.8996073326</v>
      </c>
      <c r="AN1208" s="82">
        <f>IFERROR(__xludf.DUMMYFUNCTION("""COMPUTED_VALUE"""),1.1065016930812777)</f>
        <v>1.106501693</v>
      </c>
      <c r="AO1208" s="82">
        <f>IFERROR(__xludf.DUMMYFUNCTION("""COMPUTED_VALUE"""),1.1305036269826076)</f>
        <v>1.130503627</v>
      </c>
      <c r="AP1208" s="82">
        <f>IFERROR(__xludf.DUMMYFUNCTION("""COMPUTED_VALUE"""),1.5741442326224064)</f>
        <v>1.574144233</v>
      </c>
      <c r="AQ1208" s="82">
        <f>IFERROR(__xludf.DUMMYFUNCTION("""COMPUTED_VALUE"""),0.8469017538096548)</f>
        <v>0.8469017538</v>
      </c>
      <c r="AR1208" s="82">
        <f>IFERROR(__xludf.DUMMYFUNCTION("""COMPUTED_VALUE"""),1.3646397350943447)</f>
        <v>1.364639735</v>
      </c>
      <c r="AS1208" s="82">
        <f>IFERROR(__xludf.DUMMYFUNCTION("""COMPUTED_VALUE"""),134.0)</f>
        <v>134</v>
      </c>
      <c r="AT1208" s="82">
        <f>IFERROR(__xludf.DUMMYFUNCTION("""COMPUTED_VALUE"""),0.6205190254304361)</f>
        <v>0.6205190254</v>
      </c>
      <c r="AU1208" s="82">
        <f>IFERROR(__xludf.DUMMYFUNCTION("""COMPUTED_VALUE"""),2.815420841954655)</f>
        <v>2.815420842</v>
      </c>
      <c r="AV1208" s="82">
        <f>IFERROR(__xludf.DUMMYFUNCTION("""COMPUTED_VALUE"""),85.87118449389081)</f>
        <v>85.87118449</v>
      </c>
      <c r="AW1208" s="82">
        <f t="shared" si="1"/>
        <v>13.21609833</v>
      </c>
      <c r="AX1208" s="83">
        <f t="array" ref="AX1208">IFERROR(DGET('SBV Import'!A:G,"SBV",{"RSC ID","Tier";B1208,A1208}))</f>
        <v>70.38045667</v>
      </c>
      <c r="AY1208" s="82">
        <f t="shared" si="2"/>
        <v>4.819888206</v>
      </c>
      <c r="AZ1208" s="82">
        <v>8.39621012851555</v>
      </c>
      <c r="BA1208" s="84">
        <v>1200.0</v>
      </c>
      <c r="BB1208" s="84" t="b">
        <f>IFERROR(__xludf.DUMMYFUNCTION("iferror(if(A1208="""",,E1208&gt;=FILTER(Constants!$F$2:$F$10,Constants!$A$2:$A$10=A1208)))"),TRUE)</f>
        <v>1</v>
      </c>
    </row>
    <row r="1209">
      <c r="A1209" s="89" t="str">
        <f>IFERROR(__xludf.DUMMYFUNCTION("""COMPUTED_VALUE"""),"Veteran")</f>
        <v>Veteran</v>
      </c>
      <c r="B1209" s="87" t="str">
        <f>IFERROR(__xludf.DUMMYFUNCTION("""COMPUTED_VALUE"""),"RSC006978")</f>
        <v>RSC006978</v>
      </c>
      <c r="C1209" s="73" t="str">
        <f>IFERROR(__xludf.DUMMYFUNCTION("""COMPUTED_VALUE"""),"Tuhlur.")</f>
        <v>Tuhlur.</v>
      </c>
      <c r="D1209" s="73" t="str">
        <f>IFERROR(__xludf.DUMMYFUNCTION("""COMPUTED_VALUE"""),"Dog Fighters")</f>
        <v>Dog Fighters</v>
      </c>
      <c r="E1209" s="82">
        <f>IFERROR(__xludf.DUMMYFUNCTION("""COMPUTED_VALUE"""),24.0)</f>
        <v>24</v>
      </c>
      <c r="F1209" s="82">
        <f>IFERROR(__xludf.DUMMYFUNCTION("""COMPUTED_VALUE"""),14.0)</f>
        <v>14</v>
      </c>
      <c r="G1209" s="86">
        <f>IFERROR(__xludf.DUMMYFUNCTION("""COMPUTED_VALUE"""),10.0)</f>
        <v>10</v>
      </c>
      <c r="H1209" s="86">
        <f>IFERROR(__xludf.DUMMYFUNCTION("""COMPUTED_VALUE"""),0.5833333333333334)</f>
        <v>0.5833333333</v>
      </c>
      <c r="I1209" s="86">
        <f>IFERROR(__xludf.DUMMYFUNCTION("""COMPUTED_VALUE"""),0.2708333333333333)</f>
        <v>0.2708333333</v>
      </c>
      <c r="J1209" s="82">
        <f>IFERROR(__xludf.DUMMYFUNCTION("""COMPUTED_VALUE"""),387.25)</f>
        <v>387.25</v>
      </c>
      <c r="K1209" s="82">
        <f>IFERROR(__xludf.DUMMYFUNCTION("""COMPUTED_VALUE"""),1.0833333333333333)</f>
        <v>1.083333333</v>
      </c>
      <c r="L1209" s="82">
        <f>IFERROR(__xludf.DUMMYFUNCTION("""COMPUTED_VALUE"""),0.4583333333333333)</f>
        <v>0.4583333333</v>
      </c>
      <c r="M1209" s="82">
        <f>IFERROR(__xludf.DUMMYFUNCTION("""COMPUTED_VALUE"""),1.125)</f>
        <v>1.125</v>
      </c>
      <c r="N1209" s="82">
        <f>IFERROR(__xludf.DUMMYFUNCTION("""COMPUTED_VALUE"""),4.0)</f>
        <v>4</v>
      </c>
      <c r="O1209" s="82">
        <f>IFERROR(__xludf.DUMMYFUNCTION("""COMPUTED_VALUE"""),344.5)</f>
        <v>344.5</v>
      </c>
      <c r="P1209" s="82">
        <f>IFERROR(__xludf.DUMMYFUNCTION("""COMPUTED_VALUE"""),0.5972222222222222)</f>
        <v>0.5972222222</v>
      </c>
      <c r="Q1209" s="82">
        <f>IFERROR(__xludf.DUMMYFUNCTION("""COMPUTED_VALUE"""),0.4305555555555556)</f>
        <v>0.4305555556</v>
      </c>
      <c r="R1209" s="82">
        <f>IFERROR(__xludf.DUMMYFUNCTION("""COMPUTED_VALUE"""),1.5833333333333337)</f>
        <v>1.583333333</v>
      </c>
      <c r="S1209" s="82">
        <f>IFERROR(__xludf.DUMMYFUNCTION("""COMPUTED_VALUE"""),2.1250000000000004)</f>
        <v>2.125</v>
      </c>
      <c r="T1209" s="82">
        <f>IFERROR(__xludf.DUMMYFUNCTION("""COMPUTED_VALUE"""),333.50030824672024)</f>
        <v>333.5003082</v>
      </c>
      <c r="U1209" s="82">
        <f>IFERROR(__xludf.DUMMYFUNCTION("""COMPUTED_VALUE"""),0.6621947225266922)</f>
        <v>0.6621947225</v>
      </c>
      <c r="V1209" s="82">
        <f>IFERROR(__xludf.DUMMYFUNCTION("""COMPUTED_VALUE"""),0.5118405839476764)</f>
        <v>0.5118405839</v>
      </c>
      <c r="W1209" s="82">
        <f>IFERROR(__xludf.DUMMYFUNCTION("""COMPUTED_VALUE"""),1.354495208050363)</f>
        <v>1.354495208</v>
      </c>
      <c r="X1209" s="82">
        <f>IFERROR(__xludf.DUMMYFUNCTION("""COMPUTED_VALUE"""),2.39193224699882)</f>
        <v>2.391932247</v>
      </c>
      <c r="Y1209" s="82">
        <f>IFERROR(__xludf.DUMMYFUNCTION("""COMPUTED_VALUE"""),347.99528812759735)</f>
        <v>347.9952881</v>
      </c>
      <c r="Z1209" s="82">
        <f>IFERROR(__xludf.DUMMYFUNCTION("""COMPUTED_VALUE"""),0.7820898275224653)</f>
        <v>0.7820898275</v>
      </c>
      <c r="AA1209" s="82">
        <f>IFERROR(__xludf.DUMMYFUNCTION("""COMPUTED_VALUE"""),0.5753788281750049)</f>
        <v>0.5753788282</v>
      </c>
      <c r="AB1209" s="82">
        <f>IFERROR(__xludf.DUMMYFUNCTION("""COMPUTED_VALUE"""),1.3107116464097515)</f>
        <v>1.310711646</v>
      </c>
      <c r="AC1209" s="82">
        <f>IFERROR(__xludf.DUMMYFUNCTION("""COMPUTED_VALUE"""),2.6203092560213954)</f>
        <v>2.620309256</v>
      </c>
      <c r="AD1209" s="82">
        <f>IFERROR(__xludf.DUMMYFUNCTION("""COMPUTED_VALUE"""),1.1128024235144511)</f>
        <v>1.112802424</v>
      </c>
      <c r="AE1209" s="82">
        <f>IFERROR(__xludf.DUMMYFUNCTION("""COMPUTED_VALUE"""),1.3851776294868314)</f>
        <v>1.385177629</v>
      </c>
      <c r="AF1209" s="82">
        <f>IFERROR(__xludf.DUMMYFUNCTION("""COMPUTED_VALUE"""),0.796576639406566)</f>
        <v>0.7965766394</v>
      </c>
      <c r="AG1209" s="82">
        <f>IFERROR(__xludf.DUMMYFUNCTION("""COMPUTED_VALUE"""),0.8583123550336603)</f>
        <v>0.858312355</v>
      </c>
      <c r="AH1209" s="82">
        <f>IFERROR(__xludf.DUMMYFUNCTION("""COMPUTED_VALUE"""),1.526537369895601)</f>
        <v>1.52653737</v>
      </c>
      <c r="AI1209" s="82">
        <f>IFERROR(__xludf.DUMMYFUNCTION("""COMPUTED_VALUE"""),1.032982553482806)</f>
        <v>1.032982553</v>
      </c>
      <c r="AJ1209" s="82">
        <f>IFERROR(__xludf.DUMMYFUNCTION("""COMPUTED_VALUE"""),0.9018830895290757)</f>
        <v>0.9018830895</v>
      </c>
      <c r="AK1209" s="82">
        <f>IFERROR(__xludf.DUMMYFUNCTION("""COMPUTED_VALUE"""),0.8411907321510279)</f>
        <v>0.8411907322</v>
      </c>
      <c r="AL1209" s="82">
        <f>IFERROR(__xludf.DUMMYFUNCTION("""COMPUTED_VALUE"""),1.1689471649090264)</f>
        <v>1.168947165</v>
      </c>
      <c r="AM1209" s="82">
        <f>IFERROR(__xludf.DUMMYFUNCTION("""COMPUTED_VALUE"""),0.8884030902908133)</f>
        <v>0.8884030903</v>
      </c>
      <c r="AN1209" s="82">
        <f>IFERROR(__xludf.DUMMYFUNCTION("""COMPUTED_VALUE"""),1.120181551712586)</f>
        <v>1.120181552</v>
      </c>
      <c r="AO1209" s="82">
        <f>IFERROR(__xludf.DUMMYFUNCTION("""COMPUTED_VALUE"""),1.4338094781242827)</f>
        <v>1.433809478</v>
      </c>
      <c r="AP1209" s="82">
        <f>IFERROR(__xludf.DUMMYFUNCTION("""COMPUTED_VALUE"""),0.824551740897451)</f>
        <v>0.8245517409</v>
      </c>
      <c r="AQ1209" s="82">
        <f>IFERROR(__xludf.DUMMYFUNCTION("""COMPUTED_VALUE"""),0.8315035401040247)</f>
        <v>0.8315035401</v>
      </c>
      <c r="AR1209" s="82">
        <f>IFERROR(__xludf.DUMMYFUNCTION("""COMPUTED_VALUE"""),1.5689271205875102)</f>
        <v>1.568927121</v>
      </c>
      <c r="AS1209" s="82">
        <f>IFERROR(__xludf.DUMMYFUNCTION("""COMPUTED_VALUE"""),57.0)</f>
        <v>57</v>
      </c>
      <c r="AT1209" s="82">
        <f>IFERROR(__xludf.DUMMYFUNCTION("""COMPUTED_VALUE"""),0.6045645799383165)</f>
        <v>0.6045645799</v>
      </c>
      <c r="AU1209" s="82">
        <f>IFERROR(__xludf.DUMMYFUNCTION("""COMPUTED_VALUE"""),2.7667928781050835)</f>
        <v>2.766792878</v>
      </c>
      <c r="AV1209" s="82">
        <f>IFERROR(__xludf.DUMMYFUNCTION("""COMPUTED_VALUE"""),84.13263297201809)</f>
        <v>84.13263297</v>
      </c>
      <c r="AW1209" s="82">
        <f t="shared" si="1"/>
        <v>11.61729553</v>
      </c>
      <c r="AX1209" s="83">
        <f t="array" ref="AX1209">IFERROR(DGET('SBV Import'!A:G,"SBV",{"RSC ID","Tier";B1209,A1209}))</f>
        <v>80.89282331</v>
      </c>
      <c r="AY1209" s="82">
        <f t="shared" si="2"/>
        <v>9.235090315</v>
      </c>
      <c r="AZ1209" s="82">
        <v>2.3822052111830736</v>
      </c>
      <c r="BA1209" s="84">
        <v>1200.0</v>
      </c>
      <c r="BB1209" s="84" t="b">
        <f>IFERROR(__xludf.DUMMYFUNCTION("iferror(if(A1209="""",,E1209&gt;=FILTER(Constants!$F$2:$F$10,Constants!$A$2:$A$10=A1209)))"),TRUE)</f>
        <v>1</v>
      </c>
    </row>
    <row r="1210">
      <c r="A1210" s="89" t="str">
        <f>IFERROR(__xludf.DUMMYFUNCTION("""COMPUTED_VALUE"""),"Veteran")</f>
        <v>Veteran</v>
      </c>
      <c r="B1210" s="87" t="str">
        <f>IFERROR(__xludf.DUMMYFUNCTION("""COMPUTED_VALUE"""),"RSC005734")</f>
        <v>RSC005734</v>
      </c>
      <c r="C1210" s="73" t="str">
        <f>IFERROR(__xludf.DUMMYFUNCTION("""COMPUTED_VALUE"""),"Bas Radala")</f>
        <v>Bas Radala</v>
      </c>
      <c r="D1210" s="73" t="str">
        <f>IFERROR(__xludf.DUMMYFUNCTION("""COMPUTED_VALUE"""),"Possessed")</f>
        <v>Possessed</v>
      </c>
      <c r="E1210" s="82">
        <f>IFERROR(__xludf.DUMMYFUNCTION("""COMPUTED_VALUE"""),36.0)</f>
        <v>36</v>
      </c>
      <c r="F1210" s="82">
        <f>IFERROR(__xludf.DUMMYFUNCTION("""COMPUTED_VALUE"""),19.0)</f>
        <v>19</v>
      </c>
      <c r="G1210" s="86">
        <f>IFERROR(__xludf.DUMMYFUNCTION("""COMPUTED_VALUE"""),17.0)</f>
        <v>17</v>
      </c>
      <c r="H1210" s="86">
        <f>IFERROR(__xludf.DUMMYFUNCTION("""COMPUTED_VALUE"""),0.5277777777777778)</f>
        <v>0.5277777778</v>
      </c>
      <c r="I1210" s="86">
        <f>IFERROR(__xludf.DUMMYFUNCTION("""COMPUTED_VALUE"""),0.35000000000000003)</f>
        <v>0.35</v>
      </c>
      <c r="J1210" s="82">
        <f>IFERROR(__xludf.DUMMYFUNCTION("""COMPUTED_VALUE"""),428.1111111111111)</f>
        <v>428.1111111</v>
      </c>
      <c r="K1210" s="82">
        <f>IFERROR(__xludf.DUMMYFUNCTION("""COMPUTED_VALUE"""),1.1666666666666667)</f>
        <v>1.166666667</v>
      </c>
      <c r="L1210" s="82">
        <f>IFERROR(__xludf.DUMMYFUNCTION("""COMPUTED_VALUE"""),0.5555555555555556)</f>
        <v>0.5555555556</v>
      </c>
      <c r="M1210" s="82">
        <f>IFERROR(__xludf.DUMMYFUNCTION("""COMPUTED_VALUE"""),1.4444444444444444)</f>
        <v>1.444444444</v>
      </c>
      <c r="N1210" s="82">
        <f>IFERROR(__xludf.DUMMYFUNCTION("""COMPUTED_VALUE"""),3.3333333333333335)</f>
        <v>3.333333333</v>
      </c>
      <c r="O1210" s="82">
        <f>IFERROR(__xludf.DUMMYFUNCTION("""COMPUTED_VALUE"""),360.5925925925927)</f>
        <v>360.5925926</v>
      </c>
      <c r="P1210" s="82">
        <f>IFERROR(__xludf.DUMMYFUNCTION("""COMPUTED_VALUE"""),0.7592592592592594)</f>
        <v>0.7592592593</v>
      </c>
      <c r="Q1210" s="82">
        <f>IFERROR(__xludf.DUMMYFUNCTION("""COMPUTED_VALUE"""),0.5648148148148148)</f>
        <v>0.5648148148</v>
      </c>
      <c r="R1210" s="82">
        <f>IFERROR(__xludf.DUMMYFUNCTION("""COMPUTED_VALUE"""),1.5185185185185188)</f>
        <v>1.518518519</v>
      </c>
      <c r="S1210" s="82">
        <f>IFERROR(__xludf.DUMMYFUNCTION("""COMPUTED_VALUE"""),2.5462962962962967)</f>
        <v>2.546296296</v>
      </c>
      <c r="T1210" s="82">
        <f>IFERROR(__xludf.DUMMYFUNCTION("""COMPUTED_VALUE"""),344.76865516810153)</f>
        <v>344.7686552</v>
      </c>
      <c r="U1210" s="82">
        <f>IFERROR(__xludf.DUMMYFUNCTION("""COMPUTED_VALUE"""),0.7281462599494194)</f>
        <v>0.7281462599</v>
      </c>
      <c r="V1210" s="82">
        <f>IFERROR(__xludf.DUMMYFUNCTION("""COMPUTED_VALUE"""),0.5318202524773253)</f>
        <v>0.5318202525</v>
      </c>
      <c r="W1210" s="82">
        <f>IFERROR(__xludf.DUMMYFUNCTION("""COMPUTED_VALUE"""),1.3753126954286445)</f>
        <v>1.375312695</v>
      </c>
      <c r="X1210" s="82">
        <f>IFERROR(__xludf.DUMMYFUNCTION("""COMPUTED_VALUE"""),2.498159407351324)</f>
        <v>2.498159407</v>
      </c>
      <c r="Y1210" s="82">
        <f>IFERROR(__xludf.DUMMYFUNCTION("""COMPUTED_VALUE"""),354.3595618781915)</f>
        <v>354.3595619</v>
      </c>
      <c r="Z1210" s="82">
        <f>IFERROR(__xludf.DUMMYFUNCTION("""COMPUTED_VALUE"""),0.8073822614285909)</f>
        <v>0.8073822614</v>
      </c>
      <c r="AA1210" s="82">
        <f>IFERROR(__xludf.DUMMYFUNCTION("""COMPUTED_VALUE"""),0.6019112166817991)</f>
        <v>0.6019112167</v>
      </c>
      <c r="AB1210" s="82">
        <f>IFERROR(__xludf.DUMMYFUNCTION("""COMPUTED_VALUE"""),1.304013655060771)</f>
        <v>1.304013655</v>
      </c>
      <c r="AC1210" s="82">
        <f>IFERROR(__xludf.DUMMYFUNCTION("""COMPUTED_VALUE"""),2.683617405969798)</f>
        <v>2.683617406</v>
      </c>
      <c r="AD1210" s="82">
        <f>IFERROR(__xludf.DUMMYFUNCTION("""COMPUTED_VALUE"""),1.2081263134033084)</f>
        <v>1.208126313</v>
      </c>
      <c r="AE1210" s="82">
        <f>IFERROR(__xludf.DUMMYFUNCTION("""COMPUTED_VALUE"""),1.4449991316410074)</f>
        <v>1.444999132</v>
      </c>
      <c r="AF1210" s="82">
        <f>IFERROR(__xludf.DUMMYFUNCTION("""COMPUTED_VALUE"""),0.9229858825662165)</f>
        <v>0.9229858826</v>
      </c>
      <c r="AG1210" s="82">
        <f>IFERROR(__xludf.DUMMYFUNCTION("""COMPUTED_VALUE"""),1.107691195440073)</f>
        <v>1.107691195</v>
      </c>
      <c r="AH1210" s="82">
        <f>IFERROR(__xludf.DUMMYFUNCTION("""COMPUTED_VALUE"""),1.242104528729848)</f>
        <v>1.242104529</v>
      </c>
      <c r="AI1210" s="82">
        <f>IFERROR(__xludf.DUMMYFUNCTION("""COMPUTED_VALUE"""),1.0458972623737381)</f>
        <v>1.045897262</v>
      </c>
      <c r="AJ1210" s="82">
        <f>IFERROR(__xludf.DUMMYFUNCTION("""COMPUTED_VALUE"""),1.0427290518693335)</f>
        <v>1.042729052</v>
      </c>
      <c r="AK1210" s="82">
        <f>IFERROR(__xludf.DUMMYFUNCTION("""COMPUTED_VALUE"""),1.0620408158278933)</f>
        <v>1.062040816</v>
      </c>
      <c r="AL1210" s="82">
        <f>IFERROR(__xludf.DUMMYFUNCTION("""COMPUTED_VALUE"""),1.1041260097182781)</f>
        <v>1.10412601</v>
      </c>
      <c r="AM1210" s="82">
        <f>IFERROR(__xludf.DUMMYFUNCTION("""COMPUTED_VALUE"""),1.0192689420872505)</f>
        <v>1.019268942</v>
      </c>
      <c r="AN1210" s="82">
        <f>IFERROR(__xludf.DUMMYFUNCTION("""COMPUTED_VALUE"""),1.2383787443507908)</f>
        <v>1.238378744</v>
      </c>
      <c r="AO1210" s="82">
        <f>IFERROR(__xludf.DUMMYFUNCTION("""COMPUTED_VALUE"""),1.544102514903074)</f>
        <v>1.544102515</v>
      </c>
      <c r="AP1210" s="82">
        <f>IFERROR(__xludf.DUMMYFUNCTION("""COMPUTED_VALUE"""),0.999456655633274)</f>
        <v>0.9994566556</v>
      </c>
      <c r="AQ1210" s="82">
        <f>IFERROR(__xludf.DUMMYFUNCTION("""COMPUTED_VALUE"""),1.0676094835903527)</f>
        <v>1.067609484</v>
      </c>
      <c r="AR1210" s="82">
        <f>IFERROR(__xludf.DUMMYFUNCTION("""COMPUTED_VALUE"""),1.3074392671562585)</f>
        <v>1.307439267</v>
      </c>
      <c r="AS1210" s="82">
        <f>IFERROR(__xludf.DUMMYFUNCTION("""COMPUTED_VALUE"""),86.0)</f>
        <v>86</v>
      </c>
      <c r="AT1210" s="82">
        <f>IFERROR(__xludf.DUMMYFUNCTION("""COMPUTED_VALUE"""),0.5185186381498567)</f>
        <v>0.5185186381</v>
      </c>
      <c r="AU1210" s="82">
        <f>IFERROR(__xludf.DUMMYFUNCTION("""COMPUTED_VALUE"""),2.7031030086815293)</f>
        <v>2.703103009</v>
      </c>
      <c r="AV1210" s="82">
        <f>IFERROR(__xludf.DUMMYFUNCTION("""COMPUTED_VALUE"""),81.85558679018068)</f>
        <v>81.85558679</v>
      </c>
      <c r="AW1210" s="82">
        <f t="shared" si="1"/>
        <v>9.872436806</v>
      </c>
      <c r="AX1210" s="83">
        <f t="array" ref="AX1210">IFERROR(DGET('SBV Import'!A:G,"SBV",{"RSC ID","Tier";B1210,A1210}))</f>
        <v>80.14398021</v>
      </c>
      <c r="AY1210" s="82">
        <f t="shared" si="2"/>
        <v>8.775380396</v>
      </c>
      <c r="AZ1210" s="82">
        <v>1.097056410318892</v>
      </c>
      <c r="BA1210" s="84">
        <v>1200.0</v>
      </c>
      <c r="BB1210" s="84" t="b">
        <f>IFERROR(__xludf.DUMMYFUNCTION("iferror(if(A1210="""",,E1210&gt;=FILTER(Constants!$F$2:$F$10,Constants!$A$2:$A$10=A1210)))"),TRUE)</f>
        <v>1</v>
      </c>
    </row>
    <row r="1211">
      <c r="A1211" s="89" t="str">
        <f>IFERROR(__xludf.DUMMYFUNCTION("""COMPUTED_VALUE"""),"Veteran")</f>
        <v>Veteran</v>
      </c>
      <c r="B1211" s="87" t="str">
        <f>IFERROR(__xludf.DUMMYFUNCTION("""COMPUTED_VALUE"""),"RSC006909")</f>
        <v>RSC006909</v>
      </c>
      <c r="C1211" s="73" t="str">
        <f>IFERROR(__xludf.DUMMYFUNCTION("""COMPUTED_VALUE"""),"Dewby")</f>
        <v>Dewby</v>
      </c>
      <c r="D1211" s="73" t="str">
        <f>IFERROR(__xludf.DUMMYFUNCTION("""COMPUTED_VALUE"""),"Singularity")</f>
        <v>Singularity</v>
      </c>
      <c r="E1211" s="82">
        <f>IFERROR(__xludf.DUMMYFUNCTION("""COMPUTED_VALUE"""),33.0)</f>
        <v>33</v>
      </c>
      <c r="F1211" s="82">
        <f>IFERROR(__xludf.DUMMYFUNCTION("""COMPUTED_VALUE"""),17.0)</f>
        <v>17</v>
      </c>
      <c r="G1211" s="86">
        <f>IFERROR(__xludf.DUMMYFUNCTION("""COMPUTED_VALUE"""),16.0)</f>
        <v>16</v>
      </c>
      <c r="H1211" s="86">
        <f>IFERROR(__xludf.DUMMYFUNCTION("""COMPUTED_VALUE"""),0.5151515151515151)</f>
        <v>0.5151515152</v>
      </c>
      <c r="I1211" s="86">
        <f>IFERROR(__xludf.DUMMYFUNCTION("""COMPUTED_VALUE"""),0.32038834951456313)</f>
        <v>0.3203883495</v>
      </c>
      <c r="J1211" s="82">
        <f>IFERROR(__xludf.DUMMYFUNCTION("""COMPUTED_VALUE"""),394.57575757575756)</f>
        <v>394.5757576</v>
      </c>
      <c r="K1211" s="82">
        <f>IFERROR(__xludf.DUMMYFUNCTION("""COMPUTED_VALUE"""),1.0)</f>
        <v>1</v>
      </c>
      <c r="L1211" s="82">
        <f>IFERROR(__xludf.DUMMYFUNCTION("""COMPUTED_VALUE"""),0.6666666666666666)</f>
        <v>0.6666666667</v>
      </c>
      <c r="M1211" s="82">
        <f>IFERROR(__xludf.DUMMYFUNCTION("""COMPUTED_VALUE"""),1.3636363636363635)</f>
        <v>1.363636364</v>
      </c>
      <c r="N1211" s="82">
        <f>IFERROR(__xludf.DUMMYFUNCTION("""COMPUTED_VALUE"""),3.121212121212121)</f>
        <v>3.121212121</v>
      </c>
      <c r="O1211" s="82">
        <f>IFERROR(__xludf.DUMMYFUNCTION("""COMPUTED_VALUE"""),360.0707070707072)</f>
        <v>360.0707071</v>
      </c>
      <c r="P1211" s="82">
        <f>IFERROR(__xludf.DUMMYFUNCTION("""COMPUTED_VALUE"""),0.7575757575757575)</f>
        <v>0.7575757576</v>
      </c>
      <c r="Q1211" s="82">
        <f>IFERROR(__xludf.DUMMYFUNCTION("""COMPUTED_VALUE"""),0.5757575757575757)</f>
        <v>0.5757575758</v>
      </c>
      <c r="R1211" s="82">
        <f>IFERROR(__xludf.DUMMYFUNCTION("""COMPUTED_VALUE"""),1.4444444444444444)</f>
        <v>1.444444444</v>
      </c>
      <c r="S1211" s="82">
        <f>IFERROR(__xludf.DUMMYFUNCTION("""COMPUTED_VALUE"""),2.7979797979797976)</f>
        <v>2.797979798</v>
      </c>
      <c r="T1211" s="82">
        <f>IFERROR(__xludf.DUMMYFUNCTION("""COMPUTED_VALUE"""),355.34127169425796)</f>
        <v>355.3412717</v>
      </c>
      <c r="U1211" s="82">
        <f>IFERROR(__xludf.DUMMYFUNCTION("""COMPUTED_VALUE"""),0.7919823945894199)</f>
        <v>0.7919823946</v>
      </c>
      <c r="V1211" s="82">
        <f>IFERROR(__xludf.DUMMYFUNCTION("""COMPUTED_VALUE"""),0.5834112094341479)</f>
        <v>0.5834112094</v>
      </c>
      <c r="W1211" s="82">
        <f>IFERROR(__xludf.DUMMYFUNCTION("""COMPUTED_VALUE"""),1.3329306296789536)</f>
        <v>1.33293063</v>
      </c>
      <c r="X1211" s="82">
        <f>IFERROR(__xludf.DUMMYFUNCTION("""COMPUTED_VALUE"""),2.688327634941596)</f>
        <v>2.688327635</v>
      </c>
      <c r="Y1211" s="82">
        <f>IFERROR(__xludf.DUMMYFUNCTION("""COMPUTED_VALUE"""),349.4550832092217)</f>
        <v>349.4550832</v>
      </c>
      <c r="Z1211" s="82">
        <f>IFERROR(__xludf.DUMMYFUNCTION("""COMPUTED_VALUE"""),0.7306007335222333)</f>
        <v>0.7306007335</v>
      </c>
      <c r="AA1211" s="82">
        <f>IFERROR(__xludf.DUMMYFUNCTION("""COMPUTED_VALUE"""),0.534894506680316)</f>
        <v>0.5348945067</v>
      </c>
      <c r="AB1211" s="82">
        <f>IFERROR(__xludf.DUMMYFUNCTION("""COMPUTED_VALUE"""),1.4148788070331115)</f>
        <v>1.414878807</v>
      </c>
      <c r="AC1211" s="82">
        <f>IFERROR(__xludf.DUMMYFUNCTION("""COMPUTED_VALUE"""),2.515429192000739)</f>
        <v>2.515429192</v>
      </c>
      <c r="AD1211" s="82">
        <f>IFERROR(__xludf.DUMMYFUNCTION("""COMPUTED_VALUE"""),1.1291172357608024)</f>
        <v>1.129117236</v>
      </c>
      <c r="AE1211" s="82">
        <f>IFERROR(__xludf.DUMMYFUNCTION("""COMPUTED_VALUE"""),1.3687366493310102)</f>
        <v>1.368736649</v>
      </c>
      <c r="AF1211" s="82">
        <f>IFERROR(__xludf.DUMMYFUNCTION("""COMPUTED_VALUE"""),1.246351679332361)</f>
        <v>1.246351679</v>
      </c>
      <c r="AG1211" s="82">
        <f>IFERROR(__xludf.DUMMYFUNCTION("""COMPUTED_VALUE"""),0.9637831571566194)</f>
        <v>0.9637831572</v>
      </c>
      <c r="AH1211" s="82">
        <f>IFERROR(__xludf.DUMMYFUNCTION("""COMPUTED_VALUE"""),1.2408268661021424)</f>
        <v>1.240826866</v>
      </c>
      <c r="AI1211" s="82">
        <f>IFERROR(__xludf.DUMMYFUNCTION("""COMPUTED_VALUE"""),1.0133095583124905)</f>
        <v>1.013309558</v>
      </c>
      <c r="AJ1211" s="82">
        <f>IFERROR(__xludf.DUMMYFUNCTION("""COMPUTED_VALUE"""),0.9565563107857978)</f>
        <v>0.9565563108</v>
      </c>
      <c r="AK1211" s="82">
        <f>IFERROR(__xludf.DUMMYFUNCTION("""COMPUTED_VALUE"""),0.9868812365055593)</f>
        <v>0.9868812365</v>
      </c>
      <c r="AL1211" s="82">
        <f>IFERROR(__xludf.DUMMYFUNCTION("""COMPUTED_VALUE"""),1.083660628904859)</f>
        <v>1.083660629</v>
      </c>
      <c r="AM1211" s="82">
        <f>IFERROR(__xludf.DUMMYFUNCTION("""COMPUTED_VALUE"""),1.0407882438185716)</f>
        <v>1.040788244</v>
      </c>
      <c r="AN1211" s="82">
        <f>IFERROR(__xludf.DUMMYFUNCTION("""COMPUTED_VALUE"""),1.1413724580745803)</f>
        <v>1.141372458</v>
      </c>
      <c r="AO1211" s="82">
        <f>IFERROR(__xludf.DUMMYFUNCTION("""COMPUTED_VALUE"""),1.3235164413454918)</f>
        <v>1.323516441</v>
      </c>
      <c r="AP1211" s="82">
        <f>IFERROR(__xludf.DUMMYFUNCTION("""COMPUTED_VALUE"""),1.1993479867599286)</f>
        <v>1.199347987</v>
      </c>
      <c r="AQ1211" s="82">
        <f>IFERROR(__xludf.DUMMYFUNCTION("""COMPUTED_VALUE"""),1.0078830789139692)</f>
        <v>1.007883079</v>
      </c>
      <c r="AR1211" s="82">
        <f>IFERROR(__xludf.DUMMYFUNCTION("""COMPUTED_VALUE"""),1.224238586519042)</f>
        <v>1.224238587</v>
      </c>
      <c r="AS1211" s="82">
        <f>IFERROR(__xludf.DUMMYFUNCTION("""COMPUTED_VALUE"""),80.0)</f>
        <v>80</v>
      </c>
      <c r="AT1211" s="82">
        <f>IFERROR(__xludf.DUMMYFUNCTION("""COMPUTED_VALUE"""),0.5251307012736764)</f>
        <v>0.5251307013</v>
      </c>
      <c r="AU1211" s="82">
        <f>IFERROR(__xludf.DUMMYFUNCTION("""COMPUTED_VALUE"""),2.674475997530291)</f>
        <v>2.674475998</v>
      </c>
      <c r="AV1211" s="82">
        <f>IFERROR(__xludf.DUMMYFUNCTION("""COMPUTED_VALUE"""),80.83211120404238)</f>
        <v>80.8321112</v>
      </c>
      <c r="AW1211" s="82">
        <f t="shared" si="1"/>
        <v>9.196685266</v>
      </c>
      <c r="AX1211" s="83">
        <f t="array" ref="AX1211">IFERROR(DGET('SBV Import'!A:G,"SBV",{"RSC ID","Tier";B1211,A1211}))</f>
        <v>59.4920158</v>
      </c>
      <c r="AY1211" s="82">
        <f t="shared" si="2"/>
        <v>2.840172829</v>
      </c>
      <c r="AZ1211" s="82">
        <v>6.356512437367828</v>
      </c>
      <c r="BA1211" s="84">
        <v>1200.0</v>
      </c>
      <c r="BB1211" s="84" t="b">
        <f>IFERROR(__xludf.DUMMYFUNCTION("iferror(if(A1211="""",,E1211&gt;=FILTER(Constants!$F$2:$F$10,Constants!$A$2:$A$10=A1211)))"),TRUE)</f>
        <v>1</v>
      </c>
    </row>
    <row r="1212">
      <c r="A1212" s="89" t="str">
        <f>IFERROR(__xludf.DUMMYFUNCTION("""COMPUTED_VALUE"""),"Veteran")</f>
        <v>Veteran</v>
      </c>
      <c r="B1212" s="87" t="str">
        <f>IFERROR(__xludf.DUMMYFUNCTION("""COMPUTED_VALUE"""),"RSC004917")</f>
        <v>RSC004917</v>
      </c>
      <c r="C1212" s="73" t="str">
        <f>IFERROR(__xludf.DUMMYFUNCTION("""COMPUTED_VALUE"""),"Nahzey")</f>
        <v>Nahzey</v>
      </c>
      <c r="D1212" s="73" t="str">
        <f>IFERROR(__xludf.DUMMYFUNCTION("""COMPUTED_VALUE"""),"Dog Fighters")</f>
        <v>Dog Fighters</v>
      </c>
      <c r="E1212" s="82">
        <f>IFERROR(__xludf.DUMMYFUNCTION("""COMPUTED_VALUE"""),37.0)</f>
        <v>37</v>
      </c>
      <c r="F1212" s="82">
        <f>IFERROR(__xludf.DUMMYFUNCTION("""COMPUTED_VALUE"""),22.0)</f>
        <v>22</v>
      </c>
      <c r="G1212" s="86">
        <f>IFERROR(__xludf.DUMMYFUNCTION("""COMPUTED_VALUE"""),15.0)</f>
        <v>15</v>
      </c>
      <c r="H1212" s="86">
        <f>IFERROR(__xludf.DUMMYFUNCTION("""COMPUTED_VALUE"""),0.5945945945945946)</f>
        <v>0.5945945946</v>
      </c>
      <c r="I1212" s="86">
        <f>IFERROR(__xludf.DUMMYFUNCTION("""COMPUTED_VALUE"""),0.35294117647058826)</f>
        <v>0.3529411765</v>
      </c>
      <c r="J1212" s="82">
        <f>IFERROR(__xludf.DUMMYFUNCTION("""COMPUTED_VALUE"""),375.7837837837838)</f>
        <v>375.7837838</v>
      </c>
      <c r="K1212" s="82">
        <f>IFERROR(__xludf.DUMMYFUNCTION("""COMPUTED_VALUE"""),0.972972972972973)</f>
        <v>0.972972973</v>
      </c>
      <c r="L1212" s="82">
        <f>IFERROR(__xludf.DUMMYFUNCTION("""COMPUTED_VALUE"""),0.6756756756756757)</f>
        <v>0.6756756757</v>
      </c>
      <c r="M1212" s="82">
        <f>IFERROR(__xludf.DUMMYFUNCTION("""COMPUTED_VALUE"""),1.2972972972972974)</f>
        <v>1.297297297</v>
      </c>
      <c r="N1212" s="82">
        <f>IFERROR(__xludf.DUMMYFUNCTION("""COMPUTED_VALUE"""),2.7567567567567566)</f>
        <v>2.756756757</v>
      </c>
      <c r="O1212" s="82">
        <f>IFERROR(__xludf.DUMMYFUNCTION("""COMPUTED_VALUE"""),331.8468468468469)</f>
        <v>331.8468468</v>
      </c>
      <c r="P1212" s="82">
        <f>IFERROR(__xludf.DUMMYFUNCTION("""COMPUTED_VALUE"""),0.5855855855855855)</f>
        <v>0.5855855856</v>
      </c>
      <c r="Q1212" s="82">
        <f>IFERROR(__xludf.DUMMYFUNCTION("""COMPUTED_VALUE"""),0.43243243243243246)</f>
        <v>0.4324324324</v>
      </c>
      <c r="R1212" s="82">
        <f>IFERROR(__xludf.DUMMYFUNCTION("""COMPUTED_VALUE"""),1.4234234234234233)</f>
        <v>1.423423423</v>
      </c>
      <c r="S1212" s="82">
        <f>IFERROR(__xludf.DUMMYFUNCTION("""COMPUTED_VALUE"""),2.3693693693693696)</f>
        <v>2.369369369</v>
      </c>
      <c r="T1212" s="82">
        <f>IFERROR(__xludf.DUMMYFUNCTION("""COMPUTED_VALUE"""),354.96852343495726)</f>
        <v>354.9685234</v>
      </c>
      <c r="U1212" s="82">
        <f>IFERROR(__xludf.DUMMYFUNCTION("""COMPUTED_VALUE"""),0.7795501272350933)</f>
        <v>0.7795501272</v>
      </c>
      <c r="V1212" s="82">
        <f>IFERROR(__xludf.DUMMYFUNCTION("""COMPUTED_VALUE"""),0.5884555767524312)</f>
        <v>0.5884555768</v>
      </c>
      <c r="W1212" s="82">
        <f>IFERROR(__xludf.DUMMYFUNCTION("""COMPUTED_VALUE"""),1.3661860608123817)</f>
        <v>1.366186061</v>
      </c>
      <c r="X1212" s="82">
        <f>IFERROR(__xludf.DUMMYFUNCTION("""COMPUTED_VALUE"""),2.6010723344053996)</f>
        <v>2.601072334</v>
      </c>
      <c r="Y1212" s="82">
        <f>IFERROR(__xludf.DUMMYFUNCTION("""COMPUTED_VALUE"""),350.9592729564762)</f>
        <v>350.959273</v>
      </c>
      <c r="Z1212" s="82">
        <f>IFERROR(__xludf.DUMMYFUNCTION("""COMPUTED_VALUE"""),0.7674800179469473)</f>
        <v>0.7674800179</v>
      </c>
      <c r="AA1212" s="82">
        <f>IFERROR(__xludf.DUMMYFUNCTION("""COMPUTED_VALUE"""),0.5601375986711556)</f>
        <v>0.5601375987</v>
      </c>
      <c r="AB1212" s="82">
        <f>IFERROR(__xludf.DUMMYFUNCTION("""COMPUTED_VALUE"""),1.3563365504185279)</f>
        <v>1.35633655</v>
      </c>
      <c r="AC1212" s="82">
        <f>IFERROR(__xludf.DUMMYFUNCTION("""COMPUTED_VALUE"""),2.6121600209253826)</f>
        <v>2.612160021</v>
      </c>
      <c r="AD1212" s="82">
        <f>IFERROR(__xludf.DUMMYFUNCTION("""COMPUTED_VALUE"""),1.0707333093614717)</f>
        <v>1.070733309</v>
      </c>
      <c r="AE1212" s="82">
        <f>IFERROR(__xludf.DUMMYFUNCTION("""COMPUTED_VALUE"""),1.2677502348213978)</f>
        <v>1.267750235</v>
      </c>
      <c r="AF1212" s="82">
        <f>IFERROR(__xludf.DUMMYFUNCTION("""COMPUTED_VALUE"""),1.206267312315076)</f>
        <v>1.206267312</v>
      </c>
      <c r="AG1212" s="82">
        <f>IFERROR(__xludf.DUMMYFUNCTION("""COMPUTED_VALUE"""),0.9564715312707509)</f>
        <v>0.9564715313</v>
      </c>
      <c r="AH1212" s="82">
        <f>IFERROR(__xludf.DUMMYFUNCTION("""COMPUTED_VALUE"""),1.0553552365372123)</f>
        <v>1.055355237</v>
      </c>
      <c r="AI1212" s="82">
        <f>IFERROR(__xludf.DUMMYFUNCTION("""COMPUTED_VALUE"""),0.9348627411682404)</f>
        <v>0.9348627412</v>
      </c>
      <c r="AJ1212" s="82">
        <f>IFERROR(__xludf.DUMMYFUNCTION("""COMPUTED_VALUE"""),0.7511840036028717)</f>
        <v>0.7511840036</v>
      </c>
      <c r="AK1212" s="82">
        <f>IFERROR(__xludf.DUMMYFUNCTION("""COMPUTED_VALUE"""),0.734859944431049)</f>
        <v>0.7348599444</v>
      </c>
      <c r="AL1212" s="82">
        <f>IFERROR(__xludf.DUMMYFUNCTION("""COMPUTED_VALUE"""),1.0418957302031073)</f>
        <v>1.04189573</v>
      </c>
      <c r="AM1212" s="82">
        <f>IFERROR(__xludf.DUMMYFUNCTION("""COMPUTED_VALUE"""),0.9109202147240565)</f>
        <v>0.9109202147</v>
      </c>
      <c r="AN1212" s="82">
        <f>IFERROR(__xludf.DUMMYFUNCTION("""COMPUTED_VALUE"""),1.0870137173075425)</f>
        <v>1.087013717</v>
      </c>
      <c r="AO1212" s="82">
        <f>IFERROR(__xludf.DUMMYFUNCTION("""COMPUTED_VALUE"""),1.2877457267145327)</f>
        <v>1.287745727</v>
      </c>
      <c r="AP1212" s="82">
        <f>IFERROR(__xludf.DUMMYFUNCTION("""COMPUTED_VALUE"""),1.2155553919864142)</f>
        <v>1.215555392</v>
      </c>
      <c r="AQ1212" s="82">
        <f>IFERROR(__xludf.DUMMYFUNCTION("""COMPUTED_VALUE"""),0.9588509291289655)</f>
        <v>0.9588509291</v>
      </c>
      <c r="AR1212" s="82">
        <f>IFERROR(__xludf.DUMMYFUNCTION("""COMPUTED_VALUE"""),1.0812876101346354)</f>
        <v>1.08128761</v>
      </c>
      <c r="AS1212" s="82">
        <f>IFERROR(__xludf.DUMMYFUNCTION("""COMPUTED_VALUE"""),96.0)</f>
        <v>96</v>
      </c>
      <c r="AT1212" s="82">
        <f>IFERROR(__xludf.DUMMYFUNCTION("""COMPUTED_VALUE"""),0.644445414185441)</f>
        <v>0.6444454142</v>
      </c>
      <c r="AU1212" s="82">
        <f>IFERROR(__xludf.DUMMYFUNCTION("""COMPUTED_VALUE"""),2.6692116406083315)</f>
        <v>2.669211641</v>
      </c>
      <c r="AV1212" s="82">
        <f>IFERROR(__xludf.DUMMYFUNCTION("""COMPUTED_VALUE"""),80.64389942189443)</f>
        <v>80.64389942</v>
      </c>
      <c r="AW1212" s="82">
        <f t="shared" si="1"/>
        <v>9.078920036</v>
      </c>
      <c r="AX1212" s="83">
        <f t="array" ref="AX1212">IFERROR(DGET('SBV Import'!A:G,"SBV",{"RSC ID","Tier";B1212,A1212}))</f>
        <v>65.04502562</v>
      </c>
      <c r="AY1212" s="82">
        <f t="shared" si="2"/>
        <v>3.654258921</v>
      </c>
      <c r="AZ1212" s="82">
        <v>5.424661114720481</v>
      </c>
      <c r="BA1212" s="84">
        <v>1200.0</v>
      </c>
      <c r="BB1212" s="84" t="b">
        <f>IFERROR(__xludf.DUMMYFUNCTION("iferror(if(A1212="""",,E1212&gt;=FILTER(Constants!$F$2:$F$10,Constants!$A$2:$A$10=A1212)))"),TRUE)</f>
        <v>1</v>
      </c>
    </row>
    <row r="1213">
      <c r="A1213" s="89" t="str">
        <f>IFERROR(__xludf.DUMMYFUNCTION("""COMPUTED_VALUE"""),"Veteran")</f>
        <v>Veteran</v>
      </c>
      <c r="B1213" s="87" t="str">
        <f>IFERROR(__xludf.DUMMYFUNCTION("""COMPUTED_VALUE"""),"RSC002544")</f>
        <v>RSC002544</v>
      </c>
      <c r="C1213" s="73" t="str">
        <f>IFERROR(__xludf.DUMMYFUNCTION("""COMPUTED_VALUE"""),"J.")</f>
        <v>J.</v>
      </c>
      <c r="D1213" s="73" t="str">
        <f>IFERROR(__xludf.DUMMYFUNCTION("""COMPUTED_VALUE"""),"Makos")</f>
        <v>Makos</v>
      </c>
      <c r="E1213" s="82">
        <f>IFERROR(__xludf.DUMMYFUNCTION("""COMPUTED_VALUE"""),46.0)</f>
        <v>46</v>
      </c>
      <c r="F1213" s="82">
        <f>IFERROR(__xludf.DUMMYFUNCTION("""COMPUTED_VALUE"""),26.0)</f>
        <v>26</v>
      </c>
      <c r="G1213" s="86">
        <f>IFERROR(__xludf.DUMMYFUNCTION("""COMPUTED_VALUE"""),20.0)</f>
        <v>20</v>
      </c>
      <c r="H1213" s="86">
        <f>IFERROR(__xludf.DUMMYFUNCTION("""COMPUTED_VALUE"""),0.5652173913043478)</f>
        <v>0.5652173913</v>
      </c>
      <c r="I1213" s="86">
        <f>IFERROR(__xludf.DUMMYFUNCTION("""COMPUTED_VALUE"""),0.3197278911564626)</f>
        <v>0.3197278912</v>
      </c>
      <c r="J1213" s="82">
        <f>IFERROR(__xludf.DUMMYFUNCTION("""COMPUTED_VALUE"""),387.3695652173913)</f>
        <v>387.3695652</v>
      </c>
      <c r="K1213" s="82">
        <f>IFERROR(__xludf.DUMMYFUNCTION("""COMPUTED_VALUE"""),1.0217391304347827)</f>
        <v>1.02173913</v>
      </c>
      <c r="L1213" s="82">
        <f>IFERROR(__xludf.DUMMYFUNCTION("""COMPUTED_VALUE"""),0.6739130434782609)</f>
        <v>0.6739130435</v>
      </c>
      <c r="M1213" s="82">
        <f>IFERROR(__xludf.DUMMYFUNCTION("""COMPUTED_VALUE"""),1.4782608695652173)</f>
        <v>1.47826087</v>
      </c>
      <c r="N1213" s="82">
        <f>IFERROR(__xludf.DUMMYFUNCTION("""COMPUTED_VALUE"""),3.1956521739130435)</f>
        <v>3.195652174</v>
      </c>
      <c r="O1213" s="82">
        <f>IFERROR(__xludf.DUMMYFUNCTION("""COMPUTED_VALUE"""),369.7101449275361)</f>
        <v>369.7101449</v>
      </c>
      <c r="P1213" s="82">
        <f>IFERROR(__xludf.DUMMYFUNCTION("""COMPUTED_VALUE"""),0.8260869565217391)</f>
        <v>0.8260869565</v>
      </c>
      <c r="Q1213" s="82">
        <f>IFERROR(__xludf.DUMMYFUNCTION("""COMPUTED_VALUE"""),0.6086956521739131)</f>
        <v>0.6086956522</v>
      </c>
      <c r="R1213" s="82">
        <f>IFERROR(__xludf.DUMMYFUNCTION("""COMPUTED_VALUE"""),1.5072463768115945)</f>
        <v>1.507246377</v>
      </c>
      <c r="S1213" s="82">
        <f>IFERROR(__xludf.DUMMYFUNCTION("""COMPUTED_VALUE"""),2.6449275362318834)</f>
        <v>2.644927536</v>
      </c>
      <c r="T1213" s="82">
        <f>IFERROR(__xludf.DUMMYFUNCTION("""COMPUTED_VALUE"""),362.65101793285777)</f>
        <v>362.6510179</v>
      </c>
      <c r="U1213" s="82">
        <f>IFERROR(__xludf.DUMMYFUNCTION("""COMPUTED_VALUE"""),0.8313523563378149)</f>
        <v>0.8313523563</v>
      </c>
      <c r="V1213" s="82">
        <f>IFERROR(__xludf.DUMMYFUNCTION("""COMPUTED_VALUE"""),0.6276417030646548)</f>
        <v>0.6276417031</v>
      </c>
      <c r="W1213" s="82">
        <f>IFERROR(__xludf.DUMMYFUNCTION("""COMPUTED_VALUE"""),1.356044265287815)</f>
        <v>1.356044265</v>
      </c>
      <c r="X1213" s="82">
        <f>IFERROR(__xludf.DUMMYFUNCTION("""COMPUTED_VALUE"""),2.797803405391997)</f>
        <v>2.797803405</v>
      </c>
      <c r="Y1213" s="82">
        <f>IFERROR(__xludf.DUMMYFUNCTION("""COMPUTED_VALUE"""),356.2350894338876)</f>
        <v>356.2350894</v>
      </c>
      <c r="Z1213" s="82">
        <f>IFERROR(__xludf.DUMMYFUNCTION("""COMPUTED_VALUE"""),0.7790676095583361)</f>
        <v>0.7790676096</v>
      </c>
      <c r="AA1213" s="82">
        <f>IFERROR(__xludf.DUMMYFUNCTION("""COMPUTED_VALUE"""),0.5883593153183257)</f>
        <v>0.5883593153</v>
      </c>
      <c r="AB1213" s="82">
        <f>IFERROR(__xludf.DUMMYFUNCTION("""COMPUTED_VALUE"""),1.3997882400948387)</f>
        <v>1.39978824</v>
      </c>
      <c r="AC1213" s="82">
        <f>IFERROR(__xludf.DUMMYFUNCTION("""COMPUTED_VALUE"""),2.595342030666556)</f>
        <v>2.595342031</v>
      </c>
      <c r="AD1213" s="82">
        <f>IFERROR(__xludf.DUMMYFUNCTION("""COMPUTED_VALUE"""),1.0873986777467126)</f>
        <v>1.087398678</v>
      </c>
      <c r="AE1213" s="82">
        <f>IFERROR(__xludf.DUMMYFUNCTION("""COMPUTED_VALUE"""),1.3114896806119567)</f>
        <v>1.311489681</v>
      </c>
      <c r="AF1213" s="82">
        <f>IFERROR(__xludf.DUMMYFUNCTION("""COMPUTED_VALUE"""),1.1454106800597643)</f>
        <v>1.14541068</v>
      </c>
      <c r="AG1213" s="82">
        <f>IFERROR(__xludf.DUMMYFUNCTION("""COMPUTED_VALUE"""),1.056060357718866)</f>
        <v>1.056060358</v>
      </c>
      <c r="AH1213" s="82">
        <f>IFERROR(__xludf.DUMMYFUNCTION("""COMPUTED_VALUE"""),1.2313029019501953)</f>
        <v>1.231302902</v>
      </c>
      <c r="AI1213" s="82">
        <f>IFERROR(__xludf.DUMMYFUNCTION("""COMPUTED_VALUE"""),1.0194653444926638)</f>
        <v>1.019465344</v>
      </c>
      <c r="AJ1213" s="82">
        <f>IFERROR(__xludf.DUMMYFUNCTION("""COMPUTED_VALUE"""),0.9936664643145172)</f>
        <v>0.9936664643</v>
      </c>
      <c r="AK1213" s="82">
        <f>IFERROR(__xludf.DUMMYFUNCTION("""COMPUTED_VALUE"""),0.9698139068863146)</f>
        <v>0.9698139069</v>
      </c>
      <c r="AL1213" s="82">
        <f>IFERROR(__xludf.DUMMYFUNCTION("""COMPUTED_VALUE"""),1.1115023420652772)</f>
        <v>1.111502342</v>
      </c>
      <c r="AM1213" s="82">
        <f>IFERROR(__xludf.DUMMYFUNCTION("""COMPUTED_VALUE"""),0.9453586092341273)</f>
        <v>0.9453586092</v>
      </c>
      <c r="AN1213" s="82">
        <f>IFERROR(__xludf.DUMMYFUNCTION("""COMPUTED_VALUE"""),1.120527412915293)</f>
        <v>1.120527413</v>
      </c>
      <c r="AO1213" s="82">
        <f>IFERROR(__xludf.DUMMYFUNCTION("""COMPUTED_VALUE"""),1.352288537896481)</f>
        <v>1.352288538</v>
      </c>
      <c r="AP1213" s="82">
        <f>IFERROR(__xludf.DUMMYFUNCTION("""COMPUTED_VALUE"""),1.2123843779203627)</f>
        <v>1.212384378</v>
      </c>
      <c r="AQ1213" s="82">
        <f>IFERROR(__xludf.DUMMYFUNCTION("""COMPUTED_VALUE"""),1.0926036855473176)</f>
        <v>1.092603686</v>
      </c>
      <c r="AR1213" s="82">
        <f>IFERROR(__xludf.DUMMYFUNCTION("""COMPUTED_VALUE"""),1.2534363409041522)</f>
        <v>1.253436341</v>
      </c>
      <c r="AS1213" s="82">
        <f>IFERROR(__xludf.DUMMYFUNCTION("""COMPUTED_VALUE"""),118.0)</f>
        <v>118</v>
      </c>
      <c r="AT1213" s="82">
        <f>IFERROR(__xludf.DUMMYFUNCTION("""COMPUTED_VALUE"""),0.5137138585185073)</f>
        <v>0.5137138585</v>
      </c>
      <c r="AU1213" s="82">
        <f>IFERROR(__xludf.DUMMYFUNCTION("""COMPUTED_VALUE"""),2.63231127315142)</f>
        <v>2.632311273</v>
      </c>
      <c r="AV1213" s="82">
        <f>IFERROR(__xludf.DUMMYFUNCTION("""COMPUTED_VALUE"""),79.32463402558193)</f>
        <v>79.32463403</v>
      </c>
      <c r="AW1213" s="82">
        <f t="shared" si="1"/>
        <v>8.305590026</v>
      </c>
      <c r="AX1213" s="83">
        <f t="array" ref="AX1213">IFERROR(DGET('SBV Import'!A:G,"SBV",{"RSC ID","Tier";B1213,A1213}))</f>
        <v>60.54300411</v>
      </c>
      <c r="AY1213" s="82">
        <f t="shared" si="2"/>
        <v>2.970756095</v>
      </c>
      <c r="AZ1213" s="82">
        <v>5.334833930632981</v>
      </c>
      <c r="BA1213" s="84">
        <v>1200.0</v>
      </c>
      <c r="BB1213" s="84" t="b">
        <f>IFERROR(__xludf.DUMMYFUNCTION("iferror(if(A1213="""",,E1213&gt;=FILTER(Constants!$F$2:$F$10,Constants!$A$2:$A$10=A1213)))"),TRUE)</f>
        <v>1</v>
      </c>
    </row>
    <row r="1214">
      <c r="A1214" s="89" t="str">
        <f>IFERROR(__xludf.DUMMYFUNCTION("""COMPUTED_VALUE"""),"Veteran")</f>
        <v>Veteran</v>
      </c>
      <c r="B1214" s="87" t="str">
        <f>IFERROR(__xludf.DUMMYFUNCTION("""COMPUTED_VALUE"""),"RSC001921")</f>
        <v>RSC001921</v>
      </c>
      <c r="C1214" s="73" t="str">
        <f>IFERROR(__xludf.DUMMYFUNCTION("""COMPUTED_VALUE"""),"Dom")</f>
        <v>Dom</v>
      </c>
      <c r="D1214" s="73" t="str">
        <f>IFERROR(__xludf.DUMMYFUNCTION("""COMPUTED_VALUE"""),"Kirin")</f>
        <v>Kirin</v>
      </c>
      <c r="E1214" s="82">
        <f>IFERROR(__xludf.DUMMYFUNCTION("""COMPUTED_VALUE"""),25.0)</f>
        <v>25</v>
      </c>
      <c r="F1214" s="82">
        <f>IFERROR(__xludf.DUMMYFUNCTION("""COMPUTED_VALUE"""),12.0)</f>
        <v>12</v>
      </c>
      <c r="G1214" s="86">
        <f>IFERROR(__xludf.DUMMYFUNCTION("""COMPUTED_VALUE"""),13.0)</f>
        <v>13</v>
      </c>
      <c r="H1214" s="86">
        <f>IFERROR(__xludf.DUMMYFUNCTION("""COMPUTED_VALUE"""),0.48)</f>
        <v>0.48</v>
      </c>
      <c r="I1214" s="86">
        <f>IFERROR(__xludf.DUMMYFUNCTION("""COMPUTED_VALUE"""),0.41379310344827586)</f>
        <v>0.4137931034</v>
      </c>
      <c r="J1214" s="82">
        <f>IFERROR(__xludf.DUMMYFUNCTION("""COMPUTED_VALUE"""),430.48)</f>
        <v>430.48</v>
      </c>
      <c r="K1214" s="82">
        <f>IFERROR(__xludf.DUMMYFUNCTION("""COMPUTED_VALUE"""),0.96)</f>
        <v>0.96</v>
      </c>
      <c r="L1214" s="82">
        <f>IFERROR(__xludf.DUMMYFUNCTION("""COMPUTED_VALUE"""),0.76)</f>
        <v>0.76</v>
      </c>
      <c r="M1214" s="82">
        <f>IFERROR(__xludf.DUMMYFUNCTION("""COMPUTED_VALUE"""),1.76)</f>
        <v>1.76</v>
      </c>
      <c r="N1214" s="82">
        <f>IFERROR(__xludf.DUMMYFUNCTION("""COMPUTED_VALUE"""),2.32)</f>
        <v>2.32</v>
      </c>
      <c r="O1214" s="82">
        <f>IFERROR(__xludf.DUMMYFUNCTION("""COMPUTED_VALUE"""),377.3466666666667)</f>
        <v>377.3466667</v>
      </c>
      <c r="P1214" s="82">
        <f>IFERROR(__xludf.DUMMYFUNCTION("""COMPUTED_VALUE"""),0.8)</f>
        <v>0.8</v>
      </c>
      <c r="Q1214" s="82">
        <f>IFERROR(__xludf.DUMMYFUNCTION("""COMPUTED_VALUE"""),0.6266666666666667)</f>
        <v>0.6266666667</v>
      </c>
      <c r="R1214" s="82">
        <f>IFERROR(__xludf.DUMMYFUNCTION("""COMPUTED_VALUE"""),1.2666666666666666)</f>
        <v>1.266666667</v>
      </c>
      <c r="S1214" s="82">
        <f>IFERROR(__xludf.DUMMYFUNCTION("""COMPUTED_VALUE"""),2.9066666666666663)</f>
        <v>2.906666667</v>
      </c>
      <c r="T1214" s="82">
        <f>IFERROR(__xludf.DUMMYFUNCTION("""COMPUTED_VALUE"""),376.68277686002284)</f>
        <v>376.6827769</v>
      </c>
      <c r="U1214" s="82">
        <f>IFERROR(__xludf.DUMMYFUNCTION("""COMPUTED_VALUE"""),0.9003749003532426)</f>
        <v>0.9003749004</v>
      </c>
      <c r="V1214" s="82">
        <f>IFERROR(__xludf.DUMMYFUNCTION("""COMPUTED_VALUE"""),0.6646645122209557)</f>
        <v>0.6646645122</v>
      </c>
      <c r="W1214" s="82">
        <f>IFERROR(__xludf.DUMMYFUNCTION("""COMPUTED_VALUE"""),1.346471040100806)</f>
        <v>1.34647104</v>
      </c>
      <c r="X1214" s="82">
        <f>IFERROR(__xludf.DUMMYFUNCTION("""COMPUTED_VALUE"""),2.907836641263367)</f>
        <v>2.907836641</v>
      </c>
      <c r="Y1214" s="82">
        <f>IFERROR(__xludf.DUMMYFUNCTION("""COMPUTED_VALUE"""),356.4092425146035)</f>
        <v>356.4092425</v>
      </c>
      <c r="Z1214" s="82">
        <f>IFERROR(__xludf.DUMMYFUNCTION("""COMPUTED_VALUE"""),0.7556613425942009)</f>
        <v>0.7556613426</v>
      </c>
      <c r="AA1214" s="82">
        <f>IFERROR(__xludf.DUMMYFUNCTION("""COMPUTED_VALUE"""),0.557970327721722)</f>
        <v>0.5579703277</v>
      </c>
      <c r="AB1214" s="82">
        <f>IFERROR(__xludf.DUMMYFUNCTION("""COMPUTED_VALUE"""),1.4527378756810736)</f>
        <v>1.452737876</v>
      </c>
      <c r="AC1214" s="82">
        <f>IFERROR(__xludf.DUMMYFUNCTION("""COMPUTED_VALUE"""),2.5625067789430616)</f>
        <v>2.562506779</v>
      </c>
      <c r="AD1214" s="82">
        <f>IFERROR(__xludf.DUMMYFUNCTION("""COMPUTED_VALUE"""),1.2078250186858204)</f>
        <v>1.207825019</v>
      </c>
      <c r="AE1214" s="82">
        <f>IFERROR(__xludf.DUMMYFUNCTION("""COMPUTED_VALUE"""),1.2704103622719407)</f>
        <v>1.270410362</v>
      </c>
      <c r="AF1214" s="82">
        <f>IFERROR(__xludf.DUMMYFUNCTION("""COMPUTED_VALUE"""),1.3620795985750642)</f>
        <v>1.362079599</v>
      </c>
      <c r="AG1214" s="82">
        <f>IFERROR(__xludf.DUMMYFUNCTION("""COMPUTED_VALUE"""),1.2115055506313386)</f>
        <v>1.211505551</v>
      </c>
      <c r="AH1214" s="82">
        <f>IFERROR(__xludf.DUMMYFUNCTION("""COMPUTED_VALUE"""),0.905363458572747)</f>
        <v>0.9053634586</v>
      </c>
      <c r="AI1214" s="82">
        <f>IFERROR(__xludf.DUMMYFUNCTION("""COMPUTED_VALUE"""),1.001762463928343)</f>
        <v>1.001762464</v>
      </c>
      <c r="AJ1214" s="82">
        <f>IFERROR(__xludf.DUMMYFUNCTION("""COMPUTED_VALUE"""),0.8885187711098314)</f>
        <v>0.8885187711</v>
      </c>
      <c r="AK1214" s="82">
        <f>IFERROR(__xludf.DUMMYFUNCTION("""COMPUTED_VALUE"""),0.9428315415436874)</f>
        <v>0.9428315415</v>
      </c>
      <c r="AL1214" s="82">
        <f>IFERROR(__xludf.DUMMYFUNCTION("""COMPUTED_VALUE"""),0.940730716771922)</f>
        <v>0.9407307168</v>
      </c>
      <c r="AM1214" s="82">
        <f>IFERROR(__xludf.DUMMYFUNCTION("""COMPUTED_VALUE"""),0.9995976477563773)</f>
        <v>0.9995976478</v>
      </c>
      <c r="AN1214" s="82">
        <f>IFERROR(__xludf.DUMMYFUNCTION("""COMPUTED_VALUE"""),1.24523112816329)</f>
        <v>1.245231128</v>
      </c>
      <c r="AO1214" s="82">
        <f>IFERROR(__xludf.DUMMYFUNCTION("""COMPUTED_VALUE"""),1.2705757836916722)</f>
        <v>1.270575784</v>
      </c>
      <c r="AP1214" s="82">
        <f>IFERROR(__xludf.DUMMYFUNCTION("""COMPUTED_VALUE"""),1.3672567049063187)</f>
        <v>1.367256705</v>
      </c>
      <c r="AQ1214" s="82">
        <f>IFERROR(__xludf.DUMMYFUNCTION("""COMPUTED_VALUE"""),1.30084109385163)</f>
        <v>1.300841094</v>
      </c>
      <c r="AR1214" s="82">
        <f>IFERROR(__xludf.DUMMYFUNCTION("""COMPUTED_VALUE"""),0.9099777299407559)</f>
        <v>0.9099777299</v>
      </c>
      <c r="AS1214" s="82">
        <f>IFERROR(__xludf.DUMMYFUNCTION("""COMPUTED_VALUE"""),66.0)</f>
        <v>66</v>
      </c>
      <c r="AT1214" s="82">
        <f>IFERROR(__xludf.DUMMYFUNCTION("""COMPUTED_VALUE"""),0.5378308469548927)</f>
        <v>0.537830847</v>
      </c>
      <c r="AU1214" s="82">
        <f>IFERROR(__xludf.DUMMYFUNCTION("""COMPUTED_VALUE"""),2.6228096331756467)</f>
        <v>2.622809633</v>
      </c>
      <c r="AV1214" s="82">
        <f>IFERROR(__xludf.DUMMYFUNCTION("""COMPUTED_VALUE"""),78.98493050249655)</f>
        <v>78.9849305</v>
      </c>
      <c r="AW1214" s="82">
        <f t="shared" si="1"/>
        <v>8.12036626</v>
      </c>
      <c r="AX1214" s="83">
        <f t="array" ref="AX1214">IFERROR(DGET('SBV Import'!A:G,"SBV",{"RSC ID","Tier";B1214,A1214}))</f>
        <v>64.02676093</v>
      </c>
      <c r="AY1214" s="82">
        <f t="shared" si="2"/>
        <v>3.479776719</v>
      </c>
      <c r="AZ1214" s="82">
        <v>4.640589541374774</v>
      </c>
      <c r="BA1214" s="84">
        <v>1200.0</v>
      </c>
      <c r="BB1214" s="84" t="b">
        <f>IFERROR(__xludf.DUMMYFUNCTION("iferror(if(A1214="""",,E1214&gt;=FILTER(Constants!$F$2:$F$10,Constants!$A$2:$A$10=A1214)))"),TRUE)</f>
        <v>1</v>
      </c>
    </row>
    <row r="1215">
      <c r="A1215" s="89" t="str">
        <f>IFERROR(__xludf.DUMMYFUNCTION("""COMPUTED_VALUE"""),"Veteran")</f>
        <v>Veteran</v>
      </c>
      <c r="B1215" s="87" t="str">
        <f>IFERROR(__xludf.DUMMYFUNCTION("""COMPUTED_VALUE"""),"RSC000923")</f>
        <v>RSC000923</v>
      </c>
      <c r="C1215" s="73" t="str">
        <f>IFERROR(__xludf.DUMMYFUNCTION("""COMPUTED_VALUE"""),"Stemantics")</f>
        <v>Stemantics</v>
      </c>
      <c r="D1215" s="73" t="str">
        <f>IFERROR(__xludf.DUMMYFUNCTION("""COMPUTED_VALUE"""),"Legati")</f>
        <v>Legati</v>
      </c>
      <c r="E1215" s="82">
        <f>IFERROR(__xludf.DUMMYFUNCTION("""COMPUTED_VALUE"""),44.0)</f>
        <v>44</v>
      </c>
      <c r="F1215" s="82">
        <f>IFERROR(__xludf.DUMMYFUNCTION("""COMPUTED_VALUE"""),27.0)</f>
        <v>27</v>
      </c>
      <c r="G1215" s="86">
        <f>IFERROR(__xludf.DUMMYFUNCTION("""COMPUTED_VALUE"""),17.0)</f>
        <v>17</v>
      </c>
      <c r="H1215" s="86">
        <f>IFERROR(__xludf.DUMMYFUNCTION("""COMPUTED_VALUE"""),0.6136363636363636)</f>
        <v>0.6136363636</v>
      </c>
      <c r="I1215" s="86">
        <f>IFERROR(__xludf.DUMMYFUNCTION("""COMPUTED_VALUE"""),0.3356643356643356)</f>
        <v>0.3356643357</v>
      </c>
      <c r="J1215" s="82">
        <f>IFERROR(__xludf.DUMMYFUNCTION("""COMPUTED_VALUE"""),405.22727272727275)</f>
        <v>405.2272727</v>
      </c>
      <c r="K1215" s="82">
        <f>IFERROR(__xludf.DUMMYFUNCTION("""COMPUTED_VALUE"""),1.0909090909090908)</f>
        <v>1.090909091</v>
      </c>
      <c r="L1215" s="82">
        <f>IFERROR(__xludf.DUMMYFUNCTION("""COMPUTED_VALUE"""),0.6590909090909091)</f>
        <v>0.6590909091</v>
      </c>
      <c r="M1215" s="82">
        <f>IFERROR(__xludf.DUMMYFUNCTION("""COMPUTED_VALUE"""),1.3181818181818181)</f>
        <v>1.318181818</v>
      </c>
      <c r="N1215" s="82">
        <f>IFERROR(__xludf.DUMMYFUNCTION("""COMPUTED_VALUE"""),3.25)</f>
        <v>3.25</v>
      </c>
      <c r="O1215" s="82">
        <f>IFERROR(__xludf.DUMMYFUNCTION("""COMPUTED_VALUE"""),379.22727272727275)</f>
        <v>379.2272727</v>
      </c>
      <c r="P1215" s="82">
        <f>IFERROR(__xludf.DUMMYFUNCTION("""COMPUTED_VALUE"""),0.909090909090909)</f>
        <v>0.9090909091</v>
      </c>
      <c r="Q1215" s="82">
        <f>IFERROR(__xludf.DUMMYFUNCTION("""COMPUTED_VALUE"""),0.6590909090909092)</f>
        <v>0.6590909091</v>
      </c>
      <c r="R1215" s="82">
        <f>IFERROR(__xludf.DUMMYFUNCTION("""COMPUTED_VALUE"""),1.424242424242424)</f>
        <v>1.424242424</v>
      </c>
      <c r="S1215" s="82">
        <f>IFERROR(__xludf.DUMMYFUNCTION("""COMPUTED_VALUE"""),2.8787878787878793)</f>
        <v>2.878787879</v>
      </c>
      <c r="T1215" s="82">
        <f>IFERROR(__xludf.DUMMYFUNCTION("""COMPUTED_VALUE"""),361.6212061631945)</f>
        <v>361.6212062</v>
      </c>
      <c r="U1215" s="82">
        <f>IFERROR(__xludf.DUMMYFUNCTION("""COMPUTED_VALUE"""),0.8201323410452321)</f>
        <v>0.820132341</v>
      </c>
      <c r="V1215" s="82">
        <f>IFERROR(__xludf.DUMMYFUNCTION("""COMPUTED_VALUE"""),0.593917359981926)</f>
        <v>0.59391736</v>
      </c>
      <c r="W1215" s="82">
        <f>IFERROR(__xludf.DUMMYFUNCTION("""COMPUTED_VALUE"""),1.376265266346258)</f>
        <v>1.376265266</v>
      </c>
      <c r="X1215" s="82">
        <f>IFERROR(__xludf.DUMMYFUNCTION("""COMPUTED_VALUE"""),2.6495759881346603)</f>
        <v>2.649575988</v>
      </c>
      <c r="Y1215" s="82">
        <f>IFERROR(__xludf.DUMMYFUNCTION("""COMPUTED_VALUE"""),354.1539221801479)</f>
        <v>354.1539222</v>
      </c>
      <c r="Z1215" s="82">
        <f>IFERROR(__xludf.DUMMYFUNCTION("""COMPUTED_VALUE"""),0.78386729558311)</f>
        <v>0.7838672956</v>
      </c>
      <c r="AA1215" s="82">
        <f>IFERROR(__xludf.DUMMYFUNCTION("""COMPUTED_VALUE"""),0.5725835844319299)</f>
        <v>0.5725835844</v>
      </c>
      <c r="AB1215" s="82">
        <f>IFERROR(__xludf.DUMMYFUNCTION("""COMPUTED_VALUE"""),1.3411390160711434)</f>
        <v>1.341139016</v>
      </c>
      <c r="AC1215" s="82">
        <f>IFERROR(__xludf.DUMMYFUNCTION("""COMPUTED_VALUE"""),2.666245052392126)</f>
        <v>2.666245052</v>
      </c>
      <c r="AD1215" s="82">
        <f>IFERROR(__xludf.DUMMYFUNCTION("""COMPUTED_VALUE"""),1.1442122968248403)</f>
        <v>1.144212297</v>
      </c>
      <c r="AE1215" s="82">
        <f>IFERROR(__xludf.DUMMYFUNCTION("""COMPUTED_VALUE"""),1.3917012446572044)</f>
        <v>1.391701245</v>
      </c>
      <c r="AF1215" s="82">
        <f>IFERROR(__xludf.DUMMYFUNCTION("""COMPUTED_VALUE"""),1.1510824393346948)</f>
        <v>1.151082439</v>
      </c>
      <c r="AG1215" s="82">
        <f>IFERROR(__xludf.DUMMYFUNCTION("""COMPUTED_VALUE"""),0.9828823130084022)</f>
        <v>0.982882313</v>
      </c>
      <c r="AH1215" s="82">
        <f>IFERROR(__xludf.DUMMYFUNCTION("""COMPUTED_VALUE"""),1.2189427213691912)</f>
        <v>1.218942721</v>
      </c>
      <c r="AI1215" s="82">
        <f>IFERROR(__xludf.DUMMYFUNCTION("""COMPUTED_VALUE"""),1.0486864881373492)</f>
        <v>1.048686488</v>
      </c>
      <c r="AJ1215" s="82">
        <f>IFERROR(__xludf.DUMMYFUNCTION("""COMPUTED_VALUE"""),1.1084685526878528)</f>
        <v>1.108468553</v>
      </c>
      <c r="AK1215" s="82">
        <f>IFERROR(__xludf.DUMMYFUNCTION("""COMPUTED_VALUE"""),1.10973504649025)</f>
        <v>1.109735046</v>
      </c>
      <c r="AL1215" s="82">
        <f>IFERROR(__xludf.DUMMYFUNCTION("""COMPUTED_VALUE"""),1.0348604001491202)</f>
        <v>1.0348604</v>
      </c>
      <c r="AM1215" s="82">
        <f>IFERROR(__xludf.DUMMYFUNCTION("""COMPUTED_VALUE"""),1.0865088948872108)</f>
        <v>1.086508895</v>
      </c>
      <c r="AN1215" s="82">
        <f>IFERROR(__xludf.DUMMYFUNCTION("""COMPUTED_VALUE"""),1.172183641471648)</f>
        <v>1.172183641</v>
      </c>
      <c r="AO1215" s="82">
        <f>IFERROR(__xludf.DUMMYFUNCTION("""COMPUTED_VALUE"""),1.4438361178314456)</f>
        <v>1.443836118</v>
      </c>
      <c r="AP1215" s="82">
        <f>IFERROR(__xludf.DUMMYFUNCTION("""COMPUTED_VALUE"""),1.1857190323649296)</f>
        <v>1.185719032</v>
      </c>
      <c r="AQ1215" s="82">
        <f>IFERROR(__xludf.DUMMYFUNCTION("""COMPUTED_VALUE"""),0.9742869762835037)</f>
        <v>0.9742869763</v>
      </c>
      <c r="AR1215" s="82">
        <f>IFERROR(__xludf.DUMMYFUNCTION("""COMPUTED_VALUE"""),1.274753285477352)</f>
        <v>1.274753285</v>
      </c>
      <c r="AS1215" s="82">
        <f>IFERROR(__xludf.DUMMYFUNCTION("""COMPUTED_VALUE"""),130.0)</f>
        <v>130</v>
      </c>
      <c r="AT1215" s="82">
        <f>IFERROR(__xludf.DUMMYFUNCTION("""COMPUTED_VALUE"""),0.5328981711573949)</f>
        <v>0.5328981712</v>
      </c>
      <c r="AU1215" s="82">
        <f>IFERROR(__xludf.DUMMYFUNCTION("""COMPUTED_VALUE"""),2.622329386840161)</f>
        <v>2.622329387</v>
      </c>
      <c r="AV1215" s="82">
        <f>IFERROR(__xludf.DUMMYFUNCTION("""COMPUTED_VALUE"""),78.96776069049258)</f>
        <v>78.96776069</v>
      </c>
      <c r="AW1215" s="82">
        <f t="shared" si="1"/>
        <v>8.111147412</v>
      </c>
      <c r="AX1215" s="83">
        <f t="array" ref="AX1215">IFERROR(DGET('SBV Import'!A:G,"SBV",{"RSC ID","Tier";B1215,A1215}))</f>
        <v>61.12295748</v>
      </c>
      <c r="AY1215" s="82">
        <f t="shared" si="2"/>
        <v>3.047021029</v>
      </c>
      <c r="AZ1215" s="82">
        <v>5.064126382935764</v>
      </c>
      <c r="BA1215" s="84">
        <v>1200.0</v>
      </c>
      <c r="BB1215" s="84" t="b">
        <f>IFERROR(__xludf.DUMMYFUNCTION("iferror(if(A1215="""",,E1215&gt;=FILTER(Constants!$F$2:$F$10,Constants!$A$2:$A$10=A1215)))"),TRUE)</f>
        <v>1</v>
      </c>
    </row>
    <row r="1216">
      <c r="A1216" s="89" t="str">
        <f>IFERROR(__xludf.DUMMYFUNCTION("""COMPUTED_VALUE"""),"Veteran")</f>
        <v>Veteran</v>
      </c>
      <c r="B1216" s="87" t="str">
        <f>IFERROR(__xludf.DUMMYFUNCTION("""COMPUTED_VALUE"""),"RSC006378")</f>
        <v>RSC006378</v>
      </c>
      <c r="C1216" s="73" t="str">
        <f>IFERROR(__xludf.DUMMYFUNCTION("""COMPUTED_VALUE"""),"depressed vibez")</f>
        <v>depressed vibez</v>
      </c>
      <c r="D1216" s="73" t="str">
        <f>IFERROR(__xludf.DUMMYFUNCTION("""COMPUTED_VALUE"""),"Penguins")</f>
        <v>Penguins</v>
      </c>
      <c r="E1216" s="82">
        <f>IFERROR(__xludf.DUMMYFUNCTION("""COMPUTED_VALUE"""),31.0)</f>
        <v>31</v>
      </c>
      <c r="F1216" s="82">
        <f>IFERROR(__xludf.DUMMYFUNCTION("""COMPUTED_VALUE"""),20.0)</f>
        <v>20</v>
      </c>
      <c r="G1216" s="86">
        <f>IFERROR(__xludf.DUMMYFUNCTION("""COMPUTED_VALUE"""),11.0)</f>
        <v>11</v>
      </c>
      <c r="H1216" s="86">
        <f>IFERROR(__xludf.DUMMYFUNCTION("""COMPUTED_VALUE"""),0.6451612903225806)</f>
        <v>0.6451612903</v>
      </c>
      <c r="I1216" s="86">
        <f>IFERROR(__xludf.DUMMYFUNCTION("""COMPUTED_VALUE"""),0.33720930232558133)</f>
        <v>0.3372093023</v>
      </c>
      <c r="J1216" s="82">
        <f>IFERROR(__xludf.DUMMYFUNCTION("""COMPUTED_VALUE"""),356.2903225806452)</f>
        <v>356.2903226</v>
      </c>
      <c r="K1216" s="82">
        <f>IFERROR(__xludf.DUMMYFUNCTION("""COMPUTED_VALUE"""),0.9354838709677419)</f>
        <v>0.935483871</v>
      </c>
      <c r="L1216" s="82">
        <f>IFERROR(__xludf.DUMMYFUNCTION("""COMPUTED_VALUE"""),0.7419354838709677)</f>
        <v>0.7419354839</v>
      </c>
      <c r="M1216" s="82">
        <f>IFERROR(__xludf.DUMMYFUNCTION("""COMPUTED_VALUE"""),1.1290322580645162)</f>
        <v>1.129032258</v>
      </c>
      <c r="N1216" s="82">
        <f>IFERROR(__xludf.DUMMYFUNCTION("""COMPUTED_VALUE"""),2.774193548387097)</f>
        <v>2.774193548</v>
      </c>
      <c r="O1216" s="82">
        <f>IFERROR(__xludf.DUMMYFUNCTION("""COMPUTED_VALUE"""),322.22580645161287)</f>
        <v>322.2258065</v>
      </c>
      <c r="P1216" s="82">
        <f>IFERROR(__xludf.DUMMYFUNCTION("""COMPUTED_VALUE"""),0.6559139784946237)</f>
        <v>0.6559139785</v>
      </c>
      <c r="Q1216" s="82">
        <f>IFERROR(__xludf.DUMMYFUNCTION("""COMPUTED_VALUE"""),0.43010752688172055)</f>
        <v>0.4301075269</v>
      </c>
      <c r="R1216" s="82">
        <f>IFERROR(__xludf.DUMMYFUNCTION("""COMPUTED_VALUE"""),1.408602150537634)</f>
        <v>1.408602151</v>
      </c>
      <c r="S1216" s="82">
        <f>IFERROR(__xludf.DUMMYFUNCTION("""COMPUTED_VALUE"""),2.2795698924731185)</f>
        <v>2.279569892</v>
      </c>
      <c r="T1216" s="82">
        <f>IFERROR(__xludf.DUMMYFUNCTION("""COMPUTED_VALUE"""),361.5640271422466)</f>
        <v>361.5640271</v>
      </c>
      <c r="U1216" s="82">
        <f>IFERROR(__xludf.DUMMYFUNCTION("""COMPUTED_VALUE"""),0.7992260371529162)</f>
        <v>0.7992260372</v>
      </c>
      <c r="V1216" s="82">
        <f>IFERROR(__xludf.DUMMYFUNCTION("""COMPUTED_VALUE"""),0.5804819491741793)</f>
        <v>0.5804819492</v>
      </c>
      <c r="W1216" s="82">
        <f>IFERROR(__xludf.DUMMYFUNCTION("""COMPUTED_VALUE"""),1.4131118081769294)</f>
        <v>1.413111808</v>
      </c>
      <c r="X1216" s="82">
        <f>IFERROR(__xludf.DUMMYFUNCTION("""COMPUTED_VALUE"""),2.700962973788668)</f>
        <v>2.700962974</v>
      </c>
      <c r="Y1216" s="82">
        <f>IFERROR(__xludf.DUMMYFUNCTION("""COMPUTED_VALUE"""),359.89633493377414)</f>
        <v>359.8963349</v>
      </c>
      <c r="Z1216" s="82">
        <f>IFERROR(__xludf.DUMMYFUNCTION("""COMPUTED_VALUE"""),0.8214629148171514)</f>
        <v>0.8214629148</v>
      </c>
      <c r="AA1216" s="82">
        <f>IFERROR(__xludf.DUMMYFUNCTION("""COMPUTED_VALUE"""),0.6000366452109479)</f>
        <v>0.6000366452</v>
      </c>
      <c r="AB1216" s="82">
        <f>IFERROR(__xludf.DUMMYFUNCTION("""COMPUTED_VALUE"""),1.355628421066894)</f>
        <v>1.355628421</v>
      </c>
      <c r="AC1216" s="82">
        <f>IFERROR(__xludf.DUMMYFUNCTION("""COMPUTED_VALUE"""),2.716059265816449)</f>
        <v>2.716059266</v>
      </c>
      <c r="AD1216" s="82">
        <f>IFERROR(__xludf.DUMMYFUNCTION("""COMPUTED_VALUE"""),0.9899804137938985)</f>
        <v>0.9899804138</v>
      </c>
      <c r="AE1216" s="82">
        <f>IFERROR(__xludf.DUMMYFUNCTION("""COMPUTED_VALUE"""),1.1388023172975135)</f>
        <v>1.138802317</v>
      </c>
      <c r="AF1216" s="82">
        <f>IFERROR(__xludf.DUMMYFUNCTION("""COMPUTED_VALUE"""),1.236483621113064)</f>
        <v>1.236483621</v>
      </c>
      <c r="AG1216" s="82">
        <f>IFERROR(__xludf.DUMMYFUNCTION("""COMPUTED_VALUE"""),0.8328478811147643)</f>
        <v>0.8328478811</v>
      </c>
      <c r="AH1216" s="82">
        <f>IFERROR(__xludf.DUMMYFUNCTION("""COMPUTED_VALUE"""),1.02140390797149)</f>
        <v>1.021403908</v>
      </c>
      <c r="AI1216" s="82">
        <f>IFERROR(__xludf.DUMMYFUNCTION("""COMPUTED_VALUE"""),0.8911998491621036)</f>
        <v>0.8911998492</v>
      </c>
      <c r="AJ1216" s="82">
        <f>IFERROR(__xludf.DUMMYFUNCTION("""COMPUTED_VALUE"""),0.8206864491442081)</f>
        <v>0.8206864491</v>
      </c>
      <c r="AK1216" s="82">
        <f>IFERROR(__xludf.DUMMYFUNCTION("""COMPUTED_VALUE"""),0.7409490122709441)</f>
        <v>0.7409490123</v>
      </c>
      <c r="AL1216" s="82">
        <f>IFERROR(__xludf.DUMMYFUNCTION("""COMPUTED_VALUE"""),0.9968087042984141)</f>
        <v>0.9968087043</v>
      </c>
      <c r="AM1216" s="82">
        <f>IFERROR(__xludf.DUMMYFUNCTION("""COMPUTED_VALUE"""),0.8439841325464535)</f>
        <v>0.8439841325</v>
      </c>
      <c r="AN1216" s="82">
        <f>IFERROR(__xludf.DUMMYFUNCTION("""COMPUTED_VALUE"""),1.030625813837482)</f>
        <v>1.030625814</v>
      </c>
      <c r="AO1216" s="82">
        <f>IFERROR(__xludf.DUMMYFUNCTION("""COMPUTED_VALUE"""),1.238128283839331)</f>
        <v>1.238128284</v>
      </c>
      <c r="AP1216" s="82">
        <f>IFERROR(__xludf.DUMMYFUNCTION("""COMPUTED_VALUE"""),1.3347582433295981)</f>
        <v>1.334758243</v>
      </c>
      <c r="AQ1216" s="82">
        <f>IFERROR(__xludf.DUMMYFUNCTION("""COMPUTED_VALUE"""),0.834483839530921)</f>
        <v>0.8344838395</v>
      </c>
      <c r="AR1216" s="82">
        <f>IFERROR(__xludf.DUMMYFUNCTION("""COMPUTED_VALUE"""),1.0881268739558538)</f>
        <v>1.088126874</v>
      </c>
      <c r="AS1216" s="82">
        <f>IFERROR(__xludf.DUMMYFUNCTION("""COMPUTED_VALUE"""),82.0)</f>
        <v>82</v>
      </c>
      <c r="AT1216" s="82">
        <f>IFERROR(__xludf.DUMMYFUNCTION("""COMPUTED_VALUE"""),0.6127299714712438)</f>
        <v>0.6127299715</v>
      </c>
      <c r="AU1216" s="82">
        <f>IFERROR(__xludf.DUMMYFUNCTION("""COMPUTED_VALUE"""),2.5687735143140134)</f>
        <v>2.568773514</v>
      </c>
      <c r="AV1216" s="82">
        <f>IFERROR(__xludf.DUMMYFUNCTION("""COMPUTED_VALUE"""),77.0530261156791)</f>
        <v>77.05302612</v>
      </c>
      <c r="AW1216" s="82">
        <f t="shared" si="1"/>
        <v>7.163355959</v>
      </c>
      <c r="AX1216" s="83">
        <f t="array" ref="AX1216">IFERROR(DGET('SBV Import'!A:G,"SBV",{"RSC ID","Tier";B1216,A1216}))</f>
        <v>67.92391319</v>
      </c>
      <c r="AY1216" s="82">
        <f t="shared" si="2"/>
        <v>4.224748859</v>
      </c>
      <c r="AZ1216" s="82">
        <v>2.938607100424532</v>
      </c>
      <c r="BA1216" s="84">
        <v>1200.0</v>
      </c>
      <c r="BB1216" s="84" t="b">
        <f>IFERROR(__xludf.DUMMYFUNCTION("iferror(if(A1216="""",,E1216&gt;=FILTER(Constants!$F$2:$F$10,Constants!$A$2:$A$10=A1216)))"),TRUE)</f>
        <v>1</v>
      </c>
    </row>
    <row r="1217">
      <c r="A1217" s="89" t="str">
        <f>IFERROR(__xludf.DUMMYFUNCTION("""COMPUTED_VALUE"""),"Veteran")</f>
        <v>Veteran</v>
      </c>
      <c r="B1217" s="87" t="str">
        <f>IFERROR(__xludf.DUMMYFUNCTION("""COMPUTED_VALUE"""),"RSC000645")</f>
        <v>RSC000645</v>
      </c>
      <c r="C1217" s="73" t="str">
        <f>IFERROR(__xludf.DUMMYFUNCTION("""COMPUTED_VALUE"""),"DenZ")</f>
        <v>DenZ</v>
      </c>
      <c r="D1217" s="73" t="str">
        <f>IFERROR(__xludf.DUMMYFUNCTION("""COMPUTED_VALUE"""),"Grizzly Bears")</f>
        <v>Grizzly Bears</v>
      </c>
      <c r="E1217" s="82">
        <f>IFERROR(__xludf.DUMMYFUNCTION("""COMPUTED_VALUE"""),38.0)</f>
        <v>38</v>
      </c>
      <c r="F1217" s="82">
        <f>IFERROR(__xludf.DUMMYFUNCTION("""COMPUTED_VALUE"""),21.0)</f>
        <v>21</v>
      </c>
      <c r="G1217" s="86">
        <f>IFERROR(__xludf.DUMMYFUNCTION("""COMPUTED_VALUE"""),17.0)</f>
        <v>17</v>
      </c>
      <c r="H1217" s="86">
        <f>IFERROR(__xludf.DUMMYFUNCTION("""COMPUTED_VALUE"""),0.5526315789473685)</f>
        <v>0.5526315789</v>
      </c>
      <c r="I1217" s="86">
        <f>IFERROR(__xludf.DUMMYFUNCTION("""COMPUTED_VALUE"""),0.3392857142857143)</f>
        <v>0.3392857143</v>
      </c>
      <c r="J1217" s="82">
        <f>IFERROR(__xludf.DUMMYFUNCTION("""COMPUTED_VALUE"""),394.5263157894737)</f>
        <v>394.5263158</v>
      </c>
      <c r="K1217" s="82">
        <f>IFERROR(__xludf.DUMMYFUNCTION("""COMPUTED_VALUE"""),1.0)</f>
        <v>1</v>
      </c>
      <c r="L1217" s="82">
        <f>IFERROR(__xludf.DUMMYFUNCTION("""COMPUTED_VALUE"""),0.6578947368421053)</f>
        <v>0.6578947368</v>
      </c>
      <c r="M1217" s="82">
        <f>IFERROR(__xludf.DUMMYFUNCTION("""COMPUTED_VALUE"""),1.5263157894736843)</f>
        <v>1.526315789</v>
      </c>
      <c r="N1217" s="82">
        <f>IFERROR(__xludf.DUMMYFUNCTION("""COMPUTED_VALUE"""),2.9473684210526314)</f>
        <v>2.947368421</v>
      </c>
      <c r="O1217" s="82">
        <f>IFERROR(__xludf.DUMMYFUNCTION("""COMPUTED_VALUE"""),352.58771929824564)</f>
        <v>352.5877193</v>
      </c>
      <c r="P1217" s="82">
        <f>IFERROR(__xludf.DUMMYFUNCTION("""COMPUTED_VALUE"""),0.8070175438596491)</f>
        <v>0.8070175439</v>
      </c>
      <c r="Q1217" s="82">
        <f>IFERROR(__xludf.DUMMYFUNCTION("""COMPUTED_VALUE"""),0.5614035087719299)</f>
        <v>0.5614035088</v>
      </c>
      <c r="R1217" s="82">
        <f>IFERROR(__xludf.DUMMYFUNCTION("""COMPUTED_VALUE"""),1.3771929824561404)</f>
        <v>1.377192982</v>
      </c>
      <c r="S1217" s="82">
        <f>IFERROR(__xludf.DUMMYFUNCTION("""COMPUTED_VALUE"""),2.7280701754385968)</f>
        <v>2.728070175</v>
      </c>
      <c r="T1217" s="82">
        <f>IFERROR(__xludf.DUMMYFUNCTION("""COMPUTED_VALUE"""),357.93032720190064)</f>
        <v>357.9303272</v>
      </c>
      <c r="U1217" s="82">
        <f>IFERROR(__xludf.DUMMYFUNCTION("""COMPUTED_VALUE"""),0.8190357904193304)</f>
        <v>0.8190357904</v>
      </c>
      <c r="V1217" s="82">
        <f>IFERROR(__xludf.DUMMYFUNCTION("""COMPUTED_VALUE"""),0.600645683218373)</f>
        <v>0.6006456832</v>
      </c>
      <c r="W1217" s="82">
        <f>IFERROR(__xludf.DUMMYFUNCTION("""COMPUTED_VALUE"""),1.3680281502480043)</f>
        <v>1.36802815</v>
      </c>
      <c r="X1217" s="82">
        <f>IFERROR(__xludf.DUMMYFUNCTION("""COMPUTED_VALUE"""),2.678924420283313)</f>
        <v>2.67892442</v>
      </c>
      <c r="Y1217" s="82">
        <f>IFERROR(__xludf.DUMMYFUNCTION("""COMPUTED_VALUE"""),352.69957996989064)</f>
        <v>352.69958</v>
      </c>
      <c r="Z1217" s="82">
        <f>IFERROR(__xludf.DUMMYFUNCTION("""COMPUTED_VALUE"""),0.7866275304247016)</f>
        <v>0.7866275304</v>
      </c>
      <c r="AA1217" s="82">
        <f>IFERROR(__xludf.DUMMYFUNCTION("""COMPUTED_VALUE"""),0.5757513918840607)</f>
        <v>0.5757513919</v>
      </c>
      <c r="AB1217" s="82">
        <f>IFERROR(__xludf.DUMMYFUNCTION("""COMPUTED_VALUE"""),1.3800329899152874)</f>
        <v>1.38003299</v>
      </c>
      <c r="AC1217" s="82">
        <f>IFERROR(__xludf.DUMMYFUNCTION("""COMPUTED_VALUE"""),2.6512830095931257)</f>
        <v>2.65128301</v>
      </c>
      <c r="AD1217" s="82">
        <f>IFERROR(__xludf.DUMMYFUNCTION("""COMPUTED_VALUE"""),1.1185902626341482)</f>
        <v>1.118590263</v>
      </c>
      <c r="AE1217" s="82">
        <f>IFERROR(__xludf.DUMMYFUNCTION("""COMPUTED_VALUE"""),1.2712496846634624)</f>
        <v>1.271249685</v>
      </c>
      <c r="AF1217" s="82">
        <f>IFERROR(__xludf.DUMMYFUNCTION("""COMPUTED_VALUE"""),1.142671552541528)</f>
        <v>1.142671553</v>
      </c>
      <c r="AG1217" s="82">
        <f>IFERROR(__xludf.DUMMYFUNCTION("""COMPUTED_VALUE"""),1.1059994946695995)</f>
        <v>1.105999495</v>
      </c>
      <c r="AH1217" s="82">
        <f>IFERROR(__xludf.DUMMYFUNCTION("""COMPUTED_VALUE"""),1.1116762753686351)</f>
        <v>1.111676275</v>
      </c>
      <c r="AI1217" s="82">
        <f>IFERROR(__xludf.DUMMYFUNCTION("""COMPUTED_VALUE"""),0.9850736093098885)</f>
        <v>0.9850736093</v>
      </c>
      <c r="AJ1217" s="82">
        <f>IFERROR(__xludf.DUMMYFUNCTION("""COMPUTED_VALUE"""),0.9853263475170869)</f>
        <v>0.9853263475</v>
      </c>
      <c r="AK1217" s="82">
        <f>IFERROR(__xludf.DUMMYFUNCTION("""COMPUTED_VALUE"""),0.9346666836325601)</f>
        <v>0.9346666836</v>
      </c>
      <c r="AL1217" s="82">
        <f>IFERROR(__xludf.DUMMYFUNCTION("""COMPUTED_VALUE"""),1.0066993008926568)</f>
        <v>1.006699301</v>
      </c>
      <c r="AM1217" s="82">
        <f>IFERROR(__xludf.DUMMYFUNCTION("""COMPUTED_VALUE"""),1.0183453309780521)</f>
        <v>1.018345331</v>
      </c>
      <c r="AN1217" s="82">
        <f>IFERROR(__xludf.DUMMYFUNCTION("""COMPUTED_VALUE"""),1.1412294399289926)</f>
        <v>1.14122944</v>
      </c>
      <c r="AO1217" s="82">
        <f>IFERROR(__xludf.DUMMYFUNCTION("""COMPUTED_VALUE"""),1.3235164413454918)</f>
        <v>1.323516441</v>
      </c>
      <c r="AP1217" s="82">
        <f>IFERROR(__xludf.DUMMYFUNCTION("""COMPUTED_VALUE"""),1.1835670921972983)</f>
        <v>1.183567092</v>
      </c>
      <c r="AQ1217" s="82">
        <f>IFERROR(__xludf.DUMMYFUNCTION("""COMPUTED_VALUE"""),1.1281217620124782)</f>
        <v>1.128121762</v>
      </c>
      <c r="AR1217" s="82">
        <f>IFERROR(__xludf.DUMMYFUNCTION("""COMPUTED_VALUE"""),1.1560515625381653)</f>
        <v>1.156051563</v>
      </c>
      <c r="AS1217" s="82">
        <f>IFERROR(__xludf.DUMMYFUNCTION("""COMPUTED_VALUE"""),88.0)</f>
        <v>88</v>
      </c>
      <c r="AT1217" s="82">
        <f>IFERROR(__xludf.DUMMYFUNCTION("""COMPUTED_VALUE"""),0.48264119864186195)</f>
        <v>0.4826411986</v>
      </c>
      <c r="AU1217" s="82">
        <f>IFERROR(__xludf.DUMMYFUNCTION("""COMPUTED_VALUE"""),2.544921196795944)</f>
        <v>2.544921197</v>
      </c>
      <c r="AV1217" s="82">
        <f>IFERROR(__xludf.DUMMYFUNCTION("""COMPUTED_VALUE"""),76.2002558238875)</f>
        <v>76.20025582</v>
      </c>
      <c r="AW1217" s="82">
        <f t="shared" si="1"/>
        <v>6.788085324</v>
      </c>
      <c r="AX1217" s="83">
        <f t="array" ref="AX1217">IFERROR(DGET('SBV Import'!A:G,"SBV",{"RSC ID","Tier";B1217,A1217}))</f>
        <v>62.35898883</v>
      </c>
      <c r="AY1217" s="82">
        <f t="shared" si="2"/>
        <v>3.22034084</v>
      </c>
      <c r="AZ1217" s="82">
        <v>3.567744483540849</v>
      </c>
      <c r="BA1217" s="84">
        <v>1200.0</v>
      </c>
      <c r="BB1217" s="84" t="b">
        <f>IFERROR(__xludf.DUMMYFUNCTION("iferror(if(A1217="""",,E1217&gt;=FILTER(Constants!$F$2:$F$10,Constants!$A$2:$A$10=A1217)))"),TRUE)</f>
        <v>1</v>
      </c>
    </row>
    <row r="1218">
      <c r="A1218" s="89" t="str">
        <f>IFERROR(__xludf.DUMMYFUNCTION("""COMPUTED_VALUE"""),"Veteran")</f>
        <v>Veteran</v>
      </c>
      <c r="B1218" s="87" t="str">
        <f>IFERROR(__xludf.DUMMYFUNCTION("""COMPUTED_VALUE"""),"RSC005257")</f>
        <v>RSC005257</v>
      </c>
      <c r="C1218" s="73" t="str">
        <f>IFERROR(__xludf.DUMMYFUNCTION("""COMPUTED_VALUE"""),"P0pfgf")</f>
        <v>P0pfgf</v>
      </c>
      <c r="D1218" s="73" t="str">
        <f>IFERROR(__xludf.DUMMYFUNCTION("""COMPUTED_VALUE"""),"Mosaic Maestros")</f>
        <v>Mosaic Maestros</v>
      </c>
      <c r="E1218" s="82">
        <f>IFERROR(__xludf.DUMMYFUNCTION("""COMPUTED_VALUE"""),41.0)</f>
        <v>41</v>
      </c>
      <c r="F1218" s="82">
        <f>IFERROR(__xludf.DUMMYFUNCTION("""COMPUTED_VALUE"""),24.0)</f>
        <v>24</v>
      </c>
      <c r="G1218" s="86">
        <f>IFERROR(__xludf.DUMMYFUNCTION("""COMPUTED_VALUE"""),17.0)</f>
        <v>17</v>
      </c>
      <c r="H1218" s="86">
        <f>IFERROR(__xludf.DUMMYFUNCTION("""COMPUTED_VALUE"""),0.5853658536585366)</f>
        <v>0.5853658537</v>
      </c>
      <c r="I1218" s="86">
        <f>IFERROR(__xludf.DUMMYFUNCTION("""COMPUTED_VALUE"""),0.25757575757575757)</f>
        <v>0.2575757576</v>
      </c>
      <c r="J1218" s="82">
        <f>IFERROR(__xludf.DUMMYFUNCTION("""COMPUTED_VALUE"""),377.3170731707317)</f>
        <v>377.3170732</v>
      </c>
      <c r="K1218" s="82">
        <f>IFERROR(__xludf.DUMMYFUNCTION("""COMPUTED_VALUE"""),0.8292682926829268)</f>
        <v>0.8292682927</v>
      </c>
      <c r="L1218" s="82">
        <f>IFERROR(__xludf.DUMMYFUNCTION("""COMPUTED_VALUE"""),0.8780487804878049)</f>
        <v>0.8780487805</v>
      </c>
      <c r="M1218" s="82">
        <f>IFERROR(__xludf.DUMMYFUNCTION("""COMPUTED_VALUE"""),1.4146341463414633)</f>
        <v>1.414634146</v>
      </c>
      <c r="N1218" s="82">
        <f>IFERROR(__xludf.DUMMYFUNCTION("""COMPUTED_VALUE"""),3.2195121951219514)</f>
        <v>3.219512195</v>
      </c>
      <c r="O1218" s="82">
        <f>IFERROR(__xludf.DUMMYFUNCTION("""COMPUTED_VALUE"""),373.6260162601626)</f>
        <v>373.6260163</v>
      </c>
      <c r="P1218" s="82">
        <f>IFERROR(__xludf.DUMMYFUNCTION("""COMPUTED_VALUE"""),0.8211382113821137)</f>
        <v>0.8211382114</v>
      </c>
      <c r="Q1218" s="82">
        <f>IFERROR(__xludf.DUMMYFUNCTION("""COMPUTED_VALUE"""),0.5934959349593496)</f>
        <v>0.593495935</v>
      </c>
      <c r="R1218" s="82">
        <f>IFERROR(__xludf.DUMMYFUNCTION("""COMPUTED_VALUE"""),1.5284552845528456)</f>
        <v>1.528455285</v>
      </c>
      <c r="S1218" s="82">
        <f>IFERROR(__xludf.DUMMYFUNCTION("""COMPUTED_VALUE"""),2.5447154471544726)</f>
        <v>2.544715447</v>
      </c>
      <c r="T1218" s="82">
        <f>IFERROR(__xludf.DUMMYFUNCTION("""COMPUTED_VALUE"""),354.7328716994595)</f>
        <v>354.7328717</v>
      </c>
      <c r="U1218" s="82">
        <f>IFERROR(__xludf.DUMMYFUNCTION("""COMPUTED_VALUE"""),0.787627033659244)</f>
        <v>0.7876270337</v>
      </c>
      <c r="V1218" s="82">
        <f>IFERROR(__xludf.DUMMYFUNCTION("""COMPUTED_VALUE"""),0.5874720298050133)</f>
        <v>0.5874720298</v>
      </c>
      <c r="W1218" s="82">
        <f>IFERROR(__xludf.DUMMYFUNCTION("""COMPUTED_VALUE"""),1.398803885052322)</f>
        <v>1.398803885</v>
      </c>
      <c r="X1218" s="82">
        <f>IFERROR(__xludf.DUMMYFUNCTION("""COMPUTED_VALUE"""),2.609401925083313)</f>
        <v>2.609401925</v>
      </c>
      <c r="Y1218" s="82">
        <f>IFERROR(__xludf.DUMMYFUNCTION("""COMPUTED_VALUE"""),360.12292286351567)</f>
        <v>360.1229229</v>
      </c>
      <c r="Z1218" s="82">
        <f>IFERROR(__xludf.DUMMYFUNCTION("""COMPUTED_VALUE"""),0.825189172922246)</f>
        <v>0.8251891729</v>
      </c>
      <c r="AA1218" s="82">
        <f>IFERROR(__xludf.DUMMYFUNCTION("""COMPUTED_VALUE"""),0.5914069582967146)</f>
        <v>0.5914069583</v>
      </c>
      <c r="AB1218" s="82">
        <f>IFERROR(__xludf.DUMMYFUNCTION("""COMPUTED_VALUE"""),1.3606754530362493)</f>
        <v>1.360675453</v>
      </c>
      <c r="AC1218" s="82">
        <f>IFERROR(__xludf.DUMMYFUNCTION("""COMPUTED_VALUE"""),2.7095831375911015)</f>
        <v>2.709583138</v>
      </c>
      <c r="AD1218" s="82">
        <f>IFERROR(__xludf.DUMMYFUNCTION("""COMPUTED_VALUE"""),1.0477452259092446)</f>
        <v>1.047745226</v>
      </c>
      <c r="AE1218" s="82">
        <f>IFERROR(__xludf.DUMMYFUNCTION("""COMPUTED_VALUE"""),1.0049432540980092)</f>
        <v>1.004943254</v>
      </c>
      <c r="AF1218" s="82">
        <f>IFERROR(__xludf.DUMMYFUNCTION("""COMPUTED_VALUE"""),1.4846777978680448)</f>
        <v>1.484677798</v>
      </c>
      <c r="AG1218" s="82">
        <f>IFERROR(__xludf.DUMMYFUNCTION("""COMPUTED_VALUE"""),1.0396558144595092)</f>
        <v>1.039655814</v>
      </c>
      <c r="AH1218" s="82">
        <f>IFERROR(__xludf.DUMMYFUNCTION("""COMPUTED_VALUE"""),1.1881946526963523)</f>
        <v>1.188194653</v>
      </c>
      <c r="AI1218" s="82">
        <f>IFERROR(__xludf.DUMMYFUNCTION("""COMPUTED_VALUE"""),1.053260202445264)</f>
        <v>1.053260202</v>
      </c>
      <c r="AJ1218" s="82">
        <f>IFERROR(__xludf.DUMMYFUNCTION("""COMPUTED_VALUE"""),1.0425470131048953)</f>
        <v>1.042547013</v>
      </c>
      <c r="AK1218" s="82">
        <f>IFERROR(__xludf.DUMMYFUNCTION("""COMPUTED_VALUE"""),1.0102539437602427)</f>
        <v>1.010253944</v>
      </c>
      <c r="AL1218" s="82">
        <f>IFERROR(__xludf.DUMMYFUNCTION("""COMPUTED_VALUE"""),1.092687331573771)</f>
        <v>1.092687332</v>
      </c>
      <c r="AM1218" s="82">
        <f>IFERROR(__xludf.DUMMYFUNCTION("""COMPUTED_VALUE"""),0.9752102283258739)</f>
        <v>0.9752102283</v>
      </c>
      <c r="AN1218" s="82">
        <f>IFERROR(__xludf.DUMMYFUNCTION("""COMPUTED_VALUE"""),1.0914489980943618)</f>
        <v>1.091448998</v>
      </c>
      <c r="AO1218" s="82">
        <f>IFERROR(__xludf.DUMMYFUNCTION("""COMPUTED_VALUE"""),1.0975502196523592)</f>
        <v>1.09755022</v>
      </c>
      <c r="AP1218" s="82">
        <f>IFERROR(__xludf.DUMMYFUNCTION("""COMPUTED_VALUE"""),1.5796290557325892)</f>
        <v>1.579629056</v>
      </c>
      <c r="AQ1218" s="82">
        <f>IFERROR(__xludf.DUMMYFUNCTION("""COMPUTED_VALUE"""),1.045576267231077)</f>
        <v>1.045576267</v>
      </c>
      <c r="AR1218" s="82">
        <f>IFERROR(__xludf.DUMMYFUNCTION("""COMPUTED_VALUE"""),1.2627949994972645)</f>
        <v>1.262794999</v>
      </c>
      <c r="AS1218" s="82">
        <f>IFERROR(__xludf.DUMMYFUNCTION("""COMPUTED_VALUE"""),112.0)</f>
        <v>112</v>
      </c>
      <c r="AT1218" s="82">
        <f>IFERROR(__xludf.DUMMYFUNCTION("""COMPUTED_VALUE"""),0.5413762666292917)</f>
        <v>0.5413762666</v>
      </c>
      <c r="AU1218" s="82">
        <f>IFERROR(__xludf.DUMMYFUNCTION("""COMPUTED_VALUE"""),2.495969527282474)</f>
        <v>2.495969527</v>
      </c>
      <c r="AV1218" s="82">
        <f>IFERROR(__xludf.DUMMYFUNCTION("""COMPUTED_VALUE"""),74.45013114677533)</f>
        <v>74.45013115</v>
      </c>
      <c r="AW1218" s="82">
        <f t="shared" si="1"/>
        <v>6.096227806</v>
      </c>
      <c r="AX1218" s="83">
        <f t="array" ref="AX1218">IFERROR(DGET('SBV Import'!A:G,"SBV",{"RSC ID","Tier";B1218,A1218}))</f>
        <v>60.43609759</v>
      </c>
      <c r="AY1218" s="82">
        <f t="shared" si="2"/>
        <v>2.957032481</v>
      </c>
      <c r="AZ1218" s="82">
        <v>3.139195324401365</v>
      </c>
      <c r="BA1218" s="84">
        <v>1200.0</v>
      </c>
      <c r="BB1218" s="84" t="b">
        <f>IFERROR(__xludf.DUMMYFUNCTION("iferror(if(A1218="""",,E1218&gt;=FILTER(Constants!$F$2:$F$10,Constants!$A$2:$A$10=A1218)))"),TRUE)</f>
        <v>1</v>
      </c>
    </row>
    <row r="1219">
      <c r="A1219" s="89" t="str">
        <f>IFERROR(__xludf.DUMMYFUNCTION("""COMPUTED_VALUE"""),"Veteran")</f>
        <v>Veteran</v>
      </c>
      <c r="B1219" s="87" t="str">
        <f>IFERROR(__xludf.DUMMYFUNCTION("""COMPUTED_VALUE"""),"RSC007655")</f>
        <v>RSC007655</v>
      </c>
      <c r="C1219" s="73" t="str">
        <f>IFERROR(__xludf.DUMMYFUNCTION("""COMPUTED_VALUE"""),"Dx Geo xD")</f>
        <v>Dx Geo xD</v>
      </c>
      <c r="D1219" s="73" t="str">
        <f>IFERROR(__xludf.DUMMYFUNCTION("""COMPUTED_VALUE"""),"Water")</f>
        <v>Water</v>
      </c>
      <c r="E1219" s="82">
        <f>IFERROR(__xludf.DUMMYFUNCTION("""COMPUTED_VALUE"""),36.0)</f>
        <v>36</v>
      </c>
      <c r="F1219" s="82">
        <f>IFERROR(__xludf.DUMMYFUNCTION("""COMPUTED_VALUE"""),20.0)</f>
        <v>20</v>
      </c>
      <c r="G1219" s="86">
        <f>IFERROR(__xludf.DUMMYFUNCTION("""COMPUTED_VALUE"""),16.0)</f>
        <v>16</v>
      </c>
      <c r="H1219" s="86">
        <f>IFERROR(__xludf.DUMMYFUNCTION("""COMPUTED_VALUE"""),0.5555555555555556)</f>
        <v>0.5555555556</v>
      </c>
      <c r="I1219" s="86">
        <f>IFERROR(__xludf.DUMMYFUNCTION("""COMPUTED_VALUE"""),0.3529411764705882)</f>
        <v>0.3529411765</v>
      </c>
      <c r="J1219" s="82">
        <f>IFERROR(__xludf.DUMMYFUNCTION("""COMPUTED_VALUE"""),382.44444444444446)</f>
        <v>382.4444444</v>
      </c>
      <c r="K1219" s="82">
        <f>IFERROR(__xludf.DUMMYFUNCTION("""COMPUTED_VALUE"""),1.0)</f>
        <v>1</v>
      </c>
      <c r="L1219" s="82">
        <f>IFERROR(__xludf.DUMMYFUNCTION("""COMPUTED_VALUE"""),0.5277777777777778)</f>
        <v>0.5277777778</v>
      </c>
      <c r="M1219" s="82">
        <f>IFERROR(__xludf.DUMMYFUNCTION("""COMPUTED_VALUE"""),1.3333333333333333)</f>
        <v>1.333333333</v>
      </c>
      <c r="N1219" s="82">
        <f>IFERROR(__xludf.DUMMYFUNCTION("""COMPUTED_VALUE"""),2.8333333333333335)</f>
        <v>2.833333333</v>
      </c>
      <c r="O1219" s="82">
        <f>IFERROR(__xludf.DUMMYFUNCTION("""COMPUTED_VALUE"""),313.6666666666666)</f>
        <v>313.6666667</v>
      </c>
      <c r="P1219" s="82">
        <f>IFERROR(__xludf.DUMMYFUNCTION("""COMPUTED_VALUE"""),0.6203703703703705)</f>
        <v>0.6203703704</v>
      </c>
      <c r="Q1219" s="82">
        <f>IFERROR(__xludf.DUMMYFUNCTION("""COMPUTED_VALUE"""),0.425925925925926)</f>
        <v>0.4259259259</v>
      </c>
      <c r="R1219" s="82">
        <f>IFERROR(__xludf.DUMMYFUNCTION("""COMPUTED_VALUE"""),1.1666666666666665)</f>
        <v>1.166666667</v>
      </c>
      <c r="S1219" s="82">
        <f>IFERROR(__xludf.DUMMYFUNCTION("""COMPUTED_VALUE"""),2.342592592592592)</f>
        <v>2.342592593</v>
      </c>
      <c r="T1219" s="82">
        <f>IFERROR(__xludf.DUMMYFUNCTION("""COMPUTED_VALUE"""),356.0249802877037)</f>
        <v>356.0249803</v>
      </c>
      <c r="U1219" s="82">
        <f>IFERROR(__xludf.DUMMYFUNCTION("""COMPUTED_VALUE"""),0.8051115125384221)</f>
        <v>0.8051115125</v>
      </c>
      <c r="V1219" s="82">
        <f>IFERROR(__xludf.DUMMYFUNCTION("""COMPUTED_VALUE"""),0.5728313527180817)</f>
        <v>0.5728313527</v>
      </c>
      <c r="W1219" s="82">
        <f>IFERROR(__xludf.DUMMYFUNCTION("""COMPUTED_VALUE"""),1.31976296412713)</f>
        <v>1.319762964</v>
      </c>
      <c r="X1219" s="82">
        <f>IFERROR(__xludf.DUMMYFUNCTION("""COMPUTED_VALUE"""),2.576607169317894)</f>
        <v>2.576607169</v>
      </c>
      <c r="Y1219" s="82">
        <f>IFERROR(__xludf.DUMMYFUNCTION("""COMPUTED_VALUE"""),359.2494462269516)</f>
        <v>359.2494462</v>
      </c>
      <c r="Z1219" s="82">
        <f>IFERROR(__xludf.DUMMYFUNCTION("""COMPUTED_VALUE"""),0.8207438579066877)</f>
        <v>0.8207438579</v>
      </c>
      <c r="AA1219" s="82">
        <f>IFERROR(__xludf.DUMMYFUNCTION("""COMPUTED_VALUE"""),0.5990846343850785)</f>
        <v>0.5990846344</v>
      </c>
      <c r="AB1219" s="82">
        <f>IFERROR(__xludf.DUMMYFUNCTION("""COMPUTED_VALUE"""),1.3287314357955624)</f>
        <v>1.328731436</v>
      </c>
      <c r="AC1219" s="82">
        <f>IFERROR(__xludf.DUMMYFUNCTION("""COMPUTED_VALUE"""),2.692710557188479)</f>
        <v>2.692710557</v>
      </c>
      <c r="AD1219" s="82">
        <f>IFERROR(__xludf.DUMMYFUNCTION("""COMPUTED_VALUE"""),1.064565160673455)</f>
        <v>1.064565161</v>
      </c>
      <c r="AE1219" s="82">
        <f>IFERROR(__xludf.DUMMYFUNCTION("""COMPUTED_VALUE"""),1.2184069248480351)</f>
        <v>1.218406925</v>
      </c>
      <c r="AF1219" s="82">
        <f>IFERROR(__xludf.DUMMYFUNCTION("""COMPUTED_VALUE"""),0.8809736512763466)</f>
        <v>0.8809736513</v>
      </c>
      <c r="AG1219" s="82">
        <f>IFERROR(__xludf.DUMMYFUNCTION("""COMPUTED_VALUE"""),1.0034633767319696)</f>
        <v>1.003463377</v>
      </c>
      <c r="AH1219" s="82">
        <f>IFERROR(__xludf.DUMMYFUNCTION("""COMPUTED_VALUE"""),1.0522235023624975)</f>
        <v>1.052223502</v>
      </c>
      <c r="AI1219" s="82">
        <f>IFERROR(__xludf.DUMMYFUNCTION("""COMPUTED_VALUE"""),0.8810243214203469)</f>
        <v>0.8810243214</v>
      </c>
      <c r="AJ1219" s="82">
        <f>IFERROR(__xludf.DUMMYFUNCTION("""COMPUTED_VALUE"""),0.7705396838934964)</f>
        <v>0.7705396839</v>
      </c>
      <c r="AK1219" s="82">
        <f>IFERROR(__xludf.DUMMYFUNCTION("""COMPUTED_VALUE"""),0.7435450659341702)</f>
        <v>0.7435450659</v>
      </c>
      <c r="AL1219" s="82">
        <f>IFERROR(__xludf.DUMMYFUNCTION("""COMPUTED_VALUE"""),0.8839971255279777)</f>
        <v>0.8839971255</v>
      </c>
      <c r="AM1219" s="82">
        <f>IFERROR(__xludf.DUMMYFUNCTION("""COMPUTED_VALUE"""),0.9091772391570063)</f>
        <v>0.9091772392</v>
      </c>
      <c r="AN1219" s="82">
        <f>IFERROR(__xludf.DUMMYFUNCTION("""COMPUTED_VALUE"""),1.1062807262017706)</f>
        <v>1.106280726</v>
      </c>
      <c r="AO1219" s="82">
        <f>IFERROR(__xludf.DUMMYFUNCTION("""COMPUTED_VALUE"""),1.3235164413454918)</f>
        <v>1.323516441</v>
      </c>
      <c r="AP1219" s="82">
        <f>IFERROR(__xludf.DUMMYFUNCTION("""COMPUTED_VALUE"""),0.9494838228516103)</f>
        <v>0.9494838229</v>
      </c>
      <c r="AQ1219" s="82">
        <f>IFERROR(__xludf.DUMMYFUNCTION("""COMPUTED_VALUE"""),0.9854856771603255)</f>
        <v>0.9854856772</v>
      </c>
      <c r="AR1219" s="82">
        <f>IFERROR(__xludf.DUMMYFUNCTION("""COMPUTED_VALUE"""),1.1113233770828197)</f>
        <v>1.111323377</v>
      </c>
      <c r="AS1219" s="82">
        <f>IFERROR(__xludf.DUMMYFUNCTION("""COMPUTED_VALUE"""),91.0)</f>
        <v>91</v>
      </c>
      <c r="AT1219" s="82">
        <f>IFERROR(__xludf.DUMMYFUNCTION("""COMPUTED_VALUE"""),0.6149276607409367)</f>
        <v>0.6149276607</v>
      </c>
      <c r="AU1219" s="82">
        <f>IFERROR(__xludf.DUMMYFUNCTION("""COMPUTED_VALUE"""),2.493513815400986)</f>
        <v>2.493513815</v>
      </c>
      <c r="AV1219" s="82">
        <f>IFERROR(__xludf.DUMMYFUNCTION("""COMPUTED_VALUE"""),74.3623343053931)</f>
        <v>74.36233431</v>
      </c>
      <c r="AW1219" s="82">
        <f t="shared" si="1"/>
        <v>6.06406757</v>
      </c>
      <c r="AX1219" s="83">
        <f t="array" ref="AX1219">IFERROR(DGET('SBV Import'!A:G,"SBV",{"RSC ID","Tier";B1219,A1219}))</f>
        <v>65.06680049</v>
      </c>
      <c r="AY1219" s="82">
        <f t="shared" si="2"/>
        <v>3.658133529</v>
      </c>
      <c r="AZ1219" s="82">
        <v>2.4059340416542025</v>
      </c>
      <c r="BA1219" s="84">
        <v>1200.0</v>
      </c>
      <c r="BB1219" s="84" t="b">
        <f>IFERROR(__xludf.DUMMYFUNCTION("iferror(if(A1219="""",,E1219&gt;=FILTER(Constants!$F$2:$F$10,Constants!$A$2:$A$10=A1219)))"),TRUE)</f>
        <v>1</v>
      </c>
    </row>
    <row r="1220">
      <c r="A1220" s="89" t="str">
        <f>IFERROR(__xludf.DUMMYFUNCTION("""COMPUTED_VALUE"""),"Veteran")</f>
        <v>Veteran</v>
      </c>
      <c r="B1220" s="87" t="str">
        <f>IFERROR(__xludf.DUMMYFUNCTION("""COMPUTED_VALUE"""),"RSC007855")</f>
        <v>RSC007855</v>
      </c>
      <c r="C1220" s="73" t="str">
        <f>IFERROR(__xludf.DUMMYFUNCTION("""COMPUTED_VALUE"""),"Dub_Dill")</f>
        <v>Dub_Dill</v>
      </c>
      <c r="D1220" s="73" t="str">
        <f>IFERROR(__xludf.DUMMYFUNCTION("""COMPUTED_VALUE"""),"Legati")</f>
        <v>Legati</v>
      </c>
      <c r="E1220" s="82">
        <f>IFERROR(__xludf.DUMMYFUNCTION("""COMPUTED_VALUE"""),28.0)</f>
        <v>28</v>
      </c>
      <c r="F1220" s="82">
        <f>IFERROR(__xludf.DUMMYFUNCTION("""COMPUTED_VALUE"""),20.0)</f>
        <v>20</v>
      </c>
      <c r="G1220" s="86">
        <f>IFERROR(__xludf.DUMMYFUNCTION("""COMPUTED_VALUE"""),8.0)</f>
        <v>8</v>
      </c>
      <c r="H1220" s="86">
        <f>IFERROR(__xludf.DUMMYFUNCTION("""COMPUTED_VALUE"""),0.7142857142857143)</f>
        <v>0.7142857143</v>
      </c>
      <c r="I1220" s="86">
        <f>IFERROR(__xludf.DUMMYFUNCTION("""COMPUTED_VALUE"""),0.3116883116883117)</f>
        <v>0.3116883117</v>
      </c>
      <c r="J1220" s="82">
        <f>IFERROR(__xludf.DUMMYFUNCTION("""COMPUTED_VALUE"""),346.57142857142856)</f>
        <v>346.5714286</v>
      </c>
      <c r="K1220" s="82">
        <f>IFERROR(__xludf.DUMMYFUNCTION("""COMPUTED_VALUE"""),0.8571428571428571)</f>
        <v>0.8571428571</v>
      </c>
      <c r="L1220" s="82">
        <f>IFERROR(__xludf.DUMMYFUNCTION("""COMPUTED_VALUE"""),0.9285714285714286)</f>
        <v>0.9285714286</v>
      </c>
      <c r="M1220" s="82">
        <f>IFERROR(__xludf.DUMMYFUNCTION("""COMPUTED_VALUE"""),0.9285714285714286)</f>
        <v>0.9285714286</v>
      </c>
      <c r="N1220" s="82">
        <f>IFERROR(__xludf.DUMMYFUNCTION("""COMPUTED_VALUE"""),2.75)</f>
        <v>2.75</v>
      </c>
      <c r="O1220" s="82">
        <f>IFERROR(__xludf.DUMMYFUNCTION("""COMPUTED_VALUE"""),352.5476190476191)</f>
        <v>352.547619</v>
      </c>
      <c r="P1220" s="82">
        <f>IFERROR(__xludf.DUMMYFUNCTION("""COMPUTED_VALUE"""),0.7857142857142858)</f>
        <v>0.7857142857</v>
      </c>
      <c r="Q1220" s="82">
        <f>IFERROR(__xludf.DUMMYFUNCTION("""COMPUTED_VALUE"""),0.5476190476190477)</f>
        <v>0.5476190476</v>
      </c>
      <c r="R1220" s="82">
        <f>IFERROR(__xludf.DUMMYFUNCTION("""COMPUTED_VALUE"""),1.4285714285714286)</f>
        <v>1.428571429</v>
      </c>
      <c r="S1220" s="82">
        <f>IFERROR(__xludf.DUMMYFUNCTION("""COMPUTED_VALUE"""),2.5714285714285703)</f>
        <v>2.571428571</v>
      </c>
      <c r="T1220" s="82">
        <f>IFERROR(__xludf.DUMMYFUNCTION("""COMPUTED_VALUE"""),352.4278719136743)</f>
        <v>352.4278719</v>
      </c>
      <c r="U1220" s="82">
        <f>IFERROR(__xludf.DUMMYFUNCTION("""COMPUTED_VALUE"""),0.7900730826423124)</f>
        <v>0.7900730826</v>
      </c>
      <c r="V1220" s="82">
        <f>IFERROR(__xludf.DUMMYFUNCTION("""COMPUTED_VALUE"""),0.5926217364133216)</f>
        <v>0.5926217364</v>
      </c>
      <c r="W1220" s="82">
        <f>IFERROR(__xludf.DUMMYFUNCTION("""COMPUTED_VALUE"""),1.3104743538302226)</f>
        <v>1.310474354</v>
      </c>
      <c r="X1220" s="82">
        <f>IFERROR(__xludf.DUMMYFUNCTION("""COMPUTED_VALUE"""),2.6733259122844486)</f>
        <v>2.673325912</v>
      </c>
      <c r="Y1220" s="82">
        <f>IFERROR(__xludf.DUMMYFUNCTION("""COMPUTED_VALUE"""),360.23821182041064)</f>
        <v>360.2382118</v>
      </c>
      <c r="Z1220" s="82">
        <f>IFERROR(__xludf.DUMMYFUNCTION("""COMPUTED_VALUE"""),0.8026973644812319)</f>
        <v>0.8026973645</v>
      </c>
      <c r="AA1220" s="82">
        <f>IFERROR(__xludf.DUMMYFUNCTION("""COMPUTED_VALUE"""),0.5925606141838957)</f>
        <v>0.5925606142</v>
      </c>
      <c r="AB1220" s="82">
        <f>IFERROR(__xludf.DUMMYFUNCTION("""COMPUTED_VALUE"""),1.4136821120367842)</f>
        <v>1.413682112</v>
      </c>
      <c r="AC1220" s="82">
        <f>IFERROR(__xludf.DUMMYFUNCTION("""COMPUTED_VALUE"""),2.6299239981100686)</f>
        <v>2.629923998</v>
      </c>
      <c r="AD1220" s="82">
        <f>IFERROR(__xludf.DUMMYFUNCTION("""COMPUTED_VALUE"""),0.9620618168741205)</f>
        <v>0.9620618169</v>
      </c>
      <c r="AE1220" s="82">
        <f>IFERROR(__xludf.DUMMYFUNCTION("""COMPUTED_VALUE"""),1.0678281692089675)</f>
        <v>1.067828169</v>
      </c>
      <c r="AF1220" s="82">
        <f>IFERROR(__xludf.DUMMYFUNCTION("""COMPUTED_VALUE"""),1.5670488492562131)</f>
        <v>1.567048849</v>
      </c>
      <c r="AG1220" s="82">
        <f>IFERROR(__xludf.DUMMYFUNCTION("""COMPUTED_VALUE"""),0.6568459915175521)</f>
        <v>0.6568459915</v>
      </c>
      <c r="AH1220" s="82">
        <f>IFERROR(__xludf.DUMMYFUNCTION("""COMPUTED_VALUE"""),1.045657593898615)</f>
        <v>1.045657594</v>
      </c>
      <c r="AI1220" s="82">
        <f>IFERROR(__xludf.DUMMYFUNCTION("""COMPUTED_VALUE"""),1.000339777706271)</f>
        <v>1.000339778</v>
      </c>
      <c r="AJ1220" s="82">
        <f>IFERROR(__xludf.DUMMYFUNCTION("""COMPUTED_VALUE"""),0.9944830459057673)</f>
        <v>0.9944830459</v>
      </c>
      <c r="AK1220" s="82">
        <f>IFERROR(__xludf.DUMMYFUNCTION("""COMPUTED_VALUE"""),0.9240616973203848)</f>
        <v>0.9240616973</v>
      </c>
      <c r="AL1220" s="82">
        <f>IFERROR(__xludf.DUMMYFUNCTION("""COMPUTED_VALUE"""),1.090117806881176)</f>
        <v>1.090117807</v>
      </c>
      <c r="AM1220" s="82">
        <f>IFERROR(__xludf.DUMMYFUNCTION("""COMPUTED_VALUE"""),0.9618836819006465)</f>
        <v>0.9618836819</v>
      </c>
      <c r="AN1220" s="82">
        <f>IFERROR(__xludf.DUMMYFUNCTION("""COMPUTED_VALUE"""),1.0025123838254113)</f>
        <v>1.002512384</v>
      </c>
      <c r="AO1220" s="82">
        <f>IFERROR(__xludf.DUMMYFUNCTION("""COMPUTED_VALUE"""),1.1344426640104215)</f>
        <v>1.134442664</v>
      </c>
      <c r="AP1220" s="82">
        <f>IFERROR(__xludf.DUMMYFUNCTION("""COMPUTED_VALUE"""),1.6705204101299007)</f>
        <v>1.67052041</v>
      </c>
      <c r="AQ1220" s="82">
        <f>IFERROR(__xludf.DUMMYFUNCTION("""COMPUTED_VALUE"""),0.6863203823080839)</f>
        <v>0.6863203823</v>
      </c>
      <c r="AR1220" s="82">
        <f>IFERROR(__xludf.DUMMYFUNCTION("""COMPUTED_VALUE"""),1.0786373954039132)</f>
        <v>1.078637395</v>
      </c>
      <c r="AS1220" s="82">
        <f>IFERROR(__xludf.DUMMYFUNCTION("""COMPUTED_VALUE"""),96.0)</f>
        <v>96</v>
      </c>
      <c r="AT1220" s="82">
        <f>IFERROR(__xludf.DUMMYFUNCTION("""COMPUTED_VALUE"""),0.6502448063936591)</f>
        <v>0.6502448064</v>
      </c>
      <c r="AU1220" s="82">
        <f>IFERROR(__xludf.DUMMYFUNCTION("""COMPUTED_VALUE"""),2.483177512814222)</f>
        <v>2.483177513</v>
      </c>
      <c r="AV1220" s="82">
        <f>IFERROR(__xludf.DUMMYFUNCTION("""COMPUTED_VALUE"""),73.9927898463994)</f>
        <v>73.99278985</v>
      </c>
      <c r="AW1220" s="82">
        <f t="shared" si="1"/>
        <v>5.931191302</v>
      </c>
      <c r="AX1220" s="83">
        <f t="array" ref="AX1220">IFERROR(DGET('SBV Import'!A:G,"SBV",{"RSC ID","Tier";B1220,A1220}))</f>
        <v>49.47652961</v>
      </c>
      <c r="AY1220" s="82">
        <f t="shared" si="2"/>
        <v>-2.033978706</v>
      </c>
      <c r="AZ1220" s="82">
        <v>7.965170008817712</v>
      </c>
      <c r="BA1220" s="84">
        <v>1200.0</v>
      </c>
      <c r="BB1220" s="84" t="b">
        <f>IFERROR(__xludf.DUMMYFUNCTION("iferror(if(A1220="""",,E1220&gt;=FILTER(Constants!$F$2:$F$10,Constants!$A$2:$A$10=A1220)))"),TRUE)</f>
        <v>1</v>
      </c>
    </row>
    <row r="1221">
      <c r="A1221" s="89" t="str">
        <f>IFERROR(__xludf.DUMMYFUNCTION("""COMPUTED_VALUE"""),"Veteran")</f>
        <v>Veteran</v>
      </c>
      <c r="B1221" s="87" t="str">
        <f>IFERROR(__xludf.DUMMYFUNCTION("""COMPUTED_VALUE"""),"RSC008007")</f>
        <v>RSC008007</v>
      </c>
      <c r="C1221" s="73" t="str">
        <f>IFERROR(__xludf.DUMMYFUNCTION("""COMPUTED_VALUE"""),"Frog_Boot")</f>
        <v>Frog_Boot</v>
      </c>
      <c r="D1221" s="73" t="str">
        <f>IFERROR(__xludf.DUMMYFUNCTION("""COMPUTED_VALUE"""),"Folks")</f>
        <v>Folks</v>
      </c>
      <c r="E1221" s="82">
        <f>IFERROR(__xludf.DUMMYFUNCTION("""COMPUTED_VALUE"""),46.0)</f>
        <v>46</v>
      </c>
      <c r="F1221" s="82">
        <f>IFERROR(__xludf.DUMMYFUNCTION("""COMPUTED_VALUE"""),26.0)</f>
        <v>26</v>
      </c>
      <c r="G1221" s="86">
        <f>IFERROR(__xludf.DUMMYFUNCTION("""COMPUTED_VALUE"""),20.0)</f>
        <v>20</v>
      </c>
      <c r="H1221" s="86">
        <f>IFERROR(__xludf.DUMMYFUNCTION("""COMPUTED_VALUE"""),0.5652173913043478)</f>
        <v>0.5652173913</v>
      </c>
      <c r="I1221" s="86">
        <f>IFERROR(__xludf.DUMMYFUNCTION("""COMPUTED_VALUE"""),0.3157894736842105)</f>
        <v>0.3157894737</v>
      </c>
      <c r="J1221" s="82">
        <f>IFERROR(__xludf.DUMMYFUNCTION("""COMPUTED_VALUE"""),390.0217391304348)</f>
        <v>390.0217391</v>
      </c>
      <c r="K1221" s="82">
        <f>IFERROR(__xludf.DUMMYFUNCTION("""COMPUTED_VALUE"""),0.9130434782608695)</f>
        <v>0.9130434783</v>
      </c>
      <c r="L1221" s="82">
        <f>IFERROR(__xludf.DUMMYFUNCTION("""COMPUTED_VALUE"""),0.5652173913043478)</f>
        <v>0.5652173913</v>
      </c>
      <c r="M1221" s="82">
        <f>IFERROR(__xludf.DUMMYFUNCTION("""COMPUTED_VALUE"""),1.4130434782608696)</f>
        <v>1.413043478</v>
      </c>
      <c r="N1221" s="82">
        <f>IFERROR(__xludf.DUMMYFUNCTION("""COMPUTED_VALUE"""),2.891304347826087)</f>
        <v>2.891304348</v>
      </c>
      <c r="O1221" s="82">
        <f>IFERROR(__xludf.DUMMYFUNCTION("""COMPUTED_VALUE"""),323.49275362318843)</f>
        <v>323.4927536</v>
      </c>
      <c r="P1221" s="82">
        <f>IFERROR(__xludf.DUMMYFUNCTION("""COMPUTED_VALUE"""),0.6304347826086957)</f>
        <v>0.6304347826</v>
      </c>
      <c r="Q1221" s="82">
        <f>IFERROR(__xludf.DUMMYFUNCTION("""COMPUTED_VALUE"""),0.5362318840579711)</f>
        <v>0.5362318841</v>
      </c>
      <c r="R1221" s="82">
        <f>IFERROR(__xludf.DUMMYFUNCTION("""COMPUTED_VALUE"""),1.2753623188405796)</f>
        <v>1.275362319</v>
      </c>
      <c r="S1221" s="82">
        <f>IFERROR(__xludf.DUMMYFUNCTION("""COMPUTED_VALUE"""),2.289855072463768)</f>
        <v>2.289855072</v>
      </c>
      <c r="T1221" s="82">
        <f>IFERROR(__xludf.DUMMYFUNCTION("""COMPUTED_VALUE"""),361.45258575746374)</f>
        <v>361.4525858</v>
      </c>
      <c r="U1221" s="82">
        <f>IFERROR(__xludf.DUMMYFUNCTION("""COMPUTED_VALUE"""),0.8223507203253321)</f>
        <v>0.8223507203</v>
      </c>
      <c r="V1221" s="82">
        <f>IFERROR(__xludf.DUMMYFUNCTION("""COMPUTED_VALUE"""),0.5988864164047725)</f>
        <v>0.5988864164</v>
      </c>
      <c r="W1221" s="82">
        <f>IFERROR(__xludf.DUMMYFUNCTION("""COMPUTED_VALUE"""),1.383312028511411)</f>
        <v>1.383312029</v>
      </c>
      <c r="X1221" s="82">
        <f>IFERROR(__xludf.DUMMYFUNCTION("""COMPUTED_VALUE"""),2.6495290867490793)</f>
        <v>2.649529087</v>
      </c>
      <c r="Y1221" s="82">
        <f>IFERROR(__xludf.DUMMYFUNCTION("""COMPUTED_VALUE"""),353.08610512860577)</f>
        <v>353.0861051</v>
      </c>
      <c r="Z1221" s="82">
        <f>IFERROR(__xludf.DUMMYFUNCTION("""COMPUTED_VALUE"""),0.7897562738689785)</f>
        <v>0.7897562739</v>
      </c>
      <c r="AA1221" s="82">
        <f>IFERROR(__xludf.DUMMYFUNCTION("""COMPUTED_VALUE"""),0.5664121504890749)</f>
        <v>0.5664121505</v>
      </c>
      <c r="AB1221" s="82">
        <f>IFERROR(__xludf.DUMMYFUNCTION("""COMPUTED_VALUE"""),1.3437143275274626)</f>
        <v>1.343714328</v>
      </c>
      <c r="AC1221" s="82">
        <f>IFERROR(__xludf.DUMMYFUNCTION("""COMPUTED_VALUE"""),2.6533408874946764)</f>
        <v>2.653340887</v>
      </c>
      <c r="AD1221" s="82">
        <f>IFERROR(__xludf.DUMMYFUNCTION("""COMPUTED_VALUE"""),1.1046080076936924)</f>
        <v>1.104608008</v>
      </c>
      <c r="AE1221" s="82">
        <f>IFERROR(__xludf.DUMMYFUNCTION("""COMPUTED_VALUE"""),1.1561079138857775)</f>
        <v>1.156107914</v>
      </c>
      <c r="AF1221" s="82">
        <f>IFERROR(__xludf.DUMMYFUNCTION("""COMPUTED_VALUE"""),0.9978906540340007)</f>
        <v>0.997890654</v>
      </c>
      <c r="AG1221" s="82">
        <f>IFERROR(__xludf.DUMMYFUNCTION("""COMPUTED_VALUE"""),1.0515951562866626)</f>
        <v>1.051595156</v>
      </c>
      <c r="AH1221" s="82">
        <f>IFERROR(__xludf.DUMMYFUNCTION("""COMPUTED_VALUE"""),1.0896844658946552)</f>
        <v>1.089684466</v>
      </c>
      <c r="AI1221" s="82">
        <f>IFERROR(__xludf.DUMMYFUNCTION("""COMPUTED_VALUE"""),0.8949797743050412)</f>
        <v>0.8949797743</v>
      </c>
      <c r="AJ1221" s="82">
        <f>IFERROR(__xludf.DUMMYFUNCTION("""COMPUTED_VALUE"""),0.7666251965576049)</f>
        <v>0.7666251966</v>
      </c>
      <c r="AK1221" s="82">
        <f>IFERROR(__xludf.DUMMYFUNCTION("""COMPUTED_VALUE"""),0.8953816105515828)</f>
        <v>0.8953816106</v>
      </c>
      <c r="AL1221" s="82">
        <f>IFERROR(__xludf.DUMMYFUNCTION("""COMPUTED_VALUE"""),0.9219628634423163)</f>
        <v>0.9219628634</v>
      </c>
      <c r="AM1221" s="82">
        <f>IFERROR(__xludf.DUMMYFUNCTION("""COMPUTED_VALUE"""),0.8642498336462408)</f>
        <v>0.8642498336</v>
      </c>
      <c r="AN1221" s="82">
        <f>IFERROR(__xludf.DUMMYFUNCTION("""COMPUTED_VALUE"""),1.1281992432298822)</f>
        <v>1.128199243</v>
      </c>
      <c r="AO1221" s="82">
        <f>IFERROR(__xludf.DUMMYFUNCTION("""COMPUTED_VALUE"""),1.208428055141536)</f>
        <v>1.208428055</v>
      </c>
      <c r="AP1221" s="82">
        <f>IFERROR(__xludf.DUMMYFUNCTION("""COMPUTED_VALUE"""),1.0168385105138524)</f>
        <v>1.016838511</v>
      </c>
      <c r="AQ1221" s="82">
        <f>IFERROR(__xludf.DUMMYFUNCTION("""COMPUTED_VALUE"""),1.0444005817731712)</f>
        <v>1.044400582</v>
      </c>
      <c r="AR1221" s="82">
        <f>IFERROR(__xludf.DUMMYFUNCTION("""COMPUTED_VALUE"""),1.1340614512942329)</f>
        <v>1.134061451</v>
      </c>
      <c r="AS1221" s="82">
        <f>IFERROR(__xludf.DUMMYFUNCTION("""COMPUTED_VALUE"""),110.0)</f>
        <v>110</v>
      </c>
      <c r="AT1221" s="82">
        <f>IFERROR(__xludf.DUMMYFUNCTION("""COMPUTED_VALUE"""),0.5880970132209152)</f>
        <v>0.5880970132</v>
      </c>
      <c r="AU1221" s="82">
        <f>IFERROR(__xludf.DUMMYFUNCTION("""COMPUTED_VALUE"""),2.46971947305847)</f>
        <v>2.469719473</v>
      </c>
      <c r="AV1221" s="82">
        <f>IFERROR(__xludf.DUMMYFUNCTION("""COMPUTED_VALUE"""),73.51163674751241)</f>
        <v>73.51163675</v>
      </c>
      <c r="AW1221" s="82">
        <f t="shared" si="1"/>
        <v>5.764040025</v>
      </c>
      <c r="AX1221" s="83">
        <f t="array" ref="AX1221">IFERROR(DGET('SBV Import'!A:G,"SBV",{"RSC ID","Tier";B1221,A1221}))</f>
        <v>76.52904266</v>
      </c>
      <c r="AY1221" s="82">
        <f t="shared" si="2"/>
        <v>6.929612695</v>
      </c>
      <c r="AZ1221" s="82">
        <v>1.1655726694484727</v>
      </c>
      <c r="BA1221" s="84">
        <v>1200.0</v>
      </c>
      <c r="BB1221" s="84" t="b">
        <f>IFERROR(__xludf.DUMMYFUNCTION("iferror(if(A1221="""",,E1221&gt;=FILTER(Constants!$F$2:$F$10,Constants!$A$2:$A$10=A1221)))"),TRUE)</f>
        <v>1</v>
      </c>
    </row>
    <row r="1222">
      <c r="A1222" s="89" t="str">
        <f>IFERROR(__xludf.DUMMYFUNCTION("""COMPUTED_VALUE"""),"Veteran")</f>
        <v>Veteran</v>
      </c>
      <c r="B1222" s="87" t="str">
        <f>IFERROR(__xludf.DUMMYFUNCTION("""COMPUTED_VALUE"""),"RSC007846")</f>
        <v>RSC007846</v>
      </c>
      <c r="C1222" s="73" t="str">
        <f>IFERROR(__xludf.DUMMYFUNCTION("""COMPUTED_VALUE"""),"Lovegreyhounds")</f>
        <v>Lovegreyhounds</v>
      </c>
      <c r="D1222" s="73" t="str">
        <f>IFERROR(__xludf.DUMMYFUNCTION("""COMPUTED_VALUE"""),"Water")</f>
        <v>Water</v>
      </c>
      <c r="E1222" s="82">
        <f>IFERROR(__xludf.DUMMYFUNCTION("""COMPUTED_VALUE"""),37.0)</f>
        <v>37</v>
      </c>
      <c r="F1222" s="82">
        <f>IFERROR(__xludf.DUMMYFUNCTION("""COMPUTED_VALUE"""),20.0)</f>
        <v>20</v>
      </c>
      <c r="G1222" s="86">
        <f>IFERROR(__xludf.DUMMYFUNCTION("""COMPUTED_VALUE"""),17.0)</f>
        <v>17</v>
      </c>
      <c r="H1222" s="86">
        <f>IFERROR(__xludf.DUMMYFUNCTION("""COMPUTED_VALUE"""),0.5405405405405406)</f>
        <v>0.5405405405</v>
      </c>
      <c r="I1222" s="86">
        <f>IFERROR(__xludf.DUMMYFUNCTION("""COMPUTED_VALUE"""),0.2905982905982906)</f>
        <v>0.2905982906</v>
      </c>
      <c r="J1222" s="82">
        <f>IFERROR(__xludf.DUMMYFUNCTION("""COMPUTED_VALUE"""),401.0)</f>
        <v>401</v>
      </c>
      <c r="K1222" s="82">
        <f>IFERROR(__xludf.DUMMYFUNCTION("""COMPUTED_VALUE"""),0.918918918918919)</f>
        <v>0.9189189189</v>
      </c>
      <c r="L1222" s="82">
        <f>IFERROR(__xludf.DUMMYFUNCTION("""COMPUTED_VALUE"""),0.5945945945945946)</f>
        <v>0.5945945946</v>
      </c>
      <c r="M1222" s="82">
        <f>IFERROR(__xludf.DUMMYFUNCTION("""COMPUTED_VALUE"""),1.5945945945945945)</f>
        <v>1.594594595</v>
      </c>
      <c r="N1222" s="82">
        <f>IFERROR(__xludf.DUMMYFUNCTION("""COMPUTED_VALUE"""),3.1621621621621623)</f>
        <v>3.162162162</v>
      </c>
      <c r="O1222" s="82">
        <f>IFERROR(__xludf.DUMMYFUNCTION("""COMPUTED_VALUE"""),333.1801801801801)</f>
        <v>333.1801802</v>
      </c>
      <c r="P1222" s="82">
        <f>IFERROR(__xludf.DUMMYFUNCTION("""COMPUTED_VALUE"""),0.7207207207207207)</f>
        <v>0.7207207207</v>
      </c>
      <c r="Q1222" s="82">
        <f>IFERROR(__xludf.DUMMYFUNCTION("""COMPUTED_VALUE"""),0.5315315315315315)</f>
        <v>0.5315315315</v>
      </c>
      <c r="R1222" s="82">
        <f>IFERROR(__xludf.DUMMYFUNCTION("""COMPUTED_VALUE"""),1.153153153153153)</f>
        <v>1.153153153</v>
      </c>
      <c r="S1222" s="82">
        <f>IFERROR(__xludf.DUMMYFUNCTION("""COMPUTED_VALUE"""),2.6306306306306304)</f>
        <v>2.630630631</v>
      </c>
      <c r="T1222" s="82">
        <f>IFERROR(__xludf.DUMMYFUNCTION("""COMPUTED_VALUE"""),355.7699365690965)</f>
        <v>355.7699366</v>
      </c>
      <c r="U1222" s="82">
        <f>IFERROR(__xludf.DUMMYFUNCTION("""COMPUTED_VALUE"""),0.8165711706527583)</f>
        <v>0.8165711707</v>
      </c>
      <c r="V1222" s="82">
        <f>IFERROR(__xludf.DUMMYFUNCTION("""COMPUTED_VALUE"""),0.6024319213773341)</f>
        <v>0.6024319214</v>
      </c>
      <c r="W1222" s="82">
        <f>IFERROR(__xludf.DUMMYFUNCTION("""COMPUTED_VALUE"""),1.2914817840489075)</f>
        <v>1.291481784</v>
      </c>
      <c r="X1222" s="82">
        <f>IFERROR(__xludf.DUMMYFUNCTION("""COMPUTED_VALUE"""),2.6242161530612536)</f>
        <v>2.624216153</v>
      </c>
      <c r="Y1222" s="82">
        <f>IFERROR(__xludf.DUMMYFUNCTION("""COMPUTED_VALUE"""),361.760889231909)</f>
        <v>361.7608892</v>
      </c>
      <c r="Z1222" s="82">
        <f>IFERROR(__xludf.DUMMYFUNCTION("""COMPUTED_VALUE"""),0.8239658053769209)</f>
        <v>0.8239658054</v>
      </c>
      <c r="AA1222" s="82">
        <f>IFERROR(__xludf.DUMMYFUNCTION("""COMPUTED_VALUE"""),0.5913981936644614)</f>
        <v>0.5913981937</v>
      </c>
      <c r="AB1222" s="82">
        <f>IFERROR(__xludf.DUMMYFUNCTION("""COMPUTED_VALUE"""),1.3661672535949643)</f>
        <v>1.366167254</v>
      </c>
      <c r="AC1222" s="82">
        <f>IFERROR(__xludf.DUMMYFUNCTION("""COMPUTED_VALUE"""),2.6909230628131624)</f>
        <v>2.690923063</v>
      </c>
      <c r="AD1222" s="82">
        <f>IFERROR(__xludf.DUMMYFUNCTION("""COMPUTED_VALUE"""),1.1084669789799653)</f>
        <v>1.108466979</v>
      </c>
      <c r="AE1222" s="82">
        <f>IFERROR(__xludf.DUMMYFUNCTION("""COMPUTED_VALUE"""),1.115239143326539)</f>
        <v>1.115239143</v>
      </c>
      <c r="AF1222" s="82">
        <f>IFERROR(__xludf.DUMMYFUNCTION("""COMPUTED_VALUE"""),1.005404820245269)</f>
        <v>1.00540482</v>
      </c>
      <c r="AG1222" s="82">
        <f>IFERROR(__xludf.DUMMYFUNCTION("""COMPUTED_VALUE"""),1.1672030568720932)</f>
        <v>1.167203057</v>
      </c>
      <c r="AH1222" s="82">
        <f>IFERROR(__xludf.DUMMYFUNCTION("""COMPUTED_VALUE"""),1.1751217289937506)</f>
        <v>1.175121729</v>
      </c>
      <c r="AI1222" s="82">
        <f>IFERROR(__xludf.DUMMYFUNCTION("""COMPUTED_VALUE"""),0.9365045944950745)</f>
        <v>0.9365045945</v>
      </c>
      <c r="AJ1222" s="82">
        <f>IFERROR(__xludf.DUMMYFUNCTION("""COMPUTED_VALUE"""),0.8826183762336163)</f>
        <v>0.8826183762</v>
      </c>
      <c r="AK1222" s="82">
        <f>IFERROR(__xludf.DUMMYFUNCTION("""COMPUTED_VALUE"""),0.8823097061594881)</f>
        <v>0.8823097062</v>
      </c>
      <c r="AL1222" s="82">
        <f>IFERROR(__xludf.DUMMYFUNCTION("""COMPUTED_VALUE"""),0.8928915354407228)</f>
        <v>0.8928915354</v>
      </c>
      <c r="AM1222" s="82">
        <f>IFERROR(__xludf.DUMMYFUNCTION("""COMPUTED_VALUE"""),1.002444340403093)</f>
        <v>1.00244434</v>
      </c>
      <c r="AN1222" s="82">
        <f>IFERROR(__xludf.DUMMYFUNCTION("""COMPUTED_VALUE"""),1.1599555900238785)</f>
        <v>1.15995559</v>
      </c>
      <c r="AO1222" s="82">
        <f>IFERROR(__xludf.DUMMYFUNCTION("""COMPUTED_VALUE"""),1.2162042974526144)</f>
        <v>1.216204297</v>
      </c>
      <c r="AP1222" s="82">
        <f>IFERROR(__xludf.DUMMYFUNCTION("""COMPUTED_VALUE"""),1.0696887449480446)</f>
        <v>1.069688745</v>
      </c>
      <c r="AQ1222" s="82">
        <f>IFERROR(__xludf.DUMMYFUNCTION("""COMPUTED_VALUE"""),1.1785876003876867)</f>
        <v>1.1785876</v>
      </c>
      <c r="AR1222" s="82">
        <f>IFERROR(__xludf.DUMMYFUNCTION("""COMPUTED_VALUE"""),1.2403004939779643)</f>
        <v>1.240300494</v>
      </c>
      <c r="AS1222" s="82">
        <f>IFERROR(__xludf.DUMMYFUNCTION("""COMPUTED_VALUE"""),95.0)</f>
        <v>95</v>
      </c>
      <c r="AT1222" s="82">
        <f>IFERROR(__xludf.DUMMYFUNCTION("""COMPUTED_VALUE"""),0.5667070006346541)</f>
        <v>0.5667070006</v>
      </c>
      <c r="AU1222" s="82">
        <f>IFERROR(__xludf.DUMMYFUNCTION("""COMPUTED_VALUE"""),2.4630654330195547)</f>
        <v>2.463065433</v>
      </c>
      <c r="AV1222" s="82">
        <f>IFERROR(__xludf.DUMMYFUNCTION("""COMPUTED_VALUE"""),73.27374088429994)</f>
        <v>73.27374088</v>
      </c>
      <c r="AW1222" s="82">
        <f t="shared" si="1"/>
        <v>5.683762006</v>
      </c>
      <c r="AX1222" s="83">
        <f t="array" ref="AX1222">IFERROR(DGET('SBV Import'!A:G,"SBV",{"RSC ID","Tier";B1222,A1222}))</f>
        <v>65.66236301</v>
      </c>
      <c r="AY1222" s="82">
        <f t="shared" si="2"/>
        <v>3.766544807</v>
      </c>
      <c r="AZ1222" s="82">
        <v>1.9172171990569251</v>
      </c>
      <c r="BA1222" s="84">
        <v>1200.0</v>
      </c>
      <c r="BB1222" s="84" t="b">
        <f>IFERROR(__xludf.DUMMYFUNCTION("iferror(if(A1222="""",,E1222&gt;=FILTER(Constants!$F$2:$F$10,Constants!$A$2:$A$10=A1222)))"),TRUE)</f>
        <v>1</v>
      </c>
    </row>
    <row r="1223">
      <c r="A1223" s="89" t="str">
        <f>IFERROR(__xludf.DUMMYFUNCTION("""COMPUTED_VALUE"""),"Veteran")</f>
        <v>Veteran</v>
      </c>
      <c r="B1223" s="87" t="str">
        <f>IFERROR(__xludf.DUMMYFUNCTION("""COMPUTED_VALUE"""),"RSC003358")</f>
        <v>RSC003358</v>
      </c>
      <c r="C1223" s="73" t="str">
        <f>IFERROR(__xludf.DUMMYFUNCTION("""COMPUTED_VALUE"""),"galacticcccc")</f>
        <v>galacticcccc</v>
      </c>
      <c r="D1223" s="73" t="str">
        <f>IFERROR(__xludf.DUMMYFUNCTION("""COMPUTED_VALUE"""),"Rockin Revenants")</f>
        <v>Rockin Revenants</v>
      </c>
      <c r="E1223" s="82">
        <f>IFERROR(__xludf.DUMMYFUNCTION("""COMPUTED_VALUE"""),5.0)</f>
        <v>5</v>
      </c>
      <c r="F1223" s="82">
        <f>IFERROR(__xludf.DUMMYFUNCTION("""COMPUTED_VALUE"""),3.0)</f>
        <v>3</v>
      </c>
      <c r="G1223" s="86">
        <f>IFERROR(__xludf.DUMMYFUNCTION("""COMPUTED_VALUE"""),2.0)</f>
        <v>2</v>
      </c>
      <c r="H1223" s="86">
        <f>IFERROR(__xludf.DUMMYFUNCTION("""COMPUTED_VALUE"""),0.6)</f>
        <v>0.6</v>
      </c>
      <c r="I1223" s="86">
        <f>IFERROR(__xludf.DUMMYFUNCTION("""COMPUTED_VALUE"""),0.3333333333333333)</f>
        <v>0.3333333333</v>
      </c>
      <c r="J1223" s="82">
        <f>IFERROR(__xludf.DUMMYFUNCTION("""COMPUTED_VALUE"""),392.0)</f>
        <v>392</v>
      </c>
      <c r="K1223" s="82">
        <f>IFERROR(__xludf.DUMMYFUNCTION("""COMPUTED_VALUE"""),1.2)</f>
        <v>1.2</v>
      </c>
      <c r="L1223" s="82">
        <f>IFERROR(__xludf.DUMMYFUNCTION("""COMPUTED_VALUE"""),0.6)</f>
        <v>0.6</v>
      </c>
      <c r="M1223" s="82">
        <f>IFERROR(__xludf.DUMMYFUNCTION("""COMPUTED_VALUE"""),0.8)</f>
        <v>0.8</v>
      </c>
      <c r="N1223" s="82">
        <f>IFERROR(__xludf.DUMMYFUNCTION("""COMPUTED_VALUE"""),3.6)</f>
        <v>3.6</v>
      </c>
      <c r="O1223" s="82">
        <f>IFERROR(__xludf.DUMMYFUNCTION("""COMPUTED_VALUE"""),359.1333333333333)</f>
        <v>359.1333333</v>
      </c>
      <c r="P1223" s="82">
        <f>IFERROR(__xludf.DUMMYFUNCTION("""COMPUTED_VALUE"""),0.8)</f>
        <v>0.8</v>
      </c>
      <c r="Q1223" s="82">
        <f>IFERROR(__xludf.DUMMYFUNCTION("""COMPUTED_VALUE"""),0.5333333333333334)</f>
        <v>0.5333333333</v>
      </c>
      <c r="R1223" s="82">
        <f>IFERROR(__xludf.DUMMYFUNCTION("""COMPUTED_VALUE"""),1.5333333333333332)</f>
        <v>1.533333333</v>
      </c>
      <c r="S1223" s="82">
        <f>IFERROR(__xludf.DUMMYFUNCTION("""COMPUTED_VALUE"""),2.3333333333333335)</f>
        <v>2.333333333</v>
      </c>
      <c r="T1223" s="82">
        <f>IFERROR(__xludf.DUMMYFUNCTION("""COMPUTED_VALUE"""),340.6991522366522)</f>
        <v>340.6991522</v>
      </c>
      <c r="U1223" s="82">
        <f>IFERROR(__xludf.DUMMYFUNCTION("""COMPUTED_VALUE"""),0.8621031746031745)</f>
        <v>0.8621031746</v>
      </c>
      <c r="V1223" s="82">
        <f>IFERROR(__xludf.DUMMYFUNCTION("""COMPUTED_VALUE"""),0.3562409812409812)</f>
        <v>0.3562409812</v>
      </c>
      <c r="W1223" s="82">
        <f>IFERROR(__xludf.DUMMYFUNCTION("""COMPUTED_VALUE"""),1.2669733044733045)</f>
        <v>1.266973304</v>
      </c>
      <c r="X1223" s="82">
        <f>IFERROR(__xludf.DUMMYFUNCTION("""COMPUTED_VALUE"""),2.5300324675324672)</f>
        <v>2.530032468</v>
      </c>
      <c r="Y1223" s="82">
        <f>IFERROR(__xludf.DUMMYFUNCTION("""COMPUTED_VALUE"""),391.08404882154883)</f>
        <v>391.0840488</v>
      </c>
      <c r="Z1223" s="82">
        <f>IFERROR(__xludf.DUMMYFUNCTION("""COMPUTED_VALUE"""),0.9677008177008176)</f>
        <v>0.9677008177</v>
      </c>
      <c r="AA1223" s="82">
        <f>IFERROR(__xludf.DUMMYFUNCTION("""COMPUTED_VALUE"""),0.762818662818663)</f>
        <v>0.7628186628</v>
      </c>
      <c r="AB1223" s="82">
        <f>IFERROR(__xludf.DUMMYFUNCTION("""COMPUTED_VALUE"""),1.3975288600288602)</f>
        <v>1.39752886</v>
      </c>
      <c r="AC1223" s="82">
        <f>IFERROR(__xludf.DUMMYFUNCTION("""COMPUTED_VALUE"""),3.0062770562770558)</f>
        <v>3.006277056</v>
      </c>
      <c r="AD1223" s="82">
        <f>IFERROR(__xludf.DUMMYFUNCTION("""COMPUTED_VALUE"""),1.0023420826832778)</f>
        <v>1.002342083</v>
      </c>
      <c r="AE1223" s="82">
        <f>IFERROR(__xludf.DUMMYFUNCTION("""COMPUTED_VALUE"""),1.2400526878246392)</f>
        <v>1.240052688</v>
      </c>
      <c r="AF1223" s="82">
        <f>IFERROR(__xludf.DUMMYFUNCTION("""COMPUTED_VALUE"""),0.7865565294154737)</f>
        <v>0.7865565294</v>
      </c>
      <c r="AG1223" s="82">
        <f>IFERROR(__xludf.DUMMYFUNCTION("""COMPUTED_VALUE"""),0.5724389834664877)</f>
        <v>0.5724389835</v>
      </c>
      <c r="AH1223" s="82">
        <f>IFERROR(__xludf.DUMMYFUNCTION("""COMPUTED_VALUE"""),1.1974944200446398)</f>
        <v>1.19749442</v>
      </c>
      <c r="AI1223" s="82">
        <f>IFERROR(__xludf.DUMMYFUNCTION("""COMPUTED_VALUE"""),1.0541069180115734)</f>
        <v>1.054106918</v>
      </c>
      <c r="AJ1223" s="82">
        <f>IFERROR(__xludf.DUMMYFUNCTION("""COMPUTED_VALUE"""),0.927963176064442)</f>
        <v>0.9279631761</v>
      </c>
      <c r="AK1223" s="82">
        <f>IFERROR(__xludf.DUMMYFUNCTION("""COMPUTED_VALUE"""),1.4971139240506335)</f>
        <v>1.497113924</v>
      </c>
      <c r="AL1223" s="82">
        <f>IFERROR(__xludf.DUMMYFUNCTION("""COMPUTED_VALUE"""),1.2102333395025697)</f>
        <v>1.21023334</v>
      </c>
      <c r="AM1223" s="82">
        <f>IFERROR(__xludf.DUMMYFUNCTION("""COMPUTED_VALUE"""),0.9222543043524758)</f>
        <v>0.9222543044</v>
      </c>
      <c r="AN1223" s="82">
        <f>IFERROR(__xludf.DUMMYFUNCTION("""COMPUTED_VALUE"""),1.1339216740383053)</f>
        <v>1.133921674</v>
      </c>
      <c r="AO1223" s="82">
        <f>IFERROR(__xludf.DUMMYFUNCTION("""COMPUTED_VALUE"""),1.5882197296145903)</f>
        <v>1.58821973</v>
      </c>
      <c r="AP1223" s="82">
        <f>IFERROR(__xludf.DUMMYFUNCTION("""COMPUTED_VALUE"""),1.0794131880839357)</f>
        <v>1.079413188</v>
      </c>
      <c r="AQ1223" s="82">
        <f>IFERROR(__xludf.DUMMYFUNCTION("""COMPUTED_VALUE"""),0.5912914062961954)</f>
        <v>0.5912914063</v>
      </c>
      <c r="AR1223" s="82">
        <f>IFERROR(__xludf.DUMMYFUNCTION("""COMPUTED_VALUE"""),1.4120344085287593)</f>
        <v>1.412034409</v>
      </c>
      <c r="AS1223" s="82">
        <f>IFERROR(__xludf.DUMMYFUNCTION("""COMPUTED_VALUE"""),14.0)</f>
        <v>14</v>
      </c>
      <c r="AT1223" s="82">
        <f>IFERROR(__xludf.DUMMYFUNCTION("""COMPUTED_VALUE"""),0.5615418785904439)</f>
        <v>0.5615418786</v>
      </c>
      <c r="AU1223" s="82">
        <f>IFERROR(__xludf.DUMMYFUNCTION("""COMPUTED_VALUE"""),2.4210314858592454)</f>
        <v>2.421031486</v>
      </c>
      <c r="AV1223" s="82">
        <f>IFERROR(__xludf.DUMMYFUNCTION("""COMPUTED_VALUE"""),71.77093926521638)</f>
        <v>71.77093927</v>
      </c>
      <c r="AW1223" s="82">
        <f t="shared" si="1"/>
        <v>5.210465717</v>
      </c>
      <c r="AX1223" s="83">
        <f t="array" ref="AX1223">IFERROR(DGET('SBV Import'!A:G,"SBV",{"RSC ID","Tier";B1223,A1223}))</f>
        <v>54.54495904</v>
      </c>
      <c r="AY1223" s="82">
        <f t="shared" si="2"/>
        <v>2.337155833</v>
      </c>
      <c r="AZ1223" s="82">
        <v>2.873309884182968</v>
      </c>
      <c r="BA1223" s="84">
        <v>1200.0</v>
      </c>
      <c r="BB1223" s="84" t="b">
        <f>IFERROR(__xludf.DUMMYFUNCTION("iferror(if(A1223="""",,E1223&gt;=FILTER(Constants!$F$2:$F$10,Constants!$A$2:$A$10=A1223)))"),TRUE)</f>
        <v>1</v>
      </c>
    </row>
    <row r="1224">
      <c r="A1224" s="89" t="str">
        <f>IFERROR(__xludf.DUMMYFUNCTION("""COMPUTED_VALUE"""),"Veteran")</f>
        <v>Veteran</v>
      </c>
      <c r="B1224" s="87" t="str">
        <f>IFERROR(__xludf.DUMMYFUNCTION("""COMPUTED_VALUE"""),"RSC006424")</f>
        <v>RSC006424</v>
      </c>
      <c r="C1224" s="73" t="str">
        <f>IFERROR(__xludf.DUMMYFUNCTION("""COMPUTED_VALUE"""),"TTV Ravenshunter")</f>
        <v>TTV Ravenshunter</v>
      </c>
      <c r="D1224" s="73" t="str">
        <f>IFERROR(__xludf.DUMMYFUNCTION("""COMPUTED_VALUE"""),"Azalea")</f>
        <v>Azalea</v>
      </c>
      <c r="E1224" s="82">
        <f>IFERROR(__xludf.DUMMYFUNCTION("""COMPUTED_VALUE"""),19.0)</f>
        <v>19</v>
      </c>
      <c r="F1224" s="82">
        <f>IFERROR(__xludf.DUMMYFUNCTION("""COMPUTED_VALUE"""),7.0)</f>
        <v>7</v>
      </c>
      <c r="G1224" s="86">
        <f>IFERROR(__xludf.DUMMYFUNCTION("""COMPUTED_VALUE"""),12.0)</f>
        <v>12</v>
      </c>
      <c r="H1224" s="86">
        <f>IFERROR(__xludf.DUMMYFUNCTION("""COMPUTED_VALUE"""),0.3684210526315789)</f>
        <v>0.3684210526</v>
      </c>
      <c r="I1224" s="86">
        <f>IFERROR(__xludf.DUMMYFUNCTION("""COMPUTED_VALUE"""),0.3548387096774194)</f>
        <v>0.3548387097</v>
      </c>
      <c r="J1224" s="82">
        <f>IFERROR(__xludf.DUMMYFUNCTION("""COMPUTED_VALUE"""),392.3157894736842)</f>
        <v>392.3157895</v>
      </c>
      <c r="K1224" s="82">
        <f>IFERROR(__xludf.DUMMYFUNCTION("""COMPUTED_VALUE"""),1.1578947368421053)</f>
        <v>1.157894737</v>
      </c>
      <c r="L1224" s="82">
        <f>IFERROR(__xludf.DUMMYFUNCTION("""COMPUTED_VALUE"""),0.3684210526315789)</f>
        <v>0.3684210526</v>
      </c>
      <c r="M1224" s="82">
        <f>IFERROR(__xludf.DUMMYFUNCTION("""COMPUTED_VALUE"""),1.2105263157894737)</f>
        <v>1.210526316</v>
      </c>
      <c r="N1224" s="82">
        <f>IFERROR(__xludf.DUMMYFUNCTION("""COMPUTED_VALUE"""),3.263157894736842)</f>
        <v>3.263157895</v>
      </c>
      <c r="O1224" s="82">
        <f>IFERROR(__xludf.DUMMYFUNCTION("""COMPUTED_VALUE"""),383.17543859649123)</f>
        <v>383.1754386</v>
      </c>
      <c r="P1224" s="82">
        <f>IFERROR(__xludf.DUMMYFUNCTION("""COMPUTED_VALUE"""),1.0350877192982457)</f>
        <v>1.035087719</v>
      </c>
      <c r="Q1224" s="82">
        <f>IFERROR(__xludf.DUMMYFUNCTION("""COMPUTED_VALUE"""),0.6842105263157894)</f>
        <v>0.6842105263</v>
      </c>
      <c r="R1224" s="82">
        <f>IFERROR(__xludf.DUMMYFUNCTION("""COMPUTED_VALUE"""),1.1578947368421053)</f>
        <v>1.157894737</v>
      </c>
      <c r="S1224" s="82">
        <f>IFERROR(__xludf.DUMMYFUNCTION("""COMPUTED_VALUE"""),3.263157894736842)</f>
        <v>3.263157895</v>
      </c>
      <c r="T1224" s="82">
        <f>IFERROR(__xludf.DUMMYFUNCTION("""COMPUTED_VALUE"""),379.15165661223637)</f>
        <v>379.1516566</v>
      </c>
      <c r="U1224" s="82">
        <f>IFERROR(__xludf.DUMMYFUNCTION("""COMPUTED_VALUE"""),0.9244739515097719)</f>
        <v>0.9244739515</v>
      </c>
      <c r="V1224" s="82">
        <f>IFERROR(__xludf.DUMMYFUNCTION("""COMPUTED_VALUE"""),0.6620481912350759)</f>
        <v>0.6620481912</v>
      </c>
      <c r="W1224" s="82">
        <f>IFERROR(__xludf.DUMMYFUNCTION("""COMPUTED_VALUE"""),1.3245071641032076)</f>
        <v>1.324507164</v>
      </c>
      <c r="X1224" s="82">
        <f>IFERROR(__xludf.DUMMYFUNCTION("""COMPUTED_VALUE"""),2.968197294648887)</f>
        <v>2.968197295</v>
      </c>
      <c r="Y1224" s="82">
        <f>IFERROR(__xludf.DUMMYFUNCTION("""COMPUTED_VALUE"""),359.32283920450703)</f>
        <v>359.3228392</v>
      </c>
      <c r="Z1224" s="82">
        <f>IFERROR(__xludf.DUMMYFUNCTION("""COMPUTED_VALUE"""),0.7615363499614363)</f>
        <v>0.76153635</v>
      </c>
      <c r="AA1224" s="82">
        <f>IFERROR(__xludf.DUMMYFUNCTION("""COMPUTED_VALUE"""),0.5593718846983807)</f>
        <v>0.5593718847</v>
      </c>
      <c r="AB1224" s="82">
        <f>IFERROR(__xludf.DUMMYFUNCTION("""COMPUTED_VALUE"""),1.5176234475081856)</f>
        <v>1.517623448</v>
      </c>
      <c r="AC1224" s="82">
        <f>IFERROR(__xludf.DUMMYFUNCTION("""COMPUTED_VALUE"""),2.541376633415455)</f>
        <v>2.541376633</v>
      </c>
      <c r="AD1224" s="82">
        <f>IFERROR(__xludf.DUMMYFUNCTION("""COMPUTED_VALUE"""),1.0918197973227062)</f>
        <v>1.091819797</v>
      </c>
      <c r="AE1224" s="82">
        <f>IFERROR(__xludf.DUMMYFUNCTION("""COMPUTED_VALUE"""),1.5204720521886321)</f>
        <v>1.520472052</v>
      </c>
      <c r="AF1224" s="82">
        <f>IFERROR(__xludf.DUMMYFUNCTION("""COMPUTED_VALUE"""),0.6586334828577155)</f>
        <v>0.6586334829</v>
      </c>
      <c r="AG1224" s="82">
        <f>IFERROR(__xludf.DUMMYFUNCTION("""COMPUTED_VALUE"""),0.7976460285830846)</f>
        <v>0.7976460286</v>
      </c>
      <c r="AH1224" s="82">
        <f>IFERROR(__xludf.DUMMYFUNCTION("""COMPUTED_VALUE"""),1.284011921661276)</f>
        <v>1.284011922</v>
      </c>
      <c r="AI1224" s="82">
        <f>IFERROR(__xludf.DUMMYFUNCTION("""COMPUTED_VALUE"""),1.0106125923864024)</f>
        <v>1.010612592</v>
      </c>
      <c r="AJ1224" s="82">
        <f>IFERROR(__xludf.DUMMYFUNCTION("""COMPUTED_VALUE"""),1.1196504970289634)</f>
        <v>1.119650497</v>
      </c>
      <c r="AK1224" s="82">
        <f>IFERROR(__xludf.DUMMYFUNCTION("""COMPUTED_VALUE"""),1.033475410663639)</f>
        <v>1.033475411</v>
      </c>
      <c r="AL1224" s="82">
        <f>IFERROR(__xludf.DUMMYFUNCTION("""COMPUTED_VALUE"""),0.8742079833340036)</f>
        <v>0.8742079833</v>
      </c>
      <c r="AM1224" s="82">
        <f>IFERROR(__xludf.DUMMYFUNCTION("""COMPUTED_VALUE"""),1.0993736503364229)</f>
        <v>1.09937365</v>
      </c>
      <c r="AN1224" s="82">
        <f>IFERROR(__xludf.DUMMYFUNCTION("""COMPUTED_VALUE"""),1.1348351447746412)</f>
        <v>1.134835145</v>
      </c>
      <c r="AO1224" s="82">
        <f>IFERROR(__xludf.DUMMYFUNCTION("""COMPUTED_VALUE"""),1.532492721557938)</f>
        <v>1.532492722</v>
      </c>
      <c r="AP1224" s="82">
        <f>IFERROR(__xludf.DUMMYFUNCTION("""COMPUTED_VALUE"""),0.6627975716304869)</f>
        <v>0.6627975716</v>
      </c>
      <c r="AQ1224" s="82">
        <f>IFERROR(__xludf.DUMMYFUNCTION("""COMPUTED_VALUE"""),0.8947172595271378)</f>
        <v>0.8947172595</v>
      </c>
      <c r="AR1224" s="82">
        <f>IFERROR(__xludf.DUMMYFUNCTION("""COMPUTED_VALUE"""),1.2799142299529689)</f>
        <v>1.27991423</v>
      </c>
      <c r="AS1224" s="82">
        <f>IFERROR(__xludf.DUMMYFUNCTION("""COMPUTED_VALUE"""),40.0)</f>
        <v>40</v>
      </c>
      <c r="AT1224" s="82">
        <f>IFERROR(__xludf.DUMMYFUNCTION("""COMPUTED_VALUE"""),0.34883046978790816)</f>
        <v>0.3488304698</v>
      </c>
      <c r="AU1224" s="82">
        <f>IFERROR(__xludf.DUMMYFUNCTION("""COMPUTED_VALUE"""),2.4027627886427556)</f>
        <v>2.402762789</v>
      </c>
      <c r="AV1224" s="82">
        <f>IFERROR(__xludf.DUMMYFUNCTION("""COMPUTED_VALUE"""),71.11779508984824)</f>
        <v>71.11779509</v>
      </c>
      <c r="AW1224" s="82">
        <f t="shared" si="1"/>
        <v>5.021696648</v>
      </c>
      <c r="AX1224" s="83">
        <f t="array" ref="AX1224">IFERROR(DGET('SBV Import'!A:G,"SBV",{"RSC ID","Tier";B1224,A1224}))</f>
        <v>59.47174342</v>
      </c>
      <c r="AY1224" s="82">
        <f t="shared" si="2"/>
        <v>2.837746462</v>
      </c>
      <c r="AZ1224" s="82">
        <v>2.183950186423832</v>
      </c>
      <c r="BA1224" s="84">
        <v>1200.0</v>
      </c>
      <c r="BB1224" s="84" t="b">
        <f>IFERROR(__xludf.DUMMYFUNCTION("iferror(if(A1224="""",,E1224&gt;=FILTER(Constants!$F$2:$F$10,Constants!$A$2:$A$10=A1224)))"),TRUE)</f>
        <v>1</v>
      </c>
    </row>
    <row r="1225">
      <c r="A1225" s="89" t="str">
        <f>IFERROR(__xludf.DUMMYFUNCTION("""COMPUTED_VALUE"""),"Veteran")</f>
        <v>Veteran</v>
      </c>
      <c r="B1225" s="87" t="str">
        <f>IFERROR(__xludf.DUMMYFUNCTION("""COMPUTED_VALUE"""),"RSC007660")</f>
        <v>RSC007660</v>
      </c>
      <c r="C1225" s="73" t="str">
        <f>IFERROR(__xludf.DUMMYFUNCTION("""COMPUTED_VALUE"""),"Shraxl")</f>
        <v>Shraxl</v>
      </c>
      <c r="D1225" s="73" t="str">
        <f>IFERROR(__xludf.DUMMYFUNCTION("""COMPUTED_VALUE"""),"Rockin Revenants")</f>
        <v>Rockin Revenants</v>
      </c>
      <c r="E1225" s="82">
        <f>IFERROR(__xludf.DUMMYFUNCTION("""COMPUTED_VALUE"""),8.0)</f>
        <v>8</v>
      </c>
      <c r="F1225" s="82">
        <f>IFERROR(__xludf.DUMMYFUNCTION("""COMPUTED_VALUE"""),4.0)</f>
        <v>4</v>
      </c>
      <c r="G1225" s="86">
        <f>IFERROR(__xludf.DUMMYFUNCTION("""COMPUTED_VALUE"""),4.0)</f>
        <v>4</v>
      </c>
      <c r="H1225" s="86">
        <f>IFERROR(__xludf.DUMMYFUNCTION("""COMPUTED_VALUE"""),0.5)</f>
        <v>0.5</v>
      </c>
      <c r="I1225" s="86">
        <f>IFERROR(__xludf.DUMMYFUNCTION("""COMPUTED_VALUE"""),0.2962962962962963)</f>
        <v>0.2962962963</v>
      </c>
      <c r="J1225" s="82">
        <f>IFERROR(__xludf.DUMMYFUNCTION("""COMPUTED_VALUE"""),437.5)</f>
        <v>437.5</v>
      </c>
      <c r="K1225" s="82">
        <f>IFERROR(__xludf.DUMMYFUNCTION("""COMPUTED_VALUE"""),1.0)</f>
        <v>1</v>
      </c>
      <c r="L1225" s="82">
        <f>IFERROR(__xludf.DUMMYFUNCTION("""COMPUTED_VALUE"""),0.625)</f>
        <v>0.625</v>
      </c>
      <c r="M1225" s="82">
        <f>IFERROR(__xludf.DUMMYFUNCTION("""COMPUTED_VALUE"""),2.25)</f>
        <v>2.25</v>
      </c>
      <c r="N1225" s="82">
        <f>IFERROR(__xludf.DUMMYFUNCTION("""COMPUTED_VALUE"""),3.375)</f>
        <v>3.375</v>
      </c>
      <c r="O1225" s="82">
        <f>IFERROR(__xludf.DUMMYFUNCTION("""COMPUTED_VALUE"""),372.87499999999994)</f>
        <v>372.875</v>
      </c>
      <c r="P1225" s="82">
        <f>IFERROR(__xludf.DUMMYFUNCTION("""COMPUTED_VALUE"""),0.8749999999999999)</f>
        <v>0.875</v>
      </c>
      <c r="Q1225" s="82">
        <f>IFERROR(__xludf.DUMMYFUNCTION("""COMPUTED_VALUE"""),0.5833333333333333)</f>
        <v>0.5833333333</v>
      </c>
      <c r="R1225" s="82">
        <f>IFERROR(__xludf.DUMMYFUNCTION("""COMPUTED_VALUE"""),1.25)</f>
        <v>1.25</v>
      </c>
      <c r="S1225" s="82">
        <f>IFERROR(__xludf.DUMMYFUNCTION("""COMPUTED_VALUE"""),3.3333333333333335)</f>
        <v>3.333333333</v>
      </c>
      <c r="T1225" s="82">
        <f>IFERROR(__xludf.DUMMYFUNCTION("""COMPUTED_VALUE"""),345.9711373877745)</f>
        <v>345.9711374</v>
      </c>
      <c r="U1225" s="82">
        <f>IFERROR(__xludf.DUMMYFUNCTION("""COMPUTED_VALUE"""),0.7634425293777249)</f>
        <v>0.7634425294</v>
      </c>
      <c r="V1225" s="82">
        <f>IFERROR(__xludf.DUMMYFUNCTION("""COMPUTED_VALUE"""),0.5705133438755107)</f>
        <v>0.5705133439</v>
      </c>
      <c r="W1225" s="82">
        <f>IFERROR(__xludf.DUMMYFUNCTION("""COMPUTED_VALUE"""),1.4029312194549008)</f>
        <v>1.402931219</v>
      </c>
      <c r="X1225" s="82">
        <f>IFERROR(__xludf.DUMMYFUNCTION("""COMPUTED_VALUE"""),2.6839747804190517)</f>
        <v>2.68397478</v>
      </c>
      <c r="Y1225" s="82">
        <f>IFERROR(__xludf.DUMMYFUNCTION("""COMPUTED_VALUE"""),381.0284370816312)</f>
        <v>381.0284371</v>
      </c>
      <c r="Z1225" s="82">
        <f>IFERROR(__xludf.DUMMYFUNCTION("""COMPUTED_VALUE"""),0.8522402604223364)</f>
        <v>0.8522402604</v>
      </c>
      <c r="AA1225" s="82">
        <f>IFERROR(__xludf.DUMMYFUNCTION("""COMPUTED_VALUE"""),0.6673136164060726)</f>
        <v>0.6673136164</v>
      </c>
      <c r="AB1225" s="82">
        <f>IFERROR(__xludf.DUMMYFUNCTION("""COMPUTED_VALUE"""),1.5053375143952286)</f>
        <v>1.505337514</v>
      </c>
      <c r="AC1225" s="82">
        <f>IFERROR(__xludf.DUMMYFUNCTION("""COMPUTED_VALUE"""),2.7225337607498705)</f>
        <v>2.722533761</v>
      </c>
      <c r="AD1225" s="82">
        <f>IFERROR(__xludf.DUMMYFUNCTION("""COMPUTED_VALUE"""),1.1482082632752957)</f>
        <v>1.148208263</v>
      </c>
      <c r="AE1225" s="82">
        <f>IFERROR(__xludf.DUMMYFUNCTION("""COMPUTED_VALUE"""),1.1733780325097993)</f>
        <v>1.173378033</v>
      </c>
      <c r="AF1225" s="82">
        <f>IFERROR(__xludf.DUMMYFUNCTION("""COMPUTED_VALUE"""),0.9365911089392128)</f>
        <v>0.9365911089</v>
      </c>
      <c r="AG1225" s="82">
        <f>IFERROR(__xludf.DUMMYFUNCTION("""COMPUTED_VALUE"""),1.4946814109684503)</f>
        <v>1.494681411</v>
      </c>
      <c r="AH1225" s="82">
        <f>IFERROR(__xludf.DUMMYFUNCTION("""COMPUTED_VALUE"""),1.2396540489806158)</f>
        <v>1.239654049</v>
      </c>
      <c r="AI1225" s="82">
        <f>IFERROR(__xludf.DUMMYFUNCTION("""COMPUTED_VALUE"""),1.0777633152157164)</f>
        <v>1.077763315</v>
      </c>
      <c r="AJ1225" s="82">
        <f>IFERROR(__xludf.DUMMYFUNCTION("""COMPUTED_VALUE"""),1.146124254713979)</f>
        <v>1.146124255</v>
      </c>
      <c r="AK1225" s="82">
        <f>IFERROR(__xludf.DUMMYFUNCTION("""COMPUTED_VALUE"""),1.0224709721436769)</f>
        <v>1.022470972</v>
      </c>
      <c r="AL1225" s="82">
        <f>IFERROR(__xludf.DUMMYFUNCTION("""COMPUTED_VALUE"""),0.8909916485326193)</f>
        <v>0.8909916485</v>
      </c>
      <c r="AM1225" s="82">
        <f>IFERROR(__xludf.DUMMYFUNCTION("""COMPUTED_VALUE"""),1.2419391410275833)</f>
        <v>1.241939141</v>
      </c>
      <c r="AN1225" s="82">
        <f>IFERROR(__xludf.DUMMYFUNCTION("""COMPUTED_VALUE"""),1.2655375826320372)</f>
        <v>1.265537583</v>
      </c>
      <c r="AO1225" s="82">
        <f>IFERROR(__xludf.DUMMYFUNCTION("""COMPUTED_VALUE"""),1.3235164413454918)</f>
        <v>1.323516441</v>
      </c>
      <c r="AP1225" s="82">
        <f>IFERROR(__xludf.DUMMYFUNCTION("""COMPUTED_VALUE"""),1.1243887375874333)</f>
        <v>1.124388738</v>
      </c>
      <c r="AQ1225" s="82">
        <f>IFERROR(__xludf.DUMMYFUNCTION("""COMPUTED_VALUE"""),1.6630070802080494)</f>
        <v>1.66300708</v>
      </c>
      <c r="AR1225" s="82">
        <f>IFERROR(__xludf.DUMMYFUNCTION("""COMPUTED_VALUE"""),1.3237822579957117)</f>
        <v>1.323782258</v>
      </c>
      <c r="AS1225" s="82">
        <f>IFERROR(__xludf.DUMMYFUNCTION("""COMPUTED_VALUE"""),18.0)</f>
        <v>18</v>
      </c>
      <c r="AT1225" s="82">
        <f>IFERROR(__xludf.DUMMYFUNCTION("""COMPUTED_VALUE"""),0.4395764110390877)</f>
        <v>0.439576411</v>
      </c>
      <c r="AU1225" s="82">
        <f>IFERROR(__xludf.DUMMYFUNCTION("""COMPUTED_VALUE"""),2.3997226399809706)</f>
        <v>2.39972264</v>
      </c>
      <c r="AV1225" s="82">
        <f>IFERROR(__xludf.DUMMYFUNCTION("""COMPUTED_VALUE"""),71.00910340991248)</f>
        <v>71.00910341</v>
      </c>
      <c r="AW1225" s="82">
        <f t="shared" si="1"/>
        <v>4.991212335</v>
      </c>
      <c r="AX1225" s="83">
        <f t="array" ref="AX1225">IFERROR(DGET('SBV Import'!A:G,"SBV",{"RSC ID","Tier";B1225,A1225}))</f>
        <v>59.64273739</v>
      </c>
      <c r="AY1225" s="82">
        <f t="shared" si="2"/>
        <v>2.858319548</v>
      </c>
      <c r="AZ1225" s="82">
        <v>2.1328927866408924</v>
      </c>
      <c r="BA1225" s="84">
        <v>1200.0</v>
      </c>
      <c r="BB1225" s="84" t="b">
        <f>IFERROR(__xludf.DUMMYFUNCTION("iferror(if(A1225="""",,E1225&gt;=FILTER(Constants!$F$2:$F$10,Constants!$A$2:$A$10=A1225)))"),TRUE)</f>
        <v>1</v>
      </c>
    </row>
    <row r="1226">
      <c r="A1226" s="89" t="str">
        <f>IFERROR(__xludf.DUMMYFUNCTION("""COMPUTED_VALUE"""),"Veteran")</f>
        <v>Veteran</v>
      </c>
      <c r="B1226" s="87" t="str">
        <f>IFERROR(__xludf.DUMMYFUNCTION("""COMPUTED_VALUE"""),"RSC001074")</f>
        <v>RSC001074</v>
      </c>
      <c r="C1226" s="73" t="str">
        <f>IFERROR(__xludf.DUMMYFUNCTION("""COMPUTED_VALUE"""),"Sabre")</f>
        <v>Sabre</v>
      </c>
      <c r="D1226" s="73"/>
      <c r="E1226" s="82">
        <f>IFERROR(__xludf.DUMMYFUNCTION("""COMPUTED_VALUE"""),4.0)</f>
        <v>4</v>
      </c>
      <c r="F1226" s="82">
        <f>IFERROR(__xludf.DUMMYFUNCTION("""COMPUTED_VALUE"""),2.0)</f>
        <v>2</v>
      </c>
      <c r="G1226" s="86">
        <f>IFERROR(__xludf.DUMMYFUNCTION("""COMPUTED_VALUE"""),2.0)</f>
        <v>2</v>
      </c>
      <c r="H1226" s="86">
        <f>IFERROR(__xludf.DUMMYFUNCTION("""COMPUTED_VALUE"""),0.5)</f>
        <v>0.5</v>
      </c>
      <c r="I1226" s="86">
        <f>IFERROR(__xludf.DUMMYFUNCTION("""COMPUTED_VALUE"""),0.5555555555555556)</f>
        <v>0.5555555556</v>
      </c>
      <c r="J1226" s="82">
        <f>IFERROR(__xludf.DUMMYFUNCTION("""COMPUTED_VALUE"""),397.75)</f>
        <v>397.75</v>
      </c>
      <c r="K1226" s="82">
        <f>IFERROR(__xludf.DUMMYFUNCTION("""COMPUTED_VALUE"""),1.25)</f>
        <v>1.25</v>
      </c>
      <c r="L1226" s="82">
        <f>IFERROR(__xludf.DUMMYFUNCTION("""COMPUTED_VALUE"""),1.0)</f>
        <v>1</v>
      </c>
      <c r="M1226" s="82">
        <f>IFERROR(__xludf.DUMMYFUNCTION("""COMPUTED_VALUE"""),1.75)</f>
        <v>1.75</v>
      </c>
      <c r="N1226" s="82">
        <f>IFERROR(__xludf.DUMMYFUNCTION("""COMPUTED_VALUE"""),2.25)</f>
        <v>2.25</v>
      </c>
      <c r="O1226" s="82">
        <f>IFERROR(__xludf.DUMMYFUNCTION("""COMPUTED_VALUE"""),381.41666666666663)</f>
        <v>381.4166667</v>
      </c>
      <c r="P1226" s="82">
        <f>IFERROR(__xludf.DUMMYFUNCTION("""COMPUTED_VALUE"""),1.1666666666666665)</f>
        <v>1.166666667</v>
      </c>
      <c r="Q1226" s="82">
        <f>IFERROR(__xludf.DUMMYFUNCTION("""COMPUTED_VALUE"""),0.5833333333333333)</f>
        <v>0.5833333333</v>
      </c>
      <c r="R1226" s="82">
        <f>IFERROR(__xludf.DUMMYFUNCTION("""COMPUTED_VALUE"""),1.3333333333333333)</f>
        <v>1.333333333</v>
      </c>
      <c r="S1226" s="82">
        <f>IFERROR(__xludf.DUMMYFUNCTION("""COMPUTED_VALUE"""),3.083333333333333)</f>
        <v>3.083333333</v>
      </c>
      <c r="T1226" s="82">
        <f>IFERROR(__xludf.DUMMYFUNCTION("""COMPUTED_VALUE"""),347.82423797482124)</f>
        <v>347.824238</v>
      </c>
      <c r="U1226" s="82">
        <f>IFERROR(__xludf.DUMMYFUNCTION("""COMPUTED_VALUE"""),0.7585447426380618)</f>
        <v>0.7585447426</v>
      </c>
      <c r="V1226" s="82">
        <f>IFERROR(__xludf.DUMMYFUNCTION("""COMPUTED_VALUE"""),0.47294504717622426)</f>
        <v>0.4729450472</v>
      </c>
      <c r="W1226" s="82">
        <f>IFERROR(__xludf.DUMMYFUNCTION("""COMPUTED_VALUE"""),1.3958724202626642)</f>
        <v>1.39587242</v>
      </c>
      <c r="X1226" s="82">
        <f>IFERROR(__xludf.DUMMYFUNCTION("""COMPUTED_VALUE"""),2.7337058487641728)</f>
        <v>2.733705849</v>
      </c>
      <c r="Y1226" s="82">
        <f>IFERROR(__xludf.DUMMYFUNCTION("""COMPUTED_VALUE"""),399.4286374636321)</f>
        <v>399.4286375</v>
      </c>
      <c r="Z1226" s="82">
        <f>IFERROR(__xludf.DUMMYFUNCTION("""COMPUTED_VALUE"""),0.9993972682201737)</f>
        <v>0.9993972682</v>
      </c>
      <c r="AA1226" s="82">
        <f>IFERROR(__xludf.DUMMYFUNCTION("""COMPUTED_VALUE"""),0.7033970506929149)</f>
        <v>0.7033970507</v>
      </c>
      <c r="AB1226" s="82">
        <f>IFERROR(__xludf.DUMMYFUNCTION("""COMPUTED_VALUE"""),1.5419555700573728)</f>
        <v>1.54195557</v>
      </c>
      <c r="AC1226" s="82">
        <f>IFERROR(__xludf.DUMMYFUNCTION("""COMPUTED_VALUE"""),2.7923113177620067)</f>
        <v>2.792311318</v>
      </c>
      <c r="AD1226" s="82">
        <f>IFERROR(__xludf.DUMMYFUNCTION("""COMPUTED_VALUE"""),0.9957974033251811)</f>
        <v>0.9957974033</v>
      </c>
      <c r="AE1226" s="82">
        <f>IFERROR(__xludf.DUMMYFUNCTION("""COMPUTED_VALUE"""),1.2507538691056506)</f>
        <v>1.250753869</v>
      </c>
      <c r="AF1226" s="82">
        <f>IFERROR(__xludf.DUMMYFUNCTION("""COMPUTED_VALUE"""),1.421672153750008)</f>
        <v>1.421672154</v>
      </c>
      <c r="AG1226" s="82">
        <f>IFERROR(__xludf.DUMMYFUNCTION("""COMPUTED_VALUE"""),1.1349224543057919)</f>
        <v>1.134922454</v>
      </c>
      <c r="AH1226" s="82">
        <f>IFERROR(__xludf.DUMMYFUNCTION("""COMPUTED_VALUE"""),0.8057840777594023)</f>
        <v>0.8057840778</v>
      </c>
      <c r="AI1226" s="82">
        <f>IFERROR(__xludf.DUMMYFUNCTION("""COMPUTED_VALUE"""),1.096578745884515)</f>
        <v>1.096578746</v>
      </c>
      <c r="AJ1226" s="82">
        <f>IFERROR(__xludf.DUMMYFUNCTION("""COMPUTED_VALUE"""),1.5380327633795747)</f>
        <v>1.538032763</v>
      </c>
      <c r="AK1226" s="82">
        <f>IFERROR(__xludf.DUMMYFUNCTION("""COMPUTED_VALUE"""),1.233406157472619)</f>
        <v>1.233406157</v>
      </c>
      <c r="AL1226" s="82">
        <f>IFERROR(__xludf.DUMMYFUNCTION("""COMPUTED_VALUE"""),0.9551971326164873)</f>
        <v>0.9551971326</v>
      </c>
      <c r="AM1226" s="82">
        <f>IFERROR(__xludf.DUMMYFUNCTION("""COMPUTED_VALUE"""),1.1278950640308343)</f>
        <v>1.127895064</v>
      </c>
      <c r="AN1226" s="82">
        <f>IFERROR(__xludf.DUMMYFUNCTION("""COMPUTED_VALUE"""),1.1505544536957548)</f>
        <v>1.150554454</v>
      </c>
      <c r="AO1226" s="82">
        <f>IFERROR(__xludf.DUMMYFUNCTION("""COMPUTED_VALUE"""),1.654395551681865)</f>
        <v>1.654395552</v>
      </c>
      <c r="AP1226" s="82">
        <f>IFERROR(__xludf.DUMMYFUNCTION("""COMPUTED_VALUE"""),1.799021980139893)</f>
        <v>1.79902198</v>
      </c>
      <c r="AQ1226" s="82">
        <f>IFERROR(__xludf.DUMMYFUNCTION("""COMPUTED_VALUE"""),1.2934499512729274)</f>
        <v>1.293449951</v>
      </c>
      <c r="AR1226" s="82">
        <f>IFERROR(__xludf.DUMMYFUNCTION("""COMPUTED_VALUE"""),0.8825215053304745)</f>
        <v>0.8825215053</v>
      </c>
      <c r="AS1226" s="82">
        <f>IFERROR(__xludf.DUMMYFUNCTION("""COMPUTED_VALUE"""),14.0)</f>
        <v>14</v>
      </c>
      <c r="AT1226" s="82">
        <f>IFERROR(__xludf.DUMMYFUNCTION("""COMPUTED_VALUE"""),0.5000000000000001)</f>
        <v>0.5</v>
      </c>
      <c r="AU1226" s="82">
        <f>IFERROR(__xludf.DUMMYFUNCTION("""COMPUTED_VALUE"""),2.3945881038091827)</f>
        <v>2.394588104</v>
      </c>
      <c r="AV1226" s="82">
        <f>IFERROR(__xludf.DUMMYFUNCTION("""COMPUTED_VALUE"""),70.8255329913939)</f>
        <v>70.82553299</v>
      </c>
      <c r="AW1226" s="82">
        <f t="shared" si="1"/>
        <v>4.940312314</v>
      </c>
      <c r="AX1226" s="83">
        <f t="array" ref="AX1226">IFERROR(DGET('SBV Import'!A:G,"SBV",{"RSC ID","Tier";B1226,A1226}))</f>
        <v>43.60796655</v>
      </c>
      <c r="AY1226" s="82">
        <f t="shared" si="2"/>
        <v>-2.505647396</v>
      </c>
      <c r="AZ1226" s="82">
        <v>7.445959709596998</v>
      </c>
      <c r="BA1226" s="84">
        <v>1200.0</v>
      </c>
      <c r="BB1226" s="84" t="b">
        <f>IFERROR(__xludf.DUMMYFUNCTION("iferror(if(A1226="""",,E1226&gt;=FILTER(Constants!$F$2:$F$10,Constants!$A$2:$A$10=A1226)))"),TRUE)</f>
        <v>1</v>
      </c>
    </row>
    <row r="1227">
      <c r="A1227" s="89" t="str">
        <f>IFERROR(__xludf.DUMMYFUNCTION("""COMPUTED_VALUE"""),"Veteran")</f>
        <v>Veteran</v>
      </c>
      <c r="B1227" s="87" t="str">
        <f>IFERROR(__xludf.DUMMYFUNCTION("""COMPUTED_VALUE"""),"RSC007908")</f>
        <v>RSC007908</v>
      </c>
      <c r="C1227" s="73" t="str">
        <f>IFERROR(__xludf.DUMMYFUNCTION("""COMPUTED_VALUE"""),"C01E01")</f>
        <v>C01E01</v>
      </c>
      <c r="D1227" s="73"/>
      <c r="E1227" s="82">
        <f>IFERROR(__xludf.DUMMYFUNCTION("""COMPUTED_VALUE"""),39.0)</f>
        <v>39</v>
      </c>
      <c r="F1227" s="82">
        <f>IFERROR(__xludf.DUMMYFUNCTION("""COMPUTED_VALUE"""),18.0)</f>
        <v>18</v>
      </c>
      <c r="G1227" s="86">
        <f>IFERROR(__xludf.DUMMYFUNCTION("""COMPUTED_VALUE"""),21.0)</f>
        <v>21</v>
      </c>
      <c r="H1227" s="86">
        <f>IFERROR(__xludf.DUMMYFUNCTION("""COMPUTED_VALUE"""),0.46153846153846156)</f>
        <v>0.4615384615</v>
      </c>
      <c r="I1227" s="86">
        <f>IFERROR(__xludf.DUMMYFUNCTION("""COMPUTED_VALUE"""),0.34188034188034183)</f>
        <v>0.3418803419</v>
      </c>
      <c r="J1227" s="82">
        <f>IFERROR(__xludf.DUMMYFUNCTION("""COMPUTED_VALUE"""),409.9230769230769)</f>
        <v>409.9230769</v>
      </c>
      <c r="K1227" s="82">
        <f>IFERROR(__xludf.DUMMYFUNCTION("""COMPUTED_VALUE"""),1.0256410256410255)</f>
        <v>1.025641026</v>
      </c>
      <c r="L1227" s="82">
        <f>IFERROR(__xludf.DUMMYFUNCTION("""COMPUTED_VALUE"""),0.38461538461538464)</f>
        <v>0.3846153846</v>
      </c>
      <c r="M1227" s="82">
        <f>IFERROR(__xludf.DUMMYFUNCTION("""COMPUTED_VALUE"""),1.564102564102564)</f>
        <v>1.564102564</v>
      </c>
      <c r="N1227" s="82">
        <f>IFERROR(__xludf.DUMMYFUNCTION("""COMPUTED_VALUE"""),3.0)</f>
        <v>3</v>
      </c>
      <c r="O1227" s="82">
        <f>IFERROR(__xludf.DUMMYFUNCTION("""COMPUTED_VALUE"""),348.6495726495727)</f>
        <v>348.6495726</v>
      </c>
      <c r="P1227" s="82">
        <f>IFERROR(__xludf.DUMMYFUNCTION("""COMPUTED_VALUE"""),0.7179487179487178)</f>
        <v>0.7179487179</v>
      </c>
      <c r="Q1227" s="82">
        <f>IFERROR(__xludf.DUMMYFUNCTION("""COMPUTED_VALUE"""),0.5982905982905983)</f>
        <v>0.5982905983</v>
      </c>
      <c r="R1227" s="82">
        <f>IFERROR(__xludf.DUMMYFUNCTION("""COMPUTED_VALUE"""),1.2905982905982905)</f>
        <v>1.290598291</v>
      </c>
      <c r="S1227" s="82">
        <f>IFERROR(__xludf.DUMMYFUNCTION("""COMPUTED_VALUE"""),2.5042735042735034)</f>
        <v>2.504273504</v>
      </c>
      <c r="T1227" s="82">
        <f>IFERROR(__xludf.DUMMYFUNCTION("""COMPUTED_VALUE"""),363.3208900119204)</f>
        <v>363.32089</v>
      </c>
      <c r="U1227" s="82">
        <f>IFERROR(__xludf.DUMMYFUNCTION("""COMPUTED_VALUE"""),0.8238223553236309)</f>
        <v>0.8238223553</v>
      </c>
      <c r="V1227" s="82">
        <f>IFERROR(__xludf.DUMMYFUNCTION("""COMPUTED_VALUE"""),0.6196362899999516)</f>
        <v>0.61963629</v>
      </c>
      <c r="W1227" s="82">
        <f>IFERROR(__xludf.DUMMYFUNCTION("""COMPUTED_VALUE"""),1.3658742418676064)</f>
        <v>1.365874242</v>
      </c>
      <c r="X1227" s="82">
        <f>IFERROR(__xludf.DUMMYFUNCTION("""COMPUTED_VALUE"""),2.725020330070247)</f>
        <v>2.72502033</v>
      </c>
      <c r="Y1227" s="82">
        <f>IFERROR(__xludf.DUMMYFUNCTION("""COMPUTED_VALUE"""),357.4955578221524)</f>
        <v>357.4955578</v>
      </c>
      <c r="Z1227" s="82">
        <f>IFERROR(__xludf.DUMMYFUNCTION("""COMPUTED_VALUE"""),0.7929312732045599)</f>
        <v>0.7929312732</v>
      </c>
      <c r="AA1227" s="82">
        <f>IFERROR(__xludf.DUMMYFUNCTION("""COMPUTED_VALUE"""),0.5789680146404518)</f>
        <v>0.5789680146</v>
      </c>
      <c r="AB1227" s="82">
        <f>IFERROR(__xludf.DUMMYFUNCTION("""COMPUTED_VALUE"""),1.3888387719601307)</f>
        <v>1.388838772</v>
      </c>
      <c r="AC1227" s="82">
        <f>IFERROR(__xludf.DUMMYFUNCTION("""COMPUTED_VALUE"""),2.6234920115422407)</f>
        <v>2.623492012</v>
      </c>
      <c r="AD1227" s="82">
        <f>IFERROR(__xludf.DUMMYFUNCTION("""COMPUTED_VALUE"""),1.1466522253320033)</f>
        <v>1.146652225</v>
      </c>
      <c r="AE1227" s="82">
        <f>IFERROR(__xludf.DUMMYFUNCTION("""COMPUTED_VALUE"""),1.2934803561171073)</f>
        <v>1.293480356</v>
      </c>
      <c r="AF1227" s="82">
        <f>IFERROR(__xludf.DUMMYFUNCTION("""COMPUTED_VALUE"""),0.664311973873439)</f>
        <v>0.6643119739</v>
      </c>
      <c r="AG1227" s="82">
        <f>IFERROR(__xludf.DUMMYFUNCTION("""COMPUTED_VALUE"""),1.1261944839681253)</f>
        <v>1.126194484</v>
      </c>
      <c r="AH1227" s="82">
        <f>IFERROR(__xludf.DUMMYFUNCTION("""COMPUTED_VALUE"""),1.1435140594296782)</f>
        <v>1.143514059</v>
      </c>
      <c r="AI1227" s="82">
        <f>IFERROR(__xludf.DUMMYFUNCTION("""COMPUTED_VALUE"""),0.9596188444824453)</f>
        <v>0.9596188445</v>
      </c>
      <c r="AJ1227" s="82">
        <f>IFERROR(__xludf.DUMMYFUNCTION("""COMPUTED_VALUE"""),0.8714848696557627)</f>
        <v>0.8714848697</v>
      </c>
      <c r="AK1227" s="82">
        <f>IFERROR(__xludf.DUMMYFUNCTION("""COMPUTED_VALUE"""),0.9655512563517624)</f>
        <v>0.9655512564</v>
      </c>
      <c r="AL1227" s="82">
        <f>IFERROR(__xludf.DUMMYFUNCTION("""COMPUTED_VALUE"""),0.9448880804967896)</f>
        <v>0.9448880805</v>
      </c>
      <c r="AM1227" s="82">
        <f>IFERROR(__xludf.DUMMYFUNCTION("""COMPUTED_VALUE"""),0.9189925948952267)</f>
        <v>0.9189925949</v>
      </c>
      <c r="AN1227" s="82">
        <f>IFERROR(__xludf.DUMMYFUNCTION("""COMPUTED_VALUE"""),1.185766993907011)</f>
        <v>1.185766994</v>
      </c>
      <c r="AO1227" s="82">
        <f>IFERROR(__xludf.DUMMYFUNCTION("""COMPUTED_VALUE"""),1.3574527603543505)</f>
        <v>1.35745276</v>
      </c>
      <c r="AP1227" s="82">
        <f>IFERROR(__xludf.DUMMYFUNCTION("""COMPUTED_VALUE"""),0.6919315308230358)</f>
        <v>0.6919315308</v>
      </c>
      <c r="AQ1227" s="82">
        <f>IFERROR(__xludf.DUMMYFUNCTION("""COMPUTED_VALUE"""),1.1560505058996127)</f>
        <v>1.156050506</v>
      </c>
      <c r="AR1227" s="82">
        <f>IFERROR(__xludf.DUMMYFUNCTION("""COMPUTED_VALUE"""),1.1766953404406326)</f>
        <v>1.17669534</v>
      </c>
      <c r="AS1227" s="82">
        <f>IFERROR(__xludf.DUMMYFUNCTION("""COMPUTED_VALUE"""),89.0)</f>
        <v>89</v>
      </c>
      <c r="AT1227" s="82">
        <f>IFERROR(__xludf.DUMMYFUNCTION("""COMPUTED_VALUE"""),0.52215206248874)</f>
        <v>0.5221520625</v>
      </c>
      <c r="AU1227" s="82">
        <f>IFERROR(__xludf.DUMMYFUNCTION("""COMPUTED_VALUE"""),2.370810348255648)</f>
        <v>2.370810348</v>
      </c>
      <c r="AV1227" s="82">
        <f>IFERROR(__xludf.DUMMYFUNCTION("""COMPUTED_VALUE"""),69.97542844594767)</f>
        <v>69.97542845</v>
      </c>
      <c r="AW1227" s="82">
        <f t="shared" si="1"/>
        <v>4.713862926</v>
      </c>
      <c r="AX1227" s="83">
        <f t="array" ref="AX1227">IFERROR(DGET('SBV Import'!A:G,"SBV",{"RSC ID","Tier";B1227,A1227}))</f>
        <v>71.18853335</v>
      </c>
      <c r="AY1227" s="82">
        <f t="shared" si="2"/>
        <v>5.041676282</v>
      </c>
      <c r="AZ1227" s="82">
        <v>0.327813356634171</v>
      </c>
      <c r="BA1227" s="84">
        <v>1200.0</v>
      </c>
      <c r="BB1227" s="84" t="b">
        <f>IFERROR(__xludf.DUMMYFUNCTION("iferror(if(A1227="""",,E1227&gt;=FILTER(Constants!$F$2:$F$10,Constants!$A$2:$A$10=A1227)))"),TRUE)</f>
        <v>1</v>
      </c>
    </row>
    <row r="1228">
      <c r="A1228" s="89" t="str">
        <f>IFERROR(__xludf.DUMMYFUNCTION("""COMPUTED_VALUE"""),"Veteran")</f>
        <v>Veteran</v>
      </c>
      <c r="B1228" s="87" t="str">
        <f>IFERROR(__xludf.DUMMYFUNCTION("""COMPUTED_VALUE"""),"RSC007341")</f>
        <v>RSC007341</v>
      </c>
      <c r="C1228" s="73" t="str">
        <f>IFERROR(__xludf.DUMMYFUNCTION("""COMPUTED_VALUE"""),"Squashy")</f>
        <v>Squashy</v>
      </c>
      <c r="D1228" s="73" t="str">
        <f>IFERROR(__xludf.DUMMYFUNCTION("""COMPUTED_VALUE"""),"Rockin Revenants")</f>
        <v>Rockin Revenants</v>
      </c>
      <c r="E1228" s="82">
        <f>IFERROR(__xludf.DUMMYFUNCTION("""COMPUTED_VALUE"""),44.0)</f>
        <v>44</v>
      </c>
      <c r="F1228" s="82">
        <f>IFERROR(__xludf.DUMMYFUNCTION("""COMPUTED_VALUE"""),22.0)</f>
        <v>22</v>
      </c>
      <c r="G1228" s="86">
        <f>IFERROR(__xludf.DUMMYFUNCTION("""COMPUTED_VALUE"""),22.0)</f>
        <v>22</v>
      </c>
      <c r="H1228" s="86">
        <f>IFERROR(__xludf.DUMMYFUNCTION("""COMPUTED_VALUE"""),0.5)</f>
        <v>0.5</v>
      </c>
      <c r="I1228" s="86">
        <f>IFERROR(__xludf.DUMMYFUNCTION("""COMPUTED_VALUE"""),0.25925925925925924)</f>
        <v>0.2592592593</v>
      </c>
      <c r="J1228" s="82">
        <f>IFERROR(__xludf.DUMMYFUNCTION("""COMPUTED_VALUE"""),383.47727272727275)</f>
        <v>383.4772727</v>
      </c>
      <c r="K1228" s="82">
        <f>IFERROR(__xludf.DUMMYFUNCTION("""COMPUTED_VALUE"""),0.7954545454545454)</f>
        <v>0.7954545455</v>
      </c>
      <c r="L1228" s="82">
        <f>IFERROR(__xludf.DUMMYFUNCTION("""COMPUTED_VALUE"""),0.7954545454545454)</f>
        <v>0.7954545455</v>
      </c>
      <c r="M1228" s="82">
        <f>IFERROR(__xludf.DUMMYFUNCTION("""COMPUTED_VALUE"""),1.4545454545454546)</f>
        <v>1.454545455</v>
      </c>
      <c r="N1228" s="82">
        <f>IFERROR(__xludf.DUMMYFUNCTION("""COMPUTED_VALUE"""),3.0681818181818183)</f>
        <v>3.068181818</v>
      </c>
      <c r="O1228" s="82">
        <f>IFERROR(__xludf.DUMMYFUNCTION("""COMPUTED_VALUE"""),358.3636363636363)</f>
        <v>358.3636364</v>
      </c>
      <c r="P1228" s="82">
        <f>IFERROR(__xludf.DUMMYFUNCTION("""COMPUTED_VALUE"""),0.7727272727272729)</f>
        <v>0.7727272727</v>
      </c>
      <c r="Q1228" s="82">
        <f>IFERROR(__xludf.DUMMYFUNCTION("""COMPUTED_VALUE"""),0.6136363636363635)</f>
        <v>0.6136363636</v>
      </c>
      <c r="R1228" s="82">
        <f>IFERROR(__xludf.DUMMYFUNCTION("""COMPUTED_VALUE"""),1.3484848484848486)</f>
        <v>1.348484848</v>
      </c>
      <c r="S1228" s="82">
        <f>IFERROR(__xludf.DUMMYFUNCTION("""COMPUTED_VALUE"""),2.583333333333333)</f>
        <v>2.583333333</v>
      </c>
      <c r="T1228" s="82">
        <f>IFERROR(__xludf.DUMMYFUNCTION("""COMPUTED_VALUE"""),358.01219196758643)</f>
        <v>358.012192</v>
      </c>
      <c r="U1228" s="82">
        <f>IFERROR(__xludf.DUMMYFUNCTION("""COMPUTED_VALUE"""),0.8259135737593938)</f>
        <v>0.8259135738</v>
      </c>
      <c r="V1228" s="82">
        <f>IFERROR(__xludf.DUMMYFUNCTION("""COMPUTED_VALUE"""),0.5832389343467338)</f>
        <v>0.5832389343</v>
      </c>
      <c r="W1228" s="82">
        <f>IFERROR(__xludf.DUMMYFUNCTION("""COMPUTED_VALUE"""),1.3551661398130332)</f>
        <v>1.35516614</v>
      </c>
      <c r="X1228" s="82">
        <f>IFERROR(__xludf.DUMMYFUNCTION("""COMPUTED_VALUE"""),2.686911203080196)</f>
        <v>2.686911203</v>
      </c>
      <c r="Y1228" s="82">
        <f>IFERROR(__xludf.DUMMYFUNCTION("""COMPUTED_VALUE"""),365.99757104469836)</f>
        <v>365.997571</v>
      </c>
      <c r="Z1228" s="82">
        <f>IFERROR(__xludf.DUMMYFUNCTION("""COMPUTED_VALUE"""),0.8395633076259462)</f>
        <v>0.8395633076</v>
      </c>
      <c r="AA1228" s="82">
        <f>IFERROR(__xludf.DUMMYFUNCTION("""COMPUTED_VALUE"""),0.6230782903151363)</f>
        <v>0.6230782903</v>
      </c>
      <c r="AB1228" s="82">
        <f>IFERROR(__xludf.DUMMYFUNCTION("""COMPUTED_VALUE"""),1.385391026869761)</f>
        <v>1.385391027</v>
      </c>
      <c r="AC1228" s="82">
        <f>IFERROR(__xludf.DUMMYFUNCTION("""COMPUTED_VALUE"""),2.702475786746112)</f>
        <v>2.702475787</v>
      </c>
      <c r="AD1228" s="82">
        <f>IFERROR(__xludf.DUMMYFUNCTION("""COMPUTED_VALUE"""),1.047759064719147)</f>
        <v>1.047759065</v>
      </c>
      <c r="AE1228" s="82">
        <f>IFERROR(__xludf.DUMMYFUNCTION("""COMPUTED_VALUE"""),0.9474622559481212)</f>
        <v>0.9474622559</v>
      </c>
      <c r="AF1228" s="82">
        <f>IFERROR(__xludf.DUMMYFUNCTION("""COMPUTED_VALUE"""),1.2766526419211714)</f>
        <v>1.276652642</v>
      </c>
      <c r="AG1228" s="82">
        <f>IFERROR(__xludf.DUMMYFUNCTION("""COMPUTED_VALUE"""),1.049916901679337)</f>
        <v>1.049916902</v>
      </c>
      <c r="AH1228" s="82">
        <f>IFERROR(__xludf.DUMMYFUNCTION("""COMPUTED_VALUE"""),1.135322593167812)</f>
        <v>1.135322593</v>
      </c>
      <c r="AI1228" s="82">
        <f>IFERROR(__xludf.DUMMYFUNCTION("""COMPUTED_VALUE"""),1.0009816548261063)</f>
        <v>1.000981655</v>
      </c>
      <c r="AJ1228" s="82">
        <f>IFERROR(__xludf.DUMMYFUNCTION("""COMPUTED_VALUE"""),0.9356030670497066)</f>
        <v>0.935603067</v>
      </c>
      <c r="AK1228" s="82">
        <f>IFERROR(__xludf.DUMMYFUNCTION("""COMPUTED_VALUE"""),1.0521183129238052)</f>
        <v>1.052118313</v>
      </c>
      <c r="AL1228" s="82">
        <f>IFERROR(__xludf.DUMMYFUNCTION("""COMPUTED_VALUE"""),0.9950697621997061)</f>
        <v>0.9950697622</v>
      </c>
      <c r="AM1228" s="82">
        <f>IFERROR(__xludf.DUMMYFUNCTION("""COMPUTED_VALUE"""),0.9614509516994367)</f>
        <v>0.9614509517</v>
      </c>
      <c r="AN1228" s="82">
        <f>IFERROR(__xludf.DUMMYFUNCTION("""COMPUTED_VALUE"""),1.1092683445065123)</f>
        <v>1.109268345</v>
      </c>
      <c r="AO1228" s="82">
        <f>IFERROR(__xludf.DUMMYFUNCTION("""COMPUTED_VALUE"""),1.0527971692520959)</f>
        <v>1.052797169</v>
      </c>
      <c r="AP1228" s="82">
        <f>IFERROR(__xludf.DUMMYFUNCTION("""COMPUTED_VALUE"""),1.4310402114749148)</f>
        <v>1.431040211</v>
      </c>
      <c r="AQ1228" s="82">
        <f>IFERROR(__xludf.DUMMYFUNCTION("""COMPUTED_VALUE"""),1.0750752841749007)</f>
        <v>1.075075284</v>
      </c>
      <c r="AR1228" s="82">
        <f>IFERROR(__xludf.DUMMYFUNCTION("""COMPUTED_VALUE"""),1.203438416359738)</f>
        <v>1.203438416</v>
      </c>
      <c r="AS1228" s="82">
        <f>IFERROR(__xludf.DUMMYFUNCTION("""COMPUTED_VALUE"""),108.0)</f>
        <v>108</v>
      </c>
      <c r="AT1228" s="82">
        <f>IFERROR(__xludf.DUMMYFUNCTION("""COMPUTED_VALUE"""),0.5223633235488025)</f>
        <v>0.5223633235</v>
      </c>
      <c r="AU1228" s="82">
        <f>IFERROR(__xludf.DUMMYFUNCTION("""COMPUTED_VALUE"""),2.348079427638095)</f>
        <v>2.348079428</v>
      </c>
      <c r="AV1228" s="82">
        <f>IFERROR(__xludf.DUMMYFUNCTION("""COMPUTED_VALUE"""),69.16275044126164)</f>
        <v>69.16275044</v>
      </c>
      <c r="AW1228" s="82">
        <f t="shared" si="1"/>
        <v>4.510875674</v>
      </c>
      <c r="AX1228" s="83">
        <f t="array" ref="AX1228">IFERROR(DGET('SBV Import'!A:G,"SBV",{"RSC ID","Tier";B1228,A1228}))</f>
        <v>64.95323614</v>
      </c>
      <c r="AY1228" s="82">
        <f t="shared" si="2"/>
        <v>3.637993695</v>
      </c>
      <c r="AZ1228" s="82">
        <v>0.872881979675804</v>
      </c>
      <c r="BA1228" s="84">
        <v>1200.0</v>
      </c>
      <c r="BB1228" s="84" t="b">
        <f>IFERROR(__xludf.DUMMYFUNCTION("iferror(if(A1228="""",,E1228&gt;=FILTER(Constants!$F$2:$F$10,Constants!$A$2:$A$10=A1228)))"),TRUE)</f>
        <v>1</v>
      </c>
    </row>
    <row r="1229">
      <c r="A1229" s="89" t="str">
        <f>IFERROR(__xludf.DUMMYFUNCTION("""COMPUTED_VALUE"""),"Veteran")</f>
        <v>Veteran</v>
      </c>
      <c r="B1229" s="87" t="str">
        <f>IFERROR(__xludf.DUMMYFUNCTION("""COMPUTED_VALUE"""),"RSC005758")</f>
        <v>RSC005758</v>
      </c>
      <c r="C1229" s="73" t="str">
        <f>IFERROR(__xludf.DUMMYFUNCTION("""COMPUTED_VALUE"""),"ghostsynn.")</f>
        <v>ghostsynn.</v>
      </c>
      <c r="D1229" s="73" t="str">
        <f>IFERROR(__xludf.DUMMYFUNCTION("""COMPUTED_VALUE"""),"Typhoons")</f>
        <v>Typhoons</v>
      </c>
      <c r="E1229" s="82">
        <f>IFERROR(__xludf.DUMMYFUNCTION("""COMPUTED_VALUE"""),37.0)</f>
        <v>37</v>
      </c>
      <c r="F1229" s="82">
        <f>IFERROR(__xludf.DUMMYFUNCTION("""COMPUTED_VALUE"""),25.0)</f>
        <v>25</v>
      </c>
      <c r="G1229" s="86">
        <f>IFERROR(__xludf.DUMMYFUNCTION("""COMPUTED_VALUE"""),12.0)</f>
        <v>12</v>
      </c>
      <c r="H1229" s="86">
        <f>IFERROR(__xludf.DUMMYFUNCTION("""COMPUTED_VALUE"""),0.6756756756756757)</f>
        <v>0.6756756757</v>
      </c>
      <c r="I1229" s="86">
        <f>IFERROR(__xludf.DUMMYFUNCTION("""COMPUTED_VALUE"""),0.2777777777777778)</f>
        <v>0.2777777778</v>
      </c>
      <c r="J1229" s="82">
        <f>IFERROR(__xludf.DUMMYFUNCTION("""COMPUTED_VALUE"""),377.6756756756757)</f>
        <v>377.6756757</v>
      </c>
      <c r="K1229" s="82">
        <f>IFERROR(__xludf.DUMMYFUNCTION("""COMPUTED_VALUE"""),0.8108108108108109)</f>
        <v>0.8108108108</v>
      </c>
      <c r="L1229" s="82">
        <f>IFERROR(__xludf.DUMMYFUNCTION("""COMPUTED_VALUE"""),0.5675675675675675)</f>
        <v>0.5675675676</v>
      </c>
      <c r="M1229" s="82">
        <f>IFERROR(__xludf.DUMMYFUNCTION("""COMPUTED_VALUE"""),1.4864864864864864)</f>
        <v>1.486486486</v>
      </c>
      <c r="N1229" s="82">
        <f>IFERROR(__xludf.DUMMYFUNCTION("""COMPUTED_VALUE"""),2.918918918918919)</f>
        <v>2.918918919</v>
      </c>
      <c r="O1229" s="82">
        <f>IFERROR(__xludf.DUMMYFUNCTION("""COMPUTED_VALUE"""),332.8378378378378)</f>
        <v>332.8378378</v>
      </c>
      <c r="P1229" s="82">
        <f>IFERROR(__xludf.DUMMYFUNCTION("""COMPUTED_VALUE"""),0.5945945945945946)</f>
        <v>0.5945945946</v>
      </c>
      <c r="Q1229" s="82">
        <f>IFERROR(__xludf.DUMMYFUNCTION("""COMPUTED_VALUE"""),0.4864864864864865)</f>
        <v>0.4864864865</v>
      </c>
      <c r="R1229" s="82">
        <f>IFERROR(__xludf.DUMMYFUNCTION("""COMPUTED_VALUE"""),1.4774774774774777)</f>
        <v>1.477477477</v>
      </c>
      <c r="S1229" s="82">
        <f>IFERROR(__xludf.DUMMYFUNCTION("""COMPUTED_VALUE"""),2.18018018018018)</f>
        <v>2.18018018</v>
      </c>
      <c r="T1229" s="82">
        <f>IFERROR(__xludf.DUMMYFUNCTION("""COMPUTED_VALUE"""),349.5655777387164)</f>
        <v>349.5655777</v>
      </c>
      <c r="U1229" s="82">
        <f>IFERROR(__xludf.DUMMYFUNCTION("""COMPUTED_VALUE"""),0.7535720252555863)</f>
        <v>0.7535720253</v>
      </c>
      <c r="V1229" s="82">
        <f>IFERROR(__xludf.DUMMYFUNCTION("""COMPUTED_VALUE"""),0.5789362356957336)</f>
        <v>0.5789362357</v>
      </c>
      <c r="W1229" s="82">
        <f>IFERROR(__xludf.DUMMYFUNCTION("""COMPUTED_VALUE"""),1.3369754853172275)</f>
        <v>1.336975485</v>
      </c>
      <c r="X1229" s="82">
        <f>IFERROR(__xludf.DUMMYFUNCTION("""COMPUTED_VALUE"""),2.6116447249875607)</f>
        <v>2.611644725</v>
      </c>
      <c r="Y1229" s="82">
        <f>IFERROR(__xludf.DUMMYFUNCTION("""COMPUTED_VALUE"""),360.8119620913998)</f>
        <v>360.8119621</v>
      </c>
      <c r="Z1229" s="82">
        <f>IFERROR(__xludf.DUMMYFUNCTION("""COMPUTED_VALUE"""),0.7902620549364591)</f>
        <v>0.7902620549</v>
      </c>
      <c r="AA1229" s="82">
        <f>IFERROR(__xludf.DUMMYFUNCTION("""COMPUTED_VALUE"""),0.5859014119819415)</f>
        <v>0.585901412</v>
      </c>
      <c r="AB1229" s="82">
        <f>IFERROR(__xludf.DUMMYFUNCTION("""COMPUTED_VALUE"""),1.4362396225773417)</f>
        <v>1.436239623</v>
      </c>
      <c r="AC1229" s="82">
        <f>IFERROR(__xludf.DUMMYFUNCTION("""COMPUTED_VALUE"""),2.6102210125460568)</f>
        <v>2.610221013</v>
      </c>
      <c r="AD1229" s="82">
        <f>IFERROR(__xludf.DUMMYFUNCTION("""COMPUTED_VALUE"""),1.0467382330855317)</f>
        <v>1.046738233</v>
      </c>
      <c r="AE1229" s="82">
        <f>IFERROR(__xludf.DUMMYFUNCTION("""COMPUTED_VALUE"""),1.026002457977062)</f>
        <v>1.026002458</v>
      </c>
      <c r="AF1229" s="82">
        <f>IFERROR(__xludf.DUMMYFUNCTION("""COMPUTED_VALUE"""),0.9687083116042414)</f>
        <v>0.9687083116</v>
      </c>
      <c r="AG1229" s="82">
        <f>IFERROR(__xludf.DUMMYFUNCTION("""COMPUTED_VALUE"""),1.0349850144218806)</f>
        <v>1.034985014</v>
      </c>
      <c r="AH1229" s="82">
        <f>IFERROR(__xludf.DUMMYFUNCTION("""COMPUTED_VALUE"""),1.1182650453310667)</f>
        <v>1.118265045</v>
      </c>
      <c r="AI1229" s="82">
        <f>IFERROR(__xludf.DUMMYFUNCTION("""COMPUTED_VALUE"""),0.9521470620503093)</f>
        <v>0.9521470621</v>
      </c>
      <c r="AJ1229" s="82">
        <f>IFERROR(__xludf.DUMMYFUNCTION("""COMPUTED_VALUE"""),0.7890348562142128)</f>
        <v>0.7890348562</v>
      </c>
      <c r="AK1229" s="82">
        <f>IFERROR(__xludf.DUMMYFUNCTION("""COMPUTED_VALUE"""),0.8403109988474878)</f>
        <v>0.8403109988</v>
      </c>
      <c r="AL1229" s="82">
        <f>IFERROR(__xludf.DUMMYFUNCTION("""COMPUTED_VALUE"""),1.1050894303622276)</f>
        <v>1.10508943</v>
      </c>
      <c r="AM1229" s="82">
        <f>IFERROR(__xludf.DUMMYFUNCTION("""COMPUTED_VALUE"""),0.8347920217940686)</f>
        <v>0.8347920218</v>
      </c>
      <c r="AN1229" s="82">
        <f>IFERROR(__xludf.DUMMYFUNCTION("""COMPUTED_VALUE"""),1.0924863122594648)</f>
        <v>1.092486312</v>
      </c>
      <c r="AO1229" s="82">
        <f>IFERROR(__xludf.DUMMYFUNCTION("""COMPUTED_VALUE"""),1.0731214389287773)</f>
        <v>1.073121439</v>
      </c>
      <c r="AP1229" s="82">
        <f>IFERROR(__xludf.DUMMYFUNCTION("""COMPUTED_VALUE"""),1.0210665292685879)</f>
        <v>1.021066529</v>
      </c>
      <c r="AQ1229" s="82">
        <f>IFERROR(__xludf.DUMMYFUNCTION("""COMPUTED_VALUE"""),1.0986833562936063)</f>
        <v>1.098683356</v>
      </c>
      <c r="AR1229" s="82">
        <f>IFERROR(__xludf.DUMMYFUNCTION("""COMPUTED_VALUE"""),1.1448927636719668)</f>
        <v>1.144892764</v>
      </c>
      <c r="AS1229" s="82">
        <f>IFERROR(__xludf.DUMMYFUNCTION("""COMPUTED_VALUE"""),95.0)</f>
        <v>95</v>
      </c>
      <c r="AT1229" s="82">
        <f>IFERROR(__xludf.DUMMYFUNCTION("""COMPUTED_VALUE"""),0.6354010358461346)</f>
        <v>0.6354010358</v>
      </c>
      <c r="AU1229" s="82">
        <f>IFERROR(__xludf.DUMMYFUNCTION("""COMPUTED_VALUE"""),2.299750469467294)</f>
        <v>2.299750469</v>
      </c>
      <c r="AV1229" s="82">
        <f>IFERROR(__xludf.DUMMYFUNCTION("""COMPUTED_VALUE"""),67.43488899844473)</f>
        <v>67.434889</v>
      </c>
      <c r="AW1229" s="82">
        <f t="shared" si="1"/>
        <v>4.118995477</v>
      </c>
      <c r="AX1229" s="83">
        <f t="array" ref="AX1229">IFERROR(DGET('SBV Import'!A:G,"SBV",{"RSC ID","Tier";B1229,A1229}))</f>
        <v>67.0619076</v>
      </c>
      <c r="AY1229" s="82">
        <f t="shared" si="2"/>
        <v>4.040911632</v>
      </c>
      <c r="AZ1229" s="82">
        <v>0.07808384493301901</v>
      </c>
      <c r="BA1229" s="84">
        <v>1200.0</v>
      </c>
      <c r="BB1229" s="84" t="b">
        <f>IFERROR(__xludf.DUMMYFUNCTION("iferror(if(A1229="""",,E1229&gt;=FILTER(Constants!$F$2:$F$10,Constants!$A$2:$A$10=A1229)))"),TRUE)</f>
        <v>1</v>
      </c>
    </row>
    <row r="1230">
      <c r="A1230" s="89" t="str">
        <f>IFERROR(__xludf.DUMMYFUNCTION("""COMPUTED_VALUE"""),"Veteran")</f>
        <v>Veteran</v>
      </c>
      <c r="B1230" s="87" t="str">
        <f>IFERROR(__xludf.DUMMYFUNCTION("""COMPUTED_VALUE"""),"RSC005088")</f>
        <v>RSC005088</v>
      </c>
      <c r="C1230" s="73" t="str">
        <f>IFERROR(__xludf.DUMMYFUNCTION("""COMPUTED_VALUE"""),"Thirteen")</f>
        <v>Thirteen</v>
      </c>
      <c r="D1230" s="73" t="str">
        <f>IFERROR(__xludf.DUMMYFUNCTION("""COMPUTED_VALUE"""),"Repossessed")</f>
        <v>Repossessed</v>
      </c>
      <c r="E1230" s="82">
        <f>IFERROR(__xludf.DUMMYFUNCTION("""COMPUTED_VALUE"""),30.0)</f>
        <v>30</v>
      </c>
      <c r="F1230" s="82">
        <f>IFERROR(__xludf.DUMMYFUNCTION("""COMPUTED_VALUE"""),18.0)</f>
        <v>18</v>
      </c>
      <c r="G1230" s="86">
        <f>IFERROR(__xludf.DUMMYFUNCTION("""COMPUTED_VALUE"""),12.0)</f>
        <v>12</v>
      </c>
      <c r="H1230" s="86">
        <f>IFERROR(__xludf.DUMMYFUNCTION("""COMPUTED_VALUE"""),0.6)</f>
        <v>0.6</v>
      </c>
      <c r="I1230" s="86">
        <f>IFERROR(__xludf.DUMMYFUNCTION("""COMPUTED_VALUE"""),0.3246753246753247)</f>
        <v>0.3246753247</v>
      </c>
      <c r="J1230" s="82">
        <f>IFERROR(__xludf.DUMMYFUNCTION("""COMPUTED_VALUE"""),343.46666666666664)</f>
        <v>343.4666667</v>
      </c>
      <c r="K1230" s="82">
        <f>IFERROR(__xludf.DUMMYFUNCTION("""COMPUTED_VALUE"""),0.8333333333333334)</f>
        <v>0.8333333333</v>
      </c>
      <c r="L1230" s="82">
        <f>IFERROR(__xludf.DUMMYFUNCTION("""COMPUTED_VALUE"""),0.7666666666666667)</f>
        <v>0.7666666667</v>
      </c>
      <c r="M1230" s="82">
        <f>IFERROR(__xludf.DUMMYFUNCTION("""COMPUTED_VALUE"""),0.9)</f>
        <v>0.9</v>
      </c>
      <c r="N1230" s="82">
        <f>IFERROR(__xludf.DUMMYFUNCTION("""COMPUTED_VALUE"""),2.566666666666667)</f>
        <v>2.566666667</v>
      </c>
      <c r="O1230" s="82">
        <f>IFERROR(__xludf.DUMMYFUNCTION("""COMPUTED_VALUE"""),331.49999999999994)</f>
        <v>331.5</v>
      </c>
      <c r="P1230" s="82">
        <f>IFERROR(__xludf.DUMMYFUNCTION("""COMPUTED_VALUE"""),0.6444444444444443)</f>
        <v>0.6444444444</v>
      </c>
      <c r="Q1230" s="82">
        <f>IFERROR(__xludf.DUMMYFUNCTION("""COMPUTED_VALUE"""),0.4666666666666666)</f>
        <v>0.4666666667</v>
      </c>
      <c r="R1230" s="82">
        <f>IFERROR(__xludf.DUMMYFUNCTION("""COMPUTED_VALUE"""),1.3666666666666663)</f>
        <v>1.366666667</v>
      </c>
      <c r="S1230" s="82">
        <f>IFERROR(__xludf.DUMMYFUNCTION("""COMPUTED_VALUE"""),2.466666666666667)</f>
        <v>2.466666667</v>
      </c>
      <c r="T1230" s="82">
        <f>IFERROR(__xludf.DUMMYFUNCTION("""COMPUTED_VALUE"""),342.59453627984806)</f>
        <v>342.5945363</v>
      </c>
      <c r="U1230" s="82">
        <f>IFERROR(__xludf.DUMMYFUNCTION("""COMPUTED_VALUE"""),0.7391924172118952)</f>
        <v>0.7391924172</v>
      </c>
      <c r="V1230" s="82">
        <f>IFERROR(__xludf.DUMMYFUNCTION("""COMPUTED_VALUE"""),0.5374159010411285)</f>
        <v>0.537415901</v>
      </c>
      <c r="W1230" s="82">
        <f>IFERROR(__xludf.DUMMYFUNCTION("""COMPUTED_VALUE"""),1.3362145474199199)</f>
        <v>1.336214547</v>
      </c>
      <c r="X1230" s="82">
        <f>IFERROR(__xludf.DUMMYFUNCTION("""COMPUTED_VALUE"""),2.4308594178057983)</f>
        <v>2.430859418</v>
      </c>
      <c r="Y1230" s="82">
        <f>IFERROR(__xludf.DUMMYFUNCTION("""COMPUTED_VALUE"""),353.45538326776443)</f>
        <v>353.4553833</v>
      </c>
      <c r="Z1230" s="82">
        <f>IFERROR(__xludf.DUMMYFUNCTION("""COMPUTED_VALUE"""),0.7862891693520242)</f>
        <v>0.7862891694</v>
      </c>
      <c r="AA1230" s="82">
        <f>IFERROR(__xludf.DUMMYFUNCTION("""COMPUTED_VALUE"""),0.5856986137566865)</f>
        <v>0.5856986138</v>
      </c>
      <c r="AB1230" s="82">
        <f>IFERROR(__xludf.DUMMYFUNCTION("""COMPUTED_VALUE"""),1.3416991592284715)</f>
        <v>1.341699159</v>
      </c>
      <c r="AC1230" s="82">
        <f>IFERROR(__xludf.DUMMYFUNCTION("""COMPUTED_VALUE"""),2.6030915838185735)</f>
        <v>2.603091584</v>
      </c>
      <c r="AD1230" s="82">
        <f>IFERROR(__xludf.DUMMYFUNCTION("""COMPUTED_VALUE"""),0.9717398091132461)</f>
        <v>0.9717398091</v>
      </c>
      <c r="AE1230" s="82">
        <f>IFERROR(__xludf.DUMMYFUNCTION("""COMPUTED_VALUE"""),1.0598306142510878)</f>
        <v>1.059830614</v>
      </c>
      <c r="AF1230" s="82">
        <f>IFERROR(__xludf.DUMMYFUNCTION("""COMPUTED_VALUE"""),1.3089781137593042)</f>
        <v>1.308978114</v>
      </c>
      <c r="AG1230" s="82">
        <f>IFERROR(__xludf.DUMMYFUNCTION("""COMPUTED_VALUE"""),0.6707912081554367)</f>
        <v>0.6707912082</v>
      </c>
      <c r="AH1230" s="82">
        <f>IFERROR(__xludf.DUMMYFUNCTION("""COMPUTED_VALUE"""),0.9860070550808383)</f>
        <v>0.9860070551</v>
      </c>
      <c r="AI1230" s="82">
        <f>IFERROR(__xludf.DUMMYFUNCTION("""COMPUTED_VALUE"""),0.9676161318848776)</f>
        <v>0.9676161319</v>
      </c>
      <c r="AJ1230" s="82">
        <f>IFERROR(__xludf.DUMMYFUNCTION("""COMPUTED_VALUE"""),0.8718223150545513)</f>
        <v>0.8718223151</v>
      </c>
      <c r="AK1230" s="82">
        <f>IFERROR(__xludf.DUMMYFUNCTION("""COMPUTED_VALUE"""),0.8683529195221051)</f>
        <v>0.8683529195</v>
      </c>
      <c r="AL1230" s="82">
        <f>IFERROR(__xludf.DUMMYFUNCTION("""COMPUTED_VALUE"""),1.0227898426233617)</f>
        <v>1.022789843</v>
      </c>
      <c r="AM1230" s="82">
        <f>IFERROR(__xludf.DUMMYFUNCTION("""COMPUTED_VALUE"""),1.014730283700729)</f>
        <v>1.014730284</v>
      </c>
      <c r="AN1230" s="82">
        <f>IFERROR(__xludf.DUMMYFUNCTION("""COMPUTED_VALUE"""),0.9935313715383245)</f>
        <v>0.9935313715</v>
      </c>
      <c r="AO1230" s="82">
        <f>IFERROR(__xludf.DUMMYFUNCTION("""COMPUTED_VALUE"""),1.10293036778791)</f>
        <v>1.102930368</v>
      </c>
      <c r="AP1230" s="82">
        <f>IFERROR(__xludf.DUMMYFUNCTION("""COMPUTED_VALUE"""),1.379250184773918)</f>
        <v>1.379250185</v>
      </c>
      <c r="AQ1230" s="82">
        <f>IFERROR(__xludf.DUMMYFUNCTION("""COMPUTED_VALUE"""),0.6652028320832198)</f>
        <v>0.6652028321</v>
      </c>
      <c r="AR1230" s="82">
        <f>IFERROR(__xludf.DUMMYFUNCTION("""COMPUTED_VALUE"""),1.006728235710319)</f>
        <v>1.006728236</v>
      </c>
      <c r="AS1230" s="82">
        <f>IFERROR(__xludf.DUMMYFUNCTION("""COMPUTED_VALUE"""),76.0)</f>
        <v>76</v>
      </c>
      <c r="AT1230" s="82">
        <f>IFERROR(__xludf.DUMMYFUNCTION("""COMPUTED_VALUE"""),0.6023612092087501)</f>
        <v>0.6023612092</v>
      </c>
      <c r="AU1230" s="82">
        <f>IFERROR(__xludf.DUMMYFUNCTION("""COMPUTED_VALUE"""),2.2971969904195935)</f>
        <v>2.29719699</v>
      </c>
      <c r="AV1230" s="82">
        <f>IFERROR(__xludf.DUMMYFUNCTION("""COMPUTED_VALUE"""),67.34359677617151)</f>
        <v>67.34359678</v>
      </c>
      <c r="AW1230" s="82">
        <f t="shared" si="1"/>
        <v>4.099680887</v>
      </c>
      <c r="AX1230" s="83">
        <f t="array" ref="AX1230">IFERROR(DGET('SBV Import'!A:G,"SBV",{"RSC ID","Tier";B1230,A1230}))</f>
        <v>53.18213566</v>
      </c>
      <c r="AY1230" s="82">
        <f t="shared" si="2"/>
        <v>2.22540085</v>
      </c>
      <c r="AZ1230" s="82">
        <v>1.8742800367282761</v>
      </c>
      <c r="BA1230" s="84">
        <v>1200.0</v>
      </c>
      <c r="BB1230" s="84" t="b">
        <f>IFERROR(__xludf.DUMMYFUNCTION("iferror(if(A1230="""",,E1230&gt;=FILTER(Constants!$F$2:$F$10,Constants!$A$2:$A$10=A1230)))"),TRUE)</f>
        <v>1</v>
      </c>
    </row>
    <row r="1231">
      <c r="A1231" s="89" t="str">
        <f>IFERROR(__xludf.DUMMYFUNCTION("""COMPUTED_VALUE"""),"Veteran")</f>
        <v>Veteran</v>
      </c>
      <c r="B1231" s="87" t="str">
        <f>IFERROR(__xludf.DUMMYFUNCTION("""COMPUTED_VALUE"""),"RSC003238")</f>
        <v>RSC003238</v>
      </c>
      <c r="C1231" s="73" t="str">
        <f>IFERROR(__xludf.DUMMYFUNCTION("""COMPUTED_VALUE"""),"BanThisOne2")</f>
        <v>BanThisOne2</v>
      </c>
      <c r="D1231" s="73" t="str">
        <f>IFERROR(__xludf.DUMMYFUNCTION("""COMPUTED_VALUE"""),"Rulers")</f>
        <v>Rulers</v>
      </c>
      <c r="E1231" s="82">
        <f>IFERROR(__xludf.DUMMYFUNCTION("""COMPUTED_VALUE"""),48.0)</f>
        <v>48</v>
      </c>
      <c r="F1231" s="82">
        <f>IFERROR(__xludf.DUMMYFUNCTION("""COMPUTED_VALUE"""),25.0)</f>
        <v>25</v>
      </c>
      <c r="G1231" s="86">
        <f>IFERROR(__xludf.DUMMYFUNCTION("""COMPUTED_VALUE"""),23.0)</f>
        <v>23</v>
      </c>
      <c r="H1231" s="86">
        <f>IFERROR(__xludf.DUMMYFUNCTION("""COMPUTED_VALUE"""),0.5208333333333334)</f>
        <v>0.5208333333</v>
      </c>
      <c r="I1231" s="86">
        <f>IFERROR(__xludf.DUMMYFUNCTION("""COMPUTED_VALUE"""),0.3305785123966942)</f>
        <v>0.3305785124</v>
      </c>
      <c r="J1231" s="82">
        <f>IFERROR(__xludf.DUMMYFUNCTION("""COMPUTED_VALUE"""),416.1458333333333)</f>
        <v>416.1458333</v>
      </c>
      <c r="K1231" s="82">
        <f>IFERROR(__xludf.DUMMYFUNCTION("""COMPUTED_VALUE"""),0.8333333333333334)</f>
        <v>0.8333333333</v>
      </c>
      <c r="L1231" s="82">
        <f>IFERROR(__xludf.DUMMYFUNCTION("""COMPUTED_VALUE"""),0.625)</f>
        <v>0.625</v>
      </c>
      <c r="M1231" s="82">
        <f>IFERROR(__xludf.DUMMYFUNCTION("""COMPUTED_VALUE"""),2.0)</f>
        <v>2</v>
      </c>
      <c r="N1231" s="82">
        <f>IFERROR(__xludf.DUMMYFUNCTION("""COMPUTED_VALUE"""),2.5208333333333335)</f>
        <v>2.520833333</v>
      </c>
      <c r="O1231" s="82">
        <f>IFERROR(__xludf.DUMMYFUNCTION("""COMPUTED_VALUE"""),337.5763888888889)</f>
        <v>337.5763889</v>
      </c>
      <c r="P1231" s="82">
        <f>IFERROR(__xludf.DUMMYFUNCTION("""COMPUTED_VALUE"""),0.7083333333333334)</f>
        <v>0.7083333333</v>
      </c>
      <c r="Q1231" s="82">
        <f>IFERROR(__xludf.DUMMYFUNCTION("""COMPUTED_VALUE"""),0.4930555555555556)</f>
        <v>0.4930555556</v>
      </c>
      <c r="R1231" s="82">
        <f>IFERROR(__xludf.DUMMYFUNCTION("""COMPUTED_VALUE"""),1.2569444444444442)</f>
        <v>1.256944444</v>
      </c>
      <c r="S1231" s="82">
        <f>IFERROR(__xludf.DUMMYFUNCTION("""COMPUTED_VALUE"""),2.9166666666666665)</f>
        <v>2.916666667</v>
      </c>
      <c r="T1231" s="82">
        <f>IFERROR(__xludf.DUMMYFUNCTION("""COMPUTED_VALUE"""),357.96205552078703)</f>
        <v>357.9620555</v>
      </c>
      <c r="U1231" s="82">
        <f>IFERROR(__xludf.DUMMYFUNCTION("""COMPUTED_VALUE"""),0.8385833698520714)</f>
        <v>0.8385833699</v>
      </c>
      <c r="V1231" s="82">
        <f>IFERROR(__xludf.DUMMYFUNCTION("""COMPUTED_VALUE"""),0.5647598613616666)</f>
        <v>0.5647598614</v>
      </c>
      <c r="W1231" s="82">
        <f>IFERROR(__xludf.DUMMYFUNCTION("""COMPUTED_VALUE"""),1.3241425111719407)</f>
        <v>1.324142511</v>
      </c>
      <c r="X1231" s="82">
        <f>IFERROR(__xludf.DUMMYFUNCTION("""COMPUTED_VALUE"""),2.6827554152671333)</f>
        <v>2.682755415</v>
      </c>
      <c r="Y1231" s="82">
        <f>IFERROR(__xludf.DUMMYFUNCTION("""COMPUTED_VALUE"""),356.40853870138454)</f>
        <v>356.4085387</v>
      </c>
      <c r="Z1231" s="82">
        <f>IFERROR(__xludf.DUMMYFUNCTION("""COMPUTED_VALUE"""),0.8042211161306717)</f>
        <v>0.8042211161</v>
      </c>
      <c r="AA1231" s="82">
        <f>IFERROR(__xludf.DUMMYFUNCTION("""COMPUTED_VALUE"""),0.5927417037679049)</f>
        <v>0.5927417038</v>
      </c>
      <c r="AB1231" s="82">
        <f>IFERROR(__xludf.DUMMYFUNCTION("""COMPUTED_VALUE"""),1.3689246025525794)</f>
        <v>1.368924603</v>
      </c>
      <c r="AC1231" s="82">
        <f>IFERROR(__xludf.DUMMYFUNCTION("""COMPUTED_VALUE"""),2.60538439272564)</f>
        <v>2.605384393</v>
      </c>
      <c r="AD1231" s="82">
        <f>IFERROR(__xludf.DUMMYFUNCTION("""COMPUTED_VALUE"""),1.167609044524041)</f>
        <v>1.167609045</v>
      </c>
      <c r="AE1231" s="82">
        <f>IFERROR(__xludf.DUMMYFUNCTION("""COMPUTED_VALUE"""),1.036199269850969)</f>
        <v>1.03619927</v>
      </c>
      <c r="AF1231" s="82">
        <f>IFERROR(__xludf.DUMMYFUNCTION("""COMPUTED_VALUE"""),1.0544221809044942)</f>
        <v>1.054422181</v>
      </c>
      <c r="AG1231" s="82">
        <f>IFERROR(__xludf.DUMMYFUNCTION("""COMPUTED_VALUE"""),1.4610008442179205)</f>
        <v>1.461000844</v>
      </c>
      <c r="AH1231" s="82">
        <f>IFERROR(__xludf.DUMMYFUNCTION("""COMPUTED_VALUE"""),0.9675475681713696)</f>
        <v>0.9675475682</v>
      </c>
      <c r="AI1231" s="82">
        <f>IFERROR(__xludf.DUMMYFUNCTION("""COMPUTED_VALUE"""),0.9430507610583482)</f>
        <v>0.9430507611</v>
      </c>
      <c r="AJ1231" s="82">
        <f>IFERROR(__xludf.DUMMYFUNCTION("""COMPUTED_VALUE"""),0.8446784885064982)</f>
        <v>0.8446784885</v>
      </c>
      <c r="AK1231" s="82">
        <f>IFERROR(__xludf.DUMMYFUNCTION("""COMPUTED_VALUE"""),0.8730357613708098)</f>
        <v>0.8730357614</v>
      </c>
      <c r="AL1231" s="82">
        <f>IFERROR(__xludf.DUMMYFUNCTION("""COMPUTED_VALUE"""),0.9492516355599652)</f>
        <v>0.9492516356</v>
      </c>
      <c r="AM1231" s="82">
        <f>IFERROR(__xludf.DUMMYFUNCTION("""COMPUTED_VALUE"""),1.0871906734651924)</f>
        <v>1.087190673</v>
      </c>
      <c r="AN1231" s="82">
        <f>IFERROR(__xludf.DUMMYFUNCTION("""COMPUTED_VALUE"""),1.2037672958607115)</f>
        <v>1.203767296</v>
      </c>
      <c r="AO1231" s="82">
        <f>IFERROR(__xludf.DUMMYFUNCTION("""COMPUTED_VALUE"""),1.10293036778791)</f>
        <v>1.102930368</v>
      </c>
      <c r="AP1231" s="82">
        <f>IFERROR(__xludf.DUMMYFUNCTION("""COMPUTED_VALUE"""),1.1243887375874333)</f>
        <v>1.124388738</v>
      </c>
      <c r="AQ1231" s="82">
        <f>IFERROR(__xludf.DUMMYFUNCTION("""COMPUTED_VALUE"""),1.4782285157404884)</f>
        <v>1.478228516</v>
      </c>
      <c r="AR1231" s="82">
        <f>IFERROR(__xludf.DUMMYFUNCTION("""COMPUTED_VALUE"""),0.9887509457869206)</f>
        <v>0.9887509458</v>
      </c>
      <c r="AS1231" s="82">
        <f>IFERROR(__xludf.DUMMYFUNCTION("""COMPUTED_VALUE"""),106.0)</f>
        <v>106</v>
      </c>
      <c r="AT1231" s="82">
        <f>IFERROR(__xludf.DUMMYFUNCTION("""COMPUTED_VALUE"""),0.5146441417017589)</f>
        <v>0.5146441417</v>
      </c>
      <c r="AU1231" s="82">
        <f>IFERROR(__xludf.DUMMYFUNCTION("""COMPUTED_VALUE"""),2.2871305041067487)</f>
        <v>2.287130504</v>
      </c>
      <c r="AV1231" s="82">
        <f>IFERROR(__xludf.DUMMYFUNCTION("""COMPUTED_VALUE"""),66.98369881389519)</f>
        <v>66.98369881</v>
      </c>
      <c r="AW1231" s="82">
        <f t="shared" si="1"/>
        <v>4.024813623</v>
      </c>
      <c r="AX1231" s="83">
        <f t="array" ref="AX1231">IFERROR(DGET('SBV Import'!A:G,"SBV",{"RSC ID","Tier";B1231,A1231}))</f>
        <v>67.61149118</v>
      </c>
      <c r="AY1231" s="82">
        <f t="shared" si="2"/>
        <v>4.156737506</v>
      </c>
      <c r="AZ1231" s="82">
        <v>0.13192388334221494</v>
      </c>
      <c r="BA1231" s="84">
        <v>1200.0</v>
      </c>
      <c r="BB1231" s="84" t="b">
        <f>IFERROR(__xludf.DUMMYFUNCTION("iferror(if(A1231="""",,E1231&gt;=FILTER(Constants!$F$2:$F$10,Constants!$A$2:$A$10=A1231)))"),TRUE)</f>
        <v>1</v>
      </c>
    </row>
    <row r="1232">
      <c r="A1232" s="89" t="str">
        <f>IFERROR(__xludf.DUMMYFUNCTION("""COMPUTED_VALUE"""),"Veteran")</f>
        <v>Veteran</v>
      </c>
      <c r="B1232" s="87" t="str">
        <f>IFERROR(__xludf.DUMMYFUNCTION("""COMPUTED_VALUE"""),"RSC002937")</f>
        <v>RSC002937</v>
      </c>
      <c r="C1232" s="73" t="str">
        <f>IFERROR(__xludf.DUMMYFUNCTION("""COMPUTED_VALUE"""),"SirTommyNoble")</f>
        <v>SirTommyNoble</v>
      </c>
      <c r="D1232" s="73" t="str">
        <f>IFERROR(__xludf.DUMMYFUNCTION("""COMPUTED_VALUE"""),"Kirin")</f>
        <v>Kirin</v>
      </c>
      <c r="E1232" s="82">
        <f>IFERROR(__xludf.DUMMYFUNCTION("""COMPUTED_VALUE"""),44.0)</f>
        <v>44</v>
      </c>
      <c r="F1232" s="82">
        <f>IFERROR(__xludf.DUMMYFUNCTION("""COMPUTED_VALUE"""),22.0)</f>
        <v>22</v>
      </c>
      <c r="G1232" s="86">
        <f>IFERROR(__xludf.DUMMYFUNCTION("""COMPUTED_VALUE"""),22.0)</f>
        <v>22</v>
      </c>
      <c r="H1232" s="86">
        <f>IFERROR(__xludf.DUMMYFUNCTION("""COMPUTED_VALUE"""),0.5)</f>
        <v>0.5</v>
      </c>
      <c r="I1232" s="86">
        <f>IFERROR(__xludf.DUMMYFUNCTION("""COMPUTED_VALUE"""),0.2619047619047619)</f>
        <v>0.2619047619</v>
      </c>
      <c r="J1232" s="82">
        <f>IFERROR(__xludf.DUMMYFUNCTION("""COMPUTED_VALUE"""),382.9318181818182)</f>
        <v>382.9318182</v>
      </c>
      <c r="K1232" s="82">
        <f>IFERROR(__xludf.DUMMYFUNCTION("""COMPUTED_VALUE"""),0.75)</f>
        <v>0.75</v>
      </c>
      <c r="L1232" s="82">
        <f>IFERROR(__xludf.DUMMYFUNCTION("""COMPUTED_VALUE"""),0.7272727272727273)</f>
        <v>0.7272727273</v>
      </c>
      <c r="M1232" s="82">
        <f>IFERROR(__xludf.DUMMYFUNCTION("""COMPUTED_VALUE"""),1.4545454545454546)</f>
        <v>1.454545455</v>
      </c>
      <c r="N1232" s="82">
        <f>IFERROR(__xludf.DUMMYFUNCTION("""COMPUTED_VALUE"""),2.8636363636363638)</f>
        <v>2.863636364</v>
      </c>
      <c r="O1232" s="82">
        <f>IFERROR(__xludf.DUMMYFUNCTION("""COMPUTED_VALUE"""),354.7575757575757)</f>
        <v>354.7575758</v>
      </c>
      <c r="P1232" s="82">
        <f>IFERROR(__xludf.DUMMYFUNCTION("""COMPUTED_VALUE"""),0.8181818181818183)</f>
        <v>0.8181818182</v>
      </c>
      <c r="Q1232" s="82">
        <f>IFERROR(__xludf.DUMMYFUNCTION("""COMPUTED_VALUE"""),0.5833333333333335)</f>
        <v>0.5833333333</v>
      </c>
      <c r="R1232" s="82">
        <f>IFERROR(__xludf.DUMMYFUNCTION("""COMPUTED_VALUE"""),1.166666666666667)</f>
        <v>1.166666667</v>
      </c>
      <c r="S1232" s="82">
        <f>IFERROR(__xludf.DUMMYFUNCTION("""COMPUTED_VALUE"""),2.742424242424242)</f>
        <v>2.742424242</v>
      </c>
      <c r="T1232" s="82">
        <f>IFERROR(__xludf.DUMMYFUNCTION("""COMPUTED_VALUE"""),366.7405100596619)</f>
        <v>366.7405101</v>
      </c>
      <c r="U1232" s="82">
        <f>IFERROR(__xludf.DUMMYFUNCTION("""COMPUTED_VALUE"""),0.8643522701821532)</f>
        <v>0.8643522702</v>
      </c>
      <c r="V1232" s="82">
        <f>IFERROR(__xludf.DUMMYFUNCTION("""COMPUTED_VALUE"""),0.6086691635327532)</f>
        <v>0.6086691635</v>
      </c>
      <c r="W1232" s="82">
        <f>IFERROR(__xludf.DUMMYFUNCTION("""COMPUTED_VALUE"""),1.3433510346836397)</f>
        <v>1.343351035</v>
      </c>
      <c r="X1232" s="82">
        <f>IFERROR(__xludf.DUMMYFUNCTION("""COMPUTED_VALUE"""),2.7932797381300314)</f>
        <v>2.793279738</v>
      </c>
      <c r="Y1232" s="82">
        <f>IFERROR(__xludf.DUMMYFUNCTION("""COMPUTED_VALUE"""),357.17009588783804)</f>
        <v>357.1700959</v>
      </c>
      <c r="Z1232" s="82">
        <f>IFERROR(__xludf.DUMMYFUNCTION("""COMPUTED_VALUE"""),0.7731379438528022)</f>
        <v>0.7731379439</v>
      </c>
      <c r="AA1232" s="82">
        <f>IFERROR(__xludf.DUMMYFUNCTION("""COMPUTED_VALUE"""),0.5845554889184671)</f>
        <v>0.5845554889</v>
      </c>
      <c r="AB1232" s="82">
        <f>IFERROR(__xludf.DUMMYFUNCTION("""COMPUTED_VALUE"""),1.4213143638156303)</f>
        <v>1.421314364</v>
      </c>
      <c r="AC1232" s="82">
        <f>IFERROR(__xludf.DUMMYFUNCTION("""COMPUTED_VALUE"""),2.6004190369330162)</f>
        <v>2.600419037</v>
      </c>
      <c r="AD1232" s="82">
        <f>IFERROR(__xludf.DUMMYFUNCTION("""COMPUTED_VALUE"""),1.0721273213815472)</f>
        <v>1.072127321</v>
      </c>
      <c r="AE1232" s="82">
        <f>IFERROR(__xludf.DUMMYFUNCTION("""COMPUTED_VALUE"""),0.9700726836177537)</f>
        <v>0.9700726836</v>
      </c>
      <c r="AF1232" s="82">
        <f>IFERROR(__xludf.DUMMYFUNCTION("""COMPUTED_VALUE"""),1.2441466055144104)</f>
        <v>1.244146606</v>
      </c>
      <c r="AG1232" s="82">
        <f>IFERROR(__xludf.DUMMYFUNCTION("""COMPUTED_VALUE"""),1.0233805353522305)</f>
        <v>1.023380535</v>
      </c>
      <c r="AH1232" s="82">
        <f>IFERROR(__xludf.DUMMYFUNCTION("""COMPUTED_VALUE"""),1.1012211197368371)</f>
        <v>1.10122112</v>
      </c>
      <c r="AI1232" s="82">
        <f>IFERROR(__xludf.DUMMYFUNCTION("""COMPUTED_VALUE"""),0.9673258503672343)</f>
        <v>0.9673258504</v>
      </c>
      <c r="AJ1232" s="82">
        <f>IFERROR(__xludf.DUMMYFUNCTION("""COMPUTED_VALUE"""),0.9465837557288941)</f>
        <v>0.9465837557</v>
      </c>
      <c r="AK1232" s="82">
        <f>IFERROR(__xludf.DUMMYFUNCTION("""COMPUTED_VALUE"""),0.9583750389910193)</f>
        <v>0.958375039</v>
      </c>
      <c r="AL1232" s="82">
        <f>IFERROR(__xludf.DUMMYFUNCTION("""COMPUTED_VALUE"""),0.8684749083037837)</f>
        <v>0.8684749083</v>
      </c>
      <c r="AM1232" s="82">
        <f>IFERROR(__xludf.DUMMYFUNCTION("""COMPUTED_VALUE"""),0.9817936259617754)</f>
        <v>0.981793626</v>
      </c>
      <c r="AN1232" s="82">
        <f>IFERROR(__xludf.DUMMYFUNCTION("""COMPUTED_VALUE"""),1.1076905314164776)</f>
        <v>1.107690531</v>
      </c>
      <c r="AO1232" s="82">
        <f>IFERROR(__xludf.DUMMYFUNCTION("""COMPUTED_VALUE"""),0.992637331009119)</f>
        <v>0.992637331</v>
      </c>
      <c r="AP1232" s="82">
        <f>IFERROR(__xludf.DUMMYFUNCTION("""COMPUTED_VALUE"""),1.3083796219199222)</f>
        <v>1.308379622</v>
      </c>
      <c r="AQ1232" s="82">
        <f>IFERROR(__xludf.DUMMYFUNCTION("""COMPUTED_VALUE"""),1.0750752841749007)</f>
        <v>1.075075284</v>
      </c>
      <c r="AR1232" s="82">
        <f>IFERROR(__xludf.DUMMYFUNCTION("""COMPUTED_VALUE"""),1.123209188602422)</f>
        <v>1.123209189</v>
      </c>
      <c r="AS1232" s="82">
        <f>IFERROR(__xludf.DUMMYFUNCTION("""COMPUTED_VALUE"""),115.0)</f>
        <v>115</v>
      </c>
      <c r="AT1232" s="82">
        <f>IFERROR(__xludf.DUMMYFUNCTION("""COMPUTED_VALUE"""),0.524994032536019)</f>
        <v>0.5249940325</v>
      </c>
      <c r="AU1232" s="82">
        <f>IFERROR(__xludf.DUMMYFUNCTION("""COMPUTED_VALUE"""),2.2771874593182444)</f>
        <v>2.277187459</v>
      </c>
      <c r="AV1232" s="82">
        <f>IFERROR(__xludf.DUMMYFUNCTION("""COMPUTED_VALUE"""),66.62821414456835)</f>
        <v>66.62821414</v>
      </c>
      <c r="AW1232" s="82">
        <f t="shared" si="1"/>
        <v>3.952817079</v>
      </c>
      <c r="AX1232" s="83">
        <f t="array" ref="AX1232">IFERROR(DGET('SBV Import'!A:G,"SBV",{"RSC ID","Tier";B1232,A1232}))</f>
        <v>63.72564375</v>
      </c>
      <c r="AY1232" s="82">
        <f t="shared" si="2"/>
        <v>3.430603647</v>
      </c>
      <c r="AZ1232" s="82">
        <v>0.5222134312554632</v>
      </c>
      <c r="BA1232" s="84">
        <v>1200.0</v>
      </c>
      <c r="BB1232" s="84" t="b">
        <f>IFERROR(__xludf.DUMMYFUNCTION("iferror(if(A1232="""",,E1232&gt;=FILTER(Constants!$F$2:$F$10,Constants!$A$2:$A$10=A1232)))"),TRUE)</f>
        <v>1</v>
      </c>
    </row>
    <row r="1233">
      <c r="A1233" s="89" t="str">
        <f>IFERROR(__xludf.DUMMYFUNCTION("""COMPUTED_VALUE"""),"Veteran")</f>
        <v>Veteran</v>
      </c>
      <c r="B1233" s="87" t="str">
        <f>IFERROR(__xludf.DUMMYFUNCTION("""COMPUTED_VALUE"""),"RSC006836")</f>
        <v>RSC006836</v>
      </c>
      <c r="C1233" s="73" t="str">
        <f>IFERROR(__xludf.DUMMYFUNCTION("""COMPUTED_VALUE"""),"BawaRL")</f>
        <v>BawaRL</v>
      </c>
      <c r="D1233" s="73" t="str">
        <f>IFERROR(__xludf.DUMMYFUNCTION("""COMPUTED_VALUE"""),"Slots")</f>
        <v>Slots</v>
      </c>
      <c r="E1233" s="82">
        <f>IFERROR(__xludf.DUMMYFUNCTION("""COMPUTED_VALUE"""),28.0)</f>
        <v>28</v>
      </c>
      <c r="F1233" s="82">
        <f>IFERROR(__xludf.DUMMYFUNCTION("""COMPUTED_VALUE"""),14.0)</f>
        <v>14</v>
      </c>
      <c r="G1233" s="86">
        <f>IFERROR(__xludf.DUMMYFUNCTION("""COMPUTED_VALUE"""),14.0)</f>
        <v>14</v>
      </c>
      <c r="H1233" s="86">
        <f>IFERROR(__xludf.DUMMYFUNCTION("""COMPUTED_VALUE"""),0.5)</f>
        <v>0.5</v>
      </c>
      <c r="I1233" s="86">
        <f>IFERROR(__xludf.DUMMYFUNCTION("""COMPUTED_VALUE"""),0.2857142857142857)</f>
        <v>0.2857142857</v>
      </c>
      <c r="J1233" s="82">
        <f>IFERROR(__xludf.DUMMYFUNCTION("""COMPUTED_VALUE"""),390.14285714285717)</f>
        <v>390.1428571</v>
      </c>
      <c r="K1233" s="82">
        <f>IFERROR(__xludf.DUMMYFUNCTION("""COMPUTED_VALUE"""),0.8571428571428571)</f>
        <v>0.8571428571</v>
      </c>
      <c r="L1233" s="82">
        <f>IFERROR(__xludf.DUMMYFUNCTION("""COMPUTED_VALUE"""),0.75)</f>
        <v>0.75</v>
      </c>
      <c r="M1233" s="82">
        <f>IFERROR(__xludf.DUMMYFUNCTION("""COMPUTED_VALUE"""),1.5714285714285714)</f>
        <v>1.571428571</v>
      </c>
      <c r="N1233" s="82">
        <f>IFERROR(__xludf.DUMMYFUNCTION("""COMPUTED_VALUE"""),3.0)</f>
        <v>3</v>
      </c>
      <c r="O1233" s="82">
        <f>IFERROR(__xludf.DUMMYFUNCTION("""COMPUTED_VALUE"""),359.01190476190476)</f>
        <v>359.0119048</v>
      </c>
      <c r="P1233" s="82">
        <f>IFERROR(__xludf.DUMMYFUNCTION("""COMPUTED_VALUE"""),0.8095238095238094)</f>
        <v>0.8095238095</v>
      </c>
      <c r="Q1233" s="82">
        <f>IFERROR(__xludf.DUMMYFUNCTION("""COMPUTED_VALUE"""),0.5952380952380951)</f>
        <v>0.5952380952</v>
      </c>
      <c r="R1233" s="82">
        <f>IFERROR(__xludf.DUMMYFUNCTION("""COMPUTED_VALUE"""),1.3571428571428572)</f>
        <v>1.357142857</v>
      </c>
      <c r="S1233" s="82">
        <f>IFERROR(__xludf.DUMMYFUNCTION("""COMPUTED_VALUE"""),2.904761904761905)</f>
        <v>2.904761905</v>
      </c>
      <c r="T1233" s="82">
        <f>IFERROR(__xludf.DUMMYFUNCTION("""COMPUTED_VALUE"""),346.57949979444845)</f>
        <v>346.5794998</v>
      </c>
      <c r="U1233" s="82">
        <f>IFERROR(__xludf.DUMMYFUNCTION("""COMPUTED_VALUE"""),0.7562890541365626)</f>
        <v>0.7562890541</v>
      </c>
      <c r="V1233" s="82">
        <f>IFERROR(__xludf.DUMMYFUNCTION("""COMPUTED_VALUE"""),0.5204926970408267)</f>
        <v>0.520492697</v>
      </c>
      <c r="W1233" s="82">
        <f>IFERROR(__xludf.DUMMYFUNCTION("""COMPUTED_VALUE"""),1.3883703281186381)</f>
        <v>1.388370328</v>
      </c>
      <c r="X1233" s="82">
        <f>IFERROR(__xludf.DUMMYFUNCTION("""COMPUTED_VALUE"""),2.5118303567278586)</f>
        <v>2.511830357</v>
      </c>
      <c r="Y1233" s="82">
        <f>IFERROR(__xludf.DUMMYFUNCTION("""COMPUTED_VALUE"""),353.19871764629687)</f>
        <v>353.1987176</v>
      </c>
      <c r="Z1233" s="82">
        <f>IFERROR(__xludf.DUMMYFUNCTION("""COMPUTED_VALUE"""),0.8150059471595109)</f>
        <v>0.8150059472</v>
      </c>
      <c r="AA1233" s="82">
        <f>IFERROR(__xludf.DUMMYFUNCTION("""COMPUTED_VALUE"""),0.5969421750448255)</f>
        <v>0.596942175</v>
      </c>
      <c r="AB1233" s="82">
        <f>IFERROR(__xludf.DUMMYFUNCTION("""COMPUTED_VALUE"""),1.2799863823209694)</f>
        <v>1.279986382</v>
      </c>
      <c r="AC1233" s="82">
        <f>IFERROR(__xludf.DUMMYFUNCTION("""COMPUTED_VALUE"""),2.6860868636803668)</f>
        <v>2.686086864</v>
      </c>
      <c r="AD1233" s="82">
        <f>IFERROR(__xludf.DUMMYFUNCTION("""COMPUTED_VALUE"""),1.1045987362093348)</f>
        <v>1.104598736</v>
      </c>
      <c r="AE1233" s="82">
        <f>IFERROR(__xludf.DUMMYFUNCTION("""COMPUTED_VALUE"""),1.0517013527695145)</f>
        <v>1.051701353</v>
      </c>
      <c r="AF1233" s="82">
        <f>IFERROR(__xludf.DUMMYFUNCTION("""COMPUTED_VALUE"""),1.256403101261326)</f>
        <v>1.256403101</v>
      </c>
      <c r="AG1233" s="82">
        <f>IFERROR(__xludf.DUMMYFUNCTION("""COMPUTED_VALUE"""),1.2276916326087288)</f>
        <v>1.227691633</v>
      </c>
      <c r="AH1233" s="82">
        <f>IFERROR(__xludf.DUMMYFUNCTION("""COMPUTED_VALUE"""),1.1168663383765343)</f>
        <v>1.116866338</v>
      </c>
      <c r="AI1233" s="82">
        <f>IFERROR(__xludf.DUMMYFUNCTION("""COMPUTED_VALUE"""),1.0358717263278117)</f>
        <v>1.035871726</v>
      </c>
      <c r="AJ1233" s="82">
        <f>IFERROR(__xludf.DUMMYFUNCTION("""COMPUTED_VALUE"""),1.0703894299356531)</f>
        <v>1.07038943</v>
      </c>
      <c r="AK1233" s="82">
        <f>IFERROR(__xludf.DUMMYFUNCTION("""COMPUTED_VALUE"""),1.1436050853781825)</f>
        <v>1.143605085</v>
      </c>
      <c r="AL1233" s="82">
        <f>IFERROR(__xludf.DUMMYFUNCTION("""COMPUTED_VALUE"""),0.9775078231338343)</f>
        <v>0.9775078231</v>
      </c>
      <c r="AM1233" s="82">
        <f>IFERROR(__xludf.DUMMYFUNCTION("""COMPUTED_VALUE"""),1.156432358969463)</f>
        <v>1.156432359</v>
      </c>
      <c r="AN1233" s="82">
        <f>IFERROR(__xludf.DUMMYFUNCTION("""COMPUTED_VALUE"""),1.1285495961365204)</f>
        <v>1.128549596</v>
      </c>
      <c r="AO1233" s="82">
        <f>IFERROR(__xludf.DUMMYFUNCTION("""COMPUTED_VALUE"""),1.1344426640104215)</f>
        <v>1.134442664</v>
      </c>
      <c r="AP1233" s="82">
        <f>IFERROR(__xludf.DUMMYFUNCTION("""COMPUTED_VALUE"""),1.3492664851049199)</f>
        <v>1.349266485</v>
      </c>
      <c r="AQ1233" s="82">
        <f>IFERROR(__xludf.DUMMYFUNCTION("""COMPUTED_VALUE"""),1.1614652623675266)</f>
        <v>1.161465262</v>
      </c>
      <c r="AR1233" s="82">
        <f>IFERROR(__xludf.DUMMYFUNCTION("""COMPUTED_VALUE"""),1.1766953404406326)</f>
        <v>1.17669534</v>
      </c>
      <c r="AS1233" s="82">
        <f>IFERROR(__xludf.DUMMYFUNCTION("""COMPUTED_VALUE"""),64.0)</f>
        <v>64</v>
      </c>
      <c r="AT1233" s="82">
        <f>IFERROR(__xludf.DUMMYFUNCTION("""COMPUTED_VALUE"""),0.4763660854857283)</f>
        <v>0.4763660855</v>
      </c>
      <c r="AU1233" s="82">
        <f>IFERROR(__xludf.DUMMYFUNCTION("""COMPUTED_VALUE"""),2.2738952641604513)</f>
        <v>2.273895264</v>
      </c>
      <c r="AV1233" s="82">
        <f>IFERROR(__xludf.DUMMYFUNCTION("""COMPUTED_VALUE"""),66.5105112746808)</f>
        <v>66.51051127</v>
      </c>
      <c r="AW1233" s="82">
        <f t="shared" si="1"/>
        <v>3.929396202</v>
      </c>
      <c r="AX1233" s="83">
        <f t="array" ref="AX1233">IFERROR(DGET('SBV Import'!A:G,"SBV",{"RSC ID","Tier";B1233,A1233}))</f>
        <v>60.52347688</v>
      </c>
      <c r="AY1233" s="82">
        <f t="shared" si="2"/>
        <v>2.968241724</v>
      </c>
      <c r="AZ1233" s="82">
        <v>0.9611544783895218</v>
      </c>
      <c r="BA1233" s="84">
        <v>1200.0</v>
      </c>
      <c r="BB1233" s="84" t="b">
        <f>IFERROR(__xludf.DUMMYFUNCTION("iferror(if(A1233="""",,E1233&gt;=FILTER(Constants!$F$2:$F$10,Constants!$A$2:$A$10=A1233)))"),TRUE)</f>
        <v>1</v>
      </c>
    </row>
    <row r="1234">
      <c r="A1234" s="89" t="str">
        <f>IFERROR(__xludf.DUMMYFUNCTION("""COMPUTED_VALUE"""),"Veteran")</f>
        <v>Veteran</v>
      </c>
      <c r="B1234" s="87" t="str">
        <f>IFERROR(__xludf.DUMMYFUNCTION("""COMPUTED_VALUE"""),"RSC005491")</f>
        <v>RSC005491</v>
      </c>
      <c r="C1234" s="73" t="str">
        <f>IFERROR(__xludf.DUMMYFUNCTION("""COMPUTED_VALUE"""),"Jackowanou")</f>
        <v>Jackowanou</v>
      </c>
      <c r="D1234" s="73" t="str">
        <f>IFERROR(__xludf.DUMMYFUNCTION("""COMPUTED_VALUE"""),"Gorillas")</f>
        <v>Gorillas</v>
      </c>
      <c r="E1234" s="82">
        <f>IFERROR(__xludf.DUMMYFUNCTION("""COMPUTED_VALUE"""),48.0)</f>
        <v>48</v>
      </c>
      <c r="F1234" s="82">
        <f>IFERROR(__xludf.DUMMYFUNCTION("""COMPUTED_VALUE"""),25.0)</f>
        <v>25</v>
      </c>
      <c r="G1234" s="86">
        <f>IFERROR(__xludf.DUMMYFUNCTION("""COMPUTED_VALUE"""),23.0)</f>
        <v>23</v>
      </c>
      <c r="H1234" s="86">
        <f>IFERROR(__xludf.DUMMYFUNCTION("""COMPUTED_VALUE"""),0.5208333333333334)</f>
        <v>0.5208333333</v>
      </c>
      <c r="I1234" s="86">
        <f>IFERROR(__xludf.DUMMYFUNCTION("""COMPUTED_VALUE"""),0.29545454545454547)</f>
        <v>0.2954545455</v>
      </c>
      <c r="J1234" s="82">
        <f>IFERROR(__xludf.DUMMYFUNCTION("""COMPUTED_VALUE"""),380.7916666666667)</f>
        <v>380.7916667</v>
      </c>
      <c r="K1234" s="82">
        <f>IFERROR(__xludf.DUMMYFUNCTION("""COMPUTED_VALUE"""),0.8125)</f>
        <v>0.8125</v>
      </c>
      <c r="L1234" s="82">
        <f>IFERROR(__xludf.DUMMYFUNCTION("""COMPUTED_VALUE"""),0.7083333333333334)</f>
        <v>0.7083333333</v>
      </c>
      <c r="M1234" s="82">
        <f>IFERROR(__xludf.DUMMYFUNCTION("""COMPUTED_VALUE"""),1.4583333333333333)</f>
        <v>1.458333333</v>
      </c>
      <c r="N1234" s="82">
        <f>IFERROR(__xludf.DUMMYFUNCTION("""COMPUTED_VALUE"""),2.75)</f>
        <v>2.75</v>
      </c>
      <c r="O1234" s="82">
        <f>IFERROR(__xludf.DUMMYFUNCTION("""COMPUTED_VALUE"""),348.2222222222222)</f>
        <v>348.2222222</v>
      </c>
      <c r="P1234" s="82">
        <f>IFERROR(__xludf.DUMMYFUNCTION("""COMPUTED_VALUE"""),0.7638888888888892)</f>
        <v>0.7638888889</v>
      </c>
      <c r="Q1234" s="82">
        <f>IFERROR(__xludf.DUMMYFUNCTION("""COMPUTED_VALUE"""),0.5347222222222223)</f>
        <v>0.5347222222</v>
      </c>
      <c r="R1234" s="82">
        <f>IFERROR(__xludf.DUMMYFUNCTION("""COMPUTED_VALUE"""),1.4374999999999998)</f>
        <v>1.4375</v>
      </c>
      <c r="S1234" s="82">
        <f>IFERROR(__xludf.DUMMYFUNCTION("""COMPUTED_VALUE"""),2.4444444444444446)</f>
        <v>2.444444444</v>
      </c>
      <c r="T1234" s="82">
        <f>IFERROR(__xludf.DUMMYFUNCTION("""COMPUTED_VALUE"""),352.08397359989266)</f>
        <v>352.0839736</v>
      </c>
      <c r="U1234" s="82">
        <f>IFERROR(__xludf.DUMMYFUNCTION("""COMPUTED_VALUE"""),0.7753080445982747)</f>
        <v>0.7753080446</v>
      </c>
      <c r="V1234" s="82">
        <f>IFERROR(__xludf.DUMMYFUNCTION("""COMPUTED_VALUE"""),0.569631845881312)</f>
        <v>0.5696318459</v>
      </c>
      <c r="W1234" s="82">
        <f>IFERROR(__xludf.DUMMYFUNCTION("""COMPUTED_VALUE"""),1.3555657442868407)</f>
        <v>1.355565744</v>
      </c>
      <c r="X1234" s="82">
        <f>IFERROR(__xludf.DUMMYFUNCTION("""COMPUTED_VALUE"""),2.6651999717564814)</f>
        <v>2.665199972</v>
      </c>
      <c r="Y1234" s="82">
        <f>IFERROR(__xludf.DUMMYFUNCTION("""COMPUTED_VALUE"""),363.03290202115244)</f>
        <v>363.032902</v>
      </c>
      <c r="Z1234" s="82">
        <f>IFERROR(__xludf.DUMMYFUNCTION("""COMPUTED_VALUE"""),0.8156920149736814)</f>
        <v>0.815692015</v>
      </c>
      <c r="AA1234" s="82">
        <f>IFERROR(__xludf.DUMMYFUNCTION("""COMPUTED_VALUE"""),0.613771778153689)</f>
        <v>0.6137717782</v>
      </c>
      <c r="AB1234" s="82">
        <f>IFERROR(__xludf.DUMMYFUNCTION("""COMPUTED_VALUE"""),1.396098854679189)</f>
        <v>1.396098855</v>
      </c>
      <c r="AC1234" s="82">
        <f>IFERROR(__xludf.DUMMYFUNCTION("""COMPUTED_VALUE"""),2.617702210573915)</f>
        <v>2.617702211</v>
      </c>
      <c r="AD1234" s="82">
        <f>IFERROR(__xludf.DUMMYFUNCTION("""COMPUTED_VALUE"""),1.04891778278675)</f>
        <v>1.048917783</v>
      </c>
      <c r="AE1234" s="82">
        <f>IFERROR(__xludf.DUMMYFUNCTION("""COMPUTED_VALUE"""),0.9960867399519849)</f>
        <v>0.99608674</v>
      </c>
      <c r="AF1234" s="82">
        <f>IFERROR(__xludf.DUMMYFUNCTION("""COMPUTED_VALUE"""),1.154066313482348)</f>
        <v>1.154066313</v>
      </c>
      <c r="AG1234" s="82">
        <f>IFERROR(__xludf.DUMMYFUNCTION("""COMPUTED_VALUE"""),1.044577415449886)</f>
        <v>1.044577415</v>
      </c>
      <c r="AH1234" s="82">
        <f>IFERROR(__xludf.DUMMYFUNCTION("""COMPUTED_VALUE"""),1.0505396637141087)</f>
        <v>1.050539664</v>
      </c>
      <c r="AI1234" s="82">
        <f>IFERROR(__xludf.DUMMYFUNCTION("""COMPUTED_VALUE"""),0.9890317320093105)</f>
        <v>0.989031732</v>
      </c>
      <c r="AJ1234" s="82">
        <f>IFERROR(__xludf.DUMMYFUNCTION("""COMPUTED_VALUE"""),0.9852714597907953)</f>
        <v>0.9852714598</v>
      </c>
      <c r="AK1234" s="82">
        <f>IFERROR(__xludf.DUMMYFUNCTION("""COMPUTED_VALUE"""),0.9387154634848779)</f>
        <v>0.9387154635</v>
      </c>
      <c r="AL1234" s="82">
        <f>IFERROR(__xludf.DUMMYFUNCTION("""COMPUTED_VALUE"""),1.0604428490897462)</f>
        <v>1.060442849</v>
      </c>
      <c r="AM1234" s="82">
        <f>IFERROR(__xludf.DUMMYFUNCTION("""COMPUTED_VALUE"""),0.9171711204969925)</f>
        <v>0.9171711205</v>
      </c>
      <c r="AN1234" s="82">
        <f>IFERROR(__xludf.DUMMYFUNCTION("""COMPUTED_VALUE"""),1.1014998064451607)</f>
        <v>1.101499806</v>
      </c>
      <c r="AO1234" s="82">
        <f>IFERROR(__xludf.DUMMYFUNCTION("""COMPUTED_VALUE"""),1.075357108593212)</f>
        <v>1.075357109</v>
      </c>
      <c r="AP1234" s="82">
        <f>IFERROR(__xludf.DUMMYFUNCTION("""COMPUTED_VALUE"""),1.2743072359324243)</f>
        <v>1.274307236</v>
      </c>
      <c r="AQ1234" s="82">
        <f>IFERROR(__xludf.DUMMYFUNCTION("""COMPUTED_VALUE"""),1.0778749593941062)</f>
        <v>1.077874959</v>
      </c>
      <c r="AR1234" s="82">
        <f>IFERROR(__xludf.DUMMYFUNCTION("""COMPUTED_VALUE"""),1.0786373954039132)</f>
        <v>1.078637395</v>
      </c>
      <c r="AS1234" s="82">
        <f>IFERROR(__xludf.DUMMYFUNCTION("""COMPUTED_VALUE"""),130.0)</f>
        <v>130</v>
      </c>
      <c r="AT1234" s="82">
        <f>IFERROR(__xludf.DUMMYFUNCTION("""COMPUTED_VALUE"""),0.5658973313578336)</f>
        <v>0.5658973314</v>
      </c>
      <c r="AU1234" s="82">
        <f>IFERROR(__xludf.DUMMYFUNCTION("""COMPUTED_VALUE"""),2.2517380816032455)</f>
        <v>2.251738082</v>
      </c>
      <c r="AV1234" s="82">
        <f>IFERROR(__xludf.DUMMYFUNCTION("""COMPUTED_VALUE"""),65.71834560690975)</f>
        <v>65.71834561</v>
      </c>
      <c r="AW1234" s="82">
        <f t="shared" si="1"/>
        <v>3.776981836</v>
      </c>
      <c r="AX1234" s="83">
        <f t="array" ref="AX1234">IFERROR(DGET('SBV Import'!A:G,"SBV",{"RSC ID","Tier";B1234,A1234}))</f>
        <v>60.53088931</v>
      </c>
      <c r="AY1234" s="82">
        <f t="shared" si="2"/>
        <v>2.969195762</v>
      </c>
      <c r="AZ1234" s="82">
        <v>0.8077860746552101</v>
      </c>
      <c r="BA1234" s="84">
        <v>1200.0</v>
      </c>
      <c r="BB1234" s="84" t="b">
        <f>IFERROR(__xludf.DUMMYFUNCTION("iferror(if(A1234="""",,E1234&gt;=FILTER(Constants!$F$2:$F$10,Constants!$A$2:$A$10=A1234)))"),TRUE)</f>
        <v>1</v>
      </c>
    </row>
    <row r="1235">
      <c r="A1235" s="89" t="str">
        <f>IFERROR(__xludf.DUMMYFUNCTION("""COMPUTED_VALUE"""),"Veteran")</f>
        <v>Veteran</v>
      </c>
      <c r="B1235" s="87" t="str">
        <f>IFERROR(__xludf.DUMMYFUNCTION("""COMPUTED_VALUE"""),"RSC005212")</f>
        <v>RSC005212</v>
      </c>
      <c r="C1235" s="73" t="str">
        <f>IFERROR(__xludf.DUMMYFUNCTION("""COMPUTED_VALUE"""),"crackdragon")</f>
        <v>crackdragon</v>
      </c>
      <c r="D1235" s="73" t="str">
        <f>IFERROR(__xludf.DUMMYFUNCTION("""COMPUTED_VALUE"""),"Grizzly Bears")</f>
        <v>Grizzly Bears</v>
      </c>
      <c r="E1235" s="82">
        <f>IFERROR(__xludf.DUMMYFUNCTION("""COMPUTED_VALUE"""),32.0)</f>
        <v>32</v>
      </c>
      <c r="F1235" s="82">
        <f>IFERROR(__xludf.DUMMYFUNCTION("""COMPUTED_VALUE"""),19.0)</f>
        <v>19</v>
      </c>
      <c r="G1235" s="86">
        <f>IFERROR(__xludf.DUMMYFUNCTION("""COMPUTED_VALUE"""),13.0)</f>
        <v>13</v>
      </c>
      <c r="H1235" s="86">
        <f>IFERROR(__xludf.DUMMYFUNCTION("""COMPUTED_VALUE"""),0.59375)</f>
        <v>0.59375</v>
      </c>
      <c r="I1235" s="86">
        <f>IFERROR(__xludf.DUMMYFUNCTION("""COMPUTED_VALUE"""),0.2815533980582524)</f>
        <v>0.2815533981</v>
      </c>
      <c r="J1235" s="82">
        <f>IFERROR(__xludf.DUMMYFUNCTION("""COMPUTED_VALUE"""),381.6875)</f>
        <v>381.6875</v>
      </c>
      <c r="K1235" s="82">
        <f>IFERROR(__xludf.DUMMYFUNCTION("""COMPUTED_VALUE"""),0.90625)</f>
        <v>0.90625</v>
      </c>
      <c r="L1235" s="82">
        <f>IFERROR(__xludf.DUMMYFUNCTION("""COMPUTED_VALUE"""),0.5625)</f>
        <v>0.5625</v>
      </c>
      <c r="M1235" s="82">
        <f>IFERROR(__xludf.DUMMYFUNCTION("""COMPUTED_VALUE"""),1.34375)</f>
        <v>1.34375</v>
      </c>
      <c r="N1235" s="82">
        <f>IFERROR(__xludf.DUMMYFUNCTION("""COMPUTED_VALUE"""),3.21875)</f>
        <v>3.21875</v>
      </c>
      <c r="O1235" s="82">
        <f>IFERROR(__xludf.DUMMYFUNCTION("""COMPUTED_VALUE"""),360.52083333333337)</f>
        <v>360.5208333</v>
      </c>
      <c r="P1235" s="82">
        <f>IFERROR(__xludf.DUMMYFUNCTION("""COMPUTED_VALUE"""),0.7916666666666667)</f>
        <v>0.7916666667</v>
      </c>
      <c r="Q1235" s="82">
        <f>IFERROR(__xludf.DUMMYFUNCTION("""COMPUTED_VALUE"""),0.5625000000000001)</f>
        <v>0.5625</v>
      </c>
      <c r="R1235" s="82">
        <f>IFERROR(__xludf.DUMMYFUNCTION("""COMPUTED_VALUE"""),1.4895833333333335)</f>
        <v>1.489583333</v>
      </c>
      <c r="S1235" s="82">
        <f>IFERROR(__xludf.DUMMYFUNCTION("""COMPUTED_VALUE"""),2.53125)</f>
        <v>2.53125</v>
      </c>
      <c r="T1235" s="82">
        <f>IFERROR(__xludf.DUMMYFUNCTION("""COMPUTED_VALUE"""),355.3498826432525)</f>
        <v>355.3498826</v>
      </c>
      <c r="U1235" s="82">
        <f>IFERROR(__xludf.DUMMYFUNCTION("""COMPUTED_VALUE"""),0.7574031599626805)</f>
        <v>0.75740316</v>
      </c>
      <c r="V1235" s="82">
        <f>IFERROR(__xludf.DUMMYFUNCTION("""COMPUTED_VALUE"""),0.572352361274972)</f>
        <v>0.5723523613</v>
      </c>
      <c r="W1235" s="82">
        <f>IFERROR(__xludf.DUMMYFUNCTION("""COMPUTED_VALUE"""),1.4890570407254105)</f>
        <v>1.489057041</v>
      </c>
      <c r="X1235" s="82">
        <f>IFERROR(__xludf.DUMMYFUNCTION("""COMPUTED_VALUE"""),2.5189556330866254)</f>
        <v>2.518955633</v>
      </c>
      <c r="Y1235" s="82">
        <f>IFERROR(__xludf.DUMMYFUNCTION("""COMPUTED_VALUE"""),356.1366532152917)</f>
        <v>356.1366532</v>
      </c>
      <c r="Z1235" s="82">
        <f>IFERROR(__xludf.DUMMYFUNCTION("""COMPUTED_VALUE"""),0.8289484580989859)</f>
        <v>0.8289484581</v>
      </c>
      <c r="AA1235" s="82">
        <f>IFERROR(__xludf.DUMMYFUNCTION("""COMPUTED_VALUE"""),0.5881189044390529)</f>
        <v>0.5881189044</v>
      </c>
      <c r="AB1235" s="82">
        <f>IFERROR(__xludf.DUMMYFUNCTION("""COMPUTED_VALUE"""),1.3239262495113122)</f>
        <v>1.32392625</v>
      </c>
      <c r="AC1235" s="82">
        <f>IFERROR(__xludf.DUMMYFUNCTION("""COMPUTED_VALUE"""),2.7769445840272313)</f>
        <v>2.776944584</v>
      </c>
      <c r="AD1235" s="82">
        <f>IFERROR(__xludf.DUMMYFUNCTION("""COMPUTED_VALUE"""),1.071744501875976)</f>
        <v>1.071744502</v>
      </c>
      <c r="AE1235" s="82">
        <f>IFERROR(__xludf.DUMMYFUNCTION("""COMPUTED_VALUE"""),1.0932525311384118)</f>
        <v>1.093252531</v>
      </c>
      <c r="AF1235" s="82">
        <f>IFERROR(__xludf.DUMMYFUNCTION("""COMPUTED_VALUE"""),0.9564392434154312)</f>
        <v>0.9564392434</v>
      </c>
      <c r="AG1235" s="82">
        <f>IFERROR(__xludf.DUMMYFUNCTION("""COMPUTED_VALUE"""),1.0149734552781964)</f>
        <v>1.014973455</v>
      </c>
      <c r="AH1235" s="82">
        <f>IFERROR(__xludf.DUMMYFUNCTION("""COMPUTED_VALUE"""),1.1590976710568872)</f>
        <v>1.159097671</v>
      </c>
      <c r="AI1235" s="82">
        <f>IFERROR(__xludf.DUMMYFUNCTION("""COMPUTED_VALUE"""),1.0145517163298803)</f>
        <v>1.014551716</v>
      </c>
      <c r="AJ1235" s="82">
        <f>IFERROR(__xludf.DUMMYFUNCTION("""COMPUTED_VALUE"""),1.0452381354015932)</f>
        <v>1.045238135</v>
      </c>
      <c r="AK1235" s="82">
        <f>IFERROR(__xludf.DUMMYFUNCTION("""COMPUTED_VALUE"""),0.9827861961589103)</f>
        <v>0.9827861962</v>
      </c>
      <c r="AL1235" s="82">
        <f>IFERROR(__xludf.DUMMYFUNCTION("""COMPUTED_VALUE"""),1.000353440193041)</f>
        <v>1.00035344</v>
      </c>
      <c r="AM1235" s="82">
        <f>IFERROR(__xludf.DUMMYFUNCTION("""COMPUTED_VALUE"""),1.0048807397605133)</f>
        <v>1.00488074</v>
      </c>
      <c r="AN1235" s="82">
        <f>IFERROR(__xludf.DUMMYFUNCTION("""COMPUTED_VALUE"""),1.1040911453048359)</f>
        <v>1.104091145</v>
      </c>
      <c r="AO1235" s="82">
        <f>IFERROR(__xludf.DUMMYFUNCTION("""COMPUTED_VALUE"""),1.199436774969352)</f>
        <v>1.199436775</v>
      </c>
      <c r="AP1235" s="82">
        <f>IFERROR(__xludf.DUMMYFUNCTION("""COMPUTED_VALUE"""),1.01194986382869)</f>
        <v>1.011949864</v>
      </c>
      <c r="AQ1235" s="82">
        <f>IFERROR(__xludf.DUMMYFUNCTION("""COMPUTED_VALUE"""),0.9931847840131407)</f>
        <v>0.993184784</v>
      </c>
      <c r="AR1235" s="82">
        <f>IFERROR(__xludf.DUMMYFUNCTION("""COMPUTED_VALUE"""),1.262496042347762)</f>
        <v>1.262496042</v>
      </c>
      <c r="AS1235" s="82">
        <f>IFERROR(__xludf.DUMMYFUNCTION("""COMPUTED_VALUE"""),87.0)</f>
        <v>87</v>
      </c>
      <c r="AT1235" s="82">
        <f>IFERROR(__xludf.DUMMYFUNCTION("""COMPUTED_VALUE"""),0.5537126335259247)</f>
        <v>0.5537126335</v>
      </c>
      <c r="AU1235" s="82">
        <f>IFERROR(__xludf.DUMMYFUNCTION("""COMPUTED_VALUE"""),2.24556374108076)</f>
        <v>2.245563741</v>
      </c>
      <c r="AV1235" s="82">
        <f>IFERROR(__xludf.DUMMYFUNCTION("""COMPUTED_VALUE"""),65.4976000057751)</f>
        <v>65.49760001</v>
      </c>
      <c r="AW1235" s="82">
        <f t="shared" si="1"/>
        <v>3.736076167</v>
      </c>
      <c r="AX1235" s="83">
        <f t="array" ref="AX1235">IFERROR(DGET('SBV Import'!A:G,"SBV",{"RSC ID","Tier";B1235,A1235}))</f>
        <v>60.05943283</v>
      </c>
      <c r="AY1235" s="82">
        <f t="shared" si="2"/>
        <v>2.909487176</v>
      </c>
      <c r="AZ1235" s="82">
        <v>0.8265889916483458</v>
      </c>
      <c r="BA1235" s="84">
        <v>1200.0</v>
      </c>
      <c r="BB1235" s="84" t="b">
        <f>IFERROR(__xludf.DUMMYFUNCTION("iferror(if(A1235="""",,E1235&gt;=FILTER(Constants!$F$2:$F$10,Constants!$A$2:$A$10=A1235)))"),TRUE)</f>
        <v>1</v>
      </c>
    </row>
    <row r="1236">
      <c r="A1236" s="89" t="str">
        <f>IFERROR(__xludf.DUMMYFUNCTION("""COMPUTED_VALUE"""),"Veteran")</f>
        <v>Veteran</v>
      </c>
      <c r="B1236" s="87" t="str">
        <f>IFERROR(__xludf.DUMMYFUNCTION("""COMPUTED_VALUE"""),"RSC007856")</f>
        <v>RSC007856</v>
      </c>
      <c r="C1236" s="73" t="str">
        <f>IFERROR(__xludf.DUMMYFUNCTION("""COMPUTED_VALUE"""),"Captain Daddy")</f>
        <v>Captain Daddy</v>
      </c>
      <c r="D1236" s="73" t="str">
        <f>IFERROR(__xludf.DUMMYFUNCTION("""COMPUTED_VALUE"""),"Repossessed")</f>
        <v>Repossessed</v>
      </c>
      <c r="E1236" s="82">
        <f>IFERROR(__xludf.DUMMYFUNCTION("""COMPUTED_VALUE"""),36.0)</f>
        <v>36</v>
      </c>
      <c r="F1236" s="82">
        <f>IFERROR(__xludf.DUMMYFUNCTION("""COMPUTED_VALUE"""),19.0)</f>
        <v>19</v>
      </c>
      <c r="G1236" s="86">
        <f>IFERROR(__xludf.DUMMYFUNCTION("""COMPUTED_VALUE"""),17.0)</f>
        <v>17</v>
      </c>
      <c r="H1236" s="86">
        <f>IFERROR(__xludf.DUMMYFUNCTION("""COMPUTED_VALUE"""),0.5277777777777778)</f>
        <v>0.5277777778</v>
      </c>
      <c r="I1236" s="86">
        <f>IFERROR(__xludf.DUMMYFUNCTION("""COMPUTED_VALUE"""),0.3033707865168539)</f>
        <v>0.3033707865</v>
      </c>
      <c r="J1236" s="82">
        <f>IFERROR(__xludf.DUMMYFUNCTION("""COMPUTED_VALUE"""),377.69444444444446)</f>
        <v>377.6944444</v>
      </c>
      <c r="K1236" s="82">
        <f>IFERROR(__xludf.DUMMYFUNCTION("""COMPUTED_VALUE"""),0.75)</f>
        <v>0.75</v>
      </c>
      <c r="L1236" s="82">
        <f>IFERROR(__xludf.DUMMYFUNCTION("""COMPUTED_VALUE"""),0.6388888888888888)</f>
        <v>0.6388888889</v>
      </c>
      <c r="M1236" s="82">
        <f>IFERROR(__xludf.DUMMYFUNCTION("""COMPUTED_VALUE"""),1.6388888888888888)</f>
        <v>1.638888889</v>
      </c>
      <c r="N1236" s="82">
        <f>IFERROR(__xludf.DUMMYFUNCTION("""COMPUTED_VALUE"""),2.4722222222222223)</f>
        <v>2.472222222</v>
      </c>
      <c r="O1236" s="82">
        <f>IFERROR(__xludf.DUMMYFUNCTION("""COMPUTED_VALUE"""),329.47222222222223)</f>
        <v>329.4722222</v>
      </c>
      <c r="P1236" s="82">
        <f>IFERROR(__xludf.DUMMYFUNCTION("""COMPUTED_VALUE"""),0.648148148148148)</f>
        <v>0.6481481481</v>
      </c>
      <c r="Q1236" s="82">
        <f>IFERROR(__xludf.DUMMYFUNCTION("""COMPUTED_VALUE"""),0.45370370370370366)</f>
        <v>0.4537037037</v>
      </c>
      <c r="R1236" s="82">
        <f>IFERROR(__xludf.DUMMYFUNCTION("""COMPUTED_VALUE"""),1.3518518518518516)</f>
        <v>1.351851852</v>
      </c>
      <c r="S1236" s="82">
        <f>IFERROR(__xludf.DUMMYFUNCTION("""COMPUTED_VALUE"""),2.444444444444444)</f>
        <v>2.444444444</v>
      </c>
      <c r="T1236" s="82">
        <f>IFERROR(__xludf.DUMMYFUNCTION("""COMPUTED_VALUE"""),347.30620823706545)</f>
        <v>347.3062082</v>
      </c>
      <c r="U1236" s="82">
        <f>IFERROR(__xludf.DUMMYFUNCTION("""COMPUTED_VALUE"""),0.7569957123852785)</f>
        <v>0.7569957124</v>
      </c>
      <c r="V1236" s="82">
        <f>IFERROR(__xludf.DUMMYFUNCTION("""COMPUTED_VALUE"""),0.5370473755064755)</f>
        <v>0.5370473755</v>
      </c>
      <c r="W1236" s="82">
        <f>IFERROR(__xludf.DUMMYFUNCTION("""COMPUTED_VALUE"""),1.3564619627291263)</f>
        <v>1.356461963</v>
      </c>
      <c r="X1236" s="82">
        <f>IFERROR(__xludf.DUMMYFUNCTION("""COMPUTED_VALUE"""),2.55983659473466)</f>
        <v>2.559836595</v>
      </c>
      <c r="Y1236" s="82">
        <f>IFERROR(__xludf.DUMMYFUNCTION("""COMPUTED_VALUE"""),347.11683545198986)</f>
        <v>347.1168355</v>
      </c>
      <c r="Z1236" s="82">
        <f>IFERROR(__xludf.DUMMYFUNCTION("""COMPUTED_VALUE"""),0.7314855498687801)</f>
        <v>0.7314855499</v>
      </c>
      <c r="AA1236" s="82">
        <f>IFERROR(__xludf.DUMMYFUNCTION("""COMPUTED_VALUE"""),0.5435603931737301)</f>
        <v>0.5435603932</v>
      </c>
      <c r="AB1236" s="82">
        <f>IFERROR(__xludf.DUMMYFUNCTION("""COMPUTED_VALUE"""),1.381239893412613)</f>
        <v>1.381239893</v>
      </c>
      <c r="AC1236" s="82">
        <f>IFERROR(__xludf.DUMMYFUNCTION("""COMPUTED_VALUE"""),2.5083366647486995)</f>
        <v>2.508336665</v>
      </c>
      <c r="AD1236" s="82">
        <f>IFERROR(__xludf.DUMMYFUNCTION("""COMPUTED_VALUE"""),1.088090250513602)</f>
        <v>1.088090251</v>
      </c>
      <c r="AE1236" s="82">
        <f>IFERROR(__xludf.DUMMYFUNCTION("""COMPUTED_VALUE"""),1.0253107530757664)</f>
        <v>1.025310753</v>
      </c>
      <c r="AF1236" s="82">
        <f>IFERROR(__xludf.DUMMYFUNCTION("""COMPUTED_VALUE"""),1.1753779284001113)</f>
        <v>1.175377928</v>
      </c>
      <c r="AG1236" s="82">
        <f>IFERROR(__xludf.DUMMYFUNCTION("""COMPUTED_VALUE"""),1.1865345742655213)</f>
        <v>1.186534574</v>
      </c>
      <c r="AH1236" s="82">
        <f>IFERROR(__xludf.DUMMYFUNCTION("""COMPUTED_VALUE"""),0.985602234726296)</f>
        <v>0.9856022347</v>
      </c>
      <c r="AI1236" s="82">
        <f>IFERROR(__xludf.DUMMYFUNCTION("""COMPUTED_VALUE"""),0.9486505406702375)</f>
        <v>0.9486505407</v>
      </c>
      <c r="AJ1236" s="82">
        <f>IFERROR(__xludf.DUMMYFUNCTION("""COMPUTED_VALUE"""),0.8562111218646749)</f>
        <v>0.8562111219</v>
      </c>
      <c r="AK1236" s="82">
        <f>IFERROR(__xludf.DUMMYFUNCTION("""COMPUTED_VALUE"""),0.8448113227921976)</f>
        <v>0.8448113228</v>
      </c>
      <c r="AL1236" s="82">
        <f>IFERROR(__xludf.DUMMYFUNCTION("""COMPUTED_VALUE"""),0.9966013710638819)</f>
        <v>0.9966013711</v>
      </c>
      <c r="AM1236" s="82">
        <f>IFERROR(__xludf.DUMMYFUNCTION("""COMPUTED_VALUE"""),0.9549220639600331)</f>
        <v>0.954922064</v>
      </c>
      <c r="AN1236" s="82">
        <f>IFERROR(__xludf.DUMMYFUNCTION("""COMPUTED_VALUE"""),1.0925406038760515)</f>
        <v>1.092540604</v>
      </c>
      <c r="AO1236" s="82">
        <f>IFERROR(__xludf.DUMMYFUNCTION("""COMPUTED_VALUE"""),0.992637331009119)</f>
        <v>0.992637331</v>
      </c>
      <c r="AP1236" s="82">
        <f>IFERROR(__xludf.DUMMYFUNCTION("""COMPUTED_VALUE"""),1.1493751539782648)</f>
        <v>1.149375154</v>
      </c>
      <c r="AQ1236" s="82">
        <f>IFERROR(__xludf.DUMMYFUNCTION("""COMPUTED_VALUE"""),1.2113261448429002)</f>
        <v>1.211326145</v>
      </c>
      <c r="AR1236" s="82">
        <f>IFERROR(__xludf.DUMMYFUNCTION("""COMPUTED_VALUE"""),0.9696841231408918)</f>
        <v>0.9696841231</v>
      </c>
      <c r="AS1236" s="82">
        <f>IFERROR(__xludf.DUMMYFUNCTION("""COMPUTED_VALUE"""),82.0)</f>
        <v>82</v>
      </c>
      <c r="AT1236" s="82">
        <f>IFERROR(__xludf.DUMMYFUNCTION("""COMPUTED_VALUE"""),0.5595221247758837)</f>
        <v>0.5595221248</v>
      </c>
      <c r="AU1236" s="82">
        <f>IFERROR(__xludf.DUMMYFUNCTION("""COMPUTED_VALUE"""),2.221952647955513)</f>
        <v>2.221952648</v>
      </c>
      <c r="AV1236" s="82">
        <f>IFERROR(__xludf.DUMMYFUNCTION("""COMPUTED_VALUE"""),64.65345399108776)</f>
        <v>64.65345399</v>
      </c>
      <c r="AW1236" s="82">
        <f t="shared" si="1"/>
        <v>3.585625892</v>
      </c>
      <c r="AX1236" s="83">
        <f t="array" ref="AX1236">IFERROR(DGET('SBV Import'!A:G,"SBV",{"RSC ID","Tier";B1236,A1236}))</f>
        <v>64.55510338</v>
      </c>
      <c r="AY1236" s="82">
        <f t="shared" si="2"/>
        <v>3.568693497</v>
      </c>
      <c r="AZ1236" s="82">
        <v>0.01693239488758813</v>
      </c>
      <c r="BA1236" s="84">
        <v>1200.0</v>
      </c>
      <c r="BB1236" s="84" t="b">
        <f>IFERROR(__xludf.DUMMYFUNCTION("iferror(if(A1236="""",,E1236&gt;=FILTER(Constants!$F$2:$F$10,Constants!$A$2:$A$10=A1236)))"),TRUE)</f>
        <v>1</v>
      </c>
    </row>
    <row r="1237">
      <c r="A1237" s="89" t="str">
        <f>IFERROR(__xludf.DUMMYFUNCTION("""COMPUTED_VALUE"""),"Veteran")</f>
        <v>Veteran</v>
      </c>
      <c r="B1237" s="87" t="str">
        <f>IFERROR(__xludf.DUMMYFUNCTION("""COMPUTED_VALUE"""),"RSC001203")</f>
        <v>RSC001203</v>
      </c>
      <c r="C1237" s="73" t="str">
        <f>IFERROR(__xludf.DUMMYFUNCTION("""COMPUTED_VALUE"""),"Clyde")</f>
        <v>Clyde</v>
      </c>
      <c r="D1237" s="73" t="str">
        <f>IFERROR(__xludf.DUMMYFUNCTION("""COMPUTED_VALUE"""),"Banshees")</f>
        <v>Banshees</v>
      </c>
      <c r="E1237" s="82">
        <f>IFERROR(__xludf.DUMMYFUNCTION("""COMPUTED_VALUE"""),28.0)</f>
        <v>28</v>
      </c>
      <c r="F1237" s="82">
        <f>IFERROR(__xludf.DUMMYFUNCTION("""COMPUTED_VALUE"""),15.0)</f>
        <v>15</v>
      </c>
      <c r="G1237" s="86">
        <f>IFERROR(__xludf.DUMMYFUNCTION("""COMPUTED_VALUE"""),13.0)</f>
        <v>13</v>
      </c>
      <c r="H1237" s="86">
        <f>IFERROR(__xludf.DUMMYFUNCTION("""COMPUTED_VALUE"""),0.5357142857142857)</f>
        <v>0.5357142857</v>
      </c>
      <c r="I1237" s="86">
        <f>IFERROR(__xludf.DUMMYFUNCTION("""COMPUTED_VALUE"""),0.2625)</f>
        <v>0.2625</v>
      </c>
      <c r="J1237" s="82">
        <f>IFERROR(__xludf.DUMMYFUNCTION("""COMPUTED_VALUE"""),358.35714285714283)</f>
        <v>358.3571429</v>
      </c>
      <c r="K1237" s="82">
        <f>IFERROR(__xludf.DUMMYFUNCTION("""COMPUTED_VALUE"""),0.75)</f>
        <v>0.75</v>
      </c>
      <c r="L1237" s="82">
        <f>IFERROR(__xludf.DUMMYFUNCTION("""COMPUTED_VALUE"""),0.7142857142857143)</f>
        <v>0.7142857143</v>
      </c>
      <c r="M1237" s="82">
        <f>IFERROR(__xludf.DUMMYFUNCTION("""COMPUTED_VALUE"""),1.5)</f>
        <v>1.5</v>
      </c>
      <c r="N1237" s="82">
        <f>IFERROR(__xludf.DUMMYFUNCTION("""COMPUTED_VALUE"""),2.857142857142857)</f>
        <v>2.857142857</v>
      </c>
      <c r="O1237" s="82">
        <f>IFERROR(__xludf.DUMMYFUNCTION("""COMPUTED_VALUE"""),340.3690476190476)</f>
        <v>340.3690476</v>
      </c>
      <c r="P1237" s="82">
        <f>IFERROR(__xludf.DUMMYFUNCTION("""COMPUTED_VALUE"""),0.7023809523809526)</f>
        <v>0.7023809524</v>
      </c>
      <c r="Q1237" s="82">
        <f>IFERROR(__xludf.DUMMYFUNCTION("""COMPUTED_VALUE"""),0.5119047619047618)</f>
        <v>0.5119047619</v>
      </c>
      <c r="R1237" s="82">
        <f>IFERROR(__xludf.DUMMYFUNCTION("""COMPUTED_VALUE"""),1.440476190476191)</f>
        <v>1.44047619</v>
      </c>
      <c r="S1237" s="82">
        <f>IFERROR(__xludf.DUMMYFUNCTION("""COMPUTED_VALUE"""),2.3809523809523805)</f>
        <v>2.380952381</v>
      </c>
      <c r="T1237" s="82">
        <f>IFERROR(__xludf.DUMMYFUNCTION("""COMPUTED_VALUE"""),355.89231314624755)</f>
        <v>355.8923131</v>
      </c>
      <c r="U1237" s="82">
        <f>IFERROR(__xludf.DUMMYFUNCTION("""COMPUTED_VALUE"""),0.8022192241561633)</f>
        <v>0.8022192242</v>
      </c>
      <c r="V1237" s="82">
        <f>IFERROR(__xludf.DUMMYFUNCTION("""COMPUTED_VALUE"""),0.5658138689746225)</f>
        <v>0.565813869</v>
      </c>
      <c r="W1237" s="82">
        <f>IFERROR(__xludf.DUMMYFUNCTION("""COMPUTED_VALUE"""),1.3882222791275596)</f>
        <v>1.388222279</v>
      </c>
      <c r="X1237" s="82">
        <f>IFERROR(__xludf.DUMMYFUNCTION("""COMPUTED_VALUE"""),2.6149210032561996)</f>
        <v>2.614921003</v>
      </c>
      <c r="Y1237" s="82">
        <f>IFERROR(__xludf.DUMMYFUNCTION("""COMPUTED_VALUE"""),358.69227056313855)</f>
        <v>358.6922706</v>
      </c>
      <c r="Z1237" s="82">
        <f>IFERROR(__xludf.DUMMYFUNCTION("""COMPUTED_VALUE"""),0.8169582460126931)</f>
        <v>0.816958246</v>
      </c>
      <c r="AA1237" s="82">
        <f>IFERROR(__xludf.DUMMYFUNCTION("""COMPUTED_VALUE"""),0.5973379301181924)</f>
        <v>0.5973379301</v>
      </c>
      <c r="AB1237" s="82">
        <f>IFERROR(__xludf.DUMMYFUNCTION("""COMPUTED_VALUE"""),1.3489529370764828)</f>
        <v>1.348952937</v>
      </c>
      <c r="AC1237" s="82">
        <f>IFERROR(__xludf.DUMMYFUNCTION("""COMPUTED_VALUE"""),2.688447914276605)</f>
        <v>2.688447914</v>
      </c>
      <c r="AD1237" s="82">
        <f>IFERROR(__xludf.DUMMYFUNCTION("""COMPUTED_VALUE"""),0.9990656957690514)</f>
        <v>0.9990656958</v>
      </c>
      <c r="AE1237" s="82">
        <f>IFERROR(__xludf.DUMMYFUNCTION("""COMPUTED_VALUE"""),0.9180395738221697)</f>
        <v>0.9180395738</v>
      </c>
      <c r="AF1237" s="82">
        <f>IFERROR(__xludf.DUMMYFUNCTION("""COMPUTED_VALUE"""),1.1957816141767224)</f>
        <v>1.195781614</v>
      </c>
      <c r="AG1237" s="82">
        <f>IFERROR(__xludf.DUMMYFUNCTION("""COMPUTED_VALUE"""),1.1119735602124665)</f>
        <v>1.11197356</v>
      </c>
      <c r="AH1237" s="82">
        <f>IFERROR(__xludf.DUMMYFUNCTION("""COMPUTED_VALUE"""),1.0627480792803992)</f>
        <v>1.062748079</v>
      </c>
      <c r="AI1237" s="82">
        <f>IFERROR(__xludf.DUMMYFUNCTION("""COMPUTED_VALUE"""),0.9563821275318725)</f>
        <v>0.9563821275</v>
      </c>
      <c r="AJ1237" s="82">
        <f>IFERROR(__xludf.DUMMYFUNCTION("""COMPUTED_VALUE"""),0.875547395563565)</f>
        <v>0.8755473956</v>
      </c>
      <c r="AK1237" s="82">
        <f>IFERROR(__xludf.DUMMYFUNCTION("""COMPUTED_VALUE"""),0.9047228955918741)</f>
        <v>0.9047228956</v>
      </c>
      <c r="AL1237" s="82">
        <f>IFERROR(__xludf.DUMMYFUNCTION("""COMPUTED_VALUE"""),1.0376408822522794)</f>
        <v>1.037640882</v>
      </c>
      <c r="AM1237" s="82">
        <f>IFERROR(__xludf.DUMMYFUNCTION("""COMPUTED_VALUE"""),0.9105255485682082)</f>
        <v>0.9105255486</v>
      </c>
      <c r="AN1237" s="82">
        <f>IFERROR(__xludf.DUMMYFUNCTION("""COMPUTED_VALUE"""),1.036604416663662)</f>
        <v>1.036604417</v>
      </c>
      <c r="AO1237" s="82">
        <f>IFERROR(__xludf.DUMMYFUNCTION("""COMPUTED_VALUE"""),0.992637331009119)</f>
        <v>0.992637331</v>
      </c>
      <c r="AP1237" s="82">
        <f>IFERROR(__xludf.DUMMYFUNCTION("""COMPUTED_VALUE"""),1.2850157000999236)</f>
        <v>1.2850157</v>
      </c>
      <c r="AQ1237" s="82">
        <f>IFERROR(__xludf.DUMMYFUNCTION("""COMPUTED_VALUE"""),1.1086713868053664)</f>
        <v>1.108671387</v>
      </c>
      <c r="AR1237" s="82">
        <f>IFERROR(__xludf.DUMMYFUNCTION("""COMPUTED_VALUE"""),1.1206622289910788)</f>
        <v>1.120662229</v>
      </c>
      <c r="AS1237" s="82">
        <f>IFERROR(__xludf.DUMMYFUNCTION("""COMPUTED_VALUE"""),71.0)</f>
        <v>71</v>
      </c>
      <c r="AT1237" s="82">
        <f>IFERROR(__xludf.DUMMYFUNCTION("""COMPUTED_VALUE"""),0.5714221728554963)</f>
        <v>0.5714221729</v>
      </c>
      <c r="AU1237" s="82">
        <f>IFERROR(__xludf.DUMMYFUNCTION("""COMPUTED_VALUE"""),2.2197532987407484)</f>
        <v>2.219753299</v>
      </c>
      <c r="AV1237" s="82">
        <f>IFERROR(__xludf.DUMMYFUNCTION("""COMPUTED_VALUE"""),64.57482265179732)</f>
        <v>64.57482265</v>
      </c>
      <c r="AW1237" s="82">
        <f t="shared" si="1"/>
        <v>3.572078717</v>
      </c>
      <c r="AX1237" s="83">
        <f t="array" ref="AX1237">IFERROR(DGET('SBV Import'!A:G,"SBV",{"RSC ID","Tier";B1237,A1237}))</f>
        <v>62.10521494</v>
      </c>
      <c r="AY1237" s="82">
        <f t="shared" si="2"/>
        <v>3.183507719</v>
      </c>
      <c r="AZ1237" s="82">
        <v>0.38857099796116046</v>
      </c>
      <c r="BA1237" s="84">
        <v>1200.0</v>
      </c>
      <c r="BB1237" s="84" t="b">
        <f>IFERROR(__xludf.DUMMYFUNCTION("iferror(if(A1237="""",,E1237&gt;=FILTER(Constants!$F$2:$F$10,Constants!$A$2:$A$10=A1237)))"),TRUE)</f>
        <v>1</v>
      </c>
    </row>
    <row r="1238">
      <c r="A1238" s="89" t="str">
        <f>IFERROR(__xludf.DUMMYFUNCTION("""COMPUTED_VALUE"""),"Veteran")</f>
        <v>Veteran</v>
      </c>
      <c r="B1238" s="87" t="str">
        <f>IFERROR(__xludf.DUMMYFUNCTION("""COMPUTED_VALUE"""),"RSC006140")</f>
        <v>RSC006140</v>
      </c>
      <c r="C1238" s="73" t="str">
        <f>IFERROR(__xludf.DUMMYFUNCTION("""COMPUTED_VALUE"""),"Jay_Kay99")</f>
        <v>Jay_Kay99</v>
      </c>
      <c r="D1238" s="73" t="str">
        <f>IFERROR(__xludf.DUMMYFUNCTION("""COMPUTED_VALUE"""),"Blacksmiths")</f>
        <v>Blacksmiths</v>
      </c>
      <c r="E1238" s="82">
        <f>IFERROR(__xludf.DUMMYFUNCTION("""COMPUTED_VALUE"""),40.0)</f>
        <v>40</v>
      </c>
      <c r="F1238" s="82">
        <f>IFERROR(__xludf.DUMMYFUNCTION("""COMPUTED_VALUE"""),21.0)</f>
        <v>21</v>
      </c>
      <c r="G1238" s="86">
        <f>IFERROR(__xludf.DUMMYFUNCTION("""COMPUTED_VALUE"""),19.0)</f>
        <v>19</v>
      </c>
      <c r="H1238" s="86">
        <f>IFERROR(__xludf.DUMMYFUNCTION("""COMPUTED_VALUE"""),0.525)</f>
        <v>0.525</v>
      </c>
      <c r="I1238" s="86">
        <f>IFERROR(__xludf.DUMMYFUNCTION("""COMPUTED_VALUE"""),0.34545454545454546)</f>
        <v>0.3454545455</v>
      </c>
      <c r="J1238" s="82">
        <f>IFERROR(__xludf.DUMMYFUNCTION("""COMPUTED_VALUE"""),362.975)</f>
        <v>362.975</v>
      </c>
      <c r="K1238" s="82">
        <f>IFERROR(__xludf.DUMMYFUNCTION("""COMPUTED_VALUE"""),0.95)</f>
        <v>0.95</v>
      </c>
      <c r="L1238" s="82">
        <f>IFERROR(__xludf.DUMMYFUNCTION("""COMPUTED_VALUE"""),0.575)</f>
        <v>0.575</v>
      </c>
      <c r="M1238" s="82">
        <f>IFERROR(__xludf.DUMMYFUNCTION("""COMPUTED_VALUE"""),1.275)</f>
        <v>1.275</v>
      </c>
      <c r="N1238" s="82">
        <f>IFERROR(__xludf.DUMMYFUNCTION("""COMPUTED_VALUE"""),2.75)</f>
        <v>2.75</v>
      </c>
      <c r="O1238" s="82">
        <f>IFERROR(__xludf.DUMMYFUNCTION("""COMPUTED_VALUE"""),365.67499999999995)</f>
        <v>365.675</v>
      </c>
      <c r="P1238" s="82">
        <f>IFERROR(__xludf.DUMMYFUNCTION("""COMPUTED_VALUE"""),0.7833333333333334)</f>
        <v>0.7833333333</v>
      </c>
      <c r="Q1238" s="82">
        <f>IFERROR(__xludf.DUMMYFUNCTION("""COMPUTED_VALUE"""),0.6500000000000001)</f>
        <v>0.65</v>
      </c>
      <c r="R1238" s="82">
        <f>IFERROR(__xludf.DUMMYFUNCTION("""COMPUTED_VALUE"""),1.5166666666666666)</f>
        <v>1.516666667</v>
      </c>
      <c r="S1238" s="82">
        <f>IFERROR(__xludf.DUMMYFUNCTION("""COMPUTED_VALUE"""),2.4416666666666664)</f>
        <v>2.441666667</v>
      </c>
      <c r="T1238" s="82">
        <f>IFERROR(__xludf.DUMMYFUNCTION("""COMPUTED_VALUE"""),353.1745491670571)</f>
        <v>353.1745492</v>
      </c>
      <c r="U1238" s="82">
        <f>IFERROR(__xludf.DUMMYFUNCTION("""COMPUTED_VALUE"""),0.7834044574806335)</f>
        <v>0.7834044575</v>
      </c>
      <c r="V1238" s="82">
        <f>IFERROR(__xludf.DUMMYFUNCTION("""COMPUTED_VALUE"""),0.5906890214343449)</f>
        <v>0.5906890214</v>
      </c>
      <c r="W1238" s="82">
        <f>IFERROR(__xludf.DUMMYFUNCTION("""COMPUTED_VALUE"""),1.3837620074693955)</f>
        <v>1.383762007</v>
      </c>
      <c r="X1238" s="82">
        <f>IFERROR(__xludf.DUMMYFUNCTION("""COMPUTED_VALUE"""),2.5855489571479344)</f>
        <v>2.585548957</v>
      </c>
      <c r="Y1238" s="82">
        <f>IFERROR(__xludf.DUMMYFUNCTION("""COMPUTED_VALUE"""),349.3694448349329)</f>
        <v>349.3694448</v>
      </c>
      <c r="Z1238" s="82">
        <f>IFERROR(__xludf.DUMMYFUNCTION("""COMPUTED_VALUE"""),0.793850201179862)</f>
        <v>0.7938502012</v>
      </c>
      <c r="AA1238" s="82">
        <f>IFERROR(__xludf.DUMMYFUNCTION("""COMPUTED_VALUE"""),0.5599955766459194)</f>
        <v>0.5599955766</v>
      </c>
      <c r="AB1238" s="82">
        <f>IFERROR(__xludf.DUMMYFUNCTION("""COMPUTED_VALUE"""),1.3247533733278447)</f>
        <v>1.324753373</v>
      </c>
      <c r="AC1238" s="82">
        <f>IFERROR(__xludf.DUMMYFUNCTION("""COMPUTED_VALUE"""),2.60737560705299)</f>
        <v>2.607375607</v>
      </c>
      <c r="AD1238" s="82">
        <f>IFERROR(__xludf.DUMMYFUNCTION("""COMPUTED_VALUE"""),1.0389431742420845)</f>
        <v>1.038943174</v>
      </c>
      <c r="AE1238" s="82">
        <f>IFERROR(__xludf.DUMMYFUNCTION("""COMPUTED_VALUE"""),1.1966993251221199)</f>
        <v>1.196699325</v>
      </c>
      <c r="AF1238" s="82">
        <f>IFERROR(__xludf.DUMMYFUNCTION("""COMPUTED_VALUE"""),1.0267938247725978)</f>
        <v>1.026793825</v>
      </c>
      <c r="AG1238" s="82">
        <f>IFERROR(__xludf.DUMMYFUNCTION("""COMPUTED_VALUE"""),0.9624432937257884)</f>
        <v>0.9624432937</v>
      </c>
      <c r="AH1238" s="82">
        <f>IFERROR(__xludf.DUMMYFUNCTION("""COMPUTED_VALUE"""),1.0547003632929637)</f>
        <v>1.054700363</v>
      </c>
      <c r="AI1238" s="82">
        <f>IFERROR(__xludf.DUMMYFUNCTION("""COMPUTED_VALUE"""),1.0353945403552565)</f>
        <v>1.03539454</v>
      </c>
      <c r="AJ1238" s="82">
        <f>IFERROR(__xludf.DUMMYFUNCTION("""COMPUTED_VALUE"""),0.9999092114595202)</f>
        <v>0.9999092115</v>
      </c>
      <c r="AK1238" s="82">
        <f>IFERROR(__xludf.DUMMYFUNCTION("""COMPUTED_VALUE"""),1.1004098204189285)</f>
        <v>1.10040982</v>
      </c>
      <c r="AL1238" s="82">
        <f>IFERROR(__xludf.DUMMYFUNCTION("""COMPUTED_VALUE"""),1.096045894077064)</f>
        <v>1.096045894</v>
      </c>
      <c r="AM1238" s="82">
        <f>IFERROR(__xludf.DUMMYFUNCTION("""COMPUTED_VALUE"""),0.9443513571524162)</f>
        <v>0.9443513572</v>
      </c>
      <c r="AN1238" s="82">
        <f>IFERROR(__xludf.DUMMYFUNCTION("""COMPUTED_VALUE"""),1.0499622949848313)</f>
        <v>1.049962295</v>
      </c>
      <c r="AO1238" s="82">
        <f>IFERROR(__xludf.DUMMYFUNCTION("""COMPUTED_VALUE"""),1.2573406192782173)</f>
        <v>1.257340619</v>
      </c>
      <c r="AP1238" s="82">
        <f>IFERROR(__xludf.DUMMYFUNCTION("""COMPUTED_VALUE"""),1.0344376385804384)</f>
        <v>1.034437639</v>
      </c>
      <c r="AQ1238" s="82">
        <f>IFERROR(__xludf.DUMMYFUNCTION("""COMPUTED_VALUE"""),0.9423706787845613)</f>
        <v>0.9423706788</v>
      </c>
      <c r="AR1238" s="82">
        <f>IFERROR(__xludf.DUMMYFUNCTION("""COMPUTED_VALUE"""),1.0786373954039132)</f>
        <v>1.078637395</v>
      </c>
      <c r="AS1238" s="82">
        <f>IFERROR(__xludf.DUMMYFUNCTION("""COMPUTED_VALUE"""),100.0)</f>
        <v>100</v>
      </c>
      <c r="AT1238" s="82">
        <f>IFERROR(__xludf.DUMMYFUNCTION("""COMPUTED_VALUE"""),0.5243177368029133)</f>
        <v>0.5243177368</v>
      </c>
      <c r="AU1238" s="82">
        <f>IFERROR(__xludf.DUMMYFUNCTION("""COMPUTED_VALUE"""),2.2054684065579555)</f>
        <v>2.205468407</v>
      </c>
      <c r="AV1238" s="82">
        <f>IFERROR(__xludf.DUMMYFUNCTION("""COMPUTED_VALUE"""),64.06410784743068)</f>
        <v>64.06410785</v>
      </c>
      <c r="AW1238" s="82">
        <f t="shared" si="1"/>
        <v>3.485950586</v>
      </c>
      <c r="AX1238" s="83">
        <f t="array" ref="AX1238">IFERROR(DGET('SBV Import'!A:G,"SBV",{"RSC ID","Tier";B1238,A1238}))</f>
        <v>57.98044714</v>
      </c>
      <c r="AY1238" s="82">
        <f t="shared" si="2"/>
        <v>2.668227419</v>
      </c>
      <c r="AZ1238" s="82">
        <v>0.8177231667552114</v>
      </c>
      <c r="BA1238" s="84">
        <v>1200.0</v>
      </c>
      <c r="BB1238" s="84" t="b">
        <f>IFERROR(__xludf.DUMMYFUNCTION("iferror(if(A1238="""",,E1238&gt;=FILTER(Constants!$F$2:$F$10,Constants!$A$2:$A$10=A1238)))"),TRUE)</f>
        <v>1</v>
      </c>
    </row>
    <row r="1239">
      <c r="A1239" s="89" t="str">
        <f>IFERROR(__xludf.DUMMYFUNCTION("""COMPUTED_VALUE"""),"Veteran")</f>
        <v>Veteran</v>
      </c>
      <c r="B1239" s="87" t="str">
        <f>IFERROR(__xludf.DUMMYFUNCTION("""COMPUTED_VALUE"""),"RSC003272")</f>
        <v>RSC003272</v>
      </c>
      <c r="C1239" s="73" t="str">
        <f>IFERROR(__xludf.DUMMYFUNCTION("""COMPUTED_VALUE"""),"jknop2")</f>
        <v>jknop2</v>
      </c>
      <c r="D1239" s="73" t="str">
        <f>IFERROR(__xludf.DUMMYFUNCTION("""COMPUTED_VALUE"""),"Singularity")</f>
        <v>Singularity</v>
      </c>
      <c r="E1239" s="82">
        <f>IFERROR(__xludf.DUMMYFUNCTION("""COMPUTED_VALUE"""),44.0)</f>
        <v>44</v>
      </c>
      <c r="F1239" s="82">
        <f>IFERROR(__xludf.DUMMYFUNCTION("""COMPUTED_VALUE"""),25.0)</f>
        <v>25</v>
      </c>
      <c r="G1239" s="86">
        <f>IFERROR(__xludf.DUMMYFUNCTION("""COMPUTED_VALUE"""),19.0)</f>
        <v>19</v>
      </c>
      <c r="H1239" s="86">
        <f>IFERROR(__xludf.DUMMYFUNCTION("""COMPUTED_VALUE"""),0.5681818181818182)</f>
        <v>0.5681818182</v>
      </c>
      <c r="I1239" s="86">
        <f>IFERROR(__xludf.DUMMYFUNCTION("""COMPUTED_VALUE"""),0.27777777777777773)</f>
        <v>0.2777777778</v>
      </c>
      <c r="J1239" s="82">
        <f>IFERROR(__xludf.DUMMYFUNCTION("""COMPUTED_VALUE"""),393.59090909090907)</f>
        <v>393.5909091</v>
      </c>
      <c r="K1239" s="82">
        <f>IFERROR(__xludf.DUMMYFUNCTION("""COMPUTED_VALUE"""),0.6818181818181818)</f>
        <v>0.6818181818</v>
      </c>
      <c r="L1239" s="82">
        <f>IFERROR(__xludf.DUMMYFUNCTION("""COMPUTED_VALUE"""),0.6818181818181818)</f>
        <v>0.6818181818</v>
      </c>
      <c r="M1239" s="82">
        <f>IFERROR(__xludf.DUMMYFUNCTION("""COMPUTED_VALUE"""),1.8181818181818181)</f>
        <v>1.818181818</v>
      </c>
      <c r="N1239" s="82">
        <f>IFERROR(__xludf.DUMMYFUNCTION("""COMPUTED_VALUE"""),2.4545454545454546)</f>
        <v>2.454545455</v>
      </c>
      <c r="O1239" s="82">
        <f>IFERROR(__xludf.DUMMYFUNCTION("""COMPUTED_VALUE"""),341.41666666666674)</f>
        <v>341.4166667</v>
      </c>
      <c r="P1239" s="82">
        <f>IFERROR(__xludf.DUMMYFUNCTION("""COMPUTED_VALUE"""),0.6742424242424241)</f>
        <v>0.6742424242</v>
      </c>
      <c r="Q1239" s="82">
        <f>IFERROR(__xludf.DUMMYFUNCTION("""COMPUTED_VALUE"""),0.4924242424242424)</f>
        <v>0.4924242424</v>
      </c>
      <c r="R1239" s="82">
        <f>IFERROR(__xludf.DUMMYFUNCTION("""COMPUTED_VALUE"""),1.416666666666667)</f>
        <v>1.416666667</v>
      </c>
      <c r="S1239" s="82">
        <f>IFERROR(__xludf.DUMMYFUNCTION("""COMPUTED_VALUE"""),2.772727272727273)</f>
        <v>2.772727273</v>
      </c>
      <c r="T1239" s="82">
        <f>IFERROR(__xludf.DUMMYFUNCTION("""COMPUTED_VALUE"""),356.2697338823936)</f>
        <v>356.2697339</v>
      </c>
      <c r="U1239" s="82">
        <f>IFERROR(__xludf.DUMMYFUNCTION("""COMPUTED_VALUE"""),0.793466678946374)</f>
        <v>0.7934666789</v>
      </c>
      <c r="V1239" s="82">
        <f>IFERROR(__xludf.DUMMYFUNCTION("""COMPUTED_VALUE"""),0.5866352791375596)</f>
        <v>0.5866352791</v>
      </c>
      <c r="W1239" s="82">
        <f>IFERROR(__xludf.DUMMYFUNCTION("""COMPUTED_VALUE"""),1.339703120717257)</f>
        <v>1.339703121</v>
      </c>
      <c r="X1239" s="82">
        <f>IFERROR(__xludf.DUMMYFUNCTION("""COMPUTED_VALUE"""),2.6445288044532096)</f>
        <v>2.644528804</v>
      </c>
      <c r="Y1239" s="82">
        <f>IFERROR(__xludf.DUMMYFUNCTION("""COMPUTED_VALUE"""),346.7310896852843)</f>
        <v>346.7310897</v>
      </c>
      <c r="Z1239" s="82">
        <f>IFERROR(__xludf.DUMMYFUNCTION("""COMPUTED_VALUE"""),0.7319350472531535)</f>
        <v>0.7319350473</v>
      </c>
      <c r="AA1239" s="82">
        <f>IFERROR(__xludf.DUMMYFUNCTION("""COMPUTED_VALUE"""),0.5320239292340939)</f>
        <v>0.5320239292</v>
      </c>
      <c r="AB1239" s="82">
        <f>IFERROR(__xludf.DUMMYFUNCTION("""COMPUTED_VALUE"""),1.3693051264264564)</f>
        <v>1.369305126</v>
      </c>
      <c r="AC1239" s="82">
        <f>IFERROR(__xludf.DUMMYFUNCTION("""COMPUTED_VALUE"""),2.570150838329508)</f>
        <v>2.570150838</v>
      </c>
      <c r="AD1239" s="82">
        <f>IFERROR(__xludf.DUMMYFUNCTION("""COMPUTED_VALUE"""),1.135147440767881)</f>
        <v>1.135147441</v>
      </c>
      <c r="AE1239" s="82">
        <f>IFERROR(__xludf.DUMMYFUNCTION("""COMPUTED_VALUE"""),0.9315282611168121)</f>
        <v>0.9315282611</v>
      </c>
      <c r="AF1239" s="82">
        <f>IFERROR(__xludf.DUMMYFUNCTION("""COMPUTED_VALUE"""),1.2815554796562119)</f>
        <v>1.28155548</v>
      </c>
      <c r="AG1239" s="82">
        <f>IFERROR(__xludf.DUMMYFUNCTION("""COMPUTED_VALUE"""),1.3278134895520457)</f>
        <v>1.32781349</v>
      </c>
      <c r="AH1239" s="82">
        <f>IFERROR(__xludf.DUMMYFUNCTION("""COMPUTED_VALUE"""),0.9550200003595151)</f>
        <v>0.9550200004</v>
      </c>
      <c r="AI1239" s="82">
        <f>IFERROR(__xludf.DUMMYFUNCTION("""COMPUTED_VALUE"""),0.9583094891225592)</f>
        <v>0.9583094891</v>
      </c>
      <c r="AJ1239" s="82">
        <f>IFERROR(__xludf.DUMMYFUNCTION("""COMPUTED_VALUE"""),0.8497425816768197)</f>
        <v>0.8497425817</v>
      </c>
      <c r="AK1239" s="82">
        <f>IFERROR(__xludf.DUMMYFUNCTION("""COMPUTED_VALUE"""),0.839404413502336)</f>
        <v>0.8394044135</v>
      </c>
      <c r="AL1239" s="82">
        <f>IFERROR(__xludf.DUMMYFUNCTION("""COMPUTED_VALUE"""),1.057448209800545)</f>
        <v>1.05744821</v>
      </c>
      <c r="AM1239" s="82">
        <f>IFERROR(__xludf.DUMMYFUNCTION("""COMPUTED_VALUE"""),1.0484768659196246)</f>
        <v>1.048476866</v>
      </c>
      <c r="AN1239" s="82">
        <f>IFERROR(__xludf.DUMMYFUNCTION("""COMPUTED_VALUE"""),1.1385236288842397)</f>
        <v>1.138523629</v>
      </c>
      <c r="AO1239" s="82">
        <f>IFERROR(__xludf.DUMMYFUNCTION("""COMPUTED_VALUE"""),0.9023975736446536)</f>
        <v>0.9023975736</v>
      </c>
      <c r="AP1239" s="82">
        <f>IFERROR(__xludf.DUMMYFUNCTION("""COMPUTED_VALUE"""),1.226605895549927)</f>
        <v>1.226605896</v>
      </c>
      <c r="AQ1239" s="82">
        <f>IFERROR(__xludf.DUMMYFUNCTION("""COMPUTED_VALUE"""),1.3438441052186259)</f>
        <v>1.343844105</v>
      </c>
      <c r="AR1239" s="82">
        <f>IFERROR(__xludf.DUMMYFUNCTION("""COMPUTED_VALUE"""),0.9627507330877904)</f>
        <v>0.9627507331</v>
      </c>
      <c r="AS1239" s="82">
        <f>IFERROR(__xludf.DUMMYFUNCTION("""COMPUTED_VALUE"""),102.0)</f>
        <v>102</v>
      </c>
      <c r="AT1239" s="82">
        <f>IFERROR(__xludf.DUMMYFUNCTION("""COMPUTED_VALUE"""),0.551758195747738)</f>
        <v>0.5517581957</v>
      </c>
      <c r="AU1239" s="82">
        <f>IFERROR(__xludf.DUMMYFUNCTION("""COMPUTED_VALUE"""),2.195473505510722)</f>
        <v>2.195473506</v>
      </c>
      <c r="AV1239" s="82">
        <f>IFERROR(__xludf.DUMMYFUNCTION("""COMPUTED_VALUE"""),63.706769208280804)</f>
        <v>63.70676921</v>
      </c>
      <c r="AW1239" s="82">
        <f t="shared" si="1"/>
        <v>3.427556896</v>
      </c>
      <c r="AX1239" s="83">
        <f t="array" ref="AX1239">IFERROR(DGET('SBV Import'!A:G,"SBV",{"RSC ID","Tier";B1239,A1239}))</f>
        <v>54.79358771</v>
      </c>
      <c r="AY1239" s="82">
        <f t="shared" si="2"/>
        <v>2.358648764</v>
      </c>
      <c r="AZ1239" s="82">
        <v>1.068908131874101</v>
      </c>
      <c r="BA1239" s="84">
        <v>1200.0</v>
      </c>
      <c r="BB1239" s="84" t="b">
        <f>IFERROR(__xludf.DUMMYFUNCTION("iferror(if(A1239="""",,E1239&gt;=FILTER(Constants!$F$2:$F$10,Constants!$A$2:$A$10=A1239)))"),TRUE)</f>
        <v>1</v>
      </c>
    </row>
    <row r="1240">
      <c r="A1240" s="89" t="str">
        <f>IFERROR(__xludf.DUMMYFUNCTION("""COMPUTED_VALUE"""),"Veteran")</f>
        <v>Veteran</v>
      </c>
      <c r="B1240" s="87" t="str">
        <f>IFERROR(__xludf.DUMMYFUNCTION("""COMPUTED_VALUE"""),"RSC007688")</f>
        <v>RSC007688</v>
      </c>
      <c r="C1240" s="73" t="str">
        <f>IFERROR(__xludf.DUMMYFUNCTION("""COMPUTED_VALUE"""),"Yami ^^")</f>
        <v>Yami ^^</v>
      </c>
      <c r="D1240" s="73" t="str">
        <f>IFERROR(__xludf.DUMMYFUNCTION("""COMPUTED_VALUE"""),"Typhoons")</f>
        <v>Typhoons</v>
      </c>
      <c r="E1240" s="82">
        <f>IFERROR(__xludf.DUMMYFUNCTION("""COMPUTED_VALUE"""),47.0)</f>
        <v>47</v>
      </c>
      <c r="F1240" s="82">
        <f>IFERROR(__xludf.DUMMYFUNCTION("""COMPUTED_VALUE"""),29.0)</f>
        <v>29</v>
      </c>
      <c r="G1240" s="86">
        <f>IFERROR(__xludf.DUMMYFUNCTION("""COMPUTED_VALUE"""),18.0)</f>
        <v>18</v>
      </c>
      <c r="H1240" s="86">
        <f>IFERROR(__xludf.DUMMYFUNCTION("""COMPUTED_VALUE"""),0.6170212765957447)</f>
        <v>0.6170212766</v>
      </c>
      <c r="I1240" s="86">
        <f>IFERROR(__xludf.DUMMYFUNCTION("""COMPUTED_VALUE"""),0.2781954887218045)</f>
        <v>0.2781954887</v>
      </c>
      <c r="J1240" s="82">
        <f>IFERROR(__xludf.DUMMYFUNCTION("""COMPUTED_VALUE"""),339.8936170212766)</f>
        <v>339.893617</v>
      </c>
      <c r="K1240" s="82">
        <f>IFERROR(__xludf.DUMMYFUNCTION("""COMPUTED_VALUE"""),0.7872340425531915)</f>
        <v>0.7872340426</v>
      </c>
      <c r="L1240" s="82">
        <f>IFERROR(__xludf.DUMMYFUNCTION("""COMPUTED_VALUE"""),0.574468085106383)</f>
        <v>0.5744680851</v>
      </c>
      <c r="M1240" s="82">
        <f>IFERROR(__xludf.DUMMYFUNCTION("""COMPUTED_VALUE"""),1.2765957446808511)</f>
        <v>1.276595745</v>
      </c>
      <c r="N1240" s="82">
        <f>IFERROR(__xludf.DUMMYFUNCTION("""COMPUTED_VALUE"""),2.8297872340425534)</f>
        <v>2.829787234</v>
      </c>
      <c r="O1240" s="82">
        <f>IFERROR(__xludf.DUMMYFUNCTION("""COMPUTED_VALUE"""),334.8936170212766)</f>
        <v>334.893617</v>
      </c>
      <c r="P1240" s="82">
        <f>IFERROR(__xludf.DUMMYFUNCTION("""COMPUTED_VALUE"""),0.6099290780141845)</f>
        <v>0.609929078</v>
      </c>
      <c r="Q1240" s="82">
        <f>IFERROR(__xludf.DUMMYFUNCTION("""COMPUTED_VALUE"""),0.48226950354609915)</f>
        <v>0.4822695035</v>
      </c>
      <c r="R1240" s="82">
        <f>IFERROR(__xludf.DUMMYFUNCTION("""COMPUTED_VALUE"""),1.4609929078014183)</f>
        <v>1.460992908</v>
      </c>
      <c r="S1240" s="82">
        <f>IFERROR(__xludf.DUMMYFUNCTION("""COMPUTED_VALUE"""),2.2836879432624118)</f>
        <v>2.283687943</v>
      </c>
      <c r="T1240" s="82">
        <f>IFERROR(__xludf.DUMMYFUNCTION("""COMPUTED_VALUE"""),352.82608116384995)</f>
        <v>352.8260812</v>
      </c>
      <c r="U1240" s="82">
        <f>IFERROR(__xludf.DUMMYFUNCTION("""COMPUTED_VALUE"""),0.7590037431564174)</f>
        <v>0.7590037432</v>
      </c>
      <c r="V1240" s="82">
        <f>IFERROR(__xludf.DUMMYFUNCTION("""COMPUTED_VALUE"""),0.5804844934288568)</f>
        <v>0.5804844934</v>
      </c>
      <c r="W1240" s="82">
        <f>IFERROR(__xludf.DUMMYFUNCTION("""COMPUTED_VALUE"""),1.3560731731223437)</f>
        <v>1.356073173</v>
      </c>
      <c r="X1240" s="82">
        <f>IFERROR(__xludf.DUMMYFUNCTION("""COMPUTED_VALUE"""),2.6052065019983344)</f>
        <v>2.605206502</v>
      </c>
      <c r="Y1240" s="82">
        <f>IFERROR(__xludf.DUMMYFUNCTION("""COMPUTED_VALUE"""),355.2153614328236)</f>
        <v>355.2153614</v>
      </c>
      <c r="Z1240" s="82">
        <f>IFERROR(__xludf.DUMMYFUNCTION("""COMPUTED_VALUE"""),0.7655338308714079)</f>
        <v>0.7655338309</v>
      </c>
      <c r="AA1240" s="82">
        <f>IFERROR(__xludf.DUMMYFUNCTION("""COMPUTED_VALUE"""),0.5627939214560405)</f>
        <v>0.5627939215</v>
      </c>
      <c r="AB1240" s="82">
        <f>IFERROR(__xludf.DUMMYFUNCTION("""COMPUTED_VALUE"""),1.4135655692703617)</f>
        <v>1.413565569</v>
      </c>
      <c r="AC1240" s="82">
        <f>IFERROR(__xludf.DUMMYFUNCTION("""COMPUTED_VALUE"""),2.5955085079965565)</f>
        <v>2.595508508</v>
      </c>
      <c r="AD1240" s="82">
        <f>IFERROR(__xludf.DUMMYFUNCTION("""COMPUTED_VALUE"""),0.9568663237148752)</f>
        <v>0.9568663237</v>
      </c>
      <c r="AE1240" s="82">
        <f>IFERROR(__xludf.DUMMYFUNCTION("""COMPUTED_VALUE"""),1.028346509072084)</f>
        <v>1.028346509</v>
      </c>
      <c r="AF1240" s="82">
        <f>IFERROR(__xludf.DUMMYFUNCTION("""COMPUTED_VALUE"""),1.0207432298133916)</f>
        <v>1.02074323</v>
      </c>
      <c r="AG1240" s="82">
        <f>IFERROR(__xludf.DUMMYFUNCTION("""COMPUTED_VALUE"""),0.9031033101207961)</f>
        <v>0.9031033101</v>
      </c>
      <c r="AH1240" s="82">
        <f>IFERROR(__xludf.DUMMYFUNCTION("""COMPUTED_VALUE"""),1.0902631316076223)</f>
        <v>1.090263132</v>
      </c>
      <c r="AI1240" s="82">
        <f>IFERROR(__xludf.DUMMYFUNCTION("""COMPUTED_VALUE"""),0.9491747773196914)</f>
        <v>0.9491747773</v>
      </c>
      <c r="AJ1240" s="82">
        <f>IFERROR(__xludf.DUMMYFUNCTION("""COMPUTED_VALUE"""),0.8035916601382146)</f>
        <v>0.8035916601</v>
      </c>
      <c r="AK1240" s="82">
        <f>IFERROR(__xludf.DUMMYFUNCTION("""COMPUTED_VALUE"""),0.8308051446773148)</f>
        <v>0.8308051447</v>
      </c>
      <c r="AL1240" s="82">
        <f>IFERROR(__xludf.DUMMYFUNCTION("""COMPUTED_VALUE"""),1.0773702605129325)</f>
        <v>1.077370261</v>
      </c>
      <c r="AM1240" s="82">
        <f>IFERROR(__xludf.DUMMYFUNCTION("""COMPUTED_VALUE"""),0.8765861521958814)</f>
        <v>0.8765861522</v>
      </c>
      <c r="AN1240" s="82">
        <f>IFERROR(__xludf.DUMMYFUNCTION("""COMPUTED_VALUE"""),0.9831957632849504)</f>
        <v>0.9831957633</v>
      </c>
      <c r="AO1240" s="82">
        <f>IFERROR(__xludf.DUMMYFUNCTION("""COMPUTED_VALUE"""),1.0419171985060256)</f>
        <v>1.041917199</v>
      </c>
      <c r="AP1240" s="82">
        <f>IFERROR(__xludf.DUMMYFUNCTION("""COMPUTED_VALUE"""),1.0334807119952578)</f>
        <v>1.033480712</v>
      </c>
      <c r="AQ1240" s="82">
        <f>IFERROR(__xludf.DUMMYFUNCTION("""COMPUTED_VALUE"""),0.943550116430099)</f>
        <v>0.9435501164</v>
      </c>
      <c r="AR1240" s="82">
        <f>IFERROR(__xludf.DUMMYFUNCTION("""COMPUTED_VALUE"""),1.1099324842454195)</f>
        <v>1.109932484</v>
      </c>
      <c r="AS1240" s="82">
        <f>IFERROR(__xludf.DUMMYFUNCTION("""COMPUTED_VALUE"""),110.0)</f>
        <v>110</v>
      </c>
      <c r="AT1240" s="82">
        <f>IFERROR(__xludf.DUMMYFUNCTION("""COMPUTED_VALUE"""),0.5916555007044131)</f>
        <v>0.5916555007</v>
      </c>
      <c r="AU1240" s="82">
        <f>IFERROR(__xludf.DUMMYFUNCTION("""COMPUTED_VALUE"""),2.1790131748378885)</f>
        <v>2.179013175</v>
      </c>
      <c r="AV1240" s="82">
        <f>IFERROR(__xludf.DUMMYFUNCTION("""COMPUTED_VALUE"""),63.11827792309542)</f>
        <v>63.11827792</v>
      </c>
      <c r="AW1240" s="82">
        <f t="shared" si="1"/>
        <v>3.334610919</v>
      </c>
      <c r="AX1240" s="83">
        <f t="array" ref="AX1240">IFERROR(DGET('SBV Import'!A:G,"SBV",{"RSC ID","Tier";B1240,A1240}))</f>
        <v>53.79660633</v>
      </c>
      <c r="AY1240" s="82">
        <f t="shared" si="2"/>
        <v>2.274552076</v>
      </c>
      <c r="AZ1240" s="82">
        <v>1.0600588429388327</v>
      </c>
      <c r="BA1240" s="84">
        <v>1200.0</v>
      </c>
      <c r="BB1240" s="84" t="b">
        <f>IFERROR(__xludf.DUMMYFUNCTION("iferror(if(A1240="""",,E1240&gt;=FILTER(Constants!$F$2:$F$10,Constants!$A$2:$A$10=A1240)))"),TRUE)</f>
        <v>1</v>
      </c>
    </row>
    <row r="1241">
      <c r="A1241" s="89" t="str">
        <f>IFERROR(__xludf.DUMMYFUNCTION("""COMPUTED_VALUE"""),"Veteran")</f>
        <v>Veteran</v>
      </c>
      <c r="B1241" s="87" t="str">
        <f>IFERROR(__xludf.DUMMYFUNCTION("""COMPUTED_VALUE"""),"RSC000767")</f>
        <v>RSC000767</v>
      </c>
      <c r="C1241" s="73" t="str">
        <f>IFERROR(__xludf.DUMMYFUNCTION("""COMPUTED_VALUE"""),"Tragic")</f>
        <v>Tragic</v>
      </c>
      <c r="D1241" s="73" t="str">
        <f>IFERROR(__xludf.DUMMYFUNCTION("""COMPUTED_VALUE"""),"Gouda Gangsters")</f>
        <v>Gouda Gangsters</v>
      </c>
      <c r="E1241" s="82">
        <f>IFERROR(__xludf.DUMMYFUNCTION("""COMPUTED_VALUE"""),37.0)</f>
        <v>37</v>
      </c>
      <c r="F1241" s="82">
        <f>IFERROR(__xludf.DUMMYFUNCTION("""COMPUTED_VALUE"""),16.0)</f>
        <v>16</v>
      </c>
      <c r="G1241" s="86">
        <f>IFERROR(__xludf.DUMMYFUNCTION("""COMPUTED_VALUE"""),21.0)</f>
        <v>21</v>
      </c>
      <c r="H1241" s="86">
        <f>IFERROR(__xludf.DUMMYFUNCTION("""COMPUTED_VALUE"""),0.43243243243243246)</f>
        <v>0.4324324324</v>
      </c>
      <c r="I1241" s="86">
        <f>IFERROR(__xludf.DUMMYFUNCTION("""COMPUTED_VALUE"""),0.3428571428571429)</f>
        <v>0.3428571429</v>
      </c>
      <c r="J1241" s="82">
        <f>IFERROR(__xludf.DUMMYFUNCTION("""COMPUTED_VALUE"""),360.86486486486484)</f>
        <v>360.8648649</v>
      </c>
      <c r="K1241" s="82">
        <f>IFERROR(__xludf.DUMMYFUNCTION("""COMPUTED_VALUE"""),0.972972972972973)</f>
        <v>0.972972973</v>
      </c>
      <c r="L1241" s="82">
        <f>IFERROR(__xludf.DUMMYFUNCTION("""COMPUTED_VALUE"""),0.6216216216216216)</f>
        <v>0.6216216216</v>
      </c>
      <c r="M1241" s="82">
        <f>IFERROR(__xludf.DUMMYFUNCTION("""COMPUTED_VALUE"""),0.9459459459459459)</f>
        <v>0.9459459459</v>
      </c>
      <c r="N1241" s="82">
        <f>IFERROR(__xludf.DUMMYFUNCTION("""COMPUTED_VALUE"""),2.8378378378378377)</f>
        <v>2.837837838</v>
      </c>
      <c r="O1241" s="82">
        <f>IFERROR(__xludf.DUMMYFUNCTION("""COMPUTED_VALUE"""),369.73873873873873)</f>
        <v>369.7387387</v>
      </c>
      <c r="P1241" s="82">
        <f>IFERROR(__xludf.DUMMYFUNCTION("""COMPUTED_VALUE"""),0.8918918918918919)</f>
        <v>0.8918918919</v>
      </c>
      <c r="Q1241" s="82">
        <f>IFERROR(__xludf.DUMMYFUNCTION("""COMPUTED_VALUE"""),0.7297297297297297)</f>
        <v>0.7297297297</v>
      </c>
      <c r="R1241" s="82">
        <f>IFERROR(__xludf.DUMMYFUNCTION("""COMPUTED_VALUE"""),1.306306306306306)</f>
        <v>1.306306306</v>
      </c>
      <c r="S1241" s="82">
        <f>IFERROR(__xludf.DUMMYFUNCTION("""COMPUTED_VALUE"""),2.4954954954954953)</f>
        <v>2.495495495</v>
      </c>
      <c r="T1241" s="82">
        <f>IFERROR(__xludf.DUMMYFUNCTION("""COMPUTED_VALUE"""),359.7262105241235)</f>
        <v>359.7262105</v>
      </c>
      <c r="U1241" s="82">
        <f>IFERROR(__xludf.DUMMYFUNCTION("""COMPUTED_VALUE"""),0.8184599218253175)</f>
        <v>0.8184599218</v>
      </c>
      <c r="V1241" s="82">
        <f>IFERROR(__xludf.DUMMYFUNCTION("""COMPUTED_VALUE"""),0.5721759816967548)</f>
        <v>0.5721759817</v>
      </c>
      <c r="W1241" s="82">
        <f>IFERROR(__xludf.DUMMYFUNCTION("""COMPUTED_VALUE"""),1.370248972166216)</f>
        <v>1.370248972</v>
      </c>
      <c r="X1241" s="82">
        <f>IFERROR(__xludf.DUMMYFUNCTION("""COMPUTED_VALUE"""),2.6780955593728994)</f>
        <v>2.678095559</v>
      </c>
      <c r="Y1241" s="82">
        <f>IFERROR(__xludf.DUMMYFUNCTION("""COMPUTED_VALUE"""),359.0358550372496)</f>
        <v>359.035855</v>
      </c>
      <c r="Z1241" s="82">
        <f>IFERROR(__xludf.DUMMYFUNCTION("""COMPUTED_VALUE"""),0.8000864904324076)</f>
        <v>0.8000864904</v>
      </c>
      <c r="AA1241" s="82">
        <f>IFERROR(__xludf.DUMMYFUNCTION("""COMPUTED_VALUE"""),0.5922049927397829)</f>
        <v>0.5922049927</v>
      </c>
      <c r="AB1241" s="82">
        <f>IFERROR(__xludf.DUMMYFUNCTION("""COMPUTED_VALUE"""),1.3749529553083786)</f>
        <v>1.374952955</v>
      </c>
      <c r="AC1241" s="82">
        <f>IFERROR(__xludf.DUMMYFUNCTION("""COMPUTED_VALUE"""),2.6593115289251616)</f>
        <v>2.659311529</v>
      </c>
      <c r="AD1241" s="82">
        <f>IFERROR(__xludf.DUMMYFUNCTION("""COMPUTED_VALUE"""),1.0050942261112765)</f>
        <v>1.005094226</v>
      </c>
      <c r="AE1241" s="82">
        <f>IFERROR(__xludf.DUMMYFUNCTION("""COMPUTED_VALUE"""),1.2160847415972849)</f>
        <v>1.216084742</v>
      </c>
      <c r="AF1241" s="82">
        <f>IFERROR(__xludf.DUMMYFUNCTION("""COMPUTED_VALUE"""),1.0496730511266805)</f>
        <v>1.049673051</v>
      </c>
      <c r="AG1241" s="82">
        <f>IFERROR(__xludf.DUMMYFUNCTION("""COMPUTED_VALUE"""),0.6879842268739924)</f>
        <v>0.6879842269</v>
      </c>
      <c r="AH1241" s="82">
        <f>IFERROR(__xludf.DUMMYFUNCTION("""COMPUTED_VALUE"""),1.067132529217001)</f>
        <v>1.067132529</v>
      </c>
      <c r="AI1241" s="82">
        <f>IFERROR(__xludf.DUMMYFUNCTION("""COMPUTED_VALUE"""),1.027833746670911)</f>
        <v>1.027833747</v>
      </c>
      <c r="AJ1241" s="82">
        <f>IFERROR(__xludf.DUMMYFUNCTION("""COMPUTED_VALUE"""),1.0897196895149215)</f>
        <v>1.08971969</v>
      </c>
      <c r="AK1241" s="82">
        <f>IFERROR(__xludf.DUMMYFUNCTION("""COMPUTED_VALUE"""),1.2753588984384812)</f>
        <v>1.275358898</v>
      </c>
      <c r="AL1241" s="82">
        <f>IFERROR(__xludf.DUMMYFUNCTION("""COMPUTED_VALUE"""),0.9533350017706465)</f>
        <v>0.9533350018</v>
      </c>
      <c r="AM1241" s="82">
        <f>IFERROR(__xludf.DUMMYFUNCTION("""COMPUTED_VALUE"""),0.9318171962765356)</f>
        <v>0.9318171963</v>
      </c>
      <c r="AN1241" s="82">
        <f>IFERROR(__xludf.DUMMYFUNCTION("""COMPUTED_VALUE"""),1.0438583971152406)</f>
        <v>1.043858397</v>
      </c>
      <c r="AO1241" s="82">
        <f>IFERROR(__xludf.DUMMYFUNCTION("""COMPUTED_VALUE"""),1.2877457267145327)</f>
        <v>1.287745727</v>
      </c>
      <c r="AP1241" s="82">
        <f>IFERROR(__xludf.DUMMYFUNCTION("""COMPUTED_VALUE"""),1.118310960627501)</f>
        <v>1.118310961</v>
      </c>
      <c r="AQ1241" s="82">
        <f>IFERROR(__xludf.DUMMYFUNCTION("""COMPUTED_VALUE"""),0.699162135823204)</f>
        <v>0.6991621358</v>
      </c>
      <c r="AR1241" s="82">
        <f>IFERROR(__xludf.DUMMYFUNCTION("""COMPUTED_VALUE"""),1.1130901869033012)</f>
        <v>1.113090187</v>
      </c>
      <c r="AS1241" s="82">
        <f>IFERROR(__xludf.DUMMYFUNCTION("""COMPUTED_VALUE"""),94.0)</f>
        <v>94</v>
      </c>
      <c r="AT1241" s="82">
        <f>IFERROR(__xludf.DUMMYFUNCTION("""COMPUTED_VALUE"""),0.4791977565519083)</f>
        <v>0.4791977566</v>
      </c>
      <c r="AU1241" s="82">
        <f>IFERROR(__xludf.DUMMYFUNCTION("""COMPUTED_VALUE"""),2.178792687717791)</f>
        <v>2.178792688</v>
      </c>
      <c r="AV1241" s="82">
        <f>IFERROR(__xludf.DUMMYFUNCTION("""COMPUTED_VALUE"""),63.11039504690952)</f>
        <v>63.11039505</v>
      </c>
      <c r="AW1241" s="82">
        <f t="shared" si="1"/>
        <v>3.3333924</v>
      </c>
      <c r="AX1241" s="83">
        <f t="array" ref="AX1241">IFERROR(DGET('SBV Import'!A:G,"SBV",{"RSC ID","Tier";B1241,A1241}))</f>
        <v>53.70722783</v>
      </c>
      <c r="AY1241" s="82">
        <f t="shared" si="2"/>
        <v>2.267279086</v>
      </c>
      <c r="AZ1241" s="82">
        <v>1.0661133135908147</v>
      </c>
      <c r="BA1241" s="84">
        <v>1200.0</v>
      </c>
      <c r="BB1241" s="84" t="b">
        <f>IFERROR(__xludf.DUMMYFUNCTION("iferror(if(A1241="""",,E1241&gt;=FILTER(Constants!$F$2:$F$10,Constants!$A$2:$A$10=A1241)))"),TRUE)</f>
        <v>1</v>
      </c>
    </row>
    <row r="1242">
      <c r="A1242" s="89" t="str">
        <f>IFERROR(__xludf.DUMMYFUNCTION("""COMPUTED_VALUE"""),"Veteran")</f>
        <v>Veteran</v>
      </c>
      <c r="B1242" s="87" t="str">
        <f>IFERROR(__xludf.DUMMYFUNCTION("""COMPUTED_VALUE"""),"RSC006427")</f>
        <v>RSC006427</v>
      </c>
      <c r="C1242" s="73" t="str">
        <f>IFERROR(__xludf.DUMMYFUNCTION("""COMPUTED_VALUE"""),"NukeTech96")</f>
        <v>NukeTech96</v>
      </c>
      <c r="D1242" s="73" t="str">
        <f>IFERROR(__xludf.DUMMYFUNCTION("""COMPUTED_VALUE"""),"Mosaic Maestros")</f>
        <v>Mosaic Maestros</v>
      </c>
      <c r="E1242" s="82">
        <f>IFERROR(__xludf.DUMMYFUNCTION("""COMPUTED_VALUE"""),41.0)</f>
        <v>41</v>
      </c>
      <c r="F1242" s="82">
        <f>IFERROR(__xludf.DUMMYFUNCTION("""COMPUTED_VALUE"""),24.0)</f>
        <v>24</v>
      </c>
      <c r="G1242" s="86">
        <f>IFERROR(__xludf.DUMMYFUNCTION("""COMPUTED_VALUE"""),17.0)</f>
        <v>17</v>
      </c>
      <c r="H1242" s="86">
        <f>IFERROR(__xludf.DUMMYFUNCTION("""COMPUTED_VALUE"""),0.5853658536585366)</f>
        <v>0.5853658537</v>
      </c>
      <c r="I1242" s="86">
        <f>IFERROR(__xludf.DUMMYFUNCTION("""COMPUTED_VALUE"""),0.3277310924369748)</f>
        <v>0.3277310924</v>
      </c>
      <c r="J1242" s="82">
        <f>IFERROR(__xludf.DUMMYFUNCTION("""COMPUTED_VALUE"""),366.5609756097561)</f>
        <v>366.5609756</v>
      </c>
      <c r="K1242" s="82">
        <f>IFERROR(__xludf.DUMMYFUNCTION("""COMPUTED_VALUE"""),0.9512195121951219)</f>
        <v>0.9512195122</v>
      </c>
      <c r="L1242" s="82">
        <f>IFERROR(__xludf.DUMMYFUNCTION("""COMPUTED_VALUE"""),0.5609756097560976)</f>
        <v>0.5609756098</v>
      </c>
      <c r="M1242" s="82">
        <f>IFERROR(__xludf.DUMMYFUNCTION("""COMPUTED_VALUE"""),1.1951219512195121)</f>
        <v>1.195121951</v>
      </c>
      <c r="N1242" s="82">
        <f>IFERROR(__xludf.DUMMYFUNCTION("""COMPUTED_VALUE"""),2.902439024390244)</f>
        <v>2.902439024</v>
      </c>
      <c r="O1242" s="82">
        <f>IFERROR(__xludf.DUMMYFUNCTION("""COMPUTED_VALUE"""),373.6260162601626)</f>
        <v>373.6260163</v>
      </c>
      <c r="P1242" s="82">
        <f>IFERROR(__xludf.DUMMYFUNCTION("""COMPUTED_VALUE"""),0.8211382113821137)</f>
        <v>0.8211382114</v>
      </c>
      <c r="Q1242" s="82">
        <f>IFERROR(__xludf.DUMMYFUNCTION("""COMPUTED_VALUE"""),0.5934959349593496)</f>
        <v>0.593495935</v>
      </c>
      <c r="R1242" s="82">
        <f>IFERROR(__xludf.DUMMYFUNCTION("""COMPUTED_VALUE"""),1.5284552845528456)</f>
        <v>1.528455285</v>
      </c>
      <c r="S1242" s="82">
        <f>IFERROR(__xludf.DUMMYFUNCTION("""COMPUTED_VALUE"""),2.5447154471544726)</f>
        <v>2.544715447</v>
      </c>
      <c r="T1242" s="82">
        <f>IFERROR(__xludf.DUMMYFUNCTION("""COMPUTED_VALUE"""),354.7328716994595)</f>
        <v>354.7328717</v>
      </c>
      <c r="U1242" s="82">
        <f>IFERROR(__xludf.DUMMYFUNCTION("""COMPUTED_VALUE"""),0.787627033659244)</f>
        <v>0.7876270337</v>
      </c>
      <c r="V1242" s="82">
        <f>IFERROR(__xludf.DUMMYFUNCTION("""COMPUTED_VALUE"""),0.5874720298050133)</f>
        <v>0.5874720298</v>
      </c>
      <c r="W1242" s="82">
        <f>IFERROR(__xludf.DUMMYFUNCTION("""COMPUTED_VALUE"""),1.398803885052322)</f>
        <v>1.398803885</v>
      </c>
      <c r="X1242" s="82">
        <f>IFERROR(__xludf.DUMMYFUNCTION("""COMPUTED_VALUE"""),2.609401925083313)</f>
        <v>2.609401925</v>
      </c>
      <c r="Y1242" s="82">
        <f>IFERROR(__xludf.DUMMYFUNCTION("""COMPUTED_VALUE"""),360.12292286351567)</f>
        <v>360.1229229</v>
      </c>
      <c r="Z1242" s="82">
        <f>IFERROR(__xludf.DUMMYFUNCTION("""COMPUTED_VALUE"""),0.825189172922246)</f>
        <v>0.8251891729</v>
      </c>
      <c r="AA1242" s="82">
        <f>IFERROR(__xludf.DUMMYFUNCTION("""COMPUTED_VALUE"""),0.5914069582967146)</f>
        <v>0.5914069583</v>
      </c>
      <c r="AB1242" s="82">
        <f>IFERROR(__xludf.DUMMYFUNCTION("""COMPUTED_VALUE"""),1.3606754530362493)</f>
        <v>1.360675453</v>
      </c>
      <c r="AC1242" s="82">
        <f>IFERROR(__xludf.DUMMYFUNCTION("""COMPUTED_VALUE"""),2.7095831375911015)</f>
        <v>2.709583138</v>
      </c>
      <c r="AD1242" s="82">
        <f>IFERROR(__xludf.DUMMYFUNCTION("""COMPUTED_VALUE"""),1.0178773755778951)</f>
        <v>1.017877376</v>
      </c>
      <c r="AE1242" s="82">
        <f>IFERROR(__xludf.DUMMYFUNCTION("""COMPUTED_VALUE"""),1.1527290267594812)</f>
        <v>1.152729027</v>
      </c>
      <c r="AF1242" s="82">
        <f>IFERROR(__xludf.DUMMYFUNCTION("""COMPUTED_VALUE"""),0.9485441486379176)</f>
        <v>0.9485441486</v>
      </c>
      <c r="AG1242" s="82">
        <f>IFERROR(__xludf.DUMMYFUNCTION("""COMPUTED_VALUE"""),0.8783299122157923)</f>
        <v>0.8783299122</v>
      </c>
      <c r="AH1242" s="82">
        <f>IFERROR(__xludf.DUMMYFUNCTION("""COMPUTED_VALUE"""),1.0711754823550448)</f>
        <v>1.071175482</v>
      </c>
      <c r="AI1242" s="82">
        <f>IFERROR(__xludf.DUMMYFUNCTION("""COMPUTED_VALUE"""),1.053260202445264)</f>
        <v>1.053260202</v>
      </c>
      <c r="AJ1242" s="82">
        <f>IFERROR(__xludf.DUMMYFUNCTION("""COMPUTED_VALUE"""),1.0425470131048953)</f>
        <v>1.042547013</v>
      </c>
      <c r="AK1242" s="82">
        <f>IFERROR(__xludf.DUMMYFUNCTION("""COMPUTED_VALUE"""),1.0102539437602427)</f>
        <v>1.010253944</v>
      </c>
      <c r="AL1242" s="82">
        <f>IFERROR(__xludf.DUMMYFUNCTION("""COMPUTED_VALUE"""),1.092687331573771)</f>
        <v>1.092687332</v>
      </c>
      <c r="AM1242" s="82">
        <f>IFERROR(__xludf.DUMMYFUNCTION("""COMPUTED_VALUE"""),0.9752102283258739)</f>
        <v>0.9752102283</v>
      </c>
      <c r="AN1242" s="82">
        <f>IFERROR(__xludf.DUMMYFUNCTION("""COMPUTED_VALUE"""),1.0603352936237984)</f>
        <v>1.060335294</v>
      </c>
      <c r="AO1242" s="82">
        <f>IFERROR(__xludf.DUMMYFUNCTION("""COMPUTED_VALUE"""),1.2589546637188824)</f>
        <v>1.258954664</v>
      </c>
      <c r="AP1242" s="82">
        <f>IFERROR(__xludf.DUMMYFUNCTION("""COMPUTED_VALUE"""),1.0092074522735988)</f>
        <v>1.009207452</v>
      </c>
      <c r="AQ1242" s="82">
        <f>IFERROR(__xludf.DUMMYFUNCTION("""COMPUTED_VALUE"""),0.883331674040048)</f>
        <v>0.883331674</v>
      </c>
      <c r="AR1242" s="82">
        <f>IFERROR(__xludf.DUMMYFUNCTION("""COMPUTED_VALUE"""),1.138428825304352)</f>
        <v>1.138428825</v>
      </c>
      <c r="AS1242" s="82">
        <f>IFERROR(__xludf.DUMMYFUNCTION("""COMPUTED_VALUE"""),112.0)</f>
        <v>112</v>
      </c>
      <c r="AT1242" s="82">
        <f>IFERROR(__xludf.DUMMYFUNCTION("""COMPUTED_VALUE"""),0.5413762666292917)</f>
        <v>0.5413762666</v>
      </c>
      <c r="AU1242" s="82">
        <f>IFERROR(__xludf.DUMMYFUNCTION("""COMPUTED_VALUE"""),2.173732574954221)</f>
        <v>2.173732575</v>
      </c>
      <c r="AV1242" s="82">
        <f>IFERROR(__xludf.DUMMYFUNCTION("""COMPUTED_VALUE"""),62.92948542105789)</f>
        <v>62.92948542</v>
      </c>
      <c r="AW1242" s="82">
        <f t="shared" si="1"/>
        <v>3.305616187</v>
      </c>
      <c r="AX1242" s="83">
        <f t="array" ref="AX1242">IFERROR(DGET('SBV Import'!A:G,"SBV",{"RSC ID","Tier";B1242,A1242}))</f>
        <v>46.39985072</v>
      </c>
      <c r="AY1242" s="82">
        <f t="shared" si="2"/>
        <v>-2.258621784</v>
      </c>
      <c r="AZ1242" s="82">
        <v>5.5642379707474845</v>
      </c>
      <c r="BA1242" s="84">
        <v>1200.0</v>
      </c>
      <c r="BB1242" s="84" t="b">
        <f>IFERROR(__xludf.DUMMYFUNCTION("iferror(if(A1242="""",,E1242&gt;=FILTER(Constants!$F$2:$F$10,Constants!$A$2:$A$10=A1242)))"),TRUE)</f>
        <v>1</v>
      </c>
    </row>
    <row r="1243">
      <c r="A1243" s="89" t="str">
        <f>IFERROR(__xludf.DUMMYFUNCTION("""COMPUTED_VALUE"""),"Veteran")</f>
        <v>Veteran</v>
      </c>
      <c r="B1243" s="87" t="str">
        <f>IFERROR(__xludf.DUMMYFUNCTION("""COMPUTED_VALUE"""),"RSC007237")</f>
        <v>RSC007237</v>
      </c>
      <c r="C1243" s="73" t="str">
        <f>IFERROR(__xludf.DUMMYFUNCTION("""COMPUTED_VALUE"""),"FuDaah")</f>
        <v>FuDaah</v>
      </c>
      <c r="D1243" s="73" t="str">
        <f>IFERROR(__xludf.DUMMYFUNCTION("""COMPUTED_VALUE"""),"Typhoons")</f>
        <v>Typhoons</v>
      </c>
      <c r="E1243" s="82">
        <f>IFERROR(__xludf.DUMMYFUNCTION("""COMPUTED_VALUE"""),37.0)</f>
        <v>37</v>
      </c>
      <c r="F1243" s="82">
        <f>IFERROR(__xludf.DUMMYFUNCTION("""COMPUTED_VALUE"""),22.0)</f>
        <v>22</v>
      </c>
      <c r="G1243" s="86">
        <f>IFERROR(__xludf.DUMMYFUNCTION("""COMPUTED_VALUE"""),15.0)</f>
        <v>15</v>
      </c>
      <c r="H1243" s="86">
        <f>IFERROR(__xludf.DUMMYFUNCTION("""COMPUTED_VALUE"""),0.5945945945945946)</f>
        <v>0.5945945946</v>
      </c>
      <c r="I1243" s="86">
        <f>IFERROR(__xludf.DUMMYFUNCTION("""COMPUTED_VALUE"""),0.27272727272727276)</f>
        <v>0.2727272727</v>
      </c>
      <c r="J1243" s="82">
        <f>IFERROR(__xludf.DUMMYFUNCTION("""COMPUTED_VALUE"""),347.6756756756757)</f>
        <v>347.6756757</v>
      </c>
      <c r="K1243" s="82">
        <f>IFERROR(__xludf.DUMMYFUNCTION("""COMPUTED_VALUE"""),0.8108108108108109)</f>
        <v>0.8108108108</v>
      </c>
      <c r="L1243" s="82">
        <f>IFERROR(__xludf.DUMMYFUNCTION("""COMPUTED_VALUE"""),0.4594594594594595)</f>
        <v>0.4594594595</v>
      </c>
      <c r="M1243" s="82">
        <f>IFERROR(__xludf.DUMMYFUNCTION("""COMPUTED_VALUE"""),1.4594594594594594)</f>
        <v>1.459459459</v>
      </c>
      <c r="N1243" s="82">
        <f>IFERROR(__xludf.DUMMYFUNCTION("""COMPUTED_VALUE"""),2.972972972972973)</f>
        <v>2.972972973</v>
      </c>
      <c r="O1243" s="82">
        <f>IFERROR(__xludf.DUMMYFUNCTION("""COMPUTED_VALUE"""),339.5945945945946)</f>
        <v>339.5945946</v>
      </c>
      <c r="P1243" s="82">
        <f>IFERROR(__xludf.DUMMYFUNCTION("""COMPUTED_VALUE"""),0.6036036036036035)</f>
        <v>0.6036036036</v>
      </c>
      <c r="Q1243" s="82">
        <f>IFERROR(__xludf.DUMMYFUNCTION("""COMPUTED_VALUE"""),0.4864864864864865)</f>
        <v>0.4864864865</v>
      </c>
      <c r="R1243" s="82">
        <f>IFERROR(__xludf.DUMMYFUNCTION("""COMPUTED_VALUE"""),1.5405405405405408)</f>
        <v>1.540540541</v>
      </c>
      <c r="S1243" s="82">
        <f>IFERROR(__xludf.DUMMYFUNCTION("""COMPUTED_VALUE"""),2.4144144144144146)</f>
        <v>2.414414414</v>
      </c>
      <c r="T1243" s="82">
        <f>IFERROR(__xludf.DUMMYFUNCTION("""COMPUTED_VALUE"""),356.3340545813192)</f>
        <v>356.3340546</v>
      </c>
      <c r="U1243" s="82">
        <f>IFERROR(__xludf.DUMMYFUNCTION("""COMPUTED_VALUE"""),0.7743926140998684)</f>
        <v>0.7743926141</v>
      </c>
      <c r="V1243" s="82">
        <f>IFERROR(__xludf.DUMMYFUNCTION("""COMPUTED_VALUE"""),0.5914607312312855)</f>
        <v>0.5914607312</v>
      </c>
      <c r="W1243" s="82">
        <f>IFERROR(__xludf.DUMMYFUNCTION("""COMPUTED_VALUE"""),1.3623482857946605)</f>
        <v>1.362348286</v>
      </c>
      <c r="X1243" s="82">
        <f>IFERROR(__xludf.DUMMYFUNCTION("""COMPUTED_VALUE"""),2.653639904488299)</f>
        <v>2.653639904</v>
      </c>
      <c r="Y1243" s="82">
        <f>IFERROR(__xludf.DUMMYFUNCTION("""COMPUTED_VALUE"""),352.77679181564764)</f>
        <v>352.7767918</v>
      </c>
      <c r="Z1243" s="82">
        <f>IFERROR(__xludf.DUMMYFUNCTION("""COMPUTED_VALUE"""),0.7405798473939819)</f>
        <v>0.7405798474</v>
      </c>
      <c r="AA1243" s="82">
        <f>IFERROR(__xludf.DUMMYFUNCTION("""COMPUTED_VALUE"""),0.5370452993662251)</f>
        <v>0.5370452994</v>
      </c>
      <c r="AB1243" s="82">
        <f>IFERROR(__xludf.DUMMYFUNCTION("""COMPUTED_VALUE"""),1.4411125133649911)</f>
        <v>1.441112513</v>
      </c>
      <c r="AC1243" s="82">
        <f>IFERROR(__xludf.DUMMYFUNCTION("""COMPUTED_VALUE"""),2.573976703220116)</f>
        <v>2.573976703</v>
      </c>
      <c r="AD1243" s="82">
        <f>IFERROR(__xludf.DUMMYFUNCTION("""COMPUTED_VALUE"""),0.9855401028119852)</f>
        <v>0.9855401028</v>
      </c>
      <c r="AE1243" s="82">
        <f>IFERROR(__xludf.DUMMYFUNCTION("""COMPUTED_VALUE"""),1.0948323987804474)</f>
        <v>1.094832399</v>
      </c>
      <c r="AF1243" s="82">
        <f>IFERROR(__xludf.DUMMYFUNCTION("""COMPUTED_VALUE"""),0.8555320379894846)</f>
        <v>0.855532038</v>
      </c>
      <c r="AG1243" s="82">
        <f>IFERROR(__xludf.DUMMYFUNCTION("""COMPUTED_VALUE"""),1.0127310990115743)</f>
        <v>1.012731099</v>
      </c>
      <c r="AH1243" s="82">
        <f>IFERROR(__xludf.DUMMYFUNCTION("""COMPUTED_VALUE"""),1.1550116087895053)</f>
        <v>1.155011609</v>
      </c>
      <c r="AI1243" s="82">
        <f>IFERROR(__xludf.DUMMYFUNCTION("""COMPUTED_VALUE"""),0.9530231259922857)</f>
        <v>0.953023126</v>
      </c>
      <c r="AJ1243" s="82">
        <f>IFERROR(__xludf.DUMMYFUNCTION("""COMPUTED_VALUE"""),0.7794542362793774)</f>
        <v>0.7794542363</v>
      </c>
      <c r="AK1243" s="82">
        <f>IFERROR(__xludf.DUMMYFUNCTION("""COMPUTED_VALUE"""),0.8225169665511577)</f>
        <v>0.8225169666</v>
      </c>
      <c r="AL1243" s="82">
        <f>IFERROR(__xludf.DUMMYFUNCTION("""COMPUTED_VALUE"""),1.1307978705621085)</f>
        <v>1.130797871</v>
      </c>
      <c r="AM1243" s="82">
        <f>IFERROR(__xludf.DUMMYFUNCTION("""COMPUTED_VALUE"""),0.9098500555145916)</f>
        <v>0.9098500555</v>
      </c>
      <c r="AN1243" s="82">
        <f>IFERROR(__xludf.DUMMYFUNCTION("""COMPUTED_VALUE"""),1.0057065923075537)</f>
        <v>1.005706592</v>
      </c>
      <c r="AO1243" s="82">
        <f>IFERROR(__xludf.DUMMYFUNCTION("""COMPUTED_VALUE"""),1.0731214389287773)</f>
        <v>1.073121439</v>
      </c>
      <c r="AP1243" s="82">
        <f>IFERROR(__xludf.DUMMYFUNCTION("""COMPUTED_VALUE"""),0.8265776665507617)</f>
        <v>0.8265776666</v>
      </c>
      <c r="AQ1243" s="82">
        <f>IFERROR(__xludf.DUMMYFUNCTION("""COMPUTED_VALUE"""),1.0787072952700862)</f>
        <v>1.078707295</v>
      </c>
      <c r="AR1243" s="82">
        <f>IFERROR(__xludf.DUMMYFUNCTION("""COMPUTED_VALUE"""),1.166094481517744)</f>
        <v>1.166094482</v>
      </c>
      <c r="AS1243" s="82">
        <f>IFERROR(__xludf.DUMMYFUNCTION("""COMPUTED_VALUE"""),88.0)</f>
        <v>88</v>
      </c>
      <c r="AT1243" s="82">
        <f>IFERROR(__xludf.DUMMYFUNCTION("""COMPUTED_VALUE"""),0.601397021820141)</f>
        <v>0.6013970218</v>
      </c>
      <c r="AU1243" s="82">
        <f>IFERROR(__xludf.DUMMYFUNCTION("""COMPUTED_VALUE"""),2.1662386023816325)</f>
        <v>2.166238602</v>
      </c>
      <c r="AV1243" s="82">
        <f>IFERROR(__xludf.DUMMYFUNCTION("""COMPUTED_VALUE"""),62.66156021116735)</f>
        <v>62.66156021</v>
      </c>
      <c r="AW1243" s="82">
        <f t="shared" si="1"/>
        <v>3.265135147</v>
      </c>
      <c r="AX1243" s="83">
        <f t="array" ref="AX1243">IFERROR(DGET('SBV Import'!A:G,"SBV",{"RSC ID","Tier";B1243,A1243}))</f>
        <v>49.88971412</v>
      </c>
      <c r="AY1243" s="82">
        <f t="shared" si="2"/>
        <v>-2.007064475</v>
      </c>
      <c r="AZ1243" s="82">
        <v>5.272199621936117</v>
      </c>
      <c r="BA1243" s="84">
        <v>1200.0</v>
      </c>
      <c r="BB1243" s="84" t="b">
        <f>IFERROR(__xludf.DUMMYFUNCTION("iferror(if(A1243="""",,E1243&gt;=FILTER(Constants!$F$2:$F$10,Constants!$A$2:$A$10=A1243)))"),TRUE)</f>
        <v>1</v>
      </c>
    </row>
    <row r="1244">
      <c r="A1244" s="89" t="str">
        <f>IFERROR(__xludf.DUMMYFUNCTION("""COMPUTED_VALUE"""),"Veteran")</f>
        <v>Veteran</v>
      </c>
      <c r="B1244" s="87" t="str">
        <f>IFERROR(__xludf.DUMMYFUNCTION("""COMPUTED_VALUE"""),"RSC003830")</f>
        <v>RSC003830</v>
      </c>
      <c r="C1244" s="73" t="str">
        <f>IFERROR(__xludf.DUMMYFUNCTION("""COMPUTED_VALUE"""),"bradyK-")</f>
        <v>bradyK-</v>
      </c>
      <c r="D1244" s="73" t="str">
        <f>IFERROR(__xludf.DUMMYFUNCTION("""COMPUTED_VALUE"""),"Makos")</f>
        <v>Makos</v>
      </c>
      <c r="E1244" s="82">
        <f>IFERROR(__xludf.DUMMYFUNCTION("""COMPUTED_VALUE"""),48.0)</f>
        <v>48</v>
      </c>
      <c r="F1244" s="82">
        <f>IFERROR(__xludf.DUMMYFUNCTION("""COMPUTED_VALUE"""),26.0)</f>
        <v>26</v>
      </c>
      <c r="G1244" s="86">
        <f>IFERROR(__xludf.DUMMYFUNCTION("""COMPUTED_VALUE"""),22.0)</f>
        <v>22</v>
      </c>
      <c r="H1244" s="86">
        <f>IFERROR(__xludf.DUMMYFUNCTION("""COMPUTED_VALUE"""),0.5416666666666666)</f>
        <v>0.5416666667</v>
      </c>
      <c r="I1244" s="86">
        <f>IFERROR(__xludf.DUMMYFUNCTION("""COMPUTED_VALUE"""),0.325)</f>
        <v>0.325</v>
      </c>
      <c r="J1244" s="82">
        <f>IFERROR(__xludf.DUMMYFUNCTION("""COMPUTED_VALUE"""),342.5)</f>
        <v>342.5</v>
      </c>
      <c r="K1244" s="82">
        <f>IFERROR(__xludf.DUMMYFUNCTION("""COMPUTED_VALUE"""),0.8125)</f>
        <v>0.8125</v>
      </c>
      <c r="L1244" s="82">
        <f>IFERROR(__xludf.DUMMYFUNCTION("""COMPUTED_VALUE"""),0.7291666666666666)</f>
        <v>0.7291666667</v>
      </c>
      <c r="M1244" s="82">
        <f>IFERROR(__xludf.DUMMYFUNCTION("""COMPUTED_VALUE"""),1.0208333333333333)</f>
        <v>1.020833333</v>
      </c>
      <c r="N1244" s="82">
        <f>IFERROR(__xludf.DUMMYFUNCTION("""COMPUTED_VALUE"""),2.5)</f>
        <v>2.5</v>
      </c>
      <c r="O1244" s="82">
        <f>IFERROR(__xludf.DUMMYFUNCTION("""COMPUTED_VALUE"""),367.77083333333326)</f>
        <v>367.7708333</v>
      </c>
      <c r="P1244" s="82">
        <f>IFERROR(__xludf.DUMMYFUNCTION("""COMPUTED_VALUE"""),0.8125)</f>
        <v>0.8125</v>
      </c>
      <c r="Q1244" s="82">
        <f>IFERROR(__xludf.DUMMYFUNCTION("""COMPUTED_VALUE"""),0.5972222222222222)</f>
        <v>0.5972222222</v>
      </c>
      <c r="R1244" s="82">
        <f>IFERROR(__xludf.DUMMYFUNCTION("""COMPUTED_VALUE"""),1.5)</f>
        <v>1.5</v>
      </c>
      <c r="S1244" s="82">
        <f>IFERROR(__xludf.DUMMYFUNCTION("""COMPUTED_VALUE"""),2.631944444444444)</f>
        <v>2.631944444</v>
      </c>
      <c r="T1244" s="82">
        <f>IFERROR(__xludf.DUMMYFUNCTION("""COMPUTED_VALUE"""),362.93268820864847)</f>
        <v>362.9326882</v>
      </c>
      <c r="U1244" s="82">
        <f>IFERROR(__xludf.DUMMYFUNCTION("""COMPUTED_VALUE"""),0.8339007244274196)</f>
        <v>0.8339007244</v>
      </c>
      <c r="V1244" s="82">
        <f>IFERROR(__xludf.DUMMYFUNCTION("""COMPUTED_VALUE"""),0.6303039338250017)</f>
        <v>0.6303039338</v>
      </c>
      <c r="W1244" s="82">
        <f>IFERROR(__xludf.DUMMYFUNCTION("""COMPUTED_VALUE"""),1.3543486080367797)</f>
        <v>1.354348608</v>
      </c>
      <c r="X1244" s="82">
        <f>IFERROR(__xludf.DUMMYFUNCTION("""COMPUTED_VALUE"""),2.8082540582809616)</f>
        <v>2.808254058</v>
      </c>
      <c r="Y1244" s="82">
        <f>IFERROR(__xludf.DUMMYFUNCTION("""COMPUTED_VALUE"""),356.5928303557544)</f>
        <v>356.5928304</v>
      </c>
      <c r="Z1244" s="82">
        <f>IFERROR(__xludf.DUMMYFUNCTION("""COMPUTED_VALUE"""),0.7787220980388376)</f>
        <v>0.778722098</v>
      </c>
      <c r="AA1244" s="82">
        <f>IFERROR(__xludf.DUMMYFUNCTION("""COMPUTED_VALUE"""),0.5868761287695733)</f>
        <v>0.5868761288</v>
      </c>
      <c r="AB1244" s="82">
        <f>IFERROR(__xludf.DUMMYFUNCTION("""COMPUTED_VALUE"""),1.4074477514521024)</f>
        <v>1.407447751</v>
      </c>
      <c r="AC1244" s="82">
        <f>IFERROR(__xludf.DUMMYFUNCTION("""COMPUTED_VALUE"""),2.5914653305614377)</f>
        <v>2.591465331</v>
      </c>
      <c r="AD1244" s="82">
        <f>IFERROR(__xludf.DUMMYFUNCTION("""COMPUTED_VALUE"""),0.9604792100231103)</f>
        <v>0.96047921</v>
      </c>
      <c r="AE1244" s="82">
        <f>IFERROR(__xludf.DUMMYFUNCTION("""COMPUTED_VALUE"""),1.0433760670799377)</f>
        <v>1.043376067</v>
      </c>
      <c r="AF1244" s="82">
        <f>IFERROR(__xludf.DUMMYFUNCTION("""COMPUTED_VALUE"""),1.2424541243403704)</f>
        <v>1.242454124</v>
      </c>
      <c r="AG1244" s="82">
        <f>IFERROR(__xludf.DUMMYFUNCTION("""COMPUTED_VALUE"""),0.7253081560435274)</f>
        <v>0.725308156</v>
      </c>
      <c r="AH1244" s="82">
        <f>IFERROR(__xludf.DUMMYFUNCTION("""COMPUTED_VALUE"""),0.9647051691246736)</f>
        <v>0.9647051691</v>
      </c>
      <c r="AI1244" s="82">
        <f>IFERROR(__xludf.DUMMYFUNCTION("""COMPUTED_VALUE"""),1.013330695420588)</f>
        <v>1.013330695</v>
      </c>
      <c r="AJ1244" s="82">
        <f>IFERROR(__xludf.DUMMYFUNCTION("""COMPUTED_VALUE"""),0.9743366041058258)</f>
        <v>0.9743366041</v>
      </c>
      <c r="AK1244" s="82">
        <f>IFERROR(__xludf.DUMMYFUNCTION("""COMPUTED_VALUE"""),0.9475146674049406)</f>
        <v>0.9475146674</v>
      </c>
      <c r="AL1244" s="82">
        <f>IFERROR(__xludf.DUMMYFUNCTION("""COMPUTED_VALUE"""),1.107543501797777)</f>
        <v>1.107543502</v>
      </c>
      <c r="AM1244" s="82">
        <f>IFERROR(__xludf.DUMMYFUNCTION("""COMPUTED_VALUE"""),0.9372173563440185)</f>
        <v>0.9372173563</v>
      </c>
      <c r="AN1244" s="82">
        <f>IFERROR(__xludf.DUMMYFUNCTION("""COMPUTED_VALUE"""),0.9907351361176518)</f>
        <v>0.9907351361</v>
      </c>
      <c r="AO1244" s="82">
        <f>IFERROR(__xludf.DUMMYFUNCTION("""COMPUTED_VALUE"""),1.075357108593212)</f>
        <v>1.075357109</v>
      </c>
      <c r="AP1244" s="82">
        <f>IFERROR(__xludf.DUMMYFUNCTION("""COMPUTED_VALUE"""),1.311786860518672)</f>
        <v>1.311786861</v>
      </c>
      <c r="AQ1244" s="82">
        <f>IFERROR(__xludf.DUMMYFUNCTION("""COMPUTED_VALUE"""),0.7545124715758743)</f>
        <v>0.7545124716</v>
      </c>
      <c r="AR1244" s="82">
        <f>IFERROR(__xludf.DUMMYFUNCTION("""COMPUTED_VALUE"""),0.9805794503671939)</f>
        <v>0.9805794504</v>
      </c>
      <c r="AS1244" s="82">
        <f>IFERROR(__xludf.DUMMYFUNCTION("""COMPUTED_VALUE"""),118.0)</f>
        <v>118</v>
      </c>
      <c r="AT1244" s="82">
        <f>IFERROR(__xludf.DUMMYFUNCTION("""COMPUTED_VALUE"""),0.5033564368550506)</f>
        <v>0.5033564369</v>
      </c>
      <c r="AU1244" s="82">
        <f>IFERROR(__xludf.DUMMYFUNCTION("""COMPUTED_VALUE"""),2.1494560061449928)</f>
        <v>2.149456006</v>
      </c>
      <c r="AV1244" s="82">
        <f>IFERROR(__xludf.DUMMYFUNCTION("""COMPUTED_VALUE"""),62.061547257336)</f>
        <v>62.06154726</v>
      </c>
      <c r="AW1244" s="82">
        <f t="shared" si="1"/>
        <v>3.177236425</v>
      </c>
      <c r="AX1244" s="83">
        <f t="array" ref="AX1244">IFERROR(DGET('SBV Import'!A:G,"SBV",{"RSC ID","Tier";B1244,A1244}))</f>
        <v>42.53996346</v>
      </c>
      <c r="AY1244" s="82">
        <f t="shared" si="2"/>
        <v>-2.613023818</v>
      </c>
      <c r="AZ1244" s="82">
        <v>5.790260242799478</v>
      </c>
      <c r="BA1244" s="84">
        <v>1200.0</v>
      </c>
      <c r="BB1244" s="84" t="b">
        <f>IFERROR(__xludf.DUMMYFUNCTION("iferror(if(A1244="""",,E1244&gt;=FILTER(Constants!$F$2:$F$10,Constants!$A$2:$A$10=A1244)))"),TRUE)</f>
        <v>1</v>
      </c>
    </row>
    <row r="1245">
      <c r="A1245" s="89" t="str">
        <f>IFERROR(__xludf.DUMMYFUNCTION("""COMPUTED_VALUE"""),"Veteran")</f>
        <v>Veteran</v>
      </c>
      <c r="B1245" s="87" t="str">
        <f>IFERROR(__xludf.DUMMYFUNCTION("""COMPUTED_VALUE"""),"RSC002780")</f>
        <v>RSC002780</v>
      </c>
      <c r="C1245" s="73" t="str">
        <f>IFERROR(__xludf.DUMMYFUNCTION("""COMPUTED_VALUE"""),"Lickadoss77")</f>
        <v>Lickadoss77</v>
      </c>
      <c r="D1245" s="73" t="str">
        <f>IFERROR(__xludf.DUMMYFUNCTION("""COMPUTED_VALUE"""),"Water")</f>
        <v>Water</v>
      </c>
      <c r="E1245" s="82">
        <f>IFERROR(__xludf.DUMMYFUNCTION("""COMPUTED_VALUE"""),46.0)</f>
        <v>46</v>
      </c>
      <c r="F1245" s="82">
        <f>IFERROR(__xludf.DUMMYFUNCTION("""COMPUTED_VALUE"""),26.0)</f>
        <v>26</v>
      </c>
      <c r="G1245" s="86">
        <f>IFERROR(__xludf.DUMMYFUNCTION("""COMPUTED_VALUE"""),20.0)</f>
        <v>20</v>
      </c>
      <c r="H1245" s="86">
        <f>IFERROR(__xludf.DUMMYFUNCTION("""COMPUTED_VALUE"""),0.5652173913043478)</f>
        <v>0.5652173913</v>
      </c>
      <c r="I1245" s="86">
        <f>IFERROR(__xludf.DUMMYFUNCTION("""COMPUTED_VALUE"""),0.3050847457627119)</f>
        <v>0.3050847458</v>
      </c>
      <c r="J1245" s="82">
        <f>IFERROR(__xludf.DUMMYFUNCTION("""COMPUTED_VALUE"""),337.7608695652174)</f>
        <v>337.7608696</v>
      </c>
      <c r="K1245" s="82">
        <f>IFERROR(__xludf.DUMMYFUNCTION("""COMPUTED_VALUE"""),0.782608695652174)</f>
        <v>0.7826086957</v>
      </c>
      <c r="L1245" s="82">
        <f>IFERROR(__xludf.DUMMYFUNCTION("""COMPUTED_VALUE"""),0.6739130434782609)</f>
        <v>0.6739130435</v>
      </c>
      <c r="M1245" s="82">
        <f>IFERROR(__xludf.DUMMYFUNCTION("""COMPUTED_VALUE"""),1.065217391304348)</f>
        <v>1.065217391</v>
      </c>
      <c r="N1245" s="82">
        <f>IFERROR(__xludf.DUMMYFUNCTION("""COMPUTED_VALUE"""),2.5652173913043477)</f>
        <v>2.565217391</v>
      </c>
      <c r="O1245" s="82">
        <f>IFERROR(__xludf.DUMMYFUNCTION("""COMPUTED_VALUE"""),323.6811594202898)</f>
        <v>323.6811594</v>
      </c>
      <c r="P1245" s="82">
        <f>IFERROR(__xludf.DUMMYFUNCTION("""COMPUTED_VALUE"""),0.6666666666666665)</f>
        <v>0.6666666667</v>
      </c>
      <c r="Q1245" s="82">
        <f>IFERROR(__xludf.DUMMYFUNCTION("""COMPUTED_VALUE"""),0.4782608695652174)</f>
        <v>0.4782608696</v>
      </c>
      <c r="R1245" s="82">
        <f>IFERROR(__xludf.DUMMYFUNCTION("""COMPUTED_VALUE"""),1.2028985507246375)</f>
        <v>1.202898551</v>
      </c>
      <c r="S1245" s="82">
        <f>IFERROR(__xludf.DUMMYFUNCTION("""COMPUTED_VALUE"""),2.41304347826087)</f>
        <v>2.413043478</v>
      </c>
      <c r="T1245" s="82">
        <f>IFERROR(__xludf.DUMMYFUNCTION("""COMPUTED_VALUE"""),353.97539983439196)</f>
        <v>353.9753998</v>
      </c>
      <c r="U1245" s="82">
        <f>IFERROR(__xludf.DUMMYFUNCTION("""COMPUTED_VALUE"""),0.8103283969211373)</f>
        <v>0.8103283969</v>
      </c>
      <c r="V1245" s="82">
        <f>IFERROR(__xludf.DUMMYFUNCTION("""COMPUTED_VALUE"""),0.5856755965649707)</f>
        <v>0.5856755966</v>
      </c>
      <c r="W1245" s="82">
        <f>IFERROR(__xludf.DUMMYFUNCTION("""COMPUTED_VALUE"""),1.2957487871138462)</f>
        <v>1.295748787</v>
      </c>
      <c r="X1245" s="82">
        <f>IFERROR(__xludf.DUMMYFUNCTION("""COMPUTED_VALUE"""),2.6147075418602084)</f>
        <v>2.614707542</v>
      </c>
      <c r="Y1245" s="82">
        <f>IFERROR(__xludf.DUMMYFUNCTION("""COMPUTED_VALUE"""),360.47441101568336)</f>
        <v>360.474411</v>
      </c>
      <c r="Z1245" s="82">
        <f>IFERROR(__xludf.DUMMYFUNCTION("""COMPUTED_VALUE"""),0.8169732757776245)</f>
        <v>0.8169732758</v>
      </c>
      <c r="AA1245" s="82">
        <f>IFERROR(__xludf.DUMMYFUNCTION("""COMPUTED_VALUE"""),0.5952157861808987)</f>
        <v>0.5952157862</v>
      </c>
      <c r="AB1245" s="82">
        <f>IFERROR(__xludf.DUMMYFUNCTION("""COMPUTED_VALUE"""),1.361538442347799)</f>
        <v>1.361538442</v>
      </c>
      <c r="AC1245" s="82">
        <f>IFERROR(__xludf.DUMMYFUNCTION("""COMPUTED_VALUE"""),2.6797689396293625)</f>
        <v>2.67976894</v>
      </c>
      <c r="AD1245" s="82">
        <f>IFERROR(__xludf.DUMMYFUNCTION("""COMPUTED_VALUE"""),0.9369898645885358)</f>
        <v>0.9369898646</v>
      </c>
      <c r="AE1245" s="82">
        <f>IFERROR(__xludf.DUMMYFUNCTION("""COMPUTED_VALUE"""),0.9579367145238122)</f>
        <v>0.9579367145</v>
      </c>
      <c r="AF1245" s="82">
        <f>IFERROR(__xludf.DUMMYFUNCTION("""COMPUTED_VALUE"""),1.1322163476246319)</f>
        <v>1.132216348</v>
      </c>
      <c r="AG1245" s="82">
        <f>IFERROR(__xludf.DUMMYFUNCTION("""COMPUTED_VALUE"""),0.7823630667875353)</f>
        <v>0.7823630668</v>
      </c>
      <c r="AH1245" s="82">
        <f>IFERROR(__xludf.DUMMYFUNCTION("""COMPUTED_VALUE"""),0.9572531994714222)</f>
        <v>0.9572531995</v>
      </c>
      <c r="AI1245" s="82">
        <f>IFERROR(__xludf.DUMMYFUNCTION("""COMPUTED_VALUE"""),0.9144171023515324)</f>
        <v>0.9144171024</v>
      </c>
      <c r="AJ1245" s="82">
        <f>IFERROR(__xludf.DUMMYFUNCTION("""COMPUTED_VALUE"""),0.8227117168788394)</f>
        <v>0.8227117169</v>
      </c>
      <c r="AK1245" s="82">
        <f>IFERROR(__xludf.DUMMYFUNCTION("""COMPUTED_VALUE"""),0.8165968880558652)</f>
        <v>0.8165968881</v>
      </c>
      <c r="AL1245" s="82">
        <f>IFERROR(__xludf.DUMMYFUNCTION("""COMPUTED_VALUE"""),0.9283424091825518)</f>
        <v>0.9283424092</v>
      </c>
      <c r="AM1245" s="82">
        <f>IFERROR(__xludf.DUMMYFUNCTION("""COMPUTED_VALUE"""),0.9228731854822025)</f>
        <v>0.9228731855</v>
      </c>
      <c r="AN1245" s="82">
        <f>IFERROR(__xludf.DUMMYFUNCTION("""COMPUTED_VALUE"""),0.9770264557194515)</f>
        <v>0.9770264557</v>
      </c>
      <c r="AO1245" s="82">
        <f>IFERROR(__xludf.DUMMYFUNCTION("""COMPUTED_VALUE"""),1.0357954758356025)</f>
        <v>1.035795476</v>
      </c>
      <c r="AP1245" s="82">
        <f>IFERROR(__xludf.DUMMYFUNCTION("""COMPUTED_VALUE"""),1.2123843779203627)</f>
        <v>1.212384378</v>
      </c>
      <c r="AQ1245" s="82">
        <f>IFERROR(__xludf.DUMMYFUNCTION("""COMPUTED_VALUE"""),0.7873173616443906)</f>
        <v>0.7873173616</v>
      </c>
      <c r="AR1245" s="82">
        <f>IFERROR(__xludf.DUMMYFUNCTION("""COMPUTED_VALUE"""),1.0061597838550336)</f>
        <v>1.006159784</v>
      </c>
      <c r="AS1245" s="82">
        <f>IFERROR(__xludf.DUMMYFUNCTION("""COMPUTED_VALUE"""),126.0)</f>
        <v>126</v>
      </c>
      <c r="AT1245" s="82">
        <f>IFERROR(__xludf.DUMMYFUNCTION("""COMPUTED_VALUE"""),0.620463310273615)</f>
        <v>0.6204633103</v>
      </c>
      <c r="AU1245" s="82">
        <f>IFERROR(__xludf.DUMMYFUNCTION("""COMPUTED_VALUE"""),2.1475403487495814)</f>
        <v>2.147540349</v>
      </c>
      <c r="AV1245" s="82">
        <f>IFERROR(__xludf.DUMMYFUNCTION("""COMPUTED_VALUE"""),61.993058494563996)</f>
        <v>61.99305849</v>
      </c>
      <c r="AW1245" s="82">
        <f t="shared" si="1"/>
        <v>3.167439529</v>
      </c>
      <c r="AX1245" s="83">
        <f t="array" ref="AX1245">IFERROR(DGET('SBV Import'!A:G,"SBV",{"RSC ID","Tier";B1245,A1245}))</f>
        <v>46.3948122</v>
      </c>
      <c r="AY1245" s="82">
        <f t="shared" si="2"/>
        <v>-2.259027786</v>
      </c>
      <c r="AZ1245" s="82">
        <v>5.426467315083027</v>
      </c>
      <c r="BA1245" s="84">
        <v>1200.0</v>
      </c>
      <c r="BB1245" s="84" t="b">
        <f>IFERROR(__xludf.DUMMYFUNCTION("iferror(if(A1245="""",,E1245&gt;=FILTER(Constants!$F$2:$F$10,Constants!$A$2:$A$10=A1245)))"),TRUE)</f>
        <v>1</v>
      </c>
    </row>
    <row r="1246">
      <c r="A1246" s="89" t="str">
        <f>IFERROR(__xludf.DUMMYFUNCTION("""COMPUTED_VALUE"""),"Veteran")</f>
        <v>Veteran</v>
      </c>
      <c r="B1246" s="87" t="str">
        <f>IFERROR(__xludf.DUMMYFUNCTION("""COMPUTED_VALUE"""),"RSC007954")</f>
        <v>RSC007954</v>
      </c>
      <c r="C1246" s="73" t="str">
        <f>IFERROR(__xludf.DUMMYFUNCTION("""COMPUTED_VALUE"""),"Killer")</f>
        <v>Killer</v>
      </c>
      <c r="D1246" s="73" t="str">
        <f>IFERROR(__xludf.DUMMYFUNCTION("""COMPUTED_VALUE"""),"Makos")</f>
        <v>Makos</v>
      </c>
      <c r="E1246" s="82">
        <f>IFERROR(__xludf.DUMMYFUNCTION("""COMPUTED_VALUE"""),44.0)</f>
        <v>44</v>
      </c>
      <c r="F1246" s="82">
        <f>IFERROR(__xludf.DUMMYFUNCTION("""COMPUTED_VALUE"""),23.0)</f>
        <v>23</v>
      </c>
      <c r="G1246" s="86">
        <f>IFERROR(__xludf.DUMMYFUNCTION("""COMPUTED_VALUE"""),21.0)</f>
        <v>21</v>
      </c>
      <c r="H1246" s="86">
        <f>IFERROR(__xludf.DUMMYFUNCTION("""COMPUTED_VALUE"""),0.5227272727272727)</f>
        <v>0.5227272727</v>
      </c>
      <c r="I1246" s="86">
        <f>IFERROR(__xludf.DUMMYFUNCTION("""COMPUTED_VALUE"""),0.2248062015503876)</f>
        <v>0.2248062016</v>
      </c>
      <c r="J1246" s="82">
        <f>IFERROR(__xludf.DUMMYFUNCTION("""COMPUTED_VALUE"""),386.45454545454544)</f>
        <v>386.4545455</v>
      </c>
      <c r="K1246" s="82">
        <f>IFERROR(__xludf.DUMMYFUNCTION("""COMPUTED_VALUE"""),0.6590909090909091)</f>
        <v>0.6590909091</v>
      </c>
      <c r="L1246" s="82">
        <f>IFERROR(__xludf.DUMMYFUNCTION("""COMPUTED_VALUE"""),0.6818181818181818)</f>
        <v>0.6818181818</v>
      </c>
      <c r="M1246" s="82">
        <f>IFERROR(__xludf.DUMMYFUNCTION("""COMPUTED_VALUE"""),1.6363636363636365)</f>
        <v>1.636363636</v>
      </c>
      <c r="N1246" s="82">
        <f>IFERROR(__xludf.DUMMYFUNCTION("""COMPUTED_VALUE"""),2.9318181818181817)</f>
        <v>2.931818182</v>
      </c>
      <c r="O1246" s="82">
        <f>IFERROR(__xludf.DUMMYFUNCTION("""COMPUTED_VALUE"""),364.96969696969694)</f>
        <v>364.969697</v>
      </c>
      <c r="P1246" s="82">
        <f>IFERROR(__xludf.DUMMYFUNCTION("""COMPUTED_VALUE"""),0.8030303030303031)</f>
        <v>0.803030303</v>
      </c>
      <c r="Q1246" s="82">
        <f>IFERROR(__xludf.DUMMYFUNCTION("""COMPUTED_VALUE"""),0.5909090909090909)</f>
        <v>0.5909090909</v>
      </c>
      <c r="R1246" s="82">
        <f>IFERROR(__xludf.DUMMYFUNCTION("""COMPUTED_VALUE"""),1.4696969696969702)</f>
        <v>1.46969697</v>
      </c>
      <c r="S1246" s="82">
        <f>IFERROR(__xludf.DUMMYFUNCTION("""COMPUTED_VALUE"""),2.5909090909090904)</f>
        <v>2.590909091</v>
      </c>
      <c r="T1246" s="82">
        <f>IFERROR(__xludf.DUMMYFUNCTION("""COMPUTED_VALUE"""),362.9186638165492)</f>
        <v>362.9186638</v>
      </c>
      <c r="U1246" s="82">
        <f>IFERROR(__xludf.DUMMYFUNCTION("""COMPUTED_VALUE"""),0.8505726807520002)</f>
        <v>0.8505726808</v>
      </c>
      <c r="V1246" s="82">
        <f>IFERROR(__xludf.DUMMYFUNCTION("""COMPUTED_VALUE"""),0.6112858781705214)</f>
        <v>0.6112858782</v>
      </c>
      <c r="W1246" s="82">
        <f>IFERROR(__xludf.DUMMYFUNCTION("""COMPUTED_VALUE"""),1.3438405425280342)</f>
        <v>1.343840543</v>
      </c>
      <c r="X1246" s="82">
        <f>IFERROR(__xludf.DUMMYFUNCTION("""COMPUTED_VALUE"""),2.791508077110549)</f>
        <v>2.791508077</v>
      </c>
      <c r="Y1246" s="82">
        <f>IFERROR(__xludf.DUMMYFUNCTION("""COMPUTED_VALUE"""),357.21153191535416)</f>
        <v>357.2115319</v>
      </c>
      <c r="Z1246" s="82">
        <f>IFERROR(__xludf.DUMMYFUNCTION("""COMPUTED_VALUE"""),0.7721194386467907)</f>
        <v>0.7721194386</v>
      </c>
      <c r="AA1246" s="82">
        <f>IFERROR(__xludf.DUMMYFUNCTION("""COMPUTED_VALUE"""),0.5843762091295319)</f>
        <v>0.5843762091</v>
      </c>
      <c r="AB1246" s="82">
        <f>IFERROR(__xludf.DUMMYFUNCTION("""COMPUTED_VALUE"""),1.4235980004565023)</f>
        <v>1.423598</v>
      </c>
      <c r="AC1246" s="82">
        <f>IFERROR(__xludf.DUMMYFUNCTION("""COMPUTED_VALUE"""),2.5732043775147555)</f>
        <v>2.573204378</v>
      </c>
      <c r="AD1246" s="82">
        <f>IFERROR(__xludf.DUMMYFUNCTION("""COMPUTED_VALUE"""),1.0818646961994518)</f>
        <v>1.081864696</v>
      </c>
      <c r="AE1246" s="82">
        <f>IFERROR(__xludf.DUMMYFUNCTION("""COMPUTED_VALUE"""),0.8536126356901798)</f>
        <v>0.8536126357</v>
      </c>
      <c r="AF1246" s="82">
        <f>IFERROR(__xludf.DUMMYFUNCTION("""COMPUTED_VALUE"""),1.1667452767007682)</f>
        <v>1.166745277</v>
      </c>
      <c r="AG1246" s="82">
        <f>IFERROR(__xludf.DUMMYFUNCTION("""COMPUTED_VALUE"""),1.1494562621181732)</f>
        <v>1.149456262</v>
      </c>
      <c r="AH1246" s="82">
        <f>IFERROR(__xludf.DUMMYFUNCTION("""COMPUTED_VALUE"""),1.1393646798665023)</f>
        <v>1.13936468</v>
      </c>
      <c r="AI1246" s="82">
        <f>IFERROR(__xludf.DUMMYFUNCTION("""COMPUTED_VALUE"""),1.005651495383507)</f>
        <v>1.005651495</v>
      </c>
      <c r="AJ1246" s="82">
        <f>IFERROR(__xludf.DUMMYFUNCTION("""COMPUTED_VALUE"""),0.9441054494253631)</f>
        <v>0.9441054494</v>
      </c>
      <c r="AK1246" s="82">
        <f>IFERROR(__xludf.DUMMYFUNCTION("""COMPUTED_VALUE"""),0.9666656993248154)</f>
        <v>0.9666656993</v>
      </c>
      <c r="AL1246" s="82">
        <f>IFERROR(__xludf.DUMMYFUNCTION("""COMPUTED_VALUE"""),1.0936542864915912)</f>
        <v>1.093654286</v>
      </c>
      <c r="AM1246" s="82">
        <f>IFERROR(__xludf.DUMMYFUNCTION("""COMPUTED_VALUE"""),0.9281395644718694)</f>
        <v>0.9281395645</v>
      </c>
      <c r="AN1246" s="82">
        <f>IFERROR(__xludf.DUMMYFUNCTION("""COMPUTED_VALUE"""),1.1178805742896185)</f>
        <v>1.117880574</v>
      </c>
      <c r="AO1246" s="82">
        <f>IFERROR(__xludf.DUMMYFUNCTION("""COMPUTED_VALUE"""),0.8723176545231651)</f>
        <v>0.8723176545</v>
      </c>
      <c r="AP1246" s="82">
        <f>IFERROR(__xludf.DUMMYFUNCTION("""COMPUTED_VALUE"""),1.226605895549927)</f>
        <v>1.226605896</v>
      </c>
      <c r="AQ1246" s="82">
        <f>IFERROR(__xludf.DUMMYFUNCTION("""COMPUTED_VALUE"""),1.2094596946967633)</f>
        <v>1.209459695</v>
      </c>
      <c r="AR1246" s="82">
        <f>IFERROR(__xludf.DUMMYFUNCTION("""COMPUTED_VALUE"""),1.1499522645215272)</f>
        <v>1.149952265</v>
      </c>
      <c r="AS1246" s="82">
        <f>IFERROR(__xludf.DUMMYFUNCTION("""COMPUTED_VALUE"""),104.0)</f>
        <v>104</v>
      </c>
      <c r="AT1246" s="82">
        <f>IFERROR(__xludf.DUMMYFUNCTION("""COMPUTED_VALUE"""),0.4925429397413972)</f>
        <v>0.4925429397</v>
      </c>
      <c r="AU1246" s="82">
        <f>IFERROR(__xludf.DUMMYFUNCTION("""COMPUTED_VALUE"""),2.1370938893157643)</f>
        <v>2.137093889</v>
      </c>
      <c r="AV1246" s="82">
        <f>IFERROR(__xludf.DUMMYFUNCTION("""COMPUTED_VALUE"""),61.619575697648486)</f>
        <v>61.6195757</v>
      </c>
      <c r="AW1246" s="82">
        <f t="shared" si="1"/>
        <v>3.114843454</v>
      </c>
      <c r="AX1246" s="83">
        <f t="array" ref="AX1246">IFERROR(DGET('SBV Import'!A:G,"SBV",{"RSC ID","Tier";B1246,A1246}))</f>
        <v>61.2551753</v>
      </c>
      <c r="AY1246" s="82">
        <f t="shared" si="2"/>
        <v>3.064846728</v>
      </c>
      <c r="AZ1246" s="82">
        <v>0.04999672552214074</v>
      </c>
      <c r="BA1246" s="84">
        <v>1200.0</v>
      </c>
      <c r="BB1246" s="84" t="b">
        <f>IFERROR(__xludf.DUMMYFUNCTION("iferror(if(A1246="""",,E1246&gt;=FILTER(Constants!$F$2:$F$10,Constants!$A$2:$A$10=A1246)))"),TRUE)</f>
        <v>1</v>
      </c>
    </row>
    <row r="1247">
      <c r="A1247" s="89" t="str">
        <f>IFERROR(__xludf.DUMMYFUNCTION("""COMPUTED_VALUE"""),"Veteran")</f>
        <v>Veteran</v>
      </c>
      <c r="B1247" s="87" t="str">
        <f>IFERROR(__xludf.DUMMYFUNCTION("""COMPUTED_VALUE"""),"RSC005355")</f>
        <v>RSC005355</v>
      </c>
      <c r="C1247" s="73" t="str">
        <f>IFERROR(__xludf.DUMMYFUNCTION("""COMPUTED_VALUE"""),"Armando")</f>
        <v>Armando</v>
      </c>
      <c r="D1247" s="73" t="str">
        <f>IFERROR(__xludf.DUMMYFUNCTION("""COMPUTED_VALUE"""),"Gorillas")</f>
        <v>Gorillas</v>
      </c>
      <c r="E1247" s="82">
        <f>IFERROR(__xludf.DUMMYFUNCTION("""COMPUTED_VALUE"""),2.0)</f>
        <v>2</v>
      </c>
      <c r="F1247" s="82">
        <f>IFERROR(__xludf.DUMMYFUNCTION("""COMPUTED_VALUE"""),0.0)</f>
        <v>0</v>
      </c>
      <c r="G1247" s="86">
        <f>IFERROR(__xludf.DUMMYFUNCTION("""COMPUTED_VALUE"""),2.0)</f>
        <v>2</v>
      </c>
      <c r="H1247" s="86">
        <f>IFERROR(__xludf.DUMMYFUNCTION("""COMPUTED_VALUE"""),0.0)</f>
        <v>0</v>
      </c>
      <c r="I1247" s="86">
        <f>IFERROR(__xludf.DUMMYFUNCTION("""COMPUTED_VALUE"""),0.5)</f>
        <v>0.5</v>
      </c>
      <c r="J1247" s="82">
        <f>IFERROR(__xludf.DUMMYFUNCTION("""COMPUTED_VALUE"""),354.0)</f>
        <v>354</v>
      </c>
      <c r="K1247" s="82">
        <f>IFERROR(__xludf.DUMMYFUNCTION("""COMPUTED_VALUE"""),0.5)</f>
        <v>0.5</v>
      </c>
      <c r="L1247" s="82">
        <f>IFERROR(__xludf.DUMMYFUNCTION("""COMPUTED_VALUE"""),1.5)</f>
        <v>1.5</v>
      </c>
      <c r="M1247" s="82">
        <f>IFERROR(__xludf.DUMMYFUNCTION("""COMPUTED_VALUE"""),1.5)</f>
        <v>1.5</v>
      </c>
      <c r="N1247" s="82">
        <f>IFERROR(__xludf.DUMMYFUNCTION("""COMPUTED_VALUE"""),1.0)</f>
        <v>1</v>
      </c>
      <c r="O1247" s="82">
        <f>IFERROR(__xludf.DUMMYFUNCTION("""COMPUTED_VALUE"""),408.33333333333337)</f>
        <v>408.3333333</v>
      </c>
      <c r="P1247" s="82">
        <f>IFERROR(__xludf.DUMMYFUNCTION("""COMPUTED_VALUE"""),1.3333333333333333)</f>
        <v>1.333333333</v>
      </c>
      <c r="Q1247" s="82">
        <f>IFERROR(__xludf.DUMMYFUNCTION("""COMPUTED_VALUE"""),0.6666666666666666)</f>
        <v>0.6666666667</v>
      </c>
      <c r="R1247" s="82">
        <f>IFERROR(__xludf.DUMMYFUNCTION("""COMPUTED_VALUE"""),1.1666666666666665)</f>
        <v>1.166666667</v>
      </c>
      <c r="S1247" s="82">
        <f>IFERROR(__xludf.DUMMYFUNCTION("""COMPUTED_VALUE"""),3.1666666666666665)</f>
        <v>3.166666667</v>
      </c>
      <c r="T1247" s="82">
        <f>IFERROR(__xludf.DUMMYFUNCTION("""COMPUTED_VALUE"""),355.0816561242093)</f>
        <v>355.0816561</v>
      </c>
      <c r="U1247" s="82">
        <f>IFERROR(__xludf.DUMMYFUNCTION("""COMPUTED_VALUE"""),0.8029518880582711)</f>
        <v>0.8029518881</v>
      </c>
      <c r="V1247" s="82">
        <f>IFERROR(__xludf.DUMMYFUNCTION("""COMPUTED_VALUE"""),0.53383170404447)</f>
        <v>0.533831704</v>
      </c>
      <c r="W1247" s="82">
        <f>IFERROR(__xludf.DUMMYFUNCTION("""COMPUTED_VALUE"""),1.4075138968755987)</f>
        <v>1.407513897</v>
      </c>
      <c r="X1247" s="82">
        <f>IFERROR(__xludf.DUMMYFUNCTION("""COMPUTED_VALUE"""),2.9072263753114815)</f>
        <v>2.907226375</v>
      </c>
      <c r="Y1247" s="82">
        <f>IFERROR(__xludf.DUMMYFUNCTION("""COMPUTED_VALUE"""),335.77534981790296)</f>
        <v>335.7753498</v>
      </c>
      <c r="Z1247" s="82">
        <f>IFERROR(__xludf.DUMMYFUNCTION("""COMPUTED_VALUE"""),0.6027090920707942)</f>
        <v>0.6027090921</v>
      </c>
      <c r="AA1247" s="82">
        <f>IFERROR(__xludf.DUMMYFUNCTION("""COMPUTED_VALUE"""),0.4850808255063574)</f>
        <v>0.4850808255</v>
      </c>
      <c r="AB1247" s="82">
        <f>IFERROR(__xludf.DUMMYFUNCTION("""COMPUTED_VALUE"""),1.4930036419398123)</f>
        <v>1.493003642</v>
      </c>
      <c r="AC1247" s="82">
        <f>IFERROR(__xludf.DUMMYFUNCTION("""COMPUTED_VALUE"""),2.2927608459523356)</f>
        <v>2.292760846</v>
      </c>
      <c r="AD1247" s="82">
        <f>IFERROR(__xludf.DUMMYFUNCTION("""COMPUTED_VALUE"""),1.0542763195451381)</f>
        <v>1.05427632</v>
      </c>
      <c r="AE1247" s="82">
        <f>IFERROR(__xludf.DUMMYFUNCTION("""COMPUTED_VALUE"""),0.8295876179370296)</f>
        <v>0.8295876179</v>
      </c>
      <c r="AF1247" s="82">
        <f>IFERROR(__xludf.DUMMYFUNCTION("""COMPUTED_VALUE"""),3.0922681770284512)</f>
        <v>3.092268177</v>
      </c>
      <c r="AG1247" s="82">
        <f>IFERROR(__xludf.DUMMYFUNCTION("""COMPUTED_VALUE"""),1.0046860957760944)</f>
        <v>1.004686096</v>
      </c>
      <c r="AH1247" s="82">
        <f>IFERROR(__xludf.DUMMYFUNCTION("""COMPUTED_VALUE"""),0.43615538958867456)</f>
        <v>0.4361553896</v>
      </c>
      <c r="AI1247" s="82">
        <f>IFERROR(__xludf.DUMMYFUNCTION("""COMPUTED_VALUE"""),1.149970228792941)</f>
        <v>1.149970229</v>
      </c>
      <c r="AJ1247" s="82">
        <f>IFERROR(__xludf.DUMMYFUNCTION("""COMPUTED_VALUE"""),1.6605395082358556)</f>
        <v>1.660539508</v>
      </c>
      <c r="AK1247" s="82">
        <f>IFERROR(__xludf.DUMMYFUNCTION("""COMPUTED_VALUE"""),1.2488330341113105)</f>
        <v>1.248833034</v>
      </c>
      <c r="AL1247" s="82">
        <f>IFERROR(__xludf.DUMMYFUNCTION("""COMPUTED_VALUE"""),0.8288846520495711)</f>
        <v>0.828884652</v>
      </c>
      <c r="AM1247" s="82">
        <f>IFERROR(__xludf.DUMMYFUNCTION("""COMPUTED_VALUE"""),1.08923979692754)</f>
        <v>1.089239797</v>
      </c>
      <c r="AN1247" s="82">
        <f>IFERROR(__xludf.DUMMYFUNCTION("""COMPUTED_VALUE"""),1.0240006954325511)</f>
        <v>1.024000695</v>
      </c>
      <c r="AO1247" s="82">
        <f>IFERROR(__xludf.DUMMYFUNCTION("""COMPUTED_VALUE"""),0.6617582206727459)</f>
        <v>0.6617582207</v>
      </c>
      <c r="AP1247" s="82">
        <f>IFERROR(__xludf.DUMMYFUNCTION("""COMPUTED_VALUE"""),2.6985329702098397)</f>
        <v>2.69853297</v>
      </c>
      <c r="AQ1247" s="82">
        <f>IFERROR(__xludf.DUMMYFUNCTION("""COMPUTED_VALUE"""),1.1086713868053664)</f>
        <v>1.108671387</v>
      </c>
      <c r="AR1247" s="82">
        <f>IFERROR(__xludf.DUMMYFUNCTION("""COMPUTED_VALUE"""),0.39223178014687754)</f>
        <v>0.3922317801</v>
      </c>
      <c r="AS1247" s="82">
        <f>IFERROR(__xludf.DUMMYFUNCTION("""COMPUTED_VALUE"""),4.0)</f>
        <v>4</v>
      </c>
      <c r="AT1247" s="82">
        <f>IFERROR(__xludf.DUMMYFUNCTION("""COMPUTED_VALUE"""),0.23881437916311218)</f>
        <v>0.2388143792</v>
      </c>
      <c r="AU1247" s="82">
        <f>IFERROR(__xludf.DUMMYFUNCTION("""COMPUTED_VALUE"""),2.127829731296133)</f>
        <v>2.127829731</v>
      </c>
      <c r="AV1247" s="82">
        <f>IFERROR(__xludf.DUMMYFUNCTION("""COMPUTED_VALUE"""),61.28836265172037)</f>
        <v>61.28836265</v>
      </c>
      <c r="AW1247" s="82">
        <f t="shared" si="1"/>
        <v>3.069347166</v>
      </c>
      <c r="AX1247" s="83">
        <f t="array" ref="AX1247">IFERROR(DGET('SBV Import'!A:G,"SBV",{"RSC ID","Tier";B1247,A1247}))</f>
        <v>54.04323138</v>
      </c>
      <c r="AY1247" s="82">
        <f t="shared" si="2"/>
        <v>2.294843658</v>
      </c>
      <c r="AZ1247" s="82">
        <v>0.77450350863703</v>
      </c>
      <c r="BA1247" s="84">
        <v>1200.0</v>
      </c>
      <c r="BB1247" s="84" t="b">
        <f>IFERROR(__xludf.DUMMYFUNCTION("iferror(if(A1247="""",,E1247&gt;=FILTER(Constants!$F$2:$F$10,Constants!$A$2:$A$10=A1247)))"),TRUE)</f>
        <v>1</v>
      </c>
    </row>
    <row r="1248">
      <c r="A1248" s="89" t="str">
        <f>IFERROR(__xludf.DUMMYFUNCTION("""COMPUTED_VALUE"""),"Veteran")</f>
        <v>Veteran</v>
      </c>
      <c r="B1248" s="87" t="str">
        <f>IFERROR(__xludf.DUMMYFUNCTION("""COMPUTED_VALUE"""),"RSC006992")</f>
        <v>RSC006992</v>
      </c>
      <c r="C1248" s="73" t="str">
        <f>IFERROR(__xludf.DUMMYFUNCTION("""COMPUTED_VALUE"""),"Dxso.")</f>
        <v>Dxso.</v>
      </c>
      <c r="D1248" s="73" t="str">
        <f>IFERROR(__xludf.DUMMYFUNCTION("""COMPUTED_VALUE"""),"Kirin")</f>
        <v>Kirin</v>
      </c>
      <c r="E1248" s="82">
        <f>IFERROR(__xludf.DUMMYFUNCTION("""COMPUTED_VALUE"""),28.0)</f>
        <v>28</v>
      </c>
      <c r="F1248" s="82">
        <f>IFERROR(__xludf.DUMMYFUNCTION("""COMPUTED_VALUE"""),13.0)</f>
        <v>13</v>
      </c>
      <c r="G1248" s="86">
        <f>IFERROR(__xludf.DUMMYFUNCTION("""COMPUTED_VALUE"""),15.0)</f>
        <v>15</v>
      </c>
      <c r="H1248" s="86">
        <f>IFERROR(__xludf.DUMMYFUNCTION("""COMPUTED_VALUE"""),0.4642857142857143)</f>
        <v>0.4642857143</v>
      </c>
      <c r="I1248" s="86">
        <f>IFERROR(__xludf.DUMMYFUNCTION("""COMPUTED_VALUE"""),0.32051282051282054)</f>
        <v>0.3205128205</v>
      </c>
      <c r="J1248" s="82">
        <f>IFERROR(__xludf.DUMMYFUNCTION("""COMPUTED_VALUE"""),364.67857142857144)</f>
        <v>364.6785714</v>
      </c>
      <c r="K1248" s="82">
        <f>IFERROR(__xludf.DUMMYFUNCTION("""COMPUTED_VALUE"""),0.8928571428571429)</f>
        <v>0.8928571429</v>
      </c>
      <c r="L1248" s="82">
        <f>IFERROR(__xludf.DUMMYFUNCTION("""COMPUTED_VALUE"""),0.5357142857142857)</f>
        <v>0.5357142857</v>
      </c>
      <c r="M1248" s="82">
        <f>IFERROR(__xludf.DUMMYFUNCTION("""COMPUTED_VALUE"""),1.25)</f>
        <v>1.25</v>
      </c>
      <c r="N1248" s="82">
        <f>IFERROR(__xludf.DUMMYFUNCTION("""COMPUTED_VALUE"""),2.7857142857142856)</f>
        <v>2.785714286</v>
      </c>
      <c r="O1248" s="82">
        <f>IFERROR(__xludf.DUMMYFUNCTION("""COMPUTED_VALUE"""),351.11904761904765)</f>
        <v>351.1190476</v>
      </c>
      <c r="P1248" s="82">
        <f>IFERROR(__xludf.DUMMYFUNCTION("""COMPUTED_VALUE"""),0.8928571428571427)</f>
        <v>0.8928571429</v>
      </c>
      <c r="Q1248" s="82">
        <f>IFERROR(__xludf.DUMMYFUNCTION("""COMPUTED_VALUE"""),0.6428571428571427)</f>
        <v>0.6428571429</v>
      </c>
      <c r="R1248" s="82">
        <f>IFERROR(__xludf.DUMMYFUNCTION("""COMPUTED_VALUE"""),1.2023809523809526)</f>
        <v>1.202380952</v>
      </c>
      <c r="S1248" s="82">
        <f>IFERROR(__xludf.DUMMYFUNCTION("""COMPUTED_VALUE"""),2.511904761904762)</f>
        <v>2.511904762</v>
      </c>
      <c r="T1248" s="82">
        <f>IFERROR(__xludf.DUMMYFUNCTION("""COMPUTED_VALUE"""),355.2327825874665)</f>
        <v>355.2327826</v>
      </c>
      <c r="U1248" s="82">
        <f>IFERROR(__xludf.DUMMYFUNCTION("""COMPUTED_VALUE"""),0.8150895353711226)</f>
        <v>0.8150895354</v>
      </c>
      <c r="V1248" s="82">
        <f>IFERROR(__xludf.DUMMYFUNCTION("""COMPUTED_VALUE"""),0.57313900953011)</f>
        <v>0.5731390095</v>
      </c>
      <c r="W1248" s="82">
        <f>IFERROR(__xludf.DUMMYFUNCTION("""COMPUTED_VALUE"""),1.3248022784607376)</f>
        <v>1.324802278</v>
      </c>
      <c r="X1248" s="82">
        <f>IFERROR(__xludf.DUMMYFUNCTION("""COMPUTED_VALUE"""),2.7153586104933396)</f>
        <v>2.71535861</v>
      </c>
      <c r="Y1248" s="82">
        <f>IFERROR(__xludf.DUMMYFUNCTION("""COMPUTED_VALUE"""),350.58410454630683)</f>
        <v>350.5841045</v>
      </c>
      <c r="Z1248" s="82">
        <f>IFERROR(__xludf.DUMMYFUNCTION("""COMPUTED_VALUE"""),0.7380490211818136)</f>
        <v>0.7380490212</v>
      </c>
      <c r="AA1248" s="82">
        <f>IFERROR(__xludf.DUMMYFUNCTION("""COMPUTED_VALUE"""),0.5566167793517629)</f>
        <v>0.5566167794</v>
      </c>
      <c r="AB1248" s="82">
        <f>IFERROR(__xludf.DUMMYFUNCTION("""COMPUTED_VALUE"""),1.4048527150039123)</f>
        <v>1.404852715</v>
      </c>
      <c r="AC1248" s="82">
        <f>IFERROR(__xludf.DUMMYFUNCTION("""COMPUTED_VALUE"""),2.547282274772351)</f>
        <v>2.547282275</v>
      </c>
      <c r="AD1248" s="82">
        <f>IFERROR(__xludf.DUMMYFUNCTION("""COMPUTED_VALUE"""),1.0402028121055413)</f>
        <v>1.040202812</v>
      </c>
      <c r="AE1248" s="82">
        <f>IFERROR(__xludf.DUMMYFUNCTION("""COMPUTED_VALUE"""),1.2097531698198585)</f>
        <v>1.20975317</v>
      </c>
      <c r="AF1248" s="82">
        <f>IFERROR(__xludf.DUMMYFUNCTION("""COMPUTED_VALUE"""),0.9624472448318567)</f>
        <v>0.9624472448</v>
      </c>
      <c r="AG1248" s="82">
        <f>IFERROR(__xludf.DUMMYFUNCTION("""COMPUTED_VALUE"""),0.8897729894742161)</f>
        <v>0.8897729895</v>
      </c>
      <c r="AH1248" s="82">
        <f>IFERROR(__xludf.DUMMYFUNCTION("""COMPUTED_VALUE"""),1.0936025085650325)</f>
        <v>1.093602509</v>
      </c>
      <c r="AI1248" s="82">
        <f>IFERROR(__xludf.DUMMYFUNCTION("""COMPUTED_VALUE"""),0.9884196077331181)</f>
        <v>0.9884196077</v>
      </c>
      <c r="AJ1248" s="82">
        <f>IFERROR(__xludf.DUMMYFUNCTION("""COMPUTED_VALUE"""),1.0954098956142424)</f>
        <v>1.095409896</v>
      </c>
      <c r="AK1248" s="82">
        <f>IFERROR(__xludf.DUMMYFUNCTION("""COMPUTED_VALUE"""),1.121642624507781)</f>
        <v>1.121642625</v>
      </c>
      <c r="AL1248" s="82">
        <f>IFERROR(__xludf.DUMMYFUNCTION("""COMPUTED_VALUE"""),0.9075927569946332)</f>
        <v>0.907592757</v>
      </c>
      <c r="AM1248" s="82">
        <f>IFERROR(__xludf.DUMMYFUNCTION("""COMPUTED_VALUE"""),0.9250729359273789)</f>
        <v>0.9250729359</v>
      </c>
      <c r="AN1248" s="82">
        <f>IFERROR(__xludf.DUMMYFUNCTION("""COMPUTED_VALUE"""),1.0548901433678148)</f>
        <v>1.054890143</v>
      </c>
      <c r="AO1248" s="82">
        <f>IFERROR(__xludf.DUMMYFUNCTION("""COMPUTED_VALUE"""),1.1817111083441894)</f>
        <v>1.181711108</v>
      </c>
      <c r="AP1248" s="82">
        <f>IFERROR(__xludf.DUMMYFUNCTION("""COMPUTED_VALUE"""),0.9637617750749427)</f>
        <v>0.9637617751</v>
      </c>
      <c r="AQ1248" s="82">
        <f>IFERROR(__xludf.DUMMYFUNCTION("""COMPUTED_VALUE"""),0.9238928223378052)</f>
        <v>0.9238928223</v>
      </c>
      <c r="AR1248" s="82">
        <f>IFERROR(__xludf.DUMMYFUNCTION("""COMPUTED_VALUE"""),1.0926456732663017)</f>
        <v>1.092645673</v>
      </c>
      <c r="AS1248" s="82">
        <f>IFERROR(__xludf.DUMMYFUNCTION("""COMPUTED_VALUE"""),63.0)</f>
        <v>63</v>
      </c>
      <c r="AT1248" s="82">
        <f>IFERROR(__xludf.DUMMYFUNCTION("""COMPUTED_VALUE"""),0.43153872004547117)</f>
        <v>0.43153872</v>
      </c>
      <c r="AU1248" s="82">
        <f>IFERROR(__xludf.DUMMYFUNCTION("""COMPUTED_VALUE"""),2.1245191243520165)</f>
        <v>2.124519124</v>
      </c>
      <c r="AV1248" s="82">
        <f>IFERROR(__xludf.DUMMYFUNCTION("""COMPUTED_VALUE"""),61.17000152192227)</f>
        <v>61.17000152</v>
      </c>
      <c r="AW1248" s="82">
        <f t="shared" si="1"/>
        <v>3.053344552</v>
      </c>
      <c r="AX1248" s="83">
        <f t="array" ref="AX1248">IFERROR(DGET('SBV Import'!A:G,"SBV",{"RSC ID","Tier";B1248,A1248}))</f>
        <v>62.92522397</v>
      </c>
      <c r="AY1248" s="82">
        <f t="shared" si="2"/>
        <v>3.30496623</v>
      </c>
      <c r="AZ1248" s="82">
        <v>0.2516216783382781</v>
      </c>
      <c r="BA1248" s="84">
        <v>1200.0</v>
      </c>
      <c r="BB1248" s="84" t="b">
        <f>IFERROR(__xludf.DUMMYFUNCTION("iferror(if(A1248="""",,E1248&gt;=FILTER(Constants!$F$2:$F$10,Constants!$A$2:$A$10=A1248)))"),TRUE)</f>
        <v>1</v>
      </c>
    </row>
    <row r="1249">
      <c r="A1249" s="89" t="str">
        <f>IFERROR(__xludf.DUMMYFUNCTION("""COMPUTED_VALUE"""),"Veteran")</f>
        <v>Veteran</v>
      </c>
      <c r="B1249" s="87" t="str">
        <f>IFERROR(__xludf.DUMMYFUNCTION("""COMPUTED_VALUE"""),"RSC004109")</f>
        <v>RSC004109</v>
      </c>
      <c r="C1249" s="73" t="str">
        <f>IFERROR(__xludf.DUMMYFUNCTION("""COMPUTED_VALUE"""),"Hawkish")</f>
        <v>Hawkish</v>
      </c>
      <c r="D1249" s="73" t="str">
        <f>IFERROR(__xludf.DUMMYFUNCTION("""COMPUTED_VALUE"""),"Werewolves")</f>
        <v>Werewolves</v>
      </c>
      <c r="E1249" s="82">
        <f>IFERROR(__xludf.DUMMYFUNCTION("""COMPUTED_VALUE"""),41.0)</f>
        <v>41</v>
      </c>
      <c r="F1249" s="82">
        <f>IFERROR(__xludf.DUMMYFUNCTION("""COMPUTED_VALUE"""),17.0)</f>
        <v>17</v>
      </c>
      <c r="G1249" s="86">
        <f>IFERROR(__xludf.DUMMYFUNCTION("""COMPUTED_VALUE"""),24.0)</f>
        <v>24</v>
      </c>
      <c r="H1249" s="86">
        <f>IFERROR(__xludf.DUMMYFUNCTION("""COMPUTED_VALUE"""),0.4146341463414634)</f>
        <v>0.4146341463</v>
      </c>
      <c r="I1249" s="86">
        <f>IFERROR(__xludf.DUMMYFUNCTION("""COMPUTED_VALUE"""),0.2954545454545454)</f>
        <v>0.2954545455</v>
      </c>
      <c r="J1249" s="82">
        <f>IFERROR(__xludf.DUMMYFUNCTION("""COMPUTED_VALUE"""),382.1951219512195)</f>
        <v>382.195122</v>
      </c>
      <c r="K1249" s="82">
        <f>IFERROR(__xludf.DUMMYFUNCTION("""COMPUTED_VALUE"""),0.9512195121951219)</f>
        <v>0.9512195122</v>
      </c>
      <c r="L1249" s="82">
        <f>IFERROR(__xludf.DUMMYFUNCTION("""COMPUTED_VALUE"""),0.5609756097560976)</f>
        <v>0.5609756098</v>
      </c>
      <c r="M1249" s="82">
        <f>IFERROR(__xludf.DUMMYFUNCTION("""COMPUTED_VALUE"""),1.3414634146341464)</f>
        <v>1.341463415</v>
      </c>
      <c r="N1249" s="82">
        <f>IFERROR(__xludf.DUMMYFUNCTION("""COMPUTED_VALUE"""),3.2195121951219514)</f>
        <v>3.219512195</v>
      </c>
      <c r="O1249" s="82">
        <f>IFERROR(__xludf.DUMMYFUNCTION("""COMPUTED_VALUE"""),406.70731707317066)</f>
        <v>406.7073171</v>
      </c>
      <c r="P1249" s="82">
        <f>IFERROR(__xludf.DUMMYFUNCTION("""COMPUTED_VALUE"""),1.0243902439024388)</f>
        <v>1.024390244</v>
      </c>
      <c r="Q1249" s="82">
        <f>IFERROR(__xludf.DUMMYFUNCTION("""COMPUTED_VALUE"""),0.7317073170731706)</f>
        <v>0.7317073171</v>
      </c>
      <c r="R1249" s="82">
        <f>IFERROR(__xludf.DUMMYFUNCTION("""COMPUTED_VALUE"""),1.5528455284552845)</f>
        <v>1.552845528</v>
      </c>
      <c r="S1249" s="82">
        <f>IFERROR(__xludf.DUMMYFUNCTION("""COMPUTED_VALUE"""),2.878048780487805)</f>
        <v>2.87804878</v>
      </c>
      <c r="T1249" s="82">
        <f>IFERROR(__xludf.DUMMYFUNCTION("""COMPUTED_VALUE"""),355.86760016459255)</f>
        <v>355.8676002</v>
      </c>
      <c r="U1249" s="82">
        <f>IFERROR(__xludf.DUMMYFUNCTION("""COMPUTED_VALUE"""),0.8131741618920464)</f>
        <v>0.8131741619</v>
      </c>
      <c r="V1249" s="82">
        <f>IFERROR(__xludf.DUMMYFUNCTION("""COMPUTED_VALUE"""),0.6008270176217514)</f>
        <v>0.6008270176</v>
      </c>
      <c r="W1249" s="82">
        <f>IFERROR(__xludf.DUMMYFUNCTION("""COMPUTED_VALUE"""),1.3316136733416901)</f>
        <v>1.331613673</v>
      </c>
      <c r="X1249" s="82">
        <f>IFERROR(__xludf.DUMMYFUNCTION("""COMPUTED_VALUE"""),2.655191954091239)</f>
        <v>2.655191954</v>
      </c>
      <c r="Y1249" s="82">
        <f>IFERROR(__xludf.DUMMYFUNCTION("""COMPUTED_VALUE"""),357.62463363720286)</f>
        <v>357.6246336</v>
      </c>
      <c r="Z1249" s="82">
        <f>IFERROR(__xludf.DUMMYFUNCTION("""COMPUTED_VALUE"""),0.8054583627259686)</f>
        <v>0.8054583627</v>
      </c>
      <c r="AA1249" s="82">
        <f>IFERROR(__xludf.DUMMYFUNCTION("""COMPUTED_VALUE"""),0.585211977214245)</f>
        <v>0.5852119772</v>
      </c>
      <c r="AB1249" s="82">
        <f>IFERROR(__xludf.DUMMYFUNCTION("""COMPUTED_VALUE"""),1.3587297233971236)</f>
        <v>1.358729723</v>
      </c>
      <c r="AC1249" s="82">
        <f>IFERROR(__xludf.DUMMYFUNCTION("""COMPUTED_VALUE"""),2.5819794720311187)</f>
        <v>2.581979472</v>
      </c>
      <c r="AD1249" s="82">
        <f>IFERROR(__xludf.DUMMYFUNCTION("""COMPUTED_VALUE"""),1.06870468643092)</f>
        <v>1.068704686</v>
      </c>
      <c r="AE1249" s="82">
        <f>IFERROR(__xludf.DUMMYFUNCTION("""COMPUTED_VALUE"""),1.1809667094098368)</f>
        <v>1.180966709</v>
      </c>
      <c r="AF1249" s="82">
        <f>IFERROR(__xludf.DUMMYFUNCTION("""COMPUTED_VALUE"""),0.9585853188215345)</f>
        <v>0.9585853188</v>
      </c>
      <c r="AG1249" s="82">
        <f>IFERROR(__xludf.DUMMYFUNCTION("""COMPUTED_VALUE"""),0.9872923154136883)</f>
        <v>0.9872923154</v>
      </c>
      <c r="AH1249" s="82">
        <f>IFERROR(__xludf.DUMMYFUNCTION("""COMPUTED_VALUE"""),1.246916263276608)</f>
        <v>1.246916263</v>
      </c>
      <c r="AI1249" s="82">
        <f>IFERROR(__xludf.DUMMYFUNCTION("""COMPUTED_VALUE"""),1.1428613250688295)</f>
        <v>1.142861325</v>
      </c>
      <c r="AJ1249" s="82">
        <f>IFERROR(__xludf.DUMMYFUNCTION("""COMPUTED_VALUE"""),1.2597427364378464)</f>
        <v>1.259742736</v>
      </c>
      <c r="AK1249" s="82">
        <f>IFERROR(__xludf.DUMMYFUNCTION("""COMPUTED_VALUE"""),1.2178335787386554)</f>
        <v>1.217833579</v>
      </c>
      <c r="AL1249" s="82">
        <f>IFERROR(__xludf.DUMMYFUNCTION("""COMPUTED_VALUE"""),1.1661381672046158)</f>
        <v>1.166138167</v>
      </c>
      <c r="AM1249" s="82">
        <f>IFERROR(__xludf.DUMMYFUNCTION("""COMPUTED_VALUE"""),1.0839324727740223)</f>
        <v>1.083932473</v>
      </c>
      <c r="AN1249" s="82">
        <f>IFERROR(__xludf.DUMMYFUNCTION("""COMPUTED_VALUE"""),1.1055595216637781)</f>
        <v>1.105559522</v>
      </c>
      <c r="AO1249" s="82">
        <f>IFERROR(__xludf.DUMMYFUNCTION("""COMPUTED_VALUE"""),1.2589546637188824)</f>
        <v>1.258954664</v>
      </c>
      <c r="AP1249" s="82">
        <f>IFERROR(__xludf.DUMMYFUNCTION("""COMPUTED_VALUE"""),1.0092074522735988)</f>
        <v>1.009207452</v>
      </c>
      <c r="AQ1249" s="82">
        <f>IFERROR(__xludf.DUMMYFUNCTION("""COMPUTED_VALUE"""),0.9914947361674008)</f>
        <v>0.9914947362</v>
      </c>
      <c r="AR1249" s="82">
        <f>IFERROR(__xludf.DUMMYFUNCTION("""COMPUTED_VALUE"""),1.2627949994972645)</f>
        <v>1.262794999</v>
      </c>
      <c r="AS1249" s="82">
        <f>IFERROR(__xludf.DUMMYFUNCTION("""COMPUTED_VALUE"""),89.0)</f>
        <v>89</v>
      </c>
      <c r="AT1249" s="82">
        <f>IFERROR(__xludf.DUMMYFUNCTION("""COMPUTED_VALUE"""),0.3636996924358441)</f>
        <v>0.3636996924</v>
      </c>
      <c r="AU1249" s="82">
        <f>IFERROR(__xludf.DUMMYFUNCTION("""COMPUTED_VALUE"""),2.118188544989936)</f>
        <v>2.118188545</v>
      </c>
      <c r="AV1249" s="82">
        <f>IFERROR(__xludf.DUMMYFUNCTION("""COMPUTED_VALUE"""),60.943670055148786)</f>
        <v>60.94367006</v>
      </c>
      <c r="AW1249" s="82">
        <f t="shared" si="1"/>
        <v>3.023112428</v>
      </c>
      <c r="AX1249" s="83">
        <f t="array" ref="AX1249">IFERROR(DGET('SBV Import'!A:G,"SBV",{"RSC ID","Tier";B1249,A1249}))</f>
        <v>56.78847542</v>
      </c>
      <c r="AY1249" s="82">
        <f t="shared" si="2"/>
        <v>2.544605356</v>
      </c>
      <c r="AZ1249" s="82">
        <v>0.47850707249932967</v>
      </c>
      <c r="BA1249" s="84">
        <v>1200.0</v>
      </c>
      <c r="BB1249" s="84" t="b">
        <f>IFERROR(__xludf.DUMMYFUNCTION("iferror(if(A1249="""",,E1249&gt;=FILTER(Constants!$F$2:$F$10,Constants!$A$2:$A$10=A1249)))"),TRUE)</f>
        <v>1</v>
      </c>
    </row>
    <row r="1250">
      <c r="A1250" s="89" t="str">
        <f>IFERROR(__xludf.DUMMYFUNCTION("""COMPUTED_VALUE"""),"Veteran")</f>
        <v>Veteran</v>
      </c>
      <c r="B1250" s="87" t="str">
        <f>IFERROR(__xludf.DUMMYFUNCTION("""COMPUTED_VALUE"""),"RSC006869")</f>
        <v>RSC006869</v>
      </c>
      <c r="C1250" s="73" t="str">
        <f>IFERROR(__xludf.DUMMYFUNCTION("""COMPUTED_VALUE"""),"Flurry ^-^")</f>
        <v>Flurry ^-^</v>
      </c>
      <c r="D1250" s="73" t="str">
        <f>IFERROR(__xludf.DUMMYFUNCTION("""COMPUTED_VALUE"""),"Dump Trucks")</f>
        <v>Dump Trucks</v>
      </c>
      <c r="E1250" s="82">
        <f>IFERROR(__xludf.DUMMYFUNCTION("""COMPUTED_VALUE"""),35.0)</f>
        <v>35</v>
      </c>
      <c r="F1250" s="82">
        <f>IFERROR(__xludf.DUMMYFUNCTION("""COMPUTED_VALUE"""),13.0)</f>
        <v>13</v>
      </c>
      <c r="G1250" s="86">
        <f>IFERROR(__xludf.DUMMYFUNCTION("""COMPUTED_VALUE"""),22.0)</f>
        <v>22</v>
      </c>
      <c r="H1250" s="86">
        <f>IFERROR(__xludf.DUMMYFUNCTION("""COMPUTED_VALUE"""),0.37142857142857144)</f>
        <v>0.3714285714</v>
      </c>
      <c r="I1250" s="86">
        <f>IFERROR(__xludf.DUMMYFUNCTION("""COMPUTED_VALUE"""),0.3333333333333333)</f>
        <v>0.3333333333</v>
      </c>
      <c r="J1250" s="82">
        <f>IFERROR(__xludf.DUMMYFUNCTION("""COMPUTED_VALUE"""),347.8)</f>
        <v>347.8</v>
      </c>
      <c r="K1250" s="82">
        <f>IFERROR(__xludf.DUMMYFUNCTION("""COMPUTED_VALUE"""),0.8857142857142857)</f>
        <v>0.8857142857</v>
      </c>
      <c r="L1250" s="82">
        <f>IFERROR(__xludf.DUMMYFUNCTION("""COMPUTED_VALUE"""),0.5428571428571428)</f>
        <v>0.5428571429</v>
      </c>
      <c r="M1250" s="82">
        <f>IFERROR(__xludf.DUMMYFUNCTION("""COMPUTED_VALUE"""),1.1428571428571428)</f>
        <v>1.142857143</v>
      </c>
      <c r="N1250" s="82">
        <f>IFERROR(__xludf.DUMMYFUNCTION("""COMPUTED_VALUE"""),2.657142857142857)</f>
        <v>2.657142857</v>
      </c>
      <c r="O1250" s="82">
        <f>IFERROR(__xludf.DUMMYFUNCTION("""COMPUTED_VALUE"""),338.58095238095234)</f>
        <v>338.5809524</v>
      </c>
      <c r="P1250" s="82">
        <f>IFERROR(__xludf.DUMMYFUNCTION("""COMPUTED_VALUE"""),0.7428571428571428)</f>
        <v>0.7428571429</v>
      </c>
      <c r="Q1250" s="82">
        <f>IFERROR(__xludf.DUMMYFUNCTION("""COMPUTED_VALUE"""),0.619047619047619)</f>
        <v>0.619047619</v>
      </c>
      <c r="R1250" s="82">
        <f>IFERROR(__xludf.DUMMYFUNCTION("""COMPUTED_VALUE"""),1.114285714285714)</f>
        <v>1.114285714</v>
      </c>
      <c r="S1250" s="82">
        <f>IFERROR(__xludf.DUMMYFUNCTION("""COMPUTED_VALUE"""),2.590476190476191)</f>
        <v>2.59047619</v>
      </c>
      <c r="T1250" s="82">
        <f>IFERROR(__xludf.DUMMYFUNCTION("""COMPUTED_VALUE"""),349.410648787228)</f>
        <v>349.4106488</v>
      </c>
      <c r="U1250" s="82">
        <f>IFERROR(__xludf.DUMMYFUNCTION("""COMPUTED_VALUE"""),0.7420178720825836)</f>
        <v>0.7420178721</v>
      </c>
      <c r="V1250" s="82">
        <f>IFERROR(__xludf.DUMMYFUNCTION("""COMPUTED_VALUE"""),0.5737813012139633)</f>
        <v>0.5737813012</v>
      </c>
      <c r="W1250" s="82">
        <f>IFERROR(__xludf.DUMMYFUNCTION("""COMPUTED_VALUE"""),1.3521576454306479)</f>
        <v>1.352157645</v>
      </c>
      <c r="X1250" s="82">
        <f>IFERROR(__xludf.DUMMYFUNCTION("""COMPUTED_VALUE"""),2.5935387898427837)</f>
        <v>2.59353879</v>
      </c>
      <c r="Y1250" s="82">
        <f>IFERROR(__xludf.DUMMYFUNCTION("""COMPUTED_VALUE"""),344.44345637557035)</f>
        <v>344.4434564</v>
      </c>
      <c r="Z1250" s="82">
        <f>IFERROR(__xludf.DUMMYFUNCTION("""COMPUTED_VALUE"""),0.7287895542834535)</f>
        <v>0.7287895543</v>
      </c>
      <c r="AA1250" s="82">
        <f>IFERROR(__xludf.DUMMYFUNCTION("""COMPUTED_VALUE"""),0.5338646672051081)</f>
        <v>0.5338646672</v>
      </c>
      <c r="AB1250" s="82">
        <f>IFERROR(__xludf.DUMMYFUNCTION("""COMPUTED_VALUE"""),1.3474721573747674)</f>
        <v>1.347472157</v>
      </c>
      <c r="AC1250" s="82">
        <f>IFERROR(__xludf.DUMMYFUNCTION("""COMPUTED_VALUE"""),2.5254059868649823)</f>
        <v>2.525405987</v>
      </c>
      <c r="AD1250" s="82">
        <f>IFERROR(__xludf.DUMMYFUNCTION("""COMPUTED_VALUE"""),1.009744832024824)</f>
        <v>1.009744832</v>
      </c>
      <c r="AE1250" s="82">
        <f>IFERROR(__xludf.DUMMYFUNCTION("""COMPUTED_VALUE"""),1.2153224212785552)</f>
        <v>1.215322421</v>
      </c>
      <c r="AF1250" s="82">
        <f>IFERROR(__xludf.DUMMYFUNCTION("""COMPUTED_VALUE"""),1.0168441108850905)</f>
        <v>1.016844111</v>
      </c>
      <c r="AG1250" s="82">
        <f>IFERROR(__xludf.DUMMYFUNCTION("""COMPUTED_VALUE"""),0.8481489851959028)</f>
        <v>0.8481489852</v>
      </c>
      <c r="AH1250" s="82">
        <f>IFERROR(__xludf.DUMMYFUNCTION("""COMPUTED_VALUE"""),1.052164630543785)</f>
        <v>1.052164631</v>
      </c>
      <c r="AI1250" s="82">
        <f>IFERROR(__xludf.DUMMYFUNCTION("""COMPUTED_VALUE"""),0.9690058203896631)</f>
        <v>0.9690058204</v>
      </c>
      <c r="AJ1250" s="82">
        <f>IFERROR(__xludf.DUMMYFUNCTION("""COMPUTED_VALUE"""),1.0011310654448304)</f>
        <v>1.001131065</v>
      </c>
      <c r="AK1250" s="82">
        <f>IFERROR(__xludf.DUMMYFUNCTION("""COMPUTED_VALUE"""),1.0788912391147718)</f>
        <v>1.078891239</v>
      </c>
      <c r="AL1250" s="82">
        <f>IFERROR(__xludf.DUMMYFUNCTION("""COMPUTED_VALUE"""),0.8240797351190703)</f>
        <v>0.8240797351</v>
      </c>
      <c r="AM1250" s="82">
        <f>IFERROR(__xludf.DUMMYFUNCTION("""COMPUTED_VALUE"""),0.9988191426407089)</f>
        <v>0.9988191426</v>
      </c>
      <c r="AN1250" s="82">
        <f>IFERROR(__xludf.DUMMYFUNCTION("""COMPUTED_VALUE"""),1.0060662199758228)</f>
        <v>1.00606622</v>
      </c>
      <c r="AO1250" s="82">
        <f>IFERROR(__xludf.DUMMYFUNCTION("""COMPUTED_VALUE"""),1.1722574194774356)</f>
        <v>1.172257419</v>
      </c>
      <c r="AP1250" s="82">
        <f>IFERROR(__xludf.DUMMYFUNCTION("""COMPUTED_VALUE"""),0.9766119320759419)</f>
        <v>0.9766119321</v>
      </c>
      <c r="AQ1250" s="82">
        <f>IFERROR(__xludf.DUMMYFUNCTION("""COMPUTED_VALUE"""),0.8447020089945648)</f>
        <v>0.844702009</v>
      </c>
      <c r="AR1250" s="82">
        <f>IFERROR(__xludf.DUMMYFUNCTION("""COMPUTED_VALUE"""),1.0422158729617033)</f>
        <v>1.042215873</v>
      </c>
      <c r="AS1250" s="82">
        <f>IFERROR(__xludf.DUMMYFUNCTION("""COMPUTED_VALUE"""),71.0)</f>
        <v>71</v>
      </c>
      <c r="AT1250" s="82">
        <f>IFERROR(__xludf.DUMMYFUNCTION("""COMPUTED_VALUE"""),0.46443486405608975)</f>
        <v>0.4644348641</v>
      </c>
      <c r="AU1250" s="82">
        <f>IFERROR(__xludf.DUMMYFUNCTION("""COMPUTED_VALUE"""),2.1120461366034724)</f>
        <v>2.112046137</v>
      </c>
      <c r="AV1250" s="82">
        <f>IFERROR(__xludf.DUMMYFUNCTION("""COMPUTED_VALUE"""),60.72406609473448)</f>
        <v>60.72406609</v>
      </c>
      <c r="AW1250" s="82">
        <f t="shared" si="1"/>
        <v>2.994234255</v>
      </c>
      <c r="AX1250" s="83">
        <f t="array" ref="AX1250">IFERROR(DGET('SBV Import'!A:G,"SBV",{"RSC ID","Tier";B1250,A1250}))</f>
        <v>65.01203352</v>
      </c>
      <c r="AY1250" s="82">
        <f t="shared" si="2"/>
        <v>3.64840009</v>
      </c>
      <c r="AZ1250" s="82">
        <v>0.6541658343052767</v>
      </c>
      <c r="BA1250" s="84">
        <v>1200.0</v>
      </c>
      <c r="BB1250" s="84" t="b">
        <f>IFERROR(__xludf.DUMMYFUNCTION("iferror(if(A1250="""",,E1250&gt;=FILTER(Constants!$F$2:$F$10,Constants!$A$2:$A$10=A1250)))"),TRUE)</f>
        <v>1</v>
      </c>
    </row>
    <row r="1251">
      <c r="A1251" s="89" t="str">
        <f>IFERROR(__xludf.DUMMYFUNCTION("""COMPUTED_VALUE"""),"Veteran")</f>
        <v>Veteran</v>
      </c>
      <c r="B1251" s="87" t="str">
        <f>IFERROR(__xludf.DUMMYFUNCTION("""COMPUTED_VALUE"""),"RSC002760")</f>
        <v>RSC002760</v>
      </c>
      <c r="C1251" s="73" t="str">
        <f>IFERROR(__xludf.DUMMYFUNCTION("""COMPUTED_VALUE"""),"gcol")</f>
        <v>gcol</v>
      </c>
      <c r="D1251" s="73" t="str">
        <f>IFERROR(__xludf.DUMMYFUNCTION("""COMPUTED_VALUE"""),"Kirin")</f>
        <v>Kirin</v>
      </c>
      <c r="E1251" s="82">
        <f>IFERROR(__xludf.DUMMYFUNCTION("""COMPUTED_VALUE"""),43.0)</f>
        <v>43</v>
      </c>
      <c r="F1251" s="82">
        <f>IFERROR(__xludf.DUMMYFUNCTION("""COMPUTED_VALUE"""),21.0)</f>
        <v>21</v>
      </c>
      <c r="G1251" s="86">
        <f>IFERROR(__xludf.DUMMYFUNCTION("""COMPUTED_VALUE"""),22.0)</f>
        <v>22</v>
      </c>
      <c r="H1251" s="86">
        <f>IFERROR(__xludf.DUMMYFUNCTION("""COMPUTED_VALUE"""),0.4883720930232558)</f>
        <v>0.488372093</v>
      </c>
      <c r="I1251" s="86">
        <f>IFERROR(__xludf.DUMMYFUNCTION("""COMPUTED_VALUE"""),0.3663366336633663)</f>
        <v>0.3663366337</v>
      </c>
      <c r="J1251" s="82">
        <f>IFERROR(__xludf.DUMMYFUNCTION("""COMPUTED_VALUE"""),351.3255813953488)</f>
        <v>351.3255814</v>
      </c>
      <c r="K1251" s="82">
        <f>IFERROR(__xludf.DUMMYFUNCTION("""COMPUTED_VALUE"""),0.8604651162790697)</f>
        <v>0.8604651163</v>
      </c>
      <c r="L1251" s="82">
        <f>IFERROR(__xludf.DUMMYFUNCTION("""COMPUTED_VALUE"""),0.6511627906976745)</f>
        <v>0.6511627907</v>
      </c>
      <c r="M1251" s="82">
        <f>IFERROR(__xludf.DUMMYFUNCTION("""COMPUTED_VALUE"""),1.3488372093023255)</f>
        <v>1.348837209</v>
      </c>
      <c r="N1251" s="82">
        <f>IFERROR(__xludf.DUMMYFUNCTION("""COMPUTED_VALUE"""),2.3488372093023258)</f>
        <v>2.348837209</v>
      </c>
      <c r="O1251" s="82">
        <f>IFERROR(__xludf.DUMMYFUNCTION("""COMPUTED_VALUE"""),356.937984496124)</f>
        <v>356.9379845</v>
      </c>
      <c r="P1251" s="82">
        <f>IFERROR(__xludf.DUMMYFUNCTION("""COMPUTED_VALUE"""),0.8294573643410854)</f>
        <v>0.8294573643</v>
      </c>
      <c r="Q1251" s="82">
        <f>IFERROR(__xludf.DUMMYFUNCTION("""COMPUTED_VALUE"""),0.5891472868217057)</f>
        <v>0.5891472868</v>
      </c>
      <c r="R1251" s="82">
        <f>IFERROR(__xludf.DUMMYFUNCTION("""COMPUTED_VALUE"""),1.1627906976744187)</f>
        <v>1.162790698</v>
      </c>
      <c r="S1251" s="82">
        <f>IFERROR(__xludf.DUMMYFUNCTION("""COMPUTED_VALUE"""),2.751937984496124)</f>
        <v>2.751937984</v>
      </c>
      <c r="T1251" s="82">
        <f>IFERROR(__xludf.DUMMYFUNCTION("""COMPUTED_VALUE"""),367.05886332504724)</f>
        <v>367.0588633</v>
      </c>
      <c r="U1251" s="82">
        <f>IFERROR(__xludf.DUMMYFUNCTION("""COMPUTED_VALUE"""),0.8634596009329396)</f>
        <v>0.8634596009</v>
      </c>
      <c r="V1251" s="82">
        <f>IFERROR(__xludf.DUMMYFUNCTION("""COMPUTED_VALUE"""),0.6075297170262934)</f>
        <v>0.607529717</v>
      </c>
      <c r="W1251" s="82">
        <f>IFERROR(__xludf.DUMMYFUNCTION("""COMPUTED_VALUE"""),1.348779432127274)</f>
        <v>1.348779432</v>
      </c>
      <c r="X1251" s="82">
        <f>IFERROR(__xludf.DUMMYFUNCTION("""COMPUTED_VALUE"""),2.79374633596374)</f>
        <v>2.793746336</v>
      </c>
      <c r="Y1251" s="82">
        <f>IFERROR(__xludf.DUMMYFUNCTION("""COMPUTED_VALUE"""),357.9543757907414)</f>
        <v>357.9543758</v>
      </c>
      <c r="Z1251" s="82">
        <f>IFERROR(__xludf.DUMMYFUNCTION("""COMPUTED_VALUE"""),0.7757512071409796)</f>
        <v>0.7757512071</v>
      </c>
      <c r="AA1251" s="82">
        <f>IFERROR(__xludf.DUMMYFUNCTION("""COMPUTED_VALUE"""),0.5880229022022737)</f>
        <v>0.5880229022</v>
      </c>
      <c r="AB1251" s="82">
        <f>IFERROR(__xludf.DUMMYFUNCTION("""COMPUTED_VALUE"""),1.4215485861279014)</f>
        <v>1.421548586</v>
      </c>
      <c r="AC1251" s="82">
        <f>IFERROR(__xludf.DUMMYFUNCTION("""COMPUTED_VALUE"""),2.6073407372395128)</f>
        <v>2.607340737</v>
      </c>
      <c r="AD1251" s="82">
        <f>IFERROR(__xludf.DUMMYFUNCTION("""COMPUTED_VALUE"""),0.9814814544989171)</f>
        <v>0.9814814545</v>
      </c>
      <c r="AE1251" s="82">
        <f>IFERROR(__xludf.DUMMYFUNCTION("""COMPUTED_VALUE"""),1.109202420000482)</f>
        <v>1.10920242</v>
      </c>
      <c r="AF1251" s="82">
        <f>IFERROR(__xludf.DUMMYFUNCTION("""COMPUTED_VALUE"""),1.1073765805020996)</f>
        <v>1.107376581</v>
      </c>
      <c r="AG1251" s="82">
        <f>IFERROR(__xludf.DUMMYFUNCTION("""COMPUTED_VALUE"""),0.9488505862303086)</f>
        <v>0.9488505862</v>
      </c>
      <c r="AH1251" s="82">
        <f>IFERROR(__xludf.DUMMYFUNCTION("""COMPUTED_VALUE"""),0.9008554868778393)</f>
        <v>0.9008554869</v>
      </c>
      <c r="AI1251" s="82">
        <f>IFERROR(__xludf.DUMMYFUNCTION("""COMPUTED_VALUE"""),0.9724270959234111)</f>
        <v>0.9724270959</v>
      </c>
      <c r="AJ1251" s="82">
        <f>IFERROR(__xludf.DUMMYFUNCTION("""COMPUTED_VALUE"""),0.9606209293925091)</f>
        <v>0.9606209294</v>
      </c>
      <c r="AK1251" s="82">
        <f>IFERROR(__xludf.DUMMYFUNCTION("""COMPUTED_VALUE"""),0.9697423357419204)</f>
        <v>0.9697423357</v>
      </c>
      <c r="AL1251" s="82">
        <f>IFERROR(__xludf.DUMMYFUNCTION("""COMPUTED_VALUE"""),0.8621058936526659)</f>
        <v>0.8621058937</v>
      </c>
      <c r="AM1251" s="82">
        <f>IFERROR(__xludf.DUMMYFUNCTION("""COMPUTED_VALUE"""),0.985035022353526)</f>
        <v>0.9850350224</v>
      </c>
      <c r="AN1251" s="82">
        <f>IFERROR(__xludf.DUMMYFUNCTION("""COMPUTED_VALUE"""),1.0162645188476909)</f>
        <v>1.016264519</v>
      </c>
      <c r="AO1251" s="82">
        <f>IFERROR(__xludf.DUMMYFUNCTION("""COMPUTED_VALUE"""),1.1388397285996092)</f>
        <v>1.138839729</v>
      </c>
      <c r="AP1251" s="82">
        <f>IFERROR(__xludf.DUMMYFUNCTION("""COMPUTED_VALUE"""),1.1714561731143491)</f>
        <v>1.171456173</v>
      </c>
      <c r="AQ1251" s="82">
        <f>IFERROR(__xludf.DUMMYFUNCTION("""COMPUTED_VALUE"""),0.9969448129412596)</f>
        <v>0.9969448129</v>
      </c>
      <c r="AR1251" s="82">
        <f>IFERROR(__xludf.DUMMYFUNCTION("""COMPUTED_VALUE"""),0.9212885998798752)</f>
        <v>0.9212885999</v>
      </c>
      <c r="AS1251" s="82">
        <f>IFERROR(__xludf.DUMMYFUNCTION("""COMPUTED_VALUE"""),112.0)</f>
        <v>112</v>
      </c>
      <c r="AT1251" s="82">
        <f>IFERROR(__xludf.DUMMYFUNCTION("""COMPUTED_VALUE"""),0.5182087981320657)</f>
        <v>0.5182087981</v>
      </c>
      <c r="AU1251" s="82">
        <f>IFERROR(__xludf.DUMMYFUNCTION("""COMPUTED_VALUE"""),2.1006905843684254)</f>
        <v>2.100690584</v>
      </c>
      <c r="AV1251" s="82">
        <f>IFERROR(__xludf.DUMMYFUNCTION("""COMPUTED_VALUE"""),60.31808132677221)</f>
        <v>60.31808133</v>
      </c>
      <c r="AW1251" s="82">
        <f t="shared" si="1"/>
        <v>2.942001156</v>
      </c>
      <c r="AX1251" s="83">
        <f t="array" ref="AX1251">IFERROR(DGET('SBV Import'!A:G,"SBV",{"RSC ID","Tier";B1251,A1251}))</f>
        <v>46.0683183</v>
      </c>
      <c r="AY1251" s="82">
        <f t="shared" si="2"/>
        <v>-2.28562491</v>
      </c>
      <c r="AZ1251" s="82">
        <v>5.227626065735834</v>
      </c>
      <c r="BA1251" s="84">
        <v>1200.0</v>
      </c>
      <c r="BB1251" s="84" t="b">
        <f>IFERROR(__xludf.DUMMYFUNCTION("iferror(if(A1251="""",,E1251&gt;=FILTER(Constants!$F$2:$F$10,Constants!$A$2:$A$10=A1251)))"),TRUE)</f>
        <v>1</v>
      </c>
    </row>
    <row r="1252">
      <c r="A1252" s="89" t="str">
        <f>IFERROR(__xludf.DUMMYFUNCTION("""COMPUTED_VALUE"""),"Veteran")</f>
        <v>Veteran</v>
      </c>
      <c r="B1252" s="87" t="str">
        <f>IFERROR(__xludf.DUMMYFUNCTION("""COMPUTED_VALUE"""),"RSC007207")</f>
        <v>RSC007207</v>
      </c>
      <c r="C1252" s="73" t="str">
        <f>IFERROR(__xludf.DUMMYFUNCTION("""COMPUTED_VALUE"""),".S")</f>
        <v>.S</v>
      </c>
      <c r="D1252" s="73" t="str">
        <f>IFERROR(__xludf.DUMMYFUNCTION("""COMPUTED_VALUE"""),"Folks")</f>
        <v>Folks</v>
      </c>
      <c r="E1252" s="82">
        <f>IFERROR(__xludf.DUMMYFUNCTION("""COMPUTED_VALUE"""),44.0)</f>
        <v>44</v>
      </c>
      <c r="F1252" s="82">
        <f>IFERROR(__xludf.DUMMYFUNCTION("""COMPUTED_VALUE"""),21.0)</f>
        <v>21</v>
      </c>
      <c r="G1252" s="86">
        <f>IFERROR(__xludf.DUMMYFUNCTION("""COMPUTED_VALUE"""),23.0)</f>
        <v>23</v>
      </c>
      <c r="H1252" s="86">
        <f>IFERROR(__xludf.DUMMYFUNCTION("""COMPUTED_VALUE"""),0.4772727272727273)</f>
        <v>0.4772727273</v>
      </c>
      <c r="I1252" s="86">
        <f>IFERROR(__xludf.DUMMYFUNCTION("""COMPUTED_VALUE"""),0.3125)</f>
        <v>0.3125</v>
      </c>
      <c r="J1252" s="82">
        <f>IFERROR(__xludf.DUMMYFUNCTION("""COMPUTED_VALUE"""),371.0681818181818)</f>
        <v>371.0681818</v>
      </c>
      <c r="K1252" s="82">
        <f>IFERROR(__xludf.DUMMYFUNCTION("""COMPUTED_VALUE"""),0.9090909090909091)</f>
        <v>0.9090909091</v>
      </c>
      <c r="L1252" s="82">
        <f>IFERROR(__xludf.DUMMYFUNCTION("""COMPUTED_VALUE"""),0.5454545454545454)</f>
        <v>0.5454545455</v>
      </c>
      <c r="M1252" s="82">
        <f>IFERROR(__xludf.DUMMYFUNCTION("""COMPUTED_VALUE"""),1.0454545454545454)</f>
        <v>1.045454545</v>
      </c>
      <c r="N1252" s="82">
        <f>IFERROR(__xludf.DUMMYFUNCTION("""COMPUTED_VALUE"""),2.909090909090909)</f>
        <v>2.909090909</v>
      </c>
      <c r="O1252" s="82">
        <f>IFERROR(__xludf.DUMMYFUNCTION("""COMPUTED_VALUE"""),372.53030303030295)</f>
        <v>372.530303</v>
      </c>
      <c r="P1252" s="82">
        <f>IFERROR(__xludf.DUMMYFUNCTION("""COMPUTED_VALUE"""),0.8863636363636366)</f>
        <v>0.8863636364</v>
      </c>
      <c r="Q1252" s="82">
        <f>IFERROR(__xludf.DUMMYFUNCTION("""COMPUTED_VALUE"""),0.6818181818181818)</f>
        <v>0.6818181818</v>
      </c>
      <c r="R1252" s="82">
        <f>IFERROR(__xludf.DUMMYFUNCTION("""COMPUTED_VALUE"""),1.416666666666667)</f>
        <v>1.416666667</v>
      </c>
      <c r="S1252" s="82">
        <f>IFERROR(__xludf.DUMMYFUNCTION("""COMPUTED_VALUE"""),2.689393939393939)</f>
        <v>2.689393939</v>
      </c>
      <c r="T1252" s="82">
        <f>IFERROR(__xludf.DUMMYFUNCTION("""COMPUTED_VALUE"""),356.3784857422715)</f>
        <v>356.3784857</v>
      </c>
      <c r="U1252" s="82">
        <f>IFERROR(__xludf.DUMMYFUNCTION("""COMPUTED_VALUE"""),0.7961631612897828)</f>
        <v>0.7961631613</v>
      </c>
      <c r="V1252" s="82">
        <f>IFERROR(__xludf.DUMMYFUNCTION("""COMPUTED_VALUE"""),0.6142963140300229)</f>
        <v>0.614296314</v>
      </c>
      <c r="W1252" s="82">
        <f>IFERROR(__xludf.DUMMYFUNCTION("""COMPUTED_VALUE"""),1.3407387719533554)</f>
        <v>1.340738772</v>
      </c>
      <c r="X1252" s="82">
        <f>IFERROR(__xludf.DUMMYFUNCTION("""COMPUTED_VALUE"""),2.584603171227725)</f>
        <v>2.584603171</v>
      </c>
      <c r="Y1252" s="82">
        <f>IFERROR(__xludf.DUMMYFUNCTION("""COMPUTED_VALUE"""),351.6153744403925)</f>
        <v>351.6153744</v>
      </c>
      <c r="Z1252" s="82">
        <f>IFERROR(__xludf.DUMMYFUNCTION("""COMPUTED_VALUE"""),0.7924487208300249)</f>
        <v>0.7924487208</v>
      </c>
      <c r="AA1252" s="82">
        <f>IFERROR(__xludf.DUMMYFUNCTION("""COMPUTED_VALUE"""),0.5767148678441872)</f>
        <v>0.5767148678</v>
      </c>
      <c r="AB1252" s="82">
        <f>IFERROR(__xludf.DUMMYFUNCTION("""COMPUTED_VALUE"""),1.2981016667194583)</f>
        <v>1.298101667</v>
      </c>
      <c r="AC1252" s="82">
        <f>IFERROR(__xludf.DUMMYFUNCTION("""COMPUTED_VALUE"""),2.68465081688733)</f>
        <v>2.684650817</v>
      </c>
      <c r="AD1252" s="82">
        <f>IFERROR(__xludf.DUMMYFUNCTION("""COMPUTED_VALUE"""),1.0553241092166379)</f>
        <v>1.055324109</v>
      </c>
      <c r="AE1252" s="82">
        <f>IFERROR(__xludf.DUMMYFUNCTION("""COMPUTED_VALUE"""),1.147192096087569)</f>
        <v>1.147192096</v>
      </c>
      <c r="AF1252" s="82">
        <f>IFERROR(__xludf.DUMMYFUNCTION("""COMPUTED_VALUE"""),0.9457958791551607)</f>
        <v>0.9457958792</v>
      </c>
      <c r="AG1252" s="82">
        <f>IFERROR(__xludf.DUMMYFUNCTION("""COMPUTED_VALUE"""),0.8053718535749218)</f>
        <v>0.8053718536</v>
      </c>
      <c r="AH1252" s="82">
        <f>IFERROR(__xludf.DUMMYFUNCTION("""COMPUTED_VALUE"""),1.0836012232174768)</f>
        <v>1.083601223</v>
      </c>
      <c r="AI1252" s="82">
        <f>IFERROR(__xludf.DUMMYFUNCTION("""COMPUTED_VALUE"""),1.0453220885497343)</f>
        <v>1.045322089</v>
      </c>
      <c r="AJ1252" s="82">
        <f>IFERROR(__xludf.DUMMYFUNCTION("""COMPUTED_VALUE"""),1.1132939571428162)</f>
        <v>1.113293957</v>
      </c>
      <c r="AK1252" s="82">
        <f>IFERROR(__xludf.DUMMYFUNCTION("""COMPUTED_VALUE"""),1.1099174229862931)</f>
        <v>1.109917423</v>
      </c>
      <c r="AL1252" s="82">
        <f>IFERROR(__xludf.DUMMYFUNCTION("""COMPUTED_VALUE"""),1.056631385846096)</f>
        <v>1.056631386</v>
      </c>
      <c r="AM1252" s="82">
        <f>IFERROR(__xludf.DUMMYFUNCTION("""COMPUTED_VALUE"""),1.0405442387956356)</f>
        <v>1.040544239</v>
      </c>
      <c r="AN1252" s="82">
        <f>IFERROR(__xludf.DUMMYFUNCTION("""COMPUTED_VALUE"""),1.0733730967082218)</f>
        <v>1.073373097</v>
      </c>
      <c r="AO1252" s="82">
        <f>IFERROR(__xludf.DUMMYFUNCTION("""COMPUTED_VALUE"""),1.203196764859538)</f>
        <v>1.203196765</v>
      </c>
      <c r="AP1252" s="82">
        <f>IFERROR(__xludf.DUMMYFUNCTION("""COMPUTED_VALUE"""),0.9812847164399416)</f>
        <v>0.9812847164</v>
      </c>
      <c r="AQ1252" s="82">
        <f>IFERROR(__xludf.DUMMYFUNCTION("""COMPUTED_VALUE"""),0.7727103605007098)</f>
        <v>0.7727103605</v>
      </c>
      <c r="AR1252" s="82">
        <f>IFERROR(__xludf.DUMMYFUNCTION("""COMPUTED_VALUE"""),1.1410379058818256)</f>
        <v>1.141037906</v>
      </c>
      <c r="AS1252" s="82">
        <f>IFERROR(__xludf.DUMMYFUNCTION("""COMPUTED_VALUE"""),112.0)</f>
        <v>112</v>
      </c>
      <c r="AT1252" s="82">
        <f>IFERROR(__xludf.DUMMYFUNCTION("""COMPUTED_VALUE"""),0.4824774410407174)</f>
        <v>0.482477441</v>
      </c>
      <c r="AU1252" s="82">
        <f>IFERROR(__xludf.DUMMYFUNCTION("""COMPUTED_VALUE"""),2.0818967806274533)</f>
        <v>2.081896781</v>
      </c>
      <c r="AV1252" s="82">
        <f>IFERROR(__xludf.DUMMYFUNCTION("""COMPUTED_VALUE"""),59.646163493717964)</f>
        <v>59.64616349</v>
      </c>
      <c r="AW1252" s="82">
        <f t="shared" si="1"/>
        <v>2.858734251</v>
      </c>
      <c r="AX1252" s="83">
        <f t="array" ref="AX1252">IFERROR(DGET('SBV Import'!A:G,"SBV",{"RSC ID","Tier";B1252,A1252}))</f>
        <v>53.0871454</v>
      </c>
      <c r="AY1252" s="82">
        <f t="shared" si="2"/>
        <v>2.217977493</v>
      </c>
      <c r="AZ1252" s="82">
        <v>0.6407567586207437</v>
      </c>
      <c r="BA1252" s="84">
        <v>1200.0</v>
      </c>
      <c r="BB1252" s="84" t="b">
        <f>IFERROR(__xludf.DUMMYFUNCTION("iferror(if(A1252="""",,E1252&gt;=FILTER(Constants!$F$2:$F$10,Constants!$A$2:$A$10=A1252)))"),TRUE)</f>
        <v>1</v>
      </c>
    </row>
    <row r="1253">
      <c r="A1253" s="89" t="str">
        <f>IFERROR(__xludf.DUMMYFUNCTION("""COMPUTED_VALUE"""),"Veteran")</f>
        <v>Veteran</v>
      </c>
      <c r="B1253" s="87" t="str">
        <f>IFERROR(__xludf.DUMMYFUNCTION("""COMPUTED_VALUE"""),"RSC001118")</f>
        <v>RSC001118</v>
      </c>
      <c r="C1253" s="73" t="str">
        <f>IFERROR(__xludf.DUMMYFUNCTION("""COMPUTED_VALUE"""),"azurified")</f>
        <v>azurified</v>
      </c>
      <c r="D1253" s="73" t="str">
        <f>IFERROR(__xludf.DUMMYFUNCTION("""COMPUTED_VALUE"""),"Banshees")</f>
        <v>Banshees</v>
      </c>
      <c r="E1253" s="82">
        <f>IFERROR(__xludf.DUMMYFUNCTION("""COMPUTED_VALUE"""),48.0)</f>
        <v>48</v>
      </c>
      <c r="F1253" s="82">
        <f>IFERROR(__xludf.DUMMYFUNCTION("""COMPUTED_VALUE"""),23.0)</f>
        <v>23</v>
      </c>
      <c r="G1253" s="86">
        <f>IFERROR(__xludf.DUMMYFUNCTION("""COMPUTED_VALUE"""),25.0)</f>
        <v>25</v>
      </c>
      <c r="H1253" s="86">
        <f>IFERROR(__xludf.DUMMYFUNCTION("""COMPUTED_VALUE"""),0.4791666666666667)</f>
        <v>0.4791666667</v>
      </c>
      <c r="I1253" s="86">
        <f>IFERROR(__xludf.DUMMYFUNCTION("""COMPUTED_VALUE"""),0.3049645390070922)</f>
        <v>0.304964539</v>
      </c>
      <c r="J1253" s="82">
        <f>IFERROR(__xludf.DUMMYFUNCTION("""COMPUTED_VALUE"""),354.7083333333333)</f>
        <v>354.7083333</v>
      </c>
      <c r="K1253" s="82">
        <f>IFERROR(__xludf.DUMMYFUNCTION("""COMPUTED_VALUE"""),0.8958333333333334)</f>
        <v>0.8958333333</v>
      </c>
      <c r="L1253" s="82">
        <f>IFERROR(__xludf.DUMMYFUNCTION("""COMPUTED_VALUE"""),0.4583333333333333)</f>
        <v>0.4583333333</v>
      </c>
      <c r="M1253" s="82">
        <f>IFERROR(__xludf.DUMMYFUNCTION("""COMPUTED_VALUE"""),1.2083333333333333)</f>
        <v>1.208333333</v>
      </c>
      <c r="N1253" s="82">
        <f>IFERROR(__xludf.DUMMYFUNCTION("""COMPUTED_VALUE"""),2.9375)</f>
        <v>2.9375</v>
      </c>
      <c r="O1253" s="82">
        <f>IFERROR(__xludf.DUMMYFUNCTION("""COMPUTED_VALUE"""),331.1805555555556)</f>
        <v>331.1805556</v>
      </c>
      <c r="P1253" s="82">
        <f>IFERROR(__xludf.DUMMYFUNCTION("""COMPUTED_VALUE"""),0.7222222222222224)</f>
        <v>0.7222222222</v>
      </c>
      <c r="Q1253" s="82">
        <f>IFERROR(__xludf.DUMMYFUNCTION("""COMPUTED_VALUE"""),0.5277777777777778)</f>
        <v>0.5277777778</v>
      </c>
      <c r="R1253" s="82">
        <f>IFERROR(__xludf.DUMMYFUNCTION("""COMPUTED_VALUE"""),1.2500000000000002)</f>
        <v>1.25</v>
      </c>
      <c r="S1253" s="82">
        <f>IFERROR(__xludf.DUMMYFUNCTION("""COMPUTED_VALUE"""),2.5416666666666665)</f>
        <v>2.541666667</v>
      </c>
      <c r="T1253" s="82">
        <f>IFERROR(__xludf.DUMMYFUNCTION("""COMPUTED_VALUE"""),352.1303604971031)</f>
        <v>352.1303605</v>
      </c>
      <c r="U1253" s="82">
        <f>IFERROR(__xludf.DUMMYFUNCTION("""COMPUTED_VALUE"""),0.785180396008363)</f>
        <v>0.785180396</v>
      </c>
      <c r="V1253" s="82">
        <f>IFERROR(__xludf.DUMMYFUNCTION("""COMPUTED_VALUE"""),0.5530527106909697)</f>
        <v>0.5530527107</v>
      </c>
      <c r="W1253" s="82">
        <f>IFERROR(__xludf.DUMMYFUNCTION("""COMPUTED_VALUE"""),1.3725167872010646)</f>
        <v>1.372516787</v>
      </c>
      <c r="X1253" s="82">
        <f>IFERROR(__xludf.DUMMYFUNCTION("""COMPUTED_VALUE"""),2.592863553003532)</f>
        <v>2.592863553</v>
      </c>
      <c r="Y1253" s="82">
        <f>IFERROR(__xludf.DUMMYFUNCTION("""COMPUTED_VALUE"""),357.8880404658505)</f>
        <v>357.8880405</v>
      </c>
      <c r="Z1253" s="82">
        <f>IFERROR(__xludf.DUMMYFUNCTION("""COMPUTED_VALUE"""),0.8091158706251734)</f>
        <v>0.8091158706</v>
      </c>
      <c r="AA1253" s="82">
        <f>IFERROR(__xludf.DUMMYFUNCTION("""COMPUTED_VALUE"""),0.5964769912471812)</f>
        <v>0.5964769912</v>
      </c>
      <c r="AB1253" s="82">
        <f>IFERROR(__xludf.DUMMYFUNCTION("""COMPUTED_VALUE"""),1.347654664291784)</f>
        <v>1.347654664</v>
      </c>
      <c r="AC1253" s="82">
        <f>IFERROR(__xludf.DUMMYFUNCTION("""COMPUTED_VALUE"""),2.6689806208473406)</f>
        <v>2.668980621</v>
      </c>
      <c r="AD1253" s="82">
        <f>IFERROR(__xludf.DUMMYFUNCTION("""COMPUTED_VALUE"""),0.991115357952788)</f>
        <v>0.991115358</v>
      </c>
      <c r="AE1253" s="82">
        <f>IFERROR(__xludf.DUMMYFUNCTION("""COMPUTED_VALUE"""),1.1071755799835648)</f>
        <v>1.10717558</v>
      </c>
      <c r="AF1253" s="82">
        <f>IFERROR(__xludf.DUMMYFUNCTION("""COMPUTED_VALUE"""),0.7684006928330939)</f>
        <v>0.7684006928</v>
      </c>
      <c r="AG1253" s="82">
        <f>IFERROR(__xludf.DUMMYFUNCTION("""COMPUTED_VALUE"""),0.8966194124874962)</f>
        <v>0.8966194125</v>
      </c>
      <c r="AH1253" s="82">
        <f>IFERROR(__xludf.DUMMYFUNCTION("""COMPUTED_VALUE"""),1.10060746678161)</f>
        <v>1.100607467</v>
      </c>
      <c r="AI1253" s="82">
        <f>IFERROR(__xludf.DUMMYFUNCTION("""COMPUTED_VALUE"""),0.940505542004465)</f>
        <v>0.940505542</v>
      </c>
      <c r="AJ1253" s="82">
        <f>IFERROR(__xludf.DUMMYFUNCTION("""COMPUTED_VALUE"""),0.9198169311075489)</f>
        <v>0.9198169311</v>
      </c>
      <c r="AK1253" s="82">
        <f>IFERROR(__xludf.DUMMYFUNCTION("""COMPUTED_VALUE"""),0.9542992332835435)</f>
        <v>0.9542992333</v>
      </c>
      <c r="AL1253" s="82">
        <f>IFERROR(__xludf.DUMMYFUNCTION("""COMPUTED_VALUE"""),0.9107356730762401)</f>
        <v>0.9107356731</v>
      </c>
      <c r="AM1253" s="82">
        <f>IFERROR(__xludf.DUMMYFUNCTION("""COMPUTED_VALUE"""),0.9802546932029802)</f>
        <v>0.9802546932</v>
      </c>
      <c r="AN1253" s="82">
        <f>IFERROR(__xludf.DUMMYFUNCTION("""COMPUTED_VALUE"""),1.0260496610425267)</f>
        <v>1.026049661</v>
      </c>
      <c r="AO1253" s="82">
        <f>IFERROR(__xludf.DUMMYFUNCTION("""COMPUTED_VALUE"""),1.1856501453720032)</f>
        <v>1.185650145</v>
      </c>
      <c r="AP1253" s="82">
        <f>IFERROR(__xludf.DUMMYFUNCTION("""COMPUTED_VALUE"""),0.824551740897451)</f>
        <v>0.8245517409</v>
      </c>
      <c r="AQ1253" s="82">
        <f>IFERROR(__xludf.DUMMYFUNCTION("""COMPUTED_VALUE"""),0.893096394926545)</f>
        <v>0.8930963949</v>
      </c>
      <c r="AR1253" s="82">
        <f>IFERROR(__xludf.DUMMYFUNCTION("""COMPUTED_VALUE"""),1.1521808541814529)</f>
        <v>1.152180854</v>
      </c>
      <c r="AS1253" s="82">
        <f>IFERROR(__xludf.DUMMYFUNCTION("""COMPUTED_VALUE"""),112.0)</f>
        <v>112</v>
      </c>
      <c r="AT1253" s="82">
        <f>IFERROR(__xludf.DUMMYFUNCTION("""COMPUTED_VALUE"""),0.5284974506154044)</f>
        <v>0.5284974506</v>
      </c>
      <c r="AU1253" s="82">
        <f>IFERROR(__xludf.DUMMYFUNCTION("""COMPUTED_VALUE"""),2.08001995985907)</f>
        <v>2.08001996</v>
      </c>
      <c r="AV1253" s="82">
        <f>IFERROR(__xludf.DUMMYFUNCTION("""COMPUTED_VALUE"""),59.579063221675966)</f>
        <v>59.57906322</v>
      </c>
      <c r="AW1253" s="82">
        <f t="shared" si="1"/>
        <v>2.850630147</v>
      </c>
      <c r="AX1253" s="83">
        <f t="array" ref="AX1253">IFERROR(DGET('SBV Import'!A:G,"SBV",{"RSC ID","Tier";B1253,A1253}))</f>
        <v>55.60987733</v>
      </c>
      <c r="AY1253" s="82">
        <f t="shared" si="2"/>
        <v>2.4317591</v>
      </c>
      <c r="AZ1253" s="82">
        <v>0.41887104730240576</v>
      </c>
      <c r="BA1253" s="84">
        <v>1200.0</v>
      </c>
      <c r="BB1253" s="84" t="b">
        <f>IFERROR(__xludf.DUMMYFUNCTION("iferror(if(A1253="""",,E1253&gt;=FILTER(Constants!$F$2:$F$10,Constants!$A$2:$A$10=A1253)))"),TRUE)</f>
        <v>1</v>
      </c>
    </row>
    <row r="1254">
      <c r="A1254" s="89" t="str">
        <f>IFERROR(__xludf.DUMMYFUNCTION("""COMPUTED_VALUE"""),"Veteran")</f>
        <v>Veteran</v>
      </c>
      <c r="B1254" s="87" t="str">
        <f>IFERROR(__xludf.DUMMYFUNCTION("""COMPUTED_VALUE"""),"RSC006315")</f>
        <v>RSC006315</v>
      </c>
      <c r="C1254" s="73" t="str">
        <f>IFERROR(__xludf.DUMMYFUNCTION("""COMPUTED_VALUE"""),"BIGbadBULLMAN13")</f>
        <v>BIGbadBULLMAN13</v>
      </c>
      <c r="D1254" s="73" t="str">
        <f>IFERROR(__xludf.DUMMYFUNCTION("""COMPUTED_VALUE"""),"Singularity")</f>
        <v>Singularity</v>
      </c>
      <c r="E1254" s="82">
        <f>IFERROR(__xludf.DUMMYFUNCTION("""COMPUTED_VALUE"""),31.0)</f>
        <v>31</v>
      </c>
      <c r="F1254" s="82">
        <f>IFERROR(__xludf.DUMMYFUNCTION("""COMPUTED_VALUE"""),19.0)</f>
        <v>19</v>
      </c>
      <c r="G1254" s="86">
        <f>IFERROR(__xludf.DUMMYFUNCTION("""COMPUTED_VALUE"""),12.0)</f>
        <v>12</v>
      </c>
      <c r="H1254" s="86">
        <f>IFERROR(__xludf.DUMMYFUNCTION("""COMPUTED_VALUE"""),0.6129032258064516)</f>
        <v>0.6129032258</v>
      </c>
      <c r="I1254" s="86">
        <f>IFERROR(__xludf.DUMMYFUNCTION("""COMPUTED_VALUE"""),0.28205128205128205)</f>
        <v>0.2820512821</v>
      </c>
      <c r="J1254" s="82">
        <f>IFERROR(__xludf.DUMMYFUNCTION("""COMPUTED_VALUE"""),364.4516129032258)</f>
        <v>364.4516129</v>
      </c>
      <c r="K1254" s="82">
        <f>IFERROR(__xludf.DUMMYFUNCTION("""COMPUTED_VALUE"""),0.7096774193548387)</f>
        <v>0.7096774194</v>
      </c>
      <c r="L1254" s="82">
        <f>IFERROR(__xludf.DUMMYFUNCTION("""COMPUTED_VALUE"""),0.6129032258064516)</f>
        <v>0.6129032258</v>
      </c>
      <c r="M1254" s="82">
        <f>IFERROR(__xludf.DUMMYFUNCTION("""COMPUTED_VALUE"""),1.7096774193548387)</f>
        <v>1.709677419</v>
      </c>
      <c r="N1254" s="82">
        <f>IFERROR(__xludf.DUMMYFUNCTION("""COMPUTED_VALUE"""),2.5161290322580645)</f>
        <v>2.516129032</v>
      </c>
      <c r="O1254" s="82">
        <f>IFERROR(__xludf.DUMMYFUNCTION("""COMPUTED_VALUE"""),328.4408602150538)</f>
        <v>328.4408602</v>
      </c>
      <c r="P1254" s="82">
        <f>IFERROR(__xludf.DUMMYFUNCTION("""COMPUTED_VALUE"""),0.6236559139784947)</f>
        <v>0.623655914</v>
      </c>
      <c r="Q1254" s="82">
        <f>IFERROR(__xludf.DUMMYFUNCTION("""COMPUTED_VALUE"""),0.4731182795698924)</f>
        <v>0.4731182796</v>
      </c>
      <c r="R1254" s="82">
        <f>IFERROR(__xludf.DUMMYFUNCTION("""COMPUTED_VALUE"""),1.3010752688172043)</f>
        <v>1.301075269</v>
      </c>
      <c r="S1254" s="82">
        <f>IFERROR(__xludf.DUMMYFUNCTION("""COMPUTED_VALUE"""),2.8494623655913975)</f>
        <v>2.849462366</v>
      </c>
      <c r="T1254" s="82">
        <f>IFERROR(__xludf.DUMMYFUNCTION("""COMPUTED_VALUE"""),349.6970530291893)</f>
        <v>349.697053</v>
      </c>
      <c r="U1254" s="82">
        <f>IFERROR(__xludf.DUMMYFUNCTION("""COMPUTED_VALUE"""),0.7691907205878318)</f>
        <v>0.7691907206</v>
      </c>
      <c r="V1254" s="82">
        <f>IFERROR(__xludf.DUMMYFUNCTION("""COMPUTED_VALUE"""),0.5803909879240617)</f>
        <v>0.5803909879</v>
      </c>
      <c r="W1254" s="82">
        <f>IFERROR(__xludf.DUMMYFUNCTION("""COMPUTED_VALUE"""),1.2961137206963758)</f>
        <v>1.296113721</v>
      </c>
      <c r="X1254" s="82">
        <f>IFERROR(__xludf.DUMMYFUNCTION("""COMPUTED_VALUE"""),2.6132883953419173)</f>
        <v>2.613288395</v>
      </c>
      <c r="Y1254" s="82">
        <f>IFERROR(__xludf.DUMMYFUNCTION("""COMPUTED_VALUE"""),350.01979286054865)</f>
        <v>350.0197929</v>
      </c>
      <c r="Z1254" s="82">
        <f>IFERROR(__xludf.DUMMYFUNCTION("""COMPUTED_VALUE"""),0.752993092178672)</f>
        <v>0.7529930922</v>
      </c>
      <c r="AA1254" s="82">
        <f>IFERROR(__xludf.DUMMYFUNCTION("""COMPUTED_VALUE"""),0.5472222827566672)</f>
        <v>0.5472222828</v>
      </c>
      <c r="AB1254" s="82">
        <f>IFERROR(__xludf.DUMMYFUNCTION("""COMPUTED_VALUE"""),1.3743530608414694)</f>
        <v>1.374353061</v>
      </c>
      <c r="AC1254" s="82">
        <f>IFERROR(__xludf.DUMMYFUNCTION("""COMPUTED_VALUE"""),2.5609125853046315)</f>
        <v>2.560912585</v>
      </c>
      <c r="AD1254" s="82">
        <f>IFERROR(__xludf.DUMMYFUNCTION("""COMPUTED_VALUE"""),1.0412314398701075)</f>
        <v>1.04123144</v>
      </c>
      <c r="AE1254" s="82">
        <f>IFERROR(__xludf.DUMMYFUNCTION("""COMPUTED_VALUE"""),0.9424753383878915)</f>
        <v>0.9424753384</v>
      </c>
      <c r="AF1254" s="82">
        <f>IFERROR(__xludf.DUMMYFUNCTION("""COMPUTED_VALUE"""),1.1200260755444982)</f>
        <v>1.120026076</v>
      </c>
      <c r="AG1254" s="82">
        <f>IFERROR(__xludf.DUMMYFUNCTION("""COMPUTED_VALUE"""),1.2439870569415852)</f>
        <v>1.243987057</v>
      </c>
      <c r="AH1254" s="82">
        <f>IFERROR(__xludf.DUMMYFUNCTION("""COMPUTED_VALUE"""),0.9825126584548219)</f>
        <v>0.9825126585</v>
      </c>
      <c r="AI1254" s="82">
        <f>IFERROR(__xludf.DUMMYFUNCTION("""COMPUTED_VALUE"""),0.9392154076506867)</f>
        <v>0.9392154077</v>
      </c>
      <c r="AJ1254" s="82">
        <f>IFERROR(__xludf.DUMMYFUNCTION("""COMPUTED_VALUE"""),0.810794900778163)</f>
        <v>0.8107949008</v>
      </c>
      <c r="AK1254" s="82">
        <f>IFERROR(__xludf.DUMMYFUNCTION("""COMPUTED_VALUE"""),0.8151716505146616)</f>
        <v>0.8151716505</v>
      </c>
      <c r="AL1254" s="82">
        <f>IFERROR(__xludf.DUMMYFUNCTION("""COMPUTED_VALUE"""),1.0038280191325826)</f>
        <v>1.003828019</v>
      </c>
      <c r="AM1254" s="82">
        <f>IFERROR(__xludf.DUMMYFUNCTION("""COMPUTED_VALUE"""),1.0903742467423232)</f>
        <v>1.090374247</v>
      </c>
      <c r="AN1254" s="82">
        <f>IFERROR(__xludf.DUMMYFUNCTION("""COMPUTED_VALUE"""),1.054233630125475)</f>
        <v>1.05423363</v>
      </c>
      <c r="AO1254" s="82">
        <f>IFERROR(__xludf.DUMMYFUNCTION("""COMPUTED_VALUE"""),0.9392697325677685)</f>
        <v>0.9392697326</v>
      </c>
      <c r="AP1254" s="82">
        <f>IFERROR(__xludf.DUMMYFUNCTION("""COMPUTED_VALUE"""),1.1026263749244507)</f>
        <v>1.102626375</v>
      </c>
      <c r="AQ1254" s="82">
        <f>IFERROR(__xludf.DUMMYFUNCTION("""COMPUTED_VALUE"""),1.263646957003966)</f>
        <v>1.263646957</v>
      </c>
      <c r="AR1254" s="82">
        <f>IFERROR(__xludf.DUMMYFUNCTION("""COMPUTED_VALUE"""),0.986905769401821)</f>
        <v>0.9869057694</v>
      </c>
      <c r="AS1254" s="82">
        <f>IFERROR(__xludf.DUMMYFUNCTION("""COMPUTED_VALUE"""),75.0)</f>
        <v>75</v>
      </c>
      <c r="AT1254" s="82">
        <f>IFERROR(__xludf.DUMMYFUNCTION("""COMPUTED_VALUE"""),0.5963842111093005)</f>
        <v>0.5963842111</v>
      </c>
      <c r="AU1254" s="82">
        <f>IFERROR(__xludf.DUMMYFUNCTION("""COMPUTED_VALUE"""),2.0791051728041516)</f>
        <v>2.079105173</v>
      </c>
      <c r="AV1254" s="82">
        <f>IFERROR(__xludf.DUMMYFUNCTION("""COMPUTED_VALUE"""),59.54635766913756)</f>
        <v>59.54635767</v>
      </c>
      <c r="AW1254" s="82">
        <f t="shared" si="1"/>
        <v>2.846693724</v>
      </c>
      <c r="AX1254" s="83">
        <f t="array" ref="AX1254">IFERROR(DGET('SBV Import'!A:G,"SBV",{"RSC ID","Tier";B1254,A1254}))</f>
        <v>47.73074124</v>
      </c>
      <c r="AY1254" s="82">
        <f t="shared" si="2"/>
        <v>-2.155927291</v>
      </c>
      <c r="AZ1254" s="82">
        <v>5.002621015495512</v>
      </c>
      <c r="BA1254" s="84">
        <v>1200.0</v>
      </c>
      <c r="BB1254" s="84" t="b">
        <f>IFERROR(__xludf.DUMMYFUNCTION("iferror(if(A1254="""",,E1254&gt;=FILTER(Constants!$F$2:$F$10,Constants!$A$2:$A$10=A1254)))"),TRUE)</f>
        <v>1</v>
      </c>
    </row>
    <row r="1255">
      <c r="A1255" s="89" t="str">
        <f>IFERROR(__xludf.DUMMYFUNCTION("""COMPUTED_VALUE"""),"Veteran")</f>
        <v>Veteran</v>
      </c>
      <c r="B1255" s="87" t="str">
        <f>IFERROR(__xludf.DUMMYFUNCTION("""COMPUTED_VALUE"""),"RSC001098")</f>
        <v>RSC001098</v>
      </c>
      <c r="C1255" s="73" t="str">
        <f>IFERROR(__xludf.DUMMYFUNCTION("""COMPUTED_VALUE"""),"Wafe")</f>
        <v>Wafe</v>
      </c>
      <c r="D1255" s="73" t="str">
        <f>IFERROR(__xludf.DUMMYFUNCTION("""COMPUTED_VALUE"""),"Silver Dollar")</f>
        <v>Silver Dollar</v>
      </c>
      <c r="E1255" s="82">
        <f>IFERROR(__xludf.DUMMYFUNCTION("""COMPUTED_VALUE"""),46.0)</f>
        <v>46</v>
      </c>
      <c r="F1255" s="82">
        <f>IFERROR(__xludf.DUMMYFUNCTION("""COMPUTED_VALUE"""),25.0)</f>
        <v>25</v>
      </c>
      <c r="G1255" s="86">
        <f>IFERROR(__xludf.DUMMYFUNCTION("""COMPUTED_VALUE"""),21.0)</f>
        <v>21</v>
      </c>
      <c r="H1255" s="86">
        <f>IFERROR(__xludf.DUMMYFUNCTION("""COMPUTED_VALUE"""),0.5434782608695652)</f>
        <v>0.5434782609</v>
      </c>
      <c r="I1255" s="86">
        <f>IFERROR(__xludf.DUMMYFUNCTION("""COMPUTED_VALUE"""),0.304)</f>
        <v>0.304</v>
      </c>
      <c r="J1255" s="82">
        <f>IFERROR(__xludf.DUMMYFUNCTION("""COMPUTED_VALUE"""),393.2173913043478)</f>
        <v>393.2173913</v>
      </c>
      <c r="K1255" s="82">
        <f>IFERROR(__xludf.DUMMYFUNCTION("""COMPUTED_VALUE"""),0.8260869565217391)</f>
        <v>0.8260869565</v>
      </c>
      <c r="L1255" s="82">
        <f>IFERROR(__xludf.DUMMYFUNCTION("""COMPUTED_VALUE"""),0.4782608695652174)</f>
        <v>0.4782608696</v>
      </c>
      <c r="M1255" s="82">
        <f>IFERROR(__xludf.DUMMYFUNCTION("""COMPUTED_VALUE"""),1.5217391304347827)</f>
        <v>1.52173913</v>
      </c>
      <c r="N1255" s="82">
        <f>IFERROR(__xludf.DUMMYFUNCTION("""COMPUTED_VALUE"""),2.717391304347826)</f>
        <v>2.717391304</v>
      </c>
      <c r="O1255" s="82">
        <f>IFERROR(__xludf.DUMMYFUNCTION("""COMPUTED_VALUE"""),338.33333333333337)</f>
        <v>338.3333333</v>
      </c>
      <c r="P1255" s="82">
        <f>IFERROR(__xludf.DUMMYFUNCTION("""COMPUTED_VALUE"""),0.7028985507246377)</f>
        <v>0.7028985507</v>
      </c>
      <c r="Q1255" s="82">
        <f>IFERROR(__xludf.DUMMYFUNCTION("""COMPUTED_VALUE"""),0.4855072463768116)</f>
        <v>0.4855072464</v>
      </c>
      <c r="R1255" s="82">
        <f>IFERROR(__xludf.DUMMYFUNCTION("""COMPUTED_VALUE"""),1.2681159420289856)</f>
        <v>1.268115942</v>
      </c>
      <c r="S1255" s="82">
        <f>IFERROR(__xludf.DUMMYFUNCTION("""COMPUTED_VALUE"""),2.5072463768115942)</f>
        <v>2.507246377</v>
      </c>
      <c r="T1255" s="82">
        <f>IFERROR(__xludf.DUMMYFUNCTION("""COMPUTED_VALUE"""),343.1952647504615)</f>
        <v>343.1952648</v>
      </c>
      <c r="U1255" s="82">
        <f>IFERROR(__xludf.DUMMYFUNCTION("""COMPUTED_VALUE"""),0.7381595169445475)</f>
        <v>0.7381595169</v>
      </c>
      <c r="V1255" s="82">
        <f>IFERROR(__xludf.DUMMYFUNCTION("""COMPUTED_VALUE"""),0.5278717242551777)</f>
        <v>0.5278717243</v>
      </c>
      <c r="W1255" s="82">
        <f>IFERROR(__xludf.DUMMYFUNCTION("""COMPUTED_VALUE"""),1.3467815958991807)</f>
        <v>1.346781596</v>
      </c>
      <c r="X1255" s="82">
        <f>IFERROR(__xludf.DUMMYFUNCTION("""COMPUTED_VALUE"""),2.5379669149978383)</f>
        <v>2.537966915</v>
      </c>
      <c r="Y1255" s="82">
        <f>IFERROR(__xludf.DUMMYFUNCTION("""COMPUTED_VALUE"""),355.3393969439962)</f>
        <v>355.3393969</v>
      </c>
      <c r="Z1255" s="82">
        <f>IFERROR(__xludf.DUMMYFUNCTION("""COMPUTED_VALUE"""),0.7949067449845175)</f>
        <v>0.794906745</v>
      </c>
      <c r="AA1255" s="82">
        <f>IFERROR(__xludf.DUMMYFUNCTION("""COMPUTED_VALUE"""),0.5797697817206451)</f>
        <v>0.5797697817</v>
      </c>
      <c r="AB1255" s="82">
        <f>IFERROR(__xludf.DUMMYFUNCTION("""COMPUTED_VALUE"""),1.3505816784954559)</f>
        <v>1.350581678</v>
      </c>
      <c r="AC1255" s="82">
        <f>IFERROR(__xludf.DUMMYFUNCTION("""COMPUTED_VALUE"""),2.677541129756747)</f>
        <v>2.67754113</v>
      </c>
      <c r="AD1255" s="82">
        <f>IFERROR(__xludf.DUMMYFUNCTION("""COMPUTED_VALUE"""),1.1065966641642089)</f>
        <v>1.106596664</v>
      </c>
      <c r="AE1255" s="82">
        <f>IFERROR(__xludf.DUMMYFUNCTION("""COMPUTED_VALUE"""),1.0392249930371755)</f>
        <v>1.039224993</v>
      </c>
      <c r="AF1255" s="82">
        <f>IFERROR(__xludf.DUMMYFUNCTION("""COMPUTED_VALUE"""),0.824915138118843)</f>
        <v>0.8249151381</v>
      </c>
      <c r="AG1255" s="82">
        <f>IFERROR(__xludf.DUMMYFUNCTION("""COMPUTED_VALUE"""),1.1267286937654861)</f>
        <v>1.126728694</v>
      </c>
      <c r="AH1255" s="82">
        <f>IFERROR(__xludf.DUMMYFUNCTION("""COMPUTED_VALUE"""),1.0148831232313131)</f>
        <v>1.014883123</v>
      </c>
      <c r="AI1255" s="82">
        <f>IFERROR(__xludf.DUMMYFUNCTION("""COMPUTED_VALUE"""),0.9858333377045186)</f>
        <v>0.9858333377</v>
      </c>
      <c r="AJ1255" s="82">
        <f>IFERROR(__xludf.DUMMYFUNCTION("""COMPUTED_VALUE"""),0.9522312380854141)</f>
        <v>0.9522312381</v>
      </c>
      <c r="AK1255" s="82">
        <f>IFERROR(__xludf.DUMMYFUNCTION("""COMPUTED_VALUE"""),0.9197447487111722)</f>
        <v>0.9197447487</v>
      </c>
      <c r="AL1255" s="82">
        <f>IFERROR(__xludf.DUMMYFUNCTION("""COMPUTED_VALUE"""),0.9415898954145763)</f>
        <v>0.9415898954</v>
      </c>
      <c r="AM1255" s="82">
        <f>IFERROR(__xludf.DUMMYFUNCTION("""COMPUTED_VALUE"""),0.9878956112450858)</f>
        <v>0.9878956112</v>
      </c>
      <c r="AN1255" s="82">
        <f>IFERROR(__xludf.DUMMYFUNCTION("""COMPUTED_VALUE"""),1.1374431699204117)</f>
        <v>1.13744317</v>
      </c>
      <c r="AO1255" s="82">
        <f>IFERROR(__xludf.DUMMYFUNCTION("""COMPUTED_VALUE"""),1.0933396689375803)</f>
        <v>1.093339669</v>
      </c>
      <c r="AP1255" s="82">
        <f>IFERROR(__xludf.DUMMYFUNCTION("""COMPUTED_VALUE"""),0.8604018165886446)</f>
        <v>0.8604018166</v>
      </c>
      <c r="AQ1255" s="82">
        <f>IFERROR(__xludf.DUMMYFUNCTION("""COMPUTED_VALUE"""),1.1247390880634152)</f>
        <v>1.124739088</v>
      </c>
      <c r="AR1255" s="82">
        <f>IFERROR(__xludf.DUMMYFUNCTION("""COMPUTED_VALUE"""),1.0658472286599934)</f>
        <v>1.065847229</v>
      </c>
      <c r="AS1255" s="82">
        <f>IFERROR(__xludf.DUMMYFUNCTION("""COMPUTED_VALUE"""),107.0)</f>
        <v>107</v>
      </c>
      <c r="AT1255" s="82">
        <f>IFERROR(__xludf.DUMMYFUNCTION("""COMPUTED_VALUE"""),0.5375424207199054)</f>
        <v>0.5375424207</v>
      </c>
      <c r="AU1255" s="82">
        <f>IFERROR(__xludf.DUMMYFUNCTION("""COMPUTED_VALUE"""),2.0588935822745964)</f>
        <v>2.058893582</v>
      </c>
      <c r="AV1255" s="82">
        <f>IFERROR(__xludf.DUMMYFUNCTION("""COMPUTED_VALUE"""),58.82375098991638)</f>
        <v>58.82375099</v>
      </c>
      <c r="AW1255" s="82">
        <f t="shared" si="1"/>
        <v>2.761950666</v>
      </c>
      <c r="AX1255" s="83">
        <f t="array" ref="AX1255">IFERROR(DGET('SBV Import'!A:G,"SBV",{"RSC ID","Tier";B1255,A1255}))</f>
        <v>65.29792897</v>
      </c>
      <c r="AY1255" s="82">
        <f t="shared" si="2"/>
        <v>3.699643904</v>
      </c>
      <c r="AZ1255" s="82">
        <v>0.9376932375680034</v>
      </c>
      <c r="BA1255" s="84">
        <v>1200.0</v>
      </c>
      <c r="BB1255" s="84" t="b">
        <f>IFERROR(__xludf.DUMMYFUNCTION("iferror(if(A1255="""",,E1255&gt;=FILTER(Constants!$F$2:$F$10,Constants!$A$2:$A$10=A1255)))"),TRUE)</f>
        <v>1</v>
      </c>
    </row>
    <row r="1256">
      <c r="A1256" s="89" t="str">
        <f>IFERROR(__xludf.DUMMYFUNCTION("""COMPUTED_VALUE"""),"Veteran")</f>
        <v>Veteran</v>
      </c>
      <c r="B1256" s="87" t="str">
        <f>IFERROR(__xludf.DUMMYFUNCTION("""COMPUTED_VALUE"""),"RSC005048")</f>
        <v>RSC005048</v>
      </c>
      <c r="C1256" s="73" t="str">
        <f>IFERROR(__xludf.DUMMYFUNCTION("""COMPUTED_VALUE"""),"heyzisthename11")</f>
        <v>heyzisthename11</v>
      </c>
      <c r="D1256" s="73" t="str">
        <f>IFERROR(__xludf.DUMMYFUNCTION("""COMPUTED_VALUE"""),"Gorillas")</f>
        <v>Gorillas</v>
      </c>
      <c r="E1256" s="82">
        <f>IFERROR(__xludf.DUMMYFUNCTION("""COMPUTED_VALUE"""),46.0)</f>
        <v>46</v>
      </c>
      <c r="F1256" s="82">
        <f>IFERROR(__xludf.DUMMYFUNCTION("""COMPUTED_VALUE"""),25.0)</f>
        <v>25</v>
      </c>
      <c r="G1256" s="86">
        <f>IFERROR(__xludf.DUMMYFUNCTION("""COMPUTED_VALUE"""),21.0)</f>
        <v>21</v>
      </c>
      <c r="H1256" s="86">
        <f>IFERROR(__xludf.DUMMYFUNCTION("""COMPUTED_VALUE"""),0.5434782608695652)</f>
        <v>0.5434782609</v>
      </c>
      <c r="I1256" s="86">
        <f>IFERROR(__xludf.DUMMYFUNCTION("""COMPUTED_VALUE"""),0.2522522522522523)</f>
        <v>0.2522522523</v>
      </c>
      <c r="J1256" s="82">
        <f>IFERROR(__xludf.DUMMYFUNCTION("""COMPUTED_VALUE"""),332.60869565217394)</f>
        <v>332.6086957</v>
      </c>
      <c r="K1256" s="82">
        <f>IFERROR(__xludf.DUMMYFUNCTION("""COMPUTED_VALUE"""),0.6086956521739131)</f>
        <v>0.6086956522</v>
      </c>
      <c r="L1256" s="82">
        <f>IFERROR(__xludf.DUMMYFUNCTION("""COMPUTED_VALUE"""),0.9347826086956522)</f>
        <v>0.9347826087</v>
      </c>
      <c r="M1256" s="82">
        <f>IFERROR(__xludf.DUMMYFUNCTION("""COMPUTED_VALUE"""),1.173913043478261)</f>
        <v>1.173913043</v>
      </c>
      <c r="N1256" s="82">
        <f>IFERROR(__xludf.DUMMYFUNCTION("""COMPUTED_VALUE"""),2.4130434782608696)</f>
        <v>2.413043478</v>
      </c>
      <c r="O1256" s="82">
        <f>IFERROR(__xludf.DUMMYFUNCTION("""COMPUTED_VALUE"""),345.6086956521739)</f>
        <v>345.6086957</v>
      </c>
      <c r="P1256" s="82">
        <f>IFERROR(__xludf.DUMMYFUNCTION("""COMPUTED_VALUE"""),0.7391304347826086)</f>
        <v>0.7391304348</v>
      </c>
      <c r="Q1256" s="82">
        <f>IFERROR(__xludf.DUMMYFUNCTION("""COMPUTED_VALUE"""),0.5289855072463768)</f>
        <v>0.5289855072</v>
      </c>
      <c r="R1256" s="82">
        <f>IFERROR(__xludf.DUMMYFUNCTION("""COMPUTED_VALUE"""),1.4492753623188404)</f>
        <v>1.449275362</v>
      </c>
      <c r="S1256" s="82">
        <f>IFERROR(__xludf.DUMMYFUNCTION("""COMPUTED_VALUE"""),2.4130434782608696)</f>
        <v>2.413043478</v>
      </c>
      <c r="T1256" s="82">
        <f>IFERROR(__xludf.DUMMYFUNCTION("""COMPUTED_VALUE"""),351.95363957709634)</f>
        <v>351.9536396</v>
      </c>
      <c r="U1256" s="82">
        <f>IFERROR(__xludf.DUMMYFUNCTION("""COMPUTED_VALUE"""),0.7741061383608835)</f>
        <v>0.7741061384</v>
      </c>
      <c r="V1256" s="82">
        <f>IFERROR(__xludf.DUMMYFUNCTION("""COMPUTED_VALUE"""),0.5711883737872616)</f>
        <v>0.5711883738</v>
      </c>
      <c r="W1256" s="82">
        <f>IFERROR(__xludf.DUMMYFUNCTION("""COMPUTED_VALUE"""),1.3533071289568945)</f>
        <v>1.353307129</v>
      </c>
      <c r="X1256" s="82">
        <f>IFERROR(__xludf.DUMMYFUNCTION("""COMPUTED_VALUE"""),2.6546770846453946)</f>
        <v>2.654677085</v>
      </c>
      <c r="Y1256" s="82">
        <f>IFERROR(__xludf.DUMMYFUNCTION("""COMPUTED_VALUE"""),364.2180129865111)</f>
        <v>364.218013</v>
      </c>
      <c r="Z1256" s="82">
        <f>IFERROR(__xludf.DUMMYFUNCTION("""COMPUTED_VALUE"""),0.8249521420564155)</f>
        <v>0.8249521421</v>
      </c>
      <c r="AA1256" s="82">
        <f>IFERROR(__xludf.DUMMYFUNCTION("""COMPUTED_VALUE"""),0.6193670369644425)</f>
        <v>0.619367037</v>
      </c>
      <c r="AB1256" s="82">
        <f>IFERROR(__xludf.DUMMYFUNCTION("""COMPUTED_VALUE"""),1.3918856030591618)</f>
        <v>1.391885603</v>
      </c>
      <c r="AC1256" s="82">
        <f>IFERROR(__xludf.DUMMYFUNCTION("""COMPUTED_VALUE"""),2.631830095992245)</f>
        <v>2.631830096</v>
      </c>
      <c r="AD1256" s="82">
        <f>IFERROR(__xludf.DUMMYFUNCTION("""COMPUTED_VALUE"""),0.9132131959231027)</f>
        <v>0.9132131959</v>
      </c>
      <c r="AE1256" s="82">
        <f>IFERROR(__xludf.DUMMYFUNCTION("""COMPUTED_VALUE"""),0.7378557144619021)</f>
        <v>0.7378557145</v>
      </c>
      <c r="AF1256" s="82">
        <f>IFERROR(__xludf.DUMMYFUNCTION("""COMPUTED_VALUE"""),1.509254695369456)</f>
        <v>1.509254695</v>
      </c>
      <c r="AG1256" s="82">
        <f>IFERROR(__xludf.DUMMYFUNCTION("""COMPUTED_VALUE"""),0.8433976476932954)</f>
        <v>0.8433976477</v>
      </c>
      <c r="AH1256" s="82">
        <f>IFERROR(__xludf.DUMMYFUNCTION("""COMPUTED_VALUE"""),0.9168690189900388)</f>
        <v>0.916869019</v>
      </c>
      <c r="AI1256" s="82">
        <f>IFERROR(__xludf.DUMMYFUNCTION("""COMPUTED_VALUE"""),0.981972216759723)</f>
        <v>0.9819722168</v>
      </c>
      <c r="AJ1256" s="82">
        <f>IFERROR(__xludf.DUMMYFUNCTION("""COMPUTED_VALUE"""),0.9548179482824752)</f>
        <v>0.9548179483</v>
      </c>
      <c r="AK1256" s="82">
        <f>IFERROR(__xludf.DUMMYFUNCTION("""COMPUTED_VALUE"""),0.9261139258471616)</f>
        <v>0.9261139258</v>
      </c>
      <c r="AL1256" s="82">
        <f>IFERROR(__xludf.DUMMYFUNCTION("""COMPUTED_VALUE"""),1.0709138607995927)</f>
        <v>1.070913861</v>
      </c>
      <c r="AM1256" s="82">
        <f>IFERROR(__xludf.DUMMYFUNCTION("""COMPUTED_VALUE"""),0.9089781549017282)</f>
        <v>0.9089781549</v>
      </c>
      <c r="AN1256" s="82">
        <f>IFERROR(__xludf.DUMMYFUNCTION("""COMPUTED_VALUE"""),0.9621229820755364)</f>
        <v>0.9621229821</v>
      </c>
      <c r="AO1256" s="82">
        <f>IFERROR(__xludf.DUMMYFUNCTION("""COMPUTED_VALUE"""),0.8056187034276908)</f>
        <v>0.8056187034</v>
      </c>
      <c r="AP1256" s="82">
        <f>IFERROR(__xludf.DUMMYFUNCTION("""COMPUTED_VALUE"""),1.681694459695987)</f>
        <v>1.68169446</v>
      </c>
      <c r="AQ1256" s="82">
        <f>IFERROR(__xludf.DUMMYFUNCTION("""COMPUTED_VALUE"""),0.8676558679346346)</f>
        <v>0.8676558679</v>
      </c>
      <c r="AR1256" s="82">
        <f>IFERROR(__xludf.DUMMYFUNCTION("""COMPUTED_VALUE"""),0.9464723390500741)</f>
        <v>0.9464723391</v>
      </c>
      <c r="AS1256" s="82">
        <f>IFERROR(__xludf.DUMMYFUNCTION("""COMPUTED_VALUE"""),126.0)</f>
        <v>126</v>
      </c>
      <c r="AT1256" s="82">
        <f>IFERROR(__xludf.DUMMYFUNCTION("""COMPUTED_VALUE"""),0.5828609834236497)</f>
        <v>0.5828609834</v>
      </c>
      <c r="AU1256" s="82">
        <f>IFERROR(__xludf.DUMMYFUNCTION("""COMPUTED_VALUE"""),2.050424309537055)</f>
        <v>2.05042431</v>
      </c>
      <c r="AV1256" s="82">
        <f>IFERROR(__xludf.DUMMYFUNCTION("""COMPUTED_VALUE"""),58.52095675710506)</f>
        <v>58.52095676</v>
      </c>
      <c r="AW1256" s="82">
        <f t="shared" si="1"/>
        <v>2.727674421</v>
      </c>
      <c r="AX1256" s="83">
        <f t="array" ref="AX1256">IFERROR(DGET('SBV Import'!A:G,"SBV",{"RSC ID","Tier";B1256,A1256}))</f>
        <v>47.53248148</v>
      </c>
      <c r="AY1256" s="82">
        <f t="shared" si="2"/>
        <v>-2.170666763</v>
      </c>
      <c r="AZ1256" s="82">
        <v>4.898341184196898</v>
      </c>
      <c r="BA1256" s="84">
        <v>1200.0</v>
      </c>
      <c r="BB1256" s="84" t="b">
        <f>IFERROR(__xludf.DUMMYFUNCTION("iferror(if(A1256="""",,E1256&gt;=FILTER(Constants!$F$2:$F$10,Constants!$A$2:$A$10=A1256)))"),TRUE)</f>
        <v>1</v>
      </c>
    </row>
    <row r="1257">
      <c r="A1257" s="89" t="str">
        <f>IFERROR(__xludf.DUMMYFUNCTION("""COMPUTED_VALUE"""),"Veteran")</f>
        <v>Veteran</v>
      </c>
      <c r="B1257" s="87" t="str">
        <f>IFERROR(__xludf.DUMMYFUNCTION("""COMPUTED_VALUE"""),"RSC000960")</f>
        <v>RSC000960</v>
      </c>
      <c r="C1257" s="73" t="str">
        <f>IFERROR(__xludf.DUMMYFUNCTION("""COMPUTED_VALUE"""),"Catlas")</f>
        <v>Catlas</v>
      </c>
      <c r="D1257" s="73" t="str">
        <f>IFERROR(__xludf.DUMMYFUNCTION("""COMPUTED_VALUE"""),"Paradox Paloma")</f>
        <v>Paradox Paloma</v>
      </c>
      <c r="E1257" s="82">
        <f>IFERROR(__xludf.DUMMYFUNCTION("""COMPUTED_VALUE"""),48.0)</f>
        <v>48</v>
      </c>
      <c r="F1257" s="82">
        <f>IFERROR(__xludf.DUMMYFUNCTION("""COMPUTED_VALUE"""),30.0)</f>
        <v>30</v>
      </c>
      <c r="G1257" s="86">
        <f>IFERROR(__xludf.DUMMYFUNCTION("""COMPUTED_VALUE"""),18.0)</f>
        <v>18</v>
      </c>
      <c r="H1257" s="86">
        <f>IFERROR(__xludf.DUMMYFUNCTION("""COMPUTED_VALUE"""),0.625)</f>
        <v>0.625</v>
      </c>
      <c r="I1257" s="86">
        <f>IFERROR(__xludf.DUMMYFUNCTION("""COMPUTED_VALUE"""),0.23134328358208958)</f>
        <v>0.2313432836</v>
      </c>
      <c r="J1257" s="82">
        <f>IFERROR(__xludf.DUMMYFUNCTION("""COMPUTED_VALUE"""),363.9791666666667)</f>
        <v>363.9791667</v>
      </c>
      <c r="K1257" s="82">
        <f>IFERROR(__xludf.DUMMYFUNCTION("""COMPUTED_VALUE"""),0.6458333333333334)</f>
        <v>0.6458333333</v>
      </c>
      <c r="L1257" s="82">
        <f>IFERROR(__xludf.DUMMYFUNCTION("""COMPUTED_VALUE"""),0.75)</f>
        <v>0.75</v>
      </c>
      <c r="M1257" s="82">
        <f>IFERROR(__xludf.DUMMYFUNCTION("""COMPUTED_VALUE"""),1.6041666666666667)</f>
        <v>1.604166667</v>
      </c>
      <c r="N1257" s="82">
        <f>IFERROR(__xludf.DUMMYFUNCTION("""COMPUTED_VALUE"""),2.7916666666666665)</f>
        <v>2.791666667</v>
      </c>
      <c r="O1257" s="82">
        <f>IFERROR(__xludf.DUMMYFUNCTION("""COMPUTED_VALUE"""),370.04861111111103)</f>
        <v>370.0486111</v>
      </c>
      <c r="P1257" s="82">
        <f>IFERROR(__xludf.DUMMYFUNCTION("""COMPUTED_VALUE"""),0.7430555555555557)</f>
        <v>0.7430555556</v>
      </c>
      <c r="Q1257" s="82">
        <f>IFERROR(__xludf.DUMMYFUNCTION("""COMPUTED_VALUE"""),0.5763888888888888)</f>
        <v>0.5763888889</v>
      </c>
      <c r="R1257" s="82">
        <f>IFERROR(__xludf.DUMMYFUNCTION("""COMPUTED_VALUE"""),1.6458333333333333)</f>
        <v>1.645833333</v>
      </c>
      <c r="S1257" s="82">
        <f>IFERROR(__xludf.DUMMYFUNCTION("""COMPUTED_VALUE"""),2.541666666666667)</f>
        <v>2.541666667</v>
      </c>
      <c r="T1257" s="82">
        <f>IFERROR(__xludf.DUMMYFUNCTION("""COMPUTED_VALUE"""),358.4060457137385)</f>
        <v>358.4060457</v>
      </c>
      <c r="U1257" s="82">
        <f>IFERROR(__xludf.DUMMYFUNCTION("""COMPUTED_VALUE"""),0.7841275391017467)</f>
        <v>0.7841275391</v>
      </c>
      <c r="V1257" s="82">
        <f>IFERROR(__xludf.DUMMYFUNCTION("""COMPUTED_VALUE"""),0.576074458615064)</f>
        <v>0.5760744586</v>
      </c>
      <c r="W1257" s="82">
        <f>IFERROR(__xludf.DUMMYFUNCTION("""COMPUTED_VALUE"""),1.3945418795184015)</f>
        <v>1.39454188</v>
      </c>
      <c r="X1257" s="82">
        <f>IFERROR(__xludf.DUMMYFUNCTION("""COMPUTED_VALUE"""),2.5699879736593654)</f>
        <v>2.569987974</v>
      </c>
      <c r="Y1257" s="82">
        <f>IFERROR(__xludf.DUMMYFUNCTION("""COMPUTED_VALUE"""),353.6552627796262)</f>
        <v>353.6552628</v>
      </c>
      <c r="Z1257" s="82">
        <f>IFERROR(__xludf.DUMMYFUNCTION("""COMPUTED_VALUE"""),0.7972746076988436)</f>
        <v>0.7972746077</v>
      </c>
      <c r="AA1257" s="82">
        <f>IFERROR(__xludf.DUMMYFUNCTION("""COMPUTED_VALUE"""),0.5845740712602071)</f>
        <v>0.5845740713</v>
      </c>
      <c r="AB1257" s="82">
        <f>IFERROR(__xludf.DUMMYFUNCTION("""COMPUTED_VALUE"""),1.3147564387683095)</f>
        <v>1.314756439</v>
      </c>
      <c r="AC1257" s="82">
        <f>IFERROR(__xludf.DUMMYFUNCTION("""COMPUTED_VALUE"""),2.635948485634124)</f>
        <v>2.635948486</v>
      </c>
      <c r="AD1257" s="82">
        <f>IFERROR(__xludf.DUMMYFUNCTION("""COMPUTED_VALUE"""),1.0291919984617157)</f>
        <v>1.029191998</v>
      </c>
      <c r="AE1257" s="82">
        <f>IFERROR(__xludf.DUMMYFUNCTION("""COMPUTED_VALUE"""),0.8100513011412568)</f>
        <v>0.8100513011</v>
      </c>
      <c r="AF1257" s="82">
        <f>IFERROR(__xludf.DUMMYFUNCTION("""COMPUTED_VALUE"""),1.2829854023172336)</f>
        <v>1.282985402</v>
      </c>
      <c r="AG1257" s="82">
        <f>IFERROR(__xludf.DUMMYFUNCTION("""COMPUTED_VALUE"""),1.2201245944606156)</f>
        <v>1.220124594</v>
      </c>
      <c r="AH1257" s="82">
        <f>IFERROR(__xludf.DUMMYFUNCTION("""COMPUTED_VALUE"""),1.0590748195122948)</f>
        <v>1.05907482</v>
      </c>
      <c r="AI1257" s="82">
        <f>IFERROR(__xludf.DUMMYFUNCTION("""COMPUTED_VALUE"""),1.0324842885230556)</f>
        <v>1.032484289</v>
      </c>
      <c r="AJ1257" s="82">
        <f>IFERROR(__xludf.DUMMYFUNCTION("""COMPUTED_VALUE"""),0.9476207868005238)</f>
        <v>0.9476207868</v>
      </c>
      <c r="AK1257" s="82">
        <f>IFERROR(__xludf.DUMMYFUNCTION("""COMPUTED_VALUE"""),1.0005458153353661)</f>
        <v>1.000545815</v>
      </c>
      <c r="AL1257" s="82">
        <f>IFERROR(__xludf.DUMMYFUNCTION("""COMPUTED_VALUE"""),1.1801964197028734)</f>
        <v>1.18019642</v>
      </c>
      <c r="AM1257" s="82">
        <f>IFERROR(__xludf.DUMMYFUNCTION("""COMPUTED_VALUE"""),0.9889799846213396)</f>
        <v>0.9889799846</v>
      </c>
      <c r="AN1257" s="82">
        <f>IFERROR(__xludf.DUMMYFUNCTION("""COMPUTED_VALUE"""),1.0528670050554438)</f>
        <v>1.052867005</v>
      </c>
      <c r="AO1257" s="82">
        <f>IFERROR(__xludf.DUMMYFUNCTION("""COMPUTED_VALUE"""),0.8547710350356302)</f>
        <v>0.854771035</v>
      </c>
      <c r="AP1257" s="82">
        <f>IFERROR(__xludf.DUMMYFUNCTION("""COMPUTED_VALUE"""),1.3492664851049199)</f>
        <v>1.349266485</v>
      </c>
      <c r="AQ1257" s="82">
        <f>IFERROR(__xludf.DUMMYFUNCTION("""COMPUTED_VALUE"""),1.1856624553335169)</f>
        <v>1.185662455</v>
      </c>
      <c r="AR1257" s="82">
        <f>IFERROR(__xludf.DUMMYFUNCTION("""COMPUTED_VALUE"""),1.0949803862433665)</f>
        <v>1.094980386</v>
      </c>
      <c r="AS1257" s="82">
        <f>IFERROR(__xludf.DUMMYFUNCTION("""COMPUTED_VALUE"""),125.0)</f>
        <v>125</v>
      </c>
      <c r="AT1257" s="82">
        <f>IFERROR(__xludf.DUMMYFUNCTION("""COMPUTED_VALUE"""),0.5607929390890145)</f>
        <v>0.5607929391</v>
      </c>
      <c r="AU1257" s="82">
        <f>IFERROR(__xludf.DUMMYFUNCTION("""COMPUTED_VALUE"""),2.049612656862137)</f>
        <v>2.049612657</v>
      </c>
      <c r="AV1257" s="82">
        <f>IFERROR(__xludf.DUMMYFUNCTION("""COMPUTED_VALUE"""),58.49193847458811)</f>
        <v>58.49193847</v>
      </c>
      <c r="AW1257" s="82">
        <f t="shared" si="1"/>
        <v>2.724426772</v>
      </c>
      <c r="AX1257" s="83">
        <f t="array" ref="AX1257">IFERROR(DGET('SBV Import'!A:G,"SBV",{"RSC ID","Tier";B1257,A1257}))</f>
        <v>49.24574535</v>
      </c>
      <c r="AY1257" s="82">
        <f t="shared" si="2"/>
        <v>-2.049324524</v>
      </c>
      <c r="AZ1257" s="82">
        <v>4.773751296476769</v>
      </c>
      <c r="BA1257" s="84">
        <v>1200.0</v>
      </c>
      <c r="BB1257" s="84" t="b">
        <f>IFERROR(__xludf.DUMMYFUNCTION("iferror(if(A1257="""",,E1257&gt;=FILTER(Constants!$F$2:$F$10,Constants!$A$2:$A$10=A1257)))"),TRUE)</f>
        <v>1</v>
      </c>
    </row>
    <row r="1258">
      <c r="A1258" s="89" t="str">
        <f>IFERROR(__xludf.DUMMYFUNCTION("""COMPUTED_VALUE"""),"Veteran")</f>
        <v>Veteran</v>
      </c>
      <c r="B1258" s="87" t="str">
        <f>IFERROR(__xludf.DUMMYFUNCTION("""COMPUTED_VALUE"""),"RSC007504")</f>
        <v>RSC007504</v>
      </c>
      <c r="C1258" s="73" t="str">
        <f>IFERROR(__xludf.DUMMYFUNCTION("""COMPUTED_VALUE"""),"Percussive3260")</f>
        <v>Percussive3260</v>
      </c>
      <c r="D1258" s="73" t="str">
        <f>IFERROR(__xludf.DUMMYFUNCTION("""COMPUTED_VALUE"""),"Dread")</f>
        <v>Dread</v>
      </c>
      <c r="E1258" s="82">
        <f>IFERROR(__xludf.DUMMYFUNCTION("""COMPUTED_VALUE"""),44.0)</f>
        <v>44</v>
      </c>
      <c r="F1258" s="82">
        <f>IFERROR(__xludf.DUMMYFUNCTION("""COMPUTED_VALUE"""),19.0)</f>
        <v>19</v>
      </c>
      <c r="G1258" s="86">
        <f>IFERROR(__xludf.DUMMYFUNCTION("""COMPUTED_VALUE"""),25.0)</f>
        <v>25</v>
      </c>
      <c r="H1258" s="86">
        <f>IFERROR(__xludf.DUMMYFUNCTION("""COMPUTED_VALUE"""),0.4318181818181818)</f>
        <v>0.4318181818</v>
      </c>
      <c r="I1258" s="86">
        <f>IFERROR(__xludf.DUMMYFUNCTION("""COMPUTED_VALUE"""),0.288135593220339)</f>
        <v>0.2881355932</v>
      </c>
      <c r="J1258" s="82">
        <f>IFERROR(__xludf.DUMMYFUNCTION("""COMPUTED_VALUE"""),368.4318181818182)</f>
        <v>368.4318182</v>
      </c>
      <c r="K1258" s="82">
        <f>IFERROR(__xludf.DUMMYFUNCTION("""COMPUTED_VALUE"""),0.7727272727272727)</f>
        <v>0.7727272727</v>
      </c>
      <c r="L1258" s="82">
        <f>IFERROR(__xludf.DUMMYFUNCTION("""COMPUTED_VALUE"""),0.6590909090909091)</f>
        <v>0.6590909091</v>
      </c>
      <c r="M1258" s="82">
        <f>IFERROR(__xludf.DUMMYFUNCTION("""COMPUTED_VALUE"""),1.2727272727272727)</f>
        <v>1.272727273</v>
      </c>
      <c r="N1258" s="82">
        <f>IFERROR(__xludf.DUMMYFUNCTION("""COMPUTED_VALUE"""),2.6818181818181817)</f>
        <v>2.681818182</v>
      </c>
      <c r="O1258" s="82">
        <f>IFERROR(__xludf.DUMMYFUNCTION("""COMPUTED_VALUE"""),340.13636363636357)</f>
        <v>340.1363636</v>
      </c>
      <c r="P1258" s="82">
        <f>IFERROR(__xludf.DUMMYFUNCTION("""COMPUTED_VALUE"""),0.7500000000000001)</f>
        <v>0.75</v>
      </c>
      <c r="Q1258" s="82">
        <f>IFERROR(__xludf.DUMMYFUNCTION("""COMPUTED_VALUE"""),0.568181818181818)</f>
        <v>0.5681818182</v>
      </c>
      <c r="R1258" s="82">
        <f>IFERROR(__xludf.DUMMYFUNCTION("""COMPUTED_VALUE"""),1.1515151515151514)</f>
        <v>1.151515152</v>
      </c>
      <c r="S1258" s="82">
        <f>IFERROR(__xludf.DUMMYFUNCTION("""COMPUTED_VALUE"""),2.5909090909090917)</f>
        <v>2.590909091</v>
      </c>
      <c r="T1258" s="82">
        <f>IFERROR(__xludf.DUMMYFUNCTION("""COMPUTED_VALUE"""),346.52167489125617)</f>
        <v>346.5216749</v>
      </c>
      <c r="U1258" s="82">
        <f>IFERROR(__xludf.DUMMYFUNCTION("""COMPUTED_VALUE"""),0.7615832293094189)</f>
        <v>0.7615832293</v>
      </c>
      <c r="V1258" s="82">
        <f>IFERROR(__xludf.DUMMYFUNCTION("""COMPUTED_VALUE"""),0.5750907631892059)</f>
        <v>0.5750907632</v>
      </c>
      <c r="W1258" s="82">
        <f>IFERROR(__xludf.DUMMYFUNCTION("""COMPUTED_VALUE"""),1.3185721784092581)</f>
        <v>1.318572178</v>
      </c>
      <c r="X1258" s="82">
        <f>IFERROR(__xludf.DUMMYFUNCTION("""COMPUTED_VALUE"""),2.591504410049338)</f>
        <v>2.59150441</v>
      </c>
      <c r="Y1258" s="82">
        <f>IFERROR(__xludf.DUMMYFUNCTION("""COMPUTED_VALUE"""),359.92207435521107)</f>
        <v>359.9220744</v>
      </c>
      <c r="Z1258" s="82">
        <f>IFERROR(__xludf.DUMMYFUNCTION("""COMPUTED_VALUE"""),0.8296930241545969)</f>
        <v>0.8296930242</v>
      </c>
      <c r="AA1258" s="82">
        <f>IFERROR(__xludf.DUMMYFUNCTION("""COMPUTED_VALUE"""),0.6136873407026575)</f>
        <v>0.6136873407</v>
      </c>
      <c r="AB1258" s="82">
        <f>IFERROR(__xludf.DUMMYFUNCTION("""COMPUTED_VALUE"""),1.3595096574555543)</f>
        <v>1.359509657</v>
      </c>
      <c r="AC1258" s="82">
        <f>IFERROR(__xludf.DUMMYFUNCTION("""COMPUTED_VALUE"""),2.6587022634387103)</f>
        <v>2.658702263</v>
      </c>
      <c r="AD1258" s="82">
        <f>IFERROR(__xludf.DUMMYFUNCTION("""COMPUTED_VALUE"""),1.0236432951267356)</f>
        <v>1.023643295</v>
      </c>
      <c r="AE1258" s="82">
        <f>IFERROR(__xludf.DUMMYFUNCTION("""COMPUTED_VALUE"""),0.9313411710489328)</f>
        <v>0.931341171</v>
      </c>
      <c r="AF1258" s="82">
        <f>IFERROR(__xludf.DUMMYFUNCTION("""COMPUTED_VALUE"""),1.0739848541380461)</f>
        <v>1.073984854</v>
      </c>
      <c r="AG1258" s="82">
        <f>IFERROR(__xludf.DUMMYFUNCTION("""COMPUTED_VALUE"""),0.9361664080483969)</f>
        <v>0.936166408</v>
      </c>
      <c r="AH1258" s="82">
        <f>IFERROR(__xludf.DUMMYFUNCTION("""COMPUTED_VALUE"""),1.0086944366420232)</f>
        <v>1.008694437</v>
      </c>
      <c r="AI1258" s="82">
        <f>IFERROR(__xludf.DUMMYFUNCTION("""COMPUTED_VALUE"""),0.9815731259613228)</f>
        <v>0.981573126</v>
      </c>
      <c r="AJ1258" s="82">
        <f>IFERROR(__xludf.DUMMYFUNCTION("""COMPUTED_VALUE"""),0.9847905929862425)</f>
        <v>0.984790593</v>
      </c>
      <c r="AK1258" s="82">
        <f>IFERROR(__xludf.DUMMYFUNCTION("""COMPUTED_VALUE"""),0.9879863398099564)</f>
        <v>0.9879863398</v>
      </c>
      <c r="AL1258" s="82">
        <f>IFERROR(__xludf.DUMMYFUNCTION("""COMPUTED_VALUE"""),0.8733046020312317)</f>
        <v>0.873304602</v>
      </c>
      <c r="AM1258" s="82">
        <f>IFERROR(__xludf.DUMMYFUNCTION("""COMPUTED_VALUE"""),0.9997702804834374)</f>
        <v>0.9997702805</v>
      </c>
      <c r="AN1258" s="82">
        <f>IFERROR(__xludf.DUMMYFUNCTION("""COMPUTED_VALUE"""),1.0657470001063871)</f>
        <v>1.065747</v>
      </c>
      <c r="AO1258" s="82">
        <f>IFERROR(__xludf.DUMMYFUNCTION("""COMPUTED_VALUE"""),1.0227172501306074)</f>
        <v>1.02271725</v>
      </c>
      <c r="AP1258" s="82">
        <f>IFERROR(__xludf.DUMMYFUNCTION("""COMPUTED_VALUE"""),1.1857190323649296)</f>
        <v>1.185719032</v>
      </c>
      <c r="AQ1258" s="82">
        <f>IFERROR(__xludf.DUMMYFUNCTION("""COMPUTED_VALUE"""),0.940690873653038)</f>
        <v>0.9406908737</v>
      </c>
      <c r="AR1258" s="82">
        <f>IFERROR(__xludf.DUMMYFUNCTION("""COMPUTED_VALUE"""),1.0518943194848078)</f>
        <v>1.051894319</v>
      </c>
      <c r="AS1258" s="82">
        <f>IFERROR(__xludf.DUMMYFUNCTION("""COMPUTED_VALUE"""),87.0)</f>
        <v>87</v>
      </c>
      <c r="AT1258" s="82">
        <f>IFERROR(__xludf.DUMMYFUNCTION("""COMPUTED_VALUE"""),0.45129852219461375)</f>
        <v>0.4512985222</v>
      </c>
      <c r="AU1258" s="82">
        <f>IFERROR(__xludf.DUMMYFUNCTION("""COMPUTED_VALUE"""),2.049174449870579)</f>
        <v>2.04917445</v>
      </c>
      <c r="AV1258" s="82">
        <f>IFERROR(__xludf.DUMMYFUNCTION("""COMPUTED_VALUE"""),58.47627165714896)</f>
        <v>58.47627166</v>
      </c>
      <c r="AW1258" s="82">
        <f t="shared" si="1"/>
        <v>2.722676065</v>
      </c>
      <c r="AX1258" s="83">
        <f t="array" ref="AX1258">IFERROR(DGET('SBV Import'!A:G,"SBV",{"RSC ID","Tier";B1258,A1258}))</f>
        <v>69.88542486</v>
      </c>
      <c r="AY1258" s="82">
        <f t="shared" si="2"/>
        <v>4.690750791</v>
      </c>
      <c r="AZ1258" s="82">
        <v>1.968074726212767</v>
      </c>
      <c r="BA1258" s="84">
        <v>1200.0</v>
      </c>
      <c r="BB1258" s="84" t="b">
        <f>IFERROR(__xludf.DUMMYFUNCTION("iferror(if(A1258="""",,E1258&gt;=FILTER(Constants!$F$2:$F$10,Constants!$A$2:$A$10=A1258)))"),TRUE)</f>
        <v>1</v>
      </c>
    </row>
    <row r="1259">
      <c r="A1259" s="89" t="str">
        <f>IFERROR(__xludf.DUMMYFUNCTION("""COMPUTED_VALUE"""),"Veteran")</f>
        <v>Veteran</v>
      </c>
      <c r="B1259" s="87" t="str">
        <f>IFERROR(__xludf.DUMMYFUNCTION("""COMPUTED_VALUE"""),"RSC005505")</f>
        <v>RSC005505</v>
      </c>
      <c r="C1259" s="73" t="str">
        <f>IFERROR(__xludf.DUMMYFUNCTION("""COMPUTED_VALUE"""),"The_Wheelman_95")</f>
        <v>The_Wheelman_95</v>
      </c>
      <c r="D1259" s="73" t="str">
        <f>IFERROR(__xludf.DUMMYFUNCTION("""COMPUTED_VALUE"""),"Penguins")</f>
        <v>Penguins</v>
      </c>
      <c r="E1259" s="82">
        <f>IFERROR(__xludf.DUMMYFUNCTION("""COMPUTED_VALUE"""),21.0)</f>
        <v>21</v>
      </c>
      <c r="F1259" s="82">
        <f>IFERROR(__xludf.DUMMYFUNCTION("""COMPUTED_VALUE"""),13.0)</f>
        <v>13</v>
      </c>
      <c r="G1259" s="86">
        <f>IFERROR(__xludf.DUMMYFUNCTION("""COMPUTED_VALUE"""),8.0)</f>
        <v>8</v>
      </c>
      <c r="H1259" s="86">
        <f>IFERROR(__xludf.DUMMYFUNCTION("""COMPUTED_VALUE"""),0.6190476190476191)</f>
        <v>0.619047619</v>
      </c>
      <c r="I1259" s="86">
        <f>IFERROR(__xludf.DUMMYFUNCTION("""COMPUTED_VALUE"""),0.3541666666666667)</f>
        <v>0.3541666667</v>
      </c>
      <c r="J1259" s="82">
        <f>IFERROR(__xludf.DUMMYFUNCTION("""COMPUTED_VALUE"""),354.0)</f>
        <v>354</v>
      </c>
      <c r="K1259" s="82">
        <f>IFERROR(__xludf.DUMMYFUNCTION("""COMPUTED_VALUE"""),0.8095238095238095)</f>
        <v>0.8095238095</v>
      </c>
      <c r="L1259" s="82">
        <f>IFERROR(__xludf.DUMMYFUNCTION("""COMPUTED_VALUE"""),0.5238095238095238)</f>
        <v>0.5238095238</v>
      </c>
      <c r="M1259" s="82">
        <f>IFERROR(__xludf.DUMMYFUNCTION("""COMPUTED_VALUE"""),1.4761904761904763)</f>
        <v>1.476190476</v>
      </c>
      <c r="N1259" s="82">
        <f>IFERROR(__xludf.DUMMYFUNCTION("""COMPUTED_VALUE"""),2.2857142857142856)</f>
        <v>2.285714286</v>
      </c>
      <c r="O1259" s="82">
        <f>IFERROR(__xludf.DUMMYFUNCTION("""COMPUTED_VALUE"""),340.9206349206349)</f>
        <v>340.9206349</v>
      </c>
      <c r="P1259" s="82">
        <f>IFERROR(__xludf.DUMMYFUNCTION("""COMPUTED_VALUE"""),0.6507936507936509)</f>
        <v>0.6507936508</v>
      </c>
      <c r="Q1259" s="82">
        <f>IFERROR(__xludf.DUMMYFUNCTION("""COMPUTED_VALUE"""),0.4920634920634921)</f>
        <v>0.4920634921</v>
      </c>
      <c r="R1259" s="82">
        <f>IFERROR(__xludf.DUMMYFUNCTION("""COMPUTED_VALUE"""),1.492063492063492)</f>
        <v>1.492063492</v>
      </c>
      <c r="S1259" s="82">
        <f>IFERROR(__xludf.DUMMYFUNCTION("""COMPUTED_VALUE"""),2.492063492063492)</f>
        <v>2.492063492</v>
      </c>
      <c r="T1259" s="82">
        <f>IFERROR(__xludf.DUMMYFUNCTION("""COMPUTED_VALUE"""),357.209017692123)</f>
        <v>357.2090177</v>
      </c>
      <c r="U1259" s="82">
        <f>IFERROR(__xludf.DUMMYFUNCTION("""COMPUTED_VALUE"""),0.804457464838617)</f>
        <v>0.8044574648</v>
      </c>
      <c r="V1259" s="82">
        <f>IFERROR(__xludf.DUMMYFUNCTION("""COMPUTED_VALUE"""),0.6154315773636784)</f>
        <v>0.6154315774</v>
      </c>
      <c r="W1259" s="82">
        <f>IFERROR(__xludf.DUMMYFUNCTION("""COMPUTED_VALUE"""),1.3436540324364965)</f>
        <v>1.343654032</v>
      </c>
      <c r="X1259" s="82">
        <f>IFERROR(__xludf.DUMMYFUNCTION("""COMPUTED_VALUE"""),2.6578188372583598)</f>
        <v>2.657818837</v>
      </c>
      <c r="Y1259" s="82">
        <f>IFERROR(__xludf.DUMMYFUNCTION("""COMPUTED_VALUE"""),350.54803222846556)</f>
        <v>350.5480322</v>
      </c>
      <c r="Z1259" s="82">
        <f>IFERROR(__xludf.DUMMYFUNCTION("""COMPUTED_VALUE"""),0.7729800379752044)</f>
        <v>0.772980038</v>
      </c>
      <c r="AA1259" s="82">
        <f>IFERROR(__xludf.DUMMYFUNCTION("""COMPUTED_VALUE"""),0.5510220657320396)</f>
        <v>0.5510220657</v>
      </c>
      <c r="AB1259" s="82">
        <f>IFERROR(__xludf.DUMMYFUNCTION("""COMPUTED_VALUE"""),1.34514934013655)</f>
        <v>1.34514934</v>
      </c>
      <c r="AC1259" s="82">
        <f>IFERROR(__xludf.DUMMYFUNCTION("""COMPUTED_VALUE"""),2.5596294444831935)</f>
        <v>2.559629444</v>
      </c>
      <c r="AD1259" s="82">
        <f>IFERROR(__xludf.DUMMYFUNCTION("""COMPUTED_VALUE"""),1.0098473460244235)</f>
        <v>1.009847346</v>
      </c>
      <c r="AE1259" s="82">
        <f>IFERROR(__xludf.DUMMYFUNCTION("""COMPUTED_VALUE"""),1.0472764751394232)</f>
        <v>1.047276475</v>
      </c>
      <c r="AF1259" s="82">
        <f>IFERROR(__xludf.DUMMYFUNCTION("""COMPUTED_VALUE"""),0.9506144243309683)</f>
        <v>0.9506144243</v>
      </c>
      <c r="AG1259" s="82">
        <f>IFERROR(__xludf.DUMMYFUNCTION("""COMPUTED_VALUE"""),1.0974175373275832)</f>
        <v>1.097417537</v>
      </c>
      <c r="AH1259" s="82">
        <f>IFERROR(__xludf.DUMMYFUNCTION("""COMPUTED_VALUE"""),0.8929864010748583)</f>
        <v>0.8929864011</v>
      </c>
      <c r="AI1259" s="82">
        <f>IFERROR(__xludf.DUMMYFUNCTION("""COMPUTED_VALUE"""),0.9544009754380641)</f>
        <v>0.9544009754</v>
      </c>
      <c r="AJ1259" s="82">
        <f>IFERROR(__xludf.DUMMYFUNCTION("""COMPUTED_VALUE"""),0.8089845383238594)</f>
        <v>0.8089845383</v>
      </c>
      <c r="AK1259" s="82">
        <f>IFERROR(__xludf.DUMMYFUNCTION("""COMPUTED_VALUE"""),0.7995421589697141)</f>
        <v>0.799542159</v>
      </c>
      <c r="AL1259" s="82">
        <f>IFERROR(__xludf.DUMMYFUNCTION("""COMPUTED_VALUE"""),1.1104521372647387)</f>
        <v>1.110452137</v>
      </c>
      <c r="AM1259" s="82">
        <f>IFERROR(__xludf.DUMMYFUNCTION("""COMPUTED_VALUE"""),0.9376348218805423)</f>
        <v>0.9376348219</v>
      </c>
      <c r="AN1259" s="82">
        <f>IFERROR(__xludf.DUMMYFUNCTION("""COMPUTED_VALUE"""),1.0240006954325511)</f>
        <v>1.024000695</v>
      </c>
      <c r="AO1259" s="82">
        <f>IFERROR(__xludf.DUMMYFUNCTION("""COMPUTED_VALUE"""),1.0714180715653983)</f>
        <v>1.071418072</v>
      </c>
      <c r="AP1259" s="82">
        <f>IFERROR(__xludf.DUMMYFUNCTION("""COMPUTED_VALUE"""),0.942344846739944)</f>
        <v>0.9423448467</v>
      </c>
      <c r="AQ1259" s="82">
        <f>IFERROR(__xludf.DUMMYFUNCTION("""COMPUTED_VALUE"""),1.0910734282846464)</f>
        <v>1.091073428</v>
      </c>
      <c r="AR1259" s="82">
        <f>IFERROR(__xludf.DUMMYFUNCTION("""COMPUTED_VALUE"""),0.8965297831928629)</f>
        <v>0.8965297832</v>
      </c>
      <c r="AS1259" s="82">
        <f>IFERROR(__xludf.DUMMYFUNCTION("""COMPUTED_VALUE"""),56.0)</f>
        <v>56</v>
      </c>
      <c r="AT1259" s="82">
        <f>IFERROR(__xludf.DUMMYFUNCTION("""COMPUTED_VALUE"""),0.6186207192700075)</f>
        <v>0.6186207193</v>
      </c>
      <c r="AU1259" s="82">
        <f>IFERROR(__xludf.DUMMYFUNCTION("""COMPUTED_VALUE"""),2.0454437178580376)</f>
        <v>2.045443718</v>
      </c>
      <c r="AV1259" s="82">
        <f>IFERROR(__xludf.DUMMYFUNCTION("""COMPUTED_VALUE"""),58.34289017652256)</f>
        <v>58.34289018</v>
      </c>
      <c r="AW1259" s="82">
        <f t="shared" si="1"/>
        <v>2.707846985</v>
      </c>
      <c r="AX1259" s="83">
        <f t="array" ref="AX1259">IFERROR(DGET('SBV Import'!A:G,"SBV",{"RSC ID","Tier";B1259,A1259}))</f>
        <v>41.45741888</v>
      </c>
      <c r="AY1259" s="82">
        <f t="shared" si="2"/>
        <v>-2.730098764</v>
      </c>
      <c r="AZ1259" s="82">
        <v>5.437945749233405</v>
      </c>
      <c r="BA1259" s="84">
        <v>1200.0</v>
      </c>
      <c r="BB1259" s="84" t="b">
        <f>IFERROR(__xludf.DUMMYFUNCTION("iferror(if(A1259="""",,E1259&gt;=FILTER(Constants!$F$2:$F$10,Constants!$A$2:$A$10=A1259)))"),TRUE)</f>
        <v>1</v>
      </c>
    </row>
    <row r="1260">
      <c r="A1260" s="89" t="str">
        <f>IFERROR(__xludf.DUMMYFUNCTION("""COMPUTED_VALUE"""),"Veteran")</f>
        <v>Veteran</v>
      </c>
      <c r="B1260" s="87" t="str">
        <f>IFERROR(__xludf.DUMMYFUNCTION("""COMPUTED_VALUE"""),"RSC007817")</f>
        <v>RSC007817</v>
      </c>
      <c r="C1260" s="73" t="str">
        <f>IFERROR(__xludf.DUMMYFUNCTION("""COMPUTED_VALUE"""),"HiChew.RL")</f>
        <v>HiChew.RL</v>
      </c>
      <c r="D1260" s="73" t="str">
        <f>IFERROR(__xludf.DUMMYFUNCTION("""COMPUTED_VALUE"""),"Dog Fighters")</f>
        <v>Dog Fighters</v>
      </c>
      <c r="E1260" s="82">
        <f>IFERROR(__xludf.DUMMYFUNCTION("""COMPUTED_VALUE"""),32.0)</f>
        <v>32</v>
      </c>
      <c r="F1260" s="82">
        <f>IFERROR(__xludf.DUMMYFUNCTION("""COMPUTED_VALUE"""),19.0)</f>
        <v>19</v>
      </c>
      <c r="G1260" s="86">
        <f>IFERROR(__xludf.DUMMYFUNCTION("""COMPUTED_VALUE"""),13.0)</f>
        <v>13</v>
      </c>
      <c r="H1260" s="86">
        <f>IFERROR(__xludf.DUMMYFUNCTION("""COMPUTED_VALUE"""),0.59375)</f>
        <v>0.59375</v>
      </c>
      <c r="I1260" s="86">
        <f>IFERROR(__xludf.DUMMYFUNCTION("""COMPUTED_VALUE"""),0.18518518518518517)</f>
        <v>0.1851851852</v>
      </c>
      <c r="J1260" s="82">
        <f>IFERROR(__xludf.DUMMYFUNCTION("""COMPUTED_VALUE"""),364.375)</f>
        <v>364.375</v>
      </c>
      <c r="K1260" s="82">
        <f>IFERROR(__xludf.DUMMYFUNCTION("""COMPUTED_VALUE"""),0.46875)</f>
        <v>0.46875</v>
      </c>
      <c r="L1260" s="82">
        <f>IFERROR(__xludf.DUMMYFUNCTION("""COMPUTED_VALUE"""),0.84375)</f>
        <v>0.84375</v>
      </c>
      <c r="M1260" s="82">
        <f>IFERROR(__xludf.DUMMYFUNCTION("""COMPUTED_VALUE"""),1.59375)</f>
        <v>1.59375</v>
      </c>
      <c r="N1260" s="82">
        <f>IFERROR(__xludf.DUMMYFUNCTION("""COMPUTED_VALUE"""),2.53125)</f>
        <v>2.53125</v>
      </c>
      <c r="O1260" s="82">
        <f>IFERROR(__xludf.DUMMYFUNCTION("""COMPUTED_VALUE"""),342.88541666666674)</f>
        <v>342.8854167</v>
      </c>
      <c r="P1260" s="82">
        <f>IFERROR(__xludf.DUMMYFUNCTION("""COMPUTED_VALUE"""),0.6145833333333335)</f>
        <v>0.6145833333</v>
      </c>
      <c r="Q1260" s="82">
        <f>IFERROR(__xludf.DUMMYFUNCTION("""COMPUTED_VALUE"""),0.4791666666666666)</f>
        <v>0.4791666667</v>
      </c>
      <c r="R1260" s="82">
        <f>IFERROR(__xludf.DUMMYFUNCTION("""COMPUTED_VALUE"""),1.46875)</f>
        <v>1.46875</v>
      </c>
      <c r="S1260" s="82">
        <f>IFERROR(__xludf.DUMMYFUNCTION("""COMPUTED_VALUE"""),2.458333333333333)</f>
        <v>2.458333333</v>
      </c>
      <c r="T1260" s="82">
        <f>IFERROR(__xludf.DUMMYFUNCTION("""COMPUTED_VALUE"""),355.2864934005379)</f>
        <v>355.2864934</v>
      </c>
      <c r="U1260" s="82">
        <f>IFERROR(__xludf.DUMMYFUNCTION("""COMPUTED_VALUE"""),0.7448914777448928)</f>
        <v>0.7448914777</v>
      </c>
      <c r="V1260" s="82">
        <f>IFERROR(__xludf.DUMMYFUNCTION("""COMPUTED_VALUE"""),0.5852619296131247)</f>
        <v>0.5852619296</v>
      </c>
      <c r="W1260" s="82">
        <f>IFERROR(__xludf.DUMMYFUNCTION("""COMPUTED_VALUE"""),1.4213266064451184)</f>
        <v>1.421326606</v>
      </c>
      <c r="X1260" s="82">
        <f>IFERROR(__xludf.DUMMYFUNCTION("""COMPUTED_VALUE"""),2.528603631443239)</f>
        <v>2.528603631</v>
      </c>
      <c r="Y1260" s="82">
        <f>IFERROR(__xludf.DUMMYFUNCTION("""COMPUTED_VALUE"""),351.53244793534225)</f>
        <v>351.5324479</v>
      </c>
      <c r="Z1260" s="82">
        <f>IFERROR(__xludf.DUMMYFUNCTION("""COMPUTED_VALUE"""),0.7607627441097339)</f>
        <v>0.7607627441</v>
      </c>
      <c r="AA1260" s="82">
        <f>IFERROR(__xludf.DUMMYFUNCTION("""COMPUTED_VALUE"""),0.5519566072050202)</f>
        <v>0.5519566072</v>
      </c>
      <c r="AB1260" s="82">
        <f>IFERROR(__xludf.DUMMYFUNCTION("""COMPUTED_VALUE"""),1.3577676982475637)</f>
        <v>1.357767698</v>
      </c>
      <c r="AC1260" s="82">
        <f>IFERROR(__xludf.DUMMYFUNCTION("""COMPUTED_VALUE"""),2.6672921708251756)</f>
        <v>2.667292171</v>
      </c>
      <c r="AD1260" s="82">
        <f>IFERROR(__xludf.DUMMYFUNCTION("""COMPUTED_VALUE"""),1.0365330487699955)</f>
        <v>1.036533049</v>
      </c>
      <c r="AE1260" s="82">
        <f>IFERROR(__xludf.DUMMYFUNCTION("""COMPUTED_VALUE"""),0.6161579331129635)</f>
        <v>0.6161579331</v>
      </c>
      <c r="AF1260" s="82">
        <f>IFERROR(__xludf.DUMMYFUNCTION("""COMPUTED_VALUE"""),1.5286527762980386)</f>
        <v>1.528652776</v>
      </c>
      <c r="AG1260" s="82">
        <f>IFERROR(__xludf.DUMMYFUNCTION("""COMPUTED_VALUE"""),1.1738016761313534)</f>
        <v>1.173801676</v>
      </c>
      <c r="AH1260" s="82">
        <f>IFERROR(__xludf.DUMMYFUNCTION("""COMPUTED_VALUE"""),0.9489961496107536)</f>
        <v>0.9489961496</v>
      </c>
      <c r="AI1260" s="82">
        <f>IFERROR(__xludf.DUMMYFUNCTION("""COMPUTED_VALUE"""),0.9650955581925525)</f>
        <v>0.9650955582</v>
      </c>
      <c r="AJ1260" s="82">
        <f>IFERROR(__xludf.DUMMYFUNCTION("""COMPUTED_VALUE"""),0.8250642566000913)</f>
        <v>0.8250642566</v>
      </c>
      <c r="AK1260" s="82">
        <f>IFERROR(__xludf.DUMMYFUNCTION("""COMPUTED_VALUE"""),0.8187217422178985)</f>
        <v>0.8187217422</v>
      </c>
      <c r="AL1260" s="82">
        <f>IFERROR(__xludf.DUMMYFUNCTION("""COMPUTED_VALUE"""),1.0333655848978247)</f>
        <v>1.033365585</v>
      </c>
      <c r="AM1260" s="82">
        <f>IFERROR(__xludf.DUMMYFUNCTION("""COMPUTED_VALUE"""),0.9722098405475286)</f>
        <v>0.9722098405</v>
      </c>
      <c r="AN1260" s="82">
        <f>IFERROR(__xludf.DUMMYFUNCTION("""COMPUTED_VALUE"""),1.0540120152492538)</f>
        <v>1.054012015</v>
      </c>
      <c r="AO1260" s="82">
        <f>IFERROR(__xludf.DUMMYFUNCTION("""COMPUTED_VALUE"""),0.6203983318806994)</f>
        <v>0.6203983319</v>
      </c>
      <c r="AP1260" s="82">
        <f>IFERROR(__xludf.DUMMYFUNCTION("""COMPUTED_VALUE"""),1.5179247957430348)</f>
        <v>1.517924796</v>
      </c>
      <c r="AQ1260" s="82">
        <f>IFERROR(__xludf.DUMMYFUNCTION("""COMPUTED_VALUE"""),1.1779633484807017)</f>
        <v>1.177963348</v>
      </c>
      <c r="AR1260" s="82">
        <f>IFERROR(__xludf.DUMMYFUNCTION("""COMPUTED_VALUE"""),0.9928366934967838)</f>
        <v>0.9928366935</v>
      </c>
      <c r="AS1260" s="82">
        <f>IFERROR(__xludf.DUMMYFUNCTION("""COMPUTED_VALUE"""),78.0)</f>
        <v>78</v>
      </c>
      <c r="AT1260" s="82">
        <f>IFERROR(__xludf.DUMMYFUNCTION("""COMPUTED_VALUE"""),0.6043853627758308)</f>
        <v>0.6043853628</v>
      </c>
      <c r="AU1260" s="82">
        <f>IFERROR(__xludf.DUMMYFUNCTION("""COMPUTED_VALUE"""),2.03976873509607)</f>
        <v>2.039768735</v>
      </c>
      <c r="AV1260" s="82">
        <f>IFERROR(__xludf.DUMMYFUNCTION("""COMPUTED_VALUE"""),58.1399976608511)</f>
        <v>58.13999766</v>
      </c>
      <c r="AW1260" s="82">
        <f t="shared" si="1"/>
        <v>2.685547559</v>
      </c>
      <c r="AX1260" s="83">
        <f t="array" ref="AX1260">IFERROR(DGET('SBV Import'!A:G,"SBV",{"RSC ID","Tier";B1260,A1260}))</f>
        <v>59.50070212</v>
      </c>
      <c r="AY1260" s="82">
        <f t="shared" si="2"/>
        <v>2.841213522</v>
      </c>
      <c r="AZ1260" s="82">
        <v>0.15566596308873493</v>
      </c>
      <c r="BA1260" s="84">
        <v>1200.0</v>
      </c>
      <c r="BB1260" s="84" t="b">
        <f>IFERROR(__xludf.DUMMYFUNCTION("iferror(if(A1260="""",,E1260&gt;=FILTER(Constants!$F$2:$F$10,Constants!$A$2:$A$10=A1260)))"),TRUE)</f>
        <v>1</v>
      </c>
    </row>
    <row r="1261">
      <c r="A1261" s="89" t="str">
        <f>IFERROR(__xludf.DUMMYFUNCTION("""COMPUTED_VALUE"""),"Veteran")</f>
        <v>Veteran</v>
      </c>
      <c r="B1261" s="87" t="str">
        <f>IFERROR(__xludf.DUMMYFUNCTION("""COMPUTED_VALUE"""),"RSC006278")</f>
        <v>RSC006278</v>
      </c>
      <c r="C1261" s="73" t="str">
        <f>IFERROR(__xludf.DUMMYFUNCTION("""COMPUTED_VALUE"""),"DribblingPenguin")</f>
        <v>DribblingPenguin</v>
      </c>
      <c r="D1261" s="73" t="str">
        <f>IFERROR(__xludf.DUMMYFUNCTION("""COMPUTED_VALUE"""),"Azalea")</f>
        <v>Azalea</v>
      </c>
      <c r="E1261" s="82">
        <f>IFERROR(__xludf.DUMMYFUNCTION("""COMPUTED_VALUE"""),46.0)</f>
        <v>46</v>
      </c>
      <c r="F1261" s="82">
        <f>IFERROR(__xludf.DUMMYFUNCTION("""COMPUTED_VALUE"""),19.0)</f>
        <v>19</v>
      </c>
      <c r="G1261" s="86">
        <f>IFERROR(__xludf.DUMMYFUNCTION("""COMPUTED_VALUE"""),27.0)</f>
        <v>27</v>
      </c>
      <c r="H1261" s="86">
        <f>IFERROR(__xludf.DUMMYFUNCTION("""COMPUTED_VALUE"""),0.41304347826086957)</f>
        <v>0.4130434783</v>
      </c>
      <c r="I1261" s="86">
        <f>IFERROR(__xludf.DUMMYFUNCTION("""COMPUTED_VALUE"""),0.2773109243697479)</f>
        <v>0.2773109244</v>
      </c>
      <c r="J1261" s="82">
        <f>IFERROR(__xludf.DUMMYFUNCTION("""COMPUTED_VALUE"""),363.5869565217391)</f>
        <v>363.5869565</v>
      </c>
      <c r="K1261" s="82">
        <f>IFERROR(__xludf.DUMMYFUNCTION("""COMPUTED_VALUE"""),0.717391304347826)</f>
        <v>0.7173913043</v>
      </c>
      <c r="L1261" s="82">
        <f>IFERROR(__xludf.DUMMYFUNCTION("""COMPUTED_VALUE"""),0.6739130434782609)</f>
        <v>0.6739130435</v>
      </c>
      <c r="M1261" s="82">
        <f>IFERROR(__xludf.DUMMYFUNCTION("""COMPUTED_VALUE"""),1.6304347826086956)</f>
        <v>1.630434783</v>
      </c>
      <c r="N1261" s="82">
        <f>IFERROR(__xludf.DUMMYFUNCTION("""COMPUTED_VALUE"""),2.5869565217391304)</f>
        <v>2.586956522</v>
      </c>
      <c r="O1261" s="82">
        <f>IFERROR(__xludf.DUMMYFUNCTION("""COMPUTED_VALUE"""),341.88405797101444)</f>
        <v>341.884058</v>
      </c>
      <c r="P1261" s="82">
        <f>IFERROR(__xludf.DUMMYFUNCTION("""COMPUTED_VALUE"""),0.8115942028985508)</f>
        <v>0.8115942029</v>
      </c>
      <c r="Q1261" s="82">
        <f>IFERROR(__xludf.DUMMYFUNCTION("""COMPUTED_VALUE"""),0.49275362318840576)</f>
        <v>0.4927536232</v>
      </c>
      <c r="R1261" s="82">
        <f>IFERROR(__xludf.DUMMYFUNCTION("""COMPUTED_VALUE"""),1.2826086956521743)</f>
        <v>1.282608696</v>
      </c>
      <c r="S1261" s="82">
        <f>IFERROR(__xludf.DUMMYFUNCTION("""COMPUTED_VALUE"""),2.5724637681159415)</f>
        <v>2.572463768</v>
      </c>
      <c r="T1261" s="82">
        <f>IFERROR(__xludf.DUMMYFUNCTION("""COMPUTED_VALUE"""),355.8609908914119)</f>
        <v>355.8609909</v>
      </c>
      <c r="U1261" s="82">
        <f>IFERROR(__xludf.DUMMYFUNCTION("""COMPUTED_VALUE"""),0.7903141553713369)</f>
        <v>0.7903141554</v>
      </c>
      <c r="V1261" s="82">
        <f>IFERROR(__xludf.DUMMYFUNCTION("""COMPUTED_VALUE"""),0.5663432517948164)</f>
        <v>0.5663432518</v>
      </c>
      <c r="W1261" s="82">
        <f>IFERROR(__xludf.DUMMYFUNCTION("""COMPUTED_VALUE"""),1.398133841913204)</f>
        <v>1.398133842</v>
      </c>
      <c r="X1261" s="82">
        <f>IFERROR(__xludf.DUMMYFUNCTION("""COMPUTED_VALUE"""),2.622966316214526)</f>
        <v>2.622966316</v>
      </c>
      <c r="Y1261" s="82">
        <f>IFERROR(__xludf.DUMMYFUNCTION("""COMPUTED_VALUE"""),354.7339704495908)</f>
        <v>354.7339704</v>
      </c>
      <c r="Z1261" s="82">
        <f>IFERROR(__xludf.DUMMYFUNCTION("""COMPUTED_VALUE"""),0.7964793881564155)</f>
        <v>0.7964793882</v>
      </c>
      <c r="AA1261" s="82">
        <f>IFERROR(__xludf.DUMMYFUNCTION("""COMPUTED_VALUE"""),0.5832120600952074)</f>
        <v>0.5832120601</v>
      </c>
      <c r="AB1261" s="82">
        <f>IFERROR(__xludf.DUMMYFUNCTION("""COMPUTED_VALUE"""),1.3817998703522087)</f>
        <v>1.38179987</v>
      </c>
      <c r="AC1261" s="82">
        <f>IFERROR(__xludf.DUMMYFUNCTION("""COMPUTED_VALUE"""),2.644426149324205)</f>
        <v>2.644426149</v>
      </c>
      <c r="AD1261" s="82">
        <f>IFERROR(__xludf.DUMMYFUNCTION("""COMPUTED_VALUE"""),1.0249566909561214)</f>
        <v>1.024956691</v>
      </c>
      <c r="AE1261" s="82">
        <f>IFERROR(__xludf.DUMMYFUNCTION("""COMPUTED_VALUE"""),0.9007029121096881)</f>
        <v>0.9007029121</v>
      </c>
      <c r="AF1261" s="82">
        <f>IFERROR(__xludf.DUMMYFUNCTION("""COMPUTED_VALUE"""),1.1555197321678272)</f>
        <v>1.155519732</v>
      </c>
      <c r="AG1261" s="82">
        <f>IFERROR(__xludf.DUMMYFUNCTION("""COMPUTED_VALUE"""),1.1799355446408546)</f>
        <v>1.179935545</v>
      </c>
      <c r="AH1261" s="82">
        <f>IFERROR(__xludf.DUMMYFUNCTION("""COMPUTED_VALUE"""),0.9782676375364986)</f>
        <v>0.9782676375</v>
      </c>
      <c r="AI1261" s="82">
        <f>IFERROR(__xludf.DUMMYFUNCTION("""COMPUTED_VALUE"""),0.9607236160238131)</f>
        <v>0.960723616</v>
      </c>
      <c r="AJ1261" s="82">
        <f>IFERROR(__xludf.DUMMYFUNCTION("""COMPUTED_VALUE"""),1.0269260614688285)</f>
        <v>1.026926061</v>
      </c>
      <c r="AK1261" s="82">
        <f>IFERROR(__xludf.DUMMYFUNCTION("""COMPUTED_VALUE"""),0.8700617896069294)</f>
        <v>0.8700617896</v>
      </c>
      <c r="AL1261" s="82">
        <f>IFERROR(__xludf.DUMMYFUNCTION("""COMPUTED_VALUE"""),0.9173718975981976)</f>
        <v>0.9173718976</v>
      </c>
      <c r="AM1261" s="82">
        <f>IFERROR(__xludf.DUMMYFUNCTION("""COMPUTED_VALUE"""),0.9807460172910378)</f>
        <v>0.9807460173</v>
      </c>
      <c r="AN1261" s="82">
        <f>IFERROR(__xludf.DUMMYFUNCTION("""COMPUTED_VALUE"""),1.0517324755041402)</f>
        <v>1.051732476</v>
      </c>
      <c r="AO1261" s="82">
        <f>IFERROR(__xludf.DUMMYFUNCTION("""COMPUTED_VALUE"""),0.9494791861826355)</f>
        <v>0.9494791862</v>
      </c>
      <c r="AP1261" s="82">
        <f>IFERROR(__xludf.DUMMYFUNCTION("""COMPUTED_VALUE"""),1.2123843779203627)</f>
        <v>1.212384378</v>
      </c>
      <c r="AQ1261" s="82">
        <f>IFERROR(__xludf.DUMMYFUNCTION("""COMPUTED_VALUE"""),1.205077594353659)</f>
        <v>1.205077594</v>
      </c>
      <c r="AR1261" s="82">
        <f>IFERROR(__xludf.DUMMYFUNCTION("""COMPUTED_VALUE"""),1.0146865616843137)</f>
        <v>1.014686562</v>
      </c>
      <c r="AS1261" s="82">
        <f>IFERROR(__xludf.DUMMYFUNCTION("""COMPUTED_VALUE"""),103.0)</f>
        <v>103</v>
      </c>
      <c r="AT1261" s="82">
        <f>IFERROR(__xludf.DUMMYFUNCTION("""COMPUTED_VALUE"""),0.46744546905279416)</f>
        <v>0.4674454691</v>
      </c>
      <c r="AU1261" s="82">
        <f>IFERROR(__xludf.DUMMYFUNCTION("""COMPUTED_VALUE"""),2.0381141823811317)</f>
        <v>2.038114182</v>
      </c>
      <c r="AV1261" s="82">
        <f>IFERROR(__xludf.DUMMYFUNCTION("""COMPUTED_VALUE"""),58.08084393709099)</f>
        <v>58.08084394</v>
      </c>
      <c r="AW1261" s="82">
        <f t="shared" si="1"/>
        <v>2.679104078</v>
      </c>
      <c r="AX1261" s="83">
        <f t="array" ref="AX1261">IFERROR(DGET('SBV Import'!A:G,"SBV",{"RSC ID","Tier";B1261,A1261}))</f>
        <v>64.08199476</v>
      </c>
      <c r="AY1261" s="82">
        <f t="shared" si="2"/>
        <v>3.488913417</v>
      </c>
      <c r="AZ1261" s="82">
        <v>0.8098093384288494</v>
      </c>
      <c r="BA1261" s="84">
        <v>1200.0</v>
      </c>
      <c r="BB1261" s="84" t="b">
        <f>IFERROR(__xludf.DUMMYFUNCTION("iferror(if(A1261="""",,E1261&gt;=FILTER(Constants!$F$2:$F$10,Constants!$A$2:$A$10=A1261)))"),TRUE)</f>
        <v>1</v>
      </c>
    </row>
    <row r="1262">
      <c r="A1262" s="89" t="str">
        <f>IFERROR(__xludf.DUMMYFUNCTION("""COMPUTED_VALUE"""),"Veteran")</f>
        <v>Veteran</v>
      </c>
      <c r="B1262" s="87" t="str">
        <f>IFERROR(__xludf.DUMMYFUNCTION("""COMPUTED_VALUE"""),"RSC000926")</f>
        <v>RSC000926</v>
      </c>
      <c r="C1262" s="73" t="str">
        <f>IFERROR(__xludf.DUMMYFUNCTION("""COMPUTED_VALUE"""),"SlmRnchr")</f>
        <v>SlmRnchr</v>
      </c>
      <c r="D1262" s="73" t="str">
        <f>IFERROR(__xludf.DUMMYFUNCTION("""COMPUTED_VALUE"""),"Silver Dollar")</f>
        <v>Silver Dollar</v>
      </c>
      <c r="E1262" s="82">
        <f>IFERROR(__xludf.DUMMYFUNCTION("""COMPUTED_VALUE"""),32.0)</f>
        <v>32</v>
      </c>
      <c r="F1262" s="82">
        <f>IFERROR(__xludf.DUMMYFUNCTION("""COMPUTED_VALUE"""),21.0)</f>
        <v>21</v>
      </c>
      <c r="G1262" s="86">
        <f>IFERROR(__xludf.DUMMYFUNCTION("""COMPUTED_VALUE"""),11.0)</f>
        <v>11</v>
      </c>
      <c r="H1262" s="86">
        <f>IFERROR(__xludf.DUMMYFUNCTION("""COMPUTED_VALUE"""),0.65625)</f>
        <v>0.65625</v>
      </c>
      <c r="I1262" s="86">
        <f>IFERROR(__xludf.DUMMYFUNCTION("""COMPUTED_VALUE"""),0.37662337662337664)</f>
        <v>0.3766233766</v>
      </c>
      <c r="J1262" s="82">
        <f>IFERROR(__xludf.DUMMYFUNCTION("""COMPUTED_VALUE"""),325.59375)</f>
        <v>325.59375</v>
      </c>
      <c r="K1262" s="82">
        <f>IFERROR(__xludf.DUMMYFUNCTION("""COMPUTED_VALUE"""),0.90625)</f>
        <v>0.90625</v>
      </c>
      <c r="L1262" s="82">
        <f>IFERROR(__xludf.DUMMYFUNCTION("""COMPUTED_VALUE"""),0.5625)</f>
        <v>0.5625</v>
      </c>
      <c r="M1262" s="82">
        <f>IFERROR(__xludf.DUMMYFUNCTION("""COMPUTED_VALUE"""),1.0625)</f>
        <v>1.0625</v>
      </c>
      <c r="N1262" s="82">
        <f>IFERROR(__xludf.DUMMYFUNCTION("""COMPUTED_VALUE"""),2.40625)</f>
        <v>2.40625</v>
      </c>
      <c r="O1262" s="82">
        <f>IFERROR(__xludf.DUMMYFUNCTION("""COMPUTED_VALUE"""),325.6041666666667)</f>
        <v>325.6041667</v>
      </c>
      <c r="P1262" s="82">
        <f>IFERROR(__xludf.DUMMYFUNCTION("""COMPUTED_VALUE"""),0.6874999999999999)</f>
        <v>0.6875</v>
      </c>
      <c r="Q1262" s="82">
        <f>IFERROR(__xludf.DUMMYFUNCTION("""COMPUTED_VALUE"""),0.45833333333333326)</f>
        <v>0.4583333333</v>
      </c>
      <c r="R1262" s="82">
        <f>IFERROR(__xludf.DUMMYFUNCTION("""COMPUTED_VALUE"""),1.2395833333333333)</f>
        <v>1.239583333</v>
      </c>
      <c r="S1262" s="82">
        <f>IFERROR(__xludf.DUMMYFUNCTION("""COMPUTED_VALUE"""),2.4062500000000004)</f>
        <v>2.40625</v>
      </c>
      <c r="T1262" s="82">
        <f>IFERROR(__xludf.DUMMYFUNCTION("""COMPUTED_VALUE"""),335.5705781426624)</f>
        <v>335.5705781</v>
      </c>
      <c r="U1262" s="82">
        <f>IFERROR(__xludf.DUMMYFUNCTION("""COMPUTED_VALUE"""),0.7216643241563485)</f>
        <v>0.7216643242</v>
      </c>
      <c r="V1262" s="82">
        <f>IFERROR(__xludf.DUMMYFUNCTION("""COMPUTED_VALUE"""),0.49673473312637323)</f>
        <v>0.4967347331</v>
      </c>
      <c r="W1262" s="82">
        <f>IFERROR(__xludf.DUMMYFUNCTION("""COMPUTED_VALUE"""),1.316591640729997)</f>
        <v>1.316591641</v>
      </c>
      <c r="X1262" s="82">
        <f>IFERROR(__xludf.DUMMYFUNCTION("""COMPUTED_VALUE"""),2.488838320919524)</f>
        <v>2.488838321</v>
      </c>
      <c r="Y1262" s="82">
        <f>IFERROR(__xludf.DUMMYFUNCTION("""COMPUTED_VALUE"""),351.77154499532315)</f>
        <v>351.771545</v>
      </c>
      <c r="Z1262" s="82">
        <f>IFERROR(__xludf.DUMMYFUNCTION("""COMPUTED_VALUE"""),0.7835469128470334)</f>
        <v>0.7835469128</v>
      </c>
      <c r="AA1262" s="82">
        <f>IFERROR(__xludf.DUMMYFUNCTION("""COMPUTED_VALUE"""),0.5699175329168986)</f>
        <v>0.5699175329</v>
      </c>
      <c r="AB1262" s="82">
        <f>IFERROR(__xludf.DUMMYFUNCTION("""COMPUTED_VALUE"""),1.3352225651177396)</f>
        <v>1.335222565</v>
      </c>
      <c r="AC1262" s="82">
        <f>IFERROR(__xludf.DUMMYFUNCTION("""COMPUTED_VALUE"""),2.6283131794243553)</f>
        <v>2.628313179</v>
      </c>
      <c r="AD1262" s="82">
        <f>IFERROR(__xludf.DUMMYFUNCTION("""COMPUTED_VALUE"""),0.9255829660819462)</f>
        <v>0.9255829661</v>
      </c>
      <c r="AE1262" s="82">
        <f>IFERROR(__xludf.DUMMYFUNCTION("""COMPUTED_VALUE"""),1.1565995413179826)</f>
        <v>1.156599541</v>
      </c>
      <c r="AF1262" s="82">
        <f>IFERROR(__xludf.DUMMYFUNCTION("""COMPUTED_VALUE"""),0.9869849013436472)</f>
        <v>0.9869849013</v>
      </c>
      <c r="AG1262" s="82">
        <f>IFERROR(__xludf.DUMMYFUNCTION("""COMPUTED_VALUE"""),0.7957474864172244)</f>
        <v>0.7957474864</v>
      </c>
      <c r="AH1262" s="82">
        <f>IFERROR(__xludf.DUMMYFUNCTION("""COMPUTED_VALUE"""),0.9155111418369896)</f>
        <v>0.9155111418</v>
      </c>
      <c r="AI1262" s="82">
        <f>IFERROR(__xludf.DUMMYFUNCTION("""COMPUTED_VALUE"""),0.9703001033905939)</f>
        <v>0.9703001034</v>
      </c>
      <c r="AJ1262" s="82">
        <f>IFERROR(__xludf.DUMMYFUNCTION("""COMPUTED_VALUE"""),0.9526589814505685)</f>
        <v>0.9526589815</v>
      </c>
      <c r="AK1262" s="82">
        <f>IFERROR(__xludf.DUMMYFUNCTION("""COMPUTED_VALUE"""),0.9226923401322324)</f>
        <v>0.9226923401</v>
      </c>
      <c r="AL1262" s="82">
        <f>IFERROR(__xludf.DUMMYFUNCTION("""COMPUTED_VALUE"""),0.9415093450282233)</f>
        <v>0.941509345</v>
      </c>
      <c r="AM1262" s="82">
        <f>IFERROR(__xludf.DUMMYFUNCTION("""COMPUTED_VALUE"""),0.96681651828271)</f>
        <v>0.9668165183</v>
      </c>
      <c r="AN1262" s="82">
        <f>IFERROR(__xludf.DUMMYFUNCTION("""COMPUTED_VALUE"""),0.9418311481030853)</f>
        <v>0.9418311481</v>
      </c>
      <c r="AO1262" s="82">
        <f>IFERROR(__xludf.DUMMYFUNCTION("""COMPUTED_VALUE"""),1.199436774969352)</f>
        <v>1.199436775</v>
      </c>
      <c r="AP1262" s="82">
        <f>IFERROR(__xludf.DUMMYFUNCTION("""COMPUTED_VALUE"""),1.01194986382869)</f>
        <v>1.011949864</v>
      </c>
      <c r="AQ1262" s="82">
        <f>IFERROR(__xludf.DUMMYFUNCTION("""COMPUTED_VALUE"""),0.7853088989871345)</f>
        <v>0.785308899</v>
      </c>
      <c r="AR1262" s="82">
        <f>IFERROR(__xludf.DUMMYFUNCTION("""COMPUTED_VALUE"""),0.9438077209784241)</f>
        <v>0.943807721</v>
      </c>
      <c r="AS1262" s="82">
        <f>IFERROR(__xludf.DUMMYFUNCTION("""COMPUTED_VALUE"""),82.0)</f>
        <v>82</v>
      </c>
      <c r="AT1262" s="82">
        <f>IFERROR(__xludf.DUMMYFUNCTION("""COMPUTED_VALUE"""),0.5834325621886479)</f>
        <v>0.5834325622</v>
      </c>
      <c r="AU1262" s="82">
        <f>IFERROR(__xludf.DUMMYFUNCTION("""COMPUTED_VALUE"""),2.037658145114312)</f>
        <v>2.037658145</v>
      </c>
      <c r="AV1262" s="82">
        <f>IFERROR(__xludf.DUMMYFUNCTION("""COMPUTED_VALUE"""),58.06453964997931)</f>
        <v>58.06453965</v>
      </c>
      <c r="AW1262" s="82">
        <f t="shared" si="1"/>
        <v>2.677332656</v>
      </c>
      <c r="AX1262" s="83">
        <f t="array" ref="AX1262">IFERROR(DGET('SBV Import'!A:G,"SBV",{"RSC ID","Tier";B1262,A1262}))</f>
        <v>48.94220433</v>
      </c>
      <c r="AY1262" s="82">
        <f t="shared" si="2"/>
        <v>-2.069857446</v>
      </c>
      <c r="AZ1262" s="82">
        <v>4.747190102494603</v>
      </c>
      <c r="BA1262" s="84">
        <v>1200.0</v>
      </c>
      <c r="BB1262" s="84" t="b">
        <f>IFERROR(__xludf.DUMMYFUNCTION("iferror(if(A1262="""",,E1262&gt;=FILTER(Constants!$F$2:$F$10,Constants!$A$2:$A$10=A1262)))"),TRUE)</f>
        <v>1</v>
      </c>
    </row>
    <row r="1263">
      <c r="A1263" s="89" t="str">
        <f>IFERROR(__xludf.DUMMYFUNCTION("""COMPUTED_VALUE"""),"Veteran")</f>
        <v>Veteran</v>
      </c>
      <c r="B1263" s="87" t="str">
        <f>IFERROR(__xludf.DUMMYFUNCTION("""COMPUTED_VALUE"""),"RSC004165")</f>
        <v>RSC004165</v>
      </c>
      <c r="C1263" s="73" t="str">
        <f>IFERROR(__xludf.DUMMYFUNCTION("""COMPUTED_VALUE"""),"Absolutely TOR")</f>
        <v>Absolutely TOR</v>
      </c>
      <c r="D1263" s="73" t="str">
        <f>IFERROR(__xludf.DUMMYFUNCTION("""COMPUTED_VALUE"""),"Rulers")</f>
        <v>Rulers</v>
      </c>
      <c r="E1263" s="82">
        <f>IFERROR(__xludf.DUMMYFUNCTION("""COMPUTED_VALUE"""),30.0)</f>
        <v>30</v>
      </c>
      <c r="F1263" s="82">
        <f>IFERROR(__xludf.DUMMYFUNCTION("""COMPUTED_VALUE"""),19.0)</f>
        <v>19</v>
      </c>
      <c r="G1263" s="86">
        <f>IFERROR(__xludf.DUMMYFUNCTION("""COMPUTED_VALUE"""),11.0)</f>
        <v>11</v>
      </c>
      <c r="H1263" s="86">
        <f>IFERROR(__xludf.DUMMYFUNCTION("""COMPUTED_VALUE"""),0.6333333333333333)</f>
        <v>0.6333333333</v>
      </c>
      <c r="I1263" s="86">
        <f>IFERROR(__xludf.DUMMYFUNCTION("""COMPUTED_VALUE"""),0.3492063492063492)</f>
        <v>0.3492063492</v>
      </c>
      <c r="J1263" s="82">
        <f>IFERROR(__xludf.DUMMYFUNCTION("""COMPUTED_VALUE"""),370.76666666666665)</f>
        <v>370.7666667</v>
      </c>
      <c r="K1263" s="82">
        <f>IFERROR(__xludf.DUMMYFUNCTION("""COMPUTED_VALUE"""),0.7333333333333333)</f>
        <v>0.7333333333</v>
      </c>
      <c r="L1263" s="82">
        <f>IFERROR(__xludf.DUMMYFUNCTION("""COMPUTED_VALUE"""),0.7333333333333333)</f>
        <v>0.7333333333</v>
      </c>
      <c r="M1263" s="82">
        <f>IFERROR(__xludf.DUMMYFUNCTION("""COMPUTED_VALUE"""),1.7)</f>
        <v>1.7</v>
      </c>
      <c r="N1263" s="82">
        <f>IFERROR(__xludf.DUMMYFUNCTION("""COMPUTED_VALUE"""),2.1)</f>
        <v>2.1</v>
      </c>
      <c r="O1263" s="82">
        <f>IFERROR(__xludf.DUMMYFUNCTION("""COMPUTED_VALUE"""),345.5222222222221)</f>
        <v>345.5222222</v>
      </c>
      <c r="P1263" s="82">
        <f>IFERROR(__xludf.DUMMYFUNCTION("""COMPUTED_VALUE"""),0.7)</f>
        <v>0.7</v>
      </c>
      <c r="Q1263" s="82">
        <f>IFERROR(__xludf.DUMMYFUNCTION("""COMPUTED_VALUE"""),0.4444444444444444)</f>
        <v>0.4444444444</v>
      </c>
      <c r="R1263" s="82">
        <f>IFERROR(__xludf.DUMMYFUNCTION("""COMPUTED_VALUE"""),1.3555555555555554)</f>
        <v>1.355555556</v>
      </c>
      <c r="S1263" s="82">
        <f>IFERROR(__xludf.DUMMYFUNCTION("""COMPUTED_VALUE"""),2.9222222222222225)</f>
        <v>2.922222222</v>
      </c>
      <c r="T1263" s="82">
        <f>IFERROR(__xludf.DUMMYFUNCTION("""COMPUTED_VALUE"""),360.0435766059781)</f>
        <v>360.0435766</v>
      </c>
      <c r="U1263" s="82">
        <f>IFERROR(__xludf.DUMMYFUNCTION("""COMPUTED_VALUE"""),0.8361272422938023)</f>
        <v>0.8361272423</v>
      </c>
      <c r="V1263" s="82">
        <f>IFERROR(__xludf.DUMMYFUNCTION("""COMPUTED_VALUE"""),0.549829303742616)</f>
        <v>0.5498293037</v>
      </c>
      <c r="W1263" s="82">
        <f>IFERROR(__xludf.DUMMYFUNCTION("""COMPUTED_VALUE"""),1.374593400061712)</f>
        <v>1.3745934</v>
      </c>
      <c r="X1263" s="82">
        <f>IFERROR(__xludf.DUMMYFUNCTION("""COMPUTED_VALUE"""),2.6515929558353464)</f>
        <v>2.651592956</v>
      </c>
      <c r="Y1263" s="82">
        <f>IFERROR(__xludf.DUMMYFUNCTION("""COMPUTED_VALUE"""),362.23474629997895)</f>
        <v>362.2347463</v>
      </c>
      <c r="Z1263" s="82">
        <f>IFERROR(__xludf.DUMMYFUNCTION("""COMPUTED_VALUE"""),0.8388173081921232)</f>
        <v>0.8388173082</v>
      </c>
      <c r="AA1263" s="82">
        <f>IFERROR(__xludf.DUMMYFUNCTION("""COMPUTED_VALUE"""),0.6249153338890789)</f>
        <v>0.6249153339</v>
      </c>
      <c r="AB1263" s="82">
        <f>IFERROR(__xludf.DUMMYFUNCTION("""COMPUTED_VALUE"""),1.3366802517203824)</f>
        <v>1.336680252</v>
      </c>
      <c r="AC1263" s="82">
        <f>IFERROR(__xludf.DUMMYFUNCTION("""COMPUTED_VALUE"""),2.6868697453524693)</f>
        <v>2.686869745</v>
      </c>
      <c r="AD1263" s="82">
        <f>IFERROR(__xludf.DUMMYFUNCTION("""COMPUTED_VALUE"""),1.0235535669999534)</f>
        <v>1.023553567</v>
      </c>
      <c r="AE1263" s="82">
        <f>IFERROR(__xludf.DUMMYFUNCTION("""COMPUTED_VALUE"""),0.8742467831450257)</f>
        <v>0.8742467831</v>
      </c>
      <c r="AF1263" s="82">
        <f>IFERROR(__xludf.DUMMYFUNCTION("""COMPUTED_VALUE"""),1.1734923013802991)</f>
        <v>1.173492301</v>
      </c>
      <c r="AG1263" s="82">
        <f>IFERROR(__xludf.DUMMYFUNCTION("""COMPUTED_VALUE"""),1.271807523012332)</f>
        <v>1.271807523</v>
      </c>
      <c r="AH1263" s="82">
        <f>IFERROR(__xludf.DUMMYFUNCTION("""COMPUTED_VALUE"""),0.781578639467883)</f>
        <v>0.7815786395</v>
      </c>
      <c r="AI1263" s="82">
        <f>IFERROR(__xludf.DUMMYFUNCTION("""COMPUTED_VALUE"""),0.9596677865478274)</f>
        <v>0.9596677865</v>
      </c>
      <c r="AJ1263" s="82">
        <f>IFERROR(__xludf.DUMMYFUNCTION("""COMPUTED_VALUE"""),0.8371931502669909)</f>
        <v>0.8371931503</v>
      </c>
      <c r="AK1263" s="82">
        <f>IFERROR(__xludf.DUMMYFUNCTION("""COMPUTED_VALUE"""),0.8083316793396957)</f>
        <v>0.8083316793</v>
      </c>
      <c r="AL1263" s="82">
        <f>IFERROR(__xludf.DUMMYFUNCTION("""COMPUTED_VALUE"""),0.9861501993932883)</f>
        <v>0.9861501994</v>
      </c>
      <c r="AM1263" s="82">
        <f>IFERROR(__xludf.DUMMYFUNCTION("""COMPUTED_VALUE"""),1.10206289988488)</f>
        <v>1.1020629</v>
      </c>
      <c r="AN1263" s="82">
        <f>IFERROR(__xludf.DUMMYFUNCTION("""COMPUTED_VALUE"""),1.0725009166945636)</f>
        <v>1.072500917</v>
      </c>
      <c r="AO1263" s="82">
        <f>IFERROR(__xludf.DUMMYFUNCTION("""COMPUTED_VALUE"""),0.9705787236533607)</f>
        <v>0.9705787237</v>
      </c>
      <c r="AP1263" s="82">
        <f>IFERROR(__xludf.DUMMYFUNCTION("""COMPUTED_VALUE"""),1.3192827854359215)</f>
        <v>1.319282785</v>
      </c>
      <c r="AQ1263" s="82">
        <f>IFERROR(__xludf.DUMMYFUNCTION("""COMPUTED_VALUE"""),1.256494238379415)</f>
        <v>1.256494238</v>
      </c>
      <c r="AR1263" s="82">
        <f>IFERROR(__xludf.DUMMYFUNCTION("""COMPUTED_VALUE"""),0.8236867383084429)</f>
        <v>0.8236867383</v>
      </c>
      <c r="AS1263" s="82">
        <f>IFERROR(__xludf.DUMMYFUNCTION("""COMPUTED_VALUE"""),78.0)</f>
        <v>78</v>
      </c>
      <c r="AT1263" s="82">
        <f>IFERROR(__xludf.DUMMYFUNCTION("""COMPUTED_VALUE"""),0.5824884791584841)</f>
        <v>0.5824884792</v>
      </c>
      <c r="AU1263" s="82">
        <f>IFERROR(__xludf.DUMMYFUNCTION("""COMPUTED_VALUE"""),2.021676290706968)</f>
        <v>2.021676291</v>
      </c>
      <c r="AV1263" s="82">
        <f>IFERROR(__xludf.DUMMYFUNCTION("""COMPUTED_VALUE"""),57.493154893089454)</f>
        <v>57.49315489</v>
      </c>
      <c r="AW1263" s="82">
        <f t="shared" si="1"/>
        <v>2.616479056</v>
      </c>
      <c r="AX1263" s="83">
        <f t="array" ref="AX1263">IFERROR(DGET('SBV Import'!A:G,"SBV",{"RSC ID","Tier";B1263,A1263}))</f>
        <v>45.64129527</v>
      </c>
      <c r="AY1263" s="82">
        <f t="shared" si="2"/>
        <v>-2.321284779</v>
      </c>
      <c r="AZ1263" s="82">
        <v>4.937763834933667</v>
      </c>
      <c r="BA1263" s="84">
        <v>1200.0</v>
      </c>
      <c r="BB1263" s="84" t="b">
        <f>IFERROR(__xludf.DUMMYFUNCTION("iferror(if(A1263="""",,E1263&gt;=FILTER(Constants!$F$2:$F$10,Constants!$A$2:$A$10=A1263)))"),TRUE)</f>
        <v>1</v>
      </c>
    </row>
    <row r="1264">
      <c r="A1264" s="89" t="str">
        <f>IFERROR(__xludf.DUMMYFUNCTION("""COMPUTED_VALUE"""),"Veteran")</f>
        <v>Veteran</v>
      </c>
      <c r="B1264" s="87" t="str">
        <f>IFERROR(__xludf.DUMMYFUNCTION("""COMPUTED_VALUE"""),"RSC005655")</f>
        <v>RSC005655</v>
      </c>
      <c r="C1264" s="73" t="str">
        <f>IFERROR(__xludf.DUMMYFUNCTION("""COMPUTED_VALUE"""),"oneplayamaker")</f>
        <v>oneplayamaker</v>
      </c>
      <c r="D1264" s="73" t="str">
        <f>IFERROR(__xludf.DUMMYFUNCTION("""COMPUTED_VALUE"""),"Paradox Paloma")</f>
        <v>Paradox Paloma</v>
      </c>
      <c r="E1264" s="82">
        <f>IFERROR(__xludf.DUMMYFUNCTION("""COMPUTED_VALUE"""),30.0)</f>
        <v>30</v>
      </c>
      <c r="F1264" s="82">
        <f>IFERROR(__xludf.DUMMYFUNCTION("""COMPUTED_VALUE"""),21.0)</f>
        <v>21</v>
      </c>
      <c r="G1264" s="86">
        <f>IFERROR(__xludf.DUMMYFUNCTION("""COMPUTED_VALUE"""),9.0)</f>
        <v>9</v>
      </c>
      <c r="H1264" s="86">
        <f>IFERROR(__xludf.DUMMYFUNCTION("""COMPUTED_VALUE"""),0.7)</f>
        <v>0.7</v>
      </c>
      <c r="I1264" s="86">
        <f>IFERROR(__xludf.DUMMYFUNCTION("""COMPUTED_VALUE"""),0.27848101265822783)</f>
        <v>0.2784810127</v>
      </c>
      <c r="J1264" s="82">
        <f>IFERROR(__xludf.DUMMYFUNCTION("""COMPUTED_VALUE"""),345.0)</f>
        <v>345</v>
      </c>
      <c r="K1264" s="82">
        <f>IFERROR(__xludf.DUMMYFUNCTION("""COMPUTED_VALUE"""),0.7333333333333333)</f>
        <v>0.7333333333</v>
      </c>
      <c r="L1264" s="82">
        <f>IFERROR(__xludf.DUMMYFUNCTION("""COMPUTED_VALUE"""),0.7)</f>
        <v>0.7</v>
      </c>
      <c r="M1264" s="82">
        <f>IFERROR(__xludf.DUMMYFUNCTION("""COMPUTED_VALUE"""),1.2666666666666666)</f>
        <v>1.266666667</v>
      </c>
      <c r="N1264" s="82">
        <f>IFERROR(__xludf.DUMMYFUNCTION("""COMPUTED_VALUE"""),2.6333333333333333)</f>
        <v>2.633333333</v>
      </c>
      <c r="O1264" s="82">
        <f>IFERROR(__xludf.DUMMYFUNCTION("""COMPUTED_VALUE"""),363.0222222222222)</f>
        <v>363.0222222</v>
      </c>
      <c r="P1264" s="82">
        <f>IFERROR(__xludf.DUMMYFUNCTION("""COMPUTED_VALUE"""),0.6999999999999998)</f>
        <v>0.7</v>
      </c>
      <c r="Q1264" s="82">
        <f>IFERROR(__xludf.DUMMYFUNCTION("""COMPUTED_VALUE"""),0.5555555555555556)</f>
        <v>0.5555555556</v>
      </c>
      <c r="R1264" s="82">
        <f>IFERROR(__xludf.DUMMYFUNCTION("""COMPUTED_VALUE"""),1.6777777777777778)</f>
        <v>1.677777778</v>
      </c>
      <c r="S1264" s="82">
        <f>IFERROR(__xludf.DUMMYFUNCTION("""COMPUTED_VALUE"""),2.4666666666666672)</f>
        <v>2.466666667</v>
      </c>
      <c r="T1264" s="82">
        <f>IFERROR(__xludf.DUMMYFUNCTION("""COMPUTED_VALUE"""),352.816625811297)</f>
        <v>352.8166258</v>
      </c>
      <c r="U1264" s="82">
        <f>IFERROR(__xludf.DUMMYFUNCTION("""COMPUTED_VALUE"""),0.756973438000184)</f>
        <v>0.756973438</v>
      </c>
      <c r="V1264" s="82">
        <f>IFERROR(__xludf.DUMMYFUNCTION("""COMPUTED_VALUE"""),0.5383038256195597)</f>
        <v>0.5383038256</v>
      </c>
      <c r="W1264" s="82">
        <f>IFERROR(__xludf.DUMMYFUNCTION("""COMPUTED_VALUE"""),1.3968777229599592)</f>
        <v>1.396877723</v>
      </c>
      <c r="X1264" s="82">
        <f>IFERROR(__xludf.DUMMYFUNCTION("""COMPUTED_VALUE"""),2.512563524152329)</f>
        <v>2.512563524</v>
      </c>
      <c r="Y1264" s="82">
        <f>IFERROR(__xludf.DUMMYFUNCTION("""COMPUTED_VALUE"""),350.3237760671161)</f>
        <v>350.3237761</v>
      </c>
      <c r="Z1264" s="82">
        <f>IFERROR(__xludf.DUMMYFUNCTION("""COMPUTED_VALUE"""),0.7923943395716261)</f>
        <v>0.7923943396</v>
      </c>
      <c r="AA1264" s="82">
        <f>IFERROR(__xludf.DUMMYFUNCTION("""COMPUTED_VALUE"""),0.5896646415968962)</f>
        <v>0.5896646416</v>
      </c>
      <c r="AB1264" s="82">
        <f>IFERROR(__xludf.DUMMYFUNCTION("""COMPUTED_VALUE"""),1.26826684508777)</f>
        <v>1.268266845</v>
      </c>
      <c r="AC1264" s="82">
        <f>IFERROR(__xludf.DUMMYFUNCTION("""COMPUTED_VALUE"""),2.6321727703174624)</f>
        <v>2.63217277</v>
      </c>
      <c r="AD1264" s="82">
        <f>IFERROR(__xludf.DUMMYFUNCTION("""COMPUTED_VALUE"""),0.9848032693444816)</f>
        <v>0.9848032693</v>
      </c>
      <c r="AE1264" s="82">
        <f>IFERROR(__xludf.DUMMYFUNCTION("""COMPUTED_VALUE"""),0.9254651335972167)</f>
        <v>0.9254651336</v>
      </c>
      <c r="AF1264" s="82">
        <f>IFERROR(__xludf.DUMMYFUNCTION("""COMPUTED_VALUE"""),1.1871154392169416)</f>
        <v>1.187115439</v>
      </c>
      <c r="AG1264" s="82">
        <f>IFERROR(__xludf.DUMMYFUNCTION("""COMPUTED_VALUE"""),0.9987382951566531)</f>
        <v>0.9987382952</v>
      </c>
      <c r="AH1264" s="82">
        <f>IFERROR(__xludf.DUMMYFUNCTION("""COMPUTED_VALUE"""),1.000440914452485)</f>
        <v>1.000440914</v>
      </c>
      <c r="AI1264" s="82">
        <f>IFERROR(__xludf.DUMMYFUNCTION("""COMPUTED_VALUE"""),1.0289260643187026)</f>
        <v>1.028926064</v>
      </c>
      <c r="AJ1264" s="82">
        <f>IFERROR(__xludf.DUMMYFUNCTION("""COMPUTED_VALUE"""),0.9247352216866421)</f>
        <v>0.9247352217</v>
      </c>
      <c r="AK1264" s="82">
        <f>IFERROR(__xludf.DUMMYFUNCTION("""COMPUTED_VALUE"""),1.032048313823778)</f>
        <v>1.032048314</v>
      </c>
      <c r="AL1264" s="82">
        <f>IFERROR(__xludf.DUMMYFUNCTION("""COMPUTED_VALUE"""),1.2010913698463144)</f>
        <v>1.20109137</v>
      </c>
      <c r="AM1264" s="82">
        <f>IFERROR(__xludf.DUMMYFUNCTION("""COMPUTED_VALUE"""),0.9817330558831756)</f>
        <v>0.9817330559</v>
      </c>
      <c r="AN1264" s="82">
        <f>IFERROR(__xludf.DUMMYFUNCTION("""COMPUTED_VALUE"""),0.9979667794469779)</f>
        <v>0.9979667794</v>
      </c>
      <c r="AO1264" s="82">
        <f>IFERROR(__xludf.DUMMYFUNCTION("""COMPUTED_VALUE"""),0.9705787236533607)</f>
        <v>0.9705787237</v>
      </c>
      <c r="AP1264" s="82">
        <f>IFERROR(__xludf.DUMMYFUNCTION("""COMPUTED_VALUE"""),1.2593153860979251)</f>
        <v>1.259315386</v>
      </c>
      <c r="AQ1264" s="82">
        <f>IFERROR(__xludf.DUMMYFUNCTION("""COMPUTED_VALUE"""),0.9362113933023093)</f>
        <v>0.9362113933</v>
      </c>
      <c r="AR1264" s="82">
        <f>IFERROR(__xludf.DUMMYFUNCTION("""COMPUTED_VALUE"""),1.0328770210534441)</f>
        <v>1.032877021</v>
      </c>
      <c r="AS1264" s="82">
        <f>IFERROR(__xludf.DUMMYFUNCTION("""COMPUTED_VALUE"""),79.0)</f>
        <v>79</v>
      </c>
      <c r="AT1264" s="82">
        <f>IFERROR(__xludf.DUMMYFUNCTION("""COMPUTED_VALUE"""),0.5874844643748383)</f>
        <v>0.5874844644</v>
      </c>
      <c r="AU1264" s="82">
        <f>IFERROR(__xludf.DUMMYFUNCTION("""COMPUTED_VALUE"""),2.019151964604699)</f>
        <v>2.019151965</v>
      </c>
      <c r="AV1264" s="82">
        <f>IFERROR(__xludf.DUMMYFUNCTION("""COMPUTED_VALUE"""),57.40290494965405)</f>
        <v>57.40290495</v>
      </c>
      <c r="AW1264" s="82">
        <f t="shared" si="1"/>
        <v>2.607081492</v>
      </c>
      <c r="AX1264" s="83">
        <f t="array" ref="AX1264">IFERROR(DGET('SBV Import'!A:G,"SBV",{"RSC ID","Tier";B1264,A1264}))</f>
        <v>42.01966355</v>
      </c>
      <c r="AY1264" s="82">
        <f t="shared" si="2"/>
        <v>-2.668215468</v>
      </c>
      <c r="AZ1264" s="82">
        <v>5.27529695999972</v>
      </c>
      <c r="BA1264" s="84">
        <v>1200.0</v>
      </c>
      <c r="BB1264" s="84" t="b">
        <f>IFERROR(__xludf.DUMMYFUNCTION("iferror(if(A1264="""",,E1264&gt;=FILTER(Constants!$F$2:$F$10,Constants!$A$2:$A$10=A1264)))"),TRUE)</f>
        <v>1</v>
      </c>
    </row>
    <row r="1265">
      <c r="A1265" s="89" t="str">
        <f>IFERROR(__xludf.DUMMYFUNCTION("""COMPUTED_VALUE"""),"Veteran")</f>
        <v>Veteran</v>
      </c>
      <c r="B1265" s="87" t="str">
        <f>IFERROR(__xludf.DUMMYFUNCTION("""COMPUTED_VALUE"""),"RSC007301")</f>
        <v>RSC007301</v>
      </c>
      <c r="C1265" s="73" t="str">
        <f>IFERROR(__xludf.DUMMYFUNCTION("""COMPUTED_VALUE"""),"DeathFletch")</f>
        <v>DeathFletch</v>
      </c>
      <c r="D1265" s="73" t="str">
        <f>IFERROR(__xludf.DUMMYFUNCTION("""COMPUTED_VALUE"""),"Azalea")</f>
        <v>Azalea</v>
      </c>
      <c r="E1265" s="82">
        <f>IFERROR(__xludf.DUMMYFUNCTION("""COMPUTED_VALUE"""),30.0)</f>
        <v>30</v>
      </c>
      <c r="F1265" s="82">
        <f>IFERROR(__xludf.DUMMYFUNCTION("""COMPUTED_VALUE"""),14.0)</f>
        <v>14</v>
      </c>
      <c r="G1265" s="86">
        <f>IFERROR(__xludf.DUMMYFUNCTION("""COMPUTED_VALUE"""),16.0)</f>
        <v>16</v>
      </c>
      <c r="H1265" s="86">
        <f>IFERROR(__xludf.DUMMYFUNCTION("""COMPUTED_VALUE"""),0.4666666666666667)</f>
        <v>0.4666666667</v>
      </c>
      <c r="I1265" s="86">
        <f>IFERROR(__xludf.DUMMYFUNCTION("""COMPUTED_VALUE"""),0.3026315789473685)</f>
        <v>0.3026315789</v>
      </c>
      <c r="J1265" s="82">
        <f>IFERROR(__xludf.DUMMYFUNCTION("""COMPUTED_VALUE"""),333.93333333333334)</f>
        <v>333.9333333</v>
      </c>
      <c r="K1265" s="82">
        <f>IFERROR(__xludf.DUMMYFUNCTION("""COMPUTED_VALUE"""),0.7666666666666667)</f>
        <v>0.7666666667</v>
      </c>
      <c r="L1265" s="82">
        <f>IFERROR(__xludf.DUMMYFUNCTION("""COMPUTED_VALUE"""),0.6333333333333333)</f>
        <v>0.6333333333</v>
      </c>
      <c r="M1265" s="82">
        <f>IFERROR(__xludf.DUMMYFUNCTION("""COMPUTED_VALUE"""),0.9666666666666667)</f>
        <v>0.9666666667</v>
      </c>
      <c r="N1265" s="82">
        <f>IFERROR(__xludf.DUMMYFUNCTION("""COMPUTED_VALUE"""),2.533333333333333)</f>
        <v>2.533333333</v>
      </c>
      <c r="O1265" s="82">
        <f>IFERROR(__xludf.DUMMYFUNCTION("""COMPUTED_VALUE"""),333.2666666666666)</f>
        <v>333.2666667</v>
      </c>
      <c r="P1265" s="82">
        <f>IFERROR(__xludf.DUMMYFUNCTION("""COMPUTED_VALUE"""),0.7333333333333333)</f>
        <v>0.7333333333</v>
      </c>
      <c r="Q1265" s="82">
        <f>IFERROR(__xludf.DUMMYFUNCTION("""COMPUTED_VALUE"""),0.43333333333333335)</f>
        <v>0.4333333333</v>
      </c>
      <c r="R1265" s="82">
        <f>IFERROR(__xludf.DUMMYFUNCTION("""COMPUTED_VALUE"""),1.422222222222223)</f>
        <v>1.422222222</v>
      </c>
      <c r="S1265" s="82">
        <f>IFERROR(__xludf.DUMMYFUNCTION("""COMPUTED_VALUE"""),2.2777777777777777)</f>
        <v>2.277777778</v>
      </c>
      <c r="T1265" s="82">
        <f>IFERROR(__xludf.DUMMYFUNCTION("""COMPUTED_VALUE"""),345.4183948846383)</f>
        <v>345.4183949</v>
      </c>
      <c r="U1265" s="82">
        <f>IFERROR(__xludf.DUMMYFUNCTION("""COMPUTED_VALUE"""),0.7339354233796448)</f>
        <v>0.7339354234</v>
      </c>
      <c r="V1265" s="82">
        <f>IFERROR(__xludf.DUMMYFUNCTION("""COMPUTED_VALUE"""),0.5331960767161222)</f>
        <v>0.5331960767</v>
      </c>
      <c r="W1265" s="82">
        <f>IFERROR(__xludf.DUMMYFUNCTION("""COMPUTED_VALUE"""),1.420271879699569)</f>
        <v>1.42027188</v>
      </c>
      <c r="X1265" s="82">
        <f>IFERROR(__xludf.DUMMYFUNCTION("""COMPUTED_VALUE"""),2.515813138214582)</f>
        <v>2.515813138</v>
      </c>
      <c r="Y1265" s="82">
        <f>IFERROR(__xludf.DUMMYFUNCTION("""COMPUTED_VALUE"""),351.8977365043519)</f>
        <v>351.8977365</v>
      </c>
      <c r="Z1265" s="82">
        <f>IFERROR(__xludf.DUMMYFUNCTION("""COMPUTED_VALUE"""),0.7946895459959239)</f>
        <v>0.794689546</v>
      </c>
      <c r="AA1265" s="82">
        <f>IFERROR(__xludf.DUMMYFUNCTION("""COMPUTED_VALUE"""),0.5807983362199126)</f>
        <v>0.5807983362</v>
      </c>
      <c r="AB1265" s="82">
        <f>IFERROR(__xludf.DUMMYFUNCTION("""COMPUTED_VALUE"""),1.3524218471452611)</f>
        <v>1.352421847</v>
      </c>
      <c r="AC1265" s="82">
        <f>IFERROR(__xludf.DUMMYFUNCTION("""COMPUTED_VALUE"""),2.6626260802023705)</f>
        <v>2.66262608</v>
      </c>
      <c r="AD1265" s="82">
        <f>IFERROR(__xludf.DUMMYFUNCTION("""COMPUTED_VALUE"""),0.9489499325870305)</f>
        <v>0.9489499326</v>
      </c>
      <c r="AE1265" s="82">
        <f>IFERROR(__xludf.DUMMYFUNCTION("""COMPUTED_VALUE"""),0.9647373248201746)</f>
        <v>0.9647373248</v>
      </c>
      <c r="AF1265" s="82">
        <f>IFERROR(__xludf.DUMMYFUNCTION("""COMPUTED_VALUE"""),1.0904530778365193)</f>
        <v>1.090453078</v>
      </c>
      <c r="AG1265" s="82">
        <f>IFERROR(__xludf.DUMMYFUNCTION("""COMPUTED_VALUE"""),0.7147671184897968)</f>
        <v>0.7147671185</v>
      </c>
      <c r="AH1265" s="82">
        <f>IFERROR(__xludf.DUMMYFUNCTION("""COMPUTED_VALUE"""),0.9514416433346096)</f>
        <v>0.9514416433</v>
      </c>
      <c r="AI1265" s="82">
        <f>IFERROR(__xludf.DUMMYFUNCTION("""COMPUTED_VALUE"""),0.9648202631998504)</f>
        <v>0.9648202632</v>
      </c>
      <c r="AJ1265" s="82">
        <f>IFERROR(__xludf.DUMMYFUNCTION("""COMPUTED_VALUE"""),0.9991796416590182)</f>
        <v>0.9991796417</v>
      </c>
      <c r="AK1265" s="82">
        <f>IFERROR(__xludf.DUMMYFUNCTION("""COMPUTED_VALUE"""),0.8127091557052911)</f>
        <v>0.8127091557</v>
      </c>
      <c r="AL1265" s="82">
        <f>IFERROR(__xludf.DUMMYFUNCTION("""COMPUTED_VALUE"""),1.0013732177272048)</f>
        <v>1.001373218</v>
      </c>
      <c r="AM1265" s="82">
        <f>IFERROR(__xludf.DUMMYFUNCTION("""COMPUTED_VALUE"""),0.9053843241292027)</f>
        <v>0.9053843241</v>
      </c>
      <c r="AN1265" s="82">
        <f>IFERROR(__xludf.DUMMYFUNCTION("""COMPUTED_VALUE"""),0.9659547049758284)</f>
        <v>0.965954705</v>
      </c>
      <c r="AO1265" s="82">
        <f>IFERROR(__xludf.DUMMYFUNCTION("""COMPUTED_VALUE"""),1.0146959383648773)</f>
        <v>1.014695938</v>
      </c>
      <c r="AP1265" s="82">
        <f>IFERROR(__xludf.DUMMYFUNCTION("""COMPUTED_VALUE"""),1.1393805874219323)</f>
        <v>1.139380587</v>
      </c>
      <c r="AQ1265" s="82">
        <f>IFERROR(__xludf.DUMMYFUNCTION("""COMPUTED_VALUE"""),0.7144771159412361)</f>
        <v>0.7144771159</v>
      </c>
      <c r="AR1265" s="82">
        <f>IFERROR(__xludf.DUMMYFUNCTION("""COMPUTED_VALUE"""),0.9936538430387564)</f>
        <v>0.993653843</v>
      </c>
      <c r="AS1265" s="82">
        <f>IFERROR(__xludf.DUMMYFUNCTION("""COMPUTED_VALUE"""),74.0)</f>
        <v>74</v>
      </c>
      <c r="AT1265" s="82">
        <f>IFERROR(__xludf.DUMMYFUNCTION("""COMPUTED_VALUE"""),0.5443879861054928)</f>
        <v>0.5443879861</v>
      </c>
      <c r="AU1265" s="82">
        <f>IFERROR(__xludf.DUMMYFUNCTION("""COMPUTED_VALUE"""),2.0165742335226957)</f>
        <v>2.016574234</v>
      </c>
      <c r="AV1265" s="82">
        <f>IFERROR(__xludf.DUMMYFUNCTION("""COMPUTED_VALUE"""),57.310745666377066)</f>
        <v>57.31074567</v>
      </c>
      <c r="AW1265" s="82">
        <f t="shared" si="1"/>
        <v>2.597544261</v>
      </c>
      <c r="AX1265" s="83">
        <f t="array" ref="AX1265">IFERROR(DGET('SBV Import'!A:G,"SBV",{"RSC ID","Tier";B1265,A1265}))</f>
        <v>54.14402916</v>
      </c>
      <c r="AY1265" s="82">
        <f t="shared" si="2"/>
        <v>2.303232255</v>
      </c>
      <c r="AZ1265" s="82">
        <v>0.2943120067101357</v>
      </c>
      <c r="BA1265" s="84">
        <v>1200.0</v>
      </c>
      <c r="BB1265" s="84" t="b">
        <f>IFERROR(__xludf.DUMMYFUNCTION("iferror(if(A1265="""",,E1265&gt;=FILTER(Constants!$F$2:$F$10,Constants!$A$2:$A$10=A1265)))"),TRUE)</f>
        <v>1</v>
      </c>
    </row>
    <row r="1266">
      <c r="A1266" s="89" t="str">
        <f>IFERROR(__xludf.DUMMYFUNCTION("""COMPUTED_VALUE"""),"Veteran")</f>
        <v>Veteran</v>
      </c>
      <c r="B1266" s="87" t="str">
        <f>IFERROR(__xludf.DUMMYFUNCTION("""COMPUTED_VALUE"""),"RSC000550")</f>
        <v>RSC000550</v>
      </c>
      <c r="C1266" s="73" t="str">
        <f>IFERROR(__xludf.DUMMYFUNCTION("""COMPUTED_VALUE"""),"ARJ")</f>
        <v>ARJ</v>
      </c>
      <c r="D1266" s="73" t="str">
        <f>IFERROR(__xludf.DUMMYFUNCTION("""COMPUTED_VALUE"""),"Giraffes")</f>
        <v>Giraffes</v>
      </c>
      <c r="E1266" s="82">
        <f>IFERROR(__xludf.DUMMYFUNCTION("""COMPUTED_VALUE"""),44.0)</f>
        <v>44</v>
      </c>
      <c r="F1266" s="82">
        <f>IFERROR(__xludf.DUMMYFUNCTION("""COMPUTED_VALUE"""),21.0)</f>
        <v>21</v>
      </c>
      <c r="G1266" s="86">
        <f>IFERROR(__xludf.DUMMYFUNCTION("""COMPUTED_VALUE"""),23.0)</f>
        <v>23</v>
      </c>
      <c r="H1266" s="86">
        <f>IFERROR(__xludf.DUMMYFUNCTION("""COMPUTED_VALUE"""),0.4772727272727273)</f>
        <v>0.4772727273</v>
      </c>
      <c r="I1266" s="86">
        <f>IFERROR(__xludf.DUMMYFUNCTION("""COMPUTED_VALUE"""),0.32758620689655177)</f>
        <v>0.3275862069</v>
      </c>
      <c r="J1266" s="82">
        <f>IFERROR(__xludf.DUMMYFUNCTION("""COMPUTED_VALUE"""),363.40909090909093)</f>
        <v>363.4090909</v>
      </c>
      <c r="K1266" s="82">
        <f>IFERROR(__xludf.DUMMYFUNCTION("""COMPUTED_VALUE"""),0.8636363636363636)</f>
        <v>0.8636363636</v>
      </c>
      <c r="L1266" s="82">
        <f>IFERROR(__xludf.DUMMYFUNCTION("""COMPUTED_VALUE"""),0.5681818181818182)</f>
        <v>0.5681818182</v>
      </c>
      <c r="M1266" s="82">
        <f>IFERROR(__xludf.DUMMYFUNCTION("""COMPUTED_VALUE"""),1.4090909090909092)</f>
        <v>1.409090909</v>
      </c>
      <c r="N1266" s="82">
        <f>IFERROR(__xludf.DUMMYFUNCTION("""COMPUTED_VALUE"""),2.6363636363636362)</f>
        <v>2.636363636</v>
      </c>
      <c r="O1266" s="82">
        <f>IFERROR(__xludf.DUMMYFUNCTION("""COMPUTED_VALUE"""),352.93181818181824)</f>
        <v>352.9318182</v>
      </c>
      <c r="P1266" s="82">
        <f>IFERROR(__xludf.DUMMYFUNCTION("""COMPUTED_VALUE"""),0.8333333333333333)</f>
        <v>0.8333333333</v>
      </c>
      <c r="Q1266" s="82">
        <f>IFERROR(__xludf.DUMMYFUNCTION("""COMPUTED_VALUE"""),0.5984848484848487)</f>
        <v>0.5984848485</v>
      </c>
      <c r="R1266" s="82">
        <f>IFERROR(__xludf.DUMMYFUNCTION("""COMPUTED_VALUE"""),1.3484848484848486)</f>
        <v>1.348484848</v>
      </c>
      <c r="S1266" s="82">
        <f>IFERROR(__xludf.DUMMYFUNCTION("""COMPUTED_VALUE"""),2.621212121212121)</f>
        <v>2.621212121</v>
      </c>
      <c r="T1266" s="82">
        <f>IFERROR(__xludf.DUMMYFUNCTION("""COMPUTED_VALUE"""),345.4507336893676)</f>
        <v>345.4507337</v>
      </c>
      <c r="U1266" s="82">
        <f>IFERROR(__xludf.DUMMYFUNCTION("""COMPUTED_VALUE"""),0.7416363148283366)</f>
        <v>0.7416363148</v>
      </c>
      <c r="V1266" s="82">
        <f>IFERROR(__xludf.DUMMYFUNCTION("""COMPUTED_VALUE"""),0.5529727887861954)</f>
        <v>0.5529727888</v>
      </c>
      <c r="W1266" s="82">
        <f>IFERROR(__xludf.DUMMYFUNCTION("""COMPUTED_VALUE"""),1.3527090626977925)</f>
        <v>1.352709063</v>
      </c>
      <c r="X1266" s="82">
        <f>IFERROR(__xludf.DUMMYFUNCTION("""COMPUTED_VALUE"""),2.5778900902327337)</f>
        <v>2.57789009</v>
      </c>
      <c r="Y1266" s="82">
        <f>IFERROR(__xludf.DUMMYFUNCTION("""COMPUTED_VALUE"""),353.9369023193656)</f>
        <v>353.9369023</v>
      </c>
      <c r="Z1266" s="82">
        <f>IFERROR(__xludf.DUMMYFUNCTION("""COMPUTED_VALUE"""),0.7787186284971225)</f>
        <v>0.7787186285</v>
      </c>
      <c r="AA1266" s="82">
        <f>IFERROR(__xludf.DUMMYFUNCTION("""COMPUTED_VALUE"""),0.5791799709745723)</f>
        <v>0.579179971</v>
      </c>
      <c r="AB1266" s="82">
        <f>IFERROR(__xludf.DUMMYFUNCTION("""COMPUTED_VALUE"""),1.379116789694221)</f>
        <v>1.37911679</v>
      </c>
      <c r="AC1266" s="82">
        <f>IFERROR(__xludf.DUMMYFUNCTION("""COMPUTED_VALUE"""),2.618278128099799)</f>
        <v>2.618278128</v>
      </c>
      <c r="AD1266" s="82">
        <f>IFERROR(__xludf.DUMMYFUNCTION("""COMPUTED_VALUE"""),1.026762365064659)</f>
        <v>1.026762365</v>
      </c>
      <c r="AE1266" s="82">
        <f>IFERROR(__xludf.DUMMYFUNCTION("""COMPUTED_VALUE"""),1.109048033566536)</f>
        <v>1.109048034</v>
      </c>
      <c r="AF1266" s="82">
        <f>IFERROR(__xludf.DUMMYFUNCTION("""COMPUTED_VALUE"""),0.9810108198765096)</f>
        <v>0.9810108199</v>
      </c>
      <c r="AG1266" s="82">
        <f>IFERROR(__xludf.DUMMYFUNCTION("""COMPUTED_VALUE"""),1.0217342864800698)</f>
        <v>1.021734286</v>
      </c>
      <c r="AH1266" s="82">
        <f>IFERROR(__xludf.DUMMYFUNCTION("""COMPUTED_VALUE"""),1.006907405317159)</f>
        <v>1.006907405</v>
      </c>
      <c r="AI1266" s="82">
        <f>IFERROR(__xludf.DUMMYFUNCTION("""COMPUTED_VALUE"""),1.0216560098528484)</f>
        <v>1.02165601</v>
      </c>
      <c r="AJ1266" s="82">
        <f>IFERROR(__xludf.DUMMYFUNCTION("""COMPUTED_VALUE"""),1.123641489327854)</f>
        <v>1.123641489</v>
      </c>
      <c r="AK1266" s="82">
        <f>IFERROR(__xludf.DUMMYFUNCTION("""COMPUTED_VALUE"""),1.0823043386973068)</f>
        <v>1.082304339</v>
      </c>
      <c r="AL1266" s="82">
        <f>IFERROR(__xludf.DUMMYFUNCTION("""COMPUTED_VALUE"""),0.9968772189605064)</f>
        <v>0.996877219</v>
      </c>
      <c r="AM1266" s="82">
        <f>IFERROR(__xludf.DUMMYFUNCTION("""COMPUTED_VALUE"""),1.0168052280985633)</f>
        <v>1.016805228</v>
      </c>
      <c r="AN1266" s="82">
        <f>IFERROR(__xludf.DUMMYFUNCTION("""COMPUTED_VALUE"""),1.0512179712356506)</f>
        <v>1.051217971</v>
      </c>
      <c r="AO1266" s="82">
        <f>IFERROR(__xludf.DUMMYFUNCTION("""COMPUTED_VALUE"""),1.1430369266165612)</f>
        <v>1.143036927</v>
      </c>
      <c r="AP1266" s="82">
        <f>IFERROR(__xludf.DUMMYFUNCTION("""COMPUTED_VALUE"""),1.0221715796249393)</f>
        <v>1.02217158</v>
      </c>
      <c r="AQ1266" s="82">
        <f>IFERROR(__xludf.DUMMYFUNCTION("""COMPUTED_VALUE"""),1.041479181544435)</f>
        <v>1.041479182</v>
      </c>
      <c r="AR1266" s="82">
        <f>IFERROR(__xludf.DUMMYFUNCTION("""COMPUTED_VALUE"""),1.0340656022054044)</f>
        <v>1.034065602</v>
      </c>
      <c r="AS1266" s="82">
        <f>IFERROR(__xludf.DUMMYFUNCTION("""COMPUTED_VALUE"""),101.0)</f>
        <v>101</v>
      </c>
      <c r="AT1266" s="82">
        <f>IFERROR(__xludf.DUMMYFUNCTION("""COMPUTED_VALUE"""),0.4665848069067046)</f>
        <v>0.4665848069</v>
      </c>
      <c r="AU1266" s="82">
        <f>IFERROR(__xludf.DUMMYFUNCTION("""COMPUTED_VALUE"""),1.9935536366483175)</f>
        <v>1.993553637</v>
      </c>
      <c r="AV1266" s="82">
        <f>IFERROR(__xludf.DUMMYFUNCTION("""COMPUTED_VALUE"""),56.48771112900313)</f>
        <v>56.48771113</v>
      </c>
      <c r="AW1266" s="82">
        <f t="shared" si="1"/>
        <v>2.514954653</v>
      </c>
      <c r="AX1266" s="83">
        <f t="array" ref="AX1266">IFERROR(DGET('SBV Import'!A:G,"SBV",{"RSC ID","Tier";B1266,A1266}))</f>
        <v>54.07259396</v>
      </c>
      <c r="AY1266" s="82">
        <f t="shared" si="2"/>
        <v>2.297281527</v>
      </c>
      <c r="AZ1266" s="82">
        <v>0.2176731263531626</v>
      </c>
      <c r="BA1266" s="84">
        <v>1200.0</v>
      </c>
      <c r="BB1266" s="84" t="b">
        <f>IFERROR(__xludf.DUMMYFUNCTION("iferror(if(A1266="""",,E1266&gt;=FILTER(Constants!$F$2:$F$10,Constants!$A$2:$A$10=A1266)))"),TRUE)</f>
        <v>1</v>
      </c>
    </row>
    <row r="1267">
      <c r="A1267" s="89" t="str">
        <f>IFERROR(__xludf.DUMMYFUNCTION("""COMPUTED_VALUE"""),"Veteran")</f>
        <v>Veteran</v>
      </c>
      <c r="B1267" s="87" t="str">
        <f>IFERROR(__xludf.DUMMYFUNCTION("""COMPUTED_VALUE"""),"RSC005210")</f>
        <v>RSC005210</v>
      </c>
      <c r="C1267" s="73" t="str">
        <f>IFERROR(__xludf.DUMMYFUNCTION("""COMPUTED_VALUE"""),"baldmanstreamer")</f>
        <v>baldmanstreamer</v>
      </c>
      <c r="D1267" s="73"/>
      <c r="E1267" s="82">
        <f>IFERROR(__xludf.DUMMYFUNCTION("""COMPUTED_VALUE"""),27.0)</f>
        <v>27</v>
      </c>
      <c r="F1267" s="82">
        <f>IFERROR(__xludf.DUMMYFUNCTION("""COMPUTED_VALUE"""),13.0)</f>
        <v>13</v>
      </c>
      <c r="G1267" s="86">
        <f>IFERROR(__xludf.DUMMYFUNCTION("""COMPUTED_VALUE"""),14.0)</f>
        <v>14</v>
      </c>
      <c r="H1267" s="86">
        <f>IFERROR(__xludf.DUMMYFUNCTION("""COMPUTED_VALUE"""),0.48148148148148145)</f>
        <v>0.4814814815</v>
      </c>
      <c r="I1267" s="86">
        <f>IFERROR(__xludf.DUMMYFUNCTION("""COMPUTED_VALUE"""),0.373134328358209)</f>
        <v>0.3731343284</v>
      </c>
      <c r="J1267" s="82">
        <f>IFERROR(__xludf.DUMMYFUNCTION("""COMPUTED_VALUE"""),356.1111111111111)</f>
        <v>356.1111111</v>
      </c>
      <c r="K1267" s="82">
        <f>IFERROR(__xludf.DUMMYFUNCTION("""COMPUTED_VALUE"""),0.9259259259259259)</f>
        <v>0.9259259259</v>
      </c>
      <c r="L1267" s="82">
        <f>IFERROR(__xludf.DUMMYFUNCTION("""COMPUTED_VALUE"""),0.5185185185185185)</f>
        <v>0.5185185185</v>
      </c>
      <c r="M1267" s="82">
        <f>IFERROR(__xludf.DUMMYFUNCTION("""COMPUTED_VALUE"""),1.2962962962962963)</f>
        <v>1.296296296</v>
      </c>
      <c r="N1267" s="82">
        <f>IFERROR(__xludf.DUMMYFUNCTION("""COMPUTED_VALUE"""),2.4814814814814814)</f>
        <v>2.481481481</v>
      </c>
      <c r="O1267" s="82">
        <f>IFERROR(__xludf.DUMMYFUNCTION("""COMPUTED_VALUE"""),343.98765432098764)</f>
        <v>343.9876543</v>
      </c>
      <c r="P1267" s="82">
        <f>IFERROR(__xludf.DUMMYFUNCTION("""COMPUTED_VALUE"""),0.8395061728395062)</f>
        <v>0.8395061728</v>
      </c>
      <c r="Q1267" s="82">
        <f>IFERROR(__xludf.DUMMYFUNCTION("""COMPUTED_VALUE"""),0.6296296296296297)</f>
        <v>0.6296296296</v>
      </c>
      <c r="R1267" s="82">
        <f>IFERROR(__xludf.DUMMYFUNCTION("""COMPUTED_VALUE"""),1.1111111111111112)</f>
        <v>1.111111111</v>
      </c>
      <c r="S1267" s="82">
        <f>IFERROR(__xludf.DUMMYFUNCTION("""COMPUTED_VALUE"""),2.6419753086419755)</f>
        <v>2.641975309</v>
      </c>
      <c r="T1267" s="82">
        <f>IFERROR(__xludf.DUMMYFUNCTION("""COMPUTED_VALUE"""),348.89920675836777)</f>
        <v>348.8992068</v>
      </c>
      <c r="U1267" s="82">
        <f>IFERROR(__xludf.DUMMYFUNCTION("""COMPUTED_VALUE"""),0.7595596127274891)</f>
        <v>0.7595596127</v>
      </c>
      <c r="V1267" s="82">
        <f>IFERROR(__xludf.DUMMYFUNCTION("""COMPUTED_VALUE"""),0.5546942642237881)</f>
        <v>0.5546942642</v>
      </c>
      <c r="W1267" s="82">
        <f>IFERROR(__xludf.DUMMYFUNCTION("""COMPUTED_VALUE"""),1.374792507764241)</f>
        <v>1.374792508</v>
      </c>
      <c r="X1267" s="82">
        <f>IFERROR(__xludf.DUMMYFUNCTION("""COMPUTED_VALUE"""),2.5056236001378296)</f>
        <v>2.5056236</v>
      </c>
      <c r="Y1267" s="82">
        <f>IFERROR(__xludf.DUMMYFUNCTION("""COMPUTED_VALUE"""),347.28567448124494)</f>
        <v>347.2856745</v>
      </c>
      <c r="Z1267" s="82">
        <f>IFERROR(__xludf.DUMMYFUNCTION("""COMPUTED_VALUE"""),0.7579118073942274)</f>
        <v>0.7579118074</v>
      </c>
      <c r="AA1267" s="82">
        <f>IFERROR(__xludf.DUMMYFUNCTION("""COMPUTED_VALUE"""),0.5452467978532062)</f>
        <v>0.5452467979</v>
      </c>
      <c r="AB1267" s="82">
        <f>IFERROR(__xludf.DUMMYFUNCTION("""COMPUTED_VALUE"""),1.3555539985594043)</f>
        <v>1.355553999</v>
      </c>
      <c r="AC1267" s="82">
        <f>IFERROR(__xludf.DUMMYFUNCTION("""COMPUTED_VALUE"""),2.57526501840595)</f>
        <v>2.575265018</v>
      </c>
      <c r="AD1267" s="82">
        <f>IFERROR(__xludf.DUMMYFUNCTION("""COMPUTED_VALUE"""),1.0254126135293344)</f>
        <v>1.025412614</v>
      </c>
      <c r="AE1267" s="82">
        <f>IFERROR(__xludf.DUMMYFUNCTION("""COMPUTED_VALUE"""),1.2216803022364133)</f>
        <v>1.221680302</v>
      </c>
      <c r="AF1267" s="82">
        <f>IFERROR(__xludf.DUMMYFUNCTION("""COMPUTED_VALUE"""),0.9509794840796413)</f>
        <v>0.9509794841</v>
      </c>
      <c r="AG1267" s="82">
        <f>IFERROR(__xludf.DUMMYFUNCTION("""COMPUTED_VALUE"""),0.9562852513982598)</f>
        <v>0.9562852514</v>
      </c>
      <c r="AH1267" s="82">
        <f>IFERROR(__xludf.DUMMYFUNCTION("""COMPUTED_VALUE"""),0.9635829569950362)</f>
        <v>0.963582957</v>
      </c>
      <c r="AI1267" s="82">
        <f>IFERROR(__xludf.DUMMYFUNCTION("""COMPUTED_VALUE"""),0.9859227182457263)</f>
        <v>0.9859227182</v>
      </c>
      <c r="AJ1267" s="82">
        <f>IFERROR(__xludf.DUMMYFUNCTION("""COMPUTED_VALUE"""),1.1052538323159897)</f>
        <v>1.105253832</v>
      </c>
      <c r="AK1267" s="82">
        <f>IFERROR(__xludf.DUMMYFUNCTION("""COMPUTED_VALUE"""),1.1350930958529064)</f>
        <v>1.135093096</v>
      </c>
      <c r="AL1267" s="82">
        <f>IFERROR(__xludf.DUMMYFUNCTION("""COMPUTED_VALUE"""),0.8082027686622019)</f>
        <v>0.8082027687</v>
      </c>
      <c r="AM1267" s="82">
        <f>IFERROR(__xludf.DUMMYFUNCTION("""COMPUTED_VALUE"""),1.0544182727591829)</f>
        <v>1.054418273</v>
      </c>
      <c r="AN1267" s="82">
        <f>IFERROR(__xludf.DUMMYFUNCTION("""COMPUTED_VALUE"""),1.030107416466204)</f>
        <v>1.030107416</v>
      </c>
      <c r="AO1267" s="82">
        <f>IFERROR(__xludf.DUMMYFUNCTION("""COMPUTED_VALUE"""),1.2254781864310111)</f>
        <v>1.225478186</v>
      </c>
      <c r="AP1267" s="82">
        <f>IFERROR(__xludf.DUMMYFUNCTION("""COMPUTED_VALUE"""),0.932826211924389)</f>
        <v>0.9328262119</v>
      </c>
      <c r="AQ1267" s="82">
        <f>IFERROR(__xludf.DUMMYFUNCTION("""COMPUTED_VALUE"""),0.9581110750169832)</f>
        <v>0.958111075</v>
      </c>
      <c r="AR1267" s="82">
        <f>IFERROR(__xludf.DUMMYFUNCTION("""COMPUTED_VALUE"""),0.9733158988829924)</f>
        <v>0.9733158989</v>
      </c>
      <c r="AS1267" s="82">
        <f>IFERROR(__xludf.DUMMYFUNCTION("""COMPUTED_VALUE"""),59.0)</f>
        <v>59</v>
      </c>
      <c r="AT1267" s="82">
        <f>IFERROR(__xludf.DUMMYFUNCTION("""COMPUTED_VALUE"""),0.4448737294251841)</f>
        <v>0.4448737294</v>
      </c>
      <c r="AU1267" s="82">
        <f>IFERROR(__xludf.DUMMYFUNCTION("""COMPUTED_VALUE"""),1.9935413473630124)</f>
        <v>1.993541347</v>
      </c>
      <c r="AV1267" s="82">
        <f>IFERROR(__xludf.DUMMYFUNCTION("""COMPUTED_VALUE"""),56.48727176132292)</f>
        <v>56.48727176</v>
      </c>
      <c r="AW1267" s="82">
        <f t="shared" si="1"/>
        <v>2.514911776</v>
      </c>
      <c r="AX1267" s="83">
        <f t="array" ref="AX1267">IFERROR(DGET('SBV Import'!A:G,"SBV",{"RSC ID","Tier";B1267,A1267}))</f>
        <v>58.95001248</v>
      </c>
      <c r="AY1267" s="82">
        <f t="shared" si="2"/>
        <v>2.776455336</v>
      </c>
      <c r="AZ1267" s="82">
        <v>0.26154356036619</v>
      </c>
      <c r="BA1267" s="84">
        <v>1200.0</v>
      </c>
      <c r="BB1267" s="84" t="b">
        <f>IFERROR(__xludf.DUMMYFUNCTION("iferror(if(A1267="""",,E1267&gt;=FILTER(Constants!$F$2:$F$10,Constants!$A$2:$A$10=A1267)))"),TRUE)</f>
        <v>1</v>
      </c>
    </row>
    <row r="1268">
      <c r="A1268" s="89" t="str">
        <f>IFERROR(__xludf.DUMMYFUNCTION("""COMPUTED_VALUE"""),"Veteran")</f>
        <v>Veteran</v>
      </c>
      <c r="B1268" s="87" t="str">
        <f>IFERROR(__xludf.DUMMYFUNCTION("""COMPUTED_VALUE"""),"RSC002917")</f>
        <v>RSC002917</v>
      </c>
      <c r="C1268" s="73" t="str">
        <f>IFERROR(__xludf.DUMMYFUNCTION("""COMPUTED_VALUE"""),"Arbartenn")</f>
        <v>Arbartenn</v>
      </c>
      <c r="D1268" s="73" t="str">
        <f>IFERROR(__xludf.DUMMYFUNCTION("""COMPUTED_VALUE"""),"Grizzly Bears")</f>
        <v>Grizzly Bears</v>
      </c>
      <c r="E1268" s="82">
        <f>IFERROR(__xludf.DUMMYFUNCTION("""COMPUTED_VALUE"""),34.0)</f>
        <v>34</v>
      </c>
      <c r="F1268" s="82">
        <f>IFERROR(__xludf.DUMMYFUNCTION("""COMPUTED_VALUE"""),20.0)</f>
        <v>20</v>
      </c>
      <c r="G1268" s="86">
        <f>IFERROR(__xludf.DUMMYFUNCTION("""COMPUTED_VALUE"""),14.0)</f>
        <v>14</v>
      </c>
      <c r="H1268" s="86">
        <f>IFERROR(__xludf.DUMMYFUNCTION("""COMPUTED_VALUE"""),0.5882352941176471)</f>
        <v>0.5882352941</v>
      </c>
      <c r="I1268" s="86">
        <f>IFERROR(__xludf.DUMMYFUNCTION("""COMPUTED_VALUE"""),0.23958333333333334)</f>
        <v>0.2395833333</v>
      </c>
      <c r="J1268" s="82">
        <f>IFERROR(__xludf.DUMMYFUNCTION("""COMPUTED_VALUE"""),340.97058823529414)</f>
        <v>340.9705882</v>
      </c>
      <c r="K1268" s="82">
        <f>IFERROR(__xludf.DUMMYFUNCTION("""COMPUTED_VALUE"""),0.6764705882352942)</f>
        <v>0.6764705882</v>
      </c>
      <c r="L1268" s="82">
        <f>IFERROR(__xludf.DUMMYFUNCTION("""COMPUTED_VALUE"""),0.7647058823529411)</f>
        <v>0.7647058824</v>
      </c>
      <c r="M1268" s="82">
        <f>IFERROR(__xludf.DUMMYFUNCTION("""COMPUTED_VALUE"""),1.2058823529411764)</f>
        <v>1.205882353</v>
      </c>
      <c r="N1268" s="82">
        <f>IFERROR(__xludf.DUMMYFUNCTION("""COMPUTED_VALUE"""),2.823529411764706)</f>
        <v>2.823529412</v>
      </c>
      <c r="O1268" s="82">
        <f>IFERROR(__xludf.DUMMYFUNCTION("""COMPUTED_VALUE"""),358.1764705882353)</f>
        <v>358.1764706</v>
      </c>
      <c r="P1268" s="82">
        <f>IFERROR(__xludf.DUMMYFUNCTION("""COMPUTED_VALUE"""),0.7352941176470588)</f>
        <v>0.7352941176</v>
      </c>
      <c r="Q1268" s="82">
        <f>IFERROR(__xludf.DUMMYFUNCTION("""COMPUTED_VALUE"""),0.4901960784313725)</f>
        <v>0.4901960784</v>
      </c>
      <c r="R1268" s="82">
        <f>IFERROR(__xludf.DUMMYFUNCTION("""COMPUTED_VALUE"""),1.607843137254902)</f>
        <v>1.607843137</v>
      </c>
      <c r="S1268" s="82">
        <f>IFERROR(__xludf.DUMMYFUNCTION("""COMPUTED_VALUE"""),2.460784313725491)</f>
        <v>2.460784314</v>
      </c>
      <c r="T1268" s="82">
        <f>IFERROR(__xludf.DUMMYFUNCTION("""COMPUTED_VALUE"""),356.78308244938074)</f>
        <v>356.7830824</v>
      </c>
      <c r="U1268" s="82">
        <f>IFERROR(__xludf.DUMMYFUNCTION("""COMPUTED_VALUE"""),0.7526063926194221)</f>
        <v>0.7526063926</v>
      </c>
      <c r="V1268" s="82">
        <f>IFERROR(__xludf.DUMMYFUNCTION("""COMPUTED_VALUE"""),0.5535940265243353)</f>
        <v>0.5535940265</v>
      </c>
      <c r="W1268" s="82">
        <f>IFERROR(__xludf.DUMMYFUNCTION("""COMPUTED_VALUE"""),1.5325222264490295)</f>
        <v>1.532522226</v>
      </c>
      <c r="X1268" s="82">
        <f>IFERROR(__xludf.DUMMYFUNCTION("""COMPUTED_VALUE"""),2.5007071326073493)</f>
        <v>2.500707133</v>
      </c>
      <c r="Y1268" s="82">
        <f>IFERROR(__xludf.DUMMYFUNCTION("""COMPUTED_VALUE"""),365.63415667310454)</f>
        <v>365.6341567</v>
      </c>
      <c r="Z1268" s="82">
        <f>IFERROR(__xludf.DUMMYFUNCTION("""COMPUTED_VALUE"""),0.8693037143972612)</f>
        <v>0.8693037144</v>
      </c>
      <c r="AA1268" s="82">
        <f>IFERROR(__xludf.DUMMYFUNCTION("""COMPUTED_VALUE"""),0.6465053452326709)</f>
        <v>0.6465053452</v>
      </c>
      <c r="AB1268" s="82">
        <f>IFERROR(__xludf.DUMMYFUNCTION("""COMPUTED_VALUE"""),1.2989389815796244)</f>
        <v>1.298938982</v>
      </c>
      <c r="AC1268" s="82">
        <f>IFERROR(__xludf.DUMMYFUNCTION("""COMPUTED_VALUE"""),2.854788693633707)</f>
        <v>2.854788694</v>
      </c>
      <c r="AD1268" s="82">
        <f>IFERROR(__xludf.DUMMYFUNCTION("""COMPUTED_VALUE"""),0.9325457756402642)</f>
        <v>0.9325457756</v>
      </c>
      <c r="AE1268" s="82">
        <f>IFERROR(__xludf.DUMMYFUNCTION("""COMPUTED_VALUE"""),0.7781751958857447)</f>
        <v>0.7781751959</v>
      </c>
      <c r="AF1268" s="82">
        <f>IFERROR(__xludf.DUMMYFUNCTION("""COMPUTED_VALUE"""),1.1828299456329028)</f>
        <v>1.182829946</v>
      </c>
      <c r="AG1268" s="82">
        <f>IFERROR(__xludf.DUMMYFUNCTION("""COMPUTED_VALUE"""),0.928359507291649)</f>
        <v>0.9283595073</v>
      </c>
      <c r="AH1268" s="82">
        <f>IFERROR(__xludf.DUMMYFUNCTION("""COMPUTED_VALUE"""),0.9890502292030544)</f>
        <v>0.9890502292</v>
      </c>
      <c r="AI1268" s="82">
        <f>IFERROR(__xludf.DUMMYFUNCTION("""COMPUTED_VALUE"""),1.003905420989383)</f>
        <v>1.003905421</v>
      </c>
      <c r="AJ1268" s="82">
        <f>IFERROR(__xludf.DUMMYFUNCTION("""COMPUTED_VALUE"""),0.9769969068265438)</f>
        <v>0.9769969068</v>
      </c>
      <c r="AK1268" s="82">
        <f>IFERROR(__xludf.DUMMYFUNCTION("""COMPUTED_VALUE"""),0.8854793493871345)</f>
        <v>0.8854793494</v>
      </c>
      <c r="AL1268" s="82">
        <f>IFERROR(__xludf.DUMMYFUNCTION("""COMPUTED_VALUE"""),1.049148331753985)</f>
        <v>1.049148332</v>
      </c>
      <c r="AM1268" s="82">
        <f>IFERROR(__xludf.DUMMYFUNCTION("""COMPUTED_VALUE"""),0.9840353880863157)</f>
        <v>0.9840353881</v>
      </c>
      <c r="AN1268" s="82">
        <f>IFERROR(__xludf.DUMMYFUNCTION("""COMPUTED_VALUE"""),0.9863110719632409)</f>
        <v>0.986311072</v>
      </c>
      <c r="AO1268" s="82">
        <f>IFERROR(__xludf.DUMMYFUNCTION("""COMPUTED_VALUE"""),0.8953199456160681)</f>
        <v>0.8953199456</v>
      </c>
      <c r="AP1268" s="82">
        <f>IFERROR(__xludf.DUMMYFUNCTION("""COMPUTED_VALUE"""),1.3757226906952122)</f>
        <v>1.375722691</v>
      </c>
      <c r="AQ1268" s="82">
        <f>IFERROR(__xludf.DUMMYFUNCTION("""COMPUTED_VALUE"""),0.8912848403729415)</f>
        <v>0.8912848404</v>
      </c>
      <c r="AR1268" s="82">
        <f>IFERROR(__xludf.DUMMYFUNCTION("""COMPUTED_VALUE"""),1.1074779674735367)</f>
        <v>1.107477967</v>
      </c>
      <c r="AS1268" s="82">
        <f>IFERROR(__xludf.DUMMYFUNCTION("""COMPUTED_VALUE"""),88.0)</f>
        <v>88</v>
      </c>
      <c r="AT1268" s="82">
        <f>IFERROR(__xludf.DUMMYFUNCTION("""COMPUTED_VALUE"""),0.5623371627426442)</f>
        <v>0.5623371627</v>
      </c>
      <c r="AU1268" s="82">
        <f>IFERROR(__xludf.DUMMYFUNCTION("""COMPUTED_VALUE"""),1.9820894247628538)</f>
        <v>1.982089425</v>
      </c>
      <c r="AV1268" s="82">
        <f>IFERROR(__xludf.DUMMYFUNCTION("""COMPUTED_VALUE"""),56.07784155103354)</f>
        <v>56.07784155</v>
      </c>
      <c r="AW1268" s="82">
        <f t="shared" si="1"/>
        <v>2.475500749</v>
      </c>
      <c r="AX1268" s="83">
        <f t="array" ref="AX1268">IFERROR(DGET('SBV Import'!A:G,"SBV",{"RSC ID","Tier";B1268,A1268}))</f>
        <v>45.41670956</v>
      </c>
      <c r="AY1268" s="82">
        <f t="shared" si="2"/>
        <v>-2.340446421</v>
      </c>
      <c r="AZ1268" s="82">
        <v>4.815947170414911</v>
      </c>
      <c r="BA1268" s="84">
        <v>1200.0</v>
      </c>
      <c r="BB1268" s="84" t="b">
        <f>IFERROR(__xludf.DUMMYFUNCTION("iferror(if(A1268="""",,E1268&gt;=FILTER(Constants!$F$2:$F$10,Constants!$A$2:$A$10=A1268)))"),TRUE)</f>
        <v>1</v>
      </c>
    </row>
    <row r="1269">
      <c r="A1269" s="89" t="str">
        <f>IFERROR(__xludf.DUMMYFUNCTION("""COMPUTED_VALUE"""),"Veteran")</f>
        <v>Veteran</v>
      </c>
      <c r="B1269" s="87" t="str">
        <f>IFERROR(__xludf.DUMMYFUNCTION("""COMPUTED_VALUE"""),"RSC007383")</f>
        <v>RSC007383</v>
      </c>
      <c r="C1269" s="73" t="str">
        <f>IFERROR(__xludf.DUMMYFUNCTION("""COMPUTED_VALUE"""),"ttv. blestbb")</f>
        <v>ttv. blestbb</v>
      </c>
      <c r="D1269" s="73" t="str">
        <f>IFERROR(__xludf.DUMMYFUNCTION("""COMPUTED_VALUE"""),"Gouda Gangsters")</f>
        <v>Gouda Gangsters</v>
      </c>
      <c r="E1269" s="82">
        <f>IFERROR(__xludf.DUMMYFUNCTION("""COMPUTED_VALUE"""),34.0)</f>
        <v>34</v>
      </c>
      <c r="F1269" s="82">
        <f>IFERROR(__xludf.DUMMYFUNCTION("""COMPUTED_VALUE"""),14.0)</f>
        <v>14</v>
      </c>
      <c r="G1269" s="86">
        <f>IFERROR(__xludf.DUMMYFUNCTION("""COMPUTED_VALUE"""),20.0)</f>
        <v>20</v>
      </c>
      <c r="H1269" s="86">
        <f>IFERROR(__xludf.DUMMYFUNCTION("""COMPUTED_VALUE"""),0.4117647058823529)</f>
        <v>0.4117647059</v>
      </c>
      <c r="I1269" s="86">
        <f>IFERROR(__xludf.DUMMYFUNCTION("""COMPUTED_VALUE"""),0.25)</f>
        <v>0.25</v>
      </c>
      <c r="J1269" s="82">
        <f>IFERROR(__xludf.DUMMYFUNCTION("""COMPUTED_VALUE"""),354.47058823529414)</f>
        <v>354.4705882</v>
      </c>
      <c r="K1269" s="82">
        <f>IFERROR(__xludf.DUMMYFUNCTION("""COMPUTED_VALUE"""),0.7352941176470589)</f>
        <v>0.7352941176</v>
      </c>
      <c r="L1269" s="82">
        <f>IFERROR(__xludf.DUMMYFUNCTION("""COMPUTED_VALUE"""),0.6470588235294118)</f>
        <v>0.6470588235</v>
      </c>
      <c r="M1269" s="82">
        <f>IFERROR(__xludf.DUMMYFUNCTION("""COMPUTED_VALUE"""),1.3235294117647058)</f>
        <v>1.323529412</v>
      </c>
      <c r="N1269" s="82">
        <f>IFERROR(__xludf.DUMMYFUNCTION("""COMPUTED_VALUE"""),2.9411764705882355)</f>
        <v>2.941176471</v>
      </c>
      <c r="O1269" s="82">
        <f>IFERROR(__xludf.DUMMYFUNCTION("""COMPUTED_VALUE"""),371.9509803921569)</f>
        <v>371.9509804</v>
      </c>
      <c r="P1269" s="82">
        <f>IFERROR(__xludf.DUMMYFUNCTION("""COMPUTED_VALUE"""),0.911764705882353)</f>
        <v>0.9117647059</v>
      </c>
      <c r="Q1269" s="82">
        <f>IFERROR(__xludf.DUMMYFUNCTION("""COMPUTED_VALUE"""),0.6960784313725491)</f>
        <v>0.6960784314</v>
      </c>
      <c r="R1269" s="82">
        <f>IFERROR(__xludf.DUMMYFUNCTION("""COMPUTED_VALUE"""),1.3137254901960784)</f>
        <v>1.31372549</v>
      </c>
      <c r="S1269" s="82">
        <f>IFERROR(__xludf.DUMMYFUNCTION("""COMPUTED_VALUE"""),2.4901960784313726)</f>
        <v>2.490196078</v>
      </c>
      <c r="T1269" s="82">
        <f>IFERROR(__xludf.DUMMYFUNCTION("""COMPUTED_VALUE"""),361.3508834419908)</f>
        <v>361.3508834</v>
      </c>
      <c r="U1269" s="82">
        <f>IFERROR(__xludf.DUMMYFUNCTION("""COMPUTED_VALUE"""),0.8307367752654065)</f>
        <v>0.8307367753</v>
      </c>
      <c r="V1269" s="82">
        <f>IFERROR(__xludf.DUMMYFUNCTION("""COMPUTED_VALUE"""),0.5855743707723404)</f>
        <v>0.5855743708</v>
      </c>
      <c r="W1269" s="82">
        <f>IFERROR(__xludf.DUMMYFUNCTION("""COMPUTED_VALUE"""),1.3488045812542229)</f>
        <v>1.348804581</v>
      </c>
      <c r="X1269" s="82">
        <f>IFERROR(__xludf.DUMMYFUNCTION("""COMPUTED_VALUE"""),2.7772592355051717)</f>
        <v>2.777259236</v>
      </c>
      <c r="Y1269" s="82">
        <f>IFERROR(__xludf.DUMMYFUNCTION("""COMPUTED_VALUE"""),357.6616483651741)</f>
        <v>357.6616484</v>
      </c>
      <c r="Z1269" s="82">
        <f>IFERROR(__xludf.DUMMYFUNCTION("""COMPUTED_VALUE"""),0.7950583952626149)</f>
        <v>0.7950583953</v>
      </c>
      <c r="AA1269" s="82">
        <f>IFERROR(__xludf.DUMMYFUNCTION("""COMPUTED_VALUE"""),0.5842872948537124)</f>
        <v>0.5842872949</v>
      </c>
      <c r="AB1269" s="82">
        <f>IFERROR(__xludf.DUMMYFUNCTION("""COMPUTED_VALUE"""),1.4157655287587168)</f>
        <v>1.415765529</v>
      </c>
      <c r="AC1269" s="82">
        <f>IFERROR(__xludf.DUMMYFUNCTION("""COMPUTED_VALUE"""),2.580305113057196)</f>
        <v>2.580305113</v>
      </c>
      <c r="AD1269" s="82">
        <f>IFERROR(__xludf.DUMMYFUNCTION("""COMPUTED_VALUE"""),0.9910779918829267)</f>
        <v>0.9910779919</v>
      </c>
      <c r="AE1269" s="82">
        <f>IFERROR(__xludf.DUMMYFUNCTION("""COMPUTED_VALUE"""),0.9248303294806222)</f>
        <v>0.9248303295</v>
      </c>
      <c r="AF1269" s="82">
        <f>IFERROR(__xludf.DUMMYFUNCTION("""COMPUTED_VALUE"""),1.1074326435446717)</f>
        <v>1.107432644</v>
      </c>
      <c r="AG1269" s="82">
        <f>IFERROR(__xludf.DUMMYFUNCTION("""COMPUTED_VALUE"""),0.9348507114204994)</f>
        <v>0.9348507114</v>
      </c>
      <c r="AH1269" s="82">
        <f>IFERROR(__xludf.DUMMYFUNCTION("""COMPUTED_VALUE"""),1.1398560796957349)</f>
        <v>1.13985608</v>
      </c>
      <c r="AI1269" s="82">
        <f>IFERROR(__xludf.DUMMYFUNCTION("""COMPUTED_VALUE"""),1.0293346368748197)</f>
        <v>1.029334637</v>
      </c>
      <c r="AJ1269" s="82">
        <f>IFERROR(__xludf.DUMMYFUNCTION("""COMPUTED_VALUE"""),1.0975374306633525)</f>
        <v>1.097537431</v>
      </c>
      <c r="AK1269" s="82">
        <f>IFERROR(__xludf.DUMMYFUNCTION("""COMPUTED_VALUE"""),1.1887105483364306)</f>
        <v>1.188710548</v>
      </c>
      <c r="AL1269" s="82">
        <f>IFERROR(__xludf.DUMMYFUNCTION("""COMPUTED_VALUE"""),0.9739924585476087)</f>
        <v>0.9739924585</v>
      </c>
      <c r="AM1269" s="82">
        <f>IFERROR(__xludf.DUMMYFUNCTION("""COMPUTED_VALUE"""),0.8966379683236219)</f>
        <v>0.8966379683</v>
      </c>
      <c r="AN1269" s="82">
        <f>IFERROR(__xludf.DUMMYFUNCTION("""COMPUTED_VALUE"""),1.0253619459416008)</f>
        <v>1.025361946</v>
      </c>
      <c r="AO1269" s="82">
        <f>IFERROR(__xludf.DUMMYFUNCTION("""COMPUTED_VALUE"""),0.9731738539305088)</f>
        <v>0.9731738539</v>
      </c>
      <c r="AP1269" s="82">
        <f>IFERROR(__xludf.DUMMYFUNCTION("""COMPUTED_VALUE"""),1.164073045972872)</f>
        <v>1.164073046</v>
      </c>
      <c r="AQ1269" s="82">
        <f>IFERROR(__xludf.DUMMYFUNCTION("""COMPUTED_VALUE"""),0.9782394589459115)</f>
        <v>0.9782394589</v>
      </c>
      <c r="AR1269" s="82">
        <f>IFERROR(__xludf.DUMMYFUNCTION("""COMPUTED_VALUE"""),1.153622882784934)</f>
        <v>1.153622883</v>
      </c>
      <c r="AS1269" s="82">
        <f>IFERROR(__xludf.DUMMYFUNCTION("""COMPUTED_VALUE"""),82.0)</f>
        <v>82</v>
      </c>
      <c r="AT1269" s="82">
        <f>IFERROR(__xludf.DUMMYFUNCTION("""COMPUTED_VALUE"""),0.44980623634902445)</f>
        <v>0.4498062363</v>
      </c>
      <c r="AU1269" s="82">
        <f>IFERROR(__xludf.DUMMYFUNCTION("""COMPUTED_VALUE"""),1.9677764317425668)</f>
        <v>1.967776432</v>
      </c>
      <c r="AV1269" s="82">
        <f>IFERROR(__xludf.DUMMYFUNCTION("""COMPUTED_VALUE"""),55.56612208289067)</f>
        <v>55.56612208</v>
      </c>
      <c r="AW1269" s="82">
        <f t="shared" si="1"/>
        <v>2.427738658</v>
      </c>
      <c r="AX1269" s="83">
        <f t="array" ref="AX1269">IFERROR(DGET('SBV Import'!A:G,"SBV",{"RSC ID","Tier";B1269,A1269}))</f>
        <v>56.02653191</v>
      </c>
      <c r="AY1269" s="82">
        <f t="shared" si="2"/>
        <v>2.47063763</v>
      </c>
      <c r="AZ1269" s="82">
        <v>0.042898971889740345</v>
      </c>
      <c r="BA1269" s="84">
        <v>1200.0</v>
      </c>
      <c r="BB1269" s="84" t="b">
        <f>IFERROR(__xludf.DUMMYFUNCTION("iferror(if(A1269="""",,E1269&gt;=FILTER(Constants!$F$2:$F$10,Constants!$A$2:$A$10=A1269)))"),TRUE)</f>
        <v>1</v>
      </c>
    </row>
    <row r="1270">
      <c r="A1270" s="89" t="str">
        <f>IFERROR(__xludf.DUMMYFUNCTION("""COMPUTED_VALUE"""),"Veteran")</f>
        <v>Veteran</v>
      </c>
      <c r="B1270" s="87" t="str">
        <f>IFERROR(__xludf.DUMMYFUNCTION("""COMPUTED_VALUE"""),"RSC007479")</f>
        <v>RSC007479</v>
      </c>
      <c r="C1270" s="73" t="str">
        <f>IFERROR(__xludf.DUMMYFUNCTION("""COMPUTED_VALUE"""),"Metatonixz")</f>
        <v>Metatonixz</v>
      </c>
      <c r="D1270" s="73" t="str">
        <f>IFERROR(__xludf.DUMMYFUNCTION("""COMPUTED_VALUE"""),"Folks")</f>
        <v>Folks</v>
      </c>
      <c r="E1270" s="82">
        <f>IFERROR(__xludf.DUMMYFUNCTION("""COMPUTED_VALUE"""),47.0)</f>
        <v>47</v>
      </c>
      <c r="F1270" s="82">
        <f>IFERROR(__xludf.DUMMYFUNCTION("""COMPUTED_VALUE"""),26.0)</f>
        <v>26</v>
      </c>
      <c r="G1270" s="86">
        <f>IFERROR(__xludf.DUMMYFUNCTION("""COMPUTED_VALUE"""),21.0)</f>
        <v>21</v>
      </c>
      <c r="H1270" s="86">
        <f>IFERROR(__xludf.DUMMYFUNCTION("""COMPUTED_VALUE"""),0.5531914893617021)</f>
        <v>0.5531914894</v>
      </c>
      <c r="I1270" s="86">
        <f>IFERROR(__xludf.DUMMYFUNCTION("""COMPUTED_VALUE"""),0.2931034482758621)</f>
        <v>0.2931034483</v>
      </c>
      <c r="J1270" s="82">
        <f>IFERROR(__xludf.DUMMYFUNCTION("""COMPUTED_VALUE"""),330.0851063829787)</f>
        <v>330.0851064</v>
      </c>
      <c r="K1270" s="82">
        <f>IFERROR(__xludf.DUMMYFUNCTION("""COMPUTED_VALUE"""),0.723404255319149)</f>
        <v>0.7234042553</v>
      </c>
      <c r="L1270" s="82">
        <f>IFERROR(__xludf.DUMMYFUNCTION("""COMPUTED_VALUE"""),0.574468085106383)</f>
        <v>0.5744680851</v>
      </c>
      <c r="M1270" s="82">
        <f>IFERROR(__xludf.DUMMYFUNCTION("""COMPUTED_VALUE"""),1.0638297872340425)</f>
        <v>1.063829787</v>
      </c>
      <c r="N1270" s="82">
        <f>IFERROR(__xludf.DUMMYFUNCTION("""COMPUTED_VALUE"""),2.4680851063829787)</f>
        <v>2.468085106</v>
      </c>
      <c r="O1270" s="82">
        <f>IFERROR(__xludf.DUMMYFUNCTION("""COMPUTED_VALUE"""),326.30496453900713)</f>
        <v>326.3049645</v>
      </c>
      <c r="P1270" s="82">
        <f>IFERROR(__xludf.DUMMYFUNCTION("""COMPUTED_VALUE"""),0.6453900709219859)</f>
        <v>0.6453900709</v>
      </c>
      <c r="Q1270" s="82">
        <f>IFERROR(__xludf.DUMMYFUNCTION("""COMPUTED_VALUE"""),0.5531914893617021)</f>
        <v>0.5531914894</v>
      </c>
      <c r="R1270" s="82">
        <f>IFERROR(__xludf.DUMMYFUNCTION("""COMPUTED_VALUE"""),1.2907801418439715)</f>
        <v>1.290780142</v>
      </c>
      <c r="S1270" s="82">
        <f>IFERROR(__xludf.DUMMYFUNCTION("""COMPUTED_VALUE"""),2.3404255319148937)</f>
        <v>2.340425532</v>
      </c>
      <c r="T1270" s="82">
        <f>IFERROR(__xludf.DUMMYFUNCTION("""COMPUTED_VALUE"""),361.4904929770337)</f>
        <v>361.490493</v>
      </c>
      <c r="U1270" s="82">
        <f>IFERROR(__xludf.DUMMYFUNCTION("""COMPUTED_VALUE"""),0.8217279043324477)</f>
        <v>0.8217279043</v>
      </c>
      <c r="V1270" s="82">
        <f>IFERROR(__xludf.DUMMYFUNCTION("""COMPUTED_VALUE"""),0.5997913577336181)</f>
        <v>0.5997913577</v>
      </c>
      <c r="W1270" s="82">
        <f>IFERROR(__xludf.DUMMYFUNCTION("""COMPUTED_VALUE"""),1.381391298365261)</f>
        <v>1.381391298</v>
      </c>
      <c r="X1270" s="82">
        <f>IFERROR(__xludf.DUMMYFUNCTION("""COMPUTED_VALUE"""),2.6523564933120327)</f>
        <v>2.652356493</v>
      </c>
      <c r="Y1270" s="82">
        <f>IFERROR(__xludf.DUMMYFUNCTION("""COMPUTED_VALUE"""),353.14016974336926)</f>
        <v>353.1401697</v>
      </c>
      <c r="Z1270" s="82">
        <f>IFERROR(__xludf.DUMMYFUNCTION("""COMPUTED_VALUE"""),0.7890779256810576)</f>
        <v>0.7890779257</v>
      </c>
      <c r="AA1270" s="82">
        <f>IFERROR(__xludf.DUMMYFUNCTION("""COMPUTED_VALUE"""),0.5673543175048155)</f>
        <v>0.5673543175</v>
      </c>
      <c r="AB1270" s="82">
        <f>IFERROR(__xludf.DUMMYFUNCTION("""COMPUTED_VALUE"""),1.3434077840225198)</f>
        <v>1.343407784</v>
      </c>
      <c r="AC1270" s="82">
        <f>IFERROR(__xludf.DUMMYFUNCTION("""COMPUTED_VALUE"""),2.6513318907708787)</f>
        <v>2.651331891</v>
      </c>
      <c r="AD1270" s="82">
        <f>IFERROR(__xludf.DUMMYFUNCTION("""COMPUTED_VALUE"""),0.9347141295844511)</f>
        <v>0.9347141296</v>
      </c>
      <c r="AE1270" s="82">
        <f>IFERROR(__xludf.DUMMYFUNCTION("""COMPUTED_VALUE"""),0.9167716289804644)</f>
        <v>0.916771629</v>
      </c>
      <c r="AF1270" s="82">
        <f>IFERROR(__xludf.DUMMYFUNCTION("""COMPUTED_VALUE"""),1.0125384920535256)</f>
        <v>1.012538492</v>
      </c>
      <c r="AG1270" s="82">
        <f>IFERROR(__xludf.DUMMYFUNCTION("""COMPUTED_VALUE"""),0.7918889557485319)</f>
        <v>0.7918889557</v>
      </c>
      <c r="AH1270" s="82">
        <f>IFERROR(__xludf.DUMMYFUNCTION("""COMPUTED_VALUE"""),0.9308850072577596)</f>
        <v>0.9308850073</v>
      </c>
      <c r="AI1270" s="82">
        <f>IFERROR(__xludf.DUMMYFUNCTION("""COMPUTED_VALUE"""),0.9026654113410889)</f>
        <v>0.9026654113</v>
      </c>
      <c r="AJ1270" s="82">
        <f>IFERROR(__xludf.DUMMYFUNCTION("""COMPUTED_VALUE"""),0.7854060541442675)</f>
        <v>0.7854060541</v>
      </c>
      <c r="AK1270" s="82">
        <f>IFERROR(__xludf.DUMMYFUNCTION("""COMPUTED_VALUE"""),0.9223065358127215)</f>
        <v>0.9223065358</v>
      </c>
      <c r="AL1270" s="82">
        <f>IFERROR(__xludf.DUMMYFUNCTION("""COMPUTED_VALUE"""),0.9344058728120564)</f>
        <v>0.9344058728</v>
      </c>
      <c r="AM1270" s="82">
        <f>IFERROR(__xludf.DUMMYFUNCTION("""COMPUTED_VALUE"""),0.8823947828341783)</f>
        <v>0.8823947828</v>
      </c>
      <c r="AN1270" s="82">
        <f>IFERROR(__xludf.DUMMYFUNCTION("""COMPUTED_VALUE"""),0.9548231030737228)</f>
        <v>0.9548231031</v>
      </c>
      <c r="AO1270" s="82">
        <f>IFERROR(__xludf.DUMMYFUNCTION("""COMPUTED_VALUE"""),0.9574374256541857)</f>
        <v>0.9574374257</v>
      </c>
      <c r="AP1270" s="82">
        <f>IFERROR(__xludf.DUMMYFUNCTION("""COMPUTED_VALUE"""),1.0334807119952578)</f>
        <v>1.033480712</v>
      </c>
      <c r="AQ1270" s="82">
        <f>IFERROR(__xludf.DUMMYFUNCTION("""COMPUTED_VALUE"""),0.7862917636917491)</f>
        <v>0.7862917637</v>
      </c>
      <c r="AR1270" s="82">
        <f>IFERROR(__xludf.DUMMYFUNCTION("""COMPUTED_VALUE"""),0.9680614148305914)</f>
        <v>0.9680614148</v>
      </c>
      <c r="AS1270" s="82">
        <f>IFERROR(__xludf.DUMMYFUNCTION("""COMPUTED_VALUE"""),112.0)</f>
        <v>112</v>
      </c>
      <c r="AT1270" s="82">
        <f>IFERROR(__xludf.DUMMYFUNCTION("""COMPUTED_VALUE"""),0.5783458994568651)</f>
        <v>0.5783458995</v>
      </c>
      <c r="AU1270" s="82">
        <f>IFERROR(__xludf.DUMMYFUNCTION("""COMPUTED_VALUE"""),1.9469920126939766)</f>
        <v>1.946992013</v>
      </c>
      <c r="AV1270" s="82">
        <f>IFERROR(__xludf.DUMMYFUNCTION("""COMPUTED_VALUE"""),54.82303558476075)</f>
        <v>54.82303558</v>
      </c>
      <c r="AW1270" s="82">
        <f t="shared" si="1"/>
        <v>2.361217921</v>
      </c>
      <c r="AX1270" s="83">
        <f t="array" ref="AX1270">IFERROR(DGET('SBV Import'!A:G,"SBV",{"RSC ID","Tier";B1270,A1270}))</f>
        <v>49.71439414</v>
      </c>
      <c r="AY1270" s="82">
        <f t="shared" si="2"/>
        <v>-2.01839774</v>
      </c>
      <c r="AZ1270" s="82">
        <v>4.379615660653801</v>
      </c>
      <c r="BA1270" s="84">
        <v>1200.0</v>
      </c>
      <c r="BB1270" s="84" t="b">
        <f>IFERROR(__xludf.DUMMYFUNCTION("iferror(if(A1270="""",,E1270&gt;=FILTER(Constants!$F$2:$F$10,Constants!$A$2:$A$10=A1270)))"),TRUE)</f>
        <v>1</v>
      </c>
    </row>
    <row r="1271">
      <c r="A1271" s="89" t="str">
        <f>IFERROR(__xludf.DUMMYFUNCTION("""COMPUTED_VALUE"""),"Veteran")</f>
        <v>Veteran</v>
      </c>
      <c r="B1271" s="87" t="str">
        <f>IFERROR(__xludf.DUMMYFUNCTION("""COMPUTED_VALUE"""),"RSC007115")</f>
        <v>RSC007115</v>
      </c>
      <c r="C1271" s="73" t="str">
        <f>IFERROR(__xludf.DUMMYFUNCTION("""COMPUTED_VALUE"""),"Zoomin")</f>
        <v>Zoomin</v>
      </c>
      <c r="D1271" s="73" t="str">
        <f>IFERROR(__xludf.DUMMYFUNCTION("""COMPUTED_VALUE"""),"Legati")</f>
        <v>Legati</v>
      </c>
      <c r="E1271" s="82">
        <f>IFERROR(__xludf.DUMMYFUNCTION("""COMPUTED_VALUE"""),37.0)</f>
        <v>37</v>
      </c>
      <c r="F1271" s="82">
        <f>IFERROR(__xludf.DUMMYFUNCTION("""COMPUTED_VALUE"""),22.0)</f>
        <v>22</v>
      </c>
      <c r="G1271" s="86">
        <f>IFERROR(__xludf.DUMMYFUNCTION("""COMPUTED_VALUE"""),15.0)</f>
        <v>15</v>
      </c>
      <c r="H1271" s="86">
        <f>IFERROR(__xludf.DUMMYFUNCTION("""COMPUTED_VALUE"""),0.5945945945945946)</f>
        <v>0.5945945946</v>
      </c>
      <c r="I1271" s="86">
        <f>IFERROR(__xludf.DUMMYFUNCTION("""COMPUTED_VALUE"""),0.3703703703703704)</f>
        <v>0.3703703704</v>
      </c>
      <c r="J1271" s="82">
        <f>IFERROR(__xludf.DUMMYFUNCTION("""COMPUTED_VALUE"""),384.02702702702703)</f>
        <v>384.027027</v>
      </c>
      <c r="K1271" s="82">
        <f>IFERROR(__xludf.DUMMYFUNCTION("""COMPUTED_VALUE"""),0.8108108108108109)</f>
        <v>0.8108108108</v>
      </c>
      <c r="L1271" s="82">
        <f>IFERROR(__xludf.DUMMYFUNCTION("""COMPUTED_VALUE"""),0.7027027027027027)</f>
        <v>0.7027027027</v>
      </c>
      <c r="M1271" s="82">
        <f>IFERROR(__xludf.DUMMYFUNCTION("""COMPUTED_VALUE"""),1.5405405405405406)</f>
        <v>1.540540541</v>
      </c>
      <c r="N1271" s="82">
        <f>IFERROR(__xludf.DUMMYFUNCTION("""COMPUTED_VALUE"""),2.189189189189189)</f>
        <v>2.189189189</v>
      </c>
      <c r="O1271" s="82">
        <f>IFERROR(__xludf.DUMMYFUNCTION("""COMPUTED_VALUE"""),389.2342342342342)</f>
        <v>389.2342342</v>
      </c>
      <c r="P1271" s="82">
        <f>IFERROR(__xludf.DUMMYFUNCTION("""COMPUTED_VALUE"""),0.927927927927928)</f>
        <v>0.9279279279</v>
      </c>
      <c r="Q1271" s="82">
        <f>IFERROR(__xludf.DUMMYFUNCTION("""COMPUTED_VALUE"""),0.6756756756756757)</f>
        <v>0.6756756757</v>
      </c>
      <c r="R1271" s="82">
        <f>IFERROR(__xludf.DUMMYFUNCTION("""COMPUTED_VALUE"""),1.4504504504504503)</f>
        <v>1.45045045</v>
      </c>
      <c r="S1271" s="82">
        <f>IFERROR(__xludf.DUMMYFUNCTION("""COMPUTED_VALUE"""),2.9279279279279278)</f>
        <v>2.927927928</v>
      </c>
      <c r="T1271" s="82">
        <f>IFERROR(__xludf.DUMMYFUNCTION("""COMPUTED_VALUE"""),361.4048962264532)</f>
        <v>361.4048962</v>
      </c>
      <c r="U1271" s="82">
        <f>IFERROR(__xludf.DUMMYFUNCTION("""COMPUTED_VALUE"""),0.8216735194167331)</f>
        <v>0.8216735194</v>
      </c>
      <c r="V1271" s="82">
        <f>IFERROR(__xludf.DUMMYFUNCTION("""COMPUTED_VALUE"""),0.5928275801564784)</f>
        <v>0.5928275802</v>
      </c>
      <c r="W1271" s="82">
        <f>IFERROR(__xludf.DUMMYFUNCTION("""COMPUTED_VALUE"""),1.389817611286738)</f>
        <v>1.389817611</v>
      </c>
      <c r="X1271" s="82">
        <f>IFERROR(__xludf.DUMMYFUNCTION("""COMPUTED_VALUE"""),2.6384661867930634)</f>
        <v>2.638466187</v>
      </c>
      <c r="Y1271" s="82">
        <f>IFERROR(__xludf.DUMMYFUNCTION("""COMPUTED_VALUE"""),355.65085863663376)</f>
        <v>355.6508586</v>
      </c>
      <c r="Z1271" s="82">
        <f>IFERROR(__xludf.DUMMYFUNCTION("""COMPUTED_VALUE"""),0.7919881521847794)</f>
        <v>0.7919881522</v>
      </c>
      <c r="AA1271" s="82">
        <f>IFERROR(__xludf.DUMMYFUNCTION("""COMPUTED_VALUE"""),0.5670660946048895)</f>
        <v>0.5670660946</v>
      </c>
      <c r="AB1271" s="82">
        <f>IFERROR(__xludf.DUMMYFUNCTION("""COMPUTED_VALUE"""),1.356087195782313)</f>
        <v>1.356087196</v>
      </c>
      <c r="AC1271" s="82">
        <f>IFERROR(__xludf.DUMMYFUNCTION("""COMPUTED_VALUE"""),2.6864652316301383)</f>
        <v>2.686465232</v>
      </c>
      <c r="AD1271" s="82">
        <f>IFERROR(__xludf.DUMMYFUNCTION("""COMPUTED_VALUE"""),1.0797865876077781)</f>
        <v>1.079786588</v>
      </c>
      <c r="AE1271" s="82">
        <f>IFERROR(__xludf.DUMMYFUNCTION("""COMPUTED_VALUE"""),1.0237663386429547)</f>
        <v>1.023766339</v>
      </c>
      <c r="AF1271" s="82">
        <f>IFERROR(__xludf.DUMMYFUNCTION("""COMPUTED_VALUE"""),1.2391901215542074)</f>
        <v>1.239190122</v>
      </c>
      <c r="AG1271" s="82">
        <f>IFERROR(__xludf.DUMMYFUNCTION("""COMPUTED_VALUE"""),1.1360187938739574)</f>
        <v>1.136018794</v>
      </c>
      <c r="AH1271" s="82">
        <f>IFERROR(__xludf.DUMMYFUNCTION("""COMPUTED_VALUE"""),0.8148957832820327)</f>
        <v>0.8148957833</v>
      </c>
      <c r="AI1271" s="82">
        <f>IFERROR(__xludf.DUMMYFUNCTION("""COMPUTED_VALUE"""),1.0770032124588134)</f>
        <v>1.077003212</v>
      </c>
      <c r="AJ1271" s="82">
        <f>IFERROR(__xludf.DUMMYFUNCTION("""COMPUTED_VALUE"""),1.1293146316637048)</f>
        <v>1.129314632</v>
      </c>
      <c r="AK1271" s="82">
        <f>IFERROR(__xludf.DUMMYFUNCTION("""COMPUTED_VALUE"""),1.139750744216943)</f>
        <v>1.139750744</v>
      </c>
      <c r="AL1271" s="82">
        <f>IFERROR(__xludf.DUMMYFUNCTION("""COMPUTED_VALUE"""),1.0436264720430306)</f>
        <v>1.043626472</v>
      </c>
      <c r="AM1271" s="82">
        <f>IFERROR(__xludf.DUMMYFUNCTION("""COMPUTED_VALUE"""),1.1097083383458828)</f>
        <v>1.109708338</v>
      </c>
      <c r="AN1271" s="82">
        <f>IFERROR(__xludf.DUMMYFUNCTION("""COMPUTED_VALUE"""),1.1108585953123469)</f>
        <v>1.110858595</v>
      </c>
      <c r="AO1271" s="82">
        <f>IFERROR(__xludf.DUMMYFUNCTION("""COMPUTED_VALUE"""),1.0731214389287773)</f>
        <v>1.073121439</v>
      </c>
      <c r="AP1271" s="82">
        <f>IFERROR(__xludf.DUMMYFUNCTION("""COMPUTED_VALUE"""),1.2641776076658708)</f>
        <v>1.264177608</v>
      </c>
      <c r="AQ1271" s="82">
        <f>IFERROR(__xludf.DUMMYFUNCTION("""COMPUTED_VALUE"""),1.1386354783406465)</f>
        <v>1.138635478</v>
      </c>
      <c r="AR1271" s="82">
        <f>IFERROR(__xludf.DUMMYFUNCTION("""COMPUTED_VALUE"""),0.8586695727539752)</f>
        <v>0.8586695728</v>
      </c>
      <c r="AS1271" s="82">
        <f>IFERROR(__xludf.DUMMYFUNCTION("""COMPUTED_VALUE"""),107.0)</f>
        <v>107</v>
      </c>
      <c r="AT1271" s="82">
        <f>IFERROR(__xludf.DUMMYFUNCTION("""COMPUTED_VALUE"""),0.5156719843889727)</f>
        <v>0.5156719844</v>
      </c>
      <c r="AU1271" s="82">
        <f>IFERROR(__xludf.DUMMYFUNCTION("""COMPUTED_VALUE"""),1.946854038192637)</f>
        <v>1.946854038</v>
      </c>
      <c r="AV1271" s="82">
        <f>IFERROR(__xludf.DUMMYFUNCTION("""COMPUTED_VALUE"""),54.8181027074553)</f>
        <v>54.81810271</v>
      </c>
      <c r="AW1271" s="82">
        <f t="shared" si="1"/>
        <v>2.360787206</v>
      </c>
      <c r="AX1271" s="83">
        <f t="array" ref="AX1271">IFERROR(DGET('SBV Import'!A:G,"SBV",{"RSC ID","Tier";B1271,A1271}))</f>
        <v>40.81084871</v>
      </c>
      <c r="AY1271" s="82">
        <f t="shared" si="2"/>
        <v>-2.804274934</v>
      </c>
      <c r="AZ1271" s="82">
        <v>5.165062140589394</v>
      </c>
      <c r="BA1271" s="84">
        <v>1200.0</v>
      </c>
      <c r="BB1271" s="84" t="b">
        <f>IFERROR(__xludf.DUMMYFUNCTION("iferror(if(A1271="""",,E1271&gt;=FILTER(Constants!$F$2:$F$10,Constants!$A$2:$A$10=A1271)))"),TRUE)</f>
        <v>1</v>
      </c>
    </row>
    <row r="1272">
      <c r="A1272" s="89" t="str">
        <f>IFERROR(__xludf.DUMMYFUNCTION("""COMPUTED_VALUE"""),"Veteran")</f>
        <v>Veteran</v>
      </c>
      <c r="B1272" s="87" t="str">
        <f>IFERROR(__xludf.DUMMYFUNCTION("""COMPUTED_VALUE"""),"RSC007995")</f>
        <v>RSC007995</v>
      </c>
      <c r="C1272" s="73" t="str">
        <f>IFERROR(__xludf.DUMMYFUNCTION("""COMPUTED_VALUE"""),"Tylanz")</f>
        <v>Tylanz</v>
      </c>
      <c r="D1272" s="73" t="str">
        <f>IFERROR(__xludf.DUMMYFUNCTION("""COMPUTED_VALUE"""),"Cannoli")</f>
        <v>Cannoli</v>
      </c>
      <c r="E1272" s="82">
        <f>IFERROR(__xludf.DUMMYFUNCTION("""COMPUTED_VALUE"""),46.0)</f>
        <v>46</v>
      </c>
      <c r="F1272" s="82">
        <f>IFERROR(__xludf.DUMMYFUNCTION("""COMPUTED_VALUE"""),28.0)</f>
        <v>28</v>
      </c>
      <c r="G1272" s="86">
        <f>IFERROR(__xludf.DUMMYFUNCTION("""COMPUTED_VALUE"""),18.0)</f>
        <v>18</v>
      </c>
      <c r="H1272" s="86">
        <f>IFERROR(__xludf.DUMMYFUNCTION("""COMPUTED_VALUE"""),0.6086956521739131)</f>
        <v>0.6086956522</v>
      </c>
      <c r="I1272" s="86">
        <f>IFERROR(__xludf.DUMMYFUNCTION("""COMPUTED_VALUE"""),0.27678571428571425)</f>
        <v>0.2767857143</v>
      </c>
      <c r="J1272" s="82">
        <f>IFERROR(__xludf.DUMMYFUNCTION("""COMPUTED_VALUE"""),316.69565217391306)</f>
        <v>316.6956522</v>
      </c>
      <c r="K1272" s="82">
        <f>IFERROR(__xludf.DUMMYFUNCTION("""COMPUTED_VALUE"""),0.6739130434782609)</f>
        <v>0.6739130435</v>
      </c>
      <c r="L1272" s="82">
        <f>IFERROR(__xludf.DUMMYFUNCTION("""COMPUTED_VALUE"""),0.6956521739130435)</f>
        <v>0.6956521739</v>
      </c>
      <c r="M1272" s="82">
        <f>IFERROR(__xludf.DUMMYFUNCTION("""COMPUTED_VALUE"""),1.0434782608695652)</f>
        <v>1.043478261</v>
      </c>
      <c r="N1272" s="82">
        <f>IFERROR(__xludf.DUMMYFUNCTION("""COMPUTED_VALUE"""),2.4347826086956523)</f>
        <v>2.434782609</v>
      </c>
      <c r="O1272" s="82">
        <f>IFERROR(__xludf.DUMMYFUNCTION("""COMPUTED_VALUE"""),350.08695652173907)</f>
        <v>350.0869565</v>
      </c>
      <c r="P1272" s="82">
        <f>IFERROR(__xludf.DUMMYFUNCTION("""COMPUTED_VALUE"""),0.6739130434782609)</f>
        <v>0.6739130435</v>
      </c>
      <c r="Q1272" s="82">
        <f>IFERROR(__xludf.DUMMYFUNCTION("""COMPUTED_VALUE"""),0.4782608695652173)</f>
        <v>0.4782608696</v>
      </c>
      <c r="R1272" s="82">
        <f>IFERROR(__xludf.DUMMYFUNCTION("""COMPUTED_VALUE"""),1.659420289855072)</f>
        <v>1.65942029</v>
      </c>
      <c r="S1272" s="82">
        <f>IFERROR(__xludf.DUMMYFUNCTION("""COMPUTED_VALUE"""),2.3478260869565215)</f>
        <v>2.347826087</v>
      </c>
      <c r="T1272" s="82">
        <f>IFERROR(__xludf.DUMMYFUNCTION("""COMPUTED_VALUE"""),359.1717118630135)</f>
        <v>359.1717119</v>
      </c>
      <c r="U1272" s="82">
        <f>IFERROR(__xludf.DUMMYFUNCTION("""COMPUTED_VALUE"""),0.813913649611912)</f>
        <v>0.8139136496</v>
      </c>
      <c r="V1272" s="82">
        <f>IFERROR(__xludf.DUMMYFUNCTION("""COMPUTED_VALUE"""),0.5667256823165138)</f>
        <v>0.5667256823</v>
      </c>
      <c r="W1272" s="82">
        <f>IFERROR(__xludf.DUMMYFUNCTION("""COMPUTED_VALUE"""),1.3816755135596306)</f>
        <v>1.381675514</v>
      </c>
      <c r="X1272" s="82">
        <f>IFERROR(__xludf.DUMMYFUNCTION("""COMPUTED_VALUE"""),2.641210770679741)</f>
        <v>2.641210771</v>
      </c>
      <c r="Y1272" s="82">
        <f>IFERROR(__xludf.DUMMYFUNCTION("""COMPUTED_VALUE"""),356.1121866870903)</f>
        <v>356.1121867</v>
      </c>
      <c r="Z1272" s="82">
        <f>IFERROR(__xludf.DUMMYFUNCTION("""COMPUTED_VALUE"""),0.8097752164934577)</f>
        <v>0.8097752165</v>
      </c>
      <c r="AA1272" s="82">
        <f>IFERROR(__xludf.DUMMYFUNCTION("""COMPUTED_VALUE"""),0.591508840084175)</f>
        <v>0.5915088401</v>
      </c>
      <c r="AB1272" s="82">
        <f>IFERROR(__xludf.DUMMYFUNCTION("""COMPUTED_VALUE"""),1.3039070718524641)</f>
        <v>1.303907072</v>
      </c>
      <c r="AC1272" s="82">
        <f>IFERROR(__xludf.DUMMYFUNCTION("""COMPUTED_VALUE"""),2.6899796740875876)</f>
        <v>2.689979674</v>
      </c>
      <c r="AD1272" s="82">
        <f>IFERROR(__xludf.DUMMYFUNCTION("""COMPUTED_VALUE"""),0.8893142779530545)</f>
        <v>0.889314278</v>
      </c>
      <c r="AE1272" s="82">
        <f>IFERROR(__xludf.DUMMYFUNCTION("""COMPUTED_VALUE"""),0.8322223621469718)</f>
        <v>0.8322223621</v>
      </c>
      <c r="AF1272" s="82">
        <f>IFERROR(__xludf.DUMMYFUNCTION("""COMPUTED_VALUE"""),1.1760638671334958)</f>
        <v>1.176063867</v>
      </c>
      <c r="AG1272" s="82">
        <f>IFERROR(__xludf.DUMMYFUNCTION("""COMPUTED_VALUE"""),0.8002704206420883)</f>
        <v>0.8002704206</v>
      </c>
      <c r="AH1272" s="82">
        <f>IFERROR(__xludf.DUMMYFUNCTION("""COMPUTED_VALUE"""),0.9051304856128716)</f>
        <v>0.9051304856</v>
      </c>
      <c r="AI1272" s="82">
        <f>IFERROR(__xludf.DUMMYFUNCTION("""COMPUTED_VALUE"""),0.9747063729096257)</f>
        <v>0.9747063729</v>
      </c>
      <c r="AJ1272" s="82">
        <f>IFERROR(__xludf.DUMMYFUNCTION("""COMPUTED_VALUE"""),0.8279908363738514)</f>
        <v>0.8279908364</v>
      </c>
      <c r="AK1272" s="82">
        <f>IFERROR(__xludf.DUMMYFUNCTION("""COMPUTED_VALUE"""),0.8439018814363715)</f>
        <v>0.8439018814</v>
      </c>
      <c r="AL1272" s="82">
        <f>IFERROR(__xludf.DUMMYFUNCTION("""COMPUTED_VALUE"""),1.2010202638533296)</f>
        <v>1.201020264</v>
      </c>
      <c r="AM1272" s="82">
        <f>IFERROR(__xludf.DUMMYFUNCTION("""COMPUTED_VALUE"""),0.8889203819020797)</f>
        <v>0.8889203819</v>
      </c>
      <c r="AN1272" s="82">
        <f>IFERROR(__xludf.DUMMYFUNCTION("""COMPUTED_VALUE"""),0.9160920001880009)</f>
        <v>0.9160920002</v>
      </c>
      <c r="AO1272" s="82">
        <f>IFERROR(__xludf.DUMMYFUNCTION("""COMPUTED_VALUE"""),0.8919349930806576)</f>
        <v>0.8919349931</v>
      </c>
      <c r="AP1272" s="82">
        <f>IFERROR(__xludf.DUMMYFUNCTION("""COMPUTED_VALUE"""),1.2514935514016647)</f>
        <v>1.251493551</v>
      </c>
      <c r="AQ1272" s="82">
        <f>IFERROR(__xludf.DUMMYFUNCTION("""COMPUTED_VALUE"""),0.7712496603863418)</f>
        <v>0.7712496604</v>
      </c>
      <c r="AR1272" s="82">
        <f>IFERROR(__xludf.DUMMYFUNCTION("""COMPUTED_VALUE"""),0.9549991168793541)</f>
        <v>0.9549991169</v>
      </c>
      <c r="AS1272" s="82">
        <f>IFERROR(__xludf.DUMMYFUNCTION("""COMPUTED_VALUE"""),131.0)</f>
        <v>131</v>
      </c>
      <c r="AT1272" s="82">
        <f>IFERROR(__xludf.DUMMYFUNCTION("""COMPUTED_VALUE"""),0.63172582344488)</f>
        <v>0.6317258234</v>
      </c>
      <c r="AU1272" s="82">
        <f>IFERROR(__xludf.DUMMYFUNCTION("""COMPUTED_VALUE"""),1.9347349960342848)</f>
        <v>1.934734996</v>
      </c>
      <c r="AV1272" s="82">
        <f>IFERROR(__xludf.DUMMYFUNCTION("""COMPUTED_VALUE"""),54.38482157618646)</f>
        <v>54.38482158</v>
      </c>
      <c r="AW1272" s="82">
        <f t="shared" si="1"/>
        <v>2.323498492</v>
      </c>
      <c r="AX1272" s="83">
        <f t="array" ref="AX1272">IFERROR(DGET('SBV Import'!A:G,"SBV",{"RSC ID","Tier";B1272,A1272}))</f>
        <v>34.25213272</v>
      </c>
      <c r="AY1272" s="82">
        <f t="shared" si="2"/>
        <v>-3.782503046</v>
      </c>
      <c r="AZ1272" s="82">
        <v>6.106001538059029</v>
      </c>
      <c r="BA1272" s="84">
        <v>1200.0</v>
      </c>
      <c r="BB1272" s="84" t="b">
        <f>IFERROR(__xludf.DUMMYFUNCTION("iferror(if(A1272="""",,E1272&gt;=FILTER(Constants!$F$2:$F$10,Constants!$A$2:$A$10=A1272)))"),TRUE)</f>
        <v>1</v>
      </c>
    </row>
    <row r="1273">
      <c r="A1273" s="89" t="str">
        <f>IFERROR(__xludf.DUMMYFUNCTION("""COMPUTED_VALUE"""),"Veteran")</f>
        <v>Veteran</v>
      </c>
      <c r="B1273" s="87" t="str">
        <f>IFERROR(__xludf.DUMMYFUNCTION("""COMPUTED_VALUE"""),"RSC000290")</f>
        <v>RSC000290</v>
      </c>
      <c r="C1273" s="73" t="str">
        <f>IFERROR(__xludf.DUMMYFUNCTION("""COMPUTED_VALUE"""),"JimJam")</f>
        <v>JimJam</v>
      </c>
      <c r="D1273" s="73" t="str">
        <f>IFERROR(__xludf.DUMMYFUNCTION("""COMPUTED_VALUE"""),"Cannoli")</f>
        <v>Cannoli</v>
      </c>
      <c r="E1273" s="82">
        <f>IFERROR(__xludf.DUMMYFUNCTION("""COMPUTED_VALUE"""),6.0)</f>
        <v>6</v>
      </c>
      <c r="F1273" s="82">
        <f>IFERROR(__xludf.DUMMYFUNCTION("""COMPUTED_VALUE"""),2.0)</f>
        <v>2</v>
      </c>
      <c r="G1273" s="86">
        <f>IFERROR(__xludf.DUMMYFUNCTION("""COMPUTED_VALUE"""),4.0)</f>
        <v>4</v>
      </c>
      <c r="H1273" s="86">
        <f>IFERROR(__xludf.DUMMYFUNCTION("""COMPUTED_VALUE"""),0.3333333333333333)</f>
        <v>0.3333333333</v>
      </c>
      <c r="I1273" s="86">
        <f>IFERROR(__xludf.DUMMYFUNCTION("""COMPUTED_VALUE"""),0.3529411764705882)</f>
        <v>0.3529411765</v>
      </c>
      <c r="J1273" s="82">
        <f>IFERROR(__xludf.DUMMYFUNCTION("""COMPUTED_VALUE"""),321.3333333333333)</f>
        <v>321.3333333</v>
      </c>
      <c r="K1273" s="82">
        <f>IFERROR(__xludf.DUMMYFUNCTION("""COMPUTED_VALUE"""),1.0)</f>
        <v>1</v>
      </c>
      <c r="L1273" s="82">
        <f>IFERROR(__xludf.DUMMYFUNCTION("""COMPUTED_VALUE"""),0.3333333333333333)</f>
        <v>0.3333333333</v>
      </c>
      <c r="M1273" s="82">
        <f>IFERROR(__xludf.DUMMYFUNCTION("""COMPUTED_VALUE"""),1.0)</f>
        <v>1</v>
      </c>
      <c r="N1273" s="82">
        <f>IFERROR(__xludf.DUMMYFUNCTION("""COMPUTED_VALUE"""),2.8333333333333335)</f>
        <v>2.833333333</v>
      </c>
      <c r="O1273" s="82">
        <f>IFERROR(__xludf.DUMMYFUNCTION("""COMPUTED_VALUE"""),350.7777777777778)</f>
        <v>350.7777778</v>
      </c>
      <c r="P1273" s="82">
        <f>IFERROR(__xludf.DUMMYFUNCTION("""COMPUTED_VALUE"""),0.8333333333333334)</f>
        <v>0.8333333333</v>
      </c>
      <c r="Q1273" s="82">
        <f>IFERROR(__xludf.DUMMYFUNCTION("""COMPUTED_VALUE"""),0.38888888888888884)</f>
        <v>0.3888888889</v>
      </c>
      <c r="R1273" s="82">
        <f>IFERROR(__xludf.DUMMYFUNCTION("""COMPUTED_VALUE"""),1.388888888888889)</f>
        <v>1.388888889</v>
      </c>
      <c r="S1273" s="82">
        <f>IFERROR(__xludf.DUMMYFUNCTION("""COMPUTED_VALUE"""),2.4444444444444446)</f>
        <v>2.444444444</v>
      </c>
      <c r="T1273" s="82">
        <f>IFERROR(__xludf.DUMMYFUNCTION("""COMPUTED_VALUE"""),346.4212275930684)</f>
        <v>346.4212276</v>
      </c>
      <c r="U1273" s="82">
        <f>IFERROR(__xludf.DUMMYFUNCTION("""COMPUTED_VALUE"""),0.7730458421716516)</f>
        <v>0.7730458422</v>
      </c>
      <c r="V1273" s="82">
        <f>IFERROR(__xludf.DUMMYFUNCTION("""COMPUTED_VALUE"""),0.5446490026184753)</f>
        <v>0.5446490026</v>
      </c>
      <c r="W1273" s="82">
        <f>IFERROR(__xludf.DUMMYFUNCTION("""COMPUTED_VALUE"""),1.3789483493507546)</f>
        <v>1.378948349</v>
      </c>
      <c r="X1273" s="82">
        <f>IFERROR(__xludf.DUMMYFUNCTION("""COMPUTED_VALUE"""),2.4622758389224626)</f>
        <v>2.462275839</v>
      </c>
      <c r="Y1273" s="82">
        <f>IFERROR(__xludf.DUMMYFUNCTION("""COMPUTED_VALUE"""),352.43627003898973)</f>
        <v>352.43627</v>
      </c>
      <c r="Z1273" s="82">
        <f>IFERROR(__xludf.DUMMYFUNCTION("""COMPUTED_VALUE"""),0.8195242098248574)</f>
        <v>0.8195242098</v>
      </c>
      <c r="AA1273" s="82">
        <f>IFERROR(__xludf.DUMMYFUNCTION("""COMPUTED_VALUE"""),0.6403670558110891)</f>
        <v>0.6403670558</v>
      </c>
      <c r="AB1273" s="82">
        <f>IFERROR(__xludf.DUMMYFUNCTION("""COMPUTED_VALUE"""),1.243146008095129)</f>
        <v>1.243146008</v>
      </c>
      <c r="AC1273" s="82">
        <f>IFERROR(__xludf.DUMMYFUNCTION("""COMPUTED_VALUE"""),2.6871336603667775)</f>
        <v>2.68713366</v>
      </c>
      <c r="AD1273" s="82">
        <f>IFERROR(__xludf.DUMMYFUNCTION("""COMPUTED_VALUE"""),0.9117487632523874)</f>
        <v>0.9117487633</v>
      </c>
      <c r="AE1273" s="82">
        <f>IFERROR(__xludf.DUMMYFUNCTION("""COMPUTED_VALUE"""),1.2202202058359113)</f>
        <v>1.220220206</v>
      </c>
      <c r="AF1273" s="82">
        <f>IFERROR(__xludf.DUMMYFUNCTION("""COMPUTED_VALUE"""),0.5205347937693847)</f>
        <v>0.5205347938</v>
      </c>
      <c r="AG1273" s="82">
        <f>IFERROR(__xludf.DUMMYFUNCTION("""COMPUTED_VALUE"""),0.8044107397587984)</f>
        <v>0.8044107398</v>
      </c>
      <c r="AH1273" s="82">
        <f>IFERROR(__xludf.DUMMYFUNCTION("""COMPUTED_VALUE"""),1.0544072947032344)</f>
        <v>1.054407295</v>
      </c>
      <c r="AI1273" s="82">
        <f>IFERROR(__xludf.DUMMYFUNCTION("""COMPUTED_VALUE"""),1.0125758753728191)</f>
        <v>1.012575875</v>
      </c>
      <c r="AJ1273" s="82">
        <f>IFERROR(__xludf.DUMMYFUNCTION("""COMPUTED_VALUE"""),1.0779869548128236)</f>
        <v>1.077986955</v>
      </c>
      <c r="AK1273" s="82">
        <f>IFERROR(__xludf.DUMMYFUNCTION("""COMPUTED_VALUE"""),0.7140174442976152)</f>
        <v>0.7140174443</v>
      </c>
      <c r="AL1273" s="82">
        <f>IFERROR(__xludf.DUMMYFUNCTION("""COMPUTED_VALUE"""),1.0072087830866288)</f>
        <v>1.007208783</v>
      </c>
      <c r="AM1273" s="82">
        <f>IFERROR(__xludf.DUMMYFUNCTION("""COMPUTED_VALUE"""),0.9927581653541216)</f>
        <v>0.9927581654</v>
      </c>
      <c r="AN1273" s="82">
        <f>IFERROR(__xludf.DUMMYFUNCTION("""COMPUTED_VALUE"""),0.9295072225960257)</f>
        <v>0.9295072226</v>
      </c>
      <c r="AO1273" s="82">
        <f>IFERROR(__xludf.DUMMYFUNCTION("""COMPUTED_VALUE"""),1.3235164413454918)</f>
        <v>1.323516441</v>
      </c>
      <c r="AP1273" s="82">
        <f>IFERROR(__xludf.DUMMYFUNCTION("""COMPUTED_VALUE"""),0.5996739933799643)</f>
        <v>0.5996739934</v>
      </c>
      <c r="AQ1273" s="82">
        <f>IFERROR(__xludf.DUMMYFUNCTION("""COMPUTED_VALUE"""),0.7391142578702442)</f>
        <v>0.7391142579</v>
      </c>
      <c r="AR1273" s="82">
        <f>IFERROR(__xludf.DUMMYFUNCTION("""COMPUTED_VALUE"""),1.1113233770828197)</f>
        <v>1.111323377</v>
      </c>
      <c r="AS1273" s="82">
        <f>IFERROR(__xludf.DUMMYFUNCTION("""COMPUTED_VALUE"""),14.0)</f>
        <v>14</v>
      </c>
      <c r="AT1273" s="82">
        <f>IFERROR(__xludf.DUMMYFUNCTION("""COMPUTED_VALUE"""),0.47291693766055737)</f>
        <v>0.4729169377</v>
      </c>
      <c r="AU1273" s="82">
        <f>IFERROR(__xludf.DUMMYFUNCTION("""COMPUTED_VALUE"""),1.9328703254218704)</f>
        <v>1.932870325</v>
      </c>
      <c r="AV1273" s="82">
        <f>IFERROR(__xludf.DUMMYFUNCTION("""COMPUTED_VALUE"""),54.3181556976596)</f>
        <v>54.3181557</v>
      </c>
      <c r="AW1273" s="82">
        <f t="shared" si="1"/>
        <v>2.317855319</v>
      </c>
      <c r="AX1273" s="83">
        <f t="array" ref="AX1273">IFERROR(DGET('SBV Import'!A:G,"SBV",{"RSC ID","Tier";B1273,A1273}))</f>
        <v>42.80612741</v>
      </c>
      <c r="AY1273" s="82">
        <f t="shared" si="2"/>
        <v>-2.585534793</v>
      </c>
      <c r="AZ1273" s="82">
        <v>4.903390111049037</v>
      </c>
      <c r="BA1273" s="84">
        <v>1200.0</v>
      </c>
      <c r="BB1273" s="84" t="b">
        <f>IFERROR(__xludf.DUMMYFUNCTION("iferror(if(A1273="""",,E1273&gt;=FILTER(Constants!$F$2:$F$10,Constants!$A$2:$A$10=A1273)))"),TRUE)</f>
        <v>1</v>
      </c>
    </row>
    <row r="1274">
      <c r="A1274" s="89" t="str">
        <f>IFERROR(__xludf.DUMMYFUNCTION("""COMPUTED_VALUE"""),"Veteran")</f>
        <v>Veteran</v>
      </c>
      <c r="B1274" s="87" t="str">
        <f>IFERROR(__xludf.DUMMYFUNCTION("""COMPUTED_VALUE"""),"RSC006060")</f>
        <v>RSC006060</v>
      </c>
      <c r="C1274" s="73" t="str">
        <f>IFERROR(__xludf.DUMMYFUNCTION("""COMPUTED_VALUE"""),"WP_Merciless")</f>
        <v>WP_Merciless</v>
      </c>
      <c r="D1274" s="73" t="str">
        <f>IFERROR(__xludf.DUMMYFUNCTION("""COMPUTED_VALUE"""),"Rulers")</f>
        <v>Rulers</v>
      </c>
      <c r="E1274" s="82">
        <f>IFERROR(__xludf.DUMMYFUNCTION("""COMPUTED_VALUE"""),37.0)</f>
        <v>37</v>
      </c>
      <c r="F1274" s="82">
        <f>IFERROR(__xludf.DUMMYFUNCTION("""COMPUTED_VALUE"""),17.0)</f>
        <v>17</v>
      </c>
      <c r="G1274" s="86">
        <f>IFERROR(__xludf.DUMMYFUNCTION("""COMPUTED_VALUE"""),20.0)</f>
        <v>20</v>
      </c>
      <c r="H1274" s="86">
        <f>IFERROR(__xludf.DUMMYFUNCTION("""COMPUTED_VALUE"""),0.4594594594594595)</f>
        <v>0.4594594595</v>
      </c>
      <c r="I1274" s="86">
        <f>IFERROR(__xludf.DUMMYFUNCTION("""COMPUTED_VALUE"""),0.29126213592233013)</f>
        <v>0.2912621359</v>
      </c>
      <c r="J1274" s="82">
        <f>IFERROR(__xludf.DUMMYFUNCTION("""COMPUTED_VALUE"""),379.0810810810811)</f>
        <v>379.0810811</v>
      </c>
      <c r="K1274" s="82">
        <f>IFERROR(__xludf.DUMMYFUNCTION("""COMPUTED_VALUE"""),0.8108108108108109)</f>
        <v>0.8108108108</v>
      </c>
      <c r="L1274" s="82">
        <f>IFERROR(__xludf.DUMMYFUNCTION("""COMPUTED_VALUE"""),0.3783783783783784)</f>
        <v>0.3783783784</v>
      </c>
      <c r="M1274" s="82">
        <f>IFERROR(__xludf.DUMMYFUNCTION("""COMPUTED_VALUE"""),1.7027027027027026)</f>
        <v>1.702702703</v>
      </c>
      <c r="N1274" s="82">
        <f>IFERROR(__xludf.DUMMYFUNCTION("""COMPUTED_VALUE"""),2.7837837837837838)</f>
        <v>2.783783784</v>
      </c>
      <c r="O1274" s="82">
        <f>IFERROR(__xludf.DUMMYFUNCTION("""COMPUTED_VALUE"""),342.64864864864865)</f>
        <v>342.6486486</v>
      </c>
      <c r="P1274" s="82">
        <f>IFERROR(__xludf.DUMMYFUNCTION("""COMPUTED_VALUE"""),0.7477477477477477)</f>
        <v>0.7477477477</v>
      </c>
      <c r="Q1274" s="82">
        <f>IFERROR(__xludf.DUMMYFUNCTION("""COMPUTED_VALUE"""),0.5315315315315315)</f>
        <v>0.5315315315</v>
      </c>
      <c r="R1274" s="82">
        <f>IFERROR(__xludf.DUMMYFUNCTION("""COMPUTED_VALUE"""),1.2522522522522523)</f>
        <v>1.252252252</v>
      </c>
      <c r="S1274" s="82">
        <f>IFERROR(__xludf.DUMMYFUNCTION("""COMPUTED_VALUE"""),2.9369369369369376)</f>
        <v>2.936936937</v>
      </c>
      <c r="T1274" s="82">
        <f>IFERROR(__xludf.DUMMYFUNCTION("""COMPUTED_VALUE"""),360.2608687267358)</f>
        <v>360.2608687</v>
      </c>
      <c r="U1274" s="82">
        <f>IFERROR(__xludf.DUMMYFUNCTION("""COMPUTED_VALUE"""),0.8534523179403982)</f>
        <v>0.8534523179</v>
      </c>
      <c r="V1274" s="82">
        <f>IFERROR(__xludf.DUMMYFUNCTION("""COMPUTED_VALUE"""),0.5751723990969103)</f>
        <v>0.5751723991</v>
      </c>
      <c r="W1274" s="82">
        <f>IFERROR(__xludf.DUMMYFUNCTION("""COMPUTED_VALUE"""),1.3129559321970796)</f>
        <v>1.312955932</v>
      </c>
      <c r="X1274" s="82">
        <f>IFERROR(__xludf.DUMMYFUNCTION("""COMPUTED_VALUE"""),2.723097306655406)</f>
        <v>2.723097307</v>
      </c>
      <c r="Y1274" s="82">
        <f>IFERROR(__xludf.DUMMYFUNCTION("""COMPUTED_VALUE"""),355.0338839764305)</f>
        <v>355.033884</v>
      </c>
      <c r="Z1274" s="82">
        <f>IFERROR(__xludf.DUMMYFUNCTION("""COMPUTED_VALUE"""),0.7924778006641505)</f>
        <v>0.7924778007</v>
      </c>
      <c r="AA1274" s="82">
        <f>IFERROR(__xludf.DUMMYFUNCTION("""COMPUTED_VALUE"""),0.5766859517514027)</f>
        <v>0.5766859518</v>
      </c>
      <c r="AB1274" s="82">
        <f>IFERROR(__xludf.DUMMYFUNCTION("""COMPUTED_VALUE"""),1.3906804169577314)</f>
        <v>1.390680417</v>
      </c>
      <c r="AC1274" s="82">
        <f>IFERROR(__xludf.DUMMYFUNCTION("""COMPUTED_VALUE"""),2.5874652543304237)</f>
        <v>2.587465254</v>
      </c>
      <c r="AD1274" s="82">
        <f>IFERROR(__xludf.DUMMYFUNCTION("""COMPUTED_VALUE"""),1.067732118510263)</f>
        <v>1.067732119</v>
      </c>
      <c r="AE1274" s="82">
        <f>IFERROR(__xludf.DUMMYFUNCTION("""COMPUTED_VALUE"""),1.0231337838502177)</f>
        <v>1.023133784</v>
      </c>
      <c r="AF1274" s="82">
        <f>IFERROR(__xludf.DUMMYFUNCTION("""COMPUTED_VALUE"""),0.6561255345812368)</f>
        <v>0.6561255346</v>
      </c>
      <c r="AG1274" s="82">
        <f>IFERROR(__xludf.DUMMYFUNCTION("""COMPUTED_VALUE"""),1.224366635166658)</f>
        <v>1.224366635</v>
      </c>
      <c r="AH1274" s="82">
        <f>IFERROR(__xludf.DUMMYFUNCTION("""COMPUTED_VALUE"""),1.075872914283505)</f>
        <v>1.075872914</v>
      </c>
      <c r="AI1274" s="82">
        <f>IFERROR(__xludf.DUMMYFUNCTION("""COMPUTED_VALUE"""),0.951112591993869)</f>
        <v>0.951112592</v>
      </c>
      <c r="AJ1274" s="82">
        <f>IFERROR(__xludf.DUMMYFUNCTION("""COMPUTED_VALUE"""),0.8761447265762391)</f>
        <v>0.8761447266</v>
      </c>
      <c r="AK1274" s="82">
        <f>IFERROR(__xludf.DUMMYFUNCTION("""COMPUTED_VALUE"""),0.9241255880256073)</f>
        <v>0.924125588</v>
      </c>
      <c r="AL1274" s="82">
        <f>IFERROR(__xludf.DUMMYFUNCTION("""COMPUTED_VALUE"""),0.9537656379348188)</f>
        <v>0.9537656379</v>
      </c>
      <c r="AM1274" s="82">
        <f>IFERROR(__xludf.DUMMYFUNCTION("""COMPUTED_VALUE"""),1.0785280899653844)</f>
        <v>1.07852809</v>
      </c>
      <c r="AN1274" s="82">
        <f>IFERROR(__xludf.DUMMYFUNCTION("""COMPUTED_VALUE"""),1.0965516685094643)</f>
        <v>1.096551669</v>
      </c>
      <c r="AO1274" s="82">
        <f>IFERROR(__xludf.DUMMYFUNCTION("""COMPUTED_VALUE"""),1.0731214389287773)</f>
        <v>1.073121439</v>
      </c>
      <c r="AP1274" s="82">
        <f>IFERROR(__xludf.DUMMYFUNCTION("""COMPUTED_VALUE"""),0.680711019512392)</f>
        <v>0.6807110195</v>
      </c>
      <c r="AQ1274" s="82">
        <f>IFERROR(__xludf.DUMMYFUNCTION("""COMPUTED_VALUE"""),1.2584918444817672)</f>
        <v>1.258491844</v>
      </c>
      <c r="AR1274" s="82">
        <f>IFERROR(__xludf.DUMMYFUNCTION("""COMPUTED_VALUE"""),1.091888469057524)</f>
        <v>1.091888469</v>
      </c>
      <c r="AS1274" s="82">
        <f>IFERROR(__xludf.DUMMYFUNCTION("""COMPUTED_VALUE"""),72.0)</f>
        <v>72</v>
      </c>
      <c r="AT1274" s="82">
        <f>IFERROR(__xludf.DUMMYFUNCTION("""COMPUTED_VALUE"""),0.4465862967676571)</f>
        <v>0.4465862968</v>
      </c>
      <c r="AU1274" s="82">
        <f>IFERROR(__xludf.DUMMYFUNCTION("""COMPUTED_VALUE"""),1.9291679813279838)</f>
        <v>1.929167981</v>
      </c>
      <c r="AV1274" s="82">
        <f>IFERROR(__xludf.DUMMYFUNCTION("""COMPUTED_VALUE"""),54.18578914456199)</f>
        <v>54.18578914</v>
      </c>
      <c r="AW1274" s="82">
        <f t="shared" si="1"/>
        <v>2.306723954</v>
      </c>
      <c r="AX1274" s="83">
        <f t="array" ref="AX1274">IFERROR(DGET('SBV Import'!A:G,"SBV",{"RSC ID","Tier";B1274,A1274}))</f>
        <v>55.28408016</v>
      </c>
      <c r="AY1274" s="82">
        <f t="shared" si="2"/>
        <v>2.402102709</v>
      </c>
      <c r="AZ1274" s="82">
        <v>0.0953787542745248</v>
      </c>
      <c r="BA1274" s="84">
        <v>1200.0</v>
      </c>
      <c r="BB1274" s="84" t="b">
        <f>IFERROR(__xludf.DUMMYFUNCTION("iferror(if(A1274="""",,E1274&gt;=FILTER(Constants!$F$2:$F$10,Constants!$A$2:$A$10=A1274)))"),TRUE)</f>
        <v>1</v>
      </c>
    </row>
    <row r="1275">
      <c r="A1275" s="89" t="str">
        <f>IFERROR(__xludf.DUMMYFUNCTION("""COMPUTED_VALUE"""),"Veteran")</f>
        <v>Veteran</v>
      </c>
      <c r="B1275" s="87" t="str">
        <f>IFERROR(__xludf.DUMMYFUNCTION("""COMPUTED_VALUE"""),"RSC007512")</f>
        <v>RSC007512</v>
      </c>
      <c r="C1275" s="73" t="str">
        <f>IFERROR(__xludf.DUMMYFUNCTION("""COMPUTED_VALUE"""),"BigGreenRL")</f>
        <v>BigGreenRL</v>
      </c>
      <c r="D1275" s="73" t="str">
        <f>IFERROR(__xludf.DUMMYFUNCTION("""COMPUTED_VALUE"""),"Banshees")</f>
        <v>Banshees</v>
      </c>
      <c r="E1275" s="82">
        <f>IFERROR(__xludf.DUMMYFUNCTION("""COMPUTED_VALUE"""),44.0)</f>
        <v>44</v>
      </c>
      <c r="F1275" s="82">
        <f>IFERROR(__xludf.DUMMYFUNCTION("""COMPUTED_VALUE"""),22.0)</f>
        <v>22</v>
      </c>
      <c r="G1275" s="86">
        <f>IFERROR(__xludf.DUMMYFUNCTION("""COMPUTED_VALUE"""),22.0)</f>
        <v>22</v>
      </c>
      <c r="H1275" s="86">
        <f>IFERROR(__xludf.DUMMYFUNCTION("""COMPUTED_VALUE"""),0.5)</f>
        <v>0.5</v>
      </c>
      <c r="I1275" s="86">
        <f>IFERROR(__xludf.DUMMYFUNCTION("""COMPUTED_VALUE"""),0.3490566037735849)</f>
        <v>0.3490566038</v>
      </c>
      <c r="J1275" s="82">
        <f>IFERROR(__xludf.DUMMYFUNCTION("""COMPUTED_VALUE"""),370.59090909090907)</f>
        <v>370.5909091</v>
      </c>
      <c r="K1275" s="82">
        <f>IFERROR(__xludf.DUMMYFUNCTION("""COMPUTED_VALUE"""),0.8409090909090909)</f>
        <v>0.8409090909</v>
      </c>
      <c r="L1275" s="82">
        <f>IFERROR(__xludf.DUMMYFUNCTION("""COMPUTED_VALUE"""),0.4090909090909091)</f>
        <v>0.4090909091</v>
      </c>
      <c r="M1275" s="82">
        <f>IFERROR(__xludf.DUMMYFUNCTION("""COMPUTED_VALUE"""),1.5)</f>
        <v>1.5</v>
      </c>
      <c r="N1275" s="82">
        <f>IFERROR(__xludf.DUMMYFUNCTION("""COMPUTED_VALUE"""),2.409090909090909)</f>
        <v>2.409090909</v>
      </c>
      <c r="O1275" s="82">
        <f>IFERROR(__xludf.DUMMYFUNCTION("""COMPUTED_VALUE"""),323.3030303030303)</f>
        <v>323.3030303</v>
      </c>
      <c r="P1275" s="82">
        <f>IFERROR(__xludf.DUMMYFUNCTION("""COMPUTED_VALUE"""),0.6893939393939396)</f>
        <v>0.6893939394</v>
      </c>
      <c r="Q1275" s="82">
        <f>IFERROR(__xludf.DUMMYFUNCTION("""COMPUTED_VALUE"""),0.5151515151515152)</f>
        <v>0.5151515152</v>
      </c>
      <c r="R1275" s="82">
        <f>IFERROR(__xludf.DUMMYFUNCTION("""COMPUTED_VALUE"""),1.1969696969696972)</f>
        <v>1.196969697</v>
      </c>
      <c r="S1275" s="82">
        <f>IFERROR(__xludf.DUMMYFUNCTION("""COMPUTED_VALUE"""),2.5681818181818183)</f>
        <v>2.568181818</v>
      </c>
      <c r="T1275" s="82">
        <f>IFERROR(__xludf.DUMMYFUNCTION("""COMPUTED_VALUE"""),353.2913462869675)</f>
        <v>353.2913463</v>
      </c>
      <c r="U1275" s="82">
        <f>IFERROR(__xludf.DUMMYFUNCTION("""COMPUTED_VALUE"""),0.7939142659146815)</f>
        <v>0.7939142659</v>
      </c>
      <c r="V1275" s="82">
        <f>IFERROR(__xludf.DUMMYFUNCTION("""COMPUTED_VALUE"""),0.5601599545172417)</f>
        <v>0.5601599545</v>
      </c>
      <c r="W1275" s="82">
        <f>IFERROR(__xludf.DUMMYFUNCTION("""COMPUTED_VALUE"""),1.3541231953301305)</f>
        <v>1.354123195</v>
      </c>
      <c r="X1275" s="82">
        <f>IFERROR(__xludf.DUMMYFUNCTION("""COMPUTED_VALUE"""),2.637822193813639)</f>
        <v>2.637822194</v>
      </c>
      <c r="Y1275" s="82">
        <f>IFERROR(__xludf.DUMMYFUNCTION("""COMPUTED_VALUE"""),356.69543585446115)</f>
        <v>356.6954359</v>
      </c>
      <c r="Z1275" s="82">
        <f>IFERROR(__xludf.DUMMYFUNCTION("""COMPUTED_VALUE"""),0.7957710410087168)</f>
        <v>0.795771041</v>
      </c>
      <c r="AA1275" s="82">
        <f>IFERROR(__xludf.DUMMYFUNCTION("""COMPUTED_VALUE"""),0.5888274584302232)</f>
        <v>0.5888274584</v>
      </c>
      <c r="AB1275" s="82">
        <f>IFERROR(__xludf.DUMMYFUNCTION("""COMPUTED_VALUE"""),1.3681289277744666)</f>
        <v>1.368128928</v>
      </c>
      <c r="AC1275" s="82">
        <f>IFERROR(__xludf.DUMMYFUNCTION("""COMPUTED_VALUE"""),2.623367487822806)</f>
        <v>2.623367488</v>
      </c>
      <c r="AD1275" s="82">
        <f>IFERROR(__xludf.DUMMYFUNCTION("""COMPUTED_VALUE"""),1.0389561285054332)</f>
        <v>1.038956129</v>
      </c>
      <c r="AE1275" s="82">
        <f>IFERROR(__xludf.DUMMYFUNCTION("""COMPUTED_VALUE"""),1.0567224082986952)</f>
        <v>1.056722408</v>
      </c>
      <c r="AF1275" s="82">
        <f>IFERROR(__xludf.DUMMYFUNCTION("""COMPUTED_VALUE"""),0.6947551498048675)</f>
        <v>0.6947551498</v>
      </c>
      <c r="AG1275" s="82">
        <f>IFERROR(__xludf.DUMMYFUNCTION("""COMPUTED_VALUE"""),1.0963878985002151)</f>
        <v>1.096387899</v>
      </c>
      <c r="AH1275" s="82">
        <f>IFERROR(__xludf.DUMMYFUNCTION("""COMPUTED_VALUE"""),0.9183200296083069)</f>
        <v>0.9183200296</v>
      </c>
      <c r="AI1275" s="82">
        <f>IFERROR(__xludf.DUMMYFUNCTION("""COMPUTED_VALUE"""),0.9151173208766381)</f>
        <v>0.9151173209</v>
      </c>
      <c r="AJ1275" s="82">
        <f>IFERROR(__xludf.DUMMYFUNCTION("""COMPUTED_VALUE"""),0.8683480937323599)</f>
        <v>0.8683480937</v>
      </c>
      <c r="AK1275" s="82">
        <f>IFERROR(__xludf.DUMMYFUNCTION("""COMPUTED_VALUE"""),0.9196507372532268)</f>
        <v>0.9196507373</v>
      </c>
      <c r="AL1275" s="82">
        <f>IFERROR(__xludf.DUMMYFUNCTION("""COMPUTED_VALUE"""),0.883944460221642)</f>
        <v>0.8839444602</v>
      </c>
      <c r="AM1275" s="82">
        <f>IFERROR(__xludf.DUMMYFUNCTION("""COMPUTED_VALUE"""),0.9735992911898517)</f>
        <v>0.9735992912</v>
      </c>
      <c r="AN1275" s="82">
        <f>IFERROR(__xludf.DUMMYFUNCTION("""COMPUTED_VALUE"""),1.0719925102544414)</f>
        <v>1.07199251</v>
      </c>
      <c r="AO1275" s="82">
        <f>IFERROR(__xludf.DUMMYFUNCTION("""COMPUTED_VALUE"""),1.1129570074950728)</f>
        <v>1.112957007</v>
      </c>
      <c r="AP1275" s="82">
        <f>IFERROR(__xludf.DUMMYFUNCTION("""COMPUTED_VALUE"""),0.7359635373299563)</f>
        <v>0.7359635373</v>
      </c>
      <c r="AQ1275" s="82">
        <f>IFERROR(__xludf.DUMMYFUNCTION("""COMPUTED_VALUE"""),1.1086713868053664)</f>
        <v>1.108671387</v>
      </c>
      <c r="AR1275" s="82">
        <f>IFERROR(__xludf.DUMMYFUNCTION("""COMPUTED_VALUE"""),0.9449220158083869)</f>
        <v>0.9449220158</v>
      </c>
      <c r="AS1275" s="82">
        <f>IFERROR(__xludf.DUMMYFUNCTION("""COMPUTED_VALUE"""),104.0)</f>
        <v>104</v>
      </c>
      <c r="AT1275" s="82">
        <f>IFERROR(__xludf.DUMMYFUNCTION("""COMPUTED_VALUE"""),0.5510010797685)</f>
        <v>0.5510010798</v>
      </c>
      <c r="AU1275" s="82">
        <f>IFERROR(__xludf.DUMMYFUNCTION("""COMPUTED_VALUE"""),1.9194357444947787)</f>
        <v>1.919435744</v>
      </c>
      <c r="AV1275" s="82">
        <f>IFERROR(__xludf.DUMMYFUNCTION("""COMPUTED_VALUE"""),53.83784130101387)</f>
        <v>53.8378413</v>
      </c>
      <c r="AW1275" s="82">
        <f t="shared" si="1"/>
        <v>2.277921905</v>
      </c>
      <c r="AX1275" s="83">
        <f t="array" ref="AX1275">IFERROR(DGET('SBV Import'!A:G,"SBV",{"RSC ID","Tier";B1275,A1275}))</f>
        <v>52.4704738</v>
      </c>
      <c r="AY1275" s="82">
        <f t="shared" si="2"/>
        <v>2.17088791</v>
      </c>
      <c r="AZ1275" s="82">
        <v>0.10703399519506007</v>
      </c>
      <c r="BA1275" s="84">
        <v>1200.0</v>
      </c>
      <c r="BB1275" s="84" t="b">
        <f>IFERROR(__xludf.DUMMYFUNCTION("iferror(if(A1275="""",,E1275&gt;=FILTER(Constants!$F$2:$F$10,Constants!$A$2:$A$10=A1275)))"),TRUE)</f>
        <v>1</v>
      </c>
    </row>
    <row r="1276">
      <c r="A1276" s="89" t="str">
        <f>IFERROR(__xludf.DUMMYFUNCTION("""COMPUTED_VALUE"""),"Veteran")</f>
        <v>Veteran</v>
      </c>
      <c r="B1276" s="87" t="str">
        <f>IFERROR(__xludf.DUMMYFUNCTION("""COMPUTED_VALUE"""),"RSC004220")</f>
        <v>RSC004220</v>
      </c>
      <c r="C1276" s="73" t="str">
        <f>IFERROR(__xludf.DUMMYFUNCTION("""COMPUTED_VALUE"""),"Logixaal")</f>
        <v>Logixaal</v>
      </c>
      <c r="D1276" s="73" t="str">
        <f>IFERROR(__xludf.DUMMYFUNCTION("""COMPUTED_VALUE"""),"Typhoons")</f>
        <v>Typhoons</v>
      </c>
      <c r="E1276" s="82">
        <f>IFERROR(__xludf.DUMMYFUNCTION("""COMPUTED_VALUE"""),23.0)</f>
        <v>23</v>
      </c>
      <c r="F1276" s="82">
        <f>IFERROR(__xludf.DUMMYFUNCTION("""COMPUTED_VALUE"""),14.0)</f>
        <v>14</v>
      </c>
      <c r="G1276" s="86">
        <f>IFERROR(__xludf.DUMMYFUNCTION("""COMPUTED_VALUE"""),9.0)</f>
        <v>9</v>
      </c>
      <c r="H1276" s="86">
        <f>IFERROR(__xludf.DUMMYFUNCTION("""COMPUTED_VALUE"""),0.6086956521739131)</f>
        <v>0.6086956522</v>
      </c>
      <c r="I1276" s="86">
        <f>IFERROR(__xludf.DUMMYFUNCTION("""COMPUTED_VALUE"""),0.33999999999999997)</f>
        <v>0.34</v>
      </c>
      <c r="J1276" s="82">
        <f>IFERROR(__xludf.DUMMYFUNCTION("""COMPUTED_VALUE"""),313.4782608695652)</f>
        <v>313.4782609</v>
      </c>
      <c r="K1276" s="82">
        <f>IFERROR(__xludf.DUMMYFUNCTION("""COMPUTED_VALUE"""),0.7391304347826086)</f>
        <v>0.7391304348</v>
      </c>
      <c r="L1276" s="82">
        <f>IFERROR(__xludf.DUMMYFUNCTION("""COMPUTED_VALUE"""),0.6086956521739131)</f>
        <v>0.6086956522</v>
      </c>
      <c r="M1276" s="82">
        <f>IFERROR(__xludf.DUMMYFUNCTION("""COMPUTED_VALUE"""),1.0)</f>
        <v>1</v>
      </c>
      <c r="N1276" s="82">
        <f>IFERROR(__xludf.DUMMYFUNCTION("""COMPUTED_VALUE"""),2.1739130434782608)</f>
        <v>2.173913043</v>
      </c>
      <c r="O1276" s="82">
        <f>IFERROR(__xludf.DUMMYFUNCTION("""COMPUTED_VALUE"""),327.9130434782609)</f>
        <v>327.9130435</v>
      </c>
      <c r="P1276" s="82">
        <f>IFERROR(__xludf.DUMMYFUNCTION("""COMPUTED_VALUE"""),0.6521739130434783)</f>
        <v>0.652173913</v>
      </c>
      <c r="Q1276" s="82">
        <f>IFERROR(__xludf.DUMMYFUNCTION("""COMPUTED_VALUE"""),0.4927536231884058)</f>
        <v>0.4927536232</v>
      </c>
      <c r="R1276" s="82">
        <f>IFERROR(__xludf.DUMMYFUNCTION("""COMPUTED_VALUE"""),1.333333333333333)</f>
        <v>1.333333333</v>
      </c>
      <c r="S1276" s="82">
        <f>IFERROR(__xludf.DUMMYFUNCTION("""COMPUTED_VALUE"""),2.2028985507246377)</f>
        <v>2.202898551</v>
      </c>
      <c r="T1276" s="82">
        <f>IFERROR(__xludf.DUMMYFUNCTION("""COMPUTED_VALUE"""),350.89778336279835)</f>
        <v>350.8977834</v>
      </c>
      <c r="U1276" s="82">
        <f>IFERROR(__xludf.DUMMYFUNCTION("""COMPUTED_VALUE"""),0.7392775292836695)</f>
        <v>0.7392775293</v>
      </c>
      <c r="V1276" s="82">
        <f>IFERROR(__xludf.DUMMYFUNCTION("""COMPUTED_VALUE"""),0.5665339252908053)</f>
        <v>0.5665339253</v>
      </c>
      <c r="W1276" s="82">
        <f>IFERROR(__xludf.DUMMYFUNCTION("""COMPUTED_VALUE"""),1.363562871289467)</f>
        <v>1.363562871</v>
      </c>
      <c r="X1276" s="82">
        <f>IFERROR(__xludf.DUMMYFUNCTION("""COMPUTED_VALUE"""),2.510299419738843)</f>
        <v>2.51029942</v>
      </c>
      <c r="Y1276" s="82">
        <f>IFERROR(__xludf.DUMMYFUNCTION("""COMPUTED_VALUE"""),346.7022033465877)</f>
        <v>346.7022033</v>
      </c>
      <c r="Z1276" s="82">
        <f>IFERROR(__xludf.DUMMYFUNCTION("""COMPUTED_VALUE"""),0.7363419696205041)</f>
        <v>0.7363419696</v>
      </c>
      <c r="AA1276" s="82">
        <f>IFERROR(__xludf.DUMMYFUNCTION("""COMPUTED_VALUE"""),0.5495738867862945)</f>
        <v>0.5495738868</v>
      </c>
      <c r="AB1276" s="82">
        <f>IFERROR(__xludf.DUMMYFUNCTION("""COMPUTED_VALUE"""),1.332114836448018)</f>
        <v>1.332114836</v>
      </c>
      <c r="AC1276" s="82">
        <f>IFERROR(__xludf.DUMMYFUNCTION("""COMPUTED_VALUE"""),2.5883414625085788)</f>
        <v>2.588341463</v>
      </c>
      <c r="AD1276" s="82">
        <f>IFERROR(__xludf.DUMMYFUNCTION("""COMPUTED_VALUE"""),0.9041715277367028)</f>
        <v>0.9041715277</v>
      </c>
      <c r="AE1276" s="82">
        <f>IFERROR(__xludf.DUMMYFUNCTION("""COMPUTED_VALUE"""),1.0037869159672395)</f>
        <v>1.003786916</v>
      </c>
      <c r="AF1276" s="82">
        <f>IFERROR(__xludf.DUMMYFUNCTION("""COMPUTED_VALUE"""),1.1075774646669274)</f>
        <v>1.107577465</v>
      </c>
      <c r="AG1276" s="82">
        <f>IFERROR(__xludf.DUMMYFUNCTION("""COMPUTED_VALUE"""),0.7506860314433726)</f>
        <v>0.7506860314</v>
      </c>
      <c r="AH1276" s="82">
        <f>IFERROR(__xludf.DUMMYFUNCTION("""COMPUTED_VALUE"""),0.8398864968037638)</f>
        <v>0.8398864968</v>
      </c>
      <c r="AI1276" s="82">
        <f>IFERROR(__xludf.DUMMYFUNCTION("""COMPUTED_VALUE"""),0.9344973351946962)</f>
        <v>0.9344973352</v>
      </c>
      <c r="AJ1276" s="82">
        <f>IFERROR(__xludf.DUMMYFUNCTION("""COMPUTED_VALUE"""),0.8821773788734101)</f>
        <v>0.8821773789</v>
      </c>
      <c r="AK1276" s="82">
        <f>IFERROR(__xludf.DUMMYFUNCTION("""COMPUTED_VALUE"""),0.8697689603239073)</f>
        <v>0.8697689603</v>
      </c>
      <c r="AL1276" s="82">
        <f>IFERROR(__xludf.DUMMYFUNCTION("""COMPUTED_VALUE"""),0.9778304773526526)</f>
        <v>0.9778304774</v>
      </c>
      <c r="AM1276" s="82">
        <f>IFERROR(__xludf.DUMMYFUNCTION("""COMPUTED_VALUE"""),0.8775441421062888)</f>
        <v>0.8775441421</v>
      </c>
      <c r="AN1276" s="82">
        <f>IFERROR(__xludf.DUMMYFUNCTION("""COMPUTED_VALUE"""),0.9067851896424335)</f>
        <v>0.9067851896</v>
      </c>
      <c r="AO1276" s="82">
        <f>IFERROR(__xludf.DUMMYFUNCTION("""COMPUTED_VALUE"""),0.9782512827336244)</f>
        <v>0.9782512827</v>
      </c>
      <c r="AP1276" s="82">
        <f>IFERROR(__xludf.DUMMYFUNCTION("""COMPUTED_VALUE"""),1.0950568574764568)</f>
        <v>1.095056857</v>
      </c>
      <c r="AQ1276" s="82">
        <f>IFERROR(__xludf.DUMMYFUNCTION("""COMPUTED_VALUE"""),0.7391142578702442)</f>
        <v>0.7391142579</v>
      </c>
      <c r="AR1276" s="82">
        <f>IFERROR(__xludf.DUMMYFUNCTION("""COMPUTED_VALUE"""),0.8526777829279947)</f>
        <v>0.8526777829</v>
      </c>
      <c r="AS1276" s="82">
        <f>IFERROR(__xludf.DUMMYFUNCTION("""COMPUTED_VALUE"""),49.0)</f>
        <v>49</v>
      </c>
      <c r="AT1276" s="82">
        <f>IFERROR(__xludf.DUMMYFUNCTION("""COMPUTED_VALUE"""),0.531845495444913)</f>
        <v>0.5318454954</v>
      </c>
      <c r="AU1276" s="82">
        <f>IFERROR(__xludf.DUMMYFUNCTION("""COMPUTED_VALUE"""),1.9170445563002867)</f>
        <v>1.917044556</v>
      </c>
      <c r="AV1276" s="82">
        <f>IFERROR(__xludf.DUMMYFUNCTION("""COMPUTED_VALUE"""),53.75235131653748)</f>
        <v>53.75235132</v>
      </c>
      <c r="AW1276" s="82">
        <f t="shared" si="1"/>
        <v>2.270945581</v>
      </c>
      <c r="AX1276" s="83">
        <f t="array" ref="AX1276">IFERROR(DGET('SBV Import'!A:G,"SBV",{"RSC ID","Tier";B1276,A1276}))</f>
        <v>46.32173308</v>
      </c>
      <c r="AY1276" s="82">
        <f t="shared" si="2"/>
        <v>-2.264931593</v>
      </c>
      <c r="AZ1276" s="82">
        <v>4.535877174175999</v>
      </c>
      <c r="BA1276" s="84">
        <v>1200.0</v>
      </c>
      <c r="BB1276" s="84" t="b">
        <f>IFERROR(__xludf.DUMMYFUNCTION("iferror(if(A1276="""",,E1276&gt;=FILTER(Constants!$F$2:$F$10,Constants!$A$2:$A$10=A1276)))"),TRUE)</f>
        <v>1</v>
      </c>
    </row>
    <row r="1277">
      <c r="A1277" s="89" t="str">
        <f>IFERROR(__xludf.DUMMYFUNCTION("""COMPUTED_VALUE"""),"Veteran")</f>
        <v>Veteran</v>
      </c>
      <c r="B1277" s="87" t="str">
        <f>IFERROR(__xludf.DUMMYFUNCTION("""COMPUTED_VALUE"""),"RSC005490")</f>
        <v>RSC005490</v>
      </c>
      <c r="C1277" s="73" t="str">
        <f>IFERROR(__xludf.DUMMYFUNCTION("""COMPUTED_VALUE"""),"iProfessorEx")</f>
        <v>iProfessorEx</v>
      </c>
      <c r="D1277" s="73" t="str">
        <f>IFERROR(__xludf.DUMMYFUNCTION("""COMPUTED_VALUE"""),"Repossessed")</f>
        <v>Repossessed</v>
      </c>
      <c r="E1277" s="82">
        <f>IFERROR(__xludf.DUMMYFUNCTION("""COMPUTED_VALUE"""),32.0)</f>
        <v>32</v>
      </c>
      <c r="F1277" s="82">
        <f>IFERROR(__xludf.DUMMYFUNCTION("""COMPUTED_VALUE"""),16.0)</f>
        <v>16</v>
      </c>
      <c r="G1277" s="86">
        <f>IFERROR(__xludf.DUMMYFUNCTION("""COMPUTED_VALUE"""),16.0)</f>
        <v>16</v>
      </c>
      <c r="H1277" s="86">
        <f>IFERROR(__xludf.DUMMYFUNCTION("""COMPUTED_VALUE"""),0.5)</f>
        <v>0.5</v>
      </c>
      <c r="I1277" s="86">
        <f>IFERROR(__xludf.DUMMYFUNCTION("""COMPUTED_VALUE"""),0.2804878048780488)</f>
        <v>0.2804878049</v>
      </c>
      <c r="J1277" s="82">
        <f>IFERROR(__xludf.DUMMYFUNCTION("""COMPUTED_VALUE"""),382.40625)</f>
        <v>382.40625</v>
      </c>
      <c r="K1277" s="82">
        <f>IFERROR(__xludf.DUMMYFUNCTION("""COMPUTED_VALUE"""),0.71875)</f>
        <v>0.71875</v>
      </c>
      <c r="L1277" s="82">
        <f>IFERROR(__xludf.DUMMYFUNCTION("""COMPUTED_VALUE"""),0.34375)</f>
        <v>0.34375</v>
      </c>
      <c r="M1277" s="82">
        <f>IFERROR(__xludf.DUMMYFUNCTION("""COMPUTED_VALUE"""),1.84375)</f>
        <v>1.84375</v>
      </c>
      <c r="N1277" s="82">
        <f>IFERROR(__xludf.DUMMYFUNCTION("""COMPUTED_VALUE"""),2.5625)</f>
        <v>2.5625</v>
      </c>
      <c r="O1277" s="82">
        <f>IFERROR(__xludf.DUMMYFUNCTION("""COMPUTED_VALUE"""),331.49999999999994)</f>
        <v>331.5</v>
      </c>
      <c r="P1277" s="82">
        <f>IFERROR(__xludf.DUMMYFUNCTION("""COMPUTED_VALUE"""),0.6145833333333333)</f>
        <v>0.6145833333</v>
      </c>
      <c r="Q1277" s="82">
        <f>IFERROR(__xludf.DUMMYFUNCTION("""COMPUTED_VALUE"""),0.43749999999999994)</f>
        <v>0.4375</v>
      </c>
      <c r="R1277" s="82">
        <f>IFERROR(__xludf.DUMMYFUNCTION("""COMPUTED_VALUE"""),1.4166666666666665)</f>
        <v>1.416666667</v>
      </c>
      <c r="S1277" s="82">
        <f>IFERROR(__xludf.DUMMYFUNCTION("""COMPUTED_VALUE"""),2.4479166666666665)</f>
        <v>2.447916667</v>
      </c>
      <c r="T1277" s="82">
        <f>IFERROR(__xludf.DUMMYFUNCTION("""COMPUTED_VALUE"""),354.97255938922046)</f>
        <v>354.9725594</v>
      </c>
      <c r="U1277" s="82">
        <f>IFERROR(__xludf.DUMMYFUNCTION("""COMPUTED_VALUE"""),0.7885883376596321)</f>
        <v>0.7885883377</v>
      </c>
      <c r="V1277" s="82">
        <f>IFERROR(__xludf.DUMMYFUNCTION("""COMPUTED_VALUE"""),0.5796743353448216)</f>
        <v>0.5796743353</v>
      </c>
      <c r="W1277" s="82">
        <f>IFERROR(__xludf.DUMMYFUNCTION("""COMPUTED_VALUE"""),1.3574650481128532)</f>
        <v>1.357465048</v>
      </c>
      <c r="X1277" s="82">
        <f>IFERROR(__xludf.DUMMYFUNCTION("""COMPUTED_VALUE"""),2.6010513857160453)</f>
        <v>2.601051386</v>
      </c>
      <c r="Y1277" s="82">
        <f>IFERROR(__xludf.DUMMYFUNCTION("""COMPUTED_VALUE"""),347.49236573657265)</f>
        <v>347.4923657</v>
      </c>
      <c r="Z1277" s="82">
        <f>IFERROR(__xludf.DUMMYFUNCTION("""COMPUTED_VALUE"""),0.7404347685431001)</f>
        <v>0.7404347685</v>
      </c>
      <c r="AA1277" s="82">
        <f>IFERROR(__xludf.DUMMYFUNCTION("""COMPUTED_VALUE"""),0.5575125023709807)</f>
        <v>0.5575125024</v>
      </c>
      <c r="AB1277" s="82">
        <f>IFERROR(__xludf.DUMMYFUNCTION("""COMPUTED_VALUE"""),1.3412584933624505)</f>
        <v>1.341258493</v>
      </c>
      <c r="AC1277" s="82">
        <f>IFERROR(__xludf.DUMMYFUNCTION("""COMPUTED_VALUE"""),2.5302621552818847)</f>
        <v>2.530262155</v>
      </c>
      <c r="AD1277" s="82">
        <f>IFERROR(__xludf.DUMMYFUNCTION("""COMPUTED_VALUE"""),1.100473816710825)</f>
        <v>1.100473817</v>
      </c>
      <c r="AE1277" s="82">
        <f>IFERROR(__xludf.DUMMYFUNCTION("""COMPUTED_VALUE"""),0.9707134652985466)</f>
        <v>0.9707134653</v>
      </c>
      <c r="AF1277" s="82">
        <f>IFERROR(__xludf.DUMMYFUNCTION("""COMPUTED_VALUE"""),0.6165781010077894)</f>
        <v>0.616578101</v>
      </c>
      <c r="AG1277" s="82">
        <f>IFERROR(__xludf.DUMMYFUNCTION("""COMPUTED_VALUE"""),1.3746418077680425)</f>
        <v>1.374641808</v>
      </c>
      <c r="AH1277" s="82">
        <f>IFERROR(__xludf.DUMMYFUNCTION("""COMPUTED_VALUE"""),1.0127409109174002)</f>
        <v>1.012740911</v>
      </c>
      <c r="AI1277" s="82">
        <f>IFERROR(__xludf.DUMMYFUNCTION("""COMPUTED_VALUE"""),0.9338750030999345)</f>
        <v>0.9338750031</v>
      </c>
      <c r="AJ1277" s="82">
        <f>IFERROR(__xludf.DUMMYFUNCTION("""COMPUTED_VALUE"""),0.7793462114305293)</f>
        <v>0.7793462114</v>
      </c>
      <c r="AK1277" s="82">
        <f>IFERROR(__xludf.DUMMYFUNCTION("""COMPUTED_VALUE"""),0.7547341210815403)</f>
        <v>0.7547341211</v>
      </c>
      <c r="AL1277" s="82">
        <f>IFERROR(__xludf.DUMMYFUNCTION("""COMPUTED_VALUE"""),1.0436118916182153)</f>
        <v>1.043611892</v>
      </c>
      <c r="AM1277" s="82">
        <f>IFERROR(__xludf.DUMMYFUNCTION("""COMPUTED_VALUE"""),0.9411258386165169)</f>
        <v>0.9411258386</v>
      </c>
      <c r="AN1277" s="82">
        <f>IFERROR(__xludf.DUMMYFUNCTION("""COMPUTED_VALUE"""),1.106170242762017)</f>
        <v>1.106170243</v>
      </c>
      <c r="AO1277" s="82">
        <f>IFERROR(__xludf.DUMMYFUNCTION("""COMPUTED_VALUE"""),0.9512774422170723)</f>
        <v>0.9512774422</v>
      </c>
      <c r="AP1277" s="82">
        <f>IFERROR(__xludf.DUMMYFUNCTION("""COMPUTED_VALUE"""),0.6184138056730882)</f>
        <v>0.6184138057</v>
      </c>
      <c r="AQ1277" s="82">
        <f>IFERROR(__xludf.DUMMYFUNCTION("""COMPUTED_VALUE"""),1.3627419129482627)</f>
        <v>1.362741913</v>
      </c>
      <c r="AR1277" s="82">
        <f>IFERROR(__xludf.DUMMYFUNCTION("""COMPUTED_VALUE"""),1.0050939366263738)</f>
        <v>1.005093937</v>
      </c>
      <c r="AS1277" s="82">
        <f>IFERROR(__xludf.DUMMYFUNCTION("""COMPUTED_VALUE"""),58.0)</f>
        <v>58</v>
      </c>
      <c r="AT1277" s="82">
        <f>IFERROR(__xludf.DUMMYFUNCTION("""COMPUTED_VALUE"""),0.49380039872267195)</f>
        <v>0.4938003987</v>
      </c>
      <c r="AU1277" s="82">
        <f>IFERROR(__xludf.DUMMYFUNCTION("""COMPUTED_VALUE"""),1.9144746543920947)</f>
        <v>1.914474654</v>
      </c>
      <c r="AV1277" s="82">
        <f>IFERROR(__xludf.DUMMYFUNCTION("""COMPUTED_VALUE"""),53.660471942616496)</f>
        <v>53.66047194</v>
      </c>
      <c r="AW1277" s="82">
        <f t="shared" si="1"/>
        <v>2.26349139</v>
      </c>
      <c r="AX1277" s="83">
        <f t="array" ref="AX1277">IFERROR(DGET('SBV Import'!A:G,"SBV",{"RSC ID","Tier";B1277,A1277}))</f>
        <v>60.36490019</v>
      </c>
      <c r="AY1277" s="82">
        <f t="shared" si="2"/>
        <v>2.947949509</v>
      </c>
      <c r="AZ1277" s="82">
        <v>0.6844581191582959</v>
      </c>
      <c r="BA1277" s="84">
        <v>1200.0</v>
      </c>
      <c r="BB1277" s="84" t="b">
        <f>IFERROR(__xludf.DUMMYFUNCTION("iferror(if(A1277="""",,E1277&gt;=FILTER(Constants!$F$2:$F$10,Constants!$A$2:$A$10=A1277)))"),TRUE)</f>
        <v>1</v>
      </c>
    </row>
    <row r="1278">
      <c r="A1278" s="89" t="str">
        <f>IFERROR(__xludf.DUMMYFUNCTION("""COMPUTED_VALUE"""),"Veteran")</f>
        <v>Veteran</v>
      </c>
      <c r="B1278" s="87" t="str">
        <f>IFERROR(__xludf.DUMMYFUNCTION("""COMPUTED_VALUE"""),"RSC007900")</f>
        <v>RSC007900</v>
      </c>
      <c r="C1278" s="73" t="str">
        <f>IFERROR(__xludf.DUMMYFUNCTION("""COMPUTED_VALUE"""),"Car.")</f>
        <v>Car.</v>
      </c>
      <c r="D1278" s="73" t="str">
        <f>IFERROR(__xludf.DUMMYFUNCTION("""COMPUTED_VALUE"""),"Supernova")</f>
        <v>Supernova</v>
      </c>
      <c r="E1278" s="82">
        <f>IFERROR(__xludf.DUMMYFUNCTION("""COMPUTED_VALUE"""),20.0)</f>
        <v>20</v>
      </c>
      <c r="F1278" s="82">
        <f>IFERROR(__xludf.DUMMYFUNCTION("""COMPUTED_VALUE"""),6.0)</f>
        <v>6</v>
      </c>
      <c r="G1278" s="86">
        <f>IFERROR(__xludf.DUMMYFUNCTION("""COMPUTED_VALUE"""),14.0)</f>
        <v>14</v>
      </c>
      <c r="H1278" s="86">
        <f>IFERROR(__xludf.DUMMYFUNCTION("""COMPUTED_VALUE"""),0.3)</f>
        <v>0.3</v>
      </c>
      <c r="I1278" s="86">
        <f>IFERROR(__xludf.DUMMYFUNCTION("""COMPUTED_VALUE"""),0.23076923076923078)</f>
        <v>0.2307692308</v>
      </c>
      <c r="J1278" s="82">
        <f>IFERROR(__xludf.DUMMYFUNCTION("""COMPUTED_VALUE"""),365.95)</f>
        <v>365.95</v>
      </c>
      <c r="K1278" s="82">
        <f>IFERROR(__xludf.DUMMYFUNCTION("""COMPUTED_VALUE"""),0.75)</f>
        <v>0.75</v>
      </c>
      <c r="L1278" s="82">
        <f>IFERROR(__xludf.DUMMYFUNCTION("""COMPUTED_VALUE"""),0.5)</f>
        <v>0.5</v>
      </c>
      <c r="M1278" s="82">
        <f>IFERROR(__xludf.DUMMYFUNCTION("""COMPUTED_VALUE"""),1.1)</f>
        <v>1.1</v>
      </c>
      <c r="N1278" s="82">
        <f>IFERROR(__xludf.DUMMYFUNCTION("""COMPUTED_VALUE"""),3.25)</f>
        <v>3.25</v>
      </c>
      <c r="O1278" s="82">
        <f>IFERROR(__xludf.DUMMYFUNCTION("""COMPUTED_VALUE"""),363.26666666666677)</f>
        <v>363.2666667</v>
      </c>
      <c r="P1278" s="82">
        <f>IFERROR(__xludf.DUMMYFUNCTION("""COMPUTED_VALUE"""),0.95)</f>
        <v>0.95</v>
      </c>
      <c r="Q1278" s="82">
        <f>IFERROR(__xludf.DUMMYFUNCTION("""COMPUTED_VALUE"""),0.6666666666666666)</f>
        <v>0.6666666667</v>
      </c>
      <c r="R1278" s="82">
        <f>IFERROR(__xludf.DUMMYFUNCTION("""COMPUTED_VALUE"""),1.1999999999999997)</f>
        <v>1.2</v>
      </c>
      <c r="S1278" s="82">
        <f>IFERROR(__xludf.DUMMYFUNCTION("""COMPUTED_VALUE"""),2.6333333333333333)</f>
        <v>2.633333333</v>
      </c>
      <c r="T1278" s="82">
        <f>IFERROR(__xludf.DUMMYFUNCTION("""COMPUTED_VALUE"""),360.76791995765035)</f>
        <v>360.76792</v>
      </c>
      <c r="U1278" s="82">
        <f>IFERROR(__xludf.DUMMYFUNCTION("""COMPUTED_VALUE"""),0.8114490722474473)</f>
        <v>0.8114490722</v>
      </c>
      <c r="V1278" s="82">
        <f>IFERROR(__xludf.DUMMYFUNCTION("""COMPUTED_VALUE"""),0.5824032776858961)</f>
        <v>0.5824032777</v>
      </c>
      <c r="W1278" s="82">
        <f>IFERROR(__xludf.DUMMYFUNCTION("""COMPUTED_VALUE"""),1.4132757223994141)</f>
        <v>1.413275722</v>
      </c>
      <c r="X1278" s="82">
        <f>IFERROR(__xludf.DUMMYFUNCTION("""COMPUTED_VALUE"""),2.531355003844568)</f>
        <v>2.531355004</v>
      </c>
      <c r="Y1278" s="82">
        <f>IFERROR(__xludf.DUMMYFUNCTION("""COMPUTED_VALUE"""),342.72941267510726)</f>
        <v>342.7294127</v>
      </c>
      <c r="Z1278" s="82">
        <f>IFERROR(__xludf.DUMMYFUNCTION("""COMPUTED_VALUE"""),0.7732068363921112)</f>
        <v>0.7732068364</v>
      </c>
      <c r="AA1278" s="82">
        <f>IFERROR(__xludf.DUMMYFUNCTION("""COMPUTED_VALUE"""),0.5445308440182239)</f>
        <v>0.544530844</v>
      </c>
      <c r="AB1278" s="82">
        <f>IFERROR(__xludf.DUMMYFUNCTION("""COMPUTED_VALUE"""),1.2327793868631973)</f>
        <v>1.232779387</v>
      </c>
      <c r="AC1278" s="82">
        <f>IFERROR(__xludf.DUMMYFUNCTION("""COMPUTED_VALUE"""),2.716141009452766)</f>
        <v>2.716141009</v>
      </c>
      <c r="AD1278" s="82">
        <f>IFERROR(__xludf.DUMMYFUNCTION("""COMPUTED_VALUE"""),1.0677519537749882)</f>
        <v>1.067751954</v>
      </c>
      <c r="AE1278" s="82">
        <f>IFERROR(__xludf.DUMMYFUNCTION("""COMPUTED_VALUE"""),0.9699862503797853)</f>
        <v>0.9699862504</v>
      </c>
      <c r="AF1278" s="82">
        <f>IFERROR(__xludf.DUMMYFUNCTION("""COMPUTED_VALUE"""),0.918221631506454)</f>
        <v>0.9182216315</v>
      </c>
      <c r="AG1278" s="82">
        <f>IFERROR(__xludf.DUMMYFUNCTION("""COMPUTED_VALUE"""),0.8922926613811625)</f>
        <v>0.8922926614</v>
      </c>
      <c r="AH1278" s="82">
        <f>IFERROR(__xludf.DUMMYFUNCTION("""COMPUTED_VALUE"""),1.1965505431011452)</f>
        <v>1.196550543</v>
      </c>
      <c r="AI1278" s="82">
        <f>IFERROR(__xludf.DUMMYFUNCTION("""COMPUTED_VALUE"""),1.006926188751233)</f>
        <v>1.006926189</v>
      </c>
      <c r="AJ1278" s="82">
        <f>IFERROR(__xludf.DUMMYFUNCTION("""COMPUTED_VALUE"""),1.1707450689034766)</f>
        <v>1.170745069</v>
      </c>
      <c r="AK1278" s="82">
        <f>IFERROR(__xludf.DUMMYFUNCTION("""COMPUTED_VALUE"""),1.144682202537699)</f>
        <v>1.144682203</v>
      </c>
      <c r="AL1278" s="82">
        <f>IFERROR(__xludf.DUMMYFUNCTION("""COMPUTED_VALUE"""),0.8490912148145291)</f>
        <v>0.8490912148</v>
      </c>
      <c r="AM1278" s="82">
        <f>IFERROR(__xludf.DUMMYFUNCTION("""COMPUTED_VALUE"""),1.04028606391987)</f>
        <v>1.040286064</v>
      </c>
      <c r="AN1278" s="82">
        <f>IFERROR(__xludf.DUMMYFUNCTION("""COMPUTED_VALUE"""),1.0585679505467291)</f>
        <v>1.058567951</v>
      </c>
      <c r="AO1278" s="82">
        <f>IFERROR(__xludf.DUMMYFUNCTION("""COMPUTED_VALUE"""),0.992637331009119)</f>
        <v>0.992637331</v>
      </c>
      <c r="AP1278" s="82">
        <f>IFERROR(__xludf.DUMMYFUNCTION("""COMPUTED_VALUE"""),0.8995109900699465)</f>
        <v>0.8995109901</v>
      </c>
      <c r="AQ1278" s="82">
        <f>IFERROR(__xludf.DUMMYFUNCTION("""COMPUTED_VALUE"""),0.8130256836572687)</f>
        <v>0.8130256837</v>
      </c>
      <c r="AR1278" s="82">
        <f>IFERROR(__xludf.DUMMYFUNCTION("""COMPUTED_VALUE"""),1.274753285477352)</f>
        <v>1.274753285</v>
      </c>
      <c r="AS1278" s="82">
        <f>IFERROR(__xludf.DUMMYFUNCTION("""COMPUTED_VALUE"""),39.0)</f>
        <v>39</v>
      </c>
      <c r="AT1278" s="82">
        <f>IFERROR(__xludf.DUMMYFUNCTION("""COMPUTED_VALUE"""),0.35542591446883215)</f>
        <v>0.3554259145</v>
      </c>
      <c r="AU1278" s="82">
        <f>IFERROR(__xludf.DUMMYFUNCTION("""COMPUTED_VALUE"""),1.909027278270467)</f>
        <v>1.909027278</v>
      </c>
      <c r="AV1278" s="82">
        <f>IFERROR(__xludf.DUMMYFUNCTION("""COMPUTED_VALUE"""),53.465716840886024)</f>
        <v>53.46571684</v>
      </c>
      <c r="AW1278" s="82">
        <f t="shared" si="1"/>
        <v>2.247838632</v>
      </c>
      <c r="AX1278" s="83">
        <f t="array" ref="AX1278">IFERROR(DGET('SBV Import'!A:G,"SBV",{"RSC ID","Tier";B1278,A1278}))</f>
        <v>63.26432565</v>
      </c>
      <c r="AY1278" s="82">
        <f t="shared" si="2"/>
        <v>3.35731186</v>
      </c>
      <c r="AZ1278" s="82">
        <v>1.1094732280433517</v>
      </c>
      <c r="BA1278" s="84">
        <v>1200.0</v>
      </c>
      <c r="BB1278" s="84" t="b">
        <f>IFERROR(__xludf.DUMMYFUNCTION("iferror(if(A1278="""",,E1278&gt;=FILTER(Constants!$F$2:$F$10,Constants!$A$2:$A$10=A1278)))"),TRUE)</f>
        <v>1</v>
      </c>
    </row>
    <row r="1279">
      <c r="A1279" s="89" t="str">
        <f>IFERROR(__xludf.DUMMYFUNCTION("""COMPUTED_VALUE"""),"Veteran")</f>
        <v>Veteran</v>
      </c>
      <c r="B1279" s="87" t="str">
        <f>IFERROR(__xludf.DUMMYFUNCTION("""COMPUTED_VALUE"""),"RSC007760")</f>
        <v>RSC007760</v>
      </c>
      <c r="C1279" s="73" t="str">
        <f>IFERROR(__xludf.DUMMYFUNCTION("""COMPUTED_VALUE"""),"BossMan")</f>
        <v>BossMan</v>
      </c>
      <c r="D1279" s="73" t="str">
        <f>IFERROR(__xludf.DUMMYFUNCTION("""COMPUTED_VALUE"""),"Blacksmiths")</f>
        <v>Blacksmiths</v>
      </c>
      <c r="E1279" s="82">
        <f>IFERROR(__xludf.DUMMYFUNCTION("""COMPUTED_VALUE"""),44.0)</f>
        <v>44</v>
      </c>
      <c r="F1279" s="82">
        <f>IFERROR(__xludf.DUMMYFUNCTION("""COMPUTED_VALUE"""),22.0)</f>
        <v>22</v>
      </c>
      <c r="G1279" s="86">
        <f>IFERROR(__xludf.DUMMYFUNCTION("""COMPUTED_VALUE"""),22.0)</f>
        <v>22</v>
      </c>
      <c r="H1279" s="86">
        <f>IFERROR(__xludf.DUMMYFUNCTION("""COMPUTED_VALUE"""),0.5)</f>
        <v>0.5</v>
      </c>
      <c r="I1279" s="86">
        <f>IFERROR(__xludf.DUMMYFUNCTION("""COMPUTED_VALUE"""),0.304)</f>
        <v>0.304</v>
      </c>
      <c r="J1279" s="82">
        <f>IFERROR(__xludf.DUMMYFUNCTION("""COMPUTED_VALUE"""),331.1818181818182)</f>
        <v>331.1818182</v>
      </c>
      <c r="K1279" s="82">
        <f>IFERROR(__xludf.DUMMYFUNCTION("""COMPUTED_VALUE"""),0.8636363636363636)</f>
        <v>0.8636363636</v>
      </c>
      <c r="L1279" s="82">
        <f>IFERROR(__xludf.DUMMYFUNCTION("""COMPUTED_VALUE"""),0.4772727272727273)</f>
        <v>0.4772727273</v>
      </c>
      <c r="M1279" s="82">
        <f>IFERROR(__xludf.DUMMYFUNCTION("""COMPUTED_VALUE"""),1.1590909090909092)</f>
        <v>1.159090909</v>
      </c>
      <c r="N1279" s="82">
        <f>IFERROR(__xludf.DUMMYFUNCTION("""COMPUTED_VALUE"""),2.840909090909091)</f>
        <v>2.840909091</v>
      </c>
      <c r="O1279" s="82">
        <f>IFERROR(__xludf.DUMMYFUNCTION("""COMPUTED_VALUE"""),372.92424242424244)</f>
        <v>372.9242424</v>
      </c>
      <c r="P1279" s="82">
        <f>IFERROR(__xludf.DUMMYFUNCTION("""COMPUTED_VALUE"""),0.7954545454545453)</f>
        <v>0.7954545455</v>
      </c>
      <c r="Q1279" s="82">
        <f>IFERROR(__xludf.DUMMYFUNCTION("""COMPUTED_VALUE"""),0.6515151515151517)</f>
        <v>0.6515151515</v>
      </c>
      <c r="R1279" s="82">
        <f>IFERROR(__xludf.DUMMYFUNCTION("""COMPUTED_VALUE"""),1.5075757575757576)</f>
        <v>1.507575758</v>
      </c>
      <c r="S1279" s="82">
        <f>IFERROR(__xludf.DUMMYFUNCTION("""COMPUTED_VALUE"""),2.598484848484848)</f>
        <v>2.598484848</v>
      </c>
      <c r="T1279" s="82">
        <f>IFERROR(__xludf.DUMMYFUNCTION("""COMPUTED_VALUE"""),356.17662519973436)</f>
        <v>356.1766252</v>
      </c>
      <c r="U1279" s="82">
        <f>IFERROR(__xludf.DUMMYFUNCTION("""COMPUTED_VALUE"""),0.7880666879219949)</f>
        <v>0.7880666879</v>
      </c>
      <c r="V1279" s="82">
        <f>IFERROR(__xludf.DUMMYFUNCTION("""COMPUTED_VALUE"""),0.6066670548983949)</f>
        <v>0.6066670549</v>
      </c>
      <c r="W1279" s="82">
        <f>IFERROR(__xludf.DUMMYFUNCTION("""COMPUTED_VALUE"""),1.3983281724621524)</f>
        <v>1.398328172</v>
      </c>
      <c r="X1279" s="82">
        <f>IFERROR(__xludf.DUMMYFUNCTION("""COMPUTED_VALUE"""),2.6438859198569555)</f>
        <v>2.64388592</v>
      </c>
      <c r="Y1279" s="82">
        <f>IFERROR(__xludf.DUMMYFUNCTION("""COMPUTED_VALUE"""),351.86795590586274)</f>
        <v>351.8679559</v>
      </c>
      <c r="Z1279" s="82">
        <f>IFERROR(__xludf.DUMMYFUNCTION("""COMPUTED_VALUE"""),0.7924716225642641)</f>
        <v>0.7924716226</v>
      </c>
      <c r="AA1279" s="82">
        <f>IFERROR(__xludf.DUMMYFUNCTION("""COMPUTED_VALUE"""),0.5629326003346491)</f>
        <v>0.5629326003</v>
      </c>
      <c r="AB1279" s="82">
        <f>IFERROR(__xludf.DUMMYFUNCTION("""COMPUTED_VALUE"""),1.3539743126792967)</f>
        <v>1.353974313</v>
      </c>
      <c r="AC1279" s="82">
        <f>IFERROR(__xludf.DUMMYFUNCTION("""COMPUTED_VALUE"""),2.621958871498978)</f>
        <v>2.621958871</v>
      </c>
      <c r="AD1279" s="82">
        <f>IFERROR(__xludf.DUMMYFUNCTION("""COMPUTED_VALUE"""),0.9412105098607535)</f>
        <v>0.9412105099</v>
      </c>
      <c r="AE1279" s="82">
        <f>IFERROR(__xludf.DUMMYFUNCTION("""COMPUTED_VALUE"""),1.0898009960808768)</f>
        <v>1.089800996</v>
      </c>
      <c r="AF1279" s="82">
        <f>IFERROR(__xludf.DUMMYFUNCTION("""COMPUTED_VALUE"""),0.8478328080288845)</f>
        <v>0.847832808</v>
      </c>
      <c r="AG1279" s="82">
        <f>IFERROR(__xludf.DUMMYFUNCTION("""COMPUTED_VALUE"""),0.8560656566646787)</f>
        <v>0.8560656567</v>
      </c>
      <c r="AH1279" s="82">
        <f>IFERROR(__xludf.DUMMYFUNCTION("""COMPUTED_VALUE"""),1.0835063516022807)</f>
        <v>1.083506352</v>
      </c>
      <c r="AI1279" s="82">
        <f>IFERROR(__xludf.DUMMYFUNCTION("""COMPUTED_VALUE"""),1.0470205399220582)</f>
        <v>1.04702054</v>
      </c>
      <c r="AJ1279" s="82">
        <f>IFERROR(__xludf.DUMMYFUNCTION("""COMPUTED_VALUE"""),1.0093746603501679)</f>
        <v>1.00937466</v>
      </c>
      <c r="AK1279" s="82">
        <f>IFERROR(__xludf.DUMMYFUNCTION("""COMPUTED_VALUE"""),1.073925386675675)</f>
        <v>1.073925387</v>
      </c>
      <c r="AL1279" s="82">
        <f>IFERROR(__xludf.DUMMYFUNCTION("""COMPUTED_VALUE"""),1.0781272860441937)</f>
        <v>1.078127286</v>
      </c>
      <c r="AM1279" s="82">
        <f>IFERROR(__xludf.DUMMYFUNCTION("""COMPUTED_VALUE"""),0.9828279007686671)</f>
        <v>0.9828279008</v>
      </c>
      <c r="AN1279" s="82">
        <f>IFERROR(__xludf.DUMMYFUNCTION("""COMPUTED_VALUE"""),0.9579955144994309)</f>
        <v>0.9579955145</v>
      </c>
      <c r="AO1279" s="82">
        <f>IFERROR(__xludf.DUMMYFUNCTION("""COMPUTED_VALUE"""),1.1430369266165612)</f>
        <v>1.143036927</v>
      </c>
      <c r="AP1279" s="82">
        <f>IFERROR(__xludf.DUMMYFUNCTION("""COMPUTED_VALUE"""),0.858624126884949)</f>
        <v>0.8586241269</v>
      </c>
      <c r="AQ1279" s="82">
        <f>IFERROR(__xludf.DUMMYFUNCTION("""COMPUTED_VALUE"""),0.8567006170768741)</f>
        <v>0.8567006171</v>
      </c>
      <c r="AR1279" s="82">
        <f>IFERROR(__xludf.DUMMYFUNCTION("""COMPUTED_VALUE"""),1.1142948299627202)</f>
        <v>1.11429483</v>
      </c>
      <c r="AS1279" s="82">
        <f>IFERROR(__xludf.DUMMYFUNCTION("""COMPUTED_VALUE"""),110.0)</f>
        <v>110</v>
      </c>
      <c r="AT1279" s="82">
        <f>IFERROR(__xludf.DUMMYFUNCTION("""COMPUTED_VALUE"""),0.5183283826823205)</f>
        <v>0.5183283827</v>
      </c>
      <c r="AU1279" s="82">
        <f>IFERROR(__xludf.DUMMYFUNCTION("""COMPUTED_VALUE"""),1.902325624912022)</f>
        <v>1.902325625</v>
      </c>
      <c r="AV1279" s="82">
        <f>IFERROR(__xludf.DUMMYFUNCTION("""COMPUTED_VALUE"""),53.22611870181053)</f>
        <v>53.2261187</v>
      </c>
      <c r="AW1279" s="82">
        <f t="shared" si="1"/>
        <v>2.228853703</v>
      </c>
      <c r="AX1279" s="83">
        <f t="array" ref="AX1279">IFERROR(DGET('SBV Import'!A:G,"SBV",{"RSC ID","Tier";B1279,A1279}))</f>
        <v>42.28880114</v>
      </c>
      <c r="AY1279" s="82">
        <f t="shared" si="2"/>
        <v>-2.639422557</v>
      </c>
      <c r="AZ1279" s="82">
        <v>4.868276260810292</v>
      </c>
      <c r="BA1279" s="84">
        <v>1200.0</v>
      </c>
      <c r="BB1279" s="84" t="b">
        <f>IFERROR(__xludf.DUMMYFUNCTION("iferror(if(A1279="""",,E1279&gt;=FILTER(Constants!$F$2:$F$10,Constants!$A$2:$A$10=A1279)))"),TRUE)</f>
        <v>1</v>
      </c>
    </row>
    <row r="1280">
      <c r="A1280" s="89" t="str">
        <f>IFERROR(__xludf.DUMMYFUNCTION("""COMPUTED_VALUE"""),"Veteran")</f>
        <v>Veteran</v>
      </c>
      <c r="B1280" s="87" t="str">
        <f>IFERROR(__xludf.DUMMYFUNCTION("""COMPUTED_VALUE"""),"RSC002209")</f>
        <v>RSC002209</v>
      </c>
      <c r="C1280" s="73" t="str">
        <f>IFERROR(__xludf.DUMMYFUNCTION("""COMPUTED_VALUE"""),"Panick")</f>
        <v>Panick</v>
      </c>
      <c r="D1280" s="73" t="str">
        <f>IFERROR(__xludf.DUMMYFUNCTION("""COMPUTED_VALUE"""),"Repossessed")</f>
        <v>Repossessed</v>
      </c>
      <c r="E1280" s="82">
        <f>IFERROR(__xludf.DUMMYFUNCTION("""COMPUTED_VALUE"""),46.0)</f>
        <v>46</v>
      </c>
      <c r="F1280" s="82">
        <f>IFERROR(__xludf.DUMMYFUNCTION("""COMPUTED_VALUE"""),25.0)</f>
        <v>25</v>
      </c>
      <c r="G1280" s="86">
        <f>IFERROR(__xludf.DUMMYFUNCTION("""COMPUTED_VALUE"""),21.0)</f>
        <v>21</v>
      </c>
      <c r="H1280" s="86">
        <f>IFERROR(__xludf.DUMMYFUNCTION("""COMPUTED_VALUE"""),0.5434782608695652)</f>
        <v>0.5434782609</v>
      </c>
      <c r="I1280" s="86">
        <f>IFERROR(__xludf.DUMMYFUNCTION("""COMPUTED_VALUE"""),0.25203252032520324)</f>
        <v>0.2520325203</v>
      </c>
      <c r="J1280" s="82">
        <f>IFERROR(__xludf.DUMMYFUNCTION("""COMPUTED_VALUE"""),308.6304347826087)</f>
        <v>308.6304348</v>
      </c>
      <c r="K1280" s="82">
        <f>IFERROR(__xludf.DUMMYFUNCTION("""COMPUTED_VALUE"""),0.6739130434782609)</f>
        <v>0.6739130435</v>
      </c>
      <c r="L1280" s="82">
        <f>IFERROR(__xludf.DUMMYFUNCTION("""COMPUTED_VALUE"""),0.5652173913043478)</f>
        <v>0.5652173913</v>
      </c>
      <c r="M1280" s="82">
        <f>IFERROR(__xludf.DUMMYFUNCTION("""COMPUTED_VALUE"""),0.9130434782608695)</f>
        <v>0.9130434783</v>
      </c>
      <c r="N1280" s="82">
        <f>IFERROR(__xludf.DUMMYFUNCTION("""COMPUTED_VALUE"""),2.6739130434782608)</f>
        <v>2.673913043</v>
      </c>
      <c r="O1280" s="82">
        <f>IFERROR(__xludf.DUMMYFUNCTION("""COMPUTED_VALUE"""),327.8478260869565)</f>
        <v>327.8478261</v>
      </c>
      <c r="P1280" s="82">
        <f>IFERROR(__xludf.DUMMYFUNCTION("""COMPUTED_VALUE"""),0.6231884057971013)</f>
        <v>0.6231884058</v>
      </c>
      <c r="Q1280" s="82">
        <f>IFERROR(__xludf.DUMMYFUNCTION("""COMPUTED_VALUE"""),0.4492753623188405)</f>
        <v>0.4492753623</v>
      </c>
      <c r="R1280" s="82">
        <f>IFERROR(__xludf.DUMMYFUNCTION("""COMPUTED_VALUE"""),1.3478260869565215)</f>
        <v>1.347826087</v>
      </c>
      <c r="S1280" s="82">
        <f>IFERROR(__xludf.DUMMYFUNCTION("""COMPUTED_VALUE"""),2.449275362318841)</f>
        <v>2.449275362</v>
      </c>
      <c r="T1280" s="82">
        <f>IFERROR(__xludf.DUMMYFUNCTION("""COMPUTED_VALUE"""),349.32485193751984)</f>
        <v>349.3248519</v>
      </c>
      <c r="U1280" s="82">
        <f>IFERROR(__xludf.DUMMYFUNCTION("""COMPUTED_VALUE"""),0.7607401564243683)</f>
        <v>0.7607401564</v>
      </c>
      <c r="V1280" s="82">
        <f>IFERROR(__xludf.DUMMYFUNCTION("""COMPUTED_VALUE"""),0.5513099444241494)</f>
        <v>0.5513099444</v>
      </c>
      <c r="W1280" s="82">
        <f>IFERROR(__xludf.DUMMYFUNCTION("""COMPUTED_VALUE"""),1.357454763175835)</f>
        <v>1.357454763</v>
      </c>
      <c r="X1280" s="82">
        <f>IFERROR(__xludf.DUMMYFUNCTION("""COMPUTED_VALUE"""),2.525654323766821)</f>
        <v>2.525654324</v>
      </c>
      <c r="Y1280" s="82">
        <f>IFERROR(__xludf.DUMMYFUNCTION("""COMPUTED_VALUE"""),350.1610953009416)</f>
        <v>350.1610953</v>
      </c>
      <c r="Z1280" s="82">
        <f>IFERROR(__xludf.DUMMYFUNCTION("""COMPUTED_VALUE"""),0.7596158073901462)</f>
        <v>0.7596158074</v>
      </c>
      <c r="AA1280" s="82">
        <f>IFERROR(__xludf.DUMMYFUNCTION("""COMPUTED_VALUE"""),0.5658316675693944)</f>
        <v>0.5658316676</v>
      </c>
      <c r="AB1280" s="82">
        <f>IFERROR(__xludf.DUMMYFUNCTION("""COMPUTED_VALUE"""),1.3502842300430007)</f>
        <v>1.35028423</v>
      </c>
      <c r="AC1280" s="82">
        <f>IFERROR(__xludf.DUMMYFUNCTION("""COMPUTED_VALUE"""),2.5604266804100844)</f>
        <v>2.56042668</v>
      </c>
      <c r="AD1280" s="82">
        <f>IFERROR(__xludf.DUMMYFUNCTION("""COMPUTED_VALUE"""),0.881395560284503)</f>
        <v>0.8813955603</v>
      </c>
      <c r="AE1280" s="82">
        <f>IFERROR(__xludf.DUMMYFUNCTION("""COMPUTED_VALUE"""),0.8871761710616067)</f>
        <v>0.8871761711</v>
      </c>
      <c r="AF1280" s="82">
        <f>IFERROR(__xludf.DUMMYFUNCTION("""COMPUTED_VALUE"""),0.9989143833753856)</f>
        <v>0.9989143834</v>
      </c>
      <c r="AG1280" s="82">
        <f>IFERROR(__xludf.DUMMYFUNCTION("""COMPUTED_VALUE"""),0.6761861376636185)</f>
        <v>0.6761861377</v>
      </c>
      <c r="AH1280" s="82">
        <f>IFERROR(__xludf.DUMMYFUNCTION("""COMPUTED_VALUE"""),1.044323223131701)</f>
        <v>1.044323223</v>
      </c>
      <c r="AI1280" s="82">
        <f>IFERROR(__xludf.DUMMYFUNCTION("""COMPUTED_VALUE"""),0.9385184714702042)</f>
        <v>0.9385184715</v>
      </c>
      <c r="AJ1280" s="82">
        <f>IFERROR(__xludf.DUMMYFUNCTION("""COMPUTED_VALUE"""),0.8191869464683081)</f>
        <v>0.8191869465</v>
      </c>
      <c r="AK1280" s="82">
        <f>IFERROR(__xludf.DUMMYFUNCTION("""COMPUTED_VALUE"""),0.8149233781518573)</f>
        <v>0.8149233782</v>
      </c>
      <c r="AL1280" s="82">
        <f>IFERROR(__xludf.DUMMYFUNCTION("""COMPUTED_VALUE"""),0.9929068161381771)</f>
        <v>0.9929068161</v>
      </c>
      <c r="AM1280" s="82">
        <f>IFERROR(__xludf.DUMMYFUNCTION("""COMPUTED_VALUE"""),0.9697587430198813)</f>
        <v>0.969758743</v>
      </c>
      <c r="AN1280" s="82">
        <f>IFERROR(__xludf.DUMMYFUNCTION("""COMPUTED_VALUE"""),0.8927620899690449)</f>
        <v>0.89276209</v>
      </c>
      <c r="AO1280" s="82">
        <f>IFERROR(__xludf.DUMMYFUNCTION("""COMPUTED_VALUE"""),0.8919349930806576)</f>
        <v>0.8919349931</v>
      </c>
      <c r="AP1280" s="82">
        <f>IFERROR(__xludf.DUMMYFUNCTION("""COMPUTED_VALUE"""),1.0168385105138524)</f>
        <v>1.016838511</v>
      </c>
      <c r="AQ1280" s="82">
        <f>IFERROR(__xludf.DUMMYFUNCTION("""COMPUTED_VALUE"""),0.674843452838049)</f>
        <v>0.6748434528</v>
      </c>
      <c r="AR1280" s="82">
        <f>IFERROR(__xludf.DUMMYFUNCTION("""COMPUTED_VALUE"""),1.0487936730014333)</f>
        <v>1.048793673</v>
      </c>
      <c r="AS1280" s="82">
        <f>IFERROR(__xludf.DUMMYFUNCTION("""COMPUTED_VALUE"""),102.0)</f>
        <v>102</v>
      </c>
      <c r="AT1280" s="82">
        <f>IFERROR(__xludf.DUMMYFUNCTION("""COMPUTED_VALUE"""),0.5635478453373319)</f>
        <v>0.5635478453</v>
      </c>
      <c r="AU1280" s="82">
        <f>IFERROR(__xludf.DUMMYFUNCTION("""COMPUTED_VALUE"""),1.8855429232423948)</f>
        <v>1.885542923</v>
      </c>
      <c r="AV1280" s="82">
        <f>IFERROR(__xludf.DUMMYFUNCTION("""COMPUTED_VALUE"""),52.626101978529135)</f>
        <v>52.62610198</v>
      </c>
      <c r="AW1280" s="82">
        <f t="shared" si="1"/>
        <v>2.182593998</v>
      </c>
      <c r="AX1280" s="83">
        <f t="array" ref="AX1280">IFERROR(DGET('SBV Import'!A:G,"SBV",{"RSC ID","Tier";B1280,A1280}))</f>
        <v>43.73217477</v>
      </c>
      <c r="AY1280" s="82">
        <f t="shared" si="2"/>
        <v>-2.493653645</v>
      </c>
      <c r="AZ1280" s="82">
        <v>4.6762476430436895</v>
      </c>
      <c r="BA1280" s="84">
        <v>1200.0</v>
      </c>
      <c r="BB1280" s="84" t="b">
        <f>IFERROR(__xludf.DUMMYFUNCTION("iferror(if(A1280="""",,E1280&gt;=FILTER(Constants!$F$2:$F$10,Constants!$A$2:$A$10=A1280)))"),TRUE)</f>
        <v>1</v>
      </c>
    </row>
    <row r="1281">
      <c r="A1281" s="89" t="str">
        <f>IFERROR(__xludf.DUMMYFUNCTION("""COMPUTED_VALUE"""),"Veteran")</f>
        <v>Veteran</v>
      </c>
      <c r="B1281" s="87" t="str">
        <f>IFERROR(__xludf.DUMMYFUNCTION("""COMPUTED_VALUE"""),"RSC003789")</f>
        <v>RSC003789</v>
      </c>
      <c r="C1281" s="73" t="str">
        <f>IFERROR(__xludf.DUMMYFUNCTION("""COMPUTED_VALUE"""),"monterszn")</f>
        <v>monterszn</v>
      </c>
      <c r="D1281" s="73" t="str">
        <f>IFERROR(__xludf.DUMMYFUNCTION("""COMPUTED_VALUE"""),"Merciless Mob")</f>
        <v>Merciless Mob</v>
      </c>
      <c r="E1281" s="82">
        <f>IFERROR(__xludf.DUMMYFUNCTION("""COMPUTED_VALUE"""),44.0)</f>
        <v>44</v>
      </c>
      <c r="F1281" s="82">
        <f>IFERROR(__xludf.DUMMYFUNCTION("""COMPUTED_VALUE"""),20.0)</f>
        <v>20</v>
      </c>
      <c r="G1281" s="86">
        <f>IFERROR(__xludf.DUMMYFUNCTION("""COMPUTED_VALUE"""),24.0)</f>
        <v>24</v>
      </c>
      <c r="H1281" s="86">
        <f>IFERROR(__xludf.DUMMYFUNCTION("""COMPUTED_VALUE"""),0.45454545454545453)</f>
        <v>0.4545454545</v>
      </c>
      <c r="I1281" s="86">
        <f>IFERROR(__xludf.DUMMYFUNCTION("""COMPUTED_VALUE"""),0.25806451612903225)</f>
        <v>0.2580645161</v>
      </c>
      <c r="J1281" s="82">
        <f>IFERROR(__xludf.DUMMYFUNCTION("""COMPUTED_VALUE"""),396.3181818181818)</f>
        <v>396.3181818</v>
      </c>
      <c r="K1281" s="82">
        <f>IFERROR(__xludf.DUMMYFUNCTION("""COMPUTED_VALUE"""),0.5454545454545454)</f>
        <v>0.5454545455</v>
      </c>
      <c r="L1281" s="82">
        <f>IFERROR(__xludf.DUMMYFUNCTION("""COMPUTED_VALUE"""),0.7954545454545454)</f>
        <v>0.7954545455</v>
      </c>
      <c r="M1281" s="82">
        <f>IFERROR(__xludf.DUMMYFUNCTION("""COMPUTED_VALUE"""),2.1136363636363638)</f>
        <v>2.113636364</v>
      </c>
      <c r="N1281" s="82">
        <f>IFERROR(__xludf.DUMMYFUNCTION("""COMPUTED_VALUE"""),2.1136363636363638)</f>
        <v>2.113636364</v>
      </c>
      <c r="O1281" s="82">
        <f>IFERROR(__xludf.DUMMYFUNCTION("""COMPUTED_VALUE"""),343.9090909090908)</f>
        <v>343.9090909</v>
      </c>
      <c r="P1281" s="82">
        <f>IFERROR(__xludf.DUMMYFUNCTION("""COMPUTED_VALUE"""),0.8257575757575757)</f>
        <v>0.8257575758</v>
      </c>
      <c r="Q1281" s="82">
        <f>IFERROR(__xludf.DUMMYFUNCTION("""COMPUTED_VALUE"""),0.6287878787878786)</f>
        <v>0.6287878788</v>
      </c>
      <c r="R1281" s="82">
        <f>IFERROR(__xludf.DUMMYFUNCTION("""COMPUTED_VALUE"""),1.090909090909091)</f>
        <v>1.090909091</v>
      </c>
      <c r="S1281" s="82">
        <f>IFERROR(__xludf.DUMMYFUNCTION("""COMPUTED_VALUE"""),2.6969696969696964)</f>
        <v>2.696969697</v>
      </c>
      <c r="T1281" s="82">
        <f>IFERROR(__xludf.DUMMYFUNCTION("""COMPUTED_VALUE"""),348.1801058222767)</f>
        <v>348.1801058</v>
      </c>
      <c r="U1281" s="82">
        <f>IFERROR(__xludf.DUMMYFUNCTION("""COMPUTED_VALUE"""),0.7689622764205333)</f>
        <v>0.7689622764</v>
      </c>
      <c r="V1281" s="82">
        <f>IFERROR(__xludf.DUMMYFUNCTION("""COMPUTED_VALUE"""),0.5671109281971767)</f>
        <v>0.5671109282</v>
      </c>
      <c r="W1281" s="82">
        <f>IFERROR(__xludf.DUMMYFUNCTION("""COMPUTED_VALUE"""),1.329670271107893)</f>
        <v>1.329670271</v>
      </c>
      <c r="X1281" s="82">
        <f>IFERROR(__xludf.DUMMYFUNCTION("""COMPUTED_VALUE"""),2.54466029099107)</f>
        <v>2.544660291</v>
      </c>
      <c r="Y1281" s="82">
        <f>IFERROR(__xludf.DUMMYFUNCTION("""COMPUTED_VALUE"""),344.6872332702883)</f>
        <v>344.6872333</v>
      </c>
      <c r="Z1281" s="82">
        <f>IFERROR(__xludf.DUMMYFUNCTION("""COMPUTED_VALUE"""),0.7506003239277015)</f>
        <v>0.7506003239</v>
      </c>
      <c r="AA1281" s="82">
        <f>IFERROR(__xludf.DUMMYFUNCTION("""COMPUTED_VALUE"""),0.5388922415309548)</f>
        <v>0.5388922415</v>
      </c>
      <c r="AB1281" s="82">
        <f>IFERROR(__xludf.DUMMYFUNCTION("""COMPUTED_VALUE"""),1.3422470084484948)</f>
        <v>1.342247008</v>
      </c>
      <c r="AC1281" s="82">
        <f>IFERROR(__xludf.DUMMYFUNCTION("""COMPUTED_VALUE"""),2.581216495886745)</f>
        <v>2.581216496</v>
      </c>
      <c r="AD1281" s="82">
        <f>IFERROR(__xludf.DUMMYFUNCTION("""COMPUTED_VALUE"""),1.149790719134082)</f>
        <v>1.149790719</v>
      </c>
      <c r="AE1281" s="82">
        <f>IFERROR(__xludf.DUMMYFUNCTION("""COMPUTED_VALUE"""),0.7266910605637896)</f>
        <v>0.7266910606</v>
      </c>
      <c r="AF1281" s="82">
        <f>IFERROR(__xludf.DUMMYFUNCTION("""COMPUTED_VALUE"""),1.4760920350137445)</f>
        <v>1.476092035</v>
      </c>
      <c r="AG1281" s="82">
        <f>IFERROR(__xludf.DUMMYFUNCTION("""COMPUTED_VALUE"""),1.5746999995772157)</f>
        <v>1.5747</v>
      </c>
      <c r="AH1281" s="82">
        <f>IFERROR(__xludf.DUMMYFUNCTION("""COMPUTED_VALUE"""),0.8188528033214238)</f>
        <v>0.8188528033</v>
      </c>
      <c r="AI1281" s="82">
        <f>IFERROR(__xludf.DUMMYFUNCTION("""COMPUTED_VALUE"""),0.9877333172063371)</f>
        <v>0.9877333172</v>
      </c>
      <c r="AJ1281" s="82">
        <f>IFERROR(__xludf.DUMMYFUNCTION("""COMPUTED_VALUE"""),1.0738596691653337)</f>
        <v>1.073859669</v>
      </c>
      <c r="AK1281" s="82">
        <f>IFERROR(__xludf.DUMMYFUNCTION("""COMPUTED_VALUE"""),1.1087564134705894)</f>
        <v>1.108756413</v>
      </c>
      <c r="AL1281" s="82">
        <f>IFERROR(__xludf.DUMMYFUNCTION("""COMPUTED_VALUE"""),0.8204357987188328)</f>
        <v>0.8204357987</v>
      </c>
      <c r="AM1281" s="82">
        <f>IFERROR(__xludf.DUMMYFUNCTION("""COMPUTED_VALUE"""),1.0598545143797196)</f>
        <v>1.059854514</v>
      </c>
      <c r="AN1281" s="82">
        <f>IFERROR(__xludf.DUMMYFUNCTION("""COMPUTED_VALUE"""),1.1464126943344137)</f>
        <v>1.146412694</v>
      </c>
      <c r="AO1281" s="82">
        <f>IFERROR(__xludf.DUMMYFUNCTION("""COMPUTED_VALUE"""),0.7219180589157228)</f>
        <v>0.7219180589</v>
      </c>
      <c r="AP1281" s="82">
        <f>IFERROR(__xludf.DUMMYFUNCTION("""COMPUTED_VALUE"""),1.4310402114749148)</f>
        <v>1.431040211</v>
      </c>
      <c r="AQ1281" s="82">
        <f>IFERROR(__xludf.DUMMYFUNCTION("""COMPUTED_VALUE"""),1.5622187723166527)</f>
        <v>1.562218772</v>
      </c>
      <c r="AR1281" s="82">
        <f>IFERROR(__xludf.DUMMYFUNCTION("""COMPUTED_VALUE"""),0.829035353492264)</f>
        <v>0.8290353535</v>
      </c>
      <c r="AS1281" s="82">
        <f>IFERROR(__xludf.DUMMYFUNCTION("""COMPUTED_VALUE"""),96.0)</f>
        <v>96</v>
      </c>
      <c r="AT1281" s="82">
        <f>IFERROR(__xludf.DUMMYFUNCTION("""COMPUTED_VALUE"""),0.45078059195478004)</f>
        <v>0.450780592</v>
      </c>
      <c r="AU1281" s="82">
        <f>IFERROR(__xludf.DUMMYFUNCTION("""COMPUTED_VALUE"""),1.8684677391253277)</f>
        <v>1.868467739</v>
      </c>
      <c r="AV1281" s="82">
        <f>IFERROR(__xludf.DUMMYFUNCTION("""COMPUTED_VALUE"""),52.01562839536994)</f>
        <v>52.0156284</v>
      </c>
      <c r="AW1281" s="82">
        <f t="shared" si="1"/>
        <v>2.137345671</v>
      </c>
      <c r="AX1281" s="83">
        <f t="array" ref="AX1281">IFERROR(DGET('SBV Import'!A:G,"SBV",{"RSC ID","Tier";B1281,A1281}))</f>
        <v>70.05225803</v>
      </c>
      <c r="AY1281" s="82">
        <f t="shared" si="2"/>
        <v>4.733719818</v>
      </c>
      <c r="AZ1281" s="82">
        <v>2.596374146764103</v>
      </c>
      <c r="BA1281" s="84">
        <v>1200.0</v>
      </c>
      <c r="BB1281" s="84" t="b">
        <f>IFERROR(__xludf.DUMMYFUNCTION("iferror(if(A1281="""",,E1281&gt;=FILTER(Constants!$F$2:$F$10,Constants!$A$2:$A$10=A1281)))"),TRUE)</f>
        <v>1</v>
      </c>
    </row>
    <row r="1282">
      <c r="A1282" s="89" t="str">
        <f>IFERROR(__xludf.DUMMYFUNCTION("""COMPUTED_VALUE"""),"Veteran")</f>
        <v>Veteran</v>
      </c>
      <c r="B1282" s="87" t="str">
        <f>IFERROR(__xludf.DUMMYFUNCTION("""COMPUTED_VALUE"""),"RSC006613")</f>
        <v>RSC006613</v>
      </c>
      <c r="C1282" s="73" t="str">
        <f>IFERROR(__xludf.DUMMYFUNCTION("""COMPUTED_VALUE"""),"steel.reserve")</f>
        <v>steel.reserve</v>
      </c>
      <c r="D1282" s="73" t="str">
        <f>IFERROR(__xludf.DUMMYFUNCTION("""COMPUTED_VALUE"""),"Dog Fighters")</f>
        <v>Dog Fighters</v>
      </c>
      <c r="E1282" s="82">
        <f>IFERROR(__xludf.DUMMYFUNCTION("""COMPUTED_VALUE"""),35.0)</f>
        <v>35</v>
      </c>
      <c r="F1282" s="82">
        <f>IFERROR(__xludf.DUMMYFUNCTION("""COMPUTED_VALUE"""),20.0)</f>
        <v>20</v>
      </c>
      <c r="G1282" s="86">
        <f>IFERROR(__xludf.DUMMYFUNCTION("""COMPUTED_VALUE"""),15.0)</f>
        <v>15</v>
      </c>
      <c r="H1282" s="86">
        <f>IFERROR(__xludf.DUMMYFUNCTION("""COMPUTED_VALUE"""),0.5714285714285714)</f>
        <v>0.5714285714</v>
      </c>
      <c r="I1282" s="86">
        <f>IFERROR(__xludf.DUMMYFUNCTION("""COMPUTED_VALUE"""),0.3780487804878048)</f>
        <v>0.3780487805</v>
      </c>
      <c r="J1282" s="82">
        <f>IFERROR(__xludf.DUMMYFUNCTION("""COMPUTED_VALUE"""),346.34285714285716)</f>
        <v>346.3428571</v>
      </c>
      <c r="K1282" s="82">
        <f>IFERROR(__xludf.DUMMYFUNCTION("""COMPUTED_VALUE"""),0.8857142857142857)</f>
        <v>0.8857142857</v>
      </c>
      <c r="L1282" s="82">
        <f>IFERROR(__xludf.DUMMYFUNCTION("""COMPUTED_VALUE"""),0.42857142857142855)</f>
        <v>0.4285714286</v>
      </c>
      <c r="M1282" s="82">
        <f>IFERROR(__xludf.DUMMYFUNCTION("""COMPUTED_VALUE"""),1.3714285714285714)</f>
        <v>1.371428571</v>
      </c>
      <c r="N1282" s="82">
        <f>IFERROR(__xludf.DUMMYFUNCTION("""COMPUTED_VALUE"""),2.342857142857143)</f>
        <v>2.342857143</v>
      </c>
      <c r="O1282" s="82">
        <f>IFERROR(__xludf.DUMMYFUNCTION("""COMPUTED_VALUE"""),349.0761904761905)</f>
        <v>349.0761905</v>
      </c>
      <c r="P1282" s="82">
        <f>IFERROR(__xludf.DUMMYFUNCTION("""COMPUTED_VALUE"""),0.7047619047619047)</f>
        <v>0.7047619048</v>
      </c>
      <c r="Q1282" s="82">
        <f>IFERROR(__xludf.DUMMYFUNCTION("""COMPUTED_VALUE"""),0.5238095238095237)</f>
        <v>0.5238095238</v>
      </c>
      <c r="R1282" s="82">
        <f>IFERROR(__xludf.DUMMYFUNCTION("""COMPUTED_VALUE"""),1.4666666666666666)</f>
        <v>1.466666667</v>
      </c>
      <c r="S1282" s="82">
        <f>IFERROR(__xludf.DUMMYFUNCTION("""COMPUTED_VALUE"""),2.314285714285714)</f>
        <v>2.314285714</v>
      </c>
      <c r="T1282" s="82">
        <f>IFERROR(__xludf.DUMMYFUNCTION("""COMPUTED_VALUE"""),347.637673693479)</f>
        <v>347.6376737</v>
      </c>
      <c r="U1282" s="82">
        <f>IFERROR(__xludf.DUMMYFUNCTION("""COMPUTED_VALUE"""),0.7408182446191715)</f>
        <v>0.7408182446</v>
      </c>
      <c r="V1282" s="82">
        <f>IFERROR(__xludf.DUMMYFUNCTION("""COMPUTED_VALUE"""),0.5664161835730189)</f>
        <v>0.5664161836</v>
      </c>
      <c r="W1282" s="82">
        <f>IFERROR(__xludf.DUMMYFUNCTION("""COMPUTED_VALUE"""),1.3628996841544327)</f>
        <v>1.362899684</v>
      </c>
      <c r="X1282" s="82">
        <f>IFERROR(__xludf.DUMMYFUNCTION("""COMPUTED_VALUE"""),2.486360745330496)</f>
        <v>2.486360745</v>
      </c>
      <c r="Y1282" s="82">
        <f>IFERROR(__xludf.DUMMYFUNCTION("""COMPUTED_VALUE"""),352.7272324344819)</f>
        <v>352.7272324</v>
      </c>
      <c r="Z1282" s="82">
        <f>IFERROR(__xludf.DUMMYFUNCTION("""COMPUTED_VALUE"""),0.7972790479800175)</f>
        <v>0.797279048</v>
      </c>
      <c r="AA1282" s="82">
        <f>IFERROR(__xludf.DUMMYFUNCTION("""COMPUTED_VALUE"""),0.5868266929033553)</f>
        <v>0.5868266929</v>
      </c>
      <c r="AB1282" s="82">
        <f>IFERROR(__xludf.DUMMYFUNCTION("""COMPUTED_VALUE"""),1.318094334224833)</f>
        <v>1.318094334</v>
      </c>
      <c r="AC1282" s="82">
        <f>IFERROR(__xludf.DUMMYFUNCTION("""COMPUTED_VALUE"""),2.693463224802574)</f>
        <v>2.693463225</v>
      </c>
      <c r="AD1282" s="82">
        <f>IFERROR(__xludf.DUMMYFUNCTION("""COMPUTED_VALUE"""),0.9818999648891282)</f>
        <v>0.9818999649</v>
      </c>
      <c r="AE1282" s="82">
        <f>IFERROR(__xludf.DUMMYFUNCTION("""COMPUTED_VALUE"""),1.1109213116264969)</f>
        <v>1.110921312</v>
      </c>
      <c r="AF1282" s="82">
        <f>IFERROR(__xludf.DUMMYFUNCTION("""COMPUTED_VALUE"""),0.7303202696030225)</f>
        <v>0.7303202696</v>
      </c>
      <c r="AG1282" s="82">
        <f>IFERROR(__xludf.DUMMYFUNCTION("""COMPUTED_VALUE"""),1.0404631412326828)</f>
        <v>1.040463141</v>
      </c>
      <c r="AH1282" s="82">
        <f>IFERROR(__xludf.DUMMYFUNCTION("""COMPUTED_VALUE"""),0.8698307522015157)</f>
        <v>0.8698307522</v>
      </c>
      <c r="AI1282" s="82">
        <f>IFERROR(__xludf.DUMMYFUNCTION("""COMPUTED_VALUE"""),1.0041379772434558)</f>
        <v>1.004137977</v>
      </c>
      <c r="AJ1282" s="82">
        <f>IFERROR(__xludf.DUMMYFUNCTION("""COMPUTED_VALUE"""),0.95132903364738)</f>
        <v>0.9513290336</v>
      </c>
      <c r="AK1282" s="82">
        <f>IFERROR(__xludf.DUMMYFUNCTION("""COMPUTED_VALUE"""),0.924778526816223)</f>
        <v>0.9247785268</v>
      </c>
      <c r="AL1282" s="82">
        <f>IFERROR(__xludf.DUMMYFUNCTION("""COMPUTED_VALUE"""),1.0761369187466008)</f>
        <v>1.076136919</v>
      </c>
      <c r="AM1282" s="82">
        <f>IFERROR(__xludf.DUMMYFUNCTION("""COMPUTED_VALUE"""),0.9307924116128575)</f>
        <v>0.9307924116</v>
      </c>
      <c r="AN1282" s="82">
        <f>IFERROR(__xludf.DUMMYFUNCTION("""COMPUTED_VALUE"""),1.00185120500673)</f>
        <v>1.001851205</v>
      </c>
      <c r="AO1282" s="82">
        <f>IFERROR(__xludf.DUMMYFUNCTION("""COMPUTED_VALUE"""),1.1722574194774356)</f>
        <v>1.172257419</v>
      </c>
      <c r="AP1282" s="82">
        <f>IFERROR(__xludf.DUMMYFUNCTION("""COMPUTED_VALUE"""),0.7710094200599541)</f>
        <v>0.7710094201</v>
      </c>
      <c r="AQ1282" s="82">
        <f>IFERROR(__xludf.DUMMYFUNCTION("""COMPUTED_VALUE"""),1.0136424107934778)</f>
        <v>1.013642411</v>
      </c>
      <c r="AR1282" s="82">
        <f>IFERROR(__xludf.DUMMYFUNCTION("""COMPUTED_VALUE"""),0.9189430277726846)</f>
        <v>0.9189430278</v>
      </c>
      <c r="AS1282" s="82">
        <f>IFERROR(__xludf.DUMMYFUNCTION("""COMPUTED_VALUE"""),95.0)</f>
        <v>95</v>
      </c>
      <c r="AT1282" s="82">
        <f>IFERROR(__xludf.DUMMYFUNCTION("""COMPUTED_VALUE"""),0.596890736989982)</f>
        <v>0.596890737</v>
      </c>
      <c r="AU1282" s="82">
        <f>IFERROR(__xludf.DUMMYFUNCTION("""COMPUTED_VALUE"""),1.866295352157493)</f>
        <v>1.866295352</v>
      </c>
      <c r="AV1282" s="82">
        <f>IFERROR(__xludf.DUMMYFUNCTION("""COMPUTED_VALUE"""),51.93796101285915)</f>
        <v>51.93796101</v>
      </c>
      <c r="AW1282" s="82">
        <f t="shared" si="1"/>
        <v>2.131716362</v>
      </c>
      <c r="AX1282" s="83">
        <f t="array" ref="AX1282">IFERROR(DGET('SBV Import'!A:G,"SBV",{"RSC ID","Tier";B1282,A1282}))</f>
        <v>42.08597847</v>
      </c>
      <c r="AY1282" s="82">
        <f t="shared" si="2"/>
        <v>-2.661071896</v>
      </c>
      <c r="AZ1282" s="82">
        <v>4.792788258000098</v>
      </c>
      <c r="BA1282" s="84">
        <v>1200.0</v>
      </c>
      <c r="BB1282" s="84" t="b">
        <f>IFERROR(__xludf.DUMMYFUNCTION("iferror(if(A1282="""",,E1282&gt;=FILTER(Constants!$F$2:$F$10,Constants!$A$2:$A$10=A1282)))"),TRUE)</f>
        <v>1</v>
      </c>
    </row>
    <row r="1283">
      <c r="A1283" s="89" t="str">
        <f>IFERROR(__xludf.DUMMYFUNCTION("""COMPUTED_VALUE"""),"Veteran")</f>
        <v>Veteran</v>
      </c>
      <c r="B1283" s="87" t="str">
        <f>IFERROR(__xludf.DUMMYFUNCTION("""COMPUTED_VALUE"""),"RSC003405")</f>
        <v>RSC003405</v>
      </c>
      <c r="C1283" s="73" t="str">
        <f>IFERROR(__xludf.DUMMYFUNCTION("""COMPUTED_VALUE"""),"Shai")</f>
        <v>Shai</v>
      </c>
      <c r="D1283" s="73" t="str">
        <f>IFERROR(__xludf.DUMMYFUNCTION("""COMPUTED_VALUE"""),"Werewolves")</f>
        <v>Werewolves</v>
      </c>
      <c r="E1283" s="82">
        <f>IFERROR(__xludf.DUMMYFUNCTION("""COMPUTED_VALUE"""),26.0)</f>
        <v>26</v>
      </c>
      <c r="F1283" s="82">
        <f>IFERROR(__xludf.DUMMYFUNCTION("""COMPUTED_VALUE"""),10.0)</f>
        <v>10</v>
      </c>
      <c r="G1283" s="86">
        <f>IFERROR(__xludf.DUMMYFUNCTION("""COMPUTED_VALUE"""),16.0)</f>
        <v>16</v>
      </c>
      <c r="H1283" s="86">
        <f>IFERROR(__xludf.DUMMYFUNCTION("""COMPUTED_VALUE"""),0.38461538461538464)</f>
        <v>0.3846153846</v>
      </c>
      <c r="I1283" s="86">
        <f>IFERROR(__xludf.DUMMYFUNCTION("""COMPUTED_VALUE"""),0.30136986301369867)</f>
        <v>0.301369863</v>
      </c>
      <c r="J1283" s="82">
        <f>IFERROR(__xludf.DUMMYFUNCTION("""COMPUTED_VALUE"""),344.53846153846155)</f>
        <v>344.5384615</v>
      </c>
      <c r="K1283" s="82">
        <f>IFERROR(__xludf.DUMMYFUNCTION("""COMPUTED_VALUE"""),0.8461538461538461)</f>
        <v>0.8461538462</v>
      </c>
      <c r="L1283" s="82">
        <f>IFERROR(__xludf.DUMMYFUNCTION("""COMPUTED_VALUE"""),0.4230769230769231)</f>
        <v>0.4230769231</v>
      </c>
      <c r="M1283" s="82">
        <f>IFERROR(__xludf.DUMMYFUNCTION("""COMPUTED_VALUE"""),1.3461538461538463)</f>
        <v>1.346153846</v>
      </c>
      <c r="N1283" s="82">
        <f>IFERROR(__xludf.DUMMYFUNCTION("""COMPUTED_VALUE"""),2.8076923076923075)</f>
        <v>2.807692308</v>
      </c>
      <c r="O1283" s="82">
        <f>IFERROR(__xludf.DUMMYFUNCTION("""COMPUTED_VALUE"""),386.3974358974359)</f>
        <v>386.3974359</v>
      </c>
      <c r="P1283" s="82">
        <f>IFERROR(__xludf.DUMMYFUNCTION("""COMPUTED_VALUE"""),0.9230769230769234)</f>
        <v>0.9230769231</v>
      </c>
      <c r="Q1283" s="82">
        <f>IFERROR(__xludf.DUMMYFUNCTION("""COMPUTED_VALUE"""),0.6538461538461539)</f>
        <v>0.6538461538</v>
      </c>
      <c r="R1283" s="82">
        <f>IFERROR(__xludf.DUMMYFUNCTION("""COMPUTED_VALUE"""),1.551282051282051)</f>
        <v>1.551282051</v>
      </c>
      <c r="S1283" s="82">
        <f>IFERROR(__xludf.DUMMYFUNCTION("""COMPUTED_VALUE"""),2.5641025641025643)</f>
        <v>2.564102564</v>
      </c>
      <c r="T1283" s="82">
        <f>IFERROR(__xludf.DUMMYFUNCTION("""COMPUTED_VALUE"""),356.9377052505697)</f>
        <v>356.9377053</v>
      </c>
      <c r="U1283" s="82">
        <f>IFERROR(__xludf.DUMMYFUNCTION("""COMPUTED_VALUE"""),0.8253066647920863)</f>
        <v>0.8253066648</v>
      </c>
      <c r="V1283" s="82">
        <f>IFERROR(__xludf.DUMMYFUNCTION("""COMPUTED_VALUE"""),0.5866860035801696)</f>
        <v>0.5866860036</v>
      </c>
      <c r="W1283" s="82">
        <f>IFERROR(__xludf.DUMMYFUNCTION("""COMPUTED_VALUE"""),1.3620843450765467)</f>
        <v>1.362084345</v>
      </c>
      <c r="X1283" s="82">
        <f>IFERROR(__xludf.DUMMYFUNCTION("""COMPUTED_VALUE"""),2.6751966297964835)</f>
        <v>2.67519663</v>
      </c>
      <c r="Y1283" s="82">
        <f>IFERROR(__xludf.DUMMYFUNCTION("""COMPUTED_VALUE"""),345.56294308794963)</f>
        <v>345.5629431</v>
      </c>
      <c r="Z1283" s="82">
        <f>IFERROR(__xludf.DUMMYFUNCTION("""COMPUTED_VALUE"""),0.7344357275841168)</f>
        <v>0.7344357276</v>
      </c>
      <c r="AA1283" s="82">
        <f>IFERROR(__xludf.DUMMYFUNCTION("""COMPUTED_VALUE"""),0.527875778542296)</f>
        <v>0.5278757785</v>
      </c>
      <c r="AB1283" s="82">
        <f>IFERROR(__xludf.DUMMYFUNCTION("""COMPUTED_VALUE"""),1.372017083832593)</f>
        <v>1.372017084</v>
      </c>
      <c r="AC1283" s="82">
        <f>IFERROR(__xludf.DUMMYFUNCTION("""COMPUTED_VALUE"""),2.525302975563954)</f>
        <v>2.525302976</v>
      </c>
      <c r="AD1283" s="82">
        <f>IFERROR(__xludf.DUMMYFUNCTION("""COMPUTED_VALUE"""),0.9970353257778936)</f>
        <v>0.9970353258</v>
      </c>
      <c r="AE1283" s="82">
        <f>IFERROR(__xludf.DUMMYFUNCTION("""COMPUTED_VALUE"""),1.1521142209914264)</f>
        <v>1.152114221</v>
      </c>
      <c r="AF1283" s="82">
        <f>IFERROR(__xludf.DUMMYFUNCTION("""COMPUTED_VALUE"""),0.8014706115996267)</f>
        <v>0.8014706116</v>
      </c>
      <c r="AG1283" s="82">
        <f>IFERROR(__xludf.DUMMYFUNCTION("""COMPUTED_VALUE"""),0.9811494783967993)</f>
        <v>0.9811494784</v>
      </c>
      <c r="AH1283" s="82">
        <f>IFERROR(__xludf.DUMMYFUNCTION("""COMPUTED_VALUE"""),1.1118239414679698)</f>
        <v>1.111823941</v>
      </c>
      <c r="AI1283" s="82">
        <f>IFERROR(__xludf.DUMMYFUNCTION("""COMPUTED_VALUE"""),1.0825346558055151)</f>
        <v>1.082534656</v>
      </c>
      <c r="AJ1283" s="82">
        <f>IFERROR(__xludf.DUMMYFUNCTION("""COMPUTED_VALUE"""),1.1184653686390231)</f>
        <v>1.118465369</v>
      </c>
      <c r="AK1283" s="82">
        <f>IFERROR(__xludf.DUMMYFUNCTION("""COMPUTED_VALUE"""),1.1144737557333033)</f>
        <v>1.114473756</v>
      </c>
      <c r="AL1283" s="82">
        <f>IFERROR(__xludf.DUMMYFUNCTION("""COMPUTED_VALUE"""),1.1389030766629007)</f>
        <v>1.138903077</v>
      </c>
      <c r="AM1283" s="82">
        <f>IFERROR(__xludf.DUMMYFUNCTION("""COMPUTED_VALUE"""),0.9584725606871108)</f>
        <v>0.9584725607</v>
      </c>
      <c r="AN1283" s="82">
        <f>IFERROR(__xludf.DUMMYFUNCTION("""COMPUTED_VALUE"""),0.996631706832333)</f>
        <v>0.9966317068</v>
      </c>
      <c r="AO1283" s="82">
        <f>IFERROR(__xludf.DUMMYFUNCTION("""COMPUTED_VALUE"""),1.1198985272923394)</f>
        <v>1.119898527</v>
      </c>
      <c r="AP1283" s="82">
        <f>IFERROR(__xludf.DUMMYFUNCTION("""COMPUTED_VALUE"""),0.7611246839053394)</f>
        <v>0.7611246839</v>
      </c>
      <c r="AQ1283" s="82">
        <f>IFERROR(__xludf.DUMMYFUNCTION("""COMPUTED_VALUE"""),0.994961500979175)</f>
        <v>0.994961501</v>
      </c>
      <c r="AR1283" s="82">
        <f>IFERROR(__xludf.DUMMYFUNCTION("""COMPUTED_VALUE"""),1.1012661519508484)</f>
        <v>1.101266152</v>
      </c>
      <c r="AS1283" s="82">
        <f>IFERROR(__xludf.DUMMYFUNCTION("""COMPUTED_VALUE"""),55.0)</f>
        <v>55</v>
      </c>
      <c r="AT1283" s="82">
        <f>IFERROR(__xludf.DUMMYFUNCTION("""COMPUTED_VALUE"""),0.39541565061213135)</f>
        <v>0.3954156506</v>
      </c>
      <c r="AU1283" s="82">
        <f>IFERROR(__xludf.DUMMYFUNCTION("""COMPUTED_VALUE"""),1.857529091498575)</f>
        <v>1.857529091</v>
      </c>
      <c r="AV1283" s="82">
        <f>IFERROR(__xludf.DUMMYFUNCTION("""COMPUTED_VALUE"""),51.6245488400435)</f>
        <v>51.62454884</v>
      </c>
      <c r="AW1283" s="82">
        <f t="shared" si="1"/>
        <v>2.109285524</v>
      </c>
      <c r="AX1283" s="83">
        <f t="array" ref="AX1283">IFERROR(DGET('SBV Import'!A:G,"SBV",{"RSC ID","Tier";B1283,A1283}))</f>
        <v>46.32570584</v>
      </c>
      <c r="AY1283" s="82">
        <f t="shared" si="2"/>
        <v>-2.264609919</v>
      </c>
      <c r="AZ1283" s="82">
        <v>4.373895442825089</v>
      </c>
      <c r="BA1283" s="84">
        <v>1200.0</v>
      </c>
      <c r="BB1283" s="84" t="b">
        <f>IFERROR(__xludf.DUMMYFUNCTION("iferror(if(A1283="""",,E1283&gt;=FILTER(Constants!$F$2:$F$10,Constants!$A$2:$A$10=A1283)))"),TRUE)</f>
        <v>1</v>
      </c>
    </row>
    <row r="1284">
      <c r="A1284" s="89" t="str">
        <f>IFERROR(__xludf.DUMMYFUNCTION("""COMPUTED_VALUE"""),"Veteran")</f>
        <v>Veteran</v>
      </c>
      <c r="B1284" s="87" t="str">
        <f>IFERROR(__xludf.DUMMYFUNCTION("""COMPUTED_VALUE"""),"RSC007936")</f>
        <v>RSC007936</v>
      </c>
      <c r="C1284" s="73" t="str">
        <f>IFERROR(__xludf.DUMMYFUNCTION("""COMPUTED_VALUE"""),"Crazics")</f>
        <v>Crazics</v>
      </c>
      <c r="D1284" s="73" t="str">
        <f>IFERROR(__xludf.DUMMYFUNCTION("""COMPUTED_VALUE"""),"Gouda Gangsters")</f>
        <v>Gouda Gangsters</v>
      </c>
      <c r="E1284" s="82">
        <f>IFERROR(__xludf.DUMMYFUNCTION("""COMPUTED_VALUE"""),41.0)</f>
        <v>41</v>
      </c>
      <c r="F1284" s="82">
        <f>IFERROR(__xludf.DUMMYFUNCTION("""COMPUTED_VALUE"""),17.0)</f>
        <v>17</v>
      </c>
      <c r="G1284" s="86">
        <f>IFERROR(__xludf.DUMMYFUNCTION("""COMPUTED_VALUE"""),24.0)</f>
        <v>24</v>
      </c>
      <c r="H1284" s="86">
        <f>IFERROR(__xludf.DUMMYFUNCTION("""COMPUTED_VALUE"""),0.4146341463414634)</f>
        <v>0.4146341463</v>
      </c>
      <c r="I1284" s="86">
        <f>IFERROR(__xludf.DUMMYFUNCTION("""COMPUTED_VALUE"""),0.25862068965517243)</f>
        <v>0.2586206897</v>
      </c>
      <c r="J1284" s="82">
        <f>IFERROR(__xludf.DUMMYFUNCTION("""COMPUTED_VALUE"""),338.0)</f>
        <v>338</v>
      </c>
      <c r="K1284" s="82">
        <f>IFERROR(__xludf.DUMMYFUNCTION("""COMPUTED_VALUE"""),0.7317073170731707)</f>
        <v>0.7317073171</v>
      </c>
      <c r="L1284" s="82">
        <f>IFERROR(__xludf.DUMMYFUNCTION("""COMPUTED_VALUE"""),0.6341463414634146)</f>
        <v>0.6341463415</v>
      </c>
      <c r="M1284" s="82">
        <f>IFERROR(__xludf.DUMMYFUNCTION("""COMPUTED_VALUE"""),1.2926829268292683)</f>
        <v>1.292682927</v>
      </c>
      <c r="N1284" s="82">
        <f>IFERROR(__xludf.DUMMYFUNCTION("""COMPUTED_VALUE"""),2.8292682926829267)</f>
        <v>2.829268293</v>
      </c>
      <c r="O1284" s="82">
        <f>IFERROR(__xludf.DUMMYFUNCTION("""COMPUTED_VALUE"""),377.3170731707317)</f>
        <v>377.3170732</v>
      </c>
      <c r="P1284" s="82">
        <f>IFERROR(__xludf.DUMMYFUNCTION("""COMPUTED_VALUE"""),0.926829268292683)</f>
        <v>0.9268292683</v>
      </c>
      <c r="Q1284" s="82">
        <f>IFERROR(__xludf.DUMMYFUNCTION("""COMPUTED_VALUE"""),0.7479674796747967)</f>
        <v>0.7479674797</v>
      </c>
      <c r="R1284" s="82">
        <f>IFERROR(__xludf.DUMMYFUNCTION("""COMPUTED_VALUE"""),1.3333333333333333)</f>
        <v>1.333333333</v>
      </c>
      <c r="S1284" s="82">
        <f>IFERROR(__xludf.DUMMYFUNCTION("""COMPUTED_VALUE"""),2.512195121951219)</f>
        <v>2.512195122</v>
      </c>
      <c r="T1284" s="82">
        <f>IFERROR(__xludf.DUMMYFUNCTION("""COMPUTED_VALUE"""),356.6740446619445)</f>
        <v>356.6740447</v>
      </c>
      <c r="U1284" s="82">
        <f>IFERROR(__xludf.DUMMYFUNCTION("""COMPUTED_VALUE"""),0.8101966838276862)</f>
        <v>0.8101966838</v>
      </c>
      <c r="V1284" s="82">
        <f>IFERROR(__xludf.DUMMYFUNCTION("""COMPUTED_VALUE"""),0.5598768455044331)</f>
        <v>0.5598768455</v>
      </c>
      <c r="W1284" s="82">
        <f>IFERROR(__xludf.DUMMYFUNCTION("""COMPUTED_VALUE"""),1.3604878392859683)</f>
        <v>1.360487839</v>
      </c>
      <c r="X1284" s="82">
        <f>IFERROR(__xludf.DUMMYFUNCTION("""COMPUTED_VALUE"""),2.6415736457330814)</f>
        <v>2.641573646</v>
      </c>
      <c r="Y1284" s="82">
        <f>IFERROR(__xludf.DUMMYFUNCTION("""COMPUTED_VALUE"""),349.25168589840797)</f>
        <v>349.2516859</v>
      </c>
      <c r="Z1284" s="82">
        <f>IFERROR(__xludf.DUMMYFUNCTION("""COMPUTED_VALUE"""),0.7615802147116301)</f>
        <v>0.7615802147</v>
      </c>
      <c r="AA1284" s="82">
        <f>IFERROR(__xludf.DUMMYFUNCTION("""COMPUTED_VALUE"""),0.5632771526394658)</f>
        <v>0.5632771526</v>
      </c>
      <c r="AB1284" s="82">
        <f>IFERROR(__xludf.DUMMYFUNCTION("""COMPUTED_VALUE"""),1.3421961657850139)</f>
        <v>1.342196166</v>
      </c>
      <c r="AC1284" s="82">
        <f>IFERROR(__xludf.DUMMYFUNCTION("""COMPUTED_VALUE"""),2.608735095791454)</f>
        <v>2.608735096</v>
      </c>
      <c r="AD1284" s="82">
        <f>IFERROR(__xludf.DUMMYFUNCTION("""COMPUTED_VALUE"""),0.9677834457134706)</f>
        <v>0.9677834457</v>
      </c>
      <c r="AE1284" s="82">
        <f>IFERROR(__xludf.DUMMYFUNCTION("""COMPUTED_VALUE"""),0.9607751132954909)</f>
        <v>0.9607751133</v>
      </c>
      <c r="AF1284" s="82">
        <f>IFERROR(__xludf.DUMMYFUNCTION("""COMPUTED_VALUE"""),1.1258158412636874)</f>
        <v>1.125815841</v>
      </c>
      <c r="AG1284" s="82">
        <f>IFERROR(__xludf.DUMMYFUNCTION("""COMPUTED_VALUE"""),0.9631102813300121)</f>
        <v>0.9631102813</v>
      </c>
      <c r="AH1284" s="82">
        <f>IFERROR(__xludf.DUMMYFUNCTION("""COMPUTED_VALUE"""),1.084536447279468)</f>
        <v>1.084536447</v>
      </c>
      <c r="AI1284" s="82">
        <f>IFERROR(__xludf.DUMMYFUNCTION("""COMPUTED_VALUE"""),1.0578764527941826)</f>
        <v>1.057876453</v>
      </c>
      <c r="AJ1284" s="82">
        <f>IFERROR(__xludf.DUMMYFUNCTION("""COMPUTED_VALUE"""),1.1439558897155426)</f>
        <v>1.14395589</v>
      </c>
      <c r="AK1284" s="82">
        <f>IFERROR(__xludf.DUMMYFUNCTION("""COMPUTED_VALUE"""),1.3359500141515932)</f>
        <v>1.335950014</v>
      </c>
      <c r="AL1284" s="82">
        <f>IFERROR(__xludf.DUMMYFUNCTION("""COMPUTED_VALUE"""),0.9800406110451626)</f>
        <v>0.980040611</v>
      </c>
      <c r="AM1284" s="82">
        <f>IFERROR(__xludf.DUMMYFUNCTION("""COMPUTED_VALUE"""),0.9510221780146668)</f>
        <v>0.951022178</v>
      </c>
      <c r="AN1284" s="82">
        <f>IFERROR(__xludf.DUMMYFUNCTION("""COMPUTED_VALUE"""),0.9777181781248653)</f>
        <v>0.9777181781</v>
      </c>
      <c r="AO1284" s="82">
        <f>IFERROR(__xludf.DUMMYFUNCTION("""COMPUTED_VALUE"""),0.9684266643991404)</f>
        <v>0.9684266644</v>
      </c>
      <c r="AP1284" s="82">
        <f>IFERROR(__xludf.DUMMYFUNCTION("""COMPUTED_VALUE"""),1.140843206917981)</f>
        <v>1.140843207</v>
      </c>
      <c r="AQ1284" s="82">
        <f>IFERROR(__xludf.DUMMYFUNCTION("""COMPUTED_VALUE"""),0.9554403821249499)</f>
        <v>0.9554403821</v>
      </c>
      <c r="AR1284" s="82">
        <f>IFERROR(__xludf.DUMMYFUNCTION("""COMPUTED_VALUE"""),1.1097289389521412)</f>
        <v>1.109728939</v>
      </c>
      <c r="AS1284" s="82">
        <f>IFERROR(__xludf.DUMMYFUNCTION("""COMPUTED_VALUE"""),86.0)</f>
        <v>86</v>
      </c>
      <c r="AT1284" s="82">
        <f>IFERROR(__xludf.DUMMYFUNCTION("""COMPUTED_VALUE"""),0.3907484649546639)</f>
        <v>0.390748465</v>
      </c>
      <c r="AU1284" s="82">
        <f>IFERROR(__xludf.DUMMYFUNCTION("""COMPUTED_VALUE"""),1.8217728419797037)</f>
        <v>1.821772842</v>
      </c>
      <c r="AV1284" s="82">
        <f>IFERROR(__xludf.DUMMYFUNCTION("""COMPUTED_VALUE"""),50.346188055499944)</f>
        <v>50.34618806</v>
      </c>
      <c r="AW1284" s="82">
        <f t="shared" si="1"/>
        <v>2.022343603</v>
      </c>
      <c r="AX1284" s="83">
        <f t="array" ref="AX1284">IFERROR(DGET('SBV Import'!A:G,"SBV",{"RSC ID","Tier";B1284,A1284}))</f>
        <v>52.37254264</v>
      </c>
      <c r="AY1284" s="82">
        <f t="shared" si="2"/>
        <v>2.16358217</v>
      </c>
      <c r="AZ1284" s="82">
        <v>0.14123856714158212</v>
      </c>
      <c r="BA1284" s="84">
        <v>1200.0</v>
      </c>
      <c r="BB1284" s="84" t="b">
        <f>IFERROR(__xludf.DUMMYFUNCTION("iferror(if(A1284="""",,E1284&gt;=FILTER(Constants!$F$2:$F$10,Constants!$A$2:$A$10=A1284)))"),TRUE)</f>
        <v>1</v>
      </c>
    </row>
    <row r="1285">
      <c r="A1285" s="89" t="str">
        <f>IFERROR(__xludf.DUMMYFUNCTION("""COMPUTED_VALUE"""),"Veteran")</f>
        <v>Veteran</v>
      </c>
      <c r="B1285" s="87" t="str">
        <f>IFERROR(__xludf.DUMMYFUNCTION("""COMPUTED_VALUE"""),"RSC006290")</f>
        <v>RSC006290</v>
      </c>
      <c r="C1285" s="73" t="str">
        <f>IFERROR(__xludf.DUMMYFUNCTION("""COMPUTED_VALUE"""),"Dirt D Dan")</f>
        <v>Dirt D Dan</v>
      </c>
      <c r="D1285" s="73" t="str">
        <f>IFERROR(__xludf.DUMMYFUNCTION("""COMPUTED_VALUE"""),"Blacksmiths")</f>
        <v>Blacksmiths</v>
      </c>
      <c r="E1285" s="82">
        <f>IFERROR(__xludf.DUMMYFUNCTION("""COMPUTED_VALUE"""),48.0)</f>
        <v>48</v>
      </c>
      <c r="F1285" s="82">
        <f>IFERROR(__xludf.DUMMYFUNCTION("""COMPUTED_VALUE"""),23.0)</f>
        <v>23</v>
      </c>
      <c r="G1285" s="86">
        <f>IFERROR(__xludf.DUMMYFUNCTION("""COMPUTED_VALUE"""),25.0)</f>
        <v>25</v>
      </c>
      <c r="H1285" s="86">
        <f>IFERROR(__xludf.DUMMYFUNCTION("""COMPUTED_VALUE"""),0.4791666666666667)</f>
        <v>0.4791666667</v>
      </c>
      <c r="I1285" s="86">
        <f>IFERROR(__xludf.DUMMYFUNCTION("""COMPUTED_VALUE"""),0.2713178294573643)</f>
        <v>0.2713178295</v>
      </c>
      <c r="J1285" s="82">
        <f>IFERROR(__xludf.DUMMYFUNCTION("""COMPUTED_VALUE"""),352.9375)</f>
        <v>352.9375</v>
      </c>
      <c r="K1285" s="82">
        <f>IFERROR(__xludf.DUMMYFUNCTION("""COMPUTED_VALUE"""),0.7291666666666666)</f>
        <v>0.7291666667</v>
      </c>
      <c r="L1285" s="82">
        <f>IFERROR(__xludf.DUMMYFUNCTION("""COMPUTED_VALUE"""),0.5416666666666666)</f>
        <v>0.5416666667</v>
      </c>
      <c r="M1285" s="82">
        <f>IFERROR(__xludf.DUMMYFUNCTION("""COMPUTED_VALUE"""),1.2708333333333333)</f>
        <v>1.270833333</v>
      </c>
      <c r="N1285" s="82">
        <f>IFERROR(__xludf.DUMMYFUNCTION("""COMPUTED_VALUE"""),2.6875)</f>
        <v>2.6875</v>
      </c>
      <c r="O1285" s="82">
        <f>IFERROR(__xludf.DUMMYFUNCTION("""COMPUTED_VALUE"""),373.4097222222222)</f>
        <v>373.4097222</v>
      </c>
      <c r="P1285" s="82">
        <f>IFERROR(__xludf.DUMMYFUNCTION("""COMPUTED_VALUE"""),0.8055555555555555)</f>
        <v>0.8055555556</v>
      </c>
      <c r="Q1285" s="82">
        <f>IFERROR(__xludf.DUMMYFUNCTION("""COMPUTED_VALUE"""),0.6666666666666669)</f>
        <v>0.6666666667</v>
      </c>
      <c r="R1285" s="82">
        <f>IFERROR(__xludf.DUMMYFUNCTION("""COMPUTED_VALUE"""),1.5069444444444444)</f>
        <v>1.506944444</v>
      </c>
      <c r="S1285" s="82">
        <f>IFERROR(__xludf.DUMMYFUNCTION("""COMPUTED_VALUE"""),2.611111111111111)</f>
        <v>2.611111111</v>
      </c>
      <c r="T1285" s="82">
        <f>IFERROR(__xludf.DUMMYFUNCTION("""COMPUTED_VALUE"""),357.02123896102694)</f>
        <v>357.021239</v>
      </c>
      <c r="U1285" s="82">
        <f>IFERROR(__xludf.DUMMYFUNCTION("""COMPUTED_VALUE"""),0.7919311933489458)</f>
        <v>0.7919311933</v>
      </c>
      <c r="V1285" s="82">
        <f>IFERROR(__xludf.DUMMYFUNCTION("""COMPUTED_VALUE"""),0.6092822948703255)</f>
        <v>0.6092822949</v>
      </c>
      <c r="W1285" s="82">
        <f>IFERROR(__xludf.DUMMYFUNCTION("""COMPUTED_VALUE"""),1.3943947876416338)</f>
        <v>1.394394788</v>
      </c>
      <c r="X1285" s="82">
        <f>IFERROR(__xludf.DUMMYFUNCTION("""COMPUTED_VALUE"""),2.6457339781647913)</f>
        <v>2.645733978</v>
      </c>
      <c r="Y1285" s="82">
        <f>IFERROR(__xludf.DUMMYFUNCTION("""COMPUTED_VALUE"""),352.06825424350615)</f>
        <v>352.0682542</v>
      </c>
      <c r="Z1285" s="82">
        <f>IFERROR(__xludf.DUMMYFUNCTION("""COMPUTED_VALUE"""),0.7970016630555768)</f>
        <v>0.7970016631</v>
      </c>
      <c r="AA1285" s="82">
        <f>IFERROR(__xludf.DUMMYFUNCTION("""COMPUTED_VALUE"""),0.5664475992793223)</f>
        <v>0.5664475993</v>
      </c>
      <c r="AB1285" s="82">
        <f>IFERROR(__xludf.DUMMYFUNCTION("""COMPUTED_VALUE"""),1.3392497398649674)</f>
        <v>1.33924974</v>
      </c>
      <c r="AC1285" s="82">
        <f>IFERROR(__xludf.DUMMYFUNCTION("""COMPUTED_VALUE"""),2.6258586041192054)</f>
        <v>2.625858604</v>
      </c>
      <c r="AD1285" s="82">
        <f>IFERROR(__xludf.DUMMYFUNCTION("""COMPUTED_VALUE"""),1.0024689694285605)</f>
        <v>1.002468969</v>
      </c>
      <c r="AE1285" s="82">
        <f>IFERROR(__xludf.DUMMYFUNCTION("""COMPUTED_VALUE"""),0.9148872586678908)</f>
        <v>0.9148872587</v>
      </c>
      <c r="AF1285" s="82">
        <f>IFERROR(__xludf.DUMMYFUNCTION("""COMPUTED_VALUE"""),0.9562520299420743)</f>
        <v>0.9562520299</v>
      </c>
      <c r="AG1285" s="82">
        <f>IFERROR(__xludf.DUMMYFUNCTION("""COMPUTED_VALUE"""),0.9489143775838759)</f>
        <v>0.9489143776</v>
      </c>
      <c r="AH1285" s="82">
        <f>IFERROR(__xludf.DUMMYFUNCTION("""COMPUTED_VALUE"""),1.023474758231116)</f>
        <v>1.023474758</v>
      </c>
      <c r="AI1285" s="82">
        <f>IFERROR(__xludf.DUMMYFUNCTION("""COMPUTED_VALUE"""),1.0459033846526544)</f>
        <v>1.045903385</v>
      </c>
      <c r="AJ1285" s="82">
        <f>IFERROR(__xludf.DUMMYFUNCTION("""COMPUTED_VALUE"""),1.0172039721645443)</f>
        <v>1.017203972</v>
      </c>
      <c r="AK1285" s="82">
        <f>IFERROR(__xludf.DUMMYFUNCTION("""COMPUTED_VALUE"""),1.0941835537967743)</f>
        <v>1.094183554</v>
      </c>
      <c r="AL1285" s="82">
        <f>IFERROR(__xludf.DUMMYFUNCTION("""COMPUTED_VALUE"""),1.0807157756184445)</f>
        <v>1.080715776</v>
      </c>
      <c r="AM1285" s="82">
        <f>IFERROR(__xludf.DUMMYFUNCTION("""COMPUTED_VALUE"""),0.9869137005687563)</f>
        <v>0.9869137006</v>
      </c>
      <c r="AN1285" s="82">
        <f>IFERROR(__xludf.DUMMYFUNCTION("""COMPUTED_VALUE"""),1.0209272470175876)</f>
        <v>1.020927247</v>
      </c>
      <c r="AO1285" s="82">
        <f>IFERROR(__xludf.DUMMYFUNCTION("""COMPUTED_VALUE"""),0.9650640718144211)</f>
        <v>0.9650640718</v>
      </c>
      <c r="AP1285" s="82">
        <f>IFERROR(__xludf.DUMMYFUNCTION("""COMPUTED_VALUE"""),0.974470239242442)</f>
        <v>0.9744702392</v>
      </c>
      <c r="AQ1285" s="82">
        <f>IFERROR(__xludf.DUMMYFUNCTION("""COMPUTED_VALUE"""),0.9392910360434353)</f>
        <v>0.939291036</v>
      </c>
      <c r="AR1285" s="82">
        <f>IFERROR(__xludf.DUMMYFUNCTION("""COMPUTED_VALUE"""),1.0541229091447335)</f>
        <v>1.054122909</v>
      </c>
      <c r="AS1285" s="82">
        <f>IFERROR(__xludf.DUMMYFUNCTION("""COMPUTED_VALUE"""),116.0)</f>
        <v>116</v>
      </c>
      <c r="AT1285" s="82">
        <f>IFERROR(__xludf.DUMMYFUNCTION("""COMPUTED_VALUE"""),0.5)</f>
        <v>0.5</v>
      </c>
      <c r="AU1285" s="82">
        <f>IFERROR(__xludf.DUMMYFUNCTION("""COMPUTED_VALUE"""),1.8078172681171207)</f>
        <v>1.807817268</v>
      </c>
      <c r="AV1285" s="82">
        <f>IFERROR(__xludf.DUMMYFUNCTION("""COMPUTED_VALUE"""),49.84724707058732)</f>
        <v>49.84724707</v>
      </c>
      <c r="AW1285" s="82">
        <f t="shared" si="1"/>
        <v>-2.009798042</v>
      </c>
      <c r="AX1285" s="83">
        <f t="array" ref="AX1285">IFERROR(DGET('SBV Import'!A:G,"SBV",{"RSC ID","Tier";B1285,A1285}))</f>
        <v>49.052256</v>
      </c>
      <c r="AY1285" s="82">
        <f t="shared" si="2"/>
        <v>-2.06236673</v>
      </c>
      <c r="AZ1285" s="82">
        <v>0.05256868795707481</v>
      </c>
      <c r="BA1285" s="84">
        <v>1200.0</v>
      </c>
      <c r="BB1285" s="84" t="b">
        <f>IFERROR(__xludf.DUMMYFUNCTION("iferror(if(A1285="""",,E1285&gt;=FILTER(Constants!$F$2:$F$10,Constants!$A$2:$A$10=A1285)))"),TRUE)</f>
        <v>1</v>
      </c>
    </row>
    <row r="1286">
      <c r="A1286" s="89" t="str">
        <f>IFERROR(__xludf.DUMMYFUNCTION("""COMPUTED_VALUE"""),"Veteran")</f>
        <v>Veteran</v>
      </c>
      <c r="B1286" s="87" t="str">
        <f>IFERROR(__xludf.DUMMYFUNCTION("""COMPUTED_VALUE"""),"RSC007231")</f>
        <v>RSC007231</v>
      </c>
      <c r="C1286" s="73" t="str">
        <f>IFERROR(__xludf.DUMMYFUNCTION("""COMPUTED_VALUE"""),"BlitzzyG")</f>
        <v>BlitzzyG</v>
      </c>
      <c r="D1286" s="73" t="str">
        <f>IFERROR(__xludf.DUMMYFUNCTION("""COMPUTED_VALUE"""),"Silver Dollar")</f>
        <v>Silver Dollar</v>
      </c>
      <c r="E1286" s="82">
        <f>IFERROR(__xludf.DUMMYFUNCTION("""COMPUTED_VALUE"""),28.0)</f>
        <v>28</v>
      </c>
      <c r="F1286" s="82">
        <f>IFERROR(__xludf.DUMMYFUNCTION("""COMPUTED_VALUE"""),17.0)</f>
        <v>17</v>
      </c>
      <c r="G1286" s="86">
        <f>IFERROR(__xludf.DUMMYFUNCTION("""COMPUTED_VALUE"""),11.0)</f>
        <v>11</v>
      </c>
      <c r="H1286" s="86">
        <f>IFERROR(__xludf.DUMMYFUNCTION("""COMPUTED_VALUE"""),0.6071428571428571)</f>
        <v>0.6071428571</v>
      </c>
      <c r="I1286" s="86">
        <f>IFERROR(__xludf.DUMMYFUNCTION("""COMPUTED_VALUE"""),0.26470588235294124)</f>
        <v>0.2647058824</v>
      </c>
      <c r="J1286" s="82">
        <f>IFERROR(__xludf.DUMMYFUNCTION("""COMPUTED_VALUE"""),323.07142857142856)</f>
        <v>323.0714286</v>
      </c>
      <c r="K1286" s="82">
        <f>IFERROR(__xludf.DUMMYFUNCTION("""COMPUTED_VALUE"""),0.6428571428571429)</f>
        <v>0.6428571429</v>
      </c>
      <c r="L1286" s="82">
        <f>IFERROR(__xludf.DUMMYFUNCTION("""COMPUTED_VALUE"""),0.6785714285714286)</f>
        <v>0.6785714286</v>
      </c>
      <c r="M1286" s="82">
        <f>IFERROR(__xludf.DUMMYFUNCTION("""COMPUTED_VALUE"""),1.0)</f>
        <v>1</v>
      </c>
      <c r="N1286" s="82">
        <f>IFERROR(__xludf.DUMMYFUNCTION("""COMPUTED_VALUE"""),2.4285714285714284)</f>
        <v>2.428571429</v>
      </c>
      <c r="O1286" s="82">
        <f>IFERROR(__xludf.DUMMYFUNCTION("""COMPUTED_VALUE"""),328.4523809523809)</f>
        <v>328.452381</v>
      </c>
      <c r="P1286" s="82">
        <f>IFERROR(__xludf.DUMMYFUNCTION("""COMPUTED_VALUE"""),0.6309523809523808)</f>
        <v>0.630952381</v>
      </c>
      <c r="Q1286" s="82">
        <f>IFERROR(__xludf.DUMMYFUNCTION("""COMPUTED_VALUE"""),0.4523809523809523)</f>
        <v>0.4523809524</v>
      </c>
      <c r="R1286" s="82">
        <f>IFERROR(__xludf.DUMMYFUNCTION("""COMPUTED_VALUE"""),1.273809523809524)</f>
        <v>1.273809524</v>
      </c>
      <c r="S1286" s="82">
        <f>IFERROR(__xludf.DUMMYFUNCTION("""COMPUTED_VALUE"""),2.3214285714285707)</f>
        <v>2.321428571</v>
      </c>
      <c r="T1286" s="82">
        <f>IFERROR(__xludf.DUMMYFUNCTION("""COMPUTED_VALUE"""),339.6513937974868)</f>
        <v>339.6513938</v>
      </c>
      <c r="U1286" s="82">
        <f>IFERROR(__xludf.DUMMYFUNCTION("""COMPUTED_VALUE"""),0.7037586379341881)</f>
        <v>0.7037586379</v>
      </c>
      <c r="V1286" s="82">
        <f>IFERROR(__xludf.DUMMYFUNCTION("""COMPUTED_VALUE"""),0.5074833735145424)</f>
        <v>0.5074833735</v>
      </c>
      <c r="W1286" s="82">
        <f>IFERROR(__xludf.DUMMYFUNCTION("""COMPUTED_VALUE"""),1.3998919520185154)</f>
        <v>1.399891952</v>
      </c>
      <c r="X1286" s="82">
        <f>IFERROR(__xludf.DUMMYFUNCTION("""COMPUTED_VALUE"""),2.449093409907723)</f>
        <v>2.44909341</v>
      </c>
      <c r="Y1286" s="82">
        <f>IFERROR(__xludf.DUMMYFUNCTION("""COMPUTED_VALUE"""),359.31450649381816)</f>
        <v>359.3145065</v>
      </c>
      <c r="Z1286" s="82">
        <f>IFERROR(__xludf.DUMMYFUNCTION("""COMPUTED_VALUE"""),0.8326756164907133)</f>
        <v>0.8326756165</v>
      </c>
      <c r="AA1286" s="82">
        <f>IFERROR(__xludf.DUMMYFUNCTION("""COMPUTED_VALUE"""),0.6006680183458679)</f>
        <v>0.6006680183</v>
      </c>
      <c r="AB1286" s="82">
        <f>IFERROR(__xludf.DUMMYFUNCTION("""COMPUTED_VALUE"""),1.3304529032609673)</f>
        <v>1.330452903</v>
      </c>
      <c r="AC1286" s="82">
        <f>IFERROR(__xludf.DUMMYFUNCTION("""COMPUTED_VALUE"""),2.771209533511087)</f>
        <v>2.771209534</v>
      </c>
      <c r="AD1286" s="82">
        <f>IFERROR(__xludf.DUMMYFUNCTION("""COMPUTED_VALUE"""),0.8991327172508323)</f>
        <v>0.8991327173</v>
      </c>
      <c r="AE1286" s="82">
        <f>IFERROR(__xludf.DUMMYFUNCTION("""COMPUTED_VALUE"""),0.7720379102326129)</f>
        <v>0.7720379102</v>
      </c>
      <c r="AF1286" s="82">
        <f>IFERROR(__xludf.DUMMYFUNCTION("""COMPUTED_VALUE"""),1.129694619733697)</f>
        <v>1.12969462</v>
      </c>
      <c r="AG1286" s="82">
        <f>IFERROR(__xludf.DUMMYFUNCTION("""COMPUTED_VALUE"""),0.7516237497388893)</f>
        <v>0.7516237497</v>
      </c>
      <c r="AH1286" s="82">
        <f>IFERROR(__xludf.DUMMYFUNCTION("""COMPUTED_VALUE"""),0.8763579221288472)</f>
        <v>0.8763579221</v>
      </c>
      <c r="AI1286" s="82">
        <f>IFERROR(__xludf.DUMMYFUNCTION("""COMPUTED_VALUE"""),0.9670279202452408)</f>
        <v>0.9670279202</v>
      </c>
      <c r="AJ1286" s="82">
        <f>IFERROR(__xludf.DUMMYFUNCTION("""COMPUTED_VALUE"""),0.8965465529552537)</f>
        <v>0.896546553</v>
      </c>
      <c r="AK1286" s="82">
        <f>IFERROR(__xludf.DUMMYFUNCTION("""COMPUTED_VALUE"""),0.8914202434811175)</f>
        <v>0.8914202435</v>
      </c>
      <c r="AL1286" s="82">
        <f>IFERROR(__xludf.DUMMYFUNCTION("""COMPUTED_VALUE"""),0.9099341716857561)</f>
        <v>0.9099341717</v>
      </c>
      <c r="AM1286" s="82">
        <f>IFERROR(__xludf.DUMMYFUNCTION("""COMPUTED_VALUE"""),0.94787261361176)</f>
        <v>0.9478726136</v>
      </c>
      <c r="AN1286" s="82">
        <f>IFERROR(__xludf.DUMMYFUNCTION("""COMPUTED_VALUE"""),0.9345349365297475)</f>
        <v>0.9345349365</v>
      </c>
      <c r="AO1286" s="82">
        <f>IFERROR(__xludf.DUMMYFUNCTION("""COMPUTED_VALUE"""),0.8508319980078163)</f>
        <v>0.850831998</v>
      </c>
      <c r="AP1286" s="82">
        <f>IFERROR(__xludf.DUMMYFUNCTION("""COMPUTED_VALUE"""),1.2207649150949276)</f>
        <v>1.220764915</v>
      </c>
      <c r="AQ1286" s="82">
        <f>IFERROR(__xludf.DUMMYFUNCTION("""COMPUTED_VALUE"""),0.7391142578702442)</f>
        <v>0.7391142579</v>
      </c>
      <c r="AR1286" s="82">
        <f>IFERROR(__xludf.DUMMYFUNCTION("""COMPUTED_VALUE"""),0.9525628946424168)</f>
        <v>0.9525628946</v>
      </c>
      <c r="AS1286" s="82">
        <f>IFERROR(__xludf.DUMMYFUNCTION("""COMPUTED_VALUE"""),65.0)</f>
        <v>65</v>
      </c>
      <c r="AT1286" s="82">
        <f>IFERROR(__xludf.DUMMYFUNCTION("""COMPUTED_VALUE"""),0.5764971914032754)</f>
        <v>0.5764971914</v>
      </c>
      <c r="AU1286" s="82">
        <f>IFERROR(__xludf.DUMMYFUNCTION("""COMPUTED_VALUE"""),1.8063448750051558)</f>
        <v>1.806344875</v>
      </c>
      <c r="AV1286" s="82">
        <f>IFERROR(__xludf.DUMMYFUNCTION("""COMPUTED_VALUE"""),49.79460593402811)</f>
        <v>49.79460593</v>
      </c>
      <c r="AW1286" s="82">
        <f t="shared" si="1"/>
        <v>-2.01319682</v>
      </c>
      <c r="AX1286" s="83">
        <f t="array" ref="AX1286">IFERROR(DGET('SBV Import'!A:G,"SBV",{"RSC ID","Tier";B1286,A1286}))</f>
        <v>50.11418666</v>
      </c>
      <c r="AY1286" s="82">
        <f t="shared" si="2"/>
        <v>2.007315255</v>
      </c>
      <c r="AZ1286" s="82">
        <v>4.020512075353768</v>
      </c>
      <c r="BA1286" s="84">
        <v>1200.0</v>
      </c>
      <c r="BB1286" s="84" t="b">
        <f>IFERROR(__xludf.DUMMYFUNCTION("iferror(if(A1286="""",,E1286&gt;=FILTER(Constants!$F$2:$F$10,Constants!$A$2:$A$10=A1286)))"),TRUE)</f>
        <v>1</v>
      </c>
    </row>
    <row r="1287">
      <c r="A1287" s="89" t="str">
        <f>IFERROR(__xludf.DUMMYFUNCTION("""COMPUTED_VALUE"""),"Veteran")</f>
        <v>Veteran</v>
      </c>
      <c r="B1287" s="87" t="str">
        <f>IFERROR(__xludf.DUMMYFUNCTION("""COMPUTED_VALUE"""),"RSC000601")</f>
        <v>RSC000601</v>
      </c>
      <c r="C1287" s="73" t="str">
        <f>IFERROR(__xludf.DUMMYFUNCTION("""COMPUTED_VALUE"""),"Bxffledd")</f>
        <v>Bxffledd</v>
      </c>
      <c r="D1287" s="73"/>
      <c r="E1287" s="82">
        <f>IFERROR(__xludf.DUMMYFUNCTION("""COMPUTED_VALUE"""),6.0)</f>
        <v>6</v>
      </c>
      <c r="F1287" s="82">
        <f>IFERROR(__xludf.DUMMYFUNCTION("""COMPUTED_VALUE"""),3.0)</f>
        <v>3</v>
      </c>
      <c r="G1287" s="86">
        <f>IFERROR(__xludf.DUMMYFUNCTION("""COMPUTED_VALUE"""),3.0)</f>
        <v>3</v>
      </c>
      <c r="H1287" s="86">
        <f>IFERROR(__xludf.DUMMYFUNCTION("""COMPUTED_VALUE"""),0.5)</f>
        <v>0.5</v>
      </c>
      <c r="I1287" s="86">
        <f>IFERROR(__xludf.DUMMYFUNCTION("""COMPUTED_VALUE"""),0.375)</f>
        <v>0.375</v>
      </c>
      <c r="J1287" s="82">
        <f>IFERROR(__xludf.DUMMYFUNCTION("""COMPUTED_VALUE"""),373.0)</f>
        <v>373</v>
      </c>
      <c r="K1287" s="82">
        <f>IFERROR(__xludf.DUMMYFUNCTION("""COMPUTED_VALUE"""),1.0)</f>
        <v>1</v>
      </c>
      <c r="L1287" s="82">
        <f>IFERROR(__xludf.DUMMYFUNCTION("""COMPUTED_VALUE"""),0.3333333333333333)</f>
        <v>0.3333333333</v>
      </c>
      <c r="M1287" s="82">
        <f>IFERROR(__xludf.DUMMYFUNCTION("""COMPUTED_VALUE"""),1.5)</f>
        <v>1.5</v>
      </c>
      <c r="N1287" s="82">
        <f>IFERROR(__xludf.DUMMYFUNCTION("""COMPUTED_VALUE"""),2.6666666666666665)</f>
        <v>2.666666667</v>
      </c>
      <c r="O1287" s="82">
        <f>IFERROR(__xludf.DUMMYFUNCTION("""COMPUTED_VALUE"""),378.5)</f>
        <v>378.5</v>
      </c>
      <c r="P1287" s="82">
        <f>IFERROR(__xludf.DUMMYFUNCTION("""COMPUTED_VALUE"""),0.9444444444444443)</f>
        <v>0.9444444444</v>
      </c>
      <c r="Q1287" s="82">
        <f>IFERROR(__xludf.DUMMYFUNCTION("""COMPUTED_VALUE"""),0.7777777777777777)</f>
        <v>0.7777777778</v>
      </c>
      <c r="R1287" s="82">
        <f>IFERROR(__xludf.DUMMYFUNCTION("""COMPUTED_VALUE"""),1.1666666666666665)</f>
        <v>1.166666667</v>
      </c>
      <c r="S1287" s="82">
        <f>IFERROR(__xludf.DUMMYFUNCTION("""COMPUTED_VALUE"""),2.8888888888888893)</f>
        <v>2.888888889</v>
      </c>
      <c r="T1287" s="82">
        <f>IFERROR(__xludf.DUMMYFUNCTION("""COMPUTED_VALUE"""),357.1323417513654)</f>
        <v>357.1323418</v>
      </c>
      <c r="U1287" s="82">
        <f>IFERROR(__xludf.DUMMYFUNCTION("""COMPUTED_VALUE"""),0.8191910782573691)</f>
        <v>0.8191910783</v>
      </c>
      <c r="V1287" s="82">
        <f>IFERROR(__xludf.DUMMYFUNCTION("""COMPUTED_VALUE"""),0.6158580133762191)</f>
        <v>0.6158580134</v>
      </c>
      <c r="W1287" s="82">
        <f>IFERROR(__xludf.DUMMYFUNCTION("""COMPUTED_VALUE"""),1.3363295785143625)</f>
        <v>1.336329579</v>
      </c>
      <c r="X1287" s="82">
        <f>IFERROR(__xludf.DUMMYFUNCTION("""COMPUTED_VALUE"""),2.7163557449783737)</f>
        <v>2.716355745</v>
      </c>
      <c r="Y1287" s="82">
        <f>IFERROR(__xludf.DUMMYFUNCTION("""COMPUTED_VALUE"""),364.4092762150257)</f>
        <v>364.4092762</v>
      </c>
      <c r="Z1287" s="82">
        <f>IFERROR(__xludf.DUMMYFUNCTION("""COMPUTED_VALUE"""),0.8277398171296951)</f>
        <v>0.8277398171</v>
      </c>
      <c r="AA1287" s="82">
        <f>IFERROR(__xludf.DUMMYFUNCTION("""COMPUTED_VALUE"""),0.5879885452392911)</f>
        <v>0.5879885452</v>
      </c>
      <c r="AB1287" s="82">
        <f>IFERROR(__xludf.DUMMYFUNCTION("""COMPUTED_VALUE"""),1.3628564237942953)</f>
        <v>1.362856424</v>
      </c>
      <c r="AC1287" s="82">
        <f>IFERROR(__xludf.DUMMYFUNCTION("""COMPUTED_VALUE"""),2.585724779464145)</f>
        <v>2.585724779</v>
      </c>
      <c r="AD1287" s="82">
        <f>IFERROR(__xludf.DUMMYFUNCTION("""COMPUTED_VALUE"""),1.0235743828318606)</f>
        <v>1.023574383</v>
      </c>
      <c r="AE1287" s="82">
        <f>IFERROR(__xludf.DUMMYFUNCTION("""COMPUTED_VALUE"""),1.208109093347281)</f>
        <v>1.208109093</v>
      </c>
      <c r="AF1287" s="82">
        <f>IFERROR(__xludf.DUMMYFUNCTION("""COMPUTED_VALUE"""),0.5669044678373422)</f>
        <v>0.5669044678</v>
      </c>
      <c r="AG1287" s="82">
        <f>IFERROR(__xludf.DUMMYFUNCTION("""COMPUTED_VALUE"""),1.100629511525423)</f>
        <v>1.100629512</v>
      </c>
      <c r="AH1287" s="82">
        <f>IFERROR(__xludf.DUMMYFUNCTION("""COMPUTED_VALUE"""),1.0313033652480583)</f>
        <v>1.031303365</v>
      </c>
      <c r="AI1287" s="82">
        <f>IFERROR(__xludf.DUMMYFUNCTION("""COMPUTED_VALUE"""),1.0598312047120917)</f>
        <v>1.059831205</v>
      </c>
      <c r="AJ1287" s="82">
        <f>IFERROR(__xludf.DUMMYFUNCTION("""COMPUTED_VALUE"""),1.1528988407118903)</f>
        <v>1.152898841</v>
      </c>
      <c r="AK1287" s="82">
        <f>IFERROR(__xludf.DUMMYFUNCTION("""COMPUTED_VALUE"""),1.262917362256751)</f>
        <v>1.262917362</v>
      </c>
      <c r="AL1287" s="82">
        <f>IFERROR(__xludf.DUMMYFUNCTION("""COMPUTED_VALUE"""),0.8730381227987819)</f>
        <v>0.8730381228</v>
      </c>
      <c r="AM1287" s="82">
        <f>IFERROR(__xludf.DUMMYFUNCTION("""COMPUTED_VALUE"""),1.0635164021610466)</f>
        <v>1.063516402</v>
      </c>
      <c r="AN1287" s="82">
        <f>IFERROR(__xludf.DUMMYFUNCTION("""COMPUTED_VALUE"""),1.0789611847354281)</f>
        <v>1.078961185</v>
      </c>
      <c r="AO1287" s="82">
        <f>IFERROR(__xludf.DUMMYFUNCTION("""COMPUTED_VALUE"""),1.3235164413454918)</f>
        <v>1.323516441</v>
      </c>
      <c r="AP1287" s="82">
        <f>IFERROR(__xludf.DUMMYFUNCTION("""COMPUTED_VALUE"""),0.5996739933799643)</f>
        <v>0.5996739934</v>
      </c>
      <c r="AQ1287" s="82">
        <f>IFERROR(__xludf.DUMMYFUNCTION("""COMPUTED_VALUE"""),1.1086713868053664)</f>
        <v>1.108671387</v>
      </c>
      <c r="AR1287" s="82">
        <f>IFERROR(__xludf.DUMMYFUNCTION("""COMPUTED_VALUE"""),1.0459514137250068)</f>
        <v>1.045951414</v>
      </c>
      <c r="AS1287" s="82">
        <f>IFERROR(__xludf.DUMMYFUNCTION("""COMPUTED_VALUE"""),17.0)</f>
        <v>17</v>
      </c>
      <c r="AT1287" s="82">
        <f>IFERROR(__xludf.DUMMYFUNCTION("""COMPUTED_VALUE"""),0.5)</f>
        <v>0.5</v>
      </c>
      <c r="AU1287" s="82">
        <f>IFERROR(__xludf.DUMMYFUNCTION("""COMPUTED_VALUE"""),1.7815602444268759)</f>
        <v>1.781560244</v>
      </c>
      <c r="AV1287" s="82">
        <f>IFERROR(__xludf.DUMMYFUNCTION("""COMPUTED_VALUE"""),48.90850349831403)</f>
        <v>48.9085035</v>
      </c>
      <c r="AW1287" s="82">
        <f t="shared" si="1"/>
        <v>-2.072161929</v>
      </c>
      <c r="AX1287" s="83">
        <f t="array" ref="AX1287">IFERROR(DGET('SBV Import'!A:G,"SBV",{"RSC ID","Tier";B1287,A1287}))</f>
        <v>40.3305631</v>
      </c>
      <c r="AY1287" s="82">
        <f t="shared" si="2"/>
        <v>-2.861553928</v>
      </c>
      <c r="AZ1287" s="82">
        <v>0.7893919988638203</v>
      </c>
      <c r="BA1287" s="84">
        <v>1200.0</v>
      </c>
      <c r="BB1287" s="84" t="b">
        <f>IFERROR(__xludf.DUMMYFUNCTION("iferror(if(A1287="""",,E1287&gt;=FILTER(Constants!$F$2:$F$10,Constants!$A$2:$A$10=A1287)))"),TRUE)</f>
        <v>1</v>
      </c>
    </row>
    <row r="1288">
      <c r="A1288" s="89" t="str">
        <f>IFERROR(__xludf.DUMMYFUNCTION("""COMPUTED_VALUE"""),"Veteran")</f>
        <v>Veteran</v>
      </c>
      <c r="B1288" s="87" t="str">
        <f>IFERROR(__xludf.DUMMYFUNCTION("""COMPUTED_VALUE"""),"RSC006320")</f>
        <v>RSC006320</v>
      </c>
      <c r="C1288" s="73" t="str">
        <f>IFERROR(__xludf.DUMMYFUNCTION("""COMPUTED_VALUE"""),"Escape_Plan")</f>
        <v>Escape_Plan</v>
      </c>
      <c r="D1288" s="73" t="str">
        <f>IFERROR(__xludf.DUMMYFUNCTION("""COMPUTED_VALUE"""),"Singularity")</f>
        <v>Singularity</v>
      </c>
      <c r="E1288" s="82">
        <f>IFERROR(__xludf.DUMMYFUNCTION("""COMPUTED_VALUE"""),36.0)</f>
        <v>36</v>
      </c>
      <c r="F1288" s="82">
        <f>IFERROR(__xludf.DUMMYFUNCTION("""COMPUTED_VALUE"""),20.0)</f>
        <v>20</v>
      </c>
      <c r="G1288" s="86">
        <f>IFERROR(__xludf.DUMMYFUNCTION("""COMPUTED_VALUE"""),16.0)</f>
        <v>16</v>
      </c>
      <c r="H1288" s="86">
        <f>IFERROR(__xludf.DUMMYFUNCTION("""COMPUTED_VALUE"""),0.5555555555555556)</f>
        <v>0.5555555556</v>
      </c>
      <c r="I1288" s="86">
        <f>IFERROR(__xludf.DUMMYFUNCTION("""COMPUTED_VALUE"""),0.31521739130434784)</f>
        <v>0.3152173913</v>
      </c>
      <c r="J1288" s="82">
        <f>IFERROR(__xludf.DUMMYFUNCTION("""COMPUTED_VALUE"""),334.1111111111111)</f>
        <v>334.1111111</v>
      </c>
      <c r="K1288" s="82">
        <f>IFERROR(__xludf.DUMMYFUNCTION("""COMPUTED_VALUE"""),0.8055555555555556)</f>
        <v>0.8055555556</v>
      </c>
      <c r="L1288" s="82">
        <f>IFERROR(__xludf.DUMMYFUNCTION("""COMPUTED_VALUE"""),0.4166666666666667)</f>
        <v>0.4166666667</v>
      </c>
      <c r="M1288" s="82">
        <f>IFERROR(__xludf.DUMMYFUNCTION("""COMPUTED_VALUE"""),1.2222222222222223)</f>
        <v>1.222222222</v>
      </c>
      <c r="N1288" s="82">
        <f>IFERROR(__xludf.DUMMYFUNCTION("""COMPUTED_VALUE"""),2.5555555555555554)</f>
        <v>2.555555556</v>
      </c>
      <c r="O1288" s="82">
        <f>IFERROR(__xludf.DUMMYFUNCTION("""COMPUTED_VALUE"""),338.9351851851852)</f>
        <v>338.9351852</v>
      </c>
      <c r="P1288" s="82">
        <f>IFERROR(__xludf.DUMMYFUNCTION("""COMPUTED_VALUE"""),0.7499999999999998)</f>
        <v>0.75</v>
      </c>
      <c r="Q1288" s="82">
        <f>IFERROR(__xludf.DUMMYFUNCTION("""COMPUTED_VALUE"""),0.5462962962962963)</f>
        <v>0.5462962963</v>
      </c>
      <c r="R1288" s="82">
        <f>IFERROR(__xludf.DUMMYFUNCTION("""COMPUTED_VALUE"""),1.1851851851851853)</f>
        <v>1.185185185</v>
      </c>
      <c r="S1288" s="82">
        <f>IFERROR(__xludf.DUMMYFUNCTION("""COMPUTED_VALUE"""),2.814814814814815)</f>
        <v>2.814814815</v>
      </c>
      <c r="T1288" s="82">
        <f>IFERROR(__xludf.DUMMYFUNCTION("""COMPUTED_VALUE"""),355.7609066746878)</f>
        <v>355.7609067</v>
      </c>
      <c r="U1288" s="82">
        <f>IFERROR(__xludf.DUMMYFUNCTION("""COMPUTED_VALUE"""),0.787826554261314)</f>
        <v>0.7878265543</v>
      </c>
      <c r="V1288" s="82">
        <f>IFERROR(__xludf.DUMMYFUNCTION("""COMPUTED_VALUE"""),0.5818357272047344)</f>
        <v>0.5818357272</v>
      </c>
      <c r="W1288" s="82">
        <f>IFERROR(__xludf.DUMMYFUNCTION("""COMPUTED_VALUE"""),1.3418715510544539)</f>
        <v>1.341871551</v>
      </c>
      <c r="X1288" s="82">
        <f>IFERROR(__xludf.DUMMYFUNCTION("""COMPUTED_VALUE"""),2.598903636334897)</f>
        <v>2.598903636</v>
      </c>
      <c r="Y1288" s="82">
        <f>IFERROR(__xludf.DUMMYFUNCTION("""COMPUTED_VALUE"""),349.6313847606422)</f>
        <v>349.6313848</v>
      </c>
      <c r="Z1288" s="82">
        <f>IFERROR(__xludf.DUMMYFUNCTION("""COMPUTED_VALUE"""),0.7721846147388602)</f>
        <v>0.7721846147</v>
      </c>
      <c r="AA1288" s="82">
        <f>IFERROR(__xludf.DUMMYFUNCTION("""COMPUTED_VALUE"""),0.5589226886272088)</f>
        <v>0.5589226886</v>
      </c>
      <c r="AB1288" s="82">
        <f>IFERROR(__xludf.DUMMYFUNCTION("""COMPUTED_VALUE"""),1.3280848210267029)</f>
        <v>1.328084821</v>
      </c>
      <c r="AC1288" s="82">
        <f>IFERROR(__xludf.DUMMYFUNCTION("""COMPUTED_VALUE"""),2.6137808266433233)</f>
        <v>2.613780827</v>
      </c>
      <c r="AD1288" s="82">
        <f>IFERROR(__xludf.DUMMYFUNCTION("""COMPUTED_VALUE"""),0.9556096096460096)</f>
        <v>0.9556096096</v>
      </c>
      <c r="AE1288" s="82">
        <f>IFERROR(__xludf.DUMMYFUNCTION("""COMPUTED_VALUE"""),1.0432162726111565)</f>
        <v>1.043216273</v>
      </c>
      <c r="AF1288" s="82">
        <f>IFERROR(__xludf.DUMMYFUNCTION("""COMPUTED_VALUE"""),0.7454817547129057)</f>
        <v>0.7454817547</v>
      </c>
      <c r="AG1288" s="82">
        <f>IFERROR(__xludf.DUMMYFUNCTION("""COMPUTED_VALUE"""),0.9202892788710277)</f>
        <v>0.9202892789</v>
      </c>
      <c r="AH1288" s="82">
        <f>IFERROR(__xludf.DUMMYFUNCTION("""COMPUTED_VALUE"""),0.9777237362466453)</f>
        <v>0.9777237362</v>
      </c>
      <c r="AI1288" s="82">
        <f>IFERROR(__xludf.DUMMYFUNCTION("""COMPUTED_VALUE"""),0.9527049735543646)</f>
        <v>0.9527049736</v>
      </c>
      <c r="AJ1288" s="82">
        <f>IFERROR(__xludf.DUMMYFUNCTION("""COMPUTED_VALUE"""),0.9519861902893317)</f>
        <v>0.9519861903</v>
      </c>
      <c r="AK1288" s="82">
        <f>IFERROR(__xludf.DUMMYFUNCTION("""COMPUTED_VALUE"""),0.9389184451096234)</f>
        <v>0.9389184451</v>
      </c>
      <c r="AL1288" s="82">
        <f>IFERROR(__xludf.DUMMYFUNCTION("""COMPUTED_VALUE"""),0.8832329623903695)</f>
        <v>0.8832329624</v>
      </c>
      <c r="AM1288" s="82">
        <f>IFERROR(__xludf.DUMMYFUNCTION("""COMPUTED_VALUE"""),1.0830777930590787)</f>
        <v>1.083077793</v>
      </c>
      <c r="AN1288" s="82">
        <f>IFERROR(__xludf.DUMMYFUNCTION("""COMPUTED_VALUE"""),0.9664689551681359)</f>
        <v>0.9664689552</v>
      </c>
      <c r="AO1288" s="82">
        <f>IFERROR(__xludf.DUMMYFUNCTION("""COMPUTED_VALUE"""),1.0661660221949796)</f>
        <v>1.066166022</v>
      </c>
      <c r="AP1288" s="82">
        <f>IFERROR(__xludf.DUMMYFUNCTION("""COMPUTED_VALUE"""),0.7495924917249555)</f>
        <v>0.7495924917</v>
      </c>
      <c r="AQ1288" s="82">
        <f>IFERROR(__xludf.DUMMYFUNCTION("""COMPUTED_VALUE"""),0.9033618707302986)</f>
        <v>0.9033618707</v>
      </c>
      <c r="AR1288" s="82">
        <f>IFERROR(__xludf.DUMMYFUNCTION("""COMPUTED_VALUE"""),1.0023701048197982)</f>
        <v>1.002370105</v>
      </c>
      <c r="AS1288" s="82">
        <f>IFERROR(__xludf.DUMMYFUNCTION("""COMPUTED_VALUE"""),85.0)</f>
        <v>85</v>
      </c>
      <c r="AT1288" s="82">
        <f>IFERROR(__xludf.DUMMYFUNCTION("""COMPUTED_VALUE"""),0.5186773846942172)</f>
        <v>0.5186773847</v>
      </c>
      <c r="AU1288" s="82">
        <f>IFERROR(__xludf.DUMMYFUNCTION("""COMPUTED_VALUE"""),1.7782826081532765)</f>
        <v>1.778282608</v>
      </c>
      <c r="AV1288" s="82">
        <f>IFERROR(__xludf.DUMMYFUNCTION("""COMPUTED_VALUE"""),48.7913211390189)</f>
        <v>48.79132114</v>
      </c>
      <c r="AW1288" s="82">
        <f t="shared" si="1"/>
        <v>-2.080213934</v>
      </c>
      <c r="AX1288" s="83">
        <f t="array" ref="AX1288">IFERROR(DGET('SBV Import'!A:G,"SBV",{"RSC ID","Tier";B1288,A1288}))</f>
        <v>37.75548397</v>
      </c>
      <c r="AY1288" s="82">
        <f t="shared" si="2"/>
        <v>-3.203643794</v>
      </c>
      <c r="AZ1288" s="82">
        <v>1.1234298598348595</v>
      </c>
      <c r="BA1288" s="84">
        <v>1200.0</v>
      </c>
      <c r="BB1288" s="84" t="b">
        <f>IFERROR(__xludf.DUMMYFUNCTION("iferror(if(A1288="""",,E1288&gt;=FILTER(Constants!$F$2:$F$10,Constants!$A$2:$A$10=A1288)))"),TRUE)</f>
        <v>1</v>
      </c>
    </row>
    <row r="1289">
      <c r="A1289" s="89" t="str">
        <f>IFERROR(__xludf.DUMMYFUNCTION("""COMPUTED_VALUE"""),"Veteran")</f>
        <v>Veteran</v>
      </c>
      <c r="B1289" s="87" t="str">
        <f>IFERROR(__xludf.DUMMYFUNCTION("""COMPUTED_VALUE"""),"RSC006885")</f>
        <v>RSC006885</v>
      </c>
      <c r="C1289" s="73" t="str">
        <f>IFERROR(__xludf.DUMMYFUNCTION("""COMPUTED_VALUE"""),"ski")</f>
        <v>ski</v>
      </c>
      <c r="D1289" s="73" t="str">
        <f>IFERROR(__xludf.DUMMYFUNCTION("""COMPUTED_VALUE"""),"Dread")</f>
        <v>Dread</v>
      </c>
      <c r="E1289" s="82">
        <f>IFERROR(__xludf.DUMMYFUNCTION("""COMPUTED_VALUE"""),31.0)</f>
        <v>31</v>
      </c>
      <c r="F1289" s="82">
        <f>IFERROR(__xludf.DUMMYFUNCTION("""COMPUTED_VALUE"""),16.0)</f>
        <v>16</v>
      </c>
      <c r="G1289" s="86">
        <f>IFERROR(__xludf.DUMMYFUNCTION("""COMPUTED_VALUE"""),15.0)</f>
        <v>15</v>
      </c>
      <c r="H1289" s="86">
        <f>IFERROR(__xludf.DUMMYFUNCTION("""COMPUTED_VALUE"""),0.5161290322580645)</f>
        <v>0.5161290323</v>
      </c>
      <c r="I1289" s="86">
        <f>IFERROR(__xludf.DUMMYFUNCTION("""COMPUTED_VALUE"""),0.29333333333333333)</f>
        <v>0.2933333333</v>
      </c>
      <c r="J1289" s="82">
        <f>IFERROR(__xludf.DUMMYFUNCTION("""COMPUTED_VALUE"""),370.93548387096774)</f>
        <v>370.9354839</v>
      </c>
      <c r="K1289" s="82">
        <f>IFERROR(__xludf.DUMMYFUNCTION("""COMPUTED_VALUE"""),0.7096774193548387)</f>
        <v>0.7096774194</v>
      </c>
      <c r="L1289" s="82">
        <f>IFERROR(__xludf.DUMMYFUNCTION("""COMPUTED_VALUE"""),0.5161290322580645)</f>
        <v>0.5161290323</v>
      </c>
      <c r="M1289" s="82">
        <f>IFERROR(__xludf.DUMMYFUNCTION("""COMPUTED_VALUE"""),1.6451612903225807)</f>
        <v>1.64516129</v>
      </c>
      <c r="N1289" s="82">
        <f>IFERROR(__xludf.DUMMYFUNCTION("""COMPUTED_VALUE"""),2.4193548387096775)</f>
        <v>2.419354839</v>
      </c>
      <c r="O1289" s="82">
        <f>IFERROR(__xludf.DUMMYFUNCTION("""COMPUTED_VALUE"""),337.1612903225806)</f>
        <v>337.1612903</v>
      </c>
      <c r="P1289" s="82">
        <f>IFERROR(__xludf.DUMMYFUNCTION("""COMPUTED_VALUE"""),0.6774193548387094)</f>
        <v>0.6774193548</v>
      </c>
      <c r="Q1289" s="82">
        <f>IFERROR(__xludf.DUMMYFUNCTION("""COMPUTED_VALUE"""),0.5483870967741935)</f>
        <v>0.5483870968</v>
      </c>
      <c r="R1289" s="82">
        <f>IFERROR(__xludf.DUMMYFUNCTION("""COMPUTED_VALUE"""),1.1935483870967745)</f>
        <v>1.193548387</v>
      </c>
      <c r="S1289" s="82">
        <f>IFERROR(__xludf.DUMMYFUNCTION("""COMPUTED_VALUE"""),2.580645161290322)</f>
        <v>2.580645161</v>
      </c>
      <c r="T1289" s="82">
        <f>IFERROR(__xludf.DUMMYFUNCTION("""COMPUTED_VALUE"""),344.8872708927267)</f>
        <v>344.8872709</v>
      </c>
      <c r="U1289" s="82">
        <f>IFERROR(__xludf.DUMMYFUNCTION("""COMPUTED_VALUE"""),0.7302324147395044)</f>
        <v>0.7302324147</v>
      </c>
      <c r="V1289" s="82">
        <f>IFERROR(__xludf.DUMMYFUNCTION("""COMPUTED_VALUE"""),0.5663886711155645)</f>
        <v>0.5663886711</v>
      </c>
      <c r="W1289" s="82">
        <f>IFERROR(__xludf.DUMMYFUNCTION("""COMPUTED_VALUE"""),1.3520745160621013)</f>
        <v>1.352074516</v>
      </c>
      <c r="X1289" s="82">
        <f>IFERROR(__xludf.DUMMYFUNCTION("""COMPUTED_VALUE"""),2.531284769277565)</f>
        <v>2.531284769</v>
      </c>
      <c r="Y1289" s="82">
        <f>IFERROR(__xludf.DUMMYFUNCTION("""COMPUTED_VALUE"""),358.8178863783271)</f>
        <v>358.8178864</v>
      </c>
      <c r="Z1289" s="82">
        <f>IFERROR(__xludf.DUMMYFUNCTION("""COMPUTED_VALUE"""),0.8224790853378905)</f>
        <v>0.8224790853</v>
      </c>
      <c r="AA1289" s="82">
        <f>IFERROR(__xludf.DUMMYFUNCTION("""COMPUTED_VALUE"""),0.6116188723185643)</f>
        <v>0.6116188723</v>
      </c>
      <c r="AB1289" s="82">
        <f>IFERROR(__xludf.DUMMYFUNCTION("""COMPUTED_VALUE"""),1.3415219512010117)</f>
        <v>1.341521951</v>
      </c>
      <c r="AC1289" s="82">
        <f>IFERROR(__xludf.DUMMYFUNCTION("""COMPUTED_VALUE"""),2.652465705189414)</f>
        <v>2.652465705</v>
      </c>
      <c r="AD1289" s="82">
        <f>IFERROR(__xludf.DUMMYFUNCTION("""COMPUTED_VALUE"""),1.0337708847653826)</f>
        <v>1.033770885</v>
      </c>
      <c r="AE1289" s="82">
        <f>IFERROR(__xludf.DUMMYFUNCTION("""COMPUTED_VALUE"""),0.8628516299150505)</f>
        <v>0.8628516299</v>
      </c>
      <c r="AF1289" s="82">
        <f>IFERROR(__xludf.DUMMYFUNCTION("""COMPUTED_VALUE"""),0.8438736206773497)</f>
        <v>0.8438736207</v>
      </c>
      <c r="AG1289" s="82">
        <f>IFERROR(__xludf.DUMMYFUNCTION("""COMPUTED_VALUE"""),1.226339448899612)</f>
        <v>1.226339449</v>
      </c>
      <c r="AH1289" s="82">
        <f>IFERROR(__xludf.DUMMYFUNCTION("""COMPUTED_VALUE"""),0.9121154079301885)</f>
        <v>0.9121154079</v>
      </c>
      <c r="AI1289" s="82">
        <f>IFERROR(__xludf.DUMMYFUNCTION("""COMPUTED_VALUE"""),0.9775985337175602)</f>
        <v>0.9775985337</v>
      </c>
      <c r="AJ1289" s="82">
        <f>IFERROR(__xludf.DUMMYFUNCTION("""COMPUTED_VALUE"""),0.9276763687357881)</f>
        <v>0.9276763687</v>
      </c>
      <c r="AK1289" s="82">
        <f>IFERROR(__xludf.DUMMYFUNCTION("""COMPUTED_VALUE"""),0.9682169237143905)</f>
        <v>0.9682169237</v>
      </c>
      <c r="AL1289" s="82">
        <f>IFERROR(__xludf.DUMMYFUNCTION("""COMPUTED_VALUE"""),0.8827534081279543)</f>
        <v>0.8827534081</v>
      </c>
      <c r="AM1289" s="82">
        <f>IFERROR(__xludf.DUMMYFUNCTION("""COMPUTED_VALUE"""),1.0195001339287655)</f>
        <v>1.019500134</v>
      </c>
      <c r="AN1289" s="82">
        <f>IFERROR(__xludf.DUMMYFUNCTION("""COMPUTED_VALUE"""),1.0729892470183073)</f>
        <v>1.072989247</v>
      </c>
      <c r="AO1289" s="82">
        <f>IFERROR(__xludf.DUMMYFUNCTION("""COMPUTED_VALUE"""),0.9392697325677685)</f>
        <v>0.9392697326</v>
      </c>
      <c r="AP1289" s="82">
        <f>IFERROR(__xludf.DUMMYFUNCTION("""COMPUTED_VALUE"""),0.92852747362059)</f>
        <v>0.9285274736</v>
      </c>
      <c r="AQ1289" s="82">
        <f>IFERROR(__xludf.DUMMYFUNCTION("""COMPUTED_VALUE"""),1.2159621661736277)</f>
        <v>1.215962166</v>
      </c>
      <c r="AR1289" s="82">
        <f>IFERROR(__xludf.DUMMYFUNCTION("""COMPUTED_VALUE"""),0.9489478551940587)</f>
        <v>0.9489478552</v>
      </c>
      <c r="AS1289" s="82">
        <f>IFERROR(__xludf.DUMMYFUNCTION("""COMPUTED_VALUE"""),63.0)</f>
        <v>63</v>
      </c>
      <c r="AT1289" s="82">
        <f>IFERROR(__xludf.DUMMYFUNCTION("""COMPUTED_VALUE"""),0.5000000000000002)</f>
        <v>0.5</v>
      </c>
      <c r="AU1289" s="82">
        <f>IFERROR(__xludf.DUMMYFUNCTION("""COMPUTED_VALUE"""),1.7764924330511271)</f>
        <v>1.776492433</v>
      </c>
      <c r="AV1289" s="82">
        <f>IFERROR(__xludf.DUMMYFUNCTION("""COMPUTED_VALUE"""),48.72731863095814)</f>
        <v>48.72731863</v>
      </c>
      <c r="AW1289" s="82">
        <f t="shared" si="1"/>
        <v>-2.084637481</v>
      </c>
      <c r="AX1289" s="83">
        <f t="array" ref="AX1289">IFERROR(DGET('SBV Import'!A:G,"SBV",{"RSC ID","Tier";B1289,A1289}))</f>
        <v>60.58932964</v>
      </c>
      <c r="AY1289" s="82">
        <f t="shared" si="2"/>
        <v>2.976734818</v>
      </c>
      <c r="AZ1289" s="82">
        <v>5.061372299528477</v>
      </c>
      <c r="BA1289" s="84">
        <v>1200.0</v>
      </c>
      <c r="BB1289" s="84" t="b">
        <f>IFERROR(__xludf.DUMMYFUNCTION("iferror(if(A1289="""",,E1289&gt;=FILTER(Constants!$F$2:$F$10,Constants!$A$2:$A$10=A1289)))"),TRUE)</f>
        <v>1</v>
      </c>
    </row>
    <row r="1290">
      <c r="A1290" s="89" t="str">
        <f>IFERROR(__xludf.DUMMYFUNCTION("""COMPUTED_VALUE"""),"Veteran")</f>
        <v>Veteran</v>
      </c>
      <c r="B1290" s="87" t="str">
        <f>IFERROR(__xludf.DUMMYFUNCTION("""COMPUTED_VALUE"""),"RSC007437")</f>
        <v>RSC007437</v>
      </c>
      <c r="C1290" s="73" t="str">
        <f>IFERROR(__xludf.DUMMYFUNCTION("""COMPUTED_VALUE"""),"luckyy.12")</f>
        <v>luckyy.12</v>
      </c>
      <c r="D1290" s="73" t="str">
        <f>IFERROR(__xludf.DUMMYFUNCTION("""COMPUTED_VALUE"""),"Mellow Fellows")</f>
        <v>Mellow Fellows</v>
      </c>
      <c r="E1290" s="82">
        <f>IFERROR(__xludf.DUMMYFUNCTION("""COMPUTED_VALUE"""),46.0)</f>
        <v>46</v>
      </c>
      <c r="F1290" s="82">
        <f>IFERROR(__xludf.DUMMYFUNCTION("""COMPUTED_VALUE"""),19.0)</f>
        <v>19</v>
      </c>
      <c r="G1290" s="86">
        <f>IFERROR(__xludf.DUMMYFUNCTION("""COMPUTED_VALUE"""),27.0)</f>
        <v>27</v>
      </c>
      <c r="H1290" s="86">
        <f>IFERROR(__xludf.DUMMYFUNCTION("""COMPUTED_VALUE"""),0.41304347826086957)</f>
        <v>0.4130434783</v>
      </c>
      <c r="I1290" s="86">
        <f>IFERROR(__xludf.DUMMYFUNCTION("""COMPUTED_VALUE"""),0.20353982300884957)</f>
        <v>0.203539823</v>
      </c>
      <c r="J1290" s="82">
        <f>IFERROR(__xludf.DUMMYFUNCTION("""COMPUTED_VALUE"""),356.80434782608694)</f>
        <v>356.8043478</v>
      </c>
      <c r="K1290" s="82">
        <f>IFERROR(__xludf.DUMMYFUNCTION("""COMPUTED_VALUE"""),0.5)</f>
        <v>0.5</v>
      </c>
      <c r="L1290" s="82">
        <f>IFERROR(__xludf.DUMMYFUNCTION("""COMPUTED_VALUE"""),0.6956521739130435)</f>
        <v>0.6956521739</v>
      </c>
      <c r="M1290" s="82">
        <f>IFERROR(__xludf.DUMMYFUNCTION("""COMPUTED_VALUE"""),1.7391304347826086)</f>
        <v>1.739130435</v>
      </c>
      <c r="N1290" s="82">
        <f>IFERROR(__xludf.DUMMYFUNCTION("""COMPUTED_VALUE"""),2.4565217391304346)</f>
        <v>2.456521739</v>
      </c>
      <c r="O1290" s="82">
        <f>IFERROR(__xludf.DUMMYFUNCTION("""COMPUTED_VALUE"""),344.0144927536231)</f>
        <v>344.0144928</v>
      </c>
      <c r="P1290" s="82">
        <f>IFERROR(__xludf.DUMMYFUNCTION("""COMPUTED_VALUE"""),0.7391304347826089)</f>
        <v>0.7391304348</v>
      </c>
      <c r="Q1290" s="82">
        <f>IFERROR(__xludf.DUMMYFUNCTION("""COMPUTED_VALUE"""),0.536231884057971)</f>
        <v>0.5362318841</v>
      </c>
      <c r="R1290" s="82">
        <f>IFERROR(__xludf.DUMMYFUNCTION("""COMPUTED_VALUE"""),1.3768115942028982)</f>
        <v>1.376811594</v>
      </c>
      <c r="S1290" s="82">
        <f>IFERROR(__xludf.DUMMYFUNCTION("""COMPUTED_VALUE"""),2.731884057971015)</f>
        <v>2.731884058</v>
      </c>
      <c r="T1290" s="82">
        <f>IFERROR(__xludf.DUMMYFUNCTION("""COMPUTED_VALUE"""),343.77403837383724)</f>
        <v>343.7740384</v>
      </c>
      <c r="U1290" s="82">
        <f>IFERROR(__xludf.DUMMYFUNCTION("""COMPUTED_VALUE"""),0.7485092421454628)</f>
        <v>0.7485092421</v>
      </c>
      <c r="V1290" s="82">
        <f>IFERROR(__xludf.DUMMYFUNCTION("""COMPUTED_VALUE"""),0.5544862270258314)</f>
        <v>0.554486227</v>
      </c>
      <c r="W1290" s="82">
        <f>IFERROR(__xludf.DUMMYFUNCTION("""COMPUTED_VALUE"""),1.295361029465464)</f>
        <v>1.295361029</v>
      </c>
      <c r="X1290" s="82">
        <f>IFERROR(__xludf.DUMMYFUNCTION("""COMPUTED_VALUE"""),2.589873470519489)</f>
        <v>2.589873471</v>
      </c>
      <c r="Y1290" s="82">
        <f>IFERROR(__xludf.DUMMYFUNCTION("""COMPUTED_VALUE"""),345.028550380406)</f>
        <v>345.0285504</v>
      </c>
      <c r="Z1290" s="82">
        <f>IFERROR(__xludf.DUMMYFUNCTION("""COMPUTED_VALUE"""),0.7373633515319599)</f>
        <v>0.7373633515</v>
      </c>
      <c r="AA1290" s="82">
        <f>IFERROR(__xludf.DUMMYFUNCTION("""COMPUTED_VALUE"""),0.5454050238977632)</f>
        <v>0.5454050239</v>
      </c>
      <c r="AB1290" s="82">
        <f>IFERROR(__xludf.DUMMYFUNCTION("""COMPUTED_VALUE"""),1.35292241974921)</f>
        <v>1.35292242</v>
      </c>
      <c r="AC1290" s="82">
        <f>IFERROR(__xludf.DUMMYFUNCTION("""COMPUTED_VALUE"""),2.5023151418084906)</f>
        <v>2.502315142</v>
      </c>
      <c r="AD1290" s="82">
        <f>IFERROR(__xludf.DUMMYFUNCTION("""COMPUTED_VALUE"""),1.0341299218070439)</f>
        <v>1.034129922</v>
      </c>
      <c r="AE1290" s="82">
        <f>IFERROR(__xludf.DUMMYFUNCTION("""COMPUTED_VALUE"""),0.6780917426411154)</f>
        <v>0.6780917426</v>
      </c>
      <c r="AF1290" s="82">
        <f>IFERROR(__xludf.DUMMYFUNCTION("""COMPUTED_VALUE"""),1.2754781188877429)</f>
        <v>1.275478119</v>
      </c>
      <c r="AG1290" s="82">
        <f>IFERROR(__xludf.DUMMYFUNCTION("""COMPUTED_VALUE"""),1.2854620556180816)</f>
        <v>1.285462056</v>
      </c>
      <c r="AH1290" s="82">
        <f>IFERROR(__xludf.DUMMYFUNCTION("""COMPUTED_VALUE"""),0.9816995861500643)</f>
        <v>0.9816995862</v>
      </c>
      <c r="AI1290" s="82">
        <f>IFERROR(__xludf.DUMMYFUNCTION("""COMPUTED_VALUE"""),1.0006994547375458)</f>
        <v>1.000699455</v>
      </c>
      <c r="AJ1290" s="82">
        <f>IFERROR(__xludf.DUMMYFUNCTION("""COMPUTED_VALUE"""),0.9874700179573317)</f>
        <v>0.987470018</v>
      </c>
      <c r="AK1290" s="82">
        <f>IFERROR(__xludf.DUMMYFUNCTION("""COMPUTED_VALUE"""),0.9670788162480183)</f>
        <v>0.9670788162</v>
      </c>
      <c r="AL1290" s="82">
        <f>IFERROR(__xludf.DUMMYFUNCTION("""COMPUTED_VALUE"""),1.0628786592190789)</f>
        <v>1.062878659</v>
      </c>
      <c r="AM1290" s="82">
        <f>IFERROR(__xludf.DUMMYFUNCTION("""COMPUTED_VALUE"""),1.0548330214074284)</f>
        <v>1.054833021</v>
      </c>
      <c r="AN1290" s="82">
        <f>IFERROR(__xludf.DUMMYFUNCTION("""COMPUTED_VALUE"""),1.0321127127324037)</f>
        <v>1.032112713</v>
      </c>
      <c r="AO1290" s="82">
        <f>IFERROR(__xludf.DUMMYFUNCTION("""COMPUTED_VALUE"""),0.6617582206727459)</f>
        <v>0.6617582207</v>
      </c>
      <c r="AP1290" s="82">
        <f>IFERROR(__xludf.DUMMYFUNCTION("""COMPUTED_VALUE"""),1.2514935514016647)</f>
        <v>1.251493551</v>
      </c>
      <c r="AQ1290" s="82">
        <f>IFERROR(__xludf.DUMMYFUNCTION("""COMPUTED_VALUE"""),1.2854161006439029)</f>
        <v>1.285416101</v>
      </c>
      <c r="AR1290" s="82">
        <f>IFERROR(__xludf.DUMMYFUNCTION("""COMPUTED_VALUE"""),0.9635258947086339)</f>
        <v>0.9635258947</v>
      </c>
      <c r="AS1290" s="82">
        <f>IFERROR(__xludf.DUMMYFUNCTION("""COMPUTED_VALUE"""),82.0)</f>
        <v>82</v>
      </c>
      <c r="AT1290" s="82">
        <f>IFERROR(__xludf.DUMMYFUNCTION("""COMPUTED_VALUE"""),0.4194815266441463)</f>
        <v>0.4194815266</v>
      </c>
      <c r="AU1290" s="82">
        <f>IFERROR(__xludf.DUMMYFUNCTION("""COMPUTED_VALUE"""),1.758461517747474)</f>
        <v>1.758461518</v>
      </c>
      <c r="AV1290" s="82">
        <f>IFERROR(__xludf.DUMMYFUNCTION("""COMPUTED_VALUE"""),48.08267565682711)</f>
        <v>48.08267566</v>
      </c>
      <c r="AW1290" s="82">
        <f t="shared" si="1"/>
        <v>-2.130225376</v>
      </c>
      <c r="AX1290" s="83">
        <f t="array" ref="AX1290">IFERROR(DGET('SBV Import'!A:G,"SBV",{"RSC ID","Tier";B1290,A1290}))</f>
        <v>55.71763793</v>
      </c>
      <c r="AY1290" s="82">
        <f t="shared" si="2"/>
        <v>2.441710849</v>
      </c>
      <c r="AZ1290" s="82">
        <v>4.571936225328522</v>
      </c>
      <c r="BA1290" s="84">
        <v>1200.0</v>
      </c>
      <c r="BB1290" s="84" t="b">
        <f>IFERROR(__xludf.DUMMYFUNCTION("iferror(if(A1290="""",,E1290&gt;=FILTER(Constants!$F$2:$F$10,Constants!$A$2:$A$10=A1290)))"),TRUE)</f>
        <v>1</v>
      </c>
    </row>
    <row r="1291">
      <c r="A1291" s="89" t="str">
        <f>IFERROR(__xludf.DUMMYFUNCTION("""COMPUTED_VALUE"""),"Veteran")</f>
        <v>Veteran</v>
      </c>
      <c r="B1291" s="87" t="str">
        <f>IFERROR(__xludf.DUMMYFUNCTION("""COMPUTED_VALUE"""),"RSC000023")</f>
        <v>RSC000023</v>
      </c>
      <c r="C1291" s="73" t="str">
        <f>IFERROR(__xludf.DUMMYFUNCTION("""COMPUTED_VALUE"""),"n0maa")</f>
        <v>n0maa</v>
      </c>
      <c r="D1291" s="73"/>
      <c r="E1291" s="82">
        <f>IFERROR(__xludf.DUMMYFUNCTION("""COMPUTED_VALUE"""),4.0)</f>
        <v>4</v>
      </c>
      <c r="F1291" s="82">
        <f>IFERROR(__xludf.DUMMYFUNCTION("""COMPUTED_VALUE"""),1.0)</f>
        <v>1</v>
      </c>
      <c r="G1291" s="86">
        <f>IFERROR(__xludf.DUMMYFUNCTION("""COMPUTED_VALUE"""),3.0)</f>
        <v>3</v>
      </c>
      <c r="H1291" s="86">
        <f>IFERROR(__xludf.DUMMYFUNCTION("""COMPUTED_VALUE"""),0.25)</f>
        <v>0.25</v>
      </c>
      <c r="I1291" s="86">
        <f>IFERROR(__xludf.DUMMYFUNCTION("""COMPUTED_VALUE"""),0.07692307692307693)</f>
        <v>0.07692307692</v>
      </c>
      <c r="J1291" s="82">
        <f>IFERROR(__xludf.DUMMYFUNCTION("""COMPUTED_VALUE"""),350.5)</f>
        <v>350.5</v>
      </c>
      <c r="K1291" s="82">
        <f>IFERROR(__xludf.DUMMYFUNCTION("""COMPUTED_VALUE"""),0.25)</f>
        <v>0.25</v>
      </c>
      <c r="L1291" s="82">
        <f>IFERROR(__xludf.DUMMYFUNCTION("""COMPUTED_VALUE"""),1.25)</f>
        <v>1.25</v>
      </c>
      <c r="M1291" s="82">
        <f>IFERROR(__xludf.DUMMYFUNCTION("""COMPUTED_VALUE"""),1.75)</f>
        <v>1.75</v>
      </c>
      <c r="N1291" s="82">
        <f>IFERROR(__xludf.DUMMYFUNCTION("""COMPUTED_VALUE"""),3.25)</f>
        <v>3.25</v>
      </c>
      <c r="O1291" s="82">
        <f>IFERROR(__xludf.DUMMYFUNCTION("""COMPUTED_VALUE"""),392.50000000000006)</f>
        <v>392.5</v>
      </c>
      <c r="P1291" s="82">
        <f>IFERROR(__xludf.DUMMYFUNCTION("""COMPUTED_VALUE"""),1.1666666666666667)</f>
        <v>1.166666667</v>
      </c>
      <c r="Q1291" s="82">
        <f>IFERROR(__xludf.DUMMYFUNCTION("""COMPUTED_VALUE"""),0.8333333333333334)</f>
        <v>0.8333333333</v>
      </c>
      <c r="R1291" s="82">
        <f>IFERROR(__xludf.DUMMYFUNCTION("""COMPUTED_VALUE"""),1.3333333333333333)</f>
        <v>1.333333333</v>
      </c>
      <c r="S1291" s="82">
        <f>IFERROR(__xludf.DUMMYFUNCTION("""COMPUTED_VALUE"""),3.3333333333333335)</f>
        <v>3.333333333</v>
      </c>
      <c r="T1291" s="82">
        <f>IFERROR(__xludf.DUMMYFUNCTION("""COMPUTED_VALUE"""),322.45652173913044)</f>
        <v>322.4565217</v>
      </c>
      <c r="U1291" s="82">
        <f>IFERROR(__xludf.DUMMYFUNCTION("""COMPUTED_VALUE"""),0.7780797101449276)</f>
        <v>0.7780797101</v>
      </c>
      <c r="V1291" s="82">
        <f>IFERROR(__xludf.DUMMYFUNCTION("""COMPUTED_VALUE"""),0.6899154589371981)</f>
        <v>0.6899154589</v>
      </c>
      <c r="W1291" s="82">
        <f>IFERROR(__xludf.DUMMYFUNCTION("""COMPUTED_VALUE"""),1.0552536231884055)</f>
        <v>1.055253623</v>
      </c>
      <c r="X1291" s="82">
        <f>IFERROR(__xludf.DUMMYFUNCTION("""COMPUTED_VALUE"""),2.676328502415459)</f>
        <v>2.676328502</v>
      </c>
      <c r="Y1291" s="82">
        <f>IFERROR(__xludf.DUMMYFUNCTION("""COMPUTED_VALUE"""),370.3084742351046)</f>
        <v>370.3084742</v>
      </c>
      <c r="Z1291" s="82">
        <f>IFERROR(__xludf.DUMMYFUNCTION("""COMPUTED_VALUE"""),0.8054549114331723)</f>
        <v>0.8054549114</v>
      </c>
      <c r="AA1291" s="82">
        <f>IFERROR(__xludf.DUMMYFUNCTION("""COMPUTED_VALUE"""),0.5871578099838971)</f>
        <v>0.58715781</v>
      </c>
      <c r="AB1291" s="82">
        <f>IFERROR(__xludf.DUMMYFUNCTION("""COMPUTED_VALUE"""),1.5579710144927539)</f>
        <v>1.557971014</v>
      </c>
      <c r="AC1291" s="82">
        <f>IFERROR(__xludf.DUMMYFUNCTION("""COMPUTED_VALUE"""),2.7034017713365537)</f>
        <v>2.703401771</v>
      </c>
      <c r="AD1291" s="82">
        <f>IFERROR(__xludf.DUMMYFUNCTION("""COMPUTED_VALUE"""),0.9465081800355224)</f>
        <v>0.94650818</v>
      </c>
      <c r="AE1291" s="82">
        <f>IFERROR(__xludf.DUMMYFUNCTION("""COMPUTED_VALUE"""),0.3103836061476946)</f>
        <v>0.3103836061</v>
      </c>
      <c r="AF1291" s="82">
        <f>IFERROR(__xludf.DUMMYFUNCTION("""COMPUTED_VALUE"""),2.1288995543366465)</f>
        <v>2.128899554</v>
      </c>
      <c r="AG1291" s="82">
        <f>IFERROR(__xludf.DUMMYFUNCTION("""COMPUTED_VALUE"""),1.1232558139534883)</f>
        <v>1.123255814</v>
      </c>
      <c r="AH1291" s="82">
        <f>IFERROR(__xludf.DUMMYFUNCTION("""COMPUTED_VALUE"""),1.2021890473176726)</f>
        <v>1.202189047</v>
      </c>
      <c r="AI1291" s="82">
        <f>IFERROR(__xludf.DUMMYFUNCTION("""COMPUTED_VALUE"""),1.2172183644576284)</f>
        <v>1.217218364</v>
      </c>
      <c r="AJ1291" s="82">
        <f>IFERROR(__xludf.DUMMYFUNCTION("""COMPUTED_VALUE"""),1.49941792782305)</f>
        <v>1.499417928</v>
      </c>
      <c r="AK1291" s="82">
        <f>IFERROR(__xludf.DUMMYFUNCTION("""COMPUTED_VALUE"""),1.2078774617067833)</f>
        <v>1.207877462</v>
      </c>
      <c r="AL1291" s="82">
        <f>IFERROR(__xludf.DUMMYFUNCTION("""COMPUTED_VALUE"""),1.2635193133047213)</f>
        <v>1.263519313</v>
      </c>
      <c r="AM1291" s="82">
        <f>IFERROR(__xludf.DUMMYFUNCTION("""COMPUTED_VALUE"""),1.2454873646209388)</f>
        <v>1.245487365</v>
      </c>
      <c r="AN1291" s="82">
        <f>IFERROR(__xludf.DUMMYFUNCTION("""COMPUTED_VALUE"""),1.0138763947714948)</f>
        <v>1.013876395</v>
      </c>
      <c r="AO1291" s="82">
        <f>IFERROR(__xludf.DUMMYFUNCTION("""COMPUTED_VALUE"""),0.33087911033637296)</f>
        <v>0.3308791103</v>
      </c>
      <c r="AP1291" s="82">
        <f>IFERROR(__xludf.DUMMYFUNCTION("""COMPUTED_VALUE"""),2.2487774751748666)</f>
        <v>2.248777475</v>
      </c>
      <c r="AQ1291" s="82">
        <f>IFERROR(__xludf.DUMMYFUNCTION("""COMPUTED_VALUE"""),1.2934499512729274)</f>
        <v>1.293449951</v>
      </c>
      <c r="AR1291" s="82">
        <f>IFERROR(__xludf.DUMMYFUNCTION("""COMPUTED_VALUE"""),1.274753285477352)</f>
        <v>1.274753285</v>
      </c>
      <c r="AS1291" s="82">
        <f>IFERROR(__xludf.DUMMYFUNCTION("""COMPUTED_VALUE"""),11.0)</f>
        <v>11</v>
      </c>
      <c r="AT1291" s="82">
        <f>IFERROR(__xludf.DUMMYFUNCTION("""COMPUTED_VALUE"""),0.3993768201200188)</f>
        <v>0.3993768201</v>
      </c>
      <c r="AU1291" s="82">
        <f>IFERROR(__xludf.DUMMYFUNCTION("""COMPUTED_VALUE"""),1.7576624721309644)</f>
        <v>1.757662472</v>
      </c>
      <c r="AV1291" s="82">
        <f>IFERROR(__xludf.DUMMYFUNCTION("""COMPUTED_VALUE"""),48.05410810304415)</f>
        <v>48.0541081</v>
      </c>
      <c r="AW1291" s="82">
        <f t="shared" si="1"/>
        <v>-2.132289894</v>
      </c>
      <c r="AX1291" s="83">
        <f t="array" ref="AX1291">IFERROR(DGET('SBV Import'!A:G,"SBV",{"RSC ID","Tier";B1291,A1291}))</f>
        <v>41.11590718</v>
      </c>
      <c r="AY1291" s="82">
        <f t="shared" si="2"/>
        <v>-2.76886691</v>
      </c>
      <c r="AZ1291" s="82">
        <v>0.6365770167514002</v>
      </c>
      <c r="BA1291" s="84">
        <v>1200.0</v>
      </c>
      <c r="BB1291" s="84" t="b">
        <f>IFERROR(__xludf.DUMMYFUNCTION("iferror(if(A1291="""",,E1291&gt;=FILTER(Constants!$F$2:$F$10,Constants!$A$2:$A$10=A1291)))"),TRUE)</f>
        <v>1</v>
      </c>
    </row>
    <row r="1292">
      <c r="A1292" s="89" t="str">
        <f>IFERROR(__xludf.DUMMYFUNCTION("""COMPUTED_VALUE"""),"Veteran")</f>
        <v>Veteran</v>
      </c>
      <c r="B1292" s="87" t="str">
        <f>IFERROR(__xludf.DUMMYFUNCTION("""COMPUTED_VALUE"""),"RSC004859")</f>
        <v>RSC004859</v>
      </c>
      <c r="C1292" s="73" t="str">
        <f>IFERROR(__xludf.DUMMYFUNCTION("""COMPUTED_VALUE"""),"LowFadeEnthusiast")</f>
        <v>LowFadeEnthusiast</v>
      </c>
      <c r="D1292" s="73"/>
      <c r="E1292" s="82">
        <f>IFERROR(__xludf.DUMMYFUNCTION("""COMPUTED_VALUE"""),8.0)</f>
        <v>8</v>
      </c>
      <c r="F1292" s="82">
        <f>IFERROR(__xludf.DUMMYFUNCTION("""COMPUTED_VALUE"""),5.0)</f>
        <v>5</v>
      </c>
      <c r="G1292" s="86">
        <f>IFERROR(__xludf.DUMMYFUNCTION("""COMPUTED_VALUE"""),3.0)</f>
        <v>3</v>
      </c>
      <c r="H1292" s="86">
        <f>IFERROR(__xludf.DUMMYFUNCTION("""COMPUTED_VALUE"""),0.625)</f>
        <v>0.625</v>
      </c>
      <c r="I1292" s="86">
        <f>IFERROR(__xludf.DUMMYFUNCTION("""COMPUTED_VALUE"""),0.3157894736842105)</f>
        <v>0.3157894737</v>
      </c>
      <c r="J1292" s="82">
        <f>IFERROR(__xludf.DUMMYFUNCTION("""COMPUTED_VALUE"""),283.125)</f>
        <v>283.125</v>
      </c>
      <c r="K1292" s="82">
        <f>IFERROR(__xludf.DUMMYFUNCTION("""COMPUTED_VALUE"""),0.75)</f>
        <v>0.75</v>
      </c>
      <c r="L1292" s="82">
        <f>IFERROR(__xludf.DUMMYFUNCTION("""COMPUTED_VALUE"""),0.25)</f>
        <v>0.25</v>
      </c>
      <c r="M1292" s="82">
        <f>IFERROR(__xludf.DUMMYFUNCTION("""COMPUTED_VALUE"""),0.875)</f>
        <v>0.875</v>
      </c>
      <c r="N1292" s="82">
        <f>IFERROR(__xludf.DUMMYFUNCTION("""COMPUTED_VALUE"""),2.375)</f>
        <v>2.375</v>
      </c>
      <c r="O1292" s="82">
        <f>IFERROR(__xludf.DUMMYFUNCTION("""COMPUTED_VALUE"""),311.95833333333337)</f>
        <v>311.9583333</v>
      </c>
      <c r="P1292" s="82">
        <f>IFERROR(__xludf.DUMMYFUNCTION("""COMPUTED_VALUE"""),0.41666666666666663)</f>
        <v>0.4166666667</v>
      </c>
      <c r="Q1292" s="82">
        <f>IFERROR(__xludf.DUMMYFUNCTION("""COMPUTED_VALUE"""),0.375)</f>
        <v>0.375</v>
      </c>
      <c r="R1292" s="82">
        <f>IFERROR(__xludf.DUMMYFUNCTION("""COMPUTED_VALUE"""),1.3333333333333335)</f>
        <v>1.333333333</v>
      </c>
      <c r="S1292" s="82">
        <f>IFERROR(__xludf.DUMMYFUNCTION("""COMPUTED_VALUE"""),2.541666666666667)</f>
        <v>2.541666667</v>
      </c>
      <c r="T1292" s="82">
        <f>IFERROR(__xludf.DUMMYFUNCTION("""COMPUTED_VALUE"""),356.93443802835066)</f>
        <v>356.934438</v>
      </c>
      <c r="U1292" s="82">
        <f>IFERROR(__xludf.DUMMYFUNCTION("""COMPUTED_VALUE"""),0.7981566037467691)</f>
        <v>0.7981566037</v>
      </c>
      <c r="V1292" s="82">
        <f>IFERROR(__xludf.DUMMYFUNCTION("""COMPUTED_VALUE"""),0.5421871093457009)</f>
        <v>0.5421871093</v>
      </c>
      <c r="W1292" s="82">
        <f>IFERROR(__xludf.DUMMYFUNCTION("""COMPUTED_VALUE"""),1.4116905884756832)</f>
        <v>1.411690588</v>
      </c>
      <c r="X1292" s="82">
        <f>IFERROR(__xludf.DUMMYFUNCTION("""COMPUTED_VALUE"""),2.7417402594257068)</f>
        <v>2.741740259</v>
      </c>
      <c r="Y1292" s="82">
        <f>IFERROR(__xludf.DUMMYFUNCTION("""COMPUTED_VALUE"""),346.2571599398973)</f>
        <v>346.2571599</v>
      </c>
      <c r="Z1292" s="82">
        <f>IFERROR(__xludf.DUMMYFUNCTION("""COMPUTED_VALUE"""),0.6864383758593403)</f>
        <v>0.6864383759</v>
      </c>
      <c r="AA1292" s="82">
        <f>IFERROR(__xludf.DUMMYFUNCTION("""COMPUTED_VALUE"""),0.48536208544013815)</f>
        <v>0.4853620854</v>
      </c>
      <c r="AB1292" s="82">
        <f>IFERROR(__xludf.DUMMYFUNCTION("""COMPUTED_VALUE"""),1.4492879385968829)</f>
        <v>1.449287939</v>
      </c>
      <c r="AC1292" s="82">
        <f>IFERROR(__xludf.DUMMYFUNCTION("""COMPUTED_VALUE"""),2.445296483483781)</f>
        <v>2.445296483</v>
      </c>
      <c r="AD1292" s="82">
        <f>IFERROR(__xludf.DUMMYFUNCTION("""COMPUTED_VALUE"""),0.8176726224207013)</f>
        <v>0.8176726224</v>
      </c>
      <c r="AE1292" s="82">
        <f>IFERROR(__xludf.DUMMYFUNCTION("""COMPUTED_VALUE"""),1.0925962568177923)</f>
        <v>1.092596257</v>
      </c>
      <c r="AF1292" s="82">
        <f>IFERROR(__xludf.DUMMYFUNCTION("""COMPUTED_VALUE"""),0.5150793757886835)</f>
        <v>0.5150793758</v>
      </c>
      <c r="AG1292" s="82">
        <f>IFERROR(__xludf.DUMMYFUNCTION("""COMPUTED_VALUE"""),0.6037447609252338)</f>
        <v>0.6037447609</v>
      </c>
      <c r="AH1292" s="82">
        <f>IFERROR(__xludf.DUMMYFUNCTION("""COMPUTED_VALUE"""),0.9712523679813131)</f>
        <v>0.971252368</v>
      </c>
      <c r="AI1292" s="82">
        <f>IFERROR(__xludf.DUMMYFUNCTION("""COMPUTED_VALUE"""),0.8739933727228503)</f>
        <v>0.8739933727</v>
      </c>
      <c r="AJ1292" s="82">
        <f>IFERROR(__xludf.DUMMYFUNCTION("""COMPUTED_VALUE"""),0.5220362328780059)</f>
        <v>0.5220362329</v>
      </c>
      <c r="AK1292" s="82">
        <f>IFERROR(__xludf.DUMMYFUNCTION("""COMPUTED_VALUE"""),0.6916431496361864)</f>
        <v>0.6916431496</v>
      </c>
      <c r="AL1292" s="82">
        <f>IFERROR(__xludf.DUMMYFUNCTION("""COMPUTED_VALUE"""),0.9444940302202068)</f>
        <v>0.9444940302</v>
      </c>
      <c r="AM1292" s="82">
        <f>IFERROR(__xludf.DUMMYFUNCTION("""COMPUTED_VALUE"""),0.9270267881608348)</f>
        <v>0.9270267882</v>
      </c>
      <c r="AN1292" s="82">
        <f>IFERROR(__xludf.DUMMYFUNCTION("""COMPUTED_VALUE"""),0.8189836070461611)</f>
        <v>0.818983607</v>
      </c>
      <c r="AO1292" s="82">
        <f>IFERROR(__xludf.DUMMYFUNCTION("""COMPUTED_VALUE"""),0.992637331009119)</f>
        <v>0.992637331</v>
      </c>
      <c r="AP1292" s="82">
        <f>IFERROR(__xludf.DUMMYFUNCTION("""COMPUTED_VALUE"""),0.44975549503497325)</f>
        <v>0.449755495</v>
      </c>
      <c r="AQ1292" s="82">
        <f>IFERROR(__xludf.DUMMYFUNCTION("""COMPUTED_VALUE"""),0.6467249756364637)</f>
        <v>0.6467249756</v>
      </c>
      <c r="AR1292" s="82">
        <f>IFERROR(__xludf.DUMMYFUNCTION("""COMPUTED_VALUE"""),0.9315504778488342)</f>
        <v>0.9315504778</v>
      </c>
      <c r="AS1292" s="82">
        <f>IFERROR(__xludf.DUMMYFUNCTION("""COMPUTED_VALUE"""),16.0)</f>
        <v>16</v>
      </c>
      <c r="AT1292" s="82">
        <f>IFERROR(__xludf.DUMMYFUNCTION("""COMPUTED_VALUE"""),0.6590787936162182)</f>
        <v>0.6590787936</v>
      </c>
      <c r="AU1292" s="82">
        <f>IFERROR(__xludf.DUMMYFUNCTION("""COMPUTED_VALUE"""),1.7460012744430449)</f>
        <v>1.746001274</v>
      </c>
      <c r="AV1292" s="82">
        <f>IFERROR(__xludf.DUMMYFUNCTION("""COMPUTED_VALUE"""),47.63719587019997)</f>
        <v>47.63719587</v>
      </c>
      <c r="AW1292" s="82">
        <f t="shared" si="1"/>
        <v>-2.162858207</v>
      </c>
      <c r="AX1292" s="83">
        <f t="array" ref="AX1292">IFERROR(DGET('SBV Import'!A:G,"SBV",{"RSC ID","Tier";B1292,A1292}))</f>
        <v>22.80213082</v>
      </c>
      <c r="AY1292" s="82">
        <f t="shared" si="2"/>
        <v>-7.229802326</v>
      </c>
      <c r="AZ1292" s="82">
        <v>5.066944119016405</v>
      </c>
      <c r="BA1292" s="84">
        <v>1200.0</v>
      </c>
      <c r="BB1292" s="84" t="b">
        <f>IFERROR(__xludf.DUMMYFUNCTION("iferror(if(A1292="""",,E1292&gt;=FILTER(Constants!$F$2:$F$10,Constants!$A$2:$A$10=A1292)))"),TRUE)</f>
        <v>1</v>
      </c>
    </row>
    <row r="1293">
      <c r="A1293" s="89" t="str">
        <f>IFERROR(__xludf.DUMMYFUNCTION("""COMPUTED_VALUE"""),"Veteran")</f>
        <v>Veteran</v>
      </c>
      <c r="B1293" s="87" t="str">
        <f>IFERROR(__xludf.DUMMYFUNCTION("""COMPUTED_VALUE"""),"RSC004239")</f>
        <v>RSC004239</v>
      </c>
      <c r="C1293" s="73" t="str">
        <f>IFERROR(__xludf.DUMMYFUNCTION("""COMPUTED_VALUE"""),"Nitro")</f>
        <v>Nitro</v>
      </c>
      <c r="D1293" s="73" t="str">
        <f>IFERROR(__xludf.DUMMYFUNCTION("""COMPUTED_VALUE"""),"Mosaic Maestros")</f>
        <v>Mosaic Maestros</v>
      </c>
      <c r="E1293" s="82">
        <f>IFERROR(__xludf.DUMMYFUNCTION("""COMPUTED_VALUE"""),43.0)</f>
        <v>43</v>
      </c>
      <c r="F1293" s="82">
        <f>IFERROR(__xludf.DUMMYFUNCTION("""COMPUTED_VALUE"""),20.0)</f>
        <v>20</v>
      </c>
      <c r="G1293" s="86">
        <f>IFERROR(__xludf.DUMMYFUNCTION("""COMPUTED_VALUE"""),23.0)</f>
        <v>23</v>
      </c>
      <c r="H1293" s="86">
        <f>IFERROR(__xludf.DUMMYFUNCTION("""COMPUTED_VALUE"""),0.46511627906976744)</f>
        <v>0.4651162791</v>
      </c>
      <c r="I1293" s="86">
        <f>IFERROR(__xludf.DUMMYFUNCTION("""COMPUTED_VALUE"""),0.26771653543307083)</f>
        <v>0.2677165354</v>
      </c>
      <c r="J1293" s="82">
        <f>IFERROR(__xludf.DUMMYFUNCTION("""COMPUTED_VALUE"""),349.16279069767444)</f>
        <v>349.1627907</v>
      </c>
      <c r="K1293" s="82">
        <f>IFERROR(__xludf.DUMMYFUNCTION("""COMPUTED_VALUE"""),0.7906976744186046)</f>
        <v>0.7906976744</v>
      </c>
      <c r="L1293" s="82">
        <f>IFERROR(__xludf.DUMMYFUNCTION("""COMPUTED_VALUE"""),0.46511627906976744)</f>
        <v>0.4651162791</v>
      </c>
      <c r="M1293" s="82">
        <f>IFERROR(__xludf.DUMMYFUNCTION("""COMPUTED_VALUE"""),1.627906976744186)</f>
        <v>1.627906977</v>
      </c>
      <c r="N1293" s="82">
        <f>IFERROR(__xludf.DUMMYFUNCTION("""COMPUTED_VALUE"""),2.953488372093023)</f>
        <v>2.953488372</v>
      </c>
      <c r="O1293" s="82">
        <f>IFERROR(__xludf.DUMMYFUNCTION("""COMPUTED_VALUE"""),391.61240310077517)</f>
        <v>391.6124031</v>
      </c>
      <c r="P1293" s="82">
        <f>IFERROR(__xludf.DUMMYFUNCTION("""COMPUTED_VALUE"""),0.9534883720930236)</f>
        <v>0.9534883721</v>
      </c>
      <c r="Q1293" s="82">
        <f>IFERROR(__xludf.DUMMYFUNCTION("""COMPUTED_VALUE"""),0.7209302325581395)</f>
        <v>0.7209302326</v>
      </c>
      <c r="R1293" s="82">
        <f>IFERROR(__xludf.DUMMYFUNCTION("""COMPUTED_VALUE"""),1.4883720930232565)</f>
        <v>1.488372093</v>
      </c>
      <c r="S1293" s="82">
        <f>IFERROR(__xludf.DUMMYFUNCTION("""COMPUTED_VALUE"""),2.813953488372093)</f>
        <v>2.813953488</v>
      </c>
      <c r="T1293" s="82">
        <f>IFERROR(__xludf.DUMMYFUNCTION("""COMPUTED_VALUE"""),359.23467197066816)</f>
        <v>359.234672</v>
      </c>
      <c r="U1293" s="82">
        <f>IFERROR(__xludf.DUMMYFUNCTION("""COMPUTED_VALUE"""),0.8005937829986215)</f>
        <v>0.800593783</v>
      </c>
      <c r="V1293" s="82">
        <f>IFERROR(__xludf.DUMMYFUNCTION("""COMPUTED_VALUE"""),0.6505660156890234)</f>
        <v>0.6505660157</v>
      </c>
      <c r="W1293" s="82">
        <f>IFERROR(__xludf.DUMMYFUNCTION("""COMPUTED_VALUE"""),1.3456652997406469)</f>
        <v>1.3456653</v>
      </c>
      <c r="X1293" s="82">
        <f>IFERROR(__xludf.DUMMYFUNCTION("""COMPUTED_VALUE"""),2.6534532957778056)</f>
        <v>2.653453296</v>
      </c>
      <c r="Y1293" s="82">
        <f>IFERROR(__xludf.DUMMYFUNCTION("""COMPUTED_VALUE"""),353.9000144045011)</f>
        <v>353.9000144</v>
      </c>
      <c r="Z1293" s="82">
        <f>IFERROR(__xludf.DUMMYFUNCTION("""COMPUTED_VALUE"""),0.7851617399433933)</f>
        <v>0.7851617399</v>
      </c>
      <c r="AA1293" s="82">
        <f>IFERROR(__xludf.DUMMYFUNCTION("""COMPUTED_VALUE"""),0.5771189732791006)</f>
        <v>0.5771189733</v>
      </c>
      <c r="AB1293" s="82">
        <f>IFERROR(__xludf.DUMMYFUNCTION("""COMPUTED_VALUE"""),1.3450664426738288)</f>
        <v>1.345066443</v>
      </c>
      <c r="AC1293" s="82">
        <f>IFERROR(__xludf.DUMMYFUNCTION("""COMPUTED_VALUE"""),2.6490437360562145)</f>
        <v>2.649043736</v>
      </c>
      <c r="AD1293" s="82">
        <f>IFERROR(__xludf.DUMMYFUNCTION("""COMPUTED_VALUE"""),0.9866142313817141)</f>
        <v>0.9866142314</v>
      </c>
      <c r="AE1293" s="82">
        <f>IFERROR(__xludf.DUMMYFUNCTION("""COMPUTED_VALUE"""),1.0070506931165677)</f>
        <v>1.007050693</v>
      </c>
      <c r="AF1293" s="82">
        <f>IFERROR(__xludf.DUMMYFUNCTION("""COMPUTED_VALUE"""),0.8059278946021283)</f>
        <v>0.8059278946</v>
      </c>
      <c r="AG1293" s="82">
        <f>IFERROR(__xludf.DUMMYFUNCTION("""COMPUTED_VALUE"""),1.2102799721239828)</f>
        <v>1.210279972</v>
      </c>
      <c r="AH1293" s="82">
        <f>IFERROR(__xludf.DUMMYFUNCTION("""COMPUTED_VALUE"""),1.1149262399457598)</f>
        <v>1.11492624</v>
      </c>
      <c r="AI1293" s="82">
        <f>IFERROR(__xludf.DUMMYFUNCTION("""COMPUTED_VALUE"""),1.0901297498721134)</f>
        <v>1.09012975</v>
      </c>
      <c r="AJ1293" s="82">
        <f>IFERROR(__xludf.DUMMYFUNCTION("""COMPUTED_VALUE"""),1.190976488128269)</f>
        <v>1.190976488</v>
      </c>
      <c r="AK1293" s="82">
        <f>IFERROR(__xludf.DUMMYFUNCTION("""COMPUTED_VALUE"""),1.1081584576694994)</f>
        <v>1.108158458</v>
      </c>
      <c r="AL1293" s="82">
        <f>IFERROR(__xludf.DUMMYFUNCTION("""COMPUTED_VALUE"""),1.1060492481377902)</f>
        <v>1.106049248</v>
      </c>
      <c r="AM1293" s="82">
        <f>IFERROR(__xludf.DUMMYFUNCTION("""COMPUTED_VALUE"""),1.060487287584702)</f>
        <v>1.060487288</v>
      </c>
      <c r="AN1293" s="82">
        <f>IFERROR(__xludf.DUMMYFUNCTION("""COMPUTED_VALUE"""),1.0100083064790648)</f>
        <v>1.010008306</v>
      </c>
      <c r="AO1293" s="82">
        <f>IFERROR(__xludf.DUMMYFUNCTION("""COMPUTED_VALUE"""),1.046501372226668)</f>
        <v>1.046501372</v>
      </c>
      <c r="AP1293" s="82">
        <f>IFERROR(__xludf.DUMMYFUNCTION("""COMPUTED_VALUE"""),0.8367544093673921)</f>
        <v>0.8367544094</v>
      </c>
      <c r="AQ1293" s="82">
        <f>IFERROR(__xludf.DUMMYFUNCTION("""COMPUTED_VALUE"""),1.203209256998072)</f>
        <v>1.203209257</v>
      </c>
      <c r="AR1293" s="82">
        <f>IFERROR(__xludf.DUMMYFUNCTION("""COMPUTED_VALUE"""),1.15845200182915)</f>
        <v>1.158452002</v>
      </c>
      <c r="AS1293" s="82">
        <f>IFERROR(__xludf.DUMMYFUNCTION("""COMPUTED_VALUE"""),108.0)</f>
        <v>108</v>
      </c>
      <c r="AT1293" s="82">
        <f>IFERROR(__xludf.DUMMYFUNCTION("""COMPUTED_VALUE"""),0.44751811733392766)</f>
        <v>0.4475181173</v>
      </c>
      <c r="AU1293" s="82">
        <f>IFERROR(__xludf.DUMMYFUNCTION("""COMPUTED_VALUE"""),1.7446190709280835)</f>
        <v>1.744619071</v>
      </c>
      <c r="AV1293" s="82">
        <f>IFERROR(__xludf.DUMMYFUNCTION("""COMPUTED_VALUE"""),47.587779200567084)</f>
        <v>47.5877792</v>
      </c>
      <c r="AW1293" s="82">
        <f t="shared" si="1"/>
        <v>-2.166536591</v>
      </c>
      <c r="AX1293" s="83">
        <f t="array" ref="AX1293">IFERROR(DGET('SBV Import'!A:G,"SBV",{"RSC ID","Tier";B1293,A1293}))</f>
        <v>38.52872639</v>
      </c>
      <c r="AY1293" s="82">
        <f t="shared" si="2"/>
        <v>-3.094340844</v>
      </c>
      <c r="AZ1293" s="82">
        <v>0.9278042535950561</v>
      </c>
      <c r="BA1293" s="84">
        <v>1200.0</v>
      </c>
      <c r="BB1293" s="84" t="b">
        <f>IFERROR(__xludf.DUMMYFUNCTION("iferror(if(A1293="""",,E1293&gt;=FILTER(Constants!$F$2:$F$10,Constants!$A$2:$A$10=A1293)))"),TRUE)</f>
        <v>1</v>
      </c>
    </row>
    <row r="1294">
      <c r="A1294" s="89" t="str">
        <f>IFERROR(__xludf.DUMMYFUNCTION("""COMPUTED_VALUE"""),"Veteran")</f>
        <v>Veteran</v>
      </c>
      <c r="B1294" s="87" t="str">
        <f>IFERROR(__xludf.DUMMYFUNCTION("""COMPUTED_VALUE"""),"RSC002730")</f>
        <v>RSC002730</v>
      </c>
      <c r="C1294" s="73" t="str">
        <f>IFERROR(__xludf.DUMMYFUNCTION("""COMPUTED_VALUE"""),"AquaP")</f>
        <v>AquaP</v>
      </c>
      <c r="D1294" s="73" t="str">
        <f>IFERROR(__xludf.DUMMYFUNCTION("""COMPUTED_VALUE"""),"Merciless Mob")</f>
        <v>Merciless Mob</v>
      </c>
      <c r="E1294" s="82">
        <f>IFERROR(__xludf.DUMMYFUNCTION("""COMPUTED_VALUE"""),20.0)</f>
        <v>20</v>
      </c>
      <c r="F1294" s="82">
        <f>IFERROR(__xludf.DUMMYFUNCTION("""COMPUTED_VALUE"""),9.0)</f>
        <v>9</v>
      </c>
      <c r="G1294" s="86">
        <f>IFERROR(__xludf.DUMMYFUNCTION("""COMPUTED_VALUE"""),11.0)</f>
        <v>11</v>
      </c>
      <c r="H1294" s="86">
        <f>IFERROR(__xludf.DUMMYFUNCTION("""COMPUTED_VALUE"""),0.45)</f>
        <v>0.45</v>
      </c>
      <c r="I1294" s="86">
        <f>IFERROR(__xludf.DUMMYFUNCTION("""COMPUTED_VALUE"""),0.3863636363636363)</f>
        <v>0.3863636364</v>
      </c>
      <c r="J1294" s="82">
        <f>IFERROR(__xludf.DUMMYFUNCTION("""COMPUTED_VALUE"""),321.8)</f>
        <v>321.8</v>
      </c>
      <c r="K1294" s="82">
        <f>IFERROR(__xludf.DUMMYFUNCTION("""COMPUTED_VALUE"""),0.85)</f>
        <v>0.85</v>
      </c>
      <c r="L1294" s="82">
        <f>IFERROR(__xludf.DUMMYFUNCTION("""COMPUTED_VALUE"""),0.55)</f>
        <v>0.55</v>
      </c>
      <c r="M1294" s="82">
        <f>IFERROR(__xludf.DUMMYFUNCTION("""COMPUTED_VALUE"""),0.9)</f>
        <v>0.9</v>
      </c>
      <c r="N1294" s="82">
        <f>IFERROR(__xludf.DUMMYFUNCTION("""COMPUTED_VALUE"""),2.2)</f>
        <v>2.2</v>
      </c>
      <c r="O1294" s="82">
        <f>IFERROR(__xludf.DUMMYFUNCTION("""COMPUTED_VALUE"""),350.43333333333334)</f>
        <v>350.4333333</v>
      </c>
      <c r="P1294" s="82">
        <f>IFERROR(__xludf.DUMMYFUNCTION("""COMPUTED_VALUE"""),0.8333333333333334)</f>
        <v>0.8333333333</v>
      </c>
      <c r="Q1294" s="82">
        <f>IFERROR(__xludf.DUMMYFUNCTION("""COMPUTED_VALUE"""),0.6166666666666667)</f>
        <v>0.6166666667</v>
      </c>
      <c r="R1294" s="82">
        <f>IFERROR(__xludf.DUMMYFUNCTION("""COMPUTED_VALUE"""),1.0999999999999999)</f>
        <v>1.1</v>
      </c>
      <c r="S1294" s="82">
        <f>IFERROR(__xludf.DUMMYFUNCTION("""COMPUTED_VALUE"""),2.8166666666666664)</f>
        <v>2.816666667</v>
      </c>
      <c r="T1294" s="82">
        <f>IFERROR(__xludf.DUMMYFUNCTION("""COMPUTED_VALUE"""),346.91490744446025)</f>
        <v>346.9149074</v>
      </c>
      <c r="U1294" s="82">
        <f>IFERROR(__xludf.DUMMYFUNCTION("""COMPUTED_VALUE"""),0.7573828621904831)</f>
        <v>0.7573828622</v>
      </c>
      <c r="V1294" s="82">
        <f>IFERROR(__xludf.DUMMYFUNCTION("""COMPUTED_VALUE"""),0.5726358908890036)</f>
        <v>0.5726358909</v>
      </c>
      <c r="W1294" s="82">
        <f>IFERROR(__xludf.DUMMYFUNCTION("""COMPUTED_VALUE"""),1.3207073075752416)</f>
        <v>1.320707308</v>
      </c>
      <c r="X1294" s="82">
        <f>IFERROR(__xludf.DUMMYFUNCTION("""COMPUTED_VALUE"""),2.4949539466789483)</f>
        <v>2.494953947</v>
      </c>
      <c r="Y1294" s="82">
        <f>IFERROR(__xludf.DUMMYFUNCTION("""COMPUTED_VALUE"""),343.9613895890864)</f>
        <v>343.9613896</v>
      </c>
      <c r="Z1294" s="82">
        <f>IFERROR(__xludf.DUMMYFUNCTION("""COMPUTED_VALUE"""),0.7680522043361336)</f>
        <v>0.7680522043</v>
      </c>
      <c r="AA1294" s="82">
        <f>IFERROR(__xludf.DUMMYFUNCTION("""COMPUTED_VALUE"""),0.5591251390750797)</f>
        <v>0.5591251391</v>
      </c>
      <c r="AB1294" s="82">
        <f>IFERROR(__xludf.DUMMYFUNCTION("""COMPUTED_VALUE"""),1.283404135542036)</f>
        <v>1.283404136</v>
      </c>
      <c r="AC1294" s="82">
        <f>IFERROR(__xludf.DUMMYFUNCTION("""COMPUTED_VALUE"""),2.6334628834125455)</f>
        <v>2.633462883</v>
      </c>
      <c r="AD1294" s="82">
        <f>IFERROR(__xludf.DUMMYFUNCTION("""COMPUTED_VALUE"""),0.9355701242643498)</f>
        <v>0.9355701243</v>
      </c>
      <c r="AE1294" s="82">
        <f>IFERROR(__xludf.DUMMYFUNCTION("""COMPUTED_VALUE"""),1.1066956063679265)</f>
        <v>1.106695606</v>
      </c>
      <c r="AF1294" s="82">
        <f>IFERROR(__xludf.DUMMYFUNCTION("""COMPUTED_VALUE"""),0.9836796122417699)</f>
        <v>0.9836796122</v>
      </c>
      <c r="AG1294" s="82">
        <f>IFERROR(__xludf.DUMMYFUNCTION("""COMPUTED_VALUE"""),0.7012600123965564)</f>
        <v>0.7012600124</v>
      </c>
      <c r="AH1294" s="82">
        <f>IFERROR(__xludf.DUMMYFUNCTION("""COMPUTED_VALUE"""),0.8354019393465508)</f>
        <v>0.8354019393</v>
      </c>
      <c r="AI1294" s="82">
        <f>IFERROR(__xludf.DUMMYFUNCTION("""COMPUTED_VALUE"""),1.010142042943013)</f>
        <v>1.010142043</v>
      </c>
      <c r="AJ1294" s="82">
        <f>IFERROR(__xludf.DUMMYFUNCTION("""COMPUTED_VALUE"""),1.1002801554331296)</f>
        <v>1.100280155</v>
      </c>
      <c r="AK1294" s="82">
        <f>IFERROR(__xludf.DUMMYFUNCTION("""COMPUTED_VALUE"""),1.0768914007630686)</f>
        <v>1.076891401</v>
      </c>
      <c r="AL1294" s="82">
        <f>IFERROR(__xludf.DUMMYFUNCTION("""COMPUTED_VALUE"""),0.8328870399146574)</f>
        <v>0.8328870399</v>
      </c>
      <c r="AM1294" s="82">
        <f>IFERROR(__xludf.DUMMYFUNCTION("""COMPUTED_VALUE"""),1.1289453540478982)</f>
        <v>1.128945354</v>
      </c>
      <c r="AN1294" s="82">
        <f>IFERROR(__xludf.DUMMYFUNCTION("""COMPUTED_VALUE"""),0.9308571293508333)</f>
        <v>0.9308571294</v>
      </c>
      <c r="AO1294" s="82">
        <f>IFERROR(__xludf.DUMMYFUNCTION("""COMPUTED_VALUE"""),1.1249889751436681)</f>
        <v>1.124988975</v>
      </c>
      <c r="AP1294" s="82">
        <f>IFERROR(__xludf.DUMMYFUNCTION("""COMPUTED_VALUE"""),0.9894620890769413)</f>
        <v>0.9894620891</v>
      </c>
      <c r="AQ1294" s="82">
        <f>IFERROR(__xludf.DUMMYFUNCTION("""COMPUTED_VALUE"""),0.6652028320832198)</f>
        <v>0.6652028321</v>
      </c>
      <c r="AR1294" s="82">
        <f>IFERROR(__xludf.DUMMYFUNCTION("""COMPUTED_VALUE"""),0.8629099163231306)</f>
        <v>0.8629099163</v>
      </c>
      <c r="AS1294" s="82">
        <f>IFERROR(__xludf.DUMMYFUNCTION("""COMPUTED_VALUE"""),41.0)</f>
        <v>41</v>
      </c>
      <c r="AT1294" s="82">
        <f>IFERROR(__xludf.DUMMYFUNCTION("""COMPUTED_VALUE"""),0.4239568763373168)</f>
        <v>0.4239568763</v>
      </c>
      <c r="AU1294" s="82">
        <f>IFERROR(__xludf.DUMMYFUNCTION("""COMPUTED_VALUE"""),1.7441428000941965)</f>
        <v>1.7441428</v>
      </c>
      <c r="AV1294" s="82">
        <f>IFERROR(__xludf.DUMMYFUNCTION("""COMPUTED_VALUE"""),47.57075152106894)</f>
        <v>47.57075152</v>
      </c>
      <c r="AW1294" s="82">
        <f t="shared" si="1"/>
        <v>-2.167806803</v>
      </c>
      <c r="AX1294" s="83">
        <f t="array" ref="AX1294">IFERROR(DGET('SBV Import'!A:G,"SBV",{"RSC ID","Tier";B1294,A1294}))</f>
        <v>39.0172176</v>
      </c>
      <c r="AY1294" s="82">
        <f t="shared" si="2"/>
        <v>-3.02830256</v>
      </c>
      <c r="AZ1294" s="82">
        <v>0.8604957573807916</v>
      </c>
      <c r="BA1294" s="84">
        <v>1200.0</v>
      </c>
      <c r="BB1294" s="84" t="b">
        <f>IFERROR(__xludf.DUMMYFUNCTION("iferror(if(A1294="""",,E1294&gt;=FILTER(Constants!$F$2:$F$10,Constants!$A$2:$A$10=A1294)))"),TRUE)</f>
        <v>1</v>
      </c>
    </row>
    <row r="1295">
      <c r="A1295" s="89" t="str">
        <f>IFERROR(__xludf.DUMMYFUNCTION("""COMPUTED_VALUE"""),"Veteran")</f>
        <v>Veteran</v>
      </c>
      <c r="B1295" s="87" t="str">
        <f>IFERROR(__xludf.DUMMYFUNCTION("""COMPUTED_VALUE"""),"RSC006000")</f>
        <v>RSC006000</v>
      </c>
      <c r="C1295" s="73" t="str">
        <f>IFERROR(__xludf.DUMMYFUNCTION("""COMPUTED_VALUE"""),"janixity.")</f>
        <v>janixity.</v>
      </c>
      <c r="D1295" s="73" t="str">
        <f>IFERROR(__xludf.DUMMYFUNCTION("""COMPUTED_VALUE"""),"Grizzly Bears")</f>
        <v>Grizzly Bears</v>
      </c>
      <c r="E1295" s="82">
        <f>IFERROR(__xludf.DUMMYFUNCTION("""COMPUTED_VALUE"""),40.0)</f>
        <v>40</v>
      </c>
      <c r="F1295" s="82">
        <f>IFERROR(__xludf.DUMMYFUNCTION("""COMPUTED_VALUE"""),21.0)</f>
        <v>21</v>
      </c>
      <c r="G1295" s="86">
        <f>IFERROR(__xludf.DUMMYFUNCTION("""COMPUTED_VALUE"""),19.0)</f>
        <v>19</v>
      </c>
      <c r="H1295" s="86">
        <f>IFERROR(__xludf.DUMMYFUNCTION("""COMPUTED_VALUE"""),0.525)</f>
        <v>0.525</v>
      </c>
      <c r="I1295" s="86">
        <f>IFERROR(__xludf.DUMMYFUNCTION("""COMPUTED_VALUE"""),0.30097087378640774)</f>
        <v>0.3009708738</v>
      </c>
      <c r="J1295" s="82">
        <f>IFERROR(__xludf.DUMMYFUNCTION("""COMPUTED_VALUE"""),352.6)</f>
        <v>352.6</v>
      </c>
      <c r="K1295" s="82">
        <f>IFERROR(__xludf.DUMMYFUNCTION("""COMPUTED_VALUE"""),0.775)</f>
        <v>0.775</v>
      </c>
      <c r="L1295" s="82">
        <f>IFERROR(__xludf.DUMMYFUNCTION("""COMPUTED_VALUE"""),0.475)</f>
        <v>0.475</v>
      </c>
      <c r="M1295" s="82">
        <f>IFERROR(__xludf.DUMMYFUNCTION("""COMPUTED_VALUE"""),1.55)</f>
        <v>1.55</v>
      </c>
      <c r="N1295" s="82">
        <f>IFERROR(__xludf.DUMMYFUNCTION("""COMPUTED_VALUE"""),2.575)</f>
        <v>2.575</v>
      </c>
      <c r="O1295" s="82">
        <f>IFERROR(__xludf.DUMMYFUNCTION("""COMPUTED_VALUE"""),356.1)</f>
        <v>356.1</v>
      </c>
      <c r="P1295" s="82">
        <f>IFERROR(__xludf.DUMMYFUNCTION("""COMPUTED_VALUE"""),0.8249999999999998)</f>
        <v>0.825</v>
      </c>
      <c r="Q1295" s="82">
        <f>IFERROR(__xludf.DUMMYFUNCTION("""COMPUTED_VALUE"""),0.55)</f>
        <v>0.55</v>
      </c>
      <c r="R1295" s="82">
        <f>IFERROR(__xludf.DUMMYFUNCTION("""COMPUTED_VALUE"""),1.4833333333333336)</f>
        <v>1.483333333</v>
      </c>
      <c r="S1295" s="82">
        <f>IFERROR(__xludf.DUMMYFUNCTION("""COMPUTED_VALUE"""),2.6166666666666676)</f>
        <v>2.616666667</v>
      </c>
      <c r="T1295" s="82">
        <f>IFERROR(__xludf.DUMMYFUNCTION("""COMPUTED_VALUE"""),356.631708189439)</f>
        <v>356.6317082</v>
      </c>
      <c r="U1295" s="82">
        <f>IFERROR(__xludf.DUMMYFUNCTION("""COMPUTED_VALUE"""),0.7803849387631125)</f>
        <v>0.7803849388</v>
      </c>
      <c r="V1295" s="82">
        <f>IFERROR(__xludf.DUMMYFUNCTION("""COMPUTED_VALUE"""),0.5704792148780092)</f>
        <v>0.5704792149</v>
      </c>
      <c r="W1295" s="82">
        <f>IFERROR(__xludf.DUMMYFUNCTION("""COMPUTED_VALUE"""),1.4786443948815005)</f>
        <v>1.478644395</v>
      </c>
      <c r="X1295" s="82">
        <f>IFERROR(__xludf.DUMMYFUNCTION("""COMPUTED_VALUE"""),2.5563217259022486)</f>
        <v>2.556321726</v>
      </c>
      <c r="Y1295" s="82">
        <f>IFERROR(__xludf.DUMMYFUNCTION("""COMPUTED_VALUE"""),358.99266943297573)</f>
        <v>358.9926694</v>
      </c>
      <c r="Z1295" s="82">
        <f>IFERROR(__xludf.DUMMYFUNCTION("""COMPUTED_VALUE"""),0.8316031914527633)</f>
        <v>0.8316031915</v>
      </c>
      <c r="AA1295" s="82">
        <f>IFERROR(__xludf.DUMMYFUNCTION("""COMPUTED_VALUE"""),0.5994860699370508)</f>
        <v>0.5994860699</v>
      </c>
      <c r="AB1295" s="82">
        <f>IFERROR(__xludf.DUMMYFUNCTION("""COMPUTED_VALUE"""),1.353528218655941)</f>
        <v>1.353528219</v>
      </c>
      <c r="AC1295" s="82">
        <f>IFERROR(__xludf.DUMMYFUNCTION("""COMPUTED_VALUE"""),2.7711305100376764)</f>
        <v>2.77113051</v>
      </c>
      <c r="AD1295" s="82">
        <f>IFERROR(__xludf.DUMMYFUNCTION("""COMPUTED_VALUE"""),0.9821927577432908)</f>
        <v>0.9821927577</v>
      </c>
      <c r="AE1295" s="82">
        <f>IFERROR(__xludf.DUMMYFUNCTION("""COMPUTED_VALUE"""),0.9319348554280068)</f>
        <v>0.9319348554</v>
      </c>
      <c r="AF1295" s="82">
        <f>IFERROR(__xludf.DUMMYFUNCTION("""COMPUTED_VALUE"""),0.7923453501594749)</f>
        <v>0.7923453502</v>
      </c>
      <c r="AG1295" s="82">
        <f>IFERROR(__xludf.DUMMYFUNCTION("""COMPUTED_VALUE"""),1.1451552901786979)</f>
        <v>1.14515529</v>
      </c>
      <c r="AH1295" s="82">
        <f>IFERROR(__xludf.DUMMYFUNCTION("""COMPUTED_VALUE"""),0.9292236474149282)</f>
        <v>0.9292236474</v>
      </c>
      <c r="AI1295" s="82">
        <f>IFERROR(__xludf.DUMMYFUNCTION("""COMPUTED_VALUE"""),0.9985090832440605)</f>
        <v>0.9985090832</v>
      </c>
      <c r="AJ1295" s="82">
        <f>IFERROR(__xludf.DUMMYFUNCTION("""COMPUTED_VALUE"""),1.0571705821329676)</f>
        <v>1.057170582</v>
      </c>
      <c r="AK1295" s="82">
        <f>IFERROR(__xludf.DUMMYFUNCTION("""COMPUTED_VALUE"""),0.9641017335182169)</f>
        <v>0.9641017335</v>
      </c>
      <c r="AL1295" s="82">
        <f>IFERROR(__xludf.DUMMYFUNCTION("""COMPUTED_VALUE"""),1.0031711062295061)</f>
        <v>1.003171106</v>
      </c>
      <c r="AM1295" s="82">
        <f>IFERROR(__xludf.DUMMYFUNCTION("""COMPUTED_VALUE"""),1.0236061604269002)</f>
        <v>1.02360616</v>
      </c>
      <c r="AN1295" s="82">
        <f>IFERROR(__xludf.DUMMYFUNCTION("""COMPUTED_VALUE"""),1.0199509751681286)</f>
        <v>1.019950975</v>
      </c>
      <c r="AO1295" s="82">
        <f>IFERROR(__xludf.DUMMYFUNCTION("""COMPUTED_VALUE"""),1.0257252420427563)</f>
        <v>1.025725242</v>
      </c>
      <c r="AP1295" s="82">
        <f>IFERROR(__xludf.DUMMYFUNCTION("""COMPUTED_VALUE"""),0.8545354405664491)</f>
        <v>0.8545354406</v>
      </c>
      <c r="AQ1295" s="82">
        <f>IFERROR(__xludf.DUMMYFUNCTION("""COMPUTED_VALUE"""),1.1456270996988787)</f>
        <v>1.1456271</v>
      </c>
      <c r="AR1295" s="82">
        <f>IFERROR(__xludf.DUMMYFUNCTION("""COMPUTED_VALUE"""),1.0099968338782097)</f>
        <v>1.009996834</v>
      </c>
      <c r="AS1295" s="82">
        <f>IFERROR(__xludf.DUMMYFUNCTION("""COMPUTED_VALUE"""),100.0)</f>
        <v>100</v>
      </c>
      <c r="AT1295" s="82">
        <f>IFERROR(__xludf.DUMMYFUNCTION("""COMPUTED_VALUE"""),0.5039819061272856)</f>
        <v>0.5039819061</v>
      </c>
      <c r="AU1295" s="82">
        <f>IFERROR(__xludf.DUMMYFUNCTION("""COMPUTED_VALUE"""),1.7343790018080125)</f>
        <v>1.734379002</v>
      </c>
      <c r="AV1295" s="82">
        <f>IFERROR(__xludf.DUMMYFUNCTION("""COMPUTED_VALUE"""),47.22167528949539)</f>
        <v>47.22167529</v>
      </c>
      <c r="AW1295" s="82">
        <f t="shared" si="1"/>
        <v>-2.194159195</v>
      </c>
      <c r="AX1295" s="83">
        <f t="array" ref="AX1295">IFERROR(DGET('SBV Import'!A:G,"SBV",{"RSC ID","Tier";B1295,A1295}))</f>
        <v>40.34082366</v>
      </c>
      <c r="AY1295" s="82">
        <f t="shared" si="2"/>
        <v>-2.860310256</v>
      </c>
      <c r="AZ1295" s="82">
        <v>0.6661510611126205</v>
      </c>
      <c r="BA1295" s="84">
        <v>1200.0</v>
      </c>
      <c r="BB1295" s="84" t="b">
        <f>IFERROR(__xludf.DUMMYFUNCTION("iferror(if(A1295="""",,E1295&gt;=FILTER(Constants!$F$2:$F$10,Constants!$A$2:$A$10=A1295)))"),TRUE)</f>
        <v>1</v>
      </c>
    </row>
    <row r="1296">
      <c r="A1296" s="89" t="str">
        <f>IFERROR(__xludf.DUMMYFUNCTION("""COMPUTED_VALUE"""),"Veteran")</f>
        <v>Veteran</v>
      </c>
      <c r="B1296" s="87" t="str">
        <f>IFERROR(__xludf.DUMMYFUNCTION("""COMPUTED_VALUE"""),"RSC000278")</f>
        <v>RSC000278</v>
      </c>
      <c r="C1296" s="73" t="str">
        <f>IFERROR(__xludf.DUMMYFUNCTION("""COMPUTED_VALUE"""),"Tinsel")</f>
        <v>Tinsel</v>
      </c>
      <c r="D1296" s="73" t="str">
        <f>IFERROR(__xludf.DUMMYFUNCTION("""COMPUTED_VALUE"""),"Peppermint")</f>
        <v>Peppermint</v>
      </c>
      <c r="E1296" s="82">
        <f>IFERROR(__xludf.DUMMYFUNCTION("""COMPUTED_VALUE"""),25.0)</f>
        <v>25</v>
      </c>
      <c r="F1296" s="82">
        <f>IFERROR(__xludf.DUMMYFUNCTION("""COMPUTED_VALUE"""),8.0)</f>
        <v>8</v>
      </c>
      <c r="G1296" s="86">
        <f>IFERROR(__xludf.DUMMYFUNCTION("""COMPUTED_VALUE"""),17.0)</f>
        <v>17</v>
      </c>
      <c r="H1296" s="86">
        <f>IFERROR(__xludf.DUMMYFUNCTION("""COMPUTED_VALUE"""),0.32)</f>
        <v>0.32</v>
      </c>
      <c r="I1296" s="86">
        <f>IFERROR(__xludf.DUMMYFUNCTION("""COMPUTED_VALUE"""),0.26865671641791045)</f>
        <v>0.2686567164</v>
      </c>
      <c r="J1296" s="82">
        <f>IFERROR(__xludf.DUMMYFUNCTION("""COMPUTED_VALUE"""),362.04)</f>
        <v>362.04</v>
      </c>
      <c r="K1296" s="82">
        <f>IFERROR(__xludf.DUMMYFUNCTION("""COMPUTED_VALUE"""),0.72)</f>
        <v>0.72</v>
      </c>
      <c r="L1296" s="82">
        <f>IFERROR(__xludf.DUMMYFUNCTION("""COMPUTED_VALUE"""),0.72)</f>
        <v>0.72</v>
      </c>
      <c r="M1296" s="82">
        <f>IFERROR(__xludf.DUMMYFUNCTION("""COMPUTED_VALUE"""),1.2)</f>
        <v>1.2</v>
      </c>
      <c r="N1296" s="82">
        <f>IFERROR(__xludf.DUMMYFUNCTION("""COMPUTED_VALUE"""),2.68)</f>
        <v>2.68</v>
      </c>
      <c r="O1296" s="82">
        <f>IFERROR(__xludf.DUMMYFUNCTION("""COMPUTED_VALUE"""),398.74666666666656)</f>
        <v>398.7466667</v>
      </c>
      <c r="P1296" s="82">
        <f>IFERROR(__xludf.DUMMYFUNCTION("""COMPUTED_VALUE"""),1.0933333333333335)</f>
        <v>1.093333333</v>
      </c>
      <c r="Q1296" s="82">
        <f>IFERROR(__xludf.DUMMYFUNCTION("""COMPUTED_VALUE"""),0.7733333333333334)</f>
        <v>0.7733333333</v>
      </c>
      <c r="R1296" s="82">
        <f>IFERROR(__xludf.DUMMYFUNCTION("""COMPUTED_VALUE"""),1.2799999999999998)</f>
        <v>1.28</v>
      </c>
      <c r="S1296" s="82">
        <f>IFERROR(__xludf.DUMMYFUNCTION("""COMPUTED_VALUE"""),3.213333333333333)</f>
        <v>3.213333333</v>
      </c>
      <c r="T1296" s="82">
        <f>IFERROR(__xludf.DUMMYFUNCTION("""COMPUTED_VALUE"""),354.4165335845695)</f>
        <v>354.4165336</v>
      </c>
      <c r="U1296" s="82">
        <f>IFERROR(__xludf.DUMMYFUNCTION("""COMPUTED_VALUE"""),0.7845030917886853)</f>
        <v>0.7845030918</v>
      </c>
      <c r="V1296" s="82">
        <f>IFERROR(__xludf.DUMMYFUNCTION("""COMPUTED_VALUE"""),0.5616383347291399)</f>
        <v>0.5616383347</v>
      </c>
      <c r="W1296" s="82">
        <f>IFERROR(__xludf.DUMMYFUNCTION("""COMPUTED_VALUE"""),1.3257437783201507)</f>
        <v>1.325743778</v>
      </c>
      <c r="X1296" s="82">
        <f>IFERROR(__xludf.DUMMYFUNCTION("""COMPUTED_VALUE"""),2.6079561017137265)</f>
        <v>2.607956102</v>
      </c>
      <c r="Y1296" s="82">
        <f>IFERROR(__xludf.DUMMYFUNCTION("""COMPUTED_VALUE"""),346.2411739307223)</f>
        <v>346.2411739</v>
      </c>
      <c r="Z1296" s="82">
        <f>IFERROR(__xludf.DUMMYFUNCTION("""COMPUTED_VALUE"""),0.7621163516149003)</f>
        <v>0.7621163516</v>
      </c>
      <c r="AA1296" s="82">
        <f>IFERROR(__xludf.DUMMYFUNCTION("""COMPUTED_VALUE"""),0.5561395804934298)</f>
        <v>0.5561395805</v>
      </c>
      <c r="AB1296" s="82">
        <f>IFERROR(__xludf.DUMMYFUNCTION("""COMPUTED_VALUE"""),1.2926036046084532)</f>
        <v>1.292603605</v>
      </c>
      <c r="AC1296" s="82">
        <f>IFERROR(__xludf.DUMMYFUNCTION("""COMPUTED_VALUE"""),2.5854616026043455)</f>
        <v>2.585461603</v>
      </c>
      <c r="AD1296" s="82">
        <f>IFERROR(__xludf.DUMMYFUNCTION("""COMPUTED_VALUE"""),1.0456295416571075)</f>
        <v>1.045629542</v>
      </c>
      <c r="AE1296" s="82">
        <f>IFERROR(__xludf.DUMMYFUNCTION("""COMPUTED_VALUE"""),0.9447376354992815)</f>
        <v>0.9447376355</v>
      </c>
      <c r="AF1296" s="82">
        <f>IFERROR(__xludf.DUMMYFUNCTION("""COMPUTED_VALUE"""),1.2946390173509796)</f>
        <v>1.294639017</v>
      </c>
      <c r="AG1296" s="82">
        <f>IFERROR(__xludf.DUMMYFUNCTION("""COMPUTED_VALUE"""),0.9283588531872429)</f>
        <v>0.9283588532</v>
      </c>
      <c r="AH1296" s="82">
        <f>IFERROR(__xludf.DUMMYFUNCTION("""COMPUTED_VALUE"""),1.0365653844173999)</f>
        <v>1.036565384</v>
      </c>
      <c r="AI1296" s="82">
        <f>IFERROR(__xludf.DUMMYFUNCTION("""COMPUTED_VALUE"""),1.125079190391436)</f>
        <v>1.12507919</v>
      </c>
      <c r="AJ1296" s="82">
        <f>IFERROR(__xludf.DUMMYFUNCTION("""COMPUTED_VALUE"""),1.3936635110519553)</f>
        <v>1.393663511</v>
      </c>
      <c r="AK1296" s="82">
        <f>IFERROR(__xludf.DUMMYFUNCTION("""COMPUTED_VALUE"""),1.3769240550616744)</f>
        <v>1.376924055</v>
      </c>
      <c r="AL1296" s="82">
        <f>IFERROR(__xludf.DUMMYFUNCTION("""COMPUTED_VALUE"""),0.965495762402813)</f>
        <v>0.9654957624</v>
      </c>
      <c r="AM1296" s="82">
        <f>IFERROR(__xludf.DUMMYFUNCTION("""COMPUTED_VALUE"""),1.2321270788345724)</f>
        <v>1.232127079</v>
      </c>
      <c r="AN1296" s="82">
        <f>IFERROR(__xludf.DUMMYFUNCTION("""COMPUTED_VALUE"""),1.0472576603796635)</f>
        <v>1.04725766</v>
      </c>
      <c r="AO1296" s="82">
        <f>IFERROR(__xludf.DUMMYFUNCTION("""COMPUTED_VALUE"""),0.9529318377687541)</f>
        <v>0.9529318378</v>
      </c>
      <c r="AP1296" s="82">
        <f>IFERROR(__xludf.DUMMYFUNCTION("""COMPUTED_VALUE"""),1.295295825700723)</f>
        <v>1.295295826</v>
      </c>
      <c r="AQ1296" s="82">
        <f>IFERROR(__xludf.DUMMYFUNCTION("""COMPUTED_VALUE"""),0.886937109444293)</f>
        <v>0.8869371094</v>
      </c>
      <c r="AR1296" s="82">
        <f>IFERROR(__xludf.DUMMYFUNCTION("""COMPUTED_VALUE"""),1.0511811707936318)</f>
        <v>1.051181171</v>
      </c>
      <c r="AS1296" s="82">
        <f>IFERROR(__xludf.DUMMYFUNCTION("""COMPUTED_VALUE"""),57.0)</f>
        <v>57</v>
      </c>
      <c r="AT1296" s="82">
        <f>IFERROR(__xludf.DUMMYFUNCTION("""COMPUTED_VALUE"""),0.3554807358197448)</f>
        <v>0.3554807358</v>
      </c>
      <c r="AU1296" s="82">
        <f>IFERROR(__xludf.DUMMYFUNCTION("""COMPUTED_VALUE"""),1.733290115157318)</f>
        <v>1.733290115</v>
      </c>
      <c r="AV1296" s="82">
        <f>IFERROR(__xludf.DUMMYFUNCTION("""COMPUTED_VALUE"""),47.18274531188892)</f>
        <v>47.18274531</v>
      </c>
      <c r="AW1296" s="82">
        <f t="shared" si="1"/>
        <v>-2.197135377</v>
      </c>
      <c r="AX1296" s="83">
        <f t="array" ref="AX1296">IFERROR(DGET('SBV Import'!A:G,"SBV",{"RSC ID","Tier";B1296,A1296}))</f>
        <v>45.12792226</v>
      </c>
      <c r="AY1296" s="82">
        <f t="shared" si="2"/>
        <v>-2.365507707</v>
      </c>
      <c r="AZ1296" s="82">
        <v>0.1683723302668736</v>
      </c>
      <c r="BA1296" s="84">
        <v>1200.0</v>
      </c>
      <c r="BB1296" s="84" t="b">
        <f>IFERROR(__xludf.DUMMYFUNCTION("iferror(if(A1296="""",,E1296&gt;=FILTER(Constants!$F$2:$F$10,Constants!$A$2:$A$10=A1296)))"),TRUE)</f>
        <v>1</v>
      </c>
    </row>
    <row r="1297">
      <c r="A1297" s="89" t="str">
        <f>IFERROR(__xludf.DUMMYFUNCTION("""COMPUTED_VALUE"""),"Veteran")</f>
        <v>Veteran</v>
      </c>
      <c r="B1297" s="87" t="str">
        <f>IFERROR(__xludf.DUMMYFUNCTION("""COMPUTED_VALUE"""),"RSC007024")</f>
        <v>RSC007024</v>
      </c>
      <c r="C1297" s="73" t="str">
        <f>IFERROR(__xludf.DUMMYFUNCTION("""COMPUTED_VALUE"""),"zxch(?)")</f>
        <v>zxch(?)</v>
      </c>
      <c r="D1297" s="73" t="str">
        <f>IFERROR(__xludf.DUMMYFUNCTION("""COMPUTED_VALUE"""),"Giraffes")</f>
        <v>Giraffes</v>
      </c>
      <c r="E1297" s="82">
        <f>IFERROR(__xludf.DUMMYFUNCTION("""COMPUTED_VALUE"""),39.0)</f>
        <v>39</v>
      </c>
      <c r="F1297" s="82">
        <f>IFERROR(__xludf.DUMMYFUNCTION("""COMPUTED_VALUE"""),19.0)</f>
        <v>19</v>
      </c>
      <c r="G1297" s="86">
        <f>IFERROR(__xludf.DUMMYFUNCTION("""COMPUTED_VALUE"""),20.0)</f>
        <v>20</v>
      </c>
      <c r="H1297" s="86">
        <f>IFERROR(__xludf.DUMMYFUNCTION("""COMPUTED_VALUE"""),0.48717948717948717)</f>
        <v>0.4871794872</v>
      </c>
      <c r="I1297" s="86">
        <f>IFERROR(__xludf.DUMMYFUNCTION("""COMPUTED_VALUE"""),0.27472527472527475)</f>
        <v>0.2747252747</v>
      </c>
      <c r="J1297" s="82">
        <f>IFERROR(__xludf.DUMMYFUNCTION("""COMPUTED_VALUE"""),332.7692307692308)</f>
        <v>332.7692308</v>
      </c>
      <c r="K1297" s="82">
        <f>IFERROR(__xludf.DUMMYFUNCTION("""COMPUTED_VALUE"""),0.6410256410256411)</f>
        <v>0.641025641</v>
      </c>
      <c r="L1297" s="82">
        <f>IFERROR(__xludf.DUMMYFUNCTION("""COMPUTED_VALUE"""),0.6923076923076923)</f>
        <v>0.6923076923</v>
      </c>
      <c r="M1297" s="82">
        <f>IFERROR(__xludf.DUMMYFUNCTION("""COMPUTED_VALUE"""),1.3076923076923077)</f>
        <v>1.307692308</v>
      </c>
      <c r="N1297" s="82">
        <f>IFERROR(__xludf.DUMMYFUNCTION("""COMPUTED_VALUE"""),2.3333333333333335)</f>
        <v>2.333333333</v>
      </c>
      <c r="O1297" s="82">
        <f>IFERROR(__xludf.DUMMYFUNCTION("""COMPUTED_VALUE"""),350.6581196581198)</f>
        <v>350.6581197</v>
      </c>
      <c r="P1297" s="82">
        <f>IFERROR(__xludf.DUMMYFUNCTION("""COMPUTED_VALUE"""),0.8290598290598289)</f>
        <v>0.8290598291</v>
      </c>
      <c r="Q1297" s="82">
        <f>IFERROR(__xludf.DUMMYFUNCTION("""COMPUTED_VALUE"""),0.5982905982905985)</f>
        <v>0.5982905983</v>
      </c>
      <c r="R1297" s="82">
        <f>IFERROR(__xludf.DUMMYFUNCTION("""COMPUTED_VALUE"""),1.3333333333333333)</f>
        <v>1.333333333</v>
      </c>
      <c r="S1297" s="82">
        <f>IFERROR(__xludf.DUMMYFUNCTION("""COMPUTED_VALUE"""),2.4957264957264953)</f>
        <v>2.495726496</v>
      </c>
      <c r="T1297" s="82">
        <f>IFERROR(__xludf.DUMMYFUNCTION("""COMPUTED_VALUE"""),345.5978894733007)</f>
        <v>345.5978895</v>
      </c>
      <c r="U1297" s="82">
        <f>IFERROR(__xludf.DUMMYFUNCTION("""COMPUTED_VALUE"""),0.7433686290249734)</f>
        <v>0.743368629</v>
      </c>
      <c r="V1297" s="82">
        <f>IFERROR(__xludf.DUMMYFUNCTION("""COMPUTED_VALUE"""),0.5523122823166291)</f>
        <v>0.5523122823</v>
      </c>
      <c r="W1297" s="82">
        <f>IFERROR(__xludf.DUMMYFUNCTION("""COMPUTED_VALUE"""),1.3688759220695585)</f>
        <v>1.368875922</v>
      </c>
      <c r="X1297" s="82">
        <f>IFERROR(__xludf.DUMMYFUNCTION("""COMPUTED_VALUE"""),2.5596730653089512)</f>
        <v>2.559673065</v>
      </c>
      <c r="Y1297" s="82">
        <f>IFERROR(__xludf.DUMMYFUNCTION("""COMPUTED_VALUE"""),350.9828574641097)</f>
        <v>350.9828575</v>
      </c>
      <c r="Z1297" s="82">
        <f>IFERROR(__xludf.DUMMYFUNCTION("""COMPUTED_VALUE"""),0.7709649165176423)</f>
        <v>0.7709649165</v>
      </c>
      <c r="AA1297" s="82">
        <f>IFERROR(__xludf.DUMMYFUNCTION("""COMPUTED_VALUE"""),0.5701482173183221)</f>
        <v>0.5701482173</v>
      </c>
      <c r="AB1297" s="82">
        <f>IFERROR(__xludf.DUMMYFUNCTION("""COMPUTED_VALUE"""),1.3695423730009324)</f>
        <v>1.369542373</v>
      </c>
      <c r="AC1297" s="82">
        <f>IFERROR(__xludf.DUMMYFUNCTION("""COMPUTED_VALUE"""),2.6062233170907283)</f>
        <v>2.606223317</v>
      </c>
      <c r="AD1297" s="82">
        <f>IFERROR(__xludf.DUMMYFUNCTION("""COMPUTED_VALUE"""),0.9481067912362603)</f>
        <v>0.9481067912</v>
      </c>
      <c r="AE1297" s="82">
        <f>IFERROR(__xludf.DUMMYFUNCTION("""COMPUTED_VALUE"""),0.8314588994802492)</f>
        <v>0.8314588995</v>
      </c>
      <c r="AF1297" s="82">
        <f>IFERROR(__xludf.DUMMYFUNCTION("""COMPUTED_VALUE"""),1.2142591545123902)</f>
        <v>1.214259155</v>
      </c>
      <c r="AG1297" s="82">
        <f>IFERROR(__xludf.DUMMYFUNCTION("""COMPUTED_VALUE"""),0.9548388815651616)</f>
        <v>0.9548388816</v>
      </c>
      <c r="AH1297" s="82">
        <f>IFERROR(__xludf.DUMMYFUNCTION("""COMPUTED_VALUE"""),0.8952929390325554)</f>
        <v>0.895292939</v>
      </c>
      <c r="AI1297" s="82">
        <f>IFERROR(__xludf.DUMMYFUNCTION("""COMPUTED_VALUE"""),1.0146419591639608)</f>
        <v>1.014641959</v>
      </c>
      <c r="AJ1297" s="82">
        <f>IFERROR(__xludf.DUMMYFUNCTION("""COMPUTED_VALUE"""),1.115274167739969)</f>
        <v>1.115274168</v>
      </c>
      <c r="AK1297" s="82">
        <f>IFERROR(__xludf.DUMMYFUNCTION("""COMPUTED_VALUE"""),1.0832469554743869)</f>
        <v>1.083246955</v>
      </c>
      <c r="AL1297" s="82">
        <f>IFERROR(__xludf.DUMMYFUNCTION("""COMPUTED_VALUE"""),0.9740352005881661)</f>
        <v>0.9740352006</v>
      </c>
      <c r="AM1297" s="82">
        <f>IFERROR(__xludf.DUMMYFUNCTION("""COMPUTED_VALUE"""),0.9750176807932549)</f>
        <v>0.9750176808</v>
      </c>
      <c r="AN1297" s="82">
        <f>IFERROR(__xludf.DUMMYFUNCTION("""COMPUTED_VALUE"""),0.962587355158891)</f>
        <v>0.9625873552</v>
      </c>
      <c r="AO1297" s="82">
        <f>IFERROR(__xludf.DUMMYFUNCTION("""COMPUTED_VALUE"""),0.8484079752214693)</f>
        <v>0.8484079752</v>
      </c>
      <c r="AP1297" s="82">
        <f>IFERROR(__xludf.DUMMYFUNCTION("""COMPUTED_VALUE"""),1.2454767554814645)</f>
        <v>1.245476755</v>
      </c>
      <c r="AQ1297" s="82">
        <f>IFERROR(__xludf.DUMMYFUNCTION("""COMPUTED_VALUE"""),0.9665340295226271)</f>
        <v>0.9665340295</v>
      </c>
      <c r="AR1297" s="82">
        <f>IFERROR(__xludf.DUMMYFUNCTION("""COMPUTED_VALUE"""),0.915207487009381)</f>
        <v>0.915207487</v>
      </c>
      <c r="AS1297" s="82">
        <f>IFERROR(__xludf.DUMMYFUNCTION("""COMPUTED_VALUE"""),82.0)</f>
        <v>82</v>
      </c>
      <c r="AT1297" s="82">
        <f>IFERROR(__xludf.DUMMYFUNCTION("""COMPUTED_VALUE"""),0.43532722497189763)</f>
        <v>0.435327225</v>
      </c>
      <c r="AU1297" s="82">
        <f>IFERROR(__xludf.DUMMYFUNCTION("""COMPUTED_VALUE"""),1.723561435402158)</f>
        <v>1.723561435</v>
      </c>
      <c r="AV1297" s="82">
        <f>IFERROR(__xludf.DUMMYFUNCTION("""COMPUTED_VALUE"""),46.834924641328506)</f>
        <v>46.83492464</v>
      </c>
      <c r="AW1297" s="82">
        <f t="shared" si="1"/>
        <v>-2.224064214</v>
      </c>
      <c r="AX1297" s="83">
        <f t="array" ref="AX1297">IFERROR(DGET('SBV Import'!A:G,"SBV",{"RSC ID","Tier";B1297,A1297}))</f>
        <v>49.64557127</v>
      </c>
      <c r="AY1297" s="82">
        <f t="shared" si="2"/>
        <v>-2.02288152</v>
      </c>
      <c r="AZ1297" s="82">
        <v>0.20118269418893053</v>
      </c>
      <c r="BA1297" s="84">
        <v>1200.0</v>
      </c>
      <c r="BB1297" s="84" t="b">
        <f>IFERROR(__xludf.DUMMYFUNCTION("iferror(if(A1297="""",,E1297&gt;=FILTER(Constants!$F$2:$F$10,Constants!$A$2:$A$10=A1297)))"),TRUE)</f>
        <v>1</v>
      </c>
    </row>
    <row r="1298">
      <c r="A1298" s="89" t="str">
        <f>IFERROR(__xludf.DUMMYFUNCTION("""COMPUTED_VALUE"""),"Veteran")</f>
        <v>Veteran</v>
      </c>
      <c r="B1298" s="87" t="str">
        <f>IFERROR(__xludf.DUMMYFUNCTION("""COMPUTED_VALUE"""),"RSC004385")</f>
        <v>RSC004385</v>
      </c>
      <c r="C1298" s="73" t="str">
        <f>IFERROR(__xludf.DUMMYFUNCTION("""COMPUTED_VALUE"""),"Braybaum02")</f>
        <v>Braybaum02</v>
      </c>
      <c r="D1298" s="73" t="str">
        <f>IFERROR(__xludf.DUMMYFUNCTION("""COMPUTED_VALUE"""),"Peppermint")</f>
        <v>Peppermint</v>
      </c>
      <c r="E1298" s="82">
        <f>IFERROR(__xludf.DUMMYFUNCTION("""COMPUTED_VALUE"""),43.0)</f>
        <v>43</v>
      </c>
      <c r="F1298" s="82">
        <f>IFERROR(__xludf.DUMMYFUNCTION("""COMPUTED_VALUE"""),17.0)</f>
        <v>17</v>
      </c>
      <c r="G1298" s="86">
        <f>IFERROR(__xludf.DUMMYFUNCTION("""COMPUTED_VALUE"""),26.0)</f>
        <v>26</v>
      </c>
      <c r="H1298" s="86">
        <f>IFERROR(__xludf.DUMMYFUNCTION("""COMPUTED_VALUE"""),0.3953488372093023)</f>
        <v>0.3953488372</v>
      </c>
      <c r="I1298" s="86">
        <f>IFERROR(__xludf.DUMMYFUNCTION("""COMPUTED_VALUE"""),0.4479166666666667)</f>
        <v>0.4479166667</v>
      </c>
      <c r="J1298" s="82">
        <f>IFERROR(__xludf.DUMMYFUNCTION("""COMPUTED_VALUE"""),371.9767441860465)</f>
        <v>371.9767442</v>
      </c>
      <c r="K1298" s="82">
        <f>IFERROR(__xludf.DUMMYFUNCTION("""COMPUTED_VALUE"""),1.0)</f>
        <v>1</v>
      </c>
      <c r="L1298" s="82">
        <f>IFERROR(__xludf.DUMMYFUNCTION("""COMPUTED_VALUE"""),0.4418604651162791)</f>
        <v>0.4418604651</v>
      </c>
      <c r="M1298" s="82">
        <f>IFERROR(__xludf.DUMMYFUNCTION("""COMPUTED_VALUE"""),1.5348837209302326)</f>
        <v>1.534883721</v>
      </c>
      <c r="N1298" s="82">
        <f>IFERROR(__xludf.DUMMYFUNCTION("""COMPUTED_VALUE"""),2.2325581395348837)</f>
        <v>2.23255814</v>
      </c>
      <c r="O1298" s="82">
        <f>IFERROR(__xludf.DUMMYFUNCTION("""COMPUTED_VALUE"""),377.3178294573644)</f>
        <v>377.3178295</v>
      </c>
      <c r="P1298" s="82">
        <f>IFERROR(__xludf.DUMMYFUNCTION("""COMPUTED_VALUE"""),0.9922480620155036)</f>
        <v>0.992248062</v>
      </c>
      <c r="Q1298" s="82">
        <f>IFERROR(__xludf.DUMMYFUNCTION("""COMPUTED_VALUE"""),0.6899224806201552)</f>
        <v>0.6899224806</v>
      </c>
      <c r="R1298" s="82">
        <f>IFERROR(__xludf.DUMMYFUNCTION("""COMPUTED_VALUE"""),1.170542635658915)</f>
        <v>1.170542636</v>
      </c>
      <c r="S1298" s="82">
        <f>IFERROR(__xludf.DUMMYFUNCTION("""COMPUTED_VALUE"""),3.178294573643411)</f>
        <v>3.178294574</v>
      </c>
      <c r="T1298" s="82">
        <f>IFERROR(__xludf.DUMMYFUNCTION("""COMPUTED_VALUE"""),348.0699200271507)</f>
        <v>348.06992</v>
      </c>
      <c r="U1298" s="82">
        <f>IFERROR(__xludf.DUMMYFUNCTION("""COMPUTED_VALUE"""),0.7723776309496103)</f>
        <v>0.7723776309</v>
      </c>
      <c r="V1298" s="82">
        <f>IFERROR(__xludf.DUMMYFUNCTION("""COMPUTED_VALUE"""),0.5599817907981021)</f>
        <v>0.5599817908</v>
      </c>
      <c r="W1298" s="82">
        <f>IFERROR(__xludf.DUMMYFUNCTION("""COMPUTED_VALUE"""),1.2974682349008633)</f>
        <v>1.297468235</v>
      </c>
      <c r="X1298" s="82">
        <f>IFERROR(__xludf.DUMMYFUNCTION("""COMPUTED_VALUE"""),2.605137208533206)</f>
        <v>2.605137209</v>
      </c>
      <c r="Y1298" s="82">
        <f>IFERROR(__xludf.DUMMYFUNCTION("""COMPUTED_VALUE"""),354.8815272836064)</f>
        <v>354.8815273</v>
      </c>
      <c r="Z1298" s="82">
        <f>IFERROR(__xludf.DUMMYFUNCTION("""COMPUTED_VALUE"""),0.8138104560010752)</f>
        <v>0.813810456</v>
      </c>
      <c r="AA1298" s="82">
        <f>IFERROR(__xludf.DUMMYFUNCTION("""COMPUTED_VALUE"""),0.5956456856405424)</f>
        <v>0.5956456856</v>
      </c>
      <c r="AB1298" s="82">
        <f>IFERROR(__xludf.DUMMYFUNCTION("""COMPUTED_VALUE"""),1.3206139809665254)</f>
        <v>1.320613981</v>
      </c>
      <c r="AC1298" s="82">
        <f>IFERROR(__xludf.DUMMYFUNCTION("""COMPUTED_VALUE"""),2.6006523721834065)</f>
        <v>2.600652372</v>
      </c>
      <c r="AD1298" s="82">
        <f>IFERROR(__xludf.DUMMYFUNCTION("""COMPUTED_VALUE"""),1.0481716166893589)</f>
        <v>1.048171617</v>
      </c>
      <c r="AE1298" s="82">
        <f>IFERROR(__xludf.DUMMYFUNCTION("""COMPUTED_VALUE"""),1.228787357825099)</f>
        <v>1.228787358</v>
      </c>
      <c r="AF1298" s="82">
        <f>IFERROR(__xludf.DUMMYFUNCTION("""COMPUTED_VALUE"""),0.7418176203880558)</f>
        <v>0.7418176204</v>
      </c>
      <c r="AG1298" s="82">
        <f>IFERROR(__xludf.DUMMYFUNCTION("""COMPUTED_VALUE"""),1.1622500920419518)</f>
        <v>1.162250092</v>
      </c>
      <c r="AH1298" s="82">
        <f>IFERROR(__xludf.DUMMYFUNCTION("""COMPUTED_VALUE"""),0.858460809070193)</f>
        <v>0.8584608091</v>
      </c>
      <c r="AI1298" s="82">
        <f>IFERROR(__xludf.DUMMYFUNCTION("""COMPUTED_VALUE"""),1.084028833712296)</f>
        <v>1.084028834</v>
      </c>
      <c r="AJ1298" s="82">
        <f>IFERROR(__xludf.DUMMYFUNCTION("""COMPUTED_VALUE"""),1.2846670103529159)</f>
        <v>1.28466701</v>
      </c>
      <c r="AK1298" s="82">
        <f>IFERROR(__xludf.DUMMYFUNCTION("""COMPUTED_VALUE"""),1.2320444913697246)</f>
        <v>1.232044491</v>
      </c>
      <c r="AL1298" s="82">
        <f>IFERROR(__xludf.DUMMYFUNCTION("""COMPUTED_VALUE"""),0.9021744071818094)</f>
        <v>0.9021744072</v>
      </c>
      <c r="AM1298" s="82">
        <f>IFERROR(__xludf.DUMMYFUNCTION("""COMPUTED_VALUE"""),1.2200104329372023)</f>
        <v>1.220010433</v>
      </c>
      <c r="AN1298" s="82">
        <f>IFERROR(__xludf.DUMMYFUNCTION("""COMPUTED_VALUE"""),1.07600125630296)</f>
        <v>1.076001256</v>
      </c>
      <c r="AO1298" s="82">
        <f>IFERROR(__xludf.DUMMYFUNCTION("""COMPUTED_VALUE"""),1.3235164413454918)</f>
        <v>1.323516441</v>
      </c>
      <c r="AP1298" s="82">
        <f>IFERROR(__xludf.DUMMYFUNCTION("""COMPUTED_VALUE"""),0.7949166888990226)</f>
        <v>0.7949166889</v>
      </c>
      <c r="AQ1298" s="82">
        <f>IFERROR(__xludf.DUMMYFUNCTION("""COMPUTED_VALUE"""),1.1344544423124678)</f>
        <v>1.134454442</v>
      </c>
      <c r="AR1298" s="82">
        <f>IFERROR(__xludf.DUMMYFUNCTION("""COMPUTED_VALUE"""),0.8756802533511685)</f>
        <v>0.8756802534</v>
      </c>
      <c r="AS1298" s="82">
        <f>IFERROR(__xludf.DUMMYFUNCTION("""COMPUTED_VALUE"""),95.0)</f>
        <v>95</v>
      </c>
      <c r="AT1298" s="82">
        <f>IFERROR(__xludf.DUMMYFUNCTION("""COMPUTED_VALUE"""),0.38268032757251497)</f>
        <v>0.3826803276</v>
      </c>
      <c r="AU1298" s="82">
        <f>IFERROR(__xludf.DUMMYFUNCTION("""COMPUTED_VALUE"""),1.7189166613065743)</f>
        <v>1.718916661</v>
      </c>
      <c r="AV1298" s="82">
        <f>IFERROR(__xludf.DUMMYFUNCTION("""COMPUTED_VALUE"""),46.66886424246805)</f>
        <v>46.66886424</v>
      </c>
      <c r="AW1298" s="82">
        <f t="shared" si="1"/>
        <v>-2.23713826</v>
      </c>
      <c r="AX1298" s="83">
        <f t="array" ref="AX1298">IFERROR(DGET('SBV Import'!A:G,"SBV",{"RSC ID","Tier";B1298,A1298}))</f>
        <v>40.85797546</v>
      </c>
      <c r="AY1298" s="82">
        <f t="shared" si="2"/>
        <v>-2.798756247</v>
      </c>
      <c r="AZ1298" s="82">
        <v>0.5616179878441243</v>
      </c>
      <c r="BA1298" s="84">
        <v>1200.0</v>
      </c>
      <c r="BB1298" s="84" t="b">
        <f>IFERROR(__xludf.DUMMYFUNCTION("iferror(if(A1298="""",,E1298&gt;=FILTER(Constants!$F$2:$F$10,Constants!$A$2:$A$10=A1298)))"),TRUE)</f>
        <v>1</v>
      </c>
    </row>
    <row r="1299">
      <c r="A1299" s="89" t="str">
        <f>IFERROR(__xludf.DUMMYFUNCTION("""COMPUTED_VALUE"""),"Veteran")</f>
        <v>Veteran</v>
      </c>
      <c r="B1299" s="87" t="str">
        <f>IFERROR(__xludf.DUMMYFUNCTION("""COMPUTED_VALUE"""),"RSC006700")</f>
        <v>RSC006700</v>
      </c>
      <c r="C1299" s="73" t="str">
        <f>IFERROR(__xludf.DUMMYFUNCTION("""COMPUTED_VALUE"""),"Terx")</f>
        <v>Terx</v>
      </c>
      <c r="D1299" s="73" t="str">
        <f>IFERROR(__xludf.DUMMYFUNCTION("""COMPUTED_VALUE"""),"Penguins")</f>
        <v>Penguins</v>
      </c>
      <c r="E1299" s="82">
        <f>IFERROR(__xludf.DUMMYFUNCTION("""COMPUTED_VALUE"""),48.0)</f>
        <v>48</v>
      </c>
      <c r="F1299" s="82">
        <f>IFERROR(__xludf.DUMMYFUNCTION("""COMPUTED_VALUE"""),30.0)</f>
        <v>30</v>
      </c>
      <c r="G1299" s="86">
        <f>IFERROR(__xludf.DUMMYFUNCTION("""COMPUTED_VALUE"""),18.0)</f>
        <v>18</v>
      </c>
      <c r="H1299" s="86">
        <f>IFERROR(__xludf.DUMMYFUNCTION("""COMPUTED_VALUE"""),0.625)</f>
        <v>0.625</v>
      </c>
      <c r="I1299" s="86">
        <f>IFERROR(__xludf.DUMMYFUNCTION("""COMPUTED_VALUE"""),0.2222222222222222)</f>
        <v>0.2222222222</v>
      </c>
      <c r="J1299" s="82">
        <f>IFERROR(__xludf.DUMMYFUNCTION("""COMPUTED_VALUE"""),284.0)</f>
        <v>284</v>
      </c>
      <c r="K1299" s="82">
        <f>IFERROR(__xludf.DUMMYFUNCTION("""COMPUTED_VALUE"""),0.5)</f>
        <v>0.5</v>
      </c>
      <c r="L1299" s="82">
        <f>IFERROR(__xludf.DUMMYFUNCTION("""COMPUTED_VALUE"""),0.7083333333333334)</f>
        <v>0.7083333333</v>
      </c>
      <c r="M1299" s="82">
        <f>IFERROR(__xludf.DUMMYFUNCTION("""COMPUTED_VALUE"""),1.0416666666666667)</f>
        <v>1.041666667</v>
      </c>
      <c r="N1299" s="82">
        <f>IFERROR(__xludf.DUMMYFUNCTION("""COMPUTED_VALUE"""),2.25)</f>
        <v>2.25</v>
      </c>
      <c r="O1299" s="82">
        <f>IFERROR(__xludf.DUMMYFUNCTION("""COMPUTED_VALUE"""),326.1805555555555)</f>
        <v>326.1805556</v>
      </c>
      <c r="P1299" s="82">
        <f>IFERROR(__xludf.DUMMYFUNCTION("""COMPUTED_VALUE"""),0.6597222222222222)</f>
        <v>0.6597222222</v>
      </c>
      <c r="Q1299" s="82">
        <f>IFERROR(__xludf.DUMMYFUNCTION("""COMPUTED_VALUE"""),0.4444444444444445)</f>
        <v>0.4444444444</v>
      </c>
      <c r="R1299" s="82">
        <f>IFERROR(__xludf.DUMMYFUNCTION("""COMPUTED_VALUE"""),1.4236111111111105)</f>
        <v>1.423611111</v>
      </c>
      <c r="S1299" s="82">
        <f>IFERROR(__xludf.DUMMYFUNCTION("""COMPUTED_VALUE"""),2.333333333333333)</f>
        <v>2.333333333</v>
      </c>
      <c r="T1299" s="82">
        <f>IFERROR(__xludf.DUMMYFUNCTION("""COMPUTED_VALUE"""),359.54960209566156)</f>
        <v>359.5496021</v>
      </c>
      <c r="U1299" s="82">
        <f>IFERROR(__xludf.DUMMYFUNCTION("""COMPUTED_VALUE"""),0.7971535856041218)</f>
        <v>0.7971535856</v>
      </c>
      <c r="V1299" s="82">
        <f>IFERROR(__xludf.DUMMYFUNCTION("""COMPUTED_VALUE"""),0.5925242620228892)</f>
        <v>0.592524262</v>
      </c>
      <c r="W1299" s="82">
        <f>IFERROR(__xludf.DUMMYFUNCTION("""COMPUTED_VALUE"""),1.3903557151041677)</f>
        <v>1.390355715</v>
      </c>
      <c r="X1299" s="82">
        <f>IFERROR(__xludf.DUMMYFUNCTION("""COMPUTED_VALUE"""),2.658260414735394)</f>
        <v>2.658260415</v>
      </c>
      <c r="Y1299" s="82">
        <f>IFERROR(__xludf.DUMMYFUNCTION("""COMPUTED_VALUE"""),354.5243851232999)</f>
        <v>354.5243851</v>
      </c>
      <c r="Z1299" s="82">
        <f>IFERROR(__xludf.DUMMYFUNCTION("""COMPUTED_VALUE"""),0.7988945611919035)</f>
        <v>0.7988945612</v>
      </c>
      <c r="AA1299" s="82">
        <f>IFERROR(__xludf.DUMMYFUNCTION("""COMPUTED_VALUE"""),0.578598734464139)</f>
        <v>0.5785987345</v>
      </c>
      <c r="AB1299" s="82">
        <f>IFERROR(__xludf.DUMMYFUNCTION("""COMPUTED_VALUE"""),1.3366852946505607)</f>
        <v>1.336685295</v>
      </c>
      <c r="AC1299" s="82">
        <f>IFERROR(__xludf.DUMMYFUNCTION("""COMPUTED_VALUE"""),2.6585123366629753)</f>
        <v>2.658512337</v>
      </c>
      <c r="AD1299" s="82">
        <f>IFERROR(__xludf.DUMMYFUNCTION("""COMPUTED_VALUE"""),0.8010732460652255)</f>
        <v>0.8010732461</v>
      </c>
      <c r="AE1299" s="82">
        <f>IFERROR(__xludf.DUMMYFUNCTION("""COMPUTED_VALUE"""),0.6258648190745341)</f>
        <v>0.6258648191</v>
      </c>
      <c r="AF1299" s="82">
        <f>IFERROR(__xludf.DUMMYFUNCTION("""COMPUTED_VALUE"""),1.2242220577778247)</f>
        <v>1.224222058</v>
      </c>
      <c r="AG1299" s="82">
        <f>IFERROR(__xludf.DUMMYFUNCTION("""COMPUTED_VALUE"""),0.7792908853231467)</f>
        <v>0.7792908853</v>
      </c>
      <c r="AH1299" s="82">
        <f>IFERROR(__xludf.DUMMYFUNCTION("""COMPUTED_VALUE"""),0.8463379947389114)</f>
        <v>0.8463379947</v>
      </c>
      <c r="AI1299" s="82">
        <f>IFERROR(__xludf.DUMMYFUNCTION("""COMPUTED_VALUE"""),0.9071920915901114)</f>
        <v>0.9071920916</v>
      </c>
      <c r="AJ1299" s="82">
        <f>IFERROR(__xludf.DUMMYFUNCTION("""COMPUTED_VALUE"""),0.8275973841631191)</f>
        <v>0.8275973842</v>
      </c>
      <c r="AK1299" s="82">
        <f>IFERROR(__xludf.DUMMYFUNCTION("""COMPUTED_VALUE"""),0.7500864908503537)</f>
        <v>0.7500864909</v>
      </c>
      <c r="AL1299" s="82">
        <f>IFERROR(__xludf.DUMMYFUNCTION("""COMPUTED_VALUE"""),1.0239186243100755)</f>
        <v>1.023918624</v>
      </c>
      <c r="AM1299" s="82">
        <f>IFERROR(__xludf.DUMMYFUNCTION("""COMPUTED_VALUE"""),0.877767024027853)</f>
        <v>0.877767024</v>
      </c>
      <c r="AN1299" s="82">
        <f>IFERROR(__xludf.DUMMYFUNCTION("""COMPUTED_VALUE"""),0.8215146822114252)</f>
        <v>0.8215146822</v>
      </c>
      <c r="AO1299" s="82">
        <f>IFERROR(__xludf.DUMMYFUNCTION("""COMPUTED_VALUE"""),0.6617582206727459)</f>
        <v>0.6617582207</v>
      </c>
      <c r="AP1299" s="82">
        <f>IFERROR(__xludf.DUMMYFUNCTION("""COMPUTED_VALUE"""),1.2743072359324243)</f>
        <v>1.274307236</v>
      </c>
      <c r="AQ1299" s="82">
        <f>IFERROR(__xludf.DUMMYFUNCTION("""COMPUTED_VALUE"""),0.7699106852815044)</f>
        <v>0.7699106853</v>
      </c>
      <c r="AR1299" s="82">
        <f>IFERROR(__xludf.DUMMYFUNCTION("""COMPUTED_VALUE"""),0.8825215053304745)</f>
        <v>0.8825215053</v>
      </c>
      <c r="AS1299" s="82">
        <f>IFERROR(__xludf.DUMMYFUNCTION("""COMPUTED_VALUE"""),126.0)</f>
        <v>126</v>
      </c>
      <c r="AT1299" s="82">
        <f>IFERROR(__xludf.DUMMYFUNCTION("""COMPUTED_VALUE"""),0.6077157055057264)</f>
        <v>0.6077157055</v>
      </c>
      <c r="AU1299" s="82">
        <f>IFERROR(__xludf.DUMMYFUNCTION("""COMPUTED_VALUE"""),1.6692450061212403)</f>
        <v>1.669245006</v>
      </c>
      <c r="AV1299" s="82">
        <f>IFERROR(__xludf.DUMMYFUNCTION("""COMPUTED_VALUE"""),44.89299857012487)</f>
        <v>44.89299857</v>
      </c>
      <c r="AW1299" s="82">
        <f t="shared" si="1"/>
        <v>-2.386251412</v>
      </c>
      <c r="AX1299" s="83">
        <f t="array" ref="AX1299">IFERROR(DGET('SBV Import'!A:G,"SBV",{"RSC ID","Tier";B1299,A1299}))</f>
        <v>33.53067467</v>
      </c>
      <c r="AY1299" s="82">
        <f t="shared" si="2"/>
        <v>-3.921249242</v>
      </c>
      <c r="AZ1299" s="82">
        <v>1.5349978300925842</v>
      </c>
      <c r="BA1299" s="84">
        <v>1200.0</v>
      </c>
      <c r="BB1299" s="84" t="b">
        <f>IFERROR(__xludf.DUMMYFUNCTION("iferror(if(A1299="""",,E1299&gt;=FILTER(Constants!$F$2:$F$10,Constants!$A$2:$A$10=A1299)))"),TRUE)</f>
        <v>1</v>
      </c>
    </row>
    <row r="1300">
      <c r="A1300" s="90" t="str">
        <f>IFERROR(__xludf.DUMMYFUNCTION("""COMPUTED_VALUE"""),"Veteran")</f>
        <v>Veteran</v>
      </c>
      <c r="B1300" s="87" t="str">
        <f>IFERROR(__xludf.DUMMYFUNCTION("""COMPUTED_VALUE"""),"RSC002747")</f>
        <v>RSC002747</v>
      </c>
      <c r="C1300" s="73" t="str">
        <f>IFERROR(__xludf.DUMMYFUNCTION("""COMPUTED_VALUE"""),"derrrrrrrrp")</f>
        <v>derrrrrrrrp</v>
      </c>
      <c r="D1300" s="73" t="str">
        <f>IFERROR(__xludf.DUMMYFUNCTION("""COMPUTED_VALUE"""),"Slots")</f>
        <v>Slots</v>
      </c>
      <c r="E1300" s="82">
        <f>IFERROR(__xludf.DUMMYFUNCTION("""COMPUTED_VALUE"""),25.0)</f>
        <v>25</v>
      </c>
      <c r="F1300" s="82">
        <f>IFERROR(__xludf.DUMMYFUNCTION("""COMPUTED_VALUE"""),14.0)</f>
        <v>14</v>
      </c>
      <c r="G1300" s="86">
        <f>IFERROR(__xludf.DUMMYFUNCTION("""COMPUTED_VALUE"""),11.0)</f>
        <v>11</v>
      </c>
      <c r="H1300" s="86">
        <f>IFERROR(__xludf.DUMMYFUNCTION("""COMPUTED_VALUE"""),0.56)</f>
        <v>0.56</v>
      </c>
      <c r="I1300" s="86">
        <f>IFERROR(__xludf.DUMMYFUNCTION("""COMPUTED_VALUE"""),0.32258064516129037)</f>
        <v>0.3225806452</v>
      </c>
      <c r="J1300" s="82">
        <f>IFERROR(__xludf.DUMMYFUNCTION("""COMPUTED_VALUE"""),320.96)</f>
        <v>320.96</v>
      </c>
      <c r="K1300" s="82">
        <f>IFERROR(__xludf.DUMMYFUNCTION("""COMPUTED_VALUE"""),0.8)</f>
        <v>0.8</v>
      </c>
      <c r="L1300" s="82">
        <f>IFERROR(__xludf.DUMMYFUNCTION("""COMPUTED_VALUE"""),0.44)</f>
        <v>0.44</v>
      </c>
      <c r="M1300" s="82">
        <f>IFERROR(__xludf.DUMMYFUNCTION("""COMPUTED_VALUE"""),1.48)</f>
        <v>1.48</v>
      </c>
      <c r="N1300" s="82">
        <f>IFERROR(__xludf.DUMMYFUNCTION("""COMPUTED_VALUE"""),2.48)</f>
        <v>2.48</v>
      </c>
      <c r="O1300" s="82">
        <f>IFERROR(__xludf.DUMMYFUNCTION("""COMPUTED_VALUE"""),346.63999999999993)</f>
        <v>346.64</v>
      </c>
      <c r="P1300" s="82">
        <f>IFERROR(__xludf.DUMMYFUNCTION("""COMPUTED_VALUE"""),0.7733333333333333)</f>
        <v>0.7733333333</v>
      </c>
      <c r="Q1300" s="82">
        <f>IFERROR(__xludf.DUMMYFUNCTION("""COMPUTED_VALUE"""),0.6533333333333333)</f>
        <v>0.6533333333</v>
      </c>
      <c r="R1300" s="82">
        <f>IFERROR(__xludf.DUMMYFUNCTION("""COMPUTED_VALUE"""),1.2933333333333332)</f>
        <v>1.293333333</v>
      </c>
      <c r="S1300" s="82">
        <f>IFERROR(__xludf.DUMMYFUNCTION("""COMPUTED_VALUE"""),2.973333333333333)</f>
        <v>2.973333333</v>
      </c>
      <c r="T1300" s="82">
        <f>IFERROR(__xludf.DUMMYFUNCTION("""COMPUTED_VALUE"""),364.1227057224059)</f>
        <v>364.1227057</v>
      </c>
      <c r="U1300" s="82">
        <f>IFERROR(__xludf.DUMMYFUNCTION("""COMPUTED_VALUE"""),0.8509903201242345)</f>
        <v>0.8509903201</v>
      </c>
      <c r="V1300" s="82">
        <f>IFERROR(__xludf.DUMMYFUNCTION("""COMPUTED_VALUE"""),0.5979168710337794)</f>
        <v>0.597916871</v>
      </c>
      <c r="W1300" s="82">
        <f>IFERROR(__xludf.DUMMYFUNCTION("""COMPUTED_VALUE"""),1.38636584174363)</f>
        <v>1.386365842</v>
      </c>
      <c r="X1300" s="82">
        <f>IFERROR(__xludf.DUMMYFUNCTION("""COMPUTED_VALUE"""),2.7370907480693334)</f>
        <v>2.737090748</v>
      </c>
      <c r="Y1300" s="82">
        <f>IFERROR(__xludf.DUMMYFUNCTION("""COMPUTED_VALUE"""),360.11287897241033)</f>
        <v>360.112879</v>
      </c>
      <c r="Z1300" s="82">
        <f>IFERROR(__xludf.DUMMYFUNCTION("""COMPUTED_VALUE"""),0.8253843935554953)</f>
        <v>0.8253843936</v>
      </c>
      <c r="AA1300" s="82">
        <f>IFERROR(__xludf.DUMMYFUNCTION("""COMPUTED_VALUE"""),0.5969964786128439)</f>
        <v>0.5969964786</v>
      </c>
      <c r="AB1300" s="82">
        <f>IFERROR(__xludf.DUMMYFUNCTION("""COMPUTED_VALUE"""),1.391816191898228)</f>
        <v>1.391816192</v>
      </c>
      <c r="AC1300" s="82">
        <f>IFERROR(__xludf.DUMMYFUNCTION("""COMPUTED_VALUE"""),2.6450754964640315)</f>
        <v>2.645075496</v>
      </c>
      <c r="AD1300" s="82">
        <f>IFERROR(__xludf.DUMMYFUNCTION("""COMPUTED_VALUE"""),0.8912760935289682)</f>
        <v>0.8912760935</v>
      </c>
      <c r="AE1300" s="82">
        <f>IFERROR(__xludf.DUMMYFUNCTION("""COMPUTED_VALUE"""),0.9692453676690599)</f>
        <v>0.9692453677</v>
      </c>
      <c r="AF1300" s="82">
        <f>IFERROR(__xludf.DUMMYFUNCTION("""COMPUTED_VALUE"""),0.73702277276805)</f>
        <v>0.7370227728</v>
      </c>
      <c r="AG1300" s="82">
        <f>IFERROR(__xludf.DUMMYFUNCTION("""COMPUTED_VALUE"""),1.0633588031344157)</f>
        <v>1.063358803</v>
      </c>
      <c r="AH1300" s="82">
        <f>IFERROR(__xludf.DUMMYFUNCTION("""COMPUTED_VALUE"""),0.9375913856959068)</f>
        <v>0.9375913857</v>
      </c>
      <c r="AI1300" s="82">
        <f>IFERROR(__xludf.DUMMYFUNCTION("""COMPUTED_VALUE"""),0.9519867741075885)</f>
        <v>0.9519867741</v>
      </c>
      <c r="AJ1300" s="82">
        <f>IFERROR(__xludf.DUMMYFUNCTION("""COMPUTED_VALUE"""),0.9087451584883314)</f>
        <v>0.9087451585</v>
      </c>
      <c r="AK1300" s="82">
        <f>IFERROR(__xludf.DUMMYFUNCTION("""COMPUTED_VALUE"""),1.0926825533518407)</f>
        <v>1.092682553</v>
      </c>
      <c r="AL1300" s="82">
        <f>IFERROR(__xludf.DUMMYFUNCTION("""COMPUTED_VALUE"""),0.9328946908463281)</f>
        <v>0.9328946908</v>
      </c>
      <c r="AM1300" s="82">
        <f>IFERROR(__xludf.DUMMYFUNCTION("""COMPUTED_VALUE"""),1.0863115647263937)</f>
        <v>1.086311565</v>
      </c>
      <c r="AN1300" s="82">
        <f>IFERROR(__xludf.DUMMYFUNCTION("""COMPUTED_VALUE"""),0.9284272971921796)</f>
        <v>0.9284272972</v>
      </c>
      <c r="AO1300" s="82">
        <f>IFERROR(__xludf.DUMMYFUNCTION("""COMPUTED_VALUE"""),1.0588131530763936)</f>
        <v>1.058813153</v>
      </c>
      <c r="AP1300" s="82">
        <f>IFERROR(__xludf.DUMMYFUNCTION("""COMPUTED_VALUE"""),0.791569671261553)</f>
        <v>0.7915696713</v>
      </c>
      <c r="AQ1300" s="82">
        <f>IFERROR(__xludf.DUMMYFUNCTION("""COMPUTED_VALUE"""),1.0938891016479615)</f>
        <v>1.093889102</v>
      </c>
      <c r="AR1300" s="82">
        <f>IFERROR(__xludf.DUMMYFUNCTION("""COMPUTED_VALUE"""),0.9727348147642563)</f>
        <v>0.9727348148</v>
      </c>
      <c r="AS1300" s="82">
        <f>IFERROR(__xludf.DUMMYFUNCTION("""COMPUTED_VALUE"""),60.0)</f>
        <v>60</v>
      </c>
      <c r="AT1300" s="82">
        <f>IFERROR(__xludf.DUMMYFUNCTION("""COMPUTED_VALUE"""),0.5132275554538239)</f>
        <v>0.5132275555</v>
      </c>
      <c r="AU1300" s="82">
        <f>IFERROR(__xludf.DUMMYFUNCTION("""COMPUTED_VALUE"""),1.6466608256907274)</f>
        <v>1.646660826</v>
      </c>
      <c r="AV1300" s="82">
        <f>IFERROR(__xludf.DUMMYFUNCTION("""COMPUTED_VALUE"""),44.085566834361124)</f>
        <v>44.08556683</v>
      </c>
      <c r="AW1300" s="82">
        <f t="shared" si="1"/>
        <v>-2.460070862</v>
      </c>
      <c r="AX1300" s="83">
        <f t="array" ref="AX1300">IFERROR(DGET('SBV Import'!A:G,"SBV",{"RSC ID","Tier";B1300,A1300}))</f>
        <v>27.61789091</v>
      </c>
      <c r="AY1300" s="82">
        <f t="shared" si="2"/>
        <v>-5.396143046</v>
      </c>
      <c r="AZ1300" s="82">
        <v>2.9360721845325566</v>
      </c>
      <c r="BA1300" s="84">
        <v>1200.0</v>
      </c>
      <c r="BB1300" s="84" t="b">
        <f>IFERROR(__xludf.DUMMYFUNCTION("iferror(if(A1300="""",,E1300&gt;=FILTER(Constants!$F$2:$F$10,Constants!$A$2:$A$10=A1300)))"),TRUE)</f>
        <v>1</v>
      </c>
    </row>
    <row r="1301">
      <c r="A1301" s="89" t="str">
        <f>IFERROR(__xludf.DUMMYFUNCTION("""COMPUTED_VALUE"""),"Veteran")</f>
        <v>Veteran</v>
      </c>
      <c r="B1301" s="87" t="str">
        <f>IFERROR(__xludf.DUMMYFUNCTION("""COMPUTED_VALUE"""),"RSC001612")</f>
        <v>RSC001612</v>
      </c>
      <c r="C1301" s="73" t="str">
        <f>IFERROR(__xludf.DUMMYFUNCTION("""COMPUTED_VALUE"""),"Reverse Fridge")</f>
        <v>Reverse Fridge</v>
      </c>
      <c r="D1301" s="73"/>
      <c r="E1301" s="82">
        <f>IFERROR(__xludf.DUMMYFUNCTION("""COMPUTED_VALUE"""),27.0)</f>
        <v>27</v>
      </c>
      <c r="F1301" s="82">
        <f>IFERROR(__xludf.DUMMYFUNCTION("""COMPUTED_VALUE"""),11.0)</f>
        <v>11</v>
      </c>
      <c r="G1301" s="86">
        <f>IFERROR(__xludf.DUMMYFUNCTION("""COMPUTED_VALUE"""),16.0)</f>
        <v>16</v>
      </c>
      <c r="H1301" s="86">
        <f>IFERROR(__xludf.DUMMYFUNCTION("""COMPUTED_VALUE"""),0.4074074074074074)</f>
        <v>0.4074074074</v>
      </c>
      <c r="I1301" s="86">
        <f>IFERROR(__xludf.DUMMYFUNCTION("""COMPUTED_VALUE"""),0.3)</f>
        <v>0.3</v>
      </c>
      <c r="J1301" s="82">
        <f>IFERROR(__xludf.DUMMYFUNCTION("""COMPUTED_VALUE"""),315.3703703703704)</f>
        <v>315.3703704</v>
      </c>
      <c r="K1301" s="82">
        <f>IFERROR(__xludf.DUMMYFUNCTION("""COMPUTED_VALUE"""),0.7777777777777778)</f>
        <v>0.7777777778</v>
      </c>
      <c r="L1301" s="82">
        <f>IFERROR(__xludf.DUMMYFUNCTION("""COMPUTED_VALUE"""),0.25925925925925924)</f>
        <v>0.2592592593</v>
      </c>
      <c r="M1301" s="82">
        <f>IFERROR(__xludf.DUMMYFUNCTION("""COMPUTED_VALUE"""),1.037037037037037)</f>
        <v>1.037037037</v>
      </c>
      <c r="N1301" s="82">
        <f>IFERROR(__xludf.DUMMYFUNCTION("""COMPUTED_VALUE"""),2.5925925925925926)</f>
        <v>2.592592593</v>
      </c>
      <c r="O1301" s="82">
        <f>IFERROR(__xludf.DUMMYFUNCTION("""COMPUTED_VALUE"""),340.22222222222223)</f>
        <v>340.2222222</v>
      </c>
      <c r="P1301" s="82">
        <f>IFERROR(__xludf.DUMMYFUNCTION("""COMPUTED_VALUE"""),0.728395061728395)</f>
        <v>0.7283950617</v>
      </c>
      <c r="Q1301" s="82">
        <f>IFERROR(__xludf.DUMMYFUNCTION("""COMPUTED_VALUE"""),0.4938271604938272)</f>
        <v>0.4938271605</v>
      </c>
      <c r="R1301" s="82">
        <f>IFERROR(__xludf.DUMMYFUNCTION("""COMPUTED_VALUE"""),1.3456790123456788)</f>
        <v>1.345679012</v>
      </c>
      <c r="S1301" s="82">
        <f>IFERROR(__xludf.DUMMYFUNCTION("""COMPUTED_VALUE"""),2.567901234567901)</f>
        <v>2.567901235</v>
      </c>
      <c r="T1301" s="82">
        <f>IFERROR(__xludf.DUMMYFUNCTION("""COMPUTED_VALUE"""),345.77325208265097)</f>
        <v>345.7732521</v>
      </c>
      <c r="U1301" s="82">
        <f>IFERROR(__xludf.DUMMYFUNCTION("""COMPUTED_VALUE"""),0.769372912162052)</f>
        <v>0.7693729122</v>
      </c>
      <c r="V1301" s="82">
        <f>IFERROR(__xludf.DUMMYFUNCTION("""COMPUTED_VALUE"""),0.5587842361572862)</f>
        <v>0.5587842362</v>
      </c>
      <c r="W1301" s="82">
        <f>IFERROR(__xludf.DUMMYFUNCTION("""COMPUTED_VALUE"""),1.2706581000747488)</f>
        <v>1.2706581</v>
      </c>
      <c r="X1301" s="82">
        <f>IFERROR(__xludf.DUMMYFUNCTION("""COMPUTED_VALUE"""),2.646118798173651)</f>
        <v>2.646118798</v>
      </c>
      <c r="Y1301" s="82">
        <f>IFERROR(__xludf.DUMMYFUNCTION("""COMPUTED_VALUE"""),342.49402373794146)</f>
        <v>342.4940237</v>
      </c>
      <c r="Z1301" s="82">
        <f>IFERROR(__xludf.DUMMYFUNCTION("""COMPUTED_VALUE"""),0.7022615433498954)</f>
        <v>0.7022615433</v>
      </c>
      <c r="AA1301" s="82">
        <f>IFERROR(__xludf.DUMMYFUNCTION("""COMPUTED_VALUE"""),0.5206699854487855)</f>
        <v>0.5206699854</v>
      </c>
      <c r="AB1301" s="82">
        <f>IFERROR(__xludf.DUMMYFUNCTION("""COMPUTED_VALUE"""),1.3700752115150463)</f>
        <v>1.370075212</v>
      </c>
      <c r="AC1301" s="82">
        <f>IFERROR(__xludf.DUMMYFUNCTION("""COMPUTED_VALUE"""),2.469459950924176)</f>
        <v>2.469459951</v>
      </c>
      <c r="AD1301" s="82">
        <f>IFERROR(__xludf.DUMMYFUNCTION("""COMPUTED_VALUE"""),0.9208054696209103)</f>
        <v>0.9208054696</v>
      </c>
      <c r="AE1301" s="82">
        <f>IFERROR(__xludf.DUMMYFUNCTION("""COMPUTED_VALUE"""),1.1075329200964905)</f>
        <v>1.10753292</v>
      </c>
      <c r="AF1301" s="82">
        <f>IFERROR(__xludf.DUMMYFUNCTION("""COMPUTED_VALUE"""),0.49793394377398903)</f>
        <v>0.4979339438</v>
      </c>
      <c r="AG1301" s="82">
        <f>IFERROR(__xludf.DUMMYFUNCTION("""COMPUTED_VALUE"""),0.7569197868270812)</f>
        <v>0.7569197868</v>
      </c>
      <c r="AH1301" s="82">
        <f>IFERROR(__xludf.DUMMYFUNCTION("""COMPUTED_VALUE"""),1.0498621739633134)</f>
        <v>1.049862174</v>
      </c>
      <c r="AI1301" s="82">
        <f>IFERROR(__xludf.DUMMYFUNCTION("""COMPUTED_VALUE"""),0.9839460402821967)</f>
        <v>0.9839460403</v>
      </c>
      <c r="AJ1301" s="82">
        <f>IFERROR(__xludf.DUMMYFUNCTION("""COMPUTED_VALUE"""),0.9467386363804996)</f>
        <v>0.9467386364</v>
      </c>
      <c r="AK1301" s="82">
        <f>IFERROR(__xludf.DUMMYFUNCTION("""COMPUTED_VALUE"""),0.8837528486663053)</f>
        <v>0.8837528487</v>
      </c>
      <c r="AL1301" s="82">
        <f>IFERROR(__xludf.DUMMYFUNCTION("""COMPUTED_VALUE"""),1.0590409900716147)</f>
        <v>1.05904099</v>
      </c>
      <c r="AM1301" s="82">
        <f>IFERROR(__xludf.DUMMYFUNCTION("""COMPUTED_VALUE"""),0.970440645499463)</f>
        <v>0.9704406455</v>
      </c>
      <c r="AN1301" s="82">
        <f>IFERROR(__xludf.DUMMYFUNCTION("""COMPUTED_VALUE"""),0.9122584140623743)</f>
        <v>0.9122584141</v>
      </c>
      <c r="AO1301" s="82">
        <f>IFERROR(__xludf.DUMMYFUNCTION("""COMPUTED_VALUE"""),1.0294016766020493)</f>
        <v>1.029401677</v>
      </c>
      <c r="AP1301" s="82">
        <f>IFERROR(__xludf.DUMMYFUNCTION("""COMPUTED_VALUE"""),0.4664131059621945)</f>
        <v>0.466413106</v>
      </c>
      <c r="AQ1301" s="82">
        <f>IFERROR(__xludf.DUMMYFUNCTION("""COMPUTED_VALUE"""),0.7664888600135865)</f>
        <v>0.76648886</v>
      </c>
      <c r="AR1301" s="82">
        <f>IFERROR(__xludf.DUMMYFUNCTION("""COMPUTED_VALUE"""),1.016897207788201)</f>
        <v>1.016897208</v>
      </c>
      <c r="AS1301" s="82">
        <f>IFERROR(__xludf.DUMMYFUNCTION("""COMPUTED_VALUE"""),47.0)</f>
        <v>47</v>
      </c>
      <c r="AT1301" s="82">
        <f>IFERROR(__xludf.DUMMYFUNCTION("""COMPUTED_VALUE"""),0.41661331966060194)</f>
        <v>0.4166133197</v>
      </c>
      <c r="AU1301" s="82">
        <f>IFERROR(__xludf.DUMMYFUNCTION("""COMPUTED_VALUE"""),1.641047879185615)</f>
        <v>1.641047879</v>
      </c>
      <c r="AV1301" s="82">
        <f>IFERROR(__xludf.DUMMYFUNCTION("""COMPUTED_VALUE"""),43.88489224475995)</f>
        <v>43.88489224</v>
      </c>
      <c r="AW1301" s="82">
        <f t="shared" si="1"/>
        <v>-2.479043326</v>
      </c>
      <c r="AX1301" s="83">
        <f t="array" ref="AX1301">IFERROR(DGET('SBV Import'!A:G,"SBV",{"RSC ID","Tier";B1301,A1301}))</f>
        <v>39.04008167</v>
      </c>
      <c r="AY1301" s="82">
        <f t="shared" si="2"/>
        <v>-3.025266814</v>
      </c>
      <c r="AZ1301" s="82">
        <v>0.5462234879620573</v>
      </c>
      <c r="BA1301" s="84">
        <v>1200.0</v>
      </c>
      <c r="BB1301" s="84" t="b">
        <f>IFERROR(__xludf.DUMMYFUNCTION("iferror(if(A1301="""",,E1301&gt;=FILTER(Constants!$F$2:$F$10,Constants!$A$2:$A$10=A1301)))"),TRUE)</f>
        <v>1</v>
      </c>
    </row>
    <row r="1302">
      <c r="A1302" s="89" t="str">
        <f>IFERROR(__xludf.DUMMYFUNCTION("""COMPUTED_VALUE"""),"Veteran")</f>
        <v>Veteran</v>
      </c>
      <c r="B1302" s="87" t="str">
        <f>IFERROR(__xludf.DUMMYFUNCTION("""COMPUTED_VALUE"""),"RSC005246")</f>
        <v>RSC005246</v>
      </c>
      <c r="C1302" s="73" t="str">
        <f>IFERROR(__xludf.DUMMYFUNCTION("""COMPUTED_VALUE"""),"Irishhhh")</f>
        <v>Irishhhh</v>
      </c>
      <c r="D1302" s="73" t="str">
        <f>IFERROR(__xludf.DUMMYFUNCTION("""COMPUTED_VALUE"""),"Mosaic Maestros")</f>
        <v>Mosaic Maestros</v>
      </c>
      <c r="E1302" s="82">
        <f>IFERROR(__xludf.DUMMYFUNCTION("""COMPUTED_VALUE"""),31.0)</f>
        <v>31</v>
      </c>
      <c r="F1302" s="82">
        <f>IFERROR(__xludf.DUMMYFUNCTION("""COMPUTED_VALUE"""),17.0)</f>
        <v>17</v>
      </c>
      <c r="G1302" s="86">
        <f>IFERROR(__xludf.DUMMYFUNCTION("""COMPUTED_VALUE"""),14.0)</f>
        <v>14</v>
      </c>
      <c r="H1302" s="86">
        <f>IFERROR(__xludf.DUMMYFUNCTION("""COMPUTED_VALUE"""),0.5483870967741935)</f>
        <v>0.5483870968</v>
      </c>
      <c r="I1302" s="86">
        <f>IFERROR(__xludf.DUMMYFUNCTION("""COMPUTED_VALUE"""),0.2727272727272727)</f>
        <v>0.2727272727</v>
      </c>
      <c r="J1302" s="82">
        <f>IFERROR(__xludf.DUMMYFUNCTION("""COMPUTED_VALUE"""),344.741935483871)</f>
        <v>344.7419355</v>
      </c>
      <c r="K1302" s="82">
        <f>IFERROR(__xludf.DUMMYFUNCTION("""COMPUTED_VALUE"""),0.7741935483870968)</f>
        <v>0.7741935484</v>
      </c>
      <c r="L1302" s="82">
        <f>IFERROR(__xludf.DUMMYFUNCTION("""COMPUTED_VALUE"""),0.41935483870967744)</f>
        <v>0.4193548387</v>
      </c>
      <c r="M1302" s="82">
        <f>IFERROR(__xludf.DUMMYFUNCTION("""COMPUTED_VALUE"""),1.3548387096774193)</f>
        <v>1.35483871</v>
      </c>
      <c r="N1302" s="82">
        <f>IFERROR(__xludf.DUMMYFUNCTION("""COMPUTED_VALUE"""),2.838709677419355)</f>
        <v>2.838709677</v>
      </c>
      <c r="O1302" s="82">
        <f>IFERROR(__xludf.DUMMYFUNCTION("""COMPUTED_VALUE"""),378.5913978494624)</f>
        <v>378.5913978</v>
      </c>
      <c r="P1302" s="82">
        <f>IFERROR(__xludf.DUMMYFUNCTION("""COMPUTED_VALUE"""),0.8709677419354838)</f>
        <v>0.8709677419</v>
      </c>
      <c r="Q1302" s="82">
        <f>IFERROR(__xludf.DUMMYFUNCTION("""COMPUTED_VALUE"""),0.6129032258064516)</f>
        <v>0.6129032258</v>
      </c>
      <c r="R1302" s="82">
        <f>IFERROR(__xludf.DUMMYFUNCTION("""COMPUTED_VALUE"""),1.5268817204301068)</f>
        <v>1.52688172</v>
      </c>
      <c r="S1302" s="82">
        <f>IFERROR(__xludf.DUMMYFUNCTION("""COMPUTED_VALUE"""),2.666666666666667)</f>
        <v>2.666666667</v>
      </c>
      <c r="T1302" s="82">
        <f>IFERROR(__xludf.DUMMYFUNCTION("""COMPUTED_VALUE"""),349.63022350716477)</f>
        <v>349.6302235</v>
      </c>
      <c r="U1302" s="82">
        <f>IFERROR(__xludf.DUMMYFUNCTION("""COMPUTED_VALUE"""),0.7877119659796883)</f>
        <v>0.787711966</v>
      </c>
      <c r="V1302" s="82">
        <f>IFERROR(__xludf.DUMMYFUNCTION("""COMPUTED_VALUE"""),0.5569325664912655)</f>
        <v>0.5569325665</v>
      </c>
      <c r="W1302" s="82">
        <f>IFERROR(__xludf.DUMMYFUNCTION("""COMPUTED_VALUE"""),1.3683569141782994)</f>
        <v>1.368356914</v>
      </c>
      <c r="X1302" s="82">
        <f>IFERROR(__xludf.DUMMYFUNCTION("""COMPUTED_VALUE"""),2.554953049743799)</f>
        <v>2.55495305</v>
      </c>
      <c r="Y1302" s="82">
        <f>IFERROR(__xludf.DUMMYFUNCTION("""COMPUTED_VALUE"""),359.8458126729262)</f>
        <v>359.8458127</v>
      </c>
      <c r="Z1302" s="82">
        <f>IFERROR(__xludf.DUMMYFUNCTION("""COMPUTED_VALUE"""),0.835970475388864)</f>
        <v>0.8359704754</v>
      </c>
      <c r="AA1302" s="82">
        <f>IFERROR(__xludf.DUMMYFUNCTION("""COMPUTED_VALUE"""),0.5957239365582016)</f>
        <v>0.5957239366</v>
      </c>
      <c r="AB1302" s="82">
        <f>IFERROR(__xludf.DUMMYFUNCTION("""COMPUTED_VALUE"""),1.3524418743216786)</f>
        <v>1.352441874</v>
      </c>
      <c r="AC1302" s="82">
        <f>IFERROR(__xludf.DUMMYFUNCTION("""COMPUTED_VALUE"""),2.6886482620930883)</f>
        <v>2.688648262</v>
      </c>
      <c r="AD1302" s="82">
        <f>IFERROR(__xludf.DUMMYFUNCTION("""COMPUTED_VALUE"""),0.9580268085465162)</f>
        <v>0.9580268085</v>
      </c>
      <c r="AE1302" s="82">
        <f>IFERROR(__xludf.DUMMYFUNCTION("""COMPUTED_VALUE"""),0.9261015444677866)</f>
        <v>0.9261015445</v>
      </c>
      <c r="AF1302" s="82">
        <f>IFERROR(__xludf.DUMMYFUNCTION("""COMPUTED_VALUE"""),0.7039415624836269)</f>
        <v>0.7039415625</v>
      </c>
      <c r="AG1302" s="82">
        <f>IFERROR(__xludf.DUMMYFUNCTION("""COMPUTED_VALUE"""),1.001772227998296)</f>
        <v>1.001772228</v>
      </c>
      <c r="AH1302" s="82">
        <f>IFERROR(__xludf.DUMMYFUNCTION("""COMPUTED_VALUE"""),1.0558129590404084)</f>
        <v>1.055812959</v>
      </c>
      <c r="AI1302" s="82">
        <f>IFERROR(__xludf.DUMMYFUNCTION("""COMPUTED_VALUE"""),1.0828337265920152)</f>
        <v>1.082833727</v>
      </c>
      <c r="AJ1302" s="82">
        <f>IFERROR(__xludf.DUMMYFUNCTION("""COMPUTED_VALUE"""),1.1056931715544642)</f>
        <v>1.105693172</v>
      </c>
      <c r="AK1302" s="82">
        <f>IFERROR(__xludf.DUMMYFUNCTION("""COMPUTED_VALUE"""),1.1004980902226766)</f>
        <v>1.10049809</v>
      </c>
      <c r="AL1302" s="82">
        <f>IFERROR(__xludf.DUMMYFUNCTION("""COMPUTED_VALUE"""),1.1158504806817904)</f>
        <v>1.115850481</v>
      </c>
      <c r="AM1302" s="82">
        <f>IFERROR(__xludf.DUMMYFUNCTION("""COMPUTED_VALUE"""),1.0437243325994072)</f>
        <v>1.043724333</v>
      </c>
      <c r="AN1302" s="82">
        <f>IFERROR(__xludf.DUMMYFUNCTION("""COMPUTED_VALUE"""),0.9972202872323378)</f>
        <v>0.9972202872</v>
      </c>
      <c r="AO1302" s="82">
        <f>IFERROR(__xludf.DUMMYFUNCTION("""COMPUTED_VALUE"""),1.0246578900739292)</f>
        <v>1.02465789</v>
      </c>
      <c r="AP1302" s="82">
        <f>IFERROR(__xludf.DUMMYFUNCTION("""COMPUTED_VALUE"""),0.7544285723167294)</f>
        <v>0.7544285723</v>
      </c>
      <c r="AQ1302" s="82">
        <f>IFERROR(__xludf.DUMMYFUNCTION("""COMPUTED_VALUE"""),1.001380607437105)</f>
        <v>1.001380607</v>
      </c>
      <c r="AR1302" s="82">
        <f>IFERROR(__xludf.DUMMYFUNCTION("""COMPUTED_VALUE"""),1.1134321500943622)</f>
        <v>1.11343215</v>
      </c>
      <c r="AS1302" s="82">
        <f>IFERROR(__xludf.DUMMYFUNCTION("""COMPUTED_VALUE"""),80.0)</f>
        <v>80</v>
      </c>
      <c r="AT1302" s="82">
        <f>IFERROR(__xludf.DUMMYFUNCTION("""COMPUTED_VALUE"""),0.4950171988517739)</f>
        <v>0.4950171989</v>
      </c>
      <c r="AU1302" s="82">
        <f>IFERROR(__xludf.DUMMYFUNCTION("""COMPUTED_VALUE"""),1.6236610922036405)</f>
        <v>1.623661092</v>
      </c>
      <c r="AV1302" s="82">
        <f>IFERROR(__xludf.DUMMYFUNCTION("""COMPUTED_VALUE"""),43.263278206765335)</f>
        <v>43.26327821</v>
      </c>
      <c r="AW1302" s="82">
        <f t="shared" si="1"/>
        <v>-2.539460379</v>
      </c>
      <c r="AX1302" s="83">
        <f t="array" ref="AX1302">IFERROR(DGET('SBV Import'!A:G,"SBV",{"RSC ID","Tier";B1302,A1302}))</f>
        <v>36.13013252</v>
      </c>
      <c r="AY1302" s="82">
        <f t="shared" si="2"/>
        <v>-3.454022085</v>
      </c>
      <c r="AZ1302" s="82">
        <v>0.9145617062553186</v>
      </c>
      <c r="BA1302" s="84">
        <v>1200.0</v>
      </c>
      <c r="BB1302" s="84" t="b">
        <f>IFERROR(__xludf.DUMMYFUNCTION("iferror(if(A1302="""",,E1302&gt;=FILTER(Constants!$F$2:$F$10,Constants!$A$2:$A$10=A1302)))"),TRUE)</f>
        <v>1</v>
      </c>
    </row>
    <row r="1303">
      <c r="A1303" s="89" t="str">
        <f>IFERROR(__xludf.DUMMYFUNCTION("""COMPUTED_VALUE"""),"Veteran")</f>
        <v>Veteran</v>
      </c>
      <c r="B1303" s="87" t="str">
        <f>IFERROR(__xludf.DUMMYFUNCTION("""COMPUTED_VALUE"""),"RSC003027")</f>
        <v>RSC003027</v>
      </c>
      <c r="C1303" s="73" t="str">
        <f>IFERROR(__xludf.DUMMYFUNCTION("""COMPUTED_VALUE"""),"Defiance")</f>
        <v>Defiance</v>
      </c>
      <c r="D1303" s="73" t="str">
        <f>IFERROR(__xludf.DUMMYFUNCTION("""COMPUTED_VALUE"""),"Paradox Paloma")</f>
        <v>Paradox Paloma</v>
      </c>
      <c r="E1303" s="82">
        <f>IFERROR(__xludf.DUMMYFUNCTION("""COMPUTED_VALUE"""),5.0)</f>
        <v>5</v>
      </c>
      <c r="F1303" s="82">
        <f>IFERROR(__xludf.DUMMYFUNCTION("""COMPUTED_VALUE"""),1.0)</f>
        <v>1</v>
      </c>
      <c r="G1303" s="86">
        <f>IFERROR(__xludf.DUMMYFUNCTION("""COMPUTED_VALUE"""),4.0)</f>
        <v>4</v>
      </c>
      <c r="H1303" s="86">
        <f>IFERROR(__xludf.DUMMYFUNCTION("""COMPUTED_VALUE"""),0.2)</f>
        <v>0.2</v>
      </c>
      <c r="I1303" s="86">
        <f>IFERROR(__xludf.DUMMYFUNCTION("""COMPUTED_VALUE"""),0.25)</f>
        <v>0.25</v>
      </c>
      <c r="J1303" s="82">
        <f>IFERROR(__xludf.DUMMYFUNCTION("""COMPUTED_VALUE"""),335.0)</f>
        <v>335</v>
      </c>
      <c r="K1303" s="82">
        <f>IFERROR(__xludf.DUMMYFUNCTION("""COMPUTED_VALUE"""),0.6)</f>
        <v>0.6</v>
      </c>
      <c r="L1303" s="82">
        <f>IFERROR(__xludf.DUMMYFUNCTION("""COMPUTED_VALUE"""),0.4)</f>
        <v>0.4</v>
      </c>
      <c r="M1303" s="82">
        <f>IFERROR(__xludf.DUMMYFUNCTION("""COMPUTED_VALUE"""),1.6)</f>
        <v>1.6</v>
      </c>
      <c r="N1303" s="82">
        <f>IFERROR(__xludf.DUMMYFUNCTION("""COMPUTED_VALUE"""),2.4)</f>
        <v>2.4</v>
      </c>
      <c r="O1303" s="82">
        <f>IFERROR(__xludf.DUMMYFUNCTION("""COMPUTED_VALUE"""),406.33333333333337)</f>
        <v>406.3333333</v>
      </c>
      <c r="P1303" s="82">
        <f>IFERROR(__xludf.DUMMYFUNCTION("""COMPUTED_VALUE"""),0.8666666666666666)</f>
        <v>0.8666666667</v>
      </c>
      <c r="Q1303" s="82">
        <f>IFERROR(__xludf.DUMMYFUNCTION("""COMPUTED_VALUE"""),0.39999999999999997)</f>
        <v>0.4</v>
      </c>
      <c r="R1303" s="82">
        <f>IFERROR(__xludf.DUMMYFUNCTION("""COMPUTED_VALUE"""),1.8)</f>
        <v>1.8</v>
      </c>
      <c r="S1303" s="82">
        <f>IFERROR(__xludf.DUMMYFUNCTION("""COMPUTED_VALUE"""),2.5999999999999996)</f>
        <v>2.6</v>
      </c>
      <c r="T1303" s="82">
        <f>IFERROR(__xludf.DUMMYFUNCTION("""COMPUTED_VALUE"""),358.3391940327424)</f>
        <v>358.339194</v>
      </c>
      <c r="U1303" s="82">
        <f>IFERROR(__xludf.DUMMYFUNCTION("""COMPUTED_VALUE"""),0.7572106747509973)</f>
        <v>0.7572106748</v>
      </c>
      <c r="V1303" s="82">
        <f>IFERROR(__xludf.DUMMYFUNCTION("""COMPUTED_VALUE"""),0.6154035450406419)</f>
        <v>0.615403545</v>
      </c>
      <c r="W1303" s="82">
        <f>IFERROR(__xludf.DUMMYFUNCTION("""COMPUTED_VALUE"""),1.4054088729491956)</f>
        <v>1.405408873</v>
      </c>
      <c r="X1303" s="82">
        <f>IFERROR(__xludf.DUMMYFUNCTION("""COMPUTED_VALUE"""),2.611519565753437)</f>
        <v>2.611519566</v>
      </c>
      <c r="Y1303" s="82">
        <f>IFERROR(__xludf.DUMMYFUNCTION("""COMPUTED_VALUE"""),334.66188389635977)</f>
        <v>334.6618839</v>
      </c>
      <c r="Z1303" s="82">
        <f>IFERROR(__xludf.DUMMYFUNCTION("""COMPUTED_VALUE"""),0.5974303298900073)</f>
        <v>0.5974303299</v>
      </c>
      <c r="AA1303" s="82">
        <f>IFERROR(__xludf.DUMMYFUNCTION("""COMPUTED_VALUE"""),0.4628264995200479)</f>
        <v>0.4628264995</v>
      </c>
      <c r="AB1303" s="82">
        <f>IFERROR(__xludf.DUMMYFUNCTION("""COMPUTED_VALUE"""),1.4000595353417933)</f>
        <v>1.400059535</v>
      </c>
      <c r="AC1303" s="82">
        <f>IFERROR(__xludf.DUMMYFUNCTION("""COMPUTED_VALUE"""),2.5965631320470033)</f>
        <v>2.596563132</v>
      </c>
      <c r="AD1303" s="82">
        <f>IFERROR(__xludf.DUMMYFUNCTION("""COMPUTED_VALUE"""),1.0010103215212431)</f>
        <v>1.001010322</v>
      </c>
      <c r="AE1303" s="82">
        <f>IFERROR(__xludf.DUMMYFUNCTION("""COMPUTED_VALUE"""),1.0043012046450097)</f>
        <v>1.004301205</v>
      </c>
      <c r="AF1303" s="82">
        <f>IFERROR(__xludf.DUMMYFUNCTION("""COMPUTED_VALUE"""),0.8642547486256749)</f>
        <v>0.8642547486</v>
      </c>
      <c r="AG1303" s="82">
        <f>IFERROR(__xludf.DUMMYFUNCTION("""COMPUTED_VALUE"""),1.1428085446447789)</f>
        <v>1.142808545</v>
      </c>
      <c r="AH1303" s="82">
        <f>IFERROR(__xludf.DUMMYFUNCTION("""COMPUTED_VALUE"""),0.9242987279527294)</f>
        <v>0.924298728</v>
      </c>
      <c r="AI1303" s="82">
        <f>IFERROR(__xludf.DUMMYFUNCTION("""COMPUTED_VALUE"""),1.1339349423669396)</f>
        <v>1.133934942</v>
      </c>
      <c r="AJ1303" s="82">
        <f>IFERROR(__xludf.DUMMYFUNCTION("""COMPUTED_VALUE"""),1.1445515700787803)</f>
        <v>1.14455157</v>
      </c>
      <c r="AK1303" s="82">
        <f>IFERROR(__xludf.DUMMYFUNCTION("""COMPUTED_VALUE"""),0.6499800061658462)</f>
        <v>0.6499800062</v>
      </c>
      <c r="AL1303" s="82">
        <f>IFERROR(__xludf.DUMMYFUNCTION("""COMPUTED_VALUE"""),1.280766070746921)</f>
        <v>1.280766071</v>
      </c>
      <c r="AM1303" s="82">
        <f>IFERROR(__xludf.DUMMYFUNCTION("""COMPUTED_VALUE"""),0.9955889414329876)</f>
        <v>0.9955889414</v>
      </c>
      <c r="AN1303" s="82">
        <f>IFERROR(__xludf.DUMMYFUNCTION("""COMPUTED_VALUE"""),0.9690402061296741)</f>
        <v>0.9690402061</v>
      </c>
      <c r="AO1303" s="82">
        <f>IFERROR(__xludf.DUMMYFUNCTION("""COMPUTED_VALUE"""),0.7941098648072952)</f>
        <v>0.7941098648</v>
      </c>
      <c r="AP1303" s="82">
        <f>IFERROR(__xludf.DUMMYFUNCTION("""COMPUTED_VALUE"""),0.7196087920559573)</f>
        <v>0.7196087921</v>
      </c>
      <c r="AQ1303" s="82">
        <f>IFERROR(__xludf.DUMMYFUNCTION("""COMPUTED_VALUE"""),1.1825828125923907)</f>
        <v>1.182582813</v>
      </c>
      <c r="AR1303" s="82">
        <f>IFERROR(__xludf.DUMMYFUNCTION("""COMPUTED_VALUE"""),0.9413562723525061)</f>
        <v>0.9413562724</v>
      </c>
      <c r="AS1303" s="82">
        <f>IFERROR(__xludf.DUMMYFUNCTION("""COMPUTED_VALUE"""),8.0)</f>
        <v>8</v>
      </c>
      <c r="AT1303" s="82">
        <f>IFERROR(__xludf.DUMMYFUNCTION("""COMPUTED_VALUE"""),0.3245497677150711)</f>
        <v>0.3245497677</v>
      </c>
      <c r="AU1303" s="82">
        <f>IFERROR(__xludf.DUMMYFUNCTION("""COMPUTED_VALUE"""),1.6153613517484695)</f>
        <v>1.615361352</v>
      </c>
      <c r="AV1303" s="82">
        <f>IFERROR(__xludf.DUMMYFUNCTION("""COMPUTED_VALUE"""),42.966545108005064)</f>
        <v>42.96654511</v>
      </c>
      <c r="AW1303" s="82">
        <f t="shared" si="1"/>
        <v>-2.569204685</v>
      </c>
      <c r="AX1303" s="83">
        <f t="array" ref="AX1303">IFERROR(DGET('SBV Import'!A:G,"SBV",{"RSC ID","Tier";B1303,A1303}))</f>
        <v>34.47618682</v>
      </c>
      <c r="AY1303" s="82">
        <f t="shared" si="2"/>
        <v>-3.740898915</v>
      </c>
      <c r="AZ1303" s="82">
        <v>1.1716942300198148</v>
      </c>
      <c r="BA1303" s="84">
        <v>1200.0</v>
      </c>
      <c r="BB1303" s="84" t="b">
        <f>IFERROR(__xludf.DUMMYFUNCTION("iferror(if(A1303="""",,E1303&gt;=FILTER(Constants!$F$2:$F$10,Constants!$A$2:$A$10=A1303)))"),TRUE)</f>
        <v>1</v>
      </c>
    </row>
    <row r="1304">
      <c r="A1304" s="89" t="str">
        <f>IFERROR(__xludf.DUMMYFUNCTION("""COMPUTED_VALUE"""),"Veteran")</f>
        <v>Veteran</v>
      </c>
      <c r="B1304" s="87" t="str">
        <f>IFERROR(__xludf.DUMMYFUNCTION("""COMPUTED_VALUE"""),"RSC004094")</f>
        <v>RSC004094</v>
      </c>
      <c r="C1304" s="73" t="str">
        <f>IFERROR(__xludf.DUMMYFUNCTION("""COMPUTED_VALUE"""),"Moxen")</f>
        <v>Moxen</v>
      </c>
      <c r="D1304" s="73"/>
      <c r="E1304" s="82">
        <f>IFERROR(__xludf.DUMMYFUNCTION("""COMPUTED_VALUE"""),16.0)</f>
        <v>16</v>
      </c>
      <c r="F1304" s="82">
        <f>IFERROR(__xludf.DUMMYFUNCTION("""COMPUTED_VALUE"""),8.0)</f>
        <v>8</v>
      </c>
      <c r="G1304" s="86">
        <f>IFERROR(__xludf.DUMMYFUNCTION("""COMPUTED_VALUE"""),8.0)</f>
        <v>8</v>
      </c>
      <c r="H1304" s="86">
        <f>IFERROR(__xludf.DUMMYFUNCTION("""COMPUTED_VALUE"""),0.5)</f>
        <v>0.5</v>
      </c>
      <c r="I1304" s="86">
        <f>IFERROR(__xludf.DUMMYFUNCTION("""COMPUTED_VALUE"""),0.30952380952380953)</f>
        <v>0.3095238095</v>
      </c>
      <c r="J1304" s="82">
        <f>IFERROR(__xludf.DUMMYFUNCTION("""COMPUTED_VALUE"""),311.125)</f>
        <v>311.125</v>
      </c>
      <c r="K1304" s="82">
        <f>IFERROR(__xludf.DUMMYFUNCTION("""COMPUTED_VALUE"""),0.8125)</f>
        <v>0.8125</v>
      </c>
      <c r="L1304" s="82">
        <f>IFERROR(__xludf.DUMMYFUNCTION("""COMPUTED_VALUE"""),0.375)</f>
        <v>0.375</v>
      </c>
      <c r="M1304" s="82">
        <f>IFERROR(__xludf.DUMMYFUNCTION("""COMPUTED_VALUE"""),1.0)</f>
        <v>1</v>
      </c>
      <c r="N1304" s="82">
        <f>IFERROR(__xludf.DUMMYFUNCTION("""COMPUTED_VALUE"""),2.625)</f>
        <v>2.625</v>
      </c>
      <c r="O1304" s="82">
        <f>IFERROR(__xludf.DUMMYFUNCTION("""COMPUTED_VALUE"""),383.68750000000006)</f>
        <v>383.6875</v>
      </c>
      <c r="P1304" s="82">
        <f>IFERROR(__xludf.DUMMYFUNCTION("""COMPUTED_VALUE"""),0.8333333333333336)</f>
        <v>0.8333333333</v>
      </c>
      <c r="Q1304" s="82">
        <f>IFERROR(__xludf.DUMMYFUNCTION("""COMPUTED_VALUE"""),0.625)</f>
        <v>0.625</v>
      </c>
      <c r="R1304" s="82">
        <f>IFERROR(__xludf.DUMMYFUNCTION("""COMPUTED_VALUE"""),1.5833333333333333)</f>
        <v>1.583333333</v>
      </c>
      <c r="S1304" s="82">
        <f>IFERROR(__xludf.DUMMYFUNCTION("""COMPUTED_VALUE"""),2.6875)</f>
        <v>2.6875</v>
      </c>
      <c r="T1304" s="82">
        <f>IFERROR(__xludf.DUMMYFUNCTION("""COMPUTED_VALUE"""),365.66120209628747)</f>
        <v>365.6612021</v>
      </c>
      <c r="U1304" s="82">
        <f>IFERROR(__xludf.DUMMYFUNCTION("""COMPUTED_VALUE"""),0.8334117710060205)</f>
        <v>0.833411771</v>
      </c>
      <c r="V1304" s="82">
        <f>IFERROR(__xludf.DUMMYFUNCTION("""COMPUTED_VALUE"""),0.6371791997130469)</f>
        <v>0.6371791997</v>
      </c>
      <c r="W1304" s="82">
        <f>IFERROR(__xludf.DUMMYFUNCTION("""COMPUTED_VALUE"""),1.3606675912897388)</f>
        <v>1.360667591</v>
      </c>
      <c r="X1304" s="82">
        <f>IFERROR(__xludf.DUMMYFUNCTION("""COMPUTED_VALUE"""),2.6617453711918277)</f>
        <v>2.661745371</v>
      </c>
      <c r="Y1304" s="82">
        <f>IFERROR(__xludf.DUMMYFUNCTION("""COMPUTED_VALUE"""),361.1950317983516)</f>
        <v>361.1950318</v>
      </c>
      <c r="Z1304" s="82">
        <f>IFERROR(__xludf.DUMMYFUNCTION("""COMPUTED_VALUE"""),0.8204396824082041)</f>
        <v>0.8204396824</v>
      </c>
      <c r="AA1304" s="82">
        <f>IFERROR(__xludf.DUMMYFUNCTION("""COMPUTED_VALUE"""),0.5838801733801195)</f>
        <v>0.5838801734</v>
      </c>
      <c r="AB1304" s="82">
        <f>IFERROR(__xludf.DUMMYFUNCTION("""COMPUTED_VALUE"""),1.392844549268345)</f>
        <v>1.392844549</v>
      </c>
      <c r="AC1304" s="82">
        <f>IFERROR(__xludf.DUMMYFUNCTION("""COMPUTED_VALUE"""),2.621681119378027)</f>
        <v>2.621681119</v>
      </c>
      <c r="AD1304" s="82">
        <f>IFERROR(__xludf.DUMMYFUNCTION("""COMPUTED_VALUE"""),0.8613767427833705)</f>
        <v>0.8613767428</v>
      </c>
      <c r="AE1304" s="82">
        <f>IFERROR(__xludf.DUMMYFUNCTION("""COMPUTED_VALUE"""),0.9903226494543766)</f>
        <v>0.9903226495</v>
      </c>
      <c r="AF1304" s="82">
        <f>IFERROR(__xludf.DUMMYFUNCTION("""COMPUTED_VALUE"""),0.6422550672154204)</f>
        <v>0.6422550672</v>
      </c>
      <c r="AG1304" s="82">
        <f>IFERROR(__xludf.DUMMYFUNCTION("""COMPUTED_VALUE"""),0.7179552093773103)</f>
        <v>0.7179552094</v>
      </c>
      <c r="AH1304" s="82">
        <f>IFERROR(__xludf.DUMMYFUNCTION("""COMPUTED_VALUE"""),1.0012659360428855)</f>
        <v>1.001265936</v>
      </c>
      <c r="AI1304" s="82">
        <f>IFERROR(__xludf.DUMMYFUNCTION("""COMPUTED_VALUE"""),1.049297813933691)</f>
        <v>1.049297814</v>
      </c>
      <c r="AJ1304" s="82">
        <f>IFERROR(__xludf.DUMMYFUNCTION("""COMPUTED_VALUE"""),0.9999058836514966)</f>
        <v>0.9999058837</v>
      </c>
      <c r="AK1304" s="82">
        <f>IFERROR(__xludf.DUMMYFUNCTION("""COMPUTED_VALUE"""),0.9808857544023223)</f>
        <v>0.9808857544</v>
      </c>
      <c r="AL1304" s="82">
        <f>IFERROR(__xludf.DUMMYFUNCTION("""COMPUTED_VALUE"""),1.1636444811862798)</f>
        <v>1.163644481</v>
      </c>
      <c r="AM1304" s="82">
        <f>IFERROR(__xludf.DUMMYFUNCTION("""COMPUTED_VALUE"""),1.0096758424329073)</f>
        <v>1.009675842</v>
      </c>
      <c r="AN1304" s="82">
        <f>IFERROR(__xludf.DUMMYFUNCTION("""COMPUTED_VALUE"""),0.8999780123346115)</f>
        <v>0.8999780123</v>
      </c>
      <c r="AO1304" s="82">
        <f>IFERROR(__xludf.DUMMYFUNCTION("""COMPUTED_VALUE"""),1.075357108593212)</f>
        <v>1.075357109</v>
      </c>
      <c r="AP1304" s="82">
        <f>IFERROR(__xludf.DUMMYFUNCTION("""COMPUTED_VALUE"""),0.6746332425524599)</f>
        <v>0.6746332426</v>
      </c>
      <c r="AQ1304" s="82">
        <f>IFERROR(__xludf.DUMMYFUNCTION("""COMPUTED_VALUE"""),0.7391142578702442)</f>
        <v>0.7391142579</v>
      </c>
      <c r="AR1304" s="82">
        <f>IFERROR(__xludf.DUMMYFUNCTION("""COMPUTED_VALUE"""),1.0296084228855535)</f>
        <v>1.029608423</v>
      </c>
      <c r="AS1304" s="82">
        <f>IFERROR(__xludf.DUMMYFUNCTION("""COMPUTED_VALUE"""),40.0)</f>
        <v>40</v>
      </c>
      <c r="AT1304" s="82">
        <f>IFERROR(__xludf.DUMMYFUNCTION("""COMPUTED_VALUE"""),0.4999999999999998)</f>
        <v>0.5</v>
      </c>
      <c r="AU1304" s="82">
        <f>IFERROR(__xludf.DUMMYFUNCTION("""COMPUTED_VALUE"""),1.5996018238921017)</f>
        <v>1.599601824</v>
      </c>
      <c r="AV1304" s="82">
        <f>IFERROR(__xludf.DUMMYFUNCTION("""COMPUTED_VALUE"""),42.40310899080632)</f>
        <v>42.40310899</v>
      </c>
      <c r="AW1304" s="82">
        <f t="shared" si="1"/>
        <v>-2.62735224</v>
      </c>
      <c r="AX1304" s="83">
        <f t="array" ref="AX1304">IFERROR(DGET('SBV Import'!A:G,"SBV",{"RSC ID","Tier";B1304,A1304}))</f>
        <v>22.50746904</v>
      </c>
      <c r="AY1304" s="82">
        <f t="shared" si="2"/>
        <v>-7.367505135</v>
      </c>
      <c r="AZ1304" s="82">
        <v>4.740152895699389</v>
      </c>
      <c r="BA1304" s="84">
        <v>1200.0</v>
      </c>
      <c r="BB1304" s="84" t="b">
        <f>IFERROR(__xludf.DUMMYFUNCTION("iferror(if(A1304="""",,E1304&gt;=FILTER(Constants!$F$2:$F$10,Constants!$A$2:$A$10=A1304)))"),TRUE)</f>
        <v>1</v>
      </c>
    </row>
    <row r="1305">
      <c r="A1305" s="89" t="str">
        <f>IFERROR(__xludf.DUMMYFUNCTION("""COMPUTED_VALUE"""),"Veteran")</f>
        <v>Veteran</v>
      </c>
      <c r="B1305" s="87" t="str">
        <f>IFERROR(__xludf.DUMMYFUNCTION("""COMPUTED_VALUE"""),"RSC003904")</f>
        <v>RSC003904</v>
      </c>
      <c r="C1305" s="73" t="str">
        <f>IFERROR(__xludf.DUMMYFUNCTION("""COMPUTED_VALUE"""),"Tyyphoon454")</f>
        <v>Tyyphoon454</v>
      </c>
      <c r="D1305" s="73" t="str">
        <f>IFERROR(__xludf.DUMMYFUNCTION("""COMPUTED_VALUE"""),"Giraffes")</f>
        <v>Giraffes</v>
      </c>
      <c r="E1305" s="82">
        <f>IFERROR(__xludf.DUMMYFUNCTION("""COMPUTED_VALUE"""),36.0)</f>
        <v>36</v>
      </c>
      <c r="F1305" s="82">
        <f>IFERROR(__xludf.DUMMYFUNCTION("""COMPUTED_VALUE"""),19.0)</f>
        <v>19</v>
      </c>
      <c r="G1305" s="86">
        <f>IFERROR(__xludf.DUMMYFUNCTION("""COMPUTED_VALUE"""),17.0)</f>
        <v>17</v>
      </c>
      <c r="H1305" s="86">
        <f>IFERROR(__xludf.DUMMYFUNCTION("""COMPUTED_VALUE"""),0.5277777777777778)</f>
        <v>0.5277777778</v>
      </c>
      <c r="I1305" s="86">
        <f>IFERROR(__xludf.DUMMYFUNCTION("""COMPUTED_VALUE"""),0.2452830188679245)</f>
        <v>0.2452830189</v>
      </c>
      <c r="J1305" s="82">
        <f>IFERROR(__xludf.DUMMYFUNCTION("""COMPUTED_VALUE"""),328.1666666666667)</f>
        <v>328.1666667</v>
      </c>
      <c r="K1305" s="82">
        <f>IFERROR(__xludf.DUMMYFUNCTION("""COMPUTED_VALUE"""),0.7222222222222222)</f>
        <v>0.7222222222</v>
      </c>
      <c r="L1305" s="82">
        <f>IFERROR(__xludf.DUMMYFUNCTION("""COMPUTED_VALUE"""),0.3888888888888889)</f>
        <v>0.3888888889</v>
      </c>
      <c r="M1305" s="82">
        <f>IFERROR(__xludf.DUMMYFUNCTION("""COMPUTED_VALUE"""),1.4166666666666667)</f>
        <v>1.416666667</v>
      </c>
      <c r="N1305" s="82">
        <f>IFERROR(__xludf.DUMMYFUNCTION("""COMPUTED_VALUE"""),2.9444444444444446)</f>
        <v>2.944444444</v>
      </c>
      <c r="O1305" s="82">
        <f>IFERROR(__xludf.DUMMYFUNCTION("""COMPUTED_VALUE"""),353.50000000000006)</f>
        <v>353.5</v>
      </c>
      <c r="P1305" s="82">
        <f>IFERROR(__xludf.DUMMYFUNCTION("""COMPUTED_VALUE"""),0.7870370370370371)</f>
        <v>0.787037037</v>
      </c>
      <c r="Q1305" s="82">
        <f>IFERROR(__xludf.DUMMYFUNCTION("""COMPUTED_VALUE"""),0.5648148148148149)</f>
        <v>0.5648148148</v>
      </c>
      <c r="R1305" s="82">
        <f>IFERROR(__xludf.DUMMYFUNCTION("""COMPUTED_VALUE"""),1.4722222222222223)</f>
        <v>1.472222222</v>
      </c>
      <c r="S1305" s="82">
        <f>IFERROR(__xludf.DUMMYFUNCTION("""COMPUTED_VALUE"""),2.518518518518518)</f>
        <v>2.518518519</v>
      </c>
      <c r="T1305" s="82">
        <f>IFERROR(__xludf.DUMMYFUNCTION("""COMPUTED_VALUE"""),341.39843818967927)</f>
        <v>341.3984382</v>
      </c>
      <c r="U1305" s="82">
        <f>IFERROR(__xludf.DUMMYFUNCTION("""COMPUTED_VALUE"""),0.716296269279755)</f>
        <v>0.7162962693</v>
      </c>
      <c r="V1305" s="82">
        <f>IFERROR(__xludf.DUMMYFUNCTION("""COMPUTED_VALUE"""),0.5488378167643476)</f>
        <v>0.5488378168</v>
      </c>
      <c r="W1305" s="82">
        <f>IFERROR(__xludf.DUMMYFUNCTION("""COMPUTED_VALUE"""),1.363385938154772)</f>
        <v>1.363385938</v>
      </c>
      <c r="X1305" s="82">
        <f>IFERROR(__xludf.DUMMYFUNCTION("""COMPUTED_VALUE"""),2.5088085693046502)</f>
        <v>2.508808569</v>
      </c>
      <c r="Y1305" s="82">
        <f>IFERROR(__xludf.DUMMYFUNCTION("""COMPUTED_VALUE"""),355.0240816731188)</f>
        <v>355.0240817</v>
      </c>
      <c r="Z1305" s="82">
        <f>IFERROR(__xludf.DUMMYFUNCTION("""COMPUTED_VALUE"""),0.7990498429820116)</f>
        <v>0.799049843</v>
      </c>
      <c r="AA1305" s="82">
        <f>IFERROR(__xludf.DUMMYFUNCTION("""COMPUTED_VALUE"""),0.5844591683313142)</f>
        <v>0.5844591683</v>
      </c>
      <c r="AB1305" s="82">
        <f>IFERROR(__xludf.DUMMYFUNCTION("""COMPUTED_VALUE"""),1.362885477564656)</f>
        <v>1.362885478</v>
      </c>
      <c r="AC1305" s="82">
        <f>IFERROR(__xludf.DUMMYFUNCTION("""COMPUTED_VALUE"""),2.648091734975227)</f>
        <v>2.648091735</v>
      </c>
      <c r="AD1305" s="82">
        <f>IFERROR(__xludf.DUMMYFUNCTION("""COMPUTED_VALUE"""),0.9243504415816487)</f>
        <v>0.9243504416</v>
      </c>
      <c r="AE1305" s="82">
        <f>IFERROR(__xludf.DUMMYFUNCTION("""COMPUTED_VALUE"""),0.9038512785722191)</f>
        <v>0.9038512786</v>
      </c>
      <c r="AF1305" s="82">
        <f>IFERROR(__xludf.DUMMYFUNCTION("""COMPUTED_VALUE"""),0.665382476588062)</f>
        <v>0.6653824766</v>
      </c>
      <c r="AG1305" s="82">
        <f>IFERROR(__xludf.DUMMYFUNCTION("""COMPUTED_VALUE"""),1.0394612680135917)</f>
        <v>1.039461268</v>
      </c>
      <c r="AH1305" s="82">
        <f>IFERROR(__xludf.DUMMYFUNCTION("""COMPUTED_VALUE"""),1.1119117988078273)</f>
        <v>1.111911799</v>
      </c>
      <c r="AI1305" s="82">
        <f>IFERROR(__xludf.DUMMYFUNCTION("""COMPUTED_VALUE"""),1.0354470333094998)</f>
        <v>1.035447033</v>
      </c>
      <c r="AJ1305" s="82">
        <f>IFERROR(__xludf.DUMMYFUNCTION("""COMPUTED_VALUE"""),1.098759090045817)</f>
        <v>1.09875909</v>
      </c>
      <c r="AK1305" s="82">
        <f>IFERROR(__xludf.DUMMYFUNCTION("""COMPUTED_VALUE"""),1.0291105998210164)</f>
        <v>1.0291106</v>
      </c>
      <c r="AL1305" s="82">
        <f>IFERROR(__xludf.DUMMYFUNCTION("""COMPUTED_VALUE"""),1.079827935012115)</f>
        <v>1.079827935</v>
      </c>
      <c r="AM1305" s="82">
        <f>IFERROR(__xludf.DUMMYFUNCTION("""COMPUTED_VALUE"""),1.003870342812389)</f>
        <v>1.003870343</v>
      </c>
      <c r="AN1305" s="82">
        <f>IFERROR(__xludf.DUMMYFUNCTION("""COMPUTED_VALUE"""),0.94927371436285)</f>
        <v>0.9492737144</v>
      </c>
      <c r="AO1305" s="82">
        <f>IFERROR(__xludf.DUMMYFUNCTION("""COMPUTED_VALUE"""),0.9558729854161886)</f>
        <v>0.9558729854</v>
      </c>
      <c r="AP1305" s="82">
        <f>IFERROR(__xludf.DUMMYFUNCTION("""COMPUTED_VALUE"""),0.6996196589432918)</f>
        <v>0.6996196589</v>
      </c>
      <c r="AQ1305" s="82">
        <f>IFERROR(__xludf.DUMMYFUNCTION("""COMPUTED_VALUE"""),1.047078531982846)</f>
        <v>1.047078532</v>
      </c>
      <c r="AR1305" s="82">
        <f>IFERROR(__xludf.DUMMYFUNCTION("""COMPUTED_VALUE"""),1.1549046859880285)</f>
        <v>1.154904686</v>
      </c>
      <c r="AS1305" s="82">
        <f>IFERROR(__xludf.DUMMYFUNCTION("""COMPUTED_VALUE"""),85.0)</f>
        <v>85</v>
      </c>
      <c r="AT1305" s="82">
        <f>IFERROR(__xludf.DUMMYFUNCTION("""COMPUTED_VALUE"""),0.5)</f>
        <v>0.5</v>
      </c>
      <c r="AU1305" s="82">
        <f>IFERROR(__xludf.DUMMYFUNCTION("""COMPUTED_VALUE"""),1.5937498402053136)</f>
        <v>1.59374984</v>
      </c>
      <c r="AV1305" s="82">
        <f>IFERROR(__xludf.DUMMYFUNCTION("""COMPUTED_VALUE"""),42.19388832147884)</f>
        <v>42.19388832</v>
      </c>
      <c r="AW1305" s="82">
        <f t="shared" si="1"/>
        <v>-2.649516381</v>
      </c>
      <c r="AX1305" s="83">
        <f t="array" ref="AX1305">IFERROR(DGET('SBV Import'!A:G,"SBV",{"RSC ID","Tier";B1305,A1305}))</f>
        <v>41.21706536</v>
      </c>
      <c r="AY1305" s="82">
        <f t="shared" si="2"/>
        <v>-2.757288621</v>
      </c>
      <c r="AZ1305" s="82">
        <v>0.10777223952399062</v>
      </c>
      <c r="BA1305" s="84">
        <v>1200.0</v>
      </c>
      <c r="BB1305" s="84" t="b">
        <f>IFERROR(__xludf.DUMMYFUNCTION("iferror(if(A1305="""",,E1305&gt;=FILTER(Constants!$F$2:$F$10,Constants!$A$2:$A$10=A1305)))"),TRUE)</f>
        <v>1</v>
      </c>
    </row>
    <row r="1306">
      <c r="A1306" s="89" t="str">
        <f>IFERROR(__xludf.DUMMYFUNCTION("""COMPUTED_VALUE"""),"Veteran")</f>
        <v>Veteran</v>
      </c>
      <c r="B1306" s="87" t="str">
        <f>IFERROR(__xludf.DUMMYFUNCTION("""COMPUTED_VALUE"""),"RSC001954")</f>
        <v>RSC001954</v>
      </c>
      <c r="C1306" s="73" t="str">
        <f>IFERROR(__xludf.DUMMYFUNCTION("""COMPUTED_VALUE"""),"Kiwi")</f>
        <v>Kiwi</v>
      </c>
      <c r="D1306" s="73" t="str">
        <f>IFERROR(__xludf.DUMMYFUNCTION("""COMPUTED_VALUE"""),"Supernova")</f>
        <v>Supernova</v>
      </c>
      <c r="E1306" s="82">
        <f>IFERROR(__xludf.DUMMYFUNCTION("""COMPUTED_VALUE"""),20.0)</f>
        <v>20</v>
      </c>
      <c r="F1306" s="82">
        <f>IFERROR(__xludf.DUMMYFUNCTION("""COMPUTED_VALUE"""),6.0)</f>
        <v>6</v>
      </c>
      <c r="G1306" s="86">
        <f>IFERROR(__xludf.DUMMYFUNCTION("""COMPUTED_VALUE"""),14.0)</f>
        <v>14</v>
      </c>
      <c r="H1306" s="86">
        <f>IFERROR(__xludf.DUMMYFUNCTION("""COMPUTED_VALUE"""),0.3)</f>
        <v>0.3</v>
      </c>
      <c r="I1306" s="86">
        <f>IFERROR(__xludf.DUMMYFUNCTION("""COMPUTED_VALUE"""),0.4411764705882353)</f>
        <v>0.4411764706</v>
      </c>
      <c r="J1306" s="82">
        <f>IFERROR(__xludf.DUMMYFUNCTION("""COMPUTED_VALUE"""),320.8)</f>
        <v>320.8</v>
      </c>
      <c r="K1306" s="82">
        <f>IFERROR(__xludf.DUMMYFUNCTION("""COMPUTED_VALUE"""),0.75)</f>
        <v>0.75</v>
      </c>
      <c r="L1306" s="82">
        <f>IFERROR(__xludf.DUMMYFUNCTION("""COMPUTED_VALUE"""),0.55)</f>
        <v>0.55</v>
      </c>
      <c r="M1306" s="82">
        <f>IFERROR(__xludf.DUMMYFUNCTION("""COMPUTED_VALUE"""),1.0)</f>
        <v>1</v>
      </c>
      <c r="N1306" s="82">
        <f>IFERROR(__xludf.DUMMYFUNCTION("""COMPUTED_VALUE"""),1.7)</f>
        <v>1.7</v>
      </c>
      <c r="O1306" s="82">
        <f>IFERROR(__xludf.DUMMYFUNCTION("""COMPUTED_VALUE"""),338.5166666666667)</f>
        <v>338.5166667</v>
      </c>
      <c r="P1306" s="82">
        <f>IFERROR(__xludf.DUMMYFUNCTION("""COMPUTED_VALUE"""),0.8666666666666666)</f>
        <v>0.8666666667</v>
      </c>
      <c r="Q1306" s="82">
        <f>IFERROR(__xludf.DUMMYFUNCTION("""COMPUTED_VALUE"""),0.55)</f>
        <v>0.55</v>
      </c>
      <c r="R1306" s="82">
        <f>IFERROR(__xludf.DUMMYFUNCTION("""COMPUTED_VALUE"""),1.0333333333333334)</f>
        <v>1.033333333</v>
      </c>
      <c r="S1306" s="82">
        <f>IFERROR(__xludf.DUMMYFUNCTION("""COMPUTED_VALUE"""),2.5166666666666666)</f>
        <v>2.516666667</v>
      </c>
      <c r="T1306" s="82">
        <f>IFERROR(__xludf.DUMMYFUNCTION("""COMPUTED_VALUE"""),345.56651170745334)</f>
        <v>345.5665117</v>
      </c>
      <c r="U1306" s="82">
        <f>IFERROR(__xludf.DUMMYFUNCTION("""COMPUTED_VALUE"""),0.7352956004662271)</f>
        <v>0.7352956005</v>
      </c>
      <c r="V1306" s="82">
        <f>IFERROR(__xludf.DUMMYFUNCTION("""COMPUTED_VALUE"""),0.5824322140184124)</f>
        <v>0.582432214</v>
      </c>
      <c r="W1306" s="82">
        <f>IFERROR(__xludf.DUMMYFUNCTION("""COMPUTED_VALUE"""),1.3124247294608768)</f>
        <v>1.312424729</v>
      </c>
      <c r="X1306" s="82">
        <f>IFERROR(__xludf.DUMMYFUNCTION("""COMPUTED_VALUE"""),2.469379793133585)</f>
        <v>2.469379793</v>
      </c>
      <c r="Y1306" s="82">
        <f>IFERROR(__xludf.DUMMYFUNCTION("""COMPUTED_VALUE"""),339.9348704582881)</f>
        <v>339.9348705</v>
      </c>
      <c r="Z1306" s="82">
        <f>IFERROR(__xludf.DUMMYFUNCTION("""COMPUTED_VALUE"""),0.7443176740611019)</f>
        <v>0.7443176741</v>
      </c>
      <c r="AA1306" s="82">
        <f>IFERROR(__xludf.DUMMYFUNCTION("""COMPUTED_VALUE"""),0.5319500730092237)</f>
        <v>0.531950073</v>
      </c>
      <c r="AB1306" s="82">
        <f>IFERROR(__xludf.DUMMYFUNCTION("""COMPUTED_VALUE"""),1.2415148888792298)</f>
        <v>1.241514889</v>
      </c>
      <c r="AC1306" s="82">
        <f>IFERROR(__xludf.DUMMYFUNCTION("""COMPUTED_VALUE"""),2.5522898116456423)</f>
        <v>2.552289812</v>
      </c>
      <c r="AD1306" s="82">
        <f>IFERROR(__xludf.DUMMYFUNCTION("""COMPUTED_VALUE"""),0.9437101865057529)</f>
        <v>0.9437101865</v>
      </c>
      <c r="AE1306" s="82">
        <f>IFERROR(__xludf.DUMMYFUNCTION("""COMPUTED_VALUE"""),1.0076342751716407)</f>
        <v>1.007634275</v>
      </c>
      <c r="AF1306" s="82">
        <f>IFERROR(__xludf.DUMMYFUNCTION("""COMPUTED_VALUE"""),1.0339316185984684)</f>
        <v>1.033931619</v>
      </c>
      <c r="AG1306" s="82">
        <f>IFERROR(__xludf.DUMMYFUNCTION("""COMPUTED_VALUE"""),0.8054675855742206)</f>
        <v>0.8054675856</v>
      </c>
      <c r="AH1306" s="82">
        <f>IFERROR(__xludf.DUMMYFUNCTION("""COMPUTED_VALUE"""),0.6660685601780816)</f>
        <v>0.6660685602</v>
      </c>
      <c r="AI1306" s="82">
        <f>IFERROR(__xludf.DUMMYFUNCTION("""COMPUTED_VALUE"""),0.9795991660014937)</f>
        <v>0.979599166</v>
      </c>
      <c r="AJ1306" s="82">
        <f>IFERROR(__xludf.DUMMYFUNCTION("""COMPUTED_VALUE"""),1.178664289732104)</f>
        <v>1.17866429</v>
      </c>
      <c r="AK1306" s="82">
        <f>IFERROR(__xludf.DUMMYFUNCTION("""COMPUTED_VALUE"""),0.9443158993650941)</f>
        <v>0.9443158994</v>
      </c>
      <c r="AL1306" s="82">
        <f>IFERROR(__xludf.DUMMYFUNCTION("""COMPUTED_VALUE"""),0.7873467408358042)</f>
        <v>0.7873467408</v>
      </c>
      <c r="AM1306" s="82">
        <f>IFERROR(__xludf.DUMMYFUNCTION("""COMPUTED_VALUE"""),1.0191492915203115)</f>
        <v>1.019149292</v>
      </c>
      <c r="AN1306" s="82">
        <f>IFERROR(__xludf.DUMMYFUNCTION("""COMPUTED_VALUE"""),0.9279644720191029)</f>
        <v>0.927964472</v>
      </c>
      <c r="AO1306" s="82">
        <f>IFERROR(__xludf.DUMMYFUNCTION("""COMPUTED_VALUE"""),0.992637331009119)</f>
        <v>0.992637331</v>
      </c>
      <c r="AP1306" s="82">
        <f>IFERROR(__xludf.DUMMYFUNCTION("""COMPUTED_VALUE"""),0.9894620890769413)</f>
        <v>0.9894620891</v>
      </c>
      <c r="AQ1306" s="82">
        <f>IFERROR(__xludf.DUMMYFUNCTION("""COMPUTED_VALUE"""),0.7391142578702442)</f>
        <v>0.7391142579</v>
      </c>
      <c r="AR1306" s="82">
        <f>IFERROR(__xludf.DUMMYFUNCTION("""COMPUTED_VALUE"""),0.6667940262496919)</f>
        <v>0.6667940262</v>
      </c>
      <c r="AS1306" s="82">
        <f>IFERROR(__xludf.DUMMYFUNCTION("""COMPUTED_VALUE"""),39.0)</f>
        <v>39</v>
      </c>
      <c r="AT1306" s="82">
        <f>IFERROR(__xludf.DUMMYFUNCTION("""COMPUTED_VALUE"""),0.390695956555041)</f>
        <v>0.3906959566</v>
      </c>
      <c r="AU1306" s="82">
        <f>IFERROR(__xludf.DUMMYFUNCTION("""COMPUTED_VALUE"""),1.5804156247809633)</f>
        <v>1.580415625</v>
      </c>
      <c r="AV1306" s="82">
        <f>IFERROR(__xludf.DUMMYFUNCTION("""COMPUTED_VALUE"""),41.71716220169525)</f>
        <v>41.7171622</v>
      </c>
      <c r="AW1306" s="82">
        <f t="shared" si="1"/>
        <v>-2.70121453</v>
      </c>
      <c r="AX1306" s="83">
        <f t="array" ref="AX1306">IFERROR(DGET('SBV Import'!A:G,"SBV",{"RSC ID","Tier";B1306,A1306}))</f>
        <v>44.87101209</v>
      </c>
      <c r="AY1306" s="82">
        <f t="shared" si="2"/>
        <v>-2.388209416</v>
      </c>
      <c r="AZ1306" s="82">
        <v>0.3130051143753243</v>
      </c>
      <c r="BA1306" s="84">
        <v>1200.0</v>
      </c>
      <c r="BB1306" s="84" t="b">
        <f>IFERROR(__xludf.DUMMYFUNCTION("iferror(if(A1306="""",,E1306&gt;=FILTER(Constants!$F$2:$F$10,Constants!$A$2:$A$10=A1306)))"),TRUE)</f>
        <v>1</v>
      </c>
    </row>
    <row r="1307">
      <c r="A1307" s="89" t="str">
        <f>IFERROR(__xludf.DUMMYFUNCTION("""COMPUTED_VALUE"""),"Veteran")</f>
        <v>Veteran</v>
      </c>
      <c r="B1307" s="87" t="str">
        <f>IFERROR(__xludf.DUMMYFUNCTION("""COMPUTED_VALUE"""),"RSC007607")</f>
        <v>RSC007607</v>
      </c>
      <c r="C1307" s="73" t="str">
        <f>IFERROR(__xludf.DUMMYFUNCTION("""COMPUTED_VALUE"""),"GameGang")</f>
        <v>GameGang</v>
      </c>
      <c r="D1307" s="73" t="str">
        <f>IFERROR(__xludf.DUMMYFUNCTION("""COMPUTED_VALUE"""),"Rockin Revenants")</f>
        <v>Rockin Revenants</v>
      </c>
      <c r="E1307" s="82">
        <f>IFERROR(__xludf.DUMMYFUNCTION("""COMPUTED_VALUE"""),43.0)</f>
        <v>43</v>
      </c>
      <c r="F1307" s="82">
        <f>IFERROR(__xludf.DUMMYFUNCTION("""COMPUTED_VALUE"""),21.0)</f>
        <v>21</v>
      </c>
      <c r="G1307" s="86">
        <f>IFERROR(__xludf.DUMMYFUNCTION("""COMPUTED_VALUE"""),22.0)</f>
        <v>22</v>
      </c>
      <c r="H1307" s="86">
        <f>IFERROR(__xludf.DUMMYFUNCTION("""COMPUTED_VALUE"""),0.4883720930232558)</f>
        <v>0.488372093</v>
      </c>
      <c r="I1307" s="86">
        <f>IFERROR(__xludf.DUMMYFUNCTION("""COMPUTED_VALUE"""),0.24489795918367346)</f>
        <v>0.2448979592</v>
      </c>
      <c r="J1307" s="82">
        <f>IFERROR(__xludf.DUMMYFUNCTION("""COMPUTED_VALUE"""),296.30232558139534)</f>
        <v>296.3023256</v>
      </c>
      <c r="K1307" s="82">
        <f>IFERROR(__xludf.DUMMYFUNCTION("""COMPUTED_VALUE"""),0.5581395348837209)</f>
        <v>0.5581395349</v>
      </c>
      <c r="L1307" s="82">
        <f>IFERROR(__xludf.DUMMYFUNCTION("""COMPUTED_VALUE"""),0.7441860465116279)</f>
        <v>0.7441860465</v>
      </c>
      <c r="M1307" s="82">
        <f>IFERROR(__xludf.DUMMYFUNCTION("""COMPUTED_VALUE"""),0.8604651162790697)</f>
        <v>0.8604651163</v>
      </c>
      <c r="N1307" s="82">
        <f>IFERROR(__xludf.DUMMYFUNCTION("""COMPUTED_VALUE"""),2.2790697674418605)</f>
        <v>2.279069767</v>
      </c>
      <c r="O1307" s="82">
        <f>IFERROR(__xludf.DUMMYFUNCTION("""COMPUTED_VALUE"""),359.86821705426354)</f>
        <v>359.8682171</v>
      </c>
      <c r="P1307" s="82">
        <f>IFERROR(__xludf.DUMMYFUNCTION("""COMPUTED_VALUE"""),0.7829457364341086)</f>
        <v>0.7829457364</v>
      </c>
      <c r="Q1307" s="82">
        <f>IFERROR(__xludf.DUMMYFUNCTION("""COMPUTED_VALUE"""),0.6201550387596899)</f>
        <v>0.6201550388</v>
      </c>
      <c r="R1307" s="82">
        <f>IFERROR(__xludf.DUMMYFUNCTION("""COMPUTED_VALUE"""),1.3488372093023255)</f>
        <v>1.348837209</v>
      </c>
      <c r="S1307" s="82">
        <f>IFERROR(__xludf.DUMMYFUNCTION("""COMPUTED_VALUE"""),2.589147286821705)</f>
        <v>2.589147287</v>
      </c>
      <c r="T1307" s="82">
        <f>IFERROR(__xludf.DUMMYFUNCTION("""COMPUTED_VALUE"""),358.71956089048774)</f>
        <v>358.7195609</v>
      </c>
      <c r="U1307" s="82">
        <f>IFERROR(__xludf.DUMMYFUNCTION("""COMPUTED_VALUE"""),0.8295435816997697)</f>
        <v>0.8295435817</v>
      </c>
      <c r="V1307" s="82">
        <f>IFERROR(__xludf.DUMMYFUNCTION("""COMPUTED_VALUE"""),0.585027906510306)</f>
        <v>0.5850279065</v>
      </c>
      <c r="W1307" s="82">
        <f>IFERROR(__xludf.DUMMYFUNCTION("""COMPUTED_VALUE"""),1.3542791179294276)</f>
        <v>1.354279118</v>
      </c>
      <c r="X1307" s="82">
        <f>IFERROR(__xludf.DUMMYFUNCTION("""COMPUTED_VALUE"""),2.694913718726177)</f>
        <v>2.694913719</v>
      </c>
      <c r="Y1307" s="82">
        <f>IFERROR(__xludf.DUMMYFUNCTION("""COMPUTED_VALUE"""),365.6152960545077)</f>
        <v>365.6152961</v>
      </c>
      <c r="Z1307" s="82">
        <f>IFERROR(__xludf.DUMMYFUNCTION("""COMPUTED_VALUE"""),0.8395711615422335)</f>
        <v>0.8395711615</v>
      </c>
      <c r="AA1307" s="82">
        <f>IFERROR(__xludf.DUMMYFUNCTION("""COMPUTED_VALUE"""),0.6213207343072744)</f>
        <v>0.6213207343</v>
      </c>
      <c r="AB1307" s="82">
        <f>IFERROR(__xludf.DUMMYFUNCTION("""COMPUTED_VALUE"""),1.3828284738183412)</f>
        <v>1.382828474</v>
      </c>
      <c r="AC1307" s="82">
        <f>IFERROR(__xludf.DUMMYFUNCTION("""COMPUTED_VALUE"""),2.6999611292144854)</f>
        <v>2.699961129</v>
      </c>
      <c r="AD1307" s="82">
        <f>IFERROR(__xludf.DUMMYFUNCTION("""COMPUTED_VALUE"""),0.8104210321037038)</f>
        <v>0.8104210321</v>
      </c>
      <c r="AE1307" s="82">
        <f>IFERROR(__xludf.DUMMYFUNCTION("""COMPUTED_VALUE"""),0.6647912177670057)</f>
        <v>0.6647912178</v>
      </c>
      <c r="AF1307" s="82">
        <f>IFERROR(__xludf.DUMMYFUNCTION("""COMPUTED_VALUE"""),1.1977486110154347)</f>
        <v>1.197748611</v>
      </c>
      <c r="AG1307" s="82">
        <f>IFERROR(__xludf.DUMMYFUNCTION("""COMPUTED_VALUE"""),0.6222500711914809)</f>
        <v>0.6222500712</v>
      </c>
      <c r="AH1307" s="82">
        <f>IFERROR(__xludf.DUMMYFUNCTION("""COMPUTED_VALUE"""),0.8441120662003467)</f>
        <v>0.8441120662</v>
      </c>
      <c r="AI1307" s="82">
        <f>IFERROR(__xludf.DUMMYFUNCTION("""COMPUTED_VALUE"""),1.0032021007188021)</f>
        <v>1.003202101</v>
      </c>
      <c r="AJ1307" s="82">
        <f>IFERROR(__xludf.DUMMYFUNCTION("""COMPUTED_VALUE"""),0.9438271282020166)</f>
        <v>0.9438271282</v>
      </c>
      <c r="AK1307" s="82">
        <f>IFERROR(__xludf.DUMMYFUNCTION("""COMPUTED_VALUE"""),1.0600435156314463)</f>
        <v>1.060043516</v>
      </c>
      <c r="AL1307" s="82">
        <f>IFERROR(__xludf.DUMMYFUNCTION("""COMPUTED_VALUE"""),0.9959816934669847)</f>
        <v>0.9959816935</v>
      </c>
      <c r="AM1307" s="82">
        <f>IFERROR(__xludf.DUMMYFUNCTION("""COMPUTED_VALUE"""),0.9607533142268966)</f>
        <v>0.9607533142</v>
      </c>
      <c r="AN1307" s="82">
        <f>IFERROR(__xludf.DUMMYFUNCTION("""COMPUTED_VALUE"""),0.8571010945017825)</f>
        <v>0.8571010945</v>
      </c>
      <c r="AO1307" s="82">
        <f>IFERROR(__xludf.DUMMYFUNCTION("""COMPUTED_VALUE"""),0.7387068509835304)</f>
        <v>0.738706851</v>
      </c>
      <c r="AP1307" s="82">
        <f>IFERROR(__xludf.DUMMYFUNCTION("""COMPUTED_VALUE"""),1.3388070549878275)</f>
        <v>1.338807055</v>
      </c>
      <c r="AQ1307" s="82">
        <f>IFERROR(__xludf.DUMMYFUNCTION("""COMPUTED_VALUE"""),0.635982035841838)</f>
        <v>0.6359820358</v>
      </c>
      <c r="AR1307" s="82">
        <f>IFERROR(__xludf.DUMMYFUNCTION("""COMPUTED_VALUE"""),0.8939235919626511)</f>
        <v>0.893923592</v>
      </c>
      <c r="AS1307" s="82">
        <f>IFERROR(__xludf.DUMMYFUNCTION("""COMPUTED_VALUE"""),106.0)</f>
        <v>106</v>
      </c>
      <c r="AT1307" s="82">
        <f>IFERROR(__xludf.DUMMYFUNCTION("""COMPUTED_VALUE"""),0.5189550095636649)</f>
        <v>0.5189550096</v>
      </c>
      <c r="AU1307" s="82">
        <f>IFERROR(__xludf.DUMMYFUNCTION("""COMPUTED_VALUE"""),1.5633503934003905)</f>
        <v>1.563350393</v>
      </c>
      <c r="AV1307" s="82">
        <f>IFERROR(__xludf.DUMMYFUNCTION("""COMPUTED_VALUE"""),41.107044449704155)</f>
        <v>41.10704445</v>
      </c>
      <c r="AW1307" s="82">
        <f t="shared" si="1"/>
        <v>-2.769885154</v>
      </c>
      <c r="AX1307" s="83">
        <f t="array" ref="AX1307">IFERROR(DGET('SBV Import'!A:G,"SBV",{"RSC ID","Tier";B1307,A1307}))</f>
        <v>28.33862106</v>
      </c>
      <c r="AY1307" s="82">
        <f t="shared" si="2"/>
        <v>-5.178119448</v>
      </c>
      <c r="AZ1307" s="82">
        <v>2.408234293438504</v>
      </c>
      <c r="BA1307" s="84">
        <v>1200.0</v>
      </c>
      <c r="BB1307" s="84" t="b">
        <f>IFERROR(__xludf.DUMMYFUNCTION("iferror(if(A1307="""",,E1307&gt;=FILTER(Constants!$F$2:$F$10,Constants!$A$2:$A$10=A1307)))"),TRUE)</f>
        <v>1</v>
      </c>
    </row>
    <row r="1308">
      <c r="A1308" s="89" t="str">
        <f>IFERROR(__xludf.DUMMYFUNCTION("""COMPUTED_VALUE"""),"Veteran")</f>
        <v>Veteran</v>
      </c>
      <c r="B1308" s="87" t="str">
        <f>IFERROR(__xludf.DUMMYFUNCTION("""COMPUTED_VALUE"""),"RSC000156")</f>
        <v>RSC000156</v>
      </c>
      <c r="C1308" s="73" t="str">
        <f>IFERROR(__xludf.DUMMYFUNCTION("""COMPUTED_VALUE"""),"Drupenson")</f>
        <v>Drupenson</v>
      </c>
      <c r="D1308" s="73"/>
      <c r="E1308" s="82">
        <f>IFERROR(__xludf.DUMMYFUNCTION("""COMPUTED_VALUE"""),6.0)</f>
        <v>6</v>
      </c>
      <c r="F1308" s="82">
        <f>IFERROR(__xludf.DUMMYFUNCTION("""COMPUTED_VALUE"""),2.0)</f>
        <v>2</v>
      </c>
      <c r="G1308" s="86">
        <f>IFERROR(__xludf.DUMMYFUNCTION("""COMPUTED_VALUE"""),4.0)</f>
        <v>4</v>
      </c>
      <c r="H1308" s="86">
        <f>IFERROR(__xludf.DUMMYFUNCTION("""COMPUTED_VALUE"""),0.3333333333333333)</f>
        <v>0.3333333333</v>
      </c>
      <c r="I1308" s="86">
        <f>IFERROR(__xludf.DUMMYFUNCTION("""COMPUTED_VALUE"""),0.4117647058823529)</f>
        <v>0.4117647059</v>
      </c>
      <c r="J1308" s="82">
        <f>IFERROR(__xludf.DUMMYFUNCTION("""COMPUTED_VALUE"""),303.6666666666667)</f>
        <v>303.6666667</v>
      </c>
      <c r="K1308" s="82">
        <f>IFERROR(__xludf.DUMMYFUNCTION("""COMPUTED_VALUE"""),1.1666666666666667)</f>
        <v>1.166666667</v>
      </c>
      <c r="L1308" s="82">
        <f>IFERROR(__xludf.DUMMYFUNCTION("""COMPUTED_VALUE"""),0.0)</f>
        <v>0</v>
      </c>
      <c r="M1308" s="82">
        <f>IFERROR(__xludf.DUMMYFUNCTION("""COMPUTED_VALUE"""),0.5)</f>
        <v>0.5</v>
      </c>
      <c r="N1308" s="82">
        <f>IFERROR(__xludf.DUMMYFUNCTION("""COMPUTED_VALUE"""),2.8333333333333335)</f>
        <v>2.833333333</v>
      </c>
      <c r="O1308" s="82">
        <f>IFERROR(__xludf.DUMMYFUNCTION("""COMPUTED_VALUE"""),334.72222222222223)</f>
        <v>334.7222222</v>
      </c>
      <c r="P1308" s="82">
        <f>IFERROR(__xludf.DUMMYFUNCTION("""COMPUTED_VALUE"""),0.888888888888889)</f>
        <v>0.8888888889</v>
      </c>
      <c r="Q1308" s="82">
        <f>IFERROR(__xludf.DUMMYFUNCTION("""COMPUTED_VALUE"""),0.6666666666666666)</f>
        <v>0.6666666667</v>
      </c>
      <c r="R1308" s="82">
        <f>IFERROR(__xludf.DUMMYFUNCTION("""COMPUTED_VALUE"""),0.9999999999999999)</f>
        <v>1</v>
      </c>
      <c r="S1308" s="82">
        <f>IFERROR(__xludf.DUMMYFUNCTION("""COMPUTED_VALUE"""),2.055555555555556)</f>
        <v>2.055555556</v>
      </c>
      <c r="T1308" s="82">
        <f>IFERROR(__xludf.DUMMYFUNCTION("""COMPUTED_VALUE"""),360.138710708899)</f>
        <v>360.1387107</v>
      </c>
      <c r="U1308" s="82">
        <f>IFERROR(__xludf.DUMMYFUNCTION("""COMPUTED_VALUE"""),0.8024465991210743)</f>
        <v>0.8024465991</v>
      </c>
      <c r="V1308" s="82">
        <f>IFERROR(__xludf.DUMMYFUNCTION("""COMPUTED_VALUE"""),0.5735211803013222)</f>
        <v>0.5735211803</v>
      </c>
      <c r="W1308" s="82">
        <f>IFERROR(__xludf.DUMMYFUNCTION("""COMPUTED_VALUE"""),1.4194980340671304)</f>
        <v>1.419498034</v>
      </c>
      <c r="X1308" s="82">
        <f>IFERROR(__xludf.DUMMYFUNCTION("""COMPUTED_VALUE"""),2.4865112556078923)</f>
        <v>2.486511256</v>
      </c>
      <c r="Y1308" s="82">
        <f>IFERROR(__xludf.DUMMYFUNCTION("""COMPUTED_VALUE"""),360.9366049612545)</f>
        <v>360.936605</v>
      </c>
      <c r="Z1308" s="82">
        <f>IFERROR(__xludf.DUMMYFUNCTION("""COMPUTED_VALUE"""),0.8701680375974187)</f>
        <v>0.8701680376</v>
      </c>
      <c r="AA1308" s="82">
        <f>IFERROR(__xludf.DUMMYFUNCTION("""COMPUTED_VALUE"""),0.614449776004086)</f>
        <v>0.614449776</v>
      </c>
      <c r="AB1308" s="82">
        <f>IFERROR(__xludf.DUMMYFUNCTION("""COMPUTED_VALUE"""),1.2327167765708016)</f>
        <v>1.232716777</v>
      </c>
      <c r="AC1308" s="82">
        <f>IFERROR(__xludf.DUMMYFUNCTION("""COMPUTED_VALUE"""),2.8983575442268408)</f>
        <v>2.898357544</v>
      </c>
      <c r="AD1308" s="82">
        <f>IFERROR(__xludf.DUMMYFUNCTION("""COMPUTED_VALUE"""),0.8413296476240321)</f>
        <v>0.8413296476</v>
      </c>
      <c r="AE1308" s="82">
        <f>IFERROR(__xludf.DUMMYFUNCTION("""COMPUTED_VALUE"""),1.3407372096634311)</f>
        <v>1.34073721</v>
      </c>
      <c r="AF1308" s="82">
        <f>IFERROR(__xludf.DUMMYFUNCTION("""COMPUTED_VALUE"""),0.0)</f>
        <v>0</v>
      </c>
      <c r="AG1308" s="82">
        <f>IFERROR(__xludf.DUMMYFUNCTION("""COMPUTED_VALUE"""),0.40560817334774246)</f>
        <v>0.4056081733</v>
      </c>
      <c r="AH1308" s="82">
        <f>IFERROR(__xludf.DUMMYFUNCTION("""COMPUTED_VALUE"""),0.9775651520210034)</f>
        <v>0.977565152</v>
      </c>
      <c r="AI1308" s="82">
        <f>IFERROR(__xludf.DUMMYFUNCTION("""COMPUTED_VALUE"""),0.9294258358490627)</f>
        <v>0.9294258358</v>
      </c>
      <c r="AJ1308" s="82">
        <f>IFERROR(__xludf.DUMMYFUNCTION("""COMPUTED_VALUE"""),1.1077234171875057)</f>
        <v>1.107723417</v>
      </c>
      <c r="AK1308" s="82">
        <f>IFERROR(__xludf.DUMMYFUNCTION("""COMPUTED_VALUE"""),1.1624098456423297)</f>
        <v>1.162409846</v>
      </c>
      <c r="AL1308" s="82">
        <f>IFERROR(__xludf.DUMMYFUNCTION("""COMPUTED_VALUE"""),0.7044743817888995)</f>
        <v>0.7044743818</v>
      </c>
      <c r="AM1308" s="82">
        <f>IFERROR(__xludf.DUMMYFUNCTION("""COMPUTED_VALUE"""),0.8266825862620203)</f>
        <v>0.8266825863</v>
      </c>
      <c r="AN1308" s="82">
        <f>IFERROR(__xludf.DUMMYFUNCTION("""COMPUTED_VALUE"""),0.878403609735456)</f>
        <v>0.8784036097</v>
      </c>
      <c r="AO1308" s="82">
        <f>IFERROR(__xludf.DUMMYFUNCTION("""COMPUTED_VALUE"""),1.544102514903074)</f>
        <v>1.544102515</v>
      </c>
      <c r="AP1308" s="82">
        <f>IFERROR(__xludf.DUMMYFUNCTION("""COMPUTED_VALUE"""),0.0)</f>
        <v>0</v>
      </c>
      <c r="AQ1308" s="82">
        <f>IFERROR(__xludf.DUMMYFUNCTION("""COMPUTED_VALUE"""),0.3695571289351221)</f>
        <v>0.3695571289</v>
      </c>
      <c r="AR1308" s="82">
        <f>IFERROR(__xludf.DUMMYFUNCTION("""COMPUTED_VALUE"""),1.1113233770828197)</f>
        <v>1.111323377</v>
      </c>
      <c r="AS1308" s="82">
        <f>IFERROR(__xludf.DUMMYFUNCTION("""COMPUTED_VALUE"""),15.0)</f>
        <v>15</v>
      </c>
      <c r="AT1308" s="82">
        <f>IFERROR(__xludf.DUMMYFUNCTION("""COMPUTED_VALUE"""),0.4741736082583073)</f>
        <v>0.4741736083</v>
      </c>
      <c r="AU1308" s="82">
        <f>IFERROR(__xludf.DUMMYFUNCTION("""COMPUTED_VALUE"""),1.5630545168309127)</f>
        <v>1.563054517</v>
      </c>
      <c r="AV1308" s="82">
        <f>IFERROR(__xludf.DUMMYFUNCTION("""COMPUTED_VALUE"""),41.09646624285709)</f>
        <v>41.09646624</v>
      </c>
      <c r="AW1308" s="82">
        <f t="shared" si="1"/>
        <v>-2.771101303</v>
      </c>
      <c r="AX1308" s="83">
        <f t="array" ref="AX1308">IFERROR(DGET('SBV Import'!A:G,"SBV",{"RSC ID","Tier";B1308,A1308}))</f>
        <v>43.56746523</v>
      </c>
      <c r="AY1308" s="82">
        <f t="shared" si="2"/>
        <v>-2.509579949</v>
      </c>
      <c r="AZ1308" s="82">
        <v>0.261521354653969</v>
      </c>
      <c r="BA1308" s="84">
        <v>1200.0</v>
      </c>
      <c r="BB1308" s="84" t="b">
        <f>IFERROR(__xludf.DUMMYFUNCTION("iferror(if(A1308="""",,E1308&gt;=FILTER(Constants!$F$2:$F$10,Constants!$A$2:$A$10=A1308)))"),TRUE)</f>
        <v>1</v>
      </c>
    </row>
    <row r="1309">
      <c r="A1309" s="89" t="str">
        <f>IFERROR(__xludf.DUMMYFUNCTION("""COMPUTED_VALUE"""),"Veteran")</f>
        <v>Veteran</v>
      </c>
      <c r="B1309" s="87" t="str">
        <f>IFERROR(__xludf.DUMMYFUNCTION("""COMPUTED_VALUE"""),"RSC007443")</f>
        <v>RSC007443</v>
      </c>
      <c r="C1309" s="73" t="str">
        <f>IFERROR(__xludf.DUMMYFUNCTION("""COMPUTED_VALUE"""),"Allusion.-.")</f>
        <v>Allusion.-.</v>
      </c>
      <c r="D1309" s="73" t="str">
        <f>IFERROR(__xludf.DUMMYFUNCTION("""COMPUTED_VALUE"""),"Possessed")</f>
        <v>Possessed</v>
      </c>
      <c r="E1309" s="82">
        <f>IFERROR(__xludf.DUMMYFUNCTION("""COMPUTED_VALUE"""),24.0)</f>
        <v>24</v>
      </c>
      <c r="F1309" s="82">
        <f>IFERROR(__xludf.DUMMYFUNCTION("""COMPUTED_VALUE"""),12.0)</f>
        <v>12</v>
      </c>
      <c r="G1309" s="86">
        <f>IFERROR(__xludf.DUMMYFUNCTION("""COMPUTED_VALUE"""),12.0)</f>
        <v>12</v>
      </c>
      <c r="H1309" s="86">
        <f>IFERROR(__xludf.DUMMYFUNCTION("""COMPUTED_VALUE"""),0.5)</f>
        <v>0.5</v>
      </c>
      <c r="I1309" s="86">
        <f>IFERROR(__xludf.DUMMYFUNCTION("""COMPUTED_VALUE"""),0.35294117647058826)</f>
        <v>0.3529411765</v>
      </c>
      <c r="J1309" s="82">
        <f>IFERROR(__xludf.DUMMYFUNCTION("""COMPUTED_VALUE"""),319.9166666666667)</f>
        <v>319.9166667</v>
      </c>
      <c r="K1309" s="82">
        <f>IFERROR(__xludf.DUMMYFUNCTION("""COMPUTED_VALUE"""),0.75)</f>
        <v>0.75</v>
      </c>
      <c r="L1309" s="82">
        <f>IFERROR(__xludf.DUMMYFUNCTION("""COMPUTED_VALUE"""),0.4583333333333333)</f>
        <v>0.4583333333</v>
      </c>
      <c r="M1309" s="82">
        <f>IFERROR(__xludf.DUMMYFUNCTION("""COMPUTED_VALUE"""),1.25)</f>
        <v>1.25</v>
      </c>
      <c r="N1309" s="82">
        <f>IFERROR(__xludf.DUMMYFUNCTION("""COMPUTED_VALUE"""),2.125)</f>
        <v>2.125</v>
      </c>
      <c r="O1309" s="82">
        <f>IFERROR(__xludf.DUMMYFUNCTION("""COMPUTED_VALUE"""),348.9166666666665)</f>
        <v>348.9166667</v>
      </c>
      <c r="P1309" s="82">
        <f>IFERROR(__xludf.DUMMYFUNCTION("""COMPUTED_VALUE"""),0.8055555555555557)</f>
        <v>0.8055555556</v>
      </c>
      <c r="Q1309" s="82">
        <f>IFERROR(__xludf.DUMMYFUNCTION("""COMPUTED_VALUE"""),0.5555555555555556)</f>
        <v>0.5555555556</v>
      </c>
      <c r="R1309" s="82">
        <f>IFERROR(__xludf.DUMMYFUNCTION("""COMPUTED_VALUE"""),1.2638888888888886)</f>
        <v>1.263888889</v>
      </c>
      <c r="S1309" s="82">
        <f>IFERROR(__xludf.DUMMYFUNCTION("""COMPUTED_VALUE"""),2.263888888888889)</f>
        <v>2.263888889</v>
      </c>
      <c r="T1309" s="82">
        <f>IFERROR(__xludf.DUMMYFUNCTION("""COMPUTED_VALUE"""),348.99513295415977)</f>
        <v>348.995133</v>
      </c>
      <c r="U1309" s="82">
        <f>IFERROR(__xludf.DUMMYFUNCTION("""COMPUTED_VALUE"""),0.758797201619744)</f>
        <v>0.7587972016</v>
      </c>
      <c r="V1309" s="82">
        <f>IFERROR(__xludf.DUMMYFUNCTION("""COMPUTED_VALUE"""),0.5409553156770929)</f>
        <v>0.5409553157</v>
      </c>
      <c r="W1309" s="82">
        <f>IFERROR(__xludf.DUMMYFUNCTION("""COMPUTED_VALUE"""),1.3626091507157845)</f>
        <v>1.362609151</v>
      </c>
      <c r="X1309" s="82">
        <f>IFERROR(__xludf.DUMMYFUNCTION("""COMPUTED_VALUE"""),2.526013954579996)</f>
        <v>2.526013955</v>
      </c>
      <c r="Y1309" s="82">
        <f>IFERROR(__xludf.DUMMYFUNCTION("""COMPUTED_VALUE"""),353.7963726450339)</f>
        <v>353.7963726</v>
      </c>
      <c r="Z1309" s="82">
        <f>IFERROR(__xludf.DUMMYFUNCTION("""COMPUTED_VALUE"""),0.8058756533289569)</f>
        <v>0.8058756533</v>
      </c>
      <c r="AA1309" s="82">
        <f>IFERROR(__xludf.DUMMYFUNCTION("""COMPUTED_VALUE"""),0.583962586863125)</f>
        <v>0.5839625869</v>
      </c>
      <c r="AB1309" s="82">
        <f>IFERROR(__xludf.DUMMYFUNCTION("""COMPUTED_VALUE"""),1.3257241592627198)</f>
        <v>1.325724159</v>
      </c>
      <c r="AC1309" s="82">
        <f>IFERROR(__xludf.DUMMYFUNCTION("""COMPUTED_VALUE"""),2.6269986564110774)</f>
        <v>2.626998656</v>
      </c>
      <c r="AD1309" s="82">
        <f>IFERROR(__xludf.DUMMYFUNCTION("""COMPUTED_VALUE"""),0.9042395326863373)</f>
        <v>0.9042395327</v>
      </c>
      <c r="AE1309" s="82">
        <f>IFERROR(__xludf.DUMMYFUNCTION("""COMPUTED_VALUE"""),0.9306646712825452)</f>
        <v>0.9306646713</v>
      </c>
      <c r="AF1309" s="82">
        <f>IFERROR(__xludf.DUMMYFUNCTION("""COMPUTED_VALUE"""),0.784867633036844)</f>
        <v>0.784867633</v>
      </c>
      <c r="AG1309" s="82">
        <f>IFERROR(__xludf.DUMMYFUNCTION("""COMPUTED_VALUE"""),0.9428809087217415)</f>
        <v>0.9428809087</v>
      </c>
      <c r="AH1309" s="82">
        <f>IFERROR(__xludf.DUMMYFUNCTION("""COMPUTED_VALUE"""),0.8089079127673052)</f>
        <v>0.8089079128</v>
      </c>
      <c r="AI1309" s="82">
        <f>IFERROR(__xludf.DUMMYFUNCTION("""COMPUTED_VALUE"""),0.9997751650952005)</f>
        <v>0.9997751651</v>
      </c>
      <c r="AJ1309" s="82">
        <f>IFERROR(__xludf.DUMMYFUNCTION("""COMPUTED_VALUE"""),1.0616216741917346)</f>
        <v>1.061621674</v>
      </c>
      <c r="AK1309" s="82">
        <f>IFERROR(__xludf.DUMMYFUNCTION("""COMPUTED_VALUE"""),1.0269897336348164)</f>
        <v>1.026989734</v>
      </c>
      <c r="AL1309" s="82">
        <f>IFERROR(__xludf.DUMMYFUNCTION("""COMPUTED_VALUE"""),0.9275505659307823)</f>
        <v>0.9275505659</v>
      </c>
      <c r="AM1309" s="82">
        <f>IFERROR(__xludf.DUMMYFUNCTION("""COMPUTED_VALUE"""),0.8962297634120985)</f>
        <v>0.8962297634</v>
      </c>
      <c r="AN1309" s="82">
        <f>IFERROR(__xludf.DUMMYFUNCTION("""COMPUTED_VALUE"""),0.9254092913760744)</f>
        <v>0.9254092914</v>
      </c>
      <c r="AO1309" s="82">
        <f>IFERROR(__xludf.DUMMYFUNCTION("""COMPUTED_VALUE"""),0.992637331009119)</f>
        <v>0.992637331</v>
      </c>
      <c r="AP1309" s="82">
        <f>IFERROR(__xludf.DUMMYFUNCTION("""COMPUTED_VALUE"""),0.824551740897451)</f>
        <v>0.8245517409</v>
      </c>
      <c r="AQ1309" s="82">
        <f>IFERROR(__xludf.DUMMYFUNCTION("""COMPUTED_VALUE"""),0.9238928223378052)</f>
        <v>0.9238928223</v>
      </c>
      <c r="AR1309" s="82">
        <f>IFERROR(__xludf.DUMMYFUNCTION("""COMPUTED_VALUE"""),0.8334925328121148)</f>
        <v>0.8334925328</v>
      </c>
      <c r="AS1309" s="82">
        <f>IFERROR(__xludf.DUMMYFUNCTION("""COMPUTED_VALUE"""),53.0)</f>
        <v>53</v>
      </c>
      <c r="AT1309" s="82">
        <f>IFERROR(__xludf.DUMMYFUNCTION("""COMPUTED_VALUE"""),0.46507869743657604)</f>
        <v>0.4650786974</v>
      </c>
      <c r="AU1309" s="82">
        <f>IFERROR(__xludf.DUMMYFUNCTION("""COMPUTED_VALUE"""),1.5380219272514104)</f>
        <v>1.538021927</v>
      </c>
      <c r="AV1309" s="82">
        <f>IFERROR(__xludf.DUMMYFUNCTION("""COMPUTED_VALUE"""),40.20149875368796)</f>
        <v>40.20149875</v>
      </c>
      <c r="AW1309" s="82">
        <f t="shared" si="1"/>
        <v>-2.877273454</v>
      </c>
      <c r="AX1309" s="83">
        <f t="array" ref="AX1309">IFERROR(DGET('SBV Import'!A:G,"SBV",{"RSC ID","Tier";B1309,A1309}))</f>
        <v>47.12799769</v>
      </c>
      <c r="AY1309" s="82">
        <f t="shared" si="2"/>
        <v>-2.20133361</v>
      </c>
      <c r="AZ1309" s="82">
        <v>0.6759398438395672</v>
      </c>
      <c r="BA1309" s="84">
        <v>1200.0</v>
      </c>
      <c r="BB1309" s="84" t="b">
        <f>IFERROR(__xludf.DUMMYFUNCTION("iferror(if(A1309="""",,E1309&gt;=FILTER(Constants!$F$2:$F$10,Constants!$A$2:$A$10=A1309)))"),TRUE)</f>
        <v>1</v>
      </c>
    </row>
    <row r="1310">
      <c r="A1310" s="89" t="str">
        <f>IFERROR(__xludf.DUMMYFUNCTION("""COMPUTED_VALUE"""),"Veteran")</f>
        <v>Veteran</v>
      </c>
      <c r="B1310" s="87" t="str">
        <f>IFERROR(__xludf.DUMMYFUNCTION("""COMPUTED_VALUE"""),"RSC006128")</f>
        <v>RSC006128</v>
      </c>
      <c r="C1310" s="73" t="str">
        <f>IFERROR(__xludf.DUMMYFUNCTION("""COMPUTED_VALUE"""),"anth0tex")</f>
        <v>anth0tex</v>
      </c>
      <c r="D1310" s="73" t="str">
        <f>IFERROR(__xludf.DUMMYFUNCTION("""COMPUTED_VALUE"""),"Azalea")</f>
        <v>Azalea</v>
      </c>
      <c r="E1310" s="82">
        <f>IFERROR(__xludf.DUMMYFUNCTION("""COMPUTED_VALUE"""),39.0)</f>
        <v>39</v>
      </c>
      <c r="F1310" s="82">
        <f>IFERROR(__xludf.DUMMYFUNCTION("""COMPUTED_VALUE"""),17.0)</f>
        <v>17</v>
      </c>
      <c r="G1310" s="86">
        <f>IFERROR(__xludf.DUMMYFUNCTION("""COMPUTED_VALUE"""),22.0)</f>
        <v>22</v>
      </c>
      <c r="H1310" s="86">
        <f>IFERROR(__xludf.DUMMYFUNCTION("""COMPUTED_VALUE"""),0.4358974358974359)</f>
        <v>0.4358974359</v>
      </c>
      <c r="I1310" s="86">
        <f>IFERROR(__xludf.DUMMYFUNCTION("""COMPUTED_VALUE"""),0.35227272727272724)</f>
        <v>0.3522727273</v>
      </c>
      <c r="J1310" s="82">
        <f>IFERROR(__xludf.DUMMYFUNCTION("""COMPUTED_VALUE"""),325.61538461538464)</f>
        <v>325.6153846</v>
      </c>
      <c r="K1310" s="82">
        <f>IFERROR(__xludf.DUMMYFUNCTION("""COMPUTED_VALUE"""),0.7948717948717948)</f>
        <v>0.7948717949</v>
      </c>
      <c r="L1310" s="82">
        <f>IFERROR(__xludf.DUMMYFUNCTION("""COMPUTED_VALUE"""),0.3333333333333333)</f>
        <v>0.3333333333</v>
      </c>
      <c r="M1310" s="82">
        <f>IFERROR(__xludf.DUMMYFUNCTION("""COMPUTED_VALUE"""),1.4102564102564104)</f>
        <v>1.41025641</v>
      </c>
      <c r="N1310" s="82">
        <f>IFERROR(__xludf.DUMMYFUNCTION("""COMPUTED_VALUE"""),2.2564102564102564)</f>
        <v>2.256410256</v>
      </c>
      <c r="O1310" s="82">
        <f>IFERROR(__xludf.DUMMYFUNCTION("""COMPUTED_VALUE"""),352.7179487179487)</f>
        <v>352.7179487</v>
      </c>
      <c r="P1310" s="82">
        <f>IFERROR(__xludf.DUMMYFUNCTION("""COMPUTED_VALUE"""),0.7948717948717948)</f>
        <v>0.7948717949</v>
      </c>
      <c r="Q1310" s="82">
        <f>IFERROR(__xludf.DUMMYFUNCTION("""COMPUTED_VALUE"""),0.5384615384615385)</f>
        <v>0.5384615385</v>
      </c>
      <c r="R1310" s="82">
        <f>IFERROR(__xludf.DUMMYFUNCTION("""COMPUTED_VALUE"""),1.3931623931623933)</f>
        <v>1.393162393</v>
      </c>
      <c r="S1310" s="82">
        <f>IFERROR(__xludf.DUMMYFUNCTION("""COMPUTED_VALUE"""),2.649572649572649)</f>
        <v>2.64957265</v>
      </c>
      <c r="T1310" s="82">
        <f>IFERROR(__xludf.DUMMYFUNCTION("""COMPUTED_VALUE"""),358.69144313006564)</f>
        <v>358.6914431</v>
      </c>
      <c r="U1310" s="82">
        <f>IFERROR(__xludf.DUMMYFUNCTION("""COMPUTED_VALUE"""),0.7931075450460304)</f>
        <v>0.793107545</v>
      </c>
      <c r="V1310" s="82">
        <f>IFERROR(__xludf.DUMMYFUNCTION("""COMPUTED_VALUE"""),0.5742375881690089)</f>
        <v>0.5742375882</v>
      </c>
      <c r="W1310" s="82">
        <f>IFERROR(__xludf.DUMMYFUNCTION("""COMPUTED_VALUE"""),1.4164782602725525)</f>
        <v>1.41647826</v>
      </c>
      <c r="X1310" s="82">
        <f>IFERROR(__xludf.DUMMYFUNCTION("""COMPUTED_VALUE"""),2.6771673680000356)</f>
        <v>2.677167368</v>
      </c>
      <c r="Y1310" s="82">
        <f>IFERROR(__xludf.DUMMYFUNCTION("""COMPUTED_VALUE"""),357.2049365530681)</f>
        <v>357.2049366</v>
      </c>
      <c r="Z1310" s="82">
        <f>IFERROR(__xludf.DUMMYFUNCTION("""COMPUTED_VALUE"""),0.8008279478371553)</f>
        <v>0.8008279478</v>
      </c>
      <c r="AA1310" s="82">
        <f>IFERROR(__xludf.DUMMYFUNCTION("""COMPUTED_VALUE"""),0.5867231852554814)</f>
        <v>0.5867231853</v>
      </c>
      <c r="AB1310" s="82">
        <f>IFERROR(__xludf.DUMMYFUNCTION("""COMPUTED_VALUE"""),1.3990029779015107)</f>
        <v>1.399002978</v>
      </c>
      <c r="AC1310" s="82">
        <f>IFERROR(__xludf.DUMMYFUNCTION("""COMPUTED_VALUE"""),2.6615183331776278)</f>
        <v>2.661518333</v>
      </c>
      <c r="AD1310" s="82">
        <f>IFERROR(__xludf.DUMMYFUNCTION("""COMPUTED_VALUE"""),0.911564626618786)</f>
        <v>0.9115646266</v>
      </c>
      <c r="AE1310" s="82">
        <f>IFERROR(__xludf.DUMMYFUNCTION("""COMPUTED_VALUE"""),0.9925625061145199)</f>
        <v>0.9925625061</v>
      </c>
      <c r="AF1310" s="82">
        <f>IFERROR(__xludf.DUMMYFUNCTION("""COMPUTED_VALUE"""),0.5681270856684953)</f>
        <v>0.5681270857</v>
      </c>
      <c r="AG1310" s="82">
        <f>IFERROR(__xludf.DUMMYFUNCTION("""COMPUTED_VALUE"""),1.008043894496765)</f>
        <v>1.008043894</v>
      </c>
      <c r="AH1310" s="82">
        <f>IFERROR(__xludf.DUMMYFUNCTION("""COMPUTED_VALUE"""),0.8477906119535511)</f>
        <v>0.847790612</v>
      </c>
      <c r="AI1310" s="82">
        <f>IFERROR(__xludf.DUMMYFUNCTION("""COMPUTED_VALUE"""),0.9833464262208482)</f>
        <v>0.9833464262</v>
      </c>
      <c r="AJ1310" s="82">
        <f>IFERROR(__xludf.DUMMYFUNCTION("""COMPUTED_VALUE"""),1.0022244774202242)</f>
        <v>1.002224477</v>
      </c>
      <c r="AK1310" s="82">
        <f>IFERROR(__xludf.DUMMYFUNCTION("""COMPUTED_VALUE"""),0.9376981750331871)</f>
        <v>0.937698175</v>
      </c>
      <c r="AL1310" s="82">
        <f>IFERROR(__xludf.DUMMYFUNCTION("""COMPUTED_VALUE"""),0.9835395517431571)</f>
        <v>0.9835395517</v>
      </c>
      <c r="AM1310" s="82">
        <f>IFERROR(__xludf.DUMMYFUNCTION("""COMPUTED_VALUE"""),0.9896925688108917)</f>
        <v>0.9896925688</v>
      </c>
      <c r="AN1310" s="82">
        <f>IFERROR(__xludf.DUMMYFUNCTION("""COMPUTED_VALUE"""),0.9418937296318969)</f>
        <v>0.9418937296</v>
      </c>
      <c r="AO1310" s="82">
        <f>IFERROR(__xludf.DUMMYFUNCTION("""COMPUTED_VALUE"""),1.0520258892746217)</f>
        <v>1.052025889</v>
      </c>
      <c r="AP1310" s="82">
        <f>IFERROR(__xludf.DUMMYFUNCTION("""COMPUTED_VALUE"""),0.5996739933799643)</f>
        <v>0.5996739934</v>
      </c>
      <c r="AQ1310" s="82">
        <f>IFERROR(__xludf.DUMMYFUNCTION("""COMPUTED_VALUE"""),1.0423406200734213)</f>
        <v>1.04234062</v>
      </c>
      <c r="AR1310" s="82">
        <f>IFERROR(__xludf.DUMMYFUNCTION("""COMPUTED_VALUE"""),0.8850358116134673)</f>
        <v>0.8850358116</v>
      </c>
      <c r="AS1310" s="82">
        <f>IFERROR(__xludf.DUMMYFUNCTION("""COMPUTED_VALUE"""),92.0)</f>
        <v>92</v>
      </c>
      <c r="AT1310" s="82">
        <f>IFERROR(__xludf.DUMMYFUNCTION("""COMPUTED_VALUE"""),0.4957749202354003)</f>
        <v>0.4957749202</v>
      </c>
      <c r="AU1310" s="82">
        <f>IFERROR(__xludf.DUMMYFUNCTION("""COMPUTED_VALUE"""),1.5241709987919259)</f>
        <v>1.524170999</v>
      </c>
      <c r="AV1310" s="82">
        <f>IFERROR(__xludf.DUMMYFUNCTION("""COMPUTED_VALUE"""),39.70629906103623)</f>
        <v>39.70629906</v>
      </c>
      <c r="AW1310" s="82">
        <f t="shared" si="1"/>
        <v>-2.938911299</v>
      </c>
      <c r="AX1310" s="83">
        <f t="array" ref="AX1310">IFERROR(DGET('SBV Import'!A:G,"SBV",{"RSC ID","Tier";B1310,A1310}))</f>
        <v>32.10236688</v>
      </c>
      <c r="AY1310" s="82">
        <f t="shared" si="2"/>
        <v>-4.218965933</v>
      </c>
      <c r="AZ1310" s="82">
        <v>1.2800546346282022</v>
      </c>
      <c r="BA1310" s="84">
        <v>1200.0</v>
      </c>
      <c r="BB1310" s="84" t="b">
        <f>IFERROR(__xludf.DUMMYFUNCTION("iferror(if(A1310="""",,E1310&gt;=FILTER(Constants!$F$2:$F$10,Constants!$A$2:$A$10=A1310)))"),TRUE)</f>
        <v>1</v>
      </c>
    </row>
    <row r="1311">
      <c r="A1311" s="89" t="str">
        <f>IFERROR(__xludf.DUMMYFUNCTION("""COMPUTED_VALUE"""),"Veteran")</f>
        <v>Veteran</v>
      </c>
      <c r="B1311" s="87" t="str">
        <f>IFERROR(__xludf.DUMMYFUNCTION("""COMPUTED_VALUE"""),"RSC004229")</f>
        <v>RSC004229</v>
      </c>
      <c r="C1311" s="73" t="str">
        <f>IFERROR(__xludf.DUMMYFUNCTION("""COMPUTED_VALUE"""),"doty")</f>
        <v>doty</v>
      </c>
      <c r="D1311" s="73" t="str">
        <f>IFERROR(__xludf.DUMMYFUNCTION("""COMPUTED_VALUE"""),"Gouda Gangsters")</f>
        <v>Gouda Gangsters</v>
      </c>
      <c r="E1311" s="82">
        <f>IFERROR(__xludf.DUMMYFUNCTION("""COMPUTED_VALUE"""),34.0)</f>
        <v>34</v>
      </c>
      <c r="F1311" s="82">
        <f>IFERROR(__xludf.DUMMYFUNCTION("""COMPUTED_VALUE"""),13.0)</f>
        <v>13</v>
      </c>
      <c r="G1311" s="86">
        <f>IFERROR(__xludf.DUMMYFUNCTION("""COMPUTED_VALUE"""),21.0)</f>
        <v>21</v>
      </c>
      <c r="H1311" s="86">
        <f>IFERROR(__xludf.DUMMYFUNCTION("""COMPUTED_VALUE"""),0.38235294117647056)</f>
        <v>0.3823529412</v>
      </c>
      <c r="I1311" s="86">
        <f>IFERROR(__xludf.DUMMYFUNCTION("""COMPUTED_VALUE"""),0.2823529411764706)</f>
        <v>0.2823529412</v>
      </c>
      <c r="J1311" s="82">
        <f>IFERROR(__xludf.DUMMYFUNCTION("""COMPUTED_VALUE"""),325.3529411764706)</f>
        <v>325.3529412</v>
      </c>
      <c r="K1311" s="82">
        <f>IFERROR(__xludf.DUMMYFUNCTION("""COMPUTED_VALUE"""),0.7058823529411765)</f>
        <v>0.7058823529</v>
      </c>
      <c r="L1311" s="82">
        <f>IFERROR(__xludf.DUMMYFUNCTION("""COMPUTED_VALUE"""),0.6764705882352942)</f>
        <v>0.6764705882</v>
      </c>
      <c r="M1311" s="82">
        <f>IFERROR(__xludf.DUMMYFUNCTION("""COMPUTED_VALUE"""),1.1764705882352942)</f>
        <v>1.176470588</v>
      </c>
      <c r="N1311" s="82">
        <f>IFERROR(__xludf.DUMMYFUNCTION("""COMPUTED_VALUE"""),2.5)</f>
        <v>2.5</v>
      </c>
      <c r="O1311" s="82">
        <f>IFERROR(__xludf.DUMMYFUNCTION("""COMPUTED_VALUE"""),402.32352941176464)</f>
        <v>402.3235294</v>
      </c>
      <c r="P1311" s="82">
        <f>IFERROR(__xludf.DUMMYFUNCTION("""COMPUTED_VALUE"""),1.0784313725490196)</f>
        <v>1.078431373</v>
      </c>
      <c r="Q1311" s="82">
        <f>IFERROR(__xludf.DUMMYFUNCTION("""COMPUTED_VALUE"""),0.784313725490196)</f>
        <v>0.7843137255</v>
      </c>
      <c r="R1311" s="82">
        <f>IFERROR(__xludf.DUMMYFUNCTION("""COMPUTED_VALUE"""),1.4019607843137252)</f>
        <v>1.401960784</v>
      </c>
      <c r="S1311" s="82">
        <f>IFERROR(__xludf.DUMMYFUNCTION("""COMPUTED_VALUE"""),2.823529411764706)</f>
        <v>2.823529412</v>
      </c>
      <c r="T1311" s="82">
        <f>IFERROR(__xludf.DUMMYFUNCTION("""COMPUTED_VALUE"""),352.09568786008623)</f>
        <v>352.0956879</v>
      </c>
      <c r="U1311" s="82">
        <f>IFERROR(__xludf.DUMMYFUNCTION("""COMPUTED_VALUE"""),0.7872322838711534)</f>
        <v>0.7872322839</v>
      </c>
      <c r="V1311" s="82">
        <f>IFERROR(__xludf.DUMMYFUNCTION("""COMPUTED_VALUE"""),0.5713204844132346)</f>
        <v>0.5713204844</v>
      </c>
      <c r="W1311" s="82">
        <f>IFERROR(__xludf.DUMMYFUNCTION("""COMPUTED_VALUE"""),1.3142664834161817)</f>
        <v>1.314266483</v>
      </c>
      <c r="X1311" s="82">
        <f>IFERROR(__xludf.DUMMYFUNCTION("""COMPUTED_VALUE"""),2.6158596318067344)</f>
        <v>2.615859632</v>
      </c>
      <c r="Y1311" s="82">
        <f>IFERROR(__xludf.DUMMYFUNCTION("""COMPUTED_VALUE"""),355.6327253437061)</f>
        <v>355.6327253</v>
      </c>
      <c r="Z1311" s="82">
        <f>IFERROR(__xludf.DUMMYFUNCTION("""COMPUTED_VALUE"""),0.7948867744249716)</f>
        <v>0.7948867744</v>
      </c>
      <c r="AA1311" s="82">
        <f>IFERROR(__xludf.DUMMYFUNCTION("""COMPUTED_VALUE"""),0.5959333406656714)</f>
        <v>0.5959333407</v>
      </c>
      <c r="AB1311" s="82">
        <f>IFERROR(__xludf.DUMMYFUNCTION("""COMPUTED_VALUE"""),1.3294034317454322)</f>
        <v>1.329403432</v>
      </c>
      <c r="AC1311" s="82">
        <f>IFERROR(__xludf.DUMMYFUNCTION("""COMPUTED_VALUE"""),2.613348399131197)</f>
        <v>2.613348399</v>
      </c>
      <c r="AD1311" s="82">
        <f>IFERROR(__xludf.DUMMYFUNCTION("""COMPUTED_VALUE"""),0.9148565865585874)</f>
        <v>0.9148565866</v>
      </c>
      <c r="AE1311" s="82">
        <f>IFERROR(__xludf.DUMMYFUNCTION("""COMPUTED_VALUE"""),0.8880288056771586)</f>
        <v>0.8880288057</v>
      </c>
      <c r="AF1311" s="82">
        <f>IFERROR(__xludf.DUMMYFUNCTION("""COMPUTED_VALUE"""),1.1351447252131603)</f>
        <v>1.135144725</v>
      </c>
      <c r="AG1311" s="82">
        <f>IFERROR(__xludf.DUMMYFUNCTION("""COMPUTED_VALUE"""),0.8849612992879476)</f>
        <v>0.8849612993</v>
      </c>
      <c r="AH1311" s="82">
        <f>IFERROR(__xludf.DUMMYFUNCTION("""COMPUTED_VALUE"""),0.9566271381309589)</f>
        <v>0.9566271381</v>
      </c>
      <c r="AI1311" s="82">
        <f>IFERROR(__xludf.DUMMYFUNCTION("""COMPUTED_VALUE"""),1.1426539525574584)</f>
        <v>1.142653953</v>
      </c>
      <c r="AJ1311" s="82">
        <f>IFERROR(__xludf.DUMMYFUNCTION("""COMPUTED_VALUE"""),1.369902371439745)</f>
        <v>1.369902371</v>
      </c>
      <c r="AK1311" s="82">
        <f>IFERROR(__xludf.DUMMYFUNCTION("""COMPUTED_VALUE"""),1.3728086894971263)</f>
        <v>1.372808689</v>
      </c>
      <c r="AL1311" s="82">
        <f>IFERROR(__xludf.DUMMYFUNCTION("""COMPUTED_VALUE"""),1.0667249009269406)</f>
        <v>1.066724901</v>
      </c>
      <c r="AM1311" s="82">
        <f>IFERROR(__xludf.DUMMYFUNCTION("""COMPUTED_VALUE"""),1.079388732267158)</f>
        <v>1.079388732</v>
      </c>
      <c r="AN1311" s="82">
        <f>IFERROR(__xludf.DUMMYFUNCTION("""COMPUTED_VALUE"""),0.9411345706941576)</f>
        <v>0.9411345707</v>
      </c>
      <c r="AO1311" s="82">
        <f>IFERROR(__xludf.DUMMYFUNCTION("""COMPUTED_VALUE"""),0.9342468997732885)</f>
        <v>0.9342468998</v>
      </c>
      <c r="AP1311" s="82">
        <f>IFERROR(__xludf.DUMMYFUNCTION("""COMPUTED_VALUE"""),1.216985457153457)</f>
        <v>1.216985457</v>
      </c>
      <c r="AQ1311" s="82">
        <f>IFERROR(__xludf.DUMMYFUNCTION("""COMPUTED_VALUE"""),0.8695461857296991)</f>
        <v>0.8695461857</v>
      </c>
      <c r="AR1311" s="82">
        <f>IFERROR(__xludf.DUMMYFUNCTION("""COMPUTED_VALUE"""),0.9805794503671939)</f>
        <v>0.9805794504</v>
      </c>
      <c r="AS1311" s="82">
        <f>IFERROR(__xludf.DUMMYFUNCTION("""COMPUTED_VALUE"""),75.0)</f>
        <v>75</v>
      </c>
      <c r="AT1311" s="82">
        <f>IFERROR(__xludf.DUMMYFUNCTION("""COMPUTED_VALUE"""),0.34914971922294524)</f>
        <v>0.3491497192</v>
      </c>
      <c r="AU1311" s="82">
        <f>IFERROR(__xludf.DUMMYFUNCTION("""COMPUTED_VALUE"""),1.510819280976038)</f>
        <v>1.510819281</v>
      </c>
      <c r="AV1311" s="82">
        <f>IFERROR(__xludf.DUMMYFUNCTION("""COMPUTED_VALUE"""),39.228947194109736)</f>
        <v>39.22894719</v>
      </c>
      <c r="AW1311" s="82">
        <f t="shared" si="1"/>
        <v>-3.000375751</v>
      </c>
      <c r="AX1311" s="83">
        <f t="array" ref="AX1311">IFERROR(DGET('SBV Import'!A:G,"SBV",{"RSC ID","Tier";B1311,A1311}))</f>
        <v>38.03535585</v>
      </c>
      <c r="AY1311" s="82">
        <f t="shared" si="2"/>
        <v>-3.163388978</v>
      </c>
      <c r="AZ1311" s="82">
        <v>0.1630132265557358</v>
      </c>
      <c r="BA1311" s="84">
        <v>1200.0</v>
      </c>
      <c r="BB1311" s="84" t="b">
        <f>IFERROR(__xludf.DUMMYFUNCTION("iferror(if(A1311="""",,E1311&gt;=FILTER(Constants!$F$2:$F$10,Constants!$A$2:$A$10=A1311)))"),TRUE)</f>
        <v>1</v>
      </c>
    </row>
    <row r="1312">
      <c r="A1312" s="89" t="str">
        <f>IFERROR(__xludf.DUMMYFUNCTION("""COMPUTED_VALUE"""),"Veteran")</f>
        <v>Veteran</v>
      </c>
      <c r="B1312" s="87" t="str">
        <f>IFERROR(__xludf.DUMMYFUNCTION("""COMPUTED_VALUE"""),"RSC007888")</f>
        <v>RSC007888</v>
      </c>
      <c r="C1312" s="73" t="str">
        <f>IFERROR(__xludf.DUMMYFUNCTION("""COMPUTED_VALUE"""),"SejRL")</f>
        <v>SejRL</v>
      </c>
      <c r="D1312" s="73" t="str">
        <f>IFERROR(__xludf.DUMMYFUNCTION("""COMPUTED_VALUE"""),"Supernova")</f>
        <v>Supernova</v>
      </c>
      <c r="E1312" s="82">
        <f>IFERROR(__xludf.DUMMYFUNCTION("""COMPUTED_VALUE"""),43.0)</f>
        <v>43</v>
      </c>
      <c r="F1312" s="82">
        <f>IFERROR(__xludf.DUMMYFUNCTION("""COMPUTED_VALUE"""),14.0)</f>
        <v>14</v>
      </c>
      <c r="G1312" s="86">
        <f>IFERROR(__xludf.DUMMYFUNCTION("""COMPUTED_VALUE"""),29.0)</f>
        <v>29</v>
      </c>
      <c r="H1312" s="86">
        <f>IFERROR(__xludf.DUMMYFUNCTION("""COMPUTED_VALUE"""),0.32558139534883723)</f>
        <v>0.3255813953</v>
      </c>
      <c r="I1312" s="86">
        <f>IFERROR(__xludf.DUMMYFUNCTION("""COMPUTED_VALUE"""),0.33695652173913043)</f>
        <v>0.3369565217</v>
      </c>
      <c r="J1312" s="82">
        <f>IFERROR(__xludf.DUMMYFUNCTION("""COMPUTED_VALUE"""),350.8837209302326)</f>
        <v>350.8837209</v>
      </c>
      <c r="K1312" s="82">
        <f>IFERROR(__xludf.DUMMYFUNCTION("""COMPUTED_VALUE"""),0.7209302325581395)</f>
        <v>0.7209302326</v>
      </c>
      <c r="L1312" s="82">
        <f>IFERROR(__xludf.DUMMYFUNCTION("""COMPUTED_VALUE"""),0.5581395348837209)</f>
        <v>0.5581395349</v>
      </c>
      <c r="M1312" s="82">
        <f>IFERROR(__xludf.DUMMYFUNCTION("""COMPUTED_VALUE"""),1.4651162790697674)</f>
        <v>1.465116279</v>
      </c>
      <c r="N1312" s="82">
        <f>IFERROR(__xludf.DUMMYFUNCTION("""COMPUTED_VALUE"""),2.13953488372093)</f>
        <v>2.139534884</v>
      </c>
      <c r="O1312" s="82">
        <f>IFERROR(__xludf.DUMMYFUNCTION("""COMPUTED_VALUE"""),368.64341085271315)</f>
        <v>368.6434109</v>
      </c>
      <c r="P1312" s="82">
        <f>IFERROR(__xludf.DUMMYFUNCTION("""COMPUTED_VALUE"""),1.015503875968992)</f>
        <v>1.015503876</v>
      </c>
      <c r="Q1312" s="82">
        <f>IFERROR(__xludf.DUMMYFUNCTION("""COMPUTED_VALUE"""),0.7209302325581396)</f>
        <v>0.7209302326</v>
      </c>
      <c r="R1312" s="82">
        <f>IFERROR(__xludf.DUMMYFUNCTION("""COMPUTED_VALUE"""),1.0930232558139534)</f>
        <v>1.093023256</v>
      </c>
      <c r="S1312" s="82">
        <f>IFERROR(__xludf.DUMMYFUNCTION("""COMPUTED_VALUE"""),2.914728682170543)</f>
        <v>2.914728682</v>
      </c>
      <c r="T1312" s="82">
        <f>IFERROR(__xludf.DUMMYFUNCTION("""COMPUTED_VALUE"""),355.14236641418717)</f>
        <v>355.1423664</v>
      </c>
      <c r="U1312" s="82">
        <f>IFERROR(__xludf.DUMMYFUNCTION("""COMPUTED_VALUE"""),0.7864386895872925)</f>
        <v>0.7864386896</v>
      </c>
      <c r="V1312" s="82">
        <f>IFERROR(__xludf.DUMMYFUNCTION("""COMPUTED_VALUE"""),0.5887250164527954)</f>
        <v>0.5887250165</v>
      </c>
      <c r="W1312" s="82">
        <f>IFERROR(__xludf.DUMMYFUNCTION("""COMPUTED_VALUE"""),1.3619479762715214)</f>
        <v>1.361947976</v>
      </c>
      <c r="X1312" s="82">
        <f>IFERROR(__xludf.DUMMYFUNCTION("""COMPUTED_VALUE"""),2.5974505322020236)</f>
        <v>2.597450532</v>
      </c>
      <c r="Y1312" s="82">
        <f>IFERROR(__xludf.DUMMYFUNCTION("""COMPUTED_VALUE"""),351.2208071500543)</f>
        <v>351.2208072</v>
      </c>
      <c r="Z1312" s="82">
        <f>IFERROR(__xludf.DUMMYFUNCTION("""COMPUTED_VALUE"""),0.7841089217168203)</f>
        <v>0.7841089217</v>
      </c>
      <c r="AA1312" s="82">
        <f>IFERROR(__xludf.DUMMYFUNCTION("""COMPUTED_VALUE"""),0.5592244779260002)</f>
        <v>0.5592244779</v>
      </c>
      <c r="AB1312" s="82">
        <f>IFERROR(__xludf.DUMMYFUNCTION("""COMPUTED_VALUE"""),1.3216797122086876)</f>
        <v>1.321679712</v>
      </c>
      <c r="AC1312" s="82">
        <f>IFERROR(__xludf.DUMMYFUNCTION("""COMPUTED_VALUE"""),2.636136799356419)</f>
        <v>2.636136799</v>
      </c>
      <c r="AD1312" s="82">
        <f>IFERROR(__xludf.DUMMYFUNCTION("""COMPUTED_VALUE"""),0.9990402441627619)</f>
        <v>0.9990402442</v>
      </c>
      <c r="AE1312" s="82">
        <f>IFERROR(__xludf.DUMMYFUNCTION("""COMPUTED_VALUE"""),0.9194261314864904)</f>
        <v>0.9194261315</v>
      </c>
      <c r="AF1312" s="82">
        <f>IFERROR(__xludf.DUMMYFUNCTION("""COMPUTED_VALUE"""),0.9980599149624083)</f>
        <v>0.998059915</v>
      </c>
      <c r="AG1312" s="82">
        <f>IFERROR(__xludf.DUMMYFUNCTION("""COMPUTED_VALUE"""),1.1085259655089807)</f>
        <v>1.108525966</v>
      </c>
      <c r="AH1312" s="82">
        <f>IFERROR(__xludf.DUMMYFUNCTION("""COMPUTED_VALUE"""),0.8116175474062165)</f>
        <v>0.8116175474</v>
      </c>
      <c r="AI1312" s="82">
        <f>IFERROR(__xludf.DUMMYFUNCTION("""COMPUTED_VALUE"""),1.0380158655100593)</f>
        <v>1.038015866</v>
      </c>
      <c r="AJ1312" s="82">
        <f>IFERROR(__xludf.DUMMYFUNCTION("""COMPUTED_VALUE"""),1.2912689691066808)</f>
        <v>1.291268969</v>
      </c>
      <c r="AK1312" s="82">
        <f>IFERROR(__xludf.DUMMYFUNCTION("""COMPUTED_VALUE"""),1.2245619133053174)</f>
        <v>1.224561913</v>
      </c>
      <c r="AL1312" s="82">
        <f>IFERROR(__xludf.DUMMYFUNCTION("""COMPUTED_VALUE"""),0.8025440581116922)</f>
        <v>0.8025440581</v>
      </c>
      <c r="AM1312" s="82">
        <f>IFERROR(__xludf.DUMMYFUNCTION("""COMPUTED_VALUE"""),1.1221498334751894)</f>
        <v>1.122149833</v>
      </c>
      <c r="AN1312" s="82">
        <f>IFERROR(__xludf.DUMMYFUNCTION("""COMPUTED_VALUE"""),1.0149863679336706)</f>
        <v>1.014986368</v>
      </c>
      <c r="AO1312" s="82">
        <f>IFERROR(__xludf.DUMMYFUNCTION("""COMPUTED_VALUE"""),0.9541630158537266)</f>
        <v>0.9541630159</v>
      </c>
      <c r="AP1312" s="82">
        <f>IFERROR(__xludf.DUMMYFUNCTION("""COMPUTED_VALUE"""),1.0041052912408706)</f>
        <v>1.004105291</v>
      </c>
      <c r="AQ1312" s="82">
        <f>IFERROR(__xludf.DUMMYFUNCTION("""COMPUTED_VALUE"""),1.0828883312982647)</f>
        <v>1.082888331</v>
      </c>
      <c r="AR1312" s="82">
        <f>IFERROR(__xludf.DUMMYFUNCTION("""COMPUTED_VALUE"""),0.8391935761282031)</f>
        <v>0.8391935761</v>
      </c>
      <c r="AS1312" s="82">
        <f>IFERROR(__xludf.DUMMYFUNCTION("""COMPUTED_VALUE"""),90.0)</f>
        <v>90</v>
      </c>
      <c r="AT1312" s="82">
        <f>IFERROR(__xludf.DUMMYFUNCTION("""COMPUTED_VALUE"""),0.35422864326707537)</f>
        <v>0.3542286433</v>
      </c>
      <c r="AU1312" s="82">
        <f>IFERROR(__xludf.DUMMYFUNCTION("""COMPUTED_VALUE"""),1.4977117070257757)</f>
        <v>1.497711707</v>
      </c>
      <c r="AV1312" s="82">
        <f>IFERROR(__xludf.DUMMYFUNCTION("""COMPUTED_VALUE"""),38.76032398155283)</f>
        <v>38.76032398</v>
      </c>
      <c r="AW1312" s="82">
        <f t="shared" si="1"/>
        <v>-3.062748516</v>
      </c>
      <c r="AX1312" s="83">
        <f t="array" ref="AX1312">IFERROR(DGET('SBV Import'!A:G,"SBV",{"RSC ID","Tier";B1312,A1312}))</f>
        <v>44.09718418</v>
      </c>
      <c r="AY1312" s="82">
        <f t="shared" si="2"/>
        <v>-2.4589803</v>
      </c>
      <c r="AZ1312" s="82">
        <v>0.6037682155095498</v>
      </c>
      <c r="BA1312" s="84">
        <v>1200.0</v>
      </c>
      <c r="BB1312" s="84" t="b">
        <f>IFERROR(__xludf.DUMMYFUNCTION("iferror(if(A1312="""",,E1312&gt;=FILTER(Constants!$F$2:$F$10,Constants!$A$2:$A$10=A1312)))"),TRUE)</f>
        <v>1</v>
      </c>
    </row>
    <row r="1313">
      <c r="A1313" s="89" t="str">
        <f>IFERROR(__xludf.DUMMYFUNCTION("""COMPUTED_VALUE"""),"Veteran")</f>
        <v>Veteran</v>
      </c>
      <c r="B1313" s="87" t="str">
        <f>IFERROR(__xludf.DUMMYFUNCTION("""COMPUTED_VALUE"""),"RSC007825")</f>
        <v>RSC007825</v>
      </c>
      <c r="C1313" s="73" t="str">
        <f>IFERROR(__xludf.DUMMYFUNCTION("""COMPUTED_VALUE"""),"Acryonix")</f>
        <v>Acryonix</v>
      </c>
      <c r="D1313" s="73" t="str">
        <f>IFERROR(__xludf.DUMMYFUNCTION("""COMPUTED_VALUE"""),"Slots")</f>
        <v>Slots</v>
      </c>
      <c r="E1313" s="82">
        <f>IFERROR(__xludf.DUMMYFUNCTION("""COMPUTED_VALUE"""),8.0)</f>
        <v>8</v>
      </c>
      <c r="F1313" s="82">
        <f>IFERROR(__xludf.DUMMYFUNCTION("""COMPUTED_VALUE"""),4.0)</f>
        <v>4</v>
      </c>
      <c r="G1313" s="86">
        <f>IFERROR(__xludf.DUMMYFUNCTION("""COMPUTED_VALUE"""),4.0)</f>
        <v>4</v>
      </c>
      <c r="H1313" s="86">
        <f>IFERROR(__xludf.DUMMYFUNCTION("""COMPUTED_VALUE"""),0.5)</f>
        <v>0.5</v>
      </c>
      <c r="I1313" s="86">
        <f>IFERROR(__xludf.DUMMYFUNCTION("""COMPUTED_VALUE"""),0.4444444444444444)</f>
        <v>0.4444444444</v>
      </c>
      <c r="J1313" s="82">
        <f>IFERROR(__xludf.DUMMYFUNCTION("""COMPUTED_VALUE"""),339.5)</f>
        <v>339.5</v>
      </c>
      <c r="K1313" s="82">
        <f>IFERROR(__xludf.DUMMYFUNCTION("""COMPUTED_VALUE"""),1.0)</f>
        <v>1</v>
      </c>
      <c r="L1313" s="82">
        <f>IFERROR(__xludf.DUMMYFUNCTION("""COMPUTED_VALUE"""),0.125)</f>
        <v>0.125</v>
      </c>
      <c r="M1313" s="82">
        <f>IFERROR(__xludf.DUMMYFUNCTION("""COMPUTED_VALUE"""),1.375)</f>
        <v>1.375</v>
      </c>
      <c r="N1313" s="82">
        <f>IFERROR(__xludf.DUMMYFUNCTION("""COMPUTED_VALUE"""),2.25)</f>
        <v>2.25</v>
      </c>
      <c r="O1313" s="82">
        <f>IFERROR(__xludf.DUMMYFUNCTION("""COMPUTED_VALUE"""),394.79166666666663)</f>
        <v>394.7916667</v>
      </c>
      <c r="P1313" s="82">
        <f>IFERROR(__xludf.DUMMYFUNCTION("""COMPUTED_VALUE"""),0.9583333333333333)</f>
        <v>0.9583333333</v>
      </c>
      <c r="Q1313" s="82">
        <f>IFERROR(__xludf.DUMMYFUNCTION("""COMPUTED_VALUE"""),0.75)</f>
        <v>0.75</v>
      </c>
      <c r="R1313" s="82">
        <f>IFERROR(__xludf.DUMMYFUNCTION("""COMPUTED_VALUE"""),1.4166666666666667)</f>
        <v>1.416666667</v>
      </c>
      <c r="S1313" s="82">
        <f>IFERROR(__xludf.DUMMYFUNCTION("""COMPUTED_VALUE"""),3.4999999999999996)</f>
        <v>3.5</v>
      </c>
      <c r="T1313" s="82">
        <f>IFERROR(__xludf.DUMMYFUNCTION("""COMPUTED_VALUE"""),365.43106610105946)</f>
        <v>365.4310661</v>
      </c>
      <c r="U1313" s="82">
        <f>IFERROR(__xludf.DUMMYFUNCTION("""COMPUTED_VALUE"""),0.8739890139473052)</f>
        <v>0.8739890139</v>
      </c>
      <c r="V1313" s="82">
        <f>IFERROR(__xludf.DUMMYFUNCTION("""COMPUTED_VALUE"""),0.7008266920346673)</f>
        <v>0.700826692</v>
      </c>
      <c r="W1313" s="82">
        <f>IFERROR(__xludf.DUMMYFUNCTION("""COMPUTED_VALUE"""),1.1684010016542876)</f>
        <v>1.168401002</v>
      </c>
      <c r="X1313" s="82">
        <f>IFERROR(__xludf.DUMMYFUNCTION("""COMPUTED_VALUE"""),2.9135561874897693)</f>
        <v>2.913556187</v>
      </c>
      <c r="Y1313" s="82">
        <f>IFERROR(__xludf.DUMMYFUNCTION("""COMPUTED_VALUE"""),349.03718719854487)</f>
        <v>349.0371872</v>
      </c>
      <c r="Z1313" s="82">
        <f>IFERROR(__xludf.DUMMYFUNCTION("""COMPUTED_VALUE"""),0.7420922298708151)</f>
        <v>0.7420922299</v>
      </c>
      <c r="AA1313" s="82">
        <f>IFERROR(__xludf.DUMMYFUNCTION("""COMPUTED_VALUE"""),0.5413193222886304)</f>
        <v>0.5413193223</v>
      </c>
      <c r="AB1313" s="82">
        <f>IFERROR(__xludf.DUMMYFUNCTION("""COMPUTED_VALUE"""),1.3899740009968145)</f>
        <v>1.389974001</v>
      </c>
      <c r="AC1313" s="82">
        <f>IFERROR(__xludf.DUMMYFUNCTION("""COMPUTED_VALUE"""),2.4689364064653705)</f>
        <v>2.468936406</v>
      </c>
      <c r="AD1313" s="82">
        <f>IFERROR(__xludf.DUMMYFUNCTION("""COMPUTED_VALUE"""),0.9726757275489968)</f>
        <v>0.9726757275</v>
      </c>
      <c r="AE1313" s="82">
        <f>IFERROR(__xludf.DUMMYFUNCTION("""COMPUTED_VALUE"""),1.3475413968073509)</f>
        <v>1.347541397</v>
      </c>
      <c r="AF1313" s="82">
        <f>IFERROR(__xludf.DUMMYFUNCTION("""COMPUTED_VALUE"""),0.230917306759928)</f>
        <v>0.2309173068</v>
      </c>
      <c r="AG1313" s="82">
        <f>IFERROR(__xludf.DUMMYFUNCTION("""COMPUTED_VALUE"""),0.989227135913279)</f>
        <v>0.9892271359</v>
      </c>
      <c r="AH1313" s="82">
        <f>IFERROR(__xludf.DUMMYFUNCTION("""COMPUTED_VALUE"""),0.9113235942845491)</f>
        <v>0.9113235943</v>
      </c>
      <c r="AI1313" s="82">
        <f>IFERROR(__xludf.DUMMYFUNCTION("""COMPUTED_VALUE"""),1.0803451137279267)</f>
        <v>1.080345114</v>
      </c>
      <c r="AJ1313" s="82">
        <f>IFERROR(__xludf.DUMMYFUNCTION("""COMPUTED_VALUE"""),1.0965050109784484)</f>
        <v>1.096505011</v>
      </c>
      <c r="AK1313" s="82">
        <f>IFERROR(__xludf.DUMMYFUNCTION("""COMPUTED_VALUE"""),1.0701647190728008)</f>
        <v>1.070164719</v>
      </c>
      <c r="AL1313" s="82">
        <f>IFERROR(__xludf.DUMMYFUNCTION("""COMPUTED_VALUE"""),1.2124832695802816)</f>
        <v>1.21248327</v>
      </c>
      <c r="AM1313" s="82">
        <f>IFERROR(__xludf.DUMMYFUNCTION("""COMPUTED_VALUE"""),1.201281106239963)</f>
        <v>1.201281106</v>
      </c>
      <c r="AN1313" s="82">
        <f>IFERROR(__xludf.DUMMYFUNCTION("""COMPUTED_VALUE"""),0.9820571641224608)</f>
        <v>0.9820571641</v>
      </c>
      <c r="AO1313" s="82">
        <f>IFERROR(__xludf.DUMMYFUNCTION("""COMPUTED_VALUE"""),1.3235164413454918)</f>
        <v>1.323516441</v>
      </c>
      <c r="AP1313" s="82">
        <f>IFERROR(__xludf.DUMMYFUNCTION("""COMPUTED_VALUE"""),0.22487774751748663)</f>
        <v>0.2248777475</v>
      </c>
      <c r="AQ1313" s="82">
        <f>IFERROR(__xludf.DUMMYFUNCTION("""COMPUTED_VALUE"""),1.0162821045715857)</f>
        <v>1.016282105</v>
      </c>
      <c r="AR1313" s="82">
        <f>IFERROR(__xludf.DUMMYFUNCTION("""COMPUTED_VALUE"""),0.8825215053304745)</f>
        <v>0.8825215053</v>
      </c>
      <c r="AS1313" s="82">
        <f>IFERROR(__xludf.DUMMYFUNCTION("""COMPUTED_VALUE"""),20.0)</f>
        <v>20</v>
      </c>
      <c r="AT1313" s="82">
        <f>IFERROR(__xludf.DUMMYFUNCTION("""COMPUTED_VALUE"""),0.44362365470593096)</f>
        <v>0.4436236547</v>
      </c>
      <c r="AU1313" s="82">
        <f>IFERROR(__xludf.DUMMYFUNCTION("""COMPUTED_VALUE"""),1.4884716789728476)</f>
        <v>1.488471679</v>
      </c>
      <c r="AV1313" s="82">
        <f>IFERROR(__xludf.DUMMYFUNCTION("""COMPUTED_VALUE"""),38.42997363245619)</f>
        <v>38.42997363</v>
      </c>
      <c r="AW1313" s="82">
        <f t="shared" si="1"/>
        <v>-3.107969419</v>
      </c>
      <c r="AX1313" s="83">
        <f t="array" ref="AX1313">IFERROR(DGET('SBV Import'!A:G,"SBV",{"RSC ID","Tier";B1313,A1313}))</f>
        <v>9.290006355</v>
      </c>
      <c r="AY1313" s="82">
        <f t="shared" si="2"/>
        <v>-19.3348518</v>
      </c>
      <c r="AZ1313" s="82">
        <v>16.226882385238614</v>
      </c>
      <c r="BA1313" s="84">
        <v>1200.0</v>
      </c>
      <c r="BB1313" s="84" t="b">
        <f>IFERROR(__xludf.DUMMYFUNCTION("iferror(if(A1313="""",,E1313&gt;=FILTER(Constants!$F$2:$F$10,Constants!$A$2:$A$10=A1313)))"),TRUE)</f>
        <v>1</v>
      </c>
    </row>
    <row r="1314">
      <c r="A1314" s="89" t="str">
        <f>IFERROR(__xludf.DUMMYFUNCTION("""COMPUTED_VALUE"""),"Veteran")</f>
        <v>Veteran</v>
      </c>
      <c r="B1314" s="87" t="str">
        <f>IFERROR(__xludf.DUMMYFUNCTION("""COMPUTED_VALUE"""),"RSC007062")</f>
        <v>RSC007062</v>
      </c>
      <c r="C1314" s="73" t="str">
        <f>IFERROR(__xludf.DUMMYFUNCTION("""COMPUTED_VALUE"""),"Ice Phoenix")</f>
        <v>Ice Phoenix</v>
      </c>
      <c r="D1314" s="73" t="str">
        <f>IFERROR(__xludf.DUMMYFUNCTION("""COMPUTED_VALUE"""),"Giraffes")</f>
        <v>Giraffes</v>
      </c>
      <c r="E1314" s="82">
        <f>IFERROR(__xludf.DUMMYFUNCTION("""COMPUTED_VALUE"""),11.0)</f>
        <v>11</v>
      </c>
      <c r="F1314" s="82">
        <f>IFERROR(__xludf.DUMMYFUNCTION("""COMPUTED_VALUE"""),4.0)</f>
        <v>4</v>
      </c>
      <c r="G1314" s="86">
        <f>IFERROR(__xludf.DUMMYFUNCTION("""COMPUTED_VALUE"""),7.0)</f>
        <v>7</v>
      </c>
      <c r="H1314" s="86">
        <f>IFERROR(__xludf.DUMMYFUNCTION("""COMPUTED_VALUE"""),0.36363636363636365)</f>
        <v>0.3636363636</v>
      </c>
      <c r="I1314" s="86">
        <f>IFERROR(__xludf.DUMMYFUNCTION("""COMPUTED_VALUE"""),0.30434782608695654)</f>
        <v>0.3043478261</v>
      </c>
      <c r="J1314" s="82">
        <f>IFERROR(__xludf.DUMMYFUNCTION("""COMPUTED_VALUE"""),253.0)</f>
        <v>253</v>
      </c>
      <c r="K1314" s="82">
        <f>IFERROR(__xludf.DUMMYFUNCTION("""COMPUTED_VALUE"""),0.6363636363636364)</f>
        <v>0.6363636364</v>
      </c>
      <c r="L1314" s="82">
        <f>IFERROR(__xludf.DUMMYFUNCTION("""COMPUTED_VALUE"""),0.5454545454545454)</f>
        <v>0.5454545455</v>
      </c>
      <c r="M1314" s="82">
        <f>IFERROR(__xludf.DUMMYFUNCTION("""COMPUTED_VALUE"""),0.6363636363636364)</f>
        <v>0.6363636364</v>
      </c>
      <c r="N1314" s="82">
        <f>IFERROR(__xludf.DUMMYFUNCTION("""COMPUTED_VALUE"""),2.090909090909091)</f>
        <v>2.090909091</v>
      </c>
      <c r="O1314" s="82">
        <f>IFERROR(__xludf.DUMMYFUNCTION("""COMPUTED_VALUE"""),348.18181818181824)</f>
        <v>348.1818182</v>
      </c>
      <c r="P1314" s="82">
        <f>IFERROR(__xludf.DUMMYFUNCTION("""COMPUTED_VALUE"""),0.8181818181818182)</f>
        <v>0.8181818182</v>
      </c>
      <c r="Q1314" s="82">
        <f>IFERROR(__xludf.DUMMYFUNCTION("""COMPUTED_VALUE"""),0.606060606060606)</f>
        <v>0.6060606061</v>
      </c>
      <c r="R1314" s="82">
        <f>IFERROR(__xludf.DUMMYFUNCTION("""COMPUTED_VALUE"""),1.1818181818181819)</f>
        <v>1.181818182</v>
      </c>
      <c r="S1314" s="82">
        <f>IFERROR(__xludf.DUMMYFUNCTION("""COMPUTED_VALUE"""),2.606060606060606)</f>
        <v>2.606060606</v>
      </c>
      <c r="T1314" s="82">
        <f>IFERROR(__xludf.DUMMYFUNCTION("""COMPUTED_VALUE"""),358.2008617757132)</f>
        <v>358.2008618</v>
      </c>
      <c r="U1314" s="82">
        <f>IFERROR(__xludf.DUMMYFUNCTION("""COMPUTED_VALUE"""),0.8362415516254372)</f>
        <v>0.8362415516</v>
      </c>
      <c r="V1314" s="82">
        <f>IFERROR(__xludf.DUMMYFUNCTION("""COMPUTED_VALUE"""),0.6151665529995786)</f>
        <v>0.615166553</v>
      </c>
      <c r="W1314" s="82">
        <f>IFERROR(__xludf.DUMMYFUNCTION("""COMPUTED_VALUE"""),1.288674281281079)</f>
        <v>1.288674281</v>
      </c>
      <c r="X1314" s="82">
        <f>IFERROR(__xludf.DUMMYFUNCTION("""COMPUTED_VALUE"""),2.720375735204541)</f>
        <v>2.720375735</v>
      </c>
      <c r="Y1314" s="82">
        <f>IFERROR(__xludf.DUMMYFUNCTION("""COMPUTED_VALUE"""),343.4495746927914)</f>
        <v>343.4495747</v>
      </c>
      <c r="Z1314" s="82">
        <f>IFERROR(__xludf.DUMMYFUNCTION("""COMPUTED_VALUE"""),0.6995484119383671)</f>
        <v>0.6995484119</v>
      </c>
      <c r="AA1314" s="82">
        <f>IFERROR(__xludf.DUMMYFUNCTION("""COMPUTED_VALUE"""),0.5138652052161061)</f>
        <v>0.5138652052</v>
      </c>
      <c r="AB1314" s="82">
        <f>IFERROR(__xludf.DUMMYFUNCTION("""COMPUTED_VALUE"""),1.390315996500003)</f>
        <v>1.390315997</v>
      </c>
      <c r="AC1314" s="82">
        <f>IFERROR(__xludf.DUMMYFUNCTION("""COMPUTED_VALUE"""),2.4501647479106268)</f>
        <v>2.450164748</v>
      </c>
      <c r="AD1314" s="82">
        <f>IFERROR(__xludf.DUMMYFUNCTION("""COMPUTED_VALUE"""),0.736643800552973)</f>
        <v>0.7366438006</v>
      </c>
      <c r="AE1314" s="82">
        <f>IFERROR(__xludf.DUMMYFUNCTION("""COMPUTED_VALUE"""),0.9096777656893636)</f>
        <v>0.9096777657</v>
      </c>
      <c r="AF1314" s="82">
        <f>IFERROR(__xludf.DUMMYFUNCTION("""COMPUTED_VALUE"""),1.0614739817325332)</f>
        <v>1.061473982</v>
      </c>
      <c r="AG1314" s="82">
        <f>IFERROR(__xludf.DUMMYFUNCTION("""COMPUTED_VALUE"""),0.45771151160284806)</f>
        <v>0.4577115116</v>
      </c>
      <c r="AH1314" s="82">
        <f>IFERROR(__xludf.DUMMYFUNCTION("""COMPUTED_VALUE"""),0.8533748976235617)</f>
        <v>0.8533748976</v>
      </c>
      <c r="AI1314" s="82">
        <f>IFERROR(__xludf.DUMMYFUNCTION("""COMPUTED_VALUE"""),0.9720295379965659)</f>
        <v>0.972029538</v>
      </c>
      <c r="AJ1314" s="82">
        <f>IFERROR(__xludf.DUMMYFUNCTION("""COMPUTED_VALUE"""),0.9784036880151249)</f>
        <v>0.978403688</v>
      </c>
      <c r="AK1314" s="82">
        <f>IFERROR(__xludf.DUMMYFUNCTION("""COMPUTED_VALUE"""),0.9851975909701663)</f>
        <v>0.985197591</v>
      </c>
      <c r="AL1314" s="82">
        <f>IFERROR(__xludf.DUMMYFUNCTION("""COMPUTED_VALUE"""),0.9170805990194273)</f>
        <v>0.917080599</v>
      </c>
      <c r="AM1314" s="82">
        <f>IFERROR(__xludf.DUMMYFUNCTION("""COMPUTED_VALUE"""),0.9579781837984451)</f>
        <v>0.9579781838</v>
      </c>
      <c r="AN1314" s="82">
        <f>IFERROR(__xludf.DUMMYFUNCTION("""COMPUTED_VALUE"""),0.7318423049277838)</f>
        <v>0.7318423049</v>
      </c>
      <c r="AO1314" s="82">
        <f>IFERROR(__xludf.DUMMYFUNCTION("""COMPUTED_VALUE"""),0.8422377354016767)</f>
        <v>0.8422377354</v>
      </c>
      <c r="AP1314" s="82">
        <f>IFERROR(__xludf.DUMMYFUNCTION("""COMPUTED_VALUE"""),0.9812847164399416)</f>
        <v>0.9812847164</v>
      </c>
      <c r="AQ1314" s="82">
        <f>IFERROR(__xludf.DUMMYFUNCTION("""COMPUTED_VALUE"""),0.470345436826519)</f>
        <v>0.4703454368</v>
      </c>
      <c r="AR1314" s="82">
        <f>IFERROR(__xludf.DUMMYFUNCTION("""COMPUTED_VALUE"""),0.8201209948525621)</f>
        <v>0.8201209949</v>
      </c>
      <c r="AS1314" s="82">
        <f>IFERROR(__xludf.DUMMYFUNCTION("""COMPUTED_VALUE"""),17.0)</f>
        <v>17</v>
      </c>
      <c r="AT1314" s="82">
        <f>IFERROR(__xludf.DUMMYFUNCTION("""COMPUTED_VALUE"""),0.3343262638310255)</f>
        <v>0.3343262638</v>
      </c>
      <c r="AU1314" s="82">
        <f>IFERROR(__xludf.DUMMYFUNCTION("""COMPUTED_VALUE"""),1.4706668521277468)</f>
        <v>1.470666852</v>
      </c>
      <c r="AV1314" s="82">
        <f>IFERROR(__xludf.DUMMYFUNCTION("""COMPUTED_VALUE"""),37.793413794088565)</f>
        <v>37.79341379</v>
      </c>
      <c r="AW1314" s="82">
        <f t="shared" si="1"/>
        <v>-3.19814125</v>
      </c>
      <c r="AX1314" s="83">
        <f t="array" ref="AX1314">IFERROR(DGET('SBV Import'!A:G,"SBV",{"RSC ID","Tier";B1314,A1314}))</f>
        <v>25.43805145</v>
      </c>
      <c r="AY1314" s="82">
        <f t="shared" si="2"/>
        <v>-6.137521394</v>
      </c>
      <c r="AZ1314" s="82">
        <v>2.939380144353217</v>
      </c>
      <c r="BA1314" s="84">
        <v>1200.0</v>
      </c>
      <c r="BB1314" s="84" t="b">
        <f>IFERROR(__xludf.DUMMYFUNCTION("iferror(if(A1314="""",,E1314&gt;=FILTER(Constants!$F$2:$F$10,Constants!$A$2:$A$10=A1314)))"),TRUE)</f>
        <v>1</v>
      </c>
    </row>
    <row r="1315">
      <c r="A1315" s="89" t="str">
        <f>IFERROR(__xludf.DUMMYFUNCTION("""COMPUTED_VALUE"""),"Veteran")</f>
        <v>Veteran</v>
      </c>
      <c r="B1315" s="87" t="str">
        <f>IFERROR(__xludf.DUMMYFUNCTION("""COMPUTED_VALUE"""),"RSC007795")</f>
        <v>RSC007795</v>
      </c>
      <c r="C1315" s="73" t="str">
        <f>IFERROR(__xludf.DUMMYFUNCTION("""COMPUTED_VALUE"""),"Gizmeaux")</f>
        <v>Gizmeaux</v>
      </c>
      <c r="D1315" s="73" t="str">
        <f>IFERROR(__xludf.DUMMYFUNCTION("""COMPUTED_VALUE"""),"Gouda Gangsters")</f>
        <v>Gouda Gangsters</v>
      </c>
      <c r="E1315" s="82">
        <f>IFERROR(__xludf.DUMMYFUNCTION("""COMPUTED_VALUE"""),22.0)</f>
        <v>22</v>
      </c>
      <c r="F1315" s="82">
        <f>IFERROR(__xludf.DUMMYFUNCTION("""COMPUTED_VALUE"""),9.0)</f>
        <v>9</v>
      </c>
      <c r="G1315" s="86">
        <f>IFERROR(__xludf.DUMMYFUNCTION("""COMPUTED_VALUE"""),13.0)</f>
        <v>13</v>
      </c>
      <c r="H1315" s="86">
        <f>IFERROR(__xludf.DUMMYFUNCTION("""COMPUTED_VALUE"""),0.4090909090909091)</f>
        <v>0.4090909091</v>
      </c>
      <c r="I1315" s="86">
        <f>IFERROR(__xludf.DUMMYFUNCTION("""COMPUTED_VALUE"""),0.3469387755102041)</f>
        <v>0.3469387755</v>
      </c>
      <c r="J1315" s="82">
        <f>IFERROR(__xludf.DUMMYFUNCTION("""COMPUTED_VALUE"""),319.1363636363636)</f>
        <v>319.1363636</v>
      </c>
      <c r="K1315" s="82">
        <f>IFERROR(__xludf.DUMMYFUNCTION("""COMPUTED_VALUE"""),0.7727272727272727)</f>
        <v>0.7727272727</v>
      </c>
      <c r="L1315" s="82">
        <f>IFERROR(__xludf.DUMMYFUNCTION("""COMPUTED_VALUE"""),0.5454545454545454)</f>
        <v>0.5454545455</v>
      </c>
      <c r="M1315" s="82">
        <f>IFERROR(__xludf.DUMMYFUNCTION("""COMPUTED_VALUE"""),1.0)</f>
        <v>1</v>
      </c>
      <c r="N1315" s="82">
        <f>IFERROR(__xludf.DUMMYFUNCTION("""COMPUTED_VALUE"""),2.227272727272727)</f>
        <v>2.227272727</v>
      </c>
      <c r="O1315" s="82">
        <f>IFERROR(__xludf.DUMMYFUNCTION("""COMPUTED_VALUE"""),386.75757575757575)</f>
        <v>386.7575758</v>
      </c>
      <c r="P1315" s="82">
        <f>IFERROR(__xludf.DUMMYFUNCTION("""COMPUTED_VALUE"""),1.0000000000000002)</f>
        <v>1</v>
      </c>
      <c r="Q1315" s="82">
        <f>IFERROR(__xludf.DUMMYFUNCTION("""COMPUTED_VALUE"""),0.7424242424242423)</f>
        <v>0.7424242424</v>
      </c>
      <c r="R1315" s="82">
        <f>IFERROR(__xludf.DUMMYFUNCTION("""COMPUTED_VALUE"""),1.2878787878787878)</f>
        <v>1.287878788</v>
      </c>
      <c r="S1315" s="82">
        <f>IFERROR(__xludf.DUMMYFUNCTION("""COMPUTED_VALUE"""),2.5000000000000004)</f>
        <v>2.5</v>
      </c>
      <c r="T1315" s="82">
        <f>IFERROR(__xludf.DUMMYFUNCTION("""COMPUTED_VALUE"""),353.24343129355384)</f>
        <v>353.2434313</v>
      </c>
      <c r="U1315" s="82">
        <f>IFERROR(__xludf.DUMMYFUNCTION("""COMPUTED_VALUE"""),0.7961283145217366)</f>
        <v>0.7961283145</v>
      </c>
      <c r="V1315" s="82">
        <f>IFERROR(__xludf.DUMMYFUNCTION("""COMPUTED_VALUE"""),0.5435912858065547)</f>
        <v>0.5435912858</v>
      </c>
      <c r="W1315" s="82">
        <f>IFERROR(__xludf.DUMMYFUNCTION("""COMPUTED_VALUE"""),1.3544394913909985)</f>
        <v>1.354439491</v>
      </c>
      <c r="X1315" s="82">
        <f>IFERROR(__xludf.DUMMYFUNCTION("""COMPUTED_VALUE"""),2.601347106684781)</f>
        <v>2.601347107</v>
      </c>
      <c r="Y1315" s="82">
        <f>IFERROR(__xludf.DUMMYFUNCTION("""COMPUTED_VALUE"""),357.09661424082697)</f>
        <v>357.0966142</v>
      </c>
      <c r="Z1315" s="82">
        <f>IFERROR(__xludf.DUMMYFUNCTION("""COMPUTED_VALUE"""),0.8081926014298066)</f>
        <v>0.8081926014</v>
      </c>
      <c r="AA1315" s="82">
        <f>IFERROR(__xludf.DUMMYFUNCTION("""COMPUTED_VALUE"""),0.5873140537825724)</f>
        <v>0.5873140538</v>
      </c>
      <c r="AB1315" s="82">
        <f>IFERROR(__xludf.DUMMYFUNCTION("""COMPUTED_VALUE"""),1.35272008077201)</f>
        <v>1.352720081</v>
      </c>
      <c r="AC1315" s="82">
        <f>IFERROR(__xludf.DUMMYFUNCTION("""COMPUTED_VALUE"""),2.6852794296140123)</f>
        <v>2.68527943</v>
      </c>
      <c r="AD1315" s="82">
        <f>IFERROR(__xludf.DUMMYFUNCTION("""COMPUTED_VALUE"""),0.8936975342508768)</f>
        <v>0.8936975343</v>
      </c>
      <c r="AE1315" s="82">
        <f>IFERROR(__xludf.DUMMYFUNCTION("""COMPUTED_VALUE"""),0.9561177265916679)</f>
        <v>0.9561177266</v>
      </c>
      <c r="AF1315" s="82">
        <f>IFERROR(__xludf.DUMMYFUNCTION("""COMPUTED_VALUE"""),0.9287272149228637)</f>
        <v>0.9287272149</v>
      </c>
      <c r="AG1315" s="82">
        <f>IFERROR(__xludf.DUMMYFUNCTION("""COMPUTED_VALUE"""),0.7392512421559461)</f>
        <v>0.7392512422</v>
      </c>
      <c r="AH1315" s="82">
        <f>IFERROR(__xludf.DUMMYFUNCTION("""COMPUTED_VALUE"""),0.8294379730875456)</f>
        <v>0.8294379731</v>
      </c>
      <c r="AI1315" s="82">
        <f>IFERROR(__xludf.DUMMYFUNCTION("""COMPUTED_VALUE"""),1.0948754923518191)</f>
        <v>1.094875492</v>
      </c>
      <c r="AJ1315" s="82">
        <f>IFERROR(__xludf.DUMMYFUNCTION("""COMPUTED_VALUE"""),1.256078928182245)</f>
        <v>1.256078928</v>
      </c>
      <c r="AK1315" s="82">
        <f>IFERROR(__xludf.DUMMYFUNCTION("""COMPUTED_VALUE"""),1.3657765711285619)</f>
        <v>1.365776571</v>
      </c>
      <c r="AL1315" s="82">
        <f>IFERROR(__xludf.DUMMYFUNCTION("""COMPUTED_VALUE"""),0.9508573812744833)</f>
        <v>0.9508573813</v>
      </c>
      <c r="AM1315" s="82">
        <f>IFERROR(__xludf.DUMMYFUNCTION("""COMPUTED_VALUE"""),0.9610405291841504)</f>
        <v>0.9610405292</v>
      </c>
      <c r="AN1315" s="82">
        <f>IFERROR(__xludf.DUMMYFUNCTION("""COMPUTED_VALUE"""),0.9231521420944968)</f>
        <v>0.9231521421</v>
      </c>
      <c r="AO1315" s="82">
        <f>IFERROR(__xludf.DUMMYFUNCTION("""COMPUTED_VALUE"""),1.0227172501306074)</f>
        <v>1.02271725</v>
      </c>
      <c r="AP1315" s="82">
        <f>IFERROR(__xludf.DUMMYFUNCTION("""COMPUTED_VALUE"""),0.9812847164399416)</f>
        <v>0.9812847164</v>
      </c>
      <c r="AQ1315" s="82">
        <f>IFERROR(__xludf.DUMMYFUNCTION("""COMPUTED_VALUE"""),0.7391142578702442)</f>
        <v>0.7391142579</v>
      </c>
      <c r="AR1315" s="82">
        <f>IFERROR(__xludf.DUMMYFUNCTION("""COMPUTED_VALUE"""),0.8736071466907727)</f>
        <v>0.8736071467</v>
      </c>
      <c r="AS1315" s="82">
        <f>IFERROR(__xludf.DUMMYFUNCTION("""COMPUTED_VALUE"""),54.0)</f>
        <v>54</v>
      </c>
      <c r="AT1315" s="82">
        <f>IFERROR(__xludf.DUMMYFUNCTION("""COMPUTED_VALUE"""),0.4190832305329048)</f>
        <v>0.4190832305</v>
      </c>
      <c r="AU1315" s="82">
        <f>IFERROR(__xludf.DUMMYFUNCTION("""COMPUTED_VALUE"""),1.4421852222593357)</f>
        <v>1.442185222</v>
      </c>
      <c r="AV1315" s="82">
        <f>IFERROR(__xludf.DUMMYFUNCTION("""COMPUTED_VALUE"""),36.77513589320175)</f>
        <v>36.77513589</v>
      </c>
      <c r="AW1315" s="82">
        <f t="shared" si="1"/>
        <v>-3.351154658</v>
      </c>
      <c r="AX1315" s="83">
        <f t="array" ref="AX1315">IFERROR(DGET('SBV Import'!A:G,"SBV",{"RSC ID","Tier";B1315,A1315}))</f>
        <v>35.23143714</v>
      </c>
      <c r="AY1315" s="82">
        <f t="shared" si="2"/>
        <v>-3.605598329</v>
      </c>
      <c r="AZ1315" s="82">
        <v>0.25444367028174764</v>
      </c>
      <c r="BA1315" s="84">
        <v>1200.0</v>
      </c>
      <c r="BB1315" s="84" t="b">
        <f>IFERROR(__xludf.DUMMYFUNCTION("iferror(if(A1315="""",,E1315&gt;=FILTER(Constants!$F$2:$F$10,Constants!$A$2:$A$10=A1315)))"),TRUE)</f>
        <v>1</v>
      </c>
    </row>
    <row r="1316">
      <c r="A1316" s="89" t="str">
        <f>IFERROR(__xludf.DUMMYFUNCTION("""COMPUTED_VALUE"""),"Veteran")</f>
        <v>Veteran</v>
      </c>
      <c r="B1316" s="87" t="str">
        <f>IFERROR(__xludf.DUMMYFUNCTION("""COMPUTED_VALUE"""),"RSC007036")</f>
        <v>RSC007036</v>
      </c>
      <c r="C1316" s="73" t="str">
        <f>IFERROR(__xludf.DUMMYFUNCTION("""COMPUTED_VALUE"""),"PoiisonDeath")</f>
        <v>PoiisonDeath</v>
      </c>
      <c r="D1316" s="73" t="str">
        <f>IFERROR(__xludf.DUMMYFUNCTION("""COMPUTED_VALUE"""),"Silver Dollar")</f>
        <v>Silver Dollar</v>
      </c>
      <c r="E1316" s="82">
        <f>IFERROR(__xludf.DUMMYFUNCTION("""COMPUTED_VALUE"""),15.0)</f>
        <v>15</v>
      </c>
      <c r="F1316" s="82">
        <f>IFERROR(__xludf.DUMMYFUNCTION("""COMPUTED_VALUE"""),6.0)</f>
        <v>6</v>
      </c>
      <c r="G1316" s="86">
        <f>IFERROR(__xludf.DUMMYFUNCTION("""COMPUTED_VALUE"""),9.0)</f>
        <v>9</v>
      </c>
      <c r="H1316" s="86">
        <f>IFERROR(__xludf.DUMMYFUNCTION("""COMPUTED_VALUE"""),0.4)</f>
        <v>0.4</v>
      </c>
      <c r="I1316" s="86">
        <f>IFERROR(__xludf.DUMMYFUNCTION("""COMPUTED_VALUE"""),0.32)</f>
        <v>0.32</v>
      </c>
      <c r="J1316" s="82">
        <f>IFERROR(__xludf.DUMMYFUNCTION("""COMPUTED_VALUE"""),301.8666666666667)</f>
        <v>301.8666667</v>
      </c>
      <c r="K1316" s="82">
        <f>IFERROR(__xludf.DUMMYFUNCTION("""COMPUTED_VALUE"""),0.5333333333333333)</f>
        <v>0.5333333333</v>
      </c>
      <c r="L1316" s="82">
        <f>IFERROR(__xludf.DUMMYFUNCTION("""COMPUTED_VALUE"""),0.6666666666666666)</f>
        <v>0.6666666667</v>
      </c>
      <c r="M1316" s="82">
        <f>IFERROR(__xludf.DUMMYFUNCTION("""COMPUTED_VALUE"""),1.1333333333333333)</f>
        <v>1.133333333</v>
      </c>
      <c r="N1316" s="82">
        <f>IFERROR(__xludf.DUMMYFUNCTION("""COMPUTED_VALUE"""),1.6666666666666667)</f>
        <v>1.666666667</v>
      </c>
      <c r="O1316" s="82">
        <f>IFERROR(__xludf.DUMMYFUNCTION("""COMPUTED_VALUE"""),345.6888888888888)</f>
        <v>345.6888889</v>
      </c>
      <c r="P1316" s="82">
        <f>IFERROR(__xludf.DUMMYFUNCTION("""COMPUTED_VALUE"""),0.8)</f>
        <v>0.8</v>
      </c>
      <c r="Q1316" s="82">
        <f>IFERROR(__xludf.DUMMYFUNCTION("""COMPUTED_VALUE"""),0.5111111111111111)</f>
        <v>0.5111111111</v>
      </c>
      <c r="R1316" s="82">
        <f>IFERROR(__xludf.DUMMYFUNCTION("""COMPUTED_VALUE"""),1.2222222222222223)</f>
        <v>1.222222222</v>
      </c>
      <c r="S1316" s="82">
        <f>IFERROR(__xludf.DUMMYFUNCTION("""COMPUTED_VALUE"""),2.533333333333333)</f>
        <v>2.533333333</v>
      </c>
      <c r="T1316" s="82">
        <f>IFERROR(__xludf.DUMMYFUNCTION("""COMPUTED_VALUE"""),357.7067448530407)</f>
        <v>357.7067449</v>
      </c>
      <c r="U1316" s="82">
        <f>IFERROR(__xludf.DUMMYFUNCTION("""COMPUTED_VALUE"""),0.8146367804459004)</f>
        <v>0.8146367804</v>
      </c>
      <c r="V1316" s="82">
        <f>IFERROR(__xludf.DUMMYFUNCTION("""COMPUTED_VALUE"""),0.6091252610783877)</f>
        <v>0.6091252611</v>
      </c>
      <c r="W1316" s="82">
        <f>IFERROR(__xludf.DUMMYFUNCTION("""COMPUTED_VALUE"""),1.3104920537763107)</f>
        <v>1.310492054</v>
      </c>
      <c r="X1316" s="82">
        <f>IFERROR(__xludf.DUMMYFUNCTION("""COMPUTED_VALUE"""),2.686067952561561)</f>
        <v>2.686067953</v>
      </c>
      <c r="Y1316" s="82">
        <f>IFERROR(__xludf.DUMMYFUNCTION("""COMPUTED_VALUE"""),358.5587336058754)</f>
        <v>358.5587336</v>
      </c>
      <c r="Z1316" s="82">
        <f>IFERROR(__xludf.DUMMYFUNCTION("""COMPUTED_VALUE"""),0.7911784836397255)</f>
        <v>0.7911784836</v>
      </c>
      <c r="AA1316" s="82">
        <f>IFERROR(__xludf.DUMMYFUNCTION("""COMPUTED_VALUE"""),0.5691626285129675)</f>
        <v>0.5691626285</v>
      </c>
      <c r="AB1316" s="82">
        <f>IFERROR(__xludf.DUMMYFUNCTION("""COMPUTED_VALUE"""),1.429120841410428)</f>
        <v>1.429120841</v>
      </c>
      <c r="AC1316" s="82">
        <f>IFERROR(__xludf.DUMMYFUNCTION("""COMPUTED_VALUE"""),2.663456900430997)</f>
        <v>2.6634569</v>
      </c>
      <c r="AD1316" s="82">
        <f>IFERROR(__xludf.DUMMYFUNCTION("""COMPUTED_VALUE"""),0.8418890362282344)</f>
        <v>0.8418890362</v>
      </c>
      <c r="AE1316" s="82">
        <f>IFERROR(__xludf.DUMMYFUNCTION("""COMPUTED_VALUE"""),0.6740998957400797)</f>
        <v>0.6740998957</v>
      </c>
      <c r="AF1316" s="82">
        <f>IFERROR(__xludf.DUMMYFUNCTION("""COMPUTED_VALUE"""),1.17131138495239)</f>
        <v>1.171311385</v>
      </c>
      <c r="AG1316" s="82">
        <f>IFERROR(__xludf.DUMMYFUNCTION("""COMPUTED_VALUE"""),0.7930283433658584)</f>
        <v>0.7930283434</v>
      </c>
      <c r="AH1316" s="82">
        <f>IFERROR(__xludf.DUMMYFUNCTION("""COMPUTED_VALUE"""),0.6257531955546076)</f>
        <v>0.6257531956</v>
      </c>
      <c r="AI1316" s="82">
        <f>IFERROR(__xludf.DUMMYFUNCTION("""COMPUTED_VALUE"""),0.9664030490420603)</f>
        <v>0.966403049</v>
      </c>
      <c r="AJ1316" s="82">
        <f>IFERROR(__xludf.DUMMYFUNCTION("""COMPUTED_VALUE"""),0.9820327527589796)</f>
        <v>0.9820327528</v>
      </c>
      <c r="AK1316" s="82">
        <f>IFERROR(__xludf.DUMMYFUNCTION("""COMPUTED_VALUE"""),0.8390903214328139)</f>
        <v>0.8390903214</v>
      </c>
      <c r="AL1316" s="82">
        <f>IFERROR(__xludf.DUMMYFUNCTION("""COMPUTED_VALUE"""),0.9326437491171883)</f>
        <v>0.9326437491</v>
      </c>
      <c r="AM1316" s="82">
        <f>IFERROR(__xludf.DUMMYFUNCTION("""COMPUTED_VALUE"""),0.9431382146968497)</f>
        <v>0.9431382147</v>
      </c>
      <c r="AN1316" s="82">
        <f>IFERROR(__xludf.DUMMYFUNCTION("""COMPUTED_VALUE"""),0.8731968265383412)</f>
        <v>0.8731968265</v>
      </c>
      <c r="AO1316" s="82">
        <f>IFERROR(__xludf.DUMMYFUNCTION("""COMPUTED_VALUE"""),0.7058754353842623)</f>
        <v>0.7058754354</v>
      </c>
      <c r="AP1316" s="82">
        <f>IFERROR(__xludf.DUMMYFUNCTION("""COMPUTED_VALUE"""),1.1993479867599286)</f>
        <v>1.199347987</v>
      </c>
      <c r="AQ1316" s="82">
        <f>IFERROR(__xludf.DUMMYFUNCTION("""COMPUTED_VALUE"""),0.8376628255862768)</f>
        <v>0.8376628256</v>
      </c>
      <c r="AR1316" s="82">
        <f>IFERROR(__xludf.DUMMYFUNCTION("""COMPUTED_VALUE"""),0.6537196335781292)</f>
        <v>0.6537196336</v>
      </c>
      <c r="AS1316" s="82">
        <f>IFERROR(__xludf.DUMMYFUNCTION("""COMPUTED_VALUE"""),33.0)</f>
        <v>33</v>
      </c>
      <c r="AT1316" s="82">
        <f>IFERROR(__xludf.DUMMYFUNCTION("""COMPUTED_VALUE"""),0.4663433941244228)</f>
        <v>0.4663433941</v>
      </c>
      <c r="AU1316" s="82">
        <f>IFERROR(__xludf.DUMMYFUNCTION("""COMPUTED_VALUE"""),1.4388455636557993)</f>
        <v>1.438845564</v>
      </c>
      <c r="AV1316" s="82">
        <f>IFERROR(__xludf.DUMMYFUNCTION("""COMPUTED_VALUE"""),36.65573610575281)</f>
        <v>36.65573611</v>
      </c>
      <c r="AW1316" s="82">
        <f t="shared" si="1"/>
        <v>-3.369838301</v>
      </c>
      <c r="AX1316" s="83">
        <f t="array" ref="AX1316">IFERROR(DGET('SBV Import'!A:G,"SBV",{"RSC ID","Tier";B1316,A1316}))</f>
        <v>28.16794372</v>
      </c>
      <c r="AY1316" s="82">
        <f t="shared" si="2"/>
        <v>-5.228631694</v>
      </c>
      <c r="AZ1316" s="82">
        <v>1.8587933937693673</v>
      </c>
      <c r="BA1316" s="84">
        <v>1200.0</v>
      </c>
      <c r="BB1316" s="84" t="b">
        <f>IFERROR(__xludf.DUMMYFUNCTION("iferror(if(A1316="""",,E1316&gt;=FILTER(Constants!$F$2:$F$10,Constants!$A$2:$A$10=A1316)))"),TRUE)</f>
        <v>1</v>
      </c>
    </row>
    <row r="1317">
      <c r="A1317" s="89" t="str">
        <f>IFERROR(__xludf.DUMMYFUNCTION("""COMPUTED_VALUE"""),"Veteran")</f>
        <v>Veteran</v>
      </c>
      <c r="B1317" s="87" t="str">
        <f>IFERROR(__xludf.DUMMYFUNCTION("""COMPUTED_VALUE"""),"RSC007610")</f>
        <v>RSC007610</v>
      </c>
      <c r="C1317" s="73" t="str">
        <f>IFERROR(__xludf.DUMMYFUNCTION("""COMPUTED_VALUE"""),"Halibut907")</f>
        <v>Halibut907</v>
      </c>
      <c r="D1317" s="73" t="str">
        <f>IFERROR(__xludf.DUMMYFUNCTION("""COMPUTED_VALUE"""),"Dump Trucks")</f>
        <v>Dump Trucks</v>
      </c>
      <c r="E1317" s="82">
        <f>IFERROR(__xludf.DUMMYFUNCTION("""COMPUTED_VALUE"""),48.0)</f>
        <v>48</v>
      </c>
      <c r="F1317" s="82">
        <f>IFERROR(__xludf.DUMMYFUNCTION("""COMPUTED_VALUE"""),16.0)</f>
        <v>16</v>
      </c>
      <c r="G1317" s="86">
        <f>IFERROR(__xludf.DUMMYFUNCTION("""COMPUTED_VALUE"""),32.0)</f>
        <v>32</v>
      </c>
      <c r="H1317" s="86">
        <f>IFERROR(__xludf.DUMMYFUNCTION("""COMPUTED_VALUE"""),0.3333333333333333)</f>
        <v>0.3333333333</v>
      </c>
      <c r="I1317" s="86">
        <f>IFERROR(__xludf.DUMMYFUNCTION("""COMPUTED_VALUE"""),0.32954545454545453)</f>
        <v>0.3295454545</v>
      </c>
      <c r="J1317" s="82">
        <f>IFERROR(__xludf.DUMMYFUNCTION("""COMPUTED_VALUE"""),353.5)</f>
        <v>353.5</v>
      </c>
      <c r="K1317" s="82">
        <f>IFERROR(__xludf.DUMMYFUNCTION("""COMPUTED_VALUE"""),0.6041666666666666)</f>
        <v>0.6041666667</v>
      </c>
      <c r="L1317" s="82">
        <f>IFERROR(__xludf.DUMMYFUNCTION("""COMPUTED_VALUE"""),0.4583333333333333)</f>
        <v>0.4583333333</v>
      </c>
      <c r="M1317" s="82">
        <f>IFERROR(__xludf.DUMMYFUNCTION("""COMPUTED_VALUE"""),1.6875)</f>
        <v>1.6875</v>
      </c>
      <c r="N1317" s="82">
        <f>IFERROR(__xludf.DUMMYFUNCTION("""COMPUTED_VALUE"""),1.8333333333333333)</f>
        <v>1.833333333</v>
      </c>
      <c r="O1317" s="82">
        <f>IFERROR(__xludf.DUMMYFUNCTION("""COMPUTED_VALUE"""),352.47222222222223)</f>
        <v>352.4722222</v>
      </c>
      <c r="P1317" s="82">
        <f>IFERROR(__xludf.DUMMYFUNCTION("""COMPUTED_VALUE"""),0.8124999999999999)</f>
        <v>0.8125</v>
      </c>
      <c r="Q1317" s="82">
        <f>IFERROR(__xludf.DUMMYFUNCTION("""COMPUTED_VALUE"""),0.6180555555555556)</f>
        <v>0.6180555556</v>
      </c>
      <c r="R1317" s="82">
        <f>IFERROR(__xludf.DUMMYFUNCTION("""COMPUTED_VALUE"""),1.1736111111111114)</f>
        <v>1.173611111</v>
      </c>
      <c r="S1317" s="82">
        <f>IFERROR(__xludf.DUMMYFUNCTION("""COMPUTED_VALUE"""),2.861111111111111)</f>
        <v>2.861111111</v>
      </c>
      <c r="T1317" s="82">
        <f>IFERROR(__xludf.DUMMYFUNCTION("""COMPUTED_VALUE"""),354.04277641595036)</f>
        <v>354.0427764</v>
      </c>
      <c r="U1317" s="82">
        <f>IFERROR(__xludf.DUMMYFUNCTION("""COMPUTED_VALUE"""),0.7720536483850823)</f>
        <v>0.7720536484</v>
      </c>
      <c r="V1317" s="82">
        <f>IFERROR(__xludf.DUMMYFUNCTION("""COMPUTED_VALUE"""),0.5727167137118465)</f>
        <v>0.5727167137</v>
      </c>
      <c r="W1317" s="82">
        <f>IFERROR(__xludf.DUMMYFUNCTION("""COMPUTED_VALUE"""),1.3501131825318071)</f>
        <v>1.350113183</v>
      </c>
      <c r="X1317" s="82">
        <f>IFERROR(__xludf.DUMMYFUNCTION("""COMPUTED_VALUE"""),2.6652788628889676)</f>
        <v>2.665278863</v>
      </c>
      <c r="Y1317" s="82">
        <f>IFERROR(__xludf.DUMMYFUNCTION("""COMPUTED_VALUE"""),347.44328825407825)</f>
        <v>347.4432883</v>
      </c>
      <c r="Z1317" s="82">
        <f>IFERROR(__xludf.DUMMYFUNCTION("""COMPUTED_VALUE"""),0.7408771211947891)</f>
        <v>0.7408771212</v>
      </c>
      <c r="AA1317" s="82">
        <f>IFERROR(__xludf.DUMMYFUNCTION("""COMPUTED_VALUE"""),0.5391733294940056)</f>
        <v>0.5391733295</v>
      </c>
      <c r="AB1317" s="82">
        <f>IFERROR(__xludf.DUMMYFUNCTION("""COMPUTED_VALUE"""),1.3702312271960049)</f>
        <v>1.370231227</v>
      </c>
      <c r="AC1317" s="82">
        <f>IFERROR(__xludf.DUMMYFUNCTION("""COMPUTED_VALUE"""),2.533368006568663)</f>
        <v>2.533368007</v>
      </c>
      <c r="AD1317" s="82">
        <f>IFERROR(__xludf.DUMMYFUNCTION("""COMPUTED_VALUE"""),1.0174322312465929)</f>
        <v>1.017432231</v>
      </c>
      <c r="AE1317" s="82">
        <f>IFERROR(__xludf.DUMMYFUNCTION("""COMPUTED_VALUE"""),0.8154748599772472)</f>
        <v>0.81547486</v>
      </c>
      <c r="AF1317" s="82">
        <f>IFERROR(__xludf.DUMMYFUNCTION("""COMPUTED_VALUE"""),0.8500667749338832)</f>
        <v>0.8500667749</v>
      </c>
      <c r="AG1317" s="82">
        <f>IFERROR(__xludf.DUMMYFUNCTION("""COMPUTED_VALUE"""),1.2315439660890253)</f>
        <v>1.231543966</v>
      </c>
      <c r="AH1317" s="82">
        <f>IFERROR(__xludf.DUMMYFUNCTION("""COMPUTED_VALUE"""),0.7236743057383533)</f>
        <v>0.7236743057</v>
      </c>
      <c r="AI1317" s="82">
        <f>IFERROR(__xludf.DUMMYFUNCTION("""COMPUTED_VALUE"""),0.995563942273792)</f>
        <v>0.9955639423</v>
      </c>
      <c r="AJ1317" s="82">
        <f>IFERROR(__xludf.DUMMYFUNCTION("""COMPUTED_VALUE"""),1.0523880065841538)</f>
        <v>1.052388007</v>
      </c>
      <c r="AK1317" s="82">
        <f>IFERROR(__xludf.DUMMYFUNCTION("""COMPUTED_VALUE"""),1.0791645166942354)</f>
        <v>1.079164517</v>
      </c>
      <c r="AL1317" s="82">
        <f>IFERROR(__xludf.DUMMYFUNCTION("""COMPUTED_VALUE"""),0.8692686852448109)</f>
        <v>0.8692686852</v>
      </c>
      <c r="AM1317" s="82">
        <f>IFERROR(__xludf.DUMMYFUNCTION("""COMPUTED_VALUE"""),1.0734753315868328)</f>
        <v>1.073475332</v>
      </c>
      <c r="AN1317" s="82">
        <f>IFERROR(__xludf.DUMMYFUNCTION("""COMPUTED_VALUE"""),1.0225543667666859)</f>
        <v>1.022554367</v>
      </c>
      <c r="AO1317" s="82">
        <f>IFERROR(__xludf.DUMMYFUNCTION("""COMPUTED_VALUE"""),0.7996245166462347)</f>
        <v>0.7996245166</v>
      </c>
      <c r="AP1317" s="82">
        <f>IFERROR(__xludf.DUMMYFUNCTION("""COMPUTED_VALUE"""),0.824551740897451)</f>
        <v>0.8245517409</v>
      </c>
      <c r="AQ1317" s="82">
        <f>IFERROR(__xludf.DUMMYFUNCTION("""COMPUTED_VALUE"""),1.247255310156037)</f>
        <v>1.24725531</v>
      </c>
      <c r="AR1317" s="82">
        <f>IFERROR(__xludf.DUMMYFUNCTION("""COMPUTED_VALUE"""),0.7190915969359422)</f>
        <v>0.7190915969</v>
      </c>
      <c r="AS1317" s="82">
        <f>IFERROR(__xludf.DUMMYFUNCTION("""COMPUTED_VALUE"""),90.0)</f>
        <v>90</v>
      </c>
      <c r="AT1317" s="82">
        <f>IFERROR(__xludf.DUMMYFUNCTION("""COMPUTED_VALUE"""),0.4015307561934937)</f>
        <v>0.4015307562</v>
      </c>
      <c r="AU1317" s="82">
        <f>IFERROR(__xludf.DUMMYFUNCTION("""COMPUTED_VALUE"""),1.3687911662803494)</f>
        <v>1.368791166</v>
      </c>
      <c r="AV1317" s="82">
        <f>IFERROR(__xludf.DUMMYFUNCTION("""COMPUTED_VALUE"""),34.15114472397656)</f>
        <v>34.15114472</v>
      </c>
      <c r="AW1317" s="82">
        <f t="shared" si="1"/>
        <v>-3.801481287</v>
      </c>
      <c r="AX1317" s="83">
        <f t="array" ref="AX1317">IFERROR(DGET('SBV Import'!A:G,"SBV",{"RSC ID","Tier";B1317,A1317}))</f>
        <v>44.28214735</v>
      </c>
      <c r="AY1317" s="82">
        <f t="shared" si="2"/>
        <v>-2.44173075</v>
      </c>
      <c r="AZ1317" s="82">
        <v>1.35975053675722</v>
      </c>
      <c r="BA1317" s="84">
        <v>1200.0</v>
      </c>
      <c r="BB1317" s="84" t="b">
        <f>IFERROR(__xludf.DUMMYFUNCTION("iferror(if(A1317="""",,E1317&gt;=FILTER(Constants!$F$2:$F$10,Constants!$A$2:$A$10=A1317)))"),TRUE)</f>
        <v>1</v>
      </c>
    </row>
    <row r="1318">
      <c r="A1318" s="89" t="str">
        <f>IFERROR(__xludf.DUMMYFUNCTION("""COMPUTED_VALUE"""),"Veteran")</f>
        <v>Veteran</v>
      </c>
      <c r="B1318" s="87" t="str">
        <f>IFERROR(__xludf.DUMMYFUNCTION("""COMPUTED_VALUE"""),"RSC004332")</f>
        <v>RSC004332</v>
      </c>
      <c r="C1318" s="73" t="str">
        <f>IFERROR(__xludf.DUMMYFUNCTION("""COMPUTED_VALUE"""),"FriendBrady")</f>
        <v>FriendBrady</v>
      </c>
      <c r="D1318" s="73" t="str">
        <f>IFERROR(__xludf.DUMMYFUNCTION("""COMPUTED_VALUE"""),"Makos")</f>
        <v>Makos</v>
      </c>
      <c r="E1318" s="82">
        <f>IFERROR(__xludf.DUMMYFUNCTION("""COMPUTED_VALUE"""),6.0)</f>
        <v>6</v>
      </c>
      <c r="F1318" s="82">
        <f>IFERROR(__xludf.DUMMYFUNCTION("""COMPUTED_VALUE"""),3.0)</f>
        <v>3</v>
      </c>
      <c r="G1318" s="86">
        <f>IFERROR(__xludf.DUMMYFUNCTION("""COMPUTED_VALUE"""),3.0)</f>
        <v>3</v>
      </c>
      <c r="H1318" s="86">
        <f>IFERROR(__xludf.DUMMYFUNCTION("""COMPUTED_VALUE"""),0.5)</f>
        <v>0.5</v>
      </c>
      <c r="I1318" s="86">
        <f>IFERROR(__xludf.DUMMYFUNCTION("""COMPUTED_VALUE"""),0.21428571428571427)</f>
        <v>0.2142857143</v>
      </c>
      <c r="J1318" s="82">
        <f>IFERROR(__xludf.DUMMYFUNCTION("""COMPUTED_VALUE"""),237.5)</f>
        <v>237.5</v>
      </c>
      <c r="K1318" s="82">
        <f>IFERROR(__xludf.DUMMYFUNCTION("""COMPUTED_VALUE"""),0.5)</f>
        <v>0.5</v>
      </c>
      <c r="L1318" s="82">
        <f>IFERROR(__xludf.DUMMYFUNCTION("""COMPUTED_VALUE"""),0.6666666666666666)</f>
        <v>0.6666666667</v>
      </c>
      <c r="M1318" s="82">
        <f>IFERROR(__xludf.DUMMYFUNCTION("""COMPUTED_VALUE"""),0.6666666666666666)</f>
        <v>0.6666666667</v>
      </c>
      <c r="N1318" s="82">
        <f>IFERROR(__xludf.DUMMYFUNCTION("""COMPUTED_VALUE"""),2.3333333333333335)</f>
        <v>2.333333333</v>
      </c>
      <c r="O1318" s="82">
        <f>IFERROR(__xludf.DUMMYFUNCTION("""COMPUTED_VALUE"""),373.4444444444444)</f>
        <v>373.4444444</v>
      </c>
      <c r="P1318" s="82">
        <f>IFERROR(__xludf.DUMMYFUNCTION("""COMPUTED_VALUE"""),0.7777777777777777)</f>
        <v>0.7777777778</v>
      </c>
      <c r="Q1318" s="82">
        <f>IFERROR(__xludf.DUMMYFUNCTION("""COMPUTED_VALUE"""),0.5555555555555557)</f>
        <v>0.5555555556</v>
      </c>
      <c r="R1318" s="82">
        <f>IFERROR(__xludf.DUMMYFUNCTION("""COMPUTED_VALUE"""),1.666666666666667)</f>
        <v>1.666666667</v>
      </c>
      <c r="S1318" s="82">
        <f>IFERROR(__xludf.DUMMYFUNCTION("""COMPUTED_VALUE"""),2.8333333333333335)</f>
        <v>2.833333333</v>
      </c>
      <c r="T1318" s="82">
        <f>IFERROR(__xludf.DUMMYFUNCTION("""COMPUTED_VALUE"""),365.1950058651034)</f>
        <v>365.1950059</v>
      </c>
      <c r="U1318" s="82">
        <f>IFERROR(__xludf.DUMMYFUNCTION("""COMPUTED_VALUE"""),0.7311772000674625)</f>
        <v>0.7311772001</v>
      </c>
      <c r="V1318" s="82">
        <f>IFERROR(__xludf.DUMMYFUNCTION("""COMPUTED_VALUE"""),0.7901801111205166)</f>
        <v>0.7901801111</v>
      </c>
      <c r="W1318" s="82">
        <f>IFERROR(__xludf.DUMMYFUNCTION("""COMPUTED_VALUE"""),1.4184077161763111)</f>
        <v>1.418407716</v>
      </c>
      <c r="X1318" s="82">
        <f>IFERROR(__xludf.DUMMYFUNCTION("""COMPUTED_VALUE"""),3.011179592346051)</f>
        <v>3.011179592</v>
      </c>
      <c r="Y1318" s="82">
        <f>IFERROR(__xludf.DUMMYFUNCTION("""COMPUTED_VALUE"""),354.79836598633455)</f>
        <v>354.798366</v>
      </c>
      <c r="Z1318" s="82">
        <f>IFERROR(__xludf.DUMMYFUNCTION("""COMPUTED_VALUE"""),0.8244926785976915)</f>
        <v>0.8244926786</v>
      </c>
      <c r="AA1318" s="82">
        <f>IFERROR(__xludf.DUMMYFUNCTION("""COMPUTED_VALUE"""),0.5938377759227739)</f>
        <v>0.5938377759</v>
      </c>
      <c r="AB1318" s="82">
        <f>IFERROR(__xludf.DUMMYFUNCTION("""COMPUTED_VALUE"""),1.3477355124921957)</f>
        <v>1.347735512</v>
      </c>
      <c r="AC1318" s="82">
        <f>IFERROR(__xludf.DUMMYFUNCTION("""COMPUTED_VALUE"""),2.695657618764539)</f>
        <v>2.695657619</v>
      </c>
      <c r="AD1318" s="82">
        <f>IFERROR(__xludf.DUMMYFUNCTION("""COMPUTED_VALUE"""),0.6693942891753554)</f>
        <v>0.6693942892</v>
      </c>
      <c r="AE1318" s="82">
        <f>IFERROR(__xludf.DUMMYFUNCTION("""COMPUTED_VALUE"""),0.6064335232793175)</f>
        <v>0.6064335233</v>
      </c>
      <c r="AF1318" s="82">
        <f>IFERROR(__xludf.DUMMYFUNCTION("""COMPUTED_VALUE"""),1.1226410539995082)</f>
        <v>1.122641054</v>
      </c>
      <c r="AG1318" s="82">
        <f>IFERROR(__xludf.DUMMYFUNCTION("""COMPUTED_VALUE"""),0.4946568970597835)</f>
        <v>0.4946568971</v>
      </c>
      <c r="AH1318" s="82">
        <f>IFERROR(__xludf.DUMMYFUNCTION("""COMPUTED_VALUE"""),0.8655896494758618)</f>
        <v>0.8655896495</v>
      </c>
      <c r="AI1318" s="82">
        <f>IFERROR(__xludf.DUMMYFUNCTION("""COMPUTED_VALUE"""),1.02258913305728)</f>
        <v>1.022589133</v>
      </c>
      <c r="AJ1318" s="82">
        <f>IFERROR(__xludf.DUMMYFUNCTION("""COMPUTED_VALUE"""),1.063733630788837)</f>
        <v>1.063733631</v>
      </c>
      <c r="AK1318" s="82">
        <f>IFERROR(__xludf.DUMMYFUNCTION("""COMPUTED_VALUE"""),0.7030745873466101)</f>
        <v>0.7030745873</v>
      </c>
      <c r="AL1318" s="82">
        <f>IFERROR(__xludf.DUMMYFUNCTION("""COMPUTED_VALUE"""),1.1750265087104876)</f>
        <v>1.175026509</v>
      </c>
      <c r="AM1318" s="82">
        <f>IFERROR(__xludf.DUMMYFUNCTION("""COMPUTED_VALUE"""),0.9409380099862609)</f>
        <v>0.94093801</v>
      </c>
      <c r="AN1318" s="82">
        <f>IFERROR(__xludf.DUMMYFUNCTION("""COMPUTED_VALUE"""),0.687006116285963)</f>
        <v>0.6870061163</v>
      </c>
      <c r="AO1318" s="82">
        <f>IFERROR(__xludf.DUMMYFUNCTION("""COMPUTED_VALUE"""),0.6617582206727459)</f>
        <v>0.6617582207</v>
      </c>
      <c r="AP1318" s="82">
        <f>IFERROR(__xludf.DUMMYFUNCTION("""COMPUTED_VALUE"""),1.1993479867599286)</f>
        <v>1.199347987</v>
      </c>
      <c r="AQ1318" s="82">
        <f>IFERROR(__xludf.DUMMYFUNCTION("""COMPUTED_VALUE"""),0.49274283858016277)</f>
        <v>0.4927428386</v>
      </c>
      <c r="AR1318" s="82">
        <f>IFERROR(__xludf.DUMMYFUNCTION("""COMPUTED_VALUE"""),0.915207487009381)</f>
        <v>0.915207487</v>
      </c>
      <c r="AS1318" s="82">
        <f>IFERROR(__xludf.DUMMYFUNCTION("""COMPUTED_VALUE"""),14.0)</f>
        <v>14</v>
      </c>
      <c r="AT1318" s="82">
        <f>IFERROR(__xludf.DUMMYFUNCTION("""COMPUTED_VALUE"""),0.5000000000000001)</f>
        <v>0.5</v>
      </c>
      <c r="AU1318" s="82">
        <f>IFERROR(__xludf.DUMMYFUNCTION("""COMPUTED_VALUE"""),1.3668641321250103)</f>
        <v>1.366864132</v>
      </c>
      <c r="AV1318" s="82">
        <f>IFERROR(__xludf.DUMMYFUNCTION("""COMPUTED_VALUE"""),34.08224921821717)</f>
        <v>34.08224922</v>
      </c>
      <c r="AW1318" s="82">
        <f t="shared" si="1"/>
        <v>-3.814510004</v>
      </c>
      <c r="AX1318" s="83">
        <f t="array" ref="AX1318">IFERROR(DGET('SBV Import'!A:G,"SBV",{"RSC ID","Tier";B1318,A1318}))</f>
        <v>7.713864993</v>
      </c>
      <c r="AY1318" s="82">
        <f t="shared" si="2"/>
        <v>-22.03813827</v>
      </c>
      <c r="AZ1318" s="82">
        <v>18.223628266261183</v>
      </c>
      <c r="BA1318" s="84">
        <v>1200.0</v>
      </c>
      <c r="BB1318" s="84" t="b">
        <f>IFERROR(__xludf.DUMMYFUNCTION("iferror(if(A1318="""",,E1318&gt;=FILTER(Constants!$F$2:$F$10,Constants!$A$2:$A$10=A1318)))"),TRUE)</f>
        <v>1</v>
      </c>
    </row>
    <row r="1319">
      <c r="A1319" s="89" t="str">
        <f>IFERROR(__xludf.DUMMYFUNCTION("""COMPUTED_VALUE"""),"Veteran")</f>
        <v>Veteran</v>
      </c>
      <c r="B1319" s="87" t="str">
        <f>IFERROR(__xludf.DUMMYFUNCTION("""COMPUTED_VALUE"""),"RSC000625")</f>
        <v>RSC000625</v>
      </c>
      <c r="C1319" s="73" t="str">
        <f>IFERROR(__xludf.DUMMYFUNCTION("""COMPUTED_VALUE"""),"Sly")</f>
        <v>Sly</v>
      </c>
      <c r="D1319" s="73" t="str">
        <f>IFERROR(__xludf.DUMMYFUNCTION("""COMPUTED_VALUE"""),"Rulers")</f>
        <v>Rulers</v>
      </c>
      <c r="E1319" s="82">
        <f>IFERROR(__xludf.DUMMYFUNCTION("""COMPUTED_VALUE"""),29.0)</f>
        <v>29</v>
      </c>
      <c r="F1319" s="82">
        <f>IFERROR(__xludf.DUMMYFUNCTION("""COMPUTED_VALUE"""),14.0)</f>
        <v>14</v>
      </c>
      <c r="G1319" s="86">
        <f>IFERROR(__xludf.DUMMYFUNCTION("""COMPUTED_VALUE"""),15.0)</f>
        <v>15</v>
      </c>
      <c r="H1319" s="86">
        <f>IFERROR(__xludf.DUMMYFUNCTION("""COMPUTED_VALUE"""),0.4827586206896552)</f>
        <v>0.4827586207</v>
      </c>
      <c r="I1319" s="86">
        <f>IFERROR(__xludf.DUMMYFUNCTION("""COMPUTED_VALUE"""),0.28)</f>
        <v>0.28</v>
      </c>
      <c r="J1319" s="82">
        <f>IFERROR(__xludf.DUMMYFUNCTION("""COMPUTED_VALUE"""),269.2068965517241)</f>
        <v>269.2068966</v>
      </c>
      <c r="K1319" s="82">
        <f>IFERROR(__xludf.DUMMYFUNCTION("""COMPUTED_VALUE"""),0.4827586206896552)</f>
        <v>0.4827586207</v>
      </c>
      <c r="L1319" s="82">
        <f>IFERROR(__xludf.DUMMYFUNCTION("""COMPUTED_VALUE"""),0.6551724137931034)</f>
        <v>0.6551724138</v>
      </c>
      <c r="M1319" s="82">
        <f>IFERROR(__xludf.DUMMYFUNCTION("""COMPUTED_VALUE"""),0.896551724137931)</f>
        <v>0.8965517241</v>
      </c>
      <c r="N1319" s="82">
        <f>IFERROR(__xludf.DUMMYFUNCTION("""COMPUTED_VALUE"""),1.7241379310344827)</f>
        <v>1.724137931</v>
      </c>
      <c r="O1319" s="82">
        <f>IFERROR(__xludf.DUMMYFUNCTION("""COMPUTED_VALUE"""),322.88505747126436)</f>
        <v>322.8850575</v>
      </c>
      <c r="P1319" s="82">
        <f>IFERROR(__xludf.DUMMYFUNCTION("""COMPUTED_VALUE"""),0.6666666666666666)</f>
        <v>0.6666666667</v>
      </c>
      <c r="Q1319" s="82">
        <f>IFERROR(__xludf.DUMMYFUNCTION("""COMPUTED_VALUE"""),0.4942528735632184)</f>
        <v>0.4942528736</v>
      </c>
      <c r="R1319" s="82">
        <f>IFERROR(__xludf.DUMMYFUNCTION("""COMPUTED_VALUE"""),1.160919540229885)</f>
        <v>1.16091954</v>
      </c>
      <c r="S1319" s="82">
        <f>IFERROR(__xludf.DUMMYFUNCTION("""COMPUTED_VALUE"""),2.885057471264368)</f>
        <v>2.885057471</v>
      </c>
      <c r="T1319" s="82">
        <f>IFERROR(__xludf.DUMMYFUNCTION("""COMPUTED_VALUE"""),352.8757892733448)</f>
        <v>352.8757893</v>
      </c>
      <c r="U1319" s="82">
        <f>IFERROR(__xludf.DUMMYFUNCTION("""COMPUTED_VALUE"""),0.8221534645927582)</f>
        <v>0.8221534646</v>
      </c>
      <c r="V1319" s="82">
        <f>IFERROR(__xludf.DUMMYFUNCTION("""COMPUTED_VALUE"""),0.5669203038570978)</f>
        <v>0.5669203039</v>
      </c>
      <c r="W1319" s="82">
        <f>IFERROR(__xludf.DUMMYFUNCTION("""COMPUTED_VALUE"""),1.2862244682538966)</f>
        <v>1.286224468</v>
      </c>
      <c r="X1319" s="82">
        <f>IFERROR(__xludf.DUMMYFUNCTION("""COMPUTED_VALUE"""),2.6635217532529047)</f>
        <v>2.663521753</v>
      </c>
      <c r="Y1319" s="82">
        <f>IFERROR(__xludf.DUMMYFUNCTION("""COMPUTED_VALUE"""),352.13529721398675)</f>
        <v>352.1352972</v>
      </c>
      <c r="Z1319" s="82">
        <f>IFERROR(__xludf.DUMMYFUNCTION("""COMPUTED_VALUE"""),0.7834148026967991)</f>
        <v>0.7834148027</v>
      </c>
      <c r="AA1319" s="82">
        <f>IFERROR(__xludf.DUMMYFUNCTION("""COMPUTED_VALUE"""),0.5799435631118836)</f>
        <v>0.5799435631</v>
      </c>
      <c r="AB1319" s="82">
        <f>IFERROR(__xludf.DUMMYFUNCTION("""COMPUTED_VALUE"""),1.3745234091724163)</f>
        <v>1.374523409</v>
      </c>
      <c r="AC1319" s="82">
        <f>IFERROR(__xludf.DUMMYFUNCTION("""COMPUTED_VALUE"""),2.5439515493400595)</f>
        <v>2.543951549</v>
      </c>
      <c r="AD1319" s="82">
        <f>IFERROR(__xludf.DUMMYFUNCTION("""COMPUTED_VALUE"""),0.7644984717000171)</f>
        <v>0.7644984717</v>
      </c>
      <c r="AE1319" s="82">
        <f>IFERROR(__xludf.DUMMYFUNCTION("""COMPUTED_VALUE"""),0.6162235115137271)</f>
        <v>0.6162235115</v>
      </c>
      <c r="AF1319" s="82">
        <f>IFERROR(__xludf.DUMMYFUNCTION("""COMPUTED_VALUE"""),1.129717537129913)</f>
        <v>1.129717537</v>
      </c>
      <c r="AG1319" s="82">
        <f>IFERROR(__xludf.DUMMYFUNCTION("""COMPUTED_VALUE"""),0.6522636996613494)</f>
        <v>0.6522636997</v>
      </c>
      <c r="AH1319" s="82">
        <f>IFERROR(__xludf.DUMMYFUNCTION("""COMPUTED_VALUE"""),0.6777400817565691)</f>
        <v>0.6777400818</v>
      </c>
      <c r="AI1319" s="82">
        <f>IFERROR(__xludf.DUMMYFUNCTION("""COMPUTED_VALUE"""),0.9150105144253775)</f>
        <v>0.9150105144</v>
      </c>
      <c r="AJ1319" s="82">
        <f>IFERROR(__xludf.DUMMYFUNCTION("""COMPUTED_VALUE"""),0.8108786198412364)</f>
        <v>0.8108786198</v>
      </c>
      <c r="AK1319" s="82">
        <f>IFERROR(__xludf.DUMMYFUNCTION("""COMPUTED_VALUE"""),0.871820730710332)</f>
        <v>0.8718207307</v>
      </c>
      <c r="AL1319" s="82">
        <f>IFERROR(__xludf.DUMMYFUNCTION("""COMPUTED_VALUE"""),0.9025792689248727)</f>
        <v>0.9025792689</v>
      </c>
      <c r="AM1319" s="82">
        <f>IFERROR(__xludf.DUMMYFUNCTION("""COMPUTED_VALUE"""),1.0831739848720614)</f>
        <v>1.083173985</v>
      </c>
      <c r="AN1319" s="82">
        <f>IFERROR(__xludf.DUMMYFUNCTION("""COMPUTED_VALUE"""),0.7787233030627242)</f>
        <v>0.7787233031</v>
      </c>
      <c r="AO1319" s="82">
        <f>IFERROR(__xludf.DUMMYFUNCTION("""COMPUTED_VALUE"""),0.6389389716840306)</f>
        <v>0.6389389717</v>
      </c>
      <c r="AP1319" s="82">
        <f>IFERROR(__xludf.DUMMYFUNCTION("""COMPUTED_VALUE"""),1.1786695731951022)</f>
        <v>1.178669573</v>
      </c>
      <c r="AQ1319" s="82">
        <f>IFERROR(__xludf.DUMMYFUNCTION("""COMPUTED_VALUE"""),0.6626541622284948)</f>
        <v>0.6626541622</v>
      </c>
      <c r="AR1319" s="82">
        <f>IFERROR(__xludf.DUMMYFUNCTION("""COMPUTED_VALUE"""),0.6762616899084095)</f>
        <v>0.6762616899</v>
      </c>
      <c r="AS1319" s="82">
        <f>IFERROR(__xludf.DUMMYFUNCTION("""COMPUTED_VALUE"""),62.0)</f>
        <v>62</v>
      </c>
      <c r="AT1319" s="82">
        <f>IFERROR(__xludf.DUMMYFUNCTION("""COMPUTED_VALUE"""),0.525041650784979)</f>
        <v>0.5250416508</v>
      </c>
      <c r="AU1319" s="82">
        <f>IFERROR(__xludf.DUMMYFUNCTION("""COMPUTED_VALUE"""),1.3329079773394625)</f>
        <v>1.332907977</v>
      </c>
      <c r="AV1319" s="82">
        <f>IFERROR(__xludf.DUMMYFUNCTION("""COMPUTED_VALUE"""),32.868245589317965)</f>
        <v>32.86824559</v>
      </c>
      <c r="AW1319" s="82">
        <f t="shared" si="1"/>
        <v>-4.055368369</v>
      </c>
      <c r="AX1319" s="83">
        <f t="array" ref="AX1319">IFERROR(DGET('SBV Import'!A:G,"SBV",{"RSC ID","Tier";B1319,A1319}))</f>
        <v>18.72330189</v>
      </c>
      <c r="AY1319" s="82">
        <f t="shared" si="2"/>
        <v>-9.48273138</v>
      </c>
      <c r="AZ1319" s="82">
        <v>5.427363010847564</v>
      </c>
      <c r="BA1319" s="84">
        <v>1200.0</v>
      </c>
      <c r="BB1319" s="84" t="b">
        <f>IFERROR(__xludf.DUMMYFUNCTION("iferror(if(A1319="""",,E1319&gt;=FILTER(Constants!$F$2:$F$10,Constants!$A$2:$A$10=A1319)))"),TRUE)</f>
        <v>1</v>
      </c>
    </row>
    <row r="1320">
      <c r="A1320" s="89" t="str">
        <f>IFERROR(__xludf.DUMMYFUNCTION("""COMPUTED_VALUE"""),"Veteran")</f>
        <v>Veteran</v>
      </c>
      <c r="B1320" s="87" t="str">
        <f>IFERROR(__xludf.DUMMYFUNCTION("""COMPUTED_VALUE"""),"RSC000698")</f>
        <v>RSC000698</v>
      </c>
      <c r="C1320" s="73" t="str">
        <f>IFERROR(__xludf.DUMMYFUNCTION("""COMPUTED_VALUE"""),"Inedibledeer")</f>
        <v>Inedibledeer</v>
      </c>
      <c r="D1320" s="73" t="str">
        <f>IFERROR(__xludf.DUMMYFUNCTION("""COMPUTED_VALUE"""),"Werewolves")</f>
        <v>Werewolves</v>
      </c>
      <c r="E1320" s="82">
        <f>IFERROR(__xludf.DUMMYFUNCTION("""COMPUTED_VALUE"""),15.0)</f>
        <v>15</v>
      </c>
      <c r="F1320" s="82">
        <f>IFERROR(__xludf.DUMMYFUNCTION("""COMPUTED_VALUE"""),8.0)</f>
        <v>8</v>
      </c>
      <c r="G1320" s="86">
        <f>IFERROR(__xludf.DUMMYFUNCTION("""COMPUTED_VALUE"""),7.0)</f>
        <v>7</v>
      </c>
      <c r="H1320" s="86">
        <f>IFERROR(__xludf.DUMMYFUNCTION("""COMPUTED_VALUE"""),0.5333333333333333)</f>
        <v>0.5333333333</v>
      </c>
      <c r="I1320" s="86">
        <f>IFERROR(__xludf.DUMMYFUNCTION("""COMPUTED_VALUE"""),0.27027027027027023)</f>
        <v>0.2702702703</v>
      </c>
      <c r="J1320" s="82">
        <f>IFERROR(__xludf.DUMMYFUNCTION("""COMPUTED_VALUE"""),296.6)</f>
        <v>296.6</v>
      </c>
      <c r="K1320" s="82">
        <f>IFERROR(__xludf.DUMMYFUNCTION("""COMPUTED_VALUE"""),0.6666666666666666)</f>
        <v>0.6666666667</v>
      </c>
      <c r="L1320" s="82">
        <f>IFERROR(__xludf.DUMMYFUNCTION("""COMPUTED_VALUE"""),0.3333333333333333)</f>
        <v>0.3333333333</v>
      </c>
      <c r="M1320" s="82">
        <f>IFERROR(__xludf.DUMMYFUNCTION("""COMPUTED_VALUE"""),0.9333333333333333)</f>
        <v>0.9333333333</v>
      </c>
      <c r="N1320" s="82">
        <f>IFERROR(__xludf.DUMMYFUNCTION("""COMPUTED_VALUE"""),2.466666666666667)</f>
        <v>2.466666667</v>
      </c>
      <c r="O1320" s="82">
        <f>IFERROR(__xludf.DUMMYFUNCTION("""COMPUTED_VALUE"""),381.48888888888894)</f>
        <v>381.4888889</v>
      </c>
      <c r="P1320" s="82">
        <f>IFERROR(__xludf.DUMMYFUNCTION("""COMPUTED_VALUE"""),0.8666666666666666)</f>
        <v>0.8666666667</v>
      </c>
      <c r="Q1320" s="82">
        <f>IFERROR(__xludf.DUMMYFUNCTION("""COMPUTED_VALUE"""),0.5555555555555555)</f>
        <v>0.5555555556</v>
      </c>
      <c r="R1320" s="82">
        <f>IFERROR(__xludf.DUMMYFUNCTION("""COMPUTED_VALUE"""),1.6444444444444446)</f>
        <v>1.644444444</v>
      </c>
      <c r="S1320" s="82">
        <f>IFERROR(__xludf.DUMMYFUNCTION("""COMPUTED_VALUE"""),2.688888888888888)</f>
        <v>2.688888889</v>
      </c>
      <c r="T1320" s="82">
        <f>IFERROR(__xludf.DUMMYFUNCTION("""COMPUTED_VALUE"""),354.1364768875783)</f>
        <v>354.1364769</v>
      </c>
      <c r="U1320" s="82">
        <f>IFERROR(__xludf.DUMMYFUNCTION("""COMPUTED_VALUE"""),0.7869031305180355)</f>
        <v>0.7869031305</v>
      </c>
      <c r="V1320" s="82">
        <f>IFERROR(__xludf.DUMMYFUNCTION("""COMPUTED_VALUE"""),0.5694458242735002)</f>
        <v>0.5694458243</v>
      </c>
      <c r="W1320" s="82">
        <f>IFERROR(__xludf.DUMMYFUNCTION("""COMPUTED_VALUE"""),1.3480326173125785)</f>
        <v>1.348032617</v>
      </c>
      <c r="X1320" s="82">
        <f>IFERROR(__xludf.DUMMYFUNCTION("""COMPUTED_VALUE"""),2.6905988968903176)</f>
        <v>2.690598897</v>
      </c>
      <c r="Y1320" s="82">
        <f>IFERROR(__xludf.DUMMYFUNCTION("""COMPUTED_VALUE"""),345.7525925710291)</f>
        <v>345.7525926</v>
      </c>
      <c r="Z1320" s="82">
        <f>IFERROR(__xludf.DUMMYFUNCTION("""COMPUTED_VALUE"""),0.7344505760158323)</f>
        <v>0.734450576</v>
      </c>
      <c r="AA1320" s="82">
        <f>IFERROR(__xludf.DUMMYFUNCTION("""COMPUTED_VALUE"""),0.5431628790294345)</f>
        <v>0.543162879</v>
      </c>
      <c r="AB1320" s="82">
        <f>IFERROR(__xludf.DUMMYFUNCTION("""COMPUTED_VALUE"""),1.347041513920099)</f>
        <v>1.347041514</v>
      </c>
      <c r="AC1320" s="82">
        <f>IFERROR(__xludf.DUMMYFUNCTION("""COMPUTED_VALUE"""),2.5203368755529407)</f>
        <v>2.520336876</v>
      </c>
      <c r="AD1320" s="82">
        <f>IFERROR(__xludf.DUMMYFUNCTION("""COMPUTED_VALUE"""),0.8578388315022353)</f>
        <v>0.8578388315</v>
      </c>
      <c r="AE1320" s="82">
        <f>IFERROR(__xludf.DUMMYFUNCTION("""COMPUTED_VALUE"""),0.907708004374001)</f>
        <v>0.9077080044</v>
      </c>
      <c r="AF1320" s="82">
        <f>IFERROR(__xludf.DUMMYFUNCTION("""COMPUTED_VALUE"""),0.6136894589132438)</f>
        <v>0.6136894589</v>
      </c>
      <c r="AG1320" s="82">
        <f>IFERROR(__xludf.DUMMYFUNCTION("""COMPUTED_VALUE"""),0.6928764434417385)</f>
        <v>0.6928764434</v>
      </c>
      <c r="AH1320" s="82">
        <f>IFERROR(__xludf.DUMMYFUNCTION("""COMPUTED_VALUE"""),0.978705144773752)</f>
        <v>0.9787051448</v>
      </c>
      <c r="AI1320" s="82">
        <f>IFERROR(__xludf.DUMMYFUNCTION("""COMPUTED_VALUE"""),1.0772369235773296)</f>
        <v>1.077236924</v>
      </c>
      <c r="AJ1320" s="82">
        <f>IFERROR(__xludf.DUMMYFUNCTION("""COMPUTED_VALUE"""),1.1013638566873167)</f>
        <v>1.101363857</v>
      </c>
      <c r="AK1320" s="82">
        <f>IFERROR(__xludf.DUMMYFUNCTION("""COMPUTED_VALUE"""),0.9756073920892019)</f>
        <v>0.9756073921</v>
      </c>
      <c r="AL1320" s="82">
        <f>IFERROR(__xludf.DUMMYFUNCTION("""COMPUTED_VALUE"""),1.2198847589628723)</f>
        <v>1.219884759</v>
      </c>
      <c r="AM1320" s="82">
        <f>IFERROR(__xludf.DUMMYFUNCTION("""COMPUTED_VALUE"""),0.9993644507907121)</f>
        <v>0.9993644508</v>
      </c>
      <c r="AN1320" s="82">
        <f>IFERROR(__xludf.DUMMYFUNCTION("""COMPUTED_VALUE"""),0.857962164591228)</f>
        <v>0.8579621646</v>
      </c>
      <c r="AO1320" s="82">
        <f>IFERROR(__xludf.DUMMYFUNCTION("""COMPUTED_VALUE"""),0.8823442942303279)</f>
        <v>0.8823442942</v>
      </c>
      <c r="AP1320" s="82">
        <f>IFERROR(__xludf.DUMMYFUNCTION("""COMPUTED_VALUE"""),0.5996739933799643)</f>
        <v>0.5996739934</v>
      </c>
      <c r="AQ1320" s="82">
        <f>IFERROR(__xludf.DUMMYFUNCTION("""COMPUTED_VALUE"""),0.689839974012228)</f>
        <v>0.689839974</v>
      </c>
      <c r="AR1320" s="82">
        <f>IFERROR(__xludf.DUMMYFUNCTION("""COMPUTED_VALUE"""),0.9675050576956313)</f>
        <v>0.9675050577</v>
      </c>
      <c r="AS1320" s="82">
        <f>IFERROR(__xludf.DUMMYFUNCTION("""COMPUTED_VALUE"""),31.0)</f>
        <v>31</v>
      </c>
      <c r="AT1320" s="82">
        <f>IFERROR(__xludf.DUMMYFUNCTION("""COMPUTED_VALUE"""),0.4116341426203425)</f>
        <v>0.4116341426</v>
      </c>
      <c r="AU1320" s="82">
        <f>IFERROR(__xludf.DUMMYFUNCTION("""COMPUTED_VALUE"""),1.3304160699904246)</f>
        <v>1.33041607</v>
      </c>
      <c r="AV1320" s="82">
        <f>IFERROR(__xludf.DUMMYFUNCTION("""COMPUTED_VALUE"""),32.77915468418696)</f>
        <v>32.77915468</v>
      </c>
      <c r="AW1320" s="82">
        <f t="shared" si="1"/>
        <v>-4.073918358</v>
      </c>
      <c r="AX1320" s="83">
        <f t="array" ref="AX1320">IFERROR(DGET('SBV Import'!A:G,"SBV",{"RSC ID","Tier";B1320,A1320}))</f>
        <v>20.31662503</v>
      </c>
      <c r="AY1320" s="82">
        <f t="shared" si="2"/>
        <v>-8.507180829</v>
      </c>
      <c r="AZ1320" s="82">
        <v>4.433262470630656</v>
      </c>
      <c r="BA1320" s="84">
        <v>1200.0</v>
      </c>
      <c r="BB1320" s="84" t="b">
        <f>IFERROR(__xludf.DUMMYFUNCTION("iferror(if(A1320="""",,E1320&gt;=FILTER(Constants!$F$2:$F$10,Constants!$A$2:$A$10=A1320)))"),TRUE)</f>
        <v>1</v>
      </c>
    </row>
    <row r="1321">
      <c r="A1321" s="89" t="str">
        <f>IFERROR(__xludf.DUMMYFUNCTION("""COMPUTED_VALUE"""),"Veteran")</f>
        <v>Veteran</v>
      </c>
      <c r="B1321" s="87" t="str">
        <f>IFERROR(__xludf.DUMMYFUNCTION("""COMPUTED_VALUE"""),"RSC002668")</f>
        <v>RSC002668</v>
      </c>
      <c r="C1321" s="73" t="str">
        <f>IFERROR(__xludf.DUMMYFUNCTION("""COMPUTED_VALUE"""),"Azorh &lt;3")</f>
        <v>Azorh &lt;3</v>
      </c>
      <c r="D1321" s="73" t="str">
        <f>IFERROR(__xludf.DUMMYFUNCTION("""COMPUTED_VALUE"""),"Peppermint")</f>
        <v>Peppermint</v>
      </c>
      <c r="E1321" s="82">
        <f>IFERROR(__xludf.DUMMYFUNCTION("""COMPUTED_VALUE"""),42.0)</f>
        <v>42</v>
      </c>
      <c r="F1321" s="82">
        <f>IFERROR(__xludf.DUMMYFUNCTION("""COMPUTED_VALUE"""),18.0)</f>
        <v>18</v>
      </c>
      <c r="G1321" s="86">
        <f>IFERROR(__xludf.DUMMYFUNCTION("""COMPUTED_VALUE"""),24.0)</f>
        <v>24</v>
      </c>
      <c r="H1321" s="86">
        <f>IFERROR(__xludf.DUMMYFUNCTION("""COMPUTED_VALUE"""),0.42857142857142855)</f>
        <v>0.4285714286</v>
      </c>
      <c r="I1321" s="86">
        <f>IFERROR(__xludf.DUMMYFUNCTION("""COMPUTED_VALUE"""),0.25)</f>
        <v>0.25</v>
      </c>
      <c r="J1321" s="82">
        <f>IFERROR(__xludf.DUMMYFUNCTION("""COMPUTED_VALUE"""),338.6190476190476)</f>
        <v>338.6190476</v>
      </c>
      <c r="K1321" s="82">
        <f>IFERROR(__xludf.DUMMYFUNCTION("""COMPUTED_VALUE"""),0.6190476190476191)</f>
        <v>0.619047619</v>
      </c>
      <c r="L1321" s="82">
        <f>IFERROR(__xludf.DUMMYFUNCTION("""COMPUTED_VALUE"""),0.5)</f>
        <v>0.5</v>
      </c>
      <c r="M1321" s="82">
        <f>IFERROR(__xludf.DUMMYFUNCTION("""COMPUTED_VALUE"""),1.5)</f>
        <v>1.5</v>
      </c>
      <c r="N1321" s="82">
        <f>IFERROR(__xludf.DUMMYFUNCTION("""COMPUTED_VALUE"""),2.4761904761904763)</f>
        <v>2.476190476</v>
      </c>
      <c r="O1321" s="82">
        <f>IFERROR(__xludf.DUMMYFUNCTION("""COMPUTED_VALUE"""),371.5873015873016)</f>
        <v>371.5873016</v>
      </c>
      <c r="P1321" s="82">
        <f>IFERROR(__xludf.DUMMYFUNCTION("""COMPUTED_VALUE"""),0.9444444444444444)</f>
        <v>0.9444444444</v>
      </c>
      <c r="Q1321" s="82">
        <f>IFERROR(__xludf.DUMMYFUNCTION("""COMPUTED_VALUE"""),0.6507936507936509)</f>
        <v>0.6507936508</v>
      </c>
      <c r="R1321" s="82">
        <f>IFERROR(__xludf.DUMMYFUNCTION("""COMPUTED_VALUE"""),1.1507936507936516)</f>
        <v>1.150793651</v>
      </c>
      <c r="S1321" s="82">
        <f>IFERROR(__xludf.DUMMYFUNCTION("""COMPUTED_VALUE"""),3.126984126984128)</f>
        <v>3.126984127</v>
      </c>
      <c r="T1321" s="82">
        <f>IFERROR(__xludf.DUMMYFUNCTION("""COMPUTED_VALUE"""),345.99419922008195)</f>
        <v>345.9941992</v>
      </c>
      <c r="U1321" s="82">
        <f>IFERROR(__xludf.DUMMYFUNCTION("""COMPUTED_VALUE"""),0.749448041888523)</f>
        <v>0.7494480419</v>
      </c>
      <c r="V1321" s="82">
        <f>IFERROR(__xludf.DUMMYFUNCTION("""COMPUTED_VALUE"""),0.5627780798615546)</f>
        <v>0.5627780799</v>
      </c>
      <c r="W1321" s="82">
        <f>IFERROR(__xludf.DUMMYFUNCTION("""COMPUTED_VALUE"""),1.3044145747787403)</f>
        <v>1.304414575</v>
      </c>
      <c r="X1321" s="82">
        <f>IFERROR(__xludf.DUMMYFUNCTION("""COMPUTED_VALUE"""),2.5495278538596926)</f>
        <v>2.549527854</v>
      </c>
      <c r="Y1321" s="82">
        <f>IFERROR(__xludf.DUMMYFUNCTION("""COMPUTED_VALUE"""),356.4664182442491)</f>
        <v>356.4664182</v>
      </c>
      <c r="Z1321" s="82">
        <f>IFERROR(__xludf.DUMMYFUNCTION("""COMPUTED_VALUE"""),0.8290979980135853)</f>
        <v>0.829097998</v>
      </c>
      <c r="AA1321" s="82">
        <f>IFERROR(__xludf.DUMMYFUNCTION("""COMPUTED_VALUE"""),0.6049585387415458)</f>
        <v>0.6049585387</v>
      </c>
      <c r="AB1321" s="82">
        <f>IFERROR(__xludf.DUMMYFUNCTION("""COMPUTED_VALUE"""),1.310863545523538)</f>
        <v>1.310863546</v>
      </c>
      <c r="AC1321" s="82">
        <f>IFERROR(__xludf.DUMMYFUNCTION("""COMPUTED_VALUE"""),2.6137498726692767)</f>
        <v>2.613749873</v>
      </c>
      <c r="AD1321" s="82">
        <f>IFERROR(__xludf.DUMMYFUNCTION("""COMPUTED_VALUE"""),0.9499325330192182)</f>
        <v>0.949932533</v>
      </c>
      <c r="AE1321" s="82">
        <f>IFERROR(__xludf.DUMMYFUNCTION("""COMPUTED_VALUE"""),0.7466519283978245)</f>
        <v>0.7466519284</v>
      </c>
      <c r="AF1321" s="82">
        <f>IFERROR(__xludf.DUMMYFUNCTION("""COMPUTED_VALUE"""),0.8265029220682066)</f>
        <v>0.8265029221</v>
      </c>
      <c r="AG1321" s="82">
        <f>IFERROR(__xludf.DUMMYFUNCTION("""COMPUTED_VALUE"""),1.1442838616744995)</f>
        <v>1.144283862</v>
      </c>
      <c r="AH1321" s="82">
        <f>IFERROR(__xludf.DUMMYFUNCTION("""COMPUTED_VALUE"""),0.947370864397855)</f>
        <v>0.9473708644</v>
      </c>
      <c r="AI1321" s="82">
        <f>IFERROR(__xludf.DUMMYFUNCTION("""COMPUTED_VALUE"""),1.0739697440734846)</f>
        <v>1.073969744</v>
      </c>
      <c r="AJ1321" s="82">
        <f>IFERROR(__xludf.DUMMYFUNCTION("""COMPUTED_VALUE"""),1.260186686277214)</f>
        <v>1.260186686</v>
      </c>
      <c r="AK1321" s="82">
        <f>IFERROR(__xludf.DUMMYFUNCTION("""COMPUTED_VALUE"""),1.1563948101065848)</f>
        <v>1.15639481</v>
      </c>
      <c r="AL1321" s="82">
        <f>IFERROR(__xludf.DUMMYFUNCTION("""COMPUTED_VALUE"""),0.8822299850404949)</f>
        <v>0.882229985</v>
      </c>
      <c r="AM1321" s="82">
        <f>IFERROR(__xludf.DUMMYFUNCTION("""COMPUTED_VALUE"""),1.2264953772716123)</f>
        <v>1.226495377</v>
      </c>
      <c r="AN1321" s="82">
        <f>IFERROR(__xludf.DUMMYFUNCTION("""COMPUTED_VALUE"""),0.9795088707587934)</f>
        <v>0.9795088708</v>
      </c>
      <c r="AO1321" s="82">
        <f>IFERROR(__xludf.DUMMYFUNCTION("""COMPUTED_VALUE"""),0.8193197017853046)</f>
        <v>0.8193197018</v>
      </c>
      <c r="AP1321" s="82">
        <f>IFERROR(__xludf.DUMMYFUNCTION("""COMPUTED_VALUE"""),0.8995109900699465)</f>
        <v>0.8995109901</v>
      </c>
      <c r="AQ1321" s="82">
        <f>IFERROR(__xludf.DUMMYFUNCTION("""COMPUTED_VALUE"""),1.1086713868053664)</f>
        <v>1.108671387</v>
      </c>
      <c r="AR1321" s="82">
        <f>IFERROR(__xludf.DUMMYFUNCTION("""COMPUTED_VALUE"""),0.971240598458935)</f>
        <v>0.9712405985</v>
      </c>
      <c r="AS1321" s="82">
        <f>IFERROR(__xludf.DUMMYFUNCTION("""COMPUTED_VALUE"""),93.0)</f>
        <v>93</v>
      </c>
      <c r="AT1321" s="82">
        <f>IFERROR(__xludf.DUMMYFUNCTION("""COMPUTED_VALUE"""),0.40315793237732184)</f>
        <v>0.4031579324</v>
      </c>
      <c r="AU1321" s="82">
        <f>IFERROR(__xludf.DUMMYFUNCTION("""COMPUTED_VALUE"""),1.29852048661502)</f>
        <v>1.298520487</v>
      </c>
      <c r="AV1321" s="82">
        <f>IFERROR(__xludf.DUMMYFUNCTION("""COMPUTED_VALUE"""),31.638820797498504)</f>
        <v>31.6388208</v>
      </c>
      <c r="AW1321" s="82">
        <f t="shared" si="1"/>
        <v>-4.32267705</v>
      </c>
      <c r="AX1321" s="83">
        <f t="array" ref="AX1321">IFERROR(DGET('SBV Import'!A:G,"SBV",{"RSC ID","Tier";B1321,A1321}))</f>
        <v>36.53077111</v>
      </c>
      <c r="AY1321" s="82">
        <f t="shared" si="2"/>
        <v>-3.389565381</v>
      </c>
      <c r="AZ1321" s="82">
        <v>0.9331116684193792</v>
      </c>
      <c r="BA1321" s="84">
        <v>1200.0</v>
      </c>
      <c r="BB1321" s="84" t="b">
        <f>IFERROR(__xludf.DUMMYFUNCTION("iferror(if(A1321="""",,E1321&gt;=FILTER(Constants!$F$2:$F$10,Constants!$A$2:$A$10=A1321)))"),TRUE)</f>
        <v>1</v>
      </c>
    </row>
    <row r="1322">
      <c r="A1322" s="89" t="str">
        <f>IFERROR(__xludf.DUMMYFUNCTION("""COMPUTED_VALUE"""),"Veteran")</f>
        <v>Veteran</v>
      </c>
      <c r="B1322" s="87" t="str">
        <f>IFERROR(__xludf.DUMMYFUNCTION("""COMPUTED_VALUE"""),"RSC003746")</f>
        <v>RSC003746</v>
      </c>
      <c r="C1322" s="73" t="str">
        <f>IFERROR(__xludf.DUMMYFUNCTION("""COMPUTED_VALUE"""),"archhie.")</f>
        <v>archhie.</v>
      </c>
      <c r="D1322" s="73"/>
      <c r="E1322" s="82">
        <f>IFERROR(__xludf.DUMMYFUNCTION("""COMPUTED_VALUE"""),8.0)</f>
        <v>8</v>
      </c>
      <c r="F1322" s="82">
        <f>IFERROR(__xludf.DUMMYFUNCTION("""COMPUTED_VALUE"""),3.0)</f>
        <v>3</v>
      </c>
      <c r="G1322" s="86">
        <f>IFERROR(__xludf.DUMMYFUNCTION("""COMPUTED_VALUE"""),5.0)</f>
        <v>5</v>
      </c>
      <c r="H1322" s="86">
        <f>IFERROR(__xludf.DUMMYFUNCTION("""COMPUTED_VALUE"""),0.375)</f>
        <v>0.375</v>
      </c>
      <c r="I1322" s="86">
        <f>IFERROR(__xludf.DUMMYFUNCTION("""COMPUTED_VALUE"""),0.3125)</f>
        <v>0.3125</v>
      </c>
      <c r="J1322" s="82">
        <f>IFERROR(__xludf.DUMMYFUNCTION("""COMPUTED_VALUE"""),364.25)</f>
        <v>364.25</v>
      </c>
      <c r="K1322" s="82">
        <f>IFERROR(__xludf.DUMMYFUNCTION("""COMPUTED_VALUE"""),0.625)</f>
        <v>0.625</v>
      </c>
      <c r="L1322" s="82">
        <f>IFERROR(__xludf.DUMMYFUNCTION("""COMPUTED_VALUE"""),0.375)</f>
        <v>0.375</v>
      </c>
      <c r="M1322" s="82">
        <f>IFERROR(__xludf.DUMMYFUNCTION("""COMPUTED_VALUE"""),1.875)</f>
        <v>1.875</v>
      </c>
      <c r="N1322" s="82">
        <f>IFERROR(__xludf.DUMMYFUNCTION("""COMPUTED_VALUE"""),2.0)</f>
        <v>2</v>
      </c>
      <c r="O1322" s="82">
        <f>IFERROR(__xludf.DUMMYFUNCTION("""COMPUTED_VALUE"""),348.25)</f>
        <v>348.25</v>
      </c>
      <c r="P1322" s="82">
        <f>IFERROR(__xludf.DUMMYFUNCTION("""COMPUTED_VALUE"""),0.9166666666666666)</f>
        <v>0.9166666667</v>
      </c>
      <c r="Q1322" s="82">
        <f>IFERROR(__xludf.DUMMYFUNCTION("""COMPUTED_VALUE"""),0.6249999999999999)</f>
        <v>0.625</v>
      </c>
      <c r="R1322" s="82">
        <f>IFERROR(__xludf.DUMMYFUNCTION("""COMPUTED_VALUE"""),0.875)</f>
        <v>0.875</v>
      </c>
      <c r="S1322" s="82">
        <f>IFERROR(__xludf.DUMMYFUNCTION("""COMPUTED_VALUE"""),2.9583333333333335)</f>
        <v>2.958333333</v>
      </c>
      <c r="T1322" s="82">
        <f>IFERROR(__xludf.DUMMYFUNCTION("""COMPUTED_VALUE"""),358.9452630984644)</f>
        <v>358.9452631</v>
      </c>
      <c r="U1322" s="82">
        <f>IFERROR(__xludf.DUMMYFUNCTION("""COMPUTED_VALUE"""),0.7701001742160278)</f>
        <v>0.7701001742</v>
      </c>
      <c r="V1322" s="82">
        <f>IFERROR(__xludf.DUMMYFUNCTION("""COMPUTED_VALUE"""),0.6534375403277841)</f>
        <v>0.6534375403</v>
      </c>
      <c r="W1322" s="82">
        <f>IFERROR(__xludf.DUMMYFUNCTION("""COMPUTED_VALUE"""),1.321093044263776)</f>
        <v>1.321093044</v>
      </c>
      <c r="X1322" s="82">
        <f>IFERROR(__xludf.DUMMYFUNCTION("""COMPUTED_VALUE"""),2.7619991289198604)</f>
        <v>2.761999129</v>
      </c>
      <c r="Y1322" s="82">
        <f>IFERROR(__xludf.DUMMYFUNCTION("""COMPUTED_VALUE"""),369.6497171678066)</f>
        <v>369.6497172</v>
      </c>
      <c r="Z1322" s="82">
        <f>IFERROR(__xludf.DUMMYFUNCTION("""COMPUTED_VALUE"""),0.7963618961586443)</f>
        <v>0.7963618962</v>
      </c>
      <c r="AA1322" s="82">
        <f>IFERROR(__xludf.DUMMYFUNCTION("""COMPUTED_VALUE"""),0.6104040306276077)</f>
        <v>0.6104040306</v>
      </c>
      <c r="AB1322" s="82">
        <f>IFERROR(__xludf.DUMMYFUNCTION("""COMPUTED_VALUE"""),1.5387611842388267)</f>
        <v>1.538761184</v>
      </c>
      <c r="AC1322" s="82">
        <f>IFERROR(__xludf.DUMMYFUNCTION("""COMPUTED_VALUE"""),2.5327652492794774)</f>
        <v>2.532765249</v>
      </c>
      <c r="AD1322" s="82">
        <f>IFERROR(__xludf.DUMMYFUNCTION("""COMPUTED_VALUE"""),0.9853923405942839)</f>
        <v>0.9853923406</v>
      </c>
      <c r="AE1322" s="82">
        <f>IFERROR(__xludf.DUMMYFUNCTION("""COMPUTED_VALUE"""),0.7848190665760997)</f>
        <v>0.7848190666</v>
      </c>
      <c r="AF1322" s="82">
        <f>IFERROR(__xludf.DUMMYFUNCTION("""COMPUTED_VALUE"""),0.614347188393286)</f>
        <v>0.6143471884</v>
      </c>
      <c r="AG1322" s="82">
        <f>IFERROR(__xludf.DUMMYFUNCTION("""COMPUTED_VALUE"""),1.2185126705853966)</f>
        <v>1.218512671</v>
      </c>
      <c r="AH1322" s="82">
        <f>IFERROR(__xludf.DUMMYFUNCTION("""COMPUTED_VALUE"""),0.7896507584226218)</f>
        <v>0.7896507584</v>
      </c>
      <c r="AI1322" s="82">
        <f>IFERROR(__xludf.DUMMYFUNCTION("""COMPUTED_VALUE"""),0.9702036377186275)</f>
        <v>0.9702036377</v>
      </c>
      <c r="AJ1322" s="82">
        <f>IFERROR(__xludf.DUMMYFUNCTION("""COMPUTED_VALUE"""),1.1903213339743046)</f>
        <v>1.190321334</v>
      </c>
      <c r="AK1322" s="82">
        <f>IFERROR(__xludf.DUMMYFUNCTION("""COMPUTED_VALUE"""),0.9564800940063544)</f>
        <v>0.956480094</v>
      </c>
      <c r="AL1322" s="82">
        <f>IFERROR(__xludf.DUMMYFUNCTION("""COMPUTED_VALUE"""),0.6623303360798659)</f>
        <v>0.6623303361</v>
      </c>
      <c r="AM1322" s="82">
        <f>IFERROR(__xludf.DUMMYFUNCTION("""COMPUTED_VALUE"""),1.071084093531287)</f>
        <v>1.071084094</v>
      </c>
      <c r="AN1322" s="82">
        <f>IFERROR(__xludf.DUMMYFUNCTION("""COMPUTED_VALUE"""),1.0536504330827874)</f>
        <v>1.053650433</v>
      </c>
      <c r="AO1322" s="82">
        <f>IFERROR(__xludf.DUMMYFUNCTION("""COMPUTED_VALUE"""),0.8271977758409325)</f>
        <v>0.8271977758</v>
      </c>
      <c r="AP1322" s="82">
        <f>IFERROR(__xludf.DUMMYFUNCTION("""COMPUTED_VALUE"""),0.6746332425524599)</f>
        <v>0.6746332426</v>
      </c>
      <c r="AQ1322" s="82">
        <f>IFERROR(__xludf.DUMMYFUNCTION("""COMPUTED_VALUE"""),1.385839233506708)</f>
        <v>1.385839234</v>
      </c>
      <c r="AR1322" s="82">
        <f>IFERROR(__xludf.DUMMYFUNCTION("""COMPUTED_VALUE"""),0.7844635602937551)</f>
        <v>0.7844635603</v>
      </c>
      <c r="AS1322" s="82">
        <f>IFERROR(__xludf.DUMMYFUNCTION("""COMPUTED_VALUE"""),15.0)</f>
        <v>15</v>
      </c>
      <c r="AT1322" s="82">
        <f>IFERROR(__xludf.DUMMYFUNCTION("""COMPUTED_VALUE"""),0.3556264749483379)</f>
        <v>0.3556264749</v>
      </c>
      <c r="AU1322" s="82">
        <f>IFERROR(__xludf.DUMMYFUNCTION("""COMPUTED_VALUE"""),1.284647089010265)</f>
        <v>1.284647089</v>
      </c>
      <c r="AV1322" s="82">
        <f>IFERROR(__xludf.DUMMYFUNCTION("""COMPUTED_VALUE"""),31.14281778585885)</f>
        <v>31.14281779</v>
      </c>
      <c r="AW1322" s="82">
        <f t="shared" si="1"/>
        <v>-4.437770694</v>
      </c>
      <c r="AX1322" s="83">
        <f t="array" ref="AX1322">IFERROR(DGET('SBV Import'!A:G,"SBV",{"RSC ID","Tier";B1322,A1322}))</f>
        <v>57.0850069</v>
      </c>
      <c r="AY1322" s="82">
        <f t="shared" si="2"/>
        <v>2.574433247</v>
      </c>
      <c r="AZ1322" s="82">
        <v>7.012203940765981</v>
      </c>
      <c r="BA1322" s="84">
        <v>1200.0</v>
      </c>
      <c r="BB1322" s="84" t="b">
        <f>IFERROR(__xludf.DUMMYFUNCTION("iferror(if(A1322="""",,E1322&gt;=FILTER(Constants!$F$2:$F$10,Constants!$A$2:$A$10=A1322)))"),TRUE)</f>
        <v>1</v>
      </c>
    </row>
    <row r="1323">
      <c r="A1323" s="89" t="str">
        <f>IFERROR(__xludf.DUMMYFUNCTION("""COMPUTED_VALUE"""),"Veteran")</f>
        <v>Veteran</v>
      </c>
      <c r="B1323" s="87" t="str">
        <f>IFERROR(__xludf.DUMMYFUNCTION("""COMPUTED_VALUE"""),"RSC007327")</f>
        <v>RSC007327</v>
      </c>
      <c r="C1323" s="73" t="str">
        <f>IFERROR(__xludf.DUMMYFUNCTION("""COMPUTED_VALUE"""),"JustAChillGuyONG")</f>
        <v>JustAChillGuyONG</v>
      </c>
      <c r="D1323" s="73" t="str">
        <f>IFERROR(__xludf.DUMMYFUNCTION("""COMPUTED_VALUE"""),"Merciless Mob")</f>
        <v>Merciless Mob</v>
      </c>
      <c r="E1323" s="82">
        <f>IFERROR(__xludf.DUMMYFUNCTION("""COMPUTED_VALUE"""),28.0)</f>
        <v>28</v>
      </c>
      <c r="F1323" s="82">
        <f>IFERROR(__xludf.DUMMYFUNCTION("""COMPUTED_VALUE"""),9.0)</f>
        <v>9</v>
      </c>
      <c r="G1323" s="86">
        <f>IFERROR(__xludf.DUMMYFUNCTION("""COMPUTED_VALUE"""),19.0)</f>
        <v>19</v>
      </c>
      <c r="H1323" s="86">
        <f>IFERROR(__xludf.DUMMYFUNCTION("""COMPUTED_VALUE"""),0.32142857142857145)</f>
        <v>0.3214285714</v>
      </c>
      <c r="I1323" s="86">
        <f>IFERROR(__xludf.DUMMYFUNCTION("""COMPUTED_VALUE"""),0.3194444444444444)</f>
        <v>0.3194444444</v>
      </c>
      <c r="J1323" s="82">
        <f>IFERROR(__xludf.DUMMYFUNCTION("""COMPUTED_VALUE"""),321.35714285714283)</f>
        <v>321.3571429</v>
      </c>
      <c r="K1323" s="82">
        <f>IFERROR(__xludf.DUMMYFUNCTION("""COMPUTED_VALUE"""),0.8214285714285714)</f>
        <v>0.8214285714</v>
      </c>
      <c r="L1323" s="82">
        <f>IFERROR(__xludf.DUMMYFUNCTION("""COMPUTED_VALUE"""),0.2857142857142857)</f>
        <v>0.2857142857</v>
      </c>
      <c r="M1323" s="82">
        <f>IFERROR(__xludf.DUMMYFUNCTION("""COMPUTED_VALUE"""),1.2857142857142858)</f>
        <v>1.285714286</v>
      </c>
      <c r="N1323" s="82">
        <f>IFERROR(__xludf.DUMMYFUNCTION("""COMPUTED_VALUE"""),2.5714285714285716)</f>
        <v>2.571428571</v>
      </c>
      <c r="O1323" s="82">
        <f>IFERROR(__xludf.DUMMYFUNCTION("""COMPUTED_VALUE"""),412.4166666666668)</f>
        <v>412.4166667</v>
      </c>
      <c r="P1323" s="82">
        <f>IFERROR(__xludf.DUMMYFUNCTION("""COMPUTED_VALUE"""),1.1547619047619044)</f>
        <v>1.154761905</v>
      </c>
      <c r="Q1323" s="82">
        <f>IFERROR(__xludf.DUMMYFUNCTION("""COMPUTED_VALUE"""),0.9047619047619048)</f>
        <v>0.9047619048</v>
      </c>
      <c r="R1323" s="82">
        <f>IFERROR(__xludf.DUMMYFUNCTION("""COMPUTED_VALUE"""),1.285714285714286)</f>
        <v>1.285714286</v>
      </c>
      <c r="S1323" s="82">
        <f>IFERROR(__xludf.DUMMYFUNCTION("""COMPUTED_VALUE"""),2.976190476190476)</f>
        <v>2.976190476</v>
      </c>
      <c r="T1323" s="82">
        <f>IFERROR(__xludf.DUMMYFUNCTION("""COMPUTED_VALUE"""),362.37374387010516)</f>
        <v>362.3737439</v>
      </c>
      <c r="U1323" s="82">
        <f>IFERROR(__xludf.DUMMYFUNCTION("""COMPUTED_VALUE"""),0.8381765736041356)</f>
        <v>0.8381765736</v>
      </c>
      <c r="V1323" s="82">
        <f>IFERROR(__xludf.DUMMYFUNCTION("""COMPUTED_VALUE"""),0.6734282079497721)</f>
        <v>0.6734282079</v>
      </c>
      <c r="W1323" s="82">
        <f>IFERROR(__xludf.DUMMYFUNCTION("""COMPUTED_VALUE"""),1.307704857800265)</f>
        <v>1.307704858</v>
      </c>
      <c r="X1323" s="82">
        <f>IFERROR(__xludf.DUMMYFUNCTION("""COMPUTED_VALUE"""),2.734163235388352)</f>
        <v>2.734163235</v>
      </c>
      <c r="Y1323" s="82">
        <f>IFERROR(__xludf.DUMMYFUNCTION("""COMPUTED_VALUE"""),350.0381208910171)</f>
        <v>350.0381209</v>
      </c>
      <c r="Z1323" s="82">
        <f>IFERROR(__xludf.DUMMYFUNCTION("""COMPUTED_VALUE"""),0.7589359665178996)</f>
        <v>0.7589359665</v>
      </c>
      <c r="AA1323" s="82">
        <f>IFERROR(__xludf.DUMMYFUNCTION("""COMPUTED_VALUE"""),0.5443569418274112)</f>
        <v>0.5443569418</v>
      </c>
      <c r="AB1323" s="82">
        <f>IFERROR(__xludf.DUMMYFUNCTION("""COMPUTED_VALUE"""),1.3721376834269454)</f>
        <v>1.372137683</v>
      </c>
      <c r="AC1323" s="82">
        <f>IFERROR(__xludf.DUMMYFUNCTION("""COMPUTED_VALUE"""),2.6106342987220477)</f>
        <v>2.610634299</v>
      </c>
      <c r="AD1323" s="82">
        <f>IFERROR(__xludf.DUMMYFUNCTION("""COMPUTED_VALUE"""),0.9180632727633572)</f>
        <v>0.9180632728</v>
      </c>
      <c r="AE1323" s="82">
        <f>IFERROR(__xludf.DUMMYFUNCTION("""COMPUTED_VALUE"""),1.0823423947047814)</f>
        <v>1.082342395</v>
      </c>
      <c r="AF1323" s="82">
        <f>IFERROR(__xludf.DUMMYFUNCTION("""COMPUTED_VALUE"""),0.5248656970463906)</f>
        <v>0.524865697</v>
      </c>
      <c r="AG1323" s="82">
        <f>IFERROR(__xludf.DUMMYFUNCTION("""COMPUTED_VALUE"""),0.9370155059827413)</f>
        <v>0.937015506</v>
      </c>
      <c r="AH1323" s="82">
        <f>IFERROR(__xludf.DUMMYFUNCTION("""COMPUTED_VALUE"""),0.9849822982435081)</f>
        <v>0.9849822982</v>
      </c>
      <c r="AI1323" s="82">
        <f>IFERROR(__xludf.DUMMYFUNCTION("""COMPUTED_VALUE"""),1.138097540572641)</f>
        <v>1.138097541</v>
      </c>
      <c r="AJ1323" s="82">
        <f>IFERROR(__xludf.DUMMYFUNCTION("""COMPUTED_VALUE"""),1.3777072052926282)</f>
        <v>1.377707205</v>
      </c>
      <c r="AK1323" s="82">
        <f>IFERROR(__xludf.DUMMYFUNCTION("""COMPUTED_VALUE"""),1.3435164937869468)</f>
        <v>1.343516494</v>
      </c>
      <c r="AL1323" s="82">
        <f>IFERROR(__xludf.DUMMYFUNCTION("""COMPUTED_VALUE"""),0.9831838415565956)</f>
        <v>0.9831838416</v>
      </c>
      <c r="AM1323" s="82">
        <f>IFERROR(__xludf.DUMMYFUNCTION("""COMPUTED_VALUE"""),1.0885196749299964)</f>
        <v>1.088519675</v>
      </c>
      <c r="AN1323" s="82">
        <f>IFERROR(__xludf.DUMMYFUNCTION("""COMPUTED_VALUE"""),0.9295760953896383)</f>
        <v>0.9295760954</v>
      </c>
      <c r="AO1323" s="82">
        <f>IFERROR(__xludf.DUMMYFUNCTION("""COMPUTED_VALUE"""),1.087174219676654)</f>
        <v>1.08717422</v>
      </c>
      <c r="AP1323" s="82">
        <f>IFERROR(__xludf.DUMMYFUNCTION("""COMPUTED_VALUE"""),0.5140062800399694)</f>
        <v>0.51400628</v>
      </c>
      <c r="AQ1323" s="82">
        <f>IFERROR(__xludf.DUMMYFUNCTION("""COMPUTED_VALUE"""),0.9502897601188856)</f>
        <v>0.9502897601</v>
      </c>
      <c r="AR1323" s="82">
        <f>IFERROR(__xludf.DUMMYFUNCTION("""COMPUTED_VALUE"""),1.008596006091971)</f>
        <v>1.008596006</v>
      </c>
      <c r="AS1323" s="82">
        <f>IFERROR(__xludf.DUMMYFUNCTION("""COMPUTED_VALUE"""),68.0)</f>
        <v>68</v>
      </c>
      <c r="AT1323" s="82">
        <f>IFERROR(__xludf.DUMMYFUNCTION("""COMPUTED_VALUE"""),0.35641386373167305)</f>
        <v>0.3564138637</v>
      </c>
      <c r="AU1323" s="82">
        <f>IFERROR(__xludf.DUMMYFUNCTION("""COMPUTED_VALUE"""),1.2637911223613698)</f>
        <v>1.263791122</v>
      </c>
      <c r="AV1323" s="82">
        <f>IFERROR(__xludf.DUMMYFUNCTION("""COMPUTED_VALUE"""),30.397173311216036)</f>
        <v>30.39717331</v>
      </c>
      <c r="AW1323" s="82">
        <f t="shared" si="1"/>
        <v>-4.619217481</v>
      </c>
      <c r="AX1323" s="83">
        <f t="array" ref="AX1323">IFERROR(DGET('SBV Import'!A:G,"SBV",{"RSC ID","Tier";B1323,A1323}))</f>
        <v>25.47274347</v>
      </c>
      <c r="AY1323" s="82">
        <f t="shared" si="2"/>
        <v>-6.124669501</v>
      </c>
      <c r="AZ1323" s="82">
        <v>1.5054520195733776</v>
      </c>
      <c r="BA1323" s="84">
        <v>1200.0</v>
      </c>
      <c r="BB1323" s="84" t="b">
        <f>IFERROR(__xludf.DUMMYFUNCTION("iferror(if(A1323="""",,E1323&gt;=FILTER(Constants!$F$2:$F$10,Constants!$A$2:$A$10=A1323)))"),TRUE)</f>
        <v>1</v>
      </c>
    </row>
    <row r="1324">
      <c r="A1324" s="89" t="str">
        <f>IFERROR(__xludf.DUMMYFUNCTION("""COMPUTED_VALUE"""),"Veteran")</f>
        <v>Veteran</v>
      </c>
      <c r="B1324" s="87" t="str">
        <f>IFERROR(__xludf.DUMMYFUNCTION("""COMPUTED_VALUE"""),"RSC003416")</f>
        <v>RSC003416</v>
      </c>
      <c r="C1324" s="73" t="str">
        <f>IFERROR(__xludf.DUMMYFUNCTION("""COMPUTED_VALUE"""),"DrSkimMilk")</f>
        <v>DrSkimMilk</v>
      </c>
      <c r="D1324" s="73" t="str">
        <f>IFERROR(__xludf.DUMMYFUNCTION("""COMPUTED_VALUE"""),"Merciless Mob")</f>
        <v>Merciless Mob</v>
      </c>
      <c r="E1324" s="82">
        <f>IFERROR(__xludf.DUMMYFUNCTION("""COMPUTED_VALUE"""),39.0)</f>
        <v>39</v>
      </c>
      <c r="F1324" s="82">
        <f>IFERROR(__xludf.DUMMYFUNCTION("""COMPUTED_VALUE"""),19.0)</f>
        <v>19</v>
      </c>
      <c r="G1324" s="86">
        <f>IFERROR(__xludf.DUMMYFUNCTION("""COMPUTED_VALUE"""),20.0)</f>
        <v>20</v>
      </c>
      <c r="H1324" s="86">
        <f>IFERROR(__xludf.DUMMYFUNCTION("""COMPUTED_VALUE"""),0.48717948717948717)</f>
        <v>0.4871794872</v>
      </c>
      <c r="I1324" s="86">
        <f>IFERROR(__xludf.DUMMYFUNCTION("""COMPUTED_VALUE"""),0.3181818181818182)</f>
        <v>0.3181818182</v>
      </c>
      <c r="J1324" s="82">
        <f>IFERROR(__xludf.DUMMYFUNCTION("""COMPUTED_VALUE"""),288.05128205128204)</f>
        <v>288.0512821</v>
      </c>
      <c r="K1324" s="82">
        <f>IFERROR(__xludf.DUMMYFUNCTION("""COMPUTED_VALUE"""),0.717948717948718)</f>
        <v>0.7179487179</v>
      </c>
      <c r="L1324" s="82">
        <f>IFERROR(__xludf.DUMMYFUNCTION("""COMPUTED_VALUE"""),0.28205128205128205)</f>
        <v>0.2820512821</v>
      </c>
      <c r="M1324" s="82">
        <f>IFERROR(__xludf.DUMMYFUNCTION("""COMPUTED_VALUE"""),1.1025641025641026)</f>
        <v>1.102564103</v>
      </c>
      <c r="N1324" s="82">
        <f>IFERROR(__xludf.DUMMYFUNCTION("""COMPUTED_VALUE"""),2.2564102564102564)</f>
        <v>2.256410256</v>
      </c>
      <c r="O1324" s="82">
        <f>IFERROR(__xludf.DUMMYFUNCTION("""COMPUTED_VALUE"""),340.991452991453)</f>
        <v>340.991453</v>
      </c>
      <c r="P1324" s="82">
        <f>IFERROR(__xludf.DUMMYFUNCTION("""COMPUTED_VALUE"""),0.8034188034188033)</f>
        <v>0.8034188034</v>
      </c>
      <c r="Q1324" s="82">
        <f>IFERROR(__xludf.DUMMYFUNCTION("""COMPUTED_VALUE"""),0.6153846153846152)</f>
        <v>0.6153846154</v>
      </c>
      <c r="R1324" s="82">
        <f>IFERROR(__xludf.DUMMYFUNCTION("""COMPUTED_VALUE"""),1.1367521367521367)</f>
        <v>1.136752137</v>
      </c>
      <c r="S1324" s="82">
        <f>IFERROR(__xludf.DUMMYFUNCTION("""COMPUTED_VALUE"""),2.6410256410256405)</f>
        <v>2.641025641</v>
      </c>
      <c r="T1324" s="82">
        <f>IFERROR(__xludf.DUMMYFUNCTION("""COMPUTED_VALUE"""),347.2159495307048)</f>
        <v>347.2159495</v>
      </c>
      <c r="U1324" s="82">
        <f>IFERROR(__xludf.DUMMYFUNCTION("""COMPUTED_VALUE"""),0.7628524441327362)</f>
        <v>0.7628524441</v>
      </c>
      <c r="V1324" s="82">
        <f>IFERROR(__xludf.DUMMYFUNCTION("""COMPUTED_VALUE"""),0.5621848631521252)</f>
        <v>0.5621848632</v>
      </c>
      <c r="W1324" s="82">
        <f>IFERROR(__xludf.DUMMYFUNCTION("""COMPUTED_VALUE"""),1.3185070780537718)</f>
        <v>1.318507078</v>
      </c>
      <c r="X1324" s="82">
        <f>IFERROR(__xludf.DUMMYFUNCTION("""COMPUTED_VALUE"""),2.542309038628242)</f>
        <v>2.542309039</v>
      </c>
      <c r="Y1324" s="82">
        <f>IFERROR(__xludf.DUMMYFUNCTION("""COMPUTED_VALUE"""),344.7654256956017)</f>
        <v>344.7654257</v>
      </c>
      <c r="Z1324" s="82">
        <f>IFERROR(__xludf.DUMMYFUNCTION("""COMPUTED_VALUE"""),0.7505557429561887)</f>
        <v>0.750555743</v>
      </c>
      <c r="AA1324" s="82">
        <f>IFERROR(__xludf.DUMMYFUNCTION("""COMPUTED_VALUE"""),0.5382538050136007)</f>
        <v>0.538253805</v>
      </c>
      <c r="AB1324" s="82">
        <f>IFERROR(__xludf.DUMMYFUNCTION("""COMPUTED_VALUE"""),1.3426876219150656)</f>
        <v>1.342687622</v>
      </c>
      <c r="AC1324" s="82">
        <f>IFERROR(__xludf.DUMMYFUNCTION("""COMPUTED_VALUE"""),2.5643599784336795)</f>
        <v>2.564359978</v>
      </c>
      <c r="AD1324" s="82">
        <f>IFERROR(__xludf.DUMMYFUNCTION("""COMPUTED_VALUE"""),0.8354993296387168)</f>
        <v>0.8354993296</v>
      </c>
      <c r="AE1324" s="82">
        <f>IFERROR(__xludf.DUMMYFUNCTION("""COMPUTED_VALUE"""),0.9565561581355136)</f>
        <v>0.9565561581</v>
      </c>
      <c r="AF1324" s="82">
        <f>IFERROR(__xludf.DUMMYFUNCTION("""COMPUTED_VALUE"""),0.524011682637627)</f>
        <v>0.5240116826</v>
      </c>
      <c r="AG1324" s="82">
        <f>IFERROR(__xludf.DUMMYFUNCTION("""COMPUTED_VALUE"""),0.821162036923766)</f>
        <v>0.8211620369</v>
      </c>
      <c r="AH1324" s="82">
        <f>IFERROR(__xludf.DUMMYFUNCTION("""COMPUTED_VALUE"""),0.8799116642697256)</f>
        <v>0.8799116643</v>
      </c>
      <c r="AI1324" s="82">
        <f>IFERROR(__xludf.DUMMYFUNCTION("""COMPUTED_VALUE"""),0.9820731261116755)</f>
        <v>0.9820731261</v>
      </c>
      <c r="AJ1324" s="82">
        <f>IFERROR(__xludf.DUMMYFUNCTION("""COMPUTED_VALUE"""),1.0531772030070452)</f>
        <v>1.053177203</v>
      </c>
      <c r="AK1324" s="82">
        <f>IFERROR(__xludf.DUMMYFUNCTION("""COMPUTED_VALUE"""),1.0946303533222208)</f>
        <v>1.094630353</v>
      </c>
      <c r="AL1324" s="82">
        <f>IFERROR(__xludf.DUMMYFUNCTION("""COMPUTED_VALUE"""),0.8621509551773353)</f>
        <v>0.8621509552</v>
      </c>
      <c r="AM1324" s="82">
        <f>IFERROR(__xludf.DUMMYFUNCTION("""COMPUTED_VALUE"""),1.0388295053423808)</f>
        <v>1.038829505</v>
      </c>
      <c r="AN1324" s="82">
        <f>IFERROR(__xludf.DUMMYFUNCTION("""COMPUTED_VALUE"""),0.8332336529399739)</f>
        <v>0.8332336529</v>
      </c>
      <c r="AO1324" s="82">
        <f>IFERROR(__xludf.DUMMYFUNCTION("""COMPUTED_VALUE"""),0.9502169322480455)</f>
        <v>0.9502169322</v>
      </c>
      <c r="AP1324" s="82">
        <f>IFERROR(__xludf.DUMMYFUNCTION("""COMPUTED_VALUE"""),0.5074164559368929)</f>
        <v>0.5074164559</v>
      </c>
      <c r="AQ1324" s="82">
        <f>IFERROR(__xludf.DUMMYFUNCTION("""COMPUTED_VALUE"""),0.8149208484210385)</f>
        <v>0.8149208484</v>
      </c>
      <c r="AR1324" s="82">
        <f>IFERROR(__xludf.DUMMYFUNCTION("""COMPUTED_VALUE"""),0.8850358116134673)</f>
        <v>0.8850358116</v>
      </c>
      <c r="AS1324" s="82">
        <f>IFERROR(__xludf.DUMMYFUNCTION("""COMPUTED_VALUE"""),87.0)</f>
        <v>87</v>
      </c>
      <c r="AT1324" s="82">
        <f>IFERROR(__xludf.DUMMYFUNCTION("""COMPUTED_VALUE"""),0.46998062148360437)</f>
        <v>0.4699806215</v>
      </c>
      <c r="AU1324" s="82">
        <f>IFERROR(__xludf.DUMMYFUNCTION("""COMPUTED_VALUE"""),1.2459049925431716)</f>
        <v>1.245904993</v>
      </c>
      <c r="AV1324" s="82">
        <f>IFERROR(__xludf.DUMMYFUNCTION("""COMPUTED_VALUE"""),29.75770672133299)</f>
        <v>29.75770672</v>
      </c>
      <c r="AW1324" s="82">
        <f t="shared" si="1"/>
        <v>-4.783345863</v>
      </c>
      <c r="AX1324" s="83">
        <f t="array" ref="AX1324">IFERROR(DGET('SBV Import'!A:G,"SBV",{"RSC ID","Tier";B1324,A1324}))</f>
        <v>25.37053161</v>
      </c>
      <c r="AY1324" s="82">
        <f t="shared" si="2"/>
        <v>-6.162639125</v>
      </c>
      <c r="AZ1324" s="82">
        <v>1.379293261631803</v>
      </c>
      <c r="BA1324" s="84">
        <v>1200.0</v>
      </c>
      <c r="BB1324" s="84" t="b">
        <f>IFERROR(__xludf.DUMMYFUNCTION("iferror(if(A1324="""",,E1324&gt;=FILTER(Constants!$F$2:$F$10,Constants!$A$2:$A$10=A1324)))"),TRUE)</f>
        <v>1</v>
      </c>
    </row>
    <row r="1325">
      <c r="A1325" s="89" t="str">
        <f>IFERROR(__xludf.DUMMYFUNCTION("""COMPUTED_VALUE"""),"Veteran")</f>
        <v>Veteran</v>
      </c>
      <c r="B1325" s="87" t="str">
        <f>IFERROR(__xludf.DUMMYFUNCTION("""COMPUTED_VALUE"""),"RSC001007")</f>
        <v>RSC001007</v>
      </c>
      <c r="C1325" s="73" t="str">
        <f>IFERROR(__xludf.DUMMYFUNCTION("""COMPUTED_VALUE"""),"Tdeez")</f>
        <v>Tdeez</v>
      </c>
      <c r="D1325" s="73" t="str">
        <f>IFERROR(__xludf.DUMMYFUNCTION("""COMPUTED_VALUE"""),"Supernova")</f>
        <v>Supernova</v>
      </c>
      <c r="E1325" s="82">
        <f>IFERROR(__xludf.DUMMYFUNCTION("""COMPUTED_VALUE"""),26.0)</f>
        <v>26</v>
      </c>
      <c r="F1325" s="82">
        <f>IFERROR(__xludf.DUMMYFUNCTION("""COMPUTED_VALUE"""),8.0)</f>
        <v>8</v>
      </c>
      <c r="G1325" s="86">
        <f>IFERROR(__xludf.DUMMYFUNCTION("""COMPUTED_VALUE"""),18.0)</f>
        <v>18</v>
      </c>
      <c r="H1325" s="86">
        <f>IFERROR(__xludf.DUMMYFUNCTION("""COMPUTED_VALUE"""),0.3076923076923077)</f>
        <v>0.3076923077</v>
      </c>
      <c r="I1325" s="86">
        <f>IFERROR(__xludf.DUMMYFUNCTION("""COMPUTED_VALUE"""),0.375)</f>
        <v>0.375</v>
      </c>
      <c r="J1325" s="82">
        <f>IFERROR(__xludf.DUMMYFUNCTION("""COMPUTED_VALUE"""),328.0)</f>
        <v>328</v>
      </c>
      <c r="K1325" s="82">
        <f>IFERROR(__xludf.DUMMYFUNCTION("""COMPUTED_VALUE"""),0.8076923076923077)</f>
        <v>0.8076923077</v>
      </c>
      <c r="L1325" s="82">
        <f>IFERROR(__xludf.DUMMYFUNCTION("""COMPUTED_VALUE"""),0.4230769230769231)</f>
        <v>0.4230769231</v>
      </c>
      <c r="M1325" s="82">
        <f>IFERROR(__xludf.DUMMYFUNCTION("""COMPUTED_VALUE"""),1.5384615384615385)</f>
        <v>1.538461538</v>
      </c>
      <c r="N1325" s="82">
        <f>IFERROR(__xludf.DUMMYFUNCTION("""COMPUTED_VALUE"""),2.1538461538461537)</f>
        <v>2.153846154</v>
      </c>
      <c r="O1325" s="82">
        <f>IFERROR(__xludf.DUMMYFUNCTION("""COMPUTED_VALUE"""),389.9358974358974)</f>
        <v>389.9358974</v>
      </c>
      <c r="P1325" s="82">
        <f>IFERROR(__xludf.DUMMYFUNCTION("""COMPUTED_VALUE"""),1.1153846153846152)</f>
        <v>1.115384615</v>
      </c>
      <c r="Q1325" s="82">
        <f>IFERROR(__xludf.DUMMYFUNCTION("""COMPUTED_VALUE"""),0.846153846153846)</f>
        <v>0.8461538462</v>
      </c>
      <c r="R1325" s="82">
        <f>IFERROR(__xludf.DUMMYFUNCTION("""COMPUTED_VALUE"""),1.1153846153846154)</f>
        <v>1.115384615</v>
      </c>
      <c r="S1325" s="82">
        <f>IFERROR(__xludf.DUMMYFUNCTION("""COMPUTED_VALUE"""),3.3205128205128207)</f>
        <v>3.320512821</v>
      </c>
      <c r="T1325" s="82">
        <f>IFERROR(__xludf.DUMMYFUNCTION("""COMPUTED_VALUE"""),361.0030001517403)</f>
        <v>361.0030002</v>
      </c>
      <c r="U1325" s="82">
        <f>IFERROR(__xludf.DUMMYFUNCTION("""COMPUTED_VALUE"""),0.8144696063120317)</f>
        <v>0.8144696063</v>
      </c>
      <c r="V1325" s="82">
        <f>IFERROR(__xludf.DUMMYFUNCTION("""COMPUTED_VALUE"""),0.5862709541443378)</f>
        <v>0.5862709541</v>
      </c>
      <c r="W1325" s="82">
        <f>IFERROR(__xludf.DUMMYFUNCTION("""COMPUTED_VALUE"""),1.387733195520449)</f>
        <v>1.387733196</v>
      </c>
      <c r="X1325" s="82">
        <f>IFERROR(__xludf.DUMMYFUNCTION("""COMPUTED_VALUE"""),2.6897564334972306)</f>
        <v>2.689756433</v>
      </c>
      <c r="Y1325" s="82">
        <f>IFERROR(__xludf.DUMMYFUNCTION("""COMPUTED_VALUE"""),357.7492951156224)</f>
        <v>357.7492951</v>
      </c>
      <c r="Z1325" s="82">
        <f>IFERROR(__xludf.DUMMYFUNCTION("""COMPUTED_VALUE"""),0.7953532349323044)</f>
        <v>0.7953532349</v>
      </c>
      <c r="AA1325" s="82">
        <f>IFERROR(__xludf.DUMMYFUNCTION("""COMPUTED_VALUE"""),0.5683378363422864)</f>
        <v>0.5683378363</v>
      </c>
      <c r="AB1325" s="82">
        <f>IFERROR(__xludf.DUMMYFUNCTION("""COMPUTED_VALUE"""),1.3884192155149018)</f>
        <v>1.388419216</v>
      </c>
      <c r="AC1325" s="82">
        <f>IFERROR(__xludf.DUMMYFUNCTION("""COMPUTED_VALUE"""),2.6855299414049663)</f>
        <v>2.685529941</v>
      </c>
      <c r="AD1325" s="82">
        <f>IFERROR(__xludf.DUMMYFUNCTION("""COMPUTED_VALUE"""),0.9168431761521498)</f>
        <v>0.9168431762</v>
      </c>
      <c r="AE1325" s="82">
        <f>IFERROR(__xludf.DUMMYFUNCTION("""COMPUTED_VALUE"""),1.0155139530689827)</f>
        <v>1.015513953</v>
      </c>
      <c r="AF1325" s="82">
        <f>IFERROR(__xludf.DUMMYFUNCTION("""COMPUTED_VALUE"""),0.7444109753448147)</f>
        <v>0.7444109753</v>
      </c>
      <c r="AG1325" s="82">
        <f>IFERROR(__xludf.DUMMYFUNCTION("""COMPUTED_VALUE"""),1.1080670169859272)</f>
        <v>1.108067017</v>
      </c>
      <c r="AH1325" s="82">
        <f>IFERROR(__xludf.DUMMYFUNCTION("""COMPUTED_VALUE"""),0.8020190431089903)</f>
        <v>0.8020190431</v>
      </c>
      <c r="AI1325" s="82">
        <f>IFERROR(__xludf.DUMMYFUNCTION("""COMPUTED_VALUE"""),1.0801458638072141)</f>
        <v>1.080145864</v>
      </c>
      <c r="AJ1325" s="82">
        <f>IFERROR(__xludf.DUMMYFUNCTION("""COMPUTED_VALUE"""),1.3694613116812855)</f>
        <v>1.369461312</v>
      </c>
      <c r="AK1325" s="82">
        <f>IFERROR(__xludf.DUMMYFUNCTION("""COMPUTED_VALUE"""),1.4432811998827524)</f>
        <v>1.4432812</v>
      </c>
      <c r="AL1325" s="82">
        <f>IFERROR(__xludf.DUMMYFUNCTION("""COMPUTED_VALUE"""),0.8037457192672448)</f>
        <v>0.8037457193</v>
      </c>
      <c r="AM1325" s="82">
        <f>IFERROR(__xludf.DUMMYFUNCTION("""COMPUTED_VALUE"""),1.234503161386802)</f>
        <v>1.234503161</v>
      </c>
      <c r="AN1325" s="82">
        <f>IFERROR(__xludf.DUMMYFUNCTION("""COMPUTED_VALUE"""),0.9487916048075615)</f>
        <v>0.9487916048</v>
      </c>
      <c r="AO1325" s="82">
        <f>IFERROR(__xludf.DUMMYFUNCTION("""COMPUTED_VALUE"""),1.0689940487790512)</f>
        <v>1.068994049</v>
      </c>
      <c r="AP1325" s="82">
        <f>IFERROR(__xludf.DUMMYFUNCTION("""COMPUTED_VALUE"""),0.7611246839053394)</f>
        <v>0.7611246839</v>
      </c>
      <c r="AQ1325" s="82">
        <f>IFERROR(__xludf.DUMMYFUNCTION("""COMPUTED_VALUE"""),1.1370988582619141)</f>
        <v>1.137098858</v>
      </c>
      <c r="AR1325" s="82">
        <f>IFERROR(__xludf.DUMMYFUNCTION("""COMPUTED_VALUE"""),0.8448069110855824)</f>
        <v>0.8448069111</v>
      </c>
      <c r="AS1325" s="82">
        <f>IFERROR(__xludf.DUMMYFUNCTION("""COMPUTED_VALUE"""),54.0)</f>
        <v>54</v>
      </c>
      <c r="AT1325" s="82">
        <f>IFERROR(__xludf.DUMMYFUNCTION("""COMPUTED_VALUE"""),0.31544624471782384)</f>
        <v>0.3154462447</v>
      </c>
      <c r="AU1325" s="82">
        <f>IFERROR(__xludf.DUMMYFUNCTION("""COMPUTED_VALUE"""),1.2201377511991793)</f>
        <v>1.220137751</v>
      </c>
      <c r="AV1325" s="82">
        <f>IFERROR(__xludf.DUMMYFUNCTION("""COMPUTED_VALUE"""),28.836473893414496)</f>
        <v>28.83647389</v>
      </c>
      <c r="AW1325" s="82">
        <f t="shared" si="1"/>
        <v>-5.034600455</v>
      </c>
      <c r="AX1325" s="83">
        <f t="array" ref="AX1325">IFERROR(DGET('SBV Import'!A:G,"SBV",{"RSC ID","Tier";B1325,A1325}))</f>
        <v>23.55967317</v>
      </c>
      <c r="AY1325" s="82">
        <f t="shared" si="2"/>
        <v>-6.891041746</v>
      </c>
      <c r="AZ1325" s="82">
        <v>1.856441290906921</v>
      </c>
      <c r="BA1325" s="84">
        <v>1200.0</v>
      </c>
      <c r="BB1325" s="84" t="b">
        <f>IFERROR(__xludf.DUMMYFUNCTION("iferror(if(A1325="""",,E1325&gt;=FILTER(Constants!$F$2:$F$10,Constants!$A$2:$A$10=A1325)))"),TRUE)</f>
        <v>1</v>
      </c>
    </row>
    <row r="1326">
      <c r="A1326" s="89" t="str">
        <f>IFERROR(__xludf.DUMMYFUNCTION("""COMPUTED_VALUE"""),"Veteran")</f>
        <v>Veteran</v>
      </c>
      <c r="B1326" s="87" t="str">
        <f>IFERROR(__xludf.DUMMYFUNCTION("""COMPUTED_VALUE"""),"RSC000796")</f>
        <v>RSC000796</v>
      </c>
      <c r="C1326" s="73" t="str">
        <f>IFERROR(__xludf.DUMMYFUNCTION("""COMPUTED_VALUE"""),"hoyci")</f>
        <v>hoyci</v>
      </c>
      <c r="D1326" s="73" t="str">
        <f>IFERROR(__xludf.DUMMYFUNCTION("""COMPUTED_VALUE"""),"Dread")</f>
        <v>Dread</v>
      </c>
      <c r="E1326" s="82">
        <f>IFERROR(__xludf.DUMMYFUNCTION("""COMPUTED_VALUE"""),30.0)</f>
        <v>30</v>
      </c>
      <c r="F1326" s="82">
        <f>IFERROR(__xludf.DUMMYFUNCTION("""COMPUTED_VALUE"""),13.0)</f>
        <v>13</v>
      </c>
      <c r="G1326" s="86">
        <f>IFERROR(__xludf.DUMMYFUNCTION("""COMPUTED_VALUE"""),17.0)</f>
        <v>17</v>
      </c>
      <c r="H1326" s="86">
        <f>IFERROR(__xludf.DUMMYFUNCTION("""COMPUTED_VALUE"""),0.43333333333333335)</f>
        <v>0.4333333333</v>
      </c>
      <c r="I1326" s="86">
        <f>IFERROR(__xludf.DUMMYFUNCTION("""COMPUTED_VALUE"""),0.3275862068965517)</f>
        <v>0.3275862069</v>
      </c>
      <c r="J1326" s="82">
        <f>IFERROR(__xludf.DUMMYFUNCTION("""COMPUTED_VALUE"""),286.1333333333333)</f>
        <v>286.1333333</v>
      </c>
      <c r="K1326" s="82">
        <f>IFERROR(__xludf.DUMMYFUNCTION("""COMPUTED_VALUE"""),0.6333333333333333)</f>
        <v>0.6333333333</v>
      </c>
      <c r="L1326" s="82">
        <f>IFERROR(__xludf.DUMMYFUNCTION("""COMPUTED_VALUE"""),0.4666666666666667)</f>
        <v>0.4666666667</v>
      </c>
      <c r="M1326" s="82">
        <f>IFERROR(__xludf.DUMMYFUNCTION("""COMPUTED_VALUE"""),1.1333333333333333)</f>
        <v>1.133333333</v>
      </c>
      <c r="N1326" s="82">
        <f>IFERROR(__xludf.DUMMYFUNCTION("""COMPUTED_VALUE"""),1.9333333333333333)</f>
        <v>1.933333333</v>
      </c>
      <c r="O1326" s="82">
        <f>IFERROR(__xludf.DUMMYFUNCTION("""COMPUTED_VALUE"""),334.55555555555554)</f>
        <v>334.5555556</v>
      </c>
      <c r="P1326" s="82">
        <f>IFERROR(__xludf.DUMMYFUNCTION("""COMPUTED_VALUE"""),0.7555555555555553)</f>
        <v>0.7555555556</v>
      </c>
      <c r="Q1326" s="82">
        <f>IFERROR(__xludf.DUMMYFUNCTION("""COMPUTED_VALUE"""),0.5555555555555555)</f>
        <v>0.5555555556</v>
      </c>
      <c r="R1326" s="82">
        <f>IFERROR(__xludf.DUMMYFUNCTION("""COMPUTED_VALUE"""),1.1000000000000003)</f>
        <v>1.1</v>
      </c>
      <c r="S1326" s="82">
        <f>IFERROR(__xludf.DUMMYFUNCTION("""COMPUTED_VALUE"""),2.488888888888889)</f>
        <v>2.488888889</v>
      </c>
      <c r="T1326" s="82">
        <f>IFERROR(__xludf.DUMMYFUNCTION("""COMPUTED_VALUE"""),337.15437123808573)</f>
        <v>337.1543712</v>
      </c>
      <c r="U1326" s="82">
        <f>IFERROR(__xludf.DUMMYFUNCTION("""COMPUTED_VALUE"""),0.7183160687916315)</f>
        <v>0.7183160688</v>
      </c>
      <c r="V1326" s="82">
        <f>IFERROR(__xludf.DUMMYFUNCTION("""COMPUTED_VALUE"""),0.5317389184439149)</f>
        <v>0.5317389184</v>
      </c>
      <c r="W1326" s="82">
        <f>IFERROR(__xludf.DUMMYFUNCTION("""COMPUTED_VALUE"""),1.3104618674649273)</f>
        <v>1.310461867</v>
      </c>
      <c r="X1326" s="82">
        <f>IFERROR(__xludf.DUMMYFUNCTION("""COMPUTED_VALUE"""),2.5085708814066408)</f>
        <v>2.508570881</v>
      </c>
      <c r="Y1326" s="82">
        <f>IFERROR(__xludf.DUMMYFUNCTION("""COMPUTED_VALUE"""),362.752703226393)</f>
        <v>362.7527032</v>
      </c>
      <c r="Z1326" s="82">
        <f>IFERROR(__xludf.DUMMYFUNCTION("""COMPUTED_VALUE"""),0.8550842757737459)</f>
        <v>0.8550842758</v>
      </c>
      <c r="AA1326" s="82">
        <f>IFERROR(__xludf.DUMMYFUNCTION("""COMPUTED_VALUE"""),0.6368763313962513)</f>
        <v>0.6368763314</v>
      </c>
      <c r="AB1326" s="82">
        <f>IFERROR(__xludf.DUMMYFUNCTION("""COMPUTED_VALUE"""),1.3286195552953333)</f>
        <v>1.328619555</v>
      </c>
      <c r="AC1326" s="82">
        <f>IFERROR(__xludf.DUMMYFUNCTION("""COMPUTED_VALUE"""),2.7083670721939517)</f>
        <v>2.708367072</v>
      </c>
      <c r="AD1326" s="82">
        <f>IFERROR(__xludf.DUMMYFUNCTION("""COMPUTED_VALUE"""),0.7887834626410992)</f>
        <v>0.7887834626</v>
      </c>
      <c r="AE1326" s="82">
        <f>IFERROR(__xludf.DUMMYFUNCTION("""COMPUTED_VALUE"""),0.7406677344876266)</f>
        <v>0.7406677345</v>
      </c>
      <c r="AF1326" s="82">
        <f>IFERROR(__xludf.DUMMYFUNCTION("""COMPUTED_VALUE"""),0.7327429889623521)</f>
        <v>0.732742989</v>
      </c>
      <c r="AG1326" s="82">
        <f>IFERROR(__xludf.DUMMYFUNCTION("""COMPUTED_VALUE"""),0.8530156949868236)</f>
        <v>0.853015695</v>
      </c>
      <c r="AH1326" s="82">
        <f>IFERROR(__xludf.DUMMYFUNCTION("""COMPUTED_VALUE"""),0.7138372612716817)</f>
        <v>0.7138372613</v>
      </c>
      <c r="AI1326" s="82">
        <f>IFERROR(__xludf.DUMMYFUNCTION("""COMPUTED_VALUE"""),0.9922919116457339)</f>
        <v>0.9922919116</v>
      </c>
      <c r="AJ1326" s="82">
        <f>IFERROR(__xludf.DUMMYFUNCTION("""COMPUTED_VALUE"""),1.0518427588938237)</f>
        <v>1.051842759</v>
      </c>
      <c r="AK1326" s="82">
        <f>IFERROR(__xludf.DUMMYFUNCTION("""COMPUTED_VALUE"""),1.0447900958262333)</f>
        <v>1.044790096</v>
      </c>
      <c r="AL1326" s="82">
        <f>IFERROR(__xludf.DUMMYFUNCTION("""COMPUTED_VALUE"""),0.8393987091955122)</f>
        <v>0.8393987092</v>
      </c>
      <c r="AM1326" s="82">
        <f>IFERROR(__xludf.DUMMYFUNCTION("""COMPUTED_VALUE"""),0.9921541014991311)</f>
        <v>0.9921541015</v>
      </c>
      <c r="AN1326" s="82">
        <f>IFERROR(__xludf.DUMMYFUNCTION("""COMPUTED_VALUE"""),0.8276856845191166)</f>
        <v>0.8276856845</v>
      </c>
      <c r="AO1326" s="82">
        <f>IFERROR(__xludf.DUMMYFUNCTION("""COMPUTED_VALUE"""),0.8382270795188115)</f>
        <v>0.8382270795</v>
      </c>
      <c r="AP1326" s="82">
        <f>IFERROR(__xludf.DUMMYFUNCTION("""COMPUTED_VALUE"""),0.8395435907319502)</f>
        <v>0.8395435907</v>
      </c>
      <c r="AQ1326" s="82">
        <f>IFERROR(__xludf.DUMMYFUNCTION("""COMPUTED_VALUE"""),0.8376628255862768)</f>
        <v>0.8376628256</v>
      </c>
      <c r="AR1326" s="82">
        <f>IFERROR(__xludf.DUMMYFUNCTION("""COMPUTED_VALUE"""),0.7583147749506299)</f>
        <v>0.758314775</v>
      </c>
      <c r="AS1326" s="82">
        <f>IFERROR(__xludf.DUMMYFUNCTION("""COMPUTED_VALUE"""),64.0)</f>
        <v>64</v>
      </c>
      <c r="AT1326" s="82">
        <f>IFERROR(__xludf.DUMMYFUNCTION("""COMPUTED_VALUE"""),0.476828786457356)</f>
        <v>0.4768287865</v>
      </c>
      <c r="AU1326" s="82">
        <f>IFERROR(__xludf.DUMMYFUNCTION("""COMPUTED_VALUE"""),1.1767518410211804)</f>
        <v>1.176751841</v>
      </c>
      <c r="AV1326" s="82">
        <f>IFERROR(__xludf.DUMMYFUNCTION("""COMPUTED_VALUE"""),27.28533676579122)</f>
        <v>27.28533677</v>
      </c>
      <c r="AW1326" s="82">
        <f t="shared" si="1"/>
        <v>-5.501027843</v>
      </c>
      <c r="AX1326" s="83">
        <f t="array" ref="AX1326">IFERROR(DGET('SBV Import'!A:G,"SBV",{"RSC ID","Tier";B1326,A1326}))</f>
        <v>30.13900627</v>
      </c>
      <c r="AY1326" s="82">
        <f t="shared" si="2"/>
        <v>-4.684504791</v>
      </c>
      <c r="AZ1326" s="82">
        <v>0.8165230519753397</v>
      </c>
      <c r="BA1326" s="84">
        <v>1200.0</v>
      </c>
      <c r="BB1326" s="84" t="b">
        <f>IFERROR(__xludf.DUMMYFUNCTION("iferror(if(A1326="""",,E1326&gt;=FILTER(Constants!$F$2:$F$10,Constants!$A$2:$A$10=A1326)))"),TRUE)</f>
        <v>1</v>
      </c>
    </row>
    <row r="1327">
      <c r="A1327" s="89" t="str">
        <f>IFERROR(__xludf.DUMMYFUNCTION("""COMPUTED_VALUE"""),"Veteran")</f>
        <v>Veteran</v>
      </c>
      <c r="B1327" s="87" t="str">
        <f>IFERROR(__xludf.DUMMYFUNCTION("""COMPUTED_VALUE"""),"RSC003887")</f>
        <v>RSC003887</v>
      </c>
      <c r="C1327" s="73" t="str">
        <f>IFERROR(__xludf.DUMMYFUNCTION("""COMPUTED_VALUE"""),"Cundy")</f>
        <v>Cundy</v>
      </c>
      <c r="D1327" s="73" t="str">
        <f>IFERROR(__xludf.DUMMYFUNCTION("""COMPUTED_VALUE"""),"Possessed")</f>
        <v>Possessed</v>
      </c>
      <c r="E1327" s="82">
        <f>IFERROR(__xludf.DUMMYFUNCTION("""COMPUTED_VALUE"""),41.0)</f>
        <v>41</v>
      </c>
      <c r="F1327" s="82">
        <f>IFERROR(__xludf.DUMMYFUNCTION("""COMPUTED_VALUE"""),17.0)</f>
        <v>17</v>
      </c>
      <c r="G1327" s="86">
        <f>IFERROR(__xludf.DUMMYFUNCTION("""COMPUTED_VALUE"""),24.0)</f>
        <v>24</v>
      </c>
      <c r="H1327" s="86">
        <f>IFERROR(__xludf.DUMMYFUNCTION("""COMPUTED_VALUE"""),0.4146341463414634)</f>
        <v>0.4146341463</v>
      </c>
      <c r="I1327" s="86">
        <f>IFERROR(__xludf.DUMMYFUNCTION("""COMPUTED_VALUE"""),0.19047619047619047)</f>
        <v>0.1904761905</v>
      </c>
      <c r="J1327" s="82">
        <f>IFERROR(__xludf.DUMMYFUNCTION("""COMPUTED_VALUE"""),296.4146341463415)</f>
        <v>296.4146341</v>
      </c>
      <c r="K1327" s="82">
        <f>IFERROR(__xludf.DUMMYFUNCTION("""COMPUTED_VALUE"""),0.3902439024390244)</f>
        <v>0.3902439024</v>
      </c>
      <c r="L1327" s="82">
        <f>IFERROR(__xludf.DUMMYFUNCTION("""COMPUTED_VALUE"""),0.6829268292682927)</f>
        <v>0.6829268293</v>
      </c>
      <c r="M1327" s="82">
        <f>IFERROR(__xludf.DUMMYFUNCTION("""COMPUTED_VALUE"""),1.048780487804878)</f>
        <v>1.048780488</v>
      </c>
      <c r="N1327" s="82">
        <f>IFERROR(__xludf.DUMMYFUNCTION("""COMPUTED_VALUE"""),2.048780487804878)</f>
        <v>2.048780488</v>
      </c>
      <c r="O1327" s="82">
        <f>IFERROR(__xludf.DUMMYFUNCTION("""COMPUTED_VALUE"""),376.7398373983741)</f>
        <v>376.7398374</v>
      </c>
      <c r="P1327" s="82">
        <f>IFERROR(__xludf.DUMMYFUNCTION("""COMPUTED_VALUE"""),0.894308943089431)</f>
        <v>0.8943089431</v>
      </c>
      <c r="Q1327" s="82">
        <f>IFERROR(__xludf.DUMMYFUNCTION("""COMPUTED_VALUE"""),0.6829268292682927)</f>
        <v>0.6829268293</v>
      </c>
      <c r="R1327" s="82">
        <f>IFERROR(__xludf.DUMMYFUNCTION("""COMPUTED_VALUE"""),1.3983739837398377)</f>
        <v>1.398373984</v>
      </c>
      <c r="S1327" s="82">
        <f>IFERROR(__xludf.DUMMYFUNCTION("""COMPUTED_VALUE"""),2.504065040650407)</f>
        <v>2.504065041</v>
      </c>
      <c r="T1327" s="82">
        <f>IFERROR(__xludf.DUMMYFUNCTION("""COMPUTED_VALUE"""),354.94270553490793)</f>
        <v>354.9427055</v>
      </c>
      <c r="U1327" s="82">
        <f>IFERROR(__xludf.DUMMYFUNCTION("""COMPUTED_VALUE"""),0.7705739010429904)</f>
        <v>0.770573901</v>
      </c>
      <c r="V1327" s="82">
        <f>IFERROR(__xludf.DUMMYFUNCTION("""COMPUTED_VALUE"""),0.563723391999955)</f>
        <v>0.563723392</v>
      </c>
      <c r="W1327" s="82">
        <f>IFERROR(__xludf.DUMMYFUNCTION("""COMPUTED_VALUE"""),1.3842721434249343)</f>
        <v>1.384272143</v>
      </c>
      <c r="X1327" s="82">
        <f>IFERROR(__xludf.DUMMYFUNCTION("""COMPUTED_VALUE"""),2.6283785999073777)</f>
        <v>2.6283786</v>
      </c>
      <c r="Y1327" s="82">
        <f>IFERROR(__xludf.DUMMYFUNCTION("""COMPUTED_VALUE"""),348.8847853915236)</f>
        <v>348.8847854</v>
      </c>
      <c r="Z1327" s="82">
        <f>IFERROR(__xludf.DUMMYFUNCTION("""COMPUTED_VALUE"""),0.7492760044615929)</f>
        <v>0.7492760045</v>
      </c>
      <c r="AA1327" s="82">
        <f>IFERROR(__xludf.DUMMYFUNCTION("""COMPUTED_VALUE"""),0.5497021039053779)</f>
        <v>0.5497021039</v>
      </c>
      <c r="AB1327" s="82">
        <f>IFERROR(__xludf.DUMMYFUNCTION("""COMPUTED_VALUE"""),1.3473850805643026)</f>
        <v>1.347385081</v>
      </c>
      <c r="AC1327" s="82">
        <f>IFERROR(__xludf.DUMMYFUNCTION("""COMPUTED_VALUE"""),2.614764732400446)</f>
        <v>2.614764732</v>
      </c>
      <c r="AD1327" s="82">
        <f>IFERROR(__xludf.DUMMYFUNCTION("""COMPUTED_VALUE"""),0.8496060778738191)</f>
        <v>0.8496060779</v>
      </c>
      <c r="AE1327" s="82">
        <f>IFERROR(__xludf.DUMMYFUNCTION("""COMPUTED_VALUE"""),0.5208279727567705)</f>
        <v>0.5208279728</v>
      </c>
      <c r="AF1327" s="82">
        <f>IFERROR(__xludf.DUMMYFUNCTION("""COMPUTED_VALUE"""),1.2423580415945565)</f>
        <v>1.242358042</v>
      </c>
      <c r="AG1327" s="82">
        <f>IFERROR(__xludf.DUMMYFUNCTION("""COMPUTED_VALUE"""),0.7783821440012049)</f>
        <v>0.778382144</v>
      </c>
      <c r="AH1327" s="82">
        <f>IFERROR(__xludf.DUMMYFUNCTION("""COMPUTED_VALUE"""),0.7835429560517383)</f>
        <v>0.7835429561</v>
      </c>
      <c r="AI1327" s="82">
        <f>IFERROR(__xludf.DUMMYFUNCTION("""COMPUTED_VALUE"""),1.0614102826274943)</f>
        <v>1.061410283</v>
      </c>
      <c r="AJ1327" s="82">
        <f>IFERROR(__xludf.DUMMYFUNCTION("""COMPUTED_VALUE"""),1.1605751789399592)</f>
        <v>1.160575179</v>
      </c>
      <c r="AK1327" s="82">
        <f>IFERROR(__xludf.DUMMYFUNCTION("""COMPUTED_VALUE"""),1.2114573192455835)</f>
        <v>1.211457319</v>
      </c>
      <c r="AL1327" s="82">
        <f>IFERROR(__xludf.DUMMYFUNCTION("""COMPUTED_VALUE"""),1.0101871878169946)</f>
        <v>1.010187188</v>
      </c>
      <c r="AM1327" s="82">
        <f>IFERROR(__xludf.DUMMYFUNCTION("""COMPUTED_VALUE"""),0.9527033284849635)</f>
        <v>0.9527033285</v>
      </c>
      <c r="AN1327" s="82">
        <f>IFERROR(__xludf.DUMMYFUNCTION("""COMPUTED_VALUE"""),0.8574259646955902)</f>
        <v>0.8574259647</v>
      </c>
      <c r="AO1327" s="82">
        <f>IFERROR(__xludf.DUMMYFUNCTION("""COMPUTED_VALUE"""),0.5164942210128749)</f>
        <v>0.516494221</v>
      </c>
      <c r="AP1327" s="82">
        <f>IFERROR(__xludf.DUMMYFUNCTION("""COMPUTED_VALUE"""),1.2286003766809026)</f>
        <v>1.228600377</v>
      </c>
      <c r="AQ1327" s="82">
        <f>IFERROR(__xludf.DUMMYFUNCTION("""COMPUTED_VALUE"""),0.7751686119126951)</f>
        <v>0.7751686119</v>
      </c>
      <c r="AR1327" s="82">
        <f>IFERROR(__xludf.DUMMYFUNCTION("""COMPUTED_VALUE"""),0.8035968178618955)</f>
        <v>0.8035968179</v>
      </c>
      <c r="AS1327" s="82">
        <f>IFERROR(__xludf.DUMMYFUNCTION("""COMPUTED_VALUE"""),86.0)</f>
        <v>86</v>
      </c>
      <c r="AT1327" s="82">
        <f>IFERROR(__xludf.DUMMYFUNCTION("""COMPUTED_VALUE"""),0.4047680871274949)</f>
        <v>0.4047680871</v>
      </c>
      <c r="AU1327" s="82">
        <f>IFERROR(__xludf.DUMMYFUNCTION("""COMPUTED_VALUE"""),1.1683291447804187)</f>
        <v>1.168329145</v>
      </c>
      <c r="AV1327" s="82">
        <f>IFERROR(__xludf.DUMMYFUNCTION("""COMPUTED_VALUE"""),26.98420774025879)</f>
        <v>26.98420774</v>
      </c>
      <c r="AW1327" s="82">
        <f t="shared" si="1"/>
        <v>-5.598434101</v>
      </c>
      <c r="AX1327" s="83">
        <f t="array" ref="AX1327">IFERROR(DGET('SBV Import'!A:G,"SBV",{"RSC ID","Tier";B1327,A1327}))</f>
        <v>33.80895755</v>
      </c>
      <c r="AY1327" s="82">
        <f t="shared" si="2"/>
        <v>-3.866851009</v>
      </c>
      <c r="AZ1327" s="82">
        <v>1.7315830923089557</v>
      </c>
      <c r="BA1327" s="84">
        <v>1200.0</v>
      </c>
      <c r="BB1327" s="84" t="b">
        <f>IFERROR(__xludf.DUMMYFUNCTION("iferror(if(A1327="""",,E1327&gt;=FILTER(Constants!$F$2:$F$10,Constants!$A$2:$A$10=A1327)))"),TRUE)</f>
        <v>1</v>
      </c>
    </row>
    <row r="1328">
      <c r="A1328" s="89" t="str">
        <f>IFERROR(__xludf.DUMMYFUNCTION("""COMPUTED_VALUE"""),"Veteran")</f>
        <v>Veteran</v>
      </c>
      <c r="B1328" s="87" t="str">
        <f>IFERROR(__xludf.DUMMYFUNCTION("""COMPUTED_VALUE"""),"RSC006531")</f>
        <v>RSC006531</v>
      </c>
      <c r="C1328" s="73" t="str">
        <f>IFERROR(__xludf.DUMMYFUNCTION("""COMPUTED_VALUE"""),"Corners-")</f>
        <v>Corners-</v>
      </c>
      <c r="D1328" s="73"/>
      <c r="E1328" s="82">
        <f>IFERROR(__xludf.DUMMYFUNCTION("""COMPUTED_VALUE"""),4.0)</f>
        <v>4</v>
      </c>
      <c r="F1328" s="82">
        <f>IFERROR(__xludf.DUMMYFUNCTION("""COMPUTED_VALUE"""),1.0)</f>
        <v>1</v>
      </c>
      <c r="G1328" s="86">
        <f>IFERROR(__xludf.DUMMYFUNCTION("""COMPUTED_VALUE"""),3.0)</f>
        <v>3</v>
      </c>
      <c r="H1328" s="86">
        <f>IFERROR(__xludf.DUMMYFUNCTION("""COMPUTED_VALUE"""),0.25)</f>
        <v>0.25</v>
      </c>
      <c r="I1328" s="86">
        <f>IFERROR(__xludf.DUMMYFUNCTION("""COMPUTED_VALUE"""),0.16666666666666666)</f>
        <v>0.1666666667</v>
      </c>
      <c r="J1328" s="82">
        <f>IFERROR(__xludf.DUMMYFUNCTION("""COMPUTED_VALUE"""),261.0)</f>
        <v>261</v>
      </c>
      <c r="K1328" s="82">
        <f>IFERROR(__xludf.DUMMYFUNCTION("""COMPUTED_VALUE"""),0.5)</f>
        <v>0.5</v>
      </c>
      <c r="L1328" s="82">
        <f>IFERROR(__xludf.DUMMYFUNCTION("""COMPUTED_VALUE"""),0.75)</f>
        <v>0.75</v>
      </c>
      <c r="M1328" s="82">
        <f>IFERROR(__xludf.DUMMYFUNCTION("""COMPUTED_VALUE"""),0.5)</f>
        <v>0.5</v>
      </c>
      <c r="N1328" s="82">
        <f>IFERROR(__xludf.DUMMYFUNCTION("""COMPUTED_VALUE"""),3.0)</f>
        <v>3</v>
      </c>
      <c r="O1328" s="82">
        <f>IFERROR(__xludf.DUMMYFUNCTION("""COMPUTED_VALUE"""),414.33333333333337)</f>
        <v>414.3333333</v>
      </c>
      <c r="P1328" s="82">
        <f>IFERROR(__xludf.DUMMYFUNCTION("""COMPUTED_VALUE"""),1.0)</f>
        <v>1</v>
      </c>
      <c r="Q1328" s="82">
        <f>IFERROR(__xludf.DUMMYFUNCTION("""COMPUTED_VALUE"""),0.6666666666666666)</f>
        <v>0.6666666667</v>
      </c>
      <c r="R1328" s="82">
        <f>IFERROR(__xludf.DUMMYFUNCTION("""COMPUTED_VALUE"""),1.9166666666666667)</f>
        <v>1.916666667</v>
      </c>
      <c r="S1328" s="82">
        <f>IFERROR(__xludf.DUMMYFUNCTION("""COMPUTED_VALUE"""),1.9166666666666665)</f>
        <v>1.916666667</v>
      </c>
      <c r="T1328" s="82">
        <f>IFERROR(__xludf.DUMMYFUNCTION("""COMPUTED_VALUE"""),321.7665727321525)</f>
        <v>321.7665727</v>
      </c>
      <c r="U1328" s="82">
        <f>IFERROR(__xludf.DUMMYFUNCTION("""COMPUTED_VALUE"""),0.5856481481481481)</f>
        <v>0.5856481481</v>
      </c>
      <c r="V1328" s="82">
        <f>IFERROR(__xludf.DUMMYFUNCTION("""COMPUTED_VALUE"""),0.39469269994632317)</f>
        <v>0.3946926999</v>
      </c>
      <c r="W1328" s="82">
        <f>IFERROR(__xludf.DUMMYFUNCTION("""COMPUTED_VALUE"""),1.4253891572732151)</f>
        <v>1.425389157</v>
      </c>
      <c r="X1328" s="82">
        <f>IFERROR(__xludf.DUMMYFUNCTION("""COMPUTED_VALUE"""),2.3219269994632312)</f>
        <v>2.321926999</v>
      </c>
      <c r="Y1328" s="82">
        <f>IFERROR(__xludf.DUMMYFUNCTION("""COMPUTED_VALUE"""),344.2131642512077)</f>
        <v>344.2131643</v>
      </c>
      <c r="Z1328" s="82">
        <f>IFERROR(__xludf.DUMMYFUNCTION("""COMPUTED_VALUE"""),0.739175165503668)</f>
        <v>0.7391751655</v>
      </c>
      <c r="AA1328" s="82">
        <f>IFERROR(__xludf.DUMMYFUNCTION("""COMPUTED_VALUE"""),0.5262233852209697)</f>
        <v>0.5262233852</v>
      </c>
      <c r="AB1328" s="82">
        <f>IFERROR(__xludf.DUMMYFUNCTION("""COMPUTED_VALUE"""),1.3797190910717478)</f>
        <v>1.379719091</v>
      </c>
      <c r="AC1328" s="82">
        <f>IFERROR(__xludf.DUMMYFUNCTION("""COMPUTED_VALUE"""),2.6716876901055646)</f>
        <v>2.67168769</v>
      </c>
      <c r="AD1328" s="82">
        <f>IFERROR(__xludf.DUMMYFUNCTION("""COMPUTED_VALUE"""),0.7582510697049387)</f>
        <v>0.7582510697</v>
      </c>
      <c r="AE1328" s="82">
        <f>IFERROR(__xludf.DUMMYFUNCTION("""COMPUTED_VALUE"""),0.6764296520423599)</f>
        <v>0.676429652</v>
      </c>
      <c r="AF1328" s="82">
        <f>IFERROR(__xludf.DUMMYFUNCTION("""COMPUTED_VALUE"""),1.4252502284463526)</f>
        <v>1.425250228</v>
      </c>
      <c r="AG1328" s="82">
        <f>IFERROR(__xludf.DUMMYFUNCTION("""COMPUTED_VALUE"""),0.3623926082023019)</f>
        <v>0.3623926082</v>
      </c>
      <c r="AH1328" s="82">
        <f>IFERROR(__xludf.DUMMYFUNCTION("""COMPUTED_VALUE"""),1.1228857366489056)</f>
        <v>1.122885737</v>
      </c>
      <c r="AI1328" s="82">
        <f>IFERROR(__xludf.DUMMYFUNCTION("""COMPUTED_VALUE"""),1.2876829616426193)</f>
        <v>1.287682962</v>
      </c>
      <c r="AJ1328" s="82">
        <f>IFERROR(__xludf.DUMMYFUNCTION("""COMPUTED_VALUE"""),1.707509881422925)</f>
        <v>1.707509881</v>
      </c>
      <c r="AK1328" s="82">
        <f>IFERROR(__xludf.DUMMYFUNCTION("""COMPUTED_VALUE"""),1.6890777730556734)</f>
        <v>1.689077773</v>
      </c>
      <c r="AL1328" s="82">
        <f>IFERROR(__xludf.DUMMYFUNCTION("""COMPUTED_VALUE"""),1.344662022218038)</f>
        <v>1.344662022</v>
      </c>
      <c r="AM1328" s="82">
        <f>IFERROR(__xludf.DUMMYFUNCTION("""COMPUTED_VALUE"""),0.8254637924059411)</f>
        <v>0.8254637924</v>
      </c>
      <c r="AN1328" s="82">
        <f>IFERROR(__xludf.DUMMYFUNCTION("""COMPUTED_VALUE"""),0.7549835635816267)</f>
        <v>0.7549835636</v>
      </c>
      <c r="AO1328" s="82">
        <f>IFERROR(__xludf.DUMMYFUNCTION("""COMPUTED_VALUE"""),0.6617582206727459)</f>
        <v>0.6617582207</v>
      </c>
      <c r="AP1328" s="82">
        <f>IFERROR(__xludf.DUMMYFUNCTION("""COMPUTED_VALUE"""),1.3492664851049199)</f>
        <v>1.349266485</v>
      </c>
      <c r="AQ1328" s="82">
        <f>IFERROR(__xludf.DUMMYFUNCTION("""COMPUTED_VALUE"""),0.3695571289351221)</f>
        <v>0.3695571289</v>
      </c>
      <c r="AR1328" s="82">
        <f>IFERROR(__xludf.DUMMYFUNCTION("""COMPUTED_VALUE"""),1.1766953404406326)</f>
        <v>1.17669534</v>
      </c>
      <c r="AS1328" s="82">
        <f>IFERROR(__xludf.DUMMYFUNCTION("""COMPUTED_VALUE"""),8.0)</f>
        <v>8</v>
      </c>
      <c r="AT1328" s="82">
        <f>IFERROR(__xludf.DUMMYFUNCTION("""COMPUTED_VALUE"""),0.34445266793706497)</f>
        <v>0.3444526679</v>
      </c>
      <c r="AU1328" s="82">
        <f>IFERROR(__xludf.DUMMYFUNCTION("""COMPUTED_VALUE"""),1.1544849603112666)</f>
        <v>1.15448496</v>
      </c>
      <c r="AV1328" s="82">
        <f>IFERROR(__xludf.DUMMYFUNCTION("""COMPUTED_VALUE"""),26.489249159381604)</f>
        <v>26.48924916</v>
      </c>
      <c r="AW1328" s="82">
        <f t="shared" si="1"/>
        <v>-5.763738214</v>
      </c>
      <c r="AX1328" s="83">
        <f t="array" ref="AX1328">IFERROR(DGET('SBV Import'!A:G,"SBV",{"RSC ID","Tier";B1328,A1328}))</f>
        <v>29.69179006</v>
      </c>
      <c r="AY1328" s="82">
        <f t="shared" si="2"/>
        <v>-4.800731018</v>
      </c>
      <c r="AZ1328" s="82">
        <v>0.9630071965484666</v>
      </c>
      <c r="BA1328" s="84">
        <v>1200.0</v>
      </c>
      <c r="BB1328" s="84" t="b">
        <f>IFERROR(__xludf.DUMMYFUNCTION("iferror(if(A1328="""",,E1328&gt;=FILTER(Constants!$F$2:$F$10,Constants!$A$2:$A$10=A1328)))"),TRUE)</f>
        <v>1</v>
      </c>
    </row>
    <row r="1329">
      <c r="A1329" s="89" t="str">
        <f>IFERROR(__xludf.DUMMYFUNCTION("""COMPUTED_VALUE"""),"Veteran")</f>
        <v>Veteran</v>
      </c>
      <c r="B1329" s="87" t="str">
        <f>IFERROR(__xludf.DUMMYFUNCTION("""COMPUTED_VALUE"""),"RSC007625")</f>
        <v>RSC007625</v>
      </c>
      <c r="C1329" s="73" t="str">
        <f>IFERROR(__xludf.DUMMYFUNCTION("""COMPUTED_VALUE"""),"assassin_funny.")</f>
        <v>assassin_funny.</v>
      </c>
      <c r="D1329" s="73" t="str">
        <f>IFERROR(__xludf.DUMMYFUNCTION("""COMPUTED_VALUE"""),"Mellow Fellows")</f>
        <v>Mellow Fellows</v>
      </c>
      <c r="E1329" s="82">
        <f>IFERROR(__xludf.DUMMYFUNCTION("""COMPUTED_VALUE"""),11.0)</f>
        <v>11</v>
      </c>
      <c r="F1329" s="82">
        <f>IFERROR(__xludf.DUMMYFUNCTION("""COMPUTED_VALUE"""),3.0)</f>
        <v>3</v>
      </c>
      <c r="G1329" s="86">
        <f>IFERROR(__xludf.DUMMYFUNCTION("""COMPUTED_VALUE"""),8.0)</f>
        <v>8</v>
      </c>
      <c r="H1329" s="86">
        <f>IFERROR(__xludf.DUMMYFUNCTION("""COMPUTED_VALUE"""),0.2727272727272727)</f>
        <v>0.2727272727</v>
      </c>
      <c r="I1329" s="86">
        <f>IFERROR(__xludf.DUMMYFUNCTION("""COMPUTED_VALUE"""),0.19999999999999998)</f>
        <v>0.2</v>
      </c>
      <c r="J1329" s="82">
        <f>IFERROR(__xludf.DUMMYFUNCTION("""COMPUTED_VALUE"""),327.1818181818182)</f>
        <v>327.1818182</v>
      </c>
      <c r="K1329" s="82">
        <f>IFERROR(__xludf.DUMMYFUNCTION("""COMPUTED_VALUE"""),0.45454545454545453)</f>
        <v>0.4545454545</v>
      </c>
      <c r="L1329" s="82">
        <f>IFERROR(__xludf.DUMMYFUNCTION("""COMPUTED_VALUE"""),0.7272727272727273)</f>
        <v>0.7272727273</v>
      </c>
      <c r="M1329" s="82">
        <f>IFERROR(__xludf.DUMMYFUNCTION("""COMPUTED_VALUE"""),1.7272727272727273)</f>
        <v>1.727272727</v>
      </c>
      <c r="N1329" s="82">
        <f>IFERROR(__xludf.DUMMYFUNCTION("""COMPUTED_VALUE"""),2.272727272727273)</f>
        <v>2.272727273</v>
      </c>
      <c r="O1329" s="82">
        <f>IFERROR(__xludf.DUMMYFUNCTION("""COMPUTED_VALUE"""),397.27272727272725)</f>
        <v>397.2727273</v>
      </c>
      <c r="P1329" s="82">
        <f>IFERROR(__xludf.DUMMYFUNCTION("""COMPUTED_VALUE"""),1.0)</f>
        <v>1</v>
      </c>
      <c r="Q1329" s="82">
        <f>IFERROR(__xludf.DUMMYFUNCTION("""COMPUTED_VALUE"""),0.7878787878787878)</f>
        <v>0.7878787879</v>
      </c>
      <c r="R1329" s="82">
        <f>IFERROR(__xludf.DUMMYFUNCTION("""COMPUTED_VALUE"""),1.575757575757576)</f>
        <v>1.575757576</v>
      </c>
      <c r="S1329" s="82">
        <f>IFERROR(__xludf.DUMMYFUNCTION("""COMPUTED_VALUE"""),3.424242424242424)</f>
        <v>3.424242424</v>
      </c>
      <c r="T1329" s="82">
        <f>IFERROR(__xludf.DUMMYFUNCTION("""COMPUTED_VALUE"""),339.2042748189446)</f>
        <v>339.2042748</v>
      </c>
      <c r="U1329" s="82">
        <f>IFERROR(__xludf.DUMMYFUNCTION("""COMPUTED_VALUE"""),0.7334914988580951)</f>
        <v>0.7334914989</v>
      </c>
      <c r="V1329" s="82">
        <f>IFERROR(__xludf.DUMMYFUNCTION("""COMPUTED_VALUE"""),0.5360937136053042)</f>
        <v>0.5360937136</v>
      </c>
      <c r="W1329" s="82">
        <f>IFERROR(__xludf.DUMMYFUNCTION("""COMPUTED_VALUE"""),1.3400230026765143)</f>
        <v>1.340023003</v>
      </c>
      <c r="X1329" s="82">
        <f>IFERROR(__xludf.DUMMYFUNCTION("""COMPUTED_VALUE"""),2.515431521692424)</f>
        <v>2.515431522</v>
      </c>
      <c r="Y1329" s="82">
        <f>IFERROR(__xludf.DUMMYFUNCTION("""COMPUTED_VALUE"""),343.00196146149415)</f>
        <v>343.0019615</v>
      </c>
      <c r="Z1329" s="82">
        <f>IFERROR(__xludf.DUMMYFUNCTION("""COMPUTED_VALUE"""),0.7657863697860514)</f>
        <v>0.7657863698</v>
      </c>
      <c r="AA1329" s="82">
        <f>IFERROR(__xludf.DUMMYFUNCTION("""COMPUTED_VALUE"""),0.55268074357618)</f>
        <v>0.5526807436</v>
      </c>
      <c r="AB1329" s="82">
        <f>IFERROR(__xludf.DUMMYFUNCTION("""COMPUTED_VALUE"""),1.3167967478272644)</f>
        <v>1.316796748</v>
      </c>
      <c r="AC1329" s="82">
        <f>IFERROR(__xludf.DUMMYFUNCTION("""COMPUTED_VALUE"""),2.5094280126140305)</f>
        <v>2.509428013</v>
      </c>
      <c r="AD1329" s="82">
        <f>IFERROR(__xludf.DUMMYFUNCTION("""COMPUTED_VALUE"""),0.953877397049661)</f>
        <v>0.953877397</v>
      </c>
      <c r="AE1329" s="82">
        <f>IFERROR(__xludf.DUMMYFUNCTION("""COMPUTED_VALUE"""),0.5935669169359169)</f>
        <v>0.5935669169</v>
      </c>
      <c r="AF1329" s="82">
        <f>IFERROR(__xludf.DUMMYFUNCTION("""COMPUTED_VALUE"""),1.315900247522342)</f>
        <v>1.315900248</v>
      </c>
      <c r="AG1329" s="82">
        <f>IFERROR(__xludf.DUMMYFUNCTION("""COMPUTED_VALUE"""),1.3117231114997472)</f>
        <v>1.311723111</v>
      </c>
      <c r="AH1329" s="82">
        <f>IFERROR(__xludf.DUMMYFUNCTION("""COMPUTED_VALUE"""),0.9056754213721436)</f>
        <v>0.9056754214</v>
      </c>
      <c r="AI1329" s="82">
        <f>IFERROR(__xludf.DUMMYFUNCTION("""COMPUTED_VALUE"""),1.1711902141704362)</f>
        <v>1.171190214</v>
      </c>
      <c r="AJ1329" s="82">
        <f>IFERROR(__xludf.DUMMYFUNCTION("""COMPUTED_VALUE"""),1.3633423176094166)</f>
        <v>1.363342318</v>
      </c>
      <c r="AK1329" s="82">
        <f>IFERROR(__xludf.DUMMYFUNCTION("""COMPUTED_VALUE"""),1.4696661570235439)</f>
        <v>1.469666157</v>
      </c>
      <c r="AL1329" s="82">
        <f>IFERROR(__xludf.DUMMYFUNCTION("""COMPUTED_VALUE"""),1.1759183033501766)</f>
        <v>1.175918303</v>
      </c>
      <c r="AM1329" s="82">
        <f>IFERROR(__xludf.DUMMYFUNCTION("""COMPUTED_VALUE"""),1.3612942331018167)</f>
        <v>1.361294233</v>
      </c>
      <c r="AN1329" s="82">
        <f>IFERROR(__xludf.DUMMYFUNCTION("""COMPUTED_VALUE"""),0.9464248851725094)</f>
        <v>0.9464248852</v>
      </c>
      <c r="AO1329" s="82">
        <f>IFERROR(__xludf.DUMMYFUNCTION("""COMPUTED_VALUE"""),0.601598382429769)</f>
        <v>0.6015983824</v>
      </c>
      <c r="AP1329" s="82">
        <f>IFERROR(__xludf.DUMMYFUNCTION("""COMPUTED_VALUE"""),1.3083796219199222)</f>
        <v>1.308379622</v>
      </c>
      <c r="AQ1329" s="82">
        <f>IFERROR(__xludf.DUMMYFUNCTION("""COMPUTED_VALUE"""),1.2766518999576946)</f>
        <v>1.2766519</v>
      </c>
      <c r="AR1329" s="82">
        <f>IFERROR(__xludf.DUMMYFUNCTION("""COMPUTED_VALUE"""),0.8914358639701764)</f>
        <v>0.891435864</v>
      </c>
      <c r="AS1329" s="82">
        <f>IFERROR(__xludf.DUMMYFUNCTION("""COMPUTED_VALUE"""),23.0)</f>
        <v>23</v>
      </c>
      <c r="AT1329" s="82">
        <f>IFERROR(__xludf.DUMMYFUNCTION("""COMPUTED_VALUE"""),0.3598684708077519)</f>
        <v>0.3598684708</v>
      </c>
      <c r="AU1329" s="82">
        <f>IFERROR(__xludf.DUMMYFUNCTION("""COMPUTED_VALUE"""),1.1376862204675946)</f>
        <v>1.13768622</v>
      </c>
      <c r="AV1329" s="82">
        <f>IFERROR(__xludf.DUMMYFUNCTION("""COMPUTED_VALUE"""),25.888659037798362)</f>
        <v>25.88865904</v>
      </c>
      <c r="AW1329" s="82">
        <f t="shared" si="1"/>
        <v>-5.973384843</v>
      </c>
      <c r="AX1329" s="83">
        <f t="array" ref="AX1329">IFERROR(DGET('SBV Import'!A:G,"SBV",{"RSC ID","Tier";B1329,A1329}))</f>
        <v>28.0742571</v>
      </c>
      <c r="AY1329" s="82">
        <f t="shared" si="2"/>
        <v>-5.256649362</v>
      </c>
      <c r="AZ1329" s="82">
        <v>0.716735480852293</v>
      </c>
      <c r="BA1329" s="84">
        <v>1200.0</v>
      </c>
      <c r="BB1329" s="84" t="b">
        <f>IFERROR(__xludf.DUMMYFUNCTION("iferror(if(A1329="""",,E1329&gt;=FILTER(Constants!$F$2:$F$10,Constants!$A$2:$A$10=A1329)))"),TRUE)</f>
        <v>1</v>
      </c>
    </row>
    <row r="1330">
      <c r="A1330" s="89" t="str">
        <f>IFERROR(__xludf.DUMMYFUNCTION("""COMPUTED_VALUE"""),"Veteran")</f>
        <v>Veteran</v>
      </c>
      <c r="B1330" s="87" t="str">
        <f>IFERROR(__xludf.DUMMYFUNCTION("""COMPUTED_VALUE"""),"RSC005555")</f>
        <v>RSC005555</v>
      </c>
      <c r="C1330" s="73" t="str">
        <f>IFERROR(__xludf.DUMMYFUNCTION("""COMPUTED_VALUE"""),"iviGhost")</f>
        <v>iviGhost</v>
      </c>
      <c r="D1330" s="73"/>
      <c r="E1330" s="82">
        <f>IFERROR(__xludf.DUMMYFUNCTION("""COMPUTED_VALUE"""),4.0)</f>
        <v>4</v>
      </c>
      <c r="F1330" s="82">
        <f>IFERROR(__xludf.DUMMYFUNCTION("""COMPUTED_VALUE"""),1.0)</f>
        <v>1</v>
      </c>
      <c r="G1330" s="86">
        <f>IFERROR(__xludf.DUMMYFUNCTION("""COMPUTED_VALUE"""),3.0)</f>
        <v>3</v>
      </c>
      <c r="H1330" s="86">
        <f>IFERROR(__xludf.DUMMYFUNCTION("""COMPUTED_VALUE"""),0.25)</f>
        <v>0.25</v>
      </c>
      <c r="I1330" s="86">
        <f>IFERROR(__xludf.DUMMYFUNCTION("""COMPUTED_VALUE"""),0.5)</f>
        <v>0.5</v>
      </c>
      <c r="J1330" s="82">
        <f>IFERROR(__xludf.DUMMYFUNCTION("""COMPUTED_VALUE"""),310.0)</f>
        <v>310</v>
      </c>
      <c r="K1330" s="82">
        <f>IFERROR(__xludf.DUMMYFUNCTION("""COMPUTED_VALUE"""),0.75)</f>
        <v>0.75</v>
      </c>
      <c r="L1330" s="82">
        <f>IFERROR(__xludf.DUMMYFUNCTION("""COMPUTED_VALUE"""),0.25)</f>
        <v>0.25</v>
      </c>
      <c r="M1330" s="82">
        <f>IFERROR(__xludf.DUMMYFUNCTION("""COMPUTED_VALUE"""),1.5)</f>
        <v>1.5</v>
      </c>
      <c r="N1330" s="82">
        <f>IFERROR(__xludf.DUMMYFUNCTION("""COMPUTED_VALUE"""),1.5)</f>
        <v>1.5</v>
      </c>
      <c r="O1330" s="82">
        <f>IFERROR(__xludf.DUMMYFUNCTION("""COMPUTED_VALUE"""),387.0833333333333)</f>
        <v>387.0833333</v>
      </c>
      <c r="P1330" s="82">
        <f>IFERROR(__xludf.DUMMYFUNCTION("""COMPUTED_VALUE"""),0.8333333333333334)</f>
        <v>0.8333333333</v>
      </c>
      <c r="Q1330" s="82">
        <f>IFERROR(__xludf.DUMMYFUNCTION("""COMPUTED_VALUE"""),0.75)</f>
        <v>0.75</v>
      </c>
      <c r="R1330" s="82">
        <f>IFERROR(__xludf.DUMMYFUNCTION("""COMPUTED_VALUE"""),1.5833333333333333)</f>
        <v>1.583333333</v>
      </c>
      <c r="S1330" s="82">
        <f>IFERROR(__xludf.DUMMYFUNCTION("""COMPUTED_VALUE"""),2.9166666666666665)</f>
        <v>2.916666667</v>
      </c>
      <c r="T1330" s="82">
        <f>IFERROR(__xludf.DUMMYFUNCTION("""COMPUTED_VALUE"""),343.2638486312399)</f>
        <v>343.2638486</v>
      </c>
      <c r="U1330" s="82">
        <f>IFERROR(__xludf.DUMMYFUNCTION("""COMPUTED_VALUE"""),0.7524154589371981)</f>
        <v>0.7524154589</v>
      </c>
      <c r="V1330" s="82">
        <f>IFERROR(__xludf.DUMMYFUNCTION("""COMPUTED_VALUE"""),0.6569243156199677)</f>
        <v>0.6569243156</v>
      </c>
      <c r="W1330" s="82">
        <f>IFERROR(__xludf.DUMMYFUNCTION("""COMPUTED_VALUE"""),1.1506441223832529)</f>
        <v>1.150644122</v>
      </c>
      <c r="X1330" s="82">
        <f>IFERROR(__xludf.DUMMYFUNCTION("""COMPUTED_VALUE"""),2.5709339774557165)</f>
        <v>2.570933977</v>
      </c>
      <c r="Y1330" s="82">
        <f>IFERROR(__xludf.DUMMYFUNCTION("""COMPUTED_VALUE"""),329.6066827697262)</f>
        <v>329.6066828</v>
      </c>
      <c r="Z1330" s="82">
        <f>IFERROR(__xludf.DUMMYFUNCTION("""COMPUTED_VALUE"""),0.638593666129898)</f>
        <v>0.6385936661</v>
      </c>
      <c r="AA1330" s="82">
        <f>IFERROR(__xludf.DUMMYFUNCTION("""COMPUTED_VALUE"""),0.45654857756307027)</f>
        <v>0.4565485776</v>
      </c>
      <c r="AB1330" s="82">
        <f>IFERROR(__xludf.DUMMYFUNCTION("""COMPUTED_VALUE"""),1.3554482018250134)</f>
        <v>1.355448202</v>
      </c>
      <c r="AC1330" s="82">
        <f>IFERROR(__xludf.DUMMYFUNCTION("""COMPUTED_VALUE"""),2.453462157809984)</f>
        <v>2.453462158</v>
      </c>
      <c r="AD1330" s="82">
        <f>IFERROR(__xludf.DUMMYFUNCTION("""COMPUTED_VALUE"""),0.940514911272524)</f>
        <v>0.9405149113</v>
      </c>
      <c r="AE1330" s="82">
        <f>IFERROR(__xludf.DUMMYFUNCTION("""COMPUTED_VALUE"""),1.174455745145835)</f>
        <v>1.174455745</v>
      </c>
      <c r="AF1330" s="82">
        <f>IFERROR(__xludf.DUMMYFUNCTION("""COMPUTED_VALUE"""),0.5475868555640468)</f>
        <v>0.5475868556</v>
      </c>
      <c r="AG1330" s="82">
        <f>IFERROR(__xludf.DUMMYFUNCTION("""COMPUTED_VALUE"""),1.106645018216379)</f>
        <v>1.106645018</v>
      </c>
      <c r="AH1330" s="82">
        <f>IFERROR(__xludf.DUMMYFUNCTION("""COMPUTED_VALUE"""),0.6113809398792335)</f>
        <v>0.6113809399</v>
      </c>
      <c r="AI1330" s="82">
        <f>IFERROR(__xludf.DUMMYFUNCTION("""COMPUTED_VALUE"""),1.1276554023292082)</f>
        <v>1.127655402</v>
      </c>
      <c r="AJ1330" s="82">
        <f>IFERROR(__xludf.DUMMYFUNCTION("""COMPUTED_VALUE"""),1.1075441412520064)</f>
        <v>1.107544141</v>
      </c>
      <c r="AK1330" s="82">
        <f>IFERROR(__xludf.DUMMYFUNCTION("""COMPUTED_VALUE"""),1.141684029905626)</f>
        <v>1.14168403</v>
      </c>
      <c r="AL1330" s="82">
        <f>IFERROR(__xludf.DUMMYFUNCTION("""COMPUTED_VALUE"""),1.3760408648799942)</f>
        <v>1.376040865</v>
      </c>
      <c r="AM1330" s="82">
        <f>IFERROR(__xludf.DUMMYFUNCTION("""COMPUTED_VALUE"""),1.1344774670383013)</f>
        <v>1.134477467</v>
      </c>
      <c r="AN1330" s="82">
        <f>IFERROR(__xludf.DUMMYFUNCTION("""COMPUTED_VALUE"""),0.8967237728364149)</f>
        <v>0.8967237728</v>
      </c>
      <c r="AO1330" s="82">
        <f>IFERROR(__xludf.DUMMYFUNCTION("""COMPUTED_VALUE"""),0.992637331009119)</f>
        <v>0.992637331</v>
      </c>
      <c r="AP1330" s="82">
        <f>IFERROR(__xludf.DUMMYFUNCTION("""COMPUTED_VALUE"""),0.44975549503497325)</f>
        <v>0.449755495</v>
      </c>
      <c r="AQ1330" s="82">
        <f>IFERROR(__xludf.DUMMYFUNCTION("""COMPUTED_VALUE"""),1.1086713868053664)</f>
        <v>1.108671387</v>
      </c>
      <c r="AR1330" s="82">
        <f>IFERROR(__xludf.DUMMYFUNCTION("""COMPUTED_VALUE"""),0.5883476702203163)</f>
        <v>0.5883476702</v>
      </c>
      <c r="AS1330" s="82">
        <f>IFERROR(__xludf.DUMMYFUNCTION("""COMPUTED_VALUE"""),7.0)</f>
        <v>7</v>
      </c>
      <c r="AT1330" s="82">
        <f>IFERROR(__xludf.DUMMYFUNCTION("""COMPUTED_VALUE"""),0.3681220636841087)</f>
        <v>0.3681220637</v>
      </c>
      <c r="AU1330" s="82">
        <f>IFERROR(__xludf.DUMMYFUNCTION("""COMPUTED_VALUE"""),1.135672053566381)</f>
        <v>1.135672054</v>
      </c>
      <c r="AV1330" s="82">
        <f>IFERROR(__xludf.DUMMYFUNCTION("""COMPUTED_VALUE"""),25.816648353940753)</f>
        <v>25.81664835</v>
      </c>
      <c r="AW1330" s="82">
        <f t="shared" si="1"/>
        <v>-5.999213037</v>
      </c>
      <c r="AX1330" s="83">
        <f t="array" ref="AX1330">IFERROR(DGET('SBV Import'!A:G,"SBV",{"RSC ID","Tier";B1330,A1330}))</f>
        <v>10.53228122</v>
      </c>
      <c r="AY1330" s="82">
        <f t="shared" si="2"/>
        <v>-17.4820779</v>
      </c>
      <c r="AZ1330" s="82">
        <v>11.482864859157006</v>
      </c>
      <c r="BA1330" s="84">
        <v>1200.0</v>
      </c>
      <c r="BB1330" s="84" t="b">
        <f>IFERROR(__xludf.DUMMYFUNCTION("iferror(if(A1330="""",,E1330&gt;=FILTER(Constants!$F$2:$F$10,Constants!$A$2:$A$10=A1330)))"),TRUE)</f>
        <v>1</v>
      </c>
    </row>
    <row r="1331">
      <c r="A1331" s="89" t="str">
        <f>IFERROR(__xludf.DUMMYFUNCTION("""COMPUTED_VALUE"""),"Veteran")</f>
        <v>Veteran</v>
      </c>
      <c r="B1331" s="87" t="str">
        <f>IFERROR(__xludf.DUMMYFUNCTION("""COMPUTED_VALUE"""),"RSC006319")</f>
        <v>RSC006319</v>
      </c>
      <c r="C1331" s="73" t="str">
        <f>IFERROR(__xludf.DUMMYFUNCTION("""COMPUTED_VALUE"""),"red crayon chewer 14")</f>
        <v>red crayon chewer 14</v>
      </c>
      <c r="D1331" s="73"/>
      <c r="E1331" s="82">
        <f>IFERROR(__xludf.DUMMYFUNCTION("""COMPUTED_VALUE"""),2.0)</f>
        <v>2</v>
      </c>
      <c r="F1331" s="82">
        <f>IFERROR(__xludf.DUMMYFUNCTION("""COMPUTED_VALUE"""),1.0)</f>
        <v>1</v>
      </c>
      <c r="G1331" s="86">
        <f>IFERROR(__xludf.DUMMYFUNCTION("""COMPUTED_VALUE"""),1.0)</f>
        <v>1</v>
      </c>
      <c r="H1331" s="86">
        <f>IFERROR(__xludf.DUMMYFUNCTION("""COMPUTED_VALUE"""),0.5)</f>
        <v>0.5</v>
      </c>
      <c r="I1331" s="86">
        <f>IFERROR(__xludf.DUMMYFUNCTION("""COMPUTED_VALUE"""),0.5)</f>
        <v>0.5</v>
      </c>
      <c r="J1331" s="82">
        <f>IFERROR(__xludf.DUMMYFUNCTION("""COMPUTED_VALUE"""),272.0)</f>
        <v>272</v>
      </c>
      <c r="K1331" s="82">
        <f>IFERROR(__xludf.DUMMYFUNCTION("""COMPUTED_VALUE"""),1.0)</f>
        <v>1</v>
      </c>
      <c r="L1331" s="82">
        <f>IFERROR(__xludf.DUMMYFUNCTION("""COMPUTED_VALUE"""),0.0)</f>
        <v>0</v>
      </c>
      <c r="M1331" s="82">
        <f>IFERROR(__xludf.DUMMYFUNCTION("""COMPUTED_VALUE"""),0.5)</f>
        <v>0.5</v>
      </c>
      <c r="N1331" s="82">
        <f>IFERROR(__xludf.DUMMYFUNCTION("""COMPUTED_VALUE"""),2.0)</f>
        <v>2</v>
      </c>
      <c r="O1331" s="82">
        <f>IFERROR(__xludf.DUMMYFUNCTION("""COMPUTED_VALUE"""),408.3333333333333)</f>
        <v>408.3333333</v>
      </c>
      <c r="P1331" s="82">
        <f>IFERROR(__xludf.DUMMYFUNCTION("""COMPUTED_VALUE"""),0.8333333333333334)</f>
        <v>0.8333333333</v>
      </c>
      <c r="Q1331" s="82">
        <f>IFERROR(__xludf.DUMMYFUNCTION("""COMPUTED_VALUE"""),0.6666666666666666)</f>
        <v>0.6666666667</v>
      </c>
      <c r="R1331" s="82">
        <f>IFERROR(__xludf.DUMMYFUNCTION("""COMPUTED_VALUE"""),1.5)</f>
        <v>1.5</v>
      </c>
      <c r="S1331" s="82">
        <f>IFERROR(__xludf.DUMMYFUNCTION("""COMPUTED_VALUE"""),2.6666666666666665)</f>
        <v>2.666666667</v>
      </c>
      <c r="T1331" s="82">
        <f>IFERROR(__xludf.DUMMYFUNCTION("""COMPUTED_VALUE"""),388.66452702702696)</f>
        <v>388.664527</v>
      </c>
      <c r="U1331" s="82">
        <f>IFERROR(__xludf.DUMMYFUNCTION("""COMPUTED_VALUE"""),0.7924924924924924)</f>
        <v>0.7924924925</v>
      </c>
      <c r="V1331" s="82">
        <f>IFERROR(__xludf.DUMMYFUNCTION("""COMPUTED_VALUE"""),0.578903903903904)</f>
        <v>0.5789039039</v>
      </c>
      <c r="W1331" s="82">
        <f>IFERROR(__xludf.DUMMYFUNCTION("""COMPUTED_VALUE"""),1.800900900900901)</f>
        <v>1.800900901</v>
      </c>
      <c r="X1331" s="82">
        <f>IFERROR(__xludf.DUMMYFUNCTION("""COMPUTED_VALUE"""),2.468205705705706)</f>
        <v>2.468205706</v>
      </c>
      <c r="Y1331" s="82">
        <f>IFERROR(__xludf.DUMMYFUNCTION("""COMPUTED_VALUE"""),341.9157532532533)</f>
        <v>341.9157533</v>
      </c>
      <c r="Z1331" s="82">
        <f>IFERROR(__xludf.DUMMYFUNCTION("""COMPUTED_VALUE"""),0.7186936936936936)</f>
        <v>0.7186936937</v>
      </c>
      <c r="AA1331" s="82">
        <f>IFERROR(__xludf.DUMMYFUNCTION("""COMPUTED_VALUE"""),0.4896771771771771)</f>
        <v>0.4896771772</v>
      </c>
      <c r="AB1331" s="82">
        <f>IFERROR(__xludf.DUMMYFUNCTION("""COMPUTED_VALUE"""),1.2882507507507508)</f>
        <v>1.288250751</v>
      </c>
      <c r="AC1331" s="82">
        <f>IFERROR(__xludf.DUMMYFUNCTION("""COMPUTED_VALUE"""),2.9252752752752755)</f>
        <v>2.925275275</v>
      </c>
      <c r="AD1331" s="82">
        <f>IFERROR(__xludf.DUMMYFUNCTION("""COMPUTED_VALUE"""),0.7955176016664331)</f>
        <v>0.7955176017</v>
      </c>
      <c r="AE1331" s="82">
        <f>IFERROR(__xludf.DUMMYFUNCTION("""COMPUTED_VALUE"""),1.3914133500470074)</f>
        <v>1.39141335</v>
      </c>
      <c r="AF1331" s="82">
        <f>IFERROR(__xludf.DUMMYFUNCTION("""COMPUTED_VALUE"""),0.0)</f>
        <v>0</v>
      </c>
      <c r="AG1331" s="82">
        <f>IFERROR(__xludf.DUMMYFUNCTION("""COMPUTED_VALUE"""),0.3881231970628515)</f>
        <v>0.3881231971</v>
      </c>
      <c r="AH1331" s="82">
        <f>IFERROR(__xludf.DUMMYFUNCTION("""COMPUTED_VALUE"""),0.6836963402740944)</f>
        <v>0.6836963403</v>
      </c>
      <c r="AI1331" s="82">
        <f>IFERROR(__xludf.DUMMYFUNCTION("""COMPUTED_VALUE"""),1.05060612672002)</f>
        <v>1.050606127</v>
      </c>
      <c r="AJ1331" s="82">
        <f>IFERROR(__xludf.DUMMYFUNCTION("""COMPUTED_VALUE"""),1.0515346722243275)</f>
        <v>1.051534672</v>
      </c>
      <c r="AK1331" s="82">
        <f>IFERROR(__xludf.DUMMYFUNCTION("""COMPUTED_VALUE"""),1.1516016080923352)</f>
        <v>1.151601608</v>
      </c>
      <c r="AL1331" s="82">
        <f>IFERROR(__xludf.DUMMYFUNCTION("""COMPUTED_VALUE"""),0.8329164582291145)</f>
        <v>0.8329164582</v>
      </c>
      <c r="AM1331" s="82">
        <f>IFERROR(__xludf.DUMMYFUNCTION("""COMPUTED_VALUE"""),1.0804069776283969)</f>
        <v>1.080406978</v>
      </c>
      <c r="AN1331" s="82">
        <f>IFERROR(__xludf.DUMMYFUNCTION("""COMPUTED_VALUE"""),0.7868027942306608)</f>
        <v>0.7868027942</v>
      </c>
      <c r="AO1331" s="82">
        <f>IFERROR(__xludf.DUMMYFUNCTION("""COMPUTED_VALUE"""),1.3235164413454918)</f>
        <v>1.323516441</v>
      </c>
      <c r="AP1331" s="82">
        <f>IFERROR(__xludf.DUMMYFUNCTION("""COMPUTED_VALUE"""),0.0)</f>
        <v>0</v>
      </c>
      <c r="AQ1331" s="82">
        <f>IFERROR(__xludf.DUMMYFUNCTION("""COMPUTED_VALUE"""),0.3695571289351221)</f>
        <v>0.3695571289</v>
      </c>
      <c r="AR1331" s="82">
        <f>IFERROR(__xludf.DUMMYFUNCTION("""COMPUTED_VALUE"""),0.7844635602937551)</f>
        <v>0.7844635603</v>
      </c>
      <c r="AS1331" s="82">
        <f>IFERROR(__xludf.DUMMYFUNCTION("""COMPUTED_VALUE"""),5.0)</f>
        <v>5</v>
      </c>
      <c r="AT1331" s="82">
        <f>IFERROR(__xludf.DUMMYFUNCTION("""COMPUTED_VALUE"""),0.5)</f>
        <v>0.5</v>
      </c>
      <c r="AU1331" s="82">
        <f>IFERROR(__xludf.DUMMYFUNCTION("""COMPUTED_VALUE"""),1.1167360678520635)</f>
        <v>1.116736068</v>
      </c>
      <c r="AV1331" s="82">
        <f>IFERROR(__xludf.DUMMYFUNCTION("""COMPUTED_VALUE"""),25.139647217647514)</f>
        <v>25.13964722</v>
      </c>
      <c r="AW1331" s="82">
        <f t="shared" si="1"/>
        <v>-6.249583994</v>
      </c>
      <c r="AX1331" s="83">
        <f t="array" ref="AX1331">IFERROR(DGET('SBV Import'!A:G,"SBV",{"RSC ID","Tier";B1331,A1331}))</f>
        <v>-4.00485278</v>
      </c>
      <c r="AY1331" s="82">
        <f t="shared" si="2"/>
        <v>-65.02448236</v>
      </c>
      <c r="AZ1331" s="82">
        <v>58.774898367129325</v>
      </c>
      <c r="BA1331" s="84">
        <v>1200.0</v>
      </c>
      <c r="BB1331" s="84" t="b">
        <f>IFERROR(__xludf.DUMMYFUNCTION("iferror(if(A1331="""",,E1331&gt;=FILTER(Constants!$F$2:$F$10,Constants!$A$2:$A$10=A1331)))"),TRUE)</f>
        <v>1</v>
      </c>
    </row>
    <row r="1332">
      <c r="A1332" s="89" t="str">
        <f>IFERROR(__xludf.DUMMYFUNCTION("""COMPUTED_VALUE"""),"Veteran")</f>
        <v>Veteran</v>
      </c>
      <c r="B1332" s="87" t="str">
        <f>IFERROR(__xludf.DUMMYFUNCTION("""COMPUTED_VALUE"""),"RSC001487")</f>
        <v>RSC001487</v>
      </c>
      <c r="C1332" s="73" t="str">
        <f>IFERROR(__xludf.DUMMYFUNCTION("""COMPUTED_VALUE"""),"M1ke1sMy1ke")</f>
        <v>M1ke1sMy1ke</v>
      </c>
      <c r="D1332" s="73" t="str">
        <f>IFERROR(__xludf.DUMMYFUNCTION("""COMPUTED_VALUE"""),"Dump Trucks")</f>
        <v>Dump Trucks</v>
      </c>
      <c r="E1332" s="82">
        <f>IFERROR(__xludf.DUMMYFUNCTION("""COMPUTED_VALUE"""),43.0)</f>
        <v>43</v>
      </c>
      <c r="F1332" s="82">
        <f>IFERROR(__xludf.DUMMYFUNCTION("""COMPUTED_VALUE"""),15.0)</f>
        <v>15</v>
      </c>
      <c r="G1332" s="86">
        <f>IFERROR(__xludf.DUMMYFUNCTION("""COMPUTED_VALUE"""),28.0)</f>
        <v>28</v>
      </c>
      <c r="H1332" s="86">
        <f>IFERROR(__xludf.DUMMYFUNCTION("""COMPUTED_VALUE"""),0.3488372093023256)</f>
        <v>0.3488372093</v>
      </c>
      <c r="I1332" s="86">
        <f>IFERROR(__xludf.DUMMYFUNCTION("""COMPUTED_VALUE"""),0.23255813953488372)</f>
        <v>0.2325581395</v>
      </c>
      <c r="J1332" s="82">
        <f>IFERROR(__xludf.DUMMYFUNCTION("""COMPUTED_VALUE"""),297.04651162790697)</f>
        <v>297.0465116</v>
      </c>
      <c r="K1332" s="82">
        <f>IFERROR(__xludf.DUMMYFUNCTION("""COMPUTED_VALUE"""),0.46511627906976744)</f>
        <v>0.4651162791</v>
      </c>
      <c r="L1332" s="82">
        <f>IFERROR(__xludf.DUMMYFUNCTION("""COMPUTED_VALUE"""),0.4883720930232558)</f>
        <v>0.488372093</v>
      </c>
      <c r="M1332" s="82">
        <f>IFERROR(__xludf.DUMMYFUNCTION("""COMPUTED_VALUE"""),1.3488372093023255)</f>
        <v>1.348837209</v>
      </c>
      <c r="N1332" s="82">
        <f>IFERROR(__xludf.DUMMYFUNCTION("""COMPUTED_VALUE"""),2.0)</f>
        <v>2</v>
      </c>
      <c r="O1332" s="82">
        <f>IFERROR(__xludf.DUMMYFUNCTION("""COMPUTED_VALUE"""),354.7674418604651)</f>
        <v>354.7674419</v>
      </c>
      <c r="P1332" s="82">
        <f>IFERROR(__xludf.DUMMYFUNCTION("""COMPUTED_VALUE"""),0.8294573643410852)</f>
        <v>0.8294573643</v>
      </c>
      <c r="Q1332" s="82">
        <f>IFERROR(__xludf.DUMMYFUNCTION("""COMPUTED_VALUE"""),0.6201550387596899)</f>
        <v>0.6201550388</v>
      </c>
      <c r="R1332" s="82">
        <f>IFERROR(__xludf.DUMMYFUNCTION("""COMPUTED_VALUE"""),1.178294573643411)</f>
        <v>1.178294574</v>
      </c>
      <c r="S1332" s="82">
        <f>IFERROR(__xludf.DUMMYFUNCTION("""COMPUTED_VALUE"""),2.8527131782945743)</f>
        <v>2.852713178</v>
      </c>
      <c r="T1332" s="82">
        <f>IFERROR(__xludf.DUMMYFUNCTION("""COMPUTED_VALUE"""),354.62153907718505)</f>
        <v>354.6215391</v>
      </c>
      <c r="U1332" s="82">
        <f>IFERROR(__xludf.DUMMYFUNCTION("""COMPUTED_VALUE"""),0.7739065290012231)</f>
        <v>0.773906529</v>
      </c>
      <c r="V1332" s="82">
        <f>IFERROR(__xludf.DUMMYFUNCTION("""COMPUTED_VALUE"""),0.5739381068272643)</f>
        <v>0.5739381068</v>
      </c>
      <c r="W1332" s="82">
        <f>IFERROR(__xludf.DUMMYFUNCTION("""COMPUTED_VALUE"""),1.3620073317837844)</f>
        <v>1.362007332</v>
      </c>
      <c r="X1332" s="82">
        <f>IFERROR(__xludf.DUMMYFUNCTION("""COMPUTED_VALUE"""),2.664447521492826)</f>
        <v>2.664447521</v>
      </c>
      <c r="Y1332" s="82">
        <f>IFERROR(__xludf.DUMMYFUNCTION("""COMPUTED_VALUE"""),349.0851209077255)</f>
        <v>349.0851209</v>
      </c>
      <c r="Z1332" s="82">
        <f>IFERROR(__xludf.DUMMYFUNCTION("""COMPUTED_VALUE"""),0.7538052190498651)</f>
        <v>0.753805219</v>
      </c>
      <c r="AA1332" s="82">
        <f>IFERROR(__xludf.DUMMYFUNCTION("""COMPUTED_VALUE"""),0.5487880587997134)</f>
        <v>0.5487880588</v>
      </c>
      <c r="AB1332" s="82">
        <f>IFERROR(__xludf.DUMMYFUNCTION("""COMPUTED_VALUE"""),1.3664334033725993)</f>
        <v>1.366433403</v>
      </c>
      <c r="AC1332" s="82">
        <f>IFERROR(__xludf.DUMMYFUNCTION("""COMPUTED_VALUE"""),2.5461390629120912)</f>
        <v>2.546139063</v>
      </c>
      <c r="AD1332" s="82">
        <f>IFERROR(__xludf.DUMMYFUNCTION("""COMPUTED_VALUE"""),0.8509285954540181)</f>
        <v>0.8509285955</v>
      </c>
      <c r="AE1332" s="82">
        <f>IFERROR(__xludf.DUMMYFUNCTION("""COMPUTED_VALUE"""),0.6170244876468538)</f>
        <v>0.6170244876</v>
      </c>
      <c r="AF1332" s="82">
        <f>IFERROR(__xludf.DUMMYFUNCTION("""COMPUTED_VALUE"""),0.8899102033878126)</f>
        <v>0.8899102034</v>
      </c>
      <c r="AG1332" s="82">
        <f>IFERROR(__xludf.DUMMYFUNCTION("""COMPUTED_VALUE"""),0.9871225381150349)</f>
        <v>0.9871225381</v>
      </c>
      <c r="AH1332" s="82">
        <f>IFERROR(__xludf.DUMMYFUNCTION("""COMPUTED_VALUE"""),0.7855030501407663)</f>
        <v>0.7855030501</v>
      </c>
      <c r="AI1332" s="82">
        <f>IFERROR(__xludf.DUMMYFUNCTION("""COMPUTED_VALUE"""),1.0004114323784723)</f>
        <v>1.000411432</v>
      </c>
      <c r="AJ1332" s="82">
        <f>IFERROR(__xludf.DUMMYFUNCTION("""COMPUTED_VALUE"""),1.0717797734715508)</f>
        <v>1.071779773</v>
      </c>
      <c r="AK1332" s="82">
        <f>IFERROR(__xludf.DUMMYFUNCTION("""COMPUTED_VALUE"""),1.0805259859602514)</f>
        <v>1.080525986</v>
      </c>
      <c r="AL1332" s="82">
        <f>IFERROR(__xludf.DUMMYFUNCTION("""COMPUTED_VALUE"""),0.8651161753294163)</f>
        <v>0.8651161753</v>
      </c>
      <c r="AM1332" s="82">
        <f>IFERROR(__xludf.DUMMYFUNCTION("""COMPUTED_VALUE"""),1.0706584217865427)</f>
        <v>1.070658422</v>
      </c>
      <c r="AN1332" s="82">
        <f>IFERROR(__xludf.DUMMYFUNCTION("""COMPUTED_VALUE"""),0.8592537697253958)</f>
        <v>0.8592537697</v>
      </c>
      <c r="AO1332" s="82">
        <f>IFERROR(__xludf.DUMMYFUNCTION("""COMPUTED_VALUE"""),0.6155890424862753)</f>
        <v>0.6155890425</v>
      </c>
      <c r="AP1332" s="82">
        <f>IFERROR(__xludf.DUMMYFUNCTION("""COMPUTED_VALUE"""),0.8785921298357617)</f>
        <v>0.8785921298</v>
      </c>
      <c r="AQ1332" s="82">
        <f>IFERROR(__xludf.DUMMYFUNCTION("""COMPUTED_VALUE"""),0.9969448129412596)</f>
        <v>0.9969448129</v>
      </c>
      <c r="AR1332" s="82">
        <f>IFERROR(__xludf.DUMMYFUNCTION("""COMPUTED_VALUE"""),0.7844635602937551)</f>
        <v>0.7844635603</v>
      </c>
      <c r="AS1332" s="82">
        <f>IFERROR(__xludf.DUMMYFUNCTION("""COMPUTED_VALUE"""),81.0)</f>
        <v>81</v>
      </c>
      <c r="AT1332" s="82">
        <f>IFERROR(__xludf.DUMMYFUNCTION("""COMPUTED_VALUE"""),0.39529132975009723)</f>
        <v>0.3952913298</v>
      </c>
      <c r="AU1332" s="82">
        <f>IFERROR(__xludf.DUMMYFUNCTION("""COMPUTED_VALUE"""),1.0923670713830718)</f>
        <v>1.092367071</v>
      </c>
      <c r="AV1332" s="82">
        <f>IFERROR(__xludf.DUMMYFUNCTION("""COMPUTED_VALUE"""),24.26840457156971)</f>
        <v>24.26840457</v>
      </c>
      <c r="AW1332" s="82">
        <f t="shared" si="1"/>
        <v>-6.592919997</v>
      </c>
      <c r="AX1332" s="83">
        <f t="array" ref="AX1332">IFERROR(DGET('SBV Import'!A:G,"SBV",{"RSC ID","Tier";B1332,A1332}))</f>
        <v>30.15867415</v>
      </c>
      <c r="AY1332" s="82">
        <f t="shared" si="2"/>
        <v>-4.679485114</v>
      </c>
      <c r="AZ1332" s="82">
        <v>1.913434883725115</v>
      </c>
      <c r="BA1332" s="84">
        <v>1200.0</v>
      </c>
      <c r="BB1332" s="84" t="b">
        <f>IFERROR(__xludf.DUMMYFUNCTION("iferror(if(A1332="""",,E1332&gt;=FILTER(Constants!$F$2:$F$10,Constants!$A$2:$A$10=A1332)))"),TRUE)</f>
        <v>1</v>
      </c>
    </row>
    <row r="1333">
      <c r="A1333" s="89" t="str">
        <f>IFERROR(__xludf.DUMMYFUNCTION("""COMPUTED_VALUE"""),"Veteran")</f>
        <v>Veteran</v>
      </c>
      <c r="B1333" s="87" t="str">
        <f>IFERROR(__xludf.DUMMYFUNCTION("""COMPUTED_VALUE"""),"RSC007991")</f>
        <v>RSC007991</v>
      </c>
      <c r="C1333" s="73" t="str">
        <f>IFERROR(__xludf.DUMMYFUNCTION("""COMPUTED_VALUE"""),"TTV 50D Drew")</f>
        <v>TTV 50D Drew</v>
      </c>
      <c r="D1333" s="73"/>
      <c r="E1333" s="82">
        <f>IFERROR(__xludf.DUMMYFUNCTION("""COMPUTED_VALUE"""),10.0)</f>
        <v>10</v>
      </c>
      <c r="F1333" s="82">
        <f>IFERROR(__xludf.DUMMYFUNCTION("""COMPUTED_VALUE"""),2.0)</f>
        <v>2</v>
      </c>
      <c r="G1333" s="86">
        <f>IFERROR(__xludf.DUMMYFUNCTION("""COMPUTED_VALUE"""),8.0)</f>
        <v>8</v>
      </c>
      <c r="H1333" s="86">
        <f>IFERROR(__xludf.DUMMYFUNCTION("""COMPUTED_VALUE"""),0.2)</f>
        <v>0.2</v>
      </c>
      <c r="I1333" s="86">
        <f>IFERROR(__xludf.DUMMYFUNCTION("""COMPUTED_VALUE"""),0.2727272727272727)</f>
        <v>0.2727272727</v>
      </c>
      <c r="J1333" s="82">
        <f>IFERROR(__xludf.DUMMYFUNCTION("""COMPUTED_VALUE"""),297.3)</f>
        <v>297.3</v>
      </c>
      <c r="K1333" s="82">
        <f>IFERROR(__xludf.DUMMYFUNCTION("""COMPUTED_VALUE"""),0.6)</f>
        <v>0.6</v>
      </c>
      <c r="L1333" s="82">
        <f>IFERROR(__xludf.DUMMYFUNCTION("""COMPUTED_VALUE"""),0.3)</f>
        <v>0.3</v>
      </c>
      <c r="M1333" s="82">
        <f>IFERROR(__xludf.DUMMYFUNCTION("""COMPUTED_VALUE"""),1.4)</f>
        <v>1.4</v>
      </c>
      <c r="N1333" s="82">
        <f>IFERROR(__xludf.DUMMYFUNCTION("""COMPUTED_VALUE"""),2.2)</f>
        <v>2.2</v>
      </c>
      <c r="O1333" s="82">
        <f>IFERROR(__xludf.DUMMYFUNCTION("""COMPUTED_VALUE"""),373.6)</f>
        <v>373.6</v>
      </c>
      <c r="P1333" s="82">
        <f>IFERROR(__xludf.DUMMYFUNCTION("""COMPUTED_VALUE"""),0.9666666666666668)</f>
        <v>0.9666666667</v>
      </c>
      <c r="Q1333" s="82">
        <f>IFERROR(__xludf.DUMMYFUNCTION("""COMPUTED_VALUE"""),0.6333333333333333)</f>
        <v>0.6333333333</v>
      </c>
      <c r="R1333" s="82">
        <f>IFERROR(__xludf.DUMMYFUNCTION("""COMPUTED_VALUE"""),1.3666666666666667)</f>
        <v>1.366666667</v>
      </c>
      <c r="S1333" s="82">
        <f>IFERROR(__xludf.DUMMYFUNCTION("""COMPUTED_VALUE"""),3.1999999999999997)</f>
        <v>3.2</v>
      </c>
      <c r="T1333" s="82">
        <f>IFERROR(__xludf.DUMMYFUNCTION("""COMPUTED_VALUE"""),369.6992395146515)</f>
        <v>369.6992395</v>
      </c>
      <c r="U1333" s="82">
        <f>IFERROR(__xludf.DUMMYFUNCTION("""COMPUTED_VALUE"""),0.8756921354962305)</f>
        <v>0.8756921355</v>
      </c>
      <c r="V1333" s="82">
        <f>IFERROR(__xludf.DUMMYFUNCTION("""COMPUTED_VALUE"""),0.5582000459844241)</f>
        <v>0.558200046</v>
      </c>
      <c r="W1333" s="82">
        <f>IFERROR(__xludf.DUMMYFUNCTION("""COMPUTED_VALUE"""),1.3377131558008706)</f>
        <v>1.337713156</v>
      </c>
      <c r="X1333" s="82">
        <f>IFERROR(__xludf.DUMMYFUNCTION("""COMPUTED_VALUE"""),2.862785760610584)</f>
        <v>2.862785761</v>
      </c>
      <c r="Y1333" s="82">
        <f>IFERROR(__xludf.DUMMYFUNCTION("""COMPUTED_VALUE"""),353.41809935363233)</f>
        <v>353.4180994</v>
      </c>
      <c r="Z1333" s="82">
        <f>IFERROR(__xludf.DUMMYFUNCTION("""COMPUTED_VALUE"""),0.7557375525116511)</f>
        <v>0.7557375525</v>
      </c>
      <c r="AA1333" s="82">
        <f>IFERROR(__xludf.DUMMYFUNCTION("""COMPUTED_VALUE"""),0.5535972274302237)</f>
        <v>0.5535972274</v>
      </c>
      <c r="AB1333" s="82">
        <f>IFERROR(__xludf.DUMMYFUNCTION("""COMPUTED_VALUE"""),1.400814365872927)</f>
        <v>1.400814366</v>
      </c>
      <c r="AC1333" s="82">
        <f>IFERROR(__xludf.DUMMYFUNCTION("""COMPUTED_VALUE"""),2.536672648370492)</f>
        <v>2.536672648</v>
      </c>
      <c r="AD1333" s="82">
        <f>IFERROR(__xludf.DUMMYFUNCTION("""COMPUTED_VALUE"""),0.8412132840500616)</f>
        <v>0.8412132841</v>
      </c>
      <c r="AE1333" s="82">
        <f>IFERROR(__xludf.DUMMYFUNCTION("""COMPUTED_VALUE"""),0.7939264073962368)</f>
        <v>0.7939264074</v>
      </c>
      <c r="AF1333" s="82">
        <f>IFERROR(__xludf.DUMMYFUNCTION("""COMPUTED_VALUE"""),0.5419102284752907)</f>
        <v>0.5419102285</v>
      </c>
      <c r="AG1333" s="82">
        <f>IFERROR(__xludf.DUMMYFUNCTION("""COMPUTED_VALUE"""),0.9994186482572088)</f>
        <v>0.9994186483</v>
      </c>
      <c r="AH1333" s="82">
        <f>IFERROR(__xludf.DUMMYFUNCTION("""COMPUTED_VALUE"""),0.8672778497506316)</f>
        <v>0.8672778498</v>
      </c>
      <c r="AI1333" s="82">
        <f>IFERROR(__xludf.DUMMYFUNCTION("""COMPUTED_VALUE"""),1.0105511725976757)</f>
        <v>1.010551173</v>
      </c>
      <c r="AJ1333" s="82">
        <f>IFERROR(__xludf.DUMMYFUNCTION("""COMPUTED_VALUE"""),1.103888715545999)</f>
        <v>1.103888716</v>
      </c>
      <c r="AK1333" s="82">
        <f>IFERROR(__xludf.DUMMYFUNCTION("""COMPUTED_VALUE"""),1.1345992138291685)</f>
        <v>1.134599214</v>
      </c>
      <c r="AL1333" s="82">
        <f>IFERROR(__xludf.DUMMYFUNCTION("""COMPUTED_VALUE"""),1.0216440353750293)</f>
        <v>1.021644035</v>
      </c>
      <c r="AM1333" s="82">
        <f>IFERROR(__xludf.DUMMYFUNCTION("""COMPUTED_VALUE"""),1.1177923420009934)</f>
        <v>1.117792342</v>
      </c>
      <c r="AN1333" s="82">
        <f>IFERROR(__xludf.DUMMYFUNCTION("""COMPUTED_VALUE"""),0.8599870247234392)</f>
        <v>0.8599870247</v>
      </c>
      <c r="AO1333" s="82">
        <f>IFERROR(__xludf.DUMMYFUNCTION("""COMPUTED_VALUE"""),0.7941098648072952)</f>
        <v>0.7941098648</v>
      </c>
      <c r="AP1333" s="82">
        <f>IFERROR(__xludf.DUMMYFUNCTION("""COMPUTED_VALUE"""),0.5397065940419679)</f>
        <v>0.539706594</v>
      </c>
      <c r="AQ1333" s="82">
        <f>IFERROR(__xludf.DUMMYFUNCTION("""COMPUTED_VALUE"""),1.0347599610183418)</f>
        <v>1.034759961</v>
      </c>
      <c r="AR1333" s="82">
        <f>IFERROR(__xludf.DUMMYFUNCTION("""COMPUTED_VALUE"""),0.8629099163231306)</f>
        <v>0.8629099163</v>
      </c>
      <c r="AS1333" s="82">
        <f>IFERROR(__xludf.DUMMYFUNCTION("""COMPUTED_VALUE"""),14.0)</f>
        <v>14</v>
      </c>
      <c r="AT1333" s="82">
        <f>IFERROR(__xludf.DUMMYFUNCTION("""COMPUTED_VALUE"""),0.24846322231185392)</f>
        <v>0.2484632223</v>
      </c>
      <c r="AU1333" s="82">
        <f>IFERROR(__xludf.DUMMYFUNCTION("""COMPUTED_VALUE"""),1.0430559137140412)</f>
        <v>1.043055914</v>
      </c>
      <c r="AV1333" s="82">
        <f>IFERROR(__xludf.DUMMYFUNCTION("""COMPUTED_VALUE"""),22.505427440221993)</f>
        <v>22.50542744</v>
      </c>
      <c r="AW1333" s="82">
        <f t="shared" si="1"/>
        <v>-7.368471217</v>
      </c>
      <c r="AX1333" s="83">
        <f t="array" ref="AX1333">IFERROR(DGET('SBV Import'!A:G,"SBV",{"RSC ID","Tier";B1333,A1333}))</f>
        <v>20.20498134</v>
      </c>
      <c r="AY1333" s="82">
        <f t="shared" si="2"/>
        <v>-8.57120634</v>
      </c>
      <c r="AZ1333" s="82">
        <v>1.2027351234339037</v>
      </c>
      <c r="BA1333" s="84">
        <v>1200.0</v>
      </c>
      <c r="BB1333" s="84" t="b">
        <f>IFERROR(__xludf.DUMMYFUNCTION("iferror(if(A1333="""",,E1333&gt;=FILTER(Constants!$F$2:$F$10,Constants!$A$2:$A$10=A1333)))"),TRUE)</f>
        <v>1</v>
      </c>
    </row>
    <row r="1334">
      <c r="A1334" s="89" t="str">
        <f>IFERROR(__xludf.DUMMYFUNCTION("""COMPUTED_VALUE"""),"Veteran")</f>
        <v>Veteran</v>
      </c>
      <c r="B1334" s="87" t="str">
        <f>IFERROR(__xludf.DUMMYFUNCTION("""COMPUTED_VALUE"""),"RSC007510")</f>
        <v>RSC007510</v>
      </c>
      <c r="C1334" s="73" t="str">
        <f>IFERROR(__xludf.DUMMYFUNCTION("""COMPUTED_VALUE"""),"Faolaen")</f>
        <v>Faolaen</v>
      </c>
      <c r="D1334" s="73" t="str">
        <f>IFERROR(__xludf.DUMMYFUNCTION("""COMPUTED_VALUE"""),"Dread")</f>
        <v>Dread</v>
      </c>
      <c r="E1334" s="82">
        <f>IFERROR(__xludf.DUMMYFUNCTION("""COMPUTED_VALUE"""),28.0)</f>
        <v>28</v>
      </c>
      <c r="F1334" s="82">
        <f>IFERROR(__xludf.DUMMYFUNCTION("""COMPUTED_VALUE"""),9.0)</f>
        <v>9</v>
      </c>
      <c r="G1334" s="86">
        <f>IFERROR(__xludf.DUMMYFUNCTION("""COMPUTED_VALUE"""),19.0)</f>
        <v>19</v>
      </c>
      <c r="H1334" s="86">
        <f>IFERROR(__xludf.DUMMYFUNCTION("""COMPUTED_VALUE"""),0.32142857142857145)</f>
        <v>0.3214285714</v>
      </c>
      <c r="I1334" s="86">
        <f>IFERROR(__xludf.DUMMYFUNCTION("""COMPUTED_VALUE"""),0.2456140350877193)</f>
        <v>0.2456140351</v>
      </c>
      <c r="J1334" s="82">
        <f>IFERROR(__xludf.DUMMYFUNCTION("""COMPUTED_VALUE"""),309.4642857142857)</f>
        <v>309.4642857</v>
      </c>
      <c r="K1334" s="82">
        <f>IFERROR(__xludf.DUMMYFUNCTION("""COMPUTED_VALUE"""),0.5)</f>
        <v>0.5</v>
      </c>
      <c r="L1334" s="82">
        <f>IFERROR(__xludf.DUMMYFUNCTION("""COMPUTED_VALUE"""),0.25)</f>
        <v>0.25</v>
      </c>
      <c r="M1334" s="82">
        <f>IFERROR(__xludf.DUMMYFUNCTION("""COMPUTED_VALUE"""),1.4642857142857142)</f>
        <v>1.464285714</v>
      </c>
      <c r="N1334" s="82">
        <f>IFERROR(__xludf.DUMMYFUNCTION("""COMPUTED_VALUE"""),2.0357142857142856)</f>
        <v>2.035714286</v>
      </c>
      <c r="O1334" s="82">
        <f>IFERROR(__xludf.DUMMYFUNCTION("""COMPUTED_VALUE"""),343.0357142857142)</f>
        <v>343.0357143</v>
      </c>
      <c r="P1334" s="82">
        <f>IFERROR(__xludf.DUMMYFUNCTION("""COMPUTED_VALUE"""),0.7857142857142856)</f>
        <v>0.7857142857</v>
      </c>
      <c r="Q1334" s="82">
        <f>IFERROR(__xludf.DUMMYFUNCTION("""COMPUTED_VALUE"""),0.5595238095238095)</f>
        <v>0.5595238095</v>
      </c>
      <c r="R1334" s="82">
        <f>IFERROR(__xludf.DUMMYFUNCTION("""COMPUTED_VALUE"""),1.1785714285714286)</f>
        <v>1.178571429</v>
      </c>
      <c r="S1334" s="82">
        <f>IFERROR(__xludf.DUMMYFUNCTION("""COMPUTED_VALUE"""),2.6547619047619047)</f>
        <v>2.654761905</v>
      </c>
      <c r="T1334" s="82">
        <f>IFERROR(__xludf.DUMMYFUNCTION("""COMPUTED_VALUE"""),352.61910471361756)</f>
        <v>352.6191047</v>
      </c>
      <c r="U1334" s="82">
        <f>IFERROR(__xludf.DUMMYFUNCTION("""COMPUTED_VALUE"""),0.7832720861556507)</f>
        <v>0.7832720862</v>
      </c>
      <c r="V1334" s="82">
        <f>IFERROR(__xludf.DUMMYFUNCTION("""COMPUTED_VALUE"""),0.5704913339002003)</f>
        <v>0.5704913339</v>
      </c>
      <c r="W1334" s="82">
        <f>IFERROR(__xludf.DUMMYFUNCTION("""COMPUTED_VALUE"""),1.3462262064099537)</f>
        <v>1.346226206</v>
      </c>
      <c r="X1334" s="82">
        <f>IFERROR(__xludf.DUMMYFUNCTION("""COMPUTED_VALUE"""),2.6280168107322766)</f>
        <v>2.628016811</v>
      </c>
      <c r="Y1334" s="82">
        <f>IFERROR(__xludf.DUMMYFUNCTION("""COMPUTED_VALUE"""),351.5779238772372)</f>
        <v>351.5779239</v>
      </c>
      <c r="Z1334" s="82">
        <f>IFERROR(__xludf.DUMMYFUNCTION("""COMPUTED_VALUE"""),0.7783442373961702)</f>
        <v>0.7783442374</v>
      </c>
      <c r="AA1334" s="82">
        <f>IFERROR(__xludf.DUMMYFUNCTION("""COMPUTED_VALUE"""),0.5696429175714409)</f>
        <v>0.5696429176</v>
      </c>
      <c r="AB1334" s="82">
        <f>IFERROR(__xludf.DUMMYFUNCTION("""COMPUTED_VALUE"""),1.363066458029143)</f>
        <v>1.363066458</v>
      </c>
      <c r="AC1334" s="82">
        <f>IFERROR(__xludf.DUMMYFUNCTION("""COMPUTED_VALUE"""),2.6177423489915865)</f>
        <v>2.617742349</v>
      </c>
      <c r="AD1334" s="82">
        <f>IFERROR(__xludf.DUMMYFUNCTION("""COMPUTED_VALUE"""),0.8802153511275168)</f>
        <v>0.8802153511</v>
      </c>
      <c r="AE1334" s="82">
        <f>IFERROR(__xludf.DUMMYFUNCTION("""COMPUTED_VALUE"""),0.6423892873835263)</f>
        <v>0.6423892874</v>
      </c>
      <c r="AF1334" s="82">
        <f>IFERROR(__xludf.DUMMYFUNCTION("""COMPUTED_VALUE"""),0.4388714267980811)</f>
        <v>0.4388714268</v>
      </c>
      <c r="AG1334" s="82">
        <f>IFERROR(__xludf.DUMMYFUNCTION("""COMPUTED_VALUE"""),1.0742584894964873)</f>
        <v>1.074258489</v>
      </c>
      <c r="AH1334" s="82">
        <f>IFERROR(__xludf.DUMMYFUNCTION("""COMPUTED_VALUE"""),0.7776602943748413)</f>
        <v>0.7776602944</v>
      </c>
      <c r="AI1334" s="82">
        <f>IFERROR(__xludf.DUMMYFUNCTION("""COMPUTED_VALUE"""),0.9728222597703928)</f>
        <v>0.9728222598</v>
      </c>
      <c r="AJ1334" s="82">
        <f>IFERROR(__xludf.DUMMYFUNCTION("""COMPUTED_VALUE"""),1.0031179453497716)</f>
        <v>1.003117945</v>
      </c>
      <c r="AK1334" s="82">
        <f>IFERROR(__xludf.DUMMYFUNCTION("""COMPUTED_VALUE"""),0.9807753006493357)</f>
        <v>0.9807753006</v>
      </c>
      <c r="AL1334" s="82">
        <f>IFERROR(__xludf.DUMMYFUNCTION("""COMPUTED_VALUE"""),0.8754631450195742)</f>
        <v>0.875463145</v>
      </c>
      <c r="AM1334" s="82">
        <f>IFERROR(__xludf.DUMMYFUNCTION("""COMPUTED_VALUE"""),1.0101769113197476)</f>
        <v>1.010176911</v>
      </c>
      <c r="AN1334" s="82">
        <f>IFERROR(__xludf.DUMMYFUNCTION("""COMPUTED_VALUE"""),0.8951741349801308)</f>
        <v>0.895174135</v>
      </c>
      <c r="AO1334" s="82">
        <f>IFERROR(__xludf.DUMMYFUNCTION("""COMPUTED_VALUE"""),0.6617582206727459)</f>
        <v>0.6617582207</v>
      </c>
      <c r="AP1334" s="82">
        <f>IFERROR(__xludf.DUMMYFUNCTION("""COMPUTED_VALUE"""),0.44975549503497325)</f>
        <v>0.449755495</v>
      </c>
      <c r="AQ1334" s="82">
        <f>IFERROR(__xludf.DUMMYFUNCTION("""COMPUTED_VALUE"""),1.0822744490242862)</f>
        <v>1.082274449</v>
      </c>
      <c r="AR1334" s="82">
        <f>IFERROR(__xludf.DUMMYFUNCTION("""COMPUTED_VALUE"""),0.7984718381561435)</f>
        <v>0.7984718382</v>
      </c>
      <c r="AS1334" s="82">
        <f>IFERROR(__xludf.DUMMYFUNCTION("""COMPUTED_VALUE"""),46.0)</f>
        <v>46</v>
      </c>
      <c r="AT1334" s="82">
        <f>IFERROR(__xludf.DUMMYFUNCTION("""COMPUTED_VALUE"""),0.3687877727288677)</f>
        <v>0.3687877727</v>
      </c>
      <c r="AU1334" s="82">
        <f>IFERROR(__xludf.DUMMYFUNCTION("""COMPUTED_VALUE"""),0.9555234258205492)</f>
        <v>0.9555234258</v>
      </c>
      <c r="AV1334" s="82">
        <f>IFERROR(__xludf.DUMMYFUNCTION("""COMPUTED_VALUE"""),19.37595772787095)</f>
        <v>19.37595773</v>
      </c>
      <c r="AW1334" s="82">
        <f t="shared" si="1"/>
        <v>-9.066608322</v>
      </c>
      <c r="AX1334" s="83">
        <f t="array" ref="AX1334">IFERROR(DGET('SBV Import'!A:G,"SBV",{"RSC ID","Tier";B1334,A1334}))</f>
        <v>29.55002862</v>
      </c>
      <c r="AY1334" s="82">
        <f t="shared" si="2"/>
        <v>-4.838422795</v>
      </c>
      <c r="AZ1334" s="82">
        <v>4.228185526424417</v>
      </c>
      <c r="BA1334" s="84">
        <v>1200.0</v>
      </c>
      <c r="BB1334" s="84" t="b">
        <f>IFERROR(__xludf.DUMMYFUNCTION("iferror(if(A1334="""",,E1334&gt;=FILTER(Constants!$F$2:$F$10,Constants!$A$2:$A$10=A1334)))"),TRUE)</f>
        <v>1</v>
      </c>
    </row>
    <row r="1335">
      <c r="A1335" s="89" t="str">
        <f>IFERROR(__xludf.DUMMYFUNCTION("""COMPUTED_VALUE"""),"Veteran")</f>
        <v>Veteran</v>
      </c>
      <c r="B1335" s="87" t="str">
        <f>IFERROR(__xludf.DUMMYFUNCTION("""COMPUTED_VALUE"""),"RSC003104")</f>
        <v>RSC003104</v>
      </c>
      <c r="C1335" s="73" t="str">
        <f>IFERROR(__xludf.DUMMYFUNCTION("""COMPUTED_VALUE"""),"nizz")</f>
        <v>nizz</v>
      </c>
      <c r="D1335" s="73" t="str">
        <f>IFERROR(__xludf.DUMMYFUNCTION("""COMPUTED_VALUE"""),"Folks")</f>
        <v>Folks</v>
      </c>
      <c r="E1335" s="82">
        <f>IFERROR(__xludf.DUMMYFUNCTION("""COMPUTED_VALUE"""),23.0)</f>
        <v>23</v>
      </c>
      <c r="F1335" s="82">
        <f>IFERROR(__xludf.DUMMYFUNCTION("""COMPUTED_VALUE"""),9.0)</f>
        <v>9</v>
      </c>
      <c r="G1335" s="86">
        <f>IFERROR(__xludf.DUMMYFUNCTION("""COMPUTED_VALUE"""),14.0)</f>
        <v>14</v>
      </c>
      <c r="H1335" s="86">
        <f>IFERROR(__xludf.DUMMYFUNCTION("""COMPUTED_VALUE"""),0.391304347826087)</f>
        <v>0.3913043478</v>
      </c>
      <c r="I1335" s="86">
        <f>IFERROR(__xludf.DUMMYFUNCTION("""COMPUTED_VALUE"""),0.21568627450980393)</f>
        <v>0.2156862745</v>
      </c>
      <c r="J1335" s="82">
        <f>IFERROR(__xludf.DUMMYFUNCTION("""COMPUTED_VALUE"""),267.8695652173913)</f>
        <v>267.8695652</v>
      </c>
      <c r="K1335" s="82">
        <f>IFERROR(__xludf.DUMMYFUNCTION("""COMPUTED_VALUE"""),0.4782608695652174)</f>
        <v>0.4782608696</v>
      </c>
      <c r="L1335" s="82">
        <f>IFERROR(__xludf.DUMMYFUNCTION("""COMPUTED_VALUE"""),0.30434782608695654)</f>
        <v>0.3043478261</v>
      </c>
      <c r="M1335" s="82">
        <f>IFERROR(__xludf.DUMMYFUNCTION("""COMPUTED_VALUE"""),1.3043478260869565)</f>
        <v>1.304347826</v>
      </c>
      <c r="N1335" s="82">
        <f>IFERROR(__xludf.DUMMYFUNCTION("""COMPUTED_VALUE"""),2.217391304347826)</f>
        <v>2.217391304</v>
      </c>
      <c r="O1335" s="82">
        <f>IFERROR(__xludf.DUMMYFUNCTION("""COMPUTED_VALUE"""),341.89855072463763)</f>
        <v>341.8985507</v>
      </c>
      <c r="P1335" s="82">
        <f>IFERROR(__xludf.DUMMYFUNCTION("""COMPUTED_VALUE"""),0.7681159420289856)</f>
        <v>0.768115942</v>
      </c>
      <c r="Q1335" s="82">
        <f>IFERROR(__xludf.DUMMYFUNCTION("""COMPUTED_VALUE"""),0.6376811594202898)</f>
        <v>0.6376811594</v>
      </c>
      <c r="R1335" s="82">
        <f>IFERROR(__xludf.DUMMYFUNCTION("""COMPUTED_VALUE"""),1.2608695652173916)</f>
        <v>1.260869565</v>
      </c>
      <c r="S1335" s="82">
        <f>IFERROR(__xludf.DUMMYFUNCTION("""COMPUTED_VALUE"""),2.5942028985507246)</f>
        <v>2.594202899</v>
      </c>
      <c r="T1335" s="82">
        <f>IFERROR(__xludf.DUMMYFUNCTION("""COMPUTED_VALUE"""),356.66527496602083)</f>
        <v>356.665275</v>
      </c>
      <c r="U1335" s="82">
        <f>IFERROR(__xludf.DUMMYFUNCTION("""COMPUTED_VALUE"""),0.7793617259876546)</f>
        <v>0.779361726</v>
      </c>
      <c r="V1335" s="82">
        <f>IFERROR(__xludf.DUMMYFUNCTION("""COMPUTED_VALUE"""),0.6053890071471144)</f>
        <v>0.6053890071</v>
      </c>
      <c r="W1335" s="82">
        <f>IFERROR(__xludf.DUMMYFUNCTION("""COMPUTED_VALUE"""),1.3699409182535163)</f>
        <v>1.369940918</v>
      </c>
      <c r="X1335" s="82">
        <f>IFERROR(__xludf.DUMMYFUNCTION("""COMPUTED_VALUE"""),2.6195288727750876)</f>
        <v>2.619528873</v>
      </c>
      <c r="Y1335" s="82">
        <f>IFERROR(__xludf.DUMMYFUNCTION("""COMPUTED_VALUE"""),350.64473801374777)</f>
        <v>350.644738</v>
      </c>
      <c r="Z1335" s="82">
        <f>IFERROR(__xludf.DUMMYFUNCTION("""COMPUTED_VALUE"""),0.7737188687487384)</f>
        <v>0.7737188687</v>
      </c>
      <c r="AA1335" s="82">
        <f>IFERROR(__xludf.DUMMYFUNCTION("""COMPUTED_VALUE"""),0.571801442223427)</f>
        <v>0.5718014422</v>
      </c>
      <c r="AB1335" s="82">
        <f>IFERROR(__xludf.DUMMYFUNCTION("""COMPUTED_VALUE"""),1.3362726142945025)</f>
        <v>1.336272614</v>
      </c>
      <c r="AC1335" s="82">
        <f>IFERROR(__xludf.DUMMYFUNCTION("""COMPUTED_VALUE"""),2.59211363792322)</f>
        <v>2.592113638</v>
      </c>
      <c r="AD1335" s="82">
        <f>IFERROR(__xludf.DUMMYFUNCTION("""COMPUTED_VALUE"""),0.7639343648353535)</f>
        <v>0.7639343648</v>
      </c>
      <c r="AE1335" s="82">
        <f>IFERROR(__xludf.DUMMYFUNCTION("""COMPUTED_VALUE"""),0.6181326175212232)</f>
        <v>0.6181326175</v>
      </c>
      <c r="AF1335" s="82">
        <f>IFERROR(__xludf.DUMMYFUNCTION("""COMPUTED_VALUE"""),0.5322613823839132)</f>
        <v>0.5322613824</v>
      </c>
      <c r="AG1335" s="82">
        <f>IFERROR(__xludf.DUMMYFUNCTION("""COMPUTED_VALUE"""),0.9761090754490984)</f>
        <v>0.9761090754</v>
      </c>
      <c r="AH1335" s="82">
        <f>IFERROR(__xludf.DUMMYFUNCTION("""COMPUTED_VALUE"""),0.8554375363436542)</f>
        <v>0.8554375363</v>
      </c>
      <c r="AI1335" s="82">
        <f>IFERROR(__xludf.DUMMYFUNCTION("""COMPUTED_VALUE"""),0.9585978078668017)</f>
        <v>0.9585978079</v>
      </c>
      <c r="AJ1335" s="82">
        <f>IFERROR(__xludf.DUMMYFUNCTION("""COMPUTED_VALUE"""),0.9855705206149075)</f>
        <v>0.9855705206</v>
      </c>
      <c r="AK1335" s="82">
        <f>IFERROR(__xludf.DUMMYFUNCTION("""COMPUTED_VALUE"""),1.0533411606288519)</f>
        <v>1.053341161</v>
      </c>
      <c r="AL1335" s="82">
        <f>IFERROR(__xludf.DUMMYFUNCTION("""COMPUTED_VALUE"""),0.9203824401601381)</f>
        <v>0.9203824402</v>
      </c>
      <c r="AM1335" s="82">
        <f>IFERROR(__xludf.DUMMYFUNCTION("""COMPUTED_VALUE"""),0.9903318591035292)</f>
        <v>0.9903318591</v>
      </c>
      <c r="AN1335" s="82">
        <f>IFERROR(__xludf.DUMMYFUNCTION("""COMPUTED_VALUE"""),0.7748548617735136)</f>
        <v>0.7748548618</v>
      </c>
      <c r="AO1335" s="82">
        <f>IFERROR(__xludf.DUMMYFUNCTION("""COMPUTED_VALUE"""),0.632986124121757)</f>
        <v>0.6329861241</v>
      </c>
      <c r="AP1335" s="82">
        <f>IFERROR(__xludf.DUMMYFUNCTION("""COMPUTED_VALUE"""),0.5475284287382284)</f>
        <v>0.5475284287</v>
      </c>
      <c r="AQ1335" s="82">
        <f>IFERROR(__xludf.DUMMYFUNCTION("""COMPUTED_VALUE"""),0.9640620754829272)</f>
        <v>0.9640620755</v>
      </c>
      <c r="AR1335" s="82">
        <f>IFERROR(__xludf.DUMMYFUNCTION("""COMPUTED_VALUE"""),0.8697313385865546)</f>
        <v>0.8697313386</v>
      </c>
      <c r="AS1335" s="82">
        <f>IFERROR(__xludf.DUMMYFUNCTION("""COMPUTED_VALUE"""),44.0)</f>
        <v>44</v>
      </c>
      <c r="AT1335" s="82">
        <f>IFERROR(__xludf.DUMMYFUNCTION("""COMPUTED_VALUE"""),0.43013992538453466)</f>
        <v>0.4301399254</v>
      </c>
      <c r="AU1335" s="82">
        <f>IFERROR(__xludf.DUMMYFUNCTION("""COMPUTED_VALUE"""),0.9258020039604643)</f>
        <v>0.925802004</v>
      </c>
      <c r="AV1335" s="82">
        <f>IFERROR(__xludf.DUMMYFUNCTION("""COMPUTED_VALUE"""),18.313354667481313)</f>
        <v>18.31335467</v>
      </c>
      <c r="AW1335" s="82">
        <f t="shared" si="1"/>
        <v>-9.756631552</v>
      </c>
      <c r="AX1335" s="83">
        <f t="array" ref="AX1335">IFERROR(DGET('SBV Import'!A:G,"SBV",{"RSC ID","Tier";B1335,A1335}))</f>
        <v>20.81133843</v>
      </c>
      <c r="AY1335" s="82">
        <f t="shared" si="2"/>
        <v>-8.230799649</v>
      </c>
      <c r="AZ1335" s="82">
        <v>1.525831903287452</v>
      </c>
      <c r="BA1335" s="84">
        <v>1200.0</v>
      </c>
      <c r="BB1335" s="84" t="b">
        <f>IFERROR(__xludf.DUMMYFUNCTION("iferror(if(A1335="""",,E1335&gt;=FILTER(Constants!$F$2:$F$10,Constants!$A$2:$A$10=A1335)))"),TRUE)</f>
        <v>1</v>
      </c>
    </row>
    <row r="1336">
      <c r="A1336" s="89" t="str">
        <f>IFERROR(__xludf.DUMMYFUNCTION("""COMPUTED_VALUE"""),"Veteran")</f>
        <v>Veteran</v>
      </c>
      <c r="B1336" s="87" t="str">
        <f>IFERROR(__xludf.DUMMYFUNCTION("""COMPUTED_VALUE"""),"RSC003250")</f>
        <v>RSC003250</v>
      </c>
      <c r="C1336" s="73" t="str">
        <f>IFERROR(__xludf.DUMMYFUNCTION("""COMPUTED_VALUE"""),"Chefty")</f>
        <v>Chefty</v>
      </c>
      <c r="D1336" s="73" t="str">
        <f>IFERROR(__xludf.DUMMYFUNCTION("""COMPUTED_VALUE"""),"Werewolves")</f>
        <v>Werewolves</v>
      </c>
      <c r="E1336" s="82">
        <f>IFERROR(__xludf.DUMMYFUNCTION("""COMPUTED_VALUE"""),46.0)</f>
        <v>46</v>
      </c>
      <c r="F1336" s="82">
        <f>IFERROR(__xludf.DUMMYFUNCTION("""COMPUTED_VALUE"""),18.0)</f>
        <v>18</v>
      </c>
      <c r="G1336" s="86">
        <f>IFERROR(__xludf.DUMMYFUNCTION("""COMPUTED_VALUE"""),28.0)</f>
        <v>28</v>
      </c>
      <c r="H1336" s="86">
        <f>IFERROR(__xludf.DUMMYFUNCTION("""COMPUTED_VALUE"""),0.391304347826087)</f>
        <v>0.3913043478</v>
      </c>
      <c r="I1336" s="86">
        <f>IFERROR(__xludf.DUMMYFUNCTION("""COMPUTED_VALUE"""),0.22000000000000003)</f>
        <v>0.22</v>
      </c>
      <c r="J1336" s="82">
        <f>IFERROR(__xludf.DUMMYFUNCTION("""COMPUTED_VALUE"""),316.7391304347826)</f>
        <v>316.7391304</v>
      </c>
      <c r="K1336" s="82">
        <f>IFERROR(__xludf.DUMMYFUNCTION("""COMPUTED_VALUE"""),0.4782608695652174)</f>
        <v>0.4782608696</v>
      </c>
      <c r="L1336" s="82">
        <f>IFERROR(__xludf.DUMMYFUNCTION("""COMPUTED_VALUE"""),0.43478260869565216)</f>
        <v>0.4347826087</v>
      </c>
      <c r="M1336" s="82">
        <f>IFERROR(__xludf.DUMMYFUNCTION("""COMPUTED_VALUE"""),1.5)</f>
        <v>1.5</v>
      </c>
      <c r="N1336" s="82">
        <f>IFERROR(__xludf.DUMMYFUNCTION("""COMPUTED_VALUE"""),2.1739130434782608)</f>
        <v>2.173913043</v>
      </c>
      <c r="O1336" s="82">
        <f>IFERROR(__xludf.DUMMYFUNCTION("""COMPUTED_VALUE"""),405.1811594202898)</f>
        <v>405.1811594</v>
      </c>
      <c r="P1336" s="82">
        <f>IFERROR(__xludf.DUMMYFUNCTION("""COMPUTED_VALUE"""),1.050724637681159)</f>
        <v>1.050724638</v>
      </c>
      <c r="Q1336" s="82">
        <f>IFERROR(__xludf.DUMMYFUNCTION("""COMPUTED_VALUE"""),0.7246376811594203)</f>
        <v>0.7246376812</v>
      </c>
      <c r="R1336" s="82">
        <f>IFERROR(__xludf.DUMMYFUNCTION("""COMPUTED_VALUE"""),1.5217391304347827)</f>
        <v>1.52173913</v>
      </c>
      <c r="S1336" s="82">
        <f>IFERROR(__xludf.DUMMYFUNCTION("""COMPUTED_VALUE"""),2.9347826086956514)</f>
        <v>2.934782609</v>
      </c>
      <c r="T1336" s="82">
        <f>IFERROR(__xludf.DUMMYFUNCTION("""COMPUTED_VALUE"""),354.8928762644199)</f>
        <v>354.8928763</v>
      </c>
      <c r="U1336" s="82">
        <f>IFERROR(__xludf.DUMMYFUNCTION("""COMPUTED_VALUE"""),0.81162372806908)</f>
        <v>0.8116237281</v>
      </c>
      <c r="V1336" s="82">
        <f>IFERROR(__xludf.DUMMYFUNCTION("""COMPUTED_VALUE"""),0.5883532810680587)</f>
        <v>0.5883532811</v>
      </c>
      <c r="W1336" s="82">
        <f>IFERROR(__xludf.DUMMYFUNCTION("""COMPUTED_VALUE"""),1.3314446545421965)</f>
        <v>1.331444655</v>
      </c>
      <c r="X1336" s="82">
        <f>IFERROR(__xludf.DUMMYFUNCTION("""COMPUTED_VALUE"""),2.653385545536024)</f>
        <v>2.653385546</v>
      </c>
      <c r="Y1336" s="82">
        <f>IFERROR(__xludf.DUMMYFUNCTION("""COMPUTED_VALUE"""),355.316976889542)</f>
        <v>355.3169769</v>
      </c>
      <c r="Z1336" s="82">
        <f>IFERROR(__xludf.DUMMYFUNCTION("""COMPUTED_VALUE"""),0.7958054241385242)</f>
        <v>0.7958054241</v>
      </c>
      <c r="AA1336" s="82">
        <f>IFERROR(__xludf.DUMMYFUNCTION("""COMPUTED_VALUE"""),0.5785344253806641)</f>
        <v>0.5785344254</v>
      </c>
      <c r="AB1336" s="82">
        <f>IFERROR(__xludf.DUMMYFUNCTION("""COMPUTED_VALUE"""),1.3557224075062997)</f>
        <v>1.355722408</v>
      </c>
      <c r="AC1336" s="82">
        <f>IFERROR(__xludf.DUMMYFUNCTION("""COMPUTED_VALUE"""),2.573242602178332)</f>
        <v>2.573242602</v>
      </c>
      <c r="AD1336" s="82">
        <f>IFERROR(__xludf.DUMMYFUNCTION("""COMPUTED_VALUE"""),0.891426954060931)</f>
        <v>0.8914269541</v>
      </c>
      <c r="AE1336" s="82">
        <f>IFERROR(__xludf.DUMMYFUNCTION("""COMPUTED_VALUE"""),0.6009771422241117)</f>
        <v>0.6009771422</v>
      </c>
      <c r="AF1336" s="82">
        <f>IFERROR(__xludf.DUMMYFUNCTION("""COMPUTED_VALUE"""),0.751524178374647)</f>
        <v>0.7515241784</v>
      </c>
      <c r="AG1336" s="82">
        <f>IFERROR(__xludf.DUMMYFUNCTION("""COMPUTED_VALUE"""),1.106421190425762)</f>
        <v>1.10642119</v>
      </c>
      <c r="AH1336" s="82">
        <f>IFERROR(__xludf.DUMMYFUNCTION("""COMPUTED_VALUE"""),0.8448146481167278)</f>
        <v>0.8448146481</v>
      </c>
      <c r="AI1336" s="82">
        <f>IFERROR(__xludf.DUMMYFUNCTION("""COMPUTED_VALUE"""),1.1416998945856598)</f>
        <v>1.141699895</v>
      </c>
      <c r="AJ1336" s="82">
        <f>IFERROR(__xludf.DUMMYFUNCTION("""COMPUTED_VALUE"""),1.2945957607485428)</f>
        <v>1.294595761</v>
      </c>
      <c r="AK1336" s="82">
        <f>IFERROR(__xludf.DUMMYFUNCTION("""COMPUTED_VALUE"""),1.2316370189080268)</f>
        <v>1.231637019</v>
      </c>
      <c r="AL1336" s="82">
        <f>IFERROR(__xludf.DUMMYFUNCTION("""COMPUTED_VALUE"""),1.1429233090864126)</f>
        <v>1.142923309</v>
      </c>
      <c r="AM1336" s="82">
        <f>IFERROR(__xludf.DUMMYFUNCTION("""COMPUTED_VALUE"""),1.1060520826432636)</f>
        <v>1.106052083</v>
      </c>
      <c r="AN1336" s="82">
        <f>IFERROR(__xludf.DUMMYFUNCTION("""COMPUTED_VALUE"""),0.9162177678980761)</f>
        <v>0.9162177679</v>
      </c>
      <c r="AO1336" s="82">
        <f>IFERROR(__xludf.DUMMYFUNCTION("""COMPUTED_VALUE"""),0.632986124121757)</f>
        <v>0.6329861241</v>
      </c>
      <c r="AP1336" s="82">
        <f>IFERROR(__xludf.DUMMYFUNCTION("""COMPUTED_VALUE"""),0.7821834696260405)</f>
        <v>0.7821834696</v>
      </c>
      <c r="AQ1336" s="82">
        <f>IFERROR(__xludf.DUMMYFUNCTION("""COMPUTED_VALUE"""),1.1086713868053664)</f>
        <v>1.108671387</v>
      </c>
      <c r="AR1336" s="82">
        <f>IFERROR(__xludf.DUMMYFUNCTION("""COMPUTED_VALUE"""),0.8526777829279947)</f>
        <v>0.8526777829</v>
      </c>
      <c r="AS1336" s="82">
        <f>IFERROR(__xludf.DUMMYFUNCTION("""COMPUTED_VALUE"""),100.0)</f>
        <v>100</v>
      </c>
      <c r="AT1336" s="82">
        <f>IFERROR(__xludf.DUMMYFUNCTION("""COMPUTED_VALUE"""),0.3542295415548155)</f>
        <v>0.3542295416</v>
      </c>
      <c r="AU1336" s="82">
        <f>IFERROR(__xludf.DUMMYFUNCTION("""COMPUTED_VALUE"""),0.9111615491412925)</f>
        <v>0.9111615491</v>
      </c>
      <c r="AV1336" s="82">
        <f>IFERROR(__xludf.DUMMYFUNCTION("""COMPUTED_VALUE"""),17.789927754408872)</f>
        <v>17.78992775</v>
      </c>
      <c r="AW1336" s="82">
        <f t="shared" si="1"/>
        <v>-10.1211628</v>
      </c>
      <c r="AX1336" s="83">
        <f t="array" ref="AX1336">IFERROR(DGET('SBV Import'!A:G,"SBV",{"RSC ID","Tier";B1336,A1336}))</f>
        <v>21.44919168</v>
      </c>
      <c r="AY1336" s="82">
        <f t="shared" si="2"/>
        <v>-7.891396075</v>
      </c>
      <c r="AZ1336" s="82">
        <v>2.2297667269437946</v>
      </c>
      <c r="BA1336" s="84">
        <v>1200.0</v>
      </c>
      <c r="BB1336" s="84" t="b">
        <f>IFERROR(__xludf.DUMMYFUNCTION("iferror(if(A1336="""",,E1336&gt;=FILTER(Constants!$F$2:$F$10,Constants!$A$2:$A$10=A1336)))"),TRUE)</f>
        <v>1</v>
      </c>
    </row>
    <row r="1337">
      <c r="A1337" s="89" t="str">
        <f>IFERROR(__xludf.DUMMYFUNCTION("""COMPUTED_VALUE"""),"Veteran")</f>
        <v>Veteran</v>
      </c>
      <c r="B1337" s="87" t="str">
        <f>IFERROR(__xludf.DUMMYFUNCTION("""COMPUTED_VALUE"""),"RSC005960")</f>
        <v>RSC005960</v>
      </c>
      <c r="C1337" s="73" t="str">
        <f>IFERROR(__xludf.DUMMYFUNCTION("""COMPUTED_VALUE"""),"Hyper")</f>
        <v>Hyper</v>
      </c>
      <c r="D1337" s="73" t="str">
        <f>IFERROR(__xludf.DUMMYFUNCTION("""COMPUTED_VALUE"""),"Possessed")</f>
        <v>Possessed</v>
      </c>
      <c r="E1337" s="82">
        <f>IFERROR(__xludf.DUMMYFUNCTION("""COMPUTED_VALUE"""),14.0)</f>
        <v>14</v>
      </c>
      <c r="F1337" s="82">
        <f>IFERROR(__xludf.DUMMYFUNCTION("""COMPUTED_VALUE"""),4.0)</f>
        <v>4</v>
      </c>
      <c r="G1337" s="86">
        <f>IFERROR(__xludf.DUMMYFUNCTION("""COMPUTED_VALUE"""),10.0)</f>
        <v>10</v>
      </c>
      <c r="H1337" s="86">
        <f>IFERROR(__xludf.DUMMYFUNCTION("""COMPUTED_VALUE"""),0.2857142857142857)</f>
        <v>0.2857142857</v>
      </c>
      <c r="I1337" s="86">
        <f>IFERROR(__xludf.DUMMYFUNCTION("""COMPUTED_VALUE"""),0.1379310344827586)</f>
        <v>0.1379310345</v>
      </c>
      <c r="J1337" s="82">
        <f>IFERROR(__xludf.DUMMYFUNCTION("""COMPUTED_VALUE"""),300.5)</f>
        <v>300.5</v>
      </c>
      <c r="K1337" s="82">
        <f>IFERROR(__xludf.DUMMYFUNCTION("""COMPUTED_VALUE"""),0.2857142857142857)</f>
        <v>0.2857142857</v>
      </c>
      <c r="L1337" s="82">
        <f>IFERROR(__xludf.DUMMYFUNCTION("""COMPUTED_VALUE"""),0.7142857142857143)</f>
        <v>0.7142857143</v>
      </c>
      <c r="M1337" s="82">
        <f>IFERROR(__xludf.DUMMYFUNCTION("""COMPUTED_VALUE"""),1.5)</f>
        <v>1.5</v>
      </c>
      <c r="N1337" s="82">
        <f>IFERROR(__xludf.DUMMYFUNCTION("""COMPUTED_VALUE"""),2.0714285714285716)</f>
        <v>2.071428571</v>
      </c>
      <c r="O1337" s="82">
        <f>IFERROR(__xludf.DUMMYFUNCTION("""COMPUTED_VALUE"""),405.9761904761904)</f>
        <v>405.9761905</v>
      </c>
      <c r="P1337" s="82">
        <f>IFERROR(__xludf.DUMMYFUNCTION("""COMPUTED_VALUE"""),1.0714285714285714)</f>
        <v>1.071428571</v>
      </c>
      <c r="Q1337" s="82">
        <f>IFERROR(__xludf.DUMMYFUNCTION("""COMPUTED_VALUE"""),0.8571428571428571)</f>
        <v>0.8571428571</v>
      </c>
      <c r="R1337" s="82">
        <f>IFERROR(__xludf.DUMMYFUNCTION("""COMPUTED_VALUE"""),1.4285714285714286)</f>
        <v>1.428571429</v>
      </c>
      <c r="S1337" s="82">
        <f>IFERROR(__xludf.DUMMYFUNCTION("""COMPUTED_VALUE"""),2.9285714285714284)</f>
        <v>2.928571429</v>
      </c>
      <c r="T1337" s="82">
        <f>IFERROR(__xludf.DUMMYFUNCTION("""COMPUTED_VALUE"""),356.9922598870338)</f>
        <v>356.9922599</v>
      </c>
      <c r="U1337" s="82">
        <f>IFERROR(__xludf.DUMMYFUNCTION("""COMPUTED_VALUE"""),0.7710326398724436)</f>
        <v>0.7710326399</v>
      </c>
      <c r="V1337" s="82">
        <f>IFERROR(__xludf.DUMMYFUNCTION("""COMPUTED_VALUE"""),0.5567208707868319)</f>
        <v>0.5567208708</v>
      </c>
      <c r="W1337" s="82">
        <f>IFERROR(__xludf.DUMMYFUNCTION("""COMPUTED_VALUE"""),1.4030910855741667)</f>
        <v>1.403091086</v>
      </c>
      <c r="X1337" s="82">
        <f>IFERROR(__xludf.DUMMYFUNCTION("""COMPUTED_VALUE"""),2.7023966696668142)</f>
        <v>2.70239667</v>
      </c>
      <c r="Y1337" s="82">
        <f>IFERROR(__xludf.DUMMYFUNCTION("""COMPUTED_VALUE"""),343.65093659514145)</f>
        <v>343.6509366</v>
      </c>
      <c r="Z1337" s="82">
        <f>IFERROR(__xludf.DUMMYFUNCTION("""COMPUTED_VALUE"""),0.7004817589742489)</f>
        <v>0.700481759</v>
      </c>
      <c r="AA1337" s="82">
        <f>IFERROR(__xludf.DUMMYFUNCTION("""COMPUTED_VALUE"""),0.520126835917517)</f>
        <v>0.5201268359</v>
      </c>
      <c r="AB1337" s="82">
        <f>IFERROR(__xludf.DUMMYFUNCTION("""COMPUTED_VALUE"""),1.3720853912856907)</f>
        <v>1.372085391</v>
      </c>
      <c r="AC1337" s="82">
        <f>IFERROR(__xludf.DUMMYFUNCTION("""COMPUTED_VALUE"""),2.5547783186442365)</f>
        <v>2.554778319</v>
      </c>
      <c r="AD1337" s="82">
        <f>IFERROR(__xludf.DUMMYFUNCTION("""COMPUTED_VALUE"""),0.8744338164106971)</f>
        <v>0.8744338164</v>
      </c>
      <c r="AE1337" s="82">
        <f>IFERROR(__xludf.DUMMYFUNCTION("""COMPUTED_VALUE"""),0.4078825494794778)</f>
        <v>0.4078825495</v>
      </c>
      <c r="AF1337" s="82">
        <f>IFERROR(__xludf.DUMMYFUNCTION("""COMPUTED_VALUE"""),1.3732914069424935)</f>
        <v>1.373291407</v>
      </c>
      <c r="AG1337" s="82">
        <f>IFERROR(__xludf.DUMMYFUNCTION("""COMPUTED_VALUE"""),1.09322641981812)</f>
        <v>1.09322642</v>
      </c>
      <c r="AH1337" s="82">
        <f>IFERROR(__xludf.DUMMYFUNCTION("""COMPUTED_VALUE"""),0.8108056015317338)</f>
        <v>0.8108056015</v>
      </c>
      <c r="AI1337" s="82">
        <f>IFERROR(__xludf.DUMMYFUNCTION("""COMPUTED_VALUE"""),1.137212864516046)</f>
        <v>1.137212865</v>
      </c>
      <c r="AJ1337" s="82">
        <f>IFERROR(__xludf.DUMMYFUNCTION("""COMPUTED_VALUE"""),1.3896020946737404)</f>
        <v>1.389602095</v>
      </c>
      <c r="AK1337" s="82">
        <f>IFERROR(__xludf.DUMMYFUNCTION("""COMPUTED_VALUE"""),1.539627670023272)</f>
        <v>1.53962767</v>
      </c>
      <c r="AL1337" s="82">
        <f>IFERROR(__xludf.DUMMYFUNCTION("""COMPUTED_VALUE"""),1.01816014887361)</f>
        <v>1.018160149</v>
      </c>
      <c r="AM1337" s="82">
        <f>IFERROR(__xludf.DUMMYFUNCTION("""COMPUTED_VALUE"""),1.0836941376679907)</f>
        <v>1.083694138</v>
      </c>
      <c r="AN1337" s="82">
        <f>IFERROR(__xludf.DUMMYFUNCTION("""COMPUTED_VALUE"""),0.8692435281849763)</f>
        <v>0.8692435282</v>
      </c>
      <c r="AO1337" s="82">
        <f>IFERROR(__xludf.DUMMYFUNCTION("""COMPUTED_VALUE"""),0.37814755467014055)</f>
        <v>0.3781475547</v>
      </c>
      <c r="AP1337" s="82">
        <f>IFERROR(__xludf.DUMMYFUNCTION("""COMPUTED_VALUE"""),1.2850157000999236)</f>
        <v>1.2850157</v>
      </c>
      <c r="AQ1337" s="82">
        <f>IFERROR(__xludf.DUMMYFUNCTION("""COMPUTED_VALUE"""),1.1086713868053664)</f>
        <v>1.108671387</v>
      </c>
      <c r="AR1337" s="82">
        <f>IFERROR(__xludf.DUMMYFUNCTION("""COMPUTED_VALUE"""),0.8124801160185321)</f>
        <v>0.812480116</v>
      </c>
      <c r="AS1337" s="82">
        <f>IFERROR(__xludf.DUMMYFUNCTION("""COMPUTED_VALUE"""),24.0)</f>
        <v>24</v>
      </c>
      <c r="AT1337" s="82">
        <f>IFERROR(__xludf.DUMMYFUNCTION("""COMPUTED_VALUE"""),0.27021074640408027)</f>
        <v>0.2702107464</v>
      </c>
      <c r="AU1337" s="82">
        <f>IFERROR(__xludf.DUMMYFUNCTION("""COMPUTED_VALUE"""),0.8696307514641384)</f>
        <v>0.8696307515</v>
      </c>
      <c r="AV1337" s="82">
        <f>IFERROR(__xludf.DUMMYFUNCTION("""COMPUTED_VALUE"""),16.305114782811657)</f>
        <v>16.30511478</v>
      </c>
      <c r="AW1337" s="82">
        <f t="shared" si="1"/>
        <v>-11.2533918</v>
      </c>
      <c r="AX1337" s="83">
        <f t="array" ref="AX1337">IFERROR(DGET('SBV Import'!A:G,"SBV",{"RSC ID","Tier";B1337,A1337}))</f>
        <v>28.28165631</v>
      </c>
      <c r="AY1337" s="82">
        <f t="shared" si="2"/>
        <v>-5.194902642</v>
      </c>
      <c r="AZ1337" s="82">
        <v>6.058489162216797</v>
      </c>
      <c r="BA1337" s="84">
        <v>1200.0</v>
      </c>
      <c r="BB1337" s="84" t="b">
        <f>IFERROR(__xludf.DUMMYFUNCTION("iferror(if(A1337="""",,E1337&gt;=FILTER(Constants!$F$2:$F$10,Constants!$A$2:$A$10=A1337)))"),TRUE)</f>
        <v>1</v>
      </c>
    </row>
    <row r="1338">
      <c r="A1338" s="89" t="str">
        <f>IFERROR(__xludf.DUMMYFUNCTION("""COMPUTED_VALUE"""),"Veteran")</f>
        <v>Veteran</v>
      </c>
      <c r="B1338" s="87" t="str">
        <f>IFERROR(__xludf.DUMMYFUNCTION("""COMPUTED_VALUE"""),"RSC007187")</f>
        <v>RSC007187</v>
      </c>
      <c r="C1338" s="73" t="str">
        <f>IFERROR(__xludf.DUMMYFUNCTION("""COMPUTED_VALUE"""),"Evil Gooby")</f>
        <v>Evil Gooby</v>
      </c>
      <c r="D1338" s="73" t="str">
        <f>IFERROR(__xludf.DUMMYFUNCTION("""COMPUTED_VALUE"""),"Mellow Fellows")</f>
        <v>Mellow Fellows</v>
      </c>
      <c r="E1338" s="82">
        <f>IFERROR(__xludf.DUMMYFUNCTION("""COMPUTED_VALUE"""),48.0)</f>
        <v>48</v>
      </c>
      <c r="F1338" s="82">
        <f>IFERROR(__xludf.DUMMYFUNCTION("""COMPUTED_VALUE"""),20.0)</f>
        <v>20</v>
      </c>
      <c r="G1338" s="86">
        <f>IFERROR(__xludf.DUMMYFUNCTION("""COMPUTED_VALUE"""),28.0)</f>
        <v>28</v>
      </c>
      <c r="H1338" s="86">
        <f>IFERROR(__xludf.DUMMYFUNCTION("""COMPUTED_VALUE"""),0.4166666666666667)</f>
        <v>0.4166666667</v>
      </c>
      <c r="I1338" s="86">
        <f>IFERROR(__xludf.DUMMYFUNCTION("""COMPUTED_VALUE"""),0.25)</f>
        <v>0.25</v>
      </c>
      <c r="J1338" s="82">
        <f>IFERROR(__xludf.DUMMYFUNCTION("""COMPUTED_VALUE"""),293.125)</f>
        <v>293.125</v>
      </c>
      <c r="K1338" s="82">
        <f>IFERROR(__xludf.DUMMYFUNCTION("""COMPUTED_VALUE"""),0.4791666666666667)</f>
        <v>0.4791666667</v>
      </c>
      <c r="L1338" s="82">
        <f>IFERROR(__xludf.DUMMYFUNCTION("""COMPUTED_VALUE"""),0.22916666666666666)</f>
        <v>0.2291666667</v>
      </c>
      <c r="M1338" s="82">
        <f>IFERROR(__xludf.DUMMYFUNCTION("""COMPUTED_VALUE"""),1.5)</f>
        <v>1.5</v>
      </c>
      <c r="N1338" s="82">
        <f>IFERROR(__xludf.DUMMYFUNCTION("""COMPUTED_VALUE"""),1.9166666666666667)</f>
        <v>1.916666667</v>
      </c>
      <c r="O1338" s="82">
        <f>IFERROR(__xludf.DUMMYFUNCTION("""COMPUTED_VALUE"""),348.40277777777766)</f>
        <v>348.4027778</v>
      </c>
      <c r="P1338" s="82">
        <f>IFERROR(__xludf.DUMMYFUNCTION("""COMPUTED_VALUE"""),0.7500000000000001)</f>
        <v>0.75</v>
      </c>
      <c r="Q1338" s="82">
        <f>IFERROR(__xludf.DUMMYFUNCTION("""COMPUTED_VALUE"""),0.548611111111111)</f>
        <v>0.5486111111</v>
      </c>
      <c r="R1338" s="82">
        <f>IFERROR(__xludf.DUMMYFUNCTION("""COMPUTED_VALUE"""),1.4166666666666663)</f>
        <v>1.416666667</v>
      </c>
      <c r="S1338" s="82">
        <f>IFERROR(__xludf.DUMMYFUNCTION("""COMPUTED_VALUE"""),2.715277777777778)</f>
        <v>2.715277778</v>
      </c>
      <c r="T1338" s="82">
        <f>IFERROR(__xludf.DUMMYFUNCTION("""COMPUTED_VALUE"""),343.69318448862344)</f>
        <v>343.6931845</v>
      </c>
      <c r="U1338" s="82">
        <f>IFERROR(__xludf.DUMMYFUNCTION("""COMPUTED_VALUE"""),0.7467066074090608)</f>
        <v>0.7467066074</v>
      </c>
      <c r="V1338" s="82">
        <f>IFERROR(__xludf.DUMMYFUNCTION("""COMPUTED_VALUE"""),0.5541866148999722)</f>
        <v>0.5541866149</v>
      </c>
      <c r="W1338" s="82">
        <f>IFERROR(__xludf.DUMMYFUNCTION("""COMPUTED_VALUE"""),1.2976546240208362)</f>
        <v>1.297654624</v>
      </c>
      <c r="X1338" s="82">
        <f>IFERROR(__xludf.DUMMYFUNCTION("""COMPUTED_VALUE"""),2.5796635530514713)</f>
        <v>2.579663553</v>
      </c>
      <c r="Y1338" s="82">
        <f>IFERROR(__xludf.DUMMYFUNCTION("""COMPUTED_VALUE"""),344.7058775800349)</f>
        <v>344.7058776</v>
      </c>
      <c r="Z1338" s="82">
        <f>IFERROR(__xludf.DUMMYFUNCTION("""COMPUTED_VALUE"""),0.7369589745291596)</f>
        <v>0.7369589745</v>
      </c>
      <c r="AA1338" s="82">
        <f>IFERROR(__xludf.DUMMYFUNCTION("""COMPUTED_VALUE"""),0.5459037655480171)</f>
        <v>0.5459037655</v>
      </c>
      <c r="AB1338" s="82">
        <f>IFERROR(__xludf.DUMMYFUNCTION("""COMPUTED_VALUE"""),1.344398756962603)</f>
        <v>1.344398757</v>
      </c>
      <c r="AC1338" s="82">
        <f>IFERROR(__xludf.DUMMYFUNCTION("""COMPUTED_VALUE"""),2.5044470545260302)</f>
        <v>2.504447055</v>
      </c>
      <c r="AD1338" s="82">
        <f>IFERROR(__xludf.DUMMYFUNCTION("""COMPUTED_VALUE"""),0.8503626397607372)</f>
        <v>0.8503626398</v>
      </c>
      <c r="AE1338" s="82">
        <f>IFERROR(__xludf.DUMMYFUNCTION("""COMPUTED_VALUE"""),0.650194492811224)</f>
        <v>0.6501944928</v>
      </c>
      <c r="AF1338" s="82">
        <f>IFERROR(__xludf.DUMMYFUNCTION("""COMPUTED_VALUE"""),0.419793159764364)</f>
        <v>0.4197931598</v>
      </c>
      <c r="AG1338" s="82">
        <f>IFERROR(__xludf.DUMMYFUNCTION("""COMPUTED_VALUE"""),1.1157403949025857)</f>
        <v>1.115740395</v>
      </c>
      <c r="AH1338" s="82">
        <f>IFERROR(__xludf.DUMMYFUNCTION("""COMPUTED_VALUE"""),0.7653053248631756)</f>
        <v>0.7653053249</v>
      </c>
      <c r="AI1338" s="82">
        <f>IFERROR(__xludf.DUMMYFUNCTION("""COMPUTED_VALUE"""),1.0137028998586677)</f>
        <v>1.0137029</v>
      </c>
      <c r="AJ1338" s="82">
        <f>IFERROR(__xludf.DUMMYFUNCTION("""COMPUTED_VALUE"""),1.004410557718736)</f>
        <v>1.004410558</v>
      </c>
      <c r="AK1338" s="82">
        <f>IFERROR(__xludf.DUMMYFUNCTION("""COMPUTED_VALUE"""),0.989939302684408)</f>
        <v>0.9899393027</v>
      </c>
      <c r="AL1338" s="82">
        <f>IFERROR(__xludf.DUMMYFUNCTION("""COMPUTED_VALUE"""),1.0917131881186277)</f>
        <v>1.091713188</v>
      </c>
      <c r="AM1338" s="82">
        <f>IFERROR(__xludf.DUMMYFUNCTION("""COMPUTED_VALUE"""),1.052570508493594)</f>
        <v>1.052570508</v>
      </c>
      <c r="AN1338" s="82">
        <f>IFERROR(__xludf.DUMMYFUNCTION("""COMPUTED_VALUE"""),0.8479101803634649)</f>
        <v>0.8479101804</v>
      </c>
      <c r="AO1338" s="82">
        <f>IFERROR(__xludf.DUMMYFUNCTION("""COMPUTED_VALUE"""),0.6341849614780483)</f>
        <v>0.6341849615</v>
      </c>
      <c r="AP1338" s="82">
        <f>IFERROR(__xludf.DUMMYFUNCTION("""COMPUTED_VALUE"""),0.4122758704487255)</f>
        <v>0.4122758704</v>
      </c>
      <c r="AQ1338" s="82">
        <f>IFERROR(__xludf.DUMMYFUNCTION("""COMPUTED_VALUE"""),1.1086713868053664)</f>
        <v>1.108671387</v>
      </c>
      <c r="AR1338" s="82">
        <f>IFERROR(__xludf.DUMMYFUNCTION("""COMPUTED_VALUE"""),0.7517775786148486)</f>
        <v>0.7517775786</v>
      </c>
      <c r="AS1338" s="82">
        <f>IFERROR(__xludf.DUMMYFUNCTION("""COMPUTED_VALUE"""),88.0)</f>
        <v>88</v>
      </c>
      <c r="AT1338" s="82">
        <f>IFERROR(__xludf.DUMMYFUNCTION("""COMPUTED_VALUE"""),0.4239263702053275)</f>
        <v>0.4239263702</v>
      </c>
      <c r="AU1338" s="82">
        <f>IFERROR(__xludf.DUMMYFUNCTION("""COMPUTED_VALUE"""),0.8405426337777459)</f>
        <v>0.8405426338</v>
      </c>
      <c r="AV1338" s="82">
        <f>IFERROR(__xludf.DUMMYFUNCTION("""COMPUTED_VALUE"""),15.265153672604988)</f>
        <v>15.26515367</v>
      </c>
      <c r="AW1338" s="82">
        <f t="shared" si="1"/>
        <v>-12.14233106</v>
      </c>
      <c r="AX1338" s="83">
        <f t="array" ref="AX1338">IFERROR(DGET('SBV Import'!A:G,"SBV",{"RSC ID","Tier";B1338,A1338}))</f>
        <v>16.68267593</v>
      </c>
      <c r="AY1338" s="82">
        <f t="shared" si="2"/>
        <v>-10.95094841</v>
      </c>
      <c r="AZ1338" s="82">
        <v>1.1913826525473752</v>
      </c>
      <c r="BA1338" s="84">
        <v>1200.0</v>
      </c>
      <c r="BB1338" s="84" t="b">
        <f>IFERROR(__xludf.DUMMYFUNCTION("iferror(if(A1338="""",,E1338&gt;=FILTER(Constants!$F$2:$F$10,Constants!$A$2:$A$10=A1338)))"),TRUE)</f>
        <v>1</v>
      </c>
    </row>
    <row r="1339">
      <c r="A1339" s="89" t="str">
        <f>IFERROR(__xludf.DUMMYFUNCTION("""COMPUTED_VALUE"""),"Veteran")</f>
        <v>Veteran</v>
      </c>
      <c r="B1339" s="87" t="str">
        <f>IFERROR(__xludf.DUMMYFUNCTION("""COMPUTED_VALUE"""),"RSC008028")</f>
        <v>RSC008028</v>
      </c>
      <c r="C1339" s="73" t="str">
        <f>IFERROR(__xludf.DUMMYFUNCTION("""COMPUTED_VALUE"""),"krozex.")</f>
        <v>krozex.</v>
      </c>
      <c r="D1339" s="73"/>
      <c r="E1339" s="82">
        <f>IFERROR(__xludf.DUMMYFUNCTION("""COMPUTED_VALUE"""),4.0)</f>
        <v>4</v>
      </c>
      <c r="F1339" s="82">
        <f>IFERROR(__xludf.DUMMYFUNCTION("""COMPUTED_VALUE"""),2.0)</f>
        <v>2</v>
      </c>
      <c r="G1339" s="86">
        <f>IFERROR(__xludf.DUMMYFUNCTION("""COMPUTED_VALUE"""),2.0)</f>
        <v>2</v>
      </c>
      <c r="H1339" s="86">
        <f>IFERROR(__xludf.DUMMYFUNCTION("""COMPUTED_VALUE"""),0.5)</f>
        <v>0.5</v>
      </c>
      <c r="I1339" s="86">
        <f>IFERROR(__xludf.DUMMYFUNCTION("""COMPUTED_VALUE"""),0.14285714285714285)</f>
        <v>0.1428571429</v>
      </c>
      <c r="J1339" s="82">
        <f>IFERROR(__xludf.DUMMYFUNCTION("""COMPUTED_VALUE"""),274.75)</f>
        <v>274.75</v>
      </c>
      <c r="K1339" s="82">
        <f>IFERROR(__xludf.DUMMYFUNCTION("""COMPUTED_VALUE"""),0.25)</f>
        <v>0.25</v>
      </c>
      <c r="L1339" s="82">
        <f>IFERROR(__xludf.DUMMYFUNCTION("""COMPUTED_VALUE"""),0.5)</f>
        <v>0.5</v>
      </c>
      <c r="M1339" s="82">
        <f>IFERROR(__xludf.DUMMYFUNCTION("""COMPUTED_VALUE"""),1.0)</f>
        <v>1</v>
      </c>
      <c r="N1339" s="82">
        <f>IFERROR(__xludf.DUMMYFUNCTION("""COMPUTED_VALUE"""),1.75)</f>
        <v>1.75</v>
      </c>
      <c r="O1339" s="82">
        <f>IFERROR(__xludf.DUMMYFUNCTION("""COMPUTED_VALUE"""),352.6666666666667)</f>
        <v>352.6666667</v>
      </c>
      <c r="P1339" s="82">
        <f>IFERROR(__xludf.DUMMYFUNCTION("""COMPUTED_VALUE"""),0.6666666666666666)</f>
        <v>0.6666666667</v>
      </c>
      <c r="Q1339" s="82">
        <f>IFERROR(__xludf.DUMMYFUNCTION("""COMPUTED_VALUE"""),0.49999999999999994)</f>
        <v>0.5</v>
      </c>
      <c r="R1339" s="82">
        <f>IFERROR(__xludf.DUMMYFUNCTION("""COMPUTED_VALUE"""),1.666666666666667)</f>
        <v>1.666666667</v>
      </c>
      <c r="S1339" s="82">
        <f>IFERROR(__xludf.DUMMYFUNCTION("""COMPUTED_VALUE"""),2.5)</f>
        <v>2.5</v>
      </c>
      <c r="T1339" s="82">
        <f>IFERROR(__xludf.DUMMYFUNCTION("""COMPUTED_VALUE"""),341.4483294483295)</f>
        <v>341.4483294</v>
      </c>
      <c r="U1339" s="82">
        <f>IFERROR(__xludf.DUMMYFUNCTION("""COMPUTED_VALUE"""),0.7422947422947423)</f>
        <v>0.7422947423</v>
      </c>
      <c r="V1339" s="82">
        <f>IFERROR(__xludf.DUMMYFUNCTION("""COMPUTED_VALUE"""),0.5497927997927998)</f>
        <v>0.5497927998</v>
      </c>
      <c r="W1339" s="82">
        <f>IFERROR(__xludf.DUMMYFUNCTION("""COMPUTED_VALUE"""),1.377816627816628)</f>
        <v>1.377816628</v>
      </c>
      <c r="X1339" s="82">
        <f>IFERROR(__xludf.DUMMYFUNCTION("""COMPUTED_VALUE"""),2.6380471380471384)</f>
        <v>2.638047138</v>
      </c>
      <c r="Y1339" s="82">
        <f>IFERROR(__xludf.DUMMYFUNCTION("""COMPUTED_VALUE"""),352.3633126133127)</f>
        <v>352.3633126</v>
      </c>
      <c r="Z1339" s="82">
        <f>IFERROR(__xludf.DUMMYFUNCTION("""COMPUTED_VALUE"""),0.8164767331433997)</f>
        <v>0.8164767331</v>
      </c>
      <c r="AA1339" s="82">
        <f>IFERROR(__xludf.DUMMYFUNCTION("""COMPUTED_VALUE"""),0.5871967538634206)</f>
        <v>0.5871967539</v>
      </c>
      <c r="AB1339" s="82">
        <f>IFERROR(__xludf.DUMMYFUNCTION("""COMPUTED_VALUE"""),1.3846801346801347)</f>
        <v>1.384680135</v>
      </c>
      <c r="AC1339" s="82">
        <f>IFERROR(__xludf.DUMMYFUNCTION("""COMPUTED_VALUE"""),2.5451523784857115)</f>
        <v>2.545152378</v>
      </c>
      <c r="AD1339" s="82">
        <f>IFERROR(__xludf.DUMMYFUNCTION("""COMPUTED_VALUE"""),0.7797349785433355)</f>
        <v>0.7797349785</v>
      </c>
      <c r="AE1339" s="82">
        <f>IFERROR(__xludf.DUMMYFUNCTION("""COMPUTED_VALUE"""),0.30619366094795003)</f>
        <v>0.3061936609</v>
      </c>
      <c r="AF1339" s="82">
        <f>IFERROR(__xludf.DUMMYFUNCTION("""COMPUTED_VALUE"""),0.8515033448504005)</f>
        <v>0.8515033449</v>
      </c>
      <c r="AG1339" s="82">
        <f>IFERROR(__xludf.DUMMYFUNCTION("""COMPUTED_VALUE"""),0.7221884498480243)</f>
        <v>0.7221884498</v>
      </c>
      <c r="AH1339" s="82">
        <f>IFERROR(__xludf.DUMMYFUNCTION("""COMPUTED_VALUE"""),0.6875816217499704)</f>
        <v>0.6875816217</v>
      </c>
      <c r="AI1339" s="82">
        <f>IFERROR(__xludf.DUMMYFUNCTION("""COMPUTED_VALUE"""),1.0328551533301171)</f>
        <v>1.032855153</v>
      </c>
      <c r="AJ1339" s="82">
        <f>IFERROR(__xludf.DUMMYFUNCTION("""COMPUTED_VALUE"""),0.8981158408932308)</f>
        <v>0.8981158409</v>
      </c>
      <c r="AK1339" s="82">
        <f>IFERROR(__xludf.DUMMYFUNCTION("""COMPUTED_VALUE"""),0.9094335178424212)</f>
        <v>0.9094335178</v>
      </c>
      <c r="AL1339" s="82">
        <f>IFERROR(__xludf.DUMMYFUNCTION("""COMPUTED_VALUE"""),1.2096433103059356)</f>
        <v>1.20964331</v>
      </c>
      <c r="AM1339" s="82">
        <f>IFERROR(__xludf.DUMMYFUNCTION("""COMPUTED_VALUE"""),0.9476707083599233)</f>
        <v>0.9476707084</v>
      </c>
      <c r="AN1339" s="82">
        <f>IFERROR(__xludf.DUMMYFUNCTION("""COMPUTED_VALUE"""),0.7947576018929193)</f>
        <v>0.7947576019</v>
      </c>
      <c r="AO1339" s="82">
        <f>IFERROR(__xludf.DUMMYFUNCTION("""COMPUTED_VALUE"""),0.33087911033637296)</f>
        <v>0.3308791103</v>
      </c>
      <c r="AP1339" s="82">
        <f>IFERROR(__xludf.DUMMYFUNCTION("""COMPUTED_VALUE"""),0.8995109900699465)</f>
        <v>0.8995109901</v>
      </c>
      <c r="AQ1339" s="82">
        <f>IFERROR(__xludf.DUMMYFUNCTION("""COMPUTED_VALUE"""),0.7391142578702442)</f>
        <v>0.7391142579</v>
      </c>
      <c r="AR1339" s="82">
        <f>IFERROR(__xludf.DUMMYFUNCTION("""COMPUTED_VALUE"""),0.6864056152570357)</f>
        <v>0.6864056153</v>
      </c>
      <c r="AS1339" s="82">
        <f>IFERROR(__xludf.DUMMYFUNCTION("""COMPUTED_VALUE"""),6.0)</f>
        <v>6</v>
      </c>
      <c r="AT1339" s="82">
        <f>IFERROR(__xludf.DUMMYFUNCTION("""COMPUTED_VALUE"""),0.39839556112833874)</f>
        <v>0.3983955611</v>
      </c>
      <c r="AU1339" s="82">
        <f>IFERROR(__xludf.DUMMYFUNCTION("""COMPUTED_VALUE"""),0.8140865598798537)</f>
        <v>0.8140865599</v>
      </c>
      <c r="AV1339" s="82">
        <f>IFERROR(__xludf.DUMMYFUNCTION("""COMPUTED_VALUE"""),14.319293638649185)</f>
        <v>14.31929364</v>
      </c>
      <c r="AW1339" s="82">
        <f t="shared" si="1"/>
        <v>-13.02811815</v>
      </c>
      <c r="AX1339" s="83">
        <f t="array" ref="AX1339">IFERROR(DGET('SBV Import'!A:G,"SBV",{"RSC ID","Tier";B1339,A1339}))</f>
        <v>16.46386824</v>
      </c>
      <c r="AY1339" s="82">
        <f t="shared" si="2"/>
        <v>-11.12495997</v>
      </c>
      <c r="AZ1339" s="82">
        <v>1.903158181296364</v>
      </c>
      <c r="BA1339" s="84">
        <v>1200.0</v>
      </c>
      <c r="BB1339" s="84" t="b">
        <f>IFERROR(__xludf.DUMMYFUNCTION("iferror(if(A1339="""",,E1339&gt;=FILTER(Constants!$F$2:$F$10,Constants!$A$2:$A$10=A1339)))"),TRUE)</f>
        <v>1</v>
      </c>
    </row>
    <row r="1340">
      <c r="A1340" s="89" t="str">
        <f>IFERROR(__xludf.DUMMYFUNCTION("""COMPUTED_VALUE"""),"Veteran")</f>
        <v>Veteran</v>
      </c>
      <c r="B1340" s="87" t="str">
        <f>IFERROR(__xludf.DUMMYFUNCTION("""COMPUTED_VALUE"""),"RSC005682")</f>
        <v>RSC005682</v>
      </c>
      <c r="C1340" s="73" t="str">
        <f>IFERROR(__xludf.DUMMYFUNCTION("""COMPUTED_VALUE"""),"S_ckz")</f>
        <v>S_ckz</v>
      </c>
      <c r="D1340" s="73" t="str">
        <f>IFERROR(__xludf.DUMMYFUNCTION("""COMPUTED_VALUE"""),"Slots")</f>
        <v>Slots</v>
      </c>
      <c r="E1340" s="82">
        <f>IFERROR(__xludf.DUMMYFUNCTION("""COMPUTED_VALUE"""),4.0)</f>
        <v>4</v>
      </c>
      <c r="F1340" s="82">
        <f>IFERROR(__xludf.DUMMYFUNCTION("""COMPUTED_VALUE"""),2.0)</f>
        <v>2</v>
      </c>
      <c r="G1340" s="86">
        <f>IFERROR(__xludf.DUMMYFUNCTION("""COMPUTED_VALUE"""),2.0)</f>
        <v>2</v>
      </c>
      <c r="H1340" s="86">
        <f>IFERROR(__xludf.DUMMYFUNCTION("""COMPUTED_VALUE"""),0.5)</f>
        <v>0.5</v>
      </c>
      <c r="I1340" s="86">
        <f>IFERROR(__xludf.DUMMYFUNCTION("""COMPUTED_VALUE"""),0.25)</f>
        <v>0.25</v>
      </c>
      <c r="J1340" s="82">
        <f>IFERROR(__xludf.DUMMYFUNCTION("""COMPUTED_VALUE"""),365.75)</f>
        <v>365.75</v>
      </c>
      <c r="K1340" s="82">
        <f>IFERROR(__xludf.DUMMYFUNCTION("""COMPUTED_VALUE"""),0.5)</f>
        <v>0.5</v>
      </c>
      <c r="L1340" s="82">
        <f>IFERROR(__xludf.DUMMYFUNCTION("""COMPUTED_VALUE"""),0.25)</f>
        <v>0.25</v>
      </c>
      <c r="M1340" s="82">
        <f>IFERROR(__xludf.DUMMYFUNCTION("""COMPUTED_VALUE"""),2.25)</f>
        <v>2.25</v>
      </c>
      <c r="N1340" s="82">
        <f>IFERROR(__xludf.DUMMYFUNCTION("""COMPUTED_VALUE"""),2.0)</f>
        <v>2</v>
      </c>
      <c r="O1340" s="82">
        <f>IFERROR(__xludf.DUMMYFUNCTION("""COMPUTED_VALUE"""),345.5833333333333)</f>
        <v>345.5833333</v>
      </c>
      <c r="P1340" s="82">
        <f>IFERROR(__xludf.DUMMYFUNCTION("""COMPUTED_VALUE"""),1.0)</f>
        <v>1</v>
      </c>
      <c r="Q1340" s="82">
        <f>IFERROR(__xludf.DUMMYFUNCTION("""COMPUTED_VALUE"""),0.75)</f>
        <v>0.75</v>
      </c>
      <c r="R1340" s="82">
        <f>IFERROR(__xludf.DUMMYFUNCTION("""COMPUTED_VALUE"""),1.0833333333333333)</f>
        <v>1.083333333</v>
      </c>
      <c r="S1340" s="82">
        <f>IFERROR(__xludf.DUMMYFUNCTION("""COMPUTED_VALUE"""),4.25)</f>
        <v>4.25</v>
      </c>
      <c r="T1340" s="82">
        <f>IFERROR(__xludf.DUMMYFUNCTION("""COMPUTED_VALUE"""),369.4851199690402)</f>
        <v>369.48512</v>
      </c>
      <c r="U1340" s="82">
        <f>IFERROR(__xludf.DUMMYFUNCTION("""COMPUTED_VALUE"""),0.855453431372549)</f>
        <v>0.8554534314</v>
      </c>
      <c r="V1340" s="82">
        <f>IFERROR(__xludf.DUMMYFUNCTION("""COMPUTED_VALUE"""),0.5988325593395253)</f>
        <v>0.5988325593</v>
      </c>
      <c r="W1340" s="82">
        <f>IFERROR(__xludf.DUMMYFUNCTION("""COMPUTED_VALUE"""),1.450377321981424)</f>
        <v>1.450377322</v>
      </c>
      <c r="X1340" s="82">
        <f>IFERROR(__xludf.DUMMYFUNCTION("""COMPUTED_VALUE"""),2.8478360423116618)</f>
        <v>2.847836042</v>
      </c>
      <c r="Y1340" s="82">
        <f>IFERROR(__xludf.DUMMYFUNCTION("""COMPUTED_VALUE"""),356.01212375301)</f>
        <v>356.0121238</v>
      </c>
      <c r="Z1340" s="82">
        <f>IFERROR(__xludf.DUMMYFUNCTION("""COMPUTED_VALUE"""),0.798499312005504)</f>
        <v>0.798499312</v>
      </c>
      <c r="AA1340" s="82">
        <f>IFERROR(__xludf.DUMMYFUNCTION("""COMPUTED_VALUE"""),0.5459171826625387)</f>
        <v>0.5459171827</v>
      </c>
      <c r="AB1340" s="82">
        <f>IFERROR(__xludf.DUMMYFUNCTION("""COMPUTED_VALUE"""),1.469746517027864)</f>
        <v>1.469746517</v>
      </c>
      <c r="AC1340" s="82">
        <f>IFERROR(__xludf.DUMMYFUNCTION("""COMPUTED_VALUE"""),2.6135846663226703)</f>
        <v>2.613584666</v>
      </c>
      <c r="AD1340" s="82">
        <f>IFERROR(__xludf.DUMMYFUNCTION("""COMPUTED_VALUE"""),1.0273526534555488)</f>
        <v>1.027352653</v>
      </c>
      <c r="AE1340" s="82">
        <f>IFERROR(__xludf.DUMMYFUNCTION("""COMPUTED_VALUE"""),0.6261746159106942)</f>
        <v>0.6261746159</v>
      </c>
      <c r="AF1340" s="82">
        <f>IFERROR(__xludf.DUMMYFUNCTION("""COMPUTED_VALUE"""),0.45794491900896744)</f>
        <v>0.457944919</v>
      </c>
      <c r="AG1340" s="82">
        <f>IFERROR(__xludf.DUMMYFUNCTION("""COMPUTED_VALUE"""),1.530876225207849)</f>
        <v>1.530876225</v>
      </c>
      <c r="AH1340" s="82">
        <f>IFERROR(__xludf.DUMMYFUNCTION("""COMPUTED_VALUE"""),0.7652325274826518)</f>
        <v>0.7652325275</v>
      </c>
      <c r="AI1340" s="82">
        <f>IFERROR(__xludf.DUMMYFUNCTION("""COMPUTED_VALUE"""),0.93531055692389)</f>
        <v>0.9353105569</v>
      </c>
      <c r="AJ1340" s="82">
        <f>IFERROR(__xludf.DUMMYFUNCTION("""COMPUTED_VALUE"""),1.1689707041042905)</f>
        <v>1.168970704</v>
      </c>
      <c r="AK1340" s="82">
        <f>IFERROR(__xludf.DUMMYFUNCTION("""COMPUTED_VALUE"""),1.2524369096216192)</f>
        <v>1.25243691</v>
      </c>
      <c r="AL1340" s="82">
        <f>IFERROR(__xludf.DUMMYFUNCTION("""COMPUTED_VALUE"""),0.7469320685829148)</f>
        <v>0.7469320686</v>
      </c>
      <c r="AM1340" s="82">
        <f>IFERROR(__xludf.DUMMYFUNCTION("""COMPUTED_VALUE"""),1.4923611952569311)</f>
        <v>1.492361195</v>
      </c>
      <c r="AN1340" s="82">
        <f>IFERROR(__xludf.DUMMYFUNCTION("""COMPUTED_VALUE"""),1.057989419080383)</f>
        <v>1.057989419</v>
      </c>
      <c r="AO1340" s="82">
        <f>IFERROR(__xludf.DUMMYFUNCTION("""COMPUTED_VALUE"""),0.6617582206727459)</f>
        <v>0.6617582207</v>
      </c>
      <c r="AP1340" s="82">
        <f>IFERROR(__xludf.DUMMYFUNCTION("""COMPUTED_VALUE"""),0.44975549503497325)</f>
        <v>0.449755495</v>
      </c>
      <c r="AQ1340" s="82">
        <f>IFERROR(__xludf.DUMMYFUNCTION("""COMPUTED_VALUE"""),1.6630070802080494)</f>
        <v>1.66300708</v>
      </c>
      <c r="AR1340" s="82">
        <f>IFERROR(__xludf.DUMMYFUNCTION("""COMPUTED_VALUE"""),0.7844635602937551)</f>
        <v>0.7844635603</v>
      </c>
      <c r="AS1340" s="82">
        <f>IFERROR(__xludf.DUMMYFUNCTION("""COMPUTED_VALUE"""),10.0)</f>
        <v>10</v>
      </c>
      <c r="AT1340" s="82">
        <f>IFERROR(__xludf.DUMMYFUNCTION("""COMPUTED_VALUE"""),0.42619635446806875)</f>
        <v>0.4261963545</v>
      </c>
      <c r="AU1340" s="82">
        <f>IFERROR(__xludf.DUMMYFUNCTION("""COMPUTED_VALUE"""),0.8067618667455538)</f>
        <v>0.8067618667</v>
      </c>
      <c r="AV1340" s="82">
        <f>IFERROR(__xludf.DUMMYFUNCTION("""COMPUTED_VALUE"""),14.057420523104376)</f>
        <v>14.05742052</v>
      </c>
      <c r="AW1340" s="82">
        <f t="shared" si="1"/>
        <v>-13.28742169</v>
      </c>
      <c r="AX1340" s="83">
        <f t="array" ref="AX1340">IFERROR(DGET('SBV Import'!A:G,"SBV",{"RSC ID","Tier";B1340,A1340}))</f>
        <v>8.135238577</v>
      </c>
      <c r="AY1340" s="82">
        <f t="shared" si="2"/>
        <v>-21.27328867</v>
      </c>
      <c r="AZ1340" s="82">
        <v>7.985866983280944</v>
      </c>
      <c r="BA1340" s="84">
        <v>1200.0</v>
      </c>
      <c r="BB1340" s="84" t="b">
        <f>IFERROR(__xludf.DUMMYFUNCTION("iferror(if(A1340="""",,E1340&gt;=FILTER(Constants!$F$2:$F$10,Constants!$A$2:$A$10=A1340)))"),TRUE)</f>
        <v>1</v>
      </c>
    </row>
    <row r="1341">
      <c r="A1341" s="89" t="str">
        <f>IFERROR(__xludf.DUMMYFUNCTION("""COMPUTED_VALUE"""),"Veteran")</f>
        <v>Veteran</v>
      </c>
      <c r="B1341" s="87" t="str">
        <f>IFERROR(__xludf.DUMMYFUNCTION("""COMPUTED_VALUE"""),"RSC001893")</f>
        <v>RSC001893</v>
      </c>
      <c r="C1341" s="73" t="str">
        <f>IFERROR(__xludf.DUMMYFUNCTION("""COMPUTED_VALUE"""),"cjax")</f>
        <v>cjax</v>
      </c>
      <c r="D1341" s="73" t="str">
        <f>IFERROR(__xludf.DUMMYFUNCTION("""COMPUTED_VALUE"""),"Peppermint")</f>
        <v>Peppermint</v>
      </c>
      <c r="E1341" s="82">
        <f>IFERROR(__xludf.DUMMYFUNCTION("""COMPUTED_VALUE"""),29.0)</f>
        <v>29</v>
      </c>
      <c r="F1341" s="82">
        <f>IFERROR(__xludf.DUMMYFUNCTION("""COMPUTED_VALUE"""),11.0)</f>
        <v>11</v>
      </c>
      <c r="G1341" s="86">
        <f>IFERROR(__xludf.DUMMYFUNCTION("""COMPUTED_VALUE"""),18.0)</f>
        <v>18</v>
      </c>
      <c r="H1341" s="86">
        <f>IFERROR(__xludf.DUMMYFUNCTION("""COMPUTED_VALUE"""),0.3793103448275862)</f>
        <v>0.3793103448</v>
      </c>
      <c r="I1341" s="86">
        <f>IFERROR(__xludf.DUMMYFUNCTION("""COMPUTED_VALUE"""),0.2826086956521739)</f>
        <v>0.2826086957</v>
      </c>
      <c r="J1341" s="82">
        <f>IFERROR(__xludf.DUMMYFUNCTION("""COMPUTED_VALUE"""),307.48275862068965)</f>
        <v>307.4827586</v>
      </c>
      <c r="K1341" s="82">
        <f>IFERROR(__xludf.DUMMYFUNCTION("""COMPUTED_VALUE"""),0.4482758620689655)</f>
        <v>0.4482758621</v>
      </c>
      <c r="L1341" s="82">
        <f>IFERROR(__xludf.DUMMYFUNCTION("""COMPUTED_VALUE"""),0.4827586206896552)</f>
        <v>0.4827586207</v>
      </c>
      <c r="M1341" s="82">
        <f>IFERROR(__xludf.DUMMYFUNCTION("""COMPUTED_VALUE"""),1.6896551724137931)</f>
        <v>1.689655172</v>
      </c>
      <c r="N1341" s="82">
        <f>IFERROR(__xludf.DUMMYFUNCTION("""COMPUTED_VALUE"""),1.5862068965517242)</f>
        <v>1.586206897</v>
      </c>
      <c r="O1341" s="82">
        <f>IFERROR(__xludf.DUMMYFUNCTION("""COMPUTED_VALUE"""),364.11494252873564)</f>
        <v>364.1149425</v>
      </c>
      <c r="P1341" s="82">
        <f>IFERROR(__xludf.DUMMYFUNCTION("""COMPUTED_VALUE"""),0.9310344827586206)</f>
        <v>0.9310344828</v>
      </c>
      <c r="Q1341" s="82">
        <f>IFERROR(__xludf.DUMMYFUNCTION("""COMPUTED_VALUE"""),0.7011494252873562)</f>
        <v>0.7011494253</v>
      </c>
      <c r="R1341" s="82">
        <f>IFERROR(__xludf.DUMMYFUNCTION("""COMPUTED_VALUE"""),1.045977011494253)</f>
        <v>1.045977011</v>
      </c>
      <c r="S1341" s="82">
        <f>IFERROR(__xludf.DUMMYFUNCTION("""COMPUTED_VALUE"""),3.2068965517241392)</f>
        <v>3.206896552</v>
      </c>
      <c r="T1341" s="82">
        <f>IFERROR(__xludf.DUMMYFUNCTION("""COMPUTED_VALUE"""),348.66674953711123)</f>
        <v>348.6667495</v>
      </c>
      <c r="U1341" s="82">
        <f>IFERROR(__xludf.DUMMYFUNCTION("""COMPUTED_VALUE"""),0.7890324738700187)</f>
        <v>0.7890324739</v>
      </c>
      <c r="V1341" s="82">
        <f>IFERROR(__xludf.DUMMYFUNCTION("""COMPUTED_VALUE"""),0.58567218852917)</f>
        <v>0.5856721885</v>
      </c>
      <c r="W1341" s="82">
        <f>IFERROR(__xludf.DUMMYFUNCTION("""COMPUTED_VALUE"""),1.2682761683764596)</f>
        <v>1.268276168</v>
      </c>
      <c r="X1341" s="82">
        <f>IFERROR(__xludf.DUMMYFUNCTION("""COMPUTED_VALUE"""),2.681866045644279)</f>
        <v>2.681866046</v>
      </c>
      <c r="Y1341" s="82">
        <f>IFERROR(__xludf.DUMMYFUNCTION("""COMPUTED_VALUE"""),362.38609447123594)</f>
        <v>362.3860945</v>
      </c>
      <c r="Z1341" s="82">
        <f>IFERROR(__xludf.DUMMYFUNCTION("""COMPUTED_VALUE"""),0.8383155028000585)</f>
        <v>0.8383155028</v>
      </c>
      <c r="AA1341" s="82">
        <f>IFERROR(__xludf.DUMMYFUNCTION("""COMPUTED_VALUE"""),0.6224995239259857)</f>
        <v>0.6224995239</v>
      </c>
      <c r="AB1341" s="82">
        <f>IFERROR(__xludf.DUMMYFUNCTION("""COMPUTED_VALUE"""),1.3903805549344124)</f>
        <v>1.390380555</v>
      </c>
      <c r="AC1341" s="82">
        <f>IFERROR(__xludf.DUMMYFUNCTION("""COMPUTED_VALUE"""),2.555207088051218)</f>
        <v>2.555207088</v>
      </c>
      <c r="AD1341" s="82">
        <f>IFERROR(__xludf.DUMMYFUNCTION("""COMPUTED_VALUE"""),0.8484949155384763)</f>
        <v>0.8484949155</v>
      </c>
      <c r="AE1341" s="82">
        <f>IFERROR(__xludf.DUMMYFUNCTION("""COMPUTED_VALUE"""),0.5347340715657516)</f>
        <v>0.5347340716</v>
      </c>
      <c r="AF1341" s="82">
        <f>IFERROR(__xludf.DUMMYFUNCTION("""COMPUTED_VALUE"""),0.7755164496271237)</f>
        <v>0.7755164496</v>
      </c>
      <c r="AG1341" s="82">
        <f>IFERROR(__xludf.DUMMYFUNCTION("""COMPUTED_VALUE"""),1.215246549886839)</f>
        <v>1.21524655</v>
      </c>
      <c r="AH1341" s="82">
        <f>IFERROR(__xludf.DUMMYFUNCTION("""COMPUTED_VALUE"""),0.6207743020004997)</f>
        <v>0.620774302</v>
      </c>
      <c r="AI1341" s="82">
        <f>IFERROR(__xludf.DUMMYFUNCTION("""COMPUTED_VALUE"""),1.04430647032484)</f>
        <v>1.04430647</v>
      </c>
      <c r="AJ1341" s="82">
        <f>IFERROR(__xludf.DUMMYFUNCTION("""COMPUTED_VALUE"""),1.1799697903333628)</f>
        <v>1.17996979</v>
      </c>
      <c r="AK1341" s="82">
        <f>IFERROR(__xludf.DUMMYFUNCTION("""COMPUTED_VALUE"""),1.197170429157974)</f>
        <v>1.197170429</v>
      </c>
      <c r="AL1341" s="82">
        <f>IFERROR(__xludf.DUMMYFUNCTION("""COMPUTED_VALUE"""),0.8247233824737279)</f>
        <v>0.8247233825</v>
      </c>
      <c r="AM1341" s="82">
        <f>IFERROR(__xludf.DUMMYFUNCTION("""COMPUTED_VALUE"""),1.1957705929916158)</f>
        <v>1.195770593</v>
      </c>
      <c r="AN1341" s="82">
        <f>IFERROR(__xludf.DUMMYFUNCTION("""COMPUTED_VALUE"""),0.8894422561048178)</f>
        <v>0.8894422561</v>
      </c>
      <c r="AO1341" s="82">
        <f>IFERROR(__xludf.DUMMYFUNCTION("""COMPUTED_VALUE"""),0.5933004737065999)</f>
        <v>0.5933004737</v>
      </c>
      <c r="AP1341" s="82">
        <f>IFERROR(__xludf.DUMMYFUNCTION("""COMPUTED_VALUE"""),0.8684933697227071)</f>
        <v>0.8684933697</v>
      </c>
      <c r="AQ1341" s="82">
        <f>IFERROR(__xludf.DUMMYFUNCTION("""COMPUTED_VALUE"""),1.2488482288152403)</f>
        <v>1.248848229</v>
      </c>
      <c r="AR1341" s="82">
        <f>IFERROR(__xludf.DUMMYFUNCTION("""COMPUTED_VALUE"""),0.6221607547157368)</f>
        <v>0.6221607547</v>
      </c>
      <c r="AS1341" s="82">
        <f>IFERROR(__xludf.DUMMYFUNCTION("""COMPUTED_VALUE"""),56.0)</f>
        <v>56</v>
      </c>
      <c r="AT1341" s="82">
        <f>IFERROR(__xludf.DUMMYFUNCTION("""COMPUTED_VALUE"""),0.3597773712059876)</f>
        <v>0.3597773712</v>
      </c>
      <c r="AU1341" s="82">
        <f>IFERROR(__xludf.DUMMYFUNCTION("""COMPUTED_VALUE"""),0.7781027887918341)</f>
        <v>0.7781027888</v>
      </c>
      <c r="AV1341" s="82">
        <f>IFERROR(__xludf.DUMMYFUNCTION("""COMPUTED_VALUE"""),13.032798481637855)</f>
        <v>13.03279848</v>
      </c>
      <c r="AW1341" s="82">
        <f t="shared" si="1"/>
        <v>-14.36536978</v>
      </c>
      <c r="AX1341" s="83">
        <f t="array" ref="AX1341">IFERROR(DGET('SBV Import'!A:G,"SBV",{"RSC ID","Tier";B1341,A1341}))</f>
        <v>21.71268632</v>
      </c>
      <c r="AY1341" s="82">
        <f t="shared" si="2"/>
        <v>-7.756512569</v>
      </c>
      <c r="AZ1341" s="82">
        <v>6.608857208033797</v>
      </c>
      <c r="BA1341" s="84">
        <v>1200.0</v>
      </c>
      <c r="BB1341" s="84" t="b">
        <f>IFERROR(__xludf.DUMMYFUNCTION("iferror(if(A1341="""",,E1341&gt;=FILTER(Constants!$F$2:$F$10,Constants!$A$2:$A$10=A1341)))"),TRUE)</f>
        <v>1</v>
      </c>
    </row>
    <row r="1342">
      <c r="A1342" s="89" t="str">
        <f>IFERROR(__xludf.DUMMYFUNCTION("""COMPUTED_VALUE"""),"Veteran")</f>
        <v>Veteran</v>
      </c>
      <c r="B1342" s="87" t="str">
        <f>IFERROR(__xludf.DUMMYFUNCTION("""COMPUTED_VALUE"""),"RSC006018")</f>
        <v>RSC006018</v>
      </c>
      <c r="C1342" s="73" t="str">
        <f>IFERROR(__xludf.DUMMYFUNCTION("""COMPUTED_VALUE"""),"Braamse")</f>
        <v>Braamse</v>
      </c>
      <c r="D1342" s="73" t="str">
        <f>IFERROR(__xludf.DUMMYFUNCTION("""COMPUTED_VALUE"""),"Blacksmiths")</f>
        <v>Blacksmiths</v>
      </c>
      <c r="E1342" s="82">
        <f>IFERROR(__xludf.DUMMYFUNCTION("""COMPUTED_VALUE"""),12.0)</f>
        <v>12</v>
      </c>
      <c r="F1342" s="82">
        <f>IFERROR(__xludf.DUMMYFUNCTION("""COMPUTED_VALUE"""),3.0)</f>
        <v>3</v>
      </c>
      <c r="G1342" s="86">
        <f>IFERROR(__xludf.DUMMYFUNCTION("""COMPUTED_VALUE"""),9.0)</f>
        <v>9</v>
      </c>
      <c r="H1342" s="86">
        <f>IFERROR(__xludf.DUMMYFUNCTION("""COMPUTED_VALUE"""),0.25)</f>
        <v>0.25</v>
      </c>
      <c r="I1342" s="86">
        <f>IFERROR(__xludf.DUMMYFUNCTION("""COMPUTED_VALUE"""),0.2777777777777778)</f>
        <v>0.2777777778</v>
      </c>
      <c r="J1342" s="82">
        <f>IFERROR(__xludf.DUMMYFUNCTION("""COMPUTED_VALUE"""),298.6666666666667)</f>
        <v>298.6666667</v>
      </c>
      <c r="K1342" s="82">
        <f>IFERROR(__xludf.DUMMYFUNCTION("""COMPUTED_VALUE"""),0.4166666666666667)</f>
        <v>0.4166666667</v>
      </c>
      <c r="L1342" s="82">
        <f>IFERROR(__xludf.DUMMYFUNCTION("""COMPUTED_VALUE"""),0.5)</f>
        <v>0.5</v>
      </c>
      <c r="M1342" s="82">
        <f>IFERROR(__xludf.DUMMYFUNCTION("""COMPUTED_VALUE"""),1.75)</f>
        <v>1.75</v>
      </c>
      <c r="N1342" s="82">
        <f>IFERROR(__xludf.DUMMYFUNCTION("""COMPUTED_VALUE"""),1.5)</f>
        <v>1.5</v>
      </c>
      <c r="O1342" s="82">
        <f>IFERROR(__xludf.DUMMYFUNCTION("""COMPUTED_VALUE"""),400.97222222222223)</f>
        <v>400.9722222</v>
      </c>
      <c r="P1342" s="82">
        <f>IFERROR(__xludf.DUMMYFUNCTION("""COMPUTED_VALUE"""),0.9166666666666665)</f>
        <v>0.9166666667</v>
      </c>
      <c r="Q1342" s="82">
        <f>IFERROR(__xludf.DUMMYFUNCTION("""COMPUTED_VALUE"""),0.7777777777777778)</f>
        <v>0.7777777778</v>
      </c>
      <c r="R1342" s="82">
        <f>IFERROR(__xludf.DUMMYFUNCTION("""COMPUTED_VALUE"""),1.4722222222222223)</f>
        <v>1.472222222</v>
      </c>
      <c r="S1342" s="82">
        <f>IFERROR(__xludf.DUMMYFUNCTION("""COMPUTED_VALUE"""),3.222222222222222)</f>
        <v>3.222222222</v>
      </c>
      <c r="T1342" s="82">
        <f>IFERROR(__xludf.DUMMYFUNCTION("""COMPUTED_VALUE"""),372.9404553989994)</f>
        <v>372.9404554</v>
      </c>
      <c r="U1342" s="82">
        <f>IFERROR(__xludf.DUMMYFUNCTION("""COMPUTED_VALUE"""),0.8345234994754711)</f>
        <v>0.8345234995</v>
      </c>
      <c r="V1342" s="82">
        <f>IFERROR(__xludf.DUMMYFUNCTION("""COMPUTED_VALUE"""),0.6808490862206736)</f>
        <v>0.6808490862</v>
      </c>
      <c r="W1342" s="82">
        <f>IFERROR(__xludf.DUMMYFUNCTION("""COMPUTED_VALUE"""),1.4154149772071916)</f>
        <v>1.415414977</v>
      </c>
      <c r="X1342" s="82">
        <f>IFERROR(__xludf.DUMMYFUNCTION("""COMPUTED_VALUE"""),2.853126928683046)</f>
        <v>2.853126929</v>
      </c>
      <c r="Y1342" s="82">
        <f>IFERROR(__xludf.DUMMYFUNCTION("""COMPUTED_VALUE"""),361.7987128434424)</f>
        <v>361.7987128</v>
      </c>
      <c r="Z1342" s="82">
        <f>IFERROR(__xludf.DUMMYFUNCTION("""COMPUTED_VALUE"""),0.8241166844427714)</f>
        <v>0.8241166844</v>
      </c>
      <c r="AA1342" s="82">
        <f>IFERROR(__xludf.DUMMYFUNCTION("""COMPUTED_VALUE"""),0.6008426708544673)</f>
        <v>0.6008426709</v>
      </c>
      <c r="AB1342" s="82">
        <f>IFERROR(__xludf.DUMMYFUNCTION("""COMPUTED_VALUE"""),1.33358086133617)</f>
        <v>1.333580861</v>
      </c>
      <c r="AC1342" s="82">
        <f>IFERROR(__xludf.DUMMYFUNCTION("""COMPUTED_VALUE"""),2.7017676139474247)</f>
        <v>2.701767614</v>
      </c>
      <c r="AD1342" s="82">
        <f>IFERROR(__xludf.DUMMYFUNCTION("""COMPUTED_VALUE"""),0.8255050558897532)</f>
        <v>0.8255050559</v>
      </c>
      <c r="AE1342" s="82">
        <f>IFERROR(__xludf.DUMMYFUNCTION("""COMPUTED_VALUE"""),0.5055918349091512)</f>
        <v>0.5055918349</v>
      </c>
      <c r="AF1342" s="82">
        <f>IFERROR(__xludf.DUMMYFUNCTION("""COMPUTED_VALUE"""),0.832164598577765)</f>
        <v>0.8321645986</v>
      </c>
      <c r="AG1342" s="82">
        <f>IFERROR(__xludf.DUMMYFUNCTION("""COMPUTED_VALUE"""),1.3122563848483866)</f>
        <v>1.312256385</v>
      </c>
      <c r="AH1342" s="82">
        <f>IFERROR(__xludf.DUMMYFUNCTION("""COMPUTED_VALUE"""),0.5551920869346795)</f>
        <v>0.5551920869</v>
      </c>
      <c r="AI1342" s="82">
        <f>IFERROR(__xludf.DUMMYFUNCTION("""COMPUTED_VALUE"""),1.0751641888602093)</f>
        <v>1.075164189</v>
      </c>
      <c r="AJ1342" s="82">
        <f>IFERROR(__xludf.DUMMYFUNCTION("""COMPUTED_VALUE"""),1.0984312212212424)</f>
        <v>1.098431221</v>
      </c>
      <c r="AK1342" s="82">
        <f>IFERROR(__xludf.DUMMYFUNCTION("""COMPUTED_VALUE"""),1.1423644292381234)</f>
        <v>1.142364429</v>
      </c>
      <c r="AL1342" s="82">
        <f>IFERROR(__xludf.DUMMYFUNCTION("""COMPUTED_VALUE"""),1.0401346926023909)</f>
        <v>1.040134693</v>
      </c>
      <c r="AM1342" s="82">
        <f>IFERROR(__xludf.DUMMYFUNCTION("""COMPUTED_VALUE"""),1.1293651852038507)</f>
        <v>1.129365185</v>
      </c>
      <c r="AN1342" s="82">
        <f>IFERROR(__xludf.DUMMYFUNCTION("""COMPUTED_VALUE"""),0.863940323076804)</f>
        <v>0.8639403231</v>
      </c>
      <c r="AO1342" s="82">
        <f>IFERROR(__xludf.DUMMYFUNCTION("""COMPUTED_VALUE"""),0.551465183893955)</f>
        <v>0.5514651839</v>
      </c>
      <c r="AP1342" s="82">
        <f>IFERROR(__xludf.DUMMYFUNCTION("""COMPUTED_VALUE"""),0.8995109900699465)</f>
        <v>0.8995109901</v>
      </c>
      <c r="AQ1342" s="82">
        <f>IFERROR(__xludf.DUMMYFUNCTION("""COMPUTED_VALUE"""),1.2934499512729274)</f>
        <v>1.293449951</v>
      </c>
      <c r="AR1342" s="82">
        <f>IFERROR(__xludf.DUMMYFUNCTION("""COMPUTED_VALUE"""),0.5883476702203163)</f>
        <v>0.5883476702</v>
      </c>
      <c r="AS1342" s="82">
        <f>IFERROR(__xludf.DUMMYFUNCTION("""COMPUTED_VALUE"""),22.0)</f>
        <v>22</v>
      </c>
      <c r="AT1342" s="82">
        <f>IFERROR(__xludf.DUMMYFUNCTION("""COMPUTED_VALUE"""),0.3480452142604796)</f>
        <v>0.3480452143</v>
      </c>
      <c r="AU1342" s="82">
        <f>IFERROR(__xludf.DUMMYFUNCTION("""COMPUTED_VALUE"""),0.7748625583023969)</f>
        <v>0.7748625583</v>
      </c>
      <c r="AV1342" s="82">
        <f>IFERROR(__xludf.DUMMYFUNCTION("""COMPUTED_VALUE"""),12.91695345744445)</f>
        <v>12.91695346</v>
      </c>
      <c r="AW1342" s="82">
        <f t="shared" si="1"/>
        <v>-14.49391769</v>
      </c>
      <c r="AX1342" s="83">
        <f t="array" ref="AX1342">IFERROR(DGET('SBV Import'!A:G,"SBV",{"RSC ID","Tier";B1342,A1342}))</f>
        <v>9.99251249</v>
      </c>
      <c r="AY1342" s="82">
        <f t="shared" si="2"/>
        <v>-18.25947779</v>
      </c>
      <c r="AZ1342" s="82">
        <v>3.7655601024597054</v>
      </c>
      <c r="BA1342" s="84">
        <v>1200.0</v>
      </c>
      <c r="BB1342" s="84" t="b">
        <f>IFERROR(__xludf.DUMMYFUNCTION("iferror(if(A1342="""",,E1342&gt;=FILTER(Constants!$F$2:$F$10,Constants!$A$2:$A$10=A1342)))"),TRUE)</f>
        <v>1</v>
      </c>
    </row>
    <row r="1343">
      <c r="A1343" s="89" t="str">
        <f>IFERROR(__xludf.DUMMYFUNCTION("""COMPUTED_VALUE"""),"Veteran")</f>
        <v>Veteran</v>
      </c>
      <c r="B1343" s="87" t="str">
        <f>IFERROR(__xludf.DUMMYFUNCTION("""COMPUTED_VALUE"""),"RSC005267")</f>
        <v>RSC005267</v>
      </c>
      <c r="C1343" s="73" t="str">
        <f>IFERROR(__xludf.DUMMYFUNCTION("""COMPUTED_VALUE"""),"jj.dunbar")</f>
        <v>jj.dunbar</v>
      </c>
      <c r="D1343" s="73" t="str">
        <f>IFERROR(__xludf.DUMMYFUNCTION("""COMPUTED_VALUE"""),"Banshees")</f>
        <v>Banshees</v>
      </c>
      <c r="E1343" s="82">
        <f>IFERROR(__xludf.DUMMYFUNCTION("""COMPUTED_VALUE"""),21.0)</f>
        <v>21</v>
      </c>
      <c r="F1343" s="82">
        <f>IFERROR(__xludf.DUMMYFUNCTION("""COMPUTED_VALUE"""),6.0)</f>
        <v>6</v>
      </c>
      <c r="G1343" s="86">
        <f>IFERROR(__xludf.DUMMYFUNCTION("""COMPUTED_VALUE"""),15.0)</f>
        <v>15</v>
      </c>
      <c r="H1343" s="86">
        <f>IFERROR(__xludf.DUMMYFUNCTION("""COMPUTED_VALUE"""),0.2857142857142857)</f>
        <v>0.2857142857</v>
      </c>
      <c r="I1343" s="86">
        <f>IFERROR(__xludf.DUMMYFUNCTION("""COMPUTED_VALUE"""),0.30303030303030304)</f>
        <v>0.303030303</v>
      </c>
      <c r="J1343" s="82">
        <f>IFERROR(__xludf.DUMMYFUNCTION("""COMPUTED_VALUE"""),260.7142857142857)</f>
        <v>260.7142857</v>
      </c>
      <c r="K1343" s="82">
        <f>IFERROR(__xludf.DUMMYFUNCTION("""COMPUTED_VALUE"""),0.47619047619047616)</f>
        <v>0.4761904762</v>
      </c>
      <c r="L1343" s="82">
        <f>IFERROR(__xludf.DUMMYFUNCTION("""COMPUTED_VALUE"""),0.42857142857142855)</f>
        <v>0.4285714286</v>
      </c>
      <c r="M1343" s="82">
        <f>IFERROR(__xludf.DUMMYFUNCTION("""COMPUTED_VALUE"""),0.9047619047619048)</f>
        <v>0.9047619048</v>
      </c>
      <c r="N1343" s="82">
        <f>IFERROR(__xludf.DUMMYFUNCTION("""COMPUTED_VALUE"""),1.5714285714285714)</f>
        <v>1.571428571</v>
      </c>
      <c r="O1343" s="82">
        <f>IFERROR(__xludf.DUMMYFUNCTION("""COMPUTED_VALUE"""),340.4761904761904)</f>
        <v>340.4761905</v>
      </c>
      <c r="P1343" s="82">
        <f>IFERROR(__xludf.DUMMYFUNCTION("""COMPUTED_VALUE"""),0.8253968253968255)</f>
        <v>0.8253968254</v>
      </c>
      <c r="Q1343" s="82">
        <f>IFERROR(__xludf.DUMMYFUNCTION("""COMPUTED_VALUE"""),0.619047619047619)</f>
        <v>0.619047619</v>
      </c>
      <c r="R1343" s="82">
        <f>IFERROR(__xludf.DUMMYFUNCTION("""COMPUTED_VALUE"""),1.111111111111111)</f>
        <v>1.111111111</v>
      </c>
      <c r="S1343" s="82">
        <f>IFERROR(__xludf.DUMMYFUNCTION("""COMPUTED_VALUE"""),2.682539682539683)</f>
        <v>2.682539683</v>
      </c>
      <c r="T1343" s="82">
        <f>IFERROR(__xludf.DUMMYFUNCTION("""COMPUTED_VALUE"""),347.4459091129756)</f>
        <v>347.4459091</v>
      </c>
      <c r="U1343" s="82">
        <f>IFERROR(__xludf.DUMMYFUNCTION("""COMPUTED_VALUE"""),0.7632359432730282)</f>
        <v>0.7632359433</v>
      </c>
      <c r="V1343" s="82">
        <f>IFERROR(__xludf.DUMMYFUNCTION("""COMPUTED_VALUE"""),0.529222444146253)</f>
        <v>0.5292224441</v>
      </c>
      <c r="W1343" s="82">
        <f>IFERROR(__xludf.DUMMYFUNCTION("""COMPUTED_VALUE"""),1.3871796575735873)</f>
        <v>1.387179658</v>
      </c>
      <c r="X1343" s="82">
        <f>IFERROR(__xludf.DUMMYFUNCTION("""COMPUTED_VALUE"""),2.5305933466137747)</f>
        <v>2.530593347</v>
      </c>
      <c r="Y1343" s="82">
        <f>IFERROR(__xludf.DUMMYFUNCTION("""COMPUTED_VALUE"""),360.6404054711352)</f>
        <v>360.6404055</v>
      </c>
      <c r="Z1343" s="82">
        <f>IFERROR(__xludf.DUMMYFUNCTION("""COMPUTED_VALUE"""),0.8286453514323536)</f>
        <v>0.8286453514</v>
      </c>
      <c r="AA1343" s="82">
        <f>IFERROR(__xludf.DUMMYFUNCTION("""COMPUTED_VALUE"""),0.6081267967679695)</f>
        <v>0.6081267968</v>
      </c>
      <c r="AB1343" s="82">
        <f>IFERROR(__xludf.DUMMYFUNCTION("""COMPUTED_VALUE"""),1.3304905387025239)</f>
        <v>1.330490539</v>
      </c>
      <c r="AC1343" s="82">
        <f>IFERROR(__xludf.DUMMYFUNCTION("""COMPUTED_VALUE"""),2.7244346694054475)</f>
        <v>2.724434669</v>
      </c>
      <c r="AD1343" s="82">
        <f>IFERROR(__xludf.DUMMYFUNCTION("""COMPUTED_VALUE"""),0.7229203432535312)</f>
        <v>0.7229203433</v>
      </c>
      <c r="AE1343" s="82">
        <f>IFERROR(__xludf.DUMMYFUNCTION("""COMPUTED_VALUE"""),0.5746613739730246)</f>
        <v>0.574661374</v>
      </c>
      <c r="AF1343" s="82">
        <f>IFERROR(__xludf.DUMMYFUNCTION("""COMPUTED_VALUE"""),0.7047402463584411)</f>
        <v>0.7047402464</v>
      </c>
      <c r="AG1343" s="82">
        <f>IFERROR(__xludf.DUMMYFUNCTION("""COMPUTED_VALUE"""),0.6800212992451763)</f>
        <v>0.6800212992</v>
      </c>
      <c r="AH1343" s="82">
        <f>IFERROR(__xludf.DUMMYFUNCTION("""COMPUTED_VALUE"""),0.5767906968279418)</f>
        <v>0.5767906968</v>
      </c>
      <c r="AI1343" s="82">
        <f>IFERROR(__xludf.DUMMYFUNCTION("""COMPUTED_VALUE"""),0.9799401332582135)</f>
        <v>0.9799401333</v>
      </c>
      <c r="AJ1343" s="82">
        <f>IFERROR(__xludf.DUMMYFUNCTION("""COMPUTED_VALUE"""),1.0814438610650714)</f>
        <v>1.081443861</v>
      </c>
      <c r="AK1343" s="82">
        <f>IFERROR(__xludf.DUMMYFUNCTION("""COMPUTED_VALUE"""),1.169730471364027)</f>
        <v>1.169730471</v>
      </c>
      <c r="AL1343" s="82">
        <f>IFERROR(__xludf.DUMMYFUNCTION("""COMPUTED_VALUE"""),0.8009857303232322)</f>
        <v>0.8009857303</v>
      </c>
      <c r="AM1343" s="82">
        <f>IFERROR(__xludf.DUMMYFUNCTION("""COMPUTED_VALUE"""),1.0600437585632752)</f>
        <v>1.060043759</v>
      </c>
      <c r="AN1343" s="82">
        <f>IFERROR(__xludf.DUMMYFUNCTION("""COMPUTED_VALUE"""),0.7541570900582752)</f>
        <v>0.7541570901</v>
      </c>
      <c r="AO1343" s="82">
        <f>IFERROR(__xludf.DUMMYFUNCTION("""COMPUTED_VALUE"""),0.6302459244502342)</f>
        <v>0.6302459245</v>
      </c>
      <c r="AP1343" s="82">
        <f>IFERROR(__xludf.DUMMYFUNCTION("""COMPUTED_VALUE"""),0.7710094200599541)</f>
        <v>0.7710094201</v>
      </c>
      <c r="AQ1343" s="82">
        <f>IFERROR(__xludf.DUMMYFUNCTION("""COMPUTED_VALUE"""),0.6687224237873638)</f>
        <v>0.6687224238</v>
      </c>
      <c r="AR1343" s="82">
        <f>IFERROR(__xludf.DUMMYFUNCTION("""COMPUTED_VALUE"""),0.6163642259450933)</f>
        <v>0.6163642259</v>
      </c>
      <c r="AS1343" s="82">
        <f>IFERROR(__xludf.DUMMYFUNCTION("""COMPUTED_VALUE"""),39.0)</f>
        <v>39</v>
      </c>
      <c r="AT1343" s="82">
        <f>IFERROR(__xludf.DUMMYFUNCTION("""COMPUTED_VALUE"""),0.3921679441655292)</f>
        <v>0.3921679442</v>
      </c>
      <c r="AU1343" s="82">
        <f>IFERROR(__xludf.DUMMYFUNCTION("""COMPUTED_VALUE"""),0.731226719696025)</f>
        <v>0.7312267197</v>
      </c>
      <c r="AV1343" s="82">
        <f>IFERROR(__xludf.DUMMYFUNCTION("""COMPUTED_VALUE"""),11.35688086522201)</f>
        <v>11.35688087</v>
      </c>
      <c r="AW1343" s="82">
        <f t="shared" si="1"/>
        <v>-16.37048992</v>
      </c>
      <c r="AX1343" s="83">
        <f t="array" ref="AX1343">IFERROR(DGET('SBV Import'!A:G,"SBV",{"RSC ID","Tier";B1343,A1343}))</f>
        <v>9.184019805</v>
      </c>
      <c r="AY1343" s="82">
        <f t="shared" si="2"/>
        <v>-19.50365157</v>
      </c>
      <c r="AZ1343" s="82">
        <v>3.1331616519984458</v>
      </c>
      <c r="BA1343" s="84">
        <v>1200.0</v>
      </c>
      <c r="BB1343" s="84" t="b">
        <f>IFERROR(__xludf.DUMMYFUNCTION("iferror(if(A1343="""",,E1343&gt;=FILTER(Constants!$F$2:$F$10,Constants!$A$2:$A$10=A1343)))"),TRUE)</f>
        <v>1</v>
      </c>
    </row>
    <row r="1344">
      <c r="A1344" s="89" t="str">
        <f>IFERROR(__xludf.DUMMYFUNCTION("""COMPUTED_VALUE"""),"Veteran")</f>
        <v>Veteran</v>
      </c>
      <c r="B1344" s="87" t="str">
        <f>IFERROR(__xludf.DUMMYFUNCTION("""COMPUTED_VALUE"""),"RSC007720")</f>
        <v>RSC007720</v>
      </c>
      <c r="C1344" s="73" t="str">
        <f>IFERROR(__xludf.DUMMYFUNCTION("""COMPUTED_VALUE"""),"trock")</f>
        <v>trock</v>
      </c>
      <c r="D1344" s="73"/>
      <c r="E1344" s="82">
        <f>IFERROR(__xludf.DUMMYFUNCTION("""COMPUTED_VALUE"""),4.0)</f>
        <v>4</v>
      </c>
      <c r="F1344" s="82">
        <f>IFERROR(__xludf.DUMMYFUNCTION("""COMPUTED_VALUE"""),2.0)</f>
        <v>2</v>
      </c>
      <c r="G1344" s="86">
        <f>IFERROR(__xludf.DUMMYFUNCTION("""COMPUTED_VALUE"""),2.0)</f>
        <v>2</v>
      </c>
      <c r="H1344" s="86">
        <f>IFERROR(__xludf.DUMMYFUNCTION("""COMPUTED_VALUE"""),0.5)</f>
        <v>0.5</v>
      </c>
      <c r="I1344" s="86">
        <f>IFERROR(__xludf.DUMMYFUNCTION("""COMPUTED_VALUE"""),0.16666666666666666)</f>
        <v>0.1666666667</v>
      </c>
      <c r="J1344" s="82">
        <f>IFERROR(__xludf.DUMMYFUNCTION("""COMPUTED_VALUE"""),255.5)</f>
        <v>255.5</v>
      </c>
      <c r="K1344" s="82">
        <f>IFERROR(__xludf.DUMMYFUNCTION("""COMPUTED_VALUE"""),0.25)</f>
        <v>0.25</v>
      </c>
      <c r="L1344" s="82">
        <f>IFERROR(__xludf.DUMMYFUNCTION("""COMPUTED_VALUE"""),0.5)</f>
        <v>0.5</v>
      </c>
      <c r="M1344" s="82">
        <f>IFERROR(__xludf.DUMMYFUNCTION("""COMPUTED_VALUE"""),1.5)</f>
        <v>1.5</v>
      </c>
      <c r="N1344" s="82">
        <f>IFERROR(__xludf.DUMMYFUNCTION("""COMPUTED_VALUE"""),1.5)</f>
        <v>1.5</v>
      </c>
      <c r="O1344" s="82">
        <f>IFERROR(__xludf.DUMMYFUNCTION("""COMPUTED_VALUE"""),400.8333333333333)</f>
        <v>400.8333333</v>
      </c>
      <c r="P1344" s="82">
        <f>IFERROR(__xludf.DUMMYFUNCTION("""COMPUTED_VALUE"""),0.9166666666666666)</f>
        <v>0.9166666667</v>
      </c>
      <c r="Q1344" s="82">
        <f>IFERROR(__xludf.DUMMYFUNCTION("""COMPUTED_VALUE"""),0.7499999999999999)</f>
        <v>0.75</v>
      </c>
      <c r="R1344" s="82">
        <f>IFERROR(__xludf.DUMMYFUNCTION("""COMPUTED_VALUE"""),1.4166666666666667)</f>
        <v>1.416666667</v>
      </c>
      <c r="S1344" s="82">
        <f>IFERROR(__xludf.DUMMYFUNCTION("""COMPUTED_VALUE"""),2.416666666666667)</f>
        <v>2.416666667</v>
      </c>
      <c r="T1344" s="82">
        <f>IFERROR(__xludf.DUMMYFUNCTION("""COMPUTED_VALUE"""),380.6820652173913)</f>
        <v>380.6820652</v>
      </c>
      <c r="U1344" s="82">
        <f>IFERROR(__xludf.DUMMYFUNCTION("""COMPUTED_VALUE"""),0.9042874396135266)</f>
        <v>0.9042874396</v>
      </c>
      <c r="V1344" s="82">
        <f>IFERROR(__xludf.DUMMYFUNCTION("""COMPUTED_VALUE"""),0.6935386473429952)</f>
        <v>0.6935386473</v>
      </c>
      <c r="W1344" s="82">
        <f>IFERROR(__xludf.DUMMYFUNCTION("""COMPUTED_VALUE"""),1.3565821256038646)</f>
        <v>1.356582126</v>
      </c>
      <c r="X1344" s="82">
        <f>IFERROR(__xludf.DUMMYFUNCTION("""COMPUTED_VALUE"""),2.894625603864734)</f>
        <v>2.894625604</v>
      </c>
      <c r="Y1344" s="82">
        <f>IFERROR(__xludf.DUMMYFUNCTION("""COMPUTED_VALUE"""),347.3510466988728)</f>
        <v>347.3510467</v>
      </c>
      <c r="Z1344" s="82">
        <f>IFERROR(__xludf.DUMMYFUNCTION("""COMPUTED_VALUE"""),0.7556360708534623)</f>
        <v>0.7556360709</v>
      </c>
      <c r="AA1344" s="82">
        <f>IFERROR(__xludf.DUMMYFUNCTION("""COMPUTED_VALUE"""),0.5328099838969406)</f>
        <v>0.5328099839</v>
      </c>
      <c r="AB1344" s="82">
        <f>IFERROR(__xludf.DUMMYFUNCTION("""COMPUTED_VALUE"""),1.4414251207729467)</f>
        <v>1.441425121</v>
      </c>
      <c r="AC1344" s="82">
        <f>IFERROR(__xludf.DUMMYFUNCTION("""COMPUTED_VALUE"""),2.4339774557165863)</f>
        <v>2.433977456</v>
      </c>
      <c r="AD1344" s="82">
        <f>IFERROR(__xludf.DUMMYFUNCTION("""COMPUTED_VALUE"""),0.7355670939477528)</f>
        <v>0.7355670939</v>
      </c>
      <c r="AE1344" s="82">
        <f>IFERROR(__xludf.DUMMYFUNCTION("""COMPUTED_VALUE"""),0.3308470964304741)</f>
        <v>0.3308470964</v>
      </c>
      <c r="AF1344" s="82">
        <f>IFERROR(__xludf.DUMMYFUNCTION("""COMPUTED_VALUE"""),0.9384208537967508)</f>
        <v>0.9384208538</v>
      </c>
      <c r="AG1344" s="82">
        <f>IFERROR(__xludf.DUMMYFUNCTION("""COMPUTED_VALUE"""),1.0406367825722667)</f>
        <v>1.040636783</v>
      </c>
      <c r="AH1344" s="82">
        <f>IFERROR(__xludf.DUMMYFUNCTION("""COMPUTED_VALUE"""),0.6162752232881243)</f>
        <v>0.6162752233</v>
      </c>
      <c r="AI1344" s="82">
        <f>IFERROR(__xludf.DUMMYFUNCTION("""COMPUTED_VALUE"""),1.0529346401029807)</f>
        <v>1.05293464</v>
      </c>
      <c r="AJ1344" s="82">
        <f>IFERROR(__xludf.DUMMYFUNCTION("""COMPUTED_VALUE"""),1.0136894824707845)</f>
        <v>1.013689482</v>
      </c>
      <c r="AK1344" s="82">
        <f>IFERROR(__xludf.DUMMYFUNCTION("""COMPUTED_VALUE"""),1.0814105354810621)</f>
        <v>1.081410535</v>
      </c>
      <c r="AL1344" s="82">
        <f>IFERROR(__xludf.DUMMYFUNCTION("""COMPUTED_VALUE"""),1.0442911195192524)</f>
        <v>1.04429112</v>
      </c>
      <c r="AM1344" s="82">
        <f>IFERROR(__xludf.DUMMYFUNCTION("""COMPUTED_VALUE"""),0.8348805674350684)</f>
        <v>0.8348805674</v>
      </c>
      <c r="AN1344" s="82">
        <f>IFERROR(__xludf.DUMMYFUNCTION("""COMPUTED_VALUE"""),0.7390739482571097)</f>
        <v>0.7390739483</v>
      </c>
      <c r="AO1344" s="82">
        <f>IFERROR(__xludf.DUMMYFUNCTION("""COMPUTED_VALUE"""),0.33087911033637296)</f>
        <v>0.3308791103</v>
      </c>
      <c r="AP1344" s="82">
        <f>IFERROR(__xludf.DUMMYFUNCTION("""COMPUTED_VALUE"""),0.8995109900699465)</f>
        <v>0.8995109901</v>
      </c>
      <c r="AQ1344" s="82">
        <f>IFERROR(__xludf.DUMMYFUNCTION("""COMPUTED_VALUE"""),1.1086713868053664)</f>
        <v>1.108671387</v>
      </c>
      <c r="AR1344" s="82">
        <f>IFERROR(__xludf.DUMMYFUNCTION("""COMPUTED_VALUE"""),0.5883476702203163)</f>
        <v>0.5883476702</v>
      </c>
      <c r="AS1344" s="82">
        <f>IFERROR(__xludf.DUMMYFUNCTION("""COMPUTED_VALUE"""),9.0)</f>
        <v>9</v>
      </c>
      <c r="AT1344" s="82">
        <f>IFERROR(__xludf.DUMMYFUNCTION("""COMPUTED_VALUE"""),0.4210451229082831)</f>
        <v>0.4210451229</v>
      </c>
      <c r="AU1344" s="82">
        <f>IFERROR(__xludf.DUMMYFUNCTION("""COMPUTED_VALUE"""),0.6727654411088004)</f>
        <v>0.6727654411</v>
      </c>
      <c r="AV1344" s="82">
        <f>IFERROR(__xludf.DUMMYFUNCTION("""COMPUTED_VALUE"""),9.266767753086448)</f>
        <v>9.266767753</v>
      </c>
      <c r="AW1344" s="82">
        <f t="shared" si="1"/>
        <v>-19.37171169</v>
      </c>
      <c r="AX1344" s="83">
        <f t="array" ref="AX1344">IFERROR(DGET('SBV Import'!A:G,"SBV",{"RSC ID","Tier";B1344,A1344}))</f>
        <v>14.99722419</v>
      </c>
      <c r="AY1344" s="82">
        <f t="shared" si="2"/>
        <v>-12.38542921</v>
      </c>
      <c r="AZ1344" s="82">
        <v>6.986282474150061</v>
      </c>
      <c r="BA1344" s="84">
        <v>1200.0</v>
      </c>
      <c r="BB1344" s="84" t="b">
        <f>IFERROR(__xludf.DUMMYFUNCTION("iferror(if(A1344="""",,E1344&gt;=FILTER(Constants!$F$2:$F$10,Constants!$A$2:$A$10=A1344)))"),TRUE)</f>
        <v>1</v>
      </c>
    </row>
    <row r="1345">
      <c r="A1345" s="89" t="str">
        <f>IFERROR(__xludf.DUMMYFUNCTION("""COMPUTED_VALUE"""),"Veteran")</f>
        <v>Veteran</v>
      </c>
      <c r="B1345" s="87" t="str">
        <f>IFERROR(__xludf.DUMMYFUNCTION("""COMPUTED_VALUE"""),"RSC000367")</f>
        <v>RSC000367</v>
      </c>
      <c r="C1345" s="73" t="str">
        <f>IFERROR(__xludf.DUMMYFUNCTION("""COMPUTED_VALUE"""),"Pana")</f>
        <v>Pana</v>
      </c>
      <c r="D1345" s="73" t="str">
        <f>IFERROR(__xludf.DUMMYFUNCTION("""COMPUTED_VALUE"""),"Supernova")</f>
        <v>Supernova</v>
      </c>
      <c r="E1345" s="82">
        <f>IFERROR(__xludf.DUMMYFUNCTION("""COMPUTED_VALUE"""),24.0)</f>
        <v>24</v>
      </c>
      <c r="F1345" s="82">
        <f>IFERROR(__xludf.DUMMYFUNCTION("""COMPUTED_VALUE"""),7.0)</f>
        <v>7</v>
      </c>
      <c r="G1345" s="86">
        <f>IFERROR(__xludf.DUMMYFUNCTION("""COMPUTED_VALUE"""),17.0)</f>
        <v>17</v>
      </c>
      <c r="H1345" s="86">
        <f>IFERROR(__xludf.DUMMYFUNCTION("""COMPUTED_VALUE"""),0.2916666666666667)</f>
        <v>0.2916666667</v>
      </c>
      <c r="I1345" s="86">
        <f>IFERROR(__xludf.DUMMYFUNCTION("""COMPUTED_VALUE"""),0.19607843137254902)</f>
        <v>0.1960784314</v>
      </c>
      <c r="J1345" s="82">
        <f>IFERROR(__xludf.DUMMYFUNCTION("""COMPUTED_VALUE"""),306.8333333333333)</f>
        <v>306.8333333</v>
      </c>
      <c r="K1345" s="82">
        <f>IFERROR(__xludf.DUMMYFUNCTION("""COMPUTED_VALUE"""),0.4166666666666667)</f>
        <v>0.4166666667</v>
      </c>
      <c r="L1345" s="82">
        <f>IFERROR(__xludf.DUMMYFUNCTION("""COMPUTED_VALUE"""),0.3333333333333333)</f>
        <v>0.3333333333</v>
      </c>
      <c r="M1345" s="82">
        <f>IFERROR(__xludf.DUMMYFUNCTION("""COMPUTED_VALUE"""),1.7916666666666667)</f>
        <v>1.791666667</v>
      </c>
      <c r="N1345" s="82">
        <f>IFERROR(__xludf.DUMMYFUNCTION("""COMPUTED_VALUE"""),2.125)</f>
        <v>2.125</v>
      </c>
      <c r="O1345" s="82">
        <f>IFERROR(__xludf.DUMMYFUNCTION("""COMPUTED_VALUE"""),394.3194444444444)</f>
        <v>394.3194444</v>
      </c>
      <c r="P1345" s="82">
        <f>IFERROR(__xludf.DUMMYFUNCTION("""COMPUTED_VALUE"""),1.1666666666666667)</f>
        <v>1.166666667</v>
      </c>
      <c r="Q1345" s="82">
        <f>IFERROR(__xludf.DUMMYFUNCTION("""COMPUTED_VALUE"""),0.8055555555555557)</f>
        <v>0.8055555556</v>
      </c>
      <c r="R1345" s="82">
        <f>IFERROR(__xludf.DUMMYFUNCTION("""COMPUTED_VALUE"""),1.1250000000000002)</f>
        <v>1.125</v>
      </c>
      <c r="S1345" s="82">
        <f>IFERROR(__xludf.DUMMYFUNCTION("""COMPUTED_VALUE"""),3.2083333333333335)</f>
        <v>3.208333333</v>
      </c>
      <c r="T1345" s="82">
        <f>IFERROR(__xludf.DUMMYFUNCTION("""COMPUTED_VALUE"""),349.1395271243769)</f>
        <v>349.1395271</v>
      </c>
      <c r="U1345" s="82">
        <f>IFERROR(__xludf.DUMMYFUNCTION("""COMPUTED_VALUE"""),0.7768395435680353)</f>
        <v>0.7768395436</v>
      </c>
      <c r="V1345" s="82">
        <f>IFERROR(__xludf.DUMMYFUNCTION("""COMPUTED_VALUE"""),0.6016413490850335)</f>
        <v>0.6016413491</v>
      </c>
      <c r="W1345" s="82">
        <f>IFERROR(__xludf.DUMMYFUNCTION("""COMPUTED_VALUE"""),1.2822238959532581)</f>
        <v>1.282223896</v>
      </c>
      <c r="X1345" s="82">
        <f>IFERROR(__xludf.DUMMYFUNCTION("""COMPUTED_VALUE"""),2.633144834832763)</f>
        <v>2.633144835</v>
      </c>
      <c r="Y1345" s="82">
        <f>IFERROR(__xludf.DUMMYFUNCTION("""COMPUTED_VALUE"""),350.66030265968243)</f>
        <v>350.6603027</v>
      </c>
      <c r="Z1345" s="82">
        <f>IFERROR(__xludf.DUMMYFUNCTION("""COMPUTED_VALUE"""),0.7659322179635843)</f>
        <v>0.765932218</v>
      </c>
      <c r="AA1345" s="82">
        <f>IFERROR(__xludf.DUMMYFUNCTION("""COMPUTED_VALUE"""),0.5457486435661468)</f>
        <v>0.5457486436</v>
      </c>
      <c r="AB1345" s="82">
        <f>IFERROR(__xludf.DUMMYFUNCTION("""COMPUTED_VALUE"""),1.3849091173219026)</f>
        <v>1.384909117</v>
      </c>
      <c r="AC1345" s="82">
        <f>IFERROR(__xludf.DUMMYFUNCTION("""COMPUTED_VALUE"""),2.5202545132212424)</f>
        <v>2.520254513</v>
      </c>
      <c r="AD1345" s="82">
        <f>IFERROR(__xludf.DUMMYFUNCTION("""COMPUTED_VALUE"""),0.8750158800584753)</f>
        <v>0.8750158801</v>
      </c>
      <c r="AE1345" s="82">
        <f>IFERROR(__xludf.DUMMYFUNCTION("""COMPUTED_VALUE"""),0.5439993995480117)</f>
        <v>0.5439993995</v>
      </c>
      <c r="AF1345" s="82">
        <f>IFERROR(__xludf.DUMMYFUNCTION("""COMPUTED_VALUE"""),0.6107817898642784)</f>
        <v>0.6107817899</v>
      </c>
      <c r="AG1345" s="82">
        <f>IFERROR(__xludf.DUMMYFUNCTION("""COMPUTED_VALUE"""),1.2937070340986274)</f>
        <v>1.293707034</v>
      </c>
      <c r="AH1345" s="82">
        <f>IFERROR(__xludf.DUMMYFUNCTION("""COMPUTED_VALUE"""),0.8431688104722205)</f>
        <v>0.8431688105</v>
      </c>
      <c r="AI1345" s="82">
        <f>IFERROR(__xludf.DUMMYFUNCTION("""COMPUTED_VALUE"""),1.1294036160619896)</f>
        <v>1.129403616</v>
      </c>
      <c r="AJ1345" s="82">
        <f>IFERROR(__xludf.DUMMYFUNCTION("""COMPUTED_VALUE"""),1.5018116370700567)</f>
        <v>1.501811637</v>
      </c>
      <c r="AK1345" s="82">
        <f>IFERROR(__xludf.DUMMYFUNCTION("""COMPUTED_VALUE"""),1.338929840478271)</f>
        <v>1.33892984</v>
      </c>
      <c r="AL1345" s="82">
        <f>IFERROR(__xludf.DUMMYFUNCTION("""COMPUTED_VALUE"""),0.8773818703196362)</f>
        <v>0.8773818703</v>
      </c>
      <c r="AM1345" s="82">
        <f>IFERROR(__xludf.DUMMYFUNCTION("""COMPUTED_VALUE"""),1.2184416485153586)</f>
        <v>1.218441649</v>
      </c>
      <c r="AN1345" s="82">
        <f>IFERROR(__xludf.DUMMYFUNCTION("""COMPUTED_VALUE"""),0.8875636912859353)</f>
        <v>0.8875636913</v>
      </c>
      <c r="AO1345" s="82">
        <f>IFERROR(__xludf.DUMMYFUNCTION("""COMPUTED_VALUE"""),0.551465183893955)</f>
        <v>0.5514651839</v>
      </c>
      <c r="AP1345" s="82">
        <f>IFERROR(__xludf.DUMMYFUNCTION("""COMPUTED_VALUE"""),0.5996739933799643)</f>
        <v>0.5996739934</v>
      </c>
      <c r="AQ1345" s="82">
        <f>IFERROR(__xludf.DUMMYFUNCTION("""COMPUTED_VALUE"""),1.3242463786841876)</f>
        <v>1.324246379</v>
      </c>
      <c r="AR1345" s="82">
        <f>IFERROR(__xludf.DUMMYFUNCTION("""COMPUTED_VALUE"""),0.8334925328121148)</f>
        <v>0.8334925328</v>
      </c>
      <c r="AS1345" s="82">
        <f>IFERROR(__xludf.DUMMYFUNCTION("""COMPUTED_VALUE"""),49.0)</f>
        <v>49</v>
      </c>
      <c r="AT1345" s="82">
        <f>IFERROR(__xludf.DUMMYFUNCTION("""COMPUTED_VALUE"""),0.29295596058825574)</f>
        <v>0.2929559606</v>
      </c>
      <c r="AU1345" s="82">
        <f>IFERROR(__xludf.DUMMYFUNCTION("""COMPUTED_VALUE"""),0.5611748469685007)</f>
        <v>0.561174847</v>
      </c>
      <c r="AV1345" s="82">
        <f>IFERROR(__xludf.DUMMYFUNCTION("""COMPUTED_VALUE"""),5.27717037102358)</f>
        <v>5.277170371</v>
      </c>
      <c r="AW1345" s="82">
        <f t="shared" si="1"/>
        <v>-27.16328467</v>
      </c>
      <c r="AX1345" s="83">
        <f t="array" ref="AX1345">IFERROR(DGET('SBV Import'!A:G,"SBV",{"RSC ID","Tier";B1345,A1345}))</f>
        <v>21.55307492</v>
      </c>
      <c r="AY1345" s="82">
        <f t="shared" si="2"/>
        <v>-7.837855303</v>
      </c>
      <c r="AZ1345" s="82">
        <v>19.325429363227094</v>
      </c>
      <c r="BA1345" s="84">
        <v>1200.0</v>
      </c>
      <c r="BB1345" s="84" t="b">
        <f>IFERROR(__xludf.DUMMYFUNCTION("iferror(if(A1345="""",,E1345&gt;=FILTER(Constants!$F$2:$F$10,Constants!$A$2:$A$10=A1345)))"),TRUE)</f>
        <v>1</v>
      </c>
    </row>
    <row r="1346">
      <c r="A1346" s="89" t="str">
        <f>IFERROR(__xludf.DUMMYFUNCTION("""COMPUTED_VALUE"""),"Veteran")</f>
        <v>Veteran</v>
      </c>
      <c r="B1346" s="87" t="str">
        <f>IFERROR(__xludf.DUMMYFUNCTION("""COMPUTED_VALUE"""),"RSC006174")</f>
        <v>RSC006174</v>
      </c>
      <c r="C1346" s="73" t="str">
        <f>IFERROR(__xludf.DUMMYFUNCTION("""COMPUTED_VALUE"""),"I like bananas")</f>
        <v>I like bananas</v>
      </c>
      <c r="D1346" s="73"/>
      <c r="E1346" s="82">
        <f>IFERROR(__xludf.DUMMYFUNCTION("""COMPUTED_VALUE"""),5.0)</f>
        <v>5</v>
      </c>
      <c r="F1346" s="82">
        <f>IFERROR(__xludf.DUMMYFUNCTION("""COMPUTED_VALUE"""),1.0)</f>
        <v>1</v>
      </c>
      <c r="G1346" s="86">
        <f>IFERROR(__xludf.DUMMYFUNCTION("""COMPUTED_VALUE"""),4.0)</f>
        <v>4</v>
      </c>
      <c r="H1346" s="86">
        <f>IFERROR(__xludf.DUMMYFUNCTION("""COMPUTED_VALUE"""),0.2)</f>
        <v>0.2</v>
      </c>
      <c r="I1346" s="86">
        <f>IFERROR(__xludf.DUMMYFUNCTION("""COMPUTED_VALUE"""),0.125)</f>
        <v>0.125</v>
      </c>
      <c r="J1346" s="82">
        <f>IFERROR(__xludf.DUMMYFUNCTION("""COMPUTED_VALUE"""),405.6)</f>
        <v>405.6</v>
      </c>
      <c r="K1346" s="82">
        <f>IFERROR(__xludf.DUMMYFUNCTION("""COMPUTED_VALUE"""),0.2)</f>
        <v>0.2</v>
      </c>
      <c r="L1346" s="82">
        <f>IFERROR(__xludf.DUMMYFUNCTION("""COMPUTED_VALUE"""),0.2)</f>
        <v>0.2</v>
      </c>
      <c r="M1346" s="82">
        <f>IFERROR(__xludf.DUMMYFUNCTION("""COMPUTED_VALUE"""),3.6)</f>
        <v>3.6</v>
      </c>
      <c r="N1346" s="82">
        <f>IFERROR(__xludf.DUMMYFUNCTION("""COMPUTED_VALUE"""),1.6)</f>
        <v>1.6</v>
      </c>
      <c r="O1346" s="82">
        <f>IFERROR(__xludf.DUMMYFUNCTION("""COMPUTED_VALUE"""),431.5333333333333)</f>
        <v>431.5333333</v>
      </c>
      <c r="P1346" s="82">
        <f>IFERROR(__xludf.DUMMYFUNCTION("""COMPUTED_VALUE"""),1.2)</f>
        <v>1.2</v>
      </c>
      <c r="Q1346" s="82">
        <f>IFERROR(__xludf.DUMMYFUNCTION("""COMPUTED_VALUE"""),0.7333333333333332)</f>
        <v>0.7333333333</v>
      </c>
      <c r="R1346" s="82">
        <f>IFERROR(__xludf.DUMMYFUNCTION("""COMPUTED_VALUE"""),1.0666666666666667)</f>
        <v>1.066666667</v>
      </c>
      <c r="S1346" s="82">
        <f>IFERROR(__xludf.DUMMYFUNCTION("""COMPUTED_VALUE"""),4.466666666666667)</f>
        <v>4.466666667</v>
      </c>
      <c r="T1346" s="82">
        <f>IFERROR(__xludf.DUMMYFUNCTION("""COMPUTED_VALUE"""),361.6305427182669)</f>
        <v>361.6305427</v>
      </c>
      <c r="U1346" s="82">
        <f>IFERROR(__xludf.DUMMYFUNCTION("""COMPUTED_VALUE"""),0.8143184011049651)</f>
        <v>0.8143184011</v>
      </c>
      <c r="V1346" s="82">
        <f>IFERROR(__xludf.DUMMYFUNCTION("""COMPUTED_VALUE"""),0.6302596205317313)</f>
        <v>0.6302596205</v>
      </c>
      <c r="W1346" s="82">
        <f>IFERROR(__xludf.DUMMYFUNCTION("""COMPUTED_VALUE"""),1.3368638190024913)</f>
        <v>1.336863819</v>
      </c>
      <c r="X1346" s="82">
        <f>IFERROR(__xludf.DUMMYFUNCTION("""COMPUTED_VALUE"""),2.912359500254433)</f>
        <v>2.9123595</v>
      </c>
      <c r="Y1346" s="82">
        <f>IFERROR(__xludf.DUMMYFUNCTION("""COMPUTED_VALUE"""),356.6166672944877)</f>
        <v>356.6166673</v>
      </c>
      <c r="Z1346" s="82">
        <f>IFERROR(__xludf.DUMMYFUNCTION("""COMPUTED_VALUE"""),0.762448689395992)</f>
        <v>0.7624486894</v>
      </c>
      <c r="AA1346" s="82">
        <f>IFERROR(__xludf.DUMMYFUNCTION("""COMPUTED_VALUE"""),0.5212959493425502)</f>
        <v>0.5212959493</v>
      </c>
      <c r="AB1346" s="82">
        <f>IFERROR(__xludf.DUMMYFUNCTION("""COMPUTED_VALUE"""),1.5519637086381572)</f>
        <v>1.551963709</v>
      </c>
      <c r="AC1346" s="82">
        <f>IFERROR(__xludf.DUMMYFUNCTION("""COMPUTED_VALUE"""),2.5030151271833305)</f>
        <v>2.503015127</v>
      </c>
      <c r="AD1346" s="82">
        <f>IFERROR(__xludf.DUMMYFUNCTION("""COMPUTED_VALUE"""),1.1373557020683578)</f>
        <v>1.137355702</v>
      </c>
      <c r="AE1346" s="82">
        <f>IFERROR(__xludf.DUMMYFUNCTION("""COMPUTED_VALUE"""),0.26231273367187374)</f>
        <v>0.2623127337</v>
      </c>
      <c r="AF1346" s="82">
        <f>IFERROR(__xludf.DUMMYFUNCTION("""COMPUTED_VALUE"""),0.3836592251526924)</f>
        <v>0.3836592252</v>
      </c>
      <c r="AG1346" s="82">
        <f>IFERROR(__xludf.DUMMYFUNCTION("""COMPUTED_VALUE"""),2.319641870465507)</f>
        <v>2.31964187</v>
      </c>
      <c r="AH1346" s="82">
        <f>IFERROR(__xludf.DUMMYFUNCTION("""COMPUTED_VALUE"""),0.6392290572372598)</f>
        <v>0.6392290572</v>
      </c>
      <c r="AI1346" s="82">
        <f>IFERROR(__xludf.DUMMYFUNCTION("""COMPUTED_VALUE"""),1.1932989124470195)</f>
        <v>1.193298912</v>
      </c>
      <c r="AJ1346" s="82">
        <f>IFERROR(__xludf.DUMMYFUNCTION("""COMPUTED_VALUE"""),1.4736250566998064)</f>
        <v>1.473625057</v>
      </c>
      <c r="AK1346" s="82">
        <f>IFERROR(__xludf.DUMMYFUNCTION("""COMPUTED_VALUE"""),1.1635416730563217)</f>
        <v>1.163541673</v>
      </c>
      <c r="AL1346" s="82">
        <f>IFERROR(__xludf.DUMMYFUNCTION("""COMPUTED_VALUE"""),0.7978873027340707)</f>
        <v>0.7978873027</v>
      </c>
      <c r="AM1346" s="82">
        <f>IFERROR(__xludf.DUMMYFUNCTION("""COMPUTED_VALUE"""),1.5336934421304942)</f>
        <v>1.533693442</v>
      </c>
      <c r="AN1346" s="82">
        <f>IFERROR(__xludf.DUMMYFUNCTION("""COMPUTED_VALUE"""),1.1732618137498383)</f>
        <v>1.173261814</v>
      </c>
      <c r="AO1346" s="82">
        <f>IFERROR(__xludf.DUMMYFUNCTION("""COMPUTED_VALUE"""),0.2647032882690984)</f>
        <v>0.2647032883</v>
      </c>
      <c r="AP1346" s="82">
        <f>IFERROR(__xludf.DUMMYFUNCTION("""COMPUTED_VALUE"""),0.35980439602797865)</f>
        <v>0.359804396</v>
      </c>
      <c r="AQ1346" s="82">
        <f>IFERROR(__xludf.DUMMYFUNCTION("""COMPUTED_VALUE"""),2.6608113283328794)</f>
        <v>2.660811328</v>
      </c>
      <c r="AR1346" s="82">
        <f>IFERROR(__xludf.DUMMYFUNCTION("""COMPUTED_VALUE"""),0.6275708482350041)</f>
        <v>0.6275708482</v>
      </c>
      <c r="AS1346" s="82">
        <f>IFERROR(__xludf.DUMMYFUNCTION("""COMPUTED_VALUE"""),6.0)</f>
        <v>6</v>
      </c>
      <c r="AT1346" s="82">
        <f>IFERROR(__xludf.DUMMYFUNCTION("""COMPUTED_VALUE"""),0.15144669311670023)</f>
        <v>0.1514466931</v>
      </c>
      <c r="AU1346" s="82">
        <f>IFERROR(__xludf.DUMMYFUNCTION("""COMPUTED_VALUE"""),0.19737069292623932)</f>
        <v>0.1973706929</v>
      </c>
      <c r="AV1346" s="82">
        <f>IFERROR(__xludf.DUMMYFUNCTION("""COMPUTED_VALUE"""),-7.729589846829157)</f>
        <v>-7.729589847</v>
      </c>
      <c r="AW1346" s="82">
        <f t="shared" si="1"/>
        <v>-95.54111723</v>
      </c>
      <c r="AX1346" s="83">
        <f t="array" ref="AX1346">IFERROR(DGET('SBV Import'!A:G,"SBV",{"RSC ID","Tier";B1346,A1346}))</f>
        <v>21.41888653</v>
      </c>
      <c r="AY1346" s="82">
        <f t="shared" si="2"/>
        <v>-7.907104964</v>
      </c>
      <c r="AZ1346" s="82">
        <v>87.63401226703269</v>
      </c>
      <c r="BA1346" s="84">
        <v>1200.0</v>
      </c>
      <c r="BB1346" s="84" t="b">
        <f>IFERROR(__xludf.DUMMYFUNCTION("iferror(if(A1346="""",,E1346&gt;=FILTER(Constants!$F$2:$F$10,Constants!$A$2:$A$10=A1346)))"),TRUE)</f>
        <v>1</v>
      </c>
    </row>
    <row r="1347">
      <c r="A1347" s="89" t="str">
        <f>IFERROR(__xludf.DUMMYFUNCTION("""COMPUTED_VALUE"""),"Veteran")</f>
        <v>Veteran</v>
      </c>
      <c r="B1347" s="87" t="str">
        <f>IFERROR(__xludf.DUMMYFUNCTION("""COMPUTED_VALUE"""),"RSC007486")</f>
        <v>RSC007486</v>
      </c>
      <c r="C1347" s="73" t="str">
        <f>IFERROR(__xludf.DUMMYFUNCTION("""COMPUTED_VALUE"""),"risfox")</f>
        <v>risfox</v>
      </c>
      <c r="D1347" s="73"/>
      <c r="E1347" s="82">
        <f>IFERROR(__xludf.DUMMYFUNCTION("""COMPUTED_VALUE"""),1.0)</f>
        <v>1</v>
      </c>
      <c r="F1347" s="82">
        <f>IFERROR(__xludf.DUMMYFUNCTION("""COMPUTED_VALUE"""),0.0)</f>
        <v>0</v>
      </c>
      <c r="G1347" s="86">
        <f>IFERROR(__xludf.DUMMYFUNCTION("""COMPUTED_VALUE"""),1.0)</f>
        <v>1</v>
      </c>
      <c r="H1347" s="86">
        <f>IFERROR(__xludf.DUMMYFUNCTION("""COMPUTED_VALUE"""),0.0)</f>
        <v>0</v>
      </c>
      <c r="I1347" s="86">
        <f>IFERROR(__xludf.DUMMYFUNCTION("""COMPUTED_VALUE"""),0.0)</f>
        <v>0</v>
      </c>
      <c r="J1347" s="82">
        <f>IFERROR(__xludf.DUMMYFUNCTION("""COMPUTED_VALUE"""),288.0)</f>
        <v>288</v>
      </c>
      <c r="K1347" s="82">
        <f>IFERROR(__xludf.DUMMYFUNCTION("""COMPUTED_VALUE"""),0.0)</f>
        <v>0</v>
      </c>
      <c r="L1347" s="82">
        <f>IFERROR(__xludf.DUMMYFUNCTION("""COMPUTED_VALUE"""),0.0)</f>
        <v>0</v>
      </c>
      <c r="M1347" s="82">
        <f>IFERROR(__xludf.DUMMYFUNCTION("""COMPUTED_VALUE"""),2.0)</f>
        <v>2</v>
      </c>
      <c r="N1347" s="82">
        <f>IFERROR(__xludf.DUMMYFUNCTION("""COMPUTED_VALUE"""),6.0)</f>
        <v>6</v>
      </c>
      <c r="O1347" s="82">
        <f>IFERROR(__xludf.DUMMYFUNCTION("""COMPUTED_VALUE"""),498.3333333333333)</f>
        <v>498.3333333</v>
      </c>
      <c r="P1347" s="82">
        <f>IFERROR(__xludf.DUMMYFUNCTION("""COMPUTED_VALUE"""),1.3333333333333333)</f>
        <v>1.333333333</v>
      </c>
      <c r="Q1347" s="82">
        <f>IFERROR(__xludf.DUMMYFUNCTION("""COMPUTED_VALUE"""),1.0)</f>
        <v>1</v>
      </c>
      <c r="R1347" s="82">
        <f>IFERROR(__xludf.DUMMYFUNCTION("""COMPUTED_VALUE"""),2.3333333333333335)</f>
        <v>2.333333333</v>
      </c>
      <c r="S1347" s="82">
        <f>IFERROR(__xludf.DUMMYFUNCTION("""COMPUTED_VALUE"""),3.6666666666666665)</f>
        <v>3.666666667</v>
      </c>
      <c r="T1347" s="82">
        <f>IFERROR(__xludf.DUMMYFUNCTION("""COMPUTED_VALUE"""),341.0452248234857)</f>
        <v>341.0452248</v>
      </c>
      <c r="U1347" s="82">
        <f>IFERROR(__xludf.DUMMYFUNCTION("""COMPUTED_VALUE"""),0.7596432552954292)</f>
        <v>0.7596432553</v>
      </c>
      <c r="V1347" s="82">
        <f>IFERROR(__xludf.DUMMYFUNCTION("""COMPUTED_VALUE"""),0.5468599033816425)</f>
        <v>0.5468599034</v>
      </c>
      <c r="W1347" s="82">
        <f>IFERROR(__xludf.DUMMYFUNCTION("""COMPUTED_VALUE"""),1.3357859531772576)</f>
        <v>1.335785953</v>
      </c>
      <c r="X1347" s="82">
        <f>IFERROR(__xludf.DUMMYFUNCTION("""COMPUTED_VALUE"""),2.4589000371609067)</f>
        <v>2.458900037</v>
      </c>
      <c r="Y1347" s="82">
        <f>IFERROR(__xludf.DUMMYFUNCTION("""COMPUTED_VALUE"""),342.62289111854324)</f>
        <v>342.6228911</v>
      </c>
      <c r="Z1347" s="82">
        <f>IFERROR(__xludf.DUMMYFUNCTION("""COMPUTED_VALUE"""),0.7799331103678929)</f>
        <v>0.7799331104</v>
      </c>
      <c r="AA1347" s="82">
        <f>IFERROR(__xludf.DUMMYFUNCTION("""COMPUTED_VALUE"""),0.48818283166109255)</f>
        <v>0.4881828317</v>
      </c>
      <c r="AB1347" s="82">
        <f>IFERROR(__xludf.DUMMYFUNCTION("""COMPUTED_VALUE"""),1.3659977703455966)</f>
        <v>1.36599777</v>
      </c>
      <c r="AC1347" s="82">
        <f>IFERROR(__xludf.DUMMYFUNCTION("""COMPUTED_VALUE"""),2.499938065155456)</f>
        <v>2.499938065</v>
      </c>
      <c r="AD1347" s="82">
        <f>IFERROR(__xludf.DUMMYFUNCTION("""COMPUTED_VALUE"""),0.8405743091472414)</f>
        <v>0.8405743091</v>
      </c>
      <c r="AE1347" s="82">
        <f>IFERROR(__xludf.DUMMYFUNCTION("""COMPUTED_VALUE"""),0.0)</f>
        <v>0</v>
      </c>
      <c r="AF1347" s="82">
        <f>IFERROR(__xludf.DUMMYFUNCTION("""COMPUTED_VALUE"""),0.0)</f>
        <v>0</v>
      </c>
      <c r="AG1347" s="82">
        <f>IFERROR(__xludf.DUMMYFUNCTION("""COMPUTED_VALUE"""),1.4641312331673875)</f>
        <v>1.464131233</v>
      </c>
      <c r="AH1347" s="82">
        <f>IFERROR(__xludf.DUMMYFUNCTION("""COMPUTED_VALUE"""),2.400059458923794)</f>
        <v>2.400059459</v>
      </c>
      <c r="AI1347" s="82">
        <f>IFERROR(__xludf.DUMMYFUNCTION("""COMPUTED_VALUE"""),1.46119428469129)</f>
        <v>1.461194285</v>
      </c>
      <c r="AJ1347" s="82">
        <f>IFERROR(__xludf.DUMMYFUNCTION("""COMPUTED_VALUE"""),1.755209862048723)</f>
        <v>1.755209862</v>
      </c>
      <c r="AK1347" s="82">
        <f>IFERROR(__xludf.DUMMYFUNCTION("""COMPUTED_VALUE"""),1.8286219081272086)</f>
        <v>1.828621908</v>
      </c>
      <c r="AL1347" s="82">
        <f>IFERROR(__xludf.DUMMYFUNCTION("""COMPUTED_VALUE"""),1.7467868469370724)</f>
        <v>1.746786847</v>
      </c>
      <c r="AM1347" s="82">
        <f>IFERROR(__xludf.DUMMYFUNCTION("""COMPUTED_VALUE"""),1.4911816711753239)</f>
        <v>1.491181671</v>
      </c>
      <c r="AN1347" s="82">
        <f>IFERROR(__xludf.DUMMYFUNCTION("""COMPUTED_VALUE"""),0.8330853115383468)</f>
        <v>0.8330853115</v>
      </c>
      <c r="AO1347" s="82">
        <f>IFERROR(__xludf.DUMMYFUNCTION("""COMPUTED_VALUE"""),0.0)</f>
        <v>0</v>
      </c>
      <c r="AP1347" s="82">
        <f>IFERROR(__xludf.DUMMYFUNCTION("""COMPUTED_VALUE"""),0.0)</f>
        <v>0</v>
      </c>
      <c r="AQ1347" s="82">
        <f>IFERROR(__xludf.DUMMYFUNCTION("""COMPUTED_VALUE"""),1.4782285157404884)</f>
        <v>1.478228516</v>
      </c>
      <c r="AR1347" s="82">
        <f>IFERROR(__xludf.DUMMYFUNCTION("""COMPUTED_VALUE"""),2.3533906808812652)</f>
        <v>2.353390681</v>
      </c>
      <c r="AS1347" s="82">
        <f>IFERROR(__xludf.DUMMYFUNCTION("""COMPUTED_VALUE"""),1.0)</f>
        <v>1</v>
      </c>
      <c r="AT1347" s="82">
        <f>IFERROR(__xludf.DUMMYFUNCTION("""COMPUTED_VALUE"""),0.0997335823282657)</f>
        <v>0.09973358233</v>
      </c>
      <c r="AU1347" s="82">
        <f>IFERROR(__xludf.DUMMYFUNCTION("""COMPUTED_VALUE"""),0.13577525331933782)</f>
        <v>0.1357752533</v>
      </c>
      <c r="AV1347" s="82">
        <f>IFERROR(__xludf.DUMMYFUNCTION("""COMPUTED_VALUE"""),-9.931755777532445)</f>
        <v>-9.931755778</v>
      </c>
      <c r="AW1347" s="82">
        <f t="shared" si="1"/>
        <v>-121.0819628</v>
      </c>
      <c r="AX1347" s="83">
        <f t="array" ref="AX1347">IFERROR(DGET('SBV Import'!A:G,"SBV",{"RSC ID","Tier";B1347,A1347}))</f>
        <v>24.43829539</v>
      </c>
      <c r="AY1347" s="82">
        <f t="shared" si="2"/>
        <v>-6.524021897</v>
      </c>
      <c r="AZ1347" s="82">
        <v>114.5579409050273</v>
      </c>
      <c r="BA1347" s="84">
        <v>1200.0</v>
      </c>
      <c r="BB1347" s="84" t="b">
        <f>IFERROR(__xludf.DUMMYFUNCTION("iferror(if(A1347="""",,E1347&gt;=FILTER(Constants!$F$2:$F$10,Constants!$A$2:$A$10=A1347)))"),TRUE)</f>
        <v>1</v>
      </c>
    </row>
    <row r="1348">
      <c r="A1348" s="89" t="str">
        <f>IFERROR(__xludf.DUMMYFUNCTION("""COMPUTED_VALUE"""),"Veteran")</f>
        <v>Veteran</v>
      </c>
      <c r="B1348" s="87" t="str">
        <f>IFERROR(__xludf.DUMMYFUNCTION("""COMPUTED_VALUE"""),"RSC004188")</f>
        <v>RSC004188</v>
      </c>
      <c r="C1348" s="73" t="str">
        <f>IFERROR(__xludf.DUMMYFUNCTION("""COMPUTED_VALUE"""),"wntr")</f>
        <v>wntr</v>
      </c>
      <c r="D1348" s="73" t="str">
        <f>IFERROR(__xludf.DUMMYFUNCTION("""COMPUTED_VALUE"""),"Azalea")</f>
        <v>Azalea</v>
      </c>
      <c r="E1348" s="82">
        <f>IFERROR(__xludf.DUMMYFUNCTION("""COMPUTED_VALUE"""),9.0)</f>
        <v>9</v>
      </c>
      <c r="F1348" s="82">
        <f>IFERROR(__xludf.DUMMYFUNCTION("""COMPUTED_VALUE"""),3.0)</f>
        <v>3</v>
      </c>
      <c r="G1348" s="86">
        <f>IFERROR(__xludf.DUMMYFUNCTION("""COMPUTED_VALUE"""),6.0)</f>
        <v>6</v>
      </c>
      <c r="H1348" s="86">
        <f>IFERROR(__xludf.DUMMYFUNCTION("""COMPUTED_VALUE"""),0.3333333333333333)</f>
        <v>0.3333333333</v>
      </c>
      <c r="I1348" s="86">
        <f>IFERROR(__xludf.DUMMYFUNCTION("""COMPUTED_VALUE"""),0.14285714285714285)</f>
        <v>0.1428571429</v>
      </c>
      <c r="J1348" s="82">
        <f>IFERROR(__xludf.DUMMYFUNCTION("""COMPUTED_VALUE"""),238.55555555555554)</f>
        <v>238.5555556</v>
      </c>
      <c r="K1348" s="82">
        <f>IFERROR(__xludf.DUMMYFUNCTION("""COMPUTED_VALUE"""),0.1111111111111111)</f>
        <v>0.1111111111</v>
      </c>
      <c r="L1348" s="82">
        <f>IFERROR(__xludf.DUMMYFUNCTION("""COMPUTED_VALUE"""),0.5555555555555556)</f>
        <v>0.5555555556</v>
      </c>
      <c r="M1348" s="82">
        <f>IFERROR(__xludf.DUMMYFUNCTION("""COMPUTED_VALUE"""),1.2222222222222223)</f>
        <v>1.222222222</v>
      </c>
      <c r="N1348" s="82">
        <f>IFERROR(__xludf.DUMMYFUNCTION("""COMPUTED_VALUE"""),0.7777777777777778)</f>
        <v>0.7777777778</v>
      </c>
      <c r="O1348" s="82">
        <f>IFERROR(__xludf.DUMMYFUNCTION("""COMPUTED_VALUE"""),350.55555555555554)</f>
        <v>350.5555556</v>
      </c>
      <c r="P1348" s="82">
        <f>IFERROR(__xludf.DUMMYFUNCTION("""COMPUTED_VALUE"""),0.9629629629629631)</f>
        <v>0.962962963</v>
      </c>
      <c r="Q1348" s="82">
        <f>IFERROR(__xludf.DUMMYFUNCTION("""COMPUTED_VALUE"""),0.5185185185185185)</f>
        <v>0.5185185185</v>
      </c>
      <c r="R1348" s="82">
        <f>IFERROR(__xludf.DUMMYFUNCTION("""COMPUTED_VALUE"""),0.9629629629629629)</f>
        <v>0.962962963</v>
      </c>
      <c r="S1348" s="82">
        <f>IFERROR(__xludf.DUMMYFUNCTION("""COMPUTED_VALUE"""),2.6666666666666665)</f>
        <v>2.666666667</v>
      </c>
      <c r="T1348" s="82">
        <f>IFERROR(__xludf.DUMMYFUNCTION("""COMPUTED_VALUE"""),341.70286655285895)</f>
        <v>341.7028666</v>
      </c>
      <c r="U1348" s="82">
        <f>IFERROR(__xludf.DUMMYFUNCTION("""COMPUTED_VALUE"""),0.7383216871616579)</f>
        <v>0.7383216872</v>
      </c>
      <c r="V1348" s="82">
        <f>IFERROR(__xludf.DUMMYFUNCTION("""COMPUTED_VALUE"""),0.5283908542473523)</f>
        <v>0.5283908542</v>
      </c>
      <c r="W1348" s="82">
        <f>IFERROR(__xludf.DUMMYFUNCTION("""COMPUTED_VALUE"""),1.3658765423988066)</f>
        <v>1.365876542</v>
      </c>
      <c r="X1348" s="82">
        <f>IFERROR(__xludf.DUMMYFUNCTION("""COMPUTED_VALUE"""),2.4143632448923373)</f>
        <v>2.414363245</v>
      </c>
      <c r="Y1348" s="82">
        <f>IFERROR(__xludf.DUMMYFUNCTION("""COMPUTED_VALUE"""),367.05596578182724)</f>
        <v>367.0559658</v>
      </c>
      <c r="Z1348" s="82">
        <f>IFERROR(__xludf.DUMMYFUNCTION("""COMPUTED_VALUE"""),0.9058965402707955)</f>
        <v>0.9058965403</v>
      </c>
      <c r="AA1348" s="82">
        <f>IFERROR(__xludf.DUMMYFUNCTION("""COMPUTED_VALUE"""),0.656144411261883)</f>
        <v>0.6561444113</v>
      </c>
      <c r="AB1348" s="82">
        <f>IFERROR(__xludf.DUMMYFUNCTION("""COMPUTED_VALUE"""),1.280524333770623)</f>
        <v>1.280524334</v>
      </c>
      <c r="AC1348" s="82">
        <f>IFERROR(__xludf.DUMMYFUNCTION("""COMPUTED_VALUE"""),2.716800212955406)</f>
        <v>2.716800213</v>
      </c>
      <c r="AD1348" s="82">
        <f>IFERROR(__xludf.DUMMYFUNCTION("""COMPUTED_VALUE"""),0.6499160286018877)</f>
        <v>0.6499160286</v>
      </c>
      <c r="AE1348" s="82">
        <f>IFERROR(__xludf.DUMMYFUNCTION("""COMPUTED_VALUE"""),0.12265320174188675)</f>
        <v>0.1226532017</v>
      </c>
      <c r="AF1348" s="82">
        <f>IFERROR(__xludf.DUMMYFUNCTION("""COMPUTED_VALUE"""),0.8466970776861802)</f>
        <v>0.8466970777</v>
      </c>
      <c r="AG1348" s="82">
        <f>IFERROR(__xludf.DUMMYFUNCTION("""COMPUTED_VALUE"""),0.9544701260172662)</f>
        <v>0.954470126</v>
      </c>
      <c r="AH1348" s="82">
        <f>IFERROR(__xludf.DUMMYFUNCTION("""COMPUTED_VALUE"""),0.28628449529297223)</f>
        <v>0.2862844953</v>
      </c>
      <c r="AI1348" s="82">
        <f>IFERROR(__xludf.DUMMYFUNCTION("""COMPUTED_VALUE"""),1.0259075643467777)</f>
        <v>1.025907564</v>
      </c>
      <c r="AJ1348" s="82">
        <f>IFERROR(__xludf.DUMMYFUNCTION("""COMPUTED_VALUE"""),1.3042593488820535)</f>
        <v>1.304259349</v>
      </c>
      <c r="AK1348" s="82">
        <f>IFERROR(__xludf.DUMMYFUNCTION("""COMPUTED_VALUE"""),0.981316225196789)</f>
        <v>0.9813162252</v>
      </c>
      <c r="AL1348" s="82">
        <f>IFERROR(__xludf.DUMMYFUNCTION("""COMPUTED_VALUE"""),0.7050146430304521)</f>
        <v>0.705014643</v>
      </c>
      <c r="AM1348" s="82">
        <f>IFERROR(__xludf.DUMMYFUNCTION("""COMPUTED_VALUE"""),1.1045010200134902)</f>
        <v>1.10450102</v>
      </c>
      <c r="AN1348" s="82">
        <f>IFERROR(__xludf.DUMMYFUNCTION("""COMPUTED_VALUE"""),0.6900594768027895)</f>
        <v>0.6900594768</v>
      </c>
      <c r="AO1348" s="82">
        <f>IFERROR(__xludf.DUMMYFUNCTION("""COMPUTED_VALUE"""),0.1470573823717213)</f>
        <v>0.1470573824</v>
      </c>
      <c r="AP1348" s="82">
        <f>IFERROR(__xludf.DUMMYFUNCTION("""COMPUTED_VALUE"""),0.999456655633274)</f>
        <v>0.9994566556</v>
      </c>
      <c r="AQ1348" s="82">
        <f>IFERROR(__xludf.DUMMYFUNCTION("""COMPUTED_VALUE"""),0.9033618707302986)</f>
        <v>0.9033618707</v>
      </c>
      <c r="AR1348" s="82">
        <f>IFERROR(__xludf.DUMMYFUNCTION("""COMPUTED_VALUE"""),0.3050691623364603)</f>
        <v>0.3050691623</v>
      </c>
      <c r="AS1348" s="82">
        <f>IFERROR(__xludf.DUMMYFUNCTION("""COMPUTED_VALUE"""),16.0)</f>
        <v>16</v>
      </c>
      <c r="AT1348" s="82">
        <f>IFERROR(__xludf.DUMMYFUNCTION("""COMPUTED_VALUE"""),0.3196366571660155)</f>
        <v>0.3196366572</v>
      </c>
      <c r="AU1348" s="82">
        <f>IFERROR(__xludf.DUMMYFUNCTION("""COMPUTED_VALUE"""),0.07931781276998634)</f>
        <v>0.07931781277</v>
      </c>
      <c r="AV1348" s="82">
        <f>IFERROR(__xludf.DUMMYFUNCTION("""COMPUTED_VALUE"""),-11.950227484300768)</f>
        <v>-11.95022748</v>
      </c>
      <c r="AW1348" s="82">
        <f t="shared" si="1"/>
        <v>-151.380084</v>
      </c>
      <c r="AX1348" s="83">
        <f t="array" ref="AX1348">IFERROR(DGET('SBV Import'!A:G,"SBV",{"RSC ID","Tier";B1348,A1348}))</f>
        <v>5.761242125</v>
      </c>
      <c r="AY1348" s="82">
        <f t="shared" si="2"/>
        <v>-26.04096073</v>
      </c>
      <c r="AZ1348" s="82">
        <v>125.33912325072978</v>
      </c>
      <c r="BA1348" s="84">
        <v>1200.0</v>
      </c>
      <c r="BB1348" s="84" t="b">
        <f>IFERROR(__xludf.DUMMYFUNCTION("iferror(if(A1348="""",,E1348&gt;=FILTER(Constants!$F$2:$F$10,Constants!$A$2:$A$10=A1348)))"),TRUE)</f>
        <v>1</v>
      </c>
    </row>
    <row r="1349">
      <c r="A1349" s="89" t="str">
        <f>IFERROR(__xludf.DUMMYFUNCTION("""COMPUTED_VALUE"""),"Veteran")</f>
        <v>Veteran</v>
      </c>
      <c r="B1349" s="87" t="str">
        <f>IFERROR(__xludf.DUMMYFUNCTION("""COMPUTED_VALUE"""),"RSC004198")</f>
        <v>RSC004198</v>
      </c>
      <c r="C1349" s="73" t="str">
        <f>IFERROR(__xludf.DUMMYFUNCTION("""COMPUTED_VALUE"""),"Dr. Cereal")</f>
        <v>Dr. Cereal</v>
      </c>
      <c r="D1349" s="73"/>
      <c r="E1349" s="82">
        <f>IFERROR(__xludf.DUMMYFUNCTION("""COMPUTED_VALUE"""),6.0)</f>
        <v>6</v>
      </c>
      <c r="F1349" s="82">
        <f>IFERROR(__xludf.DUMMYFUNCTION("""COMPUTED_VALUE"""),1.0)</f>
        <v>1</v>
      </c>
      <c r="G1349" s="86">
        <f>IFERROR(__xludf.DUMMYFUNCTION("""COMPUTED_VALUE"""),5.0)</f>
        <v>5</v>
      </c>
      <c r="H1349" s="86">
        <f>IFERROR(__xludf.DUMMYFUNCTION("""COMPUTED_VALUE"""),0.16666666666666666)</f>
        <v>0.1666666667</v>
      </c>
      <c r="I1349" s="86">
        <f>IFERROR(__xludf.DUMMYFUNCTION("""COMPUTED_VALUE"""),0.27272727272727276)</f>
        <v>0.2727272727</v>
      </c>
      <c r="J1349" s="82">
        <f>IFERROR(__xludf.DUMMYFUNCTION("""COMPUTED_VALUE"""),208.0)</f>
        <v>208</v>
      </c>
      <c r="K1349" s="82">
        <f>IFERROR(__xludf.DUMMYFUNCTION("""COMPUTED_VALUE"""),0.5)</f>
        <v>0.5</v>
      </c>
      <c r="L1349" s="82">
        <f>IFERROR(__xludf.DUMMYFUNCTION("""COMPUTED_VALUE"""),0.0)</f>
        <v>0</v>
      </c>
      <c r="M1349" s="82">
        <f>IFERROR(__xludf.DUMMYFUNCTION("""COMPUTED_VALUE"""),0.5)</f>
        <v>0.5</v>
      </c>
      <c r="N1349" s="82">
        <f>IFERROR(__xludf.DUMMYFUNCTION("""COMPUTED_VALUE"""),1.8333333333333333)</f>
        <v>1.833333333</v>
      </c>
      <c r="O1349" s="82">
        <f>IFERROR(__xludf.DUMMYFUNCTION("""COMPUTED_VALUE"""),370.8333333333333)</f>
        <v>370.8333333</v>
      </c>
      <c r="P1349" s="82">
        <f>IFERROR(__xludf.DUMMYFUNCTION("""COMPUTED_VALUE"""),1.0555555555555556)</f>
        <v>1.055555556</v>
      </c>
      <c r="Q1349" s="82">
        <f>IFERROR(__xludf.DUMMYFUNCTION("""COMPUTED_VALUE"""),0.8888888888888888)</f>
        <v>0.8888888889</v>
      </c>
      <c r="R1349" s="82">
        <f>IFERROR(__xludf.DUMMYFUNCTION("""COMPUTED_VALUE"""),0.9444444444444443)</f>
        <v>0.9444444444</v>
      </c>
      <c r="S1349" s="82">
        <f>IFERROR(__xludf.DUMMYFUNCTION("""COMPUTED_VALUE"""),2.7222222222222228)</f>
        <v>2.722222222</v>
      </c>
      <c r="T1349" s="82">
        <f>IFERROR(__xludf.DUMMYFUNCTION("""COMPUTED_VALUE"""),337.0777056277056)</f>
        <v>337.0777056</v>
      </c>
      <c r="U1349" s="82">
        <f>IFERROR(__xludf.DUMMYFUNCTION("""COMPUTED_VALUE"""),0.733970658970659)</f>
        <v>0.733970659</v>
      </c>
      <c r="V1349" s="82">
        <f>IFERROR(__xludf.DUMMYFUNCTION("""COMPUTED_VALUE"""),0.47260702260702264)</f>
        <v>0.4726070226</v>
      </c>
      <c r="W1349" s="82">
        <f>IFERROR(__xludf.DUMMYFUNCTION("""COMPUTED_VALUE"""),1.299086099086099)</f>
        <v>1.299086099</v>
      </c>
      <c r="X1349" s="82">
        <f>IFERROR(__xludf.DUMMYFUNCTION("""COMPUTED_VALUE"""),2.4191798941798943)</f>
        <v>2.419179894</v>
      </c>
      <c r="Y1349" s="82">
        <f>IFERROR(__xludf.DUMMYFUNCTION("""COMPUTED_VALUE"""),334.1711159211159)</f>
        <v>334.1711159</v>
      </c>
      <c r="Z1349" s="82">
        <f>IFERROR(__xludf.DUMMYFUNCTION("""COMPUTED_VALUE"""),0.7380311046977716)</f>
        <v>0.7380311047</v>
      </c>
      <c r="AA1349" s="82">
        <f>IFERROR(__xludf.DUMMYFUNCTION("""COMPUTED_VALUE"""),0.5444524611191276)</f>
        <v>0.5444524611</v>
      </c>
      <c r="AB1349" s="82">
        <f>IFERROR(__xludf.DUMMYFUNCTION("""COMPUTED_VALUE"""),1.2084014750681418)</f>
        <v>1.208401475</v>
      </c>
      <c r="AC1349" s="82">
        <f>IFERROR(__xludf.DUMMYFUNCTION("""COMPUTED_VALUE"""),2.5575276575276575)</f>
        <v>2.557527658</v>
      </c>
      <c r="AD1349" s="82">
        <f>IFERROR(__xludf.DUMMYFUNCTION("""COMPUTED_VALUE"""),0.6224356028696995)</f>
        <v>0.6224356029</v>
      </c>
      <c r="AE1349" s="82">
        <f>IFERROR(__xludf.DUMMYFUNCTION("""COMPUTED_VALUE"""),0.6774782211987572)</f>
        <v>0.6774782212</v>
      </c>
      <c r="AF1349" s="82">
        <f>IFERROR(__xludf.DUMMYFUNCTION("""COMPUTED_VALUE"""),0.0)</f>
        <v>0</v>
      </c>
      <c r="AG1349" s="82">
        <f>IFERROR(__xludf.DUMMYFUNCTION("""COMPUTED_VALUE"""),0.41376976966351764)</f>
        <v>0.4137697697</v>
      </c>
      <c r="AH1349" s="82">
        <f>IFERROR(__xludf.DUMMYFUNCTION("""COMPUTED_VALUE"""),0.7168381260461529)</f>
        <v>0.716838126</v>
      </c>
      <c r="AI1349" s="82">
        <f>IFERROR(__xludf.DUMMYFUNCTION("""COMPUTED_VALUE"""),1.100141976588953)</f>
        <v>1.100141977</v>
      </c>
      <c r="AJ1349" s="82">
        <f>IFERROR(__xludf.DUMMYFUNCTION("""COMPUTED_VALUE"""),1.4381440765437357)</f>
        <v>1.438144077</v>
      </c>
      <c r="AK1349" s="82">
        <f>IFERROR(__xludf.DUMMYFUNCTION("""COMPUTED_VALUE"""),1.8808203144878122)</f>
        <v>1.880820314</v>
      </c>
      <c r="AL1349" s="82">
        <f>IFERROR(__xludf.DUMMYFUNCTION("""COMPUTED_VALUE"""),0.7270068127962085)</f>
        <v>0.7270068128</v>
      </c>
      <c r="AM1349" s="82">
        <f>IFERROR(__xludf.DUMMYFUNCTION("""COMPUTED_VALUE"""),1.1252665536661384)</f>
        <v>1.125266554</v>
      </c>
      <c r="AN1349" s="82">
        <f>IFERROR(__xludf.DUMMYFUNCTION("""COMPUTED_VALUE"""),0.6016727249999171)</f>
        <v>0.601672725</v>
      </c>
      <c r="AO1349" s="82">
        <f>IFERROR(__xludf.DUMMYFUNCTION("""COMPUTED_VALUE"""),0.6617582206727459)</f>
        <v>0.6617582207</v>
      </c>
      <c r="AP1349" s="82">
        <f>IFERROR(__xludf.DUMMYFUNCTION("""COMPUTED_VALUE"""),0.0)</f>
        <v>0</v>
      </c>
      <c r="AQ1349" s="82">
        <f>IFERROR(__xludf.DUMMYFUNCTION("""COMPUTED_VALUE"""),0.3695571289351221)</f>
        <v>0.3695571289</v>
      </c>
      <c r="AR1349" s="82">
        <f>IFERROR(__xludf.DUMMYFUNCTION("""COMPUTED_VALUE"""),0.7190915969359422)</f>
        <v>0.7190915969</v>
      </c>
      <c r="AS1349" s="82">
        <f>IFERROR(__xludf.DUMMYFUNCTION("""COMPUTED_VALUE"""),8.0)</f>
        <v>8</v>
      </c>
      <c r="AT1349" s="82">
        <f>IFERROR(__xludf.DUMMYFUNCTION("""COMPUTED_VALUE"""),0.2088375576689729)</f>
        <v>0.2088375577</v>
      </c>
      <c r="AU1349" s="82">
        <f>IFERROR(__xludf.DUMMYFUNCTION("""COMPUTED_VALUE"""),-0.16827104620509725)</f>
        <v>-0.1682710462</v>
      </c>
      <c r="AV1349" s="82">
        <f>IFERROR(__xludf.DUMMYFUNCTION("""COMPUTED_VALUE"""),-20.80204757903938)</f>
        <v>-20.80204758</v>
      </c>
      <c r="AW1349" s="82">
        <f t="shared" si="1"/>
        <v>-432.4698228</v>
      </c>
      <c r="AX1349" s="83">
        <f t="array" ref="AX1349">IFERROR(DGET('SBV Import'!A:G,"SBV",{"RSC ID","Tier";B1349,A1349}))</f>
        <v>-5.979414947</v>
      </c>
      <c r="AY1349" s="82">
        <f t="shared" si="2"/>
        <v>-79.5404854</v>
      </c>
      <c r="AZ1349" s="82">
        <v>352.9293374003078</v>
      </c>
      <c r="BA1349" s="84">
        <v>1200.0</v>
      </c>
      <c r="BB1349" s="84" t="b">
        <f>IFERROR(__xludf.DUMMYFUNCTION("iferror(if(A1349="""",,E1349&gt;=FILTER(Constants!$F$2:$F$10,Constants!$A$2:$A$10=A1349)))"),TRUE)</f>
        <v>1</v>
      </c>
    </row>
    <row r="1350">
      <c r="A1350" s="90" t="str">
        <f>IFERROR(__xludf.DUMMYFUNCTION("""COMPUTED_VALUE"""),"Veteran")</f>
        <v>Veteran</v>
      </c>
      <c r="B1350" s="87" t="str">
        <f>IFERROR(__xludf.DUMMYFUNCTION("""COMPUTED_VALUE"""),"RSC003694")</f>
        <v>RSC003694</v>
      </c>
      <c r="C1350" s="73" t="str">
        <f>IFERROR(__xludf.DUMMYFUNCTION("""COMPUTED_VALUE"""),"TheCroctopusTV")</f>
        <v>TheCroctopusTV</v>
      </c>
      <c r="D1350" s="73"/>
      <c r="E1350" s="82">
        <f>IFERROR(__xludf.DUMMYFUNCTION("""COMPUTED_VALUE"""),4.0)</f>
        <v>4</v>
      </c>
      <c r="F1350" s="82">
        <f>IFERROR(__xludf.DUMMYFUNCTION("""COMPUTED_VALUE"""),1.0)</f>
        <v>1</v>
      </c>
      <c r="G1350" s="86">
        <f>IFERROR(__xludf.DUMMYFUNCTION("""COMPUTED_VALUE"""),3.0)</f>
        <v>3</v>
      </c>
      <c r="H1350" s="86">
        <f>IFERROR(__xludf.DUMMYFUNCTION("""COMPUTED_VALUE"""),0.25)</f>
        <v>0.25</v>
      </c>
      <c r="I1350" s="86">
        <f>IFERROR(__xludf.DUMMYFUNCTION("""COMPUTED_VALUE"""),0.5)</f>
        <v>0.5</v>
      </c>
      <c r="J1350" s="82">
        <f>IFERROR(__xludf.DUMMYFUNCTION("""COMPUTED_VALUE"""),227.5)</f>
        <v>227.5</v>
      </c>
      <c r="K1350" s="82">
        <f>IFERROR(__xludf.DUMMYFUNCTION("""COMPUTED_VALUE"""),0.25)</f>
        <v>0.25</v>
      </c>
      <c r="L1350" s="82">
        <f>IFERROR(__xludf.DUMMYFUNCTION("""COMPUTED_VALUE"""),0.0)</f>
        <v>0</v>
      </c>
      <c r="M1350" s="82">
        <f>IFERROR(__xludf.DUMMYFUNCTION("""COMPUTED_VALUE"""),1.25)</f>
        <v>1.25</v>
      </c>
      <c r="N1350" s="82">
        <f>IFERROR(__xludf.DUMMYFUNCTION("""COMPUTED_VALUE"""),0.5)</f>
        <v>0.5</v>
      </c>
      <c r="O1350" s="82">
        <f>IFERROR(__xludf.DUMMYFUNCTION("""COMPUTED_VALUE"""),380.1666666666667)</f>
        <v>380.1666667</v>
      </c>
      <c r="P1350" s="82">
        <f>IFERROR(__xludf.DUMMYFUNCTION("""COMPUTED_VALUE"""),1.0)</f>
        <v>1</v>
      </c>
      <c r="Q1350" s="82">
        <f>IFERROR(__xludf.DUMMYFUNCTION("""COMPUTED_VALUE"""),0.5833333333333334)</f>
        <v>0.5833333333</v>
      </c>
      <c r="R1350" s="82">
        <f>IFERROR(__xludf.DUMMYFUNCTION("""COMPUTED_VALUE"""),1.0)</f>
        <v>1</v>
      </c>
      <c r="S1350" s="82">
        <f>IFERROR(__xludf.DUMMYFUNCTION("""COMPUTED_VALUE"""),3.4166666666666665)</f>
        <v>3.416666667</v>
      </c>
      <c r="T1350" s="82">
        <f>IFERROR(__xludf.DUMMYFUNCTION("""COMPUTED_VALUE"""),373.8239935587762)</f>
        <v>373.8239936</v>
      </c>
      <c r="U1350" s="82">
        <f>IFERROR(__xludf.DUMMYFUNCTION("""COMPUTED_VALUE"""),0.9072659616137877)</f>
        <v>0.9072659616</v>
      </c>
      <c r="V1350" s="82">
        <f>IFERROR(__xludf.DUMMYFUNCTION("""COMPUTED_VALUE"""),0.6269900335117726)</f>
        <v>0.6269900335</v>
      </c>
      <c r="W1350" s="82">
        <f>IFERROR(__xludf.DUMMYFUNCTION("""COMPUTED_VALUE"""),1.3148322235278755)</f>
        <v>1.314832224</v>
      </c>
      <c r="X1350" s="82">
        <f>IFERROR(__xludf.DUMMYFUNCTION("""COMPUTED_VALUE"""),2.7845018931975454)</f>
        <v>2.784501893</v>
      </c>
      <c r="Y1350" s="82">
        <f>IFERROR(__xludf.DUMMYFUNCTION("""COMPUTED_VALUE"""),321.33135744440085)</f>
        <v>321.3313574</v>
      </c>
      <c r="Z1350" s="82">
        <f>IFERROR(__xludf.DUMMYFUNCTION("""COMPUTED_VALUE"""),0.6610443777110443)</f>
        <v>0.6610443777</v>
      </c>
      <c r="AA1350" s="82">
        <f>IFERROR(__xludf.DUMMYFUNCTION("""COMPUTED_VALUE"""),0.4657599628614121)</f>
        <v>0.4657599629</v>
      </c>
      <c r="AB1350" s="82">
        <f>IFERROR(__xludf.DUMMYFUNCTION("""COMPUTED_VALUE"""),1.1707359533446489)</f>
        <v>1.170735953</v>
      </c>
      <c r="AC1350" s="82">
        <f>IFERROR(__xludf.DUMMYFUNCTION("""COMPUTED_VALUE"""),2.418795607201404)</f>
        <v>2.418795607</v>
      </c>
      <c r="AD1350" s="82">
        <f>IFERROR(__xludf.DUMMYFUNCTION("""COMPUTED_VALUE"""),0.7079919053320645)</f>
        <v>0.7079919053</v>
      </c>
      <c r="AE1350" s="82">
        <f>IFERROR(__xludf.DUMMYFUNCTION("""COMPUTED_VALUE"""),0.3781894354289176)</f>
        <v>0.3781894354</v>
      </c>
      <c r="AF1350" s="82">
        <f>IFERROR(__xludf.DUMMYFUNCTION("""COMPUTED_VALUE"""),0.0)</f>
        <v>0</v>
      </c>
      <c r="AG1350" s="82">
        <f>IFERROR(__xludf.DUMMYFUNCTION("""COMPUTED_VALUE"""),1.067704460966543)</f>
        <v>1.067704461</v>
      </c>
      <c r="AH1350" s="82">
        <f>IFERROR(__xludf.DUMMYFUNCTION("""COMPUTED_VALUE"""),0.20671444850956638)</f>
        <v>0.2067144485</v>
      </c>
      <c r="AI1350" s="82">
        <f>IFERROR(__xludf.DUMMYFUNCTION("""COMPUTED_VALUE"""),1.0169670037696317)</f>
        <v>1.016967004</v>
      </c>
      <c r="AJ1350" s="82">
        <f>IFERROR(__xludf.DUMMYFUNCTION("""COMPUTED_VALUE"""),1.1022126281705342)</f>
        <v>1.102212628</v>
      </c>
      <c r="AK1350" s="82">
        <f>IFERROR(__xludf.DUMMYFUNCTION("""COMPUTED_VALUE"""),0.9303709822404704)</f>
        <v>0.9303709822</v>
      </c>
      <c r="AL1350" s="82">
        <f>IFERROR(__xludf.DUMMYFUNCTION("""COMPUTED_VALUE"""),0.7605533102290896)</f>
        <v>0.7605533102</v>
      </c>
      <c r="AM1350" s="82">
        <f>IFERROR(__xludf.DUMMYFUNCTION("""COMPUTED_VALUE"""),1.227029751717347)</f>
        <v>1.227029752</v>
      </c>
      <c r="AN1350" s="82">
        <f>IFERROR(__xludf.DUMMYFUNCTION("""COMPUTED_VALUE"""),0.6580795429686593)</f>
        <v>0.658079543</v>
      </c>
      <c r="AO1350" s="82">
        <f>IFERROR(__xludf.DUMMYFUNCTION("""COMPUTED_VALUE"""),0.33087911033637296)</f>
        <v>0.3308791103</v>
      </c>
      <c r="AP1350" s="82">
        <f>IFERROR(__xludf.DUMMYFUNCTION("""COMPUTED_VALUE"""),0.0)</f>
        <v>0</v>
      </c>
      <c r="AQ1350" s="82">
        <f>IFERROR(__xludf.DUMMYFUNCTION("""COMPUTED_VALUE"""),0.9238928223378052)</f>
        <v>0.9238928223</v>
      </c>
      <c r="AR1350" s="82">
        <f>IFERROR(__xludf.DUMMYFUNCTION("""COMPUTED_VALUE"""),0.19611589007343877)</f>
        <v>0.1961158901</v>
      </c>
      <c r="AS1350" s="82">
        <f>IFERROR(__xludf.DUMMYFUNCTION("""COMPUTED_VALUE"""),4.0)</f>
        <v>4</v>
      </c>
      <c r="AT1350" s="82">
        <f>IFERROR(__xludf.DUMMYFUNCTION("""COMPUTED_VALUE"""),0.1630859559789061)</f>
        <v>0.163085956</v>
      </c>
      <c r="AU1350" s="82">
        <f>IFERROR(__xludf.DUMMYFUNCTION("""COMPUTED_VALUE"""),-0.31158860869589405)</f>
        <v>-0.3115886087</v>
      </c>
      <c r="AV1350" s="82">
        <f>IFERROR(__xludf.DUMMYFUNCTION("""COMPUTED_VALUE"""),-25.925950507614445)</f>
        <v>-25.92595051</v>
      </c>
      <c r="AW1350" s="82">
        <f t="shared" si="1"/>
        <v>-837.1166868</v>
      </c>
      <c r="AX1350" s="83">
        <f t="array" ref="AX1350">IFERROR(DGET('SBV Import'!A:G,"SBV",{"RSC ID","Tier";B1350,A1350}))</f>
        <v>-30.01840638</v>
      </c>
      <c r="AY1350" s="82">
        <f t="shared" si="2"/>
        <v>-1459.034597</v>
      </c>
      <c r="AZ1350" s="82">
        <v>621.9179098488486</v>
      </c>
      <c r="BA1350" s="84">
        <v>1200.0</v>
      </c>
      <c r="BB1350" s="84" t="b">
        <f>IFERROR(__xludf.DUMMYFUNCTION("iferror(if(A1350="""",,E1350&gt;=FILTER(Constants!$F$2:$F$10,Constants!$A$2:$A$10=A1350)))"),TRUE)</f>
        <v>1</v>
      </c>
    </row>
    <row r="1351">
      <c r="A1351" s="89" t="str">
        <f>IFERROR(__xludf.DUMMYFUNCTION("""COMPUTED_VALUE"""),"Veteran")</f>
        <v>Veteran</v>
      </c>
      <c r="B1351" s="87" t="str">
        <f>IFERROR(__xludf.DUMMYFUNCTION("""COMPUTED_VALUE"""),"RSC007505")</f>
        <v>RSC007505</v>
      </c>
      <c r="C1351" s="73" t="str">
        <f>IFERROR(__xludf.DUMMYFUNCTION("""COMPUTED_VALUE"""),"Detroeux_RL")</f>
        <v>Detroeux_RL</v>
      </c>
      <c r="D1351" s="73"/>
      <c r="E1351" s="82">
        <f>IFERROR(__xludf.DUMMYFUNCTION("""COMPUTED_VALUE"""),4.0)</f>
        <v>4</v>
      </c>
      <c r="F1351" s="82">
        <f>IFERROR(__xludf.DUMMYFUNCTION("""COMPUTED_VALUE"""),0.0)</f>
        <v>0</v>
      </c>
      <c r="G1351" s="86">
        <f>IFERROR(__xludf.DUMMYFUNCTION("""COMPUTED_VALUE"""),4.0)</f>
        <v>4</v>
      </c>
      <c r="H1351" s="86">
        <f>IFERROR(__xludf.DUMMYFUNCTION("""COMPUTED_VALUE"""),0.0)</f>
        <v>0</v>
      </c>
      <c r="I1351" s="86">
        <f>IFERROR(__xludf.DUMMYFUNCTION("""COMPUTED_VALUE"""),0.3333333333333333)</f>
        <v>0.3333333333</v>
      </c>
      <c r="J1351" s="82">
        <f>IFERROR(__xludf.DUMMYFUNCTION("""COMPUTED_VALUE"""),189.0)</f>
        <v>189</v>
      </c>
      <c r="K1351" s="82">
        <f>IFERROR(__xludf.DUMMYFUNCTION("""COMPUTED_VALUE"""),0.25)</f>
        <v>0.25</v>
      </c>
      <c r="L1351" s="82">
        <f>IFERROR(__xludf.DUMMYFUNCTION("""COMPUTED_VALUE"""),0.25)</f>
        <v>0.25</v>
      </c>
      <c r="M1351" s="82">
        <f>IFERROR(__xludf.DUMMYFUNCTION("""COMPUTED_VALUE"""),0.75)</f>
        <v>0.75</v>
      </c>
      <c r="N1351" s="82">
        <f>IFERROR(__xludf.DUMMYFUNCTION("""COMPUTED_VALUE"""),0.75)</f>
        <v>0.75</v>
      </c>
      <c r="O1351" s="82">
        <f>IFERROR(__xludf.DUMMYFUNCTION("""COMPUTED_VALUE"""),531.6666666666666)</f>
        <v>531.6666667</v>
      </c>
      <c r="P1351" s="82">
        <f>IFERROR(__xludf.DUMMYFUNCTION("""COMPUTED_VALUE"""),1.9166666666666665)</f>
        <v>1.916666667</v>
      </c>
      <c r="Q1351" s="82">
        <f>IFERROR(__xludf.DUMMYFUNCTION("""COMPUTED_VALUE"""),1.3333333333333335)</f>
        <v>1.333333333</v>
      </c>
      <c r="R1351" s="82">
        <f>IFERROR(__xludf.DUMMYFUNCTION("""COMPUTED_VALUE"""),1.1666666666666667)</f>
        <v>1.166666667</v>
      </c>
      <c r="S1351" s="82">
        <f>IFERROR(__xludf.DUMMYFUNCTION("""COMPUTED_VALUE"""),4.583333333333333)</f>
        <v>4.583333333</v>
      </c>
      <c r="T1351" s="82">
        <f>IFERROR(__xludf.DUMMYFUNCTION("""COMPUTED_VALUE"""),378.6085761085761)</f>
        <v>378.6085761</v>
      </c>
      <c r="U1351" s="82">
        <f>IFERROR(__xludf.DUMMYFUNCTION("""COMPUTED_VALUE"""),0.9196209196209196)</f>
        <v>0.9196209196</v>
      </c>
      <c r="V1351" s="82">
        <f>IFERROR(__xludf.DUMMYFUNCTION("""COMPUTED_VALUE"""),0.7634550134550135)</f>
        <v>0.7634550135</v>
      </c>
      <c r="W1351" s="82">
        <f>IFERROR(__xludf.DUMMYFUNCTION("""COMPUTED_VALUE"""),1.2624312624312626)</f>
        <v>1.262431262</v>
      </c>
      <c r="X1351" s="82">
        <f>IFERROR(__xludf.DUMMYFUNCTION("""COMPUTED_VALUE"""),2.72972972972973)</f>
        <v>2.72972973</v>
      </c>
      <c r="Y1351" s="82">
        <f>IFERROR(__xludf.DUMMYFUNCTION("""COMPUTED_VALUE"""),373.66970866970865)</f>
        <v>373.6697087</v>
      </c>
      <c r="Z1351" s="82">
        <f>IFERROR(__xludf.DUMMYFUNCTION("""COMPUTED_VALUE"""),0.8742443742443742)</f>
        <v>0.8742443742</v>
      </c>
      <c r="AA1351" s="82">
        <f>IFERROR(__xludf.DUMMYFUNCTION("""COMPUTED_VALUE"""),0.6274618774618775)</f>
        <v>0.6274618775</v>
      </c>
      <c r="AB1351" s="82">
        <f>IFERROR(__xludf.DUMMYFUNCTION("""COMPUTED_VALUE"""),1.4344214344214343)</f>
        <v>1.434421434</v>
      </c>
      <c r="AC1351" s="82">
        <f>IFERROR(__xludf.DUMMYFUNCTION("""COMPUTED_VALUE"""),2.792714792714792)</f>
        <v>2.792714793</v>
      </c>
      <c r="AD1351" s="82">
        <f>IFERROR(__xludf.DUMMYFUNCTION("""COMPUTED_VALUE"""),0.5057942766430111)</f>
        <v>0.5057942766</v>
      </c>
      <c r="AE1351" s="82">
        <f>IFERROR(__xludf.DUMMYFUNCTION("""COMPUTED_VALUE"""),0.2859612339125198)</f>
        <v>0.2859612339</v>
      </c>
      <c r="AF1351" s="82">
        <f>IFERROR(__xludf.DUMMYFUNCTION("""COMPUTED_VALUE"""),0.39843058037448525)</f>
        <v>0.3984305804</v>
      </c>
      <c r="AG1351" s="82">
        <f>IFERROR(__xludf.DUMMYFUNCTION("""COMPUTED_VALUE"""),0.5228588907014682)</f>
        <v>0.5228588907</v>
      </c>
      <c r="AH1351" s="82">
        <f>IFERROR(__xludf.DUMMYFUNCTION("""COMPUTED_VALUE"""),0.2685558876103229)</f>
        <v>0.2685558876</v>
      </c>
      <c r="AI1351" s="82">
        <f>IFERROR(__xludf.DUMMYFUNCTION("""COMPUTED_VALUE"""),1.4042647214472952)</f>
        <v>1.404264721</v>
      </c>
      <c r="AJ1351" s="82">
        <f>IFERROR(__xludf.DUMMYFUNCTION("""COMPUTED_VALUE"""),2.0841921119592874)</f>
        <v>2.084192112</v>
      </c>
      <c r="AK1351" s="82">
        <f>IFERROR(__xludf.DUMMYFUNCTION("""COMPUTED_VALUE"""),1.7464464963028237)</f>
        <v>1.746446496</v>
      </c>
      <c r="AL1351" s="82">
        <f>IFERROR(__xludf.DUMMYFUNCTION("""COMPUTED_VALUE"""),0.9241427247451344)</f>
        <v>0.9241427247</v>
      </c>
      <c r="AM1351" s="82">
        <f>IFERROR(__xludf.DUMMYFUNCTION("""COMPUTED_VALUE"""),1.679042904290429)</f>
        <v>1.679042904</v>
      </c>
      <c r="AN1351" s="82">
        <f>IFERROR(__xludf.DUMMYFUNCTION("""COMPUTED_VALUE"""),0.5467122356970401)</f>
        <v>0.5467122357</v>
      </c>
      <c r="AO1351" s="82">
        <f>IFERROR(__xludf.DUMMYFUNCTION("""COMPUTED_VALUE"""),0.33087911033637296)</f>
        <v>0.3308791103</v>
      </c>
      <c r="AP1351" s="82">
        <f>IFERROR(__xludf.DUMMYFUNCTION("""COMPUTED_VALUE"""),0.44975549503497325)</f>
        <v>0.449755495</v>
      </c>
      <c r="AQ1351" s="82">
        <f>IFERROR(__xludf.DUMMYFUNCTION("""COMPUTED_VALUE"""),0.5543356934026832)</f>
        <v>0.5543356934</v>
      </c>
      <c r="AR1351" s="82">
        <f>IFERROR(__xludf.DUMMYFUNCTION("""COMPUTED_VALUE"""),0.29417383511015816)</f>
        <v>0.2941738351</v>
      </c>
      <c r="AS1351" s="82">
        <f>IFERROR(__xludf.DUMMYFUNCTION("""COMPUTED_VALUE"""),5.0)</f>
        <v>5</v>
      </c>
      <c r="AT1351" s="82">
        <f>IFERROR(__xludf.DUMMYFUNCTION("""COMPUTED_VALUE"""),0.06491510899821656)</f>
        <v>0.064915109</v>
      </c>
      <c r="AU1351" s="82">
        <f>IFERROR(__xludf.DUMMYFUNCTION("""COMPUTED_VALUE"""),-1.068880014550291)</f>
        <v>-1.068880015</v>
      </c>
      <c r="AV1351" s="82">
        <f>IFERROR(__xludf.DUMMYFUNCTION("""COMPUTED_VALUE"""),-53.00070383724389)</f>
        <v>-53.00070384</v>
      </c>
      <c r="AW1351" s="82">
        <f t="shared" si="1"/>
        <v>-52794.67179</v>
      </c>
      <c r="AX1351" s="83">
        <f t="array" ref="AX1351">IFERROR(DGET('SBV Import'!A:G,"SBV",{"RSC ID","Tier";B1351,A1351}))</f>
        <v>-45.27613349</v>
      </c>
      <c r="AY1351" s="82">
        <f t="shared" si="2"/>
        <v>-14452.91581</v>
      </c>
      <c r="AZ1351" s="82">
        <v>38341.755979812886</v>
      </c>
      <c r="BA1351" s="84">
        <v>1200.0</v>
      </c>
      <c r="BB1351" s="84" t="b">
        <f>IFERROR(__xludf.DUMMYFUNCTION("iferror(if(A1351="""",,E1351&gt;=FILTER(Constants!$F$2:$F$10,Constants!$A$2:$A$10=A1351)))"),TRUE)</f>
        <v>1</v>
      </c>
    </row>
    <row r="1352">
      <c r="A1352" s="89"/>
      <c r="B1352" s="87"/>
      <c r="C1352" s="73"/>
      <c r="D1352" s="73"/>
      <c r="E1352" s="82"/>
      <c r="F1352" s="82"/>
      <c r="G1352" s="86"/>
      <c r="H1352" s="86"/>
      <c r="I1352" s="86"/>
      <c r="J1352" s="82"/>
      <c r="K1352" s="82"/>
      <c r="L1352" s="82"/>
      <c r="M1352" s="82"/>
      <c r="N1352" s="82"/>
      <c r="O1352" s="82"/>
      <c r="P1352" s="82"/>
      <c r="Q1352" s="82"/>
      <c r="R1352" s="82"/>
      <c r="S1352" s="82"/>
      <c r="T1352" s="82"/>
      <c r="U1352" s="82"/>
      <c r="V1352" s="82"/>
      <c r="W1352" s="82"/>
      <c r="X1352" s="82"/>
      <c r="Y1352" s="82"/>
      <c r="Z1352" s="82"/>
      <c r="AA1352" s="82"/>
      <c r="AB1352" s="82"/>
      <c r="AC1352" s="82"/>
      <c r="AD1352" s="82"/>
      <c r="AE1352" s="82"/>
      <c r="AF1352" s="82"/>
      <c r="AG1352" s="82"/>
      <c r="AH1352" s="82"/>
      <c r="AI1352" s="82"/>
      <c r="AJ1352" s="82"/>
      <c r="AK1352" s="82"/>
      <c r="AL1352" s="82"/>
      <c r="AM1352" s="82"/>
      <c r="AN1352" s="82">
        <f>IFERROR(__xludf.DUMMYFUNCTION("""COMPUTED_VALUE"""),0.0)</f>
        <v>0</v>
      </c>
      <c r="AO1352" s="82">
        <f>IFERROR(__xludf.DUMMYFUNCTION("""COMPUTED_VALUE"""),0.0)</f>
        <v>0</v>
      </c>
      <c r="AP1352" s="82">
        <f>IFERROR(__xludf.DUMMYFUNCTION("""COMPUTED_VALUE"""),0.0)</f>
        <v>0</v>
      </c>
      <c r="AQ1352" s="82">
        <f>IFERROR(__xludf.DUMMYFUNCTION("""COMPUTED_VALUE"""),0.0)</f>
        <v>0</v>
      </c>
      <c r="AR1352" s="82">
        <f>IFERROR(__xludf.DUMMYFUNCTION("""COMPUTED_VALUE"""),0.0)</f>
        <v>0</v>
      </c>
      <c r="AS1352" s="82"/>
      <c r="AT1352" s="82">
        <f>IFERROR(__xludf.DUMMYFUNCTION("""COMPUTED_VALUE"""),0.0)</f>
        <v>0</v>
      </c>
      <c r="AU1352" s="82"/>
      <c r="AV1352" s="82"/>
      <c r="AW1352" s="82" t="str">
        <f t="shared" si="1"/>
        <v/>
      </c>
      <c r="AX1352" s="83" t="str">
        <f t="array" ref="AX1352">IFERROR(DGET('SBV Import'!A:G,"SBV",{"RSC ID","Tier";B1352,A1352}))</f>
        <v/>
      </c>
      <c r="AY1352" s="82" t="str">
        <f t="shared" si="2"/>
        <v/>
      </c>
      <c r="AZ1352" s="82"/>
      <c r="BA1352" s="84" t="s">
        <v>152</v>
      </c>
      <c r="BB1352" s="84" t="str">
        <f>IFERROR(__xludf.DUMMYFUNCTION("iferror(if(A1352="""",,E1352&gt;=FILTER(Constants!$F$2:$F$10,Constants!$A$2:$A$10=A1352)))"),"")</f>
        <v/>
      </c>
    </row>
    <row r="1353">
      <c r="A1353" s="89"/>
      <c r="B1353" s="87"/>
      <c r="C1353" s="73"/>
      <c r="D1353" s="73"/>
      <c r="E1353" s="82"/>
      <c r="F1353" s="82"/>
      <c r="G1353" s="86"/>
      <c r="H1353" s="86"/>
      <c r="I1353" s="86"/>
      <c r="J1353" s="82"/>
      <c r="K1353" s="82"/>
      <c r="L1353" s="82"/>
      <c r="M1353" s="82"/>
      <c r="N1353" s="82"/>
      <c r="O1353" s="82"/>
      <c r="P1353" s="82"/>
      <c r="Q1353" s="82"/>
      <c r="R1353" s="82"/>
      <c r="S1353" s="82"/>
      <c r="T1353" s="82"/>
      <c r="U1353" s="82"/>
      <c r="V1353" s="82"/>
      <c r="W1353" s="82"/>
      <c r="X1353" s="82"/>
      <c r="Y1353" s="82"/>
      <c r="Z1353" s="82"/>
      <c r="AA1353" s="82"/>
      <c r="AB1353" s="82"/>
      <c r="AC1353" s="82"/>
      <c r="AD1353" s="82"/>
      <c r="AE1353" s="82"/>
      <c r="AF1353" s="82"/>
      <c r="AG1353" s="82"/>
      <c r="AH1353" s="82"/>
      <c r="AI1353" s="82"/>
      <c r="AJ1353" s="82"/>
      <c r="AK1353" s="82"/>
      <c r="AL1353" s="82"/>
      <c r="AM1353" s="82"/>
      <c r="AN1353" s="82">
        <f>IFERROR(__xludf.DUMMYFUNCTION("""COMPUTED_VALUE"""),0.0)</f>
        <v>0</v>
      </c>
      <c r="AO1353" s="82">
        <f>IFERROR(__xludf.DUMMYFUNCTION("""COMPUTED_VALUE"""),0.0)</f>
        <v>0</v>
      </c>
      <c r="AP1353" s="82">
        <f>IFERROR(__xludf.DUMMYFUNCTION("""COMPUTED_VALUE"""),0.0)</f>
        <v>0</v>
      </c>
      <c r="AQ1353" s="82">
        <f>IFERROR(__xludf.DUMMYFUNCTION("""COMPUTED_VALUE"""),0.0)</f>
        <v>0</v>
      </c>
      <c r="AR1353" s="82">
        <f>IFERROR(__xludf.DUMMYFUNCTION("""COMPUTED_VALUE"""),0.0)</f>
        <v>0</v>
      </c>
      <c r="AS1353" s="82"/>
      <c r="AT1353" s="82">
        <f>IFERROR(__xludf.DUMMYFUNCTION("""COMPUTED_VALUE"""),0.0)</f>
        <v>0</v>
      </c>
      <c r="AU1353" s="82"/>
      <c r="AV1353" s="82"/>
      <c r="AW1353" s="82" t="str">
        <f t="shared" si="1"/>
        <v/>
      </c>
      <c r="AX1353" s="83" t="str">
        <f t="array" ref="AX1353">IFERROR(DGET('SBV Import'!A:G,"SBV",{"RSC ID","Tier";B1353,A1353}))</f>
        <v/>
      </c>
      <c r="AY1353" s="82" t="str">
        <f t="shared" si="2"/>
        <v/>
      </c>
      <c r="AZ1353" s="82"/>
      <c r="BA1353" s="84" t="s">
        <v>152</v>
      </c>
      <c r="BB1353" s="84" t="str">
        <f>IFERROR(__xludf.DUMMYFUNCTION("iferror(if(A1353="""",,E1353&gt;=FILTER(Constants!$F$2:$F$10,Constants!$A$2:$A$10=A1353)))"),"")</f>
        <v/>
      </c>
    </row>
    <row r="1354">
      <c r="A1354" s="89"/>
      <c r="B1354" s="87"/>
      <c r="C1354" s="73"/>
      <c r="D1354" s="73"/>
      <c r="E1354" s="82"/>
      <c r="F1354" s="82"/>
      <c r="G1354" s="86"/>
      <c r="H1354" s="86"/>
      <c r="I1354" s="86"/>
      <c r="J1354" s="82"/>
      <c r="K1354" s="82"/>
      <c r="L1354" s="82"/>
      <c r="M1354" s="82"/>
      <c r="N1354" s="82"/>
      <c r="O1354" s="82"/>
      <c r="P1354" s="82"/>
      <c r="Q1354" s="82"/>
      <c r="R1354" s="82"/>
      <c r="S1354" s="82"/>
      <c r="T1354" s="82"/>
      <c r="U1354" s="82"/>
      <c r="V1354" s="82"/>
      <c r="W1354" s="82"/>
      <c r="X1354" s="82"/>
      <c r="Y1354" s="82"/>
      <c r="Z1354" s="82"/>
      <c r="AA1354" s="82"/>
      <c r="AB1354" s="82"/>
      <c r="AC1354" s="82"/>
      <c r="AD1354" s="82"/>
      <c r="AE1354" s="82"/>
      <c r="AF1354" s="82"/>
      <c r="AG1354" s="82"/>
      <c r="AH1354" s="82"/>
      <c r="AI1354" s="82"/>
      <c r="AJ1354" s="82"/>
      <c r="AK1354" s="82"/>
      <c r="AL1354" s="82"/>
      <c r="AM1354" s="82"/>
      <c r="AN1354" s="82">
        <f>IFERROR(__xludf.DUMMYFUNCTION("""COMPUTED_VALUE"""),0.0)</f>
        <v>0</v>
      </c>
      <c r="AO1354" s="82">
        <f>IFERROR(__xludf.DUMMYFUNCTION("""COMPUTED_VALUE"""),0.0)</f>
        <v>0</v>
      </c>
      <c r="AP1354" s="82">
        <f>IFERROR(__xludf.DUMMYFUNCTION("""COMPUTED_VALUE"""),0.0)</f>
        <v>0</v>
      </c>
      <c r="AQ1354" s="82">
        <f>IFERROR(__xludf.DUMMYFUNCTION("""COMPUTED_VALUE"""),0.0)</f>
        <v>0</v>
      </c>
      <c r="AR1354" s="82">
        <f>IFERROR(__xludf.DUMMYFUNCTION("""COMPUTED_VALUE"""),0.0)</f>
        <v>0</v>
      </c>
      <c r="AS1354" s="82"/>
      <c r="AT1354" s="82">
        <f>IFERROR(__xludf.DUMMYFUNCTION("""COMPUTED_VALUE"""),0.0)</f>
        <v>0</v>
      </c>
      <c r="AU1354" s="82"/>
      <c r="AV1354" s="82"/>
      <c r="AW1354" s="82" t="str">
        <f t="shared" si="1"/>
        <v/>
      </c>
      <c r="AX1354" s="83" t="str">
        <f t="array" ref="AX1354">IFERROR(DGET('SBV Import'!A:G,"SBV",{"RSC ID","Tier";B1354,A1354}))</f>
        <v/>
      </c>
      <c r="AY1354" s="82" t="str">
        <f t="shared" si="2"/>
        <v/>
      </c>
      <c r="AZ1354" s="82"/>
      <c r="BA1354" s="84" t="s">
        <v>152</v>
      </c>
      <c r="BB1354" s="84" t="str">
        <f>IFERROR(__xludf.DUMMYFUNCTION("iferror(if(A1354="""",,E1354&gt;=FILTER(Constants!$F$2:$F$10,Constants!$A$2:$A$10=A1354)))"),"")</f>
        <v/>
      </c>
    </row>
    <row r="1355">
      <c r="A1355" s="89"/>
      <c r="B1355" s="87"/>
      <c r="C1355" s="73"/>
      <c r="D1355" s="73"/>
      <c r="E1355" s="82"/>
      <c r="F1355" s="82"/>
      <c r="G1355" s="86"/>
      <c r="H1355" s="86"/>
      <c r="I1355" s="86"/>
      <c r="J1355" s="82"/>
      <c r="K1355" s="82"/>
      <c r="L1355" s="82"/>
      <c r="M1355" s="82"/>
      <c r="N1355" s="82"/>
      <c r="O1355" s="82"/>
      <c r="P1355" s="82"/>
      <c r="Q1355" s="82"/>
      <c r="R1355" s="82"/>
      <c r="S1355" s="82"/>
      <c r="T1355" s="82"/>
      <c r="U1355" s="82"/>
      <c r="V1355" s="82"/>
      <c r="W1355" s="82"/>
      <c r="X1355" s="82"/>
      <c r="Y1355" s="82"/>
      <c r="Z1355" s="82"/>
      <c r="AA1355" s="82"/>
      <c r="AB1355" s="82"/>
      <c r="AC1355" s="82"/>
      <c r="AD1355" s="82"/>
      <c r="AE1355" s="82"/>
      <c r="AF1355" s="82"/>
      <c r="AG1355" s="82"/>
      <c r="AH1355" s="82"/>
      <c r="AI1355" s="82"/>
      <c r="AJ1355" s="82"/>
      <c r="AK1355" s="82"/>
      <c r="AL1355" s="82"/>
      <c r="AM1355" s="82"/>
      <c r="AN1355" s="82">
        <f>IFERROR(__xludf.DUMMYFUNCTION("""COMPUTED_VALUE"""),0.0)</f>
        <v>0</v>
      </c>
      <c r="AO1355" s="82">
        <f>IFERROR(__xludf.DUMMYFUNCTION("""COMPUTED_VALUE"""),0.0)</f>
        <v>0</v>
      </c>
      <c r="AP1355" s="82">
        <f>IFERROR(__xludf.DUMMYFUNCTION("""COMPUTED_VALUE"""),0.0)</f>
        <v>0</v>
      </c>
      <c r="AQ1355" s="82">
        <f>IFERROR(__xludf.DUMMYFUNCTION("""COMPUTED_VALUE"""),0.0)</f>
        <v>0</v>
      </c>
      <c r="AR1355" s="82">
        <f>IFERROR(__xludf.DUMMYFUNCTION("""COMPUTED_VALUE"""),0.0)</f>
        <v>0</v>
      </c>
      <c r="AS1355" s="82"/>
      <c r="AT1355" s="82">
        <f>IFERROR(__xludf.DUMMYFUNCTION("""COMPUTED_VALUE"""),0.0)</f>
        <v>0</v>
      </c>
      <c r="AU1355" s="82"/>
      <c r="AV1355" s="82"/>
      <c r="AW1355" s="82" t="str">
        <f t="shared" si="1"/>
        <v/>
      </c>
      <c r="AX1355" s="83" t="str">
        <f t="array" ref="AX1355">IFERROR(DGET('SBV Import'!A:G,"SBV",{"RSC ID","Tier";B1355,A1355}))</f>
        <v/>
      </c>
      <c r="AY1355" s="82" t="str">
        <f t="shared" si="2"/>
        <v/>
      </c>
      <c r="AZ1355" s="82"/>
      <c r="BA1355" s="84" t="s">
        <v>152</v>
      </c>
      <c r="BB1355" s="84" t="str">
        <f>IFERROR(__xludf.DUMMYFUNCTION("iferror(if(A1355="""",,E1355&gt;=FILTER(Constants!$F$2:$F$10,Constants!$A$2:$A$10=A1355)))"),"")</f>
        <v/>
      </c>
    </row>
    <row r="1356">
      <c r="A1356" s="89"/>
      <c r="B1356" s="87"/>
      <c r="C1356" s="73"/>
      <c r="D1356" s="73"/>
      <c r="E1356" s="82"/>
      <c r="F1356" s="82"/>
      <c r="G1356" s="86"/>
      <c r="H1356" s="86"/>
      <c r="I1356" s="86"/>
      <c r="J1356" s="82"/>
      <c r="K1356" s="82"/>
      <c r="L1356" s="82"/>
      <c r="M1356" s="82"/>
      <c r="N1356" s="82"/>
      <c r="O1356" s="82"/>
      <c r="P1356" s="82"/>
      <c r="Q1356" s="82"/>
      <c r="R1356" s="82"/>
      <c r="S1356" s="82"/>
      <c r="T1356" s="82"/>
      <c r="U1356" s="82"/>
      <c r="V1356" s="82"/>
      <c r="W1356" s="82"/>
      <c r="X1356" s="82"/>
      <c r="Y1356" s="82"/>
      <c r="Z1356" s="82"/>
      <c r="AA1356" s="82"/>
      <c r="AB1356" s="82"/>
      <c r="AC1356" s="82"/>
      <c r="AD1356" s="82"/>
      <c r="AE1356" s="82"/>
      <c r="AF1356" s="82"/>
      <c r="AG1356" s="82"/>
      <c r="AH1356" s="82"/>
      <c r="AI1356" s="82"/>
      <c r="AJ1356" s="82"/>
      <c r="AK1356" s="82"/>
      <c r="AL1356" s="82"/>
      <c r="AM1356" s="82"/>
      <c r="AN1356" s="82">
        <f>IFERROR(__xludf.DUMMYFUNCTION("""COMPUTED_VALUE"""),0.0)</f>
        <v>0</v>
      </c>
      <c r="AO1356" s="82">
        <f>IFERROR(__xludf.DUMMYFUNCTION("""COMPUTED_VALUE"""),0.0)</f>
        <v>0</v>
      </c>
      <c r="AP1356" s="82">
        <f>IFERROR(__xludf.DUMMYFUNCTION("""COMPUTED_VALUE"""),0.0)</f>
        <v>0</v>
      </c>
      <c r="AQ1356" s="82">
        <f>IFERROR(__xludf.DUMMYFUNCTION("""COMPUTED_VALUE"""),0.0)</f>
        <v>0</v>
      </c>
      <c r="AR1356" s="82">
        <f>IFERROR(__xludf.DUMMYFUNCTION("""COMPUTED_VALUE"""),0.0)</f>
        <v>0</v>
      </c>
      <c r="AS1356" s="82"/>
      <c r="AT1356" s="82">
        <f>IFERROR(__xludf.DUMMYFUNCTION("""COMPUTED_VALUE"""),0.0)</f>
        <v>0</v>
      </c>
      <c r="AU1356" s="82"/>
      <c r="AV1356" s="82"/>
      <c r="AW1356" s="82" t="str">
        <f t="shared" si="1"/>
        <v/>
      </c>
      <c r="AX1356" s="83" t="str">
        <f t="array" ref="AX1356">IFERROR(DGET('SBV Import'!A:G,"SBV",{"RSC ID","Tier";B1356,A1356}))</f>
        <v/>
      </c>
      <c r="AY1356" s="82" t="str">
        <f t="shared" si="2"/>
        <v/>
      </c>
      <c r="AZ1356" s="82"/>
      <c r="BA1356" s="84" t="s">
        <v>152</v>
      </c>
      <c r="BB1356" s="84" t="str">
        <f>IFERROR(__xludf.DUMMYFUNCTION("iferror(if(A1356="""",,E1356&gt;=FILTER(Constants!$F$2:$F$10,Constants!$A$2:$A$10=A1356)))"),"")</f>
        <v/>
      </c>
    </row>
    <row r="1357">
      <c r="A1357" s="89"/>
      <c r="B1357" s="87"/>
      <c r="C1357" s="73"/>
      <c r="D1357" s="73"/>
      <c r="E1357" s="82"/>
      <c r="F1357" s="82"/>
      <c r="G1357" s="86"/>
      <c r="H1357" s="86"/>
      <c r="I1357" s="86"/>
      <c r="J1357" s="82"/>
      <c r="K1357" s="82"/>
      <c r="L1357" s="82"/>
      <c r="M1357" s="82"/>
      <c r="N1357" s="82"/>
      <c r="O1357" s="82"/>
      <c r="P1357" s="82"/>
      <c r="Q1357" s="82"/>
      <c r="R1357" s="82"/>
      <c r="S1357" s="82"/>
      <c r="T1357" s="82"/>
      <c r="U1357" s="82"/>
      <c r="V1357" s="82"/>
      <c r="W1357" s="82"/>
      <c r="X1357" s="82"/>
      <c r="Y1357" s="82"/>
      <c r="Z1357" s="82"/>
      <c r="AA1357" s="82"/>
      <c r="AB1357" s="82"/>
      <c r="AC1357" s="82"/>
      <c r="AD1357" s="82"/>
      <c r="AE1357" s="82"/>
      <c r="AF1357" s="82"/>
      <c r="AG1357" s="82"/>
      <c r="AH1357" s="82"/>
      <c r="AI1357" s="82"/>
      <c r="AJ1357" s="82"/>
      <c r="AK1357" s="82"/>
      <c r="AL1357" s="82"/>
      <c r="AM1357" s="82"/>
      <c r="AN1357" s="82">
        <f>IFERROR(__xludf.DUMMYFUNCTION("""COMPUTED_VALUE"""),0.0)</f>
        <v>0</v>
      </c>
      <c r="AO1357" s="82">
        <f>IFERROR(__xludf.DUMMYFUNCTION("""COMPUTED_VALUE"""),0.0)</f>
        <v>0</v>
      </c>
      <c r="AP1357" s="82">
        <f>IFERROR(__xludf.DUMMYFUNCTION("""COMPUTED_VALUE"""),0.0)</f>
        <v>0</v>
      </c>
      <c r="AQ1357" s="82">
        <f>IFERROR(__xludf.DUMMYFUNCTION("""COMPUTED_VALUE"""),0.0)</f>
        <v>0</v>
      </c>
      <c r="AR1357" s="82">
        <f>IFERROR(__xludf.DUMMYFUNCTION("""COMPUTED_VALUE"""),0.0)</f>
        <v>0</v>
      </c>
      <c r="AS1357" s="82"/>
      <c r="AT1357" s="82">
        <f>IFERROR(__xludf.DUMMYFUNCTION("""COMPUTED_VALUE"""),0.0)</f>
        <v>0</v>
      </c>
      <c r="AU1357" s="82"/>
      <c r="AV1357" s="82"/>
      <c r="AW1357" s="82" t="str">
        <f t="shared" si="1"/>
        <v/>
      </c>
      <c r="AX1357" s="83" t="str">
        <f t="array" ref="AX1357">IFERROR(DGET('SBV Import'!A:G,"SBV",{"RSC ID","Tier";B1357,A1357}))</f>
        <v/>
      </c>
      <c r="AY1357" s="82" t="str">
        <f t="shared" si="2"/>
        <v/>
      </c>
      <c r="AZ1357" s="82"/>
      <c r="BA1357" s="84" t="s">
        <v>152</v>
      </c>
      <c r="BB1357" s="84" t="str">
        <f>IFERROR(__xludf.DUMMYFUNCTION("iferror(if(A1357="""",,E1357&gt;=FILTER(Constants!$F$2:$F$10,Constants!$A$2:$A$10=A1357)))"),"")</f>
        <v/>
      </c>
    </row>
    <row r="1358">
      <c r="A1358" s="89"/>
      <c r="B1358" s="87"/>
      <c r="C1358" s="73"/>
      <c r="D1358" s="73"/>
      <c r="E1358" s="82"/>
      <c r="F1358" s="82"/>
      <c r="G1358" s="86"/>
      <c r="H1358" s="86"/>
      <c r="I1358" s="86"/>
      <c r="J1358" s="82"/>
      <c r="K1358" s="82"/>
      <c r="L1358" s="82"/>
      <c r="M1358" s="82"/>
      <c r="N1358" s="82"/>
      <c r="O1358" s="82"/>
      <c r="P1358" s="82"/>
      <c r="Q1358" s="82"/>
      <c r="R1358" s="82"/>
      <c r="S1358" s="82"/>
      <c r="T1358" s="82"/>
      <c r="U1358" s="82"/>
      <c r="V1358" s="82"/>
      <c r="W1358" s="82"/>
      <c r="X1358" s="82"/>
      <c r="Y1358" s="82"/>
      <c r="Z1358" s="82"/>
      <c r="AA1358" s="82"/>
      <c r="AB1358" s="82"/>
      <c r="AC1358" s="82"/>
      <c r="AD1358" s="82"/>
      <c r="AE1358" s="82"/>
      <c r="AF1358" s="82"/>
      <c r="AG1358" s="82"/>
      <c r="AH1358" s="82"/>
      <c r="AI1358" s="82"/>
      <c r="AJ1358" s="82"/>
      <c r="AK1358" s="82"/>
      <c r="AL1358" s="82"/>
      <c r="AM1358" s="82"/>
      <c r="AN1358" s="82">
        <f>IFERROR(__xludf.DUMMYFUNCTION("""COMPUTED_VALUE"""),0.0)</f>
        <v>0</v>
      </c>
      <c r="AO1358" s="82">
        <f>IFERROR(__xludf.DUMMYFUNCTION("""COMPUTED_VALUE"""),0.0)</f>
        <v>0</v>
      </c>
      <c r="AP1358" s="82">
        <f>IFERROR(__xludf.DUMMYFUNCTION("""COMPUTED_VALUE"""),0.0)</f>
        <v>0</v>
      </c>
      <c r="AQ1358" s="82">
        <f>IFERROR(__xludf.DUMMYFUNCTION("""COMPUTED_VALUE"""),0.0)</f>
        <v>0</v>
      </c>
      <c r="AR1358" s="82">
        <f>IFERROR(__xludf.DUMMYFUNCTION("""COMPUTED_VALUE"""),0.0)</f>
        <v>0</v>
      </c>
      <c r="AS1358" s="82"/>
      <c r="AT1358" s="82">
        <f>IFERROR(__xludf.DUMMYFUNCTION("""COMPUTED_VALUE"""),0.0)</f>
        <v>0</v>
      </c>
      <c r="AU1358" s="82"/>
      <c r="AV1358" s="82"/>
      <c r="AW1358" s="82" t="str">
        <f t="shared" si="1"/>
        <v/>
      </c>
      <c r="AX1358" s="83" t="str">
        <f t="array" ref="AX1358">IFERROR(DGET('SBV Import'!A:G,"SBV",{"RSC ID","Tier";B1358,A1358}))</f>
        <v/>
      </c>
      <c r="AY1358" s="82" t="str">
        <f t="shared" si="2"/>
        <v/>
      </c>
      <c r="AZ1358" s="82"/>
      <c r="BA1358" s="84" t="s">
        <v>152</v>
      </c>
      <c r="BB1358" s="84" t="str">
        <f>IFERROR(__xludf.DUMMYFUNCTION("iferror(if(A1358="""",,E1358&gt;=FILTER(Constants!$F$2:$F$10,Constants!$A$2:$A$10=A1358)))"),"")</f>
        <v/>
      </c>
    </row>
    <row r="1359">
      <c r="A1359" s="89"/>
      <c r="B1359" s="87"/>
      <c r="C1359" s="73"/>
      <c r="D1359" s="73"/>
      <c r="E1359" s="82"/>
      <c r="F1359" s="82"/>
      <c r="G1359" s="86"/>
      <c r="H1359" s="86"/>
      <c r="I1359" s="86"/>
      <c r="J1359" s="82"/>
      <c r="K1359" s="82"/>
      <c r="L1359" s="82"/>
      <c r="M1359" s="82"/>
      <c r="N1359" s="82"/>
      <c r="O1359" s="82"/>
      <c r="P1359" s="82"/>
      <c r="Q1359" s="82"/>
      <c r="R1359" s="82"/>
      <c r="S1359" s="82"/>
      <c r="T1359" s="82"/>
      <c r="U1359" s="82"/>
      <c r="V1359" s="82"/>
      <c r="W1359" s="82"/>
      <c r="X1359" s="82"/>
      <c r="Y1359" s="82"/>
      <c r="Z1359" s="82"/>
      <c r="AA1359" s="82"/>
      <c r="AB1359" s="82"/>
      <c r="AC1359" s="82"/>
      <c r="AD1359" s="82"/>
      <c r="AE1359" s="82"/>
      <c r="AF1359" s="82"/>
      <c r="AG1359" s="82"/>
      <c r="AH1359" s="82"/>
      <c r="AI1359" s="82"/>
      <c r="AJ1359" s="82"/>
      <c r="AK1359" s="82"/>
      <c r="AL1359" s="82"/>
      <c r="AM1359" s="82"/>
      <c r="AN1359" s="82">
        <f>IFERROR(__xludf.DUMMYFUNCTION("""COMPUTED_VALUE"""),0.0)</f>
        <v>0</v>
      </c>
      <c r="AO1359" s="82">
        <f>IFERROR(__xludf.DUMMYFUNCTION("""COMPUTED_VALUE"""),0.0)</f>
        <v>0</v>
      </c>
      <c r="AP1359" s="82">
        <f>IFERROR(__xludf.DUMMYFUNCTION("""COMPUTED_VALUE"""),0.0)</f>
        <v>0</v>
      </c>
      <c r="AQ1359" s="82">
        <f>IFERROR(__xludf.DUMMYFUNCTION("""COMPUTED_VALUE"""),0.0)</f>
        <v>0</v>
      </c>
      <c r="AR1359" s="82">
        <f>IFERROR(__xludf.DUMMYFUNCTION("""COMPUTED_VALUE"""),0.0)</f>
        <v>0</v>
      </c>
      <c r="AS1359" s="82"/>
      <c r="AT1359" s="82">
        <f>IFERROR(__xludf.DUMMYFUNCTION("""COMPUTED_VALUE"""),0.0)</f>
        <v>0</v>
      </c>
      <c r="AU1359" s="82"/>
      <c r="AV1359" s="82"/>
      <c r="AW1359" s="82" t="str">
        <f t="shared" si="1"/>
        <v/>
      </c>
      <c r="AX1359" s="83" t="str">
        <f t="array" ref="AX1359">IFERROR(DGET('SBV Import'!A:G,"SBV",{"RSC ID","Tier";B1359,A1359}))</f>
        <v/>
      </c>
      <c r="AY1359" s="82" t="str">
        <f t="shared" si="2"/>
        <v/>
      </c>
      <c r="AZ1359" s="82"/>
      <c r="BA1359" s="84" t="s">
        <v>152</v>
      </c>
      <c r="BB1359" s="84" t="str">
        <f>IFERROR(__xludf.DUMMYFUNCTION("iferror(if(A1359="""",,E1359&gt;=FILTER(Constants!$F$2:$F$10,Constants!$A$2:$A$10=A1359)))"),"")</f>
        <v/>
      </c>
    </row>
    <row r="1360">
      <c r="A1360" s="89"/>
      <c r="B1360" s="87"/>
      <c r="C1360" s="73"/>
      <c r="D1360" s="73"/>
      <c r="E1360" s="82"/>
      <c r="F1360" s="82"/>
      <c r="G1360" s="86"/>
      <c r="H1360" s="86"/>
      <c r="I1360" s="86"/>
      <c r="J1360" s="82"/>
      <c r="K1360" s="82"/>
      <c r="L1360" s="82"/>
      <c r="M1360" s="82"/>
      <c r="N1360" s="82"/>
      <c r="O1360" s="82"/>
      <c r="P1360" s="82"/>
      <c r="Q1360" s="82"/>
      <c r="R1360" s="82"/>
      <c r="S1360" s="82"/>
      <c r="T1360" s="82"/>
      <c r="U1360" s="82"/>
      <c r="V1360" s="82"/>
      <c r="W1360" s="82"/>
      <c r="X1360" s="82"/>
      <c r="Y1360" s="82"/>
      <c r="Z1360" s="82"/>
      <c r="AA1360" s="82"/>
      <c r="AB1360" s="82"/>
      <c r="AC1360" s="82"/>
      <c r="AD1360" s="82"/>
      <c r="AE1360" s="82"/>
      <c r="AF1360" s="82"/>
      <c r="AG1360" s="82"/>
      <c r="AH1360" s="82"/>
      <c r="AI1360" s="82"/>
      <c r="AJ1360" s="82"/>
      <c r="AK1360" s="82"/>
      <c r="AL1360" s="82"/>
      <c r="AM1360" s="82"/>
      <c r="AN1360" s="82">
        <f>IFERROR(__xludf.DUMMYFUNCTION("""COMPUTED_VALUE"""),0.0)</f>
        <v>0</v>
      </c>
      <c r="AO1360" s="82">
        <f>IFERROR(__xludf.DUMMYFUNCTION("""COMPUTED_VALUE"""),0.0)</f>
        <v>0</v>
      </c>
      <c r="AP1360" s="82">
        <f>IFERROR(__xludf.DUMMYFUNCTION("""COMPUTED_VALUE"""),0.0)</f>
        <v>0</v>
      </c>
      <c r="AQ1360" s="82">
        <f>IFERROR(__xludf.DUMMYFUNCTION("""COMPUTED_VALUE"""),0.0)</f>
        <v>0</v>
      </c>
      <c r="AR1360" s="82">
        <f>IFERROR(__xludf.DUMMYFUNCTION("""COMPUTED_VALUE"""),0.0)</f>
        <v>0</v>
      </c>
      <c r="AS1360" s="82"/>
      <c r="AT1360" s="82">
        <f>IFERROR(__xludf.DUMMYFUNCTION("""COMPUTED_VALUE"""),0.0)</f>
        <v>0</v>
      </c>
      <c r="AU1360" s="82"/>
      <c r="AV1360" s="82"/>
      <c r="AW1360" s="82" t="str">
        <f t="shared" si="1"/>
        <v/>
      </c>
      <c r="AX1360" s="83" t="str">
        <f t="array" ref="AX1360">IFERROR(DGET('SBV Import'!A:G,"SBV",{"RSC ID","Tier";B1360,A1360}))</f>
        <v/>
      </c>
      <c r="AY1360" s="82" t="str">
        <f t="shared" si="2"/>
        <v/>
      </c>
      <c r="AZ1360" s="82"/>
      <c r="BA1360" s="84" t="s">
        <v>152</v>
      </c>
      <c r="BB1360" s="84" t="str">
        <f>IFERROR(__xludf.DUMMYFUNCTION("iferror(if(A1360="""",,E1360&gt;=FILTER(Constants!$F$2:$F$10,Constants!$A$2:$A$10=A1360)))"),"")</f>
        <v/>
      </c>
    </row>
    <row r="1361">
      <c r="A1361" s="89"/>
      <c r="B1361" s="87"/>
      <c r="C1361" s="73"/>
      <c r="D1361" s="73"/>
      <c r="E1361" s="82"/>
      <c r="F1361" s="82"/>
      <c r="G1361" s="86"/>
      <c r="H1361" s="86"/>
      <c r="I1361" s="86"/>
      <c r="J1361" s="82"/>
      <c r="K1361" s="82"/>
      <c r="L1361" s="82"/>
      <c r="M1361" s="82"/>
      <c r="N1361" s="82"/>
      <c r="O1361" s="82"/>
      <c r="P1361" s="82"/>
      <c r="Q1361" s="82"/>
      <c r="R1361" s="82"/>
      <c r="S1361" s="82"/>
      <c r="T1361" s="82"/>
      <c r="U1361" s="82"/>
      <c r="V1361" s="82"/>
      <c r="W1361" s="82"/>
      <c r="X1361" s="82"/>
      <c r="Y1361" s="82"/>
      <c r="Z1361" s="82"/>
      <c r="AA1361" s="82"/>
      <c r="AB1361" s="82"/>
      <c r="AC1361" s="82"/>
      <c r="AD1361" s="82"/>
      <c r="AE1361" s="82"/>
      <c r="AF1361" s="82"/>
      <c r="AG1361" s="82"/>
      <c r="AH1361" s="82"/>
      <c r="AI1361" s="82"/>
      <c r="AJ1361" s="82"/>
      <c r="AK1361" s="82"/>
      <c r="AL1361" s="82"/>
      <c r="AM1361" s="82"/>
      <c r="AN1361" s="82">
        <f>IFERROR(__xludf.DUMMYFUNCTION("""COMPUTED_VALUE"""),0.0)</f>
        <v>0</v>
      </c>
      <c r="AO1361" s="82">
        <f>IFERROR(__xludf.DUMMYFUNCTION("""COMPUTED_VALUE"""),0.0)</f>
        <v>0</v>
      </c>
      <c r="AP1361" s="82">
        <f>IFERROR(__xludf.DUMMYFUNCTION("""COMPUTED_VALUE"""),0.0)</f>
        <v>0</v>
      </c>
      <c r="AQ1361" s="82">
        <f>IFERROR(__xludf.DUMMYFUNCTION("""COMPUTED_VALUE"""),0.0)</f>
        <v>0</v>
      </c>
      <c r="AR1361" s="82">
        <f>IFERROR(__xludf.DUMMYFUNCTION("""COMPUTED_VALUE"""),0.0)</f>
        <v>0</v>
      </c>
      <c r="AS1361" s="82"/>
      <c r="AT1361" s="82">
        <f>IFERROR(__xludf.DUMMYFUNCTION("""COMPUTED_VALUE"""),0.0)</f>
        <v>0</v>
      </c>
      <c r="AU1361" s="82"/>
      <c r="AV1361" s="82"/>
      <c r="AW1361" s="82" t="str">
        <f t="shared" si="1"/>
        <v/>
      </c>
      <c r="AX1361" s="83" t="str">
        <f t="array" ref="AX1361">IFERROR(DGET('SBV Import'!A:G,"SBV",{"RSC ID","Tier";B1361,A1361}))</f>
        <v/>
      </c>
      <c r="AY1361" s="82" t="str">
        <f t="shared" si="2"/>
        <v/>
      </c>
      <c r="AZ1361" s="82"/>
      <c r="BA1361" s="84" t="s">
        <v>152</v>
      </c>
      <c r="BB1361" s="84" t="str">
        <f>IFERROR(__xludf.DUMMYFUNCTION("iferror(if(A1361="""",,E1361&gt;=FILTER(Constants!$F$2:$F$10,Constants!$A$2:$A$10=A1361)))"),"")</f>
        <v/>
      </c>
    </row>
    <row r="1362">
      <c r="A1362" s="89"/>
      <c r="B1362" s="87"/>
      <c r="C1362" s="73"/>
      <c r="D1362" s="73"/>
      <c r="E1362" s="82"/>
      <c r="F1362" s="82"/>
      <c r="G1362" s="86"/>
      <c r="H1362" s="86"/>
      <c r="I1362" s="86"/>
      <c r="J1362" s="82"/>
      <c r="K1362" s="82"/>
      <c r="L1362" s="82"/>
      <c r="M1362" s="82"/>
      <c r="N1362" s="82"/>
      <c r="O1362" s="82"/>
      <c r="P1362" s="82"/>
      <c r="Q1362" s="82"/>
      <c r="R1362" s="82"/>
      <c r="S1362" s="82"/>
      <c r="T1362" s="82"/>
      <c r="U1362" s="82"/>
      <c r="V1362" s="82"/>
      <c r="W1362" s="82"/>
      <c r="X1362" s="82"/>
      <c r="Y1362" s="82"/>
      <c r="Z1362" s="82"/>
      <c r="AA1362" s="82"/>
      <c r="AB1362" s="82"/>
      <c r="AC1362" s="82"/>
      <c r="AD1362" s="82"/>
      <c r="AE1362" s="82"/>
      <c r="AF1362" s="82"/>
      <c r="AG1362" s="82"/>
      <c r="AH1362" s="82"/>
      <c r="AI1362" s="82"/>
      <c r="AJ1362" s="82"/>
      <c r="AK1362" s="82"/>
      <c r="AL1362" s="82"/>
      <c r="AM1362" s="82"/>
      <c r="AN1362" s="82">
        <f>IFERROR(__xludf.DUMMYFUNCTION("""COMPUTED_VALUE"""),0.0)</f>
        <v>0</v>
      </c>
      <c r="AO1362" s="82">
        <f>IFERROR(__xludf.DUMMYFUNCTION("""COMPUTED_VALUE"""),0.0)</f>
        <v>0</v>
      </c>
      <c r="AP1362" s="82">
        <f>IFERROR(__xludf.DUMMYFUNCTION("""COMPUTED_VALUE"""),0.0)</f>
        <v>0</v>
      </c>
      <c r="AQ1362" s="82">
        <f>IFERROR(__xludf.DUMMYFUNCTION("""COMPUTED_VALUE"""),0.0)</f>
        <v>0</v>
      </c>
      <c r="AR1362" s="82">
        <f>IFERROR(__xludf.DUMMYFUNCTION("""COMPUTED_VALUE"""),0.0)</f>
        <v>0</v>
      </c>
      <c r="AS1362" s="82"/>
      <c r="AT1362" s="82">
        <f>IFERROR(__xludf.DUMMYFUNCTION("""COMPUTED_VALUE"""),0.0)</f>
        <v>0</v>
      </c>
      <c r="AU1362" s="82"/>
      <c r="AV1362" s="82"/>
      <c r="AW1362" s="82" t="str">
        <f t="shared" si="1"/>
        <v/>
      </c>
      <c r="AX1362" s="83" t="str">
        <f t="array" ref="AX1362">IFERROR(DGET('SBV Import'!A:G,"SBV",{"RSC ID","Tier";B1362,A1362}))</f>
        <v/>
      </c>
      <c r="AY1362" s="82" t="str">
        <f t="shared" si="2"/>
        <v/>
      </c>
      <c r="AZ1362" s="82"/>
      <c r="BA1362" s="84" t="s">
        <v>152</v>
      </c>
      <c r="BB1362" s="84" t="str">
        <f>IFERROR(__xludf.DUMMYFUNCTION("iferror(if(A1362="""",,E1362&gt;=FILTER(Constants!$F$2:$F$10,Constants!$A$2:$A$10=A1362)))"),"")</f>
        <v/>
      </c>
    </row>
    <row r="1363">
      <c r="A1363" s="89"/>
      <c r="B1363" s="87"/>
      <c r="C1363" s="73"/>
      <c r="D1363" s="73"/>
      <c r="E1363" s="82"/>
      <c r="F1363" s="82"/>
      <c r="G1363" s="86"/>
      <c r="H1363" s="86"/>
      <c r="I1363" s="86"/>
      <c r="J1363" s="82"/>
      <c r="K1363" s="82"/>
      <c r="L1363" s="82"/>
      <c r="M1363" s="82"/>
      <c r="N1363" s="82"/>
      <c r="O1363" s="82"/>
      <c r="P1363" s="82"/>
      <c r="Q1363" s="82"/>
      <c r="R1363" s="82"/>
      <c r="S1363" s="82"/>
      <c r="T1363" s="82"/>
      <c r="U1363" s="82"/>
      <c r="V1363" s="82"/>
      <c r="W1363" s="82"/>
      <c r="X1363" s="82"/>
      <c r="Y1363" s="82"/>
      <c r="Z1363" s="82"/>
      <c r="AA1363" s="82"/>
      <c r="AB1363" s="82"/>
      <c r="AC1363" s="82"/>
      <c r="AD1363" s="82"/>
      <c r="AE1363" s="82"/>
      <c r="AF1363" s="82"/>
      <c r="AG1363" s="82"/>
      <c r="AH1363" s="82"/>
      <c r="AI1363" s="82"/>
      <c r="AJ1363" s="82"/>
      <c r="AK1363" s="82"/>
      <c r="AL1363" s="82"/>
      <c r="AM1363" s="82"/>
      <c r="AN1363" s="82">
        <f>IFERROR(__xludf.DUMMYFUNCTION("""COMPUTED_VALUE"""),0.0)</f>
        <v>0</v>
      </c>
      <c r="AO1363" s="82">
        <f>IFERROR(__xludf.DUMMYFUNCTION("""COMPUTED_VALUE"""),0.0)</f>
        <v>0</v>
      </c>
      <c r="AP1363" s="82">
        <f>IFERROR(__xludf.DUMMYFUNCTION("""COMPUTED_VALUE"""),0.0)</f>
        <v>0</v>
      </c>
      <c r="AQ1363" s="82">
        <f>IFERROR(__xludf.DUMMYFUNCTION("""COMPUTED_VALUE"""),0.0)</f>
        <v>0</v>
      </c>
      <c r="AR1363" s="82">
        <f>IFERROR(__xludf.DUMMYFUNCTION("""COMPUTED_VALUE"""),0.0)</f>
        <v>0</v>
      </c>
      <c r="AS1363" s="82"/>
      <c r="AT1363" s="82">
        <f>IFERROR(__xludf.DUMMYFUNCTION("""COMPUTED_VALUE"""),0.0)</f>
        <v>0</v>
      </c>
      <c r="AU1363" s="82"/>
      <c r="AV1363" s="82"/>
      <c r="AW1363" s="82" t="str">
        <f t="shared" si="1"/>
        <v/>
      </c>
      <c r="AX1363" s="83" t="str">
        <f t="array" ref="AX1363">IFERROR(DGET('SBV Import'!A:G,"SBV",{"RSC ID","Tier";B1363,A1363}))</f>
        <v/>
      </c>
      <c r="AY1363" s="82" t="str">
        <f t="shared" si="2"/>
        <v/>
      </c>
      <c r="AZ1363" s="82"/>
      <c r="BA1363" s="84" t="s">
        <v>152</v>
      </c>
      <c r="BB1363" s="84" t="str">
        <f>IFERROR(__xludf.DUMMYFUNCTION("iferror(if(A1363="""",,E1363&gt;=FILTER(Constants!$F$2:$F$10,Constants!$A$2:$A$10=A1363)))"),"")</f>
        <v/>
      </c>
    </row>
    <row r="1364">
      <c r="A1364" s="89"/>
      <c r="B1364" s="87"/>
      <c r="C1364" s="73"/>
      <c r="D1364" s="73"/>
      <c r="E1364" s="82"/>
      <c r="F1364" s="82"/>
      <c r="G1364" s="86"/>
      <c r="H1364" s="86"/>
      <c r="I1364" s="86"/>
      <c r="J1364" s="82"/>
      <c r="K1364" s="82"/>
      <c r="L1364" s="82"/>
      <c r="M1364" s="82"/>
      <c r="N1364" s="82"/>
      <c r="O1364" s="82"/>
      <c r="P1364" s="82"/>
      <c r="Q1364" s="82"/>
      <c r="R1364" s="82"/>
      <c r="S1364" s="82"/>
      <c r="T1364" s="82"/>
      <c r="U1364" s="82"/>
      <c r="V1364" s="82"/>
      <c r="W1364" s="82"/>
      <c r="X1364" s="82"/>
      <c r="Y1364" s="82"/>
      <c r="Z1364" s="82"/>
      <c r="AA1364" s="82"/>
      <c r="AB1364" s="82"/>
      <c r="AC1364" s="82"/>
      <c r="AD1364" s="82"/>
      <c r="AE1364" s="82"/>
      <c r="AF1364" s="82"/>
      <c r="AG1364" s="82"/>
      <c r="AH1364" s="82"/>
      <c r="AI1364" s="82"/>
      <c r="AJ1364" s="82"/>
      <c r="AK1364" s="82"/>
      <c r="AL1364" s="82"/>
      <c r="AM1364" s="82"/>
      <c r="AN1364" s="82">
        <f>IFERROR(__xludf.DUMMYFUNCTION("""COMPUTED_VALUE"""),0.0)</f>
        <v>0</v>
      </c>
      <c r="AO1364" s="82">
        <f>IFERROR(__xludf.DUMMYFUNCTION("""COMPUTED_VALUE"""),0.0)</f>
        <v>0</v>
      </c>
      <c r="AP1364" s="82">
        <f>IFERROR(__xludf.DUMMYFUNCTION("""COMPUTED_VALUE"""),0.0)</f>
        <v>0</v>
      </c>
      <c r="AQ1364" s="82">
        <f>IFERROR(__xludf.DUMMYFUNCTION("""COMPUTED_VALUE"""),0.0)</f>
        <v>0</v>
      </c>
      <c r="AR1364" s="82">
        <f>IFERROR(__xludf.DUMMYFUNCTION("""COMPUTED_VALUE"""),0.0)</f>
        <v>0</v>
      </c>
      <c r="AS1364" s="82"/>
      <c r="AT1364" s="82">
        <f>IFERROR(__xludf.DUMMYFUNCTION("""COMPUTED_VALUE"""),0.0)</f>
        <v>0</v>
      </c>
      <c r="AU1364" s="82"/>
      <c r="AV1364" s="82"/>
      <c r="AW1364" s="82" t="str">
        <f t="shared" si="1"/>
        <v/>
      </c>
      <c r="AX1364" s="83" t="str">
        <f t="array" ref="AX1364">IFERROR(DGET('SBV Import'!A:G,"SBV",{"RSC ID","Tier";B1364,A1364}))</f>
        <v/>
      </c>
      <c r="AY1364" s="82" t="str">
        <f t="shared" si="2"/>
        <v/>
      </c>
      <c r="AZ1364" s="82"/>
      <c r="BA1364" s="84" t="s">
        <v>152</v>
      </c>
      <c r="BB1364" s="84" t="str">
        <f>IFERROR(__xludf.DUMMYFUNCTION("iferror(if(A1364="""",,E1364&gt;=FILTER(Constants!$F$2:$F$10,Constants!$A$2:$A$10=A1364)))"),"")</f>
        <v/>
      </c>
    </row>
    <row r="1365">
      <c r="A1365" s="89"/>
      <c r="B1365" s="87"/>
      <c r="C1365" s="73"/>
      <c r="D1365" s="73"/>
      <c r="E1365" s="82"/>
      <c r="F1365" s="82"/>
      <c r="G1365" s="86"/>
      <c r="H1365" s="86"/>
      <c r="I1365" s="86"/>
      <c r="J1365" s="82"/>
      <c r="K1365" s="82"/>
      <c r="L1365" s="82"/>
      <c r="M1365" s="82"/>
      <c r="N1365" s="82"/>
      <c r="O1365" s="82"/>
      <c r="P1365" s="82"/>
      <c r="Q1365" s="82"/>
      <c r="R1365" s="82"/>
      <c r="S1365" s="82"/>
      <c r="T1365" s="82"/>
      <c r="U1365" s="82"/>
      <c r="V1365" s="82"/>
      <c r="W1365" s="82"/>
      <c r="X1365" s="82"/>
      <c r="Y1365" s="82"/>
      <c r="Z1365" s="82"/>
      <c r="AA1365" s="82"/>
      <c r="AB1365" s="82"/>
      <c r="AC1365" s="82"/>
      <c r="AD1365" s="82"/>
      <c r="AE1365" s="82"/>
      <c r="AF1365" s="82"/>
      <c r="AG1365" s="82"/>
      <c r="AH1365" s="82"/>
      <c r="AI1365" s="82"/>
      <c r="AJ1365" s="82"/>
      <c r="AK1365" s="82"/>
      <c r="AL1365" s="82"/>
      <c r="AM1365" s="82"/>
      <c r="AN1365" s="82">
        <f>IFERROR(__xludf.DUMMYFUNCTION("""COMPUTED_VALUE"""),0.0)</f>
        <v>0</v>
      </c>
      <c r="AO1365" s="82">
        <f>IFERROR(__xludf.DUMMYFUNCTION("""COMPUTED_VALUE"""),0.0)</f>
        <v>0</v>
      </c>
      <c r="AP1365" s="82">
        <f>IFERROR(__xludf.DUMMYFUNCTION("""COMPUTED_VALUE"""),0.0)</f>
        <v>0</v>
      </c>
      <c r="AQ1365" s="82">
        <f>IFERROR(__xludf.DUMMYFUNCTION("""COMPUTED_VALUE"""),0.0)</f>
        <v>0</v>
      </c>
      <c r="AR1365" s="82">
        <f>IFERROR(__xludf.DUMMYFUNCTION("""COMPUTED_VALUE"""),0.0)</f>
        <v>0</v>
      </c>
      <c r="AS1365" s="82"/>
      <c r="AT1365" s="82">
        <f>IFERROR(__xludf.DUMMYFUNCTION("""COMPUTED_VALUE"""),0.0)</f>
        <v>0</v>
      </c>
      <c r="AU1365" s="82"/>
      <c r="AV1365" s="82"/>
      <c r="AW1365" s="82" t="str">
        <f t="shared" si="1"/>
        <v/>
      </c>
      <c r="AX1365" s="83" t="str">
        <f t="array" ref="AX1365">IFERROR(DGET('SBV Import'!A:G,"SBV",{"RSC ID","Tier";B1365,A1365}))</f>
        <v/>
      </c>
      <c r="AY1365" s="82" t="str">
        <f t="shared" si="2"/>
        <v/>
      </c>
      <c r="AZ1365" s="82"/>
      <c r="BA1365" s="84" t="s">
        <v>152</v>
      </c>
      <c r="BB1365" s="84" t="str">
        <f>IFERROR(__xludf.DUMMYFUNCTION("iferror(if(A1365="""",,E1365&gt;=FILTER(Constants!$F$2:$F$10,Constants!$A$2:$A$10=A1365)))"),"")</f>
        <v/>
      </c>
    </row>
    <row r="1366">
      <c r="A1366" s="89"/>
      <c r="B1366" s="87"/>
      <c r="C1366" s="73"/>
      <c r="D1366" s="73"/>
      <c r="E1366" s="82"/>
      <c r="F1366" s="82"/>
      <c r="G1366" s="86"/>
      <c r="H1366" s="86"/>
      <c r="I1366" s="86"/>
      <c r="J1366" s="82"/>
      <c r="K1366" s="82"/>
      <c r="L1366" s="82"/>
      <c r="M1366" s="82"/>
      <c r="N1366" s="82"/>
      <c r="O1366" s="82"/>
      <c r="P1366" s="82"/>
      <c r="Q1366" s="82"/>
      <c r="R1366" s="82"/>
      <c r="S1366" s="82"/>
      <c r="T1366" s="82"/>
      <c r="U1366" s="82"/>
      <c r="V1366" s="82"/>
      <c r="W1366" s="82"/>
      <c r="X1366" s="82"/>
      <c r="Y1366" s="82"/>
      <c r="Z1366" s="82"/>
      <c r="AA1366" s="82"/>
      <c r="AB1366" s="82"/>
      <c r="AC1366" s="82"/>
      <c r="AD1366" s="82"/>
      <c r="AE1366" s="82"/>
      <c r="AF1366" s="82"/>
      <c r="AG1366" s="82"/>
      <c r="AH1366" s="82"/>
      <c r="AI1366" s="82"/>
      <c r="AJ1366" s="82"/>
      <c r="AK1366" s="82"/>
      <c r="AL1366" s="82"/>
      <c r="AM1366" s="82"/>
      <c r="AN1366" s="82">
        <f>IFERROR(__xludf.DUMMYFUNCTION("""COMPUTED_VALUE"""),0.0)</f>
        <v>0</v>
      </c>
      <c r="AO1366" s="82">
        <f>IFERROR(__xludf.DUMMYFUNCTION("""COMPUTED_VALUE"""),0.0)</f>
        <v>0</v>
      </c>
      <c r="AP1366" s="82">
        <f>IFERROR(__xludf.DUMMYFUNCTION("""COMPUTED_VALUE"""),0.0)</f>
        <v>0</v>
      </c>
      <c r="AQ1366" s="82">
        <f>IFERROR(__xludf.DUMMYFUNCTION("""COMPUTED_VALUE"""),0.0)</f>
        <v>0</v>
      </c>
      <c r="AR1366" s="82">
        <f>IFERROR(__xludf.DUMMYFUNCTION("""COMPUTED_VALUE"""),0.0)</f>
        <v>0</v>
      </c>
      <c r="AS1366" s="82"/>
      <c r="AT1366" s="82">
        <f>IFERROR(__xludf.DUMMYFUNCTION("""COMPUTED_VALUE"""),0.0)</f>
        <v>0</v>
      </c>
      <c r="AU1366" s="82"/>
      <c r="AV1366" s="82"/>
      <c r="AW1366" s="82" t="str">
        <f t="shared" si="1"/>
        <v/>
      </c>
      <c r="AX1366" s="83" t="str">
        <f t="array" ref="AX1366">IFERROR(DGET('SBV Import'!A:G,"SBV",{"RSC ID","Tier";B1366,A1366}))</f>
        <v/>
      </c>
      <c r="AY1366" s="82" t="str">
        <f t="shared" si="2"/>
        <v/>
      </c>
      <c r="AZ1366" s="82"/>
      <c r="BA1366" s="84" t="s">
        <v>152</v>
      </c>
      <c r="BB1366" s="84" t="str">
        <f>IFERROR(__xludf.DUMMYFUNCTION("iferror(if(A1366="""",,E1366&gt;=FILTER(Constants!$F$2:$F$10,Constants!$A$2:$A$10=A1366)))"),"")</f>
        <v/>
      </c>
    </row>
    <row r="1367">
      <c r="A1367" s="89"/>
      <c r="B1367" s="87"/>
      <c r="C1367" s="73"/>
      <c r="D1367" s="73"/>
      <c r="E1367" s="82"/>
      <c r="F1367" s="82"/>
      <c r="G1367" s="86"/>
      <c r="H1367" s="86"/>
      <c r="I1367" s="86"/>
      <c r="J1367" s="82"/>
      <c r="K1367" s="82"/>
      <c r="L1367" s="82"/>
      <c r="M1367" s="82"/>
      <c r="N1367" s="82"/>
      <c r="O1367" s="82"/>
      <c r="P1367" s="82"/>
      <c r="Q1367" s="82"/>
      <c r="R1367" s="82"/>
      <c r="S1367" s="82"/>
      <c r="T1367" s="82"/>
      <c r="U1367" s="82"/>
      <c r="V1367" s="82"/>
      <c r="W1367" s="82"/>
      <c r="X1367" s="82"/>
      <c r="Y1367" s="82"/>
      <c r="Z1367" s="82"/>
      <c r="AA1367" s="82"/>
      <c r="AB1367" s="82"/>
      <c r="AC1367" s="82"/>
      <c r="AD1367" s="82"/>
      <c r="AE1367" s="82"/>
      <c r="AF1367" s="82"/>
      <c r="AG1367" s="82"/>
      <c r="AH1367" s="82"/>
      <c r="AI1367" s="82"/>
      <c r="AJ1367" s="82"/>
      <c r="AK1367" s="82"/>
      <c r="AL1367" s="82"/>
      <c r="AM1367" s="82"/>
      <c r="AN1367" s="82">
        <f>IFERROR(__xludf.DUMMYFUNCTION("""COMPUTED_VALUE"""),0.0)</f>
        <v>0</v>
      </c>
      <c r="AO1367" s="82">
        <f>IFERROR(__xludf.DUMMYFUNCTION("""COMPUTED_VALUE"""),0.0)</f>
        <v>0</v>
      </c>
      <c r="AP1367" s="82">
        <f>IFERROR(__xludf.DUMMYFUNCTION("""COMPUTED_VALUE"""),0.0)</f>
        <v>0</v>
      </c>
      <c r="AQ1367" s="82">
        <f>IFERROR(__xludf.DUMMYFUNCTION("""COMPUTED_VALUE"""),0.0)</f>
        <v>0</v>
      </c>
      <c r="AR1367" s="82">
        <f>IFERROR(__xludf.DUMMYFUNCTION("""COMPUTED_VALUE"""),0.0)</f>
        <v>0</v>
      </c>
      <c r="AS1367" s="82"/>
      <c r="AT1367" s="82">
        <f>IFERROR(__xludf.DUMMYFUNCTION("""COMPUTED_VALUE"""),0.0)</f>
        <v>0</v>
      </c>
      <c r="AU1367" s="82"/>
      <c r="AV1367" s="82"/>
      <c r="AW1367" s="82" t="str">
        <f t="shared" si="1"/>
        <v/>
      </c>
      <c r="AX1367" s="83" t="str">
        <f t="array" ref="AX1367">IFERROR(DGET('SBV Import'!A:G,"SBV",{"RSC ID","Tier";B1367,A1367}))</f>
        <v/>
      </c>
      <c r="AY1367" s="82" t="str">
        <f t="shared" si="2"/>
        <v/>
      </c>
      <c r="AZ1367" s="82"/>
      <c r="BA1367" s="84" t="s">
        <v>152</v>
      </c>
      <c r="BB1367" s="84" t="str">
        <f>IFERROR(__xludf.DUMMYFUNCTION("iferror(if(A1367="""",,E1367&gt;=FILTER(Constants!$F$2:$F$10,Constants!$A$2:$A$10=A1367)))"),"")</f>
        <v/>
      </c>
    </row>
    <row r="1368">
      <c r="A1368" s="89"/>
      <c r="B1368" s="87"/>
      <c r="C1368" s="73"/>
      <c r="D1368" s="73"/>
      <c r="E1368" s="82"/>
      <c r="F1368" s="82"/>
      <c r="G1368" s="86"/>
      <c r="H1368" s="86"/>
      <c r="I1368" s="86"/>
      <c r="J1368" s="82"/>
      <c r="K1368" s="82"/>
      <c r="L1368" s="82"/>
      <c r="M1368" s="82"/>
      <c r="N1368" s="82"/>
      <c r="O1368" s="82"/>
      <c r="P1368" s="82"/>
      <c r="Q1368" s="82"/>
      <c r="R1368" s="82"/>
      <c r="S1368" s="82"/>
      <c r="T1368" s="82"/>
      <c r="U1368" s="82"/>
      <c r="V1368" s="82"/>
      <c r="W1368" s="82"/>
      <c r="X1368" s="82"/>
      <c r="Y1368" s="82"/>
      <c r="Z1368" s="82"/>
      <c r="AA1368" s="82"/>
      <c r="AB1368" s="82"/>
      <c r="AC1368" s="82"/>
      <c r="AD1368" s="82"/>
      <c r="AE1368" s="82"/>
      <c r="AF1368" s="82"/>
      <c r="AG1368" s="82"/>
      <c r="AH1368" s="82"/>
      <c r="AI1368" s="82"/>
      <c r="AJ1368" s="82"/>
      <c r="AK1368" s="82"/>
      <c r="AL1368" s="82"/>
      <c r="AM1368" s="82"/>
      <c r="AN1368" s="82">
        <f>IFERROR(__xludf.DUMMYFUNCTION("""COMPUTED_VALUE"""),0.0)</f>
        <v>0</v>
      </c>
      <c r="AO1368" s="82">
        <f>IFERROR(__xludf.DUMMYFUNCTION("""COMPUTED_VALUE"""),0.0)</f>
        <v>0</v>
      </c>
      <c r="AP1368" s="82">
        <f>IFERROR(__xludf.DUMMYFUNCTION("""COMPUTED_VALUE"""),0.0)</f>
        <v>0</v>
      </c>
      <c r="AQ1368" s="82">
        <f>IFERROR(__xludf.DUMMYFUNCTION("""COMPUTED_VALUE"""),0.0)</f>
        <v>0</v>
      </c>
      <c r="AR1368" s="82">
        <f>IFERROR(__xludf.DUMMYFUNCTION("""COMPUTED_VALUE"""),0.0)</f>
        <v>0</v>
      </c>
      <c r="AS1368" s="82"/>
      <c r="AT1368" s="82">
        <f>IFERROR(__xludf.DUMMYFUNCTION("""COMPUTED_VALUE"""),0.0)</f>
        <v>0</v>
      </c>
      <c r="AU1368" s="82"/>
      <c r="AV1368" s="82"/>
      <c r="AW1368" s="82" t="str">
        <f t="shared" si="1"/>
        <v/>
      </c>
      <c r="AX1368" s="83" t="str">
        <f t="array" ref="AX1368">IFERROR(DGET('SBV Import'!A:G,"SBV",{"RSC ID","Tier";B1368,A1368}))</f>
        <v/>
      </c>
      <c r="AY1368" s="82" t="str">
        <f t="shared" si="2"/>
        <v/>
      </c>
      <c r="AZ1368" s="82"/>
      <c r="BA1368" s="84" t="s">
        <v>152</v>
      </c>
      <c r="BB1368" s="84" t="str">
        <f>IFERROR(__xludf.DUMMYFUNCTION("iferror(if(A1368="""",,E1368&gt;=FILTER(Constants!$F$2:$F$10,Constants!$A$2:$A$10=A1368)))"),"")</f>
        <v/>
      </c>
    </row>
    <row r="1369">
      <c r="A1369" s="89"/>
      <c r="B1369" s="87"/>
      <c r="C1369" s="73"/>
      <c r="D1369" s="73"/>
      <c r="E1369" s="82"/>
      <c r="F1369" s="82"/>
      <c r="G1369" s="86"/>
      <c r="H1369" s="86"/>
      <c r="I1369" s="86"/>
      <c r="J1369" s="82"/>
      <c r="K1369" s="82"/>
      <c r="L1369" s="82"/>
      <c r="M1369" s="82"/>
      <c r="N1369" s="82"/>
      <c r="O1369" s="82"/>
      <c r="P1369" s="82"/>
      <c r="Q1369" s="82"/>
      <c r="R1369" s="82"/>
      <c r="S1369" s="82"/>
      <c r="T1369" s="82"/>
      <c r="U1369" s="82"/>
      <c r="V1369" s="82"/>
      <c r="W1369" s="82"/>
      <c r="X1369" s="82"/>
      <c r="Y1369" s="82"/>
      <c r="Z1369" s="82"/>
      <c r="AA1369" s="82"/>
      <c r="AB1369" s="82"/>
      <c r="AC1369" s="82"/>
      <c r="AD1369" s="82"/>
      <c r="AE1369" s="82"/>
      <c r="AF1369" s="82"/>
      <c r="AG1369" s="82"/>
      <c r="AH1369" s="82"/>
      <c r="AI1369" s="82"/>
      <c r="AJ1369" s="82"/>
      <c r="AK1369" s="82"/>
      <c r="AL1369" s="82"/>
      <c r="AM1369" s="82"/>
      <c r="AN1369" s="82">
        <f>IFERROR(__xludf.DUMMYFUNCTION("""COMPUTED_VALUE"""),0.0)</f>
        <v>0</v>
      </c>
      <c r="AO1369" s="82">
        <f>IFERROR(__xludf.DUMMYFUNCTION("""COMPUTED_VALUE"""),0.0)</f>
        <v>0</v>
      </c>
      <c r="AP1369" s="82">
        <f>IFERROR(__xludf.DUMMYFUNCTION("""COMPUTED_VALUE"""),0.0)</f>
        <v>0</v>
      </c>
      <c r="AQ1369" s="82">
        <f>IFERROR(__xludf.DUMMYFUNCTION("""COMPUTED_VALUE"""),0.0)</f>
        <v>0</v>
      </c>
      <c r="AR1369" s="82">
        <f>IFERROR(__xludf.DUMMYFUNCTION("""COMPUTED_VALUE"""),0.0)</f>
        <v>0</v>
      </c>
      <c r="AS1369" s="82"/>
      <c r="AT1369" s="82">
        <f>IFERROR(__xludf.DUMMYFUNCTION("""COMPUTED_VALUE"""),0.0)</f>
        <v>0</v>
      </c>
      <c r="AU1369" s="82"/>
      <c r="AV1369" s="82"/>
      <c r="AW1369" s="82" t="str">
        <f t="shared" si="1"/>
        <v/>
      </c>
      <c r="AX1369" s="83" t="str">
        <f t="array" ref="AX1369">IFERROR(DGET('SBV Import'!A:G,"SBV",{"RSC ID","Tier";B1369,A1369}))</f>
        <v/>
      </c>
      <c r="AY1369" s="82" t="str">
        <f t="shared" si="2"/>
        <v/>
      </c>
      <c r="AZ1369" s="82"/>
      <c r="BA1369" s="84" t="s">
        <v>152</v>
      </c>
      <c r="BB1369" s="84" t="str">
        <f>IFERROR(__xludf.DUMMYFUNCTION("iferror(if(A1369="""",,E1369&gt;=FILTER(Constants!$F$2:$F$10,Constants!$A$2:$A$10=A1369)))"),"")</f>
        <v/>
      </c>
    </row>
    <row r="1370">
      <c r="A1370" s="89"/>
      <c r="B1370" s="87"/>
      <c r="C1370" s="73"/>
      <c r="D1370" s="73"/>
      <c r="E1370" s="82"/>
      <c r="F1370" s="82"/>
      <c r="G1370" s="86"/>
      <c r="H1370" s="86"/>
      <c r="I1370" s="86"/>
      <c r="J1370" s="82"/>
      <c r="K1370" s="82"/>
      <c r="L1370" s="82"/>
      <c r="M1370" s="82"/>
      <c r="N1370" s="82"/>
      <c r="O1370" s="82"/>
      <c r="P1370" s="82"/>
      <c r="Q1370" s="82"/>
      <c r="R1370" s="82"/>
      <c r="S1370" s="82"/>
      <c r="T1370" s="82"/>
      <c r="U1370" s="82"/>
      <c r="V1370" s="82"/>
      <c r="W1370" s="82"/>
      <c r="X1370" s="82"/>
      <c r="Y1370" s="82"/>
      <c r="Z1370" s="82"/>
      <c r="AA1370" s="82"/>
      <c r="AB1370" s="82"/>
      <c r="AC1370" s="82"/>
      <c r="AD1370" s="82"/>
      <c r="AE1370" s="82"/>
      <c r="AF1370" s="82"/>
      <c r="AG1370" s="82"/>
      <c r="AH1370" s="82"/>
      <c r="AI1370" s="82"/>
      <c r="AJ1370" s="82"/>
      <c r="AK1370" s="82"/>
      <c r="AL1370" s="82"/>
      <c r="AM1370" s="82"/>
      <c r="AN1370" s="82">
        <f>IFERROR(__xludf.DUMMYFUNCTION("""COMPUTED_VALUE"""),0.0)</f>
        <v>0</v>
      </c>
      <c r="AO1370" s="82">
        <f>IFERROR(__xludf.DUMMYFUNCTION("""COMPUTED_VALUE"""),0.0)</f>
        <v>0</v>
      </c>
      <c r="AP1370" s="82">
        <f>IFERROR(__xludf.DUMMYFUNCTION("""COMPUTED_VALUE"""),0.0)</f>
        <v>0</v>
      </c>
      <c r="AQ1370" s="82">
        <f>IFERROR(__xludf.DUMMYFUNCTION("""COMPUTED_VALUE"""),0.0)</f>
        <v>0</v>
      </c>
      <c r="AR1370" s="82">
        <f>IFERROR(__xludf.DUMMYFUNCTION("""COMPUTED_VALUE"""),0.0)</f>
        <v>0</v>
      </c>
      <c r="AS1370" s="82"/>
      <c r="AT1370" s="82">
        <f>IFERROR(__xludf.DUMMYFUNCTION("""COMPUTED_VALUE"""),0.0)</f>
        <v>0</v>
      </c>
      <c r="AU1370" s="82"/>
      <c r="AV1370" s="82"/>
      <c r="AW1370" s="82" t="str">
        <f t="shared" si="1"/>
        <v/>
      </c>
      <c r="AX1370" s="83" t="str">
        <f t="array" ref="AX1370">IFERROR(DGET('SBV Import'!A:G,"SBV",{"RSC ID","Tier";B1370,A1370}))</f>
        <v/>
      </c>
      <c r="AY1370" s="82" t="str">
        <f t="shared" si="2"/>
        <v/>
      </c>
      <c r="AZ1370" s="82"/>
      <c r="BA1370" s="84" t="s">
        <v>152</v>
      </c>
      <c r="BB1370" s="84" t="str">
        <f>IFERROR(__xludf.DUMMYFUNCTION("iferror(if(A1370="""",,E1370&gt;=FILTER(Constants!$F$2:$F$10,Constants!$A$2:$A$10=A1370)))"),"")</f>
        <v/>
      </c>
    </row>
    <row r="1371">
      <c r="A1371" s="89"/>
      <c r="B1371" s="87"/>
      <c r="C1371" s="73"/>
      <c r="D1371" s="73"/>
      <c r="E1371" s="82"/>
      <c r="F1371" s="82"/>
      <c r="G1371" s="86"/>
      <c r="H1371" s="86"/>
      <c r="I1371" s="86"/>
      <c r="J1371" s="82"/>
      <c r="K1371" s="82"/>
      <c r="L1371" s="82"/>
      <c r="M1371" s="82"/>
      <c r="N1371" s="82"/>
      <c r="O1371" s="82"/>
      <c r="P1371" s="82"/>
      <c r="Q1371" s="82"/>
      <c r="R1371" s="82"/>
      <c r="S1371" s="82"/>
      <c r="T1371" s="82"/>
      <c r="U1371" s="82"/>
      <c r="V1371" s="82"/>
      <c r="W1371" s="82"/>
      <c r="X1371" s="82"/>
      <c r="Y1371" s="82"/>
      <c r="Z1371" s="82"/>
      <c r="AA1371" s="82"/>
      <c r="AB1371" s="82"/>
      <c r="AC1371" s="82"/>
      <c r="AD1371" s="82"/>
      <c r="AE1371" s="82"/>
      <c r="AF1371" s="82"/>
      <c r="AG1371" s="82"/>
      <c r="AH1371" s="82"/>
      <c r="AI1371" s="82"/>
      <c r="AJ1371" s="82"/>
      <c r="AK1371" s="82"/>
      <c r="AL1371" s="82"/>
      <c r="AM1371" s="82"/>
      <c r="AN1371" s="82">
        <f>IFERROR(__xludf.DUMMYFUNCTION("""COMPUTED_VALUE"""),0.0)</f>
        <v>0</v>
      </c>
      <c r="AO1371" s="82">
        <f>IFERROR(__xludf.DUMMYFUNCTION("""COMPUTED_VALUE"""),0.0)</f>
        <v>0</v>
      </c>
      <c r="AP1371" s="82">
        <f>IFERROR(__xludf.DUMMYFUNCTION("""COMPUTED_VALUE"""),0.0)</f>
        <v>0</v>
      </c>
      <c r="AQ1371" s="82">
        <f>IFERROR(__xludf.DUMMYFUNCTION("""COMPUTED_VALUE"""),0.0)</f>
        <v>0</v>
      </c>
      <c r="AR1371" s="82">
        <f>IFERROR(__xludf.DUMMYFUNCTION("""COMPUTED_VALUE"""),0.0)</f>
        <v>0</v>
      </c>
      <c r="AS1371" s="82"/>
      <c r="AT1371" s="82">
        <f>IFERROR(__xludf.DUMMYFUNCTION("""COMPUTED_VALUE"""),0.0)</f>
        <v>0</v>
      </c>
      <c r="AU1371" s="82"/>
      <c r="AV1371" s="82"/>
      <c r="AW1371" s="82" t="str">
        <f t="shared" si="1"/>
        <v/>
      </c>
      <c r="AX1371" s="83" t="str">
        <f t="array" ref="AX1371">IFERROR(DGET('SBV Import'!A:G,"SBV",{"RSC ID","Tier";B1371,A1371}))</f>
        <v/>
      </c>
      <c r="AY1371" s="82" t="str">
        <f t="shared" si="2"/>
        <v/>
      </c>
      <c r="AZ1371" s="82"/>
      <c r="BA1371" s="84" t="s">
        <v>152</v>
      </c>
      <c r="BB1371" s="84" t="str">
        <f>IFERROR(__xludf.DUMMYFUNCTION("iferror(if(A1371="""",,E1371&gt;=FILTER(Constants!$F$2:$F$10,Constants!$A$2:$A$10=A1371)))"),"")</f>
        <v/>
      </c>
    </row>
    <row r="1372">
      <c r="A1372" s="89"/>
      <c r="B1372" s="87"/>
      <c r="C1372" s="73"/>
      <c r="D1372" s="73"/>
      <c r="E1372" s="82"/>
      <c r="F1372" s="82"/>
      <c r="G1372" s="86"/>
      <c r="H1372" s="86"/>
      <c r="I1372" s="86"/>
      <c r="J1372" s="82"/>
      <c r="K1372" s="82"/>
      <c r="L1372" s="82"/>
      <c r="M1372" s="82"/>
      <c r="N1372" s="82"/>
      <c r="O1372" s="82"/>
      <c r="P1372" s="82"/>
      <c r="Q1372" s="82"/>
      <c r="R1372" s="82"/>
      <c r="S1372" s="82"/>
      <c r="T1372" s="82"/>
      <c r="U1372" s="82"/>
      <c r="V1372" s="82"/>
      <c r="W1372" s="82"/>
      <c r="X1372" s="82"/>
      <c r="Y1372" s="82"/>
      <c r="Z1372" s="82"/>
      <c r="AA1372" s="82"/>
      <c r="AB1372" s="82"/>
      <c r="AC1372" s="82"/>
      <c r="AD1372" s="82"/>
      <c r="AE1372" s="82"/>
      <c r="AF1372" s="82"/>
      <c r="AG1372" s="82"/>
      <c r="AH1372" s="82"/>
      <c r="AI1372" s="82"/>
      <c r="AJ1372" s="82"/>
      <c r="AK1372" s="82"/>
      <c r="AL1372" s="82"/>
      <c r="AM1372" s="82"/>
      <c r="AN1372" s="82">
        <f>IFERROR(__xludf.DUMMYFUNCTION("""COMPUTED_VALUE"""),0.0)</f>
        <v>0</v>
      </c>
      <c r="AO1372" s="82">
        <f>IFERROR(__xludf.DUMMYFUNCTION("""COMPUTED_VALUE"""),0.0)</f>
        <v>0</v>
      </c>
      <c r="AP1372" s="82">
        <f>IFERROR(__xludf.DUMMYFUNCTION("""COMPUTED_VALUE"""),0.0)</f>
        <v>0</v>
      </c>
      <c r="AQ1372" s="82">
        <f>IFERROR(__xludf.DUMMYFUNCTION("""COMPUTED_VALUE"""),0.0)</f>
        <v>0</v>
      </c>
      <c r="AR1372" s="82">
        <f>IFERROR(__xludf.DUMMYFUNCTION("""COMPUTED_VALUE"""),0.0)</f>
        <v>0</v>
      </c>
      <c r="AS1372" s="82"/>
      <c r="AT1372" s="82">
        <f>IFERROR(__xludf.DUMMYFUNCTION("""COMPUTED_VALUE"""),0.0)</f>
        <v>0</v>
      </c>
      <c r="AU1372" s="82"/>
      <c r="AV1372" s="82"/>
      <c r="AW1372" s="82" t="str">
        <f t="shared" si="1"/>
        <v/>
      </c>
      <c r="AX1372" s="83" t="str">
        <f t="array" ref="AX1372">IFERROR(DGET('SBV Import'!A:G,"SBV",{"RSC ID","Tier";B1372,A1372}))</f>
        <v/>
      </c>
      <c r="AY1372" s="82" t="str">
        <f t="shared" si="2"/>
        <v/>
      </c>
      <c r="AZ1372" s="82"/>
      <c r="BA1372" s="84" t="s">
        <v>152</v>
      </c>
      <c r="BB1372" s="84" t="str">
        <f>IFERROR(__xludf.DUMMYFUNCTION("iferror(if(A1372="""",,E1372&gt;=FILTER(Constants!$F$2:$F$10,Constants!$A$2:$A$10=A1372)))"),"")</f>
        <v/>
      </c>
    </row>
    <row r="1373">
      <c r="A1373" s="89"/>
      <c r="B1373" s="87"/>
      <c r="C1373" s="73"/>
      <c r="D1373" s="73"/>
      <c r="E1373" s="82"/>
      <c r="F1373" s="82"/>
      <c r="G1373" s="86"/>
      <c r="H1373" s="86"/>
      <c r="I1373" s="86"/>
      <c r="J1373" s="82"/>
      <c r="K1373" s="82"/>
      <c r="L1373" s="82"/>
      <c r="M1373" s="82"/>
      <c r="N1373" s="82"/>
      <c r="O1373" s="82"/>
      <c r="P1373" s="82"/>
      <c r="Q1373" s="82"/>
      <c r="R1373" s="82"/>
      <c r="S1373" s="82"/>
      <c r="T1373" s="82"/>
      <c r="U1373" s="82"/>
      <c r="V1373" s="82"/>
      <c r="W1373" s="82"/>
      <c r="X1373" s="82"/>
      <c r="Y1373" s="82"/>
      <c r="Z1373" s="82"/>
      <c r="AA1373" s="82"/>
      <c r="AB1373" s="82"/>
      <c r="AC1373" s="82"/>
      <c r="AD1373" s="82"/>
      <c r="AE1373" s="82"/>
      <c r="AF1373" s="82"/>
      <c r="AG1373" s="82"/>
      <c r="AH1373" s="82"/>
      <c r="AI1373" s="82"/>
      <c r="AJ1373" s="82"/>
      <c r="AK1373" s="82"/>
      <c r="AL1373" s="82"/>
      <c r="AM1373" s="82"/>
      <c r="AN1373" s="82">
        <f>IFERROR(__xludf.DUMMYFUNCTION("""COMPUTED_VALUE"""),0.0)</f>
        <v>0</v>
      </c>
      <c r="AO1373" s="82">
        <f>IFERROR(__xludf.DUMMYFUNCTION("""COMPUTED_VALUE"""),0.0)</f>
        <v>0</v>
      </c>
      <c r="AP1373" s="82">
        <f>IFERROR(__xludf.DUMMYFUNCTION("""COMPUTED_VALUE"""),0.0)</f>
        <v>0</v>
      </c>
      <c r="AQ1373" s="82">
        <f>IFERROR(__xludf.DUMMYFUNCTION("""COMPUTED_VALUE"""),0.0)</f>
        <v>0</v>
      </c>
      <c r="AR1373" s="82">
        <f>IFERROR(__xludf.DUMMYFUNCTION("""COMPUTED_VALUE"""),0.0)</f>
        <v>0</v>
      </c>
      <c r="AS1373" s="82"/>
      <c r="AT1373" s="82">
        <f>IFERROR(__xludf.DUMMYFUNCTION("""COMPUTED_VALUE"""),0.0)</f>
        <v>0</v>
      </c>
      <c r="AU1373" s="82"/>
      <c r="AV1373" s="82"/>
      <c r="AW1373" s="82" t="str">
        <f t="shared" si="1"/>
        <v/>
      </c>
      <c r="AX1373" s="83" t="str">
        <f t="array" ref="AX1373">IFERROR(DGET('SBV Import'!A:G,"SBV",{"RSC ID","Tier";B1373,A1373}))</f>
        <v/>
      </c>
      <c r="AY1373" s="82" t="str">
        <f t="shared" si="2"/>
        <v/>
      </c>
      <c r="AZ1373" s="82"/>
      <c r="BA1373" s="84" t="s">
        <v>152</v>
      </c>
      <c r="BB1373" s="84" t="str">
        <f>IFERROR(__xludf.DUMMYFUNCTION("iferror(if(A1373="""",,E1373&gt;=FILTER(Constants!$F$2:$F$10,Constants!$A$2:$A$10=A1373)))"),"")</f>
        <v/>
      </c>
    </row>
    <row r="1374">
      <c r="A1374" s="89"/>
      <c r="B1374" s="87"/>
      <c r="C1374" s="73"/>
      <c r="D1374" s="73"/>
      <c r="E1374" s="82"/>
      <c r="F1374" s="82"/>
      <c r="G1374" s="86"/>
      <c r="H1374" s="86"/>
      <c r="I1374" s="86"/>
      <c r="J1374" s="82"/>
      <c r="K1374" s="82"/>
      <c r="L1374" s="82"/>
      <c r="M1374" s="82"/>
      <c r="N1374" s="82"/>
      <c r="O1374" s="82"/>
      <c r="P1374" s="82"/>
      <c r="Q1374" s="82"/>
      <c r="R1374" s="82"/>
      <c r="S1374" s="82"/>
      <c r="T1374" s="82"/>
      <c r="U1374" s="82"/>
      <c r="V1374" s="82"/>
      <c r="W1374" s="82"/>
      <c r="X1374" s="82"/>
      <c r="Y1374" s="82"/>
      <c r="Z1374" s="82"/>
      <c r="AA1374" s="82"/>
      <c r="AB1374" s="82"/>
      <c r="AC1374" s="82"/>
      <c r="AD1374" s="82"/>
      <c r="AE1374" s="82"/>
      <c r="AF1374" s="82"/>
      <c r="AG1374" s="82"/>
      <c r="AH1374" s="82"/>
      <c r="AI1374" s="82"/>
      <c r="AJ1374" s="82"/>
      <c r="AK1374" s="82"/>
      <c r="AL1374" s="82"/>
      <c r="AM1374" s="82"/>
      <c r="AN1374" s="82">
        <f>IFERROR(__xludf.DUMMYFUNCTION("""COMPUTED_VALUE"""),0.0)</f>
        <v>0</v>
      </c>
      <c r="AO1374" s="82">
        <f>IFERROR(__xludf.DUMMYFUNCTION("""COMPUTED_VALUE"""),0.0)</f>
        <v>0</v>
      </c>
      <c r="AP1374" s="82">
        <f>IFERROR(__xludf.DUMMYFUNCTION("""COMPUTED_VALUE"""),0.0)</f>
        <v>0</v>
      </c>
      <c r="AQ1374" s="82">
        <f>IFERROR(__xludf.DUMMYFUNCTION("""COMPUTED_VALUE"""),0.0)</f>
        <v>0</v>
      </c>
      <c r="AR1374" s="82">
        <f>IFERROR(__xludf.DUMMYFUNCTION("""COMPUTED_VALUE"""),0.0)</f>
        <v>0</v>
      </c>
      <c r="AS1374" s="82"/>
      <c r="AT1374" s="82">
        <f>IFERROR(__xludf.DUMMYFUNCTION("""COMPUTED_VALUE"""),0.0)</f>
        <v>0</v>
      </c>
      <c r="AU1374" s="82"/>
      <c r="AV1374" s="82"/>
      <c r="AW1374" s="82" t="str">
        <f t="shared" si="1"/>
        <v/>
      </c>
      <c r="AX1374" s="83" t="str">
        <f t="array" ref="AX1374">IFERROR(DGET('SBV Import'!A:G,"SBV",{"RSC ID","Tier";B1374,A1374}))</f>
        <v/>
      </c>
      <c r="AY1374" s="82" t="str">
        <f t="shared" si="2"/>
        <v/>
      </c>
      <c r="AZ1374" s="82"/>
      <c r="BA1374" s="84" t="s">
        <v>152</v>
      </c>
      <c r="BB1374" s="84" t="str">
        <f>IFERROR(__xludf.DUMMYFUNCTION("iferror(if(A1374="""",,E1374&gt;=FILTER(Constants!$F$2:$F$10,Constants!$A$2:$A$10=A1374)))"),"")</f>
        <v/>
      </c>
    </row>
    <row r="1375">
      <c r="A1375" s="90"/>
      <c r="B1375" s="87"/>
      <c r="C1375" s="73"/>
      <c r="D1375" s="73"/>
      <c r="E1375" s="82"/>
      <c r="F1375" s="82"/>
      <c r="G1375" s="86"/>
      <c r="H1375" s="86"/>
      <c r="I1375" s="86"/>
      <c r="J1375" s="82"/>
      <c r="K1375" s="82"/>
      <c r="L1375" s="82"/>
      <c r="M1375" s="82"/>
      <c r="N1375" s="82"/>
      <c r="O1375" s="82"/>
      <c r="P1375" s="82"/>
      <c r="Q1375" s="82"/>
      <c r="R1375" s="82"/>
      <c r="S1375" s="82"/>
      <c r="T1375" s="82"/>
      <c r="U1375" s="82"/>
      <c r="V1375" s="82"/>
      <c r="W1375" s="82"/>
      <c r="X1375" s="82"/>
      <c r="Y1375" s="82"/>
      <c r="Z1375" s="82"/>
      <c r="AA1375" s="82"/>
      <c r="AB1375" s="82"/>
      <c r="AC1375" s="82"/>
      <c r="AD1375" s="82"/>
      <c r="AE1375" s="82"/>
      <c r="AF1375" s="82"/>
      <c r="AG1375" s="82"/>
      <c r="AH1375" s="82"/>
      <c r="AI1375" s="82"/>
      <c r="AJ1375" s="82"/>
      <c r="AK1375" s="82"/>
      <c r="AL1375" s="82"/>
      <c r="AM1375" s="82"/>
      <c r="AN1375" s="82">
        <f>IFERROR(__xludf.DUMMYFUNCTION("""COMPUTED_VALUE"""),0.0)</f>
        <v>0</v>
      </c>
      <c r="AO1375" s="82">
        <f>IFERROR(__xludf.DUMMYFUNCTION("""COMPUTED_VALUE"""),0.0)</f>
        <v>0</v>
      </c>
      <c r="AP1375" s="82">
        <f>IFERROR(__xludf.DUMMYFUNCTION("""COMPUTED_VALUE"""),0.0)</f>
        <v>0</v>
      </c>
      <c r="AQ1375" s="82">
        <f>IFERROR(__xludf.DUMMYFUNCTION("""COMPUTED_VALUE"""),0.0)</f>
        <v>0</v>
      </c>
      <c r="AR1375" s="82">
        <f>IFERROR(__xludf.DUMMYFUNCTION("""COMPUTED_VALUE"""),0.0)</f>
        <v>0</v>
      </c>
      <c r="AS1375" s="82"/>
      <c r="AT1375" s="82">
        <f>IFERROR(__xludf.DUMMYFUNCTION("""COMPUTED_VALUE"""),0.0)</f>
        <v>0</v>
      </c>
      <c r="AU1375" s="82"/>
      <c r="AV1375" s="82"/>
      <c r="AW1375" s="82" t="str">
        <f t="shared" si="1"/>
        <v/>
      </c>
      <c r="AX1375" s="83" t="str">
        <f t="array" ref="AX1375">IFERROR(DGET('SBV Import'!A:G,"SBV",{"RSC ID","Tier";B1375,A1375}))</f>
        <v/>
      </c>
      <c r="AY1375" s="82" t="str">
        <f t="shared" si="2"/>
        <v/>
      </c>
      <c r="AZ1375" s="82"/>
      <c r="BA1375" s="84" t="s">
        <v>152</v>
      </c>
      <c r="BB1375" s="84" t="str">
        <f>IFERROR(__xludf.DUMMYFUNCTION("iferror(if(A1375="""",,E1375&gt;=FILTER(Constants!$F$2:$F$10,Constants!$A$2:$A$10=A1375)))"),"")</f>
        <v/>
      </c>
    </row>
    <row r="1376">
      <c r="A1376" s="89"/>
      <c r="B1376" s="87"/>
      <c r="C1376" s="73"/>
      <c r="D1376" s="73"/>
      <c r="E1376" s="82"/>
      <c r="F1376" s="82"/>
      <c r="G1376" s="86"/>
      <c r="H1376" s="86"/>
      <c r="I1376" s="86"/>
      <c r="J1376" s="82"/>
      <c r="K1376" s="82"/>
      <c r="L1376" s="82"/>
      <c r="M1376" s="82"/>
      <c r="N1376" s="82"/>
      <c r="O1376" s="82"/>
      <c r="P1376" s="82"/>
      <c r="Q1376" s="82"/>
      <c r="R1376" s="82"/>
      <c r="S1376" s="82"/>
      <c r="T1376" s="82"/>
      <c r="U1376" s="82"/>
      <c r="V1376" s="82"/>
      <c r="W1376" s="82"/>
      <c r="X1376" s="82"/>
      <c r="Y1376" s="82"/>
      <c r="Z1376" s="82"/>
      <c r="AA1376" s="82"/>
      <c r="AB1376" s="82"/>
      <c r="AC1376" s="82"/>
      <c r="AD1376" s="82"/>
      <c r="AE1376" s="82"/>
      <c r="AF1376" s="82"/>
      <c r="AG1376" s="82"/>
      <c r="AH1376" s="82"/>
      <c r="AI1376" s="82"/>
      <c r="AJ1376" s="82"/>
      <c r="AK1376" s="82"/>
      <c r="AL1376" s="82"/>
      <c r="AM1376" s="82"/>
      <c r="AN1376" s="82">
        <f>IFERROR(__xludf.DUMMYFUNCTION("""COMPUTED_VALUE"""),0.0)</f>
        <v>0</v>
      </c>
      <c r="AO1376" s="82">
        <f>IFERROR(__xludf.DUMMYFUNCTION("""COMPUTED_VALUE"""),0.0)</f>
        <v>0</v>
      </c>
      <c r="AP1376" s="82">
        <f>IFERROR(__xludf.DUMMYFUNCTION("""COMPUTED_VALUE"""),0.0)</f>
        <v>0</v>
      </c>
      <c r="AQ1376" s="82">
        <f>IFERROR(__xludf.DUMMYFUNCTION("""COMPUTED_VALUE"""),0.0)</f>
        <v>0</v>
      </c>
      <c r="AR1376" s="82">
        <f>IFERROR(__xludf.DUMMYFUNCTION("""COMPUTED_VALUE"""),0.0)</f>
        <v>0</v>
      </c>
      <c r="AS1376" s="82"/>
      <c r="AT1376" s="82">
        <f>IFERROR(__xludf.DUMMYFUNCTION("""COMPUTED_VALUE"""),0.0)</f>
        <v>0</v>
      </c>
      <c r="AU1376" s="82"/>
      <c r="AV1376" s="82"/>
      <c r="AW1376" s="82" t="str">
        <f t="shared" si="1"/>
        <v/>
      </c>
      <c r="AX1376" s="83" t="str">
        <f t="array" ref="AX1376">IFERROR(DGET('SBV Import'!A:G,"SBV",{"RSC ID","Tier";B1376,A1376}))</f>
        <v/>
      </c>
      <c r="AY1376" s="82" t="str">
        <f t="shared" si="2"/>
        <v/>
      </c>
      <c r="AZ1376" s="82"/>
      <c r="BA1376" s="84" t="s">
        <v>152</v>
      </c>
      <c r="BB1376" s="84" t="str">
        <f>IFERROR(__xludf.DUMMYFUNCTION("iferror(if(A1376="""",,E1376&gt;=FILTER(Constants!$F$2:$F$10,Constants!$A$2:$A$10=A1376)))"),"")</f>
        <v/>
      </c>
    </row>
    <row r="1377">
      <c r="A1377" s="89"/>
      <c r="B1377" s="87"/>
      <c r="C1377" s="73"/>
      <c r="D1377" s="73"/>
      <c r="E1377" s="82"/>
      <c r="F1377" s="82"/>
      <c r="G1377" s="86"/>
      <c r="H1377" s="86"/>
      <c r="I1377" s="86"/>
      <c r="J1377" s="82"/>
      <c r="K1377" s="82"/>
      <c r="L1377" s="82"/>
      <c r="M1377" s="82"/>
      <c r="N1377" s="82"/>
      <c r="O1377" s="82"/>
      <c r="P1377" s="82"/>
      <c r="Q1377" s="82"/>
      <c r="R1377" s="82"/>
      <c r="S1377" s="82"/>
      <c r="T1377" s="82"/>
      <c r="U1377" s="82"/>
      <c r="V1377" s="82"/>
      <c r="W1377" s="82"/>
      <c r="X1377" s="82"/>
      <c r="Y1377" s="82"/>
      <c r="Z1377" s="82"/>
      <c r="AA1377" s="82"/>
      <c r="AB1377" s="82"/>
      <c r="AC1377" s="82"/>
      <c r="AD1377" s="82"/>
      <c r="AE1377" s="82"/>
      <c r="AF1377" s="82"/>
      <c r="AG1377" s="82"/>
      <c r="AH1377" s="82"/>
      <c r="AI1377" s="82"/>
      <c r="AJ1377" s="82"/>
      <c r="AK1377" s="82"/>
      <c r="AL1377" s="82"/>
      <c r="AM1377" s="82"/>
      <c r="AN1377" s="82">
        <f>IFERROR(__xludf.DUMMYFUNCTION("""COMPUTED_VALUE"""),0.0)</f>
        <v>0</v>
      </c>
      <c r="AO1377" s="82">
        <f>IFERROR(__xludf.DUMMYFUNCTION("""COMPUTED_VALUE"""),0.0)</f>
        <v>0</v>
      </c>
      <c r="AP1377" s="82">
        <f>IFERROR(__xludf.DUMMYFUNCTION("""COMPUTED_VALUE"""),0.0)</f>
        <v>0</v>
      </c>
      <c r="AQ1377" s="82">
        <f>IFERROR(__xludf.DUMMYFUNCTION("""COMPUTED_VALUE"""),0.0)</f>
        <v>0</v>
      </c>
      <c r="AR1377" s="82">
        <f>IFERROR(__xludf.DUMMYFUNCTION("""COMPUTED_VALUE"""),0.0)</f>
        <v>0</v>
      </c>
      <c r="AS1377" s="82"/>
      <c r="AT1377" s="82">
        <f>IFERROR(__xludf.DUMMYFUNCTION("""COMPUTED_VALUE"""),0.0)</f>
        <v>0</v>
      </c>
      <c r="AU1377" s="82"/>
      <c r="AV1377" s="82"/>
      <c r="AW1377" s="82" t="str">
        <f t="shared" si="1"/>
        <v/>
      </c>
      <c r="AX1377" s="83" t="str">
        <f t="array" ref="AX1377">IFERROR(DGET('SBV Import'!A:G,"SBV",{"RSC ID","Tier";B1377,A1377}))</f>
        <v/>
      </c>
      <c r="AY1377" s="82" t="str">
        <f t="shared" si="2"/>
        <v/>
      </c>
      <c r="AZ1377" s="82"/>
      <c r="BA1377" s="84" t="s">
        <v>152</v>
      </c>
      <c r="BB1377" s="84" t="str">
        <f>IFERROR(__xludf.DUMMYFUNCTION("iferror(if(A1377="""",,E1377&gt;=FILTER(Constants!$F$2:$F$10,Constants!$A$2:$A$10=A1377)))"),"")</f>
        <v/>
      </c>
    </row>
    <row r="1378">
      <c r="A1378" s="89"/>
      <c r="B1378" s="87"/>
      <c r="C1378" s="73"/>
      <c r="D1378" s="73"/>
      <c r="E1378" s="82"/>
      <c r="F1378" s="82"/>
      <c r="G1378" s="86"/>
      <c r="H1378" s="86"/>
      <c r="I1378" s="86"/>
      <c r="J1378" s="82"/>
      <c r="K1378" s="82"/>
      <c r="L1378" s="82"/>
      <c r="M1378" s="82"/>
      <c r="N1378" s="82"/>
      <c r="O1378" s="82"/>
      <c r="P1378" s="82"/>
      <c r="Q1378" s="82"/>
      <c r="R1378" s="82"/>
      <c r="S1378" s="82"/>
      <c r="T1378" s="82"/>
      <c r="U1378" s="82"/>
      <c r="V1378" s="82"/>
      <c r="W1378" s="82"/>
      <c r="X1378" s="82"/>
      <c r="Y1378" s="82"/>
      <c r="Z1378" s="82"/>
      <c r="AA1378" s="82"/>
      <c r="AB1378" s="82"/>
      <c r="AC1378" s="82"/>
      <c r="AD1378" s="82"/>
      <c r="AE1378" s="82"/>
      <c r="AF1378" s="82"/>
      <c r="AG1378" s="82"/>
      <c r="AH1378" s="82"/>
      <c r="AI1378" s="82"/>
      <c r="AJ1378" s="82"/>
      <c r="AK1378" s="82"/>
      <c r="AL1378" s="82"/>
      <c r="AM1378" s="82"/>
      <c r="AN1378" s="82">
        <f>IFERROR(__xludf.DUMMYFUNCTION("""COMPUTED_VALUE"""),0.0)</f>
        <v>0</v>
      </c>
      <c r="AO1378" s="82">
        <f>IFERROR(__xludf.DUMMYFUNCTION("""COMPUTED_VALUE"""),0.0)</f>
        <v>0</v>
      </c>
      <c r="AP1378" s="82">
        <f>IFERROR(__xludf.DUMMYFUNCTION("""COMPUTED_VALUE"""),0.0)</f>
        <v>0</v>
      </c>
      <c r="AQ1378" s="82">
        <f>IFERROR(__xludf.DUMMYFUNCTION("""COMPUTED_VALUE"""),0.0)</f>
        <v>0</v>
      </c>
      <c r="AR1378" s="82">
        <f>IFERROR(__xludf.DUMMYFUNCTION("""COMPUTED_VALUE"""),0.0)</f>
        <v>0</v>
      </c>
      <c r="AS1378" s="82"/>
      <c r="AT1378" s="82">
        <f>IFERROR(__xludf.DUMMYFUNCTION("""COMPUTED_VALUE"""),0.0)</f>
        <v>0</v>
      </c>
      <c r="AU1378" s="82"/>
      <c r="AV1378" s="82"/>
      <c r="AW1378" s="82" t="str">
        <f t="shared" si="1"/>
        <v/>
      </c>
      <c r="AX1378" s="83" t="str">
        <f t="array" ref="AX1378">IFERROR(DGET('SBV Import'!A:G,"SBV",{"RSC ID","Tier";B1378,A1378}))</f>
        <v/>
      </c>
      <c r="AY1378" s="82" t="str">
        <f t="shared" si="2"/>
        <v/>
      </c>
      <c r="AZ1378" s="82"/>
      <c r="BA1378" s="84" t="s">
        <v>152</v>
      </c>
      <c r="BB1378" s="84" t="str">
        <f>IFERROR(__xludf.DUMMYFUNCTION("iferror(if(A1378="""",,E1378&gt;=FILTER(Constants!$F$2:$F$10,Constants!$A$2:$A$10=A1378)))"),"")</f>
        <v/>
      </c>
    </row>
    <row r="1379">
      <c r="A1379" s="89"/>
      <c r="B1379" s="87"/>
      <c r="C1379" s="73"/>
      <c r="D1379" s="73"/>
      <c r="E1379" s="82"/>
      <c r="F1379" s="82"/>
      <c r="G1379" s="86"/>
      <c r="H1379" s="86"/>
      <c r="I1379" s="86"/>
      <c r="J1379" s="82"/>
      <c r="K1379" s="82"/>
      <c r="L1379" s="82"/>
      <c r="M1379" s="82"/>
      <c r="N1379" s="82"/>
      <c r="O1379" s="82"/>
      <c r="P1379" s="82"/>
      <c r="Q1379" s="82"/>
      <c r="R1379" s="82"/>
      <c r="S1379" s="82"/>
      <c r="T1379" s="82"/>
      <c r="U1379" s="82"/>
      <c r="V1379" s="82"/>
      <c r="W1379" s="82"/>
      <c r="X1379" s="82"/>
      <c r="Y1379" s="82"/>
      <c r="Z1379" s="82"/>
      <c r="AA1379" s="82"/>
      <c r="AB1379" s="82"/>
      <c r="AC1379" s="82"/>
      <c r="AD1379" s="82"/>
      <c r="AE1379" s="82"/>
      <c r="AF1379" s="82"/>
      <c r="AG1379" s="82"/>
      <c r="AH1379" s="82"/>
      <c r="AI1379" s="82"/>
      <c r="AJ1379" s="82"/>
      <c r="AK1379" s="82"/>
      <c r="AL1379" s="82"/>
      <c r="AM1379" s="82"/>
      <c r="AN1379" s="82">
        <f>IFERROR(__xludf.DUMMYFUNCTION("""COMPUTED_VALUE"""),0.0)</f>
        <v>0</v>
      </c>
      <c r="AO1379" s="82">
        <f>IFERROR(__xludf.DUMMYFUNCTION("""COMPUTED_VALUE"""),0.0)</f>
        <v>0</v>
      </c>
      <c r="AP1379" s="82">
        <f>IFERROR(__xludf.DUMMYFUNCTION("""COMPUTED_VALUE"""),0.0)</f>
        <v>0</v>
      </c>
      <c r="AQ1379" s="82">
        <f>IFERROR(__xludf.DUMMYFUNCTION("""COMPUTED_VALUE"""),0.0)</f>
        <v>0</v>
      </c>
      <c r="AR1379" s="82">
        <f>IFERROR(__xludf.DUMMYFUNCTION("""COMPUTED_VALUE"""),0.0)</f>
        <v>0</v>
      </c>
      <c r="AS1379" s="82"/>
      <c r="AT1379" s="82">
        <f>IFERROR(__xludf.DUMMYFUNCTION("""COMPUTED_VALUE"""),0.0)</f>
        <v>0</v>
      </c>
      <c r="AU1379" s="82"/>
      <c r="AV1379" s="82"/>
      <c r="AW1379" s="82" t="str">
        <f t="shared" si="1"/>
        <v/>
      </c>
      <c r="AX1379" s="83" t="str">
        <f t="array" ref="AX1379">IFERROR(DGET('SBV Import'!A:G,"SBV",{"RSC ID","Tier";B1379,A1379}))</f>
        <v/>
      </c>
      <c r="AY1379" s="82" t="str">
        <f t="shared" si="2"/>
        <v/>
      </c>
      <c r="AZ1379" s="82"/>
      <c r="BA1379" s="84" t="s">
        <v>152</v>
      </c>
      <c r="BB1379" s="84" t="str">
        <f>IFERROR(__xludf.DUMMYFUNCTION("iferror(if(A1379="""",,E1379&gt;=FILTER(Constants!$F$2:$F$10,Constants!$A$2:$A$10=A1379)))"),"")</f>
        <v/>
      </c>
    </row>
    <row r="1380">
      <c r="A1380" s="89"/>
      <c r="B1380" s="87"/>
      <c r="C1380" s="73"/>
      <c r="D1380" s="73"/>
      <c r="E1380" s="82"/>
      <c r="F1380" s="82"/>
      <c r="G1380" s="86"/>
      <c r="H1380" s="86"/>
      <c r="I1380" s="86"/>
      <c r="J1380" s="82"/>
      <c r="K1380" s="82"/>
      <c r="L1380" s="82"/>
      <c r="M1380" s="82"/>
      <c r="N1380" s="82"/>
      <c r="O1380" s="82"/>
      <c r="P1380" s="82"/>
      <c r="Q1380" s="82"/>
      <c r="R1380" s="82"/>
      <c r="S1380" s="82"/>
      <c r="T1380" s="82"/>
      <c r="U1380" s="82"/>
      <c r="V1380" s="82"/>
      <c r="W1380" s="82"/>
      <c r="X1380" s="82"/>
      <c r="Y1380" s="82"/>
      <c r="Z1380" s="82"/>
      <c r="AA1380" s="82"/>
      <c r="AB1380" s="82"/>
      <c r="AC1380" s="82"/>
      <c r="AD1380" s="82"/>
      <c r="AE1380" s="82"/>
      <c r="AF1380" s="82"/>
      <c r="AG1380" s="82"/>
      <c r="AH1380" s="82"/>
      <c r="AI1380" s="82"/>
      <c r="AJ1380" s="82"/>
      <c r="AK1380" s="82"/>
      <c r="AL1380" s="82"/>
      <c r="AM1380" s="82"/>
      <c r="AN1380" s="82">
        <f>IFERROR(__xludf.DUMMYFUNCTION("""COMPUTED_VALUE"""),0.0)</f>
        <v>0</v>
      </c>
      <c r="AO1380" s="82">
        <f>IFERROR(__xludf.DUMMYFUNCTION("""COMPUTED_VALUE"""),0.0)</f>
        <v>0</v>
      </c>
      <c r="AP1380" s="82">
        <f>IFERROR(__xludf.DUMMYFUNCTION("""COMPUTED_VALUE"""),0.0)</f>
        <v>0</v>
      </c>
      <c r="AQ1380" s="82">
        <f>IFERROR(__xludf.DUMMYFUNCTION("""COMPUTED_VALUE"""),0.0)</f>
        <v>0</v>
      </c>
      <c r="AR1380" s="82">
        <f>IFERROR(__xludf.DUMMYFUNCTION("""COMPUTED_VALUE"""),0.0)</f>
        <v>0</v>
      </c>
      <c r="AS1380" s="82"/>
      <c r="AT1380" s="82">
        <f>IFERROR(__xludf.DUMMYFUNCTION("""COMPUTED_VALUE"""),0.0)</f>
        <v>0</v>
      </c>
      <c r="AU1380" s="82"/>
      <c r="AV1380" s="82"/>
      <c r="AW1380" s="82" t="str">
        <f t="shared" si="1"/>
        <v/>
      </c>
      <c r="AX1380" s="83" t="str">
        <f t="array" ref="AX1380">IFERROR(DGET('SBV Import'!A:G,"SBV",{"RSC ID","Tier";B1380,A1380}))</f>
        <v/>
      </c>
      <c r="AY1380" s="82" t="str">
        <f t="shared" si="2"/>
        <v/>
      </c>
      <c r="AZ1380" s="82"/>
      <c r="BA1380" s="84" t="s">
        <v>152</v>
      </c>
      <c r="BB1380" s="84" t="str">
        <f>IFERROR(__xludf.DUMMYFUNCTION("iferror(if(A1380="""",,E1380&gt;=FILTER(Constants!$F$2:$F$10,Constants!$A$2:$A$10=A1380)))"),"")</f>
        <v/>
      </c>
    </row>
    <row r="1381">
      <c r="A1381" s="89"/>
      <c r="B1381" s="87"/>
      <c r="C1381" s="73"/>
      <c r="D1381" s="73"/>
      <c r="E1381" s="82"/>
      <c r="F1381" s="82"/>
      <c r="G1381" s="86"/>
      <c r="H1381" s="86"/>
      <c r="I1381" s="86"/>
      <c r="J1381" s="82"/>
      <c r="K1381" s="82"/>
      <c r="L1381" s="82"/>
      <c r="M1381" s="82"/>
      <c r="N1381" s="82"/>
      <c r="O1381" s="82"/>
      <c r="P1381" s="82"/>
      <c r="Q1381" s="82"/>
      <c r="R1381" s="82"/>
      <c r="S1381" s="82"/>
      <c r="T1381" s="82"/>
      <c r="U1381" s="82"/>
      <c r="V1381" s="82"/>
      <c r="W1381" s="82"/>
      <c r="X1381" s="82"/>
      <c r="Y1381" s="82"/>
      <c r="Z1381" s="82"/>
      <c r="AA1381" s="82"/>
      <c r="AB1381" s="82"/>
      <c r="AC1381" s="82"/>
      <c r="AD1381" s="82"/>
      <c r="AE1381" s="82"/>
      <c r="AF1381" s="82"/>
      <c r="AG1381" s="82"/>
      <c r="AH1381" s="82"/>
      <c r="AI1381" s="82"/>
      <c r="AJ1381" s="82"/>
      <c r="AK1381" s="82"/>
      <c r="AL1381" s="82"/>
      <c r="AM1381" s="82"/>
      <c r="AN1381" s="82">
        <f>IFERROR(__xludf.DUMMYFUNCTION("""COMPUTED_VALUE"""),0.0)</f>
        <v>0</v>
      </c>
      <c r="AO1381" s="82">
        <f>IFERROR(__xludf.DUMMYFUNCTION("""COMPUTED_VALUE"""),0.0)</f>
        <v>0</v>
      </c>
      <c r="AP1381" s="82">
        <f>IFERROR(__xludf.DUMMYFUNCTION("""COMPUTED_VALUE"""),0.0)</f>
        <v>0</v>
      </c>
      <c r="AQ1381" s="82">
        <f>IFERROR(__xludf.DUMMYFUNCTION("""COMPUTED_VALUE"""),0.0)</f>
        <v>0</v>
      </c>
      <c r="AR1381" s="82">
        <f>IFERROR(__xludf.DUMMYFUNCTION("""COMPUTED_VALUE"""),0.0)</f>
        <v>0</v>
      </c>
      <c r="AS1381" s="82"/>
      <c r="AT1381" s="82">
        <f>IFERROR(__xludf.DUMMYFUNCTION("""COMPUTED_VALUE"""),0.0)</f>
        <v>0</v>
      </c>
      <c r="AU1381" s="82"/>
      <c r="AV1381" s="82"/>
      <c r="AW1381" s="82" t="str">
        <f t="shared" si="1"/>
        <v/>
      </c>
      <c r="AX1381" s="83" t="str">
        <f t="array" ref="AX1381">IFERROR(DGET('SBV Import'!A:G,"SBV",{"RSC ID","Tier";B1381,A1381}))</f>
        <v/>
      </c>
      <c r="AY1381" s="82" t="str">
        <f t="shared" si="2"/>
        <v/>
      </c>
      <c r="AZ1381" s="82"/>
      <c r="BA1381" s="84" t="s">
        <v>152</v>
      </c>
      <c r="BB1381" s="84" t="str">
        <f>IFERROR(__xludf.DUMMYFUNCTION("iferror(if(A1381="""",,E1381&gt;=FILTER(Constants!$F$2:$F$10,Constants!$A$2:$A$10=A1381)))"),"")</f>
        <v/>
      </c>
    </row>
    <row r="1382">
      <c r="A1382" s="89"/>
      <c r="B1382" s="87"/>
      <c r="C1382" s="73"/>
      <c r="D1382" s="73"/>
      <c r="E1382" s="82"/>
      <c r="F1382" s="82"/>
      <c r="G1382" s="86"/>
      <c r="H1382" s="86"/>
      <c r="I1382" s="86"/>
      <c r="J1382" s="82"/>
      <c r="K1382" s="82"/>
      <c r="L1382" s="82"/>
      <c r="M1382" s="82"/>
      <c r="N1382" s="82"/>
      <c r="O1382" s="82"/>
      <c r="P1382" s="82"/>
      <c r="Q1382" s="82"/>
      <c r="R1382" s="82"/>
      <c r="S1382" s="82"/>
      <c r="T1382" s="82"/>
      <c r="U1382" s="82"/>
      <c r="V1382" s="82"/>
      <c r="W1382" s="82"/>
      <c r="X1382" s="82"/>
      <c r="Y1382" s="82"/>
      <c r="Z1382" s="82"/>
      <c r="AA1382" s="82"/>
      <c r="AB1382" s="82"/>
      <c r="AC1382" s="82"/>
      <c r="AD1382" s="82"/>
      <c r="AE1382" s="82"/>
      <c r="AF1382" s="82"/>
      <c r="AG1382" s="82"/>
      <c r="AH1382" s="82"/>
      <c r="AI1382" s="82"/>
      <c r="AJ1382" s="82"/>
      <c r="AK1382" s="82"/>
      <c r="AL1382" s="82"/>
      <c r="AM1382" s="82"/>
      <c r="AN1382" s="82">
        <f>IFERROR(__xludf.DUMMYFUNCTION("""COMPUTED_VALUE"""),0.0)</f>
        <v>0</v>
      </c>
      <c r="AO1382" s="82">
        <f>IFERROR(__xludf.DUMMYFUNCTION("""COMPUTED_VALUE"""),0.0)</f>
        <v>0</v>
      </c>
      <c r="AP1382" s="82">
        <f>IFERROR(__xludf.DUMMYFUNCTION("""COMPUTED_VALUE"""),0.0)</f>
        <v>0</v>
      </c>
      <c r="AQ1382" s="82">
        <f>IFERROR(__xludf.DUMMYFUNCTION("""COMPUTED_VALUE"""),0.0)</f>
        <v>0</v>
      </c>
      <c r="AR1382" s="82">
        <f>IFERROR(__xludf.DUMMYFUNCTION("""COMPUTED_VALUE"""),0.0)</f>
        <v>0</v>
      </c>
      <c r="AS1382" s="82"/>
      <c r="AT1382" s="82">
        <f>IFERROR(__xludf.DUMMYFUNCTION("""COMPUTED_VALUE"""),0.0)</f>
        <v>0</v>
      </c>
      <c r="AU1382" s="82"/>
      <c r="AV1382" s="82"/>
      <c r="AW1382" s="82" t="str">
        <f t="shared" si="1"/>
        <v/>
      </c>
      <c r="AX1382" s="83" t="str">
        <f t="array" ref="AX1382">IFERROR(DGET('SBV Import'!A:G,"SBV",{"RSC ID","Tier";B1382,A1382}))</f>
        <v/>
      </c>
      <c r="AY1382" s="82" t="str">
        <f t="shared" si="2"/>
        <v/>
      </c>
      <c r="AZ1382" s="82"/>
      <c r="BA1382" s="84" t="s">
        <v>152</v>
      </c>
      <c r="BB1382" s="84" t="str">
        <f>IFERROR(__xludf.DUMMYFUNCTION("iferror(if(A1382="""",,E1382&gt;=FILTER(Constants!$F$2:$F$10,Constants!$A$2:$A$10=A1382)))"),"")</f>
        <v/>
      </c>
    </row>
    <row r="1383">
      <c r="A1383" s="89"/>
      <c r="B1383" s="87"/>
      <c r="C1383" s="73"/>
      <c r="D1383" s="73"/>
      <c r="E1383" s="82"/>
      <c r="F1383" s="82"/>
      <c r="G1383" s="86"/>
      <c r="H1383" s="86"/>
      <c r="I1383" s="86"/>
      <c r="J1383" s="82"/>
      <c r="K1383" s="82"/>
      <c r="L1383" s="82"/>
      <c r="M1383" s="82"/>
      <c r="N1383" s="82"/>
      <c r="O1383" s="82"/>
      <c r="P1383" s="82"/>
      <c r="Q1383" s="82"/>
      <c r="R1383" s="82"/>
      <c r="S1383" s="82"/>
      <c r="T1383" s="82"/>
      <c r="U1383" s="82"/>
      <c r="V1383" s="82"/>
      <c r="W1383" s="82"/>
      <c r="X1383" s="82"/>
      <c r="Y1383" s="82"/>
      <c r="Z1383" s="82"/>
      <c r="AA1383" s="82"/>
      <c r="AB1383" s="82"/>
      <c r="AC1383" s="82"/>
      <c r="AD1383" s="82"/>
      <c r="AE1383" s="82"/>
      <c r="AF1383" s="82"/>
      <c r="AG1383" s="82"/>
      <c r="AH1383" s="82"/>
      <c r="AI1383" s="82"/>
      <c r="AJ1383" s="82"/>
      <c r="AK1383" s="82"/>
      <c r="AL1383" s="82"/>
      <c r="AM1383" s="82"/>
      <c r="AN1383" s="82">
        <f>IFERROR(__xludf.DUMMYFUNCTION("""COMPUTED_VALUE"""),0.0)</f>
        <v>0</v>
      </c>
      <c r="AO1383" s="82">
        <f>IFERROR(__xludf.DUMMYFUNCTION("""COMPUTED_VALUE"""),0.0)</f>
        <v>0</v>
      </c>
      <c r="AP1383" s="82">
        <f>IFERROR(__xludf.DUMMYFUNCTION("""COMPUTED_VALUE"""),0.0)</f>
        <v>0</v>
      </c>
      <c r="AQ1383" s="82">
        <f>IFERROR(__xludf.DUMMYFUNCTION("""COMPUTED_VALUE"""),0.0)</f>
        <v>0</v>
      </c>
      <c r="AR1383" s="82">
        <f>IFERROR(__xludf.DUMMYFUNCTION("""COMPUTED_VALUE"""),0.0)</f>
        <v>0</v>
      </c>
      <c r="AS1383" s="82"/>
      <c r="AT1383" s="82">
        <f>IFERROR(__xludf.DUMMYFUNCTION("""COMPUTED_VALUE"""),0.0)</f>
        <v>0</v>
      </c>
      <c r="AU1383" s="82"/>
      <c r="AV1383" s="82"/>
      <c r="AW1383" s="82" t="str">
        <f t="shared" si="1"/>
        <v/>
      </c>
      <c r="AX1383" s="83" t="str">
        <f t="array" ref="AX1383">IFERROR(DGET('SBV Import'!A:G,"SBV",{"RSC ID","Tier";B1383,A1383}))</f>
        <v/>
      </c>
      <c r="AY1383" s="82" t="str">
        <f t="shared" si="2"/>
        <v/>
      </c>
      <c r="AZ1383" s="82"/>
      <c r="BA1383" s="84" t="s">
        <v>152</v>
      </c>
      <c r="BB1383" s="84" t="str">
        <f>IFERROR(__xludf.DUMMYFUNCTION("iferror(if(A1383="""",,E1383&gt;=FILTER(Constants!$F$2:$F$10,Constants!$A$2:$A$10=A1383)))"),"")</f>
        <v/>
      </c>
    </row>
    <row r="1384">
      <c r="A1384" s="89"/>
      <c r="B1384" s="87"/>
      <c r="C1384" s="73"/>
      <c r="D1384" s="73"/>
      <c r="E1384" s="82"/>
      <c r="F1384" s="82"/>
      <c r="G1384" s="86"/>
      <c r="H1384" s="86"/>
      <c r="I1384" s="86"/>
      <c r="J1384" s="82"/>
      <c r="K1384" s="82"/>
      <c r="L1384" s="82"/>
      <c r="M1384" s="82"/>
      <c r="N1384" s="82"/>
      <c r="O1384" s="82"/>
      <c r="P1384" s="82"/>
      <c r="Q1384" s="82"/>
      <c r="R1384" s="82"/>
      <c r="S1384" s="82"/>
      <c r="T1384" s="82"/>
      <c r="U1384" s="82"/>
      <c r="V1384" s="82"/>
      <c r="W1384" s="82"/>
      <c r="X1384" s="82"/>
      <c r="Y1384" s="82"/>
      <c r="Z1384" s="82"/>
      <c r="AA1384" s="82"/>
      <c r="AB1384" s="82"/>
      <c r="AC1384" s="82"/>
      <c r="AD1384" s="82"/>
      <c r="AE1384" s="82"/>
      <c r="AF1384" s="82"/>
      <c r="AG1384" s="82"/>
      <c r="AH1384" s="82"/>
      <c r="AI1384" s="82"/>
      <c r="AJ1384" s="82"/>
      <c r="AK1384" s="82"/>
      <c r="AL1384" s="82"/>
      <c r="AM1384" s="82"/>
      <c r="AN1384" s="82">
        <f>IFERROR(__xludf.DUMMYFUNCTION("""COMPUTED_VALUE"""),0.0)</f>
        <v>0</v>
      </c>
      <c r="AO1384" s="82">
        <f>IFERROR(__xludf.DUMMYFUNCTION("""COMPUTED_VALUE"""),0.0)</f>
        <v>0</v>
      </c>
      <c r="AP1384" s="82">
        <f>IFERROR(__xludf.DUMMYFUNCTION("""COMPUTED_VALUE"""),0.0)</f>
        <v>0</v>
      </c>
      <c r="AQ1384" s="82">
        <f>IFERROR(__xludf.DUMMYFUNCTION("""COMPUTED_VALUE"""),0.0)</f>
        <v>0</v>
      </c>
      <c r="AR1384" s="82">
        <f>IFERROR(__xludf.DUMMYFUNCTION("""COMPUTED_VALUE"""),0.0)</f>
        <v>0</v>
      </c>
      <c r="AS1384" s="82"/>
      <c r="AT1384" s="82">
        <f>IFERROR(__xludf.DUMMYFUNCTION("""COMPUTED_VALUE"""),0.0)</f>
        <v>0</v>
      </c>
      <c r="AU1384" s="82"/>
      <c r="AV1384" s="82"/>
      <c r="AW1384" s="82" t="str">
        <f t="shared" si="1"/>
        <v/>
      </c>
      <c r="AX1384" s="83" t="str">
        <f t="array" ref="AX1384">IFERROR(DGET('SBV Import'!A:G,"SBV",{"RSC ID","Tier";B1384,A1384}))</f>
        <v/>
      </c>
      <c r="AY1384" s="82" t="str">
        <f t="shared" si="2"/>
        <v/>
      </c>
      <c r="AZ1384" s="82"/>
      <c r="BA1384" s="84" t="s">
        <v>152</v>
      </c>
      <c r="BB1384" s="84" t="str">
        <f>IFERROR(__xludf.DUMMYFUNCTION("iferror(if(A1384="""",,E1384&gt;=FILTER(Constants!$F$2:$F$10,Constants!$A$2:$A$10=A1384)))"),"")</f>
        <v/>
      </c>
    </row>
    <row r="1385">
      <c r="A1385" s="89"/>
      <c r="B1385" s="87"/>
      <c r="C1385" s="73"/>
      <c r="D1385" s="73"/>
      <c r="E1385" s="82"/>
      <c r="F1385" s="82"/>
      <c r="G1385" s="86"/>
      <c r="H1385" s="86"/>
      <c r="I1385" s="86"/>
      <c r="J1385" s="82"/>
      <c r="K1385" s="82"/>
      <c r="L1385" s="82"/>
      <c r="M1385" s="82"/>
      <c r="N1385" s="82"/>
      <c r="O1385" s="82"/>
      <c r="P1385" s="82"/>
      <c r="Q1385" s="82"/>
      <c r="R1385" s="82"/>
      <c r="S1385" s="82"/>
      <c r="T1385" s="82"/>
      <c r="U1385" s="82"/>
      <c r="V1385" s="82"/>
      <c r="W1385" s="82"/>
      <c r="X1385" s="82"/>
      <c r="Y1385" s="82"/>
      <c r="Z1385" s="82"/>
      <c r="AA1385" s="82"/>
      <c r="AB1385" s="82"/>
      <c r="AC1385" s="82"/>
      <c r="AD1385" s="82"/>
      <c r="AE1385" s="82"/>
      <c r="AF1385" s="82"/>
      <c r="AG1385" s="82"/>
      <c r="AH1385" s="82"/>
      <c r="AI1385" s="82"/>
      <c r="AJ1385" s="82"/>
      <c r="AK1385" s="82"/>
      <c r="AL1385" s="82"/>
      <c r="AM1385" s="82"/>
      <c r="AN1385" s="82">
        <f>IFERROR(__xludf.DUMMYFUNCTION("""COMPUTED_VALUE"""),0.0)</f>
        <v>0</v>
      </c>
      <c r="AO1385" s="82">
        <f>IFERROR(__xludf.DUMMYFUNCTION("""COMPUTED_VALUE"""),0.0)</f>
        <v>0</v>
      </c>
      <c r="AP1385" s="82">
        <f>IFERROR(__xludf.DUMMYFUNCTION("""COMPUTED_VALUE"""),0.0)</f>
        <v>0</v>
      </c>
      <c r="AQ1385" s="82">
        <f>IFERROR(__xludf.DUMMYFUNCTION("""COMPUTED_VALUE"""),0.0)</f>
        <v>0</v>
      </c>
      <c r="AR1385" s="82">
        <f>IFERROR(__xludf.DUMMYFUNCTION("""COMPUTED_VALUE"""),0.0)</f>
        <v>0</v>
      </c>
      <c r="AS1385" s="82"/>
      <c r="AT1385" s="82">
        <f>IFERROR(__xludf.DUMMYFUNCTION("""COMPUTED_VALUE"""),0.0)</f>
        <v>0</v>
      </c>
      <c r="AU1385" s="82"/>
      <c r="AV1385" s="82"/>
      <c r="AW1385" s="82" t="str">
        <f t="shared" si="1"/>
        <v/>
      </c>
      <c r="AX1385" s="83" t="str">
        <f t="array" ref="AX1385">IFERROR(DGET('SBV Import'!A:G,"SBV",{"RSC ID","Tier";B1385,A1385}))</f>
        <v/>
      </c>
      <c r="AY1385" s="82" t="str">
        <f t="shared" si="2"/>
        <v/>
      </c>
      <c r="AZ1385" s="82"/>
      <c r="BA1385" s="84" t="s">
        <v>152</v>
      </c>
      <c r="BB1385" s="84" t="str">
        <f>IFERROR(__xludf.DUMMYFUNCTION("iferror(if(A1385="""",,E1385&gt;=FILTER(Constants!$F$2:$F$10,Constants!$A$2:$A$10=A1385)))"),"")</f>
        <v/>
      </c>
    </row>
    <row r="1386">
      <c r="A1386" s="89"/>
      <c r="B1386" s="87"/>
      <c r="C1386" s="73"/>
      <c r="D1386" s="73"/>
      <c r="E1386" s="82"/>
      <c r="F1386" s="82"/>
      <c r="G1386" s="86"/>
      <c r="H1386" s="86"/>
      <c r="I1386" s="86"/>
      <c r="J1386" s="82"/>
      <c r="K1386" s="82"/>
      <c r="L1386" s="82"/>
      <c r="M1386" s="82"/>
      <c r="N1386" s="82"/>
      <c r="O1386" s="82"/>
      <c r="P1386" s="82"/>
      <c r="Q1386" s="82"/>
      <c r="R1386" s="82"/>
      <c r="S1386" s="82"/>
      <c r="T1386" s="82"/>
      <c r="U1386" s="82"/>
      <c r="V1386" s="82"/>
      <c r="W1386" s="82"/>
      <c r="X1386" s="82"/>
      <c r="Y1386" s="82"/>
      <c r="Z1386" s="82"/>
      <c r="AA1386" s="82"/>
      <c r="AB1386" s="82"/>
      <c r="AC1386" s="82"/>
      <c r="AD1386" s="82"/>
      <c r="AE1386" s="82"/>
      <c r="AF1386" s="82"/>
      <c r="AG1386" s="82"/>
      <c r="AH1386" s="82"/>
      <c r="AI1386" s="82"/>
      <c r="AJ1386" s="82"/>
      <c r="AK1386" s="82"/>
      <c r="AL1386" s="82"/>
      <c r="AM1386" s="82"/>
      <c r="AN1386" s="82">
        <f>IFERROR(__xludf.DUMMYFUNCTION("""COMPUTED_VALUE"""),0.0)</f>
        <v>0</v>
      </c>
      <c r="AO1386" s="82">
        <f>IFERROR(__xludf.DUMMYFUNCTION("""COMPUTED_VALUE"""),0.0)</f>
        <v>0</v>
      </c>
      <c r="AP1386" s="82">
        <f>IFERROR(__xludf.DUMMYFUNCTION("""COMPUTED_VALUE"""),0.0)</f>
        <v>0</v>
      </c>
      <c r="AQ1386" s="82">
        <f>IFERROR(__xludf.DUMMYFUNCTION("""COMPUTED_VALUE"""),0.0)</f>
        <v>0</v>
      </c>
      <c r="AR1386" s="82">
        <f>IFERROR(__xludf.DUMMYFUNCTION("""COMPUTED_VALUE"""),0.0)</f>
        <v>0</v>
      </c>
      <c r="AS1386" s="82"/>
      <c r="AT1386" s="82">
        <f>IFERROR(__xludf.DUMMYFUNCTION("""COMPUTED_VALUE"""),0.0)</f>
        <v>0</v>
      </c>
      <c r="AU1386" s="82"/>
      <c r="AV1386" s="82"/>
      <c r="AW1386" s="82" t="str">
        <f t="shared" si="1"/>
        <v/>
      </c>
      <c r="AX1386" s="83" t="str">
        <f t="array" ref="AX1386">IFERROR(DGET('SBV Import'!A:G,"SBV",{"RSC ID","Tier";B1386,A1386}))</f>
        <v/>
      </c>
      <c r="AY1386" s="82" t="str">
        <f t="shared" si="2"/>
        <v/>
      </c>
      <c r="AZ1386" s="82"/>
      <c r="BA1386" s="84" t="s">
        <v>152</v>
      </c>
      <c r="BB1386" s="84" t="str">
        <f>IFERROR(__xludf.DUMMYFUNCTION("iferror(if(A1386="""",,E1386&gt;=FILTER(Constants!$F$2:$F$10,Constants!$A$2:$A$10=A1386)))"),"")</f>
        <v/>
      </c>
    </row>
    <row r="1387">
      <c r="A1387" s="89"/>
      <c r="B1387" s="87"/>
      <c r="C1387" s="73"/>
      <c r="D1387" s="73"/>
      <c r="E1387" s="82"/>
      <c r="F1387" s="82"/>
      <c r="G1387" s="86"/>
      <c r="H1387" s="86"/>
      <c r="I1387" s="86"/>
      <c r="J1387" s="82"/>
      <c r="K1387" s="82"/>
      <c r="L1387" s="82"/>
      <c r="M1387" s="82"/>
      <c r="N1387" s="82"/>
      <c r="O1387" s="82"/>
      <c r="P1387" s="82"/>
      <c r="Q1387" s="82"/>
      <c r="R1387" s="82"/>
      <c r="S1387" s="82"/>
      <c r="T1387" s="82"/>
      <c r="U1387" s="82"/>
      <c r="V1387" s="82"/>
      <c r="W1387" s="82"/>
      <c r="X1387" s="82"/>
      <c r="Y1387" s="82"/>
      <c r="Z1387" s="82"/>
      <c r="AA1387" s="82"/>
      <c r="AB1387" s="82"/>
      <c r="AC1387" s="82"/>
      <c r="AD1387" s="82"/>
      <c r="AE1387" s="82"/>
      <c r="AF1387" s="82"/>
      <c r="AG1387" s="82"/>
      <c r="AH1387" s="82"/>
      <c r="AI1387" s="82"/>
      <c r="AJ1387" s="82"/>
      <c r="AK1387" s="82"/>
      <c r="AL1387" s="82"/>
      <c r="AM1387" s="82"/>
      <c r="AN1387" s="82">
        <f>IFERROR(__xludf.DUMMYFUNCTION("""COMPUTED_VALUE"""),0.0)</f>
        <v>0</v>
      </c>
      <c r="AO1387" s="82">
        <f>IFERROR(__xludf.DUMMYFUNCTION("""COMPUTED_VALUE"""),0.0)</f>
        <v>0</v>
      </c>
      <c r="AP1387" s="82">
        <f>IFERROR(__xludf.DUMMYFUNCTION("""COMPUTED_VALUE"""),0.0)</f>
        <v>0</v>
      </c>
      <c r="AQ1387" s="82">
        <f>IFERROR(__xludf.DUMMYFUNCTION("""COMPUTED_VALUE"""),0.0)</f>
        <v>0</v>
      </c>
      <c r="AR1387" s="82">
        <f>IFERROR(__xludf.DUMMYFUNCTION("""COMPUTED_VALUE"""),0.0)</f>
        <v>0</v>
      </c>
      <c r="AS1387" s="82"/>
      <c r="AT1387" s="82">
        <f>IFERROR(__xludf.DUMMYFUNCTION("""COMPUTED_VALUE"""),0.0)</f>
        <v>0</v>
      </c>
      <c r="AU1387" s="82"/>
      <c r="AV1387" s="82"/>
      <c r="AW1387" s="82" t="str">
        <f t="shared" si="1"/>
        <v/>
      </c>
      <c r="AX1387" s="83" t="str">
        <f t="array" ref="AX1387">IFERROR(DGET('SBV Import'!A:G,"SBV",{"RSC ID","Tier";B1387,A1387}))</f>
        <v/>
      </c>
      <c r="AY1387" s="82" t="str">
        <f t="shared" si="2"/>
        <v/>
      </c>
      <c r="AZ1387" s="82"/>
      <c r="BA1387" s="84" t="s">
        <v>152</v>
      </c>
      <c r="BB1387" s="84" t="str">
        <f>IFERROR(__xludf.DUMMYFUNCTION("iferror(if(A1387="""",,E1387&gt;=FILTER(Constants!$F$2:$F$10,Constants!$A$2:$A$10=A1387)))"),"")</f>
        <v/>
      </c>
    </row>
    <row r="1388">
      <c r="A1388" s="89"/>
      <c r="B1388" s="87"/>
      <c r="C1388" s="73"/>
      <c r="D1388" s="73"/>
      <c r="E1388" s="82"/>
      <c r="F1388" s="82"/>
      <c r="G1388" s="86"/>
      <c r="H1388" s="86"/>
      <c r="I1388" s="86"/>
      <c r="J1388" s="82"/>
      <c r="K1388" s="82"/>
      <c r="L1388" s="82"/>
      <c r="M1388" s="82"/>
      <c r="N1388" s="82"/>
      <c r="O1388" s="82"/>
      <c r="P1388" s="82"/>
      <c r="Q1388" s="82"/>
      <c r="R1388" s="82"/>
      <c r="S1388" s="82"/>
      <c r="T1388" s="82"/>
      <c r="U1388" s="82"/>
      <c r="V1388" s="82"/>
      <c r="W1388" s="82"/>
      <c r="X1388" s="82"/>
      <c r="Y1388" s="82"/>
      <c r="Z1388" s="82"/>
      <c r="AA1388" s="82"/>
      <c r="AB1388" s="82"/>
      <c r="AC1388" s="82"/>
      <c r="AD1388" s="82"/>
      <c r="AE1388" s="82"/>
      <c r="AF1388" s="82"/>
      <c r="AG1388" s="82"/>
      <c r="AH1388" s="82"/>
      <c r="AI1388" s="82"/>
      <c r="AJ1388" s="82"/>
      <c r="AK1388" s="82"/>
      <c r="AL1388" s="82"/>
      <c r="AM1388" s="82"/>
      <c r="AN1388" s="82">
        <f>IFERROR(__xludf.DUMMYFUNCTION("""COMPUTED_VALUE"""),0.0)</f>
        <v>0</v>
      </c>
      <c r="AO1388" s="82">
        <f>IFERROR(__xludf.DUMMYFUNCTION("""COMPUTED_VALUE"""),0.0)</f>
        <v>0</v>
      </c>
      <c r="AP1388" s="82">
        <f>IFERROR(__xludf.DUMMYFUNCTION("""COMPUTED_VALUE"""),0.0)</f>
        <v>0</v>
      </c>
      <c r="AQ1388" s="82">
        <f>IFERROR(__xludf.DUMMYFUNCTION("""COMPUTED_VALUE"""),0.0)</f>
        <v>0</v>
      </c>
      <c r="AR1388" s="82">
        <f>IFERROR(__xludf.DUMMYFUNCTION("""COMPUTED_VALUE"""),0.0)</f>
        <v>0</v>
      </c>
      <c r="AS1388" s="82"/>
      <c r="AT1388" s="82">
        <f>IFERROR(__xludf.DUMMYFUNCTION("""COMPUTED_VALUE"""),0.0)</f>
        <v>0</v>
      </c>
      <c r="AU1388" s="82"/>
      <c r="AV1388" s="82"/>
      <c r="AW1388" s="82" t="str">
        <f t="shared" si="1"/>
        <v/>
      </c>
      <c r="AX1388" s="83" t="str">
        <f t="array" ref="AX1388">IFERROR(DGET('SBV Import'!A:G,"SBV",{"RSC ID","Tier";B1388,A1388}))</f>
        <v/>
      </c>
      <c r="AY1388" s="82" t="str">
        <f t="shared" si="2"/>
        <v/>
      </c>
      <c r="AZ1388" s="82"/>
      <c r="BA1388" s="84" t="s">
        <v>152</v>
      </c>
      <c r="BB1388" s="84" t="str">
        <f>IFERROR(__xludf.DUMMYFUNCTION("iferror(if(A1388="""",,E1388&gt;=FILTER(Constants!$F$2:$F$10,Constants!$A$2:$A$10=A1388)))"),"")</f>
        <v/>
      </c>
    </row>
    <row r="1389">
      <c r="A1389" s="89"/>
      <c r="B1389" s="87"/>
      <c r="C1389" s="73"/>
      <c r="D1389" s="73"/>
      <c r="E1389" s="82"/>
      <c r="F1389" s="82"/>
      <c r="G1389" s="86"/>
      <c r="H1389" s="86"/>
      <c r="I1389" s="86"/>
      <c r="J1389" s="82"/>
      <c r="K1389" s="82"/>
      <c r="L1389" s="82"/>
      <c r="M1389" s="82"/>
      <c r="N1389" s="82"/>
      <c r="O1389" s="82"/>
      <c r="P1389" s="82"/>
      <c r="Q1389" s="82"/>
      <c r="R1389" s="82"/>
      <c r="S1389" s="82"/>
      <c r="T1389" s="82"/>
      <c r="U1389" s="82"/>
      <c r="V1389" s="82"/>
      <c r="W1389" s="82"/>
      <c r="X1389" s="82"/>
      <c r="Y1389" s="82"/>
      <c r="Z1389" s="82"/>
      <c r="AA1389" s="82"/>
      <c r="AB1389" s="82"/>
      <c r="AC1389" s="82"/>
      <c r="AD1389" s="82"/>
      <c r="AE1389" s="82"/>
      <c r="AF1389" s="82"/>
      <c r="AG1389" s="82"/>
      <c r="AH1389" s="82"/>
      <c r="AI1389" s="82"/>
      <c r="AJ1389" s="82"/>
      <c r="AK1389" s="82"/>
      <c r="AL1389" s="82"/>
      <c r="AM1389" s="82"/>
      <c r="AN1389" s="82">
        <f>IFERROR(__xludf.DUMMYFUNCTION("""COMPUTED_VALUE"""),0.0)</f>
        <v>0</v>
      </c>
      <c r="AO1389" s="82">
        <f>IFERROR(__xludf.DUMMYFUNCTION("""COMPUTED_VALUE"""),0.0)</f>
        <v>0</v>
      </c>
      <c r="AP1389" s="82">
        <f>IFERROR(__xludf.DUMMYFUNCTION("""COMPUTED_VALUE"""),0.0)</f>
        <v>0</v>
      </c>
      <c r="AQ1389" s="82">
        <f>IFERROR(__xludf.DUMMYFUNCTION("""COMPUTED_VALUE"""),0.0)</f>
        <v>0</v>
      </c>
      <c r="AR1389" s="82">
        <f>IFERROR(__xludf.DUMMYFUNCTION("""COMPUTED_VALUE"""),0.0)</f>
        <v>0</v>
      </c>
      <c r="AS1389" s="82"/>
      <c r="AT1389" s="82">
        <f>IFERROR(__xludf.DUMMYFUNCTION("""COMPUTED_VALUE"""),0.0)</f>
        <v>0</v>
      </c>
      <c r="AU1389" s="82"/>
      <c r="AV1389" s="82"/>
      <c r="AW1389" s="82" t="str">
        <f t="shared" si="1"/>
        <v/>
      </c>
      <c r="AX1389" s="83" t="str">
        <f t="array" ref="AX1389">IFERROR(DGET('SBV Import'!A:G,"SBV",{"RSC ID","Tier";B1389,A1389}))</f>
        <v/>
      </c>
      <c r="AY1389" s="82" t="str">
        <f t="shared" si="2"/>
        <v/>
      </c>
      <c r="AZ1389" s="82"/>
      <c r="BA1389" s="84" t="s">
        <v>152</v>
      </c>
      <c r="BB1389" s="84" t="str">
        <f>IFERROR(__xludf.DUMMYFUNCTION("iferror(if(A1389="""",,E1389&gt;=FILTER(Constants!$F$2:$F$10,Constants!$A$2:$A$10=A1389)))"),"")</f>
        <v/>
      </c>
    </row>
    <row r="1390">
      <c r="A1390" s="89"/>
      <c r="B1390" s="87"/>
      <c r="C1390" s="73"/>
      <c r="D1390" s="73"/>
      <c r="E1390" s="82"/>
      <c r="F1390" s="82"/>
      <c r="G1390" s="86"/>
      <c r="H1390" s="86"/>
      <c r="I1390" s="86"/>
      <c r="J1390" s="82"/>
      <c r="K1390" s="82"/>
      <c r="L1390" s="82"/>
      <c r="M1390" s="82"/>
      <c r="N1390" s="82"/>
      <c r="O1390" s="82"/>
      <c r="P1390" s="82"/>
      <c r="Q1390" s="82"/>
      <c r="R1390" s="82"/>
      <c r="S1390" s="82"/>
      <c r="T1390" s="82"/>
      <c r="U1390" s="82"/>
      <c r="V1390" s="82"/>
      <c r="W1390" s="82"/>
      <c r="X1390" s="82"/>
      <c r="Y1390" s="82"/>
      <c r="Z1390" s="82"/>
      <c r="AA1390" s="82"/>
      <c r="AB1390" s="82"/>
      <c r="AC1390" s="82"/>
      <c r="AD1390" s="82"/>
      <c r="AE1390" s="82"/>
      <c r="AF1390" s="82"/>
      <c r="AG1390" s="82"/>
      <c r="AH1390" s="82"/>
      <c r="AI1390" s="82"/>
      <c r="AJ1390" s="82"/>
      <c r="AK1390" s="82"/>
      <c r="AL1390" s="82"/>
      <c r="AM1390" s="82"/>
      <c r="AN1390" s="82">
        <f>IFERROR(__xludf.DUMMYFUNCTION("""COMPUTED_VALUE"""),0.0)</f>
        <v>0</v>
      </c>
      <c r="AO1390" s="82">
        <f>IFERROR(__xludf.DUMMYFUNCTION("""COMPUTED_VALUE"""),0.0)</f>
        <v>0</v>
      </c>
      <c r="AP1390" s="82">
        <f>IFERROR(__xludf.DUMMYFUNCTION("""COMPUTED_VALUE"""),0.0)</f>
        <v>0</v>
      </c>
      <c r="AQ1390" s="82">
        <f>IFERROR(__xludf.DUMMYFUNCTION("""COMPUTED_VALUE"""),0.0)</f>
        <v>0</v>
      </c>
      <c r="AR1390" s="82">
        <f>IFERROR(__xludf.DUMMYFUNCTION("""COMPUTED_VALUE"""),0.0)</f>
        <v>0</v>
      </c>
      <c r="AS1390" s="82"/>
      <c r="AT1390" s="82">
        <f>IFERROR(__xludf.DUMMYFUNCTION("""COMPUTED_VALUE"""),0.0)</f>
        <v>0</v>
      </c>
      <c r="AU1390" s="82"/>
      <c r="AV1390" s="82"/>
      <c r="AW1390" s="82" t="str">
        <f t="shared" si="1"/>
        <v/>
      </c>
      <c r="AX1390" s="83" t="str">
        <f t="array" ref="AX1390">IFERROR(DGET('SBV Import'!A:G,"SBV",{"RSC ID","Tier";B1390,A1390}))</f>
        <v/>
      </c>
      <c r="AY1390" s="82" t="str">
        <f t="shared" si="2"/>
        <v/>
      </c>
      <c r="AZ1390" s="82"/>
      <c r="BA1390" s="84" t="s">
        <v>152</v>
      </c>
      <c r="BB1390" s="84" t="str">
        <f>IFERROR(__xludf.DUMMYFUNCTION("iferror(if(A1390="""",,E1390&gt;=FILTER(Constants!$F$2:$F$10,Constants!$A$2:$A$10=A1390)))"),"")</f>
        <v/>
      </c>
    </row>
    <row r="1391">
      <c r="A1391" s="89"/>
      <c r="B1391" s="87"/>
      <c r="C1391" s="73"/>
      <c r="D1391" s="73"/>
      <c r="E1391" s="82"/>
      <c r="F1391" s="82"/>
      <c r="G1391" s="86"/>
      <c r="H1391" s="86"/>
      <c r="I1391" s="86"/>
      <c r="J1391" s="82"/>
      <c r="K1391" s="82"/>
      <c r="L1391" s="82"/>
      <c r="M1391" s="82"/>
      <c r="N1391" s="82"/>
      <c r="O1391" s="82"/>
      <c r="P1391" s="82"/>
      <c r="Q1391" s="82"/>
      <c r="R1391" s="82"/>
      <c r="S1391" s="82"/>
      <c r="T1391" s="82"/>
      <c r="U1391" s="82"/>
      <c r="V1391" s="82"/>
      <c r="W1391" s="82"/>
      <c r="X1391" s="82"/>
      <c r="Y1391" s="82"/>
      <c r="Z1391" s="82"/>
      <c r="AA1391" s="82"/>
      <c r="AB1391" s="82"/>
      <c r="AC1391" s="82"/>
      <c r="AD1391" s="82"/>
      <c r="AE1391" s="82"/>
      <c r="AF1391" s="82"/>
      <c r="AG1391" s="82"/>
      <c r="AH1391" s="82"/>
      <c r="AI1391" s="82"/>
      <c r="AJ1391" s="82"/>
      <c r="AK1391" s="82"/>
      <c r="AL1391" s="82"/>
      <c r="AM1391" s="82"/>
      <c r="AN1391" s="82">
        <f>IFERROR(__xludf.DUMMYFUNCTION("""COMPUTED_VALUE"""),0.0)</f>
        <v>0</v>
      </c>
      <c r="AO1391" s="82">
        <f>IFERROR(__xludf.DUMMYFUNCTION("""COMPUTED_VALUE"""),0.0)</f>
        <v>0</v>
      </c>
      <c r="AP1391" s="82">
        <f>IFERROR(__xludf.DUMMYFUNCTION("""COMPUTED_VALUE"""),0.0)</f>
        <v>0</v>
      </c>
      <c r="AQ1391" s="82">
        <f>IFERROR(__xludf.DUMMYFUNCTION("""COMPUTED_VALUE"""),0.0)</f>
        <v>0</v>
      </c>
      <c r="AR1391" s="82">
        <f>IFERROR(__xludf.DUMMYFUNCTION("""COMPUTED_VALUE"""),0.0)</f>
        <v>0</v>
      </c>
      <c r="AS1391" s="82"/>
      <c r="AT1391" s="82">
        <f>IFERROR(__xludf.DUMMYFUNCTION("""COMPUTED_VALUE"""),0.0)</f>
        <v>0</v>
      </c>
      <c r="AU1391" s="82"/>
      <c r="AV1391" s="82"/>
      <c r="AW1391" s="82" t="str">
        <f t="shared" si="1"/>
        <v/>
      </c>
      <c r="AX1391" s="83" t="str">
        <f t="array" ref="AX1391">IFERROR(DGET('SBV Import'!A:G,"SBV",{"RSC ID","Tier";B1391,A1391}))</f>
        <v/>
      </c>
      <c r="AY1391" s="82" t="str">
        <f t="shared" si="2"/>
        <v/>
      </c>
      <c r="AZ1391" s="82"/>
      <c r="BA1391" s="84" t="s">
        <v>152</v>
      </c>
      <c r="BB1391" s="84" t="str">
        <f>IFERROR(__xludf.DUMMYFUNCTION("iferror(if(A1391="""",,E1391&gt;=FILTER(Constants!$F$2:$F$10,Constants!$A$2:$A$10=A1391)))"),"")</f>
        <v/>
      </c>
    </row>
    <row r="1392">
      <c r="A1392" s="89"/>
      <c r="B1392" s="87"/>
      <c r="C1392" s="73"/>
      <c r="D1392" s="73"/>
      <c r="E1392" s="82"/>
      <c r="F1392" s="82"/>
      <c r="G1392" s="86"/>
      <c r="H1392" s="86"/>
      <c r="I1392" s="86"/>
      <c r="J1392" s="82"/>
      <c r="K1392" s="82"/>
      <c r="L1392" s="82"/>
      <c r="M1392" s="82"/>
      <c r="N1392" s="82"/>
      <c r="O1392" s="82"/>
      <c r="P1392" s="82"/>
      <c r="Q1392" s="82"/>
      <c r="R1392" s="82"/>
      <c r="S1392" s="82"/>
      <c r="T1392" s="82"/>
      <c r="U1392" s="82"/>
      <c r="V1392" s="82"/>
      <c r="W1392" s="82"/>
      <c r="X1392" s="82"/>
      <c r="Y1392" s="82"/>
      <c r="Z1392" s="82"/>
      <c r="AA1392" s="82"/>
      <c r="AB1392" s="82"/>
      <c r="AC1392" s="82"/>
      <c r="AD1392" s="82"/>
      <c r="AE1392" s="82"/>
      <c r="AF1392" s="82"/>
      <c r="AG1392" s="82"/>
      <c r="AH1392" s="82"/>
      <c r="AI1392" s="82"/>
      <c r="AJ1392" s="82"/>
      <c r="AK1392" s="82"/>
      <c r="AL1392" s="82"/>
      <c r="AM1392" s="82"/>
      <c r="AN1392" s="82">
        <f>IFERROR(__xludf.DUMMYFUNCTION("""COMPUTED_VALUE"""),0.0)</f>
        <v>0</v>
      </c>
      <c r="AO1392" s="82">
        <f>IFERROR(__xludf.DUMMYFUNCTION("""COMPUTED_VALUE"""),0.0)</f>
        <v>0</v>
      </c>
      <c r="AP1392" s="82">
        <f>IFERROR(__xludf.DUMMYFUNCTION("""COMPUTED_VALUE"""),0.0)</f>
        <v>0</v>
      </c>
      <c r="AQ1392" s="82">
        <f>IFERROR(__xludf.DUMMYFUNCTION("""COMPUTED_VALUE"""),0.0)</f>
        <v>0</v>
      </c>
      <c r="AR1392" s="82">
        <f>IFERROR(__xludf.DUMMYFUNCTION("""COMPUTED_VALUE"""),0.0)</f>
        <v>0</v>
      </c>
      <c r="AS1392" s="82"/>
      <c r="AT1392" s="82">
        <f>IFERROR(__xludf.DUMMYFUNCTION("""COMPUTED_VALUE"""),0.0)</f>
        <v>0</v>
      </c>
      <c r="AU1392" s="82"/>
      <c r="AV1392" s="82"/>
      <c r="AW1392" s="82" t="str">
        <f t="shared" si="1"/>
        <v/>
      </c>
      <c r="AX1392" s="83" t="str">
        <f t="array" ref="AX1392">IFERROR(DGET('SBV Import'!A:G,"SBV",{"RSC ID","Tier";B1392,A1392}))</f>
        <v/>
      </c>
      <c r="AY1392" s="82" t="str">
        <f t="shared" si="2"/>
        <v/>
      </c>
      <c r="AZ1392" s="82"/>
      <c r="BA1392" s="84" t="s">
        <v>152</v>
      </c>
      <c r="BB1392" s="84" t="str">
        <f>IFERROR(__xludf.DUMMYFUNCTION("iferror(if(A1392="""",,E1392&gt;=FILTER(Constants!$F$2:$F$10,Constants!$A$2:$A$10=A1392)))"),"")</f>
        <v/>
      </c>
    </row>
    <row r="1393">
      <c r="A1393" s="89"/>
      <c r="B1393" s="87"/>
      <c r="C1393" s="73"/>
      <c r="D1393" s="73"/>
      <c r="E1393" s="82"/>
      <c r="F1393" s="82"/>
      <c r="G1393" s="86"/>
      <c r="H1393" s="86"/>
      <c r="I1393" s="86"/>
      <c r="J1393" s="82"/>
      <c r="K1393" s="82"/>
      <c r="L1393" s="82"/>
      <c r="M1393" s="82"/>
      <c r="N1393" s="82"/>
      <c r="O1393" s="82"/>
      <c r="P1393" s="82"/>
      <c r="Q1393" s="82"/>
      <c r="R1393" s="82"/>
      <c r="S1393" s="82"/>
      <c r="T1393" s="82"/>
      <c r="U1393" s="82"/>
      <c r="V1393" s="82"/>
      <c r="W1393" s="82"/>
      <c r="X1393" s="82"/>
      <c r="Y1393" s="82"/>
      <c r="Z1393" s="82"/>
      <c r="AA1393" s="82"/>
      <c r="AB1393" s="82"/>
      <c r="AC1393" s="82"/>
      <c r="AD1393" s="82"/>
      <c r="AE1393" s="82"/>
      <c r="AF1393" s="82"/>
      <c r="AG1393" s="82"/>
      <c r="AH1393" s="82"/>
      <c r="AI1393" s="82"/>
      <c r="AJ1393" s="82"/>
      <c r="AK1393" s="82"/>
      <c r="AL1393" s="82"/>
      <c r="AM1393" s="82"/>
      <c r="AN1393" s="82">
        <f>IFERROR(__xludf.DUMMYFUNCTION("""COMPUTED_VALUE"""),0.0)</f>
        <v>0</v>
      </c>
      <c r="AO1393" s="82">
        <f>IFERROR(__xludf.DUMMYFUNCTION("""COMPUTED_VALUE"""),0.0)</f>
        <v>0</v>
      </c>
      <c r="AP1393" s="82">
        <f>IFERROR(__xludf.DUMMYFUNCTION("""COMPUTED_VALUE"""),0.0)</f>
        <v>0</v>
      </c>
      <c r="AQ1393" s="82">
        <f>IFERROR(__xludf.DUMMYFUNCTION("""COMPUTED_VALUE"""),0.0)</f>
        <v>0</v>
      </c>
      <c r="AR1393" s="82">
        <f>IFERROR(__xludf.DUMMYFUNCTION("""COMPUTED_VALUE"""),0.0)</f>
        <v>0</v>
      </c>
      <c r="AS1393" s="82"/>
      <c r="AT1393" s="82">
        <f>IFERROR(__xludf.DUMMYFUNCTION("""COMPUTED_VALUE"""),0.0)</f>
        <v>0</v>
      </c>
      <c r="AU1393" s="82"/>
      <c r="AV1393" s="82"/>
      <c r="AW1393" s="82" t="str">
        <f t="shared" si="1"/>
        <v/>
      </c>
      <c r="AX1393" s="83" t="str">
        <f t="array" ref="AX1393">IFERROR(DGET('SBV Import'!A:G,"SBV",{"RSC ID","Tier";B1393,A1393}))</f>
        <v/>
      </c>
      <c r="AY1393" s="82" t="str">
        <f t="shared" si="2"/>
        <v/>
      </c>
      <c r="AZ1393" s="82"/>
      <c r="BA1393" s="84" t="s">
        <v>152</v>
      </c>
      <c r="BB1393" s="84" t="str">
        <f>IFERROR(__xludf.DUMMYFUNCTION("iferror(if(A1393="""",,E1393&gt;=FILTER(Constants!$F$2:$F$10,Constants!$A$2:$A$10=A1393)))"),"")</f>
        <v/>
      </c>
    </row>
    <row r="1394">
      <c r="A1394" s="89"/>
      <c r="B1394" s="87"/>
      <c r="C1394" s="73"/>
      <c r="D1394" s="73"/>
      <c r="E1394" s="82"/>
      <c r="F1394" s="82"/>
      <c r="G1394" s="86"/>
      <c r="H1394" s="86"/>
      <c r="I1394" s="86"/>
      <c r="J1394" s="82"/>
      <c r="K1394" s="82"/>
      <c r="L1394" s="82"/>
      <c r="M1394" s="82"/>
      <c r="N1394" s="82"/>
      <c r="O1394" s="82"/>
      <c r="P1394" s="82"/>
      <c r="Q1394" s="82"/>
      <c r="R1394" s="82"/>
      <c r="S1394" s="82"/>
      <c r="T1394" s="82"/>
      <c r="U1394" s="82"/>
      <c r="V1394" s="82"/>
      <c r="W1394" s="82"/>
      <c r="X1394" s="82"/>
      <c r="Y1394" s="82"/>
      <c r="Z1394" s="82"/>
      <c r="AA1394" s="82"/>
      <c r="AB1394" s="82"/>
      <c r="AC1394" s="82"/>
      <c r="AD1394" s="82"/>
      <c r="AE1394" s="82"/>
      <c r="AF1394" s="82"/>
      <c r="AG1394" s="82"/>
      <c r="AH1394" s="82"/>
      <c r="AI1394" s="82"/>
      <c r="AJ1394" s="82"/>
      <c r="AK1394" s="82"/>
      <c r="AL1394" s="82"/>
      <c r="AM1394" s="82"/>
      <c r="AN1394" s="82">
        <f>IFERROR(__xludf.DUMMYFUNCTION("""COMPUTED_VALUE"""),0.0)</f>
        <v>0</v>
      </c>
      <c r="AO1394" s="82">
        <f>IFERROR(__xludf.DUMMYFUNCTION("""COMPUTED_VALUE"""),0.0)</f>
        <v>0</v>
      </c>
      <c r="AP1394" s="82">
        <f>IFERROR(__xludf.DUMMYFUNCTION("""COMPUTED_VALUE"""),0.0)</f>
        <v>0</v>
      </c>
      <c r="AQ1394" s="82">
        <f>IFERROR(__xludf.DUMMYFUNCTION("""COMPUTED_VALUE"""),0.0)</f>
        <v>0</v>
      </c>
      <c r="AR1394" s="82">
        <f>IFERROR(__xludf.DUMMYFUNCTION("""COMPUTED_VALUE"""),0.0)</f>
        <v>0</v>
      </c>
      <c r="AS1394" s="82"/>
      <c r="AT1394" s="82">
        <f>IFERROR(__xludf.DUMMYFUNCTION("""COMPUTED_VALUE"""),0.0)</f>
        <v>0</v>
      </c>
      <c r="AU1394" s="82"/>
      <c r="AV1394" s="82"/>
      <c r="AW1394" s="82" t="str">
        <f t="shared" si="1"/>
        <v/>
      </c>
      <c r="AX1394" s="83" t="str">
        <f t="array" ref="AX1394">IFERROR(DGET('SBV Import'!A:G,"SBV",{"RSC ID","Tier";B1394,A1394}))</f>
        <v/>
      </c>
      <c r="AY1394" s="82" t="str">
        <f t="shared" si="2"/>
        <v/>
      </c>
      <c r="AZ1394" s="82"/>
      <c r="BA1394" s="84" t="s">
        <v>152</v>
      </c>
      <c r="BB1394" s="84" t="str">
        <f>IFERROR(__xludf.DUMMYFUNCTION("iferror(if(A1394="""",,E1394&gt;=FILTER(Constants!$F$2:$F$10,Constants!$A$2:$A$10=A1394)))"),"")</f>
        <v/>
      </c>
    </row>
    <row r="1395">
      <c r="A1395" s="89"/>
      <c r="B1395" s="87"/>
      <c r="C1395" s="73"/>
      <c r="D1395" s="73"/>
      <c r="E1395" s="82"/>
      <c r="F1395" s="82"/>
      <c r="G1395" s="86"/>
      <c r="H1395" s="86"/>
      <c r="I1395" s="86"/>
      <c r="J1395" s="82"/>
      <c r="K1395" s="82"/>
      <c r="L1395" s="82"/>
      <c r="M1395" s="82"/>
      <c r="N1395" s="82"/>
      <c r="O1395" s="82"/>
      <c r="P1395" s="82"/>
      <c r="Q1395" s="82"/>
      <c r="R1395" s="82"/>
      <c r="S1395" s="82"/>
      <c r="T1395" s="82"/>
      <c r="U1395" s="82"/>
      <c r="V1395" s="82"/>
      <c r="W1395" s="82"/>
      <c r="X1395" s="82"/>
      <c r="Y1395" s="82"/>
      <c r="Z1395" s="82"/>
      <c r="AA1395" s="82"/>
      <c r="AB1395" s="82"/>
      <c r="AC1395" s="82"/>
      <c r="AD1395" s="82"/>
      <c r="AE1395" s="82"/>
      <c r="AF1395" s="82"/>
      <c r="AG1395" s="82"/>
      <c r="AH1395" s="82"/>
      <c r="AI1395" s="82"/>
      <c r="AJ1395" s="82"/>
      <c r="AK1395" s="82"/>
      <c r="AL1395" s="82"/>
      <c r="AM1395" s="82"/>
      <c r="AN1395" s="82">
        <f>IFERROR(__xludf.DUMMYFUNCTION("""COMPUTED_VALUE"""),0.0)</f>
        <v>0</v>
      </c>
      <c r="AO1395" s="82">
        <f>IFERROR(__xludf.DUMMYFUNCTION("""COMPUTED_VALUE"""),0.0)</f>
        <v>0</v>
      </c>
      <c r="AP1395" s="82">
        <f>IFERROR(__xludf.DUMMYFUNCTION("""COMPUTED_VALUE"""),0.0)</f>
        <v>0</v>
      </c>
      <c r="AQ1395" s="82">
        <f>IFERROR(__xludf.DUMMYFUNCTION("""COMPUTED_VALUE"""),0.0)</f>
        <v>0</v>
      </c>
      <c r="AR1395" s="82">
        <f>IFERROR(__xludf.DUMMYFUNCTION("""COMPUTED_VALUE"""),0.0)</f>
        <v>0</v>
      </c>
      <c r="AS1395" s="82"/>
      <c r="AT1395" s="82">
        <f>IFERROR(__xludf.DUMMYFUNCTION("""COMPUTED_VALUE"""),0.0)</f>
        <v>0</v>
      </c>
      <c r="AU1395" s="82"/>
      <c r="AV1395" s="82"/>
      <c r="AW1395" s="82" t="str">
        <f t="shared" si="1"/>
        <v/>
      </c>
      <c r="AX1395" s="83" t="str">
        <f t="array" ref="AX1395">IFERROR(DGET('SBV Import'!A:G,"SBV",{"RSC ID","Tier";B1395,A1395}))</f>
        <v/>
      </c>
      <c r="AY1395" s="82" t="str">
        <f t="shared" si="2"/>
        <v/>
      </c>
      <c r="AZ1395" s="82"/>
      <c r="BA1395" s="84" t="s">
        <v>152</v>
      </c>
      <c r="BB1395" s="84" t="str">
        <f>IFERROR(__xludf.DUMMYFUNCTION("iferror(if(A1395="""",,E1395&gt;=FILTER(Constants!$F$2:$F$10,Constants!$A$2:$A$10=A1395)))"),"")</f>
        <v/>
      </c>
    </row>
    <row r="1396">
      <c r="A1396" s="89"/>
      <c r="B1396" s="87"/>
      <c r="C1396" s="73"/>
      <c r="D1396" s="73"/>
      <c r="E1396" s="82"/>
      <c r="F1396" s="82"/>
      <c r="G1396" s="86"/>
      <c r="H1396" s="86"/>
      <c r="I1396" s="86"/>
      <c r="J1396" s="82"/>
      <c r="K1396" s="82"/>
      <c r="L1396" s="82"/>
      <c r="M1396" s="82"/>
      <c r="N1396" s="82"/>
      <c r="O1396" s="82"/>
      <c r="P1396" s="82"/>
      <c r="Q1396" s="82"/>
      <c r="R1396" s="82"/>
      <c r="S1396" s="82"/>
      <c r="T1396" s="82"/>
      <c r="U1396" s="82"/>
      <c r="V1396" s="82"/>
      <c r="W1396" s="82"/>
      <c r="X1396" s="82"/>
      <c r="Y1396" s="82"/>
      <c r="Z1396" s="82"/>
      <c r="AA1396" s="82"/>
      <c r="AB1396" s="82"/>
      <c r="AC1396" s="82"/>
      <c r="AD1396" s="82"/>
      <c r="AE1396" s="82"/>
      <c r="AF1396" s="82"/>
      <c r="AG1396" s="82"/>
      <c r="AH1396" s="82"/>
      <c r="AI1396" s="82"/>
      <c r="AJ1396" s="82"/>
      <c r="AK1396" s="82"/>
      <c r="AL1396" s="82"/>
      <c r="AM1396" s="82"/>
      <c r="AN1396" s="82">
        <f>IFERROR(__xludf.DUMMYFUNCTION("""COMPUTED_VALUE"""),0.0)</f>
        <v>0</v>
      </c>
      <c r="AO1396" s="82">
        <f>IFERROR(__xludf.DUMMYFUNCTION("""COMPUTED_VALUE"""),0.0)</f>
        <v>0</v>
      </c>
      <c r="AP1396" s="82">
        <f>IFERROR(__xludf.DUMMYFUNCTION("""COMPUTED_VALUE"""),0.0)</f>
        <v>0</v>
      </c>
      <c r="AQ1396" s="82">
        <f>IFERROR(__xludf.DUMMYFUNCTION("""COMPUTED_VALUE"""),0.0)</f>
        <v>0</v>
      </c>
      <c r="AR1396" s="82">
        <f>IFERROR(__xludf.DUMMYFUNCTION("""COMPUTED_VALUE"""),0.0)</f>
        <v>0</v>
      </c>
      <c r="AS1396" s="82"/>
      <c r="AT1396" s="82">
        <f>IFERROR(__xludf.DUMMYFUNCTION("""COMPUTED_VALUE"""),0.0)</f>
        <v>0</v>
      </c>
      <c r="AU1396" s="82"/>
      <c r="AV1396" s="82"/>
      <c r="AW1396" s="82" t="str">
        <f t="shared" si="1"/>
        <v/>
      </c>
      <c r="AX1396" s="83" t="str">
        <f t="array" ref="AX1396">IFERROR(DGET('SBV Import'!A:G,"SBV",{"RSC ID","Tier";B1396,A1396}))</f>
        <v/>
      </c>
      <c r="AY1396" s="82" t="str">
        <f t="shared" si="2"/>
        <v/>
      </c>
      <c r="AZ1396" s="82"/>
      <c r="BA1396" s="84" t="s">
        <v>152</v>
      </c>
      <c r="BB1396" s="84" t="str">
        <f>IFERROR(__xludf.DUMMYFUNCTION("iferror(if(A1396="""",,E1396&gt;=FILTER(Constants!$F$2:$F$10,Constants!$A$2:$A$10=A1396)))"),"")</f>
        <v/>
      </c>
    </row>
    <row r="1397">
      <c r="A1397" s="89"/>
      <c r="B1397" s="87"/>
      <c r="C1397" s="73"/>
      <c r="D1397" s="73"/>
      <c r="E1397" s="82"/>
      <c r="F1397" s="82"/>
      <c r="G1397" s="86"/>
      <c r="H1397" s="86"/>
      <c r="I1397" s="86"/>
      <c r="J1397" s="82"/>
      <c r="K1397" s="82"/>
      <c r="L1397" s="82"/>
      <c r="M1397" s="82"/>
      <c r="N1397" s="82"/>
      <c r="O1397" s="82"/>
      <c r="P1397" s="82"/>
      <c r="Q1397" s="82"/>
      <c r="R1397" s="82"/>
      <c r="S1397" s="82"/>
      <c r="T1397" s="82"/>
      <c r="U1397" s="82"/>
      <c r="V1397" s="82"/>
      <c r="W1397" s="82"/>
      <c r="X1397" s="82"/>
      <c r="Y1397" s="82"/>
      <c r="Z1397" s="82"/>
      <c r="AA1397" s="82"/>
      <c r="AB1397" s="82"/>
      <c r="AC1397" s="82"/>
      <c r="AD1397" s="82"/>
      <c r="AE1397" s="82"/>
      <c r="AF1397" s="82"/>
      <c r="AG1397" s="82"/>
      <c r="AH1397" s="82"/>
      <c r="AI1397" s="82"/>
      <c r="AJ1397" s="82"/>
      <c r="AK1397" s="82"/>
      <c r="AL1397" s="82"/>
      <c r="AM1397" s="82"/>
      <c r="AN1397" s="82">
        <f>IFERROR(__xludf.DUMMYFUNCTION("""COMPUTED_VALUE"""),0.0)</f>
        <v>0</v>
      </c>
      <c r="AO1397" s="82">
        <f>IFERROR(__xludf.DUMMYFUNCTION("""COMPUTED_VALUE"""),0.0)</f>
        <v>0</v>
      </c>
      <c r="AP1397" s="82">
        <f>IFERROR(__xludf.DUMMYFUNCTION("""COMPUTED_VALUE"""),0.0)</f>
        <v>0</v>
      </c>
      <c r="AQ1397" s="82">
        <f>IFERROR(__xludf.DUMMYFUNCTION("""COMPUTED_VALUE"""),0.0)</f>
        <v>0</v>
      </c>
      <c r="AR1397" s="82">
        <f>IFERROR(__xludf.DUMMYFUNCTION("""COMPUTED_VALUE"""),0.0)</f>
        <v>0</v>
      </c>
      <c r="AS1397" s="82"/>
      <c r="AT1397" s="82">
        <f>IFERROR(__xludf.DUMMYFUNCTION("""COMPUTED_VALUE"""),0.0)</f>
        <v>0</v>
      </c>
      <c r="AU1397" s="82"/>
      <c r="AV1397" s="82"/>
      <c r="AW1397" s="82" t="str">
        <f t="shared" si="1"/>
        <v/>
      </c>
      <c r="AX1397" s="83" t="str">
        <f t="array" ref="AX1397">IFERROR(DGET('SBV Import'!A:G,"SBV",{"RSC ID","Tier";B1397,A1397}))</f>
        <v/>
      </c>
      <c r="AY1397" s="82" t="str">
        <f t="shared" si="2"/>
        <v/>
      </c>
      <c r="AZ1397" s="82"/>
      <c r="BA1397" s="84" t="s">
        <v>152</v>
      </c>
      <c r="BB1397" s="84" t="str">
        <f>IFERROR(__xludf.DUMMYFUNCTION("iferror(if(A1397="""",,E1397&gt;=FILTER(Constants!$F$2:$F$10,Constants!$A$2:$A$10=A1397)))"),"")</f>
        <v/>
      </c>
    </row>
    <row r="1398">
      <c r="A1398" s="89"/>
      <c r="B1398" s="87"/>
      <c r="C1398" s="73"/>
      <c r="D1398" s="73"/>
      <c r="E1398" s="82"/>
      <c r="F1398" s="82"/>
      <c r="G1398" s="86"/>
      <c r="H1398" s="86"/>
      <c r="I1398" s="86"/>
      <c r="J1398" s="82"/>
      <c r="K1398" s="82"/>
      <c r="L1398" s="82"/>
      <c r="M1398" s="82"/>
      <c r="N1398" s="82"/>
      <c r="O1398" s="82"/>
      <c r="P1398" s="82"/>
      <c r="Q1398" s="82"/>
      <c r="R1398" s="82"/>
      <c r="S1398" s="82"/>
      <c r="T1398" s="82"/>
      <c r="U1398" s="82"/>
      <c r="V1398" s="82"/>
      <c r="W1398" s="82"/>
      <c r="X1398" s="82"/>
      <c r="Y1398" s="82"/>
      <c r="Z1398" s="82"/>
      <c r="AA1398" s="82"/>
      <c r="AB1398" s="82"/>
      <c r="AC1398" s="82"/>
      <c r="AD1398" s="82"/>
      <c r="AE1398" s="82"/>
      <c r="AF1398" s="82"/>
      <c r="AG1398" s="82"/>
      <c r="AH1398" s="82"/>
      <c r="AI1398" s="82"/>
      <c r="AJ1398" s="82"/>
      <c r="AK1398" s="82"/>
      <c r="AL1398" s="82"/>
      <c r="AM1398" s="82"/>
      <c r="AN1398" s="82">
        <f>IFERROR(__xludf.DUMMYFUNCTION("""COMPUTED_VALUE"""),0.0)</f>
        <v>0</v>
      </c>
      <c r="AO1398" s="82">
        <f>IFERROR(__xludf.DUMMYFUNCTION("""COMPUTED_VALUE"""),0.0)</f>
        <v>0</v>
      </c>
      <c r="AP1398" s="82">
        <f>IFERROR(__xludf.DUMMYFUNCTION("""COMPUTED_VALUE"""),0.0)</f>
        <v>0</v>
      </c>
      <c r="AQ1398" s="82">
        <f>IFERROR(__xludf.DUMMYFUNCTION("""COMPUTED_VALUE"""),0.0)</f>
        <v>0</v>
      </c>
      <c r="AR1398" s="82">
        <f>IFERROR(__xludf.DUMMYFUNCTION("""COMPUTED_VALUE"""),0.0)</f>
        <v>0</v>
      </c>
      <c r="AS1398" s="82"/>
      <c r="AT1398" s="82">
        <f>IFERROR(__xludf.DUMMYFUNCTION("""COMPUTED_VALUE"""),0.0)</f>
        <v>0</v>
      </c>
      <c r="AU1398" s="82"/>
      <c r="AV1398" s="82"/>
      <c r="AW1398" s="82" t="str">
        <f t="shared" si="1"/>
        <v/>
      </c>
      <c r="AX1398" s="83" t="str">
        <f t="array" ref="AX1398">IFERROR(DGET('SBV Import'!A:G,"SBV",{"RSC ID","Tier";B1398,A1398}))</f>
        <v/>
      </c>
      <c r="AY1398" s="82" t="str">
        <f t="shared" si="2"/>
        <v/>
      </c>
      <c r="AZ1398" s="82"/>
      <c r="BA1398" s="84" t="s">
        <v>152</v>
      </c>
      <c r="BB1398" s="84" t="str">
        <f>IFERROR(__xludf.DUMMYFUNCTION("iferror(if(A1398="""",,E1398&gt;=FILTER(Constants!$F$2:$F$10,Constants!$A$2:$A$10=A1398)))"),"")</f>
        <v/>
      </c>
    </row>
    <row r="1399">
      <c r="A1399" s="89"/>
      <c r="B1399" s="87"/>
      <c r="C1399" s="73"/>
      <c r="D1399" s="73"/>
      <c r="E1399" s="82"/>
      <c r="F1399" s="82"/>
      <c r="G1399" s="86"/>
      <c r="H1399" s="86"/>
      <c r="I1399" s="86"/>
      <c r="J1399" s="82"/>
      <c r="K1399" s="82"/>
      <c r="L1399" s="82"/>
      <c r="M1399" s="82"/>
      <c r="N1399" s="82"/>
      <c r="O1399" s="82"/>
      <c r="P1399" s="82"/>
      <c r="Q1399" s="82"/>
      <c r="R1399" s="82"/>
      <c r="S1399" s="82"/>
      <c r="T1399" s="82"/>
      <c r="U1399" s="82"/>
      <c r="V1399" s="82"/>
      <c r="W1399" s="82"/>
      <c r="X1399" s="82"/>
      <c r="Y1399" s="82"/>
      <c r="Z1399" s="82"/>
      <c r="AA1399" s="82"/>
      <c r="AB1399" s="82"/>
      <c r="AC1399" s="82"/>
      <c r="AD1399" s="82"/>
      <c r="AE1399" s="82"/>
      <c r="AF1399" s="82"/>
      <c r="AG1399" s="82"/>
      <c r="AH1399" s="82"/>
      <c r="AI1399" s="82"/>
      <c r="AJ1399" s="82"/>
      <c r="AK1399" s="82"/>
      <c r="AL1399" s="82"/>
      <c r="AM1399" s="82"/>
      <c r="AN1399" s="82">
        <f>IFERROR(__xludf.DUMMYFUNCTION("""COMPUTED_VALUE"""),0.0)</f>
        <v>0</v>
      </c>
      <c r="AO1399" s="82">
        <f>IFERROR(__xludf.DUMMYFUNCTION("""COMPUTED_VALUE"""),0.0)</f>
        <v>0</v>
      </c>
      <c r="AP1399" s="82">
        <f>IFERROR(__xludf.DUMMYFUNCTION("""COMPUTED_VALUE"""),0.0)</f>
        <v>0</v>
      </c>
      <c r="AQ1399" s="82">
        <f>IFERROR(__xludf.DUMMYFUNCTION("""COMPUTED_VALUE"""),0.0)</f>
        <v>0</v>
      </c>
      <c r="AR1399" s="82">
        <f>IFERROR(__xludf.DUMMYFUNCTION("""COMPUTED_VALUE"""),0.0)</f>
        <v>0</v>
      </c>
      <c r="AS1399" s="82"/>
      <c r="AT1399" s="82">
        <f>IFERROR(__xludf.DUMMYFUNCTION("""COMPUTED_VALUE"""),0.0)</f>
        <v>0</v>
      </c>
      <c r="AU1399" s="82"/>
      <c r="AV1399" s="82"/>
      <c r="AW1399" s="82" t="str">
        <f t="shared" si="1"/>
        <v/>
      </c>
      <c r="AX1399" s="83" t="str">
        <f t="array" ref="AX1399">IFERROR(DGET('SBV Import'!A:G,"SBV",{"RSC ID","Tier";B1399,A1399}))</f>
        <v/>
      </c>
      <c r="AY1399" s="82" t="str">
        <f t="shared" si="2"/>
        <v/>
      </c>
      <c r="AZ1399" s="82"/>
      <c r="BA1399" s="84" t="s">
        <v>152</v>
      </c>
      <c r="BB1399" s="84" t="str">
        <f>IFERROR(__xludf.DUMMYFUNCTION("iferror(if(A1399="""",,E1399&gt;=FILTER(Constants!$F$2:$F$10,Constants!$A$2:$A$10=A1399)))"),"")</f>
        <v/>
      </c>
    </row>
    <row r="1400">
      <c r="A1400" s="89"/>
      <c r="B1400" s="87"/>
      <c r="C1400" s="73"/>
      <c r="D1400" s="73"/>
      <c r="E1400" s="82"/>
      <c r="F1400" s="82"/>
      <c r="G1400" s="86"/>
      <c r="H1400" s="86"/>
      <c r="I1400" s="86"/>
      <c r="J1400" s="82"/>
      <c r="K1400" s="82"/>
      <c r="L1400" s="82"/>
      <c r="M1400" s="82"/>
      <c r="N1400" s="82"/>
      <c r="O1400" s="82"/>
      <c r="P1400" s="82"/>
      <c r="Q1400" s="82"/>
      <c r="R1400" s="82"/>
      <c r="S1400" s="82"/>
      <c r="T1400" s="82"/>
      <c r="U1400" s="82"/>
      <c r="V1400" s="82"/>
      <c r="W1400" s="82"/>
      <c r="X1400" s="82"/>
      <c r="Y1400" s="82"/>
      <c r="Z1400" s="82"/>
      <c r="AA1400" s="82"/>
      <c r="AB1400" s="82"/>
      <c r="AC1400" s="82"/>
      <c r="AD1400" s="82"/>
      <c r="AE1400" s="82"/>
      <c r="AF1400" s="82"/>
      <c r="AG1400" s="82"/>
      <c r="AH1400" s="82"/>
      <c r="AI1400" s="82"/>
      <c r="AJ1400" s="82"/>
      <c r="AK1400" s="82"/>
      <c r="AL1400" s="82"/>
      <c r="AM1400" s="82"/>
      <c r="AN1400" s="82">
        <f>IFERROR(__xludf.DUMMYFUNCTION("""COMPUTED_VALUE"""),0.0)</f>
        <v>0</v>
      </c>
      <c r="AO1400" s="82">
        <f>IFERROR(__xludf.DUMMYFUNCTION("""COMPUTED_VALUE"""),0.0)</f>
        <v>0</v>
      </c>
      <c r="AP1400" s="82">
        <f>IFERROR(__xludf.DUMMYFUNCTION("""COMPUTED_VALUE"""),0.0)</f>
        <v>0</v>
      </c>
      <c r="AQ1400" s="82">
        <f>IFERROR(__xludf.DUMMYFUNCTION("""COMPUTED_VALUE"""),0.0)</f>
        <v>0</v>
      </c>
      <c r="AR1400" s="82">
        <f>IFERROR(__xludf.DUMMYFUNCTION("""COMPUTED_VALUE"""),0.0)</f>
        <v>0</v>
      </c>
      <c r="AS1400" s="82"/>
      <c r="AT1400" s="82">
        <f>IFERROR(__xludf.DUMMYFUNCTION("""COMPUTED_VALUE"""),0.0)</f>
        <v>0</v>
      </c>
      <c r="AU1400" s="82"/>
      <c r="AV1400" s="82"/>
      <c r="AW1400" s="82" t="str">
        <f t="shared" si="1"/>
        <v/>
      </c>
      <c r="AX1400" s="83" t="str">
        <f t="array" ref="AX1400">IFERROR(DGET('SBV Import'!A:G,"SBV",{"RSC ID","Tier";B1400,A1400}))</f>
        <v/>
      </c>
      <c r="AY1400" s="82" t="str">
        <f t="shared" si="2"/>
        <v/>
      </c>
      <c r="AZ1400" s="82"/>
      <c r="BA1400" s="84" t="s">
        <v>152</v>
      </c>
      <c r="BB1400" s="84" t="str">
        <f>IFERROR(__xludf.DUMMYFUNCTION("iferror(if(A1400="""",,E1400&gt;=FILTER(Constants!$F$2:$F$10,Constants!$A$2:$A$10=A1400)))"),"")</f>
        <v/>
      </c>
    </row>
    <row r="1401">
      <c r="A1401" s="89"/>
      <c r="B1401" s="87"/>
      <c r="C1401" s="73"/>
      <c r="D1401" s="73"/>
      <c r="E1401" s="82"/>
      <c r="F1401" s="82"/>
      <c r="G1401" s="86"/>
      <c r="H1401" s="86"/>
      <c r="I1401" s="86"/>
      <c r="J1401" s="82"/>
      <c r="K1401" s="82"/>
      <c r="L1401" s="82"/>
      <c r="M1401" s="82"/>
      <c r="N1401" s="82"/>
      <c r="O1401" s="82"/>
      <c r="P1401" s="82"/>
      <c r="Q1401" s="82"/>
      <c r="R1401" s="82"/>
      <c r="S1401" s="82"/>
      <c r="T1401" s="82"/>
      <c r="U1401" s="82"/>
      <c r="V1401" s="82"/>
      <c r="W1401" s="82"/>
      <c r="X1401" s="82"/>
      <c r="Y1401" s="82"/>
      <c r="Z1401" s="82"/>
      <c r="AA1401" s="82"/>
      <c r="AB1401" s="82"/>
      <c r="AC1401" s="82"/>
      <c r="AD1401" s="82"/>
      <c r="AE1401" s="82"/>
      <c r="AF1401" s="82"/>
      <c r="AG1401" s="82"/>
      <c r="AH1401" s="82"/>
      <c r="AI1401" s="82"/>
      <c r="AJ1401" s="82"/>
      <c r="AK1401" s="82"/>
      <c r="AL1401" s="82"/>
      <c r="AM1401" s="82"/>
      <c r="AN1401" s="82">
        <f>IFERROR(__xludf.DUMMYFUNCTION("""COMPUTED_VALUE"""),0.0)</f>
        <v>0</v>
      </c>
      <c r="AO1401" s="82">
        <f>IFERROR(__xludf.DUMMYFUNCTION("""COMPUTED_VALUE"""),0.0)</f>
        <v>0</v>
      </c>
      <c r="AP1401" s="82">
        <f>IFERROR(__xludf.DUMMYFUNCTION("""COMPUTED_VALUE"""),0.0)</f>
        <v>0</v>
      </c>
      <c r="AQ1401" s="82">
        <f>IFERROR(__xludf.DUMMYFUNCTION("""COMPUTED_VALUE"""),0.0)</f>
        <v>0</v>
      </c>
      <c r="AR1401" s="82">
        <f>IFERROR(__xludf.DUMMYFUNCTION("""COMPUTED_VALUE"""),0.0)</f>
        <v>0</v>
      </c>
      <c r="AS1401" s="82"/>
      <c r="AT1401" s="82">
        <f>IFERROR(__xludf.DUMMYFUNCTION("""COMPUTED_VALUE"""),0.0)</f>
        <v>0</v>
      </c>
      <c r="AU1401" s="82"/>
      <c r="AV1401" s="82"/>
      <c r="AW1401" s="82" t="str">
        <f t="shared" si="1"/>
        <v/>
      </c>
      <c r="AX1401" s="83" t="str">
        <f t="array" ref="AX1401">IFERROR(DGET('SBV Import'!A:G,"SBV",{"RSC ID","Tier";B1401,A1401}))</f>
        <v/>
      </c>
      <c r="AY1401" s="82" t="str">
        <f t="shared" si="2"/>
        <v/>
      </c>
      <c r="AZ1401" s="82"/>
      <c r="BA1401" s="84" t="s">
        <v>152</v>
      </c>
      <c r="BB1401" s="84" t="str">
        <f>IFERROR(__xludf.DUMMYFUNCTION("iferror(if(A1401="""",,E1401&gt;=FILTER(Constants!$F$2:$F$10,Constants!$A$2:$A$10=A1401)))"),"")</f>
        <v/>
      </c>
    </row>
    <row r="1402">
      <c r="A1402" s="89"/>
      <c r="B1402" s="87"/>
      <c r="C1402" s="73"/>
      <c r="D1402" s="73"/>
      <c r="E1402" s="82"/>
      <c r="F1402" s="82"/>
      <c r="G1402" s="86"/>
      <c r="H1402" s="86"/>
      <c r="I1402" s="86"/>
      <c r="J1402" s="82"/>
      <c r="K1402" s="82"/>
      <c r="L1402" s="82"/>
      <c r="M1402" s="82"/>
      <c r="N1402" s="82"/>
      <c r="O1402" s="82"/>
      <c r="P1402" s="82"/>
      <c r="Q1402" s="82"/>
      <c r="R1402" s="82"/>
      <c r="S1402" s="82"/>
      <c r="T1402" s="82"/>
      <c r="U1402" s="82"/>
      <c r="V1402" s="82"/>
      <c r="W1402" s="82"/>
      <c r="X1402" s="82"/>
      <c r="Y1402" s="82"/>
      <c r="Z1402" s="82"/>
      <c r="AA1402" s="82"/>
      <c r="AB1402" s="82"/>
      <c r="AC1402" s="82"/>
      <c r="AD1402" s="82"/>
      <c r="AE1402" s="82"/>
      <c r="AF1402" s="82"/>
      <c r="AG1402" s="82"/>
      <c r="AH1402" s="82"/>
      <c r="AI1402" s="82"/>
      <c r="AJ1402" s="82"/>
      <c r="AK1402" s="82"/>
      <c r="AL1402" s="82"/>
      <c r="AM1402" s="82"/>
      <c r="AN1402" s="82">
        <f>IFERROR(__xludf.DUMMYFUNCTION("""COMPUTED_VALUE"""),0.0)</f>
        <v>0</v>
      </c>
      <c r="AO1402" s="82">
        <f>IFERROR(__xludf.DUMMYFUNCTION("""COMPUTED_VALUE"""),0.0)</f>
        <v>0</v>
      </c>
      <c r="AP1402" s="82">
        <f>IFERROR(__xludf.DUMMYFUNCTION("""COMPUTED_VALUE"""),0.0)</f>
        <v>0</v>
      </c>
      <c r="AQ1402" s="82">
        <f>IFERROR(__xludf.DUMMYFUNCTION("""COMPUTED_VALUE"""),0.0)</f>
        <v>0</v>
      </c>
      <c r="AR1402" s="82">
        <f>IFERROR(__xludf.DUMMYFUNCTION("""COMPUTED_VALUE"""),0.0)</f>
        <v>0</v>
      </c>
      <c r="AS1402" s="82"/>
      <c r="AT1402" s="82">
        <f>IFERROR(__xludf.DUMMYFUNCTION("""COMPUTED_VALUE"""),0.0)</f>
        <v>0</v>
      </c>
      <c r="AU1402" s="82"/>
      <c r="AV1402" s="82"/>
      <c r="AW1402" s="82" t="str">
        <f t="shared" si="1"/>
        <v/>
      </c>
      <c r="AX1402" s="83" t="str">
        <f t="array" ref="AX1402">IFERROR(DGET('SBV Import'!A:G,"SBV",{"RSC ID","Tier";B1402,A1402}))</f>
        <v/>
      </c>
      <c r="AY1402" s="82" t="str">
        <f t="shared" si="2"/>
        <v/>
      </c>
      <c r="AZ1402" s="82"/>
      <c r="BA1402" s="84" t="s">
        <v>152</v>
      </c>
      <c r="BB1402" s="84" t="str">
        <f>IFERROR(__xludf.DUMMYFUNCTION("iferror(if(A1402="""",,E1402&gt;=FILTER(Constants!$F$2:$F$10,Constants!$A$2:$A$10=A1402)))"),"")</f>
        <v/>
      </c>
    </row>
    <row r="1403">
      <c r="A1403" s="89"/>
      <c r="B1403" s="87"/>
      <c r="C1403" s="73"/>
      <c r="D1403" s="73"/>
      <c r="E1403" s="82"/>
      <c r="F1403" s="82"/>
      <c r="G1403" s="86"/>
      <c r="H1403" s="86"/>
      <c r="I1403" s="86"/>
      <c r="J1403" s="82"/>
      <c r="K1403" s="82"/>
      <c r="L1403" s="82"/>
      <c r="M1403" s="82"/>
      <c r="N1403" s="82"/>
      <c r="O1403" s="82"/>
      <c r="P1403" s="82"/>
      <c r="Q1403" s="82"/>
      <c r="R1403" s="82"/>
      <c r="S1403" s="82"/>
      <c r="T1403" s="82"/>
      <c r="U1403" s="82"/>
      <c r="V1403" s="82"/>
      <c r="W1403" s="82"/>
      <c r="X1403" s="82"/>
      <c r="Y1403" s="82"/>
      <c r="Z1403" s="82"/>
      <c r="AA1403" s="82"/>
      <c r="AB1403" s="82"/>
      <c r="AC1403" s="82"/>
      <c r="AD1403" s="82"/>
      <c r="AE1403" s="82"/>
      <c r="AF1403" s="82"/>
      <c r="AG1403" s="82"/>
      <c r="AH1403" s="82"/>
      <c r="AI1403" s="82"/>
      <c r="AJ1403" s="82"/>
      <c r="AK1403" s="82"/>
      <c r="AL1403" s="82"/>
      <c r="AM1403" s="82"/>
      <c r="AN1403" s="82">
        <f>IFERROR(__xludf.DUMMYFUNCTION("""COMPUTED_VALUE"""),0.0)</f>
        <v>0</v>
      </c>
      <c r="AO1403" s="82">
        <f>IFERROR(__xludf.DUMMYFUNCTION("""COMPUTED_VALUE"""),0.0)</f>
        <v>0</v>
      </c>
      <c r="AP1403" s="82">
        <f>IFERROR(__xludf.DUMMYFUNCTION("""COMPUTED_VALUE"""),0.0)</f>
        <v>0</v>
      </c>
      <c r="AQ1403" s="82">
        <f>IFERROR(__xludf.DUMMYFUNCTION("""COMPUTED_VALUE"""),0.0)</f>
        <v>0</v>
      </c>
      <c r="AR1403" s="82">
        <f>IFERROR(__xludf.DUMMYFUNCTION("""COMPUTED_VALUE"""),0.0)</f>
        <v>0</v>
      </c>
      <c r="AS1403" s="82"/>
      <c r="AT1403" s="82">
        <f>IFERROR(__xludf.DUMMYFUNCTION("""COMPUTED_VALUE"""),0.0)</f>
        <v>0</v>
      </c>
      <c r="AU1403" s="82"/>
      <c r="AV1403" s="82"/>
      <c r="AW1403" s="82" t="str">
        <f t="shared" si="1"/>
        <v/>
      </c>
      <c r="AX1403" s="83" t="str">
        <f t="array" ref="AX1403">IFERROR(DGET('SBV Import'!A:G,"SBV",{"RSC ID","Tier";B1403,A1403}))</f>
        <v/>
      </c>
      <c r="AY1403" s="82" t="str">
        <f t="shared" si="2"/>
        <v/>
      </c>
      <c r="AZ1403" s="82"/>
      <c r="BA1403" s="84" t="s">
        <v>152</v>
      </c>
      <c r="BB1403" s="84" t="str">
        <f>IFERROR(__xludf.DUMMYFUNCTION("iferror(if(A1403="""",,E1403&gt;=FILTER(Constants!$F$2:$F$10,Constants!$A$2:$A$10=A1403)))"),"")</f>
        <v/>
      </c>
    </row>
    <row r="1404">
      <c r="A1404" s="89"/>
      <c r="B1404" s="87"/>
      <c r="C1404" s="73"/>
      <c r="D1404" s="73"/>
      <c r="E1404" s="82"/>
      <c r="F1404" s="82"/>
      <c r="G1404" s="86"/>
      <c r="H1404" s="86"/>
      <c r="I1404" s="86"/>
      <c r="J1404" s="82"/>
      <c r="K1404" s="82"/>
      <c r="L1404" s="82"/>
      <c r="M1404" s="82"/>
      <c r="N1404" s="82"/>
      <c r="O1404" s="82"/>
      <c r="P1404" s="82"/>
      <c r="Q1404" s="82"/>
      <c r="R1404" s="82"/>
      <c r="S1404" s="82"/>
      <c r="T1404" s="82"/>
      <c r="U1404" s="82"/>
      <c r="V1404" s="82"/>
      <c r="W1404" s="82"/>
      <c r="X1404" s="82"/>
      <c r="Y1404" s="82"/>
      <c r="Z1404" s="82"/>
      <c r="AA1404" s="82"/>
      <c r="AB1404" s="82"/>
      <c r="AC1404" s="82"/>
      <c r="AD1404" s="82"/>
      <c r="AE1404" s="82"/>
      <c r="AF1404" s="82"/>
      <c r="AG1404" s="82"/>
      <c r="AH1404" s="82"/>
      <c r="AI1404" s="82"/>
      <c r="AJ1404" s="82"/>
      <c r="AK1404" s="82"/>
      <c r="AL1404" s="82"/>
      <c r="AM1404" s="82"/>
      <c r="AN1404" s="82">
        <f>IFERROR(__xludf.DUMMYFUNCTION("""COMPUTED_VALUE"""),0.0)</f>
        <v>0</v>
      </c>
      <c r="AO1404" s="82">
        <f>IFERROR(__xludf.DUMMYFUNCTION("""COMPUTED_VALUE"""),0.0)</f>
        <v>0</v>
      </c>
      <c r="AP1404" s="82">
        <f>IFERROR(__xludf.DUMMYFUNCTION("""COMPUTED_VALUE"""),0.0)</f>
        <v>0</v>
      </c>
      <c r="AQ1404" s="82">
        <f>IFERROR(__xludf.DUMMYFUNCTION("""COMPUTED_VALUE"""),0.0)</f>
        <v>0</v>
      </c>
      <c r="AR1404" s="82">
        <f>IFERROR(__xludf.DUMMYFUNCTION("""COMPUTED_VALUE"""),0.0)</f>
        <v>0</v>
      </c>
      <c r="AS1404" s="82"/>
      <c r="AT1404" s="82">
        <f>IFERROR(__xludf.DUMMYFUNCTION("""COMPUTED_VALUE"""),0.0)</f>
        <v>0</v>
      </c>
      <c r="AU1404" s="82"/>
      <c r="AV1404" s="82"/>
      <c r="AW1404" s="82" t="str">
        <f t="shared" si="1"/>
        <v/>
      </c>
      <c r="AX1404" s="83" t="str">
        <f t="array" ref="AX1404">IFERROR(DGET('SBV Import'!A:G,"SBV",{"RSC ID","Tier";B1404,A1404}))</f>
        <v/>
      </c>
      <c r="AY1404" s="82" t="str">
        <f t="shared" si="2"/>
        <v/>
      </c>
      <c r="AZ1404" s="82"/>
      <c r="BA1404" s="84" t="s">
        <v>152</v>
      </c>
      <c r="BB1404" s="84" t="str">
        <f>IFERROR(__xludf.DUMMYFUNCTION("iferror(if(A1404="""",,E1404&gt;=FILTER(Constants!$F$2:$F$10,Constants!$A$2:$A$10=A1404)))"),"")</f>
        <v/>
      </c>
    </row>
    <row r="1405">
      <c r="A1405" s="89"/>
      <c r="B1405" s="87"/>
      <c r="C1405" s="73"/>
      <c r="D1405" s="73"/>
      <c r="E1405" s="82"/>
      <c r="F1405" s="82"/>
      <c r="G1405" s="86"/>
      <c r="H1405" s="86"/>
      <c r="I1405" s="86"/>
      <c r="J1405" s="82"/>
      <c r="K1405" s="82"/>
      <c r="L1405" s="82"/>
      <c r="M1405" s="82"/>
      <c r="N1405" s="82"/>
      <c r="O1405" s="82"/>
      <c r="P1405" s="82"/>
      <c r="Q1405" s="82"/>
      <c r="R1405" s="82"/>
      <c r="S1405" s="82"/>
      <c r="T1405" s="82"/>
      <c r="U1405" s="82"/>
      <c r="V1405" s="82"/>
      <c r="W1405" s="82"/>
      <c r="X1405" s="82"/>
      <c r="Y1405" s="82"/>
      <c r="Z1405" s="82"/>
      <c r="AA1405" s="82"/>
      <c r="AB1405" s="82"/>
      <c r="AC1405" s="82"/>
      <c r="AD1405" s="82"/>
      <c r="AE1405" s="82"/>
      <c r="AF1405" s="82"/>
      <c r="AG1405" s="82"/>
      <c r="AH1405" s="82"/>
      <c r="AI1405" s="82"/>
      <c r="AJ1405" s="82"/>
      <c r="AK1405" s="82"/>
      <c r="AL1405" s="82"/>
      <c r="AM1405" s="82"/>
      <c r="AN1405" s="82">
        <f>IFERROR(__xludf.DUMMYFUNCTION("""COMPUTED_VALUE"""),0.0)</f>
        <v>0</v>
      </c>
      <c r="AO1405" s="82">
        <f>IFERROR(__xludf.DUMMYFUNCTION("""COMPUTED_VALUE"""),0.0)</f>
        <v>0</v>
      </c>
      <c r="AP1405" s="82">
        <f>IFERROR(__xludf.DUMMYFUNCTION("""COMPUTED_VALUE"""),0.0)</f>
        <v>0</v>
      </c>
      <c r="AQ1405" s="82">
        <f>IFERROR(__xludf.DUMMYFUNCTION("""COMPUTED_VALUE"""),0.0)</f>
        <v>0</v>
      </c>
      <c r="AR1405" s="82">
        <f>IFERROR(__xludf.DUMMYFUNCTION("""COMPUTED_VALUE"""),0.0)</f>
        <v>0</v>
      </c>
      <c r="AS1405" s="82"/>
      <c r="AT1405" s="82">
        <f>IFERROR(__xludf.DUMMYFUNCTION("""COMPUTED_VALUE"""),0.0)</f>
        <v>0</v>
      </c>
      <c r="AU1405" s="82"/>
      <c r="AV1405" s="82"/>
      <c r="AW1405" s="82" t="str">
        <f t="shared" si="1"/>
        <v/>
      </c>
      <c r="AX1405" s="83" t="str">
        <f t="array" ref="AX1405">IFERROR(DGET('SBV Import'!A:G,"SBV",{"RSC ID","Tier";B1405,A1405}))</f>
        <v/>
      </c>
      <c r="AY1405" s="82" t="str">
        <f t="shared" si="2"/>
        <v/>
      </c>
      <c r="AZ1405" s="82"/>
      <c r="BA1405" s="84" t="s">
        <v>152</v>
      </c>
      <c r="BB1405" s="84" t="str">
        <f>IFERROR(__xludf.DUMMYFUNCTION("iferror(if(A1405="""",,E1405&gt;=FILTER(Constants!$F$2:$F$10,Constants!$A$2:$A$10=A1405)))"),"")</f>
        <v/>
      </c>
    </row>
    <row r="1406">
      <c r="A1406" s="89"/>
      <c r="B1406" s="87"/>
      <c r="C1406" s="73"/>
      <c r="D1406" s="73"/>
      <c r="E1406" s="82"/>
      <c r="F1406" s="82"/>
      <c r="G1406" s="86"/>
      <c r="H1406" s="86"/>
      <c r="I1406" s="86"/>
      <c r="J1406" s="82"/>
      <c r="K1406" s="82"/>
      <c r="L1406" s="82"/>
      <c r="M1406" s="82"/>
      <c r="N1406" s="82"/>
      <c r="O1406" s="82"/>
      <c r="P1406" s="82"/>
      <c r="Q1406" s="82"/>
      <c r="R1406" s="82"/>
      <c r="S1406" s="82"/>
      <c r="T1406" s="82"/>
      <c r="U1406" s="82"/>
      <c r="V1406" s="82"/>
      <c r="W1406" s="82"/>
      <c r="X1406" s="82"/>
      <c r="Y1406" s="82"/>
      <c r="Z1406" s="82"/>
      <c r="AA1406" s="82"/>
      <c r="AB1406" s="82"/>
      <c r="AC1406" s="82"/>
      <c r="AD1406" s="82"/>
      <c r="AE1406" s="82"/>
      <c r="AF1406" s="82"/>
      <c r="AG1406" s="82"/>
      <c r="AH1406" s="82"/>
      <c r="AI1406" s="82"/>
      <c r="AJ1406" s="82"/>
      <c r="AK1406" s="82"/>
      <c r="AL1406" s="82"/>
      <c r="AM1406" s="82"/>
      <c r="AN1406" s="82">
        <f>IFERROR(__xludf.DUMMYFUNCTION("""COMPUTED_VALUE"""),0.0)</f>
        <v>0</v>
      </c>
      <c r="AO1406" s="82">
        <f>IFERROR(__xludf.DUMMYFUNCTION("""COMPUTED_VALUE"""),0.0)</f>
        <v>0</v>
      </c>
      <c r="AP1406" s="82">
        <f>IFERROR(__xludf.DUMMYFUNCTION("""COMPUTED_VALUE"""),0.0)</f>
        <v>0</v>
      </c>
      <c r="AQ1406" s="82">
        <f>IFERROR(__xludf.DUMMYFUNCTION("""COMPUTED_VALUE"""),0.0)</f>
        <v>0</v>
      </c>
      <c r="AR1406" s="82">
        <f>IFERROR(__xludf.DUMMYFUNCTION("""COMPUTED_VALUE"""),0.0)</f>
        <v>0</v>
      </c>
      <c r="AS1406" s="82"/>
      <c r="AT1406" s="82">
        <f>IFERROR(__xludf.DUMMYFUNCTION("""COMPUTED_VALUE"""),0.0)</f>
        <v>0</v>
      </c>
      <c r="AU1406" s="82"/>
      <c r="AV1406" s="82"/>
      <c r="AW1406" s="82" t="str">
        <f t="shared" si="1"/>
        <v/>
      </c>
      <c r="AX1406" s="83" t="str">
        <f t="array" ref="AX1406">IFERROR(DGET('SBV Import'!A:G,"SBV",{"RSC ID","Tier";B1406,A1406}))</f>
        <v/>
      </c>
      <c r="AY1406" s="82" t="str">
        <f t="shared" si="2"/>
        <v/>
      </c>
      <c r="AZ1406" s="82"/>
      <c r="BA1406" s="84" t="s">
        <v>152</v>
      </c>
      <c r="BB1406" s="84" t="str">
        <f>IFERROR(__xludf.DUMMYFUNCTION("iferror(if(A1406="""",,E1406&gt;=FILTER(Constants!$F$2:$F$10,Constants!$A$2:$A$10=A1406)))"),"")</f>
        <v/>
      </c>
    </row>
    <row r="1407">
      <c r="A1407" s="89"/>
      <c r="B1407" s="87"/>
      <c r="C1407" s="73"/>
      <c r="D1407" s="73"/>
      <c r="E1407" s="82"/>
      <c r="F1407" s="82"/>
      <c r="G1407" s="86"/>
      <c r="H1407" s="86"/>
      <c r="I1407" s="86"/>
      <c r="J1407" s="82"/>
      <c r="K1407" s="82"/>
      <c r="L1407" s="82"/>
      <c r="M1407" s="82"/>
      <c r="N1407" s="82"/>
      <c r="O1407" s="82"/>
      <c r="P1407" s="82"/>
      <c r="Q1407" s="82"/>
      <c r="R1407" s="82"/>
      <c r="S1407" s="82"/>
      <c r="T1407" s="82"/>
      <c r="U1407" s="82"/>
      <c r="V1407" s="82"/>
      <c r="W1407" s="82"/>
      <c r="X1407" s="82"/>
      <c r="Y1407" s="82"/>
      <c r="Z1407" s="82"/>
      <c r="AA1407" s="82"/>
      <c r="AB1407" s="82"/>
      <c r="AC1407" s="82"/>
      <c r="AD1407" s="82"/>
      <c r="AE1407" s="82"/>
      <c r="AF1407" s="82"/>
      <c r="AG1407" s="82"/>
      <c r="AH1407" s="82"/>
      <c r="AI1407" s="82"/>
      <c r="AJ1407" s="82"/>
      <c r="AK1407" s="82"/>
      <c r="AL1407" s="82"/>
      <c r="AM1407" s="82"/>
      <c r="AN1407" s="82">
        <f>IFERROR(__xludf.DUMMYFUNCTION("""COMPUTED_VALUE"""),0.0)</f>
        <v>0</v>
      </c>
      <c r="AO1407" s="82">
        <f>IFERROR(__xludf.DUMMYFUNCTION("""COMPUTED_VALUE"""),0.0)</f>
        <v>0</v>
      </c>
      <c r="AP1407" s="82">
        <f>IFERROR(__xludf.DUMMYFUNCTION("""COMPUTED_VALUE"""),0.0)</f>
        <v>0</v>
      </c>
      <c r="AQ1407" s="82">
        <f>IFERROR(__xludf.DUMMYFUNCTION("""COMPUTED_VALUE"""),0.0)</f>
        <v>0</v>
      </c>
      <c r="AR1407" s="82">
        <f>IFERROR(__xludf.DUMMYFUNCTION("""COMPUTED_VALUE"""),0.0)</f>
        <v>0</v>
      </c>
      <c r="AS1407" s="82"/>
      <c r="AT1407" s="82">
        <f>IFERROR(__xludf.DUMMYFUNCTION("""COMPUTED_VALUE"""),0.0)</f>
        <v>0</v>
      </c>
      <c r="AU1407" s="82"/>
      <c r="AV1407" s="82"/>
      <c r="AW1407" s="82" t="str">
        <f t="shared" si="1"/>
        <v/>
      </c>
      <c r="AX1407" s="83" t="str">
        <f t="array" ref="AX1407">IFERROR(DGET('SBV Import'!A:G,"SBV",{"RSC ID","Tier";B1407,A1407}))</f>
        <v/>
      </c>
      <c r="AY1407" s="82" t="str">
        <f t="shared" si="2"/>
        <v/>
      </c>
      <c r="AZ1407" s="82"/>
      <c r="BA1407" s="84" t="s">
        <v>152</v>
      </c>
      <c r="BB1407" s="84" t="str">
        <f>IFERROR(__xludf.DUMMYFUNCTION("iferror(if(A1407="""",,E1407&gt;=FILTER(Constants!$F$2:$F$10,Constants!$A$2:$A$10=A1407)))"),"")</f>
        <v/>
      </c>
    </row>
    <row r="1408">
      <c r="A1408" s="89"/>
      <c r="B1408" s="87"/>
      <c r="C1408" s="73"/>
      <c r="D1408" s="73"/>
      <c r="E1408" s="82"/>
      <c r="F1408" s="82"/>
      <c r="G1408" s="86"/>
      <c r="H1408" s="86"/>
      <c r="I1408" s="86"/>
      <c r="J1408" s="82"/>
      <c r="K1408" s="82"/>
      <c r="L1408" s="82"/>
      <c r="M1408" s="82"/>
      <c r="N1408" s="82"/>
      <c r="O1408" s="82"/>
      <c r="P1408" s="82"/>
      <c r="Q1408" s="82"/>
      <c r="R1408" s="82"/>
      <c r="S1408" s="82"/>
      <c r="T1408" s="82"/>
      <c r="U1408" s="82"/>
      <c r="V1408" s="82"/>
      <c r="W1408" s="82"/>
      <c r="X1408" s="82"/>
      <c r="Y1408" s="82"/>
      <c r="Z1408" s="82"/>
      <c r="AA1408" s="82"/>
      <c r="AB1408" s="82"/>
      <c r="AC1408" s="82"/>
      <c r="AD1408" s="82"/>
      <c r="AE1408" s="82"/>
      <c r="AF1408" s="82"/>
      <c r="AG1408" s="82"/>
      <c r="AH1408" s="82"/>
      <c r="AI1408" s="82"/>
      <c r="AJ1408" s="82"/>
      <c r="AK1408" s="82"/>
      <c r="AL1408" s="82"/>
      <c r="AM1408" s="82"/>
      <c r="AN1408" s="82">
        <f>IFERROR(__xludf.DUMMYFUNCTION("""COMPUTED_VALUE"""),0.0)</f>
        <v>0</v>
      </c>
      <c r="AO1408" s="82">
        <f>IFERROR(__xludf.DUMMYFUNCTION("""COMPUTED_VALUE"""),0.0)</f>
        <v>0</v>
      </c>
      <c r="AP1408" s="82">
        <f>IFERROR(__xludf.DUMMYFUNCTION("""COMPUTED_VALUE"""),0.0)</f>
        <v>0</v>
      </c>
      <c r="AQ1408" s="82">
        <f>IFERROR(__xludf.DUMMYFUNCTION("""COMPUTED_VALUE"""),0.0)</f>
        <v>0</v>
      </c>
      <c r="AR1408" s="82">
        <f>IFERROR(__xludf.DUMMYFUNCTION("""COMPUTED_VALUE"""),0.0)</f>
        <v>0</v>
      </c>
      <c r="AS1408" s="82"/>
      <c r="AT1408" s="82">
        <f>IFERROR(__xludf.DUMMYFUNCTION("""COMPUTED_VALUE"""),0.0)</f>
        <v>0</v>
      </c>
      <c r="AU1408" s="82"/>
      <c r="AV1408" s="82"/>
      <c r="AW1408" s="82" t="str">
        <f t="shared" si="1"/>
        <v/>
      </c>
      <c r="AX1408" s="83" t="str">
        <f t="array" ref="AX1408">IFERROR(DGET('SBV Import'!A:G,"SBV",{"RSC ID","Tier";B1408,A1408}))</f>
        <v/>
      </c>
      <c r="AY1408" s="82" t="str">
        <f t="shared" si="2"/>
        <v/>
      </c>
      <c r="AZ1408" s="82"/>
      <c r="BA1408" s="84" t="s">
        <v>152</v>
      </c>
      <c r="BB1408" s="84" t="str">
        <f>IFERROR(__xludf.DUMMYFUNCTION("iferror(if(A1408="""",,E1408&gt;=FILTER(Constants!$F$2:$F$10,Constants!$A$2:$A$10=A1408)))"),"")</f>
        <v/>
      </c>
    </row>
    <row r="1409">
      <c r="A1409" s="89"/>
      <c r="B1409" s="87"/>
      <c r="C1409" s="73"/>
      <c r="D1409" s="73"/>
      <c r="E1409" s="82"/>
      <c r="F1409" s="82"/>
      <c r="G1409" s="86"/>
      <c r="H1409" s="86"/>
      <c r="I1409" s="86"/>
      <c r="J1409" s="82"/>
      <c r="K1409" s="82"/>
      <c r="L1409" s="82"/>
      <c r="M1409" s="82"/>
      <c r="N1409" s="82"/>
      <c r="O1409" s="82"/>
      <c r="P1409" s="82"/>
      <c r="Q1409" s="82"/>
      <c r="R1409" s="82"/>
      <c r="S1409" s="82"/>
      <c r="T1409" s="82"/>
      <c r="U1409" s="82"/>
      <c r="V1409" s="82"/>
      <c r="W1409" s="82"/>
      <c r="X1409" s="82"/>
      <c r="Y1409" s="82"/>
      <c r="Z1409" s="82"/>
      <c r="AA1409" s="82"/>
      <c r="AB1409" s="82"/>
      <c r="AC1409" s="82"/>
      <c r="AD1409" s="82"/>
      <c r="AE1409" s="82"/>
      <c r="AF1409" s="82"/>
      <c r="AG1409" s="82"/>
      <c r="AH1409" s="82"/>
      <c r="AI1409" s="82"/>
      <c r="AJ1409" s="82"/>
      <c r="AK1409" s="82"/>
      <c r="AL1409" s="82"/>
      <c r="AM1409" s="82"/>
      <c r="AN1409" s="82">
        <f>IFERROR(__xludf.DUMMYFUNCTION("""COMPUTED_VALUE"""),0.0)</f>
        <v>0</v>
      </c>
      <c r="AO1409" s="82">
        <f>IFERROR(__xludf.DUMMYFUNCTION("""COMPUTED_VALUE"""),0.0)</f>
        <v>0</v>
      </c>
      <c r="AP1409" s="82">
        <f>IFERROR(__xludf.DUMMYFUNCTION("""COMPUTED_VALUE"""),0.0)</f>
        <v>0</v>
      </c>
      <c r="AQ1409" s="82">
        <f>IFERROR(__xludf.DUMMYFUNCTION("""COMPUTED_VALUE"""),0.0)</f>
        <v>0</v>
      </c>
      <c r="AR1409" s="82">
        <f>IFERROR(__xludf.DUMMYFUNCTION("""COMPUTED_VALUE"""),0.0)</f>
        <v>0</v>
      </c>
      <c r="AS1409" s="82"/>
      <c r="AT1409" s="82">
        <f>IFERROR(__xludf.DUMMYFUNCTION("""COMPUTED_VALUE"""),0.0)</f>
        <v>0</v>
      </c>
      <c r="AU1409" s="82"/>
      <c r="AV1409" s="82"/>
      <c r="AW1409" s="82" t="str">
        <f t="shared" si="1"/>
        <v/>
      </c>
      <c r="AX1409" s="83" t="str">
        <f t="array" ref="AX1409">IFERROR(DGET('SBV Import'!A:G,"SBV",{"RSC ID","Tier";B1409,A1409}))</f>
        <v/>
      </c>
      <c r="AY1409" s="82" t="str">
        <f t="shared" si="2"/>
        <v/>
      </c>
      <c r="AZ1409" s="82"/>
      <c r="BA1409" s="84" t="s">
        <v>152</v>
      </c>
      <c r="BB1409" s="84" t="str">
        <f>IFERROR(__xludf.DUMMYFUNCTION("iferror(if(A1409="""",,E1409&gt;=FILTER(Constants!$F$2:$F$10,Constants!$A$2:$A$10=A1409)))"),"")</f>
        <v/>
      </c>
    </row>
    <row r="1410">
      <c r="A1410" s="89"/>
      <c r="B1410" s="87"/>
      <c r="C1410" s="73"/>
      <c r="D1410" s="73"/>
      <c r="E1410" s="82"/>
      <c r="F1410" s="82"/>
      <c r="G1410" s="86"/>
      <c r="H1410" s="86"/>
      <c r="I1410" s="86"/>
      <c r="J1410" s="82"/>
      <c r="K1410" s="82"/>
      <c r="L1410" s="82"/>
      <c r="M1410" s="82"/>
      <c r="N1410" s="82"/>
      <c r="O1410" s="82"/>
      <c r="P1410" s="82"/>
      <c r="Q1410" s="82"/>
      <c r="R1410" s="82"/>
      <c r="S1410" s="82"/>
      <c r="T1410" s="82"/>
      <c r="U1410" s="82"/>
      <c r="V1410" s="82"/>
      <c r="W1410" s="82"/>
      <c r="X1410" s="82"/>
      <c r="Y1410" s="82"/>
      <c r="Z1410" s="82"/>
      <c r="AA1410" s="82"/>
      <c r="AB1410" s="82"/>
      <c r="AC1410" s="82"/>
      <c r="AD1410" s="82"/>
      <c r="AE1410" s="82"/>
      <c r="AF1410" s="82"/>
      <c r="AG1410" s="82"/>
      <c r="AH1410" s="82"/>
      <c r="AI1410" s="82"/>
      <c r="AJ1410" s="82"/>
      <c r="AK1410" s="82"/>
      <c r="AL1410" s="82"/>
      <c r="AM1410" s="82"/>
      <c r="AN1410" s="82">
        <f>IFERROR(__xludf.DUMMYFUNCTION("""COMPUTED_VALUE"""),0.0)</f>
        <v>0</v>
      </c>
      <c r="AO1410" s="82">
        <f>IFERROR(__xludf.DUMMYFUNCTION("""COMPUTED_VALUE"""),0.0)</f>
        <v>0</v>
      </c>
      <c r="AP1410" s="82">
        <f>IFERROR(__xludf.DUMMYFUNCTION("""COMPUTED_VALUE"""),0.0)</f>
        <v>0</v>
      </c>
      <c r="AQ1410" s="82">
        <f>IFERROR(__xludf.DUMMYFUNCTION("""COMPUTED_VALUE"""),0.0)</f>
        <v>0</v>
      </c>
      <c r="AR1410" s="82">
        <f>IFERROR(__xludf.DUMMYFUNCTION("""COMPUTED_VALUE"""),0.0)</f>
        <v>0</v>
      </c>
      <c r="AS1410" s="82"/>
      <c r="AT1410" s="82">
        <f>IFERROR(__xludf.DUMMYFUNCTION("""COMPUTED_VALUE"""),0.0)</f>
        <v>0</v>
      </c>
      <c r="AU1410" s="82"/>
      <c r="AV1410" s="82"/>
      <c r="AW1410" s="82" t="str">
        <f t="shared" si="1"/>
        <v/>
      </c>
      <c r="AX1410" s="83" t="str">
        <f t="array" ref="AX1410">IFERROR(DGET('SBV Import'!A:G,"SBV",{"RSC ID","Tier";B1410,A1410}))</f>
        <v/>
      </c>
      <c r="AY1410" s="82" t="str">
        <f t="shared" si="2"/>
        <v/>
      </c>
      <c r="AZ1410" s="82"/>
      <c r="BA1410" s="84" t="s">
        <v>152</v>
      </c>
      <c r="BB1410" s="84" t="str">
        <f>IFERROR(__xludf.DUMMYFUNCTION("iferror(if(A1410="""",,E1410&gt;=FILTER(Constants!$F$2:$F$10,Constants!$A$2:$A$10=A1410)))"),"")</f>
        <v/>
      </c>
    </row>
    <row r="1411">
      <c r="A1411" s="89"/>
      <c r="B1411" s="87"/>
      <c r="C1411" s="73"/>
      <c r="D1411" s="73"/>
      <c r="E1411" s="82"/>
      <c r="F1411" s="82"/>
      <c r="G1411" s="86"/>
      <c r="H1411" s="86"/>
      <c r="I1411" s="86"/>
      <c r="J1411" s="82"/>
      <c r="K1411" s="82"/>
      <c r="L1411" s="82"/>
      <c r="M1411" s="82"/>
      <c r="N1411" s="82"/>
      <c r="O1411" s="82"/>
      <c r="P1411" s="82"/>
      <c r="Q1411" s="82"/>
      <c r="R1411" s="82"/>
      <c r="S1411" s="82"/>
      <c r="T1411" s="82"/>
      <c r="U1411" s="82"/>
      <c r="V1411" s="82"/>
      <c r="W1411" s="82"/>
      <c r="X1411" s="82"/>
      <c r="Y1411" s="82"/>
      <c r="Z1411" s="82"/>
      <c r="AA1411" s="82"/>
      <c r="AB1411" s="82"/>
      <c r="AC1411" s="82"/>
      <c r="AD1411" s="82"/>
      <c r="AE1411" s="82"/>
      <c r="AF1411" s="82"/>
      <c r="AG1411" s="82"/>
      <c r="AH1411" s="82"/>
      <c r="AI1411" s="82"/>
      <c r="AJ1411" s="82"/>
      <c r="AK1411" s="82"/>
      <c r="AL1411" s="82"/>
      <c r="AM1411" s="82"/>
      <c r="AN1411" s="82">
        <f>IFERROR(__xludf.DUMMYFUNCTION("""COMPUTED_VALUE"""),0.0)</f>
        <v>0</v>
      </c>
      <c r="AO1411" s="82">
        <f>IFERROR(__xludf.DUMMYFUNCTION("""COMPUTED_VALUE"""),0.0)</f>
        <v>0</v>
      </c>
      <c r="AP1411" s="82">
        <f>IFERROR(__xludf.DUMMYFUNCTION("""COMPUTED_VALUE"""),0.0)</f>
        <v>0</v>
      </c>
      <c r="AQ1411" s="82">
        <f>IFERROR(__xludf.DUMMYFUNCTION("""COMPUTED_VALUE"""),0.0)</f>
        <v>0</v>
      </c>
      <c r="AR1411" s="82">
        <f>IFERROR(__xludf.DUMMYFUNCTION("""COMPUTED_VALUE"""),0.0)</f>
        <v>0</v>
      </c>
      <c r="AS1411" s="82"/>
      <c r="AT1411" s="82">
        <f>IFERROR(__xludf.DUMMYFUNCTION("""COMPUTED_VALUE"""),0.0)</f>
        <v>0</v>
      </c>
      <c r="AU1411" s="82"/>
      <c r="AV1411" s="82"/>
      <c r="AW1411" s="82" t="str">
        <f t="shared" si="1"/>
        <v/>
      </c>
      <c r="AX1411" s="83" t="str">
        <f t="array" ref="AX1411">IFERROR(DGET('SBV Import'!A:G,"SBV",{"RSC ID","Tier";B1411,A1411}))</f>
        <v/>
      </c>
      <c r="AY1411" s="82" t="str">
        <f t="shared" si="2"/>
        <v/>
      </c>
      <c r="AZ1411" s="82"/>
      <c r="BA1411" s="84" t="s">
        <v>152</v>
      </c>
      <c r="BB1411" s="84" t="str">
        <f>IFERROR(__xludf.DUMMYFUNCTION("iferror(if(A1411="""",,E1411&gt;=FILTER(Constants!$F$2:$F$10,Constants!$A$2:$A$10=A1411)))"),"")</f>
        <v/>
      </c>
    </row>
    <row r="1412">
      <c r="A1412" s="89"/>
      <c r="B1412" s="87"/>
      <c r="C1412" s="73"/>
      <c r="D1412" s="73"/>
      <c r="E1412" s="82"/>
      <c r="F1412" s="82"/>
      <c r="G1412" s="86"/>
      <c r="H1412" s="86"/>
      <c r="I1412" s="86"/>
      <c r="J1412" s="82"/>
      <c r="K1412" s="82"/>
      <c r="L1412" s="82"/>
      <c r="M1412" s="82"/>
      <c r="N1412" s="82"/>
      <c r="O1412" s="82"/>
      <c r="P1412" s="82"/>
      <c r="Q1412" s="82"/>
      <c r="R1412" s="82"/>
      <c r="S1412" s="82"/>
      <c r="T1412" s="82"/>
      <c r="U1412" s="82"/>
      <c r="V1412" s="82"/>
      <c r="W1412" s="82"/>
      <c r="X1412" s="82"/>
      <c r="Y1412" s="82"/>
      <c r="Z1412" s="82"/>
      <c r="AA1412" s="82"/>
      <c r="AB1412" s="82"/>
      <c r="AC1412" s="82"/>
      <c r="AD1412" s="82"/>
      <c r="AE1412" s="82"/>
      <c r="AF1412" s="82"/>
      <c r="AG1412" s="82"/>
      <c r="AH1412" s="82"/>
      <c r="AI1412" s="82"/>
      <c r="AJ1412" s="82"/>
      <c r="AK1412" s="82"/>
      <c r="AL1412" s="82"/>
      <c r="AM1412" s="82"/>
      <c r="AN1412" s="82">
        <f>IFERROR(__xludf.DUMMYFUNCTION("""COMPUTED_VALUE"""),0.0)</f>
        <v>0</v>
      </c>
      <c r="AO1412" s="82">
        <f>IFERROR(__xludf.DUMMYFUNCTION("""COMPUTED_VALUE"""),0.0)</f>
        <v>0</v>
      </c>
      <c r="AP1412" s="82">
        <f>IFERROR(__xludf.DUMMYFUNCTION("""COMPUTED_VALUE"""),0.0)</f>
        <v>0</v>
      </c>
      <c r="AQ1412" s="82">
        <f>IFERROR(__xludf.DUMMYFUNCTION("""COMPUTED_VALUE"""),0.0)</f>
        <v>0</v>
      </c>
      <c r="AR1412" s="82">
        <f>IFERROR(__xludf.DUMMYFUNCTION("""COMPUTED_VALUE"""),0.0)</f>
        <v>0</v>
      </c>
      <c r="AS1412" s="82"/>
      <c r="AT1412" s="82">
        <f>IFERROR(__xludf.DUMMYFUNCTION("""COMPUTED_VALUE"""),0.0)</f>
        <v>0</v>
      </c>
      <c r="AU1412" s="82"/>
      <c r="AV1412" s="82"/>
      <c r="AW1412" s="82" t="str">
        <f t="shared" si="1"/>
        <v/>
      </c>
      <c r="AX1412" s="83" t="str">
        <f t="array" ref="AX1412">IFERROR(DGET('SBV Import'!A:G,"SBV",{"RSC ID","Tier";B1412,A1412}))</f>
        <v/>
      </c>
      <c r="AY1412" s="82" t="str">
        <f t="shared" si="2"/>
        <v/>
      </c>
      <c r="AZ1412" s="82"/>
      <c r="BA1412" s="84" t="s">
        <v>152</v>
      </c>
      <c r="BB1412" s="84" t="str">
        <f>IFERROR(__xludf.DUMMYFUNCTION("iferror(if(A1412="""",,E1412&gt;=FILTER(Constants!$F$2:$F$10,Constants!$A$2:$A$10=A1412)))"),"")</f>
        <v/>
      </c>
    </row>
    <row r="1413">
      <c r="A1413" s="89"/>
      <c r="B1413" s="87"/>
      <c r="C1413" s="73"/>
      <c r="D1413" s="73"/>
      <c r="E1413" s="82"/>
      <c r="F1413" s="82"/>
      <c r="G1413" s="86"/>
      <c r="H1413" s="86"/>
      <c r="I1413" s="86"/>
      <c r="J1413" s="82"/>
      <c r="K1413" s="82"/>
      <c r="L1413" s="82"/>
      <c r="M1413" s="82"/>
      <c r="N1413" s="82"/>
      <c r="O1413" s="82"/>
      <c r="P1413" s="82"/>
      <c r="Q1413" s="82"/>
      <c r="R1413" s="82"/>
      <c r="S1413" s="82"/>
      <c r="T1413" s="82"/>
      <c r="U1413" s="82"/>
      <c r="V1413" s="82"/>
      <c r="W1413" s="82"/>
      <c r="X1413" s="82"/>
      <c r="Y1413" s="82"/>
      <c r="Z1413" s="82"/>
      <c r="AA1413" s="82"/>
      <c r="AB1413" s="82"/>
      <c r="AC1413" s="82"/>
      <c r="AD1413" s="82"/>
      <c r="AE1413" s="82"/>
      <c r="AF1413" s="82"/>
      <c r="AG1413" s="82"/>
      <c r="AH1413" s="82"/>
      <c r="AI1413" s="82"/>
      <c r="AJ1413" s="82"/>
      <c r="AK1413" s="82"/>
      <c r="AL1413" s="82"/>
      <c r="AM1413" s="82"/>
      <c r="AN1413" s="82">
        <f>IFERROR(__xludf.DUMMYFUNCTION("""COMPUTED_VALUE"""),0.0)</f>
        <v>0</v>
      </c>
      <c r="AO1413" s="82">
        <f>IFERROR(__xludf.DUMMYFUNCTION("""COMPUTED_VALUE"""),0.0)</f>
        <v>0</v>
      </c>
      <c r="AP1413" s="82">
        <f>IFERROR(__xludf.DUMMYFUNCTION("""COMPUTED_VALUE"""),0.0)</f>
        <v>0</v>
      </c>
      <c r="AQ1413" s="82">
        <f>IFERROR(__xludf.DUMMYFUNCTION("""COMPUTED_VALUE"""),0.0)</f>
        <v>0</v>
      </c>
      <c r="AR1413" s="82">
        <f>IFERROR(__xludf.DUMMYFUNCTION("""COMPUTED_VALUE"""),0.0)</f>
        <v>0</v>
      </c>
      <c r="AS1413" s="82"/>
      <c r="AT1413" s="82">
        <f>IFERROR(__xludf.DUMMYFUNCTION("""COMPUTED_VALUE"""),0.0)</f>
        <v>0</v>
      </c>
      <c r="AU1413" s="82"/>
      <c r="AV1413" s="82"/>
      <c r="AW1413" s="82" t="str">
        <f t="shared" si="1"/>
        <v/>
      </c>
      <c r="AX1413" s="83" t="str">
        <f t="array" ref="AX1413">IFERROR(DGET('SBV Import'!A:G,"SBV",{"RSC ID","Tier";B1413,A1413}))</f>
        <v/>
      </c>
      <c r="AY1413" s="82" t="str">
        <f t="shared" si="2"/>
        <v/>
      </c>
      <c r="AZ1413" s="82"/>
      <c r="BA1413" s="84" t="s">
        <v>152</v>
      </c>
      <c r="BB1413" s="84" t="str">
        <f>IFERROR(__xludf.DUMMYFUNCTION("iferror(if(A1413="""",,E1413&gt;=FILTER(Constants!$F$2:$F$10,Constants!$A$2:$A$10=A1413)))"),"")</f>
        <v/>
      </c>
    </row>
    <row r="1414">
      <c r="A1414" s="89"/>
      <c r="B1414" s="87"/>
      <c r="C1414" s="73"/>
      <c r="D1414" s="73"/>
      <c r="E1414" s="82"/>
      <c r="F1414" s="82"/>
      <c r="G1414" s="86"/>
      <c r="H1414" s="86"/>
      <c r="I1414" s="86"/>
      <c r="J1414" s="82"/>
      <c r="K1414" s="82"/>
      <c r="L1414" s="82"/>
      <c r="M1414" s="82"/>
      <c r="N1414" s="82"/>
      <c r="O1414" s="82"/>
      <c r="P1414" s="82"/>
      <c r="Q1414" s="82"/>
      <c r="R1414" s="82"/>
      <c r="S1414" s="82"/>
      <c r="T1414" s="82"/>
      <c r="U1414" s="82"/>
      <c r="V1414" s="82"/>
      <c r="W1414" s="82"/>
      <c r="X1414" s="82"/>
      <c r="Y1414" s="82"/>
      <c r="Z1414" s="82"/>
      <c r="AA1414" s="82"/>
      <c r="AB1414" s="82"/>
      <c r="AC1414" s="82"/>
      <c r="AD1414" s="82"/>
      <c r="AE1414" s="82"/>
      <c r="AF1414" s="82"/>
      <c r="AG1414" s="82"/>
      <c r="AH1414" s="82"/>
      <c r="AI1414" s="82"/>
      <c r="AJ1414" s="82"/>
      <c r="AK1414" s="82"/>
      <c r="AL1414" s="82"/>
      <c r="AM1414" s="82"/>
      <c r="AN1414" s="82">
        <f>IFERROR(__xludf.DUMMYFUNCTION("""COMPUTED_VALUE"""),0.0)</f>
        <v>0</v>
      </c>
      <c r="AO1414" s="82">
        <f>IFERROR(__xludf.DUMMYFUNCTION("""COMPUTED_VALUE"""),0.0)</f>
        <v>0</v>
      </c>
      <c r="AP1414" s="82">
        <f>IFERROR(__xludf.DUMMYFUNCTION("""COMPUTED_VALUE"""),0.0)</f>
        <v>0</v>
      </c>
      <c r="AQ1414" s="82">
        <f>IFERROR(__xludf.DUMMYFUNCTION("""COMPUTED_VALUE"""),0.0)</f>
        <v>0</v>
      </c>
      <c r="AR1414" s="82">
        <f>IFERROR(__xludf.DUMMYFUNCTION("""COMPUTED_VALUE"""),0.0)</f>
        <v>0</v>
      </c>
      <c r="AS1414" s="82"/>
      <c r="AT1414" s="82">
        <f>IFERROR(__xludf.DUMMYFUNCTION("""COMPUTED_VALUE"""),0.0)</f>
        <v>0</v>
      </c>
      <c r="AU1414" s="82"/>
      <c r="AV1414" s="82"/>
      <c r="AW1414" s="82" t="str">
        <f t="shared" si="1"/>
        <v/>
      </c>
      <c r="AX1414" s="83" t="str">
        <f t="array" ref="AX1414">IFERROR(DGET('SBV Import'!A:G,"SBV",{"RSC ID","Tier";B1414,A1414}))</f>
        <v/>
      </c>
      <c r="AY1414" s="82" t="str">
        <f t="shared" si="2"/>
        <v/>
      </c>
      <c r="AZ1414" s="82"/>
      <c r="BA1414" s="84" t="s">
        <v>152</v>
      </c>
      <c r="BB1414" s="84" t="str">
        <f>IFERROR(__xludf.DUMMYFUNCTION("iferror(if(A1414="""",,E1414&gt;=FILTER(Constants!$F$2:$F$10,Constants!$A$2:$A$10=A1414)))"),"")</f>
        <v/>
      </c>
    </row>
    <row r="1415">
      <c r="A1415" s="89"/>
      <c r="B1415" s="87"/>
      <c r="C1415" s="73"/>
      <c r="D1415" s="73"/>
      <c r="E1415" s="82"/>
      <c r="F1415" s="82"/>
      <c r="G1415" s="86"/>
      <c r="H1415" s="86"/>
      <c r="I1415" s="86"/>
      <c r="J1415" s="82"/>
      <c r="K1415" s="82"/>
      <c r="L1415" s="82"/>
      <c r="M1415" s="82"/>
      <c r="N1415" s="82"/>
      <c r="O1415" s="82"/>
      <c r="P1415" s="82"/>
      <c r="Q1415" s="82"/>
      <c r="R1415" s="82"/>
      <c r="S1415" s="82"/>
      <c r="T1415" s="82"/>
      <c r="U1415" s="82"/>
      <c r="V1415" s="82"/>
      <c r="W1415" s="82"/>
      <c r="X1415" s="82"/>
      <c r="Y1415" s="82"/>
      <c r="Z1415" s="82"/>
      <c r="AA1415" s="82"/>
      <c r="AB1415" s="82"/>
      <c r="AC1415" s="82"/>
      <c r="AD1415" s="82"/>
      <c r="AE1415" s="82"/>
      <c r="AF1415" s="82"/>
      <c r="AG1415" s="82"/>
      <c r="AH1415" s="82"/>
      <c r="AI1415" s="82"/>
      <c r="AJ1415" s="82"/>
      <c r="AK1415" s="82"/>
      <c r="AL1415" s="82"/>
      <c r="AM1415" s="82"/>
      <c r="AN1415" s="82">
        <f>IFERROR(__xludf.DUMMYFUNCTION("""COMPUTED_VALUE"""),0.0)</f>
        <v>0</v>
      </c>
      <c r="AO1415" s="82">
        <f>IFERROR(__xludf.DUMMYFUNCTION("""COMPUTED_VALUE"""),0.0)</f>
        <v>0</v>
      </c>
      <c r="AP1415" s="82">
        <f>IFERROR(__xludf.DUMMYFUNCTION("""COMPUTED_VALUE"""),0.0)</f>
        <v>0</v>
      </c>
      <c r="AQ1415" s="82">
        <f>IFERROR(__xludf.DUMMYFUNCTION("""COMPUTED_VALUE"""),0.0)</f>
        <v>0</v>
      </c>
      <c r="AR1415" s="82">
        <f>IFERROR(__xludf.DUMMYFUNCTION("""COMPUTED_VALUE"""),0.0)</f>
        <v>0</v>
      </c>
      <c r="AS1415" s="82"/>
      <c r="AT1415" s="82">
        <f>IFERROR(__xludf.DUMMYFUNCTION("""COMPUTED_VALUE"""),0.0)</f>
        <v>0</v>
      </c>
      <c r="AU1415" s="82"/>
      <c r="AV1415" s="82"/>
      <c r="AW1415" s="82" t="str">
        <f t="shared" si="1"/>
        <v/>
      </c>
      <c r="AX1415" s="83" t="str">
        <f t="array" ref="AX1415">IFERROR(DGET('SBV Import'!A:G,"SBV",{"RSC ID","Tier";B1415,A1415}))</f>
        <v/>
      </c>
      <c r="AY1415" s="82" t="str">
        <f t="shared" si="2"/>
        <v/>
      </c>
      <c r="AZ1415" s="82"/>
      <c r="BA1415" s="84" t="s">
        <v>152</v>
      </c>
      <c r="BB1415" s="84" t="str">
        <f>IFERROR(__xludf.DUMMYFUNCTION("iferror(if(A1415="""",,E1415&gt;=FILTER(Constants!$F$2:$F$10,Constants!$A$2:$A$10=A1415)))"),"")</f>
        <v/>
      </c>
    </row>
    <row r="1416">
      <c r="A1416" s="89"/>
      <c r="B1416" s="87"/>
      <c r="C1416" s="73"/>
      <c r="D1416" s="73"/>
      <c r="E1416" s="82"/>
      <c r="F1416" s="82"/>
      <c r="G1416" s="86"/>
      <c r="H1416" s="86"/>
      <c r="I1416" s="86"/>
      <c r="J1416" s="82"/>
      <c r="K1416" s="82"/>
      <c r="L1416" s="82"/>
      <c r="M1416" s="82"/>
      <c r="N1416" s="82"/>
      <c r="O1416" s="82"/>
      <c r="P1416" s="82"/>
      <c r="Q1416" s="82"/>
      <c r="R1416" s="82"/>
      <c r="S1416" s="82"/>
      <c r="T1416" s="82"/>
      <c r="U1416" s="82"/>
      <c r="V1416" s="82"/>
      <c r="W1416" s="82"/>
      <c r="X1416" s="82"/>
      <c r="Y1416" s="82"/>
      <c r="Z1416" s="82"/>
      <c r="AA1416" s="82"/>
      <c r="AB1416" s="82"/>
      <c r="AC1416" s="82"/>
      <c r="AD1416" s="82"/>
      <c r="AE1416" s="82"/>
      <c r="AF1416" s="82"/>
      <c r="AG1416" s="82"/>
      <c r="AH1416" s="82"/>
      <c r="AI1416" s="82"/>
      <c r="AJ1416" s="82"/>
      <c r="AK1416" s="82"/>
      <c r="AL1416" s="82"/>
      <c r="AM1416" s="82"/>
      <c r="AN1416" s="82">
        <f>IFERROR(__xludf.DUMMYFUNCTION("""COMPUTED_VALUE"""),0.0)</f>
        <v>0</v>
      </c>
      <c r="AO1416" s="82">
        <f>IFERROR(__xludf.DUMMYFUNCTION("""COMPUTED_VALUE"""),0.0)</f>
        <v>0</v>
      </c>
      <c r="AP1416" s="82">
        <f>IFERROR(__xludf.DUMMYFUNCTION("""COMPUTED_VALUE"""),0.0)</f>
        <v>0</v>
      </c>
      <c r="AQ1416" s="82">
        <f>IFERROR(__xludf.DUMMYFUNCTION("""COMPUTED_VALUE"""),0.0)</f>
        <v>0</v>
      </c>
      <c r="AR1416" s="82">
        <f>IFERROR(__xludf.DUMMYFUNCTION("""COMPUTED_VALUE"""),0.0)</f>
        <v>0</v>
      </c>
      <c r="AS1416" s="82"/>
      <c r="AT1416" s="82">
        <f>IFERROR(__xludf.DUMMYFUNCTION("""COMPUTED_VALUE"""),0.0)</f>
        <v>0</v>
      </c>
      <c r="AU1416" s="82"/>
      <c r="AV1416" s="82"/>
      <c r="AW1416" s="82" t="str">
        <f t="shared" si="1"/>
        <v/>
      </c>
      <c r="AX1416" s="83" t="str">
        <f t="array" ref="AX1416">IFERROR(DGET('SBV Import'!A:G,"SBV",{"RSC ID","Tier";B1416,A1416}))</f>
        <v/>
      </c>
      <c r="AY1416" s="82" t="str">
        <f t="shared" si="2"/>
        <v/>
      </c>
      <c r="AZ1416" s="82"/>
      <c r="BA1416" s="84" t="s">
        <v>152</v>
      </c>
      <c r="BB1416" s="84" t="str">
        <f>IFERROR(__xludf.DUMMYFUNCTION("iferror(if(A1416="""",,E1416&gt;=FILTER(Constants!$F$2:$F$10,Constants!$A$2:$A$10=A1416)))"),"")</f>
        <v/>
      </c>
    </row>
    <row r="1417">
      <c r="A1417" s="89"/>
      <c r="B1417" s="87"/>
      <c r="C1417" s="73"/>
      <c r="D1417" s="73"/>
      <c r="E1417" s="82"/>
      <c r="F1417" s="82"/>
      <c r="G1417" s="86"/>
      <c r="H1417" s="86"/>
      <c r="I1417" s="86"/>
      <c r="J1417" s="82"/>
      <c r="K1417" s="82"/>
      <c r="L1417" s="82"/>
      <c r="M1417" s="82"/>
      <c r="N1417" s="82"/>
      <c r="O1417" s="82"/>
      <c r="P1417" s="82"/>
      <c r="Q1417" s="82"/>
      <c r="R1417" s="82"/>
      <c r="S1417" s="82"/>
      <c r="T1417" s="82"/>
      <c r="U1417" s="82"/>
      <c r="V1417" s="82"/>
      <c r="W1417" s="82"/>
      <c r="X1417" s="82"/>
      <c r="Y1417" s="82"/>
      <c r="Z1417" s="82"/>
      <c r="AA1417" s="82"/>
      <c r="AB1417" s="82"/>
      <c r="AC1417" s="82"/>
      <c r="AD1417" s="82"/>
      <c r="AE1417" s="82"/>
      <c r="AF1417" s="82"/>
      <c r="AG1417" s="82"/>
      <c r="AH1417" s="82"/>
      <c r="AI1417" s="82"/>
      <c r="AJ1417" s="82"/>
      <c r="AK1417" s="82"/>
      <c r="AL1417" s="82"/>
      <c r="AM1417" s="82"/>
      <c r="AN1417" s="82">
        <f>IFERROR(__xludf.DUMMYFUNCTION("""COMPUTED_VALUE"""),0.0)</f>
        <v>0</v>
      </c>
      <c r="AO1417" s="82">
        <f>IFERROR(__xludf.DUMMYFUNCTION("""COMPUTED_VALUE"""),0.0)</f>
        <v>0</v>
      </c>
      <c r="AP1417" s="82">
        <f>IFERROR(__xludf.DUMMYFUNCTION("""COMPUTED_VALUE"""),0.0)</f>
        <v>0</v>
      </c>
      <c r="AQ1417" s="82">
        <f>IFERROR(__xludf.DUMMYFUNCTION("""COMPUTED_VALUE"""),0.0)</f>
        <v>0</v>
      </c>
      <c r="AR1417" s="82">
        <f>IFERROR(__xludf.DUMMYFUNCTION("""COMPUTED_VALUE"""),0.0)</f>
        <v>0</v>
      </c>
      <c r="AS1417" s="82"/>
      <c r="AT1417" s="82">
        <f>IFERROR(__xludf.DUMMYFUNCTION("""COMPUTED_VALUE"""),0.0)</f>
        <v>0</v>
      </c>
      <c r="AU1417" s="82"/>
      <c r="AV1417" s="82"/>
      <c r="AW1417" s="82" t="str">
        <f t="shared" si="1"/>
        <v/>
      </c>
      <c r="AX1417" s="83" t="str">
        <f t="array" ref="AX1417">IFERROR(DGET('SBV Import'!A:G,"SBV",{"RSC ID","Tier";B1417,A1417}))</f>
        <v/>
      </c>
      <c r="AY1417" s="82" t="str">
        <f t="shared" si="2"/>
        <v/>
      </c>
      <c r="AZ1417" s="82"/>
      <c r="BA1417" s="84" t="s">
        <v>152</v>
      </c>
      <c r="BB1417" s="84" t="str">
        <f>IFERROR(__xludf.DUMMYFUNCTION("iferror(if(A1417="""",,E1417&gt;=FILTER(Constants!$F$2:$F$10,Constants!$A$2:$A$10=A1417)))"),"")</f>
        <v/>
      </c>
    </row>
    <row r="1418">
      <c r="A1418" s="89"/>
      <c r="B1418" s="87"/>
      <c r="C1418" s="73"/>
      <c r="D1418" s="73"/>
      <c r="E1418" s="82"/>
      <c r="F1418" s="82"/>
      <c r="G1418" s="86"/>
      <c r="H1418" s="86"/>
      <c r="I1418" s="86"/>
      <c r="J1418" s="82"/>
      <c r="K1418" s="82"/>
      <c r="L1418" s="82"/>
      <c r="M1418" s="82"/>
      <c r="N1418" s="82"/>
      <c r="O1418" s="82"/>
      <c r="P1418" s="82"/>
      <c r="Q1418" s="82"/>
      <c r="R1418" s="82"/>
      <c r="S1418" s="82"/>
      <c r="T1418" s="82"/>
      <c r="U1418" s="82"/>
      <c r="V1418" s="82"/>
      <c r="W1418" s="82"/>
      <c r="X1418" s="82"/>
      <c r="Y1418" s="82"/>
      <c r="Z1418" s="82"/>
      <c r="AA1418" s="82"/>
      <c r="AB1418" s="82"/>
      <c r="AC1418" s="82"/>
      <c r="AD1418" s="82"/>
      <c r="AE1418" s="82"/>
      <c r="AF1418" s="82"/>
      <c r="AG1418" s="82"/>
      <c r="AH1418" s="82"/>
      <c r="AI1418" s="82"/>
      <c r="AJ1418" s="82"/>
      <c r="AK1418" s="82"/>
      <c r="AL1418" s="82"/>
      <c r="AM1418" s="82"/>
      <c r="AN1418" s="82">
        <f>IFERROR(__xludf.DUMMYFUNCTION("""COMPUTED_VALUE"""),0.0)</f>
        <v>0</v>
      </c>
      <c r="AO1418" s="82">
        <f>IFERROR(__xludf.DUMMYFUNCTION("""COMPUTED_VALUE"""),0.0)</f>
        <v>0</v>
      </c>
      <c r="AP1418" s="82">
        <f>IFERROR(__xludf.DUMMYFUNCTION("""COMPUTED_VALUE"""),0.0)</f>
        <v>0</v>
      </c>
      <c r="AQ1418" s="82">
        <f>IFERROR(__xludf.DUMMYFUNCTION("""COMPUTED_VALUE"""),0.0)</f>
        <v>0</v>
      </c>
      <c r="AR1418" s="82">
        <f>IFERROR(__xludf.DUMMYFUNCTION("""COMPUTED_VALUE"""),0.0)</f>
        <v>0</v>
      </c>
      <c r="AS1418" s="82"/>
      <c r="AT1418" s="82">
        <f>IFERROR(__xludf.DUMMYFUNCTION("""COMPUTED_VALUE"""),0.0)</f>
        <v>0</v>
      </c>
      <c r="AU1418" s="82"/>
      <c r="AV1418" s="82"/>
      <c r="AW1418" s="82" t="str">
        <f t="shared" si="1"/>
        <v/>
      </c>
      <c r="AX1418" s="83" t="str">
        <f t="array" ref="AX1418">IFERROR(DGET('SBV Import'!A:G,"SBV",{"RSC ID","Tier";B1418,A1418}))</f>
        <v/>
      </c>
      <c r="AY1418" s="82" t="str">
        <f t="shared" si="2"/>
        <v/>
      </c>
      <c r="AZ1418" s="82"/>
      <c r="BA1418" s="84" t="s">
        <v>152</v>
      </c>
      <c r="BB1418" s="84" t="str">
        <f>IFERROR(__xludf.DUMMYFUNCTION("iferror(if(A1418="""",,E1418&gt;=FILTER(Constants!$F$2:$F$10,Constants!$A$2:$A$10=A1418)))"),"")</f>
        <v/>
      </c>
    </row>
    <row r="1419">
      <c r="A1419" s="89"/>
      <c r="B1419" s="87"/>
      <c r="C1419" s="73"/>
      <c r="D1419" s="73"/>
      <c r="E1419" s="82"/>
      <c r="F1419" s="82"/>
      <c r="G1419" s="86"/>
      <c r="H1419" s="86"/>
      <c r="I1419" s="86"/>
      <c r="J1419" s="82"/>
      <c r="K1419" s="82"/>
      <c r="L1419" s="82"/>
      <c r="M1419" s="82"/>
      <c r="N1419" s="82"/>
      <c r="O1419" s="82"/>
      <c r="P1419" s="82"/>
      <c r="Q1419" s="82"/>
      <c r="R1419" s="82"/>
      <c r="S1419" s="82"/>
      <c r="T1419" s="82"/>
      <c r="U1419" s="82"/>
      <c r="V1419" s="82"/>
      <c r="W1419" s="82"/>
      <c r="X1419" s="82"/>
      <c r="Y1419" s="82"/>
      <c r="Z1419" s="82"/>
      <c r="AA1419" s="82"/>
      <c r="AB1419" s="82"/>
      <c r="AC1419" s="82"/>
      <c r="AD1419" s="82"/>
      <c r="AE1419" s="82"/>
      <c r="AF1419" s="82"/>
      <c r="AG1419" s="82"/>
      <c r="AH1419" s="82"/>
      <c r="AI1419" s="82"/>
      <c r="AJ1419" s="82"/>
      <c r="AK1419" s="82"/>
      <c r="AL1419" s="82"/>
      <c r="AM1419" s="82"/>
      <c r="AN1419" s="82">
        <f>IFERROR(__xludf.DUMMYFUNCTION("""COMPUTED_VALUE"""),0.0)</f>
        <v>0</v>
      </c>
      <c r="AO1419" s="82">
        <f>IFERROR(__xludf.DUMMYFUNCTION("""COMPUTED_VALUE"""),0.0)</f>
        <v>0</v>
      </c>
      <c r="AP1419" s="82">
        <f>IFERROR(__xludf.DUMMYFUNCTION("""COMPUTED_VALUE"""),0.0)</f>
        <v>0</v>
      </c>
      <c r="AQ1419" s="82">
        <f>IFERROR(__xludf.DUMMYFUNCTION("""COMPUTED_VALUE"""),0.0)</f>
        <v>0</v>
      </c>
      <c r="AR1419" s="82">
        <f>IFERROR(__xludf.DUMMYFUNCTION("""COMPUTED_VALUE"""),0.0)</f>
        <v>0</v>
      </c>
      <c r="AS1419" s="82"/>
      <c r="AT1419" s="82">
        <f>IFERROR(__xludf.DUMMYFUNCTION("""COMPUTED_VALUE"""),0.0)</f>
        <v>0</v>
      </c>
      <c r="AU1419" s="82"/>
      <c r="AV1419" s="82"/>
      <c r="AW1419" s="82" t="str">
        <f t="shared" si="1"/>
        <v/>
      </c>
      <c r="AX1419" s="83" t="str">
        <f t="array" ref="AX1419">IFERROR(DGET('SBV Import'!A:G,"SBV",{"RSC ID","Tier";B1419,A1419}))</f>
        <v/>
      </c>
      <c r="AY1419" s="82" t="str">
        <f t="shared" si="2"/>
        <v/>
      </c>
      <c r="AZ1419" s="82"/>
      <c r="BA1419" s="84" t="s">
        <v>152</v>
      </c>
      <c r="BB1419" s="84" t="str">
        <f>IFERROR(__xludf.DUMMYFUNCTION("iferror(if(A1419="""",,E1419&gt;=FILTER(Constants!$F$2:$F$10,Constants!$A$2:$A$10=A1419)))"),"")</f>
        <v/>
      </c>
    </row>
    <row r="1420">
      <c r="A1420" s="89"/>
      <c r="B1420" s="87"/>
      <c r="C1420" s="73"/>
      <c r="D1420" s="73"/>
      <c r="E1420" s="82"/>
      <c r="F1420" s="82"/>
      <c r="G1420" s="86"/>
      <c r="H1420" s="86"/>
      <c r="I1420" s="86"/>
      <c r="J1420" s="82"/>
      <c r="K1420" s="82"/>
      <c r="L1420" s="82"/>
      <c r="M1420" s="82"/>
      <c r="N1420" s="82"/>
      <c r="O1420" s="82"/>
      <c r="P1420" s="82"/>
      <c r="Q1420" s="82"/>
      <c r="R1420" s="82"/>
      <c r="S1420" s="82"/>
      <c r="T1420" s="82"/>
      <c r="U1420" s="82"/>
      <c r="V1420" s="82"/>
      <c r="W1420" s="82"/>
      <c r="X1420" s="82"/>
      <c r="Y1420" s="82"/>
      <c r="Z1420" s="82"/>
      <c r="AA1420" s="82"/>
      <c r="AB1420" s="82"/>
      <c r="AC1420" s="82"/>
      <c r="AD1420" s="82"/>
      <c r="AE1420" s="82"/>
      <c r="AF1420" s="82"/>
      <c r="AG1420" s="82"/>
      <c r="AH1420" s="82"/>
      <c r="AI1420" s="82"/>
      <c r="AJ1420" s="82"/>
      <c r="AK1420" s="82"/>
      <c r="AL1420" s="82"/>
      <c r="AM1420" s="82"/>
      <c r="AN1420" s="82">
        <f>IFERROR(__xludf.DUMMYFUNCTION("""COMPUTED_VALUE"""),0.0)</f>
        <v>0</v>
      </c>
      <c r="AO1420" s="82">
        <f>IFERROR(__xludf.DUMMYFUNCTION("""COMPUTED_VALUE"""),0.0)</f>
        <v>0</v>
      </c>
      <c r="AP1420" s="82">
        <f>IFERROR(__xludf.DUMMYFUNCTION("""COMPUTED_VALUE"""),0.0)</f>
        <v>0</v>
      </c>
      <c r="AQ1420" s="82">
        <f>IFERROR(__xludf.DUMMYFUNCTION("""COMPUTED_VALUE"""),0.0)</f>
        <v>0</v>
      </c>
      <c r="AR1420" s="82">
        <f>IFERROR(__xludf.DUMMYFUNCTION("""COMPUTED_VALUE"""),0.0)</f>
        <v>0</v>
      </c>
      <c r="AS1420" s="82"/>
      <c r="AT1420" s="82">
        <f>IFERROR(__xludf.DUMMYFUNCTION("""COMPUTED_VALUE"""),0.0)</f>
        <v>0</v>
      </c>
      <c r="AU1420" s="82"/>
      <c r="AV1420" s="82"/>
      <c r="AW1420" s="82" t="str">
        <f t="shared" si="1"/>
        <v/>
      </c>
      <c r="AX1420" s="83" t="str">
        <f t="array" ref="AX1420">IFERROR(DGET('SBV Import'!A:G,"SBV",{"RSC ID","Tier";B1420,A1420}))</f>
        <v/>
      </c>
      <c r="AY1420" s="82" t="str">
        <f t="shared" si="2"/>
        <v/>
      </c>
      <c r="AZ1420" s="82"/>
      <c r="BA1420" s="84" t="s">
        <v>152</v>
      </c>
      <c r="BB1420" s="84" t="str">
        <f>IFERROR(__xludf.DUMMYFUNCTION("iferror(if(A1420="""",,E1420&gt;=FILTER(Constants!$F$2:$F$10,Constants!$A$2:$A$10=A1420)))"),"")</f>
        <v/>
      </c>
    </row>
    <row r="1421">
      <c r="A1421" s="89"/>
      <c r="B1421" s="87"/>
      <c r="C1421" s="73"/>
      <c r="D1421" s="73"/>
      <c r="E1421" s="82"/>
      <c r="F1421" s="82"/>
      <c r="G1421" s="86"/>
      <c r="H1421" s="86"/>
      <c r="I1421" s="86"/>
      <c r="J1421" s="82"/>
      <c r="K1421" s="82"/>
      <c r="L1421" s="82"/>
      <c r="M1421" s="82"/>
      <c r="N1421" s="82"/>
      <c r="O1421" s="82"/>
      <c r="P1421" s="82"/>
      <c r="Q1421" s="82"/>
      <c r="R1421" s="82"/>
      <c r="S1421" s="82"/>
      <c r="T1421" s="82"/>
      <c r="U1421" s="82"/>
      <c r="V1421" s="82"/>
      <c r="W1421" s="82"/>
      <c r="X1421" s="82"/>
      <c r="Y1421" s="82"/>
      <c r="Z1421" s="82"/>
      <c r="AA1421" s="82"/>
      <c r="AB1421" s="82"/>
      <c r="AC1421" s="82"/>
      <c r="AD1421" s="82"/>
      <c r="AE1421" s="82"/>
      <c r="AF1421" s="82"/>
      <c r="AG1421" s="82"/>
      <c r="AH1421" s="82"/>
      <c r="AI1421" s="82"/>
      <c r="AJ1421" s="82"/>
      <c r="AK1421" s="82"/>
      <c r="AL1421" s="82"/>
      <c r="AM1421" s="82"/>
      <c r="AN1421" s="82">
        <f>IFERROR(__xludf.DUMMYFUNCTION("""COMPUTED_VALUE"""),0.0)</f>
        <v>0</v>
      </c>
      <c r="AO1421" s="82">
        <f>IFERROR(__xludf.DUMMYFUNCTION("""COMPUTED_VALUE"""),0.0)</f>
        <v>0</v>
      </c>
      <c r="AP1421" s="82">
        <f>IFERROR(__xludf.DUMMYFUNCTION("""COMPUTED_VALUE"""),0.0)</f>
        <v>0</v>
      </c>
      <c r="AQ1421" s="82">
        <f>IFERROR(__xludf.DUMMYFUNCTION("""COMPUTED_VALUE"""),0.0)</f>
        <v>0</v>
      </c>
      <c r="AR1421" s="82">
        <f>IFERROR(__xludf.DUMMYFUNCTION("""COMPUTED_VALUE"""),0.0)</f>
        <v>0</v>
      </c>
      <c r="AS1421" s="82"/>
      <c r="AT1421" s="82">
        <f>IFERROR(__xludf.DUMMYFUNCTION("""COMPUTED_VALUE"""),0.0)</f>
        <v>0</v>
      </c>
      <c r="AU1421" s="82"/>
      <c r="AV1421" s="82"/>
      <c r="AW1421" s="82" t="str">
        <f t="shared" si="1"/>
        <v/>
      </c>
      <c r="AX1421" s="83" t="str">
        <f t="array" ref="AX1421">IFERROR(DGET('SBV Import'!A:G,"SBV",{"RSC ID","Tier";B1421,A1421}))</f>
        <v/>
      </c>
      <c r="AY1421" s="82" t="str">
        <f t="shared" si="2"/>
        <v/>
      </c>
      <c r="AZ1421" s="82"/>
      <c r="BA1421" s="84" t="s">
        <v>152</v>
      </c>
      <c r="BB1421" s="84" t="str">
        <f>IFERROR(__xludf.DUMMYFUNCTION("iferror(if(A1421="""",,E1421&gt;=FILTER(Constants!$F$2:$F$10,Constants!$A$2:$A$10=A1421)))"),"")</f>
        <v/>
      </c>
    </row>
    <row r="1422">
      <c r="A1422" s="89"/>
      <c r="B1422" s="87"/>
      <c r="C1422" s="73"/>
      <c r="D1422" s="73"/>
      <c r="E1422" s="82"/>
      <c r="F1422" s="82"/>
      <c r="G1422" s="86"/>
      <c r="H1422" s="86"/>
      <c r="I1422" s="86"/>
      <c r="J1422" s="82"/>
      <c r="K1422" s="82"/>
      <c r="L1422" s="82"/>
      <c r="M1422" s="82"/>
      <c r="N1422" s="82"/>
      <c r="O1422" s="82"/>
      <c r="P1422" s="82"/>
      <c r="Q1422" s="82"/>
      <c r="R1422" s="82"/>
      <c r="S1422" s="82"/>
      <c r="T1422" s="82"/>
      <c r="U1422" s="82"/>
      <c r="V1422" s="82"/>
      <c r="W1422" s="82"/>
      <c r="X1422" s="82"/>
      <c r="Y1422" s="82"/>
      <c r="Z1422" s="82"/>
      <c r="AA1422" s="82"/>
      <c r="AB1422" s="82"/>
      <c r="AC1422" s="82"/>
      <c r="AD1422" s="82"/>
      <c r="AE1422" s="82"/>
      <c r="AF1422" s="82"/>
      <c r="AG1422" s="82"/>
      <c r="AH1422" s="82"/>
      <c r="AI1422" s="82"/>
      <c r="AJ1422" s="82"/>
      <c r="AK1422" s="82"/>
      <c r="AL1422" s="82"/>
      <c r="AM1422" s="82"/>
      <c r="AN1422" s="82">
        <f>IFERROR(__xludf.DUMMYFUNCTION("""COMPUTED_VALUE"""),0.0)</f>
        <v>0</v>
      </c>
      <c r="AO1422" s="82">
        <f>IFERROR(__xludf.DUMMYFUNCTION("""COMPUTED_VALUE"""),0.0)</f>
        <v>0</v>
      </c>
      <c r="AP1422" s="82">
        <f>IFERROR(__xludf.DUMMYFUNCTION("""COMPUTED_VALUE"""),0.0)</f>
        <v>0</v>
      </c>
      <c r="AQ1422" s="82">
        <f>IFERROR(__xludf.DUMMYFUNCTION("""COMPUTED_VALUE"""),0.0)</f>
        <v>0</v>
      </c>
      <c r="AR1422" s="82">
        <f>IFERROR(__xludf.DUMMYFUNCTION("""COMPUTED_VALUE"""),0.0)</f>
        <v>0</v>
      </c>
      <c r="AS1422" s="82"/>
      <c r="AT1422" s="82">
        <f>IFERROR(__xludf.DUMMYFUNCTION("""COMPUTED_VALUE"""),0.0)</f>
        <v>0</v>
      </c>
      <c r="AU1422" s="82"/>
      <c r="AV1422" s="82"/>
      <c r="AW1422" s="82" t="str">
        <f t="shared" si="1"/>
        <v/>
      </c>
      <c r="AX1422" s="83" t="str">
        <f t="array" ref="AX1422">IFERROR(DGET('SBV Import'!A:G,"SBV",{"RSC ID","Tier";B1422,A1422}))</f>
        <v/>
      </c>
      <c r="AY1422" s="82" t="str">
        <f t="shared" si="2"/>
        <v/>
      </c>
      <c r="AZ1422" s="82"/>
      <c r="BA1422" s="84" t="s">
        <v>152</v>
      </c>
      <c r="BB1422" s="84" t="str">
        <f>IFERROR(__xludf.DUMMYFUNCTION("iferror(if(A1422="""",,E1422&gt;=FILTER(Constants!$F$2:$F$10,Constants!$A$2:$A$10=A1422)))"),"")</f>
        <v/>
      </c>
    </row>
    <row r="1423">
      <c r="A1423" s="89"/>
      <c r="B1423" s="87"/>
      <c r="C1423" s="73"/>
      <c r="D1423" s="73"/>
      <c r="E1423" s="82"/>
      <c r="F1423" s="82"/>
      <c r="G1423" s="86"/>
      <c r="H1423" s="86"/>
      <c r="I1423" s="86"/>
      <c r="J1423" s="82"/>
      <c r="K1423" s="82"/>
      <c r="L1423" s="82"/>
      <c r="M1423" s="82"/>
      <c r="N1423" s="82"/>
      <c r="O1423" s="82"/>
      <c r="P1423" s="82"/>
      <c r="Q1423" s="82"/>
      <c r="R1423" s="82"/>
      <c r="S1423" s="82"/>
      <c r="T1423" s="82"/>
      <c r="U1423" s="82"/>
      <c r="V1423" s="82"/>
      <c r="W1423" s="82"/>
      <c r="X1423" s="82"/>
      <c r="Y1423" s="82"/>
      <c r="Z1423" s="82"/>
      <c r="AA1423" s="82"/>
      <c r="AB1423" s="82"/>
      <c r="AC1423" s="82"/>
      <c r="AD1423" s="82"/>
      <c r="AE1423" s="82"/>
      <c r="AF1423" s="82"/>
      <c r="AG1423" s="82"/>
      <c r="AH1423" s="82"/>
      <c r="AI1423" s="82"/>
      <c r="AJ1423" s="82"/>
      <c r="AK1423" s="82"/>
      <c r="AL1423" s="82"/>
      <c r="AM1423" s="82"/>
      <c r="AN1423" s="82">
        <f>IFERROR(__xludf.DUMMYFUNCTION("""COMPUTED_VALUE"""),0.0)</f>
        <v>0</v>
      </c>
      <c r="AO1423" s="82">
        <f>IFERROR(__xludf.DUMMYFUNCTION("""COMPUTED_VALUE"""),0.0)</f>
        <v>0</v>
      </c>
      <c r="AP1423" s="82">
        <f>IFERROR(__xludf.DUMMYFUNCTION("""COMPUTED_VALUE"""),0.0)</f>
        <v>0</v>
      </c>
      <c r="AQ1423" s="82">
        <f>IFERROR(__xludf.DUMMYFUNCTION("""COMPUTED_VALUE"""),0.0)</f>
        <v>0</v>
      </c>
      <c r="AR1423" s="82">
        <f>IFERROR(__xludf.DUMMYFUNCTION("""COMPUTED_VALUE"""),0.0)</f>
        <v>0</v>
      </c>
      <c r="AS1423" s="82"/>
      <c r="AT1423" s="82">
        <f>IFERROR(__xludf.DUMMYFUNCTION("""COMPUTED_VALUE"""),0.0)</f>
        <v>0</v>
      </c>
      <c r="AU1423" s="82"/>
      <c r="AV1423" s="82"/>
      <c r="AW1423" s="82" t="str">
        <f t="shared" si="1"/>
        <v/>
      </c>
      <c r="AX1423" s="83" t="str">
        <f t="array" ref="AX1423">IFERROR(DGET('SBV Import'!A:G,"SBV",{"RSC ID","Tier";B1423,A1423}))</f>
        <v/>
      </c>
      <c r="AY1423" s="82" t="str">
        <f t="shared" si="2"/>
        <v/>
      </c>
      <c r="AZ1423" s="82"/>
      <c r="BA1423" s="84" t="s">
        <v>152</v>
      </c>
      <c r="BB1423" s="84" t="str">
        <f>IFERROR(__xludf.DUMMYFUNCTION("iferror(if(A1423="""",,E1423&gt;=FILTER(Constants!$F$2:$F$10,Constants!$A$2:$A$10=A1423)))"),"")</f>
        <v/>
      </c>
    </row>
    <row r="1424">
      <c r="A1424" s="89"/>
      <c r="B1424" s="87"/>
      <c r="C1424" s="73"/>
      <c r="D1424" s="73"/>
      <c r="E1424" s="82"/>
      <c r="F1424" s="82"/>
      <c r="G1424" s="86"/>
      <c r="H1424" s="86"/>
      <c r="I1424" s="86"/>
      <c r="J1424" s="82"/>
      <c r="K1424" s="82"/>
      <c r="L1424" s="82"/>
      <c r="M1424" s="82"/>
      <c r="N1424" s="82"/>
      <c r="O1424" s="82"/>
      <c r="P1424" s="82"/>
      <c r="Q1424" s="82"/>
      <c r="R1424" s="82"/>
      <c r="S1424" s="82"/>
      <c r="T1424" s="82"/>
      <c r="U1424" s="82"/>
      <c r="V1424" s="82"/>
      <c r="W1424" s="82"/>
      <c r="X1424" s="82"/>
      <c r="Y1424" s="82"/>
      <c r="Z1424" s="82"/>
      <c r="AA1424" s="82"/>
      <c r="AB1424" s="82"/>
      <c r="AC1424" s="82"/>
      <c r="AD1424" s="82"/>
      <c r="AE1424" s="82"/>
      <c r="AF1424" s="82"/>
      <c r="AG1424" s="82"/>
      <c r="AH1424" s="82"/>
      <c r="AI1424" s="82"/>
      <c r="AJ1424" s="82"/>
      <c r="AK1424" s="82"/>
      <c r="AL1424" s="82"/>
      <c r="AM1424" s="82"/>
      <c r="AN1424" s="82">
        <f>IFERROR(__xludf.DUMMYFUNCTION("""COMPUTED_VALUE"""),0.0)</f>
        <v>0</v>
      </c>
      <c r="AO1424" s="82">
        <f>IFERROR(__xludf.DUMMYFUNCTION("""COMPUTED_VALUE"""),0.0)</f>
        <v>0</v>
      </c>
      <c r="AP1424" s="82">
        <f>IFERROR(__xludf.DUMMYFUNCTION("""COMPUTED_VALUE"""),0.0)</f>
        <v>0</v>
      </c>
      <c r="AQ1424" s="82">
        <f>IFERROR(__xludf.DUMMYFUNCTION("""COMPUTED_VALUE"""),0.0)</f>
        <v>0</v>
      </c>
      <c r="AR1424" s="82">
        <f>IFERROR(__xludf.DUMMYFUNCTION("""COMPUTED_VALUE"""),0.0)</f>
        <v>0</v>
      </c>
      <c r="AS1424" s="82"/>
      <c r="AT1424" s="82">
        <f>IFERROR(__xludf.DUMMYFUNCTION("""COMPUTED_VALUE"""),0.0)</f>
        <v>0</v>
      </c>
      <c r="AU1424" s="82"/>
      <c r="AV1424" s="82"/>
      <c r="AW1424" s="82" t="str">
        <f t="shared" si="1"/>
        <v/>
      </c>
      <c r="AX1424" s="83" t="str">
        <f t="array" ref="AX1424">IFERROR(DGET('SBV Import'!A:G,"SBV",{"RSC ID","Tier";B1424,A1424}))</f>
        <v/>
      </c>
      <c r="AY1424" s="82" t="str">
        <f t="shared" si="2"/>
        <v/>
      </c>
      <c r="AZ1424" s="82"/>
      <c r="BA1424" s="84" t="s">
        <v>152</v>
      </c>
      <c r="BB1424" s="84" t="str">
        <f>IFERROR(__xludf.DUMMYFUNCTION("iferror(if(A1424="""",,E1424&gt;=FILTER(Constants!$F$2:$F$10,Constants!$A$2:$A$10=A1424)))"),"")</f>
        <v/>
      </c>
    </row>
    <row r="1425">
      <c r="A1425" s="89"/>
      <c r="B1425" s="87"/>
      <c r="C1425" s="73"/>
      <c r="D1425" s="73"/>
      <c r="E1425" s="82"/>
      <c r="F1425" s="82"/>
      <c r="G1425" s="86"/>
      <c r="H1425" s="86"/>
      <c r="I1425" s="86"/>
      <c r="J1425" s="82"/>
      <c r="K1425" s="82"/>
      <c r="L1425" s="82"/>
      <c r="M1425" s="82"/>
      <c r="N1425" s="82"/>
      <c r="O1425" s="82"/>
      <c r="P1425" s="82"/>
      <c r="Q1425" s="82"/>
      <c r="R1425" s="82"/>
      <c r="S1425" s="82"/>
      <c r="T1425" s="82"/>
      <c r="U1425" s="82"/>
      <c r="V1425" s="82"/>
      <c r="W1425" s="82"/>
      <c r="X1425" s="82"/>
      <c r="Y1425" s="82"/>
      <c r="Z1425" s="82"/>
      <c r="AA1425" s="82"/>
      <c r="AB1425" s="82"/>
      <c r="AC1425" s="82"/>
      <c r="AD1425" s="82"/>
      <c r="AE1425" s="82"/>
      <c r="AF1425" s="82"/>
      <c r="AG1425" s="82"/>
      <c r="AH1425" s="82"/>
      <c r="AI1425" s="82"/>
      <c r="AJ1425" s="82"/>
      <c r="AK1425" s="82"/>
      <c r="AL1425" s="82"/>
      <c r="AM1425" s="82"/>
      <c r="AN1425" s="82">
        <f>IFERROR(__xludf.DUMMYFUNCTION("""COMPUTED_VALUE"""),0.0)</f>
        <v>0</v>
      </c>
      <c r="AO1425" s="82">
        <f>IFERROR(__xludf.DUMMYFUNCTION("""COMPUTED_VALUE"""),0.0)</f>
        <v>0</v>
      </c>
      <c r="AP1425" s="82">
        <f>IFERROR(__xludf.DUMMYFUNCTION("""COMPUTED_VALUE"""),0.0)</f>
        <v>0</v>
      </c>
      <c r="AQ1425" s="82">
        <f>IFERROR(__xludf.DUMMYFUNCTION("""COMPUTED_VALUE"""),0.0)</f>
        <v>0</v>
      </c>
      <c r="AR1425" s="82">
        <f>IFERROR(__xludf.DUMMYFUNCTION("""COMPUTED_VALUE"""),0.0)</f>
        <v>0</v>
      </c>
      <c r="AS1425" s="82"/>
      <c r="AT1425" s="82">
        <f>IFERROR(__xludf.DUMMYFUNCTION("""COMPUTED_VALUE"""),0.0)</f>
        <v>0</v>
      </c>
      <c r="AU1425" s="82"/>
      <c r="AV1425" s="82"/>
      <c r="AW1425" s="82" t="str">
        <f t="shared" si="1"/>
        <v/>
      </c>
      <c r="AX1425" s="83" t="str">
        <f t="array" ref="AX1425">IFERROR(DGET('SBV Import'!A:G,"SBV",{"RSC ID","Tier";B1425,A1425}))</f>
        <v/>
      </c>
      <c r="AY1425" s="82" t="str">
        <f t="shared" si="2"/>
        <v/>
      </c>
      <c r="AZ1425" s="82"/>
      <c r="BA1425" s="84" t="s">
        <v>152</v>
      </c>
      <c r="BB1425" s="84" t="str">
        <f>IFERROR(__xludf.DUMMYFUNCTION("iferror(if(A1425="""",,E1425&gt;=FILTER(Constants!$F$2:$F$10,Constants!$A$2:$A$10=A1425)))"),"")</f>
        <v/>
      </c>
    </row>
    <row r="1426">
      <c r="A1426" s="89"/>
      <c r="B1426" s="87"/>
      <c r="C1426" s="73"/>
      <c r="D1426" s="73"/>
      <c r="E1426" s="82"/>
      <c r="F1426" s="82"/>
      <c r="G1426" s="86"/>
      <c r="H1426" s="86"/>
      <c r="I1426" s="86"/>
      <c r="J1426" s="82"/>
      <c r="K1426" s="82"/>
      <c r="L1426" s="82"/>
      <c r="M1426" s="82"/>
      <c r="N1426" s="82"/>
      <c r="O1426" s="82"/>
      <c r="P1426" s="82"/>
      <c r="Q1426" s="82"/>
      <c r="R1426" s="82"/>
      <c r="S1426" s="82"/>
      <c r="T1426" s="82"/>
      <c r="U1426" s="82"/>
      <c r="V1426" s="82"/>
      <c r="W1426" s="82"/>
      <c r="X1426" s="82"/>
      <c r="Y1426" s="82"/>
      <c r="Z1426" s="82"/>
      <c r="AA1426" s="82"/>
      <c r="AB1426" s="82"/>
      <c r="AC1426" s="82"/>
      <c r="AD1426" s="82"/>
      <c r="AE1426" s="82"/>
      <c r="AF1426" s="82"/>
      <c r="AG1426" s="82"/>
      <c r="AH1426" s="82"/>
      <c r="AI1426" s="82"/>
      <c r="AJ1426" s="82"/>
      <c r="AK1426" s="82"/>
      <c r="AL1426" s="82"/>
      <c r="AM1426" s="82"/>
      <c r="AN1426" s="82">
        <f>IFERROR(__xludf.DUMMYFUNCTION("""COMPUTED_VALUE"""),0.0)</f>
        <v>0</v>
      </c>
      <c r="AO1426" s="82">
        <f>IFERROR(__xludf.DUMMYFUNCTION("""COMPUTED_VALUE"""),0.0)</f>
        <v>0</v>
      </c>
      <c r="AP1426" s="82">
        <f>IFERROR(__xludf.DUMMYFUNCTION("""COMPUTED_VALUE"""),0.0)</f>
        <v>0</v>
      </c>
      <c r="AQ1426" s="82">
        <f>IFERROR(__xludf.DUMMYFUNCTION("""COMPUTED_VALUE"""),0.0)</f>
        <v>0</v>
      </c>
      <c r="AR1426" s="82">
        <f>IFERROR(__xludf.DUMMYFUNCTION("""COMPUTED_VALUE"""),0.0)</f>
        <v>0</v>
      </c>
      <c r="AS1426" s="82"/>
      <c r="AT1426" s="82">
        <f>IFERROR(__xludf.DUMMYFUNCTION("""COMPUTED_VALUE"""),0.0)</f>
        <v>0</v>
      </c>
      <c r="AU1426" s="82"/>
      <c r="AV1426" s="82"/>
      <c r="AW1426" s="82" t="str">
        <f t="shared" si="1"/>
        <v/>
      </c>
      <c r="AX1426" s="83" t="str">
        <f t="array" ref="AX1426">IFERROR(DGET('SBV Import'!A:G,"SBV",{"RSC ID","Tier";B1426,A1426}))</f>
        <v/>
      </c>
      <c r="AY1426" s="82" t="str">
        <f t="shared" si="2"/>
        <v/>
      </c>
      <c r="AZ1426" s="82"/>
      <c r="BA1426" s="84" t="s">
        <v>152</v>
      </c>
      <c r="BB1426" s="84" t="str">
        <f>IFERROR(__xludf.DUMMYFUNCTION("iferror(if(A1426="""",,E1426&gt;=FILTER(Constants!$F$2:$F$10,Constants!$A$2:$A$10=A1426)))"),"")</f>
        <v/>
      </c>
    </row>
    <row r="1427">
      <c r="A1427" s="89"/>
      <c r="B1427" s="87"/>
      <c r="C1427" s="73"/>
      <c r="D1427" s="73"/>
      <c r="E1427" s="82"/>
      <c r="F1427" s="82"/>
      <c r="G1427" s="86"/>
      <c r="H1427" s="86"/>
      <c r="I1427" s="86"/>
      <c r="J1427" s="82"/>
      <c r="K1427" s="82"/>
      <c r="L1427" s="82"/>
      <c r="M1427" s="82"/>
      <c r="N1427" s="82"/>
      <c r="O1427" s="82"/>
      <c r="P1427" s="82"/>
      <c r="Q1427" s="82"/>
      <c r="R1427" s="82"/>
      <c r="S1427" s="82"/>
      <c r="T1427" s="82"/>
      <c r="U1427" s="82"/>
      <c r="V1427" s="82"/>
      <c r="W1427" s="82"/>
      <c r="X1427" s="82"/>
      <c r="Y1427" s="82"/>
      <c r="Z1427" s="82"/>
      <c r="AA1427" s="82"/>
      <c r="AB1427" s="82"/>
      <c r="AC1427" s="82"/>
      <c r="AD1427" s="82"/>
      <c r="AE1427" s="82"/>
      <c r="AF1427" s="82"/>
      <c r="AG1427" s="82"/>
      <c r="AH1427" s="82"/>
      <c r="AI1427" s="82"/>
      <c r="AJ1427" s="82"/>
      <c r="AK1427" s="82"/>
      <c r="AL1427" s="82"/>
      <c r="AM1427" s="82"/>
      <c r="AN1427" s="82">
        <f>IFERROR(__xludf.DUMMYFUNCTION("""COMPUTED_VALUE"""),0.0)</f>
        <v>0</v>
      </c>
      <c r="AO1427" s="82">
        <f>IFERROR(__xludf.DUMMYFUNCTION("""COMPUTED_VALUE"""),0.0)</f>
        <v>0</v>
      </c>
      <c r="AP1427" s="82">
        <f>IFERROR(__xludf.DUMMYFUNCTION("""COMPUTED_VALUE"""),0.0)</f>
        <v>0</v>
      </c>
      <c r="AQ1427" s="82">
        <f>IFERROR(__xludf.DUMMYFUNCTION("""COMPUTED_VALUE"""),0.0)</f>
        <v>0</v>
      </c>
      <c r="AR1427" s="82">
        <f>IFERROR(__xludf.DUMMYFUNCTION("""COMPUTED_VALUE"""),0.0)</f>
        <v>0</v>
      </c>
      <c r="AS1427" s="82"/>
      <c r="AT1427" s="82">
        <f>IFERROR(__xludf.DUMMYFUNCTION("""COMPUTED_VALUE"""),0.0)</f>
        <v>0</v>
      </c>
      <c r="AU1427" s="82"/>
      <c r="AV1427" s="82"/>
      <c r="AW1427" s="82" t="str">
        <f t="shared" si="1"/>
        <v/>
      </c>
      <c r="AX1427" s="83" t="str">
        <f t="array" ref="AX1427">IFERROR(DGET('SBV Import'!A:G,"SBV",{"RSC ID","Tier";B1427,A1427}))</f>
        <v/>
      </c>
      <c r="AY1427" s="82" t="str">
        <f t="shared" si="2"/>
        <v/>
      </c>
      <c r="AZ1427" s="82"/>
      <c r="BA1427" s="84" t="s">
        <v>152</v>
      </c>
      <c r="BB1427" s="84" t="str">
        <f>IFERROR(__xludf.DUMMYFUNCTION("iferror(if(A1427="""",,E1427&gt;=FILTER(Constants!$F$2:$F$10,Constants!$A$2:$A$10=A1427)))"),"")</f>
        <v/>
      </c>
    </row>
    <row r="1428">
      <c r="A1428" s="89"/>
      <c r="B1428" s="87"/>
      <c r="C1428" s="73"/>
      <c r="D1428" s="73"/>
      <c r="E1428" s="82"/>
      <c r="F1428" s="82"/>
      <c r="G1428" s="86"/>
      <c r="H1428" s="86"/>
      <c r="I1428" s="86"/>
      <c r="J1428" s="82"/>
      <c r="K1428" s="82"/>
      <c r="L1428" s="82"/>
      <c r="M1428" s="82"/>
      <c r="N1428" s="82"/>
      <c r="O1428" s="82"/>
      <c r="P1428" s="82"/>
      <c r="Q1428" s="82"/>
      <c r="R1428" s="82"/>
      <c r="S1428" s="82"/>
      <c r="T1428" s="82"/>
      <c r="U1428" s="82"/>
      <c r="V1428" s="82"/>
      <c r="W1428" s="82"/>
      <c r="X1428" s="82"/>
      <c r="Y1428" s="82"/>
      <c r="Z1428" s="82"/>
      <c r="AA1428" s="82"/>
      <c r="AB1428" s="82"/>
      <c r="AC1428" s="82"/>
      <c r="AD1428" s="82"/>
      <c r="AE1428" s="82"/>
      <c r="AF1428" s="82"/>
      <c r="AG1428" s="82"/>
      <c r="AH1428" s="82"/>
      <c r="AI1428" s="82"/>
      <c r="AJ1428" s="82"/>
      <c r="AK1428" s="82"/>
      <c r="AL1428" s="82"/>
      <c r="AM1428" s="82"/>
      <c r="AN1428" s="82">
        <f>IFERROR(__xludf.DUMMYFUNCTION("""COMPUTED_VALUE"""),0.0)</f>
        <v>0</v>
      </c>
      <c r="AO1428" s="82">
        <f>IFERROR(__xludf.DUMMYFUNCTION("""COMPUTED_VALUE"""),0.0)</f>
        <v>0</v>
      </c>
      <c r="AP1428" s="82">
        <f>IFERROR(__xludf.DUMMYFUNCTION("""COMPUTED_VALUE"""),0.0)</f>
        <v>0</v>
      </c>
      <c r="AQ1428" s="82">
        <f>IFERROR(__xludf.DUMMYFUNCTION("""COMPUTED_VALUE"""),0.0)</f>
        <v>0</v>
      </c>
      <c r="AR1428" s="82">
        <f>IFERROR(__xludf.DUMMYFUNCTION("""COMPUTED_VALUE"""),0.0)</f>
        <v>0</v>
      </c>
      <c r="AS1428" s="82"/>
      <c r="AT1428" s="82">
        <f>IFERROR(__xludf.DUMMYFUNCTION("""COMPUTED_VALUE"""),0.0)</f>
        <v>0</v>
      </c>
      <c r="AU1428" s="82"/>
      <c r="AV1428" s="82"/>
      <c r="AW1428" s="82" t="str">
        <f t="shared" si="1"/>
        <v/>
      </c>
      <c r="AX1428" s="83" t="str">
        <f t="array" ref="AX1428">IFERROR(DGET('SBV Import'!A:G,"SBV",{"RSC ID","Tier";B1428,A1428}))</f>
        <v/>
      </c>
      <c r="AY1428" s="82" t="str">
        <f t="shared" si="2"/>
        <v/>
      </c>
      <c r="AZ1428" s="82"/>
      <c r="BA1428" s="84" t="s">
        <v>152</v>
      </c>
      <c r="BB1428" s="84" t="str">
        <f>IFERROR(__xludf.DUMMYFUNCTION("iferror(if(A1428="""",,E1428&gt;=FILTER(Constants!$F$2:$F$10,Constants!$A$2:$A$10=A1428)))"),"")</f>
        <v/>
      </c>
    </row>
    <row r="1429">
      <c r="A1429" s="89"/>
      <c r="B1429" s="87"/>
      <c r="C1429" s="73"/>
      <c r="D1429" s="73"/>
      <c r="E1429" s="82"/>
      <c r="F1429" s="82"/>
      <c r="G1429" s="86"/>
      <c r="H1429" s="86"/>
      <c r="I1429" s="86"/>
      <c r="J1429" s="82"/>
      <c r="K1429" s="82"/>
      <c r="L1429" s="82"/>
      <c r="M1429" s="82"/>
      <c r="N1429" s="82"/>
      <c r="O1429" s="82"/>
      <c r="P1429" s="82"/>
      <c r="Q1429" s="82"/>
      <c r="R1429" s="82"/>
      <c r="S1429" s="82"/>
      <c r="T1429" s="82"/>
      <c r="U1429" s="82"/>
      <c r="V1429" s="82"/>
      <c r="W1429" s="82"/>
      <c r="X1429" s="82"/>
      <c r="Y1429" s="82"/>
      <c r="Z1429" s="82"/>
      <c r="AA1429" s="82"/>
      <c r="AB1429" s="82"/>
      <c r="AC1429" s="82"/>
      <c r="AD1429" s="82"/>
      <c r="AE1429" s="82"/>
      <c r="AF1429" s="82"/>
      <c r="AG1429" s="82"/>
      <c r="AH1429" s="82"/>
      <c r="AI1429" s="82"/>
      <c r="AJ1429" s="82"/>
      <c r="AK1429" s="82"/>
      <c r="AL1429" s="82"/>
      <c r="AM1429" s="82"/>
      <c r="AN1429" s="82">
        <f>IFERROR(__xludf.DUMMYFUNCTION("""COMPUTED_VALUE"""),0.0)</f>
        <v>0</v>
      </c>
      <c r="AO1429" s="82">
        <f>IFERROR(__xludf.DUMMYFUNCTION("""COMPUTED_VALUE"""),0.0)</f>
        <v>0</v>
      </c>
      <c r="AP1429" s="82">
        <f>IFERROR(__xludf.DUMMYFUNCTION("""COMPUTED_VALUE"""),0.0)</f>
        <v>0</v>
      </c>
      <c r="AQ1429" s="82">
        <f>IFERROR(__xludf.DUMMYFUNCTION("""COMPUTED_VALUE"""),0.0)</f>
        <v>0</v>
      </c>
      <c r="AR1429" s="82">
        <f>IFERROR(__xludf.DUMMYFUNCTION("""COMPUTED_VALUE"""),0.0)</f>
        <v>0</v>
      </c>
      <c r="AS1429" s="82"/>
      <c r="AT1429" s="82">
        <f>IFERROR(__xludf.DUMMYFUNCTION("""COMPUTED_VALUE"""),0.0)</f>
        <v>0</v>
      </c>
      <c r="AU1429" s="82"/>
      <c r="AV1429" s="82"/>
      <c r="AW1429" s="82" t="str">
        <f t="shared" si="1"/>
        <v/>
      </c>
      <c r="AX1429" s="83" t="str">
        <f t="array" ref="AX1429">IFERROR(DGET('SBV Import'!A:G,"SBV",{"RSC ID","Tier";B1429,A1429}))</f>
        <v/>
      </c>
      <c r="AY1429" s="82" t="str">
        <f t="shared" si="2"/>
        <v/>
      </c>
      <c r="AZ1429" s="82"/>
      <c r="BA1429" s="84" t="s">
        <v>152</v>
      </c>
      <c r="BB1429" s="84" t="str">
        <f>IFERROR(__xludf.DUMMYFUNCTION("iferror(if(A1429="""",,E1429&gt;=FILTER(Constants!$F$2:$F$10,Constants!$A$2:$A$10=A1429)))"),"")</f>
        <v/>
      </c>
    </row>
    <row r="1430">
      <c r="A1430" s="89"/>
      <c r="B1430" s="87"/>
      <c r="C1430" s="73"/>
      <c r="D1430" s="73"/>
      <c r="E1430" s="82"/>
      <c r="F1430" s="82"/>
      <c r="G1430" s="86"/>
      <c r="H1430" s="86"/>
      <c r="I1430" s="86"/>
      <c r="J1430" s="82"/>
      <c r="K1430" s="82"/>
      <c r="L1430" s="82"/>
      <c r="M1430" s="82"/>
      <c r="N1430" s="82"/>
      <c r="O1430" s="82"/>
      <c r="P1430" s="82"/>
      <c r="Q1430" s="82"/>
      <c r="R1430" s="82"/>
      <c r="S1430" s="82"/>
      <c r="T1430" s="82"/>
      <c r="U1430" s="82"/>
      <c r="V1430" s="82"/>
      <c r="W1430" s="82"/>
      <c r="X1430" s="82"/>
      <c r="Y1430" s="82"/>
      <c r="Z1430" s="82"/>
      <c r="AA1430" s="82"/>
      <c r="AB1430" s="82"/>
      <c r="AC1430" s="82"/>
      <c r="AD1430" s="82"/>
      <c r="AE1430" s="82"/>
      <c r="AF1430" s="82"/>
      <c r="AG1430" s="82"/>
      <c r="AH1430" s="82"/>
      <c r="AI1430" s="82"/>
      <c r="AJ1430" s="82"/>
      <c r="AK1430" s="82"/>
      <c r="AL1430" s="82"/>
      <c r="AM1430" s="82"/>
      <c r="AN1430" s="82">
        <f>IFERROR(__xludf.DUMMYFUNCTION("""COMPUTED_VALUE"""),0.0)</f>
        <v>0</v>
      </c>
      <c r="AO1430" s="82">
        <f>IFERROR(__xludf.DUMMYFUNCTION("""COMPUTED_VALUE"""),0.0)</f>
        <v>0</v>
      </c>
      <c r="AP1430" s="82">
        <f>IFERROR(__xludf.DUMMYFUNCTION("""COMPUTED_VALUE"""),0.0)</f>
        <v>0</v>
      </c>
      <c r="AQ1430" s="82">
        <f>IFERROR(__xludf.DUMMYFUNCTION("""COMPUTED_VALUE"""),0.0)</f>
        <v>0</v>
      </c>
      <c r="AR1430" s="82">
        <f>IFERROR(__xludf.DUMMYFUNCTION("""COMPUTED_VALUE"""),0.0)</f>
        <v>0</v>
      </c>
      <c r="AS1430" s="82"/>
      <c r="AT1430" s="82">
        <f>IFERROR(__xludf.DUMMYFUNCTION("""COMPUTED_VALUE"""),0.0)</f>
        <v>0</v>
      </c>
      <c r="AU1430" s="82"/>
      <c r="AV1430" s="82"/>
      <c r="AW1430" s="82" t="str">
        <f t="shared" si="1"/>
        <v/>
      </c>
      <c r="AX1430" s="83" t="str">
        <f t="array" ref="AX1430">IFERROR(DGET('SBV Import'!A:G,"SBV",{"RSC ID","Tier";B1430,A1430}))</f>
        <v/>
      </c>
      <c r="AY1430" s="82" t="str">
        <f t="shared" si="2"/>
        <v/>
      </c>
      <c r="AZ1430" s="82"/>
      <c r="BA1430" s="84" t="s">
        <v>152</v>
      </c>
      <c r="BB1430" s="84" t="str">
        <f>IFERROR(__xludf.DUMMYFUNCTION("iferror(if(A1430="""",,E1430&gt;=FILTER(Constants!$F$2:$F$10,Constants!$A$2:$A$10=A1430)))"),"")</f>
        <v/>
      </c>
    </row>
    <row r="1431">
      <c r="A1431" s="89"/>
      <c r="B1431" s="87"/>
      <c r="C1431" s="73"/>
      <c r="D1431" s="73"/>
      <c r="E1431" s="82"/>
      <c r="F1431" s="82"/>
      <c r="G1431" s="86"/>
      <c r="H1431" s="86"/>
      <c r="I1431" s="86"/>
      <c r="J1431" s="82"/>
      <c r="K1431" s="82"/>
      <c r="L1431" s="82"/>
      <c r="M1431" s="82"/>
      <c r="N1431" s="82"/>
      <c r="O1431" s="82"/>
      <c r="P1431" s="82"/>
      <c r="Q1431" s="82"/>
      <c r="R1431" s="82"/>
      <c r="S1431" s="82"/>
      <c r="T1431" s="82"/>
      <c r="U1431" s="82"/>
      <c r="V1431" s="82"/>
      <c r="W1431" s="82"/>
      <c r="X1431" s="82"/>
      <c r="Y1431" s="82"/>
      <c r="Z1431" s="82"/>
      <c r="AA1431" s="82"/>
      <c r="AB1431" s="82"/>
      <c r="AC1431" s="82"/>
      <c r="AD1431" s="82"/>
      <c r="AE1431" s="82"/>
      <c r="AF1431" s="82"/>
      <c r="AG1431" s="82"/>
      <c r="AH1431" s="82"/>
      <c r="AI1431" s="82"/>
      <c r="AJ1431" s="82"/>
      <c r="AK1431" s="82"/>
      <c r="AL1431" s="82"/>
      <c r="AM1431" s="82"/>
      <c r="AN1431" s="82">
        <f>IFERROR(__xludf.DUMMYFUNCTION("""COMPUTED_VALUE"""),0.0)</f>
        <v>0</v>
      </c>
      <c r="AO1431" s="82">
        <f>IFERROR(__xludf.DUMMYFUNCTION("""COMPUTED_VALUE"""),0.0)</f>
        <v>0</v>
      </c>
      <c r="AP1431" s="82">
        <f>IFERROR(__xludf.DUMMYFUNCTION("""COMPUTED_VALUE"""),0.0)</f>
        <v>0</v>
      </c>
      <c r="AQ1431" s="82">
        <f>IFERROR(__xludf.DUMMYFUNCTION("""COMPUTED_VALUE"""),0.0)</f>
        <v>0</v>
      </c>
      <c r="AR1431" s="82">
        <f>IFERROR(__xludf.DUMMYFUNCTION("""COMPUTED_VALUE"""),0.0)</f>
        <v>0</v>
      </c>
      <c r="AS1431" s="82"/>
      <c r="AT1431" s="82">
        <f>IFERROR(__xludf.DUMMYFUNCTION("""COMPUTED_VALUE"""),0.0)</f>
        <v>0</v>
      </c>
      <c r="AU1431" s="82"/>
      <c r="AV1431" s="82"/>
      <c r="AW1431" s="82" t="str">
        <f t="shared" si="1"/>
        <v/>
      </c>
      <c r="AX1431" s="83" t="str">
        <f t="array" ref="AX1431">IFERROR(DGET('SBV Import'!A:G,"SBV",{"RSC ID","Tier";B1431,A1431}))</f>
        <v/>
      </c>
      <c r="AY1431" s="82" t="str">
        <f t="shared" si="2"/>
        <v/>
      </c>
      <c r="AZ1431" s="82"/>
      <c r="BA1431" s="84" t="s">
        <v>152</v>
      </c>
      <c r="BB1431" s="84" t="str">
        <f>IFERROR(__xludf.DUMMYFUNCTION("iferror(if(A1431="""",,E1431&gt;=FILTER(Constants!$F$2:$F$10,Constants!$A$2:$A$10=A1431)))"),"")</f>
        <v/>
      </c>
    </row>
    <row r="1432">
      <c r="A1432" s="89"/>
      <c r="B1432" s="87"/>
      <c r="C1432" s="73"/>
      <c r="D1432" s="73"/>
      <c r="E1432" s="82"/>
      <c r="F1432" s="82"/>
      <c r="G1432" s="86"/>
      <c r="H1432" s="86"/>
      <c r="I1432" s="86"/>
      <c r="J1432" s="82"/>
      <c r="K1432" s="82"/>
      <c r="L1432" s="82"/>
      <c r="M1432" s="82"/>
      <c r="N1432" s="82"/>
      <c r="O1432" s="82"/>
      <c r="P1432" s="82"/>
      <c r="Q1432" s="82"/>
      <c r="R1432" s="82"/>
      <c r="S1432" s="82"/>
      <c r="T1432" s="82"/>
      <c r="U1432" s="82"/>
      <c r="V1432" s="82"/>
      <c r="W1432" s="82"/>
      <c r="X1432" s="82"/>
      <c r="Y1432" s="82"/>
      <c r="Z1432" s="82"/>
      <c r="AA1432" s="82"/>
      <c r="AB1432" s="82"/>
      <c r="AC1432" s="82"/>
      <c r="AD1432" s="82"/>
      <c r="AE1432" s="82"/>
      <c r="AF1432" s="82"/>
      <c r="AG1432" s="82"/>
      <c r="AH1432" s="82"/>
      <c r="AI1432" s="82"/>
      <c r="AJ1432" s="82"/>
      <c r="AK1432" s="82"/>
      <c r="AL1432" s="82"/>
      <c r="AM1432" s="82"/>
      <c r="AN1432" s="82">
        <f>IFERROR(__xludf.DUMMYFUNCTION("""COMPUTED_VALUE"""),0.0)</f>
        <v>0</v>
      </c>
      <c r="AO1432" s="82">
        <f>IFERROR(__xludf.DUMMYFUNCTION("""COMPUTED_VALUE"""),0.0)</f>
        <v>0</v>
      </c>
      <c r="AP1432" s="82">
        <f>IFERROR(__xludf.DUMMYFUNCTION("""COMPUTED_VALUE"""),0.0)</f>
        <v>0</v>
      </c>
      <c r="AQ1432" s="82">
        <f>IFERROR(__xludf.DUMMYFUNCTION("""COMPUTED_VALUE"""),0.0)</f>
        <v>0</v>
      </c>
      <c r="AR1432" s="82">
        <f>IFERROR(__xludf.DUMMYFUNCTION("""COMPUTED_VALUE"""),0.0)</f>
        <v>0</v>
      </c>
      <c r="AS1432" s="82"/>
      <c r="AT1432" s="82">
        <f>IFERROR(__xludf.DUMMYFUNCTION("""COMPUTED_VALUE"""),0.0)</f>
        <v>0</v>
      </c>
      <c r="AU1432" s="82"/>
      <c r="AV1432" s="82"/>
      <c r="AW1432" s="82" t="str">
        <f t="shared" si="1"/>
        <v/>
      </c>
      <c r="AX1432" s="83" t="str">
        <f t="array" ref="AX1432">IFERROR(DGET('SBV Import'!A:G,"SBV",{"RSC ID","Tier";B1432,A1432}))</f>
        <v/>
      </c>
      <c r="AY1432" s="82" t="str">
        <f t="shared" si="2"/>
        <v/>
      </c>
      <c r="AZ1432" s="82"/>
      <c r="BA1432" s="84" t="s">
        <v>152</v>
      </c>
      <c r="BB1432" s="84" t="str">
        <f>IFERROR(__xludf.DUMMYFUNCTION("iferror(if(A1432="""",,E1432&gt;=FILTER(Constants!$F$2:$F$10,Constants!$A$2:$A$10=A1432)))"),"")</f>
        <v/>
      </c>
    </row>
    <row r="1433">
      <c r="A1433" s="89"/>
      <c r="B1433" s="87"/>
      <c r="C1433" s="73"/>
      <c r="D1433" s="73"/>
      <c r="E1433" s="82"/>
      <c r="F1433" s="82"/>
      <c r="G1433" s="86"/>
      <c r="H1433" s="86"/>
      <c r="I1433" s="86"/>
      <c r="J1433" s="82"/>
      <c r="K1433" s="82"/>
      <c r="L1433" s="82"/>
      <c r="M1433" s="82"/>
      <c r="N1433" s="82"/>
      <c r="O1433" s="82"/>
      <c r="P1433" s="82"/>
      <c r="Q1433" s="82"/>
      <c r="R1433" s="82"/>
      <c r="S1433" s="82"/>
      <c r="T1433" s="82"/>
      <c r="U1433" s="82"/>
      <c r="V1433" s="82"/>
      <c r="W1433" s="82"/>
      <c r="X1433" s="82"/>
      <c r="Y1433" s="82"/>
      <c r="Z1433" s="82"/>
      <c r="AA1433" s="82"/>
      <c r="AB1433" s="82"/>
      <c r="AC1433" s="82"/>
      <c r="AD1433" s="82"/>
      <c r="AE1433" s="82"/>
      <c r="AF1433" s="82"/>
      <c r="AG1433" s="82"/>
      <c r="AH1433" s="82"/>
      <c r="AI1433" s="82"/>
      <c r="AJ1433" s="82"/>
      <c r="AK1433" s="82"/>
      <c r="AL1433" s="82"/>
      <c r="AM1433" s="82"/>
      <c r="AN1433" s="82">
        <f>IFERROR(__xludf.DUMMYFUNCTION("""COMPUTED_VALUE"""),0.0)</f>
        <v>0</v>
      </c>
      <c r="AO1433" s="82">
        <f>IFERROR(__xludf.DUMMYFUNCTION("""COMPUTED_VALUE"""),0.0)</f>
        <v>0</v>
      </c>
      <c r="AP1433" s="82">
        <f>IFERROR(__xludf.DUMMYFUNCTION("""COMPUTED_VALUE"""),0.0)</f>
        <v>0</v>
      </c>
      <c r="AQ1433" s="82">
        <f>IFERROR(__xludf.DUMMYFUNCTION("""COMPUTED_VALUE"""),0.0)</f>
        <v>0</v>
      </c>
      <c r="AR1433" s="82">
        <f>IFERROR(__xludf.DUMMYFUNCTION("""COMPUTED_VALUE"""),0.0)</f>
        <v>0</v>
      </c>
      <c r="AS1433" s="82"/>
      <c r="AT1433" s="82">
        <f>IFERROR(__xludf.DUMMYFUNCTION("""COMPUTED_VALUE"""),0.0)</f>
        <v>0</v>
      </c>
      <c r="AU1433" s="82"/>
      <c r="AV1433" s="82"/>
      <c r="AW1433" s="82" t="str">
        <f t="shared" si="1"/>
        <v/>
      </c>
      <c r="AX1433" s="83" t="str">
        <f t="array" ref="AX1433">IFERROR(DGET('SBV Import'!A:G,"SBV",{"RSC ID","Tier";B1433,A1433}))</f>
        <v/>
      </c>
      <c r="AY1433" s="82" t="str">
        <f t="shared" si="2"/>
        <v/>
      </c>
      <c r="AZ1433" s="82"/>
      <c r="BA1433" s="84" t="s">
        <v>152</v>
      </c>
      <c r="BB1433" s="84" t="str">
        <f>IFERROR(__xludf.DUMMYFUNCTION("iferror(if(A1433="""",,E1433&gt;=FILTER(Constants!$F$2:$F$10,Constants!$A$2:$A$10=A1433)))"),"")</f>
        <v/>
      </c>
    </row>
    <row r="1434">
      <c r="A1434" s="89"/>
      <c r="B1434" s="87"/>
      <c r="C1434" s="73"/>
      <c r="D1434" s="73"/>
      <c r="E1434" s="82"/>
      <c r="F1434" s="82"/>
      <c r="G1434" s="86"/>
      <c r="H1434" s="86"/>
      <c r="I1434" s="86"/>
      <c r="J1434" s="82"/>
      <c r="K1434" s="82"/>
      <c r="L1434" s="82"/>
      <c r="M1434" s="82"/>
      <c r="N1434" s="82"/>
      <c r="O1434" s="82"/>
      <c r="P1434" s="82"/>
      <c r="Q1434" s="82"/>
      <c r="R1434" s="82"/>
      <c r="S1434" s="82"/>
      <c r="T1434" s="82"/>
      <c r="U1434" s="82"/>
      <c r="V1434" s="82"/>
      <c r="W1434" s="82"/>
      <c r="X1434" s="82"/>
      <c r="Y1434" s="82"/>
      <c r="Z1434" s="82"/>
      <c r="AA1434" s="82"/>
      <c r="AB1434" s="82"/>
      <c r="AC1434" s="82"/>
      <c r="AD1434" s="82"/>
      <c r="AE1434" s="82"/>
      <c r="AF1434" s="82"/>
      <c r="AG1434" s="82"/>
      <c r="AH1434" s="82"/>
      <c r="AI1434" s="82"/>
      <c r="AJ1434" s="82"/>
      <c r="AK1434" s="82"/>
      <c r="AL1434" s="82"/>
      <c r="AM1434" s="82"/>
      <c r="AN1434" s="82">
        <f>IFERROR(__xludf.DUMMYFUNCTION("""COMPUTED_VALUE"""),0.0)</f>
        <v>0</v>
      </c>
      <c r="AO1434" s="82">
        <f>IFERROR(__xludf.DUMMYFUNCTION("""COMPUTED_VALUE"""),0.0)</f>
        <v>0</v>
      </c>
      <c r="AP1434" s="82">
        <f>IFERROR(__xludf.DUMMYFUNCTION("""COMPUTED_VALUE"""),0.0)</f>
        <v>0</v>
      </c>
      <c r="AQ1434" s="82">
        <f>IFERROR(__xludf.DUMMYFUNCTION("""COMPUTED_VALUE"""),0.0)</f>
        <v>0</v>
      </c>
      <c r="AR1434" s="82">
        <f>IFERROR(__xludf.DUMMYFUNCTION("""COMPUTED_VALUE"""),0.0)</f>
        <v>0</v>
      </c>
      <c r="AS1434" s="82"/>
      <c r="AT1434" s="82">
        <f>IFERROR(__xludf.DUMMYFUNCTION("""COMPUTED_VALUE"""),0.0)</f>
        <v>0</v>
      </c>
      <c r="AU1434" s="82"/>
      <c r="AV1434" s="82"/>
      <c r="AW1434" s="82" t="str">
        <f t="shared" si="1"/>
        <v/>
      </c>
      <c r="AX1434" s="83" t="str">
        <f t="array" ref="AX1434">IFERROR(DGET('SBV Import'!A:G,"SBV",{"RSC ID","Tier";B1434,A1434}))</f>
        <v/>
      </c>
      <c r="AY1434" s="82" t="str">
        <f t="shared" si="2"/>
        <v/>
      </c>
      <c r="AZ1434" s="82"/>
      <c r="BA1434" s="84" t="s">
        <v>152</v>
      </c>
      <c r="BB1434" s="84" t="str">
        <f>IFERROR(__xludf.DUMMYFUNCTION("iferror(if(A1434="""",,E1434&gt;=FILTER(Constants!$F$2:$F$10,Constants!$A$2:$A$10=A1434)))"),"")</f>
        <v/>
      </c>
    </row>
    <row r="1435">
      <c r="A1435" s="89"/>
      <c r="B1435" s="87"/>
      <c r="C1435" s="73"/>
      <c r="D1435" s="73"/>
      <c r="E1435" s="82"/>
      <c r="F1435" s="82"/>
      <c r="G1435" s="86"/>
      <c r="H1435" s="86"/>
      <c r="I1435" s="86"/>
      <c r="J1435" s="82"/>
      <c r="K1435" s="82"/>
      <c r="L1435" s="82"/>
      <c r="M1435" s="82"/>
      <c r="N1435" s="82"/>
      <c r="O1435" s="82"/>
      <c r="P1435" s="82"/>
      <c r="Q1435" s="82"/>
      <c r="R1435" s="82"/>
      <c r="S1435" s="82"/>
      <c r="T1435" s="82"/>
      <c r="U1435" s="82"/>
      <c r="V1435" s="82"/>
      <c r="W1435" s="82"/>
      <c r="X1435" s="82"/>
      <c r="Y1435" s="82"/>
      <c r="Z1435" s="82"/>
      <c r="AA1435" s="82"/>
      <c r="AB1435" s="82"/>
      <c r="AC1435" s="82"/>
      <c r="AD1435" s="82"/>
      <c r="AE1435" s="82"/>
      <c r="AF1435" s="82"/>
      <c r="AG1435" s="82"/>
      <c r="AH1435" s="82"/>
      <c r="AI1435" s="82"/>
      <c r="AJ1435" s="82"/>
      <c r="AK1435" s="82"/>
      <c r="AL1435" s="82"/>
      <c r="AM1435" s="82"/>
      <c r="AN1435" s="82">
        <f>IFERROR(__xludf.DUMMYFUNCTION("""COMPUTED_VALUE"""),0.0)</f>
        <v>0</v>
      </c>
      <c r="AO1435" s="82">
        <f>IFERROR(__xludf.DUMMYFUNCTION("""COMPUTED_VALUE"""),0.0)</f>
        <v>0</v>
      </c>
      <c r="AP1435" s="82">
        <f>IFERROR(__xludf.DUMMYFUNCTION("""COMPUTED_VALUE"""),0.0)</f>
        <v>0</v>
      </c>
      <c r="AQ1435" s="82">
        <f>IFERROR(__xludf.DUMMYFUNCTION("""COMPUTED_VALUE"""),0.0)</f>
        <v>0</v>
      </c>
      <c r="AR1435" s="82">
        <f>IFERROR(__xludf.DUMMYFUNCTION("""COMPUTED_VALUE"""),0.0)</f>
        <v>0</v>
      </c>
      <c r="AS1435" s="82"/>
      <c r="AT1435" s="82">
        <f>IFERROR(__xludf.DUMMYFUNCTION("""COMPUTED_VALUE"""),0.0)</f>
        <v>0</v>
      </c>
      <c r="AU1435" s="82"/>
      <c r="AV1435" s="82"/>
      <c r="AW1435" s="82" t="str">
        <f t="shared" si="1"/>
        <v/>
      </c>
      <c r="AX1435" s="83" t="str">
        <f t="array" ref="AX1435">IFERROR(DGET('SBV Import'!A:G,"SBV",{"RSC ID","Tier";B1435,A1435}))</f>
        <v/>
      </c>
      <c r="AY1435" s="82" t="str">
        <f t="shared" si="2"/>
        <v/>
      </c>
      <c r="AZ1435" s="82"/>
      <c r="BA1435" s="84" t="s">
        <v>152</v>
      </c>
      <c r="BB1435" s="84" t="str">
        <f>IFERROR(__xludf.DUMMYFUNCTION("iferror(if(A1435="""",,E1435&gt;=FILTER(Constants!$F$2:$F$10,Constants!$A$2:$A$10=A1435)))"),"")</f>
        <v/>
      </c>
    </row>
    <row r="1436">
      <c r="A1436" s="89"/>
      <c r="B1436" s="87"/>
      <c r="C1436" s="73"/>
      <c r="D1436" s="73"/>
      <c r="E1436" s="82"/>
      <c r="F1436" s="82"/>
      <c r="G1436" s="86"/>
      <c r="H1436" s="86"/>
      <c r="I1436" s="86"/>
      <c r="J1436" s="82"/>
      <c r="K1436" s="82"/>
      <c r="L1436" s="82"/>
      <c r="M1436" s="82"/>
      <c r="N1436" s="82"/>
      <c r="O1436" s="82"/>
      <c r="P1436" s="82"/>
      <c r="Q1436" s="82"/>
      <c r="R1436" s="82"/>
      <c r="S1436" s="82"/>
      <c r="T1436" s="82"/>
      <c r="U1436" s="82"/>
      <c r="V1436" s="82"/>
      <c r="W1436" s="82"/>
      <c r="X1436" s="82"/>
      <c r="Y1436" s="82"/>
      <c r="Z1436" s="82"/>
      <c r="AA1436" s="82"/>
      <c r="AB1436" s="82"/>
      <c r="AC1436" s="82"/>
      <c r="AD1436" s="82"/>
      <c r="AE1436" s="82"/>
      <c r="AF1436" s="82"/>
      <c r="AG1436" s="82"/>
      <c r="AH1436" s="82"/>
      <c r="AI1436" s="82"/>
      <c r="AJ1436" s="82"/>
      <c r="AK1436" s="82"/>
      <c r="AL1436" s="82"/>
      <c r="AM1436" s="82"/>
      <c r="AN1436" s="82">
        <f>IFERROR(__xludf.DUMMYFUNCTION("""COMPUTED_VALUE"""),0.0)</f>
        <v>0</v>
      </c>
      <c r="AO1436" s="82">
        <f>IFERROR(__xludf.DUMMYFUNCTION("""COMPUTED_VALUE"""),0.0)</f>
        <v>0</v>
      </c>
      <c r="AP1436" s="82">
        <f>IFERROR(__xludf.DUMMYFUNCTION("""COMPUTED_VALUE"""),0.0)</f>
        <v>0</v>
      </c>
      <c r="AQ1436" s="82">
        <f>IFERROR(__xludf.DUMMYFUNCTION("""COMPUTED_VALUE"""),0.0)</f>
        <v>0</v>
      </c>
      <c r="AR1436" s="82">
        <f>IFERROR(__xludf.DUMMYFUNCTION("""COMPUTED_VALUE"""),0.0)</f>
        <v>0</v>
      </c>
      <c r="AS1436" s="82"/>
      <c r="AT1436" s="82">
        <f>IFERROR(__xludf.DUMMYFUNCTION("""COMPUTED_VALUE"""),0.0)</f>
        <v>0</v>
      </c>
      <c r="AU1436" s="82"/>
      <c r="AV1436" s="82"/>
      <c r="AW1436" s="82" t="str">
        <f t="shared" si="1"/>
        <v/>
      </c>
      <c r="AX1436" s="83" t="str">
        <f t="array" ref="AX1436">IFERROR(DGET('SBV Import'!A:G,"SBV",{"RSC ID","Tier";B1436,A1436}))</f>
        <v/>
      </c>
      <c r="AY1436" s="82" t="str">
        <f t="shared" si="2"/>
        <v/>
      </c>
      <c r="AZ1436" s="82"/>
      <c r="BA1436" s="84" t="s">
        <v>152</v>
      </c>
      <c r="BB1436" s="84" t="str">
        <f>IFERROR(__xludf.DUMMYFUNCTION("iferror(if(A1436="""",,E1436&gt;=FILTER(Constants!$F$2:$F$10,Constants!$A$2:$A$10=A1436)))"),"")</f>
        <v/>
      </c>
    </row>
    <row r="1437">
      <c r="A1437" s="89"/>
      <c r="B1437" s="87"/>
      <c r="C1437" s="73"/>
      <c r="D1437" s="73"/>
      <c r="E1437" s="82"/>
      <c r="F1437" s="82"/>
      <c r="G1437" s="86"/>
      <c r="H1437" s="86"/>
      <c r="I1437" s="86"/>
      <c r="J1437" s="82"/>
      <c r="K1437" s="82"/>
      <c r="L1437" s="82"/>
      <c r="M1437" s="82"/>
      <c r="N1437" s="82"/>
      <c r="O1437" s="82"/>
      <c r="P1437" s="82"/>
      <c r="Q1437" s="82"/>
      <c r="R1437" s="82"/>
      <c r="S1437" s="82"/>
      <c r="T1437" s="82"/>
      <c r="U1437" s="82"/>
      <c r="V1437" s="82"/>
      <c r="W1437" s="82"/>
      <c r="X1437" s="82"/>
      <c r="Y1437" s="82"/>
      <c r="Z1437" s="82"/>
      <c r="AA1437" s="82"/>
      <c r="AB1437" s="82"/>
      <c r="AC1437" s="82"/>
      <c r="AD1437" s="82"/>
      <c r="AE1437" s="82"/>
      <c r="AF1437" s="82"/>
      <c r="AG1437" s="82"/>
      <c r="AH1437" s="82"/>
      <c r="AI1437" s="82"/>
      <c r="AJ1437" s="82"/>
      <c r="AK1437" s="82"/>
      <c r="AL1437" s="82"/>
      <c r="AM1437" s="82"/>
      <c r="AN1437" s="82">
        <f>IFERROR(__xludf.DUMMYFUNCTION("""COMPUTED_VALUE"""),0.0)</f>
        <v>0</v>
      </c>
      <c r="AO1437" s="82">
        <f>IFERROR(__xludf.DUMMYFUNCTION("""COMPUTED_VALUE"""),0.0)</f>
        <v>0</v>
      </c>
      <c r="AP1437" s="82">
        <f>IFERROR(__xludf.DUMMYFUNCTION("""COMPUTED_VALUE"""),0.0)</f>
        <v>0</v>
      </c>
      <c r="AQ1437" s="82">
        <f>IFERROR(__xludf.DUMMYFUNCTION("""COMPUTED_VALUE"""),0.0)</f>
        <v>0</v>
      </c>
      <c r="AR1437" s="82">
        <f>IFERROR(__xludf.DUMMYFUNCTION("""COMPUTED_VALUE"""),0.0)</f>
        <v>0</v>
      </c>
      <c r="AS1437" s="82"/>
      <c r="AT1437" s="82">
        <f>IFERROR(__xludf.DUMMYFUNCTION("""COMPUTED_VALUE"""),0.0)</f>
        <v>0</v>
      </c>
      <c r="AU1437" s="82"/>
      <c r="AV1437" s="82"/>
      <c r="AW1437" s="82" t="str">
        <f t="shared" si="1"/>
        <v/>
      </c>
      <c r="AX1437" s="83" t="str">
        <f t="array" ref="AX1437">IFERROR(DGET('SBV Import'!A:G,"SBV",{"RSC ID","Tier";B1437,A1437}))</f>
        <v/>
      </c>
      <c r="AY1437" s="82" t="str">
        <f t="shared" si="2"/>
        <v/>
      </c>
      <c r="AZ1437" s="82"/>
      <c r="BA1437" s="84" t="s">
        <v>152</v>
      </c>
      <c r="BB1437" s="84" t="str">
        <f>IFERROR(__xludf.DUMMYFUNCTION("iferror(if(A1437="""",,E1437&gt;=FILTER(Constants!$F$2:$F$10,Constants!$A$2:$A$10=A1437)))"),"")</f>
        <v/>
      </c>
    </row>
    <row r="1438">
      <c r="A1438" s="89"/>
      <c r="B1438" s="87"/>
      <c r="C1438" s="73"/>
      <c r="D1438" s="73"/>
      <c r="E1438" s="82"/>
      <c r="F1438" s="82"/>
      <c r="G1438" s="86"/>
      <c r="H1438" s="86"/>
      <c r="I1438" s="86"/>
      <c r="J1438" s="82"/>
      <c r="K1438" s="82"/>
      <c r="L1438" s="82"/>
      <c r="M1438" s="82"/>
      <c r="N1438" s="82"/>
      <c r="O1438" s="82"/>
      <c r="P1438" s="82"/>
      <c r="Q1438" s="82"/>
      <c r="R1438" s="82"/>
      <c r="S1438" s="82"/>
      <c r="T1438" s="82"/>
      <c r="U1438" s="82"/>
      <c r="V1438" s="82"/>
      <c r="W1438" s="82"/>
      <c r="X1438" s="82"/>
      <c r="Y1438" s="82"/>
      <c r="Z1438" s="82"/>
      <c r="AA1438" s="82"/>
      <c r="AB1438" s="82"/>
      <c r="AC1438" s="82"/>
      <c r="AD1438" s="82"/>
      <c r="AE1438" s="82"/>
      <c r="AF1438" s="82"/>
      <c r="AG1438" s="82"/>
      <c r="AH1438" s="82"/>
      <c r="AI1438" s="82"/>
      <c r="AJ1438" s="82"/>
      <c r="AK1438" s="82"/>
      <c r="AL1438" s="82"/>
      <c r="AM1438" s="82"/>
      <c r="AN1438" s="82">
        <f>IFERROR(__xludf.DUMMYFUNCTION("""COMPUTED_VALUE"""),0.0)</f>
        <v>0</v>
      </c>
      <c r="AO1438" s="82">
        <f>IFERROR(__xludf.DUMMYFUNCTION("""COMPUTED_VALUE"""),0.0)</f>
        <v>0</v>
      </c>
      <c r="AP1438" s="82">
        <f>IFERROR(__xludf.DUMMYFUNCTION("""COMPUTED_VALUE"""),0.0)</f>
        <v>0</v>
      </c>
      <c r="AQ1438" s="82">
        <f>IFERROR(__xludf.DUMMYFUNCTION("""COMPUTED_VALUE"""),0.0)</f>
        <v>0</v>
      </c>
      <c r="AR1438" s="82">
        <f>IFERROR(__xludf.DUMMYFUNCTION("""COMPUTED_VALUE"""),0.0)</f>
        <v>0</v>
      </c>
      <c r="AS1438" s="82"/>
      <c r="AT1438" s="82">
        <f>IFERROR(__xludf.DUMMYFUNCTION("""COMPUTED_VALUE"""),0.0)</f>
        <v>0</v>
      </c>
      <c r="AU1438" s="82"/>
      <c r="AV1438" s="82"/>
      <c r="AW1438" s="82" t="str">
        <f t="shared" si="1"/>
        <v/>
      </c>
      <c r="AX1438" s="83" t="str">
        <f t="array" ref="AX1438">IFERROR(DGET('SBV Import'!A:G,"SBV",{"RSC ID","Tier";B1438,A1438}))</f>
        <v/>
      </c>
      <c r="AY1438" s="82" t="str">
        <f t="shared" si="2"/>
        <v/>
      </c>
      <c r="AZ1438" s="82"/>
      <c r="BA1438" s="84" t="s">
        <v>152</v>
      </c>
      <c r="BB1438" s="84" t="str">
        <f>IFERROR(__xludf.DUMMYFUNCTION("iferror(if(A1438="""",,E1438&gt;=FILTER(Constants!$F$2:$F$10,Constants!$A$2:$A$10=A1438)))"),"")</f>
        <v/>
      </c>
    </row>
    <row r="1439">
      <c r="A1439" s="89"/>
      <c r="B1439" s="87"/>
      <c r="C1439" s="73"/>
      <c r="D1439" s="73"/>
      <c r="E1439" s="82"/>
      <c r="F1439" s="82"/>
      <c r="G1439" s="86"/>
      <c r="H1439" s="86"/>
      <c r="I1439" s="86"/>
      <c r="J1439" s="82"/>
      <c r="K1439" s="82"/>
      <c r="L1439" s="82"/>
      <c r="M1439" s="82"/>
      <c r="N1439" s="82"/>
      <c r="O1439" s="82"/>
      <c r="P1439" s="82"/>
      <c r="Q1439" s="82"/>
      <c r="R1439" s="82"/>
      <c r="S1439" s="82"/>
      <c r="T1439" s="82"/>
      <c r="U1439" s="82"/>
      <c r="V1439" s="82"/>
      <c r="W1439" s="82"/>
      <c r="X1439" s="82"/>
      <c r="Y1439" s="82"/>
      <c r="Z1439" s="82"/>
      <c r="AA1439" s="82"/>
      <c r="AB1439" s="82"/>
      <c r="AC1439" s="82"/>
      <c r="AD1439" s="82"/>
      <c r="AE1439" s="82"/>
      <c r="AF1439" s="82"/>
      <c r="AG1439" s="82"/>
      <c r="AH1439" s="82"/>
      <c r="AI1439" s="82"/>
      <c r="AJ1439" s="82"/>
      <c r="AK1439" s="82"/>
      <c r="AL1439" s="82"/>
      <c r="AM1439" s="82"/>
      <c r="AN1439" s="82">
        <f>IFERROR(__xludf.DUMMYFUNCTION("""COMPUTED_VALUE"""),0.0)</f>
        <v>0</v>
      </c>
      <c r="AO1439" s="82">
        <f>IFERROR(__xludf.DUMMYFUNCTION("""COMPUTED_VALUE"""),0.0)</f>
        <v>0</v>
      </c>
      <c r="AP1439" s="82">
        <f>IFERROR(__xludf.DUMMYFUNCTION("""COMPUTED_VALUE"""),0.0)</f>
        <v>0</v>
      </c>
      <c r="AQ1439" s="82">
        <f>IFERROR(__xludf.DUMMYFUNCTION("""COMPUTED_VALUE"""),0.0)</f>
        <v>0</v>
      </c>
      <c r="AR1439" s="82">
        <f>IFERROR(__xludf.DUMMYFUNCTION("""COMPUTED_VALUE"""),0.0)</f>
        <v>0</v>
      </c>
      <c r="AS1439" s="82"/>
      <c r="AT1439" s="82">
        <f>IFERROR(__xludf.DUMMYFUNCTION("""COMPUTED_VALUE"""),0.0)</f>
        <v>0</v>
      </c>
      <c r="AU1439" s="82"/>
      <c r="AV1439" s="82"/>
      <c r="AW1439" s="82" t="str">
        <f t="shared" si="1"/>
        <v/>
      </c>
      <c r="AX1439" s="83" t="str">
        <f t="array" ref="AX1439">IFERROR(DGET('SBV Import'!A:G,"SBV",{"RSC ID","Tier";B1439,A1439}))</f>
        <v/>
      </c>
      <c r="AY1439" s="82" t="str">
        <f t="shared" si="2"/>
        <v/>
      </c>
      <c r="AZ1439" s="82"/>
      <c r="BA1439" s="84" t="s">
        <v>152</v>
      </c>
      <c r="BB1439" s="84" t="str">
        <f>IFERROR(__xludf.DUMMYFUNCTION("iferror(if(A1439="""",,E1439&gt;=FILTER(Constants!$F$2:$F$10,Constants!$A$2:$A$10=A1439)))"),"")</f>
        <v/>
      </c>
    </row>
    <row r="1440">
      <c r="A1440" s="89"/>
      <c r="B1440" s="87"/>
      <c r="C1440" s="73"/>
      <c r="D1440" s="73"/>
      <c r="E1440" s="82"/>
      <c r="F1440" s="82"/>
      <c r="G1440" s="86"/>
      <c r="H1440" s="86"/>
      <c r="I1440" s="86"/>
      <c r="J1440" s="82"/>
      <c r="K1440" s="82"/>
      <c r="L1440" s="82"/>
      <c r="M1440" s="82"/>
      <c r="N1440" s="82"/>
      <c r="O1440" s="82"/>
      <c r="P1440" s="82"/>
      <c r="Q1440" s="82"/>
      <c r="R1440" s="82"/>
      <c r="S1440" s="82"/>
      <c r="T1440" s="82"/>
      <c r="U1440" s="82"/>
      <c r="V1440" s="82"/>
      <c r="W1440" s="82"/>
      <c r="X1440" s="82"/>
      <c r="Y1440" s="82"/>
      <c r="Z1440" s="82"/>
      <c r="AA1440" s="82"/>
      <c r="AB1440" s="82"/>
      <c r="AC1440" s="82"/>
      <c r="AD1440" s="82"/>
      <c r="AE1440" s="82"/>
      <c r="AF1440" s="82"/>
      <c r="AG1440" s="82"/>
      <c r="AH1440" s="82"/>
      <c r="AI1440" s="82"/>
      <c r="AJ1440" s="82"/>
      <c r="AK1440" s="82"/>
      <c r="AL1440" s="82"/>
      <c r="AM1440" s="82"/>
      <c r="AN1440" s="82">
        <f>IFERROR(__xludf.DUMMYFUNCTION("""COMPUTED_VALUE"""),0.0)</f>
        <v>0</v>
      </c>
      <c r="AO1440" s="82">
        <f>IFERROR(__xludf.DUMMYFUNCTION("""COMPUTED_VALUE"""),0.0)</f>
        <v>0</v>
      </c>
      <c r="AP1440" s="82">
        <f>IFERROR(__xludf.DUMMYFUNCTION("""COMPUTED_VALUE"""),0.0)</f>
        <v>0</v>
      </c>
      <c r="AQ1440" s="82">
        <f>IFERROR(__xludf.DUMMYFUNCTION("""COMPUTED_VALUE"""),0.0)</f>
        <v>0</v>
      </c>
      <c r="AR1440" s="82">
        <f>IFERROR(__xludf.DUMMYFUNCTION("""COMPUTED_VALUE"""),0.0)</f>
        <v>0</v>
      </c>
      <c r="AS1440" s="82"/>
      <c r="AT1440" s="82">
        <f>IFERROR(__xludf.DUMMYFUNCTION("""COMPUTED_VALUE"""),0.0)</f>
        <v>0</v>
      </c>
      <c r="AU1440" s="82"/>
      <c r="AV1440" s="82"/>
      <c r="AW1440" s="82" t="str">
        <f t="shared" si="1"/>
        <v/>
      </c>
      <c r="AX1440" s="83" t="str">
        <f t="array" ref="AX1440">IFERROR(DGET('SBV Import'!A:G,"SBV",{"RSC ID","Tier";B1440,A1440}))</f>
        <v/>
      </c>
      <c r="AY1440" s="82" t="str">
        <f t="shared" si="2"/>
        <v/>
      </c>
      <c r="AZ1440" s="82"/>
      <c r="BA1440" s="84" t="s">
        <v>152</v>
      </c>
      <c r="BB1440" s="84" t="str">
        <f>IFERROR(__xludf.DUMMYFUNCTION("iferror(if(A1440="""",,E1440&gt;=FILTER(Constants!$F$2:$F$10,Constants!$A$2:$A$10=A1440)))"),"")</f>
        <v/>
      </c>
    </row>
    <row r="1441">
      <c r="A1441" s="89"/>
      <c r="B1441" s="87"/>
      <c r="C1441" s="73"/>
      <c r="D1441" s="73"/>
      <c r="E1441" s="82"/>
      <c r="F1441" s="82"/>
      <c r="G1441" s="86"/>
      <c r="H1441" s="86"/>
      <c r="I1441" s="86"/>
      <c r="J1441" s="82"/>
      <c r="K1441" s="82"/>
      <c r="L1441" s="82"/>
      <c r="M1441" s="82"/>
      <c r="N1441" s="82"/>
      <c r="O1441" s="82"/>
      <c r="P1441" s="82"/>
      <c r="Q1441" s="82"/>
      <c r="R1441" s="82"/>
      <c r="S1441" s="82"/>
      <c r="T1441" s="82"/>
      <c r="U1441" s="82"/>
      <c r="V1441" s="82"/>
      <c r="W1441" s="82"/>
      <c r="X1441" s="82"/>
      <c r="Y1441" s="82"/>
      <c r="Z1441" s="82"/>
      <c r="AA1441" s="82"/>
      <c r="AB1441" s="82"/>
      <c r="AC1441" s="82"/>
      <c r="AD1441" s="82"/>
      <c r="AE1441" s="82"/>
      <c r="AF1441" s="82"/>
      <c r="AG1441" s="82"/>
      <c r="AH1441" s="82"/>
      <c r="AI1441" s="82"/>
      <c r="AJ1441" s="82"/>
      <c r="AK1441" s="82"/>
      <c r="AL1441" s="82"/>
      <c r="AM1441" s="82"/>
      <c r="AN1441" s="82">
        <f>IFERROR(__xludf.DUMMYFUNCTION("""COMPUTED_VALUE"""),0.0)</f>
        <v>0</v>
      </c>
      <c r="AO1441" s="82">
        <f>IFERROR(__xludf.DUMMYFUNCTION("""COMPUTED_VALUE"""),0.0)</f>
        <v>0</v>
      </c>
      <c r="AP1441" s="82">
        <f>IFERROR(__xludf.DUMMYFUNCTION("""COMPUTED_VALUE"""),0.0)</f>
        <v>0</v>
      </c>
      <c r="AQ1441" s="82">
        <f>IFERROR(__xludf.DUMMYFUNCTION("""COMPUTED_VALUE"""),0.0)</f>
        <v>0</v>
      </c>
      <c r="AR1441" s="82">
        <f>IFERROR(__xludf.DUMMYFUNCTION("""COMPUTED_VALUE"""),0.0)</f>
        <v>0</v>
      </c>
      <c r="AS1441" s="82"/>
      <c r="AT1441" s="82">
        <f>IFERROR(__xludf.DUMMYFUNCTION("""COMPUTED_VALUE"""),0.0)</f>
        <v>0</v>
      </c>
      <c r="AU1441" s="82"/>
      <c r="AV1441" s="82"/>
      <c r="AW1441" s="82" t="str">
        <f t="shared" si="1"/>
        <v/>
      </c>
      <c r="AX1441" s="83" t="str">
        <f t="array" ref="AX1441">IFERROR(DGET('SBV Import'!A:G,"SBV",{"RSC ID","Tier";B1441,A1441}))</f>
        <v/>
      </c>
      <c r="AY1441" s="82" t="str">
        <f t="shared" si="2"/>
        <v/>
      </c>
      <c r="AZ1441" s="82"/>
      <c r="BA1441" s="84" t="s">
        <v>152</v>
      </c>
      <c r="BB1441" s="84" t="str">
        <f>IFERROR(__xludf.DUMMYFUNCTION("iferror(if(A1441="""",,E1441&gt;=FILTER(Constants!$F$2:$F$10,Constants!$A$2:$A$10=A1441)))"),"")</f>
        <v/>
      </c>
    </row>
    <row r="1442">
      <c r="A1442" s="89"/>
      <c r="B1442" s="87"/>
      <c r="C1442" s="73"/>
      <c r="D1442" s="73"/>
      <c r="E1442" s="82"/>
      <c r="F1442" s="82"/>
      <c r="G1442" s="86"/>
      <c r="H1442" s="86"/>
      <c r="I1442" s="86"/>
      <c r="J1442" s="82"/>
      <c r="K1442" s="82"/>
      <c r="L1442" s="82"/>
      <c r="M1442" s="82"/>
      <c r="N1442" s="82"/>
      <c r="O1442" s="82"/>
      <c r="P1442" s="82"/>
      <c r="Q1442" s="82"/>
      <c r="R1442" s="82"/>
      <c r="S1442" s="82"/>
      <c r="T1442" s="82"/>
      <c r="U1442" s="82"/>
      <c r="V1442" s="82"/>
      <c r="W1442" s="82"/>
      <c r="X1442" s="82"/>
      <c r="Y1442" s="82"/>
      <c r="Z1442" s="82"/>
      <c r="AA1442" s="82"/>
      <c r="AB1442" s="82"/>
      <c r="AC1442" s="82"/>
      <c r="AD1442" s="82"/>
      <c r="AE1442" s="82"/>
      <c r="AF1442" s="82"/>
      <c r="AG1442" s="82"/>
      <c r="AH1442" s="82"/>
      <c r="AI1442" s="82"/>
      <c r="AJ1442" s="82"/>
      <c r="AK1442" s="82"/>
      <c r="AL1442" s="82"/>
      <c r="AM1442" s="82"/>
      <c r="AN1442" s="82">
        <f>IFERROR(__xludf.DUMMYFUNCTION("""COMPUTED_VALUE"""),0.0)</f>
        <v>0</v>
      </c>
      <c r="AO1442" s="82">
        <f>IFERROR(__xludf.DUMMYFUNCTION("""COMPUTED_VALUE"""),0.0)</f>
        <v>0</v>
      </c>
      <c r="AP1442" s="82">
        <f>IFERROR(__xludf.DUMMYFUNCTION("""COMPUTED_VALUE"""),0.0)</f>
        <v>0</v>
      </c>
      <c r="AQ1442" s="82">
        <f>IFERROR(__xludf.DUMMYFUNCTION("""COMPUTED_VALUE"""),0.0)</f>
        <v>0</v>
      </c>
      <c r="AR1442" s="82">
        <f>IFERROR(__xludf.DUMMYFUNCTION("""COMPUTED_VALUE"""),0.0)</f>
        <v>0</v>
      </c>
      <c r="AS1442" s="82"/>
      <c r="AT1442" s="82">
        <f>IFERROR(__xludf.DUMMYFUNCTION("""COMPUTED_VALUE"""),0.0)</f>
        <v>0</v>
      </c>
      <c r="AU1442" s="82"/>
      <c r="AV1442" s="82"/>
      <c r="AW1442" s="82" t="str">
        <f t="shared" si="1"/>
        <v/>
      </c>
      <c r="AX1442" s="83" t="str">
        <f t="array" ref="AX1442">IFERROR(DGET('SBV Import'!A:G,"SBV",{"RSC ID","Tier";B1442,A1442}))</f>
        <v/>
      </c>
      <c r="AY1442" s="82" t="str">
        <f t="shared" si="2"/>
        <v/>
      </c>
      <c r="AZ1442" s="82"/>
      <c r="BA1442" s="84" t="s">
        <v>152</v>
      </c>
      <c r="BB1442" s="84" t="str">
        <f>IFERROR(__xludf.DUMMYFUNCTION("iferror(if(A1442="""",,E1442&gt;=FILTER(Constants!$F$2:$F$10,Constants!$A$2:$A$10=A1442)))"),"")</f>
        <v/>
      </c>
    </row>
    <row r="1443">
      <c r="A1443" s="89"/>
      <c r="B1443" s="87"/>
      <c r="C1443" s="73"/>
      <c r="D1443" s="73"/>
      <c r="E1443" s="82"/>
      <c r="F1443" s="82"/>
      <c r="G1443" s="86"/>
      <c r="H1443" s="86"/>
      <c r="I1443" s="86"/>
      <c r="J1443" s="82"/>
      <c r="K1443" s="82"/>
      <c r="L1443" s="82"/>
      <c r="M1443" s="82"/>
      <c r="N1443" s="82"/>
      <c r="O1443" s="82"/>
      <c r="P1443" s="82"/>
      <c r="Q1443" s="82"/>
      <c r="R1443" s="82"/>
      <c r="S1443" s="82"/>
      <c r="T1443" s="82"/>
      <c r="U1443" s="82"/>
      <c r="V1443" s="82"/>
      <c r="W1443" s="82"/>
      <c r="X1443" s="82"/>
      <c r="Y1443" s="82"/>
      <c r="Z1443" s="82"/>
      <c r="AA1443" s="82"/>
      <c r="AB1443" s="82"/>
      <c r="AC1443" s="82"/>
      <c r="AD1443" s="82"/>
      <c r="AE1443" s="82"/>
      <c r="AF1443" s="82"/>
      <c r="AG1443" s="82"/>
      <c r="AH1443" s="82"/>
      <c r="AI1443" s="82"/>
      <c r="AJ1443" s="82"/>
      <c r="AK1443" s="82"/>
      <c r="AL1443" s="82"/>
      <c r="AM1443" s="82"/>
      <c r="AN1443" s="82">
        <f>IFERROR(__xludf.DUMMYFUNCTION("""COMPUTED_VALUE"""),0.0)</f>
        <v>0</v>
      </c>
      <c r="AO1443" s="82">
        <f>IFERROR(__xludf.DUMMYFUNCTION("""COMPUTED_VALUE"""),0.0)</f>
        <v>0</v>
      </c>
      <c r="AP1443" s="82">
        <f>IFERROR(__xludf.DUMMYFUNCTION("""COMPUTED_VALUE"""),0.0)</f>
        <v>0</v>
      </c>
      <c r="AQ1443" s="82">
        <f>IFERROR(__xludf.DUMMYFUNCTION("""COMPUTED_VALUE"""),0.0)</f>
        <v>0</v>
      </c>
      <c r="AR1443" s="82">
        <f>IFERROR(__xludf.DUMMYFUNCTION("""COMPUTED_VALUE"""),0.0)</f>
        <v>0</v>
      </c>
      <c r="AS1443" s="82"/>
      <c r="AT1443" s="82">
        <f>IFERROR(__xludf.DUMMYFUNCTION("""COMPUTED_VALUE"""),0.0)</f>
        <v>0</v>
      </c>
      <c r="AU1443" s="82"/>
      <c r="AV1443" s="82"/>
      <c r="AW1443" s="82" t="str">
        <f t="shared" si="1"/>
        <v/>
      </c>
      <c r="AX1443" s="83" t="str">
        <f t="array" ref="AX1443">IFERROR(DGET('SBV Import'!A:G,"SBV",{"RSC ID","Tier";B1443,A1443}))</f>
        <v/>
      </c>
      <c r="AY1443" s="82" t="str">
        <f t="shared" si="2"/>
        <v/>
      </c>
      <c r="AZ1443" s="82"/>
      <c r="BA1443" s="84" t="s">
        <v>152</v>
      </c>
      <c r="BB1443" s="84" t="str">
        <f>IFERROR(__xludf.DUMMYFUNCTION("iferror(if(A1443="""",,E1443&gt;=FILTER(Constants!$F$2:$F$10,Constants!$A$2:$A$10=A1443)))"),"")</f>
        <v/>
      </c>
    </row>
    <row r="1444">
      <c r="A1444" s="89"/>
      <c r="B1444" s="87"/>
      <c r="C1444" s="73"/>
      <c r="D1444" s="73"/>
      <c r="E1444" s="82"/>
      <c r="F1444" s="82"/>
      <c r="G1444" s="86"/>
      <c r="H1444" s="86"/>
      <c r="I1444" s="86"/>
      <c r="J1444" s="82"/>
      <c r="K1444" s="82"/>
      <c r="L1444" s="82"/>
      <c r="M1444" s="82"/>
      <c r="N1444" s="82"/>
      <c r="O1444" s="82"/>
      <c r="P1444" s="82"/>
      <c r="Q1444" s="82"/>
      <c r="R1444" s="82"/>
      <c r="S1444" s="82"/>
      <c r="T1444" s="82"/>
      <c r="U1444" s="82"/>
      <c r="V1444" s="82"/>
      <c r="W1444" s="82"/>
      <c r="X1444" s="82"/>
      <c r="Y1444" s="82"/>
      <c r="Z1444" s="82"/>
      <c r="AA1444" s="82"/>
      <c r="AB1444" s="82"/>
      <c r="AC1444" s="82"/>
      <c r="AD1444" s="82"/>
      <c r="AE1444" s="82"/>
      <c r="AF1444" s="82"/>
      <c r="AG1444" s="82"/>
      <c r="AH1444" s="82"/>
      <c r="AI1444" s="82"/>
      <c r="AJ1444" s="82"/>
      <c r="AK1444" s="82"/>
      <c r="AL1444" s="82"/>
      <c r="AM1444" s="82"/>
      <c r="AN1444" s="82">
        <f>IFERROR(__xludf.DUMMYFUNCTION("""COMPUTED_VALUE"""),0.0)</f>
        <v>0</v>
      </c>
      <c r="AO1444" s="82">
        <f>IFERROR(__xludf.DUMMYFUNCTION("""COMPUTED_VALUE"""),0.0)</f>
        <v>0</v>
      </c>
      <c r="AP1444" s="82">
        <f>IFERROR(__xludf.DUMMYFUNCTION("""COMPUTED_VALUE"""),0.0)</f>
        <v>0</v>
      </c>
      <c r="AQ1444" s="82">
        <f>IFERROR(__xludf.DUMMYFUNCTION("""COMPUTED_VALUE"""),0.0)</f>
        <v>0</v>
      </c>
      <c r="AR1444" s="82">
        <f>IFERROR(__xludf.DUMMYFUNCTION("""COMPUTED_VALUE"""),0.0)</f>
        <v>0</v>
      </c>
      <c r="AS1444" s="82"/>
      <c r="AT1444" s="82">
        <f>IFERROR(__xludf.DUMMYFUNCTION("""COMPUTED_VALUE"""),0.0)</f>
        <v>0</v>
      </c>
      <c r="AU1444" s="82"/>
      <c r="AV1444" s="82"/>
      <c r="AW1444" s="82" t="str">
        <f t="shared" si="1"/>
        <v/>
      </c>
      <c r="AX1444" s="83" t="str">
        <f t="array" ref="AX1444">IFERROR(DGET('SBV Import'!A:G,"SBV",{"RSC ID","Tier";B1444,A1444}))</f>
        <v/>
      </c>
      <c r="AY1444" s="82" t="str">
        <f t="shared" si="2"/>
        <v/>
      </c>
      <c r="AZ1444" s="82"/>
      <c r="BA1444" s="84" t="s">
        <v>152</v>
      </c>
      <c r="BB1444" s="84" t="str">
        <f>IFERROR(__xludf.DUMMYFUNCTION("iferror(if(A1444="""",,E1444&gt;=FILTER(Constants!$F$2:$F$10,Constants!$A$2:$A$10=A1444)))"),"")</f>
        <v/>
      </c>
    </row>
    <row r="1445">
      <c r="A1445" s="89"/>
      <c r="B1445" s="87"/>
      <c r="C1445" s="73"/>
      <c r="D1445" s="73"/>
      <c r="E1445" s="82"/>
      <c r="F1445" s="82"/>
      <c r="G1445" s="86"/>
      <c r="H1445" s="86"/>
      <c r="I1445" s="86"/>
      <c r="J1445" s="82"/>
      <c r="K1445" s="82"/>
      <c r="L1445" s="82"/>
      <c r="M1445" s="82"/>
      <c r="N1445" s="82"/>
      <c r="O1445" s="82"/>
      <c r="P1445" s="82"/>
      <c r="Q1445" s="82"/>
      <c r="R1445" s="82"/>
      <c r="S1445" s="82"/>
      <c r="T1445" s="82"/>
      <c r="U1445" s="82"/>
      <c r="V1445" s="82"/>
      <c r="W1445" s="82"/>
      <c r="X1445" s="82"/>
      <c r="Y1445" s="82"/>
      <c r="Z1445" s="82"/>
      <c r="AA1445" s="82"/>
      <c r="AB1445" s="82"/>
      <c r="AC1445" s="82"/>
      <c r="AD1445" s="82"/>
      <c r="AE1445" s="82"/>
      <c r="AF1445" s="82"/>
      <c r="AG1445" s="82"/>
      <c r="AH1445" s="82"/>
      <c r="AI1445" s="82"/>
      <c r="AJ1445" s="82"/>
      <c r="AK1445" s="82"/>
      <c r="AL1445" s="82"/>
      <c r="AM1445" s="82"/>
      <c r="AN1445" s="82">
        <f>IFERROR(__xludf.DUMMYFUNCTION("""COMPUTED_VALUE"""),0.0)</f>
        <v>0</v>
      </c>
      <c r="AO1445" s="82">
        <f>IFERROR(__xludf.DUMMYFUNCTION("""COMPUTED_VALUE"""),0.0)</f>
        <v>0</v>
      </c>
      <c r="AP1445" s="82">
        <f>IFERROR(__xludf.DUMMYFUNCTION("""COMPUTED_VALUE"""),0.0)</f>
        <v>0</v>
      </c>
      <c r="AQ1445" s="82">
        <f>IFERROR(__xludf.DUMMYFUNCTION("""COMPUTED_VALUE"""),0.0)</f>
        <v>0</v>
      </c>
      <c r="AR1445" s="82">
        <f>IFERROR(__xludf.DUMMYFUNCTION("""COMPUTED_VALUE"""),0.0)</f>
        <v>0</v>
      </c>
      <c r="AS1445" s="82"/>
      <c r="AT1445" s="82">
        <f>IFERROR(__xludf.DUMMYFUNCTION("""COMPUTED_VALUE"""),0.0)</f>
        <v>0</v>
      </c>
      <c r="AU1445" s="82"/>
      <c r="AV1445" s="82"/>
      <c r="AW1445" s="82" t="str">
        <f t="shared" si="1"/>
        <v/>
      </c>
      <c r="AX1445" s="83" t="str">
        <f t="array" ref="AX1445">IFERROR(DGET('SBV Import'!A:G,"SBV",{"RSC ID","Tier";B1445,A1445}))</f>
        <v/>
      </c>
      <c r="AY1445" s="82" t="str">
        <f t="shared" si="2"/>
        <v/>
      </c>
      <c r="AZ1445" s="82"/>
      <c r="BA1445" s="84" t="s">
        <v>152</v>
      </c>
      <c r="BB1445" s="84" t="str">
        <f>IFERROR(__xludf.DUMMYFUNCTION("iferror(if(A1445="""",,E1445&gt;=FILTER(Constants!$F$2:$F$10,Constants!$A$2:$A$10=A1445)))"),"")</f>
        <v/>
      </c>
    </row>
    <row r="1446">
      <c r="A1446" s="89"/>
      <c r="B1446" s="87"/>
      <c r="C1446" s="73"/>
      <c r="D1446" s="73"/>
      <c r="E1446" s="82"/>
      <c r="F1446" s="82"/>
      <c r="G1446" s="86"/>
      <c r="H1446" s="86"/>
      <c r="I1446" s="86"/>
      <c r="J1446" s="82"/>
      <c r="K1446" s="82"/>
      <c r="L1446" s="82"/>
      <c r="M1446" s="82"/>
      <c r="N1446" s="82"/>
      <c r="O1446" s="82"/>
      <c r="P1446" s="82"/>
      <c r="Q1446" s="82"/>
      <c r="R1446" s="82"/>
      <c r="S1446" s="82"/>
      <c r="T1446" s="82"/>
      <c r="U1446" s="82"/>
      <c r="V1446" s="82"/>
      <c r="W1446" s="82"/>
      <c r="X1446" s="82"/>
      <c r="Y1446" s="82"/>
      <c r="Z1446" s="82"/>
      <c r="AA1446" s="82"/>
      <c r="AB1446" s="82"/>
      <c r="AC1446" s="82"/>
      <c r="AD1446" s="82"/>
      <c r="AE1446" s="82"/>
      <c r="AF1446" s="82"/>
      <c r="AG1446" s="82"/>
      <c r="AH1446" s="82"/>
      <c r="AI1446" s="82"/>
      <c r="AJ1446" s="82"/>
      <c r="AK1446" s="82"/>
      <c r="AL1446" s="82"/>
      <c r="AM1446" s="82"/>
      <c r="AN1446" s="82">
        <f>IFERROR(__xludf.DUMMYFUNCTION("""COMPUTED_VALUE"""),0.0)</f>
        <v>0</v>
      </c>
      <c r="AO1446" s="82">
        <f>IFERROR(__xludf.DUMMYFUNCTION("""COMPUTED_VALUE"""),0.0)</f>
        <v>0</v>
      </c>
      <c r="AP1446" s="82">
        <f>IFERROR(__xludf.DUMMYFUNCTION("""COMPUTED_VALUE"""),0.0)</f>
        <v>0</v>
      </c>
      <c r="AQ1446" s="82">
        <f>IFERROR(__xludf.DUMMYFUNCTION("""COMPUTED_VALUE"""),0.0)</f>
        <v>0</v>
      </c>
      <c r="AR1446" s="82">
        <f>IFERROR(__xludf.DUMMYFUNCTION("""COMPUTED_VALUE"""),0.0)</f>
        <v>0</v>
      </c>
      <c r="AS1446" s="82"/>
      <c r="AT1446" s="82">
        <f>IFERROR(__xludf.DUMMYFUNCTION("""COMPUTED_VALUE"""),0.0)</f>
        <v>0</v>
      </c>
      <c r="AU1446" s="82"/>
      <c r="AV1446" s="82"/>
      <c r="AW1446" s="82" t="str">
        <f t="shared" si="1"/>
        <v/>
      </c>
      <c r="AX1446" s="83" t="str">
        <f t="array" ref="AX1446">IFERROR(DGET('SBV Import'!A:G,"SBV",{"RSC ID","Tier";B1446,A1446}))</f>
        <v/>
      </c>
      <c r="AY1446" s="82" t="str">
        <f t="shared" si="2"/>
        <v/>
      </c>
      <c r="AZ1446" s="82"/>
      <c r="BA1446" s="84" t="s">
        <v>152</v>
      </c>
      <c r="BB1446" s="84" t="str">
        <f>IFERROR(__xludf.DUMMYFUNCTION("iferror(if(A1446="""",,E1446&gt;=FILTER(Constants!$F$2:$F$10,Constants!$A$2:$A$10=A1446)))"),"")</f>
        <v/>
      </c>
    </row>
    <row r="1447">
      <c r="A1447" s="89"/>
      <c r="B1447" s="87"/>
      <c r="C1447" s="73"/>
      <c r="D1447" s="73"/>
      <c r="E1447" s="82"/>
      <c r="F1447" s="82"/>
      <c r="G1447" s="86"/>
      <c r="H1447" s="86"/>
      <c r="I1447" s="86"/>
      <c r="J1447" s="82"/>
      <c r="K1447" s="82"/>
      <c r="L1447" s="82"/>
      <c r="M1447" s="82"/>
      <c r="N1447" s="82"/>
      <c r="O1447" s="82"/>
      <c r="P1447" s="82"/>
      <c r="Q1447" s="82"/>
      <c r="R1447" s="82"/>
      <c r="S1447" s="82"/>
      <c r="T1447" s="82"/>
      <c r="U1447" s="82"/>
      <c r="V1447" s="82"/>
      <c r="W1447" s="82"/>
      <c r="X1447" s="82"/>
      <c r="Y1447" s="82"/>
      <c r="Z1447" s="82"/>
      <c r="AA1447" s="82"/>
      <c r="AB1447" s="82"/>
      <c r="AC1447" s="82"/>
      <c r="AD1447" s="82"/>
      <c r="AE1447" s="82"/>
      <c r="AF1447" s="82"/>
      <c r="AG1447" s="82"/>
      <c r="AH1447" s="82"/>
      <c r="AI1447" s="82"/>
      <c r="AJ1447" s="82"/>
      <c r="AK1447" s="82"/>
      <c r="AL1447" s="82"/>
      <c r="AM1447" s="82"/>
      <c r="AN1447" s="82">
        <f>IFERROR(__xludf.DUMMYFUNCTION("""COMPUTED_VALUE"""),0.0)</f>
        <v>0</v>
      </c>
      <c r="AO1447" s="82">
        <f>IFERROR(__xludf.DUMMYFUNCTION("""COMPUTED_VALUE"""),0.0)</f>
        <v>0</v>
      </c>
      <c r="AP1447" s="82">
        <f>IFERROR(__xludf.DUMMYFUNCTION("""COMPUTED_VALUE"""),0.0)</f>
        <v>0</v>
      </c>
      <c r="AQ1447" s="82">
        <f>IFERROR(__xludf.DUMMYFUNCTION("""COMPUTED_VALUE"""),0.0)</f>
        <v>0</v>
      </c>
      <c r="AR1447" s="82">
        <f>IFERROR(__xludf.DUMMYFUNCTION("""COMPUTED_VALUE"""),0.0)</f>
        <v>0</v>
      </c>
      <c r="AS1447" s="82"/>
      <c r="AT1447" s="82">
        <f>IFERROR(__xludf.DUMMYFUNCTION("""COMPUTED_VALUE"""),0.0)</f>
        <v>0</v>
      </c>
      <c r="AU1447" s="82"/>
      <c r="AV1447" s="82"/>
      <c r="AW1447" s="82" t="str">
        <f t="shared" si="1"/>
        <v/>
      </c>
      <c r="AX1447" s="83" t="str">
        <f t="array" ref="AX1447">IFERROR(DGET('SBV Import'!A:G,"SBV",{"RSC ID","Tier";B1447,A1447}))</f>
        <v/>
      </c>
      <c r="AY1447" s="82" t="str">
        <f t="shared" si="2"/>
        <v/>
      </c>
      <c r="AZ1447" s="82"/>
      <c r="BA1447" s="84" t="s">
        <v>152</v>
      </c>
      <c r="BB1447" s="84" t="str">
        <f>IFERROR(__xludf.DUMMYFUNCTION("iferror(if(A1447="""",,E1447&gt;=FILTER(Constants!$F$2:$F$10,Constants!$A$2:$A$10=A1447)))"),"")</f>
        <v/>
      </c>
    </row>
    <row r="1448">
      <c r="A1448" s="89"/>
      <c r="B1448" s="87"/>
      <c r="C1448" s="73"/>
      <c r="D1448" s="73"/>
      <c r="E1448" s="82"/>
      <c r="F1448" s="82"/>
      <c r="G1448" s="86"/>
      <c r="H1448" s="86"/>
      <c r="I1448" s="86"/>
      <c r="J1448" s="82"/>
      <c r="K1448" s="82"/>
      <c r="L1448" s="82"/>
      <c r="M1448" s="82"/>
      <c r="N1448" s="82"/>
      <c r="O1448" s="82"/>
      <c r="P1448" s="82"/>
      <c r="Q1448" s="82"/>
      <c r="R1448" s="82"/>
      <c r="S1448" s="82"/>
      <c r="T1448" s="82"/>
      <c r="U1448" s="82"/>
      <c r="V1448" s="82"/>
      <c r="W1448" s="82"/>
      <c r="X1448" s="82"/>
      <c r="Y1448" s="82"/>
      <c r="Z1448" s="82"/>
      <c r="AA1448" s="82"/>
      <c r="AB1448" s="82"/>
      <c r="AC1448" s="82"/>
      <c r="AD1448" s="82"/>
      <c r="AE1448" s="82"/>
      <c r="AF1448" s="82"/>
      <c r="AG1448" s="82"/>
      <c r="AH1448" s="82"/>
      <c r="AI1448" s="82"/>
      <c r="AJ1448" s="82"/>
      <c r="AK1448" s="82"/>
      <c r="AL1448" s="82"/>
      <c r="AM1448" s="82"/>
      <c r="AN1448" s="82">
        <f>IFERROR(__xludf.DUMMYFUNCTION("""COMPUTED_VALUE"""),0.0)</f>
        <v>0</v>
      </c>
      <c r="AO1448" s="82">
        <f>IFERROR(__xludf.DUMMYFUNCTION("""COMPUTED_VALUE"""),0.0)</f>
        <v>0</v>
      </c>
      <c r="AP1448" s="82">
        <f>IFERROR(__xludf.DUMMYFUNCTION("""COMPUTED_VALUE"""),0.0)</f>
        <v>0</v>
      </c>
      <c r="AQ1448" s="82">
        <f>IFERROR(__xludf.DUMMYFUNCTION("""COMPUTED_VALUE"""),0.0)</f>
        <v>0</v>
      </c>
      <c r="AR1448" s="82">
        <f>IFERROR(__xludf.DUMMYFUNCTION("""COMPUTED_VALUE"""),0.0)</f>
        <v>0</v>
      </c>
      <c r="AS1448" s="82"/>
      <c r="AT1448" s="82">
        <f>IFERROR(__xludf.DUMMYFUNCTION("""COMPUTED_VALUE"""),0.0)</f>
        <v>0</v>
      </c>
      <c r="AU1448" s="82"/>
      <c r="AV1448" s="82"/>
      <c r="AW1448" s="82" t="str">
        <f t="shared" si="1"/>
        <v/>
      </c>
      <c r="AX1448" s="83" t="str">
        <f t="array" ref="AX1448">IFERROR(DGET('SBV Import'!A:G,"SBV",{"RSC ID","Tier";B1448,A1448}))</f>
        <v/>
      </c>
      <c r="AY1448" s="82" t="str">
        <f t="shared" si="2"/>
        <v/>
      </c>
      <c r="AZ1448" s="82"/>
      <c r="BA1448" s="84" t="s">
        <v>152</v>
      </c>
      <c r="BB1448" s="84" t="str">
        <f>IFERROR(__xludf.DUMMYFUNCTION("iferror(if(A1448="""",,E1448&gt;=FILTER(Constants!$F$2:$F$10,Constants!$A$2:$A$10=A1448)))"),"")</f>
        <v/>
      </c>
    </row>
    <row r="1449">
      <c r="A1449" s="89"/>
      <c r="B1449" s="87"/>
      <c r="C1449" s="73"/>
      <c r="D1449" s="73"/>
      <c r="E1449" s="82"/>
      <c r="F1449" s="82"/>
      <c r="G1449" s="86"/>
      <c r="H1449" s="86"/>
      <c r="I1449" s="86"/>
      <c r="J1449" s="82"/>
      <c r="K1449" s="82"/>
      <c r="L1449" s="82"/>
      <c r="M1449" s="82"/>
      <c r="N1449" s="82"/>
      <c r="O1449" s="82"/>
      <c r="P1449" s="82"/>
      <c r="Q1449" s="82"/>
      <c r="R1449" s="82"/>
      <c r="S1449" s="82"/>
      <c r="T1449" s="82"/>
      <c r="U1449" s="82"/>
      <c r="V1449" s="82"/>
      <c r="W1449" s="82"/>
      <c r="X1449" s="82"/>
      <c r="Y1449" s="82"/>
      <c r="Z1449" s="82"/>
      <c r="AA1449" s="82"/>
      <c r="AB1449" s="82"/>
      <c r="AC1449" s="82"/>
      <c r="AD1449" s="82"/>
      <c r="AE1449" s="82"/>
      <c r="AF1449" s="82"/>
      <c r="AG1449" s="82"/>
      <c r="AH1449" s="82"/>
      <c r="AI1449" s="82"/>
      <c r="AJ1449" s="82"/>
      <c r="AK1449" s="82"/>
      <c r="AL1449" s="82"/>
      <c r="AM1449" s="82"/>
      <c r="AN1449" s="82">
        <f>IFERROR(__xludf.DUMMYFUNCTION("""COMPUTED_VALUE"""),0.0)</f>
        <v>0</v>
      </c>
      <c r="AO1449" s="82">
        <f>IFERROR(__xludf.DUMMYFUNCTION("""COMPUTED_VALUE"""),0.0)</f>
        <v>0</v>
      </c>
      <c r="AP1449" s="82">
        <f>IFERROR(__xludf.DUMMYFUNCTION("""COMPUTED_VALUE"""),0.0)</f>
        <v>0</v>
      </c>
      <c r="AQ1449" s="82">
        <f>IFERROR(__xludf.DUMMYFUNCTION("""COMPUTED_VALUE"""),0.0)</f>
        <v>0</v>
      </c>
      <c r="AR1449" s="82">
        <f>IFERROR(__xludf.DUMMYFUNCTION("""COMPUTED_VALUE"""),0.0)</f>
        <v>0</v>
      </c>
      <c r="AS1449" s="82"/>
      <c r="AT1449" s="82">
        <f>IFERROR(__xludf.DUMMYFUNCTION("""COMPUTED_VALUE"""),0.0)</f>
        <v>0</v>
      </c>
      <c r="AU1449" s="82"/>
      <c r="AV1449" s="82"/>
      <c r="AW1449" s="82" t="str">
        <f t="shared" si="1"/>
        <v/>
      </c>
      <c r="AX1449" s="83" t="str">
        <f t="array" ref="AX1449">IFERROR(DGET('SBV Import'!A:G,"SBV",{"RSC ID","Tier";B1449,A1449}))</f>
        <v/>
      </c>
      <c r="AY1449" s="82" t="str">
        <f t="shared" si="2"/>
        <v/>
      </c>
      <c r="AZ1449" s="82"/>
      <c r="BA1449" s="84" t="s">
        <v>152</v>
      </c>
      <c r="BB1449" s="84" t="str">
        <f>IFERROR(__xludf.DUMMYFUNCTION("iferror(if(A1449="""",,E1449&gt;=FILTER(Constants!$F$2:$F$10,Constants!$A$2:$A$10=A1449)))"),"")</f>
        <v/>
      </c>
    </row>
    <row r="1450">
      <c r="A1450" s="89"/>
      <c r="B1450" s="87"/>
      <c r="C1450" s="73"/>
      <c r="D1450" s="73"/>
      <c r="E1450" s="82"/>
      <c r="F1450" s="82"/>
      <c r="G1450" s="86"/>
      <c r="H1450" s="86"/>
      <c r="I1450" s="86"/>
      <c r="J1450" s="82"/>
      <c r="K1450" s="82"/>
      <c r="L1450" s="82"/>
      <c r="M1450" s="82"/>
      <c r="N1450" s="82"/>
      <c r="O1450" s="82"/>
      <c r="P1450" s="82"/>
      <c r="Q1450" s="82"/>
      <c r="R1450" s="82"/>
      <c r="S1450" s="82"/>
      <c r="T1450" s="82"/>
      <c r="U1450" s="82"/>
      <c r="V1450" s="82"/>
      <c r="W1450" s="82"/>
      <c r="X1450" s="82"/>
      <c r="Y1450" s="82"/>
      <c r="Z1450" s="82"/>
      <c r="AA1450" s="82"/>
      <c r="AB1450" s="82"/>
      <c r="AC1450" s="82"/>
      <c r="AD1450" s="82"/>
      <c r="AE1450" s="82"/>
      <c r="AF1450" s="82"/>
      <c r="AG1450" s="82"/>
      <c r="AH1450" s="82"/>
      <c r="AI1450" s="82"/>
      <c r="AJ1450" s="82"/>
      <c r="AK1450" s="82"/>
      <c r="AL1450" s="82"/>
      <c r="AM1450" s="82"/>
      <c r="AN1450" s="82">
        <f>IFERROR(__xludf.DUMMYFUNCTION("""COMPUTED_VALUE"""),0.0)</f>
        <v>0</v>
      </c>
      <c r="AO1450" s="82">
        <f>IFERROR(__xludf.DUMMYFUNCTION("""COMPUTED_VALUE"""),0.0)</f>
        <v>0</v>
      </c>
      <c r="AP1450" s="82">
        <f>IFERROR(__xludf.DUMMYFUNCTION("""COMPUTED_VALUE"""),0.0)</f>
        <v>0</v>
      </c>
      <c r="AQ1450" s="82">
        <f>IFERROR(__xludf.DUMMYFUNCTION("""COMPUTED_VALUE"""),0.0)</f>
        <v>0</v>
      </c>
      <c r="AR1450" s="82">
        <f>IFERROR(__xludf.DUMMYFUNCTION("""COMPUTED_VALUE"""),0.0)</f>
        <v>0</v>
      </c>
      <c r="AS1450" s="82"/>
      <c r="AT1450" s="82">
        <f>IFERROR(__xludf.DUMMYFUNCTION("""COMPUTED_VALUE"""),0.0)</f>
        <v>0</v>
      </c>
      <c r="AU1450" s="82"/>
      <c r="AV1450" s="82"/>
      <c r="AW1450" s="82" t="str">
        <f t="shared" si="1"/>
        <v/>
      </c>
      <c r="AX1450" s="83" t="str">
        <f t="array" ref="AX1450">IFERROR(DGET('SBV Import'!A:G,"SBV",{"RSC ID","Tier";B1450,A1450}))</f>
        <v/>
      </c>
      <c r="AY1450" s="82" t="str">
        <f t="shared" si="2"/>
        <v/>
      </c>
      <c r="AZ1450" s="82"/>
      <c r="BA1450" s="84" t="s">
        <v>152</v>
      </c>
      <c r="BB1450" s="84" t="str">
        <f>IFERROR(__xludf.DUMMYFUNCTION("iferror(if(A1450="""",,E1450&gt;=FILTER(Constants!$F$2:$F$10,Constants!$A$2:$A$10=A1450)))"),"")</f>
        <v/>
      </c>
    </row>
    <row r="1451">
      <c r="A1451" s="89"/>
      <c r="B1451" s="87"/>
      <c r="C1451" s="73"/>
      <c r="D1451" s="73"/>
      <c r="E1451" s="82"/>
      <c r="F1451" s="82"/>
      <c r="G1451" s="86"/>
      <c r="H1451" s="86"/>
      <c r="I1451" s="86"/>
      <c r="J1451" s="82"/>
      <c r="K1451" s="82"/>
      <c r="L1451" s="82"/>
      <c r="M1451" s="82"/>
      <c r="N1451" s="82"/>
      <c r="O1451" s="82"/>
      <c r="P1451" s="82"/>
      <c r="Q1451" s="82"/>
      <c r="R1451" s="82"/>
      <c r="S1451" s="82"/>
      <c r="T1451" s="82"/>
      <c r="U1451" s="82"/>
      <c r="V1451" s="82"/>
      <c r="W1451" s="82"/>
      <c r="X1451" s="82"/>
      <c r="Y1451" s="82"/>
      <c r="Z1451" s="82"/>
      <c r="AA1451" s="82"/>
      <c r="AB1451" s="82"/>
      <c r="AC1451" s="82"/>
      <c r="AD1451" s="82"/>
      <c r="AE1451" s="82"/>
      <c r="AF1451" s="82"/>
      <c r="AG1451" s="82"/>
      <c r="AH1451" s="82"/>
      <c r="AI1451" s="82"/>
      <c r="AJ1451" s="82"/>
      <c r="AK1451" s="82"/>
      <c r="AL1451" s="82"/>
      <c r="AM1451" s="82"/>
      <c r="AN1451" s="82">
        <f>IFERROR(__xludf.DUMMYFUNCTION("""COMPUTED_VALUE"""),0.0)</f>
        <v>0</v>
      </c>
      <c r="AO1451" s="82">
        <f>IFERROR(__xludf.DUMMYFUNCTION("""COMPUTED_VALUE"""),0.0)</f>
        <v>0</v>
      </c>
      <c r="AP1451" s="82">
        <f>IFERROR(__xludf.DUMMYFUNCTION("""COMPUTED_VALUE"""),0.0)</f>
        <v>0</v>
      </c>
      <c r="AQ1451" s="82">
        <f>IFERROR(__xludf.DUMMYFUNCTION("""COMPUTED_VALUE"""),0.0)</f>
        <v>0</v>
      </c>
      <c r="AR1451" s="82">
        <f>IFERROR(__xludf.DUMMYFUNCTION("""COMPUTED_VALUE"""),0.0)</f>
        <v>0</v>
      </c>
      <c r="AS1451" s="82"/>
      <c r="AT1451" s="82">
        <f>IFERROR(__xludf.DUMMYFUNCTION("""COMPUTED_VALUE"""),0.0)</f>
        <v>0</v>
      </c>
      <c r="AU1451" s="82"/>
      <c r="AV1451" s="82"/>
      <c r="AW1451" s="82" t="str">
        <f t="shared" si="1"/>
        <v/>
      </c>
      <c r="AX1451" s="83" t="str">
        <f t="array" ref="AX1451">IFERROR(DGET('SBV Import'!A:G,"SBV",{"RSC ID","Tier";B1451,A1451}))</f>
        <v/>
      </c>
      <c r="AY1451" s="82" t="str">
        <f t="shared" si="2"/>
        <v/>
      </c>
      <c r="AZ1451" s="82"/>
      <c r="BA1451" s="84" t="s">
        <v>152</v>
      </c>
      <c r="BB1451" s="84" t="str">
        <f>IFERROR(__xludf.DUMMYFUNCTION("iferror(if(A1451="""",,E1451&gt;=FILTER(Constants!$F$2:$F$10,Constants!$A$2:$A$10=A1451)))"),"")</f>
        <v/>
      </c>
    </row>
    <row r="1452">
      <c r="A1452" s="89"/>
      <c r="B1452" s="87"/>
      <c r="C1452" s="73"/>
      <c r="D1452" s="73"/>
      <c r="E1452" s="82"/>
      <c r="F1452" s="82"/>
      <c r="G1452" s="86"/>
      <c r="H1452" s="86"/>
      <c r="I1452" s="86"/>
      <c r="J1452" s="82"/>
      <c r="K1452" s="82"/>
      <c r="L1452" s="82"/>
      <c r="M1452" s="82"/>
      <c r="N1452" s="82"/>
      <c r="O1452" s="82"/>
      <c r="P1452" s="82"/>
      <c r="Q1452" s="82"/>
      <c r="R1452" s="82"/>
      <c r="S1452" s="82"/>
      <c r="T1452" s="82"/>
      <c r="U1452" s="82"/>
      <c r="V1452" s="82"/>
      <c r="W1452" s="82"/>
      <c r="X1452" s="82"/>
      <c r="Y1452" s="82"/>
      <c r="Z1452" s="82"/>
      <c r="AA1452" s="82"/>
      <c r="AB1452" s="82"/>
      <c r="AC1452" s="82"/>
      <c r="AD1452" s="82"/>
      <c r="AE1452" s="82"/>
      <c r="AF1452" s="82"/>
      <c r="AG1452" s="82"/>
      <c r="AH1452" s="82"/>
      <c r="AI1452" s="82"/>
      <c r="AJ1452" s="82"/>
      <c r="AK1452" s="82"/>
      <c r="AL1452" s="82"/>
      <c r="AM1452" s="82"/>
      <c r="AN1452" s="82">
        <f>IFERROR(__xludf.DUMMYFUNCTION("""COMPUTED_VALUE"""),0.0)</f>
        <v>0</v>
      </c>
      <c r="AO1452" s="82">
        <f>IFERROR(__xludf.DUMMYFUNCTION("""COMPUTED_VALUE"""),0.0)</f>
        <v>0</v>
      </c>
      <c r="AP1452" s="82">
        <f>IFERROR(__xludf.DUMMYFUNCTION("""COMPUTED_VALUE"""),0.0)</f>
        <v>0</v>
      </c>
      <c r="AQ1452" s="82">
        <f>IFERROR(__xludf.DUMMYFUNCTION("""COMPUTED_VALUE"""),0.0)</f>
        <v>0</v>
      </c>
      <c r="AR1452" s="82">
        <f>IFERROR(__xludf.DUMMYFUNCTION("""COMPUTED_VALUE"""),0.0)</f>
        <v>0</v>
      </c>
      <c r="AS1452" s="82"/>
      <c r="AT1452" s="82">
        <f>IFERROR(__xludf.DUMMYFUNCTION("""COMPUTED_VALUE"""),0.0)</f>
        <v>0</v>
      </c>
      <c r="AU1452" s="82"/>
      <c r="AV1452" s="82"/>
      <c r="AW1452" s="82" t="str">
        <f t="shared" si="1"/>
        <v/>
      </c>
      <c r="AX1452" s="83" t="str">
        <f t="array" ref="AX1452">IFERROR(DGET('SBV Import'!A:G,"SBV",{"RSC ID","Tier";B1452,A1452}))</f>
        <v/>
      </c>
      <c r="AY1452" s="82" t="str">
        <f t="shared" si="2"/>
        <v/>
      </c>
      <c r="AZ1452" s="82"/>
      <c r="BA1452" s="84" t="s">
        <v>152</v>
      </c>
      <c r="BB1452" s="84" t="str">
        <f>IFERROR(__xludf.DUMMYFUNCTION("iferror(if(A1452="""",,E1452&gt;=FILTER(Constants!$F$2:$F$10,Constants!$A$2:$A$10=A1452)))"),"")</f>
        <v/>
      </c>
    </row>
    <row r="1453">
      <c r="A1453" s="89"/>
      <c r="B1453" s="87"/>
      <c r="C1453" s="73"/>
      <c r="D1453" s="73"/>
      <c r="E1453" s="82"/>
      <c r="F1453" s="82"/>
      <c r="G1453" s="86"/>
      <c r="H1453" s="86"/>
      <c r="I1453" s="86"/>
      <c r="J1453" s="82"/>
      <c r="K1453" s="82"/>
      <c r="L1453" s="82"/>
      <c r="M1453" s="82"/>
      <c r="N1453" s="82"/>
      <c r="O1453" s="82"/>
      <c r="P1453" s="82"/>
      <c r="Q1453" s="82"/>
      <c r="R1453" s="82"/>
      <c r="S1453" s="82"/>
      <c r="T1453" s="82"/>
      <c r="U1453" s="82"/>
      <c r="V1453" s="82"/>
      <c r="W1453" s="82"/>
      <c r="X1453" s="82"/>
      <c r="Y1453" s="82"/>
      <c r="Z1453" s="82"/>
      <c r="AA1453" s="82"/>
      <c r="AB1453" s="82"/>
      <c r="AC1453" s="82"/>
      <c r="AD1453" s="82"/>
      <c r="AE1453" s="82"/>
      <c r="AF1453" s="82"/>
      <c r="AG1453" s="82"/>
      <c r="AH1453" s="82"/>
      <c r="AI1453" s="82"/>
      <c r="AJ1453" s="82"/>
      <c r="AK1453" s="82"/>
      <c r="AL1453" s="82"/>
      <c r="AM1453" s="82"/>
      <c r="AN1453" s="82">
        <f>IFERROR(__xludf.DUMMYFUNCTION("""COMPUTED_VALUE"""),0.0)</f>
        <v>0</v>
      </c>
      <c r="AO1453" s="82">
        <f>IFERROR(__xludf.DUMMYFUNCTION("""COMPUTED_VALUE"""),0.0)</f>
        <v>0</v>
      </c>
      <c r="AP1453" s="82">
        <f>IFERROR(__xludf.DUMMYFUNCTION("""COMPUTED_VALUE"""),0.0)</f>
        <v>0</v>
      </c>
      <c r="AQ1453" s="82">
        <f>IFERROR(__xludf.DUMMYFUNCTION("""COMPUTED_VALUE"""),0.0)</f>
        <v>0</v>
      </c>
      <c r="AR1453" s="82">
        <f>IFERROR(__xludf.DUMMYFUNCTION("""COMPUTED_VALUE"""),0.0)</f>
        <v>0</v>
      </c>
      <c r="AS1453" s="82"/>
      <c r="AT1453" s="82">
        <f>IFERROR(__xludf.DUMMYFUNCTION("""COMPUTED_VALUE"""),0.0)</f>
        <v>0</v>
      </c>
      <c r="AU1453" s="82"/>
      <c r="AV1453" s="82"/>
      <c r="AW1453" s="82" t="str">
        <f t="shared" si="1"/>
        <v/>
      </c>
      <c r="AX1453" s="83" t="str">
        <f t="array" ref="AX1453">IFERROR(DGET('SBV Import'!A:G,"SBV",{"RSC ID","Tier";B1453,A1453}))</f>
        <v/>
      </c>
      <c r="AY1453" s="82" t="str">
        <f t="shared" si="2"/>
        <v/>
      </c>
      <c r="AZ1453" s="82"/>
      <c r="BA1453" s="84" t="s">
        <v>152</v>
      </c>
      <c r="BB1453" s="84" t="str">
        <f>IFERROR(__xludf.DUMMYFUNCTION("iferror(if(A1453="""",,E1453&gt;=FILTER(Constants!$F$2:$F$10,Constants!$A$2:$A$10=A1453)))"),"")</f>
        <v/>
      </c>
    </row>
    <row r="1454">
      <c r="A1454" s="89"/>
      <c r="B1454" s="87"/>
      <c r="C1454" s="73"/>
      <c r="D1454" s="73"/>
      <c r="E1454" s="82"/>
      <c r="F1454" s="82"/>
      <c r="G1454" s="86"/>
      <c r="H1454" s="86"/>
      <c r="I1454" s="86"/>
      <c r="J1454" s="82"/>
      <c r="K1454" s="82"/>
      <c r="L1454" s="82"/>
      <c r="M1454" s="82"/>
      <c r="N1454" s="82"/>
      <c r="O1454" s="82"/>
      <c r="P1454" s="82"/>
      <c r="Q1454" s="82"/>
      <c r="R1454" s="82"/>
      <c r="S1454" s="82"/>
      <c r="T1454" s="82"/>
      <c r="U1454" s="82"/>
      <c r="V1454" s="82"/>
      <c r="W1454" s="82"/>
      <c r="X1454" s="82"/>
      <c r="Y1454" s="82"/>
      <c r="Z1454" s="82"/>
      <c r="AA1454" s="82"/>
      <c r="AB1454" s="82"/>
      <c r="AC1454" s="82"/>
      <c r="AD1454" s="82"/>
      <c r="AE1454" s="82"/>
      <c r="AF1454" s="82"/>
      <c r="AG1454" s="82"/>
      <c r="AH1454" s="82"/>
      <c r="AI1454" s="82"/>
      <c r="AJ1454" s="82"/>
      <c r="AK1454" s="82"/>
      <c r="AL1454" s="82"/>
      <c r="AM1454" s="82"/>
      <c r="AN1454" s="82">
        <f>IFERROR(__xludf.DUMMYFUNCTION("""COMPUTED_VALUE"""),0.0)</f>
        <v>0</v>
      </c>
      <c r="AO1454" s="82">
        <f>IFERROR(__xludf.DUMMYFUNCTION("""COMPUTED_VALUE"""),0.0)</f>
        <v>0</v>
      </c>
      <c r="AP1454" s="82">
        <f>IFERROR(__xludf.DUMMYFUNCTION("""COMPUTED_VALUE"""),0.0)</f>
        <v>0</v>
      </c>
      <c r="AQ1454" s="82">
        <f>IFERROR(__xludf.DUMMYFUNCTION("""COMPUTED_VALUE"""),0.0)</f>
        <v>0</v>
      </c>
      <c r="AR1454" s="82">
        <f>IFERROR(__xludf.DUMMYFUNCTION("""COMPUTED_VALUE"""),0.0)</f>
        <v>0</v>
      </c>
      <c r="AS1454" s="82"/>
      <c r="AT1454" s="82">
        <f>IFERROR(__xludf.DUMMYFUNCTION("""COMPUTED_VALUE"""),0.0)</f>
        <v>0</v>
      </c>
      <c r="AU1454" s="82"/>
      <c r="AV1454" s="82"/>
      <c r="AW1454" s="82" t="str">
        <f t="shared" si="1"/>
        <v/>
      </c>
      <c r="AX1454" s="83" t="str">
        <f t="array" ref="AX1454">IFERROR(DGET('SBV Import'!A:G,"SBV",{"RSC ID","Tier";B1454,A1454}))</f>
        <v/>
      </c>
      <c r="AY1454" s="82" t="str">
        <f t="shared" si="2"/>
        <v/>
      </c>
      <c r="AZ1454" s="82"/>
      <c r="BA1454" s="84" t="s">
        <v>152</v>
      </c>
      <c r="BB1454" s="84" t="str">
        <f>IFERROR(__xludf.DUMMYFUNCTION("iferror(if(A1454="""",,E1454&gt;=FILTER(Constants!$F$2:$F$10,Constants!$A$2:$A$10=A1454)))"),"")</f>
        <v/>
      </c>
    </row>
    <row r="1455">
      <c r="A1455" s="89"/>
      <c r="B1455" s="87"/>
      <c r="C1455" s="73"/>
      <c r="D1455" s="73"/>
      <c r="E1455" s="82"/>
      <c r="F1455" s="82"/>
      <c r="G1455" s="86"/>
      <c r="H1455" s="86"/>
      <c r="I1455" s="86"/>
      <c r="J1455" s="82"/>
      <c r="K1455" s="82"/>
      <c r="L1455" s="82"/>
      <c r="M1455" s="82"/>
      <c r="N1455" s="82"/>
      <c r="O1455" s="82"/>
      <c r="P1455" s="82"/>
      <c r="Q1455" s="82"/>
      <c r="R1455" s="82"/>
      <c r="S1455" s="82"/>
      <c r="T1455" s="82"/>
      <c r="U1455" s="82"/>
      <c r="V1455" s="82"/>
      <c r="W1455" s="82"/>
      <c r="X1455" s="82"/>
      <c r="Y1455" s="82"/>
      <c r="Z1455" s="82"/>
      <c r="AA1455" s="82"/>
      <c r="AB1455" s="82"/>
      <c r="AC1455" s="82"/>
      <c r="AD1455" s="82"/>
      <c r="AE1455" s="82"/>
      <c r="AF1455" s="82"/>
      <c r="AG1455" s="82"/>
      <c r="AH1455" s="82"/>
      <c r="AI1455" s="82"/>
      <c r="AJ1455" s="82"/>
      <c r="AK1455" s="82"/>
      <c r="AL1455" s="82"/>
      <c r="AM1455" s="82"/>
      <c r="AN1455" s="82">
        <f>IFERROR(__xludf.DUMMYFUNCTION("""COMPUTED_VALUE"""),0.0)</f>
        <v>0</v>
      </c>
      <c r="AO1455" s="82">
        <f>IFERROR(__xludf.DUMMYFUNCTION("""COMPUTED_VALUE"""),0.0)</f>
        <v>0</v>
      </c>
      <c r="AP1455" s="82">
        <f>IFERROR(__xludf.DUMMYFUNCTION("""COMPUTED_VALUE"""),0.0)</f>
        <v>0</v>
      </c>
      <c r="AQ1455" s="82">
        <f>IFERROR(__xludf.DUMMYFUNCTION("""COMPUTED_VALUE"""),0.0)</f>
        <v>0</v>
      </c>
      <c r="AR1455" s="82">
        <f>IFERROR(__xludf.DUMMYFUNCTION("""COMPUTED_VALUE"""),0.0)</f>
        <v>0</v>
      </c>
      <c r="AS1455" s="82"/>
      <c r="AT1455" s="82">
        <f>IFERROR(__xludf.DUMMYFUNCTION("""COMPUTED_VALUE"""),0.0)</f>
        <v>0</v>
      </c>
      <c r="AU1455" s="82"/>
      <c r="AV1455" s="82"/>
      <c r="AW1455" s="82" t="str">
        <f t="shared" si="1"/>
        <v/>
      </c>
      <c r="AX1455" s="83" t="str">
        <f t="array" ref="AX1455">IFERROR(DGET('SBV Import'!A:G,"SBV",{"RSC ID","Tier";B1455,A1455}))</f>
        <v/>
      </c>
      <c r="AY1455" s="82" t="str">
        <f t="shared" si="2"/>
        <v/>
      </c>
      <c r="AZ1455" s="82"/>
      <c r="BA1455" s="84" t="s">
        <v>152</v>
      </c>
      <c r="BB1455" s="84" t="str">
        <f>IFERROR(__xludf.DUMMYFUNCTION("iferror(if(A1455="""",,E1455&gt;=FILTER(Constants!$F$2:$F$10,Constants!$A$2:$A$10=A1455)))"),"")</f>
        <v/>
      </c>
    </row>
    <row r="1456">
      <c r="A1456" s="89"/>
      <c r="B1456" s="87"/>
      <c r="C1456" s="73"/>
      <c r="D1456" s="73"/>
      <c r="E1456" s="82"/>
      <c r="F1456" s="82"/>
      <c r="G1456" s="86"/>
      <c r="H1456" s="86"/>
      <c r="I1456" s="86"/>
      <c r="J1456" s="82"/>
      <c r="K1456" s="82"/>
      <c r="L1456" s="82"/>
      <c r="M1456" s="82"/>
      <c r="N1456" s="82"/>
      <c r="O1456" s="82"/>
      <c r="P1456" s="82"/>
      <c r="Q1456" s="82"/>
      <c r="R1456" s="82"/>
      <c r="S1456" s="82"/>
      <c r="T1456" s="82"/>
      <c r="U1456" s="82"/>
      <c r="V1456" s="82"/>
      <c r="W1456" s="82"/>
      <c r="X1456" s="82"/>
      <c r="Y1456" s="82"/>
      <c r="Z1456" s="82"/>
      <c r="AA1456" s="82"/>
      <c r="AB1456" s="82"/>
      <c r="AC1456" s="82"/>
      <c r="AD1456" s="82"/>
      <c r="AE1456" s="82"/>
      <c r="AF1456" s="82"/>
      <c r="AG1456" s="82"/>
      <c r="AH1456" s="82"/>
      <c r="AI1456" s="82"/>
      <c r="AJ1456" s="82"/>
      <c r="AK1456" s="82"/>
      <c r="AL1456" s="82"/>
      <c r="AM1456" s="82"/>
      <c r="AN1456" s="82">
        <f>IFERROR(__xludf.DUMMYFUNCTION("""COMPUTED_VALUE"""),0.0)</f>
        <v>0</v>
      </c>
      <c r="AO1456" s="82">
        <f>IFERROR(__xludf.DUMMYFUNCTION("""COMPUTED_VALUE"""),0.0)</f>
        <v>0</v>
      </c>
      <c r="AP1456" s="82">
        <f>IFERROR(__xludf.DUMMYFUNCTION("""COMPUTED_VALUE"""),0.0)</f>
        <v>0</v>
      </c>
      <c r="AQ1456" s="82">
        <f>IFERROR(__xludf.DUMMYFUNCTION("""COMPUTED_VALUE"""),0.0)</f>
        <v>0</v>
      </c>
      <c r="AR1456" s="82">
        <f>IFERROR(__xludf.DUMMYFUNCTION("""COMPUTED_VALUE"""),0.0)</f>
        <v>0</v>
      </c>
      <c r="AS1456" s="82"/>
      <c r="AT1456" s="82">
        <f>IFERROR(__xludf.DUMMYFUNCTION("""COMPUTED_VALUE"""),0.0)</f>
        <v>0</v>
      </c>
      <c r="AU1456" s="82"/>
      <c r="AV1456" s="82"/>
      <c r="AW1456" s="82" t="str">
        <f t="shared" si="1"/>
        <v/>
      </c>
      <c r="AX1456" s="83" t="str">
        <f t="array" ref="AX1456">IFERROR(DGET('SBV Import'!A:G,"SBV",{"RSC ID","Tier";B1456,A1456}))</f>
        <v/>
      </c>
      <c r="AY1456" s="82" t="str">
        <f t="shared" si="2"/>
        <v/>
      </c>
      <c r="AZ1456" s="82"/>
      <c r="BA1456" s="84" t="s">
        <v>152</v>
      </c>
      <c r="BB1456" s="84" t="str">
        <f>IFERROR(__xludf.DUMMYFUNCTION("iferror(if(A1456="""",,E1456&gt;=FILTER(Constants!$F$2:$F$10,Constants!$A$2:$A$10=A1456)))"),"")</f>
        <v/>
      </c>
    </row>
    <row r="1457">
      <c r="A1457" s="89"/>
      <c r="B1457" s="87"/>
      <c r="C1457" s="73"/>
      <c r="D1457" s="73"/>
      <c r="E1457" s="82"/>
      <c r="F1457" s="82"/>
      <c r="G1457" s="86"/>
      <c r="H1457" s="86"/>
      <c r="I1457" s="86"/>
      <c r="J1457" s="82"/>
      <c r="K1457" s="82"/>
      <c r="L1457" s="82"/>
      <c r="M1457" s="82"/>
      <c r="N1457" s="82"/>
      <c r="O1457" s="82"/>
      <c r="P1457" s="82"/>
      <c r="Q1457" s="82"/>
      <c r="R1457" s="82"/>
      <c r="S1457" s="82"/>
      <c r="T1457" s="82"/>
      <c r="U1457" s="82"/>
      <c r="V1457" s="82"/>
      <c r="W1457" s="82"/>
      <c r="X1457" s="82"/>
      <c r="Y1457" s="82"/>
      <c r="Z1457" s="82"/>
      <c r="AA1457" s="82"/>
      <c r="AB1457" s="82"/>
      <c r="AC1457" s="82"/>
      <c r="AD1457" s="82"/>
      <c r="AE1457" s="82"/>
      <c r="AF1457" s="82"/>
      <c r="AG1457" s="82"/>
      <c r="AH1457" s="82"/>
      <c r="AI1457" s="82"/>
      <c r="AJ1457" s="82"/>
      <c r="AK1457" s="82"/>
      <c r="AL1457" s="82"/>
      <c r="AM1457" s="82"/>
      <c r="AN1457" s="82">
        <f>IFERROR(__xludf.DUMMYFUNCTION("""COMPUTED_VALUE"""),0.0)</f>
        <v>0</v>
      </c>
      <c r="AO1457" s="82">
        <f>IFERROR(__xludf.DUMMYFUNCTION("""COMPUTED_VALUE"""),0.0)</f>
        <v>0</v>
      </c>
      <c r="AP1457" s="82">
        <f>IFERROR(__xludf.DUMMYFUNCTION("""COMPUTED_VALUE"""),0.0)</f>
        <v>0</v>
      </c>
      <c r="AQ1457" s="82">
        <f>IFERROR(__xludf.DUMMYFUNCTION("""COMPUTED_VALUE"""),0.0)</f>
        <v>0</v>
      </c>
      <c r="AR1457" s="82">
        <f>IFERROR(__xludf.DUMMYFUNCTION("""COMPUTED_VALUE"""),0.0)</f>
        <v>0</v>
      </c>
      <c r="AS1457" s="82"/>
      <c r="AT1457" s="82">
        <f>IFERROR(__xludf.DUMMYFUNCTION("""COMPUTED_VALUE"""),0.0)</f>
        <v>0</v>
      </c>
      <c r="AU1457" s="82"/>
      <c r="AV1457" s="82"/>
      <c r="AW1457" s="82" t="str">
        <f t="shared" si="1"/>
        <v/>
      </c>
      <c r="AX1457" s="83" t="str">
        <f t="array" ref="AX1457">IFERROR(DGET('SBV Import'!A:G,"SBV",{"RSC ID","Tier";B1457,A1457}))</f>
        <v/>
      </c>
      <c r="AY1457" s="82" t="str">
        <f t="shared" si="2"/>
        <v/>
      </c>
      <c r="AZ1457" s="82"/>
      <c r="BA1457" s="84" t="s">
        <v>152</v>
      </c>
      <c r="BB1457" s="84" t="str">
        <f>IFERROR(__xludf.DUMMYFUNCTION("iferror(if(A1457="""",,E1457&gt;=FILTER(Constants!$F$2:$F$10,Constants!$A$2:$A$10=A1457)))"),"")</f>
        <v/>
      </c>
    </row>
    <row r="1458">
      <c r="A1458" s="89"/>
      <c r="B1458" s="87"/>
      <c r="C1458" s="73"/>
      <c r="D1458" s="73"/>
      <c r="E1458" s="82"/>
      <c r="F1458" s="82"/>
      <c r="G1458" s="86"/>
      <c r="H1458" s="86"/>
      <c r="I1458" s="86"/>
      <c r="J1458" s="82"/>
      <c r="K1458" s="82"/>
      <c r="L1458" s="82"/>
      <c r="M1458" s="82"/>
      <c r="N1458" s="82"/>
      <c r="O1458" s="82"/>
      <c r="P1458" s="82"/>
      <c r="Q1458" s="82"/>
      <c r="R1458" s="82"/>
      <c r="S1458" s="82"/>
      <c r="T1458" s="82"/>
      <c r="U1458" s="82"/>
      <c r="V1458" s="82"/>
      <c r="W1458" s="82"/>
      <c r="X1458" s="82"/>
      <c r="Y1458" s="82"/>
      <c r="Z1458" s="82"/>
      <c r="AA1458" s="82"/>
      <c r="AB1458" s="82"/>
      <c r="AC1458" s="82"/>
      <c r="AD1458" s="82"/>
      <c r="AE1458" s="82"/>
      <c r="AF1458" s="82"/>
      <c r="AG1458" s="82"/>
      <c r="AH1458" s="82"/>
      <c r="AI1458" s="82"/>
      <c r="AJ1458" s="82"/>
      <c r="AK1458" s="82"/>
      <c r="AL1458" s="82"/>
      <c r="AM1458" s="82"/>
      <c r="AN1458" s="82">
        <f>IFERROR(__xludf.DUMMYFUNCTION("""COMPUTED_VALUE"""),0.0)</f>
        <v>0</v>
      </c>
      <c r="AO1458" s="82">
        <f>IFERROR(__xludf.DUMMYFUNCTION("""COMPUTED_VALUE"""),0.0)</f>
        <v>0</v>
      </c>
      <c r="AP1458" s="82">
        <f>IFERROR(__xludf.DUMMYFUNCTION("""COMPUTED_VALUE"""),0.0)</f>
        <v>0</v>
      </c>
      <c r="AQ1458" s="82">
        <f>IFERROR(__xludf.DUMMYFUNCTION("""COMPUTED_VALUE"""),0.0)</f>
        <v>0</v>
      </c>
      <c r="AR1458" s="82">
        <f>IFERROR(__xludf.DUMMYFUNCTION("""COMPUTED_VALUE"""),0.0)</f>
        <v>0</v>
      </c>
      <c r="AS1458" s="82"/>
      <c r="AT1458" s="82">
        <f>IFERROR(__xludf.DUMMYFUNCTION("""COMPUTED_VALUE"""),0.0)</f>
        <v>0</v>
      </c>
      <c r="AU1458" s="82"/>
      <c r="AV1458" s="82"/>
      <c r="AW1458" s="82" t="str">
        <f t="shared" si="1"/>
        <v/>
      </c>
      <c r="AX1458" s="83" t="str">
        <f t="array" ref="AX1458">IFERROR(DGET('SBV Import'!A:G,"SBV",{"RSC ID","Tier";B1458,A1458}))</f>
        <v/>
      </c>
      <c r="AY1458" s="82" t="str">
        <f t="shared" si="2"/>
        <v/>
      </c>
      <c r="AZ1458" s="82"/>
      <c r="BA1458" s="84" t="s">
        <v>152</v>
      </c>
      <c r="BB1458" s="84" t="str">
        <f>IFERROR(__xludf.DUMMYFUNCTION("iferror(if(A1458="""",,E1458&gt;=FILTER(Constants!$F$2:$F$10,Constants!$A$2:$A$10=A1458)))"),"")</f>
        <v/>
      </c>
    </row>
    <row r="1459">
      <c r="A1459" s="89"/>
      <c r="B1459" s="87"/>
      <c r="C1459" s="73"/>
      <c r="D1459" s="73"/>
      <c r="E1459" s="82"/>
      <c r="F1459" s="82"/>
      <c r="G1459" s="86"/>
      <c r="H1459" s="86"/>
      <c r="I1459" s="86"/>
      <c r="J1459" s="82"/>
      <c r="K1459" s="82"/>
      <c r="L1459" s="82"/>
      <c r="M1459" s="82"/>
      <c r="N1459" s="82"/>
      <c r="O1459" s="82"/>
      <c r="P1459" s="82"/>
      <c r="Q1459" s="82"/>
      <c r="R1459" s="82"/>
      <c r="S1459" s="82"/>
      <c r="T1459" s="82"/>
      <c r="U1459" s="82"/>
      <c r="V1459" s="82"/>
      <c r="W1459" s="82"/>
      <c r="X1459" s="82"/>
      <c r="Y1459" s="82"/>
      <c r="Z1459" s="82"/>
      <c r="AA1459" s="82"/>
      <c r="AB1459" s="82"/>
      <c r="AC1459" s="82"/>
      <c r="AD1459" s="82"/>
      <c r="AE1459" s="82"/>
      <c r="AF1459" s="82"/>
      <c r="AG1459" s="82"/>
      <c r="AH1459" s="82"/>
      <c r="AI1459" s="82"/>
      <c r="AJ1459" s="82"/>
      <c r="AK1459" s="82"/>
      <c r="AL1459" s="82"/>
      <c r="AM1459" s="82"/>
      <c r="AN1459" s="82">
        <f>IFERROR(__xludf.DUMMYFUNCTION("""COMPUTED_VALUE"""),0.0)</f>
        <v>0</v>
      </c>
      <c r="AO1459" s="82">
        <f>IFERROR(__xludf.DUMMYFUNCTION("""COMPUTED_VALUE"""),0.0)</f>
        <v>0</v>
      </c>
      <c r="AP1459" s="82">
        <f>IFERROR(__xludf.DUMMYFUNCTION("""COMPUTED_VALUE"""),0.0)</f>
        <v>0</v>
      </c>
      <c r="AQ1459" s="82">
        <f>IFERROR(__xludf.DUMMYFUNCTION("""COMPUTED_VALUE"""),0.0)</f>
        <v>0</v>
      </c>
      <c r="AR1459" s="82">
        <f>IFERROR(__xludf.DUMMYFUNCTION("""COMPUTED_VALUE"""),0.0)</f>
        <v>0</v>
      </c>
      <c r="AS1459" s="82"/>
      <c r="AT1459" s="82">
        <f>IFERROR(__xludf.DUMMYFUNCTION("""COMPUTED_VALUE"""),0.0)</f>
        <v>0</v>
      </c>
      <c r="AU1459" s="82"/>
      <c r="AV1459" s="82"/>
      <c r="AW1459" s="82" t="str">
        <f t="shared" si="1"/>
        <v/>
      </c>
      <c r="AX1459" s="83" t="str">
        <f t="array" ref="AX1459">IFERROR(DGET('SBV Import'!A:G,"SBV",{"RSC ID","Tier";B1459,A1459}))</f>
        <v/>
      </c>
      <c r="AY1459" s="82" t="str">
        <f t="shared" si="2"/>
        <v/>
      </c>
      <c r="AZ1459" s="82"/>
      <c r="BA1459" s="84" t="s">
        <v>152</v>
      </c>
      <c r="BB1459" s="84" t="str">
        <f>IFERROR(__xludf.DUMMYFUNCTION("iferror(if(A1459="""",,E1459&gt;=FILTER(Constants!$F$2:$F$10,Constants!$A$2:$A$10=A1459)))"),"")</f>
        <v/>
      </c>
    </row>
    <row r="1460">
      <c r="A1460" s="89"/>
      <c r="B1460" s="87"/>
      <c r="C1460" s="73"/>
      <c r="D1460" s="73"/>
      <c r="E1460" s="82"/>
      <c r="F1460" s="82"/>
      <c r="G1460" s="86"/>
      <c r="H1460" s="86"/>
      <c r="I1460" s="86"/>
      <c r="J1460" s="82"/>
      <c r="K1460" s="82"/>
      <c r="L1460" s="82"/>
      <c r="M1460" s="82"/>
      <c r="N1460" s="82"/>
      <c r="O1460" s="82"/>
      <c r="P1460" s="82"/>
      <c r="Q1460" s="82"/>
      <c r="R1460" s="82"/>
      <c r="S1460" s="82"/>
      <c r="T1460" s="82"/>
      <c r="U1460" s="82"/>
      <c r="V1460" s="82"/>
      <c r="W1460" s="82"/>
      <c r="X1460" s="82"/>
      <c r="Y1460" s="82"/>
      <c r="Z1460" s="82"/>
      <c r="AA1460" s="82"/>
      <c r="AB1460" s="82"/>
      <c r="AC1460" s="82"/>
      <c r="AD1460" s="82"/>
      <c r="AE1460" s="82"/>
      <c r="AF1460" s="82"/>
      <c r="AG1460" s="82"/>
      <c r="AH1460" s="82"/>
      <c r="AI1460" s="82"/>
      <c r="AJ1460" s="82"/>
      <c r="AK1460" s="82"/>
      <c r="AL1460" s="82"/>
      <c r="AM1460" s="82"/>
      <c r="AN1460" s="82">
        <f>IFERROR(__xludf.DUMMYFUNCTION("""COMPUTED_VALUE"""),0.0)</f>
        <v>0</v>
      </c>
      <c r="AO1460" s="82">
        <f>IFERROR(__xludf.DUMMYFUNCTION("""COMPUTED_VALUE"""),0.0)</f>
        <v>0</v>
      </c>
      <c r="AP1460" s="82">
        <f>IFERROR(__xludf.DUMMYFUNCTION("""COMPUTED_VALUE"""),0.0)</f>
        <v>0</v>
      </c>
      <c r="AQ1460" s="82">
        <f>IFERROR(__xludf.DUMMYFUNCTION("""COMPUTED_VALUE"""),0.0)</f>
        <v>0</v>
      </c>
      <c r="AR1460" s="82">
        <f>IFERROR(__xludf.DUMMYFUNCTION("""COMPUTED_VALUE"""),0.0)</f>
        <v>0</v>
      </c>
      <c r="AS1460" s="82"/>
      <c r="AT1460" s="82">
        <f>IFERROR(__xludf.DUMMYFUNCTION("""COMPUTED_VALUE"""),0.0)</f>
        <v>0</v>
      </c>
      <c r="AU1460" s="82"/>
      <c r="AV1460" s="82"/>
      <c r="AW1460" s="82" t="str">
        <f t="shared" si="1"/>
        <v/>
      </c>
      <c r="AX1460" s="83" t="str">
        <f t="array" ref="AX1460">IFERROR(DGET('SBV Import'!A:G,"SBV",{"RSC ID","Tier";B1460,A1460}))</f>
        <v/>
      </c>
      <c r="AY1460" s="82" t="str">
        <f t="shared" si="2"/>
        <v/>
      </c>
      <c r="AZ1460" s="82"/>
      <c r="BA1460" s="84" t="s">
        <v>152</v>
      </c>
      <c r="BB1460" s="84" t="str">
        <f>IFERROR(__xludf.DUMMYFUNCTION("iferror(if(A1460="""",,E1460&gt;=FILTER(Constants!$F$2:$F$10,Constants!$A$2:$A$10=A1460)))"),"")</f>
        <v/>
      </c>
    </row>
    <row r="1461">
      <c r="A1461" s="89"/>
      <c r="B1461" s="87"/>
      <c r="C1461" s="73"/>
      <c r="D1461" s="73"/>
      <c r="E1461" s="82"/>
      <c r="F1461" s="82"/>
      <c r="G1461" s="86"/>
      <c r="H1461" s="86"/>
      <c r="I1461" s="86"/>
      <c r="J1461" s="82"/>
      <c r="K1461" s="82"/>
      <c r="L1461" s="82"/>
      <c r="M1461" s="82"/>
      <c r="N1461" s="82"/>
      <c r="O1461" s="82"/>
      <c r="P1461" s="82"/>
      <c r="Q1461" s="82"/>
      <c r="R1461" s="82"/>
      <c r="S1461" s="82"/>
      <c r="T1461" s="82"/>
      <c r="U1461" s="82"/>
      <c r="V1461" s="82"/>
      <c r="W1461" s="82"/>
      <c r="X1461" s="82"/>
      <c r="Y1461" s="82"/>
      <c r="Z1461" s="82"/>
      <c r="AA1461" s="82"/>
      <c r="AB1461" s="82"/>
      <c r="AC1461" s="82"/>
      <c r="AD1461" s="82"/>
      <c r="AE1461" s="82"/>
      <c r="AF1461" s="82"/>
      <c r="AG1461" s="82"/>
      <c r="AH1461" s="82"/>
      <c r="AI1461" s="82"/>
      <c r="AJ1461" s="82"/>
      <c r="AK1461" s="82"/>
      <c r="AL1461" s="82"/>
      <c r="AM1461" s="82"/>
      <c r="AN1461" s="82">
        <f>IFERROR(__xludf.DUMMYFUNCTION("""COMPUTED_VALUE"""),0.0)</f>
        <v>0</v>
      </c>
      <c r="AO1461" s="82">
        <f>IFERROR(__xludf.DUMMYFUNCTION("""COMPUTED_VALUE"""),0.0)</f>
        <v>0</v>
      </c>
      <c r="AP1461" s="82">
        <f>IFERROR(__xludf.DUMMYFUNCTION("""COMPUTED_VALUE"""),0.0)</f>
        <v>0</v>
      </c>
      <c r="AQ1461" s="82">
        <f>IFERROR(__xludf.DUMMYFUNCTION("""COMPUTED_VALUE"""),0.0)</f>
        <v>0</v>
      </c>
      <c r="AR1461" s="82">
        <f>IFERROR(__xludf.DUMMYFUNCTION("""COMPUTED_VALUE"""),0.0)</f>
        <v>0</v>
      </c>
      <c r="AS1461" s="82"/>
      <c r="AT1461" s="82">
        <f>IFERROR(__xludf.DUMMYFUNCTION("""COMPUTED_VALUE"""),0.0)</f>
        <v>0</v>
      </c>
      <c r="AU1461" s="82"/>
      <c r="AV1461" s="82"/>
      <c r="AW1461" s="82" t="str">
        <f t="shared" si="1"/>
        <v/>
      </c>
      <c r="AX1461" s="83" t="str">
        <f t="array" ref="AX1461">IFERROR(DGET('SBV Import'!A:G,"SBV",{"RSC ID","Tier";B1461,A1461}))</f>
        <v/>
      </c>
      <c r="AY1461" s="82" t="str">
        <f t="shared" si="2"/>
        <v/>
      </c>
      <c r="AZ1461" s="82"/>
      <c r="BA1461" s="84" t="s">
        <v>152</v>
      </c>
      <c r="BB1461" s="84" t="str">
        <f>IFERROR(__xludf.DUMMYFUNCTION("iferror(if(A1461="""",,E1461&gt;=FILTER(Constants!$F$2:$F$10,Constants!$A$2:$A$10=A1461)))"),"")</f>
        <v/>
      </c>
    </row>
    <row r="1462">
      <c r="A1462" s="89"/>
      <c r="B1462" s="87"/>
      <c r="C1462" s="73"/>
      <c r="D1462" s="73"/>
      <c r="E1462" s="82"/>
      <c r="F1462" s="82"/>
      <c r="G1462" s="86"/>
      <c r="H1462" s="86"/>
      <c r="I1462" s="86"/>
      <c r="J1462" s="82"/>
      <c r="K1462" s="82"/>
      <c r="L1462" s="82"/>
      <c r="M1462" s="82"/>
      <c r="N1462" s="82"/>
      <c r="O1462" s="82"/>
      <c r="P1462" s="82"/>
      <c r="Q1462" s="82"/>
      <c r="R1462" s="82"/>
      <c r="S1462" s="82"/>
      <c r="T1462" s="82"/>
      <c r="U1462" s="82"/>
      <c r="V1462" s="82"/>
      <c r="W1462" s="82"/>
      <c r="X1462" s="82"/>
      <c r="Y1462" s="82"/>
      <c r="Z1462" s="82"/>
      <c r="AA1462" s="82"/>
      <c r="AB1462" s="82"/>
      <c r="AC1462" s="82"/>
      <c r="AD1462" s="82"/>
      <c r="AE1462" s="82"/>
      <c r="AF1462" s="82"/>
      <c r="AG1462" s="82"/>
      <c r="AH1462" s="82"/>
      <c r="AI1462" s="82"/>
      <c r="AJ1462" s="82"/>
      <c r="AK1462" s="82"/>
      <c r="AL1462" s="82"/>
      <c r="AM1462" s="82"/>
      <c r="AN1462" s="82">
        <f>IFERROR(__xludf.DUMMYFUNCTION("""COMPUTED_VALUE"""),0.0)</f>
        <v>0</v>
      </c>
      <c r="AO1462" s="82">
        <f>IFERROR(__xludf.DUMMYFUNCTION("""COMPUTED_VALUE"""),0.0)</f>
        <v>0</v>
      </c>
      <c r="AP1462" s="82">
        <f>IFERROR(__xludf.DUMMYFUNCTION("""COMPUTED_VALUE"""),0.0)</f>
        <v>0</v>
      </c>
      <c r="AQ1462" s="82">
        <f>IFERROR(__xludf.DUMMYFUNCTION("""COMPUTED_VALUE"""),0.0)</f>
        <v>0</v>
      </c>
      <c r="AR1462" s="82">
        <f>IFERROR(__xludf.DUMMYFUNCTION("""COMPUTED_VALUE"""),0.0)</f>
        <v>0</v>
      </c>
      <c r="AS1462" s="82"/>
      <c r="AT1462" s="82">
        <f>IFERROR(__xludf.DUMMYFUNCTION("""COMPUTED_VALUE"""),0.0)</f>
        <v>0</v>
      </c>
      <c r="AU1462" s="82"/>
      <c r="AV1462" s="82"/>
      <c r="AW1462" s="82" t="str">
        <f t="shared" si="1"/>
        <v/>
      </c>
      <c r="AX1462" s="83" t="str">
        <f t="array" ref="AX1462">IFERROR(DGET('SBV Import'!A:G,"SBV",{"RSC ID","Tier";B1462,A1462}))</f>
        <v/>
      </c>
      <c r="AY1462" s="82" t="str">
        <f t="shared" si="2"/>
        <v/>
      </c>
      <c r="AZ1462" s="82"/>
      <c r="BA1462" s="84" t="s">
        <v>152</v>
      </c>
      <c r="BB1462" s="84" t="str">
        <f>IFERROR(__xludf.DUMMYFUNCTION("iferror(if(A1462="""",,E1462&gt;=FILTER(Constants!$F$2:$F$10,Constants!$A$2:$A$10=A1462)))"),"")</f>
        <v/>
      </c>
    </row>
    <row r="1463">
      <c r="A1463" s="89"/>
      <c r="B1463" s="87"/>
      <c r="C1463" s="73"/>
      <c r="D1463" s="73"/>
      <c r="E1463" s="82"/>
      <c r="F1463" s="82"/>
      <c r="G1463" s="86"/>
      <c r="H1463" s="86"/>
      <c r="I1463" s="86"/>
      <c r="J1463" s="82"/>
      <c r="K1463" s="82"/>
      <c r="L1463" s="82"/>
      <c r="M1463" s="82"/>
      <c r="N1463" s="82"/>
      <c r="O1463" s="82"/>
      <c r="P1463" s="82"/>
      <c r="Q1463" s="82"/>
      <c r="R1463" s="82"/>
      <c r="S1463" s="82"/>
      <c r="T1463" s="82"/>
      <c r="U1463" s="82"/>
      <c r="V1463" s="82"/>
      <c r="W1463" s="82"/>
      <c r="X1463" s="82"/>
      <c r="Y1463" s="82"/>
      <c r="Z1463" s="82"/>
      <c r="AA1463" s="82"/>
      <c r="AB1463" s="82"/>
      <c r="AC1463" s="82"/>
      <c r="AD1463" s="82"/>
      <c r="AE1463" s="82"/>
      <c r="AF1463" s="82"/>
      <c r="AG1463" s="82"/>
      <c r="AH1463" s="82"/>
      <c r="AI1463" s="82"/>
      <c r="AJ1463" s="82"/>
      <c r="AK1463" s="82"/>
      <c r="AL1463" s="82"/>
      <c r="AM1463" s="82"/>
      <c r="AN1463" s="82">
        <f>IFERROR(__xludf.DUMMYFUNCTION("""COMPUTED_VALUE"""),0.0)</f>
        <v>0</v>
      </c>
      <c r="AO1463" s="82">
        <f>IFERROR(__xludf.DUMMYFUNCTION("""COMPUTED_VALUE"""),0.0)</f>
        <v>0</v>
      </c>
      <c r="AP1463" s="82">
        <f>IFERROR(__xludf.DUMMYFUNCTION("""COMPUTED_VALUE"""),0.0)</f>
        <v>0</v>
      </c>
      <c r="AQ1463" s="82">
        <f>IFERROR(__xludf.DUMMYFUNCTION("""COMPUTED_VALUE"""),0.0)</f>
        <v>0</v>
      </c>
      <c r="AR1463" s="82">
        <f>IFERROR(__xludf.DUMMYFUNCTION("""COMPUTED_VALUE"""),0.0)</f>
        <v>0</v>
      </c>
      <c r="AS1463" s="82"/>
      <c r="AT1463" s="82">
        <f>IFERROR(__xludf.DUMMYFUNCTION("""COMPUTED_VALUE"""),0.0)</f>
        <v>0</v>
      </c>
      <c r="AU1463" s="82"/>
      <c r="AV1463" s="82"/>
      <c r="AW1463" s="82" t="str">
        <f t="shared" si="1"/>
        <v/>
      </c>
      <c r="AX1463" s="83" t="str">
        <f t="array" ref="AX1463">IFERROR(DGET('SBV Import'!A:G,"SBV",{"RSC ID","Tier";B1463,A1463}))</f>
        <v/>
      </c>
      <c r="AY1463" s="82" t="str">
        <f t="shared" si="2"/>
        <v/>
      </c>
      <c r="AZ1463" s="82"/>
      <c r="BA1463" s="84" t="s">
        <v>152</v>
      </c>
      <c r="BB1463" s="84" t="str">
        <f>IFERROR(__xludf.DUMMYFUNCTION("iferror(if(A1463="""",,E1463&gt;=FILTER(Constants!$F$2:$F$10,Constants!$A$2:$A$10=A1463)))"),"")</f>
        <v/>
      </c>
    </row>
    <row r="1464">
      <c r="A1464" s="89"/>
      <c r="B1464" s="87"/>
      <c r="C1464" s="73"/>
      <c r="D1464" s="73"/>
      <c r="E1464" s="82"/>
      <c r="F1464" s="82"/>
      <c r="G1464" s="86"/>
      <c r="H1464" s="86"/>
      <c r="I1464" s="86"/>
      <c r="J1464" s="82"/>
      <c r="K1464" s="82"/>
      <c r="L1464" s="82"/>
      <c r="M1464" s="82"/>
      <c r="N1464" s="82"/>
      <c r="O1464" s="82"/>
      <c r="P1464" s="82"/>
      <c r="Q1464" s="82"/>
      <c r="R1464" s="82"/>
      <c r="S1464" s="82"/>
      <c r="T1464" s="82"/>
      <c r="U1464" s="82"/>
      <c r="V1464" s="82"/>
      <c r="W1464" s="82"/>
      <c r="X1464" s="82"/>
      <c r="Y1464" s="82"/>
      <c r="Z1464" s="82"/>
      <c r="AA1464" s="82"/>
      <c r="AB1464" s="82"/>
      <c r="AC1464" s="82"/>
      <c r="AD1464" s="82"/>
      <c r="AE1464" s="82"/>
      <c r="AF1464" s="82"/>
      <c r="AG1464" s="82"/>
      <c r="AH1464" s="82"/>
      <c r="AI1464" s="82"/>
      <c r="AJ1464" s="82"/>
      <c r="AK1464" s="82"/>
      <c r="AL1464" s="82"/>
      <c r="AM1464" s="82"/>
      <c r="AN1464" s="82">
        <f>IFERROR(__xludf.DUMMYFUNCTION("""COMPUTED_VALUE"""),0.0)</f>
        <v>0</v>
      </c>
      <c r="AO1464" s="82">
        <f>IFERROR(__xludf.DUMMYFUNCTION("""COMPUTED_VALUE"""),0.0)</f>
        <v>0</v>
      </c>
      <c r="AP1464" s="82">
        <f>IFERROR(__xludf.DUMMYFUNCTION("""COMPUTED_VALUE"""),0.0)</f>
        <v>0</v>
      </c>
      <c r="AQ1464" s="82">
        <f>IFERROR(__xludf.DUMMYFUNCTION("""COMPUTED_VALUE"""),0.0)</f>
        <v>0</v>
      </c>
      <c r="AR1464" s="82">
        <f>IFERROR(__xludf.DUMMYFUNCTION("""COMPUTED_VALUE"""),0.0)</f>
        <v>0</v>
      </c>
      <c r="AS1464" s="82"/>
      <c r="AT1464" s="82">
        <f>IFERROR(__xludf.DUMMYFUNCTION("""COMPUTED_VALUE"""),0.0)</f>
        <v>0</v>
      </c>
      <c r="AU1464" s="82"/>
      <c r="AV1464" s="82"/>
      <c r="AW1464" s="82" t="str">
        <f t="shared" si="1"/>
        <v/>
      </c>
      <c r="AX1464" s="83" t="str">
        <f t="array" ref="AX1464">IFERROR(DGET('SBV Import'!A:G,"SBV",{"RSC ID","Tier";B1464,A1464}))</f>
        <v/>
      </c>
      <c r="AY1464" s="82" t="str">
        <f t="shared" si="2"/>
        <v/>
      </c>
      <c r="AZ1464" s="82"/>
      <c r="BA1464" s="84" t="s">
        <v>152</v>
      </c>
      <c r="BB1464" s="84" t="str">
        <f>IFERROR(__xludf.DUMMYFUNCTION("iferror(if(A1464="""",,E1464&gt;=FILTER(Constants!$F$2:$F$10,Constants!$A$2:$A$10=A1464)))"),"")</f>
        <v/>
      </c>
    </row>
    <row r="1465">
      <c r="A1465" s="89"/>
      <c r="B1465" s="87"/>
      <c r="C1465" s="73"/>
      <c r="D1465" s="73"/>
      <c r="E1465" s="82"/>
      <c r="F1465" s="82"/>
      <c r="G1465" s="86"/>
      <c r="H1465" s="86"/>
      <c r="I1465" s="86"/>
      <c r="J1465" s="82"/>
      <c r="K1465" s="82"/>
      <c r="L1465" s="82"/>
      <c r="M1465" s="82"/>
      <c r="N1465" s="82"/>
      <c r="O1465" s="82"/>
      <c r="P1465" s="82"/>
      <c r="Q1465" s="82"/>
      <c r="R1465" s="82"/>
      <c r="S1465" s="82"/>
      <c r="T1465" s="82"/>
      <c r="U1465" s="82"/>
      <c r="V1465" s="82"/>
      <c r="W1465" s="82"/>
      <c r="X1465" s="82"/>
      <c r="Y1465" s="82"/>
      <c r="Z1465" s="82"/>
      <c r="AA1465" s="82"/>
      <c r="AB1465" s="82"/>
      <c r="AC1465" s="82"/>
      <c r="AD1465" s="82"/>
      <c r="AE1465" s="82"/>
      <c r="AF1465" s="82"/>
      <c r="AG1465" s="82"/>
      <c r="AH1465" s="82"/>
      <c r="AI1465" s="82"/>
      <c r="AJ1465" s="82"/>
      <c r="AK1465" s="82"/>
      <c r="AL1465" s="82"/>
      <c r="AM1465" s="82"/>
      <c r="AN1465" s="82">
        <f>IFERROR(__xludf.DUMMYFUNCTION("""COMPUTED_VALUE"""),0.0)</f>
        <v>0</v>
      </c>
      <c r="AO1465" s="82">
        <f>IFERROR(__xludf.DUMMYFUNCTION("""COMPUTED_VALUE"""),0.0)</f>
        <v>0</v>
      </c>
      <c r="AP1465" s="82">
        <f>IFERROR(__xludf.DUMMYFUNCTION("""COMPUTED_VALUE"""),0.0)</f>
        <v>0</v>
      </c>
      <c r="AQ1465" s="82">
        <f>IFERROR(__xludf.DUMMYFUNCTION("""COMPUTED_VALUE"""),0.0)</f>
        <v>0</v>
      </c>
      <c r="AR1465" s="82">
        <f>IFERROR(__xludf.DUMMYFUNCTION("""COMPUTED_VALUE"""),0.0)</f>
        <v>0</v>
      </c>
      <c r="AS1465" s="82"/>
      <c r="AT1465" s="82">
        <f>IFERROR(__xludf.DUMMYFUNCTION("""COMPUTED_VALUE"""),0.0)</f>
        <v>0</v>
      </c>
      <c r="AU1465" s="82"/>
      <c r="AV1465" s="82"/>
      <c r="AW1465" s="82" t="str">
        <f t="shared" si="1"/>
        <v/>
      </c>
      <c r="AX1465" s="83" t="str">
        <f t="array" ref="AX1465">IFERROR(DGET('SBV Import'!A:G,"SBV",{"RSC ID","Tier";B1465,A1465}))</f>
        <v/>
      </c>
      <c r="AY1465" s="82" t="str">
        <f t="shared" si="2"/>
        <v/>
      </c>
      <c r="AZ1465" s="82"/>
      <c r="BA1465" s="84" t="s">
        <v>152</v>
      </c>
      <c r="BB1465" s="84" t="str">
        <f>IFERROR(__xludf.DUMMYFUNCTION("iferror(if(A1465="""",,E1465&gt;=FILTER(Constants!$F$2:$F$10,Constants!$A$2:$A$10=A1465)))"),"")</f>
        <v/>
      </c>
    </row>
    <row r="1466">
      <c r="A1466" s="89"/>
      <c r="B1466" s="87"/>
      <c r="C1466" s="73"/>
      <c r="D1466" s="73"/>
      <c r="E1466" s="82"/>
      <c r="F1466" s="82"/>
      <c r="G1466" s="86"/>
      <c r="H1466" s="86"/>
      <c r="I1466" s="86"/>
      <c r="J1466" s="82"/>
      <c r="K1466" s="82"/>
      <c r="L1466" s="82"/>
      <c r="M1466" s="82"/>
      <c r="N1466" s="82"/>
      <c r="O1466" s="82"/>
      <c r="P1466" s="82"/>
      <c r="Q1466" s="82"/>
      <c r="R1466" s="82"/>
      <c r="S1466" s="82"/>
      <c r="T1466" s="82"/>
      <c r="U1466" s="82"/>
      <c r="V1466" s="82"/>
      <c r="W1466" s="82"/>
      <c r="X1466" s="82"/>
      <c r="Y1466" s="82"/>
      <c r="Z1466" s="82"/>
      <c r="AA1466" s="82"/>
      <c r="AB1466" s="82"/>
      <c r="AC1466" s="82"/>
      <c r="AD1466" s="82"/>
      <c r="AE1466" s="82"/>
      <c r="AF1466" s="82"/>
      <c r="AG1466" s="82"/>
      <c r="AH1466" s="82"/>
      <c r="AI1466" s="82"/>
      <c r="AJ1466" s="82"/>
      <c r="AK1466" s="82"/>
      <c r="AL1466" s="82"/>
      <c r="AM1466" s="82"/>
      <c r="AN1466" s="82">
        <f>IFERROR(__xludf.DUMMYFUNCTION("""COMPUTED_VALUE"""),0.0)</f>
        <v>0</v>
      </c>
      <c r="AO1466" s="82">
        <f>IFERROR(__xludf.DUMMYFUNCTION("""COMPUTED_VALUE"""),0.0)</f>
        <v>0</v>
      </c>
      <c r="AP1466" s="82">
        <f>IFERROR(__xludf.DUMMYFUNCTION("""COMPUTED_VALUE"""),0.0)</f>
        <v>0</v>
      </c>
      <c r="AQ1466" s="82">
        <f>IFERROR(__xludf.DUMMYFUNCTION("""COMPUTED_VALUE"""),0.0)</f>
        <v>0</v>
      </c>
      <c r="AR1466" s="82">
        <f>IFERROR(__xludf.DUMMYFUNCTION("""COMPUTED_VALUE"""),0.0)</f>
        <v>0</v>
      </c>
      <c r="AS1466" s="82"/>
      <c r="AT1466" s="82">
        <f>IFERROR(__xludf.DUMMYFUNCTION("""COMPUTED_VALUE"""),0.0)</f>
        <v>0</v>
      </c>
      <c r="AU1466" s="82"/>
      <c r="AV1466" s="82"/>
      <c r="AW1466" s="82" t="str">
        <f t="shared" si="1"/>
        <v/>
      </c>
      <c r="AX1466" s="83" t="str">
        <f t="array" ref="AX1466">IFERROR(DGET('SBV Import'!A:G,"SBV",{"RSC ID","Tier";B1466,A1466}))</f>
        <v/>
      </c>
      <c r="AY1466" s="82" t="str">
        <f t="shared" si="2"/>
        <v/>
      </c>
      <c r="AZ1466" s="82"/>
      <c r="BA1466" s="84" t="s">
        <v>152</v>
      </c>
      <c r="BB1466" s="84" t="str">
        <f>IFERROR(__xludf.DUMMYFUNCTION("iferror(if(A1466="""",,E1466&gt;=FILTER(Constants!$F$2:$F$10,Constants!$A$2:$A$10=A1466)))"),"")</f>
        <v/>
      </c>
    </row>
    <row r="1467">
      <c r="A1467" s="89"/>
      <c r="B1467" s="87"/>
      <c r="C1467" s="73"/>
      <c r="D1467" s="73"/>
      <c r="E1467" s="82"/>
      <c r="F1467" s="82"/>
      <c r="G1467" s="86"/>
      <c r="H1467" s="86"/>
      <c r="I1467" s="86"/>
      <c r="J1467" s="82"/>
      <c r="K1467" s="82"/>
      <c r="L1467" s="82"/>
      <c r="M1467" s="82"/>
      <c r="N1467" s="82"/>
      <c r="O1467" s="82"/>
      <c r="P1467" s="82"/>
      <c r="Q1467" s="82"/>
      <c r="R1467" s="82"/>
      <c r="S1467" s="82"/>
      <c r="T1467" s="82"/>
      <c r="U1467" s="82"/>
      <c r="V1467" s="82"/>
      <c r="W1467" s="82"/>
      <c r="X1467" s="82"/>
      <c r="Y1467" s="82"/>
      <c r="Z1467" s="82"/>
      <c r="AA1467" s="82"/>
      <c r="AB1467" s="82"/>
      <c r="AC1467" s="82"/>
      <c r="AD1467" s="82"/>
      <c r="AE1467" s="82"/>
      <c r="AF1467" s="82"/>
      <c r="AG1467" s="82"/>
      <c r="AH1467" s="82"/>
      <c r="AI1467" s="82"/>
      <c r="AJ1467" s="82"/>
      <c r="AK1467" s="82"/>
      <c r="AL1467" s="82"/>
      <c r="AM1467" s="82"/>
      <c r="AN1467" s="82">
        <f>IFERROR(__xludf.DUMMYFUNCTION("""COMPUTED_VALUE"""),0.0)</f>
        <v>0</v>
      </c>
      <c r="AO1467" s="82">
        <f>IFERROR(__xludf.DUMMYFUNCTION("""COMPUTED_VALUE"""),0.0)</f>
        <v>0</v>
      </c>
      <c r="AP1467" s="82">
        <f>IFERROR(__xludf.DUMMYFUNCTION("""COMPUTED_VALUE"""),0.0)</f>
        <v>0</v>
      </c>
      <c r="AQ1467" s="82">
        <f>IFERROR(__xludf.DUMMYFUNCTION("""COMPUTED_VALUE"""),0.0)</f>
        <v>0</v>
      </c>
      <c r="AR1467" s="82">
        <f>IFERROR(__xludf.DUMMYFUNCTION("""COMPUTED_VALUE"""),0.0)</f>
        <v>0</v>
      </c>
      <c r="AS1467" s="82"/>
      <c r="AT1467" s="82">
        <f>IFERROR(__xludf.DUMMYFUNCTION("""COMPUTED_VALUE"""),0.0)</f>
        <v>0</v>
      </c>
      <c r="AU1467" s="82"/>
      <c r="AV1467" s="82"/>
      <c r="AW1467" s="82" t="str">
        <f t="shared" si="1"/>
        <v/>
      </c>
      <c r="AX1467" s="83" t="str">
        <f t="array" ref="AX1467">IFERROR(DGET('SBV Import'!A:G,"SBV",{"RSC ID","Tier";B1467,A1467}))</f>
        <v/>
      </c>
      <c r="AY1467" s="82" t="str">
        <f t="shared" si="2"/>
        <v/>
      </c>
      <c r="AZ1467" s="82"/>
      <c r="BA1467" s="84" t="s">
        <v>152</v>
      </c>
      <c r="BB1467" s="84" t="str">
        <f>IFERROR(__xludf.DUMMYFUNCTION("iferror(if(A1467="""",,E1467&gt;=FILTER(Constants!$F$2:$F$10,Constants!$A$2:$A$10=A1467)))"),"")</f>
        <v/>
      </c>
    </row>
    <row r="1468">
      <c r="A1468" s="89"/>
      <c r="B1468" s="87"/>
      <c r="C1468" s="73"/>
      <c r="D1468" s="73"/>
      <c r="E1468" s="82"/>
      <c r="F1468" s="82"/>
      <c r="G1468" s="86"/>
      <c r="H1468" s="86"/>
      <c r="I1468" s="86"/>
      <c r="J1468" s="82"/>
      <c r="K1468" s="82"/>
      <c r="L1468" s="82"/>
      <c r="M1468" s="82"/>
      <c r="N1468" s="82"/>
      <c r="O1468" s="82"/>
      <c r="P1468" s="82"/>
      <c r="Q1468" s="82"/>
      <c r="R1468" s="82"/>
      <c r="S1468" s="82"/>
      <c r="T1468" s="82"/>
      <c r="U1468" s="82"/>
      <c r="V1468" s="82"/>
      <c r="W1468" s="82"/>
      <c r="X1468" s="82"/>
      <c r="Y1468" s="82"/>
      <c r="Z1468" s="82"/>
      <c r="AA1468" s="82"/>
      <c r="AB1468" s="82"/>
      <c r="AC1468" s="82"/>
      <c r="AD1468" s="82"/>
      <c r="AE1468" s="82"/>
      <c r="AF1468" s="82"/>
      <c r="AG1468" s="82"/>
      <c r="AH1468" s="82"/>
      <c r="AI1468" s="82"/>
      <c r="AJ1468" s="82"/>
      <c r="AK1468" s="82"/>
      <c r="AL1468" s="82"/>
      <c r="AM1468" s="82"/>
      <c r="AN1468" s="82">
        <f>IFERROR(__xludf.DUMMYFUNCTION("""COMPUTED_VALUE"""),0.0)</f>
        <v>0</v>
      </c>
      <c r="AO1468" s="82">
        <f>IFERROR(__xludf.DUMMYFUNCTION("""COMPUTED_VALUE"""),0.0)</f>
        <v>0</v>
      </c>
      <c r="AP1468" s="82">
        <f>IFERROR(__xludf.DUMMYFUNCTION("""COMPUTED_VALUE"""),0.0)</f>
        <v>0</v>
      </c>
      <c r="AQ1468" s="82">
        <f>IFERROR(__xludf.DUMMYFUNCTION("""COMPUTED_VALUE"""),0.0)</f>
        <v>0</v>
      </c>
      <c r="AR1468" s="82">
        <f>IFERROR(__xludf.DUMMYFUNCTION("""COMPUTED_VALUE"""),0.0)</f>
        <v>0</v>
      </c>
      <c r="AS1468" s="82"/>
      <c r="AT1468" s="82">
        <f>IFERROR(__xludf.DUMMYFUNCTION("""COMPUTED_VALUE"""),0.0)</f>
        <v>0</v>
      </c>
      <c r="AU1468" s="82"/>
      <c r="AV1468" s="82"/>
      <c r="AW1468" s="82" t="str">
        <f t="shared" si="1"/>
        <v/>
      </c>
      <c r="AX1468" s="83" t="str">
        <f t="array" ref="AX1468">IFERROR(DGET('SBV Import'!A:G,"SBV",{"RSC ID","Tier";B1468,A1468}))</f>
        <v/>
      </c>
      <c r="AY1468" s="82" t="str">
        <f t="shared" si="2"/>
        <v/>
      </c>
      <c r="AZ1468" s="82"/>
      <c r="BA1468" s="84" t="s">
        <v>152</v>
      </c>
      <c r="BB1468" s="84" t="str">
        <f>IFERROR(__xludf.DUMMYFUNCTION("iferror(if(A1468="""",,E1468&gt;=FILTER(Constants!$F$2:$F$10,Constants!$A$2:$A$10=A1468)))"),"")</f>
        <v/>
      </c>
    </row>
    <row r="1469">
      <c r="A1469" s="89"/>
      <c r="B1469" s="87"/>
      <c r="C1469" s="73"/>
      <c r="D1469" s="73"/>
      <c r="E1469" s="82"/>
      <c r="F1469" s="82"/>
      <c r="G1469" s="86"/>
      <c r="H1469" s="86"/>
      <c r="I1469" s="86"/>
      <c r="J1469" s="82"/>
      <c r="K1469" s="82"/>
      <c r="L1469" s="82"/>
      <c r="M1469" s="82"/>
      <c r="N1469" s="82"/>
      <c r="O1469" s="82"/>
      <c r="P1469" s="82"/>
      <c r="Q1469" s="82"/>
      <c r="R1469" s="82"/>
      <c r="S1469" s="82"/>
      <c r="T1469" s="82"/>
      <c r="U1469" s="82"/>
      <c r="V1469" s="82"/>
      <c r="W1469" s="82"/>
      <c r="X1469" s="82"/>
      <c r="Y1469" s="82"/>
      <c r="Z1469" s="82"/>
      <c r="AA1469" s="82"/>
      <c r="AB1469" s="82"/>
      <c r="AC1469" s="82"/>
      <c r="AD1469" s="82"/>
      <c r="AE1469" s="82"/>
      <c r="AF1469" s="82"/>
      <c r="AG1469" s="82"/>
      <c r="AH1469" s="82"/>
      <c r="AI1469" s="82"/>
      <c r="AJ1469" s="82"/>
      <c r="AK1469" s="82"/>
      <c r="AL1469" s="82"/>
      <c r="AM1469" s="82"/>
      <c r="AN1469" s="82">
        <f>IFERROR(__xludf.DUMMYFUNCTION("""COMPUTED_VALUE"""),0.0)</f>
        <v>0</v>
      </c>
      <c r="AO1469" s="82">
        <f>IFERROR(__xludf.DUMMYFUNCTION("""COMPUTED_VALUE"""),0.0)</f>
        <v>0</v>
      </c>
      <c r="AP1469" s="82">
        <f>IFERROR(__xludf.DUMMYFUNCTION("""COMPUTED_VALUE"""),0.0)</f>
        <v>0</v>
      </c>
      <c r="AQ1469" s="82">
        <f>IFERROR(__xludf.DUMMYFUNCTION("""COMPUTED_VALUE"""),0.0)</f>
        <v>0</v>
      </c>
      <c r="AR1469" s="82">
        <f>IFERROR(__xludf.DUMMYFUNCTION("""COMPUTED_VALUE"""),0.0)</f>
        <v>0</v>
      </c>
      <c r="AS1469" s="82"/>
      <c r="AT1469" s="82">
        <f>IFERROR(__xludf.DUMMYFUNCTION("""COMPUTED_VALUE"""),0.0)</f>
        <v>0</v>
      </c>
      <c r="AU1469" s="82"/>
      <c r="AV1469" s="82"/>
      <c r="AW1469" s="82" t="str">
        <f t="shared" si="1"/>
        <v/>
      </c>
      <c r="AX1469" s="83" t="str">
        <f t="array" ref="AX1469">IFERROR(DGET('SBV Import'!A:G,"SBV",{"RSC ID","Tier";B1469,A1469}))</f>
        <v/>
      </c>
      <c r="AY1469" s="82" t="str">
        <f t="shared" si="2"/>
        <v/>
      </c>
      <c r="AZ1469" s="82"/>
      <c r="BA1469" s="84" t="s">
        <v>152</v>
      </c>
      <c r="BB1469" s="84" t="str">
        <f>IFERROR(__xludf.DUMMYFUNCTION("iferror(if(A1469="""",,E1469&gt;=FILTER(Constants!$F$2:$F$10,Constants!$A$2:$A$10=A1469)))"),"")</f>
        <v/>
      </c>
    </row>
    <row r="1470">
      <c r="A1470" s="89"/>
      <c r="B1470" s="87"/>
      <c r="C1470" s="73"/>
      <c r="D1470" s="73"/>
      <c r="E1470" s="82"/>
      <c r="F1470" s="82"/>
      <c r="G1470" s="86"/>
      <c r="H1470" s="86"/>
      <c r="I1470" s="86"/>
      <c r="J1470" s="82"/>
      <c r="K1470" s="82"/>
      <c r="L1470" s="82"/>
      <c r="M1470" s="82"/>
      <c r="N1470" s="82"/>
      <c r="O1470" s="82"/>
      <c r="P1470" s="82"/>
      <c r="Q1470" s="82"/>
      <c r="R1470" s="82"/>
      <c r="S1470" s="82"/>
      <c r="T1470" s="82"/>
      <c r="U1470" s="82"/>
      <c r="V1470" s="82"/>
      <c r="W1470" s="82"/>
      <c r="X1470" s="82"/>
      <c r="Y1470" s="82"/>
      <c r="Z1470" s="82"/>
      <c r="AA1470" s="82"/>
      <c r="AB1470" s="82"/>
      <c r="AC1470" s="82"/>
      <c r="AD1470" s="82"/>
      <c r="AE1470" s="82"/>
      <c r="AF1470" s="82"/>
      <c r="AG1470" s="82"/>
      <c r="AH1470" s="82"/>
      <c r="AI1470" s="82"/>
      <c r="AJ1470" s="82"/>
      <c r="AK1470" s="82"/>
      <c r="AL1470" s="82"/>
      <c r="AM1470" s="82"/>
      <c r="AN1470" s="82">
        <f>IFERROR(__xludf.DUMMYFUNCTION("""COMPUTED_VALUE"""),0.0)</f>
        <v>0</v>
      </c>
      <c r="AO1470" s="82">
        <f>IFERROR(__xludf.DUMMYFUNCTION("""COMPUTED_VALUE"""),0.0)</f>
        <v>0</v>
      </c>
      <c r="AP1470" s="82">
        <f>IFERROR(__xludf.DUMMYFUNCTION("""COMPUTED_VALUE"""),0.0)</f>
        <v>0</v>
      </c>
      <c r="AQ1470" s="82">
        <f>IFERROR(__xludf.DUMMYFUNCTION("""COMPUTED_VALUE"""),0.0)</f>
        <v>0</v>
      </c>
      <c r="AR1470" s="82">
        <f>IFERROR(__xludf.DUMMYFUNCTION("""COMPUTED_VALUE"""),0.0)</f>
        <v>0</v>
      </c>
      <c r="AS1470" s="82"/>
      <c r="AT1470" s="82">
        <f>IFERROR(__xludf.DUMMYFUNCTION("""COMPUTED_VALUE"""),0.0)</f>
        <v>0</v>
      </c>
      <c r="AU1470" s="82"/>
      <c r="AV1470" s="82"/>
      <c r="AW1470" s="82" t="str">
        <f t="shared" si="1"/>
        <v/>
      </c>
      <c r="AX1470" s="83" t="str">
        <f t="array" ref="AX1470">IFERROR(DGET('SBV Import'!A:G,"SBV",{"RSC ID","Tier";B1470,A1470}))</f>
        <v/>
      </c>
      <c r="AY1470" s="82" t="str">
        <f t="shared" si="2"/>
        <v/>
      </c>
      <c r="AZ1470" s="82"/>
      <c r="BA1470" s="84" t="s">
        <v>152</v>
      </c>
      <c r="BB1470" s="84" t="str">
        <f>IFERROR(__xludf.DUMMYFUNCTION("iferror(if(A1470="""",,E1470&gt;=FILTER(Constants!$F$2:$F$10,Constants!$A$2:$A$10=A1470)))"),"")</f>
        <v/>
      </c>
    </row>
    <row r="1471">
      <c r="A1471" s="89"/>
      <c r="B1471" s="87"/>
      <c r="C1471" s="73"/>
      <c r="D1471" s="73"/>
      <c r="E1471" s="82"/>
      <c r="F1471" s="82"/>
      <c r="G1471" s="86"/>
      <c r="H1471" s="86"/>
      <c r="I1471" s="86"/>
      <c r="J1471" s="82"/>
      <c r="K1471" s="82"/>
      <c r="L1471" s="82"/>
      <c r="M1471" s="82"/>
      <c r="N1471" s="82"/>
      <c r="O1471" s="82"/>
      <c r="P1471" s="82"/>
      <c r="Q1471" s="82"/>
      <c r="R1471" s="82"/>
      <c r="S1471" s="82"/>
      <c r="T1471" s="82"/>
      <c r="U1471" s="82"/>
      <c r="V1471" s="82"/>
      <c r="W1471" s="82"/>
      <c r="X1471" s="82"/>
      <c r="Y1471" s="82"/>
      <c r="Z1471" s="82"/>
      <c r="AA1471" s="82"/>
      <c r="AB1471" s="82"/>
      <c r="AC1471" s="82"/>
      <c r="AD1471" s="82"/>
      <c r="AE1471" s="82"/>
      <c r="AF1471" s="82"/>
      <c r="AG1471" s="82"/>
      <c r="AH1471" s="82"/>
      <c r="AI1471" s="82"/>
      <c r="AJ1471" s="82"/>
      <c r="AK1471" s="82"/>
      <c r="AL1471" s="82"/>
      <c r="AM1471" s="82"/>
      <c r="AN1471" s="82">
        <f>IFERROR(__xludf.DUMMYFUNCTION("""COMPUTED_VALUE"""),0.0)</f>
        <v>0</v>
      </c>
      <c r="AO1471" s="82">
        <f>IFERROR(__xludf.DUMMYFUNCTION("""COMPUTED_VALUE"""),0.0)</f>
        <v>0</v>
      </c>
      <c r="AP1471" s="82">
        <f>IFERROR(__xludf.DUMMYFUNCTION("""COMPUTED_VALUE"""),0.0)</f>
        <v>0</v>
      </c>
      <c r="AQ1471" s="82">
        <f>IFERROR(__xludf.DUMMYFUNCTION("""COMPUTED_VALUE"""),0.0)</f>
        <v>0</v>
      </c>
      <c r="AR1471" s="82">
        <f>IFERROR(__xludf.DUMMYFUNCTION("""COMPUTED_VALUE"""),0.0)</f>
        <v>0</v>
      </c>
      <c r="AS1471" s="82"/>
      <c r="AT1471" s="82">
        <f>IFERROR(__xludf.DUMMYFUNCTION("""COMPUTED_VALUE"""),0.0)</f>
        <v>0</v>
      </c>
      <c r="AU1471" s="82"/>
      <c r="AV1471" s="82"/>
      <c r="AW1471" s="82" t="str">
        <f t="shared" si="1"/>
        <v/>
      </c>
      <c r="AX1471" s="83" t="str">
        <f t="array" ref="AX1471">IFERROR(DGET('SBV Import'!A:G,"SBV",{"RSC ID","Tier";B1471,A1471}))</f>
        <v/>
      </c>
      <c r="AY1471" s="82" t="str">
        <f t="shared" si="2"/>
        <v/>
      </c>
      <c r="AZ1471" s="82"/>
      <c r="BA1471" s="84" t="s">
        <v>152</v>
      </c>
      <c r="BB1471" s="84" t="str">
        <f>IFERROR(__xludf.DUMMYFUNCTION("iferror(if(A1471="""",,E1471&gt;=FILTER(Constants!$F$2:$F$10,Constants!$A$2:$A$10=A1471)))"),"")</f>
        <v/>
      </c>
    </row>
    <row r="1472">
      <c r="A1472" s="89"/>
      <c r="B1472" s="87"/>
      <c r="C1472" s="73"/>
      <c r="D1472" s="73"/>
      <c r="E1472" s="82"/>
      <c r="F1472" s="82"/>
      <c r="G1472" s="86"/>
      <c r="H1472" s="86"/>
      <c r="I1472" s="86"/>
      <c r="J1472" s="82"/>
      <c r="K1472" s="82"/>
      <c r="L1472" s="82"/>
      <c r="M1472" s="82"/>
      <c r="N1472" s="82"/>
      <c r="O1472" s="82"/>
      <c r="P1472" s="82"/>
      <c r="Q1472" s="82"/>
      <c r="R1472" s="82"/>
      <c r="S1472" s="82"/>
      <c r="T1472" s="82"/>
      <c r="U1472" s="82"/>
      <c r="V1472" s="82"/>
      <c r="W1472" s="82"/>
      <c r="X1472" s="82"/>
      <c r="Y1472" s="82"/>
      <c r="Z1472" s="82"/>
      <c r="AA1472" s="82"/>
      <c r="AB1472" s="82"/>
      <c r="AC1472" s="82"/>
      <c r="AD1472" s="82"/>
      <c r="AE1472" s="82"/>
      <c r="AF1472" s="82"/>
      <c r="AG1472" s="82"/>
      <c r="AH1472" s="82"/>
      <c r="AI1472" s="82"/>
      <c r="AJ1472" s="82"/>
      <c r="AK1472" s="82"/>
      <c r="AL1472" s="82"/>
      <c r="AM1472" s="82"/>
      <c r="AN1472" s="82">
        <f>IFERROR(__xludf.DUMMYFUNCTION("""COMPUTED_VALUE"""),0.0)</f>
        <v>0</v>
      </c>
      <c r="AO1472" s="82">
        <f>IFERROR(__xludf.DUMMYFUNCTION("""COMPUTED_VALUE"""),0.0)</f>
        <v>0</v>
      </c>
      <c r="AP1472" s="82">
        <f>IFERROR(__xludf.DUMMYFUNCTION("""COMPUTED_VALUE"""),0.0)</f>
        <v>0</v>
      </c>
      <c r="AQ1472" s="82">
        <f>IFERROR(__xludf.DUMMYFUNCTION("""COMPUTED_VALUE"""),0.0)</f>
        <v>0</v>
      </c>
      <c r="AR1472" s="82">
        <f>IFERROR(__xludf.DUMMYFUNCTION("""COMPUTED_VALUE"""),0.0)</f>
        <v>0</v>
      </c>
      <c r="AS1472" s="82"/>
      <c r="AT1472" s="82">
        <f>IFERROR(__xludf.DUMMYFUNCTION("""COMPUTED_VALUE"""),0.0)</f>
        <v>0</v>
      </c>
      <c r="AU1472" s="82"/>
      <c r="AV1472" s="82"/>
      <c r="AW1472" s="82" t="str">
        <f t="shared" si="1"/>
        <v/>
      </c>
      <c r="AX1472" s="83" t="str">
        <f t="array" ref="AX1472">IFERROR(DGET('SBV Import'!A:G,"SBV",{"RSC ID","Tier";B1472,A1472}))</f>
        <v/>
      </c>
      <c r="AY1472" s="82" t="str">
        <f t="shared" si="2"/>
        <v/>
      </c>
      <c r="AZ1472" s="82"/>
      <c r="BA1472" s="84" t="s">
        <v>152</v>
      </c>
      <c r="BB1472" s="84" t="str">
        <f>IFERROR(__xludf.DUMMYFUNCTION("iferror(if(A1472="""",,E1472&gt;=FILTER(Constants!$F$2:$F$10,Constants!$A$2:$A$10=A1472)))"),"")</f>
        <v/>
      </c>
    </row>
    <row r="1473">
      <c r="A1473" s="89"/>
      <c r="B1473" s="87"/>
      <c r="C1473" s="73"/>
      <c r="D1473" s="73"/>
      <c r="E1473" s="82"/>
      <c r="F1473" s="82"/>
      <c r="G1473" s="86"/>
      <c r="H1473" s="86"/>
      <c r="I1473" s="86"/>
      <c r="J1473" s="82"/>
      <c r="K1473" s="82"/>
      <c r="L1473" s="82"/>
      <c r="M1473" s="82"/>
      <c r="N1473" s="82"/>
      <c r="O1473" s="82"/>
      <c r="P1473" s="82"/>
      <c r="Q1473" s="82"/>
      <c r="R1473" s="82"/>
      <c r="S1473" s="82"/>
      <c r="T1473" s="82"/>
      <c r="U1473" s="82"/>
      <c r="V1473" s="82"/>
      <c r="W1473" s="82"/>
      <c r="X1473" s="82"/>
      <c r="Y1473" s="82"/>
      <c r="Z1473" s="82"/>
      <c r="AA1473" s="82"/>
      <c r="AB1473" s="82"/>
      <c r="AC1473" s="82"/>
      <c r="AD1473" s="82"/>
      <c r="AE1473" s="82"/>
      <c r="AF1473" s="82"/>
      <c r="AG1473" s="82"/>
      <c r="AH1473" s="82"/>
      <c r="AI1473" s="82"/>
      <c r="AJ1473" s="82"/>
      <c r="AK1473" s="82"/>
      <c r="AL1473" s="82"/>
      <c r="AM1473" s="82"/>
      <c r="AN1473" s="82">
        <f>IFERROR(__xludf.DUMMYFUNCTION("""COMPUTED_VALUE"""),0.0)</f>
        <v>0</v>
      </c>
      <c r="AO1473" s="82">
        <f>IFERROR(__xludf.DUMMYFUNCTION("""COMPUTED_VALUE"""),0.0)</f>
        <v>0</v>
      </c>
      <c r="AP1473" s="82">
        <f>IFERROR(__xludf.DUMMYFUNCTION("""COMPUTED_VALUE"""),0.0)</f>
        <v>0</v>
      </c>
      <c r="AQ1473" s="82">
        <f>IFERROR(__xludf.DUMMYFUNCTION("""COMPUTED_VALUE"""),0.0)</f>
        <v>0</v>
      </c>
      <c r="AR1473" s="82">
        <f>IFERROR(__xludf.DUMMYFUNCTION("""COMPUTED_VALUE"""),0.0)</f>
        <v>0</v>
      </c>
      <c r="AS1473" s="82"/>
      <c r="AT1473" s="82">
        <f>IFERROR(__xludf.DUMMYFUNCTION("""COMPUTED_VALUE"""),0.0)</f>
        <v>0</v>
      </c>
      <c r="AU1473" s="82"/>
      <c r="AV1473" s="82"/>
      <c r="AW1473" s="82" t="str">
        <f t="shared" si="1"/>
        <v/>
      </c>
      <c r="AX1473" s="83" t="str">
        <f t="array" ref="AX1473">IFERROR(DGET('SBV Import'!A:G,"SBV",{"RSC ID","Tier";B1473,A1473}))</f>
        <v/>
      </c>
      <c r="AY1473" s="82" t="str">
        <f t="shared" si="2"/>
        <v/>
      </c>
      <c r="AZ1473" s="82"/>
      <c r="BA1473" s="84" t="s">
        <v>152</v>
      </c>
      <c r="BB1473" s="84" t="str">
        <f>IFERROR(__xludf.DUMMYFUNCTION("iferror(if(A1473="""",,E1473&gt;=FILTER(Constants!$F$2:$F$10,Constants!$A$2:$A$10=A1473)))"),"")</f>
        <v/>
      </c>
    </row>
    <row r="1474">
      <c r="A1474" s="89"/>
      <c r="B1474" s="87"/>
      <c r="C1474" s="73"/>
      <c r="D1474" s="73"/>
      <c r="E1474" s="82"/>
      <c r="F1474" s="82"/>
      <c r="G1474" s="86"/>
      <c r="H1474" s="86"/>
      <c r="I1474" s="86"/>
      <c r="J1474" s="82"/>
      <c r="K1474" s="82"/>
      <c r="L1474" s="82"/>
      <c r="M1474" s="82"/>
      <c r="N1474" s="82"/>
      <c r="O1474" s="82"/>
      <c r="P1474" s="82"/>
      <c r="Q1474" s="82"/>
      <c r="R1474" s="82"/>
      <c r="S1474" s="82"/>
      <c r="T1474" s="82"/>
      <c r="U1474" s="82"/>
      <c r="V1474" s="82"/>
      <c r="W1474" s="82"/>
      <c r="X1474" s="82"/>
      <c r="Y1474" s="82"/>
      <c r="Z1474" s="82"/>
      <c r="AA1474" s="82"/>
      <c r="AB1474" s="82"/>
      <c r="AC1474" s="82"/>
      <c r="AD1474" s="82"/>
      <c r="AE1474" s="82"/>
      <c r="AF1474" s="82"/>
      <c r="AG1474" s="82"/>
      <c r="AH1474" s="82"/>
      <c r="AI1474" s="82"/>
      <c r="AJ1474" s="82"/>
      <c r="AK1474" s="82"/>
      <c r="AL1474" s="82"/>
      <c r="AM1474" s="82"/>
      <c r="AN1474" s="82">
        <f>IFERROR(__xludf.DUMMYFUNCTION("""COMPUTED_VALUE"""),0.0)</f>
        <v>0</v>
      </c>
      <c r="AO1474" s="82">
        <f>IFERROR(__xludf.DUMMYFUNCTION("""COMPUTED_VALUE"""),0.0)</f>
        <v>0</v>
      </c>
      <c r="AP1474" s="82">
        <f>IFERROR(__xludf.DUMMYFUNCTION("""COMPUTED_VALUE"""),0.0)</f>
        <v>0</v>
      </c>
      <c r="AQ1474" s="82">
        <f>IFERROR(__xludf.DUMMYFUNCTION("""COMPUTED_VALUE"""),0.0)</f>
        <v>0</v>
      </c>
      <c r="AR1474" s="82">
        <f>IFERROR(__xludf.DUMMYFUNCTION("""COMPUTED_VALUE"""),0.0)</f>
        <v>0</v>
      </c>
      <c r="AS1474" s="82"/>
      <c r="AT1474" s="82">
        <f>IFERROR(__xludf.DUMMYFUNCTION("""COMPUTED_VALUE"""),0.0)</f>
        <v>0</v>
      </c>
      <c r="AU1474" s="82"/>
      <c r="AV1474" s="82"/>
      <c r="AW1474" s="82" t="str">
        <f t="shared" si="1"/>
        <v/>
      </c>
      <c r="AX1474" s="83" t="str">
        <f t="array" ref="AX1474">IFERROR(DGET('SBV Import'!A:G,"SBV",{"RSC ID","Tier";B1474,A1474}))</f>
        <v/>
      </c>
      <c r="AY1474" s="82" t="str">
        <f t="shared" si="2"/>
        <v/>
      </c>
      <c r="AZ1474" s="82"/>
      <c r="BA1474" s="84" t="s">
        <v>152</v>
      </c>
      <c r="BB1474" s="84" t="str">
        <f>IFERROR(__xludf.DUMMYFUNCTION("iferror(if(A1474="""",,E1474&gt;=FILTER(Constants!$F$2:$F$10,Constants!$A$2:$A$10=A1474)))"),"")</f>
        <v/>
      </c>
    </row>
    <row r="1475">
      <c r="A1475" s="89"/>
      <c r="B1475" s="87"/>
      <c r="C1475" s="73"/>
      <c r="D1475" s="73"/>
      <c r="E1475" s="82"/>
      <c r="F1475" s="82"/>
      <c r="G1475" s="86"/>
      <c r="H1475" s="86"/>
      <c r="I1475" s="86"/>
      <c r="J1475" s="82"/>
      <c r="K1475" s="82"/>
      <c r="L1475" s="82"/>
      <c r="M1475" s="82"/>
      <c r="N1475" s="82"/>
      <c r="O1475" s="82"/>
      <c r="P1475" s="82"/>
      <c r="Q1475" s="82"/>
      <c r="R1475" s="82"/>
      <c r="S1475" s="82"/>
      <c r="T1475" s="82"/>
      <c r="U1475" s="82"/>
      <c r="V1475" s="82"/>
      <c r="W1475" s="82"/>
      <c r="X1475" s="82"/>
      <c r="Y1475" s="82"/>
      <c r="Z1475" s="82"/>
      <c r="AA1475" s="82"/>
      <c r="AB1475" s="82"/>
      <c r="AC1475" s="82"/>
      <c r="AD1475" s="82"/>
      <c r="AE1475" s="82"/>
      <c r="AF1475" s="82"/>
      <c r="AG1475" s="82"/>
      <c r="AH1475" s="82"/>
      <c r="AI1475" s="82"/>
      <c r="AJ1475" s="82"/>
      <c r="AK1475" s="82"/>
      <c r="AL1475" s="82"/>
      <c r="AM1475" s="82"/>
      <c r="AN1475" s="82">
        <f>IFERROR(__xludf.DUMMYFUNCTION("""COMPUTED_VALUE"""),0.0)</f>
        <v>0</v>
      </c>
      <c r="AO1475" s="82">
        <f>IFERROR(__xludf.DUMMYFUNCTION("""COMPUTED_VALUE"""),0.0)</f>
        <v>0</v>
      </c>
      <c r="AP1475" s="82">
        <f>IFERROR(__xludf.DUMMYFUNCTION("""COMPUTED_VALUE"""),0.0)</f>
        <v>0</v>
      </c>
      <c r="AQ1475" s="82">
        <f>IFERROR(__xludf.DUMMYFUNCTION("""COMPUTED_VALUE"""),0.0)</f>
        <v>0</v>
      </c>
      <c r="AR1475" s="82">
        <f>IFERROR(__xludf.DUMMYFUNCTION("""COMPUTED_VALUE"""),0.0)</f>
        <v>0</v>
      </c>
      <c r="AS1475" s="82"/>
      <c r="AT1475" s="82">
        <f>IFERROR(__xludf.DUMMYFUNCTION("""COMPUTED_VALUE"""),0.0)</f>
        <v>0</v>
      </c>
      <c r="AU1475" s="82"/>
      <c r="AV1475" s="82"/>
      <c r="AW1475" s="82" t="str">
        <f t="shared" si="1"/>
        <v/>
      </c>
      <c r="AX1475" s="83" t="str">
        <f t="array" ref="AX1475">IFERROR(DGET('SBV Import'!A:G,"SBV",{"RSC ID","Tier";B1475,A1475}))</f>
        <v/>
      </c>
      <c r="AY1475" s="82" t="str">
        <f t="shared" si="2"/>
        <v/>
      </c>
      <c r="AZ1475" s="82"/>
      <c r="BA1475" s="84" t="s">
        <v>152</v>
      </c>
      <c r="BB1475" s="84" t="str">
        <f>IFERROR(__xludf.DUMMYFUNCTION("iferror(if(A1475="""",,E1475&gt;=FILTER(Constants!$F$2:$F$10,Constants!$A$2:$A$10=A1475)))"),"")</f>
        <v/>
      </c>
    </row>
    <row r="1476">
      <c r="A1476" s="89"/>
      <c r="B1476" s="87"/>
      <c r="C1476" s="73"/>
      <c r="D1476" s="73"/>
      <c r="E1476" s="82"/>
      <c r="F1476" s="82"/>
      <c r="G1476" s="86"/>
      <c r="H1476" s="86"/>
      <c r="I1476" s="86"/>
      <c r="J1476" s="82"/>
      <c r="K1476" s="82"/>
      <c r="L1476" s="82"/>
      <c r="M1476" s="82"/>
      <c r="N1476" s="82"/>
      <c r="O1476" s="82"/>
      <c r="P1476" s="82"/>
      <c r="Q1476" s="82"/>
      <c r="R1476" s="82"/>
      <c r="S1476" s="82"/>
      <c r="T1476" s="82"/>
      <c r="U1476" s="82"/>
      <c r="V1476" s="82"/>
      <c r="W1476" s="82"/>
      <c r="X1476" s="82"/>
      <c r="Y1476" s="82"/>
      <c r="Z1476" s="82"/>
      <c r="AA1476" s="82"/>
      <c r="AB1476" s="82"/>
      <c r="AC1476" s="82"/>
      <c r="AD1476" s="82"/>
      <c r="AE1476" s="82"/>
      <c r="AF1476" s="82"/>
      <c r="AG1476" s="82"/>
      <c r="AH1476" s="82"/>
      <c r="AI1476" s="82"/>
      <c r="AJ1476" s="82"/>
      <c r="AK1476" s="82"/>
      <c r="AL1476" s="82"/>
      <c r="AM1476" s="82"/>
      <c r="AN1476" s="82">
        <f>IFERROR(__xludf.DUMMYFUNCTION("""COMPUTED_VALUE"""),0.0)</f>
        <v>0</v>
      </c>
      <c r="AO1476" s="82">
        <f>IFERROR(__xludf.DUMMYFUNCTION("""COMPUTED_VALUE"""),0.0)</f>
        <v>0</v>
      </c>
      <c r="AP1476" s="82">
        <f>IFERROR(__xludf.DUMMYFUNCTION("""COMPUTED_VALUE"""),0.0)</f>
        <v>0</v>
      </c>
      <c r="AQ1476" s="82">
        <f>IFERROR(__xludf.DUMMYFUNCTION("""COMPUTED_VALUE"""),0.0)</f>
        <v>0</v>
      </c>
      <c r="AR1476" s="82">
        <f>IFERROR(__xludf.DUMMYFUNCTION("""COMPUTED_VALUE"""),0.0)</f>
        <v>0</v>
      </c>
      <c r="AS1476" s="82"/>
      <c r="AT1476" s="82">
        <f>IFERROR(__xludf.DUMMYFUNCTION("""COMPUTED_VALUE"""),0.0)</f>
        <v>0</v>
      </c>
      <c r="AU1476" s="82"/>
      <c r="AV1476" s="82"/>
      <c r="AW1476" s="82" t="str">
        <f t="shared" si="1"/>
        <v/>
      </c>
      <c r="AX1476" s="83" t="str">
        <f t="array" ref="AX1476">IFERROR(DGET('SBV Import'!A:G,"SBV",{"RSC ID","Tier";B1476,A1476}))</f>
        <v/>
      </c>
      <c r="AY1476" s="82" t="str">
        <f t="shared" si="2"/>
        <v/>
      </c>
      <c r="AZ1476" s="82"/>
      <c r="BA1476" s="84" t="s">
        <v>152</v>
      </c>
      <c r="BB1476" s="84" t="str">
        <f>IFERROR(__xludf.DUMMYFUNCTION("iferror(if(A1476="""",,E1476&gt;=FILTER(Constants!$F$2:$F$10,Constants!$A$2:$A$10=A1476)))"),"")</f>
        <v/>
      </c>
    </row>
    <row r="1477">
      <c r="A1477" s="89"/>
      <c r="B1477" s="87"/>
      <c r="C1477" s="73"/>
      <c r="D1477" s="73"/>
      <c r="E1477" s="82"/>
      <c r="F1477" s="82"/>
      <c r="G1477" s="86"/>
      <c r="H1477" s="86"/>
      <c r="I1477" s="86"/>
      <c r="J1477" s="82"/>
      <c r="K1477" s="82"/>
      <c r="L1477" s="82"/>
      <c r="M1477" s="82"/>
      <c r="N1477" s="82"/>
      <c r="O1477" s="82"/>
      <c r="P1477" s="82"/>
      <c r="Q1477" s="82"/>
      <c r="R1477" s="82"/>
      <c r="S1477" s="82"/>
      <c r="T1477" s="82"/>
      <c r="U1477" s="82"/>
      <c r="V1477" s="82"/>
      <c r="W1477" s="82"/>
      <c r="X1477" s="82"/>
      <c r="Y1477" s="82"/>
      <c r="Z1477" s="82"/>
      <c r="AA1477" s="82"/>
      <c r="AB1477" s="82"/>
      <c r="AC1477" s="82"/>
      <c r="AD1477" s="82"/>
      <c r="AE1477" s="82"/>
      <c r="AF1477" s="82"/>
      <c r="AG1477" s="82"/>
      <c r="AH1477" s="82"/>
      <c r="AI1477" s="82"/>
      <c r="AJ1477" s="82"/>
      <c r="AK1477" s="82"/>
      <c r="AL1477" s="82"/>
      <c r="AM1477" s="82"/>
      <c r="AN1477" s="82">
        <f>IFERROR(__xludf.DUMMYFUNCTION("""COMPUTED_VALUE"""),0.0)</f>
        <v>0</v>
      </c>
      <c r="AO1477" s="82">
        <f>IFERROR(__xludf.DUMMYFUNCTION("""COMPUTED_VALUE"""),0.0)</f>
        <v>0</v>
      </c>
      <c r="AP1477" s="82">
        <f>IFERROR(__xludf.DUMMYFUNCTION("""COMPUTED_VALUE"""),0.0)</f>
        <v>0</v>
      </c>
      <c r="AQ1477" s="82">
        <f>IFERROR(__xludf.DUMMYFUNCTION("""COMPUTED_VALUE"""),0.0)</f>
        <v>0</v>
      </c>
      <c r="AR1477" s="82">
        <f>IFERROR(__xludf.DUMMYFUNCTION("""COMPUTED_VALUE"""),0.0)</f>
        <v>0</v>
      </c>
      <c r="AS1477" s="82"/>
      <c r="AT1477" s="82">
        <f>IFERROR(__xludf.DUMMYFUNCTION("""COMPUTED_VALUE"""),0.0)</f>
        <v>0</v>
      </c>
      <c r="AU1477" s="82"/>
      <c r="AV1477" s="82"/>
      <c r="AW1477" s="82" t="str">
        <f t="shared" si="1"/>
        <v/>
      </c>
      <c r="AX1477" s="83" t="str">
        <f t="array" ref="AX1477">IFERROR(DGET('SBV Import'!A:G,"SBV",{"RSC ID","Tier";B1477,A1477}))</f>
        <v/>
      </c>
      <c r="AY1477" s="82" t="str">
        <f t="shared" si="2"/>
        <v/>
      </c>
      <c r="AZ1477" s="82"/>
      <c r="BA1477" s="84" t="s">
        <v>152</v>
      </c>
      <c r="BB1477" s="84" t="str">
        <f>IFERROR(__xludf.DUMMYFUNCTION("iferror(if(A1477="""",,E1477&gt;=FILTER(Constants!$F$2:$F$10,Constants!$A$2:$A$10=A1477)))"),"")</f>
        <v/>
      </c>
    </row>
    <row r="1478">
      <c r="A1478" s="89"/>
      <c r="B1478" s="87"/>
      <c r="C1478" s="73"/>
      <c r="D1478" s="73"/>
      <c r="E1478" s="82"/>
      <c r="F1478" s="82"/>
      <c r="G1478" s="86"/>
      <c r="H1478" s="86"/>
      <c r="I1478" s="86"/>
      <c r="J1478" s="82"/>
      <c r="K1478" s="82"/>
      <c r="L1478" s="82"/>
      <c r="M1478" s="82"/>
      <c r="N1478" s="82"/>
      <c r="O1478" s="82"/>
      <c r="P1478" s="82"/>
      <c r="Q1478" s="82"/>
      <c r="R1478" s="82"/>
      <c r="S1478" s="82"/>
      <c r="T1478" s="82"/>
      <c r="U1478" s="82"/>
      <c r="V1478" s="82"/>
      <c r="W1478" s="82"/>
      <c r="X1478" s="82"/>
      <c r="Y1478" s="82"/>
      <c r="Z1478" s="82"/>
      <c r="AA1478" s="82"/>
      <c r="AB1478" s="82"/>
      <c r="AC1478" s="82"/>
      <c r="AD1478" s="82"/>
      <c r="AE1478" s="82"/>
      <c r="AF1478" s="82"/>
      <c r="AG1478" s="82"/>
      <c r="AH1478" s="82"/>
      <c r="AI1478" s="82"/>
      <c r="AJ1478" s="82"/>
      <c r="AK1478" s="82"/>
      <c r="AL1478" s="82"/>
      <c r="AM1478" s="82"/>
      <c r="AN1478" s="82">
        <f>IFERROR(__xludf.DUMMYFUNCTION("""COMPUTED_VALUE"""),0.0)</f>
        <v>0</v>
      </c>
      <c r="AO1478" s="82">
        <f>IFERROR(__xludf.DUMMYFUNCTION("""COMPUTED_VALUE"""),0.0)</f>
        <v>0</v>
      </c>
      <c r="AP1478" s="82">
        <f>IFERROR(__xludf.DUMMYFUNCTION("""COMPUTED_VALUE"""),0.0)</f>
        <v>0</v>
      </c>
      <c r="AQ1478" s="82">
        <f>IFERROR(__xludf.DUMMYFUNCTION("""COMPUTED_VALUE"""),0.0)</f>
        <v>0</v>
      </c>
      <c r="AR1478" s="82">
        <f>IFERROR(__xludf.DUMMYFUNCTION("""COMPUTED_VALUE"""),0.0)</f>
        <v>0</v>
      </c>
      <c r="AS1478" s="82"/>
      <c r="AT1478" s="82">
        <f>IFERROR(__xludf.DUMMYFUNCTION("""COMPUTED_VALUE"""),0.0)</f>
        <v>0</v>
      </c>
      <c r="AU1478" s="82"/>
      <c r="AV1478" s="82"/>
      <c r="AW1478" s="82" t="str">
        <f t="shared" si="1"/>
        <v/>
      </c>
      <c r="AX1478" s="83" t="str">
        <f t="array" ref="AX1478">IFERROR(DGET('SBV Import'!A:G,"SBV",{"RSC ID","Tier";B1478,A1478}))</f>
        <v/>
      </c>
      <c r="AY1478" s="82" t="str">
        <f t="shared" si="2"/>
        <v/>
      </c>
      <c r="AZ1478" s="82"/>
      <c r="BA1478" s="84" t="s">
        <v>152</v>
      </c>
      <c r="BB1478" s="84" t="str">
        <f>IFERROR(__xludf.DUMMYFUNCTION("iferror(if(A1478="""",,E1478&gt;=FILTER(Constants!$F$2:$F$10,Constants!$A$2:$A$10=A1478)))"),"")</f>
        <v/>
      </c>
    </row>
    <row r="1479">
      <c r="A1479" s="89"/>
      <c r="B1479" s="87"/>
      <c r="C1479" s="73"/>
      <c r="D1479" s="73"/>
      <c r="E1479" s="82"/>
      <c r="F1479" s="82"/>
      <c r="G1479" s="86"/>
      <c r="H1479" s="86"/>
      <c r="I1479" s="86"/>
      <c r="J1479" s="82"/>
      <c r="K1479" s="82"/>
      <c r="L1479" s="82"/>
      <c r="M1479" s="82"/>
      <c r="N1479" s="82"/>
      <c r="O1479" s="82"/>
      <c r="P1479" s="82"/>
      <c r="Q1479" s="82"/>
      <c r="R1479" s="82"/>
      <c r="S1479" s="82"/>
      <c r="T1479" s="82"/>
      <c r="U1479" s="82"/>
      <c r="V1479" s="82"/>
      <c r="W1479" s="82"/>
      <c r="X1479" s="82"/>
      <c r="Y1479" s="82"/>
      <c r="Z1479" s="82"/>
      <c r="AA1479" s="82"/>
      <c r="AB1479" s="82"/>
      <c r="AC1479" s="82"/>
      <c r="AD1479" s="82"/>
      <c r="AE1479" s="82"/>
      <c r="AF1479" s="82"/>
      <c r="AG1479" s="82"/>
      <c r="AH1479" s="82"/>
      <c r="AI1479" s="82"/>
      <c r="AJ1479" s="82"/>
      <c r="AK1479" s="82"/>
      <c r="AL1479" s="82"/>
      <c r="AM1479" s="82"/>
      <c r="AN1479" s="82">
        <f>IFERROR(__xludf.DUMMYFUNCTION("""COMPUTED_VALUE"""),0.0)</f>
        <v>0</v>
      </c>
      <c r="AO1479" s="82">
        <f>IFERROR(__xludf.DUMMYFUNCTION("""COMPUTED_VALUE"""),0.0)</f>
        <v>0</v>
      </c>
      <c r="AP1479" s="82">
        <f>IFERROR(__xludf.DUMMYFUNCTION("""COMPUTED_VALUE"""),0.0)</f>
        <v>0</v>
      </c>
      <c r="AQ1479" s="82">
        <f>IFERROR(__xludf.DUMMYFUNCTION("""COMPUTED_VALUE"""),0.0)</f>
        <v>0</v>
      </c>
      <c r="AR1479" s="82">
        <f>IFERROR(__xludf.DUMMYFUNCTION("""COMPUTED_VALUE"""),0.0)</f>
        <v>0</v>
      </c>
      <c r="AS1479" s="82"/>
      <c r="AT1479" s="82">
        <f>IFERROR(__xludf.DUMMYFUNCTION("""COMPUTED_VALUE"""),0.0)</f>
        <v>0</v>
      </c>
      <c r="AU1479" s="82"/>
      <c r="AV1479" s="82"/>
      <c r="AW1479" s="82" t="str">
        <f t="shared" si="1"/>
        <v/>
      </c>
      <c r="AX1479" s="83" t="str">
        <f t="array" ref="AX1479">IFERROR(DGET('SBV Import'!A:G,"SBV",{"RSC ID","Tier";B1479,A1479}))</f>
        <v/>
      </c>
      <c r="AY1479" s="82" t="str">
        <f t="shared" si="2"/>
        <v/>
      </c>
      <c r="AZ1479" s="82"/>
      <c r="BA1479" s="84" t="s">
        <v>152</v>
      </c>
      <c r="BB1479" s="84" t="str">
        <f>IFERROR(__xludf.DUMMYFUNCTION("iferror(if(A1479="""",,E1479&gt;=FILTER(Constants!$F$2:$F$10,Constants!$A$2:$A$10=A1479)))"),"")</f>
        <v/>
      </c>
    </row>
    <row r="1480">
      <c r="A1480" s="89"/>
      <c r="B1480" s="87"/>
      <c r="C1480" s="73"/>
      <c r="D1480" s="73"/>
      <c r="E1480" s="82"/>
      <c r="F1480" s="82"/>
      <c r="G1480" s="86"/>
      <c r="H1480" s="86"/>
      <c r="I1480" s="86"/>
      <c r="J1480" s="82"/>
      <c r="K1480" s="82"/>
      <c r="L1480" s="82"/>
      <c r="M1480" s="82"/>
      <c r="N1480" s="82"/>
      <c r="O1480" s="82"/>
      <c r="P1480" s="82"/>
      <c r="Q1480" s="82"/>
      <c r="R1480" s="82"/>
      <c r="S1480" s="82"/>
      <c r="T1480" s="82"/>
      <c r="U1480" s="82"/>
      <c r="V1480" s="82"/>
      <c r="W1480" s="82"/>
      <c r="X1480" s="82"/>
      <c r="Y1480" s="82"/>
      <c r="Z1480" s="82"/>
      <c r="AA1480" s="82"/>
      <c r="AB1480" s="82"/>
      <c r="AC1480" s="82"/>
      <c r="AD1480" s="82"/>
      <c r="AE1480" s="82"/>
      <c r="AF1480" s="82"/>
      <c r="AG1480" s="82"/>
      <c r="AH1480" s="82"/>
      <c r="AI1480" s="82"/>
      <c r="AJ1480" s="82"/>
      <c r="AK1480" s="82"/>
      <c r="AL1480" s="82"/>
      <c r="AM1480" s="82"/>
      <c r="AN1480" s="82">
        <f>IFERROR(__xludf.DUMMYFUNCTION("""COMPUTED_VALUE"""),0.0)</f>
        <v>0</v>
      </c>
      <c r="AO1480" s="82">
        <f>IFERROR(__xludf.DUMMYFUNCTION("""COMPUTED_VALUE"""),0.0)</f>
        <v>0</v>
      </c>
      <c r="AP1480" s="82">
        <f>IFERROR(__xludf.DUMMYFUNCTION("""COMPUTED_VALUE"""),0.0)</f>
        <v>0</v>
      </c>
      <c r="AQ1480" s="82">
        <f>IFERROR(__xludf.DUMMYFUNCTION("""COMPUTED_VALUE"""),0.0)</f>
        <v>0</v>
      </c>
      <c r="AR1480" s="82">
        <f>IFERROR(__xludf.DUMMYFUNCTION("""COMPUTED_VALUE"""),0.0)</f>
        <v>0</v>
      </c>
      <c r="AS1480" s="82"/>
      <c r="AT1480" s="82">
        <f>IFERROR(__xludf.DUMMYFUNCTION("""COMPUTED_VALUE"""),0.0)</f>
        <v>0</v>
      </c>
      <c r="AU1480" s="82"/>
      <c r="AV1480" s="82"/>
      <c r="AW1480" s="82" t="str">
        <f t="shared" si="1"/>
        <v/>
      </c>
      <c r="AX1480" s="83" t="str">
        <f t="array" ref="AX1480">IFERROR(DGET('SBV Import'!A:G,"SBV",{"RSC ID","Tier";B1480,A1480}))</f>
        <v/>
      </c>
      <c r="AY1480" s="82" t="str">
        <f t="shared" si="2"/>
        <v/>
      </c>
      <c r="AZ1480" s="82"/>
      <c r="BA1480" s="84" t="s">
        <v>152</v>
      </c>
      <c r="BB1480" s="84" t="str">
        <f>IFERROR(__xludf.DUMMYFUNCTION("iferror(if(A1480="""",,E1480&gt;=FILTER(Constants!$F$2:$F$10,Constants!$A$2:$A$10=A1480)))"),"")</f>
        <v/>
      </c>
    </row>
    <row r="1481">
      <c r="A1481" s="89"/>
      <c r="B1481" s="87"/>
      <c r="C1481" s="73"/>
      <c r="D1481" s="73"/>
      <c r="E1481" s="82"/>
      <c r="F1481" s="82"/>
      <c r="G1481" s="86"/>
      <c r="H1481" s="86"/>
      <c r="I1481" s="86"/>
      <c r="J1481" s="82"/>
      <c r="K1481" s="82"/>
      <c r="L1481" s="82"/>
      <c r="M1481" s="82"/>
      <c r="N1481" s="82"/>
      <c r="O1481" s="82"/>
      <c r="P1481" s="82"/>
      <c r="Q1481" s="82"/>
      <c r="R1481" s="82"/>
      <c r="S1481" s="82"/>
      <c r="T1481" s="82"/>
      <c r="U1481" s="82"/>
      <c r="V1481" s="82"/>
      <c r="W1481" s="82"/>
      <c r="X1481" s="82"/>
      <c r="Y1481" s="82"/>
      <c r="Z1481" s="82"/>
      <c r="AA1481" s="82"/>
      <c r="AB1481" s="82"/>
      <c r="AC1481" s="82"/>
      <c r="AD1481" s="82"/>
      <c r="AE1481" s="82"/>
      <c r="AF1481" s="82"/>
      <c r="AG1481" s="82"/>
      <c r="AH1481" s="82"/>
      <c r="AI1481" s="82"/>
      <c r="AJ1481" s="82"/>
      <c r="AK1481" s="82"/>
      <c r="AL1481" s="82"/>
      <c r="AM1481" s="82"/>
      <c r="AN1481" s="82">
        <f>IFERROR(__xludf.DUMMYFUNCTION("""COMPUTED_VALUE"""),0.0)</f>
        <v>0</v>
      </c>
      <c r="AO1481" s="82">
        <f>IFERROR(__xludf.DUMMYFUNCTION("""COMPUTED_VALUE"""),0.0)</f>
        <v>0</v>
      </c>
      <c r="AP1481" s="82">
        <f>IFERROR(__xludf.DUMMYFUNCTION("""COMPUTED_VALUE"""),0.0)</f>
        <v>0</v>
      </c>
      <c r="AQ1481" s="82">
        <f>IFERROR(__xludf.DUMMYFUNCTION("""COMPUTED_VALUE"""),0.0)</f>
        <v>0</v>
      </c>
      <c r="AR1481" s="82">
        <f>IFERROR(__xludf.DUMMYFUNCTION("""COMPUTED_VALUE"""),0.0)</f>
        <v>0</v>
      </c>
      <c r="AS1481" s="82"/>
      <c r="AT1481" s="82">
        <f>IFERROR(__xludf.DUMMYFUNCTION("""COMPUTED_VALUE"""),0.0)</f>
        <v>0</v>
      </c>
      <c r="AU1481" s="82"/>
      <c r="AV1481" s="82"/>
      <c r="AW1481" s="82" t="str">
        <f t="shared" si="1"/>
        <v/>
      </c>
      <c r="AX1481" s="83" t="str">
        <f t="array" ref="AX1481">IFERROR(DGET('SBV Import'!A:G,"SBV",{"RSC ID","Tier";B1481,A1481}))</f>
        <v/>
      </c>
      <c r="AY1481" s="82" t="str">
        <f t="shared" si="2"/>
        <v/>
      </c>
      <c r="AZ1481" s="82"/>
      <c r="BA1481" s="84" t="s">
        <v>152</v>
      </c>
      <c r="BB1481" s="84" t="str">
        <f>IFERROR(__xludf.DUMMYFUNCTION("iferror(if(A1481="""",,E1481&gt;=FILTER(Constants!$F$2:$F$10,Constants!$A$2:$A$10=A1481)))"),"")</f>
        <v/>
      </c>
    </row>
    <row r="1482">
      <c r="A1482" s="89"/>
      <c r="B1482" s="87"/>
      <c r="C1482" s="73"/>
      <c r="D1482" s="73"/>
      <c r="E1482" s="82"/>
      <c r="F1482" s="82"/>
      <c r="G1482" s="86"/>
      <c r="H1482" s="86"/>
      <c r="I1482" s="86"/>
      <c r="J1482" s="82"/>
      <c r="K1482" s="82"/>
      <c r="L1482" s="82"/>
      <c r="M1482" s="82"/>
      <c r="N1482" s="82"/>
      <c r="O1482" s="82"/>
      <c r="P1482" s="82"/>
      <c r="Q1482" s="82"/>
      <c r="R1482" s="82"/>
      <c r="S1482" s="82"/>
      <c r="T1482" s="82"/>
      <c r="U1482" s="82"/>
      <c r="V1482" s="82"/>
      <c r="W1482" s="82"/>
      <c r="X1482" s="82"/>
      <c r="Y1482" s="82"/>
      <c r="Z1482" s="82"/>
      <c r="AA1482" s="82"/>
      <c r="AB1482" s="82"/>
      <c r="AC1482" s="82"/>
      <c r="AD1482" s="82"/>
      <c r="AE1482" s="82"/>
      <c r="AF1482" s="82"/>
      <c r="AG1482" s="82"/>
      <c r="AH1482" s="82"/>
      <c r="AI1482" s="82"/>
      <c r="AJ1482" s="82"/>
      <c r="AK1482" s="82"/>
      <c r="AL1482" s="82"/>
      <c r="AM1482" s="82"/>
      <c r="AN1482" s="82">
        <f>IFERROR(__xludf.DUMMYFUNCTION("""COMPUTED_VALUE"""),0.0)</f>
        <v>0</v>
      </c>
      <c r="AO1482" s="82">
        <f>IFERROR(__xludf.DUMMYFUNCTION("""COMPUTED_VALUE"""),0.0)</f>
        <v>0</v>
      </c>
      <c r="AP1482" s="82">
        <f>IFERROR(__xludf.DUMMYFUNCTION("""COMPUTED_VALUE"""),0.0)</f>
        <v>0</v>
      </c>
      <c r="AQ1482" s="82">
        <f>IFERROR(__xludf.DUMMYFUNCTION("""COMPUTED_VALUE"""),0.0)</f>
        <v>0</v>
      </c>
      <c r="AR1482" s="82">
        <f>IFERROR(__xludf.DUMMYFUNCTION("""COMPUTED_VALUE"""),0.0)</f>
        <v>0</v>
      </c>
      <c r="AS1482" s="82"/>
      <c r="AT1482" s="82">
        <f>IFERROR(__xludf.DUMMYFUNCTION("""COMPUTED_VALUE"""),0.0)</f>
        <v>0</v>
      </c>
      <c r="AU1482" s="82"/>
      <c r="AV1482" s="82"/>
      <c r="AW1482" s="82" t="str">
        <f t="shared" si="1"/>
        <v/>
      </c>
      <c r="AX1482" s="83" t="str">
        <f t="array" ref="AX1482">IFERROR(DGET('SBV Import'!A:G,"SBV",{"RSC ID","Tier";B1482,A1482}))</f>
        <v/>
      </c>
      <c r="AY1482" s="82" t="str">
        <f t="shared" si="2"/>
        <v/>
      </c>
      <c r="AZ1482" s="82"/>
      <c r="BA1482" s="84" t="s">
        <v>152</v>
      </c>
      <c r="BB1482" s="84" t="str">
        <f>IFERROR(__xludf.DUMMYFUNCTION("iferror(if(A1482="""",,E1482&gt;=FILTER(Constants!$F$2:$F$10,Constants!$A$2:$A$10=A1482)))"),"")</f>
        <v/>
      </c>
    </row>
    <row r="1483">
      <c r="A1483" s="89"/>
      <c r="B1483" s="87"/>
      <c r="C1483" s="73"/>
      <c r="D1483" s="73"/>
      <c r="E1483" s="82"/>
      <c r="F1483" s="82"/>
      <c r="G1483" s="86"/>
      <c r="H1483" s="86"/>
      <c r="I1483" s="86"/>
      <c r="J1483" s="82"/>
      <c r="K1483" s="82"/>
      <c r="L1483" s="82"/>
      <c r="M1483" s="82"/>
      <c r="N1483" s="82"/>
      <c r="O1483" s="82"/>
      <c r="P1483" s="82"/>
      <c r="Q1483" s="82"/>
      <c r="R1483" s="82"/>
      <c r="S1483" s="82"/>
      <c r="T1483" s="82"/>
      <c r="U1483" s="82"/>
      <c r="V1483" s="82"/>
      <c r="W1483" s="82"/>
      <c r="X1483" s="82"/>
      <c r="Y1483" s="82"/>
      <c r="Z1483" s="82"/>
      <c r="AA1483" s="82"/>
      <c r="AB1483" s="82"/>
      <c r="AC1483" s="82"/>
      <c r="AD1483" s="82"/>
      <c r="AE1483" s="82"/>
      <c r="AF1483" s="82"/>
      <c r="AG1483" s="82"/>
      <c r="AH1483" s="82"/>
      <c r="AI1483" s="82"/>
      <c r="AJ1483" s="82"/>
      <c r="AK1483" s="82"/>
      <c r="AL1483" s="82"/>
      <c r="AM1483" s="82"/>
      <c r="AN1483" s="82">
        <f>IFERROR(__xludf.DUMMYFUNCTION("""COMPUTED_VALUE"""),0.0)</f>
        <v>0</v>
      </c>
      <c r="AO1483" s="82">
        <f>IFERROR(__xludf.DUMMYFUNCTION("""COMPUTED_VALUE"""),0.0)</f>
        <v>0</v>
      </c>
      <c r="AP1483" s="82">
        <f>IFERROR(__xludf.DUMMYFUNCTION("""COMPUTED_VALUE"""),0.0)</f>
        <v>0</v>
      </c>
      <c r="AQ1483" s="82">
        <f>IFERROR(__xludf.DUMMYFUNCTION("""COMPUTED_VALUE"""),0.0)</f>
        <v>0</v>
      </c>
      <c r="AR1483" s="82">
        <f>IFERROR(__xludf.DUMMYFUNCTION("""COMPUTED_VALUE"""),0.0)</f>
        <v>0</v>
      </c>
      <c r="AS1483" s="82"/>
      <c r="AT1483" s="82">
        <f>IFERROR(__xludf.DUMMYFUNCTION("""COMPUTED_VALUE"""),0.0)</f>
        <v>0</v>
      </c>
      <c r="AU1483" s="82"/>
      <c r="AV1483" s="82"/>
      <c r="AW1483" s="82" t="str">
        <f t="shared" si="1"/>
        <v/>
      </c>
      <c r="AX1483" s="83" t="str">
        <f t="array" ref="AX1483">IFERROR(DGET('SBV Import'!A:G,"SBV",{"RSC ID","Tier";B1483,A1483}))</f>
        <v/>
      </c>
      <c r="AY1483" s="82" t="str">
        <f t="shared" si="2"/>
        <v/>
      </c>
      <c r="AZ1483" s="82"/>
      <c r="BA1483" s="84" t="s">
        <v>152</v>
      </c>
      <c r="BB1483" s="84" t="str">
        <f>IFERROR(__xludf.DUMMYFUNCTION("iferror(if(A1483="""",,E1483&gt;=FILTER(Constants!$F$2:$F$10,Constants!$A$2:$A$10=A1483)))"),"")</f>
        <v/>
      </c>
    </row>
    <row r="1484">
      <c r="A1484" s="89"/>
      <c r="B1484" s="87"/>
      <c r="C1484" s="73"/>
      <c r="D1484" s="73"/>
      <c r="E1484" s="82"/>
      <c r="F1484" s="82"/>
      <c r="G1484" s="86"/>
      <c r="H1484" s="86"/>
      <c r="I1484" s="86"/>
      <c r="J1484" s="82"/>
      <c r="K1484" s="82"/>
      <c r="L1484" s="82"/>
      <c r="M1484" s="82"/>
      <c r="N1484" s="82"/>
      <c r="O1484" s="82"/>
      <c r="P1484" s="82"/>
      <c r="Q1484" s="82"/>
      <c r="R1484" s="82"/>
      <c r="S1484" s="82"/>
      <c r="T1484" s="82"/>
      <c r="U1484" s="82"/>
      <c r="V1484" s="82"/>
      <c r="W1484" s="82"/>
      <c r="X1484" s="82"/>
      <c r="Y1484" s="82"/>
      <c r="Z1484" s="82"/>
      <c r="AA1484" s="82"/>
      <c r="AB1484" s="82"/>
      <c r="AC1484" s="82"/>
      <c r="AD1484" s="82"/>
      <c r="AE1484" s="82"/>
      <c r="AF1484" s="82"/>
      <c r="AG1484" s="82"/>
      <c r="AH1484" s="82"/>
      <c r="AI1484" s="82"/>
      <c r="AJ1484" s="82"/>
      <c r="AK1484" s="82"/>
      <c r="AL1484" s="82"/>
      <c r="AM1484" s="82"/>
      <c r="AN1484" s="82">
        <f>IFERROR(__xludf.DUMMYFUNCTION("""COMPUTED_VALUE"""),0.0)</f>
        <v>0</v>
      </c>
      <c r="AO1484" s="82">
        <f>IFERROR(__xludf.DUMMYFUNCTION("""COMPUTED_VALUE"""),0.0)</f>
        <v>0</v>
      </c>
      <c r="AP1484" s="82">
        <f>IFERROR(__xludf.DUMMYFUNCTION("""COMPUTED_VALUE"""),0.0)</f>
        <v>0</v>
      </c>
      <c r="AQ1484" s="82">
        <f>IFERROR(__xludf.DUMMYFUNCTION("""COMPUTED_VALUE"""),0.0)</f>
        <v>0</v>
      </c>
      <c r="AR1484" s="82">
        <f>IFERROR(__xludf.DUMMYFUNCTION("""COMPUTED_VALUE"""),0.0)</f>
        <v>0</v>
      </c>
      <c r="AS1484" s="82"/>
      <c r="AT1484" s="82">
        <f>IFERROR(__xludf.DUMMYFUNCTION("""COMPUTED_VALUE"""),0.0)</f>
        <v>0</v>
      </c>
      <c r="AU1484" s="82"/>
      <c r="AV1484" s="82"/>
      <c r="AW1484" s="82" t="str">
        <f t="shared" si="1"/>
        <v/>
      </c>
      <c r="AX1484" s="83" t="str">
        <f t="array" ref="AX1484">IFERROR(DGET('SBV Import'!A:G,"SBV",{"RSC ID","Tier";B1484,A1484}))</f>
        <v/>
      </c>
      <c r="AY1484" s="82" t="str">
        <f t="shared" si="2"/>
        <v/>
      </c>
      <c r="AZ1484" s="82"/>
      <c r="BA1484" s="84" t="s">
        <v>152</v>
      </c>
      <c r="BB1484" s="84" t="str">
        <f>IFERROR(__xludf.DUMMYFUNCTION("iferror(if(A1484="""",,E1484&gt;=FILTER(Constants!$F$2:$F$10,Constants!$A$2:$A$10=A1484)))"),"")</f>
        <v/>
      </c>
    </row>
    <row r="1485">
      <c r="A1485" s="89"/>
      <c r="B1485" s="87"/>
      <c r="C1485" s="73"/>
      <c r="D1485" s="73"/>
      <c r="E1485" s="82"/>
      <c r="F1485" s="82"/>
      <c r="G1485" s="86"/>
      <c r="H1485" s="86"/>
      <c r="I1485" s="86"/>
      <c r="J1485" s="82"/>
      <c r="K1485" s="82"/>
      <c r="L1485" s="82"/>
      <c r="M1485" s="82"/>
      <c r="N1485" s="82"/>
      <c r="O1485" s="82"/>
      <c r="P1485" s="82"/>
      <c r="Q1485" s="82"/>
      <c r="R1485" s="82"/>
      <c r="S1485" s="82"/>
      <c r="T1485" s="82"/>
      <c r="U1485" s="82"/>
      <c r="V1485" s="82"/>
      <c r="W1485" s="82"/>
      <c r="X1485" s="82"/>
      <c r="Y1485" s="82"/>
      <c r="Z1485" s="82"/>
      <c r="AA1485" s="82"/>
      <c r="AB1485" s="82"/>
      <c r="AC1485" s="82"/>
      <c r="AD1485" s="82"/>
      <c r="AE1485" s="82"/>
      <c r="AF1485" s="82"/>
      <c r="AG1485" s="82"/>
      <c r="AH1485" s="82"/>
      <c r="AI1485" s="82"/>
      <c r="AJ1485" s="82"/>
      <c r="AK1485" s="82"/>
      <c r="AL1485" s="82"/>
      <c r="AM1485" s="82"/>
      <c r="AN1485" s="82">
        <f>IFERROR(__xludf.DUMMYFUNCTION("""COMPUTED_VALUE"""),0.0)</f>
        <v>0</v>
      </c>
      <c r="AO1485" s="82">
        <f>IFERROR(__xludf.DUMMYFUNCTION("""COMPUTED_VALUE"""),0.0)</f>
        <v>0</v>
      </c>
      <c r="AP1485" s="82">
        <f>IFERROR(__xludf.DUMMYFUNCTION("""COMPUTED_VALUE"""),0.0)</f>
        <v>0</v>
      </c>
      <c r="AQ1485" s="82">
        <f>IFERROR(__xludf.DUMMYFUNCTION("""COMPUTED_VALUE"""),0.0)</f>
        <v>0</v>
      </c>
      <c r="AR1485" s="82">
        <f>IFERROR(__xludf.DUMMYFUNCTION("""COMPUTED_VALUE"""),0.0)</f>
        <v>0</v>
      </c>
      <c r="AS1485" s="82"/>
      <c r="AT1485" s="82">
        <f>IFERROR(__xludf.DUMMYFUNCTION("""COMPUTED_VALUE"""),0.0)</f>
        <v>0</v>
      </c>
      <c r="AU1485" s="82"/>
      <c r="AV1485" s="82"/>
      <c r="AW1485" s="82" t="str">
        <f t="shared" si="1"/>
        <v/>
      </c>
      <c r="AX1485" s="83" t="str">
        <f t="array" ref="AX1485">IFERROR(DGET('SBV Import'!A:G,"SBV",{"RSC ID","Tier";B1485,A1485}))</f>
        <v/>
      </c>
      <c r="AY1485" s="82" t="str">
        <f t="shared" si="2"/>
        <v/>
      </c>
      <c r="AZ1485" s="82"/>
      <c r="BA1485" s="84" t="s">
        <v>152</v>
      </c>
      <c r="BB1485" s="84" t="str">
        <f>IFERROR(__xludf.DUMMYFUNCTION("iferror(if(A1485="""",,E1485&gt;=FILTER(Constants!$F$2:$F$10,Constants!$A$2:$A$10=A1485)))"),"")</f>
        <v/>
      </c>
    </row>
    <row r="1486">
      <c r="A1486" s="89"/>
      <c r="B1486" s="87"/>
      <c r="C1486" s="73"/>
      <c r="D1486" s="73"/>
      <c r="E1486" s="82"/>
      <c r="F1486" s="82"/>
      <c r="G1486" s="86"/>
      <c r="H1486" s="86"/>
      <c r="I1486" s="86"/>
      <c r="J1486" s="82"/>
      <c r="K1486" s="82"/>
      <c r="L1486" s="82"/>
      <c r="M1486" s="82"/>
      <c r="N1486" s="82"/>
      <c r="O1486" s="82"/>
      <c r="P1486" s="82"/>
      <c r="Q1486" s="82"/>
      <c r="R1486" s="82"/>
      <c r="S1486" s="82"/>
      <c r="T1486" s="82"/>
      <c r="U1486" s="82"/>
      <c r="V1486" s="82"/>
      <c r="W1486" s="82"/>
      <c r="X1486" s="82"/>
      <c r="Y1486" s="82"/>
      <c r="Z1486" s="82"/>
      <c r="AA1486" s="82"/>
      <c r="AB1486" s="82"/>
      <c r="AC1486" s="82"/>
      <c r="AD1486" s="82"/>
      <c r="AE1486" s="82"/>
      <c r="AF1486" s="82"/>
      <c r="AG1486" s="82"/>
      <c r="AH1486" s="82"/>
      <c r="AI1486" s="82"/>
      <c r="AJ1486" s="82"/>
      <c r="AK1486" s="82"/>
      <c r="AL1486" s="82"/>
      <c r="AM1486" s="82"/>
      <c r="AN1486" s="82">
        <f>IFERROR(__xludf.DUMMYFUNCTION("""COMPUTED_VALUE"""),0.0)</f>
        <v>0</v>
      </c>
      <c r="AO1486" s="82">
        <f>IFERROR(__xludf.DUMMYFUNCTION("""COMPUTED_VALUE"""),0.0)</f>
        <v>0</v>
      </c>
      <c r="AP1486" s="82">
        <f>IFERROR(__xludf.DUMMYFUNCTION("""COMPUTED_VALUE"""),0.0)</f>
        <v>0</v>
      </c>
      <c r="AQ1486" s="82">
        <f>IFERROR(__xludf.DUMMYFUNCTION("""COMPUTED_VALUE"""),0.0)</f>
        <v>0</v>
      </c>
      <c r="AR1486" s="82">
        <f>IFERROR(__xludf.DUMMYFUNCTION("""COMPUTED_VALUE"""),0.0)</f>
        <v>0</v>
      </c>
      <c r="AS1486" s="82"/>
      <c r="AT1486" s="82">
        <f>IFERROR(__xludf.DUMMYFUNCTION("""COMPUTED_VALUE"""),0.0)</f>
        <v>0</v>
      </c>
      <c r="AU1486" s="82"/>
      <c r="AV1486" s="82"/>
      <c r="AW1486" s="82" t="str">
        <f t="shared" si="1"/>
        <v/>
      </c>
      <c r="AX1486" s="83" t="str">
        <f t="array" ref="AX1486">IFERROR(DGET('SBV Import'!A:G,"SBV",{"RSC ID","Tier";B1486,A1486}))</f>
        <v/>
      </c>
      <c r="AY1486" s="82" t="str">
        <f t="shared" si="2"/>
        <v/>
      </c>
      <c r="AZ1486" s="82"/>
      <c r="BA1486" s="84" t="s">
        <v>152</v>
      </c>
      <c r="BB1486" s="84" t="str">
        <f>IFERROR(__xludf.DUMMYFUNCTION("iferror(if(A1486="""",,E1486&gt;=FILTER(Constants!$F$2:$F$10,Constants!$A$2:$A$10=A1486)))"),"")</f>
        <v/>
      </c>
    </row>
    <row r="1487">
      <c r="A1487" s="89"/>
      <c r="B1487" s="87"/>
      <c r="C1487" s="73"/>
      <c r="D1487" s="73"/>
      <c r="E1487" s="82"/>
      <c r="F1487" s="82"/>
      <c r="G1487" s="86"/>
      <c r="H1487" s="86"/>
      <c r="I1487" s="86"/>
      <c r="J1487" s="82"/>
      <c r="K1487" s="82"/>
      <c r="L1487" s="82"/>
      <c r="M1487" s="82"/>
      <c r="N1487" s="82"/>
      <c r="O1487" s="82"/>
      <c r="P1487" s="82"/>
      <c r="Q1487" s="82"/>
      <c r="R1487" s="82"/>
      <c r="S1487" s="82"/>
      <c r="T1487" s="82"/>
      <c r="U1487" s="82"/>
      <c r="V1487" s="82"/>
      <c r="W1487" s="82"/>
      <c r="X1487" s="82"/>
      <c r="Y1487" s="82"/>
      <c r="Z1487" s="82"/>
      <c r="AA1487" s="82"/>
      <c r="AB1487" s="82"/>
      <c r="AC1487" s="82"/>
      <c r="AD1487" s="82"/>
      <c r="AE1487" s="82"/>
      <c r="AF1487" s="82"/>
      <c r="AG1487" s="82"/>
      <c r="AH1487" s="82"/>
      <c r="AI1487" s="82"/>
      <c r="AJ1487" s="82"/>
      <c r="AK1487" s="82"/>
      <c r="AL1487" s="82"/>
      <c r="AM1487" s="82"/>
      <c r="AN1487" s="82">
        <f>IFERROR(__xludf.DUMMYFUNCTION("""COMPUTED_VALUE"""),0.0)</f>
        <v>0</v>
      </c>
      <c r="AO1487" s="82">
        <f>IFERROR(__xludf.DUMMYFUNCTION("""COMPUTED_VALUE"""),0.0)</f>
        <v>0</v>
      </c>
      <c r="AP1487" s="82">
        <f>IFERROR(__xludf.DUMMYFUNCTION("""COMPUTED_VALUE"""),0.0)</f>
        <v>0</v>
      </c>
      <c r="AQ1487" s="82">
        <f>IFERROR(__xludf.DUMMYFUNCTION("""COMPUTED_VALUE"""),0.0)</f>
        <v>0</v>
      </c>
      <c r="AR1487" s="82">
        <f>IFERROR(__xludf.DUMMYFUNCTION("""COMPUTED_VALUE"""),0.0)</f>
        <v>0</v>
      </c>
      <c r="AS1487" s="82"/>
      <c r="AT1487" s="82">
        <f>IFERROR(__xludf.DUMMYFUNCTION("""COMPUTED_VALUE"""),0.0)</f>
        <v>0</v>
      </c>
      <c r="AU1487" s="82"/>
      <c r="AV1487" s="82"/>
      <c r="AW1487" s="82" t="str">
        <f t="shared" si="1"/>
        <v/>
      </c>
      <c r="AX1487" s="83" t="str">
        <f t="array" ref="AX1487">IFERROR(DGET('SBV Import'!A:G,"SBV",{"RSC ID","Tier";B1487,A1487}))</f>
        <v/>
      </c>
      <c r="AY1487" s="82" t="str">
        <f t="shared" si="2"/>
        <v/>
      </c>
      <c r="AZ1487" s="82"/>
      <c r="BA1487" s="84" t="s">
        <v>152</v>
      </c>
      <c r="BB1487" s="84" t="str">
        <f>IFERROR(__xludf.DUMMYFUNCTION("iferror(if(A1487="""",,E1487&gt;=FILTER(Constants!$F$2:$F$10,Constants!$A$2:$A$10=A1487)))"),"")</f>
        <v/>
      </c>
    </row>
    <row r="1488">
      <c r="A1488" s="89"/>
      <c r="B1488" s="87"/>
      <c r="C1488" s="73"/>
      <c r="D1488" s="73"/>
      <c r="E1488" s="82"/>
      <c r="F1488" s="82"/>
      <c r="G1488" s="86"/>
      <c r="H1488" s="86"/>
      <c r="I1488" s="86"/>
      <c r="J1488" s="82"/>
      <c r="K1488" s="82"/>
      <c r="L1488" s="82"/>
      <c r="M1488" s="82"/>
      <c r="N1488" s="82"/>
      <c r="O1488" s="82"/>
      <c r="P1488" s="82"/>
      <c r="Q1488" s="82"/>
      <c r="R1488" s="82"/>
      <c r="S1488" s="82"/>
      <c r="T1488" s="82"/>
      <c r="U1488" s="82"/>
      <c r="V1488" s="82"/>
      <c r="W1488" s="82"/>
      <c r="X1488" s="82"/>
      <c r="Y1488" s="82"/>
      <c r="Z1488" s="82"/>
      <c r="AA1488" s="82"/>
      <c r="AB1488" s="82"/>
      <c r="AC1488" s="82"/>
      <c r="AD1488" s="82"/>
      <c r="AE1488" s="82"/>
      <c r="AF1488" s="82"/>
      <c r="AG1488" s="82"/>
      <c r="AH1488" s="82"/>
      <c r="AI1488" s="82"/>
      <c r="AJ1488" s="82"/>
      <c r="AK1488" s="82"/>
      <c r="AL1488" s="82"/>
      <c r="AM1488" s="82"/>
      <c r="AN1488" s="82">
        <f>IFERROR(__xludf.DUMMYFUNCTION("""COMPUTED_VALUE"""),0.0)</f>
        <v>0</v>
      </c>
      <c r="AO1488" s="82">
        <f>IFERROR(__xludf.DUMMYFUNCTION("""COMPUTED_VALUE"""),0.0)</f>
        <v>0</v>
      </c>
      <c r="AP1488" s="82">
        <f>IFERROR(__xludf.DUMMYFUNCTION("""COMPUTED_VALUE"""),0.0)</f>
        <v>0</v>
      </c>
      <c r="AQ1488" s="82">
        <f>IFERROR(__xludf.DUMMYFUNCTION("""COMPUTED_VALUE"""),0.0)</f>
        <v>0</v>
      </c>
      <c r="AR1488" s="82">
        <f>IFERROR(__xludf.DUMMYFUNCTION("""COMPUTED_VALUE"""),0.0)</f>
        <v>0</v>
      </c>
      <c r="AS1488" s="82"/>
      <c r="AT1488" s="82">
        <f>IFERROR(__xludf.DUMMYFUNCTION("""COMPUTED_VALUE"""),0.0)</f>
        <v>0</v>
      </c>
      <c r="AU1488" s="82"/>
      <c r="AV1488" s="82"/>
      <c r="AW1488" s="82" t="str">
        <f t="shared" si="1"/>
        <v/>
      </c>
      <c r="AX1488" s="83" t="str">
        <f t="array" ref="AX1488">IFERROR(DGET('SBV Import'!A:G,"SBV",{"RSC ID","Tier";B1488,A1488}))</f>
        <v/>
      </c>
      <c r="AY1488" s="82" t="str">
        <f t="shared" si="2"/>
        <v/>
      </c>
      <c r="AZ1488" s="82"/>
      <c r="BA1488" s="84" t="s">
        <v>152</v>
      </c>
      <c r="BB1488" s="84" t="str">
        <f>IFERROR(__xludf.DUMMYFUNCTION("iferror(if(A1488="""",,E1488&gt;=FILTER(Constants!$F$2:$F$10,Constants!$A$2:$A$10=A1488)))"),"")</f>
        <v/>
      </c>
    </row>
    <row r="1489">
      <c r="A1489" s="89"/>
      <c r="B1489" s="87"/>
      <c r="C1489" s="73"/>
      <c r="D1489" s="73"/>
      <c r="E1489" s="82"/>
      <c r="F1489" s="82"/>
      <c r="G1489" s="86"/>
      <c r="H1489" s="86"/>
      <c r="I1489" s="86"/>
      <c r="J1489" s="82"/>
      <c r="K1489" s="82"/>
      <c r="L1489" s="82"/>
      <c r="M1489" s="82"/>
      <c r="N1489" s="82"/>
      <c r="O1489" s="82"/>
      <c r="P1489" s="82"/>
      <c r="Q1489" s="82"/>
      <c r="R1489" s="82"/>
      <c r="S1489" s="82"/>
      <c r="T1489" s="82"/>
      <c r="U1489" s="82"/>
      <c r="V1489" s="82"/>
      <c r="W1489" s="82"/>
      <c r="X1489" s="82"/>
      <c r="Y1489" s="82"/>
      <c r="Z1489" s="82"/>
      <c r="AA1489" s="82"/>
      <c r="AB1489" s="82"/>
      <c r="AC1489" s="82"/>
      <c r="AD1489" s="82"/>
      <c r="AE1489" s="82"/>
      <c r="AF1489" s="82"/>
      <c r="AG1489" s="82"/>
      <c r="AH1489" s="82"/>
      <c r="AI1489" s="82"/>
      <c r="AJ1489" s="82"/>
      <c r="AK1489" s="82"/>
      <c r="AL1489" s="82"/>
      <c r="AM1489" s="82"/>
      <c r="AN1489" s="82">
        <f>IFERROR(__xludf.DUMMYFUNCTION("""COMPUTED_VALUE"""),0.0)</f>
        <v>0</v>
      </c>
      <c r="AO1489" s="82">
        <f>IFERROR(__xludf.DUMMYFUNCTION("""COMPUTED_VALUE"""),0.0)</f>
        <v>0</v>
      </c>
      <c r="AP1489" s="82">
        <f>IFERROR(__xludf.DUMMYFUNCTION("""COMPUTED_VALUE"""),0.0)</f>
        <v>0</v>
      </c>
      <c r="AQ1489" s="82">
        <f>IFERROR(__xludf.DUMMYFUNCTION("""COMPUTED_VALUE"""),0.0)</f>
        <v>0</v>
      </c>
      <c r="AR1489" s="82">
        <f>IFERROR(__xludf.DUMMYFUNCTION("""COMPUTED_VALUE"""),0.0)</f>
        <v>0</v>
      </c>
      <c r="AS1489" s="82"/>
      <c r="AT1489" s="82">
        <f>IFERROR(__xludf.DUMMYFUNCTION("""COMPUTED_VALUE"""),0.0)</f>
        <v>0</v>
      </c>
      <c r="AU1489" s="82"/>
      <c r="AV1489" s="82"/>
      <c r="AW1489" s="82" t="str">
        <f t="shared" si="1"/>
        <v/>
      </c>
      <c r="AX1489" s="83" t="str">
        <f t="array" ref="AX1489">IFERROR(DGET('SBV Import'!A:G,"SBV",{"RSC ID","Tier";B1489,A1489}))</f>
        <v/>
      </c>
      <c r="AY1489" s="82" t="str">
        <f t="shared" si="2"/>
        <v/>
      </c>
      <c r="AZ1489" s="82"/>
      <c r="BA1489" s="84" t="s">
        <v>152</v>
      </c>
      <c r="BB1489" s="84" t="str">
        <f>IFERROR(__xludf.DUMMYFUNCTION("iferror(if(A1489="""",,E1489&gt;=FILTER(Constants!$F$2:$F$10,Constants!$A$2:$A$10=A1489)))"),"")</f>
        <v/>
      </c>
    </row>
    <row r="1490">
      <c r="A1490" s="89"/>
      <c r="B1490" s="87"/>
      <c r="C1490" s="73"/>
      <c r="D1490" s="73"/>
      <c r="E1490" s="82"/>
      <c r="F1490" s="82"/>
      <c r="G1490" s="86"/>
      <c r="H1490" s="86"/>
      <c r="I1490" s="86"/>
      <c r="J1490" s="82"/>
      <c r="K1490" s="82"/>
      <c r="L1490" s="82"/>
      <c r="M1490" s="82"/>
      <c r="N1490" s="82"/>
      <c r="O1490" s="82"/>
      <c r="P1490" s="82"/>
      <c r="Q1490" s="82"/>
      <c r="R1490" s="82"/>
      <c r="S1490" s="82"/>
      <c r="T1490" s="82"/>
      <c r="U1490" s="82"/>
      <c r="V1490" s="82"/>
      <c r="W1490" s="82"/>
      <c r="X1490" s="82"/>
      <c r="Y1490" s="82"/>
      <c r="Z1490" s="82"/>
      <c r="AA1490" s="82"/>
      <c r="AB1490" s="82"/>
      <c r="AC1490" s="82"/>
      <c r="AD1490" s="82"/>
      <c r="AE1490" s="82"/>
      <c r="AF1490" s="82"/>
      <c r="AG1490" s="82"/>
      <c r="AH1490" s="82"/>
      <c r="AI1490" s="82"/>
      <c r="AJ1490" s="82"/>
      <c r="AK1490" s="82"/>
      <c r="AL1490" s="82"/>
      <c r="AM1490" s="82"/>
      <c r="AN1490" s="82">
        <f>IFERROR(__xludf.DUMMYFUNCTION("""COMPUTED_VALUE"""),0.0)</f>
        <v>0</v>
      </c>
      <c r="AO1490" s="82">
        <f>IFERROR(__xludf.DUMMYFUNCTION("""COMPUTED_VALUE"""),0.0)</f>
        <v>0</v>
      </c>
      <c r="AP1490" s="82">
        <f>IFERROR(__xludf.DUMMYFUNCTION("""COMPUTED_VALUE"""),0.0)</f>
        <v>0</v>
      </c>
      <c r="AQ1490" s="82">
        <f>IFERROR(__xludf.DUMMYFUNCTION("""COMPUTED_VALUE"""),0.0)</f>
        <v>0</v>
      </c>
      <c r="AR1490" s="82">
        <f>IFERROR(__xludf.DUMMYFUNCTION("""COMPUTED_VALUE"""),0.0)</f>
        <v>0</v>
      </c>
      <c r="AS1490" s="82"/>
      <c r="AT1490" s="82">
        <f>IFERROR(__xludf.DUMMYFUNCTION("""COMPUTED_VALUE"""),0.0)</f>
        <v>0</v>
      </c>
      <c r="AU1490" s="82"/>
      <c r="AV1490" s="82"/>
      <c r="AW1490" s="82" t="str">
        <f t="shared" si="1"/>
        <v/>
      </c>
      <c r="AX1490" s="83" t="str">
        <f t="array" ref="AX1490">IFERROR(DGET('SBV Import'!A:G,"SBV",{"RSC ID","Tier";B1490,A1490}))</f>
        <v/>
      </c>
      <c r="AY1490" s="82" t="str">
        <f t="shared" si="2"/>
        <v/>
      </c>
      <c r="AZ1490" s="82"/>
      <c r="BA1490" s="84" t="s">
        <v>152</v>
      </c>
      <c r="BB1490" s="84" t="str">
        <f>IFERROR(__xludf.DUMMYFUNCTION("iferror(if(A1490="""",,E1490&gt;=FILTER(Constants!$F$2:$F$10,Constants!$A$2:$A$10=A1490)))"),"")</f>
        <v/>
      </c>
    </row>
    <row r="1491">
      <c r="A1491" s="89"/>
      <c r="B1491" s="87"/>
      <c r="C1491" s="73"/>
      <c r="D1491" s="73"/>
      <c r="E1491" s="82"/>
      <c r="F1491" s="82"/>
      <c r="G1491" s="86"/>
      <c r="H1491" s="86"/>
      <c r="I1491" s="86"/>
      <c r="J1491" s="82"/>
      <c r="K1491" s="82"/>
      <c r="L1491" s="82"/>
      <c r="M1491" s="82"/>
      <c r="N1491" s="82"/>
      <c r="O1491" s="82"/>
      <c r="P1491" s="82"/>
      <c r="Q1491" s="82"/>
      <c r="R1491" s="82"/>
      <c r="S1491" s="82"/>
      <c r="T1491" s="82"/>
      <c r="U1491" s="82"/>
      <c r="V1491" s="82"/>
      <c r="W1491" s="82"/>
      <c r="X1491" s="82"/>
      <c r="Y1491" s="82"/>
      <c r="Z1491" s="82"/>
      <c r="AA1491" s="82"/>
      <c r="AB1491" s="82"/>
      <c r="AC1491" s="82"/>
      <c r="AD1491" s="82"/>
      <c r="AE1491" s="82"/>
      <c r="AF1491" s="82"/>
      <c r="AG1491" s="82"/>
      <c r="AH1491" s="82"/>
      <c r="AI1491" s="82"/>
      <c r="AJ1491" s="82"/>
      <c r="AK1491" s="82"/>
      <c r="AL1491" s="82"/>
      <c r="AM1491" s="82"/>
      <c r="AN1491" s="82">
        <f>IFERROR(__xludf.DUMMYFUNCTION("""COMPUTED_VALUE"""),0.0)</f>
        <v>0</v>
      </c>
      <c r="AO1491" s="82">
        <f>IFERROR(__xludf.DUMMYFUNCTION("""COMPUTED_VALUE"""),0.0)</f>
        <v>0</v>
      </c>
      <c r="AP1491" s="82">
        <f>IFERROR(__xludf.DUMMYFUNCTION("""COMPUTED_VALUE"""),0.0)</f>
        <v>0</v>
      </c>
      <c r="AQ1491" s="82">
        <f>IFERROR(__xludf.DUMMYFUNCTION("""COMPUTED_VALUE"""),0.0)</f>
        <v>0</v>
      </c>
      <c r="AR1491" s="82">
        <f>IFERROR(__xludf.DUMMYFUNCTION("""COMPUTED_VALUE"""),0.0)</f>
        <v>0</v>
      </c>
      <c r="AS1491" s="82"/>
      <c r="AT1491" s="82">
        <f>IFERROR(__xludf.DUMMYFUNCTION("""COMPUTED_VALUE"""),0.0)</f>
        <v>0</v>
      </c>
      <c r="AU1491" s="82"/>
      <c r="AV1491" s="82"/>
      <c r="AW1491" s="82" t="str">
        <f t="shared" si="1"/>
        <v/>
      </c>
      <c r="AX1491" s="83" t="str">
        <f t="array" ref="AX1491">IFERROR(DGET('SBV Import'!A:G,"SBV",{"RSC ID","Tier";B1491,A1491}))</f>
        <v/>
      </c>
      <c r="AY1491" s="82" t="str">
        <f t="shared" si="2"/>
        <v/>
      </c>
      <c r="AZ1491" s="82"/>
      <c r="BA1491" s="84" t="s">
        <v>152</v>
      </c>
      <c r="BB1491" s="84" t="str">
        <f>IFERROR(__xludf.DUMMYFUNCTION("iferror(if(A1491="""",,E1491&gt;=FILTER(Constants!$F$2:$F$10,Constants!$A$2:$A$10=A1491)))"),"")</f>
        <v/>
      </c>
    </row>
    <row r="1492">
      <c r="A1492" s="89"/>
      <c r="B1492" s="87"/>
      <c r="C1492" s="73"/>
      <c r="D1492" s="73"/>
      <c r="E1492" s="82"/>
      <c r="F1492" s="82"/>
      <c r="G1492" s="86"/>
      <c r="H1492" s="86"/>
      <c r="I1492" s="86"/>
      <c r="J1492" s="82"/>
      <c r="K1492" s="82"/>
      <c r="L1492" s="82"/>
      <c r="M1492" s="82"/>
      <c r="N1492" s="82"/>
      <c r="O1492" s="82"/>
      <c r="P1492" s="82"/>
      <c r="Q1492" s="82"/>
      <c r="R1492" s="82"/>
      <c r="S1492" s="82"/>
      <c r="T1492" s="82"/>
      <c r="U1492" s="82"/>
      <c r="V1492" s="82"/>
      <c r="W1492" s="82"/>
      <c r="X1492" s="82"/>
      <c r="Y1492" s="82"/>
      <c r="Z1492" s="82"/>
      <c r="AA1492" s="82"/>
      <c r="AB1492" s="82"/>
      <c r="AC1492" s="82"/>
      <c r="AD1492" s="82"/>
      <c r="AE1492" s="82"/>
      <c r="AF1492" s="82"/>
      <c r="AG1492" s="82"/>
      <c r="AH1492" s="82"/>
      <c r="AI1492" s="82"/>
      <c r="AJ1492" s="82"/>
      <c r="AK1492" s="82"/>
      <c r="AL1492" s="82"/>
      <c r="AM1492" s="82"/>
      <c r="AN1492" s="82">
        <f>IFERROR(__xludf.DUMMYFUNCTION("""COMPUTED_VALUE"""),0.0)</f>
        <v>0</v>
      </c>
      <c r="AO1492" s="82">
        <f>IFERROR(__xludf.DUMMYFUNCTION("""COMPUTED_VALUE"""),0.0)</f>
        <v>0</v>
      </c>
      <c r="AP1492" s="82">
        <f>IFERROR(__xludf.DUMMYFUNCTION("""COMPUTED_VALUE"""),0.0)</f>
        <v>0</v>
      </c>
      <c r="AQ1492" s="82">
        <f>IFERROR(__xludf.DUMMYFUNCTION("""COMPUTED_VALUE"""),0.0)</f>
        <v>0</v>
      </c>
      <c r="AR1492" s="82">
        <f>IFERROR(__xludf.DUMMYFUNCTION("""COMPUTED_VALUE"""),0.0)</f>
        <v>0</v>
      </c>
      <c r="AS1492" s="82"/>
      <c r="AT1492" s="82">
        <f>IFERROR(__xludf.DUMMYFUNCTION("""COMPUTED_VALUE"""),0.0)</f>
        <v>0</v>
      </c>
      <c r="AU1492" s="82"/>
      <c r="AV1492" s="82"/>
      <c r="AW1492" s="82" t="str">
        <f t="shared" si="1"/>
        <v/>
      </c>
      <c r="AX1492" s="83" t="str">
        <f t="array" ref="AX1492">IFERROR(DGET('SBV Import'!A:G,"SBV",{"RSC ID","Tier";B1492,A1492}))</f>
        <v/>
      </c>
      <c r="AY1492" s="82" t="str">
        <f t="shared" si="2"/>
        <v/>
      </c>
      <c r="AZ1492" s="82"/>
      <c r="BA1492" s="84" t="s">
        <v>152</v>
      </c>
      <c r="BB1492" s="84" t="str">
        <f>IFERROR(__xludf.DUMMYFUNCTION("iferror(if(A1492="""",,E1492&gt;=FILTER(Constants!$F$2:$F$10,Constants!$A$2:$A$10=A1492)))"),"")</f>
        <v/>
      </c>
    </row>
    <row r="1493">
      <c r="A1493" s="89"/>
      <c r="B1493" s="87"/>
      <c r="C1493" s="73"/>
      <c r="D1493" s="73"/>
      <c r="E1493" s="82"/>
      <c r="F1493" s="82"/>
      <c r="G1493" s="86"/>
      <c r="H1493" s="86"/>
      <c r="I1493" s="86"/>
      <c r="J1493" s="82"/>
      <c r="K1493" s="82"/>
      <c r="L1493" s="82"/>
      <c r="M1493" s="82"/>
      <c r="N1493" s="82"/>
      <c r="O1493" s="82"/>
      <c r="P1493" s="82"/>
      <c r="Q1493" s="82"/>
      <c r="R1493" s="82"/>
      <c r="S1493" s="82"/>
      <c r="T1493" s="82"/>
      <c r="U1493" s="82"/>
      <c r="V1493" s="82"/>
      <c r="W1493" s="82"/>
      <c r="X1493" s="82"/>
      <c r="Y1493" s="82"/>
      <c r="Z1493" s="82"/>
      <c r="AA1493" s="82"/>
      <c r="AB1493" s="82"/>
      <c r="AC1493" s="82"/>
      <c r="AD1493" s="82"/>
      <c r="AE1493" s="82"/>
      <c r="AF1493" s="82"/>
      <c r="AG1493" s="82"/>
      <c r="AH1493" s="82"/>
      <c r="AI1493" s="82"/>
      <c r="AJ1493" s="82"/>
      <c r="AK1493" s="82"/>
      <c r="AL1493" s="82"/>
      <c r="AM1493" s="82"/>
      <c r="AN1493" s="82">
        <f>IFERROR(__xludf.DUMMYFUNCTION("""COMPUTED_VALUE"""),0.0)</f>
        <v>0</v>
      </c>
      <c r="AO1493" s="82">
        <f>IFERROR(__xludf.DUMMYFUNCTION("""COMPUTED_VALUE"""),0.0)</f>
        <v>0</v>
      </c>
      <c r="AP1493" s="82">
        <f>IFERROR(__xludf.DUMMYFUNCTION("""COMPUTED_VALUE"""),0.0)</f>
        <v>0</v>
      </c>
      <c r="AQ1493" s="82">
        <f>IFERROR(__xludf.DUMMYFUNCTION("""COMPUTED_VALUE"""),0.0)</f>
        <v>0</v>
      </c>
      <c r="AR1493" s="82">
        <f>IFERROR(__xludf.DUMMYFUNCTION("""COMPUTED_VALUE"""),0.0)</f>
        <v>0</v>
      </c>
      <c r="AS1493" s="82"/>
      <c r="AT1493" s="82">
        <f>IFERROR(__xludf.DUMMYFUNCTION("""COMPUTED_VALUE"""),0.0)</f>
        <v>0</v>
      </c>
      <c r="AU1493" s="82"/>
      <c r="AV1493" s="82"/>
      <c r="AW1493" s="82" t="str">
        <f t="shared" si="1"/>
        <v/>
      </c>
      <c r="AX1493" s="83" t="str">
        <f t="array" ref="AX1493">IFERROR(DGET('SBV Import'!A:G,"SBV",{"RSC ID","Tier";B1493,A1493}))</f>
        <v/>
      </c>
      <c r="AY1493" s="82" t="str">
        <f t="shared" si="2"/>
        <v/>
      </c>
      <c r="AZ1493" s="82"/>
      <c r="BA1493" s="84" t="s">
        <v>152</v>
      </c>
      <c r="BB1493" s="84" t="str">
        <f>IFERROR(__xludf.DUMMYFUNCTION("iferror(if(A1493="""",,E1493&gt;=FILTER(Constants!$F$2:$F$10,Constants!$A$2:$A$10=A1493)))"),"")</f>
        <v/>
      </c>
    </row>
    <row r="1494">
      <c r="A1494" s="89"/>
      <c r="B1494" s="87"/>
      <c r="C1494" s="73"/>
      <c r="D1494" s="73"/>
      <c r="E1494" s="82"/>
      <c r="F1494" s="82"/>
      <c r="G1494" s="86"/>
      <c r="H1494" s="86"/>
      <c r="I1494" s="86"/>
      <c r="J1494" s="82"/>
      <c r="K1494" s="82"/>
      <c r="L1494" s="82"/>
      <c r="M1494" s="82"/>
      <c r="N1494" s="82"/>
      <c r="O1494" s="82"/>
      <c r="P1494" s="82"/>
      <c r="Q1494" s="82"/>
      <c r="R1494" s="82"/>
      <c r="S1494" s="82"/>
      <c r="T1494" s="82"/>
      <c r="U1494" s="82"/>
      <c r="V1494" s="82"/>
      <c r="W1494" s="82"/>
      <c r="X1494" s="82"/>
      <c r="Y1494" s="82"/>
      <c r="Z1494" s="82"/>
      <c r="AA1494" s="82"/>
      <c r="AB1494" s="82"/>
      <c r="AC1494" s="82"/>
      <c r="AD1494" s="82"/>
      <c r="AE1494" s="82"/>
      <c r="AF1494" s="82"/>
      <c r="AG1494" s="82"/>
      <c r="AH1494" s="82"/>
      <c r="AI1494" s="82"/>
      <c r="AJ1494" s="82"/>
      <c r="AK1494" s="82"/>
      <c r="AL1494" s="82"/>
      <c r="AM1494" s="82"/>
      <c r="AN1494" s="82">
        <f>IFERROR(__xludf.DUMMYFUNCTION("""COMPUTED_VALUE"""),0.0)</f>
        <v>0</v>
      </c>
      <c r="AO1494" s="82">
        <f>IFERROR(__xludf.DUMMYFUNCTION("""COMPUTED_VALUE"""),0.0)</f>
        <v>0</v>
      </c>
      <c r="AP1494" s="82">
        <f>IFERROR(__xludf.DUMMYFUNCTION("""COMPUTED_VALUE"""),0.0)</f>
        <v>0</v>
      </c>
      <c r="AQ1494" s="82">
        <f>IFERROR(__xludf.DUMMYFUNCTION("""COMPUTED_VALUE"""),0.0)</f>
        <v>0</v>
      </c>
      <c r="AR1494" s="82">
        <f>IFERROR(__xludf.DUMMYFUNCTION("""COMPUTED_VALUE"""),0.0)</f>
        <v>0</v>
      </c>
      <c r="AS1494" s="82"/>
      <c r="AT1494" s="82">
        <f>IFERROR(__xludf.DUMMYFUNCTION("""COMPUTED_VALUE"""),0.0)</f>
        <v>0</v>
      </c>
      <c r="AU1494" s="82"/>
      <c r="AV1494" s="82"/>
      <c r="AW1494" s="82" t="str">
        <f t="shared" si="1"/>
        <v/>
      </c>
      <c r="AX1494" s="83" t="str">
        <f t="array" ref="AX1494">IFERROR(DGET('SBV Import'!A:G,"SBV",{"RSC ID","Tier";B1494,A1494}))</f>
        <v/>
      </c>
      <c r="AY1494" s="82" t="str">
        <f t="shared" si="2"/>
        <v/>
      </c>
      <c r="AZ1494" s="82"/>
      <c r="BA1494" s="84" t="s">
        <v>152</v>
      </c>
      <c r="BB1494" s="84" t="str">
        <f>IFERROR(__xludf.DUMMYFUNCTION("iferror(if(A1494="""",,E1494&gt;=FILTER(Constants!$F$2:$F$10,Constants!$A$2:$A$10=A1494)))"),"")</f>
        <v/>
      </c>
    </row>
    <row r="1495">
      <c r="A1495" s="89"/>
      <c r="B1495" s="87"/>
      <c r="C1495" s="73"/>
      <c r="D1495" s="73"/>
      <c r="E1495" s="82"/>
      <c r="F1495" s="82"/>
      <c r="G1495" s="86"/>
      <c r="H1495" s="86"/>
      <c r="I1495" s="86"/>
      <c r="J1495" s="82"/>
      <c r="K1495" s="82"/>
      <c r="L1495" s="82"/>
      <c r="M1495" s="82"/>
      <c r="N1495" s="82"/>
      <c r="O1495" s="82"/>
      <c r="P1495" s="82"/>
      <c r="Q1495" s="82"/>
      <c r="R1495" s="82"/>
      <c r="S1495" s="82"/>
      <c r="T1495" s="82"/>
      <c r="U1495" s="82"/>
      <c r="V1495" s="82"/>
      <c r="W1495" s="82"/>
      <c r="X1495" s="82"/>
      <c r="Y1495" s="82"/>
      <c r="Z1495" s="82"/>
      <c r="AA1495" s="82"/>
      <c r="AB1495" s="82"/>
      <c r="AC1495" s="82"/>
      <c r="AD1495" s="82"/>
      <c r="AE1495" s="82"/>
      <c r="AF1495" s="82"/>
      <c r="AG1495" s="82"/>
      <c r="AH1495" s="82"/>
      <c r="AI1495" s="82"/>
      <c r="AJ1495" s="82"/>
      <c r="AK1495" s="82"/>
      <c r="AL1495" s="82"/>
      <c r="AM1495" s="82"/>
      <c r="AN1495" s="82">
        <f>IFERROR(__xludf.DUMMYFUNCTION("""COMPUTED_VALUE"""),0.0)</f>
        <v>0</v>
      </c>
      <c r="AO1495" s="82">
        <f>IFERROR(__xludf.DUMMYFUNCTION("""COMPUTED_VALUE"""),0.0)</f>
        <v>0</v>
      </c>
      <c r="AP1495" s="82">
        <f>IFERROR(__xludf.DUMMYFUNCTION("""COMPUTED_VALUE"""),0.0)</f>
        <v>0</v>
      </c>
      <c r="AQ1495" s="82">
        <f>IFERROR(__xludf.DUMMYFUNCTION("""COMPUTED_VALUE"""),0.0)</f>
        <v>0</v>
      </c>
      <c r="AR1495" s="82">
        <f>IFERROR(__xludf.DUMMYFUNCTION("""COMPUTED_VALUE"""),0.0)</f>
        <v>0</v>
      </c>
      <c r="AS1495" s="82"/>
      <c r="AT1495" s="82">
        <f>IFERROR(__xludf.DUMMYFUNCTION("""COMPUTED_VALUE"""),0.0)</f>
        <v>0</v>
      </c>
      <c r="AU1495" s="82"/>
      <c r="AV1495" s="82"/>
      <c r="AW1495" s="82" t="str">
        <f t="shared" si="1"/>
        <v/>
      </c>
      <c r="AX1495" s="83" t="str">
        <f t="array" ref="AX1495">IFERROR(DGET('SBV Import'!A:G,"SBV",{"RSC ID","Tier";B1495,A1495}))</f>
        <v/>
      </c>
      <c r="AY1495" s="82" t="str">
        <f t="shared" si="2"/>
        <v/>
      </c>
      <c r="AZ1495" s="82"/>
      <c r="BA1495" s="84" t="s">
        <v>152</v>
      </c>
      <c r="BB1495" s="84" t="str">
        <f>IFERROR(__xludf.DUMMYFUNCTION("iferror(if(A1495="""",,E1495&gt;=FILTER(Constants!$F$2:$F$10,Constants!$A$2:$A$10=A1495)))"),"")</f>
        <v/>
      </c>
    </row>
    <row r="1496">
      <c r="A1496" s="89"/>
      <c r="B1496" s="87"/>
      <c r="C1496" s="73"/>
      <c r="D1496" s="73"/>
      <c r="E1496" s="82"/>
      <c r="F1496" s="82"/>
      <c r="G1496" s="86"/>
      <c r="H1496" s="86"/>
      <c r="I1496" s="86"/>
      <c r="J1496" s="82"/>
      <c r="K1496" s="82"/>
      <c r="L1496" s="82"/>
      <c r="M1496" s="82"/>
      <c r="N1496" s="82"/>
      <c r="O1496" s="82"/>
      <c r="P1496" s="82"/>
      <c r="Q1496" s="82"/>
      <c r="R1496" s="82"/>
      <c r="S1496" s="82"/>
      <c r="T1496" s="82"/>
      <c r="U1496" s="82"/>
      <c r="V1496" s="82"/>
      <c r="W1496" s="82"/>
      <c r="X1496" s="82"/>
      <c r="Y1496" s="82"/>
      <c r="Z1496" s="82"/>
      <c r="AA1496" s="82"/>
      <c r="AB1496" s="82"/>
      <c r="AC1496" s="82"/>
      <c r="AD1496" s="82"/>
      <c r="AE1496" s="82"/>
      <c r="AF1496" s="82"/>
      <c r="AG1496" s="82"/>
      <c r="AH1496" s="82"/>
      <c r="AI1496" s="82"/>
      <c r="AJ1496" s="82"/>
      <c r="AK1496" s="82"/>
      <c r="AL1496" s="82"/>
      <c r="AM1496" s="82"/>
      <c r="AN1496" s="82">
        <f>IFERROR(__xludf.DUMMYFUNCTION("""COMPUTED_VALUE"""),0.0)</f>
        <v>0</v>
      </c>
      <c r="AO1496" s="82">
        <f>IFERROR(__xludf.DUMMYFUNCTION("""COMPUTED_VALUE"""),0.0)</f>
        <v>0</v>
      </c>
      <c r="AP1496" s="82">
        <f>IFERROR(__xludf.DUMMYFUNCTION("""COMPUTED_VALUE"""),0.0)</f>
        <v>0</v>
      </c>
      <c r="AQ1496" s="82">
        <f>IFERROR(__xludf.DUMMYFUNCTION("""COMPUTED_VALUE"""),0.0)</f>
        <v>0</v>
      </c>
      <c r="AR1496" s="82">
        <f>IFERROR(__xludf.DUMMYFUNCTION("""COMPUTED_VALUE"""),0.0)</f>
        <v>0</v>
      </c>
      <c r="AS1496" s="82"/>
      <c r="AT1496" s="82">
        <f>IFERROR(__xludf.DUMMYFUNCTION("""COMPUTED_VALUE"""),0.0)</f>
        <v>0</v>
      </c>
      <c r="AU1496" s="82"/>
      <c r="AV1496" s="82"/>
      <c r="AW1496" s="82" t="str">
        <f t="shared" si="1"/>
        <v/>
      </c>
      <c r="AX1496" s="83" t="str">
        <f t="array" ref="AX1496">IFERROR(DGET('SBV Import'!A:G,"SBV",{"RSC ID","Tier";B1496,A1496}))</f>
        <v/>
      </c>
      <c r="AY1496" s="82" t="str">
        <f t="shared" si="2"/>
        <v/>
      </c>
      <c r="AZ1496" s="82"/>
      <c r="BA1496" s="84" t="s">
        <v>152</v>
      </c>
      <c r="BB1496" s="84" t="str">
        <f>IFERROR(__xludf.DUMMYFUNCTION("iferror(if(A1496="""",,E1496&gt;=FILTER(Constants!$F$2:$F$10,Constants!$A$2:$A$10=A1496)))"),"")</f>
        <v/>
      </c>
    </row>
    <row r="1497">
      <c r="A1497" s="89"/>
      <c r="B1497" s="87"/>
      <c r="C1497" s="73"/>
      <c r="D1497" s="73"/>
      <c r="E1497" s="82"/>
      <c r="F1497" s="82"/>
      <c r="G1497" s="86"/>
      <c r="H1497" s="86"/>
      <c r="I1497" s="86"/>
      <c r="J1497" s="82"/>
      <c r="K1497" s="82"/>
      <c r="L1497" s="82"/>
      <c r="M1497" s="82"/>
      <c r="N1497" s="82"/>
      <c r="O1497" s="82"/>
      <c r="P1497" s="82"/>
      <c r="Q1497" s="82"/>
      <c r="R1497" s="82"/>
      <c r="S1497" s="82"/>
      <c r="T1497" s="82"/>
      <c r="U1497" s="82"/>
      <c r="V1497" s="82"/>
      <c r="W1497" s="82"/>
      <c r="X1497" s="82"/>
      <c r="Y1497" s="82"/>
      <c r="Z1497" s="82"/>
      <c r="AA1497" s="82"/>
      <c r="AB1497" s="82"/>
      <c r="AC1497" s="82"/>
      <c r="AD1497" s="82"/>
      <c r="AE1497" s="82"/>
      <c r="AF1497" s="82"/>
      <c r="AG1497" s="82"/>
      <c r="AH1497" s="82"/>
      <c r="AI1497" s="82"/>
      <c r="AJ1497" s="82"/>
      <c r="AK1497" s="82"/>
      <c r="AL1497" s="82"/>
      <c r="AM1497" s="82"/>
      <c r="AN1497" s="82">
        <f>IFERROR(__xludf.DUMMYFUNCTION("""COMPUTED_VALUE"""),0.0)</f>
        <v>0</v>
      </c>
      <c r="AO1497" s="82">
        <f>IFERROR(__xludf.DUMMYFUNCTION("""COMPUTED_VALUE"""),0.0)</f>
        <v>0</v>
      </c>
      <c r="AP1497" s="82">
        <f>IFERROR(__xludf.DUMMYFUNCTION("""COMPUTED_VALUE"""),0.0)</f>
        <v>0</v>
      </c>
      <c r="AQ1497" s="82">
        <f>IFERROR(__xludf.DUMMYFUNCTION("""COMPUTED_VALUE"""),0.0)</f>
        <v>0</v>
      </c>
      <c r="AR1497" s="82">
        <f>IFERROR(__xludf.DUMMYFUNCTION("""COMPUTED_VALUE"""),0.0)</f>
        <v>0</v>
      </c>
      <c r="AS1497" s="82"/>
      <c r="AT1497" s="82">
        <f>IFERROR(__xludf.DUMMYFUNCTION("""COMPUTED_VALUE"""),0.0)</f>
        <v>0</v>
      </c>
      <c r="AU1497" s="82"/>
      <c r="AV1497" s="82"/>
      <c r="AW1497" s="82" t="str">
        <f t="shared" si="1"/>
        <v/>
      </c>
      <c r="AX1497" s="83" t="str">
        <f t="array" ref="AX1497">IFERROR(DGET('SBV Import'!A:G,"SBV",{"RSC ID","Tier";B1497,A1497}))</f>
        <v/>
      </c>
      <c r="AY1497" s="82" t="str">
        <f t="shared" si="2"/>
        <v/>
      </c>
      <c r="AZ1497" s="82"/>
      <c r="BA1497" s="84" t="s">
        <v>152</v>
      </c>
      <c r="BB1497" s="84" t="str">
        <f>IFERROR(__xludf.DUMMYFUNCTION("iferror(if(A1497="""",,E1497&gt;=FILTER(Constants!$F$2:$F$10,Constants!$A$2:$A$10=A1497)))"),"")</f>
        <v/>
      </c>
    </row>
    <row r="1498">
      <c r="A1498" s="89"/>
      <c r="B1498" s="87"/>
      <c r="C1498" s="73"/>
      <c r="D1498" s="73"/>
      <c r="E1498" s="82"/>
      <c r="F1498" s="82"/>
      <c r="G1498" s="86"/>
      <c r="H1498" s="86"/>
      <c r="I1498" s="86"/>
      <c r="J1498" s="82"/>
      <c r="K1498" s="82"/>
      <c r="L1498" s="82"/>
      <c r="M1498" s="82"/>
      <c r="N1498" s="82"/>
      <c r="O1498" s="82"/>
      <c r="P1498" s="82"/>
      <c r="Q1498" s="82"/>
      <c r="R1498" s="82"/>
      <c r="S1498" s="82"/>
      <c r="T1498" s="82"/>
      <c r="U1498" s="82"/>
      <c r="V1498" s="82"/>
      <c r="W1498" s="82"/>
      <c r="X1498" s="82"/>
      <c r="Y1498" s="82"/>
      <c r="Z1498" s="82"/>
      <c r="AA1498" s="82"/>
      <c r="AB1498" s="82"/>
      <c r="AC1498" s="82"/>
      <c r="AD1498" s="82"/>
      <c r="AE1498" s="82"/>
      <c r="AF1498" s="82"/>
      <c r="AG1498" s="82"/>
      <c r="AH1498" s="82"/>
      <c r="AI1498" s="82"/>
      <c r="AJ1498" s="82"/>
      <c r="AK1498" s="82"/>
      <c r="AL1498" s="82"/>
      <c r="AM1498" s="82"/>
      <c r="AN1498" s="82">
        <f>IFERROR(__xludf.DUMMYFUNCTION("""COMPUTED_VALUE"""),0.0)</f>
        <v>0</v>
      </c>
      <c r="AO1498" s="82">
        <f>IFERROR(__xludf.DUMMYFUNCTION("""COMPUTED_VALUE"""),0.0)</f>
        <v>0</v>
      </c>
      <c r="AP1498" s="82">
        <f>IFERROR(__xludf.DUMMYFUNCTION("""COMPUTED_VALUE"""),0.0)</f>
        <v>0</v>
      </c>
      <c r="AQ1498" s="82">
        <f>IFERROR(__xludf.DUMMYFUNCTION("""COMPUTED_VALUE"""),0.0)</f>
        <v>0</v>
      </c>
      <c r="AR1498" s="82">
        <f>IFERROR(__xludf.DUMMYFUNCTION("""COMPUTED_VALUE"""),0.0)</f>
        <v>0</v>
      </c>
      <c r="AS1498" s="82"/>
      <c r="AT1498" s="82">
        <f>IFERROR(__xludf.DUMMYFUNCTION("""COMPUTED_VALUE"""),0.0)</f>
        <v>0</v>
      </c>
      <c r="AU1498" s="82"/>
      <c r="AV1498" s="82"/>
      <c r="AW1498" s="82" t="str">
        <f t="shared" si="1"/>
        <v/>
      </c>
      <c r="AX1498" s="83" t="str">
        <f t="array" ref="AX1498">IFERROR(DGET('SBV Import'!A:G,"SBV",{"RSC ID","Tier";B1498,A1498}))</f>
        <v/>
      </c>
      <c r="AY1498" s="82" t="str">
        <f t="shared" si="2"/>
        <v/>
      </c>
      <c r="AZ1498" s="82"/>
      <c r="BA1498" s="84" t="s">
        <v>152</v>
      </c>
      <c r="BB1498" s="84" t="str">
        <f>IFERROR(__xludf.DUMMYFUNCTION("iferror(if(A1498="""",,E1498&gt;=FILTER(Constants!$F$2:$F$10,Constants!$A$2:$A$10=A1498)))"),"")</f>
        <v/>
      </c>
    </row>
    <row r="1499">
      <c r="A1499" s="89"/>
      <c r="B1499" s="87"/>
      <c r="C1499" s="73"/>
      <c r="D1499" s="73"/>
      <c r="E1499" s="82"/>
      <c r="F1499" s="82"/>
      <c r="G1499" s="86"/>
      <c r="H1499" s="86"/>
      <c r="I1499" s="86"/>
      <c r="J1499" s="82"/>
      <c r="K1499" s="82"/>
      <c r="L1499" s="82"/>
      <c r="M1499" s="82"/>
      <c r="N1499" s="82"/>
      <c r="O1499" s="82"/>
      <c r="P1499" s="82"/>
      <c r="Q1499" s="82"/>
      <c r="R1499" s="82"/>
      <c r="S1499" s="82"/>
      <c r="T1499" s="82"/>
      <c r="U1499" s="82"/>
      <c r="V1499" s="82"/>
      <c r="W1499" s="82"/>
      <c r="X1499" s="82"/>
      <c r="Y1499" s="82"/>
      <c r="Z1499" s="82"/>
      <c r="AA1499" s="82"/>
      <c r="AB1499" s="82"/>
      <c r="AC1499" s="82"/>
      <c r="AD1499" s="82"/>
      <c r="AE1499" s="82"/>
      <c r="AF1499" s="82"/>
      <c r="AG1499" s="82"/>
      <c r="AH1499" s="82"/>
      <c r="AI1499" s="82"/>
      <c r="AJ1499" s="82"/>
      <c r="AK1499" s="82"/>
      <c r="AL1499" s="82"/>
      <c r="AM1499" s="82"/>
      <c r="AN1499" s="82"/>
      <c r="AO1499" s="82"/>
      <c r="AP1499" s="82"/>
      <c r="AQ1499" s="82"/>
      <c r="AR1499" s="82"/>
      <c r="AS1499" s="82"/>
      <c r="AT1499" s="82"/>
      <c r="AU1499" s="82"/>
      <c r="AV1499" s="82"/>
      <c r="AW1499" s="82" t="str">
        <f t="shared" si="1"/>
        <v/>
      </c>
      <c r="AX1499" s="83" t="str">
        <f t="array" ref="AX1499">IFERROR(DGET('SBV Import'!A:G,"SBV",{"RSC ID","Tier";B1499,A1499}))</f>
        <v/>
      </c>
      <c r="AY1499" s="82" t="str">
        <f t="shared" si="2"/>
        <v/>
      </c>
      <c r="AZ1499" s="82"/>
      <c r="BA1499" s="84" t="s">
        <v>152</v>
      </c>
      <c r="BB1499" s="84" t="str">
        <f>IFERROR(__xludf.DUMMYFUNCTION("iferror(if(A1499="""",,E1499&gt;=FILTER(Constants!$F$2:$F$10,Constants!$A$2:$A$10=A1499)))"),"")</f>
        <v/>
      </c>
    </row>
    <row r="1500">
      <c r="A1500" s="90"/>
      <c r="B1500" s="87"/>
      <c r="C1500" s="73"/>
      <c r="D1500" s="73"/>
      <c r="E1500" s="82"/>
      <c r="F1500" s="82"/>
      <c r="G1500" s="86"/>
      <c r="H1500" s="86"/>
      <c r="I1500" s="86"/>
      <c r="J1500" s="82"/>
      <c r="K1500" s="82"/>
      <c r="L1500" s="82"/>
      <c r="M1500" s="82"/>
      <c r="N1500" s="82"/>
      <c r="O1500" s="82"/>
      <c r="P1500" s="82"/>
      <c r="Q1500" s="82"/>
      <c r="R1500" s="82"/>
      <c r="S1500" s="82"/>
      <c r="T1500" s="82"/>
      <c r="U1500" s="82"/>
      <c r="V1500" s="82"/>
      <c r="W1500" s="82"/>
      <c r="X1500" s="82"/>
      <c r="Y1500" s="82"/>
      <c r="Z1500" s="82"/>
      <c r="AA1500" s="82"/>
      <c r="AB1500" s="82"/>
      <c r="AC1500" s="82"/>
      <c r="AD1500" s="82"/>
      <c r="AE1500" s="82"/>
      <c r="AF1500" s="82"/>
      <c r="AG1500" s="82"/>
      <c r="AH1500" s="82"/>
      <c r="AI1500" s="82"/>
      <c r="AJ1500" s="82"/>
      <c r="AK1500" s="82"/>
      <c r="AL1500" s="82"/>
      <c r="AM1500" s="82"/>
      <c r="AN1500" s="82"/>
      <c r="AO1500" s="82"/>
      <c r="AP1500" s="82"/>
      <c r="AQ1500" s="82"/>
      <c r="AR1500" s="82"/>
      <c r="AS1500" s="82"/>
      <c r="AT1500" s="82"/>
      <c r="AU1500" s="82"/>
      <c r="AV1500" s="82"/>
      <c r="AW1500" s="82" t="str">
        <f t="shared" si="1"/>
        <v/>
      </c>
      <c r="AX1500" s="83" t="str">
        <f t="array" ref="AX1500">IFERROR(DGET('SBV Import'!A:G,"SBV",{"RSC ID","Tier";B1500,A1500}))</f>
        <v/>
      </c>
      <c r="AY1500" s="82" t="str">
        <f t="shared" si="2"/>
        <v/>
      </c>
      <c r="AZ1500" s="82"/>
      <c r="BA1500" s="84" t="s">
        <v>152</v>
      </c>
      <c r="BB1500" s="84" t="str">
        <f>IFERROR(__xludf.DUMMYFUNCTION("iferror(if(A1500="""",,E1500&gt;=FILTER(Constants!$F$2:$F$10,Constants!$A$2:$A$10=A1500)))"),"")</f>
        <v/>
      </c>
    </row>
    <row r="1501">
      <c r="A1501" s="89"/>
      <c r="B1501" s="87"/>
      <c r="C1501" s="73"/>
      <c r="D1501" s="73"/>
      <c r="E1501" s="82"/>
      <c r="F1501" s="82"/>
      <c r="G1501" s="86"/>
      <c r="H1501" s="86"/>
      <c r="I1501" s="86"/>
      <c r="J1501" s="82"/>
      <c r="K1501" s="82"/>
      <c r="L1501" s="82"/>
      <c r="M1501" s="82"/>
      <c r="N1501" s="82"/>
      <c r="O1501" s="82"/>
      <c r="P1501" s="82"/>
      <c r="Q1501" s="82"/>
      <c r="R1501" s="82"/>
      <c r="S1501" s="82"/>
      <c r="T1501" s="82"/>
      <c r="U1501" s="82"/>
      <c r="V1501" s="82"/>
      <c r="W1501" s="82"/>
      <c r="X1501" s="82"/>
      <c r="Y1501" s="82"/>
      <c r="Z1501" s="82"/>
      <c r="AA1501" s="82"/>
      <c r="AB1501" s="82"/>
      <c r="AC1501" s="82"/>
      <c r="AD1501" s="82"/>
      <c r="AE1501" s="82"/>
      <c r="AF1501" s="82"/>
      <c r="AG1501" s="82"/>
      <c r="AH1501" s="82"/>
      <c r="AI1501" s="82"/>
      <c r="AJ1501" s="82"/>
      <c r="AK1501" s="82"/>
      <c r="AL1501" s="82"/>
      <c r="AM1501" s="82"/>
      <c r="AN1501" s="82"/>
      <c r="AO1501" s="82"/>
      <c r="AP1501" s="82"/>
      <c r="AQ1501" s="82"/>
      <c r="AR1501" s="82"/>
      <c r="AS1501" s="82"/>
      <c r="AT1501" s="82"/>
      <c r="AU1501" s="82"/>
      <c r="AV1501" s="82"/>
      <c r="AW1501" s="82" t="str">
        <f t="shared" si="1"/>
        <v/>
      </c>
      <c r="AX1501" s="83" t="str">
        <f t="array" ref="AX1501">IFERROR(DGET('SBV Import'!A:G,"SBV",{"RSC ID","Tier";B1501,A1501}))</f>
        <v/>
      </c>
      <c r="AY1501" s="82" t="str">
        <f t="shared" si="2"/>
        <v/>
      </c>
      <c r="AZ1501" s="82"/>
      <c r="BA1501" s="84" t="s">
        <v>152</v>
      </c>
      <c r="BB1501" s="84" t="str">
        <f>IFERROR(__xludf.DUMMYFUNCTION("iferror(if(A1501="""",,E1501&gt;=FILTER(Constants!$F$2:$F$10,Constants!$A$2:$A$10=A1501)))"),"")</f>
        <v/>
      </c>
    </row>
    <row r="1502">
      <c r="A1502" s="89"/>
      <c r="B1502" s="87"/>
      <c r="C1502" s="73"/>
      <c r="D1502" s="73"/>
      <c r="E1502" s="82"/>
      <c r="F1502" s="82"/>
      <c r="G1502" s="86"/>
      <c r="H1502" s="86"/>
      <c r="I1502" s="86"/>
      <c r="J1502" s="82"/>
      <c r="K1502" s="82"/>
      <c r="L1502" s="82"/>
      <c r="M1502" s="82"/>
      <c r="N1502" s="82"/>
      <c r="O1502" s="82"/>
      <c r="P1502" s="82"/>
      <c r="Q1502" s="82"/>
      <c r="R1502" s="82"/>
      <c r="S1502" s="82"/>
      <c r="T1502" s="82"/>
      <c r="U1502" s="82"/>
      <c r="V1502" s="82"/>
      <c r="W1502" s="82"/>
      <c r="X1502" s="82"/>
      <c r="Y1502" s="82"/>
      <c r="Z1502" s="82"/>
      <c r="AA1502" s="82"/>
      <c r="AB1502" s="82"/>
      <c r="AC1502" s="82"/>
      <c r="AD1502" s="82"/>
      <c r="AE1502" s="82"/>
      <c r="AF1502" s="82"/>
      <c r="AG1502" s="82"/>
      <c r="AH1502" s="82"/>
      <c r="AI1502" s="82"/>
      <c r="AJ1502" s="82"/>
      <c r="AK1502" s="82"/>
      <c r="AL1502" s="82"/>
      <c r="AM1502" s="82"/>
      <c r="AN1502" s="82"/>
      <c r="AO1502" s="82"/>
      <c r="AP1502" s="82"/>
      <c r="AQ1502" s="82"/>
      <c r="AR1502" s="82"/>
      <c r="AS1502" s="82"/>
      <c r="AT1502" s="82"/>
      <c r="AU1502" s="82"/>
      <c r="AV1502" s="82"/>
      <c r="AW1502" s="82" t="str">
        <f t="shared" si="1"/>
        <v/>
      </c>
      <c r="AX1502" s="83" t="str">
        <f t="array" ref="AX1502">IFERROR(DGET('SBV Import'!A:G,"SBV",{"RSC ID","Tier";B1502,A1502}))</f>
        <v/>
      </c>
      <c r="AY1502" s="82" t="str">
        <f t="shared" si="2"/>
        <v/>
      </c>
      <c r="AZ1502" s="82"/>
      <c r="BA1502" s="84" t="s">
        <v>152</v>
      </c>
      <c r="BB1502" s="84" t="str">
        <f>IFERROR(__xludf.DUMMYFUNCTION("iferror(if(A1502="""",,E1502&gt;=FILTER(Constants!$F$2:$F$10,Constants!$A$2:$A$10=A1502)))"),"")</f>
        <v/>
      </c>
    </row>
    <row r="1503">
      <c r="A1503" s="89"/>
      <c r="B1503" s="87"/>
      <c r="C1503" s="73"/>
      <c r="D1503" s="73"/>
      <c r="E1503" s="82"/>
      <c r="F1503" s="82"/>
      <c r="G1503" s="86"/>
      <c r="H1503" s="86"/>
      <c r="I1503" s="86"/>
      <c r="J1503" s="82"/>
      <c r="K1503" s="82"/>
      <c r="L1503" s="82"/>
      <c r="M1503" s="82"/>
      <c r="N1503" s="82"/>
      <c r="O1503" s="82"/>
      <c r="P1503" s="82"/>
      <c r="Q1503" s="82"/>
      <c r="R1503" s="82"/>
      <c r="S1503" s="82"/>
      <c r="T1503" s="82"/>
      <c r="U1503" s="82"/>
      <c r="V1503" s="82"/>
      <c r="W1503" s="82"/>
      <c r="X1503" s="82"/>
      <c r="Y1503" s="82"/>
      <c r="Z1503" s="82"/>
      <c r="AA1503" s="82"/>
      <c r="AB1503" s="82"/>
      <c r="AC1503" s="82"/>
      <c r="AD1503" s="82"/>
      <c r="AE1503" s="82"/>
      <c r="AF1503" s="82"/>
      <c r="AG1503" s="82"/>
      <c r="AH1503" s="82"/>
      <c r="AI1503" s="82"/>
      <c r="AJ1503" s="82"/>
      <c r="AK1503" s="82"/>
      <c r="AL1503" s="82"/>
      <c r="AM1503" s="82"/>
      <c r="AN1503" s="82"/>
      <c r="AO1503" s="82"/>
      <c r="AP1503" s="82"/>
      <c r="AQ1503" s="82"/>
      <c r="AR1503" s="82"/>
      <c r="AS1503" s="82"/>
      <c r="AT1503" s="82"/>
      <c r="AU1503" s="82"/>
      <c r="AV1503" s="82"/>
      <c r="AW1503" s="82" t="str">
        <f t="shared" si="1"/>
        <v/>
      </c>
      <c r="AX1503" s="83" t="str">
        <f t="array" ref="AX1503">IFERROR(DGET('SBV Import'!A:G,"SBV",{"RSC ID","Tier";B1503,A1503}))</f>
        <v/>
      </c>
      <c r="AY1503" s="82" t="str">
        <f t="shared" si="2"/>
        <v/>
      </c>
      <c r="AZ1503" s="82"/>
      <c r="BA1503" s="84" t="s">
        <v>152</v>
      </c>
      <c r="BB1503" s="84" t="str">
        <f>IFERROR(__xludf.DUMMYFUNCTION("iferror(if(A1503="""",,E1503&gt;=FILTER(Constants!$F$2:$F$10,Constants!$A$2:$A$10=A1503)))"),"")</f>
        <v/>
      </c>
    </row>
    <row r="1504">
      <c r="A1504" s="89"/>
      <c r="B1504" s="87"/>
      <c r="C1504" s="73"/>
      <c r="D1504" s="73"/>
      <c r="E1504" s="82"/>
      <c r="F1504" s="82"/>
      <c r="G1504" s="86"/>
      <c r="H1504" s="86"/>
      <c r="I1504" s="86"/>
      <c r="J1504" s="82"/>
      <c r="K1504" s="82"/>
      <c r="L1504" s="82"/>
      <c r="M1504" s="82"/>
      <c r="N1504" s="82"/>
      <c r="O1504" s="82"/>
      <c r="P1504" s="82"/>
      <c r="Q1504" s="82"/>
      <c r="R1504" s="82"/>
      <c r="S1504" s="82"/>
      <c r="T1504" s="82"/>
      <c r="U1504" s="82"/>
      <c r="V1504" s="82"/>
      <c r="W1504" s="82"/>
      <c r="X1504" s="82"/>
      <c r="Y1504" s="82"/>
      <c r="Z1504" s="82"/>
      <c r="AA1504" s="82"/>
      <c r="AB1504" s="82"/>
      <c r="AC1504" s="82"/>
      <c r="AD1504" s="82"/>
      <c r="AE1504" s="82"/>
      <c r="AF1504" s="82"/>
      <c r="AG1504" s="82"/>
      <c r="AH1504" s="82"/>
      <c r="AI1504" s="82"/>
      <c r="AJ1504" s="82"/>
      <c r="AK1504" s="82"/>
      <c r="AL1504" s="82"/>
      <c r="AM1504" s="82"/>
      <c r="AN1504" s="82"/>
      <c r="AO1504" s="82"/>
      <c r="AP1504" s="82"/>
      <c r="AQ1504" s="82"/>
      <c r="AR1504" s="82"/>
      <c r="AS1504" s="82"/>
      <c r="AT1504" s="82"/>
      <c r="AU1504" s="82"/>
      <c r="AV1504" s="82"/>
      <c r="AW1504" s="82" t="str">
        <f t="shared" si="1"/>
        <v/>
      </c>
      <c r="AX1504" s="83" t="str">
        <f t="array" ref="AX1504">IFERROR(DGET('SBV Import'!A:G,"SBV",{"RSC ID","Tier";B1504,A1504}))</f>
        <v/>
      </c>
      <c r="AY1504" s="82" t="str">
        <f t="shared" si="2"/>
        <v/>
      </c>
      <c r="AZ1504" s="82"/>
      <c r="BA1504" s="84" t="s">
        <v>152</v>
      </c>
      <c r="BB1504" s="84" t="str">
        <f>IFERROR(__xludf.DUMMYFUNCTION("iferror(if(A1504="""",,E1504&gt;=FILTER(Constants!$F$2:$F$10,Constants!$A$2:$A$10=A1504)))"),"")</f>
        <v/>
      </c>
    </row>
    <row r="1505">
      <c r="A1505" s="89"/>
      <c r="B1505" s="87"/>
      <c r="C1505" s="73"/>
      <c r="D1505" s="73"/>
      <c r="E1505" s="82"/>
      <c r="F1505" s="82"/>
      <c r="G1505" s="86"/>
      <c r="H1505" s="86"/>
      <c r="I1505" s="86"/>
      <c r="J1505" s="82"/>
      <c r="K1505" s="82"/>
      <c r="L1505" s="82"/>
      <c r="M1505" s="82"/>
      <c r="N1505" s="82"/>
      <c r="O1505" s="82"/>
      <c r="P1505" s="82"/>
      <c r="Q1505" s="82"/>
      <c r="R1505" s="82"/>
      <c r="S1505" s="82"/>
      <c r="T1505" s="82"/>
      <c r="U1505" s="82"/>
      <c r="V1505" s="82"/>
      <c r="W1505" s="82"/>
      <c r="X1505" s="82"/>
      <c r="Y1505" s="82"/>
      <c r="Z1505" s="82"/>
      <c r="AA1505" s="82"/>
      <c r="AB1505" s="82"/>
      <c r="AC1505" s="82"/>
      <c r="AD1505" s="82"/>
      <c r="AE1505" s="82"/>
      <c r="AF1505" s="82"/>
      <c r="AG1505" s="82"/>
      <c r="AH1505" s="82"/>
      <c r="AI1505" s="82"/>
      <c r="AJ1505" s="82"/>
      <c r="AK1505" s="82"/>
      <c r="AL1505" s="82"/>
      <c r="AM1505" s="82"/>
      <c r="AN1505" s="82"/>
      <c r="AO1505" s="82"/>
      <c r="AP1505" s="82"/>
      <c r="AQ1505" s="82"/>
      <c r="AR1505" s="82"/>
      <c r="AS1505" s="82"/>
      <c r="AT1505" s="82"/>
      <c r="AU1505" s="82"/>
      <c r="AV1505" s="82"/>
      <c r="AW1505" s="82" t="str">
        <f t="shared" si="1"/>
        <v/>
      </c>
      <c r="AX1505" s="83" t="str">
        <f t="array" ref="AX1505">IFERROR(DGET('SBV Import'!A:G,"SBV",{"RSC ID","Tier";B1505,A1505}))</f>
        <v/>
      </c>
      <c r="AY1505" s="82" t="str">
        <f t="shared" si="2"/>
        <v/>
      </c>
      <c r="AZ1505" s="82"/>
      <c r="BA1505" s="84" t="s">
        <v>152</v>
      </c>
      <c r="BB1505" s="84" t="str">
        <f>IFERROR(__xludf.DUMMYFUNCTION("iferror(if(A1505="""",,E1505&gt;=FILTER(Constants!$F$2:$F$10,Constants!$A$2:$A$10=A1505)))"),"")</f>
        <v/>
      </c>
    </row>
    <row r="1506">
      <c r="A1506" s="89"/>
      <c r="B1506" s="87"/>
      <c r="C1506" s="73"/>
      <c r="D1506" s="73"/>
      <c r="E1506" s="82"/>
      <c r="F1506" s="82"/>
      <c r="G1506" s="86"/>
      <c r="H1506" s="86"/>
      <c r="I1506" s="86"/>
      <c r="J1506" s="82"/>
      <c r="K1506" s="82"/>
      <c r="L1506" s="82"/>
      <c r="M1506" s="82"/>
      <c r="N1506" s="82"/>
      <c r="O1506" s="82"/>
      <c r="P1506" s="82"/>
      <c r="Q1506" s="82"/>
      <c r="R1506" s="82"/>
      <c r="S1506" s="82"/>
      <c r="T1506" s="82"/>
      <c r="U1506" s="82"/>
      <c r="V1506" s="82"/>
      <c r="W1506" s="82"/>
      <c r="X1506" s="82"/>
      <c r="Y1506" s="82"/>
      <c r="Z1506" s="82"/>
      <c r="AA1506" s="82"/>
      <c r="AB1506" s="82"/>
      <c r="AC1506" s="82"/>
      <c r="AD1506" s="82"/>
      <c r="AE1506" s="82"/>
      <c r="AF1506" s="82"/>
      <c r="AG1506" s="82"/>
      <c r="AH1506" s="82"/>
      <c r="AI1506" s="82"/>
      <c r="AJ1506" s="82"/>
      <c r="AK1506" s="82"/>
      <c r="AL1506" s="82"/>
      <c r="AM1506" s="82"/>
      <c r="AN1506" s="82"/>
      <c r="AO1506" s="82"/>
      <c r="AP1506" s="82"/>
      <c r="AQ1506" s="82"/>
      <c r="AR1506" s="82"/>
      <c r="AS1506" s="82"/>
      <c r="AT1506" s="82"/>
      <c r="AU1506" s="82"/>
      <c r="AV1506" s="82"/>
      <c r="AW1506" s="82" t="str">
        <f t="shared" si="1"/>
        <v/>
      </c>
      <c r="AX1506" s="83" t="str">
        <f t="array" ref="AX1506">IFERROR(DGET('SBV Import'!A:G,"SBV",{"RSC ID","Tier";B1506,A1506}))</f>
        <v/>
      </c>
      <c r="AY1506" s="82" t="str">
        <f t="shared" si="2"/>
        <v/>
      </c>
      <c r="AZ1506" s="82"/>
      <c r="BA1506" s="84" t="s">
        <v>152</v>
      </c>
      <c r="BB1506" s="84" t="str">
        <f>IFERROR(__xludf.DUMMYFUNCTION("iferror(if(A1506="""",,E1506&gt;=FILTER(Constants!$F$2:$F$10,Constants!$A$2:$A$10=A1506)))"),"")</f>
        <v/>
      </c>
    </row>
    <row r="1507">
      <c r="A1507" s="89"/>
      <c r="B1507" s="87"/>
      <c r="C1507" s="73"/>
      <c r="D1507" s="73"/>
      <c r="E1507" s="82"/>
      <c r="F1507" s="82"/>
      <c r="G1507" s="86"/>
      <c r="H1507" s="86"/>
      <c r="I1507" s="86"/>
      <c r="J1507" s="82"/>
      <c r="K1507" s="82"/>
      <c r="L1507" s="82"/>
      <c r="M1507" s="82"/>
      <c r="N1507" s="82"/>
      <c r="O1507" s="82"/>
      <c r="P1507" s="82"/>
      <c r="Q1507" s="82"/>
      <c r="R1507" s="82"/>
      <c r="S1507" s="82"/>
      <c r="T1507" s="82"/>
      <c r="U1507" s="82"/>
      <c r="V1507" s="82"/>
      <c r="W1507" s="82"/>
      <c r="X1507" s="82"/>
      <c r="Y1507" s="82"/>
      <c r="Z1507" s="82"/>
      <c r="AA1507" s="82"/>
      <c r="AB1507" s="82"/>
      <c r="AC1507" s="82"/>
      <c r="AD1507" s="82"/>
      <c r="AE1507" s="82"/>
      <c r="AF1507" s="82"/>
      <c r="AG1507" s="82"/>
      <c r="AH1507" s="82"/>
      <c r="AI1507" s="82"/>
      <c r="AJ1507" s="82"/>
      <c r="AK1507" s="82"/>
      <c r="AL1507" s="82"/>
      <c r="AM1507" s="82"/>
      <c r="AN1507" s="82"/>
      <c r="AO1507" s="82"/>
      <c r="AP1507" s="82"/>
      <c r="AQ1507" s="82"/>
      <c r="AR1507" s="82"/>
      <c r="AS1507" s="82"/>
      <c r="AT1507" s="82"/>
      <c r="AU1507" s="82"/>
      <c r="AV1507" s="82"/>
      <c r="AW1507" s="82" t="str">
        <f t="shared" si="1"/>
        <v/>
      </c>
      <c r="AX1507" s="83" t="str">
        <f t="array" ref="AX1507">IFERROR(DGET('SBV Import'!A:G,"SBV",{"RSC ID","Tier";B1507,A1507}))</f>
        <v/>
      </c>
      <c r="AY1507" s="82" t="str">
        <f t="shared" si="2"/>
        <v/>
      </c>
      <c r="AZ1507" s="82"/>
      <c r="BA1507" s="84" t="s">
        <v>152</v>
      </c>
      <c r="BB1507" s="84" t="str">
        <f>IFERROR(__xludf.DUMMYFUNCTION("iferror(if(A1507="""",,E1507&gt;=FILTER(Constants!$F$2:$F$10,Constants!$A$2:$A$10=A1507)))"),"")</f>
        <v/>
      </c>
    </row>
    <row r="1508">
      <c r="A1508" s="89"/>
      <c r="B1508" s="87"/>
      <c r="C1508" s="73"/>
      <c r="D1508" s="73"/>
      <c r="E1508" s="82"/>
      <c r="F1508" s="82"/>
      <c r="G1508" s="86"/>
      <c r="H1508" s="86"/>
      <c r="I1508" s="86"/>
      <c r="J1508" s="82"/>
      <c r="K1508" s="82"/>
      <c r="L1508" s="82"/>
      <c r="M1508" s="82"/>
      <c r="N1508" s="82"/>
      <c r="O1508" s="82"/>
      <c r="P1508" s="82"/>
      <c r="Q1508" s="82"/>
      <c r="R1508" s="82"/>
      <c r="S1508" s="82"/>
      <c r="T1508" s="82"/>
      <c r="U1508" s="82"/>
      <c r="V1508" s="82"/>
      <c r="W1508" s="82"/>
      <c r="X1508" s="82"/>
      <c r="Y1508" s="82"/>
      <c r="Z1508" s="82"/>
      <c r="AA1508" s="82"/>
      <c r="AB1508" s="82"/>
      <c r="AC1508" s="82"/>
      <c r="AD1508" s="82"/>
      <c r="AE1508" s="82"/>
      <c r="AF1508" s="82"/>
      <c r="AG1508" s="82"/>
      <c r="AH1508" s="82"/>
      <c r="AI1508" s="82"/>
      <c r="AJ1508" s="82"/>
      <c r="AK1508" s="82"/>
      <c r="AL1508" s="82"/>
      <c r="AM1508" s="82"/>
      <c r="AN1508" s="82"/>
      <c r="AO1508" s="82"/>
      <c r="AP1508" s="82"/>
      <c r="AQ1508" s="82"/>
      <c r="AR1508" s="82"/>
      <c r="AS1508" s="82"/>
      <c r="AT1508" s="82"/>
      <c r="AU1508" s="82"/>
      <c r="AV1508" s="82"/>
      <c r="AW1508" s="82" t="str">
        <f t="shared" si="1"/>
        <v/>
      </c>
      <c r="AX1508" s="83" t="str">
        <f t="array" ref="AX1508">IFERROR(DGET('SBV Import'!A:G,"SBV",{"RSC ID","Tier";B1508,A1508}))</f>
        <v/>
      </c>
      <c r="AY1508" s="82" t="str">
        <f t="shared" si="2"/>
        <v/>
      </c>
      <c r="AZ1508" s="82"/>
      <c r="BA1508" s="84" t="s">
        <v>152</v>
      </c>
      <c r="BB1508" s="84" t="str">
        <f>IFERROR(__xludf.DUMMYFUNCTION("iferror(if(A1508="""",,E1508&gt;=FILTER(Constants!$F$2:$F$10,Constants!$A$2:$A$10=A1508)))"),"")</f>
        <v/>
      </c>
    </row>
    <row r="1509">
      <c r="A1509" s="89"/>
      <c r="B1509" s="87"/>
      <c r="C1509" s="73"/>
      <c r="D1509" s="73"/>
      <c r="E1509" s="82"/>
      <c r="F1509" s="82"/>
      <c r="G1509" s="86"/>
      <c r="H1509" s="86"/>
      <c r="I1509" s="86"/>
      <c r="J1509" s="82"/>
      <c r="K1509" s="82"/>
      <c r="L1509" s="82"/>
      <c r="M1509" s="82"/>
      <c r="N1509" s="82"/>
      <c r="O1509" s="82"/>
      <c r="P1509" s="82"/>
      <c r="Q1509" s="82"/>
      <c r="R1509" s="82"/>
      <c r="S1509" s="82"/>
      <c r="T1509" s="82"/>
      <c r="U1509" s="82"/>
      <c r="V1509" s="82"/>
      <c r="W1509" s="82"/>
      <c r="X1509" s="82"/>
      <c r="Y1509" s="82"/>
      <c r="Z1509" s="82"/>
      <c r="AA1509" s="82"/>
      <c r="AB1509" s="82"/>
      <c r="AC1509" s="82"/>
      <c r="AD1509" s="82"/>
      <c r="AE1509" s="82"/>
      <c r="AF1509" s="82"/>
      <c r="AG1509" s="82"/>
      <c r="AH1509" s="82"/>
      <c r="AI1509" s="82"/>
      <c r="AJ1509" s="82"/>
      <c r="AK1509" s="82"/>
      <c r="AL1509" s="82"/>
      <c r="AM1509" s="82"/>
      <c r="AN1509" s="82"/>
      <c r="AO1509" s="82"/>
      <c r="AP1509" s="82"/>
      <c r="AQ1509" s="82"/>
      <c r="AR1509" s="82"/>
      <c r="AS1509" s="82"/>
      <c r="AT1509" s="82"/>
      <c r="AU1509" s="82"/>
      <c r="AV1509" s="82"/>
      <c r="AW1509" s="82" t="str">
        <f t="shared" si="1"/>
        <v/>
      </c>
      <c r="AX1509" s="83" t="str">
        <f t="array" ref="AX1509">IFERROR(DGET('SBV Import'!A:G,"SBV",{"RSC ID","Tier";B1509,A1509}))</f>
        <v/>
      </c>
      <c r="AY1509" s="82" t="str">
        <f t="shared" si="2"/>
        <v/>
      </c>
      <c r="AZ1509" s="82"/>
      <c r="BA1509" s="84" t="s">
        <v>152</v>
      </c>
      <c r="BB1509" s="84" t="str">
        <f>IFERROR(__xludf.DUMMYFUNCTION("iferror(if(A1509="""",,E1509&gt;=FILTER(Constants!$F$2:$F$10,Constants!$A$2:$A$10=A1509)))"),"")</f>
        <v/>
      </c>
    </row>
    <row r="1510">
      <c r="A1510" s="89"/>
      <c r="B1510" s="87"/>
      <c r="C1510" s="73"/>
      <c r="D1510" s="73"/>
      <c r="E1510" s="82"/>
      <c r="F1510" s="82"/>
      <c r="G1510" s="86"/>
      <c r="H1510" s="86"/>
      <c r="I1510" s="86"/>
      <c r="J1510" s="82"/>
      <c r="K1510" s="82"/>
      <c r="L1510" s="82"/>
      <c r="M1510" s="82"/>
      <c r="N1510" s="82"/>
      <c r="O1510" s="82"/>
      <c r="P1510" s="82"/>
      <c r="Q1510" s="82"/>
      <c r="R1510" s="82"/>
      <c r="S1510" s="82"/>
      <c r="T1510" s="82"/>
      <c r="U1510" s="82"/>
      <c r="V1510" s="82"/>
      <c r="W1510" s="82"/>
      <c r="X1510" s="82"/>
      <c r="Y1510" s="82"/>
      <c r="Z1510" s="82"/>
      <c r="AA1510" s="82"/>
      <c r="AB1510" s="82"/>
      <c r="AC1510" s="82"/>
      <c r="AD1510" s="82"/>
      <c r="AE1510" s="82"/>
      <c r="AF1510" s="82"/>
      <c r="AG1510" s="82"/>
      <c r="AH1510" s="82"/>
      <c r="AI1510" s="82"/>
      <c r="AJ1510" s="82"/>
      <c r="AK1510" s="82"/>
      <c r="AL1510" s="82"/>
      <c r="AM1510" s="82"/>
      <c r="AN1510" s="82"/>
      <c r="AO1510" s="82"/>
      <c r="AP1510" s="82"/>
      <c r="AQ1510" s="82"/>
      <c r="AR1510" s="82"/>
      <c r="AS1510" s="82"/>
      <c r="AT1510" s="82"/>
      <c r="AU1510" s="82"/>
      <c r="AV1510" s="82"/>
      <c r="AW1510" s="82" t="str">
        <f t="shared" si="1"/>
        <v/>
      </c>
      <c r="AX1510" s="83" t="str">
        <f t="array" ref="AX1510">IFERROR(DGET('SBV Import'!A:G,"SBV",{"RSC ID","Tier";B1510,A1510}))</f>
        <v/>
      </c>
      <c r="AY1510" s="82" t="str">
        <f t="shared" si="2"/>
        <v/>
      </c>
      <c r="AZ1510" s="82"/>
      <c r="BA1510" s="84" t="s">
        <v>152</v>
      </c>
      <c r="BB1510" s="84" t="str">
        <f>IFERROR(__xludf.DUMMYFUNCTION("iferror(if(A1510="""",,E1510&gt;=FILTER(Constants!$F$2:$F$10,Constants!$A$2:$A$10=A1510)))"),"")</f>
        <v/>
      </c>
    </row>
    <row r="1511">
      <c r="A1511" s="89"/>
      <c r="B1511" s="87"/>
      <c r="C1511" s="73"/>
      <c r="D1511" s="73"/>
      <c r="E1511" s="82"/>
      <c r="F1511" s="82"/>
      <c r="G1511" s="86"/>
      <c r="H1511" s="86"/>
      <c r="I1511" s="86"/>
      <c r="J1511" s="82"/>
      <c r="K1511" s="82"/>
      <c r="L1511" s="82"/>
      <c r="M1511" s="82"/>
      <c r="N1511" s="82"/>
      <c r="O1511" s="82"/>
      <c r="P1511" s="82"/>
      <c r="Q1511" s="82"/>
      <c r="R1511" s="82"/>
      <c r="S1511" s="82"/>
      <c r="T1511" s="82"/>
      <c r="U1511" s="82"/>
      <c r="V1511" s="82"/>
      <c r="W1511" s="82"/>
      <c r="X1511" s="82"/>
      <c r="Y1511" s="82"/>
      <c r="Z1511" s="82"/>
      <c r="AA1511" s="82"/>
      <c r="AB1511" s="82"/>
      <c r="AC1511" s="82"/>
      <c r="AD1511" s="82"/>
      <c r="AE1511" s="82"/>
      <c r="AF1511" s="82"/>
      <c r="AG1511" s="82"/>
      <c r="AH1511" s="82"/>
      <c r="AI1511" s="82"/>
      <c r="AJ1511" s="82"/>
      <c r="AK1511" s="82"/>
      <c r="AL1511" s="82"/>
      <c r="AM1511" s="82"/>
      <c r="AN1511" s="82"/>
      <c r="AO1511" s="82"/>
      <c r="AP1511" s="82"/>
      <c r="AQ1511" s="82"/>
      <c r="AR1511" s="82"/>
      <c r="AS1511" s="82"/>
      <c r="AT1511" s="82"/>
      <c r="AU1511" s="82"/>
      <c r="AV1511" s="82"/>
      <c r="AW1511" s="82" t="str">
        <f t="shared" si="1"/>
        <v/>
      </c>
      <c r="AX1511" s="83" t="str">
        <f t="array" ref="AX1511">IFERROR(DGET('SBV Import'!A:G,"SBV",{"RSC ID","Tier";B1511,A1511}))</f>
        <v/>
      </c>
      <c r="AY1511" s="82" t="str">
        <f t="shared" si="2"/>
        <v/>
      </c>
      <c r="AZ1511" s="82"/>
      <c r="BA1511" s="84" t="s">
        <v>152</v>
      </c>
      <c r="BB1511" s="84" t="str">
        <f>IFERROR(__xludf.DUMMYFUNCTION("iferror(if(A1511="""",,E1511&gt;=FILTER(Constants!$F$2:$F$10,Constants!$A$2:$A$10=A1511)))"),"")</f>
        <v/>
      </c>
    </row>
    <row r="1512">
      <c r="A1512" s="89"/>
      <c r="B1512" s="87"/>
      <c r="C1512" s="73"/>
      <c r="D1512" s="73"/>
      <c r="E1512" s="82"/>
      <c r="F1512" s="82"/>
      <c r="G1512" s="86"/>
      <c r="H1512" s="86"/>
      <c r="I1512" s="86"/>
      <c r="J1512" s="82"/>
      <c r="K1512" s="82"/>
      <c r="L1512" s="82"/>
      <c r="M1512" s="82"/>
      <c r="N1512" s="82"/>
      <c r="O1512" s="82"/>
      <c r="P1512" s="82"/>
      <c r="Q1512" s="82"/>
      <c r="R1512" s="82"/>
      <c r="S1512" s="82"/>
      <c r="T1512" s="82"/>
      <c r="U1512" s="82"/>
      <c r="V1512" s="82"/>
      <c r="W1512" s="82"/>
      <c r="X1512" s="82"/>
      <c r="Y1512" s="82"/>
      <c r="Z1512" s="82"/>
      <c r="AA1512" s="82"/>
      <c r="AB1512" s="82"/>
      <c r="AC1512" s="82"/>
      <c r="AD1512" s="82"/>
      <c r="AE1512" s="82"/>
      <c r="AF1512" s="82"/>
      <c r="AG1512" s="82"/>
      <c r="AH1512" s="82"/>
      <c r="AI1512" s="82"/>
      <c r="AJ1512" s="82"/>
      <c r="AK1512" s="82"/>
      <c r="AL1512" s="82"/>
      <c r="AM1512" s="82"/>
      <c r="AN1512" s="82"/>
      <c r="AO1512" s="82"/>
      <c r="AP1512" s="82"/>
      <c r="AQ1512" s="82"/>
      <c r="AR1512" s="82"/>
      <c r="AS1512" s="82"/>
      <c r="AT1512" s="82"/>
      <c r="AU1512" s="82"/>
      <c r="AV1512" s="82"/>
      <c r="AW1512" s="82" t="str">
        <f t="shared" si="1"/>
        <v/>
      </c>
      <c r="AX1512" s="83" t="str">
        <f t="array" ref="AX1512">IFERROR(DGET('SBV Import'!A:G,"SBV",{"RSC ID","Tier";B1512,A1512}))</f>
        <v/>
      </c>
      <c r="AY1512" s="82" t="str">
        <f t="shared" si="2"/>
        <v/>
      </c>
      <c r="AZ1512" s="82"/>
      <c r="BA1512" s="84" t="s">
        <v>152</v>
      </c>
      <c r="BB1512" s="84" t="str">
        <f>IFERROR(__xludf.DUMMYFUNCTION("iferror(if(A1512="""",,E1512&gt;=FILTER(Constants!$F$2:$F$10,Constants!$A$2:$A$10=A1512)))"),"")</f>
        <v/>
      </c>
    </row>
    <row r="1513">
      <c r="A1513" s="89"/>
      <c r="B1513" s="87"/>
      <c r="C1513" s="73"/>
      <c r="D1513" s="73"/>
      <c r="E1513" s="82"/>
      <c r="F1513" s="82"/>
      <c r="G1513" s="86"/>
      <c r="H1513" s="86"/>
      <c r="I1513" s="86"/>
      <c r="J1513" s="82"/>
      <c r="K1513" s="82"/>
      <c r="L1513" s="82"/>
      <c r="M1513" s="82"/>
      <c r="N1513" s="82"/>
      <c r="O1513" s="82"/>
      <c r="P1513" s="82"/>
      <c r="Q1513" s="82"/>
      <c r="R1513" s="82"/>
      <c r="S1513" s="82"/>
      <c r="T1513" s="82"/>
      <c r="U1513" s="82"/>
      <c r="V1513" s="82"/>
      <c r="W1513" s="82"/>
      <c r="X1513" s="82"/>
      <c r="Y1513" s="82"/>
      <c r="Z1513" s="82"/>
      <c r="AA1513" s="82"/>
      <c r="AB1513" s="82"/>
      <c r="AC1513" s="82"/>
      <c r="AD1513" s="82"/>
      <c r="AE1513" s="82"/>
      <c r="AF1513" s="82"/>
      <c r="AG1513" s="82"/>
      <c r="AH1513" s="82"/>
      <c r="AI1513" s="82"/>
      <c r="AJ1513" s="82"/>
      <c r="AK1513" s="82"/>
      <c r="AL1513" s="82"/>
      <c r="AM1513" s="82"/>
      <c r="AN1513" s="82"/>
      <c r="AO1513" s="82"/>
      <c r="AP1513" s="82"/>
      <c r="AQ1513" s="82"/>
      <c r="AR1513" s="82"/>
      <c r="AS1513" s="82"/>
      <c r="AT1513" s="82"/>
      <c r="AU1513" s="82"/>
      <c r="AV1513" s="82"/>
      <c r="AW1513" s="82" t="str">
        <f t="shared" si="1"/>
        <v/>
      </c>
      <c r="AX1513" s="83" t="str">
        <f t="array" ref="AX1513">IFERROR(DGET('SBV Import'!A:G,"SBV",{"RSC ID","Tier";B1513,A1513}))</f>
        <v/>
      </c>
      <c r="AY1513" s="82" t="str">
        <f t="shared" si="2"/>
        <v/>
      </c>
      <c r="AZ1513" s="82"/>
      <c r="BA1513" s="84" t="s">
        <v>152</v>
      </c>
      <c r="BB1513" s="84" t="str">
        <f>IFERROR(__xludf.DUMMYFUNCTION("iferror(if(A1513="""",,E1513&gt;=FILTER(Constants!$F$2:$F$10,Constants!$A$2:$A$10=A1513)))"),"")</f>
        <v/>
      </c>
    </row>
    <row r="1514">
      <c r="A1514" s="89"/>
      <c r="B1514" s="87"/>
      <c r="C1514" s="73"/>
      <c r="D1514" s="73"/>
      <c r="E1514" s="82"/>
      <c r="F1514" s="82"/>
      <c r="G1514" s="86"/>
      <c r="H1514" s="86"/>
      <c r="I1514" s="86"/>
      <c r="J1514" s="82"/>
      <c r="K1514" s="82"/>
      <c r="L1514" s="82"/>
      <c r="M1514" s="82"/>
      <c r="N1514" s="82"/>
      <c r="O1514" s="82"/>
      <c r="P1514" s="82"/>
      <c r="Q1514" s="82"/>
      <c r="R1514" s="82"/>
      <c r="S1514" s="82"/>
      <c r="T1514" s="82"/>
      <c r="U1514" s="82"/>
      <c r="V1514" s="82"/>
      <c r="W1514" s="82"/>
      <c r="X1514" s="82"/>
      <c r="Y1514" s="82"/>
      <c r="Z1514" s="82"/>
      <c r="AA1514" s="82"/>
      <c r="AB1514" s="82"/>
      <c r="AC1514" s="82"/>
      <c r="AD1514" s="82"/>
      <c r="AE1514" s="82"/>
      <c r="AF1514" s="82"/>
      <c r="AG1514" s="82"/>
      <c r="AH1514" s="82"/>
      <c r="AI1514" s="82"/>
      <c r="AJ1514" s="82"/>
      <c r="AK1514" s="82"/>
      <c r="AL1514" s="82"/>
      <c r="AM1514" s="82"/>
      <c r="AN1514" s="82"/>
      <c r="AO1514" s="82"/>
      <c r="AP1514" s="82"/>
      <c r="AQ1514" s="82"/>
      <c r="AR1514" s="82"/>
      <c r="AS1514" s="82"/>
      <c r="AT1514" s="82"/>
      <c r="AU1514" s="82"/>
      <c r="AV1514" s="82"/>
      <c r="AW1514" s="82" t="str">
        <f t="shared" si="1"/>
        <v/>
      </c>
      <c r="AX1514" s="83" t="str">
        <f t="array" ref="AX1514">IFERROR(DGET('SBV Import'!A:G,"SBV",{"RSC ID","Tier";B1514,A1514}))</f>
        <v/>
      </c>
      <c r="AY1514" s="82" t="str">
        <f t="shared" si="2"/>
        <v/>
      </c>
      <c r="AZ1514" s="82"/>
      <c r="BA1514" s="84" t="s">
        <v>152</v>
      </c>
      <c r="BB1514" s="84" t="str">
        <f>IFERROR(__xludf.DUMMYFUNCTION("iferror(if(A1514="""",,E1514&gt;=FILTER(Constants!$F$2:$F$10,Constants!$A$2:$A$10=A1514)))"),"")</f>
        <v/>
      </c>
    </row>
    <row r="1515">
      <c r="A1515" s="89"/>
      <c r="B1515" s="87"/>
      <c r="C1515" s="73"/>
      <c r="D1515" s="73"/>
      <c r="E1515" s="82"/>
      <c r="F1515" s="82"/>
      <c r="G1515" s="86"/>
      <c r="H1515" s="86"/>
      <c r="I1515" s="86"/>
      <c r="J1515" s="82"/>
      <c r="K1515" s="82"/>
      <c r="L1515" s="82"/>
      <c r="M1515" s="82"/>
      <c r="N1515" s="82"/>
      <c r="O1515" s="82"/>
      <c r="P1515" s="82"/>
      <c r="Q1515" s="82"/>
      <c r="R1515" s="82"/>
      <c r="S1515" s="82"/>
      <c r="T1515" s="82"/>
      <c r="U1515" s="82"/>
      <c r="V1515" s="82"/>
      <c r="W1515" s="82"/>
      <c r="X1515" s="82"/>
      <c r="Y1515" s="82"/>
      <c r="Z1515" s="82"/>
      <c r="AA1515" s="82"/>
      <c r="AB1515" s="82"/>
      <c r="AC1515" s="82"/>
      <c r="AD1515" s="82"/>
      <c r="AE1515" s="82"/>
      <c r="AF1515" s="82"/>
      <c r="AG1515" s="82"/>
      <c r="AH1515" s="82"/>
      <c r="AI1515" s="82"/>
      <c r="AJ1515" s="82"/>
      <c r="AK1515" s="82"/>
      <c r="AL1515" s="82"/>
      <c r="AM1515" s="82"/>
      <c r="AN1515" s="82"/>
      <c r="AO1515" s="82"/>
      <c r="AP1515" s="82"/>
      <c r="AQ1515" s="82"/>
      <c r="AR1515" s="82"/>
      <c r="AS1515" s="82"/>
      <c r="AT1515" s="82"/>
      <c r="AU1515" s="82"/>
      <c r="AV1515" s="82"/>
      <c r="AW1515" s="82" t="str">
        <f t="shared" si="1"/>
        <v/>
      </c>
      <c r="AX1515" s="83" t="str">
        <f t="array" ref="AX1515">IFERROR(DGET('SBV Import'!A:G,"SBV",{"RSC ID","Tier";B1515,A1515}))</f>
        <v/>
      </c>
      <c r="AY1515" s="82" t="str">
        <f t="shared" si="2"/>
        <v/>
      </c>
      <c r="AZ1515" s="82"/>
      <c r="BA1515" s="84" t="s">
        <v>152</v>
      </c>
      <c r="BB1515" s="84" t="str">
        <f>IFERROR(__xludf.DUMMYFUNCTION("iferror(if(A1515="""",,E1515&gt;=FILTER(Constants!$F$2:$F$10,Constants!$A$2:$A$10=A1515)))"),"")</f>
        <v/>
      </c>
    </row>
    <row r="1516">
      <c r="A1516" s="89"/>
      <c r="B1516" s="87"/>
      <c r="C1516" s="73"/>
      <c r="D1516" s="73"/>
      <c r="E1516" s="82"/>
      <c r="F1516" s="82"/>
      <c r="G1516" s="86"/>
      <c r="H1516" s="86"/>
      <c r="I1516" s="86"/>
      <c r="J1516" s="82"/>
      <c r="K1516" s="82"/>
      <c r="L1516" s="82"/>
      <c r="M1516" s="82"/>
      <c r="N1516" s="82"/>
      <c r="O1516" s="82"/>
      <c r="P1516" s="82"/>
      <c r="Q1516" s="82"/>
      <c r="R1516" s="82"/>
      <c r="S1516" s="82"/>
      <c r="T1516" s="82"/>
      <c r="U1516" s="82"/>
      <c r="V1516" s="82"/>
      <c r="W1516" s="82"/>
      <c r="X1516" s="82"/>
      <c r="Y1516" s="82"/>
      <c r="Z1516" s="82"/>
      <c r="AA1516" s="82"/>
      <c r="AB1516" s="82"/>
      <c r="AC1516" s="82"/>
      <c r="AD1516" s="82"/>
      <c r="AE1516" s="82"/>
      <c r="AF1516" s="82"/>
      <c r="AG1516" s="82"/>
      <c r="AH1516" s="82"/>
      <c r="AI1516" s="82"/>
      <c r="AJ1516" s="82"/>
      <c r="AK1516" s="82"/>
      <c r="AL1516" s="82"/>
      <c r="AM1516" s="82"/>
      <c r="AN1516" s="82"/>
      <c r="AO1516" s="82"/>
      <c r="AP1516" s="82"/>
      <c r="AQ1516" s="82"/>
      <c r="AR1516" s="82"/>
      <c r="AS1516" s="82"/>
      <c r="AT1516" s="82"/>
      <c r="AU1516" s="82"/>
      <c r="AV1516" s="82"/>
      <c r="AW1516" s="82" t="str">
        <f t="shared" si="1"/>
        <v/>
      </c>
      <c r="AX1516" s="83" t="str">
        <f t="array" ref="AX1516">IFERROR(DGET('SBV Import'!A:G,"SBV",{"RSC ID","Tier";B1516,A1516}))</f>
        <v/>
      </c>
      <c r="AY1516" s="82" t="str">
        <f t="shared" si="2"/>
        <v/>
      </c>
      <c r="AZ1516" s="82"/>
      <c r="BA1516" s="84" t="s">
        <v>152</v>
      </c>
      <c r="BB1516" s="84" t="str">
        <f>IFERROR(__xludf.DUMMYFUNCTION("iferror(if(A1516="""",,E1516&gt;=FILTER(Constants!$F$2:$F$10,Constants!$A$2:$A$10=A1516)))"),"")</f>
        <v/>
      </c>
    </row>
    <row r="1517">
      <c r="A1517" s="89"/>
      <c r="B1517" s="87"/>
      <c r="C1517" s="73"/>
      <c r="D1517" s="73"/>
      <c r="E1517" s="82"/>
      <c r="F1517" s="82"/>
      <c r="G1517" s="86"/>
      <c r="H1517" s="86"/>
      <c r="I1517" s="86"/>
      <c r="J1517" s="82"/>
      <c r="K1517" s="82"/>
      <c r="L1517" s="82"/>
      <c r="M1517" s="82"/>
      <c r="N1517" s="82"/>
      <c r="O1517" s="82"/>
      <c r="P1517" s="82"/>
      <c r="Q1517" s="82"/>
      <c r="R1517" s="82"/>
      <c r="S1517" s="82"/>
      <c r="T1517" s="82"/>
      <c r="U1517" s="82"/>
      <c r="V1517" s="82"/>
      <c r="W1517" s="82"/>
      <c r="X1517" s="82"/>
      <c r="Y1517" s="82"/>
      <c r="Z1517" s="82"/>
      <c r="AA1517" s="82"/>
      <c r="AB1517" s="82"/>
      <c r="AC1517" s="82"/>
      <c r="AD1517" s="82"/>
      <c r="AE1517" s="82"/>
      <c r="AF1517" s="82"/>
      <c r="AG1517" s="82"/>
      <c r="AH1517" s="82"/>
      <c r="AI1517" s="82"/>
      <c r="AJ1517" s="82"/>
      <c r="AK1517" s="82"/>
      <c r="AL1517" s="82"/>
      <c r="AM1517" s="82"/>
      <c r="AN1517" s="82"/>
      <c r="AO1517" s="82"/>
      <c r="AP1517" s="82"/>
      <c r="AQ1517" s="82"/>
      <c r="AR1517" s="82"/>
      <c r="AS1517" s="82"/>
      <c r="AT1517" s="82"/>
      <c r="AU1517" s="82"/>
      <c r="AV1517" s="82"/>
      <c r="AW1517" s="82" t="str">
        <f t="shared" si="1"/>
        <v/>
      </c>
      <c r="AX1517" s="83" t="str">
        <f t="array" ref="AX1517">IFERROR(DGET('SBV Import'!A:G,"SBV",{"RSC ID","Tier";B1517,A1517}))</f>
        <v/>
      </c>
      <c r="AY1517" s="82" t="str">
        <f t="shared" si="2"/>
        <v/>
      </c>
      <c r="AZ1517" s="82"/>
      <c r="BA1517" s="84" t="s">
        <v>152</v>
      </c>
      <c r="BB1517" s="84" t="str">
        <f>IFERROR(__xludf.DUMMYFUNCTION("iferror(if(A1517="""",,E1517&gt;=FILTER(Constants!$F$2:$F$10,Constants!$A$2:$A$10=A1517)))"),"")</f>
        <v/>
      </c>
    </row>
    <row r="1518">
      <c r="A1518" s="89"/>
      <c r="B1518" s="87"/>
      <c r="C1518" s="73"/>
      <c r="D1518" s="73"/>
      <c r="E1518" s="82"/>
      <c r="F1518" s="82"/>
      <c r="G1518" s="86"/>
      <c r="H1518" s="86"/>
      <c r="I1518" s="86"/>
      <c r="J1518" s="82"/>
      <c r="K1518" s="82"/>
      <c r="L1518" s="82"/>
      <c r="M1518" s="82"/>
      <c r="N1518" s="82"/>
      <c r="O1518" s="82"/>
      <c r="P1518" s="82"/>
      <c r="Q1518" s="82"/>
      <c r="R1518" s="82"/>
      <c r="S1518" s="82"/>
      <c r="T1518" s="82"/>
      <c r="U1518" s="82"/>
      <c r="V1518" s="82"/>
      <c r="W1518" s="82"/>
      <c r="X1518" s="82"/>
      <c r="Y1518" s="82"/>
      <c r="Z1518" s="82"/>
      <c r="AA1518" s="82"/>
      <c r="AB1518" s="82"/>
      <c r="AC1518" s="82"/>
      <c r="AD1518" s="82"/>
      <c r="AE1518" s="82"/>
      <c r="AF1518" s="82"/>
      <c r="AG1518" s="82"/>
      <c r="AH1518" s="82"/>
      <c r="AI1518" s="82"/>
      <c r="AJ1518" s="82"/>
      <c r="AK1518" s="82"/>
      <c r="AL1518" s="82"/>
      <c r="AM1518" s="82"/>
      <c r="AN1518" s="82"/>
      <c r="AO1518" s="82"/>
      <c r="AP1518" s="82"/>
      <c r="AQ1518" s="82"/>
      <c r="AR1518" s="82"/>
      <c r="AS1518" s="82"/>
      <c r="AT1518" s="82"/>
      <c r="AU1518" s="82"/>
      <c r="AV1518" s="82"/>
      <c r="AW1518" s="82" t="str">
        <f t="shared" si="1"/>
        <v/>
      </c>
      <c r="AX1518" s="83" t="str">
        <f t="array" ref="AX1518">IFERROR(DGET('SBV Import'!A:G,"SBV",{"RSC ID","Tier";B1518,A1518}))</f>
        <v/>
      </c>
      <c r="AY1518" s="82" t="str">
        <f t="shared" si="2"/>
        <v/>
      </c>
      <c r="AZ1518" s="82"/>
      <c r="BA1518" s="84" t="s">
        <v>152</v>
      </c>
      <c r="BB1518" s="84" t="str">
        <f>IFERROR(__xludf.DUMMYFUNCTION("iferror(if(A1518="""",,E1518&gt;=FILTER(Constants!$F$2:$F$10,Constants!$A$2:$A$10=A1518)))"),"")</f>
        <v/>
      </c>
    </row>
    <row r="1519">
      <c r="A1519" s="89"/>
      <c r="B1519" s="87"/>
      <c r="C1519" s="73"/>
      <c r="D1519" s="73"/>
      <c r="E1519" s="82"/>
      <c r="F1519" s="82"/>
      <c r="G1519" s="86"/>
      <c r="H1519" s="86"/>
      <c r="I1519" s="86"/>
      <c r="J1519" s="82"/>
      <c r="K1519" s="82"/>
      <c r="L1519" s="82"/>
      <c r="M1519" s="82"/>
      <c r="N1519" s="82"/>
      <c r="O1519" s="82"/>
      <c r="P1519" s="82"/>
      <c r="Q1519" s="82"/>
      <c r="R1519" s="82"/>
      <c r="S1519" s="82"/>
      <c r="T1519" s="82"/>
      <c r="U1519" s="82"/>
      <c r="V1519" s="82"/>
      <c r="W1519" s="82"/>
      <c r="X1519" s="82"/>
      <c r="Y1519" s="82"/>
      <c r="Z1519" s="82"/>
      <c r="AA1519" s="82"/>
      <c r="AB1519" s="82"/>
      <c r="AC1519" s="82"/>
      <c r="AD1519" s="82"/>
      <c r="AE1519" s="82"/>
      <c r="AF1519" s="82"/>
      <c r="AG1519" s="82"/>
      <c r="AH1519" s="82"/>
      <c r="AI1519" s="82"/>
      <c r="AJ1519" s="82"/>
      <c r="AK1519" s="82"/>
      <c r="AL1519" s="82"/>
      <c r="AM1519" s="82"/>
      <c r="AN1519" s="82"/>
      <c r="AO1519" s="82"/>
      <c r="AP1519" s="82"/>
      <c r="AQ1519" s="82"/>
      <c r="AR1519" s="82"/>
      <c r="AS1519" s="82"/>
      <c r="AT1519" s="82"/>
      <c r="AU1519" s="82"/>
      <c r="AV1519" s="82"/>
      <c r="AW1519" s="82" t="str">
        <f t="shared" si="1"/>
        <v/>
      </c>
      <c r="AX1519" s="83" t="str">
        <f t="array" ref="AX1519">IFERROR(DGET('SBV Import'!A:G,"SBV",{"RSC ID","Tier";B1519,A1519}))</f>
        <v/>
      </c>
      <c r="AY1519" s="82" t="str">
        <f t="shared" si="2"/>
        <v/>
      </c>
      <c r="AZ1519" s="82"/>
      <c r="BA1519" s="84" t="s">
        <v>152</v>
      </c>
      <c r="BB1519" s="84" t="str">
        <f>IFERROR(__xludf.DUMMYFUNCTION("iferror(if(A1519="""",,E1519&gt;=FILTER(Constants!$F$2:$F$10,Constants!$A$2:$A$10=A1519)))"),"")</f>
        <v/>
      </c>
    </row>
    <row r="1520">
      <c r="A1520" s="89"/>
      <c r="B1520" s="87"/>
      <c r="C1520" s="73"/>
      <c r="D1520" s="73"/>
      <c r="E1520" s="82"/>
      <c r="F1520" s="82"/>
      <c r="G1520" s="86"/>
      <c r="H1520" s="86"/>
      <c r="I1520" s="86"/>
      <c r="J1520" s="82"/>
      <c r="K1520" s="82"/>
      <c r="L1520" s="82"/>
      <c r="M1520" s="82"/>
      <c r="N1520" s="82"/>
      <c r="O1520" s="82"/>
      <c r="P1520" s="82"/>
      <c r="Q1520" s="82"/>
      <c r="R1520" s="82"/>
      <c r="S1520" s="82"/>
      <c r="T1520" s="82"/>
      <c r="U1520" s="82"/>
      <c r="V1520" s="82"/>
      <c r="W1520" s="82"/>
      <c r="X1520" s="82"/>
      <c r="Y1520" s="82"/>
      <c r="Z1520" s="82"/>
      <c r="AA1520" s="82"/>
      <c r="AB1520" s="82"/>
      <c r="AC1520" s="82"/>
      <c r="AD1520" s="82"/>
      <c r="AE1520" s="82"/>
      <c r="AF1520" s="82"/>
      <c r="AG1520" s="82"/>
      <c r="AH1520" s="82"/>
      <c r="AI1520" s="82"/>
      <c r="AJ1520" s="82"/>
      <c r="AK1520" s="82"/>
      <c r="AL1520" s="82"/>
      <c r="AM1520" s="82"/>
      <c r="AN1520" s="82"/>
      <c r="AO1520" s="82"/>
      <c r="AP1520" s="82"/>
      <c r="AQ1520" s="82"/>
      <c r="AR1520" s="82"/>
      <c r="AS1520" s="82"/>
      <c r="AT1520" s="82"/>
      <c r="AU1520" s="82"/>
      <c r="AV1520" s="82"/>
      <c r="AW1520" s="82" t="str">
        <f t="shared" si="1"/>
        <v/>
      </c>
      <c r="AX1520" s="83" t="str">
        <f t="array" ref="AX1520">IFERROR(DGET('SBV Import'!A:G,"SBV",{"RSC ID","Tier";B1520,A1520}))</f>
        <v/>
      </c>
      <c r="AY1520" s="82" t="str">
        <f t="shared" si="2"/>
        <v/>
      </c>
      <c r="AZ1520" s="82"/>
      <c r="BA1520" s="84" t="s">
        <v>152</v>
      </c>
      <c r="BB1520" s="84" t="str">
        <f>IFERROR(__xludf.DUMMYFUNCTION("iferror(if(A1520="""",,E1520&gt;=FILTER(Constants!$F$2:$F$10,Constants!$A$2:$A$10=A1520)))"),"")</f>
        <v/>
      </c>
    </row>
    <row r="1521">
      <c r="A1521" s="89"/>
      <c r="B1521" s="87"/>
      <c r="C1521" s="73"/>
      <c r="D1521" s="73"/>
      <c r="E1521" s="82"/>
      <c r="F1521" s="82"/>
      <c r="G1521" s="86"/>
      <c r="H1521" s="86"/>
      <c r="I1521" s="86"/>
      <c r="J1521" s="82"/>
      <c r="K1521" s="82"/>
      <c r="L1521" s="82"/>
      <c r="M1521" s="82"/>
      <c r="N1521" s="82"/>
      <c r="O1521" s="82"/>
      <c r="P1521" s="82"/>
      <c r="Q1521" s="82"/>
      <c r="R1521" s="82"/>
      <c r="S1521" s="82"/>
      <c r="T1521" s="82"/>
      <c r="U1521" s="82"/>
      <c r="V1521" s="82"/>
      <c r="W1521" s="82"/>
      <c r="X1521" s="82"/>
      <c r="Y1521" s="82"/>
      <c r="Z1521" s="82"/>
      <c r="AA1521" s="82"/>
      <c r="AB1521" s="82"/>
      <c r="AC1521" s="82"/>
      <c r="AD1521" s="82"/>
      <c r="AE1521" s="82"/>
      <c r="AF1521" s="82"/>
      <c r="AG1521" s="82"/>
      <c r="AH1521" s="82"/>
      <c r="AI1521" s="82"/>
      <c r="AJ1521" s="82"/>
      <c r="AK1521" s="82"/>
      <c r="AL1521" s="82"/>
      <c r="AM1521" s="82"/>
      <c r="AN1521" s="82"/>
      <c r="AO1521" s="82"/>
      <c r="AP1521" s="82"/>
      <c r="AQ1521" s="82"/>
      <c r="AR1521" s="82"/>
      <c r="AS1521" s="82"/>
      <c r="AT1521" s="82"/>
      <c r="AU1521" s="82"/>
      <c r="AV1521" s="82"/>
      <c r="AW1521" s="82" t="str">
        <f t="shared" si="1"/>
        <v/>
      </c>
      <c r="AX1521" s="83" t="str">
        <f t="array" ref="AX1521">IFERROR(DGET('SBV Import'!A:G,"SBV",{"RSC ID","Tier";B1521,A1521}))</f>
        <v/>
      </c>
      <c r="AY1521" s="82" t="str">
        <f t="shared" si="2"/>
        <v/>
      </c>
      <c r="AZ1521" s="82"/>
      <c r="BA1521" s="84" t="s">
        <v>152</v>
      </c>
      <c r="BB1521" s="84" t="str">
        <f>IFERROR(__xludf.DUMMYFUNCTION("iferror(if(A1521="""",,E1521&gt;=FILTER(Constants!$F$2:$F$10,Constants!$A$2:$A$10=A1521)))"),"")</f>
        <v/>
      </c>
    </row>
    <row r="1522">
      <c r="A1522" s="89"/>
      <c r="B1522" s="87"/>
      <c r="C1522" s="73"/>
      <c r="D1522" s="73"/>
      <c r="E1522" s="82"/>
      <c r="F1522" s="82"/>
      <c r="G1522" s="86"/>
      <c r="H1522" s="86"/>
      <c r="I1522" s="86"/>
      <c r="J1522" s="82"/>
      <c r="K1522" s="82"/>
      <c r="L1522" s="82"/>
      <c r="M1522" s="82"/>
      <c r="N1522" s="82"/>
      <c r="O1522" s="82"/>
      <c r="P1522" s="82"/>
      <c r="Q1522" s="82"/>
      <c r="R1522" s="82"/>
      <c r="S1522" s="82"/>
      <c r="T1522" s="82"/>
      <c r="U1522" s="82"/>
      <c r="V1522" s="82"/>
      <c r="W1522" s="82"/>
      <c r="X1522" s="82"/>
      <c r="Y1522" s="82"/>
      <c r="Z1522" s="82"/>
      <c r="AA1522" s="82"/>
      <c r="AB1522" s="82"/>
      <c r="AC1522" s="82"/>
      <c r="AD1522" s="82"/>
      <c r="AE1522" s="82"/>
      <c r="AF1522" s="82"/>
      <c r="AG1522" s="82"/>
      <c r="AH1522" s="82"/>
      <c r="AI1522" s="82"/>
      <c r="AJ1522" s="82"/>
      <c r="AK1522" s="82"/>
      <c r="AL1522" s="82"/>
      <c r="AM1522" s="82"/>
      <c r="AN1522" s="82"/>
      <c r="AO1522" s="82"/>
      <c r="AP1522" s="82"/>
      <c r="AQ1522" s="82"/>
      <c r="AR1522" s="82"/>
      <c r="AS1522" s="82"/>
      <c r="AT1522" s="82"/>
      <c r="AU1522" s="82"/>
      <c r="AV1522" s="82"/>
      <c r="AW1522" s="82" t="str">
        <f t="shared" si="1"/>
        <v/>
      </c>
      <c r="AX1522" s="83" t="str">
        <f t="array" ref="AX1522">IFERROR(DGET('SBV Import'!A:G,"SBV",{"RSC ID","Tier";B1522,A1522}))</f>
        <v/>
      </c>
      <c r="AY1522" s="82" t="str">
        <f t="shared" si="2"/>
        <v/>
      </c>
      <c r="AZ1522" s="82"/>
      <c r="BA1522" s="84" t="s">
        <v>152</v>
      </c>
      <c r="BB1522" s="84" t="str">
        <f>IFERROR(__xludf.DUMMYFUNCTION("iferror(if(A1522="""",,E1522&gt;=FILTER(Constants!$F$2:$F$10,Constants!$A$2:$A$10=A1522)))"),"")</f>
        <v/>
      </c>
    </row>
    <row r="1523">
      <c r="A1523" s="89"/>
      <c r="B1523" s="87"/>
      <c r="C1523" s="73"/>
      <c r="D1523" s="73"/>
      <c r="E1523" s="82"/>
      <c r="F1523" s="82"/>
      <c r="G1523" s="86"/>
      <c r="H1523" s="86"/>
      <c r="I1523" s="86"/>
      <c r="J1523" s="82"/>
      <c r="K1523" s="82"/>
      <c r="L1523" s="82"/>
      <c r="M1523" s="82"/>
      <c r="N1523" s="82"/>
      <c r="O1523" s="82"/>
      <c r="P1523" s="82"/>
      <c r="Q1523" s="82"/>
      <c r="R1523" s="82"/>
      <c r="S1523" s="82"/>
      <c r="T1523" s="82"/>
      <c r="U1523" s="82"/>
      <c r="V1523" s="82"/>
      <c r="W1523" s="82"/>
      <c r="X1523" s="82"/>
      <c r="Y1523" s="82"/>
      <c r="Z1523" s="82"/>
      <c r="AA1523" s="82"/>
      <c r="AB1523" s="82"/>
      <c r="AC1523" s="82"/>
      <c r="AD1523" s="82"/>
      <c r="AE1523" s="82"/>
      <c r="AF1523" s="82"/>
      <c r="AG1523" s="82"/>
      <c r="AH1523" s="82"/>
      <c r="AI1523" s="82"/>
      <c r="AJ1523" s="82"/>
      <c r="AK1523" s="82"/>
      <c r="AL1523" s="82"/>
      <c r="AM1523" s="82"/>
      <c r="AN1523" s="82"/>
      <c r="AO1523" s="82"/>
      <c r="AP1523" s="82"/>
      <c r="AQ1523" s="82"/>
      <c r="AR1523" s="82"/>
      <c r="AS1523" s="82"/>
      <c r="AT1523" s="82"/>
      <c r="AU1523" s="82"/>
      <c r="AV1523" s="82"/>
      <c r="AW1523" s="82" t="str">
        <f t="shared" si="1"/>
        <v/>
      </c>
      <c r="AX1523" s="83" t="str">
        <f t="array" ref="AX1523">IFERROR(DGET('SBV Import'!A:G,"SBV",{"RSC ID","Tier";B1523,A1523}))</f>
        <v/>
      </c>
      <c r="AY1523" s="82" t="str">
        <f t="shared" si="2"/>
        <v/>
      </c>
      <c r="AZ1523" s="82"/>
      <c r="BA1523" s="84" t="s">
        <v>152</v>
      </c>
      <c r="BB1523" s="84" t="str">
        <f>IFERROR(__xludf.DUMMYFUNCTION("iferror(if(A1523="""",,E1523&gt;=FILTER(Constants!$F$2:$F$10,Constants!$A$2:$A$10=A1523)))"),"")</f>
        <v/>
      </c>
    </row>
    <row r="1524">
      <c r="A1524" s="89"/>
      <c r="B1524" s="87"/>
      <c r="C1524" s="73"/>
      <c r="D1524" s="73"/>
      <c r="E1524" s="82"/>
      <c r="F1524" s="82"/>
      <c r="G1524" s="86"/>
      <c r="H1524" s="86"/>
      <c r="I1524" s="86"/>
      <c r="J1524" s="82"/>
      <c r="K1524" s="82"/>
      <c r="L1524" s="82"/>
      <c r="M1524" s="82"/>
      <c r="N1524" s="82"/>
      <c r="O1524" s="82"/>
      <c r="P1524" s="82"/>
      <c r="Q1524" s="82"/>
      <c r="R1524" s="82"/>
      <c r="S1524" s="82"/>
      <c r="T1524" s="82"/>
      <c r="U1524" s="82"/>
      <c r="V1524" s="82"/>
      <c r="W1524" s="82"/>
      <c r="X1524" s="82"/>
      <c r="Y1524" s="82"/>
      <c r="Z1524" s="82"/>
      <c r="AA1524" s="82"/>
      <c r="AB1524" s="82"/>
      <c r="AC1524" s="82"/>
      <c r="AD1524" s="82"/>
      <c r="AE1524" s="82"/>
      <c r="AF1524" s="82"/>
      <c r="AG1524" s="82"/>
      <c r="AH1524" s="82"/>
      <c r="AI1524" s="82"/>
      <c r="AJ1524" s="82"/>
      <c r="AK1524" s="82"/>
      <c r="AL1524" s="82"/>
      <c r="AM1524" s="82"/>
      <c r="AN1524" s="82"/>
      <c r="AO1524" s="82"/>
      <c r="AP1524" s="82"/>
      <c r="AQ1524" s="82"/>
      <c r="AR1524" s="82"/>
      <c r="AS1524" s="82"/>
      <c r="AT1524" s="82"/>
      <c r="AU1524" s="82"/>
      <c r="AV1524" s="82"/>
      <c r="AW1524" s="82" t="str">
        <f t="shared" si="1"/>
        <v/>
      </c>
      <c r="AX1524" s="83" t="str">
        <f t="array" ref="AX1524">IFERROR(DGET('SBV Import'!A:G,"SBV",{"RSC ID","Tier";B1524,A1524}))</f>
        <v/>
      </c>
      <c r="AY1524" s="82" t="str">
        <f t="shared" si="2"/>
        <v/>
      </c>
      <c r="AZ1524" s="82"/>
      <c r="BA1524" s="84" t="s">
        <v>152</v>
      </c>
      <c r="BB1524" s="84" t="str">
        <f>IFERROR(__xludf.DUMMYFUNCTION("iferror(if(A1524="""",,E1524&gt;=FILTER(Constants!$F$2:$F$10,Constants!$A$2:$A$10=A1524)))"),"")</f>
        <v/>
      </c>
    </row>
    <row r="1525">
      <c r="A1525" s="89"/>
      <c r="B1525" s="87"/>
      <c r="C1525" s="73"/>
      <c r="D1525" s="73"/>
      <c r="E1525" s="82"/>
      <c r="F1525" s="82"/>
      <c r="G1525" s="86"/>
      <c r="H1525" s="86"/>
      <c r="I1525" s="86"/>
      <c r="J1525" s="82"/>
      <c r="K1525" s="82"/>
      <c r="L1525" s="82"/>
      <c r="M1525" s="82"/>
      <c r="N1525" s="82"/>
      <c r="O1525" s="82"/>
      <c r="P1525" s="82"/>
      <c r="Q1525" s="82"/>
      <c r="R1525" s="82"/>
      <c r="S1525" s="82"/>
      <c r="T1525" s="82"/>
      <c r="U1525" s="82"/>
      <c r="V1525" s="82"/>
      <c r="W1525" s="82"/>
      <c r="X1525" s="82"/>
      <c r="Y1525" s="82"/>
      <c r="Z1525" s="82"/>
      <c r="AA1525" s="82"/>
      <c r="AB1525" s="82"/>
      <c r="AC1525" s="82"/>
      <c r="AD1525" s="82"/>
      <c r="AE1525" s="82"/>
      <c r="AF1525" s="82"/>
      <c r="AG1525" s="82"/>
      <c r="AH1525" s="82"/>
      <c r="AI1525" s="82"/>
      <c r="AJ1525" s="82"/>
      <c r="AK1525" s="82"/>
      <c r="AL1525" s="82"/>
      <c r="AM1525" s="82"/>
      <c r="AN1525" s="82"/>
      <c r="AO1525" s="82"/>
      <c r="AP1525" s="82"/>
      <c r="AQ1525" s="82"/>
      <c r="AR1525" s="82"/>
      <c r="AS1525" s="82"/>
      <c r="AT1525" s="82"/>
      <c r="AU1525" s="82"/>
      <c r="AV1525" s="82"/>
      <c r="AW1525" s="82" t="str">
        <f t="shared" si="1"/>
        <v/>
      </c>
      <c r="AX1525" s="83" t="str">
        <f t="array" ref="AX1525">IFERROR(DGET('SBV Import'!A:G,"SBV",{"RSC ID","Tier";B1525,A1525}))</f>
        <v/>
      </c>
      <c r="AY1525" s="82" t="str">
        <f t="shared" si="2"/>
        <v/>
      </c>
      <c r="AZ1525" s="82"/>
      <c r="BA1525" s="84" t="s">
        <v>152</v>
      </c>
      <c r="BB1525" s="84" t="str">
        <f>IFERROR(__xludf.DUMMYFUNCTION("iferror(if(A1525="""",,E1525&gt;=FILTER(Constants!$F$2:$F$10,Constants!$A$2:$A$10=A1525)))"),"")</f>
        <v/>
      </c>
    </row>
    <row r="1526">
      <c r="A1526" s="89"/>
      <c r="B1526" s="87"/>
      <c r="C1526" s="73"/>
      <c r="D1526" s="73"/>
      <c r="E1526" s="82"/>
      <c r="F1526" s="82"/>
      <c r="G1526" s="86"/>
      <c r="H1526" s="86"/>
      <c r="I1526" s="86"/>
      <c r="J1526" s="82"/>
      <c r="K1526" s="82"/>
      <c r="L1526" s="82"/>
      <c r="M1526" s="82"/>
      <c r="N1526" s="82"/>
      <c r="O1526" s="82"/>
      <c r="P1526" s="82"/>
      <c r="Q1526" s="82"/>
      <c r="R1526" s="82"/>
      <c r="S1526" s="82"/>
      <c r="T1526" s="82"/>
      <c r="U1526" s="82"/>
      <c r="V1526" s="82"/>
      <c r="W1526" s="82"/>
      <c r="X1526" s="82"/>
      <c r="Y1526" s="82"/>
      <c r="Z1526" s="82"/>
      <c r="AA1526" s="82"/>
      <c r="AB1526" s="82"/>
      <c r="AC1526" s="82"/>
      <c r="AD1526" s="82"/>
      <c r="AE1526" s="82"/>
      <c r="AF1526" s="82"/>
      <c r="AG1526" s="82"/>
      <c r="AH1526" s="82"/>
      <c r="AI1526" s="82"/>
      <c r="AJ1526" s="82"/>
      <c r="AK1526" s="82"/>
      <c r="AL1526" s="82"/>
      <c r="AM1526" s="82"/>
      <c r="AN1526" s="82"/>
      <c r="AO1526" s="82"/>
      <c r="AP1526" s="82"/>
      <c r="AQ1526" s="82"/>
      <c r="AR1526" s="82"/>
      <c r="AS1526" s="82"/>
      <c r="AT1526" s="82"/>
      <c r="AU1526" s="82"/>
      <c r="AV1526" s="82"/>
      <c r="AW1526" s="82" t="str">
        <f t="shared" si="1"/>
        <v/>
      </c>
      <c r="AX1526" s="83" t="str">
        <f t="array" ref="AX1526">IFERROR(DGET('SBV Import'!A:G,"SBV",{"RSC ID","Tier";B1526,A1526}))</f>
        <v/>
      </c>
      <c r="AY1526" s="82" t="str">
        <f t="shared" si="2"/>
        <v/>
      </c>
      <c r="AZ1526" s="82"/>
      <c r="BA1526" s="84" t="s">
        <v>152</v>
      </c>
      <c r="BB1526" s="84" t="str">
        <f>IFERROR(__xludf.DUMMYFUNCTION("iferror(if(A1526="""",,E1526&gt;=FILTER(Constants!$F$2:$F$10,Constants!$A$2:$A$10=A1526)))"),"")</f>
        <v/>
      </c>
    </row>
    <row r="1527">
      <c r="A1527" s="89"/>
      <c r="B1527" s="87"/>
      <c r="C1527" s="73"/>
      <c r="D1527" s="73"/>
      <c r="E1527" s="82"/>
      <c r="F1527" s="82"/>
      <c r="G1527" s="86"/>
      <c r="H1527" s="86"/>
      <c r="I1527" s="86"/>
      <c r="J1527" s="82"/>
      <c r="K1527" s="82"/>
      <c r="L1527" s="82"/>
      <c r="M1527" s="82"/>
      <c r="N1527" s="82"/>
      <c r="O1527" s="82"/>
      <c r="P1527" s="82"/>
      <c r="Q1527" s="82"/>
      <c r="R1527" s="82"/>
      <c r="S1527" s="82"/>
      <c r="T1527" s="82"/>
      <c r="U1527" s="82"/>
      <c r="V1527" s="82"/>
      <c r="W1527" s="82"/>
      <c r="X1527" s="82"/>
      <c r="Y1527" s="82"/>
      <c r="Z1527" s="82"/>
      <c r="AA1527" s="82"/>
      <c r="AB1527" s="82"/>
      <c r="AC1527" s="82"/>
      <c r="AD1527" s="82"/>
      <c r="AE1527" s="82"/>
      <c r="AF1527" s="82"/>
      <c r="AG1527" s="82"/>
      <c r="AH1527" s="82"/>
      <c r="AI1527" s="82"/>
      <c r="AJ1527" s="82"/>
      <c r="AK1527" s="82"/>
      <c r="AL1527" s="82"/>
      <c r="AM1527" s="82"/>
      <c r="AN1527" s="82"/>
      <c r="AO1527" s="82"/>
      <c r="AP1527" s="82"/>
      <c r="AQ1527" s="82"/>
      <c r="AR1527" s="82"/>
      <c r="AS1527" s="82"/>
      <c r="AT1527" s="82"/>
      <c r="AU1527" s="82"/>
      <c r="AV1527" s="82"/>
      <c r="AW1527" s="82" t="str">
        <f t="shared" si="1"/>
        <v/>
      </c>
      <c r="AX1527" s="83" t="str">
        <f t="array" ref="AX1527">IFERROR(DGET('SBV Import'!A:G,"SBV",{"RSC ID","Tier";B1527,A1527}))</f>
        <v/>
      </c>
      <c r="AY1527" s="82" t="str">
        <f t="shared" si="2"/>
        <v/>
      </c>
      <c r="AZ1527" s="82"/>
      <c r="BA1527" s="84" t="s">
        <v>152</v>
      </c>
      <c r="BB1527" s="84" t="str">
        <f>IFERROR(__xludf.DUMMYFUNCTION("iferror(if(A1527="""",,E1527&gt;=FILTER(Constants!$F$2:$F$10,Constants!$A$2:$A$10=A1527)))"),"")</f>
        <v/>
      </c>
    </row>
    <row r="1528">
      <c r="A1528" s="89"/>
      <c r="B1528" s="87"/>
      <c r="C1528" s="73"/>
      <c r="D1528" s="73"/>
      <c r="E1528" s="82"/>
      <c r="F1528" s="82"/>
      <c r="G1528" s="86"/>
      <c r="H1528" s="86"/>
      <c r="I1528" s="86"/>
      <c r="J1528" s="82"/>
      <c r="K1528" s="82"/>
      <c r="L1528" s="82"/>
      <c r="M1528" s="82"/>
      <c r="N1528" s="82"/>
      <c r="O1528" s="82"/>
      <c r="P1528" s="82"/>
      <c r="Q1528" s="82"/>
      <c r="R1528" s="82"/>
      <c r="S1528" s="82"/>
      <c r="T1528" s="82"/>
      <c r="U1528" s="82"/>
      <c r="V1528" s="82"/>
      <c r="W1528" s="82"/>
      <c r="X1528" s="82"/>
      <c r="Y1528" s="82"/>
      <c r="Z1528" s="82"/>
      <c r="AA1528" s="82"/>
      <c r="AB1528" s="82"/>
      <c r="AC1528" s="82"/>
      <c r="AD1528" s="82"/>
      <c r="AE1528" s="82"/>
      <c r="AF1528" s="82"/>
      <c r="AG1528" s="82"/>
      <c r="AH1528" s="82"/>
      <c r="AI1528" s="82"/>
      <c r="AJ1528" s="82"/>
      <c r="AK1528" s="82"/>
      <c r="AL1528" s="82"/>
      <c r="AM1528" s="82"/>
      <c r="AN1528" s="82"/>
      <c r="AO1528" s="82"/>
      <c r="AP1528" s="82"/>
      <c r="AQ1528" s="82"/>
      <c r="AR1528" s="82"/>
      <c r="AS1528" s="82"/>
      <c r="AT1528" s="82"/>
      <c r="AU1528" s="82"/>
      <c r="AV1528" s="82"/>
      <c r="AW1528" s="82" t="str">
        <f t="shared" si="1"/>
        <v/>
      </c>
      <c r="AX1528" s="83" t="str">
        <f t="array" ref="AX1528">IFERROR(DGET('SBV Import'!A:G,"SBV",{"RSC ID","Tier";B1528,A1528}))</f>
        <v/>
      </c>
      <c r="AY1528" s="82" t="str">
        <f t="shared" si="2"/>
        <v/>
      </c>
      <c r="AZ1528" s="82"/>
      <c r="BA1528" s="84" t="s">
        <v>152</v>
      </c>
      <c r="BB1528" s="84" t="str">
        <f>IFERROR(__xludf.DUMMYFUNCTION("iferror(if(A1528="""",,E1528&gt;=FILTER(Constants!$F$2:$F$10,Constants!$A$2:$A$10=A1528)))"),"")</f>
        <v/>
      </c>
    </row>
    <row r="1529">
      <c r="A1529" s="89"/>
      <c r="B1529" s="87"/>
      <c r="C1529" s="73"/>
      <c r="D1529" s="73"/>
      <c r="E1529" s="82"/>
      <c r="F1529" s="82"/>
      <c r="G1529" s="86"/>
      <c r="H1529" s="86"/>
      <c r="I1529" s="86"/>
      <c r="J1529" s="82"/>
      <c r="K1529" s="82"/>
      <c r="L1529" s="82"/>
      <c r="M1529" s="82"/>
      <c r="N1529" s="82"/>
      <c r="O1529" s="82"/>
      <c r="P1529" s="82"/>
      <c r="Q1529" s="82"/>
      <c r="R1529" s="82"/>
      <c r="S1529" s="82"/>
      <c r="T1529" s="82"/>
      <c r="U1529" s="82"/>
      <c r="V1529" s="82"/>
      <c r="W1529" s="82"/>
      <c r="X1529" s="82"/>
      <c r="Y1529" s="82"/>
      <c r="Z1529" s="82"/>
      <c r="AA1529" s="82"/>
      <c r="AB1529" s="82"/>
      <c r="AC1529" s="82"/>
      <c r="AD1529" s="82"/>
      <c r="AE1529" s="82"/>
      <c r="AF1529" s="82"/>
      <c r="AG1529" s="82"/>
      <c r="AH1529" s="82"/>
      <c r="AI1529" s="82"/>
      <c r="AJ1529" s="82"/>
      <c r="AK1529" s="82"/>
      <c r="AL1529" s="82"/>
      <c r="AM1529" s="82"/>
      <c r="AN1529" s="82"/>
      <c r="AO1529" s="82"/>
      <c r="AP1529" s="82"/>
      <c r="AQ1529" s="82"/>
      <c r="AR1529" s="82"/>
      <c r="AS1529" s="82"/>
      <c r="AT1529" s="82"/>
      <c r="AU1529" s="82"/>
      <c r="AV1529" s="82"/>
      <c r="AW1529" s="82" t="str">
        <f t="shared" si="1"/>
        <v/>
      </c>
      <c r="AX1529" s="83" t="str">
        <f t="array" ref="AX1529">IFERROR(DGET('SBV Import'!A:G,"SBV",{"RSC ID","Tier";B1529,A1529}))</f>
        <v/>
      </c>
      <c r="AY1529" s="82" t="str">
        <f t="shared" si="2"/>
        <v/>
      </c>
      <c r="AZ1529" s="82"/>
      <c r="BA1529" s="84" t="s">
        <v>152</v>
      </c>
      <c r="BB1529" s="84" t="str">
        <f>IFERROR(__xludf.DUMMYFUNCTION("iferror(if(A1529="""",,E1529&gt;=FILTER(Constants!$F$2:$F$10,Constants!$A$2:$A$10=A1529)))"),"")</f>
        <v/>
      </c>
    </row>
    <row r="1530">
      <c r="A1530" s="89"/>
      <c r="B1530" s="87"/>
      <c r="C1530" s="73"/>
      <c r="D1530" s="73"/>
      <c r="E1530" s="82"/>
      <c r="F1530" s="82"/>
      <c r="G1530" s="86"/>
      <c r="H1530" s="86"/>
      <c r="I1530" s="86"/>
      <c r="J1530" s="82"/>
      <c r="K1530" s="82"/>
      <c r="L1530" s="82"/>
      <c r="M1530" s="82"/>
      <c r="N1530" s="82"/>
      <c r="O1530" s="82"/>
      <c r="P1530" s="82"/>
      <c r="Q1530" s="82"/>
      <c r="R1530" s="82"/>
      <c r="S1530" s="82"/>
      <c r="T1530" s="82"/>
      <c r="U1530" s="82"/>
      <c r="V1530" s="82"/>
      <c r="W1530" s="82"/>
      <c r="X1530" s="82"/>
      <c r="Y1530" s="82"/>
      <c r="Z1530" s="82"/>
      <c r="AA1530" s="82"/>
      <c r="AB1530" s="82"/>
      <c r="AC1530" s="82"/>
      <c r="AD1530" s="82"/>
      <c r="AE1530" s="82"/>
      <c r="AF1530" s="82"/>
      <c r="AG1530" s="82"/>
      <c r="AH1530" s="82"/>
      <c r="AI1530" s="82"/>
      <c r="AJ1530" s="82"/>
      <c r="AK1530" s="82"/>
      <c r="AL1530" s="82"/>
      <c r="AM1530" s="82"/>
      <c r="AN1530" s="82"/>
      <c r="AO1530" s="82"/>
      <c r="AP1530" s="82"/>
      <c r="AQ1530" s="82"/>
      <c r="AR1530" s="82"/>
      <c r="AS1530" s="82"/>
      <c r="AT1530" s="82"/>
      <c r="AU1530" s="82"/>
      <c r="AV1530" s="82"/>
      <c r="AW1530" s="82" t="str">
        <f t="shared" si="1"/>
        <v/>
      </c>
      <c r="AX1530" s="83" t="str">
        <f t="array" ref="AX1530">IFERROR(DGET('SBV Import'!A:G,"SBV",{"RSC ID","Tier";B1530,A1530}))</f>
        <v/>
      </c>
      <c r="AY1530" s="82" t="str">
        <f t="shared" si="2"/>
        <v/>
      </c>
      <c r="AZ1530" s="82"/>
      <c r="BA1530" s="84" t="s">
        <v>152</v>
      </c>
      <c r="BB1530" s="84" t="str">
        <f>IFERROR(__xludf.DUMMYFUNCTION("iferror(if(A1530="""",,E1530&gt;=FILTER(Constants!$F$2:$F$10,Constants!$A$2:$A$10=A1530)))"),"")</f>
        <v/>
      </c>
    </row>
    <row r="1531">
      <c r="A1531" s="89"/>
      <c r="B1531" s="87"/>
      <c r="C1531" s="73"/>
      <c r="D1531" s="73"/>
      <c r="E1531" s="82"/>
      <c r="F1531" s="82"/>
      <c r="G1531" s="86"/>
      <c r="H1531" s="86"/>
      <c r="I1531" s="86"/>
      <c r="J1531" s="82"/>
      <c r="K1531" s="82"/>
      <c r="L1531" s="82"/>
      <c r="M1531" s="82"/>
      <c r="N1531" s="82"/>
      <c r="O1531" s="82"/>
      <c r="P1531" s="82"/>
      <c r="Q1531" s="82"/>
      <c r="R1531" s="82"/>
      <c r="S1531" s="82"/>
      <c r="T1531" s="82"/>
      <c r="U1531" s="82"/>
      <c r="V1531" s="82"/>
      <c r="W1531" s="82"/>
      <c r="X1531" s="82"/>
      <c r="Y1531" s="82"/>
      <c r="Z1531" s="82"/>
      <c r="AA1531" s="82"/>
      <c r="AB1531" s="82"/>
      <c r="AC1531" s="82"/>
      <c r="AD1531" s="82"/>
      <c r="AE1531" s="82"/>
      <c r="AF1531" s="82"/>
      <c r="AG1531" s="82"/>
      <c r="AH1531" s="82"/>
      <c r="AI1531" s="82"/>
      <c r="AJ1531" s="82"/>
      <c r="AK1531" s="82"/>
      <c r="AL1531" s="82"/>
      <c r="AM1531" s="82"/>
      <c r="AN1531" s="82"/>
      <c r="AO1531" s="82"/>
      <c r="AP1531" s="82"/>
      <c r="AQ1531" s="82"/>
      <c r="AR1531" s="82"/>
      <c r="AS1531" s="82"/>
      <c r="AT1531" s="82"/>
      <c r="AU1531" s="82"/>
      <c r="AV1531" s="82"/>
      <c r="AW1531" s="82" t="str">
        <f t="shared" si="1"/>
        <v/>
      </c>
      <c r="AX1531" s="83" t="str">
        <f t="array" ref="AX1531">IFERROR(DGET('SBV Import'!A:G,"SBV",{"RSC ID","Tier";B1531,A1531}))</f>
        <v/>
      </c>
      <c r="AY1531" s="82" t="str">
        <f t="shared" si="2"/>
        <v/>
      </c>
      <c r="AZ1531" s="82"/>
      <c r="BA1531" s="84" t="s">
        <v>152</v>
      </c>
      <c r="BB1531" s="84" t="str">
        <f>IFERROR(__xludf.DUMMYFUNCTION("iferror(if(A1531="""",,E1531&gt;=FILTER(Constants!$F$2:$F$10,Constants!$A$2:$A$10=A1531)))"),"")</f>
        <v/>
      </c>
    </row>
    <row r="1532">
      <c r="A1532" s="89"/>
      <c r="B1532" s="87"/>
      <c r="C1532" s="73"/>
      <c r="D1532" s="73"/>
      <c r="E1532" s="82"/>
      <c r="F1532" s="82"/>
      <c r="G1532" s="86"/>
      <c r="H1532" s="86"/>
      <c r="I1532" s="86"/>
      <c r="J1532" s="82"/>
      <c r="K1532" s="82"/>
      <c r="L1532" s="82"/>
      <c r="M1532" s="82"/>
      <c r="N1532" s="82"/>
      <c r="O1532" s="82"/>
      <c r="P1532" s="82"/>
      <c r="Q1532" s="82"/>
      <c r="R1532" s="82"/>
      <c r="S1532" s="82"/>
      <c r="T1532" s="82"/>
      <c r="U1532" s="82"/>
      <c r="V1532" s="82"/>
      <c r="W1532" s="82"/>
      <c r="X1532" s="82"/>
      <c r="Y1532" s="82"/>
      <c r="Z1532" s="82"/>
      <c r="AA1532" s="82"/>
      <c r="AB1532" s="82"/>
      <c r="AC1532" s="82"/>
      <c r="AD1532" s="82"/>
      <c r="AE1532" s="82"/>
      <c r="AF1532" s="82"/>
      <c r="AG1532" s="82"/>
      <c r="AH1532" s="82"/>
      <c r="AI1532" s="82"/>
      <c r="AJ1532" s="82"/>
      <c r="AK1532" s="82"/>
      <c r="AL1532" s="82"/>
      <c r="AM1532" s="82"/>
      <c r="AN1532" s="82"/>
      <c r="AO1532" s="82"/>
      <c r="AP1532" s="82"/>
      <c r="AQ1532" s="82"/>
      <c r="AR1532" s="82"/>
      <c r="AS1532" s="82"/>
      <c r="AT1532" s="82"/>
      <c r="AU1532" s="82"/>
      <c r="AV1532" s="82"/>
      <c r="AW1532" s="82" t="str">
        <f t="shared" si="1"/>
        <v/>
      </c>
      <c r="AX1532" s="83" t="str">
        <f t="array" ref="AX1532">IFERROR(DGET('SBV Import'!A:G,"SBV",{"RSC ID","Tier";B1532,A1532}))</f>
        <v/>
      </c>
      <c r="AY1532" s="82" t="str">
        <f t="shared" si="2"/>
        <v/>
      </c>
      <c r="AZ1532" s="82"/>
      <c r="BA1532" s="84" t="s">
        <v>152</v>
      </c>
      <c r="BB1532" s="84" t="str">
        <f>IFERROR(__xludf.DUMMYFUNCTION("iferror(if(A1532="""",,E1532&gt;=FILTER(Constants!$F$2:$F$10,Constants!$A$2:$A$10=A1532)))"),"")</f>
        <v/>
      </c>
    </row>
    <row r="1533">
      <c r="A1533" s="89"/>
      <c r="B1533" s="87"/>
      <c r="C1533" s="73"/>
      <c r="D1533" s="73"/>
      <c r="E1533" s="82"/>
      <c r="F1533" s="82"/>
      <c r="G1533" s="86"/>
      <c r="H1533" s="86"/>
      <c r="I1533" s="86"/>
      <c r="J1533" s="82"/>
      <c r="K1533" s="82"/>
      <c r="L1533" s="82"/>
      <c r="M1533" s="82"/>
      <c r="N1533" s="82"/>
      <c r="O1533" s="82"/>
      <c r="P1533" s="82"/>
      <c r="Q1533" s="82"/>
      <c r="R1533" s="82"/>
      <c r="S1533" s="82"/>
      <c r="T1533" s="82"/>
      <c r="U1533" s="82"/>
      <c r="V1533" s="82"/>
      <c r="W1533" s="82"/>
      <c r="X1533" s="82"/>
      <c r="Y1533" s="82"/>
      <c r="Z1533" s="82"/>
      <c r="AA1533" s="82"/>
      <c r="AB1533" s="82"/>
      <c r="AC1533" s="82"/>
      <c r="AD1533" s="82"/>
      <c r="AE1533" s="82"/>
      <c r="AF1533" s="82"/>
      <c r="AG1533" s="82"/>
      <c r="AH1533" s="82"/>
      <c r="AI1533" s="82"/>
      <c r="AJ1533" s="82"/>
      <c r="AK1533" s="82"/>
      <c r="AL1533" s="82"/>
      <c r="AM1533" s="82"/>
      <c r="AN1533" s="82"/>
      <c r="AO1533" s="82"/>
      <c r="AP1533" s="82"/>
      <c r="AQ1533" s="82"/>
      <c r="AR1533" s="82"/>
      <c r="AS1533" s="82"/>
      <c r="AT1533" s="82"/>
      <c r="AU1533" s="82"/>
      <c r="AV1533" s="82"/>
      <c r="AW1533" s="82" t="str">
        <f t="shared" si="1"/>
        <v/>
      </c>
      <c r="AX1533" s="83" t="str">
        <f t="array" ref="AX1533">IFERROR(DGET('SBV Import'!A:G,"SBV",{"RSC ID","Tier";B1533,A1533}))</f>
        <v/>
      </c>
      <c r="AY1533" s="82" t="str">
        <f t="shared" si="2"/>
        <v/>
      </c>
      <c r="AZ1533" s="82"/>
      <c r="BA1533" s="84" t="s">
        <v>152</v>
      </c>
      <c r="BB1533" s="84" t="str">
        <f>IFERROR(__xludf.DUMMYFUNCTION("iferror(if(A1533="""",,E1533&gt;=FILTER(Constants!$F$2:$F$10,Constants!$A$2:$A$10=A1533)))"),"")</f>
        <v/>
      </c>
    </row>
    <row r="1534">
      <c r="A1534" s="89"/>
      <c r="B1534" s="87"/>
      <c r="C1534" s="73"/>
      <c r="D1534" s="73"/>
      <c r="E1534" s="82"/>
      <c r="F1534" s="82"/>
      <c r="G1534" s="86"/>
      <c r="H1534" s="86"/>
      <c r="I1534" s="86"/>
      <c r="J1534" s="82"/>
      <c r="K1534" s="82"/>
      <c r="L1534" s="82"/>
      <c r="M1534" s="82"/>
      <c r="N1534" s="82"/>
      <c r="O1534" s="82"/>
      <c r="P1534" s="82"/>
      <c r="Q1534" s="82"/>
      <c r="R1534" s="82"/>
      <c r="S1534" s="82"/>
      <c r="T1534" s="82"/>
      <c r="U1534" s="82"/>
      <c r="V1534" s="82"/>
      <c r="W1534" s="82"/>
      <c r="X1534" s="82"/>
      <c r="Y1534" s="82"/>
      <c r="Z1534" s="82"/>
      <c r="AA1534" s="82"/>
      <c r="AB1534" s="82"/>
      <c r="AC1534" s="82"/>
      <c r="AD1534" s="82"/>
      <c r="AE1534" s="82"/>
      <c r="AF1534" s="82"/>
      <c r="AG1534" s="82"/>
      <c r="AH1534" s="82"/>
      <c r="AI1534" s="82"/>
      <c r="AJ1534" s="82"/>
      <c r="AK1534" s="82"/>
      <c r="AL1534" s="82"/>
      <c r="AM1534" s="82"/>
      <c r="AN1534" s="82"/>
      <c r="AO1534" s="82"/>
      <c r="AP1534" s="82"/>
      <c r="AQ1534" s="82"/>
      <c r="AR1534" s="82"/>
      <c r="AS1534" s="82"/>
      <c r="AT1534" s="82"/>
      <c r="AU1534" s="82"/>
      <c r="AV1534" s="82"/>
      <c r="AW1534" s="82" t="str">
        <f t="shared" si="1"/>
        <v/>
      </c>
      <c r="AX1534" s="83" t="str">
        <f t="array" ref="AX1534">IFERROR(DGET('SBV Import'!A:G,"SBV",{"RSC ID","Tier";B1534,A1534}))</f>
        <v/>
      </c>
      <c r="AY1534" s="82" t="str">
        <f t="shared" si="2"/>
        <v/>
      </c>
      <c r="AZ1534" s="82"/>
      <c r="BA1534" s="84" t="s">
        <v>152</v>
      </c>
      <c r="BB1534" s="84" t="str">
        <f>IFERROR(__xludf.DUMMYFUNCTION("iferror(if(A1534="""",,E1534&gt;=FILTER(Constants!$F$2:$F$10,Constants!$A$2:$A$10=A1534)))"),"")</f>
        <v/>
      </c>
    </row>
    <row r="1535">
      <c r="A1535" s="89"/>
      <c r="B1535" s="87"/>
      <c r="C1535" s="73"/>
      <c r="D1535" s="73"/>
      <c r="E1535" s="82"/>
      <c r="F1535" s="82"/>
      <c r="G1535" s="86"/>
      <c r="H1535" s="86"/>
      <c r="I1535" s="86"/>
      <c r="J1535" s="82"/>
      <c r="K1535" s="82"/>
      <c r="L1535" s="82"/>
      <c r="M1535" s="82"/>
      <c r="N1535" s="82"/>
      <c r="O1535" s="82"/>
      <c r="P1535" s="82"/>
      <c r="Q1535" s="82"/>
      <c r="R1535" s="82"/>
      <c r="S1535" s="82"/>
      <c r="T1535" s="82"/>
      <c r="U1535" s="82"/>
      <c r="V1535" s="82"/>
      <c r="W1535" s="82"/>
      <c r="X1535" s="82"/>
      <c r="Y1535" s="82"/>
      <c r="Z1535" s="82"/>
      <c r="AA1535" s="82"/>
      <c r="AB1535" s="82"/>
      <c r="AC1535" s="82"/>
      <c r="AD1535" s="82"/>
      <c r="AE1535" s="82"/>
      <c r="AF1535" s="82"/>
      <c r="AG1535" s="82"/>
      <c r="AH1535" s="82"/>
      <c r="AI1535" s="82"/>
      <c r="AJ1535" s="82"/>
      <c r="AK1535" s="82"/>
      <c r="AL1535" s="82"/>
      <c r="AM1535" s="82"/>
      <c r="AN1535" s="82"/>
      <c r="AO1535" s="82"/>
      <c r="AP1535" s="82"/>
      <c r="AQ1535" s="82"/>
      <c r="AR1535" s="82"/>
      <c r="AS1535" s="82"/>
      <c r="AT1535" s="82"/>
      <c r="AU1535" s="82"/>
      <c r="AV1535" s="82"/>
      <c r="AW1535" s="82" t="str">
        <f t="shared" si="1"/>
        <v/>
      </c>
      <c r="AX1535" s="83" t="str">
        <f t="array" ref="AX1535">IFERROR(DGET('SBV Import'!A:G,"SBV",{"RSC ID","Tier";B1535,A1535}))</f>
        <v/>
      </c>
      <c r="AY1535" s="82" t="str">
        <f t="shared" si="2"/>
        <v/>
      </c>
      <c r="AZ1535" s="82"/>
      <c r="BA1535" s="84" t="s">
        <v>152</v>
      </c>
      <c r="BB1535" s="84" t="str">
        <f>IFERROR(__xludf.DUMMYFUNCTION("iferror(if(A1535="""",,E1535&gt;=FILTER(Constants!$F$2:$F$10,Constants!$A$2:$A$10=A1535)))"),"")</f>
        <v/>
      </c>
    </row>
    <row r="1536">
      <c r="A1536" s="89"/>
      <c r="B1536" s="87"/>
      <c r="C1536" s="73"/>
      <c r="D1536" s="73"/>
      <c r="E1536" s="82"/>
      <c r="F1536" s="82"/>
      <c r="G1536" s="86"/>
      <c r="H1536" s="86"/>
      <c r="I1536" s="86"/>
      <c r="J1536" s="82"/>
      <c r="K1536" s="82"/>
      <c r="L1536" s="82"/>
      <c r="M1536" s="82"/>
      <c r="N1536" s="82"/>
      <c r="O1536" s="82"/>
      <c r="P1536" s="82"/>
      <c r="Q1536" s="82"/>
      <c r="R1536" s="82"/>
      <c r="S1536" s="82"/>
      <c r="T1536" s="82"/>
      <c r="U1536" s="82"/>
      <c r="V1536" s="82"/>
      <c r="W1536" s="82"/>
      <c r="X1536" s="82"/>
      <c r="Y1536" s="82"/>
      <c r="Z1536" s="82"/>
      <c r="AA1536" s="82"/>
      <c r="AB1536" s="82"/>
      <c r="AC1536" s="82"/>
      <c r="AD1536" s="82"/>
      <c r="AE1536" s="82"/>
      <c r="AF1536" s="82"/>
      <c r="AG1536" s="82"/>
      <c r="AH1536" s="82"/>
      <c r="AI1536" s="82"/>
      <c r="AJ1536" s="82"/>
      <c r="AK1536" s="82"/>
      <c r="AL1536" s="82"/>
      <c r="AM1536" s="82"/>
      <c r="AN1536" s="82"/>
      <c r="AO1536" s="82"/>
      <c r="AP1536" s="82"/>
      <c r="AQ1536" s="82"/>
      <c r="AR1536" s="82"/>
      <c r="AS1536" s="82"/>
      <c r="AT1536" s="82"/>
      <c r="AU1536" s="82"/>
      <c r="AV1536" s="82"/>
      <c r="AW1536" s="82" t="str">
        <f t="shared" si="1"/>
        <v/>
      </c>
      <c r="AX1536" s="83" t="str">
        <f t="array" ref="AX1536">IFERROR(DGET('SBV Import'!A:G,"SBV",{"RSC ID","Tier";B1536,A1536}))</f>
        <v/>
      </c>
      <c r="AY1536" s="82" t="str">
        <f t="shared" si="2"/>
        <v/>
      </c>
      <c r="AZ1536" s="82"/>
      <c r="BA1536" s="84" t="s">
        <v>152</v>
      </c>
      <c r="BB1536" s="84" t="str">
        <f>IFERROR(__xludf.DUMMYFUNCTION("iferror(if(A1536="""",,E1536&gt;=FILTER(Constants!$F$2:$F$10,Constants!$A$2:$A$10=A1536)))"),"")</f>
        <v/>
      </c>
    </row>
    <row r="1537">
      <c r="A1537" s="89"/>
      <c r="B1537" s="87"/>
      <c r="C1537" s="73"/>
      <c r="D1537" s="73"/>
      <c r="E1537" s="82"/>
      <c r="F1537" s="82"/>
      <c r="G1537" s="86"/>
      <c r="H1537" s="86"/>
      <c r="I1537" s="86"/>
      <c r="J1537" s="82"/>
      <c r="K1537" s="82"/>
      <c r="L1537" s="82"/>
      <c r="M1537" s="82"/>
      <c r="N1537" s="82"/>
      <c r="O1537" s="82"/>
      <c r="P1537" s="82"/>
      <c r="Q1537" s="82"/>
      <c r="R1537" s="82"/>
      <c r="S1537" s="82"/>
      <c r="T1537" s="82"/>
      <c r="U1537" s="82"/>
      <c r="V1537" s="82"/>
      <c r="W1537" s="82"/>
      <c r="X1537" s="82"/>
      <c r="Y1537" s="82"/>
      <c r="Z1537" s="82"/>
      <c r="AA1537" s="82"/>
      <c r="AB1537" s="82"/>
      <c r="AC1537" s="82"/>
      <c r="AD1537" s="82"/>
      <c r="AE1537" s="82"/>
      <c r="AF1537" s="82"/>
      <c r="AG1537" s="82"/>
      <c r="AH1537" s="82"/>
      <c r="AI1537" s="82"/>
      <c r="AJ1537" s="82"/>
      <c r="AK1537" s="82"/>
      <c r="AL1537" s="82"/>
      <c r="AM1537" s="82"/>
      <c r="AN1537" s="82"/>
      <c r="AO1537" s="82"/>
      <c r="AP1537" s="82"/>
      <c r="AQ1537" s="82"/>
      <c r="AR1537" s="82"/>
      <c r="AS1537" s="82"/>
      <c r="AT1537" s="82"/>
      <c r="AU1537" s="82"/>
      <c r="AV1537" s="82"/>
      <c r="AW1537" s="82" t="str">
        <f t="shared" si="1"/>
        <v/>
      </c>
      <c r="AX1537" s="83" t="str">
        <f t="array" ref="AX1537">IFERROR(DGET('SBV Import'!A:G,"SBV",{"RSC ID","Tier";B1537,A1537}))</f>
        <v/>
      </c>
      <c r="AY1537" s="82" t="str">
        <f t="shared" si="2"/>
        <v/>
      </c>
      <c r="AZ1537" s="82"/>
      <c r="BA1537" s="84" t="s">
        <v>152</v>
      </c>
      <c r="BB1537" s="84" t="str">
        <f>IFERROR(__xludf.DUMMYFUNCTION("iferror(if(A1537="""",,E1537&gt;=FILTER(Constants!$F$2:$F$10,Constants!$A$2:$A$10=A1537)))"),"")</f>
        <v/>
      </c>
    </row>
    <row r="1538">
      <c r="A1538" s="89"/>
      <c r="B1538" s="87"/>
      <c r="C1538" s="73"/>
      <c r="D1538" s="73"/>
      <c r="E1538" s="82"/>
      <c r="F1538" s="82"/>
      <c r="G1538" s="86"/>
      <c r="H1538" s="86"/>
      <c r="I1538" s="86"/>
      <c r="J1538" s="82"/>
      <c r="K1538" s="82"/>
      <c r="L1538" s="82"/>
      <c r="M1538" s="82"/>
      <c r="N1538" s="82"/>
      <c r="O1538" s="82"/>
      <c r="P1538" s="82"/>
      <c r="Q1538" s="82"/>
      <c r="R1538" s="82"/>
      <c r="S1538" s="82"/>
      <c r="T1538" s="82"/>
      <c r="U1538" s="82"/>
      <c r="V1538" s="82"/>
      <c r="W1538" s="82"/>
      <c r="X1538" s="82"/>
      <c r="Y1538" s="82"/>
      <c r="Z1538" s="82"/>
      <c r="AA1538" s="82"/>
      <c r="AB1538" s="82"/>
      <c r="AC1538" s="82"/>
      <c r="AD1538" s="82"/>
      <c r="AE1538" s="82"/>
      <c r="AF1538" s="82"/>
      <c r="AG1538" s="82"/>
      <c r="AH1538" s="82"/>
      <c r="AI1538" s="82"/>
      <c r="AJ1538" s="82"/>
      <c r="AK1538" s="82"/>
      <c r="AL1538" s="82"/>
      <c r="AM1538" s="82"/>
      <c r="AN1538" s="82"/>
      <c r="AO1538" s="82"/>
      <c r="AP1538" s="82"/>
      <c r="AQ1538" s="82"/>
      <c r="AR1538" s="82"/>
      <c r="AS1538" s="82"/>
      <c r="AT1538" s="82"/>
      <c r="AU1538" s="82"/>
      <c r="AV1538" s="82"/>
      <c r="AW1538" s="82" t="str">
        <f t="shared" si="1"/>
        <v/>
      </c>
      <c r="AX1538" s="83" t="str">
        <f t="array" ref="AX1538">IFERROR(DGET('SBV Import'!A:G,"SBV",{"RSC ID","Tier";B1538,A1538}))</f>
        <v/>
      </c>
      <c r="AY1538" s="82" t="str">
        <f t="shared" si="2"/>
        <v/>
      </c>
      <c r="AZ1538" s="82"/>
      <c r="BA1538" s="84" t="s">
        <v>152</v>
      </c>
      <c r="BB1538" s="84" t="str">
        <f>IFERROR(__xludf.DUMMYFUNCTION("iferror(if(A1538="""",,E1538&gt;=FILTER(Constants!$F$2:$F$10,Constants!$A$2:$A$10=A1538)))"),"")</f>
        <v/>
      </c>
    </row>
    <row r="1539">
      <c r="A1539" s="89"/>
      <c r="B1539" s="87"/>
      <c r="C1539" s="73"/>
      <c r="D1539" s="73"/>
      <c r="E1539" s="82"/>
      <c r="F1539" s="82"/>
      <c r="G1539" s="86"/>
      <c r="H1539" s="86"/>
      <c r="I1539" s="86"/>
      <c r="J1539" s="82"/>
      <c r="K1539" s="82"/>
      <c r="L1539" s="82"/>
      <c r="M1539" s="82"/>
      <c r="N1539" s="82"/>
      <c r="O1539" s="82"/>
      <c r="P1539" s="82"/>
      <c r="Q1539" s="82"/>
      <c r="R1539" s="82"/>
      <c r="S1539" s="82"/>
      <c r="T1539" s="82"/>
      <c r="U1539" s="82"/>
      <c r="V1539" s="82"/>
      <c r="W1539" s="82"/>
      <c r="X1539" s="82"/>
      <c r="Y1539" s="82"/>
      <c r="Z1539" s="82"/>
      <c r="AA1539" s="82"/>
      <c r="AB1539" s="82"/>
      <c r="AC1539" s="82"/>
      <c r="AD1539" s="82"/>
      <c r="AE1539" s="82"/>
      <c r="AF1539" s="82"/>
      <c r="AG1539" s="82"/>
      <c r="AH1539" s="82"/>
      <c r="AI1539" s="82"/>
      <c r="AJ1539" s="82"/>
      <c r="AK1539" s="82"/>
      <c r="AL1539" s="82"/>
      <c r="AM1539" s="82"/>
      <c r="AN1539" s="82"/>
      <c r="AO1539" s="82"/>
      <c r="AP1539" s="82"/>
      <c r="AQ1539" s="82"/>
      <c r="AR1539" s="82"/>
      <c r="AS1539" s="82"/>
      <c r="AT1539" s="82"/>
      <c r="AU1539" s="82"/>
      <c r="AV1539" s="82"/>
      <c r="AW1539" s="82" t="str">
        <f t="shared" si="1"/>
        <v/>
      </c>
      <c r="AX1539" s="83" t="str">
        <f t="array" ref="AX1539">IFERROR(DGET('SBV Import'!A:G,"SBV",{"RSC ID","Tier";B1539,A1539}))</f>
        <v/>
      </c>
      <c r="AY1539" s="82" t="str">
        <f t="shared" si="2"/>
        <v/>
      </c>
      <c r="AZ1539" s="82"/>
      <c r="BA1539" s="84" t="s">
        <v>152</v>
      </c>
      <c r="BB1539" s="84" t="str">
        <f>IFERROR(__xludf.DUMMYFUNCTION("iferror(if(A1539="""",,E1539&gt;=FILTER(Constants!$F$2:$F$10,Constants!$A$2:$A$10=A1539)))"),"")</f>
        <v/>
      </c>
    </row>
    <row r="1540">
      <c r="A1540" s="89"/>
      <c r="B1540" s="87"/>
      <c r="C1540" s="73"/>
      <c r="D1540" s="73"/>
      <c r="E1540" s="82"/>
      <c r="F1540" s="82"/>
      <c r="G1540" s="86"/>
      <c r="H1540" s="86"/>
      <c r="I1540" s="86"/>
      <c r="J1540" s="82"/>
      <c r="K1540" s="82"/>
      <c r="L1540" s="82"/>
      <c r="M1540" s="82"/>
      <c r="N1540" s="82"/>
      <c r="O1540" s="82"/>
      <c r="P1540" s="82"/>
      <c r="Q1540" s="82"/>
      <c r="R1540" s="82"/>
      <c r="S1540" s="82"/>
      <c r="T1540" s="82"/>
      <c r="U1540" s="82"/>
      <c r="V1540" s="82"/>
      <c r="W1540" s="82"/>
      <c r="X1540" s="82"/>
      <c r="Y1540" s="82"/>
      <c r="Z1540" s="82"/>
      <c r="AA1540" s="82"/>
      <c r="AB1540" s="82"/>
      <c r="AC1540" s="82"/>
      <c r="AD1540" s="82"/>
      <c r="AE1540" s="82"/>
      <c r="AF1540" s="82"/>
      <c r="AG1540" s="82"/>
      <c r="AH1540" s="82"/>
      <c r="AI1540" s="82"/>
      <c r="AJ1540" s="82"/>
      <c r="AK1540" s="82"/>
      <c r="AL1540" s="82"/>
      <c r="AM1540" s="82"/>
      <c r="AN1540" s="82"/>
      <c r="AO1540" s="82"/>
      <c r="AP1540" s="82"/>
      <c r="AQ1540" s="82"/>
      <c r="AR1540" s="82"/>
      <c r="AS1540" s="82"/>
      <c r="AT1540" s="82"/>
      <c r="AU1540" s="82"/>
      <c r="AV1540" s="82"/>
      <c r="AW1540" s="82" t="str">
        <f t="shared" si="1"/>
        <v/>
      </c>
      <c r="AX1540" s="83" t="str">
        <f t="array" ref="AX1540">IFERROR(DGET('SBV Import'!A:G,"SBV",{"RSC ID","Tier";B1540,A1540}))</f>
        <v/>
      </c>
      <c r="AY1540" s="82" t="str">
        <f t="shared" si="2"/>
        <v/>
      </c>
      <c r="AZ1540" s="82"/>
      <c r="BA1540" s="84" t="s">
        <v>152</v>
      </c>
      <c r="BB1540" s="84" t="str">
        <f>IFERROR(__xludf.DUMMYFUNCTION("iferror(if(A1540="""",,E1540&gt;=FILTER(Constants!$F$2:$F$10,Constants!$A$2:$A$10=A1540)))"),"")</f>
        <v/>
      </c>
    </row>
    <row r="1541">
      <c r="A1541" s="89"/>
      <c r="B1541" s="87"/>
      <c r="C1541" s="73"/>
      <c r="D1541" s="73"/>
      <c r="E1541" s="82"/>
      <c r="F1541" s="82"/>
      <c r="G1541" s="86"/>
      <c r="H1541" s="86"/>
      <c r="I1541" s="86"/>
      <c r="J1541" s="82"/>
      <c r="K1541" s="82"/>
      <c r="L1541" s="82"/>
      <c r="M1541" s="82"/>
      <c r="N1541" s="82"/>
      <c r="O1541" s="82"/>
      <c r="P1541" s="82"/>
      <c r="Q1541" s="82"/>
      <c r="R1541" s="82"/>
      <c r="S1541" s="82"/>
      <c r="T1541" s="82"/>
      <c r="U1541" s="82"/>
      <c r="V1541" s="82"/>
      <c r="W1541" s="82"/>
      <c r="X1541" s="82"/>
      <c r="Y1541" s="82"/>
      <c r="Z1541" s="82"/>
      <c r="AA1541" s="82"/>
      <c r="AB1541" s="82"/>
      <c r="AC1541" s="82"/>
      <c r="AD1541" s="82"/>
      <c r="AE1541" s="82"/>
      <c r="AF1541" s="82"/>
      <c r="AG1541" s="82"/>
      <c r="AH1541" s="82"/>
      <c r="AI1541" s="82"/>
      <c r="AJ1541" s="82"/>
      <c r="AK1541" s="82"/>
      <c r="AL1541" s="82"/>
      <c r="AM1541" s="82"/>
      <c r="AN1541" s="82"/>
      <c r="AO1541" s="82"/>
      <c r="AP1541" s="82"/>
      <c r="AQ1541" s="82"/>
      <c r="AR1541" s="82"/>
      <c r="AS1541" s="82"/>
      <c r="AT1541" s="82"/>
      <c r="AU1541" s="82"/>
      <c r="AV1541" s="82"/>
      <c r="AW1541" s="82" t="str">
        <f t="shared" si="1"/>
        <v/>
      </c>
      <c r="AX1541" s="83" t="str">
        <f t="array" ref="AX1541">IFERROR(DGET('SBV Import'!A:G,"SBV",{"RSC ID","Tier";B1541,A1541}))</f>
        <v/>
      </c>
      <c r="AY1541" s="82" t="str">
        <f t="shared" si="2"/>
        <v/>
      </c>
      <c r="AZ1541" s="82"/>
      <c r="BA1541" s="84" t="s">
        <v>152</v>
      </c>
      <c r="BB1541" s="84" t="str">
        <f>IFERROR(__xludf.DUMMYFUNCTION("iferror(if(A1541="""",,E1541&gt;=FILTER(Constants!$F$2:$F$10,Constants!$A$2:$A$10=A1541)))"),"")</f>
        <v/>
      </c>
    </row>
    <row r="1542">
      <c r="A1542" s="89"/>
      <c r="B1542" s="87"/>
      <c r="C1542" s="73"/>
      <c r="D1542" s="73"/>
      <c r="E1542" s="82"/>
      <c r="F1542" s="82"/>
      <c r="G1542" s="86"/>
      <c r="H1542" s="86"/>
      <c r="I1542" s="86"/>
      <c r="J1542" s="82"/>
      <c r="K1542" s="82"/>
      <c r="L1542" s="82"/>
      <c r="M1542" s="82"/>
      <c r="N1542" s="82"/>
      <c r="O1542" s="82"/>
      <c r="P1542" s="82"/>
      <c r="Q1542" s="82"/>
      <c r="R1542" s="82"/>
      <c r="S1542" s="82"/>
      <c r="T1542" s="82"/>
      <c r="U1542" s="82"/>
      <c r="V1542" s="82"/>
      <c r="W1542" s="82"/>
      <c r="X1542" s="82"/>
      <c r="Y1542" s="82"/>
      <c r="Z1542" s="82"/>
      <c r="AA1542" s="82"/>
      <c r="AB1542" s="82"/>
      <c r="AC1542" s="82"/>
      <c r="AD1542" s="82"/>
      <c r="AE1542" s="82"/>
      <c r="AF1542" s="82"/>
      <c r="AG1542" s="82"/>
      <c r="AH1542" s="82"/>
      <c r="AI1542" s="82"/>
      <c r="AJ1542" s="82"/>
      <c r="AK1542" s="82"/>
      <c r="AL1542" s="82"/>
      <c r="AM1542" s="82"/>
      <c r="AN1542" s="82"/>
      <c r="AO1542" s="82"/>
      <c r="AP1542" s="82"/>
      <c r="AQ1542" s="82"/>
      <c r="AR1542" s="82"/>
      <c r="AS1542" s="82"/>
      <c r="AT1542" s="82"/>
      <c r="AU1542" s="82"/>
      <c r="AV1542" s="82"/>
      <c r="AW1542" s="82" t="str">
        <f t="shared" si="1"/>
        <v/>
      </c>
      <c r="AX1542" s="83" t="str">
        <f t="array" ref="AX1542">IFERROR(DGET('SBV Import'!A:G,"SBV",{"RSC ID","Tier";B1542,A1542}))</f>
        <v/>
      </c>
      <c r="AY1542" s="82" t="str">
        <f t="shared" si="2"/>
        <v/>
      </c>
      <c r="AZ1542" s="82"/>
      <c r="BA1542" s="84" t="s">
        <v>152</v>
      </c>
      <c r="BB1542" s="84" t="str">
        <f>IFERROR(__xludf.DUMMYFUNCTION("iferror(if(A1542="""",,E1542&gt;=FILTER(Constants!$F$2:$F$10,Constants!$A$2:$A$10=A1542)))"),"")</f>
        <v/>
      </c>
    </row>
    <row r="1543">
      <c r="A1543" s="89"/>
      <c r="B1543" s="87"/>
      <c r="C1543" s="73"/>
      <c r="D1543" s="73"/>
      <c r="E1543" s="82"/>
      <c r="F1543" s="82"/>
      <c r="G1543" s="86"/>
      <c r="H1543" s="86"/>
      <c r="I1543" s="86"/>
      <c r="J1543" s="82"/>
      <c r="K1543" s="82"/>
      <c r="L1543" s="82"/>
      <c r="M1543" s="82"/>
      <c r="N1543" s="82"/>
      <c r="O1543" s="82"/>
      <c r="P1543" s="82"/>
      <c r="Q1543" s="82"/>
      <c r="R1543" s="82"/>
      <c r="S1543" s="82"/>
      <c r="T1543" s="82"/>
      <c r="U1543" s="82"/>
      <c r="V1543" s="82"/>
      <c r="W1543" s="82"/>
      <c r="X1543" s="82"/>
      <c r="Y1543" s="82"/>
      <c r="Z1543" s="82"/>
      <c r="AA1543" s="82"/>
      <c r="AB1543" s="82"/>
      <c r="AC1543" s="82"/>
      <c r="AD1543" s="82"/>
      <c r="AE1543" s="82"/>
      <c r="AF1543" s="82"/>
      <c r="AG1543" s="82"/>
      <c r="AH1543" s="82"/>
      <c r="AI1543" s="82"/>
      <c r="AJ1543" s="82"/>
      <c r="AK1543" s="82"/>
      <c r="AL1543" s="82"/>
      <c r="AM1543" s="82"/>
      <c r="AN1543" s="82"/>
      <c r="AO1543" s="82"/>
      <c r="AP1543" s="82"/>
      <c r="AQ1543" s="82"/>
      <c r="AR1543" s="82"/>
      <c r="AS1543" s="82"/>
      <c r="AT1543" s="82"/>
      <c r="AU1543" s="82"/>
      <c r="AV1543" s="82"/>
      <c r="AW1543" s="82" t="str">
        <f t="shared" si="1"/>
        <v/>
      </c>
      <c r="AX1543" s="83" t="str">
        <f t="array" ref="AX1543">IFERROR(DGET('SBV Import'!A:G,"SBV",{"RSC ID","Tier";B1543,A1543}))</f>
        <v/>
      </c>
      <c r="AY1543" s="82" t="str">
        <f t="shared" si="2"/>
        <v/>
      </c>
      <c r="AZ1543" s="82"/>
      <c r="BA1543" s="84" t="s">
        <v>152</v>
      </c>
      <c r="BB1543" s="84" t="str">
        <f>IFERROR(__xludf.DUMMYFUNCTION("iferror(if(A1543="""",,E1543&gt;=FILTER(Constants!$F$2:$F$10,Constants!$A$2:$A$10=A1543)))"),"")</f>
        <v/>
      </c>
    </row>
    <row r="1544">
      <c r="A1544" s="89"/>
      <c r="B1544" s="87"/>
      <c r="C1544" s="73"/>
      <c r="D1544" s="73"/>
      <c r="E1544" s="82"/>
      <c r="F1544" s="82"/>
      <c r="G1544" s="86"/>
      <c r="H1544" s="86"/>
      <c r="I1544" s="86"/>
      <c r="J1544" s="82"/>
      <c r="K1544" s="82"/>
      <c r="L1544" s="82"/>
      <c r="M1544" s="82"/>
      <c r="N1544" s="82"/>
      <c r="O1544" s="82"/>
      <c r="P1544" s="82"/>
      <c r="Q1544" s="82"/>
      <c r="R1544" s="82"/>
      <c r="S1544" s="82"/>
      <c r="T1544" s="82"/>
      <c r="U1544" s="82"/>
      <c r="V1544" s="82"/>
      <c r="W1544" s="82"/>
      <c r="X1544" s="82"/>
      <c r="Y1544" s="82"/>
      <c r="Z1544" s="82"/>
      <c r="AA1544" s="82"/>
      <c r="AB1544" s="82"/>
      <c r="AC1544" s="82"/>
      <c r="AD1544" s="82"/>
      <c r="AE1544" s="82"/>
      <c r="AF1544" s="82"/>
      <c r="AG1544" s="82"/>
      <c r="AH1544" s="82"/>
      <c r="AI1544" s="82"/>
      <c r="AJ1544" s="82"/>
      <c r="AK1544" s="82"/>
      <c r="AL1544" s="82"/>
      <c r="AM1544" s="82"/>
      <c r="AN1544" s="82"/>
      <c r="AO1544" s="82"/>
      <c r="AP1544" s="82"/>
      <c r="AQ1544" s="82"/>
      <c r="AR1544" s="82"/>
      <c r="AS1544" s="82"/>
      <c r="AT1544" s="82"/>
      <c r="AU1544" s="82"/>
      <c r="AV1544" s="82"/>
      <c r="AW1544" s="82" t="str">
        <f t="shared" si="1"/>
        <v/>
      </c>
      <c r="AX1544" s="83" t="str">
        <f t="array" ref="AX1544">IFERROR(DGET('SBV Import'!A:G,"SBV",{"RSC ID","Tier";B1544,A1544}))</f>
        <v/>
      </c>
      <c r="AY1544" s="82" t="str">
        <f t="shared" si="2"/>
        <v/>
      </c>
      <c r="AZ1544" s="82"/>
      <c r="BA1544" s="84" t="s">
        <v>152</v>
      </c>
      <c r="BB1544" s="84" t="str">
        <f>IFERROR(__xludf.DUMMYFUNCTION("iferror(if(A1544="""",,E1544&gt;=FILTER(Constants!$F$2:$F$10,Constants!$A$2:$A$10=A1544)))"),"")</f>
        <v/>
      </c>
    </row>
    <row r="1545">
      <c r="A1545" s="89"/>
      <c r="B1545" s="87"/>
      <c r="C1545" s="73"/>
      <c r="D1545" s="73"/>
      <c r="E1545" s="82"/>
      <c r="F1545" s="82"/>
      <c r="G1545" s="86"/>
      <c r="H1545" s="86"/>
      <c r="I1545" s="86"/>
      <c r="J1545" s="82"/>
      <c r="K1545" s="82"/>
      <c r="L1545" s="82"/>
      <c r="M1545" s="82"/>
      <c r="N1545" s="82"/>
      <c r="O1545" s="82"/>
      <c r="P1545" s="82"/>
      <c r="Q1545" s="82"/>
      <c r="R1545" s="82"/>
      <c r="S1545" s="82"/>
      <c r="T1545" s="82"/>
      <c r="U1545" s="82"/>
      <c r="V1545" s="82"/>
      <c r="W1545" s="82"/>
      <c r="X1545" s="82"/>
      <c r="Y1545" s="82"/>
      <c r="Z1545" s="82"/>
      <c r="AA1545" s="82"/>
      <c r="AB1545" s="82"/>
      <c r="AC1545" s="82"/>
      <c r="AD1545" s="82"/>
      <c r="AE1545" s="82"/>
      <c r="AF1545" s="82"/>
      <c r="AG1545" s="82"/>
      <c r="AH1545" s="82"/>
      <c r="AI1545" s="82"/>
      <c r="AJ1545" s="82"/>
      <c r="AK1545" s="82"/>
      <c r="AL1545" s="82"/>
      <c r="AM1545" s="82"/>
      <c r="AN1545" s="82"/>
      <c r="AO1545" s="82"/>
      <c r="AP1545" s="82"/>
      <c r="AQ1545" s="82"/>
      <c r="AR1545" s="82"/>
      <c r="AS1545" s="82"/>
      <c r="AT1545" s="82"/>
      <c r="AU1545" s="82"/>
      <c r="AV1545" s="82"/>
      <c r="AW1545" s="82" t="str">
        <f t="shared" si="1"/>
        <v/>
      </c>
      <c r="AX1545" s="83" t="str">
        <f t="array" ref="AX1545">IFERROR(DGET('SBV Import'!A:G,"SBV",{"RSC ID","Tier";B1545,A1545}))</f>
        <v/>
      </c>
      <c r="AY1545" s="82" t="str">
        <f t="shared" si="2"/>
        <v/>
      </c>
      <c r="AZ1545" s="82"/>
      <c r="BA1545" s="84" t="s">
        <v>152</v>
      </c>
      <c r="BB1545" s="84" t="str">
        <f>IFERROR(__xludf.DUMMYFUNCTION("iferror(if(A1545="""",,E1545&gt;=FILTER(Constants!$F$2:$F$10,Constants!$A$2:$A$10=A1545)))"),"")</f>
        <v/>
      </c>
    </row>
    <row r="1546">
      <c r="A1546" s="89"/>
      <c r="B1546" s="87"/>
      <c r="C1546" s="73"/>
      <c r="D1546" s="73"/>
      <c r="E1546" s="82"/>
      <c r="F1546" s="82"/>
      <c r="G1546" s="86"/>
      <c r="H1546" s="86"/>
      <c r="I1546" s="86"/>
      <c r="J1546" s="82"/>
      <c r="K1546" s="82"/>
      <c r="L1546" s="82"/>
      <c r="M1546" s="82"/>
      <c r="N1546" s="82"/>
      <c r="O1546" s="82"/>
      <c r="P1546" s="82"/>
      <c r="Q1546" s="82"/>
      <c r="R1546" s="82"/>
      <c r="S1546" s="82"/>
      <c r="T1546" s="82"/>
      <c r="U1546" s="82"/>
      <c r="V1546" s="82"/>
      <c r="W1546" s="82"/>
      <c r="X1546" s="82"/>
      <c r="Y1546" s="82"/>
      <c r="Z1546" s="82"/>
      <c r="AA1546" s="82"/>
      <c r="AB1546" s="82"/>
      <c r="AC1546" s="82"/>
      <c r="AD1546" s="82"/>
      <c r="AE1546" s="82"/>
      <c r="AF1546" s="82"/>
      <c r="AG1546" s="82"/>
      <c r="AH1546" s="82"/>
      <c r="AI1546" s="82"/>
      <c r="AJ1546" s="82"/>
      <c r="AK1546" s="82"/>
      <c r="AL1546" s="82"/>
      <c r="AM1546" s="82"/>
      <c r="AN1546" s="82"/>
      <c r="AO1546" s="82"/>
      <c r="AP1546" s="82"/>
      <c r="AQ1546" s="82"/>
      <c r="AR1546" s="82"/>
      <c r="AS1546" s="82"/>
      <c r="AT1546" s="82"/>
      <c r="AU1546" s="82"/>
      <c r="AV1546" s="82"/>
      <c r="AW1546" s="82" t="str">
        <f t="shared" si="1"/>
        <v/>
      </c>
      <c r="AX1546" s="83" t="str">
        <f t="array" ref="AX1546">IFERROR(DGET('SBV Import'!A:G,"SBV",{"RSC ID","Tier";B1546,A1546}))</f>
        <v/>
      </c>
      <c r="AY1546" s="82" t="str">
        <f t="shared" si="2"/>
        <v/>
      </c>
      <c r="AZ1546" s="82"/>
      <c r="BA1546" s="84" t="s">
        <v>152</v>
      </c>
      <c r="BB1546" s="84" t="str">
        <f>IFERROR(__xludf.DUMMYFUNCTION("iferror(if(A1546="""",,E1546&gt;=FILTER(Constants!$F$2:$F$10,Constants!$A$2:$A$10=A1546)))"),"")</f>
        <v/>
      </c>
    </row>
    <row r="1547">
      <c r="A1547" s="89"/>
      <c r="B1547" s="87"/>
      <c r="C1547" s="73"/>
      <c r="D1547" s="73"/>
      <c r="E1547" s="82"/>
      <c r="F1547" s="82"/>
      <c r="G1547" s="86"/>
      <c r="H1547" s="86"/>
      <c r="I1547" s="86"/>
      <c r="J1547" s="82"/>
      <c r="K1547" s="82"/>
      <c r="L1547" s="82"/>
      <c r="M1547" s="82"/>
      <c r="N1547" s="82"/>
      <c r="O1547" s="82"/>
      <c r="P1547" s="82"/>
      <c r="Q1547" s="82"/>
      <c r="R1547" s="82"/>
      <c r="S1547" s="82"/>
      <c r="T1547" s="82"/>
      <c r="U1547" s="82"/>
      <c r="V1547" s="82"/>
      <c r="W1547" s="82"/>
      <c r="X1547" s="82"/>
      <c r="Y1547" s="82"/>
      <c r="Z1547" s="82"/>
      <c r="AA1547" s="82"/>
      <c r="AB1547" s="82"/>
      <c r="AC1547" s="82"/>
      <c r="AD1547" s="82"/>
      <c r="AE1547" s="82"/>
      <c r="AF1547" s="82"/>
      <c r="AG1547" s="82"/>
      <c r="AH1547" s="82"/>
      <c r="AI1547" s="82"/>
      <c r="AJ1547" s="82"/>
      <c r="AK1547" s="82"/>
      <c r="AL1547" s="82"/>
      <c r="AM1547" s="82"/>
      <c r="AN1547" s="82"/>
      <c r="AO1547" s="82"/>
      <c r="AP1547" s="82"/>
      <c r="AQ1547" s="82"/>
      <c r="AR1547" s="82"/>
      <c r="AS1547" s="82"/>
      <c r="AT1547" s="82"/>
      <c r="AU1547" s="82"/>
      <c r="AV1547" s="82"/>
      <c r="AW1547" s="82" t="str">
        <f t="shared" si="1"/>
        <v/>
      </c>
      <c r="AX1547" s="83" t="str">
        <f t="array" ref="AX1547">IFERROR(DGET('SBV Import'!A:G,"SBV",{"RSC ID","Tier";B1547,A1547}))</f>
        <v/>
      </c>
      <c r="AY1547" s="82" t="str">
        <f t="shared" si="2"/>
        <v/>
      </c>
      <c r="AZ1547" s="82"/>
      <c r="BA1547" s="84" t="s">
        <v>152</v>
      </c>
      <c r="BB1547" s="84" t="str">
        <f>IFERROR(__xludf.DUMMYFUNCTION("iferror(if(A1547="""",,E1547&gt;=FILTER(Constants!$F$2:$F$10,Constants!$A$2:$A$10=A1547)))"),"")</f>
        <v/>
      </c>
    </row>
    <row r="1548">
      <c r="A1548" s="89"/>
      <c r="B1548" s="87"/>
      <c r="C1548" s="73"/>
      <c r="D1548" s="73"/>
      <c r="E1548" s="82"/>
      <c r="F1548" s="82"/>
      <c r="G1548" s="86"/>
      <c r="H1548" s="86"/>
      <c r="I1548" s="86"/>
      <c r="J1548" s="82"/>
      <c r="K1548" s="82"/>
      <c r="L1548" s="82"/>
      <c r="M1548" s="82"/>
      <c r="N1548" s="82"/>
      <c r="O1548" s="82"/>
      <c r="P1548" s="82"/>
      <c r="Q1548" s="82"/>
      <c r="R1548" s="82"/>
      <c r="S1548" s="82"/>
      <c r="T1548" s="82"/>
      <c r="U1548" s="82"/>
      <c r="V1548" s="82"/>
      <c r="W1548" s="82"/>
      <c r="X1548" s="82"/>
      <c r="Y1548" s="82"/>
      <c r="Z1548" s="82"/>
      <c r="AA1548" s="82"/>
      <c r="AB1548" s="82"/>
      <c r="AC1548" s="82"/>
      <c r="AD1548" s="82"/>
      <c r="AE1548" s="82"/>
      <c r="AF1548" s="82"/>
      <c r="AG1548" s="82"/>
      <c r="AH1548" s="82"/>
      <c r="AI1548" s="82"/>
      <c r="AJ1548" s="82"/>
      <c r="AK1548" s="82"/>
      <c r="AL1548" s="82"/>
      <c r="AM1548" s="82"/>
      <c r="AN1548" s="82"/>
      <c r="AO1548" s="82"/>
      <c r="AP1548" s="82"/>
      <c r="AQ1548" s="82"/>
      <c r="AR1548" s="82"/>
      <c r="AS1548" s="82"/>
      <c r="AT1548" s="82"/>
      <c r="AU1548" s="82"/>
      <c r="AV1548" s="82"/>
      <c r="AW1548" s="82" t="str">
        <f t="shared" si="1"/>
        <v/>
      </c>
      <c r="AX1548" s="83" t="str">
        <f t="array" ref="AX1548">IFERROR(DGET('SBV Import'!A:G,"SBV",{"RSC ID","Tier";B1548,A1548}))</f>
        <v/>
      </c>
      <c r="AY1548" s="82" t="str">
        <f t="shared" si="2"/>
        <v/>
      </c>
      <c r="AZ1548" s="82"/>
      <c r="BA1548" s="84" t="s">
        <v>152</v>
      </c>
      <c r="BB1548" s="84" t="str">
        <f>IFERROR(__xludf.DUMMYFUNCTION("iferror(if(A1548="""",,E1548&gt;=FILTER(Constants!$F$2:$F$10,Constants!$A$2:$A$10=A1548)))"),"")</f>
        <v/>
      </c>
    </row>
    <row r="1549">
      <c r="A1549" s="89"/>
      <c r="B1549" s="87"/>
      <c r="C1549" s="73"/>
      <c r="D1549" s="73"/>
      <c r="E1549" s="82"/>
      <c r="F1549" s="82"/>
      <c r="G1549" s="86"/>
      <c r="H1549" s="86"/>
      <c r="I1549" s="86"/>
      <c r="J1549" s="82"/>
      <c r="K1549" s="82"/>
      <c r="L1549" s="82"/>
      <c r="M1549" s="82"/>
      <c r="N1549" s="82"/>
      <c r="O1549" s="82"/>
      <c r="P1549" s="82"/>
      <c r="Q1549" s="82"/>
      <c r="R1549" s="82"/>
      <c r="S1549" s="82"/>
      <c r="T1549" s="82"/>
      <c r="U1549" s="82"/>
      <c r="V1549" s="82"/>
      <c r="W1549" s="82"/>
      <c r="X1549" s="82"/>
      <c r="Y1549" s="82"/>
      <c r="Z1549" s="82"/>
      <c r="AA1549" s="82"/>
      <c r="AB1549" s="82"/>
      <c r="AC1549" s="82"/>
      <c r="AD1549" s="82"/>
      <c r="AE1549" s="82"/>
      <c r="AF1549" s="82"/>
      <c r="AG1549" s="82"/>
      <c r="AH1549" s="82"/>
      <c r="AI1549" s="82"/>
      <c r="AJ1549" s="82"/>
      <c r="AK1549" s="82"/>
      <c r="AL1549" s="82"/>
      <c r="AM1549" s="82"/>
      <c r="AN1549" s="82"/>
      <c r="AO1549" s="82"/>
      <c r="AP1549" s="82"/>
      <c r="AQ1549" s="82"/>
      <c r="AR1549" s="82"/>
      <c r="AS1549" s="82"/>
      <c r="AT1549" s="82"/>
      <c r="AU1549" s="82"/>
      <c r="AV1549" s="82"/>
      <c r="AW1549" s="82" t="str">
        <f t="shared" si="1"/>
        <v/>
      </c>
      <c r="AX1549" s="83" t="str">
        <f t="array" ref="AX1549">IFERROR(DGET('SBV Import'!A:G,"SBV",{"RSC ID","Tier";B1549,A1549}))</f>
        <v/>
      </c>
      <c r="AY1549" s="82" t="str">
        <f t="shared" si="2"/>
        <v/>
      </c>
      <c r="AZ1549" s="82"/>
      <c r="BA1549" s="84" t="s">
        <v>152</v>
      </c>
      <c r="BB1549" s="84" t="str">
        <f>IFERROR(__xludf.DUMMYFUNCTION("iferror(if(A1549="""",,E1549&gt;=FILTER(Constants!$F$2:$F$10,Constants!$A$2:$A$10=A1549)))"),"")</f>
        <v/>
      </c>
    </row>
    <row r="1550">
      <c r="A1550" s="89"/>
      <c r="B1550" s="87"/>
      <c r="C1550" s="73"/>
      <c r="D1550" s="73"/>
      <c r="E1550" s="82"/>
      <c r="F1550" s="82"/>
      <c r="G1550" s="86"/>
      <c r="H1550" s="86"/>
      <c r="I1550" s="86"/>
      <c r="J1550" s="82"/>
      <c r="K1550" s="82"/>
      <c r="L1550" s="82"/>
      <c r="M1550" s="82"/>
      <c r="N1550" s="82"/>
      <c r="O1550" s="82"/>
      <c r="P1550" s="82"/>
      <c r="Q1550" s="82"/>
      <c r="R1550" s="82"/>
      <c r="S1550" s="82"/>
      <c r="T1550" s="82"/>
      <c r="U1550" s="82"/>
      <c r="V1550" s="82"/>
      <c r="W1550" s="82"/>
      <c r="X1550" s="82"/>
      <c r="Y1550" s="82"/>
      <c r="Z1550" s="82"/>
      <c r="AA1550" s="82"/>
      <c r="AB1550" s="82"/>
      <c r="AC1550" s="82"/>
      <c r="AD1550" s="82"/>
      <c r="AE1550" s="82"/>
      <c r="AF1550" s="82"/>
      <c r="AG1550" s="82"/>
      <c r="AH1550" s="82"/>
      <c r="AI1550" s="82"/>
      <c r="AJ1550" s="82"/>
      <c r="AK1550" s="82"/>
      <c r="AL1550" s="82"/>
      <c r="AM1550" s="82"/>
      <c r="AN1550" s="82"/>
      <c r="AO1550" s="82"/>
      <c r="AP1550" s="82"/>
      <c r="AQ1550" s="82"/>
      <c r="AR1550" s="82"/>
      <c r="AS1550" s="82"/>
      <c r="AT1550" s="82"/>
      <c r="AU1550" s="82"/>
      <c r="AV1550" s="82"/>
      <c r="AW1550" s="82" t="str">
        <f t="shared" si="1"/>
        <v/>
      </c>
      <c r="AX1550" s="83" t="str">
        <f t="array" ref="AX1550">IFERROR(DGET('SBV Import'!A:G,"SBV",{"RSC ID","Tier";B1550,A1550}))</f>
        <v/>
      </c>
      <c r="AY1550" s="82" t="str">
        <f t="shared" si="2"/>
        <v/>
      </c>
      <c r="AZ1550" s="82"/>
      <c r="BA1550" s="84" t="s">
        <v>152</v>
      </c>
      <c r="BB1550" s="84" t="str">
        <f>IFERROR(__xludf.DUMMYFUNCTION("iferror(if(A1550="""",,E1550&gt;=FILTER(Constants!$F$2:$F$10,Constants!$A$2:$A$10=A1550)))"),"")</f>
        <v/>
      </c>
    </row>
    <row r="1551">
      <c r="A1551" s="89"/>
      <c r="B1551" s="87"/>
      <c r="C1551" s="73"/>
      <c r="D1551" s="73"/>
      <c r="E1551" s="82"/>
      <c r="F1551" s="82"/>
      <c r="G1551" s="86"/>
      <c r="H1551" s="86"/>
      <c r="I1551" s="86"/>
      <c r="J1551" s="82"/>
      <c r="K1551" s="82"/>
      <c r="L1551" s="82"/>
      <c r="M1551" s="82"/>
      <c r="N1551" s="82"/>
      <c r="O1551" s="82"/>
      <c r="P1551" s="82"/>
      <c r="Q1551" s="82"/>
      <c r="R1551" s="82"/>
      <c r="S1551" s="82"/>
      <c r="T1551" s="82"/>
      <c r="U1551" s="82"/>
      <c r="V1551" s="82"/>
      <c r="W1551" s="82"/>
      <c r="X1551" s="82"/>
      <c r="Y1551" s="82"/>
      <c r="Z1551" s="82"/>
      <c r="AA1551" s="82"/>
      <c r="AB1551" s="82"/>
      <c r="AC1551" s="82"/>
      <c r="AD1551" s="82"/>
      <c r="AE1551" s="82"/>
      <c r="AF1551" s="82"/>
      <c r="AG1551" s="82"/>
      <c r="AH1551" s="82"/>
      <c r="AI1551" s="82"/>
      <c r="AJ1551" s="82"/>
      <c r="AK1551" s="82"/>
      <c r="AL1551" s="82"/>
      <c r="AM1551" s="82"/>
      <c r="AN1551" s="82"/>
      <c r="AO1551" s="82"/>
      <c r="AP1551" s="82"/>
      <c r="AQ1551" s="82"/>
      <c r="AR1551" s="82"/>
      <c r="AS1551" s="82"/>
      <c r="AT1551" s="82"/>
      <c r="AU1551" s="82"/>
      <c r="AV1551" s="82"/>
      <c r="AW1551" s="82" t="str">
        <f t="shared" si="1"/>
        <v/>
      </c>
      <c r="AX1551" s="83" t="str">
        <f t="array" ref="AX1551">IFERROR(DGET('SBV Import'!A:G,"SBV",{"RSC ID","Tier";B1551,A1551}))</f>
        <v/>
      </c>
      <c r="AY1551" s="82" t="str">
        <f t="shared" si="2"/>
        <v/>
      </c>
      <c r="AZ1551" s="82"/>
      <c r="BA1551" s="84" t="s">
        <v>152</v>
      </c>
      <c r="BB1551" s="84" t="str">
        <f>IFERROR(__xludf.DUMMYFUNCTION("iferror(if(A1551="""",,E1551&gt;=FILTER(Constants!$F$2:$F$10,Constants!$A$2:$A$10=A1551)))"),"")</f>
        <v/>
      </c>
    </row>
    <row r="1552">
      <c r="A1552" s="89"/>
      <c r="B1552" s="87"/>
      <c r="C1552" s="73"/>
      <c r="D1552" s="73"/>
      <c r="E1552" s="82"/>
      <c r="F1552" s="82"/>
      <c r="G1552" s="86"/>
      <c r="H1552" s="86"/>
      <c r="I1552" s="86"/>
      <c r="J1552" s="82"/>
      <c r="K1552" s="82"/>
      <c r="L1552" s="82"/>
      <c r="M1552" s="82"/>
      <c r="N1552" s="82"/>
      <c r="O1552" s="82"/>
      <c r="P1552" s="82"/>
      <c r="Q1552" s="82"/>
      <c r="R1552" s="82"/>
      <c r="S1552" s="82"/>
      <c r="T1552" s="82"/>
      <c r="U1552" s="82"/>
      <c r="V1552" s="82"/>
      <c r="W1552" s="82"/>
      <c r="X1552" s="82"/>
      <c r="Y1552" s="82"/>
      <c r="Z1552" s="82"/>
      <c r="AA1552" s="82"/>
      <c r="AB1552" s="82"/>
      <c r="AC1552" s="82"/>
      <c r="AD1552" s="82"/>
      <c r="AE1552" s="82"/>
      <c r="AF1552" s="82"/>
      <c r="AG1552" s="82"/>
      <c r="AH1552" s="82"/>
      <c r="AI1552" s="82"/>
      <c r="AJ1552" s="82"/>
      <c r="AK1552" s="82"/>
      <c r="AL1552" s="82"/>
      <c r="AM1552" s="82"/>
      <c r="AN1552" s="82"/>
      <c r="AO1552" s="82"/>
      <c r="AP1552" s="82"/>
      <c r="AQ1552" s="82"/>
      <c r="AR1552" s="82"/>
      <c r="AS1552" s="82"/>
      <c r="AT1552" s="82"/>
      <c r="AU1552" s="82"/>
      <c r="AV1552" s="82"/>
      <c r="AW1552" s="82" t="str">
        <f t="shared" si="1"/>
        <v/>
      </c>
      <c r="AX1552" s="83" t="str">
        <f t="array" ref="AX1552">IFERROR(DGET('SBV Import'!A:G,"SBV",{"RSC ID","Tier";B1552,A1552}))</f>
        <v/>
      </c>
      <c r="AY1552" s="82" t="str">
        <f t="shared" si="2"/>
        <v/>
      </c>
      <c r="AZ1552" s="82"/>
      <c r="BA1552" s="84" t="s">
        <v>152</v>
      </c>
      <c r="BB1552" s="84" t="str">
        <f>IFERROR(__xludf.DUMMYFUNCTION("iferror(if(A1552="""",,E1552&gt;=FILTER(Constants!$F$2:$F$10,Constants!$A$2:$A$10=A1552)))"),"")</f>
        <v/>
      </c>
    </row>
    <row r="1553">
      <c r="A1553" s="89"/>
      <c r="B1553" s="87"/>
      <c r="C1553" s="73"/>
      <c r="D1553" s="73"/>
      <c r="E1553" s="82"/>
      <c r="F1553" s="82"/>
      <c r="G1553" s="86"/>
      <c r="H1553" s="86"/>
      <c r="I1553" s="86"/>
      <c r="J1553" s="82"/>
      <c r="K1553" s="82"/>
      <c r="L1553" s="82"/>
      <c r="M1553" s="82"/>
      <c r="N1553" s="82"/>
      <c r="O1553" s="82"/>
      <c r="P1553" s="82"/>
      <c r="Q1553" s="82"/>
      <c r="R1553" s="82"/>
      <c r="S1553" s="82"/>
      <c r="T1553" s="82"/>
      <c r="U1553" s="82"/>
      <c r="V1553" s="82"/>
      <c r="W1553" s="82"/>
      <c r="X1553" s="82"/>
      <c r="Y1553" s="82"/>
      <c r="Z1553" s="82"/>
      <c r="AA1553" s="82"/>
      <c r="AB1553" s="82"/>
      <c r="AC1553" s="82"/>
      <c r="AD1553" s="82"/>
      <c r="AE1553" s="82"/>
      <c r="AF1553" s="82"/>
      <c r="AG1553" s="82"/>
      <c r="AH1553" s="82"/>
      <c r="AI1553" s="82"/>
      <c r="AJ1553" s="82"/>
      <c r="AK1553" s="82"/>
      <c r="AL1553" s="82"/>
      <c r="AM1553" s="82"/>
      <c r="AN1553" s="82"/>
      <c r="AO1553" s="82"/>
      <c r="AP1553" s="82"/>
      <c r="AQ1553" s="82"/>
      <c r="AR1553" s="82"/>
      <c r="AS1553" s="82"/>
      <c r="AT1553" s="82"/>
      <c r="AU1553" s="82"/>
      <c r="AV1553" s="82"/>
      <c r="AW1553" s="82" t="str">
        <f t="shared" si="1"/>
        <v/>
      </c>
      <c r="AX1553" s="83" t="str">
        <f t="array" ref="AX1553">IFERROR(DGET('SBV Import'!A:G,"SBV",{"RSC ID","Tier";B1553,A1553}))</f>
        <v/>
      </c>
      <c r="AY1553" s="82" t="str">
        <f t="shared" si="2"/>
        <v/>
      </c>
      <c r="AZ1553" s="82"/>
      <c r="BA1553" s="84" t="s">
        <v>152</v>
      </c>
      <c r="BB1553" s="84" t="str">
        <f>IFERROR(__xludf.DUMMYFUNCTION("iferror(if(A1553="""",,E1553&gt;=FILTER(Constants!$F$2:$F$10,Constants!$A$2:$A$10=A1553)))"),"")</f>
        <v/>
      </c>
    </row>
    <row r="1554">
      <c r="A1554" s="89"/>
      <c r="B1554" s="87"/>
      <c r="C1554" s="73"/>
      <c r="D1554" s="73"/>
      <c r="E1554" s="82"/>
      <c r="F1554" s="82"/>
      <c r="G1554" s="86"/>
      <c r="H1554" s="86"/>
      <c r="I1554" s="86"/>
      <c r="J1554" s="82"/>
      <c r="K1554" s="82"/>
      <c r="L1554" s="82"/>
      <c r="M1554" s="82"/>
      <c r="N1554" s="82"/>
      <c r="O1554" s="82"/>
      <c r="P1554" s="82"/>
      <c r="Q1554" s="82"/>
      <c r="R1554" s="82"/>
      <c r="S1554" s="82"/>
      <c r="T1554" s="82"/>
      <c r="U1554" s="82"/>
      <c r="V1554" s="82"/>
      <c r="W1554" s="82"/>
      <c r="X1554" s="82"/>
      <c r="Y1554" s="82"/>
      <c r="Z1554" s="82"/>
      <c r="AA1554" s="82"/>
      <c r="AB1554" s="82"/>
      <c r="AC1554" s="82"/>
      <c r="AD1554" s="82"/>
      <c r="AE1554" s="82"/>
      <c r="AF1554" s="82"/>
      <c r="AG1554" s="82"/>
      <c r="AH1554" s="82"/>
      <c r="AI1554" s="82"/>
      <c r="AJ1554" s="82"/>
      <c r="AK1554" s="82"/>
      <c r="AL1554" s="82"/>
      <c r="AM1554" s="82"/>
      <c r="AN1554" s="82"/>
      <c r="AO1554" s="82"/>
      <c r="AP1554" s="82"/>
      <c r="AQ1554" s="82"/>
      <c r="AR1554" s="82"/>
      <c r="AS1554" s="82"/>
      <c r="AT1554" s="82"/>
      <c r="AU1554" s="82"/>
      <c r="AV1554" s="82"/>
      <c r="AW1554" s="82" t="str">
        <f t="shared" si="1"/>
        <v/>
      </c>
      <c r="AX1554" s="83" t="str">
        <f t="array" ref="AX1554">IFERROR(DGET('SBV Import'!A:G,"SBV",{"RSC ID","Tier";B1554,A1554}))</f>
        <v/>
      </c>
      <c r="AY1554" s="82" t="str">
        <f t="shared" si="2"/>
        <v/>
      </c>
      <c r="AZ1554" s="82"/>
      <c r="BA1554" s="84" t="s">
        <v>152</v>
      </c>
      <c r="BB1554" s="84" t="str">
        <f>IFERROR(__xludf.DUMMYFUNCTION("iferror(if(A1554="""",,E1554&gt;=FILTER(Constants!$F$2:$F$10,Constants!$A$2:$A$10=A1554)))"),"")</f>
        <v/>
      </c>
    </row>
    <row r="1555">
      <c r="A1555" s="89"/>
      <c r="B1555" s="87"/>
      <c r="C1555" s="73"/>
      <c r="D1555" s="73"/>
      <c r="E1555" s="82"/>
      <c r="F1555" s="82"/>
      <c r="G1555" s="86"/>
      <c r="H1555" s="86"/>
      <c r="I1555" s="86"/>
      <c r="J1555" s="82"/>
      <c r="K1555" s="82"/>
      <c r="L1555" s="82"/>
      <c r="M1555" s="82"/>
      <c r="N1555" s="82"/>
      <c r="O1555" s="82"/>
      <c r="P1555" s="82"/>
      <c r="Q1555" s="82"/>
      <c r="R1555" s="82"/>
      <c r="S1555" s="82"/>
      <c r="T1555" s="82"/>
      <c r="U1555" s="82"/>
      <c r="V1555" s="82"/>
      <c r="W1555" s="82"/>
      <c r="X1555" s="82"/>
      <c r="Y1555" s="82"/>
      <c r="Z1555" s="82"/>
      <c r="AA1555" s="82"/>
      <c r="AB1555" s="82"/>
      <c r="AC1555" s="82"/>
      <c r="AD1555" s="82"/>
      <c r="AE1555" s="82"/>
      <c r="AF1555" s="82"/>
      <c r="AG1555" s="82"/>
      <c r="AH1555" s="82"/>
      <c r="AI1555" s="82"/>
      <c r="AJ1555" s="82"/>
      <c r="AK1555" s="82"/>
      <c r="AL1555" s="82"/>
      <c r="AM1555" s="82"/>
      <c r="AN1555" s="82"/>
      <c r="AO1555" s="82"/>
      <c r="AP1555" s="82"/>
      <c r="AQ1555" s="82"/>
      <c r="AR1555" s="82"/>
      <c r="AS1555" s="82"/>
      <c r="AT1555" s="82"/>
      <c r="AU1555" s="82"/>
      <c r="AV1555" s="82"/>
      <c r="AW1555" s="82" t="str">
        <f t="shared" si="1"/>
        <v/>
      </c>
      <c r="AX1555" s="83" t="str">
        <f t="array" ref="AX1555">IFERROR(DGET('SBV Import'!A:G,"SBV",{"RSC ID","Tier";B1555,A1555}))</f>
        <v/>
      </c>
      <c r="AY1555" s="82" t="str">
        <f t="shared" si="2"/>
        <v/>
      </c>
      <c r="AZ1555" s="82"/>
      <c r="BA1555" s="84" t="s">
        <v>152</v>
      </c>
      <c r="BB1555" s="84" t="str">
        <f>IFERROR(__xludf.DUMMYFUNCTION("iferror(if(A1555="""",,E1555&gt;=FILTER(Constants!$F$2:$F$10,Constants!$A$2:$A$10=A1555)))"),"")</f>
        <v/>
      </c>
    </row>
    <row r="1556">
      <c r="A1556" s="89"/>
      <c r="B1556" s="87"/>
      <c r="C1556" s="73"/>
      <c r="D1556" s="73"/>
      <c r="E1556" s="82"/>
      <c r="F1556" s="82"/>
      <c r="G1556" s="86"/>
      <c r="H1556" s="86"/>
      <c r="I1556" s="86"/>
      <c r="J1556" s="82"/>
      <c r="K1556" s="82"/>
      <c r="L1556" s="82"/>
      <c r="M1556" s="82"/>
      <c r="N1556" s="82"/>
      <c r="O1556" s="82"/>
      <c r="P1556" s="82"/>
      <c r="Q1556" s="82"/>
      <c r="R1556" s="82"/>
      <c r="S1556" s="82"/>
      <c r="T1556" s="82"/>
      <c r="U1556" s="82"/>
      <c r="V1556" s="82"/>
      <c r="W1556" s="82"/>
      <c r="X1556" s="82"/>
      <c r="Y1556" s="82"/>
      <c r="Z1556" s="82"/>
      <c r="AA1556" s="82"/>
      <c r="AB1556" s="82"/>
      <c r="AC1556" s="82"/>
      <c r="AD1556" s="82"/>
      <c r="AE1556" s="82"/>
      <c r="AF1556" s="82"/>
      <c r="AG1556" s="82"/>
      <c r="AH1556" s="82"/>
      <c r="AI1556" s="82"/>
      <c r="AJ1556" s="82"/>
      <c r="AK1556" s="82"/>
      <c r="AL1556" s="82"/>
      <c r="AM1556" s="82"/>
      <c r="AN1556" s="82"/>
      <c r="AO1556" s="82"/>
      <c r="AP1556" s="82"/>
      <c r="AQ1556" s="82"/>
      <c r="AR1556" s="82"/>
      <c r="AS1556" s="82"/>
      <c r="AT1556" s="82"/>
      <c r="AU1556" s="82"/>
      <c r="AV1556" s="82"/>
      <c r="AW1556" s="82" t="str">
        <f t="shared" si="1"/>
        <v/>
      </c>
      <c r="AX1556" s="83" t="str">
        <f t="array" ref="AX1556">IFERROR(DGET('SBV Import'!A:G,"SBV",{"RSC ID","Tier";B1556,A1556}))</f>
        <v/>
      </c>
      <c r="AY1556" s="82" t="str">
        <f t="shared" si="2"/>
        <v/>
      </c>
      <c r="AZ1556" s="82"/>
      <c r="BA1556" s="84" t="s">
        <v>152</v>
      </c>
      <c r="BB1556" s="84" t="str">
        <f>IFERROR(__xludf.DUMMYFUNCTION("iferror(if(A1556="""",,E1556&gt;=FILTER(Constants!$F$2:$F$10,Constants!$A$2:$A$10=A1556)))"),"")</f>
        <v/>
      </c>
    </row>
    <row r="1557">
      <c r="A1557" s="89"/>
      <c r="B1557" s="87"/>
      <c r="C1557" s="73"/>
      <c r="D1557" s="73"/>
      <c r="E1557" s="82"/>
      <c r="F1557" s="82"/>
      <c r="G1557" s="86"/>
      <c r="H1557" s="86"/>
      <c r="I1557" s="86"/>
      <c r="J1557" s="82"/>
      <c r="K1557" s="82"/>
      <c r="L1557" s="82"/>
      <c r="M1557" s="82"/>
      <c r="N1557" s="82"/>
      <c r="O1557" s="82"/>
      <c r="P1557" s="82"/>
      <c r="Q1557" s="82"/>
      <c r="R1557" s="82"/>
      <c r="S1557" s="82"/>
      <c r="T1557" s="82"/>
      <c r="U1557" s="82"/>
      <c r="V1557" s="82"/>
      <c r="W1557" s="82"/>
      <c r="X1557" s="82"/>
      <c r="Y1557" s="82"/>
      <c r="Z1557" s="82"/>
      <c r="AA1557" s="82"/>
      <c r="AB1557" s="82"/>
      <c r="AC1557" s="82"/>
      <c r="AD1557" s="82"/>
      <c r="AE1557" s="82"/>
      <c r="AF1557" s="82"/>
      <c r="AG1557" s="82"/>
      <c r="AH1557" s="82"/>
      <c r="AI1557" s="82"/>
      <c r="AJ1557" s="82"/>
      <c r="AK1557" s="82"/>
      <c r="AL1557" s="82"/>
      <c r="AM1557" s="82"/>
      <c r="AN1557" s="82"/>
      <c r="AO1557" s="82"/>
      <c r="AP1557" s="82"/>
      <c r="AQ1557" s="82"/>
      <c r="AR1557" s="82"/>
      <c r="AS1557" s="82"/>
      <c r="AT1557" s="82"/>
      <c r="AU1557" s="82"/>
      <c r="AV1557" s="82"/>
      <c r="AW1557" s="82" t="str">
        <f t="shared" si="1"/>
        <v/>
      </c>
      <c r="AX1557" s="83" t="str">
        <f t="array" ref="AX1557">IFERROR(DGET('SBV Import'!A:G,"SBV",{"RSC ID","Tier";B1557,A1557}))</f>
        <v/>
      </c>
      <c r="AY1557" s="82" t="str">
        <f t="shared" si="2"/>
        <v/>
      </c>
      <c r="AZ1557" s="82"/>
      <c r="BA1557" s="84" t="s">
        <v>152</v>
      </c>
      <c r="BB1557" s="84" t="str">
        <f>IFERROR(__xludf.DUMMYFUNCTION("iferror(if(A1557="""",,E1557&gt;=FILTER(Constants!$F$2:$F$10,Constants!$A$2:$A$10=A1557)))"),"")</f>
        <v/>
      </c>
    </row>
    <row r="1558">
      <c r="A1558" s="89"/>
      <c r="B1558" s="87"/>
      <c r="C1558" s="73"/>
      <c r="D1558" s="73"/>
      <c r="E1558" s="82"/>
      <c r="F1558" s="82"/>
      <c r="G1558" s="86"/>
      <c r="H1558" s="86"/>
      <c r="I1558" s="86"/>
      <c r="J1558" s="82"/>
      <c r="K1558" s="82"/>
      <c r="L1558" s="82"/>
      <c r="M1558" s="82"/>
      <c r="N1558" s="82"/>
      <c r="O1558" s="82"/>
      <c r="P1558" s="82"/>
      <c r="Q1558" s="82"/>
      <c r="R1558" s="82"/>
      <c r="S1558" s="82"/>
      <c r="T1558" s="82"/>
      <c r="U1558" s="82"/>
      <c r="V1558" s="82"/>
      <c r="W1558" s="82"/>
      <c r="X1558" s="82"/>
      <c r="Y1558" s="82"/>
      <c r="Z1558" s="82"/>
      <c r="AA1558" s="82"/>
      <c r="AB1558" s="82"/>
      <c r="AC1558" s="82"/>
      <c r="AD1558" s="82"/>
      <c r="AE1558" s="82"/>
      <c r="AF1558" s="82"/>
      <c r="AG1558" s="82"/>
      <c r="AH1558" s="82"/>
      <c r="AI1558" s="82"/>
      <c r="AJ1558" s="82"/>
      <c r="AK1558" s="82"/>
      <c r="AL1558" s="82"/>
      <c r="AM1558" s="82"/>
      <c r="AN1558" s="82"/>
      <c r="AO1558" s="82"/>
      <c r="AP1558" s="82"/>
      <c r="AQ1558" s="82"/>
      <c r="AR1558" s="82"/>
      <c r="AS1558" s="82"/>
      <c r="AT1558" s="82"/>
      <c r="AU1558" s="82"/>
      <c r="AV1558" s="82"/>
      <c r="AW1558" s="82" t="str">
        <f t="shared" si="1"/>
        <v/>
      </c>
      <c r="AX1558" s="83" t="str">
        <f t="array" ref="AX1558">IFERROR(DGET('SBV Import'!A:G,"SBV",{"RSC ID","Tier";B1558,A1558}))</f>
        <v/>
      </c>
      <c r="AY1558" s="82" t="str">
        <f t="shared" si="2"/>
        <v/>
      </c>
      <c r="AZ1558" s="82"/>
      <c r="BA1558" s="84" t="s">
        <v>152</v>
      </c>
      <c r="BB1558" s="84" t="str">
        <f>IFERROR(__xludf.DUMMYFUNCTION("iferror(if(A1558="""",,E1558&gt;=FILTER(Constants!$F$2:$F$10,Constants!$A$2:$A$10=A1558)))"),"")</f>
        <v/>
      </c>
    </row>
    <row r="1559">
      <c r="A1559" s="89"/>
      <c r="B1559" s="87"/>
      <c r="C1559" s="73"/>
      <c r="D1559" s="73"/>
      <c r="E1559" s="82"/>
      <c r="F1559" s="82"/>
      <c r="G1559" s="86"/>
      <c r="H1559" s="86"/>
      <c r="I1559" s="86"/>
      <c r="J1559" s="82"/>
      <c r="K1559" s="82"/>
      <c r="L1559" s="82"/>
      <c r="M1559" s="82"/>
      <c r="N1559" s="82"/>
      <c r="O1559" s="82"/>
      <c r="P1559" s="82"/>
      <c r="Q1559" s="82"/>
      <c r="R1559" s="82"/>
      <c r="S1559" s="82"/>
      <c r="T1559" s="82"/>
      <c r="U1559" s="82"/>
      <c r="V1559" s="82"/>
      <c r="W1559" s="82"/>
      <c r="X1559" s="82"/>
      <c r="Y1559" s="82"/>
      <c r="Z1559" s="82"/>
      <c r="AA1559" s="82"/>
      <c r="AB1559" s="82"/>
      <c r="AC1559" s="82"/>
      <c r="AD1559" s="82"/>
      <c r="AE1559" s="82"/>
      <c r="AF1559" s="82"/>
      <c r="AG1559" s="82"/>
      <c r="AH1559" s="82"/>
      <c r="AI1559" s="82"/>
      <c r="AJ1559" s="82"/>
      <c r="AK1559" s="82"/>
      <c r="AL1559" s="82"/>
      <c r="AM1559" s="82"/>
      <c r="AN1559" s="82"/>
      <c r="AO1559" s="82"/>
      <c r="AP1559" s="82"/>
      <c r="AQ1559" s="82"/>
      <c r="AR1559" s="82"/>
      <c r="AS1559" s="82"/>
      <c r="AT1559" s="82"/>
      <c r="AU1559" s="82"/>
      <c r="AV1559" s="82"/>
      <c r="AW1559" s="82" t="str">
        <f t="shared" si="1"/>
        <v/>
      </c>
      <c r="AX1559" s="83" t="str">
        <f t="array" ref="AX1559">IFERROR(DGET('SBV Import'!A:G,"SBV",{"RSC ID","Tier";B1559,A1559}))</f>
        <v/>
      </c>
      <c r="AY1559" s="82" t="str">
        <f t="shared" si="2"/>
        <v/>
      </c>
      <c r="AZ1559" s="82"/>
      <c r="BA1559" s="84" t="s">
        <v>152</v>
      </c>
      <c r="BB1559" s="84" t="str">
        <f>IFERROR(__xludf.DUMMYFUNCTION("iferror(if(A1559="""",,E1559&gt;=FILTER(Constants!$F$2:$F$10,Constants!$A$2:$A$10=A1559)))"),"")</f>
        <v/>
      </c>
    </row>
    <row r="1560">
      <c r="A1560" s="89"/>
      <c r="B1560" s="87"/>
      <c r="C1560" s="73"/>
      <c r="D1560" s="73"/>
      <c r="E1560" s="82"/>
      <c r="F1560" s="82"/>
      <c r="G1560" s="86"/>
      <c r="H1560" s="86"/>
      <c r="I1560" s="86"/>
      <c r="J1560" s="82"/>
      <c r="K1560" s="82"/>
      <c r="L1560" s="82"/>
      <c r="M1560" s="82"/>
      <c r="N1560" s="82"/>
      <c r="O1560" s="82"/>
      <c r="P1560" s="82"/>
      <c r="Q1560" s="82"/>
      <c r="R1560" s="82"/>
      <c r="S1560" s="82"/>
      <c r="T1560" s="82"/>
      <c r="U1560" s="82"/>
      <c r="V1560" s="82"/>
      <c r="W1560" s="82"/>
      <c r="X1560" s="82"/>
      <c r="Y1560" s="82"/>
      <c r="Z1560" s="82"/>
      <c r="AA1560" s="82"/>
      <c r="AB1560" s="82"/>
      <c r="AC1560" s="82"/>
      <c r="AD1560" s="82"/>
      <c r="AE1560" s="82"/>
      <c r="AF1560" s="82"/>
      <c r="AG1560" s="82"/>
      <c r="AH1560" s="82"/>
      <c r="AI1560" s="82"/>
      <c r="AJ1560" s="82"/>
      <c r="AK1560" s="82"/>
      <c r="AL1560" s="82"/>
      <c r="AM1560" s="82"/>
      <c r="AN1560" s="82"/>
      <c r="AO1560" s="82"/>
      <c r="AP1560" s="82"/>
      <c r="AQ1560" s="82"/>
      <c r="AR1560" s="82"/>
      <c r="AS1560" s="82"/>
      <c r="AT1560" s="82"/>
      <c r="AU1560" s="82"/>
      <c r="AV1560" s="82"/>
      <c r="AW1560" s="82" t="str">
        <f t="shared" si="1"/>
        <v/>
      </c>
      <c r="AX1560" s="83" t="str">
        <f t="array" ref="AX1560">IFERROR(DGET('SBV Import'!A:G,"SBV",{"RSC ID","Tier";B1560,A1560}))</f>
        <v/>
      </c>
      <c r="AY1560" s="82" t="str">
        <f t="shared" si="2"/>
        <v/>
      </c>
      <c r="AZ1560" s="82"/>
      <c r="BA1560" s="84" t="s">
        <v>152</v>
      </c>
      <c r="BB1560" s="84" t="str">
        <f>IFERROR(__xludf.DUMMYFUNCTION("iferror(if(A1560="""",,E1560&gt;=FILTER(Constants!$F$2:$F$10,Constants!$A$2:$A$10=A1560)))"),"")</f>
        <v/>
      </c>
    </row>
    <row r="1561">
      <c r="A1561" s="89"/>
      <c r="B1561" s="87"/>
      <c r="C1561" s="73"/>
      <c r="D1561" s="73"/>
      <c r="E1561" s="82"/>
      <c r="F1561" s="82"/>
      <c r="G1561" s="86"/>
      <c r="H1561" s="86"/>
      <c r="I1561" s="86"/>
      <c r="J1561" s="82"/>
      <c r="K1561" s="82"/>
      <c r="L1561" s="82"/>
      <c r="M1561" s="82"/>
      <c r="N1561" s="82"/>
      <c r="O1561" s="82"/>
      <c r="P1561" s="82"/>
      <c r="Q1561" s="82"/>
      <c r="R1561" s="82"/>
      <c r="S1561" s="82"/>
      <c r="T1561" s="82"/>
      <c r="U1561" s="82"/>
      <c r="V1561" s="82"/>
      <c r="W1561" s="82"/>
      <c r="X1561" s="82"/>
      <c r="Y1561" s="82"/>
      <c r="Z1561" s="82"/>
      <c r="AA1561" s="82"/>
      <c r="AB1561" s="82"/>
      <c r="AC1561" s="82"/>
      <c r="AD1561" s="82"/>
      <c r="AE1561" s="82"/>
      <c r="AF1561" s="82"/>
      <c r="AG1561" s="82"/>
      <c r="AH1561" s="82"/>
      <c r="AI1561" s="82"/>
      <c r="AJ1561" s="82"/>
      <c r="AK1561" s="82"/>
      <c r="AL1561" s="82"/>
      <c r="AM1561" s="82"/>
      <c r="AN1561" s="82"/>
      <c r="AO1561" s="82"/>
      <c r="AP1561" s="82"/>
      <c r="AQ1561" s="82"/>
      <c r="AR1561" s="82"/>
      <c r="AS1561" s="82"/>
      <c r="AT1561" s="82"/>
      <c r="AU1561" s="82"/>
      <c r="AV1561" s="82"/>
      <c r="AW1561" s="82" t="str">
        <f t="shared" si="1"/>
        <v/>
      </c>
      <c r="AX1561" s="83" t="str">
        <f t="array" ref="AX1561">IFERROR(DGET('SBV Import'!A:G,"SBV",{"RSC ID","Tier";B1561,A1561}))</f>
        <v/>
      </c>
      <c r="AY1561" s="82" t="str">
        <f t="shared" si="2"/>
        <v/>
      </c>
      <c r="AZ1561" s="82"/>
      <c r="BA1561" s="84" t="s">
        <v>152</v>
      </c>
      <c r="BB1561" s="84" t="str">
        <f>IFERROR(__xludf.DUMMYFUNCTION("iferror(if(A1561="""",,E1561&gt;=FILTER(Constants!$F$2:$F$10,Constants!$A$2:$A$10=A1561)))"),"")</f>
        <v/>
      </c>
    </row>
    <row r="1562">
      <c r="A1562" s="89"/>
      <c r="B1562" s="87"/>
      <c r="C1562" s="73"/>
      <c r="D1562" s="73"/>
      <c r="E1562" s="82"/>
      <c r="F1562" s="82"/>
      <c r="G1562" s="86"/>
      <c r="H1562" s="86"/>
      <c r="I1562" s="86"/>
      <c r="J1562" s="82"/>
      <c r="K1562" s="82"/>
      <c r="L1562" s="82"/>
      <c r="M1562" s="82"/>
      <c r="N1562" s="82"/>
      <c r="O1562" s="82"/>
      <c r="P1562" s="82"/>
      <c r="Q1562" s="82"/>
      <c r="R1562" s="82"/>
      <c r="S1562" s="82"/>
      <c r="T1562" s="82"/>
      <c r="U1562" s="82"/>
      <c r="V1562" s="82"/>
      <c r="W1562" s="82"/>
      <c r="X1562" s="82"/>
      <c r="Y1562" s="82"/>
      <c r="Z1562" s="82"/>
      <c r="AA1562" s="82"/>
      <c r="AB1562" s="82"/>
      <c r="AC1562" s="82"/>
      <c r="AD1562" s="82"/>
      <c r="AE1562" s="82"/>
      <c r="AF1562" s="82"/>
      <c r="AG1562" s="82"/>
      <c r="AH1562" s="82"/>
      <c r="AI1562" s="82"/>
      <c r="AJ1562" s="82"/>
      <c r="AK1562" s="82"/>
      <c r="AL1562" s="82"/>
      <c r="AM1562" s="82"/>
      <c r="AN1562" s="82"/>
      <c r="AO1562" s="82"/>
      <c r="AP1562" s="82"/>
      <c r="AQ1562" s="82"/>
      <c r="AR1562" s="82"/>
      <c r="AS1562" s="82"/>
      <c r="AT1562" s="82"/>
      <c r="AU1562" s="82"/>
      <c r="AV1562" s="82"/>
      <c r="AW1562" s="82" t="str">
        <f t="shared" si="1"/>
        <v/>
      </c>
      <c r="AX1562" s="83" t="str">
        <f t="array" ref="AX1562">IFERROR(DGET('SBV Import'!A:G,"SBV",{"RSC ID","Tier";B1562,A1562}))</f>
        <v/>
      </c>
      <c r="AY1562" s="82" t="str">
        <f t="shared" si="2"/>
        <v/>
      </c>
      <c r="AZ1562" s="82"/>
      <c r="BA1562" s="84" t="s">
        <v>152</v>
      </c>
      <c r="BB1562" s="84" t="str">
        <f>IFERROR(__xludf.DUMMYFUNCTION("iferror(if(A1562="""",,E1562&gt;=FILTER(Constants!$F$2:$F$10,Constants!$A$2:$A$10=A1562)))"),"")</f>
        <v/>
      </c>
    </row>
    <row r="1563">
      <c r="A1563" s="89"/>
      <c r="B1563" s="87"/>
      <c r="C1563" s="73"/>
      <c r="D1563" s="73"/>
      <c r="E1563" s="82"/>
      <c r="F1563" s="82"/>
      <c r="G1563" s="86"/>
      <c r="H1563" s="86"/>
      <c r="I1563" s="86"/>
      <c r="J1563" s="82"/>
      <c r="K1563" s="82"/>
      <c r="L1563" s="82"/>
      <c r="M1563" s="82"/>
      <c r="N1563" s="82"/>
      <c r="O1563" s="82"/>
      <c r="P1563" s="82"/>
      <c r="Q1563" s="82"/>
      <c r="R1563" s="82"/>
      <c r="S1563" s="82"/>
      <c r="T1563" s="82"/>
      <c r="U1563" s="82"/>
      <c r="V1563" s="82"/>
      <c r="W1563" s="82"/>
      <c r="X1563" s="82"/>
      <c r="Y1563" s="82"/>
      <c r="Z1563" s="82"/>
      <c r="AA1563" s="82"/>
      <c r="AB1563" s="82"/>
      <c r="AC1563" s="82"/>
      <c r="AD1563" s="82"/>
      <c r="AE1563" s="82"/>
      <c r="AF1563" s="82"/>
      <c r="AG1563" s="82"/>
      <c r="AH1563" s="82"/>
      <c r="AI1563" s="82"/>
      <c r="AJ1563" s="82"/>
      <c r="AK1563" s="82"/>
      <c r="AL1563" s="82"/>
      <c r="AM1563" s="82"/>
      <c r="AN1563" s="82"/>
      <c r="AO1563" s="82"/>
      <c r="AP1563" s="82"/>
      <c r="AQ1563" s="82"/>
      <c r="AR1563" s="82"/>
      <c r="AS1563" s="82"/>
      <c r="AT1563" s="82"/>
      <c r="AU1563" s="82"/>
      <c r="AV1563" s="82"/>
      <c r="AW1563" s="82" t="str">
        <f t="shared" si="1"/>
        <v/>
      </c>
      <c r="AX1563" s="83" t="str">
        <f t="array" ref="AX1563">IFERROR(DGET('SBV Import'!A:G,"SBV",{"RSC ID","Tier";B1563,A1563}))</f>
        <v/>
      </c>
      <c r="AY1563" s="82" t="str">
        <f t="shared" si="2"/>
        <v/>
      </c>
      <c r="AZ1563" s="82"/>
      <c r="BA1563" s="84" t="s">
        <v>152</v>
      </c>
      <c r="BB1563" s="84" t="str">
        <f>IFERROR(__xludf.DUMMYFUNCTION("iferror(if(A1563="""",,E1563&gt;=FILTER(Constants!$F$2:$F$10,Constants!$A$2:$A$10=A1563)))"),"")</f>
        <v/>
      </c>
    </row>
    <row r="1564">
      <c r="A1564" s="89"/>
      <c r="B1564" s="87"/>
      <c r="C1564" s="73"/>
      <c r="D1564" s="73"/>
      <c r="E1564" s="82"/>
      <c r="F1564" s="82"/>
      <c r="G1564" s="86"/>
      <c r="H1564" s="86"/>
      <c r="I1564" s="86"/>
      <c r="J1564" s="82"/>
      <c r="K1564" s="82"/>
      <c r="L1564" s="82"/>
      <c r="M1564" s="82"/>
      <c r="N1564" s="82"/>
      <c r="O1564" s="82"/>
      <c r="P1564" s="82"/>
      <c r="Q1564" s="82"/>
      <c r="R1564" s="82"/>
      <c r="S1564" s="82"/>
      <c r="T1564" s="82"/>
      <c r="U1564" s="82"/>
      <c r="V1564" s="82"/>
      <c r="W1564" s="82"/>
      <c r="X1564" s="82"/>
      <c r="Y1564" s="82"/>
      <c r="Z1564" s="82"/>
      <c r="AA1564" s="82"/>
      <c r="AB1564" s="82"/>
      <c r="AC1564" s="82"/>
      <c r="AD1564" s="82"/>
      <c r="AE1564" s="82"/>
      <c r="AF1564" s="82"/>
      <c r="AG1564" s="82"/>
      <c r="AH1564" s="82"/>
      <c r="AI1564" s="82"/>
      <c r="AJ1564" s="82"/>
      <c r="AK1564" s="82"/>
      <c r="AL1564" s="82"/>
      <c r="AM1564" s="82"/>
      <c r="AN1564" s="82"/>
      <c r="AO1564" s="82"/>
      <c r="AP1564" s="82"/>
      <c r="AQ1564" s="82"/>
      <c r="AR1564" s="82"/>
      <c r="AS1564" s="82"/>
      <c r="AT1564" s="82"/>
      <c r="AU1564" s="82"/>
      <c r="AV1564" s="82"/>
      <c r="AW1564" s="82" t="str">
        <f t="shared" si="1"/>
        <v/>
      </c>
      <c r="AX1564" s="83" t="str">
        <f t="array" ref="AX1564">IFERROR(DGET('SBV Import'!A:G,"SBV",{"RSC ID","Tier";B1564,A1564}))</f>
        <v/>
      </c>
      <c r="AY1564" s="82" t="str">
        <f t="shared" si="2"/>
        <v/>
      </c>
      <c r="AZ1564" s="82"/>
      <c r="BA1564" s="84" t="s">
        <v>152</v>
      </c>
      <c r="BB1564" s="84" t="str">
        <f>IFERROR(__xludf.DUMMYFUNCTION("iferror(if(A1564="""",,E1564&gt;=FILTER(Constants!$F$2:$F$10,Constants!$A$2:$A$10=A1564)))"),"")</f>
        <v/>
      </c>
    </row>
    <row r="1565">
      <c r="A1565" s="89"/>
      <c r="B1565" s="87"/>
      <c r="C1565" s="73"/>
      <c r="D1565" s="73"/>
      <c r="E1565" s="82"/>
      <c r="F1565" s="82"/>
      <c r="G1565" s="86"/>
      <c r="H1565" s="86"/>
      <c r="I1565" s="86"/>
      <c r="J1565" s="82"/>
      <c r="K1565" s="82"/>
      <c r="L1565" s="82"/>
      <c r="M1565" s="82"/>
      <c r="N1565" s="82"/>
      <c r="O1565" s="82"/>
      <c r="P1565" s="82"/>
      <c r="Q1565" s="82"/>
      <c r="R1565" s="82"/>
      <c r="S1565" s="82"/>
      <c r="T1565" s="82"/>
      <c r="U1565" s="82"/>
      <c r="V1565" s="82"/>
      <c r="W1565" s="82"/>
      <c r="X1565" s="82"/>
      <c r="Y1565" s="82"/>
      <c r="Z1565" s="82"/>
      <c r="AA1565" s="82"/>
      <c r="AB1565" s="82"/>
      <c r="AC1565" s="82"/>
      <c r="AD1565" s="82"/>
      <c r="AE1565" s="82"/>
      <c r="AF1565" s="82"/>
      <c r="AG1565" s="82"/>
      <c r="AH1565" s="82"/>
      <c r="AI1565" s="82"/>
      <c r="AJ1565" s="82"/>
      <c r="AK1565" s="82"/>
      <c r="AL1565" s="82"/>
      <c r="AM1565" s="82"/>
      <c r="AN1565" s="82"/>
      <c r="AO1565" s="82"/>
      <c r="AP1565" s="82"/>
      <c r="AQ1565" s="82"/>
      <c r="AR1565" s="82"/>
      <c r="AS1565" s="82"/>
      <c r="AT1565" s="82"/>
      <c r="AU1565" s="82"/>
      <c r="AV1565" s="82"/>
      <c r="AW1565" s="82" t="str">
        <f t="shared" si="1"/>
        <v/>
      </c>
      <c r="AX1565" s="83" t="str">
        <f t="array" ref="AX1565">IFERROR(DGET('SBV Import'!A:G,"SBV",{"RSC ID","Tier";B1565,A1565}))</f>
        <v/>
      </c>
      <c r="AY1565" s="82" t="str">
        <f t="shared" si="2"/>
        <v/>
      </c>
      <c r="AZ1565" s="82"/>
      <c r="BA1565" s="84" t="s">
        <v>152</v>
      </c>
      <c r="BB1565" s="84" t="str">
        <f>IFERROR(__xludf.DUMMYFUNCTION("iferror(if(A1565="""",,E1565&gt;=FILTER(Constants!$F$2:$F$10,Constants!$A$2:$A$10=A1565)))"),"")</f>
        <v/>
      </c>
    </row>
    <row r="1566">
      <c r="A1566" s="89"/>
      <c r="B1566" s="87"/>
      <c r="C1566" s="73"/>
      <c r="D1566" s="73"/>
      <c r="E1566" s="82"/>
      <c r="F1566" s="82"/>
      <c r="G1566" s="86"/>
      <c r="H1566" s="86"/>
      <c r="I1566" s="86"/>
      <c r="J1566" s="82"/>
      <c r="K1566" s="82"/>
      <c r="L1566" s="82"/>
      <c r="M1566" s="82"/>
      <c r="N1566" s="82"/>
      <c r="O1566" s="82"/>
      <c r="P1566" s="82"/>
      <c r="Q1566" s="82"/>
      <c r="R1566" s="82"/>
      <c r="S1566" s="82"/>
      <c r="T1566" s="82"/>
      <c r="U1566" s="82"/>
      <c r="V1566" s="82"/>
      <c r="W1566" s="82"/>
      <c r="X1566" s="82"/>
      <c r="Y1566" s="82"/>
      <c r="Z1566" s="82"/>
      <c r="AA1566" s="82"/>
      <c r="AB1566" s="82"/>
      <c r="AC1566" s="82"/>
      <c r="AD1566" s="82"/>
      <c r="AE1566" s="82"/>
      <c r="AF1566" s="82"/>
      <c r="AG1566" s="82"/>
      <c r="AH1566" s="82"/>
      <c r="AI1566" s="82"/>
      <c r="AJ1566" s="82"/>
      <c r="AK1566" s="82"/>
      <c r="AL1566" s="82"/>
      <c r="AM1566" s="82"/>
      <c r="AN1566" s="82"/>
      <c r="AO1566" s="82"/>
      <c r="AP1566" s="82"/>
      <c r="AQ1566" s="82"/>
      <c r="AR1566" s="82"/>
      <c r="AS1566" s="82"/>
      <c r="AT1566" s="82"/>
      <c r="AU1566" s="82"/>
      <c r="AV1566" s="82"/>
      <c r="AW1566" s="82" t="str">
        <f t="shared" si="1"/>
        <v/>
      </c>
      <c r="AX1566" s="83" t="str">
        <f t="array" ref="AX1566">IFERROR(DGET('SBV Import'!A:G,"SBV",{"RSC ID","Tier";B1566,A1566}))</f>
        <v/>
      </c>
      <c r="AY1566" s="82" t="str">
        <f t="shared" si="2"/>
        <v/>
      </c>
      <c r="AZ1566" s="82"/>
      <c r="BA1566" s="84" t="s">
        <v>152</v>
      </c>
      <c r="BB1566" s="84" t="str">
        <f>IFERROR(__xludf.DUMMYFUNCTION("iferror(if(A1566="""",,E1566&gt;=FILTER(Constants!$F$2:$F$10,Constants!$A$2:$A$10=A1566)))"),"")</f>
        <v/>
      </c>
    </row>
    <row r="1567">
      <c r="A1567" s="89"/>
      <c r="B1567" s="87"/>
      <c r="C1567" s="73"/>
      <c r="D1567" s="73"/>
      <c r="E1567" s="82"/>
      <c r="F1567" s="82"/>
      <c r="G1567" s="86"/>
      <c r="H1567" s="86"/>
      <c r="I1567" s="86"/>
      <c r="J1567" s="82"/>
      <c r="K1567" s="82"/>
      <c r="L1567" s="82"/>
      <c r="M1567" s="82"/>
      <c r="N1567" s="82"/>
      <c r="O1567" s="82"/>
      <c r="P1567" s="82"/>
      <c r="Q1567" s="82"/>
      <c r="R1567" s="82"/>
      <c r="S1567" s="82"/>
      <c r="T1567" s="82"/>
      <c r="U1567" s="82"/>
      <c r="V1567" s="82"/>
      <c r="W1567" s="82"/>
      <c r="X1567" s="82"/>
      <c r="Y1567" s="82"/>
      <c r="Z1567" s="82"/>
      <c r="AA1567" s="82"/>
      <c r="AB1567" s="82"/>
      <c r="AC1567" s="82"/>
      <c r="AD1567" s="82"/>
      <c r="AE1567" s="82"/>
      <c r="AF1567" s="82"/>
      <c r="AG1567" s="82"/>
      <c r="AH1567" s="82"/>
      <c r="AI1567" s="82"/>
      <c r="AJ1567" s="82"/>
      <c r="AK1567" s="82"/>
      <c r="AL1567" s="82"/>
      <c r="AM1567" s="82"/>
      <c r="AN1567" s="82"/>
      <c r="AO1567" s="82"/>
      <c r="AP1567" s="82"/>
      <c r="AQ1567" s="82"/>
      <c r="AR1567" s="82"/>
      <c r="AS1567" s="82"/>
      <c r="AT1567" s="82"/>
      <c r="AU1567" s="82"/>
      <c r="AV1567" s="82"/>
      <c r="AW1567" s="82" t="str">
        <f t="shared" si="1"/>
        <v/>
      </c>
      <c r="AX1567" s="83" t="str">
        <f t="array" ref="AX1567">IFERROR(DGET('SBV Import'!A:G,"SBV",{"RSC ID","Tier";B1567,A1567}))</f>
        <v/>
      </c>
      <c r="AY1567" s="82" t="str">
        <f t="shared" si="2"/>
        <v/>
      </c>
      <c r="AZ1567" s="82"/>
      <c r="BA1567" s="84" t="s">
        <v>152</v>
      </c>
      <c r="BB1567" s="84" t="str">
        <f>IFERROR(__xludf.DUMMYFUNCTION("iferror(if(A1567="""",,E1567&gt;=FILTER(Constants!$F$2:$F$10,Constants!$A$2:$A$10=A1567)))"),"")</f>
        <v/>
      </c>
    </row>
    <row r="1568">
      <c r="A1568" s="89"/>
      <c r="B1568" s="87"/>
      <c r="C1568" s="73"/>
      <c r="D1568" s="73"/>
      <c r="E1568" s="82"/>
      <c r="F1568" s="82"/>
      <c r="G1568" s="86"/>
      <c r="H1568" s="86"/>
      <c r="I1568" s="86"/>
      <c r="J1568" s="82"/>
      <c r="K1568" s="82"/>
      <c r="L1568" s="82"/>
      <c r="M1568" s="82"/>
      <c r="N1568" s="82"/>
      <c r="O1568" s="82"/>
      <c r="P1568" s="82"/>
      <c r="Q1568" s="82"/>
      <c r="R1568" s="82"/>
      <c r="S1568" s="82"/>
      <c r="T1568" s="82"/>
      <c r="U1568" s="82"/>
      <c r="V1568" s="82"/>
      <c r="W1568" s="82"/>
      <c r="X1568" s="82"/>
      <c r="Y1568" s="82"/>
      <c r="Z1568" s="82"/>
      <c r="AA1568" s="82"/>
      <c r="AB1568" s="82"/>
      <c r="AC1568" s="82"/>
      <c r="AD1568" s="82"/>
      <c r="AE1568" s="82"/>
      <c r="AF1568" s="82"/>
      <c r="AG1568" s="82"/>
      <c r="AH1568" s="82"/>
      <c r="AI1568" s="82"/>
      <c r="AJ1568" s="82"/>
      <c r="AK1568" s="82"/>
      <c r="AL1568" s="82"/>
      <c r="AM1568" s="82"/>
      <c r="AN1568" s="82"/>
      <c r="AO1568" s="82"/>
      <c r="AP1568" s="82"/>
      <c r="AQ1568" s="82"/>
      <c r="AR1568" s="82"/>
      <c r="AS1568" s="82"/>
      <c r="AT1568" s="82"/>
      <c r="AU1568" s="82"/>
      <c r="AV1568" s="82"/>
      <c r="AW1568" s="82" t="str">
        <f t="shared" si="1"/>
        <v/>
      </c>
      <c r="AX1568" s="83" t="str">
        <f t="array" ref="AX1568">IFERROR(DGET('SBV Import'!A:G,"SBV",{"RSC ID","Tier";B1568,A1568}))</f>
        <v/>
      </c>
      <c r="AY1568" s="82" t="str">
        <f t="shared" si="2"/>
        <v/>
      </c>
      <c r="AZ1568" s="82"/>
      <c r="BA1568" s="84" t="s">
        <v>152</v>
      </c>
      <c r="BB1568" s="84" t="str">
        <f>IFERROR(__xludf.DUMMYFUNCTION("iferror(if(A1568="""",,E1568&gt;=FILTER(Constants!$F$2:$F$10,Constants!$A$2:$A$10=A1568)))"),"")</f>
        <v/>
      </c>
    </row>
    <row r="1569">
      <c r="A1569" s="89"/>
      <c r="B1569" s="87"/>
      <c r="C1569" s="73"/>
      <c r="D1569" s="73"/>
      <c r="E1569" s="82"/>
      <c r="F1569" s="82"/>
      <c r="G1569" s="86"/>
      <c r="H1569" s="86"/>
      <c r="I1569" s="86"/>
      <c r="J1569" s="82"/>
      <c r="K1569" s="82"/>
      <c r="L1569" s="82"/>
      <c r="M1569" s="82"/>
      <c r="N1569" s="82"/>
      <c r="O1569" s="82"/>
      <c r="P1569" s="82"/>
      <c r="Q1569" s="82"/>
      <c r="R1569" s="82"/>
      <c r="S1569" s="82"/>
      <c r="T1569" s="82"/>
      <c r="U1569" s="82"/>
      <c r="V1569" s="82"/>
      <c r="W1569" s="82"/>
      <c r="X1569" s="82"/>
      <c r="Y1569" s="82"/>
      <c r="Z1569" s="82"/>
      <c r="AA1569" s="82"/>
      <c r="AB1569" s="82"/>
      <c r="AC1569" s="82"/>
      <c r="AD1569" s="82"/>
      <c r="AE1569" s="82"/>
      <c r="AF1569" s="82"/>
      <c r="AG1569" s="82"/>
      <c r="AH1569" s="82"/>
      <c r="AI1569" s="82"/>
      <c r="AJ1569" s="82"/>
      <c r="AK1569" s="82"/>
      <c r="AL1569" s="82"/>
      <c r="AM1569" s="82"/>
      <c r="AN1569" s="82"/>
      <c r="AO1569" s="82"/>
      <c r="AP1569" s="82"/>
      <c r="AQ1569" s="82"/>
      <c r="AR1569" s="82"/>
      <c r="AS1569" s="82"/>
      <c r="AT1569" s="82"/>
      <c r="AU1569" s="82"/>
      <c r="AV1569" s="82"/>
      <c r="AW1569" s="82" t="str">
        <f t="shared" si="1"/>
        <v/>
      </c>
      <c r="AX1569" s="83" t="str">
        <f t="array" ref="AX1569">IFERROR(DGET('SBV Import'!A:G,"SBV",{"RSC ID","Tier";B1569,A1569}))</f>
        <v/>
      </c>
      <c r="AY1569" s="82" t="str">
        <f t="shared" si="2"/>
        <v/>
      </c>
      <c r="AZ1569" s="82"/>
      <c r="BA1569" s="84" t="s">
        <v>152</v>
      </c>
      <c r="BB1569" s="84" t="str">
        <f>IFERROR(__xludf.DUMMYFUNCTION("iferror(if(A1569="""",,E1569&gt;=FILTER(Constants!$F$2:$F$10,Constants!$A$2:$A$10=A1569)))"),"")</f>
        <v/>
      </c>
    </row>
    <row r="1570">
      <c r="A1570" s="89"/>
      <c r="B1570" s="87"/>
      <c r="C1570" s="73"/>
      <c r="D1570" s="73"/>
      <c r="E1570" s="82"/>
      <c r="F1570" s="82"/>
      <c r="G1570" s="86"/>
      <c r="H1570" s="86"/>
      <c r="I1570" s="86"/>
      <c r="J1570" s="82"/>
      <c r="K1570" s="82"/>
      <c r="L1570" s="82"/>
      <c r="M1570" s="82"/>
      <c r="N1570" s="82"/>
      <c r="O1570" s="82"/>
      <c r="P1570" s="82"/>
      <c r="Q1570" s="82"/>
      <c r="R1570" s="82"/>
      <c r="S1570" s="82"/>
      <c r="T1570" s="82"/>
      <c r="U1570" s="82"/>
      <c r="V1570" s="82"/>
      <c r="W1570" s="82"/>
      <c r="X1570" s="82"/>
      <c r="Y1570" s="82"/>
      <c r="Z1570" s="82"/>
      <c r="AA1570" s="82"/>
      <c r="AB1570" s="82"/>
      <c r="AC1570" s="82"/>
      <c r="AD1570" s="82"/>
      <c r="AE1570" s="82"/>
      <c r="AF1570" s="82"/>
      <c r="AG1570" s="82"/>
      <c r="AH1570" s="82"/>
      <c r="AI1570" s="82"/>
      <c r="AJ1570" s="82"/>
      <c r="AK1570" s="82"/>
      <c r="AL1570" s="82"/>
      <c r="AM1570" s="82"/>
      <c r="AN1570" s="82"/>
      <c r="AO1570" s="82"/>
      <c r="AP1570" s="82"/>
      <c r="AQ1570" s="82"/>
      <c r="AR1570" s="82"/>
      <c r="AS1570" s="82"/>
      <c r="AT1570" s="82"/>
      <c r="AU1570" s="82"/>
      <c r="AV1570" s="82"/>
      <c r="AW1570" s="82" t="str">
        <f t="shared" si="1"/>
        <v/>
      </c>
      <c r="AX1570" s="83" t="str">
        <f t="array" ref="AX1570">IFERROR(DGET('SBV Import'!A:G,"SBV",{"RSC ID","Tier";B1570,A1570}))</f>
        <v/>
      </c>
      <c r="AY1570" s="82" t="str">
        <f t="shared" si="2"/>
        <v/>
      </c>
      <c r="AZ1570" s="82"/>
      <c r="BA1570" s="84" t="s">
        <v>152</v>
      </c>
      <c r="BB1570" s="84" t="str">
        <f>IFERROR(__xludf.DUMMYFUNCTION("iferror(if(A1570="""",,E1570&gt;=FILTER(Constants!$F$2:$F$10,Constants!$A$2:$A$10=A1570)))"),"")</f>
        <v/>
      </c>
    </row>
    <row r="1571">
      <c r="A1571" s="89"/>
      <c r="B1571" s="87"/>
      <c r="C1571" s="73"/>
      <c r="D1571" s="73"/>
      <c r="E1571" s="82"/>
      <c r="F1571" s="82"/>
      <c r="G1571" s="86"/>
      <c r="H1571" s="86"/>
      <c r="I1571" s="86"/>
      <c r="J1571" s="82"/>
      <c r="K1571" s="82"/>
      <c r="L1571" s="82"/>
      <c r="M1571" s="82"/>
      <c r="N1571" s="82"/>
      <c r="O1571" s="82"/>
      <c r="P1571" s="82"/>
      <c r="Q1571" s="82"/>
      <c r="R1571" s="82"/>
      <c r="S1571" s="82"/>
      <c r="T1571" s="82"/>
      <c r="U1571" s="82"/>
      <c r="V1571" s="82"/>
      <c r="W1571" s="82"/>
      <c r="X1571" s="82"/>
      <c r="Y1571" s="82"/>
      <c r="Z1571" s="82"/>
      <c r="AA1571" s="82"/>
      <c r="AB1571" s="82"/>
      <c r="AC1571" s="82"/>
      <c r="AD1571" s="82"/>
      <c r="AE1571" s="82"/>
      <c r="AF1571" s="82"/>
      <c r="AG1571" s="82"/>
      <c r="AH1571" s="82"/>
      <c r="AI1571" s="82"/>
      <c r="AJ1571" s="82"/>
      <c r="AK1571" s="82"/>
      <c r="AL1571" s="82"/>
      <c r="AM1571" s="82"/>
      <c r="AN1571" s="82"/>
      <c r="AO1571" s="82"/>
      <c r="AP1571" s="82"/>
      <c r="AQ1571" s="82"/>
      <c r="AR1571" s="82"/>
      <c r="AS1571" s="82"/>
      <c r="AT1571" s="82"/>
      <c r="AU1571" s="82"/>
      <c r="AV1571" s="82"/>
      <c r="AW1571" s="82" t="str">
        <f t="shared" si="1"/>
        <v/>
      </c>
      <c r="AX1571" s="83" t="str">
        <f t="array" ref="AX1571">IFERROR(DGET('SBV Import'!A:G,"SBV",{"RSC ID","Tier";B1571,A1571}))</f>
        <v/>
      </c>
      <c r="AY1571" s="82" t="str">
        <f t="shared" si="2"/>
        <v/>
      </c>
      <c r="AZ1571" s="82"/>
      <c r="BA1571" s="84" t="s">
        <v>152</v>
      </c>
      <c r="BB1571" s="84" t="str">
        <f>IFERROR(__xludf.DUMMYFUNCTION("iferror(if(A1571="""",,E1571&gt;=FILTER(Constants!$F$2:$F$10,Constants!$A$2:$A$10=A1571)))"),"")</f>
        <v/>
      </c>
    </row>
    <row r="1572">
      <c r="A1572" s="89"/>
      <c r="B1572" s="87"/>
      <c r="C1572" s="73"/>
      <c r="D1572" s="73"/>
      <c r="E1572" s="82"/>
      <c r="F1572" s="82"/>
      <c r="G1572" s="86"/>
      <c r="H1572" s="86"/>
      <c r="I1572" s="86"/>
      <c r="J1572" s="82"/>
      <c r="K1572" s="82"/>
      <c r="L1572" s="82"/>
      <c r="M1572" s="82"/>
      <c r="N1572" s="82"/>
      <c r="O1572" s="82"/>
      <c r="P1572" s="82"/>
      <c r="Q1572" s="82"/>
      <c r="R1572" s="82"/>
      <c r="S1572" s="82"/>
      <c r="T1572" s="82"/>
      <c r="U1572" s="82"/>
      <c r="V1572" s="82"/>
      <c r="W1572" s="82"/>
      <c r="X1572" s="82"/>
      <c r="Y1572" s="82"/>
      <c r="Z1572" s="82"/>
      <c r="AA1572" s="82"/>
      <c r="AB1572" s="82"/>
      <c r="AC1572" s="82"/>
      <c r="AD1572" s="82"/>
      <c r="AE1572" s="82"/>
      <c r="AF1572" s="82"/>
      <c r="AG1572" s="82"/>
      <c r="AH1572" s="82"/>
      <c r="AI1572" s="82"/>
      <c r="AJ1572" s="82"/>
      <c r="AK1572" s="82"/>
      <c r="AL1572" s="82"/>
      <c r="AM1572" s="82"/>
      <c r="AN1572" s="82"/>
      <c r="AO1572" s="82"/>
      <c r="AP1572" s="82"/>
      <c r="AQ1572" s="82"/>
      <c r="AR1572" s="82"/>
      <c r="AS1572" s="82"/>
      <c r="AT1572" s="82"/>
      <c r="AU1572" s="82"/>
      <c r="AV1572" s="82"/>
      <c r="AW1572" s="82" t="str">
        <f t="shared" si="1"/>
        <v/>
      </c>
      <c r="AX1572" s="83" t="str">
        <f t="array" ref="AX1572">IFERROR(DGET('SBV Import'!A:G,"SBV",{"RSC ID","Tier";B1572,A1572}))</f>
        <v/>
      </c>
      <c r="AY1572" s="82" t="str">
        <f t="shared" si="2"/>
        <v/>
      </c>
      <c r="AZ1572" s="82"/>
      <c r="BA1572" s="84" t="s">
        <v>152</v>
      </c>
      <c r="BB1572" s="84" t="str">
        <f>IFERROR(__xludf.DUMMYFUNCTION("iferror(if(A1572="""",,E1572&gt;=FILTER(Constants!$F$2:$F$10,Constants!$A$2:$A$10=A1572)))"),"")</f>
        <v/>
      </c>
    </row>
    <row r="1573">
      <c r="A1573" s="89"/>
      <c r="B1573" s="87"/>
      <c r="C1573" s="73"/>
      <c r="D1573" s="73"/>
      <c r="E1573" s="82"/>
      <c r="F1573" s="82"/>
      <c r="G1573" s="86"/>
      <c r="H1573" s="86"/>
      <c r="I1573" s="86"/>
      <c r="J1573" s="82"/>
      <c r="K1573" s="82"/>
      <c r="L1573" s="82"/>
      <c r="M1573" s="82"/>
      <c r="N1573" s="82"/>
      <c r="O1573" s="82"/>
      <c r="P1573" s="82"/>
      <c r="Q1573" s="82"/>
      <c r="R1573" s="82"/>
      <c r="S1573" s="82"/>
      <c r="T1573" s="82"/>
      <c r="U1573" s="82"/>
      <c r="V1573" s="82"/>
      <c r="W1573" s="82"/>
      <c r="X1573" s="82"/>
      <c r="Y1573" s="82"/>
      <c r="Z1573" s="82"/>
      <c r="AA1573" s="82"/>
      <c r="AB1573" s="82"/>
      <c r="AC1573" s="82"/>
      <c r="AD1573" s="82"/>
      <c r="AE1573" s="82"/>
      <c r="AF1573" s="82"/>
      <c r="AG1573" s="82"/>
      <c r="AH1573" s="82"/>
      <c r="AI1573" s="82"/>
      <c r="AJ1573" s="82"/>
      <c r="AK1573" s="82"/>
      <c r="AL1573" s="82"/>
      <c r="AM1573" s="82"/>
      <c r="AN1573" s="82"/>
      <c r="AO1573" s="82"/>
      <c r="AP1573" s="82"/>
      <c r="AQ1573" s="82"/>
      <c r="AR1573" s="82"/>
      <c r="AS1573" s="82"/>
      <c r="AT1573" s="82"/>
      <c r="AU1573" s="82"/>
      <c r="AV1573" s="82"/>
      <c r="AW1573" s="82" t="str">
        <f t="shared" si="1"/>
        <v/>
      </c>
      <c r="AX1573" s="83" t="str">
        <f t="array" ref="AX1573">IFERROR(DGET('SBV Import'!A:G,"SBV",{"RSC ID","Tier";B1573,A1573}))</f>
        <v/>
      </c>
      <c r="AY1573" s="82" t="str">
        <f t="shared" si="2"/>
        <v/>
      </c>
      <c r="AZ1573" s="82"/>
      <c r="BA1573" s="84" t="s">
        <v>152</v>
      </c>
      <c r="BB1573" s="84" t="str">
        <f>IFERROR(__xludf.DUMMYFUNCTION("iferror(if(A1573="""",,E1573&gt;=FILTER(Constants!$F$2:$F$10,Constants!$A$2:$A$10=A1573)))"),"")</f>
        <v/>
      </c>
    </row>
    <row r="1574">
      <c r="A1574" s="89"/>
      <c r="B1574" s="87"/>
      <c r="C1574" s="73"/>
      <c r="D1574" s="73"/>
      <c r="E1574" s="82"/>
      <c r="F1574" s="82"/>
      <c r="G1574" s="86"/>
      <c r="H1574" s="86"/>
      <c r="I1574" s="86"/>
      <c r="J1574" s="82"/>
      <c r="K1574" s="82"/>
      <c r="L1574" s="82"/>
      <c r="M1574" s="82"/>
      <c r="N1574" s="82"/>
      <c r="O1574" s="82"/>
      <c r="P1574" s="82"/>
      <c r="Q1574" s="82"/>
      <c r="R1574" s="82"/>
      <c r="S1574" s="82"/>
      <c r="T1574" s="82"/>
      <c r="U1574" s="82"/>
      <c r="V1574" s="82"/>
      <c r="W1574" s="82"/>
      <c r="X1574" s="82"/>
      <c r="Y1574" s="82"/>
      <c r="Z1574" s="82"/>
      <c r="AA1574" s="82"/>
      <c r="AB1574" s="82"/>
      <c r="AC1574" s="82"/>
      <c r="AD1574" s="82"/>
      <c r="AE1574" s="82"/>
      <c r="AF1574" s="82"/>
      <c r="AG1574" s="82"/>
      <c r="AH1574" s="82"/>
      <c r="AI1574" s="82"/>
      <c r="AJ1574" s="82"/>
      <c r="AK1574" s="82"/>
      <c r="AL1574" s="82"/>
      <c r="AM1574" s="82"/>
      <c r="AN1574" s="82"/>
      <c r="AO1574" s="82"/>
      <c r="AP1574" s="82"/>
      <c r="AQ1574" s="82"/>
      <c r="AR1574" s="82"/>
      <c r="AS1574" s="82"/>
      <c r="AT1574" s="82"/>
      <c r="AU1574" s="82"/>
      <c r="AV1574" s="82"/>
      <c r="AW1574" s="82" t="str">
        <f t="shared" si="1"/>
        <v/>
      </c>
      <c r="AX1574" s="83" t="str">
        <f t="array" ref="AX1574">IFERROR(DGET('SBV Import'!A:G,"SBV",{"RSC ID","Tier";B1574,A1574}))</f>
        <v/>
      </c>
      <c r="AY1574" s="82" t="str">
        <f t="shared" si="2"/>
        <v/>
      </c>
      <c r="AZ1574" s="82"/>
      <c r="BA1574" s="84" t="s">
        <v>152</v>
      </c>
      <c r="BB1574" s="84" t="str">
        <f>IFERROR(__xludf.DUMMYFUNCTION("iferror(if(A1574="""",,E1574&gt;=FILTER(Constants!$F$2:$F$10,Constants!$A$2:$A$10=A1574)))"),"")</f>
        <v/>
      </c>
    </row>
    <row r="1575">
      <c r="A1575" s="89"/>
      <c r="B1575" s="87"/>
      <c r="C1575" s="73"/>
      <c r="D1575" s="73"/>
      <c r="E1575" s="82"/>
      <c r="F1575" s="82"/>
      <c r="G1575" s="86"/>
      <c r="H1575" s="86"/>
      <c r="I1575" s="86"/>
      <c r="J1575" s="82"/>
      <c r="K1575" s="82"/>
      <c r="L1575" s="82"/>
      <c r="M1575" s="82"/>
      <c r="N1575" s="82"/>
      <c r="O1575" s="82"/>
      <c r="P1575" s="82"/>
      <c r="Q1575" s="82"/>
      <c r="R1575" s="82"/>
      <c r="S1575" s="82"/>
      <c r="T1575" s="82"/>
      <c r="U1575" s="82"/>
      <c r="V1575" s="82"/>
      <c r="W1575" s="82"/>
      <c r="X1575" s="82"/>
      <c r="Y1575" s="82"/>
      <c r="Z1575" s="82"/>
      <c r="AA1575" s="82"/>
      <c r="AB1575" s="82"/>
      <c r="AC1575" s="82"/>
      <c r="AD1575" s="82"/>
      <c r="AE1575" s="82"/>
      <c r="AF1575" s="82"/>
      <c r="AG1575" s="82"/>
      <c r="AH1575" s="82"/>
      <c r="AI1575" s="82"/>
      <c r="AJ1575" s="82"/>
      <c r="AK1575" s="82"/>
      <c r="AL1575" s="82"/>
      <c r="AM1575" s="82"/>
      <c r="AN1575" s="82"/>
      <c r="AO1575" s="82"/>
      <c r="AP1575" s="82"/>
      <c r="AQ1575" s="82"/>
      <c r="AR1575" s="82"/>
      <c r="AS1575" s="82"/>
      <c r="AT1575" s="82"/>
      <c r="AU1575" s="82"/>
      <c r="AV1575" s="82"/>
      <c r="AW1575" s="82" t="str">
        <f t="shared" si="1"/>
        <v/>
      </c>
      <c r="AX1575" s="83" t="str">
        <f t="array" ref="AX1575">IFERROR(DGET('SBV Import'!A:G,"SBV",{"RSC ID","Tier";B1575,A1575}))</f>
        <v/>
      </c>
      <c r="AY1575" s="82" t="str">
        <f t="shared" si="2"/>
        <v/>
      </c>
      <c r="AZ1575" s="82"/>
      <c r="BA1575" s="84" t="s">
        <v>152</v>
      </c>
      <c r="BB1575" s="84" t="str">
        <f>IFERROR(__xludf.DUMMYFUNCTION("iferror(if(A1575="""",,E1575&gt;=FILTER(Constants!$F$2:$F$10,Constants!$A$2:$A$10=A1575)))"),"")</f>
        <v/>
      </c>
    </row>
    <row r="1576">
      <c r="A1576" s="89"/>
      <c r="B1576" s="87"/>
      <c r="C1576" s="73"/>
      <c r="D1576" s="73"/>
      <c r="E1576" s="82"/>
      <c r="F1576" s="82"/>
      <c r="G1576" s="86"/>
      <c r="H1576" s="86"/>
      <c r="I1576" s="86"/>
      <c r="J1576" s="82"/>
      <c r="K1576" s="82"/>
      <c r="L1576" s="82"/>
      <c r="M1576" s="82"/>
      <c r="N1576" s="82"/>
      <c r="O1576" s="82"/>
      <c r="P1576" s="82"/>
      <c r="Q1576" s="82"/>
      <c r="R1576" s="82"/>
      <c r="S1576" s="82"/>
      <c r="T1576" s="82"/>
      <c r="U1576" s="82"/>
      <c r="V1576" s="82"/>
      <c r="W1576" s="82"/>
      <c r="X1576" s="82"/>
      <c r="Y1576" s="82"/>
      <c r="Z1576" s="82"/>
      <c r="AA1576" s="82"/>
      <c r="AB1576" s="82"/>
      <c r="AC1576" s="82"/>
      <c r="AD1576" s="82"/>
      <c r="AE1576" s="82"/>
      <c r="AF1576" s="82"/>
      <c r="AG1576" s="82"/>
      <c r="AH1576" s="82"/>
      <c r="AI1576" s="82"/>
      <c r="AJ1576" s="82"/>
      <c r="AK1576" s="82"/>
      <c r="AL1576" s="82"/>
      <c r="AM1576" s="82"/>
      <c r="AN1576" s="82"/>
      <c r="AO1576" s="82"/>
      <c r="AP1576" s="82"/>
      <c r="AQ1576" s="82"/>
      <c r="AR1576" s="82"/>
      <c r="AS1576" s="82"/>
      <c r="AT1576" s="82"/>
      <c r="AU1576" s="82"/>
      <c r="AV1576" s="82"/>
      <c r="AW1576" s="82" t="str">
        <f t="shared" si="1"/>
        <v/>
      </c>
      <c r="AX1576" s="83" t="str">
        <f t="array" ref="AX1576">IFERROR(DGET('SBV Import'!A:G,"SBV",{"RSC ID","Tier";B1576,A1576}))</f>
        <v/>
      </c>
      <c r="AY1576" s="82" t="str">
        <f t="shared" si="2"/>
        <v/>
      </c>
      <c r="AZ1576" s="82"/>
      <c r="BA1576" s="84" t="s">
        <v>152</v>
      </c>
      <c r="BB1576" s="84" t="str">
        <f>IFERROR(__xludf.DUMMYFUNCTION("iferror(if(A1576="""",,E1576&gt;=FILTER(Constants!$F$2:$F$10,Constants!$A$2:$A$10=A1576)))"),"")</f>
        <v/>
      </c>
    </row>
    <row r="1577">
      <c r="A1577" s="89"/>
      <c r="B1577" s="87"/>
      <c r="C1577" s="73"/>
      <c r="D1577" s="73"/>
      <c r="E1577" s="82"/>
      <c r="F1577" s="82"/>
      <c r="G1577" s="86"/>
      <c r="H1577" s="86"/>
      <c r="I1577" s="86"/>
      <c r="J1577" s="82"/>
      <c r="K1577" s="82"/>
      <c r="L1577" s="82"/>
      <c r="M1577" s="82"/>
      <c r="N1577" s="82"/>
      <c r="O1577" s="82"/>
      <c r="P1577" s="82"/>
      <c r="Q1577" s="82"/>
      <c r="R1577" s="82"/>
      <c r="S1577" s="82"/>
      <c r="T1577" s="82"/>
      <c r="U1577" s="82"/>
      <c r="V1577" s="82"/>
      <c r="W1577" s="82"/>
      <c r="X1577" s="82"/>
      <c r="Y1577" s="82"/>
      <c r="Z1577" s="82"/>
      <c r="AA1577" s="82"/>
      <c r="AB1577" s="82"/>
      <c r="AC1577" s="82"/>
      <c r="AD1577" s="82"/>
      <c r="AE1577" s="82"/>
      <c r="AF1577" s="82"/>
      <c r="AG1577" s="82"/>
      <c r="AH1577" s="82"/>
      <c r="AI1577" s="82"/>
      <c r="AJ1577" s="82"/>
      <c r="AK1577" s="82"/>
      <c r="AL1577" s="82"/>
      <c r="AM1577" s="82"/>
      <c r="AN1577" s="82"/>
      <c r="AO1577" s="82"/>
      <c r="AP1577" s="82"/>
      <c r="AQ1577" s="82"/>
      <c r="AR1577" s="82"/>
      <c r="AS1577" s="82"/>
      <c r="AT1577" s="82"/>
      <c r="AU1577" s="82"/>
      <c r="AV1577" s="82"/>
      <c r="AW1577" s="82" t="str">
        <f t="shared" si="1"/>
        <v/>
      </c>
      <c r="AX1577" s="83" t="str">
        <f t="array" ref="AX1577">IFERROR(DGET('SBV Import'!A:G,"SBV",{"RSC ID","Tier";B1577,A1577}))</f>
        <v/>
      </c>
      <c r="AY1577" s="82" t="str">
        <f t="shared" si="2"/>
        <v/>
      </c>
      <c r="AZ1577" s="82"/>
      <c r="BA1577" s="84" t="s">
        <v>152</v>
      </c>
      <c r="BB1577" s="84" t="str">
        <f>IFERROR(__xludf.DUMMYFUNCTION("iferror(if(A1577="""",,E1577&gt;=FILTER(Constants!$F$2:$F$10,Constants!$A$2:$A$10=A1577)))"),"")</f>
        <v/>
      </c>
    </row>
    <row r="1578">
      <c r="A1578" s="89"/>
      <c r="B1578" s="87"/>
      <c r="C1578" s="73"/>
      <c r="D1578" s="73"/>
      <c r="E1578" s="82"/>
      <c r="F1578" s="82"/>
      <c r="G1578" s="86"/>
      <c r="H1578" s="86"/>
      <c r="I1578" s="86"/>
      <c r="J1578" s="82"/>
      <c r="K1578" s="82"/>
      <c r="L1578" s="82"/>
      <c r="M1578" s="82"/>
      <c r="N1578" s="82"/>
      <c r="O1578" s="82"/>
      <c r="P1578" s="82"/>
      <c r="Q1578" s="82"/>
      <c r="R1578" s="82"/>
      <c r="S1578" s="82"/>
      <c r="T1578" s="82"/>
      <c r="U1578" s="82"/>
      <c r="V1578" s="82"/>
      <c r="W1578" s="82"/>
      <c r="X1578" s="82"/>
      <c r="Y1578" s="82"/>
      <c r="Z1578" s="82"/>
      <c r="AA1578" s="82"/>
      <c r="AB1578" s="82"/>
      <c r="AC1578" s="82"/>
      <c r="AD1578" s="82"/>
      <c r="AE1578" s="82"/>
      <c r="AF1578" s="82"/>
      <c r="AG1578" s="82"/>
      <c r="AH1578" s="82"/>
      <c r="AI1578" s="82"/>
      <c r="AJ1578" s="82"/>
      <c r="AK1578" s="82"/>
      <c r="AL1578" s="82"/>
      <c r="AM1578" s="82"/>
      <c r="AN1578" s="82"/>
      <c r="AO1578" s="82"/>
      <c r="AP1578" s="82"/>
      <c r="AQ1578" s="82"/>
      <c r="AR1578" s="82"/>
      <c r="AS1578" s="82"/>
      <c r="AT1578" s="82"/>
      <c r="AU1578" s="82"/>
      <c r="AV1578" s="82"/>
      <c r="AW1578" s="82" t="str">
        <f t="shared" si="1"/>
        <v/>
      </c>
      <c r="AX1578" s="83" t="str">
        <f t="array" ref="AX1578">IFERROR(DGET('SBV Import'!A:G,"SBV",{"RSC ID","Tier";B1578,A1578}))</f>
        <v/>
      </c>
      <c r="AY1578" s="82" t="str">
        <f t="shared" si="2"/>
        <v/>
      </c>
      <c r="AZ1578" s="82"/>
      <c r="BA1578" s="84" t="s">
        <v>152</v>
      </c>
      <c r="BB1578" s="84" t="str">
        <f>IFERROR(__xludf.DUMMYFUNCTION("iferror(if(A1578="""",,E1578&gt;=FILTER(Constants!$F$2:$F$10,Constants!$A$2:$A$10=A1578)))"),"")</f>
        <v/>
      </c>
    </row>
    <row r="1579">
      <c r="A1579" s="89"/>
      <c r="B1579" s="87"/>
      <c r="C1579" s="73"/>
      <c r="D1579" s="73"/>
      <c r="E1579" s="82"/>
      <c r="F1579" s="82"/>
      <c r="G1579" s="86"/>
      <c r="H1579" s="86"/>
      <c r="I1579" s="86"/>
      <c r="J1579" s="82"/>
      <c r="K1579" s="82"/>
      <c r="L1579" s="82"/>
      <c r="M1579" s="82"/>
      <c r="N1579" s="82"/>
      <c r="O1579" s="82"/>
      <c r="P1579" s="82"/>
      <c r="Q1579" s="82"/>
      <c r="R1579" s="82"/>
      <c r="S1579" s="82"/>
      <c r="T1579" s="82"/>
      <c r="U1579" s="82"/>
      <c r="V1579" s="82"/>
      <c r="W1579" s="82"/>
      <c r="X1579" s="82"/>
      <c r="Y1579" s="82"/>
      <c r="Z1579" s="82"/>
      <c r="AA1579" s="82"/>
      <c r="AB1579" s="82"/>
      <c r="AC1579" s="82"/>
      <c r="AD1579" s="82"/>
      <c r="AE1579" s="82"/>
      <c r="AF1579" s="82"/>
      <c r="AG1579" s="82"/>
      <c r="AH1579" s="82"/>
      <c r="AI1579" s="82"/>
      <c r="AJ1579" s="82"/>
      <c r="AK1579" s="82"/>
      <c r="AL1579" s="82"/>
      <c r="AM1579" s="82"/>
      <c r="AN1579" s="82"/>
      <c r="AO1579" s="82"/>
      <c r="AP1579" s="82"/>
      <c r="AQ1579" s="82"/>
      <c r="AR1579" s="82"/>
      <c r="AS1579" s="82"/>
      <c r="AT1579" s="82"/>
      <c r="AU1579" s="82"/>
      <c r="AV1579" s="82"/>
      <c r="AW1579" s="82" t="str">
        <f t="shared" si="1"/>
        <v/>
      </c>
      <c r="AX1579" s="83" t="str">
        <f t="array" ref="AX1579">IFERROR(DGET('SBV Import'!A:G,"SBV",{"RSC ID","Tier";B1579,A1579}))</f>
        <v/>
      </c>
      <c r="AY1579" s="82" t="str">
        <f t="shared" si="2"/>
        <v/>
      </c>
      <c r="AZ1579" s="82"/>
      <c r="BA1579" s="84" t="s">
        <v>152</v>
      </c>
      <c r="BB1579" s="84" t="str">
        <f>IFERROR(__xludf.DUMMYFUNCTION("iferror(if(A1579="""",,E1579&gt;=FILTER(Constants!$F$2:$F$10,Constants!$A$2:$A$10=A1579)))"),"")</f>
        <v/>
      </c>
    </row>
    <row r="1580">
      <c r="A1580" s="89"/>
      <c r="B1580" s="87"/>
      <c r="C1580" s="73"/>
      <c r="D1580" s="73"/>
      <c r="E1580" s="82"/>
      <c r="F1580" s="82"/>
      <c r="G1580" s="86"/>
      <c r="H1580" s="86"/>
      <c r="I1580" s="86"/>
      <c r="J1580" s="82"/>
      <c r="K1580" s="82"/>
      <c r="L1580" s="82"/>
      <c r="M1580" s="82"/>
      <c r="N1580" s="82"/>
      <c r="O1580" s="82"/>
      <c r="P1580" s="82"/>
      <c r="Q1580" s="82"/>
      <c r="R1580" s="82"/>
      <c r="S1580" s="82"/>
      <c r="T1580" s="82"/>
      <c r="U1580" s="82"/>
      <c r="V1580" s="82"/>
      <c r="W1580" s="82"/>
      <c r="X1580" s="82"/>
      <c r="Y1580" s="82"/>
      <c r="Z1580" s="82"/>
      <c r="AA1580" s="82"/>
      <c r="AB1580" s="82"/>
      <c r="AC1580" s="82"/>
      <c r="AD1580" s="82"/>
      <c r="AE1580" s="82"/>
      <c r="AF1580" s="82"/>
      <c r="AG1580" s="82"/>
      <c r="AH1580" s="82"/>
      <c r="AI1580" s="82"/>
      <c r="AJ1580" s="82"/>
      <c r="AK1580" s="82"/>
      <c r="AL1580" s="82"/>
      <c r="AM1580" s="82"/>
      <c r="AN1580" s="82"/>
      <c r="AO1580" s="82"/>
      <c r="AP1580" s="82"/>
      <c r="AQ1580" s="82"/>
      <c r="AR1580" s="82"/>
      <c r="AS1580" s="82"/>
      <c r="AT1580" s="82"/>
      <c r="AU1580" s="82"/>
      <c r="AV1580" s="82"/>
      <c r="AW1580" s="82" t="str">
        <f t="shared" si="1"/>
        <v/>
      </c>
      <c r="AX1580" s="83" t="str">
        <f t="array" ref="AX1580">IFERROR(DGET('SBV Import'!A:G,"SBV",{"RSC ID","Tier";B1580,A1580}))</f>
        <v/>
      </c>
      <c r="AY1580" s="82" t="str">
        <f t="shared" si="2"/>
        <v/>
      </c>
      <c r="AZ1580" s="82"/>
      <c r="BA1580" s="84" t="s">
        <v>152</v>
      </c>
      <c r="BB1580" s="84" t="str">
        <f>IFERROR(__xludf.DUMMYFUNCTION("iferror(if(A1580="""",,E1580&gt;=FILTER(Constants!$F$2:$F$10,Constants!$A$2:$A$10=A1580)))"),"")</f>
        <v/>
      </c>
    </row>
    <row r="1581">
      <c r="A1581" s="89"/>
      <c r="B1581" s="87"/>
      <c r="C1581" s="73"/>
      <c r="D1581" s="73"/>
      <c r="E1581" s="82"/>
      <c r="F1581" s="82"/>
      <c r="G1581" s="86"/>
      <c r="H1581" s="86"/>
      <c r="I1581" s="86"/>
      <c r="J1581" s="82"/>
      <c r="K1581" s="82"/>
      <c r="L1581" s="82"/>
      <c r="M1581" s="82"/>
      <c r="N1581" s="82"/>
      <c r="O1581" s="82"/>
      <c r="P1581" s="82"/>
      <c r="Q1581" s="82"/>
      <c r="R1581" s="82"/>
      <c r="S1581" s="82"/>
      <c r="T1581" s="82"/>
      <c r="U1581" s="82"/>
      <c r="V1581" s="82"/>
      <c r="W1581" s="82"/>
      <c r="X1581" s="82"/>
      <c r="Y1581" s="82"/>
      <c r="Z1581" s="82"/>
      <c r="AA1581" s="82"/>
      <c r="AB1581" s="82"/>
      <c r="AC1581" s="82"/>
      <c r="AD1581" s="82"/>
      <c r="AE1581" s="82"/>
      <c r="AF1581" s="82"/>
      <c r="AG1581" s="82"/>
      <c r="AH1581" s="82"/>
      <c r="AI1581" s="82"/>
      <c r="AJ1581" s="82"/>
      <c r="AK1581" s="82"/>
      <c r="AL1581" s="82"/>
      <c r="AM1581" s="82"/>
      <c r="AN1581" s="82"/>
      <c r="AO1581" s="82"/>
      <c r="AP1581" s="82"/>
      <c r="AQ1581" s="82"/>
      <c r="AR1581" s="82"/>
      <c r="AS1581" s="82"/>
      <c r="AT1581" s="82"/>
      <c r="AU1581" s="82"/>
      <c r="AV1581" s="82"/>
      <c r="AW1581" s="82" t="str">
        <f t="shared" si="1"/>
        <v/>
      </c>
      <c r="AX1581" s="83" t="str">
        <f t="array" ref="AX1581">IFERROR(DGET('SBV Import'!A:G,"SBV",{"RSC ID","Tier";B1581,A1581}))</f>
        <v/>
      </c>
      <c r="AY1581" s="82" t="str">
        <f t="shared" si="2"/>
        <v/>
      </c>
      <c r="AZ1581" s="82"/>
      <c r="BA1581" s="84" t="s">
        <v>152</v>
      </c>
      <c r="BB1581" s="84" t="str">
        <f>IFERROR(__xludf.DUMMYFUNCTION("iferror(if(A1581="""",,E1581&gt;=FILTER(Constants!$F$2:$F$10,Constants!$A$2:$A$10=A1581)))"),"")</f>
        <v/>
      </c>
    </row>
    <row r="1582">
      <c r="A1582" s="89"/>
      <c r="B1582" s="87"/>
      <c r="C1582" s="73"/>
      <c r="D1582" s="73"/>
      <c r="E1582" s="82"/>
      <c r="F1582" s="82"/>
      <c r="G1582" s="86"/>
      <c r="H1582" s="86"/>
      <c r="I1582" s="86"/>
      <c r="J1582" s="82"/>
      <c r="K1582" s="82"/>
      <c r="L1582" s="82"/>
      <c r="M1582" s="82"/>
      <c r="N1582" s="82"/>
      <c r="O1582" s="82"/>
      <c r="P1582" s="82"/>
      <c r="Q1582" s="82"/>
      <c r="R1582" s="82"/>
      <c r="S1582" s="82"/>
      <c r="T1582" s="82"/>
      <c r="U1582" s="82"/>
      <c r="V1582" s="82"/>
      <c r="W1582" s="82"/>
      <c r="X1582" s="82"/>
      <c r="Y1582" s="82"/>
      <c r="Z1582" s="82"/>
      <c r="AA1582" s="82"/>
      <c r="AB1582" s="82"/>
      <c r="AC1582" s="82"/>
      <c r="AD1582" s="82"/>
      <c r="AE1582" s="82"/>
      <c r="AF1582" s="82"/>
      <c r="AG1582" s="82"/>
      <c r="AH1582" s="82"/>
      <c r="AI1582" s="82"/>
      <c r="AJ1582" s="82"/>
      <c r="AK1582" s="82"/>
      <c r="AL1582" s="82"/>
      <c r="AM1582" s="82"/>
      <c r="AN1582" s="82"/>
      <c r="AO1582" s="82"/>
      <c r="AP1582" s="82"/>
      <c r="AQ1582" s="82"/>
      <c r="AR1582" s="82"/>
      <c r="AS1582" s="82"/>
      <c r="AT1582" s="82"/>
      <c r="AU1582" s="82"/>
      <c r="AV1582" s="82"/>
      <c r="AW1582" s="82" t="str">
        <f t="shared" si="1"/>
        <v/>
      </c>
      <c r="AX1582" s="83" t="str">
        <f t="array" ref="AX1582">IFERROR(DGET('SBV Import'!A:G,"SBV",{"RSC ID","Tier";B1582,A1582}))</f>
        <v/>
      </c>
      <c r="AY1582" s="82" t="str">
        <f t="shared" si="2"/>
        <v/>
      </c>
      <c r="AZ1582" s="82"/>
      <c r="BA1582" s="84" t="s">
        <v>152</v>
      </c>
      <c r="BB1582" s="84" t="str">
        <f>IFERROR(__xludf.DUMMYFUNCTION("iferror(if(A1582="""",,E1582&gt;=FILTER(Constants!$F$2:$F$10,Constants!$A$2:$A$10=A1582)))"),"")</f>
        <v/>
      </c>
    </row>
    <row r="1583">
      <c r="A1583" s="89"/>
      <c r="B1583" s="87"/>
      <c r="C1583" s="73"/>
      <c r="D1583" s="73"/>
      <c r="E1583" s="82"/>
      <c r="F1583" s="82"/>
      <c r="G1583" s="86"/>
      <c r="H1583" s="86"/>
      <c r="I1583" s="86"/>
      <c r="J1583" s="82"/>
      <c r="K1583" s="82"/>
      <c r="L1583" s="82"/>
      <c r="M1583" s="82"/>
      <c r="N1583" s="82"/>
      <c r="O1583" s="82"/>
      <c r="P1583" s="82"/>
      <c r="Q1583" s="82"/>
      <c r="R1583" s="82"/>
      <c r="S1583" s="82"/>
      <c r="T1583" s="82"/>
      <c r="U1583" s="82"/>
      <c r="V1583" s="82"/>
      <c r="W1583" s="82"/>
      <c r="X1583" s="82"/>
      <c r="Y1583" s="82"/>
      <c r="Z1583" s="82"/>
      <c r="AA1583" s="82"/>
      <c r="AB1583" s="82"/>
      <c r="AC1583" s="82"/>
      <c r="AD1583" s="82"/>
      <c r="AE1583" s="82"/>
      <c r="AF1583" s="82"/>
      <c r="AG1583" s="82"/>
      <c r="AH1583" s="82"/>
      <c r="AI1583" s="82"/>
      <c r="AJ1583" s="82"/>
      <c r="AK1583" s="82"/>
      <c r="AL1583" s="82"/>
      <c r="AM1583" s="82"/>
      <c r="AN1583" s="82"/>
      <c r="AO1583" s="82"/>
      <c r="AP1583" s="82"/>
      <c r="AQ1583" s="82"/>
      <c r="AR1583" s="82"/>
      <c r="AS1583" s="82"/>
      <c r="AT1583" s="82"/>
      <c r="AU1583" s="82"/>
      <c r="AV1583" s="82"/>
      <c r="AW1583" s="82" t="str">
        <f t="shared" si="1"/>
        <v/>
      </c>
      <c r="AX1583" s="83" t="str">
        <f t="array" ref="AX1583">IFERROR(DGET('SBV Import'!A:G,"SBV",{"RSC ID","Tier";B1583,A1583}))</f>
        <v/>
      </c>
      <c r="AY1583" s="82" t="str">
        <f t="shared" si="2"/>
        <v/>
      </c>
      <c r="AZ1583" s="82"/>
      <c r="BA1583" s="84" t="s">
        <v>152</v>
      </c>
      <c r="BB1583" s="84" t="str">
        <f>IFERROR(__xludf.DUMMYFUNCTION("iferror(if(A1583="""",,E1583&gt;=FILTER(Constants!$F$2:$F$10,Constants!$A$2:$A$10=A1583)))"),"")</f>
        <v/>
      </c>
    </row>
    <row r="1584">
      <c r="A1584" s="89"/>
      <c r="B1584" s="87"/>
      <c r="C1584" s="73"/>
      <c r="D1584" s="73"/>
      <c r="E1584" s="82"/>
      <c r="F1584" s="82"/>
      <c r="G1584" s="86"/>
      <c r="H1584" s="86"/>
      <c r="I1584" s="86"/>
      <c r="J1584" s="82"/>
      <c r="K1584" s="82"/>
      <c r="L1584" s="82"/>
      <c r="M1584" s="82"/>
      <c r="N1584" s="82"/>
      <c r="O1584" s="82"/>
      <c r="P1584" s="82"/>
      <c r="Q1584" s="82"/>
      <c r="R1584" s="82"/>
      <c r="S1584" s="82"/>
      <c r="T1584" s="82"/>
      <c r="U1584" s="82"/>
      <c r="V1584" s="82"/>
      <c r="W1584" s="82"/>
      <c r="X1584" s="82"/>
      <c r="Y1584" s="82"/>
      <c r="Z1584" s="82"/>
      <c r="AA1584" s="82"/>
      <c r="AB1584" s="82"/>
      <c r="AC1584" s="82"/>
      <c r="AD1584" s="82"/>
      <c r="AE1584" s="82"/>
      <c r="AF1584" s="82"/>
      <c r="AG1584" s="82"/>
      <c r="AH1584" s="82"/>
      <c r="AI1584" s="82"/>
      <c r="AJ1584" s="82"/>
      <c r="AK1584" s="82"/>
      <c r="AL1584" s="82"/>
      <c r="AM1584" s="82"/>
      <c r="AN1584" s="82"/>
      <c r="AO1584" s="82"/>
      <c r="AP1584" s="82"/>
      <c r="AQ1584" s="82"/>
      <c r="AR1584" s="82"/>
      <c r="AS1584" s="82"/>
      <c r="AT1584" s="82"/>
      <c r="AU1584" s="82"/>
      <c r="AV1584" s="82"/>
      <c r="AW1584" s="82" t="str">
        <f t="shared" si="1"/>
        <v/>
      </c>
      <c r="AX1584" s="83" t="str">
        <f t="array" ref="AX1584">IFERROR(DGET('SBV Import'!A:G,"SBV",{"RSC ID","Tier";B1584,A1584}))</f>
        <v/>
      </c>
      <c r="AY1584" s="82" t="str">
        <f t="shared" si="2"/>
        <v/>
      </c>
      <c r="AZ1584" s="82"/>
      <c r="BA1584" s="84" t="s">
        <v>152</v>
      </c>
      <c r="BB1584" s="84" t="str">
        <f>IFERROR(__xludf.DUMMYFUNCTION("iferror(if(A1584="""",,E1584&gt;=FILTER(Constants!$F$2:$F$10,Constants!$A$2:$A$10=A1584)))"),"")</f>
        <v/>
      </c>
    </row>
    <row r="1585">
      <c r="A1585" s="89"/>
      <c r="B1585" s="87"/>
      <c r="C1585" s="73"/>
      <c r="D1585" s="73"/>
      <c r="E1585" s="82"/>
      <c r="F1585" s="82"/>
      <c r="G1585" s="86"/>
      <c r="H1585" s="86"/>
      <c r="I1585" s="86"/>
      <c r="J1585" s="82"/>
      <c r="K1585" s="82"/>
      <c r="L1585" s="82"/>
      <c r="M1585" s="82"/>
      <c r="N1585" s="82"/>
      <c r="O1585" s="82"/>
      <c r="P1585" s="82"/>
      <c r="Q1585" s="82"/>
      <c r="R1585" s="82"/>
      <c r="S1585" s="82"/>
      <c r="T1585" s="82"/>
      <c r="U1585" s="82"/>
      <c r="V1585" s="82"/>
      <c r="W1585" s="82"/>
      <c r="X1585" s="82"/>
      <c r="Y1585" s="82"/>
      <c r="Z1585" s="82"/>
      <c r="AA1585" s="82"/>
      <c r="AB1585" s="82"/>
      <c r="AC1585" s="82"/>
      <c r="AD1585" s="82"/>
      <c r="AE1585" s="82"/>
      <c r="AF1585" s="82"/>
      <c r="AG1585" s="82"/>
      <c r="AH1585" s="82"/>
      <c r="AI1585" s="82"/>
      <c r="AJ1585" s="82"/>
      <c r="AK1585" s="82"/>
      <c r="AL1585" s="82"/>
      <c r="AM1585" s="82"/>
      <c r="AN1585" s="82"/>
      <c r="AO1585" s="82"/>
      <c r="AP1585" s="82"/>
      <c r="AQ1585" s="82"/>
      <c r="AR1585" s="82"/>
      <c r="AS1585" s="82"/>
      <c r="AT1585" s="82"/>
      <c r="AU1585" s="82"/>
      <c r="AV1585" s="82"/>
      <c r="AW1585" s="82" t="str">
        <f t="shared" si="1"/>
        <v/>
      </c>
      <c r="AX1585" s="83" t="str">
        <f t="array" ref="AX1585">IFERROR(DGET('SBV Import'!A:G,"SBV",{"RSC ID","Tier";B1585,A1585}))</f>
        <v/>
      </c>
      <c r="AY1585" s="82" t="str">
        <f t="shared" si="2"/>
        <v/>
      </c>
      <c r="AZ1585" s="82"/>
      <c r="BA1585" s="84" t="s">
        <v>152</v>
      </c>
      <c r="BB1585" s="84" t="str">
        <f>IFERROR(__xludf.DUMMYFUNCTION("iferror(if(A1585="""",,E1585&gt;=FILTER(Constants!$F$2:$F$10,Constants!$A$2:$A$10=A1585)))"),"")</f>
        <v/>
      </c>
    </row>
    <row r="1586">
      <c r="A1586" s="89"/>
      <c r="B1586" s="87"/>
      <c r="C1586" s="73"/>
      <c r="D1586" s="73"/>
      <c r="E1586" s="82"/>
      <c r="F1586" s="82"/>
      <c r="G1586" s="86"/>
      <c r="H1586" s="86"/>
      <c r="I1586" s="86"/>
      <c r="J1586" s="82"/>
      <c r="K1586" s="82"/>
      <c r="L1586" s="82"/>
      <c r="M1586" s="82"/>
      <c r="N1586" s="82"/>
      <c r="O1586" s="82"/>
      <c r="P1586" s="82"/>
      <c r="Q1586" s="82"/>
      <c r="R1586" s="82"/>
      <c r="S1586" s="82"/>
      <c r="T1586" s="82"/>
      <c r="U1586" s="82"/>
      <c r="V1586" s="82"/>
      <c r="W1586" s="82"/>
      <c r="X1586" s="82"/>
      <c r="Y1586" s="82"/>
      <c r="Z1586" s="82"/>
      <c r="AA1586" s="82"/>
      <c r="AB1586" s="82"/>
      <c r="AC1586" s="82"/>
      <c r="AD1586" s="82"/>
      <c r="AE1586" s="82"/>
      <c r="AF1586" s="82"/>
      <c r="AG1586" s="82"/>
      <c r="AH1586" s="82"/>
      <c r="AI1586" s="82"/>
      <c r="AJ1586" s="82"/>
      <c r="AK1586" s="82"/>
      <c r="AL1586" s="82"/>
      <c r="AM1586" s="82"/>
      <c r="AN1586" s="82"/>
      <c r="AO1586" s="82"/>
      <c r="AP1586" s="82"/>
      <c r="AQ1586" s="82"/>
      <c r="AR1586" s="82"/>
      <c r="AS1586" s="82"/>
      <c r="AT1586" s="82"/>
      <c r="AU1586" s="82"/>
      <c r="AV1586" s="82"/>
      <c r="AW1586" s="82" t="str">
        <f t="shared" si="1"/>
        <v/>
      </c>
      <c r="AX1586" s="83" t="str">
        <f t="array" ref="AX1586">IFERROR(DGET('SBV Import'!A:G,"SBV",{"RSC ID","Tier";B1586,A1586}))</f>
        <v/>
      </c>
      <c r="AY1586" s="82" t="str">
        <f t="shared" si="2"/>
        <v/>
      </c>
      <c r="AZ1586" s="82"/>
      <c r="BA1586" s="84" t="s">
        <v>152</v>
      </c>
      <c r="BB1586" s="84" t="str">
        <f>IFERROR(__xludf.DUMMYFUNCTION("iferror(if(A1586="""",,E1586&gt;=FILTER(Constants!$F$2:$F$10,Constants!$A$2:$A$10=A1586)))"),"")</f>
        <v/>
      </c>
    </row>
    <row r="1587">
      <c r="A1587" s="89"/>
      <c r="B1587" s="87"/>
      <c r="C1587" s="73"/>
      <c r="D1587" s="73"/>
      <c r="E1587" s="82"/>
      <c r="F1587" s="82"/>
      <c r="G1587" s="86"/>
      <c r="H1587" s="86"/>
      <c r="I1587" s="86"/>
      <c r="J1587" s="82"/>
      <c r="K1587" s="82"/>
      <c r="L1587" s="82"/>
      <c r="M1587" s="82"/>
      <c r="N1587" s="82"/>
      <c r="O1587" s="82"/>
      <c r="P1587" s="82"/>
      <c r="Q1587" s="82"/>
      <c r="R1587" s="82"/>
      <c r="S1587" s="82"/>
      <c r="T1587" s="82"/>
      <c r="U1587" s="82"/>
      <c r="V1587" s="82"/>
      <c r="W1587" s="82"/>
      <c r="X1587" s="82"/>
      <c r="Y1587" s="82"/>
      <c r="Z1587" s="82"/>
      <c r="AA1587" s="82"/>
      <c r="AB1587" s="82"/>
      <c r="AC1587" s="82"/>
      <c r="AD1587" s="82"/>
      <c r="AE1587" s="82"/>
      <c r="AF1587" s="82"/>
      <c r="AG1587" s="82"/>
      <c r="AH1587" s="82"/>
      <c r="AI1587" s="82"/>
      <c r="AJ1587" s="82"/>
      <c r="AK1587" s="82"/>
      <c r="AL1587" s="82"/>
      <c r="AM1587" s="82"/>
      <c r="AN1587" s="82"/>
      <c r="AO1587" s="82"/>
      <c r="AP1587" s="82"/>
      <c r="AQ1587" s="82"/>
      <c r="AR1587" s="82"/>
      <c r="AS1587" s="82"/>
      <c r="AT1587" s="82"/>
      <c r="AU1587" s="82"/>
      <c r="AV1587" s="82"/>
      <c r="AW1587" s="82" t="str">
        <f t="shared" si="1"/>
        <v/>
      </c>
      <c r="AX1587" s="83" t="str">
        <f t="array" ref="AX1587">IFERROR(DGET('SBV Import'!A:G,"SBV",{"RSC ID","Tier";B1587,A1587}))</f>
        <v/>
      </c>
      <c r="AY1587" s="82" t="str">
        <f t="shared" si="2"/>
        <v/>
      </c>
      <c r="AZ1587" s="82"/>
      <c r="BA1587" s="84" t="s">
        <v>152</v>
      </c>
      <c r="BB1587" s="84" t="str">
        <f>IFERROR(__xludf.DUMMYFUNCTION("iferror(if(A1587="""",,E1587&gt;=FILTER(Constants!$F$2:$F$10,Constants!$A$2:$A$10=A1587)))"),"")</f>
        <v/>
      </c>
    </row>
    <row r="1588">
      <c r="A1588" s="89"/>
      <c r="B1588" s="87"/>
      <c r="C1588" s="73"/>
      <c r="D1588" s="73"/>
      <c r="E1588" s="82"/>
      <c r="F1588" s="82"/>
      <c r="G1588" s="86"/>
      <c r="H1588" s="86"/>
      <c r="I1588" s="86"/>
      <c r="J1588" s="82"/>
      <c r="K1588" s="82"/>
      <c r="L1588" s="82"/>
      <c r="M1588" s="82"/>
      <c r="N1588" s="82"/>
      <c r="O1588" s="82"/>
      <c r="P1588" s="82"/>
      <c r="Q1588" s="82"/>
      <c r="R1588" s="82"/>
      <c r="S1588" s="82"/>
      <c r="T1588" s="82"/>
      <c r="U1588" s="82"/>
      <c r="V1588" s="82"/>
      <c r="W1588" s="82"/>
      <c r="X1588" s="82"/>
      <c r="Y1588" s="82"/>
      <c r="Z1588" s="82"/>
      <c r="AA1588" s="82"/>
      <c r="AB1588" s="82"/>
      <c r="AC1588" s="82"/>
      <c r="AD1588" s="82"/>
      <c r="AE1588" s="82"/>
      <c r="AF1588" s="82"/>
      <c r="AG1588" s="82"/>
      <c r="AH1588" s="82"/>
      <c r="AI1588" s="82"/>
      <c r="AJ1588" s="82"/>
      <c r="AK1588" s="82"/>
      <c r="AL1588" s="82"/>
      <c r="AM1588" s="82"/>
      <c r="AN1588" s="82"/>
      <c r="AO1588" s="82"/>
      <c r="AP1588" s="82"/>
      <c r="AQ1588" s="82"/>
      <c r="AR1588" s="82"/>
      <c r="AS1588" s="82"/>
      <c r="AT1588" s="82"/>
      <c r="AU1588" s="82"/>
      <c r="AV1588" s="82"/>
      <c r="AW1588" s="82" t="str">
        <f t="shared" si="1"/>
        <v/>
      </c>
      <c r="AX1588" s="83" t="str">
        <f t="array" ref="AX1588">IFERROR(DGET('SBV Import'!A:G,"SBV",{"RSC ID","Tier";B1588,A1588}))</f>
        <v/>
      </c>
      <c r="AY1588" s="82" t="str">
        <f t="shared" si="2"/>
        <v/>
      </c>
      <c r="AZ1588" s="82"/>
      <c r="BA1588" s="84" t="s">
        <v>152</v>
      </c>
      <c r="BB1588" s="84" t="str">
        <f>IFERROR(__xludf.DUMMYFUNCTION("iferror(if(A1588="""",,E1588&gt;=FILTER(Constants!$F$2:$F$10,Constants!$A$2:$A$10=A1588)))"),"")</f>
        <v/>
      </c>
    </row>
    <row r="1589">
      <c r="A1589" s="89"/>
      <c r="B1589" s="87"/>
      <c r="C1589" s="73"/>
      <c r="D1589" s="73"/>
      <c r="E1589" s="82"/>
      <c r="F1589" s="82"/>
      <c r="G1589" s="86"/>
      <c r="H1589" s="86"/>
      <c r="I1589" s="86"/>
      <c r="J1589" s="82"/>
      <c r="K1589" s="82"/>
      <c r="L1589" s="82"/>
      <c r="M1589" s="82"/>
      <c r="N1589" s="82"/>
      <c r="O1589" s="82"/>
      <c r="P1589" s="82"/>
      <c r="Q1589" s="82"/>
      <c r="R1589" s="82"/>
      <c r="S1589" s="82"/>
      <c r="T1589" s="82"/>
      <c r="U1589" s="82"/>
      <c r="V1589" s="82"/>
      <c r="W1589" s="82"/>
      <c r="X1589" s="82"/>
      <c r="Y1589" s="82"/>
      <c r="Z1589" s="82"/>
      <c r="AA1589" s="82"/>
      <c r="AB1589" s="82"/>
      <c r="AC1589" s="82"/>
      <c r="AD1589" s="82"/>
      <c r="AE1589" s="82"/>
      <c r="AF1589" s="82"/>
      <c r="AG1589" s="82"/>
      <c r="AH1589" s="82"/>
      <c r="AI1589" s="82"/>
      <c r="AJ1589" s="82"/>
      <c r="AK1589" s="82"/>
      <c r="AL1589" s="82"/>
      <c r="AM1589" s="82"/>
      <c r="AN1589" s="82"/>
      <c r="AO1589" s="82"/>
      <c r="AP1589" s="82"/>
      <c r="AQ1589" s="82"/>
      <c r="AR1589" s="82"/>
      <c r="AS1589" s="82"/>
      <c r="AT1589" s="82"/>
      <c r="AU1589" s="82"/>
      <c r="AV1589" s="82"/>
      <c r="AW1589" s="82" t="str">
        <f t="shared" si="1"/>
        <v/>
      </c>
      <c r="AX1589" s="83" t="str">
        <f t="array" ref="AX1589">IFERROR(DGET('SBV Import'!A:G,"SBV",{"RSC ID","Tier";B1589,A1589}))</f>
        <v/>
      </c>
      <c r="AY1589" s="82" t="str">
        <f t="shared" si="2"/>
        <v/>
      </c>
      <c r="AZ1589" s="82"/>
      <c r="BA1589" s="84" t="s">
        <v>152</v>
      </c>
      <c r="BB1589" s="84" t="str">
        <f>IFERROR(__xludf.DUMMYFUNCTION("iferror(if(A1589="""",,E1589&gt;=FILTER(Constants!$F$2:$F$10,Constants!$A$2:$A$10=A1589)))"),"")</f>
        <v/>
      </c>
    </row>
    <row r="1590">
      <c r="A1590" s="89"/>
      <c r="B1590" s="87"/>
      <c r="C1590" s="73"/>
      <c r="D1590" s="73"/>
      <c r="E1590" s="82"/>
      <c r="F1590" s="82"/>
      <c r="G1590" s="86"/>
      <c r="H1590" s="86"/>
      <c r="I1590" s="86"/>
      <c r="J1590" s="82"/>
      <c r="K1590" s="82"/>
      <c r="L1590" s="82"/>
      <c r="M1590" s="82"/>
      <c r="N1590" s="82"/>
      <c r="O1590" s="82"/>
      <c r="P1590" s="82"/>
      <c r="Q1590" s="82"/>
      <c r="R1590" s="82"/>
      <c r="S1590" s="82"/>
      <c r="T1590" s="82"/>
      <c r="U1590" s="82"/>
      <c r="V1590" s="82"/>
      <c r="W1590" s="82"/>
      <c r="X1590" s="82"/>
      <c r="Y1590" s="82"/>
      <c r="Z1590" s="82"/>
      <c r="AA1590" s="82"/>
      <c r="AB1590" s="82"/>
      <c r="AC1590" s="82"/>
      <c r="AD1590" s="82"/>
      <c r="AE1590" s="82"/>
      <c r="AF1590" s="82"/>
      <c r="AG1590" s="82"/>
      <c r="AH1590" s="82"/>
      <c r="AI1590" s="82"/>
      <c r="AJ1590" s="82"/>
      <c r="AK1590" s="82"/>
      <c r="AL1590" s="82"/>
      <c r="AM1590" s="82"/>
      <c r="AN1590" s="82"/>
      <c r="AO1590" s="82"/>
      <c r="AP1590" s="82"/>
      <c r="AQ1590" s="82"/>
      <c r="AR1590" s="82"/>
      <c r="AS1590" s="82"/>
      <c r="AT1590" s="82"/>
      <c r="AU1590" s="82"/>
      <c r="AV1590" s="82"/>
      <c r="AW1590" s="82" t="str">
        <f t="shared" si="1"/>
        <v/>
      </c>
      <c r="AX1590" s="83" t="str">
        <f t="array" ref="AX1590">IFERROR(DGET('SBV Import'!A:G,"SBV",{"RSC ID","Tier";B1590,A1590}))</f>
        <v/>
      </c>
      <c r="AY1590" s="82" t="str">
        <f t="shared" si="2"/>
        <v/>
      </c>
      <c r="AZ1590" s="82"/>
      <c r="BA1590" s="84" t="s">
        <v>152</v>
      </c>
      <c r="BB1590" s="84" t="str">
        <f>IFERROR(__xludf.DUMMYFUNCTION("iferror(if(A1590="""",,E1590&gt;=FILTER(Constants!$F$2:$F$10,Constants!$A$2:$A$10=A1590)))"),"")</f>
        <v/>
      </c>
    </row>
    <row r="1591">
      <c r="A1591" s="89"/>
      <c r="B1591" s="87"/>
      <c r="C1591" s="73"/>
      <c r="D1591" s="73"/>
      <c r="E1591" s="82"/>
      <c r="F1591" s="82"/>
      <c r="G1591" s="86"/>
      <c r="H1591" s="86"/>
      <c r="I1591" s="86"/>
      <c r="J1591" s="82"/>
      <c r="K1591" s="82"/>
      <c r="L1591" s="82"/>
      <c r="M1591" s="82"/>
      <c r="N1591" s="82"/>
      <c r="O1591" s="82"/>
      <c r="P1591" s="82"/>
      <c r="Q1591" s="82"/>
      <c r="R1591" s="82"/>
      <c r="S1591" s="82"/>
      <c r="T1591" s="82"/>
      <c r="U1591" s="82"/>
      <c r="V1591" s="82"/>
      <c r="W1591" s="82"/>
      <c r="X1591" s="82"/>
      <c r="Y1591" s="82"/>
      <c r="Z1591" s="82"/>
      <c r="AA1591" s="82"/>
      <c r="AB1591" s="82"/>
      <c r="AC1591" s="82"/>
      <c r="AD1591" s="82"/>
      <c r="AE1591" s="82"/>
      <c r="AF1591" s="82"/>
      <c r="AG1591" s="82"/>
      <c r="AH1591" s="82"/>
      <c r="AI1591" s="82"/>
      <c r="AJ1591" s="82"/>
      <c r="AK1591" s="82"/>
      <c r="AL1591" s="82"/>
      <c r="AM1591" s="82"/>
      <c r="AN1591" s="82"/>
      <c r="AO1591" s="82"/>
      <c r="AP1591" s="82"/>
      <c r="AQ1591" s="82"/>
      <c r="AR1591" s="82"/>
      <c r="AS1591" s="82"/>
      <c r="AT1591" s="82"/>
      <c r="AU1591" s="82"/>
      <c r="AV1591" s="82"/>
      <c r="AW1591" s="82" t="str">
        <f t="shared" si="1"/>
        <v/>
      </c>
      <c r="AX1591" s="83" t="str">
        <f t="array" ref="AX1591">IFERROR(DGET('SBV Import'!A:G,"SBV",{"RSC ID","Tier";B1591,A1591}))</f>
        <v/>
      </c>
      <c r="AY1591" s="82" t="str">
        <f t="shared" si="2"/>
        <v/>
      </c>
      <c r="AZ1591" s="82"/>
      <c r="BA1591" s="84" t="s">
        <v>152</v>
      </c>
      <c r="BB1591" s="84" t="str">
        <f>IFERROR(__xludf.DUMMYFUNCTION("iferror(if(A1591="""",,E1591&gt;=FILTER(Constants!$F$2:$F$10,Constants!$A$2:$A$10=A1591)))"),"")</f>
        <v/>
      </c>
    </row>
    <row r="1592">
      <c r="A1592" s="89"/>
      <c r="B1592" s="87"/>
      <c r="C1592" s="73"/>
      <c r="D1592" s="73"/>
      <c r="E1592" s="82"/>
      <c r="F1592" s="82"/>
      <c r="G1592" s="86"/>
      <c r="H1592" s="86"/>
      <c r="I1592" s="86"/>
      <c r="J1592" s="82"/>
      <c r="K1592" s="82"/>
      <c r="L1592" s="82"/>
      <c r="M1592" s="82"/>
      <c r="N1592" s="82"/>
      <c r="O1592" s="82"/>
      <c r="P1592" s="82"/>
      <c r="Q1592" s="82"/>
      <c r="R1592" s="82"/>
      <c r="S1592" s="82"/>
      <c r="T1592" s="82"/>
      <c r="U1592" s="82"/>
      <c r="V1592" s="82"/>
      <c r="W1592" s="82"/>
      <c r="X1592" s="82"/>
      <c r="Y1592" s="82"/>
      <c r="Z1592" s="82"/>
      <c r="AA1592" s="82"/>
      <c r="AB1592" s="82"/>
      <c r="AC1592" s="82"/>
      <c r="AD1592" s="82"/>
      <c r="AE1592" s="82"/>
      <c r="AF1592" s="82"/>
      <c r="AG1592" s="82"/>
      <c r="AH1592" s="82"/>
      <c r="AI1592" s="82"/>
      <c r="AJ1592" s="82"/>
      <c r="AK1592" s="82"/>
      <c r="AL1592" s="82"/>
      <c r="AM1592" s="82"/>
      <c r="AN1592" s="82"/>
      <c r="AO1592" s="82"/>
      <c r="AP1592" s="82"/>
      <c r="AQ1592" s="82"/>
      <c r="AR1592" s="82"/>
      <c r="AS1592" s="82"/>
      <c r="AT1592" s="82"/>
      <c r="AU1592" s="82"/>
      <c r="AV1592" s="82"/>
      <c r="AW1592" s="82" t="str">
        <f t="shared" si="1"/>
        <v/>
      </c>
      <c r="AX1592" s="83" t="str">
        <f t="array" ref="AX1592">IFERROR(DGET('SBV Import'!A:G,"SBV",{"RSC ID","Tier";B1592,A1592}))</f>
        <v/>
      </c>
      <c r="AY1592" s="82" t="str">
        <f t="shared" si="2"/>
        <v/>
      </c>
      <c r="AZ1592" s="82"/>
      <c r="BA1592" s="84" t="s">
        <v>152</v>
      </c>
      <c r="BB1592" s="84" t="str">
        <f>IFERROR(__xludf.DUMMYFUNCTION("iferror(if(A1592="""",,E1592&gt;=FILTER(Constants!$F$2:$F$10,Constants!$A$2:$A$10=A1592)))"),"")</f>
        <v/>
      </c>
    </row>
    <row r="1593">
      <c r="A1593" s="89"/>
      <c r="B1593" s="87"/>
      <c r="C1593" s="73"/>
      <c r="D1593" s="73"/>
      <c r="E1593" s="82"/>
      <c r="F1593" s="82"/>
      <c r="G1593" s="86"/>
      <c r="H1593" s="86"/>
      <c r="I1593" s="86"/>
      <c r="J1593" s="82"/>
      <c r="K1593" s="82"/>
      <c r="L1593" s="82"/>
      <c r="M1593" s="82"/>
      <c r="N1593" s="82"/>
      <c r="O1593" s="82"/>
      <c r="P1593" s="82"/>
      <c r="Q1593" s="82"/>
      <c r="R1593" s="82"/>
      <c r="S1593" s="82"/>
      <c r="T1593" s="82"/>
      <c r="U1593" s="82"/>
      <c r="V1593" s="82"/>
      <c r="W1593" s="82"/>
      <c r="X1593" s="82"/>
      <c r="Y1593" s="82"/>
      <c r="Z1593" s="82"/>
      <c r="AA1593" s="82"/>
      <c r="AB1593" s="82"/>
      <c r="AC1593" s="82"/>
      <c r="AD1593" s="82"/>
      <c r="AE1593" s="82"/>
      <c r="AF1593" s="82"/>
      <c r="AG1593" s="82"/>
      <c r="AH1593" s="82"/>
      <c r="AI1593" s="82"/>
      <c r="AJ1593" s="82"/>
      <c r="AK1593" s="82"/>
      <c r="AL1593" s="82"/>
      <c r="AM1593" s="82"/>
      <c r="AN1593" s="82"/>
      <c r="AO1593" s="82"/>
      <c r="AP1593" s="82"/>
      <c r="AQ1593" s="82"/>
      <c r="AR1593" s="82"/>
      <c r="AS1593" s="82"/>
      <c r="AT1593" s="82"/>
      <c r="AU1593" s="82"/>
      <c r="AV1593" s="82"/>
      <c r="AW1593" s="82" t="str">
        <f t="shared" si="1"/>
        <v/>
      </c>
      <c r="AX1593" s="83" t="str">
        <f t="array" ref="AX1593">IFERROR(DGET('SBV Import'!A:G,"SBV",{"RSC ID","Tier";B1593,A1593}))</f>
        <v/>
      </c>
      <c r="AY1593" s="82" t="str">
        <f t="shared" si="2"/>
        <v/>
      </c>
      <c r="AZ1593" s="82"/>
      <c r="BA1593" s="84" t="s">
        <v>152</v>
      </c>
      <c r="BB1593" s="84" t="str">
        <f>IFERROR(__xludf.DUMMYFUNCTION("iferror(if(A1593="""",,E1593&gt;=FILTER(Constants!$F$2:$F$10,Constants!$A$2:$A$10=A1593)))"),"")</f>
        <v/>
      </c>
    </row>
    <row r="1594">
      <c r="A1594" s="89"/>
      <c r="B1594" s="87"/>
      <c r="C1594" s="73"/>
      <c r="D1594" s="73"/>
      <c r="E1594" s="82"/>
      <c r="F1594" s="82"/>
      <c r="G1594" s="86"/>
      <c r="H1594" s="86"/>
      <c r="I1594" s="86"/>
      <c r="J1594" s="82"/>
      <c r="K1594" s="82"/>
      <c r="L1594" s="82"/>
      <c r="M1594" s="82"/>
      <c r="N1594" s="82"/>
      <c r="O1594" s="82"/>
      <c r="P1594" s="82"/>
      <c r="Q1594" s="82"/>
      <c r="R1594" s="82"/>
      <c r="S1594" s="82"/>
      <c r="T1594" s="82"/>
      <c r="U1594" s="82"/>
      <c r="V1594" s="82"/>
      <c r="W1594" s="82"/>
      <c r="X1594" s="82"/>
      <c r="Y1594" s="82"/>
      <c r="Z1594" s="82"/>
      <c r="AA1594" s="82"/>
      <c r="AB1594" s="82"/>
      <c r="AC1594" s="82"/>
      <c r="AD1594" s="82"/>
      <c r="AE1594" s="82"/>
      <c r="AF1594" s="82"/>
      <c r="AG1594" s="82"/>
      <c r="AH1594" s="82"/>
      <c r="AI1594" s="82"/>
      <c r="AJ1594" s="82"/>
      <c r="AK1594" s="82"/>
      <c r="AL1594" s="82"/>
      <c r="AM1594" s="82"/>
      <c r="AN1594" s="82"/>
      <c r="AO1594" s="82"/>
      <c r="AP1594" s="82"/>
      <c r="AQ1594" s="82"/>
      <c r="AR1594" s="82"/>
      <c r="AS1594" s="82"/>
      <c r="AT1594" s="82"/>
      <c r="AU1594" s="82"/>
      <c r="AV1594" s="82"/>
      <c r="AW1594" s="82" t="str">
        <f t="shared" si="1"/>
        <v/>
      </c>
      <c r="AX1594" s="83" t="str">
        <f t="array" ref="AX1594">IFERROR(DGET('SBV Import'!A:G,"SBV",{"RSC ID","Tier";B1594,A1594}))</f>
        <v/>
      </c>
      <c r="AY1594" s="82" t="str">
        <f t="shared" si="2"/>
        <v/>
      </c>
      <c r="AZ1594" s="82"/>
      <c r="BA1594" s="84" t="s">
        <v>152</v>
      </c>
      <c r="BB1594" s="84" t="str">
        <f>IFERROR(__xludf.DUMMYFUNCTION("iferror(if(A1594="""",,E1594&gt;=FILTER(Constants!$F$2:$F$10,Constants!$A$2:$A$10=A1594)))"),"")</f>
        <v/>
      </c>
    </row>
    <row r="1595">
      <c r="A1595" s="89"/>
      <c r="B1595" s="87"/>
      <c r="C1595" s="73"/>
      <c r="D1595" s="73"/>
      <c r="E1595" s="82"/>
      <c r="F1595" s="82"/>
      <c r="G1595" s="86"/>
      <c r="H1595" s="86"/>
      <c r="I1595" s="86"/>
      <c r="J1595" s="82"/>
      <c r="K1595" s="82"/>
      <c r="L1595" s="82"/>
      <c r="M1595" s="82"/>
      <c r="N1595" s="82"/>
      <c r="O1595" s="82"/>
      <c r="P1595" s="82"/>
      <c r="Q1595" s="82"/>
      <c r="R1595" s="82"/>
      <c r="S1595" s="82"/>
      <c r="T1595" s="82"/>
      <c r="U1595" s="82"/>
      <c r="V1595" s="82"/>
      <c r="W1595" s="82"/>
      <c r="X1595" s="82"/>
      <c r="Y1595" s="82"/>
      <c r="Z1595" s="82"/>
      <c r="AA1595" s="82"/>
      <c r="AB1595" s="82"/>
      <c r="AC1595" s="82"/>
      <c r="AD1595" s="82"/>
      <c r="AE1595" s="82"/>
      <c r="AF1595" s="82"/>
      <c r="AG1595" s="82"/>
      <c r="AH1595" s="82"/>
      <c r="AI1595" s="82"/>
      <c r="AJ1595" s="82"/>
      <c r="AK1595" s="82"/>
      <c r="AL1595" s="82"/>
      <c r="AM1595" s="82"/>
      <c r="AN1595" s="82"/>
      <c r="AO1595" s="82"/>
      <c r="AP1595" s="82"/>
      <c r="AQ1595" s="82"/>
      <c r="AR1595" s="82"/>
      <c r="AS1595" s="82"/>
      <c r="AT1595" s="82"/>
      <c r="AU1595" s="82"/>
      <c r="AV1595" s="82"/>
      <c r="AW1595" s="82" t="str">
        <f t="shared" si="1"/>
        <v/>
      </c>
      <c r="AX1595" s="83" t="str">
        <f t="array" ref="AX1595">IFERROR(DGET('SBV Import'!A:G,"SBV",{"RSC ID","Tier";B1595,A1595}))</f>
        <v/>
      </c>
      <c r="AY1595" s="82" t="str">
        <f t="shared" si="2"/>
        <v/>
      </c>
      <c r="AZ1595" s="82"/>
      <c r="BA1595" s="84" t="s">
        <v>152</v>
      </c>
      <c r="BB1595" s="84" t="str">
        <f>IFERROR(__xludf.DUMMYFUNCTION("iferror(if(A1595="""",,E1595&gt;=FILTER(Constants!$F$2:$F$10,Constants!$A$2:$A$10=A1595)))"),"")</f>
        <v/>
      </c>
    </row>
    <row r="1596">
      <c r="A1596" s="89"/>
      <c r="B1596" s="87"/>
      <c r="C1596" s="73"/>
      <c r="D1596" s="73"/>
      <c r="E1596" s="82"/>
      <c r="F1596" s="82"/>
      <c r="G1596" s="86"/>
      <c r="H1596" s="86"/>
      <c r="I1596" s="86"/>
      <c r="J1596" s="82"/>
      <c r="K1596" s="82"/>
      <c r="L1596" s="82"/>
      <c r="M1596" s="82"/>
      <c r="N1596" s="82"/>
      <c r="O1596" s="82"/>
      <c r="P1596" s="82"/>
      <c r="Q1596" s="82"/>
      <c r="R1596" s="82"/>
      <c r="S1596" s="82"/>
      <c r="T1596" s="82"/>
      <c r="U1596" s="82"/>
      <c r="V1596" s="82"/>
      <c r="W1596" s="82"/>
      <c r="X1596" s="82"/>
      <c r="Y1596" s="82"/>
      <c r="Z1596" s="82"/>
      <c r="AA1596" s="82"/>
      <c r="AB1596" s="82"/>
      <c r="AC1596" s="82"/>
      <c r="AD1596" s="82"/>
      <c r="AE1596" s="82"/>
      <c r="AF1596" s="82"/>
      <c r="AG1596" s="82"/>
      <c r="AH1596" s="82"/>
      <c r="AI1596" s="82"/>
      <c r="AJ1596" s="82"/>
      <c r="AK1596" s="82"/>
      <c r="AL1596" s="82"/>
      <c r="AM1596" s="82"/>
      <c r="AN1596" s="82"/>
      <c r="AO1596" s="82"/>
      <c r="AP1596" s="82"/>
      <c r="AQ1596" s="82"/>
      <c r="AR1596" s="82"/>
      <c r="AS1596" s="82"/>
      <c r="AT1596" s="82"/>
      <c r="AU1596" s="82"/>
      <c r="AV1596" s="82"/>
      <c r="AW1596" s="82" t="str">
        <f t="shared" si="1"/>
        <v/>
      </c>
      <c r="AX1596" s="83" t="str">
        <f t="array" ref="AX1596">IFERROR(DGET('SBV Import'!A:G,"SBV",{"RSC ID","Tier";B1596,A1596}))</f>
        <v/>
      </c>
      <c r="AY1596" s="82" t="str">
        <f t="shared" si="2"/>
        <v/>
      </c>
      <c r="AZ1596" s="82"/>
      <c r="BA1596" s="84" t="s">
        <v>152</v>
      </c>
      <c r="BB1596" s="84" t="str">
        <f>IFERROR(__xludf.DUMMYFUNCTION("iferror(if(A1596="""",,E1596&gt;=FILTER(Constants!$F$2:$F$10,Constants!$A$2:$A$10=A1596)))"),"")</f>
        <v/>
      </c>
    </row>
    <row r="1597">
      <c r="A1597" s="89"/>
      <c r="B1597" s="87"/>
      <c r="C1597" s="73"/>
      <c r="D1597" s="73"/>
      <c r="E1597" s="82"/>
      <c r="F1597" s="82"/>
      <c r="G1597" s="86"/>
      <c r="H1597" s="86"/>
      <c r="I1597" s="86"/>
      <c r="J1597" s="82"/>
      <c r="K1597" s="82"/>
      <c r="L1597" s="82"/>
      <c r="M1597" s="82"/>
      <c r="N1597" s="82"/>
      <c r="O1597" s="82"/>
      <c r="P1597" s="82"/>
      <c r="Q1597" s="82"/>
      <c r="R1597" s="82"/>
      <c r="S1597" s="82"/>
      <c r="T1597" s="82"/>
      <c r="U1597" s="82"/>
      <c r="V1597" s="82"/>
      <c r="W1597" s="82"/>
      <c r="X1597" s="82"/>
      <c r="Y1597" s="82"/>
      <c r="Z1597" s="82"/>
      <c r="AA1597" s="82"/>
      <c r="AB1597" s="82"/>
      <c r="AC1597" s="82"/>
      <c r="AD1597" s="82"/>
      <c r="AE1597" s="82"/>
      <c r="AF1597" s="82"/>
      <c r="AG1597" s="82"/>
      <c r="AH1597" s="82"/>
      <c r="AI1597" s="82"/>
      <c r="AJ1597" s="82"/>
      <c r="AK1597" s="82"/>
      <c r="AL1597" s="82"/>
      <c r="AM1597" s="82"/>
      <c r="AN1597" s="82"/>
      <c r="AO1597" s="82"/>
      <c r="AP1597" s="82"/>
      <c r="AQ1597" s="82"/>
      <c r="AR1597" s="82"/>
      <c r="AS1597" s="82"/>
      <c r="AT1597" s="82"/>
      <c r="AU1597" s="82"/>
      <c r="AV1597" s="82"/>
      <c r="AW1597" s="82" t="str">
        <f t="shared" si="1"/>
        <v/>
      </c>
      <c r="AX1597" s="83" t="str">
        <f t="array" ref="AX1597">IFERROR(DGET('SBV Import'!A:G,"SBV",{"RSC ID","Tier";B1597,A1597}))</f>
        <v/>
      </c>
      <c r="AY1597" s="82" t="str">
        <f t="shared" si="2"/>
        <v/>
      </c>
      <c r="AZ1597" s="82"/>
      <c r="BA1597" s="84" t="s">
        <v>152</v>
      </c>
      <c r="BB1597" s="84" t="str">
        <f>IFERROR(__xludf.DUMMYFUNCTION("iferror(if(A1597="""",,E1597&gt;=FILTER(Constants!$F$2:$F$10,Constants!$A$2:$A$10=A1597)))"),"")</f>
        <v/>
      </c>
    </row>
    <row r="1598">
      <c r="A1598" s="89"/>
      <c r="B1598" s="87"/>
      <c r="C1598" s="73"/>
      <c r="D1598" s="73"/>
      <c r="E1598" s="82"/>
      <c r="F1598" s="82"/>
      <c r="G1598" s="86"/>
      <c r="H1598" s="86"/>
      <c r="I1598" s="86"/>
      <c r="J1598" s="82"/>
      <c r="K1598" s="82"/>
      <c r="L1598" s="82"/>
      <c r="M1598" s="82"/>
      <c r="N1598" s="82"/>
      <c r="O1598" s="82"/>
      <c r="P1598" s="82"/>
      <c r="Q1598" s="82"/>
      <c r="R1598" s="82"/>
      <c r="S1598" s="82"/>
      <c r="T1598" s="82"/>
      <c r="U1598" s="82"/>
      <c r="V1598" s="82"/>
      <c r="W1598" s="82"/>
      <c r="X1598" s="82"/>
      <c r="Y1598" s="82"/>
      <c r="Z1598" s="82"/>
      <c r="AA1598" s="82"/>
      <c r="AB1598" s="82"/>
      <c r="AC1598" s="82"/>
      <c r="AD1598" s="82"/>
      <c r="AE1598" s="82"/>
      <c r="AF1598" s="82"/>
      <c r="AG1598" s="82"/>
      <c r="AH1598" s="82"/>
      <c r="AI1598" s="82"/>
      <c r="AJ1598" s="82"/>
      <c r="AK1598" s="82"/>
      <c r="AL1598" s="82"/>
      <c r="AM1598" s="82"/>
      <c r="AN1598" s="82"/>
      <c r="AO1598" s="82"/>
      <c r="AP1598" s="82"/>
      <c r="AQ1598" s="82"/>
      <c r="AR1598" s="82"/>
      <c r="AS1598" s="82"/>
      <c r="AT1598" s="82"/>
      <c r="AU1598" s="82"/>
      <c r="AV1598" s="82"/>
      <c r="AW1598" s="82" t="str">
        <f t="shared" si="1"/>
        <v/>
      </c>
      <c r="AX1598" s="83" t="str">
        <f t="array" ref="AX1598">IFERROR(DGET('SBV Import'!A:G,"SBV",{"RSC ID","Tier";B1598,A1598}))</f>
        <v/>
      </c>
      <c r="AY1598" s="82" t="str">
        <f t="shared" si="2"/>
        <v/>
      </c>
      <c r="AZ1598" s="82"/>
      <c r="BA1598" s="84" t="s">
        <v>152</v>
      </c>
      <c r="BB1598" s="84" t="str">
        <f>IFERROR(__xludf.DUMMYFUNCTION("iferror(if(A1598="""",,E1598&gt;=FILTER(Constants!$F$2:$F$10,Constants!$A$2:$A$10=A1598)))"),"")</f>
        <v/>
      </c>
    </row>
    <row r="1599">
      <c r="A1599" s="89"/>
      <c r="B1599" s="87"/>
      <c r="C1599" s="73"/>
      <c r="D1599" s="73"/>
      <c r="E1599" s="82"/>
      <c r="F1599" s="82"/>
      <c r="G1599" s="86"/>
      <c r="H1599" s="86"/>
      <c r="I1599" s="86"/>
      <c r="J1599" s="82"/>
      <c r="K1599" s="82"/>
      <c r="L1599" s="82"/>
      <c r="M1599" s="82"/>
      <c r="N1599" s="82"/>
      <c r="O1599" s="82"/>
      <c r="P1599" s="82"/>
      <c r="Q1599" s="82"/>
      <c r="R1599" s="82"/>
      <c r="S1599" s="82"/>
      <c r="T1599" s="82"/>
      <c r="U1599" s="82"/>
      <c r="V1599" s="82"/>
      <c r="W1599" s="82"/>
      <c r="X1599" s="82"/>
      <c r="Y1599" s="82"/>
      <c r="Z1599" s="82"/>
      <c r="AA1599" s="82"/>
      <c r="AB1599" s="82"/>
      <c r="AC1599" s="82"/>
      <c r="AD1599" s="82"/>
      <c r="AE1599" s="82"/>
      <c r="AF1599" s="82"/>
      <c r="AG1599" s="82"/>
      <c r="AH1599" s="82"/>
      <c r="AI1599" s="82"/>
      <c r="AJ1599" s="82"/>
      <c r="AK1599" s="82"/>
      <c r="AL1599" s="82"/>
      <c r="AM1599" s="82"/>
      <c r="AN1599" s="82"/>
      <c r="AO1599" s="82"/>
      <c r="AP1599" s="82"/>
      <c r="AQ1599" s="82"/>
      <c r="AR1599" s="82"/>
      <c r="AS1599" s="82"/>
      <c r="AT1599" s="82"/>
      <c r="AU1599" s="82"/>
      <c r="AV1599" s="82"/>
      <c r="AW1599" s="82" t="str">
        <f t="shared" si="1"/>
        <v/>
      </c>
      <c r="AX1599" s="83" t="str">
        <f t="array" ref="AX1599">IFERROR(DGET('SBV Import'!A:G,"SBV",{"RSC ID","Tier";B1599,A1599}))</f>
        <v/>
      </c>
      <c r="AY1599" s="82" t="str">
        <f t="shared" si="2"/>
        <v/>
      </c>
      <c r="AZ1599" s="82"/>
      <c r="BA1599" s="84" t="s">
        <v>152</v>
      </c>
      <c r="BB1599" s="84" t="str">
        <f>IFERROR(__xludf.DUMMYFUNCTION("iferror(if(A1599="""",,E1599&gt;=FILTER(Constants!$F$2:$F$10,Constants!$A$2:$A$10=A1599)))"),"")</f>
        <v/>
      </c>
    </row>
    <row r="1600">
      <c r="A1600" s="90"/>
      <c r="B1600" s="87"/>
      <c r="C1600" s="73"/>
      <c r="D1600" s="73"/>
      <c r="E1600" s="82"/>
      <c r="F1600" s="82"/>
      <c r="G1600" s="86"/>
      <c r="H1600" s="86"/>
      <c r="I1600" s="86"/>
      <c r="J1600" s="82"/>
      <c r="K1600" s="82"/>
      <c r="L1600" s="82"/>
      <c r="M1600" s="82"/>
      <c r="N1600" s="82"/>
      <c r="O1600" s="82"/>
      <c r="P1600" s="82"/>
      <c r="Q1600" s="82"/>
      <c r="R1600" s="82"/>
      <c r="S1600" s="82"/>
      <c r="T1600" s="82"/>
      <c r="U1600" s="82"/>
      <c r="V1600" s="82"/>
      <c r="W1600" s="82"/>
      <c r="X1600" s="82"/>
      <c r="Y1600" s="82"/>
      <c r="Z1600" s="82"/>
      <c r="AA1600" s="82"/>
      <c r="AB1600" s="82"/>
      <c r="AC1600" s="82"/>
      <c r="AD1600" s="82"/>
      <c r="AE1600" s="82"/>
      <c r="AF1600" s="82"/>
      <c r="AG1600" s="82"/>
      <c r="AH1600" s="82"/>
      <c r="AI1600" s="82"/>
      <c r="AJ1600" s="82"/>
      <c r="AK1600" s="82"/>
      <c r="AL1600" s="82"/>
      <c r="AM1600" s="82"/>
      <c r="AN1600" s="82"/>
      <c r="AO1600" s="82"/>
      <c r="AP1600" s="82"/>
      <c r="AQ1600" s="82"/>
      <c r="AR1600" s="82"/>
      <c r="AS1600" s="82"/>
      <c r="AT1600" s="82"/>
      <c r="AU1600" s="82"/>
      <c r="AV1600" s="82"/>
      <c r="AW1600" s="82" t="str">
        <f t="shared" si="1"/>
        <v/>
      </c>
      <c r="AX1600" s="83" t="str">
        <f t="array" ref="AX1600">IFERROR(DGET('SBV Import'!A:G,"SBV",{"RSC ID","Tier";B1600,A1600}))</f>
        <v/>
      </c>
      <c r="AY1600" s="82" t="str">
        <f t="shared" si="2"/>
        <v/>
      </c>
      <c r="AZ1600" s="82"/>
      <c r="BA1600" s="84" t="s">
        <v>152</v>
      </c>
      <c r="BB1600" s="84" t="str">
        <f>IFERROR(__xludf.DUMMYFUNCTION("iferror(if(A1600="""",,E1600&gt;=FILTER(Constants!$F$2:$F$10,Constants!$A$2:$A$10=A1600)))"),"")</f>
        <v/>
      </c>
    </row>
    <row r="1601">
      <c r="A1601" s="89"/>
      <c r="B1601" s="87"/>
      <c r="C1601" s="73"/>
      <c r="D1601" s="73"/>
      <c r="E1601" s="82"/>
      <c r="F1601" s="82"/>
      <c r="G1601" s="86"/>
      <c r="H1601" s="86"/>
      <c r="I1601" s="86"/>
      <c r="J1601" s="82"/>
      <c r="K1601" s="82"/>
      <c r="L1601" s="82"/>
      <c r="M1601" s="82"/>
      <c r="N1601" s="82"/>
      <c r="O1601" s="82"/>
      <c r="P1601" s="82"/>
      <c r="Q1601" s="82"/>
      <c r="R1601" s="82"/>
      <c r="S1601" s="82"/>
      <c r="T1601" s="82"/>
      <c r="U1601" s="82"/>
      <c r="V1601" s="82"/>
      <c r="W1601" s="82"/>
      <c r="X1601" s="82"/>
      <c r="Y1601" s="82"/>
      <c r="Z1601" s="82"/>
      <c r="AA1601" s="82"/>
      <c r="AB1601" s="82"/>
      <c r="AC1601" s="82"/>
      <c r="AD1601" s="82"/>
      <c r="AE1601" s="82"/>
      <c r="AF1601" s="82"/>
      <c r="AG1601" s="82"/>
      <c r="AH1601" s="82"/>
      <c r="AI1601" s="82"/>
      <c r="AJ1601" s="82"/>
      <c r="AK1601" s="82"/>
      <c r="AL1601" s="82"/>
      <c r="AM1601" s="82"/>
      <c r="AN1601" s="82"/>
      <c r="AO1601" s="82"/>
      <c r="AP1601" s="82"/>
      <c r="AQ1601" s="82"/>
      <c r="AR1601" s="82"/>
      <c r="AS1601" s="82"/>
      <c r="AT1601" s="82"/>
      <c r="AU1601" s="82"/>
      <c r="AV1601" s="82"/>
      <c r="AW1601" s="82" t="str">
        <f t="shared" si="1"/>
        <v/>
      </c>
      <c r="AX1601" s="83" t="str">
        <f t="array" ref="AX1601">IFERROR(DGET('SBV Import'!A:G,"SBV",{"RSC ID","Tier";B1601,A1601}))</f>
        <v/>
      </c>
      <c r="AY1601" s="82" t="str">
        <f t="shared" si="2"/>
        <v/>
      </c>
      <c r="AZ1601" s="82"/>
      <c r="BA1601" s="84" t="s">
        <v>152</v>
      </c>
      <c r="BB1601" s="84" t="str">
        <f>IFERROR(__xludf.DUMMYFUNCTION("iferror(if(A1601="""",,E1601&gt;=FILTER(Constants!$F$2:$F$10,Constants!$A$2:$A$10=A1601)))"),"")</f>
        <v/>
      </c>
    </row>
    <row r="1602">
      <c r="A1602" s="89"/>
      <c r="B1602" s="87"/>
      <c r="C1602" s="73"/>
      <c r="D1602" s="73"/>
      <c r="E1602" s="82"/>
      <c r="F1602" s="82"/>
      <c r="G1602" s="86"/>
      <c r="H1602" s="86"/>
      <c r="I1602" s="86"/>
      <c r="J1602" s="82"/>
      <c r="K1602" s="82"/>
      <c r="L1602" s="82"/>
      <c r="M1602" s="82"/>
      <c r="N1602" s="82"/>
      <c r="O1602" s="82"/>
      <c r="P1602" s="82"/>
      <c r="Q1602" s="82"/>
      <c r="R1602" s="82"/>
      <c r="S1602" s="82"/>
      <c r="T1602" s="82"/>
      <c r="U1602" s="82"/>
      <c r="V1602" s="82"/>
      <c r="W1602" s="82"/>
      <c r="X1602" s="82"/>
      <c r="Y1602" s="82"/>
      <c r="Z1602" s="82"/>
      <c r="AA1602" s="82"/>
      <c r="AB1602" s="82"/>
      <c r="AC1602" s="82"/>
      <c r="AD1602" s="82"/>
      <c r="AE1602" s="82"/>
      <c r="AF1602" s="82"/>
      <c r="AG1602" s="82"/>
      <c r="AH1602" s="82"/>
      <c r="AI1602" s="82"/>
      <c r="AJ1602" s="82"/>
      <c r="AK1602" s="82"/>
      <c r="AL1602" s="82"/>
      <c r="AM1602" s="82"/>
      <c r="AN1602" s="82"/>
      <c r="AO1602" s="82"/>
      <c r="AP1602" s="82"/>
      <c r="AQ1602" s="82"/>
      <c r="AR1602" s="82"/>
      <c r="AS1602" s="82"/>
      <c r="AT1602" s="82"/>
      <c r="AU1602" s="82"/>
      <c r="AV1602" s="82"/>
      <c r="AW1602" s="82" t="str">
        <f t="shared" si="1"/>
        <v/>
      </c>
      <c r="AX1602" s="83" t="str">
        <f t="array" ref="AX1602">IFERROR(DGET('SBV Import'!A:G,"SBV",{"RSC ID","Tier";B1602,A1602}))</f>
        <v/>
      </c>
      <c r="AY1602" s="82" t="str">
        <f t="shared" si="2"/>
        <v/>
      </c>
      <c r="AZ1602" s="82"/>
      <c r="BA1602" s="84" t="s">
        <v>152</v>
      </c>
      <c r="BB1602" s="84" t="str">
        <f>IFERROR(__xludf.DUMMYFUNCTION("iferror(if(A1602="""",,E1602&gt;=FILTER(Constants!$F$2:$F$10,Constants!$A$2:$A$10=A1602)))"),"")</f>
        <v/>
      </c>
    </row>
    <row r="1603">
      <c r="A1603" s="89"/>
      <c r="B1603" s="87"/>
      <c r="C1603" s="73"/>
      <c r="D1603" s="73"/>
      <c r="E1603" s="82"/>
      <c r="F1603" s="82"/>
      <c r="G1603" s="86"/>
      <c r="H1603" s="86"/>
      <c r="I1603" s="86"/>
      <c r="J1603" s="82"/>
      <c r="K1603" s="82"/>
      <c r="L1603" s="82"/>
      <c r="M1603" s="82"/>
      <c r="N1603" s="82"/>
      <c r="O1603" s="82"/>
      <c r="P1603" s="82"/>
      <c r="Q1603" s="82"/>
      <c r="R1603" s="82"/>
      <c r="S1603" s="82"/>
      <c r="T1603" s="82"/>
      <c r="U1603" s="82"/>
      <c r="V1603" s="82"/>
      <c r="W1603" s="82"/>
      <c r="X1603" s="82"/>
      <c r="Y1603" s="82"/>
      <c r="Z1603" s="82"/>
      <c r="AA1603" s="82"/>
      <c r="AB1603" s="82"/>
      <c r="AC1603" s="82"/>
      <c r="AD1603" s="82"/>
      <c r="AE1603" s="82"/>
      <c r="AF1603" s="82"/>
      <c r="AG1603" s="82"/>
      <c r="AH1603" s="82"/>
      <c r="AI1603" s="82"/>
      <c r="AJ1603" s="82"/>
      <c r="AK1603" s="82"/>
      <c r="AL1603" s="82"/>
      <c r="AM1603" s="82"/>
      <c r="AN1603" s="82"/>
      <c r="AO1603" s="82"/>
      <c r="AP1603" s="82"/>
      <c r="AQ1603" s="82"/>
      <c r="AR1603" s="82"/>
      <c r="AS1603" s="82"/>
      <c r="AT1603" s="82"/>
      <c r="AU1603" s="82"/>
      <c r="AV1603" s="82"/>
      <c r="AW1603" s="82" t="str">
        <f t="shared" si="1"/>
        <v/>
      </c>
      <c r="AX1603" s="83" t="str">
        <f t="array" ref="AX1603">IFERROR(DGET('SBV Import'!A:G,"SBV",{"RSC ID","Tier";B1603,A1603}))</f>
        <v/>
      </c>
      <c r="AY1603" s="82" t="str">
        <f t="shared" si="2"/>
        <v/>
      </c>
      <c r="AZ1603" s="82"/>
      <c r="BA1603" s="84" t="s">
        <v>152</v>
      </c>
      <c r="BB1603" s="84" t="str">
        <f>IFERROR(__xludf.DUMMYFUNCTION("iferror(if(A1603="""",,E1603&gt;=FILTER(Constants!$F$2:$F$10,Constants!$A$2:$A$10=A1603)))"),"")</f>
        <v/>
      </c>
    </row>
    <row r="1604">
      <c r="A1604" s="89"/>
      <c r="B1604" s="87"/>
      <c r="C1604" s="73"/>
      <c r="D1604" s="73"/>
      <c r="E1604" s="82"/>
      <c r="F1604" s="82"/>
      <c r="G1604" s="86"/>
      <c r="H1604" s="86"/>
      <c r="I1604" s="86"/>
      <c r="J1604" s="82"/>
      <c r="K1604" s="82"/>
      <c r="L1604" s="82"/>
      <c r="M1604" s="82"/>
      <c r="N1604" s="82"/>
      <c r="O1604" s="82"/>
      <c r="P1604" s="82"/>
      <c r="Q1604" s="82"/>
      <c r="R1604" s="82"/>
      <c r="S1604" s="82"/>
      <c r="T1604" s="82"/>
      <c r="U1604" s="82"/>
      <c r="V1604" s="82"/>
      <c r="W1604" s="82"/>
      <c r="X1604" s="82"/>
      <c r="Y1604" s="82"/>
      <c r="Z1604" s="82"/>
      <c r="AA1604" s="82"/>
      <c r="AB1604" s="82"/>
      <c r="AC1604" s="82"/>
      <c r="AD1604" s="82"/>
      <c r="AE1604" s="82"/>
      <c r="AF1604" s="82"/>
      <c r="AG1604" s="82"/>
      <c r="AH1604" s="82"/>
      <c r="AI1604" s="82"/>
      <c r="AJ1604" s="82"/>
      <c r="AK1604" s="82"/>
      <c r="AL1604" s="82"/>
      <c r="AM1604" s="82"/>
      <c r="AN1604" s="82"/>
      <c r="AO1604" s="82"/>
      <c r="AP1604" s="82"/>
      <c r="AQ1604" s="82"/>
      <c r="AR1604" s="82"/>
      <c r="AS1604" s="82"/>
      <c r="AT1604" s="82"/>
      <c r="AU1604" s="82"/>
      <c r="AV1604" s="82"/>
      <c r="AW1604" s="82" t="str">
        <f t="shared" si="1"/>
        <v/>
      </c>
      <c r="AX1604" s="83" t="str">
        <f t="array" ref="AX1604">IFERROR(DGET('SBV Import'!A:G,"SBV",{"RSC ID","Tier";B1604,A1604}))</f>
        <v/>
      </c>
      <c r="AY1604" s="82" t="str">
        <f t="shared" si="2"/>
        <v/>
      </c>
      <c r="AZ1604" s="82"/>
      <c r="BA1604" s="84" t="s">
        <v>152</v>
      </c>
      <c r="BB1604" s="84" t="str">
        <f>IFERROR(__xludf.DUMMYFUNCTION("iferror(if(A1604="""",,E1604&gt;=FILTER(Constants!$F$2:$F$10,Constants!$A$2:$A$10=A1604)))"),"")</f>
        <v/>
      </c>
    </row>
    <row r="1605">
      <c r="A1605" s="89"/>
      <c r="B1605" s="87"/>
      <c r="C1605" s="73"/>
      <c r="D1605" s="73"/>
      <c r="E1605" s="82"/>
      <c r="F1605" s="82"/>
      <c r="G1605" s="86"/>
      <c r="H1605" s="86"/>
      <c r="I1605" s="86"/>
      <c r="J1605" s="82"/>
      <c r="K1605" s="82"/>
      <c r="L1605" s="82"/>
      <c r="M1605" s="82"/>
      <c r="N1605" s="82"/>
      <c r="O1605" s="82"/>
      <c r="P1605" s="82"/>
      <c r="Q1605" s="82"/>
      <c r="R1605" s="82"/>
      <c r="S1605" s="82"/>
      <c r="T1605" s="82"/>
      <c r="U1605" s="82"/>
      <c r="V1605" s="82"/>
      <c r="W1605" s="82"/>
      <c r="X1605" s="82"/>
      <c r="Y1605" s="82"/>
      <c r="Z1605" s="82"/>
      <c r="AA1605" s="82"/>
      <c r="AB1605" s="82"/>
      <c r="AC1605" s="82"/>
      <c r="AD1605" s="82"/>
      <c r="AE1605" s="82"/>
      <c r="AF1605" s="82"/>
      <c r="AG1605" s="82"/>
      <c r="AH1605" s="82"/>
      <c r="AI1605" s="82"/>
      <c r="AJ1605" s="82"/>
      <c r="AK1605" s="82"/>
      <c r="AL1605" s="82"/>
      <c r="AM1605" s="82"/>
      <c r="AN1605" s="82"/>
      <c r="AO1605" s="82"/>
      <c r="AP1605" s="82"/>
      <c r="AQ1605" s="82"/>
      <c r="AR1605" s="82"/>
      <c r="AS1605" s="82"/>
      <c r="AT1605" s="82"/>
      <c r="AU1605" s="82"/>
      <c r="AV1605" s="82"/>
      <c r="AW1605" s="82" t="str">
        <f t="shared" si="1"/>
        <v/>
      </c>
      <c r="AX1605" s="83" t="str">
        <f t="array" ref="AX1605">IFERROR(DGET('SBV Import'!A:G,"SBV",{"RSC ID","Tier";B1605,A1605}))</f>
        <v/>
      </c>
      <c r="AY1605" s="82" t="str">
        <f t="shared" si="2"/>
        <v/>
      </c>
      <c r="AZ1605" s="82"/>
      <c r="BA1605" s="84" t="s">
        <v>152</v>
      </c>
      <c r="BB1605" s="84" t="str">
        <f>IFERROR(__xludf.DUMMYFUNCTION("iferror(if(A1605="""",,E1605&gt;=FILTER(Constants!$F$2:$F$10,Constants!$A$2:$A$10=A1605)))"),"")</f>
        <v/>
      </c>
    </row>
    <row r="1606">
      <c r="A1606" s="89"/>
      <c r="B1606" s="87"/>
      <c r="C1606" s="73"/>
      <c r="D1606" s="73"/>
      <c r="E1606" s="82"/>
      <c r="F1606" s="82"/>
      <c r="G1606" s="86"/>
      <c r="H1606" s="86"/>
      <c r="I1606" s="86"/>
      <c r="J1606" s="82"/>
      <c r="K1606" s="82"/>
      <c r="L1606" s="82"/>
      <c r="M1606" s="82"/>
      <c r="N1606" s="82"/>
      <c r="O1606" s="82"/>
      <c r="P1606" s="82"/>
      <c r="Q1606" s="82"/>
      <c r="R1606" s="82"/>
      <c r="S1606" s="82"/>
      <c r="T1606" s="82"/>
      <c r="U1606" s="82"/>
      <c r="V1606" s="82"/>
      <c r="W1606" s="82"/>
      <c r="X1606" s="82"/>
      <c r="Y1606" s="82"/>
      <c r="Z1606" s="82"/>
      <c r="AA1606" s="82"/>
      <c r="AB1606" s="82"/>
      <c r="AC1606" s="82"/>
      <c r="AD1606" s="82"/>
      <c r="AE1606" s="82"/>
      <c r="AF1606" s="82"/>
      <c r="AG1606" s="82"/>
      <c r="AH1606" s="82"/>
      <c r="AI1606" s="82"/>
      <c r="AJ1606" s="82"/>
      <c r="AK1606" s="82"/>
      <c r="AL1606" s="82"/>
      <c r="AM1606" s="82"/>
      <c r="AN1606" s="82"/>
      <c r="AO1606" s="82"/>
      <c r="AP1606" s="82"/>
      <c r="AQ1606" s="82"/>
      <c r="AR1606" s="82"/>
      <c r="AS1606" s="82"/>
      <c r="AT1606" s="82"/>
      <c r="AU1606" s="82"/>
      <c r="AV1606" s="82"/>
      <c r="AW1606" s="82" t="str">
        <f t="shared" si="1"/>
        <v/>
      </c>
      <c r="AX1606" s="83" t="str">
        <f t="array" ref="AX1606">IFERROR(DGET('SBV Import'!A:G,"SBV",{"RSC ID","Tier";B1606,A1606}))</f>
        <v/>
      </c>
      <c r="AY1606" s="82" t="str">
        <f t="shared" si="2"/>
        <v/>
      </c>
      <c r="AZ1606" s="82"/>
      <c r="BA1606" s="84" t="s">
        <v>152</v>
      </c>
      <c r="BB1606" s="84" t="str">
        <f>IFERROR(__xludf.DUMMYFUNCTION("iferror(if(A1606="""",,E1606&gt;=FILTER(Constants!$F$2:$F$10,Constants!$A$2:$A$10=A1606)))"),"")</f>
        <v/>
      </c>
    </row>
    <row r="1607">
      <c r="A1607" s="89"/>
      <c r="B1607" s="87"/>
      <c r="C1607" s="73"/>
      <c r="D1607" s="73"/>
      <c r="E1607" s="82"/>
      <c r="F1607" s="82"/>
      <c r="G1607" s="86"/>
      <c r="H1607" s="86"/>
      <c r="I1607" s="86"/>
      <c r="J1607" s="82"/>
      <c r="K1607" s="82"/>
      <c r="L1607" s="82"/>
      <c r="M1607" s="82"/>
      <c r="N1607" s="82"/>
      <c r="O1607" s="82"/>
      <c r="P1607" s="82"/>
      <c r="Q1607" s="82"/>
      <c r="R1607" s="82"/>
      <c r="S1607" s="82"/>
      <c r="T1607" s="82"/>
      <c r="U1607" s="82"/>
      <c r="V1607" s="82"/>
      <c r="W1607" s="82"/>
      <c r="X1607" s="82"/>
      <c r="Y1607" s="82"/>
      <c r="Z1607" s="82"/>
      <c r="AA1607" s="82"/>
      <c r="AB1607" s="82"/>
      <c r="AC1607" s="82"/>
      <c r="AD1607" s="82"/>
      <c r="AE1607" s="82"/>
      <c r="AF1607" s="82"/>
      <c r="AG1607" s="82"/>
      <c r="AH1607" s="82"/>
      <c r="AI1607" s="82"/>
      <c r="AJ1607" s="82"/>
      <c r="AK1607" s="82"/>
      <c r="AL1607" s="82"/>
      <c r="AM1607" s="82"/>
      <c r="AN1607" s="82"/>
      <c r="AO1607" s="82"/>
      <c r="AP1607" s="82"/>
      <c r="AQ1607" s="82"/>
      <c r="AR1607" s="82"/>
      <c r="AS1607" s="82"/>
      <c r="AT1607" s="82"/>
      <c r="AU1607" s="82"/>
      <c r="AV1607" s="82"/>
      <c r="AW1607" s="82" t="str">
        <f t="shared" si="1"/>
        <v/>
      </c>
      <c r="AX1607" s="83" t="str">
        <f t="array" ref="AX1607">IFERROR(DGET('SBV Import'!A:G,"SBV",{"RSC ID","Tier";B1607,A1607}))</f>
        <v/>
      </c>
      <c r="AY1607" s="82" t="str">
        <f t="shared" si="2"/>
        <v/>
      </c>
      <c r="AZ1607" s="82"/>
      <c r="BA1607" s="84" t="s">
        <v>152</v>
      </c>
      <c r="BB1607" s="84" t="str">
        <f>IFERROR(__xludf.DUMMYFUNCTION("iferror(if(A1607="""",,E1607&gt;=FILTER(Constants!$F$2:$F$10,Constants!$A$2:$A$10=A1607)))"),"")</f>
        <v/>
      </c>
    </row>
    <row r="1608">
      <c r="A1608" s="89"/>
      <c r="B1608" s="87"/>
      <c r="C1608" s="73"/>
      <c r="D1608" s="73"/>
      <c r="E1608" s="82"/>
      <c r="F1608" s="82"/>
      <c r="G1608" s="86"/>
      <c r="H1608" s="86"/>
      <c r="I1608" s="86"/>
      <c r="J1608" s="82"/>
      <c r="K1608" s="82"/>
      <c r="L1608" s="82"/>
      <c r="M1608" s="82"/>
      <c r="N1608" s="82"/>
      <c r="O1608" s="82"/>
      <c r="P1608" s="82"/>
      <c r="Q1608" s="82"/>
      <c r="R1608" s="82"/>
      <c r="S1608" s="82"/>
      <c r="T1608" s="82"/>
      <c r="U1608" s="82"/>
      <c r="V1608" s="82"/>
      <c r="W1608" s="82"/>
      <c r="X1608" s="82"/>
      <c r="Y1608" s="82"/>
      <c r="Z1608" s="82"/>
      <c r="AA1608" s="82"/>
      <c r="AB1608" s="82"/>
      <c r="AC1608" s="82"/>
      <c r="AD1608" s="82"/>
      <c r="AE1608" s="82"/>
      <c r="AF1608" s="82"/>
      <c r="AG1608" s="82"/>
      <c r="AH1608" s="82"/>
      <c r="AI1608" s="82"/>
      <c r="AJ1608" s="82"/>
      <c r="AK1608" s="82"/>
      <c r="AL1608" s="82"/>
      <c r="AM1608" s="82"/>
      <c r="AN1608" s="82"/>
      <c r="AO1608" s="82"/>
      <c r="AP1608" s="82"/>
      <c r="AQ1608" s="82"/>
      <c r="AR1608" s="82"/>
      <c r="AS1608" s="82"/>
      <c r="AT1608" s="82"/>
      <c r="AU1608" s="82"/>
      <c r="AV1608" s="82"/>
      <c r="AW1608" s="82" t="str">
        <f t="shared" si="1"/>
        <v/>
      </c>
      <c r="AX1608" s="83" t="str">
        <f t="array" ref="AX1608">IFERROR(DGET('SBV Import'!A:G,"SBV",{"RSC ID","Tier";B1608,A1608}))</f>
        <v/>
      </c>
      <c r="AY1608" s="82" t="str">
        <f t="shared" si="2"/>
        <v/>
      </c>
      <c r="AZ1608" s="82"/>
      <c r="BA1608" s="84" t="s">
        <v>152</v>
      </c>
      <c r="BB1608" s="84" t="str">
        <f>IFERROR(__xludf.DUMMYFUNCTION("iferror(if(A1608="""",,E1608&gt;=FILTER(Constants!$F$2:$F$10,Constants!$A$2:$A$10=A1608)))"),"")</f>
        <v/>
      </c>
    </row>
    <row r="1609">
      <c r="A1609" s="89"/>
      <c r="B1609" s="87"/>
      <c r="C1609" s="73"/>
      <c r="D1609" s="73"/>
      <c r="E1609" s="82"/>
      <c r="F1609" s="82"/>
      <c r="G1609" s="86"/>
      <c r="H1609" s="86"/>
      <c r="I1609" s="86"/>
      <c r="J1609" s="82"/>
      <c r="K1609" s="82"/>
      <c r="L1609" s="82"/>
      <c r="M1609" s="82"/>
      <c r="N1609" s="82"/>
      <c r="O1609" s="82"/>
      <c r="P1609" s="82"/>
      <c r="Q1609" s="82"/>
      <c r="R1609" s="82"/>
      <c r="S1609" s="82"/>
      <c r="T1609" s="82"/>
      <c r="U1609" s="82"/>
      <c r="V1609" s="82"/>
      <c r="W1609" s="82"/>
      <c r="X1609" s="82"/>
      <c r="Y1609" s="82"/>
      <c r="Z1609" s="82"/>
      <c r="AA1609" s="82"/>
      <c r="AB1609" s="82"/>
      <c r="AC1609" s="82"/>
      <c r="AD1609" s="82"/>
      <c r="AE1609" s="82"/>
      <c r="AF1609" s="82"/>
      <c r="AG1609" s="82"/>
      <c r="AH1609" s="82"/>
      <c r="AI1609" s="82"/>
      <c r="AJ1609" s="82"/>
      <c r="AK1609" s="82"/>
      <c r="AL1609" s="82"/>
      <c r="AM1609" s="82"/>
      <c r="AN1609" s="82"/>
      <c r="AO1609" s="82"/>
      <c r="AP1609" s="82"/>
      <c r="AQ1609" s="82"/>
      <c r="AR1609" s="82"/>
      <c r="AS1609" s="82"/>
      <c r="AT1609" s="82"/>
      <c r="AU1609" s="82"/>
      <c r="AV1609" s="82"/>
      <c r="AW1609" s="82" t="str">
        <f t="shared" si="1"/>
        <v/>
      </c>
      <c r="AX1609" s="83" t="str">
        <f t="array" ref="AX1609">IFERROR(DGET('SBV Import'!A:G,"SBV",{"RSC ID","Tier";B1609,A1609}))</f>
        <v/>
      </c>
      <c r="AY1609" s="82" t="str">
        <f t="shared" si="2"/>
        <v/>
      </c>
      <c r="AZ1609" s="82"/>
      <c r="BA1609" s="84" t="s">
        <v>152</v>
      </c>
      <c r="BB1609" s="84" t="str">
        <f>IFERROR(__xludf.DUMMYFUNCTION("iferror(if(A1609="""",,E1609&gt;=FILTER(Constants!$F$2:$F$10,Constants!$A$2:$A$10=A1609)))"),"")</f>
        <v/>
      </c>
    </row>
    <row r="1610">
      <c r="A1610" s="89"/>
      <c r="B1610" s="87"/>
      <c r="C1610" s="73"/>
      <c r="D1610" s="73"/>
      <c r="E1610" s="82"/>
      <c r="F1610" s="82"/>
      <c r="G1610" s="86"/>
      <c r="H1610" s="86"/>
      <c r="I1610" s="86"/>
      <c r="J1610" s="82"/>
      <c r="K1610" s="82"/>
      <c r="L1610" s="82"/>
      <c r="M1610" s="82"/>
      <c r="N1610" s="82"/>
      <c r="O1610" s="82"/>
      <c r="P1610" s="82"/>
      <c r="Q1610" s="82"/>
      <c r="R1610" s="82"/>
      <c r="S1610" s="82"/>
      <c r="T1610" s="82"/>
      <c r="U1610" s="82"/>
      <c r="V1610" s="82"/>
      <c r="W1610" s="82"/>
      <c r="X1610" s="82"/>
      <c r="Y1610" s="82"/>
      <c r="Z1610" s="82"/>
      <c r="AA1610" s="82"/>
      <c r="AB1610" s="82"/>
      <c r="AC1610" s="82"/>
      <c r="AD1610" s="82"/>
      <c r="AE1610" s="82"/>
      <c r="AF1610" s="82"/>
      <c r="AG1610" s="82"/>
      <c r="AH1610" s="82"/>
      <c r="AI1610" s="82"/>
      <c r="AJ1610" s="82"/>
      <c r="AK1610" s="82"/>
      <c r="AL1610" s="82"/>
      <c r="AM1610" s="82"/>
      <c r="AN1610" s="82"/>
      <c r="AO1610" s="82"/>
      <c r="AP1610" s="82"/>
      <c r="AQ1610" s="82"/>
      <c r="AR1610" s="82"/>
      <c r="AS1610" s="82"/>
      <c r="AT1610" s="82"/>
      <c r="AU1610" s="82"/>
      <c r="AV1610" s="82"/>
      <c r="AW1610" s="82" t="str">
        <f t="shared" si="1"/>
        <v/>
      </c>
      <c r="AX1610" s="83" t="str">
        <f t="array" ref="AX1610">IFERROR(DGET('SBV Import'!A:G,"SBV",{"RSC ID","Tier";B1610,A1610}))</f>
        <v/>
      </c>
      <c r="AY1610" s="82" t="str">
        <f t="shared" si="2"/>
        <v/>
      </c>
      <c r="AZ1610" s="82"/>
      <c r="BA1610" s="84" t="s">
        <v>152</v>
      </c>
      <c r="BB1610" s="84" t="str">
        <f>IFERROR(__xludf.DUMMYFUNCTION("iferror(if(A1610="""",,E1610&gt;=FILTER(Constants!$F$2:$F$10,Constants!$A$2:$A$10=A1610)))"),"")</f>
        <v/>
      </c>
    </row>
    <row r="1611">
      <c r="A1611" s="89"/>
      <c r="B1611" s="87"/>
      <c r="C1611" s="73"/>
      <c r="D1611" s="73"/>
      <c r="E1611" s="82"/>
      <c r="F1611" s="82"/>
      <c r="G1611" s="86"/>
      <c r="H1611" s="86"/>
      <c r="I1611" s="86"/>
      <c r="J1611" s="82"/>
      <c r="K1611" s="82"/>
      <c r="L1611" s="82"/>
      <c r="M1611" s="82"/>
      <c r="N1611" s="82"/>
      <c r="O1611" s="82"/>
      <c r="P1611" s="82"/>
      <c r="Q1611" s="82"/>
      <c r="R1611" s="82"/>
      <c r="S1611" s="82"/>
      <c r="T1611" s="82"/>
      <c r="U1611" s="82"/>
      <c r="V1611" s="82"/>
      <c r="W1611" s="82"/>
      <c r="X1611" s="82"/>
      <c r="Y1611" s="82"/>
      <c r="Z1611" s="82"/>
      <c r="AA1611" s="82"/>
      <c r="AB1611" s="82"/>
      <c r="AC1611" s="82"/>
      <c r="AD1611" s="82"/>
      <c r="AE1611" s="82"/>
      <c r="AF1611" s="82"/>
      <c r="AG1611" s="82"/>
      <c r="AH1611" s="82"/>
      <c r="AI1611" s="82"/>
      <c r="AJ1611" s="82"/>
      <c r="AK1611" s="82"/>
      <c r="AL1611" s="82"/>
      <c r="AM1611" s="82"/>
      <c r="AN1611" s="82"/>
      <c r="AO1611" s="82"/>
      <c r="AP1611" s="82"/>
      <c r="AQ1611" s="82"/>
      <c r="AR1611" s="82"/>
      <c r="AS1611" s="82"/>
      <c r="AT1611" s="82"/>
      <c r="AU1611" s="82"/>
      <c r="AV1611" s="82"/>
      <c r="AW1611" s="82" t="str">
        <f t="shared" si="1"/>
        <v/>
      </c>
      <c r="AX1611" s="83" t="str">
        <f t="array" ref="AX1611">IFERROR(DGET('SBV Import'!A:G,"SBV",{"RSC ID","Tier";B1611,A1611}))</f>
        <v/>
      </c>
      <c r="AY1611" s="82" t="str">
        <f t="shared" si="2"/>
        <v/>
      </c>
      <c r="AZ1611" s="82"/>
      <c r="BA1611" s="84" t="s">
        <v>152</v>
      </c>
      <c r="BB1611" s="84" t="str">
        <f>IFERROR(__xludf.DUMMYFUNCTION("iferror(if(A1611="""",,E1611&gt;=FILTER(Constants!$F$2:$F$10,Constants!$A$2:$A$10=A1611)))"),"")</f>
        <v/>
      </c>
    </row>
    <row r="1612">
      <c r="A1612" s="89"/>
      <c r="B1612" s="87"/>
      <c r="C1612" s="73"/>
      <c r="D1612" s="73"/>
      <c r="E1612" s="82"/>
      <c r="F1612" s="82"/>
      <c r="G1612" s="86"/>
      <c r="H1612" s="86"/>
      <c r="I1612" s="86"/>
      <c r="J1612" s="82"/>
      <c r="K1612" s="82"/>
      <c r="L1612" s="82"/>
      <c r="M1612" s="82"/>
      <c r="N1612" s="82"/>
      <c r="O1612" s="82"/>
      <c r="P1612" s="82"/>
      <c r="Q1612" s="82"/>
      <c r="R1612" s="82"/>
      <c r="S1612" s="82"/>
      <c r="T1612" s="82"/>
      <c r="U1612" s="82"/>
      <c r="V1612" s="82"/>
      <c r="W1612" s="82"/>
      <c r="X1612" s="82"/>
      <c r="Y1612" s="82"/>
      <c r="Z1612" s="82"/>
      <c r="AA1612" s="82"/>
      <c r="AB1612" s="82"/>
      <c r="AC1612" s="82"/>
      <c r="AD1612" s="82"/>
      <c r="AE1612" s="82"/>
      <c r="AF1612" s="82"/>
      <c r="AG1612" s="82"/>
      <c r="AH1612" s="82"/>
      <c r="AI1612" s="82"/>
      <c r="AJ1612" s="82"/>
      <c r="AK1612" s="82"/>
      <c r="AL1612" s="82"/>
      <c r="AM1612" s="82"/>
      <c r="AN1612" s="82"/>
      <c r="AO1612" s="82"/>
      <c r="AP1612" s="82"/>
      <c r="AQ1612" s="82"/>
      <c r="AR1612" s="82"/>
      <c r="AS1612" s="82"/>
      <c r="AT1612" s="82"/>
      <c r="AU1612" s="82"/>
      <c r="AV1612" s="82"/>
      <c r="AW1612" s="82" t="str">
        <f t="shared" si="1"/>
        <v/>
      </c>
      <c r="AX1612" s="83" t="str">
        <f t="array" ref="AX1612">IFERROR(DGET('SBV Import'!A:G,"SBV",{"RSC ID","Tier";B1612,A1612}))</f>
        <v/>
      </c>
      <c r="AY1612" s="82" t="str">
        <f t="shared" si="2"/>
        <v/>
      </c>
      <c r="AZ1612" s="82"/>
      <c r="BA1612" s="84" t="s">
        <v>152</v>
      </c>
      <c r="BB1612" s="84" t="str">
        <f>IFERROR(__xludf.DUMMYFUNCTION("iferror(if(A1612="""",,E1612&gt;=FILTER(Constants!$F$2:$F$10,Constants!$A$2:$A$10=A1612)))"),"")</f>
        <v/>
      </c>
    </row>
    <row r="1613">
      <c r="A1613" s="89"/>
      <c r="B1613" s="87"/>
      <c r="C1613" s="73"/>
      <c r="D1613" s="73"/>
      <c r="E1613" s="82"/>
      <c r="F1613" s="82"/>
      <c r="G1613" s="86"/>
      <c r="H1613" s="86"/>
      <c r="I1613" s="86"/>
      <c r="J1613" s="82"/>
      <c r="K1613" s="82"/>
      <c r="L1613" s="82"/>
      <c r="M1613" s="82"/>
      <c r="N1613" s="82"/>
      <c r="O1613" s="82"/>
      <c r="P1613" s="82"/>
      <c r="Q1613" s="82"/>
      <c r="R1613" s="82"/>
      <c r="S1613" s="82"/>
      <c r="T1613" s="82"/>
      <c r="U1613" s="82"/>
      <c r="V1613" s="82"/>
      <c r="W1613" s="82"/>
      <c r="X1613" s="82"/>
      <c r="Y1613" s="82"/>
      <c r="Z1613" s="82"/>
      <c r="AA1613" s="82"/>
      <c r="AB1613" s="82"/>
      <c r="AC1613" s="82"/>
      <c r="AD1613" s="82"/>
      <c r="AE1613" s="82"/>
      <c r="AF1613" s="82"/>
      <c r="AG1613" s="82"/>
      <c r="AH1613" s="82"/>
      <c r="AI1613" s="82"/>
      <c r="AJ1613" s="82"/>
      <c r="AK1613" s="82"/>
      <c r="AL1613" s="82"/>
      <c r="AM1613" s="82"/>
      <c r="AN1613" s="82"/>
      <c r="AO1613" s="82"/>
      <c r="AP1613" s="82"/>
      <c r="AQ1613" s="82"/>
      <c r="AR1613" s="82"/>
      <c r="AS1613" s="82"/>
      <c r="AT1613" s="82"/>
      <c r="AU1613" s="82"/>
      <c r="AV1613" s="82"/>
      <c r="AW1613" s="82" t="str">
        <f t="shared" si="1"/>
        <v/>
      </c>
      <c r="AX1613" s="83" t="str">
        <f t="array" ref="AX1613">IFERROR(DGET('SBV Import'!A:G,"SBV",{"RSC ID","Tier";B1613,A1613}))</f>
        <v/>
      </c>
      <c r="AY1613" s="82" t="str">
        <f t="shared" si="2"/>
        <v/>
      </c>
      <c r="AZ1613" s="82"/>
      <c r="BA1613" s="84" t="s">
        <v>152</v>
      </c>
      <c r="BB1613" s="84" t="str">
        <f>IFERROR(__xludf.DUMMYFUNCTION("iferror(if(A1613="""",,E1613&gt;=FILTER(Constants!$F$2:$F$10,Constants!$A$2:$A$10=A1613)))"),"")</f>
        <v/>
      </c>
    </row>
    <row r="1614">
      <c r="A1614" s="89"/>
      <c r="B1614" s="87"/>
      <c r="C1614" s="73"/>
      <c r="D1614" s="73"/>
      <c r="E1614" s="82"/>
      <c r="F1614" s="82"/>
      <c r="G1614" s="86"/>
      <c r="H1614" s="86"/>
      <c r="I1614" s="86"/>
      <c r="J1614" s="82"/>
      <c r="K1614" s="82"/>
      <c r="L1614" s="82"/>
      <c r="M1614" s="82"/>
      <c r="N1614" s="82"/>
      <c r="O1614" s="82"/>
      <c r="P1614" s="82"/>
      <c r="Q1614" s="82"/>
      <c r="R1614" s="82"/>
      <c r="S1614" s="82"/>
      <c r="T1614" s="82"/>
      <c r="U1614" s="82"/>
      <c r="V1614" s="82"/>
      <c r="W1614" s="82"/>
      <c r="X1614" s="82"/>
      <c r="Y1614" s="82"/>
      <c r="Z1614" s="82"/>
      <c r="AA1614" s="82"/>
      <c r="AB1614" s="82"/>
      <c r="AC1614" s="82"/>
      <c r="AD1614" s="82"/>
      <c r="AE1614" s="82"/>
      <c r="AF1614" s="82"/>
      <c r="AG1614" s="82"/>
      <c r="AH1614" s="82"/>
      <c r="AI1614" s="82"/>
      <c r="AJ1614" s="82"/>
      <c r="AK1614" s="82"/>
      <c r="AL1614" s="82"/>
      <c r="AM1614" s="82"/>
      <c r="AN1614" s="82"/>
      <c r="AO1614" s="82"/>
      <c r="AP1614" s="82"/>
      <c r="AQ1614" s="82"/>
      <c r="AR1614" s="82"/>
      <c r="AS1614" s="82"/>
      <c r="AT1614" s="82"/>
      <c r="AU1614" s="82"/>
      <c r="AV1614" s="82"/>
      <c r="AW1614" s="82" t="str">
        <f t="shared" si="1"/>
        <v/>
      </c>
      <c r="AX1614" s="83" t="str">
        <f t="array" ref="AX1614">IFERROR(DGET('SBV Import'!A:G,"SBV",{"RSC ID","Tier";B1614,A1614}))</f>
        <v/>
      </c>
      <c r="AY1614" s="82" t="str">
        <f t="shared" si="2"/>
        <v/>
      </c>
      <c r="AZ1614" s="82"/>
      <c r="BA1614" s="84" t="s">
        <v>152</v>
      </c>
      <c r="BB1614" s="84" t="str">
        <f>IFERROR(__xludf.DUMMYFUNCTION("iferror(if(A1614="""",,E1614&gt;=FILTER(Constants!$F$2:$F$10,Constants!$A$2:$A$10=A1614)))"),"")</f>
        <v/>
      </c>
    </row>
    <row r="1615">
      <c r="A1615" s="89"/>
      <c r="B1615" s="87"/>
      <c r="C1615" s="73"/>
      <c r="D1615" s="73"/>
      <c r="E1615" s="82"/>
      <c r="F1615" s="82"/>
      <c r="G1615" s="86"/>
      <c r="H1615" s="86"/>
      <c r="I1615" s="86"/>
      <c r="J1615" s="82"/>
      <c r="K1615" s="82"/>
      <c r="L1615" s="82"/>
      <c r="M1615" s="82"/>
      <c r="N1615" s="82"/>
      <c r="O1615" s="82"/>
      <c r="P1615" s="82"/>
      <c r="Q1615" s="82"/>
      <c r="R1615" s="82"/>
      <c r="S1615" s="82"/>
      <c r="T1615" s="82"/>
      <c r="U1615" s="82"/>
      <c r="V1615" s="82"/>
      <c r="W1615" s="82"/>
      <c r="X1615" s="82"/>
      <c r="Y1615" s="82"/>
      <c r="Z1615" s="82"/>
      <c r="AA1615" s="82"/>
      <c r="AB1615" s="82"/>
      <c r="AC1615" s="82"/>
      <c r="AD1615" s="82"/>
      <c r="AE1615" s="82"/>
      <c r="AF1615" s="82"/>
      <c r="AG1615" s="82"/>
      <c r="AH1615" s="82"/>
      <c r="AI1615" s="82"/>
      <c r="AJ1615" s="82"/>
      <c r="AK1615" s="82"/>
      <c r="AL1615" s="82"/>
      <c r="AM1615" s="82"/>
      <c r="AN1615" s="82"/>
      <c r="AO1615" s="82"/>
      <c r="AP1615" s="82"/>
      <c r="AQ1615" s="82"/>
      <c r="AR1615" s="82"/>
      <c r="AS1615" s="82"/>
      <c r="AT1615" s="82"/>
      <c r="AU1615" s="82"/>
      <c r="AV1615" s="82"/>
      <c r="AW1615" s="82" t="str">
        <f t="shared" si="1"/>
        <v/>
      </c>
      <c r="AX1615" s="83" t="str">
        <f t="array" ref="AX1615">IFERROR(DGET('SBV Import'!A:G,"SBV",{"RSC ID","Tier";B1615,A1615}))</f>
        <v/>
      </c>
      <c r="AY1615" s="82" t="str">
        <f t="shared" si="2"/>
        <v/>
      </c>
      <c r="AZ1615" s="82"/>
      <c r="BA1615" s="84" t="s">
        <v>152</v>
      </c>
      <c r="BB1615" s="84" t="str">
        <f>IFERROR(__xludf.DUMMYFUNCTION("iferror(if(A1615="""",,E1615&gt;=FILTER(Constants!$F$2:$F$10,Constants!$A$2:$A$10=A1615)))"),"")</f>
        <v/>
      </c>
    </row>
    <row r="1616">
      <c r="A1616" s="89"/>
      <c r="B1616" s="87"/>
      <c r="C1616" s="73"/>
      <c r="D1616" s="73"/>
      <c r="E1616" s="82"/>
      <c r="F1616" s="82"/>
      <c r="G1616" s="86"/>
      <c r="H1616" s="86"/>
      <c r="I1616" s="86"/>
      <c r="J1616" s="82"/>
      <c r="K1616" s="82"/>
      <c r="L1616" s="82"/>
      <c r="M1616" s="82"/>
      <c r="N1616" s="82"/>
      <c r="O1616" s="82"/>
      <c r="P1616" s="82"/>
      <c r="Q1616" s="82"/>
      <c r="R1616" s="82"/>
      <c r="S1616" s="82"/>
      <c r="T1616" s="82"/>
      <c r="U1616" s="82"/>
      <c r="V1616" s="82"/>
      <c r="W1616" s="82"/>
      <c r="X1616" s="82"/>
      <c r="Y1616" s="82"/>
      <c r="Z1616" s="82"/>
      <c r="AA1616" s="82"/>
      <c r="AB1616" s="82"/>
      <c r="AC1616" s="82"/>
      <c r="AD1616" s="82"/>
      <c r="AE1616" s="82"/>
      <c r="AF1616" s="82"/>
      <c r="AG1616" s="82"/>
      <c r="AH1616" s="82"/>
      <c r="AI1616" s="82"/>
      <c r="AJ1616" s="82"/>
      <c r="AK1616" s="82"/>
      <c r="AL1616" s="82"/>
      <c r="AM1616" s="82"/>
      <c r="AN1616" s="82"/>
      <c r="AO1616" s="82"/>
      <c r="AP1616" s="82"/>
      <c r="AQ1616" s="82"/>
      <c r="AR1616" s="82"/>
      <c r="AS1616" s="82"/>
      <c r="AT1616" s="82"/>
      <c r="AU1616" s="82"/>
      <c r="AV1616" s="82"/>
      <c r="AW1616" s="82" t="str">
        <f t="shared" si="1"/>
        <v/>
      </c>
      <c r="AX1616" s="83" t="str">
        <f t="array" ref="AX1616">IFERROR(DGET('SBV Import'!A:G,"SBV",{"RSC ID","Tier";B1616,A1616}))</f>
        <v/>
      </c>
      <c r="AY1616" s="82" t="str">
        <f t="shared" si="2"/>
        <v/>
      </c>
      <c r="AZ1616" s="82"/>
      <c r="BA1616" s="84" t="s">
        <v>152</v>
      </c>
      <c r="BB1616" s="84" t="str">
        <f>IFERROR(__xludf.DUMMYFUNCTION("iferror(if(A1616="""",,E1616&gt;=FILTER(Constants!$F$2:$F$10,Constants!$A$2:$A$10=A1616)))"),"")</f>
        <v/>
      </c>
    </row>
    <row r="1617">
      <c r="A1617" s="89"/>
      <c r="B1617" s="87"/>
      <c r="C1617" s="73"/>
      <c r="D1617" s="73"/>
      <c r="E1617" s="82"/>
      <c r="F1617" s="82"/>
      <c r="G1617" s="86"/>
      <c r="H1617" s="86"/>
      <c r="I1617" s="86"/>
      <c r="J1617" s="82"/>
      <c r="K1617" s="82"/>
      <c r="L1617" s="82"/>
      <c r="M1617" s="82"/>
      <c r="N1617" s="82"/>
      <c r="O1617" s="82"/>
      <c r="P1617" s="82"/>
      <c r="Q1617" s="82"/>
      <c r="R1617" s="82"/>
      <c r="S1617" s="82"/>
      <c r="T1617" s="82"/>
      <c r="U1617" s="82"/>
      <c r="V1617" s="82"/>
      <c r="W1617" s="82"/>
      <c r="X1617" s="82"/>
      <c r="Y1617" s="82"/>
      <c r="Z1617" s="82"/>
      <c r="AA1617" s="82"/>
      <c r="AB1617" s="82"/>
      <c r="AC1617" s="82"/>
      <c r="AD1617" s="82"/>
      <c r="AE1617" s="82"/>
      <c r="AF1617" s="82"/>
      <c r="AG1617" s="82"/>
      <c r="AH1617" s="82"/>
      <c r="AI1617" s="82"/>
      <c r="AJ1617" s="82"/>
      <c r="AK1617" s="82"/>
      <c r="AL1617" s="82"/>
      <c r="AM1617" s="82"/>
      <c r="AN1617" s="82"/>
      <c r="AO1617" s="82"/>
      <c r="AP1617" s="82"/>
      <c r="AQ1617" s="82"/>
      <c r="AR1617" s="82"/>
      <c r="AS1617" s="82"/>
      <c r="AT1617" s="82"/>
      <c r="AU1617" s="82"/>
      <c r="AV1617" s="82"/>
      <c r="AW1617" s="82" t="str">
        <f t="shared" si="1"/>
        <v/>
      </c>
      <c r="AX1617" s="83" t="str">
        <f t="array" ref="AX1617">IFERROR(DGET('SBV Import'!A:G,"SBV",{"RSC ID","Tier";B1617,A1617}))</f>
        <v/>
      </c>
      <c r="AY1617" s="82" t="str">
        <f t="shared" si="2"/>
        <v/>
      </c>
      <c r="AZ1617" s="82"/>
      <c r="BA1617" s="84" t="s">
        <v>152</v>
      </c>
      <c r="BB1617" s="84" t="str">
        <f>IFERROR(__xludf.DUMMYFUNCTION("iferror(if(A1617="""",,E1617&gt;=FILTER(Constants!$F$2:$F$10,Constants!$A$2:$A$10=A1617)))"),"")</f>
        <v/>
      </c>
    </row>
    <row r="1618">
      <c r="A1618" s="89"/>
      <c r="B1618" s="87"/>
      <c r="C1618" s="73"/>
      <c r="D1618" s="73"/>
      <c r="E1618" s="82"/>
      <c r="F1618" s="82"/>
      <c r="G1618" s="86"/>
      <c r="H1618" s="86"/>
      <c r="I1618" s="86"/>
      <c r="J1618" s="82"/>
      <c r="K1618" s="82"/>
      <c r="L1618" s="82"/>
      <c r="M1618" s="82"/>
      <c r="N1618" s="82"/>
      <c r="O1618" s="82"/>
      <c r="P1618" s="82"/>
      <c r="Q1618" s="82"/>
      <c r="R1618" s="82"/>
      <c r="S1618" s="82"/>
      <c r="T1618" s="82"/>
      <c r="U1618" s="82"/>
      <c r="V1618" s="82"/>
      <c r="W1618" s="82"/>
      <c r="X1618" s="82"/>
      <c r="Y1618" s="82"/>
      <c r="Z1618" s="82"/>
      <c r="AA1618" s="82"/>
      <c r="AB1618" s="82"/>
      <c r="AC1618" s="82"/>
      <c r="AD1618" s="82"/>
      <c r="AE1618" s="82"/>
      <c r="AF1618" s="82"/>
      <c r="AG1618" s="82"/>
      <c r="AH1618" s="82"/>
      <c r="AI1618" s="82"/>
      <c r="AJ1618" s="82"/>
      <c r="AK1618" s="82"/>
      <c r="AL1618" s="82"/>
      <c r="AM1618" s="82"/>
      <c r="AN1618" s="82"/>
      <c r="AO1618" s="82"/>
      <c r="AP1618" s="82"/>
      <c r="AQ1618" s="82"/>
      <c r="AR1618" s="82"/>
      <c r="AS1618" s="82"/>
      <c r="AT1618" s="82"/>
      <c r="AU1618" s="82"/>
      <c r="AV1618" s="82"/>
      <c r="AW1618" s="82" t="str">
        <f t="shared" si="1"/>
        <v/>
      </c>
      <c r="AX1618" s="83" t="str">
        <f t="array" ref="AX1618">IFERROR(DGET('SBV Import'!A:G,"SBV",{"RSC ID","Tier";B1618,A1618}))</f>
        <v/>
      </c>
      <c r="AY1618" s="82" t="str">
        <f t="shared" si="2"/>
        <v/>
      </c>
      <c r="AZ1618" s="82"/>
      <c r="BA1618" s="84" t="s">
        <v>152</v>
      </c>
      <c r="BB1618" s="84" t="str">
        <f>IFERROR(__xludf.DUMMYFUNCTION("iferror(if(A1618="""",,E1618&gt;=FILTER(Constants!$F$2:$F$10,Constants!$A$2:$A$10=A1618)))"),"")</f>
        <v/>
      </c>
    </row>
    <row r="1619">
      <c r="A1619" s="89"/>
      <c r="B1619" s="87"/>
      <c r="C1619" s="73"/>
      <c r="D1619" s="73"/>
      <c r="E1619" s="82"/>
      <c r="F1619" s="82"/>
      <c r="G1619" s="86"/>
      <c r="H1619" s="86"/>
      <c r="I1619" s="86"/>
      <c r="J1619" s="82"/>
      <c r="K1619" s="82"/>
      <c r="L1619" s="82"/>
      <c r="M1619" s="82"/>
      <c r="N1619" s="82"/>
      <c r="O1619" s="82"/>
      <c r="P1619" s="82"/>
      <c r="Q1619" s="82"/>
      <c r="R1619" s="82"/>
      <c r="S1619" s="82"/>
      <c r="T1619" s="82"/>
      <c r="U1619" s="82"/>
      <c r="V1619" s="82"/>
      <c r="W1619" s="82"/>
      <c r="X1619" s="82"/>
      <c r="Y1619" s="82"/>
      <c r="Z1619" s="82"/>
      <c r="AA1619" s="82"/>
      <c r="AB1619" s="82"/>
      <c r="AC1619" s="82"/>
      <c r="AD1619" s="82"/>
      <c r="AE1619" s="82"/>
      <c r="AF1619" s="82"/>
      <c r="AG1619" s="82"/>
      <c r="AH1619" s="82"/>
      <c r="AI1619" s="82"/>
      <c r="AJ1619" s="82"/>
      <c r="AK1619" s="82"/>
      <c r="AL1619" s="82"/>
      <c r="AM1619" s="82"/>
      <c r="AN1619" s="82"/>
      <c r="AO1619" s="82"/>
      <c r="AP1619" s="82"/>
      <c r="AQ1619" s="82"/>
      <c r="AR1619" s="82"/>
      <c r="AS1619" s="82"/>
      <c r="AT1619" s="82"/>
      <c r="AU1619" s="82"/>
      <c r="AV1619" s="82"/>
      <c r="AW1619" s="82" t="str">
        <f t="shared" si="1"/>
        <v/>
      </c>
      <c r="AX1619" s="83" t="str">
        <f t="array" ref="AX1619">IFERROR(DGET('SBV Import'!A:G,"SBV",{"RSC ID","Tier";B1619,A1619}))</f>
        <v/>
      </c>
      <c r="AY1619" s="82" t="str">
        <f t="shared" si="2"/>
        <v/>
      </c>
      <c r="AZ1619" s="82"/>
      <c r="BA1619" s="84" t="s">
        <v>152</v>
      </c>
      <c r="BB1619" s="84" t="str">
        <f>IFERROR(__xludf.DUMMYFUNCTION("iferror(if(A1619="""",,E1619&gt;=FILTER(Constants!$F$2:$F$10,Constants!$A$2:$A$10=A1619)))"),"")</f>
        <v/>
      </c>
    </row>
    <row r="1620">
      <c r="A1620" s="89"/>
      <c r="B1620" s="87"/>
      <c r="C1620" s="73"/>
      <c r="D1620" s="73"/>
      <c r="E1620" s="82"/>
      <c r="F1620" s="82"/>
      <c r="G1620" s="86"/>
      <c r="H1620" s="86"/>
      <c r="I1620" s="86"/>
      <c r="J1620" s="82"/>
      <c r="K1620" s="82"/>
      <c r="L1620" s="82"/>
      <c r="M1620" s="82"/>
      <c r="N1620" s="82"/>
      <c r="O1620" s="82"/>
      <c r="P1620" s="82"/>
      <c r="Q1620" s="82"/>
      <c r="R1620" s="82"/>
      <c r="S1620" s="82"/>
      <c r="T1620" s="82"/>
      <c r="U1620" s="82"/>
      <c r="V1620" s="82"/>
      <c r="W1620" s="82"/>
      <c r="X1620" s="82"/>
      <c r="Y1620" s="82"/>
      <c r="Z1620" s="82"/>
      <c r="AA1620" s="82"/>
      <c r="AB1620" s="82"/>
      <c r="AC1620" s="82"/>
      <c r="AD1620" s="82"/>
      <c r="AE1620" s="82"/>
      <c r="AF1620" s="82"/>
      <c r="AG1620" s="82"/>
      <c r="AH1620" s="82"/>
      <c r="AI1620" s="82"/>
      <c r="AJ1620" s="82"/>
      <c r="AK1620" s="82"/>
      <c r="AL1620" s="82"/>
      <c r="AM1620" s="82"/>
      <c r="AN1620" s="82"/>
      <c r="AO1620" s="82"/>
      <c r="AP1620" s="82"/>
      <c r="AQ1620" s="82"/>
      <c r="AR1620" s="82"/>
      <c r="AS1620" s="82"/>
      <c r="AT1620" s="82"/>
      <c r="AU1620" s="82"/>
      <c r="AV1620" s="82"/>
      <c r="AW1620" s="82" t="str">
        <f t="shared" si="1"/>
        <v/>
      </c>
      <c r="AX1620" s="83" t="str">
        <f t="array" ref="AX1620">IFERROR(DGET('SBV Import'!A:G,"SBV",{"RSC ID","Tier";B1620,A1620}))</f>
        <v/>
      </c>
      <c r="AY1620" s="82" t="str">
        <f t="shared" si="2"/>
        <v/>
      </c>
      <c r="AZ1620" s="82"/>
      <c r="BA1620" s="84" t="s">
        <v>152</v>
      </c>
      <c r="BB1620" s="84" t="str">
        <f>IFERROR(__xludf.DUMMYFUNCTION("iferror(if(A1620="""",,E1620&gt;=FILTER(Constants!$F$2:$F$10,Constants!$A$2:$A$10=A1620)))"),"")</f>
        <v/>
      </c>
    </row>
    <row r="1621">
      <c r="A1621" s="89"/>
      <c r="B1621" s="87"/>
      <c r="C1621" s="73"/>
      <c r="D1621" s="73"/>
      <c r="E1621" s="82"/>
      <c r="F1621" s="82"/>
      <c r="G1621" s="86"/>
      <c r="H1621" s="86"/>
      <c r="I1621" s="86"/>
      <c r="J1621" s="82"/>
      <c r="K1621" s="82"/>
      <c r="L1621" s="82"/>
      <c r="M1621" s="82"/>
      <c r="N1621" s="82"/>
      <c r="O1621" s="82"/>
      <c r="P1621" s="82"/>
      <c r="Q1621" s="82"/>
      <c r="R1621" s="82"/>
      <c r="S1621" s="82"/>
      <c r="T1621" s="82"/>
      <c r="U1621" s="82"/>
      <c r="V1621" s="82"/>
      <c r="W1621" s="82"/>
      <c r="X1621" s="82"/>
      <c r="Y1621" s="82"/>
      <c r="Z1621" s="82"/>
      <c r="AA1621" s="82"/>
      <c r="AB1621" s="82"/>
      <c r="AC1621" s="82"/>
      <c r="AD1621" s="82"/>
      <c r="AE1621" s="82"/>
      <c r="AF1621" s="82"/>
      <c r="AG1621" s="82"/>
      <c r="AH1621" s="82"/>
      <c r="AI1621" s="82"/>
      <c r="AJ1621" s="82"/>
      <c r="AK1621" s="82"/>
      <c r="AL1621" s="82"/>
      <c r="AM1621" s="82"/>
      <c r="AN1621" s="82"/>
      <c r="AO1621" s="82"/>
      <c r="AP1621" s="82"/>
      <c r="AQ1621" s="82"/>
      <c r="AR1621" s="82"/>
      <c r="AS1621" s="82"/>
      <c r="AT1621" s="82"/>
      <c r="AU1621" s="82"/>
      <c r="AV1621" s="82"/>
      <c r="AW1621" s="82" t="str">
        <f t="shared" si="1"/>
        <v/>
      </c>
      <c r="AX1621" s="83" t="str">
        <f t="array" ref="AX1621">IFERROR(DGET('SBV Import'!A:G,"SBV",{"RSC ID","Tier";B1621,A1621}))</f>
        <v/>
      </c>
      <c r="AY1621" s="82" t="str">
        <f t="shared" si="2"/>
        <v/>
      </c>
      <c r="AZ1621" s="82"/>
      <c r="BA1621" s="84" t="s">
        <v>152</v>
      </c>
      <c r="BB1621" s="84" t="str">
        <f>IFERROR(__xludf.DUMMYFUNCTION("iferror(if(A1621="""",,E1621&gt;=FILTER(Constants!$F$2:$F$10,Constants!$A$2:$A$10=A1621)))"),"")</f>
        <v/>
      </c>
    </row>
    <row r="1622">
      <c r="A1622" s="89"/>
      <c r="B1622" s="87"/>
      <c r="C1622" s="73"/>
      <c r="D1622" s="73"/>
      <c r="E1622" s="82"/>
      <c r="F1622" s="82"/>
      <c r="G1622" s="86"/>
      <c r="H1622" s="86"/>
      <c r="I1622" s="86"/>
      <c r="J1622" s="82"/>
      <c r="K1622" s="82"/>
      <c r="L1622" s="82"/>
      <c r="M1622" s="82"/>
      <c r="N1622" s="82"/>
      <c r="O1622" s="82"/>
      <c r="P1622" s="82"/>
      <c r="Q1622" s="82"/>
      <c r="R1622" s="82"/>
      <c r="S1622" s="82"/>
      <c r="T1622" s="82"/>
      <c r="U1622" s="82"/>
      <c r="V1622" s="82"/>
      <c r="W1622" s="82"/>
      <c r="X1622" s="82"/>
      <c r="Y1622" s="82"/>
      <c r="Z1622" s="82"/>
      <c r="AA1622" s="82"/>
      <c r="AB1622" s="82"/>
      <c r="AC1622" s="82"/>
      <c r="AD1622" s="82"/>
      <c r="AE1622" s="82"/>
      <c r="AF1622" s="82"/>
      <c r="AG1622" s="82"/>
      <c r="AH1622" s="82"/>
      <c r="AI1622" s="82"/>
      <c r="AJ1622" s="82"/>
      <c r="AK1622" s="82"/>
      <c r="AL1622" s="82"/>
      <c r="AM1622" s="82"/>
      <c r="AN1622" s="82"/>
      <c r="AO1622" s="82"/>
      <c r="AP1622" s="82"/>
      <c r="AQ1622" s="82"/>
      <c r="AR1622" s="82"/>
      <c r="AS1622" s="82"/>
      <c r="AT1622" s="82"/>
      <c r="AU1622" s="82"/>
      <c r="AV1622" s="82"/>
      <c r="AW1622" s="82" t="str">
        <f t="shared" si="1"/>
        <v/>
      </c>
      <c r="AX1622" s="83" t="str">
        <f t="array" ref="AX1622">IFERROR(DGET('SBV Import'!A:G,"SBV",{"RSC ID","Tier";B1622,A1622}))</f>
        <v/>
      </c>
      <c r="AY1622" s="82" t="str">
        <f t="shared" si="2"/>
        <v/>
      </c>
      <c r="AZ1622" s="82"/>
      <c r="BA1622" s="84" t="s">
        <v>152</v>
      </c>
      <c r="BB1622" s="84" t="str">
        <f>IFERROR(__xludf.DUMMYFUNCTION("iferror(if(A1622="""",,E1622&gt;=FILTER(Constants!$F$2:$F$10,Constants!$A$2:$A$10=A1622)))"),"")</f>
        <v/>
      </c>
    </row>
    <row r="1623">
      <c r="A1623" s="89"/>
      <c r="B1623" s="87"/>
      <c r="C1623" s="73"/>
      <c r="D1623" s="73"/>
      <c r="E1623" s="82"/>
      <c r="F1623" s="82"/>
      <c r="G1623" s="86"/>
      <c r="H1623" s="86"/>
      <c r="I1623" s="86"/>
      <c r="J1623" s="82"/>
      <c r="K1623" s="82"/>
      <c r="L1623" s="82"/>
      <c r="M1623" s="82"/>
      <c r="N1623" s="82"/>
      <c r="O1623" s="82"/>
      <c r="P1623" s="82"/>
      <c r="Q1623" s="82"/>
      <c r="R1623" s="82"/>
      <c r="S1623" s="82"/>
      <c r="T1623" s="82"/>
      <c r="U1623" s="82"/>
      <c r="V1623" s="82"/>
      <c r="W1623" s="82"/>
      <c r="X1623" s="82"/>
      <c r="Y1623" s="82"/>
      <c r="Z1623" s="82"/>
      <c r="AA1623" s="82"/>
      <c r="AB1623" s="82"/>
      <c r="AC1623" s="82"/>
      <c r="AD1623" s="82"/>
      <c r="AE1623" s="82"/>
      <c r="AF1623" s="82"/>
      <c r="AG1623" s="82"/>
      <c r="AH1623" s="82"/>
      <c r="AI1623" s="82"/>
      <c r="AJ1623" s="82"/>
      <c r="AK1623" s="82"/>
      <c r="AL1623" s="82"/>
      <c r="AM1623" s="82"/>
      <c r="AN1623" s="82"/>
      <c r="AO1623" s="82"/>
      <c r="AP1623" s="82"/>
      <c r="AQ1623" s="82"/>
      <c r="AR1623" s="82"/>
      <c r="AS1623" s="82"/>
      <c r="AT1623" s="82"/>
      <c r="AU1623" s="82"/>
      <c r="AV1623" s="82"/>
      <c r="AW1623" s="82" t="str">
        <f t="shared" si="1"/>
        <v/>
      </c>
      <c r="AX1623" s="83" t="str">
        <f t="array" ref="AX1623">IFERROR(DGET('SBV Import'!A:G,"SBV",{"RSC ID","Tier";B1623,A1623}))</f>
        <v/>
      </c>
      <c r="AY1623" s="82" t="str">
        <f t="shared" si="2"/>
        <v/>
      </c>
      <c r="AZ1623" s="82"/>
      <c r="BA1623" s="84" t="s">
        <v>152</v>
      </c>
      <c r="BB1623" s="84" t="str">
        <f>IFERROR(__xludf.DUMMYFUNCTION("iferror(if(A1623="""",,E1623&gt;=FILTER(Constants!$F$2:$F$10,Constants!$A$2:$A$10=A1623)))"),"")</f>
        <v/>
      </c>
    </row>
    <row r="1624">
      <c r="A1624" s="89"/>
      <c r="B1624" s="87"/>
      <c r="C1624" s="73"/>
      <c r="D1624" s="73"/>
      <c r="E1624" s="82"/>
      <c r="F1624" s="82"/>
      <c r="G1624" s="86"/>
      <c r="H1624" s="86"/>
      <c r="I1624" s="86"/>
      <c r="J1624" s="82"/>
      <c r="K1624" s="82"/>
      <c r="L1624" s="82"/>
      <c r="M1624" s="82"/>
      <c r="N1624" s="82"/>
      <c r="O1624" s="82"/>
      <c r="P1624" s="82"/>
      <c r="Q1624" s="82"/>
      <c r="R1624" s="82"/>
      <c r="S1624" s="82"/>
      <c r="T1624" s="82"/>
      <c r="U1624" s="82"/>
      <c r="V1624" s="82"/>
      <c r="W1624" s="82"/>
      <c r="X1624" s="82"/>
      <c r="Y1624" s="82"/>
      <c r="Z1624" s="82"/>
      <c r="AA1624" s="82"/>
      <c r="AB1624" s="82"/>
      <c r="AC1624" s="82"/>
      <c r="AD1624" s="82"/>
      <c r="AE1624" s="82"/>
      <c r="AF1624" s="82"/>
      <c r="AG1624" s="82"/>
      <c r="AH1624" s="82"/>
      <c r="AI1624" s="82"/>
      <c r="AJ1624" s="82"/>
      <c r="AK1624" s="82"/>
      <c r="AL1624" s="82"/>
      <c r="AM1624" s="82"/>
      <c r="AN1624" s="82"/>
      <c r="AO1624" s="82"/>
      <c r="AP1624" s="82"/>
      <c r="AQ1624" s="82"/>
      <c r="AR1624" s="82"/>
      <c r="AS1624" s="82"/>
      <c r="AT1624" s="82"/>
      <c r="AU1624" s="82"/>
      <c r="AV1624" s="82"/>
      <c r="AW1624" s="82" t="str">
        <f t="shared" si="1"/>
        <v/>
      </c>
      <c r="AX1624" s="83" t="str">
        <f t="array" ref="AX1624">IFERROR(DGET('SBV Import'!A:G,"SBV",{"RSC ID","Tier";B1624,A1624}))</f>
        <v/>
      </c>
      <c r="AY1624" s="82" t="str">
        <f t="shared" si="2"/>
        <v/>
      </c>
      <c r="AZ1624" s="82"/>
      <c r="BA1624" s="84" t="s">
        <v>152</v>
      </c>
      <c r="BB1624" s="84" t="str">
        <f>IFERROR(__xludf.DUMMYFUNCTION("iferror(if(A1624="""",,E1624&gt;=FILTER(Constants!$F$2:$F$10,Constants!$A$2:$A$10=A1624)))"),"")</f>
        <v/>
      </c>
    </row>
    <row r="1625">
      <c r="A1625" s="89"/>
      <c r="B1625" s="87"/>
      <c r="C1625" s="73"/>
      <c r="D1625" s="73"/>
      <c r="E1625" s="82"/>
      <c r="F1625" s="82"/>
      <c r="G1625" s="86"/>
      <c r="H1625" s="86"/>
      <c r="I1625" s="86"/>
      <c r="J1625" s="82"/>
      <c r="K1625" s="82"/>
      <c r="L1625" s="82"/>
      <c r="M1625" s="82"/>
      <c r="N1625" s="82"/>
      <c r="O1625" s="82"/>
      <c r="P1625" s="82"/>
      <c r="Q1625" s="82"/>
      <c r="R1625" s="82"/>
      <c r="S1625" s="82"/>
      <c r="T1625" s="82"/>
      <c r="U1625" s="82"/>
      <c r="V1625" s="82"/>
      <c r="W1625" s="82"/>
      <c r="X1625" s="82"/>
      <c r="Y1625" s="82"/>
      <c r="Z1625" s="82"/>
      <c r="AA1625" s="82"/>
      <c r="AB1625" s="82"/>
      <c r="AC1625" s="82"/>
      <c r="AD1625" s="82"/>
      <c r="AE1625" s="82"/>
      <c r="AF1625" s="82"/>
      <c r="AG1625" s="82"/>
      <c r="AH1625" s="82"/>
      <c r="AI1625" s="82"/>
      <c r="AJ1625" s="82"/>
      <c r="AK1625" s="82"/>
      <c r="AL1625" s="82"/>
      <c r="AM1625" s="82"/>
      <c r="AN1625" s="82"/>
      <c r="AO1625" s="82"/>
      <c r="AP1625" s="82"/>
      <c r="AQ1625" s="82"/>
      <c r="AR1625" s="82"/>
      <c r="AS1625" s="82"/>
      <c r="AT1625" s="82"/>
      <c r="AU1625" s="82"/>
      <c r="AV1625" s="82"/>
      <c r="AW1625" s="82" t="str">
        <f t="shared" si="1"/>
        <v/>
      </c>
      <c r="AX1625" s="83" t="str">
        <f t="array" ref="AX1625">IFERROR(DGET('SBV Import'!A:G,"SBV",{"RSC ID","Tier";B1625,A1625}))</f>
        <v/>
      </c>
      <c r="AY1625" s="82" t="str">
        <f t="shared" si="2"/>
        <v/>
      </c>
      <c r="AZ1625" s="82"/>
      <c r="BA1625" s="84" t="s">
        <v>152</v>
      </c>
      <c r="BB1625" s="84" t="str">
        <f>IFERROR(__xludf.DUMMYFUNCTION("iferror(if(A1625="""",,E1625&gt;=FILTER(Constants!$F$2:$F$10,Constants!$A$2:$A$10=A1625)))"),"")</f>
        <v/>
      </c>
    </row>
    <row r="1626">
      <c r="A1626" s="89"/>
      <c r="B1626" s="87"/>
      <c r="C1626" s="73"/>
      <c r="D1626" s="73"/>
      <c r="E1626" s="82"/>
      <c r="F1626" s="82"/>
      <c r="G1626" s="86"/>
      <c r="H1626" s="86"/>
      <c r="I1626" s="86"/>
      <c r="J1626" s="82"/>
      <c r="K1626" s="82"/>
      <c r="L1626" s="82"/>
      <c r="M1626" s="82"/>
      <c r="N1626" s="82"/>
      <c r="O1626" s="82"/>
      <c r="P1626" s="82"/>
      <c r="Q1626" s="82"/>
      <c r="R1626" s="82"/>
      <c r="S1626" s="82"/>
      <c r="T1626" s="82"/>
      <c r="U1626" s="82"/>
      <c r="V1626" s="82"/>
      <c r="W1626" s="82"/>
      <c r="X1626" s="82"/>
      <c r="Y1626" s="82"/>
      <c r="Z1626" s="82"/>
      <c r="AA1626" s="82"/>
      <c r="AB1626" s="82"/>
      <c r="AC1626" s="82"/>
      <c r="AD1626" s="82"/>
      <c r="AE1626" s="82"/>
      <c r="AF1626" s="82"/>
      <c r="AG1626" s="82"/>
      <c r="AH1626" s="82"/>
      <c r="AI1626" s="82"/>
      <c r="AJ1626" s="82"/>
      <c r="AK1626" s="82"/>
      <c r="AL1626" s="82"/>
      <c r="AM1626" s="82"/>
      <c r="AN1626" s="82"/>
      <c r="AO1626" s="82"/>
      <c r="AP1626" s="82"/>
      <c r="AQ1626" s="82"/>
      <c r="AR1626" s="82"/>
      <c r="AS1626" s="82"/>
      <c r="AT1626" s="82"/>
      <c r="AU1626" s="82"/>
      <c r="AV1626" s="82"/>
      <c r="AW1626" s="82" t="str">
        <f t="shared" si="1"/>
        <v/>
      </c>
      <c r="AX1626" s="83" t="str">
        <f t="array" ref="AX1626">IFERROR(DGET('SBV Import'!A:G,"SBV",{"RSC ID","Tier";B1626,A1626}))</f>
        <v/>
      </c>
      <c r="AY1626" s="82" t="str">
        <f t="shared" si="2"/>
        <v/>
      </c>
      <c r="AZ1626" s="82"/>
      <c r="BA1626" s="84" t="s">
        <v>152</v>
      </c>
      <c r="BB1626" s="84" t="str">
        <f>IFERROR(__xludf.DUMMYFUNCTION("iferror(if(A1626="""",,E1626&gt;=FILTER(Constants!$F$2:$F$10,Constants!$A$2:$A$10=A1626)))"),"")</f>
        <v/>
      </c>
    </row>
    <row r="1627">
      <c r="A1627" s="89"/>
      <c r="B1627" s="87"/>
      <c r="C1627" s="73"/>
      <c r="D1627" s="73"/>
      <c r="E1627" s="82"/>
      <c r="F1627" s="82"/>
      <c r="G1627" s="86"/>
      <c r="H1627" s="86"/>
      <c r="I1627" s="86"/>
      <c r="J1627" s="82"/>
      <c r="K1627" s="82"/>
      <c r="L1627" s="82"/>
      <c r="M1627" s="82"/>
      <c r="N1627" s="82"/>
      <c r="O1627" s="82"/>
      <c r="P1627" s="82"/>
      <c r="Q1627" s="82"/>
      <c r="R1627" s="82"/>
      <c r="S1627" s="82"/>
      <c r="T1627" s="82"/>
      <c r="U1627" s="82"/>
      <c r="V1627" s="82"/>
      <c r="W1627" s="82"/>
      <c r="X1627" s="82"/>
      <c r="Y1627" s="82"/>
      <c r="Z1627" s="82"/>
      <c r="AA1627" s="82"/>
      <c r="AB1627" s="82"/>
      <c r="AC1627" s="82"/>
      <c r="AD1627" s="82"/>
      <c r="AE1627" s="82"/>
      <c r="AF1627" s="82"/>
      <c r="AG1627" s="82"/>
      <c r="AH1627" s="82"/>
      <c r="AI1627" s="82"/>
      <c r="AJ1627" s="82"/>
      <c r="AK1627" s="82"/>
      <c r="AL1627" s="82"/>
      <c r="AM1627" s="82"/>
      <c r="AN1627" s="82"/>
      <c r="AO1627" s="82"/>
      <c r="AP1627" s="82"/>
      <c r="AQ1627" s="82"/>
      <c r="AR1627" s="82"/>
      <c r="AS1627" s="82"/>
      <c r="AT1627" s="82"/>
      <c r="AU1627" s="82"/>
      <c r="AV1627" s="82"/>
      <c r="AW1627" s="82" t="str">
        <f t="shared" si="1"/>
        <v/>
      </c>
      <c r="AX1627" s="83" t="str">
        <f t="array" ref="AX1627">IFERROR(DGET('SBV Import'!A:G,"SBV",{"RSC ID","Tier";B1627,A1627}))</f>
        <v/>
      </c>
      <c r="AY1627" s="82" t="str">
        <f t="shared" si="2"/>
        <v/>
      </c>
      <c r="AZ1627" s="82"/>
      <c r="BA1627" s="84" t="s">
        <v>152</v>
      </c>
      <c r="BB1627" s="84" t="str">
        <f>IFERROR(__xludf.DUMMYFUNCTION("iferror(if(A1627="""",,E1627&gt;=FILTER(Constants!$F$2:$F$10,Constants!$A$2:$A$10=A1627)))"),"")</f>
        <v/>
      </c>
    </row>
    <row r="1628">
      <c r="A1628" s="89"/>
      <c r="B1628" s="87"/>
      <c r="C1628" s="73"/>
      <c r="D1628" s="73"/>
      <c r="E1628" s="82"/>
      <c r="F1628" s="82"/>
      <c r="G1628" s="86"/>
      <c r="H1628" s="86"/>
      <c r="I1628" s="86"/>
      <c r="J1628" s="82"/>
      <c r="K1628" s="82"/>
      <c r="L1628" s="82"/>
      <c r="M1628" s="82"/>
      <c r="N1628" s="82"/>
      <c r="O1628" s="82"/>
      <c r="P1628" s="82"/>
      <c r="Q1628" s="82"/>
      <c r="R1628" s="82"/>
      <c r="S1628" s="82"/>
      <c r="T1628" s="82"/>
      <c r="U1628" s="82"/>
      <c r="V1628" s="82"/>
      <c r="W1628" s="82"/>
      <c r="X1628" s="82"/>
      <c r="Y1628" s="82"/>
      <c r="Z1628" s="82"/>
      <c r="AA1628" s="82"/>
      <c r="AB1628" s="82"/>
      <c r="AC1628" s="82"/>
      <c r="AD1628" s="82"/>
      <c r="AE1628" s="82"/>
      <c r="AF1628" s="82"/>
      <c r="AG1628" s="82"/>
      <c r="AH1628" s="82"/>
      <c r="AI1628" s="82"/>
      <c r="AJ1628" s="82"/>
      <c r="AK1628" s="82"/>
      <c r="AL1628" s="82"/>
      <c r="AM1628" s="82"/>
      <c r="AN1628" s="82"/>
      <c r="AO1628" s="82"/>
      <c r="AP1628" s="82"/>
      <c r="AQ1628" s="82"/>
      <c r="AR1628" s="82"/>
      <c r="AS1628" s="82"/>
      <c r="AT1628" s="82"/>
      <c r="AU1628" s="82"/>
      <c r="AV1628" s="82"/>
      <c r="AW1628" s="82" t="str">
        <f t="shared" si="1"/>
        <v/>
      </c>
      <c r="AX1628" s="83" t="str">
        <f t="array" ref="AX1628">IFERROR(DGET('SBV Import'!A:G,"SBV",{"RSC ID","Tier";B1628,A1628}))</f>
        <v/>
      </c>
      <c r="AY1628" s="82" t="str">
        <f t="shared" si="2"/>
        <v/>
      </c>
      <c r="AZ1628" s="82"/>
      <c r="BA1628" s="84" t="s">
        <v>152</v>
      </c>
      <c r="BB1628" s="84" t="str">
        <f>IFERROR(__xludf.DUMMYFUNCTION("iferror(if(A1628="""",,E1628&gt;=FILTER(Constants!$F$2:$F$10,Constants!$A$2:$A$10=A1628)))"),"")</f>
        <v/>
      </c>
    </row>
    <row r="1629">
      <c r="A1629" s="89"/>
      <c r="B1629" s="87"/>
      <c r="C1629" s="73"/>
      <c r="D1629" s="73"/>
      <c r="E1629" s="82"/>
      <c r="F1629" s="82"/>
      <c r="G1629" s="86"/>
      <c r="H1629" s="86"/>
      <c r="I1629" s="86"/>
      <c r="J1629" s="82"/>
      <c r="K1629" s="82"/>
      <c r="L1629" s="82"/>
      <c r="M1629" s="82"/>
      <c r="N1629" s="82"/>
      <c r="O1629" s="82"/>
      <c r="P1629" s="82"/>
      <c r="Q1629" s="82"/>
      <c r="R1629" s="82"/>
      <c r="S1629" s="82"/>
      <c r="T1629" s="82"/>
      <c r="U1629" s="82"/>
      <c r="V1629" s="82"/>
      <c r="W1629" s="82"/>
      <c r="X1629" s="82"/>
      <c r="Y1629" s="82"/>
      <c r="Z1629" s="82"/>
      <c r="AA1629" s="82"/>
      <c r="AB1629" s="82"/>
      <c r="AC1629" s="82"/>
      <c r="AD1629" s="82"/>
      <c r="AE1629" s="82"/>
      <c r="AF1629" s="82"/>
      <c r="AG1629" s="82"/>
      <c r="AH1629" s="82"/>
      <c r="AI1629" s="82"/>
      <c r="AJ1629" s="82"/>
      <c r="AK1629" s="82"/>
      <c r="AL1629" s="82"/>
      <c r="AM1629" s="82"/>
      <c r="AN1629" s="82"/>
      <c r="AO1629" s="82"/>
      <c r="AP1629" s="82"/>
      <c r="AQ1629" s="82"/>
      <c r="AR1629" s="82"/>
      <c r="AS1629" s="82"/>
      <c r="AT1629" s="82"/>
      <c r="AU1629" s="82"/>
      <c r="AV1629" s="82"/>
      <c r="AW1629" s="82" t="str">
        <f t="shared" si="1"/>
        <v/>
      </c>
      <c r="AX1629" s="83" t="str">
        <f t="array" ref="AX1629">IFERROR(DGET('SBV Import'!A:G,"SBV",{"RSC ID","Tier";B1629,A1629}))</f>
        <v/>
      </c>
      <c r="AY1629" s="82" t="str">
        <f t="shared" si="2"/>
        <v/>
      </c>
      <c r="AZ1629" s="82"/>
      <c r="BA1629" s="84" t="s">
        <v>152</v>
      </c>
      <c r="BB1629" s="84" t="str">
        <f>IFERROR(__xludf.DUMMYFUNCTION("iferror(if(A1629="""",,E1629&gt;=FILTER(Constants!$F$2:$F$10,Constants!$A$2:$A$10=A1629)))"),"")</f>
        <v/>
      </c>
    </row>
    <row r="1630">
      <c r="A1630" s="89"/>
      <c r="B1630" s="87"/>
      <c r="C1630" s="73"/>
      <c r="D1630" s="73"/>
      <c r="E1630" s="82"/>
      <c r="F1630" s="82"/>
      <c r="G1630" s="86"/>
      <c r="H1630" s="86"/>
      <c r="I1630" s="86"/>
      <c r="J1630" s="82"/>
      <c r="K1630" s="82"/>
      <c r="L1630" s="82"/>
      <c r="M1630" s="82"/>
      <c r="N1630" s="82"/>
      <c r="O1630" s="82"/>
      <c r="P1630" s="82"/>
      <c r="Q1630" s="82"/>
      <c r="R1630" s="82"/>
      <c r="S1630" s="82"/>
      <c r="T1630" s="82"/>
      <c r="U1630" s="82"/>
      <c r="V1630" s="82"/>
      <c r="W1630" s="82"/>
      <c r="X1630" s="82"/>
      <c r="Y1630" s="82"/>
      <c r="Z1630" s="82"/>
      <c r="AA1630" s="82"/>
      <c r="AB1630" s="82"/>
      <c r="AC1630" s="82"/>
      <c r="AD1630" s="82"/>
      <c r="AE1630" s="82"/>
      <c r="AF1630" s="82"/>
      <c r="AG1630" s="82"/>
      <c r="AH1630" s="82"/>
      <c r="AI1630" s="82"/>
      <c r="AJ1630" s="82"/>
      <c r="AK1630" s="82"/>
      <c r="AL1630" s="82"/>
      <c r="AM1630" s="82"/>
      <c r="AN1630" s="82"/>
      <c r="AO1630" s="82"/>
      <c r="AP1630" s="82"/>
      <c r="AQ1630" s="82"/>
      <c r="AR1630" s="82"/>
      <c r="AS1630" s="82"/>
      <c r="AT1630" s="82"/>
      <c r="AU1630" s="82"/>
      <c r="AV1630" s="82"/>
      <c r="AW1630" s="82" t="str">
        <f t="shared" si="1"/>
        <v/>
      </c>
      <c r="AX1630" s="83" t="str">
        <f t="array" ref="AX1630">IFERROR(DGET('SBV Import'!A:G,"SBV",{"RSC ID","Tier";B1630,A1630}))</f>
        <v/>
      </c>
      <c r="AY1630" s="82" t="str">
        <f t="shared" si="2"/>
        <v/>
      </c>
      <c r="AZ1630" s="82"/>
      <c r="BA1630" s="84" t="s">
        <v>152</v>
      </c>
      <c r="BB1630" s="84" t="str">
        <f>IFERROR(__xludf.DUMMYFUNCTION("iferror(if(A1630="""",,E1630&gt;=FILTER(Constants!$F$2:$F$10,Constants!$A$2:$A$10=A1630)))"),"")</f>
        <v/>
      </c>
    </row>
    <row r="1631">
      <c r="A1631" s="89"/>
      <c r="B1631" s="87"/>
      <c r="C1631" s="73"/>
      <c r="D1631" s="73"/>
      <c r="E1631" s="82"/>
      <c r="F1631" s="82"/>
      <c r="G1631" s="86"/>
      <c r="H1631" s="86"/>
      <c r="I1631" s="86"/>
      <c r="J1631" s="82"/>
      <c r="K1631" s="82"/>
      <c r="L1631" s="82"/>
      <c r="M1631" s="82"/>
      <c r="N1631" s="82"/>
      <c r="O1631" s="82"/>
      <c r="P1631" s="82"/>
      <c r="Q1631" s="82"/>
      <c r="R1631" s="82"/>
      <c r="S1631" s="82"/>
      <c r="T1631" s="82"/>
      <c r="U1631" s="82"/>
      <c r="V1631" s="82"/>
      <c r="W1631" s="82"/>
      <c r="X1631" s="82"/>
      <c r="Y1631" s="82"/>
      <c r="Z1631" s="82"/>
      <c r="AA1631" s="82"/>
      <c r="AB1631" s="82"/>
      <c r="AC1631" s="82"/>
      <c r="AD1631" s="82"/>
      <c r="AE1631" s="82"/>
      <c r="AF1631" s="82"/>
      <c r="AG1631" s="82"/>
      <c r="AH1631" s="82"/>
      <c r="AI1631" s="82"/>
      <c r="AJ1631" s="82"/>
      <c r="AK1631" s="82"/>
      <c r="AL1631" s="82"/>
      <c r="AM1631" s="82"/>
      <c r="AN1631" s="82"/>
      <c r="AO1631" s="82"/>
      <c r="AP1631" s="82"/>
      <c r="AQ1631" s="82"/>
      <c r="AR1631" s="82"/>
      <c r="AS1631" s="82"/>
      <c r="AT1631" s="82"/>
      <c r="AU1631" s="82"/>
      <c r="AV1631" s="82"/>
      <c r="AW1631" s="82" t="str">
        <f t="shared" si="1"/>
        <v/>
      </c>
      <c r="AX1631" s="83" t="str">
        <f t="array" ref="AX1631">IFERROR(DGET('SBV Import'!A:G,"SBV",{"RSC ID","Tier";B1631,A1631}))</f>
        <v/>
      </c>
      <c r="AY1631" s="82" t="str">
        <f t="shared" si="2"/>
        <v/>
      </c>
      <c r="AZ1631" s="82"/>
      <c r="BA1631" s="84" t="s">
        <v>152</v>
      </c>
      <c r="BB1631" s="84" t="str">
        <f>IFERROR(__xludf.DUMMYFUNCTION("iferror(if(A1631="""",,E1631&gt;=FILTER(Constants!$F$2:$F$10,Constants!$A$2:$A$10=A1631)))"),"")</f>
        <v/>
      </c>
    </row>
    <row r="1632">
      <c r="A1632" s="89"/>
      <c r="B1632" s="87"/>
      <c r="C1632" s="73"/>
      <c r="D1632" s="73"/>
      <c r="E1632" s="82"/>
      <c r="F1632" s="82"/>
      <c r="G1632" s="86"/>
      <c r="H1632" s="86"/>
      <c r="I1632" s="86"/>
      <c r="J1632" s="82"/>
      <c r="K1632" s="82"/>
      <c r="L1632" s="82"/>
      <c r="M1632" s="82"/>
      <c r="N1632" s="82"/>
      <c r="O1632" s="82"/>
      <c r="P1632" s="82"/>
      <c r="Q1632" s="82"/>
      <c r="R1632" s="82"/>
      <c r="S1632" s="82"/>
      <c r="T1632" s="82"/>
      <c r="U1632" s="82"/>
      <c r="V1632" s="82"/>
      <c r="W1632" s="82"/>
      <c r="X1632" s="82"/>
      <c r="Y1632" s="82"/>
      <c r="Z1632" s="82"/>
      <c r="AA1632" s="82"/>
      <c r="AB1632" s="82"/>
      <c r="AC1632" s="82"/>
      <c r="AD1632" s="82"/>
      <c r="AE1632" s="82"/>
      <c r="AF1632" s="82"/>
      <c r="AG1632" s="82"/>
      <c r="AH1632" s="82"/>
      <c r="AI1632" s="82"/>
      <c r="AJ1632" s="82"/>
      <c r="AK1632" s="82"/>
      <c r="AL1632" s="82"/>
      <c r="AM1632" s="82"/>
      <c r="AN1632" s="82"/>
      <c r="AO1632" s="82"/>
      <c r="AP1632" s="82"/>
      <c r="AQ1632" s="82"/>
      <c r="AR1632" s="82"/>
      <c r="AS1632" s="82"/>
      <c r="AT1632" s="82"/>
      <c r="AU1632" s="82"/>
      <c r="AV1632" s="82"/>
      <c r="AW1632" s="82" t="str">
        <f t="shared" si="1"/>
        <v/>
      </c>
      <c r="AX1632" s="83" t="str">
        <f t="array" ref="AX1632">IFERROR(DGET('SBV Import'!A:G,"SBV",{"RSC ID","Tier";B1632,A1632}))</f>
        <v/>
      </c>
      <c r="AY1632" s="82" t="str">
        <f t="shared" si="2"/>
        <v/>
      </c>
      <c r="AZ1632" s="82"/>
      <c r="BA1632" s="84" t="s">
        <v>152</v>
      </c>
      <c r="BB1632" s="84" t="str">
        <f>IFERROR(__xludf.DUMMYFUNCTION("iferror(if(A1632="""",,E1632&gt;=FILTER(Constants!$F$2:$F$10,Constants!$A$2:$A$10=A1632)))"),"")</f>
        <v/>
      </c>
    </row>
    <row r="1633">
      <c r="A1633" s="89"/>
      <c r="B1633" s="87"/>
      <c r="C1633" s="73"/>
      <c r="D1633" s="73"/>
      <c r="E1633" s="82"/>
      <c r="F1633" s="82"/>
      <c r="G1633" s="86"/>
      <c r="H1633" s="86"/>
      <c r="I1633" s="86"/>
      <c r="J1633" s="82"/>
      <c r="K1633" s="82"/>
      <c r="L1633" s="82"/>
      <c r="M1633" s="82"/>
      <c r="N1633" s="82"/>
      <c r="O1633" s="82"/>
      <c r="P1633" s="82"/>
      <c r="Q1633" s="82"/>
      <c r="R1633" s="82"/>
      <c r="S1633" s="82"/>
      <c r="T1633" s="82"/>
      <c r="U1633" s="82"/>
      <c r="V1633" s="82"/>
      <c r="W1633" s="82"/>
      <c r="X1633" s="82"/>
      <c r="Y1633" s="82"/>
      <c r="Z1633" s="82"/>
      <c r="AA1633" s="82"/>
      <c r="AB1633" s="82"/>
      <c r="AC1633" s="82"/>
      <c r="AD1633" s="82"/>
      <c r="AE1633" s="82"/>
      <c r="AF1633" s="82"/>
      <c r="AG1633" s="82"/>
      <c r="AH1633" s="82"/>
      <c r="AI1633" s="82"/>
      <c r="AJ1633" s="82"/>
      <c r="AK1633" s="82"/>
      <c r="AL1633" s="82"/>
      <c r="AM1633" s="82"/>
      <c r="AN1633" s="82"/>
      <c r="AO1633" s="82"/>
      <c r="AP1633" s="82"/>
      <c r="AQ1633" s="82"/>
      <c r="AR1633" s="82"/>
      <c r="AS1633" s="82"/>
      <c r="AT1633" s="82"/>
      <c r="AU1633" s="82"/>
      <c r="AV1633" s="82"/>
      <c r="AW1633" s="82" t="str">
        <f t="shared" si="1"/>
        <v/>
      </c>
      <c r="AX1633" s="83" t="str">
        <f t="array" ref="AX1633">IFERROR(DGET('SBV Import'!A:G,"SBV",{"RSC ID","Tier";B1633,A1633}))</f>
        <v/>
      </c>
      <c r="AY1633" s="82" t="str">
        <f t="shared" si="2"/>
        <v/>
      </c>
      <c r="AZ1633" s="82"/>
      <c r="BA1633" s="84" t="s">
        <v>152</v>
      </c>
      <c r="BB1633" s="84" t="str">
        <f>IFERROR(__xludf.DUMMYFUNCTION("iferror(if(A1633="""",,E1633&gt;=FILTER(Constants!$F$2:$F$10,Constants!$A$2:$A$10=A1633)))"),"")</f>
        <v/>
      </c>
    </row>
    <row r="1634">
      <c r="A1634" s="89"/>
      <c r="B1634" s="87"/>
      <c r="C1634" s="73"/>
      <c r="D1634" s="73"/>
      <c r="E1634" s="82"/>
      <c r="F1634" s="82"/>
      <c r="G1634" s="86"/>
      <c r="H1634" s="86"/>
      <c r="I1634" s="86"/>
      <c r="J1634" s="82"/>
      <c r="K1634" s="82"/>
      <c r="L1634" s="82"/>
      <c r="M1634" s="82"/>
      <c r="N1634" s="82"/>
      <c r="O1634" s="82"/>
      <c r="P1634" s="82"/>
      <c r="Q1634" s="82"/>
      <c r="R1634" s="82"/>
      <c r="S1634" s="82"/>
      <c r="T1634" s="82"/>
      <c r="U1634" s="82"/>
      <c r="V1634" s="82"/>
      <c r="W1634" s="82"/>
      <c r="X1634" s="82"/>
      <c r="Y1634" s="82"/>
      <c r="Z1634" s="82"/>
      <c r="AA1634" s="82"/>
      <c r="AB1634" s="82"/>
      <c r="AC1634" s="82"/>
      <c r="AD1634" s="82"/>
      <c r="AE1634" s="82"/>
      <c r="AF1634" s="82"/>
      <c r="AG1634" s="82"/>
      <c r="AH1634" s="82"/>
      <c r="AI1634" s="82"/>
      <c r="AJ1634" s="82"/>
      <c r="AK1634" s="82"/>
      <c r="AL1634" s="82"/>
      <c r="AM1634" s="82"/>
      <c r="AN1634" s="82"/>
      <c r="AO1634" s="82"/>
      <c r="AP1634" s="82"/>
      <c r="AQ1634" s="82"/>
      <c r="AR1634" s="82"/>
      <c r="AS1634" s="82"/>
      <c r="AT1634" s="82"/>
      <c r="AU1634" s="82"/>
      <c r="AV1634" s="82"/>
      <c r="AW1634" s="82" t="str">
        <f t="shared" si="1"/>
        <v/>
      </c>
      <c r="AX1634" s="83" t="str">
        <f t="array" ref="AX1634">IFERROR(DGET('SBV Import'!A:G,"SBV",{"RSC ID","Tier";B1634,A1634}))</f>
        <v/>
      </c>
      <c r="AY1634" s="82" t="str">
        <f t="shared" si="2"/>
        <v/>
      </c>
      <c r="AZ1634" s="82"/>
      <c r="BA1634" s="84" t="s">
        <v>152</v>
      </c>
      <c r="BB1634" s="84" t="str">
        <f>IFERROR(__xludf.DUMMYFUNCTION("iferror(if(A1634="""",,E1634&gt;=FILTER(Constants!$F$2:$F$10,Constants!$A$2:$A$10=A1634)))"),"")</f>
        <v/>
      </c>
    </row>
    <row r="1635">
      <c r="A1635" s="89"/>
      <c r="B1635" s="87"/>
      <c r="C1635" s="73"/>
      <c r="D1635" s="73"/>
      <c r="E1635" s="82"/>
      <c r="F1635" s="82"/>
      <c r="G1635" s="86"/>
      <c r="H1635" s="86"/>
      <c r="I1635" s="86"/>
      <c r="J1635" s="82"/>
      <c r="K1635" s="82"/>
      <c r="L1635" s="82"/>
      <c r="M1635" s="82"/>
      <c r="N1635" s="82"/>
      <c r="O1635" s="82"/>
      <c r="P1635" s="82"/>
      <c r="Q1635" s="82"/>
      <c r="R1635" s="82"/>
      <c r="S1635" s="82"/>
      <c r="T1635" s="82"/>
      <c r="U1635" s="82"/>
      <c r="V1635" s="82"/>
      <c r="W1635" s="82"/>
      <c r="X1635" s="82"/>
      <c r="Y1635" s="82"/>
      <c r="Z1635" s="82"/>
      <c r="AA1635" s="82"/>
      <c r="AB1635" s="82"/>
      <c r="AC1635" s="82"/>
      <c r="AD1635" s="82"/>
      <c r="AE1635" s="82"/>
      <c r="AF1635" s="82"/>
      <c r="AG1635" s="82"/>
      <c r="AH1635" s="82"/>
      <c r="AI1635" s="82"/>
      <c r="AJ1635" s="82"/>
      <c r="AK1635" s="82"/>
      <c r="AL1635" s="82"/>
      <c r="AM1635" s="82"/>
      <c r="AN1635" s="82"/>
      <c r="AO1635" s="82"/>
      <c r="AP1635" s="82"/>
      <c r="AQ1635" s="82"/>
      <c r="AR1635" s="82"/>
      <c r="AS1635" s="82"/>
      <c r="AT1635" s="82"/>
      <c r="AU1635" s="82"/>
      <c r="AV1635" s="82"/>
      <c r="AW1635" s="82" t="str">
        <f t="shared" si="1"/>
        <v/>
      </c>
      <c r="AX1635" s="83" t="str">
        <f t="array" ref="AX1635">IFERROR(DGET('SBV Import'!A:G,"SBV",{"RSC ID","Tier";B1635,A1635}))</f>
        <v/>
      </c>
      <c r="AY1635" s="82" t="str">
        <f t="shared" si="2"/>
        <v/>
      </c>
      <c r="AZ1635" s="82"/>
      <c r="BA1635" s="84" t="s">
        <v>152</v>
      </c>
      <c r="BB1635" s="84" t="str">
        <f>IFERROR(__xludf.DUMMYFUNCTION("iferror(if(A1635="""",,E1635&gt;=FILTER(Constants!$F$2:$F$10,Constants!$A$2:$A$10=A1635)))"),"")</f>
        <v/>
      </c>
    </row>
    <row r="1636">
      <c r="A1636" s="89"/>
      <c r="B1636" s="87"/>
      <c r="C1636" s="73"/>
      <c r="D1636" s="73"/>
      <c r="E1636" s="82"/>
      <c r="F1636" s="82"/>
      <c r="G1636" s="86"/>
      <c r="H1636" s="86"/>
      <c r="I1636" s="86"/>
      <c r="J1636" s="82"/>
      <c r="K1636" s="82"/>
      <c r="L1636" s="82"/>
      <c r="M1636" s="82"/>
      <c r="N1636" s="82"/>
      <c r="O1636" s="82"/>
      <c r="P1636" s="82"/>
      <c r="Q1636" s="82"/>
      <c r="R1636" s="82"/>
      <c r="S1636" s="82"/>
      <c r="T1636" s="82"/>
      <c r="U1636" s="82"/>
      <c r="V1636" s="82"/>
      <c r="W1636" s="82"/>
      <c r="X1636" s="82"/>
      <c r="Y1636" s="82"/>
      <c r="Z1636" s="82"/>
      <c r="AA1636" s="82"/>
      <c r="AB1636" s="82"/>
      <c r="AC1636" s="82"/>
      <c r="AD1636" s="82"/>
      <c r="AE1636" s="82"/>
      <c r="AF1636" s="82"/>
      <c r="AG1636" s="82"/>
      <c r="AH1636" s="82"/>
      <c r="AI1636" s="82"/>
      <c r="AJ1636" s="82"/>
      <c r="AK1636" s="82"/>
      <c r="AL1636" s="82"/>
      <c r="AM1636" s="82"/>
      <c r="AN1636" s="82"/>
      <c r="AO1636" s="82"/>
      <c r="AP1636" s="82"/>
      <c r="AQ1636" s="82"/>
      <c r="AR1636" s="82"/>
      <c r="AS1636" s="82"/>
      <c r="AT1636" s="82"/>
      <c r="AU1636" s="82"/>
      <c r="AV1636" s="82"/>
      <c r="AW1636" s="82" t="str">
        <f t="shared" si="1"/>
        <v/>
      </c>
      <c r="AX1636" s="83" t="str">
        <f t="array" ref="AX1636">IFERROR(DGET('SBV Import'!A:G,"SBV",{"RSC ID","Tier";B1636,A1636}))</f>
        <v/>
      </c>
      <c r="AY1636" s="82" t="str">
        <f t="shared" si="2"/>
        <v/>
      </c>
      <c r="AZ1636" s="82"/>
      <c r="BA1636" s="84" t="s">
        <v>152</v>
      </c>
      <c r="BB1636" s="84" t="str">
        <f>IFERROR(__xludf.DUMMYFUNCTION("iferror(if(A1636="""",,E1636&gt;=FILTER(Constants!$F$2:$F$10,Constants!$A$2:$A$10=A1636)))"),"")</f>
        <v/>
      </c>
    </row>
    <row r="1637">
      <c r="A1637" s="89"/>
      <c r="B1637" s="87"/>
      <c r="C1637" s="73"/>
      <c r="D1637" s="73"/>
      <c r="E1637" s="82"/>
      <c r="F1637" s="82"/>
      <c r="G1637" s="86"/>
      <c r="H1637" s="86"/>
      <c r="I1637" s="86"/>
      <c r="J1637" s="82"/>
      <c r="K1637" s="82"/>
      <c r="L1637" s="82"/>
      <c r="M1637" s="82"/>
      <c r="N1637" s="82"/>
      <c r="O1637" s="82"/>
      <c r="P1637" s="82"/>
      <c r="Q1637" s="82"/>
      <c r="R1637" s="82"/>
      <c r="S1637" s="82"/>
      <c r="T1637" s="82"/>
      <c r="U1637" s="82"/>
      <c r="V1637" s="82"/>
      <c r="W1637" s="82"/>
      <c r="X1637" s="82"/>
      <c r="Y1637" s="82"/>
      <c r="Z1637" s="82"/>
      <c r="AA1637" s="82"/>
      <c r="AB1637" s="82"/>
      <c r="AC1637" s="82"/>
      <c r="AD1637" s="82"/>
      <c r="AE1637" s="82"/>
      <c r="AF1637" s="82"/>
      <c r="AG1637" s="82"/>
      <c r="AH1637" s="82"/>
      <c r="AI1637" s="82"/>
      <c r="AJ1637" s="82"/>
      <c r="AK1637" s="82"/>
      <c r="AL1637" s="82"/>
      <c r="AM1637" s="82"/>
      <c r="AN1637" s="82"/>
      <c r="AO1637" s="82"/>
      <c r="AP1637" s="82"/>
      <c r="AQ1637" s="82"/>
      <c r="AR1637" s="82"/>
      <c r="AS1637" s="82"/>
      <c r="AT1637" s="82"/>
      <c r="AU1637" s="82"/>
      <c r="AV1637" s="82"/>
      <c r="AW1637" s="82" t="str">
        <f t="shared" si="1"/>
        <v/>
      </c>
      <c r="AX1637" s="83" t="str">
        <f t="array" ref="AX1637">IFERROR(DGET('SBV Import'!A:G,"SBV",{"RSC ID","Tier";B1637,A1637}))</f>
        <v/>
      </c>
      <c r="AY1637" s="82" t="str">
        <f t="shared" si="2"/>
        <v/>
      </c>
      <c r="AZ1637" s="82"/>
      <c r="BA1637" s="84" t="s">
        <v>152</v>
      </c>
      <c r="BB1637" s="84" t="str">
        <f>IFERROR(__xludf.DUMMYFUNCTION("iferror(if(A1637="""",,E1637&gt;=FILTER(Constants!$F$2:$F$10,Constants!$A$2:$A$10=A1637)))"),"")</f>
        <v/>
      </c>
    </row>
    <row r="1638">
      <c r="A1638" s="89"/>
      <c r="B1638" s="87"/>
      <c r="C1638" s="73"/>
      <c r="D1638" s="73"/>
      <c r="E1638" s="82"/>
      <c r="F1638" s="82"/>
      <c r="G1638" s="86"/>
      <c r="H1638" s="86"/>
      <c r="I1638" s="86"/>
      <c r="J1638" s="82"/>
      <c r="K1638" s="82"/>
      <c r="L1638" s="82"/>
      <c r="M1638" s="82"/>
      <c r="N1638" s="82"/>
      <c r="O1638" s="82"/>
      <c r="P1638" s="82"/>
      <c r="Q1638" s="82"/>
      <c r="R1638" s="82"/>
      <c r="S1638" s="82"/>
      <c r="T1638" s="82"/>
      <c r="U1638" s="82"/>
      <c r="V1638" s="82"/>
      <c r="W1638" s="82"/>
      <c r="X1638" s="82"/>
      <c r="Y1638" s="82"/>
      <c r="Z1638" s="82"/>
      <c r="AA1638" s="82"/>
      <c r="AB1638" s="82"/>
      <c r="AC1638" s="82"/>
      <c r="AD1638" s="82"/>
      <c r="AE1638" s="82"/>
      <c r="AF1638" s="82"/>
      <c r="AG1638" s="82"/>
      <c r="AH1638" s="82"/>
      <c r="AI1638" s="82"/>
      <c r="AJ1638" s="82"/>
      <c r="AK1638" s="82"/>
      <c r="AL1638" s="82"/>
      <c r="AM1638" s="82"/>
      <c r="AN1638" s="82"/>
      <c r="AO1638" s="82"/>
      <c r="AP1638" s="82"/>
      <c r="AQ1638" s="82"/>
      <c r="AR1638" s="82"/>
      <c r="AS1638" s="82"/>
      <c r="AT1638" s="82"/>
      <c r="AU1638" s="82"/>
      <c r="AV1638" s="82"/>
      <c r="AW1638" s="82" t="str">
        <f t="shared" si="1"/>
        <v/>
      </c>
      <c r="AX1638" s="83" t="str">
        <f t="array" ref="AX1638">IFERROR(DGET('SBV Import'!A:G,"SBV",{"RSC ID","Tier";B1638,A1638}))</f>
        <v/>
      </c>
      <c r="AY1638" s="82" t="str">
        <f t="shared" si="2"/>
        <v/>
      </c>
      <c r="AZ1638" s="82"/>
      <c r="BA1638" s="84" t="s">
        <v>152</v>
      </c>
      <c r="BB1638" s="84" t="str">
        <f>IFERROR(__xludf.DUMMYFUNCTION("iferror(if(A1638="""",,E1638&gt;=FILTER(Constants!$F$2:$F$10,Constants!$A$2:$A$10=A1638)))"),"")</f>
        <v/>
      </c>
    </row>
    <row r="1639">
      <c r="A1639" s="89"/>
      <c r="B1639" s="87"/>
      <c r="C1639" s="73"/>
      <c r="D1639" s="73"/>
      <c r="E1639" s="82"/>
      <c r="F1639" s="82"/>
      <c r="G1639" s="86"/>
      <c r="H1639" s="86"/>
      <c r="I1639" s="86"/>
      <c r="J1639" s="82"/>
      <c r="K1639" s="82"/>
      <c r="L1639" s="82"/>
      <c r="M1639" s="82"/>
      <c r="N1639" s="82"/>
      <c r="O1639" s="82"/>
      <c r="P1639" s="82"/>
      <c r="Q1639" s="82"/>
      <c r="R1639" s="82"/>
      <c r="S1639" s="82"/>
      <c r="T1639" s="82"/>
      <c r="U1639" s="82"/>
      <c r="V1639" s="82"/>
      <c r="W1639" s="82"/>
      <c r="X1639" s="82"/>
      <c r="Y1639" s="82"/>
      <c r="Z1639" s="82"/>
      <c r="AA1639" s="82"/>
      <c r="AB1639" s="82"/>
      <c r="AC1639" s="82"/>
      <c r="AD1639" s="82"/>
      <c r="AE1639" s="82"/>
      <c r="AF1639" s="82"/>
      <c r="AG1639" s="82"/>
      <c r="AH1639" s="82"/>
      <c r="AI1639" s="82"/>
      <c r="AJ1639" s="82"/>
      <c r="AK1639" s="82"/>
      <c r="AL1639" s="82"/>
      <c r="AM1639" s="82"/>
      <c r="AN1639" s="82"/>
      <c r="AO1639" s="82"/>
      <c r="AP1639" s="82"/>
      <c r="AQ1639" s="82"/>
      <c r="AR1639" s="82"/>
      <c r="AS1639" s="82"/>
      <c r="AT1639" s="82"/>
      <c r="AU1639" s="82"/>
      <c r="AV1639" s="82"/>
      <c r="AW1639" s="82" t="str">
        <f t="shared" si="1"/>
        <v/>
      </c>
      <c r="AX1639" s="83" t="str">
        <f t="array" ref="AX1639">IFERROR(DGET('SBV Import'!A:G,"SBV",{"RSC ID","Tier";B1639,A1639}))</f>
        <v/>
      </c>
      <c r="AY1639" s="82" t="str">
        <f t="shared" si="2"/>
        <v/>
      </c>
      <c r="AZ1639" s="82"/>
      <c r="BA1639" s="84" t="s">
        <v>152</v>
      </c>
      <c r="BB1639" s="84" t="str">
        <f>IFERROR(__xludf.DUMMYFUNCTION("iferror(if(A1639="""",,E1639&gt;=FILTER(Constants!$F$2:$F$10,Constants!$A$2:$A$10=A1639)))"),"")</f>
        <v/>
      </c>
    </row>
    <row r="1640">
      <c r="A1640" s="89"/>
      <c r="B1640" s="87"/>
      <c r="C1640" s="73"/>
      <c r="D1640" s="73"/>
      <c r="E1640" s="82"/>
      <c r="F1640" s="82"/>
      <c r="G1640" s="86"/>
      <c r="H1640" s="86"/>
      <c r="I1640" s="86"/>
      <c r="J1640" s="82"/>
      <c r="K1640" s="82"/>
      <c r="L1640" s="82"/>
      <c r="M1640" s="82"/>
      <c r="N1640" s="82"/>
      <c r="O1640" s="82"/>
      <c r="P1640" s="82"/>
      <c r="Q1640" s="82"/>
      <c r="R1640" s="82"/>
      <c r="S1640" s="82"/>
      <c r="T1640" s="82"/>
      <c r="U1640" s="82"/>
      <c r="V1640" s="82"/>
      <c r="W1640" s="82"/>
      <c r="X1640" s="82"/>
      <c r="Y1640" s="82"/>
      <c r="Z1640" s="82"/>
      <c r="AA1640" s="82"/>
      <c r="AB1640" s="82"/>
      <c r="AC1640" s="82"/>
      <c r="AD1640" s="82"/>
      <c r="AE1640" s="82"/>
      <c r="AF1640" s="82"/>
      <c r="AG1640" s="82"/>
      <c r="AH1640" s="82"/>
      <c r="AI1640" s="82"/>
      <c r="AJ1640" s="82"/>
      <c r="AK1640" s="82"/>
      <c r="AL1640" s="82"/>
      <c r="AM1640" s="82"/>
      <c r="AN1640" s="82"/>
      <c r="AO1640" s="82"/>
      <c r="AP1640" s="82"/>
      <c r="AQ1640" s="82"/>
      <c r="AR1640" s="82"/>
      <c r="AS1640" s="82"/>
      <c r="AT1640" s="82"/>
      <c r="AU1640" s="82"/>
      <c r="AV1640" s="82"/>
      <c r="AW1640" s="82" t="str">
        <f t="shared" si="1"/>
        <v/>
      </c>
      <c r="AX1640" s="83" t="str">
        <f t="array" ref="AX1640">IFERROR(DGET('SBV Import'!A:G,"SBV",{"RSC ID","Tier";B1640,A1640}))</f>
        <v/>
      </c>
      <c r="AY1640" s="82" t="str">
        <f t="shared" si="2"/>
        <v/>
      </c>
      <c r="AZ1640" s="82"/>
      <c r="BA1640" s="84" t="s">
        <v>152</v>
      </c>
      <c r="BB1640" s="84" t="str">
        <f>IFERROR(__xludf.DUMMYFUNCTION("iferror(if(A1640="""",,E1640&gt;=FILTER(Constants!$F$2:$F$10,Constants!$A$2:$A$10=A1640)))"),"")</f>
        <v/>
      </c>
    </row>
    <row r="1641">
      <c r="A1641" s="89"/>
      <c r="B1641" s="87"/>
      <c r="C1641" s="73"/>
      <c r="D1641" s="73"/>
      <c r="E1641" s="82"/>
      <c r="F1641" s="82"/>
      <c r="G1641" s="86"/>
      <c r="H1641" s="86"/>
      <c r="I1641" s="86"/>
      <c r="J1641" s="82"/>
      <c r="K1641" s="82"/>
      <c r="L1641" s="82"/>
      <c r="M1641" s="82"/>
      <c r="N1641" s="82"/>
      <c r="O1641" s="82"/>
      <c r="P1641" s="82"/>
      <c r="Q1641" s="82"/>
      <c r="R1641" s="82"/>
      <c r="S1641" s="82"/>
      <c r="T1641" s="82"/>
      <c r="U1641" s="82"/>
      <c r="V1641" s="82"/>
      <c r="W1641" s="82"/>
      <c r="X1641" s="82"/>
      <c r="Y1641" s="82"/>
      <c r="Z1641" s="82"/>
      <c r="AA1641" s="82"/>
      <c r="AB1641" s="82"/>
      <c r="AC1641" s="82"/>
      <c r="AD1641" s="82"/>
      <c r="AE1641" s="82"/>
      <c r="AF1641" s="82"/>
      <c r="AG1641" s="82"/>
      <c r="AH1641" s="82"/>
      <c r="AI1641" s="82"/>
      <c r="AJ1641" s="82"/>
      <c r="AK1641" s="82"/>
      <c r="AL1641" s="82"/>
      <c r="AM1641" s="82"/>
      <c r="AN1641" s="82"/>
      <c r="AO1641" s="82"/>
      <c r="AP1641" s="82"/>
      <c r="AQ1641" s="82"/>
      <c r="AR1641" s="82"/>
      <c r="AS1641" s="82"/>
      <c r="AT1641" s="82"/>
      <c r="AU1641" s="82"/>
      <c r="AV1641" s="82"/>
      <c r="AW1641" s="82" t="str">
        <f t="shared" si="1"/>
        <v/>
      </c>
      <c r="AX1641" s="83" t="str">
        <f t="array" ref="AX1641">IFERROR(DGET('SBV Import'!A:G,"SBV",{"RSC ID","Tier";B1641,A1641}))</f>
        <v/>
      </c>
      <c r="AY1641" s="82" t="str">
        <f t="shared" si="2"/>
        <v/>
      </c>
      <c r="AZ1641" s="82"/>
      <c r="BA1641" s="84" t="s">
        <v>152</v>
      </c>
      <c r="BB1641" s="84" t="str">
        <f>IFERROR(__xludf.DUMMYFUNCTION("iferror(if(A1641="""",,E1641&gt;=FILTER(Constants!$F$2:$F$10,Constants!$A$2:$A$10=A1641)))"),"")</f>
        <v/>
      </c>
    </row>
    <row r="1642">
      <c r="A1642" s="89"/>
      <c r="B1642" s="87"/>
      <c r="C1642" s="73"/>
      <c r="D1642" s="73"/>
      <c r="E1642" s="82"/>
      <c r="F1642" s="82"/>
      <c r="G1642" s="86"/>
      <c r="H1642" s="86"/>
      <c r="I1642" s="86"/>
      <c r="J1642" s="82"/>
      <c r="K1642" s="82"/>
      <c r="L1642" s="82"/>
      <c r="M1642" s="82"/>
      <c r="N1642" s="82"/>
      <c r="O1642" s="82"/>
      <c r="P1642" s="82"/>
      <c r="Q1642" s="82"/>
      <c r="R1642" s="82"/>
      <c r="S1642" s="82"/>
      <c r="T1642" s="82"/>
      <c r="U1642" s="82"/>
      <c r="V1642" s="82"/>
      <c r="W1642" s="82"/>
      <c r="X1642" s="82"/>
      <c r="Y1642" s="82"/>
      <c r="Z1642" s="82"/>
      <c r="AA1642" s="82"/>
      <c r="AB1642" s="82"/>
      <c r="AC1642" s="82"/>
      <c r="AD1642" s="82"/>
      <c r="AE1642" s="82"/>
      <c r="AF1642" s="82"/>
      <c r="AG1642" s="82"/>
      <c r="AH1642" s="82"/>
      <c r="AI1642" s="82"/>
      <c r="AJ1642" s="82"/>
      <c r="AK1642" s="82"/>
      <c r="AL1642" s="82"/>
      <c r="AM1642" s="82"/>
      <c r="AN1642" s="82"/>
      <c r="AO1642" s="82"/>
      <c r="AP1642" s="82"/>
      <c r="AQ1642" s="82"/>
      <c r="AR1642" s="82"/>
      <c r="AS1642" s="82"/>
      <c r="AT1642" s="82"/>
      <c r="AU1642" s="82"/>
      <c r="AV1642" s="82"/>
      <c r="AW1642" s="82" t="str">
        <f t="shared" si="1"/>
        <v/>
      </c>
      <c r="AX1642" s="83" t="str">
        <f t="array" ref="AX1642">IFERROR(DGET('SBV Import'!A:G,"SBV",{"RSC ID","Tier";B1642,A1642}))</f>
        <v/>
      </c>
      <c r="AY1642" s="82" t="str">
        <f t="shared" si="2"/>
        <v/>
      </c>
      <c r="AZ1642" s="82"/>
      <c r="BA1642" s="84" t="s">
        <v>152</v>
      </c>
      <c r="BB1642" s="84" t="str">
        <f>IFERROR(__xludf.DUMMYFUNCTION("iferror(if(A1642="""",,E1642&gt;=FILTER(Constants!$F$2:$F$10,Constants!$A$2:$A$10=A1642)))"),"")</f>
        <v/>
      </c>
    </row>
    <row r="1643">
      <c r="A1643" s="89"/>
      <c r="B1643" s="87"/>
      <c r="C1643" s="73"/>
      <c r="D1643" s="73"/>
      <c r="E1643" s="82"/>
      <c r="F1643" s="82"/>
      <c r="G1643" s="86"/>
      <c r="H1643" s="86"/>
      <c r="I1643" s="86"/>
      <c r="J1643" s="82"/>
      <c r="K1643" s="82"/>
      <c r="L1643" s="82"/>
      <c r="M1643" s="82"/>
      <c r="N1643" s="82"/>
      <c r="O1643" s="82"/>
      <c r="P1643" s="82"/>
      <c r="Q1643" s="82"/>
      <c r="R1643" s="82"/>
      <c r="S1643" s="82"/>
      <c r="T1643" s="82"/>
      <c r="U1643" s="82"/>
      <c r="V1643" s="82"/>
      <c r="W1643" s="82"/>
      <c r="X1643" s="82"/>
      <c r="Y1643" s="82"/>
      <c r="Z1643" s="82"/>
      <c r="AA1643" s="82"/>
      <c r="AB1643" s="82"/>
      <c r="AC1643" s="82"/>
      <c r="AD1643" s="82"/>
      <c r="AE1643" s="82"/>
      <c r="AF1643" s="82"/>
      <c r="AG1643" s="82"/>
      <c r="AH1643" s="82"/>
      <c r="AI1643" s="82"/>
      <c r="AJ1643" s="82"/>
      <c r="AK1643" s="82"/>
      <c r="AL1643" s="82"/>
      <c r="AM1643" s="82"/>
      <c r="AN1643" s="82"/>
      <c r="AO1643" s="82"/>
      <c r="AP1643" s="82"/>
      <c r="AQ1643" s="82"/>
      <c r="AR1643" s="82"/>
      <c r="AS1643" s="82"/>
      <c r="AT1643" s="82"/>
      <c r="AU1643" s="82"/>
      <c r="AV1643" s="82"/>
      <c r="AW1643" s="82" t="str">
        <f t="shared" si="1"/>
        <v/>
      </c>
      <c r="AX1643" s="83" t="str">
        <f t="array" ref="AX1643">IFERROR(DGET('SBV Import'!A:G,"SBV",{"RSC ID","Tier";B1643,A1643}))</f>
        <v/>
      </c>
      <c r="AY1643" s="82" t="str">
        <f t="shared" si="2"/>
        <v/>
      </c>
      <c r="AZ1643" s="82"/>
      <c r="BA1643" s="84" t="s">
        <v>152</v>
      </c>
      <c r="BB1643" s="84" t="str">
        <f>IFERROR(__xludf.DUMMYFUNCTION("iferror(if(A1643="""",,E1643&gt;=FILTER(Constants!$F$2:$F$10,Constants!$A$2:$A$10=A1643)))"),"")</f>
        <v/>
      </c>
    </row>
    <row r="1644">
      <c r="A1644" s="89"/>
      <c r="B1644" s="87"/>
      <c r="C1644" s="73"/>
      <c r="D1644" s="73"/>
      <c r="E1644" s="82"/>
      <c r="F1644" s="82"/>
      <c r="G1644" s="86"/>
      <c r="H1644" s="86"/>
      <c r="I1644" s="86"/>
      <c r="J1644" s="82"/>
      <c r="K1644" s="82"/>
      <c r="L1644" s="82"/>
      <c r="M1644" s="82"/>
      <c r="N1644" s="82"/>
      <c r="O1644" s="82"/>
      <c r="P1644" s="82"/>
      <c r="Q1644" s="82"/>
      <c r="R1644" s="82"/>
      <c r="S1644" s="82"/>
      <c r="T1644" s="82"/>
      <c r="U1644" s="82"/>
      <c r="V1644" s="82"/>
      <c r="W1644" s="82"/>
      <c r="X1644" s="82"/>
      <c r="Y1644" s="82"/>
      <c r="Z1644" s="82"/>
      <c r="AA1644" s="82"/>
      <c r="AB1644" s="82"/>
      <c r="AC1644" s="82"/>
      <c r="AD1644" s="82"/>
      <c r="AE1644" s="82"/>
      <c r="AF1644" s="82"/>
      <c r="AG1644" s="82"/>
      <c r="AH1644" s="82"/>
      <c r="AI1644" s="82"/>
      <c r="AJ1644" s="82"/>
      <c r="AK1644" s="82"/>
      <c r="AL1644" s="82"/>
      <c r="AM1644" s="82"/>
      <c r="AN1644" s="82"/>
      <c r="AO1644" s="82"/>
      <c r="AP1644" s="82"/>
      <c r="AQ1644" s="82"/>
      <c r="AR1644" s="82"/>
      <c r="AS1644" s="82"/>
      <c r="AT1644" s="82"/>
      <c r="AU1644" s="82"/>
      <c r="AV1644" s="82"/>
      <c r="AW1644" s="82" t="str">
        <f t="shared" si="1"/>
        <v/>
      </c>
      <c r="AX1644" s="83" t="str">
        <f t="array" ref="AX1644">IFERROR(DGET('SBV Import'!A:G,"SBV",{"RSC ID","Tier";B1644,A1644}))</f>
        <v/>
      </c>
      <c r="AY1644" s="82" t="str">
        <f t="shared" si="2"/>
        <v/>
      </c>
      <c r="AZ1644" s="82"/>
      <c r="BA1644" s="84" t="s">
        <v>152</v>
      </c>
      <c r="BB1644" s="84" t="str">
        <f>IFERROR(__xludf.DUMMYFUNCTION("iferror(if(A1644="""",,E1644&gt;=FILTER(Constants!$F$2:$F$10,Constants!$A$2:$A$10=A1644)))"),"")</f>
        <v/>
      </c>
    </row>
    <row r="1645">
      <c r="A1645" s="89"/>
      <c r="B1645" s="87"/>
      <c r="C1645" s="73"/>
      <c r="D1645" s="73"/>
      <c r="E1645" s="82"/>
      <c r="F1645" s="82"/>
      <c r="G1645" s="86"/>
      <c r="H1645" s="86"/>
      <c r="I1645" s="86"/>
      <c r="J1645" s="82"/>
      <c r="K1645" s="82"/>
      <c r="L1645" s="82"/>
      <c r="M1645" s="82"/>
      <c r="N1645" s="82"/>
      <c r="O1645" s="82"/>
      <c r="P1645" s="82"/>
      <c r="Q1645" s="82"/>
      <c r="R1645" s="82"/>
      <c r="S1645" s="82"/>
      <c r="T1645" s="82"/>
      <c r="U1645" s="82"/>
      <c r="V1645" s="82"/>
      <c r="W1645" s="82"/>
      <c r="X1645" s="82"/>
      <c r="Y1645" s="82"/>
      <c r="Z1645" s="82"/>
      <c r="AA1645" s="82"/>
      <c r="AB1645" s="82"/>
      <c r="AC1645" s="82"/>
      <c r="AD1645" s="82"/>
      <c r="AE1645" s="82"/>
      <c r="AF1645" s="82"/>
      <c r="AG1645" s="82"/>
      <c r="AH1645" s="82"/>
      <c r="AI1645" s="82"/>
      <c r="AJ1645" s="82"/>
      <c r="AK1645" s="82"/>
      <c r="AL1645" s="82"/>
      <c r="AM1645" s="82"/>
      <c r="AN1645" s="82"/>
      <c r="AO1645" s="82"/>
      <c r="AP1645" s="82"/>
      <c r="AQ1645" s="82"/>
      <c r="AR1645" s="82"/>
      <c r="AS1645" s="82"/>
      <c r="AT1645" s="82"/>
      <c r="AU1645" s="82"/>
      <c r="AV1645" s="82"/>
      <c r="AW1645" s="82" t="str">
        <f t="shared" si="1"/>
        <v/>
      </c>
      <c r="AX1645" s="83" t="str">
        <f t="array" ref="AX1645">IFERROR(DGET('SBV Import'!A:G,"SBV",{"RSC ID","Tier";B1645,A1645}))</f>
        <v/>
      </c>
      <c r="AY1645" s="82" t="str">
        <f t="shared" si="2"/>
        <v/>
      </c>
      <c r="AZ1645" s="82"/>
      <c r="BA1645" s="84" t="s">
        <v>152</v>
      </c>
      <c r="BB1645" s="84" t="str">
        <f>IFERROR(__xludf.DUMMYFUNCTION("iferror(if(A1645="""",,E1645&gt;=FILTER(Constants!$F$2:$F$10,Constants!$A$2:$A$10=A1645)))"),"")</f>
        <v/>
      </c>
    </row>
    <row r="1646">
      <c r="A1646" s="89"/>
      <c r="B1646" s="87"/>
      <c r="C1646" s="73"/>
      <c r="D1646" s="73"/>
      <c r="E1646" s="82"/>
      <c r="F1646" s="82"/>
      <c r="G1646" s="86"/>
      <c r="H1646" s="86"/>
      <c r="I1646" s="86"/>
      <c r="J1646" s="82"/>
      <c r="K1646" s="82"/>
      <c r="L1646" s="82"/>
      <c r="M1646" s="82"/>
      <c r="N1646" s="82"/>
      <c r="O1646" s="82"/>
      <c r="P1646" s="82"/>
      <c r="Q1646" s="82"/>
      <c r="R1646" s="82"/>
      <c r="S1646" s="82"/>
      <c r="T1646" s="82"/>
      <c r="U1646" s="82"/>
      <c r="V1646" s="82"/>
      <c r="W1646" s="82"/>
      <c r="X1646" s="82"/>
      <c r="Y1646" s="82"/>
      <c r="Z1646" s="82"/>
      <c r="AA1646" s="82"/>
      <c r="AB1646" s="82"/>
      <c r="AC1646" s="82"/>
      <c r="AD1646" s="82"/>
      <c r="AE1646" s="82"/>
      <c r="AF1646" s="82"/>
      <c r="AG1646" s="82"/>
      <c r="AH1646" s="82"/>
      <c r="AI1646" s="82"/>
      <c r="AJ1646" s="82"/>
      <c r="AK1646" s="82"/>
      <c r="AL1646" s="82"/>
      <c r="AM1646" s="82"/>
      <c r="AN1646" s="82"/>
      <c r="AO1646" s="82"/>
      <c r="AP1646" s="82"/>
      <c r="AQ1646" s="82"/>
      <c r="AR1646" s="82"/>
      <c r="AS1646" s="82"/>
      <c r="AT1646" s="82"/>
      <c r="AU1646" s="82"/>
      <c r="AV1646" s="82"/>
      <c r="AW1646" s="82" t="str">
        <f t="shared" si="1"/>
        <v/>
      </c>
      <c r="AX1646" s="83" t="str">
        <f t="array" ref="AX1646">IFERROR(DGET('SBV Import'!A:G,"SBV",{"RSC ID","Tier";B1646,A1646}))</f>
        <v/>
      </c>
      <c r="AY1646" s="82" t="str">
        <f t="shared" si="2"/>
        <v/>
      </c>
      <c r="AZ1646" s="82"/>
      <c r="BA1646" s="84" t="s">
        <v>152</v>
      </c>
      <c r="BB1646" s="84" t="str">
        <f>IFERROR(__xludf.DUMMYFUNCTION("iferror(if(A1646="""",,E1646&gt;=FILTER(Constants!$F$2:$F$10,Constants!$A$2:$A$10=A1646)))"),"")</f>
        <v/>
      </c>
    </row>
    <row r="1647">
      <c r="A1647" s="89"/>
      <c r="B1647" s="87"/>
      <c r="C1647" s="73"/>
      <c r="D1647" s="73"/>
      <c r="E1647" s="82"/>
      <c r="F1647" s="82"/>
      <c r="G1647" s="86"/>
      <c r="H1647" s="86"/>
      <c r="I1647" s="86"/>
      <c r="J1647" s="82"/>
      <c r="K1647" s="82"/>
      <c r="L1647" s="82"/>
      <c r="M1647" s="82"/>
      <c r="N1647" s="82"/>
      <c r="O1647" s="82"/>
      <c r="P1647" s="82"/>
      <c r="Q1647" s="82"/>
      <c r="R1647" s="82"/>
      <c r="S1647" s="82"/>
      <c r="T1647" s="82"/>
      <c r="U1647" s="82"/>
      <c r="V1647" s="82"/>
      <c r="W1647" s="82"/>
      <c r="X1647" s="82"/>
      <c r="Y1647" s="82"/>
      <c r="Z1647" s="82"/>
      <c r="AA1647" s="82"/>
      <c r="AB1647" s="82"/>
      <c r="AC1647" s="82"/>
      <c r="AD1647" s="82"/>
      <c r="AE1647" s="82"/>
      <c r="AF1647" s="82"/>
      <c r="AG1647" s="82"/>
      <c r="AH1647" s="82"/>
      <c r="AI1647" s="82"/>
      <c r="AJ1647" s="82"/>
      <c r="AK1647" s="82"/>
      <c r="AL1647" s="82"/>
      <c r="AM1647" s="82"/>
      <c r="AN1647" s="82"/>
      <c r="AO1647" s="82"/>
      <c r="AP1647" s="82"/>
      <c r="AQ1647" s="82"/>
      <c r="AR1647" s="82"/>
      <c r="AS1647" s="82"/>
      <c r="AT1647" s="82"/>
      <c r="AU1647" s="82"/>
      <c r="AV1647" s="82"/>
      <c r="AW1647" s="82" t="str">
        <f t="shared" si="1"/>
        <v/>
      </c>
      <c r="AX1647" s="83" t="str">
        <f t="array" ref="AX1647">IFERROR(DGET('SBV Import'!A:G,"SBV",{"RSC ID","Tier";B1647,A1647}))</f>
        <v/>
      </c>
      <c r="AY1647" s="82" t="str">
        <f t="shared" si="2"/>
        <v/>
      </c>
      <c r="AZ1647" s="82"/>
      <c r="BA1647" s="84" t="s">
        <v>152</v>
      </c>
      <c r="BB1647" s="84" t="str">
        <f>IFERROR(__xludf.DUMMYFUNCTION("iferror(if(A1647="""",,E1647&gt;=FILTER(Constants!$F$2:$F$10,Constants!$A$2:$A$10=A1647)))"),"")</f>
        <v/>
      </c>
    </row>
    <row r="1648">
      <c r="A1648" s="89"/>
      <c r="B1648" s="87"/>
      <c r="C1648" s="73"/>
      <c r="D1648" s="73"/>
      <c r="E1648" s="82"/>
      <c r="F1648" s="82"/>
      <c r="G1648" s="86"/>
      <c r="H1648" s="86"/>
      <c r="I1648" s="86"/>
      <c r="J1648" s="82"/>
      <c r="K1648" s="82"/>
      <c r="L1648" s="82"/>
      <c r="M1648" s="82"/>
      <c r="N1648" s="82"/>
      <c r="O1648" s="82"/>
      <c r="P1648" s="82"/>
      <c r="Q1648" s="82"/>
      <c r="R1648" s="82"/>
      <c r="S1648" s="82"/>
      <c r="T1648" s="82"/>
      <c r="U1648" s="82"/>
      <c r="V1648" s="82"/>
      <c r="W1648" s="82"/>
      <c r="X1648" s="82"/>
      <c r="Y1648" s="82"/>
      <c r="Z1648" s="82"/>
      <c r="AA1648" s="82"/>
      <c r="AB1648" s="82"/>
      <c r="AC1648" s="82"/>
      <c r="AD1648" s="82"/>
      <c r="AE1648" s="82"/>
      <c r="AF1648" s="82"/>
      <c r="AG1648" s="82"/>
      <c r="AH1648" s="82"/>
      <c r="AI1648" s="82"/>
      <c r="AJ1648" s="82"/>
      <c r="AK1648" s="82"/>
      <c r="AL1648" s="82"/>
      <c r="AM1648" s="82"/>
      <c r="AN1648" s="82"/>
      <c r="AO1648" s="82"/>
      <c r="AP1648" s="82"/>
      <c r="AQ1648" s="82"/>
      <c r="AR1648" s="82"/>
      <c r="AS1648" s="82"/>
      <c r="AT1648" s="82"/>
      <c r="AU1648" s="82"/>
      <c r="AV1648" s="82"/>
      <c r="AW1648" s="82" t="str">
        <f t="shared" si="1"/>
        <v/>
      </c>
      <c r="AX1648" s="83" t="str">
        <f t="array" ref="AX1648">IFERROR(DGET('SBV Import'!A:G,"SBV",{"RSC ID","Tier";B1648,A1648}))</f>
        <v/>
      </c>
      <c r="AY1648" s="82" t="str">
        <f t="shared" si="2"/>
        <v/>
      </c>
      <c r="AZ1648" s="82"/>
      <c r="BA1648" s="84" t="s">
        <v>152</v>
      </c>
      <c r="BB1648" s="84" t="str">
        <f>IFERROR(__xludf.DUMMYFUNCTION("iferror(if(A1648="""",,E1648&gt;=FILTER(Constants!$F$2:$F$10,Constants!$A$2:$A$10=A1648)))"),"")</f>
        <v/>
      </c>
    </row>
    <row r="1649">
      <c r="A1649" s="89"/>
      <c r="B1649" s="87"/>
      <c r="C1649" s="73"/>
      <c r="D1649" s="73"/>
      <c r="E1649" s="82"/>
      <c r="F1649" s="82"/>
      <c r="G1649" s="86"/>
      <c r="H1649" s="86"/>
      <c r="I1649" s="86"/>
      <c r="J1649" s="82"/>
      <c r="K1649" s="82"/>
      <c r="L1649" s="82"/>
      <c r="M1649" s="82"/>
      <c r="N1649" s="82"/>
      <c r="O1649" s="82"/>
      <c r="P1649" s="82"/>
      <c r="Q1649" s="82"/>
      <c r="R1649" s="82"/>
      <c r="S1649" s="82"/>
      <c r="T1649" s="82"/>
      <c r="U1649" s="82"/>
      <c r="V1649" s="82"/>
      <c r="W1649" s="82"/>
      <c r="X1649" s="82"/>
      <c r="Y1649" s="82"/>
      <c r="Z1649" s="82"/>
      <c r="AA1649" s="82"/>
      <c r="AB1649" s="82"/>
      <c r="AC1649" s="82"/>
      <c r="AD1649" s="82"/>
      <c r="AE1649" s="82"/>
      <c r="AF1649" s="82"/>
      <c r="AG1649" s="82"/>
      <c r="AH1649" s="82"/>
      <c r="AI1649" s="82"/>
      <c r="AJ1649" s="82"/>
      <c r="AK1649" s="82"/>
      <c r="AL1649" s="82"/>
      <c r="AM1649" s="82"/>
      <c r="AN1649" s="82"/>
      <c r="AO1649" s="82"/>
      <c r="AP1649" s="82"/>
      <c r="AQ1649" s="82"/>
      <c r="AR1649" s="82"/>
      <c r="AS1649" s="82"/>
      <c r="AT1649" s="82"/>
      <c r="AU1649" s="82"/>
      <c r="AV1649" s="82"/>
      <c r="AW1649" s="82" t="str">
        <f t="shared" si="1"/>
        <v/>
      </c>
      <c r="AX1649" s="83" t="str">
        <f t="array" ref="AX1649">IFERROR(DGET('SBV Import'!A:G,"SBV",{"RSC ID","Tier";B1649,A1649}))</f>
        <v/>
      </c>
      <c r="AY1649" s="82" t="str">
        <f t="shared" si="2"/>
        <v/>
      </c>
      <c r="AZ1649" s="82"/>
      <c r="BA1649" s="84" t="s">
        <v>152</v>
      </c>
      <c r="BB1649" s="84" t="str">
        <f>IFERROR(__xludf.DUMMYFUNCTION("iferror(if(A1649="""",,E1649&gt;=FILTER(Constants!$F$2:$F$10,Constants!$A$2:$A$10=A1649)))"),"")</f>
        <v/>
      </c>
    </row>
    <row r="1650">
      <c r="A1650" s="89"/>
      <c r="B1650" s="87"/>
      <c r="C1650" s="73"/>
      <c r="D1650" s="73"/>
      <c r="E1650" s="82"/>
      <c r="F1650" s="82"/>
      <c r="G1650" s="86"/>
      <c r="H1650" s="86"/>
      <c r="I1650" s="86"/>
      <c r="J1650" s="82"/>
      <c r="K1650" s="82"/>
      <c r="L1650" s="82"/>
      <c r="M1650" s="82"/>
      <c r="N1650" s="82"/>
      <c r="O1650" s="82"/>
      <c r="P1650" s="82"/>
      <c r="Q1650" s="82"/>
      <c r="R1650" s="82"/>
      <c r="S1650" s="82"/>
      <c r="T1650" s="82"/>
      <c r="U1650" s="82"/>
      <c r="V1650" s="82"/>
      <c r="W1650" s="82"/>
      <c r="X1650" s="82"/>
      <c r="Y1650" s="82"/>
      <c r="Z1650" s="82"/>
      <c r="AA1650" s="82"/>
      <c r="AB1650" s="82"/>
      <c r="AC1650" s="82"/>
      <c r="AD1650" s="82"/>
      <c r="AE1650" s="82"/>
      <c r="AF1650" s="82"/>
      <c r="AG1650" s="82"/>
      <c r="AH1650" s="82"/>
      <c r="AI1650" s="82"/>
      <c r="AJ1650" s="82"/>
      <c r="AK1650" s="82"/>
      <c r="AL1650" s="82"/>
      <c r="AM1650" s="82"/>
      <c r="AN1650" s="82"/>
      <c r="AO1650" s="82"/>
      <c r="AP1650" s="82"/>
      <c r="AQ1650" s="82"/>
      <c r="AR1650" s="82"/>
      <c r="AS1650" s="82"/>
      <c r="AT1650" s="82"/>
      <c r="AU1650" s="82"/>
      <c r="AV1650" s="82"/>
      <c r="AW1650" s="82" t="str">
        <f t="shared" si="1"/>
        <v/>
      </c>
      <c r="AX1650" s="83" t="str">
        <f t="array" ref="AX1650">IFERROR(DGET('SBV Import'!A:G,"SBV",{"RSC ID","Tier";B1650,A1650}))</f>
        <v/>
      </c>
      <c r="AY1650" s="82" t="str">
        <f t="shared" si="2"/>
        <v/>
      </c>
      <c r="AZ1650" s="82"/>
      <c r="BA1650" s="84" t="s">
        <v>152</v>
      </c>
      <c r="BB1650" s="84" t="str">
        <f>IFERROR(__xludf.DUMMYFUNCTION("iferror(if(A1650="""",,E1650&gt;=FILTER(Constants!$F$2:$F$10,Constants!$A$2:$A$10=A1650)))"),"")</f>
        <v/>
      </c>
    </row>
    <row r="1651">
      <c r="A1651" s="89"/>
      <c r="B1651" s="87"/>
      <c r="C1651" s="73"/>
      <c r="D1651" s="73"/>
      <c r="E1651" s="82"/>
      <c r="F1651" s="82"/>
      <c r="G1651" s="86"/>
      <c r="H1651" s="86"/>
      <c r="I1651" s="86"/>
      <c r="J1651" s="82"/>
      <c r="K1651" s="82"/>
      <c r="L1651" s="82"/>
      <c r="M1651" s="82"/>
      <c r="N1651" s="82"/>
      <c r="O1651" s="82"/>
      <c r="P1651" s="82"/>
      <c r="Q1651" s="82"/>
      <c r="R1651" s="82"/>
      <c r="S1651" s="82"/>
      <c r="T1651" s="82"/>
      <c r="U1651" s="82"/>
      <c r="V1651" s="82"/>
      <c r="W1651" s="82"/>
      <c r="X1651" s="82"/>
      <c r="Y1651" s="82"/>
      <c r="Z1651" s="82"/>
      <c r="AA1651" s="82"/>
      <c r="AB1651" s="82"/>
      <c r="AC1651" s="82"/>
      <c r="AD1651" s="82"/>
      <c r="AE1651" s="82"/>
      <c r="AF1651" s="82"/>
      <c r="AG1651" s="82"/>
      <c r="AH1651" s="82"/>
      <c r="AI1651" s="82"/>
      <c r="AJ1651" s="82"/>
      <c r="AK1651" s="82"/>
      <c r="AL1651" s="82"/>
      <c r="AM1651" s="82"/>
      <c r="AN1651" s="82"/>
      <c r="AO1651" s="82"/>
      <c r="AP1651" s="82"/>
      <c r="AQ1651" s="82"/>
      <c r="AR1651" s="82"/>
      <c r="AS1651" s="82"/>
      <c r="AT1651" s="82"/>
      <c r="AU1651" s="82"/>
      <c r="AV1651" s="82"/>
      <c r="AW1651" s="82" t="str">
        <f t="shared" si="1"/>
        <v/>
      </c>
      <c r="AX1651" s="83" t="str">
        <f t="array" ref="AX1651">IFERROR(DGET('SBV Import'!A:G,"SBV",{"RSC ID","Tier";B1651,A1651}))</f>
        <v/>
      </c>
      <c r="AY1651" s="82" t="str">
        <f t="shared" si="2"/>
        <v/>
      </c>
      <c r="AZ1651" s="82"/>
      <c r="BA1651" s="84" t="s">
        <v>152</v>
      </c>
      <c r="BB1651" s="84" t="str">
        <f>IFERROR(__xludf.DUMMYFUNCTION("iferror(if(A1651="""",,E1651&gt;=FILTER(Constants!$F$2:$F$10,Constants!$A$2:$A$10=A1651)))"),"")</f>
        <v/>
      </c>
    </row>
    <row r="1652">
      <c r="A1652" s="89"/>
      <c r="B1652" s="87"/>
      <c r="C1652" s="73"/>
      <c r="D1652" s="73"/>
      <c r="E1652" s="82"/>
      <c r="F1652" s="82"/>
      <c r="G1652" s="86"/>
      <c r="H1652" s="86"/>
      <c r="I1652" s="86"/>
      <c r="J1652" s="82"/>
      <c r="K1652" s="82"/>
      <c r="L1652" s="82"/>
      <c r="M1652" s="82"/>
      <c r="N1652" s="82"/>
      <c r="O1652" s="82"/>
      <c r="P1652" s="82"/>
      <c r="Q1652" s="82"/>
      <c r="R1652" s="82"/>
      <c r="S1652" s="82"/>
      <c r="T1652" s="82"/>
      <c r="U1652" s="82"/>
      <c r="V1652" s="82"/>
      <c r="W1652" s="82"/>
      <c r="X1652" s="82"/>
      <c r="Y1652" s="82"/>
      <c r="Z1652" s="82"/>
      <c r="AA1652" s="82"/>
      <c r="AB1652" s="82"/>
      <c r="AC1652" s="82"/>
      <c r="AD1652" s="82"/>
      <c r="AE1652" s="82"/>
      <c r="AF1652" s="82"/>
      <c r="AG1652" s="82"/>
      <c r="AH1652" s="82"/>
      <c r="AI1652" s="82"/>
      <c r="AJ1652" s="82"/>
      <c r="AK1652" s="82"/>
      <c r="AL1652" s="82"/>
      <c r="AM1652" s="82"/>
      <c r="AN1652" s="82"/>
      <c r="AO1652" s="82"/>
      <c r="AP1652" s="82"/>
      <c r="AQ1652" s="82"/>
      <c r="AR1652" s="82"/>
      <c r="AS1652" s="82"/>
      <c r="AT1652" s="82"/>
      <c r="AU1652" s="82"/>
      <c r="AV1652" s="82"/>
      <c r="AW1652" s="82" t="str">
        <f t="shared" si="1"/>
        <v/>
      </c>
      <c r="AX1652" s="83" t="str">
        <f t="array" ref="AX1652">IFERROR(DGET('SBV Import'!A:G,"SBV",{"RSC ID","Tier";B1652,A1652}))</f>
        <v/>
      </c>
      <c r="AY1652" s="82" t="str">
        <f t="shared" si="2"/>
        <v/>
      </c>
      <c r="AZ1652" s="82"/>
      <c r="BA1652" s="84" t="s">
        <v>152</v>
      </c>
      <c r="BB1652" s="84" t="str">
        <f>IFERROR(__xludf.DUMMYFUNCTION("iferror(if(A1652="""",,E1652&gt;=FILTER(Constants!$F$2:$F$10,Constants!$A$2:$A$10=A1652)))"),"")</f>
        <v/>
      </c>
    </row>
    <row r="1653">
      <c r="A1653" s="89"/>
      <c r="B1653" s="87"/>
      <c r="C1653" s="73"/>
      <c r="D1653" s="73"/>
      <c r="E1653" s="82"/>
      <c r="F1653" s="82"/>
      <c r="G1653" s="86"/>
      <c r="H1653" s="86"/>
      <c r="I1653" s="86"/>
      <c r="J1653" s="82"/>
      <c r="K1653" s="82"/>
      <c r="L1653" s="82"/>
      <c r="M1653" s="82"/>
      <c r="N1653" s="82"/>
      <c r="O1653" s="82"/>
      <c r="P1653" s="82"/>
      <c r="Q1653" s="82"/>
      <c r="R1653" s="82"/>
      <c r="S1653" s="82"/>
      <c r="T1653" s="82"/>
      <c r="U1653" s="82"/>
      <c r="V1653" s="82"/>
      <c r="W1653" s="82"/>
      <c r="X1653" s="82"/>
      <c r="Y1653" s="82"/>
      <c r="Z1653" s="82"/>
      <c r="AA1653" s="82"/>
      <c r="AB1653" s="82"/>
      <c r="AC1653" s="82"/>
      <c r="AD1653" s="82"/>
      <c r="AE1653" s="82"/>
      <c r="AF1653" s="82"/>
      <c r="AG1653" s="82"/>
      <c r="AH1653" s="82"/>
      <c r="AI1653" s="82"/>
      <c r="AJ1653" s="82"/>
      <c r="AK1653" s="82"/>
      <c r="AL1653" s="82"/>
      <c r="AM1653" s="82"/>
      <c r="AN1653" s="82"/>
      <c r="AO1653" s="82"/>
      <c r="AP1653" s="82"/>
      <c r="AQ1653" s="82"/>
      <c r="AR1653" s="82"/>
      <c r="AS1653" s="82"/>
      <c r="AT1653" s="82"/>
      <c r="AU1653" s="82"/>
      <c r="AV1653" s="82"/>
      <c r="AW1653" s="82" t="str">
        <f t="shared" si="1"/>
        <v/>
      </c>
      <c r="AX1653" s="83" t="str">
        <f t="array" ref="AX1653">IFERROR(DGET('SBV Import'!A:G,"SBV",{"RSC ID","Tier";B1653,A1653}))</f>
        <v/>
      </c>
      <c r="AY1653" s="82" t="str">
        <f t="shared" si="2"/>
        <v/>
      </c>
      <c r="AZ1653" s="82"/>
      <c r="BA1653" s="84" t="s">
        <v>152</v>
      </c>
      <c r="BB1653" s="84" t="str">
        <f>IFERROR(__xludf.DUMMYFUNCTION("iferror(if(A1653="""",,E1653&gt;=FILTER(Constants!$F$2:$F$10,Constants!$A$2:$A$10=A1653)))"),"")</f>
        <v/>
      </c>
    </row>
    <row r="1654">
      <c r="A1654" s="89"/>
      <c r="B1654" s="87"/>
      <c r="C1654" s="73"/>
      <c r="D1654" s="73"/>
      <c r="E1654" s="82"/>
      <c r="F1654" s="82"/>
      <c r="G1654" s="86"/>
      <c r="H1654" s="86"/>
      <c r="I1654" s="86"/>
      <c r="J1654" s="82"/>
      <c r="K1654" s="82"/>
      <c r="L1654" s="82"/>
      <c r="M1654" s="82"/>
      <c r="N1654" s="82"/>
      <c r="O1654" s="82"/>
      <c r="P1654" s="82"/>
      <c r="Q1654" s="82"/>
      <c r="R1654" s="82"/>
      <c r="S1654" s="82"/>
      <c r="T1654" s="82"/>
      <c r="U1654" s="82"/>
      <c r="V1654" s="82"/>
      <c r="W1654" s="82"/>
      <c r="X1654" s="82"/>
      <c r="Y1654" s="82"/>
      <c r="Z1654" s="82"/>
      <c r="AA1654" s="82"/>
      <c r="AB1654" s="82"/>
      <c r="AC1654" s="82"/>
      <c r="AD1654" s="82"/>
      <c r="AE1654" s="82"/>
      <c r="AF1654" s="82"/>
      <c r="AG1654" s="82"/>
      <c r="AH1654" s="82"/>
      <c r="AI1654" s="82"/>
      <c r="AJ1654" s="82"/>
      <c r="AK1654" s="82"/>
      <c r="AL1654" s="82"/>
      <c r="AM1654" s="82"/>
      <c r="AN1654" s="82"/>
      <c r="AO1654" s="82"/>
      <c r="AP1654" s="82"/>
      <c r="AQ1654" s="82"/>
      <c r="AR1654" s="82"/>
      <c r="AS1654" s="82"/>
      <c r="AT1654" s="82"/>
      <c r="AU1654" s="82"/>
      <c r="AV1654" s="82"/>
      <c r="AW1654" s="82" t="str">
        <f t="shared" si="1"/>
        <v/>
      </c>
      <c r="AX1654" s="83" t="str">
        <f t="array" ref="AX1654">IFERROR(DGET('SBV Import'!A:G,"SBV",{"RSC ID","Tier";B1654,A1654}))</f>
        <v/>
      </c>
      <c r="AY1654" s="82" t="str">
        <f t="shared" si="2"/>
        <v/>
      </c>
      <c r="AZ1654" s="82"/>
      <c r="BA1654" s="84" t="s">
        <v>152</v>
      </c>
      <c r="BB1654" s="84" t="str">
        <f>IFERROR(__xludf.DUMMYFUNCTION("iferror(if(A1654="""",,E1654&gt;=FILTER(Constants!$F$2:$F$10,Constants!$A$2:$A$10=A1654)))"),"")</f>
        <v/>
      </c>
    </row>
    <row r="1655">
      <c r="A1655" s="89"/>
      <c r="B1655" s="87"/>
      <c r="C1655" s="73"/>
      <c r="D1655" s="73"/>
      <c r="E1655" s="82"/>
      <c r="F1655" s="82"/>
      <c r="G1655" s="86"/>
      <c r="H1655" s="86"/>
      <c r="I1655" s="86"/>
      <c r="J1655" s="82"/>
      <c r="K1655" s="82"/>
      <c r="L1655" s="82"/>
      <c r="M1655" s="82"/>
      <c r="N1655" s="82"/>
      <c r="O1655" s="82"/>
      <c r="P1655" s="82"/>
      <c r="Q1655" s="82"/>
      <c r="R1655" s="82"/>
      <c r="S1655" s="82"/>
      <c r="T1655" s="82"/>
      <c r="U1655" s="82"/>
      <c r="V1655" s="82"/>
      <c r="W1655" s="82"/>
      <c r="X1655" s="82"/>
      <c r="Y1655" s="82"/>
      <c r="Z1655" s="82"/>
      <c r="AA1655" s="82"/>
      <c r="AB1655" s="82"/>
      <c r="AC1655" s="82"/>
      <c r="AD1655" s="82"/>
      <c r="AE1655" s="82"/>
      <c r="AF1655" s="82"/>
      <c r="AG1655" s="82"/>
      <c r="AH1655" s="82"/>
      <c r="AI1655" s="82"/>
      <c r="AJ1655" s="82"/>
      <c r="AK1655" s="82"/>
      <c r="AL1655" s="82"/>
      <c r="AM1655" s="82"/>
      <c r="AN1655" s="82"/>
      <c r="AO1655" s="82"/>
      <c r="AP1655" s="82"/>
      <c r="AQ1655" s="82"/>
      <c r="AR1655" s="82"/>
      <c r="AS1655" s="82"/>
      <c r="AT1655" s="82"/>
      <c r="AU1655" s="82"/>
      <c r="AV1655" s="82"/>
      <c r="AW1655" s="82" t="str">
        <f t="shared" si="1"/>
        <v/>
      </c>
      <c r="AX1655" s="83" t="str">
        <f t="array" ref="AX1655">IFERROR(DGET('SBV Import'!A:G,"SBV",{"RSC ID","Tier";B1655,A1655}))</f>
        <v/>
      </c>
      <c r="AY1655" s="82" t="str">
        <f t="shared" si="2"/>
        <v/>
      </c>
      <c r="AZ1655" s="82"/>
      <c r="BA1655" s="84" t="s">
        <v>152</v>
      </c>
      <c r="BB1655" s="84" t="str">
        <f>IFERROR(__xludf.DUMMYFUNCTION("iferror(if(A1655="""",,E1655&gt;=FILTER(Constants!$F$2:$F$10,Constants!$A$2:$A$10=A1655)))"),"")</f>
        <v/>
      </c>
    </row>
    <row r="1656">
      <c r="A1656" s="89"/>
      <c r="B1656" s="87"/>
      <c r="C1656" s="73"/>
      <c r="D1656" s="73"/>
      <c r="E1656" s="82"/>
      <c r="F1656" s="82"/>
      <c r="G1656" s="86"/>
      <c r="H1656" s="86"/>
      <c r="I1656" s="86"/>
      <c r="J1656" s="82"/>
      <c r="K1656" s="82"/>
      <c r="L1656" s="82"/>
      <c r="M1656" s="82"/>
      <c r="N1656" s="82"/>
      <c r="O1656" s="82"/>
      <c r="P1656" s="82"/>
      <c r="Q1656" s="82"/>
      <c r="R1656" s="82"/>
      <c r="S1656" s="82"/>
      <c r="T1656" s="82"/>
      <c r="U1656" s="82"/>
      <c r="V1656" s="82"/>
      <c r="W1656" s="82"/>
      <c r="X1656" s="82"/>
      <c r="Y1656" s="82"/>
      <c r="Z1656" s="82"/>
      <c r="AA1656" s="82"/>
      <c r="AB1656" s="82"/>
      <c r="AC1656" s="82"/>
      <c r="AD1656" s="82"/>
      <c r="AE1656" s="82"/>
      <c r="AF1656" s="82"/>
      <c r="AG1656" s="82"/>
      <c r="AH1656" s="82"/>
      <c r="AI1656" s="82"/>
      <c r="AJ1656" s="82"/>
      <c r="AK1656" s="82"/>
      <c r="AL1656" s="82"/>
      <c r="AM1656" s="82"/>
      <c r="AN1656" s="82"/>
      <c r="AO1656" s="82"/>
      <c r="AP1656" s="82"/>
      <c r="AQ1656" s="82"/>
      <c r="AR1656" s="82"/>
      <c r="AS1656" s="82"/>
      <c r="AT1656" s="82"/>
      <c r="AU1656" s="82"/>
      <c r="AV1656" s="82"/>
      <c r="AW1656" s="82" t="str">
        <f t="shared" si="1"/>
        <v/>
      </c>
      <c r="AX1656" s="83" t="str">
        <f t="array" ref="AX1656">IFERROR(DGET('SBV Import'!A:G,"SBV",{"RSC ID","Tier";B1656,A1656}))</f>
        <v/>
      </c>
      <c r="AY1656" s="82" t="str">
        <f t="shared" si="2"/>
        <v/>
      </c>
      <c r="AZ1656" s="82"/>
      <c r="BA1656" s="84" t="s">
        <v>152</v>
      </c>
      <c r="BB1656" s="84" t="str">
        <f>IFERROR(__xludf.DUMMYFUNCTION("iferror(if(A1656="""",,E1656&gt;=FILTER(Constants!$F$2:$F$10,Constants!$A$2:$A$10=A1656)))"),"")</f>
        <v/>
      </c>
    </row>
    <row r="1657">
      <c r="A1657" s="89"/>
      <c r="B1657" s="87"/>
      <c r="C1657" s="73"/>
      <c r="D1657" s="73"/>
      <c r="E1657" s="82"/>
      <c r="F1657" s="82"/>
      <c r="G1657" s="86"/>
      <c r="H1657" s="86"/>
      <c r="I1657" s="86"/>
      <c r="J1657" s="82"/>
      <c r="K1657" s="82"/>
      <c r="L1657" s="82"/>
      <c r="M1657" s="82"/>
      <c r="N1657" s="82"/>
      <c r="O1657" s="82"/>
      <c r="P1657" s="82"/>
      <c r="Q1657" s="82"/>
      <c r="R1657" s="82"/>
      <c r="S1657" s="82"/>
      <c r="T1657" s="82"/>
      <c r="U1657" s="82"/>
      <c r="V1657" s="82"/>
      <c r="W1657" s="82"/>
      <c r="X1657" s="82"/>
      <c r="Y1657" s="82"/>
      <c r="Z1657" s="82"/>
      <c r="AA1657" s="82"/>
      <c r="AB1657" s="82"/>
      <c r="AC1657" s="82"/>
      <c r="AD1657" s="82"/>
      <c r="AE1657" s="82"/>
      <c r="AF1657" s="82"/>
      <c r="AG1657" s="82"/>
      <c r="AH1657" s="82"/>
      <c r="AI1657" s="82"/>
      <c r="AJ1657" s="82"/>
      <c r="AK1657" s="82"/>
      <c r="AL1657" s="82"/>
      <c r="AM1657" s="82"/>
      <c r="AN1657" s="82"/>
      <c r="AO1657" s="82"/>
      <c r="AP1657" s="82"/>
      <c r="AQ1657" s="82"/>
      <c r="AR1657" s="82"/>
      <c r="AS1657" s="82"/>
      <c r="AT1657" s="82"/>
      <c r="AU1657" s="82"/>
      <c r="AV1657" s="82"/>
      <c r="AW1657" s="82" t="str">
        <f t="shared" si="1"/>
        <v/>
      </c>
      <c r="AX1657" s="83" t="str">
        <f t="array" ref="AX1657">IFERROR(DGET('SBV Import'!A:G,"SBV",{"RSC ID","Tier";B1657,A1657}))</f>
        <v/>
      </c>
      <c r="AY1657" s="82" t="str">
        <f t="shared" si="2"/>
        <v/>
      </c>
      <c r="AZ1657" s="82"/>
      <c r="BA1657" s="84" t="s">
        <v>152</v>
      </c>
      <c r="BB1657" s="84" t="str">
        <f>IFERROR(__xludf.DUMMYFUNCTION("iferror(if(A1657="""",,E1657&gt;=FILTER(Constants!$F$2:$F$10,Constants!$A$2:$A$10=A1657)))"),"")</f>
        <v/>
      </c>
    </row>
    <row r="1658">
      <c r="A1658" s="89"/>
      <c r="B1658" s="87"/>
      <c r="C1658" s="73"/>
      <c r="D1658" s="73"/>
      <c r="E1658" s="82"/>
      <c r="F1658" s="82"/>
      <c r="G1658" s="86"/>
      <c r="H1658" s="86"/>
      <c r="I1658" s="86"/>
      <c r="J1658" s="82"/>
      <c r="K1658" s="82"/>
      <c r="L1658" s="82"/>
      <c r="M1658" s="82"/>
      <c r="N1658" s="82"/>
      <c r="O1658" s="82"/>
      <c r="P1658" s="82"/>
      <c r="Q1658" s="82"/>
      <c r="R1658" s="82"/>
      <c r="S1658" s="82"/>
      <c r="T1658" s="82"/>
      <c r="U1658" s="82"/>
      <c r="V1658" s="82"/>
      <c r="W1658" s="82"/>
      <c r="X1658" s="82"/>
      <c r="Y1658" s="82"/>
      <c r="Z1658" s="82"/>
      <c r="AA1658" s="82"/>
      <c r="AB1658" s="82"/>
      <c r="AC1658" s="82"/>
      <c r="AD1658" s="82"/>
      <c r="AE1658" s="82"/>
      <c r="AF1658" s="82"/>
      <c r="AG1658" s="82"/>
      <c r="AH1658" s="82"/>
      <c r="AI1658" s="82"/>
      <c r="AJ1658" s="82"/>
      <c r="AK1658" s="82"/>
      <c r="AL1658" s="82"/>
      <c r="AM1658" s="82"/>
      <c r="AN1658" s="82"/>
      <c r="AO1658" s="82"/>
      <c r="AP1658" s="82"/>
      <c r="AQ1658" s="82"/>
      <c r="AR1658" s="82"/>
      <c r="AS1658" s="82"/>
      <c r="AT1658" s="82"/>
      <c r="AU1658" s="82"/>
      <c r="AV1658" s="82"/>
      <c r="AW1658" s="82" t="str">
        <f t="shared" si="1"/>
        <v/>
      </c>
      <c r="AX1658" s="83" t="str">
        <f t="array" ref="AX1658">IFERROR(DGET('SBV Import'!A:G,"SBV",{"RSC ID","Tier";B1658,A1658}))</f>
        <v/>
      </c>
      <c r="AY1658" s="82" t="str">
        <f t="shared" si="2"/>
        <v/>
      </c>
      <c r="AZ1658" s="82"/>
      <c r="BA1658" s="84" t="s">
        <v>152</v>
      </c>
      <c r="BB1658" s="84" t="str">
        <f>IFERROR(__xludf.DUMMYFUNCTION("iferror(if(A1658="""",,E1658&gt;=FILTER(Constants!$F$2:$F$10,Constants!$A$2:$A$10=A1658)))"),"")</f>
        <v/>
      </c>
    </row>
    <row r="1659">
      <c r="A1659" s="89"/>
      <c r="B1659" s="87"/>
      <c r="C1659" s="73"/>
      <c r="D1659" s="73"/>
      <c r="E1659" s="82"/>
      <c r="F1659" s="82"/>
      <c r="G1659" s="86"/>
      <c r="H1659" s="86"/>
      <c r="I1659" s="86"/>
      <c r="J1659" s="82"/>
      <c r="K1659" s="82"/>
      <c r="L1659" s="82"/>
      <c r="M1659" s="82"/>
      <c r="N1659" s="82"/>
      <c r="O1659" s="82"/>
      <c r="P1659" s="82"/>
      <c r="Q1659" s="82"/>
      <c r="R1659" s="82"/>
      <c r="S1659" s="82"/>
      <c r="T1659" s="82"/>
      <c r="U1659" s="82"/>
      <c r="V1659" s="82"/>
      <c r="W1659" s="82"/>
      <c r="X1659" s="82"/>
      <c r="Y1659" s="82"/>
      <c r="Z1659" s="82"/>
      <c r="AA1659" s="82"/>
      <c r="AB1659" s="82"/>
      <c r="AC1659" s="82"/>
      <c r="AD1659" s="82"/>
      <c r="AE1659" s="82"/>
      <c r="AF1659" s="82"/>
      <c r="AG1659" s="82"/>
      <c r="AH1659" s="82"/>
      <c r="AI1659" s="82"/>
      <c r="AJ1659" s="82"/>
      <c r="AK1659" s="82"/>
      <c r="AL1659" s="82"/>
      <c r="AM1659" s="82"/>
      <c r="AN1659" s="82"/>
      <c r="AO1659" s="82"/>
      <c r="AP1659" s="82"/>
      <c r="AQ1659" s="82"/>
      <c r="AR1659" s="82"/>
      <c r="AS1659" s="82"/>
      <c r="AT1659" s="82"/>
      <c r="AU1659" s="82"/>
      <c r="AV1659" s="82"/>
      <c r="AW1659" s="82" t="str">
        <f t="shared" si="1"/>
        <v/>
      </c>
      <c r="AX1659" s="83" t="str">
        <f t="array" ref="AX1659">IFERROR(DGET('SBV Import'!A:G,"SBV",{"RSC ID","Tier";B1659,A1659}))</f>
        <v/>
      </c>
      <c r="AY1659" s="82" t="str">
        <f t="shared" si="2"/>
        <v/>
      </c>
      <c r="AZ1659" s="82"/>
      <c r="BA1659" s="84" t="s">
        <v>152</v>
      </c>
      <c r="BB1659" s="84" t="str">
        <f>IFERROR(__xludf.DUMMYFUNCTION("iferror(if(A1659="""",,E1659&gt;=FILTER(Constants!$F$2:$F$10,Constants!$A$2:$A$10=A1659)))"),"")</f>
        <v/>
      </c>
    </row>
    <row r="1660">
      <c r="A1660" s="89"/>
      <c r="B1660" s="87"/>
      <c r="C1660" s="73"/>
      <c r="D1660" s="73"/>
      <c r="E1660" s="82"/>
      <c r="F1660" s="82"/>
      <c r="G1660" s="86"/>
      <c r="H1660" s="86"/>
      <c r="I1660" s="86"/>
      <c r="J1660" s="82"/>
      <c r="K1660" s="82"/>
      <c r="L1660" s="82"/>
      <c r="M1660" s="82"/>
      <c r="N1660" s="82"/>
      <c r="O1660" s="82"/>
      <c r="P1660" s="82"/>
      <c r="Q1660" s="82"/>
      <c r="R1660" s="82"/>
      <c r="S1660" s="82"/>
      <c r="T1660" s="82"/>
      <c r="U1660" s="82"/>
      <c r="V1660" s="82"/>
      <c r="W1660" s="82"/>
      <c r="X1660" s="82"/>
      <c r="Y1660" s="82"/>
      <c r="Z1660" s="82"/>
      <c r="AA1660" s="82"/>
      <c r="AB1660" s="82"/>
      <c r="AC1660" s="82"/>
      <c r="AD1660" s="82"/>
      <c r="AE1660" s="82"/>
      <c r="AF1660" s="82"/>
      <c r="AG1660" s="82"/>
      <c r="AH1660" s="82"/>
      <c r="AI1660" s="82"/>
      <c r="AJ1660" s="82"/>
      <c r="AK1660" s="82"/>
      <c r="AL1660" s="82"/>
      <c r="AM1660" s="82"/>
      <c r="AN1660" s="82"/>
      <c r="AO1660" s="82"/>
      <c r="AP1660" s="82"/>
      <c r="AQ1660" s="82"/>
      <c r="AR1660" s="82"/>
      <c r="AS1660" s="82"/>
      <c r="AT1660" s="82"/>
      <c r="AU1660" s="82"/>
      <c r="AV1660" s="82"/>
      <c r="AW1660" s="82" t="str">
        <f t="shared" si="1"/>
        <v/>
      </c>
      <c r="AX1660" s="83" t="str">
        <f t="array" ref="AX1660">IFERROR(DGET('SBV Import'!A:G,"SBV",{"RSC ID","Tier";B1660,A1660}))</f>
        <v/>
      </c>
      <c r="AY1660" s="82" t="str">
        <f t="shared" si="2"/>
        <v/>
      </c>
      <c r="AZ1660" s="82"/>
      <c r="BA1660" s="84" t="s">
        <v>152</v>
      </c>
      <c r="BB1660" s="84" t="str">
        <f>IFERROR(__xludf.DUMMYFUNCTION("iferror(if(A1660="""",,E1660&gt;=FILTER(Constants!$F$2:$F$10,Constants!$A$2:$A$10=A1660)))"),"")</f>
        <v/>
      </c>
    </row>
    <row r="1661">
      <c r="A1661" s="89"/>
      <c r="B1661" s="87"/>
      <c r="C1661" s="73"/>
      <c r="D1661" s="73"/>
      <c r="E1661" s="82"/>
      <c r="F1661" s="82"/>
      <c r="G1661" s="86"/>
      <c r="H1661" s="86"/>
      <c r="I1661" s="86"/>
      <c r="J1661" s="82"/>
      <c r="K1661" s="82"/>
      <c r="L1661" s="82"/>
      <c r="M1661" s="82"/>
      <c r="N1661" s="82"/>
      <c r="O1661" s="82"/>
      <c r="P1661" s="82"/>
      <c r="Q1661" s="82"/>
      <c r="R1661" s="82"/>
      <c r="S1661" s="82"/>
      <c r="T1661" s="82"/>
      <c r="U1661" s="82"/>
      <c r="V1661" s="82"/>
      <c r="W1661" s="82"/>
      <c r="X1661" s="82"/>
      <c r="Y1661" s="82"/>
      <c r="Z1661" s="82"/>
      <c r="AA1661" s="82"/>
      <c r="AB1661" s="82"/>
      <c r="AC1661" s="82"/>
      <c r="AD1661" s="82"/>
      <c r="AE1661" s="82"/>
      <c r="AF1661" s="82"/>
      <c r="AG1661" s="82"/>
      <c r="AH1661" s="82"/>
      <c r="AI1661" s="82"/>
      <c r="AJ1661" s="82"/>
      <c r="AK1661" s="82"/>
      <c r="AL1661" s="82"/>
      <c r="AM1661" s="82"/>
      <c r="AN1661" s="82"/>
      <c r="AO1661" s="82"/>
      <c r="AP1661" s="82"/>
      <c r="AQ1661" s="82"/>
      <c r="AR1661" s="82"/>
      <c r="AS1661" s="82"/>
      <c r="AT1661" s="82"/>
      <c r="AU1661" s="82"/>
      <c r="AV1661" s="82"/>
      <c r="AW1661" s="82" t="str">
        <f t="shared" si="1"/>
        <v/>
      </c>
      <c r="AX1661" s="83" t="str">
        <f t="array" ref="AX1661">IFERROR(DGET('SBV Import'!A:G,"SBV",{"RSC ID","Tier";B1661,A1661}))</f>
        <v/>
      </c>
      <c r="AY1661" s="82" t="str">
        <f t="shared" si="2"/>
        <v/>
      </c>
      <c r="AZ1661" s="82"/>
      <c r="BA1661" s="84" t="s">
        <v>152</v>
      </c>
      <c r="BB1661" s="84" t="str">
        <f>IFERROR(__xludf.DUMMYFUNCTION("iferror(if(A1661="""",,E1661&gt;=FILTER(Constants!$F$2:$F$10,Constants!$A$2:$A$10=A1661)))"),"")</f>
        <v/>
      </c>
    </row>
    <row r="1662">
      <c r="A1662" s="89"/>
      <c r="B1662" s="87"/>
      <c r="C1662" s="73"/>
      <c r="D1662" s="73"/>
      <c r="E1662" s="82"/>
      <c r="F1662" s="82"/>
      <c r="G1662" s="86"/>
      <c r="H1662" s="86"/>
      <c r="I1662" s="86"/>
      <c r="J1662" s="82"/>
      <c r="K1662" s="82"/>
      <c r="L1662" s="82"/>
      <c r="M1662" s="82"/>
      <c r="N1662" s="82"/>
      <c r="O1662" s="82"/>
      <c r="P1662" s="82"/>
      <c r="Q1662" s="82"/>
      <c r="R1662" s="82"/>
      <c r="S1662" s="82"/>
      <c r="T1662" s="82"/>
      <c r="U1662" s="82"/>
      <c r="V1662" s="82"/>
      <c r="W1662" s="82"/>
      <c r="X1662" s="82"/>
      <c r="Y1662" s="82"/>
      <c r="Z1662" s="82"/>
      <c r="AA1662" s="82"/>
      <c r="AB1662" s="82"/>
      <c r="AC1662" s="82"/>
      <c r="AD1662" s="82"/>
      <c r="AE1662" s="82"/>
      <c r="AF1662" s="82"/>
      <c r="AG1662" s="82"/>
      <c r="AH1662" s="82"/>
      <c r="AI1662" s="82"/>
      <c r="AJ1662" s="82"/>
      <c r="AK1662" s="82"/>
      <c r="AL1662" s="82"/>
      <c r="AM1662" s="82"/>
      <c r="AN1662" s="82"/>
      <c r="AO1662" s="82"/>
      <c r="AP1662" s="82"/>
      <c r="AQ1662" s="82"/>
      <c r="AR1662" s="82"/>
      <c r="AS1662" s="82"/>
      <c r="AT1662" s="82"/>
      <c r="AU1662" s="82"/>
      <c r="AV1662" s="82"/>
      <c r="AW1662" s="82" t="str">
        <f t="shared" si="1"/>
        <v/>
      </c>
      <c r="AX1662" s="83" t="str">
        <f t="array" ref="AX1662">IFERROR(DGET('SBV Import'!A:G,"SBV",{"RSC ID","Tier";B1662,A1662}))</f>
        <v/>
      </c>
      <c r="AY1662" s="82" t="str">
        <f t="shared" si="2"/>
        <v/>
      </c>
      <c r="AZ1662" s="82"/>
      <c r="BA1662" s="84" t="s">
        <v>152</v>
      </c>
      <c r="BB1662" s="84" t="str">
        <f>IFERROR(__xludf.DUMMYFUNCTION("iferror(if(A1662="""",,E1662&gt;=FILTER(Constants!$F$2:$F$10,Constants!$A$2:$A$10=A1662)))"),"")</f>
        <v/>
      </c>
    </row>
    <row r="1663">
      <c r="A1663" s="89"/>
      <c r="B1663" s="87"/>
      <c r="C1663" s="73"/>
      <c r="D1663" s="73"/>
      <c r="E1663" s="82"/>
      <c r="F1663" s="82"/>
      <c r="G1663" s="86"/>
      <c r="H1663" s="86"/>
      <c r="I1663" s="86"/>
      <c r="J1663" s="82"/>
      <c r="K1663" s="82"/>
      <c r="L1663" s="82"/>
      <c r="M1663" s="82"/>
      <c r="N1663" s="82"/>
      <c r="O1663" s="82"/>
      <c r="P1663" s="82"/>
      <c r="Q1663" s="82"/>
      <c r="R1663" s="82"/>
      <c r="S1663" s="82"/>
      <c r="T1663" s="82"/>
      <c r="U1663" s="82"/>
      <c r="V1663" s="82"/>
      <c r="W1663" s="82"/>
      <c r="X1663" s="82"/>
      <c r="Y1663" s="82"/>
      <c r="Z1663" s="82"/>
      <c r="AA1663" s="82"/>
      <c r="AB1663" s="82"/>
      <c r="AC1663" s="82"/>
      <c r="AD1663" s="82"/>
      <c r="AE1663" s="82"/>
      <c r="AF1663" s="82"/>
      <c r="AG1663" s="82"/>
      <c r="AH1663" s="82"/>
      <c r="AI1663" s="82"/>
      <c r="AJ1663" s="82"/>
      <c r="AK1663" s="82"/>
      <c r="AL1663" s="82"/>
      <c r="AM1663" s="82"/>
      <c r="AN1663" s="82"/>
      <c r="AO1663" s="82"/>
      <c r="AP1663" s="82"/>
      <c r="AQ1663" s="82"/>
      <c r="AR1663" s="82"/>
      <c r="AS1663" s="82"/>
      <c r="AT1663" s="82"/>
      <c r="AU1663" s="82"/>
      <c r="AV1663" s="82"/>
      <c r="AW1663" s="82" t="str">
        <f t="shared" si="1"/>
        <v/>
      </c>
      <c r="AX1663" s="83" t="str">
        <f t="array" ref="AX1663">IFERROR(DGET('SBV Import'!A:G,"SBV",{"RSC ID","Tier";B1663,A1663}))</f>
        <v/>
      </c>
      <c r="AY1663" s="82" t="str">
        <f t="shared" si="2"/>
        <v/>
      </c>
      <c r="AZ1663" s="82"/>
      <c r="BA1663" s="84" t="s">
        <v>152</v>
      </c>
      <c r="BB1663" s="84" t="str">
        <f>IFERROR(__xludf.DUMMYFUNCTION("iferror(if(A1663="""",,E1663&gt;=FILTER(Constants!$F$2:$F$10,Constants!$A$2:$A$10=A1663)))"),"")</f>
        <v/>
      </c>
    </row>
    <row r="1664">
      <c r="A1664" s="89"/>
      <c r="B1664" s="87"/>
      <c r="C1664" s="73"/>
      <c r="D1664" s="73"/>
      <c r="E1664" s="82"/>
      <c r="F1664" s="82"/>
      <c r="G1664" s="86"/>
      <c r="H1664" s="86"/>
      <c r="I1664" s="86"/>
      <c r="J1664" s="82"/>
      <c r="K1664" s="82"/>
      <c r="L1664" s="82"/>
      <c r="M1664" s="82"/>
      <c r="N1664" s="82"/>
      <c r="O1664" s="82"/>
      <c r="P1664" s="82"/>
      <c r="Q1664" s="82"/>
      <c r="R1664" s="82"/>
      <c r="S1664" s="82"/>
      <c r="T1664" s="82"/>
      <c r="U1664" s="82"/>
      <c r="V1664" s="82"/>
      <c r="W1664" s="82"/>
      <c r="X1664" s="82"/>
      <c r="Y1664" s="82"/>
      <c r="Z1664" s="82"/>
      <c r="AA1664" s="82"/>
      <c r="AB1664" s="82"/>
      <c r="AC1664" s="82"/>
      <c r="AD1664" s="82"/>
      <c r="AE1664" s="82"/>
      <c r="AF1664" s="82"/>
      <c r="AG1664" s="82"/>
      <c r="AH1664" s="82"/>
      <c r="AI1664" s="82"/>
      <c r="AJ1664" s="82"/>
      <c r="AK1664" s="82"/>
      <c r="AL1664" s="82"/>
      <c r="AM1664" s="82"/>
      <c r="AN1664" s="82"/>
      <c r="AO1664" s="82"/>
      <c r="AP1664" s="82"/>
      <c r="AQ1664" s="82"/>
      <c r="AR1664" s="82"/>
      <c r="AS1664" s="82"/>
      <c r="AT1664" s="82"/>
      <c r="AU1664" s="82"/>
      <c r="AV1664" s="82"/>
      <c r="AW1664" s="82" t="str">
        <f t="shared" si="1"/>
        <v/>
      </c>
      <c r="AX1664" s="83" t="str">
        <f t="array" ref="AX1664">IFERROR(DGET('SBV Import'!A:G,"SBV",{"RSC ID","Tier";B1664,A1664}))</f>
        <v/>
      </c>
      <c r="AY1664" s="82" t="str">
        <f t="shared" si="2"/>
        <v/>
      </c>
      <c r="AZ1664" s="82"/>
      <c r="BA1664" s="84" t="s">
        <v>152</v>
      </c>
      <c r="BB1664" s="84" t="str">
        <f>IFERROR(__xludf.DUMMYFUNCTION("iferror(if(A1664="""",,E1664&gt;=FILTER(Constants!$F$2:$F$10,Constants!$A$2:$A$10=A1664)))"),"")</f>
        <v/>
      </c>
    </row>
    <row r="1665">
      <c r="A1665" s="89"/>
      <c r="B1665" s="87"/>
      <c r="C1665" s="73"/>
      <c r="D1665" s="73"/>
      <c r="E1665" s="82"/>
      <c r="F1665" s="82"/>
      <c r="G1665" s="86"/>
      <c r="H1665" s="86"/>
      <c r="I1665" s="86"/>
      <c r="J1665" s="82"/>
      <c r="K1665" s="82"/>
      <c r="L1665" s="82"/>
      <c r="M1665" s="82"/>
      <c r="N1665" s="82"/>
      <c r="O1665" s="82"/>
      <c r="P1665" s="82"/>
      <c r="Q1665" s="82"/>
      <c r="R1665" s="82"/>
      <c r="S1665" s="82"/>
      <c r="T1665" s="82"/>
      <c r="U1665" s="82"/>
      <c r="V1665" s="82"/>
      <c r="W1665" s="82"/>
      <c r="X1665" s="82"/>
      <c r="Y1665" s="82"/>
      <c r="Z1665" s="82"/>
      <c r="AA1665" s="82"/>
      <c r="AB1665" s="82"/>
      <c r="AC1665" s="82"/>
      <c r="AD1665" s="82"/>
      <c r="AE1665" s="82"/>
      <c r="AF1665" s="82"/>
      <c r="AG1665" s="82"/>
      <c r="AH1665" s="82"/>
      <c r="AI1665" s="82"/>
      <c r="AJ1665" s="82"/>
      <c r="AK1665" s="82"/>
      <c r="AL1665" s="82"/>
      <c r="AM1665" s="82"/>
      <c r="AN1665" s="82"/>
      <c r="AO1665" s="82"/>
      <c r="AP1665" s="82"/>
      <c r="AQ1665" s="82"/>
      <c r="AR1665" s="82"/>
      <c r="AS1665" s="82"/>
      <c r="AT1665" s="82"/>
      <c r="AU1665" s="82"/>
      <c r="AV1665" s="82"/>
      <c r="AW1665" s="82" t="str">
        <f t="shared" si="1"/>
        <v/>
      </c>
      <c r="AX1665" s="83" t="str">
        <f t="array" ref="AX1665">IFERROR(DGET('SBV Import'!A:G,"SBV",{"RSC ID","Tier";B1665,A1665}))</f>
        <v/>
      </c>
      <c r="AY1665" s="82" t="str">
        <f t="shared" si="2"/>
        <v/>
      </c>
      <c r="AZ1665" s="82"/>
      <c r="BA1665" s="84" t="s">
        <v>152</v>
      </c>
      <c r="BB1665" s="84" t="str">
        <f>IFERROR(__xludf.DUMMYFUNCTION("iferror(if(A1665="""",,E1665&gt;=FILTER(Constants!$F$2:$F$10,Constants!$A$2:$A$10=A1665)))"),"")</f>
        <v/>
      </c>
    </row>
    <row r="1666">
      <c r="A1666" s="89"/>
      <c r="B1666" s="87"/>
      <c r="C1666" s="73"/>
      <c r="D1666" s="73"/>
      <c r="E1666" s="82"/>
      <c r="F1666" s="82"/>
      <c r="G1666" s="86"/>
      <c r="H1666" s="86"/>
      <c r="I1666" s="86"/>
      <c r="J1666" s="82"/>
      <c r="K1666" s="82"/>
      <c r="L1666" s="82"/>
      <c r="M1666" s="82"/>
      <c r="N1666" s="82"/>
      <c r="O1666" s="82"/>
      <c r="P1666" s="82"/>
      <c r="Q1666" s="82"/>
      <c r="R1666" s="82"/>
      <c r="S1666" s="82"/>
      <c r="T1666" s="82"/>
      <c r="U1666" s="82"/>
      <c r="V1666" s="82"/>
      <c r="W1666" s="82"/>
      <c r="X1666" s="82"/>
      <c r="Y1666" s="82"/>
      <c r="Z1666" s="82"/>
      <c r="AA1666" s="82"/>
      <c r="AB1666" s="82"/>
      <c r="AC1666" s="82"/>
      <c r="AD1666" s="82"/>
      <c r="AE1666" s="82"/>
      <c r="AF1666" s="82"/>
      <c r="AG1666" s="82"/>
      <c r="AH1666" s="82"/>
      <c r="AI1666" s="82"/>
      <c r="AJ1666" s="82"/>
      <c r="AK1666" s="82"/>
      <c r="AL1666" s="82"/>
      <c r="AM1666" s="82"/>
      <c r="AN1666" s="82"/>
      <c r="AO1666" s="82"/>
      <c r="AP1666" s="82"/>
      <c r="AQ1666" s="82"/>
      <c r="AR1666" s="82"/>
      <c r="AS1666" s="82"/>
      <c r="AT1666" s="82"/>
      <c r="AU1666" s="82"/>
      <c r="AV1666" s="82"/>
      <c r="AW1666" s="82" t="str">
        <f t="shared" si="1"/>
        <v/>
      </c>
      <c r="AX1666" s="83" t="str">
        <f t="array" ref="AX1666">IFERROR(DGET('SBV Import'!A:G,"SBV",{"RSC ID","Tier";B1666,A1666}))</f>
        <v/>
      </c>
      <c r="AY1666" s="82" t="str">
        <f t="shared" si="2"/>
        <v/>
      </c>
      <c r="AZ1666" s="82"/>
      <c r="BA1666" s="84" t="s">
        <v>152</v>
      </c>
      <c r="BB1666" s="84" t="str">
        <f>IFERROR(__xludf.DUMMYFUNCTION("iferror(if(A1666="""",,E1666&gt;=FILTER(Constants!$F$2:$F$10,Constants!$A$2:$A$10=A1666)))"),"")</f>
        <v/>
      </c>
    </row>
    <row r="1667">
      <c r="A1667" s="89"/>
      <c r="B1667" s="87"/>
      <c r="C1667" s="73"/>
      <c r="D1667" s="73"/>
      <c r="E1667" s="82"/>
      <c r="F1667" s="82"/>
      <c r="G1667" s="86"/>
      <c r="H1667" s="86"/>
      <c r="I1667" s="86"/>
      <c r="J1667" s="82"/>
      <c r="K1667" s="82"/>
      <c r="L1667" s="82"/>
      <c r="M1667" s="82"/>
      <c r="N1667" s="82"/>
      <c r="O1667" s="82"/>
      <c r="P1667" s="82"/>
      <c r="Q1667" s="82"/>
      <c r="R1667" s="82"/>
      <c r="S1667" s="82"/>
      <c r="T1667" s="82"/>
      <c r="U1667" s="82"/>
      <c r="V1667" s="82"/>
      <c r="W1667" s="82"/>
      <c r="X1667" s="82"/>
      <c r="Y1667" s="82"/>
      <c r="Z1667" s="82"/>
      <c r="AA1667" s="82"/>
      <c r="AB1667" s="82"/>
      <c r="AC1667" s="82"/>
      <c r="AD1667" s="82"/>
      <c r="AE1667" s="82"/>
      <c r="AF1667" s="82"/>
      <c r="AG1667" s="82"/>
      <c r="AH1667" s="82"/>
      <c r="AI1667" s="82"/>
      <c r="AJ1667" s="82"/>
      <c r="AK1667" s="82"/>
      <c r="AL1667" s="82"/>
      <c r="AM1667" s="82"/>
      <c r="AN1667" s="82"/>
      <c r="AO1667" s="82"/>
      <c r="AP1667" s="82"/>
      <c r="AQ1667" s="82"/>
      <c r="AR1667" s="82"/>
      <c r="AS1667" s="82"/>
      <c r="AT1667" s="82"/>
      <c r="AU1667" s="82"/>
      <c r="AV1667" s="82"/>
      <c r="AW1667" s="82" t="str">
        <f t="shared" si="1"/>
        <v/>
      </c>
      <c r="AX1667" s="83" t="str">
        <f t="array" ref="AX1667">IFERROR(DGET('SBV Import'!A:G,"SBV",{"RSC ID","Tier";B1667,A1667}))</f>
        <v/>
      </c>
      <c r="AY1667" s="82" t="str">
        <f t="shared" si="2"/>
        <v/>
      </c>
      <c r="AZ1667" s="82"/>
      <c r="BA1667" s="84" t="s">
        <v>152</v>
      </c>
      <c r="BB1667" s="84" t="str">
        <f>IFERROR(__xludf.DUMMYFUNCTION("iferror(if(A1667="""",,E1667&gt;=FILTER(Constants!$F$2:$F$10,Constants!$A$2:$A$10=A1667)))"),"")</f>
        <v/>
      </c>
    </row>
    <row r="1668">
      <c r="A1668" s="89"/>
      <c r="B1668" s="87"/>
      <c r="C1668" s="73"/>
      <c r="D1668" s="73"/>
      <c r="E1668" s="82"/>
      <c r="F1668" s="82"/>
      <c r="G1668" s="86"/>
      <c r="H1668" s="86"/>
      <c r="I1668" s="86"/>
      <c r="J1668" s="82"/>
      <c r="K1668" s="82"/>
      <c r="L1668" s="82"/>
      <c r="M1668" s="82"/>
      <c r="N1668" s="82"/>
      <c r="O1668" s="82"/>
      <c r="P1668" s="82"/>
      <c r="Q1668" s="82"/>
      <c r="R1668" s="82"/>
      <c r="S1668" s="82"/>
      <c r="T1668" s="82"/>
      <c r="U1668" s="82"/>
      <c r="V1668" s="82"/>
      <c r="W1668" s="82"/>
      <c r="X1668" s="82"/>
      <c r="Y1668" s="82"/>
      <c r="Z1668" s="82"/>
      <c r="AA1668" s="82"/>
      <c r="AB1668" s="82"/>
      <c r="AC1668" s="82"/>
      <c r="AD1668" s="82"/>
      <c r="AE1668" s="82"/>
      <c r="AF1668" s="82"/>
      <c r="AG1668" s="82"/>
      <c r="AH1668" s="82"/>
      <c r="AI1668" s="82"/>
      <c r="AJ1668" s="82"/>
      <c r="AK1668" s="82"/>
      <c r="AL1668" s="82"/>
      <c r="AM1668" s="82"/>
      <c r="AN1668" s="82"/>
      <c r="AO1668" s="82"/>
      <c r="AP1668" s="82"/>
      <c r="AQ1668" s="82"/>
      <c r="AR1668" s="82"/>
      <c r="AS1668" s="82"/>
      <c r="AT1668" s="82"/>
      <c r="AU1668" s="82"/>
      <c r="AV1668" s="82"/>
      <c r="AW1668" s="82" t="str">
        <f t="shared" si="1"/>
        <v/>
      </c>
      <c r="AX1668" s="83" t="str">
        <f t="array" ref="AX1668">IFERROR(DGET('SBV Import'!A:G,"SBV",{"RSC ID","Tier";B1668,A1668}))</f>
        <v/>
      </c>
      <c r="AY1668" s="82" t="str">
        <f t="shared" si="2"/>
        <v/>
      </c>
      <c r="AZ1668" s="82"/>
      <c r="BA1668" s="84" t="s">
        <v>152</v>
      </c>
      <c r="BB1668" s="84" t="str">
        <f>IFERROR(__xludf.DUMMYFUNCTION("iferror(if(A1668="""",,E1668&gt;=FILTER(Constants!$F$2:$F$10,Constants!$A$2:$A$10=A1668)))"),"")</f>
        <v/>
      </c>
    </row>
    <row r="1669">
      <c r="A1669" s="89"/>
      <c r="B1669" s="87"/>
      <c r="C1669" s="73"/>
      <c r="D1669" s="73"/>
      <c r="E1669" s="82"/>
      <c r="F1669" s="82"/>
      <c r="G1669" s="86"/>
      <c r="H1669" s="86"/>
      <c r="I1669" s="86"/>
      <c r="J1669" s="82"/>
      <c r="K1669" s="82"/>
      <c r="L1669" s="82"/>
      <c r="M1669" s="82"/>
      <c r="N1669" s="82"/>
      <c r="O1669" s="82"/>
      <c r="P1669" s="82"/>
      <c r="Q1669" s="82"/>
      <c r="R1669" s="82"/>
      <c r="S1669" s="82"/>
      <c r="T1669" s="82"/>
      <c r="U1669" s="82"/>
      <c r="V1669" s="82"/>
      <c r="W1669" s="82"/>
      <c r="X1669" s="82"/>
      <c r="Y1669" s="82"/>
      <c r="Z1669" s="82"/>
      <c r="AA1669" s="82"/>
      <c r="AB1669" s="82"/>
      <c r="AC1669" s="82"/>
      <c r="AD1669" s="82"/>
      <c r="AE1669" s="82"/>
      <c r="AF1669" s="82"/>
      <c r="AG1669" s="82"/>
      <c r="AH1669" s="82"/>
      <c r="AI1669" s="82"/>
      <c r="AJ1669" s="82"/>
      <c r="AK1669" s="82"/>
      <c r="AL1669" s="82"/>
      <c r="AM1669" s="82"/>
      <c r="AN1669" s="82"/>
      <c r="AO1669" s="82"/>
      <c r="AP1669" s="82"/>
      <c r="AQ1669" s="82"/>
      <c r="AR1669" s="82"/>
      <c r="AS1669" s="82"/>
      <c r="AT1669" s="82"/>
      <c r="AU1669" s="82"/>
      <c r="AV1669" s="82"/>
      <c r="AW1669" s="82" t="str">
        <f t="shared" si="1"/>
        <v/>
      </c>
      <c r="AX1669" s="83" t="str">
        <f t="array" ref="AX1669">IFERROR(DGET('SBV Import'!A:G,"SBV",{"RSC ID","Tier";B1669,A1669}))</f>
        <v/>
      </c>
      <c r="AY1669" s="82" t="str">
        <f t="shared" si="2"/>
        <v/>
      </c>
      <c r="AZ1669" s="82"/>
      <c r="BA1669" s="84" t="s">
        <v>152</v>
      </c>
      <c r="BB1669" s="84" t="str">
        <f>IFERROR(__xludf.DUMMYFUNCTION("iferror(if(A1669="""",,E1669&gt;=FILTER(Constants!$F$2:$F$10,Constants!$A$2:$A$10=A1669)))"),"")</f>
        <v/>
      </c>
    </row>
    <row r="1670">
      <c r="A1670" s="89"/>
      <c r="B1670" s="87"/>
      <c r="C1670" s="73"/>
      <c r="D1670" s="73"/>
      <c r="E1670" s="82"/>
      <c r="F1670" s="82"/>
      <c r="G1670" s="86"/>
      <c r="H1670" s="86"/>
      <c r="I1670" s="86"/>
      <c r="J1670" s="82"/>
      <c r="K1670" s="82"/>
      <c r="L1670" s="82"/>
      <c r="M1670" s="82"/>
      <c r="N1670" s="82"/>
      <c r="O1670" s="82"/>
      <c r="P1670" s="82"/>
      <c r="Q1670" s="82"/>
      <c r="R1670" s="82"/>
      <c r="S1670" s="82"/>
      <c r="T1670" s="82"/>
      <c r="U1670" s="82"/>
      <c r="V1670" s="82"/>
      <c r="W1670" s="82"/>
      <c r="X1670" s="82"/>
      <c r="Y1670" s="82"/>
      <c r="Z1670" s="82"/>
      <c r="AA1670" s="82"/>
      <c r="AB1670" s="82"/>
      <c r="AC1670" s="82"/>
      <c r="AD1670" s="82"/>
      <c r="AE1670" s="82"/>
      <c r="AF1670" s="82"/>
      <c r="AG1670" s="82"/>
      <c r="AH1670" s="82"/>
      <c r="AI1670" s="82"/>
      <c r="AJ1670" s="82"/>
      <c r="AK1670" s="82"/>
      <c r="AL1670" s="82"/>
      <c r="AM1670" s="82"/>
      <c r="AN1670" s="82"/>
      <c r="AO1670" s="82"/>
      <c r="AP1670" s="82"/>
      <c r="AQ1670" s="82"/>
      <c r="AR1670" s="82"/>
      <c r="AS1670" s="82"/>
      <c r="AT1670" s="82"/>
      <c r="AU1670" s="82"/>
      <c r="AV1670" s="82"/>
      <c r="AW1670" s="82" t="str">
        <f t="shared" si="1"/>
        <v/>
      </c>
      <c r="AX1670" s="83" t="str">
        <f t="array" ref="AX1670">IFERROR(DGET('SBV Import'!A:G,"SBV",{"RSC ID","Tier";B1670,A1670}))</f>
        <v/>
      </c>
      <c r="AY1670" s="82" t="str">
        <f t="shared" si="2"/>
        <v/>
      </c>
      <c r="AZ1670" s="82"/>
      <c r="BA1670" s="84" t="s">
        <v>152</v>
      </c>
      <c r="BB1670" s="84" t="str">
        <f>IFERROR(__xludf.DUMMYFUNCTION("iferror(if(A1670="""",,E1670&gt;=FILTER(Constants!$F$2:$F$10,Constants!$A$2:$A$10=A1670)))"),"")</f>
        <v/>
      </c>
    </row>
    <row r="1671">
      <c r="A1671" s="89"/>
      <c r="B1671" s="87"/>
      <c r="C1671" s="73"/>
      <c r="D1671" s="73"/>
      <c r="E1671" s="82"/>
      <c r="F1671" s="82"/>
      <c r="G1671" s="86"/>
      <c r="H1671" s="86"/>
      <c r="I1671" s="86"/>
      <c r="J1671" s="82"/>
      <c r="K1671" s="82"/>
      <c r="L1671" s="82"/>
      <c r="M1671" s="82"/>
      <c r="N1671" s="82"/>
      <c r="O1671" s="82"/>
      <c r="P1671" s="82"/>
      <c r="Q1671" s="82"/>
      <c r="R1671" s="82"/>
      <c r="S1671" s="82"/>
      <c r="T1671" s="82"/>
      <c r="U1671" s="82"/>
      <c r="V1671" s="82"/>
      <c r="W1671" s="82"/>
      <c r="X1671" s="82"/>
      <c r="Y1671" s="82"/>
      <c r="Z1671" s="82"/>
      <c r="AA1671" s="82"/>
      <c r="AB1671" s="82"/>
      <c r="AC1671" s="82"/>
      <c r="AD1671" s="82"/>
      <c r="AE1671" s="82"/>
      <c r="AF1671" s="82"/>
      <c r="AG1671" s="82"/>
      <c r="AH1671" s="82"/>
      <c r="AI1671" s="82"/>
      <c r="AJ1671" s="82"/>
      <c r="AK1671" s="82"/>
      <c r="AL1671" s="82"/>
      <c r="AM1671" s="82"/>
      <c r="AN1671" s="82"/>
      <c r="AO1671" s="82"/>
      <c r="AP1671" s="82"/>
      <c r="AQ1671" s="82"/>
      <c r="AR1671" s="82"/>
      <c r="AS1671" s="82"/>
      <c r="AT1671" s="82"/>
      <c r="AU1671" s="82"/>
      <c r="AV1671" s="82"/>
      <c r="AW1671" s="82" t="str">
        <f t="shared" si="1"/>
        <v/>
      </c>
      <c r="AX1671" s="83" t="str">
        <f t="array" ref="AX1671">IFERROR(DGET('SBV Import'!A:G,"SBV",{"RSC ID","Tier";B1671,A1671}))</f>
        <v/>
      </c>
      <c r="AY1671" s="82" t="str">
        <f t="shared" si="2"/>
        <v/>
      </c>
      <c r="AZ1671" s="82"/>
      <c r="BA1671" s="84" t="s">
        <v>152</v>
      </c>
      <c r="BB1671" s="84" t="str">
        <f>IFERROR(__xludf.DUMMYFUNCTION("iferror(if(A1671="""",,E1671&gt;=FILTER(Constants!$F$2:$F$10,Constants!$A$2:$A$10=A1671)))"),"")</f>
        <v/>
      </c>
    </row>
    <row r="1672">
      <c r="A1672" s="89"/>
      <c r="B1672" s="87"/>
      <c r="C1672" s="73"/>
      <c r="D1672" s="73"/>
      <c r="E1672" s="82"/>
      <c r="F1672" s="82"/>
      <c r="G1672" s="86"/>
      <c r="H1672" s="86"/>
      <c r="I1672" s="86"/>
      <c r="J1672" s="82"/>
      <c r="K1672" s="82"/>
      <c r="L1672" s="82"/>
      <c r="M1672" s="82"/>
      <c r="N1672" s="82"/>
      <c r="O1672" s="82"/>
      <c r="P1672" s="82"/>
      <c r="Q1672" s="82"/>
      <c r="R1672" s="82"/>
      <c r="S1672" s="82"/>
      <c r="T1672" s="82"/>
      <c r="U1672" s="82"/>
      <c r="V1672" s="82"/>
      <c r="W1672" s="82"/>
      <c r="X1672" s="82"/>
      <c r="Y1672" s="82"/>
      <c r="Z1672" s="82"/>
      <c r="AA1672" s="82"/>
      <c r="AB1672" s="82"/>
      <c r="AC1672" s="82"/>
      <c r="AD1672" s="82"/>
      <c r="AE1672" s="82"/>
      <c r="AF1672" s="82"/>
      <c r="AG1672" s="82"/>
      <c r="AH1672" s="82"/>
      <c r="AI1672" s="82"/>
      <c r="AJ1672" s="82"/>
      <c r="AK1672" s="82"/>
      <c r="AL1672" s="82"/>
      <c r="AM1672" s="82"/>
      <c r="AN1672" s="82"/>
      <c r="AO1672" s="82"/>
      <c r="AP1672" s="82"/>
      <c r="AQ1672" s="82"/>
      <c r="AR1672" s="82"/>
      <c r="AS1672" s="82"/>
      <c r="AT1672" s="82"/>
      <c r="AU1672" s="82"/>
      <c r="AV1672" s="82"/>
      <c r="AW1672" s="82" t="str">
        <f t="shared" si="1"/>
        <v/>
      </c>
      <c r="AX1672" s="83" t="str">
        <f t="array" ref="AX1672">IFERROR(DGET('SBV Import'!A:G,"SBV",{"RSC ID","Tier";B1672,A1672}))</f>
        <v/>
      </c>
      <c r="AY1672" s="82" t="str">
        <f t="shared" si="2"/>
        <v/>
      </c>
      <c r="AZ1672" s="82"/>
      <c r="BA1672" s="84" t="s">
        <v>152</v>
      </c>
      <c r="BB1672" s="84" t="str">
        <f>IFERROR(__xludf.DUMMYFUNCTION("iferror(if(A1672="""",,E1672&gt;=FILTER(Constants!$F$2:$F$10,Constants!$A$2:$A$10=A1672)))"),"")</f>
        <v/>
      </c>
    </row>
    <row r="1673">
      <c r="A1673" s="89"/>
      <c r="B1673" s="87"/>
      <c r="C1673" s="73"/>
      <c r="D1673" s="73"/>
      <c r="E1673" s="82"/>
      <c r="F1673" s="82"/>
      <c r="G1673" s="86"/>
      <c r="H1673" s="86"/>
      <c r="I1673" s="86"/>
      <c r="J1673" s="82"/>
      <c r="K1673" s="82"/>
      <c r="L1673" s="82"/>
      <c r="M1673" s="82"/>
      <c r="N1673" s="82"/>
      <c r="O1673" s="82"/>
      <c r="P1673" s="82"/>
      <c r="Q1673" s="82"/>
      <c r="R1673" s="82"/>
      <c r="S1673" s="82"/>
      <c r="T1673" s="82"/>
      <c r="U1673" s="82"/>
      <c r="V1673" s="82"/>
      <c r="W1673" s="82"/>
      <c r="X1673" s="82"/>
      <c r="Y1673" s="82"/>
      <c r="Z1673" s="82"/>
      <c r="AA1673" s="82"/>
      <c r="AB1673" s="82"/>
      <c r="AC1673" s="82"/>
      <c r="AD1673" s="82"/>
      <c r="AE1673" s="82"/>
      <c r="AF1673" s="82"/>
      <c r="AG1673" s="82"/>
      <c r="AH1673" s="82"/>
      <c r="AI1673" s="82"/>
      <c r="AJ1673" s="82"/>
      <c r="AK1673" s="82"/>
      <c r="AL1673" s="82"/>
      <c r="AM1673" s="82"/>
      <c r="AN1673" s="82"/>
      <c r="AO1673" s="82"/>
      <c r="AP1673" s="82"/>
      <c r="AQ1673" s="82"/>
      <c r="AR1673" s="82"/>
      <c r="AS1673" s="82"/>
      <c r="AT1673" s="82"/>
      <c r="AU1673" s="82"/>
      <c r="AV1673" s="82"/>
      <c r="AW1673" s="82" t="str">
        <f t="shared" si="1"/>
        <v/>
      </c>
      <c r="AX1673" s="83" t="str">
        <f t="array" ref="AX1673">IFERROR(DGET('SBV Import'!A:G,"SBV",{"RSC ID","Tier";B1673,A1673}))</f>
        <v/>
      </c>
      <c r="AY1673" s="82" t="str">
        <f t="shared" si="2"/>
        <v/>
      </c>
      <c r="AZ1673" s="82"/>
      <c r="BA1673" s="84" t="s">
        <v>152</v>
      </c>
      <c r="BB1673" s="84" t="str">
        <f>IFERROR(__xludf.DUMMYFUNCTION("iferror(if(A1673="""",,E1673&gt;=FILTER(Constants!$F$2:$F$10,Constants!$A$2:$A$10=A1673)))"),"")</f>
        <v/>
      </c>
    </row>
    <row r="1674">
      <c r="A1674" s="89"/>
      <c r="B1674" s="87"/>
      <c r="C1674" s="73"/>
      <c r="D1674" s="73"/>
      <c r="E1674" s="82"/>
      <c r="F1674" s="82"/>
      <c r="G1674" s="86"/>
      <c r="H1674" s="86"/>
      <c r="I1674" s="86"/>
      <c r="J1674" s="82"/>
      <c r="K1674" s="82"/>
      <c r="L1674" s="82"/>
      <c r="M1674" s="82"/>
      <c r="N1674" s="82"/>
      <c r="O1674" s="82"/>
      <c r="P1674" s="82"/>
      <c r="Q1674" s="82"/>
      <c r="R1674" s="82"/>
      <c r="S1674" s="82"/>
      <c r="T1674" s="82"/>
      <c r="U1674" s="82"/>
      <c r="V1674" s="82"/>
      <c r="W1674" s="82"/>
      <c r="X1674" s="82"/>
      <c r="Y1674" s="82"/>
      <c r="Z1674" s="82"/>
      <c r="AA1674" s="82"/>
      <c r="AB1674" s="82"/>
      <c r="AC1674" s="82"/>
      <c r="AD1674" s="82"/>
      <c r="AE1674" s="82"/>
      <c r="AF1674" s="82"/>
      <c r="AG1674" s="82"/>
      <c r="AH1674" s="82"/>
      <c r="AI1674" s="82"/>
      <c r="AJ1674" s="82"/>
      <c r="AK1674" s="82"/>
      <c r="AL1674" s="82"/>
      <c r="AM1674" s="82"/>
      <c r="AN1674" s="82"/>
      <c r="AO1674" s="82"/>
      <c r="AP1674" s="82"/>
      <c r="AQ1674" s="82"/>
      <c r="AR1674" s="82"/>
      <c r="AS1674" s="82"/>
      <c r="AT1674" s="82"/>
      <c r="AU1674" s="82"/>
      <c r="AV1674" s="82"/>
      <c r="AW1674" s="82" t="str">
        <f t="shared" si="1"/>
        <v/>
      </c>
      <c r="AX1674" s="83" t="str">
        <f t="array" ref="AX1674">IFERROR(DGET('SBV Import'!A:G,"SBV",{"RSC ID","Tier";B1674,A1674}))</f>
        <v/>
      </c>
      <c r="AY1674" s="82" t="str">
        <f t="shared" si="2"/>
        <v/>
      </c>
      <c r="AZ1674" s="82"/>
      <c r="BA1674" s="84" t="s">
        <v>152</v>
      </c>
      <c r="BB1674" s="84" t="str">
        <f>IFERROR(__xludf.DUMMYFUNCTION("iferror(if(A1674="""",,E1674&gt;=FILTER(Constants!$F$2:$F$10,Constants!$A$2:$A$10=A1674)))"),"")</f>
        <v/>
      </c>
    </row>
    <row r="1675">
      <c r="A1675" s="89"/>
      <c r="B1675" s="87"/>
      <c r="C1675" s="73"/>
      <c r="D1675" s="73"/>
      <c r="E1675" s="82"/>
      <c r="F1675" s="82"/>
      <c r="G1675" s="86"/>
      <c r="H1675" s="86"/>
      <c r="I1675" s="86"/>
      <c r="J1675" s="82"/>
      <c r="K1675" s="82"/>
      <c r="L1675" s="82"/>
      <c r="M1675" s="82"/>
      <c r="N1675" s="82"/>
      <c r="O1675" s="82"/>
      <c r="P1675" s="82"/>
      <c r="Q1675" s="82"/>
      <c r="R1675" s="82"/>
      <c r="S1675" s="82"/>
      <c r="T1675" s="82"/>
      <c r="U1675" s="82"/>
      <c r="V1675" s="82"/>
      <c r="W1675" s="82"/>
      <c r="X1675" s="82"/>
      <c r="Y1675" s="82"/>
      <c r="Z1675" s="82"/>
      <c r="AA1675" s="82"/>
      <c r="AB1675" s="82"/>
      <c r="AC1675" s="82"/>
      <c r="AD1675" s="82"/>
      <c r="AE1675" s="82"/>
      <c r="AF1675" s="82"/>
      <c r="AG1675" s="82"/>
      <c r="AH1675" s="82"/>
      <c r="AI1675" s="82"/>
      <c r="AJ1675" s="82"/>
      <c r="AK1675" s="82"/>
      <c r="AL1675" s="82"/>
      <c r="AM1675" s="82"/>
      <c r="AN1675" s="82"/>
      <c r="AO1675" s="82"/>
      <c r="AP1675" s="82"/>
      <c r="AQ1675" s="82"/>
      <c r="AR1675" s="82"/>
      <c r="AS1675" s="82"/>
      <c r="AT1675" s="82"/>
      <c r="AU1675" s="82"/>
      <c r="AV1675" s="82"/>
      <c r="AW1675" s="82" t="str">
        <f t="shared" si="1"/>
        <v/>
      </c>
      <c r="AX1675" s="83" t="str">
        <f t="array" ref="AX1675">IFERROR(DGET('SBV Import'!A:G,"SBV",{"RSC ID","Tier";B1675,A1675}))</f>
        <v/>
      </c>
      <c r="AY1675" s="82" t="str">
        <f t="shared" si="2"/>
        <v/>
      </c>
      <c r="AZ1675" s="82"/>
      <c r="BA1675" s="84" t="s">
        <v>152</v>
      </c>
      <c r="BB1675" s="84" t="str">
        <f>IFERROR(__xludf.DUMMYFUNCTION("iferror(if(A1675="""",,E1675&gt;=FILTER(Constants!$F$2:$F$10,Constants!$A$2:$A$10=A1675)))"),"")</f>
        <v/>
      </c>
    </row>
    <row r="1676">
      <c r="A1676" s="89"/>
      <c r="B1676" s="87"/>
      <c r="C1676" s="73"/>
      <c r="D1676" s="73"/>
      <c r="E1676" s="82"/>
      <c r="F1676" s="82"/>
      <c r="G1676" s="86"/>
      <c r="H1676" s="86"/>
      <c r="I1676" s="86"/>
      <c r="J1676" s="82"/>
      <c r="K1676" s="82"/>
      <c r="L1676" s="82"/>
      <c r="M1676" s="82"/>
      <c r="N1676" s="82"/>
      <c r="O1676" s="82"/>
      <c r="P1676" s="82"/>
      <c r="Q1676" s="82"/>
      <c r="R1676" s="82"/>
      <c r="S1676" s="82"/>
      <c r="T1676" s="82"/>
      <c r="U1676" s="82"/>
      <c r="V1676" s="82"/>
      <c r="W1676" s="82"/>
      <c r="X1676" s="82"/>
      <c r="Y1676" s="82"/>
      <c r="Z1676" s="82"/>
      <c r="AA1676" s="82"/>
      <c r="AB1676" s="82"/>
      <c r="AC1676" s="82"/>
      <c r="AD1676" s="82"/>
      <c r="AE1676" s="82"/>
      <c r="AF1676" s="82"/>
      <c r="AG1676" s="82"/>
      <c r="AH1676" s="82"/>
      <c r="AI1676" s="82"/>
      <c r="AJ1676" s="82"/>
      <c r="AK1676" s="82"/>
      <c r="AL1676" s="82"/>
      <c r="AM1676" s="82"/>
      <c r="AN1676" s="82"/>
      <c r="AO1676" s="82"/>
      <c r="AP1676" s="82"/>
      <c r="AQ1676" s="82"/>
      <c r="AR1676" s="82"/>
      <c r="AS1676" s="82"/>
      <c r="AT1676" s="82"/>
      <c r="AU1676" s="82"/>
      <c r="AV1676" s="82"/>
      <c r="AW1676" s="82" t="str">
        <f t="shared" si="1"/>
        <v/>
      </c>
      <c r="AX1676" s="83" t="str">
        <f t="array" ref="AX1676">IFERROR(DGET('SBV Import'!A:G,"SBV",{"RSC ID","Tier";B1676,A1676}))</f>
        <v/>
      </c>
      <c r="AY1676" s="82" t="str">
        <f t="shared" si="2"/>
        <v/>
      </c>
      <c r="AZ1676" s="82"/>
      <c r="BA1676" s="84" t="s">
        <v>152</v>
      </c>
      <c r="BB1676" s="84" t="str">
        <f>IFERROR(__xludf.DUMMYFUNCTION("iferror(if(A1676="""",,E1676&gt;=FILTER(Constants!$F$2:$F$10,Constants!$A$2:$A$10=A1676)))"),"")</f>
        <v/>
      </c>
    </row>
    <row r="1677">
      <c r="A1677" s="89"/>
      <c r="B1677" s="87"/>
      <c r="C1677" s="73"/>
      <c r="D1677" s="73"/>
      <c r="E1677" s="82"/>
      <c r="F1677" s="82"/>
      <c r="G1677" s="86"/>
      <c r="H1677" s="86"/>
      <c r="I1677" s="86"/>
      <c r="J1677" s="82"/>
      <c r="K1677" s="82"/>
      <c r="L1677" s="82"/>
      <c r="M1677" s="82"/>
      <c r="N1677" s="82"/>
      <c r="O1677" s="82"/>
      <c r="P1677" s="82"/>
      <c r="Q1677" s="82"/>
      <c r="R1677" s="82"/>
      <c r="S1677" s="82"/>
      <c r="T1677" s="82"/>
      <c r="U1677" s="82"/>
      <c r="V1677" s="82"/>
      <c r="W1677" s="82"/>
      <c r="X1677" s="82"/>
      <c r="Y1677" s="82"/>
      <c r="Z1677" s="82"/>
      <c r="AA1677" s="82"/>
      <c r="AB1677" s="82"/>
      <c r="AC1677" s="82"/>
      <c r="AD1677" s="82"/>
      <c r="AE1677" s="82"/>
      <c r="AF1677" s="82"/>
      <c r="AG1677" s="82"/>
      <c r="AH1677" s="82"/>
      <c r="AI1677" s="82"/>
      <c r="AJ1677" s="82"/>
      <c r="AK1677" s="82"/>
      <c r="AL1677" s="82"/>
      <c r="AM1677" s="82"/>
      <c r="AN1677" s="82"/>
      <c r="AO1677" s="82"/>
      <c r="AP1677" s="82"/>
      <c r="AQ1677" s="82"/>
      <c r="AR1677" s="82"/>
      <c r="AS1677" s="82"/>
      <c r="AT1677" s="82"/>
      <c r="AU1677" s="82"/>
      <c r="AV1677" s="82"/>
      <c r="AW1677" s="82" t="str">
        <f t="shared" si="1"/>
        <v/>
      </c>
      <c r="AX1677" s="83" t="str">
        <f t="array" ref="AX1677">IFERROR(DGET('SBV Import'!A:G,"SBV",{"RSC ID","Tier";B1677,A1677}))</f>
        <v/>
      </c>
      <c r="AY1677" s="82" t="str">
        <f t="shared" si="2"/>
        <v/>
      </c>
      <c r="AZ1677" s="82"/>
      <c r="BA1677" s="84" t="s">
        <v>152</v>
      </c>
      <c r="BB1677" s="84" t="str">
        <f>IFERROR(__xludf.DUMMYFUNCTION("iferror(if(A1677="""",,E1677&gt;=FILTER(Constants!$F$2:$F$10,Constants!$A$2:$A$10=A1677)))"),"")</f>
        <v/>
      </c>
    </row>
    <row r="1678">
      <c r="A1678" s="89"/>
      <c r="B1678" s="87"/>
      <c r="C1678" s="73"/>
      <c r="D1678" s="73"/>
      <c r="E1678" s="82"/>
      <c r="F1678" s="82"/>
      <c r="G1678" s="86"/>
      <c r="H1678" s="86"/>
      <c r="I1678" s="86"/>
      <c r="J1678" s="82"/>
      <c r="K1678" s="82"/>
      <c r="L1678" s="82"/>
      <c r="M1678" s="82"/>
      <c r="N1678" s="82"/>
      <c r="O1678" s="82"/>
      <c r="P1678" s="82"/>
      <c r="Q1678" s="82"/>
      <c r="R1678" s="82"/>
      <c r="S1678" s="82"/>
      <c r="T1678" s="82"/>
      <c r="U1678" s="82"/>
      <c r="V1678" s="82"/>
      <c r="W1678" s="82"/>
      <c r="X1678" s="82"/>
      <c r="Y1678" s="82"/>
      <c r="Z1678" s="82"/>
      <c r="AA1678" s="82"/>
      <c r="AB1678" s="82"/>
      <c r="AC1678" s="82"/>
      <c r="AD1678" s="82"/>
      <c r="AE1678" s="82"/>
      <c r="AF1678" s="82"/>
      <c r="AG1678" s="82"/>
      <c r="AH1678" s="82"/>
      <c r="AI1678" s="82"/>
      <c r="AJ1678" s="82"/>
      <c r="AK1678" s="82"/>
      <c r="AL1678" s="82"/>
      <c r="AM1678" s="82"/>
      <c r="AN1678" s="82"/>
      <c r="AO1678" s="82"/>
      <c r="AP1678" s="82"/>
      <c r="AQ1678" s="82"/>
      <c r="AR1678" s="82"/>
      <c r="AS1678" s="82"/>
      <c r="AT1678" s="82"/>
      <c r="AU1678" s="82"/>
      <c r="AV1678" s="82"/>
      <c r="AW1678" s="82" t="str">
        <f t="shared" si="1"/>
        <v/>
      </c>
      <c r="AX1678" s="83" t="str">
        <f t="array" ref="AX1678">IFERROR(DGET('SBV Import'!A:G,"SBV",{"RSC ID","Tier";B1678,A1678}))</f>
        <v/>
      </c>
      <c r="AY1678" s="82" t="str">
        <f t="shared" si="2"/>
        <v/>
      </c>
      <c r="AZ1678" s="82"/>
      <c r="BA1678" s="84" t="s">
        <v>152</v>
      </c>
      <c r="BB1678" s="84" t="str">
        <f>IFERROR(__xludf.DUMMYFUNCTION("iferror(if(A1678="""",,E1678&gt;=FILTER(Constants!$F$2:$F$10,Constants!$A$2:$A$10=A1678)))"),"")</f>
        <v/>
      </c>
    </row>
    <row r="1679">
      <c r="A1679" s="89"/>
      <c r="B1679" s="87"/>
      <c r="C1679" s="73"/>
      <c r="D1679" s="73"/>
      <c r="E1679" s="82"/>
      <c r="F1679" s="82"/>
      <c r="G1679" s="86"/>
      <c r="H1679" s="86"/>
      <c r="I1679" s="86"/>
      <c r="J1679" s="82"/>
      <c r="K1679" s="82"/>
      <c r="L1679" s="82"/>
      <c r="M1679" s="82"/>
      <c r="N1679" s="82"/>
      <c r="O1679" s="82"/>
      <c r="P1679" s="82"/>
      <c r="Q1679" s="82"/>
      <c r="R1679" s="82"/>
      <c r="S1679" s="82"/>
      <c r="T1679" s="82"/>
      <c r="U1679" s="82"/>
      <c r="V1679" s="82"/>
      <c r="W1679" s="82"/>
      <c r="X1679" s="82"/>
      <c r="Y1679" s="82"/>
      <c r="Z1679" s="82"/>
      <c r="AA1679" s="82"/>
      <c r="AB1679" s="82"/>
      <c r="AC1679" s="82"/>
      <c r="AD1679" s="82"/>
      <c r="AE1679" s="82"/>
      <c r="AF1679" s="82"/>
      <c r="AG1679" s="82"/>
      <c r="AH1679" s="82"/>
      <c r="AI1679" s="82"/>
      <c r="AJ1679" s="82"/>
      <c r="AK1679" s="82"/>
      <c r="AL1679" s="82"/>
      <c r="AM1679" s="82"/>
      <c r="AN1679" s="82"/>
      <c r="AO1679" s="82"/>
      <c r="AP1679" s="82"/>
      <c r="AQ1679" s="82"/>
      <c r="AR1679" s="82"/>
      <c r="AS1679" s="82"/>
      <c r="AT1679" s="82"/>
      <c r="AU1679" s="82"/>
      <c r="AV1679" s="82"/>
      <c r="AW1679" s="82" t="str">
        <f t="shared" si="1"/>
        <v/>
      </c>
      <c r="AX1679" s="83" t="str">
        <f t="array" ref="AX1679">IFERROR(DGET('SBV Import'!A:G,"SBV",{"RSC ID","Tier";B1679,A1679}))</f>
        <v/>
      </c>
      <c r="AY1679" s="82" t="str">
        <f t="shared" si="2"/>
        <v/>
      </c>
      <c r="AZ1679" s="82"/>
      <c r="BA1679" s="84" t="s">
        <v>152</v>
      </c>
      <c r="BB1679" s="84" t="str">
        <f>IFERROR(__xludf.DUMMYFUNCTION("iferror(if(A1679="""",,E1679&gt;=FILTER(Constants!$F$2:$F$10,Constants!$A$2:$A$10=A1679)))"),"")</f>
        <v/>
      </c>
    </row>
    <row r="1680">
      <c r="A1680" s="89"/>
      <c r="B1680" s="87"/>
      <c r="C1680" s="73"/>
      <c r="D1680" s="73"/>
      <c r="E1680" s="82"/>
      <c r="F1680" s="82"/>
      <c r="G1680" s="86"/>
      <c r="H1680" s="86"/>
      <c r="I1680" s="86"/>
      <c r="J1680" s="82"/>
      <c r="K1680" s="82"/>
      <c r="L1680" s="82"/>
      <c r="M1680" s="82"/>
      <c r="N1680" s="82"/>
      <c r="O1680" s="82"/>
      <c r="P1680" s="82"/>
      <c r="Q1680" s="82"/>
      <c r="R1680" s="82"/>
      <c r="S1680" s="82"/>
      <c r="T1680" s="82"/>
      <c r="U1680" s="82"/>
      <c r="V1680" s="82"/>
      <c r="W1680" s="82"/>
      <c r="X1680" s="82"/>
      <c r="Y1680" s="82"/>
      <c r="Z1680" s="82"/>
      <c r="AA1680" s="82"/>
      <c r="AB1680" s="82"/>
      <c r="AC1680" s="82"/>
      <c r="AD1680" s="82"/>
      <c r="AE1680" s="82"/>
      <c r="AF1680" s="82"/>
      <c r="AG1680" s="82"/>
      <c r="AH1680" s="82"/>
      <c r="AI1680" s="82"/>
      <c r="AJ1680" s="82"/>
      <c r="AK1680" s="82"/>
      <c r="AL1680" s="82"/>
      <c r="AM1680" s="82"/>
      <c r="AN1680" s="82"/>
      <c r="AO1680" s="82"/>
      <c r="AP1680" s="82"/>
      <c r="AQ1680" s="82"/>
      <c r="AR1680" s="82"/>
      <c r="AS1680" s="82"/>
      <c r="AT1680" s="82"/>
      <c r="AU1680" s="82"/>
      <c r="AV1680" s="82"/>
      <c r="AW1680" s="82" t="str">
        <f t="shared" si="1"/>
        <v/>
      </c>
      <c r="AX1680" s="83" t="str">
        <f t="array" ref="AX1680">IFERROR(DGET('SBV Import'!A:G,"SBV",{"RSC ID","Tier";B1680,A1680}))</f>
        <v/>
      </c>
      <c r="AY1680" s="82" t="str">
        <f t="shared" si="2"/>
        <v/>
      </c>
      <c r="AZ1680" s="82"/>
      <c r="BA1680" s="84" t="s">
        <v>152</v>
      </c>
      <c r="BB1680" s="84" t="str">
        <f>IFERROR(__xludf.DUMMYFUNCTION("iferror(if(A1680="""",,E1680&gt;=FILTER(Constants!$F$2:$F$10,Constants!$A$2:$A$10=A1680)))"),"")</f>
        <v/>
      </c>
    </row>
    <row r="1681">
      <c r="A1681" s="89"/>
      <c r="B1681" s="87"/>
      <c r="C1681" s="73"/>
      <c r="D1681" s="73"/>
      <c r="E1681" s="82"/>
      <c r="F1681" s="82"/>
      <c r="G1681" s="86"/>
      <c r="H1681" s="86"/>
      <c r="I1681" s="86"/>
      <c r="J1681" s="82"/>
      <c r="K1681" s="82"/>
      <c r="L1681" s="82"/>
      <c r="M1681" s="82"/>
      <c r="N1681" s="82"/>
      <c r="O1681" s="82"/>
      <c r="P1681" s="82"/>
      <c r="Q1681" s="82"/>
      <c r="R1681" s="82"/>
      <c r="S1681" s="82"/>
      <c r="T1681" s="82"/>
      <c r="U1681" s="82"/>
      <c r="V1681" s="82"/>
      <c r="W1681" s="82"/>
      <c r="X1681" s="82"/>
      <c r="Y1681" s="82"/>
      <c r="Z1681" s="82"/>
      <c r="AA1681" s="82"/>
      <c r="AB1681" s="82"/>
      <c r="AC1681" s="82"/>
      <c r="AD1681" s="82"/>
      <c r="AE1681" s="82"/>
      <c r="AF1681" s="82"/>
      <c r="AG1681" s="82"/>
      <c r="AH1681" s="82"/>
      <c r="AI1681" s="82"/>
      <c r="AJ1681" s="82"/>
      <c r="AK1681" s="82"/>
      <c r="AL1681" s="82"/>
      <c r="AM1681" s="82"/>
      <c r="AN1681" s="82"/>
      <c r="AO1681" s="82"/>
      <c r="AP1681" s="82"/>
      <c r="AQ1681" s="82"/>
      <c r="AR1681" s="82"/>
      <c r="AS1681" s="82"/>
      <c r="AT1681" s="82"/>
      <c r="AU1681" s="82"/>
      <c r="AV1681" s="82"/>
      <c r="AW1681" s="82" t="str">
        <f t="shared" si="1"/>
        <v/>
      </c>
      <c r="AX1681" s="83" t="str">
        <f t="array" ref="AX1681">IFERROR(DGET('SBV Import'!A:G,"SBV",{"RSC ID","Tier";B1681,A1681}))</f>
        <v/>
      </c>
      <c r="AY1681" s="82" t="str">
        <f t="shared" si="2"/>
        <v/>
      </c>
      <c r="AZ1681" s="82"/>
      <c r="BA1681" s="84" t="s">
        <v>152</v>
      </c>
      <c r="BB1681" s="84" t="str">
        <f>IFERROR(__xludf.DUMMYFUNCTION("iferror(if(A1681="""",,E1681&gt;=FILTER(Constants!$F$2:$F$10,Constants!$A$2:$A$10=A1681)))"),"")</f>
        <v/>
      </c>
    </row>
    <row r="1682">
      <c r="A1682" s="89"/>
      <c r="B1682" s="87"/>
      <c r="C1682" s="73"/>
      <c r="D1682" s="73"/>
      <c r="E1682" s="82"/>
      <c r="F1682" s="82"/>
      <c r="G1682" s="86"/>
      <c r="H1682" s="86"/>
      <c r="I1682" s="86"/>
      <c r="J1682" s="82"/>
      <c r="K1682" s="82"/>
      <c r="L1682" s="82"/>
      <c r="M1682" s="82"/>
      <c r="N1682" s="82"/>
      <c r="O1682" s="82"/>
      <c r="P1682" s="82"/>
      <c r="Q1682" s="82"/>
      <c r="R1682" s="82"/>
      <c r="S1682" s="82"/>
      <c r="T1682" s="82"/>
      <c r="U1682" s="82"/>
      <c r="V1682" s="82"/>
      <c r="W1682" s="82"/>
      <c r="X1682" s="82"/>
      <c r="Y1682" s="82"/>
      <c r="Z1682" s="82"/>
      <c r="AA1682" s="82"/>
      <c r="AB1682" s="82"/>
      <c r="AC1682" s="82"/>
      <c r="AD1682" s="82"/>
      <c r="AE1682" s="82"/>
      <c r="AF1682" s="82"/>
      <c r="AG1682" s="82"/>
      <c r="AH1682" s="82"/>
      <c r="AI1682" s="82"/>
      <c r="AJ1682" s="82"/>
      <c r="AK1682" s="82"/>
      <c r="AL1682" s="82"/>
      <c r="AM1682" s="82"/>
      <c r="AN1682" s="82"/>
      <c r="AO1682" s="82"/>
      <c r="AP1682" s="82"/>
      <c r="AQ1682" s="82"/>
      <c r="AR1682" s="82"/>
      <c r="AS1682" s="82"/>
      <c r="AT1682" s="82"/>
      <c r="AU1682" s="82"/>
      <c r="AV1682" s="82"/>
      <c r="AW1682" s="82" t="str">
        <f t="shared" si="1"/>
        <v/>
      </c>
      <c r="AX1682" s="83" t="str">
        <f t="array" ref="AX1682">IFERROR(DGET('SBV Import'!A:G,"SBV",{"RSC ID","Tier";B1682,A1682}))</f>
        <v/>
      </c>
      <c r="AY1682" s="82" t="str">
        <f t="shared" si="2"/>
        <v/>
      </c>
      <c r="AZ1682" s="82"/>
      <c r="BA1682" s="84" t="s">
        <v>152</v>
      </c>
      <c r="BB1682" s="84" t="str">
        <f>IFERROR(__xludf.DUMMYFUNCTION("iferror(if(A1682="""",,E1682&gt;=FILTER(Constants!$F$2:$F$10,Constants!$A$2:$A$10=A1682)))"),"")</f>
        <v/>
      </c>
    </row>
    <row r="1683">
      <c r="A1683" s="89"/>
      <c r="B1683" s="87"/>
      <c r="C1683" s="73"/>
      <c r="D1683" s="73"/>
      <c r="E1683" s="82"/>
      <c r="F1683" s="82"/>
      <c r="G1683" s="86"/>
      <c r="H1683" s="86"/>
      <c r="I1683" s="86"/>
      <c r="J1683" s="82"/>
      <c r="K1683" s="82"/>
      <c r="L1683" s="82"/>
      <c r="M1683" s="82"/>
      <c r="N1683" s="82"/>
      <c r="O1683" s="82"/>
      <c r="P1683" s="82"/>
      <c r="Q1683" s="82"/>
      <c r="R1683" s="82"/>
      <c r="S1683" s="82"/>
      <c r="T1683" s="82"/>
      <c r="U1683" s="82"/>
      <c r="V1683" s="82"/>
      <c r="W1683" s="82"/>
      <c r="X1683" s="82"/>
      <c r="Y1683" s="82"/>
      <c r="Z1683" s="82"/>
      <c r="AA1683" s="82"/>
      <c r="AB1683" s="82"/>
      <c r="AC1683" s="82"/>
      <c r="AD1683" s="82"/>
      <c r="AE1683" s="82"/>
      <c r="AF1683" s="82"/>
      <c r="AG1683" s="82"/>
      <c r="AH1683" s="82"/>
      <c r="AI1683" s="82"/>
      <c r="AJ1683" s="82"/>
      <c r="AK1683" s="82"/>
      <c r="AL1683" s="82"/>
      <c r="AM1683" s="82"/>
      <c r="AN1683" s="82"/>
      <c r="AO1683" s="82"/>
      <c r="AP1683" s="82"/>
      <c r="AQ1683" s="82"/>
      <c r="AR1683" s="82"/>
      <c r="AS1683" s="82"/>
      <c r="AT1683" s="82"/>
      <c r="AU1683" s="82"/>
      <c r="AV1683" s="82"/>
      <c r="AW1683" s="82" t="str">
        <f t="shared" si="1"/>
        <v/>
      </c>
      <c r="AX1683" s="83" t="str">
        <f t="array" ref="AX1683">IFERROR(DGET('SBV Import'!A:G,"SBV",{"RSC ID","Tier";B1683,A1683}))</f>
        <v/>
      </c>
      <c r="AY1683" s="82" t="str">
        <f t="shared" si="2"/>
        <v/>
      </c>
      <c r="AZ1683" s="82"/>
      <c r="BA1683" s="84" t="s">
        <v>152</v>
      </c>
      <c r="BB1683" s="84" t="str">
        <f>IFERROR(__xludf.DUMMYFUNCTION("iferror(if(A1683="""",,E1683&gt;=FILTER(Constants!$F$2:$F$10,Constants!$A$2:$A$10=A1683)))"),"")</f>
        <v/>
      </c>
    </row>
    <row r="1684">
      <c r="A1684" s="89"/>
      <c r="B1684" s="87"/>
      <c r="C1684" s="73"/>
      <c r="D1684" s="73"/>
      <c r="E1684" s="82"/>
      <c r="F1684" s="82"/>
      <c r="G1684" s="86"/>
      <c r="H1684" s="86"/>
      <c r="I1684" s="86"/>
      <c r="J1684" s="82"/>
      <c r="K1684" s="82"/>
      <c r="L1684" s="82"/>
      <c r="M1684" s="82"/>
      <c r="N1684" s="82"/>
      <c r="O1684" s="82"/>
      <c r="P1684" s="82"/>
      <c r="Q1684" s="82"/>
      <c r="R1684" s="82"/>
      <c r="S1684" s="82"/>
      <c r="T1684" s="82"/>
      <c r="U1684" s="82"/>
      <c r="V1684" s="82"/>
      <c r="W1684" s="82"/>
      <c r="X1684" s="82"/>
      <c r="Y1684" s="82"/>
      <c r="Z1684" s="82"/>
      <c r="AA1684" s="82"/>
      <c r="AB1684" s="82"/>
      <c r="AC1684" s="82"/>
      <c r="AD1684" s="82"/>
      <c r="AE1684" s="82"/>
      <c r="AF1684" s="82"/>
      <c r="AG1684" s="82"/>
      <c r="AH1684" s="82"/>
      <c r="AI1684" s="82"/>
      <c r="AJ1684" s="82"/>
      <c r="AK1684" s="82"/>
      <c r="AL1684" s="82"/>
      <c r="AM1684" s="82"/>
      <c r="AN1684" s="82"/>
      <c r="AO1684" s="82"/>
      <c r="AP1684" s="82"/>
      <c r="AQ1684" s="82"/>
      <c r="AR1684" s="82"/>
      <c r="AS1684" s="82"/>
      <c r="AT1684" s="82"/>
      <c r="AU1684" s="82"/>
      <c r="AV1684" s="82"/>
      <c r="AW1684" s="82" t="str">
        <f t="shared" si="1"/>
        <v/>
      </c>
      <c r="AX1684" s="83" t="str">
        <f t="array" ref="AX1684">IFERROR(DGET('SBV Import'!A:G,"SBV",{"RSC ID","Tier";B1684,A1684}))</f>
        <v/>
      </c>
      <c r="AY1684" s="82" t="str">
        <f t="shared" si="2"/>
        <v/>
      </c>
      <c r="AZ1684" s="82"/>
      <c r="BA1684" s="84" t="s">
        <v>152</v>
      </c>
      <c r="BB1684" s="84" t="str">
        <f>IFERROR(__xludf.DUMMYFUNCTION("iferror(if(A1684="""",,E1684&gt;=FILTER(Constants!$F$2:$F$10,Constants!$A$2:$A$10=A1684)))"),"")</f>
        <v/>
      </c>
    </row>
    <row r="1685">
      <c r="A1685" s="89"/>
      <c r="B1685" s="87"/>
      <c r="C1685" s="73"/>
      <c r="D1685" s="73"/>
      <c r="E1685" s="82"/>
      <c r="F1685" s="82"/>
      <c r="G1685" s="86"/>
      <c r="H1685" s="86"/>
      <c r="I1685" s="86"/>
      <c r="J1685" s="82"/>
      <c r="K1685" s="82"/>
      <c r="L1685" s="82"/>
      <c r="M1685" s="82"/>
      <c r="N1685" s="82"/>
      <c r="O1685" s="82"/>
      <c r="P1685" s="82"/>
      <c r="Q1685" s="82"/>
      <c r="R1685" s="82"/>
      <c r="S1685" s="82"/>
      <c r="T1685" s="82"/>
      <c r="U1685" s="82"/>
      <c r="V1685" s="82"/>
      <c r="W1685" s="82"/>
      <c r="X1685" s="82"/>
      <c r="Y1685" s="82"/>
      <c r="Z1685" s="82"/>
      <c r="AA1685" s="82"/>
      <c r="AB1685" s="82"/>
      <c r="AC1685" s="82"/>
      <c r="AD1685" s="82"/>
      <c r="AE1685" s="82"/>
      <c r="AF1685" s="82"/>
      <c r="AG1685" s="82"/>
      <c r="AH1685" s="82"/>
      <c r="AI1685" s="82"/>
      <c r="AJ1685" s="82"/>
      <c r="AK1685" s="82"/>
      <c r="AL1685" s="82"/>
      <c r="AM1685" s="82"/>
      <c r="AN1685" s="82"/>
      <c r="AO1685" s="82"/>
      <c r="AP1685" s="82"/>
      <c r="AQ1685" s="82"/>
      <c r="AR1685" s="82"/>
      <c r="AS1685" s="82"/>
      <c r="AT1685" s="82"/>
      <c r="AU1685" s="82"/>
      <c r="AV1685" s="82"/>
      <c r="AW1685" s="82" t="str">
        <f t="shared" si="1"/>
        <v/>
      </c>
      <c r="AX1685" s="83" t="str">
        <f t="array" ref="AX1685">IFERROR(DGET('SBV Import'!A:G,"SBV",{"RSC ID","Tier";B1685,A1685}))</f>
        <v/>
      </c>
      <c r="AY1685" s="82" t="str">
        <f t="shared" si="2"/>
        <v/>
      </c>
      <c r="AZ1685" s="82"/>
      <c r="BA1685" s="84" t="s">
        <v>152</v>
      </c>
      <c r="BB1685" s="84" t="str">
        <f>IFERROR(__xludf.DUMMYFUNCTION("iferror(if(A1685="""",,E1685&gt;=FILTER(Constants!$F$2:$F$10,Constants!$A$2:$A$10=A1685)))"),"")</f>
        <v/>
      </c>
    </row>
    <row r="1686">
      <c r="A1686" s="89"/>
      <c r="B1686" s="87"/>
      <c r="C1686" s="73"/>
      <c r="D1686" s="73"/>
      <c r="E1686" s="82"/>
      <c r="F1686" s="82"/>
      <c r="G1686" s="86"/>
      <c r="H1686" s="86"/>
      <c r="I1686" s="86"/>
      <c r="J1686" s="82"/>
      <c r="K1686" s="82"/>
      <c r="L1686" s="82"/>
      <c r="M1686" s="82"/>
      <c r="N1686" s="82"/>
      <c r="O1686" s="82"/>
      <c r="P1686" s="82"/>
      <c r="Q1686" s="82"/>
      <c r="R1686" s="82"/>
      <c r="S1686" s="82"/>
      <c r="T1686" s="82"/>
      <c r="U1686" s="82"/>
      <c r="V1686" s="82"/>
      <c r="W1686" s="82"/>
      <c r="X1686" s="82"/>
      <c r="Y1686" s="82"/>
      <c r="Z1686" s="82"/>
      <c r="AA1686" s="82"/>
      <c r="AB1686" s="82"/>
      <c r="AC1686" s="82"/>
      <c r="AD1686" s="82"/>
      <c r="AE1686" s="82"/>
      <c r="AF1686" s="82"/>
      <c r="AG1686" s="82"/>
      <c r="AH1686" s="82"/>
      <c r="AI1686" s="82"/>
      <c r="AJ1686" s="82"/>
      <c r="AK1686" s="82"/>
      <c r="AL1686" s="82"/>
      <c r="AM1686" s="82"/>
      <c r="AN1686" s="82"/>
      <c r="AO1686" s="82"/>
      <c r="AP1686" s="82"/>
      <c r="AQ1686" s="82"/>
      <c r="AR1686" s="82"/>
      <c r="AS1686" s="82"/>
      <c r="AT1686" s="82"/>
      <c r="AU1686" s="82"/>
      <c r="AV1686" s="82"/>
      <c r="AW1686" s="82" t="str">
        <f t="shared" si="1"/>
        <v/>
      </c>
      <c r="AX1686" s="83" t="str">
        <f t="array" ref="AX1686">IFERROR(DGET('SBV Import'!A:G,"SBV",{"RSC ID","Tier";B1686,A1686}))</f>
        <v/>
      </c>
      <c r="AY1686" s="82" t="str">
        <f t="shared" si="2"/>
        <v/>
      </c>
      <c r="AZ1686" s="82"/>
      <c r="BA1686" s="84" t="s">
        <v>152</v>
      </c>
      <c r="BB1686" s="84" t="str">
        <f>IFERROR(__xludf.DUMMYFUNCTION("iferror(if(A1686="""",,E1686&gt;=FILTER(Constants!$F$2:$F$10,Constants!$A$2:$A$10=A1686)))"),"")</f>
        <v/>
      </c>
    </row>
    <row r="1687">
      <c r="A1687" s="89"/>
      <c r="B1687" s="87"/>
      <c r="C1687" s="73"/>
      <c r="D1687" s="73"/>
      <c r="E1687" s="82"/>
      <c r="F1687" s="82"/>
      <c r="G1687" s="86"/>
      <c r="H1687" s="86"/>
      <c r="I1687" s="86"/>
      <c r="J1687" s="82"/>
      <c r="K1687" s="82"/>
      <c r="L1687" s="82"/>
      <c r="M1687" s="82"/>
      <c r="N1687" s="82"/>
      <c r="O1687" s="82"/>
      <c r="P1687" s="82"/>
      <c r="Q1687" s="82"/>
      <c r="R1687" s="82"/>
      <c r="S1687" s="82"/>
      <c r="T1687" s="82"/>
      <c r="U1687" s="82"/>
      <c r="V1687" s="82"/>
      <c r="W1687" s="82"/>
      <c r="X1687" s="82"/>
      <c r="Y1687" s="82"/>
      <c r="Z1687" s="82"/>
      <c r="AA1687" s="82"/>
      <c r="AB1687" s="82"/>
      <c r="AC1687" s="82"/>
      <c r="AD1687" s="82"/>
      <c r="AE1687" s="82"/>
      <c r="AF1687" s="82"/>
      <c r="AG1687" s="82"/>
      <c r="AH1687" s="82"/>
      <c r="AI1687" s="82"/>
      <c r="AJ1687" s="82"/>
      <c r="AK1687" s="82"/>
      <c r="AL1687" s="82"/>
      <c r="AM1687" s="82"/>
      <c r="AN1687" s="82"/>
      <c r="AO1687" s="82"/>
      <c r="AP1687" s="82"/>
      <c r="AQ1687" s="82"/>
      <c r="AR1687" s="82"/>
      <c r="AS1687" s="82"/>
      <c r="AT1687" s="82"/>
      <c r="AU1687" s="82"/>
      <c r="AV1687" s="82"/>
      <c r="AW1687" s="82" t="str">
        <f t="shared" si="1"/>
        <v/>
      </c>
      <c r="AX1687" s="83" t="str">
        <f t="array" ref="AX1687">IFERROR(DGET('SBV Import'!A:G,"SBV",{"RSC ID","Tier";B1687,A1687}))</f>
        <v/>
      </c>
      <c r="AY1687" s="82" t="str">
        <f t="shared" si="2"/>
        <v/>
      </c>
      <c r="AZ1687" s="82"/>
      <c r="BA1687" s="84" t="s">
        <v>152</v>
      </c>
      <c r="BB1687" s="84" t="str">
        <f>IFERROR(__xludf.DUMMYFUNCTION("iferror(if(A1687="""",,E1687&gt;=FILTER(Constants!$F$2:$F$10,Constants!$A$2:$A$10=A1687)))"),"")</f>
        <v/>
      </c>
    </row>
    <row r="1688">
      <c r="A1688" s="89"/>
      <c r="B1688" s="87"/>
      <c r="C1688" s="73"/>
      <c r="D1688" s="73"/>
      <c r="E1688" s="82"/>
      <c r="F1688" s="82"/>
      <c r="G1688" s="86"/>
      <c r="H1688" s="86"/>
      <c r="I1688" s="86"/>
      <c r="J1688" s="82"/>
      <c r="K1688" s="82"/>
      <c r="L1688" s="82"/>
      <c r="M1688" s="82"/>
      <c r="N1688" s="82"/>
      <c r="O1688" s="82"/>
      <c r="P1688" s="82"/>
      <c r="Q1688" s="82"/>
      <c r="R1688" s="82"/>
      <c r="S1688" s="82"/>
      <c r="T1688" s="82"/>
      <c r="U1688" s="82"/>
      <c r="V1688" s="82"/>
      <c r="W1688" s="82"/>
      <c r="X1688" s="82"/>
      <c r="Y1688" s="82"/>
      <c r="Z1688" s="82"/>
      <c r="AA1688" s="82"/>
      <c r="AB1688" s="82"/>
      <c r="AC1688" s="82"/>
      <c r="AD1688" s="82"/>
      <c r="AE1688" s="82"/>
      <c r="AF1688" s="82"/>
      <c r="AG1688" s="82"/>
      <c r="AH1688" s="82"/>
      <c r="AI1688" s="82"/>
      <c r="AJ1688" s="82"/>
      <c r="AK1688" s="82"/>
      <c r="AL1688" s="82"/>
      <c r="AM1688" s="82"/>
      <c r="AN1688" s="82"/>
      <c r="AO1688" s="82"/>
      <c r="AP1688" s="82"/>
      <c r="AQ1688" s="82"/>
      <c r="AR1688" s="82"/>
      <c r="AS1688" s="82"/>
      <c r="AT1688" s="82"/>
      <c r="AU1688" s="82"/>
      <c r="AV1688" s="82"/>
      <c r="AW1688" s="82" t="str">
        <f t="shared" si="1"/>
        <v/>
      </c>
      <c r="AX1688" s="83" t="str">
        <f t="array" ref="AX1688">IFERROR(DGET('SBV Import'!A:G,"SBV",{"RSC ID","Tier";B1688,A1688}))</f>
        <v/>
      </c>
      <c r="AY1688" s="82" t="str">
        <f t="shared" si="2"/>
        <v/>
      </c>
      <c r="AZ1688" s="82"/>
      <c r="BA1688" s="84" t="s">
        <v>152</v>
      </c>
      <c r="BB1688" s="84" t="str">
        <f>IFERROR(__xludf.DUMMYFUNCTION("iferror(if(A1688="""",,E1688&gt;=FILTER(Constants!$F$2:$F$10,Constants!$A$2:$A$10=A1688)))"),"")</f>
        <v/>
      </c>
    </row>
    <row r="1689">
      <c r="A1689" s="89"/>
      <c r="B1689" s="87"/>
      <c r="C1689" s="73"/>
      <c r="D1689" s="73"/>
      <c r="E1689" s="82"/>
      <c r="F1689" s="82"/>
      <c r="G1689" s="86"/>
      <c r="H1689" s="86"/>
      <c r="I1689" s="86"/>
      <c r="J1689" s="82"/>
      <c r="K1689" s="82"/>
      <c r="L1689" s="82"/>
      <c r="M1689" s="82"/>
      <c r="N1689" s="82"/>
      <c r="O1689" s="82"/>
      <c r="P1689" s="82"/>
      <c r="Q1689" s="82"/>
      <c r="R1689" s="82"/>
      <c r="S1689" s="82"/>
      <c r="T1689" s="82"/>
      <c r="U1689" s="82"/>
      <c r="V1689" s="82"/>
      <c r="W1689" s="82"/>
      <c r="X1689" s="82"/>
      <c r="Y1689" s="82"/>
      <c r="Z1689" s="82"/>
      <c r="AA1689" s="82"/>
      <c r="AB1689" s="82"/>
      <c r="AC1689" s="82"/>
      <c r="AD1689" s="82"/>
      <c r="AE1689" s="82"/>
      <c r="AF1689" s="82"/>
      <c r="AG1689" s="82"/>
      <c r="AH1689" s="82"/>
      <c r="AI1689" s="82"/>
      <c r="AJ1689" s="82"/>
      <c r="AK1689" s="82"/>
      <c r="AL1689" s="82"/>
      <c r="AM1689" s="82"/>
      <c r="AN1689" s="82"/>
      <c r="AO1689" s="82"/>
      <c r="AP1689" s="82"/>
      <c r="AQ1689" s="82"/>
      <c r="AR1689" s="82"/>
      <c r="AS1689" s="82"/>
      <c r="AT1689" s="82"/>
      <c r="AU1689" s="82"/>
      <c r="AV1689" s="82"/>
      <c r="AW1689" s="82" t="str">
        <f t="shared" si="1"/>
        <v/>
      </c>
      <c r="AX1689" s="83" t="str">
        <f t="array" ref="AX1689">IFERROR(DGET('SBV Import'!A:G,"SBV",{"RSC ID","Tier";B1689,A1689}))</f>
        <v/>
      </c>
      <c r="AY1689" s="82" t="str">
        <f t="shared" si="2"/>
        <v/>
      </c>
      <c r="AZ1689" s="82"/>
      <c r="BA1689" s="84" t="s">
        <v>152</v>
      </c>
      <c r="BB1689" s="84" t="str">
        <f>IFERROR(__xludf.DUMMYFUNCTION("iferror(if(A1689="""",,E1689&gt;=FILTER(Constants!$F$2:$F$10,Constants!$A$2:$A$10=A1689)))"),"")</f>
        <v/>
      </c>
    </row>
    <row r="1690">
      <c r="A1690" s="89"/>
      <c r="B1690" s="87"/>
      <c r="C1690" s="73"/>
      <c r="D1690" s="73"/>
      <c r="E1690" s="82"/>
      <c r="F1690" s="82"/>
      <c r="G1690" s="86"/>
      <c r="H1690" s="86"/>
      <c r="I1690" s="86"/>
      <c r="J1690" s="82"/>
      <c r="K1690" s="82"/>
      <c r="L1690" s="82"/>
      <c r="M1690" s="82"/>
      <c r="N1690" s="82"/>
      <c r="O1690" s="82"/>
      <c r="P1690" s="82"/>
      <c r="Q1690" s="82"/>
      <c r="R1690" s="82"/>
      <c r="S1690" s="82"/>
      <c r="T1690" s="82"/>
      <c r="U1690" s="82"/>
      <c r="V1690" s="82"/>
      <c r="W1690" s="82"/>
      <c r="X1690" s="82"/>
      <c r="Y1690" s="82"/>
      <c r="Z1690" s="82"/>
      <c r="AA1690" s="82"/>
      <c r="AB1690" s="82"/>
      <c r="AC1690" s="82"/>
      <c r="AD1690" s="82"/>
      <c r="AE1690" s="82"/>
      <c r="AF1690" s="82"/>
      <c r="AG1690" s="82"/>
      <c r="AH1690" s="82"/>
      <c r="AI1690" s="82"/>
      <c r="AJ1690" s="82"/>
      <c r="AK1690" s="82"/>
      <c r="AL1690" s="82"/>
      <c r="AM1690" s="82"/>
      <c r="AN1690" s="82"/>
      <c r="AO1690" s="82"/>
      <c r="AP1690" s="82"/>
      <c r="AQ1690" s="82"/>
      <c r="AR1690" s="82"/>
      <c r="AS1690" s="82"/>
      <c r="AT1690" s="82"/>
      <c r="AU1690" s="82"/>
      <c r="AV1690" s="82"/>
      <c r="AW1690" s="82" t="str">
        <f t="shared" si="1"/>
        <v/>
      </c>
      <c r="AX1690" s="83" t="str">
        <f t="array" ref="AX1690">IFERROR(DGET('SBV Import'!A:G,"SBV",{"RSC ID","Tier";B1690,A1690}))</f>
        <v/>
      </c>
      <c r="AY1690" s="82" t="str">
        <f t="shared" si="2"/>
        <v/>
      </c>
      <c r="AZ1690" s="82"/>
      <c r="BA1690" s="84" t="s">
        <v>152</v>
      </c>
      <c r="BB1690" s="84" t="str">
        <f>IFERROR(__xludf.DUMMYFUNCTION("iferror(if(A1690="""",,E1690&gt;=FILTER(Constants!$F$2:$F$10,Constants!$A$2:$A$10=A1690)))"),"")</f>
        <v/>
      </c>
    </row>
    <row r="1691">
      <c r="A1691" s="89"/>
      <c r="B1691" s="87"/>
      <c r="C1691" s="73"/>
      <c r="D1691" s="73"/>
      <c r="E1691" s="82"/>
      <c r="F1691" s="82"/>
      <c r="G1691" s="86"/>
      <c r="H1691" s="86"/>
      <c r="I1691" s="86"/>
      <c r="J1691" s="82"/>
      <c r="K1691" s="82"/>
      <c r="L1691" s="82"/>
      <c r="M1691" s="82"/>
      <c r="N1691" s="82"/>
      <c r="O1691" s="82"/>
      <c r="P1691" s="82"/>
      <c r="Q1691" s="82"/>
      <c r="R1691" s="82"/>
      <c r="S1691" s="82"/>
      <c r="T1691" s="82"/>
      <c r="U1691" s="82"/>
      <c r="V1691" s="82"/>
      <c r="W1691" s="82"/>
      <c r="X1691" s="82"/>
      <c r="Y1691" s="82"/>
      <c r="Z1691" s="82"/>
      <c r="AA1691" s="82"/>
      <c r="AB1691" s="82"/>
      <c r="AC1691" s="82"/>
      <c r="AD1691" s="82"/>
      <c r="AE1691" s="82"/>
      <c r="AF1691" s="82"/>
      <c r="AG1691" s="82"/>
      <c r="AH1691" s="82"/>
      <c r="AI1691" s="82"/>
      <c r="AJ1691" s="82"/>
      <c r="AK1691" s="82"/>
      <c r="AL1691" s="82"/>
      <c r="AM1691" s="82"/>
      <c r="AN1691" s="82"/>
      <c r="AO1691" s="82"/>
      <c r="AP1691" s="82"/>
      <c r="AQ1691" s="82"/>
      <c r="AR1691" s="82"/>
      <c r="AS1691" s="82"/>
      <c r="AT1691" s="82"/>
      <c r="AU1691" s="82"/>
      <c r="AV1691" s="82"/>
      <c r="AW1691" s="82" t="str">
        <f t="shared" si="1"/>
        <v/>
      </c>
      <c r="AX1691" s="83" t="str">
        <f t="array" ref="AX1691">IFERROR(DGET('SBV Import'!A:G,"SBV",{"RSC ID","Tier";B1691,A1691}))</f>
        <v/>
      </c>
      <c r="AY1691" s="82" t="str">
        <f t="shared" si="2"/>
        <v/>
      </c>
      <c r="AZ1691" s="82"/>
      <c r="BA1691" s="84" t="s">
        <v>152</v>
      </c>
      <c r="BB1691" s="84" t="str">
        <f>IFERROR(__xludf.DUMMYFUNCTION("iferror(if(A1691="""",,E1691&gt;=FILTER(Constants!$F$2:$F$10,Constants!$A$2:$A$10=A1691)))"),"")</f>
        <v/>
      </c>
    </row>
    <row r="1692">
      <c r="A1692" s="89"/>
      <c r="B1692" s="87"/>
      <c r="C1692" s="73"/>
      <c r="D1692" s="73"/>
      <c r="E1692" s="82"/>
      <c r="F1692" s="82"/>
      <c r="G1692" s="86"/>
      <c r="H1692" s="86"/>
      <c r="I1692" s="86"/>
      <c r="J1692" s="82"/>
      <c r="K1692" s="82"/>
      <c r="L1692" s="82"/>
      <c r="M1692" s="82"/>
      <c r="N1692" s="82"/>
      <c r="O1692" s="82"/>
      <c r="P1692" s="82"/>
      <c r="Q1692" s="82"/>
      <c r="R1692" s="82"/>
      <c r="S1692" s="82"/>
      <c r="T1692" s="82"/>
      <c r="U1692" s="82"/>
      <c r="V1692" s="82"/>
      <c r="W1692" s="82"/>
      <c r="X1692" s="82"/>
      <c r="Y1692" s="82"/>
      <c r="Z1692" s="82"/>
      <c r="AA1692" s="82"/>
      <c r="AB1692" s="82"/>
      <c r="AC1692" s="82"/>
      <c r="AD1692" s="82"/>
      <c r="AE1692" s="82"/>
      <c r="AF1692" s="82"/>
      <c r="AG1692" s="82"/>
      <c r="AH1692" s="82"/>
      <c r="AI1692" s="82"/>
      <c r="AJ1692" s="82"/>
      <c r="AK1692" s="82"/>
      <c r="AL1692" s="82"/>
      <c r="AM1692" s="82"/>
      <c r="AN1692" s="82"/>
      <c r="AO1692" s="82"/>
      <c r="AP1692" s="82"/>
      <c r="AQ1692" s="82"/>
      <c r="AR1692" s="82"/>
      <c r="AS1692" s="82"/>
      <c r="AT1692" s="82"/>
      <c r="AU1692" s="82"/>
      <c r="AV1692" s="82"/>
      <c r="AW1692" s="82" t="str">
        <f t="shared" si="1"/>
        <v/>
      </c>
      <c r="AX1692" s="83" t="str">
        <f t="array" ref="AX1692">IFERROR(DGET('SBV Import'!A:G,"SBV",{"RSC ID","Tier";B1692,A1692}))</f>
        <v/>
      </c>
      <c r="AY1692" s="82" t="str">
        <f t="shared" si="2"/>
        <v/>
      </c>
      <c r="AZ1692" s="82"/>
      <c r="BA1692" s="84" t="s">
        <v>152</v>
      </c>
      <c r="BB1692" s="84" t="str">
        <f>IFERROR(__xludf.DUMMYFUNCTION("iferror(if(A1692="""",,E1692&gt;=FILTER(Constants!$F$2:$F$10,Constants!$A$2:$A$10=A1692)))"),"")</f>
        <v/>
      </c>
    </row>
    <row r="1693">
      <c r="A1693" s="89"/>
      <c r="B1693" s="87"/>
      <c r="C1693" s="73"/>
      <c r="D1693" s="73"/>
      <c r="E1693" s="82"/>
      <c r="F1693" s="82"/>
      <c r="G1693" s="86"/>
      <c r="H1693" s="86"/>
      <c r="I1693" s="86"/>
      <c r="J1693" s="82"/>
      <c r="K1693" s="82"/>
      <c r="L1693" s="82"/>
      <c r="M1693" s="82"/>
      <c r="N1693" s="82"/>
      <c r="O1693" s="82"/>
      <c r="P1693" s="82"/>
      <c r="Q1693" s="82"/>
      <c r="R1693" s="82"/>
      <c r="S1693" s="82"/>
      <c r="T1693" s="82"/>
      <c r="U1693" s="82"/>
      <c r="V1693" s="82"/>
      <c r="W1693" s="82"/>
      <c r="X1693" s="82"/>
      <c r="Y1693" s="82"/>
      <c r="Z1693" s="82"/>
      <c r="AA1693" s="82"/>
      <c r="AB1693" s="82"/>
      <c r="AC1693" s="82"/>
      <c r="AD1693" s="82"/>
      <c r="AE1693" s="82"/>
      <c r="AF1693" s="82"/>
      <c r="AG1693" s="82"/>
      <c r="AH1693" s="82"/>
      <c r="AI1693" s="82"/>
      <c r="AJ1693" s="82"/>
      <c r="AK1693" s="82"/>
      <c r="AL1693" s="82"/>
      <c r="AM1693" s="82"/>
      <c r="AN1693" s="82"/>
      <c r="AO1693" s="82"/>
      <c r="AP1693" s="82"/>
      <c r="AQ1693" s="82"/>
      <c r="AR1693" s="82"/>
      <c r="AS1693" s="82"/>
      <c r="AT1693" s="82"/>
      <c r="AU1693" s="82"/>
      <c r="AV1693" s="82"/>
      <c r="AW1693" s="82" t="str">
        <f t="shared" si="1"/>
        <v/>
      </c>
      <c r="AX1693" s="83" t="str">
        <f t="array" ref="AX1693">IFERROR(DGET('SBV Import'!A:G,"SBV",{"RSC ID","Tier";B1693,A1693}))</f>
        <v/>
      </c>
      <c r="AY1693" s="82" t="str">
        <f t="shared" si="2"/>
        <v/>
      </c>
      <c r="AZ1693" s="82"/>
      <c r="BA1693" s="84" t="s">
        <v>152</v>
      </c>
      <c r="BB1693" s="84" t="str">
        <f>IFERROR(__xludf.DUMMYFUNCTION("iferror(if(A1693="""",,E1693&gt;=FILTER(Constants!$F$2:$F$10,Constants!$A$2:$A$10=A1693)))"),"")</f>
        <v/>
      </c>
    </row>
    <row r="1694">
      <c r="A1694" s="89"/>
      <c r="B1694" s="87"/>
      <c r="C1694" s="73"/>
      <c r="D1694" s="73"/>
      <c r="E1694" s="82"/>
      <c r="F1694" s="82"/>
      <c r="G1694" s="86"/>
      <c r="H1694" s="86"/>
      <c r="I1694" s="86"/>
      <c r="J1694" s="82"/>
      <c r="K1694" s="82"/>
      <c r="L1694" s="82"/>
      <c r="M1694" s="82"/>
      <c r="N1694" s="82"/>
      <c r="O1694" s="82"/>
      <c r="P1694" s="82"/>
      <c r="Q1694" s="82"/>
      <c r="R1694" s="82"/>
      <c r="S1694" s="82"/>
      <c r="T1694" s="82"/>
      <c r="U1694" s="82"/>
      <c r="V1694" s="82"/>
      <c r="W1694" s="82"/>
      <c r="X1694" s="82"/>
      <c r="Y1694" s="82"/>
      <c r="Z1694" s="82"/>
      <c r="AA1694" s="82"/>
      <c r="AB1694" s="82"/>
      <c r="AC1694" s="82"/>
      <c r="AD1694" s="82"/>
      <c r="AE1694" s="82"/>
      <c r="AF1694" s="82"/>
      <c r="AG1694" s="82"/>
      <c r="AH1694" s="82"/>
      <c r="AI1694" s="82"/>
      <c r="AJ1694" s="82"/>
      <c r="AK1694" s="82"/>
      <c r="AL1694" s="82"/>
      <c r="AM1694" s="82"/>
      <c r="AN1694" s="82"/>
      <c r="AO1694" s="82"/>
      <c r="AP1694" s="82"/>
      <c r="AQ1694" s="82"/>
      <c r="AR1694" s="82"/>
      <c r="AS1694" s="82"/>
      <c r="AT1694" s="82"/>
      <c r="AU1694" s="82"/>
      <c r="AV1694" s="82"/>
      <c r="AW1694" s="82" t="str">
        <f t="shared" si="1"/>
        <v/>
      </c>
      <c r="AX1694" s="83" t="str">
        <f t="array" ref="AX1694">IFERROR(DGET('SBV Import'!A:G,"SBV",{"RSC ID","Tier";B1694,A1694}))</f>
        <v/>
      </c>
      <c r="AY1694" s="82" t="str">
        <f t="shared" si="2"/>
        <v/>
      </c>
      <c r="AZ1694" s="82"/>
      <c r="BA1694" s="84" t="s">
        <v>152</v>
      </c>
      <c r="BB1694" s="84" t="str">
        <f>IFERROR(__xludf.DUMMYFUNCTION("iferror(if(A1694="""",,E1694&gt;=FILTER(Constants!$F$2:$F$10,Constants!$A$2:$A$10=A1694)))"),"")</f>
        <v/>
      </c>
    </row>
    <row r="1695">
      <c r="A1695" s="89"/>
      <c r="B1695" s="87"/>
      <c r="C1695" s="73"/>
      <c r="D1695" s="73"/>
      <c r="E1695" s="82"/>
      <c r="F1695" s="82"/>
      <c r="G1695" s="86"/>
      <c r="H1695" s="86"/>
      <c r="I1695" s="86"/>
      <c r="J1695" s="82"/>
      <c r="K1695" s="82"/>
      <c r="L1695" s="82"/>
      <c r="M1695" s="82"/>
      <c r="N1695" s="82"/>
      <c r="O1695" s="82"/>
      <c r="P1695" s="82"/>
      <c r="Q1695" s="82"/>
      <c r="R1695" s="82"/>
      <c r="S1695" s="82"/>
      <c r="T1695" s="82"/>
      <c r="U1695" s="82"/>
      <c r="V1695" s="82"/>
      <c r="W1695" s="82"/>
      <c r="X1695" s="82"/>
      <c r="Y1695" s="82"/>
      <c r="Z1695" s="82"/>
      <c r="AA1695" s="82"/>
      <c r="AB1695" s="82"/>
      <c r="AC1695" s="82"/>
      <c r="AD1695" s="82"/>
      <c r="AE1695" s="82"/>
      <c r="AF1695" s="82"/>
      <c r="AG1695" s="82"/>
      <c r="AH1695" s="82"/>
      <c r="AI1695" s="82"/>
      <c r="AJ1695" s="82"/>
      <c r="AK1695" s="82"/>
      <c r="AL1695" s="82"/>
      <c r="AM1695" s="82"/>
      <c r="AN1695" s="82"/>
      <c r="AO1695" s="82"/>
      <c r="AP1695" s="82"/>
      <c r="AQ1695" s="82"/>
      <c r="AR1695" s="82"/>
      <c r="AS1695" s="82"/>
      <c r="AT1695" s="82"/>
      <c r="AU1695" s="82"/>
      <c r="AV1695" s="82"/>
      <c r="AW1695" s="82" t="str">
        <f t="shared" si="1"/>
        <v/>
      </c>
      <c r="AX1695" s="83" t="str">
        <f t="array" ref="AX1695">IFERROR(DGET('SBV Import'!A:G,"SBV",{"RSC ID","Tier";B1695,A1695}))</f>
        <v/>
      </c>
      <c r="AY1695" s="82" t="str">
        <f t="shared" si="2"/>
        <v/>
      </c>
      <c r="AZ1695" s="82"/>
      <c r="BA1695" s="84" t="s">
        <v>152</v>
      </c>
      <c r="BB1695" s="84" t="str">
        <f>IFERROR(__xludf.DUMMYFUNCTION("iferror(if(A1695="""",,E1695&gt;=FILTER(Constants!$F$2:$F$10,Constants!$A$2:$A$10=A1695)))"),"")</f>
        <v/>
      </c>
    </row>
    <row r="1696">
      <c r="A1696" s="89"/>
      <c r="B1696" s="87"/>
      <c r="C1696" s="73"/>
      <c r="D1696" s="73"/>
      <c r="E1696" s="82"/>
      <c r="F1696" s="82"/>
      <c r="G1696" s="86"/>
      <c r="H1696" s="86"/>
      <c r="I1696" s="86"/>
      <c r="J1696" s="82"/>
      <c r="K1696" s="82"/>
      <c r="L1696" s="82"/>
      <c r="M1696" s="82"/>
      <c r="N1696" s="82"/>
      <c r="O1696" s="82"/>
      <c r="P1696" s="82"/>
      <c r="Q1696" s="82"/>
      <c r="R1696" s="82"/>
      <c r="S1696" s="82"/>
      <c r="T1696" s="82"/>
      <c r="U1696" s="82"/>
      <c r="V1696" s="82"/>
      <c r="W1696" s="82"/>
      <c r="X1696" s="82"/>
      <c r="Y1696" s="82"/>
      <c r="Z1696" s="82"/>
      <c r="AA1696" s="82"/>
      <c r="AB1696" s="82"/>
      <c r="AC1696" s="82"/>
      <c r="AD1696" s="82"/>
      <c r="AE1696" s="82"/>
      <c r="AF1696" s="82"/>
      <c r="AG1696" s="82"/>
      <c r="AH1696" s="82"/>
      <c r="AI1696" s="82"/>
      <c r="AJ1696" s="82"/>
      <c r="AK1696" s="82"/>
      <c r="AL1696" s="82"/>
      <c r="AM1696" s="82"/>
      <c r="AN1696" s="82"/>
      <c r="AO1696" s="82"/>
      <c r="AP1696" s="82"/>
      <c r="AQ1696" s="82"/>
      <c r="AR1696" s="82"/>
      <c r="AS1696" s="82"/>
      <c r="AT1696" s="82"/>
      <c r="AU1696" s="82"/>
      <c r="AV1696" s="82"/>
      <c r="AW1696" s="82" t="str">
        <f t="shared" si="1"/>
        <v/>
      </c>
      <c r="AX1696" s="83" t="str">
        <f t="array" ref="AX1696">IFERROR(DGET('SBV Import'!A:G,"SBV",{"RSC ID","Tier";B1696,A1696}))</f>
        <v/>
      </c>
      <c r="AY1696" s="82" t="str">
        <f t="shared" si="2"/>
        <v/>
      </c>
      <c r="AZ1696" s="82"/>
      <c r="BA1696" s="84" t="s">
        <v>152</v>
      </c>
      <c r="BB1696" s="84" t="str">
        <f>IFERROR(__xludf.DUMMYFUNCTION("iferror(if(A1696="""",,E1696&gt;=FILTER(Constants!$F$2:$F$10,Constants!$A$2:$A$10=A1696)))"),"")</f>
        <v/>
      </c>
    </row>
    <row r="1697">
      <c r="A1697" s="89"/>
      <c r="B1697" s="87"/>
      <c r="C1697" s="73"/>
      <c r="D1697" s="73"/>
      <c r="E1697" s="82"/>
      <c r="F1697" s="82"/>
      <c r="G1697" s="86"/>
      <c r="H1697" s="86"/>
      <c r="I1697" s="86"/>
      <c r="J1697" s="82"/>
      <c r="K1697" s="82"/>
      <c r="L1697" s="82"/>
      <c r="M1697" s="82"/>
      <c r="N1697" s="82"/>
      <c r="O1697" s="82"/>
      <c r="P1697" s="82"/>
      <c r="Q1697" s="82"/>
      <c r="R1697" s="82"/>
      <c r="S1697" s="82"/>
      <c r="T1697" s="82"/>
      <c r="U1697" s="82"/>
      <c r="V1697" s="82"/>
      <c r="W1697" s="82"/>
      <c r="X1697" s="82"/>
      <c r="Y1697" s="82"/>
      <c r="Z1697" s="82"/>
      <c r="AA1697" s="82"/>
      <c r="AB1697" s="82"/>
      <c r="AC1697" s="82"/>
      <c r="AD1697" s="82"/>
      <c r="AE1697" s="82"/>
      <c r="AF1697" s="82"/>
      <c r="AG1697" s="82"/>
      <c r="AH1697" s="82"/>
      <c r="AI1697" s="82"/>
      <c r="AJ1697" s="82"/>
      <c r="AK1697" s="82"/>
      <c r="AL1697" s="82"/>
      <c r="AM1697" s="82"/>
      <c r="AN1697" s="82"/>
      <c r="AO1697" s="82"/>
      <c r="AP1697" s="82"/>
      <c r="AQ1697" s="82"/>
      <c r="AR1697" s="82"/>
      <c r="AS1697" s="82"/>
      <c r="AT1697" s="82"/>
      <c r="AU1697" s="82"/>
      <c r="AV1697" s="82"/>
      <c r="AW1697" s="82" t="str">
        <f t="shared" si="1"/>
        <v/>
      </c>
      <c r="AX1697" s="83" t="str">
        <f t="array" ref="AX1697">IFERROR(DGET('SBV Import'!A:G,"SBV",{"RSC ID","Tier";B1697,A1697}))</f>
        <v/>
      </c>
      <c r="AY1697" s="82" t="str">
        <f t="shared" si="2"/>
        <v/>
      </c>
      <c r="AZ1697" s="82"/>
      <c r="BA1697" s="84" t="s">
        <v>152</v>
      </c>
      <c r="BB1697" s="84" t="str">
        <f>IFERROR(__xludf.DUMMYFUNCTION("iferror(if(A1697="""",,E1697&gt;=FILTER(Constants!$F$2:$F$10,Constants!$A$2:$A$10=A1697)))"),"")</f>
        <v/>
      </c>
    </row>
    <row r="1698">
      <c r="A1698" s="89"/>
      <c r="B1698" s="87"/>
      <c r="C1698" s="73"/>
      <c r="D1698" s="73"/>
      <c r="E1698" s="82"/>
      <c r="F1698" s="82"/>
      <c r="G1698" s="86"/>
      <c r="H1698" s="86"/>
      <c r="I1698" s="86"/>
      <c r="J1698" s="82"/>
      <c r="K1698" s="82"/>
      <c r="L1698" s="82"/>
      <c r="M1698" s="82"/>
      <c r="N1698" s="82"/>
      <c r="O1698" s="82"/>
      <c r="P1698" s="82"/>
      <c r="Q1698" s="82"/>
      <c r="R1698" s="82"/>
      <c r="S1698" s="82"/>
      <c r="T1698" s="82"/>
      <c r="U1698" s="82"/>
      <c r="V1698" s="82"/>
      <c r="W1698" s="82"/>
      <c r="X1698" s="82"/>
      <c r="Y1698" s="82"/>
      <c r="Z1698" s="82"/>
      <c r="AA1698" s="82"/>
      <c r="AB1698" s="82"/>
      <c r="AC1698" s="82"/>
      <c r="AD1698" s="82"/>
      <c r="AE1698" s="82"/>
      <c r="AF1698" s="82"/>
      <c r="AG1698" s="82"/>
      <c r="AH1698" s="82"/>
      <c r="AI1698" s="82"/>
      <c r="AJ1698" s="82"/>
      <c r="AK1698" s="82"/>
      <c r="AL1698" s="82"/>
      <c r="AM1698" s="82"/>
      <c r="AN1698" s="82"/>
      <c r="AO1698" s="82"/>
      <c r="AP1698" s="82"/>
      <c r="AQ1698" s="82"/>
      <c r="AR1698" s="82"/>
      <c r="AS1698" s="82"/>
      <c r="AT1698" s="82"/>
      <c r="AU1698" s="82"/>
      <c r="AV1698" s="82"/>
      <c r="AW1698" s="82" t="str">
        <f t="shared" si="1"/>
        <v/>
      </c>
      <c r="AX1698" s="83" t="str">
        <f t="array" ref="AX1698">IFERROR(DGET('SBV Import'!A:G,"SBV",{"RSC ID","Tier";B1698,A1698}))</f>
        <v/>
      </c>
      <c r="AY1698" s="82" t="str">
        <f t="shared" si="2"/>
        <v/>
      </c>
      <c r="AZ1698" s="82"/>
      <c r="BA1698" s="84" t="s">
        <v>152</v>
      </c>
      <c r="BB1698" s="84" t="str">
        <f>IFERROR(__xludf.DUMMYFUNCTION("iferror(if(A1698="""",,E1698&gt;=FILTER(Constants!$F$2:$F$10,Constants!$A$2:$A$10=A1698)))"),"")</f>
        <v/>
      </c>
    </row>
    <row r="1699">
      <c r="A1699" s="89"/>
      <c r="B1699" s="87"/>
      <c r="C1699" s="73"/>
      <c r="D1699" s="73"/>
      <c r="E1699" s="82"/>
      <c r="F1699" s="82"/>
      <c r="G1699" s="86"/>
      <c r="H1699" s="86"/>
      <c r="I1699" s="86"/>
      <c r="J1699" s="82"/>
      <c r="K1699" s="82"/>
      <c r="L1699" s="82"/>
      <c r="M1699" s="82"/>
      <c r="N1699" s="82"/>
      <c r="O1699" s="82"/>
      <c r="P1699" s="82"/>
      <c r="Q1699" s="82"/>
      <c r="R1699" s="82"/>
      <c r="S1699" s="82"/>
      <c r="T1699" s="82"/>
      <c r="U1699" s="82"/>
      <c r="V1699" s="82"/>
      <c r="W1699" s="82"/>
      <c r="X1699" s="82"/>
      <c r="Y1699" s="82"/>
      <c r="Z1699" s="82"/>
      <c r="AA1699" s="82"/>
      <c r="AB1699" s="82"/>
      <c r="AC1699" s="82"/>
      <c r="AD1699" s="82"/>
      <c r="AE1699" s="82"/>
      <c r="AF1699" s="82"/>
      <c r="AG1699" s="82"/>
      <c r="AH1699" s="82"/>
      <c r="AI1699" s="82"/>
      <c r="AJ1699" s="82"/>
      <c r="AK1699" s="82"/>
      <c r="AL1699" s="82"/>
      <c r="AM1699" s="82"/>
      <c r="AN1699" s="82"/>
      <c r="AO1699" s="82"/>
      <c r="AP1699" s="82"/>
      <c r="AQ1699" s="82"/>
      <c r="AR1699" s="82"/>
      <c r="AS1699" s="82"/>
      <c r="AT1699" s="82"/>
      <c r="AU1699" s="82"/>
      <c r="AV1699" s="82"/>
      <c r="AW1699" s="82" t="str">
        <f t="shared" si="1"/>
        <v/>
      </c>
      <c r="AX1699" s="83" t="str">
        <f t="array" ref="AX1699">IFERROR(DGET('SBV Import'!A:G,"SBV",{"RSC ID","Tier";B1699,A1699}))</f>
        <v/>
      </c>
      <c r="AY1699" s="82" t="str">
        <f t="shared" si="2"/>
        <v/>
      </c>
      <c r="AZ1699" s="82"/>
      <c r="BA1699" s="84" t="s">
        <v>152</v>
      </c>
      <c r="BB1699" s="84" t="str">
        <f>IFERROR(__xludf.DUMMYFUNCTION("iferror(if(A1699="""",,E1699&gt;=FILTER(Constants!$F$2:$F$10,Constants!$A$2:$A$10=A1699)))"),"")</f>
        <v/>
      </c>
    </row>
    <row r="1700">
      <c r="A1700" s="90" t="str">
        <f>IFERROR(__xludf.DUMMYFUNCTION("QUERY(IMPORTRANGE(Constants!$B6, ""'Player Stats'!a2:AV""), ""Select * order by Col48 desc"")"),"Rival")</f>
        <v>Rival</v>
      </c>
      <c r="B1700" s="87" t="str">
        <f>IFERROR(__xludf.DUMMYFUNCTION("""COMPUTED_VALUE"""),"RSC005702")</f>
        <v>RSC005702</v>
      </c>
      <c r="C1700" s="73" t="str">
        <f>IFERROR(__xludf.DUMMYFUNCTION("""COMPUTED_VALUE"""),"Jaegie")</f>
        <v>Jaegie</v>
      </c>
      <c r="D1700" s="73" t="str">
        <f>IFERROR(__xludf.DUMMYFUNCTION("""COMPUTED_VALUE"""),"Iris")</f>
        <v>Iris</v>
      </c>
      <c r="E1700" s="82">
        <f>IFERROR(__xludf.DUMMYFUNCTION("""COMPUTED_VALUE"""),42.0)</f>
        <v>42</v>
      </c>
      <c r="F1700" s="82">
        <f>IFERROR(__xludf.DUMMYFUNCTION("""COMPUTED_VALUE"""),37.0)</f>
        <v>37</v>
      </c>
      <c r="G1700" s="86">
        <f>IFERROR(__xludf.DUMMYFUNCTION("""COMPUTED_VALUE"""),5.0)</f>
        <v>5</v>
      </c>
      <c r="H1700" s="86">
        <f>IFERROR(__xludf.DUMMYFUNCTION("""COMPUTED_VALUE"""),0.8809523809523809)</f>
        <v>0.880952381</v>
      </c>
      <c r="I1700" s="86">
        <f>IFERROR(__xludf.DUMMYFUNCTION("""COMPUTED_VALUE"""),0.39473684210526316)</f>
        <v>0.3947368421</v>
      </c>
      <c r="J1700" s="82">
        <f>IFERROR(__xludf.DUMMYFUNCTION("""COMPUTED_VALUE"""),436.7857142857143)</f>
        <v>436.7857143</v>
      </c>
      <c r="K1700" s="82">
        <f>IFERROR(__xludf.DUMMYFUNCTION("""COMPUTED_VALUE"""),1.4285714285714286)</f>
        <v>1.428571429</v>
      </c>
      <c r="L1700" s="82">
        <f>IFERROR(__xludf.DUMMYFUNCTION("""COMPUTED_VALUE"""),0.8333333333333334)</f>
        <v>0.8333333333</v>
      </c>
      <c r="M1700" s="82">
        <f>IFERROR(__xludf.DUMMYFUNCTION("""COMPUTED_VALUE"""),1.0952380952380953)</f>
        <v>1.095238095</v>
      </c>
      <c r="N1700" s="82">
        <f>IFERROR(__xludf.DUMMYFUNCTION("""COMPUTED_VALUE"""),3.619047619047619)</f>
        <v>3.619047619</v>
      </c>
      <c r="O1700" s="82">
        <f>IFERROR(__xludf.DUMMYFUNCTION("""COMPUTED_VALUE"""),306.6349206349206)</f>
        <v>306.6349206</v>
      </c>
      <c r="P1700" s="82">
        <f>IFERROR(__xludf.DUMMYFUNCTION("""COMPUTED_VALUE"""),0.4841269841269841)</f>
        <v>0.4841269841</v>
      </c>
      <c r="Q1700" s="82">
        <f>IFERROR(__xludf.DUMMYFUNCTION("""COMPUTED_VALUE"""),0.3412698412698413)</f>
        <v>0.3412698413</v>
      </c>
      <c r="R1700" s="82">
        <f>IFERROR(__xludf.DUMMYFUNCTION("""COMPUTED_VALUE"""),1.5079365079365081)</f>
        <v>1.507936508</v>
      </c>
      <c r="S1700" s="82">
        <f>IFERROR(__xludf.DUMMYFUNCTION("""COMPUTED_VALUE"""),1.9444444444444449)</f>
        <v>1.944444444</v>
      </c>
      <c r="T1700" s="82">
        <f>IFERROR(__xludf.DUMMYFUNCTION("""COMPUTED_VALUE"""),336.670574841133)</f>
        <v>336.6705748</v>
      </c>
      <c r="U1700" s="82">
        <f>IFERROR(__xludf.DUMMYFUNCTION("""COMPUTED_VALUE"""),0.7427878918933953)</f>
        <v>0.7427878919</v>
      </c>
      <c r="V1700" s="82">
        <f>IFERROR(__xludf.DUMMYFUNCTION("""COMPUTED_VALUE"""),0.5209508430938785)</f>
        <v>0.5209508431</v>
      </c>
      <c r="W1700" s="82">
        <f>IFERROR(__xludf.DUMMYFUNCTION("""COMPUTED_VALUE"""),1.313103485294096)</f>
        <v>1.313103485</v>
      </c>
      <c r="X1700" s="82">
        <f>IFERROR(__xludf.DUMMYFUNCTION("""COMPUTED_VALUE"""),2.3988391232654243)</f>
        <v>2.398839123</v>
      </c>
      <c r="Y1700" s="82">
        <f>IFERROR(__xludf.DUMMYFUNCTION("""COMPUTED_VALUE"""),353.7795742297994)</f>
        <v>353.7795742</v>
      </c>
      <c r="Z1700" s="82">
        <f>IFERROR(__xludf.DUMMYFUNCTION("""COMPUTED_VALUE"""),0.8445595429240346)</f>
        <v>0.8445595429</v>
      </c>
      <c r="AA1700" s="82">
        <f>IFERROR(__xludf.DUMMYFUNCTION("""COMPUTED_VALUE"""),0.6122087554392968)</f>
        <v>0.6122087554</v>
      </c>
      <c r="AB1700" s="82">
        <f>IFERROR(__xludf.DUMMYFUNCTION("""COMPUTED_VALUE"""),1.25149251899412)</f>
        <v>1.251492519</v>
      </c>
      <c r="AC1700" s="82">
        <f>IFERROR(__xludf.DUMMYFUNCTION("""COMPUTED_VALUE"""),2.62808893681642)</f>
        <v>2.628088937</v>
      </c>
      <c r="AD1700" s="82">
        <f>IFERROR(__xludf.DUMMYFUNCTION("""COMPUTED_VALUE"""),1.2346267170359526)</f>
        <v>1.234626717</v>
      </c>
      <c r="AE1700" s="82">
        <f>IFERROR(__xludf.DUMMYFUNCTION("""COMPUTED_VALUE"""),1.6914987706200415)</f>
        <v>1.691498771</v>
      </c>
      <c r="AF1700" s="82">
        <f>IFERROR(__xludf.DUMMYFUNCTION("""COMPUTED_VALUE"""),1.3611914660308417)</f>
        <v>1.361191466</v>
      </c>
      <c r="AG1700" s="82">
        <f>IFERROR(__xludf.DUMMYFUNCTION("""COMPUTED_VALUE"""),0.8751455391186731)</f>
        <v>0.8751455391</v>
      </c>
      <c r="AH1700" s="82">
        <f>IFERROR(__xludf.DUMMYFUNCTION("""COMPUTED_VALUE"""),1.3770643635186919)</f>
        <v>1.377064364</v>
      </c>
      <c r="AI1700" s="82">
        <f>IFERROR(__xludf.DUMMYFUNCTION("""COMPUTED_VALUE"""),0.9107862211588122)</f>
        <v>0.9107862212</v>
      </c>
      <c r="AJ1700" s="82">
        <f>IFERROR(__xludf.DUMMYFUNCTION("""COMPUTED_VALUE"""),0.6517701613214582)</f>
        <v>0.6517701613</v>
      </c>
      <c r="AK1700" s="82">
        <f>IFERROR(__xludf.DUMMYFUNCTION("""COMPUTED_VALUE"""),0.6550902945910817)</f>
        <v>0.6550902946</v>
      </c>
      <c r="AL1700" s="82">
        <f>IFERROR(__xludf.DUMMYFUNCTION("""COMPUTED_VALUE"""),1.1483759846991612)</f>
        <v>1.148375985</v>
      </c>
      <c r="AM1700" s="82">
        <f>IFERROR(__xludf.DUMMYFUNCTION("""COMPUTED_VALUE"""),0.8105772603031279)</f>
        <v>0.8105772603</v>
      </c>
      <c r="AN1700" s="82">
        <f>IFERROR(__xludf.DUMMYFUNCTION("""COMPUTED_VALUE"""),1.2881616305568981)</f>
        <v>1.288161631</v>
      </c>
      <c r="AO1700" s="82">
        <f>IFERROR(__xludf.DUMMYFUNCTION("""COMPUTED_VALUE"""),1.9207941951885252)</f>
        <v>1.920794195</v>
      </c>
      <c r="AP1700" s="82">
        <f>IFERROR(__xludf.DUMMYFUNCTION("""COMPUTED_VALUE"""),1.5268159143690647)</f>
        <v>1.526815914</v>
      </c>
      <c r="AQ1700" s="82">
        <f>IFERROR(__xludf.DUMMYFUNCTION("""COMPUTED_VALUE"""),0.8374349472228997)</f>
        <v>0.8374349472</v>
      </c>
      <c r="AR1700" s="82">
        <f>IFERROR(__xludf.DUMMYFUNCTION("""COMPUTED_VALUE"""),1.4466360895411214)</f>
        <v>1.44663609</v>
      </c>
      <c r="AS1700" s="82">
        <f>IFERROR(__xludf.DUMMYFUNCTION("""COMPUTED_VALUE"""),152.0)</f>
        <v>152</v>
      </c>
      <c r="AT1700" s="82">
        <f>IFERROR(__xludf.DUMMYFUNCTION("""COMPUTED_VALUE"""),0.8107581883465305)</f>
        <v>0.8107581883</v>
      </c>
      <c r="AU1700" s="82">
        <f>IFERROR(__xludf.DUMMYFUNCTION("""COMPUTED_VALUE"""),4.789476939525808)</f>
        <v>4.78947694</v>
      </c>
      <c r="AV1700" s="82">
        <f>IFERROR(__xludf.DUMMYFUNCTION("""COMPUTED_VALUE"""),116.3103176248415)</f>
        <v>116.3103176</v>
      </c>
      <c r="AW1700" s="82">
        <f t="shared" si="1"/>
        <v>250.2540376</v>
      </c>
      <c r="AX1700" s="83">
        <f t="array" ref="AX1700">IFERROR(DGET('SBV Import'!A:G,"SBV",{"RSC ID","Tier";B1700,A1700}))</f>
        <v>90.68490717</v>
      </c>
      <c r="AY1700" s="82">
        <f t="shared" si="2"/>
        <v>19.29515575</v>
      </c>
      <c r="AZ1700" s="82">
        <v>230.95888183274366</v>
      </c>
      <c r="BA1700" s="84">
        <v>1700.0</v>
      </c>
      <c r="BB1700" s="84" t="b">
        <f>IFERROR(__xludf.DUMMYFUNCTION("iferror(if(A1700="""",,E1700&gt;=FILTER(Constants!$F$2:$F$10,Constants!$A$2:$A$10=A1700)))"),TRUE)</f>
        <v>1</v>
      </c>
    </row>
    <row r="1701">
      <c r="A1701" s="89" t="str">
        <f>IFERROR(__xludf.DUMMYFUNCTION("""COMPUTED_VALUE"""),"Rival")</f>
        <v>Rival</v>
      </c>
      <c r="B1701" s="87" t="str">
        <f>IFERROR(__xludf.DUMMYFUNCTION("""COMPUTED_VALUE"""),"RSC004640")</f>
        <v>RSC004640</v>
      </c>
      <c r="C1701" s="73" t="str">
        <f>IFERROR(__xludf.DUMMYFUNCTION("""COMPUTED_VALUE"""),"tharealdub")</f>
        <v>tharealdub</v>
      </c>
      <c r="D1701" s="73" t="str">
        <f>IFERROR(__xludf.DUMMYFUNCTION("""COMPUTED_VALUE"""),"Lacuna")</f>
        <v>Lacuna</v>
      </c>
      <c r="E1701" s="82">
        <f>IFERROR(__xludf.DUMMYFUNCTION("""COMPUTED_VALUE"""),4.0)</f>
        <v>4</v>
      </c>
      <c r="F1701" s="82">
        <f>IFERROR(__xludf.DUMMYFUNCTION("""COMPUTED_VALUE"""),2.0)</f>
        <v>2</v>
      </c>
      <c r="G1701" s="86">
        <f>IFERROR(__xludf.DUMMYFUNCTION("""COMPUTED_VALUE"""),2.0)</f>
        <v>2</v>
      </c>
      <c r="H1701" s="86">
        <f>IFERROR(__xludf.DUMMYFUNCTION("""COMPUTED_VALUE"""),0.5)</f>
        <v>0.5</v>
      </c>
      <c r="I1701" s="86">
        <f>IFERROR(__xludf.DUMMYFUNCTION("""COMPUTED_VALUE"""),0.3125)</f>
        <v>0.3125</v>
      </c>
      <c r="J1701" s="82">
        <f>IFERROR(__xludf.DUMMYFUNCTION("""COMPUTED_VALUE"""),485.0)</f>
        <v>485</v>
      </c>
      <c r="K1701" s="82">
        <f>IFERROR(__xludf.DUMMYFUNCTION("""COMPUTED_VALUE"""),1.25)</f>
        <v>1.25</v>
      </c>
      <c r="L1701" s="82">
        <f>IFERROR(__xludf.DUMMYFUNCTION("""COMPUTED_VALUE"""),1.5)</f>
        <v>1.5</v>
      </c>
      <c r="M1701" s="82">
        <f>IFERROR(__xludf.DUMMYFUNCTION("""COMPUTED_VALUE"""),1.75)</f>
        <v>1.75</v>
      </c>
      <c r="N1701" s="82">
        <f>IFERROR(__xludf.DUMMYFUNCTION("""COMPUTED_VALUE"""),4.0)</f>
        <v>4</v>
      </c>
      <c r="O1701" s="82">
        <f>IFERROR(__xludf.DUMMYFUNCTION("""COMPUTED_VALUE"""),421.25)</f>
        <v>421.25</v>
      </c>
      <c r="P1701" s="82">
        <f>IFERROR(__xludf.DUMMYFUNCTION("""COMPUTED_VALUE"""),1.0833333333333333)</f>
        <v>1.083333333</v>
      </c>
      <c r="Q1701" s="82">
        <f>IFERROR(__xludf.DUMMYFUNCTION("""COMPUTED_VALUE"""),0.8333333333333333)</f>
        <v>0.8333333333</v>
      </c>
      <c r="R1701" s="82">
        <f>IFERROR(__xludf.DUMMYFUNCTION("""COMPUTED_VALUE"""),1.4166666666666665)</f>
        <v>1.416666667</v>
      </c>
      <c r="S1701" s="82">
        <f>IFERROR(__xludf.DUMMYFUNCTION("""COMPUTED_VALUE"""),3.5)</f>
        <v>3.5</v>
      </c>
      <c r="T1701" s="82">
        <f>IFERROR(__xludf.DUMMYFUNCTION("""COMPUTED_VALUE"""),356.3063830338856)</f>
        <v>356.306383</v>
      </c>
      <c r="U1701" s="82">
        <f>IFERROR(__xludf.DUMMYFUNCTION("""COMPUTED_VALUE"""),0.7575380467190377)</f>
        <v>0.7575380467</v>
      </c>
      <c r="V1701" s="82">
        <f>IFERROR(__xludf.DUMMYFUNCTION("""COMPUTED_VALUE"""),0.6031863316999818)</f>
        <v>0.6031863317</v>
      </c>
      <c r="W1701" s="82">
        <f>IFERROR(__xludf.DUMMYFUNCTION("""COMPUTED_VALUE"""),1.3426926965855177)</f>
        <v>1.342692697</v>
      </c>
      <c r="X1701" s="82">
        <f>IFERROR(__xludf.DUMMYFUNCTION("""COMPUTED_VALUE"""),2.750550932047393)</f>
        <v>2.750550932</v>
      </c>
      <c r="Y1701" s="82">
        <f>IFERROR(__xludf.DUMMYFUNCTION("""COMPUTED_VALUE"""),378.6999732095789)</f>
        <v>378.6999732</v>
      </c>
      <c r="Z1701" s="82">
        <f>IFERROR(__xludf.DUMMYFUNCTION("""COMPUTED_VALUE"""),0.9109737021769376)</f>
        <v>0.9109737022</v>
      </c>
      <c r="AA1701" s="82">
        <f>IFERROR(__xludf.DUMMYFUNCTION("""COMPUTED_VALUE"""),0.6481078184819338)</f>
        <v>0.6481078185</v>
      </c>
      <c r="AB1701" s="82">
        <f>IFERROR(__xludf.DUMMYFUNCTION("""COMPUTED_VALUE"""),1.39270004234615)</f>
        <v>1.392700042</v>
      </c>
      <c r="AC1701" s="82">
        <f>IFERROR(__xludf.DUMMYFUNCTION("""COMPUTED_VALUE"""),2.793415605852411)</f>
        <v>2.793415606</v>
      </c>
      <c r="AD1701" s="82">
        <f>IFERROR(__xludf.DUMMYFUNCTION("""COMPUTED_VALUE"""),1.2806972123327638)</f>
        <v>1.280697212</v>
      </c>
      <c r="AE1701" s="82">
        <f>IFERROR(__xludf.DUMMYFUNCTION("""COMPUTED_VALUE"""),1.372158161111454)</f>
        <v>1.372158161</v>
      </c>
      <c r="AF1701" s="82">
        <f>IFERROR(__xludf.DUMMYFUNCTION("""COMPUTED_VALUE"""),2.3144297248464887)</f>
        <v>2.314429725</v>
      </c>
      <c r="AG1701" s="82">
        <f>IFERROR(__xludf.DUMMYFUNCTION("""COMPUTED_VALUE"""),1.2565519830472185)</f>
        <v>1.256551983</v>
      </c>
      <c r="AH1701" s="82">
        <f>IFERROR(__xludf.DUMMYFUNCTION("""COMPUTED_VALUE"""),1.4319387317876031)</f>
        <v>1.431938732</v>
      </c>
      <c r="AI1701" s="82">
        <f>IFERROR(__xludf.DUMMYFUNCTION("""COMPUTED_VALUE"""),1.1822690248014391)</f>
        <v>1.182269025</v>
      </c>
      <c r="AJ1701" s="82">
        <f>IFERROR(__xludf.DUMMYFUNCTION("""COMPUTED_VALUE"""),1.4300711865566924)</f>
        <v>1.430071187</v>
      </c>
      <c r="AK1701" s="82">
        <f>IFERROR(__xludf.DUMMYFUNCTION("""COMPUTED_VALUE"""),1.3815520835571984)</f>
        <v>1.381552084</v>
      </c>
      <c r="AL1701" s="82">
        <f>IFERROR(__xludf.DUMMYFUNCTION("""COMPUTED_VALUE"""),1.0550937457761298)</f>
        <v>1.055093746</v>
      </c>
      <c r="AM1701" s="82">
        <f>IFERROR(__xludf.DUMMYFUNCTION("""COMPUTED_VALUE"""),1.2724723469835002)</f>
        <v>1.272472347</v>
      </c>
      <c r="AN1701" s="82">
        <f>IFERROR(__xludf.DUMMYFUNCTION("""COMPUTED_VALUE"""),1.4303544515913882)</f>
        <v>1.430354452</v>
      </c>
      <c r="AO1701" s="82">
        <f>IFERROR(__xludf.DUMMYFUNCTION("""COMPUTED_VALUE"""),1.6806949207899595)</f>
        <v>1.680694921</v>
      </c>
      <c r="AP1701" s="82">
        <f>IFERROR(__xludf.DUMMYFUNCTION("""COMPUTED_VALUE"""),2.748268645864316)</f>
        <v>2.748268646</v>
      </c>
      <c r="AQ1701" s="82">
        <f>IFERROR(__xludf.DUMMYFUNCTION("""COMPUTED_VALUE"""),1.3380754048018069)</f>
        <v>1.338075405</v>
      </c>
      <c r="AR1701" s="82">
        <f>IFERROR(__xludf.DUMMYFUNCTION("""COMPUTED_VALUE"""),1.598913572650713)</f>
        <v>1.598913573</v>
      </c>
      <c r="AS1701" s="82">
        <f>IFERROR(__xludf.DUMMYFUNCTION("""COMPUTED_VALUE"""),12.0)</f>
        <v>12</v>
      </c>
      <c r="AT1701" s="82">
        <f>IFERROR(__xludf.DUMMYFUNCTION("""COMPUTED_VALUE"""),0.46619225635723227)</f>
        <v>0.4661922564</v>
      </c>
      <c r="AU1701" s="82">
        <f>IFERROR(__xludf.DUMMYFUNCTION("""COMPUTED_VALUE"""),4.771126729365584)</f>
        <v>4.771126729</v>
      </c>
      <c r="AV1701" s="82">
        <f>IFERROR(__xludf.DUMMYFUNCTION("""COMPUTED_VALUE"""),115.78495156829672)</f>
        <v>115.7849516</v>
      </c>
      <c r="AW1701" s="82">
        <f t="shared" si="1"/>
        <v>235.1990073</v>
      </c>
      <c r="AX1701" s="83">
        <f t="array" ref="AX1701">IFERROR(DGET('SBV Import'!A:G,"SBV",{"RSC ID","Tier";B1701,A1701}))</f>
        <v>75.68600495</v>
      </c>
      <c r="AY1701" s="82">
        <f t="shared" si="2"/>
        <v>6.574336007</v>
      </c>
      <c r="AZ1701" s="82">
        <v>228.62467124744637</v>
      </c>
      <c r="BA1701" s="84">
        <v>1700.0</v>
      </c>
      <c r="BB1701" s="84" t="b">
        <f>IFERROR(__xludf.DUMMYFUNCTION("iferror(if(A1701="""",,E1701&gt;=FILTER(Constants!$F$2:$F$10,Constants!$A$2:$A$10=A1701)))"),TRUE)</f>
        <v>1</v>
      </c>
    </row>
    <row r="1702">
      <c r="A1702" s="89" t="str">
        <f>IFERROR(__xludf.DUMMYFUNCTION("""COMPUTED_VALUE"""),"Rival")</f>
        <v>Rival</v>
      </c>
      <c r="B1702" s="87" t="str">
        <f>IFERROR(__xludf.DUMMYFUNCTION("""COMPUTED_VALUE"""),"RSC007482")</f>
        <v>RSC007482</v>
      </c>
      <c r="C1702" s="73" t="str">
        <f>IFERROR(__xludf.DUMMYFUNCTION("""COMPUTED_VALUE"""),"MyTyranosaur")</f>
        <v>MyTyranosaur</v>
      </c>
      <c r="D1702" s="73" t="str">
        <f>IFERROR(__xludf.DUMMYFUNCTION("""COMPUTED_VALUE"""),"50 Cent")</f>
        <v>50 Cent</v>
      </c>
      <c r="E1702" s="82">
        <f>IFERROR(__xludf.DUMMYFUNCTION("""COMPUTED_VALUE"""),42.0)</f>
        <v>42</v>
      </c>
      <c r="F1702" s="82">
        <f>IFERROR(__xludf.DUMMYFUNCTION("""COMPUTED_VALUE"""),22.0)</f>
        <v>22</v>
      </c>
      <c r="G1702" s="86">
        <f>IFERROR(__xludf.DUMMYFUNCTION("""COMPUTED_VALUE"""),20.0)</f>
        <v>20</v>
      </c>
      <c r="H1702" s="86">
        <f>IFERROR(__xludf.DUMMYFUNCTION("""COMPUTED_VALUE"""),0.5238095238095238)</f>
        <v>0.5238095238</v>
      </c>
      <c r="I1702" s="86">
        <f>IFERROR(__xludf.DUMMYFUNCTION("""COMPUTED_VALUE"""),0.3625730994152047)</f>
        <v>0.3625730994</v>
      </c>
      <c r="J1702" s="82">
        <f>IFERROR(__xludf.DUMMYFUNCTION("""COMPUTED_VALUE"""),498.0952380952381)</f>
        <v>498.0952381</v>
      </c>
      <c r="K1702" s="82">
        <f>IFERROR(__xludf.DUMMYFUNCTION("""COMPUTED_VALUE"""),1.4761904761904763)</f>
        <v>1.476190476</v>
      </c>
      <c r="L1702" s="82">
        <f>IFERROR(__xludf.DUMMYFUNCTION("""COMPUTED_VALUE"""),0.7619047619047619)</f>
        <v>0.7619047619</v>
      </c>
      <c r="M1702" s="82">
        <f>IFERROR(__xludf.DUMMYFUNCTION("""COMPUTED_VALUE"""),1.7142857142857142)</f>
        <v>1.714285714</v>
      </c>
      <c r="N1702" s="82">
        <f>IFERROR(__xludf.DUMMYFUNCTION("""COMPUTED_VALUE"""),4.071428571428571)</f>
        <v>4.071428571</v>
      </c>
      <c r="O1702" s="82">
        <f>IFERROR(__xludf.DUMMYFUNCTION("""COMPUTED_VALUE"""),360.5079365079365)</f>
        <v>360.5079365</v>
      </c>
      <c r="P1702" s="82">
        <f>IFERROR(__xludf.DUMMYFUNCTION("""COMPUTED_VALUE"""),0.8333333333333334)</f>
        <v>0.8333333333</v>
      </c>
      <c r="Q1702" s="82">
        <f>IFERROR(__xludf.DUMMYFUNCTION("""COMPUTED_VALUE"""),0.595238095238095)</f>
        <v>0.5952380952</v>
      </c>
      <c r="R1702" s="82">
        <f>IFERROR(__xludf.DUMMYFUNCTION("""COMPUTED_VALUE"""),1.4285714285714284)</f>
        <v>1.428571429</v>
      </c>
      <c r="S1702" s="82">
        <f>IFERROR(__xludf.DUMMYFUNCTION("""COMPUTED_VALUE"""),2.5317460317460316)</f>
        <v>2.531746032</v>
      </c>
      <c r="T1702" s="82">
        <f>IFERROR(__xludf.DUMMYFUNCTION("""COMPUTED_VALUE"""),349.77008918626973)</f>
        <v>349.7700892</v>
      </c>
      <c r="U1702" s="82">
        <f>IFERROR(__xludf.DUMMYFUNCTION("""COMPUTED_VALUE"""),0.7936079725222647)</f>
        <v>0.7936079725</v>
      </c>
      <c r="V1702" s="82">
        <f>IFERROR(__xludf.DUMMYFUNCTION("""COMPUTED_VALUE"""),0.552937783140959)</f>
        <v>0.5529377831</v>
      </c>
      <c r="W1702" s="82">
        <f>IFERROR(__xludf.DUMMYFUNCTION("""COMPUTED_VALUE"""),1.3644338871436514)</f>
        <v>1.364433887</v>
      </c>
      <c r="X1702" s="82">
        <f>IFERROR(__xludf.DUMMYFUNCTION("""COMPUTED_VALUE"""),2.6237905796253242)</f>
        <v>2.62379058</v>
      </c>
      <c r="Y1702" s="82">
        <f>IFERROR(__xludf.DUMMYFUNCTION("""COMPUTED_VALUE"""),355.26648650718994)</f>
        <v>355.2664865</v>
      </c>
      <c r="Z1702" s="82">
        <f>IFERROR(__xludf.DUMMYFUNCTION("""COMPUTED_VALUE"""),0.8281539831944512)</f>
        <v>0.8281539832</v>
      </c>
      <c r="AA1702" s="82">
        <f>IFERROR(__xludf.DUMMYFUNCTION("""COMPUTED_VALUE"""),0.596008842232299)</f>
        <v>0.5960088422</v>
      </c>
      <c r="AB1702" s="82">
        <f>IFERROR(__xludf.DUMMYFUNCTION("""COMPUTED_VALUE"""),1.323916927609415)</f>
        <v>1.323916928</v>
      </c>
      <c r="AC1702" s="82">
        <f>IFERROR(__xludf.DUMMYFUNCTION("""COMPUTED_VALUE"""),2.6752183077765155)</f>
        <v>2.675218308</v>
      </c>
      <c r="AD1702" s="82">
        <f>IFERROR(__xludf.DUMMYFUNCTION("""COMPUTED_VALUE"""),1.4020327191350697)</f>
        <v>1.402032719</v>
      </c>
      <c r="AE1702" s="82">
        <f>IFERROR(__xludf.DUMMYFUNCTION("""COMPUTED_VALUE"""),1.7825072464136968)</f>
        <v>1.782507246</v>
      </c>
      <c r="AF1702" s="82">
        <f>IFERROR(__xludf.DUMMYFUNCTION("""COMPUTED_VALUE"""),1.2783447289995131)</f>
        <v>1.278344729</v>
      </c>
      <c r="AG1702" s="82">
        <f>IFERROR(__xludf.DUMMYFUNCTION("""COMPUTED_VALUE"""),1.2948589738037302)</f>
        <v>1.294858974</v>
      </c>
      <c r="AH1702" s="82">
        <f>IFERROR(__xludf.DUMMYFUNCTION("""COMPUTED_VALUE"""),1.5219051692317789)</f>
        <v>1.521905169</v>
      </c>
      <c r="AI1702" s="82">
        <f>IFERROR(__xludf.DUMMYFUNCTION("""COMPUTED_VALUE"""),1.0306997300616758)</f>
        <v>1.03069973</v>
      </c>
      <c r="AJ1702" s="82">
        <f>IFERROR(__xludf.DUMMYFUNCTION("""COMPUTED_VALUE"""),1.0500566554098651)</f>
        <v>1.050056655</v>
      </c>
      <c r="AK1702" s="82">
        <f>IFERROR(__xludf.DUMMYFUNCTION("""COMPUTED_VALUE"""),1.0765010339080998)</f>
        <v>1.076501034</v>
      </c>
      <c r="AL1702" s="82">
        <f>IFERROR(__xludf.DUMMYFUNCTION("""COMPUTED_VALUE"""),1.0470067051486418)</f>
        <v>1.047006705</v>
      </c>
      <c r="AM1702" s="82">
        <f>IFERROR(__xludf.DUMMYFUNCTION("""COMPUTED_VALUE"""),0.9649192475214861)</f>
        <v>0.9649192475</v>
      </c>
      <c r="AN1702" s="82">
        <f>IFERROR(__xludf.DUMMYFUNCTION("""COMPUTED_VALUE"""),1.4689747239711262)</f>
        <v>1.468974724</v>
      </c>
      <c r="AO1702" s="82">
        <f>IFERROR(__xludf.DUMMYFUNCTION("""COMPUTED_VALUE"""),1.9848206683614762)</f>
        <v>1.984820668</v>
      </c>
      <c r="AP1702" s="82">
        <f>IFERROR(__xludf.DUMMYFUNCTION("""COMPUTED_VALUE"""),1.3959459788517161)</f>
        <v>1.395945979</v>
      </c>
      <c r="AQ1702" s="82">
        <f>IFERROR(__xludf.DUMMYFUNCTION("""COMPUTED_VALUE"""),1.310767743479321)</f>
        <v>1.310767743</v>
      </c>
      <c r="AR1702" s="82">
        <f>IFERROR(__xludf.DUMMYFUNCTION("""COMPUTED_VALUE"""),1.6274656007337616)</f>
        <v>1.627465601</v>
      </c>
      <c r="AS1702" s="82">
        <f>IFERROR(__xludf.DUMMYFUNCTION("""COMPUTED_VALUE"""),128.0)</f>
        <v>128</v>
      </c>
      <c r="AT1702" s="82">
        <f>IFERROR(__xludf.DUMMYFUNCTION("""COMPUTED_VALUE"""),0.5802682715713031)</f>
        <v>0.5802682716</v>
      </c>
      <c r="AU1702" s="82">
        <f>IFERROR(__xludf.DUMMYFUNCTION("""COMPUTED_VALUE"""),4.76851425905401)</f>
        <v>4.768514259</v>
      </c>
      <c r="AV1702" s="82">
        <f>IFERROR(__xludf.DUMMYFUNCTION("""COMPUTED_VALUE"""),115.71015660881409)</f>
        <v>115.7101566</v>
      </c>
      <c r="AW1702" s="82">
        <f t="shared" si="1"/>
        <v>233.1382899</v>
      </c>
      <c r="AX1702" s="83">
        <f t="array" ref="AX1702">IFERROR(DGET('SBV Import'!A:G,"SBV",{"RSC ID","Tier";B1702,A1702}))</f>
        <v>99.44231536</v>
      </c>
      <c r="AY1702" s="82">
        <f t="shared" si="2"/>
        <v>41.698467</v>
      </c>
      <c r="AZ1702" s="82">
        <v>191.4398228802387</v>
      </c>
      <c r="BA1702" s="84">
        <v>1700.0</v>
      </c>
      <c r="BB1702" s="84" t="b">
        <f>IFERROR(__xludf.DUMMYFUNCTION("iferror(if(A1702="""",,E1702&gt;=FILTER(Constants!$F$2:$F$10,Constants!$A$2:$A$10=A1702)))"),TRUE)</f>
        <v>1</v>
      </c>
    </row>
    <row r="1703">
      <c r="A1703" s="89" t="str">
        <f>IFERROR(__xludf.DUMMYFUNCTION("""COMPUTED_VALUE"""),"Rival")</f>
        <v>Rival</v>
      </c>
      <c r="B1703" s="87" t="str">
        <f>IFERROR(__xludf.DUMMYFUNCTION("""COMPUTED_VALUE"""),"RSC006448")</f>
        <v>RSC006448</v>
      </c>
      <c r="C1703" s="73" t="str">
        <f>IFERROR(__xludf.DUMMYFUNCTION("""COMPUTED_VALUE"""),"Burger.101")</f>
        <v>Burger.101</v>
      </c>
      <c r="D1703" s="73" t="str">
        <f>IFERROR(__xludf.DUMMYFUNCTION("""COMPUTED_VALUE"""),"Iris")</f>
        <v>Iris</v>
      </c>
      <c r="E1703" s="82">
        <f>IFERROR(__xludf.DUMMYFUNCTION("""COMPUTED_VALUE"""),40.0)</f>
        <v>40</v>
      </c>
      <c r="F1703" s="82">
        <f>IFERROR(__xludf.DUMMYFUNCTION("""COMPUTED_VALUE"""),34.0)</f>
        <v>34</v>
      </c>
      <c r="G1703" s="86">
        <f>IFERROR(__xludf.DUMMYFUNCTION("""COMPUTED_VALUE"""),6.0)</f>
        <v>6</v>
      </c>
      <c r="H1703" s="86">
        <f>IFERROR(__xludf.DUMMYFUNCTION("""COMPUTED_VALUE"""),0.85)</f>
        <v>0.85</v>
      </c>
      <c r="I1703" s="86">
        <f>IFERROR(__xludf.DUMMYFUNCTION("""COMPUTED_VALUE"""),0.34285714285714286)</f>
        <v>0.3428571429</v>
      </c>
      <c r="J1703" s="82">
        <f>IFERROR(__xludf.DUMMYFUNCTION("""COMPUTED_VALUE"""),404.65)</f>
        <v>404.65</v>
      </c>
      <c r="K1703" s="82">
        <f>IFERROR(__xludf.DUMMYFUNCTION("""COMPUTED_VALUE"""),1.2)</f>
        <v>1.2</v>
      </c>
      <c r="L1703" s="82">
        <f>IFERROR(__xludf.DUMMYFUNCTION("""COMPUTED_VALUE"""),0.775)</f>
        <v>0.775</v>
      </c>
      <c r="M1703" s="82">
        <f>IFERROR(__xludf.DUMMYFUNCTION("""COMPUTED_VALUE"""),0.9)</f>
        <v>0.9</v>
      </c>
      <c r="N1703" s="82">
        <f>IFERROR(__xludf.DUMMYFUNCTION("""COMPUTED_VALUE"""),3.5)</f>
        <v>3.5</v>
      </c>
      <c r="O1703" s="82">
        <f>IFERROR(__xludf.DUMMYFUNCTION("""COMPUTED_VALUE"""),305.48333333333323)</f>
        <v>305.4833333</v>
      </c>
      <c r="P1703" s="82">
        <f>IFERROR(__xludf.DUMMYFUNCTION("""COMPUTED_VALUE"""),0.4749999999999999)</f>
        <v>0.475</v>
      </c>
      <c r="Q1703" s="82">
        <f>IFERROR(__xludf.DUMMYFUNCTION("""COMPUTED_VALUE"""),0.2916666666666667)</f>
        <v>0.2916666667</v>
      </c>
      <c r="R1703" s="82">
        <f>IFERROR(__xludf.DUMMYFUNCTION("""COMPUTED_VALUE"""),1.5)</f>
        <v>1.5</v>
      </c>
      <c r="S1703" s="82">
        <f>IFERROR(__xludf.DUMMYFUNCTION("""COMPUTED_VALUE"""),1.816666666666666)</f>
        <v>1.816666667</v>
      </c>
      <c r="T1703" s="82">
        <f>IFERROR(__xludf.DUMMYFUNCTION("""COMPUTED_VALUE"""),328.7702700981817)</f>
        <v>328.7702701</v>
      </c>
      <c r="U1703" s="82">
        <f>IFERROR(__xludf.DUMMYFUNCTION("""COMPUTED_VALUE"""),0.7029162339428726)</f>
        <v>0.7029162339</v>
      </c>
      <c r="V1703" s="82">
        <f>IFERROR(__xludf.DUMMYFUNCTION("""COMPUTED_VALUE"""),0.4924144850209994)</f>
        <v>0.492414485</v>
      </c>
      <c r="W1703" s="82">
        <f>IFERROR(__xludf.DUMMYFUNCTION("""COMPUTED_VALUE"""),1.3005162606903764)</f>
        <v>1.300516261</v>
      </c>
      <c r="X1703" s="82">
        <f>IFERROR(__xludf.DUMMYFUNCTION("""COMPUTED_VALUE"""),2.2716394836934124)</f>
        <v>2.271639484</v>
      </c>
      <c r="Y1703" s="82">
        <f>IFERROR(__xludf.DUMMYFUNCTION("""COMPUTED_VALUE"""),354.8358198590248)</f>
        <v>354.8358199</v>
      </c>
      <c r="Z1703" s="82">
        <f>IFERROR(__xludf.DUMMYFUNCTION("""COMPUTED_VALUE"""),0.8564813097129026)</f>
        <v>0.8564813097</v>
      </c>
      <c r="AA1703" s="82">
        <f>IFERROR(__xludf.DUMMYFUNCTION("""COMPUTED_VALUE"""),0.624117932951437)</f>
        <v>0.624117933</v>
      </c>
      <c r="AB1703" s="82">
        <f>IFERROR(__xludf.DUMMYFUNCTION("""COMPUTED_VALUE"""),1.2003649246397907)</f>
        <v>1.200364925</v>
      </c>
      <c r="AC1703" s="82">
        <f>IFERROR(__xludf.DUMMYFUNCTION("""COMPUTED_VALUE"""),2.6342715561424974)</f>
        <v>2.634271556</v>
      </c>
      <c r="AD1703" s="82">
        <f>IFERROR(__xludf.DUMMYFUNCTION("""COMPUTED_VALUE"""),1.1403865600738003)</f>
        <v>1.14038656</v>
      </c>
      <c r="AE1703" s="82">
        <f>IFERROR(__xludf.DUMMYFUNCTION("""COMPUTED_VALUE"""),1.4010813620699403)</f>
        <v>1.401081362</v>
      </c>
      <c r="AF1703" s="82">
        <f>IFERROR(__xludf.DUMMYFUNCTION("""COMPUTED_VALUE"""),1.2417524943323544)</f>
        <v>1.241752494</v>
      </c>
      <c r="AG1703" s="82">
        <f>IFERROR(__xludf.DUMMYFUNCTION("""COMPUTED_VALUE"""),0.749771991438416)</f>
        <v>0.7497719914</v>
      </c>
      <c r="AH1703" s="82">
        <f>IFERROR(__xludf.DUMMYFUNCTION("""COMPUTED_VALUE"""),1.3286405465066153)</f>
        <v>1.328640547</v>
      </c>
      <c r="AI1703" s="82">
        <f>IFERROR(__xludf.DUMMYFUNCTION("""COMPUTED_VALUE"""),0.9291695786304089)</f>
        <v>0.9291695786</v>
      </c>
      <c r="AJ1703" s="82">
        <f>IFERROR(__xludf.DUMMYFUNCTION("""COMPUTED_VALUE"""),0.6757561954937067)</f>
        <v>0.6757561955</v>
      </c>
      <c r="AK1703" s="82">
        <f>IFERROR(__xludf.DUMMYFUNCTION("""COMPUTED_VALUE"""),0.5923194291374844)</f>
        <v>0.5923194291</v>
      </c>
      <c r="AL1703" s="82">
        <f>IFERROR(__xludf.DUMMYFUNCTION("""COMPUTED_VALUE"""),1.1533881161960466)</f>
        <v>1.153388116</v>
      </c>
      <c r="AM1703" s="82">
        <f>IFERROR(__xludf.DUMMYFUNCTION("""COMPUTED_VALUE"""),0.7997160991906095)</f>
        <v>0.7997160992</v>
      </c>
      <c r="AN1703" s="82">
        <f>IFERROR(__xludf.DUMMYFUNCTION("""COMPUTED_VALUE"""),1.193387482137021)</f>
        <v>1.193387482</v>
      </c>
      <c r="AO1703" s="82">
        <f>IFERROR(__xludf.DUMMYFUNCTION("""COMPUTED_VALUE"""),1.6134671239583611)</f>
        <v>1.613467124</v>
      </c>
      <c r="AP1703" s="82">
        <f>IFERROR(__xludf.DUMMYFUNCTION("""COMPUTED_VALUE"""),1.41993880036323)</f>
        <v>1.4199388</v>
      </c>
      <c r="AQ1703" s="82">
        <f>IFERROR(__xludf.DUMMYFUNCTION("""COMPUTED_VALUE"""),0.6881530653266436)</f>
        <v>0.6881530653</v>
      </c>
      <c r="AR1703" s="82">
        <f>IFERROR(__xludf.DUMMYFUNCTION("""COMPUTED_VALUE"""),1.399049376069374)</f>
        <v>1.399049376</v>
      </c>
      <c r="AS1703" s="82">
        <f>IFERROR(__xludf.DUMMYFUNCTION("""COMPUTED_VALUE"""),133.0)</f>
        <v>133</v>
      </c>
      <c r="AT1703" s="82">
        <f>IFERROR(__xludf.DUMMYFUNCTION("""COMPUTED_VALUE"""),0.7900282140098079)</f>
        <v>0.790028214</v>
      </c>
      <c r="AU1703" s="82">
        <f>IFERROR(__xludf.DUMMYFUNCTION("""COMPUTED_VALUE"""),4.225748558692703)</f>
        <v>4.225748559</v>
      </c>
      <c r="AV1703" s="82">
        <f>IFERROR(__xludf.DUMMYFUNCTION("""COMPUTED_VALUE"""),100.17078822355852)</f>
        <v>100.1707882</v>
      </c>
      <c r="AW1703" s="82">
        <f t="shared" si="1"/>
        <v>44.67516238</v>
      </c>
      <c r="AX1703" s="83">
        <f t="array" ref="AX1703">IFERROR(DGET('SBV Import'!A:G,"SBV",{"RSC ID","Tier";B1703,A1703}))</f>
        <v>86.21152565</v>
      </c>
      <c r="AY1703" s="82">
        <f t="shared" si="2"/>
        <v>13.5604107</v>
      </c>
      <c r="AZ1703" s="82">
        <v>31.114751675407128</v>
      </c>
      <c r="BA1703" s="84">
        <v>1700.0</v>
      </c>
      <c r="BB1703" s="84" t="b">
        <f>IFERROR(__xludf.DUMMYFUNCTION("iferror(if(A1703="""",,E1703&gt;=FILTER(Constants!$F$2:$F$10,Constants!$A$2:$A$10=A1703)))"),TRUE)</f>
        <v>1</v>
      </c>
    </row>
    <row r="1704">
      <c r="A1704" s="89" t="str">
        <f>IFERROR(__xludf.DUMMYFUNCTION("""COMPUTED_VALUE"""),"Rival")</f>
        <v>Rival</v>
      </c>
      <c r="B1704" s="87" t="str">
        <f>IFERROR(__xludf.DUMMYFUNCTION("""COMPUTED_VALUE"""),"RSC002480")</f>
        <v>RSC002480</v>
      </c>
      <c r="C1704" s="73" t="str">
        <f>IFERROR(__xludf.DUMMYFUNCTION("""COMPUTED_VALUE"""),"blizzyy")</f>
        <v>blizzyy</v>
      </c>
      <c r="D1704" s="73" t="str">
        <f>IFERROR(__xludf.DUMMYFUNCTION("""COMPUTED_VALUE"""),"Iris")</f>
        <v>Iris</v>
      </c>
      <c r="E1704" s="82">
        <f>IFERROR(__xludf.DUMMYFUNCTION("""COMPUTED_VALUE"""),48.0)</f>
        <v>48</v>
      </c>
      <c r="F1704" s="82">
        <f>IFERROR(__xludf.DUMMYFUNCTION("""COMPUTED_VALUE"""),42.0)</f>
        <v>42</v>
      </c>
      <c r="G1704" s="86">
        <f>IFERROR(__xludf.DUMMYFUNCTION("""COMPUTED_VALUE"""),6.0)</f>
        <v>6</v>
      </c>
      <c r="H1704" s="86">
        <f>IFERROR(__xludf.DUMMYFUNCTION("""COMPUTED_VALUE"""),0.875)</f>
        <v>0.875</v>
      </c>
      <c r="I1704" s="86">
        <f>IFERROR(__xludf.DUMMYFUNCTION("""COMPUTED_VALUE"""),0.3308270676691729)</f>
        <v>0.3308270677</v>
      </c>
      <c r="J1704" s="82">
        <f>IFERROR(__xludf.DUMMYFUNCTION("""COMPUTED_VALUE"""),397.8125)</f>
        <v>397.8125</v>
      </c>
      <c r="K1704" s="82">
        <f>IFERROR(__xludf.DUMMYFUNCTION("""COMPUTED_VALUE"""),0.9166666666666666)</f>
        <v>0.9166666667</v>
      </c>
      <c r="L1704" s="82">
        <f>IFERROR(__xludf.DUMMYFUNCTION("""COMPUTED_VALUE"""),1.1458333333333333)</f>
        <v>1.145833333</v>
      </c>
      <c r="M1704" s="82">
        <f>IFERROR(__xludf.DUMMYFUNCTION("""COMPUTED_VALUE"""),1.2083333333333333)</f>
        <v>1.208333333</v>
      </c>
      <c r="N1704" s="82">
        <f>IFERROR(__xludf.DUMMYFUNCTION("""COMPUTED_VALUE"""),2.7708333333333335)</f>
        <v>2.770833333</v>
      </c>
      <c r="O1704" s="82">
        <f>IFERROR(__xludf.DUMMYFUNCTION("""COMPUTED_VALUE"""),301.5208333333332)</f>
        <v>301.5208333</v>
      </c>
      <c r="P1704" s="82">
        <f>IFERROR(__xludf.DUMMYFUNCTION("""COMPUTED_VALUE"""),0.46527777777777773)</f>
        <v>0.4652777778</v>
      </c>
      <c r="Q1704" s="82">
        <f>IFERROR(__xludf.DUMMYFUNCTION("""COMPUTED_VALUE"""),0.31250000000000006)</f>
        <v>0.3125</v>
      </c>
      <c r="R1704" s="82">
        <f>IFERROR(__xludf.DUMMYFUNCTION("""COMPUTED_VALUE"""),1.458333333333334)</f>
        <v>1.458333333</v>
      </c>
      <c r="S1704" s="82">
        <f>IFERROR(__xludf.DUMMYFUNCTION("""COMPUTED_VALUE"""),1.9027777777777783)</f>
        <v>1.902777778</v>
      </c>
      <c r="T1704" s="82">
        <f>IFERROR(__xludf.DUMMYFUNCTION("""COMPUTED_VALUE"""),333.59065032873417)</f>
        <v>333.5906503</v>
      </c>
      <c r="U1704" s="82">
        <f>IFERROR(__xludf.DUMMYFUNCTION("""COMPUTED_VALUE"""),0.724502841351021)</f>
        <v>0.7245028414</v>
      </c>
      <c r="V1704" s="82">
        <f>IFERROR(__xludf.DUMMYFUNCTION("""COMPUTED_VALUE"""),0.5057712479641482)</f>
        <v>0.505771248</v>
      </c>
      <c r="W1704" s="82">
        <f>IFERROR(__xludf.DUMMYFUNCTION("""COMPUTED_VALUE"""),1.3145191417746462)</f>
        <v>1.314519142</v>
      </c>
      <c r="X1704" s="82">
        <f>IFERROR(__xludf.DUMMYFUNCTION("""COMPUTED_VALUE"""),2.356772266327012)</f>
        <v>2.356772266</v>
      </c>
      <c r="Y1704" s="82">
        <f>IFERROR(__xludf.DUMMYFUNCTION("""COMPUTED_VALUE"""),353.1139091973402)</f>
        <v>353.1139092</v>
      </c>
      <c r="Z1704" s="82">
        <f>IFERROR(__xludf.DUMMYFUNCTION("""COMPUTED_VALUE"""),0.8411773463403206)</f>
        <v>0.8411773463</v>
      </c>
      <c r="AA1704" s="82">
        <f>IFERROR(__xludf.DUMMYFUNCTION("""COMPUTED_VALUE"""),0.6084476549533452)</f>
        <v>0.608447655</v>
      </c>
      <c r="AB1704" s="82">
        <f>IFERROR(__xludf.DUMMYFUNCTION("""COMPUTED_VALUE"""),1.2375198541066388)</f>
        <v>1.237519854</v>
      </c>
      <c r="AC1704" s="82">
        <f>IFERROR(__xludf.DUMMYFUNCTION("""COMPUTED_VALUE"""),2.626561978596092)</f>
        <v>2.626561979</v>
      </c>
      <c r="AD1704" s="82">
        <f>IFERROR(__xludf.DUMMYFUNCTION("""COMPUTED_VALUE"""),1.1265840558483344)</f>
        <v>1.126584056</v>
      </c>
      <c r="AE1704" s="82">
        <f>IFERROR(__xludf.DUMMYFUNCTION("""COMPUTED_VALUE"""),1.089742455208494)</f>
        <v>1.089742455</v>
      </c>
      <c r="AF1704" s="82">
        <f>IFERROR(__xludf.DUMMYFUNCTION("""COMPUTED_VALUE"""),1.8832077402306595)</f>
        <v>1.88320774</v>
      </c>
      <c r="AG1704" s="82">
        <f>IFERROR(__xludf.DUMMYFUNCTION("""COMPUTED_VALUE"""),0.9764153110946449)</f>
        <v>0.9764153111</v>
      </c>
      <c r="AH1704" s="82">
        <f>IFERROR(__xludf.DUMMYFUNCTION("""COMPUTED_VALUE"""),1.054927831862683)</f>
        <v>1.054927832</v>
      </c>
      <c r="AI1704" s="82">
        <f>IFERROR(__xludf.DUMMYFUNCTION("""COMPUTED_VALUE"""),0.9038647607065785)</f>
        <v>0.9038647607</v>
      </c>
      <c r="AJ1704" s="82">
        <f>IFERROR(__xludf.DUMMYFUNCTION("""COMPUTED_VALUE"""),0.6422028337530715)</f>
        <v>0.6422028338</v>
      </c>
      <c r="AK1704" s="82">
        <f>IFERROR(__xludf.DUMMYFUNCTION("""COMPUTED_VALUE"""),0.6178682581461249)</f>
        <v>0.6178682581</v>
      </c>
      <c r="AL1704" s="82">
        <f>IFERROR(__xludf.DUMMYFUNCTION("""COMPUTED_VALUE"""),1.1094044103188436)</f>
        <v>1.10940441</v>
      </c>
      <c r="AM1704" s="82">
        <f>IFERROR(__xludf.DUMMYFUNCTION("""COMPUTED_VALUE"""),0.8073659915996992)</f>
        <v>0.8073659916</v>
      </c>
      <c r="AN1704" s="82">
        <f>IFERROR(__xludf.DUMMYFUNCTION("""COMPUTED_VALUE"""),1.1732224335540187)</f>
        <v>1.173222434</v>
      </c>
      <c r="AO1704" s="82">
        <f>IFERROR(__xludf.DUMMYFUNCTION("""COMPUTED_VALUE"""),1.2325096085793037)</f>
        <v>1.232509609</v>
      </c>
      <c r="AP1704" s="82">
        <f>IFERROR(__xludf.DUMMYFUNCTION("""COMPUTED_VALUE"""),2.0993718822574636)</f>
        <v>2.099371882</v>
      </c>
      <c r="AQ1704" s="82">
        <f>IFERROR(__xludf.DUMMYFUNCTION("""COMPUTED_VALUE"""),0.923909208077438)</f>
        <v>0.9239092081</v>
      </c>
      <c r="AR1704" s="82">
        <f>IFERROR(__xludf.DUMMYFUNCTION("""COMPUTED_VALUE"""),1.1075807560549211)</f>
        <v>1.107580756</v>
      </c>
      <c r="AS1704" s="82">
        <f>IFERROR(__xludf.DUMMYFUNCTION("""COMPUTED_VALUE"""),164.0)</f>
        <v>164</v>
      </c>
      <c r="AT1704" s="82">
        <f>IFERROR(__xludf.DUMMYFUNCTION("""COMPUTED_VALUE"""),0.8030126818779361)</f>
        <v>0.8030126819</v>
      </c>
      <c r="AU1704" s="82">
        <f>IFERROR(__xludf.DUMMYFUNCTION("""COMPUTED_VALUE"""),4.068986232575617)</f>
        <v>4.068986233</v>
      </c>
      <c r="AV1704" s="82">
        <f>IFERROR(__xludf.DUMMYFUNCTION("""COMPUTED_VALUE"""),95.68268675944354)</f>
        <v>95.68268676</v>
      </c>
      <c r="AW1704" s="82">
        <f t="shared" si="1"/>
        <v>29.56237953</v>
      </c>
      <c r="AX1704" s="83">
        <f t="array" ref="AX1704">IFERROR(DGET('SBV Import'!A:G,"SBV",{"RSC ID","Tier";B1704,A1704}))</f>
        <v>82.5855374</v>
      </c>
      <c r="AY1704" s="82">
        <f t="shared" si="2"/>
        <v>10.3933411</v>
      </c>
      <c r="AZ1704" s="82">
        <v>19.169038422955158</v>
      </c>
      <c r="BA1704" s="84">
        <v>1700.0</v>
      </c>
      <c r="BB1704" s="84" t="b">
        <f>IFERROR(__xludf.DUMMYFUNCTION("iferror(if(A1704="""",,E1704&gt;=FILTER(Constants!$F$2:$F$10,Constants!$A$2:$A$10=A1704)))"),TRUE)</f>
        <v>1</v>
      </c>
    </row>
    <row r="1705">
      <c r="A1705" s="89" t="str">
        <f>IFERROR(__xludf.DUMMYFUNCTION("""COMPUTED_VALUE"""),"Rival")</f>
        <v>Rival</v>
      </c>
      <c r="B1705" s="87" t="str">
        <f>IFERROR(__xludf.DUMMYFUNCTION("""COMPUTED_VALUE"""),"RSC006581")</f>
        <v>RSC006581</v>
      </c>
      <c r="C1705" s="73" t="str">
        <f>IFERROR(__xludf.DUMMYFUNCTION("""COMPUTED_VALUE"""),"Light_Wigglebean")</f>
        <v>Light_Wigglebean</v>
      </c>
      <c r="D1705" s="73" t="str">
        <f>IFERROR(__xludf.DUMMYFUNCTION("""COMPUTED_VALUE"""),"Mining Legion")</f>
        <v>Mining Legion</v>
      </c>
      <c r="E1705" s="82">
        <f>IFERROR(__xludf.DUMMYFUNCTION("""COMPUTED_VALUE"""),46.0)</f>
        <v>46</v>
      </c>
      <c r="F1705" s="82">
        <f>IFERROR(__xludf.DUMMYFUNCTION("""COMPUTED_VALUE"""),31.0)</f>
        <v>31</v>
      </c>
      <c r="G1705" s="86">
        <f>IFERROR(__xludf.DUMMYFUNCTION("""COMPUTED_VALUE"""),15.0)</f>
        <v>15</v>
      </c>
      <c r="H1705" s="86">
        <f>IFERROR(__xludf.DUMMYFUNCTION("""COMPUTED_VALUE"""),0.6739130434782609)</f>
        <v>0.6739130435</v>
      </c>
      <c r="I1705" s="86">
        <f>IFERROR(__xludf.DUMMYFUNCTION("""COMPUTED_VALUE"""),0.3125)</f>
        <v>0.3125</v>
      </c>
      <c r="J1705" s="82">
        <f>IFERROR(__xludf.DUMMYFUNCTION("""COMPUTED_VALUE"""),388.54347826086956)</f>
        <v>388.5434783</v>
      </c>
      <c r="K1705" s="82">
        <f>IFERROR(__xludf.DUMMYFUNCTION("""COMPUTED_VALUE"""),1.0869565217391304)</f>
        <v>1.086956522</v>
      </c>
      <c r="L1705" s="82">
        <f>IFERROR(__xludf.DUMMYFUNCTION("""COMPUTED_VALUE"""),0.8043478260869565)</f>
        <v>0.8043478261</v>
      </c>
      <c r="M1705" s="82">
        <f>IFERROR(__xludf.DUMMYFUNCTION("""COMPUTED_VALUE"""),0.8260869565217391)</f>
        <v>0.8260869565</v>
      </c>
      <c r="N1705" s="82">
        <f>IFERROR(__xludf.DUMMYFUNCTION("""COMPUTED_VALUE"""),3.4782608695652173)</f>
        <v>3.47826087</v>
      </c>
      <c r="O1705" s="82">
        <f>IFERROR(__xludf.DUMMYFUNCTION("""COMPUTED_VALUE"""),320.3333333333333)</f>
        <v>320.3333333</v>
      </c>
      <c r="P1705" s="82">
        <f>IFERROR(__xludf.DUMMYFUNCTION("""COMPUTED_VALUE"""),0.6086956521739131)</f>
        <v>0.6086956522</v>
      </c>
      <c r="Q1705" s="82">
        <f>IFERROR(__xludf.DUMMYFUNCTION("""COMPUTED_VALUE"""),0.42028985507246375)</f>
        <v>0.4202898551</v>
      </c>
      <c r="R1705" s="82">
        <f>IFERROR(__xludf.DUMMYFUNCTION("""COMPUTED_VALUE"""),1.3985507246376812)</f>
        <v>1.398550725</v>
      </c>
      <c r="S1705" s="82">
        <f>IFERROR(__xludf.DUMMYFUNCTION("""COMPUTED_VALUE"""),2.195652173913044)</f>
        <v>2.195652174</v>
      </c>
      <c r="T1705" s="82">
        <f>IFERROR(__xludf.DUMMYFUNCTION("""COMPUTED_VALUE"""),341.37846022841836)</f>
        <v>341.3784602</v>
      </c>
      <c r="U1705" s="82">
        <f>IFERROR(__xludf.DUMMYFUNCTION("""COMPUTED_VALUE"""),0.7517812082664201)</f>
        <v>0.7517812083</v>
      </c>
      <c r="V1705" s="82">
        <f>IFERROR(__xludf.DUMMYFUNCTION("""COMPUTED_VALUE"""),0.5280631274269484)</f>
        <v>0.5280631274</v>
      </c>
      <c r="W1705" s="82">
        <f>IFERROR(__xludf.DUMMYFUNCTION("""COMPUTED_VALUE"""),1.2909266328309348)</f>
        <v>1.290926633</v>
      </c>
      <c r="X1705" s="82">
        <f>IFERROR(__xludf.DUMMYFUNCTION("""COMPUTED_VALUE"""),2.474924669603219)</f>
        <v>2.47492467</v>
      </c>
      <c r="Y1705" s="82">
        <f>IFERROR(__xludf.DUMMYFUNCTION("""COMPUTED_VALUE"""),346.8908798478698)</f>
        <v>346.8908798</v>
      </c>
      <c r="Z1705" s="82">
        <f>IFERROR(__xludf.DUMMYFUNCTION("""COMPUTED_VALUE"""),0.8002584900260807)</f>
        <v>0.80025849</v>
      </c>
      <c r="AA1705" s="82">
        <f>IFERROR(__xludf.DUMMYFUNCTION("""COMPUTED_VALUE"""),0.5710786371289939)</f>
        <v>0.5710786371</v>
      </c>
      <c r="AB1705" s="82">
        <f>IFERROR(__xludf.DUMMYFUNCTION("""COMPUTED_VALUE"""),1.268239785725798)</f>
        <v>1.268239786</v>
      </c>
      <c r="AC1705" s="82">
        <f>IFERROR(__xludf.DUMMYFUNCTION("""COMPUTED_VALUE"""),2.5548269456375987)</f>
        <v>2.554826946</v>
      </c>
      <c r="AD1705" s="82">
        <f>IFERROR(__xludf.DUMMYFUNCTION("""COMPUTED_VALUE"""),1.120074066032715)</f>
        <v>1.120074066</v>
      </c>
      <c r="AE1705" s="82">
        <f>IFERROR(__xludf.DUMMYFUNCTION("""COMPUTED_VALUE"""),1.3582567823850342)</f>
        <v>1.358256782</v>
      </c>
      <c r="AF1705" s="82">
        <f>IFERROR(__xludf.DUMMYFUNCTION("""COMPUTED_VALUE"""),1.4084712223358347)</f>
        <v>1.408471222</v>
      </c>
      <c r="AG1705" s="82">
        <f>IFERROR(__xludf.DUMMYFUNCTION("""COMPUTED_VALUE"""),0.6513649593865877)</f>
        <v>0.6513649594</v>
      </c>
      <c r="AH1705" s="82">
        <f>IFERROR(__xludf.DUMMYFUNCTION("""COMPUTED_VALUE"""),1.3614467608087484)</f>
        <v>1.361446761</v>
      </c>
      <c r="AI1705" s="82">
        <f>IFERROR(__xludf.DUMMYFUNCTION("""COMPUTED_VALUE"""),0.938352505073098)</f>
        <v>0.9383525051</v>
      </c>
      <c r="AJ1705" s="82">
        <f>IFERROR(__xludf.DUMMYFUNCTION("""COMPUTED_VALUE"""),0.8096712786656943)</f>
        <v>0.8096712787</v>
      </c>
      <c r="AK1705" s="82">
        <f>IFERROR(__xludf.DUMMYFUNCTION("""COMPUTED_VALUE"""),0.7959083549733477)</f>
        <v>0.795908355</v>
      </c>
      <c r="AL1705" s="82">
        <f>IFERROR(__xludf.DUMMYFUNCTION("""COMPUTED_VALUE"""),1.0833696424487984)</f>
        <v>1.083369642</v>
      </c>
      <c r="AM1705" s="82">
        <f>IFERROR(__xludf.DUMMYFUNCTION("""COMPUTED_VALUE"""),0.8871591935220604)</f>
        <v>0.8871591935</v>
      </c>
      <c r="AN1705" s="82">
        <f>IFERROR(__xludf.DUMMYFUNCTION("""COMPUTED_VALUE"""),1.1458863789015186)</f>
        <v>1.145886379</v>
      </c>
      <c r="AO1705" s="82">
        <f>IFERROR(__xludf.DUMMYFUNCTION("""COMPUTED_VALUE"""),1.4614738441651822)</f>
        <v>1.461473844</v>
      </c>
      <c r="AP1705" s="82">
        <f>IFERROR(__xludf.DUMMYFUNCTION("""COMPUTED_VALUE"""),1.4737092738692712)</f>
        <v>1.473709274</v>
      </c>
      <c r="AQ1705" s="82">
        <f>IFERROR(__xludf.DUMMYFUNCTION("""COMPUTED_VALUE"""),0.631638079285325)</f>
        <v>0.6316380793</v>
      </c>
      <c r="AR1705" s="82">
        <f>IFERROR(__xludf.DUMMYFUNCTION("""COMPUTED_VALUE"""),1.3903596283919244)</f>
        <v>1.390359628</v>
      </c>
      <c r="AS1705" s="82">
        <f>IFERROR(__xludf.DUMMYFUNCTION("""COMPUTED_VALUE"""),124.0)</f>
        <v>124</v>
      </c>
      <c r="AT1705" s="82">
        <f>IFERROR(__xludf.DUMMYFUNCTION("""COMPUTED_VALUE"""),0.6457794967349091)</f>
        <v>0.6457794967</v>
      </c>
      <c r="AU1705" s="82">
        <f>IFERROR(__xludf.DUMMYFUNCTION("""COMPUTED_VALUE"""),4.023757753634338)</f>
        <v>4.023757754</v>
      </c>
      <c r="AV1705" s="82">
        <f>IFERROR(__xludf.DUMMYFUNCTION("""COMPUTED_VALUE"""),94.3877965419787)</f>
        <v>94.38779654</v>
      </c>
      <c r="AW1705" s="82">
        <f t="shared" si="1"/>
        <v>26.38055765</v>
      </c>
      <c r="AX1705" s="83">
        <f t="array" ref="AX1705">IFERROR(DGET('SBV Import'!A:G,"SBV",{"RSC ID","Tier";B1705,A1705}))</f>
        <v>82.83373581</v>
      </c>
      <c r="AY1705" s="82">
        <f t="shared" si="2"/>
        <v>10.57835972</v>
      </c>
      <c r="AZ1705" s="82">
        <v>15.802197924991365</v>
      </c>
      <c r="BA1705" s="84">
        <v>1700.0</v>
      </c>
      <c r="BB1705" s="84" t="b">
        <f>IFERROR(__xludf.DUMMYFUNCTION("iferror(if(A1705="""",,E1705&gt;=FILTER(Constants!$F$2:$F$10,Constants!$A$2:$A$10=A1705)))"),TRUE)</f>
        <v>1</v>
      </c>
    </row>
    <row r="1706">
      <c r="A1706" s="89" t="str">
        <f>IFERROR(__xludf.DUMMYFUNCTION("""COMPUTED_VALUE"""),"Rival")</f>
        <v>Rival</v>
      </c>
      <c r="B1706" s="87" t="str">
        <f>IFERROR(__xludf.DUMMYFUNCTION("""COMPUTED_VALUE"""),"RSC007920")</f>
        <v>RSC007920</v>
      </c>
      <c r="C1706" s="73" t="str">
        <f>IFERROR(__xludf.DUMMYFUNCTION("""COMPUTED_VALUE"""),"EKA Luminousity")</f>
        <v>EKA Luminousity</v>
      </c>
      <c r="D1706" s="73" t="str">
        <f>IFERROR(__xludf.DUMMYFUNCTION("""COMPUTED_VALUE"""),"Bulldozers")</f>
        <v>Bulldozers</v>
      </c>
      <c r="E1706" s="82">
        <f>IFERROR(__xludf.DUMMYFUNCTION("""COMPUTED_VALUE"""),43.0)</f>
        <v>43</v>
      </c>
      <c r="F1706" s="82">
        <f>IFERROR(__xludf.DUMMYFUNCTION("""COMPUTED_VALUE"""),33.0)</f>
        <v>33</v>
      </c>
      <c r="G1706" s="86">
        <f>IFERROR(__xludf.DUMMYFUNCTION("""COMPUTED_VALUE"""),10.0)</f>
        <v>10</v>
      </c>
      <c r="H1706" s="86">
        <f>IFERROR(__xludf.DUMMYFUNCTION("""COMPUTED_VALUE"""),0.7674418604651163)</f>
        <v>0.7674418605</v>
      </c>
      <c r="I1706" s="86">
        <f>IFERROR(__xludf.DUMMYFUNCTION("""COMPUTED_VALUE"""),0.3548387096774194)</f>
        <v>0.3548387097</v>
      </c>
      <c r="J1706" s="82">
        <f>IFERROR(__xludf.DUMMYFUNCTION("""COMPUTED_VALUE"""),452.5813953488372)</f>
        <v>452.5813953</v>
      </c>
      <c r="K1706" s="82">
        <f>IFERROR(__xludf.DUMMYFUNCTION("""COMPUTED_VALUE"""),1.2790697674418605)</f>
        <v>1.279069767</v>
      </c>
      <c r="L1706" s="82">
        <f>IFERROR(__xludf.DUMMYFUNCTION("""COMPUTED_VALUE"""),0.5348837209302325)</f>
        <v>0.5348837209</v>
      </c>
      <c r="M1706" s="82">
        <f>IFERROR(__xludf.DUMMYFUNCTION("""COMPUTED_VALUE"""),1.813953488372093)</f>
        <v>1.813953488</v>
      </c>
      <c r="N1706" s="82">
        <f>IFERROR(__xludf.DUMMYFUNCTION("""COMPUTED_VALUE"""),3.604651162790698)</f>
        <v>3.604651163</v>
      </c>
      <c r="O1706" s="82">
        <f>IFERROR(__xludf.DUMMYFUNCTION("""COMPUTED_VALUE"""),329.9457364341086)</f>
        <v>329.9457364</v>
      </c>
      <c r="P1706" s="82">
        <f>IFERROR(__xludf.DUMMYFUNCTION("""COMPUTED_VALUE"""),0.6434108527131781)</f>
        <v>0.6434108527</v>
      </c>
      <c r="Q1706" s="82">
        <f>IFERROR(__xludf.DUMMYFUNCTION("""COMPUTED_VALUE"""),0.4806201550387597)</f>
        <v>0.480620155</v>
      </c>
      <c r="R1706" s="82">
        <f>IFERROR(__xludf.DUMMYFUNCTION("""COMPUTED_VALUE"""),1.4186046511627908)</f>
        <v>1.418604651</v>
      </c>
      <c r="S1706" s="82">
        <f>IFERROR(__xludf.DUMMYFUNCTION("""COMPUTED_VALUE"""),2.65891472868217)</f>
        <v>2.658914729</v>
      </c>
      <c r="T1706" s="82">
        <f>IFERROR(__xludf.DUMMYFUNCTION("""COMPUTED_VALUE"""),339.39460747546013)</f>
        <v>339.3946075</v>
      </c>
      <c r="U1706" s="82">
        <f>IFERROR(__xludf.DUMMYFUNCTION("""COMPUTED_VALUE"""),0.7386028967513455)</f>
        <v>0.7386028968</v>
      </c>
      <c r="V1706" s="82">
        <f>IFERROR(__xludf.DUMMYFUNCTION("""COMPUTED_VALUE"""),0.5233906450436241)</f>
        <v>0.523390645</v>
      </c>
      <c r="W1706" s="82">
        <f>IFERROR(__xludf.DUMMYFUNCTION("""COMPUTED_VALUE"""),1.3145454702249872)</f>
        <v>1.31454547</v>
      </c>
      <c r="X1706" s="82">
        <f>IFERROR(__xludf.DUMMYFUNCTION("""COMPUTED_VALUE"""),2.499589230493229)</f>
        <v>2.49958923</v>
      </c>
      <c r="Y1706" s="82">
        <f>IFERROR(__xludf.DUMMYFUNCTION("""COMPUTED_VALUE"""),359.23777555125554)</f>
        <v>359.2377756</v>
      </c>
      <c r="Z1706" s="82">
        <f>IFERROR(__xludf.DUMMYFUNCTION("""COMPUTED_VALUE"""),0.846245386522531)</f>
        <v>0.8462453865</v>
      </c>
      <c r="AA1706" s="82">
        <f>IFERROR(__xludf.DUMMYFUNCTION("""COMPUTED_VALUE"""),0.6167776106448861)</f>
        <v>0.6167776106</v>
      </c>
      <c r="AB1706" s="82">
        <f>IFERROR(__xludf.DUMMYFUNCTION("""COMPUTED_VALUE"""),1.316602853611817)</f>
        <v>1.316602854</v>
      </c>
      <c r="AC1706" s="82">
        <f>IFERROR(__xludf.DUMMYFUNCTION("""COMPUTED_VALUE"""),2.6585640339019294)</f>
        <v>2.658564034</v>
      </c>
      <c r="AD1706" s="82">
        <f>IFERROR(__xludf.DUMMYFUNCTION("""COMPUTED_VALUE"""),1.2598379851738712)</f>
        <v>1.259837985</v>
      </c>
      <c r="AE1706" s="82">
        <f>IFERROR(__xludf.DUMMYFUNCTION("""COMPUTED_VALUE"""),1.5114643906041616)</f>
        <v>1.511464391</v>
      </c>
      <c r="AF1706" s="82">
        <f>IFERROR(__xludf.DUMMYFUNCTION("""COMPUTED_VALUE"""),0.8672229855603423)</f>
        <v>0.8672229856</v>
      </c>
      <c r="AG1706" s="82">
        <f>IFERROR(__xludf.DUMMYFUNCTION("""COMPUTED_VALUE"""),1.3777529673400761)</f>
        <v>1.377752967</v>
      </c>
      <c r="AH1706" s="82">
        <f>IFERROR(__xludf.DUMMYFUNCTION("""COMPUTED_VALUE"""),1.3558639614559942)</f>
        <v>1.355863961</v>
      </c>
      <c r="AI1706" s="82">
        <f>IFERROR(__xludf.DUMMYFUNCTION("""COMPUTED_VALUE"""),0.9721596311985164)</f>
        <v>0.9721596312</v>
      </c>
      <c r="AJ1706" s="82">
        <f>IFERROR(__xludf.DUMMYFUNCTION("""COMPUTED_VALUE"""),0.8711187778211297)</f>
        <v>0.8711187778</v>
      </c>
      <c r="AK1706" s="82">
        <f>IFERROR(__xludf.DUMMYFUNCTION("""COMPUTED_VALUE"""),0.9182818982152432)</f>
        <v>0.9182818982</v>
      </c>
      <c r="AL1706" s="82">
        <f>IFERROR(__xludf.DUMMYFUNCTION("""COMPUTED_VALUE"""),1.0791598185797207)</f>
        <v>1.079159819</v>
      </c>
      <c r="AM1706" s="82">
        <f>IFERROR(__xludf.DUMMYFUNCTION("""COMPUTED_VALUE"""),1.063740672365396)</f>
        <v>1.063740672</v>
      </c>
      <c r="AN1706" s="82">
        <f>IFERROR(__xludf.DUMMYFUNCTION("""COMPUTED_VALUE"""),1.3347460073085593)</f>
        <v>1.334746007</v>
      </c>
      <c r="AO1706" s="82">
        <f>IFERROR(__xludf.DUMMYFUNCTION("""COMPUTED_VALUE"""),1.7197808491804238)</f>
        <v>1.719780849</v>
      </c>
      <c r="AP1706" s="82">
        <f>IFERROR(__xludf.DUMMYFUNCTION("""COMPUTED_VALUE"""),0.9800027729438646)</f>
        <v>0.9800027729</v>
      </c>
      <c r="AQ1706" s="82">
        <f>IFERROR(__xludf.DUMMYFUNCTION("""COMPUTED_VALUE"""),1.386975170425793)</f>
        <v>1.38697517</v>
      </c>
      <c r="AR1706" s="82">
        <f>IFERROR(__xludf.DUMMYFUNCTION("""COMPUTED_VALUE"""),1.4408814172143056)</f>
        <v>1.440881417</v>
      </c>
      <c r="AS1706" s="82">
        <f>IFERROR(__xludf.DUMMYFUNCTION("""COMPUTED_VALUE"""),133.0)</f>
        <v>133</v>
      </c>
      <c r="AT1706" s="82">
        <f>IFERROR(__xludf.DUMMYFUNCTION("""COMPUTED_VALUE"""),0.6790323929237566)</f>
        <v>0.6790323929</v>
      </c>
      <c r="AU1706" s="82">
        <f>IFERROR(__xludf.DUMMYFUNCTION("""COMPUTED_VALUE"""),3.953453850658307)</f>
        <v>3.953453851</v>
      </c>
      <c r="AV1706" s="82">
        <f>IFERROR(__xludf.DUMMYFUNCTION("""COMPUTED_VALUE"""),92.37499756345338)</f>
        <v>92.37499756</v>
      </c>
      <c r="AW1706" s="82">
        <f t="shared" si="1"/>
        <v>22.20361084</v>
      </c>
      <c r="AX1706" s="83">
        <f t="array" ref="AX1706">IFERROR(DGET('SBV Import'!A:G,"SBV",{"RSC ID","Tier";B1706,A1706}))</f>
        <v>73.23103462</v>
      </c>
      <c r="AY1706" s="82">
        <f t="shared" si="2"/>
        <v>5.669512691</v>
      </c>
      <c r="AZ1706" s="82">
        <v>16.53409815092279</v>
      </c>
      <c r="BA1706" s="84">
        <v>1700.0</v>
      </c>
      <c r="BB1706" s="84" t="b">
        <f>IFERROR(__xludf.DUMMYFUNCTION("iferror(if(A1706="""",,E1706&gt;=FILTER(Constants!$F$2:$F$10,Constants!$A$2:$A$10=A1706)))"),TRUE)</f>
        <v>1</v>
      </c>
    </row>
    <row r="1707">
      <c r="A1707" s="89" t="str">
        <f>IFERROR(__xludf.DUMMYFUNCTION("""COMPUTED_VALUE"""),"Rival")</f>
        <v>Rival</v>
      </c>
      <c r="B1707" s="87" t="str">
        <f>IFERROR(__xludf.DUMMYFUNCTION("""COMPUTED_VALUE"""),"RSC006338")</f>
        <v>RSC006338</v>
      </c>
      <c r="C1707" s="73" t="str">
        <f>IFERROR(__xludf.DUMMYFUNCTION("""COMPUTED_VALUE"""),"mykul.457")</f>
        <v>mykul.457</v>
      </c>
      <c r="D1707" s="73"/>
      <c r="E1707" s="82">
        <f>IFERROR(__xludf.DUMMYFUNCTION("""COMPUTED_VALUE"""),2.0)</f>
        <v>2</v>
      </c>
      <c r="F1707" s="82">
        <f>IFERROR(__xludf.DUMMYFUNCTION("""COMPUTED_VALUE"""),1.0)</f>
        <v>1</v>
      </c>
      <c r="G1707" s="86">
        <f>IFERROR(__xludf.DUMMYFUNCTION("""COMPUTED_VALUE"""),1.0)</f>
        <v>1</v>
      </c>
      <c r="H1707" s="86">
        <f>IFERROR(__xludf.DUMMYFUNCTION("""COMPUTED_VALUE"""),0.5)</f>
        <v>0.5</v>
      </c>
      <c r="I1707" s="86">
        <f>IFERROR(__xludf.DUMMYFUNCTION("""COMPUTED_VALUE"""),0.2)</f>
        <v>0.2</v>
      </c>
      <c r="J1707" s="82">
        <f>IFERROR(__xludf.DUMMYFUNCTION("""COMPUTED_VALUE"""),376.0)</f>
        <v>376</v>
      </c>
      <c r="K1707" s="82">
        <f>IFERROR(__xludf.DUMMYFUNCTION("""COMPUTED_VALUE"""),0.5)</f>
        <v>0.5</v>
      </c>
      <c r="L1707" s="82">
        <f>IFERROR(__xludf.DUMMYFUNCTION("""COMPUTED_VALUE"""),1.5)</f>
        <v>1.5</v>
      </c>
      <c r="M1707" s="82">
        <f>IFERROR(__xludf.DUMMYFUNCTION("""COMPUTED_VALUE"""),1.0)</f>
        <v>1</v>
      </c>
      <c r="N1707" s="82">
        <f>IFERROR(__xludf.DUMMYFUNCTION("""COMPUTED_VALUE"""),2.5)</f>
        <v>2.5</v>
      </c>
      <c r="O1707" s="82">
        <f>IFERROR(__xludf.DUMMYFUNCTION("""COMPUTED_VALUE"""),253.66666666666666)</f>
        <v>253.6666667</v>
      </c>
      <c r="P1707" s="82">
        <f>IFERROR(__xludf.DUMMYFUNCTION("""COMPUTED_VALUE"""),0.16666666666666666)</f>
        <v>0.1666666667</v>
      </c>
      <c r="Q1707" s="82">
        <f>IFERROR(__xludf.DUMMYFUNCTION("""COMPUTED_VALUE"""),0.16666666666666666)</f>
        <v>0.1666666667</v>
      </c>
      <c r="R1707" s="82">
        <f>IFERROR(__xludf.DUMMYFUNCTION("""COMPUTED_VALUE"""),1.5)</f>
        <v>1.5</v>
      </c>
      <c r="S1707" s="82">
        <f>IFERROR(__xludf.DUMMYFUNCTION("""COMPUTED_VALUE"""),2.666666666666667)</f>
        <v>2.666666667</v>
      </c>
      <c r="T1707" s="82">
        <f>IFERROR(__xludf.DUMMYFUNCTION("""COMPUTED_VALUE"""),307.29298245614035)</f>
        <v>307.2929825</v>
      </c>
      <c r="U1707" s="82">
        <f>IFERROR(__xludf.DUMMYFUNCTION("""COMPUTED_VALUE"""),0.6538011695906433)</f>
        <v>0.6538011696</v>
      </c>
      <c r="V1707" s="82">
        <f>IFERROR(__xludf.DUMMYFUNCTION("""COMPUTED_VALUE"""),0.4538011695906432)</f>
        <v>0.4538011696</v>
      </c>
      <c r="W1707" s="82">
        <f>IFERROR(__xludf.DUMMYFUNCTION("""COMPUTED_VALUE"""),1.2140350877192982)</f>
        <v>1.214035088</v>
      </c>
      <c r="X1707" s="82">
        <f>IFERROR(__xludf.DUMMYFUNCTION("""COMPUTED_VALUE"""),2.350877192982456)</f>
        <v>2.350877193</v>
      </c>
      <c r="Y1707" s="82">
        <f>IFERROR(__xludf.DUMMYFUNCTION("""COMPUTED_VALUE"""),383.9467836257309)</f>
        <v>383.9467836</v>
      </c>
      <c r="Z1707" s="82">
        <f>IFERROR(__xludf.DUMMYFUNCTION("""COMPUTED_VALUE"""),0.9709551656920077)</f>
        <v>0.9709551657</v>
      </c>
      <c r="AA1707" s="82">
        <f>IFERROR(__xludf.DUMMYFUNCTION("""COMPUTED_VALUE"""),0.6532163742690059)</f>
        <v>0.6532163743</v>
      </c>
      <c r="AB1707" s="82">
        <f>IFERROR(__xludf.DUMMYFUNCTION("""COMPUTED_VALUE"""),1.3631578947368421)</f>
        <v>1.363157895</v>
      </c>
      <c r="AC1707" s="82">
        <f>IFERROR(__xludf.DUMMYFUNCTION("""COMPUTED_VALUE"""),2.915594541910331)</f>
        <v>2.915594542</v>
      </c>
      <c r="AD1707" s="82">
        <f>IFERROR(__xludf.DUMMYFUNCTION("""COMPUTED_VALUE"""),0.979302382609676)</f>
        <v>0.9793023826</v>
      </c>
      <c r="AE1707" s="82">
        <f>IFERROR(__xludf.DUMMYFUNCTION("""COMPUTED_VALUE"""),0.5149568359767116)</f>
        <v>0.514956836</v>
      </c>
      <c r="AF1707" s="82">
        <f>IFERROR(__xludf.DUMMYFUNCTION("""COMPUTED_VALUE"""),2.2963294538943595)</f>
        <v>2.296329454</v>
      </c>
      <c r="AG1707" s="82">
        <f>IFERROR(__xludf.DUMMYFUNCTION("""COMPUTED_VALUE"""),0.7335907335907336)</f>
        <v>0.7335907336</v>
      </c>
      <c r="AH1707" s="82">
        <f>IFERROR(__xludf.DUMMYFUNCTION("""COMPUTED_VALUE"""),0.8574580463996793)</f>
        <v>0.8574580464</v>
      </c>
      <c r="AI1707" s="82">
        <f>IFERROR(__xludf.DUMMYFUNCTION("""COMPUTED_VALUE"""),0.8254879907739913)</f>
        <v>0.8254879908</v>
      </c>
      <c r="AJ1707" s="82">
        <f>IFERROR(__xludf.DUMMYFUNCTION("""COMPUTED_VALUE"""),0.2549194991055456)</f>
        <v>0.2549194991</v>
      </c>
      <c r="AK1707" s="82">
        <f>IFERROR(__xludf.DUMMYFUNCTION("""COMPUTED_VALUE"""),0.36726804123711343)</f>
        <v>0.3672680412</v>
      </c>
      <c r="AL1707" s="82">
        <f>IFERROR(__xludf.DUMMYFUNCTION("""COMPUTED_VALUE"""),1.2355491329479769)</f>
        <v>1.235549133</v>
      </c>
      <c r="AM1707" s="82">
        <f>IFERROR(__xludf.DUMMYFUNCTION("""COMPUTED_VALUE"""),1.1343283582089554)</f>
        <v>1.134328358</v>
      </c>
      <c r="AN1707" s="82">
        <f>IFERROR(__xludf.DUMMYFUNCTION("""COMPUTED_VALUE"""),1.1088933480378598)</f>
        <v>1.108893348</v>
      </c>
      <c r="AO1707" s="82">
        <f>IFERROR(__xludf.DUMMYFUNCTION("""COMPUTED_VALUE"""),0.6722779683159839)</f>
        <v>0.6722779683</v>
      </c>
      <c r="AP1707" s="82">
        <f>IFERROR(__xludf.DUMMYFUNCTION("""COMPUTED_VALUE"""),2.748268645864316)</f>
        <v>2.748268646</v>
      </c>
      <c r="AQ1707" s="82">
        <f>IFERROR(__xludf.DUMMYFUNCTION("""COMPUTED_VALUE"""),0.7646145170296039)</f>
        <v>0.764614517</v>
      </c>
      <c r="AR1707" s="82">
        <f>IFERROR(__xludf.DUMMYFUNCTION("""COMPUTED_VALUE"""),0.9993209829066958)</f>
        <v>0.9993209829</v>
      </c>
      <c r="AS1707" s="82">
        <f>IFERROR(__xludf.DUMMYFUNCTION("""COMPUTED_VALUE"""),4.0)</f>
        <v>4</v>
      </c>
      <c r="AT1707" s="82">
        <f>IFERROR(__xludf.DUMMYFUNCTION("""COMPUTED_VALUE"""),0.8585482796624491)</f>
        <v>0.8585482797</v>
      </c>
      <c r="AU1707" s="82">
        <f>IFERROR(__xludf.DUMMYFUNCTION("""COMPUTED_VALUE"""),3.7244999494992035)</f>
        <v>3.724499949</v>
      </c>
      <c r="AV1707" s="82">
        <f>IFERROR(__xludf.DUMMYFUNCTION("""COMPUTED_VALUE"""),85.82005311691898)</f>
        <v>85.82005312</v>
      </c>
      <c r="AW1707" s="82">
        <f t="shared" si="1"/>
        <v>13.16530941</v>
      </c>
      <c r="AX1707" s="83">
        <f t="array" ref="AX1707">IFERROR(DGET('SBV Import'!A:G,"SBV",{"RSC ID","Tier";B1707,A1707}))</f>
        <v>66.88030958</v>
      </c>
      <c r="AY1707" s="82">
        <f t="shared" si="2"/>
        <v>4.003676655</v>
      </c>
      <c r="AZ1707" s="82">
        <v>9.16163275088563</v>
      </c>
      <c r="BA1707" s="84">
        <v>1700.0</v>
      </c>
      <c r="BB1707" s="84" t="b">
        <f>IFERROR(__xludf.DUMMYFUNCTION("iferror(if(A1707="""",,E1707&gt;=FILTER(Constants!$F$2:$F$10,Constants!$A$2:$A$10=A1707)))"),TRUE)</f>
        <v>1</v>
      </c>
    </row>
    <row r="1708">
      <c r="A1708" s="89" t="str">
        <f>IFERROR(__xludf.DUMMYFUNCTION("""COMPUTED_VALUE"""),"Rival")</f>
        <v>Rival</v>
      </c>
      <c r="B1708" s="87" t="str">
        <f>IFERROR(__xludf.DUMMYFUNCTION("""COMPUTED_VALUE"""),"RSC007930")</f>
        <v>RSC007930</v>
      </c>
      <c r="C1708" s="73" t="str">
        <f>IFERROR(__xludf.DUMMYFUNCTION("""COMPUTED_VALUE"""),"Ziffy")</f>
        <v>Ziffy</v>
      </c>
      <c r="D1708" s="73" t="str">
        <f>IFERROR(__xludf.DUMMYFUNCTION("""COMPUTED_VALUE"""),"50 Cent")</f>
        <v>50 Cent</v>
      </c>
      <c r="E1708" s="82">
        <f>IFERROR(__xludf.DUMMYFUNCTION("""COMPUTED_VALUE"""),37.0)</f>
        <v>37</v>
      </c>
      <c r="F1708" s="82">
        <f>IFERROR(__xludf.DUMMYFUNCTION("""COMPUTED_VALUE"""),23.0)</f>
        <v>23</v>
      </c>
      <c r="G1708" s="86">
        <f>IFERROR(__xludf.DUMMYFUNCTION("""COMPUTED_VALUE"""),14.0)</f>
        <v>14</v>
      </c>
      <c r="H1708" s="86">
        <f>IFERROR(__xludf.DUMMYFUNCTION("""COMPUTED_VALUE"""),0.6216216216216216)</f>
        <v>0.6216216216</v>
      </c>
      <c r="I1708" s="86">
        <f>IFERROR(__xludf.DUMMYFUNCTION("""COMPUTED_VALUE"""),0.30327868852459017)</f>
        <v>0.3032786885</v>
      </c>
      <c r="J1708" s="82">
        <f>IFERROR(__xludf.DUMMYFUNCTION("""COMPUTED_VALUE"""),361.8918918918919)</f>
        <v>361.8918919</v>
      </c>
      <c r="K1708" s="82">
        <f>IFERROR(__xludf.DUMMYFUNCTION("""COMPUTED_VALUE"""),1.0)</f>
        <v>1</v>
      </c>
      <c r="L1708" s="82">
        <f>IFERROR(__xludf.DUMMYFUNCTION("""COMPUTED_VALUE"""),0.8378378378378378)</f>
        <v>0.8378378378</v>
      </c>
      <c r="M1708" s="82">
        <f>IFERROR(__xludf.DUMMYFUNCTION("""COMPUTED_VALUE"""),0.9459459459459459)</f>
        <v>0.9459459459</v>
      </c>
      <c r="N1708" s="82">
        <f>IFERROR(__xludf.DUMMYFUNCTION("""COMPUTED_VALUE"""),3.2972972972972974)</f>
        <v>3.297297297</v>
      </c>
      <c r="O1708" s="82">
        <f>IFERROR(__xludf.DUMMYFUNCTION("""COMPUTED_VALUE"""),338.6846846846847)</f>
        <v>338.6846847</v>
      </c>
      <c r="P1708" s="82">
        <f>IFERROR(__xludf.DUMMYFUNCTION("""COMPUTED_VALUE"""),0.8108108108108106)</f>
        <v>0.8108108108</v>
      </c>
      <c r="Q1708" s="82">
        <f>IFERROR(__xludf.DUMMYFUNCTION("""COMPUTED_VALUE"""),0.42342342342342354)</f>
        <v>0.4234234234</v>
      </c>
      <c r="R1708" s="82">
        <f>IFERROR(__xludf.DUMMYFUNCTION("""COMPUTED_VALUE"""),1.3963963963963963)</f>
        <v>1.396396396</v>
      </c>
      <c r="S1708" s="82">
        <f>IFERROR(__xludf.DUMMYFUNCTION("""COMPUTED_VALUE"""),2.3873873873873874)</f>
        <v>2.387387387</v>
      </c>
      <c r="T1708" s="82">
        <f>IFERROR(__xludf.DUMMYFUNCTION("""COMPUTED_VALUE"""),347.2992053460329)</f>
        <v>347.2992053</v>
      </c>
      <c r="U1708" s="82">
        <f>IFERROR(__xludf.DUMMYFUNCTION("""COMPUTED_VALUE"""),0.8125785319073091)</f>
        <v>0.8125785319</v>
      </c>
      <c r="V1708" s="82">
        <f>IFERROR(__xludf.DUMMYFUNCTION("""COMPUTED_VALUE"""),0.5448318283046621)</f>
        <v>0.5448318283</v>
      </c>
      <c r="W1708" s="82">
        <f>IFERROR(__xludf.DUMMYFUNCTION("""COMPUTED_VALUE"""),1.2818457295824173)</f>
        <v>1.28184573</v>
      </c>
      <c r="X1708" s="82">
        <f>IFERROR(__xludf.DUMMYFUNCTION("""COMPUTED_VALUE"""),2.621213936560466)</f>
        <v>2.621213937</v>
      </c>
      <c r="Y1708" s="82">
        <f>IFERROR(__xludf.DUMMYFUNCTION("""COMPUTED_VALUE"""),354.31385362508496)</f>
        <v>354.3138536</v>
      </c>
      <c r="Z1708" s="82">
        <f>IFERROR(__xludf.DUMMYFUNCTION("""COMPUTED_VALUE"""),0.8302872758853491)</f>
        <v>0.8302872759</v>
      </c>
      <c r="AA1708" s="82">
        <f>IFERROR(__xludf.DUMMYFUNCTION("""COMPUTED_VALUE"""),0.5966100259448194)</f>
        <v>0.5966100259</v>
      </c>
      <c r="AB1708" s="82">
        <f>IFERROR(__xludf.DUMMYFUNCTION("""COMPUTED_VALUE"""),1.334350907105638)</f>
        <v>1.334350907</v>
      </c>
      <c r="AC1708" s="82">
        <f>IFERROR(__xludf.DUMMYFUNCTION("""COMPUTED_VALUE"""),2.6172172713382613)</f>
        <v>2.617217271</v>
      </c>
      <c r="AD1708" s="82">
        <f>IFERROR(__xludf.DUMMYFUNCTION("""COMPUTED_VALUE"""),1.0213879253923432)</f>
        <v>1.021387925</v>
      </c>
      <c r="AE1708" s="82">
        <f>IFERROR(__xludf.DUMMYFUNCTION("""COMPUTED_VALUE"""),1.2044024147349282)</f>
        <v>1.204402415</v>
      </c>
      <c r="AF1708" s="82">
        <f>IFERROR(__xludf.DUMMYFUNCTION("""COMPUTED_VALUE"""),1.4043308047178706)</f>
        <v>1.404330805</v>
      </c>
      <c r="AG1708" s="82">
        <f>IFERROR(__xludf.DUMMYFUNCTION("""COMPUTED_VALUE"""),0.7089184268610514)</f>
        <v>0.7089184269</v>
      </c>
      <c r="AH1708" s="82">
        <f>IFERROR(__xludf.DUMMYFUNCTION("""COMPUTED_VALUE"""),1.2598485167459141)</f>
        <v>1.259848517</v>
      </c>
      <c r="AI1708" s="82">
        <f>IFERROR(__xludf.DUMMYFUNCTION("""COMPUTED_VALUE"""),0.9751956798957686)</f>
        <v>0.9751956799</v>
      </c>
      <c r="AJ1708" s="82">
        <f>IFERROR(__xludf.DUMMYFUNCTION("""COMPUTED_VALUE"""),0.9978245535328761)</f>
        <v>0.9978245535</v>
      </c>
      <c r="AK1708" s="82">
        <f>IFERROR(__xludf.DUMMYFUNCTION("""COMPUTED_VALUE"""),0.7771635235426283)</f>
        <v>0.7771635235</v>
      </c>
      <c r="AL1708" s="82">
        <f>IFERROR(__xludf.DUMMYFUNCTION("""COMPUTED_VALUE"""),1.0893638479033634)</f>
        <v>1.089363848</v>
      </c>
      <c r="AM1708" s="82">
        <f>IFERROR(__xludf.DUMMYFUNCTION("""COMPUTED_VALUE"""),0.9107945574713738)</f>
        <v>0.9107945575</v>
      </c>
      <c r="AN1708" s="82">
        <f>IFERROR(__xludf.DUMMYFUNCTION("""COMPUTED_VALUE"""),1.0672859351801998)</f>
        <v>1.067285935</v>
      </c>
      <c r="AO1708" s="82">
        <f>IFERROR(__xludf.DUMMYFUNCTION("""COMPUTED_VALUE"""),1.3445559366319677)</f>
        <v>1.344555937</v>
      </c>
      <c r="AP1708" s="82">
        <f>IFERROR(__xludf.DUMMYFUNCTION("""COMPUTED_VALUE"""),1.5350689733656542)</f>
        <v>1.535068973</v>
      </c>
      <c r="AQ1708" s="82">
        <f>IFERROR(__xludf.DUMMYFUNCTION("""COMPUTED_VALUE"""),0.7232840025955712)</f>
        <v>0.7232840026</v>
      </c>
      <c r="AR1708" s="82">
        <f>IFERROR(__xludf.DUMMYFUNCTION("""COMPUTED_VALUE"""),1.3180233504282906)</f>
        <v>1.31802335</v>
      </c>
      <c r="AS1708" s="82">
        <f>IFERROR(__xludf.DUMMYFUNCTION("""COMPUTED_VALUE"""),112.0)</f>
        <v>112</v>
      </c>
      <c r="AT1708" s="82">
        <f>IFERROR(__xludf.DUMMYFUNCTION("""COMPUTED_VALUE"""),0.5880597482621837)</f>
        <v>0.5880597483</v>
      </c>
      <c r="AU1708" s="82">
        <f>IFERROR(__xludf.DUMMYFUNCTION("""COMPUTED_VALUE"""),3.646746225590429)</f>
        <v>3.646746226</v>
      </c>
      <c r="AV1708" s="82">
        <f>IFERROR(__xludf.DUMMYFUNCTION("""COMPUTED_VALUE"""),83.59396595197911)</f>
        <v>83.59396595</v>
      </c>
      <c r="AW1708" s="82">
        <f t="shared" si="1"/>
        <v>11.17153367</v>
      </c>
      <c r="AX1708" s="83">
        <f t="array" ref="AX1708">IFERROR(DGET('SBV Import'!A:G,"SBV",{"RSC ID","Tier";B1708,A1708}))</f>
        <v>61.1521113</v>
      </c>
      <c r="AY1708" s="82">
        <f t="shared" si="2"/>
        <v>3.050937336</v>
      </c>
      <c r="AZ1708" s="82">
        <v>8.120596339082551</v>
      </c>
      <c r="BA1708" s="84">
        <v>1700.0</v>
      </c>
      <c r="BB1708" s="84" t="b">
        <f>IFERROR(__xludf.DUMMYFUNCTION("iferror(if(A1708="""",,E1708&gt;=FILTER(Constants!$F$2:$F$10,Constants!$A$2:$A$10=A1708)))"),TRUE)</f>
        <v>1</v>
      </c>
    </row>
    <row r="1709">
      <c r="A1709" s="89" t="str">
        <f>IFERROR(__xludf.DUMMYFUNCTION("""COMPUTED_VALUE"""),"Rival")</f>
        <v>Rival</v>
      </c>
      <c r="B1709" s="87" t="str">
        <f>IFERROR(__xludf.DUMMYFUNCTION("""COMPUTED_VALUE"""),"RSC005834")</f>
        <v>RSC005834</v>
      </c>
      <c r="C1709" s="73" t="str">
        <f>IFERROR(__xludf.DUMMYFUNCTION("""COMPUTED_VALUE"""),"IIIYummyIII")</f>
        <v>IIIYummyIII</v>
      </c>
      <c r="D1709" s="73" t="str">
        <f>IFERROR(__xludf.DUMMYFUNCTION("""COMPUTED_VALUE"""),"Hot Wings")</f>
        <v>Hot Wings</v>
      </c>
      <c r="E1709" s="82">
        <f>IFERROR(__xludf.DUMMYFUNCTION("""COMPUTED_VALUE"""),37.0)</f>
        <v>37</v>
      </c>
      <c r="F1709" s="82">
        <f>IFERROR(__xludf.DUMMYFUNCTION("""COMPUTED_VALUE"""),23.0)</f>
        <v>23</v>
      </c>
      <c r="G1709" s="86">
        <f>IFERROR(__xludf.DUMMYFUNCTION("""COMPUTED_VALUE"""),14.0)</f>
        <v>14</v>
      </c>
      <c r="H1709" s="86">
        <f>IFERROR(__xludf.DUMMYFUNCTION("""COMPUTED_VALUE"""),0.6216216216216216)</f>
        <v>0.6216216216</v>
      </c>
      <c r="I1709" s="86">
        <f>IFERROR(__xludf.DUMMYFUNCTION("""COMPUTED_VALUE"""),0.3425925925925926)</f>
        <v>0.3425925926</v>
      </c>
      <c r="J1709" s="82">
        <f>IFERROR(__xludf.DUMMYFUNCTION("""COMPUTED_VALUE"""),357.8378378378378)</f>
        <v>357.8378378</v>
      </c>
      <c r="K1709" s="82">
        <f>IFERROR(__xludf.DUMMYFUNCTION("""COMPUTED_VALUE"""),1.0)</f>
        <v>1</v>
      </c>
      <c r="L1709" s="82">
        <f>IFERROR(__xludf.DUMMYFUNCTION("""COMPUTED_VALUE"""),0.8378378378378378)</f>
        <v>0.8378378378</v>
      </c>
      <c r="M1709" s="82">
        <f>IFERROR(__xludf.DUMMYFUNCTION("""COMPUTED_VALUE"""),0.9459459459459459)</f>
        <v>0.9459459459</v>
      </c>
      <c r="N1709" s="82">
        <f>IFERROR(__xludf.DUMMYFUNCTION("""COMPUTED_VALUE"""),2.918918918918919)</f>
        <v>2.918918919</v>
      </c>
      <c r="O1709" s="82">
        <f>IFERROR(__xludf.DUMMYFUNCTION("""COMPUTED_VALUE"""),333.0720720720721)</f>
        <v>333.0720721</v>
      </c>
      <c r="P1709" s="82">
        <f>IFERROR(__xludf.DUMMYFUNCTION("""COMPUTED_VALUE"""),0.7207207207207208)</f>
        <v>0.7207207207</v>
      </c>
      <c r="Q1709" s="82">
        <f>IFERROR(__xludf.DUMMYFUNCTION("""COMPUTED_VALUE"""),0.46846846846846846)</f>
        <v>0.4684684685</v>
      </c>
      <c r="R1709" s="82">
        <f>IFERROR(__xludf.DUMMYFUNCTION("""COMPUTED_VALUE"""),1.4504504504504505)</f>
        <v>1.45045045</v>
      </c>
      <c r="S1709" s="82">
        <f>IFERROR(__xludf.DUMMYFUNCTION("""COMPUTED_VALUE"""),2.4054054054054057)</f>
        <v>2.405405405</v>
      </c>
      <c r="T1709" s="82">
        <f>IFERROR(__xludf.DUMMYFUNCTION("""COMPUTED_VALUE"""),349.27098749472526)</f>
        <v>349.2709875</v>
      </c>
      <c r="U1709" s="82">
        <f>IFERROR(__xludf.DUMMYFUNCTION("""COMPUTED_VALUE"""),0.813618636272294)</f>
        <v>0.8136186363</v>
      </c>
      <c r="V1709" s="82">
        <f>IFERROR(__xludf.DUMMYFUNCTION("""COMPUTED_VALUE"""),0.5652598737438711)</f>
        <v>0.5652598737</v>
      </c>
      <c r="W1709" s="82">
        <f>IFERROR(__xludf.DUMMYFUNCTION("""COMPUTED_VALUE"""),1.3221640774576466)</f>
        <v>1.322164077</v>
      </c>
      <c r="X1709" s="82">
        <f>IFERROR(__xludf.DUMMYFUNCTION("""COMPUTED_VALUE"""),2.539348803553033)</f>
        <v>2.539348804</v>
      </c>
      <c r="Y1709" s="82">
        <f>IFERROR(__xludf.DUMMYFUNCTION("""COMPUTED_VALUE"""),343.9692800367712)</f>
        <v>343.96928</v>
      </c>
      <c r="Z1709" s="82">
        <f>IFERROR(__xludf.DUMMYFUNCTION("""COMPUTED_VALUE"""),0.7756233112910834)</f>
        <v>0.7756233113</v>
      </c>
      <c r="AA1709" s="82">
        <f>IFERROR(__xludf.DUMMYFUNCTION("""COMPUTED_VALUE"""),0.5580825575706096)</f>
        <v>0.5580825576</v>
      </c>
      <c r="AB1709" s="82">
        <f>IFERROR(__xludf.DUMMYFUNCTION("""COMPUTED_VALUE"""),1.2956805625265122)</f>
        <v>1.295680563</v>
      </c>
      <c r="AC1709" s="82">
        <f>IFERROR(__xludf.DUMMYFUNCTION("""COMPUTED_VALUE"""),2.5619327788175825)</f>
        <v>2.561932779</v>
      </c>
      <c r="AD1709" s="82">
        <f>IFERROR(__xludf.DUMMYFUNCTION("""COMPUTED_VALUE"""),1.040319175594937)</f>
        <v>1.040319176</v>
      </c>
      <c r="AE1709" s="82">
        <f>IFERROR(__xludf.DUMMYFUNCTION("""COMPUTED_VALUE"""),1.2892856434851405)</f>
        <v>1.289285643</v>
      </c>
      <c r="AF1709" s="82">
        <f>IFERROR(__xludf.DUMMYFUNCTION("""COMPUTED_VALUE"""),1.5012793832601246)</f>
        <v>1.501279383</v>
      </c>
      <c r="AG1709" s="82">
        <f>IFERROR(__xludf.DUMMYFUNCTION("""COMPUTED_VALUE"""),0.7300765121469436)</f>
        <v>0.7300765121</v>
      </c>
      <c r="AH1709" s="82">
        <f>IFERROR(__xludf.DUMMYFUNCTION("""COMPUTED_VALUE"""),1.1393425085361129)</f>
        <v>1.139342509</v>
      </c>
      <c r="AI1709" s="82">
        <f>IFERROR(__xludf.DUMMYFUNCTION("""COMPUTED_VALUE"""),0.9536207815632044)</f>
        <v>0.9536207816</v>
      </c>
      <c r="AJ1709" s="82">
        <f>IFERROR(__xludf.DUMMYFUNCTION("""COMPUTED_VALUE"""),0.8858213032371065)</f>
        <v>0.8858213032</v>
      </c>
      <c r="AK1709" s="82">
        <f>IFERROR(__xludf.DUMMYFUNCTION("""COMPUTED_VALUE"""),0.8287665377088831)</f>
        <v>0.8287665377</v>
      </c>
      <c r="AL1709" s="82">
        <f>IFERROR(__xludf.DUMMYFUNCTION("""COMPUTED_VALUE"""),1.0970275740961608)</f>
        <v>1.097027574</v>
      </c>
      <c r="AM1709" s="82">
        <f>IFERROR(__xludf.DUMMYFUNCTION("""COMPUTED_VALUE"""),0.9472528555509133)</f>
        <v>0.9472528556</v>
      </c>
      <c r="AN1709" s="82">
        <f>IFERROR(__xludf.DUMMYFUNCTION("""COMPUTED_VALUE"""),1.0553297820601826)</f>
        <v>1.055329782</v>
      </c>
      <c r="AO1709" s="82">
        <f>IFERROR(__xludf.DUMMYFUNCTION("""COMPUTED_VALUE"""),1.3445559366319677)</f>
        <v>1.344555937</v>
      </c>
      <c r="AP1709" s="82">
        <f>IFERROR(__xludf.DUMMYFUNCTION("""COMPUTED_VALUE"""),1.5350689733656542)</f>
        <v>1.535068973</v>
      </c>
      <c r="AQ1709" s="82">
        <f>IFERROR(__xludf.DUMMYFUNCTION("""COMPUTED_VALUE"""),0.7232840025955712)</f>
        <v>0.7232840026</v>
      </c>
      <c r="AR1709" s="82">
        <f>IFERROR(__xludf.DUMMYFUNCTION("""COMPUTED_VALUE"""),1.1667747692316015)</f>
        <v>1.166774769</v>
      </c>
      <c r="AS1709" s="82">
        <f>IFERROR(__xludf.DUMMYFUNCTION("""COMPUTED_VALUE"""),106.0)</f>
        <v>106</v>
      </c>
      <c r="AT1709" s="82">
        <f>IFERROR(__xludf.DUMMYFUNCTION("""COMPUTED_VALUE"""),0.6100021761731522)</f>
        <v>0.6100021762</v>
      </c>
      <c r="AU1709" s="82">
        <f>IFERROR(__xludf.DUMMYFUNCTION("""COMPUTED_VALUE"""),3.633035931695014)</f>
        <v>3.633035932</v>
      </c>
      <c r="AV1709" s="82">
        <f>IFERROR(__xludf.DUMMYFUNCTION("""COMPUTED_VALUE"""),83.2014405816966)</f>
        <v>83.20144058</v>
      </c>
      <c r="AW1709" s="82">
        <f t="shared" si="1"/>
        <v>10.86017639</v>
      </c>
      <c r="AX1709" s="83">
        <f t="array" ref="AX1709">IFERROR(DGET('SBV Import'!A:G,"SBV",{"RSC ID","Tier";B1709,A1709}))</f>
        <v>60.12930975</v>
      </c>
      <c r="AY1709" s="82">
        <f t="shared" si="2"/>
        <v>2.91821357</v>
      </c>
      <c r="AZ1709" s="82">
        <v>7.94196282270136</v>
      </c>
      <c r="BA1709" s="84">
        <v>1700.0</v>
      </c>
      <c r="BB1709" s="84" t="b">
        <f>IFERROR(__xludf.DUMMYFUNCTION("iferror(if(A1709="""",,E1709&gt;=FILTER(Constants!$F$2:$F$10,Constants!$A$2:$A$10=A1709)))"),TRUE)</f>
        <v>1</v>
      </c>
    </row>
    <row r="1710">
      <c r="A1710" s="89" t="str">
        <f>IFERROR(__xludf.DUMMYFUNCTION("""COMPUTED_VALUE"""),"Rival")</f>
        <v>Rival</v>
      </c>
      <c r="B1710" s="87" t="str">
        <f>IFERROR(__xludf.DUMMYFUNCTION("""COMPUTED_VALUE"""),"RSC007937")</f>
        <v>RSC007937</v>
      </c>
      <c r="C1710" s="73" t="str">
        <f>IFERROR(__xludf.DUMMYFUNCTION("""COMPUTED_VALUE"""),"Spidey")</f>
        <v>Spidey</v>
      </c>
      <c r="D1710" s="73" t="str">
        <f>IFERROR(__xludf.DUMMYFUNCTION("""COMPUTED_VALUE"""),"Ocelots")</f>
        <v>Ocelots</v>
      </c>
      <c r="E1710" s="82">
        <f>IFERROR(__xludf.DUMMYFUNCTION("""COMPUTED_VALUE"""),32.0)</f>
        <v>32</v>
      </c>
      <c r="F1710" s="82">
        <f>IFERROR(__xludf.DUMMYFUNCTION("""COMPUTED_VALUE"""),19.0)</f>
        <v>19</v>
      </c>
      <c r="G1710" s="86">
        <f>IFERROR(__xludf.DUMMYFUNCTION("""COMPUTED_VALUE"""),13.0)</f>
        <v>13</v>
      </c>
      <c r="H1710" s="86">
        <f>IFERROR(__xludf.DUMMYFUNCTION("""COMPUTED_VALUE"""),0.59375)</f>
        <v>0.59375</v>
      </c>
      <c r="I1710" s="86">
        <f>IFERROR(__xludf.DUMMYFUNCTION("""COMPUTED_VALUE"""),0.30357142857142855)</f>
        <v>0.3035714286</v>
      </c>
      <c r="J1710" s="82">
        <f>IFERROR(__xludf.DUMMYFUNCTION("""COMPUTED_VALUE"""),381.59375)</f>
        <v>381.59375</v>
      </c>
      <c r="K1710" s="82">
        <f>IFERROR(__xludf.DUMMYFUNCTION("""COMPUTED_VALUE"""),1.0625)</f>
        <v>1.0625</v>
      </c>
      <c r="L1710" s="82">
        <f>IFERROR(__xludf.DUMMYFUNCTION("""COMPUTED_VALUE"""),0.53125)</f>
        <v>0.53125</v>
      </c>
      <c r="M1710" s="82">
        <f>IFERROR(__xludf.DUMMYFUNCTION("""COMPUTED_VALUE"""),1.21875)</f>
        <v>1.21875</v>
      </c>
      <c r="N1710" s="82">
        <f>IFERROR(__xludf.DUMMYFUNCTION("""COMPUTED_VALUE"""),3.5)</f>
        <v>3.5</v>
      </c>
      <c r="O1710" s="82">
        <f>IFERROR(__xludf.DUMMYFUNCTION("""COMPUTED_VALUE"""),329.13541666666663)</f>
        <v>329.1354167</v>
      </c>
      <c r="P1710" s="82">
        <f>IFERROR(__xludf.DUMMYFUNCTION("""COMPUTED_VALUE"""),0.6562500000000002)</f>
        <v>0.65625</v>
      </c>
      <c r="Q1710" s="82">
        <f>IFERROR(__xludf.DUMMYFUNCTION("""COMPUTED_VALUE"""),0.45833333333333337)</f>
        <v>0.4583333333</v>
      </c>
      <c r="R1710" s="82">
        <f>IFERROR(__xludf.DUMMYFUNCTION("""COMPUTED_VALUE"""),1.375)</f>
        <v>1.375</v>
      </c>
      <c r="S1710" s="82">
        <f>IFERROR(__xludf.DUMMYFUNCTION("""COMPUTED_VALUE"""),2.1354166666666665)</f>
        <v>2.135416667</v>
      </c>
      <c r="T1710" s="82">
        <f>IFERROR(__xludf.DUMMYFUNCTION("""COMPUTED_VALUE"""),345.18376257935165)</f>
        <v>345.1837626</v>
      </c>
      <c r="U1710" s="82">
        <f>IFERROR(__xludf.DUMMYFUNCTION("""COMPUTED_VALUE"""),0.7530685762243299)</f>
        <v>0.7530685762</v>
      </c>
      <c r="V1710" s="82">
        <f>IFERROR(__xludf.DUMMYFUNCTION("""COMPUTED_VALUE"""),0.5524735920566182)</f>
        <v>0.5524735921</v>
      </c>
      <c r="W1710" s="82">
        <f>IFERROR(__xludf.DUMMYFUNCTION("""COMPUTED_VALUE"""),1.338992723277898)</f>
        <v>1.338992723</v>
      </c>
      <c r="X1710" s="82">
        <f>IFERROR(__xludf.DUMMYFUNCTION("""COMPUTED_VALUE"""),2.5479027910104355)</f>
        <v>2.547902791</v>
      </c>
      <c r="Y1710" s="82">
        <f>IFERROR(__xludf.DUMMYFUNCTION("""COMPUTED_VALUE"""),347.306632085397)</f>
        <v>347.3066321</v>
      </c>
      <c r="Z1710" s="82">
        <f>IFERROR(__xludf.DUMMYFUNCTION("""COMPUTED_VALUE"""),0.7772790179691683)</f>
        <v>0.777279018</v>
      </c>
      <c r="AA1710" s="82">
        <f>IFERROR(__xludf.DUMMYFUNCTION("""COMPUTED_VALUE"""),0.5568006701933299)</f>
        <v>0.5568006702</v>
      </c>
      <c r="AB1710" s="82">
        <f>IFERROR(__xludf.DUMMYFUNCTION("""COMPUTED_VALUE"""),1.3383362954344908)</f>
        <v>1.338336295</v>
      </c>
      <c r="AC1710" s="82">
        <f>IFERROR(__xludf.DUMMYFUNCTION("""COMPUTED_VALUE"""),2.55725789947596)</f>
        <v>2.557257899</v>
      </c>
      <c r="AD1710" s="82">
        <f>IFERROR(__xludf.DUMMYFUNCTION("""COMPUTED_VALUE"""),1.0987229000169867)</f>
        <v>1.0987229</v>
      </c>
      <c r="AE1710" s="82">
        <f>IFERROR(__xludf.DUMMYFUNCTION("""COMPUTED_VALUE"""),1.3669480012158843)</f>
        <v>1.366948001</v>
      </c>
      <c r="AF1710" s="82">
        <f>IFERROR(__xludf.DUMMYFUNCTION("""COMPUTED_VALUE"""),0.9541116389381171)</f>
        <v>0.9541116389</v>
      </c>
      <c r="AG1710" s="82">
        <f>IFERROR(__xludf.DUMMYFUNCTION("""COMPUTED_VALUE"""),0.9106455560964465)</f>
        <v>0.9106455561</v>
      </c>
      <c r="AH1710" s="82">
        <f>IFERROR(__xludf.DUMMYFUNCTION("""COMPUTED_VALUE"""),1.368653509963633)</f>
        <v>1.36865351</v>
      </c>
      <c r="AI1710" s="82">
        <f>IFERROR(__xludf.DUMMYFUNCTION("""COMPUTED_VALUE"""),0.9535078191605383)</f>
        <v>0.9535078192</v>
      </c>
      <c r="AJ1710" s="82">
        <f>IFERROR(__xludf.DUMMYFUNCTION("""COMPUTED_VALUE"""),0.8714345820804923)</f>
        <v>0.8714345821</v>
      </c>
      <c r="AK1710" s="82">
        <f>IFERROR(__xludf.DUMMYFUNCTION("""COMPUTED_VALUE"""),0.829602246918551)</f>
        <v>0.8296022469</v>
      </c>
      <c r="AL1710" s="82">
        <f>IFERROR(__xludf.DUMMYFUNCTION("""COMPUTED_VALUE"""),1.026891316208168)</f>
        <v>1.026891316</v>
      </c>
      <c r="AM1710" s="82">
        <f>IFERROR(__xludf.DUMMYFUNCTION("""COMPUTED_VALUE"""),0.8381075895834366)</f>
        <v>0.8381075896</v>
      </c>
      <c r="AN1710" s="82">
        <f>IFERROR(__xludf.DUMMYFUNCTION("""COMPUTED_VALUE"""),1.12539034847825)</f>
        <v>1.125390348</v>
      </c>
      <c r="AO1710" s="82">
        <f>IFERROR(__xludf.DUMMYFUNCTION("""COMPUTED_VALUE"""),1.4285906826714656)</f>
        <v>1.428590683</v>
      </c>
      <c r="AP1710" s="82">
        <f>IFERROR(__xludf.DUMMYFUNCTION("""COMPUTED_VALUE"""),0.9733451454102787)</f>
        <v>0.9733451454</v>
      </c>
      <c r="AQ1710" s="82">
        <f>IFERROR(__xludf.DUMMYFUNCTION("""COMPUTED_VALUE"""),0.9318739426298298)</f>
        <v>0.9318739426</v>
      </c>
      <c r="AR1710" s="82">
        <f>IFERROR(__xludf.DUMMYFUNCTION("""COMPUTED_VALUE"""),1.399049376069374)</f>
        <v>1.399049376</v>
      </c>
      <c r="AS1710" s="82">
        <f>IFERROR(__xludf.DUMMYFUNCTION("""COMPUTED_VALUE"""),80.0)</f>
        <v>80</v>
      </c>
      <c r="AT1710" s="82">
        <f>IFERROR(__xludf.DUMMYFUNCTION("""COMPUTED_VALUE"""),0.590762230809681)</f>
        <v>0.5907622308</v>
      </c>
      <c r="AU1710" s="82">
        <f>IFERROR(__xludf.DUMMYFUNCTION("""COMPUTED_VALUE"""),3.6104329282590046)</f>
        <v>3.610432928</v>
      </c>
      <c r="AV1710" s="82">
        <f>IFERROR(__xludf.DUMMYFUNCTION("""COMPUTED_VALUE"""),82.55431716035378)</f>
        <v>82.55431716</v>
      </c>
      <c r="AW1710" s="82">
        <f t="shared" si="1"/>
        <v>10.37035869</v>
      </c>
      <c r="AX1710" s="83">
        <f t="array" ref="AX1710">IFERROR(DGET('SBV Import'!A:G,"SBV",{"RSC ID","Tier";B1710,A1710}))</f>
        <v>75.86883948</v>
      </c>
      <c r="AY1710" s="82">
        <f t="shared" si="2"/>
        <v>6.649289704</v>
      </c>
      <c r="AZ1710" s="82">
        <v>3.721068990420835</v>
      </c>
      <c r="BA1710" s="84">
        <v>1700.0</v>
      </c>
      <c r="BB1710" s="84" t="b">
        <f>IFERROR(__xludf.DUMMYFUNCTION("iferror(if(A1710="""",,E1710&gt;=FILTER(Constants!$F$2:$F$10,Constants!$A$2:$A$10=A1710)))"),TRUE)</f>
        <v>1</v>
      </c>
    </row>
    <row r="1711">
      <c r="A1711" s="89" t="str">
        <f>IFERROR(__xludf.DUMMYFUNCTION("""COMPUTED_VALUE"""),"Rival")</f>
        <v>Rival</v>
      </c>
      <c r="B1711" s="87" t="str">
        <f>IFERROR(__xludf.DUMMYFUNCTION("""COMPUTED_VALUE"""),"RSC004347")</f>
        <v>RSC004347</v>
      </c>
      <c r="C1711" s="73" t="str">
        <f>IFERROR(__xludf.DUMMYFUNCTION("""COMPUTED_VALUE"""),"Good job you")</f>
        <v>Good job you</v>
      </c>
      <c r="D1711" s="73" t="str">
        <f>IFERROR(__xludf.DUMMYFUNCTION("""COMPUTED_VALUE"""),"Bulldozers")</f>
        <v>Bulldozers</v>
      </c>
      <c r="E1711" s="82">
        <f>IFERROR(__xludf.DUMMYFUNCTION("""COMPUTED_VALUE"""),48.0)</f>
        <v>48</v>
      </c>
      <c r="F1711" s="82">
        <f>IFERROR(__xludf.DUMMYFUNCTION("""COMPUTED_VALUE"""),35.0)</f>
        <v>35</v>
      </c>
      <c r="G1711" s="86">
        <f>IFERROR(__xludf.DUMMYFUNCTION("""COMPUTED_VALUE"""),13.0)</f>
        <v>13</v>
      </c>
      <c r="H1711" s="86">
        <f>IFERROR(__xludf.DUMMYFUNCTION("""COMPUTED_VALUE"""),0.7291666666666666)</f>
        <v>0.7291666667</v>
      </c>
      <c r="I1711" s="86">
        <f>IFERROR(__xludf.DUMMYFUNCTION("""COMPUTED_VALUE"""),0.30935251798561153)</f>
        <v>0.309352518</v>
      </c>
      <c r="J1711" s="82">
        <f>IFERROR(__xludf.DUMMYFUNCTION("""COMPUTED_VALUE"""),387.2083333333333)</f>
        <v>387.2083333</v>
      </c>
      <c r="K1711" s="82">
        <f>IFERROR(__xludf.DUMMYFUNCTION("""COMPUTED_VALUE"""),0.8958333333333334)</f>
        <v>0.8958333333</v>
      </c>
      <c r="L1711" s="82">
        <f>IFERROR(__xludf.DUMMYFUNCTION("""COMPUTED_VALUE"""),1.0)</f>
        <v>1</v>
      </c>
      <c r="M1711" s="82">
        <f>IFERROR(__xludf.DUMMYFUNCTION("""COMPUTED_VALUE"""),1.1458333333333333)</f>
        <v>1.145833333</v>
      </c>
      <c r="N1711" s="82">
        <f>IFERROR(__xludf.DUMMYFUNCTION("""COMPUTED_VALUE"""),2.8958333333333335)</f>
        <v>2.895833333</v>
      </c>
      <c r="O1711" s="82">
        <f>IFERROR(__xludf.DUMMYFUNCTION("""COMPUTED_VALUE"""),336.9305555555556)</f>
        <v>336.9305556</v>
      </c>
      <c r="P1711" s="82">
        <f>IFERROR(__xludf.DUMMYFUNCTION("""COMPUTED_VALUE"""),0.6666666666666664)</f>
        <v>0.6666666667</v>
      </c>
      <c r="Q1711" s="82">
        <f>IFERROR(__xludf.DUMMYFUNCTION("""COMPUTED_VALUE"""),0.49999999999999994)</f>
        <v>0.5</v>
      </c>
      <c r="R1711" s="82">
        <f>IFERROR(__xludf.DUMMYFUNCTION("""COMPUTED_VALUE"""),1.4375)</f>
        <v>1.4375</v>
      </c>
      <c r="S1711" s="82">
        <f>IFERROR(__xludf.DUMMYFUNCTION("""COMPUTED_VALUE"""),2.743055555555555)</f>
        <v>2.743055556</v>
      </c>
      <c r="T1711" s="82">
        <f>IFERROR(__xludf.DUMMYFUNCTION("""COMPUTED_VALUE"""),339.52088666888284)</f>
        <v>339.5208867</v>
      </c>
      <c r="U1711" s="82">
        <f>IFERROR(__xludf.DUMMYFUNCTION("""COMPUTED_VALUE"""),0.7426879511280485)</f>
        <v>0.7426879511</v>
      </c>
      <c r="V1711" s="82">
        <f>IFERROR(__xludf.DUMMYFUNCTION("""COMPUTED_VALUE"""),0.5258822181065465)</f>
        <v>0.5258822181</v>
      </c>
      <c r="W1711" s="82">
        <f>IFERROR(__xludf.DUMMYFUNCTION("""COMPUTED_VALUE"""),1.3070280744543374)</f>
        <v>1.307028074</v>
      </c>
      <c r="X1711" s="82">
        <f>IFERROR(__xludf.DUMMYFUNCTION("""COMPUTED_VALUE"""),2.511887875887363)</f>
        <v>2.511887876</v>
      </c>
      <c r="Y1711" s="82">
        <f>IFERROR(__xludf.DUMMYFUNCTION("""COMPUTED_VALUE"""),357.0213127094212)</f>
        <v>357.0213127</v>
      </c>
      <c r="Z1711" s="82">
        <f>IFERROR(__xludf.DUMMYFUNCTION("""COMPUTED_VALUE"""),0.8324156040695304)</f>
        <v>0.8324156041</v>
      </c>
      <c r="AA1711" s="82">
        <f>IFERROR(__xludf.DUMMYFUNCTION("""COMPUTED_VALUE"""),0.608501919953064)</f>
        <v>0.60850192</v>
      </c>
      <c r="AB1711" s="82">
        <f>IFERROR(__xludf.DUMMYFUNCTION("""COMPUTED_VALUE"""),1.325758401207523)</f>
        <v>1.325758401</v>
      </c>
      <c r="AC1711" s="82">
        <f>IFERROR(__xludf.DUMMYFUNCTION("""COMPUTED_VALUE"""),2.6380657638773224)</f>
        <v>2.638065764</v>
      </c>
      <c r="AD1711" s="82">
        <f>IFERROR(__xludf.DUMMYFUNCTION("""COMPUTED_VALUE"""),1.0845524330041363)</f>
        <v>1.084552433</v>
      </c>
      <c r="AE1711" s="82">
        <f>IFERROR(__xludf.DUMMYFUNCTION("""COMPUTED_VALUE"""),1.076185175955094)</f>
        <v>1.076185176</v>
      </c>
      <c r="AF1711" s="82">
        <f>IFERROR(__xludf.DUMMYFUNCTION("""COMPUTED_VALUE"""),1.6433801886395587)</f>
        <v>1.643380189</v>
      </c>
      <c r="AG1711" s="82">
        <f>IFERROR(__xludf.DUMMYFUNCTION("""COMPUTED_VALUE"""),0.8642851761600674)</f>
        <v>0.8642851762</v>
      </c>
      <c r="AH1711" s="82">
        <f>IFERROR(__xludf.DUMMYFUNCTION("""COMPUTED_VALUE"""),1.097710820171956)</f>
        <v>1.09771082</v>
      </c>
      <c r="AI1711" s="82">
        <f>IFERROR(__xludf.DUMMYFUNCTION("""COMPUTED_VALUE"""),0.992370628096723)</f>
        <v>0.9923706281</v>
      </c>
      <c r="AJ1711" s="82">
        <f>IFERROR(__xludf.DUMMYFUNCTION("""COMPUTED_VALUE"""),0.8976403422919202)</f>
        <v>0.8976403423</v>
      </c>
      <c r="AK1711" s="82">
        <f>IFERROR(__xludf.DUMMYFUNCTION("""COMPUTED_VALUE"""),0.9507832415407843)</f>
        <v>0.9507832415</v>
      </c>
      <c r="AL1711" s="82">
        <f>IFERROR(__xludf.DUMMYFUNCTION("""COMPUTED_VALUE"""),1.0998233535267652)</f>
        <v>1.099823354</v>
      </c>
      <c r="AM1711" s="82">
        <f>IFERROR(__xludf.DUMMYFUNCTION("""COMPUTED_VALUE"""),1.0920294579576044)</f>
        <v>1.092029458</v>
      </c>
      <c r="AN1711" s="82">
        <f>IFERROR(__xludf.DUMMYFUNCTION("""COMPUTED_VALUE"""),1.1419487902610626)</f>
        <v>1.14194879</v>
      </c>
      <c r="AO1711" s="82">
        <f>IFERROR(__xludf.DUMMYFUNCTION("""COMPUTED_VALUE"""),1.2044980265661378)</f>
        <v>1.204498027</v>
      </c>
      <c r="AP1711" s="82">
        <f>IFERROR(__xludf.DUMMYFUNCTION("""COMPUTED_VALUE"""),1.8321790972428775)</f>
        <v>1.832179097</v>
      </c>
      <c r="AQ1711" s="82">
        <f>IFERROR(__xludf.DUMMYFUNCTION("""COMPUTED_VALUE"""),0.8761208007630877)</f>
        <v>0.8761208008</v>
      </c>
      <c r="AR1711" s="82">
        <f>IFERROR(__xludf.DUMMYFUNCTION("""COMPUTED_VALUE"""),1.157546805200256)</f>
        <v>1.157546805</v>
      </c>
      <c r="AS1711" s="82">
        <f>IFERROR(__xludf.DUMMYFUNCTION("""COMPUTED_VALUE"""),142.0)</f>
        <v>142</v>
      </c>
      <c r="AT1711" s="82">
        <f>IFERROR(__xludf.DUMMYFUNCTION("""COMPUTED_VALUE"""),0.6501789361626574)</f>
        <v>0.6501789362</v>
      </c>
      <c r="AU1711" s="82">
        <f>IFERROR(__xludf.DUMMYFUNCTION("""COMPUTED_VALUE"""),3.5543162678262714)</f>
        <v>3.554316268</v>
      </c>
      <c r="AV1711" s="82">
        <f>IFERROR(__xludf.DUMMYFUNCTION("""COMPUTED_VALUE"""),80.9476985799349)</f>
        <v>80.94769858</v>
      </c>
      <c r="AW1711" s="82">
        <f t="shared" si="1"/>
        <v>9.26997996</v>
      </c>
      <c r="AX1711" s="83">
        <f t="array" ref="AX1711">IFERROR(DGET('SBV Import'!A:G,"SBV",{"RSC ID","Tier";B1711,A1711}))</f>
        <v>58.15177212</v>
      </c>
      <c r="AY1711" s="82">
        <f t="shared" si="2"/>
        <v>2.686833231</v>
      </c>
      <c r="AZ1711" s="82">
        <v>6.58314672906339</v>
      </c>
      <c r="BA1711" s="84">
        <v>1700.0</v>
      </c>
      <c r="BB1711" s="84" t="b">
        <f>IFERROR(__xludf.DUMMYFUNCTION("iferror(if(A1711="""",,E1711&gt;=FILTER(Constants!$F$2:$F$10,Constants!$A$2:$A$10=A1711)))"),TRUE)</f>
        <v>1</v>
      </c>
    </row>
    <row r="1712">
      <c r="A1712" s="89" t="str">
        <f>IFERROR(__xludf.DUMMYFUNCTION("""COMPUTED_VALUE"""),"Rival")</f>
        <v>Rival</v>
      </c>
      <c r="B1712" s="87" t="str">
        <f>IFERROR(__xludf.DUMMYFUNCTION("""COMPUTED_VALUE"""),"RSC006089")</f>
        <v>RSC006089</v>
      </c>
      <c r="C1712" s="73" t="str">
        <f>IFERROR(__xludf.DUMMYFUNCTION("""COMPUTED_VALUE"""),"ZeroPop11")</f>
        <v>ZeroPop11</v>
      </c>
      <c r="D1712" s="73" t="str">
        <f>IFERROR(__xludf.DUMMYFUNCTION("""COMPUTED_VALUE"""),"Wind")</f>
        <v>Wind</v>
      </c>
      <c r="E1712" s="82">
        <f>IFERROR(__xludf.DUMMYFUNCTION("""COMPUTED_VALUE"""),40.0)</f>
        <v>40</v>
      </c>
      <c r="F1712" s="82">
        <f>IFERROR(__xludf.DUMMYFUNCTION("""COMPUTED_VALUE"""),22.0)</f>
        <v>22</v>
      </c>
      <c r="G1712" s="86">
        <f>IFERROR(__xludf.DUMMYFUNCTION("""COMPUTED_VALUE"""),18.0)</f>
        <v>18</v>
      </c>
      <c r="H1712" s="86">
        <f>IFERROR(__xludf.DUMMYFUNCTION("""COMPUTED_VALUE"""),0.55)</f>
        <v>0.55</v>
      </c>
      <c r="I1712" s="86">
        <f>IFERROR(__xludf.DUMMYFUNCTION("""COMPUTED_VALUE"""),0.3383458646616541)</f>
        <v>0.3383458647</v>
      </c>
      <c r="J1712" s="82">
        <f>IFERROR(__xludf.DUMMYFUNCTION("""COMPUTED_VALUE"""),433.175)</f>
        <v>433.175</v>
      </c>
      <c r="K1712" s="82">
        <f>IFERROR(__xludf.DUMMYFUNCTION("""COMPUTED_VALUE"""),1.125)</f>
        <v>1.125</v>
      </c>
      <c r="L1712" s="82">
        <f>IFERROR(__xludf.DUMMYFUNCTION("""COMPUTED_VALUE"""),0.55)</f>
        <v>0.55</v>
      </c>
      <c r="M1712" s="82">
        <f>IFERROR(__xludf.DUMMYFUNCTION("""COMPUTED_VALUE"""),1.85)</f>
        <v>1.85</v>
      </c>
      <c r="N1712" s="82">
        <f>IFERROR(__xludf.DUMMYFUNCTION("""COMPUTED_VALUE"""),3.325)</f>
        <v>3.325</v>
      </c>
      <c r="O1712" s="82">
        <f>IFERROR(__xludf.DUMMYFUNCTION("""COMPUTED_VALUE"""),361.45)</f>
        <v>361.45</v>
      </c>
      <c r="P1712" s="82">
        <f>IFERROR(__xludf.DUMMYFUNCTION("""COMPUTED_VALUE"""),0.8083333333333332)</f>
        <v>0.8083333333</v>
      </c>
      <c r="Q1712" s="82">
        <f>IFERROR(__xludf.DUMMYFUNCTION("""COMPUTED_VALUE"""),0.625)</f>
        <v>0.625</v>
      </c>
      <c r="R1712" s="82">
        <f>IFERROR(__xludf.DUMMYFUNCTION("""COMPUTED_VALUE"""),1.3833333333333333)</f>
        <v>1.383333333</v>
      </c>
      <c r="S1712" s="82">
        <f>IFERROR(__xludf.DUMMYFUNCTION("""COMPUTED_VALUE"""),2.8500000000000005)</f>
        <v>2.85</v>
      </c>
      <c r="T1712" s="82">
        <f>IFERROR(__xludf.DUMMYFUNCTION("""COMPUTED_VALUE"""),347.40878183370444)</f>
        <v>347.4087818</v>
      </c>
      <c r="U1712" s="82">
        <f>IFERROR(__xludf.DUMMYFUNCTION("""COMPUTED_VALUE"""),0.7902390935474816)</f>
        <v>0.7902390935</v>
      </c>
      <c r="V1712" s="82">
        <f>IFERROR(__xludf.DUMMYFUNCTION("""COMPUTED_VALUE"""),0.5654766188301361)</f>
        <v>0.5654766188</v>
      </c>
      <c r="W1712" s="82">
        <f>IFERROR(__xludf.DUMMYFUNCTION("""COMPUTED_VALUE"""),1.3058985633735527)</f>
        <v>1.305898563</v>
      </c>
      <c r="X1712" s="82">
        <f>IFERROR(__xludf.DUMMYFUNCTION("""COMPUTED_VALUE"""),2.6319546995872023)</f>
        <v>2.6319547</v>
      </c>
      <c r="Y1712" s="82">
        <f>IFERROR(__xludf.DUMMYFUNCTION("""COMPUTED_VALUE"""),355.7549801000899)</f>
        <v>355.7549801</v>
      </c>
      <c r="Z1712" s="82">
        <f>IFERROR(__xludf.DUMMYFUNCTION("""COMPUTED_VALUE"""),0.832867078790842)</f>
        <v>0.8328670788</v>
      </c>
      <c r="AA1712" s="82">
        <f>IFERROR(__xludf.DUMMYFUNCTION("""COMPUTED_VALUE"""),0.5851810287127035)</f>
        <v>0.5851810287</v>
      </c>
      <c r="AB1712" s="82">
        <f>IFERROR(__xludf.DUMMYFUNCTION("""COMPUTED_VALUE"""),1.3547293845202155)</f>
        <v>1.354729385</v>
      </c>
      <c r="AC1712" s="82">
        <f>IFERROR(__xludf.DUMMYFUNCTION("""COMPUTED_VALUE"""),2.6135462170284436)</f>
        <v>2.613546217</v>
      </c>
      <c r="AD1712" s="82">
        <f>IFERROR(__xludf.DUMMYFUNCTION("""COMPUTED_VALUE"""),1.2176217459503402)</f>
        <v>1.217621746</v>
      </c>
      <c r="AE1712" s="82">
        <f>IFERROR(__xludf.DUMMYFUNCTION("""COMPUTED_VALUE"""),1.3507557552079945)</f>
        <v>1.350755755</v>
      </c>
      <c r="AF1712" s="82">
        <f>IFERROR(__xludf.DUMMYFUNCTION("""COMPUTED_VALUE"""),0.939880093532602)</f>
        <v>0.9398800935</v>
      </c>
      <c r="AG1712" s="82">
        <f>IFERROR(__xludf.DUMMYFUNCTION("""COMPUTED_VALUE"""),1.3655863828887032)</f>
        <v>1.365586383</v>
      </c>
      <c r="AH1712" s="82">
        <f>IFERROR(__xludf.DUMMYFUNCTION("""COMPUTED_VALUE"""),1.2722177929497138)</f>
        <v>1.272217793</v>
      </c>
      <c r="AI1712" s="82">
        <f>IFERROR(__xludf.DUMMYFUNCTION("""COMPUTED_VALUE"""),1.0404169926050306)</f>
        <v>1.040416993</v>
      </c>
      <c r="AJ1712" s="82">
        <f>IFERROR(__xludf.DUMMYFUNCTION("""COMPUTED_VALUE"""),1.0228971711645198)</f>
        <v>1.022897171</v>
      </c>
      <c r="AK1712" s="82">
        <f>IFERROR(__xludf.DUMMYFUNCTION("""COMPUTED_VALUE"""),1.1052623206473267)</f>
        <v>1.105262321</v>
      </c>
      <c r="AL1712" s="82">
        <f>IFERROR(__xludf.DUMMYFUNCTION("""COMPUTED_VALUE"""),1.0592961598485429)</f>
        <v>1.05929616</v>
      </c>
      <c r="AM1712" s="82">
        <f>IFERROR(__xludf.DUMMYFUNCTION("""COMPUTED_VALUE"""),1.082845385008715)</f>
        <v>1.082845385</v>
      </c>
      <c r="AN1712" s="82">
        <f>IFERROR(__xludf.DUMMYFUNCTION("""COMPUTED_VALUE"""),1.2775129681816486)</f>
        <v>1.277512968</v>
      </c>
      <c r="AO1712" s="82">
        <f>IFERROR(__xludf.DUMMYFUNCTION("""COMPUTED_VALUE"""),1.5126254287109637)</f>
        <v>1.512625429</v>
      </c>
      <c r="AP1712" s="82">
        <f>IFERROR(__xludf.DUMMYFUNCTION("""COMPUTED_VALUE"""),1.0076985034835828)</f>
        <v>1.007698503</v>
      </c>
      <c r="AQ1712" s="82">
        <f>IFERROR(__xludf.DUMMYFUNCTION("""COMPUTED_VALUE"""),1.4145368565047673)</f>
        <v>1.414536857</v>
      </c>
      <c r="AR1712" s="82">
        <f>IFERROR(__xludf.DUMMYFUNCTION("""COMPUTED_VALUE"""),1.3290969072659053)</f>
        <v>1.329096907</v>
      </c>
      <c r="AS1712" s="82">
        <f>IFERROR(__xludf.DUMMYFUNCTION("""COMPUTED_VALUE"""),111.0)</f>
        <v>111</v>
      </c>
      <c r="AT1712" s="82">
        <f>IFERROR(__xludf.DUMMYFUNCTION("""COMPUTED_VALUE"""),0.5538883271792823)</f>
        <v>0.5538883272</v>
      </c>
      <c r="AU1712" s="82">
        <f>IFERROR(__xludf.DUMMYFUNCTION("""COMPUTED_VALUE"""),3.5008953479746383)</f>
        <v>3.500895348</v>
      </c>
      <c r="AV1712" s="82">
        <f>IFERROR(__xludf.DUMMYFUNCTION("""COMPUTED_VALUE"""),79.41825898472624)</f>
        <v>79.41825898</v>
      </c>
      <c r="AW1712" s="82">
        <f t="shared" si="1"/>
        <v>8.357600102</v>
      </c>
      <c r="AX1712" s="83">
        <f t="array" ref="AX1712">IFERROR(DGET('SBV Import'!A:G,"SBV",{"RSC ID","Tier";B1712,A1712}))</f>
        <v>68.3113161</v>
      </c>
      <c r="AY1712" s="82">
        <f t="shared" si="2"/>
        <v>4.3113452</v>
      </c>
      <c r="AZ1712" s="82">
        <v>4.046254901701808</v>
      </c>
      <c r="BA1712" s="84">
        <v>1700.0</v>
      </c>
      <c r="BB1712" s="84" t="b">
        <f>IFERROR(__xludf.DUMMYFUNCTION("iferror(if(A1712="""",,E1712&gt;=FILTER(Constants!$F$2:$F$10,Constants!$A$2:$A$10=A1712)))"),TRUE)</f>
        <v>1</v>
      </c>
    </row>
    <row r="1713">
      <c r="A1713" s="89" t="str">
        <f>IFERROR(__xludf.DUMMYFUNCTION("""COMPUTED_VALUE"""),"Rival")</f>
        <v>Rival</v>
      </c>
      <c r="B1713" s="87" t="str">
        <f>IFERROR(__xludf.DUMMYFUNCTION("""COMPUTED_VALUE"""),"RSC006678")</f>
        <v>RSC006678</v>
      </c>
      <c r="C1713" s="73" t="str">
        <f>IFERROR(__xludf.DUMMYFUNCTION("""COMPUTED_VALUE"""),"EyeSucka")</f>
        <v>EyeSucka</v>
      </c>
      <c r="D1713" s="73" t="str">
        <f>IFERROR(__xludf.DUMMYFUNCTION("""COMPUTED_VALUE"""),"Mining Legion")</f>
        <v>Mining Legion</v>
      </c>
      <c r="E1713" s="82">
        <f>IFERROR(__xludf.DUMMYFUNCTION("""COMPUTED_VALUE"""),13.0)</f>
        <v>13</v>
      </c>
      <c r="F1713" s="82">
        <f>IFERROR(__xludf.DUMMYFUNCTION("""COMPUTED_VALUE"""),7.0)</f>
        <v>7</v>
      </c>
      <c r="G1713" s="86">
        <f>IFERROR(__xludf.DUMMYFUNCTION("""COMPUTED_VALUE"""),6.0)</f>
        <v>6</v>
      </c>
      <c r="H1713" s="86">
        <f>IFERROR(__xludf.DUMMYFUNCTION("""COMPUTED_VALUE"""),0.5384615384615384)</f>
        <v>0.5384615385</v>
      </c>
      <c r="I1713" s="86">
        <f>IFERROR(__xludf.DUMMYFUNCTION("""COMPUTED_VALUE"""),0.40625)</f>
        <v>0.40625</v>
      </c>
      <c r="J1713" s="82">
        <f>IFERROR(__xludf.DUMMYFUNCTION("""COMPUTED_VALUE"""),401.2307692307692)</f>
        <v>401.2307692</v>
      </c>
      <c r="K1713" s="82">
        <f>IFERROR(__xludf.DUMMYFUNCTION("""COMPUTED_VALUE"""),1.0)</f>
        <v>1</v>
      </c>
      <c r="L1713" s="82">
        <f>IFERROR(__xludf.DUMMYFUNCTION("""COMPUTED_VALUE"""),0.8461538461538461)</f>
        <v>0.8461538462</v>
      </c>
      <c r="M1713" s="82">
        <f>IFERROR(__xludf.DUMMYFUNCTION("""COMPUTED_VALUE"""),1.7692307692307692)</f>
        <v>1.769230769</v>
      </c>
      <c r="N1713" s="82">
        <f>IFERROR(__xludf.DUMMYFUNCTION("""COMPUTED_VALUE"""),2.4615384615384617)</f>
        <v>2.461538462</v>
      </c>
      <c r="O1713" s="82">
        <f>IFERROR(__xludf.DUMMYFUNCTION("""COMPUTED_VALUE"""),362.2051282051283)</f>
        <v>362.2051282</v>
      </c>
      <c r="P1713" s="82">
        <f>IFERROR(__xludf.DUMMYFUNCTION("""COMPUTED_VALUE"""),0.8717948717948717)</f>
        <v>0.8717948718</v>
      </c>
      <c r="Q1713" s="82">
        <f>IFERROR(__xludf.DUMMYFUNCTION("""COMPUTED_VALUE"""),0.7692307692307694)</f>
        <v>0.7692307692</v>
      </c>
      <c r="R1713" s="82">
        <f>IFERROR(__xludf.DUMMYFUNCTION("""COMPUTED_VALUE"""),1.1025641025641024)</f>
        <v>1.102564103</v>
      </c>
      <c r="S1713" s="82">
        <f>IFERROR(__xludf.DUMMYFUNCTION("""COMPUTED_VALUE"""),2.769230769230769)</f>
        <v>2.769230769</v>
      </c>
      <c r="T1713" s="82">
        <f>IFERROR(__xludf.DUMMYFUNCTION("""COMPUTED_VALUE"""),355.7210927746145)</f>
        <v>355.7210928</v>
      </c>
      <c r="U1713" s="82">
        <f>IFERROR(__xludf.DUMMYFUNCTION("""COMPUTED_VALUE"""),0.8059080620851281)</f>
        <v>0.8059080621</v>
      </c>
      <c r="V1713" s="82">
        <f>IFERROR(__xludf.DUMMYFUNCTION("""COMPUTED_VALUE"""),0.5997882953973689)</f>
        <v>0.5997882954</v>
      </c>
      <c r="W1713" s="82">
        <f>IFERROR(__xludf.DUMMYFUNCTION("""COMPUTED_VALUE"""),1.2639752967301194)</f>
        <v>1.263975297</v>
      </c>
      <c r="X1713" s="82">
        <f>IFERROR(__xludf.DUMMYFUNCTION("""COMPUTED_VALUE"""),2.6928870343314264)</f>
        <v>2.692887034</v>
      </c>
      <c r="Y1713" s="82">
        <f>IFERROR(__xludf.DUMMYFUNCTION("""COMPUTED_VALUE"""),339.53650940639807)</f>
        <v>339.5365094</v>
      </c>
      <c r="Z1713" s="82">
        <f>IFERROR(__xludf.DUMMYFUNCTION("""COMPUTED_VALUE"""),0.7291681712893112)</f>
        <v>0.7291681713</v>
      </c>
      <c r="AA1713" s="82">
        <f>IFERROR(__xludf.DUMMYFUNCTION("""COMPUTED_VALUE"""),0.5109194265699782)</f>
        <v>0.5109194266</v>
      </c>
      <c r="AB1713" s="82">
        <f>IFERROR(__xludf.DUMMYFUNCTION("""COMPUTED_VALUE"""),1.3385805439389626)</f>
        <v>1.338580544</v>
      </c>
      <c r="AC1713" s="82">
        <f>IFERROR(__xludf.DUMMYFUNCTION("""COMPUTED_VALUE"""),2.405389936038106)</f>
        <v>2.405389936</v>
      </c>
      <c r="AD1713" s="82">
        <f>IFERROR(__xludf.DUMMYFUNCTION("""COMPUTED_VALUE"""),1.1817014021032066)</f>
        <v>1.181701402</v>
      </c>
      <c r="AE1713" s="82">
        <f>IFERROR(__xludf.DUMMYFUNCTION("""COMPUTED_VALUE"""),1.3714257415155757)</f>
        <v>1.371425742</v>
      </c>
      <c r="AF1713" s="82">
        <f>IFERROR(__xludf.DUMMYFUNCTION("""COMPUTED_VALUE"""),1.6561395048813092)</f>
        <v>1.656139505</v>
      </c>
      <c r="AG1713" s="82">
        <f>IFERROR(__xludf.DUMMYFUNCTION("""COMPUTED_VALUE"""),1.3217215633693264)</f>
        <v>1.321721563</v>
      </c>
      <c r="AH1713" s="82">
        <f>IFERROR(__xludf.DUMMYFUNCTION("""COMPUTED_VALUE"""),1.023342795552241)</f>
        <v>1.023342796</v>
      </c>
      <c r="AI1713" s="82">
        <f>IFERROR(__xludf.DUMMYFUNCTION("""COMPUTED_VALUE"""),1.0182278632395356)</f>
        <v>1.018227863</v>
      </c>
      <c r="AJ1713" s="82">
        <f>IFERROR(__xludf.DUMMYFUNCTION("""COMPUTED_VALUE"""),1.0817547469859954)</f>
        <v>1.081754747</v>
      </c>
      <c r="AK1713" s="82">
        <f>IFERROR(__xludf.DUMMYFUNCTION("""COMPUTED_VALUE"""),1.282503801980901)</f>
        <v>1.282503802</v>
      </c>
      <c r="AL1713" s="82">
        <f>IFERROR(__xludf.DUMMYFUNCTION("""COMPUTED_VALUE"""),0.8722987746804983)</f>
        <v>0.8722987747</v>
      </c>
      <c r="AM1713" s="82">
        <f>IFERROR(__xludf.DUMMYFUNCTION("""COMPUTED_VALUE"""),1.028350143888712)</f>
        <v>1.028350144</v>
      </c>
      <c r="AN1713" s="82">
        <f>IFERROR(__xludf.DUMMYFUNCTION("""COMPUTED_VALUE"""),1.183303539968387)</f>
        <v>1.18330354</v>
      </c>
      <c r="AO1713" s="82">
        <f>IFERROR(__xludf.DUMMYFUNCTION("""COMPUTED_VALUE"""),1.3445559366319677)</f>
        <v>1.344555937</v>
      </c>
      <c r="AP1713" s="82">
        <f>IFERROR(__xludf.DUMMYFUNCTION("""COMPUTED_VALUE"""),1.5503053899747425)</f>
        <v>1.55030539</v>
      </c>
      <c r="AQ1713" s="82">
        <f>IFERROR(__xludf.DUMMYFUNCTION("""COMPUTED_VALUE"""),1.3527795301292993)</f>
        <v>1.35277953</v>
      </c>
      <c r="AR1713" s="82">
        <f>IFERROR(__xludf.DUMMYFUNCTION("""COMPUTED_VALUE"""),0.9839468139389005)</f>
        <v>0.9839468139</v>
      </c>
      <c r="AS1713" s="82">
        <f>IFERROR(__xludf.DUMMYFUNCTION("""COMPUTED_VALUE"""),37.0)</f>
        <v>37</v>
      </c>
      <c r="AT1713" s="82">
        <f>IFERROR(__xludf.DUMMYFUNCTION("""COMPUTED_VALUE"""),0.5343570639363521)</f>
        <v>0.5343570639</v>
      </c>
      <c r="AU1713" s="82">
        <f>IFERROR(__xludf.DUMMYFUNCTION("""COMPUTED_VALUE"""),3.4982170700855413)</f>
        <v>3.49821707</v>
      </c>
      <c r="AV1713" s="82">
        <f>IFERROR(__xludf.DUMMYFUNCTION("""COMPUTED_VALUE"""),79.34157995595)</f>
        <v>79.34157996</v>
      </c>
      <c r="AW1713" s="82">
        <f t="shared" si="1"/>
        <v>8.314972608</v>
      </c>
      <c r="AX1713" s="83">
        <f t="array" ref="AX1713">IFERROR(DGET('SBV Import'!A:G,"SBV",{"RSC ID","Tier";B1713,A1713}))</f>
        <v>68.66038682</v>
      </c>
      <c r="AY1713" s="82">
        <f t="shared" si="2"/>
        <v>4.391584645</v>
      </c>
      <c r="AZ1713" s="82">
        <v>3.923387963581094</v>
      </c>
      <c r="BA1713" s="84">
        <v>1700.0</v>
      </c>
      <c r="BB1713" s="84" t="b">
        <f>IFERROR(__xludf.DUMMYFUNCTION("iferror(if(A1713="""",,E1713&gt;=FILTER(Constants!$F$2:$F$10,Constants!$A$2:$A$10=A1713)))"),TRUE)</f>
        <v>1</v>
      </c>
    </row>
    <row r="1714">
      <c r="A1714" s="89" t="str">
        <f>IFERROR(__xludf.DUMMYFUNCTION("""COMPUTED_VALUE"""),"Rival")</f>
        <v>Rival</v>
      </c>
      <c r="B1714" s="87" t="str">
        <f>IFERROR(__xludf.DUMMYFUNCTION("""COMPUTED_VALUE"""),"RSC005691")</f>
        <v>RSC005691</v>
      </c>
      <c r="C1714" s="73" t="str">
        <f>IFERROR(__xludf.DUMMYFUNCTION("""COMPUTED_VALUE"""),"Dr.Ukulele")</f>
        <v>Dr.Ukulele</v>
      </c>
      <c r="D1714" s="73" t="str">
        <f>IFERROR(__xludf.DUMMYFUNCTION("""COMPUTED_VALUE"""),"Hot Wings")</f>
        <v>Hot Wings</v>
      </c>
      <c r="E1714" s="82">
        <f>IFERROR(__xludf.DUMMYFUNCTION("""COMPUTED_VALUE"""),43.0)</f>
        <v>43</v>
      </c>
      <c r="F1714" s="82">
        <f>IFERROR(__xludf.DUMMYFUNCTION("""COMPUTED_VALUE"""),27.0)</f>
        <v>27</v>
      </c>
      <c r="G1714" s="86">
        <f>IFERROR(__xludf.DUMMYFUNCTION("""COMPUTED_VALUE"""),16.0)</f>
        <v>16</v>
      </c>
      <c r="H1714" s="86">
        <f>IFERROR(__xludf.DUMMYFUNCTION("""COMPUTED_VALUE"""),0.627906976744186)</f>
        <v>0.6279069767</v>
      </c>
      <c r="I1714" s="86">
        <f>IFERROR(__xludf.DUMMYFUNCTION("""COMPUTED_VALUE"""),0.3333333333333333)</f>
        <v>0.3333333333</v>
      </c>
      <c r="J1714" s="82">
        <f>IFERROR(__xludf.DUMMYFUNCTION("""COMPUTED_VALUE"""),381.1860465116279)</f>
        <v>381.1860465</v>
      </c>
      <c r="K1714" s="82">
        <f>IFERROR(__xludf.DUMMYFUNCTION("""COMPUTED_VALUE"""),1.0)</f>
        <v>1</v>
      </c>
      <c r="L1714" s="82">
        <f>IFERROR(__xludf.DUMMYFUNCTION("""COMPUTED_VALUE"""),0.627906976744186)</f>
        <v>0.6279069767</v>
      </c>
      <c r="M1714" s="82">
        <f>IFERROR(__xludf.DUMMYFUNCTION("""COMPUTED_VALUE"""),1.4883720930232558)</f>
        <v>1.488372093</v>
      </c>
      <c r="N1714" s="82">
        <f>IFERROR(__xludf.DUMMYFUNCTION("""COMPUTED_VALUE"""),3.0)</f>
        <v>3</v>
      </c>
      <c r="O1714" s="82">
        <f>IFERROR(__xludf.DUMMYFUNCTION("""COMPUTED_VALUE"""),336.5348837209302)</f>
        <v>336.5348837</v>
      </c>
      <c r="P1714" s="82">
        <f>IFERROR(__xludf.DUMMYFUNCTION("""COMPUTED_VALUE"""),0.7286821705426358)</f>
        <v>0.7286821705</v>
      </c>
      <c r="Q1714" s="82">
        <f>IFERROR(__xludf.DUMMYFUNCTION("""COMPUTED_VALUE"""),0.434108527131783)</f>
        <v>0.4341085271</v>
      </c>
      <c r="R1714" s="82">
        <f>IFERROR(__xludf.DUMMYFUNCTION("""COMPUTED_VALUE"""),1.5116279069767442)</f>
        <v>1.511627907</v>
      </c>
      <c r="S1714" s="82">
        <f>IFERROR(__xludf.DUMMYFUNCTION("""COMPUTED_VALUE"""),2.550387596899226)</f>
        <v>2.550387597</v>
      </c>
      <c r="T1714" s="82">
        <f>IFERROR(__xludf.DUMMYFUNCTION("""COMPUTED_VALUE"""),349.39904873184327)</f>
        <v>349.3990487</v>
      </c>
      <c r="U1714" s="82">
        <f>IFERROR(__xludf.DUMMYFUNCTION("""COMPUTED_VALUE"""),0.824908556692861)</f>
        <v>0.8249085567</v>
      </c>
      <c r="V1714" s="82">
        <f>IFERROR(__xludf.DUMMYFUNCTION("""COMPUTED_VALUE"""),0.5672321679478456)</f>
        <v>0.5672321679</v>
      </c>
      <c r="W1714" s="82">
        <f>IFERROR(__xludf.DUMMYFUNCTION("""COMPUTED_VALUE"""),1.29595538476032)</f>
        <v>1.295955385</v>
      </c>
      <c r="X1714" s="82">
        <f>IFERROR(__xludf.DUMMYFUNCTION("""COMPUTED_VALUE"""),2.629466899993262)</f>
        <v>2.6294669</v>
      </c>
      <c r="Y1714" s="82">
        <f>IFERROR(__xludf.DUMMYFUNCTION("""COMPUTED_VALUE"""),346.2062799243471)</f>
        <v>346.2062799</v>
      </c>
      <c r="Z1714" s="82">
        <f>IFERROR(__xludf.DUMMYFUNCTION("""COMPUTED_VALUE"""),0.7755519095153633)</f>
        <v>0.7755519095</v>
      </c>
      <c r="AA1714" s="82">
        <f>IFERROR(__xludf.DUMMYFUNCTION("""COMPUTED_VALUE"""),0.5642240045563873)</f>
        <v>0.5642240046</v>
      </c>
      <c r="AB1714" s="82">
        <f>IFERROR(__xludf.DUMMYFUNCTION("""COMPUTED_VALUE"""),1.3418428473017392)</f>
        <v>1.341842847</v>
      </c>
      <c r="AC1714" s="82">
        <f>IFERROR(__xludf.DUMMYFUNCTION("""COMPUTED_VALUE"""),2.5498237695986923)</f>
        <v>2.54982377</v>
      </c>
      <c r="AD1714" s="82">
        <f>IFERROR(__xludf.DUMMYFUNCTION("""COMPUTED_VALUE"""),1.1010373543626204)</f>
        <v>1.101037354</v>
      </c>
      <c r="AE1714" s="82">
        <f>IFERROR(__xludf.DUMMYFUNCTION("""COMPUTED_VALUE"""),1.2894043425473514)</f>
        <v>1.289404343</v>
      </c>
      <c r="AF1714" s="82">
        <f>IFERROR(__xludf.DUMMYFUNCTION("""COMPUTED_VALUE"""),1.1128682432394357)</f>
        <v>1.112868243</v>
      </c>
      <c r="AG1714" s="82">
        <f>IFERROR(__xludf.DUMMYFUNCTION("""COMPUTED_VALUE"""),1.1092000050648008)</f>
        <v>1.109200005</v>
      </c>
      <c r="AH1714" s="82">
        <f>IFERROR(__xludf.DUMMYFUNCTION("""COMPUTED_VALUE"""),1.1765518996915458)</f>
        <v>1.1765519</v>
      </c>
      <c r="AI1714" s="82">
        <f>IFERROR(__xludf.DUMMYFUNCTION("""COMPUTED_VALUE"""),0.9631820262315997)</f>
        <v>0.9631820262</v>
      </c>
      <c r="AJ1714" s="82">
        <f>IFERROR(__xludf.DUMMYFUNCTION("""COMPUTED_VALUE"""),0.8833490265442194)</f>
        <v>0.8833490265</v>
      </c>
      <c r="AK1714" s="82">
        <f>IFERROR(__xludf.DUMMYFUNCTION("""COMPUTED_VALUE"""),0.7653101351820676)</f>
        <v>0.7653101352</v>
      </c>
      <c r="AL1714" s="82">
        <f>IFERROR(__xludf.DUMMYFUNCTION("""COMPUTED_VALUE"""),1.1664197122467388)</f>
        <v>1.166419712</v>
      </c>
      <c r="AM1714" s="82">
        <f>IFERROR(__xludf.DUMMYFUNCTION("""COMPUTED_VALUE"""),0.9699257278750157)</f>
        <v>0.9699257279</v>
      </c>
      <c r="AN1714" s="82">
        <f>IFERROR(__xludf.DUMMYFUNCTION("""COMPUTED_VALUE"""),1.1241879556957297)</f>
        <v>1.124187956</v>
      </c>
      <c r="AO1714" s="82">
        <f>IFERROR(__xludf.DUMMYFUNCTION("""COMPUTED_VALUE"""),1.3445559366319677)</f>
        <v>1.344555937</v>
      </c>
      <c r="AP1714" s="82">
        <f>IFERROR(__xludf.DUMMYFUNCTION("""COMPUTED_VALUE"""),1.1504380378036674)</f>
        <v>1.150438038</v>
      </c>
      <c r="AQ1714" s="82">
        <f>IFERROR(__xludf.DUMMYFUNCTION("""COMPUTED_VALUE"""),1.1380309090673175)</f>
        <v>1.138030909</v>
      </c>
      <c r="AR1714" s="82">
        <f>IFERROR(__xludf.DUMMYFUNCTION("""COMPUTED_VALUE"""),1.1991851794880348)</f>
        <v>1.199185179</v>
      </c>
      <c r="AS1714" s="82">
        <f>IFERROR(__xludf.DUMMYFUNCTION("""COMPUTED_VALUE"""),123.0)</f>
        <v>123</v>
      </c>
      <c r="AT1714" s="82">
        <f>IFERROR(__xludf.DUMMYFUNCTION("""COMPUTED_VALUE"""),0.6053697832119177)</f>
        <v>0.6053697832</v>
      </c>
      <c r="AU1714" s="82">
        <f>IFERROR(__xludf.DUMMYFUNCTION("""COMPUTED_VALUE"""),3.452338835973371)</f>
        <v>3.452338836</v>
      </c>
      <c r="AV1714" s="82">
        <f>IFERROR(__xludf.DUMMYFUNCTION("""COMPUTED_VALUE"""),78.02808726424263)</f>
        <v>78.02808726</v>
      </c>
      <c r="AW1714" s="82">
        <f t="shared" si="1"/>
        <v>7.62673825</v>
      </c>
      <c r="AX1714" s="83">
        <f t="array" ref="AX1714">IFERROR(DGET('SBV Import'!A:G,"SBV",{"RSC ID","Tier";B1714,A1714}))</f>
        <v>55.03887793</v>
      </c>
      <c r="AY1714" s="82">
        <f t="shared" si="2"/>
        <v>2.380202798</v>
      </c>
      <c r="AZ1714" s="82">
        <v>5.246535452235133</v>
      </c>
      <c r="BA1714" s="84">
        <v>1700.0</v>
      </c>
      <c r="BB1714" s="84" t="b">
        <f>IFERROR(__xludf.DUMMYFUNCTION("iferror(if(A1714="""",,E1714&gt;=FILTER(Constants!$F$2:$F$10,Constants!$A$2:$A$10=A1714)))"),TRUE)</f>
        <v>1</v>
      </c>
    </row>
    <row r="1715">
      <c r="A1715" s="89" t="str">
        <f>IFERROR(__xludf.DUMMYFUNCTION("""COMPUTED_VALUE"""),"Rival")</f>
        <v>Rival</v>
      </c>
      <c r="B1715" s="87" t="str">
        <f>IFERROR(__xludf.DUMMYFUNCTION("""COMPUTED_VALUE"""),"RSC005518")</f>
        <v>RSC005518</v>
      </c>
      <c r="C1715" s="73" t="str">
        <f>IFERROR(__xludf.DUMMYFUNCTION("""COMPUTED_VALUE"""),"PublicEnemy#1")</f>
        <v>PublicEnemy#1</v>
      </c>
      <c r="D1715" s="73" t="str">
        <f>IFERROR(__xludf.DUMMYFUNCTION("""COMPUTED_VALUE"""),"Jetstream")</f>
        <v>Jetstream</v>
      </c>
      <c r="E1715" s="82">
        <f>IFERROR(__xludf.DUMMYFUNCTION("""COMPUTED_VALUE"""),32.0)</f>
        <v>32</v>
      </c>
      <c r="F1715" s="82">
        <f>IFERROR(__xludf.DUMMYFUNCTION("""COMPUTED_VALUE"""),16.0)</f>
        <v>16</v>
      </c>
      <c r="G1715" s="86">
        <f>IFERROR(__xludf.DUMMYFUNCTION("""COMPUTED_VALUE"""),16.0)</f>
        <v>16</v>
      </c>
      <c r="H1715" s="86">
        <f>IFERROR(__xludf.DUMMYFUNCTION("""COMPUTED_VALUE"""),0.5)</f>
        <v>0.5</v>
      </c>
      <c r="I1715" s="86">
        <f>IFERROR(__xludf.DUMMYFUNCTION("""COMPUTED_VALUE"""),0.3235294117647059)</f>
        <v>0.3235294118</v>
      </c>
      <c r="J1715" s="82">
        <f>IFERROR(__xludf.DUMMYFUNCTION("""COMPUTED_VALUE"""),428.875)</f>
        <v>428.875</v>
      </c>
      <c r="K1715" s="82">
        <f>IFERROR(__xludf.DUMMYFUNCTION("""COMPUTED_VALUE"""),1.03125)</f>
        <v>1.03125</v>
      </c>
      <c r="L1715" s="82">
        <f>IFERROR(__xludf.DUMMYFUNCTION("""COMPUTED_VALUE"""),0.53125)</f>
        <v>0.53125</v>
      </c>
      <c r="M1715" s="82">
        <f>IFERROR(__xludf.DUMMYFUNCTION("""COMPUTED_VALUE"""),1.625)</f>
        <v>1.625</v>
      </c>
      <c r="N1715" s="82">
        <f>IFERROR(__xludf.DUMMYFUNCTION("""COMPUTED_VALUE"""),3.1875)</f>
        <v>3.1875</v>
      </c>
      <c r="O1715" s="82">
        <f>IFERROR(__xludf.DUMMYFUNCTION("""COMPUTED_VALUE"""),345.88541666666663)</f>
        <v>345.8854167</v>
      </c>
      <c r="P1715" s="82">
        <f>IFERROR(__xludf.DUMMYFUNCTION("""COMPUTED_VALUE"""),0.6874999999999999)</f>
        <v>0.6875</v>
      </c>
      <c r="Q1715" s="82">
        <f>IFERROR(__xludf.DUMMYFUNCTION("""COMPUTED_VALUE"""),0.5104166666666667)</f>
        <v>0.5104166667</v>
      </c>
      <c r="R1715" s="82">
        <f>IFERROR(__xludf.DUMMYFUNCTION("""COMPUTED_VALUE"""),1.3020833333333335)</f>
        <v>1.302083333</v>
      </c>
      <c r="S1715" s="82">
        <f>IFERROR(__xludf.DUMMYFUNCTION("""COMPUTED_VALUE"""),2.6562500000000004)</f>
        <v>2.65625</v>
      </c>
      <c r="T1715" s="82">
        <f>IFERROR(__xludf.DUMMYFUNCTION("""COMPUTED_VALUE"""),352.96059216845924)</f>
        <v>352.9605922</v>
      </c>
      <c r="U1715" s="82">
        <f>IFERROR(__xludf.DUMMYFUNCTION("""COMPUTED_VALUE"""),0.7935806422539475)</f>
        <v>0.7935806423</v>
      </c>
      <c r="V1715" s="82">
        <f>IFERROR(__xludf.DUMMYFUNCTION("""COMPUTED_VALUE"""),0.5604532851812096)</f>
        <v>0.5604532852</v>
      </c>
      <c r="W1715" s="82">
        <f>IFERROR(__xludf.DUMMYFUNCTION("""COMPUTED_VALUE"""),1.3203365933041966)</f>
        <v>1.320336593</v>
      </c>
      <c r="X1715" s="82">
        <f>IFERROR(__xludf.DUMMYFUNCTION("""COMPUTED_VALUE"""),2.59689832612951)</f>
        <v>2.596898326</v>
      </c>
      <c r="Y1715" s="82">
        <f>IFERROR(__xludf.DUMMYFUNCTION("""COMPUTED_VALUE"""),353.98346916410566)</f>
        <v>353.9834692</v>
      </c>
      <c r="Z1715" s="82">
        <f>IFERROR(__xludf.DUMMYFUNCTION("""COMPUTED_VALUE"""),0.8201036039541404)</f>
        <v>0.820103604</v>
      </c>
      <c r="AA1715" s="82">
        <f>IFERROR(__xludf.DUMMYFUNCTION("""COMPUTED_VALUE"""),0.5945136003447756)</f>
        <v>0.5945136003</v>
      </c>
      <c r="AB1715" s="82">
        <f>IFERROR(__xludf.DUMMYFUNCTION("""COMPUTED_VALUE"""),1.2978521187903067)</f>
        <v>1.297852119</v>
      </c>
      <c r="AC1715" s="82">
        <f>IFERROR(__xludf.DUMMYFUNCTION("""COMPUTED_VALUE"""),2.655111574084404)</f>
        <v>2.655111574</v>
      </c>
      <c r="AD1715" s="82">
        <f>IFERROR(__xludf.DUMMYFUNCTION("""COMPUTED_VALUE"""),1.2115678763551947)</f>
        <v>1.211567876</v>
      </c>
      <c r="AE1715" s="82">
        <f>IFERROR(__xludf.DUMMYFUNCTION("""COMPUTED_VALUE"""),1.2574630754307314)</f>
        <v>1.257463075</v>
      </c>
      <c r="AF1715" s="82">
        <f>IFERROR(__xludf.DUMMYFUNCTION("""COMPUTED_VALUE"""),0.8935876314552145)</f>
        <v>0.8935876315</v>
      </c>
      <c r="AG1715" s="82">
        <f>IFERROR(__xludf.DUMMYFUNCTION("""COMPUTED_VALUE"""),1.25206868831452)</f>
        <v>1.252068688</v>
      </c>
      <c r="AH1715" s="82">
        <f>IFERROR(__xludf.DUMMYFUNCTION("""COMPUTED_VALUE"""),1.2005145211644022)</f>
        <v>1.200514521</v>
      </c>
      <c r="AI1715" s="82">
        <f>IFERROR(__xludf.DUMMYFUNCTION("""COMPUTED_VALUE"""),0.9799547721225043)</f>
        <v>0.9799547721</v>
      </c>
      <c r="AJ1715" s="82">
        <f>IFERROR(__xludf.DUMMYFUNCTION("""COMPUTED_VALUE"""),0.8663265752644183)</f>
        <v>0.8663265753</v>
      </c>
      <c r="AK1715" s="82">
        <f>IFERROR(__xludf.DUMMYFUNCTION("""COMPUTED_VALUE"""),0.9107211611787328)</f>
        <v>0.9107211612</v>
      </c>
      <c r="AL1715" s="82">
        <f>IFERROR(__xludf.DUMMYFUNCTION("""COMPUTED_VALUE"""),0.9861752979782348)</f>
        <v>0.986175298</v>
      </c>
      <c r="AM1715" s="82">
        <f>IFERROR(__xludf.DUMMYFUNCTION("""COMPUTED_VALUE"""),1.0228548315786201)</f>
        <v>1.022854832</v>
      </c>
      <c r="AN1715" s="82">
        <f>IFERROR(__xludf.DUMMYFUNCTION("""COMPUTED_VALUE"""),1.2648314751056837)</f>
        <v>1.264831475</v>
      </c>
      <c r="AO1715" s="82">
        <f>IFERROR(__xludf.DUMMYFUNCTION("""COMPUTED_VALUE"""),1.3865733096517168)</f>
        <v>1.38657331</v>
      </c>
      <c r="AP1715" s="82">
        <f>IFERROR(__xludf.DUMMYFUNCTION("""COMPUTED_VALUE"""),0.9733451454102787)</f>
        <v>0.9733451454</v>
      </c>
      <c r="AQ1715" s="82">
        <f>IFERROR(__xludf.DUMMYFUNCTION("""COMPUTED_VALUE"""),1.2424985901731065)</f>
        <v>1.24249859</v>
      </c>
      <c r="AR1715" s="82">
        <f>IFERROR(__xludf.DUMMYFUNCTION("""COMPUTED_VALUE"""),1.2741342532060371)</f>
        <v>1.274134253</v>
      </c>
      <c r="AS1715" s="82">
        <f>IFERROR(__xludf.DUMMYFUNCTION("""COMPUTED_VALUE"""),81.0)</f>
        <v>81</v>
      </c>
      <c r="AT1715" s="82">
        <f>IFERROR(__xludf.DUMMYFUNCTION("""COMPUTED_VALUE"""),0.5786465200186878)</f>
        <v>0.57864652</v>
      </c>
      <c r="AU1715" s="82">
        <f>IFERROR(__xludf.DUMMYFUNCTION("""COMPUTED_VALUE"""),3.429616359486804)</f>
        <v>3.429616359</v>
      </c>
      <c r="AV1715" s="82">
        <f>IFERROR(__xludf.DUMMYFUNCTION("""COMPUTED_VALUE"""),77.37754333245948)</f>
        <v>77.37754333</v>
      </c>
      <c r="AW1715" s="82">
        <f t="shared" si="1"/>
        <v>7.31336112</v>
      </c>
      <c r="AX1715" s="83">
        <f t="array" ref="AX1715">IFERROR(DGET('SBV Import'!A:G,"SBV",{"RSC ID","Tier";B1715,A1715}))</f>
        <v>69.78090624</v>
      </c>
      <c r="AY1715" s="82">
        <f t="shared" si="2"/>
        <v>4.664112298</v>
      </c>
      <c r="AZ1715" s="82">
        <v>2.6492488220358767</v>
      </c>
      <c r="BA1715" s="84">
        <v>1700.0</v>
      </c>
      <c r="BB1715" s="84" t="b">
        <f>IFERROR(__xludf.DUMMYFUNCTION("iferror(if(A1715="""",,E1715&gt;=FILTER(Constants!$F$2:$F$10,Constants!$A$2:$A$10=A1715)))"),TRUE)</f>
        <v>1</v>
      </c>
    </row>
    <row r="1716">
      <c r="A1716" s="89" t="str">
        <f>IFERROR(__xludf.DUMMYFUNCTION("""COMPUTED_VALUE"""),"Rival")</f>
        <v>Rival</v>
      </c>
      <c r="B1716" s="87" t="str">
        <f>IFERROR(__xludf.DUMMYFUNCTION("""COMPUTED_VALUE"""),"RSC005523")</f>
        <v>RSC005523</v>
      </c>
      <c r="C1716" s="73" t="str">
        <f>IFERROR(__xludf.DUMMYFUNCTION("""COMPUTED_VALUE"""),"Laguna")</f>
        <v>Laguna</v>
      </c>
      <c r="D1716" s="73" t="str">
        <f>IFERROR(__xludf.DUMMYFUNCTION("""COMPUTED_VALUE"""),"Quasars")</f>
        <v>Quasars</v>
      </c>
      <c r="E1716" s="82">
        <f>IFERROR(__xludf.DUMMYFUNCTION("""COMPUTED_VALUE"""),37.0)</f>
        <v>37</v>
      </c>
      <c r="F1716" s="82">
        <f>IFERROR(__xludf.DUMMYFUNCTION("""COMPUTED_VALUE"""),19.0)</f>
        <v>19</v>
      </c>
      <c r="G1716" s="86">
        <f>IFERROR(__xludf.DUMMYFUNCTION("""COMPUTED_VALUE"""),18.0)</f>
        <v>18</v>
      </c>
      <c r="H1716" s="86">
        <f>IFERROR(__xludf.DUMMYFUNCTION("""COMPUTED_VALUE"""),0.5135135135135135)</f>
        <v>0.5135135135</v>
      </c>
      <c r="I1716" s="86">
        <f>IFERROR(__xludf.DUMMYFUNCTION("""COMPUTED_VALUE"""),0.36633663366336633)</f>
        <v>0.3663366337</v>
      </c>
      <c r="J1716" s="82">
        <f>IFERROR(__xludf.DUMMYFUNCTION("""COMPUTED_VALUE"""),377.3243243243243)</f>
        <v>377.3243243</v>
      </c>
      <c r="K1716" s="82">
        <f>IFERROR(__xludf.DUMMYFUNCTION("""COMPUTED_VALUE"""),1.0)</f>
        <v>1</v>
      </c>
      <c r="L1716" s="82">
        <f>IFERROR(__xludf.DUMMYFUNCTION("""COMPUTED_VALUE"""),0.8918918918918919)</f>
        <v>0.8918918919</v>
      </c>
      <c r="M1716" s="82">
        <f>IFERROR(__xludf.DUMMYFUNCTION("""COMPUTED_VALUE"""),1.1081081081081081)</f>
        <v>1.108108108</v>
      </c>
      <c r="N1716" s="82">
        <f>IFERROR(__xludf.DUMMYFUNCTION("""COMPUTED_VALUE"""),2.72972972972973)</f>
        <v>2.72972973</v>
      </c>
      <c r="O1716" s="82">
        <f>IFERROR(__xludf.DUMMYFUNCTION("""COMPUTED_VALUE"""),360.5045045045044)</f>
        <v>360.5045045</v>
      </c>
      <c r="P1716" s="82">
        <f>IFERROR(__xludf.DUMMYFUNCTION("""COMPUTED_VALUE"""),0.837837837837838)</f>
        <v>0.8378378378</v>
      </c>
      <c r="Q1716" s="82">
        <f>IFERROR(__xludf.DUMMYFUNCTION("""COMPUTED_VALUE"""),0.5585585585585586)</f>
        <v>0.5585585586</v>
      </c>
      <c r="R1716" s="82">
        <f>IFERROR(__xludf.DUMMYFUNCTION("""COMPUTED_VALUE"""),1.3963963963963968)</f>
        <v>1.396396396</v>
      </c>
      <c r="S1716" s="82">
        <f>IFERROR(__xludf.DUMMYFUNCTION("""COMPUTED_VALUE"""),2.522522522522523)</f>
        <v>2.522522523</v>
      </c>
      <c r="T1716" s="82">
        <f>IFERROR(__xludf.DUMMYFUNCTION("""COMPUTED_VALUE"""),346.0560725633594)</f>
        <v>346.0560726</v>
      </c>
      <c r="U1716" s="82">
        <f>IFERROR(__xludf.DUMMYFUNCTION("""COMPUTED_VALUE"""),0.7784437827453204)</f>
        <v>0.7784437827</v>
      </c>
      <c r="V1716" s="82">
        <f>IFERROR(__xludf.DUMMYFUNCTION("""COMPUTED_VALUE"""),0.5223504330335895)</f>
        <v>0.522350433</v>
      </c>
      <c r="W1716" s="82">
        <f>IFERROR(__xludf.DUMMYFUNCTION("""COMPUTED_VALUE"""),1.330897909480263)</f>
        <v>1.330897909</v>
      </c>
      <c r="X1716" s="82">
        <f>IFERROR(__xludf.DUMMYFUNCTION("""COMPUTED_VALUE"""),2.565826565033432)</f>
        <v>2.565826565</v>
      </c>
      <c r="Y1716" s="82">
        <f>IFERROR(__xludf.DUMMYFUNCTION("""COMPUTED_VALUE"""),353.12227468318895)</f>
        <v>353.1222747</v>
      </c>
      <c r="Z1716" s="82">
        <f>IFERROR(__xludf.DUMMYFUNCTION("""COMPUTED_VALUE"""),0.8134007865809457)</f>
        <v>0.8134007866</v>
      </c>
      <c r="AA1716" s="82">
        <f>IFERROR(__xludf.DUMMYFUNCTION("""COMPUTED_VALUE"""),0.5946837188303276)</f>
        <v>0.5946837188</v>
      </c>
      <c r="AB1716" s="82">
        <f>IFERROR(__xludf.DUMMYFUNCTION("""COMPUTED_VALUE"""),1.3256524594095995)</f>
        <v>1.325652459</v>
      </c>
      <c r="AC1716" s="82">
        <f>IFERROR(__xludf.DUMMYFUNCTION("""COMPUTED_VALUE"""),2.6634154167769752)</f>
        <v>2.663415417</v>
      </c>
      <c r="AD1716" s="82">
        <f>IFERROR(__xludf.DUMMYFUNCTION("""COMPUTED_VALUE"""),1.068537306695956)</f>
        <v>1.068537307</v>
      </c>
      <c r="AE1716" s="82">
        <f>IFERROR(__xludf.DUMMYFUNCTION("""COMPUTED_VALUE"""),1.2294062367500365)</f>
        <v>1.229406237</v>
      </c>
      <c r="AF1716" s="82">
        <f>IFERROR(__xludf.DUMMYFUNCTION("""COMPUTED_VALUE"""),1.4997751975556648)</f>
        <v>1.499775198</v>
      </c>
      <c r="AG1716" s="82">
        <f>IFERROR(__xludf.DUMMYFUNCTION("""COMPUTED_VALUE"""),0.8358963921823234)</f>
        <v>0.8358963922</v>
      </c>
      <c r="AH1716" s="82">
        <f>IFERROR(__xludf.DUMMYFUNCTION("""COMPUTED_VALUE"""),1.0248982237374755)</f>
        <v>1.024898224</v>
      </c>
      <c r="AI1716" s="82">
        <f>IFERROR(__xludf.DUMMYFUNCTION("""COMPUTED_VALUE"""),1.0417517075603393)</f>
        <v>1.041751708</v>
      </c>
      <c r="AJ1716" s="82">
        <f>IFERROR(__xludf.DUMMYFUNCTION("""COMPUTED_VALUE"""),1.0762984513577254)</f>
        <v>1.076298451</v>
      </c>
      <c r="AK1716" s="82">
        <f>IFERROR(__xludf.DUMMYFUNCTION("""COMPUTED_VALUE"""),1.0693176902614738)</f>
        <v>1.06931769</v>
      </c>
      <c r="AL1716" s="82">
        <f>IFERROR(__xludf.DUMMYFUNCTION("""COMPUTED_VALUE"""),1.0492137574562064)</f>
        <v>1.049213757</v>
      </c>
      <c r="AM1716" s="82">
        <f>IFERROR(__xludf.DUMMYFUNCTION("""COMPUTED_VALUE"""),0.9831227710005627)</f>
        <v>0.983122771</v>
      </c>
      <c r="AN1716" s="82">
        <f>IFERROR(__xludf.DUMMYFUNCTION("""COMPUTED_VALUE"""),1.112799024723732)</f>
        <v>1.112799025</v>
      </c>
      <c r="AO1716" s="82">
        <f>IFERROR(__xludf.DUMMYFUNCTION("""COMPUTED_VALUE"""),1.3445559366319677)</f>
        <v>1.344555937</v>
      </c>
      <c r="AP1716" s="82">
        <f>IFERROR(__xludf.DUMMYFUNCTION("""COMPUTED_VALUE"""),1.6341056813247286)</f>
        <v>1.634105681</v>
      </c>
      <c r="AQ1716" s="82">
        <f>IFERROR(__xludf.DUMMYFUNCTION("""COMPUTED_VALUE"""),0.8472755458976692)</f>
        <v>0.8472755459</v>
      </c>
      <c r="AR1716" s="82">
        <f>IFERROR(__xludf.DUMMYFUNCTION("""COMPUTED_VALUE"""),1.091150478633257)</f>
        <v>1.091150479</v>
      </c>
      <c r="AS1716" s="82">
        <f>IFERROR(__xludf.DUMMYFUNCTION("""COMPUTED_VALUE"""),103.0)</f>
        <v>103</v>
      </c>
      <c r="AT1716" s="82">
        <f>IFERROR(__xludf.DUMMYFUNCTION("""COMPUTED_VALUE"""),0.5411067780288175)</f>
        <v>0.541106778</v>
      </c>
      <c r="AU1716" s="82">
        <f>IFERROR(__xludf.DUMMYFUNCTION("""COMPUTED_VALUE"""),3.42694255914799)</f>
        <v>3.426942559</v>
      </c>
      <c r="AV1716" s="82">
        <f>IFERROR(__xludf.DUMMYFUNCTION("""COMPUTED_VALUE"""),77.30099249583552)</f>
        <v>77.3009925</v>
      </c>
      <c r="AW1716" s="82">
        <f t="shared" si="1"/>
        <v>7.277605866</v>
      </c>
      <c r="AX1716" s="83">
        <f t="array" ref="AX1716">IFERROR(DGET('SBV Import'!A:G,"SBV",{"RSC ID","Tier";B1716,A1716}))</f>
        <v>58.89675239</v>
      </c>
      <c r="AY1716" s="82">
        <f t="shared" si="2"/>
        <v>2.770321566</v>
      </c>
      <c r="AZ1716" s="82">
        <v>4.507284300550754</v>
      </c>
      <c r="BA1716" s="84">
        <v>1700.0</v>
      </c>
      <c r="BB1716" s="84" t="b">
        <f>IFERROR(__xludf.DUMMYFUNCTION("iferror(if(A1716="""",,E1716&gt;=FILTER(Constants!$F$2:$F$10,Constants!$A$2:$A$10=A1716)))"),TRUE)</f>
        <v>1</v>
      </c>
    </row>
    <row r="1717">
      <c r="A1717" s="89" t="str">
        <f>IFERROR(__xludf.DUMMYFUNCTION("""COMPUTED_VALUE"""),"Rival")</f>
        <v>Rival</v>
      </c>
      <c r="B1717" s="87" t="str">
        <f>IFERROR(__xludf.DUMMYFUNCTION("""COMPUTED_VALUE"""),"RSC008045")</f>
        <v>RSC008045</v>
      </c>
      <c r="C1717" s="73" t="str">
        <f>IFERROR(__xludf.DUMMYFUNCTION("""COMPUTED_VALUE"""),"Uncaringfool230")</f>
        <v>Uncaringfool230</v>
      </c>
      <c r="D1717" s="73"/>
      <c r="E1717" s="82">
        <f>IFERROR(__xludf.DUMMYFUNCTION("""COMPUTED_VALUE"""),4.0)</f>
        <v>4</v>
      </c>
      <c r="F1717" s="82">
        <f>IFERROR(__xludf.DUMMYFUNCTION("""COMPUTED_VALUE"""),3.0)</f>
        <v>3</v>
      </c>
      <c r="G1717" s="86">
        <f>IFERROR(__xludf.DUMMYFUNCTION("""COMPUTED_VALUE"""),1.0)</f>
        <v>1</v>
      </c>
      <c r="H1717" s="86">
        <f>IFERROR(__xludf.DUMMYFUNCTION("""COMPUTED_VALUE"""),0.75)</f>
        <v>0.75</v>
      </c>
      <c r="I1717" s="86">
        <f>IFERROR(__xludf.DUMMYFUNCTION("""COMPUTED_VALUE"""),0.4166666666666667)</f>
        <v>0.4166666667</v>
      </c>
      <c r="J1717" s="82">
        <f>IFERROR(__xludf.DUMMYFUNCTION("""COMPUTED_VALUE"""),433.75)</f>
        <v>433.75</v>
      </c>
      <c r="K1717" s="82">
        <f>IFERROR(__xludf.DUMMYFUNCTION("""COMPUTED_VALUE"""),1.25)</f>
        <v>1.25</v>
      </c>
      <c r="L1717" s="82">
        <f>IFERROR(__xludf.DUMMYFUNCTION("""COMPUTED_VALUE"""),0.25)</f>
        <v>0.25</v>
      </c>
      <c r="M1717" s="82">
        <f>IFERROR(__xludf.DUMMYFUNCTION("""COMPUTED_VALUE"""),1.5)</f>
        <v>1.5</v>
      </c>
      <c r="N1717" s="82">
        <f>IFERROR(__xludf.DUMMYFUNCTION("""COMPUTED_VALUE"""),3.0)</f>
        <v>3</v>
      </c>
      <c r="O1717" s="82">
        <f>IFERROR(__xludf.DUMMYFUNCTION("""COMPUTED_VALUE"""),324.6666666666667)</f>
        <v>324.6666667</v>
      </c>
      <c r="P1717" s="82">
        <f>IFERROR(__xludf.DUMMYFUNCTION("""COMPUTED_VALUE"""),0.5)</f>
        <v>0.5</v>
      </c>
      <c r="Q1717" s="82">
        <f>IFERROR(__xludf.DUMMYFUNCTION("""COMPUTED_VALUE"""),0.25)</f>
        <v>0.25</v>
      </c>
      <c r="R1717" s="82">
        <f>IFERROR(__xludf.DUMMYFUNCTION("""COMPUTED_VALUE"""),1.8333333333333333)</f>
        <v>1.833333333</v>
      </c>
      <c r="S1717" s="82">
        <f>IFERROR(__xludf.DUMMYFUNCTION("""COMPUTED_VALUE"""),2.0833333333333335)</f>
        <v>2.083333333</v>
      </c>
      <c r="T1717" s="82">
        <f>IFERROR(__xludf.DUMMYFUNCTION("""COMPUTED_VALUE"""),335.4136363636364)</f>
        <v>335.4136364</v>
      </c>
      <c r="U1717" s="82">
        <f>IFERROR(__xludf.DUMMYFUNCTION("""COMPUTED_VALUE"""),0.6237373737373737)</f>
        <v>0.6237373737</v>
      </c>
      <c r="V1717" s="82">
        <f>IFERROR(__xludf.DUMMYFUNCTION("""COMPUTED_VALUE"""),0.5627946127946127)</f>
        <v>0.5627946128</v>
      </c>
      <c r="W1717" s="82">
        <f>IFERROR(__xludf.DUMMYFUNCTION("""COMPUTED_VALUE"""),1.4055555555555557)</f>
        <v>1.405555556</v>
      </c>
      <c r="X1717" s="82">
        <f>IFERROR(__xludf.DUMMYFUNCTION("""COMPUTED_VALUE"""),2.375925925925926)</f>
        <v>2.375925926</v>
      </c>
      <c r="Y1717" s="82">
        <f>IFERROR(__xludf.DUMMYFUNCTION("""COMPUTED_VALUE"""),364.532884399551)</f>
        <v>364.5328844</v>
      </c>
      <c r="Z1717" s="82">
        <f>IFERROR(__xludf.DUMMYFUNCTION("""COMPUTED_VALUE"""),0.9250841750841751)</f>
        <v>0.9250841751</v>
      </c>
      <c r="AA1717" s="82">
        <f>IFERROR(__xludf.DUMMYFUNCTION("""COMPUTED_VALUE"""),0.5557800224466889)</f>
        <v>0.5557800224</v>
      </c>
      <c r="AB1717" s="82">
        <f>IFERROR(__xludf.DUMMYFUNCTION("""COMPUTED_VALUE"""),1.2432098765432098)</f>
        <v>1.243209877</v>
      </c>
      <c r="AC1717" s="82">
        <f>IFERROR(__xludf.DUMMYFUNCTION("""COMPUTED_VALUE"""),2.888047138047138)</f>
        <v>2.888047138</v>
      </c>
      <c r="AD1717" s="82">
        <f>IFERROR(__xludf.DUMMYFUNCTION("""COMPUTED_VALUE"""),1.189878934281777)</f>
        <v>1.189878934</v>
      </c>
      <c r="AE1717" s="82">
        <f>IFERROR(__xludf.DUMMYFUNCTION("""COMPUTED_VALUE"""),1.35122838944495)</f>
        <v>1.351228389</v>
      </c>
      <c r="AF1717" s="82">
        <f>IFERROR(__xludf.DUMMYFUNCTION("""COMPUTED_VALUE"""),0.44981825525040403)</f>
        <v>0.4498182553</v>
      </c>
      <c r="AG1717" s="82">
        <f>IFERROR(__xludf.DUMMYFUNCTION("""COMPUTED_VALUE"""),1.2065541211519366)</f>
        <v>1.206554121</v>
      </c>
      <c r="AH1717" s="82">
        <f>IFERROR(__xludf.DUMMYFUNCTION("""COMPUTED_VALUE"""),1.0387642086855144)</f>
        <v>1.038764209</v>
      </c>
      <c r="AI1717" s="82">
        <f>IFERROR(__xludf.DUMMYFUNCTION("""COMPUTED_VALUE"""),0.9679590555307106)</f>
        <v>0.9679590555</v>
      </c>
      <c r="AJ1717" s="82">
        <f>IFERROR(__xludf.DUMMYFUNCTION("""COMPUTED_VALUE"""),0.8016194331983806)</f>
        <v>0.8016194332</v>
      </c>
      <c r="AK1717" s="82">
        <f>IFERROR(__xludf.DUMMYFUNCTION("""COMPUTED_VALUE"""),0.4442117858211188)</f>
        <v>0.4442117858</v>
      </c>
      <c r="AL1717" s="82">
        <f>IFERROR(__xludf.DUMMYFUNCTION("""COMPUTED_VALUE"""),1.3043478260869563)</f>
        <v>1.304347826</v>
      </c>
      <c r="AM1717" s="82">
        <f>IFERROR(__xludf.DUMMYFUNCTION("""COMPUTED_VALUE"""),0.8768511301636789)</f>
        <v>0.8768511302</v>
      </c>
      <c r="AN1717" s="82">
        <f>IFERROR(__xludf.DUMMYFUNCTION("""COMPUTED_VALUE"""),1.2792087492325044)</f>
        <v>1.279208749</v>
      </c>
      <c r="AO1717" s="82">
        <f>IFERROR(__xludf.DUMMYFUNCTION("""COMPUTED_VALUE"""),1.6806949207899595)</f>
        <v>1.680694921</v>
      </c>
      <c r="AP1717" s="82">
        <f>IFERROR(__xludf.DUMMYFUNCTION("""COMPUTED_VALUE"""),0.4580447743107194)</f>
        <v>0.4580447743</v>
      </c>
      <c r="AQ1717" s="82">
        <f>IFERROR(__xludf.DUMMYFUNCTION("""COMPUTED_VALUE"""),1.1469217755444059)</f>
        <v>1.146921776</v>
      </c>
      <c r="AR1717" s="82">
        <f>IFERROR(__xludf.DUMMYFUNCTION("""COMPUTED_VALUE"""),1.1991851794880348)</f>
        <v>1.199185179</v>
      </c>
      <c r="AS1717" s="82">
        <f>IFERROR(__xludf.DUMMYFUNCTION("""COMPUTED_VALUE"""),12.0)</f>
        <v>12</v>
      </c>
      <c r="AT1717" s="82">
        <f>IFERROR(__xludf.DUMMYFUNCTION("""COMPUTED_VALUE"""),0.7440882325900361)</f>
        <v>0.7440882326</v>
      </c>
      <c r="AU1717" s="82">
        <f>IFERROR(__xludf.DUMMYFUNCTION("""COMPUTED_VALUE"""),3.408985389802481)</f>
        <v>3.40898539</v>
      </c>
      <c r="AV1717" s="82">
        <f>IFERROR(__xludf.DUMMYFUNCTION("""COMPUTED_VALUE"""),76.78687918795602)</f>
        <v>76.78687919</v>
      </c>
      <c r="AW1717" s="82">
        <f t="shared" si="1"/>
        <v>7.043348948</v>
      </c>
      <c r="AX1717" s="83">
        <f t="array" ref="AX1717">IFERROR(DGET('SBV Import'!A:G,"SBV",{"RSC ID","Tier";B1717,A1717}))</f>
        <v>67.95050961</v>
      </c>
      <c r="AY1717" s="82">
        <f t="shared" si="2"/>
        <v>4.230613106</v>
      </c>
      <c r="AZ1717" s="82">
        <v>2.8127358419604986</v>
      </c>
      <c r="BA1717" s="84">
        <v>1700.0</v>
      </c>
      <c r="BB1717" s="84" t="b">
        <f>IFERROR(__xludf.DUMMYFUNCTION("iferror(if(A1717="""",,E1717&gt;=FILTER(Constants!$F$2:$F$10,Constants!$A$2:$A$10=A1717)))"),TRUE)</f>
        <v>1</v>
      </c>
    </row>
    <row r="1718">
      <c r="A1718" s="89" t="str">
        <f>IFERROR(__xludf.DUMMYFUNCTION("""COMPUTED_VALUE"""),"Rival")</f>
        <v>Rival</v>
      </c>
      <c r="B1718" s="87" t="str">
        <f>IFERROR(__xludf.DUMMYFUNCTION("""COMPUTED_VALUE"""),"RSC007132")</f>
        <v>RSC007132</v>
      </c>
      <c r="C1718" s="73" t="str">
        <f>IFERROR(__xludf.DUMMYFUNCTION("""COMPUTED_VALUE"""),"yoyo")</f>
        <v>yoyo</v>
      </c>
      <c r="D1718" s="73"/>
      <c r="E1718" s="82">
        <f>IFERROR(__xludf.DUMMYFUNCTION("""COMPUTED_VALUE"""),15.0)</f>
        <v>15</v>
      </c>
      <c r="F1718" s="82">
        <f>IFERROR(__xludf.DUMMYFUNCTION("""COMPUTED_VALUE"""),8.0)</f>
        <v>8</v>
      </c>
      <c r="G1718" s="86">
        <f>IFERROR(__xludf.DUMMYFUNCTION("""COMPUTED_VALUE"""),7.0)</f>
        <v>7</v>
      </c>
      <c r="H1718" s="86">
        <f>IFERROR(__xludf.DUMMYFUNCTION("""COMPUTED_VALUE"""),0.5333333333333333)</f>
        <v>0.5333333333</v>
      </c>
      <c r="I1718" s="86">
        <f>IFERROR(__xludf.DUMMYFUNCTION("""COMPUTED_VALUE"""),0.25)</f>
        <v>0.25</v>
      </c>
      <c r="J1718" s="82">
        <f>IFERROR(__xludf.DUMMYFUNCTION("""COMPUTED_VALUE"""),358.1333333333333)</f>
        <v>358.1333333</v>
      </c>
      <c r="K1718" s="82">
        <f>IFERROR(__xludf.DUMMYFUNCTION("""COMPUTED_VALUE"""),1.0)</f>
        <v>1</v>
      </c>
      <c r="L1718" s="82">
        <f>IFERROR(__xludf.DUMMYFUNCTION("""COMPUTED_VALUE"""),0.5333333333333333)</f>
        <v>0.5333333333</v>
      </c>
      <c r="M1718" s="82">
        <f>IFERROR(__xludf.DUMMYFUNCTION("""COMPUTED_VALUE"""),0.9333333333333333)</f>
        <v>0.9333333333</v>
      </c>
      <c r="N1718" s="82">
        <f>IFERROR(__xludf.DUMMYFUNCTION("""COMPUTED_VALUE"""),4.0)</f>
        <v>4</v>
      </c>
      <c r="O1718" s="82">
        <f>IFERROR(__xludf.DUMMYFUNCTION("""COMPUTED_VALUE"""),361.2)</f>
        <v>361.2</v>
      </c>
      <c r="P1718" s="82">
        <f>IFERROR(__xludf.DUMMYFUNCTION("""COMPUTED_VALUE"""),0.8444444444444446)</f>
        <v>0.8444444444</v>
      </c>
      <c r="Q1718" s="82">
        <f>IFERROR(__xludf.DUMMYFUNCTION("""COMPUTED_VALUE"""),0.6222222222222221)</f>
        <v>0.6222222222</v>
      </c>
      <c r="R1718" s="82">
        <f>IFERROR(__xludf.DUMMYFUNCTION("""COMPUTED_VALUE"""),1.3999999999999997)</f>
        <v>1.4</v>
      </c>
      <c r="S1718" s="82">
        <f>IFERROR(__xludf.DUMMYFUNCTION("""COMPUTED_VALUE"""),2.7111111111111112)</f>
        <v>2.711111111</v>
      </c>
      <c r="T1718" s="82">
        <f>IFERROR(__xludf.DUMMYFUNCTION("""COMPUTED_VALUE"""),348.64340780778207)</f>
        <v>348.6434078</v>
      </c>
      <c r="U1718" s="82">
        <f>IFERROR(__xludf.DUMMYFUNCTION("""COMPUTED_VALUE"""),0.7696934867525572)</f>
        <v>0.7696934868</v>
      </c>
      <c r="V1718" s="82">
        <f>IFERROR(__xludf.DUMMYFUNCTION("""COMPUTED_VALUE"""),0.5645585382020901)</f>
        <v>0.5645585382</v>
      </c>
      <c r="W1718" s="82">
        <f>IFERROR(__xludf.DUMMYFUNCTION("""COMPUTED_VALUE"""),1.3686431417565044)</f>
        <v>1.368643142</v>
      </c>
      <c r="X1718" s="82">
        <f>IFERROR(__xludf.DUMMYFUNCTION("""COMPUTED_VALUE"""),2.5841620407045935)</f>
        <v>2.584162041</v>
      </c>
      <c r="Y1718" s="82">
        <f>IFERROR(__xludf.DUMMYFUNCTION("""COMPUTED_VALUE"""),346.1347240177249)</f>
        <v>346.134724</v>
      </c>
      <c r="Z1718" s="82">
        <f>IFERROR(__xludf.DUMMYFUNCTION("""COMPUTED_VALUE"""),0.7621538553887487)</f>
        <v>0.7621538554</v>
      </c>
      <c r="AA1718" s="82">
        <f>IFERROR(__xludf.DUMMYFUNCTION("""COMPUTED_VALUE"""),0.5332652072546449)</f>
        <v>0.5332652073</v>
      </c>
      <c r="AB1718" s="82">
        <f>IFERROR(__xludf.DUMMYFUNCTION("""COMPUTED_VALUE"""),1.3438978587888826)</f>
        <v>1.343897859</v>
      </c>
      <c r="AC1718" s="82">
        <f>IFERROR(__xludf.DUMMYFUNCTION("""COMPUTED_VALUE"""),2.627283197128561)</f>
        <v>2.627283197</v>
      </c>
      <c r="AD1718" s="82">
        <f>IFERROR(__xludf.DUMMYFUNCTION("""COMPUTED_VALUE"""),1.0346645640643497)</f>
        <v>1.034664564</v>
      </c>
      <c r="AE1718" s="82">
        <f>IFERROR(__xludf.DUMMYFUNCTION("""COMPUTED_VALUE"""),1.312071037795819)</f>
        <v>1.312071038</v>
      </c>
      <c r="AF1718" s="82">
        <f>IFERROR(__xludf.DUMMYFUNCTION("""COMPUTED_VALUE"""),1.0001277527162127)</f>
        <v>1.000127753</v>
      </c>
      <c r="AG1718" s="82">
        <f>IFERROR(__xludf.DUMMYFUNCTION("""COMPUTED_VALUE"""),0.6944972247924043)</f>
        <v>0.6944972248</v>
      </c>
      <c r="AH1718" s="82">
        <f>IFERROR(__xludf.DUMMYFUNCTION("""COMPUTED_VALUE"""),1.5224852822762784)</f>
        <v>1.522485282</v>
      </c>
      <c r="AI1718" s="82">
        <f>IFERROR(__xludf.DUMMYFUNCTION("""COMPUTED_VALUE"""),1.0360155732505367)</f>
        <v>1.036015573</v>
      </c>
      <c r="AJ1718" s="82">
        <f>IFERROR(__xludf.DUMMYFUNCTION("""COMPUTED_VALUE"""),1.0971178254440894)</f>
        <v>1.097117825</v>
      </c>
      <c r="AK1718" s="82">
        <f>IFERROR(__xludf.DUMMYFUNCTION("""COMPUTED_VALUE"""),1.1021394242017302)</f>
        <v>1.102139424</v>
      </c>
      <c r="AL1718" s="82">
        <f>IFERROR(__xludf.DUMMYFUNCTION("""COMPUTED_VALUE"""),1.0229109088313935)</f>
        <v>1.022910909</v>
      </c>
      <c r="AM1718" s="82">
        <f>IFERROR(__xludf.DUMMYFUNCTION("""COMPUTED_VALUE"""),1.0491258165729824)</f>
        <v>1.049125817</v>
      </c>
      <c r="AN1718" s="82">
        <f>IFERROR(__xludf.DUMMYFUNCTION("""COMPUTED_VALUE"""),1.0562012527764861)</f>
        <v>1.056201253</v>
      </c>
      <c r="AO1718" s="82">
        <f>IFERROR(__xludf.DUMMYFUNCTION("""COMPUTED_VALUE"""),1.3445559366319677)</f>
        <v>1.344555937</v>
      </c>
      <c r="AP1718" s="82">
        <f>IFERROR(__xludf.DUMMYFUNCTION("""COMPUTED_VALUE"""),0.9771621851962013)</f>
        <v>0.9771621852</v>
      </c>
      <c r="AQ1718" s="82">
        <f>IFERROR(__xludf.DUMMYFUNCTION("""COMPUTED_VALUE"""),0.713640215894297)</f>
        <v>0.7136402159</v>
      </c>
      <c r="AR1718" s="82">
        <f>IFERROR(__xludf.DUMMYFUNCTION("""COMPUTED_VALUE"""),1.598913572650713)</f>
        <v>1.598913573</v>
      </c>
      <c r="AS1718" s="82">
        <f>IFERROR(__xludf.DUMMYFUNCTION("""COMPUTED_VALUE"""),41.0)</f>
        <v>41</v>
      </c>
      <c r="AT1718" s="82">
        <f>IFERROR(__xludf.DUMMYFUNCTION("""COMPUTED_VALUE"""),0.5305641293317706)</f>
        <v>0.5305641293</v>
      </c>
      <c r="AU1718" s="82">
        <f>IFERROR(__xludf.DUMMYFUNCTION("""COMPUTED_VALUE"""),3.3787959270251586)</f>
        <v>3.378795927</v>
      </c>
      <c r="AV1718" s="82">
        <f>IFERROR(__xludf.DUMMYFUNCTION("""COMPUTED_VALUE"""),75.92255562598906)</f>
        <v>75.92255563</v>
      </c>
      <c r="AW1718" s="82">
        <f t="shared" si="1"/>
        <v>6.671527389</v>
      </c>
      <c r="AX1718" s="83">
        <f t="array" ref="AX1718">IFERROR(DGET('SBV Import'!A:G,"SBV",{"RSC ID","Tier";B1718,A1718}))</f>
        <v>53.14051925</v>
      </c>
      <c r="AY1718" s="82">
        <f t="shared" si="2"/>
        <v>2.222142914</v>
      </c>
      <c r="AZ1718" s="82">
        <v>4.449384475059867</v>
      </c>
      <c r="BA1718" s="84">
        <v>1700.0</v>
      </c>
      <c r="BB1718" s="84" t="b">
        <f>IFERROR(__xludf.DUMMYFUNCTION("iferror(if(A1718="""",,E1718&gt;=FILTER(Constants!$F$2:$F$10,Constants!$A$2:$A$10=A1718)))"),TRUE)</f>
        <v>1</v>
      </c>
    </row>
    <row r="1719">
      <c r="A1719" s="89" t="str">
        <f>IFERROR(__xludf.DUMMYFUNCTION("""COMPUTED_VALUE"""),"Rival")</f>
        <v>Rival</v>
      </c>
      <c r="B1719" s="87" t="str">
        <f>IFERROR(__xludf.DUMMYFUNCTION("""COMPUTED_VALUE"""),"RSC005482")</f>
        <v>RSC005482</v>
      </c>
      <c r="C1719" s="73" t="str">
        <f>IFERROR(__xludf.DUMMYFUNCTION("""COMPUTED_VALUE"""),"Benny!")</f>
        <v>Benny!</v>
      </c>
      <c r="D1719" s="73" t="str">
        <f>IFERROR(__xludf.DUMMYFUNCTION("""COMPUTED_VALUE"""),"Ocelots")</f>
        <v>Ocelots</v>
      </c>
      <c r="E1719" s="82">
        <f>IFERROR(__xludf.DUMMYFUNCTION("""COMPUTED_VALUE"""),38.0)</f>
        <v>38</v>
      </c>
      <c r="F1719" s="82">
        <f>IFERROR(__xludf.DUMMYFUNCTION("""COMPUTED_VALUE"""),25.0)</f>
        <v>25</v>
      </c>
      <c r="G1719" s="86">
        <f>IFERROR(__xludf.DUMMYFUNCTION("""COMPUTED_VALUE"""),13.0)</f>
        <v>13</v>
      </c>
      <c r="H1719" s="86">
        <f>IFERROR(__xludf.DUMMYFUNCTION("""COMPUTED_VALUE"""),0.6578947368421053)</f>
        <v>0.6578947368</v>
      </c>
      <c r="I1719" s="86">
        <f>IFERROR(__xludf.DUMMYFUNCTION("""COMPUTED_VALUE"""),0.3364485981308411)</f>
        <v>0.3364485981</v>
      </c>
      <c r="J1719" s="82">
        <f>IFERROR(__xludf.DUMMYFUNCTION("""COMPUTED_VALUE"""),407.1842105263158)</f>
        <v>407.1842105</v>
      </c>
      <c r="K1719" s="82">
        <f>IFERROR(__xludf.DUMMYFUNCTION("""COMPUTED_VALUE"""),0.9473684210526315)</f>
        <v>0.9473684211</v>
      </c>
      <c r="L1719" s="82">
        <f>IFERROR(__xludf.DUMMYFUNCTION("""COMPUTED_VALUE"""),0.6578947368421053)</f>
        <v>0.6578947368</v>
      </c>
      <c r="M1719" s="82">
        <f>IFERROR(__xludf.DUMMYFUNCTION("""COMPUTED_VALUE"""),1.4736842105263157)</f>
        <v>1.473684211</v>
      </c>
      <c r="N1719" s="82">
        <f>IFERROR(__xludf.DUMMYFUNCTION("""COMPUTED_VALUE"""),2.8157894736842106)</f>
        <v>2.815789474</v>
      </c>
      <c r="O1719" s="82">
        <f>IFERROR(__xludf.DUMMYFUNCTION("""COMPUTED_VALUE"""),323.84210526315786)</f>
        <v>323.8421053</v>
      </c>
      <c r="P1719" s="82">
        <f>IFERROR(__xludf.DUMMYFUNCTION("""COMPUTED_VALUE"""),0.6578947368421051)</f>
        <v>0.6578947368</v>
      </c>
      <c r="Q1719" s="82">
        <f>IFERROR(__xludf.DUMMYFUNCTION("""COMPUTED_VALUE"""),0.4912280701754385)</f>
        <v>0.4912280702</v>
      </c>
      <c r="R1719" s="82">
        <f>IFERROR(__xludf.DUMMYFUNCTION("""COMPUTED_VALUE"""),1.3157894736842104)</f>
        <v>1.315789474</v>
      </c>
      <c r="S1719" s="82">
        <f>IFERROR(__xludf.DUMMYFUNCTION("""COMPUTED_VALUE"""),2.3684210526315788)</f>
        <v>2.368421053</v>
      </c>
      <c r="T1719" s="82">
        <f>IFERROR(__xludf.DUMMYFUNCTION("""COMPUTED_VALUE"""),349.573331072896)</f>
        <v>349.5733311</v>
      </c>
      <c r="U1719" s="82">
        <f>IFERROR(__xludf.DUMMYFUNCTION("""COMPUTED_VALUE"""),0.7837893171676066)</f>
        <v>0.7837893172</v>
      </c>
      <c r="V1719" s="82">
        <f>IFERROR(__xludf.DUMMYFUNCTION("""COMPUTED_VALUE"""),0.5409417751286771)</f>
        <v>0.5409417751</v>
      </c>
      <c r="W1719" s="82">
        <f>IFERROR(__xludf.DUMMYFUNCTION("""COMPUTED_VALUE"""),1.363925730133194)</f>
        <v>1.36392573</v>
      </c>
      <c r="X1719" s="82">
        <f>IFERROR(__xludf.DUMMYFUNCTION("""COMPUTED_VALUE"""),2.625502521741791)</f>
        <v>2.625502522</v>
      </c>
      <c r="Y1719" s="82">
        <f>IFERROR(__xludf.DUMMYFUNCTION("""COMPUTED_VALUE"""),353.91701958950745)</f>
        <v>353.9170196</v>
      </c>
      <c r="Z1719" s="82">
        <f>IFERROR(__xludf.DUMMYFUNCTION("""COMPUTED_VALUE"""),0.8088411467794301)</f>
        <v>0.8088411468</v>
      </c>
      <c r="AA1719" s="82">
        <f>IFERROR(__xludf.DUMMYFUNCTION("""COMPUTED_VALUE"""),0.5744619245073231)</f>
        <v>0.5744619245</v>
      </c>
      <c r="AB1719" s="82">
        <f>IFERROR(__xludf.DUMMYFUNCTION("""COMPUTED_VALUE"""),1.350325191124027)</f>
        <v>1.350325191</v>
      </c>
      <c r="AC1719" s="82">
        <f>IFERROR(__xludf.DUMMYFUNCTION("""COMPUTED_VALUE"""),2.6203819145706277)</f>
        <v>2.620381915</v>
      </c>
      <c r="AD1719" s="82">
        <f>IFERROR(__xludf.DUMMYFUNCTION("""COMPUTED_VALUE"""),1.1505075709514918)</f>
        <v>1.150507571</v>
      </c>
      <c r="AE1719" s="82">
        <f>IFERROR(__xludf.DUMMYFUNCTION("""COMPUTED_VALUE"""),1.1712663541225328)</f>
        <v>1.171266354</v>
      </c>
      <c r="AF1719" s="82">
        <f>IFERROR(__xludf.DUMMYFUNCTION("""COMPUTED_VALUE"""),1.1452364530622927)</f>
        <v>1.145236453</v>
      </c>
      <c r="AG1719" s="82">
        <f>IFERROR(__xludf.DUMMYFUNCTION("""COMPUTED_VALUE"""),1.0913550455943157)</f>
        <v>1.091355046</v>
      </c>
      <c r="AH1719" s="82">
        <f>IFERROR(__xludf.DUMMYFUNCTION("""COMPUTED_VALUE"""),1.074572167525283)</f>
        <v>1.074572168</v>
      </c>
      <c r="AI1719" s="82">
        <f>IFERROR(__xludf.DUMMYFUNCTION("""COMPUTED_VALUE"""),0.926392480425309)</f>
        <v>0.9263924804</v>
      </c>
      <c r="AJ1719" s="82">
        <f>IFERROR(__xludf.DUMMYFUNCTION("""COMPUTED_VALUE"""),0.8393770142460617)</f>
        <v>0.8393770142</v>
      </c>
      <c r="AK1719" s="82">
        <f>IFERROR(__xludf.DUMMYFUNCTION("""COMPUTED_VALUE"""),0.9080978633210331)</f>
        <v>0.9080978633</v>
      </c>
      <c r="AL1719" s="82">
        <f>IFERROR(__xludf.DUMMYFUNCTION("""COMPUTED_VALUE"""),0.964707567732238)</f>
        <v>0.9647075677</v>
      </c>
      <c r="AM1719" s="82">
        <f>IFERROR(__xludf.DUMMYFUNCTION("""COMPUTED_VALUE"""),0.9020829471762757)</f>
        <v>0.9020829472</v>
      </c>
      <c r="AN1719" s="82">
        <f>IFERROR(__xludf.DUMMYFUNCTION("""COMPUTED_VALUE"""),1.2008613363794653)</f>
        <v>1.200861336</v>
      </c>
      <c r="AO1719" s="82">
        <f>IFERROR(__xludf.DUMMYFUNCTION("""COMPUTED_VALUE"""),1.2737898347039693)</f>
        <v>1.273789835</v>
      </c>
      <c r="AP1719" s="82">
        <f>IFERROR(__xludf.DUMMYFUNCTION("""COMPUTED_VALUE"""),1.2053809850282091)</f>
        <v>1.205380985</v>
      </c>
      <c r="AQ1719" s="82">
        <f>IFERROR(__xludf.DUMMYFUNCTION("""COMPUTED_VALUE"""),1.126800340885732)</f>
        <v>1.126800341</v>
      </c>
      <c r="AR1719" s="82">
        <f>IFERROR(__xludf.DUMMYFUNCTION("""COMPUTED_VALUE"""),1.125551001800173)</f>
        <v>1.125551002</v>
      </c>
      <c r="AS1719" s="82">
        <f>IFERROR(__xludf.DUMMYFUNCTION("""COMPUTED_VALUE"""),95.0)</f>
        <v>95</v>
      </c>
      <c r="AT1719" s="82">
        <f>IFERROR(__xludf.DUMMYFUNCTION("""COMPUTED_VALUE"""),0.5898597629065081)</f>
        <v>0.5898597629</v>
      </c>
      <c r="AU1719" s="82">
        <f>IFERROR(__xludf.DUMMYFUNCTION("""COMPUTED_VALUE"""),3.3715326201503237)</f>
        <v>3.37153262</v>
      </c>
      <c r="AV1719" s="82">
        <f>IFERROR(__xludf.DUMMYFUNCTION("""COMPUTED_VALUE"""),75.71460733237345)</f>
        <v>75.71460733</v>
      </c>
      <c r="AW1719" s="82">
        <f t="shared" si="1"/>
        <v>6.585986969</v>
      </c>
      <c r="AX1719" s="83">
        <f t="array" ref="AX1719">IFERROR(DGET('SBV Import'!A:G,"SBV",{"RSC ID","Tier";B1719,A1719}))</f>
        <v>75.71273159</v>
      </c>
      <c r="AY1719" s="82">
        <f t="shared" si="2"/>
        <v>6.585222055</v>
      </c>
      <c r="AZ1719" s="82">
        <v>7.649139908556535E-4</v>
      </c>
      <c r="BA1719" s="84">
        <v>1700.0</v>
      </c>
      <c r="BB1719" s="84" t="b">
        <f>IFERROR(__xludf.DUMMYFUNCTION("iferror(if(A1719="""",,E1719&gt;=FILTER(Constants!$F$2:$F$10,Constants!$A$2:$A$10=A1719)))"),TRUE)</f>
        <v>1</v>
      </c>
    </row>
    <row r="1720">
      <c r="A1720" s="89" t="str">
        <f>IFERROR(__xludf.DUMMYFUNCTION("""COMPUTED_VALUE"""),"Rival")</f>
        <v>Rival</v>
      </c>
      <c r="B1720" s="87" t="str">
        <f>IFERROR(__xludf.DUMMYFUNCTION("""COMPUTED_VALUE"""),"RSC002930")</f>
        <v>RSC002930</v>
      </c>
      <c r="C1720" s="73" t="str">
        <f>IFERROR(__xludf.DUMMYFUNCTION("""COMPUTED_VALUE"""),"voakes")</f>
        <v>voakes</v>
      </c>
      <c r="D1720" s="73" t="str">
        <f>IFERROR(__xludf.DUMMYFUNCTION("""COMPUTED_VALUE"""),"Hippos")</f>
        <v>Hippos</v>
      </c>
      <c r="E1720" s="82">
        <f>IFERROR(__xludf.DUMMYFUNCTION("""COMPUTED_VALUE"""),44.0)</f>
        <v>44</v>
      </c>
      <c r="F1720" s="82">
        <f>IFERROR(__xludf.DUMMYFUNCTION("""COMPUTED_VALUE"""),21.0)</f>
        <v>21</v>
      </c>
      <c r="G1720" s="86">
        <f>IFERROR(__xludf.DUMMYFUNCTION("""COMPUTED_VALUE"""),23.0)</f>
        <v>23</v>
      </c>
      <c r="H1720" s="86">
        <f>IFERROR(__xludf.DUMMYFUNCTION("""COMPUTED_VALUE"""),0.4772727272727273)</f>
        <v>0.4772727273</v>
      </c>
      <c r="I1720" s="86">
        <f>IFERROR(__xludf.DUMMYFUNCTION("""COMPUTED_VALUE"""),0.34710743801652894)</f>
        <v>0.347107438</v>
      </c>
      <c r="J1720" s="82">
        <f>IFERROR(__xludf.DUMMYFUNCTION("""COMPUTED_VALUE"""),403.59090909090907)</f>
        <v>403.5909091</v>
      </c>
      <c r="K1720" s="82">
        <f>IFERROR(__xludf.DUMMYFUNCTION("""COMPUTED_VALUE"""),0.9545454545454546)</f>
        <v>0.9545454545</v>
      </c>
      <c r="L1720" s="82">
        <f>IFERROR(__xludf.DUMMYFUNCTION("""COMPUTED_VALUE"""),0.7272727272727273)</f>
        <v>0.7272727273</v>
      </c>
      <c r="M1720" s="82">
        <f>IFERROR(__xludf.DUMMYFUNCTION("""COMPUTED_VALUE"""),1.75)</f>
        <v>1.75</v>
      </c>
      <c r="N1720" s="82">
        <f>IFERROR(__xludf.DUMMYFUNCTION("""COMPUTED_VALUE"""),2.75)</f>
        <v>2.75</v>
      </c>
      <c r="O1720" s="82">
        <f>IFERROR(__xludf.DUMMYFUNCTION("""COMPUTED_VALUE"""),365.3560606060605)</f>
        <v>365.3560606</v>
      </c>
      <c r="P1720" s="82">
        <f>IFERROR(__xludf.DUMMYFUNCTION("""COMPUTED_VALUE"""),0.8863636363636364)</f>
        <v>0.8863636364</v>
      </c>
      <c r="Q1720" s="82">
        <f>IFERROR(__xludf.DUMMYFUNCTION("""COMPUTED_VALUE"""),0.6136363636363634)</f>
        <v>0.6136363636</v>
      </c>
      <c r="R1720" s="82">
        <f>IFERROR(__xludf.DUMMYFUNCTION("""COMPUTED_VALUE"""),1.2499999999999998)</f>
        <v>1.25</v>
      </c>
      <c r="S1720" s="82">
        <f>IFERROR(__xludf.DUMMYFUNCTION("""COMPUTED_VALUE"""),2.7196969696969693)</f>
        <v>2.71969697</v>
      </c>
      <c r="T1720" s="82">
        <f>IFERROR(__xludf.DUMMYFUNCTION("""COMPUTED_VALUE"""),349.55948601811747)</f>
        <v>349.559486</v>
      </c>
      <c r="U1720" s="82">
        <f>IFERROR(__xludf.DUMMYFUNCTION("""COMPUTED_VALUE"""),0.7806531359574449)</f>
        <v>0.780653136</v>
      </c>
      <c r="V1720" s="82">
        <f>IFERROR(__xludf.DUMMYFUNCTION("""COMPUTED_VALUE"""),0.5884916050437158)</f>
        <v>0.588491605</v>
      </c>
      <c r="W1720" s="82">
        <f>IFERROR(__xludf.DUMMYFUNCTION("""COMPUTED_VALUE"""),1.300116284513524)</f>
        <v>1.300116285</v>
      </c>
      <c r="X1720" s="82">
        <f>IFERROR(__xludf.DUMMYFUNCTION("""COMPUTED_VALUE"""),2.5201545631480693)</f>
        <v>2.520154563</v>
      </c>
      <c r="Y1720" s="82">
        <f>IFERROR(__xludf.DUMMYFUNCTION("""COMPUTED_VALUE"""),340.80943306499563)</f>
        <v>340.8094331</v>
      </c>
      <c r="Z1720" s="82">
        <f>IFERROR(__xludf.DUMMYFUNCTION("""COMPUTED_VALUE"""),0.7421740958364313)</f>
        <v>0.7421740958</v>
      </c>
      <c r="AA1720" s="82">
        <f>IFERROR(__xludf.DUMMYFUNCTION("""COMPUTED_VALUE"""),0.5300446364001223)</f>
        <v>0.5300446364</v>
      </c>
      <c r="AB1720" s="82">
        <f>IFERROR(__xludf.DUMMYFUNCTION("""COMPUTED_VALUE"""),1.3339818256427458)</f>
        <v>1.333981826</v>
      </c>
      <c r="AC1720" s="82">
        <f>IFERROR(__xludf.DUMMYFUNCTION("""COMPUTED_VALUE"""),2.4652441013657995)</f>
        <v>2.465244101</v>
      </c>
      <c r="AD1720" s="82">
        <f>IFERROR(__xludf.DUMMYFUNCTION("""COMPUTED_VALUE"""),1.184212847224626)</f>
        <v>1.184212847</v>
      </c>
      <c r="AE1720" s="82">
        <f>IFERROR(__xludf.DUMMYFUNCTION("""COMPUTED_VALUE"""),1.286147630185988)</f>
        <v>1.28614763</v>
      </c>
      <c r="AF1720" s="82">
        <f>IFERROR(__xludf.DUMMYFUNCTION("""COMPUTED_VALUE"""),1.372097135464117)</f>
        <v>1.372097135</v>
      </c>
      <c r="AG1720" s="82">
        <f>IFERROR(__xludf.DUMMYFUNCTION("""COMPUTED_VALUE"""),1.311861950710465)</f>
        <v>1.311861951</v>
      </c>
      <c r="AH1720" s="82">
        <f>IFERROR(__xludf.DUMMYFUNCTION("""COMPUTED_VALUE"""),1.1155081959131103)</f>
        <v>1.115508196</v>
      </c>
      <c r="AI1720" s="82">
        <f>IFERROR(__xludf.DUMMYFUNCTION("""COMPUTED_VALUE"""),1.0451899468324666)</f>
        <v>1.045189947</v>
      </c>
      <c r="AJ1720" s="82">
        <f>IFERROR(__xludf.DUMMYFUNCTION("""COMPUTED_VALUE"""),1.1354128940717583)</f>
        <v>1.135412894</v>
      </c>
      <c r="AK1720" s="82">
        <f>IFERROR(__xludf.DUMMYFUNCTION("""COMPUTED_VALUE"""),1.0427274720270305)</f>
        <v>1.042727472</v>
      </c>
      <c r="AL1720" s="82">
        <f>IFERROR(__xludf.DUMMYFUNCTION("""COMPUTED_VALUE"""),0.9614524599757039)</f>
        <v>0.96145246</v>
      </c>
      <c r="AM1720" s="82">
        <f>IFERROR(__xludf.DUMMYFUNCTION("""COMPUTED_VALUE"""),1.079178638273535)</f>
        <v>1.079178638</v>
      </c>
      <c r="AN1720" s="82">
        <f>IFERROR(__xludf.DUMMYFUNCTION("""COMPUTED_VALUE"""),1.190264027711334)</f>
        <v>1.190264028</v>
      </c>
      <c r="AO1720" s="82">
        <f>IFERROR(__xludf.DUMMYFUNCTION("""COMPUTED_VALUE"""),1.283439757694151)</f>
        <v>1.283439758</v>
      </c>
      <c r="AP1720" s="82">
        <f>IFERROR(__xludf.DUMMYFUNCTION("""COMPUTED_VALUE"""),1.332493888903911)</f>
        <v>1.332493889</v>
      </c>
      <c r="AQ1720" s="82">
        <f>IFERROR(__xludf.DUMMYFUNCTION("""COMPUTED_VALUE"""),1.3380754048018069)</f>
        <v>1.338075405</v>
      </c>
      <c r="AR1720" s="82">
        <f>IFERROR(__xludf.DUMMYFUNCTION("""COMPUTED_VALUE"""),1.0992530811973653)</f>
        <v>1.099253081</v>
      </c>
      <c r="AS1720" s="82">
        <f>IFERROR(__xludf.DUMMYFUNCTION("""COMPUTED_VALUE"""),116.0)</f>
        <v>116</v>
      </c>
      <c r="AT1720" s="82">
        <f>IFERROR(__xludf.DUMMYFUNCTION("""COMPUTED_VALUE"""),0.4965376573998618)</f>
        <v>0.4965376574</v>
      </c>
      <c r="AU1720" s="82">
        <f>IFERROR(__xludf.DUMMYFUNCTION("""COMPUTED_VALUE"""),3.354726694418574)</f>
        <v>3.354726694</v>
      </c>
      <c r="AV1720" s="82">
        <f>IFERROR(__xludf.DUMMYFUNCTION("""COMPUTED_VALUE"""),75.23345410027521)</f>
        <v>75.2334541</v>
      </c>
      <c r="AW1720" s="82">
        <f t="shared" si="1"/>
        <v>6.393606739</v>
      </c>
      <c r="AX1720" s="83">
        <f t="array" ref="AX1720">IFERROR(DGET('SBV Import'!A:G,"SBV",{"RSC ID","Tier";B1720,A1720}))</f>
        <v>66.57615325</v>
      </c>
      <c r="AY1720" s="82">
        <f t="shared" si="2"/>
        <v>3.94243252</v>
      </c>
      <c r="AZ1720" s="82">
        <v>2.4511742192179815</v>
      </c>
      <c r="BA1720" s="84">
        <v>1700.0</v>
      </c>
      <c r="BB1720" s="84" t="b">
        <f>IFERROR(__xludf.DUMMYFUNCTION("iferror(if(A1720="""",,E1720&gt;=FILTER(Constants!$F$2:$F$10,Constants!$A$2:$A$10=A1720)))"),TRUE)</f>
        <v>1</v>
      </c>
    </row>
    <row r="1721">
      <c r="A1721" s="89" t="str">
        <f>IFERROR(__xludf.DUMMYFUNCTION("""COMPUTED_VALUE"""),"Rival")</f>
        <v>Rival</v>
      </c>
      <c r="B1721" s="87" t="str">
        <f>IFERROR(__xludf.DUMMYFUNCTION("""COMPUTED_VALUE"""),"RSC006774")</f>
        <v>RSC006774</v>
      </c>
      <c r="C1721" s="73" t="str">
        <f>IFERROR(__xludf.DUMMYFUNCTION("""COMPUTED_VALUE"""),"JazzMagic.")</f>
        <v>JazzMagic.</v>
      </c>
      <c r="D1721" s="73"/>
      <c r="E1721" s="82">
        <f>IFERROR(__xludf.DUMMYFUNCTION("""COMPUTED_VALUE"""),19.0)</f>
        <v>19</v>
      </c>
      <c r="F1721" s="82">
        <f>IFERROR(__xludf.DUMMYFUNCTION("""COMPUTED_VALUE"""),10.0)</f>
        <v>10</v>
      </c>
      <c r="G1721" s="86">
        <f>IFERROR(__xludf.DUMMYFUNCTION("""COMPUTED_VALUE"""),9.0)</f>
        <v>9</v>
      </c>
      <c r="H1721" s="86">
        <f>IFERROR(__xludf.DUMMYFUNCTION("""COMPUTED_VALUE"""),0.5263157894736842)</f>
        <v>0.5263157895</v>
      </c>
      <c r="I1721" s="86">
        <f>IFERROR(__xludf.DUMMYFUNCTION("""COMPUTED_VALUE"""),0.3962264150943397)</f>
        <v>0.3962264151</v>
      </c>
      <c r="J1721" s="82">
        <f>IFERROR(__xludf.DUMMYFUNCTION("""COMPUTED_VALUE"""),395.7368421052632)</f>
        <v>395.7368421</v>
      </c>
      <c r="K1721" s="82">
        <f>IFERROR(__xludf.DUMMYFUNCTION("""COMPUTED_VALUE"""),1.105263157894737)</f>
        <v>1.105263158</v>
      </c>
      <c r="L1721" s="82">
        <f>IFERROR(__xludf.DUMMYFUNCTION("""COMPUTED_VALUE"""),0.47368421052631576)</f>
        <v>0.4736842105</v>
      </c>
      <c r="M1721" s="82">
        <f>IFERROR(__xludf.DUMMYFUNCTION("""COMPUTED_VALUE"""),1.4736842105263157)</f>
        <v>1.473684211</v>
      </c>
      <c r="N1721" s="82">
        <f>IFERROR(__xludf.DUMMYFUNCTION("""COMPUTED_VALUE"""),2.789473684210526)</f>
        <v>2.789473684</v>
      </c>
      <c r="O1721" s="82">
        <f>IFERROR(__xludf.DUMMYFUNCTION("""COMPUTED_VALUE"""),325.2105263157894)</f>
        <v>325.2105263</v>
      </c>
      <c r="P1721" s="82">
        <f>IFERROR(__xludf.DUMMYFUNCTION("""COMPUTED_VALUE"""),0.6140350877192983)</f>
        <v>0.6140350877</v>
      </c>
      <c r="Q1721" s="82">
        <f>IFERROR(__xludf.DUMMYFUNCTION("""COMPUTED_VALUE"""),0.45614035087719296)</f>
        <v>0.4561403509</v>
      </c>
      <c r="R1721" s="82">
        <f>IFERROR(__xludf.DUMMYFUNCTION("""COMPUTED_VALUE"""),1.4035087719298247)</f>
        <v>1.403508772</v>
      </c>
      <c r="S1721" s="82">
        <f>IFERROR(__xludf.DUMMYFUNCTION("""COMPUTED_VALUE"""),2.6491228070175445)</f>
        <v>2.649122807</v>
      </c>
      <c r="T1721" s="82">
        <f>IFERROR(__xludf.DUMMYFUNCTION("""COMPUTED_VALUE"""),340.26711825784696)</f>
        <v>340.2671183</v>
      </c>
      <c r="U1721" s="82">
        <f>IFERROR(__xludf.DUMMYFUNCTION("""COMPUTED_VALUE"""),0.7264459756128647)</f>
        <v>0.7264459756</v>
      </c>
      <c r="V1721" s="82">
        <f>IFERROR(__xludf.DUMMYFUNCTION("""COMPUTED_VALUE"""),0.5406470998516696)</f>
        <v>0.5406470999</v>
      </c>
      <c r="W1721" s="82">
        <f>IFERROR(__xludf.DUMMYFUNCTION("""COMPUTED_VALUE"""),1.3084406505996768)</f>
        <v>1.308440651</v>
      </c>
      <c r="X1721" s="82">
        <f>IFERROR(__xludf.DUMMYFUNCTION("""COMPUTED_VALUE"""),2.5634041249099027)</f>
        <v>2.563404125</v>
      </c>
      <c r="Y1721" s="82">
        <f>IFERROR(__xludf.DUMMYFUNCTION("""COMPUTED_VALUE"""),350.1375887806956)</f>
        <v>350.1375888</v>
      </c>
      <c r="Z1721" s="82">
        <f>IFERROR(__xludf.DUMMYFUNCTION("""COMPUTED_VALUE"""),0.7923638436027908)</f>
        <v>0.7923638436</v>
      </c>
      <c r="AA1721" s="82">
        <f>IFERROR(__xludf.DUMMYFUNCTION("""COMPUTED_VALUE"""),0.571294615036226)</f>
        <v>0.571294615</v>
      </c>
      <c r="AB1721" s="82">
        <f>IFERROR(__xludf.DUMMYFUNCTION("""COMPUTED_VALUE"""),1.3603073483209163)</f>
        <v>1.360307348</v>
      </c>
      <c r="AC1721" s="82">
        <f>IFERROR(__xludf.DUMMYFUNCTION("""COMPUTED_VALUE"""),2.594162618726684)</f>
        <v>2.594162619</v>
      </c>
      <c r="AD1721" s="82">
        <f>IFERROR(__xludf.DUMMYFUNCTION("""COMPUTED_VALUE"""),1.1302323851699572)</f>
        <v>1.130232385</v>
      </c>
      <c r="AE1721" s="82">
        <f>IFERROR(__xludf.DUMMYFUNCTION("""COMPUTED_VALUE"""),1.394893478315754)</f>
        <v>1.394893478</v>
      </c>
      <c r="AF1721" s="82">
        <f>IFERROR(__xludf.DUMMYFUNCTION("""COMPUTED_VALUE"""),0.8291417388841994)</f>
        <v>0.8291417389</v>
      </c>
      <c r="AG1721" s="82">
        <f>IFERROR(__xludf.DUMMYFUNCTION("""COMPUTED_VALUE"""),1.0833465042626913)</f>
        <v>1.083346504</v>
      </c>
      <c r="AH1721" s="82">
        <f>IFERROR(__xludf.DUMMYFUNCTION("""COMPUTED_VALUE"""),1.0752886746859796)</f>
        <v>1.075288675</v>
      </c>
      <c r="AI1721" s="82">
        <f>IFERROR(__xludf.DUMMYFUNCTION("""COMPUTED_VALUE"""),0.9557506701818658)</f>
        <v>0.9557506702</v>
      </c>
      <c r="AJ1721" s="82">
        <f>IFERROR(__xludf.DUMMYFUNCTION("""COMPUTED_VALUE"""),0.8452591222647613)</f>
        <v>0.8452591223</v>
      </c>
      <c r="AK1721" s="82">
        <f>IFERROR(__xludf.DUMMYFUNCTION("""COMPUTED_VALUE"""),0.8436933278701363)</f>
        <v>0.8436933279</v>
      </c>
      <c r="AL1721" s="82">
        <f>IFERROR(__xludf.DUMMYFUNCTION("""COMPUTED_VALUE"""),1.072657572421475)</f>
        <v>1.072657572</v>
      </c>
      <c r="AM1721" s="82">
        <f>IFERROR(__xludf.DUMMYFUNCTION("""COMPUTED_VALUE"""),1.0334393946216556)</f>
        <v>1.033439395</v>
      </c>
      <c r="AN1721" s="82">
        <f>IFERROR(__xludf.DUMMYFUNCTION("""COMPUTED_VALUE"""),1.1671009355958382)</f>
        <v>1.167100936</v>
      </c>
      <c r="AO1721" s="82">
        <f>IFERROR(__xludf.DUMMYFUNCTION("""COMPUTED_VALUE"""),1.4860881404879644)</f>
        <v>1.48608814</v>
      </c>
      <c r="AP1721" s="82">
        <f>IFERROR(__xludf.DUMMYFUNCTION("""COMPUTED_VALUE"""),0.8678743092203104)</f>
        <v>0.8678743092</v>
      </c>
      <c r="AQ1721" s="82">
        <f>IFERROR(__xludf.DUMMYFUNCTION("""COMPUTED_VALUE"""),1.126800340885732)</f>
        <v>1.126800341</v>
      </c>
      <c r="AR1721" s="82">
        <f>IFERROR(__xludf.DUMMYFUNCTION("""COMPUTED_VALUE"""),1.11503183355905)</f>
        <v>1.115031834</v>
      </c>
      <c r="AS1721" s="82">
        <f>IFERROR(__xludf.DUMMYFUNCTION("""COMPUTED_VALUE"""),45.0)</f>
        <v>45</v>
      </c>
      <c r="AT1721" s="82">
        <f>IFERROR(__xludf.DUMMYFUNCTION("""COMPUTED_VALUE"""),0.5937925982269511)</f>
        <v>0.5937925982</v>
      </c>
      <c r="AU1721" s="82">
        <f>IFERROR(__xludf.DUMMYFUNCTION("""COMPUTED_VALUE"""),3.317382776067994)</f>
        <v>3.317382776</v>
      </c>
      <c r="AV1721" s="82">
        <f>IFERROR(__xludf.DUMMYFUNCTION("""COMPUTED_VALUE"""),74.16429865472611)</f>
        <v>74.16429865</v>
      </c>
      <c r="AW1721" s="82">
        <f t="shared" si="1"/>
        <v>5.992364568</v>
      </c>
      <c r="AX1721" s="83">
        <f t="array" ref="AX1721">IFERROR(DGET('SBV Import'!A:G,"SBV",{"RSC ID","Tier";B1721,A1721}))</f>
        <v>55.95503973</v>
      </c>
      <c r="AY1721" s="82">
        <f t="shared" si="2"/>
        <v>2.463889408</v>
      </c>
      <c r="AZ1721" s="82">
        <v>3.528475160545565</v>
      </c>
      <c r="BA1721" s="84">
        <v>1700.0</v>
      </c>
      <c r="BB1721" s="84" t="b">
        <f>IFERROR(__xludf.DUMMYFUNCTION("iferror(if(A1721="""",,E1721&gt;=FILTER(Constants!$F$2:$F$10,Constants!$A$2:$A$10=A1721)))"),TRUE)</f>
        <v>1</v>
      </c>
    </row>
    <row r="1722">
      <c r="A1722" s="89" t="str">
        <f>IFERROR(__xludf.DUMMYFUNCTION("""COMPUTED_VALUE"""),"Rival")</f>
        <v>Rival</v>
      </c>
      <c r="B1722" s="87" t="str">
        <f>IFERROR(__xludf.DUMMYFUNCTION("""COMPUTED_VALUE"""),"RSC006664")</f>
        <v>RSC006664</v>
      </c>
      <c r="C1722" s="73" t="str">
        <f>IFERROR(__xludf.DUMMYFUNCTION("""COMPUTED_VALUE"""),"Godless")</f>
        <v>Godless</v>
      </c>
      <c r="D1722" s="73" t="str">
        <f>IFERROR(__xludf.DUMMYFUNCTION("""COMPUTED_VALUE"""),"Iris")</f>
        <v>Iris</v>
      </c>
      <c r="E1722" s="82">
        <f>IFERROR(__xludf.DUMMYFUNCTION("""COMPUTED_VALUE"""),14.0)</f>
        <v>14</v>
      </c>
      <c r="F1722" s="82">
        <f>IFERROR(__xludf.DUMMYFUNCTION("""COMPUTED_VALUE"""),13.0)</f>
        <v>13</v>
      </c>
      <c r="G1722" s="86">
        <f>IFERROR(__xludf.DUMMYFUNCTION("""COMPUTED_VALUE"""),1.0)</f>
        <v>1</v>
      </c>
      <c r="H1722" s="86">
        <f>IFERROR(__xludf.DUMMYFUNCTION("""COMPUTED_VALUE"""),0.9285714285714286)</f>
        <v>0.9285714286</v>
      </c>
      <c r="I1722" s="86">
        <f>IFERROR(__xludf.DUMMYFUNCTION("""COMPUTED_VALUE"""),0.42857142857142855)</f>
        <v>0.4285714286</v>
      </c>
      <c r="J1722" s="82">
        <f>IFERROR(__xludf.DUMMYFUNCTION("""COMPUTED_VALUE"""),357.5)</f>
        <v>357.5</v>
      </c>
      <c r="K1722" s="82">
        <f>IFERROR(__xludf.DUMMYFUNCTION("""COMPUTED_VALUE"""),0.8571428571428571)</f>
        <v>0.8571428571</v>
      </c>
      <c r="L1722" s="82">
        <f>IFERROR(__xludf.DUMMYFUNCTION("""COMPUTED_VALUE"""),0.7857142857142857)</f>
        <v>0.7857142857</v>
      </c>
      <c r="M1722" s="82">
        <f>IFERROR(__xludf.DUMMYFUNCTION("""COMPUTED_VALUE"""),1.3571428571428572)</f>
        <v>1.357142857</v>
      </c>
      <c r="N1722" s="82">
        <f>IFERROR(__xludf.DUMMYFUNCTION("""COMPUTED_VALUE"""),2.0)</f>
        <v>2</v>
      </c>
      <c r="O1722" s="82">
        <f>IFERROR(__xludf.DUMMYFUNCTION("""COMPUTED_VALUE"""),274.85714285714283)</f>
        <v>274.8571429</v>
      </c>
      <c r="P1722" s="82">
        <f>IFERROR(__xludf.DUMMYFUNCTION("""COMPUTED_VALUE"""),0.38095238095238093)</f>
        <v>0.380952381</v>
      </c>
      <c r="Q1722" s="82">
        <f>IFERROR(__xludf.DUMMYFUNCTION("""COMPUTED_VALUE"""),0.2857142857142857)</f>
        <v>0.2857142857</v>
      </c>
      <c r="R1722" s="82">
        <f>IFERROR(__xludf.DUMMYFUNCTION("""COMPUTED_VALUE"""),1.190476190476191)</f>
        <v>1.19047619</v>
      </c>
      <c r="S1722" s="82">
        <f>IFERROR(__xludf.DUMMYFUNCTION("""COMPUTED_VALUE"""),2.023809523809524)</f>
        <v>2.023809524</v>
      </c>
      <c r="T1722" s="82">
        <f>IFERROR(__xludf.DUMMYFUNCTION("""COMPUTED_VALUE"""),338.1233917359737)</f>
        <v>338.1233917</v>
      </c>
      <c r="U1722" s="82">
        <f>IFERROR(__xludf.DUMMYFUNCTION("""COMPUTED_VALUE"""),0.731323710890034)</f>
        <v>0.7313237109</v>
      </c>
      <c r="V1722" s="82">
        <f>IFERROR(__xludf.DUMMYFUNCTION("""COMPUTED_VALUE"""),0.4983946424125244)</f>
        <v>0.4983946424</v>
      </c>
      <c r="W1722" s="82">
        <f>IFERROR(__xludf.DUMMYFUNCTION("""COMPUTED_VALUE"""),1.3587743428856405)</f>
        <v>1.358774343</v>
      </c>
      <c r="X1722" s="82">
        <f>IFERROR(__xludf.DUMMYFUNCTION("""COMPUTED_VALUE"""),2.4738082173220532)</f>
        <v>2.473808217</v>
      </c>
      <c r="Y1722" s="82">
        <f>IFERROR(__xludf.DUMMYFUNCTION("""COMPUTED_VALUE"""),346.1971693522927)</f>
        <v>346.1971694</v>
      </c>
      <c r="Z1722" s="82">
        <f>IFERROR(__xludf.DUMMYFUNCTION("""COMPUTED_VALUE"""),0.7873051469532301)</f>
        <v>0.787305147</v>
      </c>
      <c r="AA1722" s="82">
        <f>IFERROR(__xludf.DUMMYFUNCTION("""COMPUTED_VALUE"""),0.552392130643799)</f>
        <v>0.5523921306</v>
      </c>
      <c r="AB1722" s="82">
        <f>IFERROR(__xludf.DUMMYFUNCTION("""COMPUTED_VALUE"""),1.3017588007780432)</f>
        <v>1.301758801</v>
      </c>
      <c r="AC1722" s="82">
        <f>IFERROR(__xludf.DUMMYFUNCTION("""COMPUTED_VALUE"""),2.599953739516809)</f>
        <v>2.59995374</v>
      </c>
      <c r="AD1722" s="82">
        <f>IFERROR(__xludf.DUMMYFUNCTION("""COMPUTED_VALUE"""),1.0326485357140673)</f>
        <v>1.032648536</v>
      </c>
      <c r="AE1722" s="82">
        <f>IFERROR(__xludf.DUMMYFUNCTION("""COMPUTED_VALUE"""),1.088704755024008)</f>
        <v>1.088704755</v>
      </c>
      <c r="AF1722" s="82">
        <f>IFERROR(__xludf.DUMMYFUNCTION("""COMPUTED_VALUE"""),1.4223850089945265)</f>
        <v>1.422385009</v>
      </c>
      <c r="AG1722" s="82">
        <f>IFERROR(__xludf.DUMMYFUNCTION("""COMPUTED_VALUE"""),1.0425455593860489)</f>
        <v>1.042545559</v>
      </c>
      <c r="AH1722" s="82">
        <f>IFERROR(__xludf.DUMMYFUNCTION("""COMPUTED_VALUE"""),0.7692444560077796)</f>
        <v>0.769244456</v>
      </c>
      <c r="AI1722" s="82">
        <f>IFERROR(__xludf.DUMMYFUNCTION("""COMPUTED_VALUE"""),0.8128900560413377)</f>
        <v>0.812890056</v>
      </c>
      <c r="AJ1722" s="82">
        <f>IFERROR(__xludf.DUMMYFUNCTION("""COMPUTED_VALUE"""),0.5209080127988126)</f>
        <v>0.5209080128</v>
      </c>
      <c r="AK1722" s="82">
        <f>IFERROR(__xludf.DUMMYFUNCTION("""COMPUTED_VALUE"""),0.5732691754695833)</f>
        <v>0.5732691755</v>
      </c>
      <c r="AL1722" s="82">
        <f>IFERROR(__xludf.DUMMYFUNCTION("""COMPUTED_VALUE"""),0.876139733362912)</f>
        <v>0.8761397334</v>
      </c>
      <c r="AM1722" s="82">
        <f>IFERROR(__xludf.DUMMYFUNCTION("""COMPUTED_VALUE"""),0.818094753521491)</f>
        <v>0.8180947535</v>
      </c>
      <c r="AN1722" s="82">
        <f>IFERROR(__xludf.DUMMYFUNCTION("""COMPUTED_VALUE"""),1.054333435966848)</f>
        <v>1.054333436</v>
      </c>
      <c r="AO1722" s="82">
        <f>IFERROR(__xludf.DUMMYFUNCTION("""COMPUTED_VALUE"""),1.152476517113115)</f>
        <v>1.152476517</v>
      </c>
      <c r="AP1722" s="82">
        <f>IFERROR(__xludf.DUMMYFUNCTION("""COMPUTED_VALUE"""),1.4395692906908324)</f>
        <v>1.439569291</v>
      </c>
      <c r="AQ1722" s="82">
        <f>IFERROR(__xludf.DUMMYFUNCTION("""COMPUTED_VALUE"""),1.0376911302544625)</f>
        <v>1.03769113</v>
      </c>
      <c r="AR1722" s="82">
        <f>IFERROR(__xludf.DUMMYFUNCTION("""COMPUTED_VALUE"""),0.7994567863253565)</f>
        <v>0.7994567863</v>
      </c>
      <c r="AS1722" s="82">
        <f>IFERROR(__xludf.DUMMYFUNCTION("""COMPUTED_VALUE"""),43.0)</f>
        <v>43</v>
      </c>
      <c r="AT1722" s="82">
        <f>IFERROR(__xludf.DUMMYFUNCTION("""COMPUTED_VALUE"""),0.8166628503178086)</f>
        <v>0.8166628503</v>
      </c>
      <c r="AU1722" s="82">
        <f>IFERROR(__xludf.DUMMYFUNCTION("""COMPUTED_VALUE"""),3.30773757957211)</f>
        <v>3.30773758</v>
      </c>
      <c r="AV1722" s="82">
        <f>IFERROR(__xludf.DUMMYFUNCTION("""COMPUTED_VALUE"""),73.8881569210131)</f>
        <v>73.88815692</v>
      </c>
      <c r="AW1722" s="82">
        <f t="shared" si="1"/>
        <v>5.89428673</v>
      </c>
      <c r="AX1722" s="83">
        <f t="array" ref="AX1722">IFERROR(DGET('SBV Import'!A:G,"SBV",{"RSC ID","Tier";B1722,A1722}))</f>
        <v>66.67992546</v>
      </c>
      <c r="AY1722" s="82">
        <f t="shared" si="2"/>
        <v>3.963171866</v>
      </c>
      <c r="AZ1722" s="82">
        <v>1.9311148641234808</v>
      </c>
      <c r="BA1722" s="84">
        <v>1700.0</v>
      </c>
      <c r="BB1722" s="84" t="b">
        <f>IFERROR(__xludf.DUMMYFUNCTION("iferror(if(A1722="""",,E1722&gt;=FILTER(Constants!$F$2:$F$10,Constants!$A$2:$A$10=A1722)))"),TRUE)</f>
        <v>1</v>
      </c>
    </row>
    <row r="1723">
      <c r="A1723" s="89" t="str">
        <f>IFERROR(__xludf.DUMMYFUNCTION("""COMPUTED_VALUE"""),"Rival")</f>
        <v>Rival</v>
      </c>
      <c r="B1723" s="87" t="str">
        <f>IFERROR(__xludf.DUMMYFUNCTION("""COMPUTED_VALUE"""),"RSC000731")</f>
        <v>RSC000731</v>
      </c>
      <c r="C1723" s="73" t="str">
        <f>IFERROR(__xludf.DUMMYFUNCTION("""COMPUTED_VALUE"""),"mm2")</f>
        <v>mm2</v>
      </c>
      <c r="D1723" s="73" t="str">
        <f>IFERROR(__xludf.DUMMYFUNCTION("""COMPUTED_VALUE"""),"Cursed")</f>
        <v>Cursed</v>
      </c>
      <c r="E1723" s="82">
        <f>IFERROR(__xludf.DUMMYFUNCTION("""COMPUTED_VALUE"""),48.0)</f>
        <v>48</v>
      </c>
      <c r="F1723" s="82">
        <f>IFERROR(__xludf.DUMMYFUNCTION("""COMPUTED_VALUE"""),32.0)</f>
        <v>32</v>
      </c>
      <c r="G1723" s="86">
        <f>IFERROR(__xludf.DUMMYFUNCTION("""COMPUTED_VALUE"""),16.0)</f>
        <v>16</v>
      </c>
      <c r="H1723" s="86">
        <f>IFERROR(__xludf.DUMMYFUNCTION("""COMPUTED_VALUE"""),0.6666666666666666)</f>
        <v>0.6666666667</v>
      </c>
      <c r="I1723" s="86">
        <f>IFERROR(__xludf.DUMMYFUNCTION("""COMPUTED_VALUE"""),0.3082706766917293)</f>
        <v>0.3082706767</v>
      </c>
      <c r="J1723" s="82">
        <f>IFERROR(__xludf.DUMMYFUNCTION("""COMPUTED_VALUE"""),381.9791666666667)</f>
        <v>381.9791667</v>
      </c>
      <c r="K1723" s="82">
        <f>IFERROR(__xludf.DUMMYFUNCTION("""COMPUTED_VALUE"""),0.8541666666666666)</f>
        <v>0.8541666667</v>
      </c>
      <c r="L1723" s="82">
        <f>IFERROR(__xludf.DUMMYFUNCTION("""COMPUTED_VALUE"""),0.7291666666666666)</f>
        <v>0.7291666667</v>
      </c>
      <c r="M1723" s="82">
        <f>IFERROR(__xludf.DUMMYFUNCTION("""COMPUTED_VALUE"""),1.5208333333333333)</f>
        <v>1.520833333</v>
      </c>
      <c r="N1723" s="82">
        <f>IFERROR(__xludf.DUMMYFUNCTION("""COMPUTED_VALUE"""),2.7708333333333335)</f>
        <v>2.770833333</v>
      </c>
      <c r="O1723" s="82">
        <f>IFERROR(__xludf.DUMMYFUNCTION("""COMPUTED_VALUE"""),329.09722222222223)</f>
        <v>329.0972222</v>
      </c>
      <c r="P1723" s="82">
        <f>IFERROR(__xludf.DUMMYFUNCTION("""COMPUTED_VALUE"""),0.611111111111111)</f>
        <v>0.6111111111</v>
      </c>
      <c r="Q1723" s="82">
        <f>IFERROR(__xludf.DUMMYFUNCTION("""COMPUTED_VALUE"""),0.45138888888888884)</f>
        <v>0.4513888889</v>
      </c>
      <c r="R1723" s="82">
        <f>IFERROR(__xludf.DUMMYFUNCTION("""COMPUTED_VALUE"""),1.4166666666666663)</f>
        <v>1.416666667</v>
      </c>
      <c r="S1723" s="82">
        <f>IFERROR(__xludf.DUMMYFUNCTION("""COMPUTED_VALUE"""),2.3680555555555554)</f>
        <v>2.368055556</v>
      </c>
      <c r="T1723" s="82">
        <f>IFERROR(__xludf.DUMMYFUNCTION("""COMPUTED_VALUE"""),353.7926791864886)</f>
        <v>353.7926792</v>
      </c>
      <c r="U1723" s="82">
        <f>IFERROR(__xludf.DUMMYFUNCTION("""COMPUTED_VALUE"""),0.7879360361520665)</f>
        <v>0.7879360362</v>
      </c>
      <c r="V1723" s="82">
        <f>IFERROR(__xludf.DUMMYFUNCTION("""COMPUTED_VALUE"""),0.5911942182685163)</f>
        <v>0.5911942183</v>
      </c>
      <c r="W1723" s="82">
        <f>IFERROR(__xludf.DUMMYFUNCTION("""COMPUTED_VALUE"""),1.3436541438861402)</f>
        <v>1.343654144</v>
      </c>
      <c r="X1723" s="82">
        <f>IFERROR(__xludf.DUMMYFUNCTION("""COMPUTED_VALUE"""),2.5847118799272497)</f>
        <v>2.58471188</v>
      </c>
      <c r="Y1723" s="82">
        <f>IFERROR(__xludf.DUMMYFUNCTION("""COMPUTED_VALUE"""),350.9929923553593)</f>
        <v>350.9929924</v>
      </c>
      <c r="Z1723" s="82">
        <f>IFERROR(__xludf.DUMMYFUNCTION("""COMPUTED_VALUE"""),0.8108053901232837)</f>
        <v>0.8108053901</v>
      </c>
      <c r="AA1723" s="82">
        <f>IFERROR(__xludf.DUMMYFUNCTION("""COMPUTED_VALUE"""),0.5666236361812251)</f>
        <v>0.5666236362</v>
      </c>
      <c r="AB1723" s="82">
        <f>IFERROR(__xludf.DUMMYFUNCTION("""COMPUTED_VALUE"""),1.3096615619216687)</f>
        <v>1.309661562</v>
      </c>
      <c r="AC1723" s="82">
        <f>IFERROR(__xludf.DUMMYFUNCTION("""COMPUTED_VALUE"""),2.6197658659854866)</f>
        <v>2.619765866</v>
      </c>
      <c r="AD1723" s="82">
        <f>IFERROR(__xludf.DUMMYFUNCTION("""COMPUTED_VALUE"""),1.0882814614142944)</f>
        <v>1.088281461</v>
      </c>
      <c r="AE1723" s="82">
        <f>IFERROR(__xludf.DUMMYFUNCTION("""COMPUTED_VALUE"""),1.0534792652732488)</f>
        <v>1.053479265</v>
      </c>
      <c r="AF1723" s="82">
        <f>IFERROR(__xludf.DUMMYFUNCTION("""COMPUTED_VALUE"""),1.2868624252615095)</f>
        <v>1.286862425</v>
      </c>
      <c r="AG1723" s="82">
        <f>IFERROR(__xludf.DUMMYFUNCTION("""COMPUTED_VALUE"""),1.16124148219011)</f>
        <v>1.161241482</v>
      </c>
      <c r="AH1723" s="82">
        <f>IFERROR(__xludf.DUMMYFUNCTION("""COMPUTED_VALUE"""),1.0576644918193936)</f>
        <v>1.057664492</v>
      </c>
      <c r="AI1723" s="82">
        <f>IFERROR(__xludf.DUMMYFUNCTION("""COMPUTED_VALUE"""),0.9301979424191277)</f>
        <v>0.9301979424</v>
      </c>
      <c r="AJ1723" s="82">
        <f>IFERROR(__xludf.DUMMYFUNCTION("""COMPUTED_VALUE"""),0.7755846706739157)</f>
        <v>0.7755846707</v>
      </c>
      <c r="AK1723" s="82">
        <f>IFERROR(__xludf.DUMMYFUNCTION("""COMPUTED_VALUE"""),0.7635204725291667)</f>
        <v>0.7635204725</v>
      </c>
      <c r="AL1723" s="82">
        <f>IFERROR(__xludf.DUMMYFUNCTION("""COMPUTED_VALUE"""),1.0543387769187076)</f>
        <v>1.054338777</v>
      </c>
      <c r="AM1723" s="82">
        <f>IFERROR(__xludf.DUMMYFUNCTION("""COMPUTED_VALUE"""),0.9161777658646455)</f>
        <v>0.9161777659</v>
      </c>
      <c r="AN1723" s="82">
        <f>IFERROR(__xludf.DUMMYFUNCTION("""COMPUTED_VALUE"""),1.126527013313063)</f>
        <v>1.126527013</v>
      </c>
      <c r="AO1723" s="82">
        <f>IFERROR(__xludf.DUMMYFUNCTION("""COMPUTED_VALUE"""),1.1484748625398056)</f>
        <v>1.148474863</v>
      </c>
      <c r="AP1723" s="82">
        <f>IFERROR(__xludf.DUMMYFUNCTION("""COMPUTED_VALUE"""),1.3359639250729316)</f>
        <v>1.335963925</v>
      </c>
      <c r="AQ1723" s="82">
        <f>IFERROR(__xludf.DUMMYFUNCTION("""COMPUTED_VALUE"""),1.1628512446491892)</f>
        <v>1.162851245</v>
      </c>
      <c r="AR1723" s="82">
        <f>IFERROR(__xludf.DUMMYFUNCTION("""COMPUTED_VALUE"""),1.1075807560549211)</f>
        <v>1.107580756</v>
      </c>
      <c r="AS1723" s="82">
        <f>IFERROR(__xludf.DUMMYFUNCTION("""COMPUTED_VALUE"""),128.0)</f>
        <v>128</v>
      </c>
      <c r="AT1723" s="82">
        <f>IFERROR(__xludf.DUMMYFUNCTION("""COMPUTED_VALUE"""),0.6403683331218046)</f>
        <v>0.6403683331</v>
      </c>
      <c r="AU1723" s="82">
        <f>IFERROR(__xludf.DUMMYFUNCTION("""COMPUTED_VALUE"""),3.3073448659359324)</f>
        <v>3.307344866</v>
      </c>
      <c r="AV1723" s="82">
        <f>IFERROR(__xludf.DUMMYFUNCTION("""COMPUTED_VALUE"""),73.87691353946116)</f>
        <v>73.87691354</v>
      </c>
      <c r="AW1723" s="82">
        <f t="shared" si="1"/>
        <v>5.890339705</v>
      </c>
      <c r="AX1723" s="83">
        <f t="array" ref="AX1723">IFERROR(DGET('SBV Import'!A:G,"SBV",{"RSC ID","Tier";B1723,A1723}))</f>
        <v>63.72963092</v>
      </c>
      <c r="AY1723" s="82">
        <f t="shared" si="2"/>
        <v>3.431247794</v>
      </c>
      <c r="AZ1723" s="82">
        <v>2.45909191115578</v>
      </c>
      <c r="BA1723" s="84">
        <v>1700.0</v>
      </c>
      <c r="BB1723" s="84" t="b">
        <f>IFERROR(__xludf.DUMMYFUNCTION("iferror(if(A1723="""",,E1723&gt;=FILTER(Constants!$F$2:$F$10,Constants!$A$2:$A$10=A1723)))"),TRUE)</f>
        <v>1</v>
      </c>
    </row>
    <row r="1724">
      <c r="A1724" s="89" t="str">
        <f>IFERROR(__xludf.DUMMYFUNCTION("""COMPUTED_VALUE"""),"Rival")</f>
        <v>Rival</v>
      </c>
      <c r="B1724" s="87" t="str">
        <f>IFERROR(__xludf.DUMMYFUNCTION("""COMPUTED_VALUE"""),"RSC005493")</f>
        <v>RSC005493</v>
      </c>
      <c r="C1724" s="73" t="str">
        <f>IFERROR(__xludf.DUMMYFUNCTION("""COMPUTED_VALUE"""),"NJ111_")</f>
        <v>NJ111_</v>
      </c>
      <c r="D1724" s="73" t="str">
        <f>IFERROR(__xludf.DUMMYFUNCTION("""COMPUTED_VALUE"""),"Hammerheads")</f>
        <v>Hammerheads</v>
      </c>
      <c r="E1724" s="82">
        <f>IFERROR(__xludf.DUMMYFUNCTION("""COMPUTED_VALUE"""),24.0)</f>
        <v>24</v>
      </c>
      <c r="F1724" s="82">
        <f>IFERROR(__xludf.DUMMYFUNCTION("""COMPUTED_VALUE"""),17.0)</f>
        <v>17</v>
      </c>
      <c r="G1724" s="86">
        <f>IFERROR(__xludf.DUMMYFUNCTION("""COMPUTED_VALUE"""),7.0)</f>
        <v>7</v>
      </c>
      <c r="H1724" s="86">
        <f>IFERROR(__xludf.DUMMYFUNCTION("""COMPUTED_VALUE"""),0.7083333333333334)</f>
        <v>0.7083333333</v>
      </c>
      <c r="I1724" s="86">
        <f>IFERROR(__xludf.DUMMYFUNCTION("""COMPUTED_VALUE"""),0.4385964912280702)</f>
        <v>0.4385964912</v>
      </c>
      <c r="J1724" s="82">
        <f>IFERROR(__xludf.DUMMYFUNCTION("""COMPUTED_VALUE"""),347.8333333333333)</f>
        <v>347.8333333</v>
      </c>
      <c r="K1724" s="82">
        <f>IFERROR(__xludf.DUMMYFUNCTION("""COMPUTED_VALUE"""),1.0416666666666667)</f>
        <v>1.041666667</v>
      </c>
      <c r="L1724" s="82">
        <f>IFERROR(__xludf.DUMMYFUNCTION("""COMPUTED_VALUE"""),0.625)</f>
        <v>0.625</v>
      </c>
      <c r="M1724" s="82">
        <f>IFERROR(__xludf.DUMMYFUNCTION("""COMPUTED_VALUE"""),1.1666666666666667)</f>
        <v>1.166666667</v>
      </c>
      <c r="N1724" s="82">
        <f>IFERROR(__xludf.DUMMYFUNCTION("""COMPUTED_VALUE"""),2.375)</f>
        <v>2.375</v>
      </c>
      <c r="O1724" s="82">
        <f>IFERROR(__xludf.DUMMYFUNCTION("""COMPUTED_VALUE"""),301.02777777777777)</f>
        <v>301.0277778</v>
      </c>
      <c r="P1724" s="82">
        <f>IFERROR(__xludf.DUMMYFUNCTION("""COMPUTED_VALUE"""),0.5833333333333334)</f>
        <v>0.5833333333</v>
      </c>
      <c r="Q1724" s="82">
        <f>IFERROR(__xludf.DUMMYFUNCTION("""COMPUTED_VALUE"""),0.40277777777777773)</f>
        <v>0.4027777778</v>
      </c>
      <c r="R1724" s="82">
        <f>IFERROR(__xludf.DUMMYFUNCTION("""COMPUTED_VALUE"""),1.3055555555555556)</f>
        <v>1.305555556</v>
      </c>
      <c r="S1724" s="82">
        <f>IFERROR(__xludf.DUMMYFUNCTION("""COMPUTED_VALUE"""),2.055555555555556)</f>
        <v>2.055555556</v>
      </c>
      <c r="T1724" s="82">
        <f>IFERROR(__xludf.DUMMYFUNCTION("""COMPUTED_VALUE"""),339.156850957559)</f>
        <v>339.156851</v>
      </c>
      <c r="U1724" s="82">
        <f>IFERROR(__xludf.DUMMYFUNCTION("""COMPUTED_VALUE"""),0.777119174839807)</f>
        <v>0.7771191748</v>
      </c>
      <c r="V1724" s="82">
        <f>IFERROR(__xludf.DUMMYFUNCTION("""COMPUTED_VALUE"""),0.5595406672421684)</f>
        <v>0.5595406672</v>
      </c>
      <c r="W1724" s="82">
        <f>IFERROR(__xludf.DUMMYFUNCTION("""COMPUTED_VALUE"""),1.2349913594475999)</f>
        <v>1.234991359</v>
      </c>
      <c r="X1724" s="82">
        <f>IFERROR(__xludf.DUMMYFUNCTION("""COMPUTED_VALUE"""),2.5573212081244763)</f>
        <v>2.557321208</v>
      </c>
      <c r="Y1724" s="82">
        <f>IFERROR(__xludf.DUMMYFUNCTION("""COMPUTED_VALUE"""),346.76822547181774)</f>
        <v>346.7682255</v>
      </c>
      <c r="Z1724" s="82">
        <f>IFERROR(__xludf.DUMMYFUNCTION("""COMPUTED_VALUE"""),0.8096754977740268)</f>
        <v>0.8096754978</v>
      </c>
      <c r="AA1724" s="82">
        <f>IFERROR(__xludf.DUMMYFUNCTION("""COMPUTED_VALUE"""),0.5589880398603372)</f>
        <v>0.5589880399</v>
      </c>
      <c r="AB1724" s="82">
        <f>IFERROR(__xludf.DUMMYFUNCTION("""COMPUTED_VALUE"""),1.2733132317673082)</f>
        <v>1.273313232</v>
      </c>
      <c r="AC1724" s="82">
        <f>IFERROR(__xludf.DUMMYFUNCTION("""COMPUTED_VALUE"""),2.5138316326036465)</f>
        <v>2.513831633</v>
      </c>
      <c r="AD1724" s="82">
        <f>IFERROR(__xludf.DUMMYFUNCTION("""COMPUTED_VALUE"""),1.0030715266950032)</f>
        <v>1.003071527</v>
      </c>
      <c r="AE1724" s="82">
        <f>IFERROR(__xludf.DUMMYFUNCTION("""COMPUTED_VALUE"""),1.286523637593621)</f>
        <v>1.286523638</v>
      </c>
      <c r="AF1724" s="82">
        <f>IFERROR(__xludf.DUMMYFUNCTION("""COMPUTED_VALUE"""),1.1180919007786927)</f>
        <v>1.118091901</v>
      </c>
      <c r="AG1724" s="82">
        <f>IFERROR(__xludf.DUMMYFUNCTION("""COMPUTED_VALUE"""),0.9162448308554682)</f>
        <v>0.9162448309</v>
      </c>
      <c r="AH1724" s="82">
        <f>IFERROR(__xludf.DUMMYFUNCTION("""COMPUTED_VALUE"""),0.9447728993449515)</f>
        <v>0.9447728993</v>
      </c>
      <c r="AI1724" s="82">
        <f>IFERROR(__xludf.DUMMYFUNCTION("""COMPUTED_VALUE"""),0.8875768746167755)</f>
        <v>0.8875768746</v>
      </c>
      <c r="AJ1724" s="82">
        <f>IFERROR(__xludf.DUMMYFUNCTION("""COMPUTED_VALUE"""),0.7506356196314162)</f>
        <v>0.7506356196</v>
      </c>
      <c r="AK1724" s="82">
        <f>IFERROR(__xludf.DUMMYFUNCTION("""COMPUTED_VALUE"""),0.7198364682999101)</f>
        <v>0.7198364683</v>
      </c>
      <c r="AL1724" s="82">
        <f>IFERROR(__xludf.DUMMYFUNCTION("""COMPUTED_VALUE"""),1.057137400653166)</f>
        <v>1.057137401</v>
      </c>
      <c r="AM1724" s="82">
        <f>IFERROR(__xludf.DUMMYFUNCTION("""COMPUTED_VALUE"""),0.8037924798125331)</f>
        <v>0.8037924798</v>
      </c>
      <c r="AN1724" s="82">
        <f>IFERROR(__xludf.DUMMYFUNCTION("""COMPUTED_VALUE"""),1.0258246530828958)</f>
        <v>1.025824653</v>
      </c>
      <c r="AO1724" s="82">
        <f>IFERROR(__xludf.DUMMYFUNCTION("""COMPUTED_VALUE"""),1.4005791006582997)</f>
        <v>1.400579101</v>
      </c>
      <c r="AP1724" s="82">
        <f>IFERROR(__xludf.DUMMYFUNCTION("""COMPUTED_VALUE"""),1.1451119357767985)</f>
        <v>1.145111936</v>
      </c>
      <c r="AQ1724" s="82">
        <f>IFERROR(__xludf.DUMMYFUNCTION("""COMPUTED_VALUE"""),0.8920502698678713)</f>
        <v>0.8920502699</v>
      </c>
      <c r="AR1724" s="82">
        <f>IFERROR(__xludf.DUMMYFUNCTION("""COMPUTED_VALUE"""),0.9493549337613609)</f>
        <v>0.9493549338</v>
      </c>
      <c r="AS1724" s="82">
        <f>IFERROR(__xludf.DUMMYFUNCTION("""COMPUTED_VALUE"""),65.0)</f>
        <v>65</v>
      </c>
      <c r="AT1724" s="82">
        <f>IFERROR(__xludf.DUMMYFUNCTION("""COMPUTED_VALUE"""),0.6616546826493795)</f>
        <v>0.6616546826</v>
      </c>
      <c r="AU1724" s="82">
        <f>IFERROR(__xludf.DUMMYFUNCTION("""COMPUTED_VALUE"""),3.3065873493806097)</f>
        <v>3.306587349</v>
      </c>
      <c r="AV1724" s="82">
        <f>IFERROR(__xludf.DUMMYFUNCTION("""COMPUTED_VALUE"""),73.8552258594857)</f>
        <v>73.85522586</v>
      </c>
      <c r="AW1724" s="82">
        <f t="shared" si="1"/>
        <v>5.882736314</v>
      </c>
      <c r="AX1724" s="83">
        <f t="array" ref="AX1724">IFERROR(DGET('SBV Import'!A:G,"SBV",{"RSC ID","Tier";B1724,A1724}))</f>
        <v>65.76396089</v>
      </c>
      <c r="AY1724" s="82">
        <f t="shared" si="2"/>
        <v>3.785517979</v>
      </c>
      <c r="AZ1724" s="82">
        <v>2.097218335151045</v>
      </c>
      <c r="BA1724" s="84">
        <v>1700.0</v>
      </c>
      <c r="BB1724" s="84" t="b">
        <f>IFERROR(__xludf.DUMMYFUNCTION("iferror(if(A1724="""",,E1724&gt;=FILTER(Constants!$F$2:$F$10,Constants!$A$2:$A$10=A1724)))"),TRUE)</f>
        <v>1</v>
      </c>
    </row>
    <row r="1725">
      <c r="A1725" s="89" t="str">
        <f>IFERROR(__xludf.DUMMYFUNCTION("""COMPUTED_VALUE"""),"Rival")</f>
        <v>Rival</v>
      </c>
      <c r="B1725" s="87" t="str">
        <f>IFERROR(__xludf.DUMMYFUNCTION("""COMPUTED_VALUE"""),"RSC005287")</f>
        <v>RSC005287</v>
      </c>
      <c r="C1725" s="73" t="str">
        <f>IFERROR(__xludf.DUMMYFUNCTION("""COMPUTED_VALUE"""),"the chosen one")</f>
        <v>the chosen one</v>
      </c>
      <c r="D1725" s="73" t="str">
        <f>IFERROR(__xludf.DUMMYFUNCTION("""COMPUTED_VALUE"""),"Stolen")</f>
        <v>Stolen</v>
      </c>
      <c r="E1725" s="82">
        <f>IFERROR(__xludf.DUMMYFUNCTION("""COMPUTED_VALUE"""),48.0)</f>
        <v>48</v>
      </c>
      <c r="F1725" s="82">
        <f>IFERROR(__xludf.DUMMYFUNCTION("""COMPUTED_VALUE"""),26.0)</f>
        <v>26</v>
      </c>
      <c r="G1725" s="86">
        <f>IFERROR(__xludf.DUMMYFUNCTION("""COMPUTED_VALUE"""),22.0)</f>
        <v>22</v>
      </c>
      <c r="H1725" s="86">
        <f>IFERROR(__xludf.DUMMYFUNCTION("""COMPUTED_VALUE"""),0.5416666666666666)</f>
        <v>0.5416666667</v>
      </c>
      <c r="I1725" s="86">
        <f>IFERROR(__xludf.DUMMYFUNCTION("""COMPUTED_VALUE"""),0.2706766917293233)</f>
        <v>0.2706766917</v>
      </c>
      <c r="J1725" s="82">
        <f>IFERROR(__xludf.DUMMYFUNCTION("""COMPUTED_VALUE"""),408.4375)</f>
        <v>408.4375</v>
      </c>
      <c r="K1725" s="82">
        <f>IFERROR(__xludf.DUMMYFUNCTION("""COMPUTED_VALUE"""),0.75)</f>
        <v>0.75</v>
      </c>
      <c r="L1725" s="82">
        <f>IFERROR(__xludf.DUMMYFUNCTION("""COMPUTED_VALUE"""),0.75)</f>
        <v>0.75</v>
      </c>
      <c r="M1725" s="82">
        <f>IFERROR(__xludf.DUMMYFUNCTION("""COMPUTED_VALUE"""),1.4375)</f>
        <v>1.4375</v>
      </c>
      <c r="N1725" s="82">
        <f>IFERROR(__xludf.DUMMYFUNCTION("""COMPUTED_VALUE"""),2.7708333333333335)</f>
        <v>2.770833333</v>
      </c>
      <c r="O1725" s="82">
        <f>IFERROR(__xludf.DUMMYFUNCTION("""COMPUTED_VALUE"""),323.5902777777777)</f>
        <v>323.5902778</v>
      </c>
      <c r="P1725" s="82">
        <f>IFERROR(__xludf.DUMMYFUNCTION("""COMPUTED_VALUE"""),0.6527777777777778)</f>
        <v>0.6527777778</v>
      </c>
      <c r="Q1725" s="82">
        <f>IFERROR(__xludf.DUMMYFUNCTION("""COMPUTED_VALUE"""),0.4652777777777777)</f>
        <v>0.4652777778</v>
      </c>
      <c r="R1725" s="82">
        <f>IFERROR(__xludf.DUMMYFUNCTION("""COMPUTED_VALUE"""),1.2083333333333333)</f>
        <v>1.208333333</v>
      </c>
      <c r="S1725" s="82">
        <f>IFERROR(__xludf.DUMMYFUNCTION("""COMPUTED_VALUE"""),2.2847222222222223)</f>
        <v>2.284722222</v>
      </c>
      <c r="T1725" s="82">
        <f>IFERROR(__xludf.DUMMYFUNCTION("""COMPUTED_VALUE"""),340.7599488935177)</f>
        <v>340.7599489</v>
      </c>
      <c r="U1725" s="82">
        <f>IFERROR(__xludf.DUMMYFUNCTION("""COMPUTED_VALUE"""),0.7365800424655885)</f>
        <v>0.7365800425</v>
      </c>
      <c r="V1725" s="82">
        <f>IFERROR(__xludf.DUMMYFUNCTION("""COMPUTED_VALUE"""),0.5455453891660079)</f>
        <v>0.5455453892</v>
      </c>
      <c r="W1725" s="82">
        <f>IFERROR(__xludf.DUMMYFUNCTION("""COMPUTED_VALUE"""),1.3058609963576524)</f>
        <v>1.305860996</v>
      </c>
      <c r="X1725" s="82">
        <f>IFERROR(__xludf.DUMMYFUNCTION("""COMPUTED_VALUE"""),2.5398818622549353)</f>
        <v>2.539881862</v>
      </c>
      <c r="Y1725" s="82">
        <f>IFERROR(__xludf.DUMMYFUNCTION("""COMPUTED_VALUE"""),352.2256805657567)</f>
        <v>352.2256806</v>
      </c>
      <c r="Z1725" s="82">
        <f>IFERROR(__xludf.DUMMYFUNCTION("""COMPUTED_VALUE"""),0.7963597165226509)</f>
        <v>0.7963597165</v>
      </c>
      <c r="AA1725" s="82">
        <f>IFERROR(__xludf.DUMMYFUNCTION("""COMPUTED_VALUE"""),0.5724519051704822)</f>
        <v>0.5724519052</v>
      </c>
      <c r="AB1725" s="82">
        <f>IFERROR(__xludf.DUMMYFUNCTION("""COMPUTED_VALUE"""),1.3329207173117064)</f>
        <v>1.332920717</v>
      </c>
      <c r="AC1725" s="82">
        <f>IFERROR(__xludf.DUMMYFUNCTION("""COMPUTED_VALUE"""),2.5968719965069433)</f>
        <v>2.596871997</v>
      </c>
      <c r="AD1725" s="82">
        <f>IFERROR(__xludf.DUMMYFUNCTION("""COMPUTED_VALUE"""),1.1595903494144832)</f>
        <v>1.159590349</v>
      </c>
      <c r="AE1725" s="82">
        <f>IFERROR(__xludf.DUMMYFUNCTION("""COMPUTED_VALUE"""),0.9417854575504105)</f>
        <v>0.9417854576</v>
      </c>
      <c r="AF1725" s="82">
        <f>IFERROR(__xludf.DUMMYFUNCTION("""COMPUTED_VALUE"""),1.3101537320880121)</f>
        <v>1.310153732</v>
      </c>
      <c r="AG1725" s="82">
        <f>IFERROR(__xludf.DUMMYFUNCTION("""COMPUTED_VALUE"""),1.0784587420167149)</f>
        <v>1.078458742</v>
      </c>
      <c r="AH1725" s="82">
        <f>IFERROR(__xludf.DUMMYFUNCTION("""COMPUTED_VALUE"""),1.0669887992401572)</f>
        <v>1.066988799</v>
      </c>
      <c r="AI1725" s="82">
        <f>IFERROR(__xludf.DUMMYFUNCTION("""COMPUTED_VALUE"""),0.9496135881828495)</f>
        <v>0.9496135882</v>
      </c>
      <c r="AJ1725" s="82">
        <f>IFERROR(__xludf.DUMMYFUNCTION("""COMPUTED_VALUE"""),0.886227891259047)</f>
        <v>0.8862278913</v>
      </c>
      <c r="AK1725" s="82">
        <f>IFERROR(__xludf.DUMMYFUNCTION("""COMPUTED_VALUE"""),0.8528672169497431)</f>
        <v>0.8528672169</v>
      </c>
      <c r="AL1725" s="82">
        <f>IFERROR(__xludf.DUMMYFUNCTION("""COMPUTED_VALUE"""),0.9253154330389327)</f>
        <v>0.925315433</v>
      </c>
      <c r="AM1725" s="82">
        <f>IFERROR(__xludf.DUMMYFUNCTION("""COMPUTED_VALUE"""),0.8995387762617513)</f>
        <v>0.8995387763</v>
      </c>
      <c r="AN1725" s="82">
        <f>IFERROR(__xludf.DUMMYFUNCTION("""COMPUTED_VALUE"""),1.204557518189397)</f>
        <v>1.204557518</v>
      </c>
      <c r="AO1725" s="82">
        <f>IFERROR(__xludf.DUMMYFUNCTION("""COMPUTED_VALUE"""),1.0084169524739757)</f>
        <v>1.008416952</v>
      </c>
      <c r="AP1725" s="82">
        <f>IFERROR(__xludf.DUMMYFUNCTION("""COMPUTED_VALUE"""),1.374134322932158)</f>
        <v>1.374134323</v>
      </c>
      <c r="AQ1725" s="82">
        <f>IFERROR(__xludf.DUMMYFUNCTION("""COMPUTED_VALUE"""),1.0991333682300557)</f>
        <v>1.099133368</v>
      </c>
      <c r="AR1725" s="82">
        <f>IFERROR(__xludf.DUMMYFUNCTION("""COMPUTED_VALUE"""),1.1075807560549211)</f>
        <v>1.107580756</v>
      </c>
      <c r="AS1725" s="82">
        <f>IFERROR(__xludf.DUMMYFUNCTION("""COMPUTED_VALUE"""),111.0)</f>
        <v>111</v>
      </c>
      <c r="AT1725" s="82">
        <f>IFERROR(__xludf.DUMMYFUNCTION("""COMPUTED_VALUE"""),0.5627087203595379)</f>
        <v>0.5627087204</v>
      </c>
      <c r="AU1725" s="82">
        <f>IFERROR(__xludf.DUMMYFUNCTION("""COMPUTED_VALUE"""),3.198390525746361)</f>
        <v>3.198390526</v>
      </c>
      <c r="AV1725" s="82">
        <f>IFERROR(__xludf.DUMMYFUNCTION("""COMPUTED_VALUE"""),70.75755351311615)</f>
        <v>70.75755351</v>
      </c>
      <c r="AW1725" s="82">
        <f t="shared" si="1"/>
        <v>4.921647638</v>
      </c>
      <c r="AX1725" s="83">
        <f t="array" ref="AX1725">IFERROR(DGET('SBV Import'!A:G,"SBV",{"RSC ID","Tier";B1725,A1725}))</f>
        <v>84.77339111</v>
      </c>
      <c r="AY1725" s="82">
        <f t="shared" si="2"/>
        <v>12.17693505</v>
      </c>
      <c r="AZ1725" s="82">
        <v>7.255287409229045</v>
      </c>
      <c r="BA1725" s="84">
        <v>1700.0</v>
      </c>
      <c r="BB1725" s="84" t="b">
        <f>IFERROR(__xludf.DUMMYFUNCTION("iferror(if(A1725="""",,E1725&gt;=FILTER(Constants!$F$2:$F$10,Constants!$A$2:$A$10=A1725)))"),TRUE)</f>
        <v>1</v>
      </c>
    </row>
    <row r="1726">
      <c r="A1726" s="89" t="str">
        <f>IFERROR(__xludf.DUMMYFUNCTION("""COMPUTED_VALUE"""),"Rival")</f>
        <v>Rival</v>
      </c>
      <c r="B1726" s="87" t="str">
        <f>IFERROR(__xludf.DUMMYFUNCTION("""COMPUTED_VALUE"""),"RSC005314")</f>
        <v>RSC005314</v>
      </c>
      <c r="C1726" s="73" t="str">
        <f>IFERROR(__xludf.DUMMYFUNCTION("""COMPUTED_VALUE"""),"daggumbigfeet")</f>
        <v>daggumbigfeet</v>
      </c>
      <c r="D1726" s="73" t="str">
        <f>IFERROR(__xludf.DUMMYFUNCTION("""COMPUTED_VALUE"""),"Dice")</f>
        <v>Dice</v>
      </c>
      <c r="E1726" s="82">
        <f>IFERROR(__xludf.DUMMYFUNCTION("""COMPUTED_VALUE"""),28.0)</f>
        <v>28</v>
      </c>
      <c r="F1726" s="82">
        <f>IFERROR(__xludf.DUMMYFUNCTION("""COMPUTED_VALUE"""),11.0)</f>
        <v>11</v>
      </c>
      <c r="G1726" s="86">
        <f>IFERROR(__xludf.DUMMYFUNCTION("""COMPUTED_VALUE"""),17.0)</f>
        <v>17</v>
      </c>
      <c r="H1726" s="86">
        <f>IFERROR(__xludf.DUMMYFUNCTION("""COMPUTED_VALUE"""),0.39285714285714285)</f>
        <v>0.3928571429</v>
      </c>
      <c r="I1726" s="86">
        <f>IFERROR(__xludf.DUMMYFUNCTION("""COMPUTED_VALUE"""),0.3152173913043479)</f>
        <v>0.3152173913</v>
      </c>
      <c r="J1726" s="82">
        <f>IFERROR(__xludf.DUMMYFUNCTION("""COMPUTED_VALUE"""),381.57142857142856)</f>
        <v>381.5714286</v>
      </c>
      <c r="K1726" s="82">
        <f>IFERROR(__xludf.DUMMYFUNCTION("""COMPUTED_VALUE"""),1.0357142857142858)</f>
        <v>1.035714286</v>
      </c>
      <c r="L1726" s="82">
        <f>IFERROR(__xludf.DUMMYFUNCTION("""COMPUTED_VALUE"""),0.6071428571428571)</f>
        <v>0.6071428571</v>
      </c>
      <c r="M1726" s="82">
        <f>IFERROR(__xludf.DUMMYFUNCTION("""COMPUTED_VALUE"""),1.25)</f>
        <v>1.25</v>
      </c>
      <c r="N1726" s="82">
        <f>IFERROR(__xludf.DUMMYFUNCTION("""COMPUTED_VALUE"""),3.2857142857142856)</f>
        <v>3.285714286</v>
      </c>
      <c r="O1726" s="82">
        <f>IFERROR(__xludf.DUMMYFUNCTION("""COMPUTED_VALUE"""),358.5)</f>
        <v>358.5</v>
      </c>
      <c r="P1726" s="82">
        <f>IFERROR(__xludf.DUMMYFUNCTION("""COMPUTED_VALUE"""),0.9404761904761906)</f>
        <v>0.9404761905</v>
      </c>
      <c r="Q1726" s="82">
        <f>IFERROR(__xludf.DUMMYFUNCTION("""COMPUTED_VALUE"""),0.6190476190476188)</f>
        <v>0.619047619</v>
      </c>
      <c r="R1726" s="82">
        <f>IFERROR(__xludf.DUMMYFUNCTION("""COMPUTED_VALUE"""),1.2976190476190474)</f>
        <v>1.297619048</v>
      </c>
      <c r="S1726" s="82">
        <f>IFERROR(__xludf.DUMMYFUNCTION("""COMPUTED_VALUE"""),2.511904761904762)</f>
        <v>2.511904762</v>
      </c>
      <c r="T1726" s="82">
        <f>IFERROR(__xludf.DUMMYFUNCTION("""COMPUTED_VALUE"""),335.6497889283099)</f>
        <v>335.6497889</v>
      </c>
      <c r="U1726" s="82">
        <f>IFERROR(__xludf.DUMMYFUNCTION("""COMPUTED_VALUE"""),0.7295324567825581)</f>
        <v>0.7295324568</v>
      </c>
      <c r="V1726" s="82">
        <f>IFERROR(__xludf.DUMMYFUNCTION("""COMPUTED_VALUE"""),0.5184794587434991)</f>
        <v>0.5184794587</v>
      </c>
      <c r="W1726" s="82">
        <f>IFERROR(__xludf.DUMMYFUNCTION("""COMPUTED_VALUE"""),1.3212177023581237)</f>
        <v>1.321217702</v>
      </c>
      <c r="X1726" s="82">
        <f>IFERROR(__xludf.DUMMYFUNCTION("""COMPUTED_VALUE"""),2.4253436545646285)</f>
        <v>2.425343655</v>
      </c>
      <c r="Y1726" s="82">
        <f>IFERROR(__xludf.DUMMYFUNCTION("""COMPUTED_VALUE"""),349.1356169760571)</f>
        <v>349.135617</v>
      </c>
      <c r="Z1726" s="82">
        <f>IFERROR(__xludf.DUMMYFUNCTION("""COMPUTED_VALUE"""),0.8114041968413207)</f>
        <v>0.8114041968</v>
      </c>
      <c r="AA1726" s="82">
        <f>IFERROR(__xludf.DUMMYFUNCTION("""COMPUTED_VALUE"""),0.5638249559597481)</f>
        <v>0.563824956</v>
      </c>
      <c r="AB1726" s="82">
        <f>IFERROR(__xludf.DUMMYFUNCTION("""COMPUTED_VALUE"""),1.2669141097259764)</f>
        <v>1.26691411</v>
      </c>
      <c r="AC1726" s="82">
        <f>IFERROR(__xludf.DUMMYFUNCTION("""COMPUTED_VALUE"""),2.6241656348216473)</f>
        <v>2.624165635</v>
      </c>
      <c r="AD1726" s="82">
        <f>IFERROR(__xludf.DUMMYFUNCTION("""COMPUTED_VALUE"""),1.0929031872379718)</f>
        <v>1.092903187</v>
      </c>
      <c r="AE1726" s="82">
        <f>IFERROR(__xludf.DUMMYFUNCTION("""COMPUTED_VALUE"""),1.2764467940222295)</f>
        <v>1.276446794</v>
      </c>
      <c r="AF1726" s="82">
        <f>IFERROR(__xludf.DUMMYFUNCTION("""COMPUTED_VALUE"""),1.0768286340028579)</f>
        <v>1.076828634</v>
      </c>
      <c r="AG1726" s="82">
        <f>IFERROR(__xludf.DUMMYFUNCTION("""COMPUTED_VALUE"""),0.9866493635234398)</f>
        <v>0.9866493635</v>
      </c>
      <c r="AH1726" s="82">
        <f>IFERROR(__xludf.DUMMYFUNCTION("""COMPUTED_VALUE"""),1.2520986640912248)</f>
        <v>1.252098664</v>
      </c>
      <c r="AI1726" s="82">
        <f>IFERROR(__xludf.DUMMYFUNCTION("""COMPUTED_VALUE"""),1.0680775374376017)</f>
        <v>1.068077537</v>
      </c>
      <c r="AJ1726" s="82">
        <f>IFERROR(__xludf.DUMMYFUNCTION("""COMPUTED_VALUE"""),1.2891492101995754)</f>
        <v>1.28914921</v>
      </c>
      <c r="AK1726" s="82">
        <f>IFERROR(__xludf.DUMMYFUNCTION("""COMPUTED_VALUE"""),1.1939674920735337)</f>
        <v>1.193967492</v>
      </c>
      <c r="AL1726" s="82">
        <f>IFERROR(__xludf.DUMMYFUNCTION("""COMPUTED_VALUE"""),0.9821387083317479)</f>
        <v>0.9821387083</v>
      </c>
      <c r="AM1726" s="82">
        <f>IFERROR(__xludf.DUMMYFUNCTION("""COMPUTED_VALUE"""),1.0356902442164106)</f>
        <v>1.035690244</v>
      </c>
      <c r="AN1726" s="82">
        <f>IFERROR(__xludf.DUMMYFUNCTION("""COMPUTED_VALUE"""),1.125324518468512)</f>
        <v>1.125324518</v>
      </c>
      <c r="AO1726" s="82">
        <f>IFERROR(__xludf.DUMMYFUNCTION("""COMPUTED_VALUE"""),1.392575791511681)</f>
        <v>1.392575792</v>
      </c>
      <c r="AP1726" s="82">
        <f>IFERROR(__xludf.DUMMYFUNCTION("""COMPUTED_VALUE"""),1.1123944518974613)</f>
        <v>1.112394452</v>
      </c>
      <c r="AQ1726" s="82">
        <f>IFERROR(__xludf.DUMMYFUNCTION("""COMPUTED_VALUE"""),0.9557681462870049)</f>
        <v>0.9557681463</v>
      </c>
      <c r="AR1726" s="82">
        <f>IFERROR(__xludf.DUMMYFUNCTION("""COMPUTED_VALUE"""),1.3133932918202287)</f>
        <v>1.313393292</v>
      </c>
      <c r="AS1726" s="82">
        <f>IFERROR(__xludf.DUMMYFUNCTION("""COMPUTED_VALUE"""),71.0)</f>
        <v>71</v>
      </c>
      <c r="AT1726" s="82">
        <f>IFERROR(__xludf.DUMMYFUNCTION("""COMPUTED_VALUE"""),0.45689719181157995)</f>
        <v>0.4568971918</v>
      </c>
      <c r="AU1726" s="82">
        <f>IFERROR(__xludf.DUMMYFUNCTION("""COMPUTED_VALUE"""),3.1983158017790343)</f>
        <v>3.198315802</v>
      </c>
      <c r="AV1726" s="82">
        <f>IFERROR(__xludf.DUMMYFUNCTION("""COMPUTED_VALUE"""),70.75541416780615)</f>
        <v>70.75541417</v>
      </c>
      <c r="AW1726" s="82">
        <f t="shared" si="1"/>
        <v>4.921061859</v>
      </c>
      <c r="AX1726" s="83">
        <f t="array" ref="AX1726">IFERROR(DGET('SBV Import'!A:G,"SBV",{"RSC ID","Tier";B1726,A1726}))</f>
        <v>69.99418774</v>
      </c>
      <c r="AY1726" s="82">
        <f t="shared" si="2"/>
        <v>4.718700444</v>
      </c>
      <c r="AZ1726" s="82">
        <v>0.20236141496731985</v>
      </c>
      <c r="BA1726" s="84">
        <v>1700.0</v>
      </c>
      <c r="BB1726" s="84" t="b">
        <f>IFERROR(__xludf.DUMMYFUNCTION("iferror(if(A1726="""",,E1726&gt;=FILTER(Constants!$F$2:$F$10,Constants!$A$2:$A$10=A1726)))"),TRUE)</f>
        <v>1</v>
      </c>
    </row>
    <row r="1727">
      <c r="A1727" s="89" t="str">
        <f>IFERROR(__xludf.DUMMYFUNCTION("""COMPUTED_VALUE"""),"Rival")</f>
        <v>Rival</v>
      </c>
      <c r="B1727" s="87" t="str">
        <f>IFERROR(__xludf.DUMMYFUNCTION("""COMPUTED_VALUE"""),"RSC006401")</f>
        <v>RSC006401</v>
      </c>
      <c r="C1727" s="73" t="str">
        <f>IFERROR(__xludf.DUMMYFUNCTION("""COMPUTED_VALUE"""),"Shadohkamii")</f>
        <v>Shadohkamii</v>
      </c>
      <c r="D1727" s="73" t="str">
        <f>IFERROR(__xludf.DUMMYFUNCTION("""COMPUTED_VALUE"""),"Hue Heroes")</f>
        <v>Hue Heroes</v>
      </c>
      <c r="E1727" s="82">
        <f>IFERROR(__xludf.DUMMYFUNCTION("""COMPUTED_VALUE"""),40.0)</f>
        <v>40</v>
      </c>
      <c r="F1727" s="82">
        <f>IFERROR(__xludf.DUMMYFUNCTION("""COMPUTED_VALUE"""),17.0)</f>
        <v>17</v>
      </c>
      <c r="G1727" s="86">
        <f>IFERROR(__xludf.DUMMYFUNCTION("""COMPUTED_VALUE"""),23.0)</f>
        <v>23</v>
      </c>
      <c r="H1727" s="86">
        <f>IFERROR(__xludf.DUMMYFUNCTION("""COMPUTED_VALUE"""),0.425)</f>
        <v>0.425</v>
      </c>
      <c r="I1727" s="86">
        <f>IFERROR(__xludf.DUMMYFUNCTION("""COMPUTED_VALUE"""),0.2966101694915254)</f>
        <v>0.2966101695</v>
      </c>
      <c r="J1727" s="82">
        <f>IFERROR(__xludf.DUMMYFUNCTION("""COMPUTED_VALUE"""),390.55)</f>
        <v>390.55</v>
      </c>
      <c r="K1727" s="82">
        <f>IFERROR(__xludf.DUMMYFUNCTION("""COMPUTED_VALUE"""),0.875)</f>
        <v>0.875</v>
      </c>
      <c r="L1727" s="82">
        <f>IFERROR(__xludf.DUMMYFUNCTION("""COMPUTED_VALUE"""),0.675)</f>
        <v>0.675</v>
      </c>
      <c r="M1727" s="82">
        <f>IFERROR(__xludf.DUMMYFUNCTION("""COMPUTED_VALUE"""),1.5)</f>
        <v>1.5</v>
      </c>
      <c r="N1727" s="82">
        <f>IFERROR(__xludf.DUMMYFUNCTION("""COMPUTED_VALUE"""),2.95)</f>
        <v>2.95</v>
      </c>
      <c r="O1727" s="82">
        <f>IFERROR(__xludf.DUMMYFUNCTION("""COMPUTED_VALUE"""),350.525)</f>
        <v>350.525</v>
      </c>
      <c r="P1727" s="82">
        <f>IFERROR(__xludf.DUMMYFUNCTION("""COMPUTED_VALUE"""),0.8916666666666666)</f>
        <v>0.8916666667</v>
      </c>
      <c r="Q1727" s="82">
        <f>IFERROR(__xludf.DUMMYFUNCTION("""COMPUTED_VALUE"""),0.608333333333333)</f>
        <v>0.6083333333</v>
      </c>
      <c r="R1727" s="82">
        <f>IFERROR(__xludf.DUMMYFUNCTION("""COMPUTED_VALUE"""),1.1416666666666668)</f>
        <v>1.141666667</v>
      </c>
      <c r="S1727" s="82">
        <f>IFERROR(__xludf.DUMMYFUNCTION("""COMPUTED_VALUE"""),2.6916666666666655)</f>
        <v>2.691666667</v>
      </c>
      <c r="T1727" s="82">
        <f>IFERROR(__xludf.DUMMYFUNCTION("""COMPUTED_VALUE"""),352.1852711862727)</f>
        <v>352.1852712</v>
      </c>
      <c r="U1727" s="82">
        <f>IFERROR(__xludf.DUMMYFUNCTION("""COMPUTED_VALUE"""),0.8186564473362017)</f>
        <v>0.8186564473</v>
      </c>
      <c r="V1727" s="82">
        <f>IFERROR(__xludf.DUMMYFUNCTION("""COMPUTED_VALUE"""),0.5828810977513019)</f>
        <v>0.5828810978</v>
      </c>
      <c r="W1727" s="82">
        <f>IFERROR(__xludf.DUMMYFUNCTION("""COMPUTED_VALUE"""),1.3047227148760894)</f>
        <v>1.304722715</v>
      </c>
      <c r="X1727" s="82">
        <f>IFERROR(__xludf.DUMMYFUNCTION("""COMPUTED_VALUE"""),2.6282605917019186)</f>
        <v>2.628260592</v>
      </c>
      <c r="Y1727" s="82">
        <f>IFERROR(__xludf.DUMMYFUNCTION("""COMPUTED_VALUE"""),345.91322421953316)</f>
        <v>345.9132242</v>
      </c>
      <c r="Z1727" s="82">
        <f>IFERROR(__xludf.DUMMYFUNCTION("""COMPUTED_VALUE"""),0.7616158224174153)</f>
        <v>0.7616158224</v>
      </c>
      <c r="AA1727" s="82">
        <f>IFERROR(__xludf.DUMMYFUNCTION("""COMPUTED_VALUE"""),0.5498523281768677)</f>
        <v>0.5498523282</v>
      </c>
      <c r="AB1727" s="82">
        <f>IFERROR(__xludf.DUMMYFUNCTION("""COMPUTED_VALUE"""),1.3426337446771615)</f>
        <v>1.342633745</v>
      </c>
      <c r="AC1727" s="82">
        <f>IFERROR(__xludf.DUMMYFUNCTION("""COMPUTED_VALUE"""),2.510569579784275)</f>
        <v>2.51056958</v>
      </c>
      <c r="AD1727" s="82">
        <f>IFERROR(__xludf.DUMMYFUNCTION("""COMPUTED_VALUE"""),1.1290403854353317)</f>
        <v>1.129040385</v>
      </c>
      <c r="AE1727" s="82">
        <f>IFERROR(__xludf.DUMMYFUNCTION("""COMPUTED_VALUE"""),1.1488731907153613)</f>
        <v>1.148873191</v>
      </c>
      <c r="AF1727" s="82">
        <f>IFERROR(__xludf.DUMMYFUNCTION("""COMPUTED_VALUE"""),1.2276023314079283)</f>
        <v>1.227602331</v>
      </c>
      <c r="AG1727" s="82">
        <f>IFERROR(__xludf.DUMMYFUNCTION("""COMPUTED_VALUE"""),1.1172071355622584)</f>
        <v>1.117207136</v>
      </c>
      <c r="AH1727" s="82">
        <f>IFERROR(__xludf.DUMMYFUNCTION("""COMPUTED_VALUE"""),1.175032161527857)</f>
        <v>1.175032162</v>
      </c>
      <c r="AI1727" s="82">
        <f>IFERROR(__xludf.DUMMYFUNCTION("""COMPUTED_VALUE"""),0.9952858017580338)</f>
        <v>0.9952858018</v>
      </c>
      <c r="AJ1727" s="82">
        <f>IFERROR(__xludf.DUMMYFUNCTION("""COMPUTED_VALUE"""),1.089182977264798)</f>
        <v>1.089182977</v>
      </c>
      <c r="AK1727" s="82">
        <f>IFERROR(__xludf.DUMMYFUNCTION("""COMPUTED_VALUE"""),1.0436662566005712)</f>
        <v>1.043666257</v>
      </c>
      <c r="AL1727" s="82">
        <f>IFERROR(__xludf.DUMMYFUNCTION("""COMPUTED_VALUE"""),0.8750262823278062)</f>
        <v>0.8750262823</v>
      </c>
      <c r="AM1727" s="82">
        <f>IFERROR(__xludf.DUMMYFUNCTION("""COMPUTED_VALUE"""),1.0241247291706674)</f>
        <v>1.024124729</v>
      </c>
      <c r="AN1727" s="82">
        <f>IFERROR(__xludf.DUMMYFUNCTION("""COMPUTED_VALUE"""),1.1518039815856014)</f>
        <v>1.151803982</v>
      </c>
      <c r="AO1727" s="82">
        <f>IFERROR(__xludf.DUMMYFUNCTION("""COMPUTED_VALUE"""),1.1764864445529717)</f>
        <v>1.176486445</v>
      </c>
      <c r="AP1727" s="82">
        <f>IFERROR(__xludf.DUMMYFUNCTION("""COMPUTED_VALUE"""),1.2367208906389424)</f>
        <v>1.236720891</v>
      </c>
      <c r="AQ1727" s="82">
        <f>IFERROR(__xludf.DUMMYFUNCTION("""COMPUTED_VALUE"""),1.1469217755444059)</f>
        <v>1.146921776</v>
      </c>
      <c r="AR1727" s="82">
        <f>IFERROR(__xludf.DUMMYFUNCTION("""COMPUTED_VALUE"""),1.179198759829901)</f>
        <v>1.17919876</v>
      </c>
      <c r="AS1727" s="82">
        <f>IFERROR(__xludf.DUMMYFUNCTION("""COMPUTED_VALUE"""),94.0)</f>
        <v>94</v>
      </c>
      <c r="AT1727" s="82">
        <f>IFERROR(__xludf.DUMMYFUNCTION("""COMPUTED_VALUE"""),0.4487115232383115)</f>
        <v>0.4487115232</v>
      </c>
      <c r="AU1727" s="82">
        <f>IFERROR(__xludf.DUMMYFUNCTION("""COMPUTED_VALUE"""),3.182626872795531)</f>
        <v>3.182626873</v>
      </c>
      <c r="AV1727" s="82">
        <f>IFERROR(__xludf.DUMMYFUNCTION("""COMPUTED_VALUE"""),70.30624052458867)</f>
        <v>70.30624052</v>
      </c>
      <c r="AW1727" s="82">
        <f t="shared" si="1"/>
        <v>4.800210304</v>
      </c>
      <c r="AX1727" s="83">
        <f t="array" ref="AX1727">IFERROR(DGET('SBV Import'!A:G,"SBV",{"RSC ID","Tier";B1727,A1727}))</f>
        <v>71.62712289</v>
      </c>
      <c r="AY1727" s="82">
        <f t="shared" si="2"/>
        <v>5.168063041</v>
      </c>
      <c r="AZ1727" s="82">
        <v>0.36785273677356756</v>
      </c>
      <c r="BA1727" s="84">
        <v>1700.0</v>
      </c>
      <c r="BB1727" s="84" t="b">
        <f>IFERROR(__xludf.DUMMYFUNCTION("iferror(if(A1727="""",,E1727&gt;=FILTER(Constants!$F$2:$F$10,Constants!$A$2:$A$10=A1727)))"),TRUE)</f>
        <v>1</v>
      </c>
    </row>
    <row r="1728">
      <c r="A1728" s="89" t="str">
        <f>IFERROR(__xludf.DUMMYFUNCTION("""COMPUTED_VALUE"""),"Rival")</f>
        <v>Rival</v>
      </c>
      <c r="B1728" s="87" t="str">
        <f>IFERROR(__xludf.DUMMYFUNCTION("""COMPUTED_VALUE"""),"RSC005035")</f>
        <v>RSC005035</v>
      </c>
      <c r="C1728" s="73" t="str">
        <f>IFERROR(__xludf.DUMMYFUNCTION("""COMPUTED_VALUE"""),"Broskijazz")</f>
        <v>Broskijazz</v>
      </c>
      <c r="D1728" s="73" t="str">
        <f>IFERROR(__xludf.DUMMYFUNCTION("""COMPUTED_VALUE"""),"Hot Wings")</f>
        <v>Hot Wings</v>
      </c>
      <c r="E1728" s="82">
        <f>IFERROR(__xludf.DUMMYFUNCTION("""COMPUTED_VALUE"""),8.0)</f>
        <v>8</v>
      </c>
      <c r="F1728" s="82">
        <f>IFERROR(__xludf.DUMMYFUNCTION("""COMPUTED_VALUE"""),4.0)</f>
        <v>4</v>
      </c>
      <c r="G1728" s="86">
        <f>IFERROR(__xludf.DUMMYFUNCTION("""COMPUTED_VALUE"""),4.0)</f>
        <v>4</v>
      </c>
      <c r="H1728" s="86">
        <f>IFERROR(__xludf.DUMMYFUNCTION("""COMPUTED_VALUE"""),0.5)</f>
        <v>0.5</v>
      </c>
      <c r="I1728" s="86">
        <f>IFERROR(__xludf.DUMMYFUNCTION("""COMPUTED_VALUE"""),0.38095238095238093)</f>
        <v>0.380952381</v>
      </c>
      <c r="J1728" s="82">
        <f>IFERROR(__xludf.DUMMYFUNCTION("""COMPUTED_VALUE"""),350.125)</f>
        <v>350.125</v>
      </c>
      <c r="K1728" s="82">
        <f>IFERROR(__xludf.DUMMYFUNCTION("""COMPUTED_VALUE"""),1.0)</f>
        <v>1</v>
      </c>
      <c r="L1728" s="82">
        <f>IFERROR(__xludf.DUMMYFUNCTION("""COMPUTED_VALUE"""),0.75)</f>
        <v>0.75</v>
      </c>
      <c r="M1728" s="82">
        <f>IFERROR(__xludf.DUMMYFUNCTION("""COMPUTED_VALUE"""),0.625)</f>
        <v>0.625</v>
      </c>
      <c r="N1728" s="82">
        <f>IFERROR(__xludf.DUMMYFUNCTION("""COMPUTED_VALUE"""),2.625)</f>
        <v>2.625</v>
      </c>
      <c r="O1728" s="82">
        <f>IFERROR(__xludf.DUMMYFUNCTION("""COMPUTED_VALUE"""),326.62500000000006)</f>
        <v>326.625</v>
      </c>
      <c r="P1728" s="82">
        <f>IFERROR(__xludf.DUMMYFUNCTION("""COMPUTED_VALUE"""),0.6666666666666667)</f>
        <v>0.6666666667</v>
      </c>
      <c r="Q1728" s="82">
        <f>IFERROR(__xludf.DUMMYFUNCTION("""COMPUTED_VALUE"""),0.41666666666666663)</f>
        <v>0.4166666667</v>
      </c>
      <c r="R1728" s="82">
        <f>IFERROR(__xludf.DUMMYFUNCTION("""COMPUTED_VALUE"""),1.4583333333333333)</f>
        <v>1.458333333</v>
      </c>
      <c r="S1728" s="82">
        <f>IFERROR(__xludf.DUMMYFUNCTION("""COMPUTED_VALUE"""),1.958333333333333)</f>
        <v>1.958333333</v>
      </c>
      <c r="T1728" s="82">
        <f>IFERROR(__xludf.DUMMYFUNCTION("""COMPUTED_VALUE"""),336.4686992966069)</f>
        <v>336.4686993</v>
      </c>
      <c r="U1728" s="82">
        <f>IFERROR(__xludf.DUMMYFUNCTION("""COMPUTED_VALUE"""),0.6782170384115438)</f>
        <v>0.6782170384</v>
      </c>
      <c r="V1728" s="82">
        <f>IFERROR(__xludf.DUMMYFUNCTION("""COMPUTED_VALUE"""),0.4389421340129483)</f>
        <v>0.438942134</v>
      </c>
      <c r="W1728" s="82">
        <f>IFERROR(__xludf.DUMMYFUNCTION("""COMPUTED_VALUE"""),1.4749662461909725)</f>
        <v>1.474966246</v>
      </c>
      <c r="X1728" s="82">
        <f>IFERROR(__xludf.DUMMYFUNCTION("""COMPUTED_VALUE"""),2.344390329438836)</f>
        <v>2.344390329</v>
      </c>
      <c r="Y1728" s="82">
        <f>IFERROR(__xludf.DUMMYFUNCTION("""COMPUTED_VALUE"""),357.3513755257637)</f>
        <v>357.3513755</v>
      </c>
      <c r="Z1728" s="82">
        <f>IFERROR(__xludf.DUMMYFUNCTION("""COMPUTED_VALUE"""),0.865361598155571)</f>
        <v>0.8653615982</v>
      </c>
      <c r="AA1728" s="82">
        <f>IFERROR(__xludf.DUMMYFUNCTION("""COMPUTED_VALUE"""),0.6182627393710458)</f>
        <v>0.6182627394</v>
      </c>
      <c r="AB1728" s="82">
        <f>IFERROR(__xludf.DUMMYFUNCTION("""COMPUTED_VALUE"""),1.2247798629732043)</f>
        <v>1.224779863</v>
      </c>
      <c r="AC1728" s="82">
        <f>IFERROR(__xludf.DUMMYFUNCTION("""COMPUTED_VALUE"""),2.7661458530001912)</f>
        <v>2.766145853</v>
      </c>
      <c r="AD1728" s="82">
        <f>IFERROR(__xludf.DUMMYFUNCTION("""COMPUTED_VALUE"""),0.9797779551984888)</f>
        <v>0.9797779552</v>
      </c>
      <c r="AE1728" s="82">
        <f>IFERROR(__xludf.DUMMYFUNCTION("""COMPUTED_VALUE"""),1.1555862914779174)</f>
        <v>1.155586291</v>
      </c>
      <c r="AF1728" s="82">
        <f>IFERROR(__xludf.DUMMYFUNCTION("""COMPUTED_VALUE"""),1.2130765000701313)</f>
        <v>1.2130765</v>
      </c>
      <c r="AG1728" s="82">
        <f>IFERROR(__xludf.DUMMYFUNCTION("""COMPUTED_VALUE"""),0.5102957836706968)</f>
        <v>0.5102957837</v>
      </c>
      <c r="AH1728" s="82">
        <f>IFERROR(__xludf.DUMMYFUNCTION("""COMPUTED_VALUE"""),0.9489738211572962)</f>
        <v>0.9489738212</v>
      </c>
      <c r="AI1728" s="82">
        <f>IFERROR(__xludf.DUMMYFUNCTION("""COMPUTED_VALUE"""),0.9707440861001773)</f>
        <v>0.9707440861</v>
      </c>
      <c r="AJ1728" s="82">
        <f>IFERROR(__xludf.DUMMYFUNCTION("""COMPUTED_VALUE"""),0.9829695052015661)</f>
        <v>0.9829695052</v>
      </c>
      <c r="AK1728" s="82">
        <f>IFERROR(__xludf.DUMMYFUNCTION("""COMPUTED_VALUE"""),0.9492519272583102)</f>
        <v>0.9492519273</v>
      </c>
      <c r="AL1728" s="82">
        <f>IFERROR(__xludf.DUMMYFUNCTION("""COMPUTED_VALUE"""),0.9887231908522701)</f>
        <v>0.9887231909</v>
      </c>
      <c r="AM1728" s="82">
        <f>IFERROR(__xludf.DUMMYFUNCTION("""COMPUTED_VALUE"""),0.835327338089681)</f>
        <v>0.8353273381</v>
      </c>
      <c r="AN1728" s="82">
        <f>IFERROR(__xludf.DUMMYFUNCTION("""COMPUTED_VALUE"""),1.03258320074935)</f>
        <v>1.032583201</v>
      </c>
      <c r="AO1728" s="82">
        <f>IFERROR(__xludf.DUMMYFUNCTION("""COMPUTED_VALUE"""),1.3445559366319677)</f>
        <v>1.344555937</v>
      </c>
      <c r="AP1728" s="82">
        <f>IFERROR(__xludf.DUMMYFUNCTION("""COMPUTED_VALUE"""),1.374134322932158)</f>
        <v>1.374134323</v>
      </c>
      <c r="AQ1728" s="82">
        <f>IFERROR(__xludf.DUMMYFUNCTION("""COMPUTED_VALUE"""),0.47788407314350245)</f>
        <v>0.4778840731</v>
      </c>
      <c r="AR1728" s="82">
        <f>IFERROR(__xludf.DUMMYFUNCTION("""COMPUTED_VALUE"""),1.0492870320520304)</f>
        <v>1.049287032</v>
      </c>
      <c r="AS1728" s="82">
        <f>IFERROR(__xludf.DUMMYFUNCTION("""COMPUTED_VALUE"""),19.0)</f>
        <v>19</v>
      </c>
      <c r="AT1728" s="82">
        <f>IFERROR(__xludf.DUMMYFUNCTION("""COMPUTED_VALUE"""),0.5652480117053107)</f>
        <v>0.5652480117</v>
      </c>
      <c r="AU1728" s="82">
        <f>IFERROR(__xludf.DUMMYFUNCTION("""COMPUTED_VALUE"""),3.1769884665460726)</f>
        <v>3.176988467</v>
      </c>
      <c r="AV1728" s="82">
        <f>IFERROR(__xludf.DUMMYFUNCTION("""COMPUTED_VALUE"""),70.14481309511453)</f>
        <v>70.1448131</v>
      </c>
      <c r="AW1728" s="82">
        <f t="shared" si="1"/>
        <v>4.757798447</v>
      </c>
      <c r="AX1728" s="83">
        <f t="array" ref="AX1728">IFERROR(DGET('SBV Import'!A:G,"SBV",{"RSC ID","Tier";B1728,A1728}))</f>
        <v>72.19483589</v>
      </c>
      <c r="AY1728" s="82">
        <f t="shared" si="2"/>
        <v>5.33828905</v>
      </c>
      <c r="AZ1728" s="82">
        <v>0.5804906026734091</v>
      </c>
      <c r="BA1728" s="84">
        <v>1700.0</v>
      </c>
      <c r="BB1728" s="84" t="b">
        <f>IFERROR(__xludf.DUMMYFUNCTION("iferror(if(A1728="""",,E1728&gt;=FILTER(Constants!$F$2:$F$10,Constants!$A$2:$A$10=A1728)))"),TRUE)</f>
        <v>1</v>
      </c>
    </row>
    <row r="1729">
      <c r="A1729" s="89" t="str">
        <f>IFERROR(__xludf.DUMMYFUNCTION("""COMPUTED_VALUE"""),"Rival")</f>
        <v>Rival</v>
      </c>
      <c r="B1729" s="87" t="str">
        <f>IFERROR(__xludf.DUMMYFUNCTION("""COMPUTED_VALUE"""),"RSC005455")</f>
        <v>RSC005455</v>
      </c>
      <c r="C1729" s="73" t="str">
        <f>IFERROR(__xludf.DUMMYFUNCTION("""COMPUTED_VALUE"""),"Covi")</f>
        <v>Covi</v>
      </c>
      <c r="D1729" s="73" t="str">
        <f>IFERROR(__xludf.DUMMYFUNCTION("""COMPUTED_VALUE"""),"Hammerheads")</f>
        <v>Hammerheads</v>
      </c>
      <c r="E1729" s="82">
        <f>IFERROR(__xludf.DUMMYFUNCTION("""COMPUTED_VALUE"""),8.0)</f>
        <v>8</v>
      </c>
      <c r="F1729" s="82">
        <f>IFERROR(__xludf.DUMMYFUNCTION("""COMPUTED_VALUE"""),4.0)</f>
        <v>4</v>
      </c>
      <c r="G1729" s="86">
        <f>IFERROR(__xludf.DUMMYFUNCTION("""COMPUTED_VALUE"""),4.0)</f>
        <v>4</v>
      </c>
      <c r="H1729" s="86">
        <f>IFERROR(__xludf.DUMMYFUNCTION("""COMPUTED_VALUE"""),0.5)</f>
        <v>0.5</v>
      </c>
      <c r="I1729" s="86">
        <f>IFERROR(__xludf.DUMMYFUNCTION("""COMPUTED_VALUE"""),0.3448275862068966)</f>
        <v>0.3448275862</v>
      </c>
      <c r="J1729" s="82">
        <f>IFERROR(__xludf.DUMMYFUNCTION("""COMPUTED_VALUE"""),355.125)</f>
        <v>355.125</v>
      </c>
      <c r="K1729" s="82">
        <f>IFERROR(__xludf.DUMMYFUNCTION("""COMPUTED_VALUE"""),1.25)</f>
        <v>1.25</v>
      </c>
      <c r="L1729" s="82">
        <f>IFERROR(__xludf.DUMMYFUNCTION("""COMPUTED_VALUE"""),0.25)</f>
        <v>0.25</v>
      </c>
      <c r="M1729" s="82">
        <f>IFERROR(__xludf.DUMMYFUNCTION("""COMPUTED_VALUE"""),1.125)</f>
        <v>1.125</v>
      </c>
      <c r="N1729" s="82">
        <f>IFERROR(__xludf.DUMMYFUNCTION("""COMPUTED_VALUE"""),3.625)</f>
        <v>3.625</v>
      </c>
      <c r="O1729" s="82">
        <f>IFERROR(__xludf.DUMMYFUNCTION("""COMPUTED_VALUE"""),349.0416666666667)</f>
        <v>349.0416667</v>
      </c>
      <c r="P1729" s="82">
        <f>IFERROR(__xludf.DUMMYFUNCTION("""COMPUTED_VALUE"""),0.7083333333333334)</f>
        <v>0.7083333333</v>
      </c>
      <c r="Q1729" s="82">
        <f>IFERROR(__xludf.DUMMYFUNCTION("""COMPUTED_VALUE"""),0.5833333333333333)</f>
        <v>0.5833333333</v>
      </c>
      <c r="R1729" s="82">
        <f>IFERROR(__xludf.DUMMYFUNCTION("""COMPUTED_VALUE"""),1.7916666666666667)</f>
        <v>1.791666667</v>
      </c>
      <c r="S1729" s="82">
        <f>IFERROR(__xludf.DUMMYFUNCTION("""COMPUTED_VALUE"""),2.8333333333333335)</f>
        <v>2.833333333</v>
      </c>
      <c r="T1729" s="82">
        <f>IFERROR(__xludf.DUMMYFUNCTION("""COMPUTED_VALUE"""),346.51403508771926)</f>
        <v>346.5140351</v>
      </c>
      <c r="U1729" s="82">
        <f>IFERROR(__xludf.DUMMYFUNCTION("""COMPUTED_VALUE"""),0.8345942982456139)</f>
        <v>0.8345942982</v>
      </c>
      <c r="V1729" s="82">
        <f>IFERROR(__xludf.DUMMYFUNCTION("""COMPUTED_VALUE"""),0.5213450292397661)</f>
        <v>0.5213450292</v>
      </c>
      <c r="W1729" s="82">
        <f>IFERROR(__xludf.DUMMYFUNCTION("""COMPUTED_VALUE"""),1.3567982456140353)</f>
        <v>1.356798246</v>
      </c>
      <c r="X1729" s="82">
        <f>IFERROR(__xludf.DUMMYFUNCTION("""COMPUTED_VALUE"""),2.5875730994152044)</f>
        <v>2.587573099</v>
      </c>
      <c r="Y1729" s="82">
        <f>IFERROR(__xludf.DUMMYFUNCTION("""COMPUTED_VALUE"""),359.4421113547759)</f>
        <v>359.4421114</v>
      </c>
      <c r="Z1729" s="82">
        <f>IFERROR(__xludf.DUMMYFUNCTION("""COMPUTED_VALUE"""),0.8475268031189084)</f>
        <v>0.8475268031</v>
      </c>
      <c r="AA1729" s="82">
        <f>IFERROR(__xludf.DUMMYFUNCTION("""COMPUTED_VALUE"""),0.5902655945419104)</f>
        <v>0.5902655945</v>
      </c>
      <c r="AB1729" s="82">
        <f>IFERROR(__xludf.DUMMYFUNCTION("""COMPUTED_VALUE"""),1.3869639376218326)</f>
        <v>1.386963938</v>
      </c>
      <c r="AC1729" s="82">
        <f>IFERROR(__xludf.DUMMYFUNCTION("""COMPUTED_VALUE"""),2.725566520467837)</f>
        <v>2.72556652</v>
      </c>
      <c r="AD1729" s="82">
        <f>IFERROR(__xludf.DUMMYFUNCTION("""COMPUTED_VALUE"""),0.9879894113171542)</f>
        <v>0.9879894113</v>
      </c>
      <c r="AE1729" s="82">
        <f>IFERROR(__xludf.DUMMYFUNCTION("""COMPUTED_VALUE"""),1.4748796089987781)</f>
        <v>1.474879609</v>
      </c>
      <c r="AF1729" s="82">
        <f>IFERROR(__xludf.DUMMYFUNCTION("""COMPUTED_VALUE"""),0.4235381535222605)</f>
        <v>0.4235381535</v>
      </c>
      <c r="AG1729" s="82">
        <f>IFERROR(__xludf.DUMMYFUNCTION("""COMPUTED_VALUE"""),0.8111241896663796)</f>
        <v>0.8111241897</v>
      </c>
      <c r="AH1729" s="82">
        <f>IFERROR(__xludf.DUMMYFUNCTION("""COMPUTED_VALUE"""),1.3299987260548598)</f>
        <v>1.329998726</v>
      </c>
      <c r="AI1729" s="82">
        <f>IFERROR(__xludf.DUMMYFUNCTION("""COMPUTED_VALUE"""),1.007294456567416)</f>
        <v>1.007294457</v>
      </c>
      <c r="AJ1729" s="82">
        <f>IFERROR(__xludf.DUMMYFUNCTION("""COMPUTED_VALUE"""),0.8487157590488079)</f>
        <v>0.848715759</v>
      </c>
      <c r="AK1729" s="82">
        <f>IFERROR(__xludf.DUMMYFUNCTION("""COMPUTED_VALUE"""),1.1189007291082442)</f>
        <v>1.118900729</v>
      </c>
      <c r="AL1729" s="82">
        <f>IFERROR(__xludf.DUMMYFUNCTION("""COMPUTED_VALUE"""),1.3205107483433003)</f>
        <v>1.320510748</v>
      </c>
      <c r="AM1729" s="82">
        <f>IFERROR(__xludf.DUMMYFUNCTION("""COMPUTED_VALUE"""),1.094977117351263)</f>
        <v>1.094977117</v>
      </c>
      <c r="AN1729" s="82">
        <f>IFERROR(__xludf.DUMMYFUNCTION("""COMPUTED_VALUE"""),1.0473291229307045)</f>
        <v>1.047329123</v>
      </c>
      <c r="AO1729" s="82">
        <f>IFERROR(__xludf.DUMMYFUNCTION("""COMPUTED_VALUE"""),1.6806949207899595)</f>
        <v>1.680694921</v>
      </c>
      <c r="AP1729" s="82">
        <f>IFERROR(__xludf.DUMMYFUNCTION("""COMPUTED_VALUE"""),0.4580447743107194)</f>
        <v>0.4580447743</v>
      </c>
      <c r="AQ1729" s="82">
        <f>IFERROR(__xludf.DUMMYFUNCTION("""COMPUTED_VALUE"""),0.8601913316583044)</f>
        <v>0.8601913317</v>
      </c>
      <c r="AR1729" s="82">
        <f>IFERROR(__xludf.DUMMYFUNCTION("""COMPUTED_VALUE"""),1.449015425214709)</f>
        <v>1.449015425</v>
      </c>
      <c r="AS1729" s="82">
        <f>IFERROR(__xludf.DUMMYFUNCTION("""COMPUTED_VALUE"""),20.0)</f>
        <v>20</v>
      </c>
      <c r="AT1729" s="82">
        <f>IFERROR(__xludf.DUMMYFUNCTION("""COMPUTED_VALUE"""),0.5627244863633817)</f>
        <v>0.5627244864</v>
      </c>
      <c r="AU1729" s="82">
        <f>IFERROR(__xludf.DUMMYFUNCTION("""COMPUTED_VALUE"""),3.1693408152952536)</f>
        <v>3.169340815</v>
      </c>
      <c r="AV1729" s="82">
        <f>IFERROR(__xludf.DUMMYFUNCTION("""COMPUTED_VALUE"""),69.92586103165635)</f>
        <v>69.92586103</v>
      </c>
      <c r="AW1729" s="82">
        <f t="shared" si="1"/>
        <v>4.701114548</v>
      </c>
      <c r="AX1729" s="83">
        <f t="array" ref="AX1729">IFERROR(DGET('SBV Import'!A:G,"SBV",{"RSC ID","Tier";B1729,A1729}))</f>
        <v>40.38077741</v>
      </c>
      <c r="AY1729" s="82">
        <f t="shared" si="2"/>
        <v>-2.855475911</v>
      </c>
      <c r="AZ1729" s="82">
        <v>7.556590459769362</v>
      </c>
      <c r="BA1729" s="84">
        <v>1700.0</v>
      </c>
      <c r="BB1729" s="84" t="b">
        <f>IFERROR(__xludf.DUMMYFUNCTION("iferror(if(A1729="""",,E1729&gt;=FILTER(Constants!$F$2:$F$10,Constants!$A$2:$A$10=A1729)))"),TRUE)</f>
        <v>1</v>
      </c>
    </row>
    <row r="1730">
      <c r="A1730" s="89" t="str">
        <f>IFERROR(__xludf.DUMMYFUNCTION("""COMPUTED_VALUE"""),"Rival")</f>
        <v>Rival</v>
      </c>
      <c r="B1730" s="87" t="str">
        <f>IFERROR(__xludf.DUMMYFUNCTION("""COMPUTED_VALUE"""),"RSC001720")</f>
        <v>RSC001720</v>
      </c>
      <c r="C1730" s="73" t="str">
        <f>IFERROR(__xludf.DUMMYFUNCTION("""COMPUTED_VALUE"""),"SUPERDUPERBAM")</f>
        <v>SUPERDUPERBAM</v>
      </c>
      <c r="D1730" s="73"/>
      <c r="E1730" s="82">
        <f>IFERROR(__xludf.DUMMYFUNCTION("""COMPUTED_VALUE"""),4.0)</f>
        <v>4</v>
      </c>
      <c r="F1730" s="82">
        <f>IFERROR(__xludf.DUMMYFUNCTION("""COMPUTED_VALUE"""),3.0)</f>
        <v>3</v>
      </c>
      <c r="G1730" s="86">
        <f>IFERROR(__xludf.DUMMYFUNCTION("""COMPUTED_VALUE"""),1.0)</f>
        <v>1</v>
      </c>
      <c r="H1730" s="86">
        <f>IFERROR(__xludf.DUMMYFUNCTION("""COMPUTED_VALUE"""),0.75)</f>
        <v>0.75</v>
      </c>
      <c r="I1730" s="86">
        <f>IFERROR(__xludf.DUMMYFUNCTION("""COMPUTED_VALUE"""),0.45454545454545453)</f>
        <v>0.4545454545</v>
      </c>
      <c r="J1730" s="82">
        <f>IFERROR(__xludf.DUMMYFUNCTION("""COMPUTED_VALUE"""),343.0)</f>
        <v>343</v>
      </c>
      <c r="K1730" s="82">
        <f>IFERROR(__xludf.DUMMYFUNCTION("""COMPUTED_VALUE"""),1.25)</f>
        <v>1.25</v>
      </c>
      <c r="L1730" s="82">
        <f>IFERROR(__xludf.DUMMYFUNCTION("""COMPUTED_VALUE"""),0.5)</f>
        <v>0.5</v>
      </c>
      <c r="M1730" s="82">
        <f>IFERROR(__xludf.DUMMYFUNCTION("""COMPUTED_VALUE"""),0.75)</f>
        <v>0.75</v>
      </c>
      <c r="N1730" s="82">
        <f>IFERROR(__xludf.DUMMYFUNCTION("""COMPUTED_VALUE"""),2.75)</f>
        <v>2.75</v>
      </c>
      <c r="O1730" s="82">
        <f>IFERROR(__xludf.DUMMYFUNCTION("""COMPUTED_VALUE"""),328.91666666666663)</f>
        <v>328.9166667</v>
      </c>
      <c r="P1730" s="82">
        <f>IFERROR(__xludf.DUMMYFUNCTION("""COMPUTED_VALUE"""),0.5)</f>
        <v>0.5</v>
      </c>
      <c r="Q1730" s="82">
        <f>IFERROR(__xludf.DUMMYFUNCTION("""COMPUTED_VALUE"""),0.5)</f>
        <v>0.5</v>
      </c>
      <c r="R1730" s="82">
        <f>IFERROR(__xludf.DUMMYFUNCTION("""COMPUTED_VALUE"""),1.75)</f>
        <v>1.75</v>
      </c>
      <c r="S1730" s="82">
        <f>IFERROR(__xludf.DUMMYFUNCTION("""COMPUTED_VALUE"""),2.25)</f>
        <v>2.25</v>
      </c>
      <c r="T1730" s="82">
        <f>IFERROR(__xludf.DUMMYFUNCTION("""COMPUTED_VALUE"""),340.767094017094)</f>
        <v>340.767094</v>
      </c>
      <c r="U1730" s="82">
        <f>IFERROR(__xludf.DUMMYFUNCTION("""COMPUTED_VALUE"""),0.7172008547008547)</f>
        <v>0.7172008547</v>
      </c>
      <c r="V1730" s="82">
        <f>IFERROR(__xludf.DUMMYFUNCTION("""COMPUTED_VALUE"""),0.4743589743589744)</f>
        <v>0.4743589744</v>
      </c>
      <c r="W1730" s="82">
        <f>IFERROR(__xludf.DUMMYFUNCTION("""COMPUTED_VALUE"""),1.4943376068376069)</f>
        <v>1.494337607</v>
      </c>
      <c r="X1730" s="82">
        <f>IFERROR(__xludf.DUMMYFUNCTION("""COMPUTED_VALUE"""),2.104059829059829)</f>
        <v>2.104059829</v>
      </c>
      <c r="Y1730" s="82">
        <f>IFERROR(__xludf.DUMMYFUNCTION("""COMPUTED_VALUE"""),361.7855056980057)</f>
        <v>361.7855057</v>
      </c>
      <c r="Z1730" s="82">
        <f>IFERROR(__xludf.DUMMYFUNCTION("""COMPUTED_VALUE"""),0.9131054131054132)</f>
        <v>0.9131054131</v>
      </c>
      <c r="AA1730" s="82">
        <f>IFERROR(__xludf.DUMMYFUNCTION("""COMPUTED_VALUE"""),0.6593660968660968)</f>
        <v>0.6593660969</v>
      </c>
      <c r="AB1730" s="82">
        <f>IFERROR(__xludf.DUMMYFUNCTION("""COMPUTED_VALUE"""),1.1627849002849002)</f>
        <v>1.1627849</v>
      </c>
      <c r="AC1730" s="82">
        <f>IFERROR(__xludf.DUMMYFUNCTION("""COMPUTED_VALUE"""),2.8232549857549856)</f>
        <v>2.823254986</v>
      </c>
      <c r="AD1730" s="82">
        <f>IFERROR(__xludf.DUMMYFUNCTION("""COMPUTED_VALUE"""),0.9480755712925476)</f>
        <v>0.9480755713</v>
      </c>
      <c r="AE1730" s="82">
        <f>IFERROR(__xludf.DUMMYFUNCTION("""COMPUTED_VALUE"""),1.3689547581903276)</f>
        <v>1.368954758</v>
      </c>
      <c r="AF1730" s="82">
        <f>IFERROR(__xludf.DUMMYFUNCTION("""COMPUTED_VALUE"""),0.7583040777747773)</f>
        <v>0.7583040778</v>
      </c>
      <c r="AG1730" s="82">
        <f>IFERROR(__xludf.DUMMYFUNCTION("""COMPUTED_VALUE"""),0.6450032158279991)</f>
        <v>0.6450032158</v>
      </c>
      <c r="AH1730" s="82">
        <f>IFERROR(__xludf.DUMMYFUNCTION("""COMPUTED_VALUE"""),0.9740530040238657)</f>
        <v>0.974053004</v>
      </c>
      <c r="AI1730" s="82">
        <f>IFERROR(__xludf.DUMMYFUNCTION("""COMPUTED_VALUE"""),0.9652242615015143)</f>
        <v>0.9652242615</v>
      </c>
      <c r="AJ1730" s="82">
        <f>IFERROR(__xludf.DUMMYFUNCTION("""COMPUTED_VALUE"""),0.6971547743184865)</f>
        <v>0.6971547743</v>
      </c>
      <c r="AK1730" s="82">
        <f>IFERROR(__xludf.DUMMYFUNCTION("""COMPUTED_VALUE"""),1.054054054054054)</f>
        <v>1.054054054</v>
      </c>
      <c r="AL1730" s="82">
        <f>IFERROR(__xludf.DUMMYFUNCTION("""COMPUTED_VALUE"""),1.1710874383355974)</f>
        <v>1.171087438</v>
      </c>
      <c r="AM1730" s="82">
        <f>IFERROR(__xludf.DUMMYFUNCTION("""COMPUTED_VALUE"""),1.0693612267695745)</f>
        <v>1.069361227</v>
      </c>
      <c r="AN1730" s="82">
        <f>IFERROR(__xludf.DUMMYFUNCTION("""COMPUTED_VALUE"""),1.01157026164092)</f>
        <v>1.011570262</v>
      </c>
      <c r="AO1730" s="82">
        <f>IFERROR(__xludf.DUMMYFUNCTION("""COMPUTED_VALUE"""),1.6806949207899595)</f>
        <v>1.680694921</v>
      </c>
      <c r="AP1730" s="82">
        <f>IFERROR(__xludf.DUMMYFUNCTION("""COMPUTED_VALUE"""),0.9160895486214388)</f>
        <v>0.9160895486</v>
      </c>
      <c r="AQ1730" s="82">
        <f>IFERROR(__xludf.DUMMYFUNCTION("""COMPUTED_VALUE"""),0.5734608877722029)</f>
        <v>0.5734608878</v>
      </c>
      <c r="AR1730" s="82">
        <f>IFERROR(__xludf.DUMMYFUNCTION("""COMPUTED_VALUE"""),1.0992530811973653)</f>
        <v>1.099253081</v>
      </c>
      <c r="AS1730" s="82">
        <f>IFERROR(__xludf.DUMMYFUNCTION("""COMPUTED_VALUE"""),10.0)</f>
        <v>10</v>
      </c>
      <c r="AT1730" s="82">
        <f>IFERROR(__xludf.DUMMYFUNCTION("""COMPUTED_VALUE"""),0.6814488513907807)</f>
        <v>0.6814488514</v>
      </c>
      <c r="AU1730" s="82">
        <f>IFERROR(__xludf.DUMMYFUNCTION("""COMPUTED_VALUE"""),3.1661377156865944)</f>
        <v>3.166137716</v>
      </c>
      <c r="AV1730" s="82">
        <f>IFERROR(__xludf.DUMMYFUNCTION("""COMPUTED_VALUE"""),69.83415637021497)</f>
        <v>69.83415637</v>
      </c>
      <c r="AW1730" s="82">
        <f t="shared" si="1"/>
        <v>4.677657199</v>
      </c>
      <c r="AX1730" s="83">
        <f t="array" ref="AX1730">IFERROR(DGET('SBV Import'!A:G,"SBV",{"RSC ID","Tier";B1730,A1730}))</f>
        <v>50.82434384</v>
      </c>
      <c r="AY1730" s="82">
        <f t="shared" si="2"/>
        <v>2.054030201</v>
      </c>
      <c r="AZ1730" s="82">
        <v>2.6236269980585014</v>
      </c>
      <c r="BA1730" s="84">
        <v>1700.0</v>
      </c>
      <c r="BB1730" s="84" t="b">
        <f>IFERROR(__xludf.DUMMYFUNCTION("iferror(if(A1730="""",,E1730&gt;=FILTER(Constants!$F$2:$F$10,Constants!$A$2:$A$10=A1730)))"),TRUE)</f>
        <v>1</v>
      </c>
    </row>
    <row r="1731">
      <c r="A1731" s="89" t="str">
        <f>IFERROR(__xludf.DUMMYFUNCTION("""COMPUTED_VALUE"""),"Rival")</f>
        <v>Rival</v>
      </c>
      <c r="B1731" s="87" t="str">
        <f>IFERROR(__xludf.DUMMYFUNCTION("""COMPUTED_VALUE"""),"RSC005677")</f>
        <v>RSC005677</v>
      </c>
      <c r="C1731" s="73" t="str">
        <f>IFERROR(__xludf.DUMMYFUNCTION("""COMPUTED_VALUE"""),"z2kay")</f>
        <v>z2kay</v>
      </c>
      <c r="D1731" s="73" t="str">
        <f>IFERROR(__xludf.DUMMYFUNCTION("""COMPUTED_VALUE"""),"Hammerheads")</f>
        <v>Hammerheads</v>
      </c>
      <c r="E1731" s="82">
        <f>IFERROR(__xludf.DUMMYFUNCTION("""COMPUTED_VALUE"""),48.0)</f>
        <v>48</v>
      </c>
      <c r="F1731" s="82">
        <f>IFERROR(__xludf.DUMMYFUNCTION("""COMPUTED_VALUE"""),28.0)</f>
        <v>28</v>
      </c>
      <c r="G1731" s="86">
        <f>IFERROR(__xludf.DUMMYFUNCTION("""COMPUTED_VALUE"""),20.0)</f>
        <v>20</v>
      </c>
      <c r="H1731" s="86">
        <f>IFERROR(__xludf.DUMMYFUNCTION("""COMPUTED_VALUE"""),0.5833333333333334)</f>
        <v>0.5833333333</v>
      </c>
      <c r="I1731" s="86">
        <f>IFERROR(__xludf.DUMMYFUNCTION("""COMPUTED_VALUE"""),0.2867647058823529)</f>
        <v>0.2867647059</v>
      </c>
      <c r="J1731" s="82">
        <f>IFERROR(__xludf.DUMMYFUNCTION("""COMPUTED_VALUE"""),382.8333333333333)</f>
        <v>382.8333333</v>
      </c>
      <c r="K1731" s="82">
        <f>IFERROR(__xludf.DUMMYFUNCTION("""COMPUTED_VALUE"""),0.8125)</f>
        <v>0.8125</v>
      </c>
      <c r="L1731" s="82">
        <f>IFERROR(__xludf.DUMMYFUNCTION("""COMPUTED_VALUE"""),0.7083333333333334)</f>
        <v>0.7083333333</v>
      </c>
      <c r="M1731" s="82">
        <f>IFERROR(__xludf.DUMMYFUNCTION("""COMPUTED_VALUE"""),1.5)</f>
        <v>1.5</v>
      </c>
      <c r="N1731" s="82">
        <f>IFERROR(__xludf.DUMMYFUNCTION("""COMPUTED_VALUE"""),2.8333333333333335)</f>
        <v>2.833333333</v>
      </c>
      <c r="O1731" s="82">
        <f>IFERROR(__xludf.DUMMYFUNCTION("""COMPUTED_VALUE"""),329.8888888888889)</f>
        <v>329.8888889</v>
      </c>
      <c r="P1731" s="82">
        <f>IFERROR(__xludf.DUMMYFUNCTION("""COMPUTED_VALUE"""),0.6874999999999999)</f>
        <v>0.6875</v>
      </c>
      <c r="Q1731" s="82">
        <f>IFERROR(__xludf.DUMMYFUNCTION("""COMPUTED_VALUE"""),0.5069444444444445)</f>
        <v>0.5069444444</v>
      </c>
      <c r="R1731" s="82">
        <f>IFERROR(__xludf.DUMMYFUNCTION("""COMPUTED_VALUE"""),1.4375)</f>
        <v>1.4375</v>
      </c>
      <c r="S1731" s="82">
        <f>IFERROR(__xludf.DUMMYFUNCTION("""COMPUTED_VALUE"""),2.375)</f>
        <v>2.375</v>
      </c>
      <c r="T1731" s="82">
        <f>IFERROR(__xludf.DUMMYFUNCTION("""COMPUTED_VALUE"""),342.73820231876965)</f>
        <v>342.7382023</v>
      </c>
      <c r="U1731" s="82">
        <f>IFERROR(__xludf.DUMMYFUNCTION("""COMPUTED_VALUE"""),0.7855465284616049)</f>
        <v>0.7855465285</v>
      </c>
      <c r="V1731" s="82">
        <f>IFERROR(__xludf.DUMMYFUNCTION("""COMPUTED_VALUE"""),0.5489373649446556)</f>
        <v>0.5489373649</v>
      </c>
      <c r="W1731" s="82">
        <f>IFERROR(__xludf.DUMMYFUNCTION("""COMPUTED_VALUE"""),1.2748553615755482)</f>
        <v>1.274855362</v>
      </c>
      <c r="X1731" s="82">
        <f>IFERROR(__xludf.DUMMYFUNCTION("""COMPUTED_VALUE"""),2.550518690335959)</f>
        <v>2.55051869</v>
      </c>
      <c r="Y1731" s="82">
        <f>IFERROR(__xludf.DUMMYFUNCTION("""COMPUTED_VALUE"""),349.46722231198254)</f>
        <v>349.4672223</v>
      </c>
      <c r="Z1731" s="82">
        <f>IFERROR(__xludf.DUMMYFUNCTION("""COMPUTED_VALUE"""),0.8113563092148058)</f>
        <v>0.8113563092</v>
      </c>
      <c r="AA1731" s="82">
        <f>IFERROR(__xludf.DUMMYFUNCTION("""COMPUTED_VALUE"""),0.5562825537502214)</f>
        <v>0.5562825538</v>
      </c>
      <c r="AB1731" s="82">
        <f>IFERROR(__xludf.DUMMYFUNCTION("""COMPUTED_VALUE"""),1.3072330389755562)</f>
        <v>1.307233039</v>
      </c>
      <c r="AC1731" s="82">
        <f>IFERROR(__xludf.DUMMYFUNCTION("""COMPUTED_VALUE"""),2.542335772953935)</f>
        <v>2.542335773</v>
      </c>
      <c r="AD1731" s="82">
        <f>IFERROR(__xludf.DUMMYFUNCTION("""COMPUTED_VALUE"""),1.0954770830883922)</f>
        <v>1.095477083</v>
      </c>
      <c r="AE1731" s="82">
        <f>IFERROR(__xludf.DUMMYFUNCTION("""COMPUTED_VALUE"""),1.001409603613363)</f>
        <v>1.001409604</v>
      </c>
      <c r="AF1731" s="82">
        <f>IFERROR(__xludf.DUMMYFUNCTION("""COMPUTED_VALUE"""),1.2733337196323165)</f>
        <v>1.27333372</v>
      </c>
      <c r="AG1731" s="82">
        <f>IFERROR(__xludf.DUMMYFUNCTION("""COMPUTED_VALUE"""),1.1474618184187804)</f>
        <v>1.147461818</v>
      </c>
      <c r="AH1731" s="82">
        <f>IFERROR(__xludf.DUMMYFUNCTION("""COMPUTED_VALUE"""),1.114460711081168)</f>
        <v>1.114460711</v>
      </c>
      <c r="AI1731" s="82">
        <f>IFERROR(__xludf.DUMMYFUNCTION("""COMPUTED_VALUE"""),0.9625098301182954)</f>
        <v>0.9625098301</v>
      </c>
      <c r="AJ1731" s="82">
        <f>IFERROR(__xludf.DUMMYFUNCTION("""COMPUTED_VALUE"""),0.8751868604732849)</f>
        <v>0.8751868605</v>
      </c>
      <c r="AK1731" s="82">
        <f>IFERROR(__xludf.DUMMYFUNCTION("""COMPUTED_VALUE"""),0.9235014353514724)</f>
        <v>0.9235014354</v>
      </c>
      <c r="AL1731" s="82">
        <f>IFERROR(__xludf.DUMMYFUNCTION("""COMPUTED_VALUE"""),1.1275788950861414)</f>
        <v>1.127578895</v>
      </c>
      <c r="AM1731" s="82">
        <f>IFERROR(__xludf.DUMMYFUNCTION("""COMPUTED_VALUE"""),0.9311831389430676)</f>
        <v>0.9311831389</v>
      </c>
      <c r="AN1731" s="82">
        <f>IFERROR(__xludf.DUMMYFUNCTION("""COMPUTED_VALUE"""),1.1290461083523775)</f>
        <v>1.129046108</v>
      </c>
      <c r="AO1731" s="82">
        <f>IFERROR(__xludf.DUMMYFUNCTION("""COMPUTED_VALUE"""),1.0924516985134738)</f>
        <v>1.092451699</v>
      </c>
      <c r="AP1731" s="82">
        <f>IFERROR(__xludf.DUMMYFUNCTION("""COMPUTED_VALUE"""),1.2977935272137051)</f>
        <v>1.297793527</v>
      </c>
      <c r="AQ1731" s="82">
        <f>IFERROR(__xludf.DUMMYFUNCTION("""COMPUTED_VALUE"""),1.1469217755444059)</f>
        <v>1.146921776</v>
      </c>
      <c r="AR1731" s="82">
        <f>IFERROR(__xludf.DUMMYFUNCTION("""COMPUTED_VALUE"""),1.1325637806275886)</f>
        <v>1.132563781</v>
      </c>
      <c r="AS1731" s="82">
        <f>IFERROR(__xludf.DUMMYFUNCTION("""COMPUTED_VALUE"""),117.0)</f>
        <v>117</v>
      </c>
      <c r="AT1731" s="82">
        <f>IFERROR(__xludf.DUMMYFUNCTION("""COMPUTED_VALUE"""),0.5639563313789343)</f>
        <v>0.5639563314</v>
      </c>
      <c r="AU1731" s="82">
        <f>IFERROR(__xludf.DUMMYFUNCTION("""COMPUTED_VALUE"""),3.164869980149583)</f>
        <v>3.16486998</v>
      </c>
      <c r="AV1731" s="82">
        <f>IFERROR(__xludf.DUMMYFUNCTION("""COMPUTED_VALUE"""),69.79786113359339)</f>
        <v>69.79786113</v>
      </c>
      <c r="AW1731" s="82">
        <f t="shared" si="1"/>
        <v>4.668418966</v>
      </c>
      <c r="AX1731" s="83">
        <f t="array" ref="AX1731">IFERROR(DGET('SBV Import'!A:G,"SBV",{"RSC ID","Tier";B1731,A1731}))</f>
        <v>69.81055411</v>
      </c>
      <c r="AY1731" s="82">
        <f t="shared" si="2"/>
        <v>4.671646769</v>
      </c>
      <c r="AZ1731" s="82">
        <v>0.0032278024136296324</v>
      </c>
      <c r="BA1731" s="84">
        <v>1700.0</v>
      </c>
      <c r="BB1731" s="84" t="b">
        <f>IFERROR(__xludf.DUMMYFUNCTION("iferror(if(A1731="""",,E1731&gt;=FILTER(Constants!$F$2:$F$10,Constants!$A$2:$A$10=A1731)))"),TRUE)</f>
        <v>1</v>
      </c>
    </row>
    <row r="1732">
      <c r="A1732" s="89" t="str">
        <f>IFERROR(__xludf.DUMMYFUNCTION("""COMPUTED_VALUE"""),"Rival")</f>
        <v>Rival</v>
      </c>
      <c r="B1732" s="87" t="str">
        <f>IFERROR(__xludf.DUMMYFUNCTION("""COMPUTED_VALUE"""),"RSC007959")</f>
        <v>RSC007959</v>
      </c>
      <c r="C1732" s="73" t="str">
        <f>IFERROR(__xludf.DUMMYFUNCTION("""COMPUTED_VALUE"""),"Cam")</f>
        <v>Cam</v>
      </c>
      <c r="D1732" s="73" t="str">
        <f>IFERROR(__xludf.DUMMYFUNCTION("""COMPUTED_VALUE"""),"Mining Legion")</f>
        <v>Mining Legion</v>
      </c>
      <c r="E1732" s="82">
        <f>IFERROR(__xludf.DUMMYFUNCTION("""COMPUTED_VALUE"""),41.0)</f>
        <v>41</v>
      </c>
      <c r="F1732" s="82">
        <f>IFERROR(__xludf.DUMMYFUNCTION("""COMPUTED_VALUE"""),29.0)</f>
        <v>29</v>
      </c>
      <c r="G1732" s="86">
        <f>IFERROR(__xludf.DUMMYFUNCTION("""COMPUTED_VALUE"""),12.0)</f>
        <v>12</v>
      </c>
      <c r="H1732" s="86">
        <f>IFERROR(__xludf.DUMMYFUNCTION("""COMPUTED_VALUE"""),0.7073170731707317)</f>
        <v>0.7073170732</v>
      </c>
      <c r="I1732" s="86">
        <f>IFERROR(__xludf.DUMMYFUNCTION("""COMPUTED_VALUE"""),0.3482142857142857)</f>
        <v>0.3482142857</v>
      </c>
      <c r="J1732" s="82">
        <f>IFERROR(__xludf.DUMMYFUNCTION("""COMPUTED_VALUE"""),360.7073170731707)</f>
        <v>360.7073171</v>
      </c>
      <c r="K1732" s="82">
        <f>IFERROR(__xludf.DUMMYFUNCTION("""COMPUTED_VALUE"""),0.9512195121951219)</f>
        <v>0.9512195122</v>
      </c>
      <c r="L1732" s="82">
        <f>IFERROR(__xludf.DUMMYFUNCTION("""COMPUTED_VALUE"""),0.5121951219512195)</f>
        <v>0.512195122</v>
      </c>
      <c r="M1732" s="82">
        <f>IFERROR(__xludf.DUMMYFUNCTION("""COMPUTED_VALUE"""),1.5365853658536586)</f>
        <v>1.536585366</v>
      </c>
      <c r="N1732" s="82">
        <f>IFERROR(__xludf.DUMMYFUNCTION("""COMPUTED_VALUE"""),2.731707317073171)</f>
        <v>2.731707317</v>
      </c>
      <c r="O1732" s="82">
        <f>IFERROR(__xludf.DUMMYFUNCTION("""COMPUTED_VALUE"""),311.0894308943089)</f>
        <v>311.0894309</v>
      </c>
      <c r="P1732" s="82">
        <f>IFERROR(__xludf.DUMMYFUNCTION("""COMPUTED_VALUE"""),0.5447154471544715)</f>
        <v>0.5447154472</v>
      </c>
      <c r="Q1732" s="82">
        <f>IFERROR(__xludf.DUMMYFUNCTION("""COMPUTED_VALUE"""),0.34146341463414637)</f>
        <v>0.3414634146</v>
      </c>
      <c r="R1732" s="82">
        <f>IFERROR(__xludf.DUMMYFUNCTION("""COMPUTED_VALUE"""),1.4390243902439024)</f>
        <v>1.43902439</v>
      </c>
      <c r="S1732" s="82">
        <f>IFERROR(__xludf.DUMMYFUNCTION("""COMPUTED_VALUE"""),2.0975609756097557)</f>
        <v>2.097560976</v>
      </c>
      <c r="T1732" s="82">
        <f>IFERROR(__xludf.DUMMYFUNCTION("""COMPUTED_VALUE"""),339.26052539465024)</f>
        <v>339.2605254</v>
      </c>
      <c r="U1732" s="82">
        <f>IFERROR(__xludf.DUMMYFUNCTION("""COMPUTED_VALUE"""),0.7386969667538481)</f>
        <v>0.7386969668</v>
      </c>
      <c r="V1732" s="82">
        <f>IFERROR(__xludf.DUMMYFUNCTION("""COMPUTED_VALUE"""),0.5057178852550105)</f>
        <v>0.5057178853</v>
      </c>
      <c r="W1732" s="82">
        <f>IFERROR(__xludf.DUMMYFUNCTION("""COMPUTED_VALUE"""),1.3129656262708906)</f>
        <v>1.312965626</v>
      </c>
      <c r="X1732" s="82">
        <f>IFERROR(__xludf.DUMMYFUNCTION("""COMPUTED_VALUE"""),2.4513414803348272)</f>
        <v>2.45134148</v>
      </c>
      <c r="Y1732" s="82">
        <f>IFERROR(__xludf.DUMMYFUNCTION("""COMPUTED_VALUE"""),345.9982765572047)</f>
        <v>345.9982766</v>
      </c>
      <c r="Z1732" s="82">
        <f>IFERROR(__xludf.DUMMYFUNCTION("""COMPUTED_VALUE"""),0.7993208359895939)</f>
        <v>0.799320836</v>
      </c>
      <c r="AA1732" s="82">
        <f>IFERROR(__xludf.DUMMYFUNCTION("""COMPUTED_VALUE"""),0.5742250381878513)</f>
        <v>0.5742250382</v>
      </c>
      <c r="AB1732" s="82">
        <f>IFERROR(__xludf.DUMMYFUNCTION("""COMPUTED_VALUE"""),1.25449752202808)</f>
        <v>1.254497522</v>
      </c>
      <c r="AC1732" s="82">
        <f>IFERROR(__xludf.DUMMYFUNCTION("""COMPUTED_VALUE"""),2.569635977938642)</f>
        <v>2.569635978</v>
      </c>
      <c r="AD1732" s="82">
        <f>IFERROR(__xludf.DUMMYFUNCTION("""COMPUTED_VALUE"""),1.0425118895455947)</f>
        <v>1.04251189</v>
      </c>
      <c r="AE1732" s="82">
        <f>IFERROR(__xludf.DUMMYFUNCTION("""COMPUTED_VALUE"""),1.190034676147871)</f>
        <v>1.190034676</v>
      </c>
      <c r="AF1732" s="82">
        <f>IFERROR(__xludf.DUMMYFUNCTION("""COMPUTED_VALUE"""),0.891976294812245)</f>
        <v>0.8919762948</v>
      </c>
      <c r="AG1732" s="82">
        <f>IFERROR(__xludf.DUMMYFUNCTION("""COMPUTED_VALUE"""),1.2248612204267586)</f>
        <v>1.22486122</v>
      </c>
      <c r="AH1732" s="82">
        <f>IFERROR(__xludf.DUMMYFUNCTION("""COMPUTED_VALUE"""),1.0630717115287833)</f>
        <v>1.063071712</v>
      </c>
      <c r="AI1732" s="82">
        <f>IFERROR(__xludf.DUMMYFUNCTION("""COMPUTED_VALUE"""),0.9169632409559856)</f>
        <v>0.916963241</v>
      </c>
      <c r="AJ1732" s="82">
        <f>IFERROR(__xludf.DUMMYFUNCTION("""COMPUTED_VALUE"""),0.7374004113597288)</f>
        <v>0.7374004114</v>
      </c>
      <c r="AK1732" s="82">
        <f>IFERROR(__xludf.DUMMYFUNCTION("""COMPUTED_VALUE"""),0.6752053359986704)</f>
        <v>0.675205336</v>
      </c>
      <c r="AL1732" s="82">
        <f>IFERROR(__xludf.DUMMYFUNCTION("""COMPUTED_VALUE"""),1.0960107115150046)</f>
        <v>1.096010712</v>
      </c>
      <c r="AM1732" s="82">
        <f>IFERROR(__xludf.DUMMYFUNCTION("""COMPUTED_VALUE"""),0.8556788160429004)</f>
        <v>0.855678816</v>
      </c>
      <c r="AN1732" s="82">
        <f>IFERROR(__xludf.DUMMYFUNCTION("""COMPUTED_VALUE"""),1.063792405561229)</f>
        <v>1.063792406</v>
      </c>
      <c r="AO1732" s="82">
        <f>IFERROR(__xludf.DUMMYFUNCTION("""COMPUTED_VALUE"""),1.2789678421621156)</f>
        <v>1.278967842</v>
      </c>
      <c r="AP1732" s="82">
        <f>IFERROR(__xludf.DUMMYFUNCTION("""COMPUTED_VALUE"""),0.938433196148791)</f>
        <v>0.9384331961</v>
      </c>
      <c r="AQ1732" s="82">
        <f>IFERROR(__xludf.DUMMYFUNCTION("""COMPUTED_VALUE"""),1.1748954773869524)</f>
        <v>1.174895477</v>
      </c>
      <c r="AR1732" s="82">
        <f>IFERROR(__xludf.DUMMYFUNCTION("""COMPUTED_VALUE"""),1.0919409764443895)</f>
        <v>1.091940976</v>
      </c>
      <c r="AS1732" s="82">
        <f>IFERROR(__xludf.DUMMYFUNCTION("""COMPUTED_VALUE"""),114.0)</f>
        <v>114</v>
      </c>
      <c r="AT1732" s="82">
        <f>IFERROR(__xludf.DUMMYFUNCTION("""COMPUTED_VALUE"""),0.6929486274188414)</f>
        <v>0.6929486274</v>
      </c>
      <c r="AU1732" s="82">
        <f>IFERROR(__xludf.DUMMYFUNCTION("""COMPUTED_VALUE"""),3.164541341824653)</f>
        <v>3.164541342</v>
      </c>
      <c r="AV1732" s="82">
        <f>IFERROR(__xludf.DUMMYFUNCTION("""COMPUTED_VALUE"""),69.78845222659501)</f>
        <v>69.78845223</v>
      </c>
      <c r="AW1732" s="82">
        <f t="shared" si="1"/>
        <v>4.666028339</v>
      </c>
      <c r="AX1732" s="83">
        <f t="array" ref="AX1732">IFERROR(DGET('SBV Import'!A:G,"SBV",{"RSC ID","Tier";B1732,A1732}))</f>
        <v>61.51621822</v>
      </c>
      <c r="AY1732" s="82">
        <f t="shared" si="2"/>
        <v>3.100531741</v>
      </c>
      <c r="AZ1732" s="82">
        <v>1.5654965973921837</v>
      </c>
      <c r="BA1732" s="84">
        <v>1700.0</v>
      </c>
      <c r="BB1732" s="84" t="b">
        <f>IFERROR(__xludf.DUMMYFUNCTION("iferror(if(A1732="""",,E1732&gt;=FILTER(Constants!$F$2:$F$10,Constants!$A$2:$A$10=A1732)))"),TRUE)</f>
        <v>1</v>
      </c>
    </row>
    <row r="1733">
      <c r="A1733" s="89" t="str">
        <f>IFERROR(__xludf.DUMMYFUNCTION("""COMPUTED_VALUE"""),"Rival")</f>
        <v>Rival</v>
      </c>
      <c r="B1733" s="87" t="str">
        <f>IFERROR(__xludf.DUMMYFUNCTION("""COMPUTED_VALUE"""),"RSC007346")</f>
        <v>RSC007346</v>
      </c>
      <c r="C1733" s="73" t="str">
        <f>IFERROR(__xludf.DUMMYFUNCTION("""COMPUTED_VALUE"""),"Mai")</f>
        <v>Mai</v>
      </c>
      <c r="D1733" s="73" t="str">
        <f>IFERROR(__xludf.DUMMYFUNCTION("""COMPUTED_VALUE"""),"Funk Hunks")</f>
        <v>Funk Hunks</v>
      </c>
      <c r="E1733" s="82">
        <f>IFERROR(__xludf.DUMMYFUNCTION("""COMPUTED_VALUE"""),37.0)</f>
        <v>37</v>
      </c>
      <c r="F1733" s="82">
        <f>IFERROR(__xludf.DUMMYFUNCTION("""COMPUTED_VALUE"""),13.0)</f>
        <v>13</v>
      </c>
      <c r="G1733" s="86">
        <f>IFERROR(__xludf.DUMMYFUNCTION("""COMPUTED_VALUE"""),24.0)</f>
        <v>24</v>
      </c>
      <c r="H1733" s="86">
        <f>IFERROR(__xludf.DUMMYFUNCTION("""COMPUTED_VALUE"""),0.35135135135135137)</f>
        <v>0.3513513514</v>
      </c>
      <c r="I1733" s="86">
        <f>IFERROR(__xludf.DUMMYFUNCTION("""COMPUTED_VALUE"""),0.35185185185185186)</f>
        <v>0.3518518519</v>
      </c>
      <c r="J1733" s="82">
        <f>IFERROR(__xludf.DUMMYFUNCTION("""COMPUTED_VALUE"""),429.9189189189189)</f>
        <v>429.9189189</v>
      </c>
      <c r="K1733" s="82">
        <f>IFERROR(__xludf.DUMMYFUNCTION("""COMPUTED_VALUE"""),1.027027027027027)</f>
        <v>1.027027027</v>
      </c>
      <c r="L1733" s="82">
        <f>IFERROR(__xludf.DUMMYFUNCTION("""COMPUTED_VALUE"""),0.5405405405405406)</f>
        <v>0.5405405405</v>
      </c>
      <c r="M1733" s="82">
        <f>IFERROR(__xludf.DUMMYFUNCTION("""COMPUTED_VALUE"""),1.7297297297297298)</f>
        <v>1.72972973</v>
      </c>
      <c r="N1733" s="82">
        <f>IFERROR(__xludf.DUMMYFUNCTION("""COMPUTED_VALUE"""),2.918918918918919)</f>
        <v>2.918918919</v>
      </c>
      <c r="O1733" s="82">
        <f>IFERROR(__xludf.DUMMYFUNCTION("""COMPUTED_VALUE"""),365.73873873873873)</f>
        <v>365.7387387</v>
      </c>
      <c r="P1733" s="82">
        <f>IFERROR(__xludf.DUMMYFUNCTION("""COMPUTED_VALUE"""),0.9729729729729731)</f>
        <v>0.972972973</v>
      </c>
      <c r="Q1733" s="82">
        <f>IFERROR(__xludf.DUMMYFUNCTION("""COMPUTED_VALUE"""),0.6846846846846847)</f>
        <v>0.6846846847</v>
      </c>
      <c r="R1733" s="82">
        <f>IFERROR(__xludf.DUMMYFUNCTION("""COMPUTED_VALUE"""),1.1801801801801801)</f>
        <v>1.18018018</v>
      </c>
      <c r="S1733" s="82">
        <f>IFERROR(__xludf.DUMMYFUNCTION("""COMPUTED_VALUE"""),2.729729729729729)</f>
        <v>2.72972973</v>
      </c>
      <c r="T1733" s="82">
        <f>IFERROR(__xludf.DUMMYFUNCTION("""COMPUTED_VALUE"""),347.41616798159885)</f>
        <v>347.416168</v>
      </c>
      <c r="U1733" s="82">
        <f>IFERROR(__xludf.DUMMYFUNCTION("""COMPUTED_VALUE"""),0.7880209893502939)</f>
        <v>0.7880209894</v>
      </c>
      <c r="V1733" s="82">
        <f>IFERROR(__xludf.DUMMYFUNCTION("""COMPUTED_VALUE"""),0.569325396021832)</f>
        <v>0.569325396</v>
      </c>
      <c r="W1733" s="82">
        <f>IFERROR(__xludf.DUMMYFUNCTION("""COMPUTED_VALUE"""),1.3437806655435156)</f>
        <v>1.343780666</v>
      </c>
      <c r="X1733" s="82">
        <f>IFERROR(__xludf.DUMMYFUNCTION("""COMPUTED_VALUE"""),2.5824264698491235)</f>
        <v>2.58242647</v>
      </c>
      <c r="Y1733" s="82">
        <f>IFERROR(__xludf.DUMMYFUNCTION("""COMPUTED_VALUE"""),351.97222841594004)</f>
        <v>351.9722284</v>
      </c>
      <c r="Z1733" s="82">
        <f>IFERROR(__xludf.DUMMYFUNCTION("""COMPUTED_VALUE"""),0.7936813768335503)</f>
        <v>0.7936813768</v>
      </c>
      <c r="AA1733" s="82">
        <f>IFERROR(__xludf.DUMMYFUNCTION("""COMPUTED_VALUE"""),0.5708465481895892)</f>
        <v>0.5708465482</v>
      </c>
      <c r="AB1733" s="82">
        <f>IFERROR(__xludf.DUMMYFUNCTION("""COMPUTED_VALUE"""),1.3457451474763027)</f>
        <v>1.345745147</v>
      </c>
      <c r="AC1733" s="82">
        <f>IFERROR(__xludf.DUMMYFUNCTION("""COMPUTED_VALUE"""),2.6091043185249516)</f>
        <v>2.609104319</v>
      </c>
      <c r="AD1733" s="82">
        <f>IFERROR(__xludf.DUMMYFUNCTION("""COMPUTED_VALUE"""),1.2214569338432748)</f>
        <v>1.221456934</v>
      </c>
      <c r="AE1733" s="82">
        <f>IFERROR(__xludf.DUMMYFUNCTION("""COMPUTED_VALUE"""),1.2940041898481052)</f>
        <v>1.29400419</v>
      </c>
      <c r="AF1733" s="82">
        <f>IFERROR(__xludf.DUMMYFUNCTION("""COMPUTED_VALUE"""),0.9469104127104515)</f>
        <v>0.9469104127</v>
      </c>
      <c r="AG1733" s="82">
        <f>IFERROR(__xludf.DUMMYFUNCTION("""COMPUTED_VALUE"""),1.2853323179158547)</f>
        <v>1.285332318</v>
      </c>
      <c r="AH1733" s="82">
        <f>IFERROR(__xludf.DUMMYFUNCTION("""COMPUTED_VALUE"""),1.1187436616444373)</f>
        <v>1.118743662</v>
      </c>
      <c r="AI1733" s="82">
        <f>IFERROR(__xludf.DUMMYFUNCTION("""COMPUTED_VALUE"""),1.0527395453803703)</f>
        <v>1.052739545</v>
      </c>
      <c r="AJ1733" s="82">
        <f>IFERROR(__xludf.DUMMYFUNCTION("""COMPUTED_VALUE"""),1.2347043874747146)</f>
        <v>1.234704387</v>
      </c>
      <c r="AK1733" s="82">
        <f>IFERROR(__xludf.DUMMYFUNCTION("""COMPUTED_VALUE"""),1.2026245262707884)</f>
        <v>1.202624526</v>
      </c>
      <c r="AL1733" s="82">
        <f>IFERROR(__xludf.DUMMYFUNCTION("""COMPUTED_VALUE"""),0.8782535799492514)</f>
        <v>0.8782535799</v>
      </c>
      <c r="AM1733" s="82">
        <f>IFERROR(__xludf.DUMMYFUNCTION("""COMPUTED_VALUE"""),1.0570406404985508)</f>
        <v>1.05704064</v>
      </c>
      <c r="AN1733" s="82">
        <f>IFERROR(__xludf.DUMMYFUNCTION("""COMPUTED_VALUE"""),1.267910184534088)</f>
        <v>1.267910185</v>
      </c>
      <c r="AO1733" s="82">
        <f>IFERROR(__xludf.DUMMYFUNCTION("""COMPUTED_VALUE"""),1.3808952862706694)</f>
        <v>1.380895286</v>
      </c>
      <c r="AP1733" s="82">
        <f>IFERROR(__xludf.DUMMYFUNCTION("""COMPUTED_VALUE"""),0.9903670795907447)</f>
        <v>0.9903670796</v>
      </c>
      <c r="AQ1733" s="82">
        <f>IFERROR(__xludf.DUMMYFUNCTION("""COMPUTED_VALUE"""),1.3225764618890448)</f>
        <v>1.322576462</v>
      </c>
      <c r="AR1733" s="82">
        <f>IFERROR(__xludf.DUMMYFUNCTION("""COMPUTED_VALUE"""),1.1667747692316015)</f>
        <v>1.166774769</v>
      </c>
      <c r="AS1733" s="82">
        <f>IFERROR(__xludf.DUMMYFUNCTION("""COMPUTED_VALUE"""),87.0)</f>
        <v>87</v>
      </c>
      <c r="AT1733" s="82">
        <f>IFERROR(__xludf.DUMMYFUNCTION("""COMPUTED_VALUE"""),0.41377241670907744)</f>
        <v>0.4137724167</v>
      </c>
      <c r="AU1733" s="82">
        <f>IFERROR(__xludf.DUMMYFUNCTION("""COMPUTED_VALUE"""),3.145085246879079)</f>
        <v>3.145085247</v>
      </c>
      <c r="AV1733" s="82">
        <f>IFERROR(__xludf.DUMMYFUNCTION("""COMPUTED_VALUE"""),69.23142471638843)</f>
        <v>69.23142472</v>
      </c>
      <c r="AW1733" s="82">
        <f t="shared" si="1"/>
        <v>4.527542299</v>
      </c>
      <c r="AX1733" s="83">
        <f t="array" ref="AX1733">IFERROR(DGET('SBV Import'!A:G,"SBV",{"RSC ID","Tier";B1733,A1733}))</f>
        <v>73.56645407</v>
      </c>
      <c r="AY1733" s="82">
        <f t="shared" si="2"/>
        <v>5.782757204</v>
      </c>
      <c r="AZ1733" s="82">
        <v>1.255214904633343</v>
      </c>
      <c r="BA1733" s="84">
        <v>1700.0</v>
      </c>
      <c r="BB1733" s="84" t="b">
        <f>IFERROR(__xludf.DUMMYFUNCTION("iferror(if(A1733="""",,E1733&gt;=FILTER(Constants!$F$2:$F$10,Constants!$A$2:$A$10=A1733)))"),TRUE)</f>
        <v>1</v>
      </c>
    </row>
    <row r="1734">
      <c r="A1734" s="89" t="str">
        <f>IFERROR(__xludf.DUMMYFUNCTION("""COMPUTED_VALUE"""),"Rival")</f>
        <v>Rival</v>
      </c>
      <c r="B1734" s="87" t="str">
        <f>IFERROR(__xludf.DUMMYFUNCTION("""COMPUTED_VALUE"""),"RSC006938")</f>
        <v>RSC006938</v>
      </c>
      <c r="C1734" s="73" t="str">
        <f>IFERROR(__xludf.DUMMYFUNCTION("""COMPUTED_VALUE"""),"Soda. .")</f>
        <v>Soda. .</v>
      </c>
      <c r="D1734" s="73" t="str">
        <f>IFERROR(__xludf.DUMMYFUNCTION("""COMPUTED_VALUE"""),"Cursed")</f>
        <v>Cursed</v>
      </c>
      <c r="E1734" s="82">
        <f>IFERROR(__xludf.DUMMYFUNCTION("""COMPUTED_VALUE"""),48.0)</f>
        <v>48</v>
      </c>
      <c r="F1734" s="82">
        <f>IFERROR(__xludf.DUMMYFUNCTION("""COMPUTED_VALUE"""),32.0)</f>
        <v>32</v>
      </c>
      <c r="G1734" s="86">
        <f>IFERROR(__xludf.DUMMYFUNCTION("""COMPUTED_VALUE"""),16.0)</f>
        <v>16</v>
      </c>
      <c r="H1734" s="86">
        <f>IFERROR(__xludf.DUMMYFUNCTION("""COMPUTED_VALUE"""),0.6666666666666666)</f>
        <v>0.6666666667</v>
      </c>
      <c r="I1734" s="86">
        <f>IFERROR(__xludf.DUMMYFUNCTION("""COMPUTED_VALUE"""),0.3404255319148936)</f>
        <v>0.3404255319</v>
      </c>
      <c r="J1734" s="82">
        <f>IFERROR(__xludf.DUMMYFUNCTION("""COMPUTED_VALUE"""),357.1666666666667)</f>
        <v>357.1666667</v>
      </c>
      <c r="K1734" s="82">
        <f>IFERROR(__xludf.DUMMYFUNCTION("""COMPUTED_VALUE"""),1.0)</f>
        <v>1</v>
      </c>
      <c r="L1734" s="82">
        <f>IFERROR(__xludf.DUMMYFUNCTION("""COMPUTED_VALUE"""),0.4583333333333333)</f>
        <v>0.4583333333</v>
      </c>
      <c r="M1734" s="82">
        <f>IFERROR(__xludf.DUMMYFUNCTION("""COMPUTED_VALUE"""),1.2083333333333333)</f>
        <v>1.208333333</v>
      </c>
      <c r="N1734" s="82">
        <f>IFERROR(__xludf.DUMMYFUNCTION("""COMPUTED_VALUE"""),2.9375)</f>
        <v>2.9375</v>
      </c>
      <c r="O1734" s="82">
        <f>IFERROR(__xludf.DUMMYFUNCTION("""COMPUTED_VALUE"""),329.09722222222223)</f>
        <v>329.0972222</v>
      </c>
      <c r="P1734" s="82">
        <f>IFERROR(__xludf.DUMMYFUNCTION("""COMPUTED_VALUE"""),0.611111111111111)</f>
        <v>0.6111111111</v>
      </c>
      <c r="Q1734" s="82">
        <f>IFERROR(__xludf.DUMMYFUNCTION("""COMPUTED_VALUE"""),0.45138888888888884)</f>
        <v>0.4513888889</v>
      </c>
      <c r="R1734" s="82">
        <f>IFERROR(__xludf.DUMMYFUNCTION("""COMPUTED_VALUE"""),1.4166666666666663)</f>
        <v>1.416666667</v>
      </c>
      <c r="S1734" s="82">
        <f>IFERROR(__xludf.DUMMYFUNCTION("""COMPUTED_VALUE"""),2.3680555555555554)</f>
        <v>2.368055556</v>
      </c>
      <c r="T1734" s="82">
        <f>IFERROR(__xludf.DUMMYFUNCTION("""COMPUTED_VALUE"""),353.7926791864886)</f>
        <v>353.7926792</v>
      </c>
      <c r="U1734" s="82">
        <f>IFERROR(__xludf.DUMMYFUNCTION("""COMPUTED_VALUE"""),0.7879360361520665)</f>
        <v>0.7879360362</v>
      </c>
      <c r="V1734" s="82">
        <f>IFERROR(__xludf.DUMMYFUNCTION("""COMPUTED_VALUE"""),0.5911942182685163)</f>
        <v>0.5911942183</v>
      </c>
      <c r="W1734" s="82">
        <f>IFERROR(__xludf.DUMMYFUNCTION("""COMPUTED_VALUE"""),1.3436541438861402)</f>
        <v>1.343654144</v>
      </c>
      <c r="X1734" s="82">
        <f>IFERROR(__xludf.DUMMYFUNCTION("""COMPUTED_VALUE"""),2.5847118799272497)</f>
        <v>2.58471188</v>
      </c>
      <c r="Y1734" s="82">
        <f>IFERROR(__xludf.DUMMYFUNCTION("""COMPUTED_VALUE"""),350.9929923553593)</f>
        <v>350.9929924</v>
      </c>
      <c r="Z1734" s="82">
        <f>IFERROR(__xludf.DUMMYFUNCTION("""COMPUTED_VALUE"""),0.8108053901232837)</f>
        <v>0.8108053901</v>
      </c>
      <c r="AA1734" s="82">
        <f>IFERROR(__xludf.DUMMYFUNCTION("""COMPUTED_VALUE"""),0.5666236361812251)</f>
        <v>0.5666236362</v>
      </c>
      <c r="AB1734" s="82">
        <f>IFERROR(__xludf.DUMMYFUNCTION("""COMPUTED_VALUE"""),1.3096615619216687)</f>
        <v>1.309661562</v>
      </c>
      <c r="AC1734" s="82">
        <f>IFERROR(__xludf.DUMMYFUNCTION("""COMPUTED_VALUE"""),2.6197658659854866)</f>
        <v>2.619765866</v>
      </c>
      <c r="AD1734" s="82">
        <f>IFERROR(__xludf.DUMMYFUNCTION("""COMPUTED_VALUE"""),1.0175891668659212)</f>
        <v>1.017589167</v>
      </c>
      <c r="AE1734" s="82">
        <f>IFERROR(__xludf.DUMMYFUNCTION("""COMPUTED_VALUE"""),1.2333415788564863)</f>
        <v>1.233341579</v>
      </c>
      <c r="AF1734" s="82">
        <f>IFERROR(__xludf.DUMMYFUNCTION("""COMPUTED_VALUE"""),0.8088849530215203)</f>
        <v>0.808884953</v>
      </c>
      <c r="AG1734" s="82">
        <f>IFERROR(__xludf.DUMMYFUNCTION("""COMPUTED_VALUE"""),0.9226302187263888)</f>
        <v>0.9226302187</v>
      </c>
      <c r="AH1734" s="82">
        <f>IFERROR(__xludf.DUMMYFUNCTION("""COMPUTED_VALUE"""),1.12128340862056)</f>
        <v>1.121283409</v>
      </c>
      <c r="AI1734" s="82">
        <f>IFERROR(__xludf.DUMMYFUNCTION("""COMPUTED_VALUE"""),0.9301979424191277)</f>
        <v>0.9301979424</v>
      </c>
      <c r="AJ1734" s="82">
        <f>IFERROR(__xludf.DUMMYFUNCTION("""COMPUTED_VALUE"""),0.7755846706739157)</f>
        <v>0.7755846707</v>
      </c>
      <c r="AK1734" s="82">
        <f>IFERROR(__xludf.DUMMYFUNCTION("""COMPUTED_VALUE"""),0.7635204725291667)</f>
        <v>0.7635204725</v>
      </c>
      <c r="AL1734" s="82">
        <f>IFERROR(__xludf.DUMMYFUNCTION("""COMPUTED_VALUE"""),1.0543387769187076)</f>
        <v>1.054338777</v>
      </c>
      <c r="AM1734" s="82">
        <f>IFERROR(__xludf.DUMMYFUNCTION("""COMPUTED_VALUE"""),0.9161777658646455)</f>
        <v>0.9161777659</v>
      </c>
      <c r="AN1734" s="82">
        <f>IFERROR(__xludf.DUMMYFUNCTION("""COMPUTED_VALUE"""),1.053350374488091)</f>
        <v>1.053350374</v>
      </c>
      <c r="AO1734" s="82">
        <f>IFERROR(__xludf.DUMMYFUNCTION("""COMPUTED_VALUE"""),1.3445559366319677)</f>
        <v>1.344555937</v>
      </c>
      <c r="AP1734" s="82">
        <f>IFERROR(__xludf.DUMMYFUNCTION("""COMPUTED_VALUE"""),0.8397487529029856)</f>
        <v>0.8397487529</v>
      </c>
      <c r="AQ1734" s="82">
        <f>IFERROR(__xludf.DUMMYFUNCTION("""COMPUTED_VALUE"""),0.923909208077438)</f>
        <v>0.9239092081</v>
      </c>
      <c r="AR1734" s="82">
        <f>IFERROR(__xludf.DUMMYFUNCTION("""COMPUTED_VALUE"""),1.1742021549153676)</f>
        <v>1.174202155</v>
      </c>
      <c r="AS1734" s="82">
        <f>IFERROR(__xludf.DUMMYFUNCTION("""COMPUTED_VALUE"""),128.0)</f>
        <v>128</v>
      </c>
      <c r="AT1734" s="82">
        <f>IFERROR(__xludf.DUMMYFUNCTION("""COMPUTED_VALUE"""),0.6403683331218046)</f>
        <v>0.6403683331</v>
      </c>
      <c r="AU1734" s="82">
        <f>IFERROR(__xludf.DUMMYFUNCTION("""COMPUTED_VALUE"""),3.139745765923455)</f>
        <v>3.139745766</v>
      </c>
      <c r="AV1734" s="82">
        <f>IFERROR(__xludf.DUMMYFUNCTION("""COMPUTED_VALUE"""),69.07855551057779)</f>
        <v>69.07855551</v>
      </c>
      <c r="AW1734" s="82">
        <f t="shared" si="1"/>
        <v>4.490561685</v>
      </c>
      <c r="AX1734" s="83">
        <f t="array" ref="AX1734">IFERROR(DGET('SBV Import'!A:G,"SBV",{"RSC ID","Tier";B1734,A1734}))</f>
        <v>53.4605932</v>
      </c>
      <c r="AY1734" s="82">
        <f t="shared" si="2"/>
        <v>2.247429529</v>
      </c>
      <c r="AZ1734" s="82">
        <v>2.243132156615987</v>
      </c>
      <c r="BA1734" s="84">
        <v>1700.0</v>
      </c>
      <c r="BB1734" s="84" t="b">
        <f>IFERROR(__xludf.DUMMYFUNCTION("iferror(if(A1734="""",,E1734&gt;=FILTER(Constants!$F$2:$F$10,Constants!$A$2:$A$10=A1734)))"),TRUE)</f>
        <v>1</v>
      </c>
    </row>
    <row r="1735">
      <c r="A1735" s="89" t="str">
        <f>IFERROR(__xludf.DUMMYFUNCTION("""COMPUTED_VALUE"""),"Rival")</f>
        <v>Rival</v>
      </c>
      <c r="B1735" s="87" t="str">
        <f>IFERROR(__xludf.DUMMYFUNCTION("""COMPUTED_VALUE"""),"RSC006480")</f>
        <v>RSC006480</v>
      </c>
      <c r="C1735" s="73" t="str">
        <f>IFERROR(__xludf.DUMMYFUNCTION("""COMPUTED_VALUE"""),"Lazyz.")</f>
        <v>Lazyz.</v>
      </c>
      <c r="D1735" s="73" t="str">
        <f>IFERROR(__xludf.DUMMYFUNCTION("""COMPUTED_VALUE"""),"Dracos")</f>
        <v>Dracos</v>
      </c>
      <c r="E1735" s="82">
        <f>IFERROR(__xludf.DUMMYFUNCTION("""COMPUTED_VALUE"""),28.0)</f>
        <v>28</v>
      </c>
      <c r="F1735" s="82">
        <f>IFERROR(__xludf.DUMMYFUNCTION("""COMPUTED_VALUE"""),16.0)</f>
        <v>16</v>
      </c>
      <c r="G1735" s="86">
        <f>IFERROR(__xludf.DUMMYFUNCTION("""COMPUTED_VALUE"""),12.0)</f>
        <v>12</v>
      </c>
      <c r="H1735" s="86">
        <f>IFERROR(__xludf.DUMMYFUNCTION("""COMPUTED_VALUE"""),0.5714285714285714)</f>
        <v>0.5714285714</v>
      </c>
      <c r="I1735" s="86">
        <f>IFERROR(__xludf.DUMMYFUNCTION("""COMPUTED_VALUE"""),0.2804878048780488)</f>
        <v>0.2804878049</v>
      </c>
      <c r="J1735" s="82">
        <f>IFERROR(__xludf.DUMMYFUNCTION("""COMPUTED_VALUE"""),356.25)</f>
        <v>356.25</v>
      </c>
      <c r="K1735" s="82">
        <f>IFERROR(__xludf.DUMMYFUNCTION("""COMPUTED_VALUE"""),0.8214285714285714)</f>
        <v>0.8214285714</v>
      </c>
      <c r="L1735" s="82">
        <f>IFERROR(__xludf.DUMMYFUNCTION("""COMPUTED_VALUE"""),0.6785714285714286)</f>
        <v>0.6785714286</v>
      </c>
      <c r="M1735" s="82">
        <f>IFERROR(__xludf.DUMMYFUNCTION("""COMPUTED_VALUE"""),1.25)</f>
        <v>1.25</v>
      </c>
      <c r="N1735" s="82">
        <f>IFERROR(__xludf.DUMMYFUNCTION("""COMPUTED_VALUE"""),2.9285714285714284)</f>
        <v>2.928571429</v>
      </c>
      <c r="O1735" s="82">
        <f>IFERROR(__xludf.DUMMYFUNCTION("""COMPUTED_VALUE"""),341.5238095238096)</f>
        <v>341.5238095</v>
      </c>
      <c r="P1735" s="82">
        <f>IFERROR(__xludf.DUMMYFUNCTION("""COMPUTED_VALUE"""),0.761904761904762)</f>
        <v>0.7619047619</v>
      </c>
      <c r="Q1735" s="82">
        <f>IFERROR(__xludf.DUMMYFUNCTION("""COMPUTED_VALUE"""),0.42857142857142855)</f>
        <v>0.4285714286</v>
      </c>
      <c r="R1735" s="82">
        <f>IFERROR(__xludf.DUMMYFUNCTION("""COMPUTED_VALUE"""),1.404761904761905)</f>
        <v>1.404761905</v>
      </c>
      <c r="S1735" s="82">
        <f>IFERROR(__xludf.DUMMYFUNCTION("""COMPUTED_VALUE"""),2.4642857142857144)</f>
        <v>2.464285714</v>
      </c>
      <c r="T1735" s="82">
        <f>IFERROR(__xludf.DUMMYFUNCTION("""COMPUTED_VALUE"""),349.53299433669685)</f>
        <v>349.5329943</v>
      </c>
      <c r="U1735" s="82">
        <f>IFERROR(__xludf.DUMMYFUNCTION("""COMPUTED_VALUE"""),0.7724486496850747)</f>
        <v>0.7724486497</v>
      </c>
      <c r="V1735" s="82">
        <f>IFERROR(__xludf.DUMMYFUNCTION("""COMPUTED_VALUE"""),0.5187947639467148)</f>
        <v>0.5187947639</v>
      </c>
      <c r="W1735" s="82">
        <f>IFERROR(__xludf.DUMMYFUNCTION("""COMPUTED_VALUE"""),1.3553462656742017)</f>
        <v>1.355346266</v>
      </c>
      <c r="X1735" s="82">
        <f>IFERROR(__xludf.DUMMYFUNCTION("""COMPUTED_VALUE"""),2.68550076285617)</f>
        <v>2.685500763</v>
      </c>
      <c r="Y1735" s="82">
        <f>IFERROR(__xludf.DUMMYFUNCTION("""COMPUTED_VALUE"""),349.98647035366764)</f>
        <v>349.9864704</v>
      </c>
      <c r="Z1735" s="82">
        <f>IFERROR(__xludf.DUMMYFUNCTION("""COMPUTED_VALUE"""),0.7705240865090218)</f>
        <v>0.7705240865</v>
      </c>
      <c r="AA1735" s="82">
        <f>IFERROR(__xludf.DUMMYFUNCTION("""COMPUTED_VALUE"""),0.5560746289846132)</f>
        <v>0.556074629</v>
      </c>
      <c r="AB1735" s="82">
        <f>IFERROR(__xludf.DUMMYFUNCTION("""COMPUTED_VALUE"""),1.371769700895037)</f>
        <v>1.371769701</v>
      </c>
      <c r="AC1735" s="82">
        <f>IFERROR(__xludf.DUMMYFUNCTION("""COMPUTED_VALUE"""),2.5748694854086795)</f>
        <v>2.574869485</v>
      </c>
      <c r="AD1735" s="82">
        <f>IFERROR(__xludf.DUMMYFUNCTION("""COMPUTED_VALUE"""),1.0178964907986385)</f>
        <v>1.017896491</v>
      </c>
      <c r="AE1735" s="82">
        <f>IFERROR(__xludf.DUMMYFUNCTION("""COMPUTED_VALUE"""),1.0660647548997204)</f>
        <v>1.066064755</v>
      </c>
      <c r="AF1735" s="82">
        <f>IFERROR(__xludf.DUMMYFUNCTION("""COMPUTED_VALUE"""),1.2202884167013577)</f>
        <v>1.220288417</v>
      </c>
      <c r="AG1735" s="82">
        <f>IFERROR(__xludf.DUMMYFUNCTION("""COMPUTED_VALUE"""),0.9112316733518855)</f>
        <v>0.9112316734</v>
      </c>
      <c r="AH1735" s="82">
        <f>IFERROR(__xludf.DUMMYFUNCTION("""COMPUTED_VALUE"""),1.1373669404088689)</f>
        <v>1.13736694</v>
      </c>
      <c r="AI1735" s="82">
        <f>IFERROR(__xludf.DUMMYFUNCTION("""COMPUTED_VALUE"""),0.9770860406809773)</f>
        <v>0.9770860407</v>
      </c>
      <c r="AJ1735" s="82">
        <f>IFERROR(__xludf.DUMMYFUNCTION("""COMPUTED_VALUE"""),0.9863500469777358)</f>
        <v>0.986350047</v>
      </c>
      <c r="AK1735" s="82">
        <f>IFERROR(__xludf.DUMMYFUNCTION("""COMPUTED_VALUE"""),0.8260905050603922)</f>
        <v>0.8260905051</v>
      </c>
      <c r="AL1735" s="82">
        <f>IFERROR(__xludf.DUMMYFUNCTION("""COMPUTED_VALUE"""),1.036459789161792)</f>
        <v>1.036459789</v>
      </c>
      <c r="AM1735" s="82">
        <f>IFERROR(__xludf.DUMMYFUNCTION("""COMPUTED_VALUE"""),0.9176261456968712)</f>
        <v>0.9176261457</v>
      </c>
      <c r="AN1735" s="82">
        <f>IFERROR(__xludf.DUMMYFUNCTION("""COMPUTED_VALUE"""),1.0506469554215094)</f>
        <v>1.050646955</v>
      </c>
      <c r="AO1735" s="82">
        <f>IFERROR(__xludf.DUMMYFUNCTION("""COMPUTED_VALUE"""),1.104456662233402)</f>
        <v>1.104456662</v>
      </c>
      <c r="AP1735" s="82">
        <f>IFERROR(__xludf.DUMMYFUNCTION("""COMPUTED_VALUE"""),1.24326438741481)</f>
        <v>1.243264387</v>
      </c>
      <c r="AQ1735" s="82">
        <f>IFERROR(__xludf.DUMMYFUNCTION("""COMPUTED_VALUE"""),0.9557681462870049)</f>
        <v>0.9557681463</v>
      </c>
      <c r="AR1735" s="82">
        <f>IFERROR(__xludf.DUMMYFUNCTION("""COMPUTED_VALUE"""),1.1706331514049864)</f>
        <v>1.170633151</v>
      </c>
      <c r="AS1735" s="82">
        <f>IFERROR(__xludf.DUMMYFUNCTION("""COMPUTED_VALUE"""),72.0)</f>
        <v>72</v>
      </c>
      <c r="AT1735" s="82">
        <f>IFERROR(__xludf.DUMMYFUNCTION("""COMPUTED_VALUE"""),0.5462139137473337)</f>
        <v>0.5462139137</v>
      </c>
      <c r="AU1735" s="82">
        <f>IFERROR(__xludf.DUMMYFUNCTION("""COMPUTED_VALUE"""),3.101951289020855)</f>
        <v>3.101951289</v>
      </c>
      <c r="AV1735" s="82">
        <f>IFERROR(__xludf.DUMMYFUNCTION("""COMPUTED_VALUE"""),67.99650058498727)</f>
        <v>67.99650058</v>
      </c>
      <c r="AW1735" s="82">
        <f t="shared" si="1"/>
        <v>4.240781535</v>
      </c>
      <c r="AX1735" s="83">
        <f t="array" ref="AX1735">IFERROR(DGET('SBV Import'!A:G,"SBV",{"RSC ID","Tier";B1735,A1735}))</f>
        <v>59.91059568</v>
      </c>
      <c r="AY1735" s="82">
        <f t="shared" si="2"/>
        <v>2.891040759</v>
      </c>
      <c r="AZ1735" s="82">
        <v>1.3497407753889092</v>
      </c>
      <c r="BA1735" s="84">
        <v>1700.0</v>
      </c>
      <c r="BB1735" s="84" t="b">
        <f>IFERROR(__xludf.DUMMYFUNCTION("iferror(if(A1735="""",,E1735&gt;=FILTER(Constants!$F$2:$F$10,Constants!$A$2:$A$10=A1735)))"),TRUE)</f>
        <v>1</v>
      </c>
    </row>
    <row r="1736">
      <c r="A1736" s="89" t="str">
        <f>IFERROR(__xludf.DUMMYFUNCTION("""COMPUTED_VALUE"""),"Rival")</f>
        <v>Rival</v>
      </c>
      <c r="B1736" s="87" t="str">
        <f>IFERROR(__xludf.DUMMYFUNCTION("""COMPUTED_VALUE"""),"RSC000190")</f>
        <v>RSC000190</v>
      </c>
      <c r="C1736" s="73" t="str">
        <f>IFERROR(__xludf.DUMMYFUNCTION("""COMPUTED_VALUE"""),"leaf.")</f>
        <v>leaf.</v>
      </c>
      <c r="D1736" s="73" t="str">
        <f>IFERROR(__xludf.DUMMYFUNCTION("""COMPUTED_VALUE"""),"Hue Heroes")</f>
        <v>Hue Heroes</v>
      </c>
      <c r="E1736" s="82">
        <f>IFERROR(__xludf.DUMMYFUNCTION("""COMPUTED_VALUE"""),26.0)</f>
        <v>26</v>
      </c>
      <c r="F1736" s="82">
        <f>IFERROR(__xludf.DUMMYFUNCTION("""COMPUTED_VALUE"""),14.0)</f>
        <v>14</v>
      </c>
      <c r="G1736" s="86">
        <f>IFERROR(__xludf.DUMMYFUNCTION("""COMPUTED_VALUE"""),12.0)</f>
        <v>12</v>
      </c>
      <c r="H1736" s="86">
        <f>IFERROR(__xludf.DUMMYFUNCTION("""COMPUTED_VALUE"""),0.5384615384615384)</f>
        <v>0.5384615385</v>
      </c>
      <c r="I1736" s="86">
        <f>IFERROR(__xludf.DUMMYFUNCTION("""COMPUTED_VALUE"""),0.3733333333333333)</f>
        <v>0.3733333333</v>
      </c>
      <c r="J1736" s="82">
        <f>IFERROR(__xludf.DUMMYFUNCTION("""COMPUTED_VALUE"""),376.96153846153845)</f>
        <v>376.9615385</v>
      </c>
      <c r="K1736" s="82">
        <f>IFERROR(__xludf.DUMMYFUNCTION("""COMPUTED_VALUE"""),1.0769230769230769)</f>
        <v>1.076923077</v>
      </c>
      <c r="L1736" s="82">
        <f>IFERROR(__xludf.DUMMYFUNCTION("""COMPUTED_VALUE"""),0.5)</f>
        <v>0.5</v>
      </c>
      <c r="M1736" s="82">
        <f>IFERROR(__xludf.DUMMYFUNCTION("""COMPUTED_VALUE"""),1.3846153846153846)</f>
        <v>1.384615385</v>
      </c>
      <c r="N1736" s="82">
        <f>IFERROR(__xludf.DUMMYFUNCTION("""COMPUTED_VALUE"""),2.8846153846153846)</f>
        <v>2.884615385</v>
      </c>
      <c r="O1736" s="82">
        <f>IFERROR(__xludf.DUMMYFUNCTION("""COMPUTED_VALUE"""),338.34615384615387)</f>
        <v>338.3461538</v>
      </c>
      <c r="P1736" s="82">
        <f>IFERROR(__xludf.DUMMYFUNCTION("""COMPUTED_VALUE"""),0.7435897435897435)</f>
        <v>0.7435897436</v>
      </c>
      <c r="Q1736" s="82">
        <f>IFERROR(__xludf.DUMMYFUNCTION("""COMPUTED_VALUE"""),0.5128205128205127)</f>
        <v>0.5128205128</v>
      </c>
      <c r="R1736" s="82">
        <f>IFERROR(__xludf.DUMMYFUNCTION("""COMPUTED_VALUE"""),1.2435897435897434)</f>
        <v>1.243589744</v>
      </c>
      <c r="S1736" s="82">
        <f>IFERROR(__xludf.DUMMYFUNCTION("""COMPUTED_VALUE"""),2.525641025641025)</f>
        <v>2.525641026</v>
      </c>
      <c r="T1736" s="82">
        <f>IFERROR(__xludf.DUMMYFUNCTION("""COMPUTED_VALUE"""),341.76668360305786)</f>
        <v>341.7666836</v>
      </c>
      <c r="U1736" s="82">
        <f>IFERROR(__xludf.DUMMYFUNCTION("""COMPUTED_VALUE"""),0.7149643594648423)</f>
        <v>0.7149643595</v>
      </c>
      <c r="V1736" s="82">
        <f>IFERROR(__xludf.DUMMYFUNCTION("""COMPUTED_VALUE"""),0.4860107995805895)</f>
        <v>0.4860107996</v>
      </c>
      <c r="W1736" s="82">
        <f>IFERROR(__xludf.DUMMYFUNCTION("""COMPUTED_VALUE"""),1.3993476933168294)</f>
        <v>1.399347693</v>
      </c>
      <c r="X1736" s="82">
        <f>IFERROR(__xludf.DUMMYFUNCTION("""COMPUTED_VALUE"""),2.4626534313236665)</f>
        <v>2.462653431</v>
      </c>
      <c r="Y1736" s="82">
        <f>IFERROR(__xludf.DUMMYFUNCTION("""COMPUTED_VALUE"""),355.13469515937544)</f>
        <v>355.1346952</v>
      </c>
      <c r="Z1736" s="82">
        <f>IFERROR(__xludf.DUMMYFUNCTION("""COMPUTED_VALUE"""),0.8138189976333827)</f>
        <v>0.8138189976</v>
      </c>
      <c r="AA1736" s="82">
        <f>IFERROR(__xludf.DUMMYFUNCTION("""COMPUTED_VALUE"""),0.6025123543345516)</f>
        <v>0.6025123543</v>
      </c>
      <c r="AB1736" s="82">
        <f>IFERROR(__xludf.DUMMYFUNCTION("""COMPUTED_VALUE"""),1.2784831411239632)</f>
        <v>1.278483141</v>
      </c>
      <c r="AC1736" s="82">
        <f>IFERROR(__xludf.DUMMYFUNCTION("""COMPUTED_VALUE"""),2.66475668614162)</f>
        <v>2.664756686</v>
      </c>
      <c r="AD1736" s="82">
        <f>IFERROR(__xludf.DUMMYFUNCTION("""COMPUTED_VALUE"""),1.0614607460202323)</f>
        <v>1.061460746</v>
      </c>
      <c r="AE1736" s="82">
        <f>IFERROR(__xludf.DUMMYFUNCTION("""COMPUTED_VALUE"""),1.3232955731616134)</f>
        <v>1.323295573</v>
      </c>
      <c r="AF1736" s="82">
        <f>IFERROR(__xludf.DUMMYFUNCTION("""COMPUTED_VALUE"""),0.8298585023243681)</f>
        <v>0.8298585023</v>
      </c>
      <c r="AG1736" s="82">
        <f>IFERROR(__xludf.DUMMYFUNCTION("""COMPUTED_VALUE"""),1.0830141908622404)</f>
        <v>1.083014191</v>
      </c>
      <c r="AH1736" s="82">
        <f>IFERROR(__xludf.DUMMYFUNCTION("""COMPUTED_VALUE"""),1.082506106323765)</f>
        <v>1.082506106</v>
      </c>
      <c r="AI1736" s="82">
        <f>IFERROR(__xludf.DUMMYFUNCTION("""COMPUTED_VALUE"""),0.9899916231715647)</f>
        <v>0.9899916232</v>
      </c>
      <c r="AJ1736" s="82">
        <f>IFERROR(__xludf.DUMMYFUNCTION("""COMPUTED_VALUE"""),1.040037498017842)</f>
        <v>1.040037498</v>
      </c>
      <c r="AK1736" s="82">
        <f>IFERROR(__xludf.DUMMYFUNCTION("""COMPUTED_VALUE"""),1.0551627932199428)</f>
        <v>1.055162793</v>
      </c>
      <c r="AL1736" s="82">
        <f>IFERROR(__xludf.DUMMYFUNCTION("""COMPUTED_VALUE"""),0.8886924597289342)</f>
        <v>0.8886924597</v>
      </c>
      <c r="AM1736" s="82">
        <f>IFERROR(__xludf.DUMMYFUNCTION("""COMPUTED_VALUE"""),1.0255771248671004)</f>
        <v>1.025577125</v>
      </c>
      <c r="AN1736" s="82">
        <f>IFERROR(__xludf.DUMMYFUNCTION("""COMPUTED_VALUE"""),1.1117291023035047)</f>
        <v>1.111729102</v>
      </c>
      <c r="AO1736" s="82">
        <f>IFERROR(__xludf.DUMMYFUNCTION("""COMPUTED_VALUE"""),1.4479833163728881)</f>
        <v>1.447983316</v>
      </c>
      <c r="AP1736" s="82">
        <f>IFERROR(__xludf.DUMMYFUNCTION("""COMPUTED_VALUE"""),0.9160895486214388)</f>
        <v>0.9160895486</v>
      </c>
      <c r="AQ1736" s="82">
        <f>IFERROR(__xludf.DUMMYFUNCTION("""COMPUTED_VALUE"""),1.0586970235794515)</f>
        <v>1.058697024</v>
      </c>
      <c r="AR1736" s="82">
        <f>IFERROR(__xludf.DUMMYFUNCTION("""COMPUTED_VALUE"""),1.153062672584649)</f>
        <v>1.153062673</v>
      </c>
      <c r="AS1736" s="82">
        <f>IFERROR(__xludf.DUMMYFUNCTION("""COMPUTED_VALUE"""),69.0)</f>
        <v>69</v>
      </c>
      <c r="AT1736" s="82">
        <f>IFERROR(__xludf.DUMMYFUNCTION("""COMPUTED_VALUE"""),0.5680208282457416)</f>
        <v>0.5680208282</v>
      </c>
      <c r="AU1736" s="82">
        <f>IFERROR(__xludf.DUMMYFUNCTION("""COMPUTED_VALUE"""),3.086939939121205)</f>
        <v>3.086939939</v>
      </c>
      <c r="AV1736" s="82">
        <f>IFERROR(__xludf.DUMMYFUNCTION("""COMPUTED_VALUE"""),67.56672601394244)</f>
        <v>67.56672601</v>
      </c>
      <c r="AW1736" s="82">
        <f t="shared" si="1"/>
        <v>4.147123127</v>
      </c>
      <c r="AX1736" s="83">
        <f t="array" ref="AX1736">IFERROR(DGET('SBV Import'!A:G,"SBV",{"RSC ID","Tier";B1736,A1736}))</f>
        <v>58.33702313</v>
      </c>
      <c r="AY1736" s="82">
        <f t="shared" si="2"/>
        <v>2.707197801</v>
      </c>
      <c r="AZ1736" s="82">
        <v>1.439925325593665</v>
      </c>
      <c r="BA1736" s="84">
        <v>1700.0</v>
      </c>
      <c r="BB1736" s="84" t="b">
        <f>IFERROR(__xludf.DUMMYFUNCTION("iferror(if(A1736="""",,E1736&gt;=FILTER(Constants!$F$2:$F$10,Constants!$A$2:$A$10=A1736)))"),TRUE)</f>
        <v>1</v>
      </c>
    </row>
    <row r="1737">
      <c r="A1737" s="89" t="str">
        <f>IFERROR(__xludf.DUMMYFUNCTION("""COMPUTED_VALUE"""),"Rival")</f>
        <v>Rival</v>
      </c>
      <c r="B1737" s="87" t="str">
        <f>IFERROR(__xludf.DUMMYFUNCTION("""COMPUTED_VALUE"""),"RSC006211")</f>
        <v>RSC006211</v>
      </c>
      <c r="C1737" s="73" t="str">
        <f>IFERROR(__xludf.DUMMYFUNCTION("""COMPUTED_VALUE"""),"Chase")</f>
        <v>Chase</v>
      </c>
      <c r="D1737" s="73" t="str">
        <f>IFERROR(__xludf.DUMMYFUNCTION("""COMPUTED_VALUE"""),"Ion Imperial")</f>
        <v>Ion Imperial</v>
      </c>
      <c r="E1737" s="82">
        <f>IFERROR(__xludf.DUMMYFUNCTION("""COMPUTED_VALUE"""),22.0)</f>
        <v>22</v>
      </c>
      <c r="F1737" s="82">
        <f>IFERROR(__xludf.DUMMYFUNCTION("""COMPUTED_VALUE"""),14.0)</f>
        <v>14</v>
      </c>
      <c r="G1737" s="86">
        <f>IFERROR(__xludf.DUMMYFUNCTION("""COMPUTED_VALUE"""),8.0)</f>
        <v>8</v>
      </c>
      <c r="H1737" s="86">
        <f>IFERROR(__xludf.DUMMYFUNCTION("""COMPUTED_VALUE"""),0.6363636363636364)</f>
        <v>0.6363636364</v>
      </c>
      <c r="I1737" s="86">
        <f>IFERROR(__xludf.DUMMYFUNCTION("""COMPUTED_VALUE"""),0.39285714285714285)</f>
        <v>0.3928571429</v>
      </c>
      <c r="J1737" s="82">
        <f>IFERROR(__xludf.DUMMYFUNCTION("""COMPUTED_VALUE"""),376.27272727272725)</f>
        <v>376.2727273</v>
      </c>
      <c r="K1737" s="82">
        <f>IFERROR(__xludf.DUMMYFUNCTION("""COMPUTED_VALUE"""),1.0)</f>
        <v>1</v>
      </c>
      <c r="L1737" s="82">
        <f>IFERROR(__xludf.DUMMYFUNCTION("""COMPUTED_VALUE"""),0.5909090909090909)</f>
        <v>0.5909090909</v>
      </c>
      <c r="M1737" s="82">
        <f>IFERROR(__xludf.DUMMYFUNCTION("""COMPUTED_VALUE"""),1.3636363636363635)</f>
        <v>1.363636364</v>
      </c>
      <c r="N1737" s="82">
        <f>IFERROR(__xludf.DUMMYFUNCTION("""COMPUTED_VALUE"""),2.5454545454545454)</f>
        <v>2.545454545</v>
      </c>
      <c r="O1737" s="82">
        <f>IFERROR(__xludf.DUMMYFUNCTION("""COMPUTED_VALUE"""),332.80303030303025)</f>
        <v>332.8030303</v>
      </c>
      <c r="P1737" s="82">
        <f>IFERROR(__xludf.DUMMYFUNCTION("""COMPUTED_VALUE"""),0.6666666666666666)</f>
        <v>0.6666666667</v>
      </c>
      <c r="Q1737" s="82">
        <f>IFERROR(__xludf.DUMMYFUNCTION("""COMPUTED_VALUE"""),0.5151515151515151)</f>
        <v>0.5151515152</v>
      </c>
      <c r="R1737" s="82">
        <f>IFERROR(__xludf.DUMMYFUNCTION("""COMPUTED_VALUE"""),1.4090909090909092)</f>
        <v>1.409090909</v>
      </c>
      <c r="S1737" s="82">
        <f>IFERROR(__xludf.DUMMYFUNCTION("""COMPUTED_VALUE"""),2.3030303030303028)</f>
        <v>2.303030303</v>
      </c>
      <c r="T1737" s="82">
        <f>IFERROR(__xludf.DUMMYFUNCTION("""COMPUTED_VALUE"""),337.75776046811217)</f>
        <v>337.7577605</v>
      </c>
      <c r="U1737" s="82">
        <f>IFERROR(__xludf.DUMMYFUNCTION("""COMPUTED_VALUE"""),0.7275710037378342)</f>
        <v>0.7275710037</v>
      </c>
      <c r="V1737" s="82">
        <f>IFERROR(__xludf.DUMMYFUNCTION("""COMPUTED_VALUE"""),0.5218428194541339)</f>
        <v>0.5218428195</v>
      </c>
      <c r="W1737" s="82">
        <f>IFERROR(__xludf.DUMMYFUNCTION("""COMPUTED_VALUE"""),1.304006218168829)</f>
        <v>1.304006218</v>
      </c>
      <c r="X1737" s="82">
        <f>IFERROR(__xludf.DUMMYFUNCTION("""COMPUTED_VALUE"""),2.5080105293508446)</f>
        <v>2.508010529</v>
      </c>
      <c r="Y1737" s="82">
        <f>IFERROR(__xludf.DUMMYFUNCTION("""COMPUTED_VALUE"""),352.7067636012154)</f>
        <v>352.7067636</v>
      </c>
      <c r="Z1737" s="82">
        <f>IFERROR(__xludf.DUMMYFUNCTION("""COMPUTED_VALUE"""),0.8305512275901205)</f>
        <v>0.8305512276</v>
      </c>
      <c r="AA1737" s="82">
        <f>IFERROR(__xludf.DUMMYFUNCTION("""COMPUTED_VALUE"""),0.5890298128464215)</f>
        <v>0.5890298128</v>
      </c>
      <c r="AB1737" s="82">
        <f>IFERROR(__xludf.DUMMYFUNCTION("""COMPUTED_VALUE"""),1.2855049424709564)</f>
        <v>1.285504942</v>
      </c>
      <c r="AC1737" s="82">
        <f>IFERROR(__xludf.DUMMYFUNCTION("""COMPUTED_VALUE"""),2.6269614161445856)</f>
        <v>2.626961416</v>
      </c>
      <c r="AD1737" s="82">
        <f>IFERROR(__xludf.DUMMYFUNCTION("""COMPUTED_VALUE"""),1.0668146066463202)</f>
        <v>1.066814607</v>
      </c>
      <c r="AE1737" s="82">
        <f>IFERROR(__xludf.DUMMYFUNCTION("""COMPUTED_VALUE"""),1.2040196519864792)</f>
        <v>1.204019652</v>
      </c>
      <c r="AF1737" s="82">
        <f>IFERROR(__xludf.DUMMYFUNCTION("""COMPUTED_VALUE"""),1.0031904634055584)</f>
        <v>1.003190463</v>
      </c>
      <c r="AG1737" s="82">
        <f>IFERROR(__xludf.DUMMYFUNCTION("""COMPUTED_VALUE"""),1.0607787792828127)</f>
        <v>1.060778779</v>
      </c>
      <c r="AH1737" s="82">
        <f>IFERROR(__xludf.DUMMYFUNCTION("""COMPUTED_VALUE"""),0.9689729471513662)</f>
        <v>0.9689729472</v>
      </c>
      <c r="AI1737" s="82">
        <f>IFERROR(__xludf.DUMMYFUNCTION("""COMPUTED_VALUE"""),0.9853305216193554)</f>
        <v>0.9853305216</v>
      </c>
      <c r="AJ1737" s="82">
        <f>IFERROR(__xludf.DUMMYFUNCTION("""COMPUTED_VALUE"""),0.9162908681650633)</f>
        <v>0.9162908682</v>
      </c>
      <c r="AK1737" s="82">
        <f>IFERROR(__xludf.DUMMYFUNCTION("""COMPUTED_VALUE"""),0.987177548385895)</f>
        <v>0.9871775484</v>
      </c>
      <c r="AL1737" s="82">
        <f>IFERROR(__xludf.DUMMYFUNCTION("""COMPUTED_VALUE"""),1.0805860351414942)</f>
        <v>1.080586035</v>
      </c>
      <c r="AM1737" s="82">
        <f>IFERROR(__xludf.DUMMYFUNCTION("""COMPUTED_VALUE"""),0.9182697903690231)</f>
        <v>0.9182697904</v>
      </c>
      <c r="AN1737" s="82">
        <f>IFERROR(__xludf.DUMMYFUNCTION("""COMPUTED_VALUE"""),1.1096976710659334)</f>
        <v>1.109697671</v>
      </c>
      <c r="AO1737" s="82">
        <f>IFERROR(__xludf.DUMMYFUNCTION("""COMPUTED_VALUE"""),1.3445559366319677)</f>
        <v>1.344555937</v>
      </c>
      <c r="AP1737" s="82">
        <f>IFERROR(__xludf.DUMMYFUNCTION("""COMPUTED_VALUE"""),1.0826512847344276)</f>
        <v>1.082651285</v>
      </c>
      <c r="AQ1737" s="82">
        <f>IFERROR(__xludf.DUMMYFUNCTION("""COMPUTED_VALUE"""),1.0426561595858235)</f>
        <v>1.04265616</v>
      </c>
      <c r="AR1737" s="82">
        <f>IFERROR(__xludf.DUMMYFUNCTION("""COMPUTED_VALUE"""),1.0174904553231812)</f>
        <v>1.017490455</v>
      </c>
      <c r="AS1737" s="82">
        <f>IFERROR(__xludf.DUMMYFUNCTION("""COMPUTED_VALUE"""),62.0)</f>
        <v>62</v>
      </c>
      <c r="AT1737" s="82">
        <f>IFERROR(__xludf.DUMMYFUNCTION("""COMPUTED_VALUE"""),0.6314708920178647)</f>
        <v>0.631470892</v>
      </c>
      <c r="AU1737" s="82">
        <f>IFERROR(__xludf.DUMMYFUNCTION("""COMPUTED_VALUE"""),3.0770903340909332)</f>
        <v>3.077090334</v>
      </c>
      <c r="AV1737" s="82">
        <f>IFERROR(__xludf.DUMMYFUNCTION("""COMPUTED_VALUE"""),67.28473206901782)</f>
        <v>67.28473207</v>
      </c>
      <c r="AW1737" s="82">
        <f t="shared" si="1"/>
        <v>4.087297002</v>
      </c>
      <c r="AX1737" s="83">
        <f t="array" ref="AX1737">IFERROR(DGET('SBV Import'!A:G,"SBV",{"RSC ID","Tier";B1737,A1737}))</f>
        <v>59.72140211</v>
      </c>
      <c r="AY1737" s="82">
        <f t="shared" si="2"/>
        <v>2.867866177</v>
      </c>
      <c r="AZ1737" s="82">
        <v>1.2194308247034802</v>
      </c>
      <c r="BA1737" s="84">
        <v>1700.0</v>
      </c>
      <c r="BB1737" s="84" t="b">
        <f>IFERROR(__xludf.DUMMYFUNCTION("iferror(if(A1737="""",,E1737&gt;=FILTER(Constants!$F$2:$F$10,Constants!$A$2:$A$10=A1737)))"),TRUE)</f>
        <v>1</v>
      </c>
    </row>
    <row r="1738">
      <c r="A1738" s="89" t="str">
        <f>IFERROR(__xludf.DUMMYFUNCTION("""COMPUTED_VALUE"""),"Rival")</f>
        <v>Rival</v>
      </c>
      <c r="B1738" s="87" t="str">
        <f>IFERROR(__xludf.DUMMYFUNCTION("""COMPUTED_VALUE"""),"RSC004586")</f>
        <v>RSC004586</v>
      </c>
      <c r="C1738" s="73" t="str">
        <f>IFERROR(__xludf.DUMMYFUNCTION("""COMPUTED_VALUE"""),"Jaybeauh")</f>
        <v>Jaybeauh</v>
      </c>
      <c r="D1738" s="73" t="str">
        <f>IFERROR(__xludf.DUMMYFUNCTION("""COMPUTED_VALUE"""),"Ion Imperial")</f>
        <v>Ion Imperial</v>
      </c>
      <c r="E1738" s="82">
        <f>IFERROR(__xludf.DUMMYFUNCTION("""COMPUTED_VALUE"""),30.0)</f>
        <v>30</v>
      </c>
      <c r="F1738" s="82">
        <f>IFERROR(__xludf.DUMMYFUNCTION("""COMPUTED_VALUE"""),17.0)</f>
        <v>17</v>
      </c>
      <c r="G1738" s="86">
        <f>IFERROR(__xludf.DUMMYFUNCTION("""COMPUTED_VALUE"""),13.0)</f>
        <v>13</v>
      </c>
      <c r="H1738" s="86">
        <f>IFERROR(__xludf.DUMMYFUNCTION("""COMPUTED_VALUE"""),0.5666666666666667)</f>
        <v>0.5666666667</v>
      </c>
      <c r="I1738" s="86">
        <f>IFERROR(__xludf.DUMMYFUNCTION("""COMPUTED_VALUE"""),0.2808988764044944)</f>
        <v>0.2808988764</v>
      </c>
      <c r="J1738" s="82">
        <f>IFERROR(__xludf.DUMMYFUNCTION("""COMPUTED_VALUE"""),382.1)</f>
        <v>382.1</v>
      </c>
      <c r="K1738" s="82">
        <f>IFERROR(__xludf.DUMMYFUNCTION("""COMPUTED_VALUE"""),0.8333333333333334)</f>
        <v>0.8333333333</v>
      </c>
      <c r="L1738" s="82">
        <f>IFERROR(__xludf.DUMMYFUNCTION("""COMPUTED_VALUE"""),0.6)</f>
        <v>0.6</v>
      </c>
      <c r="M1738" s="82">
        <f>IFERROR(__xludf.DUMMYFUNCTION("""COMPUTED_VALUE"""),1.3333333333333333)</f>
        <v>1.333333333</v>
      </c>
      <c r="N1738" s="82">
        <f>IFERROR(__xludf.DUMMYFUNCTION("""COMPUTED_VALUE"""),2.966666666666667)</f>
        <v>2.966666667</v>
      </c>
      <c r="O1738" s="82">
        <f>IFERROR(__xludf.DUMMYFUNCTION("""COMPUTED_VALUE"""),334.44444444444446)</f>
        <v>334.4444444</v>
      </c>
      <c r="P1738" s="82">
        <f>IFERROR(__xludf.DUMMYFUNCTION("""COMPUTED_VALUE"""),0.6777777777777778)</f>
        <v>0.6777777778</v>
      </c>
      <c r="Q1738" s="82">
        <f>IFERROR(__xludf.DUMMYFUNCTION("""COMPUTED_VALUE"""),0.46666666666666673)</f>
        <v>0.4666666667</v>
      </c>
      <c r="R1738" s="82">
        <f>IFERROR(__xludf.DUMMYFUNCTION("""COMPUTED_VALUE"""),1.4222222222222218)</f>
        <v>1.422222222</v>
      </c>
      <c r="S1738" s="82">
        <f>IFERROR(__xludf.DUMMYFUNCTION("""COMPUTED_VALUE"""),2.466666666666667)</f>
        <v>2.466666667</v>
      </c>
      <c r="T1738" s="82">
        <f>IFERROR(__xludf.DUMMYFUNCTION("""COMPUTED_VALUE"""),347.4474618522092)</f>
        <v>347.4474619</v>
      </c>
      <c r="U1738" s="82">
        <f>IFERROR(__xludf.DUMMYFUNCTION("""COMPUTED_VALUE"""),0.7890329628574565)</f>
        <v>0.7890329629</v>
      </c>
      <c r="V1738" s="82">
        <f>IFERROR(__xludf.DUMMYFUNCTION("""COMPUTED_VALUE"""),0.5418875452333541)</f>
        <v>0.5418875452</v>
      </c>
      <c r="W1738" s="82">
        <f>IFERROR(__xludf.DUMMYFUNCTION("""COMPUTED_VALUE"""),1.3125683907673873)</f>
        <v>1.312568391</v>
      </c>
      <c r="X1738" s="82">
        <f>IFERROR(__xludf.DUMMYFUNCTION("""COMPUTED_VALUE"""),2.644706057607856)</f>
        <v>2.644706058</v>
      </c>
      <c r="Y1738" s="82">
        <f>IFERROR(__xludf.DUMMYFUNCTION("""COMPUTED_VALUE"""),357.13503901344313)</f>
        <v>357.135039</v>
      </c>
      <c r="Z1738" s="82">
        <f>IFERROR(__xludf.DUMMYFUNCTION("""COMPUTED_VALUE"""),0.8345877140896913)</f>
        <v>0.8345877141</v>
      </c>
      <c r="AA1738" s="82">
        <f>IFERROR(__xludf.DUMMYFUNCTION("""COMPUTED_VALUE"""),0.5808417915941161)</f>
        <v>0.5808417916</v>
      </c>
      <c r="AB1738" s="82">
        <f>IFERROR(__xludf.DUMMYFUNCTION("""COMPUTED_VALUE"""),1.3333067747576974)</f>
        <v>1.333306775</v>
      </c>
      <c r="AC1738" s="82">
        <f>IFERROR(__xludf.DUMMYFUNCTION("""COMPUTED_VALUE"""),2.5644733801591837)</f>
        <v>2.56447338</v>
      </c>
      <c r="AD1738" s="82">
        <f>IFERROR(__xludf.DUMMYFUNCTION("""COMPUTED_VALUE"""),1.0699034210015366)</f>
        <v>1.069903421</v>
      </c>
      <c r="AE1738" s="82">
        <f>IFERROR(__xludf.DUMMYFUNCTION("""COMPUTED_VALUE"""),0.9984970054852459)</f>
        <v>0.9984970055</v>
      </c>
      <c r="AF1738" s="82">
        <f>IFERROR(__xludf.DUMMYFUNCTION("""COMPUTED_VALUE"""),1.0329835226788766)</f>
        <v>1.032983523</v>
      </c>
      <c r="AG1738" s="82">
        <f>IFERROR(__xludf.DUMMYFUNCTION("""COMPUTED_VALUE"""),1.0000199193284987)</f>
        <v>1.000019919</v>
      </c>
      <c r="AH1738" s="82">
        <f>IFERROR(__xludf.DUMMYFUNCTION("""COMPUTED_VALUE"""),1.1568327008652817)</f>
        <v>1.156832701</v>
      </c>
      <c r="AI1738" s="82">
        <f>IFERROR(__xludf.DUMMYFUNCTION("""COMPUTED_VALUE"""),0.962575586713321)</f>
        <v>0.9625755867</v>
      </c>
      <c r="AJ1738" s="82">
        <f>IFERROR(__xludf.DUMMYFUNCTION("""COMPUTED_VALUE"""),0.8589980516444183)</f>
        <v>0.8589980516</v>
      </c>
      <c r="AK1738" s="82">
        <f>IFERROR(__xludf.DUMMYFUNCTION("""COMPUTED_VALUE"""),0.8611872901889729)</f>
        <v>0.8611872902</v>
      </c>
      <c r="AL1738" s="82">
        <f>IFERROR(__xludf.DUMMYFUNCTION("""COMPUTED_VALUE"""),1.0835414232326026)</f>
        <v>1.083541423</v>
      </c>
      <c r="AM1738" s="82">
        <f>IFERROR(__xludf.DUMMYFUNCTION("""COMPUTED_VALUE"""),0.9326808397367886)</f>
        <v>0.9326808397</v>
      </c>
      <c r="AN1738" s="82">
        <f>IFERROR(__xludf.DUMMYFUNCTION("""COMPUTED_VALUE"""),1.1268833730991124)</f>
        <v>1.126883373</v>
      </c>
      <c r="AO1738" s="82">
        <f>IFERROR(__xludf.DUMMYFUNCTION("""COMPUTED_VALUE"""),1.1204632805266397)</f>
        <v>1.120463281</v>
      </c>
      <c r="AP1738" s="82">
        <f>IFERROR(__xludf.DUMMYFUNCTION("""COMPUTED_VALUE"""),1.0993074583457265)</f>
        <v>1.099307458</v>
      </c>
      <c r="AQ1738" s="82">
        <f>IFERROR(__xludf.DUMMYFUNCTION("""COMPUTED_VALUE"""),1.0194860227061384)</f>
        <v>1.019486023</v>
      </c>
      <c r="AR1738" s="82">
        <f>IFERROR(__xludf.DUMMYFUNCTION("""COMPUTED_VALUE"""),1.1858608997159457)</f>
        <v>1.1858609</v>
      </c>
      <c r="AS1738" s="82">
        <f>IFERROR(__xludf.DUMMYFUNCTION("""COMPUTED_VALUE"""),70.0)</f>
        <v>70</v>
      </c>
      <c r="AT1738" s="82">
        <f>IFERROR(__xludf.DUMMYFUNCTION("""COMPUTED_VALUE"""),0.5523305917220438)</f>
        <v>0.5523305917</v>
      </c>
      <c r="AU1738" s="82">
        <f>IFERROR(__xludf.DUMMYFUNCTION("""COMPUTED_VALUE"""),3.0686091863116505)</f>
        <v>3.068609186</v>
      </c>
      <c r="AV1738" s="82">
        <f>IFERROR(__xludf.DUMMYFUNCTION("""COMPUTED_VALUE"""),67.04191702085922)</f>
        <v>67.04191702</v>
      </c>
      <c r="AW1738" s="82">
        <f t="shared" si="1"/>
        <v>4.036787928</v>
      </c>
      <c r="AX1738" s="83">
        <f t="array" ref="AX1738">IFERROR(DGET('SBV Import'!A:G,"SBV",{"RSC ID","Tier";B1738,A1738}))</f>
        <v>66.84692513</v>
      </c>
      <c r="AY1738" s="82">
        <f t="shared" si="2"/>
        <v>3.996886326</v>
      </c>
      <c r="AZ1738" s="82">
        <v>0.039901601785210516</v>
      </c>
      <c r="BA1738" s="84">
        <v>1700.0</v>
      </c>
      <c r="BB1738" s="84" t="b">
        <f>IFERROR(__xludf.DUMMYFUNCTION("iferror(if(A1738="""",,E1738&gt;=FILTER(Constants!$F$2:$F$10,Constants!$A$2:$A$10=A1738)))"),TRUE)</f>
        <v>1</v>
      </c>
    </row>
    <row r="1739">
      <c r="A1739" s="89" t="str">
        <f>IFERROR(__xludf.DUMMYFUNCTION("""COMPUTED_VALUE"""),"Rival")</f>
        <v>Rival</v>
      </c>
      <c r="B1739" s="87" t="str">
        <f>IFERROR(__xludf.DUMMYFUNCTION("""COMPUTED_VALUE"""),"RSC005885")</f>
        <v>RSC005885</v>
      </c>
      <c r="C1739" s="73" t="str">
        <f>IFERROR(__xludf.DUMMYFUNCTION("""COMPUTED_VALUE"""),"noot")</f>
        <v>noot</v>
      </c>
      <c r="D1739" s="73" t="str">
        <f>IFERROR(__xludf.DUMMYFUNCTION("""COMPUTED_VALUE"""),"Quasars")</f>
        <v>Quasars</v>
      </c>
      <c r="E1739" s="82">
        <f>IFERROR(__xludf.DUMMYFUNCTION("""COMPUTED_VALUE"""),44.0)</f>
        <v>44</v>
      </c>
      <c r="F1739" s="82">
        <f>IFERROR(__xludf.DUMMYFUNCTION("""COMPUTED_VALUE"""),25.0)</f>
        <v>25</v>
      </c>
      <c r="G1739" s="86">
        <f>IFERROR(__xludf.DUMMYFUNCTION("""COMPUTED_VALUE"""),19.0)</f>
        <v>19</v>
      </c>
      <c r="H1739" s="86">
        <f>IFERROR(__xludf.DUMMYFUNCTION("""COMPUTED_VALUE"""),0.5681818181818182)</f>
        <v>0.5681818182</v>
      </c>
      <c r="I1739" s="86">
        <f>IFERROR(__xludf.DUMMYFUNCTION("""COMPUTED_VALUE"""),0.28888888888888886)</f>
        <v>0.2888888889</v>
      </c>
      <c r="J1739" s="82">
        <f>IFERROR(__xludf.DUMMYFUNCTION("""COMPUTED_VALUE"""),362.95454545454544)</f>
        <v>362.9545455</v>
      </c>
      <c r="K1739" s="82">
        <f>IFERROR(__xludf.DUMMYFUNCTION("""COMPUTED_VALUE"""),0.8863636363636364)</f>
        <v>0.8863636364</v>
      </c>
      <c r="L1739" s="82">
        <f>IFERROR(__xludf.DUMMYFUNCTION("""COMPUTED_VALUE"""),0.5909090909090909)</f>
        <v>0.5909090909</v>
      </c>
      <c r="M1739" s="82">
        <f>IFERROR(__xludf.DUMMYFUNCTION("""COMPUTED_VALUE"""),1.3863636363636365)</f>
        <v>1.386363636</v>
      </c>
      <c r="N1739" s="82">
        <f>IFERROR(__xludf.DUMMYFUNCTION("""COMPUTED_VALUE"""),3.0681818181818183)</f>
        <v>3.068181818</v>
      </c>
      <c r="O1739" s="82">
        <f>IFERROR(__xludf.DUMMYFUNCTION("""COMPUTED_VALUE"""),350.469696969697)</f>
        <v>350.469697</v>
      </c>
      <c r="P1739" s="82">
        <f>IFERROR(__xludf.DUMMYFUNCTION("""COMPUTED_VALUE"""),0.8030303030303029)</f>
        <v>0.803030303</v>
      </c>
      <c r="Q1739" s="82">
        <f>IFERROR(__xludf.DUMMYFUNCTION("""COMPUTED_VALUE"""),0.5909090909090908)</f>
        <v>0.5909090909</v>
      </c>
      <c r="R1739" s="82">
        <f>IFERROR(__xludf.DUMMYFUNCTION("""COMPUTED_VALUE"""),1.3636363636363635)</f>
        <v>1.363636364</v>
      </c>
      <c r="S1739" s="82">
        <f>IFERROR(__xludf.DUMMYFUNCTION("""COMPUTED_VALUE"""),2.6893939393939394)</f>
        <v>2.689393939</v>
      </c>
      <c r="T1739" s="82">
        <f>IFERROR(__xludf.DUMMYFUNCTION("""COMPUTED_VALUE"""),353.46458024733846)</f>
        <v>353.4645802</v>
      </c>
      <c r="U1739" s="82">
        <f>IFERROR(__xludf.DUMMYFUNCTION("""COMPUTED_VALUE"""),0.8236175788393368)</f>
        <v>0.8236175788</v>
      </c>
      <c r="V1739" s="82">
        <f>IFERROR(__xludf.DUMMYFUNCTION("""COMPUTED_VALUE"""),0.5927902731866992)</f>
        <v>0.5927902732</v>
      </c>
      <c r="W1739" s="82">
        <f>IFERROR(__xludf.DUMMYFUNCTION("""COMPUTED_VALUE"""),1.313863227480067)</f>
        <v>1.313863227</v>
      </c>
      <c r="X1739" s="82">
        <f>IFERROR(__xludf.DUMMYFUNCTION("""COMPUTED_VALUE"""),2.5551210027330367)</f>
        <v>2.555121003</v>
      </c>
      <c r="Y1739" s="82">
        <f>IFERROR(__xludf.DUMMYFUNCTION("""COMPUTED_VALUE"""),348.1334713137915)</f>
        <v>348.1334713</v>
      </c>
      <c r="Z1739" s="82">
        <f>IFERROR(__xludf.DUMMYFUNCTION("""COMPUTED_VALUE"""),0.7970723576719727)</f>
        <v>0.7970723577</v>
      </c>
      <c r="AA1739" s="82">
        <f>IFERROR(__xludf.DUMMYFUNCTION("""COMPUTED_VALUE"""),0.5632481967999116)</f>
        <v>0.5632481968</v>
      </c>
      <c r="AB1739" s="82">
        <f>IFERROR(__xludf.DUMMYFUNCTION("""COMPUTED_VALUE"""),1.2815738454046255)</f>
        <v>1.281573845</v>
      </c>
      <c r="AC1739" s="82">
        <f>IFERROR(__xludf.DUMMYFUNCTION("""COMPUTED_VALUE"""),2.5840071355312717)</f>
        <v>2.584007136</v>
      </c>
      <c r="AD1739" s="82">
        <f>IFERROR(__xludf.DUMMYFUNCTION("""COMPUTED_VALUE"""),1.0425729651470224)</f>
        <v>1.042572965</v>
      </c>
      <c r="AE1739" s="82">
        <f>IFERROR(__xludf.DUMMYFUNCTION("""COMPUTED_VALUE"""),1.1120240563259007)</f>
        <v>1.112024056</v>
      </c>
      <c r="AF1739" s="82">
        <f>IFERROR(__xludf.DUMMYFUNCTION("""COMPUTED_VALUE"""),1.0491096008231087)</f>
        <v>1.049109601</v>
      </c>
      <c r="AG1739" s="82">
        <f>IFERROR(__xludf.DUMMYFUNCTION("""COMPUTED_VALUE"""),1.0817664868355097)</f>
        <v>1.081766487</v>
      </c>
      <c r="AH1739" s="82">
        <f>IFERROR(__xludf.DUMMYFUNCTION("""COMPUTED_VALUE"""),1.187373585774174)</f>
        <v>1.187373586</v>
      </c>
      <c r="AI1739" s="82">
        <f>IFERROR(__xludf.DUMMYFUNCTION("""COMPUTED_VALUE"""),0.9915270625544834)</f>
        <v>0.9915270626</v>
      </c>
      <c r="AJ1739" s="82">
        <f>IFERROR(__xludf.DUMMYFUNCTION("""COMPUTED_VALUE"""),0.9750038411782734)</f>
        <v>0.9750038412</v>
      </c>
      <c r="AK1739" s="82">
        <f>IFERROR(__xludf.DUMMYFUNCTION("""COMPUTED_VALUE"""),0.9968265635205255)</f>
        <v>0.9968265635</v>
      </c>
      <c r="AL1739" s="82">
        <f>IFERROR(__xludf.DUMMYFUNCTION("""COMPUTED_VALUE"""),1.0378830422491991)</f>
        <v>1.037883042</v>
      </c>
      <c r="AM1739" s="82">
        <f>IFERROR(__xludf.DUMMYFUNCTION("""COMPUTED_VALUE"""),1.052550519727747)</f>
        <v>1.05255052</v>
      </c>
      <c r="AN1739" s="82">
        <f>IFERROR(__xludf.DUMMYFUNCTION("""COMPUTED_VALUE"""),1.0704198965283256)</f>
        <v>1.070419897</v>
      </c>
      <c r="AO1739" s="82">
        <f>IFERROR(__xludf.DUMMYFUNCTION("""COMPUTED_VALUE"""),1.1917654892874259)</f>
        <v>1.191765489</v>
      </c>
      <c r="AP1739" s="82">
        <f>IFERROR(__xludf.DUMMYFUNCTION("""COMPUTED_VALUE"""),1.0826512847344276)</f>
        <v>1.082651285</v>
      </c>
      <c r="AQ1739" s="82">
        <f>IFERROR(__xludf.DUMMYFUNCTION("""COMPUTED_VALUE"""),1.0600337622455873)</f>
        <v>1.060033762</v>
      </c>
      <c r="AR1739" s="82">
        <f>IFERROR(__xludf.DUMMYFUNCTION("""COMPUTED_VALUE"""),1.226439388112763)</f>
        <v>1.226439388</v>
      </c>
      <c r="AS1739" s="82">
        <f>IFERROR(__xludf.DUMMYFUNCTION("""COMPUTED_VALUE"""),105.0)</f>
        <v>105</v>
      </c>
      <c r="AT1739" s="82">
        <f>IFERROR(__xludf.DUMMYFUNCTION("""COMPUTED_VALUE"""),0.4962839551174457)</f>
        <v>0.4962839551</v>
      </c>
      <c r="AU1739" s="82">
        <f>IFERROR(__xludf.DUMMYFUNCTION("""COMPUTED_VALUE"""),3.033457865613074)</f>
        <v>3.033457866</v>
      </c>
      <c r="AV1739" s="82">
        <f>IFERROR(__xludf.DUMMYFUNCTION("""COMPUTED_VALUE"""),66.03553559108238)</f>
        <v>66.03553559</v>
      </c>
      <c r="AW1739" s="82">
        <f t="shared" si="1"/>
        <v>3.836938424</v>
      </c>
      <c r="AX1739" s="83">
        <f t="array" ref="AX1739">IFERROR(DGET('SBV Import'!A:G,"SBV",{"RSC ID","Tier";B1739,A1739}))</f>
        <v>52.16575559</v>
      </c>
      <c r="AY1739" s="82">
        <f t="shared" si="2"/>
        <v>2.148307457</v>
      </c>
      <c r="AZ1739" s="82">
        <v>1.688630966281805</v>
      </c>
      <c r="BA1739" s="84">
        <v>1700.0</v>
      </c>
      <c r="BB1739" s="84" t="b">
        <f>IFERROR(__xludf.DUMMYFUNCTION("iferror(if(A1739="""",,E1739&gt;=FILTER(Constants!$F$2:$F$10,Constants!$A$2:$A$10=A1739)))"),TRUE)</f>
        <v>1</v>
      </c>
    </row>
    <row r="1740">
      <c r="A1740" s="89" t="str">
        <f>IFERROR(__xludf.DUMMYFUNCTION("""COMPUTED_VALUE"""),"Rival")</f>
        <v>Rival</v>
      </c>
      <c r="B1740" s="87" t="str">
        <f>IFERROR(__xludf.DUMMYFUNCTION("""COMPUTED_VALUE"""),"RSC003945")</f>
        <v>RSC003945</v>
      </c>
      <c r="C1740" s="73" t="str">
        <f>IFERROR(__xludf.DUMMYFUNCTION("""COMPUTED_VALUE"""),"Gaw1f3d")</f>
        <v>Gaw1f3d</v>
      </c>
      <c r="D1740" s="73" t="str">
        <f>IFERROR(__xludf.DUMMYFUNCTION("""COMPUTED_VALUE"""),"Cursed")</f>
        <v>Cursed</v>
      </c>
      <c r="E1740" s="82">
        <f>IFERROR(__xludf.DUMMYFUNCTION("""COMPUTED_VALUE"""),48.0)</f>
        <v>48</v>
      </c>
      <c r="F1740" s="82">
        <f>IFERROR(__xludf.DUMMYFUNCTION("""COMPUTED_VALUE"""),32.0)</f>
        <v>32</v>
      </c>
      <c r="G1740" s="86">
        <f>IFERROR(__xludf.DUMMYFUNCTION("""COMPUTED_VALUE"""),16.0)</f>
        <v>16</v>
      </c>
      <c r="H1740" s="86">
        <f>IFERROR(__xludf.DUMMYFUNCTION("""COMPUTED_VALUE"""),0.6666666666666666)</f>
        <v>0.6666666667</v>
      </c>
      <c r="I1740" s="86">
        <f>IFERROR(__xludf.DUMMYFUNCTION("""COMPUTED_VALUE"""),0.2932330827067669)</f>
        <v>0.2932330827</v>
      </c>
      <c r="J1740" s="82">
        <f>IFERROR(__xludf.DUMMYFUNCTION("""COMPUTED_VALUE"""),353.8125)</f>
        <v>353.8125</v>
      </c>
      <c r="K1740" s="82">
        <f>IFERROR(__xludf.DUMMYFUNCTION("""COMPUTED_VALUE"""),0.8125)</f>
        <v>0.8125</v>
      </c>
      <c r="L1740" s="82">
        <f>IFERROR(__xludf.DUMMYFUNCTION("""COMPUTED_VALUE"""),0.625)</f>
        <v>0.625</v>
      </c>
      <c r="M1740" s="82">
        <f>IFERROR(__xludf.DUMMYFUNCTION("""COMPUTED_VALUE"""),1.3541666666666667)</f>
        <v>1.354166667</v>
      </c>
      <c r="N1740" s="82">
        <f>IFERROR(__xludf.DUMMYFUNCTION("""COMPUTED_VALUE"""),2.7708333333333335)</f>
        <v>2.770833333</v>
      </c>
      <c r="O1740" s="82">
        <f>IFERROR(__xludf.DUMMYFUNCTION("""COMPUTED_VALUE"""),329.09722222222223)</f>
        <v>329.0972222</v>
      </c>
      <c r="P1740" s="82">
        <f>IFERROR(__xludf.DUMMYFUNCTION("""COMPUTED_VALUE"""),0.611111111111111)</f>
        <v>0.6111111111</v>
      </c>
      <c r="Q1740" s="82">
        <f>IFERROR(__xludf.DUMMYFUNCTION("""COMPUTED_VALUE"""),0.45138888888888884)</f>
        <v>0.4513888889</v>
      </c>
      <c r="R1740" s="82">
        <f>IFERROR(__xludf.DUMMYFUNCTION("""COMPUTED_VALUE"""),1.4166666666666663)</f>
        <v>1.416666667</v>
      </c>
      <c r="S1740" s="82">
        <f>IFERROR(__xludf.DUMMYFUNCTION("""COMPUTED_VALUE"""),2.3680555555555554)</f>
        <v>2.368055556</v>
      </c>
      <c r="T1740" s="82">
        <f>IFERROR(__xludf.DUMMYFUNCTION("""COMPUTED_VALUE"""),353.7926791864886)</f>
        <v>353.7926792</v>
      </c>
      <c r="U1740" s="82">
        <f>IFERROR(__xludf.DUMMYFUNCTION("""COMPUTED_VALUE"""),0.7879360361520665)</f>
        <v>0.7879360362</v>
      </c>
      <c r="V1740" s="82">
        <f>IFERROR(__xludf.DUMMYFUNCTION("""COMPUTED_VALUE"""),0.5911942182685163)</f>
        <v>0.5911942183</v>
      </c>
      <c r="W1740" s="82">
        <f>IFERROR(__xludf.DUMMYFUNCTION("""COMPUTED_VALUE"""),1.3436541438861402)</f>
        <v>1.343654144</v>
      </c>
      <c r="X1740" s="82">
        <f>IFERROR(__xludf.DUMMYFUNCTION("""COMPUTED_VALUE"""),2.5847118799272497)</f>
        <v>2.58471188</v>
      </c>
      <c r="Y1740" s="82">
        <f>IFERROR(__xludf.DUMMYFUNCTION("""COMPUTED_VALUE"""),350.9929923553593)</f>
        <v>350.9929924</v>
      </c>
      <c r="Z1740" s="82">
        <f>IFERROR(__xludf.DUMMYFUNCTION("""COMPUTED_VALUE"""),0.8108053901232837)</f>
        <v>0.8108053901</v>
      </c>
      <c r="AA1740" s="82">
        <f>IFERROR(__xludf.DUMMYFUNCTION("""COMPUTED_VALUE"""),0.5666236361812251)</f>
        <v>0.5666236362</v>
      </c>
      <c r="AB1740" s="82">
        <f>IFERROR(__xludf.DUMMYFUNCTION("""COMPUTED_VALUE"""),1.3096615619216687)</f>
        <v>1.309661562</v>
      </c>
      <c r="AC1740" s="82">
        <f>IFERROR(__xludf.DUMMYFUNCTION("""COMPUTED_VALUE"""),2.6197658659854866)</f>
        <v>2.619765866</v>
      </c>
      <c r="AD1740" s="82">
        <f>IFERROR(__xludf.DUMMYFUNCTION("""COMPUTED_VALUE"""),1.008032945688517)</f>
        <v>1.008032946</v>
      </c>
      <c r="AE1740" s="82">
        <f>IFERROR(__xludf.DUMMYFUNCTION("""COMPUTED_VALUE"""),1.002090032820895)</f>
        <v>1.002090033</v>
      </c>
      <c r="AF1740" s="82">
        <f>IFERROR(__xludf.DUMMYFUNCTION("""COMPUTED_VALUE"""),1.1030249359384368)</f>
        <v>1.103024936</v>
      </c>
      <c r="AG1740" s="82">
        <f>IFERROR(__xludf.DUMMYFUNCTION("""COMPUTED_VALUE"""),1.0339821416761255)</f>
        <v>1.033982142</v>
      </c>
      <c r="AH1740" s="82">
        <f>IFERROR(__xludf.DUMMYFUNCTION("""COMPUTED_VALUE"""),1.0576644918193936)</f>
        <v>1.057664492</v>
      </c>
      <c r="AI1740" s="82">
        <f>IFERROR(__xludf.DUMMYFUNCTION("""COMPUTED_VALUE"""),0.9301979424191277)</f>
        <v>0.9301979424</v>
      </c>
      <c r="AJ1740" s="82">
        <f>IFERROR(__xludf.DUMMYFUNCTION("""COMPUTED_VALUE"""),0.7755846706739157)</f>
        <v>0.7755846707</v>
      </c>
      <c r="AK1740" s="82">
        <f>IFERROR(__xludf.DUMMYFUNCTION("""COMPUTED_VALUE"""),0.7635204725291667)</f>
        <v>0.7635204725</v>
      </c>
      <c r="AL1740" s="82">
        <f>IFERROR(__xludf.DUMMYFUNCTION("""COMPUTED_VALUE"""),1.0543387769187076)</f>
        <v>1.054338777</v>
      </c>
      <c r="AM1740" s="82">
        <f>IFERROR(__xludf.DUMMYFUNCTION("""COMPUTED_VALUE"""),0.9161777658646455)</f>
        <v>0.9161777659</v>
      </c>
      <c r="AN1740" s="82">
        <f>IFERROR(__xludf.DUMMYFUNCTION("""COMPUTED_VALUE"""),1.043458318358099)</f>
        <v>1.043458318</v>
      </c>
      <c r="AO1740" s="82">
        <f>IFERROR(__xludf.DUMMYFUNCTION("""COMPUTED_VALUE"""),1.0924516985134738)</f>
        <v>1.092451699</v>
      </c>
      <c r="AP1740" s="82">
        <f>IFERROR(__xludf.DUMMYFUNCTION("""COMPUTED_VALUE"""),1.1451119357767985)</f>
        <v>1.145111936</v>
      </c>
      <c r="AQ1740" s="82">
        <f>IFERROR(__xludf.DUMMYFUNCTION("""COMPUTED_VALUE"""),1.035415491810922)</f>
        <v>1.035415492</v>
      </c>
      <c r="AR1740" s="82">
        <f>IFERROR(__xludf.DUMMYFUNCTION("""COMPUTED_VALUE"""),1.1075807560549211)</f>
        <v>1.107580756</v>
      </c>
      <c r="AS1740" s="82">
        <f>IFERROR(__xludf.DUMMYFUNCTION("""COMPUTED_VALUE"""),128.0)</f>
        <v>128</v>
      </c>
      <c r="AT1740" s="82">
        <f>IFERROR(__xludf.DUMMYFUNCTION("""COMPUTED_VALUE"""),0.6403683331218046)</f>
        <v>0.6403683331</v>
      </c>
      <c r="AU1740" s="82">
        <f>IFERROR(__xludf.DUMMYFUNCTION("""COMPUTED_VALUE"""),3.0180843599804787)</f>
        <v>3.01808436</v>
      </c>
      <c r="AV1740" s="82">
        <f>IFERROR(__xludf.DUMMYFUNCTION("""COMPUTED_VALUE"""),65.59539251048854)</f>
        <v>65.59539251</v>
      </c>
      <c r="AW1740" s="82">
        <f t="shared" si="1"/>
        <v>3.754115725</v>
      </c>
      <c r="AX1740" s="83">
        <f t="array" ref="AX1740">IFERROR(DGET('SBV Import'!A:G,"SBV",{"RSC ID","Tier";B1740,A1740}))</f>
        <v>53.9138895</v>
      </c>
      <c r="AY1740" s="82">
        <f t="shared" si="2"/>
        <v>2.284160762</v>
      </c>
      <c r="AZ1740" s="82">
        <v>1.4699549632808737</v>
      </c>
      <c r="BA1740" s="84">
        <v>1700.0</v>
      </c>
      <c r="BB1740" s="84" t="b">
        <f>IFERROR(__xludf.DUMMYFUNCTION("iferror(if(A1740="""",,E1740&gt;=FILTER(Constants!$F$2:$F$10,Constants!$A$2:$A$10=A1740)))"),TRUE)</f>
        <v>1</v>
      </c>
    </row>
    <row r="1741">
      <c r="A1741" s="89" t="str">
        <f>IFERROR(__xludf.DUMMYFUNCTION("""COMPUTED_VALUE"""),"Rival")</f>
        <v>Rival</v>
      </c>
      <c r="B1741" s="87" t="str">
        <f>IFERROR(__xludf.DUMMYFUNCTION("""COMPUTED_VALUE"""),"RSC005165")</f>
        <v>RSC005165</v>
      </c>
      <c r="C1741" s="73" t="str">
        <f>IFERROR(__xludf.DUMMYFUNCTION("""COMPUTED_VALUE"""),"Lucas")</f>
        <v>Lucas</v>
      </c>
      <c r="D1741" s="73" t="str">
        <f>IFERROR(__xludf.DUMMYFUNCTION("""COMPUTED_VALUE"""),"Stolen")</f>
        <v>Stolen</v>
      </c>
      <c r="E1741" s="82">
        <f>IFERROR(__xludf.DUMMYFUNCTION("""COMPUTED_VALUE"""),47.0)</f>
        <v>47</v>
      </c>
      <c r="F1741" s="82">
        <f>IFERROR(__xludf.DUMMYFUNCTION("""COMPUTED_VALUE"""),32.0)</f>
        <v>32</v>
      </c>
      <c r="G1741" s="86">
        <f>IFERROR(__xludf.DUMMYFUNCTION("""COMPUTED_VALUE"""),15.0)</f>
        <v>15</v>
      </c>
      <c r="H1741" s="86">
        <f>IFERROR(__xludf.DUMMYFUNCTION("""COMPUTED_VALUE"""),0.6808510638297872)</f>
        <v>0.6808510638</v>
      </c>
      <c r="I1741" s="86">
        <f>IFERROR(__xludf.DUMMYFUNCTION("""COMPUTED_VALUE"""),0.28148148148148144)</f>
        <v>0.2814814815</v>
      </c>
      <c r="J1741" s="82">
        <f>IFERROR(__xludf.DUMMYFUNCTION("""COMPUTED_VALUE"""),357.3191489361702)</f>
        <v>357.3191489</v>
      </c>
      <c r="K1741" s="82">
        <f>IFERROR(__xludf.DUMMYFUNCTION("""COMPUTED_VALUE"""),0.8085106382978723)</f>
        <v>0.8085106383</v>
      </c>
      <c r="L1741" s="82">
        <f>IFERROR(__xludf.DUMMYFUNCTION("""COMPUTED_VALUE"""),0.6595744680851063)</f>
        <v>0.6595744681</v>
      </c>
      <c r="M1741" s="82">
        <f>IFERROR(__xludf.DUMMYFUNCTION("""COMPUTED_VALUE"""),1.3191489361702127)</f>
        <v>1.319148936</v>
      </c>
      <c r="N1741" s="82">
        <f>IFERROR(__xludf.DUMMYFUNCTION("""COMPUTED_VALUE"""),2.872340425531915)</f>
        <v>2.872340426</v>
      </c>
      <c r="O1741" s="82">
        <f>IFERROR(__xludf.DUMMYFUNCTION("""COMPUTED_VALUE"""),342.29787234042556)</f>
        <v>342.2978723</v>
      </c>
      <c r="P1741" s="82">
        <f>IFERROR(__xludf.DUMMYFUNCTION("""COMPUTED_VALUE"""),0.7234042553191488)</f>
        <v>0.7234042553</v>
      </c>
      <c r="Q1741" s="82">
        <f>IFERROR(__xludf.DUMMYFUNCTION("""COMPUTED_VALUE"""),0.5744680851063829)</f>
        <v>0.5744680851</v>
      </c>
      <c r="R1741" s="82">
        <f>IFERROR(__xludf.DUMMYFUNCTION("""COMPUTED_VALUE"""),1.3900709219858158)</f>
        <v>1.390070922</v>
      </c>
      <c r="S1741" s="82">
        <f>IFERROR(__xludf.DUMMYFUNCTION("""COMPUTED_VALUE"""),2.4680851063829783)</f>
        <v>2.468085106</v>
      </c>
      <c r="T1741" s="82">
        <f>IFERROR(__xludf.DUMMYFUNCTION("""COMPUTED_VALUE"""),352.4198959618145)</f>
        <v>352.419896</v>
      </c>
      <c r="U1741" s="82">
        <f>IFERROR(__xludf.DUMMYFUNCTION("""COMPUTED_VALUE"""),0.8252250890665445)</f>
        <v>0.8252250891</v>
      </c>
      <c r="V1741" s="82">
        <f>IFERROR(__xludf.DUMMYFUNCTION("""COMPUTED_VALUE"""),0.5814892503840797)</f>
        <v>0.5814892504</v>
      </c>
      <c r="W1741" s="82">
        <f>IFERROR(__xludf.DUMMYFUNCTION("""COMPUTED_VALUE"""),1.3197349958121078)</f>
        <v>1.319734996</v>
      </c>
      <c r="X1741" s="82">
        <f>IFERROR(__xludf.DUMMYFUNCTION("""COMPUTED_VALUE"""),2.641388689016673)</f>
        <v>2.641388689</v>
      </c>
      <c r="Y1741" s="82">
        <f>IFERROR(__xludf.DUMMYFUNCTION("""COMPUTED_VALUE"""),348.6438344672942)</f>
        <v>348.6438345</v>
      </c>
      <c r="Z1741" s="82">
        <f>IFERROR(__xludf.DUMMYFUNCTION("""COMPUTED_VALUE"""),0.7917585313429122)</f>
        <v>0.7917585313</v>
      </c>
      <c r="AA1741" s="82">
        <f>IFERROR(__xludf.DUMMYFUNCTION("""COMPUTED_VALUE"""),0.5637514338725982)</f>
        <v>0.5637514339</v>
      </c>
      <c r="AB1741" s="82">
        <f>IFERROR(__xludf.DUMMYFUNCTION("""COMPUTED_VALUE"""),1.3214418971383086)</f>
        <v>1.321441897</v>
      </c>
      <c r="AC1741" s="82">
        <f>IFERROR(__xludf.DUMMYFUNCTION("""COMPUTED_VALUE"""),2.603818005275803)</f>
        <v>2.603818005</v>
      </c>
      <c r="AD1741" s="82">
        <f>IFERROR(__xludf.DUMMYFUNCTION("""COMPUTED_VALUE"""),1.0248830284985)</f>
        <v>1.024883028</v>
      </c>
      <c r="AE1741" s="82">
        <f>IFERROR(__xludf.DUMMYFUNCTION("""COMPUTED_VALUE"""),1.0211581009762492)</f>
        <v>1.021158101</v>
      </c>
      <c r="AF1741" s="82">
        <f>IFERROR(__xludf.DUMMYFUNCTION("""COMPUTED_VALUE"""),1.1699739077455955)</f>
        <v>1.169973908</v>
      </c>
      <c r="AG1741" s="82">
        <f>IFERROR(__xludf.DUMMYFUNCTION("""COMPUTED_VALUE"""),0.9982648037926892)</f>
        <v>0.9982648038</v>
      </c>
      <c r="AH1741" s="82">
        <f>IFERROR(__xludf.DUMMYFUNCTION("""COMPUTED_VALUE"""),1.1031264165590826)</f>
        <v>1.103126417</v>
      </c>
      <c r="AI1741" s="82">
        <f>IFERROR(__xludf.DUMMYFUNCTION("""COMPUTED_VALUE"""),0.9712785125432143)</f>
        <v>0.9712785125</v>
      </c>
      <c r="AJ1741" s="82">
        <f>IFERROR(__xludf.DUMMYFUNCTION("""COMPUTED_VALUE"""),0.8766144714982301)</f>
        <v>0.8766144715</v>
      </c>
      <c r="AK1741" s="82">
        <f>IFERROR(__xludf.DUMMYFUNCTION("""COMPUTED_VALUE"""),0.9879255458754237)</f>
        <v>0.9879255459</v>
      </c>
      <c r="AL1741" s="82">
        <f>IFERROR(__xludf.DUMMYFUNCTION("""COMPUTED_VALUE"""),1.0532954921987396)</f>
        <v>1.053295492</v>
      </c>
      <c r="AM1741" s="82">
        <f>IFERROR(__xludf.DUMMYFUNCTION("""COMPUTED_VALUE"""),0.934389216038397)</f>
        <v>0.934389216</v>
      </c>
      <c r="AN1741" s="82">
        <f>IFERROR(__xludf.DUMMYFUNCTION("""COMPUTED_VALUE"""),1.0538000728241181)</f>
        <v>1.053800073</v>
      </c>
      <c r="AO1741" s="82">
        <f>IFERROR(__xludf.DUMMYFUNCTION("""COMPUTED_VALUE"""),1.0870877785535058)</f>
        <v>1.087087779</v>
      </c>
      <c r="AP1741" s="82">
        <f>IFERROR(__xludf.DUMMYFUNCTION("""COMPUTED_VALUE"""),1.2084585535006214)</f>
        <v>1.208458554</v>
      </c>
      <c r="AQ1741" s="82">
        <f>IFERROR(__xludf.DUMMYFUNCTION("""COMPUTED_VALUE"""),1.008640426719903)</f>
        <v>1.008640427</v>
      </c>
      <c r="AR1741" s="82">
        <f>IFERROR(__xludf.DUMMYFUNCTION("""COMPUTED_VALUE"""),1.148156022914076)</f>
        <v>1.148156023</v>
      </c>
      <c r="AS1741" s="82">
        <f>IFERROR(__xludf.DUMMYFUNCTION("""COMPUTED_VALUE"""),124.0)</f>
        <v>124</v>
      </c>
      <c r="AT1741" s="82">
        <f>IFERROR(__xludf.DUMMYFUNCTION("""COMPUTED_VALUE"""),0.5760355933015728)</f>
        <v>0.5760355933</v>
      </c>
      <c r="AU1741" s="82">
        <f>IFERROR(__xludf.DUMMYFUNCTION("""COMPUTED_VALUE"""),3.001911315425323)</f>
        <v>3.001911315</v>
      </c>
      <c r="AV1741" s="82">
        <f>IFERROR(__xludf.DUMMYFUNCTION("""COMPUTED_VALUE"""),65.13235865059941)</f>
        <v>65.13235865</v>
      </c>
      <c r="AW1741" s="82">
        <f t="shared" si="1"/>
        <v>3.669836297</v>
      </c>
      <c r="AX1741" s="83">
        <f t="array" ref="AX1741">IFERROR(DGET('SBV Import'!A:G,"SBV",{"RSC ID","Tier";B1741,A1741}))</f>
        <v>56.17078699</v>
      </c>
      <c r="AY1741" s="82">
        <f t="shared" si="2"/>
        <v>2.484352779</v>
      </c>
      <c r="AZ1741" s="82">
        <v>1.1854835173530365</v>
      </c>
      <c r="BA1741" s="84">
        <v>1700.0</v>
      </c>
      <c r="BB1741" s="84" t="b">
        <f>IFERROR(__xludf.DUMMYFUNCTION("iferror(if(A1741="""",,E1741&gt;=FILTER(Constants!$F$2:$F$10,Constants!$A$2:$A$10=A1741)))"),TRUE)</f>
        <v>1</v>
      </c>
    </row>
    <row r="1742">
      <c r="A1742" s="89" t="str">
        <f>IFERROR(__xludf.DUMMYFUNCTION("""COMPUTED_VALUE"""),"Rival")</f>
        <v>Rival</v>
      </c>
      <c r="B1742" s="87" t="str">
        <f>IFERROR(__xludf.DUMMYFUNCTION("""COMPUTED_VALUE"""),"RSC007555")</f>
        <v>RSC007555</v>
      </c>
      <c r="C1742" s="73" t="str">
        <f>IFERROR(__xludf.DUMMYFUNCTION("""COMPUTED_VALUE"""),"cjAstr0-")</f>
        <v>cjAstr0-</v>
      </c>
      <c r="D1742" s="73" t="str">
        <f>IFERROR(__xludf.DUMMYFUNCTION("""COMPUTED_VALUE"""),"Asiago Arsonists")</f>
        <v>Asiago Arsonists</v>
      </c>
      <c r="E1742" s="82">
        <f>IFERROR(__xludf.DUMMYFUNCTION("""COMPUTED_VALUE"""),29.0)</f>
        <v>29</v>
      </c>
      <c r="F1742" s="82">
        <f>IFERROR(__xludf.DUMMYFUNCTION("""COMPUTED_VALUE"""),17.0)</f>
        <v>17</v>
      </c>
      <c r="G1742" s="86">
        <f>IFERROR(__xludf.DUMMYFUNCTION("""COMPUTED_VALUE"""),12.0)</f>
        <v>12</v>
      </c>
      <c r="H1742" s="86">
        <f>IFERROR(__xludf.DUMMYFUNCTION("""COMPUTED_VALUE"""),0.5862068965517241)</f>
        <v>0.5862068966</v>
      </c>
      <c r="I1742" s="86">
        <f>IFERROR(__xludf.DUMMYFUNCTION("""COMPUTED_VALUE"""),0.32926829268292684)</f>
        <v>0.3292682927</v>
      </c>
      <c r="J1742" s="82">
        <f>IFERROR(__xludf.DUMMYFUNCTION("""COMPUTED_VALUE"""),344.2413793103448)</f>
        <v>344.2413793</v>
      </c>
      <c r="K1742" s="82">
        <f>IFERROR(__xludf.DUMMYFUNCTION("""COMPUTED_VALUE"""),0.9310344827586207)</f>
        <v>0.9310344828</v>
      </c>
      <c r="L1742" s="82">
        <f>IFERROR(__xludf.DUMMYFUNCTION("""COMPUTED_VALUE"""),0.5172413793103449)</f>
        <v>0.5172413793</v>
      </c>
      <c r="M1742" s="82">
        <f>IFERROR(__xludf.DUMMYFUNCTION("""COMPUTED_VALUE"""),0.9310344827586207)</f>
        <v>0.9310344828</v>
      </c>
      <c r="N1742" s="82">
        <f>IFERROR(__xludf.DUMMYFUNCTION("""COMPUTED_VALUE"""),2.8275862068965516)</f>
        <v>2.827586207</v>
      </c>
      <c r="O1742" s="82">
        <f>IFERROR(__xludf.DUMMYFUNCTION("""COMPUTED_VALUE"""),349.55172413793105)</f>
        <v>349.5517241</v>
      </c>
      <c r="P1742" s="82">
        <f>IFERROR(__xludf.DUMMYFUNCTION("""COMPUTED_VALUE"""),0.7701149425287355)</f>
        <v>0.7701149425</v>
      </c>
      <c r="Q1742" s="82">
        <f>IFERROR(__xludf.DUMMYFUNCTION("""COMPUTED_VALUE"""),0.5632183908045977)</f>
        <v>0.5632183908</v>
      </c>
      <c r="R1742" s="82">
        <f>IFERROR(__xludf.DUMMYFUNCTION("""COMPUTED_VALUE"""),1.3793103448275863)</f>
        <v>1.379310345</v>
      </c>
      <c r="S1742" s="82">
        <f>IFERROR(__xludf.DUMMYFUNCTION("""COMPUTED_VALUE"""),2.4022988505747125)</f>
        <v>2.402298851</v>
      </c>
      <c r="T1742" s="82">
        <f>IFERROR(__xludf.DUMMYFUNCTION("""COMPUTED_VALUE"""),357.23434750942675)</f>
        <v>357.2343475</v>
      </c>
      <c r="U1742" s="82">
        <f>IFERROR(__xludf.DUMMYFUNCTION("""COMPUTED_VALUE"""),0.8196430089495865)</f>
        <v>0.8196430089</v>
      </c>
      <c r="V1742" s="82">
        <f>IFERROR(__xludf.DUMMYFUNCTION("""COMPUTED_VALUE"""),0.6092750954713178)</f>
        <v>0.6092750955</v>
      </c>
      <c r="W1742" s="82">
        <f>IFERROR(__xludf.DUMMYFUNCTION("""COMPUTED_VALUE"""),1.3428539142243936)</f>
        <v>1.342853914</v>
      </c>
      <c r="X1742" s="82">
        <f>IFERROR(__xludf.DUMMYFUNCTION("""COMPUTED_VALUE"""),2.6591677729477055)</f>
        <v>2.659167773</v>
      </c>
      <c r="Y1742" s="82">
        <f>IFERROR(__xludf.DUMMYFUNCTION("""COMPUTED_VALUE"""),345.95748241866005)</f>
        <v>345.9574824</v>
      </c>
      <c r="Z1742" s="82">
        <f>IFERROR(__xludf.DUMMYFUNCTION("""COMPUTED_VALUE"""),0.7728641722918904)</f>
        <v>0.7728641723</v>
      </c>
      <c r="AA1742" s="82">
        <f>IFERROR(__xludf.DUMMYFUNCTION("""COMPUTED_VALUE"""),0.559579932427472)</f>
        <v>0.5595799324</v>
      </c>
      <c r="AB1742" s="82">
        <f>IFERROR(__xludf.DUMMYFUNCTION("""COMPUTED_VALUE"""),1.3280831929477164)</f>
        <v>1.328083193</v>
      </c>
      <c r="AC1742" s="82">
        <f>IFERROR(__xludf.DUMMYFUNCTION("""COMPUTED_VALUE"""),2.606461369961136)</f>
        <v>2.60646137</v>
      </c>
      <c r="AD1742" s="82">
        <f>IFERROR(__xludf.DUMMYFUNCTION("""COMPUTED_VALUE"""),0.9950395548715478)</f>
        <v>0.9950395549</v>
      </c>
      <c r="AE1742" s="82">
        <f>IFERROR(__xludf.DUMMYFUNCTION("""COMPUTED_VALUE"""),1.2046547325355812)</f>
        <v>1.204654733</v>
      </c>
      <c r="AF1742" s="82">
        <f>IFERROR(__xludf.DUMMYFUNCTION("""COMPUTED_VALUE"""),0.9243386857468935)</f>
        <v>0.9243386857</v>
      </c>
      <c r="AG1742" s="82">
        <f>IFERROR(__xludf.DUMMYFUNCTION("""COMPUTED_VALUE"""),0.7010362661786003)</f>
        <v>0.7010362662</v>
      </c>
      <c r="AH1742" s="82">
        <f>IFERROR(__xludf.DUMMYFUNCTION("""COMPUTED_VALUE"""),1.0848371817375957)</f>
        <v>1.084837182</v>
      </c>
      <c r="AI1742" s="82">
        <f>IFERROR(__xludf.DUMMYFUNCTION("""COMPUTED_VALUE"""),0.9784941637749629)</f>
        <v>0.9784941638</v>
      </c>
      <c r="AJ1742" s="82">
        <f>IFERROR(__xludf.DUMMYFUNCTION("""COMPUTED_VALUE"""),0.9395736120725)</f>
        <v>0.9395736121</v>
      </c>
      <c r="AK1742" s="82">
        <f>IFERROR(__xludf.DUMMYFUNCTION("""COMPUTED_VALUE"""),0.9244073736001109)</f>
        <v>0.9244073736</v>
      </c>
      <c r="AL1742" s="82">
        <f>IFERROR(__xludf.DUMMYFUNCTION("""COMPUTED_VALUE"""),1.0271484710414307)</f>
        <v>1.027148471</v>
      </c>
      <c r="AM1742" s="82">
        <f>IFERROR(__xludf.DUMMYFUNCTION("""COMPUTED_VALUE"""),0.9034025137540487)</f>
        <v>0.9034025138</v>
      </c>
      <c r="AN1742" s="82">
        <f>IFERROR(__xludf.DUMMYFUNCTION("""COMPUTED_VALUE"""),1.0152313181824975)</f>
        <v>1.015231318</v>
      </c>
      <c r="AO1742" s="82">
        <f>IFERROR(__xludf.DUMMYFUNCTION("""COMPUTED_VALUE"""),1.2518279410021769)</f>
        <v>1.251827941</v>
      </c>
      <c r="AP1742" s="82">
        <f>IFERROR(__xludf.DUMMYFUNCTION("""COMPUTED_VALUE"""),0.9476788434014884)</f>
        <v>0.9476788434</v>
      </c>
      <c r="AQ1742" s="82">
        <f>IFERROR(__xludf.DUMMYFUNCTION("""COMPUTED_VALUE"""),0.7118824813723899)</f>
        <v>0.7118824814</v>
      </c>
      <c r="AR1742" s="82">
        <f>IFERROR(__xludf.DUMMYFUNCTION("""COMPUTED_VALUE"""),1.130266491011711)</f>
        <v>1.130266491</v>
      </c>
      <c r="AS1742" s="82">
        <f>IFERROR(__xludf.DUMMYFUNCTION("""COMPUTED_VALUE"""),64.0)</f>
        <v>64</v>
      </c>
      <c r="AT1742" s="82">
        <f>IFERROR(__xludf.DUMMYFUNCTION("""COMPUTED_VALUE"""),0.48235327500137326)</f>
        <v>0.482353275</v>
      </c>
      <c r="AU1742" s="82">
        <f>IFERROR(__xludf.DUMMYFUNCTION("""COMPUTED_VALUE"""),2.965473398506959)</f>
        <v>2.965473399</v>
      </c>
      <c r="AV1742" s="82">
        <f>IFERROR(__xludf.DUMMYFUNCTION("""COMPUTED_VALUE"""),64.08914200332624)</f>
        <v>64.089142</v>
      </c>
      <c r="AW1742" s="82">
        <f t="shared" si="1"/>
        <v>3.490098379</v>
      </c>
      <c r="AX1742" s="83">
        <f t="array" ref="AX1742">IFERROR(DGET('SBV Import'!A:G,"SBV",{"RSC ID","Tier";B1742,A1742}))</f>
        <v>54.2139367</v>
      </c>
      <c r="AY1742" s="82">
        <f t="shared" si="2"/>
        <v>2.309082898</v>
      </c>
      <c r="AZ1742" s="82">
        <v>1.1810154809310451</v>
      </c>
      <c r="BA1742" s="84">
        <v>1700.0</v>
      </c>
      <c r="BB1742" s="84" t="b">
        <f>IFERROR(__xludf.DUMMYFUNCTION("iferror(if(A1742="""",,E1742&gt;=FILTER(Constants!$F$2:$F$10,Constants!$A$2:$A$10=A1742)))"),TRUE)</f>
        <v>1</v>
      </c>
    </row>
    <row r="1743">
      <c r="A1743" s="89" t="str">
        <f>IFERROR(__xludf.DUMMYFUNCTION("""COMPUTED_VALUE"""),"Rival")</f>
        <v>Rival</v>
      </c>
      <c r="B1743" s="87" t="str">
        <f>IFERROR(__xludf.DUMMYFUNCTION("""COMPUTED_VALUE"""),"RSC006490")</f>
        <v>RSC006490</v>
      </c>
      <c r="C1743" s="73" t="str">
        <f>IFERROR(__xludf.DUMMYFUNCTION("""COMPUTED_VALUE"""),"Dayz")</f>
        <v>Dayz</v>
      </c>
      <c r="D1743" s="73" t="str">
        <f>IFERROR(__xludf.DUMMYFUNCTION("""COMPUTED_VALUE"""),"Stolen")</f>
        <v>Stolen</v>
      </c>
      <c r="E1743" s="82">
        <f>IFERROR(__xludf.DUMMYFUNCTION("""COMPUTED_VALUE"""),44.0)</f>
        <v>44</v>
      </c>
      <c r="F1743" s="82">
        <f>IFERROR(__xludf.DUMMYFUNCTION("""COMPUTED_VALUE"""),30.0)</f>
        <v>30</v>
      </c>
      <c r="G1743" s="86">
        <f>IFERROR(__xludf.DUMMYFUNCTION("""COMPUTED_VALUE"""),14.0)</f>
        <v>14</v>
      </c>
      <c r="H1743" s="86">
        <f>IFERROR(__xludf.DUMMYFUNCTION("""COMPUTED_VALUE"""),0.6818181818181818)</f>
        <v>0.6818181818</v>
      </c>
      <c r="I1743" s="86">
        <f>IFERROR(__xludf.DUMMYFUNCTION("""COMPUTED_VALUE"""),0.3425925925925926)</f>
        <v>0.3425925926</v>
      </c>
      <c r="J1743" s="82">
        <f>IFERROR(__xludf.DUMMYFUNCTION("""COMPUTED_VALUE"""),370.3181818181818)</f>
        <v>370.3181818</v>
      </c>
      <c r="K1743" s="82">
        <f>IFERROR(__xludf.DUMMYFUNCTION("""COMPUTED_VALUE"""),0.8409090909090909)</f>
        <v>0.8409090909</v>
      </c>
      <c r="L1743" s="82">
        <f>IFERROR(__xludf.DUMMYFUNCTION("""COMPUTED_VALUE"""),0.6590909090909091)</f>
        <v>0.6590909091</v>
      </c>
      <c r="M1743" s="82">
        <f>IFERROR(__xludf.DUMMYFUNCTION("""COMPUTED_VALUE"""),1.4545454545454546)</f>
        <v>1.454545455</v>
      </c>
      <c r="N1743" s="82">
        <f>IFERROR(__xludf.DUMMYFUNCTION("""COMPUTED_VALUE"""),2.4545454545454546)</f>
        <v>2.454545455</v>
      </c>
      <c r="O1743" s="82">
        <f>IFERROR(__xludf.DUMMYFUNCTION("""COMPUTED_VALUE"""),341.65909090909093)</f>
        <v>341.6590909</v>
      </c>
      <c r="P1743" s="82">
        <f>IFERROR(__xludf.DUMMYFUNCTION("""COMPUTED_VALUE"""),0.7196969696969696)</f>
        <v>0.7196969697</v>
      </c>
      <c r="Q1743" s="82">
        <f>IFERROR(__xludf.DUMMYFUNCTION("""COMPUTED_VALUE"""),0.5757575757575757)</f>
        <v>0.5757575758</v>
      </c>
      <c r="R1743" s="82">
        <f>IFERROR(__xludf.DUMMYFUNCTION("""COMPUTED_VALUE"""),1.3939393939393943)</f>
        <v>1.393939394</v>
      </c>
      <c r="S1743" s="82">
        <f>IFERROR(__xludf.DUMMYFUNCTION("""COMPUTED_VALUE"""),2.4318181818181817)</f>
        <v>2.431818182</v>
      </c>
      <c r="T1743" s="82">
        <f>IFERROR(__xludf.DUMMYFUNCTION("""COMPUTED_VALUE"""),352.653941864879)</f>
        <v>352.6539419</v>
      </c>
      <c r="U1743" s="82">
        <f>IFERROR(__xludf.DUMMYFUNCTION("""COMPUTED_VALUE"""),0.8197648689626057)</f>
        <v>0.819764869</v>
      </c>
      <c r="V1743" s="82">
        <f>IFERROR(__xludf.DUMMYFUNCTION("""COMPUTED_VALUE"""),0.5753623192608195)</f>
        <v>0.5753623193</v>
      </c>
      <c r="W1743" s="82">
        <f>IFERROR(__xludf.DUMMYFUNCTION("""COMPUTED_VALUE"""),1.3349901156497037)</f>
        <v>1.334990116</v>
      </c>
      <c r="X1743" s="82">
        <f>IFERROR(__xludf.DUMMYFUNCTION("""COMPUTED_VALUE"""),2.6314508264980394)</f>
        <v>2.631450826</v>
      </c>
      <c r="Y1743" s="82">
        <f>IFERROR(__xludf.DUMMYFUNCTION("""COMPUTED_VALUE"""),347.8761978352203)</f>
        <v>347.8761978</v>
      </c>
      <c r="Z1743" s="82">
        <f>IFERROR(__xludf.DUMMYFUNCTION("""COMPUTED_VALUE"""),0.7825301382594574)</f>
        <v>0.7825301383</v>
      </c>
      <c r="AA1743" s="82">
        <f>IFERROR(__xludf.DUMMYFUNCTION("""COMPUTED_VALUE"""),0.5613393594388858)</f>
        <v>0.5613393594</v>
      </c>
      <c r="AB1743" s="82">
        <f>IFERROR(__xludf.DUMMYFUNCTION("""COMPUTED_VALUE"""),1.3219315117828374)</f>
        <v>1.321931512</v>
      </c>
      <c r="AC1743" s="82">
        <f>IFERROR(__xludf.DUMMYFUNCTION("""COMPUTED_VALUE"""),2.6013802215682778)</f>
        <v>2.601380222</v>
      </c>
      <c r="AD1743" s="82">
        <f>IFERROR(__xludf.DUMMYFUNCTION("""COMPUTED_VALUE"""),1.0645114098711395)</f>
        <v>1.06451141</v>
      </c>
      <c r="AE1743" s="82">
        <f>IFERROR(__xludf.DUMMYFUNCTION("""COMPUTED_VALUE"""),1.0746028169336492)</f>
        <v>1.074602817</v>
      </c>
      <c r="AF1743" s="82">
        <f>IFERROR(__xludf.DUMMYFUNCTION("""COMPUTED_VALUE"""),1.1741398460812291)</f>
        <v>1.174139846</v>
      </c>
      <c r="AG1743" s="82">
        <f>IFERROR(__xludf.DUMMYFUNCTION("""COMPUTED_VALUE"""),1.100318315722549)</f>
        <v>1.100318316</v>
      </c>
      <c r="AH1743" s="82">
        <f>IFERROR(__xludf.DUMMYFUNCTION("""COMPUTED_VALUE"""),0.943555053657515)</f>
        <v>0.9435550537</v>
      </c>
      <c r="AI1743" s="82">
        <f>IFERROR(__xludf.DUMMYFUNCTION("""COMPUTED_VALUE"""),0.9688225491039575)</f>
        <v>0.9688225491</v>
      </c>
      <c r="AJ1743" s="82">
        <f>IFERROR(__xludf.DUMMYFUNCTION("""COMPUTED_VALUE"""),0.8779309738019515)</f>
        <v>0.8779309738</v>
      </c>
      <c r="AK1743" s="82">
        <f>IFERROR(__xludf.DUMMYFUNCTION("""COMPUTED_VALUE"""),1.0006869697293768)</f>
        <v>1.00068697</v>
      </c>
      <c r="AL1743" s="82">
        <f>IFERROR(__xludf.DUMMYFUNCTION("""COMPUTED_VALUE"""),1.044157089703246)</f>
        <v>1.04415709</v>
      </c>
      <c r="AM1743" s="82">
        <f>IFERROR(__xludf.DUMMYFUNCTION("""COMPUTED_VALUE"""),0.9241359015074088)</f>
        <v>0.9241359015</v>
      </c>
      <c r="AN1743" s="82">
        <f>IFERROR(__xludf.DUMMYFUNCTION("""COMPUTED_VALUE"""),1.0921366182863204)</f>
        <v>1.092136618</v>
      </c>
      <c r="AO1743" s="82">
        <f>IFERROR(__xludf.DUMMYFUNCTION("""COMPUTED_VALUE"""),1.1306493103496091)</f>
        <v>1.13064931</v>
      </c>
      <c r="AP1743" s="82">
        <f>IFERROR(__xludf.DUMMYFUNCTION("""COMPUTED_VALUE"""),1.2075725868191693)</f>
        <v>1.207572587</v>
      </c>
      <c r="AQ1743" s="82">
        <f>IFERROR(__xludf.DUMMYFUNCTION("""COMPUTED_VALUE"""),1.1121665702248784)</f>
        <v>1.11216657</v>
      </c>
      <c r="AR1743" s="82">
        <f>IFERROR(__xludf.DUMMYFUNCTION("""COMPUTED_VALUE"""),0.9811515104902104)</f>
        <v>0.9811515105</v>
      </c>
      <c r="AS1743" s="82">
        <f>IFERROR(__xludf.DUMMYFUNCTION("""COMPUTED_VALUE"""),119.0)</f>
        <v>119</v>
      </c>
      <c r="AT1743" s="82">
        <f>IFERROR(__xludf.DUMMYFUNCTION("""COMPUTED_VALUE"""),0.5877479249906852)</f>
        <v>0.587747925</v>
      </c>
      <c r="AU1743" s="82">
        <f>IFERROR(__xludf.DUMMYFUNCTION("""COMPUTED_VALUE"""),2.9599885270561956)</f>
        <v>2.959988527</v>
      </c>
      <c r="AV1743" s="82">
        <f>IFERROR(__xludf.DUMMYFUNCTION("""COMPUTED_VALUE"""),63.932110271287094)</f>
        <v>63.93211027</v>
      </c>
      <c r="AW1743" s="82">
        <f t="shared" si="1"/>
        <v>3.464204483</v>
      </c>
      <c r="AX1743" s="83">
        <f t="array" ref="AX1743">IFERROR(DGET('SBV Import'!A:G,"SBV",{"RSC ID","Tier";B1743,A1743}))</f>
        <v>56.18774403</v>
      </c>
      <c r="AY1743" s="82">
        <f t="shared" si="2"/>
        <v>2.485973707</v>
      </c>
      <c r="AZ1743" s="82">
        <v>0.978230776265919</v>
      </c>
      <c r="BA1743" s="84">
        <v>1700.0</v>
      </c>
      <c r="BB1743" s="84" t="b">
        <f>IFERROR(__xludf.DUMMYFUNCTION("iferror(if(A1743="""",,E1743&gt;=FILTER(Constants!$F$2:$F$10,Constants!$A$2:$A$10=A1743)))"),TRUE)</f>
        <v>1</v>
      </c>
    </row>
    <row r="1744">
      <c r="A1744" s="89" t="str">
        <f>IFERROR(__xludf.DUMMYFUNCTION("""COMPUTED_VALUE"""),"Rival")</f>
        <v>Rival</v>
      </c>
      <c r="B1744" s="87" t="str">
        <f>IFERROR(__xludf.DUMMYFUNCTION("""COMPUTED_VALUE"""),"RSC007144")</f>
        <v>RSC007144</v>
      </c>
      <c r="C1744" s="73" t="str">
        <f>IFERROR(__xludf.DUMMYFUNCTION("""COMPUTED_VALUE"""),"The_Killerwon")</f>
        <v>The_Killerwon</v>
      </c>
      <c r="D1744" s="73" t="str">
        <f>IFERROR(__xludf.DUMMYFUNCTION("""COMPUTED_VALUE"""),"Wind")</f>
        <v>Wind</v>
      </c>
      <c r="E1744" s="82">
        <f>IFERROR(__xludf.DUMMYFUNCTION("""COMPUTED_VALUE"""),40.0)</f>
        <v>40</v>
      </c>
      <c r="F1744" s="82">
        <f>IFERROR(__xludf.DUMMYFUNCTION("""COMPUTED_VALUE"""),22.0)</f>
        <v>22</v>
      </c>
      <c r="G1744" s="86">
        <f>IFERROR(__xludf.DUMMYFUNCTION("""COMPUTED_VALUE"""),18.0)</f>
        <v>18</v>
      </c>
      <c r="H1744" s="86">
        <f>IFERROR(__xludf.DUMMYFUNCTION("""COMPUTED_VALUE"""),0.55)</f>
        <v>0.55</v>
      </c>
      <c r="I1744" s="86">
        <f>IFERROR(__xludf.DUMMYFUNCTION("""COMPUTED_VALUE"""),0.38392857142857145)</f>
        <v>0.3839285714</v>
      </c>
      <c r="J1744" s="82">
        <f>IFERROR(__xludf.DUMMYFUNCTION("""COMPUTED_VALUE"""),364.925)</f>
        <v>364.925</v>
      </c>
      <c r="K1744" s="82">
        <f>IFERROR(__xludf.DUMMYFUNCTION("""COMPUTED_VALUE"""),1.075)</f>
        <v>1.075</v>
      </c>
      <c r="L1744" s="82">
        <f>IFERROR(__xludf.DUMMYFUNCTION("""COMPUTED_VALUE"""),0.475)</f>
        <v>0.475</v>
      </c>
      <c r="M1744" s="82">
        <f>IFERROR(__xludf.DUMMYFUNCTION("""COMPUTED_VALUE"""),1.25)</f>
        <v>1.25</v>
      </c>
      <c r="N1744" s="82">
        <f>IFERROR(__xludf.DUMMYFUNCTION("""COMPUTED_VALUE"""),2.8)</f>
        <v>2.8</v>
      </c>
      <c r="O1744" s="82">
        <f>IFERROR(__xludf.DUMMYFUNCTION("""COMPUTED_VALUE"""),369.0083333333333)</f>
        <v>369.0083333</v>
      </c>
      <c r="P1744" s="82">
        <f>IFERROR(__xludf.DUMMYFUNCTION("""COMPUTED_VALUE"""),0.8500000000000002)</f>
        <v>0.85</v>
      </c>
      <c r="Q1744" s="82">
        <f>IFERROR(__xludf.DUMMYFUNCTION("""COMPUTED_VALUE"""),0.6250000000000001)</f>
        <v>0.625</v>
      </c>
      <c r="R1744" s="82">
        <f>IFERROR(__xludf.DUMMYFUNCTION("""COMPUTED_VALUE"""),1.4333333333333331)</f>
        <v>1.433333333</v>
      </c>
      <c r="S1744" s="82">
        <f>IFERROR(__xludf.DUMMYFUNCTION("""COMPUTED_VALUE"""),2.7750000000000004)</f>
        <v>2.775</v>
      </c>
      <c r="T1744" s="82">
        <f>IFERROR(__xludf.DUMMYFUNCTION("""COMPUTED_VALUE"""),347.9753112594432)</f>
        <v>347.9753113</v>
      </c>
      <c r="U1744" s="82">
        <f>IFERROR(__xludf.DUMMYFUNCTION("""COMPUTED_VALUE"""),0.7928140942532125)</f>
        <v>0.7928140943</v>
      </c>
      <c r="V1744" s="82">
        <f>IFERROR(__xludf.DUMMYFUNCTION("""COMPUTED_VALUE"""),0.5544284973297935)</f>
        <v>0.5544284973</v>
      </c>
      <c r="W1744" s="82">
        <f>IFERROR(__xludf.DUMMYFUNCTION("""COMPUTED_VALUE"""),1.315614808253054)</f>
        <v>1.315614808</v>
      </c>
      <c r="X1744" s="82">
        <f>IFERROR(__xludf.DUMMYFUNCTION("""COMPUTED_VALUE"""),2.6307494765850516)</f>
        <v>2.630749477</v>
      </c>
      <c r="Y1744" s="82">
        <f>IFERROR(__xludf.DUMMYFUNCTION("""COMPUTED_VALUE"""),354.68109946898295)</f>
        <v>354.6810995</v>
      </c>
      <c r="Z1744" s="82">
        <f>IFERROR(__xludf.DUMMYFUNCTION("""COMPUTED_VALUE"""),0.8304059399456085)</f>
        <v>0.8304059399</v>
      </c>
      <c r="AA1744" s="82">
        <f>IFERROR(__xludf.DUMMYFUNCTION("""COMPUTED_VALUE"""),0.5784356040578921)</f>
        <v>0.5784356041</v>
      </c>
      <c r="AB1744" s="82">
        <f>IFERROR(__xludf.DUMMYFUNCTION("""COMPUTED_VALUE"""),1.3452977266676496)</f>
        <v>1.345297727</v>
      </c>
      <c r="AC1744" s="82">
        <f>IFERROR(__xludf.DUMMYFUNCTION("""COMPUTED_VALUE"""),2.6186452293061784)</f>
        <v>2.618645229</v>
      </c>
      <c r="AD1744" s="82">
        <f>IFERROR(__xludf.DUMMYFUNCTION("""COMPUTED_VALUE"""),1.028882002864979)</f>
        <v>1.028882003</v>
      </c>
      <c r="AE1744" s="82">
        <f>IFERROR(__xludf.DUMMYFUNCTION("""COMPUTED_VALUE"""),1.2945475800310535)</f>
        <v>1.29454758</v>
      </c>
      <c r="AF1744" s="82">
        <f>IFERROR(__xludf.DUMMYFUNCTION("""COMPUTED_VALUE"""),0.8211804333407875)</f>
        <v>0.8211804333</v>
      </c>
      <c r="AG1744" s="82">
        <f>IFERROR(__xludf.DUMMYFUNCTION("""COMPUTED_VALUE"""),0.9291623521109298)</f>
        <v>0.9291623521</v>
      </c>
      <c r="AH1744" s="82">
        <f>IFERROR(__xludf.DUMMYFUNCTION("""COMPUTED_VALUE"""),1.0692551891582016)</f>
        <v>1.069255189</v>
      </c>
      <c r="AI1744" s="82">
        <f>IFERROR(__xludf.DUMMYFUNCTION("""COMPUTED_VALUE"""),1.0604440067824477)</f>
        <v>1.060444007</v>
      </c>
      <c r="AJ1744" s="82">
        <f>IFERROR(__xludf.DUMMYFUNCTION("""COMPUTED_VALUE"""),1.0721302839610258)</f>
        <v>1.072130284</v>
      </c>
      <c r="AK1744" s="82">
        <f>IFERROR(__xludf.DUMMYFUNCTION("""COMPUTED_VALUE"""),1.1272869324179566)</f>
        <v>1.127286932</v>
      </c>
      <c r="AL1744" s="82">
        <f>IFERROR(__xludf.DUMMYFUNCTION("""COMPUTED_VALUE"""),1.089477956877509)</f>
        <v>1.089477957</v>
      </c>
      <c r="AM1744" s="82">
        <f>IFERROR(__xludf.DUMMYFUNCTION("""COMPUTED_VALUE"""),1.0548324820355752)</f>
        <v>1.054832482</v>
      </c>
      <c r="AN1744" s="82">
        <f>IFERROR(__xludf.DUMMYFUNCTION("""COMPUTED_VALUE"""),1.0762311304061594)</f>
        <v>1.07623113</v>
      </c>
      <c r="AO1744" s="82">
        <f>IFERROR(__xludf.DUMMYFUNCTION("""COMPUTED_VALUE"""),1.445397631879365)</f>
        <v>1.445397632</v>
      </c>
      <c r="AP1744" s="82">
        <f>IFERROR(__xludf.DUMMYFUNCTION("""COMPUTED_VALUE"""),0.8702850711903668)</f>
        <v>0.8702850712</v>
      </c>
      <c r="AQ1744" s="82">
        <f>IFERROR(__xludf.DUMMYFUNCTION("""COMPUTED_VALUE"""),0.9557681462870049)</f>
        <v>0.9557681463</v>
      </c>
      <c r="AR1744" s="82">
        <f>IFERROR(__xludf.DUMMYFUNCTION("""COMPUTED_VALUE"""),1.1192395008554992)</f>
        <v>1.119239501</v>
      </c>
      <c r="AS1744" s="82">
        <f>IFERROR(__xludf.DUMMYFUNCTION("""COMPUTED_VALUE"""),112.0)</f>
        <v>112</v>
      </c>
      <c r="AT1744" s="82">
        <f>IFERROR(__xludf.DUMMYFUNCTION("""COMPUTED_VALUE"""),0.5377643749607768)</f>
        <v>0.537764375</v>
      </c>
      <c r="AU1744" s="82">
        <f>IFERROR(__xludf.DUMMYFUNCTION("""COMPUTED_VALUE"""),2.9286848405468557)</f>
        <v>2.928684841</v>
      </c>
      <c r="AV1744" s="82">
        <f>IFERROR(__xludf.DUMMYFUNCTION("""COMPUTED_VALUE"""),63.035886511824444)</f>
        <v>63.03588651</v>
      </c>
      <c r="AW1744" s="82">
        <f t="shared" si="1"/>
        <v>3.321908988</v>
      </c>
      <c r="AX1744" s="83">
        <f t="array" ref="AX1744">IFERROR(DGET('SBV Import'!A:G,"SBV",{"RSC ID","Tier";B1744,A1744}))</f>
        <v>46.27285599</v>
      </c>
      <c r="AY1744" s="82">
        <f t="shared" si="2"/>
        <v>-2.268896031</v>
      </c>
      <c r="AZ1744" s="82">
        <v>5.5908050185808555</v>
      </c>
      <c r="BA1744" s="84">
        <v>1700.0</v>
      </c>
      <c r="BB1744" s="84" t="b">
        <f>IFERROR(__xludf.DUMMYFUNCTION("iferror(if(A1744="""",,E1744&gt;=FILTER(Constants!$F$2:$F$10,Constants!$A$2:$A$10=A1744)))"),TRUE)</f>
        <v>1</v>
      </c>
    </row>
    <row r="1745">
      <c r="A1745" s="89" t="str">
        <f>IFERROR(__xludf.DUMMYFUNCTION("""COMPUTED_VALUE"""),"Rival")</f>
        <v>Rival</v>
      </c>
      <c r="B1745" s="87" t="str">
        <f>IFERROR(__xludf.DUMMYFUNCTION("""COMPUTED_VALUE"""),"RSC002036")</f>
        <v>RSC002036</v>
      </c>
      <c r="C1745" s="73" t="str">
        <f>IFERROR(__xludf.DUMMYFUNCTION("""COMPUTED_VALUE"""),"Reno")</f>
        <v>Reno</v>
      </c>
      <c r="D1745" s="73" t="str">
        <f>IFERROR(__xludf.DUMMYFUNCTION("""COMPUTED_VALUE"""),"Polar Ice")</f>
        <v>Polar Ice</v>
      </c>
      <c r="E1745" s="82">
        <f>IFERROR(__xludf.DUMMYFUNCTION("""COMPUTED_VALUE"""),46.0)</f>
        <v>46</v>
      </c>
      <c r="F1745" s="82">
        <f>IFERROR(__xludf.DUMMYFUNCTION("""COMPUTED_VALUE"""),20.0)</f>
        <v>20</v>
      </c>
      <c r="G1745" s="86">
        <f>IFERROR(__xludf.DUMMYFUNCTION("""COMPUTED_VALUE"""),26.0)</f>
        <v>26</v>
      </c>
      <c r="H1745" s="86">
        <f>IFERROR(__xludf.DUMMYFUNCTION("""COMPUTED_VALUE"""),0.43478260869565216)</f>
        <v>0.4347826087</v>
      </c>
      <c r="I1745" s="86">
        <f>IFERROR(__xludf.DUMMYFUNCTION("""COMPUTED_VALUE"""),0.28187919463087246)</f>
        <v>0.2818791946</v>
      </c>
      <c r="J1745" s="82">
        <f>IFERROR(__xludf.DUMMYFUNCTION("""COMPUTED_VALUE"""),378.54347826086956)</f>
        <v>378.5434783</v>
      </c>
      <c r="K1745" s="82">
        <f>IFERROR(__xludf.DUMMYFUNCTION("""COMPUTED_VALUE"""),0.9130434782608695)</f>
        <v>0.9130434783</v>
      </c>
      <c r="L1745" s="82">
        <f>IFERROR(__xludf.DUMMYFUNCTION("""COMPUTED_VALUE"""),0.43478260869565216)</f>
        <v>0.4347826087</v>
      </c>
      <c r="M1745" s="82">
        <f>IFERROR(__xludf.DUMMYFUNCTION("""COMPUTED_VALUE"""),1.4565217391304348)</f>
        <v>1.456521739</v>
      </c>
      <c r="N1745" s="82">
        <f>IFERROR(__xludf.DUMMYFUNCTION("""COMPUTED_VALUE"""),3.239130434782609)</f>
        <v>3.239130435</v>
      </c>
      <c r="O1745" s="82">
        <f>IFERROR(__xludf.DUMMYFUNCTION("""COMPUTED_VALUE"""),372.5507246376811)</f>
        <v>372.5507246</v>
      </c>
      <c r="P1745" s="82">
        <f>IFERROR(__xludf.DUMMYFUNCTION("""COMPUTED_VALUE"""),0.8623188405797101)</f>
        <v>0.8623188406</v>
      </c>
      <c r="Q1745" s="82">
        <f>IFERROR(__xludf.DUMMYFUNCTION("""COMPUTED_VALUE"""),0.601449275362319)</f>
        <v>0.6014492754</v>
      </c>
      <c r="R1745" s="82">
        <f>IFERROR(__xludf.DUMMYFUNCTION("""COMPUTED_VALUE"""),1.4130434782608698)</f>
        <v>1.413043478</v>
      </c>
      <c r="S1745" s="82">
        <f>IFERROR(__xludf.DUMMYFUNCTION("""COMPUTED_VALUE"""),2.746376811594203)</f>
        <v>2.746376812</v>
      </c>
      <c r="T1745" s="82">
        <f>IFERROR(__xludf.DUMMYFUNCTION("""COMPUTED_VALUE"""),355.5488613663643)</f>
        <v>355.5488614</v>
      </c>
      <c r="U1745" s="82">
        <f>IFERROR(__xludf.DUMMYFUNCTION("""COMPUTED_VALUE"""),0.81491087863969)</f>
        <v>0.8149108786</v>
      </c>
      <c r="V1745" s="82">
        <f>IFERROR(__xludf.DUMMYFUNCTION("""COMPUTED_VALUE"""),0.5776910267016208)</f>
        <v>0.5776910267</v>
      </c>
      <c r="W1745" s="82">
        <f>IFERROR(__xludf.DUMMYFUNCTION("""COMPUTED_VALUE"""),1.342699424213606)</f>
        <v>1.342699424</v>
      </c>
      <c r="X1745" s="82">
        <f>IFERROR(__xludf.DUMMYFUNCTION("""COMPUTED_VALUE"""),2.679326760010315)</f>
        <v>2.67932676</v>
      </c>
      <c r="Y1745" s="82">
        <f>IFERROR(__xludf.DUMMYFUNCTION("""COMPUTED_VALUE"""),347.7813835454734)</f>
        <v>347.7813835</v>
      </c>
      <c r="Z1745" s="82">
        <f>IFERROR(__xludf.DUMMYFUNCTION("""COMPUTED_VALUE"""),0.7802100664465104)</f>
        <v>0.7802100664</v>
      </c>
      <c r="AA1745" s="82">
        <f>IFERROR(__xludf.DUMMYFUNCTION("""COMPUTED_VALUE"""),0.5621160226138098)</f>
        <v>0.5621160226</v>
      </c>
      <c r="AB1745" s="82">
        <f>IFERROR(__xludf.DUMMYFUNCTION("""COMPUTED_VALUE"""),1.332823550098077)</f>
        <v>1.33282355</v>
      </c>
      <c r="AC1745" s="82">
        <f>IFERROR(__xludf.DUMMYFUNCTION("""COMPUTED_VALUE"""),2.5977278823539423)</f>
        <v>2.597727882</v>
      </c>
      <c r="AD1745" s="82">
        <f>IFERROR(__xludf.DUMMYFUNCTION("""COMPUTED_VALUE"""),1.0884523904120187)</f>
        <v>1.08845239</v>
      </c>
      <c r="AE1745" s="82">
        <f>IFERROR(__xludf.DUMMYFUNCTION("""COMPUTED_VALUE"""),1.1702533939601072)</f>
        <v>1.170253394</v>
      </c>
      <c r="AF1745" s="82">
        <f>IFERROR(__xludf.DUMMYFUNCTION("""COMPUTED_VALUE"""),0.7734748543084327)</f>
        <v>0.7734748543</v>
      </c>
      <c r="AG1745" s="82">
        <f>IFERROR(__xludf.DUMMYFUNCTION("""COMPUTED_VALUE"""),1.0928091261767212)</f>
        <v>1.092809126</v>
      </c>
      <c r="AH1745" s="82">
        <f>IFERROR(__xludf.DUMMYFUNCTION("""COMPUTED_VALUE"""),1.2469090611012947)</f>
        <v>1.246909061</v>
      </c>
      <c r="AI1745" s="82">
        <f>IFERROR(__xludf.DUMMYFUNCTION("""COMPUTED_VALUE"""),1.047818640751595)</f>
        <v>1.047818641</v>
      </c>
      <c r="AJ1745" s="82">
        <f>IFERROR(__xludf.DUMMYFUNCTION("""COMPUTED_VALUE"""),1.058175640039506)</f>
        <v>1.05817564</v>
      </c>
      <c r="AK1745" s="82">
        <f>IFERROR(__xludf.DUMMYFUNCTION("""COMPUTED_VALUE"""),1.0411262207002732)</f>
        <v>1.041126221</v>
      </c>
      <c r="AL1745" s="82">
        <f>IFERROR(__xludf.DUMMYFUNCTION("""COMPUTED_VALUE"""),1.05239002324624)</f>
        <v>1.052390023</v>
      </c>
      <c r="AM1745" s="82">
        <f>IFERROR(__xludf.DUMMYFUNCTION("""COMPUTED_VALUE"""),1.0250249624587149)</f>
        <v>1.025024962</v>
      </c>
      <c r="AN1745" s="82">
        <f>IFERROR(__xludf.DUMMYFUNCTION("""COMPUTED_VALUE"""),1.1163945345388095)</f>
        <v>1.116394535</v>
      </c>
      <c r="AO1745" s="82">
        <f>IFERROR(__xludf.DUMMYFUNCTION("""COMPUTED_VALUE"""),1.227638029098753)</f>
        <v>1.227638029</v>
      </c>
      <c r="AP1745" s="82">
        <f>IFERROR(__xludf.DUMMYFUNCTION("""COMPUTED_VALUE"""),0.7965996074969033)</f>
        <v>0.7965996075</v>
      </c>
      <c r="AQ1745" s="82">
        <f>IFERROR(__xludf.DUMMYFUNCTION("""COMPUTED_VALUE"""),1.1136776661083363)</f>
        <v>1.113677666</v>
      </c>
      <c r="AR1745" s="82">
        <f>IFERROR(__xludf.DUMMYFUNCTION("""COMPUTED_VALUE"""),1.2947724039399797)</f>
        <v>1.294772404</v>
      </c>
      <c r="AS1745" s="82">
        <f>IFERROR(__xludf.DUMMYFUNCTION("""COMPUTED_VALUE"""),107.0)</f>
        <v>107</v>
      </c>
      <c r="AT1745" s="82">
        <f>IFERROR(__xludf.DUMMYFUNCTION("""COMPUTED_VALUE"""),0.45813500212499003)</f>
        <v>0.4581350021</v>
      </c>
      <c r="AU1745" s="82">
        <f>IFERROR(__xludf.DUMMYFUNCTION("""COMPUTED_VALUE"""),2.926862280062494)</f>
        <v>2.92686228</v>
      </c>
      <c r="AV1745" s="82">
        <f>IFERROR(__xludf.DUMMYFUNCTION("""COMPUTED_VALUE"""),62.98370665087882)</f>
        <v>62.98370665</v>
      </c>
      <c r="AW1745" s="82">
        <f t="shared" si="1"/>
        <v>3.313903361</v>
      </c>
      <c r="AX1745" s="83">
        <f t="array" ref="AX1745">IFERROR(DGET('SBV Import'!A:G,"SBV",{"RSC ID","Tier";B1745,A1745}))</f>
        <v>54.84024209</v>
      </c>
      <c r="AY1745" s="82">
        <f t="shared" si="2"/>
        <v>2.362721411</v>
      </c>
      <c r="AZ1745" s="82">
        <v>0.9511819497177374</v>
      </c>
      <c r="BA1745" s="84">
        <v>1700.0</v>
      </c>
      <c r="BB1745" s="84" t="b">
        <f>IFERROR(__xludf.DUMMYFUNCTION("iferror(if(A1745="""",,E1745&gt;=FILTER(Constants!$F$2:$F$10,Constants!$A$2:$A$10=A1745)))"),TRUE)</f>
        <v>1</v>
      </c>
    </row>
    <row r="1746">
      <c r="A1746" s="89" t="str">
        <f>IFERROR(__xludf.DUMMYFUNCTION("""COMPUTED_VALUE"""),"Rival")</f>
        <v>Rival</v>
      </c>
      <c r="B1746" s="87" t="str">
        <f>IFERROR(__xludf.DUMMYFUNCTION("""COMPUTED_VALUE"""),"RSC000763")</f>
        <v>RSC000763</v>
      </c>
      <c r="C1746" s="73" t="str">
        <f>IFERROR(__xludf.DUMMYFUNCTION("""COMPUTED_VALUE"""),"Tenched")</f>
        <v>Tenched</v>
      </c>
      <c r="D1746" s="73"/>
      <c r="E1746" s="82">
        <f>IFERROR(__xludf.DUMMYFUNCTION("""COMPUTED_VALUE"""),13.0)</f>
        <v>13</v>
      </c>
      <c r="F1746" s="82">
        <f>IFERROR(__xludf.DUMMYFUNCTION("""COMPUTED_VALUE"""),5.0)</f>
        <v>5</v>
      </c>
      <c r="G1746" s="86">
        <f>IFERROR(__xludf.DUMMYFUNCTION("""COMPUTED_VALUE"""),8.0)</f>
        <v>8</v>
      </c>
      <c r="H1746" s="86">
        <f>IFERROR(__xludf.DUMMYFUNCTION("""COMPUTED_VALUE"""),0.38461538461538464)</f>
        <v>0.3846153846</v>
      </c>
      <c r="I1746" s="86">
        <f>IFERROR(__xludf.DUMMYFUNCTION("""COMPUTED_VALUE"""),0.3488372093023256)</f>
        <v>0.3488372093</v>
      </c>
      <c r="J1746" s="82">
        <f>IFERROR(__xludf.DUMMYFUNCTION("""COMPUTED_VALUE"""),394.15384615384613)</f>
        <v>394.1538462</v>
      </c>
      <c r="K1746" s="82">
        <f>IFERROR(__xludf.DUMMYFUNCTION("""COMPUTED_VALUE"""),1.1538461538461537)</f>
        <v>1.153846154</v>
      </c>
      <c r="L1746" s="82">
        <f>IFERROR(__xludf.DUMMYFUNCTION("""COMPUTED_VALUE"""),0.3076923076923077)</f>
        <v>0.3076923077</v>
      </c>
      <c r="M1746" s="82">
        <f>IFERROR(__xludf.DUMMYFUNCTION("""COMPUTED_VALUE"""),1.4615384615384615)</f>
        <v>1.461538462</v>
      </c>
      <c r="N1746" s="82">
        <f>IFERROR(__xludf.DUMMYFUNCTION("""COMPUTED_VALUE"""),3.3076923076923075)</f>
        <v>3.307692308</v>
      </c>
      <c r="O1746" s="82">
        <f>IFERROR(__xludf.DUMMYFUNCTION("""COMPUTED_VALUE"""),429.15384615384613)</f>
        <v>429.1538462</v>
      </c>
      <c r="P1746" s="82">
        <f>IFERROR(__xludf.DUMMYFUNCTION("""COMPUTED_VALUE"""),1.1025641025641026)</f>
        <v>1.102564103</v>
      </c>
      <c r="Q1746" s="82">
        <f>IFERROR(__xludf.DUMMYFUNCTION("""COMPUTED_VALUE"""),0.8205128205128206)</f>
        <v>0.8205128205</v>
      </c>
      <c r="R1746" s="82">
        <f>IFERROR(__xludf.DUMMYFUNCTION("""COMPUTED_VALUE"""),1.6153846153846154)</f>
        <v>1.615384615</v>
      </c>
      <c r="S1746" s="82">
        <f>IFERROR(__xludf.DUMMYFUNCTION("""COMPUTED_VALUE"""),3.0512820512820515)</f>
        <v>3.051282051</v>
      </c>
      <c r="T1746" s="82">
        <f>IFERROR(__xludf.DUMMYFUNCTION("""COMPUTED_VALUE"""),348.06146394429703)</f>
        <v>348.0614639</v>
      </c>
      <c r="U1746" s="82">
        <f>IFERROR(__xludf.DUMMYFUNCTION("""COMPUTED_VALUE"""),0.7738584551436334)</f>
        <v>0.7738584551</v>
      </c>
      <c r="V1746" s="82">
        <f>IFERROR(__xludf.DUMMYFUNCTION("""COMPUTED_VALUE"""),0.5616019481873141)</f>
        <v>0.5616019482</v>
      </c>
      <c r="W1746" s="82">
        <f>IFERROR(__xludf.DUMMYFUNCTION("""COMPUTED_VALUE"""),1.2971346456337076)</f>
        <v>1.297134646</v>
      </c>
      <c r="X1746" s="82">
        <f>IFERROR(__xludf.DUMMYFUNCTION("""COMPUTED_VALUE"""),2.588963503316224)</f>
        <v>2.588963503</v>
      </c>
      <c r="Y1746" s="82">
        <f>IFERROR(__xludf.DUMMYFUNCTION("""COMPUTED_VALUE"""),339.9304797425029)</f>
        <v>339.9304797</v>
      </c>
      <c r="Z1746" s="82">
        <f>IFERROR(__xludf.DUMMYFUNCTION("""COMPUTED_VALUE"""),0.7517998979224744)</f>
        <v>0.7517998979</v>
      </c>
      <c r="AA1746" s="82">
        <f>IFERROR(__xludf.DUMMYFUNCTION("""COMPUTED_VALUE"""),0.5493304867601302)</f>
        <v>0.5493304868</v>
      </c>
      <c r="AB1746" s="82">
        <f>IFERROR(__xludf.DUMMYFUNCTION("""COMPUTED_VALUE"""),1.299455577082219)</f>
        <v>1.299455577</v>
      </c>
      <c r="AC1746" s="82">
        <f>IFERROR(__xludf.DUMMYFUNCTION("""COMPUTED_VALUE"""),2.540476775905169)</f>
        <v>2.540476776</v>
      </c>
      <c r="AD1746" s="82">
        <f>IFERROR(__xludf.DUMMYFUNCTION("""COMPUTED_VALUE"""),1.1595131053044063)</f>
        <v>1.159513105</v>
      </c>
      <c r="AE1746" s="82">
        <f>IFERROR(__xludf.DUMMYFUNCTION("""COMPUTED_VALUE"""),1.5347782794792804)</f>
        <v>1.534778279</v>
      </c>
      <c r="AF1746" s="82">
        <f>IFERROR(__xludf.DUMMYFUNCTION("""COMPUTED_VALUE"""),0.5601223946390294)</f>
        <v>0.5601223946</v>
      </c>
      <c r="AG1746" s="82">
        <f>IFERROR(__xludf.DUMMYFUNCTION("""COMPUTED_VALUE"""),1.1247313777514283)</f>
        <v>1.124731378</v>
      </c>
      <c r="AH1746" s="82">
        <f>IFERROR(__xludf.DUMMYFUNCTION("""COMPUTED_VALUE"""),1.3019966720671086)</f>
        <v>1.301996672</v>
      </c>
      <c r="AI1746" s="82">
        <f>IFERROR(__xludf.DUMMYFUNCTION("""COMPUTED_VALUE"""),1.2329829372392886)</f>
        <v>1.232982937</v>
      </c>
      <c r="AJ1746" s="82">
        <f>IFERROR(__xludf.DUMMYFUNCTION("""COMPUTED_VALUE"""),1.4247619771233995)</f>
        <v>1.424761977</v>
      </c>
      <c r="AK1746" s="82">
        <f>IFERROR(__xludf.DUMMYFUNCTION("""COMPUTED_VALUE"""),1.4610220337753361)</f>
        <v>1.461022034</v>
      </c>
      <c r="AL1746" s="82">
        <f>IFERROR(__xludf.DUMMYFUNCTION("""COMPUTED_VALUE"""),1.2453484461479545)</f>
        <v>1.245348446</v>
      </c>
      <c r="AM1746" s="82">
        <f>IFERROR(__xludf.DUMMYFUNCTION("""COMPUTED_VALUE"""),1.1785728332491516)</f>
        <v>1.178572833</v>
      </c>
      <c r="AN1746" s="82">
        <f>IFERROR(__xludf.DUMMYFUNCTION("""COMPUTED_VALUE"""),1.162432388573239)</f>
        <v>1.162432389</v>
      </c>
      <c r="AO1746" s="82">
        <f>IFERROR(__xludf.DUMMYFUNCTION("""COMPUTED_VALUE"""),1.5514106961138088)</f>
        <v>1.551410696</v>
      </c>
      <c r="AP1746" s="82">
        <f>IFERROR(__xludf.DUMMYFUNCTION("""COMPUTED_VALUE"""),0.5637474145362701)</f>
        <v>0.5637474145</v>
      </c>
      <c r="AQ1746" s="82">
        <f>IFERROR(__xludf.DUMMYFUNCTION("""COMPUTED_VALUE"""),1.117513524889421)</f>
        <v>1.117513525</v>
      </c>
      <c r="AR1746" s="82">
        <f>IFERROR(__xludf.DUMMYFUNCTION("""COMPUTED_VALUE"""),1.3221785312303973)</f>
        <v>1.322178531</v>
      </c>
      <c r="AS1746" s="82">
        <f>IFERROR(__xludf.DUMMYFUNCTION("""COMPUTED_VALUE"""),32.0)</f>
        <v>32</v>
      </c>
      <c r="AT1746" s="82">
        <f>IFERROR(__xludf.DUMMYFUNCTION("""COMPUTED_VALUE"""),0.38022547830195996)</f>
        <v>0.3802254783</v>
      </c>
      <c r="AU1746" s="82">
        <f>IFERROR(__xludf.DUMMYFUNCTION("""COMPUTED_VALUE"""),2.894218116372903)</f>
        <v>2.894218116</v>
      </c>
      <c r="AV1746" s="82">
        <f>IFERROR(__xludf.DUMMYFUNCTION("""COMPUTED_VALUE"""),62.04910506337345)</f>
        <v>62.04910506</v>
      </c>
      <c r="AW1746" s="82">
        <f t="shared" si="1"/>
        <v>3.175453106</v>
      </c>
      <c r="AX1746" s="83">
        <f t="array" ref="AX1746">IFERROR(DGET('SBV Import'!A:G,"SBV",{"RSC ID","Tier";B1746,A1746}))</f>
        <v>46.89598538</v>
      </c>
      <c r="AY1746" s="82">
        <f t="shared" si="2"/>
        <v>-2.219292437</v>
      </c>
      <c r="AZ1746" s="82">
        <v>5.3947455426788995</v>
      </c>
      <c r="BA1746" s="84">
        <v>1700.0</v>
      </c>
      <c r="BB1746" s="84" t="b">
        <f>IFERROR(__xludf.DUMMYFUNCTION("iferror(if(A1746="""",,E1746&gt;=FILTER(Constants!$F$2:$F$10,Constants!$A$2:$A$10=A1746)))"),TRUE)</f>
        <v>1</v>
      </c>
    </row>
    <row r="1747">
      <c r="A1747" s="89" t="str">
        <f>IFERROR(__xludf.DUMMYFUNCTION("""COMPUTED_VALUE"""),"Rival")</f>
        <v>Rival</v>
      </c>
      <c r="B1747" s="87" t="str">
        <f>IFERROR(__xludf.DUMMYFUNCTION("""COMPUTED_VALUE"""),"RSC007697")</f>
        <v>RSC007697</v>
      </c>
      <c r="C1747" s="73" t="str">
        <f>IFERROR(__xludf.DUMMYFUNCTION("""COMPUTED_VALUE"""),"Commander Lucas")</f>
        <v>Commander Lucas</v>
      </c>
      <c r="D1747" s="73" t="str">
        <f>IFERROR(__xludf.DUMMYFUNCTION("""COMPUTED_VALUE"""),"Blizzards")</f>
        <v>Blizzards</v>
      </c>
      <c r="E1747" s="82">
        <f>IFERROR(__xludf.DUMMYFUNCTION("""COMPUTED_VALUE"""),19.0)</f>
        <v>19</v>
      </c>
      <c r="F1747" s="82">
        <f>IFERROR(__xludf.DUMMYFUNCTION("""COMPUTED_VALUE"""),7.0)</f>
        <v>7</v>
      </c>
      <c r="G1747" s="86">
        <f>IFERROR(__xludf.DUMMYFUNCTION("""COMPUTED_VALUE"""),12.0)</f>
        <v>12</v>
      </c>
      <c r="H1747" s="86">
        <f>IFERROR(__xludf.DUMMYFUNCTION("""COMPUTED_VALUE"""),0.3684210526315789)</f>
        <v>0.3684210526</v>
      </c>
      <c r="I1747" s="86">
        <f>IFERROR(__xludf.DUMMYFUNCTION("""COMPUTED_VALUE"""),0.31746031746031744)</f>
        <v>0.3174603175</v>
      </c>
      <c r="J1747" s="82">
        <f>IFERROR(__xludf.DUMMYFUNCTION("""COMPUTED_VALUE"""),384.4736842105263)</f>
        <v>384.4736842</v>
      </c>
      <c r="K1747" s="82">
        <f>IFERROR(__xludf.DUMMYFUNCTION("""COMPUTED_VALUE"""),1.0526315789473684)</f>
        <v>1.052631579</v>
      </c>
      <c r="L1747" s="82">
        <f>IFERROR(__xludf.DUMMYFUNCTION("""COMPUTED_VALUE"""),0.3157894736842105)</f>
        <v>0.3157894737</v>
      </c>
      <c r="M1747" s="82">
        <f>IFERROR(__xludf.DUMMYFUNCTION("""COMPUTED_VALUE"""),1.5789473684210527)</f>
        <v>1.578947368</v>
      </c>
      <c r="N1747" s="82">
        <f>IFERROR(__xludf.DUMMYFUNCTION("""COMPUTED_VALUE"""),3.3157894736842106)</f>
        <v>3.315789474</v>
      </c>
      <c r="O1747" s="82">
        <f>IFERROR(__xludf.DUMMYFUNCTION("""COMPUTED_VALUE"""),401.859649122807)</f>
        <v>401.8596491</v>
      </c>
      <c r="P1747" s="82">
        <f>IFERROR(__xludf.DUMMYFUNCTION("""COMPUTED_VALUE"""),0.9999999999999998)</f>
        <v>1</v>
      </c>
      <c r="Q1747" s="82">
        <f>IFERROR(__xludf.DUMMYFUNCTION("""COMPUTED_VALUE"""),0.6842105263157894)</f>
        <v>0.6842105263</v>
      </c>
      <c r="R1747" s="82">
        <f>IFERROR(__xludf.DUMMYFUNCTION("""COMPUTED_VALUE"""),1.6491228070175439)</f>
        <v>1.649122807</v>
      </c>
      <c r="S1747" s="82">
        <f>IFERROR(__xludf.DUMMYFUNCTION("""COMPUTED_VALUE"""),2.8596491228070176)</f>
        <v>2.859649123</v>
      </c>
      <c r="T1747" s="82">
        <f>IFERROR(__xludf.DUMMYFUNCTION("""COMPUTED_VALUE"""),351.14582251223055)</f>
        <v>351.1458225</v>
      </c>
      <c r="U1747" s="82">
        <f>IFERROR(__xludf.DUMMYFUNCTION("""COMPUTED_VALUE"""),0.7838241099861905)</f>
        <v>0.78382411</v>
      </c>
      <c r="V1747" s="82">
        <f>IFERROR(__xludf.DUMMYFUNCTION("""COMPUTED_VALUE"""),0.5232510797168647)</f>
        <v>0.5232510797</v>
      </c>
      <c r="W1747" s="82">
        <f>IFERROR(__xludf.DUMMYFUNCTION("""COMPUTED_VALUE"""),1.3907763448988324)</f>
        <v>1.390776345</v>
      </c>
      <c r="X1747" s="82">
        <f>IFERROR(__xludf.DUMMYFUNCTION("""COMPUTED_VALUE"""),2.490037801780765)</f>
        <v>2.490037802</v>
      </c>
      <c r="Y1747" s="82">
        <f>IFERROR(__xludf.DUMMYFUNCTION("""COMPUTED_VALUE"""),338.369005912369)</f>
        <v>338.3690059</v>
      </c>
      <c r="Z1747" s="82">
        <f>IFERROR(__xludf.DUMMYFUNCTION("""COMPUTED_VALUE"""),0.7439086231466575)</f>
        <v>0.7439086231</v>
      </c>
      <c r="AA1747" s="82">
        <f>IFERROR(__xludf.DUMMYFUNCTION("""COMPUTED_VALUE"""),0.5224433763608238)</f>
        <v>0.5224433764</v>
      </c>
      <c r="AB1747" s="82">
        <f>IFERROR(__xludf.DUMMYFUNCTION("""COMPUTED_VALUE"""),1.2664145278071102)</f>
        <v>1.266414528</v>
      </c>
      <c r="AC1747" s="82">
        <f>IFERROR(__xludf.DUMMYFUNCTION("""COMPUTED_VALUE"""),2.579554200519502)</f>
        <v>2.579554201</v>
      </c>
      <c r="AD1747" s="82">
        <f>IFERROR(__xludf.DUMMYFUNCTION("""COMPUTED_VALUE"""),1.1362556188438178)</f>
        <v>1.136255619</v>
      </c>
      <c r="AE1747" s="82">
        <f>IFERROR(__xludf.DUMMYFUNCTION("""COMPUTED_VALUE"""),1.415001179170157)</f>
        <v>1.415001179</v>
      </c>
      <c r="AF1747" s="82">
        <f>IFERROR(__xludf.DUMMYFUNCTION("""COMPUTED_VALUE"""),0.6044472721310022)</f>
        <v>0.6044472721</v>
      </c>
      <c r="AG1747" s="82">
        <f>IFERROR(__xludf.DUMMYFUNCTION("""COMPUTED_VALUE"""),1.246785577511588)</f>
        <v>1.246785578</v>
      </c>
      <c r="AH1747" s="82">
        <f>IFERROR(__xludf.DUMMYFUNCTION("""COMPUTED_VALUE"""),1.2854118254295401)</f>
        <v>1.285411825</v>
      </c>
      <c r="AI1747" s="82">
        <f>IFERROR(__xludf.DUMMYFUNCTION("""COMPUTED_VALUE"""),1.1444238357949141)</f>
        <v>1.144423836</v>
      </c>
      <c r="AJ1747" s="82">
        <f>IFERROR(__xludf.DUMMYFUNCTION("""COMPUTED_VALUE"""),1.2757964283818954)</f>
        <v>1.275796428</v>
      </c>
      <c r="AK1747" s="82">
        <f>IFERROR(__xludf.DUMMYFUNCTION("""COMPUTED_VALUE"""),1.307614170019527)</f>
        <v>1.30761417</v>
      </c>
      <c r="AL1747" s="82">
        <f>IFERROR(__xludf.DUMMYFUNCTION("""COMPUTED_VALUE"""),1.1857570148257763)</f>
        <v>1.185757015</v>
      </c>
      <c r="AM1747" s="82">
        <f>IFERROR(__xludf.DUMMYFUNCTION("""COMPUTED_VALUE"""),1.148436028064282)</f>
        <v>1.148436028</v>
      </c>
      <c r="AN1747" s="82">
        <f>IFERROR(__xludf.DUMMYFUNCTION("""COMPUTED_VALUE"""),1.1338838056294183)</f>
        <v>1.133883806</v>
      </c>
      <c r="AO1747" s="82">
        <f>IFERROR(__xludf.DUMMYFUNCTION("""COMPUTED_VALUE"""),1.4153220385599659)</f>
        <v>1.415322039</v>
      </c>
      <c r="AP1747" s="82">
        <f>IFERROR(__xludf.DUMMYFUNCTION("""COMPUTED_VALUE"""),0.5785828728135403)</f>
        <v>0.5785828728</v>
      </c>
      <c r="AQ1747" s="82">
        <f>IFERROR(__xludf.DUMMYFUNCTION("""COMPUTED_VALUE"""),1.2072860795204272)</f>
        <v>1.20728608</v>
      </c>
      <c r="AR1747" s="82">
        <f>IFERROR(__xludf.DUMMYFUNCTION("""COMPUTED_VALUE"""),1.3254151983815123)</f>
        <v>1.325415198</v>
      </c>
      <c r="AS1747" s="82">
        <f>IFERROR(__xludf.DUMMYFUNCTION("""COMPUTED_VALUE"""),45.0)</f>
        <v>45</v>
      </c>
      <c r="AT1747" s="82">
        <f>IFERROR(__xludf.DUMMYFUNCTION("""COMPUTED_VALUE"""),0.40542605871875265)</f>
        <v>0.4054260587</v>
      </c>
      <c r="AU1747" s="82">
        <f>IFERROR(__xludf.DUMMYFUNCTION("""COMPUTED_VALUE"""),2.8688770389285136)</f>
        <v>2.868877039</v>
      </c>
      <c r="AV1747" s="82">
        <f>IFERROR(__xludf.DUMMYFUNCTION("""COMPUTED_VALUE"""),61.323590651859384)</f>
        <v>61.32359065</v>
      </c>
      <c r="AW1747" s="82">
        <f t="shared" si="1"/>
        <v>3.074135849</v>
      </c>
      <c r="AX1747" s="83">
        <f t="array" ref="AX1747">IFERROR(DGET('SBV Import'!A:G,"SBV",{"RSC ID","Tier";B1747,A1747}))</f>
        <v>48.00837267</v>
      </c>
      <c r="AY1747" s="82">
        <f t="shared" si="2"/>
        <v>-2.135603057</v>
      </c>
      <c r="AZ1747" s="82">
        <v>5.209738906774761</v>
      </c>
      <c r="BA1747" s="84">
        <v>1700.0</v>
      </c>
      <c r="BB1747" s="84" t="b">
        <f>IFERROR(__xludf.DUMMYFUNCTION("iferror(if(A1747="""",,E1747&gt;=FILTER(Constants!$F$2:$F$10,Constants!$A$2:$A$10=A1747)))"),TRUE)</f>
        <v>1</v>
      </c>
    </row>
    <row r="1748">
      <c r="A1748" s="89" t="str">
        <f>IFERROR(__xludf.DUMMYFUNCTION("""COMPUTED_VALUE"""),"Rival")</f>
        <v>Rival</v>
      </c>
      <c r="B1748" s="87" t="str">
        <f>IFERROR(__xludf.DUMMYFUNCTION("""COMPUTED_VALUE"""),"RSC006944")</f>
        <v>RSC006944</v>
      </c>
      <c r="C1748" s="73" t="str">
        <f>IFERROR(__xludf.DUMMYFUNCTION("""COMPUTED_VALUE"""),"Pr9xk")</f>
        <v>Pr9xk</v>
      </c>
      <c r="D1748" s="73" t="str">
        <f>IFERROR(__xludf.DUMMYFUNCTION("""COMPUTED_VALUE"""),"Kitsune")</f>
        <v>Kitsune</v>
      </c>
      <c r="E1748" s="82">
        <f>IFERROR(__xludf.DUMMYFUNCTION("""COMPUTED_VALUE"""),36.0)</f>
        <v>36</v>
      </c>
      <c r="F1748" s="82">
        <f>IFERROR(__xludf.DUMMYFUNCTION("""COMPUTED_VALUE"""),21.0)</f>
        <v>21</v>
      </c>
      <c r="G1748" s="86">
        <f>IFERROR(__xludf.DUMMYFUNCTION("""COMPUTED_VALUE"""),15.0)</f>
        <v>15</v>
      </c>
      <c r="H1748" s="86">
        <f>IFERROR(__xludf.DUMMYFUNCTION("""COMPUTED_VALUE"""),0.5833333333333334)</f>
        <v>0.5833333333</v>
      </c>
      <c r="I1748" s="86">
        <f>IFERROR(__xludf.DUMMYFUNCTION("""COMPUTED_VALUE"""),0.31958762886597936)</f>
        <v>0.3195876289</v>
      </c>
      <c r="J1748" s="82">
        <f>IFERROR(__xludf.DUMMYFUNCTION("""COMPUTED_VALUE"""),359.3611111111111)</f>
        <v>359.3611111</v>
      </c>
      <c r="K1748" s="82">
        <f>IFERROR(__xludf.DUMMYFUNCTION("""COMPUTED_VALUE"""),0.8611111111111112)</f>
        <v>0.8611111111</v>
      </c>
      <c r="L1748" s="82">
        <f>IFERROR(__xludf.DUMMYFUNCTION("""COMPUTED_VALUE"""),0.5555555555555556)</f>
        <v>0.5555555556</v>
      </c>
      <c r="M1748" s="82">
        <f>IFERROR(__xludf.DUMMYFUNCTION("""COMPUTED_VALUE"""),1.1944444444444444)</f>
        <v>1.194444444</v>
      </c>
      <c r="N1748" s="82">
        <f>IFERROR(__xludf.DUMMYFUNCTION("""COMPUTED_VALUE"""),2.6944444444444446)</f>
        <v>2.694444444</v>
      </c>
      <c r="O1748" s="82">
        <f>IFERROR(__xludf.DUMMYFUNCTION("""COMPUTED_VALUE"""),345.53703703703707)</f>
        <v>345.537037</v>
      </c>
      <c r="P1748" s="82">
        <f>IFERROR(__xludf.DUMMYFUNCTION("""COMPUTED_VALUE"""),0.7037037037037037)</f>
        <v>0.7037037037</v>
      </c>
      <c r="Q1748" s="82">
        <f>IFERROR(__xludf.DUMMYFUNCTION("""COMPUTED_VALUE"""),0.4999999999999998)</f>
        <v>0.5</v>
      </c>
      <c r="R1748" s="82">
        <f>IFERROR(__xludf.DUMMYFUNCTION("""COMPUTED_VALUE"""),1.4166666666666665)</f>
        <v>1.416666667</v>
      </c>
      <c r="S1748" s="82">
        <f>IFERROR(__xludf.DUMMYFUNCTION("""COMPUTED_VALUE"""),2.4537037037037037)</f>
        <v>2.453703704</v>
      </c>
      <c r="T1748" s="82">
        <f>IFERROR(__xludf.DUMMYFUNCTION("""COMPUTED_VALUE"""),337.4489881075255)</f>
        <v>337.4489881</v>
      </c>
      <c r="U1748" s="82">
        <f>IFERROR(__xludf.DUMMYFUNCTION("""COMPUTED_VALUE"""),0.7696699119358211)</f>
        <v>0.7696699119</v>
      </c>
      <c r="V1748" s="82">
        <f>IFERROR(__xludf.DUMMYFUNCTION("""COMPUTED_VALUE"""),0.5318639919809742)</f>
        <v>0.531863992</v>
      </c>
      <c r="W1748" s="82">
        <f>IFERROR(__xludf.DUMMYFUNCTION("""COMPUTED_VALUE"""),1.2919230008082616)</f>
        <v>1.291923001</v>
      </c>
      <c r="X1748" s="82">
        <f>IFERROR(__xludf.DUMMYFUNCTION("""COMPUTED_VALUE"""),2.457198549498421)</f>
        <v>2.457198549</v>
      </c>
      <c r="Y1748" s="82">
        <f>IFERROR(__xludf.DUMMYFUNCTION("""COMPUTED_VALUE"""),346.7930374107782)</f>
        <v>346.7930374</v>
      </c>
      <c r="Z1748" s="82">
        <f>IFERROR(__xludf.DUMMYFUNCTION("""COMPUTED_VALUE"""),0.793003332333266)</f>
        <v>0.7930033323</v>
      </c>
      <c r="AA1748" s="82">
        <f>IFERROR(__xludf.DUMMYFUNCTION("""COMPUTED_VALUE"""),0.5635547444160502)</f>
        <v>0.5635547444</v>
      </c>
      <c r="AB1748" s="82">
        <f>IFERROR(__xludf.DUMMYFUNCTION("""COMPUTED_VALUE"""),1.317143297015648)</f>
        <v>1.317143297</v>
      </c>
      <c r="AC1748" s="82">
        <f>IFERROR(__xludf.DUMMYFUNCTION("""COMPUTED_VALUE"""),2.5478111389748515)</f>
        <v>2.547811139</v>
      </c>
      <c r="AD1748" s="82">
        <f>IFERROR(__xludf.DUMMYFUNCTION("""COMPUTED_VALUE"""),1.036240847838724)</f>
        <v>1.036240848</v>
      </c>
      <c r="AE1748" s="82">
        <f>IFERROR(__xludf.DUMMYFUNCTION("""COMPUTED_VALUE"""),1.0858858670586549)</f>
        <v>1.085885867</v>
      </c>
      <c r="AF1748" s="82">
        <f>IFERROR(__xludf.DUMMYFUNCTION("""COMPUTED_VALUE"""),0.9858058352986038)</f>
        <v>0.9858058353</v>
      </c>
      <c r="AG1748" s="82">
        <f>IFERROR(__xludf.DUMMYFUNCTION("""COMPUTED_VALUE"""),0.9068447200473846)</f>
        <v>0.90684472</v>
      </c>
      <c r="AH1748" s="82">
        <f>IFERROR(__xludf.DUMMYFUNCTION("""COMPUTED_VALUE"""),1.0575526589182718)</f>
        <v>1.057552659</v>
      </c>
      <c r="AI1748" s="82">
        <f>IFERROR(__xludf.DUMMYFUNCTION("""COMPUTED_VALUE"""),1.023968212128508)</f>
        <v>1.023968212</v>
      </c>
      <c r="AJ1748" s="82">
        <f>IFERROR(__xludf.DUMMYFUNCTION("""COMPUTED_VALUE"""),0.9142928582641308)</f>
        <v>0.9142928583</v>
      </c>
      <c r="AK1748" s="82">
        <f>IFERROR(__xludf.DUMMYFUNCTION("""COMPUTED_VALUE"""),0.9400899619801404)</f>
        <v>0.940089962</v>
      </c>
      <c r="AL1748" s="82">
        <f>IFERROR(__xludf.DUMMYFUNCTION("""COMPUTED_VALUE"""),1.0965565794403862)</f>
        <v>1.096556579</v>
      </c>
      <c r="AM1748" s="82">
        <f>IFERROR(__xludf.DUMMYFUNCTION("""COMPUTED_VALUE"""),0.9985777112739096)</f>
        <v>0.9985777113</v>
      </c>
      <c r="AN1748" s="82">
        <f>IFERROR(__xludf.DUMMYFUNCTION("""COMPUTED_VALUE"""),1.0598221958899077)</f>
        <v>1.059822196</v>
      </c>
      <c r="AO1748" s="82">
        <f>IFERROR(__xludf.DUMMYFUNCTION("""COMPUTED_VALUE"""),1.1578120565441945)</f>
        <v>1.157812057</v>
      </c>
      <c r="AP1748" s="82">
        <f>IFERROR(__xludf.DUMMYFUNCTION("""COMPUTED_VALUE"""),1.017877276246043)</f>
        <v>1.017877276</v>
      </c>
      <c r="AQ1748" s="82">
        <f>IFERROR(__xludf.DUMMYFUNCTION("""COMPUTED_VALUE"""),0.9132895620075825)</f>
        <v>0.913289562</v>
      </c>
      <c r="AR1748" s="82">
        <f>IFERROR(__xludf.DUMMYFUNCTION("""COMPUTED_VALUE"""),1.0770459482438832)</f>
        <v>1.077045948</v>
      </c>
      <c r="AS1748" s="82">
        <f>IFERROR(__xludf.DUMMYFUNCTION("""COMPUTED_VALUE"""),79.0)</f>
        <v>79</v>
      </c>
      <c r="AT1748" s="82">
        <f>IFERROR(__xludf.DUMMYFUNCTION("""COMPUTED_VALUE"""),0.5147114272708754)</f>
        <v>0.5147114273</v>
      </c>
      <c r="AU1748" s="82">
        <f>IFERROR(__xludf.DUMMYFUNCTION("""COMPUTED_VALUE"""),2.866593444001733)</f>
        <v>2.866593444</v>
      </c>
      <c r="AV1748" s="82">
        <f>IFERROR(__xludf.DUMMYFUNCTION("""COMPUTED_VALUE"""),61.25821138639305)</f>
        <v>61.25821139</v>
      </c>
      <c r="AW1748" s="82">
        <f t="shared" si="1"/>
        <v>3.065258007</v>
      </c>
      <c r="AX1748" s="83">
        <f t="array" ref="AX1748">IFERROR(DGET('SBV Import'!A:G,"SBV",{"RSC ID","Tier";B1748,A1748}))</f>
        <v>58.80432229</v>
      </c>
      <c r="AY1748" s="82">
        <f t="shared" si="2"/>
        <v>2.759729889</v>
      </c>
      <c r="AZ1748" s="82">
        <v>0.3055281174455047</v>
      </c>
      <c r="BA1748" s="84">
        <v>1700.0</v>
      </c>
      <c r="BB1748" s="84" t="b">
        <f>IFERROR(__xludf.DUMMYFUNCTION("iferror(if(A1748="""",,E1748&gt;=FILTER(Constants!$F$2:$F$10,Constants!$A$2:$A$10=A1748)))"),TRUE)</f>
        <v>1</v>
      </c>
    </row>
    <row r="1749">
      <c r="A1749" s="89" t="str">
        <f>IFERROR(__xludf.DUMMYFUNCTION("""COMPUTED_VALUE"""),"Rival")</f>
        <v>Rival</v>
      </c>
      <c r="B1749" s="87" t="str">
        <f>IFERROR(__xludf.DUMMYFUNCTION("""COMPUTED_VALUE"""),"RSC001032")</f>
        <v>RSC001032</v>
      </c>
      <c r="C1749" s="73" t="str">
        <f>IFERROR(__xludf.DUMMYFUNCTION("""COMPUTED_VALUE"""),"JmE")</f>
        <v>JmE</v>
      </c>
      <c r="D1749" s="73" t="str">
        <f>IFERROR(__xludf.DUMMYFUNCTION("""COMPUTED_VALUE"""),"Blizzards")</f>
        <v>Blizzards</v>
      </c>
      <c r="E1749" s="82">
        <f>IFERROR(__xludf.DUMMYFUNCTION("""COMPUTED_VALUE"""),7.0)</f>
        <v>7</v>
      </c>
      <c r="F1749" s="82">
        <f>IFERROR(__xludf.DUMMYFUNCTION("""COMPUTED_VALUE"""),2.0)</f>
        <v>2</v>
      </c>
      <c r="G1749" s="86">
        <f>IFERROR(__xludf.DUMMYFUNCTION("""COMPUTED_VALUE"""),5.0)</f>
        <v>5</v>
      </c>
      <c r="H1749" s="86">
        <f>IFERROR(__xludf.DUMMYFUNCTION("""COMPUTED_VALUE"""),0.2857142857142857)</f>
        <v>0.2857142857</v>
      </c>
      <c r="I1749" s="86">
        <f>IFERROR(__xludf.DUMMYFUNCTION("""COMPUTED_VALUE"""),0.2727272727272727)</f>
        <v>0.2727272727</v>
      </c>
      <c r="J1749" s="82">
        <f>IFERROR(__xludf.DUMMYFUNCTION("""COMPUTED_VALUE"""),353.7142857142857)</f>
        <v>353.7142857</v>
      </c>
      <c r="K1749" s="82">
        <f>IFERROR(__xludf.DUMMYFUNCTION("""COMPUTED_VALUE"""),0.8571428571428571)</f>
        <v>0.8571428571</v>
      </c>
      <c r="L1749" s="82">
        <f>IFERROR(__xludf.DUMMYFUNCTION("""COMPUTED_VALUE"""),0.8571428571428571)</f>
        <v>0.8571428571</v>
      </c>
      <c r="M1749" s="82">
        <f>IFERROR(__xludf.DUMMYFUNCTION("""COMPUTED_VALUE"""),1.1428571428571428)</f>
        <v>1.142857143</v>
      </c>
      <c r="N1749" s="82">
        <f>IFERROR(__xludf.DUMMYFUNCTION("""COMPUTED_VALUE"""),3.142857142857143)</f>
        <v>3.142857143</v>
      </c>
      <c r="O1749" s="82">
        <f>IFERROR(__xludf.DUMMYFUNCTION("""COMPUTED_VALUE"""),490.00000000000006)</f>
        <v>490</v>
      </c>
      <c r="P1749" s="82">
        <f>IFERROR(__xludf.DUMMYFUNCTION("""COMPUTED_VALUE"""),1.5714285714285716)</f>
        <v>1.571428571</v>
      </c>
      <c r="Q1749" s="82">
        <f>IFERROR(__xludf.DUMMYFUNCTION("""COMPUTED_VALUE"""),1.2380952380952384)</f>
        <v>1.238095238</v>
      </c>
      <c r="R1749" s="82">
        <f>IFERROR(__xludf.DUMMYFUNCTION("""COMPUTED_VALUE"""),1.4285714285714286)</f>
        <v>1.428571429</v>
      </c>
      <c r="S1749" s="82">
        <f>IFERROR(__xludf.DUMMYFUNCTION("""COMPUTED_VALUE"""),2.9999999999999996)</f>
        <v>3</v>
      </c>
      <c r="T1749" s="82">
        <f>IFERROR(__xludf.DUMMYFUNCTION("""COMPUTED_VALUE"""),367.3463725711759)</f>
        <v>367.3463726</v>
      </c>
      <c r="U1749" s="82">
        <f>IFERROR(__xludf.DUMMYFUNCTION("""COMPUTED_VALUE"""),0.8761643967956138)</f>
        <v>0.8761643968</v>
      </c>
      <c r="V1749" s="82">
        <f>IFERROR(__xludf.DUMMYFUNCTION("""COMPUTED_VALUE"""),0.6424539421050196)</f>
        <v>0.6424539421</v>
      </c>
      <c r="W1749" s="82">
        <f>IFERROR(__xludf.DUMMYFUNCTION("""COMPUTED_VALUE"""),1.2613063728579264)</f>
        <v>1.261306373</v>
      </c>
      <c r="X1749" s="82">
        <f>IFERROR(__xludf.DUMMYFUNCTION("""COMPUTED_VALUE"""),2.8226737214251933)</f>
        <v>2.822673721</v>
      </c>
      <c r="Y1749" s="82">
        <f>IFERROR(__xludf.DUMMYFUNCTION("""COMPUTED_VALUE"""),336.78867205321995)</f>
        <v>336.7886721</v>
      </c>
      <c r="Z1749" s="82">
        <f>IFERROR(__xludf.DUMMYFUNCTION("""COMPUTED_VALUE"""),0.680874017680367)</f>
        <v>0.6808740177</v>
      </c>
      <c r="AA1749" s="82">
        <f>IFERROR(__xludf.DUMMYFUNCTION("""COMPUTED_VALUE"""),0.4988826768379965)</f>
        <v>0.4988826768</v>
      </c>
      <c r="AB1749" s="82">
        <f>IFERROR(__xludf.DUMMYFUNCTION("""COMPUTED_VALUE"""),1.4197983644435268)</f>
        <v>1.419798364</v>
      </c>
      <c r="AC1749" s="82">
        <f>IFERROR(__xludf.DUMMYFUNCTION("""COMPUTED_VALUE"""),2.5004849100615103)</f>
        <v>2.50048491</v>
      </c>
      <c r="AD1749" s="82">
        <f>IFERROR(__xludf.DUMMYFUNCTION("""COMPUTED_VALUE"""),1.050255887639805)</f>
        <v>1.050255888</v>
      </c>
      <c r="AE1749" s="82">
        <f>IFERROR(__xludf.DUMMYFUNCTION("""COMPUTED_VALUE"""),1.2588861300112624)</f>
        <v>1.25888613</v>
      </c>
      <c r="AF1749" s="82">
        <f>IFERROR(__xludf.DUMMYFUNCTION("""COMPUTED_VALUE"""),1.718125116260951)</f>
        <v>1.718125116</v>
      </c>
      <c r="AG1749" s="82">
        <f>IFERROR(__xludf.DUMMYFUNCTION("""COMPUTED_VALUE"""),0.8049432732689984)</f>
        <v>0.8049432733</v>
      </c>
      <c r="AH1749" s="82">
        <f>IFERROR(__xludf.DUMMYFUNCTION("""COMPUTED_VALUE"""),1.2568990639418938)</f>
        <v>1.256899064</v>
      </c>
      <c r="AI1749" s="82">
        <f>IFERROR(__xludf.DUMMYFUNCTION("""COMPUTED_VALUE"""),1.3338909448603828)</f>
        <v>1.333890945</v>
      </c>
      <c r="AJ1749" s="82">
        <f>IFERROR(__xludf.DUMMYFUNCTION("""COMPUTED_VALUE"""),1.793531644490166)</f>
        <v>1.793531644</v>
      </c>
      <c r="AK1749" s="82">
        <f>IFERROR(__xludf.DUMMYFUNCTION("""COMPUTED_VALUE"""),1.927134627018681)</f>
        <v>1.927134627</v>
      </c>
      <c r="AL1749" s="82">
        <f>IFERROR(__xludf.DUMMYFUNCTION("""COMPUTED_VALUE"""),1.1326125510128877)</f>
        <v>1.132612551</v>
      </c>
      <c r="AM1749" s="82">
        <f>IFERROR(__xludf.DUMMYFUNCTION("""COMPUTED_VALUE"""),1.0628220956707928)</f>
        <v>1.062822096</v>
      </c>
      <c r="AN1749" s="82">
        <f>IFERROR(__xludf.DUMMYFUNCTION("""COMPUTED_VALUE"""),1.043168666315251)</f>
        <v>1.043168666</v>
      </c>
      <c r="AO1749" s="82">
        <f>IFERROR(__xludf.DUMMYFUNCTION("""COMPUTED_VALUE"""),1.152476517113115)</f>
        <v>1.152476517</v>
      </c>
      <c r="AP1749" s="82">
        <f>IFERROR(__xludf.DUMMYFUNCTION("""COMPUTED_VALUE"""),1.5704392262081808)</f>
        <v>1.570439226</v>
      </c>
      <c r="AQ1749" s="82">
        <f>IFERROR(__xludf.DUMMYFUNCTION("""COMPUTED_VALUE"""),0.8738451623195473)</f>
        <v>0.8738451623</v>
      </c>
      <c r="AR1749" s="82">
        <f>IFERROR(__xludf.DUMMYFUNCTION("""COMPUTED_VALUE"""),1.2562892356541318)</f>
        <v>1.256289236</v>
      </c>
      <c r="AS1749" s="82">
        <f>IFERROR(__xludf.DUMMYFUNCTION("""COMPUTED_VALUE"""),20.0)</f>
        <v>20</v>
      </c>
      <c r="AT1749" s="82">
        <f>IFERROR(__xludf.DUMMYFUNCTION("""COMPUTED_VALUE"""),0.29001800941539785)</f>
        <v>0.2900180094</v>
      </c>
      <c r="AU1749" s="82">
        <f>IFERROR(__xludf.DUMMYFUNCTION("""COMPUTED_VALUE"""),2.8655145933397015)</f>
        <v>2.865514593</v>
      </c>
      <c r="AV1749" s="82">
        <f>IFERROR(__xludf.DUMMYFUNCTION("""COMPUTED_VALUE"""),61.227323919003666)</f>
        <v>61.22732392</v>
      </c>
      <c r="AW1749" s="82">
        <f t="shared" si="1"/>
        <v>3.06107799</v>
      </c>
      <c r="AX1749" s="83">
        <f t="array" ref="AX1749">IFERROR(DGET('SBV Import'!A:G,"SBV",{"RSC ID","Tier";B1749,A1749}))</f>
        <v>46.96601076</v>
      </c>
      <c r="AY1749" s="82">
        <f t="shared" si="2"/>
        <v>-2.213843467</v>
      </c>
      <c r="AZ1749" s="82">
        <v>5.274921457147309</v>
      </c>
      <c r="BA1749" s="84">
        <v>1700.0</v>
      </c>
      <c r="BB1749" s="84" t="b">
        <f>IFERROR(__xludf.DUMMYFUNCTION("iferror(if(A1749="""",,E1749&gt;=FILTER(Constants!$F$2:$F$10,Constants!$A$2:$A$10=A1749)))"),TRUE)</f>
        <v>1</v>
      </c>
    </row>
    <row r="1750">
      <c r="A1750" s="89" t="str">
        <f>IFERROR(__xludf.DUMMYFUNCTION("""COMPUTED_VALUE"""),"Rival")</f>
        <v>Rival</v>
      </c>
      <c r="B1750" s="87" t="str">
        <f>IFERROR(__xludf.DUMMYFUNCTION("""COMPUTED_VALUE"""),"RSC004665")</f>
        <v>RSC004665</v>
      </c>
      <c r="C1750" s="73" t="str">
        <f>IFERROR(__xludf.DUMMYFUNCTION("""COMPUTED_VALUE"""),"xPrism")</f>
        <v>xPrism</v>
      </c>
      <c r="D1750" s="73" t="str">
        <f>IFERROR(__xludf.DUMMYFUNCTION("""COMPUTED_VALUE"""),"Polar Ice")</f>
        <v>Polar Ice</v>
      </c>
      <c r="E1750" s="82">
        <f>IFERROR(__xludf.DUMMYFUNCTION("""COMPUTED_VALUE"""),43.0)</f>
        <v>43</v>
      </c>
      <c r="F1750" s="82">
        <f>IFERROR(__xludf.DUMMYFUNCTION("""COMPUTED_VALUE"""),20.0)</f>
        <v>20</v>
      </c>
      <c r="G1750" s="86">
        <f>IFERROR(__xludf.DUMMYFUNCTION("""COMPUTED_VALUE"""),23.0)</f>
        <v>23</v>
      </c>
      <c r="H1750" s="86">
        <f>IFERROR(__xludf.DUMMYFUNCTION("""COMPUTED_VALUE"""),0.46511627906976744)</f>
        <v>0.4651162791</v>
      </c>
      <c r="I1750" s="86">
        <f>IFERROR(__xludf.DUMMYFUNCTION("""COMPUTED_VALUE"""),0.2831858407079646)</f>
        <v>0.2831858407</v>
      </c>
      <c r="J1750" s="82">
        <f>IFERROR(__xludf.DUMMYFUNCTION("""COMPUTED_VALUE"""),370.83720930232556)</f>
        <v>370.8372093</v>
      </c>
      <c r="K1750" s="82">
        <f>IFERROR(__xludf.DUMMYFUNCTION("""COMPUTED_VALUE"""),0.7441860465116279)</f>
        <v>0.7441860465</v>
      </c>
      <c r="L1750" s="82">
        <f>IFERROR(__xludf.DUMMYFUNCTION("""COMPUTED_VALUE"""),0.7209302325581395)</f>
        <v>0.7209302326</v>
      </c>
      <c r="M1750" s="82">
        <f>IFERROR(__xludf.DUMMYFUNCTION("""COMPUTED_VALUE"""),1.302325581395349)</f>
        <v>1.302325581</v>
      </c>
      <c r="N1750" s="82">
        <f>IFERROR(__xludf.DUMMYFUNCTION("""COMPUTED_VALUE"""),2.627906976744186)</f>
        <v>2.627906977</v>
      </c>
      <c r="O1750" s="82">
        <f>IFERROR(__xludf.DUMMYFUNCTION("""COMPUTED_VALUE"""),372.062015503876)</f>
        <v>372.0620155</v>
      </c>
      <c r="P1750" s="82">
        <f>IFERROR(__xludf.DUMMYFUNCTION("""COMPUTED_VALUE"""),0.8449612403100774)</f>
        <v>0.8449612403</v>
      </c>
      <c r="Q1750" s="82">
        <f>IFERROR(__xludf.DUMMYFUNCTION("""COMPUTED_VALUE"""),0.5736434108527132)</f>
        <v>0.5736434109</v>
      </c>
      <c r="R1750" s="82">
        <f>IFERROR(__xludf.DUMMYFUNCTION("""COMPUTED_VALUE"""),1.4573643410852717)</f>
        <v>1.457364341</v>
      </c>
      <c r="S1750" s="82">
        <f>IFERROR(__xludf.DUMMYFUNCTION("""COMPUTED_VALUE"""),2.7364341085271318)</f>
        <v>2.736434109</v>
      </c>
      <c r="T1750" s="82">
        <f>IFERROR(__xludf.DUMMYFUNCTION("""COMPUTED_VALUE"""),356.6162712204604)</f>
        <v>356.6162712</v>
      </c>
      <c r="U1750" s="82">
        <f>IFERROR(__xludf.DUMMYFUNCTION("""COMPUTED_VALUE"""),0.8187924203976604)</f>
        <v>0.8187924204</v>
      </c>
      <c r="V1750" s="82">
        <f>IFERROR(__xludf.DUMMYFUNCTION("""COMPUTED_VALUE"""),0.5773131884640563)</f>
        <v>0.5773131885</v>
      </c>
      <c r="W1750" s="82">
        <f>IFERROR(__xludf.DUMMYFUNCTION("""COMPUTED_VALUE"""),1.3479572796352415)</f>
        <v>1.34795728</v>
      </c>
      <c r="X1750" s="82">
        <f>IFERROR(__xludf.DUMMYFUNCTION("""COMPUTED_VALUE"""),2.6780585884991357)</f>
        <v>2.678058588</v>
      </c>
      <c r="Y1750" s="82">
        <f>IFERROR(__xludf.DUMMYFUNCTION("""COMPUTED_VALUE"""),348.47292637753407)</f>
        <v>348.4729264</v>
      </c>
      <c r="Z1750" s="82">
        <f>IFERROR(__xludf.DUMMYFUNCTION("""COMPUTED_VALUE"""),0.7861101417351747)</f>
        <v>0.7861101417</v>
      </c>
      <c r="AA1750" s="82">
        <f>IFERROR(__xludf.DUMMYFUNCTION("""COMPUTED_VALUE"""),0.5637294429828899)</f>
        <v>0.563729443</v>
      </c>
      <c r="AB1750" s="82">
        <f>IFERROR(__xludf.DUMMYFUNCTION("""COMPUTED_VALUE"""),1.3200246919927903)</f>
        <v>1.320024692</v>
      </c>
      <c r="AC1750" s="82">
        <f>IFERROR(__xludf.DUMMYFUNCTION("""COMPUTED_VALUE"""),2.6025445015049375)</f>
        <v>2.602544502</v>
      </c>
      <c r="AD1750" s="82">
        <f>IFERROR(__xludf.DUMMYFUNCTION("""COMPUTED_VALUE"""),1.0641779640021793)</f>
        <v>1.064177964</v>
      </c>
      <c r="AE1750" s="82">
        <f>IFERROR(__xludf.DUMMYFUNCTION("""COMPUTED_VALUE"""),0.9466689297112895)</f>
        <v>0.9466689297</v>
      </c>
      <c r="AF1750" s="82">
        <f>IFERROR(__xludf.DUMMYFUNCTION("""COMPUTED_VALUE"""),1.2788585757441464)</f>
        <v>1.278858576</v>
      </c>
      <c r="AG1750" s="82">
        <f>IFERROR(__xludf.DUMMYFUNCTION("""COMPUTED_VALUE"""),0.9865918336946246)</f>
        <v>0.9865918337</v>
      </c>
      <c r="AH1750" s="82">
        <f>IFERROR(__xludf.DUMMYFUNCTION("""COMPUTED_VALUE"""),1.0097452609262136)</f>
        <v>1.009745261</v>
      </c>
      <c r="AI1750" s="82">
        <f>IFERROR(__xludf.DUMMYFUNCTION("""COMPUTED_VALUE"""),1.043311944882815)</f>
        <v>1.043311945</v>
      </c>
      <c r="AJ1750" s="82">
        <f>IFERROR(__xludf.DUMMYFUNCTION("""COMPUTED_VALUE"""),1.031960261551649)</f>
        <v>1.031960262</v>
      </c>
      <c r="AK1750" s="82">
        <f>IFERROR(__xludf.DUMMYFUNCTION("""COMPUTED_VALUE"""),0.9936433504644047)</f>
        <v>0.9936433505</v>
      </c>
      <c r="AL1750" s="82">
        <f>IFERROR(__xludf.DUMMYFUNCTION("""COMPUTED_VALUE"""),1.081165080750657)</f>
        <v>1.081165081</v>
      </c>
      <c r="AM1750" s="82">
        <f>IFERROR(__xludf.DUMMYFUNCTION("""COMPUTED_VALUE"""),1.0217977008713284)</f>
        <v>1.021797701</v>
      </c>
      <c r="AN1750" s="82">
        <f>IFERROR(__xludf.DUMMYFUNCTION("""COMPUTED_VALUE"""),1.093667326064554)</f>
        <v>1.093667326</v>
      </c>
      <c r="AO1750" s="82">
        <f>IFERROR(__xludf.DUMMYFUNCTION("""COMPUTED_VALUE"""),1.0005997667958828)</f>
        <v>1.000599767</v>
      </c>
      <c r="AP1750" s="82">
        <f>IFERROR(__xludf.DUMMYFUNCTION("""COMPUTED_VALUE"""),1.3208733026634698)</f>
        <v>1.320873303</v>
      </c>
      <c r="AQ1750" s="82">
        <f>IFERROR(__xludf.DUMMYFUNCTION("""COMPUTED_VALUE"""),0.9957770454339029)</f>
        <v>0.9957770454</v>
      </c>
      <c r="AR1750" s="82">
        <f>IFERROR(__xludf.DUMMYFUNCTION("""COMPUTED_VALUE"""),1.0504490331949452)</f>
        <v>1.050449033</v>
      </c>
      <c r="AS1750" s="82">
        <f>IFERROR(__xludf.DUMMYFUNCTION("""COMPUTED_VALUE"""),104.0)</f>
        <v>104</v>
      </c>
      <c r="AT1750" s="82">
        <f>IFERROR(__xludf.DUMMYFUNCTION("""COMPUTED_VALUE"""),0.4814270954481573)</f>
        <v>0.4814270954</v>
      </c>
      <c r="AU1750" s="82">
        <f>IFERROR(__xludf.DUMMYFUNCTION("""COMPUTED_VALUE"""),2.8486774899266076)</f>
        <v>2.84867749</v>
      </c>
      <c r="AV1750" s="82">
        <f>IFERROR(__xludf.DUMMYFUNCTION("""COMPUTED_VALUE"""),60.745278070670686)</f>
        <v>60.74527807</v>
      </c>
      <c r="AW1750" s="82">
        <f t="shared" si="1"/>
        <v>2.997004309</v>
      </c>
      <c r="AX1750" s="83">
        <f t="array" ref="AX1750">IFERROR(DGET('SBV Import'!A:G,"SBV",{"RSC ID","Tier";B1750,A1750}))</f>
        <v>50.31086934</v>
      </c>
      <c r="AY1750" s="82">
        <f t="shared" si="2"/>
        <v>2.020041352</v>
      </c>
      <c r="AZ1750" s="82">
        <v>0.9769629573688503</v>
      </c>
      <c r="BA1750" s="84">
        <v>1700.0</v>
      </c>
      <c r="BB1750" s="84" t="b">
        <f>IFERROR(__xludf.DUMMYFUNCTION("iferror(if(A1750="""",,E1750&gt;=FILTER(Constants!$F$2:$F$10,Constants!$A$2:$A$10=A1750)))"),TRUE)</f>
        <v>1</v>
      </c>
    </row>
    <row r="1751">
      <c r="A1751" s="89" t="str">
        <f>IFERROR(__xludf.DUMMYFUNCTION("""COMPUTED_VALUE"""),"Rival")</f>
        <v>Rival</v>
      </c>
      <c r="B1751" s="87" t="str">
        <f>IFERROR(__xludf.DUMMYFUNCTION("""COMPUTED_VALUE"""),"RSC006138")</f>
        <v>RSC006138</v>
      </c>
      <c r="C1751" s="73" t="str">
        <f>IFERROR(__xludf.DUMMYFUNCTION("""COMPUTED_VALUE"""),"NekomancerKoral")</f>
        <v>NekomancerKoral</v>
      </c>
      <c r="D1751" s="73" t="str">
        <f>IFERROR(__xludf.DUMMYFUNCTION("""COMPUTED_VALUE"""),"Jetstream")</f>
        <v>Jetstream</v>
      </c>
      <c r="E1751" s="82">
        <f>IFERROR(__xludf.DUMMYFUNCTION("""COMPUTED_VALUE"""),24.0)</f>
        <v>24</v>
      </c>
      <c r="F1751" s="82">
        <f>IFERROR(__xludf.DUMMYFUNCTION("""COMPUTED_VALUE"""),8.0)</f>
        <v>8</v>
      </c>
      <c r="G1751" s="86">
        <f>IFERROR(__xludf.DUMMYFUNCTION("""COMPUTED_VALUE"""),16.0)</f>
        <v>16</v>
      </c>
      <c r="H1751" s="86">
        <f>IFERROR(__xludf.DUMMYFUNCTION("""COMPUTED_VALUE"""),0.3333333333333333)</f>
        <v>0.3333333333</v>
      </c>
      <c r="I1751" s="86">
        <f>IFERROR(__xludf.DUMMYFUNCTION("""COMPUTED_VALUE"""),0.42424242424242425)</f>
        <v>0.4242424242</v>
      </c>
      <c r="J1751" s="82">
        <f>IFERROR(__xludf.DUMMYFUNCTION("""COMPUTED_VALUE"""),360.2083333333333)</f>
        <v>360.2083333</v>
      </c>
      <c r="K1751" s="82">
        <f>IFERROR(__xludf.DUMMYFUNCTION("""COMPUTED_VALUE"""),1.1666666666666667)</f>
        <v>1.166666667</v>
      </c>
      <c r="L1751" s="82">
        <f>IFERROR(__xludf.DUMMYFUNCTION("""COMPUTED_VALUE"""),0.4166666666666667)</f>
        <v>0.4166666667</v>
      </c>
      <c r="M1751" s="82">
        <f>IFERROR(__xludf.DUMMYFUNCTION("""COMPUTED_VALUE"""),1.4583333333333333)</f>
        <v>1.458333333</v>
      </c>
      <c r="N1751" s="82">
        <f>IFERROR(__xludf.DUMMYFUNCTION("""COMPUTED_VALUE"""),2.75)</f>
        <v>2.75</v>
      </c>
      <c r="O1751" s="82">
        <f>IFERROR(__xludf.DUMMYFUNCTION("""COMPUTED_VALUE"""),376.25)</f>
        <v>376.25</v>
      </c>
      <c r="P1751" s="82">
        <f>IFERROR(__xludf.DUMMYFUNCTION("""COMPUTED_VALUE"""),0.9305555555555557)</f>
        <v>0.9305555556</v>
      </c>
      <c r="Q1751" s="82">
        <f>IFERROR(__xludf.DUMMYFUNCTION("""COMPUTED_VALUE"""),0.7083333333333335)</f>
        <v>0.7083333333</v>
      </c>
      <c r="R1751" s="82">
        <f>IFERROR(__xludf.DUMMYFUNCTION("""COMPUTED_VALUE"""),1.3055555555555558)</f>
        <v>1.305555556</v>
      </c>
      <c r="S1751" s="82">
        <f>IFERROR(__xludf.DUMMYFUNCTION("""COMPUTED_VALUE"""),3.0555555555555554)</f>
        <v>3.055555556</v>
      </c>
      <c r="T1751" s="82">
        <f>IFERROR(__xludf.DUMMYFUNCTION("""COMPUTED_VALUE"""),346.9210680263675)</f>
        <v>346.921068</v>
      </c>
      <c r="U1751" s="82">
        <f>IFERROR(__xludf.DUMMYFUNCTION("""COMPUTED_VALUE"""),0.7792391974876315)</f>
        <v>0.7792391975</v>
      </c>
      <c r="V1751" s="82">
        <f>IFERROR(__xludf.DUMMYFUNCTION("""COMPUTED_VALUE"""),0.5465138778926742)</f>
        <v>0.5465138779</v>
      </c>
      <c r="W1751" s="82">
        <f>IFERROR(__xludf.DUMMYFUNCTION("""COMPUTED_VALUE"""),1.299596466466794)</f>
        <v>1.299596466</v>
      </c>
      <c r="X1751" s="82">
        <f>IFERROR(__xludf.DUMMYFUNCTION("""COMPUTED_VALUE"""),2.635260670366298)</f>
        <v>2.63526067</v>
      </c>
      <c r="Y1751" s="82">
        <f>IFERROR(__xludf.DUMMYFUNCTION("""COMPUTED_VALUE"""),354.78820367183556)</f>
        <v>354.7882037</v>
      </c>
      <c r="Z1751" s="82">
        <f>IFERROR(__xludf.DUMMYFUNCTION("""COMPUTED_VALUE"""),0.8149276255680972)</f>
        <v>0.8149276256</v>
      </c>
      <c r="AA1751" s="82">
        <f>IFERROR(__xludf.DUMMYFUNCTION("""COMPUTED_VALUE"""),0.5927400191427765)</f>
        <v>0.5927400191</v>
      </c>
      <c r="AB1751" s="82">
        <f>IFERROR(__xludf.DUMMYFUNCTION("""COMPUTED_VALUE"""),1.3590738349119125)</f>
        <v>1.359073835</v>
      </c>
      <c r="AC1751" s="82">
        <f>IFERROR(__xludf.DUMMYFUNCTION("""COMPUTED_VALUE"""),2.629139069157379)</f>
        <v>2.629139069</v>
      </c>
      <c r="AD1751" s="82">
        <f>IFERROR(__xludf.DUMMYFUNCTION("""COMPUTED_VALUE"""),1.0152770853297906)</f>
        <v>1.015277085</v>
      </c>
      <c r="AE1751" s="82">
        <f>IFERROR(__xludf.DUMMYFUNCTION("""COMPUTED_VALUE"""),1.431619974661391)</f>
        <v>1.431619975</v>
      </c>
      <c r="AF1751" s="82">
        <f>IFERROR(__xludf.DUMMYFUNCTION("""COMPUTED_VALUE"""),0.7029501184503318)</f>
        <v>0.7029501185</v>
      </c>
      <c r="AG1751" s="82">
        <f>IFERROR(__xludf.DUMMYFUNCTION("""COMPUTED_VALUE"""),1.0730346621880587)</f>
        <v>1.073034662</v>
      </c>
      <c r="AH1751" s="82">
        <f>IFERROR(__xludf.DUMMYFUNCTION("""COMPUTED_VALUE"""),1.0459697747678887)</f>
        <v>1.045969775</v>
      </c>
      <c r="AI1751" s="82">
        <f>IFERROR(__xludf.DUMMYFUNCTION("""COMPUTED_VALUE"""),1.0845406482243487)</f>
        <v>1.084540648</v>
      </c>
      <c r="AJ1751" s="82">
        <f>IFERROR(__xludf.DUMMYFUNCTION("""COMPUTED_VALUE"""),1.1941847362860953)</f>
        <v>1.194184736</v>
      </c>
      <c r="AK1751" s="82">
        <f>IFERROR(__xludf.DUMMYFUNCTION("""COMPUTED_VALUE"""),1.2960939547676733)</f>
        <v>1.296093955</v>
      </c>
      <c r="AL1751" s="82">
        <f>IFERROR(__xludf.DUMMYFUNCTION("""COMPUTED_VALUE"""),1.0045853380203185)</f>
        <v>1.004585338</v>
      </c>
      <c r="AM1751" s="82">
        <f>IFERROR(__xludf.DUMMYFUNCTION("""COMPUTED_VALUE"""),1.159488922638851)</f>
        <v>1.159488923</v>
      </c>
      <c r="AN1751" s="82">
        <f>IFERROR(__xludf.DUMMYFUNCTION("""COMPUTED_VALUE"""),1.0623208104817483)</f>
        <v>1.06232081</v>
      </c>
      <c r="AO1751" s="82">
        <f>IFERROR(__xludf.DUMMYFUNCTION("""COMPUTED_VALUE"""),1.5686485927372957)</f>
        <v>1.568648593</v>
      </c>
      <c r="AP1751" s="82">
        <f>IFERROR(__xludf.DUMMYFUNCTION("""COMPUTED_VALUE"""),0.7634079571845324)</f>
        <v>0.7634079572</v>
      </c>
      <c r="AQ1751" s="82">
        <f>IFERROR(__xludf.DUMMYFUNCTION("""COMPUTED_VALUE"""),1.115062837334839)</f>
        <v>1.115062837</v>
      </c>
      <c r="AR1751" s="82">
        <f>IFERROR(__xludf.DUMMYFUNCTION("""COMPUTED_VALUE"""),1.0992530811973653)</f>
        <v>1.099253081</v>
      </c>
      <c r="AS1751" s="82">
        <f>IFERROR(__xludf.DUMMYFUNCTION("""COMPUTED_VALUE"""),63.0)</f>
        <v>63</v>
      </c>
      <c r="AT1751" s="82">
        <f>IFERROR(__xludf.DUMMYFUNCTION("""COMPUTED_VALUE"""),0.4750285710646974)</f>
        <v>0.4750285711</v>
      </c>
      <c r="AU1751" s="82">
        <f>IFERROR(__xludf.DUMMYFUNCTION("""COMPUTED_VALUE"""),2.8302131216858983)</f>
        <v>2.830213122</v>
      </c>
      <c r="AV1751" s="82">
        <f>IFERROR(__xludf.DUMMYFUNCTION("""COMPUTED_VALUE"""),60.21664367114545)</f>
        <v>60.21664367</v>
      </c>
      <c r="AW1751" s="82">
        <f t="shared" si="1"/>
        <v>2.929179867</v>
      </c>
      <c r="AX1751" s="83">
        <f t="array" ref="AX1751">IFERROR(DGET('SBV Import'!A:G,"SBV",{"RSC ID","Tier";B1751,A1751}))</f>
        <v>40.63986106</v>
      </c>
      <c r="AY1751" s="82">
        <f t="shared" si="2"/>
        <v>-2.824449417</v>
      </c>
      <c r="AZ1751" s="82">
        <v>5.7536292837143765</v>
      </c>
      <c r="BA1751" s="84">
        <v>1700.0</v>
      </c>
      <c r="BB1751" s="84" t="b">
        <f>IFERROR(__xludf.DUMMYFUNCTION("iferror(if(A1751="""",,E1751&gt;=FILTER(Constants!$F$2:$F$10,Constants!$A$2:$A$10=A1751)))"),TRUE)</f>
        <v>1</v>
      </c>
    </row>
    <row r="1752">
      <c r="A1752" s="89" t="str">
        <f>IFERROR(__xludf.DUMMYFUNCTION("""COMPUTED_VALUE"""),"Rival")</f>
        <v>Rival</v>
      </c>
      <c r="B1752" s="87" t="str">
        <f>IFERROR(__xludf.DUMMYFUNCTION("""COMPUTED_VALUE"""),"RSC007293")</f>
        <v>RSC007293</v>
      </c>
      <c r="C1752" s="73" t="str">
        <f>IFERROR(__xludf.DUMMYFUNCTION("""COMPUTED_VALUE"""),"YtExplixiit")</f>
        <v>YtExplixiit</v>
      </c>
      <c r="D1752" s="73" t="str">
        <f>IFERROR(__xludf.DUMMYFUNCTION("""COMPUTED_VALUE"""),"Ion Imperial")</f>
        <v>Ion Imperial</v>
      </c>
      <c r="E1752" s="82">
        <f>IFERROR(__xludf.DUMMYFUNCTION("""COMPUTED_VALUE"""),44.0)</f>
        <v>44</v>
      </c>
      <c r="F1752" s="82">
        <f>IFERROR(__xludf.DUMMYFUNCTION("""COMPUTED_VALUE"""),27.0)</f>
        <v>27</v>
      </c>
      <c r="G1752" s="86">
        <f>IFERROR(__xludf.DUMMYFUNCTION("""COMPUTED_VALUE"""),17.0)</f>
        <v>17</v>
      </c>
      <c r="H1752" s="86">
        <f>IFERROR(__xludf.DUMMYFUNCTION("""COMPUTED_VALUE"""),0.6136363636363636)</f>
        <v>0.6136363636</v>
      </c>
      <c r="I1752" s="86">
        <f>IFERROR(__xludf.DUMMYFUNCTION("""COMPUTED_VALUE"""),0.27611940298507465)</f>
        <v>0.276119403</v>
      </c>
      <c r="J1752" s="82">
        <f>IFERROR(__xludf.DUMMYFUNCTION("""COMPUTED_VALUE"""),320.8636363636364)</f>
        <v>320.8636364</v>
      </c>
      <c r="K1752" s="82">
        <f>IFERROR(__xludf.DUMMYFUNCTION("""COMPUTED_VALUE"""),0.8409090909090909)</f>
        <v>0.8409090909</v>
      </c>
      <c r="L1752" s="82">
        <f>IFERROR(__xludf.DUMMYFUNCTION("""COMPUTED_VALUE"""),0.5909090909090909)</f>
        <v>0.5909090909</v>
      </c>
      <c r="M1752" s="82">
        <f>IFERROR(__xludf.DUMMYFUNCTION("""COMPUTED_VALUE"""),0.7727272727272727)</f>
        <v>0.7727272727</v>
      </c>
      <c r="N1752" s="82">
        <f>IFERROR(__xludf.DUMMYFUNCTION("""COMPUTED_VALUE"""),3.0454545454545454)</f>
        <v>3.045454545</v>
      </c>
      <c r="O1752" s="82">
        <f>IFERROR(__xludf.DUMMYFUNCTION("""COMPUTED_VALUE"""),339.6136363636365)</f>
        <v>339.6136364</v>
      </c>
      <c r="P1752" s="82">
        <f>IFERROR(__xludf.DUMMYFUNCTION("""COMPUTED_VALUE"""),0.6893939393939394)</f>
        <v>0.6893939394</v>
      </c>
      <c r="Q1752" s="82">
        <f>IFERROR(__xludf.DUMMYFUNCTION("""COMPUTED_VALUE"""),0.5)</f>
        <v>0.5</v>
      </c>
      <c r="R1752" s="82">
        <f>IFERROR(__xludf.DUMMYFUNCTION("""COMPUTED_VALUE"""),1.4318181818181819)</f>
        <v>1.431818182</v>
      </c>
      <c r="S1752" s="82">
        <f>IFERROR(__xludf.DUMMYFUNCTION("""COMPUTED_VALUE"""),2.3787878787878785)</f>
        <v>2.378787879</v>
      </c>
      <c r="T1752" s="82">
        <f>IFERROR(__xludf.DUMMYFUNCTION("""COMPUTED_VALUE"""),339.8298771651112)</f>
        <v>339.8298772</v>
      </c>
      <c r="U1752" s="82">
        <f>IFERROR(__xludf.DUMMYFUNCTION("""COMPUTED_VALUE"""),0.7407750209379703)</f>
        <v>0.7407750209</v>
      </c>
      <c r="V1752" s="82">
        <f>IFERROR(__xludf.DUMMYFUNCTION("""COMPUTED_VALUE"""),0.5051883581970404)</f>
        <v>0.5051883582</v>
      </c>
      <c r="W1752" s="82">
        <f>IFERROR(__xludf.DUMMYFUNCTION("""COMPUTED_VALUE"""),1.3324136998479303)</f>
        <v>1.3324137</v>
      </c>
      <c r="X1752" s="82">
        <f>IFERROR(__xludf.DUMMYFUNCTION("""COMPUTED_VALUE"""),2.527730857157588)</f>
        <v>2.527730857</v>
      </c>
      <c r="Y1752" s="82">
        <f>IFERROR(__xludf.DUMMYFUNCTION("""COMPUTED_VALUE"""),356.9694349385843)</f>
        <v>356.9694349</v>
      </c>
      <c r="Z1752" s="82">
        <f>IFERROR(__xludf.DUMMYFUNCTION("""COMPUTED_VALUE"""),0.8383961892331601)</f>
        <v>0.8383961892</v>
      </c>
      <c r="AA1752" s="82">
        <f>IFERROR(__xludf.DUMMYFUNCTION("""COMPUTED_VALUE"""),0.5966852185984505)</f>
        <v>0.5966852186</v>
      </c>
      <c r="AB1752" s="82">
        <f>IFERROR(__xludf.DUMMYFUNCTION("""COMPUTED_VALUE"""),1.3055477685761898)</f>
        <v>1.305547769</v>
      </c>
      <c r="AC1752" s="82">
        <f>IFERROR(__xludf.DUMMYFUNCTION("""COMPUTED_VALUE"""),2.614661106327905)</f>
        <v>2.614661106</v>
      </c>
      <c r="AD1752" s="82">
        <f>IFERROR(__xludf.DUMMYFUNCTION("""COMPUTED_VALUE"""),0.89885464961122)</f>
        <v>0.8988546496</v>
      </c>
      <c r="AE1752" s="82">
        <f>IFERROR(__xludf.DUMMYFUNCTION("""COMPUTED_VALUE"""),1.0029972723018092)</f>
        <v>1.002997272</v>
      </c>
      <c r="AF1752" s="82">
        <f>IFERROR(__xludf.DUMMYFUNCTION("""COMPUTED_VALUE"""),0.9903196400558958)</f>
        <v>0.9903196401</v>
      </c>
      <c r="AG1752" s="82">
        <f>IFERROR(__xludf.DUMMYFUNCTION("""COMPUTED_VALUE"""),0.5918797391611317)</f>
        <v>0.5918797392</v>
      </c>
      <c r="AH1752" s="82">
        <f>IFERROR(__xludf.DUMMYFUNCTION("""COMPUTED_VALUE"""),1.1647607172050138)</f>
        <v>1.164760717</v>
      </c>
      <c r="AI1752" s="82">
        <f>IFERROR(__xludf.DUMMYFUNCTION("""COMPUTED_VALUE"""),0.9993636792524583)</f>
        <v>0.9993636793</v>
      </c>
      <c r="AJ1752" s="82">
        <f>IFERROR(__xludf.DUMMYFUNCTION("""COMPUTED_VALUE"""),0.9306387498339617)</f>
        <v>0.9306387498</v>
      </c>
      <c r="AK1752" s="82">
        <f>IFERROR(__xludf.DUMMYFUNCTION("""COMPUTED_VALUE"""),0.9897298539983045)</f>
        <v>0.989729854</v>
      </c>
      <c r="AL1752" s="82">
        <f>IFERROR(__xludf.DUMMYFUNCTION("""COMPUTED_VALUE"""),1.0746048182944956)</f>
        <v>1.074604818</v>
      </c>
      <c r="AM1752" s="82">
        <f>IFERROR(__xludf.DUMMYFUNCTION("""COMPUTED_VALUE"""),0.9410764093226307)</f>
        <v>0.9410764093</v>
      </c>
      <c r="AN1752" s="82">
        <f>IFERROR(__xludf.DUMMYFUNCTION("""COMPUTED_VALUE"""),0.9462860425289231)</f>
        <v>0.9462860425</v>
      </c>
      <c r="AO1752" s="82">
        <f>IFERROR(__xludf.DUMMYFUNCTION("""COMPUTED_VALUE"""),1.1306493103496091)</f>
        <v>1.13064931</v>
      </c>
      <c r="AP1752" s="82">
        <f>IFERROR(__xludf.DUMMYFUNCTION("""COMPUTED_VALUE"""),1.0826512847344276)</f>
        <v>1.082651285</v>
      </c>
      <c r="AQ1752" s="82">
        <f>IFERROR(__xludf.DUMMYFUNCTION("""COMPUTED_VALUE"""),0.5908384904319667)</f>
        <v>0.5908384904</v>
      </c>
      <c r="AR1752" s="82">
        <f>IFERROR(__xludf.DUMMYFUNCTION("""COMPUTED_VALUE"""),1.2173546519045202)</f>
        <v>1.217354652</v>
      </c>
      <c r="AS1752" s="82">
        <f>IFERROR(__xludf.DUMMYFUNCTION("""COMPUTED_VALUE"""),110.0)</f>
        <v>110</v>
      </c>
      <c r="AT1752" s="82">
        <f>IFERROR(__xludf.DUMMYFUNCTION("""COMPUTED_VALUE"""),0.5727906812047173)</f>
        <v>0.5727906812</v>
      </c>
      <c r="AU1752" s="82">
        <f>IFERROR(__xludf.DUMMYFUNCTION("""COMPUTED_VALUE"""),2.8093246912502736)</f>
        <v>2.809324691</v>
      </c>
      <c r="AV1752" s="82">
        <f>IFERROR(__xludf.DUMMYFUNCTION("""COMPUTED_VALUE"""),59.618608431791)</f>
        <v>59.61860843</v>
      </c>
      <c r="AW1752" s="82">
        <f t="shared" si="1"/>
        <v>2.855401704</v>
      </c>
      <c r="AX1752" s="83">
        <f t="array" ref="AX1752">IFERROR(DGET('SBV Import'!A:G,"SBV",{"RSC ID","Tier";B1752,A1752}))</f>
        <v>50.98950914</v>
      </c>
      <c r="AY1752" s="82">
        <f t="shared" si="2"/>
        <v>2.065203255</v>
      </c>
      <c r="AZ1752" s="82">
        <v>0.7901984484520681</v>
      </c>
      <c r="BA1752" s="84">
        <v>1700.0</v>
      </c>
      <c r="BB1752" s="84" t="b">
        <f>IFERROR(__xludf.DUMMYFUNCTION("iferror(if(A1752="""",,E1752&gt;=FILTER(Constants!$F$2:$F$10,Constants!$A$2:$A$10=A1752)))"),TRUE)</f>
        <v>1</v>
      </c>
    </row>
    <row r="1753">
      <c r="A1753" s="89" t="str">
        <f>IFERROR(__xludf.DUMMYFUNCTION("""COMPUTED_VALUE"""),"Rival")</f>
        <v>Rival</v>
      </c>
      <c r="B1753" s="87" t="str">
        <f>IFERROR(__xludf.DUMMYFUNCTION("""COMPUTED_VALUE"""),"RSC007660")</f>
        <v>RSC007660</v>
      </c>
      <c r="C1753" s="73" t="str">
        <f>IFERROR(__xludf.DUMMYFUNCTION("""COMPUTED_VALUE"""),"Shraxl")</f>
        <v>Shraxl</v>
      </c>
      <c r="D1753" s="73" t="str">
        <f>IFERROR(__xludf.DUMMYFUNCTION("""COMPUTED_VALUE"""),"Rockin Revenants")</f>
        <v>Rockin Revenants</v>
      </c>
      <c r="E1753" s="82">
        <f>IFERROR(__xludf.DUMMYFUNCTION("""COMPUTED_VALUE"""),38.0)</f>
        <v>38</v>
      </c>
      <c r="F1753" s="82">
        <f>IFERROR(__xludf.DUMMYFUNCTION("""COMPUTED_VALUE"""),13.0)</f>
        <v>13</v>
      </c>
      <c r="G1753" s="86">
        <f>IFERROR(__xludf.DUMMYFUNCTION("""COMPUTED_VALUE"""),25.0)</f>
        <v>25</v>
      </c>
      <c r="H1753" s="86">
        <f>IFERROR(__xludf.DUMMYFUNCTION("""COMPUTED_VALUE"""),0.34210526315789475)</f>
        <v>0.3421052632</v>
      </c>
      <c r="I1753" s="86">
        <f>IFERROR(__xludf.DUMMYFUNCTION("""COMPUTED_VALUE"""),0.3181818181818182)</f>
        <v>0.3181818182</v>
      </c>
      <c r="J1753" s="82">
        <f>IFERROR(__xludf.DUMMYFUNCTION("""COMPUTED_VALUE"""),387.44736842105266)</f>
        <v>387.4473684</v>
      </c>
      <c r="K1753" s="82">
        <f>IFERROR(__xludf.DUMMYFUNCTION("""COMPUTED_VALUE"""),0.9210526315789473)</f>
        <v>0.9210526316</v>
      </c>
      <c r="L1753" s="82">
        <f>IFERROR(__xludf.DUMMYFUNCTION("""COMPUTED_VALUE"""),0.5263157894736842)</f>
        <v>0.5263157895</v>
      </c>
      <c r="M1753" s="82">
        <f>IFERROR(__xludf.DUMMYFUNCTION("""COMPUTED_VALUE"""),1.5526315789473684)</f>
        <v>1.552631579</v>
      </c>
      <c r="N1753" s="82">
        <f>IFERROR(__xludf.DUMMYFUNCTION("""COMPUTED_VALUE"""),2.8947368421052633)</f>
        <v>2.894736842</v>
      </c>
      <c r="O1753" s="82">
        <f>IFERROR(__xludf.DUMMYFUNCTION("""COMPUTED_VALUE"""),377.40350877192986)</f>
        <v>377.4035088</v>
      </c>
      <c r="P1753" s="82">
        <f>IFERROR(__xludf.DUMMYFUNCTION("""COMPUTED_VALUE"""),1.0000000000000002)</f>
        <v>1</v>
      </c>
      <c r="Q1753" s="82">
        <f>IFERROR(__xludf.DUMMYFUNCTION("""COMPUTED_VALUE"""),0.6666666666666667)</f>
        <v>0.6666666667</v>
      </c>
      <c r="R1753" s="82">
        <f>IFERROR(__xludf.DUMMYFUNCTION("""COMPUTED_VALUE"""),1.2368421052631577)</f>
        <v>1.236842105</v>
      </c>
      <c r="S1753" s="82">
        <f>IFERROR(__xludf.DUMMYFUNCTION("""COMPUTED_VALUE"""),2.807017543859649)</f>
        <v>2.807017544</v>
      </c>
      <c r="T1753" s="82">
        <f>IFERROR(__xludf.DUMMYFUNCTION("""COMPUTED_VALUE"""),343.0459579266451)</f>
        <v>343.0459579</v>
      </c>
      <c r="U1753" s="82">
        <f>IFERROR(__xludf.DUMMYFUNCTION("""COMPUTED_VALUE"""),0.8002837850697351)</f>
        <v>0.8002837851</v>
      </c>
      <c r="V1753" s="82">
        <f>IFERROR(__xludf.DUMMYFUNCTION("""COMPUTED_VALUE"""),0.5644363049461828)</f>
        <v>0.5644363049</v>
      </c>
      <c r="W1753" s="82">
        <f>IFERROR(__xludf.DUMMYFUNCTION("""COMPUTED_VALUE"""),1.2878127357934044)</f>
        <v>1.287812736</v>
      </c>
      <c r="X1753" s="82">
        <f>IFERROR(__xludf.DUMMYFUNCTION("""COMPUTED_VALUE"""),2.6129469252763653)</f>
        <v>2.612946925</v>
      </c>
      <c r="Y1753" s="82">
        <f>IFERROR(__xludf.DUMMYFUNCTION("""COMPUTED_VALUE"""),351.7152639095135)</f>
        <v>351.7152639</v>
      </c>
      <c r="Z1753" s="82">
        <f>IFERROR(__xludf.DUMMYFUNCTION("""COMPUTED_VALUE"""),0.8067035261786868)</f>
        <v>0.8067035262</v>
      </c>
      <c r="AA1753" s="82">
        <f>IFERROR(__xludf.DUMMYFUNCTION("""COMPUTED_VALUE"""),0.5655392001488329)</f>
        <v>0.5655392001</v>
      </c>
      <c r="AB1753" s="82">
        <f>IFERROR(__xludf.DUMMYFUNCTION("""COMPUTED_VALUE"""),1.3585877738585108)</f>
        <v>1.358587774</v>
      </c>
      <c r="AC1753" s="82">
        <f>IFERROR(__xludf.DUMMYFUNCTION("""COMPUTED_VALUE"""),2.6062931109214817)</f>
        <v>2.606293111</v>
      </c>
      <c r="AD1753" s="82">
        <f>IFERROR(__xludf.DUMMYFUNCTION("""COMPUTED_VALUE"""),1.1015938407516257)</f>
        <v>1.101593841</v>
      </c>
      <c r="AE1753" s="82">
        <f>IFERROR(__xludf.DUMMYFUNCTION("""COMPUTED_VALUE"""),1.1417486123333642)</f>
        <v>1.141748612</v>
      </c>
      <c r="AF1753" s="82">
        <f>IFERROR(__xludf.DUMMYFUNCTION("""COMPUTED_VALUE"""),0.9306442229560281)</f>
        <v>0.930644223</v>
      </c>
      <c r="AG1753" s="82">
        <f>IFERROR(__xludf.DUMMYFUNCTION("""COMPUTED_VALUE"""),1.1428275808325257)</f>
        <v>1.142827581</v>
      </c>
      <c r="AH1753" s="82">
        <f>IFERROR(__xludf.DUMMYFUNCTION("""COMPUTED_VALUE"""),1.1106720230257598)</f>
        <v>1.110672023</v>
      </c>
      <c r="AI1753" s="82">
        <f>IFERROR(__xludf.DUMMYFUNCTION("""COMPUTED_VALUE"""),1.100154367225139)</f>
        <v>1.100154367</v>
      </c>
      <c r="AJ1753" s="82">
        <f>IFERROR(__xludf.DUMMYFUNCTION("""COMPUTED_VALUE"""),1.2495567430656642)</f>
        <v>1.249556743</v>
      </c>
      <c r="AK1753" s="82">
        <f>IFERROR(__xludf.DUMMYFUNCTION("""COMPUTED_VALUE"""),1.1811193943845113)</f>
        <v>1.181119394</v>
      </c>
      <c r="AL1753" s="82">
        <f>IFERROR(__xludf.DUMMYFUNCTION("""COMPUTED_VALUE"""),0.9604207746098703)</f>
        <v>0.9604207746</v>
      </c>
      <c r="AM1753" s="82">
        <f>IFERROR(__xludf.DUMMYFUNCTION("""COMPUTED_VALUE"""),1.0742726982725672)</f>
        <v>1.074272698</v>
      </c>
      <c r="AN1753" s="82">
        <f>IFERROR(__xludf.DUMMYFUNCTION("""COMPUTED_VALUE"""),1.1426537488214872)</f>
        <v>1.142653749</v>
      </c>
      <c r="AO1753" s="82">
        <f>IFERROR(__xludf.DUMMYFUNCTION("""COMPUTED_VALUE"""),1.2384067837399702)</f>
        <v>1.238406784</v>
      </c>
      <c r="AP1753" s="82">
        <f>IFERROR(__xludf.DUMMYFUNCTION("""COMPUTED_VALUE"""),0.9643047880225671)</f>
        <v>0.964304788</v>
      </c>
      <c r="AQ1753" s="82">
        <f>IFERROR(__xludf.DUMMYFUNCTION("""COMPUTED_VALUE"""),1.1871646448617534)</f>
        <v>1.187164645</v>
      </c>
      <c r="AR1753" s="82">
        <f>IFERROR(__xludf.DUMMYFUNCTION("""COMPUTED_VALUE"""),1.1571085065235425)</f>
        <v>1.157108507</v>
      </c>
      <c r="AS1753" s="82">
        <f>IFERROR(__xludf.DUMMYFUNCTION("""COMPUTED_VALUE"""),90.0)</f>
        <v>90</v>
      </c>
      <c r="AT1753" s="82">
        <f>IFERROR(__xludf.DUMMYFUNCTION("""COMPUTED_VALUE"""),0.4054260587187525)</f>
        <v>0.4054260587</v>
      </c>
      <c r="AU1753" s="82">
        <f>IFERROR(__xludf.DUMMYFUNCTION("""COMPUTED_VALUE"""),2.803921056398597)</f>
        <v>2.803921056</v>
      </c>
      <c r="AV1753" s="82">
        <f>IFERROR(__xludf.DUMMYFUNCTION("""COMPUTED_VALUE"""),59.463902501545746)</f>
        <v>59.4639025</v>
      </c>
      <c r="AW1753" s="82">
        <f t="shared" si="1"/>
        <v>2.836808907</v>
      </c>
      <c r="AX1753" s="83">
        <f t="array" ref="AX1753">IFERROR(DGET('SBV Import'!A:G,"SBV",{"RSC ID","Tier";B1753,A1753}))</f>
        <v>57.86005182</v>
      </c>
      <c r="AY1753" s="82">
        <f t="shared" si="2"/>
        <v>2.655281943</v>
      </c>
      <c r="AZ1753" s="82">
        <v>0.18152696354261577</v>
      </c>
      <c r="BA1753" s="84">
        <v>1700.0</v>
      </c>
      <c r="BB1753" s="84" t="b">
        <f>IFERROR(__xludf.DUMMYFUNCTION("iferror(if(A1753="""",,E1753&gt;=FILTER(Constants!$F$2:$F$10,Constants!$A$2:$A$10=A1753)))"),TRUE)</f>
        <v>1</v>
      </c>
    </row>
    <row r="1754">
      <c r="A1754" s="89" t="str">
        <f>IFERROR(__xludf.DUMMYFUNCTION("""COMPUTED_VALUE"""),"Rival")</f>
        <v>Rival</v>
      </c>
      <c r="B1754" s="87" t="str">
        <f>IFERROR(__xludf.DUMMYFUNCTION("""COMPUTED_VALUE"""),"RSC006748")</f>
        <v>RSC006748</v>
      </c>
      <c r="C1754" s="73" t="str">
        <f>IFERROR(__xludf.DUMMYFUNCTION("""COMPUTED_VALUE"""),"Llamaboy101")</f>
        <v>Llamaboy101</v>
      </c>
      <c r="D1754" s="73" t="str">
        <f>IFERROR(__xludf.DUMMYFUNCTION("""COMPUTED_VALUE"""),"Wind")</f>
        <v>Wind</v>
      </c>
      <c r="E1754" s="82">
        <f>IFERROR(__xludf.DUMMYFUNCTION("""COMPUTED_VALUE"""),32.0)</f>
        <v>32</v>
      </c>
      <c r="F1754" s="82">
        <f>IFERROR(__xludf.DUMMYFUNCTION("""COMPUTED_VALUE"""),17.0)</f>
        <v>17</v>
      </c>
      <c r="G1754" s="86">
        <f>IFERROR(__xludf.DUMMYFUNCTION("""COMPUTED_VALUE"""),15.0)</f>
        <v>15</v>
      </c>
      <c r="H1754" s="86">
        <f>IFERROR(__xludf.DUMMYFUNCTION("""COMPUTED_VALUE"""),0.53125)</f>
        <v>0.53125</v>
      </c>
      <c r="I1754" s="86">
        <f>IFERROR(__xludf.DUMMYFUNCTION("""COMPUTED_VALUE"""),0.36764705882352944)</f>
        <v>0.3676470588</v>
      </c>
      <c r="J1754" s="82">
        <f>IFERROR(__xludf.DUMMYFUNCTION("""COMPUTED_VALUE"""),335.5)</f>
        <v>335.5</v>
      </c>
      <c r="K1754" s="82">
        <f>IFERROR(__xludf.DUMMYFUNCTION("""COMPUTED_VALUE"""),0.78125)</f>
        <v>0.78125</v>
      </c>
      <c r="L1754" s="82">
        <f>IFERROR(__xludf.DUMMYFUNCTION("""COMPUTED_VALUE"""),0.875)</f>
        <v>0.875</v>
      </c>
      <c r="M1754" s="82">
        <f>IFERROR(__xludf.DUMMYFUNCTION("""COMPUTED_VALUE"""),1.125)</f>
        <v>1.125</v>
      </c>
      <c r="N1754" s="82">
        <f>IFERROR(__xludf.DUMMYFUNCTION("""COMPUTED_VALUE"""),2.125)</f>
        <v>2.125</v>
      </c>
      <c r="O1754" s="82">
        <f>IFERROR(__xludf.DUMMYFUNCTION("""COMPUTED_VALUE"""),337.4270833333333)</f>
        <v>337.4270833</v>
      </c>
      <c r="P1754" s="82">
        <f>IFERROR(__xludf.DUMMYFUNCTION("""COMPUTED_VALUE"""),0.7291666666666665)</f>
        <v>0.7291666667</v>
      </c>
      <c r="Q1754" s="82">
        <f>IFERROR(__xludf.DUMMYFUNCTION("""COMPUTED_VALUE"""),0.5208333333333334)</f>
        <v>0.5208333333</v>
      </c>
      <c r="R1754" s="82">
        <f>IFERROR(__xludf.DUMMYFUNCTION("""COMPUTED_VALUE"""),1.2916666666666667)</f>
        <v>1.291666667</v>
      </c>
      <c r="S1754" s="82">
        <f>IFERROR(__xludf.DUMMYFUNCTION("""COMPUTED_VALUE"""),2.635416666666667)</f>
        <v>2.635416667</v>
      </c>
      <c r="T1754" s="82">
        <f>IFERROR(__xludf.DUMMYFUNCTION("""COMPUTED_VALUE"""),339.4520236192229)</f>
        <v>339.4520236</v>
      </c>
      <c r="U1754" s="82">
        <f>IFERROR(__xludf.DUMMYFUNCTION("""COMPUTED_VALUE"""),0.7514993469742468)</f>
        <v>0.751499347</v>
      </c>
      <c r="V1754" s="82">
        <f>IFERROR(__xludf.DUMMYFUNCTION("""COMPUTED_VALUE"""),0.5210756740825533)</f>
        <v>0.5210756741</v>
      </c>
      <c r="W1754" s="82">
        <f>IFERROR(__xludf.DUMMYFUNCTION("""COMPUTED_VALUE"""),1.3143820687356877)</f>
        <v>1.314382069</v>
      </c>
      <c r="X1754" s="82">
        <f>IFERROR(__xludf.DUMMYFUNCTION("""COMPUTED_VALUE"""),2.5670546898563793)</f>
        <v>2.56705469</v>
      </c>
      <c r="Y1754" s="82">
        <f>IFERROR(__xludf.DUMMYFUNCTION("""COMPUTED_VALUE"""),356.94854942199305)</f>
        <v>356.9485494</v>
      </c>
      <c r="Z1754" s="82">
        <f>IFERROR(__xludf.DUMMYFUNCTION("""COMPUTED_VALUE"""),0.8486662508450689)</f>
        <v>0.8486662508</v>
      </c>
      <c r="AA1754" s="82">
        <f>IFERROR(__xludf.DUMMYFUNCTION("""COMPUTED_VALUE"""),0.5920803200841358)</f>
        <v>0.5920803201</v>
      </c>
      <c r="AB1754" s="82">
        <f>IFERROR(__xludf.DUMMYFUNCTION("""COMPUTED_VALUE"""),1.3402445217626087)</f>
        <v>1.340244522</v>
      </c>
      <c r="AC1754" s="82">
        <f>IFERROR(__xludf.DUMMYFUNCTION("""COMPUTED_VALUE"""),2.615253074827285)</f>
        <v>2.615253075</v>
      </c>
      <c r="AD1754" s="82">
        <f>IFERROR(__xludf.DUMMYFUNCTION("""COMPUTED_VALUE"""),0.9399113697009703)</f>
        <v>0.9399113697</v>
      </c>
      <c r="AE1754" s="82">
        <f>IFERROR(__xludf.DUMMYFUNCTION("""COMPUTED_VALUE"""),0.9205621164056679)</f>
        <v>0.9205621164</v>
      </c>
      <c r="AF1754" s="82">
        <f>IFERROR(__xludf.DUMMYFUNCTION("""COMPUTED_VALUE"""),1.4778400333854378)</f>
        <v>1.477840033</v>
      </c>
      <c r="AG1754" s="82">
        <f>IFERROR(__xludf.DUMMYFUNCTION("""COMPUTED_VALUE"""),0.8393990661647831)</f>
        <v>0.8393990662</v>
      </c>
      <c r="AH1754" s="82">
        <f>IFERROR(__xludf.DUMMYFUNCTION("""COMPUTED_VALUE"""),0.8125408666770569)</f>
        <v>0.8125408667</v>
      </c>
      <c r="AI1754" s="82">
        <f>IFERROR(__xludf.DUMMYFUNCTION("""COMPUTED_VALUE"""),0.9940346789973447)</f>
        <v>0.994034679</v>
      </c>
      <c r="AJ1754" s="82">
        <f>IFERROR(__xludf.DUMMYFUNCTION("""COMPUTED_VALUE"""),0.9702825020440828)</f>
        <v>0.970282502</v>
      </c>
      <c r="AK1754" s="82">
        <f>IFERROR(__xludf.DUMMYFUNCTION("""COMPUTED_VALUE"""),0.9995349221595374)</f>
        <v>0.9995349222</v>
      </c>
      <c r="AL1754" s="82">
        <f>IFERROR(__xludf.DUMMYFUNCTION("""COMPUTED_VALUE"""),0.982717808916192)</f>
        <v>0.9827178089</v>
      </c>
      <c r="AM1754" s="82">
        <f>IFERROR(__xludf.DUMMYFUNCTION("""COMPUTED_VALUE"""),1.026630510475845)</f>
        <v>1.02663051</v>
      </c>
      <c r="AN1754" s="82">
        <f>IFERROR(__xludf.DUMMYFUNCTION("""COMPUTED_VALUE"""),0.9894513783688881)</f>
        <v>0.9894513784</v>
      </c>
      <c r="AO1754" s="82">
        <f>IFERROR(__xludf.DUMMYFUNCTION("""COMPUTED_VALUE"""),1.0504343254937247)</f>
        <v>1.050434325</v>
      </c>
      <c r="AP1754" s="82">
        <f>IFERROR(__xludf.DUMMYFUNCTION("""COMPUTED_VALUE"""),1.603156710087518)</f>
        <v>1.60315671</v>
      </c>
      <c r="AQ1754" s="82">
        <f>IFERROR(__xludf.DUMMYFUNCTION("""COMPUTED_VALUE"""),0.8601913316583044)</f>
        <v>0.8601913317</v>
      </c>
      <c r="AR1754" s="82">
        <f>IFERROR(__xludf.DUMMYFUNCTION("""COMPUTED_VALUE"""),0.8494228354706914)</f>
        <v>0.8494228355</v>
      </c>
      <c r="AS1754" s="82">
        <f>IFERROR(__xludf.DUMMYFUNCTION("""COMPUTED_VALUE"""),85.0)</f>
        <v>85</v>
      </c>
      <c r="AT1754" s="82">
        <f>IFERROR(__xludf.DUMMYFUNCTION("""COMPUTED_VALUE"""),0.575749858330669)</f>
        <v>0.5757498583</v>
      </c>
      <c r="AU1754" s="82">
        <f>IFERROR(__xludf.DUMMYFUNCTION("""COMPUTED_VALUE"""),2.792321640716116)</f>
        <v>2.792321641</v>
      </c>
      <c r="AV1754" s="82">
        <f>IFERROR(__xludf.DUMMYFUNCTION("""COMPUTED_VALUE"""),59.131811521545)</f>
        <v>59.13181152</v>
      </c>
      <c r="AW1754" s="82">
        <f t="shared" si="1"/>
        <v>2.797562633</v>
      </c>
      <c r="AX1754" s="83">
        <f t="array" ref="AX1754">IFERROR(DGET('SBV Import'!A:G,"SBV",{"RSC ID","Tier";B1754,A1754}))</f>
        <v>48.1292313</v>
      </c>
      <c r="AY1754" s="82">
        <f t="shared" si="2"/>
        <v>-2.126869065</v>
      </c>
      <c r="AZ1754" s="82">
        <v>4.924431697839513</v>
      </c>
      <c r="BA1754" s="84">
        <v>1700.0</v>
      </c>
      <c r="BB1754" s="84" t="b">
        <f>IFERROR(__xludf.DUMMYFUNCTION("iferror(if(A1754="""",,E1754&gt;=FILTER(Constants!$F$2:$F$10,Constants!$A$2:$A$10=A1754)))"),TRUE)</f>
        <v>1</v>
      </c>
    </row>
    <row r="1755">
      <c r="A1755" s="89" t="str">
        <f>IFERROR(__xludf.DUMMYFUNCTION("""COMPUTED_VALUE"""),"Rival")</f>
        <v>Rival</v>
      </c>
      <c r="B1755" s="87" t="str">
        <f>IFERROR(__xludf.DUMMYFUNCTION("""COMPUTED_VALUE"""),"RSC007057")</f>
        <v>RSC007057</v>
      </c>
      <c r="C1755" s="73" t="str">
        <f>IFERROR(__xludf.DUMMYFUNCTION("""COMPUTED_VALUE"""),"sinoda_20")</f>
        <v>sinoda_20</v>
      </c>
      <c r="D1755" s="73" t="str">
        <f>IFERROR(__xludf.DUMMYFUNCTION("""COMPUTED_VALUE"""),"Nightfall")</f>
        <v>Nightfall</v>
      </c>
      <c r="E1755" s="82">
        <f>IFERROR(__xludf.DUMMYFUNCTION("""COMPUTED_VALUE"""),44.0)</f>
        <v>44</v>
      </c>
      <c r="F1755" s="82">
        <f>IFERROR(__xludf.DUMMYFUNCTION("""COMPUTED_VALUE"""),21.0)</f>
        <v>21</v>
      </c>
      <c r="G1755" s="86">
        <f>IFERROR(__xludf.DUMMYFUNCTION("""COMPUTED_VALUE"""),23.0)</f>
        <v>23</v>
      </c>
      <c r="H1755" s="86">
        <f>IFERROR(__xludf.DUMMYFUNCTION("""COMPUTED_VALUE"""),0.4772727272727273)</f>
        <v>0.4772727273</v>
      </c>
      <c r="I1755" s="86">
        <f>IFERROR(__xludf.DUMMYFUNCTION("""COMPUTED_VALUE"""),0.2566371681415929)</f>
        <v>0.2566371681</v>
      </c>
      <c r="J1755" s="82">
        <f>IFERROR(__xludf.DUMMYFUNCTION("""COMPUTED_VALUE"""),331.0681818181818)</f>
        <v>331.0681818</v>
      </c>
      <c r="K1755" s="82">
        <f>IFERROR(__xludf.DUMMYFUNCTION("""COMPUTED_VALUE"""),0.6590909090909091)</f>
        <v>0.6590909091</v>
      </c>
      <c r="L1755" s="82">
        <f>IFERROR(__xludf.DUMMYFUNCTION("""COMPUTED_VALUE"""),0.7727272727272727)</f>
        <v>0.7727272727</v>
      </c>
      <c r="M1755" s="82">
        <f>IFERROR(__xludf.DUMMYFUNCTION("""COMPUTED_VALUE"""),0.8863636363636364)</f>
        <v>0.8863636364</v>
      </c>
      <c r="N1755" s="82">
        <f>IFERROR(__xludf.DUMMYFUNCTION("""COMPUTED_VALUE"""),2.5681818181818183)</f>
        <v>2.568181818</v>
      </c>
      <c r="O1755" s="82">
        <f>IFERROR(__xludf.DUMMYFUNCTION("""COMPUTED_VALUE"""),335.09848484848493)</f>
        <v>335.0984848</v>
      </c>
      <c r="P1755" s="82">
        <f>IFERROR(__xludf.DUMMYFUNCTION("""COMPUTED_VALUE"""),0.6893939393939393)</f>
        <v>0.6893939394</v>
      </c>
      <c r="Q1755" s="82">
        <f>IFERROR(__xludf.DUMMYFUNCTION("""COMPUTED_VALUE"""),0.5303030303030303)</f>
        <v>0.5303030303</v>
      </c>
      <c r="R1755" s="82">
        <f>IFERROR(__xludf.DUMMYFUNCTION("""COMPUTED_VALUE"""),1.4393939393939394)</f>
        <v>1.439393939</v>
      </c>
      <c r="S1755" s="82">
        <f>IFERROR(__xludf.DUMMYFUNCTION("""COMPUTED_VALUE"""),2.4621212121212124)</f>
        <v>2.462121212</v>
      </c>
      <c r="T1755" s="82">
        <f>IFERROR(__xludf.DUMMYFUNCTION("""COMPUTED_VALUE"""),350.5417904932018)</f>
        <v>350.5417905</v>
      </c>
      <c r="U1755" s="82">
        <f>IFERROR(__xludf.DUMMYFUNCTION("""COMPUTED_VALUE"""),0.7868054447827447)</f>
        <v>0.7868054448</v>
      </c>
      <c r="V1755" s="82">
        <f>IFERROR(__xludf.DUMMYFUNCTION("""COMPUTED_VALUE"""),0.5656090745563916)</f>
        <v>0.5656090746</v>
      </c>
      <c r="W1755" s="82">
        <f>IFERROR(__xludf.DUMMYFUNCTION("""COMPUTED_VALUE"""),1.3593362858000324)</f>
        <v>1.359336286</v>
      </c>
      <c r="X1755" s="82">
        <f>IFERROR(__xludf.DUMMYFUNCTION("""COMPUTED_VALUE"""),2.5468773013529487)</f>
        <v>2.546877301</v>
      </c>
      <c r="Y1755" s="82">
        <f>IFERROR(__xludf.DUMMYFUNCTION("""COMPUTED_VALUE"""),346.85526988141106)</f>
        <v>346.8552699</v>
      </c>
      <c r="Z1755" s="82">
        <f>IFERROR(__xludf.DUMMYFUNCTION("""COMPUTED_VALUE"""),0.789168143558586)</f>
        <v>0.7891681436</v>
      </c>
      <c r="AA1755" s="82">
        <f>IFERROR(__xludf.DUMMYFUNCTION("""COMPUTED_VALUE"""),0.554377875803074)</f>
        <v>0.5543778758</v>
      </c>
      <c r="AB1755" s="82">
        <f>IFERROR(__xludf.DUMMYFUNCTION("""COMPUTED_VALUE"""),1.3048197313852916)</f>
        <v>1.304819731</v>
      </c>
      <c r="AC1755" s="82">
        <f>IFERROR(__xludf.DUMMYFUNCTION("""COMPUTED_VALUE"""),2.6035723970944886)</f>
        <v>2.603572397</v>
      </c>
      <c r="AD1755" s="82">
        <f>IFERROR(__xludf.DUMMYFUNCTION("""COMPUTED_VALUE"""),0.9544850851808397)</f>
        <v>0.9544850852</v>
      </c>
      <c r="AE1755" s="82">
        <f>IFERROR(__xludf.DUMMYFUNCTION("""COMPUTED_VALUE"""),0.8351717114668095)</f>
        <v>0.8351717115</v>
      </c>
      <c r="AF1755" s="82">
        <f>IFERROR(__xludf.DUMMYFUNCTION("""COMPUTED_VALUE"""),1.3938638363010012)</f>
        <v>1.393863836</v>
      </c>
      <c r="AG1755" s="82">
        <f>IFERROR(__xludf.DUMMYFUNCTION("""COMPUTED_VALUE"""),0.6792996879519964)</f>
        <v>0.679299688</v>
      </c>
      <c r="AH1755" s="82">
        <f>IFERROR(__xludf.DUMMYFUNCTION("""COMPUTED_VALUE"""),0.9864069157622944)</f>
        <v>0.9864069158</v>
      </c>
      <c r="AI1755" s="82">
        <f>IFERROR(__xludf.DUMMYFUNCTION("""COMPUTED_VALUE"""),0.9559444663559554)</f>
        <v>0.9559444664</v>
      </c>
      <c r="AJ1755" s="82">
        <f>IFERROR(__xludf.DUMMYFUNCTION("""COMPUTED_VALUE"""),0.8761936562148436)</f>
        <v>0.8761936562</v>
      </c>
      <c r="AK1755" s="82">
        <f>IFERROR(__xludf.DUMMYFUNCTION("""COMPUTED_VALUE"""),0.9375787167469829)</f>
        <v>0.9375787167</v>
      </c>
      <c r="AL1755" s="82">
        <f>IFERROR(__xludf.DUMMYFUNCTION("""COMPUTED_VALUE"""),1.0588946638372045)</f>
        <v>1.058894664</v>
      </c>
      <c r="AM1755" s="82">
        <f>IFERROR(__xludf.DUMMYFUNCTION("""COMPUTED_VALUE"""),0.9667215655867237)</f>
        <v>0.9667215656</v>
      </c>
      <c r="AN1755" s="82">
        <f>IFERROR(__xludf.DUMMYFUNCTION("""COMPUTED_VALUE"""),0.9763811291626875)</f>
        <v>0.9763811292</v>
      </c>
      <c r="AO1755" s="82">
        <f>IFERROR(__xludf.DUMMYFUNCTION("""COMPUTED_VALUE"""),0.8861845945983423)</f>
        <v>0.8861845946</v>
      </c>
      <c r="AP1755" s="82">
        <f>IFERROR(__xludf.DUMMYFUNCTION("""COMPUTED_VALUE"""),1.4157747569604053)</f>
        <v>1.415774757</v>
      </c>
      <c r="AQ1755" s="82">
        <f>IFERROR(__xludf.DUMMYFUNCTION("""COMPUTED_VALUE"""),0.6777265037307852)</f>
        <v>0.6777265037</v>
      </c>
      <c r="AR1755" s="82">
        <f>IFERROR(__xludf.DUMMYFUNCTION("""COMPUTED_VALUE"""),1.0265751915314238)</f>
        <v>1.026575192</v>
      </c>
      <c r="AS1755" s="82">
        <f>IFERROR(__xludf.DUMMYFUNCTION("""COMPUTED_VALUE"""),98.0)</f>
        <v>98</v>
      </c>
      <c r="AT1755" s="82">
        <f>IFERROR(__xludf.DUMMYFUNCTION("""COMPUTED_VALUE"""),0.5281203056629106)</f>
        <v>0.5281203057</v>
      </c>
      <c r="AU1755" s="82">
        <f>IFERROR(__xludf.DUMMYFUNCTION("""COMPUTED_VALUE"""),2.770012962078497)</f>
        <v>2.770012962</v>
      </c>
      <c r="AV1755" s="82">
        <f>IFERROR(__xludf.DUMMYFUNCTION("""COMPUTED_VALUE"""),58.4931146117965)</f>
        <v>58.49311461</v>
      </c>
      <c r="AW1755" s="82">
        <f t="shared" si="1"/>
        <v>2.724558277</v>
      </c>
      <c r="AX1755" s="83">
        <f t="array" ref="AX1755">IFERROR(DGET('SBV Import'!A:G,"SBV",{"RSC ID","Tier";B1755,A1755}))</f>
        <v>51.05526039</v>
      </c>
      <c r="AY1755" s="82">
        <f t="shared" si="2"/>
        <v>2.069684284</v>
      </c>
      <c r="AZ1755" s="82">
        <v>0.6548739928945615</v>
      </c>
      <c r="BA1755" s="84">
        <v>1700.0</v>
      </c>
      <c r="BB1755" s="84" t="b">
        <f>IFERROR(__xludf.DUMMYFUNCTION("iferror(if(A1755="""",,E1755&gt;=FILTER(Constants!$F$2:$F$10,Constants!$A$2:$A$10=A1755)))"),TRUE)</f>
        <v>1</v>
      </c>
    </row>
    <row r="1756">
      <c r="A1756" s="89" t="str">
        <f>IFERROR(__xludf.DUMMYFUNCTION("""COMPUTED_VALUE"""),"Rival")</f>
        <v>Rival</v>
      </c>
      <c r="B1756" s="87" t="str">
        <f>IFERROR(__xludf.DUMMYFUNCTION("""COMPUTED_VALUE"""),"RSC007186")</f>
        <v>RSC007186</v>
      </c>
      <c r="C1756" s="73" t="str">
        <f>IFERROR(__xludf.DUMMYFUNCTION("""COMPUTED_VALUE"""),"Bushier Brow")</f>
        <v>Bushier Brow</v>
      </c>
      <c r="D1756" s="73" t="str">
        <f>IFERROR(__xludf.DUMMYFUNCTION("""COMPUTED_VALUE"""),"Hot Wings")</f>
        <v>Hot Wings</v>
      </c>
      <c r="E1756" s="82">
        <f>IFERROR(__xludf.DUMMYFUNCTION("""COMPUTED_VALUE"""),34.0)</f>
        <v>34</v>
      </c>
      <c r="F1756" s="82">
        <f>IFERROR(__xludf.DUMMYFUNCTION("""COMPUTED_VALUE"""),21.0)</f>
        <v>21</v>
      </c>
      <c r="G1756" s="86">
        <f>IFERROR(__xludf.DUMMYFUNCTION("""COMPUTED_VALUE"""),13.0)</f>
        <v>13</v>
      </c>
      <c r="H1756" s="86">
        <f>IFERROR(__xludf.DUMMYFUNCTION("""COMPUTED_VALUE"""),0.6176470588235294)</f>
        <v>0.6176470588</v>
      </c>
      <c r="I1756" s="86">
        <f>IFERROR(__xludf.DUMMYFUNCTION("""COMPUTED_VALUE"""),0.30107526881720426)</f>
        <v>0.3010752688</v>
      </c>
      <c r="J1756" s="82">
        <f>IFERROR(__xludf.DUMMYFUNCTION("""COMPUTED_VALUE"""),348.05882352941177)</f>
        <v>348.0588235</v>
      </c>
      <c r="K1756" s="82">
        <f>IFERROR(__xludf.DUMMYFUNCTION("""COMPUTED_VALUE"""),0.8235294117647058)</f>
        <v>0.8235294118</v>
      </c>
      <c r="L1756" s="82">
        <f>IFERROR(__xludf.DUMMYFUNCTION("""COMPUTED_VALUE"""),0.4411764705882353)</f>
        <v>0.4411764706</v>
      </c>
      <c r="M1756" s="82">
        <f>IFERROR(__xludf.DUMMYFUNCTION("""COMPUTED_VALUE"""),1.3823529411764706)</f>
        <v>1.382352941</v>
      </c>
      <c r="N1756" s="82">
        <f>IFERROR(__xludf.DUMMYFUNCTION("""COMPUTED_VALUE"""),2.735294117647059)</f>
        <v>2.735294118</v>
      </c>
      <c r="O1756" s="82">
        <f>IFERROR(__xludf.DUMMYFUNCTION("""COMPUTED_VALUE"""),337.21568627450984)</f>
        <v>337.2156863</v>
      </c>
      <c r="P1756" s="82">
        <f>IFERROR(__xludf.DUMMYFUNCTION("""COMPUTED_VALUE"""),0.7058823529411765)</f>
        <v>0.7058823529</v>
      </c>
      <c r="Q1756" s="82">
        <f>IFERROR(__xludf.DUMMYFUNCTION("""COMPUTED_VALUE"""),0.4509803921568627)</f>
        <v>0.4509803922</v>
      </c>
      <c r="R1756" s="82">
        <f>IFERROR(__xludf.DUMMYFUNCTION("""COMPUTED_VALUE"""),1.5196078431372548)</f>
        <v>1.519607843</v>
      </c>
      <c r="S1756" s="82">
        <f>IFERROR(__xludf.DUMMYFUNCTION("""COMPUTED_VALUE"""),2.3921568627450984)</f>
        <v>2.392156863</v>
      </c>
      <c r="T1756" s="82">
        <f>IFERROR(__xludf.DUMMYFUNCTION("""COMPUTED_VALUE"""),348.65924927769316)</f>
        <v>348.6592493</v>
      </c>
      <c r="U1756" s="82">
        <f>IFERROR(__xludf.DUMMYFUNCTION("""COMPUTED_VALUE"""),0.8055042183674928)</f>
        <v>0.8055042184</v>
      </c>
      <c r="V1756" s="82">
        <f>IFERROR(__xludf.DUMMYFUNCTION("""COMPUTED_VALUE"""),0.5617005622781477)</f>
        <v>0.5617005623</v>
      </c>
      <c r="W1756" s="82">
        <f>IFERROR(__xludf.DUMMYFUNCTION("""COMPUTED_VALUE"""),1.3284383580988746)</f>
        <v>1.328438358</v>
      </c>
      <c r="X1756" s="82">
        <f>IFERROR(__xludf.DUMMYFUNCTION("""COMPUTED_VALUE"""),2.545477101887632)</f>
        <v>2.545477102</v>
      </c>
      <c r="Y1756" s="82">
        <f>IFERROR(__xludf.DUMMYFUNCTION("""COMPUTED_VALUE"""),342.49073661320875)</f>
        <v>342.4907366</v>
      </c>
      <c r="Z1756" s="82">
        <f>IFERROR(__xludf.DUMMYFUNCTION("""COMPUTED_VALUE"""),0.7566595610198384)</f>
        <v>0.756659561</v>
      </c>
      <c r="AA1756" s="82">
        <f>IFERROR(__xludf.DUMMYFUNCTION("""COMPUTED_VALUE"""),0.5505102427584597)</f>
        <v>0.5505102428</v>
      </c>
      <c r="AB1756" s="82">
        <f>IFERROR(__xludf.DUMMYFUNCTION("""COMPUTED_VALUE"""),1.3290873200732494)</f>
        <v>1.32908732</v>
      </c>
      <c r="AC1756" s="82">
        <f>IFERROR(__xludf.DUMMYFUNCTION("""COMPUTED_VALUE"""),2.5381336538220656)</f>
        <v>2.538133654</v>
      </c>
      <c r="AD1756" s="82">
        <f>IFERROR(__xludf.DUMMYFUNCTION("""COMPUTED_VALUE"""),1.016257627786562)</f>
        <v>1.016257628</v>
      </c>
      <c r="AE1756" s="82">
        <f>IFERROR(__xludf.DUMMYFUNCTION("""COMPUTED_VALUE"""),1.0883750819916147)</f>
        <v>1.088375082</v>
      </c>
      <c r="AF1756" s="82">
        <f>IFERROR(__xludf.DUMMYFUNCTION("""COMPUTED_VALUE"""),0.801395571456796)</f>
        <v>0.8013955715</v>
      </c>
      <c r="AG1756" s="82">
        <f>IFERROR(__xludf.DUMMYFUNCTION("""COMPUTED_VALUE"""),1.0400768409259111)</f>
        <v>1.040076841</v>
      </c>
      <c r="AH1756" s="82">
        <f>IFERROR(__xludf.DUMMYFUNCTION("""COMPUTED_VALUE"""),1.0776793072059456)</f>
        <v>1.077679307</v>
      </c>
      <c r="AI1756" s="82">
        <f>IFERROR(__xludf.DUMMYFUNCTION("""COMPUTED_VALUE"""),0.9671783753711092)</f>
        <v>0.9671783754</v>
      </c>
      <c r="AJ1756" s="82">
        <f>IFERROR(__xludf.DUMMYFUNCTION("""COMPUTED_VALUE"""),0.8763235956377499)</f>
        <v>0.8763235956</v>
      </c>
      <c r="AK1756" s="82">
        <f>IFERROR(__xludf.DUMMYFUNCTION("""COMPUTED_VALUE"""),0.8028839962840243)</f>
        <v>0.8028839963</v>
      </c>
      <c r="AL1756" s="82">
        <f>IFERROR(__xludf.DUMMYFUNCTION("""COMPUTED_VALUE"""),1.1439054238933317)</f>
        <v>1.143905424</v>
      </c>
      <c r="AM1756" s="82">
        <f>IFERROR(__xludf.DUMMYFUNCTION("""COMPUTED_VALUE"""),0.9397675826551977)</f>
        <v>0.9397675827</v>
      </c>
      <c r="AN1756" s="82">
        <f>IFERROR(__xludf.DUMMYFUNCTION("""COMPUTED_VALUE"""),1.026489665259702)</f>
        <v>1.026489665</v>
      </c>
      <c r="AO1756" s="82">
        <f>IFERROR(__xludf.DUMMYFUNCTION("""COMPUTED_VALUE"""),1.1072813595792674)</f>
        <v>1.10728136</v>
      </c>
      <c r="AP1756" s="82">
        <f>IFERROR(__xludf.DUMMYFUNCTION("""COMPUTED_VALUE"""),0.8083143076071518)</f>
        <v>0.8083143076</v>
      </c>
      <c r="AQ1756" s="82">
        <f>IFERROR(__xludf.DUMMYFUNCTION("""COMPUTED_VALUE"""),1.0569671264820995)</f>
        <v>1.056967126</v>
      </c>
      <c r="AR1756" s="82">
        <f>IFERROR(__xludf.DUMMYFUNCTION("""COMPUTED_VALUE"""),1.0933747224743848)</f>
        <v>1.093374722</v>
      </c>
      <c r="AS1756" s="82">
        <f>IFERROR(__xludf.DUMMYFUNCTION("""COMPUTED_VALUE"""),90.0)</f>
        <v>90</v>
      </c>
      <c r="AT1756" s="82">
        <f>IFERROR(__xludf.DUMMYFUNCTION("""COMPUTED_VALUE"""),0.5864443318104476)</f>
        <v>0.5864443318</v>
      </c>
      <c r="AU1756" s="82">
        <f>IFERROR(__xludf.DUMMYFUNCTION("""COMPUTED_VALUE"""),2.7650676348607295)</f>
        <v>2.765067635</v>
      </c>
      <c r="AV1756" s="82">
        <f>IFERROR(__xludf.DUMMYFUNCTION("""COMPUTED_VALUE"""),58.351530017612745)</f>
        <v>58.35153002</v>
      </c>
      <c r="AW1756" s="82">
        <f t="shared" si="1"/>
        <v>2.708803451</v>
      </c>
      <c r="AX1756" s="83">
        <f t="array" ref="AX1756">IFERROR(DGET('SBV Import'!A:G,"SBV",{"RSC ID","Tier";B1756,A1756}))</f>
        <v>46.21915857</v>
      </c>
      <c r="AY1756" s="82">
        <f t="shared" si="2"/>
        <v>-2.273266137</v>
      </c>
      <c r="AZ1756" s="82">
        <v>4.982069588231502</v>
      </c>
      <c r="BA1756" s="84">
        <v>1700.0</v>
      </c>
      <c r="BB1756" s="84" t="b">
        <f>IFERROR(__xludf.DUMMYFUNCTION("iferror(if(A1756="""",,E1756&gt;=FILTER(Constants!$F$2:$F$10,Constants!$A$2:$A$10=A1756)))"),TRUE)</f>
        <v>1</v>
      </c>
    </row>
    <row r="1757">
      <c r="A1757" s="89" t="str">
        <f>IFERROR(__xludf.DUMMYFUNCTION("""COMPUTED_VALUE"""),"Rival")</f>
        <v>Rival</v>
      </c>
      <c r="B1757" s="87" t="str">
        <f>IFERROR(__xludf.DUMMYFUNCTION("""COMPUTED_VALUE"""),"RSC003320")</f>
        <v>RSC003320</v>
      </c>
      <c r="C1757" s="73" t="str">
        <f>IFERROR(__xludf.DUMMYFUNCTION("""COMPUTED_VALUE"""),"jojomojo13")</f>
        <v>jojomojo13</v>
      </c>
      <c r="D1757" s="73"/>
      <c r="E1757" s="82">
        <f>IFERROR(__xludf.DUMMYFUNCTION("""COMPUTED_VALUE"""),4.0)</f>
        <v>4</v>
      </c>
      <c r="F1757" s="82">
        <f>IFERROR(__xludf.DUMMYFUNCTION("""COMPUTED_VALUE"""),0.0)</f>
        <v>0</v>
      </c>
      <c r="G1757" s="86">
        <f>IFERROR(__xludf.DUMMYFUNCTION("""COMPUTED_VALUE"""),4.0)</f>
        <v>4</v>
      </c>
      <c r="H1757" s="86">
        <f>IFERROR(__xludf.DUMMYFUNCTION("""COMPUTED_VALUE"""),0.0)</f>
        <v>0</v>
      </c>
      <c r="I1757" s="86">
        <f>IFERROR(__xludf.DUMMYFUNCTION("""COMPUTED_VALUE"""),0.2727272727272727)</f>
        <v>0.2727272727</v>
      </c>
      <c r="J1757" s="82">
        <f>IFERROR(__xludf.DUMMYFUNCTION("""COMPUTED_VALUE"""),404.25)</f>
        <v>404.25</v>
      </c>
      <c r="K1757" s="82">
        <f>IFERROR(__xludf.DUMMYFUNCTION("""COMPUTED_VALUE"""),0.75)</f>
        <v>0.75</v>
      </c>
      <c r="L1757" s="82">
        <f>IFERROR(__xludf.DUMMYFUNCTION("""COMPUTED_VALUE"""),0.5)</f>
        <v>0.5</v>
      </c>
      <c r="M1757" s="82">
        <f>IFERROR(__xludf.DUMMYFUNCTION("""COMPUTED_VALUE"""),1.75)</f>
        <v>1.75</v>
      </c>
      <c r="N1757" s="82">
        <f>IFERROR(__xludf.DUMMYFUNCTION("""COMPUTED_VALUE"""),2.75)</f>
        <v>2.75</v>
      </c>
      <c r="O1757" s="82">
        <f>IFERROR(__xludf.DUMMYFUNCTION("""COMPUTED_VALUE"""),434.1666666666667)</f>
        <v>434.1666667</v>
      </c>
      <c r="P1757" s="82">
        <f>IFERROR(__xludf.DUMMYFUNCTION("""COMPUTED_VALUE"""),1.0833333333333333)</f>
        <v>1.083333333</v>
      </c>
      <c r="Q1757" s="82">
        <f>IFERROR(__xludf.DUMMYFUNCTION("""COMPUTED_VALUE"""),0.75)</f>
        <v>0.75</v>
      </c>
      <c r="R1757" s="82">
        <f>IFERROR(__xludf.DUMMYFUNCTION("""COMPUTED_VALUE"""),1.5833333333333333)</f>
        <v>1.583333333</v>
      </c>
      <c r="S1757" s="82">
        <f>IFERROR(__xludf.DUMMYFUNCTION("""COMPUTED_VALUE"""),3.666666666666667)</f>
        <v>3.666666667</v>
      </c>
      <c r="T1757" s="82">
        <f>IFERROR(__xludf.DUMMYFUNCTION("""COMPUTED_VALUE"""),397.60398363479754)</f>
        <v>397.6039836</v>
      </c>
      <c r="U1757" s="82">
        <f>IFERROR(__xludf.DUMMYFUNCTION("""COMPUTED_VALUE"""),1.0064491817398795)</f>
        <v>1.006449182</v>
      </c>
      <c r="V1757" s="82">
        <f>IFERROR(__xludf.DUMMYFUNCTION("""COMPUTED_VALUE"""),0.7042204995693367)</f>
        <v>0.7042204996</v>
      </c>
      <c r="W1757" s="82">
        <f>IFERROR(__xludf.DUMMYFUNCTION("""COMPUTED_VALUE"""),1.4902993109388456)</f>
        <v>1.490299311</v>
      </c>
      <c r="X1757" s="82">
        <f>IFERROR(__xludf.DUMMYFUNCTION("""COMPUTED_VALUE"""),3.026087424633937)</f>
        <v>3.026087425</v>
      </c>
      <c r="Y1757" s="82">
        <f>IFERROR(__xludf.DUMMYFUNCTION("""COMPUTED_VALUE"""),332.8451837496412)</f>
        <v>332.8451837</v>
      </c>
      <c r="Z1757" s="82">
        <f>IFERROR(__xludf.DUMMYFUNCTION("""COMPUTED_VALUE"""),0.6490381854722939)</f>
        <v>0.6490381855</v>
      </c>
      <c r="AA1757" s="82">
        <f>IFERROR(__xludf.DUMMYFUNCTION("""COMPUTED_VALUE"""),0.48736721217341367)</f>
        <v>0.4873672122</v>
      </c>
      <c r="AB1757" s="82">
        <f>IFERROR(__xludf.DUMMYFUNCTION("""COMPUTED_VALUE"""),1.4236398219925352)</f>
        <v>1.423639822</v>
      </c>
      <c r="AC1757" s="82">
        <f>IFERROR(__xludf.DUMMYFUNCTION("""COMPUTED_VALUE"""),2.711767872523686)</f>
        <v>2.711767873</v>
      </c>
      <c r="AD1757" s="82">
        <f>IFERROR(__xludf.DUMMYFUNCTION("""COMPUTED_VALUE"""),1.2145286149132564)</f>
        <v>1.214528615</v>
      </c>
      <c r="AE1757" s="82">
        <f>IFERROR(__xludf.DUMMYFUNCTION("""COMPUTED_VALUE"""),1.1555560470671506)</f>
        <v>1.155556047</v>
      </c>
      <c r="AF1757" s="82">
        <f>IFERROR(__xludf.DUMMYFUNCTION("""COMPUTED_VALUE"""),1.0259204712812962)</f>
        <v>1.025920471</v>
      </c>
      <c r="AG1757" s="82">
        <f>IFERROR(__xludf.DUMMYFUNCTION("""COMPUTED_VALUE"""),1.2292435017381635)</f>
        <v>1.229243502</v>
      </c>
      <c r="AH1757" s="82">
        <f>IFERROR(__xludf.DUMMYFUNCTION("""COMPUTED_VALUE"""),1.0140985988748121)</f>
        <v>1.014098599</v>
      </c>
      <c r="AI1757" s="82">
        <f>IFERROR(__xludf.DUMMYFUNCTION("""COMPUTED_VALUE"""),1.0919575369884933)</f>
        <v>1.091957537</v>
      </c>
      <c r="AJ1757" s="82">
        <f>IFERROR(__xludf.DUMMYFUNCTION("""COMPUTED_VALUE"""),1.0763914889975286)</f>
        <v>1.076391489</v>
      </c>
      <c r="AK1757" s="82">
        <f>IFERROR(__xludf.DUMMYFUNCTION("""COMPUTED_VALUE"""),1.0650073385518593)</f>
        <v>1.065007339</v>
      </c>
      <c r="AL1757" s="82">
        <f>IFERROR(__xludf.DUMMYFUNCTION("""COMPUTED_VALUE"""),1.0624264009998627)</f>
        <v>1.062426401</v>
      </c>
      <c r="AM1757" s="82">
        <f>IFERROR(__xludf.DUMMYFUNCTION("""COMPUTED_VALUE"""),1.2116856363164128)</f>
        <v>1.211685636</v>
      </c>
      <c r="AN1757" s="82">
        <f>IFERROR(__xludf.DUMMYFUNCTION("""COMPUTED_VALUE"""),1.1922078083625127)</f>
        <v>1.192207808</v>
      </c>
      <c r="AO1757" s="82">
        <f>IFERROR(__xludf.DUMMYFUNCTION("""COMPUTED_VALUE"""),1.0084169524739757)</f>
        <v>1.008416952</v>
      </c>
      <c r="AP1757" s="82">
        <f>IFERROR(__xludf.DUMMYFUNCTION("""COMPUTED_VALUE"""),0.9160895486214388)</f>
        <v>0.9160895486</v>
      </c>
      <c r="AQ1757" s="82">
        <f>IFERROR(__xludf.DUMMYFUNCTION("""COMPUTED_VALUE"""),1.3380754048018069)</f>
        <v>1.338075405</v>
      </c>
      <c r="AR1757" s="82">
        <f>IFERROR(__xludf.DUMMYFUNCTION("""COMPUTED_VALUE"""),1.0992530811973653)</f>
        <v>1.099253081</v>
      </c>
      <c r="AS1757" s="82">
        <f>IFERROR(__xludf.DUMMYFUNCTION("""COMPUTED_VALUE"""),6.0)</f>
        <v>6</v>
      </c>
      <c r="AT1757" s="82">
        <f>IFERROR(__xludf.DUMMYFUNCTION("""COMPUTED_VALUE"""),0.2298430792925465)</f>
        <v>0.2298430793</v>
      </c>
      <c r="AU1757" s="82">
        <f>IFERROR(__xludf.DUMMYFUNCTION("""COMPUTED_VALUE"""),2.7632298661786168)</f>
        <v>2.763229866</v>
      </c>
      <c r="AV1757" s="82">
        <f>IFERROR(__xludf.DUMMYFUNCTION("""COMPUTED_VALUE"""),58.29891474634704)</f>
        <v>58.29891475</v>
      </c>
      <c r="AW1757" s="82">
        <f t="shared" si="1"/>
        <v>2.702987472</v>
      </c>
      <c r="AX1757" s="83">
        <f t="array" ref="AX1757">IFERROR(DGET('SBV Import'!A:G,"SBV",{"RSC ID","Tier";B1757,A1757}))</f>
        <v>46.92356928</v>
      </c>
      <c r="AY1757" s="82">
        <f t="shared" si="2"/>
        <v>-2.217143042</v>
      </c>
      <c r="AZ1757" s="82">
        <v>4.920130514709973</v>
      </c>
      <c r="BA1757" s="84">
        <v>1700.0</v>
      </c>
      <c r="BB1757" s="84" t="b">
        <f>IFERROR(__xludf.DUMMYFUNCTION("iferror(if(A1757="""",,E1757&gt;=FILTER(Constants!$F$2:$F$10,Constants!$A$2:$A$10=A1757)))"),TRUE)</f>
        <v>1</v>
      </c>
    </row>
    <row r="1758">
      <c r="A1758" s="89" t="str">
        <f>IFERROR(__xludf.DUMMYFUNCTION("""COMPUTED_VALUE"""),"Rival")</f>
        <v>Rival</v>
      </c>
      <c r="B1758" s="87" t="str">
        <f>IFERROR(__xludf.DUMMYFUNCTION("""COMPUTED_VALUE"""),"RSC002762")</f>
        <v>RSC002762</v>
      </c>
      <c r="C1758" s="73" t="str">
        <f>IFERROR(__xludf.DUMMYFUNCTION("""COMPUTED_VALUE"""),"OnwardFlame")</f>
        <v>OnwardFlame</v>
      </c>
      <c r="D1758" s="73" t="str">
        <f>IFERROR(__xludf.DUMMYFUNCTION("""COMPUTED_VALUE"""),"Stolen")</f>
        <v>Stolen</v>
      </c>
      <c r="E1758" s="82">
        <f>IFERROR(__xludf.DUMMYFUNCTION("""COMPUTED_VALUE"""),23.0)</f>
        <v>23</v>
      </c>
      <c r="F1758" s="82">
        <f>IFERROR(__xludf.DUMMYFUNCTION("""COMPUTED_VALUE"""),13.0)</f>
        <v>13</v>
      </c>
      <c r="G1758" s="86">
        <f>IFERROR(__xludf.DUMMYFUNCTION("""COMPUTED_VALUE"""),10.0)</f>
        <v>10</v>
      </c>
      <c r="H1758" s="86">
        <f>IFERROR(__xludf.DUMMYFUNCTION("""COMPUTED_VALUE"""),0.5652173913043478)</f>
        <v>0.5652173913</v>
      </c>
      <c r="I1758" s="86">
        <f>IFERROR(__xludf.DUMMYFUNCTION("""COMPUTED_VALUE"""),0.34328358208955223)</f>
        <v>0.3432835821</v>
      </c>
      <c r="J1758" s="82">
        <f>IFERROR(__xludf.DUMMYFUNCTION("""COMPUTED_VALUE"""),344.2608695652174)</f>
        <v>344.2608696</v>
      </c>
      <c r="K1758" s="82">
        <f>IFERROR(__xludf.DUMMYFUNCTION("""COMPUTED_VALUE"""),1.0)</f>
        <v>1</v>
      </c>
      <c r="L1758" s="82">
        <f>IFERROR(__xludf.DUMMYFUNCTION("""COMPUTED_VALUE"""),0.43478260869565216)</f>
        <v>0.4347826087</v>
      </c>
      <c r="M1758" s="82">
        <f>IFERROR(__xludf.DUMMYFUNCTION("""COMPUTED_VALUE"""),1.0869565217391304)</f>
        <v>1.086956522</v>
      </c>
      <c r="N1758" s="82">
        <f>IFERROR(__xludf.DUMMYFUNCTION("""COMPUTED_VALUE"""),2.9130434782608696)</f>
        <v>2.913043478</v>
      </c>
      <c r="O1758" s="82">
        <f>IFERROR(__xludf.DUMMYFUNCTION("""COMPUTED_VALUE"""),365.2608695652174)</f>
        <v>365.2608696</v>
      </c>
      <c r="P1758" s="82">
        <f>IFERROR(__xludf.DUMMYFUNCTION("""COMPUTED_VALUE"""),0.8550724637681159)</f>
        <v>0.8550724638</v>
      </c>
      <c r="Q1758" s="82">
        <f>IFERROR(__xludf.DUMMYFUNCTION("""COMPUTED_VALUE"""),0.7101449275362318)</f>
        <v>0.7101449275</v>
      </c>
      <c r="R1758" s="82">
        <f>IFERROR(__xludf.DUMMYFUNCTION("""COMPUTED_VALUE"""),1.4492753623188406)</f>
        <v>1.449275362</v>
      </c>
      <c r="S1758" s="82">
        <f>IFERROR(__xludf.DUMMYFUNCTION("""COMPUTED_VALUE"""),2.7536231884057973)</f>
        <v>2.753623188</v>
      </c>
      <c r="T1758" s="82">
        <f>IFERROR(__xludf.DUMMYFUNCTION("""COMPUTED_VALUE"""),356.6965759223585)</f>
        <v>356.6965759</v>
      </c>
      <c r="U1758" s="82">
        <f>IFERROR(__xludf.DUMMYFUNCTION("""COMPUTED_VALUE"""),0.8471622952230288)</f>
        <v>0.8471622952</v>
      </c>
      <c r="V1758" s="82">
        <f>IFERROR(__xludf.DUMMYFUNCTION("""COMPUTED_VALUE"""),0.5826993439084212)</f>
        <v>0.5826993439</v>
      </c>
      <c r="W1758" s="82">
        <f>IFERROR(__xludf.DUMMYFUNCTION("""COMPUTED_VALUE"""),1.354424172028141)</f>
        <v>1.354424172</v>
      </c>
      <c r="X1758" s="82">
        <f>IFERROR(__xludf.DUMMYFUNCTION("""COMPUTED_VALUE"""),2.6454842789861113)</f>
        <v>2.645484279</v>
      </c>
      <c r="Y1758" s="82">
        <f>IFERROR(__xludf.DUMMYFUNCTION("""COMPUTED_VALUE"""),353.095131521919)</f>
        <v>353.0951315</v>
      </c>
      <c r="Z1758" s="82">
        <f>IFERROR(__xludf.DUMMYFUNCTION("""COMPUTED_VALUE"""),0.8334637394397005)</f>
        <v>0.8334637394</v>
      </c>
      <c r="AA1758" s="82">
        <f>IFERROR(__xludf.DUMMYFUNCTION("""COMPUTED_VALUE"""),0.5824483959754534)</f>
        <v>0.582448396</v>
      </c>
      <c r="AB1758" s="82">
        <f>IFERROR(__xludf.DUMMYFUNCTION("""COMPUTED_VALUE"""),1.281449168785543)</f>
        <v>1.281449169</v>
      </c>
      <c r="AC1758" s="82">
        <f>IFERROR(__xludf.DUMMYFUNCTION("""COMPUTED_VALUE"""),2.669892884986888)</f>
        <v>2.669892885</v>
      </c>
      <c r="AD1758" s="82">
        <f>IFERROR(__xludf.DUMMYFUNCTION("""COMPUTED_VALUE"""),0.9749805047760813)</f>
        <v>0.9749805048</v>
      </c>
      <c r="AE1758" s="82">
        <f>IFERROR(__xludf.DUMMYFUNCTION("""COMPUTED_VALUE"""),1.1998122445881738)</f>
        <v>1.199812245</v>
      </c>
      <c r="AF1758" s="82">
        <f>IFERROR(__xludf.DUMMYFUNCTION("""COMPUTED_VALUE"""),0.7464740425072363)</f>
        <v>0.7464740425</v>
      </c>
      <c r="AG1758" s="82">
        <f>IFERROR(__xludf.DUMMYFUNCTION("""COMPUTED_VALUE"""),0.848224454169542)</f>
        <v>0.8482244542</v>
      </c>
      <c r="AH1758" s="82">
        <f>IFERROR(__xludf.DUMMYFUNCTION("""COMPUTED_VALUE"""),1.0910712915268044)</f>
        <v>1.091071292</v>
      </c>
      <c r="AI1758" s="82">
        <f>IFERROR(__xludf.DUMMYFUNCTION("""COMPUTED_VALUE"""),1.0240100248249175)</f>
        <v>1.024010025</v>
      </c>
      <c r="AJ1758" s="82">
        <f>IFERROR(__xludf.DUMMYFUNCTION("""COMPUTED_VALUE"""),1.0093372528377276)</f>
        <v>1.009337253</v>
      </c>
      <c r="AK1758" s="82">
        <f>IFERROR(__xludf.DUMMYFUNCTION("""COMPUTED_VALUE"""),1.2187158522832324)</f>
        <v>1.218715852</v>
      </c>
      <c r="AL1758" s="82">
        <f>IFERROR(__xludf.DUMMYFUNCTION("""COMPUTED_VALUE"""),1.070030639034349)</f>
        <v>1.070030639</v>
      </c>
      <c r="AM1758" s="82">
        <f>IFERROR(__xludf.DUMMYFUNCTION("""COMPUTED_VALUE"""),1.0408767915495345)</f>
        <v>1.040876792</v>
      </c>
      <c r="AN1758" s="82">
        <f>IFERROR(__xludf.DUMMYFUNCTION("""COMPUTED_VALUE"""),1.0152887985388266)</f>
        <v>1.015288799</v>
      </c>
      <c r="AO1758" s="82">
        <f>IFERROR(__xludf.DUMMYFUNCTION("""COMPUTED_VALUE"""),1.3445559366319677)</f>
        <v>1.344555937</v>
      </c>
      <c r="AP1758" s="82">
        <f>IFERROR(__xludf.DUMMYFUNCTION("""COMPUTED_VALUE"""),0.7965996074969033)</f>
        <v>0.7965996075</v>
      </c>
      <c r="AQ1758" s="82">
        <f>IFERROR(__xludf.DUMMYFUNCTION("""COMPUTED_VALUE"""),0.8311027359017433)</f>
        <v>0.8311027359</v>
      </c>
      <c r="AR1758" s="82">
        <f>IFERROR(__xludf.DUMMYFUNCTION("""COMPUTED_VALUE"""),1.1644261887782368)</f>
        <v>1.164426189</v>
      </c>
      <c r="AS1758" s="82">
        <f>IFERROR(__xludf.DUMMYFUNCTION("""COMPUTED_VALUE"""),61.0)</f>
        <v>61</v>
      </c>
      <c r="AT1758" s="82">
        <f>IFERROR(__xludf.DUMMYFUNCTION("""COMPUTED_VALUE"""),0.5133864155488694)</f>
        <v>0.5133864155</v>
      </c>
      <c r="AU1758" s="82">
        <f>IFERROR(__xludf.DUMMYFUNCTION("""COMPUTED_VALUE"""),2.73617283382184)</f>
        <v>2.736172834</v>
      </c>
      <c r="AV1758" s="82">
        <f>IFERROR(__xludf.DUMMYFUNCTION("""COMPUTED_VALUE"""),57.5242725887386)</f>
        <v>57.52427259</v>
      </c>
      <c r="AW1758" s="82">
        <f t="shared" si="1"/>
        <v>2.619732647</v>
      </c>
      <c r="AX1758" s="83">
        <f t="array" ref="AX1758">IFERROR(DGET('SBV Import'!A:G,"SBV",{"RSC ID","Tier";B1758,A1758}))</f>
        <v>40.82579409</v>
      </c>
      <c r="AY1758" s="82">
        <f t="shared" si="2"/>
        <v>-2.802522843</v>
      </c>
      <c r="AZ1758" s="82">
        <v>5.422255490139955</v>
      </c>
      <c r="BA1758" s="84">
        <v>1700.0</v>
      </c>
      <c r="BB1758" s="84" t="b">
        <f>IFERROR(__xludf.DUMMYFUNCTION("iferror(if(A1758="""",,E1758&gt;=FILTER(Constants!$F$2:$F$10,Constants!$A$2:$A$10=A1758)))"),TRUE)</f>
        <v>1</v>
      </c>
    </row>
    <row r="1759">
      <c r="A1759" s="89" t="str">
        <f>IFERROR(__xludf.DUMMYFUNCTION("""COMPUTED_VALUE"""),"Rival")</f>
        <v>Rival</v>
      </c>
      <c r="B1759" s="87" t="str">
        <f>IFERROR(__xludf.DUMMYFUNCTION("""COMPUTED_VALUE"""),"RSC005828")</f>
        <v>RSC005828</v>
      </c>
      <c r="C1759" s="73" t="str">
        <f>IFERROR(__xludf.DUMMYFUNCTION("""COMPUTED_VALUE"""),"Creme")</f>
        <v>Creme</v>
      </c>
      <c r="D1759" s="73" t="str">
        <f>IFERROR(__xludf.DUMMYFUNCTION("""COMPUTED_VALUE"""),"Bulldozers")</f>
        <v>Bulldozers</v>
      </c>
      <c r="E1759" s="82">
        <f>IFERROR(__xludf.DUMMYFUNCTION("""COMPUTED_VALUE"""),45.0)</f>
        <v>45</v>
      </c>
      <c r="F1759" s="82">
        <f>IFERROR(__xludf.DUMMYFUNCTION("""COMPUTED_VALUE"""),34.0)</f>
        <v>34</v>
      </c>
      <c r="G1759" s="86">
        <f>IFERROR(__xludf.DUMMYFUNCTION("""COMPUTED_VALUE"""),11.0)</f>
        <v>11</v>
      </c>
      <c r="H1759" s="86">
        <f>IFERROR(__xludf.DUMMYFUNCTION("""COMPUTED_VALUE"""),0.7555555555555555)</f>
        <v>0.7555555556</v>
      </c>
      <c r="I1759" s="86">
        <f>IFERROR(__xludf.DUMMYFUNCTION("""COMPUTED_VALUE"""),0.3275862068965517)</f>
        <v>0.3275862069</v>
      </c>
      <c r="J1759" s="82">
        <f>IFERROR(__xludf.DUMMYFUNCTION("""COMPUTED_VALUE"""),353.02222222222224)</f>
        <v>353.0222222</v>
      </c>
      <c r="K1759" s="82">
        <f>IFERROR(__xludf.DUMMYFUNCTION("""COMPUTED_VALUE"""),0.8444444444444444)</f>
        <v>0.8444444444</v>
      </c>
      <c r="L1759" s="82">
        <f>IFERROR(__xludf.DUMMYFUNCTION("""COMPUTED_VALUE"""),0.5777777777777777)</f>
        <v>0.5777777778</v>
      </c>
      <c r="M1759" s="82">
        <f>IFERROR(__xludf.DUMMYFUNCTION("""COMPUTED_VALUE"""),1.511111111111111)</f>
        <v>1.511111111</v>
      </c>
      <c r="N1759" s="82">
        <f>IFERROR(__xludf.DUMMYFUNCTION("""COMPUTED_VALUE"""),2.577777777777778)</f>
        <v>2.577777778</v>
      </c>
      <c r="O1759" s="82">
        <f>IFERROR(__xludf.DUMMYFUNCTION("""COMPUTED_VALUE"""),331.65925925925933)</f>
        <v>331.6592593</v>
      </c>
      <c r="P1759" s="82">
        <f>IFERROR(__xludf.DUMMYFUNCTION("""COMPUTED_VALUE"""),0.6370370370370368)</f>
        <v>0.637037037</v>
      </c>
      <c r="Q1759" s="82">
        <f>IFERROR(__xludf.DUMMYFUNCTION("""COMPUTED_VALUE"""),0.48148148148148145)</f>
        <v>0.4814814815</v>
      </c>
      <c r="R1759" s="82">
        <f>IFERROR(__xludf.DUMMYFUNCTION("""COMPUTED_VALUE"""),1.414814814814815)</f>
        <v>1.414814815</v>
      </c>
      <c r="S1759" s="82">
        <f>IFERROR(__xludf.DUMMYFUNCTION("""COMPUTED_VALUE"""),2.7333333333333325)</f>
        <v>2.733333333</v>
      </c>
      <c r="T1759" s="82">
        <f>IFERROR(__xludf.DUMMYFUNCTION("""COMPUTED_VALUE"""),338.5069650572922)</f>
        <v>338.5069651</v>
      </c>
      <c r="U1759" s="82">
        <f>IFERROR(__xludf.DUMMYFUNCTION("""COMPUTED_VALUE"""),0.7389795443386977)</f>
        <v>0.7389795443</v>
      </c>
      <c r="V1759" s="82">
        <f>IFERROR(__xludf.DUMMYFUNCTION("""COMPUTED_VALUE"""),0.5216917591335248)</f>
        <v>0.5216917591</v>
      </c>
      <c r="W1759" s="82">
        <f>IFERROR(__xludf.DUMMYFUNCTION("""COMPUTED_VALUE"""),1.3048064220646485)</f>
        <v>1.304806422</v>
      </c>
      <c r="X1759" s="82">
        <f>IFERROR(__xludf.DUMMYFUNCTION("""COMPUTED_VALUE"""),2.4988986481576756)</f>
        <v>2.498898648</v>
      </c>
      <c r="Y1759" s="82">
        <f>IFERROR(__xludf.DUMMYFUNCTION("""COMPUTED_VALUE"""),358.43979173549104)</f>
        <v>358.4397917</v>
      </c>
      <c r="Z1759" s="82">
        <f>IFERROR(__xludf.DUMMYFUNCTION("""COMPUTED_VALUE"""),0.8436223263534176)</f>
        <v>0.8436223264</v>
      </c>
      <c r="AA1759" s="82">
        <f>IFERROR(__xludf.DUMMYFUNCTION("""COMPUTED_VALUE"""),0.6158438146807088)</f>
        <v>0.6158438147</v>
      </c>
      <c r="AB1759" s="82">
        <f>IFERROR(__xludf.DUMMYFUNCTION("""COMPUTED_VALUE"""),1.3212552384807559)</f>
        <v>1.321255238</v>
      </c>
      <c r="AC1759" s="82">
        <f>IFERROR(__xludf.DUMMYFUNCTION("""COMPUTED_VALUE"""),2.650438305278554)</f>
        <v>2.650438305</v>
      </c>
      <c r="AD1759" s="82">
        <f>IFERROR(__xludf.DUMMYFUNCTION("""COMPUTED_VALUE"""),0.9848856917167649)</f>
        <v>0.9848856917</v>
      </c>
      <c r="AE1759" s="82">
        <f>IFERROR(__xludf.DUMMYFUNCTION("""COMPUTED_VALUE"""),1.00097450964175)</f>
        <v>1.00097451</v>
      </c>
      <c r="AF1759" s="82">
        <f>IFERROR(__xludf.DUMMYFUNCTION("""COMPUTED_VALUE"""),0.9381888134694235)</f>
        <v>0.9381888135</v>
      </c>
      <c r="AG1759" s="82">
        <f>IFERROR(__xludf.DUMMYFUNCTION("""COMPUTED_VALUE"""),1.1436935628339766)</f>
        <v>1.143693563</v>
      </c>
      <c r="AH1759" s="82">
        <f>IFERROR(__xludf.DUMMYFUNCTION("""COMPUTED_VALUE"""),0.9725854673334343)</f>
        <v>0.9725854673</v>
      </c>
      <c r="AI1759" s="82">
        <f>IFERROR(__xludf.DUMMYFUNCTION("""COMPUTED_VALUE"""),0.9797708570136101)</f>
        <v>0.979770857</v>
      </c>
      <c r="AJ1759" s="82">
        <f>IFERROR(__xludf.DUMMYFUNCTION("""COMPUTED_VALUE"""),0.8620496222356361)</f>
        <v>0.8620496222</v>
      </c>
      <c r="AK1759" s="82">
        <f>IFERROR(__xludf.DUMMYFUNCTION("""COMPUTED_VALUE"""),0.9229233029886682)</f>
        <v>0.922923303</v>
      </c>
      <c r="AL1759" s="82">
        <f>IFERROR(__xludf.DUMMYFUNCTION("""COMPUTED_VALUE"""),1.084310125157183)</f>
        <v>1.084310125</v>
      </c>
      <c r="AM1759" s="82">
        <f>IFERROR(__xludf.DUMMYFUNCTION("""COMPUTED_VALUE"""),1.093815203489143)</f>
        <v>1.093815203</v>
      </c>
      <c r="AN1759" s="82">
        <f>IFERROR(__xludf.DUMMYFUNCTION("""COMPUTED_VALUE"""),1.041127643435546)</f>
        <v>1.041127643</v>
      </c>
      <c r="AO1759" s="82">
        <f>IFERROR(__xludf.DUMMYFUNCTION("""COMPUTED_VALUE"""),1.1354027909336617)</f>
        <v>1.135402791</v>
      </c>
      <c r="AP1759" s="82">
        <f>IFERROR(__xludf.DUMMYFUNCTION("""COMPUTED_VALUE"""),1.0585923672958848)</f>
        <v>1.058592367</v>
      </c>
      <c r="AQ1759" s="82">
        <f>IFERROR(__xludf.DUMMYFUNCTION("""COMPUTED_VALUE"""),1.1554174924002905)</f>
        <v>1.155417492</v>
      </c>
      <c r="AR1759" s="82">
        <f>IFERROR(__xludf.DUMMYFUNCTION("""COMPUTED_VALUE"""),1.0304109690415708)</f>
        <v>1.030410969</v>
      </c>
      <c r="AS1759" s="82">
        <f>IFERROR(__xludf.DUMMYFUNCTION("""COMPUTED_VALUE"""),139.0)</f>
        <v>139</v>
      </c>
      <c r="AT1759" s="82">
        <f>IFERROR(__xludf.DUMMYFUNCTION("""COMPUTED_VALUE"""),0.681789785171931)</f>
        <v>0.6817897852</v>
      </c>
      <c r="AU1759" s="82">
        <f>IFERROR(__xludf.DUMMYFUNCTION("""COMPUTED_VALUE"""),2.725225676298947)</f>
        <v>2.725225676</v>
      </c>
      <c r="AV1759" s="82">
        <f>IFERROR(__xludf.DUMMYFUNCTION("""COMPUTED_VALUE"""),57.21085574348398)</f>
        <v>57.21085574</v>
      </c>
      <c r="AW1759" s="82">
        <f t="shared" si="1"/>
        <v>2.587274028</v>
      </c>
      <c r="AX1759" s="83">
        <f t="array" ref="AX1759">IFERROR(DGET('SBV Import'!A:G,"SBV",{"RSC ID","Tier";B1759,A1759}))</f>
        <v>37.81901056</v>
      </c>
      <c r="AY1759" s="82">
        <f t="shared" si="2"/>
        <v>-3.194436258</v>
      </c>
      <c r="AZ1759" s="82">
        <v>5.781710285295137</v>
      </c>
      <c r="BA1759" s="84">
        <v>1700.0</v>
      </c>
      <c r="BB1759" s="84" t="b">
        <f>IFERROR(__xludf.DUMMYFUNCTION("iferror(if(A1759="""",,E1759&gt;=FILTER(Constants!$F$2:$F$10,Constants!$A$2:$A$10=A1759)))"),TRUE)</f>
        <v>1</v>
      </c>
    </row>
    <row r="1760">
      <c r="A1760" s="89" t="str">
        <f>IFERROR(__xludf.DUMMYFUNCTION("""COMPUTED_VALUE"""),"Rival")</f>
        <v>Rival</v>
      </c>
      <c r="B1760" s="87" t="str">
        <f>IFERROR(__xludf.DUMMYFUNCTION("""COMPUTED_VALUE"""),"RSC002267")</f>
        <v>RSC002267</v>
      </c>
      <c r="C1760" s="73" t="str">
        <f>IFERROR(__xludf.DUMMYFUNCTION("""COMPUTED_VALUE"""),"Dooqal")</f>
        <v>Dooqal</v>
      </c>
      <c r="D1760" s="73" t="str">
        <f>IFERROR(__xludf.DUMMYFUNCTION("""COMPUTED_VALUE"""),"Dracos")</f>
        <v>Dracos</v>
      </c>
      <c r="E1760" s="82">
        <f>IFERROR(__xludf.DUMMYFUNCTION("""COMPUTED_VALUE"""),36.0)</f>
        <v>36</v>
      </c>
      <c r="F1760" s="82">
        <f>IFERROR(__xludf.DUMMYFUNCTION("""COMPUTED_VALUE"""),21.0)</f>
        <v>21</v>
      </c>
      <c r="G1760" s="86">
        <f>IFERROR(__xludf.DUMMYFUNCTION("""COMPUTED_VALUE"""),15.0)</f>
        <v>15</v>
      </c>
      <c r="H1760" s="86">
        <f>IFERROR(__xludf.DUMMYFUNCTION("""COMPUTED_VALUE"""),0.5833333333333334)</f>
        <v>0.5833333333</v>
      </c>
      <c r="I1760" s="86">
        <f>IFERROR(__xludf.DUMMYFUNCTION("""COMPUTED_VALUE"""),0.3440860215053763)</f>
        <v>0.3440860215</v>
      </c>
      <c r="J1760" s="82">
        <f>IFERROR(__xludf.DUMMYFUNCTION("""COMPUTED_VALUE"""),368.4166666666667)</f>
        <v>368.4166667</v>
      </c>
      <c r="K1760" s="82">
        <f>IFERROR(__xludf.DUMMYFUNCTION("""COMPUTED_VALUE"""),0.8888888888888888)</f>
        <v>0.8888888889</v>
      </c>
      <c r="L1760" s="82">
        <f>IFERROR(__xludf.DUMMYFUNCTION("""COMPUTED_VALUE"""),0.4722222222222222)</f>
        <v>0.4722222222</v>
      </c>
      <c r="M1760" s="82">
        <f>IFERROR(__xludf.DUMMYFUNCTION("""COMPUTED_VALUE"""),1.4722222222222223)</f>
        <v>1.472222222</v>
      </c>
      <c r="N1760" s="82">
        <f>IFERROR(__xludf.DUMMYFUNCTION("""COMPUTED_VALUE"""),2.5833333333333335)</f>
        <v>2.583333333</v>
      </c>
      <c r="O1760" s="82">
        <f>IFERROR(__xludf.DUMMYFUNCTION("""COMPUTED_VALUE"""),343.61111111111114)</f>
        <v>343.6111111</v>
      </c>
      <c r="P1760" s="82">
        <f>IFERROR(__xludf.DUMMYFUNCTION("""COMPUTED_VALUE"""),0.7962962962962963)</f>
        <v>0.7962962963</v>
      </c>
      <c r="Q1760" s="82">
        <f>IFERROR(__xludf.DUMMYFUNCTION("""COMPUTED_VALUE"""),0.462962962962963)</f>
        <v>0.462962963</v>
      </c>
      <c r="R1760" s="82">
        <f>IFERROR(__xludf.DUMMYFUNCTION("""COMPUTED_VALUE"""),1.2777777777777781)</f>
        <v>1.277777778</v>
      </c>
      <c r="S1760" s="82">
        <f>IFERROR(__xludf.DUMMYFUNCTION("""COMPUTED_VALUE"""),2.6018518518518516)</f>
        <v>2.601851852</v>
      </c>
      <c r="T1760" s="82">
        <f>IFERROR(__xludf.DUMMYFUNCTION("""COMPUTED_VALUE"""),352.5774625132409)</f>
        <v>352.5774625</v>
      </c>
      <c r="U1760" s="82">
        <f>IFERROR(__xludf.DUMMYFUNCTION("""COMPUTED_VALUE"""),0.7854129312718982)</f>
        <v>0.7854129313</v>
      </c>
      <c r="V1760" s="82">
        <f>IFERROR(__xludf.DUMMYFUNCTION("""COMPUTED_VALUE"""),0.5349741626793896)</f>
        <v>0.5349741627</v>
      </c>
      <c r="W1760" s="82">
        <f>IFERROR(__xludf.DUMMYFUNCTION("""COMPUTED_VALUE"""),1.3439111703772764)</f>
        <v>1.34391117</v>
      </c>
      <c r="X1760" s="82">
        <f>IFERROR(__xludf.DUMMYFUNCTION("""COMPUTED_VALUE"""),2.6848609869396527)</f>
        <v>2.684860987</v>
      </c>
      <c r="Y1760" s="82">
        <f>IFERROR(__xludf.DUMMYFUNCTION("""COMPUTED_VALUE"""),358.578452272007)</f>
        <v>358.5784523</v>
      </c>
      <c r="Z1760" s="82">
        <f>IFERROR(__xludf.DUMMYFUNCTION("""COMPUTED_VALUE"""),0.8440426828554479)</f>
        <v>0.8440426829</v>
      </c>
      <c r="AA1760" s="82">
        <f>IFERROR(__xludf.DUMMYFUNCTION("""COMPUTED_VALUE"""),0.5949549878812225)</f>
        <v>0.5949549879</v>
      </c>
      <c r="AB1760" s="82">
        <f>IFERROR(__xludf.DUMMYFUNCTION("""COMPUTED_VALUE"""),1.3273364396065899)</f>
        <v>1.32733644</v>
      </c>
      <c r="AC1760" s="82">
        <f>IFERROR(__xludf.DUMMYFUNCTION("""COMPUTED_VALUE"""),2.625193833073289)</f>
        <v>2.625193833</v>
      </c>
      <c r="AD1760" s="82">
        <f>IFERROR(__xludf.DUMMYFUNCTION("""COMPUTED_VALUE"""),1.0274367138692335)</f>
        <v>1.027436714</v>
      </c>
      <c r="AE1760" s="82">
        <f>IFERROR(__xludf.DUMMYFUNCTION("""COMPUTED_VALUE"""),1.0531326281767215)</f>
        <v>1.053132628</v>
      </c>
      <c r="AF1760" s="82">
        <f>IFERROR(__xludf.DUMMYFUNCTION("""COMPUTED_VALUE"""),0.7937108383676534)</f>
        <v>0.7937108384</v>
      </c>
      <c r="AG1760" s="82">
        <f>IFERROR(__xludf.DUMMYFUNCTION("""COMPUTED_VALUE"""),1.1091552814285541)</f>
        <v>1.109155281</v>
      </c>
      <c r="AH1760" s="82">
        <f>IFERROR(__xludf.DUMMYFUNCTION("""COMPUTED_VALUE"""),0.9840543204038577)</f>
        <v>0.9840543204</v>
      </c>
      <c r="AI1760" s="82">
        <f>IFERROR(__xludf.DUMMYFUNCTION("""COMPUTED_VALUE"""),0.9745691306012135)</f>
        <v>0.9745691306</v>
      </c>
      <c r="AJ1760" s="82">
        <f>IFERROR(__xludf.DUMMYFUNCTION("""COMPUTED_VALUE"""),1.013856870177543)</f>
        <v>1.01385687</v>
      </c>
      <c r="AK1760" s="82">
        <f>IFERROR(__xludf.DUMMYFUNCTION("""COMPUTED_VALUE"""),0.8653931259861929)</f>
        <v>0.865393126</v>
      </c>
      <c r="AL1760" s="82">
        <f>IFERROR(__xludf.DUMMYFUNCTION("""COMPUTED_VALUE"""),0.9507903542605926)</f>
        <v>0.9507903543</v>
      </c>
      <c r="AM1760" s="82">
        <f>IFERROR(__xludf.DUMMYFUNCTION("""COMPUTED_VALUE"""),0.9690825202900284)</f>
        <v>0.9690825203</v>
      </c>
      <c r="AN1760" s="82">
        <f>IFERROR(__xludf.DUMMYFUNCTION("""COMPUTED_VALUE"""),1.0865286993961387)</f>
        <v>1.086528699</v>
      </c>
      <c r="AO1760" s="82">
        <f>IFERROR(__xludf.DUMMYFUNCTION("""COMPUTED_VALUE"""),1.1951608325617489)</f>
        <v>1.195160833</v>
      </c>
      <c r="AP1760" s="82">
        <f>IFERROR(__xludf.DUMMYFUNCTION("""COMPUTED_VALUE"""),0.8651956848091366)</f>
        <v>0.8651956848</v>
      </c>
      <c r="AQ1760" s="82">
        <f>IFERROR(__xludf.DUMMYFUNCTION("""COMPUTED_VALUE"""),1.1256824834046948)</f>
        <v>1.125682483</v>
      </c>
      <c r="AR1760" s="82">
        <f>IFERROR(__xludf.DUMMYFUNCTION("""COMPUTED_VALUE"""),1.032631682336919)</f>
        <v>1.032631682</v>
      </c>
      <c r="AS1760" s="82">
        <f>IFERROR(__xludf.DUMMYFUNCTION("""COMPUTED_VALUE"""),92.0)</f>
        <v>92</v>
      </c>
      <c r="AT1760" s="82">
        <f>IFERROR(__xludf.DUMMYFUNCTION("""COMPUTED_VALUE"""),0.5266480744220372)</f>
        <v>0.5266480744</v>
      </c>
      <c r="AU1760" s="82">
        <f>IFERROR(__xludf.DUMMYFUNCTION("""COMPUTED_VALUE"""),2.715070822225433)</f>
        <v>2.715070822</v>
      </c>
      <c r="AV1760" s="82">
        <f>IFERROR(__xludf.DUMMYFUNCTION("""COMPUTED_VALUE"""),56.92012252610896)</f>
        <v>56.92012253</v>
      </c>
      <c r="AW1760" s="82">
        <f t="shared" si="1"/>
        <v>2.557773983</v>
      </c>
      <c r="AX1760" s="83">
        <f t="array" ref="AX1760">IFERROR(DGET('SBV Import'!A:G,"SBV",{"RSC ID","Tier";B1760,A1760}))</f>
        <v>53.52722624</v>
      </c>
      <c r="AY1760" s="82">
        <f t="shared" si="2"/>
        <v>2.25276066</v>
      </c>
      <c r="AZ1760" s="82">
        <v>0.3050133226042262</v>
      </c>
      <c r="BA1760" s="84">
        <v>1700.0</v>
      </c>
      <c r="BB1760" s="84" t="b">
        <f>IFERROR(__xludf.DUMMYFUNCTION("iferror(if(A1760="""",,E1760&gt;=FILTER(Constants!$F$2:$F$10,Constants!$A$2:$A$10=A1760)))"),TRUE)</f>
        <v>1</v>
      </c>
    </row>
    <row r="1761">
      <c r="A1761" s="89" t="str">
        <f>IFERROR(__xludf.DUMMYFUNCTION("""COMPUTED_VALUE"""),"Rival")</f>
        <v>Rival</v>
      </c>
      <c r="B1761" s="87" t="str">
        <f>IFERROR(__xludf.DUMMYFUNCTION("""COMPUTED_VALUE"""),"RSC002330")</f>
        <v>RSC002330</v>
      </c>
      <c r="C1761" s="73" t="str">
        <f>IFERROR(__xludf.DUMMYFUNCTION("""COMPUTED_VALUE"""),"JesterGG")</f>
        <v>JesterGG</v>
      </c>
      <c r="D1761" s="73" t="str">
        <f>IFERROR(__xludf.DUMMYFUNCTION("""COMPUTED_VALUE"""),"Polar Bears")</f>
        <v>Polar Bears</v>
      </c>
      <c r="E1761" s="82">
        <f>IFERROR(__xludf.DUMMYFUNCTION("""COMPUTED_VALUE"""),26.0)</f>
        <v>26</v>
      </c>
      <c r="F1761" s="82">
        <f>IFERROR(__xludf.DUMMYFUNCTION("""COMPUTED_VALUE"""),11.0)</f>
        <v>11</v>
      </c>
      <c r="G1761" s="86">
        <f>IFERROR(__xludf.DUMMYFUNCTION("""COMPUTED_VALUE"""),15.0)</f>
        <v>15</v>
      </c>
      <c r="H1761" s="86">
        <f>IFERROR(__xludf.DUMMYFUNCTION("""COMPUTED_VALUE"""),0.4230769230769231)</f>
        <v>0.4230769231</v>
      </c>
      <c r="I1761" s="86">
        <f>IFERROR(__xludf.DUMMYFUNCTION("""COMPUTED_VALUE"""),0.1904761904761905)</f>
        <v>0.1904761905</v>
      </c>
      <c r="J1761" s="82">
        <f>IFERROR(__xludf.DUMMYFUNCTION("""COMPUTED_VALUE"""),348.5)</f>
        <v>348.5</v>
      </c>
      <c r="K1761" s="82">
        <f>IFERROR(__xludf.DUMMYFUNCTION("""COMPUTED_VALUE"""),0.6153846153846154)</f>
        <v>0.6153846154</v>
      </c>
      <c r="L1761" s="82">
        <f>IFERROR(__xludf.DUMMYFUNCTION("""COMPUTED_VALUE"""),0.5769230769230769)</f>
        <v>0.5769230769</v>
      </c>
      <c r="M1761" s="82">
        <f>IFERROR(__xludf.DUMMYFUNCTION("""COMPUTED_VALUE"""),1.5)</f>
        <v>1.5</v>
      </c>
      <c r="N1761" s="82">
        <f>IFERROR(__xludf.DUMMYFUNCTION("""COMPUTED_VALUE"""),3.230769230769231)</f>
        <v>3.230769231</v>
      </c>
      <c r="O1761" s="82">
        <f>IFERROR(__xludf.DUMMYFUNCTION("""COMPUTED_VALUE"""),365.8846153846153)</f>
        <v>365.8846154</v>
      </c>
      <c r="P1761" s="82">
        <f>IFERROR(__xludf.DUMMYFUNCTION("""COMPUTED_VALUE"""),0.8461538461538459)</f>
        <v>0.8461538462</v>
      </c>
      <c r="Q1761" s="82">
        <f>IFERROR(__xludf.DUMMYFUNCTION("""COMPUTED_VALUE"""),0.6153846153846155)</f>
        <v>0.6153846154</v>
      </c>
      <c r="R1761" s="82">
        <f>IFERROR(__xludf.DUMMYFUNCTION("""COMPUTED_VALUE"""),1.41025641025641)</f>
        <v>1.41025641</v>
      </c>
      <c r="S1761" s="82">
        <f>IFERROR(__xludf.DUMMYFUNCTION("""COMPUTED_VALUE"""),2.756410256410256)</f>
        <v>2.756410256</v>
      </c>
      <c r="T1761" s="82">
        <f>IFERROR(__xludf.DUMMYFUNCTION("""COMPUTED_VALUE"""),353.0463194911566)</f>
        <v>353.0463195</v>
      </c>
      <c r="U1761" s="82">
        <f>IFERROR(__xludf.DUMMYFUNCTION("""COMPUTED_VALUE"""),0.844653361920132)</f>
        <v>0.8446533619</v>
      </c>
      <c r="V1761" s="82">
        <f>IFERROR(__xludf.DUMMYFUNCTION("""COMPUTED_VALUE"""),0.5943135689198389)</f>
        <v>0.5943135689</v>
      </c>
      <c r="W1761" s="82">
        <f>IFERROR(__xludf.DUMMYFUNCTION("""COMPUTED_VALUE"""),1.2500060467042038)</f>
        <v>1.250006047</v>
      </c>
      <c r="X1761" s="82">
        <f>IFERROR(__xludf.DUMMYFUNCTION("""COMPUTED_VALUE"""),2.703128459306879)</f>
        <v>2.703128459</v>
      </c>
      <c r="Y1761" s="82">
        <f>IFERROR(__xludf.DUMMYFUNCTION("""COMPUTED_VALUE"""),338.1303797570479)</f>
        <v>338.1303798</v>
      </c>
      <c r="Z1761" s="82">
        <f>IFERROR(__xludf.DUMMYFUNCTION("""COMPUTED_VALUE"""),0.7420910415379317)</f>
        <v>0.7420910415</v>
      </c>
      <c r="AA1761" s="82">
        <f>IFERROR(__xludf.DUMMYFUNCTION("""COMPUTED_VALUE"""),0.5109921792152872)</f>
        <v>0.5109921792</v>
      </c>
      <c r="AB1761" s="82">
        <f>IFERROR(__xludf.DUMMYFUNCTION("""COMPUTED_VALUE"""),1.3554741926262313)</f>
        <v>1.355474193</v>
      </c>
      <c r="AC1761" s="82">
        <f>IFERROR(__xludf.DUMMYFUNCTION("""COMPUTED_VALUE"""),2.4406735967062456)</f>
        <v>2.440673597</v>
      </c>
      <c r="AD1761" s="82">
        <f>IFERROR(__xludf.DUMMYFUNCTION("""COMPUTED_VALUE"""),1.0306675201749185)</f>
        <v>1.03066752</v>
      </c>
      <c r="AE1761" s="82">
        <f>IFERROR(__xludf.DUMMYFUNCTION("""COMPUTED_VALUE"""),0.8292575721023042)</f>
        <v>0.8292575721</v>
      </c>
      <c r="AF1761" s="82">
        <f>IFERROR(__xludf.DUMMYFUNCTION("""COMPUTED_VALUE"""),1.1290252578993234)</f>
        <v>1.129025258</v>
      </c>
      <c r="AG1761" s="82">
        <f>IFERROR(__xludf.DUMMYFUNCTION("""COMPUTED_VALUE"""),1.1066237986381355)</f>
        <v>1.106623799</v>
      </c>
      <c r="AH1761" s="82">
        <f>IFERROR(__xludf.DUMMYFUNCTION("""COMPUTED_VALUE"""),1.3237203184929114)</f>
        <v>1.323720318</v>
      </c>
      <c r="AI1761" s="82">
        <f>IFERROR(__xludf.DUMMYFUNCTION("""COMPUTED_VALUE"""),1.0363643385716708)</f>
        <v>1.036364339</v>
      </c>
      <c r="AJ1761" s="82">
        <f>IFERROR(__xludf.DUMMYFUNCTION("""COMPUTED_VALUE"""),1.0017764497264332)</f>
        <v>1.00177645</v>
      </c>
      <c r="AK1761" s="82">
        <f>IFERROR(__xludf.DUMMYFUNCTION("""COMPUTED_VALUE"""),1.0354544260247551)</f>
        <v>1.035454426</v>
      </c>
      <c r="AL1761" s="82">
        <f>IFERROR(__xludf.DUMMYFUNCTION("""COMPUTED_VALUE"""),1.1281996706933748)</f>
        <v>1.128199671</v>
      </c>
      <c r="AM1761" s="82">
        <f>IFERROR(__xludf.DUMMYFUNCTION("""COMPUTED_VALUE"""),1.019711159830354)</f>
        <v>1.01971116</v>
      </c>
      <c r="AN1761" s="82">
        <f>IFERROR(__xludf.DUMMYFUNCTION("""COMPUTED_VALUE"""),1.02779077604041)</f>
        <v>1.027790776</v>
      </c>
      <c r="AO1761" s="82">
        <f>IFERROR(__xludf.DUMMYFUNCTION("""COMPUTED_VALUE"""),0.8274190379273648)</f>
        <v>0.8274190379</v>
      </c>
      <c r="AP1761" s="82">
        <f>IFERROR(__xludf.DUMMYFUNCTION("""COMPUTED_VALUE"""),1.0570264022555063)</f>
        <v>1.057026402</v>
      </c>
      <c r="AQ1761" s="82">
        <f>IFERROR(__xludf.DUMMYFUNCTION("""COMPUTED_VALUE"""),1.1469217755444059)</f>
        <v>1.146921776</v>
      </c>
      <c r="AR1761" s="82">
        <f>IFERROR(__xludf.DUMMYFUNCTION("""COMPUTED_VALUE"""),1.291430193294807)</f>
        <v>1.291430193</v>
      </c>
      <c r="AS1761" s="82">
        <f>IFERROR(__xludf.DUMMYFUNCTION("""COMPUTED_VALUE"""),58.0)</f>
        <v>58</v>
      </c>
      <c r="AT1761" s="82">
        <f>IFERROR(__xludf.DUMMYFUNCTION("""COMPUTED_VALUE"""),0.4495943897482627)</f>
        <v>0.4495943897</v>
      </c>
      <c r="AU1761" s="82">
        <f>IFERROR(__xludf.DUMMYFUNCTION("""COMPUTED_VALUE"""),2.7017997516174592)</f>
        <v>2.701799752</v>
      </c>
      <c r="AV1761" s="82">
        <f>IFERROR(__xludf.DUMMYFUNCTION("""COMPUTED_VALUE"""),56.54017210752731)</f>
        <v>56.54017211</v>
      </c>
      <c r="AW1761" s="82">
        <f t="shared" si="1"/>
        <v>2.520083376</v>
      </c>
      <c r="AX1761" s="83">
        <f t="array" ref="AX1761">IFERROR(DGET('SBV Import'!A:G,"SBV",{"RSC ID","Tier";B1761,A1761}))</f>
        <v>50.75003723</v>
      </c>
      <c r="AY1761" s="82">
        <f t="shared" si="2"/>
        <v>2.049042048</v>
      </c>
      <c r="AZ1761" s="82">
        <v>0.4710413280566126</v>
      </c>
      <c r="BA1761" s="84">
        <v>1700.0</v>
      </c>
      <c r="BB1761" s="84" t="b">
        <f>IFERROR(__xludf.DUMMYFUNCTION("iferror(if(A1761="""",,E1761&gt;=FILTER(Constants!$F$2:$F$10,Constants!$A$2:$A$10=A1761)))"),TRUE)</f>
        <v>1</v>
      </c>
    </row>
    <row r="1762">
      <c r="A1762" s="89" t="str">
        <f>IFERROR(__xludf.DUMMYFUNCTION("""COMPUTED_VALUE"""),"Rival")</f>
        <v>Rival</v>
      </c>
      <c r="B1762" s="87" t="str">
        <f>IFERROR(__xludf.DUMMYFUNCTION("""COMPUTED_VALUE"""),"RSC000724")</f>
        <v>RSC000724</v>
      </c>
      <c r="C1762" s="73" t="str">
        <f>IFERROR(__xludf.DUMMYFUNCTION("""COMPUTED_VALUE"""),"dunnie14")</f>
        <v>dunnie14</v>
      </c>
      <c r="D1762" s="73" t="str">
        <f>IFERROR(__xludf.DUMMYFUNCTION("""COMPUTED_VALUE"""),"Ion Imperial")</f>
        <v>Ion Imperial</v>
      </c>
      <c r="E1762" s="82">
        <f>IFERROR(__xludf.DUMMYFUNCTION("""COMPUTED_VALUE"""),48.0)</f>
        <v>48</v>
      </c>
      <c r="F1762" s="82">
        <f>IFERROR(__xludf.DUMMYFUNCTION("""COMPUTED_VALUE"""),29.0)</f>
        <v>29</v>
      </c>
      <c r="G1762" s="86">
        <f>IFERROR(__xludf.DUMMYFUNCTION("""COMPUTED_VALUE"""),19.0)</f>
        <v>19</v>
      </c>
      <c r="H1762" s="86">
        <f>IFERROR(__xludf.DUMMYFUNCTION("""COMPUTED_VALUE"""),0.6041666666666666)</f>
        <v>0.6041666667</v>
      </c>
      <c r="I1762" s="86">
        <f>IFERROR(__xludf.DUMMYFUNCTION("""COMPUTED_VALUE"""),0.3457943925233645)</f>
        <v>0.3457943925</v>
      </c>
      <c r="J1762" s="82">
        <f>IFERROR(__xludf.DUMMYFUNCTION("""COMPUTED_VALUE"""),361.2291666666667)</f>
        <v>361.2291667</v>
      </c>
      <c r="K1762" s="82">
        <f>IFERROR(__xludf.DUMMYFUNCTION("""COMPUTED_VALUE"""),0.7708333333333334)</f>
        <v>0.7708333333</v>
      </c>
      <c r="L1762" s="82">
        <f>IFERROR(__xludf.DUMMYFUNCTION("""COMPUTED_VALUE"""),0.6666666666666666)</f>
        <v>0.6666666667</v>
      </c>
      <c r="M1762" s="82">
        <f>IFERROR(__xludf.DUMMYFUNCTION("""COMPUTED_VALUE"""),1.3541666666666667)</f>
        <v>1.354166667</v>
      </c>
      <c r="N1762" s="82">
        <f>IFERROR(__xludf.DUMMYFUNCTION("""COMPUTED_VALUE"""),2.2291666666666665)</f>
        <v>2.229166667</v>
      </c>
      <c r="O1762" s="82">
        <f>IFERROR(__xludf.DUMMYFUNCTION("""COMPUTED_VALUE"""),336.4375000000001)</f>
        <v>336.4375</v>
      </c>
      <c r="P1762" s="82">
        <f>IFERROR(__xludf.DUMMYFUNCTION("""COMPUTED_VALUE"""),0.6805555555555557)</f>
        <v>0.6805555556</v>
      </c>
      <c r="Q1762" s="82">
        <f>IFERROR(__xludf.DUMMYFUNCTION("""COMPUTED_VALUE"""),0.4930555555555555)</f>
        <v>0.4930555556</v>
      </c>
      <c r="R1762" s="82">
        <f>IFERROR(__xludf.DUMMYFUNCTION("""COMPUTED_VALUE"""),1.4236111111111116)</f>
        <v>1.423611111</v>
      </c>
      <c r="S1762" s="82">
        <f>IFERROR(__xludf.DUMMYFUNCTION("""COMPUTED_VALUE"""),2.388888888888889)</f>
        <v>2.388888889</v>
      </c>
      <c r="T1762" s="82">
        <f>IFERROR(__xludf.DUMMYFUNCTION("""COMPUTED_VALUE"""),341.7355123034337)</f>
        <v>341.7355123</v>
      </c>
      <c r="U1762" s="82">
        <f>IFERROR(__xludf.DUMMYFUNCTION("""COMPUTED_VALUE"""),0.7528297071794451)</f>
        <v>0.7528297072</v>
      </c>
      <c r="V1762" s="82">
        <f>IFERROR(__xludf.DUMMYFUNCTION("""COMPUTED_VALUE"""),0.5204735015173059)</f>
        <v>0.5204735015</v>
      </c>
      <c r="W1762" s="82">
        <f>IFERROR(__xludf.DUMMYFUNCTION("""COMPUTED_VALUE"""),1.3197019928754663)</f>
        <v>1.319701993</v>
      </c>
      <c r="X1762" s="82">
        <f>IFERROR(__xludf.DUMMYFUNCTION("""COMPUTED_VALUE"""),2.559766365509251)</f>
        <v>2.559766366</v>
      </c>
      <c r="Y1762" s="82">
        <f>IFERROR(__xludf.DUMMYFUNCTION("""COMPUTED_VALUE"""),356.0443240304974)</f>
        <v>356.044324</v>
      </c>
      <c r="Z1762" s="82">
        <f>IFERROR(__xludf.DUMMYFUNCTION("""COMPUTED_VALUE"""),0.8354082370409627)</f>
        <v>0.835408237</v>
      </c>
      <c r="AA1762" s="82">
        <f>IFERROR(__xludf.DUMMYFUNCTION("""COMPUTED_VALUE"""),0.5899797838414229)</f>
        <v>0.5899797838</v>
      </c>
      <c r="AB1762" s="82">
        <f>IFERROR(__xludf.DUMMYFUNCTION("""COMPUTED_VALUE"""),1.3096293103587946)</f>
        <v>1.30962931</v>
      </c>
      <c r="AC1762" s="82">
        <f>IFERROR(__xludf.DUMMYFUNCTION("""COMPUTED_VALUE"""),2.6017962628998355)</f>
        <v>2.601796263</v>
      </c>
      <c r="AD1762" s="82">
        <f>IFERROR(__xludf.DUMMYFUNCTION("""COMPUTED_VALUE"""),1.0145623516125064)</f>
        <v>1.014562352</v>
      </c>
      <c r="AE1762" s="82">
        <f>IFERROR(__xludf.DUMMYFUNCTION("""COMPUTED_VALUE"""),0.9227025772018298)</f>
        <v>0.9227025772</v>
      </c>
      <c r="AF1762" s="82">
        <f>IFERROR(__xludf.DUMMYFUNCTION("""COMPUTED_VALUE"""),1.1299822212990538)</f>
        <v>1.129982221</v>
      </c>
      <c r="AG1762" s="82">
        <f>IFERROR(__xludf.DUMMYFUNCTION("""COMPUTED_VALUE"""),1.0340076050189122)</f>
        <v>1.034007605</v>
      </c>
      <c r="AH1762" s="82">
        <f>IFERROR(__xludf.DUMMYFUNCTION("""COMPUTED_VALUE"""),0.8567798710657482)</f>
        <v>0.8567798711</v>
      </c>
      <c r="AI1762" s="82">
        <f>IFERROR(__xludf.DUMMYFUNCTION("""COMPUTED_VALUE"""),0.9844967464232123)</f>
        <v>0.9844967464</v>
      </c>
      <c r="AJ1762" s="82">
        <f>IFERROR(__xludf.DUMMYFUNCTION("""COMPUTED_VALUE"""),0.9039966795483244)</f>
        <v>0.9039966795</v>
      </c>
      <c r="AK1762" s="82">
        <f>IFERROR(__xludf.DUMMYFUNCTION("""COMPUTED_VALUE"""),0.9473211491424243)</f>
        <v>0.9473211491</v>
      </c>
      <c r="AL1762" s="82">
        <f>IFERROR(__xludf.DUMMYFUNCTION("""COMPUTED_VALUE"""),1.0787368048215493)</f>
        <v>1.078736805</v>
      </c>
      <c r="AM1762" s="82">
        <f>IFERROR(__xludf.DUMMYFUNCTION("""COMPUTED_VALUE"""),0.9332448933923049)</f>
        <v>0.9332448934</v>
      </c>
      <c r="AN1762" s="82">
        <f>IFERROR(__xludf.DUMMYFUNCTION("""COMPUTED_VALUE"""),1.0653314362604416)</f>
        <v>1.065331436</v>
      </c>
      <c r="AO1762" s="82">
        <f>IFERROR(__xludf.DUMMYFUNCTION("""COMPUTED_VALUE"""),1.0364285344871418)</f>
        <v>1.036428534</v>
      </c>
      <c r="AP1762" s="82">
        <f>IFERROR(__xludf.DUMMYFUNCTION("""COMPUTED_VALUE"""),1.2214527314952517)</f>
        <v>1.221452731</v>
      </c>
      <c r="AQ1762" s="82">
        <f>IFERROR(__xludf.DUMMYFUNCTION("""COMPUTED_VALUE"""),1.035415491810922)</f>
        <v>1.035415492</v>
      </c>
      <c r="AR1762" s="82">
        <f>IFERROR(__xludf.DUMMYFUNCTION("""COMPUTED_VALUE"""),0.8910612097584704)</f>
        <v>0.8910612098</v>
      </c>
      <c r="AS1762" s="82">
        <f>IFERROR(__xludf.DUMMYFUNCTION("""COMPUTED_VALUE"""),121.0)</f>
        <v>121</v>
      </c>
      <c r="AT1762" s="82">
        <f>IFERROR(__xludf.DUMMYFUNCTION("""COMPUTED_VALUE"""),0.5807660169900348)</f>
        <v>0.580766017</v>
      </c>
      <c r="AU1762" s="82">
        <f>IFERROR(__xludf.DUMMYFUNCTION("""COMPUTED_VALUE"""),2.6944682783894054)</f>
        <v>2.694468278</v>
      </c>
      <c r="AV1762" s="82">
        <f>IFERROR(__xludf.DUMMYFUNCTION("""COMPUTED_VALUE"""),56.33027221292909)</f>
        <v>56.33027221</v>
      </c>
      <c r="AW1762" s="82">
        <f t="shared" si="1"/>
        <v>2.499671128</v>
      </c>
      <c r="AX1762" s="83">
        <f t="array" ref="AX1762">IFERROR(DGET('SBV Import'!A:G,"SBV",{"RSC ID","Tier";B1762,A1762}))</f>
        <v>54.02529678</v>
      </c>
      <c r="AY1762" s="82">
        <f t="shared" si="2"/>
        <v>2.293356928</v>
      </c>
      <c r="AZ1762" s="82">
        <v>0.2063142000824283</v>
      </c>
      <c r="BA1762" s="84">
        <v>1700.0</v>
      </c>
      <c r="BB1762" s="84" t="b">
        <f>IFERROR(__xludf.DUMMYFUNCTION("iferror(if(A1762="""",,E1762&gt;=FILTER(Constants!$F$2:$F$10,Constants!$A$2:$A$10=A1762)))"),TRUE)</f>
        <v>1</v>
      </c>
    </row>
    <row r="1763">
      <c r="A1763" s="89" t="str">
        <f>IFERROR(__xludf.DUMMYFUNCTION("""COMPUTED_VALUE"""),"Rival")</f>
        <v>Rival</v>
      </c>
      <c r="B1763" s="87" t="str">
        <f>IFERROR(__xludf.DUMMYFUNCTION("""COMPUTED_VALUE"""),"RSC005077")</f>
        <v>RSC005077</v>
      </c>
      <c r="C1763" s="73" t="str">
        <f>IFERROR(__xludf.DUMMYFUNCTION("""COMPUTED_VALUE"""),"kbm grifter")</f>
        <v>kbm grifter</v>
      </c>
      <c r="D1763" s="73" t="str">
        <f>IFERROR(__xludf.DUMMYFUNCTION("""COMPUTED_VALUE"""),"Blizzards")</f>
        <v>Blizzards</v>
      </c>
      <c r="E1763" s="82">
        <f>IFERROR(__xludf.DUMMYFUNCTION("""COMPUTED_VALUE"""),12.0)</f>
        <v>12</v>
      </c>
      <c r="F1763" s="82">
        <f>IFERROR(__xludf.DUMMYFUNCTION("""COMPUTED_VALUE"""),5.0)</f>
        <v>5</v>
      </c>
      <c r="G1763" s="86">
        <f>IFERROR(__xludf.DUMMYFUNCTION("""COMPUTED_VALUE"""),7.0)</f>
        <v>7</v>
      </c>
      <c r="H1763" s="86">
        <f>IFERROR(__xludf.DUMMYFUNCTION("""COMPUTED_VALUE"""),0.4166666666666667)</f>
        <v>0.4166666667</v>
      </c>
      <c r="I1763" s="86">
        <f>IFERROR(__xludf.DUMMYFUNCTION("""COMPUTED_VALUE"""),0.24390243902439027)</f>
        <v>0.243902439</v>
      </c>
      <c r="J1763" s="82">
        <f>IFERROR(__xludf.DUMMYFUNCTION("""COMPUTED_VALUE"""),376.25)</f>
        <v>376.25</v>
      </c>
      <c r="K1763" s="82">
        <f>IFERROR(__xludf.DUMMYFUNCTION("""COMPUTED_VALUE"""),0.8333333333333334)</f>
        <v>0.8333333333</v>
      </c>
      <c r="L1763" s="82">
        <f>IFERROR(__xludf.DUMMYFUNCTION("""COMPUTED_VALUE"""),0.3333333333333333)</f>
        <v>0.3333333333</v>
      </c>
      <c r="M1763" s="82">
        <f>IFERROR(__xludf.DUMMYFUNCTION("""COMPUTED_VALUE"""),1.5833333333333333)</f>
        <v>1.583333333</v>
      </c>
      <c r="N1763" s="82">
        <f>IFERROR(__xludf.DUMMYFUNCTION("""COMPUTED_VALUE"""),3.4166666666666665)</f>
        <v>3.416666667</v>
      </c>
      <c r="O1763" s="82">
        <f>IFERROR(__xludf.DUMMYFUNCTION("""COMPUTED_VALUE"""),408.2777777777778)</f>
        <v>408.2777778</v>
      </c>
      <c r="P1763" s="82">
        <f>IFERROR(__xludf.DUMMYFUNCTION("""COMPUTED_VALUE"""),0.9444444444444445)</f>
        <v>0.9444444444</v>
      </c>
      <c r="Q1763" s="82">
        <f>IFERROR(__xludf.DUMMYFUNCTION("""COMPUTED_VALUE"""),0.611111111111111)</f>
        <v>0.6111111111</v>
      </c>
      <c r="R1763" s="82">
        <f>IFERROR(__xludf.DUMMYFUNCTION("""COMPUTED_VALUE"""),1.75)</f>
        <v>1.75</v>
      </c>
      <c r="S1763" s="82">
        <f>IFERROR(__xludf.DUMMYFUNCTION("""COMPUTED_VALUE"""),3.083333333333334)</f>
        <v>3.083333333</v>
      </c>
      <c r="T1763" s="82">
        <f>IFERROR(__xludf.DUMMYFUNCTION("""COMPUTED_VALUE"""),360.7527344121673)</f>
        <v>360.7527344</v>
      </c>
      <c r="U1763" s="82">
        <f>IFERROR(__xludf.DUMMYFUNCTION("""COMPUTED_VALUE"""),0.8372335103217182)</f>
        <v>0.8372335103</v>
      </c>
      <c r="V1763" s="82">
        <f>IFERROR(__xludf.DUMMYFUNCTION("""COMPUTED_VALUE"""),0.5378802913683413)</f>
        <v>0.5378802914</v>
      </c>
      <c r="W1763" s="82">
        <f>IFERROR(__xludf.DUMMYFUNCTION("""COMPUTED_VALUE"""),1.4174078262220238)</f>
        <v>1.417407826</v>
      </c>
      <c r="X1763" s="82">
        <f>IFERROR(__xludf.DUMMYFUNCTION("""COMPUTED_VALUE"""),2.6354704249498733)</f>
        <v>2.635470425</v>
      </c>
      <c r="Y1763" s="82">
        <f>IFERROR(__xludf.DUMMYFUNCTION("""COMPUTED_VALUE"""),340.72489667085364)</f>
        <v>340.7248967</v>
      </c>
      <c r="Z1763" s="82">
        <f>IFERROR(__xludf.DUMMYFUNCTION("""COMPUTED_VALUE"""),0.7337501066399214)</f>
        <v>0.7337501066</v>
      </c>
      <c r="AA1763" s="82">
        <f>IFERROR(__xludf.DUMMYFUNCTION("""COMPUTED_VALUE"""),0.4925638213547901)</f>
        <v>0.4925638214</v>
      </c>
      <c r="AB1763" s="82">
        <f>IFERROR(__xludf.DUMMYFUNCTION("""COMPUTED_VALUE"""),1.3274856916139604)</f>
        <v>1.327485692</v>
      </c>
      <c r="AC1763" s="82">
        <f>IFERROR(__xludf.DUMMYFUNCTION("""COMPUTED_VALUE"""),2.559081194551839)</f>
        <v>2.559081195</v>
      </c>
      <c r="AD1763" s="82">
        <f>IFERROR(__xludf.DUMMYFUNCTION("""COMPUTED_VALUE"""),1.104263303551499)</f>
        <v>1.104263304</v>
      </c>
      <c r="AE1763" s="82">
        <f>IFERROR(__xludf.DUMMYFUNCTION("""COMPUTED_VALUE"""),1.1357181767910547)</f>
        <v>1.135718177</v>
      </c>
      <c r="AF1763" s="82">
        <f>IFERROR(__xludf.DUMMYFUNCTION("""COMPUTED_VALUE"""),0.6767312556908961)</f>
        <v>0.6767312557</v>
      </c>
      <c r="AG1763" s="82">
        <f>IFERROR(__xludf.DUMMYFUNCTION("""COMPUTED_VALUE"""),1.1927309976564138)</f>
        <v>1.192730998</v>
      </c>
      <c r="AH1763" s="82">
        <f>IFERROR(__xludf.DUMMYFUNCTION("""COMPUTED_VALUE"""),1.3351146004826209)</f>
        <v>1.3351146</v>
      </c>
      <c r="AI1763" s="82">
        <f>IFERROR(__xludf.DUMMYFUNCTION("""COMPUTED_VALUE"""),1.1317385533973867)</f>
        <v>1.131738553</v>
      </c>
      <c r="AJ1763" s="82">
        <f>IFERROR(__xludf.DUMMYFUNCTION("""COMPUTED_VALUE"""),1.1280538019572688)</f>
        <v>1.128053802</v>
      </c>
      <c r="AK1763" s="82">
        <f>IFERROR(__xludf.DUMMYFUNCTION("""COMPUTED_VALUE"""),1.136147058960785)</f>
        <v>1.136147059</v>
      </c>
      <c r="AL1763" s="82">
        <f>IFERROR(__xludf.DUMMYFUNCTION("""COMPUTED_VALUE"""),1.2346481849648534)</f>
        <v>1.234648185</v>
      </c>
      <c r="AM1763" s="82">
        <f>IFERROR(__xludf.DUMMYFUNCTION("""COMPUTED_VALUE"""),1.1699366094734223)</f>
        <v>1.169936609</v>
      </c>
      <c r="AN1763" s="82">
        <f>IFERROR(__xludf.DUMMYFUNCTION("""COMPUTED_VALUE"""),1.1096306441469275)</f>
        <v>1.109630644</v>
      </c>
      <c r="AO1763" s="82">
        <f>IFERROR(__xludf.DUMMYFUNCTION("""COMPUTED_VALUE"""),1.1204632805266397)</f>
        <v>1.120463281</v>
      </c>
      <c r="AP1763" s="82">
        <f>IFERROR(__xludf.DUMMYFUNCTION("""COMPUTED_VALUE"""),0.6107263657476258)</f>
        <v>0.6107263657</v>
      </c>
      <c r="AQ1763" s="82">
        <f>IFERROR(__xludf.DUMMYFUNCTION("""COMPUTED_VALUE"""),1.2106396519635396)</f>
        <v>1.210639652</v>
      </c>
      <c r="AR1763" s="82">
        <f>IFERROR(__xludf.DUMMYFUNCTION("""COMPUTED_VALUE"""),1.3657386766391508)</f>
        <v>1.365738677</v>
      </c>
      <c r="AS1763" s="82">
        <f>IFERROR(__xludf.DUMMYFUNCTION("""COMPUTED_VALUE"""),27.0)</f>
        <v>27</v>
      </c>
      <c r="AT1763" s="82">
        <f>IFERROR(__xludf.DUMMYFUNCTION("""COMPUTED_VALUE"""),0.40912012258607006)</f>
        <v>0.4091201226</v>
      </c>
      <c r="AU1763" s="82">
        <f>IFERROR(__xludf.DUMMYFUNCTION("""COMPUTED_VALUE"""),2.6849357652160317)</f>
        <v>2.684935765</v>
      </c>
      <c r="AV1763" s="82">
        <f>IFERROR(__xludf.DUMMYFUNCTION("""COMPUTED_VALUE"""),56.05735659991274)</f>
        <v>56.0573566</v>
      </c>
      <c r="AW1763" s="82">
        <f t="shared" si="1"/>
        <v>2.473557185</v>
      </c>
      <c r="AX1763" s="83">
        <f t="array" ref="AX1763">IFERROR(DGET('SBV Import'!A:G,"SBV",{"RSC ID","Tier";B1763,A1763}))</f>
        <v>39.18395877</v>
      </c>
      <c r="AY1763" s="82">
        <f t="shared" si="2"/>
        <v>-3.006275027</v>
      </c>
      <c r="AZ1763" s="82">
        <v>5.479832211785082</v>
      </c>
      <c r="BA1763" s="84">
        <v>1700.0</v>
      </c>
      <c r="BB1763" s="84" t="b">
        <f>IFERROR(__xludf.DUMMYFUNCTION("iferror(if(A1763="""",,E1763&gt;=FILTER(Constants!$F$2:$F$10,Constants!$A$2:$A$10=A1763)))"),TRUE)</f>
        <v>1</v>
      </c>
    </row>
    <row r="1764">
      <c r="A1764" s="89" t="str">
        <f>IFERROR(__xludf.DUMMYFUNCTION("""COMPUTED_VALUE"""),"Rival")</f>
        <v>Rival</v>
      </c>
      <c r="B1764" s="87" t="str">
        <f>IFERROR(__xludf.DUMMYFUNCTION("""COMPUTED_VALUE"""),"RSC001082")</f>
        <v>RSC001082</v>
      </c>
      <c r="C1764" s="73" t="str">
        <f>IFERROR(__xludf.DUMMYFUNCTION("""COMPUTED_VALUE"""),"Tuxedo Marx")</f>
        <v>Tuxedo Marx</v>
      </c>
      <c r="D1764" s="73" t="str">
        <f>IFERROR(__xludf.DUMMYFUNCTION("""COMPUTED_VALUE"""),"Asiago Arsonists")</f>
        <v>Asiago Arsonists</v>
      </c>
      <c r="E1764" s="82">
        <f>IFERROR(__xludf.DUMMYFUNCTION("""COMPUTED_VALUE"""),48.0)</f>
        <v>48</v>
      </c>
      <c r="F1764" s="82">
        <f>IFERROR(__xludf.DUMMYFUNCTION("""COMPUTED_VALUE"""),23.0)</f>
        <v>23</v>
      </c>
      <c r="G1764" s="86">
        <f>IFERROR(__xludf.DUMMYFUNCTION("""COMPUTED_VALUE"""),25.0)</f>
        <v>25</v>
      </c>
      <c r="H1764" s="86">
        <f>IFERROR(__xludf.DUMMYFUNCTION("""COMPUTED_VALUE"""),0.4791666666666667)</f>
        <v>0.4791666667</v>
      </c>
      <c r="I1764" s="86">
        <f>IFERROR(__xludf.DUMMYFUNCTION("""COMPUTED_VALUE"""),0.3828125)</f>
        <v>0.3828125</v>
      </c>
      <c r="J1764" s="82">
        <f>IFERROR(__xludf.DUMMYFUNCTION("""COMPUTED_VALUE"""),336.1041666666667)</f>
        <v>336.1041667</v>
      </c>
      <c r="K1764" s="82">
        <f>IFERROR(__xludf.DUMMYFUNCTION("""COMPUTED_VALUE"""),1.0208333333333333)</f>
        <v>1.020833333</v>
      </c>
      <c r="L1764" s="82">
        <f>IFERROR(__xludf.DUMMYFUNCTION("""COMPUTED_VALUE"""),0.2916666666666667)</f>
        <v>0.2916666667</v>
      </c>
      <c r="M1764" s="82">
        <f>IFERROR(__xludf.DUMMYFUNCTION("""COMPUTED_VALUE"""),0.875)</f>
        <v>0.875</v>
      </c>
      <c r="N1764" s="82">
        <f>IFERROR(__xludf.DUMMYFUNCTION("""COMPUTED_VALUE"""),2.6666666666666665)</f>
        <v>2.666666667</v>
      </c>
      <c r="O1764" s="82">
        <f>IFERROR(__xludf.DUMMYFUNCTION("""COMPUTED_VALUE"""),335.0208333333333)</f>
        <v>335.0208333</v>
      </c>
      <c r="P1764" s="82">
        <f>IFERROR(__xludf.DUMMYFUNCTION("""COMPUTED_VALUE"""),0.7222222222222222)</f>
        <v>0.7222222222</v>
      </c>
      <c r="Q1764" s="82">
        <f>IFERROR(__xludf.DUMMYFUNCTION("""COMPUTED_VALUE"""),0.5208333333333334)</f>
        <v>0.5208333333</v>
      </c>
      <c r="R1764" s="82">
        <f>IFERROR(__xludf.DUMMYFUNCTION("""COMPUTED_VALUE"""),1.2083333333333333)</f>
        <v>1.208333333</v>
      </c>
      <c r="S1764" s="82">
        <f>IFERROR(__xludf.DUMMYFUNCTION("""COMPUTED_VALUE"""),2.3611111111111116)</f>
        <v>2.361111111</v>
      </c>
      <c r="T1764" s="82">
        <f>IFERROR(__xludf.DUMMYFUNCTION("""COMPUTED_VALUE"""),347.0752300741706)</f>
        <v>347.0752301</v>
      </c>
      <c r="U1764" s="82">
        <f>IFERROR(__xludf.DUMMYFUNCTION("""COMPUTED_VALUE"""),0.7480340506494075)</f>
        <v>0.7480340506</v>
      </c>
      <c r="V1764" s="82">
        <f>IFERROR(__xludf.DUMMYFUNCTION("""COMPUTED_VALUE"""),0.5700153598580285)</f>
        <v>0.5700153599</v>
      </c>
      <c r="W1764" s="82">
        <f>IFERROR(__xludf.DUMMYFUNCTION("""COMPUTED_VALUE"""),1.3370696819841745)</f>
        <v>1.337069682</v>
      </c>
      <c r="X1764" s="82">
        <f>IFERROR(__xludf.DUMMYFUNCTION("""COMPUTED_VALUE"""),2.573451451722119)</f>
        <v>2.573451452</v>
      </c>
      <c r="Y1764" s="82">
        <f>IFERROR(__xludf.DUMMYFUNCTION("""COMPUTED_VALUE"""),351.4829700853846)</f>
        <v>351.4829701</v>
      </c>
      <c r="Z1764" s="82">
        <f>IFERROR(__xludf.DUMMYFUNCTION("""COMPUTED_VALUE"""),0.7904378587836072)</f>
        <v>0.7904378588</v>
      </c>
      <c r="AA1764" s="82">
        <f>IFERROR(__xludf.DUMMYFUNCTION("""COMPUTED_VALUE"""),0.5700375109717155)</f>
        <v>0.570037511</v>
      </c>
      <c r="AB1764" s="82">
        <f>IFERROR(__xludf.DUMMYFUNCTION("""COMPUTED_VALUE"""),1.3338635396349614)</f>
        <v>1.33386354</v>
      </c>
      <c r="AC1764" s="82">
        <f>IFERROR(__xludf.DUMMYFUNCTION("""COMPUTED_VALUE"""),2.6125287591613877)</f>
        <v>2.612528759</v>
      </c>
      <c r="AD1764" s="82">
        <f>IFERROR(__xludf.DUMMYFUNCTION("""COMPUTED_VALUE"""),0.9562459500812174)</f>
        <v>0.9562459501</v>
      </c>
      <c r="AE1764" s="82">
        <f>IFERROR(__xludf.DUMMYFUNCTION("""COMPUTED_VALUE"""),1.2914782888869698)</f>
        <v>1.291478289</v>
      </c>
      <c r="AF1764" s="82">
        <f>IFERROR(__xludf.DUMMYFUNCTION("""COMPUTED_VALUE"""),0.5116622345948366)</f>
        <v>0.5116622346</v>
      </c>
      <c r="AG1764" s="82">
        <f>IFERROR(__xludf.DUMMYFUNCTION("""COMPUTED_VALUE"""),0.6559891428170092)</f>
        <v>0.6559891428</v>
      </c>
      <c r="AH1764" s="82">
        <f>IFERROR(__xludf.DUMMYFUNCTION("""COMPUTED_VALUE"""),1.0207224159027657)</f>
        <v>1.020722416</v>
      </c>
      <c r="AI1764" s="82">
        <f>IFERROR(__xludf.DUMMYFUNCTION("""COMPUTED_VALUE"""),0.9652686343008079)</f>
        <v>0.9652686343</v>
      </c>
      <c r="AJ1764" s="82">
        <f>IFERROR(__xludf.DUMMYFUNCTION("""COMPUTED_VALUE"""),0.9654937787861706)</f>
        <v>0.9654937788</v>
      </c>
      <c r="AK1764" s="82">
        <f>IFERROR(__xludf.DUMMYFUNCTION("""COMPUTED_VALUE"""),0.9137180679886509)</f>
        <v>0.913718068</v>
      </c>
      <c r="AL1764" s="82">
        <f>IFERROR(__xludf.DUMMYFUNCTION("""COMPUTED_VALUE"""),0.903717547121553)</f>
        <v>0.9037175471</v>
      </c>
      <c r="AM1764" s="82">
        <f>IFERROR(__xludf.DUMMYFUNCTION("""COMPUTED_VALUE"""),0.9174881109690598)</f>
        <v>0.917488111</v>
      </c>
      <c r="AN1764" s="82">
        <f>IFERROR(__xludf.DUMMYFUNCTION("""COMPUTED_VALUE"""),0.9912331772991352)</f>
        <v>0.9912331773</v>
      </c>
      <c r="AO1764" s="82">
        <f>IFERROR(__xludf.DUMMYFUNCTION("""COMPUTED_VALUE"""),1.3725675186451336)</f>
        <v>1.372567519</v>
      </c>
      <c r="AP1764" s="82">
        <f>IFERROR(__xludf.DUMMYFUNCTION("""COMPUTED_VALUE"""),0.5343855700291726)</f>
        <v>0.53438557</v>
      </c>
      <c r="AQ1764" s="82">
        <f>IFERROR(__xludf.DUMMYFUNCTION("""COMPUTED_VALUE"""),0.6690377024009034)</f>
        <v>0.6690377024</v>
      </c>
      <c r="AR1764" s="82">
        <f>IFERROR(__xludf.DUMMYFUNCTION("""COMPUTED_VALUE"""),1.065942381767142)</f>
        <v>1.065942382</v>
      </c>
      <c r="AS1764" s="82">
        <f>IFERROR(__xludf.DUMMYFUNCTION("""COMPUTED_VALUE"""),107.0)</f>
        <v>107</v>
      </c>
      <c r="AT1764" s="82">
        <f>IFERROR(__xludf.DUMMYFUNCTION("""COMPUTED_VALUE"""),0.5108723252791456)</f>
        <v>0.5108723253</v>
      </c>
      <c r="AU1764" s="82">
        <f>IFERROR(__xludf.DUMMYFUNCTION("""COMPUTED_VALUE"""),2.6839260811417094)</f>
        <v>2.683926081</v>
      </c>
      <c r="AV1764" s="82">
        <f>IFERROR(__xludf.DUMMYFUNCTION("""COMPUTED_VALUE"""),56.02844937019432)</f>
        <v>56.02844937</v>
      </c>
      <c r="AW1764" s="82">
        <f t="shared" si="1"/>
        <v>2.470819067</v>
      </c>
      <c r="AX1764" s="83">
        <f t="array" ref="AX1764">IFERROR(DGET('SBV Import'!A:G,"SBV",{"RSC ID","Tier";B1764,A1764}))</f>
        <v>52.32838773</v>
      </c>
      <c r="AY1764" s="82">
        <f t="shared" si="2"/>
        <v>2.160303349</v>
      </c>
      <c r="AZ1764" s="82">
        <v>0.31051571763129227</v>
      </c>
      <c r="BA1764" s="84">
        <v>1700.0</v>
      </c>
      <c r="BB1764" s="84" t="b">
        <f>IFERROR(__xludf.DUMMYFUNCTION("iferror(if(A1764="""",,E1764&gt;=FILTER(Constants!$F$2:$F$10,Constants!$A$2:$A$10=A1764)))"),TRUE)</f>
        <v>1</v>
      </c>
    </row>
    <row r="1765">
      <c r="A1765" s="89" t="str">
        <f>IFERROR(__xludf.DUMMYFUNCTION("""COMPUTED_VALUE"""),"Rival")</f>
        <v>Rival</v>
      </c>
      <c r="B1765" s="87" t="str">
        <f>IFERROR(__xludf.DUMMYFUNCTION("""COMPUTED_VALUE"""),"RSC005752")</f>
        <v>RSC005752</v>
      </c>
      <c r="C1765" s="73" t="str">
        <f>IFERROR(__xludf.DUMMYFUNCTION("""COMPUTED_VALUE"""),"surge85")</f>
        <v>surge85</v>
      </c>
      <c r="D1765" s="73" t="str">
        <f>IFERROR(__xludf.DUMMYFUNCTION("""COMPUTED_VALUE"""),"Polar Bears")</f>
        <v>Polar Bears</v>
      </c>
      <c r="E1765" s="82">
        <f>IFERROR(__xludf.DUMMYFUNCTION("""COMPUTED_VALUE"""),45.0)</f>
        <v>45</v>
      </c>
      <c r="F1765" s="82">
        <f>IFERROR(__xludf.DUMMYFUNCTION("""COMPUTED_VALUE"""),22.0)</f>
        <v>22</v>
      </c>
      <c r="G1765" s="86">
        <f>IFERROR(__xludf.DUMMYFUNCTION("""COMPUTED_VALUE"""),23.0)</f>
        <v>23</v>
      </c>
      <c r="H1765" s="86">
        <f>IFERROR(__xludf.DUMMYFUNCTION("""COMPUTED_VALUE"""),0.4888888888888889)</f>
        <v>0.4888888889</v>
      </c>
      <c r="I1765" s="86">
        <f>IFERROR(__xludf.DUMMYFUNCTION("""COMPUTED_VALUE"""),0.35398230088495575)</f>
        <v>0.3539823009</v>
      </c>
      <c r="J1765" s="82">
        <f>IFERROR(__xludf.DUMMYFUNCTION("""COMPUTED_VALUE"""),375.68888888888887)</f>
        <v>375.6888889</v>
      </c>
      <c r="K1765" s="82">
        <f>IFERROR(__xludf.DUMMYFUNCTION("""COMPUTED_VALUE"""),0.8888888888888888)</f>
        <v>0.8888888889</v>
      </c>
      <c r="L1765" s="82">
        <f>IFERROR(__xludf.DUMMYFUNCTION("""COMPUTED_VALUE"""),0.37777777777777777)</f>
        <v>0.3777777778</v>
      </c>
      <c r="M1765" s="82">
        <f>IFERROR(__xludf.DUMMYFUNCTION("""COMPUTED_VALUE"""),1.4666666666666666)</f>
        <v>1.466666667</v>
      </c>
      <c r="N1765" s="82">
        <f>IFERROR(__xludf.DUMMYFUNCTION("""COMPUTED_VALUE"""),2.511111111111111)</f>
        <v>2.511111111</v>
      </c>
      <c r="O1765" s="82">
        <f>IFERROR(__xludf.DUMMYFUNCTION("""COMPUTED_VALUE"""),358.6814814814815)</f>
        <v>358.6814815</v>
      </c>
      <c r="P1765" s="82">
        <f>IFERROR(__xludf.DUMMYFUNCTION("""COMPUTED_VALUE"""),0.8074074074074075)</f>
        <v>0.8074074074</v>
      </c>
      <c r="Q1765" s="82">
        <f>IFERROR(__xludf.DUMMYFUNCTION("""COMPUTED_VALUE"""),0.6148148148148146)</f>
        <v>0.6148148148</v>
      </c>
      <c r="R1765" s="82">
        <f>IFERROR(__xludf.DUMMYFUNCTION("""COMPUTED_VALUE"""),1.3925925925925926)</f>
        <v>1.392592593</v>
      </c>
      <c r="S1765" s="82">
        <f>IFERROR(__xludf.DUMMYFUNCTION("""COMPUTED_VALUE"""),2.6148148148148147)</f>
        <v>2.614814815</v>
      </c>
      <c r="T1765" s="82">
        <f>IFERROR(__xludf.DUMMYFUNCTION("""COMPUTED_VALUE"""),355.80459439977795)</f>
        <v>355.8045944</v>
      </c>
      <c r="U1765" s="82">
        <f>IFERROR(__xludf.DUMMYFUNCTION("""COMPUTED_VALUE"""),0.8246751654436526)</f>
        <v>0.8246751654</v>
      </c>
      <c r="V1765" s="82">
        <f>IFERROR(__xludf.DUMMYFUNCTION("""COMPUTED_VALUE"""),0.5785844157203214)</f>
        <v>0.5785844157</v>
      </c>
      <c r="W1765" s="82">
        <f>IFERROR(__xludf.DUMMYFUNCTION("""COMPUTED_VALUE"""),1.3329400797313702)</f>
        <v>1.33294008</v>
      </c>
      <c r="X1765" s="82">
        <f>IFERROR(__xludf.DUMMYFUNCTION("""COMPUTED_VALUE"""),2.5949256726070753)</f>
        <v>2.594925673</v>
      </c>
      <c r="Y1765" s="82">
        <f>IFERROR(__xludf.DUMMYFUNCTION("""COMPUTED_VALUE"""),340.7165360165755)</f>
        <v>340.716536</v>
      </c>
      <c r="Z1765" s="82">
        <f>IFERROR(__xludf.DUMMYFUNCTION("""COMPUTED_VALUE"""),0.7543356020691726)</f>
        <v>0.7543356021</v>
      </c>
      <c r="AA1765" s="82">
        <f>IFERROR(__xludf.DUMMYFUNCTION("""COMPUTED_VALUE"""),0.5321816673273131)</f>
        <v>0.5321816673</v>
      </c>
      <c r="AB1765" s="82">
        <f>IFERROR(__xludf.DUMMYFUNCTION("""COMPUTED_VALUE"""),1.2894037324387762)</f>
        <v>1.289403732</v>
      </c>
      <c r="AC1765" s="82">
        <f>IFERROR(__xludf.DUMMYFUNCTION("""COMPUTED_VALUE"""),2.5123784583064968)</f>
        <v>2.512378458</v>
      </c>
      <c r="AD1765" s="82">
        <f>IFERROR(__xludf.DUMMYFUNCTION("""COMPUTED_VALUE"""),1.1026435443409532)</f>
        <v>1.102643544</v>
      </c>
      <c r="AE1765" s="82">
        <f>IFERROR(__xludf.DUMMYFUNCTION("""COMPUTED_VALUE"""),1.1783732418974144)</f>
        <v>1.178373242</v>
      </c>
      <c r="AF1765" s="82">
        <f>IFERROR(__xludf.DUMMYFUNCTION("""COMPUTED_VALUE"""),0.7098661997791617)</f>
        <v>0.7098661998</v>
      </c>
      <c r="AG1765" s="82">
        <f>IFERROR(__xludf.DUMMYFUNCTION("""COMPUTED_VALUE"""),1.1374766721766933)</f>
        <v>1.137476672</v>
      </c>
      <c r="AH1765" s="82">
        <f>IFERROR(__xludf.DUMMYFUNCTION("""COMPUTED_VALUE"""),0.999495558803573)</f>
        <v>0.9994955588</v>
      </c>
      <c r="AI1765" s="82">
        <f>IFERROR(__xludf.DUMMYFUNCTION("""COMPUTED_VALUE"""),1.0080855816000822)</f>
        <v>1.008085582</v>
      </c>
      <c r="AJ1765" s="82">
        <f>IFERROR(__xludf.DUMMYFUNCTION("""COMPUTED_VALUE"""),0.9790611397556084)</f>
        <v>0.9790611398</v>
      </c>
      <c r="AK1765" s="82">
        <f>IFERROR(__xludf.DUMMYFUNCTION("""COMPUTED_VALUE"""),1.0626190372745996)</f>
        <v>1.062619037</v>
      </c>
      <c r="AL1765" s="82">
        <f>IFERROR(__xludf.DUMMYFUNCTION("""COMPUTED_VALUE"""),1.0447525839820528)</f>
        <v>1.044752584</v>
      </c>
      <c r="AM1765" s="82">
        <f>IFERROR(__xludf.DUMMYFUNCTION("""COMPUTED_VALUE"""),1.0076646288630522)</f>
        <v>1.007664629</v>
      </c>
      <c r="AN1765" s="82">
        <f>IFERROR(__xludf.DUMMYFUNCTION("""COMPUTED_VALUE"""),1.1079758239910198)</f>
        <v>1.107975824</v>
      </c>
      <c r="AO1765" s="82">
        <f>IFERROR(__xludf.DUMMYFUNCTION("""COMPUTED_VALUE"""),1.1951608325617489)</f>
        <v>1.195160833</v>
      </c>
      <c r="AP1765" s="82">
        <f>IFERROR(__xludf.DUMMYFUNCTION("""COMPUTED_VALUE"""),0.6921565478473093)</f>
        <v>0.6921565478</v>
      </c>
      <c r="AQ1765" s="82">
        <f>IFERROR(__xludf.DUMMYFUNCTION("""COMPUTED_VALUE"""),1.1214346249767524)</f>
        <v>1.121434625</v>
      </c>
      <c r="AR1765" s="82">
        <f>IFERROR(__xludf.DUMMYFUNCTION("""COMPUTED_VALUE"""),1.0037624094973923)</f>
        <v>1.003762409</v>
      </c>
      <c r="AS1765" s="82">
        <f>IFERROR(__xludf.DUMMYFUNCTION("""COMPUTED_VALUE"""),109.0)</f>
        <v>109</v>
      </c>
      <c r="AT1765" s="82">
        <f>IFERROR(__xludf.DUMMYFUNCTION("""COMPUTED_VALUE"""),0.4999999999999999)</f>
        <v>0.5</v>
      </c>
      <c r="AU1765" s="82">
        <f>IFERROR(__xludf.DUMMYFUNCTION("""COMPUTED_VALUE"""),2.6577151529808707)</f>
        <v>2.657715153</v>
      </c>
      <c r="AV1765" s="82">
        <f>IFERROR(__xludf.DUMMYFUNCTION("""COMPUTED_VALUE"""),55.27803115448981)</f>
        <v>55.27803115</v>
      </c>
      <c r="AW1765" s="82">
        <f t="shared" si="1"/>
        <v>2.401558145</v>
      </c>
      <c r="AX1765" s="83">
        <f t="array" ref="AX1765">IFERROR(DGET('SBV Import'!A:G,"SBV",{"RSC ID","Tier";B1765,A1765}))</f>
        <v>50.88676455</v>
      </c>
      <c r="AY1765" s="82">
        <f t="shared" si="2"/>
        <v>2.058238891</v>
      </c>
      <c r="AZ1765" s="82">
        <v>0.34331925417862896</v>
      </c>
      <c r="BA1765" s="84">
        <v>1700.0</v>
      </c>
      <c r="BB1765" s="84" t="b">
        <f>IFERROR(__xludf.DUMMYFUNCTION("iferror(if(A1765="""",,E1765&gt;=FILTER(Constants!$F$2:$F$10,Constants!$A$2:$A$10=A1765)))"),TRUE)</f>
        <v>1</v>
      </c>
    </row>
    <row r="1766">
      <c r="A1766" s="89" t="str">
        <f>IFERROR(__xludf.DUMMYFUNCTION("""COMPUTED_VALUE"""),"Rival")</f>
        <v>Rival</v>
      </c>
      <c r="B1766" s="87" t="str">
        <f>IFERROR(__xludf.DUMMYFUNCTION("""COMPUTED_VALUE"""),"RSC003239")</f>
        <v>RSC003239</v>
      </c>
      <c r="C1766" s="73" t="str">
        <f>IFERROR(__xludf.DUMMYFUNCTION("""COMPUTED_VALUE"""),"Wallaby Gangsta")</f>
        <v>Wallaby Gangsta</v>
      </c>
      <c r="D1766" s="73" t="str">
        <f>IFERROR(__xludf.DUMMYFUNCTION("""COMPUTED_VALUE"""),"Necrotic Nerds")</f>
        <v>Necrotic Nerds</v>
      </c>
      <c r="E1766" s="82">
        <f>IFERROR(__xludf.DUMMYFUNCTION("""COMPUTED_VALUE"""),44.0)</f>
        <v>44</v>
      </c>
      <c r="F1766" s="82">
        <f>IFERROR(__xludf.DUMMYFUNCTION("""COMPUTED_VALUE"""),15.0)</f>
        <v>15</v>
      </c>
      <c r="G1766" s="86">
        <f>IFERROR(__xludf.DUMMYFUNCTION("""COMPUTED_VALUE"""),29.0)</f>
        <v>29</v>
      </c>
      <c r="H1766" s="86">
        <f>IFERROR(__xludf.DUMMYFUNCTION("""COMPUTED_VALUE"""),0.3409090909090909)</f>
        <v>0.3409090909</v>
      </c>
      <c r="I1766" s="86">
        <f>IFERROR(__xludf.DUMMYFUNCTION("""COMPUTED_VALUE"""),0.29203539823008845)</f>
        <v>0.2920353982</v>
      </c>
      <c r="J1766" s="82">
        <f>IFERROR(__xludf.DUMMYFUNCTION("""COMPUTED_VALUE"""),329.45454545454544)</f>
        <v>329.4545455</v>
      </c>
      <c r="K1766" s="82">
        <f>IFERROR(__xludf.DUMMYFUNCTION("""COMPUTED_VALUE"""),0.75)</f>
        <v>0.75</v>
      </c>
      <c r="L1766" s="82">
        <f>IFERROR(__xludf.DUMMYFUNCTION("""COMPUTED_VALUE"""),0.6590909090909091)</f>
        <v>0.6590909091</v>
      </c>
      <c r="M1766" s="82">
        <f>IFERROR(__xludf.DUMMYFUNCTION("""COMPUTED_VALUE"""),1.0454545454545454)</f>
        <v>1.045454545</v>
      </c>
      <c r="N1766" s="82">
        <f>IFERROR(__xludf.DUMMYFUNCTION("""COMPUTED_VALUE"""),2.5681818181818183)</f>
        <v>2.568181818</v>
      </c>
      <c r="O1766" s="82">
        <f>IFERROR(__xludf.DUMMYFUNCTION("""COMPUTED_VALUE"""),369.03030303030295)</f>
        <v>369.030303</v>
      </c>
      <c r="P1766" s="82">
        <f>IFERROR(__xludf.DUMMYFUNCTION("""COMPUTED_VALUE"""),0.909090909090909)</f>
        <v>0.9090909091</v>
      </c>
      <c r="Q1766" s="82">
        <f>IFERROR(__xludf.DUMMYFUNCTION("""COMPUTED_VALUE"""),0.6742424242424243)</f>
        <v>0.6742424242</v>
      </c>
      <c r="R1766" s="82">
        <f>IFERROR(__xludf.DUMMYFUNCTION("""COMPUTED_VALUE"""),1.3106060606060608)</f>
        <v>1.310606061</v>
      </c>
      <c r="S1766" s="82">
        <f>IFERROR(__xludf.DUMMYFUNCTION("""COMPUTED_VALUE"""),2.522727272727273)</f>
        <v>2.522727273</v>
      </c>
      <c r="T1766" s="82">
        <f>IFERROR(__xludf.DUMMYFUNCTION("""COMPUTED_VALUE"""),352.98412439282856)</f>
        <v>352.9841244</v>
      </c>
      <c r="U1766" s="82">
        <f>IFERROR(__xludf.DUMMYFUNCTION("""COMPUTED_VALUE"""),0.8064114145979709)</f>
        <v>0.8064114146</v>
      </c>
      <c r="V1766" s="82">
        <f>IFERROR(__xludf.DUMMYFUNCTION("""COMPUTED_VALUE"""),0.5838034029158975)</f>
        <v>0.5838034029</v>
      </c>
      <c r="W1766" s="82">
        <f>IFERROR(__xludf.DUMMYFUNCTION("""COMPUTED_VALUE"""),1.320676299319906)</f>
        <v>1.320676299</v>
      </c>
      <c r="X1766" s="82">
        <f>IFERROR(__xludf.DUMMYFUNCTION("""COMPUTED_VALUE"""),2.5370855220528723)</f>
        <v>2.537085522</v>
      </c>
      <c r="Y1766" s="82">
        <f>IFERROR(__xludf.DUMMYFUNCTION("""COMPUTED_VALUE"""),336.734720907699)</f>
        <v>336.7347209</v>
      </c>
      <c r="Z1766" s="82">
        <f>IFERROR(__xludf.DUMMYFUNCTION("""COMPUTED_VALUE"""),0.7356769332397618)</f>
        <v>0.7356769332</v>
      </c>
      <c r="AA1766" s="82">
        <f>IFERROR(__xludf.DUMMYFUNCTION("""COMPUTED_VALUE"""),0.527464263613071)</f>
        <v>0.5274642636</v>
      </c>
      <c r="AB1766" s="82">
        <f>IFERROR(__xludf.DUMMYFUNCTION("""COMPUTED_VALUE"""),1.2528896099559945)</f>
        <v>1.25288961</v>
      </c>
      <c r="AC1766" s="82">
        <f>IFERROR(__xludf.DUMMYFUNCTION("""COMPUTED_VALUE"""),2.4720145596995824)</f>
        <v>2.47201456</v>
      </c>
      <c r="AD1766" s="82">
        <f>IFERROR(__xludf.DUMMYFUNCTION("""COMPUTED_VALUE"""),0.9783800867533672)</f>
        <v>0.9783800868</v>
      </c>
      <c r="AE1766" s="82">
        <f>IFERROR(__xludf.DUMMYFUNCTION("""COMPUTED_VALUE"""),1.0194692345418015)</f>
        <v>1.019469235</v>
      </c>
      <c r="AF1766" s="82">
        <f>IFERROR(__xludf.DUMMYFUNCTION("""COMPUTED_VALUE"""),1.249546091665453)</f>
        <v>1.249546092</v>
      </c>
      <c r="AG1766" s="82">
        <f>IFERROR(__xludf.DUMMYFUNCTION("""COMPUTED_VALUE"""),0.8344346837478085)</f>
        <v>0.8344346837</v>
      </c>
      <c r="AH1766" s="82">
        <f>IFERROR(__xludf.DUMMYFUNCTION("""COMPUTED_VALUE"""),1.038902383525574)</f>
        <v>1.038902384</v>
      </c>
      <c r="AI1766" s="82">
        <f>IFERROR(__xludf.DUMMYFUNCTION("""COMPUTED_VALUE"""),1.0454586411359876)</f>
        <v>1.045458641</v>
      </c>
      <c r="AJ1766" s="82">
        <f>IFERROR(__xludf.DUMMYFUNCTION("""COMPUTED_VALUE"""),1.1273289199956673)</f>
        <v>1.12732892</v>
      </c>
      <c r="AK1766" s="82">
        <f>IFERROR(__xludf.DUMMYFUNCTION("""COMPUTED_VALUE"""),1.154913487785126)</f>
        <v>1.154913488</v>
      </c>
      <c r="AL1766" s="82">
        <f>IFERROR(__xludf.DUMMYFUNCTION("""COMPUTED_VALUE"""),0.9923749379624432)</f>
        <v>0.992374938</v>
      </c>
      <c r="AM1766" s="82">
        <f>IFERROR(__xludf.DUMMYFUNCTION("""COMPUTED_VALUE"""),0.9943406522165712)</f>
        <v>0.9943406522</v>
      </c>
      <c r="AN1766" s="82">
        <f>IFERROR(__xludf.DUMMYFUNCTION("""COMPUTED_VALUE"""),0.9716222179132503)</f>
        <v>0.9716222179</v>
      </c>
      <c r="AO1766" s="82">
        <f>IFERROR(__xludf.DUMMYFUNCTION("""COMPUTED_VALUE"""),1.0084169524739757)</f>
        <v>1.008416952</v>
      </c>
      <c r="AP1766" s="82">
        <f>IFERROR(__xludf.DUMMYFUNCTION("""COMPUTED_VALUE"""),1.2075725868191693)</f>
        <v>1.207572587</v>
      </c>
      <c r="AQ1766" s="82">
        <f>IFERROR(__xludf.DUMMYFUNCTION("""COMPUTED_VALUE"""),0.7993697223491314)</f>
        <v>0.7993697223</v>
      </c>
      <c r="AR1766" s="82">
        <f>IFERROR(__xludf.DUMMYFUNCTION("""COMPUTED_VALUE"""),1.0265751915314238)</f>
        <v>1.026575192</v>
      </c>
      <c r="AS1766" s="82">
        <f>IFERROR(__xludf.DUMMYFUNCTION("""COMPUTED_VALUE"""),98.0)</f>
        <v>98</v>
      </c>
      <c r="AT1766" s="82">
        <f>IFERROR(__xludf.DUMMYFUNCTION("""COMPUTED_VALUE"""),0.42053319264239974)</f>
        <v>0.4205331926</v>
      </c>
      <c r="AU1766" s="82">
        <f>IFERROR(__xludf.DUMMYFUNCTION("""COMPUTED_VALUE"""),2.651876525789929)</f>
        <v>2.651876526</v>
      </c>
      <c r="AV1766" s="82">
        <f>IFERROR(__xludf.DUMMYFUNCTION("""COMPUTED_VALUE"""),55.11087140448384)</f>
        <v>55.1108714</v>
      </c>
      <c r="AW1766" s="82">
        <f t="shared" si="1"/>
        <v>2.386595845</v>
      </c>
      <c r="AX1766" s="83">
        <f t="array" ref="AX1766">IFERROR(DGET('SBV Import'!A:G,"SBV",{"RSC ID","Tier";B1766,A1766}))</f>
        <v>53.34766176</v>
      </c>
      <c r="AY1766" s="82">
        <f t="shared" si="2"/>
        <v>2.238447149</v>
      </c>
      <c r="AZ1766" s="82">
        <v>0.1481486954229494</v>
      </c>
      <c r="BA1766" s="84">
        <v>1700.0</v>
      </c>
      <c r="BB1766" s="84" t="b">
        <f>IFERROR(__xludf.DUMMYFUNCTION("iferror(if(A1766="""",,E1766&gt;=FILTER(Constants!$F$2:$F$10,Constants!$A$2:$A$10=A1766)))"),TRUE)</f>
        <v>1</v>
      </c>
    </row>
    <row r="1767">
      <c r="A1767" s="89" t="str">
        <f>IFERROR(__xludf.DUMMYFUNCTION("""COMPUTED_VALUE"""),"Rival")</f>
        <v>Rival</v>
      </c>
      <c r="B1767" s="87" t="str">
        <f>IFERROR(__xludf.DUMMYFUNCTION("""COMPUTED_VALUE"""),"RSC005276")</f>
        <v>RSC005276</v>
      </c>
      <c r="C1767" s="73" t="str">
        <f>IFERROR(__xludf.DUMMYFUNCTION("""COMPUTED_VALUE"""),"Dc")</f>
        <v>Dc</v>
      </c>
      <c r="D1767" s="73" t="str">
        <f>IFERROR(__xludf.DUMMYFUNCTION("""COMPUTED_VALUE"""),"Hippos")</f>
        <v>Hippos</v>
      </c>
      <c r="E1767" s="82">
        <f>IFERROR(__xludf.DUMMYFUNCTION("""COMPUTED_VALUE"""),36.0)</f>
        <v>36</v>
      </c>
      <c r="F1767" s="82">
        <f>IFERROR(__xludf.DUMMYFUNCTION("""COMPUTED_VALUE"""),16.0)</f>
        <v>16</v>
      </c>
      <c r="G1767" s="86">
        <f>IFERROR(__xludf.DUMMYFUNCTION("""COMPUTED_VALUE"""),20.0)</f>
        <v>20</v>
      </c>
      <c r="H1767" s="86">
        <f>IFERROR(__xludf.DUMMYFUNCTION("""COMPUTED_VALUE"""),0.4444444444444444)</f>
        <v>0.4444444444</v>
      </c>
      <c r="I1767" s="86">
        <f>IFERROR(__xludf.DUMMYFUNCTION("""COMPUTED_VALUE"""),0.3548387096774193)</f>
        <v>0.3548387097</v>
      </c>
      <c r="J1767" s="82">
        <f>IFERROR(__xludf.DUMMYFUNCTION("""COMPUTED_VALUE"""),343.1111111111111)</f>
        <v>343.1111111</v>
      </c>
      <c r="K1767" s="82">
        <f>IFERROR(__xludf.DUMMYFUNCTION("""COMPUTED_VALUE"""),0.9166666666666666)</f>
        <v>0.9166666667</v>
      </c>
      <c r="L1767" s="82">
        <f>IFERROR(__xludf.DUMMYFUNCTION("""COMPUTED_VALUE"""),0.4444444444444444)</f>
        <v>0.4444444444</v>
      </c>
      <c r="M1767" s="82">
        <f>IFERROR(__xludf.DUMMYFUNCTION("""COMPUTED_VALUE"""),1.0277777777777777)</f>
        <v>1.027777778</v>
      </c>
      <c r="N1767" s="82">
        <f>IFERROR(__xludf.DUMMYFUNCTION("""COMPUTED_VALUE"""),2.5833333333333335)</f>
        <v>2.583333333</v>
      </c>
      <c r="O1767" s="82">
        <f>IFERROR(__xludf.DUMMYFUNCTION("""COMPUTED_VALUE"""),377.7685185185184)</f>
        <v>377.7685185</v>
      </c>
      <c r="P1767" s="82">
        <f>IFERROR(__xludf.DUMMYFUNCTION("""COMPUTED_VALUE"""),0.9351851851851849)</f>
        <v>0.9351851852</v>
      </c>
      <c r="Q1767" s="82">
        <f>IFERROR(__xludf.DUMMYFUNCTION("""COMPUTED_VALUE"""),0.6944444444444444)</f>
        <v>0.6944444444</v>
      </c>
      <c r="R1767" s="82">
        <f>IFERROR(__xludf.DUMMYFUNCTION("""COMPUTED_VALUE"""),1.2500000000000002)</f>
        <v>1.25</v>
      </c>
      <c r="S1767" s="82">
        <f>IFERROR(__xludf.DUMMYFUNCTION("""COMPUTED_VALUE"""),2.7037037037037033)</f>
        <v>2.703703704</v>
      </c>
      <c r="T1767" s="82">
        <f>IFERROR(__xludf.DUMMYFUNCTION("""COMPUTED_VALUE"""),357.43958935894113)</f>
        <v>357.4395894</v>
      </c>
      <c r="U1767" s="82">
        <f>IFERROR(__xludf.DUMMYFUNCTION("""COMPUTED_VALUE"""),0.8217585574763441)</f>
        <v>0.8217585575</v>
      </c>
      <c r="V1767" s="82">
        <f>IFERROR(__xludf.DUMMYFUNCTION("""COMPUTED_VALUE"""),0.6361428471021473)</f>
        <v>0.6361428471</v>
      </c>
      <c r="W1767" s="82">
        <f>IFERROR(__xludf.DUMMYFUNCTION("""COMPUTED_VALUE"""),1.2863226492413664)</f>
        <v>1.286322649</v>
      </c>
      <c r="X1767" s="82">
        <f>IFERROR(__xludf.DUMMYFUNCTION("""COMPUTED_VALUE"""),2.5743641041093115)</f>
        <v>2.574364104</v>
      </c>
      <c r="Y1767" s="82">
        <f>IFERROR(__xludf.DUMMYFUNCTION("""COMPUTED_VALUE"""),341.42977022515856)</f>
        <v>341.4297702</v>
      </c>
      <c r="Z1767" s="82">
        <f>IFERROR(__xludf.DUMMYFUNCTION("""COMPUTED_VALUE"""),0.7448856839919155)</f>
        <v>0.744885684</v>
      </c>
      <c r="AA1767" s="82">
        <f>IFERROR(__xludf.DUMMYFUNCTION("""COMPUTED_VALUE"""),0.5254414156326049)</f>
        <v>0.5254414156</v>
      </c>
      <c r="AB1767" s="82">
        <f>IFERROR(__xludf.DUMMYFUNCTION("""COMPUTED_VALUE"""),1.330174272567212)</f>
        <v>1.330174273</v>
      </c>
      <c r="AC1767" s="82">
        <f>IFERROR(__xludf.DUMMYFUNCTION("""COMPUTED_VALUE"""),2.4538323773637427)</f>
        <v>2.453832377</v>
      </c>
      <c r="AD1767" s="82">
        <f>IFERROR(__xludf.DUMMYFUNCTION("""COMPUTED_VALUE"""),1.0049244120828824)</f>
        <v>1.004924412</v>
      </c>
      <c r="AE1767" s="82">
        <f>IFERROR(__xludf.DUMMYFUNCTION("""COMPUTED_VALUE"""),1.2306138866223875)</f>
        <v>1.230613887</v>
      </c>
      <c r="AF1767" s="82">
        <f>IFERROR(__xludf.DUMMYFUNCTION("""COMPUTED_VALUE"""),0.8458496632005221)</f>
        <v>0.8458496632</v>
      </c>
      <c r="AG1767" s="82">
        <f>IFERROR(__xludf.DUMMYFUNCTION("""COMPUTED_VALUE"""),0.7726640027356606)</f>
        <v>0.7726640027</v>
      </c>
      <c r="AH1767" s="82">
        <f>IFERROR(__xludf.DUMMYFUNCTION("""COMPUTED_VALUE"""),1.0527749805423625)</f>
        <v>1.052774981</v>
      </c>
      <c r="AI1767" s="82">
        <f>IFERROR(__xludf.DUMMYFUNCTION("""COMPUTED_VALUE"""),1.0568737480815618)</f>
        <v>1.056873748</v>
      </c>
      <c r="AJ1767" s="82">
        <f>IFERROR(__xludf.DUMMYFUNCTION("""COMPUTED_VALUE"""),1.1380291408916736)</f>
        <v>1.138029141</v>
      </c>
      <c r="AK1767" s="82">
        <f>IFERROR(__xludf.DUMMYFUNCTION("""COMPUTED_VALUE"""),1.0916485937205476)</f>
        <v>1.091648594</v>
      </c>
      <c r="AL1767" s="82">
        <f>IFERROR(__xludf.DUMMYFUNCTION("""COMPUTED_VALUE"""),0.9717624118157383)</f>
        <v>0.9717624118</v>
      </c>
      <c r="AM1767" s="82">
        <f>IFERROR(__xludf.DUMMYFUNCTION("""COMPUTED_VALUE"""),1.0502413778175101)</f>
        <v>1.050241378</v>
      </c>
      <c r="AN1767" s="82">
        <f>IFERROR(__xludf.DUMMYFUNCTION("""COMPUTED_VALUE"""),1.0118979488005055)</f>
        <v>1.011897949</v>
      </c>
      <c r="AO1767" s="82">
        <f>IFERROR(__xludf.DUMMYFUNCTION("""COMPUTED_VALUE"""),1.2325096085793037)</f>
        <v>1.232509609</v>
      </c>
      <c r="AP1767" s="82">
        <f>IFERROR(__xludf.DUMMYFUNCTION("""COMPUTED_VALUE"""),0.8143018209968345)</f>
        <v>0.814301821</v>
      </c>
      <c r="AQ1767" s="82">
        <f>IFERROR(__xludf.DUMMYFUNCTION("""COMPUTED_VALUE"""),0.7858538091693151)</f>
        <v>0.7858538092</v>
      </c>
      <c r="AR1767" s="82">
        <f>IFERROR(__xludf.DUMMYFUNCTION("""COMPUTED_VALUE"""),1.032631682336919)</f>
        <v>1.032631682</v>
      </c>
      <c r="AS1767" s="82">
        <f>IFERROR(__xludf.DUMMYFUNCTION("""COMPUTED_VALUE"""),87.0)</f>
        <v>87</v>
      </c>
      <c r="AT1767" s="82">
        <f>IFERROR(__xludf.DUMMYFUNCTION("""COMPUTED_VALUE"""),0.4403383301051572)</f>
        <v>0.4403383301</v>
      </c>
      <c r="AU1767" s="82">
        <f>IFERROR(__xludf.DUMMYFUNCTION("""COMPUTED_VALUE"""),2.6467938613496527)</f>
        <v>2.646793861</v>
      </c>
      <c r="AV1767" s="82">
        <f>IFERROR(__xludf.DUMMYFUNCTION("""COMPUTED_VALUE"""),54.96535484906496)</f>
        <v>54.96535485</v>
      </c>
      <c r="AW1767" s="82">
        <f t="shared" si="1"/>
        <v>2.373705375</v>
      </c>
      <c r="AX1767" s="83">
        <f t="array" ref="AX1767">IFERROR(DGET('SBV Import'!A:G,"SBV",{"RSC ID","Tier";B1767,A1767}))</f>
        <v>45.27678753</v>
      </c>
      <c r="AY1767" s="82">
        <f t="shared" si="2"/>
        <v>-2.352529187</v>
      </c>
      <c r="AZ1767" s="82">
        <v>4.726234562050335</v>
      </c>
      <c r="BA1767" s="84">
        <v>1700.0</v>
      </c>
      <c r="BB1767" s="84" t="b">
        <f>IFERROR(__xludf.DUMMYFUNCTION("iferror(if(A1767="""",,E1767&gt;=FILTER(Constants!$F$2:$F$10,Constants!$A$2:$A$10=A1767)))"),TRUE)</f>
        <v>1</v>
      </c>
    </row>
    <row r="1768">
      <c r="A1768" s="89" t="str">
        <f>IFERROR(__xludf.DUMMYFUNCTION("""COMPUTED_VALUE"""),"Rival")</f>
        <v>Rival</v>
      </c>
      <c r="B1768" s="87" t="str">
        <f>IFERROR(__xludf.DUMMYFUNCTION("""COMPUTED_VALUE"""),"RSC005328")</f>
        <v>RSC005328</v>
      </c>
      <c r="C1768" s="73" t="str">
        <f>IFERROR(__xludf.DUMMYFUNCTION("""COMPUTED_VALUE"""),"Razor")</f>
        <v>Razor</v>
      </c>
      <c r="D1768" s="73" t="str">
        <f>IFERROR(__xludf.DUMMYFUNCTION("""COMPUTED_VALUE"""),"Dice")</f>
        <v>Dice</v>
      </c>
      <c r="E1768" s="82">
        <f>IFERROR(__xludf.DUMMYFUNCTION("""COMPUTED_VALUE"""),19.0)</f>
        <v>19</v>
      </c>
      <c r="F1768" s="82">
        <f>IFERROR(__xludf.DUMMYFUNCTION("""COMPUTED_VALUE"""),9.0)</f>
        <v>9</v>
      </c>
      <c r="G1768" s="86">
        <f>IFERROR(__xludf.DUMMYFUNCTION("""COMPUTED_VALUE"""),10.0)</f>
        <v>10</v>
      </c>
      <c r="H1768" s="86">
        <f>IFERROR(__xludf.DUMMYFUNCTION("""COMPUTED_VALUE"""),0.47368421052631576)</f>
        <v>0.4736842105</v>
      </c>
      <c r="I1768" s="86">
        <f>IFERROR(__xludf.DUMMYFUNCTION("""COMPUTED_VALUE"""),0.29411764705882354)</f>
        <v>0.2941176471</v>
      </c>
      <c r="J1768" s="82">
        <f>IFERROR(__xludf.DUMMYFUNCTION("""COMPUTED_VALUE"""),353.94736842105266)</f>
        <v>353.9473684</v>
      </c>
      <c r="K1768" s="82">
        <f>IFERROR(__xludf.DUMMYFUNCTION("""COMPUTED_VALUE"""),0.7894736842105263)</f>
        <v>0.7894736842</v>
      </c>
      <c r="L1768" s="82">
        <f>IFERROR(__xludf.DUMMYFUNCTION("""COMPUTED_VALUE"""),0.5789473684210527)</f>
        <v>0.5789473684</v>
      </c>
      <c r="M1768" s="82">
        <f>IFERROR(__xludf.DUMMYFUNCTION("""COMPUTED_VALUE"""),1.4210526315789473)</f>
        <v>1.421052632</v>
      </c>
      <c r="N1768" s="82">
        <f>IFERROR(__xludf.DUMMYFUNCTION("""COMPUTED_VALUE"""),2.6842105263157894)</f>
        <v>2.684210526</v>
      </c>
      <c r="O1768" s="82">
        <f>IFERROR(__xludf.DUMMYFUNCTION("""COMPUTED_VALUE"""),351.2105263157894)</f>
        <v>351.2105263</v>
      </c>
      <c r="P1768" s="82">
        <f>IFERROR(__xludf.DUMMYFUNCTION("""COMPUTED_VALUE"""),0.8245614035087719)</f>
        <v>0.8245614035</v>
      </c>
      <c r="Q1768" s="82">
        <f>IFERROR(__xludf.DUMMYFUNCTION("""COMPUTED_VALUE"""),0.5087719298245614)</f>
        <v>0.5087719298</v>
      </c>
      <c r="R1768" s="82">
        <f>IFERROR(__xludf.DUMMYFUNCTION("""COMPUTED_VALUE"""),1.5087719298245614)</f>
        <v>1.50877193</v>
      </c>
      <c r="S1768" s="82">
        <f>IFERROR(__xludf.DUMMYFUNCTION("""COMPUTED_VALUE"""),2.491228070175438)</f>
        <v>2.49122807</v>
      </c>
      <c r="T1768" s="82">
        <f>IFERROR(__xludf.DUMMYFUNCTION("""COMPUTED_VALUE"""),336.513488696088)</f>
        <v>336.5134887</v>
      </c>
      <c r="U1768" s="82">
        <f>IFERROR(__xludf.DUMMYFUNCTION("""COMPUTED_VALUE"""),0.7281424536074721)</f>
        <v>0.7281424536</v>
      </c>
      <c r="V1768" s="82">
        <f>IFERROR(__xludf.DUMMYFUNCTION("""COMPUTED_VALUE"""),0.46643343373379925)</f>
        <v>0.4664334337</v>
      </c>
      <c r="W1768" s="82">
        <f>IFERROR(__xludf.DUMMYFUNCTION("""COMPUTED_VALUE"""),1.33827145294585)</f>
        <v>1.338271453</v>
      </c>
      <c r="X1768" s="82">
        <f>IFERROR(__xludf.DUMMYFUNCTION("""COMPUTED_VALUE"""),2.4660525955261043)</f>
        <v>2.466052596</v>
      </c>
      <c r="Y1768" s="82">
        <f>IFERROR(__xludf.DUMMYFUNCTION("""COMPUTED_VALUE"""),344.53860923660346)</f>
        <v>344.5386092</v>
      </c>
      <c r="Z1768" s="82">
        <f>IFERROR(__xludf.DUMMYFUNCTION("""COMPUTED_VALUE"""),0.7724181420877712)</f>
        <v>0.7724181421</v>
      </c>
      <c r="AA1768" s="82">
        <f>IFERROR(__xludf.DUMMYFUNCTION("""COMPUTED_VALUE"""),0.5721350662661241)</f>
        <v>0.5721350663</v>
      </c>
      <c r="AB1768" s="82">
        <f>IFERROR(__xludf.DUMMYFUNCTION("""COMPUTED_VALUE"""),1.2845599373637744)</f>
        <v>1.284559937</v>
      </c>
      <c r="AC1768" s="82">
        <f>IFERROR(__xludf.DUMMYFUNCTION("""COMPUTED_VALUE"""),2.5948427815982775)</f>
        <v>2.594842782</v>
      </c>
      <c r="AD1768" s="82">
        <f>IFERROR(__xludf.DUMMYFUNCTION("""COMPUTED_VALUE"""),1.0273082868863268)</f>
        <v>1.027308287</v>
      </c>
      <c r="AE1768" s="82">
        <f>IFERROR(__xludf.DUMMYFUNCTION("""COMPUTED_VALUE"""),1.022080711461095)</f>
        <v>1.022080711</v>
      </c>
      <c r="AF1768" s="82">
        <f>IFERROR(__xludf.DUMMYFUNCTION("""COMPUTED_VALUE"""),1.0119068075994486)</f>
        <v>1.011906808</v>
      </c>
      <c r="AG1768" s="82">
        <f>IFERROR(__xludf.DUMMYFUNCTION("""COMPUTED_VALUE"""),1.1062563841865478)</f>
        <v>1.106256384</v>
      </c>
      <c r="AH1768" s="82">
        <f>IFERROR(__xludf.DUMMYFUNCTION("""COMPUTED_VALUE"""),1.0344405238541914)</f>
        <v>1.034440524</v>
      </c>
      <c r="AI1768" s="82">
        <f>IFERROR(__xludf.DUMMYFUNCTION("""COMPUTED_VALUE"""),1.043674438360997)</f>
        <v>1.043674438</v>
      </c>
      <c r="AJ1768" s="82">
        <f>IFERROR(__xludf.DUMMYFUNCTION("""COMPUTED_VALUE"""),1.1324177012665677)</f>
        <v>1.132417701</v>
      </c>
      <c r="AK1768" s="82">
        <f>IFERROR(__xludf.DUMMYFUNCTION("""COMPUTED_VALUE"""),1.0907707145944547)</f>
        <v>1.090770715</v>
      </c>
      <c r="AL1768" s="82">
        <f>IFERROR(__xludf.DUMMYFUNCTION("""COMPUTED_VALUE"""),1.1274035073403081)</f>
        <v>1.127403507</v>
      </c>
      <c r="AM1768" s="82">
        <f>IFERROR(__xludf.DUMMYFUNCTION("""COMPUTED_VALUE"""),1.0102088149681019)</f>
        <v>1.010208815</v>
      </c>
      <c r="AN1768" s="82">
        <f>IFERROR(__xludf.DUMMYFUNCTION("""COMPUTED_VALUE"""),1.043856070206412)</f>
        <v>1.04385607</v>
      </c>
      <c r="AO1768" s="82">
        <f>IFERROR(__xludf.DUMMYFUNCTION("""COMPUTED_VALUE"""),1.0614915289199744)</f>
        <v>1.061491529</v>
      </c>
      <c r="AP1768" s="82">
        <f>IFERROR(__xludf.DUMMYFUNCTION("""COMPUTED_VALUE"""),1.060735266824824)</f>
        <v>1.060735267</v>
      </c>
      <c r="AQ1768" s="82">
        <f>IFERROR(__xludf.DUMMYFUNCTION("""COMPUTED_VALUE"""),1.0865574715683846)</f>
        <v>1.086557472</v>
      </c>
      <c r="AR1768" s="82">
        <f>IFERROR(__xludf.DUMMYFUNCTION("""COMPUTED_VALUE"""),1.0729551605945575)</f>
        <v>1.072955161</v>
      </c>
      <c r="AS1768" s="82">
        <f>IFERROR(__xludf.DUMMYFUNCTION("""COMPUTED_VALUE"""),44.0)</f>
        <v>44</v>
      </c>
      <c r="AT1768" s="82">
        <f>IFERROR(__xludf.DUMMYFUNCTION("""COMPUTED_VALUE"""),0.4741736405774122)</f>
        <v>0.4741736406</v>
      </c>
      <c r="AU1768" s="82">
        <f>IFERROR(__xludf.DUMMYFUNCTION("""COMPUTED_VALUE"""),2.6414659612280125)</f>
        <v>2.641465961</v>
      </c>
      <c r="AV1768" s="82">
        <f>IFERROR(__xludf.DUMMYFUNCTION("""COMPUTED_VALUE"""),54.81281720224074)</f>
        <v>54.8128172</v>
      </c>
      <c r="AW1768" s="82">
        <f t="shared" si="1"/>
        <v>2.360325858</v>
      </c>
      <c r="AX1768" s="83">
        <f t="array" ref="AX1768">IFERROR(DGET('SBV Import'!A:G,"SBV",{"RSC ID","Tier";B1768,A1768}))</f>
        <v>50.04060719</v>
      </c>
      <c r="AY1768" s="82">
        <f t="shared" si="2"/>
        <v>2.00259535</v>
      </c>
      <c r="AZ1768" s="82">
        <v>0.357730507900174</v>
      </c>
      <c r="BA1768" s="84">
        <v>1700.0</v>
      </c>
      <c r="BB1768" s="84" t="b">
        <f>IFERROR(__xludf.DUMMYFUNCTION("iferror(if(A1768="""",,E1768&gt;=FILTER(Constants!$F$2:$F$10,Constants!$A$2:$A$10=A1768)))"),TRUE)</f>
        <v>1</v>
      </c>
    </row>
    <row r="1769">
      <c r="A1769" s="89" t="str">
        <f>IFERROR(__xludf.DUMMYFUNCTION("""COMPUTED_VALUE"""),"Rival")</f>
        <v>Rival</v>
      </c>
      <c r="B1769" s="87" t="str">
        <f>IFERROR(__xludf.DUMMYFUNCTION("""COMPUTED_VALUE"""),"RSC000182")</f>
        <v>RSC000182</v>
      </c>
      <c r="C1769" s="73" t="str">
        <f>IFERROR(__xludf.DUMMYFUNCTION("""COMPUTED_VALUE"""),"Goose")</f>
        <v>Goose</v>
      </c>
      <c r="D1769" s="73" t="str">
        <f>IFERROR(__xludf.DUMMYFUNCTION("""COMPUTED_VALUE"""),"Dice")</f>
        <v>Dice</v>
      </c>
      <c r="E1769" s="82">
        <f>IFERROR(__xludf.DUMMYFUNCTION("""COMPUTED_VALUE"""),40.0)</f>
        <v>40</v>
      </c>
      <c r="F1769" s="82">
        <f>IFERROR(__xludf.DUMMYFUNCTION("""COMPUTED_VALUE"""),18.0)</f>
        <v>18</v>
      </c>
      <c r="G1769" s="86">
        <f>IFERROR(__xludf.DUMMYFUNCTION("""COMPUTED_VALUE"""),22.0)</f>
        <v>22</v>
      </c>
      <c r="H1769" s="86">
        <f>IFERROR(__xludf.DUMMYFUNCTION("""COMPUTED_VALUE"""),0.45)</f>
        <v>0.45</v>
      </c>
      <c r="I1769" s="86">
        <f>IFERROR(__xludf.DUMMYFUNCTION("""COMPUTED_VALUE"""),0.3027522935779816)</f>
        <v>0.3027522936</v>
      </c>
      <c r="J1769" s="82">
        <f>IFERROR(__xludf.DUMMYFUNCTION("""COMPUTED_VALUE"""),331.875)</f>
        <v>331.875</v>
      </c>
      <c r="K1769" s="82">
        <f>IFERROR(__xludf.DUMMYFUNCTION("""COMPUTED_VALUE"""),0.825)</f>
        <v>0.825</v>
      </c>
      <c r="L1769" s="82">
        <f>IFERROR(__xludf.DUMMYFUNCTION("""COMPUTED_VALUE"""),0.575)</f>
        <v>0.575</v>
      </c>
      <c r="M1769" s="82">
        <f>IFERROR(__xludf.DUMMYFUNCTION("""COMPUTED_VALUE"""),1.15)</f>
        <v>1.15</v>
      </c>
      <c r="N1769" s="82">
        <f>IFERROR(__xludf.DUMMYFUNCTION("""COMPUTED_VALUE"""),2.725)</f>
        <v>2.725</v>
      </c>
      <c r="O1769" s="82">
        <f>IFERROR(__xludf.DUMMYFUNCTION("""COMPUTED_VALUE"""),355.71666666666664)</f>
        <v>355.7166667</v>
      </c>
      <c r="P1769" s="82">
        <f>IFERROR(__xludf.DUMMYFUNCTION("""COMPUTED_VALUE"""),0.8666666666666666)</f>
        <v>0.8666666667</v>
      </c>
      <c r="Q1769" s="82">
        <f>IFERROR(__xludf.DUMMYFUNCTION("""COMPUTED_VALUE"""),0.55)</f>
        <v>0.55</v>
      </c>
      <c r="R1769" s="82">
        <f>IFERROR(__xludf.DUMMYFUNCTION("""COMPUTED_VALUE"""),1.3499999999999999)</f>
        <v>1.35</v>
      </c>
      <c r="S1769" s="82">
        <f>IFERROR(__xludf.DUMMYFUNCTION("""COMPUTED_VALUE"""),2.5083333333333337)</f>
        <v>2.508333333</v>
      </c>
      <c r="T1769" s="82">
        <f>IFERROR(__xludf.DUMMYFUNCTION("""COMPUTED_VALUE"""),340.81562716312754)</f>
        <v>340.8156272</v>
      </c>
      <c r="U1769" s="82">
        <f>IFERROR(__xludf.DUMMYFUNCTION("""COMPUTED_VALUE"""),0.737413193453595)</f>
        <v>0.7374131935</v>
      </c>
      <c r="V1769" s="82">
        <f>IFERROR(__xludf.DUMMYFUNCTION("""COMPUTED_VALUE"""),0.5496035219638916)</f>
        <v>0.549603522</v>
      </c>
      <c r="W1769" s="82">
        <f>IFERROR(__xludf.DUMMYFUNCTION("""COMPUTED_VALUE"""),1.3525457432868708)</f>
        <v>1.352545743</v>
      </c>
      <c r="X1769" s="82">
        <f>IFERROR(__xludf.DUMMYFUNCTION("""COMPUTED_VALUE"""),2.4619071122826868)</f>
        <v>2.461907112</v>
      </c>
      <c r="Y1769" s="82">
        <f>IFERROR(__xludf.DUMMYFUNCTION("""COMPUTED_VALUE"""),343.96473126726653)</f>
        <v>343.9647313</v>
      </c>
      <c r="Z1769" s="82">
        <f>IFERROR(__xludf.DUMMYFUNCTION("""COMPUTED_VALUE"""),0.7842723932002571)</f>
        <v>0.7842723932</v>
      </c>
      <c r="AA1769" s="82">
        <f>IFERROR(__xludf.DUMMYFUNCTION("""COMPUTED_VALUE"""),0.574101268193542)</f>
        <v>0.5741012682</v>
      </c>
      <c r="AB1769" s="82">
        <f>IFERROR(__xludf.DUMMYFUNCTION("""COMPUTED_VALUE"""),1.2633058087174533)</f>
        <v>1.263305809</v>
      </c>
      <c r="AC1769" s="82">
        <f>IFERROR(__xludf.DUMMYFUNCTION("""COMPUTED_VALUE"""),2.5834565937857645)</f>
        <v>2.583456594</v>
      </c>
      <c r="AD1769" s="82">
        <f>IFERROR(__xludf.DUMMYFUNCTION("""COMPUTED_VALUE"""),0.9648518287827812)</f>
        <v>0.9648518288</v>
      </c>
      <c r="AE1769" s="82">
        <f>IFERROR(__xludf.DUMMYFUNCTION("""COMPUTED_VALUE"""),1.0519304353345298)</f>
        <v>1.051930435</v>
      </c>
      <c r="AF1769" s="82">
        <f>IFERROR(__xludf.DUMMYFUNCTION("""COMPUTED_VALUE"""),1.0015654586677467)</f>
        <v>1.001565459</v>
      </c>
      <c r="AG1769" s="82">
        <f>IFERROR(__xludf.DUMMYFUNCTION("""COMPUTED_VALUE"""),0.9103100706609709)</f>
        <v>0.9103100707</v>
      </c>
      <c r="AH1769" s="82">
        <f>IFERROR(__xludf.DUMMYFUNCTION("""COMPUTED_VALUE"""),1.0547883817961965)</f>
        <v>1.054788382</v>
      </c>
      <c r="AI1769" s="82">
        <f>IFERROR(__xludf.DUMMYFUNCTION("""COMPUTED_VALUE"""),1.043721702633098)</f>
        <v>1.043721703</v>
      </c>
      <c r="AJ1769" s="82">
        <f>IFERROR(__xludf.DUMMYFUNCTION("""COMPUTED_VALUE"""),1.1752795778005094)</f>
        <v>1.175279578</v>
      </c>
      <c r="AK1769" s="82">
        <f>IFERROR(__xludf.DUMMYFUNCTION("""COMPUTED_VALUE"""),1.0007213891837732)</f>
        <v>1.000721389</v>
      </c>
      <c r="AL1769" s="82">
        <f>IFERROR(__xludf.DUMMYFUNCTION("""COMPUTED_VALUE"""),0.9981178135382804)</f>
        <v>0.9981178135</v>
      </c>
      <c r="AM1769" s="82">
        <f>IFERROR(__xludf.DUMMYFUNCTION("""COMPUTED_VALUE"""),1.018857828071182)</f>
        <v>1.018857828</v>
      </c>
      <c r="AN1769" s="82">
        <f>IFERROR(__xludf.DUMMYFUNCTION("""COMPUTED_VALUE"""),0.978760584787406)</f>
        <v>0.9787605848</v>
      </c>
      <c r="AO1769" s="82">
        <f>IFERROR(__xludf.DUMMYFUNCTION("""COMPUTED_VALUE"""),1.1092586477213733)</f>
        <v>1.109258648</v>
      </c>
      <c r="AP1769" s="82">
        <f>IFERROR(__xludf.DUMMYFUNCTION("""COMPUTED_VALUE"""),1.0535029809146546)</f>
        <v>1.053502981</v>
      </c>
      <c r="AQ1769" s="82">
        <f>IFERROR(__xludf.DUMMYFUNCTION("""COMPUTED_VALUE"""),0.8793066945840444)</f>
        <v>0.8793066946</v>
      </c>
      <c r="AR1769" s="82">
        <f>IFERROR(__xludf.DUMMYFUNCTION("""COMPUTED_VALUE"""),1.0892598713682984)</f>
        <v>1.089259871</v>
      </c>
      <c r="AS1769" s="82">
        <f>IFERROR(__xludf.DUMMYFUNCTION("""COMPUTED_VALUE"""),95.0)</f>
        <v>95</v>
      </c>
      <c r="AT1769" s="82">
        <f>IFERROR(__xludf.DUMMYFUNCTION("""COMPUTED_VALUE"""),0.46419929416740363)</f>
        <v>0.4641992942</v>
      </c>
      <c r="AU1769" s="82">
        <f>IFERROR(__xludf.DUMMYFUNCTION("""COMPUTED_VALUE"""),2.6394644231649296)</f>
        <v>2.639464423</v>
      </c>
      <c r="AV1769" s="82">
        <f>IFERROR(__xludf.DUMMYFUNCTION("""COMPUTED_VALUE"""),54.755513217706245)</f>
        <v>54.75551322</v>
      </c>
      <c r="AW1769" s="82">
        <f t="shared" si="1"/>
        <v>2.355334403</v>
      </c>
      <c r="AX1769" s="83">
        <f t="array" ref="AX1769">IFERROR(DGET('SBV Import'!A:G,"SBV",{"RSC ID","Tier";B1769,A1769}))</f>
        <v>46.60331555</v>
      </c>
      <c r="AY1769" s="82">
        <f t="shared" si="2"/>
        <v>-2.242338176</v>
      </c>
      <c r="AZ1769" s="82">
        <v>4.597672579849608</v>
      </c>
      <c r="BA1769" s="84">
        <v>1700.0</v>
      </c>
      <c r="BB1769" s="84" t="b">
        <f>IFERROR(__xludf.DUMMYFUNCTION("iferror(if(A1769="""",,E1769&gt;=FILTER(Constants!$F$2:$F$10,Constants!$A$2:$A$10=A1769)))"),TRUE)</f>
        <v>1</v>
      </c>
    </row>
    <row r="1770">
      <c r="A1770" s="89" t="str">
        <f>IFERROR(__xludf.DUMMYFUNCTION("""COMPUTED_VALUE"""),"Rival")</f>
        <v>Rival</v>
      </c>
      <c r="B1770" s="87" t="str">
        <f>IFERROR(__xludf.DUMMYFUNCTION("""COMPUTED_VALUE"""),"RSC004545")</f>
        <v>RSC004545</v>
      </c>
      <c r="C1770" s="73" t="str">
        <f>IFERROR(__xludf.DUMMYFUNCTION("""COMPUTED_VALUE"""),"Vires")</f>
        <v>Vires</v>
      </c>
      <c r="D1770" s="73" t="str">
        <f>IFERROR(__xludf.DUMMYFUNCTION("""COMPUTED_VALUE"""),"Nightfall")</f>
        <v>Nightfall</v>
      </c>
      <c r="E1770" s="82">
        <f>IFERROR(__xludf.DUMMYFUNCTION("""COMPUTED_VALUE"""),39.0)</f>
        <v>39</v>
      </c>
      <c r="F1770" s="82">
        <f>IFERROR(__xludf.DUMMYFUNCTION("""COMPUTED_VALUE"""),18.0)</f>
        <v>18</v>
      </c>
      <c r="G1770" s="86">
        <f>IFERROR(__xludf.DUMMYFUNCTION("""COMPUTED_VALUE"""),21.0)</f>
        <v>21</v>
      </c>
      <c r="H1770" s="86">
        <f>IFERROR(__xludf.DUMMYFUNCTION("""COMPUTED_VALUE"""),0.46153846153846156)</f>
        <v>0.4615384615</v>
      </c>
      <c r="I1770" s="86">
        <f>IFERROR(__xludf.DUMMYFUNCTION("""COMPUTED_VALUE"""),0.3267326732673267)</f>
        <v>0.3267326733</v>
      </c>
      <c r="J1770" s="82">
        <f>IFERROR(__xludf.DUMMYFUNCTION("""COMPUTED_VALUE"""),332.79487179487177)</f>
        <v>332.7948718</v>
      </c>
      <c r="K1770" s="82">
        <f>IFERROR(__xludf.DUMMYFUNCTION("""COMPUTED_VALUE"""),0.8461538461538461)</f>
        <v>0.8461538462</v>
      </c>
      <c r="L1770" s="82">
        <f>IFERROR(__xludf.DUMMYFUNCTION("""COMPUTED_VALUE"""),0.48717948717948717)</f>
        <v>0.4871794872</v>
      </c>
      <c r="M1770" s="82">
        <f>IFERROR(__xludf.DUMMYFUNCTION("""COMPUTED_VALUE"""),1.2307692307692308)</f>
        <v>1.230769231</v>
      </c>
      <c r="N1770" s="82">
        <f>IFERROR(__xludf.DUMMYFUNCTION("""COMPUTED_VALUE"""),2.58974358974359)</f>
        <v>2.58974359</v>
      </c>
      <c r="O1770" s="82">
        <f>IFERROR(__xludf.DUMMYFUNCTION("""COMPUTED_VALUE"""),339.23931623931634)</f>
        <v>339.2393162</v>
      </c>
      <c r="P1770" s="82">
        <f>IFERROR(__xludf.DUMMYFUNCTION("""COMPUTED_VALUE"""),0.7264957264957264)</f>
        <v>0.7264957265</v>
      </c>
      <c r="Q1770" s="82">
        <f>IFERROR(__xludf.DUMMYFUNCTION("""COMPUTED_VALUE"""),0.5470085470085471)</f>
        <v>0.547008547</v>
      </c>
      <c r="R1770" s="82">
        <f>IFERROR(__xludf.DUMMYFUNCTION("""COMPUTED_VALUE"""),1.4444444444444444)</f>
        <v>1.444444444</v>
      </c>
      <c r="S1770" s="82">
        <f>IFERROR(__xludf.DUMMYFUNCTION("""COMPUTED_VALUE"""),2.444444444444444)</f>
        <v>2.444444444</v>
      </c>
      <c r="T1770" s="82">
        <f>IFERROR(__xludf.DUMMYFUNCTION("""COMPUTED_VALUE"""),350.0375263690722)</f>
        <v>350.0375264</v>
      </c>
      <c r="U1770" s="82">
        <f>IFERROR(__xludf.DUMMYFUNCTION("""COMPUTED_VALUE"""),0.7812030152328147)</f>
        <v>0.7812030152</v>
      </c>
      <c r="V1770" s="82">
        <f>IFERROR(__xludf.DUMMYFUNCTION("""COMPUTED_VALUE"""),0.5812547433238289)</f>
        <v>0.5812547433</v>
      </c>
      <c r="W1770" s="82">
        <f>IFERROR(__xludf.DUMMYFUNCTION("""COMPUTED_VALUE"""),1.3349224967132216)</f>
        <v>1.334922497</v>
      </c>
      <c r="X1770" s="82">
        <f>IFERROR(__xludf.DUMMYFUNCTION("""COMPUTED_VALUE"""),2.5369122644353177)</f>
        <v>2.536912264</v>
      </c>
      <c r="Y1770" s="82">
        <f>IFERROR(__xludf.DUMMYFUNCTION("""COMPUTED_VALUE"""),348.21090611409426)</f>
        <v>348.2109061</v>
      </c>
      <c r="Z1770" s="82">
        <f>IFERROR(__xludf.DUMMYFUNCTION("""COMPUTED_VALUE"""),0.7930545881014489)</f>
        <v>0.7930545881</v>
      </c>
      <c r="AA1770" s="82">
        <f>IFERROR(__xludf.DUMMYFUNCTION("""COMPUTED_VALUE"""),0.5694597377216188)</f>
        <v>0.5694597377</v>
      </c>
      <c r="AB1770" s="82">
        <f>IFERROR(__xludf.DUMMYFUNCTION("""COMPUTED_VALUE"""),1.3098971938126556)</f>
        <v>1.309897194</v>
      </c>
      <c r="AC1770" s="82">
        <f>IFERROR(__xludf.DUMMYFUNCTION("""COMPUTED_VALUE"""),2.617940568587095)</f>
        <v>2.617940569</v>
      </c>
      <c r="AD1770" s="82">
        <f>IFERROR(__xludf.DUMMYFUNCTION("""COMPUTED_VALUE"""),0.955727882014783)</f>
        <v>0.955727882</v>
      </c>
      <c r="AE1770" s="82">
        <f>IFERROR(__xludf.DUMMYFUNCTION("""COMPUTED_VALUE"""),1.0669553632865494)</f>
        <v>1.066955363</v>
      </c>
      <c r="AF1770" s="82">
        <f>IFERROR(__xludf.DUMMYFUNCTION("""COMPUTED_VALUE"""),0.8555117331537239)</f>
        <v>0.8555117332</v>
      </c>
      <c r="AG1770" s="82">
        <f>IFERROR(__xludf.DUMMYFUNCTION("""COMPUTED_VALUE"""),0.9395922340950202)</f>
        <v>0.9395922341</v>
      </c>
      <c r="AH1770" s="82">
        <f>IFERROR(__xludf.DUMMYFUNCTION("""COMPUTED_VALUE"""),0.9892293281284368)</f>
        <v>0.9892293281</v>
      </c>
      <c r="AI1770" s="82">
        <f>IFERROR(__xludf.DUMMYFUNCTION("""COMPUTED_VALUE"""),0.9691512786021391)</f>
        <v>0.9691512786</v>
      </c>
      <c r="AJ1770" s="82">
        <f>IFERROR(__xludf.DUMMYFUNCTION("""COMPUTED_VALUE"""),0.9299704588047648)</f>
        <v>0.9299704588</v>
      </c>
      <c r="AK1770" s="82">
        <f>IFERROR(__xludf.DUMMYFUNCTION("""COMPUTED_VALUE"""),0.9410822935922218)</f>
        <v>0.9410822936</v>
      </c>
      <c r="AL1770" s="82">
        <f>IFERROR(__xludf.DUMMYFUNCTION("""COMPUTED_VALUE"""),1.0820436751952882)</f>
        <v>1.082043675</v>
      </c>
      <c r="AM1770" s="82">
        <f>IFERROR(__xludf.DUMMYFUNCTION("""COMPUTED_VALUE"""),0.9635510375005201)</f>
        <v>0.9635510375</v>
      </c>
      <c r="AN1770" s="82">
        <f>IFERROR(__xludf.DUMMYFUNCTION("""COMPUTED_VALUE"""),0.9814734563682065)</f>
        <v>0.9814734564</v>
      </c>
      <c r="AO1770" s="82">
        <f>IFERROR(__xludf.DUMMYFUNCTION("""COMPUTED_VALUE"""),1.1377011771501264)</f>
        <v>1.137701177</v>
      </c>
      <c r="AP1770" s="82">
        <f>IFERROR(__xludf.DUMMYFUNCTION("""COMPUTED_VALUE"""),0.8926000730157608)</f>
        <v>0.892600073</v>
      </c>
      <c r="AQ1770" s="82">
        <f>IFERROR(__xludf.DUMMYFUNCTION("""COMPUTED_VALUE"""),0.9410640209595126)</f>
        <v>0.941064021</v>
      </c>
      <c r="AR1770" s="82">
        <f>IFERROR(__xludf.DUMMYFUNCTION("""COMPUTED_VALUE"""),1.0351940438315514)</f>
        <v>1.035194044</v>
      </c>
      <c r="AS1770" s="82">
        <f>IFERROR(__xludf.DUMMYFUNCTION("""COMPUTED_VALUE"""),90.0)</f>
        <v>90</v>
      </c>
      <c r="AT1770" s="82">
        <f>IFERROR(__xludf.DUMMYFUNCTION("""COMPUTED_VALUE"""),0.5219713521806452)</f>
        <v>0.5219713522</v>
      </c>
      <c r="AU1770" s="82">
        <f>IFERROR(__xludf.DUMMYFUNCTION("""COMPUTED_VALUE"""),2.638598325374102)</f>
        <v>2.638598325</v>
      </c>
      <c r="AV1770" s="82">
        <f>IFERROR(__xludf.DUMMYFUNCTION("""COMPUTED_VALUE"""),54.730716859682204)</f>
        <v>54.73071686</v>
      </c>
      <c r="AW1770" s="82">
        <f t="shared" si="1"/>
        <v>2.353180385</v>
      </c>
      <c r="AX1770" s="83">
        <f t="array" ref="AX1770">IFERROR(DGET('SBV Import'!A:G,"SBV",{"RSC ID","Tier";B1770,A1770}))</f>
        <v>44.98521862</v>
      </c>
      <c r="AY1770" s="82">
        <f t="shared" si="2"/>
        <v>-2.378069831</v>
      </c>
      <c r="AZ1770" s="82">
        <v>4.731250215831974</v>
      </c>
      <c r="BA1770" s="84">
        <v>1700.0</v>
      </c>
      <c r="BB1770" s="84" t="b">
        <f>IFERROR(__xludf.DUMMYFUNCTION("iferror(if(A1770="""",,E1770&gt;=FILTER(Constants!$F$2:$F$10,Constants!$A$2:$A$10=A1770)))"),TRUE)</f>
        <v>1</v>
      </c>
    </row>
    <row r="1771">
      <c r="A1771" s="89" t="str">
        <f>IFERROR(__xludf.DUMMYFUNCTION("""COMPUTED_VALUE"""),"Rival")</f>
        <v>Rival</v>
      </c>
      <c r="B1771" s="87" t="str">
        <f>IFERROR(__xludf.DUMMYFUNCTION("""COMPUTED_VALUE"""),"RSC007527")</f>
        <v>RSC007527</v>
      </c>
      <c r="C1771" s="73" t="str">
        <f>IFERROR(__xludf.DUMMYFUNCTION("""COMPUTED_VALUE"""),"Yort")</f>
        <v>Yort</v>
      </c>
      <c r="D1771" s="73" t="str">
        <f>IFERROR(__xludf.DUMMYFUNCTION("""COMPUTED_VALUE"""),"Dracos")</f>
        <v>Dracos</v>
      </c>
      <c r="E1771" s="82">
        <f>IFERROR(__xludf.DUMMYFUNCTION("""COMPUTED_VALUE"""),38.0)</f>
        <v>38</v>
      </c>
      <c r="F1771" s="82">
        <f>IFERROR(__xludf.DUMMYFUNCTION("""COMPUTED_VALUE"""),19.0)</f>
        <v>19</v>
      </c>
      <c r="G1771" s="86">
        <f>IFERROR(__xludf.DUMMYFUNCTION("""COMPUTED_VALUE"""),19.0)</f>
        <v>19</v>
      </c>
      <c r="H1771" s="86">
        <f>IFERROR(__xludf.DUMMYFUNCTION("""COMPUTED_VALUE"""),0.5)</f>
        <v>0.5</v>
      </c>
      <c r="I1771" s="86">
        <f>IFERROR(__xludf.DUMMYFUNCTION("""COMPUTED_VALUE"""),0.35051546391752575)</f>
        <v>0.3505154639</v>
      </c>
      <c r="J1771" s="82">
        <f>IFERROR(__xludf.DUMMYFUNCTION("""COMPUTED_VALUE"""),356.07894736842104)</f>
        <v>356.0789474</v>
      </c>
      <c r="K1771" s="82">
        <f>IFERROR(__xludf.DUMMYFUNCTION("""COMPUTED_VALUE"""),0.8947368421052632)</f>
        <v>0.8947368421</v>
      </c>
      <c r="L1771" s="82">
        <f>IFERROR(__xludf.DUMMYFUNCTION("""COMPUTED_VALUE"""),0.39473684210526316)</f>
        <v>0.3947368421</v>
      </c>
      <c r="M1771" s="82">
        <f>IFERROR(__xludf.DUMMYFUNCTION("""COMPUTED_VALUE"""),1.3421052631578947)</f>
        <v>1.342105263</v>
      </c>
      <c r="N1771" s="82">
        <f>IFERROR(__xludf.DUMMYFUNCTION("""COMPUTED_VALUE"""),2.5526315789473686)</f>
        <v>2.552631579</v>
      </c>
      <c r="O1771" s="82">
        <f>IFERROR(__xludf.DUMMYFUNCTION("""COMPUTED_VALUE"""),353.80701754385956)</f>
        <v>353.8070175</v>
      </c>
      <c r="P1771" s="82">
        <f>IFERROR(__xludf.DUMMYFUNCTION("""COMPUTED_VALUE"""),0.868421052631579)</f>
        <v>0.8684210526</v>
      </c>
      <c r="Q1771" s="82">
        <f>IFERROR(__xludf.DUMMYFUNCTION("""COMPUTED_VALUE"""),0.5263157894736843)</f>
        <v>0.5263157895</v>
      </c>
      <c r="R1771" s="82">
        <f>IFERROR(__xludf.DUMMYFUNCTION("""COMPUTED_VALUE"""),1.2894736842105268)</f>
        <v>1.289473684</v>
      </c>
      <c r="S1771" s="82">
        <f>IFERROR(__xludf.DUMMYFUNCTION("""COMPUTED_VALUE"""),2.657894736842105)</f>
        <v>2.657894737</v>
      </c>
      <c r="T1771" s="82">
        <f>IFERROR(__xludf.DUMMYFUNCTION("""COMPUTED_VALUE"""),352.36384334079617)</f>
        <v>352.3638433</v>
      </c>
      <c r="U1771" s="82">
        <f>IFERROR(__xludf.DUMMYFUNCTION("""COMPUTED_VALUE"""),0.7831401130120429)</f>
        <v>0.783140113</v>
      </c>
      <c r="V1771" s="82">
        <f>IFERROR(__xludf.DUMMYFUNCTION("""COMPUTED_VALUE"""),0.553934457865033)</f>
        <v>0.5539344579</v>
      </c>
      <c r="W1771" s="82">
        <f>IFERROR(__xludf.DUMMYFUNCTION("""COMPUTED_VALUE"""),1.3174215167848364)</f>
        <v>1.317421517</v>
      </c>
      <c r="X1771" s="82">
        <f>IFERROR(__xludf.DUMMYFUNCTION("""COMPUTED_VALUE"""),2.723816545141763)</f>
        <v>2.723816545</v>
      </c>
      <c r="Y1771" s="82">
        <f>IFERROR(__xludf.DUMMYFUNCTION("""COMPUTED_VALUE"""),348.0926614523507)</f>
        <v>348.0926615</v>
      </c>
      <c r="Z1771" s="82">
        <f>IFERROR(__xludf.DUMMYFUNCTION("""COMPUTED_VALUE"""),0.7681816516333109)</f>
        <v>0.7681816516</v>
      </c>
      <c r="AA1771" s="82">
        <f>IFERROR(__xludf.DUMMYFUNCTION("""COMPUTED_VALUE"""),0.5469278269645921)</f>
        <v>0.546927827</v>
      </c>
      <c r="AB1771" s="82">
        <f>IFERROR(__xludf.DUMMYFUNCTION("""COMPUTED_VALUE"""),1.3616300004357933)</f>
        <v>1.36163</v>
      </c>
      <c r="AC1771" s="82">
        <f>IFERROR(__xludf.DUMMYFUNCTION("""COMPUTED_VALUE"""),2.5465729314557315)</f>
        <v>2.546572931</v>
      </c>
      <c r="AD1771" s="82">
        <f>IFERROR(__xludf.DUMMYFUNCTION("""COMPUTED_VALUE"""),1.0229429884639023)</f>
        <v>1.022942988</v>
      </c>
      <c r="AE1771" s="82">
        <f>IFERROR(__xludf.DUMMYFUNCTION("""COMPUTED_VALUE"""),1.16474643751627)</f>
        <v>1.164746438</v>
      </c>
      <c r="AF1771" s="82">
        <f>IFERROR(__xludf.DUMMYFUNCTION("""COMPUTED_VALUE"""),0.7217347932286106)</f>
        <v>0.7217347932</v>
      </c>
      <c r="AG1771" s="82">
        <f>IFERROR(__xludf.DUMMYFUNCTION("""COMPUTED_VALUE"""),0.9856607615345948)</f>
        <v>0.9856607615</v>
      </c>
      <c r="AH1771" s="82">
        <f>IFERROR(__xludf.DUMMYFUNCTION("""COMPUTED_VALUE"""),1.0023791376311275)</f>
        <v>1.002379138</v>
      </c>
      <c r="AI1771" s="82">
        <f>IFERROR(__xludf.DUMMYFUNCTION("""COMPUTED_VALUE"""),1.0040956932169331)</f>
        <v>1.004095693</v>
      </c>
      <c r="AJ1771" s="82">
        <f>IFERROR(__xludf.DUMMYFUNCTION("""COMPUTED_VALUE"""),1.1088961454056239)</f>
        <v>1.108896145</v>
      </c>
      <c r="AK1771" s="82">
        <f>IFERROR(__xludf.DUMMYFUNCTION("""COMPUTED_VALUE"""),0.9501409092732808)</f>
        <v>0.9501409093</v>
      </c>
      <c r="AL1771" s="82">
        <f>IFERROR(__xludf.DUMMYFUNCTION("""COMPUTED_VALUE"""),0.9787859601363456)</f>
        <v>0.9787859601</v>
      </c>
      <c r="AM1771" s="82">
        <f>IFERROR(__xludf.DUMMYFUNCTION("""COMPUTED_VALUE"""),0.9757979998993555)</f>
        <v>0.9757979999</v>
      </c>
      <c r="AN1771" s="82">
        <f>IFERROR(__xludf.DUMMYFUNCTION("""COMPUTED_VALUE"""),1.0501424896626734)</f>
        <v>1.05014249</v>
      </c>
      <c r="AO1771" s="82">
        <f>IFERROR(__xludf.DUMMYFUNCTION("""COMPUTED_VALUE"""),1.2030237327759712)</f>
        <v>1.203023733</v>
      </c>
      <c r="AP1771" s="82">
        <f>IFERROR(__xludf.DUMMYFUNCTION("""COMPUTED_VALUE"""),0.7232285910169254)</f>
        <v>0.723228591</v>
      </c>
      <c r="AQ1771" s="82">
        <f>IFERROR(__xludf.DUMMYFUNCTION("""COMPUTED_VALUE"""),1.0261931675923632)</f>
        <v>1.026193168</v>
      </c>
      <c r="AR1771" s="82">
        <f>IFERROR(__xludf.DUMMYFUNCTION("""COMPUTED_VALUE"""),1.020359319388942)</f>
        <v>1.020359319</v>
      </c>
      <c r="AS1771" s="82">
        <f>IFERROR(__xludf.DUMMYFUNCTION("""COMPUTED_VALUE"""),89.0)</f>
        <v>89</v>
      </c>
      <c r="AT1771" s="82">
        <f>IFERROR(__xludf.DUMMYFUNCTION("""COMPUTED_VALUE"""),0.45797749306388547)</f>
        <v>0.4579774931</v>
      </c>
      <c r="AU1771" s="82">
        <f>IFERROR(__xludf.DUMMYFUNCTION("""COMPUTED_VALUE"""),2.607851201218745)</f>
        <v>2.607851201</v>
      </c>
      <c r="AV1771" s="82">
        <f>IFERROR(__xludf.DUMMYFUNCTION("""COMPUTED_VALUE"""),53.85042746645189)</f>
        <v>53.85042747</v>
      </c>
      <c r="AW1771" s="82">
        <f t="shared" si="1"/>
        <v>2.278952299</v>
      </c>
      <c r="AX1771" s="83">
        <f t="array" ref="AX1771">IFERROR(DGET('SBV Import'!A:G,"SBV",{"RSC ID","Tier";B1771,A1771}))</f>
        <v>47.70769477</v>
      </c>
      <c r="AY1771" s="82">
        <f t="shared" si="2"/>
        <v>-2.157630933</v>
      </c>
      <c r="AZ1771" s="82">
        <v>4.436583232340038</v>
      </c>
      <c r="BA1771" s="84">
        <v>1700.0</v>
      </c>
      <c r="BB1771" s="84" t="b">
        <f>IFERROR(__xludf.DUMMYFUNCTION("iferror(if(A1771="""",,E1771&gt;=FILTER(Constants!$F$2:$F$10,Constants!$A$2:$A$10=A1771)))"),TRUE)</f>
        <v>1</v>
      </c>
    </row>
    <row r="1772">
      <c r="A1772" s="89" t="str">
        <f>IFERROR(__xludf.DUMMYFUNCTION("""COMPUTED_VALUE"""),"Rival")</f>
        <v>Rival</v>
      </c>
      <c r="B1772" s="87" t="str">
        <f>IFERROR(__xludf.DUMMYFUNCTION("""COMPUTED_VALUE"""),"RSC003718")</f>
        <v>RSC003718</v>
      </c>
      <c r="C1772" s="73" t="str">
        <f>IFERROR(__xludf.DUMMYFUNCTION("""COMPUTED_VALUE"""),"Tbonelul")</f>
        <v>Tbonelul</v>
      </c>
      <c r="D1772" s="73" t="str">
        <f>IFERROR(__xludf.DUMMYFUNCTION("""COMPUTED_VALUE"""),"Heavy Metal")</f>
        <v>Heavy Metal</v>
      </c>
      <c r="E1772" s="82">
        <f>IFERROR(__xludf.DUMMYFUNCTION("""COMPUTED_VALUE"""),41.0)</f>
        <v>41</v>
      </c>
      <c r="F1772" s="82">
        <f>IFERROR(__xludf.DUMMYFUNCTION("""COMPUTED_VALUE"""),19.0)</f>
        <v>19</v>
      </c>
      <c r="G1772" s="86">
        <f>IFERROR(__xludf.DUMMYFUNCTION("""COMPUTED_VALUE"""),22.0)</f>
        <v>22</v>
      </c>
      <c r="H1772" s="86">
        <f>IFERROR(__xludf.DUMMYFUNCTION("""COMPUTED_VALUE"""),0.4634146341463415)</f>
        <v>0.4634146341</v>
      </c>
      <c r="I1772" s="86">
        <f>IFERROR(__xludf.DUMMYFUNCTION("""COMPUTED_VALUE"""),0.275)</f>
        <v>0.275</v>
      </c>
      <c r="J1772" s="82">
        <f>IFERROR(__xludf.DUMMYFUNCTION("""COMPUTED_VALUE"""),338.6829268292683)</f>
        <v>338.6829268</v>
      </c>
      <c r="K1772" s="82">
        <f>IFERROR(__xludf.DUMMYFUNCTION("""COMPUTED_VALUE"""),0.8048780487804879)</f>
        <v>0.8048780488</v>
      </c>
      <c r="L1772" s="82">
        <f>IFERROR(__xludf.DUMMYFUNCTION("""COMPUTED_VALUE"""),0.5121951219512195)</f>
        <v>0.512195122</v>
      </c>
      <c r="M1772" s="82">
        <f>IFERROR(__xludf.DUMMYFUNCTION("""COMPUTED_VALUE"""),0.9024390243902439)</f>
        <v>0.9024390244</v>
      </c>
      <c r="N1772" s="82">
        <f>IFERROR(__xludf.DUMMYFUNCTION("""COMPUTED_VALUE"""),2.926829268292683)</f>
        <v>2.926829268</v>
      </c>
      <c r="O1772" s="82">
        <f>IFERROR(__xludf.DUMMYFUNCTION("""COMPUTED_VALUE"""),350.00000000000006)</f>
        <v>350</v>
      </c>
      <c r="P1772" s="82">
        <f>IFERROR(__xludf.DUMMYFUNCTION("""COMPUTED_VALUE"""),0.804878048780488)</f>
        <v>0.8048780488</v>
      </c>
      <c r="Q1772" s="82">
        <f>IFERROR(__xludf.DUMMYFUNCTION("""COMPUTED_VALUE"""),0.5934959349593496)</f>
        <v>0.593495935</v>
      </c>
      <c r="R1772" s="82">
        <f>IFERROR(__xludf.DUMMYFUNCTION("""COMPUTED_VALUE"""),1.292682926829268)</f>
        <v>1.292682927</v>
      </c>
      <c r="S1772" s="82">
        <f>IFERROR(__xludf.DUMMYFUNCTION("""COMPUTED_VALUE"""),2.4959349593495936)</f>
        <v>2.495934959</v>
      </c>
      <c r="T1772" s="82">
        <f>IFERROR(__xludf.DUMMYFUNCTION("""COMPUTED_VALUE"""),338.98020055642854)</f>
        <v>338.9802006</v>
      </c>
      <c r="U1772" s="82">
        <f>IFERROR(__xludf.DUMMYFUNCTION("""COMPUTED_VALUE"""),0.7580687059626422)</f>
        <v>0.758068706</v>
      </c>
      <c r="V1772" s="82">
        <f>IFERROR(__xludf.DUMMYFUNCTION("""COMPUTED_VALUE"""),0.5546239840616018)</f>
        <v>0.5546239841</v>
      </c>
      <c r="W1772" s="82">
        <f>IFERROR(__xludf.DUMMYFUNCTION("""COMPUTED_VALUE"""),1.2824965633184686)</f>
        <v>1.282496563</v>
      </c>
      <c r="X1772" s="82">
        <f>IFERROR(__xludf.DUMMYFUNCTION("""COMPUTED_VALUE"""),2.4118801971002934)</f>
        <v>2.411880197</v>
      </c>
      <c r="Y1772" s="82">
        <f>IFERROR(__xludf.DUMMYFUNCTION("""COMPUTED_VALUE"""),347.846600822024)</f>
        <v>347.8466008</v>
      </c>
      <c r="Z1772" s="82">
        <f>IFERROR(__xludf.DUMMYFUNCTION("""COMPUTED_VALUE"""),0.8062762038599918)</f>
        <v>0.8062762039</v>
      </c>
      <c r="AA1772" s="82">
        <f>IFERROR(__xludf.DUMMYFUNCTION("""COMPUTED_VALUE"""),0.5716149815125736)</f>
        <v>0.5716149815</v>
      </c>
      <c r="AB1772" s="82">
        <f>IFERROR(__xludf.DUMMYFUNCTION("""COMPUTED_VALUE"""),1.2722778082402908)</f>
        <v>1.272277808</v>
      </c>
      <c r="AC1772" s="82">
        <f>IFERROR(__xludf.DUMMYFUNCTION("""COMPUTED_VALUE"""),2.606778417660268)</f>
        <v>2.606778418</v>
      </c>
      <c r="AD1772" s="82">
        <f>IFERROR(__xludf.DUMMYFUNCTION("""COMPUTED_VALUE"""),0.9736559909710191)</f>
        <v>0.973655991</v>
      </c>
      <c r="AE1772" s="82">
        <f>IFERROR(__xludf.DUMMYFUNCTION("""COMPUTED_VALUE"""),0.9982659105244451)</f>
        <v>0.9982659105</v>
      </c>
      <c r="AF1772" s="82">
        <f>IFERROR(__xludf.DUMMYFUNCTION("""COMPUTED_VALUE"""),0.8960491563672442)</f>
        <v>0.8960491564</v>
      </c>
      <c r="AG1772" s="82">
        <f>IFERROR(__xludf.DUMMYFUNCTION("""COMPUTED_VALUE"""),0.7093097266535072)</f>
        <v>0.7093097267</v>
      </c>
      <c r="AH1772" s="82">
        <f>IFERROR(__xludf.DUMMYFUNCTION("""COMPUTED_VALUE"""),1.1227763926784688)</f>
        <v>1.122776393</v>
      </c>
      <c r="AI1772" s="82">
        <f>IFERROR(__xludf.DUMMYFUNCTION("""COMPUTED_VALUE"""),1.0325086817031872)</f>
        <v>1.032508682</v>
      </c>
      <c r="AJ1772" s="82">
        <f>IFERROR(__xludf.DUMMYFUNCTION("""COMPUTED_VALUE"""),1.0617481534980453)</f>
        <v>1.061748153</v>
      </c>
      <c r="AK1772" s="82">
        <f>IFERROR(__xludf.DUMMYFUNCTION("""COMPUTED_VALUE"""),1.0700870355679213)</f>
        <v>1.070087036</v>
      </c>
      <c r="AL1772" s="82">
        <f>IFERROR(__xludf.DUMMYFUNCTION("""COMPUTED_VALUE"""),1.0079426049177411)</f>
        <v>1.007942605</v>
      </c>
      <c r="AM1772" s="82">
        <f>IFERROR(__xludf.DUMMYFUNCTION("""COMPUTED_VALUE"""),1.0348503057284337)</f>
        <v>1.034850306</v>
      </c>
      <c r="AN1772" s="82">
        <f>IFERROR(__xludf.DUMMYFUNCTION("""COMPUTED_VALUE"""),0.9988384166355553)</f>
        <v>0.9988384166</v>
      </c>
      <c r="AO1772" s="82">
        <f>IFERROR(__xludf.DUMMYFUNCTION("""COMPUTED_VALUE"""),1.0822035587525594)</f>
        <v>1.082203559</v>
      </c>
      <c r="AP1772" s="82">
        <f>IFERROR(__xludf.DUMMYFUNCTION("""COMPUTED_VALUE"""),0.938433196148791)</f>
        <v>0.9384331961</v>
      </c>
      <c r="AQ1772" s="82">
        <f>IFERROR(__xludf.DUMMYFUNCTION("""COMPUTED_VALUE"""),0.6900179787828133)</f>
        <v>0.6900179788</v>
      </c>
      <c r="AR1772" s="82">
        <f>IFERROR(__xludf.DUMMYFUNCTION("""COMPUTED_VALUE"""),1.1699367604761315)</f>
        <v>1.16993676</v>
      </c>
      <c r="AS1772" s="82">
        <f>IFERROR(__xludf.DUMMYFUNCTION("""COMPUTED_VALUE"""),87.0)</f>
        <v>87</v>
      </c>
      <c r="AT1772" s="82">
        <f>IFERROR(__xludf.DUMMYFUNCTION("""COMPUTED_VALUE"""),0.4503079203252037)</f>
        <v>0.4503079203</v>
      </c>
      <c r="AU1772" s="82">
        <f>IFERROR(__xludf.DUMMYFUNCTION("""COMPUTED_VALUE"""),2.6066352705592846)</f>
        <v>2.606635271</v>
      </c>
      <c r="AV1772" s="82">
        <f>IFERROR(__xludf.DUMMYFUNCTION("""COMPUTED_VALUE"""),53.81561540217498)</f>
        <v>53.8156154</v>
      </c>
      <c r="AW1772" s="82">
        <f t="shared" si="1"/>
        <v>2.276104413</v>
      </c>
      <c r="AX1772" s="83">
        <f t="array" ref="AX1772">IFERROR(DGET('SBV Import'!A:G,"SBV",{"RSC ID","Tier";B1772,A1772}))</f>
        <v>55.54525769</v>
      </c>
      <c r="AY1772" s="82">
        <f t="shared" si="2"/>
        <v>2.425825665</v>
      </c>
      <c r="AZ1772" s="82">
        <v>0.14972125262571856</v>
      </c>
      <c r="BA1772" s="84">
        <v>1700.0</v>
      </c>
      <c r="BB1772" s="84" t="b">
        <f>IFERROR(__xludf.DUMMYFUNCTION("iferror(if(A1772="""",,E1772&gt;=FILTER(Constants!$F$2:$F$10,Constants!$A$2:$A$10=A1772)))"),TRUE)</f>
        <v>1</v>
      </c>
    </row>
    <row r="1773">
      <c r="A1773" s="89" t="str">
        <f>IFERROR(__xludf.DUMMYFUNCTION("""COMPUTED_VALUE"""),"Rival")</f>
        <v>Rival</v>
      </c>
      <c r="B1773" s="87" t="str">
        <f>IFERROR(__xludf.DUMMYFUNCTION("""COMPUTED_VALUE"""),"RSC007561")</f>
        <v>RSC007561</v>
      </c>
      <c r="C1773" s="73" t="str">
        <f>IFERROR(__xludf.DUMMYFUNCTION("""COMPUTED_VALUE"""),"Grabbitzz")</f>
        <v>Grabbitzz</v>
      </c>
      <c r="D1773" s="73" t="str">
        <f>IFERROR(__xludf.DUMMYFUNCTION("""COMPUTED_VALUE"""),"Polar Bears")</f>
        <v>Polar Bears</v>
      </c>
      <c r="E1773" s="82">
        <f>IFERROR(__xludf.DUMMYFUNCTION("""COMPUTED_VALUE"""),29.0)</f>
        <v>29</v>
      </c>
      <c r="F1773" s="82">
        <f>IFERROR(__xludf.DUMMYFUNCTION("""COMPUTED_VALUE"""),15.0)</f>
        <v>15</v>
      </c>
      <c r="G1773" s="86">
        <f>IFERROR(__xludf.DUMMYFUNCTION("""COMPUTED_VALUE"""),14.0)</f>
        <v>14</v>
      </c>
      <c r="H1773" s="86">
        <f>IFERROR(__xludf.DUMMYFUNCTION("""COMPUTED_VALUE"""),0.5172413793103449)</f>
        <v>0.5172413793</v>
      </c>
      <c r="I1773" s="86">
        <f>IFERROR(__xludf.DUMMYFUNCTION("""COMPUTED_VALUE"""),0.2894736842105263)</f>
        <v>0.2894736842</v>
      </c>
      <c r="J1773" s="82">
        <f>IFERROR(__xludf.DUMMYFUNCTION("""COMPUTED_VALUE"""),318.41379310344826)</f>
        <v>318.4137931</v>
      </c>
      <c r="K1773" s="82">
        <f>IFERROR(__xludf.DUMMYFUNCTION("""COMPUTED_VALUE"""),0.7586206896551724)</f>
        <v>0.7586206897</v>
      </c>
      <c r="L1773" s="82">
        <f>IFERROR(__xludf.DUMMYFUNCTION("""COMPUTED_VALUE"""),0.5517241379310345)</f>
        <v>0.5517241379</v>
      </c>
      <c r="M1773" s="82">
        <f>IFERROR(__xludf.DUMMYFUNCTION("""COMPUTED_VALUE"""),1.2413793103448276)</f>
        <v>1.24137931</v>
      </c>
      <c r="N1773" s="82">
        <f>IFERROR(__xludf.DUMMYFUNCTION("""COMPUTED_VALUE"""),2.6206896551724137)</f>
        <v>2.620689655</v>
      </c>
      <c r="O1773" s="82">
        <f>IFERROR(__xludf.DUMMYFUNCTION("""COMPUTED_VALUE"""),348.47126436781605)</f>
        <v>348.4712644</v>
      </c>
      <c r="P1773" s="82">
        <f>IFERROR(__xludf.DUMMYFUNCTION("""COMPUTED_VALUE"""),0.7011494252873562)</f>
        <v>0.7011494253</v>
      </c>
      <c r="Q1773" s="82">
        <f>IFERROR(__xludf.DUMMYFUNCTION("""COMPUTED_VALUE"""),0.5402298850574714)</f>
        <v>0.5402298851</v>
      </c>
      <c r="R1773" s="82">
        <f>IFERROR(__xludf.DUMMYFUNCTION("""COMPUTED_VALUE"""),1.517241379310345)</f>
        <v>1.517241379</v>
      </c>
      <c r="S1773" s="82">
        <f>IFERROR(__xludf.DUMMYFUNCTION("""COMPUTED_VALUE"""),2.494252873563218)</f>
        <v>2.494252874</v>
      </c>
      <c r="T1773" s="82">
        <f>IFERROR(__xludf.DUMMYFUNCTION("""COMPUTED_VALUE"""),347.81770263127504)</f>
        <v>347.8177026</v>
      </c>
      <c r="U1773" s="82">
        <f>IFERROR(__xludf.DUMMYFUNCTION("""COMPUTED_VALUE"""),0.7935024521394269)</f>
        <v>0.7935024521</v>
      </c>
      <c r="V1773" s="82">
        <f>IFERROR(__xludf.DUMMYFUNCTION("""COMPUTED_VALUE"""),0.555074516964706)</f>
        <v>0.555074517</v>
      </c>
      <c r="W1773" s="82">
        <f>IFERROR(__xludf.DUMMYFUNCTION("""COMPUTED_VALUE"""),1.3187914346704264)</f>
        <v>1.318791435</v>
      </c>
      <c r="X1773" s="82">
        <f>IFERROR(__xludf.DUMMYFUNCTION("""COMPUTED_VALUE"""),2.523594686995209)</f>
        <v>2.523594687</v>
      </c>
      <c r="Y1773" s="82">
        <f>IFERROR(__xludf.DUMMYFUNCTION("""COMPUTED_VALUE"""),345.1998533927785)</f>
        <v>345.1998534</v>
      </c>
      <c r="Z1773" s="82">
        <f>IFERROR(__xludf.DUMMYFUNCTION("""COMPUTED_VALUE"""),0.7913040409074739)</f>
        <v>0.7913040409</v>
      </c>
      <c r="AA1773" s="82">
        <f>IFERROR(__xludf.DUMMYFUNCTION("""COMPUTED_VALUE"""),0.5457613001620797)</f>
        <v>0.5457613002</v>
      </c>
      <c r="AB1773" s="82">
        <f>IFERROR(__xludf.DUMMYFUNCTION("""COMPUTED_VALUE"""),1.2928128175388147)</f>
        <v>1.292812818</v>
      </c>
      <c r="AC1773" s="82">
        <f>IFERROR(__xludf.DUMMYFUNCTION("""COMPUTED_VALUE"""),2.524001642495899)</f>
        <v>2.524001642</v>
      </c>
      <c r="AD1773" s="82">
        <f>IFERROR(__xludf.DUMMYFUNCTION("""COMPUTED_VALUE"""),0.9224041956389469)</f>
        <v>0.9224041956</v>
      </c>
      <c r="AE1773" s="82">
        <f>IFERROR(__xludf.DUMMYFUNCTION("""COMPUTED_VALUE"""),0.9586968477820232)</f>
        <v>0.9586968478</v>
      </c>
      <c r="AF1773" s="82">
        <f>IFERROR(__xludf.DUMMYFUNCTION("""COMPUTED_VALUE"""),1.0109257247943084)</f>
        <v>1.010925725</v>
      </c>
      <c r="AG1773" s="82">
        <f>IFERROR(__xludf.DUMMYFUNCTION("""COMPUTED_VALUE"""),0.9602158127640602)</f>
        <v>0.9602158128</v>
      </c>
      <c r="AH1773" s="82">
        <f>IFERROR(__xludf.DUMMYFUNCTION("""COMPUTED_VALUE"""),1.038307428588241)</f>
        <v>1.038307429</v>
      </c>
      <c r="AI1773" s="82">
        <f>IFERROR(__xludf.DUMMYFUNCTION("""COMPUTED_VALUE"""),1.001879035286579)</f>
        <v>1.001879035</v>
      </c>
      <c r="AJ1773" s="82">
        <f>IFERROR(__xludf.DUMMYFUNCTION("""COMPUTED_VALUE"""),0.8836134323176064)</f>
        <v>0.8836134323</v>
      </c>
      <c r="AK1773" s="82">
        <f>IFERROR(__xludf.DUMMYFUNCTION("""COMPUTED_VALUE"""),0.9732565061923416)</f>
        <v>0.9732565062</v>
      </c>
      <c r="AL1773" s="82">
        <f>IFERROR(__xludf.DUMMYFUNCTION("""COMPUTED_VALUE"""),1.1504786423559934)</f>
        <v>1.150478642</v>
      </c>
      <c r="AM1773" s="82">
        <f>IFERROR(__xludf.DUMMYFUNCTION("""COMPUTED_VALUE"""),0.9883730087152278)</f>
        <v>0.9883730087</v>
      </c>
      <c r="AN1773" s="82">
        <f>IFERROR(__xludf.DUMMYFUNCTION("""COMPUTED_VALUE"""),0.9390610029146731)</f>
        <v>0.9390610029</v>
      </c>
      <c r="AO1773" s="82">
        <f>IFERROR(__xludf.DUMMYFUNCTION("""COMPUTED_VALUE"""),1.0200079519276997)</f>
        <v>1.020007952</v>
      </c>
      <c r="AP1773" s="82">
        <f>IFERROR(__xludf.DUMMYFUNCTION("""COMPUTED_VALUE"""),1.0108574329615876)</f>
        <v>1.010857433</v>
      </c>
      <c r="AQ1773" s="82">
        <f>IFERROR(__xludf.DUMMYFUNCTION("""COMPUTED_VALUE"""),0.9491766418298532)</f>
        <v>0.9491766418</v>
      </c>
      <c r="AR1773" s="82">
        <f>IFERROR(__xludf.DUMMYFUNCTION("""COMPUTED_VALUE"""),1.0475640648401223)</f>
        <v>1.047564065</v>
      </c>
      <c r="AS1773" s="82">
        <f>IFERROR(__xludf.DUMMYFUNCTION("""COMPUTED_VALUE"""),71.0)</f>
        <v>71</v>
      </c>
      <c r="AT1773" s="82">
        <f>IFERROR(__xludf.DUMMYFUNCTION("""COMPUTED_VALUE"""),0.5583634939372826)</f>
        <v>0.5583634939</v>
      </c>
      <c r="AU1773" s="82">
        <f>IFERROR(__xludf.DUMMYFUNCTION("""COMPUTED_VALUE"""),2.5838078200210894)</f>
        <v>2.58380782</v>
      </c>
      <c r="AV1773" s="82">
        <f>IFERROR(__xludf.DUMMYFUNCTION("""COMPUTED_VALUE"""),53.16206606592716)</f>
        <v>53.16206607</v>
      </c>
      <c r="AW1773" s="82">
        <f t="shared" si="1"/>
        <v>2.223828598</v>
      </c>
      <c r="AX1773" s="83">
        <f t="array" ref="AX1773">IFERROR(DGET('SBV Import'!A:G,"SBV",{"RSC ID","Tier";B1773,A1773}))</f>
        <v>41.39069158</v>
      </c>
      <c r="AY1773" s="82">
        <f t="shared" si="2"/>
        <v>-2.73760236</v>
      </c>
      <c r="AZ1773" s="82">
        <v>4.96143095748058</v>
      </c>
      <c r="BA1773" s="84">
        <v>1700.0</v>
      </c>
      <c r="BB1773" s="84" t="b">
        <f>IFERROR(__xludf.DUMMYFUNCTION("iferror(if(A1773="""",,E1773&gt;=FILTER(Constants!$F$2:$F$10,Constants!$A$2:$A$10=A1773)))"),TRUE)</f>
        <v>1</v>
      </c>
    </row>
    <row r="1774">
      <c r="A1774" s="89" t="str">
        <f>IFERROR(__xludf.DUMMYFUNCTION("""COMPUTED_VALUE"""),"Rival")</f>
        <v>Rival</v>
      </c>
      <c r="B1774" s="87" t="str">
        <f>IFERROR(__xludf.DUMMYFUNCTION("""COMPUTED_VALUE"""),"RSC000136")</f>
        <v>RSC000136</v>
      </c>
      <c r="C1774" s="73" t="str">
        <f>IFERROR(__xludf.DUMMYFUNCTION("""COMPUTED_VALUE"""),"Blun")</f>
        <v>Blun</v>
      </c>
      <c r="D1774" s="73" t="str">
        <f>IFERROR(__xludf.DUMMYFUNCTION("""COMPUTED_VALUE"""),"Tyrants")</f>
        <v>Tyrants</v>
      </c>
      <c r="E1774" s="82">
        <f>IFERROR(__xludf.DUMMYFUNCTION("""COMPUTED_VALUE"""),42.0)</f>
        <v>42</v>
      </c>
      <c r="F1774" s="82">
        <f>IFERROR(__xludf.DUMMYFUNCTION("""COMPUTED_VALUE"""),19.0)</f>
        <v>19</v>
      </c>
      <c r="G1774" s="86">
        <f>IFERROR(__xludf.DUMMYFUNCTION("""COMPUTED_VALUE"""),23.0)</f>
        <v>23</v>
      </c>
      <c r="H1774" s="86">
        <f>IFERROR(__xludf.DUMMYFUNCTION("""COMPUTED_VALUE"""),0.4523809523809524)</f>
        <v>0.4523809524</v>
      </c>
      <c r="I1774" s="86">
        <f>IFERROR(__xludf.DUMMYFUNCTION("""COMPUTED_VALUE"""),0.3391304347826087)</f>
        <v>0.3391304348</v>
      </c>
      <c r="J1774" s="82">
        <f>IFERROR(__xludf.DUMMYFUNCTION("""COMPUTED_VALUE"""),340.76190476190476)</f>
        <v>340.7619048</v>
      </c>
      <c r="K1774" s="82">
        <f>IFERROR(__xludf.DUMMYFUNCTION("""COMPUTED_VALUE"""),0.9285714285714286)</f>
        <v>0.9285714286</v>
      </c>
      <c r="L1774" s="82">
        <f>IFERROR(__xludf.DUMMYFUNCTION("""COMPUTED_VALUE"""),0.38095238095238093)</f>
        <v>0.380952381</v>
      </c>
      <c r="M1774" s="82">
        <f>IFERROR(__xludf.DUMMYFUNCTION("""COMPUTED_VALUE"""),1.0714285714285714)</f>
        <v>1.071428571</v>
      </c>
      <c r="N1774" s="82">
        <f>IFERROR(__xludf.DUMMYFUNCTION("""COMPUTED_VALUE"""),2.738095238095238)</f>
        <v>2.738095238</v>
      </c>
      <c r="O1774" s="82">
        <f>IFERROR(__xludf.DUMMYFUNCTION("""COMPUTED_VALUE"""),344.6507936507937)</f>
        <v>344.6507937</v>
      </c>
      <c r="P1774" s="82">
        <f>IFERROR(__xludf.DUMMYFUNCTION("""COMPUTED_VALUE"""),0.8253968253968255)</f>
        <v>0.8253968254</v>
      </c>
      <c r="Q1774" s="82">
        <f>IFERROR(__xludf.DUMMYFUNCTION("""COMPUTED_VALUE"""),0.6507936507936508)</f>
        <v>0.6507936508</v>
      </c>
      <c r="R1774" s="82">
        <f>IFERROR(__xludf.DUMMYFUNCTION("""COMPUTED_VALUE"""),1.0555555555555554)</f>
        <v>1.055555556</v>
      </c>
      <c r="S1774" s="82">
        <f>IFERROR(__xludf.DUMMYFUNCTION("""COMPUTED_VALUE"""),2.5873015873015874)</f>
        <v>2.587301587</v>
      </c>
      <c r="T1774" s="82">
        <f>IFERROR(__xludf.DUMMYFUNCTION("""COMPUTED_VALUE"""),349.10056117851957)</f>
        <v>349.1005612</v>
      </c>
      <c r="U1774" s="82">
        <f>IFERROR(__xludf.DUMMYFUNCTION("""COMPUTED_VALUE"""),0.772317727271917)</f>
        <v>0.7723177273</v>
      </c>
      <c r="V1774" s="82">
        <f>IFERROR(__xludf.DUMMYFUNCTION("""COMPUTED_VALUE"""),0.5621681250311114)</f>
        <v>0.562168125</v>
      </c>
      <c r="W1774" s="82">
        <f>IFERROR(__xludf.DUMMYFUNCTION("""COMPUTED_VALUE"""),1.346952435612505)</f>
        <v>1.346952436</v>
      </c>
      <c r="X1774" s="82">
        <f>IFERROR(__xludf.DUMMYFUNCTION("""COMPUTED_VALUE"""),2.5761269330208605)</f>
        <v>2.576126933</v>
      </c>
      <c r="Y1774" s="82">
        <f>IFERROR(__xludf.DUMMYFUNCTION("""COMPUTED_VALUE"""),348.7755273264488)</f>
        <v>348.7755273</v>
      </c>
      <c r="Z1774" s="82">
        <f>IFERROR(__xludf.DUMMYFUNCTION("""COMPUTED_VALUE"""),0.784648693465966)</f>
        <v>0.7846486935</v>
      </c>
      <c r="AA1774" s="82">
        <f>IFERROR(__xludf.DUMMYFUNCTION("""COMPUTED_VALUE"""),0.5637392039348859)</f>
        <v>0.5637392039</v>
      </c>
      <c r="AB1774" s="82">
        <f>IFERROR(__xludf.DUMMYFUNCTION("""COMPUTED_VALUE"""),1.3145464023325881)</f>
        <v>1.314546402</v>
      </c>
      <c r="AC1774" s="82">
        <f>IFERROR(__xludf.DUMMYFUNCTION("""COMPUTED_VALUE"""),2.5440694968311988)</f>
        <v>2.544069497</v>
      </c>
      <c r="AD1774" s="82">
        <f>IFERROR(__xludf.DUMMYFUNCTION("""COMPUTED_VALUE"""),0.9770235525813042)</f>
        <v>0.9770235526</v>
      </c>
      <c r="AE1774" s="82">
        <f>IFERROR(__xludf.DUMMYFUNCTION("""COMPUTED_VALUE"""),1.1834231501357941)</f>
        <v>1.18342315</v>
      </c>
      <c r="AF1774" s="82">
        <f>IFERROR(__xludf.DUMMYFUNCTION("""COMPUTED_VALUE"""),0.675759958316439)</f>
        <v>0.6757599583</v>
      </c>
      <c r="AG1774" s="82">
        <f>IFERROR(__xludf.DUMMYFUNCTION("""COMPUTED_VALUE"""),0.8150557253265325)</f>
        <v>0.8150557253</v>
      </c>
      <c r="AH1774" s="82">
        <f>IFERROR(__xludf.DUMMYFUNCTION("""COMPUTED_VALUE"""),1.0762658966296756)</f>
        <v>1.076265897</v>
      </c>
      <c r="AI1774" s="82">
        <f>IFERROR(__xludf.DUMMYFUNCTION("""COMPUTED_VALUE"""),0.987253622530127)</f>
        <v>0.9872536225</v>
      </c>
      <c r="AJ1774" s="82">
        <f>IFERROR(__xludf.DUMMYFUNCTION("""COMPUTED_VALUE"""),1.0687270228956176)</f>
        <v>1.068727023</v>
      </c>
      <c r="AK1774" s="82">
        <f>IFERROR(__xludf.DUMMYFUNCTION("""COMPUTED_VALUE"""),1.1576495034428265)</f>
        <v>1.157649503</v>
      </c>
      <c r="AL1774" s="82">
        <f>IFERROR(__xludf.DUMMYFUNCTION("""COMPUTED_VALUE"""),0.7836620860895941)</f>
        <v>0.7836620861</v>
      </c>
      <c r="AM1774" s="82">
        <f>IFERROR(__xludf.DUMMYFUNCTION("""COMPUTED_VALUE"""),1.004337773165402)</f>
        <v>1.004337773</v>
      </c>
      <c r="AN1774" s="82">
        <f>IFERROR(__xludf.DUMMYFUNCTION("""COMPUTED_VALUE"""),1.0049697059978373)</f>
        <v>1.004969706</v>
      </c>
      <c r="AO1774" s="82">
        <f>IFERROR(__xludf.DUMMYFUNCTION("""COMPUTED_VALUE"""),1.2485162268725414)</f>
        <v>1.248516227</v>
      </c>
      <c r="AP1774" s="82">
        <f>IFERROR(__xludf.DUMMYFUNCTION("""COMPUTED_VALUE"""),0.6979729894258581)</f>
        <v>0.6979729894</v>
      </c>
      <c r="AQ1774" s="82">
        <f>IFERROR(__xludf.DUMMYFUNCTION("""COMPUTED_VALUE"""),0.8192298396745756)</f>
        <v>0.8192298397</v>
      </c>
      <c r="AR1774" s="82">
        <f>IFERROR(__xludf.DUMMYFUNCTION("""COMPUTED_VALUE"""),1.0944944098501905)</f>
        <v>1.09449441</v>
      </c>
      <c r="AS1774" s="82">
        <f>IFERROR(__xludf.DUMMYFUNCTION("""COMPUTED_VALUE"""),80.0)</f>
        <v>80</v>
      </c>
      <c r="AT1774" s="82">
        <f>IFERROR(__xludf.DUMMYFUNCTION("""COMPUTED_VALUE"""),0.4010963918797235)</f>
        <v>0.4010963919</v>
      </c>
      <c r="AU1774" s="82">
        <f>IFERROR(__xludf.DUMMYFUNCTION("""COMPUTED_VALUE"""),2.5817435702943965)</f>
        <v>2.58174357</v>
      </c>
      <c r="AV1774" s="82">
        <f>IFERROR(__xludf.DUMMYFUNCTION("""COMPUTED_VALUE"""),53.10296664803673)</f>
        <v>53.10296665</v>
      </c>
      <c r="AW1774" s="82">
        <f t="shared" si="1"/>
        <v>2.219210706</v>
      </c>
      <c r="AX1774" s="83">
        <f t="array" ref="AX1774">IFERROR(DGET('SBV Import'!A:G,"SBV",{"RSC ID","Tier";B1774,A1774}))</f>
        <v>58.49011404</v>
      </c>
      <c r="AY1774" s="82">
        <f t="shared" si="2"/>
        <v>2.724222802</v>
      </c>
      <c r="AZ1774" s="82">
        <v>0.5050120956775945</v>
      </c>
      <c r="BA1774" s="84">
        <v>1700.0</v>
      </c>
      <c r="BB1774" s="84" t="b">
        <f>IFERROR(__xludf.DUMMYFUNCTION("iferror(if(A1774="""",,E1774&gt;=FILTER(Constants!$F$2:$F$10,Constants!$A$2:$A$10=A1774)))"),TRUE)</f>
        <v>1</v>
      </c>
    </row>
    <row r="1775">
      <c r="A1775" s="89" t="str">
        <f>IFERROR(__xludf.DUMMYFUNCTION("""COMPUTED_VALUE"""),"Rival")</f>
        <v>Rival</v>
      </c>
      <c r="B1775" s="87" t="str">
        <f>IFERROR(__xludf.DUMMYFUNCTION("""COMPUTED_VALUE"""),"RSC005959")</f>
        <v>RSC005959</v>
      </c>
      <c r="C1775" s="73" t="str">
        <f>IFERROR(__xludf.DUMMYFUNCTION("""COMPUTED_VALUE"""),"Yurrbo?")</f>
        <v>Yurrbo?</v>
      </c>
      <c r="D1775" s="73" t="str">
        <f>IFERROR(__xludf.DUMMYFUNCTION("""COMPUTED_VALUE"""),"Nightfall")</f>
        <v>Nightfall</v>
      </c>
      <c r="E1775" s="82">
        <f>IFERROR(__xludf.DUMMYFUNCTION("""COMPUTED_VALUE"""),48.0)</f>
        <v>48</v>
      </c>
      <c r="F1775" s="82">
        <f>IFERROR(__xludf.DUMMYFUNCTION("""COMPUTED_VALUE"""),23.0)</f>
        <v>23</v>
      </c>
      <c r="G1775" s="86">
        <f>IFERROR(__xludf.DUMMYFUNCTION("""COMPUTED_VALUE"""),25.0)</f>
        <v>25</v>
      </c>
      <c r="H1775" s="86">
        <f>IFERROR(__xludf.DUMMYFUNCTION("""COMPUTED_VALUE"""),0.4791666666666667)</f>
        <v>0.4791666667</v>
      </c>
      <c r="I1775" s="86">
        <f>IFERROR(__xludf.DUMMYFUNCTION("""COMPUTED_VALUE"""),0.28030303030303033)</f>
        <v>0.2803030303</v>
      </c>
      <c r="J1775" s="82">
        <f>IFERROR(__xludf.DUMMYFUNCTION("""COMPUTED_VALUE"""),354.7291666666667)</f>
        <v>354.7291667</v>
      </c>
      <c r="K1775" s="82">
        <f>IFERROR(__xludf.DUMMYFUNCTION("""COMPUTED_VALUE"""),0.7708333333333334)</f>
        <v>0.7708333333</v>
      </c>
      <c r="L1775" s="82">
        <f>IFERROR(__xludf.DUMMYFUNCTION("""COMPUTED_VALUE"""),0.3958333333333333)</f>
        <v>0.3958333333</v>
      </c>
      <c r="M1775" s="82">
        <f>IFERROR(__xludf.DUMMYFUNCTION("""COMPUTED_VALUE"""),1.6458333333333333)</f>
        <v>1.645833333</v>
      </c>
      <c r="N1775" s="82">
        <f>IFERROR(__xludf.DUMMYFUNCTION("""COMPUTED_VALUE"""),2.75)</f>
        <v>2.75</v>
      </c>
      <c r="O1775" s="82">
        <f>IFERROR(__xludf.DUMMYFUNCTION("""COMPUTED_VALUE"""),334.09027777777777)</f>
        <v>334.0902778</v>
      </c>
      <c r="P1775" s="82">
        <f>IFERROR(__xludf.DUMMYFUNCTION("""COMPUTED_VALUE"""),0.6875)</f>
        <v>0.6875</v>
      </c>
      <c r="Q1775" s="82">
        <f>IFERROR(__xludf.DUMMYFUNCTION("""COMPUTED_VALUE"""),0.5277777777777778)</f>
        <v>0.5277777778</v>
      </c>
      <c r="R1775" s="82">
        <f>IFERROR(__xludf.DUMMYFUNCTION("""COMPUTED_VALUE"""),1.4027777777777777)</f>
        <v>1.402777778</v>
      </c>
      <c r="S1775" s="82">
        <f>IFERROR(__xludf.DUMMYFUNCTION("""COMPUTED_VALUE"""),2.465277777777778)</f>
        <v>2.465277778</v>
      </c>
      <c r="T1775" s="82">
        <f>IFERROR(__xludf.DUMMYFUNCTION("""COMPUTED_VALUE"""),350.89088581405446)</f>
        <v>350.8908858</v>
      </c>
      <c r="U1775" s="82">
        <f>IFERROR(__xludf.DUMMYFUNCTION("""COMPUTED_VALUE"""),0.7891570954279535)</f>
        <v>0.7891570954</v>
      </c>
      <c r="V1775" s="82">
        <f>IFERROR(__xludf.DUMMYFUNCTION("""COMPUTED_VALUE"""),0.5700743116093524)</f>
        <v>0.5700743116</v>
      </c>
      <c r="W1775" s="82">
        <f>IFERROR(__xludf.DUMMYFUNCTION("""COMPUTED_VALUE"""),1.3421756862257874)</f>
        <v>1.342175686</v>
      </c>
      <c r="X1775" s="82">
        <f>IFERROR(__xludf.DUMMYFUNCTION("""COMPUTED_VALUE"""),2.563562189539866)</f>
        <v>2.56356219</v>
      </c>
      <c r="Y1775" s="82">
        <f>IFERROR(__xludf.DUMMYFUNCTION("""COMPUTED_VALUE"""),346.01998574707346)</f>
        <v>346.0199857</v>
      </c>
      <c r="Z1775" s="82">
        <f>IFERROR(__xludf.DUMMYFUNCTION("""COMPUTED_VALUE"""),0.7802854447266837)</f>
        <v>0.7802854447</v>
      </c>
      <c r="AA1775" s="82">
        <f>IFERROR(__xludf.DUMMYFUNCTION("""COMPUTED_VALUE"""),0.548727558992324)</f>
        <v>0.548727559</v>
      </c>
      <c r="AB1775" s="82">
        <f>IFERROR(__xludf.DUMMYFUNCTION("""COMPUTED_VALUE"""),1.314908406968504)</f>
        <v>1.314908407</v>
      </c>
      <c r="AC1775" s="82">
        <f>IFERROR(__xludf.DUMMYFUNCTION("""COMPUTED_VALUE"""),2.587562014957266)</f>
        <v>2.587562015</v>
      </c>
      <c r="AD1775" s="82">
        <f>IFERROR(__xludf.DUMMYFUNCTION("""COMPUTED_VALUE"""),1.0251695892674804)</f>
        <v>1.025169589</v>
      </c>
      <c r="AE1775" s="82">
        <f>IFERROR(__xludf.DUMMYFUNCTION("""COMPUTED_VALUE"""),0.9878863415212606)</f>
        <v>0.9878863415</v>
      </c>
      <c r="AF1775" s="82">
        <f>IFERROR(__xludf.DUMMYFUNCTION("""COMPUTED_VALUE"""),0.721365870633938)</f>
        <v>0.7213658706</v>
      </c>
      <c r="AG1775" s="82">
        <f>IFERROR(__xludf.DUMMYFUNCTION("""COMPUTED_VALUE"""),1.2516714659447423)</f>
        <v>1.251671466</v>
      </c>
      <c r="AH1775" s="82">
        <f>IFERROR(__xludf.DUMMYFUNCTION("""COMPUTED_VALUE"""),1.0627764606621097)</f>
        <v>1.062776461</v>
      </c>
      <c r="AI1775" s="82">
        <f>IFERROR(__xludf.DUMMYFUNCTION("""COMPUTED_VALUE"""),0.9521201355877345)</f>
        <v>0.9521201356</v>
      </c>
      <c r="AJ1775" s="82">
        <f>IFERROR(__xludf.DUMMYFUNCTION("""COMPUTED_VALUE"""),0.8711826884445286)</f>
        <v>0.8711826884</v>
      </c>
      <c r="AK1775" s="82">
        <f>IFERROR(__xludf.DUMMYFUNCTION("""COMPUTED_VALUE"""),0.9258052275462666)</f>
        <v>0.9258052275</v>
      </c>
      <c r="AL1775" s="82">
        <f>IFERROR(__xludf.DUMMYFUNCTION("""COMPUTED_VALUE"""),1.0451521303611184)</f>
        <v>1.04515213</v>
      </c>
      <c r="AM1775" s="82">
        <f>IFERROR(__xludf.DUMMYFUNCTION("""COMPUTED_VALUE"""),0.9616609996187652)</f>
        <v>0.9616609996</v>
      </c>
      <c r="AN1775" s="82">
        <f>IFERROR(__xludf.DUMMYFUNCTION("""COMPUTED_VALUE"""),1.0461617374246808)</f>
        <v>1.046161737</v>
      </c>
      <c r="AO1775" s="82">
        <f>IFERROR(__xludf.DUMMYFUNCTION("""COMPUTED_VALUE"""),1.0364285344871418)</f>
        <v>1.036428534</v>
      </c>
      <c r="AP1775" s="82">
        <f>IFERROR(__xludf.DUMMYFUNCTION("""COMPUTED_VALUE"""),0.7252375593253056)</f>
        <v>0.7252375593</v>
      </c>
      <c r="AQ1775" s="82">
        <f>IFERROR(__xludf.DUMMYFUNCTION("""COMPUTED_VALUE"""),1.2584280592778898)</f>
        <v>1.258428059</v>
      </c>
      <c r="AR1775" s="82">
        <f>IFERROR(__xludf.DUMMYFUNCTION("""COMPUTED_VALUE"""),1.0992530811973653)</f>
        <v>1.099253081</v>
      </c>
      <c r="AS1775" s="82">
        <f>IFERROR(__xludf.DUMMYFUNCTION("""COMPUTED_VALUE"""),104.0)</f>
        <v>104</v>
      </c>
      <c r="AT1775" s="82">
        <f>IFERROR(__xludf.DUMMYFUNCTION("""COMPUTED_VALUE"""),0.5186237006390354)</f>
        <v>0.5186237006</v>
      </c>
      <c r="AU1775" s="82">
        <f>IFERROR(__xludf.DUMMYFUNCTION("""COMPUTED_VALUE"""),2.5789199130921547)</f>
        <v>2.578919913</v>
      </c>
      <c r="AV1775" s="82">
        <f>IFERROR(__xludf.DUMMYFUNCTION("""COMPUTED_VALUE"""),53.02212541317221)</f>
        <v>53.02212541</v>
      </c>
      <c r="AW1775" s="82">
        <f t="shared" si="1"/>
        <v>2.212922758</v>
      </c>
      <c r="AX1775" s="83">
        <f t="array" ref="AX1775">IFERROR(DGET('SBV Import'!A:G,"SBV",{"RSC ID","Tier";B1775,A1775}))</f>
        <v>52.10724919</v>
      </c>
      <c r="AY1775" s="82">
        <f t="shared" si="2"/>
        <v>2.144022828</v>
      </c>
      <c r="AZ1775" s="82">
        <v>0.06889992964653624</v>
      </c>
      <c r="BA1775" s="84">
        <v>1700.0</v>
      </c>
      <c r="BB1775" s="84" t="b">
        <f>IFERROR(__xludf.DUMMYFUNCTION("iferror(if(A1775="""",,E1775&gt;=FILTER(Constants!$F$2:$F$10,Constants!$A$2:$A$10=A1775)))"),TRUE)</f>
        <v>1</v>
      </c>
    </row>
    <row r="1776">
      <c r="A1776" s="89" t="str">
        <f>IFERROR(__xludf.DUMMYFUNCTION("""COMPUTED_VALUE"""),"Rival")</f>
        <v>Rival</v>
      </c>
      <c r="B1776" s="87" t="str">
        <f>IFERROR(__xludf.DUMMYFUNCTION("""COMPUTED_VALUE"""),"RSC007799")</f>
        <v>RSC007799</v>
      </c>
      <c r="C1776" s="73" t="str">
        <f>IFERROR(__xludf.DUMMYFUNCTION("""COMPUTED_VALUE"""),"DJstriker211")</f>
        <v>DJstriker211</v>
      </c>
      <c r="D1776" s="73" t="str">
        <f>IFERROR(__xludf.DUMMYFUNCTION("""COMPUTED_VALUE"""),"Asiago Arsonists")</f>
        <v>Asiago Arsonists</v>
      </c>
      <c r="E1776" s="82">
        <f>IFERROR(__xludf.DUMMYFUNCTION("""COMPUTED_VALUE"""),36.0)</f>
        <v>36</v>
      </c>
      <c r="F1776" s="82">
        <f>IFERROR(__xludf.DUMMYFUNCTION("""COMPUTED_VALUE"""),18.0)</f>
        <v>18</v>
      </c>
      <c r="G1776" s="86">
        <f>IFERROR(__xludf.DUMMYFUNCTION("""COMPUTED_VALUE"""),18.0)</f>
        <v>18</v>
      </c>
      <c r="H1776" s="86">
        <f>IFERROR(__xludf.DUMMYFUNCTION("""COMPUTED_VALUE"""),0.5)</f>
        <v>0.5</v>
      </c>
      <c r="I1776" s="86">
        <f>IFERROR(__xludf.DUMMYFUNCTION("""COMPUTED_VALUE"""),0.28571428571428575)</f>
        <v>0.2857142857</v>
      </c>
      <c r="J1776" s="82">
        <f>IFERROR(__xludf.DUMMYFUNCTION("""COMPUTED_VALUE"""),354.3888888888889)</f>
        <v>354.3888889</v>
      </c>
      <c r="K1776" s="82">
        <f>IFERROR(__xludf.DUMMYFUNCTION("""COMPUTED_VALUE"""),0.6111111111111112)</f>
        <v>0.6111111111</v>
      </c>
      <c r="L1776" s="82">
        <f>IFERROR(__xludf.DUMMYFUNCTION("""COMPUTED_VALUE"""),0.7777777777777778)</f>
        <v>0.7777777778</v>
      </c>
      <c r="M1776" s="82">
        <f>IFERROR(__xludf.DUMMYFUNCTION("""COMPUTED_VALUE"""),1.7777777777777777)</f>
        <v>1.777777778</v>
      </c>
      <c r="N1776" s="82">
        <f>IFERROR(__xludf.DUMMYFUNCTION("""COMPUTED_VALUE"""),2.138888888888889)</f>
        <v>2.138888889</v>
      </c>
      <c r="O1776" s="82">
        <f>IFERROR(__xludf.DUMMYFUNCTION("""COMPUTED_VALUE"""),351.1111111111111)</f>
        <v>351.1111111</v>
      </c>
      <c r="P1776" s="82">
        <f>IFERROR(__xludf.DUMMYFUNCTION("""COMPUTED_VALUE"""),0.7962962962962962)</f>
        <v>0.7962962963</v>
      </c>
      <c r="Q1776" s="82">
        <f>IFERROR(__xludf.DUMMYFUNCTION("""COMPUTED_VALUE"""),0.5555555555555558)</f>
        <v>0.5555555556</v>
      </c>
      <c r="R1776" s="82">
        <f>IFERROR(__xludf.DUMMYFUNCTION("""COMPUTED_VALUE"""),1.3333333333333335)</f>
        <v>1.333333333</v>
      </c>
      <c r="S1776" s="82">
        <f>IFERROR(__xludf.DUMMYFUNCTION("""COMPUTED_VALUE"""),2.6759259259259265)</f>
        <v>2.675925926</v>
      </c>
      <c r="T1776" s="82">
        <f>IFERROR(__xludf.DUMMYFUNCTION("""COMPUTED_VALUE"""),357.23761723932677)</f>
        <v>357.2376172</v>
      </c>
      <c r="U1776" s="82">
        <f>IFERROR(__xludf.DUMMYFUNCTION("""COMPUTED_VALUE"""),0.7957075428893787)</f>
        <v>0.7957075429</v>
      </c>
      <c r="V1776" s="82">
        <f>IFERROR(__xludf.DUMMYFUNCTION("""COMPUTED_VALUE"""),0.5862901258494475)</f>
        <v>0.5862901258</v>
      </c>
      <c r="W1776" s="82">
        <f>IFERROR(__xludf.DUMMYFUNCTION("""COMPUTED_VALUE"""),1.4010213707760188)</f>
        <v>1.401021371</v>
      </c>
      <c r="X1776" s="82">
        <f>IFERROR(__xludf.DUMMYFUNCTION("""COMPUTED_VALUE"""),2.6929148392296)</f>
        <v>2.692914839</v>
      </c>
      <c r="Y1776" s="82">
        <f>IFERROR(__xludf.DUMMYFUNCTION("""COMPUTED_VALUE"""),347.49220029971667)</f>
        <v>347.4922003</v>
      </c>
      <c r="Z1776" s="82">
        <f>IFERROR(__xludf.DUMMYFUNCTION("""COMPUTED_VALUE"""),0.77412429292037)</f>
        <v>0.7741242929</v>
      </c>
      <c r="AA1776" s="82">
        <f>IFERROR(__xludf.DUMMYFUNCTION("""COMPUTED_VALUE"""),0.5642112520096388)</f>
        <v>0.564211252</v>
      </c>
      <c r="AB1776" s="82">
        <f>IFERROR(__xludf.DUMMYFUNCTION("""COMPUTED_VALUE"""),1.3409827764132873)</f>
        <v>1.340982776</v>
      </c>
      <c r="AC1776" s="82">
        <f>IFERROR(__xludf.DUMMYFUNCTION("""COMPUTED_VALUE"""),2.618433342844659)</f>
        <v>2.618433343</v>
      </c>
      <c r="AD1776" s="82">
        <f>IFERROR(__xludf.DUMMYFUNCTION("""COMPUTED_VALUE"""),1.0198470313383257)</f>
        <v>1.019847031</v>
      </c>
      <c r="AE1776" s="82">
        <f>IFERROR(__xludf.DUMMYFUNCTION("""COMPUTED_VALUE"""),0.7894224696213905)</f>
        <v>0.7894224696</v>
      </c>
      <c r="AF1776" s="82">
        <f>IFERROR(__xludf.DUMMYFUNCTION("""COMPUTED_VALUE"""),1.3785222733638258)</f>
        <v>1.378522273</v>
      </c>
      <c r="AG1776" s="82">
        <f>IFERROR(__xludf.DUMMYFUNCTION("""COMPUTED_VALUE"""),1.3257275253995293)</f>
        <v>1.325727525</v>
      </c>
      <c r="AH1776" s="82">
        <f>IFERROR(__xludf.DUMMYFUNCTION("""COMPUTED_VALUE"""),0.8168582540906716)</f>
        <v>0.8168582541</v>
      </c>
      <c r="AI1776" s="82">
        <f>IFERROR(__xludf.DUMMYFUNCTION("""COMPUTED_VALUE"""),0.9828503331324391)</f>
        <v>0.9828503331</v>
      </c>
      <c r="AJ1776" s="82">
        <f>IFERROR(__xludf.DUMMYFUNCTION("""COMPUTED_VALUE"""),1.0007399118082752)</f>
        <v>1.000739912</v>
      </c>
      <c r="AK1776" s="82">
        <f>IFERROR(__xludf.DUMMYFUNCTION("""COMPUTED_VALUE"""),0.9475778817708009)</f>
        <v>0.9475778818</v>
      </c>
      <c r="AL1776" s="82">
        <f>IFERROR(__xludf.DUMMYFUNCTION("""COMPUTED_VALUE"""),0.9516866488587584)</f>
        <v>0.9516866489</v>
      </c>
      <c r="AM1776" s="82">
        <f>IFERROR(__xludf.DUMMYFUNCTION("""COMPUTED_VALUE"""),0.9936912548974131)</f>
        <v>0.9936912549</v>
      </c>
      <c r="AN1776" s="82">
        <f>IFERROR(__xludf.DUMMYFUNCTION("""COMPUTED_VALUE"""),1.0451581954984497)</f>
        <v>1.045158195</v>
      </c>
      <c r="AO1776" s="82">
        <f>IFERROR(__xludf.DUMMYFUNCTION("""COMPUTED_VALUE"""),0.8216730723862026)</f>
        <v>0.8216730724</v>
      </c>
      <c r="AP1776" s="82">
        <f>IFERROR(__xludf.DUMMYFUNCTION("""COMPUTED_VALUE"""),1.4250281867444603)</f>
        <v>1.425028187</v>
      </c>
      <c r="AQ1776" s="82">
        <f>IFERROR(__xludf.DUMMYFUNCTION("""COMPUTED_VALUE"""),1.359314696941518)</f>
        <v>1.359314697</v>
      </c>
      <c r="AR1776" s="82">
        <f>IFERROR(__xludf.DUMMYFUNCTION("""COMPUTED_VALUE"""),0.8549746187090619)</f>
        <v>0.8549746187</v>
      </c>
      <c r="AS1776" s="82">
        <f>IFERROR(__xludf.DUMMYFUNCTION("""COMPUTED_VALUE"""),91.0)</f>
        <v>91</v>
      </c>
      <c r="AT1776" s="82">
        <f>IFERROR(__xludf.DUMMYFUNCTION("""COMPUTED_VALUE"""),0.5222999353807544)</f>
        <v>0.5222999354</v>
      </c>
      <c r="AU1776" s="82">
        <f>IFERROR(__xludf.DUMMYFUNCTION("""COMPUTED_VALUE"""),2.5665328388193527)</f>
        <v>2.566532839</v>
      </c>
      <c r="AV1776" s="82">
        <f>IFERROR(__xludf.DUMMYFUNCTION("""COMPUTED_VALUE"""),52.667483787490156)</f>
        <v>52.66748379</v>
      </c>
      <c r="AW1776" s="82">
        <f t="shared" si="1"/>
        <v>2.185726665</v>
      </c>
      <c r="AX1776" s="83">
        <f t="array" ref="AX1776">IFERROR(DGET('SBV Import'!A:G,"SBV",{"RSC ID","Tier";B1776,A1776}))</f>
        <v>48.4456693</v>
      </c>
      <c r="AY1776" s="82">
        <f t="shared" si="2"/>
        <v>-2.104322012</v>
      </c>
      <c r="AZ1776" s="82">
        <v>4.290048677168246</v>
      </c>
      <c r="BA1776" s="84">
        <v>1700.0</v>
      </c>
      <c r="BB1776" s="84" t="b">
        <f>IFERROR(__xludf.DUMMYFUNCTION("iferror(if(A1776="""",,E1776&gt;=FILTER(Constants!$F$2:$F$10,Constants!$A$2:$A$10=A1776)))"),TRUE)</f>
        <v>1</v>
      </c>
    </row>
    <row r="1777">
      <c r="A1777" s="89" t="str">
        <f>IFERROR(__xludf.DUMMYFUNCTION("""COMPUTED_VALUE"""),"Rival")</f>
        <v>Rival</v>
      </c>
      <c r="B1777" s="87" t="str">
        <f>IFERROR(__xludf.DUMMYFUNCTION("""COMPUTED_VALUE"""),"RSC000291")</f>
        <v>RSC000291</v>
      </c>
      <c r="C1777" s="73" t="str">
        <f>IFERROR(__xludf.DUMMYFUNCTION("""COMPUTED_VALUE"""),"Suckiest Sucker")</f>
        <v>Suckiest Sucker</v>
      </c>
      <c r="D1777" s="73" t="str">
        <f>IFERROR(__xludf.DUMMYFUNCTION("""COMPUTED_VALUE"""),"Hue Heroes")</f>
        <v>Hue Heroes</v>
      </c>
      <c r="E1777" s="82">
        <f>IFERROR(__xludf.DUMMYFUNCTION("""COMPUTED_VALUE"""),24.0)</f>
        <v>24</v>
      </c>
      <c r="F1777" s="82">
        <f>IFERROR(__xludf.DUMMYFUNCTION("""COMPUTED_VALUE"""),13.0)</f>
        <v>13</v>
      </c>
      <c r="G1777" s="86">
        <f>IFERROR(__xludf.DUMMYFUNCTION("""COMPUTED_VALUE"""),11.0)</f>
        <v>11</v>
      </c>
      <c r="H1777" s="86">
        <f>IFERROR(__xludf.DUMMYFUNCTION("""COMPUTED_VALUE"""),0.5416666666666666)</f>
        <v>0.5416666667</v>
      </c>
      <c r="I1777" s="86">
        <f>IFERROR(__xludf.DUMMYFUNCTION("""COMPUTED_VALUE"""),0.3148148148148148)</f>
        <v>0.3148148148</v>
      </c>
      <c r="J1777" s="82">
        <f>IFERROR(__xludf.DUMMYFUNCTION("""COMPUTED_VALUE"""),349.9583333333333)</f>
        <v>349.9583333</v>
      </c>
      <c r="K1777" s="82">
        <f>IFERROR(__xludf.DUMMYFUNCTION("""COMPUTED_VALUE"""),0.7083333333333334)</f>
        <v>0.7083333333</v>
      </c>
      <c r="L1777" s="82">
        <f>IFERROR(__xludf.DUMMYFUNCTION("""COMPUTED_VALUE"""),0.75)</f>
        <v>0.75</v>
      </c>
      <c r="M1777" s="82">
        <f>IFERROR(__xludf.DUMMYFUNCTION("""COMPUTED_VALUE"""),1.2916666666666667)</f>
        <v>1.291666667</v>
      </c>
      <c r="N1777" s="82">
        <f>IFERROR(__xludf.DUMMYFUNCTION("""COMPUTED_VALUE"""),2.25)</f>
        <v>2.25</v>
      </c>
      <c r="O1777" s="82">
        <f>IFERROR(__xludf.DUMMYFUNCTION("""COMPUTED_VALUE"""),345.4027777777778)</f>
        <v>345.4027778</v>
      </c>
      <c r="P1777" s="82">
        <f>IFERROR(__xludf.DUMMYFUNCTION("""COMPUTED_VALUE"""),0.7916666666666666)</f>
        <v>0.7916666667</v>
      </c>
      <c r="Q1777" s="82">
        <f>IFERROR(__xludf.DUMMYFUNCTION("""COMPUTED_VALUE"""),0.5416666666666666)</f>
        <v>0.5416666667</v>
      </c>
      <c r="R1777" s="82">
        <f>IFERROR(__xludf.DUMMYFUNCTION("""COMPUTED_VALUE"""),1.222222222222222)</f>
        <v>1.222222222</v>
      </c>
      <c r="S1777" s="82">
        <f>IFERROR(__xludf.DUMMYFUNCTION("""COMPUTED_VALUE"""),2.513888888888889)</f>
        <v>2.513888889</v>
      </c>
      <c r="T1777" s="82">
        <f>IFERROR(__xludf.DUMMYFUNCTION("""COMPUTED_VALUE"""),344.6394920319677)</f>
        <v>344.639492</v>
      </c>
      <c r="U1777" s="82">
        <f>IFERROR(__xludf.DUMMYFUNCTION("""COMPUTED_VALUE"""),0.7200612919543589)</f>
        <v>0.720061292</v>
      </c>
      <c r="V1777" s="82">
        <f>IFERROR(__xludf.DUMMYFUNCTION("""COMPUTED_VALUE"""),0.488694935413085)</f>
        <v>0.4886949354</v>
      </c>
      <c r="W1777" s="82">
        <f>IFERROR(__xludf.DUMMYFUNCTION("""COMPUTED_VALUE"""),1.414790410449957)</f>
        <v>1.41479041</v>
      </c>
      <c r="X1777" s="82">
        <f>IFERROR(__xludf.DUMMYFUNCTION("""COMPUTED_VALUE"""),2.4719681178521014)</f>
        <v>2.471968118</v>
      </c>
      <c r="Y1777" s="82">
        <f>IFERROR(__xludf.DUMMYFUNCTION("""COMPUTED_VALUE"""),352.7336877871791)</f>
        <v>352.7336878</v>
      </c>
      <c r="Z1777" s="82">
        <f>IFERROR(__xludf.DUMMYFUNCTION("""COMPUTED_VALUE"""),0.8007243169618307)</f>
        <v>0.800724317</v>
      </c>
      <c r="AA1777" s="82">
        <f>IFERROR(__xludf.DUMMYFUNCTION("""COMPUTED_VALUE"""),0.5982870193400137)</f>
        <v>0.5982870193</v>
      </c>
      <c r="AB1777" s="82">
        <f>IFERROR(__xludf.DUMMYFUNCTION("""COMPUTED_VALUE"""),1.2714269116562233)</f>
        <v>1.271426912</v>
      </c>
      <c r="AC1777" s="82">
        <f>IFERROR(__xludf.DUMMYFUNCTION("""COMPUTED_VALUE"""),2.643853531494228)</f>
        <v>2.643853531</v>
      </c>
      <c r="AD1777" s="82">
        <f>IFERROR(__xludf.DUMMYFUNCTION("""COMPUTED_VALUE"""),0.9921318701617172)</f>
        <v>0.9921318702</v>
      </c>
      <c r="AE1777" s="82">
        <f>IFERROR(__xludf.DUMMYFUNCTION("""COMPUTED_VALUE"""),0.8846157389361494)</f>
        <v>0.8846157389</v>
      </c>
      <c r="AF1777" s="82">
        <f>IFERROR(__xludf.DUMMYFUNCTION("""COMPUTED_VALUE"""),1.2535789274307587)</f>
        <v>1.253578927</v>
      </c>
      <c r="AG1777" s="82">
        <f>IFERROR(__xludf.DUMMYFUNCTION("""COMPUTED_VALUE"""),1.01591892921637)</f>
        <v>1.015918929</v>
      </c>
      <c r="AH1777" s="82">
        <f>IFERROR(__xludf.DUMMYFUNCTION("""COMPUTED_VALUE"""),0.8510305027103245)</f>
        <v>0.8510305027</v>
      </c>
      <c r="AI1777" s="82">
        <f>IFERROR(__xludf.DUMMYFUNCTION("""COMPUTED_VALUE"""),1.002214736742182)</f>
        <v>1.002214737</v>
      </c>
      <c r="AJ1777" s="82">
        <f>IFERROR(__xludf.DUMMYFUNCTION("""COMPUTED_VALUE"""),1.099443443929557)</f>
        <v>1.099443444</v>
      </c>
      <c r="AK1777" s="82">
        <f>IFERROR(__xludf.DUMMYFUNCTION("""COMPUTED_VALUE"""),1.1083942709756252)</f>
        <v>1.108394271</v>
      </c>
      <c r="AL1777" s="82">
        <f>IFERROR(__xludf.DUMMYFUNCTION("""COMPUTED_VALUE"""),0.8638892469122046)</f>
        <v>0.8638892469</v>
      </c>
      <c r="AM1777" s="82">
        <f>IFERROR(__xludf.DUMMYFUNCTION("""COMPUTED_VALUE"""),1.0169584594291663)</f>
        <v>1.016958459</v>
      </c>
      <c r="AN1777" s="82">
        <f>IFERROR(__xludf.DUMMYFUNCTION("""COMPUTED_VALUE"""),1.0320916700099716)</f>
        <v>1.03209167</v>
      </c>
      <c r="AO1777" s="82">
        <f>IFERROR(__xludf.DUMMYFUNCTION("""COMPUTED_VALUE"""),0.9523937884476438)</f>
        <v>0.9523937884</v>
      </c>
      <c r="AP1777" s="82">
        <f>IFERROR(__xludf.DUMMYFUNCTION("""COMPUTED_VALUE"""),1.374134322932158)</f>
        <v>1.374134323</v>
      </c>
      <c r="AQ1777" s="82">
        <f>IFERROR(__xludf.DUMMYFUNCTION("""COMPUTED_VALUE"""),0.9876270844965718)</f>
        <v>0.9876270845</v>
      </c>
      <c r="AR1777" s="82">
        <f>IFERROR(__xludf.DUMMYFUNCTION("""COMPUTED_VALUE"""),0.8993888846160262)</f>
        <v>0.8993888846</v>
      </c>
      <c r="AS1777" s="82">
        <f>IFERROR(__xludf.DUMMYFUNCTION("""COMPUTED_VALUE"""),65.0)</f>
        <v>65</v>
      </c>
      <c r="AT1777" s="82">
        <f>IFERROR(__xludf.DUMMYFUNCTION("""COMPUTED_VALUE"""),0.5521681030875403)</f>
        <v>0.5521681031</v>
      </c>
      <c r="AU1777" s="82">
        <f>IFERROR(__xludf.DUMMYFUNCTION("""COMPUTED_VALUE"""),2.550592542139318)</f>
        <v>2.550592542</v>
      </c>
      <c r="AV1777" s="82">
        <f>IFERROR(__xludf.DUMMYFUNCTION("""COMPUTED_VALUE"""),52.21111349342692)</f>
        <v>52.21111349</v>
      </c>
      <c r="AW1777" s="82">
        <f t="shared" si="1"/>
        <v>2.151640379</v>
      </c>
      <c r="AX1777" s="83">
        <f t="array" ref="AX1777">IFERROR(DGET('SBV Import'!A:G,"SBV",{"RSC ID","Tier";B1777,A1777}))</f>
        <v>49.42627488</v>
      </c>
      <c r="AY1777" s="82">
        <f t="shared" si="2"/>
        <v>-2.037301045</v>
      </c>
      <c r="AZ1777" s="82">
        <v>4.18894142472907</v>
      </c>
      <c r="BA1777" s="84">
        <v>1700.0</v>
      </c>
      <c r="BB1777" s="84" t="b">
        <f>IFERROR(__xludf.DUMMYFUNCTION("iferror(if(A1777="""",,E1777&gt;=FILTER(Constants!$F$2:$F$10,Constants!$A$2:$A$10=A1777)))"),TRUE)</f>
        <v>1</v>
      </c>
    </row>
    <row r="1778">
      <c r="A1778" s="89" t="str">
        <f>IFERROR(__xludf.DUMMYFUNCTION("""COMPUTED_VALUE"""),"Rival")</f>
        <v>Rival</v>
      </c>
      <c r="B1778" s="87" t="str">
        <f>IFERROR(__xludf.DUMMYFUNCTION("""COMPUTED_VALUE"""),"RSC006177")</f>
        <v>RSC006177</v>
      </c>
      <c r="C1778" s="73" t="str">
        <f>IFERROR(__xludf.DUMMYFUNCTION("""COMPUTED_VALUE"""),"Flyerrr85")</f>
        <v>Flyerrr85</v>
      </c>
      <c r="D1778" s="73" t="str">
        <f>IFERROR(__xludf.DUMMYFUNCTION("""COMPUTED_VALUE"""),"Asiago Arsonists")</f>
        <v>Asiago Arsonists</v>
      </c>
      <c r="E1778" s="82">
        <f>IFERROR(__xludf.DUMMYFUNCTION("""COMPUTED_VALUE"""),7.0)</f>
        <v>7</v>
      </c>
      <c r="F1778" s="82">
        <f>IFERROR(__xludf.DUMMYFUNCTION("""COMPUTED_VALUE"""),4.0)</f>
        <v>4</v>
      </c>
      <c r="G1778" s="86">
        <f>IFERROR(__xludf.DUMMYFUNCTION("""COMPUTED_VALUE"""),3.0)</f>
        <v>3</v>
      </c>
      <c r="H1778" s="86">
        <f>IFERROR(__xludf.DUMMYFUNCTION("""COMPUTED_VALUE"""),0.5714285714285714)</f>
        <v>0.5714285714</v>
      </c>
      <c r="I1778" s="86">
        <f>IFERROR(__xludf.DUMMYFUNCTION("""COMPUTED_VALUE"""),0.23529411764705882)</f>
        <v>0.2352941176</v>
      </c>
      <c r="J1778" s="82">
        <f>IFERROR(__xludf.DUMMYFUNCTION("""COMPUTED_VALUE"""),368.0)</f>
        <v>368</v>
      </c>
      <c r="K1778" s="82">
        <f>IFERROR(__xludf.DUMMYFUNCTION("""COMPUTED_VALUE"""),0.5714285714285714)</f>
        <v>0.5714285714</v>
      </c>
      <c r="L1778" s="82">
        <f>IFERROR(__xludf.DUMMYFUNCTION("""COMPUTED_VALUE"""),0.7142857142857143)</f>
        <v>0.7142857143</v>
      </c>
      <c r="M1778" s="82">
        <f>IFERROR(__xludf.DUMMYFUNCTION("""COMPUTED_VALUE"""),1.7142857142857142)</f>
        <v>1.714285714</v>
      </c>
      <c r="N1778" s="82">
        <f>IFERROR(__xludf.DUMMYFUNCTION("""COMPUTED_VALUE"""),2.4285714285714284)</f>
        <v>2.428571429</v>
      </c>
      <c r="O1778" s="82">
        <f>IFERROR(__xludf.DUMMYFUNCTION("""COMPUTED_VALUE"""),363.85714285714283)</f>
        <v>363.8571429</v>
      </c>
      <c r="P1778" s="82">
        <f>IFERROR(__xludf.DUMMYFUNCTION("""COMPUTED_VALUE"""),0.6666666666666666)</f>
        <v>0.6666666667</v>
      </c>
      <c r="Q1778" s="82">
        <f>IFERROR(__xludf.DUMMYFUNCTION("""COMPUTED_VALUE"""),0.4285714285714285)</f>
        <v>0.4285714286</v>
      </c>
      <c r="R1778" s="82">
        <f>IFERROR(__xludf.DUMMYFUNCTION("""COMPUTED_VALUE"""),1.380952380952381)</f>
        <v>1.380952381</v>
      </c>
      <c r="S1778" s="82">
        <f>IFERROR(__xludf.DUMMYFUNCTION("""COMPUTED_VALUE"""),2.523809523809524)</f>
        <v>2.523809524</v>
      </c>
      <c r="T1778" s="82">
        <f>IFERROR(__xludf.DUMMYFUNCTION("""COMPUTED_VALUE"""),336.04144873616764)</f>
        <v>336.0414487</v>
      </c>
      <c r="U1778" s="82">
        <f>IFERROR(__xludf.DUMMYFUNCTION("""COMPUTED_VALUE"""),0.6153973053289163)</f>
        <v>0.6153973053</v>
      </c>
      <c r="V1778" s="82">
        <f>IFERROR(__xludf.DUMMYFUNCTION("""COMPUTED_VALUE"""),0.5130846230770243)</f>
        <v>0.5130846231</v>
      </c>
      <c r="W1778" s="82">
        <f>IFERROR(__xludf.DUMMYFUNCTION("""COMPUTED_VALUE"""),1.3872599664772916)</f>
        <v>1.387259966</v>
      </c>
      <c r="X1778" s="82">
        <f>IFERROR(__xludf.DUMMYFUNCTION("""COMPUTED_VALUE"""),2.2242179848182886)</f>
        <v>2.224217985</v>
      </c>
      <c r="Y1778" s="82">
        <f>IFERROR(__xludf.DUMMYFUNCTION("""COMPUTED_VALUE"""),338.5412661075275)</f>
        <v>338.5412661</v>
      </c>
      <c r="Z1778" s="82">
        <f>IFERROR(__xludf.DUMMYFUNCTION("""COMPUTED_VALUE"""),0.7326515317396776)</f>
        <v>0.7326515317</v>
      </c>
      <c r="AA1778" s="82">
        <f>IFERROR(__xludf.DUMMYFUNCTION("""COMPUTED_VALUE"""),0.5593894932040828)</f>
        <v>0.5593894932</v>
      </c>
      <c r="AB1778" s="82">
        <f>IFERROR(__xludf.DUMMYFUNCTION("""COMPUTED_VALUE"""),1.1608435791946428)</f>
        <v>1.160843579</v>
      </c>
      <c r="AC1778" s="82">
        <f>IFERROR(__xludf.DUMMYFUNCTION("""COMPUTED_VALUE"""),2.5522335904554754)</f>
        <v>2.55223359</v>
      </c>
      <c r="AD1778" s="82">
        <f>IFERROR(__xludf.DUMMYFUNCTION("""COMPUTED_VALUE"""),1.0870166707627182)</f>
        <v>1.087016671</v>
      </c>
      <c r="AE1778" s="82">
        <f>IFERROR(__xludf.DUMMYFUNCTION("""COMPUTED_VALUE"""),0.7799459179068622)</f>
        <v>0.7799459179</v>
      </c>
      <c r="AF1778" s="82">
        <f>IFERROR(__xludf.DUMMYFUNCTION("""COMPUTED_VALUE"""),1.2769022710712954)</f>
        <v>1.276902271</v>
      </c>
      <c r="AG1778" s="82">
        <f>IFERROR(__xludf.DUMMYFUNCTION("""COMPUTED_VALUE"""),1.4767585788561042)</f>
        <v>1.476758579</v>
      </c>
      <c r="AH1778" s="82">
        <f>IFERROR(__xludf.DUMMYFUNCTION("""COMPUTED_VALUE"""),0.9515474749856349)</f>
        <v>0.951547475</v>
      </c>
      <c r="AI1778" s="82">
        <f>IFERROR(__xludf.DUMMYFUNCTION("""COMPUTED_VALUE"""),1.0827745929128338)</f>
        <v>1.082774593</v>
      </c>
      <c r="AJ1778" s="82">
        <f>IFERROR(__xludf.DUMMYFUNCTION("""COMPUTED_VALUE"""),1.0833109942045456)</f>
        <v>1.083310994</v>
      </c>
      <c r="AK1778" s="82">
        <f>IFERROR(__xludf.DUMMYFUNCTION("""COMPUTED_VALUE"""),0.8352841018723949)</f>
        <v>0.8352841019</v>
      </c>
      <c r="AL1778" s="82">
        <f>IFERROR(__xludf.DUMMYFUNCTION("""COMPUTED_VALUE"""),0.9954532058321213)</f>
        <v>0.9954532058</v>
      </c>
      <c r="AM1778" s="82">
        <f>IFERROR(__xludf.DUMMYFUNCTION("""COMPUTED_VALUE"""),1.1346952236858705)</f>
        <v>1.134695224</v>
      </c>
      <c r="AN1778" s="82">
        <f>IFERROR(__xludf.DUMMYFUNCTION("""COMPUTED_VALUE"""),1.0852998725476923)</f>
        <v>1.085299873</v>
      </c>
      <c r="AO1778" s="82">
        <f>IFERROR(__xludf.DUMMYFUNCTION("""COMPUTED_VALUE"""),0.7683176780754101)</f>
        <v>0.7683176781</v>
      </c>
      <c r="AP1778" s="82">
        <f>IFERROR(__xludf.DUMMYFUNCTION("""COMPUTED_VALUE"""),1.308699355173484)</f>
        <v>1.308699355</v>
      </c>
      <c r="AQ1778" s="82">
        <f>IFERROR(__xludf.DUMMYFUNCTION("""COMPUTED_VALUE"""),1.310767743479321)</f>
        <v>1.310767743</v>
      </c>
      <c r="AR1778" s="82">
        <f>IFERROR(__xludf.DUMMYFUNCTION("""COMPUTED_VALUE"""),0.9707689548236472)</f>
        <v>0.9707689548</v>
      </c>
      <c r="AS1778" s="82">
        <f>IFERROR(__xludf.DUMMYFUNCTION("""COMPUTED_VALUE"""),14.0)</f>
        <v>14</v>
      </c>
      <c r="AT1778" s="82">
        <f>IFERROR(__xludf.DUMMYFUNCTION("""COMPUTED_VALUE"""),0.5)</f>
        <v>0.5</v>
      </c>
      <c r="AU1778" s="82">
        <f>IFERROR(__xludf.DUMMYFUNCTION("""COMPUTED_VALUE"""),2.544630787172705)</f>
        <v>2.544630787</v>
      </c>
      <c r="AV1778" s="82">
        <f>IFERROR(__xludf.DUMMYFUNCTION("""COMPUTED_VALUE"""),52.04042859829232)</f>
        <v>52.0404286</v>
      </c>
      <c r="AW1778" s="82">
        <f t="shared" si="1"/>
        <v>2.139149154</v>
      </c>
      <c r="AX1778" s="83">
        <f t="array" ref="AX1778">IFERROR(DGET('SBV Import'!A:G,"SBV",{"RSC ID","Tier";B1778,A1778}))</f>
        <v>48.78878752</v>
      </c>
      <c r="AY1778" s="82">
        <f t="shared" si="2"/>
        <v>-2.080388699</v>
      </c>
      <c r="AZ1778" s="82">
        <v>4.219537853409427</v>
      </c>
      <c r="BA1778" s="84">
        <v>1700.0</v>
      </c>
      <c r="BB1778" s="84" t="b">
        <f>IFERROR(__xludf.DUMMYFUNCTION("iferror(if(A1778="""",,E1778&gt;=FILTER(Constants!$F$2:$F$10,Constants!$A$2:$A$10=A1778)))"),TRUE)</f>
        <v>1</v>
      </c>
    </row>
    <row r="1779">
      <c r="A1779" s="89" t="str">
        <f>IFERROR(__xludf.DUMMYFUNCTION("""COMPUTED_VALUE"""),"Rival")</f>
        <v>Rival</v>
      </c>
      <c r="B1779" s="87" t="str">
        <f>IFERROR(__xludf.DUMMYFUNCTION("""COMPUTED_VALUE"""),"RSC006312")</f>
        <v>RSC006312</v>
      </c>
      <c r="C1779" s="73" t="str">
        <f>IFERROR(__xludf.DUMMYFUNCTION("""COMPUTED_VALUE"""),"Cognitixn")</f>
        <v>Cognitixn</v>
      </c>
      <c r="D1779" s="73" t="str">
        <f>IFERROR(__xludf.DUMMYFUNCTION("""COMPUTED_VALUE"""),"Hippos")</f>
        <v>Hippos</v>
      </c>
      <c r="E1779" s="82">
        <f>IFERROR(__xludf.DUMMYFUNCTION("""COMPUTED_VALUE"""),45.0)</f>
        <v>45</v>
      </c>
      <c r="F1779" s="82">
        <f>IFERROR(__xludf.DUMMYFUNCTION("""COMPUTED_VALUE"""),23.0)</f>
        <v>23</v>
      </c>
      <c r="G1779" s="86">
        <f>IFERROR(__xludf.DUMMYFUNCTION("""COMPUTED_VALUE"""),22.0)</f>
        <v>22</v>
      </c>
      <c r="H1779" s="86">
        <f>IFERROR(__xludf.DUMMYFUNCTION("""COMPUTED_VALUE"""),0.5111111111111111)</f>
        <v>0.5111111111</v>
      </c>
      <c r="I1779" s="86">
        <f>IFERROR(__xludf.DUMMYFUNCTION("""COMPUTED_VALUE"""),0.2803738317757009)</f>
        <v>0.2803738318</v>
      </c>
      <c r="J1779" s="82">
        <f>IFERROR(__xludf.DUMMYFUNCTION("""COMPUTED_VALUE"""),337.4)</f>
        <v>337.4</v>
      </c>
      <c r="K1779" s="82">
        <f>IFERROR(__xludf.DUMMYFUNCTION("""COMPUTED_VALUE"""),0.6666666666666666)</f>
        <v>0.6666666667</v>
      </c>
      <c r="L1779" s="82">
        <f>IFERROR(__xludf.DUMMYFUNCTION("""COMPUTED_VALUE"""),0.7111111111111111)</f>
        <v>0.7111111111</v>
      </c>
      <c r="M1779" s="82">
        <f>IFERROR(__xludf.DUMMYFUNCTION("""COMPUTED_VALUE"""),1.4666666666666666)</f>
        <v>1.466666667</v>
      </c>
      <c r="N1779" s="82">
        <f>IFERROR(__xludf.DUMMYFUNCTION("""COMPUTED_VALUE"""),2.3777777777777778)</f>
        <v>2.377777778</v>
      </c>
      <c r="O1779" s="82">
        <f>IFERROR(__xludf.DUMMYFUNCTION("""COMPUTED_VALUE"""),363.65925925925916)</f>
        <v>363.6592593</v>
      </c>
      <c r="P1779" s="82">
        <f>IFERROR(__xludf.DUMMYFUNCTION("""COMPUTED_VALUE"""),0.8888888888888888)</f>
        <v>0.8888888889</v>
      </c>
      <c r="Q1779" s="82">
        <f>IFERROR(__xludf.DUMMYFUNCTION("""COMPUTED_VALUE"""),0.6370370370370368)</f>
        <v>0.637037037</v>
      </c>
      <c r="R1779" s="82">
        <f>IFERROR(__xludf.DUMMYFUNCTION("""COMPUTED_VALUE"""),1.2296296296296296)</f>
        <v>1.22962963</v>
      </c>
      <c r="S1779" s="82">
        <f>IFERROR(__xludf.DUMMYFUNCTION("""COMPUTED_VALUE"""),2.7777777777777772)</f>
        <v>2.777777778</v>
      </c>
      <c r="T1779" s="82">
        <f>IFERROR(__xludf.DUMMYFUNCTION("""COMPUTED_VALUE"""),352.1204782607605)</f>
        <v>352.1204783</v>
      </c>
      <c r="U1779" s="82">
        <f>IFERROR(__xludf.DUMMYFUNCTION("""COMPUTED_VALUE"""),0.7932060951191792)</f>
        <v>0.7932060951</v>
      </c>
      <c r="V1779" s="82">
        <f>IFERROR(__xludf.DUMMYFUNCTION("""COMPUTED_VALUE"""),0.5988077140693743)</f>
        <v>0.5988077141</v>
      </c>
      <c r="W1779" s="82">
        <f>IFERROR(__xludf.DUMMYFUNCTION("""COMPUTED_VALUE"""),1.2949226742163165)</f>
        <v>1.294922674</v>
      </c>
      <c r="X1779" s="82">
        <f>IFERROR(__xludf.DUMMYFUNCTION("""COMPUTED_VALUE"""),2.554256114271053)</f>
        <v>2.554256114</v>
      </c>
      <c r="Y1779" s="82">
        <f>IFERROR(__xludf.DUMMYFUNCTION("""COMPUTED_VALUE"""),343.8334609942567)</f>
        <v>343.833461</v>
      </c>
      <c r="Z1779" s="82">
        <f>IFERROR(__xludf.DUMMYFUNCTION("""COMPUTED_VALUE"""),0.7545044616022963)</f>
        <v>0.7545044616</v>
      </c>
      <c r="AA1779" s="82">
        <f>IFERROR(__xludf.DUMMYFUNCTION("""COMPUTED_VALUE"""),0.5391239645199644)</f>
        <v>0.5391239645</v>
      </c>
      <c r="AB1779" s="82">
        <f>IFERROR(__xludf.DUMMYFUNCTION("""COMPUTED_VALUE"""),1.342114305511469)</f>
        <v>1.342114306</v>
      </c>
      <c r="AC1779" s="82">
        <f>IFERROR(__xludf.DUMMYFUNCTION("""COMPUTED_VALUE"""),2.484453064553736)</f>
        <v>2.484453065</v>
      </c>
      <c r="AD1779" s="82">
        <f>IFERROR(__xludf.DUMMYFUNCTION("""COMPUTED_VALUE"""),0.9812890200515877)</f>
        <v>0.9812890201</v>
      </c>
      <c r="AE1779" s="82">
        <f>IFERROR(__xludf.DUMMYFUNCTION("""COMPUTED_VALUE"""),0.8835821397939864)</f>
        <v>0.8835821398</v>
      </c>
      <c r="AF1779" s="82">
        <f>IFERROR(__xludf.DUMMYFUNCTION("""COMPUTED_VALUE"""),1.3190122456238502)</f>
        <v>1.319012246</v>
      </c>
      <c r="AG1779" s="82">
        <f>IFERROR(__xludf.DUMMYFUNCTION("""COMPUTED_VALUE"""),1.092803094821146)</f>
        <v>1.092803095</v>
      </c>
      <c r="AH1779" s="82">
        <f>IFERROR(__xludf.DUMMYFUNCTION("""COMPUTED_VALUE"""),0.9570628689678549)</f>
        <v>0.957062869</v>
      </c>
      <c r="AI1779" s="82">
        <f>IFERROR(__xludf.DUMMYFUNCTION("""COMPUTED_VALUE"""),1.0327694119225685)</f>
        <v>1.032769412</v>
      </c>
      <c r="AJ1779" s="82">
        <f>IFERROR(__xludf.DUMMYFUNCTION("""COMPUTED_VALUE"""),1.120627910398663)</f>
        <v>1.12062791</v>
      </c>
      <c r="AK1779" s="82">
        <f>IFERROR(__xludf.DUMMYFUNCTION("""COMPUTED_VALUE"""),1.0638424022761228)</f>
        <v>1.063842402</v>
      </c>
      <c r="AL1779" s="82">
        <f>IFERROR(__xludf.DUMMYFUNCTION("""COMPUTED_VALUE"""),0.9495776497803609)</f>
        <v>0.9495776498</v>
      </c>
      <c r="AM1779" s="82">
        <f>IFERROR(__xludf.DUMMYFUNCTION("""COMPUTED_VALUE"""),1.087509495331291)</f>
        <v>1.087509495</v>
      </c>
      <c r="AN1779" s="82">
        <f>IFERROR(__xludf.DUMMYFUNCTION("""COMPUTED_VALUE"""),0.9950548287978027)</f>
        <v>0.9950548288</v>
      </c>
      <c r="AO1779" s="82">
        <f>IFERROR(__xludf.DUMMYFUNCTION("""COMPUTED_VALUE"""),0.8963706244213118)</f>
        <v>0.8963706244</v>
      </c>
      <c r="AP1779" s="82">
        <f>IFERROR(__xludf.DUMMYFUNCTION("""COMPUTED_VALUE"""),1.3028829135949351)</f>
        <v>1.302882914</v>
      </c>
      <c r="AQ1779" s="82">
        <f>IFERROR(__xludf.DUMMYFUNCTION("""COMPUTED_VALUE"""),1.1214346249767524)</f>
        <v>1.121434625</v>
      </c>
      <c r="AR1779" s="82">
        <f>IFERROR(__xludf.DUMMYFUNCTION("""COMPUTED_VALUE"""),0.950465290409035)</f>
        <v>0.9504652904</v>
      </c>
      <c r="AS1779" s="82">
        <f>IFERROR(__xludf.DUMMYFUNCTION("""COMPUTED_VALUE"""),120.0)</f>
        <v>120</v>
      </c>
      <c r="AT1779" s="82">
        <f>IFERROR(__xludf.DUMMYFUNCTION("""COMPUTED_VALUE"""),0.5)</f>
        <v>0.5</v>
      </c>
      <c r="AU1779" s="82">
        <f>IFERROR(__xludf.DUMMYFUNCTION("""COMPUTED_VALUE"""),2.5267990768545516)</f>
        <v>2.526799077</v>
      </c>
      <c r="AV1779" s="82">
        <f>IFERROR(__xludf.DUMMYFUNCTION("""COMPUTED_VALUE"""),51.52990717921869)</f>
        <v>51.52990718</v>
      </c>
      <c r="AW1779" s="82">
        <f t="shared" si="1"/>
        <v>2.102600852</v>
      </c>
      <c r="AX1779" s="83">
        <f t="array" ref="AX1779">IFERROR(DGET('SBV Import'!A:G,"SBV",{"RSC ID","Tier";B1779,A1779}))</f>
        <v>43.21956544</v>
      </c>
      <c r="AY1779" s="82">
        <f t="shared" si="2"/>
        <v>-2.543804813</v>
      </c>
      <c r="AZ1779" s="82">
        <v>4.646405665358257</v>
      </c>
      <c r="BA1779" s="84">
        <v>1700.0</v>
      </c>
      <c r="BB1779" s="84" t="b">
        <f>IFERROR(__xludf.DUMMYFUNCTION("iferror(if(A1779="""",,E1779&gt;=FILTER(Constants!$F$2:$F$10,Constants!$A$2:$A$10=A1779)))"),TRUE)</f>
        <v>1</v>
      </c>
    </row>
    <row r="1780">
      <c r="A1780" s="89" t="str">
        <f>IFERROR(__xludf.DUMMYFUNCTION("""COMPUTED_VALUE"""),"Rival")</f>
        <v>Rival</v>
      </c>
      <c r="B1780" s="87" t="str">
        <f>IFERROR(__xludf.DUMMYFUNCTION("""COMPUTED_VALUE"""),"RSC001358")</f>
        <v>RSC001358</v>
      </c>
      <c r="C1780" s="73" t="str">
        <f>IFERROR(__xludf.DUMMYFUNCTION("""COMPUTED_VALUE"""),"Cob")</f>
        <v>Cob</v>
      </c>
      <c r="D1780" s="73" t="str">
        <f>IFERROR(__xludf.DUMMYFUNCTION("""COMPUTED_VALUE"""),"Heavy Metal")</f>
        <v>Heavy Metal</v>
      </c>
      <c r="E1780" s="82">
        <f>IFERROR(__xludf.DUMMYFUNCTION("""COMPUTED_VALUE"""),46.0)</f>
        <v>46</v>
      </c>
      <c r="F1780" s="82">
        <f>IFERROR(__xludf.DUMMYFUNCTION("""COMPUTED_VALUE"""),20.0)</f>
        <v>20</v>
      </c>
      <c r="G1780" s="86">
        <f>IFERROR(__xludf.DUMMYFUNCTION("""COMPUTED_VALUE"""),26.0)</f>
        <v>26</v>
      </c>
      <c r="H1780" s="86">
        <f>IFERROR(__xludf.DUMMYFUNCTION("""COMPUTED_VALUE"""),0.43478260869565216)</f>
        <v>0.4347826087</v>
      </c>
      <c r="I1780" s="86">
        <f>IFERROR(__xludf.DUMMYFUNCTION("""COMPUTED_VALUE"""),0.33333333333333337)</f>
        <v>0.3333333333</v>
      </c>
      <c r="J1780" s="82">
        <f>IFERROR(__xludf.DUMMYFUNCTION("""COMPUTED_VALUE"""),345.7391304347826)</f>
        <v>345.7391304</v>
      </c>
      <c r="K1780" s="82">
        <f>IFERROR(__xludf.DUMMYFUNCTION("""COMPUTED_VALUE"""),0.8260869565217391)</f>
        <v>0.8260869565</v>
      </c>
      <c r="L1780" s="82">
        <f>IFERROR(__xludf.DUMMYFUNCTION("""COMPUTED_VALUE"""),0.5434782608695652)</f>
        <v>0.5434782609</v>
      </c>
      <c r="M1780" s="82">
        <f>IFERROR(__xludf.DUMMYFUNCTION("""COMPUTED_VALUE"""),1.4782608695652173)</f>
        <v>1.47826087</v>
      </c>
      <c r="N1780" s="82">
        <f>IFERROR(__xludf.DUMMYFUNCTION("""COMPUTED_VALUE"""),2.4782608695652173)</f>
        <v>2.47826087</v>
      </c>
      <c r="O1780" s="82">
        <f>IFERROR(__xludf.DUMMYFUNCTION("""COMPUTED_VALUE"""),357.68115942028993)</f>
        <v>357.6811594</v>
      </c>
      <c r="P1780" s="82">
        <f>IFERROR(__xludf.DUMMYFUNCTION("""COMPUTED_VALUE"""),0.8405797101449276)</f>
        <v>0.8405797101</v>
      </c>
      <c r="Q1780" s="82">
        <f>IFERROR(__xludf.DUMMYFUNCTION("""COMPUTED_VALUE"""),0.6159420289855071)</f>
        <v>0.615942029</v>
      </c>
      <c r="R1780" s="82">
        <f>IFERROR(__xludf.DUMMYFUNCTION("""COMPUTED_VALUE"""),1.326086956521739)</f>
        <v>1.326086957</v>
      </c>
      <c r="S1780" s="82">
        <f>IFERROR(__xludf.DUMMYFUNCTION("""COMPUTED_VALUE"""),2.5217391304347827)</f>
        <v>2.52173913</v>
      </c>
      <c r="T1780" s="82">
        <f>IFERROR(__xludf.DUMMYFUNCTION("""COMPUTED_VALUE"""),341.4957550724931)</f>
        <v>341.4957551</v>
      </c>
      <c r="U1780" s="82">
        <f>IFERROR(__xludf.DUMMYFUNCTION("""COMPUTED_VALUE"""),0.7670946309926591)</f>
        <v>0.767094631</v>
      </c>
      <c r="V1780" s="82">
        <f>IFERROR(__xludf.DUMMYFUNCTION("""COMPUTED_VALUE"""),0.5606319035316797)</f>
        <v>0.5606319035</v>
      </c>
      <c r="W1780" s="82">
        <f>IFERROR(__xludf.DUMMYFUNCTION("""COMPUTED_VALUE"""),1.2952838517315224)</f>
        <v>1.295283852</v>
      </c>
      <c r="X1780" s="82">
        <f>IFERROR(__xludf.DUMMYFUNCTION("""COMPUTED_VALUE"""),2.423953708534893)</f>
        <v>2.423953709</v>
      </c>
      <c r="Y1780" s="82">
        <f>IFERROR(__xludf.DUMMYFUNCTION("""COMPUTED_VALUE"""),348.3972133611345)</f>
        <v>348.3972134</v>
      </c>
      <c r="Z1780" s="82">
        <f>IFERROR(__xludf.DUMMYFUNCTION("""COMPUTED_VALUE"""),0.8056030536306326)</f>
        <v>0.8056030536</v>
      </c>
      <c r="AA1780" s="82">
        <f>IFERROR(__xludf.DUMMYFUNCTION("""COMPUTED_VALUE"""),0.5737697112146665)</f>
        <v>0.5737697112</v>
      </c>
      <c r="AB1780" s="82">
        <f>IFERROR(__xludf.DUMMYFUNCTION("""COMPUTED_VALUE"""),1.2637657030226908)</f>
        <v>1.263765703</v>
      </c>
      <c r="AC1780" s="82">
        <f>IFERROR(__xludf.DUMMYFUNCTION("""COMPUTED_VALUE"""),2.606519434429763)</f>
        <v>2.606519434</v>
      </c>
      <c r="AD1780" s="82">
        <f>IFERROR(__xludf.DUMMYFUNCTION("""COMPUTED_VALUE"""),0.9923705390731796)</f>
        <v>0.9923705391</v>
      </c>
      <c r="AE1780" s="82">
        <f>IFERROR(__xludf.DUMMYFUNCTION("""COMPUTED_VALUE"""),1.025426794000831)</f>
        <v>1.025426794</v>
      </c>
      <c r="AF1780" s="82">
        <f>IFERROR(__xludf.DUMMYFUNCTION("""COMPUTED_VALUE"""),0.9472062575750566)</f>
        <v>0.9472062576</v>
      </c>
      <c r="AG1780" s="82">
        <f>IFERROR(__xludf.DUMMYFUNCTION("""COMPUTED_VALUE"""),1.1697270040083334)</f>
        <v>1.169727004</v>
      </c>
      <c r="AH1780" s="82">
        <f>IFERROR(__xludf.DUMMYFUNCTION("""COMPUTED_VALUE"""),0.9507931676355963)</f>
        <v>0.9507931676</v>
      </c>
      <c r="AI1780" s="82">
        <f>IFERROR(__xludf.DUMMYFUNCTION("""COMPUTED_VALUE"""),1.047395623832457)</f>
        <v>1.047395624</v>
      </c>
      <c r="AJ1780" s="82">
        <f>IFERROR(__xludf.DUMMYFUNCTION("""COMPUTED_VALUE"""),1.0957966281906772)</f>
        <v>1.095796628</v>
      </c>
      <c r="AK1780" s="82">
        <f>IFERROR(__xludf.DUMMYFUNCTION("""COMPUTED_VALUE"""),1.0986567569654944)</f>
        <v>1.098656757</v>
      </c>
      <c r="AL1780" s="82">
        <f>IFERROR(__xludf.DUMMYFUNCTION("""COMPUTED_VALUE"""),1.0237809687421326)</f>
        <v>1.023780969</v>
      </c>
      <c r="AM1780" s="82">
        <f>IFERROR(__xludf.DUMMYFUNCTION("""COMPUTED_VALUE"""),1.0403412909890073)</f>
        <v>1.040341291</v>
      </c>
      <c r="AN1780" s="82">
        <f>IFERROR(__xludf.DUMMYFUNCTION("""COMPUTED_VALUE"""),1.0196484624880968)</f>
        <v>1.019648462</v>
      </c>
      <c r="AO1780" s="82">
        <f>IFERROR(__xludf.DUMMYFUNCTION("""COMPUTED_VALUE"""),1.1107201215655385)</f>
        <v>1.110720122</v>
      </c>
      <c r="AP1780" s="82">
        <f>IFERROR(__xludf.DUMMYFUNCTION("""COMPUTED_VALUE"""),0.995749509371129)</f>
        <v>0.9957495094</v>
      </c>
      <c r="AQ1780" s="82">
        <f>IFERROR(__xludf.DUMMYFUNCTION("""COMPUTED_VALUE"""),1.130299720826371)</f>
        <v>1.130299721</v>
      </c>
      <c r="AR1780" s="82">
        <f>IFERROR(__xludf.DUMMYFUNCTION("""COMPUTED_VALUE"""),0.9906312352292462)</f>
        <v>0.9906312352</v>
      </c>
      <c r="AS1780" s="82">
        <f>IFERROR(__xludf.DUMMYFUNCTION("""COMPUTED_VALUE"""),99.0)</f>
        <v>99</v>
      </c>
      <c r="AT1780" s="82">
        <f>IFERROR(__xludf.DUMMYFUNCTION("""COMPUTED_VALUE"""),0.4386390989149729)</f>
        <v>0.4386390989</v>
      </c>
      <c r="AU1780" s="82">
        <f>IFERROR(__xludf.DUMMYFUNCTION("""COMPUTED_VALUE"""),2.5241877325245996)</f>
        <v>2.524187733</v>
      </c>
      <c r="AV1780" s="82">
        <f>IFERROR(__xludf.DUMMYFUNCTION("""COMPUTED_VALUE"""),51.45514445656164)</f>
        <v>51.45514446</v>
      </c>
      <c r="AW1780" s="82">
        <f t="shared" si="1"/>
        <v>2.097349047</v>
      </c>
      <c r="AX1780" s="83">
        <f t="array" ref="AX1780">IFERROR(DGET('SBV Import'!A:G,"SBV",{"RSC ID","Tier";B1780,A1780}))</f>
        <v>52.2331791</v>
      </c>
      <c r="AY1780" s="82">
        <f t="shared" si="2"/>
        <v>2.15326532</v>
      </c>
      <c r="AZ1780" s="82">
        <v>0.05591627289566414</v>
      </c>
      <c r="BA1780" s="84">
        <v>1700.0</v>
      </c>
      <c r="BB1780" s="84" t="b">
        <f>IFERROR(__xludf.DUMMYFUNCTION("iferror(if(A1780="""",,E1780&gt;=FILTER(Constants!$F$2:$F$10,Constants!$A$2:$A$10=A1780)))"),TRUE)</f>
        <v>1</v>
      </c>
    </row>
    <row r="1781">
      <c r="A1781" s="89" t="str">
        <f>IFERROR(__xludf.DUMMYFUNCTION("""COMPUTED_VALUE"""),"Rival")</f>
        <v>Rival</v>
      </c>
      <c r="B1781" s="87" t="str">
        <f>IFERROR(__xludf.DUMMYFUNCTION("""COMPUTED_VALUE"""),"RSC006654")</f>
        <v>RSC006654</v>
      </c>
      <c r="C1781" s="73" t="str">
        <f>IFERROR(__xludf.DUMMYFUNCTION("""COMPUTED_VALUE"""),"Chicken")</f>
        <v>Chicken</v>
      </c>
      <c r="D1781" s="73" t="str">
        <f>IFERROR(__xludf.DUMMYFUNCTION("""COMPUTED_VALUE"""),"Ocelots")</f>
        <v>Ocelots</v>
      </c>
      <c r="E1781" s="82">
        <f>IFERROR(__xludf.DUMMYFUNCTION("""COMPUTED_VALUE"""),34.0)</f>
        <v>34</v>
      </c>
      <c r="F1781" s="82">
        <f>IFERROR(__xludf.DUMMYFUNCTION("""COMPUTED_VALUE"""),21.0)</f>
        <v>21</v>
      </c>
      <c r="G1781" s="86">
        <f>IFERROR(__xludf.DUMMYFUNCTION("""COMPUTED_VALUE"""),13.0)</f>
        <v>13</v>
      </c>
      <c r="H1781" s="86">
        <f>IFERROR(__xludf.DUMMYFUNCTION("""COMPUTED_VALUE"""),0.6176470588235294)</f>
        <v>0.6176470588</v>
      </c>
      <c r="I1781" s="86">
        <f>IFERROR(__xludf.DUMMYFUNCTION("""COMPUTED_VALUE"""),0.32467532467532473)</f>
        <v>0.3246753247</v>
      </c>
      <c r="J1781" s="82">
        <f>IFERROR(__xludf.DUMMYFUNCTION("""COMPUTED_VALUE"""),339.8529411764706)</f>
        <v>339.8529412</v>
      </c>
      <c r="K1781" s="82">
        <f>IFERROR(__xludf.DUMMYFUNCTION("""COMPUTED_VALUE"""),0.7352941176470589)</f>
        <v>0.7352941176</v>
      </c>
      <c r="L1781" s="82">
        <f>IFERROR(__xludf.DUMMYFUNCTION("""COMPUTED_VALUE"""),0.4411764705882353)</f>
        <v>0.4411764706</v>
      </c>
      <c r="M1781" s="82">
        <f>IFERROR(__xludf.DUMMYFUNCTION("""COMPUTED_VALUE"""),1.4411764705882353)</f>
        <v>1.441176471</v>
      </c>
      <c r="N1781" s="82">
        <f>IFERROR(__xludf.DUMMYFUNCTION("""COMPUTED_VALUE"""),2.264705882352941)</f>
        <v>2.264705882</v>
      </c>
      <c r="O1781" s="82">
        <f>IFERROR(__xludf.DUMMYFUNCTION("""COMPUTED_VALUE"""),317.33333333333337)</f>
        <v>317.3333333</v>
      </c>
      <c r="P1781" s="82">
        <f>IFERROR(__xludf.DUMMYFUNCTION("""COMPUTED_VALUE"""),0.588235294117647)</f>
        <v>0.5882352941</v>
      </c>
      <c r="Q1781" s="82">
        <f>IFERROR(__xludf.DUMMYFUNCTION("""COMPUTED_VALUE"""),0.3529411764705883)</f>
        <v>0.3529411765</v>
      </c>
      <c r="R1781" s="82">
        <f>IFERROR(__xludf.DUMMYFUNCTION("""COMPUTED_VALUE"""),1.3627450980392155)</f>
        <v>1.362745098</v>
      </c>
      <c r="S1781" s="82">
        <f>IFERROR(__xludf.DUMMYFUNCTION("""COMPUTED_VALUE"""),2.2647058823529416)</f>
        <v>2.264705882</v>
      </c>
      <c r="T1781" s="82">
        <f>IFERROR(__xludf.DUMMYFUNCTION("""COMPUTED_VALUE"""),344.24822425259663)</f>
        <v>344.2482243</v>
      </c>
      <c r="U1781" s="82">
        <f>IFERROR(__xludf.DUMMYFUNCTION("""COMPUTED_VALUE"""),0.7549973626342548)</f>
        <v>0.7549973626</v>
      </c>
      <c r="V1781" s="82">
        <f>IFERROR(__xludf.DUMMYFUNCTION("""COMPUTED_VALUE"""),0.5133690839835829)</f>
        <v>0.513369084</v>
      </c>
      <c r="W1781" s="82">
        <f>IFERROR(__xludf.DUMMYFUNCTION("""COMPUTED_VALUE"""),1.357151132860156)</f>
        <v>1.357151133</v>
      </c>
      <c r="X1781" s="82">
        <f>IFERROR(__xludf.DUMMYFUNCTION("""COMPUTED_VALUE"""),2.588530129311655)</f>
        <v>2.588530129</v>
      </c>
      <c r="Y1781" s="82">
        <f>IFERROR(__xludf.DUMMYFUNCTION("""COMPUTED_VALUE"""),348.4687680044662)</f>
        <v>348.468768</v>
      </c>
      <c r="Z1781" s="82">
        <f>IFERROR(__xludf.DUMMYFUNCTION("""COMPUTED_VALUE"""),0.7716920084748399)</f>
        <v>0.7716920085</v>
      </c>
      <c r="AA1781" s="82">
        <f>IFERROR(__xludf.DUMMYFUNCTION("""COMPUTED_VALUE"""),0.5636321625747879)</f>
        <v>0.5636321626</v>
      </c>
      <c r="AB1781" s="82">
        <f>IFERROR(__xludf.DUMMYFUNCTION("""COMPUTED_VALUE"""),1.363547303956654)</f>
        <v>1.363547304</v>
      </c>
      <c r="AC1781" s="82">
        <f>IFERROR(__xludf.DUMMYFUNCTION("""COMPUTED_VALUE"""),2.5840177225948096)</f>
        <v>2.584017723</v>
      </c>
      <c r="AD1781" s="82">
        <f>IFERROR(__xludf.DUMMYFUNCTION("""COMPUTED_VALUE"""),0.9752751821136373)</f>
        <v>0.9752751821</v>
      </c>
      <c r="AE1781" s="82">
        <f>IFERROR(__xludf.DUMMYFUNCTION("""COMPUTED_VALUE"""),0.9528336558781823)</f>
        <v>0.9528336559</v>
      </c>
      <c r="AF1781" s="82">
        <f>IFERROR(__xludf.DUMMYFUNCTION("""COMPUTED_VALUE"""),0.7827382819547597)</f>
        <v>0.782738282</v>
      </c>
      <c r="AG1781" s="82">
        <f>IFERROR(__xludf.DUMMYFUNCTION("""COMPUTED_VALUE"""),1.0569317737685535)</f>
        <v>1.056931774</v>
      </c>
      <c r="AH1781" s="82">
        <f>IFERROR(__xludf.DUMMYFUNCTION("""COMPUTED_VALUE"""),0.8764281539364897)</f>
        <v>0.8764281539</v>
      </c>
      <c r="AI1781" s="82">
        <f>IFERROR(__xludf.DUMMYFUNCTION("""COMPUTED_VALUE"""),0.9218154545961751)</f>
        <v>0.9218154546</v>
      </c>
      <c r="AJ1781" s="82">
        <f>IFERROR(__xludf.DUMMYFUNCTION("""COMPUTED_VALUE"""),0.7791223164876236)</f>
        <v>0.7791223165</v>
      </c>
      <c r="AK1781" s="82">
        <f>IFERROR(__xludf.DUMMYFUNCTION("""COMPUTED_VALUE"""),0.6874998660454493)</f>
        <v>0.687499866</v>
      </c>
      <c r="AL1781" s="82">
        <f>IFERROR(__xludf.DUMMYFUNCTION("""COMPUTED_VALUE"""),1.0041218439447275)</f>
        <v>1.004121844</v>
      </c>
      <c r="AM1781" s="82">
        <f>IFERROR(__xludf.DUMMYFUNCTION("""COMPUTED_VALUE"""),0.8749003369550018)</f>
        <v>0.874900337</v>
      </c>
      <c r="AN1781" s="82">
        <f>IFERROR(__xludf.DUMMYFUNCTION("""COMPUTED_VALUE"""),1.002289004738538)</f>
        <v>1.002289005</v>
      </c>
      <c r="AO1781" s="82">
        <f>IFERROR(__xludf.DUMMYFUNCTION("""COMPUTED_VALUE"""),0.9886440710529175)</f>
        <v>0.9886440711</v>
      </c>
      <c r="AP1781" s="82">
        <f>IFERROR(__xludf.DUMMYFUNCTION("""COMPUTED_VALUE"""),0.8083143076071518)</f>
        <v>0.8083143076</v>
      </c>
      <c r="AQ1781" s="82">
        <f>IFERROR(__xludf.DUMMYFUNCTION("""COMPUTED_VALUE"""),1.1019444510132528)</f>
        <v>1.101944451</v>
      </c>
      <c r="AR1781" s="82">
        <f>IFERROR(__xludf.DUMMYFUNCTION("""COMPUTED_VALUE"""),0.9052672433390068)</f>
        <v>0.9052672433</v>
      </c>
      <c r="AS1781" s="82">
        <f>IFERROR(__xludf.DUMMYFUNCTION("""COMPUTED_VALUE"""),79.0)</f>
        <v>79</v>
      </c>
      <c r="AT1781" s="82">
        <f>IFERROR(__xludf.DUMMYFUNCTION("""COMPUTED_VALUE"""),0.6015922149719143)</f>
        <v>0.601592215</v>
      </c>
      <c r="AU1781" s="82">
        <f>IFERROR(__xludf.DUMMYFUNCTION("""COMPUTED_VALUE"""),2.514221567483093)</f>
        <v>2.514221567</v>
      </c>
      <c r="AV1781" s="82">
        <f>IFERROR(__xludf.DUMMYFUNCTION("""COMPUTED_VALUE"""),51.16981340143945)</f>
        <v>51.1698134</v>
      </c>
      <c r="AW1781" s="82">
        <f t="shared" si="1"/>
        <v>2.077536621</v>
      </c>
      <c r="AX1781" s="83">
        <f t="array" ref="AX1781">IFERROR(DGET('SBV Import'!A:G,"SBV",{"RSC ID","Tier";B1781,A1781}))</f>
        <v>45.51938527</v>
      </c>
      <c r="AY1781" s="82">
        <f t="shared" si="2"/>
        <v>-2.331650853</v>
      </c>
      <c r="AZ1781" s="82">
        <v>4.409187474701591</v>
      </c>
      <c r="BA1781" s="84">
        <v>1700.0</v>
      </c>
      <c r="BB1781" s="84" t="b">
        <f>IFERROR(__xludf.DUMMYFUNCTION("iferror(if(A1781="""",,E1781&gt;=FILTER(Constants!$F$2:$F$10,Constants!$A$2:$A$10=A1781)))"),TRUE)</f>
        <v>1</v>
      </c>
    </row>
    <row r="1782">
      <c r="A1782" s="89" t="str">
        <f>IFERROR(__xludf.DUMMYFUNCTION("""COMPUTED_VALUE"""),"Rival")</f>
        <v>Rival</v>
      </c>
      <c r="B1782" s="87" t="str">
        <f>IFERROR(__xludf.DUMMYFUNCTION("""COMPUTED_VALUE"""),"RSC006528")</f>
        <v>RSC006528</v>
      </c>
      <c r="C1782" s="73" t="str">
        <f>IFERROR(__xludf.DUMMYFUNCTION("""COMPUTED_VALUE"""),"mxWEBBY")</f>
        <v>mxWEBBY</v>
      </c>
      <c r="D1782" s="73" t="str">
        <f>IFERROR(__xludf.DUMMYFUNCTION("""COMPUTED_VALUE"""),"Lacuna")</f>
        <v>Lacuna</v>
      </c>
      <c r="E1782" s="82">
        <f>IFERROR(__xludf.DUMMYFUNCTION("""COMPUTED_VALUE"""),48.0)</f>
        <v>48</v>
      </c>
      <c r="F1782" s="82">
        <f>IFERROR(__xludf.DUMMYFUNCTION("""COMPUTED_VALUE"""),19.0)</f>
        <v>19</v>
      </c>
      <c r="G1782" s="86">
        <f>IFERROR(__xludf.DUMMYFUNCTION("""COMPUTED_VALUE"""),29.0)</f>
        <v>29</v>
      </c>
      <c r="H1782" s="86">
        <f>IFERROR(__xludf.DUMMYFUNCTION("""COMPUTED_VALUE"""),0.3958333333333333)</f>
        <v>0.3958333333</v>
      </c>
      <c r="I1782" s="86">
        <f>IFERROR(__xludf.DUMMYFUNCTION("""COMPUTED_VALUE"""),0.24193548387096772)</f>
        <v>0.2419354839</v>
      </c>
      <c r="J1782" s="82">
        <f>IFERROR(__xludf.DUMMYFUNCTION("""COMPUTED_VALUE"""),372.3541666666667)</f>
        <v>372.3541667</v>
      </c>
      <c r="K1782" s="82">
        <f>IFERROR(__xludf.DUMMYFUNCTION("""COMPUTED_VALUE"""),0.625)</f>
        <v>0.625</v>
      </c>
      <c r="L1782" s="82">
        <f>IFERROR(__xludf.DUMMYFUNCTION("""COMPUTED_VALUE"""),0.5625)</f>
        <v>0.5625</v>
      </c>
      <c r="M1782" s="82">
        <f>IFERROR(__xludf.DUMMYFUNCTION("""COMPUTED_VALUE"""),1.6041666666666667)</f>
        <v>1.604166667</v>
      </c>
      <c r="N1782" s="82">
        <f>IFERROR(__xludf.DUMMYFUNCTION("""COMPUTED_VALUE"""),2.5833333333333335)</f>
        <v>2.583333333</v>
      </c>
      <c r="O1782" s="82">
        <f>IFERROR(__xludf.DUMMYFUNCTION("""COMPUTED_VALUE"""),335.77777777777777)</f>
        <v>335.7777778</v>
      </c>
      <c r="P1782" s="82">
        <f>IFERROR(__xludf.DUMMYFUNCTION("""COMPUTED_VALUE"""),0.7638888888888888)</f>
        <v>0.7638888889</v>
      </c>
      <c r="Q1782" s="82">
        <f>IFERROR(__xludf.DUMMYFUNCTION("""COMPUTED_VALUE"""),0.5833333333333331)</f>
        <v>0.5833333333</v>
      </c>
      <c r="R1782" s="82">
        <f>IFERROR(__xludf.DUMMYFUNCTION("""COMPUTED_VALUE"""),1.2222222222222225)</f>
        <v>1.222222222</v>
      </c>
      <c r="S1782" s="82">
        <f>IFERROR(__xludf.DUMMYFUNCTION("""COMPUTED_VALUE"""),2.6041666666666665)</f>
        <v>2.604166667</v>
      </c>
      <c r="T1782" s="82">
        <f>IFERROR(__xludf.DUMMYFUNCTION("""COMPUTED_VALUE"""),352.7996067528216)</f>
        <v>352.7996068</v>
      </c>
      <c r="U1782" s="82">
        <f>IFERROR(__xludf.DUMMYFUNCTION("""COMPUTED_VALUE"""),0.8044177616497582)</f>
        <v>0.8044177616</v>
      </c>
      <c r="V1782" s="82">
        <f>IFERROR(__xludf.DUMMYFUNCTION("""COMPUTED_VALUE"""),0.5825413864807224)</f>
        <v>0.5825413865</v>
      </c>
      <c r="W1782" s="82">
        <f>IFERROR(__xludf.DUMMYFUNCTION("""COMPUTED_VALUE"""),1.3292312420956205)</f>
        <v>1.329231242</v>
      </c>
      <c r="X1782" s="82">
        <f>IFERROR(__xludf.DUMMYFUNCTION("""COMPUTED_VALUE"""),2.626399545194824)</f>
        <v>2.626399545</v>
      </c>
      <c r="Y1782" s="82">
        <f>IFERROR(__xludf.DUMMYFUNCTION("""COMPUTED_VALUE"""),350.2673501180681)</f>
        <v>350.2673501</v>
      </c>
      <c r="Z1782" s="82">
        <f>IFERROR(__xludf.DUMMYFUNCTION("""COMPUTED_VALUE"""),0.7781969972848729)</f>
        <v>0.7781969973</v>
      </c>
      <c r="AA1782" s="82">
        <f>IFERROR(__xludf.DUMMYFUNCTION("""COMPUTED_VALUE"""),0.5598196849336091)</f>
        <v>0.5598196849</v>
      </c>
      <c r="AB1782" s="82">
        <f>IFERROR(__xludf.DUMMYFUNCTION("""COMPUTED_VALUE"""),1.3580003926905648)</f>
        <v>1.358000393</v>
      </c>
      <c r="AC1782" s="82">
        <f>IFERROR(__xludf.DUMMYFUNCTION("""COMPUTED_VALUE"""),2.5810586537896265)</f>
        <v>2.581058654</v>
      </c>
      <c r="AD1782" s="82">
        <f>IFERROR(__xludf.DUMMYFUNCTION("""COMPUTED_VALUE"""),1.063057023559728)</f>
        <v>1.063057024</v>
      </c>
      <c r="AE1782" s="82">
        <f>IFERROR(__xludf.DUMMYFUNCTION("""COMPUTED_VALUE"""),0.8031385397021875)</f>
        <v>0.8031385397</v>
      </c>
      <c r="AF1782" s="82">
        <f>IFERROR(__xludf.DUMMYFUNCTION("""COMPUTED_VALUE"""),1.0047878185396584)</f>
        <v>1.004787819</v>
      </c>
      <c r="AG1782" s="82">
        <f>IFERROR(__xludf.DUMMYFUNCTION("""COMPUTED_VALUE"""),1.1812711360770523)</f>
        <v>1.181271136</v>
      </c>
      <c r="AH1782" s="82">
        <f>IFERROR(__xludf.DUMMYFUNCTION("""COMPUTED_VALUE"""),1.0008812971144097)</f>
        <v>1.000881297</v>
      </c>
      <c r="AI1782" s="82">
        <f>IFERROR(__xludf.DUMMYFUNCTION("""COMPUTED_VALUE"""),0.9517521316655841)</f>
        <v>0.9517521317</v>
      </c>
      <c r="AJ1782" s="82">
        <f>IFERROR(__xludf.DUMMYFUNCTION("""COMPUTED_VALUE"""),0.9496171334186483)</f>
        <v>0.9496171334</v>
      </c>
      <c r="AK1782" s="82">
        <f>IFERROR(__xludf.DUMMYFUNCTION("""COMPUTED_VALUE"""),1.0013594688222842)</f>
        <v>1.001359469</v>
      </c>
      <c r="AL1782" s="82">
        <f>IFERROR(__xludf.DUMMYFUNCTION("""COMPUTED_VALUE"""),0.9194955576693403)</f>
        <v>0.9194955577</v>
      </c>
      <c r="AM1782" s="82">
        <f>IFERROR(__xludf.DUMMYFUNCTION("""COMPUTED_VALUE"""),0.9915348452717965)</f>
        <v>0.9915348453</v>
      </c>
      <c r="AN1782" s="82">
        <f>IFERROR(__xludf.DUMMYFUNCTION("""COMPUTED_VALUE"""),1.0981411131139553)</f>
        <v>1.098141113</v>
      </c>
      <c r="AO1782" s="82">
        <f>IFERROR(__xludf.DUMMYFUNCTION("""COMPUTED_VALUE"""),0.8403474603949798)</f>
        <v>0.8403474604</v>
      </c>
      <c r="AP1782" s="82">
        <f>IFERROR(__xludf.DUMMYFUNCTION("""COMPUTED_VALUE"""),1.0306007421991186)</f>
        <v>1.030600742</v>
      </c>
      <c r="AQ1782" s="82">
        <f>IFERROR(__xludf.DUMMYFUNCTION("""COMPUTED_VALUE"""),1.226569121068323)</f>
        <v>1.226569121</v>
      </c>
      <c r="AR1782" s="82">
        <f>IFERROR(__xludf.DUMMYFUNCTION("""COMPUTED_VALUE"""),1.032631682336919)</f>
        <v>1.032631682</v>
      </c>
      <c r="AS1782" s="82">
        <f>IFERROR(__xludf.DUMMYFUNCTION("""COMPUTED_VALUE"""),95.0)</f>
        <v>95</v>
      </c>
      <c r="AT1782" s="82">
        <f>IFERROR(__xludf.DUMMYFUNCTION("""COMPUTED_VALUE"""),0.44463226802982553)</f>
        <v>0.444632268</v>
      </c>
      <c r="AU1782" s="82">
        <f>IFERROR(__xludf.DUMMYFUNCTION("""COMPUTED_VALUE"""),2.5124834645005385)</f>
        <v>2.512483465</v>
      </c>
      <c r="AV1782" s="82">
        <f>IFERROR(__xludf.DUMMYFUNCTION("""COMPUTED_VALUE"""),51.12005155665182)</f>
        <v>51.12005156</v>
      </c>
      <c r="AW1782" s="82">
        <f t="shared" si="1"/>
        <v>2.074118454</v>
      </c>
      <c r="AX1782" s="83">
        <f t="array" ref="AX1782">IFERROR(DGET('SBV Import'!A:G,"SBV",{"RSC ID","Tier";B1782,A1782}))</f>
        <v>58.22791124</v>
      </c>
      <c r="AY1782" s="82">
        <f t="shared" si="2"/>
        <v>2.695171987</v>
      </c>
      <c r="AZ1782" s="82">
        <v>0.6210535329501492</v>
      </c>
      <c r="BA1782" s="84">
        <v>1700.0</v>
      </c>
      <c r="BB1782" s="84" t="b">
        <f>IFERROR(__xludf.DUMMYFUNCTION("iferror(if(A1782="""",,E1782&gt;=FILTER(Constants!$F$2:$F$10,Constants!$A$2:$A$10=A1782)))"),TRUE)</f>
        <v>1</v>
      </c>
    </row>
    <row r="1783">
      <c r="A1783" s="89" t="str">
        <f>IFERROR(__xludf.DUMMYFUNCTION("""COMPUTED_VALUE"""),"Rival")</f>
        <v>Rival</v>
      </c>
      <c r="B1783" s="87" t="str">
        <f>IFERROR(__xludf.DUMMYFUNCTION("""COMPUTED_VALUE"""),"RSC007618")</f>
        <v>RSC007618</v>
      </c>
      <c r="C1783" s="73" t="str">
        <f>IFERROR(__xludf.DUMMYFUNCTION("""COMPUTED_VALUE"""),"Robbie")</f>
        <v>Robbie</v>
      </c>
      <c r="D1783" s="73" t="str">
        <f>IFERROR(__xludf.DUMMYFUNCTION("""COMPUTED_VALUE"""),"Mining Legion")</f>
        <v>Mining Legion</v>
      </c>
      <c r="E1783" s="82">
        <f>IFERROR(__xludf.DUMMYFUNCTION("""COMPUTED_VALUE"""),44.0)</f>
        <v>44</v>
      </c>
      <c r="F1783" s="82">
        <f>IFERROR(__xludf.DUMMYFUNCTION("""COMPUTED_VALUE"""),29.0)</f>
        <v>29</v>
      </c>
      <c r="G1783" s="86">
        <f>IFERROR(__xludf.DUMMYFUNCTION("""COMPUTED_VALUE"""),15.0)</f>
        <v>15</v>
      </c>
      <c r="H1783" s="86">
        <f>IFERROR(__xludf.DUMMYFUNCTION("""COMPUTED_VALUE"""),0.6590909090909091)</f>
        <v>0.6590909091</v>
      </c>
      <c r="I1783" s="86">
        <f>IFERROR(__xludf.DUMMYFUNCTION("""COMPUTED_VALUE"""),0.3297872340425532)</f>
        <v>0.329787234</v>
      </c>
      <c r="J1783" s="82">
        <f>IFERROR(__xludf.DUMMYFUNCTION("""COMPUTED_VALUE"""),312.97727272727275)</f>
        <v>312.9772727</v>
      </c>
      <c r="K1783" s="82">
        <f>IFERROR(__xludf.DUMMYFUNCTION("""COMPUTED_VALUE"""),0.7045454545454546)</f>
        <v>0.7045454545</v>
      </c>
      <c r="L1783" s="82">
        <f>IFERROR(__xludf.DUMMYFUNCTION("""COMPUTED_VALUE"""),0.6363636363636364)</f>
        <v>0.6363636364</v>
      </c>
      <c r="M1783" s="82">
        <f>IFERROR(__xludf.DUMMYFUNCTION("""COMPUTED_VALUE"""),1.1136363636363635)</f>
        <v>1.113636364</v>
      </c>
      <c r="N1783" s="82">
        <f>IFERROR(__xludf.DUMMYFUNCTION("""COMPUTED_VALUE"""),2.1363636363636362)</f>
        <v>2.136363636</v>
      </c>
      <c r="O1783" s="82">
        <f>IFERROR(__xludf.DUMMYFUNCTION("""COMPUTED_VALUE"""),324.4621212121212)</f>
        <v>324.4621212</v>
      </c>
      <c r="P1783" s="82">
        <f>IFERROR(__xludf.DUMMYFUNCTION("""COMPUTED_VALUE"""),0.643939393939394)</f>
        <v>0.6439393939</v>
      </c>
      <c r="Q1783" s="82">
        <f>IFERROR(__xludf.DUMMYFUNCTION("""COMPUTED_VALUE"""),0.446969696969697)</f>
        <v>0.446969697</v>
      </c>
      <c r="R1783" s="82">
        <f>IFERROR(__xludf.DUMMYFUNCTION("""COMPUTED_VALUE"""),1.3939393939393938)</f>
        <v>1.393939394</v>
      </c>
      <c r="S1783" s="82">
        <f>IFERROR(__xludf.DUMMYFUNCTION("""COMPUTED_VALUE"""),2.181818181818182)</f>
        <v>2.181818182</v>
      </c>
      <c r="T1783" s="82">
        <f>IFERROR(__xludf.DUMMYFUNCTION("""COMPUTED_VALUE"""),340.8451646696961)</f>
        <v>340.8451647</v>
      </c>
      <c r="U1783" s="82">
        <f>IFERROR(__xludf.DUMMYFUNCTION("""COMPUTED_VALUE"""),0.7535943921635435)</f>
        <v>0.7535943922</v>
      </c>
      <c r="V1783" s="82">
        <f>IFERROR(__xludf.DUMMYFUNCTION("""COMPUTED_VALUE"""),0.5286749498883718)</f>
        <v>0.5286749499</v>
      </c>
      <c r="W1783" s="82">
        <f>IFERROR(__xludf.DUMMYFUNCTION("""COMPUTED_VALUE"""),1.2864623037946017)</f>
        <v>1.286462304</v>
      </c>
      <c r="X1783" s="82">
        <f>IFERROR(__xludf.DUMMYFUNCTION("""COMPUTED_VALUE"""),2.472978018624929)</f>
        <v>2.472978019</v>
      </c>
      <c r="Y1783" s="82">
        <f>IFERROR(__xludf.DUMMYFUNCTION("""COMPUTED_VALUE"""),346.78795280618056)</f>
        <v>346.7879528</v>
      </c>
      <c r="Z1783" s="82">
        <f>IFERROR(__xludf.DUMMYFUNCTION("""COMPUTED_VALUE"""),0.7995697866141994)</f>
        <v>0.7995697866</v>
      </c>
      <c r="AA1783" s="82">
        <f>IFERROR(__xludf.DUMMYFUNCTION("""COMPUTED_VALUE"""),0.5681414716227692)</f>
        <v>0.5681414716</v>
      </c>
      <c r="AB1783" s="82">
        <f>IFERROR(__xludf.DUMMYFUNCTION("""COMPUTED_VALUE"""),1.2716814253971005)</f>
        <v>1.271681425</v>
      </c>
      <c r="AC1783" s="82">
        <f>IFERROR(__xludf.DUMMYFUNCTION("""COMPUTED_VALUE"""),2.549005189462058)</f>
        <v>2.549005189</v>
      </c>
      <c r="AD1783" s="82">
        <f>IFERROR(__xludf.DUMMYFUNCTION("""COMPUTED_VALUE"""),0.9025033026513336)</f>
        <v>0.9025033027</v>
      </c>
      <c r="AE1783" s="82">
        <f>IFERROR(__xludf.DUMMYFUNCTION("""COMPUTED_VALUE"""),0.8811556743894389)</f>
        <v>0.8811556744</v>
      </c>
      <c r="AF1783" s="82">
        <f>IFERROR(__xludf.DUMMYFUNCTION("""COMPUTED_VALUE"""),1.1200795367851)</f>
        <v>1.120079537</v>
      </c>
      <c r="AG1783" s="82">
        <f>IFERROR(__xludf.DUMMYFUNCTION("""COMPUTED_VALUE"""),0.8757196113709177)</f>
        <v>0.8757196114</v>
      </c>
      <c r="AH1783" s="82">
        <f>IFERROR(__xludf.DUMMYFUNCTION("""COMPUTED_VALUE"""),0.8381166288698276)</f>
        <v>0.8381166289</v>
      </c>
      <c r="AI1783" s="82">
        <f>IFERROR(__xludf.DUMMYFUNCTION("""COMPUTED_VALUE"""),0.9519340593449485)</f>
        <v>0.9519340593</v>
      </c>
      <c r="AJ1783" s="82">
        <f>IFERROR(__xludf.DUMMYFUNCTION("""COMPUTED_VALUE"""),0.854490692387806)</f>
        <v>0.8544906924</v>
      </c>
      <c r="AK1783" s="82">
        <f>IFERROR(__xludf.DUMMYFUNCTION("""COMPUTED_VALUE"""),0.845452762730811)</f>
        <v>0.8454527627</v>
      </c>
      <c r="AL1783" s="82">
        <f>IFERROR(__xludf.DUMMYFUNCTION("""COMPUTED_VALUE"""),1.08354468671781)</f>
        <v>1.083544687</v>
      </c>
      <c r="AM1783" s="82">
        <f>IFERROR(__xludf.DUMMYFUNCTION("""COMPUTED_VALUE"""),0.882263475609604)</f>
        <v>0.8822634756</v>
      </c>
      <c r="AN1783" s="82">
        <f>IFERROR(__xludf.DUMMYFUNCTION("""COMPUTED_VALUE"""),0.9230277016337867)</f>
        <v>0.9230277016</v>
      </c>
      <c r="AO1783" s="82">
        <f>IFERROR(__xludf.DUMMYFUNCTION("""COMPUTED_VALUE"""),0.9473007735361592)</f>
        <v>0.9473007735</v>
      </c>
      <c r="AP1783" s="82">
        <f>IFERROR(__xludf.DUMMYFUNCTION("""COMPUTED_VALUE"""),1.165932152790922)</f>
        <v>1.165932153</v>
      </c>
      <c r="AQ1783" s="82">
        <f>IFERROR(__xludf.DUMMYFUNCTION("""COMPUTED_VALUE"""),0.8515025303284225)</f>
        <v>0.8515025303</v>
      </c>
      <c r="AR1783" s="82">
        <f>IFERROR(__xludf.DUMMYFUNCTION("""COMPUTED_VALUE"""),0.8539652035748126)</f>
        <v>0.8539652036</v>
      </c>
      <c r="AS1783" s="82">
        <f>IFERROR(__xludf.DUMMYFUNCTION("""COMPUTED_VALUE"""),124.0)</f>
        <v>124</v>
      </c>
      <c r="AT1783" s="82">
        <f>IFERROR(__xludf.DUMMYFUNCTION("""COMPUTED_VALUE"""),0.6434979560498437)</f>
        <v>0.643497956</v>
      </c>
      <c r="AU1783" s="82">
        <f>IFERROR(__xludf.DUMMYFUNCTION("""COMPUTED_VALUE"""),2.505856765336726)</f>
        <v>2.505856765</v>
      </c>
      <c r="AV1783" s="82">
        <f>IFERROR(__xludf.DUMMYFUNCTION("""COMPUTED_VALUE"""),50.930329325832524)</f>
        <v>50.93032933</v>
      </c>
      <c r="AW1783" s="82">
        <f t="shared" si="1"/>
        <v>2.061186241</v>
      </c>
      <c r="AX1783" s="83">
        <f t="array" ref="AX1783">IFERROR(DGET('SBV Import'!A:G,"SBV",{"RSC ID","Tier";B1783,A1783}))</f>
        <v>41.41558429</v>
      </c>
      <c r="AY1783" s="82">
        <f t="shared" si="2"/>
        <v>-2.734799119</v>
      </c>
      <c r="AZ1783" s="82">
        <v>4.795985359650176</v>
      </c>
      <c r="BA1783" s="84">
        <v>1700.0</v>
      </c>
      <c r="BB1783" s="84" t="b">
        <f>IFERROR(__xludf.DUMMYFUNCTION("iferror(if(A1783="""",,E1783&gt;=FILTER(Constants!$F$2:$F$10,Constants!$A$2:$A$10=A1783)))"),TRUE)</f>
        <v>1</v>
      </c>
    </row>
    <row r="1784">
      <c r="A1784" s="89" t="str">
        <f>IFERROR(__xludf.DUMMYFUNCTION("""COMPUTED_VALUE"""),"Rival")</f>
        <v>Rival</v>
      </c>
      <c r="B1784" s="87" t="str">
        <f>IFERROR(__xludf.DUMMYFUNCTION("""COMPUTED_VALUE"""),"RSC005978")</f>
        <v>RSC005978</v>
      </c>
      <c r="C1784" s="73" t="str">
        <f>IFERROR(__xludf.DUMMYFUNCTION("""COMPUTED_VALUE"""),"xDraco0")</f>
        <v>xDraco0</v>
      </c>
      <c r="D1784" s="73" t="str">
        <f>IFERROR(__xludf.DUMMYFUNCTION("""COMPUTED_VALUE"""),"Funk Hunks")</f>
        <v>Funk Hunks</v>
      </c>
      <c r="E1784" s="82">
        <f>IFERROR(__xludf.DUMMYFUNCTION("""COMPUTED_VALUE"""),17.0)</f>
        <v>17</v>
      </c>
      <c r="F1784" s="82">
        <f>IFERROR(__xludf.DUMMYFUNCTION("""COMPUTED_VALUE"""),7.0)</f>
        <v>7</v>
      </c>
      <c r="G1784" s="86">
        <f>IFERROR(__xludf.DUMMYFUNCTION("""COMPUTED_VALUE"""),10.0)</f>
        <v>10</v>
      </c>
      <c r="H1784" s="86">
        <f>IFERROR(__xludf.DUMMYFUNCTION("""COMPUTED_VALUE"""),0.4117647058823529)</f>
        <v>0.4117647059</v>
      </c>
      <c r="I1784" s="86">
        <f>IFERROR(__xludf.DUMMYFUNCTION("""COMPUTED_VALUE"""),0.3421052631578947)</f>
        <v>0.3421052632</v>
      </c>
      <c r="J1784" s="82">
        <f>IFERROR(__xludf.DUMMYFUNCTION("""COMPUTED_VALUE"""),343.11764705882354)</f>
        <v>343.1176471</v>
      </c>
      <c r="K1784" s="82">
        <f>IFERROR(__xludf.DUMMYFUNCTION("""COMPUTED_VALUE"""),0.7647058823529411)</f>
        <v>0.7647058824</v>
      </c>
      <c r="L1784" s="82">
        <f>IFERROR(__xludf.DUMMYFUNCTION("""COMPUTED_VALUE"""),0.7647058823529411)</f>
        <v>0.7647058824</v>
      </c>
      <c r="M1784" s="82">
        <f>IFERROR(__xludf.DUMMYFUNCTION("""COMPUTED_VALUE"""),1.3529411764705883)</f>
        <v>1.352941176</v>
      </c>
      <c r="N1784" s="82">
        <f>IFERROR(__xludf.DUMMYFUNCTION("""COMPUTED_VALUE"""),2.235294117647059)</f>
        <v>2.235294118</v>
      </c>
      <c r="O1784" s="82">
        <f>IFERROR(__xludf.DUMMYFUNCTION("""COMPUTED_VALUE"""),334.078431372549)</f>
        <v>334.0784314</v>
      </c>
      <c r="P1784" s="82">
        <f>IFERROR(__xludf.DUMMYFUNCTION("""COMPUTED_VALUE"""),0.8823529411764706)</f>
        <v>0.8823529412</v>
      </c>
      <c r="Q1784" s="82">
        <f>IFERROR(__xludf.DUMMYFUNCTION("""COMPUTED_VALUE"""),0.6274509803921569)</f>
        <v>0.6274509804</v>
      </c>
      <c r="R1784" s="82">
        <f>IFERROR(__xludf.DUMMYFUNCTION("""COMPUTED_VALUE"""),0.9803921568627452)</f>
        <v>0.9803921569</v>
      </c>
      <c r="S1784" s="82">
        <f>IFERROR(__xludf.DUMMYFUNCTION("""COMPUTED_VALUE"""),2.686274509803922)</f>
        <v>2.68627451</v>
      </c>
      <c r="T1784" s="82">
        <f>IFERROR(__xludf.DUMMYFUNCTION("""COMPUTED_VALUE"""),345.5286654313679)</f>
        <v>345.5286654</v>
      </c>
      <c r="U1784" s="82">
        <f>IFERROR(__xludf.DUMMYFUNCTION("""COMPUTED_VALUE"""),0.7546754472745217)</f>
        <v>0.7546754473</v>
      </c>
      <c r="V1784" s="82">
        <f>IFERROR(__xludf.DUMMYFUNCTION("""COMPUTED_VALUE"""),0.5810814494795747)</f>
        <v>0.5810814495</v>
      </c>
      <c r="W1784" s="82">
        <f>IFERROR(__xludf.DUMMYFUNCTION("""COMPUTED_VALUE"""),1.3291718015380032)</f>
        <v>1.329171802</v>
      </c>
      <c r="X1784" s="82">
        <f>IFERROR(__xludf.DUMMYFUNCTION("""COMPUTED_VALUE"""),2.5355234905022104)</f>
        <v>2.535523491</v>
      </c>
      <c r="Y1784" s="82">
        <f>IFERROR(__xludf.DUMMYFUNCTION("""COMPUTED_VALUE"""),365.6244754019655)</f>
        <v>365.6244754</v>
      </c>
      <c r="Z1784" s="82">
        <f>IFERROR(__xludf.DUMMYFUNCTION("""COMPUTED_VALUE"""),0.9030396251943567)</f>
        <v>0.9030396252</v>
      </c>
      <c r="AA1784" s="82">
        <f>IFERROR(__xludf.DUMMYFUNCTION("""COMPUTED_VALUE"""),0.6356011142300858)</f>
        <v>0.6356011142</v>
      </c>
      <c r="AB1784" s="82">
        <f>IFERROR(__xludf.DUMMYFUNCTION("""COMPUTED_VALUE"""),1.3066060883150732)</f>
        <v>1.306606088</v>
      </c>
      <c r="AC1784" s="82">
        <f>IFERROR(__xludf.DUMMYFUNCTION("""COMPUTED_VALUE"""),2.6917899299407204)</f>
        <v>2.69178993</v>
      </c>
      <c r="AD1784" s="82">
        <f>IFERROR(__xludf.DUMMYFUNCTION("""COMPUTED_VALUE"""),0.9384427743290487)</f>
        <v>0.9384427743</v>
      </c>
      <c r="AE1784" s="82">
        <f>IFERROR(__xludf.DUMMYFUNCTION("""COMPUTED_VALUE"""),0.8468132084329714)</f>
        <v>0.8468132084</v>
      </c>
      <c r="AF1784" s="82">
        <f>IFERROR(__xludf.DUMMYFUNCTION("""COMPUTED_VALUE"""),1.203122312457306)</f>
        <v>1.203122312</v>
      </c>
      <c r="AG1784" s="82">
        <f>IFERROR(__xludf.DUMMYFUNCTION("""COMPUTED_VALUE"""),1.0354621707107352)</f>
        <v>1.035462171</v>
      </c>
      <c r="AH1784" s="82">
        <f>IFERROR(__xludf.DUMMYFUNCTION("""COMPUTED_VALUE"""),0.8304117987752058)</f>
        <v>0.8304117988</v>
      </c>
      <c r="AI1784" s="82">
        <f>IFERROR(__xludf.DUMMYFUNCTION("""COMPUTED_VALUE"""),0.9668616957017904)</f>
        <v>0.9668616957</v>
      </c>
      <c r="AJ1784" s="82">
        <f>IFERROR(__xludf.DUMMYFUNCTION("""COMPUTED_VALUE"""),1.169181989904469)</f>
        <v>1.16918199</v>
      </c>
      <c r="AK1784" s="82">
        <f>IFERROR(__xludf.DUMMYFUNCTION("""COMPUTED_VALUE"""),1.0797986770255896)</f>
        <v>1.079798677</v>
      </c>
      <c r="AL1784" s="82">
        <f>IFERROR(__xludf.DUMMYFUNCTION("""COMPUTED_VALUE"""),0.7375962653799304)</f>
        <v>0.7375962654</v>
      </c>
      <c r="AM1784" s="82">
        <f>IFERROR(__xludf.DUMMYFUNCTION("""COMPUTED_VALUE"""),1.0594555798305194)</f>
        <v>1.05945558</v>
      </c>
      <c r="AN1784" s="82">
        <f>IFERROR(__xludf.DUMMYFUNCTION("""COMPUTED_VALUE"""),1.0119172245157753)</f>
        <v>1.011917225</v>
      </c>
      <c r="AO1784" s="82">
        <f>IFERROR(__xludf.DUMMYFUNCTION("""COMPUTED_VALUE"""),1.028189833895034)</f>
        <v>1.028189834</v>
      </c>
      <c r="AP1784" s="82">
        <f>IFERROR(__xludf.DUMMYFUNCTION("""COMPUTED_VALUE"""),1.4010781331857298)</f>
        <v>1.401078133</v>
      </c>
      <c r="AQ1784" s="82">
        <f>IFERROR(__xludf.DUMMYFUNCTION("""COMPUTED_VALUE"""),1.034478464216523)</f>
        <v>1.034478464</v>
      </c>
      <c r="AR1784" s="82">
        <f>IFERROR(__xludf.DUMMYFUNCTION("""COMPUTED_VALUE"""),0.8935105258930456)</f>
        <v>0.8935105259</v>
      </c>
      <c r="AS1784" s="82">
        <f>IFERROR(__xludf.DUMMYFUNCTION("""COMPUTED_VALUE"""),41.0)</f>
        <v>41</v>
      </c>
      <c r="AT1784" s="82">
        <f>IFERROR(__xludf.DUMMYFUNCTION("""COMPUTED_VALUE"""),0.46300756377370755)</f>
        <v>0.4630075638</v>
      </c>
      <c r="AU1784" s="82">
        <f>IFERROR(__xludf.DUMMYFUNCTION("""COMPUTED_VALUE"""),2.5037922202145344)</f>
        <v>2.50379222</v>
      </c>
      <c r="AV1784" s="82">
        <f>IFERROR(__xludf.DUMMYFUNCTION("""COMPUTED_VALUE"""),50.871221450776375)</f>
        <v>50.87122145</v>
      </c>
      <c r="AW1784" s="82">
        <f t="shared" si="1"/>
        <v>2.057189326</v>
      </c>
      <c r="AX1784" s="83">
        <f t="array" ref="AX1784">IFERROR(DGET('SBV Import'!A:G,"SBV",{"RSC ID","Tier";B1784,A1784}))</f>
        <v>55.98598501</v>
      </c>
      <c r="AY1784" s="82">
        <f t="shared" si="2"/>
        <v>2.466806403</v>
      </c>
      <c r="AZ1784" s="82">
        <v>0.4096170766345222</v>
      </c>
      <c r="BA1784" s="84">
        <v>1700.0</v>
      </c>
      <c r="BB1784" s="84" t="b">
        <f>IFERROR(__xludf.DUMMYFUNCTION("iferror(if(A1784="""",,E1784&gt;=FILTER(Constants!$F$2:$F$10,Constants!$A$2:$A$10=A1784)))"),TRUE)</f>
        <v>1</v>
      </c>
    </row>
    <row r="1785">
      <c r="A1785" s="89" t="str">
        <f>IFERROR(__xludf.DUMMYFUNCTION("""COMPUTED_VALUE"""),"Rival")</f>
        <v>Rival</v>
      </c>
      <c r="B1785" s="87" t="str">
        <f>IFERROR(__xludf.DUMMYFUNCTION("""COMPUTED_VALUE"""),"RSC006935")</f>
        <v>RSC006935</v>
      </c>
      <c r="C1785" s="73" t="str">
        <f>IFERROR(__xludf.DUMMYFUNCTION("""COMPUTED_VALUE"""),"Bazzinga")</f>
        <v>Bazzinga</v>
      </c>
      <c r="D1785" s="73" t="str">
        <f>IFERROR(__xludf.DUMMYFUNCTION("""COMPUTED_VALUE"""),"Lacuna")</f>
        <v>Lacuna</v>
      </c>
      <c r="E1785" s="82">
        <f>IFERROR(__xludf.DUMMYFUNCTION("""COMPUTED_VALUE"""),48.0)</f>
        <v>48</v>
      </c>
      <c r="F1785" s="82">
        <f>IFERROR(__xludf.DUMMYFUNCTION("""COMPUTED_VALUE"""),19.0)</f>
        <v>19</v>
      </c>
      <c r="G1785" s="86">
        <f>IFERROR(__xludf.DUMMYFUNCTION("""COMPUTED_VALUE"""),29.0)</f>
        <v>29</v>
      </c>
      <c r="H1785" s="86">
        <f>IFERROR(__xludf.DUMMYFUNCTION("""COMPUTED_VALUE"""),0.3958333333333333)</f>
        <v>0.3958333333</v>
      </c>
      <c r="I1785" s="86">
        <f>IFERROR(__xludf.DUMMYFUNCTION("""COMPUTED_VALUE"""),0.28125)</f>
        <v>0.28125</v>
      </c>
      <c r="J1785" s="82">
        <f>IFERROR(__xludf.DUMMYFUNCTION("""COMPUTED_VALUE"""),350.0833333333333)</f>
        <v>350.0833333</v>
      </c>
      <c r="K1785" s="82">
        <f>IFERROR(__xludf.DUMMYFUNCTION("""COMPUTED_VALUE"""),0.75)</f>
        <v>0.75</v>
      </c>
      <c r="L1785" s="82">
        <f>IFERROR(__xludf.DUMMYFUNCTION("""COMPUTED_VALUE"""),0.4375)</f>
        <v>0.4375</v>
      </c>
      <c r="M1785" s="82">
        <f>IFERROR(__xludf.DUMMYFUNCTION("""COMPUTED_VALUE"""),1.4583333333333333)</f>
        <v>1.458333333</v>
      </c>
      <c r="N1785" s="82">
        <f>IFERROR(__xludf.DUMMYFUNCTION("""COMPUTED_VALUE"""),2.6666666666666665)</f>
        <v>2.666666667</v>
      </c>
      <c r="O1785" s="82">
        <f>IFERROR(__xludf.DUMMYFUNCTION("""COMPUTED_VALUE"""),335.77777777777777)</f>
        <v>335.7777778</v>
      </c>
      <c r="P1785" s="82">
        <f>IFERROR(__xludf.DUMMYFUNCTION("""COMPUTED_VALUE"""),0.7638888888888888)</f>
        <v>0.7638888889</v>
      </c>
      <c r="Q1785" s="82">
        <f>IFERROR(__xludf.DUMMYFUNCTION("""COMPUTED_VALUE"""),0.5833333333333331)</f>
        <v>0.5833333333</v>
      </c>
      <c r="R1785" s="82">
        <f>IFERROR(__xludf.DUMMYFUNCTION("""COMPUTED_VALUE"""),1.2222222222222225)</f>
        <v>1.222222222</v>
      </c>
      <c r="S1785" s="82">
        <f>IFERROR(__xludf.DUMMYFUNCTION("""COMPUTED_VALUE"""),2.6041666666666665)</f>
        <v>2.604166667</v>
      </c>
      <c r="T1785" s="82">
        <f>IFERROR(__xludf.DUMMYFUNCTION("""COMPUTED_VALUE"""),352.7996067528216)</f>
        <v>352.7996068</v>
      </c>
      <c r="U1785" s="82">
        <f>IFERROR(__xludf.DUMMYFUNCTION("""COMPUTED_VALUE"""),0.8044177616497582)</f>
        <v>0.8044177616</v>
      </c>
      <c r="V1785" s="82">
        <f>IFERROR(__xludf.DUMMYFUNCTION("""COMPUTED_VALUE"""),0.5825413864807224)</f>
        <v>0.5825413865</v>
      </c>
      <c r="W1785" s="82">
        <f>IFERROR(__xludf.DUMMYFUNCTION("""COMPUTED_VALUE"""),1.3292312420956205)</f>
        <v>1.329231242</v>
      </c>
      <c r="X1785" s="82">
        <f>IFERROR(__xludf.DUMMYFUNCTION("""COMPUTED_VALUE"""),2.626399545194824)</f>
        <v>2.626399545</v>
      </c>
      <c r="Y1785" s="82">
        <f>IFERROR(__xludf.DUMMYFUNCTION("""COMPUTED_VALUE"""),350.2673501180681)</f>
        <v>350.2673501</v>
      </c>
      <c r="Z1785" s="82">
        <f>IFERROR(__xludf.DUMMYFUNCTION("""COMPUTED_VALUE"""),0.7781969972848729)</f>
        <v>0.7781969973</v>
      </c>
      <c r="AA1785" s="82">
        <f>IFERROR(__xludf.DUMMYFUNCTION("""COMPUTED_VALUE"""),0.5598196849336091)</f>
        <v>0.5598196849</v>
      </c>
      <c r="AB1785" s="82">
        <f>IFERROR(__xludf.DUMMYFUNCTION("""COMPUTED_VALUE"""),1.3580003926905648)</f>
        <v>1.358000393</v>
      </c>
      <c r="AC1785" s="82">
        <f>IFERROR(__xludf.DUMMYFUNCTION("""COMPUTED_VALUE"""),2.5810586537896265)</f>
        <v>2.581058654</v>
      </c>
      <c r="AD1785" s="82">
        <f>IFERROR(__xludf.DUMMYFUNCTION("""COMPUTED_VALUE"""),0.9994746390587853)</f>
        <v>0.9994746391</v>
      </c>
      <c r="AE1785" s="82">
        <f>IFERROR(__xludf.DUMMYFUNCTION("""COMPUTED_VALUE"""),0.963766247642625)</f>
        <v>0.9637662476</v>
      </c>
      <c r="AF1785" s="82">
        <f>IFERROR(__xludf.DUMMYFUNCTION("""COMPUTED_VALUE"""),0.7815016366419566)</f>
        <v>0.7815016366</v>
      </c>
      <c r="AG1785" s="82">
        <f>IFERROR(__xludf.DUMMYFUNCTION("""COMPUTED_VALUE"""),1.0738828509791385)</f>
        <v>1.073882851</v>
      </c>
      <c r="AH1785" s="82">
        <f>IFERROR(__xludf.DUMMYFUNCTION("""COMPUTED_VALUE"""),1.0331677905697132)</f>
        <v>1.033167791</v>
      </c>
      <c r="AI1785" s="82">
        <f>IFERROR(__xludf.DUMMYFUNCTION("""COMPUTED_VALUE"""),0.9517521316655841)</f>
        <v>0.9517521317</v>
      </c>
      <c r="AJ1785" s="82">
        <f>IFERROR(__xludf.DUMMYFUNCTION("""COMPUTED_VALUE"""),0.9496171334186483)</f>
        <v>0.9496171334</v>
      </c>
      <c r="AK1785" s="82">
        <f>IFERROR(__xludf.DUMMYFUNCTION("""COMPUTED_VALUE"""),1.0013594688222842)</f>
        <v>1.001359469</v>
      </c>
      <c r="AL1785" s="82">
        <f>IFERROR(__xludf.DUMMYFUNCTION("""COMPUTED_VALUE"""),0.9194955576693403)</f>
        <v>0.9194955577</v>
      </c>
      <c r="AM1785" s="82">
        <f>IFERROR(__xludf.DUMMYFUNCTION("""COMPUTED_VALUE"""),0.9915348452717965)</f>
        <v>0.9915348453</v>
      </c>
      <c r="AN1785" s="82">
        <f>IFERROR(__xludf.DUMMYFUNCTION("""COMPUTED_VALUE"""),1.0324603180645053)</f>
        <v>1.032460318</v>
      </c>
      <c r="AO1785" s="82">
        <f>IFERROR(__xludf.DUMMYFUNCTION("""COMPUTED_VALUE"""),1.0084169524739757)</f>
        <v>1.008416952</v>
      </c>
      <c r="AP1785" s="82">
        <f>IFERROR(__xludf.DUMMYFUNCTION("""COMPUTED_VALUE"""),0.801578355043759)</f>
        <v>0.801578355</v>
      </c>
      <c r="AQ1785" s="82">
        <f>IFERROR(__xludf.DUMMYFUNCTION("""COMPUTED_VALUE"""),1.115062837334839)</f>
        <v>1.115062837</v>
      </c>
      <c r="AR1785" s="82">
        <f>IFERROR(__xludf.DUMMYFUNCTION("""COMPUTED_VALUE"""),1.065942381767142)</f>
        <v>1.065942382</v>
      </c>
      <c r="AS1785" s="82">
        <f>IFERROR(__xludf.DUMMYFUNCTION("""COMPUTED_VALUE"""),95.0)</f>
        <v>95</v>
      </c>
      <c r="AT1785" s="82">
        <f>IFERROR(__xludf.DUMMYFUNCTION("""COMPUTED_VALUE"""),0.44463226802982553)</f>
        <v>0.444632268</v>
      </c>
      <c r="AU1785" s="82">
        <f>IFERROR(__xludf.DUMMYFUNCTION("""COMPUTED_VALUE"""),2.4935718967507734)</f>
        <v>2.493571897</v>
      </c>
      <c r="AV1785" s="82">
        <f>IFERROR(__xludf.DUMMYFUNCTION("""COMPUTED_VALUE"""),50.578613846400984)</f>
        <v>50.57861385</v>
      </c>
      <c r="AW1785" s="82">
        <f t="shared" si="1"/>
        <v>2.037624811</v>
      </c>
      <c r="AX1785" s="83">
        <f t="array" ref="AX1785">IFERROR(DGET('SBV Import'!A:G,"SBV",{"RSC ID","Tier";B1785,A1785}))</f>
        <v>50.99788041</v>
      </c>
      <c r="AY1785" s="82">
        <f t="shared" si="2"/>
        <v>2.065772716</v>
      </c>
      <c r="AZ1785" s="82">
        <v>0.02814790550528956</v>
      </c>
      <c r="BA1785" s="84">
        <v>1700.0</v>
      </c>
      <c r="BB1785" s="84" t="b">
        <f>IFERROR(__xludf.DUMMYFUNCTION("iferror(if(A1785="""",,E1785&gt;=FILTER(Constants!$F$2:$F$10,Constants!$A$2:$A$10=A1785)))"),TRUE)</f>
        <v>1</v>
      </c>
    </row>
    <row r="1786">
      <c r="A1786" s="89" t="str">
        <f>IFERROR(__xludf.DUMMYFUNCTION("""COMPUTED_VALUE"""),"Rival")</f>
        <v>Rival</v>
      </c>
      <c r="B1786" s="87" t="str">
        <f>IFERROR(__xludf.DUMMYFUNCTION("""COMPUTED_VALUE"""),"RSC002960")</f>
        <v>RSC002960</v>
      </c>
      <c r="C1786" s="73" t="str">
        <f>IFERROR(__xludf.DUMMYFUNCTION("""COMPUTED_VALUE"""),"Shrek is The Best Anime")</f>
        <v>Shrek is The Best Anime</v>
      </c>
      <c r="D1786" s="73" t="str">
        <f>IFERROR(__xludf.DUMMYFUNCTION("""COMPUTED_VALUE"""),"Centuriones")</f>
        <v>Centuriones</v>
      </c>
      <c r="E1786" s="82">
        <f>IFERROR(__xludf.DUMMYFUNCTION("""COMPUTED_VALUE"""),39.0)</f>
        <v>39</v>
      </c>
      <c r="F1786" s="82">
        <f>IFERROR(__xludf.DUMMYFUNCTION("""COMPUTED_VALUE"""),17.0)</f>
        <v>17</v>
      </c>
      <c r="G1786" s="86">
        <f>IFERROR(__xludf.DUMMYFUNCTION("""COMPUTED_VALUE"""),22.0)</f>
        <v>22</v>
      </c>
      <c r="H1786" s="86">
        <f>IFERROR(__xludf.DUMMYFUNCTION("""COMPUTED_VALUE"""),0.4358974358974359)</f>
        <v>0.4358974359</v>
      </c>
      <c r="I1786" s="86">
        <f>IFERROR(__xludf.DUMMYFUNCTION("""COMPUTED_VALUE"""),0.2647058823529412)</f>
        <v>0.2647058824</v>
      </c>
      <c r="J1786" s="82">
        <f>IFERROR(__xludf.DUMMYFUNCTION("""COMPUTED_VALUE"""),335.79487179487177)</f>
        <v>335.7948718</v>
      </c>
      <c r="K1786" s="82">
        <f>IFERROR(__xludf.DUMMYFUNCTION("""COMPUTED_VALUE"""),0.6923076923076923)</f>
        <v>0.6923076923</v>
      </c>
      <c r="L1786" s="82">
        <f>IFERROR(__xludf.DUMMYFUNCTION("""COMPUTED_VALUE"""),0.5897435897435898)</f>
        <v>0.5897435897</v>
      </c>
      <c r="M1786" s="82">
        <f>IFERROR(__xludf.DUMMYFUNCTION("""COMPUTED_VALUE"""),1.1025641025641026)</f>
        <v>1.102564103</v>
      </c>
      <c r="N1786" s="82">
        <f>IFERROR(__xludf.DUMMYFUNCTION("""COMPUTED_VALUE"""),2.6153846153846154)</f>
        <v>2.615384615</v>
      </c>
      <c r="O1786" s="82">
        <f>IFERROR(__xludf.DUMMYFUNCTION("""COMPUTED_VALUE"""),357.8290598290599)</f>
        <v>357.8290598</v>
      </c>
      <c r="P1786" s="82">
        <f>IFERROR(__xludf.DUMMYFUNCTION("""COMPUTED_VALUE"""),0.8119658119658119)</f>
        <v>0.811965812</v>
      </c>
      <c r="Q1786" s="82">
        <f>IFERROR(__xludf.DUMMYFUNCTION("""COMPUTED_VALUE"""),0.606837606837607)</f>
        <v>0.6068376068</v>
      </c>
      <c r="R1786" s="82">
        <f>IFERROR(__xludf.DUMMYFUNCTION("""COMPUTED_VALUE"""),1.2735042735042734)</f>
        <v>1.273504274</v>
      </c>
      <c r="S1786" s="82">
        <f>IFERROR(__xludf.DUMMYFUNCTION("""COMPUTED_VALUE"""),2.666666666666667)</f>
        <v>2.666666667</v>
      </c>
      <c r="T1786" s="82">
        <f>IFERROR(__xludf.DUMMYFUNCTION("""COMPUTED_VALUE"""),346.2936588913057)</f>
        <v>346.2936589</v>
      </c>
      <c r="U1786" s="82">
        <f>IFERROR(__xludf.DUMMYFUNCTION("""COMPUTED_VALUE"""),0.7813869858871981)</f>
        <v>0.7813869859</v>
      </c>
      <c r="V1786" s="82">
        <f>IFERROR(__xludf.DUMMYFUNCTION("""COMPUTED_VALUE"""),0.5598796679101641)</f>
        <v>0.5598796679</v>
      </c>
      <c r="W1786" s="82">
        <f>IFERROR(__xludf.DUMMYFUNCTION("""COMPUTED_VALUE"""),1.3101931553301658)</f>
        <v>1.310193155</v>
      </c>
      <c r="X1786" s="82">
        <f>IFERROR(__xludf.DUMMYFUNCTION("""COMPUTED_VALUE"""),2.5525112498926115)</f>
        <v>2.55251125</v>
      </c>
      <c r="Y1786" s="82">
        <f>IFERROR(__xludf.DUMMYFUNCTION("""COMPUTED_VALUE"""),347.1829483653952)</f>
        <v>347.1829484</v>
      </c>
      <c r="Z1786" s="82">
        <f>IFERROR(__xludf.DUMMYFUNCTION("""COMPUTED_VALUE"""),0.780904411236966)</f>
        <v>0.7809044112</v>
      </c>
      <c r="AA1786" s="82">
        <f>IFERROR(__xludf.DUMMYFUNCTION("""COMPUTED_VALUE"""),0.5521954547698085)</f>
        <v>0.5521954548</v>
      </c>
      <c r="AB1786" s="82">
        <f>IFERROR(__xludf.DUMMYFUNCTION("""COMPUTED_VALUE"""),1.3128827756015486)</f>
        <v>1.312882776</v>
      </c>
      <c r="AC1786" s="82">
        <f>IFERROR(__xludf.DUMMYFUNCTION("""COMPUTED_VALUE"""),2.558363890986624)</f>
        <v>2.558363891</v>
      </c>
      <c r="AD1786" s="82">
        <f>IFERROR(__xludf.DUMMYFUNCTION("""COMPUTED_VALUE"""),0.9671986293562495)</f>
        <v>0.9671986294</v>
      </c>
      <c r="AE1786" s="82">
        <f>IFERROR(__xludf.DUMMYFUNCTION("""COMPUTED_VALUE"""),0.8865460129890482)</f>
        <v>0.886546013</v>
      </c>
      <c r="AF1786" s="82">
        <f>IFERROR(__xludf.DUMMYFUNCTION("""COMPUTED_VALUE"""),1.0679979066278875)</f>
        <v>1.067997907</v>
      </c>
      <c r="AG1786" s="82">
        <f>IFERROR(__xludf.DUMMYFUNCTION("""COMPUTED_VALUE"""),0.8398039208480892)</f>
        <v>0.8398039208</v>
      </c>
      <c r="AH1786" s="82">
        <f>IFERROR(__xludf.DUMMYFUNCTION("""COMPUTED_VALUE"""),1.022287964819579)</f>
        <v>1.022287965</v>
      </c>
      <c r="AI1786" s="82">
        <f>IFERROR(__xludf.DUMMYFUNCTION("""COMPUTED_VALUE"""),1.0333110371546679)</f>
        <v>1.033311037</v>
      </c>
      <c r="AJ1786" s="82">
        <f>IFERROR(__xludf.DUMMYFUNCTION("""COMPUTED_VALUE"""),1.0391340355430851)</f>
        <v>1.039134036</v>
      </c>
      <c r="AK1786" s="82">
        <f>IFERROR(__xludf.DUMMYFUNCTION("""COMPUTED_VALUE"""),1.0838714845686763)</f>
        <v>1.083871485</v>
      </c>
      <c r="AL1786" s="82">
        <f>IFERROR(__xludf.DUMMYFUNCTION("""COMPUTED_VALUE"""),0.9719973488820075)</f>
        <v>0.9719973489</v>
      </c>
      <c r="AM1786" s="82">
        <f>IFERROR(__xludf.DUMMYFUNCTION("""COMPUTED_VALUE"""),1.0447227869334006)</f>
        <v>1.044722787</v>
      </c>
      <c r="AN1786" s="82">
        <f>IFERROR(__xludf.DUMMYFUNCTION("""COMPUTED_VALUE"""),0.9903210096770192)</f>
        <v>0.9903210097</v>
      </c>
      <c r="AO1786" s="82">
        <f>IFERROR(__xludf.DUMMYFUNCTION("""COMPUTED_VALUE"""),0.9308464176682852)</f>
        <v>0.9308464177</v>
      </c>
      <c r="AP1786" s="82">
        <f>IFERROR(__xludf.DUMMYFUNCTION("""COMPUTED_VALUE"""),1.0805158778611843)</f>
        <v>1.080515878</v>
      </c>
      <c r="AQ1786" s="82">
        <f>IFERROR(__xludf.DUMMYFUNCTION("""COMPUTED_VALUE"""),0.8430365187762301)</f>
        <v>0.8430365188</v>
      </c>
      <c r="AR1786" s="82">
        <f>IFERROR(__xludf.DUMMYFUNCTION("""COMPUTED_VALUE"""),1.0454434898100817)</f>
        <v>1.04544349</v>
      </c>
      <c r="AS1786" s="82">
        <f>IFERROR(__xludf.DUMMYFUNCTION("""COMPUTED_VALUE"""),92.0)</f>
        <v>92</v>
      </c>
      <c r="AT1786" s="82">
        <f>IFERROR(__xludf.DUMMYFUNCTION("""COMPUTED_VALUE"""),0.4874229643484471)</f>
        <v>0.4874229643</v>
      </c>
      <c r="AU1786" s="82">
        <f>IFERROR(__xludf.DUMMYFUNCTION("""COMPUTED_VALUE"""),2.4661673393409758)</f>
        <v>2.466167339</v>
      </c>
      <c r="AV1786" s="82">
        <f>IFERROR(__xludf.DUMMYFUNCTION("""COMPUTED_VALUE"""),49.79402205524275)</f>
        <v>49.79402206</v>
      </c>
      <c r="AW1786" s="82">
        <f t="shared" si="1"/>
        <v>-2.013234582</v>
      </c>
      <c r="AX1786" s="83">
        <f t="array" ref="AX1786">IFERROR(DGET('SBV Import'!A:G,"SBV",{"RSC ID","Tier";B1786,A1786}))</f>
        <v>45.00288755</v>
      </c>
      <c r="AY1786" s="82">
        <f t="shared" si="2"/>
        <v>-2.376507987</v>
      </c>
      <c r="AZ1786" s="82">
        <v>0.3632734043362871</v>
      </c>
      <c r="BA1786" s="84">
        <v>1700.0</v>
      </c>
      <c r="BB1786" s="84" t="b">
        <f>IFERROR(__xludf.DUMMYFUNCTION("iferror(if(A1786="""",,E1786&gt;=FILTER(Constants!$F$2:$F$10,Constants!$A$2:$A$10=A1786)))"),TRUE)</f>
        <v>1</v>
      </c>
    </row>
    <row r="1787">
      <c r="A1787" s="89" t="str">
        <f>IFERROR(__xludf.DUMMYFUNCTION("""COMPUTED_VALUE"""),"Rival")</f>
        <v>Rival</v>
      </c>
      <c r="B1787" s="87" t="str">
        <f>IFERROR(__xludf.DUMMYFUNCTION("""COMPUTED_VALUE"""),"RSC006086")</f>
        <v>RSC006086</v>
      </c>
      <c r="C1787" s="73" t="str">
        <f>IFERROR(__xludf.DUMMYFUNCTION("""COMPUTED_VALUE"""),"13o0k")</f>
        <v>13o0k</v>
      </c>
      <c r="D1787" s="73" t="str">
        <f>IFERROR(__xludf.DUMMYFUNCTION("""COMPUTED_VALUE"""),"Kitsune")</f>
        <v>Kitsune</v>
      </c>
      <c r="E1787" s="82">
        <f>IFERROR(__xludf.DUMMYFUNCTION("""COMPUTED_VALUE"""),36.0)</f>
        <v>36</v>
      </c>
      <c r="F1787" s="82">
        <f>IFERROR(__xludf.DUMMYFUNCTION("""COMPUTED_VALUE"""),19.0)</f>
        <v>19</v>
      </c>
      <c r="G1787" s="86">
        <f>IFERROR(__xludf.DUMMYFUNCTION("""COMPUTED_VALUE"""),17.0)</f>
        <v>17</v>
      </c>
      <c r="H1787" s="86">
        <f>IFERROR(__xludf.DUMMYFUNCTION("""COMPUTED_VALUE"""),0.5277777777777778)</f>
        <v>0.5277777778</v>
      </c>
      <c r="I1787" s="86">
        <f>IFERROR(__xludf.DUMMYFUNCTION("""COMPUTED_VALUE"""),0.23157894736842108)</f>
        <v>0.2315789474</v>
      </c>
      <c r="J1787" s="82">
        <f>IFERROR(__xludf.DUMMYFUNCTION("""COMPUTED_VALUE"""),345.3333333333333)</f>
        <v>345.3333333</v>
      </c>
      <c r="K1787" s="82">
        <f>IFERROR(__xludf.DUMMYFUNCTION("""COMPUTED_VALUE"""),0.6111111111111112)</f>
        <v>0.6111111111</v>
      </c>
      <c r="L1787" s="82">
        <f>IFERROR(__xludf.DUMMYFUNCTION("""COMPUTED_VALUE"""),0.5277777777777778)</f>
        <v>0.5277777778</v>
      </c>
      <c r="M1787" s="82">
        <f>IFERROR(__xludf.DUMMYFUNCTION("""COMPUTED_VALUE"""),1.3333333333333333)</f>
        <v>1.333333333</v>
      </c>
      <c r="N1787" s="82">
        <f>IFERROR(__xludf.DUMMYFUNCTION("""COMPUTED_VALUE"""),2.638888888888889)</f>
        <v>2.638888889</v>
      </c>
      <c r="O1787" s="82">
        <f>IFERROR(__xludf.DUMMYFUNCTION("""COMPUTED_VALUE"""),334.1481481481481)</f>
        <v>334.1481481</v>
      </c>
      <c r="P1787" s="82">
        <f>IFERROR(__xludf.DUMMYFUNCTION("""COMPUTED_VALUE"""),0.7037037037037037)</f>
        <v>0.7037037037</v>
      </c>
      <c r="Q1787" s="82">
        <f>IFERROR(__xludf.DUMMYFUNCTION("""COMPUTED_VALUE"""),0.4907407407407406)</f>
        <v>0.4907407407</v>
      </c>
      <c r="R1787" s="82">
        <f>IFERROR(__xludf.DUMMYFUNCTION("""COMPUTED_VALUE"""),1.2962962962962965)</f>
        <v>1.296296296</v>
      </c>
      <c r="S1787" s="82">
        <f>IFERROR(__xludf.DUMMYFUNCTION("""COMPUTED_VALUE"""),2.3425925925925926)</f>
        <v>2.342592593</v>
      </c>
      <c r="T1787" s="82">
        <f>IFERROR(__xludf.DUMMYFUNCTION("""COMPUTED_VALUE"""),340.06032237769404)</f>
        <v>340.0603224</v>
      </c>
      <c r="U1787" s="82">
        <f>IFERROR(__xludf.DUMMYFUNCTION("""COMPUTED_VALUE"""),0.7841606586864249)</f>
        <v>0.7841606587</v>
      </c>
      <c r="V1787" s="82">
        <f>IFERROR(__xludf.DUMMYFUNCTION("""COMPUTED_VALUE"""),0.5370295768103985)</f>
        <v>0.5370295768</v>
      </c>
      <c r="W1787" s="82">
        <f>IFERROR(__xludf.DUMMYFUNCTION("""COMPUTED_VALUE"""),1.2857391625407333)</f>
        <v>1.285739163</v>
      </c>
      <c r="X1787" s="82">
        <f>IFERROR(__xludf.DUMMYFUNCTION("""COMPUTED_VALUE"""),2.4641228614818607)</f>
        <v>2.464122861</v>
      </c>
      <c r="Y1787" s="82">
        <f>IFERROR(__xludf.DUMMYFUNCTION("""COMPUTED_VALUE"""),344.02465449594195)</f>
        <v>344.0246545</v>
      </c>
      <c r="Z1787" s="82">
        <f>IFERROR(__xludf.DUMMYFUNCTION("""COMPUTED_VALUE"""),0.779928117276818)</f>
        <v>0.7799281173</v>
      </c>
      <c r="AA1787" s="82">
        <f>IFERROR(__xludf.DUMMYFUNCTION("""COMPUTED_VALUE"""),0.5456188371870633)</f>
        <v>0.5456188372</v>
      </c>
      <c r="AB1787" s="82">
        <f>IFERROR(__xludf.DUMMYFUNCTION("""COMPUTED_VALUE"""),1.3096235061765762)</f>
        <v>1.309623506</v>
      </c>
      <c r="AC1787" s="82">
        <f>IFERROR(__xludf.DUMMYFUNCTION("""COMPUTED_VALUE"""),2.532471837755004)</f>
        <v>2.532471838</v>
      </c>
      <c r="AD1787" s="82">
        <f>IFERROR(__xludf.DUMMYFUNCTION("""COMPUTED_VALUE"""),1.0038040263111632)</f>
        <v>1.003804026</v>
      </c>
      <c r="AE1787" s="82">
        <f>IFERROR(__xludf.DUMMYFUNCTION("""COMPUTED_VALUE"""),0.7835479931725695)</f>
        <v>0.7835479932</v>
      </c>
      <c r="AF1787" s="82">
        <f>IFERROR(__xludf.DUMMYFUNCTION("""COMPUTED_VALUE"""),0.9673012399988515)</f>
        <v>0.96730124</v>
      </c>
      <c r="AG1787" s="82">
        <f>IFERROR(__xludf.DUMMYFUNCTION("""COMPUTED_VALUE"""),1.0181043078754577)</f>
        <v>1.018104308</v>
      </c>
      <c r="AH1787" s="82">
        <f>IFERROR(__xludf.DUMMYFUNCTION("""COMPUTED_VALUE"""),1.042021020548928)</f>
        <v>1.042021021</v>
      </c>
      <c r="AI1787" s="82">
        <f>IFERROR(__xludf.DUMMYFUNCTION("""COMPUTED_VALUE"""),0.9826143368088104)</f>
        <v>0.9826143368</v>
      </c>
      <c r="AJ1787" s="82">
        <f>IFERROR(__xludf.DUMMYFUNCTION("""COMPUTED_VALUE"""),0.8973973584475693)</f>
        <v>0.8973973584</v>
      </c>
      <c r="AK1787" s="82">
        <f>IFERROR(__xludf.DUMMYFUNCTION("""COMPUTED_VALUE"""),0.913805797541761)</f>
        <v>0.9138057975</v>
      </c>
      <c r="AL1787" s="82">
        <f>IFERROR(__xludf.DUMMYFUNCTION("""COMPUTED_VALUE"""),1.0082109451614598)</f>
        <v>1.008210945</v>
      </c>
      <c r="AM1787" s="82">
        <f>IFERROR(__xludf.DUMMYFUNCTION("""COMPUTED_VALUE"""),0.950680109831787)</f>
        <v>0.9506801098</v>
      </c>
      <c r="AN1787" s="82">
        <f>IFERROR(__xludf.DUMMYFUNCTION("""COMPUTED_VALUE"""),1.0184516919922186)</f>
        <v>1.018451692</v>
      </c>
      <c r="AO1787" s="82">
        <f>IFERROR(__xludf.DUMMYFUNCTION("""COMPUTED_VALUE"""),0.8216730723862026)</f>
        <v>0.8216730724</v>
      </c>
      <c r="AP1787" s="82">
        <f>IFERROR(__xludf.DUMMYFUNCTION("""COMPUTED_VALUE"""),0.966983412433741)</f>
        <v>0.9669834124</v>
      </c>
      <c r="AQ1787" s="82">
        <f>IFERROR(__xludf.DUMMYFUNCTION("""COMPUTED_VALUE"""),1.0194860227061384)</f>
        <v>1.019486023</v>
      </c>
      <c r="AR1787" s="82">
        <f>IFERROR(__xludf.DUMMYFUNCTION("""COMPUTED_VALUE"""),1.0548388152904011)</f>
        <v>1.054838815</v>
      </c>
      <c r="AS1787" s="82">
        <f>IFERROR(__xludf.DUMMYFUNCTION("""COMPUTED_VALUE"""),75.0)</f>
        <v>75</v>
      </c>
      <c r="AT1787" s="82">
        <f>IFERROR(__xludf.DUMMYFUNCTION("""COMPUTED_VALUE"""),0.49500319370800416)</f>
        <v>0.4950031937</v>
      </c>
      <c r="AU1787" s="82">
        <f>IFERROR(__xludf.DUMMYFUNCTION("""COMPUTED_VALUE"""),2.452572742263932)</f>
        <v>2.452572742</v>
      </c>
      <c r="AV1787" s="82">
        <f>IFERROR(__xludf.DUMMYFUNCTION("""COMPUTED_VALUE"""),49.40480908196777)</f>
        <v>49.40480908</v>
      </c>
      <c r="AW1787" s="82">
        <f t="shared" si="1"/>
        <v>-2.038723414</v>
      </c>
      <c r="AX1787" s="83">
        <f t="array" ref="AX1787">IFERROR(DGET('SBV Import'!A:G,"SBV",{"RSC ID","Tier";B1787,A1787}))</f>
        <v>59.39716977</v>
      </c>
      <c r="AY1787" s="82">
        <f t="shared" si="2"/>
        <v>2.828850069</v>
      </c>
      <c r="AZ1787" s="82">
        <v>4.867573482062278</v>
      </c>
      <c r="BA1787" s="84">
        <v>1700.0</v>
      </c>
      <c r="BB1787" s="84" t="b">
        <f>IFERROR(__xludf.DUMMYFUNCTION("iferror(if(A1787="""",,E1787&gt;=FILTER(Constants!$F$2:$F$10,Constants!$A$2:$A$10=A1787)))"),TRUE)</f>
        <v>1</v>
      </c>
    </row>
    <row r="1788">
      <c r="A1788" s="89" t="str">
        <f>IFERROR(__xludf.DUMMYFUNCTION("""COMPUTED_VALUE"""),"Rival")</f>
        <v>Rival</v>
      </c>
      <c r="B1788" s="87" t="str">
        <f>IFERROR(__xludf.DUMMYFUNCTION("""COMPUTED_VALUE"""),"RSC007131")</f>
        <v>RSC007131</v>
      </c>
      <c r="C1788" s="73" t="str">
        <f>IFERROR(__xludf.DUMMYFUNCTION("""COMPUTED_VALUE"""),"BankShark")</f>
        <v>BankShark</v>
      </c>
      <c r="D1788" s="73" t="str">
        <f>IFERROR(__xludf.DUMMYFUNCTION("""COMPUTED_VALUE"""),"Hammerheads")</f>
        <v>Hammerheads</v>
      </c>
      <c r="E1788" s="82">
        <f>IFERROR(__xludf.DUMMYFUNCTION("""COMPUTED_VALUE"""),44.0)</f>
        <v>44</v>
      </c>
      <c r="F1788" s="82">
        <f>IFERROR(__xludf.DUMMYFUNCTION("""COMPUTED_VALUE"""),26.0)</f>
        <v>26</v>
      </c>
      <c r="G1788" s="86">
        <f>IFERROR(__xludf.DUMMYFUNCTION("""COMPUTED_VALUE"""),18.0)</f>
        <v>18</v>
      </c>
      <c r="H1788" s="86">
        <f>IFERROR(__xludf.DUMMYFUNCTION("""COMPUTED_VALUE"""),0.5909090909090909)</f>
        <v>0.5909090909</v>
      </c>
      <c r="I1788" s="86">
        <f>IFERROR(__xludf.DUMMYFUNCTION("""COMPUTED_VALUE"""),0.3173076923076923)</f>
        <v>0.3173076923</v>
      </c>
      <c r="J1788" s="82">
        <f>IFERROR(__xludf.DUMMYFUNCTION("""COMPUTED_VALUE"""),328.25)</f>
        <v>328.25</v>
      </c>
      <c r="K1788" s="82">
        <f>IFERROR(__xludf.DUMMYFUNCTION("""COMPUTED_VALUE"""),0.75)</f>
        <v>0.75</v>
      </c>
      <c r="L1788" s="82">
        <f>IFERROR(__xludf.DUMMYFUNCTION("""COMPUTED_VALUE"""),0.4772727272727273)</f>
        <v>0.4772727273</v>
      </c>
      <c r="M1788" s="82">
        <f>IFERROR(__xludf.DUMMYFUNCTION("""COMPUTED_VALUE"""),1.2272727272727273)</f>
        <v>1.227272727</v>
      </c>
      <c r="N1788" s="82">
        <f>IFERROR(__xludf.DUMMYFUNCTION("""COMPUTED_VALUE"""),2.3636363636363638)</f>
        <v>2.363636364</v>
      </c>
      <c r="O1788" s="82">
        <f>IFERROR(__xludf.DUMMYFUNCTION("""COMPUTED_VALUE"""),324.64393939393943)</f>
        <v>324.6439394</v>
      </c>
      <c r="P1788" s="82">
        <f>IFERROR(__xludf.DUMMYFUNCTION("""COMPUTED_VALUE"""),0.6666666666666666)</f>
        <v>0.6666666667</v>
      </c>
      <c r="Q1788" s="82">
        <f>IFERROR(__xludf.DUMMYFUNCTION("""COMPUTED_VALUE"""),0.49242424242424243)</f>
        <v>0.4924242424</v>
      </c>
      <c r="R1788" s="82">
        <f>IFERROR(__xludf.DUMMYFUNCTION("""COMPUTED_VALUE"""),1.3939393939393945)</f>
        <v>1.393939394</v>
      </c>
      <c r="S1788" s="82">
        <f>IFERROR(__xludf.DUMMYFUNCTION("""COMPUTED_VALUE"""),2.303030303030303)</f>
        <v>2.303030303</v>
      </c>
      <c r="T1788" s="82">
        <f>IFERROR(__xludf.DUMMYFUNCTION("""COMPUTED_VALUE"""),339.5447055598699)</f>
        <v>339.5447056</v>
      </c>
      <c r="U1788" s="82">
        <f>IFERROR(__xludf.DUMMYFUNCTION("""COMPUTED_VALUE"""),0.7666189401399323)</f>
        <v>0.7666189401</v>
      </c>
      <c r="V1788" s="82">
        <f>IFERROR(__xludf.DUMMYFUNCTION("""COMPUTED_VALUE"""),0.5412650041820485)</f>
        <v>0.5412650042</v>
      </c>
      <c r="W1788" s="82">
        <f>IFERROR(__xludf.DUMMYFUNCTION("""COMPUTED_VALUE"""),1.262721000506659)</f>
        <v>1.262721001</v>
      </c>
      <c r="X1788" s="82">
        <f>IFERROR(__xludf.DUMMYFUNCTION("""COMPUTED_VALUE"""),2.5323840258210457)</f>
        <v>2.532384026</v>
      </c>
      <c r="Y1788" s="82">
        <f>IFERROR(__xludf.DUMMYFUNCTION("""COMPUTED_VALUE"""),348.87680565347586)</f>
        <v>348.8768057</v>
      </c>
      <c r="Z1788" s="82">
        <f>IFERROR(__xludf.DUMMYFUNCTION("""COMPUTED_VALUE"""),0.8127674888403938)</f>
        <v>0.8127674888</v>
      </c>
      <c r="AA1788" s="82">
        <f>IFERROR(__xludf.DUMMYFUNCTION("""COMPUTED_VALUE"""),0.5531920788386254)</f>
        <v>0.5531920788</v>
      </c>
      <c r="AB1788" s="82">
        <f>IFERROR(__xludf.DUMMYFUNCTION("""COMPUTED_VALUE"""),1.3015774566602027)</f>
        <v>1.301577457</v>
      </c>
      <c r="AC1788" s="82">
        <f>IFERROR(__xludf.DUMMYFUNCTION("""COMPUTED_VALUE"""),2.5231415502931807)</f>
        <v>2.52314155</v>
      </c>
      <c r="AD1788" s="82">
        <f>IFERROR(__xludf.DUMMYFUNCTION("""COMPUTED_VALUE"""),0.9408765348706971)</f>
        <v>0.9408765349</v>
      </c>
      <c r="AE1788" s="82">
        <f>IFERROR(__xludf.DUMMYFUNCTION("""COMPUTED_VALUE"""),0.9227731304435582)</f>
        <v>0.9227731304</v>
      </c>
      <c r="AF1788" s="82">
        <f>IFERROR(__xludf.DUMMYFUNCTION("""COMPUTED_VALUE"""),0.8627613184099027)</f>
        <v>0.8627613184</v>
      </c>
      <c r="AG1788" s="82">
        <f>IFERROR(__xludf.DUMMYFUNCTION("""COMPUTED_VALUE"""),0.9429117883017593)</f>
        <v>0.9429117883</v>
      </c>
      <c r="AH1788" s="82">
        <f>IFERROR(__xludf.DUMMYFUNCTION("""COMPUTED_VALUE"""),0.9367831001640463)</f>
        <v>0.9367831002</v>
      </c>
      <c r="AI1788" s="82">
        <f>IFERROR(__xludf.DUMMYFUNCTION("""COMPUTED_VALUE"""),0.9561154513030594)</f>
        <v>0.9561154513</v>
      </c>
      <c r="AJ1788" s="82">
        <f>IFERROR(__xludf.DUMMYFUNCTION("""COMPUTED_VALUE"""),0.8696193529277777)</f>
        <v>0.8696193529</v>
      </c>
      <c r="AK1788" s="82">
        <f>IFERROR(__xludf.DUMMYFUNCTION("""COMPUTED_VALUE"""),0.9097655281970178)</f>
        <v>0.9097655282</v>
      </c>
      <c r="AL1788" s="82">
        <f>IFERROR(__xludf.DUMMYFUNCTION("""COMPUTED_VALUE"""),1.1039171704438946)</f>
        <v>1.10391717</v>
      </c>
      <c r="AM1788" s="82">
        <f>IFERROR(__xludf.DUMMYFUNCTION("""COMPUTED_VALUE"""),0.9094316973838983)</f>
        <v>0.9094316974</v>
      </c>
      <c r="AN1788" s="82">
        <f>IFERROR(__xludf.DUMMYFUNCTION("""COMPUTED_VALUE"""),0.9680697912059241)</f>
        <v>0.9680697912</v>
      </c>
      <c r="AO1788" s="82">
        <f>IFERROR(__xludf.DUMMYFUNCTION("""COMPUTED_VALUE"""),1.0084169524739757)</f>
        <v>1.008416952</v>
      </c>
      <c r="AP1788" s="82">
        <f>IFERROR(__xludf.DUMMYFUNCTION("""COMPUTED_VALUE"""),0.8744491145931916)</f>
        <v>0.8744491146</v>
      </c>
      <c r="AQ1788" s="82">
        <f>IFERROR(__xludf.DUMMYFUNCTION("""COMPUTED_VALUE"""),0.9383905436272412)</f>
        <v>0.9383905436</v>
      </c>
      <c r="AR1788" s="82">
        <f>IFERROR(__xludf.DUMMYFUNCTION("""COMPUTED_VALUE"""),0.9448125656572397)</f>
        <v>0.9448125657</v>
      </c>
      <c r="AS1788" s="82">
        <f>IFERROR(__xludf.DUMMYFUNCTION("""COMPUTED_VALUE"""),106.0)</f>
        <v>106</v>
      </c>
      <c r="AT1788" s="82">
        <f>IFERROR(__xludf.DUMMYFUNCTION("""COMPUTED_VALUE"""),0.5707450911124456)</f>
        <v>0.5707450911</v>
      </c>
      <c r="AU1788" s="82">
        <f>IFERROR(__xludf.DUMMYFUNCTION("""COMPUTED_VALUE"""),2.4494224173669394)</f>
        <v>2.449422417</v>
      </c>
      <c r="AV1788" s="82">
        <f>IFERROR(__xludf.DUMMYFUNCTION("""COMPUTED_VALUE"""),49.31461535919748)</f>
        <v>49.31461536</v>
      </c>
      <c r="AW1788" s="82">
        <f t="shared" si="1"/>
        <v>-2.044721271</v>
      </c>
      <c r="AX1788" s="83">
        <f t="array" ref="AX1788">IFERROR(DGET('SBV Import'!A:G,"SBV",{"RSC ID","Tier";B1788,A1788}))</f>
        <v>47.38067631</v>
      </c>
      <c r="AY1788" s="82">
        <f t="shared" si="2"/>
        <v>-2.182081674</v>
      </c>
      <c r="AZ1788" s="82">
        <v>0.137360403430546</v>
      </c>
      <c r="BA1788" s="84">
        <v>1700.0</v>
      </c>
      <c r="BB1788" s="84" t="b">
        <f>IFERROR(__xludf.DUMMYFUNCTION("iferror(if(A1788="""",,E1788&gt;=FILTER(Constants!$F$2:$F$10,Constants!$A$2:$A$10=A1788)))"),TRUE)</f>
        <v>1</v>
      </c>
    </row>
    <row r="1789">
      <c r="A1789" s="89" t="str">
        <f>IFERROR(__xludf.DUMMYFUNCTION("""COMPUTED_VALUE"""),"Rival")</f>
        <v>Rival</v>
      </c>
      <c r="B1789" s="87" t="str">
        <f>IFERROR(__xludf.DUMMYFUNCTION("""COMPUTED_VALUE"""),"RSC004639")</f>
        <v>RSC004639</v>
      </c>
      <c r="C1789" s="73" t="str">
        <f>IFERROR(__xludf.DUMMYFUNCTION("""COMPUTED_VALUE"""),"Tydizzle")</f>
        <v>Tydizzle</v>
      </c>
      <c r="D1789" s="73" t="str">
        <f>IFERROR(__xludf.DUMMYFUNCTION("""COMPUTED_VALUE"""),"Blizzards")</f>
        <v>Blizzards</v>
      </c>
      <c r="E1789" s="82">
        <f>IFERROR(__xludf.DUMMYFUNCTION("""COMPUTED_VALUE"""),36.0)</f>
        <v>36</v>
      </c>
      <c r="F1789" s="82">
        <f>IFERROR(__xludf.DUMMYFUNCTION("""COMPUTED_VALUE"""),15.0)</f>
        <v>15</v>
      </c>
      <c r="G1789" s="86">
        <f>IFERROR(__xludf.DUMMYFUNCTION("""COMPUTED_VALUE"""),21.0)</f>
        <v>21</v>
      </c>
      <c r="H1789" s="86">
        <f>IFERROR(__xludf.DUMMYFUNCTION("""COMPUTED_VALUE"""),0.4166666666666667)</f>
        <v>0.4166666667</v>
      </c>
      <c r="I1789" s="86">
        <f>IFERROR(__xludf.DUMMYFUNCTION("""COMPUTED_VALUE"""),0.3023255813953488)</f>
        <v>0.3023255814</v>
      </c>
      <c r="J1789" s="82">
        <f>IFERROR(__xludf.DUMMYFUNCTION("""COMPUTED_VALUE"""),341.19444444444446)</f>
        <v>341.1944444</v>
      </c>
      <c r="K1789" s="82">
        <f>IFERROR(__xludf.DUMMYFUNCTION("""COMPUTED_VALUE"""),0.7222222222222222)</f>
        <v>0.7222222222</v>
      </c>
      <c r="L1789" s="82">
        <f>IFERROR(__xludf.DUMMYFUNCTION("""COMPUTED_VALUE"""),0.6111111111111112)</f>
        <v>0.6111111111</v>
      </c>
      <c r="M1789" s="82">
        <f>IFERROR(__xludf.DUMMYFUNCTION("""COMPUTED_VALUE"""),1.2222222222222223)</f>
        <v>1.222222222</v>
      </c>
      <c r="N1789" s="82">
        <f>IFERROR(__xludf.DUMMYFUNCTION("""COMPUTED_VALUE"""),2.388888888888889)</f>
        <v>2.388888889</v>
      </c>
      <c r="O1789" s="82">
        <f>IFERROR(__xludf.DUMMYFUNCTION("""COMPUTED_VALUE"""),382.7314814814815)</f>
        <v>382.7314815</v>
      </c>
      <c r="P1789" s="82">
        <f>IFERROR(__xludf.DUMMYFUNCTION("""COMPUTED_VALUE"""),0.9722222222222222)</f>
        <v>0.9722222222</v>
      </c>
      <c r="Q1789" s="82">
        <f>IFERROR(__xludf.DUMMYFUNCTION("""COMPUTED_VALUE"""),0.6574074074074074)</f>
        <v>0.6574074074</v>
      </c>
      <c r="R1789" s="82">
        <f>IFERROR(__xludf.DUMMYFUNCTION("""COMPUTED_VALUE"""),1.416666666666667)</f>
        <v>1.416666667</v>
      </c>
      <c r="S1789" s="82">
        <f>IFERROR(__xludf.DUMMYFUNCTION("""COMPUTED_VALUE"""),2.6388888888888897)</f>
        <v>2.638888889</v>
      </c>
      <c r="T1789" s="82">
        <f>IFERROR(__xludf.DUMMYFUNCTION("""COMPUTED_VALUE"""),354.08900641953977)</f>
        <v>354.0890064</v>
      </c>
      <c r="U1789" s="82">
        <f>IFERROR(__xludf.DUMMYFUNCTION("""COMPUTED_VALUE"""),0.8144554700288744)</f>
        <v>0.81445547</v>
      </c>
      <c r="V1789" s="82">
        <f>IFERROR(__xludf.DUMMYFUNCTION("""COMPUTED_VALUE"""),0.6065974155190642)</f>
        <v>0.6065974155</v>
      </c>
      <c r="W1789" s="82">
        <f>IFERROR(__xludf.DUMMYFUNCTION("""COMPUTED_VALUE"""),1.3674963869228813)</f>
        <v>1.367496387</v>
      </c>
      <c r="X1789" s="82">
        <f>IFERROR(__xludf.DUMMYFUNCTION("""COMPUTED_VALUE"""),2.609044059792028)</f>
        <v>2.60904406</v>
      </c>
      <c r="Y1789" s="82">
        <f>IFERROR(__xludf.DUMMYFUNCTION("""COMPUTED_VALUE"""),341.6640242558)</f>
        <v>341.6640243</v>
      </c>
      <c r="Z1789" s="82">
        <f>IFERROR(__xludf.DUMMYFUNCTION("""COMPUTED_VALUE"""),0.7505718052975833)</f>
        <v>0.7505718053</v>
      </c>
      <c r="AA1789" s="82">
        <f>IFERROR(__xludf.DUMMYFUNCTION("""COMPUTED_VALUE"""),0.5511677695488794)</f>
        <v>0.5511677695</v>
      </c>
      <c r="AB1789" s="82">
        <f>IFERROR(__xludf.DUMMYFUNCTION("""COMPUTED_VALUE"""),1.3193791803934887)</f>
        <v>1.31937918</v>
      </c>
      <c r="AC1789" s="82">
        <f>IFERROR(__xludf.DUMMYFUNCTION("""COMPUTED_VALUE"""),2.5778505622760854)</f>
        <v>2.577850562</v>
      </c>
      <c r="AD1789" s="82">
        <f>IFERROR(__xludf.DUMMYFUNCTION("""COMPUTED_VALUE"""),0.9986256094349462)</f>
        <v>0.9986256094</v>
      </c>
      <c r="AE1789" s="82">
        <f>IFERROR(__xludf.DUMMYFUNCTION("""COMPUTED_VALUE"""),0.9622293525079574)</f>
        <v>0.9622293525</v>
      </c>
      <c r="AF1789" s="82">
        <f>IFERROR(__xludf.DUMMYFUNCTION("""COMPUTED_VALUE"""),1.1087569790434124)</f>
        <v>1.108756979</v>
      </c>
      <c r="AG1789" s="82">
        <f>IFERROR(__xludf.DUMMYFUNCTION("""COMPUTED_VALUE"""),0.9263616103580697)</f>
        <v>0.9263616104</v>
      </c>
      <c r="AH1789" s="82">
        <f>IFERROR(__xludf.DUMMYFUNCTION("""COMPUTED_VALUE"""),0.9266979722748727)</f>
        <v>0.9266979723</v>
      </c>
      <c r="AI1789" s="82">
        <f>IFERROR(__xludf.DUMMYFUNCTION("""COMPUTED_VALUE"""),1.080890608131462)</f>
        <v>1.080890608</v>
      </c>
      <c r="AJ1789" s="82">
        <f>IFERROR(__xludf.DUMMYFUNCTION("""COMPUTED_VALUE"""),1.1937082603027451)</f>
        <v>1.19370826</v>
      </c>
      <c r="AK1789" s="82">
        <f>IFERROR(__xludf.DUMMYFUNCTION("""COMPUTED_VALUE"""),1.0837622953682802)</f>
        <v>1.083762295</v>
      </c>
      <c r="AL1789" s="82">
        <f>IFERROR(__xludf.DUMMYFUNCTION("""COMPUTED_VALUE"""),1.0359564238808907)</f>
        <v>1.035956424</v>
      </c>
      <c r="AM1789" s="82">
        <f>IFERROR(__xludf.DUMMYFUNCTION("""COMPUTED_VALUE"""),1.0114389900718046)</f>
        <v>1.01143899</v>
      </c>
      <c r="AN1789" s="82">
        <f>IFERROR(__xludf.DUMMYFUNCTION("""COMPUTED_VALUE"""),1.006245345297653)</f>
        <v>1.006245345</v>
      </c>
      <c r="AO1789" s="82">
        <f>IFERROR(__xludf.DUMMYFUNCTION("""COMPUTED_VALUE"""),0.9710681764564211)</f>
        <v>0.9710681765</v>
      </c>
      <c r="AP1789" s="82">
        <f>IFERROR(__xludf.DUMMYFUNCTION("""COMPUTED_VALUE"""),1.1196650038706475)</f>
        <v>1.119665004</v>
      </c>
      <c r="AQ1789" s="82">
        <f>IFERROR(__xludf.DUMMYFUNCTION("""COMPUTED_VALUE"""),0.9345288541472938)</f>
        <v>0.9345288541</v>
      </c>
      <c r="AR1789" s="82">
        <f>IFERROR(__xludf.DUMMYFUNCTION("""COMPUTED_VALUE"""),0.9549067169997315)</f>
        <v>0.954906717</v>
      </c>
      <c r="AS1789" s="82">
        <f>IFERROR(__xludf.DUMMYFUNCTION("""COMPUTED_VALUE"""),76.0)</f>
        <v>76</v>
      </c>
      <c r="AT1789" s="82">
        <f>IFERROR(__xludf.DUMMYFUNCTION("""COMPUTED_VALUE"""),0.3743007911196614)</f>
        <v>0.3743007911</v>
      </c>
      <c r="AU1789" s="82">
        <f>IFERROR(__xludf.DUMMYFUNCTION("""COMPUTED_VALUE"""),2.448214655683345)</f>
        <v>2.448214656</v>
      </c>
      <c r="AV1789" s="82">
        <f>IFERROR(__xludf.DUMMYFUNCTION("""COMPUTED_VALUE"""),49.28003717249468)</f>
        <v>49.28003717</v>
      </c>
      <c r="AW1789" s="82">
        <f t="shared" si="1"/>
        <v>-2.047029926</v>
      </c>
      <c r="AX1789" s="83">
        <f t="array" ref="AX1789">IFERROR(DGET('SBV Import'!A:G,"SBV",{"RSC ID","Tier";B1789,A1789}))</f>
        <v>43.73166526</v>
      </c>
      <c r="AY1789" s="82">
        <f t="shared" si="2"/>
        <v>-2.493702641</v>
      </c>
      <c r="AZ1789" s="82">
        <v>0.4466727153475172</v>
      </c>
      <c r="BA1789" s="84">
        <v>1700.0</v>
      </c>
      <c r="BB1789" s="84" t="b">
        <f>IFERROR(__xludf.DUMMYFUNCTION("iferror(if(A1789="""",,E1789&gt;=FILTER(Constants!$F$2:$F$10,Constants!$A$2:$A$10=A1789)))"),TRUE)</f>
        <v>1</v>
      </c>
    </row>
    <row r="1790">
      <c r="A1790" s="89" t="str">
        <f>IFERROR(__xludf.DUMMYFUNCTION("""COMPUTED_VALUE"""),"Rival")</f>
        <v>Rival</v>
      </c>
      <c r="B1790" s="87" t="str">
        <f>IFERROR(__xludf.DUMMYFUNCTION("""COMPUTED_VALUE"""),"RSC002424")</f>
        <v>RSC002424</v>
      </c>
      <c r="C1790" s="73" t="str">
        <f>IFERROR(__xludf.DUMMYFUNCTION("""COMPUTED_VALUE"""),"HufflePuffler")</f>
        <v>HufflePuffler</v>
      </c>
      <c r="D1790" s="73" t="str">
        <f>IFERROR(__xludf.DUMMYFUNCTION("""COMPUTED_VALUE"""),"Centuriones")</f>
        <v>Centuriones</v>
      </c>
      <c r="E1790" s="82">
        <f>IFERROR(__xludf.DUMMYFUNCTION("""COMPUTED_VALUE"""),48.0)</f>
        <v>48</v>
      </c>
      <c r="F1790" s="82">
        <f>IFERROR(__xludf.DUMMYFUNCTION("""COMPUTED_VALUE"""),18.0)</f>
        <v>18</v>
      </c>
      <c r="G1790" s="86">
        <f>IFERROR(__xludf.DUMMYFUNCTION("""COMPUTED_VALUE"""),30.0)</f>
        <v>30</v>
      </c>
      <c r="H1790" s="86">
        <f>IFERROR(__xludf.DUMMYFUNCTION("""COMPUTED_VALUE"""),0.375)</f>
        <v>0.375</v>
      </c>
      <c r="I1790" s="86">
        <f>IFERROR(__xludf.DUMMYFUNCTION("""COMPUTED_VALUE"""),0.3490566037735849)</f>
        <v>0.3490566038</v>
      </c>
      <c r="J1790" s="82">
        <f>IFERROR(__xludf.DUMMYFUNCTION("""COMPUTED_VALUE"""),378.1666666666667)</f>
        <v>378.1666667</v>
      </c>
      <c r="K1790" s="82">
        <f>IFERROR(__xludf.DUMMYFUNCTION("""COMPUTED_VALUE"""),0.7708333333333334)</f>
        <v>0.7708333333</v>
      </c>
      <c r="L1790" s="82">
        <f>IFERROR(__xludf.DUMMYFUNCTION("""COMPUTED_VALUE"""),0.5)</f>
        <v>0.5</v>
      </c>
      <c r="M1790" s="82">
        <f>IFERROR(__xludf.DUMMYFUNCTION("""COMPUTED_VALUE"""),1.7291666666666667)</f>
        <v>1.729166667</v>
      </c>
      <c r="N1790" s="82">
        <f>IFERROR(__xludf.DUMMYFUNCTION("""COMPUTED_VALUE"""),2.2083333333333335)</f>
        <v>2.208333333</v>
      </c>
      <c r="O1790" s="82">
        <f>IFERROR(__xludf.DUMMYFUNCTION("""COMPUTED_VALUE"""),358.03472222222223)</f>
        <v>358.0347222</v>
      </c>
      <c r="P1790" s="82">
        <f>IFERROR(__xludf.DUMMYFUNCTION("""COMPUTED_VALUE"""),0.8611111111111108)</f>
        <v>0.8611111111</v>
      </c>
      <c r="Q1790" s="82">
        <f>IFERROR(__xludf.DUMMYFUNCTION("""COMPUTED_VALUE"""),0.6319444444444443)</f>
        <v>0.6319444444</v>
      </c>
      <c r="R1790" s="82">
        <f>IFERROR(__xludf.DUMMYFUNCTION("""COMPUTED_VALUE"""),1.2152777777777775)</f>
        <v>1.215277778</v>
      </c>
      <c r="S1790" s="82">
        <f>IFERROR(__xludf.DUMMYFUNCTION("""COMPUTED_VALUE"""),2.756944444444444)</f>
        <v>2.756944444</v>
      </c>
      <c r="T1790" s="82">
        <f>IFERROR(__xludf.DUMMYFUNCTION("""COMPUTED_VALUE"""),346.1604078882474)</f>
        <v>346.1604079</v>
      </c>
      <c r="U1790" s="82">
        <f>IFERROR(__xludf.DUMMYFUNCTION("""COMPUTED_VALUE"""),0.7972937184788763)</f>
        <v>0.7972937185</v>
      </c>
      <c r="V1790" s="82">
        <f>IFERROR(__xludf.DUMMYFUNCTION("""COMPUTED_VALUE"""),0.5526952605649331)</f>
        <v>0.5526952606</v>
      </c>
      <c r="W1790" s="82">
        <f>IFERROR(__xludf.DUMMYFUNCTION("""COMPUTED_VALUE"""),1.2845819065370694)</f>
        <v>1.284581907</v>
      </c>
      <c r="X1790" s="82">
        <f>IFERROR(__xludf.DUMMYFUNCTION("""COMPUTED_VALUE"""),2.5687665766245646)</f>
        <v>2.568766577</v>
      </c>
      <c r="Y1790" s="82">
        <f>IFERROR(__xludf.DUMMYFUNCTION("""COMPUTED_VALUE"""),345.95298709408786)</f>
        <v>345.9529871</v>
      </c>
      <c r="Z1790" s="82">
        <f>IFERROR(__xludf.DUMMYFUNCTION("""COMPUTED_VALUE"""),0.7646393652457611)</f>
        <v>0.7646393652</v>
      </c>
      <c r="AA1790" s="82">
        <f>IFERROR(__xludf.DUMMYFUNCTION("""COMPUTED_VALUE"""),0.5448291967287312)</f>
        <v>0.5448291967</v>
      </c>
      <c r="AB1790" s="82">
        <f>IFERROR(__xludf.DUMMYFUNCTION("""COMPUTED_VALUE"""),1.337558766598497)</f>
        <v>1.337558767</v>
      </c>
      <c r="AC1790" s="82">
        <f>IFERROR(__xludf.DUMMYFUNCTION("""COMPUTED_VALUE"""),2.5352853497340493)</f>
        <v>2.53528535</v>
      </c>
      <c r="AD1790" s="82">
        <f>IFERROR(__xludf.DUMMYFUNCTION("""COMPUTED_VALUE"""),1.0931157722994822)</f>
        <v>1.093115772</v>
      </c>
      <c r="AE1790" s="82">
        <f>IFERROR(__xludf.DUMMYFUNCTION("""COMPUTED_VALUE"""),1.008100509036154)</f>
        <v>1.008100509</v>
      </c>
      <c r="AF1790" s="82">
        <f>IFERROR(__xludf.DUMMYFUNCTION("""COMPUTED_VALUE"""),0.917718806191197)</f>
        <v>0.9177188062</v>
      </c>
      <c r="AG1790" s="82">
        <f>IFERROR(__xludf.DUMMYFUNCTION("""COMPUTED_VALUE"""),1.2927780893426128)</f>
        <v>1.292778089</v>
      </c>
      <c r="AH1790" s="82">
        <f>IFERROR(__xludf.DUMMYFUNCTION("""COMPUTED_VALUE"""),0.871039361926257)</f>
        <v>0.8710393619</v>
      </c>
      <c r="AI1790" s="82">
        <f>IFERROR(__xludf.DUMMYFUNCTION("""COMPUTED_VALUE"""),1.034302924492186)</f>
        <v>1.034302924</v>
      </c>
      <c r="AJ1790" s="82">
        <f>IFERROR(__xludf.DUMMYFUNCTION("""COMPUTED_VALUE"""),1.0800425127567657)</f>
        <v>1.080042513</v>
      </c>
      <c r="AK1790" s="82">
        <f>IFERROR(__xludf.DUMMYFUNCTION("""COMPUTED_VALUE"""),1.1433867621707254)</f>
        <v>1.143386762</v>
      </c>
      <c r="AL1790" s="82">
        <f>IFERROR(__xludf.DUMMYFUNCTION("""COMPUTED_VALUE"""),0.9460492722133075)</f>
        <v>0.9460492722</v>
      </c>
      <c r="AM1790" s="82">
        <f>IFERROR(__xludf.DUMMYFUNCTION("""COMPUTED_VALUE"""),1.0732561181433429)</f>
        <v>1.073256118</v>
      </c>
      <c r="AN1790" s="82">
        <f>IFERROR(__xludf.DUMMYFUNCTION("""COMPUTED_VALUE"""),1.11528324764978)</f>
        <v>1.115283248</v>
      </c>
      <c r="AO1790" s="82">
        <f>IFERROR(__xludf.DUMMYFUNCTION("""COMPUTED_VALUE"""),1.0364285344871418)</f>
        <v>1.036428534</v>
      </c>
      <c r="AP1790" s="82">
        <f>IFERROR(__xludf.DUMMYFUNCTION("""COMPUTED_VALUE"""),0.9160895486214388)</f>
        <v>0.9160895486</v>
      </c>
      <c r="AQ1790" s="82">
        <f>IFERROR(__xludf.DUMMYFUNCTION("""COMPUTED_VALUE"""),1.3221459356970235)</f>
        <v>1.322145936</v>
      </c>
      <c r="AR1790" s="82">
        <f>IFERROR(__xludf.DUMMYFUNCTION("""COMPUTED_VALUE"""),0.8827335349009147)</f>
        <v>0.8827335349</v>
      </c>
      <c r="AS1790" s="82">
        <f>IFERROR(__xludf.DUMMYFUNCTION("""COMPUTED_VALUE"""),107.0)</f>
        <v>107</v>
      </c>
      <c r="AT1790" s="82">
        <f>IFERROR(__xludf.DUMMYFUNCTION("""COMPUTED_VALUE"""),0.44238968921237004)</f>
        <v>0.4423896892</v>
      </c>
      <c r="AU1790" s="82">
        <f>IFERROR(__xludf.DUMMYFUNCTION("""COMPUTED_VALUE"""),2.4357294283008706)</f>
        <v>2.435729428</v>
      </c>
      <c r="AV1790" s="82">
        <f>IFERROR(__xludf.DUMMYFUNCTION("""COMPUTED_VALUE"""),48.92258542574502)</f>
        <v>48.92258543</v>
      </c>
      <c r="AW1790" s="82">
        <f t="shared" si="1"/>
        <v>-2.071198391</v>
      </c>
      <c r="AX1790" s="83">
        <f t="array" ref="AX1790">IFERROR(DGET('SBV Import'!A:G,"SBV",{"RSC ID","Tier";B1790,A1790}))</f>
        <v>50.30941476</v>
      </c>
      <c r="AY1790" s="82">
        <f t="shared" si="2"/>
        <v>2.019946647</v>
      </c>
      <c r="AZ1790" s="82">
        <v>4.09114503746695</v>
      </c>
      <c r="BA1790" s="84">
        <v>1700.0</v>
      </c>
      <c r="BB1790" s="84" t="b">
        <f>IFERROR(__xludf.DUMMYFUNCTION("iferror(if(A1790="""",,E1790&gt;=FILTER(Constants!$F$2:$F$10,Constants!$A$2:$A$10=A1790)))"),TRUE)</f>
        <v>1</v>
      </c>
    </row>
    <row r="1791">
      <c r="A1791" s="89" t="str">
        <f>IFERROR(__xludf.DUMMYFUNCTION("""COMPUTED_VALUE"""),"Rival")</f>
        <v>Rival</v>
      </c>
      <c r="B1791" s="87" t="str">
        <f>IFERROR(__xludf.DUMMYFUNCTION("""COMPUTED_VALUE"""),"RSC006372")</f>
        <v>RSC006372</v>
      </c>
      <c r="C1791" s="73" t="str">
        <f>IFERROR(__xludf.DUMMYFUNCTION("""COMPUTED_VALUE"""),"x ARC Fives x")</f>
        <v>x ARC Fives x</v>
      </c>
      <c r="D1791" s="73" t="str">
        <f>IFERROR(__xludf.DUMMYFUNCTION("""COMPUTED_VALUE"""),"Heavy Metal")</f>
        <v>Heavy Metal</v>
      </c>
      <c r="E1791" s="82">
        <f>IFERROR(__xludf.DUMMYFUNCTION("""COMPUTED_VALUE"""),13.0)</f>
        <v>13</v>
      </c>
      <c r="F1791" s="82">
        <f>IFERROR(__xludf.DUMMYFUNCTION("""COMPUTED_VALUE"""),4.0)</f>
        <v>4</v>
      </c>
      <c r="G1791" s="86">
        <f>IFERROR(__xludf.DUMMYFUNCTION("""COMPUTED_VALUE"""),9.0)</f>
        <v>9</v>
      </c>
      <c r="H1791" s="86">
        <f>IFERROR(__xludf.DUMMYFUNCTION("""COMPUTED_VALUE"""),0.3076923076923077)</f>
        <v>0.3076923077</v>
      </c>
      <c r="I1791" s="86">
        <f>IFERROR(__xludf.DUMMYFUNCTION("""COMPUTED_VALUE"""),0.3636363636363637)</f>
        <v>0.3636363636</v>
      </c>
      <c r="J1791" s="82">
        <f>IFERROR(__xludf.DUMMYFUNCTION("""COMPUTED_VALUE"""),337.6923076923077)</f>
        <v>337.6923077</v>
      </c>
      <c r="K1791" s="82">
        <f>IFERROR(__xludf.DUMMYFUNCTION("""COMPUTED_VALUE"""),0.9230769230769231)</f>
        <v>0.9230769231</v>
      </c>
      <c r="L1791" s="82">
        <f>IFERROR(__xludf.DUMMYFUNCTION("""COMPUTED_VALUE"""),0.38461538461538464)</f>
        <v>0.3846153846</v>
      </c>
      <c r="M1791" s="82">
        <f>IFERROR(__xludf.DUMMYFUNCTION("""COMPUTED_VALUE"""),1.6923076923076923)</f>
        <v>1.692307692</v>
      </c>
      <c r="N1791" s="82">
        <f>IFERROR(__xludf.DUMMYFUNCTION("""COMPUTED_VALUE"""),2.5384615384615383)</f>
        <v>2.538461538</v>
      </c>
      <c r="O1791" s="82">
        <f>IFERROR(__xludf.DUMMYFUNCTION("""COMPUTED_VALUE"""),360.48717948717945)</f>
        <v>360.4871795</v>
      </c>
      <c r="P1791" s="82">
        <f>IFERROR(__xludf.DUMMYFUNCTION("""COMPUTED_VALUE"""),0.8717948717948717)</f>
        <v>0.8717948718</v>
      </c>
      <c r="Q1791" s="82">
        <f>IFERROR(__xludf.DUMMYFUNCTION("""COMPUTED_VALUE"""),0.5897435897435896)</f>
        <v>0.5897435897</v>
      </c>
      <c r="R1791" s="82">
        <f>IFERROR(__xludf.DUMMYFUNCTION("""COMPUTED_VALUE"""),1.3846153846153844)</f>
        <v>1.384615385</v>
      </c>
      <c r="S1791" s="82">
        <f>IFERROR(__xludf.DUMMYFUNCTION("""COMPUTED_VALUE"""),3.025641025641026)</f>
        <v>3.025641026</v>
      </c>
      <c r="T1791" s="82">
        <f>IFERROR(__xludf.DUMMYFUNCTION("""COMPUTED_VALUE"""),334.3028160627997)</f>
        <v>334.3028161</v>
      </c>
      <c r="U1791" s="82">
        <f>IFERROR(__xludf.DUMMYFUNCTION("""COMPUTED_VALUE"""),0.7234051153942794)</f>
        <v>0.7234051154</v>
      </c>
      <c r="V1791" s="82">
        <f>IFERROR(__xludf.DUMMYFUNCTION("""COMPUTED_VALUE"""),0.5693406007278496)</f>
        <v>0.5693406007</v>
      </c>
      <c r="W1791" s="82">
        <f>IFERROR(__xludf.DUMMYFUNCTION("""COMPUTED_VALUE"""),1.264294943776908)</f>
        <v>1.264294944</v>
      </c>
      <c r="X1791" s="82">
        <f>IFERROR(__xludf.DUMMYFUNCTION("""COMPUTED_VALUE"""),2.4459660823050915)</f>
        <v>2.445966082</v>
      </c>
      <c r="Y1791" s="82">
        <f>IFERROR(__xludf.DUMMYFUNCTION("""COMPUTED_VALUE"""),347.7191086428532)</f>
        <v>347.7191086</v>
      </c>
      <c r="Z1791" s="82">
        <f>IFERROR(__xludf.DUMMYFUNCTION("""COMPUTED_VALUE"""),0.7888474369250523)</f>
        <v>0.7888474369</v>
      </c>
      <c r="AA1791" s="82">
        <f>IFERROR(__xludf.DUMMYFUNCTION("""COMPUTED_VALUE"""),0.5441581117385711)</f>
        <v>0.5441581117</v>
      </c>
      <c r="AB1791" s="82">
        <f>IFERROR(__xludf.DUMMYFUNCTION("""COMPUTED_VALUE"""),1.3463133650125154)</f>
        <v>1.346313365</v>
      </c>
      <c r="AC1791" s="82">
        <f>IFERROR(__xludf.DUMMYFUNCTION("""COMPUTED_VALUE"""),2.5834404468359398)</f>
        <v>2.583440447</v>
      </c>
      <c r="AD1791" s="82">
        <f>IFERROR(__xludf.DUMMYFUNCTION("""COMPUTED_VALUE"""),0.9711640784146718)</f>
        <v>0.9711640784</v>
      </c>
      <c r="AE1791" s="82">
        <f>IFERROR(__xludf.DUMMYFUNCTION("""COMPUTED_VALUE"""),1.1701589938291501)</f>
        <v>1.170158994</v>
      </c>
      <c r="AF1791" s="82">
        <f>IFERROR(__xludf.DUMMYFUNCTION("""COMPUTED_VALUE"""),0.7068081432923023)</f>
        <v>0.7068081433</v>
      </c>
      <c r="AG1791" s="82">
        <f>IFERROR(__xludf.DUMMYFUNCTION("""COMPUTED_VALUE"""),1.2569939037127218)</f>
        <v>1.256993904</v>
      </c>
      <c r="AH1791" s="82">
        <f>IFERROR(__xludf.DUMMYFUNCTION("""COMPUTED_VALUE"""),0.9825895315568473)</f>
        <v>0.9825895316</v>
      </c>
      <c r="AI1791" s="82">
        <f>IFERROR(__xludf.DUMMYFUNCTION("""COMPUTED_VALUE"""),1.0783252852391796)</f>
        <v>1.078325285</v>
      </c>
      <c r="AJ1791" s="82">
        <f>IFERROR(__xludf.DUMMYFUNCTION("""COMPUTED_VALUE"""),1.2051267723199814)</f>
        <v>1.205126772</v>
      </c>
      <c r="AK1791" s="82">
        <f>IFERROR(__xludf.DUMMYFUNCTION("""COMPUTED_VALUE"""),1.0358361743210596)</f>
        <v>1.035836174</v>
      </c>
      <c r="AL1791" s="82">
        <f>IFERROR(__xludf.DUMMYFUNCTION("""COMPUTED_VALUE"""),1.0951680155257408)</f>
        <v>1.095168016</v>
      </c>
      <c r="AM1791" s="82">
        <f>IFERROR(__xludf.DUMMYFUNCTION("""COMPUTED_VALUE"""),1.2369922246794387)</f>
        <v>1.236992225</v>
      </c>
      <c r="AN1791" s="82">
        <f>IFERROR(__xludf.DUMMYFUNCTION("""COMPUTED_VALUE"""),0.9959168980945589)</f>
        <v>0.9959168981</v>
      </c>
      <c r="AO1791" s="82">
        <f>IFERROR(__xludf.DUMMYFUNCTION("""COMPUTED_VALUE"""),1.241128556891047)</f>
        <v>1.241128557</v>
      </c>
      <c r="AP1791" s="82">
        <f>IFERROR(__xludf.DUMMYFUNCTION("""COMPUTED_VALUE"""),0.7046842681703376)</f>
        <v>0.7046842682</v>
      </c>
      <c r="AQ1791" s="82">
        <f>IFERROR(__xludf.DUMMYFUNCTION("""COMPUTED_VALUE"""),1.2939630288193298)</f>
        <v>1.293963029</v>
      </c>
      <c r="AR1791" s="82">
        <f>IFERROR(__xludf.DUMMYFUNCTION("""COMPUTED_VALUE"""),1.014695151874491)</f>
        <v>1.014695152</v>
      </c>
      <c r="AS1791" s="82">
        <f>IFERROR(__xludf.DUMMYFUNCTION("""COMPUTED_VALUE"""),28.0)</f>
        <v>28</v>
      </c>
      <c r="AT1791" s="82">
        <f>IFERROR(__xludf.DUMMYFUNCTION("""COMPUTED_VALUE"""),0.4245813211131374)</f>
        <v>0.4245813211</v>
      </c>
      <c r="AU1791" s="82">
        <f>IFERROR(__xludf.DUMMYFUNCTION("""COMPUTED_VALUE"""),2.39870917106362)</f>
        <v>2.398709171</v>
      </c>
      <c r="AV1791" s="82">
        <f>IFERROR(__xludf.DUMMYFUNCTION("""COMPUTED_VALUE"""),47.86269638975101)</f>
        <v>47.86269639</v>
      </c>
      <c r="AW1791" s="82">
        <f t="shared" si="1"/>
        <v>-2.146221789</v>
      </c>
      <c r="AX1791" s="83">
        <f t="array" ref="AX1791">IFERROR(DGET('SBV Import'!A:G,"SBV",{"RSC ID","Tier";B1791,A1791}))</f>
        <v>35.1470425</v>
      </c>
      <c r="AY1791" s="82">
        <f t="shared" si="2"/>
        <v>-3.620348584</v>
      </c>
      <c r="AZ1791" s="82">
        <v>1.4741267953355113</v>
      </c>
      <c r="BA1791" s="84">
        <v>1700.0</v>
      </c>
      <c r="BB1791" s="84" t="b">
        <f>IFERROR(__xludf.DUMMYFUNCTION("iferror(if(A1791="""",,E1791&gt;=FILTER(Constants!$F$2:$F$10,Constants!$A$2:$A$10=A1791)))"),TRUE)</f>
        <v>1</v>
      </c>
    </row>
    <row r="1792">
      <c r="A1792" s="89" t="str">
        <f>IFERROR(__xludf.DUMMYFUNCTION("""COMPUTED_VALUE"""),"Rival")</f>
        <v>Rival</v>
      </c>
      <c r="B1792" s="87" t="str">
        <f>IFERROR(__xludf.DUMMYFUNCTION("""COMPUTED_VALUE"""),"RSC006209")</f>
        <v>RSC006209</v>
      </c>
      <c r="C1792" s="73" t="str">
        <f>IFERROR(__xludf.DUMMYFUNCTION("""COMPUTED_VALUE"""),"Celiscy")</f>
        <v>Celiscy</v>
      </c>
      <c r="D1792" s="73" t="str">
        <f>IFERROR(__xludf.DUMMYFUNCTION("""COMPUTED_VALUE"""),"Jetstream")</f>
        <v>Jetstream</v>
      </c>
      <c r="E1792" s="82">
        <f>IFERROR(__xludf.DUMMYFUNCTION("""COMPUTED_VALUE"""),47.0)</f>
        <v>47</v>
      </c>
      <c r="F1792" s="82">
        <f>IFERROR(__xludf.DUMMYFUNCTION("""COMPUTED_VALUE"""),21.0)</f>
        <v>21</v>
      </c>
      <c r="G1792" s="86">
        <f>IFERROR(__xludf.DUMMYFUNCTION("""COMPUTED_VALUE"""),26.0)</f>
        <v>26</v>
      </c>
      <c r="H1792" s="86">
        <f>IFERROR(__xludf.DUMMYFUNCTION("""COMPUTED_VALUE"""),0.44680851063829785)</f>
        <v>0.4468085106</v>
      </c>
      <c r="I1792" s="86">
        <f>IFERROR(__xludf.DUMMYFUNCTION("""COMPUTED_VALUE"""),0.24324324324324326)</f>
        <v>0.2432432432</v>
      </c>
      <c r="J1792" s="82">
        <f>IFERROR(__xludf.DUMMYFUNCTION("""COMPUTED_VALUE"""),322.8085106382979)</f>
        <v>322.8085106</v>
      </c>
      <c r="K1792" s="82">
        <f>IFERROR(__xludf.DUMMYFUNCTION("""COMPUTED_VALUE"""),0.574468085106383)</f>
        <v>0.5744680851</v>
      </c>
      <c r="L1792" s="82">
        <f>IFERROR(__xludf.DUMMYFUNCTION("""COMPUTED_VALUE"""),0.723404255319149)</f>
        <v>0.7234042553</v>
      </c>
      <c r="M1792" s="82">
        <f>IFERROR(__xludf.DUMMYFUNCTION("""COMPUTED_VALUE"""),1.3191489361702127)</f>
        <v>1.319148936</v>
      </c>
      <c r="N1792" s="82">
        <f>IFERROR(__xludf.DUMMYFUNCTION("""COMPUTED_VALUE"""),2.3617021276595747)</f>
        <v>2.361702128</v>
      </c>
      <c r="O1792" s="82">
        <f>IFERROR(__xludf.DUMMYFUNCTION("""COMPUTED_VALUE"""),341.68794326241135)</f>
        <v>341.6879433</v>
      </c>
      <c r="P1792" s="82">
        <f>IFERROR(__xludf.DUMMYFUNCTION("""COMPUTED_VALUE"""),0.6879432624113474)</f>
        <v>0.6879432624</v>
      </c>
      <c r="Q1792" s="82">
        <f>IFERROR(__xludf.DUMMYFUNCTION("""COMPUTED_VALUE"""),0.5106382978723405)</f>
        <v>0.5106382979</v>
      </c>
      <c r="R1792" s="82">
        <f>IFERROR(__xludf.DUMMYFUNCTION("""COMPUTED_VALUE"""),1.3475177304964538)</f>
        <v>1.34751773</v>
      </c>
      <c r="S1792" s="82">
        <f>IFERROR(__xludf.DUMMYFUNCTION("""COMPUTED_VALUE"""),2.546099290780142)</f>
        <v>2.546099291</v>
      </c>
      <c r="T1792" s="82">
        <f>IFERROR(__xludf.DUMMYFUNCTION("""COMPUTED_VALUE"""),345.41823453222884)</f>
        <v>345.4182345</v>
      </c>
      <c r="U1792" s="82">
        <f>IFERROR(__xludf.DUMMYFUNCTION("""COMPUTED_VALUE"""),0.7559590754962932)</f>
        <v>0.7559590755</v>
      </c>
      <c r="V1792" s="82">
        <f>IFERROR(__xludf.DUMMYFUNCTION("""COMPUTED_VALUE"""),0.541466474949046)</f>
        <v>0.5414664749</v>
      </c>
      <c r="W1792" s="82">
        <f>IFERROR(__xludf.DUMMYFUNCTION("""COMPUTED_VALUE"""),1.3265937109684125)</f>
        <v>1.326593711</v>
      </c>
      <c r="X1792" s="82">
        <f>IFERROR(__xludf.DUMMYFUNCTION("""COMPUTED_VALUE"""),2.5253767920427572)</f>
        <v>2.525376792</v>
      </c>
      <c r="Y1792" s="82">
        <f>IFERROR(__xludf.DUMMYFUNCTION("""COMPUTED_VALUE"""),352.6771649870999)</f>
        <v>352.677165</v>
      </c>
      <c r="Z1792" s="82">
        <f>IFERROR(__xludf.DUMMYFUNCTION("""COMPUTED_VALUE"""),0.8204424208321635)</f>
        <v>0.8204424208</v>
      </c>
      <c r="AA1792" s="82">
        <f>IFERROR(__xludf.DUMMYFUNCTION("""COMPUTED_VALUE"""),0.5877480342909257)</f>
        <v>0.5877480343</v>
      </c>
      <c r="AB1792" s="82">
        <f>IFERROR(__xludf.DUMMYFUNCTION("""COMPUTED_VALUE"""),1.2889054967359734)</f>
        <v>1.288905497</v>
      </c>
      <c r="AC1792" s="82">
        <f>IFERROR(__xludf.DUMMYFUNCTION("""COMPUTED_VALUE"""),2.6687191054234867)</f>
        <v>2.668719105</v>
      </c>
      <c r="AD1792" s="82">
        <f>IFERROR(__xludf.DUMMYFUNCTION("""COMPUTED_VALUE"""),0.9153087942342552)</f>
        <v>0.9153087942</v>
      </c>
      <c r="AE1792" s="82">
        <f>IFERROR(__xludf.DUMMYFUNCTION("""COMPUTED_VALUE"""),0.7001930550150101)</f>
        <v>0.700193055</v>
      </c>
      <c r="AF1792" s="82">
        <f>IFERROR(__xludf.DUMMYFUNCTION("""COMPUTED_VALUE"""),1.2308067626153483)</f>
        <v>1.230806763</v>
      </c>
      <c r="AG1792" s="82">
        <f>IFERROR(__xludf.DUMMYFUNCTION("""COMPUTED_VALUE"""),1.0234644351434825)</f>
        <v>1.023464435</v>
      </c>
      <c r="AH1792" s="82">
        <f>IFERROR(__xludf.DUMMYFUNCTION("""COMPUTED_VALUE"""),0.8849571777187121)</f>
        <v>0.8849571777</v>
      </c>
      <c r="AI1792" s="82">
        <f>IFERROR(__xludf.DUMMYFUNCTION("""COMPUTED_VALUE"""),0.9892006533040472)</f>
        <v>0.9892006533</v>
      </c>
      <c r="AJ1792" s="82">
        <f>IFERROR(__xludf.DUMMYFUNCTION("""COMPUTED_VALUE"""),0.91002712277739)</f>
        <v>0.9100271228</v>
      </c>
      <c r="AK1792" s="82">
        <f>IFERROR(__xludf.DUMMYFUNCTION("""COMPUTED_VALUE"""),0.9430654001623895)</f>
        <v>0.9430654002</v>
      </c>
      <c r="AL1792" s="82">
        <f>IFERROR(__xludf.DUMMYFUNCTION("""COMPUTED_VALUE"""),1.0157727413864843)</f>
        <v>1.015772741</v>
      </c>
      <c r="AM1792" s="82">
        <f>IFERROR(__xludf.DUMMYFUNCTION("""COMPUTED_VALUE"""),1.0082057057001077)</f>
        <v>1.008205706</v>
      </c>
      <c r="AN1792" s="82">
        <f>IFERROR(__xludf.DUMMYFUNCTION("""COMPUTED_VALUE"""),0.9520218354702584)</f>
        <v>0.9520218355</v>
      </c>
      <c r="AO1792" s="82">
        <f>IFERROR(__xludf.DUMMYFUNCTION("""COMPUTED_VALUE"""),0.7724044742353857)</f>
        <v>0.7724044742</v>
      </c>
      <c r="AP1792" s="82">
        <f>IFERROR(__xludf.DUMMYFUNCTION("""COMPUTED_VALUE"""),1.3254061554522945)</f>
        <v>1.325406155</v>
      </c>
      <c r="AQ1792" s="82">
        <f>IFERROR(__xludf.DUMMYFUNCTION("""COMPUTED_VALUE"""),1.008640426719903)</f>
        <v>1.008640427</v>
      </c>
      <c r="AR1792" s="82">
        <f>IFERROR(__xludf.DUMMYFUNCTION("""COMPUTED_VALUE"""),0.9440393966182403)</f>
        <v>0.9440393966</v>
      </c>
      <c r="AS1792" s="82">
        <f>IFERROR(__xludf.DUMMYFUNCTION("""COMPUTED_VALUE"""),113.0)</f>
        <v>113</v>
      </c>
      <c r="AT1792" s="82">
        <f>IFERROR(__xludf.DUMMYFUNCTION("""COMPUTED_VALUE"""),0.5583864754856063)</f>
        <v>0.5583864755</v>
      </c>
      <c r="AU1792" s="82">
        <f>IFERROR(__xludf.DUMMYFUNCTION("""COMPUTED_VALUE"""),2.38712322829358)</f>
        <v>2.387123228</v>
      </c>
      <c r="AV1792" s="82">
        <f>IFERROR(__xludf.DUMMYFUNCTION("""COMPUTED_VALUE"""),47.530991138895445)</f>
        <v>47.53099114</v>
      </c>
      <c r="AW1792" s="82">
        <f t="shared" si="1"/>
        <v>-2.170778281</v>
      </c>
      <c r="AX1792" s="83">
        <f t="array" ref="AX1792">IFERROR(DGET('SBV Import'!A:G,"SBV",{"RSC ID","Tier";B1792,A1792}))</f>
        <v>42.10336016</v>
      </c>
      <c r="AY1792" s="82">
        <f t="shared" si="2"/>
        <v>-2.659204837</v>
      </c>
      <c r="AZ1792" s="82">
        <v>0.4884265559653236</v>
      </c>
      <c r="BA1792" s="84">
        <v>1700.0</v>
      </c>
      <c r="BB1792" s="84" t="b">
        <f>IFERROR(__xludf.DUMMYFUNCTION("iferror(if(A1792="""",,E1792&gt;=FILTER(Constants!$F$2:$F$10,Constants!$A$2:$A$10=A1792)))"),TRUE)</f>
        <v>1</v>
      </c>
    </row>
    <row r="1793">
      <c r="A1793" s="89" t="str">
        <f>IFERROR(__xludf.DUMMYFUNCTION("""COMPUTED_VALUE"""),"Rival")</f>
        <v>Rival</v>
      </c>
      <c r="B1793" s="87" t="str">
        <f>IFERROR(__xludf.DUMMYFUNCTION("""COMPUTED_VALUE"""),"RSC006069")</f>
        <v>RSC006069</v>
      </c>
      <c r="C1793" s="73" t="str">
        <f>IFERROR(__xludf.DUMMYFUNCTION("""COMPUTED_VALUE"""),"PoupSoup")</f>
        <v>PoupSoup</v>
      </c>
      <c r="D1793" s="73" t="str">
        <f>IFERROR(__xludf.DUMMYFUNCTION("""COMPUTED_VALUE"""),"Blizzards")</f>
        <v>Blizzards</v>
      </c>
      <c r="E1793" s="82">
        <f>IFERROR(__xludf.DUMMYFUNCTION("""COMPUTED_VALUE"""),42.0)</f>
        <v>42</v>
      </c>
      <c r="F1793" s="82">
        <f>IFERROR(__xludf.DUMMYFUNCTION("""COMPUTED_VALUE"""),19.0)</f>
        <v>19</v>
      </c>
      <c r="G1793" s="86">
        <f>IFERROR(__xludf.DUMMYFUNCTION("""COMPUTED_VALUE"""),23.0)</f>
        <v>23</v>
      </c>
      <c r="H1793" s="86">
        <f>IFERROR(__xludf.DUMMYFUNCTION("""COMPUTED_VALUE"""),0.4523809523809524)</f>
        <v>0.4523809524</v>
      </c>
      <c r="I1793" s="86">
        <f>IFERROR(__xludf.DUMMYFUNCTION("""COMPUTED_VALUE"""),0.25)</f>
        <v>0.25</v>
      </c>
      <c r="J1793" s="82">
        <f>IFERROR(__xludf.DUMMYFUNCTION("""COMPUTED_VALUE"""),335.64285714285717)</f>
        <v>335.6428571</v>
      </c>
      <c r="K1793" s="82">
        <f>IFERROR(__xludf.DUMMYFUNCTION("""COMPUTED_VALUE"""),0.6190476190476191)</f>
        <v>0.619047619</v>
      </c>
      <c r="L1793" s="82">
        <f>IFERROR(__xludf.DUMMYFUNCTION("""COMPUTED_VALUE"""),0.5714285714285714)</f>
        <v>0.5714285714</v>
      </c>
      <c r="M1793" s="82">
        <f>IFERROR(__xludf.DUMMYFUNCTION("""COMPUTED_VALUE"""),1.2619047619047619)</f>
        <v>1.261904762</v>
      </c>
      <c r="N1793" s="82">
        <f>IFERROR(__xludf.DUMMYFUNCTION("""COMPUTED_VALUE"""),2.4761904761904763)</f>
        <v>2.476190476</v>
      </c>
      <c r="O1793" s="82">
        <f>IFERROR(__xludf.DUMMYFUNCTION("""COMPUTED_VALUE"""),362.1190476190477)</f>
        <v>362.1190476</v>
      </c>
      <c r="P1793" s="82">
        <f>IFERROR(__xludf.DUMMYFUNCTION("""COMPUTED_VALUE"""),0.8333333333333334)</f>
        <v>0.8333333333</v>
      </c>
      <c r="Q1793" s="82">
        <f>IFERROR(__xludf.DUMMYFUNCTION("""COMPUTED_VALUE"""),0.5634920634920636)</f>
        <v>0.5634920635</v>
      </c>
      <c r="R1793" s="82">
        <f>IFERROR(__xludf.DUMMYFUNCTION("""COMPUTED_VALUE"""),1.420634920634921)</f>
        <v>1.420634921</v>
      </c>
      <c r="S1793" s="82">
        <f>IFERROR(__xludf.DUMMYFUNCTION("""COMPUTED_VALUE"""),2.626984126984127)</f>
        <v>2.626984127</v>
      </c>
      <c r="T1793" s="82">
        <f>IFERROR(__xludf.DUMMYFUNCTION("""COMPUTED_VALUE"""),350.5004700638797)</f>
        <v>350.5004701</v>
      </c>
      <c r="U1793" s="82">
        <f>IFERROR(__xludf.DUMMYFUNCTION("""COMPUTED_VALUE"""),0.7971694686628537)</f>
        <v>0.7971694687</v>
      </c>
      <c r="V1793" s="82">
        <f>IFERROR(__xludf.DUMMYFUNCTION("""COMPUTED_VALUE"""),0.5793622744402283)</f>
        <v>0.5793622744</v>
      </c>
      <c r="W1793" s="82">
        <f>IFERROR(__xludf.DUMMYFUNCTION("""COMPUTED_VALUE"""),1.337895391598752)</f>
        <v>1.337895392</v>
      </c>
      <c r="X1793" s="82">
        <f>IFERROR(__xludf.DUMMYFUNCTION("""COMPUTED_VALUE"""),2.584621573590379)</f>
        <v>2.584621574</v>
      </c>
      <c r="Y1793" s="82">
        <f>IFERROR(__xludf.DUMMYFUNCTION("""COMPUTED_VALUE"""),338.2624211783039)</f>
        <v>338.2624212</v>
      </c>
      <c r="Z1793" s="82">
        <f>IFERROR(__xludf.DUMMYFUNCTION("""COMPUTED_VALUE"""),0.731618023863373)</f>
        <v>0.7316180239</v>
      </c>
      <c r="AA1793" s="82">
        <f>IFERROR(__xludf.DUMMYFUNCTION("""COMPUTED_VALUE"""),0.5244224012879206)</f>
        <v>0.5244224013</v>
      </c>
      <c r="AB1793" s="82">
        <f>IFERROR(__xludf.DUMMYFUNCTION("""COMPUTED_VALUE"""),1.3225629979499647)</f>
        <v>1.322562998</v>
      </c>
      <c r="AC1793" s="82">
        <f>IFERROR(__xludf.DUMMYFUNCTION("""COMPUTED_VALUE"""),2.536364034160346)</f>
        <v>2.536364034</v>
      </c>
      <c r="AD1793" s="82">
        <f>IFERROR(__xludf.DUMMYFUNCTION("""COMPUTED_VALUE"""),0.9922558230786567)</f>
        <v>0.9922558231</v>
      </c>
      <c r="AE1793" s="82">
        <f>IFERROR(__xludf.DUMMYFUNCTION("""COMPUTED_VALUE"""),0.846135003315916)</f>
        <v>0.8461350033</v>
      </c>
      <c r="AF1793" s="82">
        <f>IFERROR(__xludf.DUMMYFUNCTION("""COMPUTED_VALUE"""),1.089634176620238)</f>
        <v>1.089634177</v>
      </c>
      <c r="AG1793" s="82">
        <f>IFERROR(__xludf.DUMMYFUNCTION("""COMPUTED_VALUE"""),0.9541358437070855)</f>
        <v>0.9541358437</v>
      </c>
      <c r="AH1793" s="82">
        <f>IFERROR(__xludf.DUMMYFUNCTION("""COMPUTED_VALUE"""),0.9762756618689439)</f>
        <v>0.9762756619</v>
      </c>
      <c r="AI1793" s="82">
        <f>IFERROR(__xludf.DUMMYFUNCTION("""COMPUTED_VALUE"""),1.0331485363002524)</f>
        <v>1.033148536</v>
      </c>
      <c r="AJ1793" s="82">
        <f>IFERROR(__xludf.DUMMYFUNCTION("""COMPUTED_VALUE"""),1.0453653408617616)</f>
        <v>1.045365341</v>
      </c>
      <c r="AK1793" s="82">
        <f>IFERROR(__xludf.DUMMYFUNCTION("""COMPUTED_VALUE"""),0.9726074484854952)</f>
        <v>0.9726074485</v>
      </c>
      <c r="AL1793" s="82">
        <f>IFERROR(__xludf.DUMMYFUNCTION("""COMPUTED_VALUE"""),1.0618430480856185)</f>
        <v>1.061843048</v>
      </c>
      <c r="AM1793" s="82">
        <f>IFERROR(__xludf.DUMMYFUNCTION("""COMPUTED_VALUE"""),1.01639023438735)</f>
        <v>1.016390234</v>
      </c>
      <c r="AN1793" s="82">
        <f>IFERROR(__xludf.DUMMYFUNCTION("""COMPUTED_VALUE"""),0.9898726904312125)</f>
        <v>0.9898726904</v>
      </c>
      <c r="AO1793" s="82">
        <f>IFERROR(__xludf.DUMMYFUNCTION("""COMPUTED_VALUE"""),0.832344151248361)</f>
        <v>0.8323441512</v>
      </c>
      <c r="AP1793" s="82">
        <f>IFERROR(__xludf.DUMMYFUNCTION("""COMPUTED_VALUE"""),1.046959484138787)</f>
        <v>1.046959484</v>
      </c>
      <c r="AQ1793" s="82">
        <f>IFERROR(__xludf.DUMMYFUNCTION("""COMPUTED_VALUE"""),0.9648707000611668)</f>
        <v>0.9648707001</v>
      </c>
      <c r="AR1793" s="82">
        <f>IFERROR(__xludf.DUMMYFUNCTION("""COMPUTED_VALUE"""),0.9898036402123463)</f>
        <v>0.9898036402</v>
      </c>
      <c r="AS1793" s="82">
        <f>IFERROR(__xludf.DUMMYFUNCTION("""COMPUTED_VALUE"""),87.0)</f>
        <v>87</v>
      </c>
      <c r="AT1793" s="82">
        <f>IFERROR(__xludf.DUMMYFUNCTION("""COMPUTED_VALUE"""),0.42778851822573033)</f>
        <v>0.4277885182</v>
      </c>
      <c r="AU1793" s="82">
        <f>IFERROR(__xludf.DUMMYFUNCTION("""COMPUTED_VALUE"""),2.386711776121277)</f>
        <v>2.386711776</v>
      </c>
      <c r="AV1793" s="82">
        <f>IFERROR(__xludf.DUMMYFUNCTION("""COMPUTED_VALUE"""),47.519211273524306)</f>
        <v>47.51921127</v>
      </c>
      <c r="AW1793" s="82">
        <f t="shared" si="1"/>
        <v>-2.171660121</v>
      </c>
      <c r="AX1793" s="83">
        <f t="array" ref="AX1793">IFERROR(DGET('SBV Import'!A:G,"SBV",{"RSC ID","Tier";B1793,A1793}))</f>
        <v>42.56552607</v>
      </c>
      <c r="AY1793" s="82">
        <f t="shared" si="2"/>
        <v>-2.610362174</v>
      </c>
      <c r="AZ1793" s="82">
        <v>0.4387020530606667</v>
      </c>
      <c r="BA1793" s="84">
        <v>1700.0</v>
      </c>
      <c r="BB1793" s="84" t="b">
        <f>IFERROR(__xludf.DUMMYFUNCTION("iferror(if(A1793="""",,E1793&gt;=FILTER(Constants!$F$2:$F$10,Constants!$A$2:$A$10=A1793)))"),TRUE)</f>
        <v>1</v>
      </c>
    </row>
    <row r="1794">
      <c r="A1794" s="89" t="str">
        <f>IFERROR(__xludf.DUMMYFUNCTION("""COMPUTED_VALUE"""),"Rival")</f>
        <v>Rival</v>
      </c>
      <c r="B1794" s="87" t="str">
        <f>IFERROR(__xludf.DUMMYFUNCTION("""COMPUTED_VALUE"""),"RSC005703")</f>
        <v>RSC005703</v>
      </c>
      <c r="C1794" s="73" t="str">
        <f>IFERROR(__xludf.DUMMYFUNCTION("""COMPUTED_VALUE"""),"Shoddy-")</f>
        <v>Shoddy-</v>
      </c>
      <c r="D1794" s="73" t="str">
        <f>IFERROR(__xludf.DUMMYFUNCTION("""COMPUTED_VALUE"""),"Jetstream")</f>
        <v>Jetstream</v>
      </c>
      <c r="E1794" s="82">
        <f>IFERROR(__xludf.DUMMYFUNCTION("""COMPUTED_VALUE"""),33.0)</f>
        <v>33</v>
      </c>
      <c r="F1794" s="82">
        <f>IFERROR(__xludf.DUMMYFUNCTION("""COMPUTED_VALUE"""),14.0)</f>
        <v>14</v>
      </c>
      <c r="G1794" s="86">
        <f>IFERROR(__xludf.DUMMYFUNCTION("""COMPUTED_VALUE"""),19.0)</f>
        <v>19</v>
      </c>
      <c r="H1794" s="86">
        <f>IFERROR(__xludf.DUMMYFUNCTION("""COMPUTED_VALUE"""),0.42424242424242425)</f>
        <v>0.4242424242</v>
      </c>
      <c r="I1794" s="86">
        <f>IFERROR(__xludf.DUMMYFUNCTION("""COMPUTED_VALUE"""),0.2625)</f>
        <v>0.2625</v>
      </c>
      <c r="J1794" s="82">
        <f>IFERROR(__xludf.DUMMYFUNCTION("""COMPUTED_VALUE"""),329.3333333333333)</f>
        <v>329.3333333</v>
      </c>
      <c r="K1794" s="82">
        <f>IFERROR(__xludf.DUMMYFUNCTION("""COMPUTED_VALUE"""),0.6363636363636364)</f>
        <v>0.6363636364</v>
      </c>
      <c r="L1794" s="82">
        <f>IFERROR(__xludf.DUMMYFUNCTION("""COMPUTED_VALUE"""),0.5757575757575758)</f>
        <v>0.5757575758</v>
      </c>
      <c r="M1794" s="82">
        <f>IFERROR(__xludf.DUMMYFUNCTION("""COMPUTED_VALUE"""),1.2727272727272727)</f>
        <v>1.272727273</v>
      </c>
      <c r="N1794" s="82">
        <f>IFERROR(__xludf.DUMMYFUNCTION("""COMPUTED_VALUE"""),2.4242424242424243)</f>
        <v>2.424242424</v>
      </c>
      <c r="O1794" s="82">
        <f>IFERROR(__xludf.DUMMYFUNCTION("""COMPUTED_VALUE"""),338.4040404040404)</f>
        <v>338.4040404</v>
      </c>
      <c r="P1794" s="82">
        <f>IFERROR(__xludf.DUMMYFUNCTION("""COMPUTED_VALUE"""),0.6666666666666665)</f>
        <v>0.6666666667</v>
      </c>
      <c r="Q1794" s="82">
        <f>IFERROR(__xludf.DUMMYFUNCTION("""COMPUTED_VALUE"""),0.5050505050505051)</f>
        <v>0.5050505051</v>
      </c>
      <c r="R1794" s="82">
        <f>IFERROR(__xludf.DUMMYFUNCTION("""COMPUTED_VALUE"""),1.3535353535353536)</f>
        <v>1.353535354</v>
      </c>
      <c r="S1794" s="82">
        <f>IFERROR(__xludf.DUMMYFUNCTION("""COMPUTED_VALUE"""),2.3939393939393936)</f>
        <v>2.393939394</v>
      </c>
      <c r="T1794" s="82">
        <f>IFERROR(__xludf.DUMMYFUNCTION("""COMPUTED_VALUE"""),344.44851371540403)</f>
        <v>344.4485137</v>
      </c>
      <c r="U1794" s="82">
        <f>IFERROR(__xludf.DUMMYFUNCTION("""COMPUTED_VALUE"""),0.7456753392206164)</f>
        <v>0.7456753392</v>
      </c>
      <c r="V1794" s="82">
        <f>IFERROR(__xludf.DUMMYFUNCTION("""COMPUTED_VALUE"""),0.5368935776875009)</f>
        <v>0.5368935777</v>
      </c>
      <c r="W1794" s="82">
        <f>IFERROR(__xludf.DUMMYFUNCTION("""COMPUTED_VALUE"""),1.338576348158497)</f>
        <v>1.338576348</v>
      </c>
      <c r="X1794" s="82">
        <f>IFERROR(__xludf.DUMMYFUNCTION("""COMPUTED_VALUE"""),2.4890470413910015)</f>
        <v>2.489047041</v>
      </c>
      <c r="Y1794" s="82">
        <f>IFERROR(__xludf.DUMMYFUNCTION("""COMPUTED_VALUE"""),346.27660871901503)</f>
        <v>346.2766087</v>
      </c>
      <c r="Z1794" s="82">
        <f>IFERROR(__xludf.DUMMYFUNCTION("""COMPUTED_VALUE"""),0.7917311961516026)</f>
        <v>0.7917311962</v>
      </c>
      <c r="AA1794" s="82">
        <f>IFERROR(__xludf.DUMMYFUNCTION("""COMPUTED_VALUE"""),0.5674686376333368)</f>
        <v>0.5674686376</v>
      </c>
      <c r="AB1794" s="82">
        <f>IFERROR(__xludf.DUMMYFUNCTION("""COMPUTED_VALUE"""),1.245613632191356)</f>
        <v>1.245613632</v>
      </c>
      <c r="AC1794" s="82">
        <f>IFERROR(__xludf.DUMMYFUNCTION("""COMPUTED_VALUE"""),2.6524457186144743)</f>
        <v>2.652445719</v>
      </c>
      <c r="AD1794" s="82">
        <f>IFERROR(__xludf.DUMMYFUNCTION("""COMPUTED_VALUE"""),0.951070112854691)</f>
        <v>0.9510701129</v>
      </c>
      <c r="AE1794" s="82">
        <f>IFERROR(__xludf.DUMMYFUNCTION("""COMPUTED_VALUE"""),0.8037622357901683)</f>
        <v>0.8037622358</v>
      </c>
      <c r="AF1794" s="82">
        <f>IFERROR(__xludf.DUMMYFUNCTION("""COMPUTED_VALUE"""),1.0146068656037248)</f>
        <v>1.014606866</v>
      </c>
      <c r="AG1794" s="82">
        <f>IFERROR(__xludf.DUMMYFUNCTION("""COMPUTED_VALUE"""),1.0217672959216229)</f>
        <v>1.021767296</v>
      </c>
      <c r="AH1794" s="82">
        <f>IFERROR(__xludf.DUMMYFUNCTION("""COMPUTED_VALUE"""),0.9139649521305742)</f>
        <v>0.9139649521</v>
      </c>
      <c r="AI1794" s="82">
        <f>IFERROR(__xludf.DUMMYFUNCTION("""COMPUTED_VALUE"""),0.9824517364114459)</f>
        <v>0.9824517364</v>
      </c>
      <c r="AJ1794" s="82">
        <f>IFERROR(__xludf.DUMMYFUNCTION("""COMPUTED_VALUE"""),0.8940441390531567)</f>
        <v>0.8940441391</v>
      </c>
      <c r="AK1794" s="82">
        <f>IFERROR(__xludf.DUMMYFUNCTION("""COMPUTED_VALUE"""),0.940690159166832)</f>
        <v>0.9406901592</v>
      </c>
      <c r="AL1794" s="82">
        <f>IFERROR(__xludf.DUMMYFUNCTION("""COMPUTED_VALUE"""),1.0111753097964387)</f>
        <v>1.01117531</v>
      </c>
      <c r="AM1794" s="82">
        <f>IFERROR(__xludf.DUMMYFUNCTION("""COMPUTED_VALUE"""),0.9617895339581621)</f>
        <v>0.961789534</v>
      </c>
      <c r="AN1794" s="82">
        <f>IFERROR(__xludf.DUMMYFUNCTION("""COMPUTED_VALUE"""),0.9712647410118841)</f>
        <v>0.971264741</v>
      </c>
      <c r="AO1794" s="82">
        <f>IFERROR(__xludf.DUMMYFUNCTION("""COMPUTED_VALUE"""),0.855626505129434)</f>
        <v>0.8556265051</v>
      </c>
      <c r="AP1794" s="82">
        <f>IFERROR(__xludf.DUMMYFUNCTION("""COMPUTED_VALUE"""),1.054890995382263)</f>
        <v>1.054890995</v>
      </c>
      <c r="AQ1794" s="82">
        <f>IFERROR(__xludf.DUMMYFUNCTION("""COMPUTED_VALUE"""),0.9731457489467686)</f>
        <v>0.9731457489</v>
      </c>
      <c r="AR1794" s="82">
        <f>IFERROR(__xludf.DUMMYFUNCTION("""COMPUTED_VALUE"""),0.9690385288792202)</f>
        <v>0.9690385289</v>
      </c>
      <c r="AS1794" s="82">
        <f>IFERROR(__xludf.DUMMYFUNCTION("""COMPUTED_VALUE"""),69.0)</f>
        <v>69</v>
      </c>
      <c r="AT1794" s="82">
        <f>IFERROR(__xludf.DUMMYFUNCTION("""COMPUTED_VALUE"""),0.5166441182844909)</f>
        <v>0.5166441183</v>
      </c>
      <c r="AU1794" s="82">
        <f>IFERROR(__xludf.DUMMYFUNCTION("""COMPUTED_VALUE"""),2.38341521460835)</f>
        <v>2.383415215</v>
      </c>
      <c r="AV1794" s="82">
        <f>IFERROR(__xludf.DUMMYFUNCTION("""COMPUTED_VALUE"""),47.42483080010838)</f>
        <v>47.4248308</v>
      </c>
      <c r="AW1794" s="82">
        <f t="shared" si="1"/>
        <v>-2.17874987</v>
      </c>
      <c r="AX1794" s="83">
        <f t="array" ref="AX1794">IFERROR(DGET('SBV Import'!A:G,"SBV",{"RSC ID","Tier";B1794,A1794}))</f>
        <v>47.86301682</v>
      </c>
      <c r="AY1794" s="82">
        <f t="shared" si="2"/>
        <v>-2.146198322</v>
      </c>
      <c r="AZ1794" s="82">
        <v>0.03255154787930481</v>
      </c>
      <c r="BA1794" s="84">
        <v>1700.0</v>
      </c>
      <c r="BB1794" s="84" t="b">
        <f>IFERROR(__xludf.DUMMYFUNCTION("iferror(if(A1794="""",,E1794&gt;=FILTER(Constants!$F$2:$F$10,Constants!$A$2:$A$10=A1794)))"),TRUE)</f>
        <v>1</v>
      </c>
    </row>
    <row r="1795">
      <c r="A1795" s="89" t="str">
        <f>IFERROR(__xludf.DUMMYFUNCTION("""COMPUTED_VALUE"""),"Rival")</f>
        <v>Rival</v>
      </c>
      <c r="B1795" s="87" t="str">
        <f>IFERROR(__xludf.DUMMYFUNCTION("""COMPUTED_VALUE"""),"RSC007549")</f>
        <v>RSC007549</v>
      </c>
      <c r="C1795" s="73" t="str">
        <f>IFERROR(__xludf.DUMMYFUNCTION("""COMPUTED_VALUE"""),"Whiffy_RL")</f>
        <v>Whiffy_RL</v>
      </c>
      <c r="D1795" s="73" t="str">
        <f>IFERROR(__xludf.DUMMYFUNCTION("""COMPUTED_VALUE"""),"Apple Associates")</f>
        <v>Apple Associates</v>
      </c>
      <c r="E1795" s="82">
        <f>IFERROR(__xludf.DUMMYFUNCTION("""COMPUTED_VALUE"""),4.0)</f>
        <v>4</v>
      </c>
      <c r="F1795" s="82">
        <f>IFERROR(__xludf.DUMMYFUNCTION("""COMPUTED_VALUE"""),2.0)</f>
        <v>2</v>
      </c>
      <c r="G1795" s="86">
        <f>IFERROR(__xludf.DUMMYFUNCTION("""COMPUTED_VALUE"""),2.0)</f>
        <v>2</v>
      </c>
      <c r="H1795" s="86">
        <f>IFERROR(__xludf.DUMMYFUNCTION("""COMPUTED_VALUE"""),0.5)</f>
        <v>0.5</v>
      </c>
      <c r="I1795" s="86">
        <f>IFERROR(__xludf.DUMMYFUNCTION("""COMPUTED_VALUE"""),0.375)</f>
        <v>0.375</v>
      </c>
      <c r="J1795" s="82">
        <f>IFERROR(__xludf.DUMMYFUNCTION("""COMPUTED_VALUE"""),275.0)</f>
        <v>275</v>
      </c>
      <c r="K1795" s="82">
        <f>IFERROR(__xludf.DUMMYFUNCTION("""COMPUTED_VALUE"""),0.75)</f>
        <v>0.75</v>
      </c>
      <c r="L1795" s="82">
        <f>IFERROR(__xludf.DUMMYFUNCTION("""COMPUTED_VALUE"""),0.75)</f>
        <v>0.75</v>
      </c>
      <c r="M1795" s="82">
        <f>IFERROR(__xludf.DUMMYFUNCTION("""COMPUTED_VALUE"""),0.75)</f>
        <v>0.75</v>
      </c>
      <c r="N1795" s="82">
        <f>IFERROR(__xludf.DUMMYFUNCTION("""COMPUTED_VALUE"""),2.0)</f>
        <v>2</v>
      </c>
      <c r="O1795" s="82">
        <f>IFERROR(__xludf.DUMMYFUNCTION("""COMPUTED_VALUE"""),306.9166666666667)</f>
        <v>306.9166667</v>
      </c>
      <c r="P1795" s="82">
        <f>IFERROR(__xludf.DUMMYFUNCTION("""COMPUTED_VALUE"""),0.8333333333333333)</f>
        <v>0.8333333333</v>
      </c>
      <c r="Q1795" s="82">
        <f>IFERROR(__xludf.DUMMYFUNCTION("""COMPUTED_VALUE"""),0.41666666666666663)</f>
        <v>0.4166666667</v>
      </c>
      <c r="R1795" s="82">
        <f>IFERROR(__xludf.DUMMYFUNCTION("""COMPUTED_VALUE"""),0.9166666666666665)</f>
        <v>0.9166666667</v>
      </c>
      <c r="S1795" s="82">
        <f>IFERROR(__xludf.DUMMYFUNCTION("""COMPUTED_VALUE"""),2.8333333333333335)</f>
        <v>2.833333333</v>
      </c>
      <c r="T1795" s="82">
        <f>IFERROR(__xludf.DUMMYFUNCTION("""COMPUTED_VALUE"""),353.0242003367003)</f>
        <v>353.0242003</v>
      </c>
      <c r="U1795" s="82">
        <f>IFERROR(__xludf.DUMMYFUNCTION("""COMPUTED_VALUE"""),0.7236952861952862)</f>
        <v>0.7236952862</v>
      </c>
      <c r="V1795" s="82">
        <f>IFERROR(__xludf.DUMMYFUNCTION("""COMPUTED_VALUE"""),0.5094696969696969)</f>
        <v>0.509469697</v>
      </c>
      <c r="W1795" s="82">
        <f>IFERROR(__xludf.DUMMYFUNCTION("""COMPUTED_VALUE"""),1.4968434343434343)</f>
        <v>1.496843434</v>
      </c>
      <c r="X1795" s="82">
        <f>IFERROR(__xludf.DUMMYFUNCTION("""COMPUTED_VALUE"""),2.6801346801346804)</f>
        <v>2.68013468</v>
      </c>
      <c r="Y1795" s="82">
        <f>IFERROR(__xludf.DUMMYFUNCTION("""COMPUTED_VALUE"""),353.40116442199786)</f>
        <v>353.4011644</v>
      </c>
      <c r="Z1795" s="82">
        <f>IFERROR(__xludf.DUMMYFUNCTION("""COMPUTED_VALUE"""),0.8108866442199774)</f>
        <v>0.8108866442</v>
      </c>
      <c r="AA1795" s="82">
        <f>IFERROR(__xludf.DUMMYFUNCTION("""COMPUTED_VALUE"""),0.609006734006734)</f>
        <v>0.609006734</v>
      </c>
      <c r="AB1795" s="82">
        <f>IFERROR(__xludf.DUMMYFUNCTION("""COMPUTED_VALUE"""),1.3526936026936027)</f>
        <v>1.352693603</v>
      </c>
      <c r="AC1795" s="82">
        <f>IFERROR(__xludf.DUMMYFUNCTION("""COMPUTED_VALUE"""),2.7267115600448935)</f>
        <v>2.72671156</v>
      </c>
      <c r="AD1795" s="82">
        <f>IFERROR(__xludf.DUMMYFUNCTION("""COMPUTED_VALUE"""),0.7781525011378324)</f>
        <v>0.7781525011</v>
      </c>
      <c r="AE1795" s="82">
        <f>IFERROR(__xludf.DUMMYFUNCTION("""COMPUTED_VALUE"""),0.9249134948096888)</f>
        <v>0.9249134948</v>
      </c>
      <c r="AF1795" s="82">
        <f>IFERROR(__xludf.DUMMYFUNCTION("""COMPUTED_VALUE"""),1.2315134761575675)</f>
        <v>1.231513476</v>
      </c>
      <c r="AG1795" s="82">
        <f>IFERROR(__xludf.DUMMYFUNCTION("""COMPUTED_VALUE"""),0.5544492843808339)</f>
        <v>0.5544492844</v>
      </c>
      <c r="AH1795" s="82">
        <f>IFERROR(__xludf.DUMMYFUNCTION("""COMPUTED_VALUE"""),0.7334842560197571)</f>
        <v>0.733484256</v>
      </c>
      <c r="AI1795" s="82">
        <f>IFERROR(__xludf.DUMMYFUNCTION("""COMPUTED_VALUE"""),0.8693927112473929)</f>
        <v>0.8693927112</v>
      </c>
      <c r="AJ1795" s="82">
        <f>IFERROR(__xludf.DUMMYFUNCTION("""COMPUTED_VALUE"""),1.1514975283512647)</f>
        <v>1.151497528</v>
      </c>
      <c r="AK1795" s="82">
        <f>IFERROR(__xludf.DUMMYFUNCTION("""COMPUTED_VALUE"""),0.8178438661710038)</f>
        <v>0.8178438662</v>
      </c>
      <c r="AL1795" s="82">
        <f>IFERROR(__xludf.DUMMYFUNCTION("""COMPUTED_VALUE"""),0.6123998312948122)</f>
        <v>0.6123998313</v>
      </c>
      <c r="AM1795" s="82">
        <f>IFERROR(__xludf.DUMMYFUNCTION("""COMPUTED_VALUE"""),1.0571608040201004)</f>
        <v>1.057160804</v>
      </c>
      <c r="AN1795" s="82">
        <f>IFERROR(__xludf.DUMMYFUNCTION("""COMPUTED_VALUE"""),0.8110257199744985)</f>
        <v>0.81102572</v>
      </c>
      <c r="AO1795" s="82">
        <f>IFERROR(__xludf.DUMMYFUNCTION("""COMPUTED_VALUE"""),1.0084169524739757)</f>
        <v>1.008416952</v>
      </c>
      <c r="AP1795" s="82">
        <f>IFERROR(__xludf.DUMMYFUNCTION("""COMPUTED_VALUE"""),1.374134322932158)</f>
        <v>1.374134323</v>
      </c>
      <c r="AQ1795" s="82">
        <f>IFERROR(__xludf.DUMMYFUNCTION("""COMPUTED_VALUE"""),0.5734608877722029)</f>
        <v>0.5734608878</v>
      </c>
      <c r="AR1795" s="82">
        <f>IFERROR(__xludf.DUMMYFUNCTION("""COMPUTED_VALUE"""),0.7994567863253565)</f>
        <v>0.7994567863</v>
      </c>
      <c r="AS1795" s="82">
        <f>IFERROR(__xludf.DUMMYFUNCTION("""COMPUTED_VALUE"""),9.0)</f>
        <v>9</v>
      </c>
      <c r="AT1795" s="82">
        <f>IFERROR(__xludf.DUMMYFUNCTION("""COMPUTED_VALUE"""),0.4588994242296676)</f>
        <v>0.4588994242</v>
      </c>
      <c r="AU1795" s="82">
        <f>IFERROR(__xludf.DUMMYFUNCTION("""COMPUTED_VALUE"""),2.3786796453400703)</f>
        <v>2.378679645</v>
      </c>
      <c r="AV1795" s="82">
        <f>IFERROR(__xludf.DUMMYFUNCTION("""COMPUTED_VALUE"""),47.28925157075636)</f>
        <v>47.28925157</v>
      </c>
      <c r="AW1795" s="82">
        <f t="shared" si="1"/>
        <v>-2.189010902</v>
      </c>
      <c r="AX1795" s="83">
        <f t="array" ref="AX1795">IFERROR(DGET('SBV Import'!A:G,"SBV",{"RSC ID","Tier";B1795,A1795}))</f>
        <v>32.87205479</v>
      </c>
      <c r="AY1795" s="82">
        <f t="shared" si="2"/>
        <v>-4.054577998</v>
      </c>
      <c r="AZ1795" s="82">
        <v>1.8655670957905404</v>
      </c>
      <c r="BA1795" s="84">
        <v>1700.0</v>
      </c>
      <c r="BB1795" s="84" t="b">
        <f>IFERROR(__xludf.DUMMYFUNCTION("iferror(if(A1795="""",,E1795&gt;=FILTER(Constants!$F$2:$F$10,Constants!$A$2:$A$10=A1795)))"),TRUE)</f>
        <v>1</v>
      </c>
    </row>
    <row r="1796">
      <c r="A1796" s="89" t="str">
        <f>IFERROR(__xludf.DUMMYFUNCTION("""COMPUTED_VALUE"""),"Rival")</f>
        <v>Rival</v>
      </c>
      <c r="B1796" s="87" t="str">
        <f>IFERROR(__xludf.DUMMYFUNCTION("""COMPUTED_VALUE"""),"RSC007999")</f>
        <v>RSC007999</v>
      </c>
      <c r="C1796" s="73" t="str">
        <f>IFERROR(__xludf.DUMMYFUNCTION("""COMPUTED_VALUE"""),"MerzR")</f>
        <v>MerzR</v>
      </c>
      <c r="D1796" s="73"/>
      <c r="E1796" s="82">
        <f>IFERROR(__xludf.DUMMYFUNCTION("""COMPUTED_VALUE"""),21.0)</f>
        <v>21</v>
      </c>
      <c r="F1796" s="82">
        <f>IFERROR(__xludf.DUMMYFUNCTION("""COMPUTED_VALUE"""),5.0)</f>
        <v>5</v>
      </c>
      <c r="G1796" s="86">
        <f>IFERROR(__xludf.DUMMYFUNCTION("""COMPUTED_VALUE"""),16.0)</f>
        <v>16</v>
      </c>
      <c r="H1796" s="86">
        <f>IFERROR(__xludf.DUMMYFUNCTION("""COMPUTED_VALUE"""),0.23809523809523808)</f>
        <v>0.2380952381</v>
      </c>
      <c r="I1796" s="86">
        <f>IFERROR(__xludf.DUMMYFUNCTION("""COMPUTED_VALUE"""),0.3877551020408163)</f>
        <v>0.387755102</v>
      </c>
      <c r="J1796" s="82">
        <f>IFERROR(__xludf.DUMMYFUNCTION("""COMPUTED_VALUE"""),383.5238095238095)</f>
        <v>383.5238095</v>
      </c>
      <c r="K1796" s="82">
        <f>IFERROR(__xludf.DUMMYFUNCTION("""COMPUTED_VALUE"""),0.9047619047619048)</f>
        <v>0.9047619048</v>
      </c>
      <c r="L1796" s="82">
        <f>IFERROR(__xludf.DUMMYFUNCTION("""COMPUTED_VALUE"""),0.3333333333333333)</f>
        <v>0.3333333333</v>
      </c>
      <c r="M1796" s="82">
        <f>IFERROR(__xludf.DUMMYFUNCTION("""COMPUTED_VALUE"""),1.8571428571428572)</f>
        <v>1.857142857</v>
      </c>
      <c r="N1796" s="82">
        <f>IFERROR(__xludf.DUMMYFUNCTION("""COMPUTED_VALUE"""),2.3333333333333335)</f>
        <v>2.333333333</v>
      </c>
      <c r="O1796" s="82">
        <f>IFERROR(__xludf.DUMMYFUNCTION("""COMPUTED_VALUE"""),360.69841269841277)</f>
        <v>360.6984127</v>
      </c>
      <c r="P1796" s="82">
        <f>IFERROR(__xludf.DUMMYFUNCTION("""COMPUTED_VALUE"""),0.8888888888888887)</f>
        <v>0.8888888889</v>
      </c>
      <c r="Q1796" s="82">
        <f>IFERROR(__xludf.DUMMYFUNCTION("""COMPUTED_VALUE"""),0.7619047619047619)</f>
        <v>0.7619047619</v>
      </c>
      <c r="R1796" s="82">
        <f>IFERROR(__xludf.DUMMYFUNCTION("""COMPUTED_VALUE"""),1.0158730158730163)</f>
        <v>1.015873016</v>
      </c>
      <c r="S1796" s="82">
        <f>IFERROR(__xludf.DUMMYFUNCTION("""COMPUTED_VALUE"""),2.73015873015873)</f>
        <v>2.73015873</v>
      </c>
      <c r="T1796" s="82">
        <f>IFERROR(__xludf.DUMMYFUNCTION("""COMPUTED_VALUE"""),340.15074882271)</f>
        <v>340.1507488</v>
      </c>
      <c r="U1796" s="82">
        <f>IFERROR(__xludf.DUMMYFUNCTION("""COMPUTED_VALUE"""),0.7894407897069949)</f>
        <v>0.7894407897</v>
      </c>
      <c r="V1796" s="82">
        <f>IFERROR(__xludf.DUMMYFUNCTION("""COMPUTED_VALUE"""),0.5342995337832156)</f>
        <v>0.5342995338</v>
      </c>
      <c r="W1796" s="82">
        <f>IFERROR(__xludf.DUMMYFUNCTION("""COMPUTED_VALUE"""),1.241610687201358)</f>
        <v>1.241610687</v>
      </c>
      <c r="X1796" s="82">
        <f>IFERROR(__xludf.DUMMYFUNCTION("""COMPUTED_VALUE"""),2.536283158881387)</f>
        <v>2.536283159</v>
      </c>
      <c r="Y1796" s="82">
        <f>IFERROR(__xludf.DUMMYFUNCTION("""COMPUTED_VALUE"""),346.7696550145755)</f>
        <v>346.769655</v>
      </c>
      <c r="Z1796" s="82">
        <f>IFERROR(__xludf.DUMMYFUNCTION("""COMPUTED_VALUE"""),0.7851717984765524)</f>
        <v>0.7851717985</v>
      </c>
      <c r="AA1796" s="82">
        <f>IFERROR(__xludf.DUMMYFUNCTION("""COMPUTED_VALUE"""),0.572657764910982)</f>
        <v>0.5726577649</v>
      </c>
      <c r="AB1796" s="82">
        <f>IFERROR(__xludf.DUMMYFUNCTION("""COMPUTED_VALUE"""),1.2798710685989456)</f>
        <v>1.279871069</v>
      </c>
      <c r="AC1796" s="82">
        <f>IFERROR(__xludf.DUMMYFUNCTION("""COMPUTED_VALUE"""),2.486800127501127)</f>
        <v>2.486800128</v>
      </c>
      <c r="AD1796" s="82">
        <f>IFERROR(__xludf.DUMMYFUNCTION("""COMPUTED_VALUE"""),1.1059901118155484)</f>
        <v>1.105990112</v>
      </c>
      <c r="AE1796" s="82">
        <f>IFERROR(__xludf.DUMMYFUNCTION("""COMPUTED_VALUE"""),1.1523107509941006)</f>
        <v>1.152310751</v>
      </c>
      <c r="AF1796" s="82">
        <f>IFERROR(__xludf.DUMMYFUNCTION("""COMPUTED_VALUE"""),0.5820812250492212)</f>
        <v>0.582081225</v>
      </c>
      <c r="AG1796" s="82">
        <f>IFERROR(__xludf.DUMMYFUNCTION("""COMPUTED_VALUE"""),1.4510390169033525)</f>
        <v>1.451039017</v>
      </c>
      <c r="AH1796" s="82">
        <f>IFERROR(__xludf.DUMMYFUNCTION("""COMPUTED_VALUE"""),0.9382874431802425)</f>
        <v>0.9382874432</v>
      </c>
      <c r="AI1796" s="82">
        <f>IFERROR(__xludf.DUMMYFUNCTION("""COMPUTED_VALUE"""),1.0604075220966585)</f>
        <v>1.060407522</v>
      </c>
      <c r="AJ1796" s="82">
        <f>IFERROR(__xludf.DUMMYFUNCTION("""COMPUTED_VALUE"""),1.1259728411282175)</f>
        <v>1.125972841</v>
      </c>
      <c r="AK1796" s="82">
        <f>IFERROR(__xludf.DUMMYFUNCTION("""COMPUTED_VALUE"""),1.4259880717281215)</f>
        <v>1.425988072</v>
      </c>
      <c r="AL1796" s="82">
        <f>IFERROR(__xludf.DUMMYFUNCTION("""COMPUTED_VALUE"""),0.8181896518326821)</f>
        <v>0.8181896518</v>
      </c>
      <c r="AM1796" s="82">
        <f>IFERROR(__xludf.DUMMYFUNCTION("""COMPUTED_VALUE"""),1.0764408227048476)</f>
        <v>1.076440823</v>
      </c>
      <c r="AN1796" s="82">
        <f>IFERROR(__xludf.DUMMYFUNCTION("""COMPUTED_VALUE"""),1.1310824499869454)</f>
        <v>1.13108245</v>
      </c>
      <c r="AO1796" s="82">
        <f>IFERROR(__xludf.DUMMYFUNCTION("""COMPUTED_VALUE"""),1.216502990286066)</f>
        <v>1.21650299</v>
      </c>
      <c r="AP1796" s="82">
        <f>IFERROR(__xludf.DUMMYFUNCTION("""COMPUTED_VALUE"""),0.6107263657476258)</f>
        <v>0.6107263657</v>
      </c>
      <c r="AQ1796" s="82">
        <f>IFERROR(__xludf.DUMMYFUNCTION("""COMPUTED_VALUE"""),1.4199983887692644)</f>
        <v>1.419998389</v>
      </c>
      <c r="AR1796" s="82">
        <f>IFERROR(__xludf.DUMMYFUNCTION("""COMPUTED_VALUE"""),0.9326995840462494)</f>
        <v>0.932699584</v>
      </c>
      <c r="AS1796" s="82">
        <f>IFERROR(__xludf.DUMMYFUNCTION("""COMPUTED_VALUE"""),40.0)</f>
        <v>40</v>
      </c>
      <c r="AT1796" s="82">
        <f>IFERROR(__xludf.DUMMYFUNCTION("""COMPUTED_VALUE"""),0.3727455777108814)</f>
        <v>0.3727455777</v>
      </c>
      <c r="AU1796" s="82">
        <f>IFERROR(__xludf.DUMMYFUNCTION("""COMPUTED_VALUE"""),2.3376126424050456)</f>
        <v>2.337612642</v>
      </c>
      <c r="AV1796" s="82">
        <f>IFERROR(__xludf.DUMMYFUNCTION("""COMPUTED_VALUE"""),46.11350430695374)</f>
        <v>46.11350431</v>
      </c>
      <c r="AW1796" s="82">
        <f t="shared" si="1"/>
        <v>-2.281909829</v>
      </c>
      <c r="AX1796" s="83">
        <f t="array" ref="AX1796">IFERROR(DGET('SBV Import'!A:G,"SBV",{"RSC ID","Tier";B1796,A1796}))</f>
        <v>58.21544254</v>
      </c>
      <c r="AY1796" s="82">
        <f t="shared" si="2"/>
        <v>2.693803444</v>
      </c>
      <c r="AZ1796" s="82">
        <v>4.975713273474495</v>
      </c>
      <c r="BA1796" s="84">
        <v>1700.0</v>
      </c>
      <c r="BB1796" s="84" t="b">
        <f>IFERROR(__xludf.DUMMYFUNCTION("iferror(if(A1796="""",,E1796&gt;=FILTER(Constants!$F$2:$F$10,Constants!$A$2:$A$10=A1796)))"),TRUE)</f>
        <v>1</v>
      </c>
    </row>
    <row r="1797">
      <c r="A1797" s="89" t="str">
        <f>IFERROR(__xludf.DUMMYFUNCTION("""COMPUTED_VALUE"""),"Rival")</f>
        <v>Rival</v>
      </c>
      <c r="B1797" s="87" t="str">
        <f>IFERROR(__xludf.DUMMYFUNCTION("""COMPUTED_VALUE"""),"RSC005832")</f>
        <v>RSC005832</v>
      </c>
      <c r="C1797" s="73" t="str">
        <f>IFERROR(__xludf.DUMMYFUNCTION("""COMPUTED_VALUE"""),"TH4NA70S")</f>
        <v>TH4NA70S</v>
      </c>
      <c r="D1797" s="73" t="str">
        <f>IFERROR(__xludf.DUMMYFUNCTION("""COMPUTED_VALUE"""),"Polar Ice")</f>
        <v>Polar Ice</v>
      </c>
      <c r="E1797" s="82">
        <f>IFERROR(__xludf.DUMMYFUNCTION("""COMPUTED_VALUE"""),36.0)</f>
        <v>36</v>
      </c>
      <c r="F1797" s="82">
        <f>IFERROR(__xludf.DUMMYFUNCTION("""COMPUTED_VALUE"""),18.0)</f>
        <v>18</v>
      </c>
      <c r="G1797" s="86">
        <f>IFERROR(__xludf.DUMMYFUNCTION("""COMPUTED_VALUE"""),18.0)</f>
        <v>18</v>
      </c>
      <c r="H1797" s="86">
        <f>IFERROR(__xludf.DUMMYFUNCTION("""COMPUTED_VALUE"""),0.5)</f>
        <v>0.5</v>
      </c>
      <c r="I1797" s="86">
        <f>IFERROR(__xludf.DUMMYFUNCTION("""COMPUTED_VALUE"""),0.20408163265306123)</f>
        <v>0.2040816327</v>
      </c>
      <c r="J1797" s="82">
        <f>IFERROR(__xludf.DUMMYFUNCTION("""COMPUTED_VALUE"""),362.47222222222223)</f>
        <v>362.4722222</v>
      </c>
      <c r="K1797" s="82">
        <f>IFERROR(__xludf.DUMMYFUNCTION("""COMPUTED_VALUE"""),0.5555555555555556)</f>
        <v>0.5555555556</v>
      </c>
      <c r="L1797" s="82">
        <f>IFERROR(__xludf.DUMMYFUNCTION("""COMPUTED_VALUE"""),0.5)</f>
        <v>0.5</v>
      </c>
      <c r="M1797" s="82">
        <f>IFERROR(__xludf.DUMMYFUNCTION("""COMPUTED_VALUE"""),1.75)</f>
        <v>1.75</v>
      </c>
      <c r="N1797" s="82">
        <f>IFERROR(__xludf.DUMMYFUNCTION("""COMPUTED_VALUE"""),2.7222222222222223)</f>
        <v>2.722222222</v>
      </c>
      <c r="O1797" s="82">
        <f>IFERROR(__xludf.DUMMYFUNCTION("""COMPUTED_VALUE"""),360.7407407407408)</f>
        <v>360.7407407</v>
      </c>
      <c r="P1797" s="82">
        <f>IFERROR(__xludf.DUMMYFUNCTION("""COMPUTED_VALUE"""),0.824074074074074)</f>
        <v>0.8240740741</v>
      </c>
      <c r="Q1797" s="82">
        <f>IFERROR(__xludf.DUMMYFUNCTION("""COMPUTED_VALUE"""),0.6388888888888888)</f>
        <v>0.6388888889</v>
      </c>
      <c r="R1797" s="82">
        <f>IFERROR(__xludf.DUMMYFUNCTION("""COMPUTED_VALUE"""),1.361111111111111)</f>
        <v>1.361111111</v>
      </c>
      <c r="S1797" s="82">
        <f>IFERROR(__xludf.DUMMYFUNCTION("""COMPUTED_VALUE"""),2.824074074074074)</f>
        <v>2.824074074</v>
      </c>
      <c r="T1797" s="82">
        <f>IFERROR(__xludf.DUMMYFUNCTION("""COMPUTED_VALUE"""),353.8460163948992)</f>
        <v>353.8460164</v>
      </c>
      <c r="U1797" s="82">
        <f>IFERROR(__xludf.DUMMYFUNCTION("""COMPUTED_VALUE"""),0.8346955897619495)</f>
        <v>0.8346955898</v>
      </c>
      <c r="V1797" s="82">
        <f>IFERROR(__xludf.DUMMYFUNCTION("""COMPUTED_VALUE"""),0.605925096987103)</f>
        <v>0.605925097</v>
      </c>
      <c r="W1797" s="82">
        <f>IFERROR(__xludf.DUMMYFUNCTION("""COMPUTED_VALUE"""),1.2906939832139805)</f>
        <v>1.290693983</v>
      </c>
      <c r="X1797" s="82">
        <f>IFERROR(__xludf.DUMMYFUNCTION("""COMPUTED_VALUE"""),2.578543599565032)</f>
        <v>2.5785436</v>
      </c>
      <c r="Y1797" s="82">
        <f>IFERROR(__xludf.DUMMYFUNCTION("""COMPUTED_VALUE"""),341.775479315096)</f>
        <v>341.7754793</v>
      </c>
      <c r="Z1797" s="82">
        <f>IFERROR(__xludf.DUMMYFUNCTION("""COMPUTED_VALUE"""),0.7539627872882425)</f>
        <v>0.7539627873</v>
      </c>
      <c r="AA1797" s="82">
        <f>IFERROR(__xludf.DUMMYFUNCTION("""COMPUTED_VALUE"""),0.528541379965698)</f>
        <v>0.52854138</v>
      </c>
      <c r="AB1797" s="82">
        <f>IFERROR(__xludf.DUMMYFUNCTION("""COMPUTED_VALUE"""),1.290352913982347)</f>
        <v>1.290352914</v>
      </c>
      <c r="AC1797" s="82">
        <f>IFERROR(__xludf.DUMMYFUNCTION("""COMPUTED_VALUE"""),2.511786192145615)</f>
        <v>2.511786192</v>
      </c>
      <c r="AD1797" s="82">
        <f>IFERROR(__xludf.DUMMYFUNCTION("""COMPUTED_VALUE"""),1.0605565470893397)</f>
        <v>1.060556547</v>
      </c>
      <c r="AE1797" s="82">
        <f>IFERROR(__xludf.DUMMYFUNCTION("""COMPUTED_VALUE"""),0.7368474478080107)</f>
        <v>0.7368474478</v>
      </c>
      <c r="AF1797" s="82">
        <f>IFERROR(__xludf.DUMMYFUNCTION("""COMPUTED_VALUE"""),0.9459997248133147)</f>
        <v>0.9459997248</v>
      </c>
      <c r="AG1797" s="82">
        <f>IFERROR(__xludf.DUMMYFUNCTION("""COMPUTED_VALUE"""),1.3562181175683703)</f>
        <v>1.356218118</v>
      </c>
      <c r="AH1797" s="82">
        <f>IFERROR(__xludf.DUMMYFUNCTION("""COMPUTED_VALUE"""),1.083779435819276)</f>
        <v>1.083779436</v>
      </c>
      <c r="AI1797" s="82">
        <f>IFERROR(__xludf.DUMMYFUNCTION("""COMPUTED_VALUE"""),1.0194850981115666)</f>
        <v>1.019485098</v>
      </c>
      <c r="AJ1797" s="82">
        <f>IFERROR(__xludf.DUMMYFUNCTION("""COMPUTED_VALUE"""),0.9872749828582361)</f>
        <v>0.9872749829</v>
      </c>
      <c r="AK1797" s="82">
        <f>IFERROR(__xludf.DUMMYFUNCTION("""COMPUTED_VALUE"""),1.054402420473578)</f>
        <v>1.05440242</v>
      </c>
      <c r="AL1797" s="82">
        <f>IFERROR(__xludf.DUMMYFUNCTION("""COMPUTED_VALUE"""),1.0545575704333752)</f>
        <v>1.05455757</v>
      </c>
      <c r="AM1797" s="82">
        <f>IFERROR(__xludf.DUMMYFUNCTION("""COMPUTED_VALUE"""),1.095220602261858)</f>
        <v>1.095220602</v>
      </c>
      <c r="AN1797" s="82">
        <f>IFERROR(__xludf.DUMMYFUNCTION("""COMPUTED_VALUE"""),1.0689974363583061)</f>
        <v>1.068997436</v>
      </c>
      <c r="AO1797" s="82">
        <f>IFERROR(__xludf.DUMMYFUNCTION("""COMPUTED_VALUE"""),0.7469755203510932)</f>
        <v>0.7469755204</v>
      </c>
      <c r="AP1797" s="82">
        <f>IFERROR(__xludf.DUMMYFUNCTION("""COMPUTED_VALUE"""),0.9160895486214388)</f>
        <v>0.9160895486</v>
      </c>
      <c r="AQ1797" s="82">
        <f>IFERROR(__xludf.DUMMYFUNCTION("""COMPUTED_VALUE"""),1.3380754048018069)</f>
        <v>1.338075405</v>
      </c>
      <c r="AR1797" s="82">
        <f>IFERROR(__xludf.DUMMYFUNCTION("""COMPUTED_VALUE"""),1.0881495147206244)</f>
        <v>1.088149515</v>
      </c>
      <c r="AS1797" s="82">
        <f>IFERROR(__xludf.DUMMYFUNCTION("""COMPUTED_VALUE"""),70.0)</f>
        <v>70</v>
      </c>
      <c r="AT1797" s="82">
        <f>IFERROR(__xludf.DUMMYFUNCTION("""COMPUTED_VALUE"""),0.40907334460957623)</f>
        <v>0.4090733446</v>
      </c>
      <c r="AU1797" s="82">
        <f>IFERROR(__xludf.DUMMYFUNCTION("""COMPUTED_VALUE"""),2.31409237579977)</f>
        <v>2.314092376</v>
      </c>
      <c r="AV1797" s="82">
        <f>IFERROR(__xludf.DUMMYFUNCTION("""COMPUTED_VALUE"""),45.440119664085735)</f>
        <v>45.44011966</v>
      </c>
      <c r="AW1797" s="82">
        <f t="shared" si="1"/>
        <v>-2.338435772</v>
      </c>
      <c r="AX1797" s="83">
        <f t="array" ref="AX1797">IFERROR(DGET('SBV Import'!A:G,"SBV",{"RSC ID","Tier";B1797,A1797}))</f>
        <v>45.08037752</v>
      </c>
      <c r="AY1797" s="82">
        <f t="shared" si="2"/>
        <v>-2.369679846</v>
      </c>
      <c r="AZ1797" s="82">
        <v>0.031244074265786015</v>
      </c>
      <c r="BA1797" s="84">
        <v>1700.0</v>
      </c>
      <c r="BB1797" s="84" t="b">
        <f>IFERROR(__xludf.DUMMYFUNCTION("iferror(if(A1797="""",,E1797&gt;=FILTER(Constants!$F$2:$F$10,Constants!$A$2:$A$10=A1797)))"),TRUE)</f>
        <v>1</v>
      </c>
    </row>
    <row r="1798">
      <c r="A1798" s="89" t="str">
        <f>IFERROR(__xludf.DUMMYFUNCTION("""COMPUTED_VALUE"""),"Rival")</f>
        <v>Rival</v>
      </c>
      <c r="B1798" s="87" t="str">
        <f>IFERROR(__xludf.DUMMYFUNCTION("""COMPUTED_VALUE"""),"RSC000848")</f>
        <v>RSC000848</v>
      </c>
      <c r="C1798" s="73" t="str">
        <f>IFERROR(__xludf.DUMMYFUNCTION("""COMPUTED_VALUE"""),"WittingHalo64")</f>
        <v>WittingHalo64</v>
      </c>
      <c r="D1798" s="73" t="str">
        <f>IFERROR(__xludf.DUMMYFUNCTION("""COMPUTED_VALUE"""),"Ruthless Racket")</f>
        <v>Ruthless Racket</v>
      </c>
      <c r="E1798" s="82">
        <f>IFERROR(__xludf.DUMMYFUNCTION("""COMPUTED_VALUE"""),41.0)</f>
        <v>41</v>
      </c>
      <c r="F1798" s="82">
        <f>IFERROR(__xludf.DUMMYFUNCTION("""COMPUTED_VALUE"""),15.0)</f>
        <v>15</v>
      </c>
      <c r="G1798" s="86">
        <f>IFERROR(__xludf.DUMMYFUNCTION("""COMPUTED_VALUE"""),26.0)</f>
        <v>26</v>
      </c>
      <c r="H1798" s="86">
        <f>IFERROR(__xludf.DUMMYFUNCTION("""COMPUTED_VALUE"""),0.36585365853658536)</f>
        <v>0.3658536585</v>
      </c>
      <c r="I1798" s="86">
        <f>IFERROR(__xludf.DUMMYFUNCTION("""COMPUTED_VALUE"""),0.24271844660194175)</f>
        <v>0.2427184466</v>
      </c>
      <c r="J1798" s="82">
        <f>IFERROR(__xludf.DUMMYFUNCTION("""COMPUTED_VALUE"""),333.8292682926829)</f>
        <v>333.8292683</v>
      </c>
      <c r="K1798" s="82">
        <f>IFERROR(__xludf.DUMMYFUNCTION("""COMPUTED_VALUE"""),0.6097560975609756)</f>
        <v>0.6097560976</v>
      </c>
      <c r="L1798" s="82">
        <f>IFERROR(__xludf.DUMMYFUNCTION("""COMPUTED_VALUE"""),0.5365853658536586)</f>
        <v>0.5365853659</v>
      </c>
      <c r="M1798" s="82">
        <f>IFERROR(__xludf.DUMMYFUNCTION("""COMPUTED_VALUE"""),1.2926829268292683)</f>
        <v>1.292682927</v>
      </c>
      <c r="N1798" s="82">
        <f>IFERROR(__xludf.DUMMYFUNCTION("""COMPUTED_VALUE"""),2.5121951219512195)</f>
        <v>2.512195122</v>
      </c>
      <c r="O1798" s="82">
        <f>IFERROR(__xludf.DUMMYFUNCTION("""COMPUTED_VALUE"""),351.2764227642277)</f>
        <v>351.2764228</v>
      </c>
      <c r="P1798" s="82">
        <f>IFERROR(__xludf.DUMMYFUNCTION("""COMPUTED_VALUE"""),0.8455284552845528)</f>
        <v>0.8455284553</v>
      </c>
      <c r="Q1798" s="82">
        <f>IFERROR(__xludf.DUMMYFUNCTION("""COMPUTED_VALUE"""),0.6260162601626016)</f>
        <v>0.6260162602</v>
      </c>
      <c r="R1798" s="82">
        <f>IFERROR(__xludf.DUMMYFUNCTION("""COMPUTED_VALUE"""),1.1138211382113818)</f>
        <v>1.113821138</v>
      </c>
      <c r="S1798" s="82">
        <f>IFERROR(__xludf.DUMMYFUNCTION("""COMPUTED_VALUE"""),2.7804878048780486)</f>
        <v>2.780487805</v>
      </c>
      <c r="T1798" s="82">
        <f>IFERROR(__xludf.DUMMYFUNCTION("""COMPUTED_VALUE"""),349.571594739689)</f>
        <v>349.5715947</v>
      </c>
      <c r="U1798" s="82">
        <f>IFERROR(__xludf.DUMMYFUNCTION("""COMPUTED_VALUE"""),0.830285754327614)</f>
        <v>0.8302857543</v>
      </c>
      <c r="V1798" s="82">
        <f>IFERROR(__xludf.DUMMYFUNCTION("""COMPUTED_VALUE"""),0.5827722195207409)</f>
        <v>0.5827722195</v>
      </c>
      <c r="W1798" s="82">
        <f>IFERROR(__xludf.DUMMYFUNCTION("""COMPUTED_VALUE"""),1.229291560453991)</f>
        <v>1.22929156</v>
      </c>
      <c r="X1798" s="82">
        <f>IFERROR(__xludf.DUMMYFUNCTION("""COMPUTED_VALUE"""),2.6745825211559207)</f>
        <v>2.674582521</v>
      </c>
      <c r="Y1798" s="82">
        <f>IFERROR(__xludf.DUMMYFUNCTION("""COMPUTED_VALUE"""),341.2535317134156)</f>
        <v>341.2535317</v>
      </c>
      <c r="Z1798" s="82">
        <f>IFERROR(__xludf.DUMMYFUNCTION("""COMPUTED_VALUE"""),0.7472804419669508)</f>
        <v>0.747280442</v>
      </c>
      <c r="AA1798" s="82">
        <f>IFERROR(__xludf.DUMMYFUNCTION("""COMPUTED_VALUE"""),0.5416025379392703)</f>
        <v>0.5416025379</v>
      </c>
      <c r="AB1798" s="82">
        <f>IFERROR(__xludf.DUMMYFUNCTION("""COMPUTED_VALUE"""),1.3423522908580057)</f>
        <v>1.342352291</v>
      </c>
      <c r="AC1798" s="82">
        <f>IFERROR(__xludf.DUMMYFUNCTION("""COMPUTED_VALUE"""),2.4315669581441792)</f>
        <v>2.431566958</v>
      </c>
      <c r="AD1798" s="82">
        <f>IFERROR(__xludf.DUMMYFUNCTION("""COMPUTED_VALUE"""),0.978244141874647)</f>
        <v>0.9782441419</v>
      </c>
      <c r="AE1798" s="82">
        <f>IFERROR(__xludf.DUMMYFUNCTION("""COMPUTED_VALUE"""),0.8159668891587861)</f>
        <v>0.8159668892</v>
      </c>
      <c r="AF1798" s="82">
        <f>IFERROR(__xludf.DUMMYFUNCTION("""COMPUTED_VALUE"""),0.9907364317296197)</f>
        <v>0.9907364317</v>
      </c>
      <c r="AG1798" s="82">
        <f>IFERROR(__xludf.DUMMYFUNCTION("""COMPUTED_VALUE"""),0.9629982647871151)</f>
        <v>0.9629982648</v>
      </c>
      <c r="AH1798" s="82">
        <f>IFERROR(__xludf.DUMMYFUNCTION("""COMPUTED_VALUE"""),1.0331589321597696)</f>
        <v>1.033158932</v>
      </c>
      <c r="AI1798" s="82">
        <f>IFERROR(__xludf.DUMMYFUNCTION("""COMPUTED_VALUE"""),1.0048769066199679)</f>
        <v>1.004876907</v>
      </c>
      <c r="AJ1798" s="82">
        <f>IFERROR(__xludf.DUMMYFUNCTION("""COMPUTED_VALUE"""),1.0183583794825948)</f>
        <v>1.018358379</v>
      </c>
      <c r="AK1798" s="82">
        <f>IFERROR(__xludf.DUMMYFUNCTION("""COMPUTED_VALUE"""),1.0742040186428647)</f>
        <v>1.074204019</v>
      </c>
      <c r="AL1798" s="82">
        <f>IFERROR(__xludf.DUMMYFUNCTION("""COMPUTED_VALUE"""),0.9060675059056253)</f>
        <v>0.9060675059</v>
      </c>
      <c r="AM1798" s="82">
        <f>IFERROR(__xludf.DUMMYFUNCTION("""COMPUTED_VALUE"""),1.039596940039957)</f>
        <v>1.03959694</v>
      </c>
      <c r="AN1798" s="82">
        <f>IFERROR(__xludf.DUMMYFUNCTION("""COMPUTED_VALUE"""),0.9845240824204842)</f>
        <v>0.9845240824</v>
      </c>
      <c r="AO1798" s="82">
        <f>IFERROR(__xludf.DUMMYFUNCTION("""COMPUTED_VALUE"""),0.819851180873151)</f>
        <v>0.8198511809</v>
      </c>
      <c r="AP1798" s="82">
        <f>IFERROR(__xludf.DUMMYFUNCTION("""COMPUTED_VALUE"""),0.9831204912034953)</f>
        <v>0.9831204912</v>
      </c>
      <c r="AQ1798" s="82">
        <f>IFERROR(__xludf.DUMMYFUNCTION("""COMPUTED_VALUE"""),0.9884041317699759)</f>
        <v>0.9884041318</v>
      </c>
      <c r="AR1798" s="82">
        <f>IFERROR(__xludf.DUMMYFUNCTION("""COMPUTED_VALUE"""),1.0041957194086797)</f>
        <v>1.004195719</v>
      </c>
      <c r="AS1798" s="82">
        <f>IFERROR(__xludf.DUMMYFUNCTION("""COMPUTED_VALUE"""),77.0)</f>
        <v>77</v>
      </c>
      <c r="AT1798" s="82">
        <f>IFERROR(__xludf.DUMMYFUNCTION("""COMPUTED_VALUE"""),0.38691169040096385)</f>
        <v>0.3869116904</v>
      </c>
      <c r="AU1798" s="82">
        <f>IFERROR(__xludf.DUMMYFUNCTION("""COMPUTED_VALUE"""),2.3022499851599494)</f>
        <v>2.302249985</v>
      </c>
      <c r="AV1798" s="82">
        <f>IFERROR(__xludf.DUMMYFUNCTION("""COMPUTED_VALUE"""),45.10107231715173)</f>
        <v>45.10107232</v>
      </c>
      <c r="AW1798" s="82">
        <f t="shared" si="1"/>
        <v>-2.367862223</v>
      </c>
      <c r="AX1798" s="83">
        <f t="array" ref="AX1798">IFERROR(DGET('SBV Import'!A:G,"SBV",{"RSC ID","Tier";B1798,A1798}))</f>
        <v>48.01622611</v>
      </c>
      <c r="AY1798" s="82">
        <f t="shared" si="2"/>
        <v>-2.135033441</v>
      </c>
      <c r="AZ1798" s="82">
        <v>0.23282878201228563</v>
      </c>
      <c r="BA1798" s="84">
        <v>1700.0</v>
      </c>
      <c r="BB1798" s="84" t="b">
        <f>IFERROR(__xludf.DUMMYFUNCTION("iferror(if(A1798="""",,E1798&gt;=FILTER(Constants!$F$2:$F$10,Constants!$A$2:$A$10=A1798)))"),TRUE)</f>
        <v>1</v>
      </c>
    </row>
    <row r="1799">
      <c r="A1799" s="89" t="str">
        <f>IFERROR(__xludf.DUMMYFUNCTION("""COMPUTED_VALUE"""),"Rival")</f>
        <v>Rival</v>
      </c>
      <c r="B1799" s="87" t="str">
        <f>IFERROR(__xludf.DUMMYFUNCTION("""COMPUTED_VALUE"""),"RSC007601")</f>
        <v>RSC007601</v>
      </c>
      <c r="C1799" s="73" t="str">
        <f>IFERROR(__xludf.DUMMYFUNCTION("""COMPUTED_VALUE"""),"Bricked Up Barry")</f>
        <v>Bricked Up Barry</v>
      </c>
      <c r="D1799" s="73" t="str">
        <f>IFERROR(__xludf.DUMMYFUNCTION("""COMPUTED_VALUE"""),"Kitsune")</f>
        <v>Kitsune</v>
      </c>
      <c r="E1799" s="82">
        <f>IFERROR(__xludf.DUMMYFUNCTION("""COMPUTED_VALUE"""),44.0)</f>
        <v>44</v>
      </c>
      <c r="F1799" s="82">
        <f>IFERROR(__xludf.DUMMYFUNCTION("""COMPUTED_VALUE"""),25.0)</f>
        <v>25</v>
      </c>
      <c r="G1799" s="86">
        <f>IFERROR(__xludf.DUMMYFUNCTION("""COMPUTED_VALUE"""),19.0)</f>
        <v>19</v>
      </c>
      <c r="H1799" s="86">
        <f>IFERROR(__xludf.DUMMYFUNCTION("""COMPUTED_VALUE"""),0.5681818181818182)</f>
        <v>0.5681818182</v>
      </c>
      <c r="I1799" s="86">
        <f>IFERROR(__xludf.DUMMYFUNCTION("""COMPUTED_VALUE"""),0.31683168316831684)</f>
        <v>0.3168316832</v>
      </c>
      <c r="J1799" s="82">
        <f>IFERROR(__xludf.DUMMYFUNCTION("""COMPUTED_VALUE"""),315.65909090909093)</f>
        <v>315.6590909</v>
      </c>
      <c r="K1799" s="82">
        <f>IFERROR(__xludf.DUMMYFUNCTION("""COMPUTED_VALUE"""),0.7272727272727273)</f>
        <v>0.7272727273</v>
      </c>
      <c r="L1799" s="82">
        <f>IFERROR(__xludf.DUMMYFUNCTION("""COMPUTED_VALUE"""),0.4318181818181818)</f>
        <v>0.4318181818</v>
      </c>
      <c r="M1799" s="82">
        <f>IFERROR(__xludf.DUMMYFUNCTION("""COMPUTED_VALUE"""),1.0909090909090908)</f>
        <v>1.090909091</v>
      </c>
      <c r="N1799" s="82">
        <f>IFERROR(__xludf.DUMMYFUNCTION("""COMPUTED_VALUE"""),2.2954545454545454)</f>
        <v>2.295454545</v>
      </c>
      <c r="O1799" s="82">
        <f>IFERROR(__xludf.DUMMYFUNCTION("""COMPUTED_VALUE"""),331.37878787878793)</f>
        <v>331.3787879</v>
      </c>
      <c r="P1799" s="82">
        <f>IFERROR(__xludf.DUMMYFUNCTION("""COMPUTED_VALUE"""),0.7045454545454546)</f>
        <v>0.7045454545</v>
      </c>
      <c r="Q1799" s="82">
        <f>IFERROR(__xludf.DUMMYFUNCTION("""COMPUTED_VALUE"""),0.48484848484848475)</f>
        <v>0.4848484848</v>
      </c>
      <c r="R1799" s="82">
        <f>IFERROR(__xludf.DUMMYFUNCTION("""COMPUTED_VALUE"""),1.2878787878787876)</f>
        <v>1.287878788</v>
      </c>
      <c r="S1799" s="82">
        <f>IFERROR(__xludf.DUMMYFUNCTION("""COMPUTED_VALUE"""),2.446969696969697)</f>
        <v>2.446969697</v>
      </c>
      <c r="T1799" s="82">
        <f>IFERROR(__xludf.DUMMYFUNCTION("""COMPUTED_VALUE"""),341.01938604633466)</f>
        <v>341.019386</v>
      </c>
      <c r="U1799" s="82">
        <f>IFERROR(__xludf.DUMMYFUNCTION("""COMPUTED_VALUE"""),0.7863981914551761)</f>
        <v>0.7863981915</v>
      </c>
      <c r="V1799" s="82">
        <f>IFERROR(__xludf.DUMMYFUNCTION("""COMPUTED_VALUE"""),0.545847422126998)</f>
        <v>0.5458474221</v>
      </c>
      <c r="W1799" s="82">
        <f>IFERROR(__xludf.DUMMYFUNCTION("""COMPUTED_VALUE"""),1.2877312924836952)</f>
        <v>1.287731292</v>
      </c>
      <c r="X1799" s="82">
        <f>IFERROR(__xludf.DUMMYFUNCTION("""COMPUTED_VALUE"""),2.492870459878176)</f>
        <v>2.49287046</v>
      </c>
      <c r="Y1799" s="82">
        <f>IFERROR(__xludf.DUMMYFUNCTION("""COMPUTED_VALUE"""),345.4747828995571)</f>
        <v>345.4747829</v>
      </c>
      <c r="Z1799" s="82">
        <f>IFERROR(__xludf.DUMMYFUNCTION("""COMPUTED_VALUE"""),0.7842727041994574)</f>
        <v>0.7842727042</v>
      </c>
      <c r="AA1799" s="82">
        <f>IFERROR(__xludf.DUMMYFUNCTION("""COMPUTED_VALUE"""),0.5530426439715055)</f>
        <v>0.553042644</v>
      </c>
      <c r="AB1799" s="82">
        <f>IFERROR(__xludf.DUMMYFUNCTION("""COMPUTED_VALUE"""),1.3280415523330467)</f>
        <v>1.328041552</v>
      </c>
      <c r="AC1799" s="82">
        <f>IFERROR(__xludf.DUMMYFUNCTION("""COMPUTED_VALUE"""),2.530814684511084)</f>
        <v>2.530814685</v>
      </c>
      <c r="AD1799" s="82">
        <f>IFERROR(__xludf.DUMMYFUNCTION("""COMPUTED_VALUE"""),0.9136964737622116)</f>
        <v>0.9136964738</v>
      </c>
      <c r="AE1799" s="82">
        <f>IFERROR(__xludf.DUMMYFUNCTION("""COMPUTED_VALUE"""),0.9273212281627058)</f>
        <v>0.9273212282</v>
      </c>
      <c r="AF1799" s="82">
        <f>IFERROR(__xludf.DUMMYFUNCTION("""COMPUTED_VALUE"""),0.7808044940571174)</f>
        <v>0.7808044941</v>
      </c>
      <c r="AG1799" s="82">
        <f>IFERROR(__xludf.DUMMYFUNCTION("""COMPUTED_VALUE"""),0.8214419865045851)</f>
        <v>0.8214419865</v>
      </c>
      <c r="AH1799" s="82">
        <f>IFERROR(__xludf.DUMMYFUNCTION("""COMPUTED_VALUE"""),0.9070022232378477)</f>
        <v>0.9070022232</v>
      </c>
      <c r="AI1799" s="82">
        <f>IFERROR(__xludf.DUMMYFUNCTION("""COMPUTED_VALUE"""),0.9717300582840271)</f>
        <v>0.9717300583</v>
      </c>
      <c r="AJ1799" s="82">
        <f>IFERROR(__xludf.DUMMYFUNCTION("""COMPUTED_VALUE"""),0.8959143881571515)</f>
        <v>0.8959143882</v>
      </c>
      <c r="AK1799" s="82">
        <f>IFERROR(__xludf.DUMMYFUNCTION("""COMPUTED_VALUE"""),0.8882491062414121)</f>
        <v>0.8882491062</v>
      </c>
      <c r="AL1799" s="82">
        <f>IFERROR(__xludf.DUMMYFUNCTION("""COMPUTED_VALUE"""),1.0001145389538588)</f>
        <v>1.000114539</v>
      </c>
      <c r="AM1799" s="82">
        <f>IFERROR(__xludf.DUMMYFUNCTION("""COMPUTED_VALUE"""),0.9815871848749324)</f>
        <v>0.9815871849</v>
      </c>
      <c r="AN1799" s="82">
        <f>IFERROR(__xludf.DUMMYFUNCTION("""COMPUTED_VALUE"""),0.9309368780765132)</f>
        <v>0.9309368781</v>
      </c>
      <c r="AO1799" s="82">
        <f>IFERROR(__xludf.DUMMYFUNCTION("""COMPUTED_VALUE"""),0.9778588630050674)</f>
        <v>0.977858863</v>
      </c>
      <c r="AP1799" s="82">
        <f>IFERROR(__xludf.DUMMYFUNCTION("""COMPUTED_VALUE"""),0.7911682465366972)</f>
        <v>0.7911682465</v>
      </c>
      <c r="AQ1799" s="82">
        <f>IFERROR(__xludf.DUMMYFUNCTION("""COMPUTED_VALUE"""),0.8341249276686588)</f>
        <v>0.8341249277</v>
      </c>
      <c r="AR1799" s="82">
        <f>IFERROR(__xludf.DUMMYFUNCTION("""COMPUTED_VALUE"""),0.9175583570325115)</f>
        <v>0.917558357</v>
      </c>
      <c r="AS1799" s="82">
        <f>IFERROR(__xludf.DUMMYFUNCTION("""COMPUTED_VALUE"""),93.0)</f>
        <v>93</v>
      </c>
      <c r="AT1799" s="82">
        <f>IFERROR(__xludf.DUMMYFUNCTION("""COMPUTED_VALUE"""),0.5)</f>
        <v>0.5</v>
      </c>
      <c r="AU1799" s="82">
        <f>IFERROR(__xludf.DUMMYFUNCTION("""COMPUTED_VALUE"""),2.285268307592212)</f>
        <v>2.285268308</v>
      </c>
      <c r="AV1799" s="82">
        <f>IFERROR(__xludf.DUMMYFUNCTION("""COMPUTED_VALUE"""),44.61488731439817)</f>
        <v>44.61488731</v>
      </c>
      <c r="AW1799" s="82">
        <f t="shared" si="1"/>
        <v>-2.411230675</v>
      </c>
      <c r="AX1799" s="83">
        <f t="array" ref="AX1799">IFERROR(DGET('SBV Import'!A:G,"SBV",{"RSC ID","Tier";B1799,A1799}))</f>
        <v>43.67020412</v>
      </c>
      <c r="AY1799" s="82">
        <f t="shared" si="2"/>
        <v>-2.499625133</v>
      </c>
      <c r="AZ1799" s="82">
        <v>0.08839445742838148</v>
      </c>
      <c r="BA1799" s="84">
        <v>1700.0</v>
      </c>
      <c r="BB1799" s="84" t="b">
        <f>IFERROR(__xludf.DUMMYFUNCTION("iferror(if(A1799="""",,E1799&gt;=FILTER(Constants!$F$2:$F$10,Constants!$A$2:$A$10=A1799)))"),TRUE)</f>
        <v>1</v>
      </c>
    </row>
    <row r="1800">
      <c r="A1800" s="89" t="str">
        <f>IFERROR(__xludf.DUMMYFUNCTION("""COMPUTED_VALUE"""),"Rival")</f>
        <v>Rival</v>
      </c>
      <c r="B1800" s="87" t="str">
        <f>IFERROR(__xludf.DUMMYFUNCTION("""COMPUTED_VALUE"""),"RSC002616")</f>
        <v>RSC002616</v>
      </c>
      <c r="C1800" s="73" t="str">
        <f>IFERROR(__xludf.DUMMYFUNCTION("""COMPUTED_VALUE"""),"Ruthle")</f>
        <v>Ruthle</v>
      </c>
      <c r="D1800" s="73" t="str">
        <f>IFERROR(__xludf.DUMMYFUNCTION("""COMPUTED_VALUE"""),"50 Cent")</f>
        <v>50 Cent</v>
      </c>
      <c r="E1800" s="82">
        <f>IFERROR(__xludf.DUMMYFUNCTION("""COMPUTED_VALUE"""),30.0)</f>
        <v>30</v>
      </c>
      <c r="F1800" s="82">
        <f>IFERROR(__xludf.DUMMYFUNCTION("""COMPUTED_VALUE"""),13.0)</f>
        <v>13</v>
      </c>
      <c r="G1800" s="86">
        <f>IFERROR(__xludf.DUMMYFUNCTION("""COMPUTED_VALUE"""),17.0)</f>
        <v>17</v>
      </c>
      <c r="H1800" s="86">
        <f>IFERROR(__xludf.DUMMYFUNCTION("""COMPUTED_VALUE"""),0.43333333333333335)</f>
        <v>0.4333333333</v>
      </c>
      <c r="I1800" s="86">
        <f>IFERROR(__xludf.DUMMYFUNCTION("""COMPUTED_VALUE"""),0.26865671641791045)</f>
        <v>0.2686567164</v>
      </c>
      <c r="J1800" s="82">
        <f>IFERROR(__xludf.DUMMYFUNCTION("""COMPUTED_VALUE"""),313.96666666666664)</f>
        <v>313.9666667</v>
      </c>
      <c r="K1800" s="82">
        <f>IFERROR(__xludf.DUMMYFUNCTION("""COMPUTED_VALUE"""),0.6)</f>
        <v>0.6</v>
      </c>
      <c r="L1800" s="82">
        <f>IFERROR(__xludf.DUMMYFUNCTION("""COMPUTED_VALUE"""),0.7)</f>
        <v>0.7</v>
      </c>
      <c r="M1800" s="82">
        <f>IFERROR(__xludf.DUMMYFUNCTION("""COMPUTED_VALUE"""),0.9333333333333333)</f>
        <v>0.9333333333</v>
      </c>
      <c r="N1800" s="82">
        <f>IFERROR(__xludf.DUMMYFUNCTION("""COMPUTED_VALUE"""),2.2333333333333334)</f>
        <v>2.233333333</v>
      </c>
      <c r="O1800" s="82">
        <f>IFERROR(__xludf.DUMMYFUNCTION("""COMPUTED_VALUE"""),360.3555555555555)</f>
        <v>360.3555556</v>
      </c>
      <c r="P1800" s="82">
        <f>IFERROR(__xludf.DUMMYFUNCTION("""COMPUTED_VALUE"""),0.9222222222222223)</f>
        <v>0.9222222222</v>
      </c>
      <c r="Q1800" s="82">
        <f>IFERROR(__xludf.DUMMYFUNCTION("""COMPUTED_VALUE"""),0.6333333333333333)</f>
        <v>0.6333333333</v>
      </c>
      <c r="R1800" s="82">
        <f>IFERROR(__xludf.DUMMYFUNCTION("""COMPUTED_VALUE"""),1.2555555555555555)</f>
        <v>1.255555556</v>
      </c>
      <c r="S1800" s="82">
        <f>IFERROR(__xludf.DUMMYFUNCTION("""COMPUTED_VALUE"""),2.611111111111111)</f>
        <v>2.611111111</v>
      </c>
      <c r="T1800" s="82">
        <f>IFERROR(__xludf.DUMMYFUNCTION("""COMPUTED_VALUE"""),355.6704665491724)</f>
        <v>355.6704665</v>
      </c>
      <c r="U1800" s="82">
        <f>IFERROR(__xludf.DUMMYFUNCTION("""COMPUTED_VALUE"""),0.8231779965977085)</f>
        <v>0.8231779966</v>
      </c>
      <c r="V1800" s="82">
        <f>IFERROR(__xludf.DUMMYFUNCTION("""COMPUTED_VALUE"""),0.5644141942569877)</f>
        <v>0.5644141943</v>
      </c>
      <c r="W1800" s="82">
        <f>IFERROR(__xludf.DUMMYFUNCTION("""COMPUTED_VALUE"""),1.3832533333329258)</f>
        <v>1.383253333</v>
      </c>
      <c r="X1800" s="82">
        <f>IFERROR(__xludf.DUMMYFUNCTION("""COMPUTED_VALUE"""),2.605615705507063)</f>
        <v>2.605615706</v>
      </c>
      <c r="Y1800" s="82">
        <f>IFERROR(__xludf.DUMMYFUNCTION("""COMPUTED_VALUE"""),344.30789842891113)</f>
        <v>344.3078984</v>
      </c>
      <c r="Z1800" s="82">
        <f>IFERROR(__xludf.DUMMYFUNCTION("""COMPUTED_VALUE"""),0.7671337437982981)</f>
        <v>0.7671337438</v>
      </c>
      <c r="AA1800" s="82">
        <f>IFERROR(__xludf.DUMMYFUNCTION("""COMPUTED_VALUE"""),0.5678163050855846)</f>
        <v>0.5678163051</v>
      </c>
      <c r="AB1800" s="82">
        <f>IFERROR(__xludf.DUMMYFUNCTION("""COMPUTED_VALUE"""),1.3098806069047548)</f>
        <v>1.309880607</v>
      </c>
      <c r="AC1800" s="82">
        <f>IFERROR(__xludf.DUMMYFUNCTION("""COMPUTED_VALUE"""),2.6224576263047266)</f>
        <v>2.622457626</v>
      </c>
      <c r="AD1800" s="82">
        <f>IFERROR(__xludf.DUMMYFUNCTION("""COMPUTED_VALUE"""),0.9118776191290047)</f>
        <v>0.9118776191</v>
      </c>
      <c r="AE1800" s="82">
        <f>IFERROR(__xludf.DUMMYFUNCTION("""COMPUTED_VALUE"""),0.7821321964397352)</f>
        <v>0.7821321964</v>
      </c>
      <c r="AF1800" s="82">
        <f>IFERROR(__xludf.DUMMYFUNCTION("""COMPUTED_VALUE"""),1.232793059534442)</f>
        <v>1.23279306</v>
      </c>
      <c r="AG1800" s="82">
        <f>IFERROR(__xludf.DUMMYFUNCTION("""COMPUTED_VALUE"""),0.7125331334882483)</f>
        <v>0.7125331335</v>
      </c>
      <c r="AH1800" s="82">
        <f>IFERROR(__xludf.DUMMYFUNCTION("""COMPUTED_VALUE"""),0.8516184631285335)</f>
        <v>0.8516184631</v>
      </c>
      <c r="AI1800" s="82">
        <f>IFERROR(__xludf.DUMMYFUNCTION("""COMPUTED_VALUE"""),1.0131725556294828)</f>
        <v>1.013172556</v>
      </c>
      <c r="AJ1800" s="82">
        <f>IFERROR(__xludf.DUMMYFUNCTION("""COMPUTED_VALUE"""),1.120319330732691)</f>
        <v>1.120319331</v>
      </c>
      <c r="AK1800" s="82">
        <f>IFERROR(__xludf.DUMMYFUNCTION("""COMPUTED_VALUE"""),1.122107381029056)</f>
        <v>1.122107381</v>
      </c>
      <c r="AL1800" s="82">
        <f>IFERROR(__xludf.DUMMYFUNCTION("""COMPUTED_VALUE"""),0.9076830146003085)</f>
        <v>0.9076830146</v>
      </c>
      <c r="AM1800" s="82">
        <f>IFERROR(__xludf.DUMMYFUNCTION("""COMPUTED_VALUE"""),1.002109062204543)</f>
        <v>1.002109062</v>
      </c>
      <c r="AN1800" s="82">
        <f>IFERROR(__xludf.DUMMYFUNCTION("""COMPUTED_VALUE"""),0.9259456068411879)</f>
        <v>0.9259456068</v>
      </c>
      <c r="AO1800" s="82">
        <f>IFERROR(__xludf.DUMMYFUNCTION("""COMPUTED_VALUE"""),0.8067335619791806)</f>
        <v>0.806733562</v>
      </c>
      <c r="AP1800" s="82">
        <f>IFERROR(__xludf.DUMMYFUNCTION("""COMPUTED_VALUE"""),1.2825253680700142)</f>
        <v>1.282525368</v>
      </c>
      <c r="AQ1800" s="82">
        <f>IFERROR(__xludf.DUMMYFUNCTION("""COMPUTED_VALUE"""),0.713640215894297)</f>
        <v>0.7136402159</v>
      </c>
      <c r="AR1800" s="82">
        <f>IFERROR(__xludf.DUMMYFUNCTION("""COMPUTED_VALUE"""),0.8927267447299816)</f>
        <v>0.8927267447</v>
      </c>
      <c r="AS1800" s="82">
        <f>IFERROR(__xludf.DUMMYFUNCTION("""COMPUTED_VALUE"""),69.0)</f>
        <v>69</v>
      </c>
      <c r="AT1800" s="82">
        <f>IFERROR(__xludf.DUMMYFUNCTION("""COMPUTED_VALUE"""),0.4269494731240797)</f>
        <v>0.4269494731</v>
      </c>
      <c r="AU1800" s="82">
        <f>IFERROR(__xludf.DUMMYFUNCTION("""COMPUTED_VALUE"""),2.2486560995565177)</f>
        <v>2.2486561</v>
      </c>
      <c r="AV1800" s="82">
        <f>IFERROR(__xludf.DUMMYFUNCTION("""COMPUTED_VALUE"""),43.566680716808186)</f>
        <v>43.56668072</v>
      </c>
      <c r="AW1800" s="82">
        <f t="shared" si="1"/>
        <v>-2.509656228</v>
      </c>
      <c r="AX1800" s="83">
        <f t="array" ref="AX1800">IFERROR(DGET('SBV Import'!A:G,"SBV",{"RSC ID","Tier";B1800,A1800}))</f>
        <v>37.00151294</v>
      </c>
      <c r="AY1800" s="82">
        <f t="shared" si="2"/>
        <v>-3.316167988</v>
      </c>
      <c r="AZ1800" s="82">
        <v>0.8065117600438074</v>
      </c>
      <c r="BA1800" s="84">
        <v>1700.0</v>
      </c>
      <c r="BB1800" s="84" t="b">
        <f>IFERROR(__xludf.DUMMYFUNCTION("iferror(if(A1800="""",,E1800&gt;=FILTER(Constants!$F$2:$F$10,Constants!$A$2:$A$10=A1800)))"),TRUE)</f>
        <v>1</v>
      </c>
    </row>
    <row r="1801">
      <c r="A1801" s="89" t="str">
        <f>IFERROR(__xludf.DUMMYFUNCTION("""COMPUTED_VALUE"""),"Rival")</f>
        <v>Rival</v>
      </c>
      <c r="B1801" s="87" t="str">
        <f>IFERROR(__xludf.DUMMYFUNCTION("""COMPUTED_VALUE"""),"RSC005507")</f>
        <v>RSC005507</v>
      </c>
      <c r="C1801" s="73" t="str">
        <f>IFERROR(__xludf.DUMMYFUNCTION("""COMPUTED_VALUE"""),"T Sant")</f>
        <v>T Sant</v>
      </c>
      <c r="D1801" s="73" t="str">
        <f>IFERROR(__xludf.DUMMYFUNCTION("""COMPUTED_VALUE"""),"Quasars")</f>
        <v>Quasars</v>
      </c>
      <c r="E1801" s="82">
        <f>IFERROR(__xludf.DUMMYFUNCTION("""COMPUTED_VALUE"""),48.0)</f>
        <v>48</v>
      </c>
      <c r="F1801" s="82">
        <f>IFERROR(__xludf.DUMMYFUNCTION("""COMPUTED_VALUE"""),26.0)</f>
        <v>26</v>
      </c>
      <c r="G1801" s="86">
        <f>IFERROR(__xludf.DUMMYFUNCTION("""COMPUTED_VALUE"""),22.0)</f>
        <v>22</v>
      </c>
      <c r="H1801" s="86">
        <f>IFERROR(__xludf.DUMMYFUNCTION("""COMPUTED_VALUE"""),0.5416666666666666)</f>
        <v>0.5416666667</v>
      </c>
      <c r="I1801" s="86">
        <f>IFERROR(__xludf.DUMMYFUNCTION("""COMPUTED_VALUE"""),0.32407407407407407)</f>
        <v>0.3240740741</v>
      </c>
      <c r="J1801" s="82">
        <f>IFERROR(__xludf.DUMMYFUNCTION("""COMPUTED_VALUE"""),333.6458333333333)</f>
        <v>333.6458333</v>
      </c>
      <c r="K1801" s="82">
        <f>IFERROR(__xludf.DUMMYFUNCTION("""COMPUTED_VALUE"""),0.7291666666666666)</f>
        <v>0.7291666667</v>
      </c>
      <c r="L1801" s="82">
        <f>IFERROR(__xludf.DUMMYFUNCTION("""COMPUTED_VALUE"""),0.4375)</f>
        <v>0.4375</v>
      </c>
      <c r="M1801" s="82">
        <f>IFERROR(__xludf.DUMMYFUNCTION("""COMPUTED_VALUE"""),1.3541666666666667)</f>
        <v>1.354166667</v>
      </c>
      <c r="N1801" s="82">
        <f>IFERROR(__xludf.DUMMYFUNCTION("""COMPUTED_VALUE"""),2.25)</f>
        <v>2.25</v>
      </c>
      <c r="O1801" s="82">
        <f>IFERROR(__xludf.DUMMYFUNCTION("""COMPUTED_VALUE"""),348.9930555555556)</f>
        <v>348.9930556</v>
      </c>
      <c r="P1801" s="82">
        <f>IFERROR(__xludf.DUMMYFUNCTION("""COMPUTED_VALUE"""),0.8055555555555554)</f>
        <v>0.8055555556</v>
      </c>
      <c r="Q1801" s="82">
        <f>IFERROR(__xludf.DUMMYFUNCTION("""COMPUTED_VALUE"""),0.5972222222222222)</f>
        <v>0.5972222222</v>
      </c>
      <c r="R1801" s="82">
        <f>IFERROR(__xludf.DUMMYFUNCTION("""COMPUTED_VALUE"""),1.3333333333333333)</f>
        <v>1.333333333</v>
      </c>
      <c r="S1801" s="82">
        <f>IFERROR(__xludf.DUMMYFUNCTION("""COMPUTED_VALUE"""),2.6666666666666665)</f>
        <v>2.666666667</v>
      </c>
      <c r="T1801" s="82">
        <f>IFERROR(__xludf.DUMMYFUNCTION("""COMPUTED_VALUE"""),352.3523523198807)</f>
        <v>352.3523523</v>
      </c>
      <c r="U1801" s="82">
        <f>IFERROR(__xludf.DUMMYFUNCTION("""COMPUTED_VALUE"""),0.8160798625331407)</f>
        <v>0.8160798625</v>
      </c>
      <c r="V1801" s="82">
        <f>IFERROR(__xludf.DUMMYFUNCTION("""COMPUTED_VALUE"""),0.5854786258420164)</f>
        <v>0.5854786258</v>
      </c>
      <c r="W1801" s="82">
        <f>IFERROR(__xludf.DUMMYFUNCTION("""COMPUTED_VALUE"""),1.3048937048758076)</f>
        <v>1.304893705</v>
      </c>
      <c r="X1801" s="82">
        <f>IFERROR(__xludf.DUMMYFUNCTION("""COMPUTED_VALUE"""),2.5541050269160572)</f>
        <v>2.554105027</v>
      </c>
      <c r="Y1801" s="82">
        <f>IFERROR(__xludf.DUMMYFUNCTION("""COMPUTED_VALUE"""),347.207459067197)</f>
        <v>347.2074591</v>
      </c>
      <c r="Z1801" s="82">
        <f>IFERROR(__xludf.DUMMYFUNCTION("""COMPUTED_VALUE"""),0.789315018475777)</f>
        <v>0.7893150185</v>
      </c>
      <c r="AA1801" s="82">
        <f>IFERROR(__xludf.DUMMYFUNCTION("""COMPUTED_VALUE"""),0.5572994366662863)</f>
        <v>0.5572994367</v>
      </c>
      <c r="AB1801" s="82">
        <f>IFERROR(__xludf.DUMMYFUNCTION("""COMPUTED_VALUE"""),1.2859105180331776)</f>
        <v>1.285910518</v>
      </c>
      <c r="AC1801" s="82">
        <f>IFERROR(__xludf.DUMMYFUNCTION("""COMPUTED_VALUE"""),2.5698750407166098)</f>
        <v>2.569875041</v>
      </c>
      <c r="AD1801" s="82">
        <f>IFERROR(__xludf.DUMMYFUNCTION("""COMPUTED_VALUE"""),0.9609408571742721)</f>
        <v>0.9609408572</v>
      </c>
      <c r="AE1801" s="82">
        <f>IFERROR(__xludf.DUMMYFUNCTION("""COMPUTED_VALUE"""),0.923796772643119)</f>
        <v>0.9237967726</v>
      </c>
      <c r="AF1801" s="82">
        <f>IFERROR(__xludf.DUMMYFUNCTION("""COMPUTED_VALUE"""),0.7850357836661105)</f>
        <v>0.7850357837</v>
      </c>
      <c r="AG1801" s="82">
        <f>IFERROR(__xludf.DUMMYFUNCTION("""COMPUTED_VALUE"""),1.053080014259381)</f>
        <v>1.053080014</v>
      </c>
      <c r="AH1801" s="82">
        <f>IFERROR(__xludf.DUMMYFUNCTION("""COMPUTED_VALUE"""),0.875528951544892)</f>
        <v>0.8755289515</v>
      </c>
      <c r="AI1801" s="82">
        <f>IFERROR(__xludf.DUMMYFUNCTION("""COMPUTED_VALUE"""),0.9904660867390055)</f>
        <v>0.9904660867</v>
      </c>
      <c r="AJ1801" s="82">
        <f>IFERROR(__xludf.DUMMYFUNCTION("""COMPUTED_VALUE"""),0.9871038271365776)</f>
        <v>0.9871038271</v>
      </c>
      <c r="AK1801" s="82">
        <f>IFERROR(__xludf.DUMMYFUNCTION("""COMPUTED_VALUE"""),1.020058112904321)</f>
        <v>1.020058113</v>
      </c>
      <c r="AL1801" s="82">
        <f>IFERROR(__xludf.DUMMYFUNCTION("""COMPUTED_VALUE"""),1.0217945939590785)</f>
        <v>1.021794594</v>
      </c>
      <c r="AM1801" s="82">
        <f>IFERROR(__xludf.DUMMYFUNCTION("""COMPUTED_VALUE"""),1.0440708735797453)</f>
        <v>1.044070874</v>
      </c>
      <c r="AN1801" s="82">
        <f>IFERROR(__xludf.DUMMYFUNCTION("""COMPUTED_VALUE"""),0.9839830988933024)</f>
        <v>0.9839830989</v>
      </c>
      <c r="AO1801" s="82">
        <f>IFERROR(__xludf.DUMMYFUNCTION("""COMPUTED_VALUE"""),0.9804053704608097)</f>
        <v>0.9804053705</v>
      </c>
      <c r="AP1801" s="82">
        <f>IFERROR(__xludf.DUMMYFUNCTION("""COMPUTED_VALUE"""),0.801578355043759)</f>
        <v>0.801578355</v>
      </c>
      <c r="AQ1801" s="82">
        <f>IFERROR(__xludf.DUMMYFUNCTION("""COMPUTED_VALUE"""),1.035415491810922)</f>
        <v>1.035415492</v>
      </c>
      <c r="AR1801" s="82">
        <f>IFERROR(__xludf.DUMMYFUNCTION("""COMPUTED_VALUE"""),0.8993888846160262)</f>
        <v>0.8993888846</v>
      </c>
      <c r="AS1801" s="82">
        <f>IFERROR(__xludf.DUMMYFUNCTION("""COMPUTED_VALUE"""),113.0)</f>
        <v>113</v>
      </c>
      <c r="AT1801" s="82">
        <f>IFERROR(__xludf.DUMMYFUNCTION("""COMPUTED_VALUE"""),0.4897440415589899)</f>
        <v>0.4897440416</v>
      </c>
      <c r="AU1801" s="82">
        <f>IFERROR(__xludf.DUMMYFUNCTION("""COMPUTED_VALUE"""),2.226153515768544)</f>
        <v>2.226153516</v>
      </c>
      <c r="AV1801" s="82">
        <f>IFERROR(__xludf.DUMMYFUNCTION("""COMPUTED_VALUE"""),42.92243230746944)</f>
        <v>42.92243231</v>
      </c>
      <c r="AW1801" s="82">
        <f t="shared" si="1"/>
        <v>-2.573677615</v>
      </c>
      <c r="AX1801" s="83">
        <f t="array" ref="AX1801">IFERROR(DGET('SBV Import'!A:G,"SBV",{"RSC ID","Tier";B1801,A1801}))</f>
        <v>34.22794828</v>
      </c>
      <c r="AY1801" s="82">
        <f t="shared" si="2"/>
        <v>-3.787035047</v>
      </c>
      <c r="AZ1801" s="82">
        <v>1.213357432133909</v>
      </c>
      <c r="BA1801" s="84">
        <v>1700.0</v>
      </c>
      <c r="BB1801" s="84" t="b">
        <f>IFERROR(__xludf.DUMMYFUNCTION("iferror(if(A1801="""",,E1801&gt;=FILTER(Constants!$F$2:$F$10,Constants!$A$2:$A$10=A1801)))"),TRUE)</f>
        <v>1</v>
      </c>
    </row>
    <row r="1802">
      <c r="A1802" s="89" t="str">
        <f>IFERROR(__xludf.DUMMYFUNCTION("""COMPUTED_VALUE"""),"Rival")</f>
        <v>Rival</v>
      </c>
      <c r="B1802" s="87" t="str">
        <f>IFERROR(__xludf.DUMMYFUNCTION("""COMPUTED_VALUE"""),"RSC004365")</f>
        <v>RSC004365</v>
      </c>
      <c r="C1802" s="73" t="str">
        <f>IFERROR(__xludf.DUMMYFUNCTION("""COMPUTED_VALUE"""),"Mattixbigs")</f>
        <v>Mattixbigs</v>
      </c>
      <c r="D1802" s="73" t="str">
        <f>IFERROR(__xludf.DUMMYFUNCTION("""COMPUTED_VALUE"""),"Ostriches")</f>
        <v>Ostriches</v>
      </c>
      <c r="E1802" s="82">
        <f>IFERROR(__xludf.DUMMYFUNCTION("""COMPUTED_VALUE"""),19.0)</f>
        <v>19</v>
      </c>
      <c r="F1802" s="82">
        <f>IFERROR(__xludf.DUMMYFUNCTION("""COMPUTED_VALUE"""),6.0)</f>
        <v>6</v>
      </c>
      <c r="G1802" s="86">
        <f>IFERROR(__xludf.DUMMYFUNCTION("""COMPUTED_VALUE"""),13.0)</f>
        <v>13</v>
      </c>
      <c r="H1802" s="86">
        <f>IFERROR(__xludf.DUMMYFUNCTION("""COMPUTED_VALUE"""),0.3157894736842105)</f>
        <v>0.3157894737</v>
      </c>
      <c r="I1802" s="86">
        <f>IFERROR(__xludf.DUMMYFUNCTION("""COMPUTED_VALUE"""),0.2653061224489796)</f>
        <v>0.2653061224</v>
      </c>
      <c r="J1802" s="82">
        <f>IFERROR(__xludf.DUMMYFUNCTION("""COMPUTED_VALUE"""),340.3157894736842)</f>
        <v>340.3157895</v>
      </c>
      <c r="K1802" s="82">
        <f>IFERROR(__xludf.DUMMYFUNCTION("""COMPUTED_VALUE"""),0.6842105263157895)</f>
        <v>0.6842105263</v>
      </c>
      <c r="L1802" s="82">
        <f>IFERROR(__xludf.DUMMYFUNCTION("""COMPUTED_VALUE"""),0.47368421052631576)</f>
        <v>0.4736842105</v>
      </c>
      <c r="M1802" s="82">
        <f>IFERROR(__xludf.DUMMYFUNCTION("""COMPUTED_VALUE"""),1.368421052631579)</f>
        <v>1.368421053</v>
      </c>
      <c r="N1802" s="82">
        <f>IFERROR(__xludf.DUMMYFUNCTION("""COMPUTED_VALUE"""),2.5789473684210527)</f>
        <v>2.578947368</v>
      </c>
      <c r="O1802" s="82">
        <f>IFERROR(__xludf.DUMMYFUNCTION("""COMPUTED_VALUE"""),362.8771929824561)</f>
        <v>362.877193</v>
      </c>
      <c r="P1802" s="82">
        <f>IFERROR(__xludf.DUMMYFUNCTION("""COMPUTED_VALUE"""),0.8947368421052629)</f>
        <v>0.8947368421</v>
      </c>
      <c r="Q1802" s="82">
        <f>IFERROR(__xludf.DUMMYFUNCTION("""COMPUTED_VALUE"""),0.6140350877192983)</f>
        <v>0.6140350877</v>
      </c>
      <c r="R1802" s="82">
        <f>IFERROR(__xludf.DUMMYFUNCTION("""COMPUTED_VALUE"""),1.1578947368421055)</f>
        <v>1.157894737</v>
      </c>
      <c r="S1802" s="82">
        <f>IFERROR(__xludf.DUMMYFUNCTION("""COMPUTED_VALUE"""),2.6140350877192984)</f>
        <v>2.614035088</v>
      </c>
      <c r="T1802" s="82">
        <f>IFERROR(__xludf.DUMMYFUNCTION("""COMPUTED_VALUE"""),342.6153791373123)</f>
        <v>342.6153791</v>
      </c>
      <c r="U1802" s="82">
        <f>IFERROR(__xludf.DUMMYFUNCTION("""COMPUTED_VALUE"""),0.7309376187488921)</f>
        <v>0.7309376187</v>
      </c>
      <c r="V1802" s="82">
        <f>IFERROR(__xludf.DUMMYFUNCTION("""COMPUTED_VALUE"""),0.592840614980593)</f>
        <v>0.592840615</v>
      </c>
      <c r="W1802" s="82">
        <f>IFERROR(__xludf.DUMMYFUNCTION("""COMPUTED_VALUE"""),1.3605842784798599)</f>
        <v>1.360584278</v>
      </c>
      <c r="X1802" s="82">
        <f>IFERROR(__xludf.DUMMYFUNCTION("""COMPUTED_VALUE"""),2.3653844308958685)</f>
        <v>2.365384431</v>
      </c>
      <c r="Y1802" s="82">
        <f>IFERROR(__xludf.DUMMYFUNCTION("""COMPUTED_VALUE"""),344.1208487617278)</f>
        <v>344.1208488</v>
      </c>
      <c r="Z1802" s="82">
        <f>IFERROR(__xludf.DUMMYFUNCTION("""COMPUTED_VALUE"""),0.7585070941565125)</f>
        <v>0.7585070942</v>
      </c>
      <c r="AA1802" s="82">
        <f>IFERROR(__xludf.DUMMYFUNCTION("""COMPUTED_VALUE"""),0.5776165379838757)</f>
        <v>0.577616538</v>
      </c>
      <c r="AB1802" s="82">
        <f>IFERROR(__xludf.DUMMYFUNCTION("""COMPUTED_VALUE"""),1.2683798668349309)</f>
        <v>1.268379867</v>
      </c>
      <c r="AC1802" s="82">
        <f>IFERROR(__xludf.DUMMYFUNCTION("""COMPUTED_VALUE"""),2.604831696178649)</f>
        <v>2.604831696</v>
      </c>
      <c r="AD1802" s="82">
        <f>IFERROR(__xludf.DUMMYFUNCTION("""COMPUTED_VALUE"""),0.9889426656311712)</f>
        <v>0.9889426656</v>
      </c>
      <c r="AE1802" s="82">
        <f>IFERROR(__xludf.DUMMYFUNCTION("""COMPUTED_VALUE"""),0.9020489479754391)</f>
        <v>0.902048948</v>
      </c>
      <c r="AF1802" s="82">
        <f>IFERROR(__xludf.DUMMYFUNCTION("""COMPUTED_VALUE"""),0.8200669118299012)</f>
        <v>0.8200669118</v>
      </c>
      <c r="AG1802" s="82">
        <f>IFERROR(__xludf.DUMMYFUNCTION("""COMPUTED_VALUE"""),1.078873205427241)</f>
        <v>1.078873205</v>
      </c>
      <c r="AH1802" s="82">
        <f>IFERROR(__xludf.DUMMYFUNCTION("""COMPUTED_VALUE"""),0.9900629557773083)</f>
        <v>0.9900629558</v>
      </c>
      <c r="AI1802" s="82">
        <f>IFERROR(__xludf.DUMMYFUNCTION("""COMPUTED_VALUE"""),1.059138658329238)</f>
        <v>1.059138658</v>
      </c>
      <c r="AJ1802" s="82">
        <f>IFERROR(__xludf.DUMMYFUNCTION("""COMPUTED_VALUE"""),1.2240946684844836)</f>
        <v>1.224094668</v>
      </c>
      <c r="AK1802" s="82">
        <f>IFERROR(__xludf.DUMMYFUNCTION("""COMPUTED_VALUE"""),1.0357507097238927)</f>
        <v>1.03575071</v>
      </c>
      <c r="AL1802" s="82">
        <f>IFERROR(__xludf.DUMMYFUNCTION("""COMPUTED_VALUE"""),0.8510275733420841)</f>
        <v>0.8510275733</v>
      </c>
      <c r="AM1802" s="82">
        <f>IFERROR(__xludf.DUMMYFUNCTION("""COMPUTED_VALUE"""),1.1051206110836096)</f>
        <v>1.105120611</v>
      </c>
      <c r="AN1802" s="82">
        <f>IFERROR(__xludf.DUMMYFUNCTION("""COMPUTED_VALUE"""),1.0036540297330347)</f>
        <v>1.00365403</v>
      </c>
      <c r="AO1802" s="82">
        <f>IFERROR(__xludf.DUMMYFUNCTION("""COMPUTED_VALUE"""),0.9199593250639779)</f>
        <v>0.9199593251</v>
      </c>
      <c r="AP1802" s="82">
        <f>IFERROR(__xludf.DUMMYFUNCTION("""COMPUTED_VALUE"""),0.8678743092203104)</f>
        <v>0.8678743092</v>
      </c>
      <c r="AQ1802" s="82">
        <f>IFERROR(__xludf.DUMMYFUNCTION("""COMPUTED_VALUE"""),1.046314602251037)</f>
        <v>1.046314602</v>
      </c>
      <c r="AR1802" s="82">
        <f>IFERROR(__xludf.DUMMYFUNCTION("""COMPUTED_VALUE"""),1.0308784876300652)</f>
        <v>1.030878488</v>
      </c>
      <c r="AS1802" s="82">
        <f>IFERROR(__xludf.DUMMYFUNCTION("""COMPUTED_VALUE"""),34.0)</f>
        <v>34</v>
      </c>
      <c r="AT1802" s="82">
        <f>IFERROR(__xludf.DUMMYFUNCTION("""COMPUTED_VALUE"""),0.3490321681033682)</f>
        <v>0.3490321681</v>
      </c>
      <c r="AU1802" s="82">
        <f>IFERROR(__xludf.DUMMYFUNCTION("""COMPUTED_VALUE"""),2.219806810927655)</f>
        <v>2.219806811</v>
      </c>
      <c r="AV1802" s="82">
        <f>IFERROR(__xludf.DUMMYFUNCTION("""COMPUTED_VALUE"""),42.740726307091364)</f>
        <v>42.74072631</v>
      </c>
      <c r="AW1802" s="82">
        <f t="shared" si="1"/>
        <v>-2.59224347</v>
      </c>
      <c r="AX1802" s="83">
        <f t="array" ref="AX1802">IFERROR(DGET('SBV Import'!A:G,"SBV",{"RSC ID","Tier";B1802,A1802}))</f>
        <v>52.94442677</v>
      </c>
      <c r="AY1802" s="82">
        <f t="shared" si="2"/>
        <v>2.206910437</v>
      </c>
      <c r="AZ1802" s="82">
        <v>4.799153907942536</v>
      </c>
      <c r="BA1802" s="84">
        <v>1700.0</v>
      </c>
      <c r="BB1802" s="84" t="b">
        <f>IFERROR(__xludf.DUMMYFUNCTION("iferror(if(A1802="""",,E1802&gt;=FILTER(Constants!$F$2:$F$10,Constants!$A$2:$A$10=A1802)))"),TRUE)</f>
        <v>1</v>
      </c>
    </row>
    <row r="1803">
      <c r="A1803" s="89" t="str">
        <f>IFERROR(__xludf.DUMMYFUNCTION("""COMPUTED_VALUE"""),"Rival")</f>
        <v>Rival</v>
      </c>
      <c r="B1803" s="87" t="str">
        <f>IFERROR(__xludf.DUMMYFUNCTION("""COMPUTED_VALUE"""),"RSC000828")</f>
        <v>RSC000828</v>
      </c>
      <c r="C1803" s="73" t="str">
        <f>IFERROR(__xludf.DUMMYFUNCTION("""COMPUTED_VALUE"""),"MattViaAirwaves")</f>
        <v>MattViaAirwaves</v>
      </c>
      <c r="D1803" s="73" t="str">
        <f>IFERROR(__xludf.DUMMYFUNCTION("""COMPUTED_VALUE"""),"Polar Ice")</f>
        <v>Polar Ice</v>
      </c>
      <c r="E1803" s="82">
        <f>IFERROR(__xludf.DUMMYFUNCTION("""COMPUTED_VALUE"""),26.0)</f>
        <v>26</v>
      </c>
      <c r="F1803" s="82">
        <f>IFERROR(__xludf.DUMMYFUNCTION("""COMPUTED_VALUE"""),10.0)</f>
        <v>10</v>
      </c>
      <c r="G1803" s="86">
        <f>IFERROR(__xludf.DUMMYFUNCTION("""COMPUTED_VALUE"""),16.0)</f>
        <v>16</v>
      </c>
      <c r="H1803" s="86">
        <f>IFERROR(__xludf.DUMMYFUNCTION("""COMPUTED_VALUE"""),0.38461538461538464)</f>
        <v>0.3846153846</v>
      </c>
      <c r="I1803" s="86">
        <f>IFERROR(__xludf.DUMMYFUNCTION("""COMPUTED_VALUE"""),0.25806451612903225)</f>
        <v>0.2580645161</v>
      </c>
      <c r="J1803" s="82">
        <f>IFERROR(__xludf.DUMMYFUNCTION("""COMPUTED_VALUE"""),319.53846153846155)</f>
        <v>319.5384615</v>
      </c>
      <c r="K1803" s="82">
        <f>IFERROR(__xludf.DUMMYFUNCTION("""COMPUTED_VALUE"""),0.6153846153846154)</f>
        <v>0.6153846154</v>
      </c>
      <c r="L1803" s="82">
        <f>IFERROR(__xludf.DUMMYFUNCTION("""COMPUTED_VALUE"""),0.6538461538461539)</f>
        <v>0.6538461538</v>
      </c>
      <c r="M1803" s="82">
        <f>IFERROR(__xludf.DUMMYFUNCTION("""COMPUTED_VALUE"""),1.2692307692307692)</f>
        <v>1.269230769</v>
      </c>
      <c r="N1803" s="82">
        <f>IFERROR(__xludf.DUMMYFUNCTION("""COMPUTED_VALUE"""),2.3846153846153846)</f>
        <v>2.384615385</v>
      </c>
      <c r="O1803" s="82">
        <f>IFERROR(__xludf.DUMMYFUNCTION("""COMPUTED_VALUE"""),391.48717948717956)</f>
        <v>391.4871795</v>
      </c>
      <c r="P1803" s="82">
        <f>IFERROR(__xludf.DUMMYFUNCTION("""COMPUTED_VALUE"""),1.0256410256410255)</f>
        <v>1.025641026</v>
      </c>
      <c r="Q1803" s="82">
        <f>IFERROR(__xludf.DUMMYFUNCTION("""COMPUTED_VALUE"""),0.769230769230769)</f>
        <v>0.7692307692</v>
      </c>
      <c r="R1803" s="82">
        <f>IFERROR(__xludf.DUMMYFUNCTION("""COMPUTED_VALUE"""),1.3076923076923075)</f>
        <v>1.307692308</v>
      </c>
      <c r="S1803" s="82">
        <f>IFERROR(__xludf.DUMMYFUNCTION("""COMPUTED_VALUE"""),2.897435897435897)</f>
        <v>2.897435897</v>
      </c>
      <c r="T1803" s="82">
        <f>IFERROR(__xludf.DUMMYFUNCTION("""COMPUTED_VALUE"""),361.5192281352705)</f>
        <v>361.5192281</v>
      </c>
      <c r="U1803" s="82">
        <f>IFERROR(__xludf.DUMMYFUNCTION("""COMPUTED_VALUE"""),0.840594669238394)</f>
        <v>0.8405946692</v>
      </c>
      <c r="V1803" s="82">
        <f>IFERROR(__xludf.DUMMYFUNCTION("""COMPUTED_VALUE"""),0.615475131568249)</f>
        <v>0.6154751316</v>
      </c>
      <c r="W1803" s="82">
        <f>IFERROR(__xludf.DUMMYFUNCTION("""COMPUTED_VALUE"""),1.3244606854424665)</f>
        <v>1.324460685</v>
      </c>
      <c r="X1803" s="82">
        <f>IFERROR(__xludf.DUMMYFUNCTION("""COMPUTED_VALUE"""),2.7611483978386815)</f>
        <v>2.761148398</v>
      </c>
      <c r="Y1803" s="82">
        <f>IFERROR(__xludf.DUMMYFUNCTION("""COMPUTED_VALUE"""),343.30770662638065)</f>
        <v>343.3077066</v>
      </c>
      <c r="Z1803" s="82">
        <f>IFERROR(__xludf.DUMMYFUNCTION("""COMPUTED_VALUE"""),0.7634211977498075)</f>
        <v>0.7634211977</v>
      </c>
      <c r="AA1803" s="82">
        <f>IFERROR(__xludf.DUMMYFUNCTION("""COMPUTED_VALUE"""),0.5371994178843031)</f>
        <v>0.5371994179</v>
      </c>
      <c r="AB1803" s="82">
        <f>IFERROR(__xludf.DUMMYFUNCTION("""COMPUTED_VALUE"""),1.3227605780237361)</f>
        <v>1.322760578</v>
      </c>
      <c r="AC1803" s="82">
        <f>IFERROR(__xludf.DUMMYFUNCTION("""COMPUTED_VALUE"""),2.5136394816219383)</f>
        <v>2.513639482</v>
      </c>
      <c r="AD1803" s="82">
        <f>IFERROR(__xludf.DUMMYFUNCTION("""COMPUTED_VALUE"""),0.9307640212289583)</f>
        <v>0.9307640212</v>
      </c>
      <c r="AE1803" s="82">
        <f>IFERROR(__xludf.DUMMYFUNCTION("""COMPUTED_VALUE"""),0.8060879331075276)</f>
        <v>0.8060879331</v>
      </c>
      <c r="AF1803" s="82">
        <f>IFERROR(__xludf.DUMMYFUNCTION("""COMPUTED_VALUE"""),1.217138611991149)</f>
        <v>1.217138612</v>
      </c>
      <c r="AG1803" s="82">
        <f>IFERROR(__xludf.DUMMYFUNCTION("""COMPUTED_VALUE"""),0.9595317477083094)</f>
        <v>0.9595317477</v>
      </c>
      <c r="AH1803" s="82">
        <f>IFERROR(__xludf.DUMMYFUNCTION("""COMPUTED_VALUE"""),0.9486704048253968)</f>
        <v>0.9486704048</v>
      </c>
      <c r="AI1803" s="82">
        <f>IFERROR(__xludf.DUMMYFUNCTION("""COMPUTED_VALUE"""),1.0828944880926108)</f>
        <v>1.082894488</v>
      </c>
      <c r="AJ1803" s="82">
        <f>IFERROR(__xludf.DUMMYFUNCTION("""COMPUTED_VALUE"""),1.2201374374290161)</f>
        <v>1.220137437</v>
      </c>
      <c r="AK1803" s="82">
        <f>IFERROR(__xludf.DUMMYFUNCTION("""COMPUTED_VALUE"""),1.24981616604191)</f>
        <v>1.249816166</v>
      </c>
      <c r="AL1803" s="82">
        <f>IFERROR(__xludf.DUMMYFUNCTION("""COMPUTED_VALUE"""),0.9873394673511526)</f>
        <v>0.9873394674</v>
      </c>
      <c r="AM1803" s="82">
        <f>IFERROR(__xludf.DUMMYFUNCTION("""COMPUTED_VALUE"""),1.0493589912457788)</f>
        <v>1.049358991</v>
      </c>
      <c r="AN1803" s="82">
        <f>IFERROR(__xludf.DUMMYFUNCTION("""COMPUTED_VALUE"""),0.9423778575591795)</f>
        <v>0.9423778576</v>
      </c>
      <c r="AO1803" s="82">
        <f>IFERROR(__xludf.DUMMYFUNCTION("""COMPUTED_VALUE"""),0.8274190379273648)</f>
        <v>0.8274190379</v>
      </c>
      <c r="AP1803" s="82">
        <f>IFERROR(__xludf.DUMMYFUNCTION("""COMPUTED_VALUE"""),1.1979632558895739)</f>
        <v>1.197963256</v>
      </c>
      <c r="AQ1803" s="82">
        <f>IFERROR(__xludf.DUMMYFUNCTION("""COMPUTED_VALUE"""),0.9704722716144972)</f>
        <v>0.9704722716</v>
      </c>
      <c r="AR1803" s="82">
        <f>IFERROR(__xludf.DUMMYFUNCTION("""COMPUTED_VALUE"""),0.9531984760033098)</f>
        <v>0.953198476</v>
      </c>
      <c r="AS1803" s="82">
        <f>IFERROR(__xludf.DUMMYFUNCTION("""COMPUTED_VALUE"""),59.0)</f>
        <v>59</v>
      </c>
      <c r="AT1803" s="82">
        <f>IFERROR(__xludf.DUMMYFUNCTION("""COMPUTED_VALUE"""),0.37927449102088395)</f>
        <v>0.379274491</v>
      </c>
      <c r="AU1803" s="82">
        <f>IFERROR(__xludf.DUMMYFUNCTION("""COMPUTED_VALUE"""),2.2106079540839088)</f>
        <v>2.210607954</v>
      </c>
      <c r="AV1803" s="82">
        <f>IFERROR(__xludf.DUMMYFUNCTION("""COMPUTED_VALUE"""),42.47736326642198)</f>
        <v>42.47736327</v>
      </c>
      <c r="AW1803" s="82">
        <f t="shared" si="1"/>
        <v>-2.619561435</v>
      </c>
      <c r="AX1803" s="83">
        <f t="array" ref="AX1803">IFERROR(DGET('SBV Import'!A:G,"SBV",{"RSC ID","Tier";B1803,A1803}))</f>
        <v>36.73086998</v>
      </c>
      <c r="AY1803" s="82">
        <f t="shared" si="2"/>
        <v>-3.35806268</v>
      </c>
      <c r="AZ1803" s="82">
        <v>0.7385012452824542</v>
      </c>
      <c r="BA1803" s="84">
        <v>1700.0</v>
      </c>
      <c r="BB1803" s="84" t="b">
        <f>IFERROR(__xludf.DUMMYFUNCTION("iferror(if(A1803="""",,E1803&gt;=FILTER(Constants!$F$2:$F$10,Constants!$A$2:$A$10=A1803)))"),TRUE)</f>
        <v>1</v>
      </c>
    </row>
    <row r="1804">
      <c r="A1804" s="89" t="str">
        <f>IFERROR(__xludf.DUMMYFUNCTION("""COMPUTED_VALUE"""),"Rival")</f>
        <v>Rival</v>
      </c>
      <c r="B1804" s="87" t="str">
        <f>IFERROR(__xludf.DUMMYFUNCTION("""COMPUTED_VALUE"""),"RSC007767")</f>
        <v>RSC007767</v>
      </c>
      <c r="C1804" s="73" t="str">
        <f>IFERROR(__xludf.DUMMYFUNCTION("""COMPUTED_VALUE"""),"SNOWIS")</f>
        <v>SNOWIS</v>
      </c>
      <c r="D1804" s="73" t="str">
        <f>IFERROR(__xludf.DUMMYFUNCTION("""COMPUTED_VALUE"""),"Centuriones")</f>
        <v>Centuriones</v>
      </c>
      <c r="E1804" s="82">
        <f>IFERROR(__xludf.DUMMYFUNCTION("""COMPUTED_VALUE"""),20.0)</f>
        <v>20</v>
      </c>
      <c r="F1804" s="82">
        <f>IFERROR(__xludf.DUMMYFUNCTION("""COMPUTED_VALUE"""),5.0)</f>
        <v>5</v>
      </c>
      <c r="G1804" s="86">
        <f>IFERROR(__xludf.DUMMYFUNCTION("""COMPUTED_VALUE"""),15.0)</f>
        <v>15</v>
      </c>
      <c r="H1804" s="86">
        <f>IFERROR(__xludf.DUMMYFUNCTION("""COMPUTED_VALUE"""),0.25)</f>
        <v>0.25</v>
      </c>
      <c r="I1804" s="86">
        <f>IFERROR(__xludf.DUMMYFUNCTION("""COMPUTED_VALUE"""),0.33333333333333337)</f>
        <v>0.3333333333</v>
      </c>
      <c r="J1804" s="82">
        <f>IFERROR(__xludf.DUMMYFUNCTION("""COMPUTED_VALUE"""),353.75)</f>
        <v>353.75</v>
      </c>
      <c r="K1804" s="82">
        <f>IFERROR(__xludf.DUMMYFUNCTION("""COMPUTED_VALUE"""),0.65)</f>
        <v>0.65</v>
      </c>
      <c r="L1804" s="82">
        <f>IFERROR(__xludf.DUMMYFUNCTION("""COMPUTED_VALUE"""),0.5)</f>
        <v>0.5</v>
      </c>
      <c r="M1804" s="82">
        <f>IFERROR(__xludf.DUMMYFUNCTION("""COMPUTED_VALUE"""),1.6)</f>
        <v>1.6</v>
      </c>
      <c r="N1804" s="82">
        <f>IFERROR(__xludf.DUMMYFUNCTION("""COMPUTED_VALUE"""),1.95)</f>
        <v>1.95</v>
      </c>
      <c r="O1804" s="82">
        <f>IFERROR(__xludf.DUMMYFUNCTION("""COMPUTED_VALUE"""),370.6166666666667)</f>
        <v>370.6166667</v>
      </c>
      <c r="P1804" s="82">
        <f>IFERROR(__xludf.DUMMYFUNCTION("""COMPUTED_VALUE"""),0.9166666666666667)</f>
        <v>0.9166666667</v>
      </c>
      <c r="Q1804" s="82">
        <f>IFERROR(__xludf.DUMMYFUNCTION("""COMPUTED_VALUE"""),0.6666666666666667)</f>
        <v>0.6666666667</v>
      </c>
      <c r="R1804" s="82">
        <f>IFERROR(__xludf.DUMMYFUNCTION("""COMPUTED_VALUE"""),1.1833333333333333)</f>
        <v>1.183333333</v>
      </c>
      <c r="S1804" s="82">
        <f>IFERROR(__xludf.DUMMYFUNCTION("""COMPUTED_VALUE"""),2.8666666666666667)</f>
        <v>2.866666667</v>
      </c>
      <c r="T1804" s="82">
        <f>IFERROR(__xludf.DUMMYFUNCTION("""COMPUTED_VALUE"""),356.91289043970073)</f>
        <v>356.9128904</v>
      </c>
      <c r="U1804" s="82">
        <f>IFERROR(__xludf.DUMMYFUNCTION("""COMPUTED_VALUE"""),0.873201900270866)</f>
        <v>0.8732019003</v>
      </c>
      <c r="V1804" s="82">
        <f>IFERROR(__xludf.DUMMYFUNCTION("""COMPUTED_VALUE"""),0.5855020554158485)</f>
        <v>0.5855020554</v>
      </c>
      <c r="W1804" s="82">
        <f>IFERROR(__xludf.DUMMYFUNCTION("""COMPUTED_VALUE"""),1.2409106538416885)</f>
        <v>1.240910654</v>
      </c>
      <c r="X1804" s="82">
        <f>IFERROR(__xludf.DUMMYFUNCTION("""COMPUTED_VALUE"""),2.6182301446956635)</f>
        <v>2.618230145</v>
      </c>
      <c r="Y1804" s="82">
        <f>IFERROR(__xludf.DUMMYFUNCTION("""COMPUTED_VALUE"""),338.98852338912695)</f>
        <v>338.9885234</v>
      </c>
      <c r="Z1804" s="82">
        <f>IFERROR(__xludf.DUMMYFUNCTION("""COMPUTED_VALUE"""),0.7072325280083901)</f>
        <v>0.707232528</v>
      </c>
      <c r="AA1804" s="82">
        <f>IFERROR(__xludf.DUMMYFUNCTION("""COMPUTED_VALUE"""),0.5224561379446439)</f>
        <v>0.5224561379</v>
      </c>
      <c r="AB1804" s="82">
        <f>IFERROR(__xludf.DUMMYFUNCTION("""COMPUTED_VALUE"""),1.3309446917492893)</f>
        <v>1.330944692</v>
      </c>
      <c r="AC1804" s="82">
        <f>IFERROR(__xludf.DUMMYFUNCTION("""COMPUTED_VALUE"""),2.4199560869101107)</f>
        <v>2.419956087</v>
      </c>
      <c r="AD1804" s="82">
        <f>IFERROR(__xludf.DUMMYFUNCTION("""COMPUTED_VALUE"""),1.0435456530011438)</f>
        <v>1.043545653</v>
      </c>
      <c r="AE1804" s="82">
        <f>IFERROR(__xludf.DUMMYFUNCTION("""COMPUTED_VALUE"""),0.9190753737394399)</f>
        <v>0.9190753737</v>
      </c>
      <c r="AF1804" s="82">
        <f>IFERROR(__xludf.DUMMYFUNCTION("""COMPUTED_VALUE"""),0.9570181373828109)</f>
        <v>0.9570181374</v>
      </c>
      <c r="AG1804" s="82">
        <f>IFERROR(__xludf.DUMMYFUNCTION("""COMPUTED_VALUE"""),1.2021536356233449)</f>
        <v>1.202153636</v>
      </c>
      <c r="AH1804" s="82">
        <f>IFERROR(__xludf.DUMMYFUNCTION("""COMPUTED_VALUE"""),0.8057997459325107)</f>
        <v>0.8057997459</v>
      </c>
      <c r="AI1804" s="82">
        <f>IFERROR(__xludf.DUMMYFUNCTION("""COMPUTED_VALUE"""),1.0383952964267653)</f>
        <v>1.038395296</v>
      </c>
      <c r="AJ1804" s="82">
        <f>IFERROR(__xludf.DUMMYFUNCTION("""COMPUTED_VALUE"""),1.049776307612613)</f>
        <v>1.049776308</v>
      </c>
      <c r="AK1804" s="82">
        <f>IFERROR(__xludf.DUMMYFUNCTION("""COMPUTED_VALUE"""),1.1386239561416598)</f>
        <v>1.138623956</v>
      </c>
      <c r="AL1804" s="82">
        <f>IFERROR(__xludf.DUMMYFUNCTION("""COMPUTED_VALUE"""),0.9536007525359672)</f>
        <v>0.9536007525</v>
      </c>
      <c r="AM1804" s="82">
        <f>IFERROR(__xludf.DUMMYFUNCTION("""COMPUTED_VALUE"""),1.0948871979318995)</f>
        <v>1.094887198</v>
      </c>
      <c r="AN1804" s="82">
        <f>IFERROR(__xludf.DUMMYFUNCTION("""COMPUTED_VALUE"""),1.043273994330832)</f>
        <v>1.043273994</v>
      </c>
      <c r="AO1804" s="82">
        <f>IFERROR(__xludf.DUMMYFUNCTION("""COMPUTED_VALUE"""),0.8739613588107791)</f>
        <v>0.8739613588</v>
      </c>
      <c r="AP1804" s="82">
        <f>IFERROR(__xludf.DUMMYFUNCTION("""COMPUTED_VALUE"""),0.9160895486214388)</f>
        <v>0.9160895486</v>
      </c>
      <c r="AQ1804" s="82">
        <f>IFERROR(__xludf.DUMMYFUNCTION("""COMPUTED_VALUE"""),1.2233832272473664)</f>
        <v>1.223383227</v>
      </c>
      <c r="AR1804" s="82">
        <f>IFERROR(__xludf.DUMMYFUNCTION("""COMPUTED_VALUE"""),0.7794703666672227)</f>
        <v>0.7794703667</v>
      </c>
      <c r="AS1804" s="82">
        <f>IFERROR(__xludf.DUMMYFUNCTION("""COMPUTED_VALUE"""),36.0)</f>
        <v>36</v>
      </c>
      <c r="AT1804" s="82">
        <f>IFERROR(__xludf.DUMMYFUNCTION("""COMPUTED_VALUE"""),0.3419371283338566)</f>
        <v>0.3419371283</v>
      </c>
      <c r="AU1804" s="82">
        <f>IFERROR(__xludf.DUMMYFUNCTION("""COMPUTED_VALUE"""),2.168980263643385)</f>
        <v>2.168980264</v>
      </c>
      <c r="AV1804" s="82">
        <f>IFERROR(__xludf.DUMMYFUNCTION("""COMPUTED_VALUE"""),41.285563533402595)</f>
        <v>41.28556353</v>
      </c>
      <c r="AW1804" s="82">
        <f t="shared" si="1"/>
        <v>-2.749494065</v>
      </c>
      <c r="AX1804" s="83">
        <f t="array" ref="AX1804">IFERROR(DGET('SBV Import'!A:G,"SBV",{"RSC ID","Tier";B1804,A1804}))</f>
        <v>46.58386434</v>
      </c>
      <c r="AY1804" s="82">
        <f t="shared" si="2"/>
        <v>-2.243885521</v>
      </c>
      <c r="AZ1804" s="82">
        <v>0.5056085442833473</v>
      </c>
      <c r="BA1804" s="84">
        <v>1700.0</v>
      </c>
      <c r="BB1804" s="84" t="b">
        <f>IFERROR(__xludf.DUMMYFUNCTION("iferror(if(A1804="""",,E1804&gt;=FILTER(Constants!$F$2:$F$10,Constants!$A$2:$A$10=A1804)))"),TRUE)</f>
        <v>1</v>
      </c>
    </row>
    <row r="1805">
      <c r="A1805" s="89" t="str">
        <f>IFERROR(__xludf.DUMMYFUNCTION("""COMPUTED_VALUE"""),"Rival")</f>
        <v>Rival</v>
      </c>
      <c r="B1805" s="87" t="str">
        <f>IFERROR(__xludf.DUMMYFUNCTION("""COMPUTED_VALUE"""),"RSC003118")</f>
        <v>RSC003118</v>
      </c>
      <c r="C1805" s="73" t="str">
        <f>IFERROR(__xludf.DUMMYFUNCTION("""COMPUTED_VALUE"""),"Mysty")</f>
        <v>Mysty</v>
      </c>
      <c r="D1805" s="73" t="str">
        <f>IFERROR(__xludf.DUMMYFUNCTION("""COMPUTED_VALUE"""),"Necrotic Nerds")</f>
        <v>Necrotic Nerds</v>
      </c>
      <c r="E1805" s="82">
        <f>IFERROR(__xludf.DUMMYFUNCTION("""COMPUTED_VALUE"""),37.0)</f>
        <v>37</v>
      </c>
      <c r="F1805" s="82">
        <f>IFERROR(__xludf.DUMMYFUNCTION("""COMPUTED_VALUE"""),14.0)</f>
        <v>14</v>
      </c>
      <c r="G1805" s="86">
        <f>IFERROR(__xludf.DUMMYFUNCTION("""COMPUTED_VALUE"""),23.0)</f>
        <v>23</v>
      </c>
      <c r="H1805" s="86">
        <f>IFERROR(__xludf.DUMMYFUNCTION("""COMPUTED_VALUE"""),0.3783783783783784)</f>
        <v>0.3783783784</v>
      </c>
      <c r="I1805" s="86">
        <f>IFERROR(__xludf.DUMMYFUNCTION("""COMPUTED_VALUE"""),0.2823529411764706)</f>
        <v>0.2823529412</v>
      </c>
      <c r="J1805" s="82">
        <f>IFERROR(__xludf.DUMMYFUNCTION("""COMPUTED_VALUE"""),305.9189189189189)</f>
        <v>305.9189189</v>
      </c>
      <c r="K1805" s="82">
        <f>IFERROR(__xludf.DUMMYFUNCTION("""COMPUTED_VALUE"""),0.6486486486486487)</f>
        <v>0.6486486486</v>
      </c>
      <c r="L1805" s="82">
        <f>IFERROR(__xludf.DUMMYFUNCTION("""COMPUTED_VALUE"""),0.7027027027027027)</f>
        <v>0.7027027027</v>
      </c>
      <c r="M1805" s="82">
        <f>IFERROR(__xludf.DUMMYFUNCTION("""COMPUTED_VALUE"""),1.0)</f>
        <v>1</v>
      </c>
      <c r="N1805" s="82">
        <f>IFERROR(__xludf.DUMMYFUNCTION("""COMPUTED_VALUE"""),2.2972972972972974)</f>
        <v>2.297297297</v>
      </c>
      <c r="O1805" s="82">
        <f>IFERROR(__xludf.DUMMYFUNCTION("""COMPUTED_VALUE"""),372.2522522522523)</f>
        <v>372.2522523</v>
      </c>
      <c r="P1805" s="82">
        <f>IFERROR(__xludf.DUMMYFUNCTION("""COMPUTED_VALUE"""),1.009009009009009)</f>
        <v>1.009009009</v>
      </c>
      <c r="Q1805" s="82">
        <f>IFERROR(__xludf.DUMMYFUNCTION("""COMPUTED_VALUE"""),0.6486486486486488)</f>
        <v>0.6486486486</v>
      </c>
      <c r="R1805" s="82">
        <f>IFERROR(__xludf.DUMMYFUNCTION("""COMPUTED_VALUE"""),1.1891891891891893)</f>
        <v>1.189189189</v>
      </c>
      <c r="S1805" s="82">
        <f>IFERROR(__xludf.DUMMYFUNCTION("""COMPUTED_VALUE"""),2.720720720720722)</f>
        <v>2.720720721</v>
      </c>
      <c r="T1805" s="82">
        <f>IFERROR(__xludf.DUMMYFUNCTION("""COMPUTED_VALUE"""),338.6682056485938)</f>
        <v>338.6682056</v>
      </c>
      <c r="U1805" s="82">
        <f>IFERROR(__xludf.DUMMYFUNCTION("""COMPUTED_VALUE"""),0.7844915540557249)</f>
        <v>0.7844915541</v>
      </c>
      <c r="V1805" s="82">
        <f>IFERROR(__xludf.DUMMYFUNCTION("""COMPUTED_VALUE"""),0.5565965652687431)</f>
        <v>0.5565965653</v>
      </c>
      <c r="W1805" s="82">
        <f>IFERROR(__xludf.DUMMYFUNCTION("""COMPUTED_VALUE"""),1.2663980821539877)</f>
        <v>1.266398082</v>
      </c>
      <c r="X1805" s="82">
        <f>IFERROR(__xludf.DUMMYFUNCTION("""COMPUTED_VALUE"""),2.54096175975065)</f>
        <v>2.54096176</v>
      </c>
      <c r="Y1805" s="82">
        <f>IFERROR(__xludf.DUMMYFUNCTION("""COMPUTED_VALUE"""),352.48951021431054)</f>
        <v>352.4895102</v>
      </c>
      <c r="Z1805" s="82">
        <f>IFERROR(__xludf.DUMMYFUNCTION("""COMPUTED_VALUE"""),0.8333504336470119)</f>
        <v>0.8333504336</v>
      </c>
      <c r="AA1805" s="82">
        <f>IFERROR(__xludf.DUMMYFUNCTION("""COMPUTED_VALUE"""),0.5781894549404295)</f>
        <v>0.5781894549</v>
      </c>
      <c r="AB1805" s="82">
        <f>IFERROR(__xludf.DUMMYFUNCTION("""COMPUTED_VALUE"""),1.316859310420422)</f>
        <v>1.31685931</v>
      </c>
      <c r="AC1805" s="82">
        <f>IFERROR(__xludf.DUMMYFUNCTION("""COMPUTED_VALUE"""),2.601773832542419)</f>
        <v>2.601773833</v>
      </c>
      <c r="AD1805" s="82">
        <f>IFERROR(__xludf.DUMMYFUNCTION("""COMPUTED_VALUE"""),0.8678809157552599)</f>
        <v>0.8678809158</v>
      </c>
      <c r="AE1805" s="82">
        <f>IFERROR(__xludf.DUMMYFUNCTION("""COMPUTED_VALUE"""),0.7783624060888188)</f>
        <v>0.7783624061</v>
      </c>
      <c r="AF1805" s="82">
        <f>IFERROR(__xludf.DUMMYFUNCTION("""COMPUTED_VALUE"""),1.2153502570798387)</f>
        <v>1.215350257</v>
      </c>
      <c r="AG1805" s="82">
        <f>IFERROR(__xludf.DUMMYFUNCTION("""COMPUTED_VALUE"""),0.7593825643232448)</f>
        <v>0.7593825643</v>
      </c>
      <c r="AH1805" s="82">
        <f>IFERROR(__xludf.DUMMYFUNCTION("""COMPUTED_VALUE"""),0.8829734808472606)</f>
        <v>0.8829734808</v>
      </c>
      <c r="AI1805" s="82">
        <f>IFERROR(__xludf.DUMMYFUNCTION("""COMPUTED_VALUE"""),1.09916504131039)</f>
        <v>1.099165041</v>
      </c>
      <c r="AJ1805" s="82">
        <f>IFERROR(__xludf.DUMMYFUNCTION("""COMPUTED_VALUE"""),1.2861948656968407)</f>
        <v>1.286194866</v>
      </c>
      <c r="AK1805" s="82">
        <f>IFERROR(__xludf.DUMMYFUNCTION("""COMPUTED_VALUE"""),1.1653838509324252)</f>
        <v>1.165383851</v>
      </c>
      <c r="AL1805" s="82">
        <f>IFERROR(__xludf.DUMMYFUNCTION("""COMPUTED_VALUE"""),0.9390326832827514)</f>
        <v>0.9390326833</v>
      </c>
      <c r="AM1805" s="82">
        <f>IFERROR(__xludf.DUMMYFUNCTION("""COMPUTED_VALUE"""),1.07074445740093)</f>
        <v>1.070744457</v>
      </c>
      <c r="AN1805" s="82">
        <f>IFERROR(__xludf.DUMMYFUNCTION("""COMPUTED_VALUE"""),0.902211314436496)</f>
        <v>0.9022113144</v>
      </c>
      <c r="AO1805" s="82">
        <f>IFERROR(__xludf.DUMMYFUNCTION("""COMPUTED_VALUE"""),0.8721443913288439)</f>
        <v>0.8721443913</v>
      </c>
      <c r="AP1805" s="82">
        <f>IFERROR(__xludf.DUMMYFUNCTION("""COMPUTED_VALUE"""),1.287477203467968)</f>
        <v>1.287477203</v>
      </c>
      <c r="AQ1805" s="82">
        <f>IFERROR(__xludf.DUMMYFUNCTION("""COMPUTED_VALUE"""),0.7646145170296039)</f>
        <v>0.764614517</v>
      </c>
      <c r="AR1805" s="82">
        <f>IFERROR(__xludf.DUMMYFUNCTION("""COMPUTED_VALUE"""),0.9182949572656124)</f>
        <v>0.9182949573</v>
      </c>
      <c r="AS1805" s="82">
        <f>IFERROR(__xludf.DUMMYFUNCTION("""COMPUTED_VALUE"""),92.0)</f>
        <v>92</v>
      </c>
      <c r="AT1805" s="82">
        <f>IFERROR(__xludf.DUMMYFUNCTION("""COMPUTED_VALUE"""),0.4204118821394743)</f>
        <v>0.4204118821</v>
      </c>
      <c r="AU1805" s="82">
        <f>IFERROR(__xludf.DUMMYFUNCTION("""COMPUTED_VALUE"""),2.1546931657016266)</f>
        <v>2.154693166</v>
      </c>
      <c r="AV1805" s="82">
        <f>IFERROR(__xludf.DUMMYFUNCTION("""COMPUTED_VALUE"""),40.87652427774326)</f>
        <v>40.87652428</v>
      </c>
      <c r="AW1805" s="82">
        <f t="shared" si="1"/>
        <v>-2.796589035</v>
      </c>
      <c r="AX1805" s="83">
        <f t="array" ref="AX1805">IFERROR(DGET('SBV Import'!A:G,"SBV",{"RSC ID","Tier";B1805,A1805}))</f>
        <v>37.25146402</v>
      </c>
      <c r="AY1805" s="82">
        <f t="shared" si="2"/>
        <v>-3.278191479</v>
      </c>
      <c r="AZ1805" s="82">
        <v>0.4816024442257847</v>
      </c>
      <c r="BA1805" s="84">
        <v>1700.0</v>
      </c>
      <c r="BB1805" s="84" t="b">
        <f>IFERROR(__xludf.DUMMYFUNCTION("iferror(if(A1805="""",,E1805&gt;=FILTER(Constants!$F$2:$F$10,Constants!$A$2:$A$10=A1805)))"),TRUE)</f>
        <v>1</v>
      </c>
    </row>
    <row r="1806">
      <c r="A1806" s="89" t="str">
        <f>IFERROR(__xludf.DUMMYFUNCTION("""COMPUTED_VALUE"""),"Rival")</f>
        <v>Rival</v>
      </c>
      <c r="B1806" s="87" t="str">
        <f>IFERROR(__xludf.DUMMYFUNCTION("""COMPUTED_VALUE"""),"RSC007823")</f>
        <v>RSC007823</v>
      </c>
      <c r="C1806" s="73" t="str">
        <f>IFERROR(__xludf.DUMMYFUNCTION("""COMPUTED_VALUE"""),"watz")</f>
        <v>watz</v>
      </c>
      <c r="D1806" s="73" t="str">
        <f>IFERROR(__xludf.DUMMYFUNCTION("""COMPUTED_VALUE"""),"Hue Heroes")</f>
        <v>Hue Heroes</v>
      </c>
      <c r="E1806" s="82">
        <f>IFERROR(__xludf.DUMMYFUNCTION("""COMPUTED_VALUE"""),12.0)</f>
        <v>12</v>
      </c>
      <c r="F1806" s="82">
        <f>IFERROR(__xludf.DUMMYFUNCTION("""COMPUTED_VALUE"""),5.0)</f>
        <v>5</v>
      </c>
      <c r="G1806" s="86">
        <f>IFERROR(__xludf.DUMMYFUNCTION("""COMPUTED_VALUE"""),7.0)</f>
        <v>7</v>
      </c>
      <c r="H1806" s="86">
        <f>IFERROR(__xludf.DUMMYFUNCTION("""COMPUTED_VALUE"""),0.4166666666666667)</f>
        <v>0.4166666667</v>
      </c>
      <c r="I1806" s="86">
        <f>IFERROR(__xludf.DUMMYFUNCTION("""COMPUTED_VALUE"""),0.33333333333333337)</f>
        <v>0.3333333333</v>
      </c>
      <c r="J1806" s="82">
        <f>IFERROR(__xludf.DUMMYFUNCTION("""COMPUTED_VALUE"""),316.9166666666667)</f>
        <v>316.9166667</v>
      </c>
      <c r="K1806" s="82">
        <f>IFERROR(__xludf.DUMMYFUNCTION("""COMPUTED_VALUE"""),0.5833333333333334)</f>
        <v>0.5833333333</v>
      </c>
      <c r="L1806" s="82">
        <f>IFERROR(__xludf.DUMMYFUNCTION("""COMPUTED_VALUE"""),0.5833333333333334)</f>
        <v>0.5833333333</v>
      </c>
      <c r="M1806" s="82">
        <f>IFERROR(__xludf.DUMMYFUNCTION("""COMPUTED_VALUE"""),1.25)</f>
        <v>1.25</v>
      </c>
      <c r="N1806" s="82">
        <f>IFERROR(__xludf.DUMMYFUNCTION("""COMPUTED_VALUE"""),1.75)</f>
        <v>1.75</v>
      </c>
      <c r="O1806" s="82">
        <f>IFERROR(__xludf.DUMMYFUNCTION("""COMPUTED_VALUE"""),352.1388888888889)</f>
        <v>352.1388889</v>
      </c>
      <c r="P1806" s="82">
        <f>IFERROR(__xludf.DUMMYFUNCTION("""COMPUTED_VALUE"""),0.972222222222222)</f>
        <v>0.9722222222</v>
      </c>
      <c r="Q1806" s="82">
        <f>IFERROR(__xludf.DUMMYFUNCTION("""COMPUTED_VALUE"""),0.6944444444444443)</f>
        <v>0.6944444444</v>
      </c>
      <c r="R1806" s="82">
        <f>IFERROR(__xludf.DUMMYFUNCTION("""COMPUTED_VALUE"""),0.9444444444444445)</f>
        <v>0.9444444444</v>
      </c>
      <c r="S1806" s="82">
        <f>IFERROR(__xludf.DUMMYFUNCTION("""COMPUTED_VALUE"""),2.638888888888889)</f>
        <v>2.638888889</v>
      </c>
      <c r="T1806" s="82">
        <f>IFERROR(__xludf.DUMMYFUNCTION("""COMPUTED_VALUE"""),360.7651732901733)</f>
        <v>360.7651733</v>
      </c>
      <c r="U1806" s="82">
        <f>IFERROR(__xludf.DUMMYFUNCTION("""COMPUTED_VALUE"""),0.9091091091091091)</f>
        <v>0.9091091091</v>
      </c>
      <c r="V1806" s="82">
        <f>IFERROR(__xludf.DUMMYFUNCTION("""COMPUTED_VALUE"""),0.7061264186264187)</f>
        <v>0.7061264186</v>
      </c>
      <c r="W1806" s="82">
        <f>IFERROR(__xludf.DUMMYFUNCTION("""COMPUTED_VALUE"""),1.1488215488215487)</f>
        <v>1.148821549</v>
      </c>
      <c r="X1806" s="82">
        <f>IFERROR(__xludf.DUMMYFUNCTION("""COMPUTED_VALUE"""),2.7070048945048946)</f>
        <v>2.707004895</v>
      </c>
      <c r="Y1806" s="82">
        <f>IFERROR(__xludf.DUMMYFUNCTION("""COMPUTED_VALUE"""),331.9732260398927)</f>
        <v>331.973226</v>
      </c>
      <c r="Z1806" s="82">
        <f>IFERROR(__xludf.DUMMYFUNCTION("""COMPUTED_VALUE"""),0.7047227422227421)</f>
        <v>0.7047227422</v>
      </c>
      <c r="AA1806" s="82">
        <f>IFERROR(__xludf.DUMMYFUNCTION("""COMPUTED_VALUE"""),0.4954627246293913)</f>
        <v>0.4954627246</v>
      </c>
      <c r="AB1806" s="82">
        <f>IFERROR(__xludf.DUMMYFUNCTION("""COMPUTED_VALUE"""),1.355697147363814)</f>
        <v>1.355697147</v>
      </c>
      <c r="AC1806" s="82">
        <f>IFERROR(__xludf.DUMMYFUNCTION("""COMPUTED_VALUE"""),2.280539034705702)</f>
        <v>2.280539035</v>
      </c>
      <c r="AD1806" s="82">
        <f>IFERROR(__xludf.DUMMYFUNCTION("""COMPUTED_VALUE"""),0.9546452599420873)</f>
        <v>0.9546452599</v>
      </c>
      <c r="AE1806" s="82">
        <f>IFERROR(__xludf.DUMMYFUNCTION("""COMPUTED_VALUE"""),0.8277486994295962)</f>
        <v>0.8277486994</v>
      </c>
      <c r="AF1806" s="82">
        <f>IFERROR(__xludf.DUMMYFUNCTION("""COMPUTED_VALUE"""),1.17735059437553)</f>
        <v>1.177350594</v>
      </c>
      <c r="AG1806" s="82">
        <f>IFERROR(__xludf.DUMMYFUNCTION("""COMPUTED_VALUE"""),0.9220348382606361)</f>
        <v>0.9220348383</v>
      </c>
      <c r="AH1806" s="82">
        <f>IFERROR(__xludf.DUMMYFUNCTION("""COMPUTED_VALUE"""),0.7673624407949822)</f>
        <v>0.7673624408</v>
      </c>
      <c r="AI1806" s="82">
        <f>IFERROR(__xludf.DUMMYFUNCTION("""COMPUTED_VALUE"""),0.976088921437142)</f>
        <v>0.9760889214</v>
      </c>
      <c r="AJ1806" s="82">
        <f>IFERROR(__xludf.DUMMYFUNCTION("""COMPUTED_VALUE"""),1.0694230345738822)</f>
        <v>1.069423035</v>
      </c>
      <c r="AK1806" s="82">
        <f>IFERROR(__xludf.DUMMYFUNCTION("""COMPUTED_VALUE"""),0.9834562567355878)</f>
        <v>0.9834562567</v>
      </c>
      <c r="AL1806" s="82">
        <f>IFERROR(__xludf.DUMMYFUNCTION("""COMPUTED_VALUE"""),0.8220984759671748)</f>
        <v>0.822098476</v>
      </c>
      <c r="AM1806" s="82">
        <f>IFERROR(__xludf.DUMMYFUNCTION("""COMPUTED_VALUE"""),0.9748371324505994)</f>
        <v>0.9748371325</v>
      </c>
      <c r="AN1806" s="82">
        <f>IFERROR(__xludf.DUMMYFUNCTION("""COMPUTED_VALUE"""),0.9346457009281872)</f>
        <v>0.9346457009</v>
      </c>
      <c r="AO1806" s="82">
        <f>IFERROR(__xludf.DUMMYFUNCTION("""COMPUTED_VALUE"""),0.7843242963686479)</f>
        <v>0.7843242964</v>
      </c>
      <c r="AP1806" s="82">
        <f>IFERROR(__xludf.DUMMYFUNCTION("""COMPUTED_VALUE"""),1.0687711400583453)</f>
        <v>1.06877114</v>
      </c>
      <c r="AQ1806" s="82">
        <f>IFERROR(__xludf.DUMMYFUNCTION("""COMPUTED_VALUE"""),0.9557681462870049)</f>
        <v>0.9557681463</v>
      </c>
      <c r="AR1806" s="82">
        <f>IFERROR(__xludf.DUMMYFUNCTION("""COMPUTED_VALUE"""),0.699524688034687)</f>
        <v>0.699524688</v>
      </c>
      <c r="AS1806" s="82">
        <f>IFERROR(__xludf.DUMMYFUNCTION("""COMPUTED_VALUE"""),26.0)</f>
        <v>26</v>
      </c>
      <c r="AT1806" s="82">
        <f>IFERROR(__xludf.DUMMYFUNCTION("""COMPUTED_VALUE"""),0.3836672530801786)</f>
        <v>0.3836672531</v>
      </c>
      <c r="AU1806" s="82">
        <f>IFERROR(__xludf.DUMMYFUNCTION("""COMPUTED_VALUE"""),2.140259225354796)</f>
        <v>2.140259225</v>
      </c>
      <c r="AV1806" s="82">
        <f>IFERROR(__xludf.DUMMYFUNCTION("""COMPUTED_VALUE"""),40.463280927710464)</f>
        <v>40.46328093</v>
      </c>
      <c r="AW1806" s="82">
        <f t="shared" si="1"/>
        <v>-2.845535326</v>
      </c>
      <c r="AX1806" s="83">
        <f t="array" ref="AX1806">IFERROR(DGET('SBV Import'!A:G,"SBV",{"RSC ID","Tier";B1806,A1806}))</f>
        <v>46.06097114</v>
      </c>
      <c r="AY1806" s="82">
        <f t="shared" si="2"/>
        <v>-2.286230019</v>
      </c>
      <c r="AZ1806" s="82">
        <v>0.5593053077284229</v>
      </c>
      <c r="BA1806" s="84">
        <v>1700.0</v>
      </c>
      <c r="BB1806" s="84" t="b">
        <f>IFERROR(__xludf.DUMMYFUNCTION("iferror(if(A1806="""",,E1806&gt;=FILTER(Constants!$F$2:$F$10,Constants!$A$2:$A$10=A1806)))"),TRUE)</f>
        <v>1</v>
      </c>
    </row>
    <row r="1807">
      <c r="A1807" s="89" t="str">
        <f>IFERROR(__xludf.DUMMYFUNCTION("""COMPUTED_VALUE"""),"Rival")</f>
        <v>Rival</v>
      </c>
      <c r="B1807" s="87" t="str">
        <f>IFERROR(__xludf.DUMMYFUNCTION("""COMPUTED_VALUE"""),"RSC002453")</f>
        <v>RSC002453</v>
      </c>
      <c r="C1807" s="73" t="str">
        <f>IFERROR(__xludf.DUMMYFUNCTION("""COMPUTED_VALUE"""),"Ghostie")</f>
        <v>Ghostie</v>
      </c>
      <c r="D1807" s="73" t="str">
        <f>IFERROR(__xludf.DUMMYFUNCTION("""COMPUTED_VALUE"""),"Necrotic Nerds")</f>
        <v>Necrotic Nerds</v>
      </c>
      <c r="E1807" s="82">
        <f>IFERROR(__xludf.DUMMYFUNCTION("""COMPUTED_VALUE"""),42.0)</f>
        <v>42</v>
      </c>
      <c r="F1807" s="82">
        <f>IFERROR(__xludf.DUMMYFUNCTION("""COMPUTED_VALUE"""),13.0)</f>
        <v>13</v>
      </c>
      <c r="G1807" s="86">
        <f>IFERROR(__xludf.DUMMYFUNCTION("""COMPUTED_VALUE"""),29.0)</f>
        <v>29</v>
      </c>
      <c r="H1807" s="86">
        <f>IFERROR(__xludf.DUMMYFUNCTION("""COMPUTED_VALUE"""),0.30952380952380953)</f>
        <v>0.3095238095</v>
      </c>
      <c r="I1807" s="86">
        <f>IFERROR(__xludf.DUMMYFUNCTION("""COMPUTED_VALUE"""),0.3440860215053763)</f>
        <v>0.3440860215</v>
      </c>
      <c r="J1807" s="82">
        <f>IFERROR(__xludf.DUMMYFUNCTION("""COMPUTED_VALUE"""),324.3809523809524)</f>
        <v>324.3809524</v>
      </c>
      <c r="K1807" s="82">
        <f>IFERROR(__xludf.DUMMYFUNCTION("""COMPUTED_VALUE"""),0.7619047619047619)</f>
        <v>0.7619047619</v>
      </c>
      <c r="L1807" s="82">
        <f>IFERROR(__xludf.DUMMYFUNCTION("""COMPUTED_VALUE"""),0.40476190476190477)</f>
        <v>0.4047619048</v>
      </c>
      <c r="M1807" s="82">
        <f>IFERROR(__xludf.DUMMYFUNCTION("""COMPUTED_VALUE"""),1.0952380952380953)</f>
        <v>1.095238095</v>
      </c>
      <c r="N1807" s="82">
        <f>IFERROR(__xludf.DUMMYFUNCTION("""COMPUTED_VALUE"""),2.2142857142857144)</f>
        <v>2.214285714</v>
      </c>
      <c r="O1807" s="82">
        <f>IFERROR(__xludf.DUMMYFUNCTION("""COMPUTED_VALUE"""),369.1190476190476)</f>
        <v>369.1190476</v>
      </c>
      <c r="P1807" s="82">
        <f>IFERROR(__xludf.DUMMYFUNCTION("""COMPUTED_VALUE"""),0.9999999999999998)</f>
        <v>1</v>
      </c>
      <c r="Q1807" s="82">
        <f>IFERROR(__xludf.DUMMYFUNCTION("""COMPUTED_VALUE"""),0.7460317460317462)</f>
        <v>0.746031746</v>
      </c>
      <c r="R1807" s="82">
        <f>IFERROR(__xludf.DUMMYFUNCTION("""COMPUTED_VALUE"""),1.103174603174603)</f>
        <v>1.103174603</v>
      </c>
      <c r="S1807" s="82">
        <f>IFERROR(__xludf.DUMMYFUNCTION("""COMPUTED_VALUE"""),2.817460317460318)</f>
        <v>2.817460317</v>
      </c>
      <c r="T1807" s="82">
        <f>IFERROR(__xludf.DUMMYFUNCTION("""COMPUTED_VALUE"""),353.93431149895866)</f>
        <v>353.9343115</v>
      </c>
      <c r="U1807" s="82">
        <f>IFERROR(__xludf.DUMMYFUNCTION("""COMPUTED_VALUE"""),0.845588555610625)</f>
        <v>0.8455885556</v>
      </c>
      <c r="V1807" s="82">
        <f>IFERROR(__xludf.DUMMYFUNCTION("""COMPUTED_VALUE"""),0.6216802339761157)</f>
        <v>0.621680234</v>
      </c>
      <c r="W1807" s="82">
        <f>IFERROR(__xludf.DUMMYFUNCTION("""COMPUTED_VALUE"""),1.2414529825798508)</f>
        <v>1.241452983</v>
      </c>
      <c r="X1807" s="82">
        <f>IFERROR(__xludf.DUMMYFUNCTION("""COMPUTED_VALUE"""),2.701317879234639)</f>
        <v>2.701317879</v>
      </c>
      <c r="Y1807" s="82">
        <f>IFERROR(__xludf.DUMMYFUNCTION("""COMPUTED_VALUE"""),340.3412244929088)</f>
        <v>340.3412245</v>
      </c>
      <c r="Z1807" s="82">
        <f>IFERROR(__xludf.DUMMYFUNCTION("""COMPUTED_VALUE"""),0.741488518326908)</f>
        <v>0.7414885183</v>
      </c>
      <c r="AA1807" s="82">
        <f>IFERROR(__xludf.DUMMYFUNCTION("""COMPUTED_VALUE"""),0.532024242327976)</f>
        <v>0.5320242423</v>
      </c>
      <c r="AB1807" s="82">
        <f>IFERROR(__xludf.DUMMYFUNCTION("""COMPUTED_VALUE"""),1.3447806692232382)</f>
        <v>1.344780669</v>
      </c>
      <c r="AC1807" s="82">
        <f>IFERROR(__xludf.DUMMYFUNCTION("""COMPUTED_VALUE"""),2.475083758784864)</f>
        <v>2.475083759</v>
      </c>
      <c r="AD1807" s="82">
        <f>IFERROR(__xludf.DUMMYFUNCTION("""COMPUTED_VALUE"""),0.9531050870027973)</f>
        <v>0.953105087</v>
      </c>
      <c r="AE1807" s="82">
        <f>IFERROR(__xludf.DUMMYFUNCTION("""COMPUTED_VALUE"""),1.0275341331298304)</f>
        <v>1.027534133</v>
      </c>
      <c r="AF1807" s="82">
        <f>IFERROR(__xludf.DUMMYFUNCTION("""COMPUTED_VALUE"""),0.7607959798801461)</f>
        <v>0.7607959799</v>
      </c>
      <c r="AG1807" s="82">
        <f>IFERROR(__xludf.DUMMYFUNCTION("""COMPUTED_VALUE"""),0.8144362276345913)</f>
        <v>0.8144362276</v>
      </c>
      <c r="AH1807" s="82">
        <f>IFERROR(__xludf.DUMMYFUNCTION("""COMPUTED_VALUE"""),0.8946306186311902)</f>
        <v>0.8946306186</v>
      </c>
      <c r="AI1807" s="82">
        <f>IFERROR(__xludf.DUMMYFUNCTION("""COMPUTED_VALUE"""),1.0429026958583913)</f>
        <v>1.042902696</v>
      </c>
      <c r="AJ1807" s="82">
        <f>IFERROR(__xludf.DUMMYFUNCTION("""COMPUTED_VALUE"""),1.182608247669423)</f>
        <v>1.182608248</v>
      </c>
      <c r="AK1807" s="82">
        <f>IFERROR(__xludf.DUMMYFUNCTION("""COMPUTED_VALUE"""),1.2000248765515809)</f>
        <v>1.200024877</v>
      </c>
      <c r="AL1807" s="82">
        <f>IFERROR(__xludf.DUMMYFUNCTION("""COMPUTED_VALUE"""),0.888615693590028)</f>
        <v>0.8886156936</v>
      </c>
      <c r="AM1807" s="82">
        <f>IFERROR(__xludf.DUMMYFUNCTION("""COMPUTED_VALUE"""),1.0429947319856283)</f>
        <v>1.042994732</v>
      </c>
      <c r="AN1807" s="82">
        <f>IFERROR(__xludf.DUMMYFUNCTION("""COMPUTED_VALUE"""),0.9566592561846379)</f>
        <v>0.9566592562</v>
      </c>
      <c r="AO1807" s="82">
        <f>IFERROR(__xludf.DUMMYFUNCTION("""COMPUTED_VALUE"""),1.0244235707672134)</f>
        <v>1.024423571</v>
      </c>
      <c r="AP1807" s="82">
        <f>IFERROR(__xludf.DUMMYFUNCTION("""COMPUTED_VALUE"""),0.7415963012649742)</f>
        <v>0.7415963013</v>
      </c>
      <c r="AQ1807" s="82">
        <f>IFERROR(__xludf.DUMMYFUNCTION("""COMPUTED_VALUE"""),0.8374349472228997)</f>
        <v>0.8374349472</v>
      </c>
      <c r="AR1807" s="82">
        <f>IFERROR(__xludf.DUMMYFUNCTION("""COMPUTED_VALUE"""),0.885112870574502)</f>
        <v>0.8851128706</v>
      </c>
      <c r="AS1807" s="82">
        <f>IFERROR(__xludf.DUMMYFUNCTION("""COMPUTED_VALUE"""),82.0)</f>
        <v>82</v>
      </c>
      <c r="AT1807" s="82">
        <f>IFERROR(__xludf.DUMMYFUNCTION("""COMPUTED_VALUE"""),0.3362860286116585)</f>
        <v>0.3362860286</v>
      </c>
      <c r="AU1807" s="82">
        <f>IFERROR(__xludf.DUMMYFUNCTION("""COMPUTED_VALUE"""),2.1195913514759104)</f>
        <v>2.119591351</v>
      </c>
      <c r="AV1807" s="82">
        <f>IFERROR(__xludf.DUMMYFUNCTION("""COMPUTED_VALUE"""),39.871560217042465)</f>
        <v>39.87156022</v>
      </c>
      <c r="AW1807" s="82">
        <f t="shared" si="1"/>
        <v>-2.918104665</v>
      </c>
      <c r="AX1807" s="83">
        <f t="array" ref="AX1807">IFERROR(DGET('SBV Import'!A:G,"SBV",{"RSC ID","Tier";B1807,A1807}))</f>
        <v>41.49629253</v>
      </c>
      <c r="AY1807" s="82">
        <f t="shared" si="2"/>
        <v>-2.725743149</v>
      </c>
      <c r="AZ1807" s="82">
        <v>0.19236151635831966</v>
      </c>
      <c r="BA1807" s="84">
        <v>1700.0</v>
      </c>
      <c r="BB1807" s="84" t="b">
        <f>IFERROR(__xludf.DUMMYFUNCTION("iferror(if(A1807="""",,E1807&gt;=FILTER(Constants!$F$2:$F$10,Constants!$A$2:$A$10=A1807)))"),TRUE)</f>
        <v>1</v>
      </c>
    </row>
    <row r="1808">
      <c r="A1808" s="89" t="str">
        <f>IFERROR(__xludf.DUMMYFUNCTION("""COMPUTED_VALUE"""),"Rival")</f>
        <v>Rival</v>
      </c>
      <c r="B1808" s="87" t="str">
        <f>IFERROR(__xludf.DUMMYFUNCTION("""COMPUTED_VALUE"""),"RSC007582")</f>
        <v>RSC007582</v>
      </c>
      <c r="C1808" s="73" t="str">
        <f>IFERROR(__xludf.DUMMYFUNCTION("""COMPUTED_VALUE"""),"Wavy")</f>
        <v>Wavy</v>
      </c>
      <c r="D1808" s="73" t="str">
        <f>IFERROR(__xludf.DUMMYFUNCTION("""COMPUTED_VALUE"""),"Ocelots")</f>
        <v>Ocelots</v>
      </c>
      <c r="E1808" s="82">
        <f>IFERROR(__xludf.DUMMYFUNCTION("""COMPUTED_VALUE"""),40.0)</f>
        <v>40</v>
      </c>
      <c r="F1808" s="82">
        <f>IFERROR(__xludf.DUMMYFUNCTION("""COMPUTED_VALUE"""),25.0)</f>
        <v>25</v>
      </c>
      <c r="G1808" s="86">
        <f>IFERROR(__xludf.DUMMYFUNCTION("""COMPUTED_VALUE"""),15.0)</f>
        <v>15</v>
      </c>
      <c r="H1808" s="86">
        <f>IFERROR(__xludf.DUMMYFUNCTION("""COMPUTED_VALUE"""),0.625)</f>
        <v>0.625</v>
      </c>
      <c r="I1808" s="86">
        <f>IFERROR(__xludf.DUMMYFUNCTION("""COMPUTED_VALUE"""),0.2087912087912088)</f>
        <v>0.2087912088</v>
      </c>
      <c r="J1808" s="82">
        <f>IFERROR(__xludf.DUMMYFUNCTION("""COMPUTED_VALUE"""),307.1)</f>
        <v>307.1</v>
      </c>
      <c r="K1808" s="82">
        <f>IFERROR(__xludf.DUMMYFUNCTION("""COMPUTED_VALUE"""),0.475)</f>
        <v>0.475</v>
      </c>
      <c r="L1808" s="82">
        <f>IFERROR(__xludf.DUMMYFUNCTION("""COMPUTED_VALUE"""),0.525)</f>
        <v>0.525</v>
      </c>
      <c r="M1808" s="82">
        <f>IFERROR(__xludf.DUMMYFUNCTION("""COMPUTED_VALUE"""),1.375)</f>
        <v>1.375</v>
      </c>
      <c r="N1808" s="82">
        <f>IFERROR(__xludf.DUMMYFUNCTION("""COMPUTED_VALUE"""),2.275)</f>
        <v>2.275</v>
      </c>
      <c r="O1808" s="82">
        <f>IFERROR(__xludf.DUMMYFUNCTION("""COMPUTED_VALUE"""),322.58333333333326)</f>
        <v>322.5833333</v>
      </c>
      <c r="P1808" s="82">
        <f>IFERROR(__xludf.DUMMYFUNCTION("""COMPUTED_VALUE"""),0.6249999999999998)</f>
        <v>0.625</v>
      </c>
      <c r="Q1808" s="82">
        <f>IFERROR(__xludf.DUMMYFUNCTION("""COMPUTED_VALUE"""),0.4416666666666666)</f>
        <v>0.4416666667</v>
      </c>
      <c r="R1808" s="82">
        <f>IFERROR(__xludf.DUMMYFUNCTION("""COMPUTED_VALUE"""),1.3416666666666666)</f>
        <v>1.341666667</v>
      </c>
      <c r="S1808" s="82">
        <f>IFERROR(__xludf.DUMMYFUNCTION("""COMPUTED_VALUE"""),2.416666666666666)</f>
        <v>2.416666667</v>
      </c>
      <c r="T1808" s="82">
        <f>IFERROR(__xludf.DUMMYFUNCTION("""COMPUTED_VALUE"""),354.31603683104385)</f>
        <v>354.3160368</v>
      </c>
      <c r="U1808" s="82">
        <f>IFERROR(__xludf.DUMMYFUNCTION("""COMPUTED_VALUE"""),0.8050452965349756)</f>
        <v>0.8050452965</v>
      </c>
      <c r="V1808" s="82">
        <f>IFERROR(__xludf.DUMMYFUNCTION("""COMPUTED_VALUE"""),0.5548793752646466)</f>
        <v>0.5548793753</v>
      </c>
      <c r="W1808" s="82">
        <f>IFERROR(__xludf.DUMMYFUNCTION("""COMPUTED_VALUE"""),1.3480483837309625)</f>
        <v>1.348048384</v>
      </c>
      <c r="X1808" s="82">
        <f>IFERROR(__xludf.DUMMYFUNCTION("""COMPUTED_VALUE"""),2.655448572849418)</f>
        <v>2.655448573</v>
      </c>
      <c r="Y1808" s="82">
        <f>IFERROR(__xludf.DUMMYFUNCTION("""COMPUTED_VALUE"""),347.8657620727556)</f>
        <v>347.8657621</v>
      </c>
      <c r="Z1808" s="82">
        <f>IFERROR(__xludf.DUMMYFUNCTION("""COMPUTED_VALUE"""),0.7628568255580126)</f>
        <v>0.7628568256</v>
      </c>
      <c r="AA1808" s="82">
        <f>IFERROR(__xludf.DUMMYFUNCTION("""COMPUTED_VALUE"""),0.5439581041832706)</f>
        <v>0.5439581042</v>
      </c>
      <c r="AB1808" s="82">
        <f>IFERROR(__xludf.DUMMYFUNCTION("""COMPUTED_VALUE"""),1.354542289564062)</f>
        <v>1.35454229</v>
      </c>
      <c r="AC1808" s="82">
        <f>IFERROR(__xludf.DUMMYFUNCTION("""COMPUTED_VALUE"""),2.559799031331335)</f>
        <v>2.559799031</v>
      </c>
      <c r="AD1808" s="82">
        <f>IFERROR(__xludf.DUMMYFUNCTION("""COMPUTED_VALUE"""),0.8828118012251246)</f>
        <v>0.8828118012</v>
      </c>
      <c r="AE1808" s="82">
        <f>IFERROR(__xludf.DUMMYFUNCTION("""COMPUTED_VALUE"""),0.6226594350159326)</f>
        <v>0.622659435</v>
      </c>
      <c r="AF1808" s="82">
        <f>IFERROR(__xludf.DUMMYFUNCTION("""COMPUTED_VALUE"""),0.9651478596651568)</f>
        <v>0.9651478597</v>
      </c>
      <c r="AG1808" s="82">
        <f>IFERROR(__xludf.DUMMYFUNCTION("""COMPUTED_VALUE"""),1.0151030429936019)</f>
        <v>1.015103043</v>
      </c>
      <c r="AH1808" s="82">
        <f>IFERROR(__xludf.DUMMYFUNCTION("""COMPUTED_VALUE"""),0.8887416442285265)</f>
        <v>0.8887416442</v>
      </c>
      <c r="AI1808" s="82">
        <f>IFERROR(__xludf.DUMMYFUNCTION("""COMPUTED_VALUE"""),0.9104395505732009)</f>
        <v>0.9104395506</v>
      </c>
      <c r="AJ1808" s="82">
        <f>IFERROR(__xludf.DUMMYFUNCTION("""COMPUTED_VALUE"""),0.7763538308839077)</f>
        <v>0.7763538309</v>
      </c>
      <c r="AK1808" s="82">
        <f>IFERROR(__xludf.DUMMYFUNCTION("""COMPUTED_VALUE"""),0.7959687931381774)</f>
        <v>0.7959687931</v>
      </c>
      <c r="AL1808" s="82">
        <f>IFERROR(__xludf.DUMMYFUNCTION("""COMPUTED_VALUE"""),0.9952659584468079)</f>
        <v>0.9952659584</v>
      </c>
      <c r="AM1808" s="82">
        <f>IFERROR(__xludf.DUMMYFUNCTION("""COMPUTED_VALUE"""),0.9100785047678299)</f>
        <v>0.9100785048</v>
      </c>
      <c r="AN1808" s="82">
        <f>IFERROR(__xludf.DUMMYFUNCTION("""COMPUTED_VALUE"""),0.9056945403787945)</f>
        <v>0.9056945404</v>
      </c>
      <c r="AO1808" s="82">
        <f>IFERROR(__xludf.DUMMYFUNCTION("""COMPUTED_VALUE"""),0.6386640699001846)</f>
        <v>0.6386640699</v>
      </c>
      <c r="AP1808" s="82">
        <f>IFERROR(__xludf.DUMMYFUNCTION("""COMPUTED_VALUE"""),0.9618940260525107)</f>
        <v>0.9618940261</v>
      </c>
      <c r="AQ1808" s="82">
        <f>IFERROR(__xludf.DUMMYFUNCTION("""COMPUTED_VALUE"""),1.0513449609157055)</f>
        <v>1.051344961</v>
      </c>
      <c r="AR1808" s="82">
        <f>IFERROR(__xludf.DUMMYFUNCTION("""COMPUTED_VALUE"""),0.9093820944450931)</f>
        <v>0.9093820944</v>
      </c>
      <c r="AS1808" s="82">
        <f>IFERROR(__xludf.DUMMYFUNCTION("""COMPUTED_VALUE"""),88.0)</f>
        <v>88</v>
      </c>
      <c r="AT1808" s="82">
        <f>IFERROR(__xludf.DUMMYFUNCTION("""COMPUTED_VALUE"""),0.5595238991722131)</f>
        <v>0.5595238992</v>
      </c>
      <c r="AU1808" s="82">
        <f>IFERROR(__xludf.DUMMYFUNCTION("""COMPUTED_VALUE"""),2.1120510658756513)</f>
        <v>2.112051066</v>
      </c>
      <c r="AV1808" s="82">
        <f>IFERROR(__xludf.DUMMYFUNCTION("""COMPUTED_VALUE"""),39.65568202946638)</f>
        <v>39.65568203</v>
      </c>
      <c r="AW1808" s="82">
        <f t="shared" si="1"/>
        <v>-2.945332138</v>
      </c>
      <c r="AX1808" s="83">
        <f t="array" ref="AX1808">IFERROR(DGET('SBV Import'!A:G,"SBV",{"RSC ID","Tier";B1808,A1808}))</f>
        <v>35.67685337</v>
      </c>
      <c r="AY1808" s="82">
        <f t="shared" si="2"/>
        <v>-3.529235983</v>
      </c>
      <c r="AZ1808" s="82">
        <v>0.5839038445791274</v>
      </c>
      <c r="BA1808" s="84">
        <v>1700.0</v>
      </c>
      <c r="BB1808" s="84" t="b">
        <f>IFERROR(__xludf.DUMMYFUNCTION("iferror(if(A1808="""",,E1808&gt;=FILTER(Constants!$F$2:$F$10,Constants!$A$2:$A$10=A1808)))"),TRUE)</f>
        <v>1</v>
      </c>
    </row>
    <row r="1809">
      <c r="A1809" s="89" t="str">
        <f>IFERROR(__xludf.DUMMYFUNCTION("""COMPUTED_VALUE"""),"Rival")</f>
        <v>Rival</v>
      </c>
      <c r="B1809" s="87" t="str">
        <f>IFERROR(__xludf.DUMMYFUNCTION("""COMPUTED_VALUE"""),"RSC004670")</f>
        <v>RSC004670</v>
      </c>
      <c r="C1809" s="73" t="str">
        <f>IFERROR(__xludf.DUMMYFUNCTION("""COMPUTED_VALUE"""),"CarnageWolfBite")</f>
        <v>CarnageWolfBite</v>
      </c>
      <c r="D1809" s="73" t="str">
        <f>IFERROR(__xludf.DUMMYFUNCTION("""COMPUTED_VALUE"""),"50 Cent")</f>
        <v>50 Cent</v>
      </c>
      <c r="E1809" s="82">
        <f>IFERROR(__xludf.DUMMYFUNCTION("""COMPUTED_VALUE"""),35.0)</f>
        <v>35</v>
      </c>
      <c r="F1809" s="82">
        <f>IFERROR(__xludf.DUMMYFUNCTION("""COMPUTED_VALUE"""),17.0)</f>
        <v>17</v>
      </c>
      <c r="G1809" s="86">
        <f>IFERROR(__xludf.DUMMYFUNCTION("""COMPUTED_VALUE"""),18.0)</f>
        <v>18</v>
      </c>
      <c r="H1809" s="86">
        <f>IFERROR(__xludf.DUMMYFUNCTION("""COMPUTED_VALUE"""),0.4857142857142857)</f>
        <v>0.4857142857</v>
      </c>
      <c r="I1809" s="86">
        <f>IFERROR(__xludf.DUMMYFUNCTION("""COMPUTED_VALUE"""),0.27631578947368424)</f>
        <v>0.2763157895</v>
      </c>
      <c r="J1809" s="82">
        <f>IFERROR(__xludf.DUMMYFUNCTION("""COMPUTED_VALUE"""),300.0571428571429)</f>
        <v>300.0571429</v>
      </c>
      <c r="K1809" s="82">
        <f>IFERROR(__xludf.DUMMYFUNCTION("""COMPUTED_VALUE"""),0.6)</f>
        <v>0.6</v>
      </c>
      <c r="L1809" s="82">
        <f>IFERROR(__xludf.DUMMYFUNCTION("""COMPUTED_VALUE"""),0.6285714285714286)</f>
        <v>0.6285714286</v>
      </c>
      <c r="M1809" s="82">
        <f>IFERROR(__xludf.DUMMYFUNCTION("""COMPUTED_VALUE"""),1.0571428571428572)</f>
        <v>1.057142857</v>
      </c>
      <c r="N1809" s="82">
        <f>IFERROR(__xludf.DUMMYFUNCTION("""COMPUTED_VALUE"""),2.1714285714285713)</f>
        <v>2.171428571</v>
      </c>
      <c r="O1809" s="82">
        <f>IFERROR(__xludf.DUMMYFUNCTION("""COMPUTED_VALUE"""),363.22857142857146)</f>
        <v>363.2285714</v>
      </c>
      <c r="P1809" s="82">
        <f>IFERROR(__xludf.DUMMYFUNCTION("""COMPUTED_VALUE"""),0.895238095238095)</f>
        <v>0.8952380952</v>
      </c>
      <c r="Q1809" s="82">
        <f>IFERROR(__xludf.DUMMYFUNCTION("""COMPUTED_VALUE"""),0.5809523809523808)</f>
        <v>0.580952381</v>
      </c>
      <c r="R1809" s="82">
        <f>IFERROR(__xludf.DUMMYFUNCTION("""COMPUTED_VALUE"""),1.3619047619047622)</f>
        <v>1.361904762</v>
      </c>
      <c r="S1809" s="82">
        <f>IFERROR(__xludf.DUMMYFUNCTION("""COMPUTED_VALUE"""),2.6476190476190475)</f>
        <v>2.647619048</v>
      </c>
      <c r="T1809" s="82">
        <f>IFERROR(__xludf.DUMMYFUNCTION("""COMPUTED_VALUE"""),353.02063171316763)</f>
        <v>353.0206317</v>
      </c>
      <c r="U1809" s="82">
        <f>IFERROR(__xludf.DUMMYFUNCTION("""COMPUTED_VALUE"""),0.8158704304926517)</f>
        <v>0.8158704305</v>
      </c>
      <c r="V1809" s="82">
        <f>IFERROR(__xludf.DUMMYFUNCTION("""COMPUTED_VALUE"""),0.5672838586225042)</f>
        <v>0.5672838586</v>
      </c>
      <c r="W1809" s="82">
        <f>IFERROR(__xludf.DUMMYFUNCTION("""COMPUTED_VALUE"""),1.361853559994771)</f>
        <v>1.36185356</v>
      </c>
      <c r="X1809" s="82">
        <f>IFERROR(__xludf.DUMMYFUNCTION("""COMPUTED_VALUE"""),2.670190424581315)</f>
        <v>2.670190425</v>
      </c>
      <c r="Y1809" s="82">
        <f>IFERROR(__xludf.DUMMYFUNCTION("""COMPUTED_VALUE"""),358.0597013214332)</f>
        <v>358.0597013</v>
      </c>
      <c r="Z1809" s="82">
        <f>IFERROR(__xludf.DUMMYFUNCTION("""COMPUTED_VALUE"""),0.8303222390760211)</f>
        <v>0.8303222391</v>
      </c>
      <c r="AA1809" s="82">
        <f>IFERROR(__xludf.DUMMYFUNCTION("""COMPUTED_VALUE"""),0.5931658696393155)</f>
        <v>0.5931658696</v>
      </c>
      <c r="AB1809" s="82">
        <f>IFERROR(__xludf.DUMMYFUNCTION("""COMPUTED_VALUE"""),1.3502777118278457)</f>
        <v>1.350277712</v>
      </c>
      <c r="AC1809" s="82">
        <f>IFERROR(__xludf.DUMMYFUNCTION("""COMPUTED_VALUE"""),2.6979095555646797)</f>
        <v>2.697909556</v>
      </c>
      <c r="AD1809" s="82">
        <f>IFERROR(__xludf.DUMMYFUNCTION("""COMPUTED_VALUE"""),0.8380086944991866)</f>
        <v>0.8380086945</v>
      </c>
      <c r="AE1809" s="82">
        <f>IFERROR(__xludf.DUMMYFUNCTION("""COMPUTED_VALUE"""),0.7226110198706436)</f>
        <v>0.7226110199</v>
      </c>
      <c r="AF1809" s="82">
        <f>IFERROR(__xludf.DUMMYFUNCTION("""COMPUTED_VALUE"""),1.0596891371272625)</f>
        <v>1.059689137</v>
      </c>
      <c r="AG1809" s="82">
        <f>IFERROR(__xludf.DUMMYFUNCTION("""COMPUTED_VALUE"""),0.7829077291898884)</f>
        <v>0.7829077292</v>
      </c>
      <c r="AH1809" s="82">
        <f>IFERROR(__xludf.DUMMYFUNCTION("""COMPUTED_VALUE"""),0.8048559548446707)</f>
        <v>0.8048559548</v>
      </c>
      <c r="AI1809" s="82">
        <f>IFERROR(__xludf.DUMMYFUNCTION("""COMPUTED_VALUE"""),1.028915986201333)</f>
        <v>1.028915986</v>
      </c>
      <c r="AJ1809" s="82">
        <f>IFERROR(__xludf.DUMMYFUNCTION("""COMPUTED_VALUE"""),1.097279741707906)</f>
        <v>1.097279742</v>
      </c>
      <c r="AK1809" s="82">
        <f>IFERROR(__xludf.DUMMYFUNCTION("""COMPUTED_VALUE"""),1.02409467874349)</f>
        <v>1.024094679</v>
      </c>
      <c r="AL1809" s="82">
        <f>IFERROR(__xludf.DUMMYFUNCTION("""COMPUTED_VALUE"""),1.0000375972215334)</f>
        <v>1.000037597</v>
      </c>
      <c r="AM1809" s="82">
        <f>IFERROR(__xludf.DUMMYFUNCTION("""COMPUTED_VALUE"""),0.9915469036386023)</f>
        <v>0.9915469036</v>
      </c>
      <c r="AN1809" s="82">
        <f>IFERROR(__xludf.DUMMYFUNCTION("""COMPUTED_VALUE"""),0.8849238557062008)</f>
        <v>0.8849238557</v>
      </c>
      <c r="AO1809" s="82">
        <f>IFERROR(__xludf.DUMMYFUNCTION("""COMPUTED_VALUE"""),0.8067335619791806)</f>
        <v>0.806733562</v>
      </c>
      <c r="AP1809" s="82">
        <f>IFERROR(__xludf.DUMMYFUNCTION("""COMPUTED_VALUE"""),1.1516554325526658)</f>
        <v>1.151655433</v>
      </c>
      <c r="AQ1809" s="82">
        <f>IFERROR(__xludf.DUMMYFUNCTION("""COMPUTED_VALUE"""),0.8083067751455814)</f>
        <v>0.8083067751</v>
      </c>
      <c r="AR1809" s="82">
        <f>IFERROR(__xludf.DUMMYFUNCTION("""COMPUTED_VALUE"""),0.8679816537246728)</f>
        <v>0.8679816537</v>
      </c>
      <c r="AS1809" s="82">
        <f>IFERROR(__xludf.DUMMYFUNCTION("""COMPUTED_VALUE"""),102.0)</f>
        <v>102</v>
      </c>
      <c r="AT1809" s="82">
        <f>IFERROR(__xludf.DUMMYFUNCTION("""COMPUTED_VALUE"""),0.5334292680262543)</f>
        <v>0.533429268</v>
      </c>
      <c r="AU1809" s="82">
        <f>IFERROR(__xludf.DUMMYFUNCTION("""COMPUTED_VALUE"""),2.0504237981447417)</f>
        <v>2.050423798</v>
      </c>
      <c r="AV1809" s="82">
        <f>IFERROR(__xludf.DUMMYFUNCTION("""COMPUTED_VALUE"""),37.89129490034254)</f>
        <v>37.8912949</v>
      </c>
      <c r="AW1809" s="82">
        <f t="shared" si="1"/>
        <v>-3.184009795</v>
      </c>
      <c r="AX1809" s="83">
        <f t="array" ref="AX1809">IFERROR(DGET('SBV Import'!A:G,"SBV",{"RSC ID","Tier";B1809,A1809}))</f>
        <v>25.58910991</v>
      </c>
      <c r="AY1809" s="82">
        <f t="shared" si="2"/>
        <v>-6.081825267</v>
      </c>
      <c r="AZ1809" s="82">
        <v>2.8978154723705267</v>
      </c>
      <c r="BA1809" s="84">
        <v>1700.0</v>
      </c>
      <c r="BB1809" s="84" t="b">
        <f>IFERROR(__xludf.DUMMYFUNCTION("iferror(if(A1809="""",,E1809&gt;=FILTER(Constants!$F$2:$F$10,Constants!$A$2:$A$10=A1809)))"),TRUE)</f>
        <v>1</v>
      </c>
    </row>
    <row r="1810">
      <c r="A1810" s="89" t="str">
        <f>IFERROR(__xludf.DUMMYFUNCTION("""COMPUTED_VALUE"""),"Rival")</f>
        <v>Rival</v>
      </c>
      <c r="B1810" s="87" t="str">
        <f>IFERROR(__xludf.DUMMYFUNCTION("""COMPUTED_VALUE"""),"RSC007227")</f>
        <v>RSC007227</v>
      </c>
      <c r="C1810" s="73" t="str">
        <f>IFERROR(__xludf.DUMMYFUNCTION("""COMPUTED_VALUE"""),"Trickyzekie")</f>
        <v>Trickyzekie</v>
      </c>
      <c r="D1810" s="73" t="str">
        <f>IFERROR(__xludf.DUMMYFUNCTION("""COMPUTED_VALUE"""),"Ostriches")</f>
        <v>Ostriches</v>
      </c>
      <c r="E1810" s="82">
        <f>IFERROR(__xludf.DUMMYFUNCTION("""COMPUTED_VALUE"""),36.0)</f>
        <v>36</v>
      </c>
      <c r="F1810" s="82">
        <f>IFERROR(__xludf.DUMMYFUNCTION("""COMPUTED_VALUE"""),12.0)</f>
        <v>12</v>
      </c>
      <c r="G1810" s="86">
        <f>IFERROR(__xludf.DUMMYFUNCTION("""COMPUTED_VALUE"""),24.0)</f>
        <v>24</v>
      </c>
      <c r="H1810" s="86">
        <f>IFERROR(__xludf.DUMMYFUNCTION("""COMPUTED_VALUE"""),0.3333333333333333)</f>
        <v>0.3333333333</v>
      </c>
      <c r="I1810" s="86">
        <f>IFERROR(__xludf.DUMMYFUNCTION("""COMPUTED_VALUE"""),0.3088235294117647)</f>
        <v>0.3088235294</v>
      </c>
      <c r="J1810" s="82">
        <f>IFERROR(__xludf.DUMMYFUNCTION("""COMPUTED_VALUE"""),338.27777777777777)</f>
        <v>338.2777778</v>
      </c>
      <c r="K1810" s="82">
        <f>IFERROR(__xludf.DUMMYFUNCTION("""COMPUTED_VALUE"""),0.5833333333333334)</f>
        <v>0.5833333333</v>
      </c>
      <c r="L1810" s="82">
        <f>IFERROR(__xludf.DUMMYFUNCTION("""COMPUTED_VALUE"""),0.4722222222222222)</f>
        <v>0.4722222222</v>
      </c>
      <c r="M1810" s="82">
        <f>IFERROR(__xludf.DUMMYFUNCTION("""COMPUTED_VALUE"""),1.6111111111111112)</f>
        <v>1.611111111</v>
      </c>
      <c r="N1810" s="82">
        <f>IFERROR(__xludf.DUMMYFUNCTION("""COMPUTED_VALUE"""),1.8888888888888888)</f>
        <v>1.888888889</v>
      </c>
      <c r="O1810" s="82">
        <f>IFERROR(__xludf.DUMMYFUNCTION("""COMPUTED_VALUE"""),360.46296296296305)</f>
        <v>360.462963</v>
      </c>
      <c r="P1810" s="82">
        <f>IFERROR(__xludf.DUMMYFUNCTION("""COMPUTED_VALUE"""),0.8796296296296298)</f>
        <v>0.8796296296</v>
      </c>
      <c r="Q1810" s="82">
        <f>IFERROR(__xludf.DUMMYFUNCTION("""COMPUTED_VALUE"""),0.5833333333333334)</f>
        <v>0.5833333333</v>
      </c>
      <c r="R1810" s="82">
        <f>IFERROR(__xludf.DUMMYFUNCTION("""COMPUTED_VALUE"""),1.2499999999999996)</f>
        <v>1.25</v>
      </c>
      <c r="S1810" s="82">
        <f>IFERROR(__xludf.DUMMYFUNCTION("""COMPUTED_VALUE"""),2.759259259259258)</f>
        <v>2.759259259</v>
      </c>
      <c r="T1810" s="82">
        <f>IFERROR(__xludf.DUMMYFUNCTION("""COMPUTED_VALUE"""),352.9452796883589)</f>
        <v>352.9452797</v>
      </c>
      <c r="U1810" s="82">
        <f>IFERROR(__xludf.DUMMYFUNCTION("""COMPUTED_VALUE"""),0.820823541357456)</f>
        <v>0.8208235414</v>
      </c>
      <c r="V1810" s="82">
        <f>IFERROR(__xludf.DUMMYFUNCTION("""COMPUTED_VALUE"""),0.6095040610022956)</f>
        <v>0.609504061</v>
      </c>
      <c r="W1810" s="82">
        <f>IFERROR(__xludf.DUMMYFUNCTION("""COMPUTED_VALUE"""),1.2689231135756602)</f>
        <v>1.268923114</v>
      </c>
      <c r="X1810" s="82">
        <f>IFERROR(__xludf.DUMMYFUNCTION("""COMPUTED_VALUE"""),2.596013870602058)</f>
        <v>2.596013871</v>
      </c>
      <c r="Y1810" s="82">
        <f>IFERROR(__xludf.DUMMYFUNCTION("""COMPUTED_VALUE"""),334.7510072450771)</f>
        <v>334.7510072</v>
      </c>
      <c r="Z1810" s="82">
        <f>IFERROR(__xludf.DUMMYFUNCTION("""COMPUTED_VALUE"""),0.7027764218165626)</f>
        <v>0.7027764218</v>
      </c>
      <c r="AA1810" s="82">
        <f>IFERROR(__xludf.DUMMYFUNCTION("""COMPUTED_VALUE"""),0.5063741839329485)</f>
        <v>0.5063741839</v>
      </c>
      <c r="AB1810" s="82">
        <f>IFERROR(__xludf.DUMMYFUNCTION("""COMPUTED_VALUE"""),1.332167343367189)</f>
        <v>1.332167343</v>
      </c>
      <c r="AC1810" s="82">
        <f>IFERROR(__xludf.DUMMYFUNCTION("""COMPUTED_VALUE"""),2.434719161336874)</f>
        <v>2.434719161</v>
      </c>
      <c r="AD1810" s="82">
        <f>IFERROR(__xludf.DUMMYFUNCTION("""COMPUTED_VALUE"""),1.0105355038711463)</f>
        <v>1.010535504</v>
      </c>
      <c r="AE1810" s="82">
        <f>IFERROR(__xludf.DUMMYFUNCTION("""COMPUTED_VALUE"""),0.8300411271987636)</f>
        <v>0.8300411272</v>
      </c>
      <c r="AF1810" s="82">
        <f>IFERROR(__xludf.DUMMYFUNCTION("""COMPUTED_VALUE"""),0.9325558790429005)</f>
        <v>0.932555879</v>
      </c>
      <c r="AG1810" s="82">
        <f>IFERROR(__xludf.DUMMYFUNCTION("""COMPUTED_VALUE"""),1.209390936606255)</f>
        <v>1.209390937</v>
      </c>
      <c r="AH1810" s="82">
        <f>IFERROR(__xludf.DUMMYFUNCTION("""COMPUTED_VALUE"""),0.775813867522907)</f>
        <v>0.7758138675</v>
      </c>
      <c r="AI1810" s="82">
        <f>IFERROR(__xludf.DUMMYFUNCTION("""COMPUTED_VALUE"""),1.0212998549838719)</f>
        <v>1.021299855</v>
      </c>
      <c r="AJ1810" s="82">
        <f>IFERROR(__xludf.DUMMYFUNCTION("""COMPUTED_VALUE"""),1.071642789599969)</f>
        <v>1.07164279</v>
      </c>
      <c r="AK1810" s="82">
        <f>IFERROR(__xludf.DUMMYFUNCTION("""COMPUTED_VALUE"""),0.9570622587388082)</f>
        <v>0.9570622587</v>
      </c>
      <c r="AL1810" s="82">
        <f>IFERROR(__xludf.DUMMYFUNCTION("""COMPUTED_VALUE"""),0.9850872654353834)</f>
        <v>0.9850872654</v>
      </c>
      <c r="AM1810" s="82">
        <f>IFERROR(__xludf.DUMMYFUNCTION("""COMPUTED_VALUE"""),1.062883095697536)</f>
        <v>1.062883096</v>
      </c>
      <c r="AN1810" s="82">
        <f>IFERROR(__xludf.DUMMYFUNCTION("""COMPUTED_VALUE"""),0.9976435573585295)</f>
        <v>0.9976435574</v>
      </c>
      <c r="AO1810" s="82">
        <f>IFERROR(__xludf.DUMMYFUNCTION("""COMPUTED_VALUE"""),0.7843242963686479)</f>
        <v>0.7843242964</v>
      </c>
      <c r="AP1810" s="82">
        <f>IFERROR(__xludf.DUMMYFUNCTION("""COMPUTED_VALUE"""),0.8651956848091366)</f>
        <v>0.8651956848</v>
      </c>
      <c r="AQ1810" s="82">
        <f>IFERROR(__xludf.DUMMYFUNCTION("""COMPUTED_VALUE"""),1.2318789441032507)</f>
        <v>1.231878944</v>
      </c>
      <c r="AR1810" s="82">
        <f>IFERROR(__xludf.DUMMYFUNCTION("""COMPUTED_VALUE"""),0.7550425204183924)</f>
        <v>0.7550425204</v>
      </c>
      <c r="AS1810" s="82">
        <f>IFERROR(__xludf.DUMMYFUNCTION("""COMPUTED_VALUE"""),70.0)</f>
        <v>70</v>
      </c>
      <c r="AT1810" s="82">
        <f>IFERROR(__xludf.DUMMYFUNCTION("""COMPUTED_VALUE"""),0.3839731646585946)</f>
        <v>0.3839731647</v>
      </c>
      <c r="AU1810" s="82">
        <f>IFERROR(__xludf.DUMMYFUNCTION("""COMPUTED_VALUE"""),2.0342087363535493)</f>
        <v>2.034208736</v>
      </c>
      <c r="AV1810" s="82">
        <f>IFERROR(__xludf.DUMMYFUNCTION("""COMPUTED_VALUE"""),37.42705808803975)</f>
        <v>37.42705809</v>
      </c>
      <c r="AW1810" s="82">
        <f t="shared" si="1"/>
        <v>-3.251915384</v>
      </c>
      <c r="AX1810" s="83">
        <f t="array" ref="AX1810">IFERROR(DGET('SBV Import'!A:G,"SBV",{"RSC ID","Tier";B1810,A1810}))</f>
        <v>38.82599862</v>
      </c>
      <c r="AY1810" s="82">
        <f t="shared" si="2"/>
        <v>-3.053883167</v>
      </c>
      <c r="AZ1810" s="82">
        <v>0.19803221737763588</v>
      </c>
      <c r="BA1810" s="84">
        <v>1700.0</v>
      </c>
      <c r="BB1810" s="84" t="b">
        <f>IFERROR(__xludf.DUMMYFUNCTION("iferror(if(A1810="""",,E1810&gt;=FILTER(Constants!$F$2:$F$10,Constants!$A$2:$A$10=A1810)))"),TRUE)</f>
        <v>1</v>
      </c>
    </row>
    <row r="1811">
      <c r="A1811" s="89" t="str">
        <f>IFERROR(__xludf.DUMMYFUNCTION("""COMPUTED_VALUE"""),"Rival")</f>
        <v>Rival</v>
      </c>
      <c r="B1811" s="87" t="str">
        <f>IFERROR(__xludf.DUMMYFUNCTION("""COMPUTED_VALUE"""),"RSC004399")</f>
        <v>RSC004399</v>
      </c>
      <c r="C1811" s="73" t="str">
        <f>IFERROR(__xludf.DUMMYFUNCTION("""COMPUTED_VALUE"""),"zippythegnome")</f>
        <v>zippythegnome</v>
      </c>
      <c r="D1811" s="73" t="str">
        <f>IFERROR(__xludf.DUMMYFUNCTION("""COMPUTED_VALUE"""),"Kitsune")</f>
        <v>Kitsune</v>
      </c>
      <c r="E1811" s="82">
        <f>IFERROR(__xludf.DUMMYFUNCTION("""COMPUTED_VALUE"""),28.0)</f>
        <v>28</v>
      </c>
      <c r="F1811" s="82">
        <f>IFERROR(__xludf.DUMMYFUNCTION("""COMPUTED_VALUE"""),13.0)</f>
        <v>13</v>
      </c>
      <c r="G1811" s="86">
        <f>IFERROR(__xludf.DUMMYFUNCTION("""COMPUTED_VALUE"""),15.0)</f>
        <v>15</v>
      </c>
      <c r="H1811" s="86">
        <f>IFERROR(__xludf.DUMMYFUNCTION("""COMPUTED_VALUE"""),0.4642857142857143)</f>
        <v>0.4642857143</v>
      </c>
      <c r="I1811" s="86">
        <f>IFERROR(__xludf.DUMMYFUNCTION("""COMPUTED_VALUE"""),0.30769230769230765)</f>
        <v>0.3076923077</v>
      </c>
      <c r="J1811" s="82">
        <f>IFERROR(__xludf.DUMMYFUNCTION("""COMPUTED_VALUE"""),314.5)</f>
        <v>314.5</v>
      </c>
      <c r="K1811" s="82">
        <f>IFERROR(__xludf.DUMMYFUNCTION("""COMPUTED_VALUE"""),0.5714285714285714)</f>
        <v>0.5714285714</v>
      </c>
      <c r="L1811" s="82">
        <f>IFERROR(__xludf.DUMMYFUNCTION("""COMPUTED_VALUE"""),0.5714285714285714)</f>
        <v>0.5714285714</v>
      </c>
      <c r="M1811" s="82">
        <f>IFERROR(__xludf.DUMMYFUNCTION("""COMPUTED_VALUE"""),1.4285714285714286)</f>
        <v>1.428571429</v>
      </c>
      <c r="N1811" s="82">
        <f>IFERROR(__xludf.DUMMYFUNCTION("""COMPUTED_VALUE"""),1.8571428571428572)</f>
        <v>1.857142857</v>
      </c>
      <c r="O1811" s="82">
        <f>IFERROR(__xludf.DUMMYFUNCTION("""COMPUTED_VALUE"""),337.9166666666666)</f>
        <v>337.9166667</v>
      </c>
      <c r="P1811" s="82">
        <f>IFERROR(__xludf.DUMMYFUNCTION("""COMPUTED_VALUE"""),0.7261904761904762)</f>
        <v>0.7261904762</v>
      </c>
      <c r="Q1811" s="82">
        <f>IFERROR(__xludf.DUMMYFUNCTION("""COMPUTED_VALUE"""),0.5357142857142857)</f>
        <v>0.5357142857</v>
      </c>
      <c r="R1811" s="82">
        <f>IFERROR(__xludf.DUMMYFUNCTION("""COMPUTED_VALUE"""),1.2380952380952384)</f>
        <v>1.238095238</v>
      </c>
      <c r="S1811" s="82">
        <f>IFERROR(__xludf.DUMMYFUNCTION("""COMPUTED_VALUE"""),2.488095238095238)</f>
        <v>2.488095238</v>
      </c>
      <c r="T1811" s="82">
        <f>IFERROR(__xludf.DUMMYFUNCTION("""COMPUTED_VALUE"""),341.86260900789)</f>
        <v>341.862609</v>
      </c>
      <c r="U1811" s="82">
        <f>IFERROR(__xludf.DUMMYFUNCTION("""COMPUTED_VALUE"""),0.7783553536625886)</f>
        <v>0.7783553537</v>
      </c>
      <c r="V1811" s="82">
        <f>IFERROR(__xludf.DUMMYFUNCTION("""COMPUTED_VALUE"""),0.5436455416771673)</f>
        <v>0.5436455417</v>
      </c>
      <c r="W1811" s="82">
        <f>IFERROR(__xludf.DUMMYFUNCTION("""COMPUTED_VALUE"""),1.291356454974103)</f>
        <v>1.291356455</v>
      </c>
      <c r="X1811" s="82">
        <f>IFERROR(__xludf.DUMMYFUNCTION("""COMPUTED_VALUE"""),2.568819931467135)</f>
        <v>2.568819931</v>
      </c>
      <c r="Y1811" s="82">
        <f>IFERROR(__xludf.DUMMYFUNCTION("""COMPUTED_VALUE"""),347.9915993326109)</f>
        <v>347.9915993</v>
      </c>
      <c r="Z1811" s="82">
        <f>IFERROR(__xludf.DUMMYFUNCTION("""COMPUTED_VALUE"""),0.8042923794338047)</f>
        <v>0.8042923794</v>
      </c>
      <c r="AA1811" s="82">
        <f>IFERROR(__xludf.DUMMYFUNCTION("""COMPUTED_VALUE"""),0.5594762754002697)</f>
        <v>0.5594762754</v>
      </c>
      <c r="AB1811" s="82">
        <f>IFERROR(__xludf.DUMMYFUNCTION("""COMPUTED_VALUE"""),1.3518425655650204)</f>
        <v>1.351842566</v>
      </c>
      <c r="AC1811" s="82">
        <f>IFERROR(__xludf.DUMMYFUNCTION("""COMPUTED_VALUE"""),2.535208235779641)</f>
        <v>2.535208236</v>
      </c>
      <c r="AD1811" s="82">
        <f>IFERROR(__xludf.DUMMYFUNCTION("""COMPUTED_VALUE"""),0.9037574487520902)</f>
        <v>0.9037574488</v>
      </c>
      <c r="AE1811" s="82">
        <f>IFERROR(__xludf.DUMMYFUNCTION("""COMPUTED_VALUE"""),0.7104736859882201)</f>
        <v>0.710473686</v>
      </c>
      <c r="AF1811" s="82">
        <f>IFERROR(__xludf.DUMMYFUNCTION("""COMPUTED_VALUE"""),1.0213633652646854)</f>
        <v>1.021363365</v>
      </c>
      <c r="AG1811" s="82">
        <f>IFERROR(__xludf.DUMMYFUNCTION("""COMPUTED_VALUE"""),1.0567587269116197)</f>
        <v>1.056758727</v>
      </c>
      <c r="AH1811" s="82">
        <f>IFERROR(__xludf.DUMMYFUNCTION("""COMPUTED_VALUE"""),0.7325405585753545)</f>
        <v>0.7325405586</v>
      </c>
      <c r="AI1811" s="82">
        <f>IFERROR(__xludf.DUMMYFUNCTION("""COMPUTED_VALUE"""),0.988457519959042)</f>
        <v>0.98845752</v>
      </c>
      <c r="AJ1811" s="82">
        <f>IFERROR(__xludf.DUMMYFUNCTION("""COMPUTED_VALUE"""),0.9329806402350186)</f>
        <v>0.9329806402</v>
      </c>
      <c r="AK1811" s="82">
        <f>IFERROR(__xludf.DUMMYFUNCTION("""COMPUTED_VALUE"""),0.9854109794804656)</f>
        <v>0.9854109795</v>
      </c>
      <c r="AL1811" s="82">
        <f>IFERROR(__xludf.DUMMYFUNCTION("""COMPUTED_VALUE"""),0.9587556040985347)</f>
        <v>0.9587556041</v>
      </c>
      <c r="AM1811" s="82">
        <f>IFERROR(__xludf.DUMMYFUNCTION("""COMPUTED_VALUE"""),0.9685751841212972)</f>
        <v>0.9685751841</v>
      </c>
      <c r="AN1811" s="82">
        <f>IFERROR(__xludf.DUMMYFUNCTION("""COMPUTED_VALUE"""),0.9275185052071991)</f>
        <v>0.9275185052</v>
      </c>
      <c r="AO1811" s="82">
        <f>IFERROR(__xludf.DUMMYFUNCTION("""COMPUTED_VALUE"""),0.7683176780754101)</f>
        <v>0.7683176781</v>
      </c>
      <c r="AP1811" s="82">
        <f>IFERROR(__xludf.DUMMYFUNCTION("""COMPUTED_VALUE"""),1.046959484138787)</f>
        <v>1.046959484</v>
      </c>
      <c r="AQ1811" s="82">
        <f>IFERROR(__xludf.DUMMYFUNCTION("""COMPUTED_VALUE"""),1.0923064528994342)</f>
        <v>1.092306453</v>
      </c>
      <c r="AR1811" s="82">
        <f>IFERROR(__xludf.DUMMYFUNCTION("""COMPUTED_VALUE"""),0.7423527301592597)</f>
        <v>0.7423527302</v>
      </c>
      <c r="AS1811" s="82">
        <f>IFERROR(__xludf.DUMMYFUNCTION("""COMPUTED_VALUE"""),56.0)</f>
        <v>56</v>
      </c>
      <c r="AT1811" s="82">
        <f>IFERROR(__xludf.DUMMYFUNCTION("""COMPUTED_VALUE"""),0.46781505176550026)</f>
        <v>0.4678150518</v>
      </c>
      <c r="AU1811" s="82">
        <f>IFERROR(__xludf.DUMMYFUNCTION("""COMPUTED_VALUE"""),2.0243624611742015)</f>
        <v>2.024362461</v>
      </c>
      <c r="AV1811" s="82">
        <f>IFERROR(__xludf.DUMMYFUNCTION("""COMPUTED_VALUE"""),37.14515947666355)</f>
        <v>37.14515948</v>
      </c>
      <c r="AW1811" s="82">
        <f t="shared" si="1"/>
        <v>-3.294259966</v>
      </c>
      <c r="AX1811" s="83">
        <f t="array" ref="AX1811">IFERROR(DGET('SBV Import'!A:G,"SBV",{"RSC ID","Tier";B1811,A1811}))</f>
        <v>41.96566172</v>
      </c>
      <c r="AY1811" s="82">
        <f t="shared" si="2"/>
        <v>-2.674056549</v>
      </c>
      <c r="AZ1811" s="82">
        <v>0.6202034169745478</v>
      </c>
      <c r="BA1811" s="84">
        <v>1700.0</v>
      </c>
      <c r="BB1811" s="84" t="b">
        <f>IFERROR(__xludf.DUMMYFUNCTION("iferror(if(A1811="""",,E1811&gt;=FILTER(Constants!$F$2:$F$10,Constants!$A$2:$A$10=A1811)))"),TRUE)</f>
        <v>1</v>
      </c>
    </row>
    <row r="1812">
      <c r="A1812" s="89" t="str">
        <f>IFERROR(__xludf.DUMMYFUNCTION("""COMPUTED_VALUE"""),"Rival")</f>
        <v>Rival</v>
      </c>
      <c r="B1812" s="87" t="str">
        <f>IFERROR(__xludf.DUMMYFUNCTION("""COMPUTED_VALUE"""),"RSC004888")</f>
        <v>RSC004888</v>
      </c>
      <c r="C1812" s="73" t="str">
        <f>IFERROR(__xludf.DUMMYFUNCTION("""COMPUTED_VALUE"""),"AgentAnime07")</f>
        <v>AgentAnime07</v>
      </c>
      <c r="D1812" s="73" t="str">
        <f>IFERROR(__xludf.DUMMYFUNCTION("""COMPUTED_VALUE"""),"Phantoms")</f>
        <v>Phantoms</v>
      </c>
      <c r="E1812" s="82">
        <f>IFERROR(__xludf.DUMMYFUNCTION("""COMPUTED_VALUE"""),48.0)</f>
        <v>48</v>
      </c>
      <c r="F1812" s="82">
        <f>IFERROR(__xludf.DUMMYFUNCTION("""COMPUTED_VALUE"""),16.0)</f>
        <v>16</v>
      </c>
      <c r="G1812" s="86">
        <f>IFERROR(__xludf.DUMMYFUNCTION("""COMPUTED_VALUE"""),32.0)</f>
        <v>32</v>
      </c>
      <c r="H1812" s="86">
        <f>IFERROR(__xludf.DUMMYFUNCTION("""COMPUTED_VALUE"""),0.3333333333333333)</f>
        <v>0.3333333333</v>
      </c>
      <c r="I1812" s="86">
        <f>IFERROR(__xludf.DUMMYFUNCTION("""COMPUTED_VALUE"""),0.25663716814159293)</f>
        <v>0.2566371681</v>
      </c>
      <c r="J1812" s="82">
        <f>IFERROR(__xludf.DUMMYFUNCTION("""COMPUTED_VALUE"""),321.4166666666667)</f>
        <v>321.4166667</v>
      </c>
      <c r="K1812" s="82">
        <f>IFERROR(__xludf.DUMMYFUNCTION("""COMPUTED_VALUE"""),0.6041666666666666)</f>
        <v>0.6041666667</v>
      </c>
      <c r="L1812" s="82">
        <f>IFERROR(__xludf.DUMMYFUNCTION("""COMPUTED_VALUE"""),0.5416666666666666)</f>
        <v>0.5416666667</v>
      </c>
      <c r="M1812" s="82">
        <f>IFERROR(__xludf.DUMMYFUNCTION("""COMPUTED_VALUE"""),1.3958333333333333)</f>
        <v>1.395833333</v>
      </c>
      <c r="N1812" s="82">
        <f>IFERROR(__xludf.DUMMYFUNCTION("""COMPUTED_VALUE"""),2.3541666666666665)</f>
        <v>2.354166667</v>
      </c>
      <c r="O1812" s="82">
        <f>IFERROR(__xludf.DUMMYFUNCTION("""COMPUTED_VALUE"""),372.9583333333333)</f>
        <v>372.9583333</v>
      </c>
      <c r="P1812" s="82">
        <f>IFERROR(__xludf.DUMMYFUNCTION("""COMPUTED_VALUE"""),0.9930555555555555)</f>
        <v>0.9930555556</v>
      </c>
      <c r="Q1812" s="82">
        <f>IFERROR(__xludf.DUMMYFUNCTION("""COMPUTED_VALUE"""),0.7222222222222222)</f>
        <v>0.7222222222</v>
      </c>
      <c r="R1812" s="82">
        <f>IFERROR(__xludf.DUMMYFUNCTION("""COMPUTED_VALUE"""),1.229166666666667)</f>
        <v>1.229166667</v>
      </c>
      <c r="S1812" s="82">
        <f>IFERROR(__xludf.DUMMYFUNCTION("""COMPUTED_VALUE"""),2.868055555555554)</f>
        <v>2.868055556</v>
      </c>
      <c r="T1812" s="82">
        <f>IFERROR(__xludf.DUMMYFUNCTION("""COMPUTED_VALUE"""),353.9034576845533)</f>
        <v>353.9034577</v>
      </c>
      <c r="U1812" s="82">
        <f>IFERROR(__xludf.DUMMYFUNCTION("""COMPUTED_VALUE"""),0.8156032451931784)</f>
        <v>0.8156032452</v>
      </c>
      <c r="V1812" s="82">
        <f>IFERROR(__xludf.DUMMYFUNCTION("""COMPUTED_VALUE"""),0.5633055878186174)</f>
        <v>0.5633055878</v>
      </c>
      <c r="W1812" s="82">
        <f>IFERROR(__xludf.DUMMYFUNCTION("""COMPUTED_VALUE"""),1.3418354967187291)</f>
        <v>1.341835497</v>
      </c>
      <c r="X1812" s="82">
        <f>IFERROR(__xludf.DUMMYFUNCTION("""COMPUTED_VALUE"""),2.6098181639163234)</f>
        <v>2.609818164</v>
      </c>
      <c r="Y1812" s="82">
        <f>IFERROR(__xludf.DUMMYFUNCTION("""COMPUTED_VALUE"""),344.41724153613546)</f>
        <v>344.4172415</v>
      </c>
      <c r="Z1812" s="82">
        <f>IFERROR(__xludf.DUMMYFUNCTION("""COMPUTED_VALUE"""),0.7654706934964738)</f>
        <v>0.7654706935</v>
      </c>
      <c r="AA1812" s="82">
        <f>IFERROR(__xludf.DUMMYFUNCTION("""COMPUTED_VALUE"""),0.5512217444116801)</f>
        <v>0.5512217444</v>
      </c>
      <c r="AB1812" s="82">
        <f>IFERROR(__xludf.DUMMYFUNCTION("""COMPUTED_VALUE"""),1.3062999103913693)</f>
        <v>1.30629991</v>
      </c>
      <c r="AC1812" s="82">
        <f>IFERROR(__xludf.DUMMYFUNCTION("""COMPUTED_VALUE"""),2.5674006019905415)</f>
        <v>2.567400602</v>
      </c>
      <c r="AD1812" s="82">
        <f>IFERROR(__xludf.DUMMYFUNCTION("""COMPUTED_VALUE"""),0.9332188633563061)</f>
        <v>0.9332188634</v>
      </c>
      <c r="AE1812" s="82">
        <f>IFERROR(__xludf.DUMMYFUNCTION("""COMPUTED_VALUE"""),0.7892747192018394)</f>
        <v>0.7892747192</v>
      </c>
      <c r="AF1812" s="82">
        <f>IFERROR(__xludf.DUMMYFUNCTION("""COMPUTED_VALUE"""),0.9826656371199368)</f>
        <v>0.9826656371</v>
      </c>
      <c r="AG1812" s="82">
        <f>IFERROR(__xludf.DUMMYFUNCTION("""COMPUTED_VALUE"""),1.0685397145247753)</f>
        <v>1.068539715</v>
      </c>
      <c r="AH1812" s="82">
        <f>IFERROR(__xludf.DUMMYFUNCTION("""COMPUTED_VALUE"""),0.9169455926906959)</f>
        <v>0.9169455927</v>
      </c>
      <c r="AI1812" s="82">
        <f>IFERROR(__xludf.DUMMYFUNCTION("""COMPUTED_VALUE"""),1.0538420160499373)</f>
        <v>1.053842016</v>
      </c>
      <c r="AJ1812" s="82">
        <f>IFERROR(__xludf.DUMMYFUNCTION("""COMPUTED_VALUE"""),1.2175718542173615)</f>
        <v>1.217571854</v>
      </c>
      <c r="AK1812" s="82">
        <f>IFERROR(__xludf.DUMMYFUNCTION("""COMPUTED_VALUE"""),1.2821144292550057)</f>
        <v>1.282114429</v>
      </c>
      <c r="AL1812" s="82">
        <f>IFERROR(__xludf.DUMMYFUNCTION("""COMPUTED_VALUE"""),0.9160337982356421)</f>
        <v>0.9160337982</v>
      </c>
      <c r="AM1812" s="82">
        <f>IFERROR(__xludf.DUMMYFUNCTION("""COMPUTED_VALUE"""),1.0989484230011322)</f>
        <v>1.098948423</v>
      </c>
      <c r="AN1812" s="82">
        <f>IFERROR(__xludf.DUMMYFUNCTION("""COMPUTED_VALUE"""),0.9479170308914062)</f>
        <v>0.9479170309</v>
      </c>
      <c r="AO1812" s="82">
        <f>IFERROR(__xludf.DUMMYFUNCTION("""COMPUTED_VALUE"""),0.8123358783818138)</f>
        <v>0.8123358784</v>
      </c>
      <c r="AP1812" s="82">
        <f>IFERROR(__xludf.DUMMYFUNCTION("""COMPUTED_VALUE"""),0.992430344339892)</f>
        <v>0.9924303443</v>
      </c>
      <c r="AQ1812" s="82">
        <f>IFERROR(__xludf.DUMMYFUNCTION("""COMPUTED_VALUE"""),1.0672744300204888)</f>
        <v>1.06727443</v>
      </c>
      <c r="AR1812" s="82">
        <f>IFERROR(__xludf.DUMMYFUNCTION("""COMPUTED_VALUE"""),0.9410272589038051)</f>
        <v>0.9410272589</v>
      </c>
      <c r="AS1812" s="82">
        <f>IFERROR(__xludf.DUMMYFUNCTION("""COMPUTED_VALUE"""),88.0)</f>
        <v>88</v>
      </c>
      <c r="AT1812" s="82">
        <f>IFERROR(__xludf.DUMMYFUNCTION("""COMPUTED_VALUE"""),0.3181811163652297)</f>
        <v>0.3181811164</v>
      </c>
      <c r="AU1812" s="82">
        <f>IFERROR(__xludf.DUMMYFUNCTION("""COMPUTED_VALUE"""),1.9994163589682377)</f>
        <v>1.999416359</v>
      </c>
      <c r="AV1812" s="82">
        <f>IFERROR(__xludf.DUMMYFUNCTION("""COMPUTED_VALUE"""),36.43095319631706)</f>
        <v>36.4309532</v>
      </c>
      <c r="AW1812" s="82">
        <f t="shared" si="1"/>
        <v>-3.405450745</v>
      </c>
      <c r="AX1812" s="83">
        <f t="array" ref="AX1812">IFERROR(DGET('SBV Import'!A:G,"SBV",{"RSC ID","Tier";B1812,A1812}))</f>
        <v>39.42302437</v>
      </c>
      <c r="AY1812" s="82">
        <f t="shared" si="2"/>
        <v>-2.97513853</v>
      </c>
      <c r="AZ1812" s="82">
        <v>0.43031221577008294</v>
      </c>
      <c r="BA1812" s="84">
        <v>1700.0</v>
      </c>
      <c r="BB1812" s="84" t="b">
        <f>IFERROR(__xludf.DUMMYFUNCTION("iferror(if(A1812="""",,E1812&gt;=FILTER(Constants!$F$2:$F$10,Constants!$A$2:$A$10=A1812)))"),TRUE)</f>
        <v>1</v>
      </c>
    </row>
    <row r="1813">
      <c r="A1813" s="89" t="str">
        <f>IFERROR(__xludf.DUMMYFUNCTION("""COMPUTED_VALUE"""),"Rival")</f>
        <v>Rival</v>
      </c>
      <c r="B1813" s="87" t="str">
        <f>IFERROR(__xludf.DUMMYFUNCTION("""COMPUTED_VALUE"""),"RSC005475")</f>
        <v>RSC005475</v>
      </c>
      <c r="C1813" s="73" t="str">
        <f>IFERROR(__xludf.DUMMYFUNCTION("""COMPUTED_VALUE"""),"Envy")</f>
        <v>Envy</v>
      </c>
      <c r="D1813" s="73" t="str">
        <f>IFERROR(__xludf.DUMMYFUNCTION("""COMPUTED_VALUE"""),"Funk Hunks")</f>
        <v>Funk Hunks</v>
      </c>
      <c r="E1813" s="82">
        <f>IFERROR(__xludf.DUMMYFUNCTION("""COMPUTED_VALUE"""),36.0)</f>
        <v>36</v>
      </c>
      <c r="F1813" s="82">
        <f>IFERROR(__xludf.DUMMYFUNCTION("""COMPUTED_VALUE"""),13.0)</f>
        <v>13</v>
      </c>
      <c r="G1813" s="86">
        <f>IFERROR(__xludf.DUMMYFUNCTION("""COMPUTED_VALUE"""),23.0)</f>
        <v>23</v>
      </c>
      <c r="H1813" s="86">
        <f>IFERROR(__xludf.DUMMYFUNCTION("""COMPUTED_VALUE"""),0.3611111111111111)</f>
        <v>0.3611111111</v>
      </c>
      <c r="I1813" s="86">
        <f>IFERROR(__xludf.DUMMYFUNCTION("""COMPUTED_VALUE"""),0.35443037974683544)</f>
        <v>0.3544303797</v>
      </c>
      <c r="J1813" s="82">
        <f>IFERROR(__xludf.DUMMYFUNCTION("""COMPUTED_VALUE"""),286.19444444444446)</f>
        <v>286.1944444</v>
      </c>
      <c r="K1813" s="82">
        <f>IFERROR(__xludf.DUMMYFUNCTION("""COMPUTED_VALUE"""),0.7777777777777778)</f>
        <v>0.7777777778</v>
      </c>
      <c r="L1813" s="82">
        <f>IFERROR(__xludf.DUMMYFUNCTION("""COMPUTED_VALUE"""),0.3333333333333333)</f>
        <v>0.3333333333</v>
      </c>
      <c r="M1813" s="82">
        <f>IFERROR(__xludf.DUMMYFUNCTION("""COMPUTED_VALUE"""),1.0833333333333333)</f>
        <v>1.083333333</v>
      </c>
      <c r="N1813" s="82">
        <f>IFERROR(__xludf.DUMMYFUNCTION("""COMPUTED_VALUE"""),2.1944444444444446)</f>
        <v>2.194444444</v>
      </c>
      <c r="O1813" s="82">
        <f>IFERROR(__xludf.DUMMYFUNCTION("""COMPUTED_VALUE"""),356.27777777777777)</f>
        <v>356.2777778</v>
      </c>
      <c r="P1813" s="82">
        <f>IFERROR(__xludf.DUMMYFUNCTION("""COMPUTED_VALUE"""),0.9814814814814815)</f>
        <v>0.9814814815</v>
      </c>
      <c r="Q1813" s="82">
        <f>IFERROR(__xludf.DUMMYFUNCTION("""COMPUTED_VALUE"""),0.6851851851851852)</f>
        <v>0.6851851852</v>
      </c>
      <c r="R1813" s="82">
        <f>IFERROR(__xludf.DUMMYFUNCTION("""COMPUTED_VALUE"""),1.0462962962962963)</f>
        <v>1.046296296</v>
      </c>
      <c r="S1813" s="82">
        <f>IFERROR(__xludf.DUMMYFUNCTION("""COMPUTED_VALUE"""),2.8981481481481475)</f>
        <v>2.898148148</v>
      </c>
      <c r="T1813" s="82">
        <f>IFERROR(__xludf.DUMMYFUNCTION("""COMPUTED_VALUE"""),353.36774576798405)</f>
        <v>353.3677458</v>
      </c>
      <c r="U1813" s="82">
        <f>IFERROR(__xludf.DUMMYFUNCTION("""COMPUTED_VALUE"""),0.8189182054727105)</f>
        <v>0.8189182055</v>
      </c>
      <c r="V1813" s="82">
        <f>IFERROR(__xludf.DUMMYFUNCTION("""COMPUTED_VALUE"""),0.5945678392442975)</f>
        <v>0.5945678392</v>
      </c>
      <c r="W1813" s="82">
        <f>IFERROR(__xludf.DUMMYFUNCTION("""COMPUTED_VALUE"""),1.2818524206582254)</f>
        <v>1.281852421</v>
      </c>
      <c r="X1813" s="82">
        <f>IFERROR(__xludf.DUMMYFUNCTION("""COMPUTED_VALUE"""),2.6974717121705893)</f>
        <v>2.697471712</v>
      </c>
      <c r="Y1813" s="82">
        <f>IFERROR(__xludf.DUMMYFUNCTION("""COMPUTED_VALUE"""),339.6663798574275)</f>
        <v>339.6663799</v>
      </c>
      <c r="Z1813" s="82">
        <f>IFERROR(__xludf.DUMMYFUNCTION("""COMPUTED_VALUE"""),0.7186382753615344)</f>
        <v>0.7186382754</v>
      </c>
      <c r="AA1813" s="82">
        <f>IFERROR(__xludf.DUMMYFUNCTION("""COMPUTED_VALUE"""),0.5353415393874424)</f>
        <v>0.5353415394</v>
      </c>
      <c r="AB1813" s="82">
        <f>IFERROR(__xludf.DUMMYFUNCTION("""COMPUTED_VALUE"""),1.360446097977681)</f>
        <v>1.360446098</v>
      </c>
      <c r="AC1813" s="82">
        <f>IFERROR(__xludf.DUMMYFUNCTION("""COMPUTED_VALUE"""),2.4922631838233595)</f>
        <v>2.492263184</v>
      </c>
      <c r="AD1813" s="82">
        <f>IFERROR(__xludf.DUMMYFUNCTION("""COMPUTED_VALUE"""),0.8425751308226987)</f>
        <v>0.8425751308</v>
      </c>
      <c r="AE1813" s="82">
        <f>IFERROR(__xludf.DUMMYFUNCTION("""COMPUTED_VALUE"""),1.0822938388391452)</f>
        <v>1.082293839</v>
      </c>
      <c r="AF1813" s="82">
        <f>IFERROR(__xludf.DUMMYFUNCTION("""COMPUTED_VALUE"""),0.6226554616231456)</f>
        <v>0.6226554616</v>
      </c>
      <c r="AG1813" s="82">
        <f>IFERROR(__xludf.DUMMYFUNCTION("""COMPUTED_VALUE"""),0.7963074280882726)</f>
        <v>0.7963074281</v>
      </c>
      <c r="AH1813" s="82">
        <f>IFERROR(__xludf.DUMMYFUNCTION("""COMPUTED_VALUE"""),0.8805026927685728)</f>
        <v>0.8805026928</v>
      </c>
      <c r="AI1813" s="82">
        <f>IFERROR(__xludf.DUMMYFUNCTION("""COMPUTED_VALUE"""),1.008235137599979)</f>
        <v>1.008235138</v>
      </c>
      <c r="AJ1813" s="82">
        <f>IFERROR(__xludf.DUMMYFUNCTION("""COMPUTED_VALUE"""),1.1985097839105108)</f>
        <v>1.198509784</v>
      </c>
      <c r="AK1813" s="82">
        <f>IFERROR(__xludf.DUMMYFUNCTION("""COMPUTED_VALUE"""),1.152408758025095)</f>
        <v>1.152408758</v>
      </c>
      <c r="AL1813" s="82">
        <f>IFERROR(__xludf.DUMMYFUNCTION("""COMPUTED_VALUE"""),0.8162377192836504)</f>
        <v>0.8162377193</v>
      </c>
      <c r="AM1813" s="82">
        <f>IFERROR(__xludf.DUMMYFUNCTION("""COMPUTED_VALUE"""),1.0743942689267643)</f>
        <v>1.074394269</v>
      </c>
      <c r="AN1813" s="82">
        <f>IFERROR(__xludf.DUMMYFUNCTION("""COMPUTED_VALUE"""),0.8440402013027533)</f>
        <v>0.8440402013</v>
      </c>
      <c r="AO1813" s="82">
        <f>IFERROR(__xludf.DUMMYFUNCTION("""COMPUTED_VALUE"""),1.0457657284915305)</f>
        <v>1.045765728</v>
      </c>
      <c r="AP1813" s="82">
        <f>IFERROR(__xludf.DUMMYFUNCTION("""COMPUTED_VALUE"""),0.6107263657476258)</f>
        <v>0.6107263657</v>
      </c>
      <c r="AQ1813" s="82">
        <f>IFERROR(__xludf.DUMMYFUNCTION("""COMPUTED_VALUE"""),0.8283323934487375)</f>
        <v>0.8283323934</v>
      </c>
      <c r="AR1813" s="82">
        <f>IFERROR(__xludf.DUMMYFUNCTION("""COMPUTED_VALUE"""),0.8771817516625441)</f>
        <v>0.8771817517</v>
      </c>
      <c r="AS1813" s="82">
        <f>IFERROR(__xludf.DUMMYFUNCTION("""COMPUTED_VALUE"""),74.0)</f>
        <v>74</v>
      </c>
      <c r="AT1813" s="82">
        <f>IFERROR(__xludf.DUMMYFUNCTION("""COMPUTED_VALUE"""),0.3611531592398327)</f>
        <v>0.3611531592</v>
      </c>
      <c r="AU1813" s="82">
        <f>IFERROR(__xludf.DUMMYFUNCTION("""COMPUTED_VALUE"""),1.94607610796449)</f>
        <v>1.946076108</v>
      </c>
      <c r="AV1813" s="82">
        <f>IFERROR(__xludf.DUMMYFUNCTION("""COMPUTED_VALUE"""),34.90382314819966)</f>
        <v>34.90382315</v>
      </c>
      <c r="AW1813" s="82">
        <f t="shared" si="1"/>
        <v>-3.663370543</v>
      </c>
      <c r="AX1813" s="83">
        <f t="array" ref="AX1813">IFERROR(DGET('SBV Import'!A:G,"SBV",{"RSC ID","Tier";B1813,A1813}))</f>
        <v>29.02972085</v>
      </c>
      <c r="AY1813" s="82">
        <f t="shared" si="2"/>
        <v>-4.980386196</v>
      </c>
      <c r="AZ1813" s="82">
        <v>1.3170156528452996</v>
      </c>
      <c r="BA1813" s="84">
        <v>1700.0</v>
      </c>
      <c r="BB1813" s="84" t="b">
        <f>IFERROR(__xludf.DUMMYFUNCTION("iferror(if(A1813="""",,E1813&gt;=FILTER(Constants!$F$2:$F$10,Constants!$A$2:$A$10=A1813)))"),TRUE)</f>
        <v>1</v>
      </c>
    </row>
    <row r="1814">
      <c r="A1814" s="89" t="str">
        <f>IFERROR(__xludf.DUMMYFUNCTION("""COMPUTED_VALUE"""),"Rival")</f>
        <v>Rival</v>
      </c>
      <c r="B1814" s="87" t="str">
        <f>IFERROR(__xludf.DUMMYFUNCTION("""COMPUTED_VALUE"""),"RSC003720")</f>
        <v>RSC003720</v>
      </c>
      <c r="C1814" s="73" t="str">
        <f>IFERROR(__xludf.DUMMYFUNCTION("""COMPUTED_VALUE"""),"AriseDaft")</f>
        <v>AriseDaft</v>
      </c>
      <c r="D1814" s="73" t="str">
        <f>IFERROR(__xludf.DUMMYFUNCTION("""COMPUTED_VALUE"""),"Tyrants")</f>
        <v>Tyrants</v>
      </c>
      <c r="E1814" s="82">
        <f>IFERROR(__xludf.DUMMYFUNCTION("""COMPUTED_VALUE"""),40.0)</f>
        <v>40</v>
      </c>
      <c r="F1814" s="82">
        <f>IFERROR(__xludf.DUMMYFUNCTION("""COMPUTED_VALUE"""),17.0)</f>
        <v>17</v>
      </c>
      <c r="G1814" s="86">
        <f>IFERROR(__xludf.DUMMYFUNCTION("""COMPUTED_VALUE"""),23.0)</f>
        <v>23</v>
      </c>
      <c r="H1814" s="86">
        <f>IFERROR(__xludf.DUMMYFUNCTION("""COMPUTED_VALUE"""),0.425)</f>
        <v>0.425</v>
      </c>
      <c r="I1814" s="86">
        <f>IFERROR(__xludf.DUMMYFUNCTION("""COMPUTED_VALUE"""),0.338235294117647)</f>
        <v>0.3382352941</v>
      </c>
      <c r="J1814" s="82">
        <f>IFERROR(__xludf.DUMMYFUNCTION("""COMPUTED_VALUE"""),355.0)</f>
        <v>355</v>
      </c>
      <c r="K1814" s="82">
        <f>IFERROR(__xludf.DUMMYFUNCTION("""COMPUTED_VALUE"""),0.575)</f>
        <v>0.575</v>
      </c>
      <c r="L1814" s="82">
        <f>IFERROR(__xludf.DUMMYFUNCTION("""COMPUTED_VALUE"""),0.5)</f>
        <v>0.5</v>
      </c>
      <c r="M1814" s="82">
        <f>IFERROR(__xludf.DUMMYFUNCTION("""COMPUTED_VALUE"""),1.625)</f>
        <v>1.625</v>
      </c>
      <c r="N1814" s="82">
        <f>IFERROR(__xludf.DUMMYFUNCTION("""COMPUTED_VALUE"""),1.7)</f>
        <v>1.7</v>
      </c>
      <c r="O1814" s="82">
        <f>IFERROR(__xludf.DUMMYFUNCTION("""COMPUTED_VALUE"""),345.32500000000005)</f>
        <v>345.325</v>
      </c>
      <c r="P1814" s="82">
        <f>IFERROR(__xludf.DUMMYFUNCTION("""COMPUTED_VALUE"""),0.8083333333333332)</f>
        <v>0.8083333333</v>
      </c>
      <c r="Q1814" s="82">
        <f>IFERROR(__xludf.DUMMYFUNCTION("""COMPUTED_VALUE"""),0.6083333333333333)</f>
        <v>0.6083333333</v>
      </c>
      <c r="R1814" s="82">
        <f>IFERROR(__xludf.DUMMYFUNCTION("""COMPUTED_VALUE"""),1.0499999999999998)</f>
        <v>1.05</v>
      </c>
      <c r="S1814" s="82">
        <f>IFERROR(__xludf.DUMMYFUNCTION("""COMPUTED_VALUE"""),2.6750000000000003)</f>
        <v>2.675</v>
      </c>
      <c r="T1814" s="82">
        <f>IFERROR(__xludf.DUMMYFUNCTION("""COMPUTED_VALUE"""),350.4937033046479)</f>
        <v>350.4937033</v>
      </c>
      <c r="U1814" s="82">
        <f>IFERROR(__xludf.DUMMYFUNCTION("""COMPUTED_VALUE"""),0.7753429335294845)</f>
        <v>0.7753429335</v>
      </c>
      <c r="V1814" s="82">
        <f>IFERROR(__xludf.DUMMYFUNCTION("""COMPUTED_VALUE"""),0.5688918400418039)</f>
        <v>0.56889184</v>
      </c>
      <c r="W1814" s="82">
        <f>IFERROR(__xludf.DUMMYFUNCTION("""COMPUTED_VALUE"""),1.3539865097326562)</f>
        <v>1.35398651</v>
      </c>
      <c r="X1814" s="82">
        <f>IFERROR(__xludf.DUMMYFUNCTION("""COMPUTED_VALUE"""),2.5795201401856844)</f>
        <v>2.57952014</v>
      </c>
      <c r="Y1814" s="82">
        <f>IFERROR(__xludf.DUMMYFUNCTION("""COMPUTED_VALUE"""),349.8743380986599)</f>
        <v>349.8743381</v>
      </c>
      <c r="Z1814" s="82">
        <f>IFERROR(__xludf.DUMMYFUNCTION("""COMPUTED_VALUE"""),0.7835103369767077)</f>
        <v>0.783510337</v>
      </c>
      <c r="AA1814" s="82">
        <f>IFERROR(__xludf.DUMMYFUNCTION("""COMPUTED_VALUE"""),0.5626814410055301)</f>
        <v>0.562681441</v>
      </c>
      <c r="AB1814" s="82">
        <f>IFERROR(__xludf.DUMMYFUNCTION("""COMPUTED_VALUE"""),1.3185713096747373)</f>
        <v>1.31857131</v>
      </c>
      <c r="AC1814" s="82">
        <f>IFERROR(__xludf.DUMMYFUNCTION("""COMPUTED_VALUE"""),2.538149549918365)</f>
        <v>2.53814955</v>
      </c>
      <c r="AD1814" s="82">
        <f>IFERROR(__xludf.DUMMYFUNCTION("""COMPUTED_VALUE"""),1.014650008140622)</f>
        <v>1.014650008</v>
      </c>
      <c r="AE1814" s="82">
        <f>IFERROR(__xludf.DUMMYFUNCTION("""COMPUTED_VALUE"""),0.7338767248671202)</f>
        <v>0.7338767249</v>
      </c>
      <c r="AF1814" s="82">
        <f>IFERROR(__xludf.DUMMYFUNCTION("""COMPUTED_VALUE"""),0.8886022597555088)</f>
        <v>0.8886022598</v>
      </c>
      <c r="AG1814" s="82">
        <f>IFERROR(__xludf.DUMMYFUNCTION("""COMPUTED_VALUE"""),1.2323944773232263)</f>
        <v>1.232394477</v>
      </c>
      <c r="AH1814" s="82">
        <f>IFERROR(__xludf.DUMMYFUNCTION("""COMPUTED_VALUE"""),0.6697792886375342)</f>
        <v>0.6697792886</v>
      </c>
      <c r="AI1814" s="82">
        <f>IFERROR(__xludf.DUMMYFUNCTION("""COMPUTED_VALUE"""),0.9852530779985076)</f>
        <v>0.985253078</v>
      </c>
      <c r="AJ1814" s="82">
        <f>IFERROR(__xludf.DUMMYFUNCTION("""COMPUTED_VALUE"""),1.0425494299066753)</f>
        <v>1.04254943</v>
      </c>
      <c r="AK1814" s="82">
        <f>IFERROR(__xludf.DUMMYFUNCTION("""COMPUTED_VALUE"""),1.0693303902700222)</f>
        <v>1.06933039</v>
      </c>
      <c r="AL1814" s="82">
        <f>IFERROR(__xludf.DUMMYFUNCTION("""COMPUTED_VALUE"""),0.7754877854782479)</f>
        <v>0.7754877855</v>
      </c>
      <c r="AM1814" s="82">
        <f>IFERROR(__xludf.DUMMYFUNCTION("""COMPUTED_VALUE"""),1.037014582025106)</f>
        <v>1.037014582</v>
      </c>
      <c r="AN1814" s="82">
        <f>IFERROR(__xludf.DUMMYFUNCTION("""COMPUTED_VALUE"""),1.0469604748761707)</f>
        <v>1.046960475</v>
      </c>
      <c r="AO1814" s="82">
        <f>IFERROR(__xludf.DUMMYFUNCTION("""COMPUTED_VALUE"""),0.7731196635633814)</f>
        <v>0.7731196636</v>
      </c>
      <c r="AP1814" s="82">
        <f>IFERROR(__xludf.DUMMYFUNCTION("""COMPUTED_VALUE"""),0.9160895486214388)</f>
        <v>0.9160895486</v>
      </c>
      <c r="AQ1814" s="82">
        <f>IFERROR(__xludf.DUMMYFUNCTION("""COMPUTED_VALUE"""),1.2424985901731065)</f>
        <v>1.24249859</v>
      </c>
      <c r="AR1814" s="82">
        <f>IFERROR(__xludf.DUMMYFUNCTION("""COMPUTED_VALUE"""),0.6795382683765531)</f>
        <v>0.6795382684</v>
      </c>
      <c r="AS1814" s="82">
        <f>IFERROR(__xludf.DUMMYFUNCTION("""COMPUTED_VALUE"""),72.0)</f>
        <v>72</v>
      </c>
      <c r="AT1814" s="82">
        <f>IFERROR(__xludf.DUMMYFUNCTION("""COMPUTED_VALUE"""),0.38919278248697553)</f>
        <v>0.3891927825</v>
      </c>
      <c r="AU1814" s="82">
        <f>IFERROR(__xludf.DUMMYFUNCTION("""COMPUTED_VALUE"""),1.9260397082626701)</f>
        <v>1.926039708</v>
      </c>
      <c r="AV1814" s="82">
        <f>IFERROR(__xludf.DUMMYFUNCTION("""COMPUTED_VALUE"""),34.33018152737959)</f>
        <v>34.33018153</v>
      </c>
      <c r="AW1814" s="82">
        <f t="shared" si="1"/>
        <v>-3.767932269</v>
      </c>
      <c r="AX1814" s="83">
        <f t="array" ref="AX1814">IFERROR(DGET('SBV Import'!A:G,"SBV",{"RSC ID","Tier";B1814,A1814}))</f>
        <v>50.41337265</v>
      </c>
      <c r="AY1814" s="82">
        <f t="shared" si="2"/>
        <v>2.026737419</v>
      </c>
      <c r="AZ1814" s="82">
        <v>5.794669688898669</v>
      </c>
      <c r="BA1814" s="84">
        <v>1700.0</v>
      </c>
      <c r="BB1814" s="84" t="b">
        <f>IFERROR(__xludf.DUMMYFUNCTION("iferror(if(A1814="""",,E1814&gt;=FILTER(Constants!$F$2:$F$10,Constants!$A$2:$A$10=A1814)))"),TRUE)</f>
        <v>1</v>
      </c>
    </row>
    <row r="1815">
      <c r="A1815" s="89" t="str">
        <f>IFERROR(__xludf.DUMMYFUNCTION("""COMPUTED_VALUE"""),"Rival")</f>
        <v>Rival</v>
      </c>
      <c r="B1815" s="87" t="str">
        <f>IFERROR(__xludf.DUMMYFUNCTION("""COMPUTED_VALUE"""),"RSC003186")</f>
        <v>RSC003186</v>
      </c>
      <c r="C1815" s="73" t="str">
        <f>IFERROR(__xludf.DUMMYFUNCTION("""COMPUTED_VALUE"""),"xBlaniac")</f>
        <v>xBlaniac</v>
      </c>
      <c r="D1815" s="73" t="str">
        <f>IFERROR(__xludf.DUMMYFUNCTION("""COMPUTED_VALUE"""),"Dracos")</f>
        <v>Dracos</v>
      </c>
      <c r="E1815" s="82">
        <f>IFERROR(__xludf.DUMMYFUNCTION("""COMPUTED_VALUE"""),30.0)</f>
        <v>30</v>
      </c>
      <c r="F1815" s="82">
        <f>IFERROR(__xludf.DUMMYFUNCTION("""COMPUTED_VALUE"""),11.0)</f>
        <v>11</v>
      </c>
      <c r="G1815" s="86">
        <f>IFERROR(__xludf.DUMMYFUNCTION("""COMPUTED_VALUE"""),19.0)</f>
        <v>19</v>
      </c>
      <c r="H1815" s="86">
        <f>IFERROR(__xludf.DUMMYFUNCTION("""COMPUTED_VALUE"""),0.36666666666666664)</f>
        <v>0.3666666667</v>
      </c>
      <c r="I1815" s="86">
        <f>IFERROR(__xludf.DUMMYFUNCTION("""COMPUTED_VALUE"""),0.2833333333333333)</f>
        <v>0.2833333333</v>
      </c>
      <c r="J1815" s="82">
        <f>IFERROR(__xludf.DUMMYFUNCTION("""COMPUTED_VALUE"""),279.46666666666664)</f>
        <v>279.4666667</v>
      </c>
      <c r="K1815" s="82">
        <f>IFERROR(__xludf.DUMMYFUNCTION("""COMPUTED_VALUE"""),0.5666666666666667)</f>
        <v>0.5666666667</v>
      </c>
      <c r="L1815" s="82">
        <f>IFERROR(__xludf.DUMMYFUNCTION("""COMPUTED_VALUE"""),0.6333333333333333)</f>
        <v>0.6333333333</v>
      </c>
      <c r="M1815" s="82">
        <f>IFERROR(__xludf.DUMMYFUNCTION("""COMPUTED_VALUE"""),0.9666666666666667)</f>
        <v>0.9666666667</v>
      </c>
      <c r="N1815" s="82">
        <f>IFERROR(__xludf.DUMMYFUNCTION("""COMPUTED_VALUE"""),2.0)</f>
        <v>2</v>
      </c>
      <c r="O1815" s="82">
        <f>IFERROR(__xludf.DUMMYFUNCTION("""COMPUTED_VALUE"""),377.1444444444444)</f>
        <v>377.1444444</v>
      </c>
      <c r="P1815" s="82">
        <f>IFERROR(__xludf.DUMMYFUNCTION("""COMPUTED_VALUE"""),0.9888888888888887)</f>
        <v>0.9888888889</v>
      </c>
      <c r="Q1815" s="82">
        <f>IFERROR(__xludf.DUMMYFUNCTION("""COMPUTED_VALUE"""),0.6555555555555556)</f>
        <v>0.6555555556</v>
      </c>
      <c r="R1815" s="82">
        <f>IFERROR(__xludf.DUMMYFUNCTION("""COMPUTED_VALUE"""),1.2444444444444445)</f>
        <v>1.244444444</v>
      </c>
      <c r="S1815" s="82">
        <f>IFERROR(__xludf.DUMMYFUNCTION("""COMPUTED_VALUE"""),2.8666666666666663)</f>
        <v>2.866666667</v>
      </c>
      <c r="T1815" s="82">
        <f>IFERROR(__xludf.DUMMYFUNCTION("""COMPUTED_VALUE"""),364.2590238653005)</f>
        <v>364.2590239</v>
      </c>
      <c r="U1815" s="82">
        <f>IFERROR(__xludf.DUMMYFUNCTION("""COMPUTED_VALUE"""),0.8498441983139444)</f>
        <v>0.8498441983</v>
      </c>
      <c r="V1815" s="82">
        <f>IFERROR(__xludf.DUMMYFUNCTION("""COMPUTED_VALUE"""),0.6181024178472206)</f>
        <v>0.6181024178</v>
      </c>
      <c r="W1815" s="82">
        <f>IFERROR(__xludf.DUMMYFUNCTION("""COMPUTED_VALUE"""),1.3202739863851347)</f>
        <v>1.320273986</v>
      </c>
      <c r="X1815" s="82">
        <f>IFERROR(__xludf.DUMMYFUNCTION("""COMPUTED_VALUE"""),2.7496659596988198)</f>
        <v>2.74966596</v>
      </c>
      <c r="Y1815" s="82">
        <f>IFERROR(__xludf.DUMMYFUNCTION("""COMPUTED_VALUE"""),349.3770074989388)</f>
        <v>349.3770075</v>
      </c>
      <c r="Z1815" s="82">
        <f>IFERROR(__xludf.DUMMYFUNCTION("""COMPUTED_VALUE"""),0.7913053820111348)</f>
        <v>0.791305382</v>
      </c>
      <c r="AA1815" s="82">
        <f>IFERROR(__xludf.DUMMYFUNCTION("""COMPUTED_VALUE"""),0.5550802231037896)</f>
        <v>0.5550802231</v>
      </c>
      <c r="AB1815" s="82">
        <f>IFERROR(__xludf.DUMMYFUNCTION("""COMPUTED_VALUE"""),1.3136335745074412)</f>
        <v>1.313633575</v>
      </c>
      <c r="AC1815" s="82">
        <f>IFERROR(__xludf.DUMMYFUNCTION("""COMPUTED_VALUE"""),2.5458736596006144)</f>
        <v>2.54587366</v>
      </c>
      <c r="AD1815" s="82">
        <f>IFERROR(__xludf.DUMMYFUNCTION("""COMPUTED_VALUE"""),0.7998999953295882)</f>
        <v>0.7998999953</v>
      </c>
      <c r="AE1815" s="82">
        <f>IFERROR(__xludf.DUMMYFUNCTION("""COMPUTED_VALUE"""),0.716116280198247)</f>
        <v>0.7161162802</v>
      </c>
      <c r="AF1815" s="82">
        <f>IFERROR(__xludf.DUMMYFUNCTION("""COMPUTED_VALUE"""),1.1409762174411173)</f>
        <v>1.140976217</v>
      </c>
      <c r="AG1815" s="82">
        <f>IFERROR(__xludf.DUMMYFUNCTION("""COMPUTED_VALUE"""),0.7358723813291138)</f>
        <v>0.7358723813</v>
      </c>
      <c r="AH1815" s="82">
        <f>IFERROR(__xludf.DUMMYFUNCTION("""COMPUTED_VALUE"""),0.785584937594174)</f>
        <v>0.7855849376</v>
      </c>
      <c r="AI1815" s="82">
        <f>IFERROR(__xludf.DUMMYFUNCTION("""COMPUTED_VALUE"""),1.0353743345666813)</f>
        <v>1.035374335</v>
      </c>
      <c r="AJ1815" s="82">
        <f>IFERROR(__xludf.DUMMYFUNCTION("""COMPUTED_VALUE"""),1.1636119783494472)</f>
        <v>1.163611978</v>
      </c>
      <c r="AK1815" s="82">
        <f>IFERROR(__xludf.DUMMYFUNCTION("""COMPUTED_VALUE"""),1.0605937408217556)</f>
        <v>1.060593741</v>
      </c>
      <c r="AL1815" s="82">
        <f>IFERROR(__xludf.DUMMYFUNCTION("""COMPUTED_VALUE"""),0.9425652987768781)</f>
        <v>0.9425652988</v>
      </c>
      <c r="AM1815" s="82">
        <f>IFERROR(__xludf.DUMMYFUNCTION("""COMPUTED_VALUE"""),1.0425508802460726)</f>
        <v>1.04255088</v>
      </c>
      <c r="AN1815" s="82">
        <f>IFERROR(__xludf.DUMMYFUNCTION("""COMPUTED_VALUE"""),0.8241987437898417)</f>
        <v>0.8241987438</v>
      </c>
      <c r="AO1815" s="82">
        <f>IFERROR(__xludf.DUMMYFUNCTION("""COMPUTED_VALUE"""),0.761915030758115)</f>
        <v>0.7619150308</v>
      </c>
      <c r="AP1815" s="82">
        <f>IFERROR(__xludf.DUMMYFUNCTION("""COMPUTED_VALUE"""),1.160380094920489)</f>
        <v>1.160380095</v>
      </c>
      <c r="AQ1815" s="82">
        <f>IFERROR(__xludf.DUMMYFUNCTION("""COMPUTED_VALUE"""),0.7391273664619504)</f>
        <v>0.7391273665</v>
      </c>
      <c r="AR1815" s="82">
        <f>IFERROR(__xludf.DUMMYFUNCTION("""COMPUTED_VALUE"""),0.7994567863253565)</f>
        <v>0.7994567863</v>
      </c>
      <c r="AS1815" s="82">
        <f>IFERROR(__xludf.DUMMYFUNCTION("""COMPUTED_VALUE"""),65.0)</f>
        <v>65</v>
      </c>
      <c r="AT1815" s="82">
        <f>IFERROR(__xludf.DUMMYFUNCTION("""COMPUTED_VALUE"""),0.37694719182629677)</f>
        <v>0.3769471918</v>
      </c>
      <c r="AU1815" s="82">
        <f>IFERROR(__xludf.DUMMYFUNCTION("""COMPUTED_VALUE"""),1.9092512026490012)</f>
        <v>1.909251203</v>
      </c>
      <c r="AV1815" s="82">
        <f>IFERROR(__xludf.DUMMYFUNCTION("""COMPUTED_VALUE"""),33.849527032824994)</f>
        <v>33.84952703</v>
      </c>
      <c r="AW1815" s="82">
        <f t="shared" si="1"/>
        <v>-3.859013985</v>
      </c>
      <c r="AX1815" s="83">
        <f t="array" ref="AX1815">IFERROR(DGET('SBV Import'!A:G,"SBV",{"RSC ID","Tier";B1815,A1815}))</f>
        <v>25.52133742</v>
      </c>
      <c r="AY1815" s="82">
        <f t="shared" si="2"/>
        <v>-6.10672857</v>
      </c>
      <c r="AZ1815" s="82">
        <v>2.2477145845137865</v>
      </c>
      <c r="BA1815" s="84">
        <v>1700.0</v>
      </c>
      <c r="BB1815" s="84" t="b">
        <f>IFERROR(__xludf.DUMMYFUNCTION("iferror(if(A1815="""",,E1815&gt;=FILTER(Constants!$F$2:$F$10,Constants!$A$2:$A$10=A1815)))"),TRUE)</f>
        <v>1</v>
      </c>
    </row>
    <row r="1816">
      <c r="A1816" s="89" t="str">
        <f>IFERROR(__xludf.DUMMYFUNCTION("""COMPUTED_VALUE"""),"Rival")</f>
        <v>Rival</v>
      </c>
      <c r="B1816" s="87" t="str">
        <f>IFERROR(__xludf.DUMMYFUNCTION("""COMPUTED_VALUE"""),"RSC003255")</f>
        <v>RSC003255</v>
      </c>
      <c r="C1816" s="73" t="str">
        <f>IFERROR(__xludf.DUMMYFUNCTION("""COMPUTED_VALUE"""),"cozyboy")</f>
        <v>cozyboy</v>
      </c>
      <c r="D1816" s="73" t="str">
        <f>IFERROR(__xludf.DUMMYFUNCTION("""COMPUTED_VALUE"""),"Funk Hunks")</f>
        <v>Funk Hunks</v>
      </c>
      <c r="E1816" s="82">
        <f>IFERROR(__xludf.DUMMYFUNCTION("""COMPUTED_VALUE"""),37.0)</f>
        <v>37</v>
      </c>
      <c r="F1816" s="82">
        <f>IFERROR(__xludf.DUMMYFUNCTION("""COMPUTED_VALUE"""),14.0)</f>
        <v>14</v>
      </c>
      <c r="G1816" s="86">
        <f>IFERROR(__xludf.DUMMYFUNCTION("""COMPUTED_VALUE"""),23.0)</f>
        <v>23</v>
      </c>
      <c r="H1816" s="86">
        <f>IFERROR(__xludf.DUMMYFUNCTION("""COMPUTED_VALUE"""),0.3783783783783784)</f>
        <v>0.3783783784</v>
      </c>
      <c r="I1816" s="86">
        <f>IFERROR(__xludf.DUMMYFUNCTION("""COMPUTED_VALUE"""),0.2463768115942029)</f>
        <v>0.2463768116</v>
      </c>
      <c r="J1816" s="82">
        <f>IFERROR(__xludf.DUMMYFUNCTION("""COMPUTED_VALUE"""),314.1621621621622)</f>
        <v>314.1621622</v>
      </c>
      <c r="K1816" s="82">
        <f>IFERROR(__xludf.DUMMYFUNCTION("""COMPUTED_VALUE"""),0.4594594594594595)</f>
        <v>0.4594594595</v>
      </c>
      <c r="L1816" s="82">
        <f>IFERROR(__xludf.DUMMYFUNCTION("""COMPUTED_VALUE"""),0.6756756756756757)</f>
        <v>0.6756756757</v>
      </c>
      <c r="M1816" s="82">
        <f>IFERROR(__xludf.DUMMYFUNCTION("""COMPUTED_VALUE"""),1.3783783783783783)</f>
        <v>1.378378378</v>
      </c>
      <c r="N1816" s="82">
        <f>IFERROR(__xludf.DUMMYFUNCTION("""COMPUTED_VALUE"""),1.864864864864865)</f>
        <v>1.864864865</v>
      </c>
      <c r="O1816" s="82">
        <f>IFERROR(__xludf.DUMMYFUNCTION("""COMPUTED_VALUE"""),361.4864864864865)</f>
        <v>361.4864865</v>
      </c>
      <c r="P1816" s="82">
        <f>IFERROR(__xludf.DUMMYFUNCTION("""COMPUTED_VALUE"""),0.936936936936937)</f>
        <v>0.9369369369</v>
      </c>
      <c r="Q1816" s="82">
        <f>IFERROR(__xludf.DUMMYFUNCTION("""COMPUTED_VALUE"""),0.6576576576576575)</f>
        <v>0.6576576577</v>
      </c>
      <c r="R1816" s="82">
        <f>IFERROR(__xludf.DUMMYFUNCTION("""COMPUTED_VALUE"""),1.189189189189189)</f>
        <v>1.189189189</v>
      </c>
      <c r="S1816" s="82">
        <f>IFERROR(__xludf.DUMMYFUNCTION("""COMPUTED_VALUE"""),2.765765765765765)</f>
        <v>2.765765766</v>
      </c>
      <c r="T1816" s="82">
        <f>IFERROR(__xludf.DUMMYFUNCTION("""COMPUTED_VALUE"""),355.06454387210334)</f>
        <v>355.0645439</v>
      </c>
      <c r="U1816" s="82">
        <f>IFERROR(__xludf.DUMMYFUNCTION("""COMPUTED_VALUE"""),0.8198874317031345)</f>
        <v>0.8198874317</v>
      </c>
      <c r="V1816" s="82">
        <f>IFERROR(__xludf.DUMMYFUNCTION("""COMPUTED_VALUE"""),0.6096380797896002)</f>
        <v>0.6096380798</v>
      </c>
      <c r="W1816" s="82">
        <f>IFERROR(__xludf.DUMMYFUNCTION("""COMPUTED_VALUE"""),1.2903895104398142)</f>
        <v>1.29038951</v>
      </c>
      <c r="X1816" s="82">
        <f>IFERROR(__xludf.DUMMYFUNCTION("""COMPUTED_VALUE"""),2.686822812553533)</f>
        <v>2.686822813</v>
      </c>
      <c r="Y1816" s="82">
        <f>IFERROR(__xludf.DUMMYFUNCTION("""COMPUTED_VALUE"""),345.7305704262936)</f>
        <v>345.7305704</v>
      </c>
      <c r="Z1816" s="82">
        <f>IFERROR(__xludf.DUMMYFUNCTION("""COMPUTED_VALUE"""),0.7554242818105732)</f>
        <v>0.7554242818</v>
      </c>
      <c r="AA1816" s="82">
        <f>IFERROR(__xludf.DUMMYFUNCTION("""COMPUTED_VALUE"""),0.5508679276211743)</f>
        <v>0.5508679276</v>
      </c>
      <c r="AB1816" s="82">
        <f>IFERROR(__xludf.DUMMYFUNCTION("""COMPUTED_VALUE"""),1.3561663457782023)</f>
        <v>1.356166346</v>
      </c>
      <c r="AC1816" s="82">
        <f>IFERROR(__xludf.DUMMYFUNCTION("""COMPUTED_VALUE"""),2.5123969323454514)</f>
        <v>2.512396932</v>
      </c>
      <c r="AD1816" s="82">
        <f>IFERROR(__xludf.DUMMYFUNCTION("""COMPUTED_VALUE"""),0.9086907234578451)</f>
        <v>0.9086907235</v>
      </c>
      <c r="AE1816" s="82">
        <f>IFERROR(__xludf.DUMMYFUNCTION("""COMPUTED_VALUE"""),0.6082137820063764)</f>
        <v>0.608213782</v>
      </c>
      <c r="AF1816" s="82">
        <f>IFERROR(__xludf.DUMMYFUNCTION("""COMPUTED_VALUE"""),1.2265656463128314)</f>
        <v>1.226565646</v>
      </c>
      <c r="AG1816" s="82">
        <f>IFERROR(__xludf.DUMMYFUNCTION("""COMPUTED_VALUE"""),1.0163785457951549)</f>
        <v>1.016378546</v>
      </c>
      <c r="AH1816" s="82">
        <f>IFERROR(__xludf.DUMMYFUNCTION("""COMPUTED_VALUE"""),0.7422652212538399)</f>
        <v>0.7422652213</v>
      </c>
      <c r="AI1816" s="82">
        <f>IFERROR(__xludf.DUMMYFUNCTION("""COMPUTED_VALUE"""),1.0180866907868344)</f>
        <v>1.018086691</v>
      </c>
      <c r="AJ1816" s="82">
        <f>IFERROR(__xludf.DUMMYFUNCTION("""COMPUTED_VALUE"""),1.1427628973292812)</f>
        <v>1.142762897</v>
      </c>
      <c r="AK1816" s="82">
        <f>IFERROR(__xludf.DUMMYFUNCTION("""COMPUTED_VALUE"""),1.0787673530574566)</f>
        <v>1.078767353</v>
      </c>
      <c r="AL1816" s="82">
        <f>IFERROR(__xludf.DUMMYFUNCTION("""COMPUTED_VALUE"""),0.9215738190431103)</f>
        <v>0.921573819</v>
      </c>
      <c r="AM1816" s="82">
        <f>IFERROR(__xludf.DUMMYFUNCTION("""COMPUTED_VALUE"""),1.0293815255860528)</f>
        <v>1.029381526</v>
      </c>
      <c r="AN1816" s="82">
        <f>IFERROR(__xludf.DUMMYFUNCTION("""COMPUTED_VALUE"""),0.9265221591138644)</f>
        <v>0.9265221591</v>
      </c>
      <c r="AO1816" s="82">
        <f>IFERROR(__xludf.DUMMYFUNCTION("""COMPUTED_VALUE"""),0.6177689438579311)</f>
        <v>0.6177689439</v>
      </c>
      <c r="AP1816" s="82">
        <f>IFERROR(__xludf.DUMMYFUNCTION("""COMPUTED_VALUE"""),1.2379588494884308)</f>
        <v>1.237958849</v>
      </c>
      <c r="AQ1816" s="82">
        <f>IFERROR(__xludf.DUMMYFUNCTION("""COMPUTED_VALUE"""),1.0539281180678324)</f>
        <v>1.053928118</v>
      </c>
      <c r="AR1816" s="82">
        <f>IFERROR(__xludf.DUMMYFUNCTION("""COMPUTED_VALUE"""),0.7454394358979677)</f>
        <v>0.7454394359</v>
      </c>
      <c r="AS1816" s="82">
        <f>IFERROR(__xludf.DUMMYFUNCTION("""COMPUTED_VALUE"""),73.0)</f>
        <v>73</v>
      </c>
      <c r="AT1816" s="82">
        <f>IFERROR(__xludf.DUMMYFUNCTION("""COMPUTED_VALUE"""),0.36478785168576605)</f>
        <v>0.3647878517</v>
      </c>
      <c r="AU1816" s="82">
        <f>IFERROR(__xludf.DUMMYFUNCTION("""COMPUTED_VALUE"""),1.9025453663213931)</f>
        <v>1.902545366</v>
      </c>
      <c r="AV1816" s="82">
        <f>IFERROR(__xludf.DUMMYFUNCTION("""COMPUTED_VALUE"""),33.65753910699151)</f>
        <v>33.65753911</v>
      </c>
      <c r="AW1816" s="82">
        <f t="shared" si="1"/>
        <v>-3.896310517</v>
      </c>
      <c r="AX1816" s="83">
        <f t="array" ref="AX1816">IFERROR(DGET('SBV Import'!A:G,"SBV",{"RSC ID","Tier";B1816,A1816}))</f>
        <v>38.43836465</v>
      </c>
      <c r="AY1816" s="82">
        <f t="shared" si="2"/>
        <v>-3.106807704</v>
      </c>
      <c r="AZ1816" s="82">
        <v>0.7895028137623883</v>
      </c>
      <c r="BA1816" s="84">
        <v>1700.0</v>
      </c>
      <c r="BB1816" s="84" t="b">
        <f>IFERROR(__xludf.DUMMYFUNCTION("iferror(if(A1816="""",,E1816&gt;=FILTER(Constants!$F$2:$F$10,Constants!$A$2:$A$10=A1816)))"),TRUE)</f>
        <v>1</v>
      </c>
    </row>
    <row r="1817">
      <c r="A1817" s="89" t="str">
        <f>IFERROR(__xludf.DUMMYFUNCTION("""COMPUTED_VALUE"""),"Rival")</f>
        <v>Rival</v>
      </c>
      <c r="B1817" s="87" t="str">
        <f>IFERROR(__xludf.DUMMYFUNCTION("""COMPUTED_VALUE"""),"RSC007847")</f>
        <v>RSC007847</v>
      </c>
      <c r="C1817" s="73" t="str">
        <f>IFERROR(__xludf.DUMMYFUNCTION("""COMPUTED_VALUE"""),"GoodGuyGlaz")</f>
        <v>GoodGuyGlaz</v>
      </c>
      <c r="D1817" s="73"/>
      <c r="E1817" s="82">
        <f>IFERROR(__xludf.DUMMYFUNCTION("""COMPUTED_VALUE"""),14.0)</f>
        <v>14</v>
      </c>
      <c r="F1817" s="82">
        <f>IFERROR(__xludf.DUMMYFUNCTION("""COMPUTED_VALUE"""),5.0)</f>
        <v>5</v>
      </c>
      <c r="G1817" s="86">
        <f>IFERROR(__xludf.DUMMYFUNCTION("""COMPUTED_VALUE"""),9.0)</f>
        <v>9</v>
      </c>
      <c r="H1817" s="86">
        <f>IFERROR(__xludf.DUMMYFUNCTION("""COMPUTED_VALUE"""),0.35714285714285715)</f>
        <v>0.3571428571</v>
      </c>
      <c r="I1817" s="86">
        <f>IFERROR(__xludf.DUMMYFUNCTION("""COMPUTED_VALUE"""),0.26666666666666666)</f>
        <v>0.2666666667</v>
      </c>
      <c r="J1817" s="82">
        <f>IFERROR(__xludf.DUMMYFUNCTION("""COMPUTED_VALUE"""),287.5)</f>
        <v>287.5</v>
      </c>
      <c r="K1817" s="82">
        <f>IFERROR(__xludf.DUMMYFUNCTION("""COMPUTED_VALUE"""),0.5714285714285714)</f>
        <v>0.5714285714</v>
      </c>
      <c r="L1817" s="82">
        <f>IFERROR(__xludf.DUMMYFUNCTION("""COMPUTED_VALUE"""),0.2857142857142857)</f>
        <v>0.2857142857</v>
      </c>
      <c r="M1817" s="82">
        <f>IFERROR(__xludf.DUMMYFUNCTION("""COMPUTED_VALUE"""),1.2142857142857142)</f>
        <v>1.214285714</v>
      </c>
      <c r="N1817" s="82">
        <f>IFERROR(__xludf.DUMMYFUNCTION("""COMPUTED_VALUE"""),2.142857142857143)</f>
        <v>2.142857143</v>
      </c>
      <c r="O1817" s="82">
        <f>IFERROR(__xludf.DUMMYFUNCTION("""COMPUTED_VALUE"""),358.6904761904762)</f>
        <v>358.6904762</v>
      </c>
      <c r="P1817" s="82">
        <f>IFERROR(__xludf.DUMMYFUNCTION("""COMPUTED_VALUE"""),0.7619047619047619)</f>
        <v>0.7619047619</v>
      </c>
      <c r="Q1817" s="82">
        <f>IFERROR(__xludf.DUMMYFUNCTION("""COMPUTED_VALUE"""),0.6190476190476192)</f>
        <v>0.619047619</v>
      </c>
      <c r="R1817" s="82">
        <f>IFERROR(__xludf.DUMMYFUNCTION("""COMPUTED_VALUE"""),1.380952380952381)</f>
        <v>1.380952381</v>
      </c>
      <c r="S1817" s="82">
        <f>IFERROR(__xludf.DUMMYFUNCTION("""COMPUTED_VALUE"""),2.9047619047619047)</f>
        <v>2.904761905</v>
      </c>
      <c r="T1817" s="82">
        <f>IFERROR(__xludf.DUMMYFUNCTION("""COMPUTED_VALUE"""),357.7658330967792)</f>
        <v>357.7658331</v>
      </c>
      <c r="U1817" s="82">
        <f>IFERROR(__xludf.DUMMYFUNCTION("""COMPUTED_VALUE"""),0.8780112973511701)</f>
        <v>0.8780112974</v>
      </c>
      <c r="V1817" s="82">
        <f>IFERROR(__xludf.DUMMYFUNCTION("""COMPUTED_VALUE"""),0.6445541396609417)</f>
        <v>0.6445541397</v>
      </c>
      <c r="W1817" s="82">
        <f>IFERROR(__xludf.DUMMYFUNCTION("""COMPUTED_VALUE"""),1.177386026293389)</f>
        <v>1.177386026</v>
      </c>
      <c r="X1817" s="82">
        <f>IFERROR(__xludf.DUMMYFUNCTION("""COMPUTED_VALUE"""),2.7520808825573257)</f>
        <v>2.752080883</v>
      </c>
      <c r="Y1817" s="82">
        <f>IFERROR(__xludf.DUMMYFUNCTION("""COMPUTED_VALUE"""),323.7434381062864)</f>
        <v>323.7434381</v>
      </c>
      <c r="Z1817" s="82">
        <f>IFERROR(__xludf.DUMMYFUNCTION("""COMPUTED_VALUE"""),0.6302648853304057)</f>
        <v>0.6302648853</v>
      </c>
      <c r="AA1817" s="82">
        <f>IFERROR(__xludf.DUMMYFUNCTION("""COMPUTED_VALUE"""),0.4583125356663456)</f>
        <v>0.4583125357</v>
      </c>
      <c r="AB1817" s="82">
        <f>IFERROR(__xludf.DUMMYFUNCTION("""COMPUTED_VALUE"""),1.3575699238061)</f>
        <v>1.357569924</v>
      </c>
      <c r="AC1817" s="82">
        <f>IFERROR(__xludf.DUMMYFUNCTION("""COMPUTED_VALUE"""),2.2573878417671027)</f>
        <v>2.257387842</v>
      </c>
      <c r="AD1817" s="82">
        <f>IFERROR(__xludf.DUMMYFUNCTION("""COMPUTED_VALUE"""),0.8880488873587994)</f>
        <v>0.8880488874</v>
      </c>
      <c r="AE1817" s="82">
        <f>IFERROR(__xludf.DUMMYFUNCTION("""COMPUTED_VALUE"""),0.9066482755564109)</f>
        <v>0.9066482756</v>
      </c>
      <c r="AF1817" s="82">
        <f>IFERROR(__xludf.DUMMYFUNCTION("""COMPUTED_VALUE"""),0.6234049114517074)</f>
        <v>0.6234049115</v>
      </c>
      <c r="AG1817" s="82">
        <f>IFERROR(__xludf.DUMMYFUNCTION("""COMPUTED_VALUE"""),0.8944553742626586)</f>
        <v>0.8944553743</v>
      </c>
      <c r="AH1817" s="82">
        <f>IFERROR(__xludf.DUMMYFUNCTION("""COMPUTED_VALUE"""),0.9492640578677414)</f>
        <v>0.9492640579</v>
      </c>
      <c r="AI1817" s="82">
        <f>IFERROR(__xludf.DUMMYFUNCTION("""COMPUTED_VALUE"""),1.0025844924477372)</f>
        <v>1.002584492</v>
      </c>
      <c r="AJ1817" s="82">
        <f>IFERROR(__xludf.DUMMYFUNCTION("""COMPUTED_VALUE"""),0.8677619117240468)</f>
        <v>0.8677619117</v>
      </c>
      <c r="AK1817" s="82">
        <f>IFERROR(__xludf.DUMMYFUNCTION("""COMPUTED_VALUE"""),0.9604276521647355)</f>
        <v>0.9604276522</v>
      </c>
      <c r="AL1817" s="82">
        <f>IFERROR(__xludf.DUMMYFUNCTION("""COMPUTED_VALUE"""),1.1728968665441473)</f>
        <v>1.172896867</v>
      </c>
      <c r="AM1817" s="82">
        <f>IFERROR(__xludf.DUMMYFUNCTION("""COMPUTED_VALUE"""),1.055478392067715)</f>
        <v>1.055478392</v>
      </c>
      <c r="AN1817" s="82">
        <f>IFERROR(__xludf.DUMMYFUNCTION("""COMPUTED_VALUE"""),0.8478905254278847)</f>
        <v>0.8478905254</v>
      </c>
      <c r="AO1817" s="82">
        <f>IFERROR(__xludf.DUMMYFUNCTION("""COMPUTED_VALUE"""),0.7683176780754101)</f>
        <v>0.7683176781</v>
      </c>
      <c r="AP1817" s="82">
        <f>IFERROR(__xludf.DUMMYFUNCTION("""COMPUTED_VALUE"""),0.5234797420693935)</f>
        <v>0.5234797421</v>
      </c>
      <c r="AQ1817" s="82">
        <f>IFERROR(__xludf.DUMMYFUNCTION("""COMPUTED_VALUE"""),0.9284604849645189)</f>
        <v>0.928460485</v>
      </c>
      <c r="AR1817" s="82">
        <f>IFERROR(__xludf.DUMMYFUNCTION("""COMPUTED_VALUE"""),0.8565608424914535)</f>
        <v>0.8565608425</v>
      </c>
      <c r="AS1817" s="82">
        <f>IFERROR(__xludf.DUMMYFUNCTION("""COMPUTED_VALUE"""),21.0)</f>
        <v>21</v>
      </c>
      <c r="AT1817" s="82">
        <f>IFERROR(__xludf.DUMMYFUNCTION("""COMPUTED_VALUE"""),0.35041699643189256)</f>
        <v>0.3504169964</v>
      </c>
      <c r="AU1817" s="82">
        <f>IFERROR(__xludf.DUMMYFUNCTION("""COMPUTED_VALUE"""),1.8719979582435216)</f>
        <v>1.871997958</v>
      </c>
      <c r="AV1817" s="82">
        <f>IFERROR(__xludf.DUMMYFUNCTION("""COMPUTED_VALUE"""),32.782967580049416)</f>
        <v>32.78296758</v>
      </c>
      <c r="AW1817" s="82">
        <f t="shared" si="1"/>
        <v>-4.073121918</v>
      </c>
      <c r="AX1817" s="83">
        <f t="array" ref="AX1817">IFERROR(DGET('SBV Import'!A:G,"SBV",{"RSC ID","Tier";B1817,A1817}))</f>
        <v>19.31742304</v>
      </c>
      <c r="AY1817" s="82">
        <f t="shared" si="2"/>
        <v>-9.102962282</v>
      </c>
      <c r="AZ1817" s="82">
        <v>5.029840364250261</v>
      </c>
      <c r="BA1817" s="84">
        <v>1700.0</v>
      </c>
      <c r="BB1817" s="84" t="b">
        <f>IFERROR(__xludf.DUMMYFUNCTION("iferror(if(A1817="""",,E1817&gt;=FILTER(Constants!$F$2:$F$10,Constants!$A$2:$A$10=A1817)))"),TRUE)</f>
        <v>1</v>
      </c>
    </row>
    <row r="1818">
      <c r="A1818" s="89" t="str">
        <f>IFERROR(__xludf.DUMMYFUNCTION("""COMPUTED_VALUE"""),"Rival")</f>
        <v>Rival</v>
      </c>
      <c r="B1818" s="87" t="str">
        <f>IFERROR(__xludf.DUMMYFUNCTION("""COMPUTED_VALUE"""),"RSC003094")</f>
        <v>RSC003094</v>
      </c>
      <c r="C1818" s="73" t="str">
        <f>IFERROR(__xludf.DUMMYFUNCTION("""COMPUTED_VALUE"""),"Galvarino")</f>
        <v>Galvarino</v>
      </c>
      <c r="D1818" s="73" t="str">
        <f>IFERROR(__xludf.DUMMYFUNCTION("""COMPUTED_VALUE"""),"Polar Bears")</f>
        <v>Polar Bears</v>
      </c>
      <c r="E1818" s="82">
        <f>IFERROR(__xludf.DUMMYFUNCTION("""COMPUTED_VALUE"""),22.0)</f>
        <v>22</v>
      </c>
      <c r="F1818" s="82">
        <f>IFERROR(__xludf.DUMMYFUNCTION("""COMPUTED_VALUE"""),9.0)</f>
        <v>9</v>
      </c>
      <c r="G1818" s="86">
        <f>IFERROR(__xludf.DUMMYFUNCTION("""COMPUTED_VALUE"""),13.0)</f>
        <v>13</v>
      </c>
      <c r="H1818" s="86">
        <f>IFERROR(__xludf.DUMMYFUNCTION("""COMPUTED_VALUE"""),0.4090909090909091)</f>
        <v>0.4090909091</v>
      </c>
      <c r="I1818" s="86">
        <f>IFERROR(__xludf.DUMMYFUNCTION("""COMPUTED_VALUE"""),0.30434782608695654)</f>
        <v>0.3043478261</v>
      </c>
      <c r="J1818" s="82">
        <f>IFERROR(__xludf.DUMMYFUNCTION("""COMPUTED_VALUE"""),271.40909090909093)</f>
        <v>271.4090909</v>
      </c>
      <c r="K1818" s="82">
        <f>IFERROR(__xludf.DUMMYFUNCTION("""COMPUTED_VALUE"""),0.6363636363636364)</f>
        <v>0.6363636364</v>
      </c>
      <c r="L1818" s="82">
        <f>IFERROR(__xludf.DUMMYFUNCTION("""COMPUTED_VALUE"""),0.36363636363636365)</f>
        <v>0.3636363636</v>
      </c>
      <c r="M1818" s="82">
        <f>IFERROR(__xludf.DUMMYFUNCTION("""COMPUTED_VALUE"""),0.9545454545454546)</f>
        <v>0.9545454545</v>
      </c>
      <c r="N1818" s="82">
        <f>IFERROR(__xludf.DUMMYFUNCTION("""COMPUTED_VALUE"""),2.090909090909091)</f>
        <v>2.090909091</v>
      </c>
      <c r="O1818" s="82">
        <f>IFERROR(__xludf.DUMMYFUNCTION("""COMPUTED_VALUE"""),355.8333333333333)</f>
        <v>355.8333333</v>
      </c>
      <c r="P1818" s="82">
        <f>IFERROR(__xludf.DUMMYFUNCTION("""COMPUTED_VALUE"""),0.8787878787878789)</f>
        <v>0.8787878788</v>
      </c>
      <c r="Q1818" s="82">
        <f>IFERROR(__xludf.DUMMYFUNCTION("""COMPUTED_VALUE"""),0.6666666666666666)</f>
        <v>0.6666666667</v>
      </c>
      <c r="R1818" s="82">
        <f>IFERROR(__xludf.DUMMYFUNCTION("""COMPUTED_VALUE"""),1.212121212121212)</f>
        <v>1.212121212</v>
      </c>
      <c r="S1818" s="82">
        <f>IFERROR(__xludf.DUMMYFUNCTION("""COMPUTED_VALUE"""),2.333333333333333)</f>
        <v>2.333333333</v>
      </c>
      <c r="T1818" s="82">
        <f>IFERROR(__xludf.DUMMYFUNCTION("""COMPUTED_VALUE"""),361.8989411371076)</f>
        <v>361.8989411</v>
      </c>
      <c r="U1818" s="82">
        <f>IFERROR(__xludf.DUMMYFUNCTION("""COMPUTED_VALUE"""),0.8382035454358028)</f>
        <v>0.8382035454</v>
      </c>
      <c r="V1818" s="82">
        <f>IFERROR(__xludf.DUMMYFUNCTION("""COMPUTED_VALUE"""),0.6146577749441514)</f>
        <v>0.6146577749</v>
      </c>
      <c r="W1818" s="82">
        <f>IFERROR(__xludf.DUMMYFUNCTION("""COMPUTED_VALUE"""),1.33010690829406)</f>
        <v>1.330106908</v>
      </c>
      <c r="X1818" s="82">
        <f>IFERROR(__xludf.DUMMYFUNCTION("""COMPUTED_VALUE"""),2.5801095156571496)</f>
        <v>2.580109516</v>
      </c>
      <c r="Y1818" s="82">
        <f>IFERROR(__xludf.DUMMYFUNCTION("""COMPUTED_VALUE"""),330.2941179353429)</f>
        <v>330.2941179</v>
      </c>
      <c r="Z1818" s="82">
        <f>IFERROR(__xludf.DUMMYFUNCTION("""COMPUTED_VALUE"""),0.6824523442483044)</f>
        <v>0.6824523442</v>
      </c>
      <c r="AA1818" s="82">
        <f>IFERROR(__xludf.DUMMYFUNCTION("""COMPUTED_VALUE"""),0.5027266460871668)</f>
        <v>0.5027266461</v>
      </c>
      <c r="AB1818" s="82">
        <f>IFERROR(__xludf.DUMMYFUNCTION("""COMPUTED_VALUE"""),1.2574967992933033)</f>
        <v>1.257496799</v>
      </c>
      <c r="AC1818" s="82">
        <f>IFERROR(__xludf.DUMMYFUNCTION("""COMPUTED_VALUE"""),2.4417871056702105)</f>
        <v>2.441787106</v>
      </c>
      <c r="AD1818" s="82">
        <f>IFERROR(__xludf.DUMMYFUNCTION("""COMPUTED_VALUE"""),0.8217194196665074)</f>
        <v>0.8217194197</v>
      </c>
      <c r="AE1818" s="82">
        <f>IFERROR(__xludf.DUMMYFUNCTION("""COMPUTED_VALUE"""),0.9324660421008107)</f>
        <v>0.9324660421</v>
      </c>
      <c r="AF1818" s="82">
        <f>IFERROR(__xludf.DUMMYFUNCTION("""COMPUTED_VALUE"""),0.7233282072208153)</f>
        <v>0.7233282072</v>
      </c>
      <c r="AG1818" s="82">
        <f>IFERROR(__xludf.DUMMYFUNCTION("""COMPUTED_VALUE"""),0.7590838044930982)</f>
        <v>0.7590838045</v>
      </c>
      <c r="AH1818" s="82">
        <f>IFERROR(__xludf.DUMMYFUNCTION("""COMPUTED_VALUE"""),0.8563027817018419)</f>
        <v>0.8563027817</v>
      </c>
      <c r="AI1818" s="82">
        <f>IFERROR(__xludf.DUMMYFUNCTION("""COMPUTED_VALUE"""),0.9832394983397414)</f>
        <v>0.9832394983</v>
      </c>
      <c r="AJ1818" s="82">
        <f>IFERROR(__xludf.DUMMYFUNCTION("""COMPUTED_VALUE"""),1.0484182315537396)</f>
        <v>1.048418232</v>
      </c>
      <c r="AK1818" s="82">
        <f>IFERROR(__xludf.DUMMYFUNCTION("""COMPUTED_VALUE"""),1.0846143884330444)</f>
        <v>1.084614388</v>
      </c>
      <c r="AL1818" s="82">
        <f>IFERROR(__xludf.DUMMYFUNCTION("""COMPUTED_VALUE"""),0.91129608046005)</f>
        <v>0.9112960805</v>
      </c>
      <c r="AM1818" s="82">
        <f>IFERROR(__xludf.DUMMYFUNCTION("""COMPUTED_VALUE"""),0.9043543768873845)</f>
        <v>0.9043543769</v>
      </c>
      <c r="AN1818" s="82">
        <f>IFERROR(__xludf.DUMMYFUNCTION("""COMPUTED_VALUE"""),0.8004354667715257)</f>
        <v>0.8004354668</v>
      </c>
      <c r="AO1818" s="82">
        <f>IFERROR(__xludf.DUMMYFUNCTION("""COMPUTED_VALUE"""),0.855626505129434)</f>
        <v>0.8556265051</v>
      </c>
      <c r="AP1818" s="82">
        <f>IFERROR(__xludf.DUMMYFUNCTION("""COMPUTED_VALUE"""),0.6662469444519555)</f>
        <v>0.6662469445</v>
      </c>
      <c r="AQ1818" s="82">
        <f>IFERROR(__xludf.DUMMYFUNCTION("""COMPUTED_VALUE"""),0.7298593117100766)</f>
        <v>0.7298593117</v>
      </c>
      <c r="AR1818" s="82">
        <f>IFERROR(__xludf.DUMMYFUNCTION("""COMPUTED_VALUE"""),0.8357957311583273)</f>
        <v>0.8357957312</v>
      </c>
      <c r="AS1818" s="82">
        <f>IFERROR(__xludf.DUMMYFUNCTION("""COMPUTED_VALUE"""),48.0)</f>
        <v>48</v>
      </c>
      <c r="AT1818" s="82">
        <f>IFERROR(__xludf.DUMMYFUNCTION("""COMPUTED_VALUE"""),0.4262494391550251)</f>
        <v>0.4262494392</v>
      </c>
      <c r="AU1818" s="82">
        <f>IFERROR(__xludf.DUMMYFUNCTION("""COMPUTED_VALUE"""),1.8713501577864897)</f>
        <v>1.871350158</v>
      </c>
      <c r="AV1818" s="82">
        <f>IFERROR(__xludf.DUMMYFUNCTION("""COMPUTED_VALUE"""),32.764421069215636)</f>
        <v>32.76442107</v>
      </c>
      <c r="AW1818" s="82">
        <f t="shared" si="1"/>
        <v>-4.076998065</v>
      </c>
      <c r="AX1818" s="83">
        <f t="array" ref="AX1818">IFERROR(DGET('SBV Import'!A:G,"SBV",{"RSC ID","Tier";B1818,A1818}))</f>
        <v>31.03092992</v>
      </c>
      <c r="AY1818" s="82">
        <f t="shared" si="2"/>
        <v>-4.464340916</v>
      </c>
      <c r="AZ1818" s="82">
        <v>0.3873428512336492</v>
      </c>
      <c r="BA1818" s="84">
        <v>1700.0</v>
      </c>
      <c r="BB1818" s="84" t="b">
        <f>IFERROR(__xludf.DUMMYFUNCTION("iferror(if(A1818="""",,E1818&gt;=FILTER(Constants!$F$2:$F$10,Constants!$A$2:$A$10=A1818)))"),TRUE)</f>
        <v>1</v>
      </c>
    </row>
    <row r="1819">
      <c r="A1819" s="89" t="str">
        <f>IFERROR(__xludf.DUMMYFUNCTION("""COMPUTED_VALUE"""),"Rival")</f>
        <v>Rival</v>
      </c>
      <c r="B1819" s="87" t="str">
        <f>IFERROR(__xludf.DUMMYFUNCTION("""COMPUTED_VALUE"""),"RSC007222")</f>
        <v>RSC007222</v>
      </c>
      <c r="C1819" s="73" t="str">
        <f>IFERROR(__xludf.DUMMYFUNCTION("""COMPUTED_VALUE"""),"S3EZ")</f>
        <v>S3EZ</v>
      </c>
      <c r="D1819" s="73" t="str">
        <f>IFERROR(__xludf.DUMMYFUNCTION("""COMPUTED_VALUE"""),"Ostriches")</f>
        <v>Ostriches</v>
      </c>
      <c r="E1819" s="82">
        <f>IFERROR(__xludf.DUMMYFUNCTION("""COMPUTED_VALUE"""),23.0)</f>
        <v>23</v>
      </c>
      <c r="F1819" s="82">
        <f>IFERROR(__xludf.DUMMYFUNCTION("""COMPUTED_VALUE"""),10.0)</f>
        <v>10</v>
      </c>
      <c r="G1819" s="86">
        <f>IFERROR(__xludf.DUMMYFUNCTION("""COMPUTED_VALUE"""),13.0)</f>
        <v>13</v>
      </c>
      <c r="H1819" s="86">
        <f>IFERROR(__xludf.DUMMYFUNCTION("""COMPUTED_VALUE"""),0.43478260869565216)</f>
        <v>0.4347826087</v>
      </c>
      <c r="I1819" s="86">
        <f>IFERROR(__xludf.DUMMYFUNCTION("""COMPUTED_VALUE"""),0.2)</f>
        <v>0.2</v>
      </c>
      <c r="J1819" s="82">
        <f>IFERROR(__xludf.DUMMYFUNCTION("""COMPUTED_VALUE"""),300.2173913043478)</f>
        <v>300.2173913</v>
      </c>
      <c r="K1819" s="82">
        <f>IFERROR(__xludf.DUMMYFUNCTION("""COMPUTED_VALUE"""),0.43478260869565216)</f>
        <v>0.4347826087</v>
      </c>
      <c r="L1819" s="82">
        <f>IFERROR(__xludf.DUMMYFUNCTION("""COMPUTED_VALUE"""),0.4782608695652174)</f>
        <v>0.4782608696</v>
      </c>
      <c r="M1819" s="82">
        <f>IFERROR(__xludf.DUMMYFUNCTION("""COMPUTED_VALUE"""),1.391304347826087)</f>
        <v>1.391304348</v>
      </c>
      <c r="N1819" s="82">
        <f>IFERROR(__xludf.DUMMYFUNCTION("""COMPUTED_VALUE"""),2.1739130434782608)</f>
        <v>2.173913043</v>
      </c>
      <c r="O1819" s="82">
        <f>IFERROR(__xludf.DUMMYFUNCTION("""COMPUTED_VALUE"""),333.2753623188405)</f>
        <v>333.2753623</v>
      </c>
      <c r="P1819" s="82">
        <f>IFERROR(__xludf.DUMMYFUNCTION("""COMPUTED_VALUE"""),0.7101449275362318)</f>
        <v>0.7101449275</v>
      </c>
      <c r="Q1819" s="82">
        <f>IFERROR(__xludf.DUMMYFUNCTION("""COMPUTED_VALUE"""),0.5217391304347827)</f>
        <v>0.5217391304</v>
      </c>
      <c r="R1819" s="82">
        <f>IFERROR(__xludf.DUMMYFUNCTION("""COMPUTED_VALUE"""),1.0869565217391308)</f>
        <v>1.086956522</v>
      </c>
      <c r="S1819" s="82">
        <f>IFERROR(__xludf.DUMMYFUNCTION("""COMPUTED_VALUE"""),2.3913043478260874)</f>
        <v>2.391304348</v>
      </c>
      <c r="T1819" s="82">
        <f>IFERROR(__xludf.DUMMYFUNCTION("""COMPUTED_VALUE"""),347.04263138278907)</f>
        <v>347.0426314</v>
      </c>
      <c r="U1819" s="82">
        <f>IFERROR(__xludf.DUMMYFUNCTION("""COMPUTED_VALUE"""),0.7493637169278271)</f>
        <v>0.7493637169</v>
      </c>
      <c r="V1819" s="82">
        <f>IFERROR(__xludf.DUMMYFUNCTION("""COMPUTED_VALUE"""),0.611429668887132)</f>
        <v>0.6114296689</v>
      </c>
      <c r="W1819" s="82">
        <f>IFERROR(__xludf.DUMMYFUNCTION("""COMPUTED_VALUE"""),1.3327891386893864)</f>
        <v>1.332789139</v>
      </c>
      <c r="X1819" s="82">
        <f>IFERROR(__xludf.DUMMYFUNCTION("""COMPUTED_VALUE"""),2.414159985032252)</f>
        <v>2.414159985</v>
      </c>
      <c r="Y1819" s="82">
        <f>IFERROR(__xludf.DUMMYFUNCTION("""COMPUTED_VALUE"""),335.983422736767)</f>
        <v>335.9834227</v>
      </c>
      <c r="Z1819" s="82">
        <f>IFERROR(__xludf.DUMMYFUNCTION("""COMPUTED_VALUE"""),0.7119749168117425)</f>
        <v>0.7119749168</v>
      </c>
      <c r="AA1819" s="82">
        <f>IFERROR(__xludf.DUMMYFUNCTION("""COMPUTED_VALUE"""),0.531936001519814)</f>
        <v>0.5319360015</v>
      </c>
      <c r="AB1819" s="82">
        <f>IFERROR(__xludf.DUMMYFUNCTION("""COMPUTED_VALUE"""),1.2778813905669084)</f>
        <v>1.277881391</v>
      </c>
      <c r="AC1819" s="82">
        <f>IFERROR(__xludf.DUMMYFUNCTION("""COMPUTED_VALUE"""),2.495686232887764)</f>
        <v>2.495686233</v>
      </c>
      <c r="AD1819" s="82">
        <f>IFERROR(__xludf.DUMMYFUNCTION("""COMPUTED_VALUE"""),0.8935482258586287)</f>
        <v>0.8935482259</v>
      </c>
      <c r="AE1819" s="82">
        <f>IFERROR(__xludf.DUMMYFUNCTION("""COMPUTED_VALUE"""),0.6106712447716969)</f>
        <v>0.6106712448</v>
      </c>
      <c r="AF1819" s="82">
        <f>IFERROR(__xludf.DUMMYFUNCTION("""COMPUTED_VALUE"""),0.8990947561337466)</f>
        <v>0.8990947561</v>
      </c>
      <c r="AG1819" s="82">
        <f>IFERROR(__xludf.DUMMYFUNCTION("""COMPUTED_VALUE"""),1.0887585953566947)</f>
        <v>1.088758595</v>
      </c>
      <c r="AH1819" s="82">
        <f>IFERROR(__xludf.DUMMYFUNCTION("""COMPUTED_VALUE"""),0.8710682516218481)</f>
        <v>0.8710682516</v>
      </c>
      <c r="AI1819" s="82">
        <f>IFERROR(__xludf.DUMMYFUNCTION("""COMPUTED_VALUE"""),0.9603297467832901)</f>
        <v>0.9603297468</v>
      </c>
      <c r="AJ1819" s="82">
        <f>IFERROR(__xludf.DUMMYFUNCTION("""COMPUTED_VALUE"""),0.9476638800282713)</f>
        <v>0.94766388</v>
      </c>
      <c r="AK1819" s="82">
        <f>IFERROR(__xludf.DUMMYFUNCTION("""COMPUTED_VALUE"""),0.8533101303121325)</f>
        <v>0.8533101303</v>
      </c>
      <c r="AL1819" s="82">
        <f>IFERROR(__xludf.DUMMYFUNCTION("""COMPUTED_VALUE"""),0.8155502548647733)</f>
        <v>0.8155502549</v>
      </c>
      <c r="AM1819" s="82">
        <f>IFERROR(__xludf.DUMMYFUNCTION("""COMPUTED_VALUE"""),0.9905326749892844)</f>
        <v>0.990532675</v>
      </c>
      <c r="AN1819" s="82">
        <f>IFERROR(__xludf.DUMMYFUNCTION("""COMPUTED_VALUE"""),0.8853964579326342)</f>
        <v>0.8853964579</v>
      </c>
      <c r="AO1819" s="82">
        <f>IFERROR(__xludf.DUMMYFUNCTION("""COMPUTED_VALUE"""),0.5845895376660729)</f>
        <v>0.5845895377</v>
      </c>
      <c r="AP1819" s="82">
        <f>IFERROR(__xludf.DUMMYFUNCTION("""COMPUTED_VALUE"""),0.8762595682465937)</f>
        <v>0.8762595682</v>
      </c>
      <c r="AQ1819" s="82">
        <f>IFERROR(__xludf.DUMMYFUNCTION("""COMPUTED_VALUE"""),1.0638115019542316)</f>
        <v>1.063811502</v>
      </c>
      <c r="AR1819" s="82">
        <f>IFERROR(__xludf.DUMMYFUNCTION("""COMPUTED_VALUE"""),0.8689747677449527)</f>
        <v>0.8689747677</v>
      </c>
      <c r="AS1819" s="82">
        <f>IFERROR(__xludf.DUMMYFUNCTION("""COMPUTED_VALUE"""),44.0)</f>
        <v>44</v>
      </c>
      <c r="AT1819" s="82">
        <f>IFERROR(__xludf.DUMMYFUNCTION("""COMPUTED_VALUE"""),0.45990582518532797)</f>
        <v>0.4599058252</v>
      </c>
      <c r="AU1819" s="82">
        <f>IFERROR(__xludf.DUMMYFUNCTION("""COMPUTED_VALUE"""),1.8681035246064097)</f>
        <v>1.868103525</v>
      </c>
      <c r="AV1819" s="82">
        <f>IFERROR(__xludf.DUMMYFUNCTION("""COMPUTED_VALUE"""),32.67147004271659)</f>
        <v>32.67147004</v>
      </c>
      <c r="AW1819" s="82">
        <f t="shared" si="1"/>
        <v>-4.096505934</v>
      </c>
      <c r="AX1819" s="83">
        <f t="array" ref="AX1819">IFERROR(DGET('SBV Import'!A:G,"SBV",{"RSC ID","Tier";B1819,A1819}))</f>
        <v>43.6824319</v>
      </c>
      <c r="AY1819" s="82">
        <f t="shared" si="2"/>
        <v>-2.498444897</v>
      </c>
      <c r="AZ1819" s="82">
        <v>1.5980610370646087</v>
      </c>
      <c r="BA1819" s="84">
        <v>1700.0</v>
      </c>
      <c r="BB1819" s="84" t="b">
        <f>IFERROR(__xludf.DUMMYFUNCTION("iferror(if(A1819="""",,E1819&gt;=FILTER(Constants!$F$2:$F$10,Constants!$A$2:$A$10=A1819)))"),TRUE)</f>
        <v>1</v>
      </c>
    </row>
    <row r="1820">
      <c r="A1820" s="89" t="str">
        <f>IFERROR(__xludf.DUMMYFUNCTION("""COMPUTED_VALUE"""),"Rival")</f>
        <v>Rival</v>
      </c>
      <c r="B1820" s="87" t="str">
        <f>IFERROR(__xludf.DUMMYFUNCTION("""COMPUTED_VALUE"""),"RSC005934")</f>
        <v>RSC005934</v>
      </c>
      <c r="C1820" s="73" t="str">
        <f>IFERROR(__xludf.DUMMYFUNCTION("""COMPUTED_VALUE"""),"TheodoreThe2")</f>
        <v>TheodoreThe2</v>
      </c>
      <c r="D1820" s="73" t="str">
        <f>IFERROR(__xludf.DUMMYFUNCTION("""COMPUTED_VALUE"""),"Ruthless Racket")</f>
        <v>Ruthless Racket</v>
      </c>
      <c r="E1820" s="82">
        <f>IFERROR(__xludf.DUMMYFUNCTION("""COMPUTED_VALUE"""),19.0)</f>
        <v>19</v>
      </c>
      <c r="F1820" s="82">
        <f>IFERROR(__xludf.DUMMYFUNCTION("""COMPUTED_VALUE"""),6.0)</f>
        <v>6</v>
      </c>
      <c r="G1820" s="86">
        <f>IFERROR(__xludf.DUMMYFUNCTION("""COMPUTED_VALUE"""),13.0)</f>
        <v>13</v>
      </c>
      <c r="H1820" s="86">
        <f>IFERROR(__xludf.DUMMYFUNCTION("""COMPUTED_VALUE"""),0.3157894736842105)</f>
        <v>0.3157894737</v>
      </c>
      <c r="I1820" s="86">
        <f>IFERROR(__xludf.DUMMYFUNCTION("""COMPUTED_VALUE"""),0.2631578947368421)</f>
        <v>0.2631578947</v>
      </c>
      <c r="J1820" s="82">
        <f>IFERROR(__xludf.DUMMYFUNCTION("""COMPUTED_VALUE"""),334.10526315789474)</f>
        <v>334.1052632</v>
      </c>
      <c r="K1820" s="82">
        <f>IFERROR(__xludf.DUMMYFUNCTION("""COMPUTED_VALUE"""),0.5263157894736842)</f>
        <v>0.5263157895</v>
      </c>
      <c r="L1820" s="82">
        <f>IFERROR(__xludf.DUMMYFUNCTION("""COMPUTED_VALUE"""),0.47368421052631576)</f>
        <v>0.4736842105</v>
      </c>
      <c r="M1820" s="82">
        <f>IFERROR(__xludf.DUMMYFUNCTION("""COMPUTED_VALUE"""),1.4210526315789473)</f>
        <v>1.421052632</v>
      </c>
      <c r="N1820" s="82">
        <f>IFERROR(__xludf.DUMMYFUNCTION("""COMPUTED_VALUE"""),2.0)</f>
        <v>2</v>
      </c>
      <c r="O1820" s="82">
        <f>IFERROR(__xludf.DUMMYFUNCTION("""COMPUTED_VALUE"""),361.50877192982455)</f>
        <v>361.5087719</v>
      </c>
      <c r="P1820" s="82">
        <f>IFERROR(__xludf.DUMMYFUNCTION("""COMPUTED_VALUE"""),0.8771929824561404)</f>
        <v>0.8771929825</v>
      </c>
      <c r="Q1820" s="82">
        <f>IFERROR(__xludf.DUMMYFUNCTION("""COMPUTED_VALUE"""),0.6140350877192983)</f>
        <v>0.6140350877</v>
      </c>
      <c r="R1820" s="82">
        <f>IFERROR(__xludf.DUMMYFUNCTION("""COMPUTED_VALUE"""),1.0350877192982455)</f>
        <v>1.035087719</v>
      </c>
      <c r="S1820" s="82">
        <f>IFERROR(__xludf.DUMMYFUNCTION("""COMPUTED_VALUE"""),2.912280701754386)</f>
        <v>2.912280702</v>
      </c>
      <c r="T1820" s="82">
        <f>IFERROR(__xludf.DUMMYFUNCTION("""COMPUTED_VALUE"""),349.31866430640383)</f>
        <v>349.3186643</v>
      </c>
      <c r="U1820" s="82">
        <f>IFERROR(__xludf.DUMMYFUNCTION("""COMPUTED_VALUE"""),0.8100870311073239)</f>
        <v>0.8100870311</v>
      </c>
      <c r="V1820" s="82">
        <f>IFERROR(__xludf.DUMMYFUNCTION("""COMPUTED_VALUE"""),0.5796421168273894)</f>
        <v>0.5796421168</v>
      </c>
      <c r="W1820" s="82">
        <f>IFERROR(__xludf.DUMMYFUNCTION("""COMPUTED_VALUE"""),1.2497385481407397)</f>
        <v>1.249738548</v>
      </c>
      <c r="X1820" s="82">
        <f>IFERROR(__xludf.DUMMYFUNCTION("""COMPUTED_VALUE"""),2.6064760205732957)</f>
        <v>2.606476021</v>
      </c>
      <c r="Y1820" s="82">
        <f>IFERROR(__xludf.DUMMYFUNCTION("""COMPUTED_VALUE"""),344.91273634937323)</f>
        <v>344.9127363</v>
      </c>
      <c r="Z1820" s="82">
        <f>IFERROR(__xludf.DUMMYFUNCTION("""COMPUTED_VALUE"""),0.7810268268418432)</f>
        <v>0.7810268268</v>
      </c>
      <c r="AA1820" s="82">
        <f>IFERROR(__xludf.DUMMYFUNCTION("""COMPUTED_VALUE"""),0.5574032452082874)</f>
        <v>0.5574032452</v>
      </c>
      <c r="AB1820" s="82">
        <f>IFERROR(__xludf.DUMMYFUNCTION("""COMPUTED_VALUE"""),1.279764435816443)</f>
        <v>1.279764436</v>
      </c>
      <c r="AC1820" s="82">
        <f>IFERROR(__xludf.DUMMYFUNCTION("""COMPUTED_VALUE"""),2.5106453611142716)</f>
        <v>2.510645361</v>
      </c>
      <c r="AD1820" s="82">
        <f>IFERROR(__xludf.DUMMYFUNCTION("""COMPUTED_VALUE"""),0.9686660652028481)</f>
        <v>0.9686660652</v>
      </c>
      <c r="AE1820" s="82">
        <f>IFERROR(__xludf.DUMMYFUNCTION("""COMPUTED_VALUE"""),0.6738767112544553)</f>
        <v>0.6738767113</v>
      </c>
      <c r="AF1820" s="82">
        <f>IFERROR(__xludf.DUMMYFUNCTION("""COMPUTED_VALUE"""),0.8498052614482214)</f>
        <v>0.8498052614</v>
      </c>
      <c r="AG1820" s="82">
        <f>IFERROR(__xludf.DUMMYFUNCTION("""COMPUTED_VALUE"""),1.1104017206669503)</f>
        <v>1.110401721</v>
      </c>
      <c r="AH1820" s="82">
        <f>IFERROR(__xludf.DUMMYFUNCTION("""COMPUTED_VALUE"""),0.7966079283743851)</f>
        <v>0.7966079284</v>
      </c>
      <c r="AI1820" s="82">
        <f>IFERROR(__xludf.DUMMYFUNCTION("""COMPUTED_VALUE"""),1.034896811619342)</f>
        <v>1.034896812</v>
      </c>
      <c r="AJ1820" s="82">
        <f>IFERROR(__xludf.DUMMYFUNCTION("""COMPUTED_VALUE"""),1.0828379529259813)</f>
        <v>1.082837953</v>
      </c>
      <c r="AK1820" s="82">
        <f>IFERROR(__xludf.DUMMYFUNCTION("""COMPUTED_VALUE"""),1.059334837641121)</f>
        <v>1.059334838</v>
      </c>
      <c r="AL1820" s="82">
        <f>IFERROR(__xludf.DUMMYFUNCTION("""COMPUTED_VALUE"""),0.8282434120625994)</f>
        <v>0.8282434121</v>
      </c>
      <c r="AM1820" s="82">
        <f>IFERROR(__xludf.DUMMYFUNCTION("""COMPUTED_VALUE"""),1.1173249547539779)</f>
        <v>1.117324955</v>
      </c>
      <c r="AN1820" s="82">
        <f>IFERROR(__xludf.DUMMYFUNCTION("""COMPUTED_VALUE"""),0.9853380421814576)</f>
        <v>0.9853380422</v>
      </c>
      <c r="AO1820" s="82">
        <f>IFERROR(__xludf.DUMMYFUNCTION("""COMPUTED_VALUE"""),0.7076610192799829)</f>
        <v>0.7076610193</v>
      </c>
      <c r="AP1820" s="82">
        <f>IFERROR(__xludf.DUMMYFUNCTION("""COMPUTED_VALUE"""),0.8678743092203104)</f>
        <v>0.8678743092</v>
      </c>
      <c r="AQ1820" s="82">
        <f>IFERROR(__xludf.DUMMYFUNCTION("""COMPUTED_VALUE"""),1.0865574715683846)</f>
        <v>1.086557472</v>
      </c>
      <c r="AR1820" s="82">
        <f>IFERROR(__xludf.DUMMYFUNCTION("""COMPUTED_VALUE"""),0.7994567863253565)</f>
        <v>0.7994567863</v>
      </c>
      <c r="AS1820" s="82">
        <f>IFERROR(__xludf.DUMMYFUNCTION("""COMPUTED_VALUE"""),32.0)</f>
        <v>32</v>
      </c>
      <c r="AT1820" s="82">
        <f>IFERROR(__xludf.DUMMYFUNCTION("""COMPUTED_VALUE"""),0.33648213624855194)</f>
        <v>0.3364821362</v>
      </c>
      <c r="AU1820" s="82">
        <f>IFERROR(__xludf.DUMMYFUNCTION("""COMPUTED_VALUE"""),1.819483378220077)</f>
        <v>1.819483378</v>
      </c>
      <c r="AV1820" s="82">
        <f>IFERROR(__xludf.DUMMYFUNCTION("""COMPUTED_VALUE"""),31.27947647138491)</f>
        <v>31.27947647</v>
      </c>
      <c r="AW1820" s="82">
        <f t="shared" si="1"/>
        <v>-4.405624663</v>
      </c>
      <c r="AX1820" s="83">
        <f t="array" ref="AX1820">IFERROR(DGET('SBV Import'!A:G,"SBV",{"RSC ID","Tier";B1820,A1820}))</f>
        <v>40.60471899</v>
      </c>
      <c r="AY1820" s="82">
        <f t="shared" si="2"/>
        <v>-2.82862534</v>
      </c>
      <c r="AZ1820" s="82">
        <v>1.576999322848235</v>
      </c>
      <c r="BA1820" s="84">
        <v>1700.0</v>
      </c>
      <c r="BB1820" s="84" t="b">
        <f>IFERROR(__xludf.DUMMYFUNCTION("iferror(if(A1820="""",,E1820&gt;=FILTER(Constants!$F$2:$F$10,Constants!$A$2:$A$10=A1820)))"),TRUE)</f>
        <v>1</v>
      </c>
    </row>
    <row r="1821">
      <c r="A1821" s="89" t="str">
        <f>IFERROR(__xludf.DUMMYFUNCTION("""COMPUTED_VALUE"""),"Rival")</f>
        <v>Rival</v>
      </c>
      <c r="B1821" s="87" t="str">
        <f>IFERROR(__xludf.DUMMYFUNCTION("""COMPUTED_VALUE"""),"RSC004456")</f>
        <v>RSC004456</v>
      </c>
      <c r="C1821" s="73" t="str">
        <f>IFERROR(__xludf.DUMMYFUNCTION("""COMPUTED_VALUE"""),"ShazamPoof")</f>
        <v>ShazamPoof</v>
      </c>
      <c r="D1821" s="73" t="str">
        <f>IFERROR(__xludf.DUMMYFUNCTION("""COMPUTED_VALUE"""),"Centuriones")</f>
        <v>Centuriones</v>
      </c>
      <c r="E1821" s="82">
        <f>IFERROR(__xludf.DUMMYFUNCTION("""COMPUTED_VALUE"""),26.0)</f>
        <v>26</v>
      </c>
      <c r="F1821" s="82">
        <f>IFERROR(__xludf.DUMMYFUNCTION("""COMPUTED_VALUE"""),7.0)</f>
        <v>7</v>
      </c>
      <c r="G1821" s="86">
        <f>IFERROR(__xludf.DUMMYFUNCTION("""COMPUTED_VALUE"""),19.0)</f>
        <v>19</v>
      </c>
      <c r="H1821" s="86">
        <f>IFERROR(__xludf.DUMMYFUNCTION("""COMPUTED_VALUE"""),0.2692307692307692)</f>
        <v>0.2692307692</v>
      </c>
      <c r="I1821" s="86">
        <f>IFERROR(__xludf.DUMMYFUNCTION("""COMPUTED_VALUE"""),0.3392857142857143)</f>
        <v>0.3392857143</v>
      </c>
      <c r="J1821" s="82">
        <f>IFERROR(__xludf.DUMMYFUNCTION("""COMPUTED_VALUE"""),290.38461538461536)</f>
        <v>290.3846154</v>
      </c>
      <c r="K1821" s="82">
        <f>IFERROR(__xludf.DUMMYFUNCTION("""COMPUTED_VALUE"""),0.7307692307692307)</f>
        <v>0.7307692308</v>
      </c>
      <c r="L1821" s="82">
        <f>IFERROR(__xludf.DUMMYFUNCTION("""COMPUTED_VALUE"""),0.4230769230769231)</f>
        <v>0.4230769231</v>
      </c>
      <c r="M1821" s="82">
        <f>IFERROR(__xludf.DUMMYFUNCTION("""COMPUTED_VALUE"""),1.1538461538461537)</f>
        <v>1.153846154</v>
      </c>
      <c r="N1821" s="82">
        <f>IFERROR(__xludf.DUMMYFUNCTION("""COMPUTED_VALUE"""),2.1538461538461537)</f>
        <v>2.153846154</v>
      </c>
      <c r="O1821" s="82">
        <f>IFERROR(__xludf.DUMMYFUNCTION("""COMPUTED_VALUE"""),356.70512820512823)</f>
        <v>356.7051282</v>
      </c>
      <c r="P1821" s="82">
        <f>IFERROR(__xludf.DUMMYFUNCTION("""COMPUTED_VALUE"""),0.9615384615384616)</f>
        <v>0.9615384615</v>
      </c>
      <c r="Q1821" s="82">
        <f>IFERROR(__xludf.DUMMYFUNCTION("""COMPUTED_VALUE"""),0.6794871794871795)</f>
        <v>0.6794871795</v>
      </c>
      <c r="R1821" s="82">
        <f>IFERROR(__xludf.DUMMYFUNCTION("""COMPUTED_VALUE"""),1.0897435897435899)</f>
        <v>1.08974359</v>
      </c>
      <c r="S1821" s="82">
        <f>IFERROR(__xludf.DUMMYFUNCTION("""COMPUTED_VALUE"""),2.846153846153846)</f>
        <v>2.846153846</v>
      </c>
      <c r="T1821" s="82">
        <f>IFERROR(__xludf.DUMMYFUNCTION("""COMPUTED_VALUE"""),338.5964190334397)</f>
        <v>338.596419</v>
      </c>
      <c r="U1821" s="82">
        <f>IFERROR(__xludf.DUMMYFUNCTION("""COMPUTED_VALUE"""),0.7861731769809279)</f>
        <v>0.786173177</v>
      </c>
      <c r="V1821" s="82">
        <f>IFERROR(__xludf.DUMMYFUNCTION("""COMPUTED_VALUE"""),0.5213637113394838)</f>
        <v>0.5213637113</v>
      </c>
      <c r="W1821" s="82">
        <f>IFERROR(__xludf.DUMMYFUNCTION("""COMPUTED_VALUE"""),1.251297270221543)</f>
        <v>1.25129727</v>
      </c>
      <c r="X1821" s="82">
        <f>IFERROR(__xludf.DUMMYFUNCTION("""COMPUTED_VALUE"""),2.546465407197913)</f>
        <v>2.546465407</v>
      </c>
      <c r="Y1821" s="82">
        <f>IFERROR(__xludf.DUMMYFUNCTION("""COMPUTED_VALUE"""),352.8950858171316)</f>
        <v>352.8950858</v>
      </c>
      <c r="Z1821" s="82">
        <f>IFERROR(__xludf.DUMMYFUNCTION("""COMPUTED_VALUE"""),0.8071948300616424)</f>
        <v>0.8071948301</v>
      </c>
      <c r="AA1821" s="82">
        <f>IFERROR(__xludf.DUMMYFUNCTION("""COMPUTED_VALUE"""),0.5735911439377017)</f>
        <v>0.5735911439</v>
      </c>
      <c r="AB1821" s="82">
        <f>IFERROR(__xludf.DUMMYFUNCTION("""COMPUTED_VALUE"""),1.361488120551889)</f>
        <v>1.361488121</v>
      </c>
      <c r="AC1821" s="82">
        <f>IFERROR(__xludf.DUMMYFUNCTION("""COMPUTED_VALUE"""),2.5668360281704277)</f>
        <v>2.566836028</v>
      </c>
      <c r="AD1821" s="82">
        <f>IFERROR(__xludf.DUMMYFUNCTION("""COMPUTED_VALUE"""),0.8228638682010188)</f>
        <v>0.8228638682</v>
      </c>
      <c r="AE1821" s="82">
        <f>IFERROR(__xludf.DUMMYFUNCTION("""COMPUTED_VALUE"""),0.9053195133985492)</f>
        <v>0.9053195134</v>
      </c>
      <c r="AF1821" s="82">
        <f>IFERROR(__xludf.DUMMYFUNCTION("""COMPUTED_VALUE"""),0.7375931925526275)</f>
        <v>0.7375931926</v>
      </c>
      <c r="AG1821" s="82">
        <f>IFERROR(__xludf.DUMMYFUNCTION("""COMPUTED_VALUE"""),0.8474889618415723)</f>
        <v>0.8474889618</v>
      </c>
      <c r="AH1821" s="82">
        <f>IFERROR(__xludf.DUMMYFUNCTION("""COMPUTED_VALUE"""),0.8391054707851198)</f>
        <v>0.8391054708</v>
      </c>
      <c r="AI1821" s="82">
        <f>IFERROR(__xludf.DUMMYFUNCTION("""COMPUTED_VALUE"""),1.053481691340333)</f>
        <v>1.053481691</v>
      </c>
      <c r="AJ1821" s="82">
        <f>IFERROR(__xludf.DUMMYFUNCTION("""COMPUTED_VALUE"""),1.2230619025072487)</f>
        <v>1.223061903</v>
      </c>
      <c r="AK1821" s="82">
        <f>IFERROR(__xludf.DUMMYFUNCTION("""COMPUTED_VALUE"""),1.3032882126403582)</f>
        <v>1.303288213</v>
      </c>
      <c r="AL1821" s="82">
        <f>IFERROR(__xludf.DUMMYFUNCTION("""COMPUTED_VALUE"""),0.8708910469777098)</f>
        <v>0.870891047</v>
      </c>
      <c r="AM1821" s="82">
        <f>IFERROR(__xludf.DUMMYFUNCTION("""COMPUTED_VALUE"""),1.117688007113242)</f>
        <v>1.117688007</v>
      </c>
      <c r="AN1821" s="82">
        <f>IFERROR(__xludf.DUMMYFUNCTION("""COMPUTED_VALUE"""),0.8563977882248199)</f>
        <v>0.8563977882</v>
      </c>
      <c r="AO1821" s="82">
        <f>IFERROR(__xludf.DUMMYFUNCTION("""COMPUTED_VALUE"""),0.9825601075387456)</f>
        <v>0.9825601075</v>
      </c>
      <c r="AP1821" s="82">
        <f>IFERROR(__xludf.DUMMYFUNCTION("""COMPUTED_VALUE"""),0.7751526949873713)</f>
        <v>0.775152695</v>
      </c>
      <c r="AQ1821" s="82">
        <f>IFERROR(__xludf.DUMMYFUNCTION("""COMPUTED_VALUE"""),0.882247519649543)</f>
        <v>0.8822475196</v>
      </c>
      <c r="AR1821" s="82">
        <f>IFERROR(__xludf.DUMMYFUNCTION("""COMPUTED_VALUE"""),0.8609534621965378)</f>
        <v>0.8609534622</v>
      </c>
      <c r="AS1821" s="82">
        <f>IFERROR(__xludf.DUMMYFUNCTION("""COMPUTED_VALUE"""),56.0)</f>
        <v>56</v>
      </c>
      <c r="AT1821" s="82">
        <f>IFERROR(__xludf.DUMMYFUNCTION("""COMPUTED_VALUE"""),0.3858784084972792)</f>
        <v>0.3858784085</v>
      </c>
      <c r="AU1821" s="82">
        <f>IFERROR(__xludf.DUMMYFUNCTION("""COMPUTED_VALUE"""),1.8081493091373304)</f>
        <v>1.808149309</v>
      </c>
      <c r="AV1821" s="82">
        <f>IFERROR(__xludf.DUMMYFUNCTION("""COMPUTED_VALUE"""),30.954982357877935)</f>
        <v>30.95498236</v>
      </c>
      <c r="AW1821" s="82">
        <f t="shared" si="1"/>
        <v>-4.48250631</v>
      </c>
      <c r="AX1821" s="83">
        <f t="array" ref="AX1821">IFERROR(DGET('SBV Import'!A:G,"SBV",{"RSC ID","Tier";B1821,A1821}))</f>
        <v>28.69860066</v>
      </c>
      <c r="AY1821" s="82">
        <f t="shared" si="2"/>
        <v>-5.073785192</v>
      </c>
      <c r="AZ1821" s="82">
        <v>0.5912788812022871</v>
      </c>
      <c r="BA1821" s="84">
        <v>1700.0</v>
      </c>
      <c r="BB1821" s="84" t="b">
        <f>IFERROR(__xludf.DUMMYFUNCTION("iferror(if(A1821="""",,E1821&gt;=FILTER(Constants!$F$2:$F$10,Constants!$A$2:$A$10=A1821)))"),TRUE)</f>
        <v>1</v>
      </c>
    </row>
    <row r="1822">
      <c r="A1822" s="89" t="str">
        <f>IFERROR(__xludf.DUMMYFUNCTION("""COMPUTED_VALUE"""),"Rival")</f>
        <v>Rival</v>
      </c>
      <c r="B1822" s="87" t="str">
        <f>IFERROR(__xludf.DUMMYFUNCTION("""COMPUTED_VALUE"""),"RSC006881")</f>
        <v>RSC006881</v>
      </c>
      <c r="C1822" s="73" t="str">
        <f>IFERROR(__xludf.DUMMYFUNCTION("""COMPUTED_VALUE"""),"Cyroic")</f>
        <v>Cyroic</v>
      </c>
      <c r="D1822" s="73"/>
      <c r="E1822" s="82">
        <f>IFERROR(__xludf.DUMMYFUNCTION("""COMPUTED_VALUE"""),20.0)</f>
        <v>20</v>
      </c>
      <c r="F1822" s="82">
        <f>IFERROR(__xludf.DUMMYFUNCTION("""COMPUTED_VALUE"""),9.0)</f>
        <v>9</v>
      </c>
      <c r="G1822" s="86">
        <f>IFERROR(__xludf.DUMMYFUNCTION("""COMPUTED_VALUE"""),11.0)</f>
        <v>11</v>
      </c>
      <c r="H1822" s="86">
        <f>IFERROR(__xludf.DUMMYFUNCTION("""COMPUTED_VALUE"""),0.45)</f>
        <v>0.45</v>
      </c>
      <c r="I1822" s="86">
        <f>IFERROR(__xludf.DUMMYFUNCTION("""COMPUTED_VALUE"""),0.19607843137254904)</f>
        <v>0.1960784314</v>
      </c>
      <c r="J1822" s="82">
        <f>IFERROR(__xludf.DUMMYFUNCTION("""COMPUTED_VALUE"""),292.9)</f>
        <v>292.9</v>
      </c>
      <c r="K1822" s="82">
        <f>IFERROR(__xludf.DUMMYFUNCTION("""COMPUTED_VALUE"""),0.5)</f>
        <v>0.5</v>
      </c>
      <c r="L1822" s="82">
        <f>IFERROR(__xludf.DUMMYFUNCTION("""COMPUTED_VALUE"""),0.45)</f>
        <v>0.45</v>
      </c>
      <c r="M1822" s="82">
        <f>IFERROR(__xludf.DUMMYFUNCTION("""COMPUTED_VALUE"""),1.5)</f>
        <v>1.5</v>
      </c>
      <c r="N1822" s="82">
        <f>IFERROR(__xludf.DUMMYFUNCTION("""COMPUTED_VALUE"""),2.55)</f>
        <v>2.55</v>
      </c>
      <c r="O1822" s="82">
        <f>IFERROR(__xludf.DUMMYFUNCTION("""COMPUTED_VALUE"""),368.4)</f>
        <v>368.4</v>
      </c>
      <c r="P1822" s="82">
        <f>IFERROR(__xludf.DUMMYFUNCTION("""COMPUTED_VALUE"""),0.8499999999999999)</f>
        <v>0.85</v>
      </c>
      <c r="Q1822" s="82">
        <f>IFERROR(__xludf.DUMMYFUNCTION("""COMPUTED_VALUE"""),0.6333333333333333)</f>
        <v>0.6333333333</v>
      </c>
      <c r="R1822" s="82">
        <f>IFERROR(__xludf.DUMMYFUNCTION("""COMPUTED_VALUE"""),1.5500000000000003)</f>
        <v>1.55</v>
      </c>
      <c r="S1822" s="82">
        <f>IFERROR(__xludf.DUMMYFUNCTION("""COMPUTED_VALUE"""),2.7333333333333334)</f>
        <v>2.733333333</v>
      </c>
      <c r="T1822" s="82">
        <f>IFERROR(__xludf.DUMMYFUNCTION("""COMPUTED_VALUE"""),352.5511837142217)</f>
        <v>352.5511837</v>
      </c>
      <c r="U1822" s="82">
        <f>IFERROR(__xludf.DUMMYFUNCTION("""COMPUTED_VALUE"""),0.8176809392018372)</f>
        <v>0.8176809392</v>
      </c>
      <c r="V1822" s="82">
        <f>IFERROR(__xludf.DUMMYFUNCTION("""COMPUTED_VALUE"""),0.564129530147332)</f>
        <v>0.5641295301</v>
      </c>
      <c r="W1822" s="82">
        <f>IFERROR(__xludf.DUMMYFUNCTION("""COMPUTED_VALUE"""),1.3166106048652486)</f>
        <v>1.316610605</v>
      </c>
      <c r="X1822" s="82">
        <f>IFERROR(__xludf.DUMMYFUNCTION("""COMPUTED_VALUE"""),2.567430167290848)</f>
        <v>2.567430167</v>
      </c>
      <c r="Y1822" s="82">
        <f>IFERROR(__xludf.DUMMYFUNCTION("""COMPUTED_VALUE"""),350.01497955177774)</f>
        <v>350.0149796</v>
      </c>
      <c r="Z1822" s="82">
        <f>IFERROR(__xludf.DUMMYFUNCTION("""COMPUTED_VALUE"""),0.7958004902058049)</f>
        <v>0.7958004902</v>
      </c>
      <c r="AA1822" s="82">
        <f>IFERROR(__xludf.DUMMYFUNCTION("""COMPUTED_VALUE"""),0.5462417989069175)</f>
        <v>0.5462417989</v>
      </c>
      <c r="AB1822" s="82">
        <f>IFERROR(__xludf.DUMMYFUNCTION("""COMPUTED_VALUE"""),1.3284867292607228)</f>
        <v>1.328486729</v>
      </c>
      <c r="AC1822" s="82">
        <f>IFERROR(__xludf.DUMMYFUNCTION("""COMPUTED_VALUE"""),2.5454757322223784)</f>
        <v>2.545475732</v>
      </c>
      <c r="AD1822" s="82">
        <f>IFERROR(__xludf.DUMMYFUNCTION("""COMPUTED_VALUE"""),0.8368213279759681)</f>
        <v>0.836821328</v>
      </c>
      <c r="AE1822" s="82">
        <f>IFERROR(__xludf.DUMMYFUNCTION("""COMPUTED_VALUE"""),0.6282981804531097)</f>
        <v>0.6282981805</v>
      </c>
      <c r="AF1822" s="82">
        <f>IFERROR(__xludf.DUMMYFUNCTION("""COMPUTED_VALUE"""),0.8238109952414726)</f>
        <v>0.8238109952</v>
      </c>
      <c r="AG1822" s="82">
        <f>IFERROR(__xludf.DUMMYFUNCTION("""COMPUTED_VALUE"""),1.1291042409092946)</f>
        <v>1.129104241</v>
      </c>
      <c r="AH1822" s="82">
        <f>IFERROR(__xludf.DUMMYFUNCTION("""COMPUTED_VALUE"""),1.0017773761188724)</f>
        <v>1.001777376</v>
      </c>
      <c r="AI1822" s="82">
        <f>IFERROR(__xludf.DUMMYFUNCTION("""COMPUTED_VALUE"""),1.044954653445797)</f>
        <v>1.044954653</v>
      </c>
      <c r="AJ1822" s="82">
        <f>IFERROR(__xludf.DUMMYFUNCTION("""COMPUTED_VALUE"""),1.0395252711035559)</f>
        <v>1.039525271</v>
      </c>
      <c r="AK1822" s="82">
        <f>IFERROR(__xludf.DUMMYFUNCTION("""COMPUTED_VALUE"""),1.122673605063588)</f>
        <v>1.122673605</v>
      </c>
      <c r="AL1822" s="82">
        <f>IFERROR(__xludf.DUMMYFUNCTION("""COMPUTED_VALUE"""),1.1772653161628137)</f>
        <v>1.177265316</v>
      </c>
      <c r="AM1822" s="82">
        <f>IFERROR(__xludf.DUMMYFUNCTION("""COMPUTED_VALUE"""),1.0646183752750502)</f>
        <v>1.064618375</v>
      </c>
      <c r="AN1822" s="82">
        <f>IFERROR(__xludf.DUMMYFUNCTION("""COMPUTED_VALUE"""),0.8638161213837475)</f>
        <v>0.8638161214</v>
      </c>
      <c r="AO1822" s="82">
        <f>IFERROR(__xludf.DUMMYFUNCTION("""COMPUTED_VALUE"""),0.6722779683159839)</f>
        <v>0.6722779683</v>
      </c>
      <c r="AP1822" s="82">
        <f>IFERROR(__xludf.DUMMYFUNCTION("""COMPUTED_VALUE"""),0.8244805937592949)</f>
        <v>0.8244805938</v>
      </c>
      <c r="AQ1822" s="82">
        <f>IFERROR(__xludf.DUMMYFUNCTION("""COMPUTED_VALUE"""),1.1469217755444059)</f>
        <v>1.146921776</v>
      </c>
      <c r="AR1822" s="82">
        <f>IFERROR(__xludf.DUMMYFUNCTION("""COMPUTED_VALUE"""),1.0193074025648297)</f>
        <v>1.019307403</v>
      </c>
      <c r="AS1822" s="82">
        <f>IFERROR(__xludf.DUMMYFUNCTION("""COMPUTED_VALUE"""),43.0)</f>
        <v>43</v>
      </c>
      <c r="AT1822" s="82">
        <f>IFERROR(__xludf.DUMMYFUNCTION("""COMPUTED_VALUE"""),0.4338811624413912)</f>
        <v>0.4338811624</v>
      </c>
      <c r="AU1822" s="82">
        <f>IFERROR(__xludf.DUMMYFUNCTION("""COMPUTED_VALUE"""),1.8018548329055408)</f>
        <v>1.801854833</v>
      </c>
      <c r="AV1822" s="82">
        <f>IFERROR(__xludf.DUMMYFUNCTION("""COMPUTED_VALUE"""),30.77477166126814)</f>
        <v>30.77477166</v>
      </c>
      <c r="AW1822" s="82">
        <f t="shared" si="1"/>
        <v>-4.526034889</v>
      </c>
      <c r="AX1822" s="83">
        <f t="array" ref="AX1822">IFERROR(DGET('SBV Import'!A:G,"SBV",{"RSC ID","Tier";B1822,A1822}))</f>
        <v>27.25486552</v>
      </c>
      <c r="AY1822" s="82">
        <f t="shared" si="2"/>
        <v>-5.510778078</v>
      </c>
      <c r="AZ1822" s="82">
        <v>0.9847431896572321</v>
      </c>
      <c r="BA1822" s="84">
        <v>1700.0</v>
      </c>
      <c r="BB1822" s="84" t="b">
        <f>IFERROR(__xludf.DUMMYFUNCTION("iferror(if(A1822="""",,E1822&gt;=FILTER(Constants!$F$2:$F$10,Constants!$A$2:$A$10=A1822)))"),TRUE)</f>
        <v>1</v>
      </c>
    </row>
    <row r="1823">
      <c r="A1823" s="89" t="str">
        <f>IFERROR(__xludf.DUMMYFUNCTION("""COMPUTED_VALUE"""),"Rival")</f>
        <v>Rival</v>
      </c>
      <c r="B1823" s="87" t="str">
        <f>IFERROR(__xludf.DUMMYFUNCTION("""COMPUTED_VALUE"""),"RSC007213")</f>
        <v>RSC007213</v>
      </c>
      <c r="C1823" s="73" t="str">
        <f>IFERROR(__xludf.DUMMYFUNCTION("""COMPUTED_VALUE"""),"Pythronex")</f>
        <v>Pythronex</v>
      </c>
      <c r="D1823" s="73" t="str">
        <f>IFERROR(__xludf.DUMMYFUNCTION("""COMPUTED_VALUE"""),"Ruthless Racket")</f>
        <v>Ruthless Racket</v>
      </c>
      <c r="E1823" s="82">
        <f>IFERROR(__xludf.DUMMYFUNCTION("""COMPUTED_VALUE"""),12.0)</f>
        <v>12</v>
      </c>
      <c r="F1823" s="82">
        <f>IFERROR(__xludf.DUMMYFUNCTION("""COMPUTED_VALUE"""),3.0)</f>
        <v>3</v>
      </c>
      <c r="G1823" s="86">
        <f>IFERROR(__xludf.DUMMYFUNCTION("""COMPUTED_VALUE"""),9.0)</f>
        <v>9</v>
      </c>
      <c r="H1823" s="86">
        <f>IFERROR(__xludf.DUMMYFUNCTION("""COMPUTED_VALUE"""),0.25)</f>
        <v>0.25</v>
      </c>
      <c r="I1823" s="86">
        <f>IFERROR(__xludf.DUMMYFUNCTION("""COMPUTED_VALUE"""),0.42857142857142855)</f>
        <v>0.4285714286</v>
      </c>
      <c r="J1823" s="82">
        <f>IFERROR(__xludf.DUMMYFUNCTION("""COMPUTED_VALUE"""),330.9166666666667)</f>
        <v>330.9166667</v>
      </c>
      <c r="K1823" s="82">
        <f>IFERROR(__xludf.DUMMYFUNCTION("""COMPUTED_VALUE"""),0.75)</f>
        <v>0.75</v>
      </c>
      <c r="L1823" s="82">
        <f>IFERROR(__xludf.DUMMYFUNCTION("""COMPUTED_VALUE"""),0.25)</f>
        <v>0.25</v>
      </c>
      <c r="M1823" s="82">
        <f>IFERROR(__xludf.DUMMYFUNCTION("""COMPUTED_VALUE"""),1.75)</f>
        <v>1.75</v>
      </c>
      <c r="N1823" s="82">
        <f>IFERROR(__xludf.DUMMYFUNCTION("""COMPUTED_VALUE"""),1.75)</f>
        <v>1.75</v>
      </c>
      <c r="O1823" s="82">
        <f>IFERROR(__xludf.DUMMYFUNCTION("""COMPUTED_VALUE"""),367.1666666666667)</f>
        <v>367.1666667</v>
      </c>
      <c r="P1823" s="82">
        <f>IFERROR(__xludf.DUMMYFUNCTION("""COMPUTED_VALUE"""),1.1388888888888888)</f>
        <v>1.138888889</v>
      </c>
      <c r="Q1823" s="82">
        <f>IFERROR(__xludf.DUMMYFUNCTION("""COMPUTED_VALUE"""),0.7222222222222222)</f>
        <v>0.7222222222</v>
      </c>
      <c r="R1823" s="82">
        <f>IFERROR(__xludf.DUMMYFUNCTION("""COMPUTED_VALUE"""),0.8611111111111112)</f>
        <v>0.8611111111</v>
      </c>
      <c r="S1823" s="82">
        <f>IFERROR(__xludf.DUMMYFUNCTION("""COMPUTED_VALUE"""),3.0555555555555554)</f>
        <v>3.055555556</v>
      </c>
      <c r="T1823" s="82">
        <f>IFERROR(__xludf.DUMMYFUNCTION("""COMPUTED_VALUE"""),352.6785204795312)</f>
        <v>352.6785205</v>
      </c>
      <c r="U1823" s="82">
        <f>IFERROR(__xludf.DUMMYFUNCTION("""COMPUTED_VALUE"""),0.9048967165685103)</f>
        <v>0.9048967166</v>
      </c>
      <c r="V1823" s="82">
        <f>IFERROR(__xludf.DUMMYFUNCTION("""COMPUTED_VALUE"""),0.6312897344022073)</f>
        <v>0.6312897344</v>
      </c>
      <c r="W1823" s="82">
        <f>IFERROR(__xludf.DUMMYFUNCTION("""COMPUTED_VALUE"""),1.143933005202043)</f>
        <v>1.143933005</v>
      </c>
      <c r="X1823" s="82">
        <f>IFERROR(__xludf.DUMMYFUNCTION("""COMPUTED_VALUE"""),2.8064167081502736)</f>
        <v>2.806416708</v>
      </c>
      <c r="Y1823" s="82">
        <f>IFERROR(__xludf.DUMMYFUNCTION("""COMPUTED_VALUE"""),335.85184995936646)</f>
        <v>335.85185</v>
      </c>
      <c r="Z1823" s="82">
        <f>IFERROR(__xludf.DUMMYFUNCTION("""COMPUTED_VALUE"""),0.7255636702510743)</f>
        <v>0.7255636703</v>
      </c>
      <c r="AA1823" s="82">
        <f>IFERROR(__xludf.DUMMYFUNCTION("""COMPUTED_VALUE"""),0.4711010560920877)</f>
        <v>0.4711010561</v>
      </c>
      <c r="AB1823" s="82">
        <f>IFERROR(__xludf.DUMMYFUNCTION("""COMPUTED_VALUE"""),1.4207029281057453)</f>
        <v>1.420702928</v>
      </c>
      <c r="AC1823" s="82">
        <f>IFERROR(__xludf.DUMMYFUNCTION("""COMPUTED_VALUE"""),2.3160651200771665)</f>
        <v>2.31606512</v>
      </c>
      <c r="AD1823" s="82">
        <f>IFERROR(__xludf.DUMMYFUNCTION("""COMPUTED_VALUE"""),0.9853054753359349)</f>
        <v>0.9853054753</v>
      </c>
      <c r="AE1823" s="82">
        <f>IFERROR(__xludf.DUMMYFUNCTION("""COMPUTED_VALUE"""),1.0336790977151182)</f>
        <v>1.033679098</v>
      </c>
      <c r="AF1823" s="82">
        <f>IFERROR(__xludf.DUMMYFUNCTION("""COMPUTED_VALUE"""),0.5306717035911965)</f>
        <v>0.5306717036</v>
      </c>
      <c r="AG1823" s="82">
        <f>IFERROR(__xludf.DUMMYFUNCTION("""COMPUTED_VALUE"""),1.2317846084355677)</f>
        <v>1.231784608</v>
      </c>
      <c r="AH1823" s="82">
        <f>IFERROR(__xludf.DUMMYFUNCTION("""COMPUTED_VALUE"""),0.7555918807419775)</f>
        <v>0.7555918807</v>
      </c>
      <c r="AI1823" s="82">
        <f>IFERROR(__xludf.DUMMYFUNCTION("""COMPUTED_VALUE"""),1.0410803191740632)</f>
        <v>1.041080319</v>
      </c>
      <c r="AJ1823" s="82">
        <f>IFERROR(__xludf.DUMMYFUNCTION("""COMPUTED_VALUE"""),1.2585843975738007)</f>
        <v>1.258584398</v>
      </c>
      <c r="AK1823" s="82">
        <f>IFERROR(__xludf.DUMMYFUNCTION("""COMPUTED_VALUE"""),1.1440423990200355)</f>
        <v>1.144042399</v>
      </c>
      <c r="AL1823" s="82">
        <f>IFERROR(__xludf.DUMMYFUNCTION("""COMPUTED_VALUE"""),0.752763585975055)</f>
        <v>0.752763586</v>
      </c>
      <c r="AM1823" s="82">
        <f>IFERROR(__xludf.DUMMYFUNCTION("""COMPUTED_VALUE"""),1.0887747164139037)</f>
        <v>1.088774716</v>
      </c>
      <c r="AN1823" s="82">
        <f>IFERROR(__xludf.DUMMYFUNCTION("""COMPUTED_VALUE"""),0.9759342830359798)</f>
        <v>0.975934283</v>
      </c>
      <c r="AO1823" s="82">
        <f>IFERROR(__xludf.DUMMYFUNCTION("""COMPUTED_VALUE"""),1.0084169524739757)</f>
        <v>1.008416952</v>
      </c>
      <c r="AP1823" s="82">
        <f>IFERROR(__xludf.DUMMYFUNCTION("""COMPUTED_VALUE"""),0.4580447743107194)</f>
        <v>0.4580447743</v>
      </c>
      <c r="AQ1823" s="82">
        <f>IFERROR(__xludf.DUMMYFUNCTION("""COMPUTED_VALUE"""),1.3380754048018069)</f>
        <v>1.338075405</v>
      </c>
      <c r="AR1823" s="82">
        <f>IFERROR(__xludf.DUMMYFUNCTION("""COMPUTED_VALUE"""),0.699524688034687)</f>
        <v>0.699524688</v>
      </c>
      <c r="AS1823" s="82">
        <f>IFERROR(__xludf.DUMMYFUNCTION("""COMPUTED_VALUE"""),19.0)</f>
        <v>19</v>
      </c>
      <c r="AT1823" s="82">
        <f>IFERROR(__xludf.DUMMYFUNCTION("""COMPUTED_VALUE"""),0.22781479934419857)</f>
        <v>0.2278147993</v>
      </c>
      <c r="AU1823" s="82">
        <f>IFERROR(__xludf.DUMMYFUNCTION("""COMPUTED_VALUE"""),1.7848107530751205)</f>
        <v>1.784810753</v>
      </c>
      <c r="AV1823" s="82">
        <f>IFERROR(__xludf.DUMMYFUNCTION("""COMPUTED_VALUE"""),30.28680008329942)</f>
        <v>30.28680008</v>
      </c>
      <c r="AW1823" s="82">
        <f t="shared" si="1"/>
        <v>-4.646970476</v>
      </c>
      <c r="AX1823" s="83">
        <f t="array" ref="AX1823">IFERROR(DGET('SBV Import'!A:G,"SBV",{"RSC ID","Tier";B1823,A1823}))</f>
        <v>42.23856652</v>
      </c>
      <c r="AY1823" s="82">
        <f t="shared" si="2"/>
        <v>-2.644756809</v>
      </c>
      <c r="AZ1823" s="82">
        <v>2.0022136669267114</v>
      </c>
      <c r="BA1823" s="84">
        <v>1700.0</v>
      </c>
      <c r="BB1823" s="84" t="b">
        <f>IFERROR(__xludf.DUMMYFUNCTION("iferror(if(A1823="""",,E1823&gt;=FILTER(Constants!$F$2:$F$10,Constants!$A$2:$A$10=A1823)))"),TRUE)</f>
        <v>1</v>
      </c>
    </row>
    <row r="1824">
      <c r="A1824" s="89" t="str">
        <f>IFERROR(__xludf.DUMMYFUNCTION("""COMPUTED_VALUE"""),"Rival")</f>
        <v>Rival</v>
      </c>
      <c r="B1824" s="87" t="str">
        <f>IFERROR(__xludf.DUMMYFUNCTION("""COMPUTED_VALUE"""),"RSC006199")</f>
        <v>RSC006199</v>
      </c>
      <c r="C1824" s="73" t="str">
        <f>IFERROR(__xludf.DUMMYFUNCTION("""COMPUTED_VALUE"""),"Irozuh-")</f>
        <v>Irozuh-</v>
      </c>
      <c r="D1824" s="73" t="str">
        <f>IFERROR(__xludf.DUMMYFUNCTION("""COMPUTED_VALUE"""),"Ostriches")</f>
        <v>Ostriches</v>
      </c>
      <c r="E1824" s="82">
        <f>IFERROR(__xludf.DUMMYFUNCTION("""COMPUTED_VALUE"""),32.0)</f>
        <v>32</v>
      </c>
      <c r="F1824" s="82">
        <f>IFERROR(__xludf.DUMMYFUNCTION("""COMPUTED_VALUE"""),10.0)</f>
        <v>10</v>
      </c>
      <c r="G1824" s="86">
        <f>IFERROR(__xludf.DUMMYFUNCTION("""COMPUTED_VALUE"""),22.0)</f>
        <v>22</v>
      </c>
      <c r="H1824" s="86">
        <f>IFERROR(__xludf.DUMMYFUNCTION("""COMPUTED_VALUE"""),0.3125)</f>
        <v>0.3125</v>
      </c>
      <c r="I1824" s="86">
        <f>IFERROR(__xludf.DUMMYFUNCTION("""COMPUTED_VALUE"""),0.34375)</f>
        <v>0.34375</v>
      </c>
      <c r="J1824" s="82">
        <f>IFERROR(__xludf.DUMMYFUNCTION("""COMPUTED_VALUE"""),287.03125)</f>
        <v>287.03125</v>
      </c>
      <c r="K1824" s="82">
        <f>IFERROR(__xludf.DUMMYFUNCTION("""COMPUTED_VALUE"""),0.6875)</f>
        <v>0.6875</v>
      </c>
      <c r="L1824" s="82">
        <f>IFERROR(__xludf.DUMMYFUNCTION("""COMPUTED_VALUE"""),0.28125)</f>
        <v>0.28125</v>
      </c>
      <c r="M1824" s="82">
        <f>IFERROR(__xludf.DUMMYFUNCTION("""COMPUTED_VALUE"""),1.0)</f>
        <v>1</v>
      </c>
      <c r="N1824" s="82">
        <f>IFERROR(__xludf.DUMMYFUNCTION("""COMPUTED_VALUE"""),2.0)</f>
        <v>2</v>
      </c>
      <c r="O1824" s="82">
        <f>IFERROR(__xludf.DUMMYFUNCTION("""COMPUTED_VALUE"""),361.8645833333334)</f>
        <v>361.8645833</v>
      </c>
      <c r="P1824" s="82">
        <f>IFERROR(__xludf.DUMMYFUNCTION("""COMPUTED_VALUE"""),0.8854166666666667)</f>
        <v>0.8854166667</v>
      </c>
      <c r="Q1824" s="82">
        <f>IFERROR(__xludf.DUMMYFUNCTION("""COMPUTED_VALUE"""),0.59375)</f>
        <v>0.59375</v>
      </c>
      <c r="R1824" s="82">
        <f>IFERROR(__xludf.DUMMYFUNCTION("""COMPUTED_VALUE"""),1.2291666666666665)</f>
        <v>1.229166667</v>
      </c>
      <c r="S1824" s="82">
        <f>IFERROR(__xludf.DUMMYFUNCTION("""COMPUTED_VALUE"""),2.6770833333333335)</f>
        <v>2.677083333</v>
      </c>
      <c r="T1824" s="82">
        <f>IFERROR(__xludf.DUMMYFUNCTION("""COMPUTED_VALUE"""),349.09266759772925)</f>
        <v>349.0926676</v>
      </c>
      <c r="U1824" s="82">
        <f>IFERROR(__xludf.DUMMYFUNCTION("""COMPUTED_VALUE"""),0.7702533528532114)</f>
        <v>0.7702533529</v>
      </c>
      <c r="V1824" s="82">
        <f>IFERROR(__xludf.DUMMYFUNCTION("""COMPUTED_VALUE"""),0.6094408715645621)</f>
        <v>0.6094408716</v>
      </c>
      <c r="W1824" s="82">
        <f>IFERROR(__xludf.DUMMYFUNCTION("""COMPUTED_VALUE"""),1.3239923003422183)</f>
        <v>1.3239923</v>
      </c>
      <c r="X1824" s="82">
        <f>IFERROR(__xludf.DUMMYFUNCTION("""COMPUTED_VALUE"""),2.523365655482434)</f>
        <v>2.523365655</v>
      </c>
      <c r="Y1824" s="82">
        <f>IFERROR(__xludf.DUMMYFUNCTION("""COMPUTED_VALUE"""),335.2475348008192)</f>
        <v>335.2475348</v>
      </c>
      <c r="Z1824" s="82">
        <f>IFERROR(__xludf.DUMMYFUNCTION("""COMPUTED_VALUE"""),0.7052545048907153)</f>
        <v>0.7052545049</v>
      </c>
      <c r="AA1824" s="82">
        <f>IFERROR(__xludf.DUMMYFUNCTION("""COMPUTED_VALUE"""),0.5199245873998963)</f>
        <v>0.5199245874</v>
      </c>
      <c r="AB1824" s="82">
        <f>IFERROR(__xludf.DUMMYFUNCTION("""COMPUTED_VALUE"""),1.3151329416681923)</f>
        <v>1.315132942</v>
      </c>
      <c r="AC1824" s="82">
        <f>IFERROR(__xludf.DUMMYFUNCTION("""COMPUTED_VALUE"""),2.4599317901830253)</f>
        <v>2.45993179</v>
      </c>
      <c r="AD1824" s="82">
        <f>IFERROR(__xludf.DUMMYFUNCTION("""COMPUTED_VALUE"""),0.856177063824001)</f>
        <v>0.8561770638</v>
      </c>
      <c r="AE1824" s="82">
        <f>IFERROR(__xludf.DUMMYFUNCTION("""COMPUTED_VALUE"""),0.9748253931487237)</f>
        <v>0.9748253931</v>
      </c>
      <c r="AF1824" s="82">
        <f>IFERROR(__xludf.DUMMYFUNCTION("""COMPUTED_VALUE"""),0.5409438345789916)</f>
        <v>0.5409438346</v>
      </c>
      <c r="AG1824" s="82">
        <f>IFERROR(__xludf.DUMMYFUNCTION("""COMPUTED_VALUE"""),0.7603794022006178)</f>
        <v>0.7603794022</v>
      </c>
      <c r="AH1824" s="82">
        <f>IFERROR(__xludf.DUMMYFUNCTION("""COMPUTED_VALUE"""),0.8130306734444839)</f>
        <v>0.8130306734</v>
      </c>
      <c r="AI1824" s="82">
        <f>IFERROR(__xludf.DUMMYFUNCTION("""COMPUTED_VALUE"""),1.036586032652859)</f>
        <v>1.036586033</v>
      </c>
      <c r="AJ1824" s="82">
        <f>IFERROR(__xludf.DUMMYFUNCTION("""COMPUTED_VALUE"""),1.1495135508165744)</f>
        <v>1.149513551</v>
      </c>
      <c r="AK1824" s="82">
        <f>IFERROR(__xludf.DUMMYFUNCTION("""COMPUTED_VALUE"""),0.9742536605326776)</f>
        <v>0.9742536605</v>
      </c>
      <c r="AL1824" s="82">
        <f>IFERROR(__xludf.DUMMYFUNCTION("""COMPUTED_VALUE"""),0.9283790142502779)</f>
        <v>0.9283790143</v>
      </c>
      <c r="AM1824" s="82">
        <f>IFERROR(__xludf.DUMMYFUNCTION("""COMPUTED_VALUE"""),1.0609177181741067)</f>
        <v>1.060917718</v>
      </c>
      <c r="AN1824" s="82">
        <f>IFERROR(__xludf.DUMMYFUNCTION("""COMPUTED_VALUE"""),0.8465080952233828)</f>
        <v>0.8465080952</v>
      </c>
      <c r="AO1824" s="82">
        <f>IFERROR(__xludf.DUMMYFUNCTION("""COMPUTED_VALUE"""),0.9243822064344778)</f>
        <v>0.9243822064</v>
      </c>
      <c r="AP1824" s="82">
        <f>IFERROR(__xludf.DUMMYFUNCTION("""COMPUTED_VALUE"""),0.5153003710995593)</f>
        <v>0.5153003711</v>
      </c>
      <c r="AQ1824" s="82">
        <f>IFERROR(__xludf.DUMMYFUNCTION("""COMPUTED_VALUE"""),0.7646145170296039)</f>
        <v>0.764614517</v>
      </c>
      <c r="AR1824" s="82">
        <f>IFERROR(__xludf.DUMMYFUNCTION("""COMPUTED_VALUE"""),0.7994567863253565)</f>
        <v>0.7994567863</v>
      </c>
      <c r="AS1824" s="82">
        <f>IFERROR(__xludf.DUMMYFUNCTION("""COMPUTED_VALUE"""),60.0)</f>
        <v>60</v>
      </c>
      <c r="AT1824" s="82">
        <f>IFERROR(__xludf.DUMMYFUNCTION("""COMPUTED_VALUE"""),0.3687929807259404)</f>
        <v>0.3687929807</v>
      </c>
      <c r="AU1824" s="82">
        <f>IFERROR(__xludf.DUMMYFUNCTION("""COMPUTED_VALUE"""),1.7600179896631623)</f>
        <v>1.76001799</v>
      </c>
      <c r="AV1824" s="82">
        <f>IFERROR(__xludf.DUMMYFUNCTION("""COMPUTED_VALUE"""),29.57698388877857)</f>
        <v>29.57698389</v>
      </c>
      <c r="AW1824" s="82">
        <f t="shared" si="1"/>
        <v>-4.831223862</v>
      </c>
      <c r="AX1824" s="83">
        <f t="array" ref="AX1824">IFERROR(DGET('SBV Import'!A:G,"SBV",{"RSC ID","Tier";B1824,A1824}))</f>
        <v>24.60841123</v>
      </c>
      <c r="AY1824" s="82">
        <f t="shared" si="2"/>
        <v>-6.45599401</v>
      </c>
      <c r="AZ1824" s="82">
        <v>1.624770148214111</v>
      </c>
      <c r="BA1824" s="84">
        <v>1700.0</v>
      </c>
      <c r="BB1824" s="84" t="b">
        <f>IFERROR(__xludf.DUMMYFUNCTION("iferror(if(A1824="""",,E1824&gt;=FILTER(Constants!$F$2:$F$10,Constants!$A$2:$A$10=A1824)))"),TRUE)</f>
        <v>1</v>
      </c>
    </row>
    <row r="1825">
      <c r="A1825" s="89" t="str">
        <f>IFERROR(__xludf.DUMMYFUNCTION("""COMPUTED_VALUE"""),"Rival")</f>
        <v>Rival</v>
      </c>
      <c r="B1825" s="87" t="str">
        <f>IFERROR(__xludf.DUMMYFUNCTION("""COMPUTED_VALUE"""),"RSC007154")</f>
        <v>RSC007154</v>
      </c>
      <c r="C1825" s="73" t="str">
        <f>IFERROR(__xludf.DUMMYFUNCTION("""COMPUTED_VALUE"""),"TheBannGG")</f>
        <v>TheBannGG</v>
      </c>
      <c r="D1825" s="73"/>
      <c r="E1825" s="82">
        <f>IFERROR(__xludf.DUMMYFUNCTION("""COMPUTED_VALUE"""),4.0)</f>
        <v>4</v>
      </c>
      <c r="F1825" s="82">
        <f>IFERROR(__xludf.DUMMYFUNCTION("""COMPUTED_VALUE"""),2.0)</f>
        <v>2</v>
      </c>
      <c r="G1825" s="86">
        <f>IFERROR(__xludf.DUMMYFUNCTION("""COMPUTED_VALUE"""),2.0)</f>
        <v>2</v>
      </c>
      <c r="H1825" s="86">
        <f>IFERROR(__xludf.DUMMYFUNCTION("""COMPUTED_VALUE"""),0.5)</f>
        <v>0.5</v>
      </c>
      <c r="I1825" s="86">
        <f>IFERROR(__xludf.DUMMYFUNCTION("""COMPUTED_VALUE"""),0.375)</f>
        <v>0.375</v>
      </c>
      <c r="J1825" s="82">
        <f>IFERROR(__xludf.DUMMYFUNCTION("""COMPUTED_VALUE"""),324.75)</f>
        <v>324.75</v>
      </c>
      <c r="K1825" s="82">
        <f>IFERROR(__xludf.DUMMYFUNCTION("""COMPUTED_VALUE"""),0.75)</f>
        <v>0.75</v>
      </c>
      <c r="L1825" s="82">
        <f>IFERROR(__xludf.DUMMYFUNCTION("""COMPUTED_VALUE"""),0.25)</f>
        <v>0.25</v>
      </c>
      <c r="M1825" s="82">
        <f>IFERROR(__xludf.DUMMYFUNCTION("""COMPUTED_VALUE"""),1.75)</f>
        <v>1.75</v>
      </c>
      <c r="N1825" s="82">
        <f>IFERROR(__xludf.DUMMYFUNCTION("""COMPUTED_VALUE"""),2.0)</f>
        <v>2</v>
      </c>
      <c r="O1825" s="82">
        <f>IFERROR(__xludf.DUMMYFUNCTION("""COMPUTED_VALUE"""),398.99999999999994)</f>
        <v>399</v>
      </c>
      <c r="P1825" s="82">
        <f>IFERROR(__xludf.DUMMYFUNCTION("""COMPUTED_VALUE"""),1.0833333333333333)</f>
        <v>1.083333333</v>
      </c>
      <c r="Q1825" s="82">
        <f>IFERROR(__xludf.DUMMYFUNCTION("""COMPUTED_VALUE"""),0.8333333333333334)</f>
        <v>0.8333333333</v>
      </c>
      <c r="R1825" s="82">
        <f>IFERROR(__xludf.DUMMYFUNCTION("""COMPUTED_VALUE"""),1.25)</f>
        <v>1.25</v>
      </c>
      <c r="S1825" s="82">
        <f>IFERROR(__xludf.DUMMYFUNCTION("""COMPUTED_VALUE"""),3.0000000000000004)</f>
        <v>3</v>
      </c>
      <c r="T1825" s="82">
        <f>IFERROR(__xludf.DUMMYFUNCTION("""COMPUTED_VALUE"""),354.7309343434343)</f>
        <v>354.7309343</v>
      </c>
      <c r="U1825" s="82">
        <f>IFERROR(__xludf.DUMMYFUNCTION("""COMPUTED_VALUE"""),0.8150252525252526)</f>
        <v>0.8150252525</v>
      </c>
      <c r="V1825" s="82">
        <f>IFERROR(__xludf.DUMMYFUNCTION("""COMPUTED_VALUE"""),0.6191919191919192)</f>
        <v>0.6191919192</v>
      </c>
      <c r="W1825" s="82">
        <f>IFERROR(__xludf.DUMMYFUNCTION("""COMPUTED_VALUE"""),1.1534090909090908)</f>
        <v>1.153409091</v>
      </c>
      <c r="X1825" s="82">
        <f>IFERROR(__xludf.DUMMYFUNCTION("""COMPUTED_VALUE"""),2.74709595959596)</f>
        <v>2.74709596</v>
      </c>
      <c r="Y1825" s="82">
        <f>IFERROR(__xludf.DUMMYFUNCTION("""COMPUTED_VALUE"""),336.83186026936033)</f>
        <v>336.8318603</v>
      </c>
      <c r="Z1825" s="82">
        <f>IFERROR(__xludf.DUMMYFUNCTION("""COMPUTED_VALUE"""),0.6825757575757576)</f>
        <v>0.6825757576</v>
      </c>
      <c r="AA1825" s="82">
        <f>IFERROR(__xludf.DUMMYFUNCTION("""COMPUTED_VALUE"""),0.48657407407407405)</f>
        <v>0.4865740741</v>
      </c>
      <c r="AB1825" s="82">
        <f>IFERROR(__xludf.DUMMYFUNCTION("""COMPUTED_VALUE"""),1.4258838383838384)</f>
        <v>1.425883838</v>
      </c>
      <c r="AC1825" s="82">
        <f>IFERROR(__xludf.DUMMYFUNCTION("""COMPUTED_VALUE"""),2.4114478114478115)</f>
        <v>2.411447811</v>
      </c>
      <c r="AD1825" s="82">
        <f>IFERROR(__xludf.DUMMYFUNCTION("""COMPUTED_VALUE"""),0.9641308863725105)</f>
        <v>0.9641308864</v>
      </c>
      <c r="AE1825" s="82">
        <f>IFERROR(__xludf.DUMMYFUNCTION("""COMPUTED_VALUE"""),1.0987791342952276)</f>
        <v>1.098779134</v>
      </c>
      <c r="AF1825" s="82">
        <f>IFERROR(__xludf.DUMMYFUNCTION("""COMPUTED_VALUE"""),0.5137963843958135)</f>
        <v>0.5137963844</v>
      </c>
      <c r="AG1825" s="82">
        <f>IFERROR(__xludf.DUMMYFUNCTION("""COMPUTED_VALUE"""),1.2273089524484193)</f>
        <v>1.227308952</v>
      </c>
      <c r="AH1825" s="82">
        <f>IFERROR(__xludf.DUMMYFUNCTION("""COMPUTED_VALUE"""),0.8293772689192963)</f>
        <v>0.8293772689</v>
      </c>
      <c r="AI1825" s="82">
        <f>IFERROR(__xludf.DUMMYFUNCTION("""COMPUTED_VALUE"""),1.1247961803458233)</f>
        <v>1.12479618</v>
      </c>
      <c r="AJ1825" s="82">
        <f>IFERROR(__xludf.DUMMYFUNCTION("""COMPUTED_VALUE"""),1.3292021688613476)</f>
        <v>1.329202169</v>
      </c>
      <c r="AK1825" s="82">
        <f>IFERROR(__xludf.DUMMYFUNCTION("""COMPUTED_VALUE"""),1.3458401305057097)</f>
        <v>1.345840131</v>
      </c>
      <c r="AL1825" s="82">
        <f>IFERROR(__xludf.DUMMYFUNCTION("""COMPUTED_VALUE"""),1.083743842364532)</f>
        <v>1.083743842</v>
      </c>
      <c r="AM1825" s="82">
        <f>IFERROR(__xludf.DUMMYFUNCTION("""COMPUTED_VALUE"""),1.09206232476904)</f>
        <v>1.092062325</v>
      </c>
      <c r="AN1825" s="82">
        <f>IFERROR(__xludf.DUMMYFUNCTION("""COMPUTED_VALUE"""),0.9577476456789759)</f>
        <v>0.9577476457</v>
      </c>
      <c r="AO1825" s="82">
        <f>IFERROR(__xludf.DUMMYFUNCTION("""COMPUTED_VALUE"""),1.0084169524739757)</f>
        <v>1.008416952</v>
      </c>
      <c r="AP1825" s="82">
        <f>IFERROR(__xludf.DUMMYFUNCTION("""COMPUTED_VALUE"""),0.4580447743107194)</f>
        <v>0.4580447743</v>
      </c>
      <c r="AQ1825" s="82">
        <f>IFERROR(__xludf.DUMMYFUNCTION("""COMPUTED_VALUE"""),1.3380754048018069)</f>
        <v>1.338075405</v>
      </c>
      <c r="AR1825" s="82">
        <f>IFERROR(__xludf.DUMMYFUNCTION("""COMPUTED_VALUE"""),0.7994567863253565)</f>
        <v>0.7994567863</v>
      </c>
      <c r="AS1825" s="82">
        <f>IFERROR(__xludf.DUMMYFUNCTION("""COMPUTED_VALUE"""),10.0)</f>
        <v>10</v>
      </c>
      <c r="AT1825" s="82">
        <f>IFERROR(__xludf.DUMMYFUNCTION("""COMPUTED_VALUE"""),0.39330510427136167)</f>
        <v>0.3933051043</v>
      </c>
      <c r="AU1825" s="82">
        <f>IFERROR(__xludf.DUMMYFUNCTION("""COMPUTED_VALUE"""),1.754801430726859)</f>
        <v>1.754801431</v>
      </c>
      <c r="AV1825" s="82">
        <f>IFERROR(__xludf.DUMMYFUNCTION("""COMPUTED_VALUE"""),29.427633937297383)</f>
        <v>29.42763394</v>
      </c>
      <c r="AW1825" s="82">
        <f t="shared" si="1"/>
        <v>-4.87130132</v>
      </c>
      <c r="AX1825" s="83">
        <f t="array" ref="AX1825">IFERROR(DGET('SBV Import'!A:G,"SBV",{"RSC ID","Tier";B1825,A1825}))</f>
        <v>19.83684574</v>
      </c>
      <c r="AY1825" s="82">
        <f t="shared" si="2"/>
        <v>-8.786779693</v>
      </c>
      <c r="AZ1825" s="82">
        <v>3.915478373285353</v>
      </c>
      <c r="BA1825" s="84">
        <v>1700.0</v>
      </c>
      <c r="BB1825" s="84" t="b">
        <f>IFERROR(__xludf.DUMMYFUNCTION("iferror(if(A1825="""",,E1825&gt;=FILTER(Constants!$F$2:$F$10,Constants!$A$2:$A$10=A1825)))"),TRUE)</f>
        <v>1</v>
      </c>
    </row>
    <row r="1826">
      <c r="A1826" s="89" t="str">
        <f>IFERROR(__xludf.DUMMYFUNCTION("""COMPUTED_VALUE"""),"Rival")</f>
        <v>Rival</v>
      </c>
      <c r="B1826" s="87" t="str">
        <f>IFERROR(__xludf.DUMMYFUNCTION("""COMPUTED_VALUE"""),"RSC000813")</f>
        <v>RSC000813</v>
      </c>
      <c r="C1826" s="73" t="str">
        <f>IFERROR(__xludf.DUMMYFUNCTION("""COMPUTED_VALUE"""),"Ziggy.")</f>
        <v>Ziggy.</v>
      </c>
      <c r="D1826" s="73"/>
      <c r="E1826" s="82">
        <f>IFERROR(__xludf.DUMMYFUNCTION("""COMPUTED_VALUE"""),19.0)</f>
        <v>19</v>
      </c>
      <c r="F1826" s="82">
        <f>IFERROR(__xludf.DUMMYFUNCTION("""COMPUTED_VALUE"""),6.0)</f>
        <v>6</v>
      </c>
      <c r="G1826" s="86">
        <f>IFERROR(__xludf.DUMMYFUNCTION("""COMPUTED_VALUE"""),13.0)</f>
        <v>13</v>
      </c>
      <c r="H1826" s="86">
        <f>IFERROR(__xludf.DUMMYFUNCTION("""COMPUTED_VALUE"""),0.3157894736842105)</f>
        <v>0.3157894737</v>
      </c>
      <c r="I1826" s="86">
        <f>IFERROR(__xludf.DUMMYFUNCTION("""COMPUTED_VALUE"""),0.3414634146341463)</f>
        <v>0.3414634146</v>
      </c>
      <c r="J1826" s="82">
        <f>IFERROR(__xludf.DUMMYFUNCTION("""COMPUTED_VALUE"""),283.7368421052632)</f>
        <v>283.7368421</v>
      </c>
      <c r="K1826" s="82">
        <f>IFERROR(__xludf.DUMMYFUNCTION("""COMPUTED_VALUE"""),0.7368421052631579)</f>
        <v>0.7368421053</v>
      </c>
      <c r="L1826" s="82">
        <f>IFERROR(__xludf.DUMMYFUNCTION("""COMPUTED_VALUE"""),0.3157894736842105)</f>
        <v>0.3157894737</v>
      </c>
      <c r="M1826" s="82">
        <f>IFERROR(__xludf.DUMMYFUNCTION("""COMPUTED_VALUE"""),0.8947368421052632)</f>
        <v>0.8947368421</v>
      </c>
      <c r="N1826" s="82">
        <f>IFERROR(__xludf.DUMMYFUNCTION("""COMPUTED_VALUE"""),2.1578947368421053)</f>
        <v>2.157894737</v>
      </c>
      <c r="O1826" s="82">
        <f>IFERROR(__xludf.DUMMYFUNCTION("""COMPUTED_VALUE"""),368.578947368421)</f>
        <v>368.5789474</v>
      </c>
      <c r="P1826" s="82">
        <f>IFERROR(__xludf.DUMMYFUNCTION("""COMPUTED_VALUE"""),1.0175438596491226)</f>
        <v>1.01754386</v>
      </c>
      <c r="Q1826" s="82">
        <f>IFERROR(__xludf.DUMMYFUNCTION("""COMPUTED_VALUE"""),0.6842105263157896)</f>
        <v>0.6842105263</v>
      </c>
      <c r="R1826" s="82">
        <f>IFERROR(__xludf.DUMMYFUNCTION("""COMPUTED_VALUE"""),1.3157894736842106)</f>
        <v>1.315789474</v>
      </c>
      <c r="S1826" s="82">
        <f>IFERROR(__xludf.DUMMYFUNCTION("""COMPUTED_VALUE"""),2.701754385964912)</f>
        <v>2.701754386</v>
      </c>
      <c r="T1826" s="82">
        <f>IFERROR(__xludf.DUMMYFUNCTION("""COMPUTED_VALUE"""),343.2481300543478)</f>
        <v>343.2481301</v>
      </c>
      <c r="U1826" s="82">
        <f>IFERROR(__xludf.DUMMYFUNCTION("""COMPUTED_VALUE"""),0.8209079638035152)</f>
        <v>0.8209079638</v>
      </c>
      <c r="V1826" s="82">
        <f>IFERROR(__xludf.DUMMYFUNCTION("""COMPUTED_VALUE"""),0.5625281654339105)</f>
        <v>0.5625281654</v>
      </c>
      <c r="W1826" s="82">
        <f>IFERROR(__xludf.DUMMYFUNCTION("""COMPUTED_VALUE"""),1.2688706751717616)</f>
        <v>1.268870675</v>
      </c>
      <c r="X1826" s="82">
        <f>IFERROR(__xludf.DUMMYFUNCTION("""COMPUTED_VALUE"""),2.6081459115474113)</f>
        <v>2.608145912</v>
      </c>
      <c r="Y1826" s="82">
        <f>IFERROR(__xludf.DUMMYFUNCTION("""COMPUTED_VALUE"""),345.58945924170774)</f>
        <v>345.5894592</v>
      </c>
      <c r="Z1826" s="82">
        <f>IFERROR(__xludf.DUMMYFUNCTION("""COMPUTED_VALUE"""),0.7756310340639665)</f>
        <v>0.7756310341</v>
      </c>
      <c r="AA1826" s="82">
        <f>IFERROR(__xludf.DUMMYFUNCTION("""COMPUTED_VALUE"""),0.5269062551834293)</f>
        <v>0.5269062552</v>
      </c>
      <c r="AB1826" s="82">
        <f>IFERROR(__xludf.DUMMYFUNCTION("""COMPUTED_VALUE"""),1.3851596728648867)</f>
        <v>1.385159673</v>
      </c>
      <c r="AC1826" s="82">
        <f>IFERROR(__xludf.DUMMYFUNCTION("""COMPUTED_VALUE"""),2.5616002096838564)</f>
        <v>2.56160021</v>
      </c>
      <c r="AD1826" s="82">
        <f>IFERROR(__xludf.DUMMYFUNCTION("""COMPUTED_VALUE"""),0.8210228481153287)</f>
        <v>0.8210228481</v>
      </c>
      <c r="AE1826" s="82">
        <f>IFERROR(__xludf.DUMMYFUNCTION("""COMPUTED_VALUE"""),0.949990488908661)</f>
        <v>0.9499904889</v>
      </c>
      <c r="AF1826" s="82">
        <f>IFERROR(__xludf.DUMMYFUNCTION("""COMPUTED_VALUE"""),0.5993276234199882)</f>
        <v>0.5993276234</v>
      </c>
      <c r="AG1826" s="82">
        <f>IFERROR(__xludf.DUMMYFUNCTION("""COMPUTED_VALUE"""),0.6459449113579117)</f>
        <v>0.6459449114</v>
      </c>
      <c r="AH1826" s="82">
        <f>IFERROR(__xludf.DUMMYFUNCTION("""COMPUTED_VALUE"""),0.8424010619160689)</f>
        <v>0.8424010619</v>
      </c>
      <c r="AI1826" s="82">
        <f>IFERROR(__xludf.DUMMYFUNCTION("""COMPUTED_VALUE"""),1.073797393477606)</f>
        <v>1.073797393</v>
      </c>
      <c r="AJ1826" s="82">
        <f>IFERROR(__xludf.DUMMYFUNCTION("""COMPUTED_VALUE"""),1.2395346427564593)</f>
        <v>1.239534643</v>
      </c>
      <c r="AK1826" s="82">
        <f>IFERROR(__xludf.DUMMYFUNCTION("""COMPUTED_VALUE"""),1.2163133659058982)</f>
        <v>1.216313366</v>
      </c>
      <c r="AL1826" s="82">
        <f>IFERROR(__xludf.DUMMYFUNCTION("""COMPUTED_VALUE"""),1.036976816810821)</f>
        <v>1.036976817</v>
      </c>
      <c r="AM1826" s="82">
        <f>IFERROR(__xludf.DUMMYFUNCTION("""COMPUTED_VALUE"""),1.0358908119377273)</f>
        <v>1.035890812</v>
      </c>
      <c r="AN1826" s="82">
        <f>IFERROR(__xludf.DUMMYFUNCTION("""COMPUTED_VALUE"""),0.8367922787334969)</f>
        <v>0.8367922787</v>
      </c>
      <c r="AO1826" s="82">
        <f>IFERROR(__xludf.DUMMYFUNCTION("""COMPUTED_VALUE"""),0.9907254269919762)</f>
        <v>0.990725427</v>
      </c>
      <c r="AP1826" s="82">
        <f>IFERROR(__xludf.DUMMYFUNCTION("""COMPUTED_VALUE"""),0.5785828728135403)</f>
        <v>0.5785828728</v>
      </c>
      <c r="AQ1826" s="82">
        <f>IFERROR(__xludf.DUMMYFUNCTION("""COMPUTED_VALUE"""),0.6841287783949088)</f>
        <v>0.6841287784</v>
      </c>
      <c r="AR1826" s="82">
        <f>IFERROR(__xludf.DUMMYFUNCTION("""COMPUTED_VALUE"""),0.8625717957720953)</f>
        <v>0.8625717958</v>
      </c>
      <c r="AS1826" s="82">
        <f>IFERROR(__xludf.DUMMYFUNCTION("""COMPUTED_VALUE"""),38.0)</f>
        <v>38</v>
      </c>
      <c r="AT1826" s="82">
        <f>IFERROR(__xludf.DUMMYFUNCTION("""COMPUTED_VALUE"""),0.3377949545104446)</f>
        <v>0.3377949545</v>
      </c>
      <c r="AU1826" s="82">
        <f>IFERROR(__xludf.DUMMYFUNCTION("""COMPUTED_VALUE"""),1.7386403815942633)</f>
        <v>1.738640382</v>
      </c>
      <c r="AV1826" s="82">
        <f>IFERROR(__xludf.DUMMYFUNCTION("""COMPUTED_VALUE"""),28.964943506055235)</f>
        <v>28.96494351</v>
      </c>
      <c r="AW1826" s="82">
        <f t="shared" si="1"/>
        <v>-4.99846772</v>
      </c>
      <c r="AX1826" s="83">
        <f t="array" ref="AX1826">IFERROR(DGET('SBV Import'!A:G,"SBV",{"RSC ID","Tier";B1826,A1826}))</f>
        <v>25.55802454</v>
      </c>
      <c r="AY1826" s="82">
        <f t="shared" si="2"/>
        <v>-6.093230657</v>
      </c>
      <c r="AZ1826" s="82">
        <v>1.0947629365390723</v>
      </c>
      <c r="BA1826" s="84">
        <v>1700.0</v>
      </c>
      <c r="BB1826" s="84" t="b">
        <f>IFERROR(__xludf.DUMMYFUNCTION("iferror(if(A1826="""",,E1826&gt;=FILTER(Constants!$F$2:$F$10,Constants!$A$2:$A$10=A1826)))"),TRUE)</f>
        <v>1</v>
      </c>
    </row>
    <row r="1827">
      <c r="A1827" s="89" t="str">
        <f>IFERROR(__xludf.DUMMYFUNCTION("""COMPUTED_VALUE"""),"Rival")</f>
        <v>Rival</v>
      </c>
      <c r="B1827" s="87" t="str">
        <f>IFERROR(__xludf.DUMMYFUNCTION("""COMPUTED_VALUE"""),"RSC007318")</f>
        <v>RSC007318</v>
      </c>
      <c r="C1827" s="73" t="str">
        <f>IFERROR(__xludf.DUMMYFUNCTION("""COMPUTED_VALUE"""),"xd Dylan591")</f>
        <v>xd Dylan591</v>
      </c>
      <c r="D1827" s="73" t="str">
        <f>IFERROR(__xludf.DUMMYFUNCTION("""COMPUTED_VALUE"""),"Wind")</f>
        <v>Wind</v>
      </c>
      <c r="E1827" s="82">
        <f>IFERROR(__xludf.DUMMYFUNCTION("""COMPUTED_VALUE"""),26.0)</f>
        <v>26</v>
      </c>
      <c r="F1827" s="82">
        <f>IFERROR(__xludf.DUMMYFUNCTION("""COMPUTED_VALUE"""),17.0)</f>
        <v>17</v>
      </c>
      <c r="G1827" s="86">
        <f>IFERROR(__xludf.DUMMYFUNCTION("""COMPUTED_VALUE"""),9.0)</f>
        <v>9</v>
      </c>
      <c r="H1827" s="86">
        <f>IFERROR(__xludf.DUMMYFUNCTION("""COMPUTED_VALUE"""),0.6538461538461539)</f>
        <v>0.6538461538</v>
      </c>
      <c r="I1827" s="86">
        <f>IFERROR(__xludf.DUMMYFUNCTION("""COMPUTED_VALUE"""),0.23636363636363636)</f>
        <v>0.2363636364</v>
      </c>
      <c r="J1827" s="82">
        <f>IFERROR(__xludf.DUMMYFUNCTION("""COMPUTED_VALUE"""),294.6923076923077)</f>
        <v>294.6923077</v>
      </c>
      <c r="K1827" s="82">
        <f>IFERROR(__xludf.DUMMYFUNCTION("""COMPUTED_VALUE"""),0.5)</f>
        <v>0.5</v>
      </c>
      <c r="L1827" s="82">
        <f>IFERROR(__xludf.DUMMYFUNCTION("""COMPUTED_VALUE"""),0.5)</f>
        <v>0.5</v>
      </c>
      <c r="M1827" s="82">
        <f>IFERROR(__xludf.DUMMYFUNCTION("""COMPUTED_VALUE"""),1.3461538461538463)</f>
        <v>1.346153846</v>
      </c>
      <c r="N1827" s="82">
        <f>IFERROR(__xludf.DUMMYFUNCTION("""COMPUTED_VALUE"""),2.1153846153846154)</f>
        <v>2.115384615</v>
      </c>
      <c r="O1827" s="82">
        <f>IFERROR(__xludf.DUMMYFUNCTION("""COMPUTED_VALUE"""),343.3076923076923)</f>
        <v>343.3076923</v>
      </c>
      <c r="P1827" s="82">
        <f>IFERROR(__xludf.DUMMYFUNCTION("""COMPUTED_VALUE"""),0.7435897435897434)</f>
        <v>0.7435897436</v>
      </c>
      <c r="Q1827" s="82">
        <f>IFERROR(__xludf.DUMMYFUNCTION("""COMPUTED_VALUE"""),0.5512820512820513)</f>
        <v>0.5512820513</v>
      </c>
      <c r="R1827" s="82">
        <f>IFERROR(__xludf.DUMMYFUNCTION("""COMPUTED_VALUE"""),1.3461538461538458)</f>
        <v>1.346153846</v>
      </c>
      <c r="S1827" s="82">
        <f>IFERROR(__xludf.DUMMYFUNCTION("""COMPUTED_VALUE"""),2.833333333333333)</f>
        <v>2.833333333</v>
      </c>
      <c r="T1827" s="82">
        <f>IFERROR(__xludf.DUMMYFUNCTION("""COMPUTED_VALUE"""),339.9979571883327)</f>
        <v>339.9979572</v>
      </c>
      <c r="U1827" s="82">
        <f>IFERROR(__xludf.DUMMYFUNCTION("""COMPUTED_VALUE"""),0.7456134838371208)</f>
        <v>0.7456134838</v>
      </c>
      <c r="V1827" s="82">
        <f>IFERROR(__xludf.DUMMYFUNCTION("""COMPUTED_VALUE"""),0.5499047207346675)</f>
        <v>0.5499047207</v>
      </c>
      <c r="W1827" s="82">
        <f>IFERROR(__xludf.DUMMYFUNCTION("""COMPUTED_VALUE"""),1.2939416251313887)</f>
        <v>1.293941625</v>
      </c>
      <c r="X1827" s="82">
        <f>IFERROR(__xludf.DUMMYFUNCTION("""COMPUTED_VALUE"""),2.537672131592006)</f>
        <v>2.537672132</v>
      </c>
      <c r="Y1827" s="82">
        <f>IFERROR(__xludf.DUMMYFUNCTION("""COMPUTED_VALUE"""),359.38701363636613)</f>
        <v>359.3870136</v>
      </c>
      <c r="Z1827" s="82">
        <f>IFERROR(__xludf.DUMMYFUNCTION("""COMPUTED_VALUE"""),0.8603763798781413)</f>
        <v>0.8603763799</v>
      </c>
      <c r="AA1827" s="82">
        <f>IFERROR(__xludf.DUMMYFUNCTION("""COMPUTED_VALUE"""),0.6035314643980064)</f>
        <v>0.6035314644</v>
      </c>
      <c r="AB1827" s="82">
        <f>IFERROR(__xludf.DUMMYFUNCTION("""COMPUTED_VALUE"""),1.3143609331102535)</f>
        <v>1.314360933</v>
      </c>
      <c r="AC1827" s="82">
        <f>IFERROR(__xludf.DUMMYFUNCTION("""COMPUTED_VALUE"""),2.6462952170161063)</f>
        <v>2.646295217</v>
      </c>
      <c r="AD1827" s="82">
        <f>IFERROR(__xludf.DUMMYFUNCTION("""COMPUTED_VALUE"""),0.8199859664113582)</f>
        <v>0.8199859664</v>
      </c>
      <c r="AE1827" s="82">
        <f>IFERROR(__xludf.DUMMYFUNCTION("""COMPUTED_VALUE"""),0.5811410118799601)</f>
        <v>0.5811410119</v>
      </c>
      <c r="AF1827" s="82">
        <f>IFERROR(__xludf.DUMMYFUNCTION("""COMPUTED_VALUE"""),0.8284572213624785)</f>
        <v>0.8284572214</v>
      </c>
      <c r="AG1827" s="82">
        <f>IFERROR(__xludf.DUMMYFUNCTION("""COMPUTED_VALUE"""),1.0241888755536572)</f>
        <v>1.024188876</v>
      </c>
      <c r="AH1827" s="82">
        <f>IFERROR(__xludf.DUMMYFUNCTION("""COMPUTED_VALUE"""),0.7993758979657107)</f>
        <v>0.799375898</v>
      </c>
      <c r="AI1827" s="82">
        <f>IFERROR(__xludf.DUMMYFUNCTION("""COMPUTED_VALUE"""),1.0097345735448824)</f>
        <v>1.009734574</v>
      </c>
      <c r="AJ1827" s="82">
        <f>IFERROR(__xludf.DUMMYFUNCTION("""COMPUTED_VALUE"""),0.9972858051909648)</f>
        <v>0.9972858052</v>
      </c>
      <c r="AK1827" s="82">
        <f>IFERROR(__xludf.DUMMYFUNCTION("""COMPUTED_VALUE"""),1.0025046712556747)</f>
        <v>1.002504671</v>
      </c>
      <c r="AL1827" s="82">
        <f>IFERROR(__xludf.DUMMYFUNCTION("""COMPUTED_VALUE"""),1.0403512956136298)</f>
        <v>1.040351296</v>
      </c>
      <c r="AM1827" s="82">
        <f>IFERROR(__xludf.DUMMYFUNCTION("""COMPUTED_VALUE"""),1.116508826361207)</f>
        <v>1.116508826</v>
      </c>
      <c r="AN1827" s="82">
        <f>IFERROR(__xludf.DUMMYFUNCTION("""COMPUTED_VALUE"""),0.8691019673349101)</f>
        <v>0.8691019673</v>
      </c>
      <c r="AO1827" s="82">
        <f>IFERROR(__xludf.DUMMYFUNCTION("""COMPUTED_VALUE"""),0.6722779683159839)</f>
        <v>0.6722779683</v>
      </c>
      <c r="AP1827" s="82">
        <f>IFERROR(__xludf.DUMMYFUNCTION("""COMPUTED_VALUE"""),0.9160895486214388)</f>
        <v>0.9160895486</v>
      </c>
      <c r="AQ1827" s="82">
        <f>IFERROR(__xludf.DUMMYFUNCTION("""COMPUTED_VALUE"""),1.0292887729244669)</f>
        <v>1.029288773</v>
      </c>
      <c r="AR1827" s="82">
        <f>IFERROR(__xludf.DUMMYFUNCTION("""COMPUTED_VALUE"""),0.8455792932287426)</f>
        <v>0.8455792932</v>
      </c>
      <c r="AS1827" s="82">
        <f>IFERROR(__xludf.DUMMYFUNCTION("""COMPUTED_VALUE"""),70.0)</f>
        <v>70</v>
      </c>
      <c r="AT1827" s="82">
        <f>IFERROR(__xludf.DUMMYFUNCTION("""COMPUTED_VALUE"""),0.5737414243615027)</f>
        <v>0.5737414244</v>
      </c>
      <c r="AU1827" s="82">
        <f>IFERROR(__xludf.DUMMYFUNCTION("""COMPUTED_VALUE"""),1.6978452978748408)</f>
        <v>1.697845298</v>
      </c>
      <c r="AV1827" s="82">
        <f>IFERROR(__xludf.DUMMYFUNCTION("""COMPUTED_VALUE"""),27.796981282573807)</f>
        <v>27.79698128</v>
      </c>
      <c r="AW1827" s="82">
        <f t="shared" si="1"/>
        <v>-5.340799018</v>
      </c>
      <c r="AX1827" s="83">
        <f t="array" ref="AX1827">IFERROR(DGET('SBV Import'!A:G,"SBV",{"RSC ID","Tier";B1827,A1827}))</f>
        <v>23.55386038</v>
      </c>
      <c r="AY1827" s="82">
        <f t="shared" si="2"/>
        <v>-6.893560237</v>
      </c>
      <c r="AZ1827" s="82">
        <v>1.552761218844556</v>
      </c>
      <c r="BA1827" s="84">
        <v>1700.0</v>
      </c>
      <c r="BB1827" s="84" t="b">
        <f>IFERROR(__xludf.DUMMYFUNCTION("iferror(if(A1827="""",,E1827&gt;=FILTER(Constants!$F$2:$F$10,Constants!$A$2:$A$10=A1827)))"),TRUE)</f>
        <v>1</v>
      </c>
    </row>
    <row r="1828">
      <c r="A1828" s="89" t="str">
        <f>IFERROR(__xludf.DUMMYFUNCTION("""COMPUTED_VALUE"""),"Rival")</f>
        <v>Rival</v>
      </c>
      <c r="B1828" s="87" t="str">
        <f>IFERROR(__xludf.DUMMYFUNCTION("""COMPUTED_VALUE"""),"RSC000737")</f>
        <v>RSC000737</v>
      </c>
      <c r="C1828" s="73" t="str">
        <f>IFERROR(__xludf.DUMMYFUNCTION("""COMPUTED_VALUE"""),"AlienHealer")</f>
        <v>AlienHealer</v>
      </c>
      <c r="D1828" s="73"/>
      <c r="E1828" s="82">
        <f>IFERROR(__xludf.DUMMYFUNCTION("""COMPUTED_VALUE"""),2.0)</f>
        <v>2</v>
      </c>
      <c r="F1828" s="82">
        <f>IFERROR(__xludf.DUMMYFUNCTION("""COMPUTED_VALUE"""),0.0)</f>
        <v>0</v>
      </c>
      <c r="G1828" s="86">
        <f>IFERROR(__xludf.DUMMYFUNCTION("""COMPUTED_VALUE"""),2.0)</f>
        <v>2</v>
      </c>
      <c r="H1828" s="86">
        <f>IFERROR(__xludf.DUMMYFUNCTION("""COMPUTED_VALUE"""),0.0)</f>
        <v>0</v>
      </c>
      <c r="I1828" s="86">
        <f>IFERROR(__xludf.DUMMYFUNCTION("""COMPUTED_VALUE"""),0.0)</f>
        <v>0</v>
      </c>
      <c r="J1828" s="82">
        <f>IFERROR(__xludf.DUMMYFUNCTION("""COMPUTED_VALUE"""),251.0)</f>
        <v>251</v>
      </c>
      <c r="K1828" s="82">
        <f>IFERROR(__xludf.DUMMYFUNCTION("""COMPUTED_VALUE"""),0.0)</f>
        <v>0</v>
      </c>
      <c r="L1828" s="82">
        <f>IFERROR(__xludf.DUMMYFUNCTION("""COMPUTED_VALUE"""),1.0)</f>
        <v>1</v>
      </c>
      <c r="M1828" s="82">
        <f>IFERROR(__xludf.DUMMYFUNCTION("""COMPUTED_VALUE"""),0.0)</f>
        <v>0</v>
      </c>
      <c r="N1828" s="82">
        <f>IFERROR(__xludf.DUMMYFUNCTION("""COMPUTED_VALUE"""),1.0)</f>
        <v>1</v>
      </c>
      <c r="O1828" s="82">
        <f>IFERROR(__xludf.DUMMYFUNCTION("""COMPUTED_VALUE"""),335.5)</f>
        <v>335.5</v>
      </c>
      <c r="P1828" s="82">
        <f>IFERROR(__xludf.DUMMYFUNCTION("""COMPUTED_VALUE"""),0.6666666666666666)</f>
        <v>0.6666666667</v>
      </c>
      <c r="Q1828" s="82">
        <f>IFERROR(__xludf.DUMMYFUNCTION("""COMPUTED_VALUE"""),0.3333333333333333)</f>
        <v>0.3333333333</v>
      </c>
      <c r="R1828" s="82">
        <f>IFERROR(__xludf.DUMMYFUNCTION("""COMPUTED_VALUE"""),1.1666666666666665)</f>
        <v>1.166666667</v>
      </c>
      <c r="S1828" s="82">
        <f>IFERROR(__xludf.DUMMYFUNCTION("""COMPUTED_VALUE"""),2.5)</f>
        <v>2.5</v>
      </c>
      <c r="T1828" s="82">
        <f>IFERROR(__xludf.DUMMYFUNCTION("""COMPUTED_VALUE"""),364.3194444444445)</f>
        <v>364.3194444</v>
      </c>
      <c r="U1828" s="82">
        <f>IFERROR(__xludf.DUMMYFUNCTION("""COMPUTED_VALUE"""),0.8888888888888888)</f>
        <v>0.8888888889</v>
      </c>
      <c r="V1828" s="82">
        <f>IFERROR(__xludf.DUMMYFUNCTION("""COMPUTED_VALUE"""),0.6041666666666666)</f>
        <v>0.6041666667</v>
      </c>
      <c r="W1828" s="82">
        <f>IFERROR(__xludf.DUMMYFUNCTION("""COMPUTED_VALUE"""),1.361111111111111)</f>
        <v>1.361111111</v>
      </c>
      <c r="X1828" s="82">
        <f>IFERROR(__xludf.DUMMYFUNCTION("""COMPUTED_VALUE"""),2.8263888888888893)</f>
        <v>2.826388889</v>
      </c>
      <c r="Y1828" s="82">
        <f>IFERROR(__xludf.DUMMYFUNCTION("""COMPUTED_VALUE"""),329.09722222222223)</f>
        <v>329.0972222</v>
      </c>
      <c r="Z1828" s="82">
        <f>IFERROR(__xludf.DUMMYFUNCTION("""COMPUTED_VALUE"""),0.611111111111111)</f>
        <v>0.6111111111</v>
      </c>
      <c r="AA1828" s="82">
        <f>IFERROR(__xludf.DUMMYFUNCTION("""COMPUTED_VALUE"""),0.45138888888888884)</f>
        <v>0.4513888889</v>
      </c>
      <c r="AB1828" s="82">
        <f>IFERROR(__xludf.DUMMYFUNCTION("""COMPUTED_VALUE"""),1.4166666666666663)</f>
        <v>1.416666667</v>
      </c>
      <c r="AC1828" s="82">
        <f>IFERROR(__xludf.DUMMYFUNCTION("""COMPUTED_VALUE"""),2.3680555555555554)</f>
        <v>2.368055556</v>
      </c>
      <c r="AD1828" s="82">
        <f>IFERROR(__xludf.DUMMYFUNCTION("""COMPUTED_VALUE"""),0.7626925511711331)</f>
        <v>0.7626925512</v>
      </c>
      <c r="AE1828" s="82">
        <f>IFERROR(__xludf.DUMMYFUNCTION("""COMPUTED_VALUE"""),0.0)</f>
        <v>0</v>
      </c>
      <c r="AF1828" s="82">
        <f>IFERROR(__xludf.DUMMYFUNCTION("""COMPUTED_VALUE"""),2.2153846153846155)</f>
        <v>2.215384615</v>
      </c>
      <c r="AG1828" s="82">
        <f>IFERROR(__xludf.DUMMYFUNCTION("""COMPUTED_VALUE"""),0.0)</f>
        <v>0</v>
      </c>
      <c r="AH1828" s="82">
        <f>IFERROR(__xludf.DUMMYFUNCTION("""COMPUTED_VALUE"""),0.4222873900293255)</f>
        <v>0.42228739</v>
      </c>
      <c r="AI1828" s="82">
        <f>IFERROR(__xludf.DUMMYFUNCTION("""COMPUTED_VALUE"""),0.9208951240898172)</f>
        <v>0.9208951241</v>
      </c>
      <c r="AJ1828" s="82">
        <f>IFERROR(__xludf.DUMMYFUNCTION("""COMPUTED_VALUE"""),0.75)</f>
        <v>0.75</v>
      </c>
      <c r="AK1828" s="82">
        <f>IFERROR(__xludf.DUMMYFUNCTION("""COMPUTED_VALUE"""),0.5517241379310345)</f>
        <v>0.5517241379</v>
      </c>
      <c r="AL1828" s="82">
        <f>IFERROR(__xludf.DUMMYFUNCTION("""COMPUTED_VALUE"""),0.8571428571428571)</f>
        <v>0.8571428571</v>
      </c>
      <c r="AM1828" s="82">
        <f>IFERROR(__xludf.DUMMYFUNCTION("""COMPUTED_VALUE"""),0.8845208845208844)</f>
        <v>0.8845208845</v>
      </c>
      <c r="AN1828" s="82">
        <f>IFERROR(__xludf.DUMMYFUNCTION("""COMPUTED_VALUE"""),0.7402452935039967)</f>
        <v>0.7402452935</v>
      </c>
      <c r="AO1828" s="82">
        <f>IFERROR(__xludf.DUMMYFUNCTION("""COMPUTED_VALUE"""),0.0)</f>
        <v>0</v>
      </c>
      <c r="AP1828" s="82">
        <f>IFERROR(__xludf.DUMMYFUNCTION("""COMPUTED_VALUE"""),1.8321790972428775)</f>
        <v>1.832179097</v>
      </c>
      <c r="AQ1828" s="82">
        <f>IFERROR(__xludf.DUMMYFUNCTION("""COMPUTED_VALUE"""),0.0)</f>
        <v>0</v>
      </c>
      <c r="AR1828" s="82">
        <f>IFERROR(__xludf.DUMMYFUNCTION("""COMPUTED_VALUE"""),0.3997283931626783)</f>
        <v>0.3997283932</v>
      </c>
      <c r="AS1828" s="82">
        <f>IFERROR(__xludf.DUMMYFUNCTION("""COMPUTED_VALUE"""),2.0)</f>
        <v>2</v>
      </c>
      <c r="AT1828" s="82">
        <f>IFERROR(__xludf.DUMMYFUNCTION("""COMPUTED_VALUE"""),0.2788691360543353)</f>
        <v>0.2788691361</v>
      </c>
      <c r="AU1828" s="82">
        <f>IFERROR(__xludf.DUMMYFUNCTION("""COMPUTED_VALUE"""),1.6847313717524126)</f>
        <v>1.684731372</v>
      </c>
      <c r="AV1828" s="82">
        <f>IFERROR(__xludf.DUMMYFUNCTION("""COMPUTED_VALUE"""),27.42152990667112)</f>
        <v>27.42152991</v>
      </c>
      <c r="AW1828" s="82">
        <f t="shared" si="1"/>
        <v>-5.457737261</v>
      </c>
      <c r="AX1828" s="83">
        <f t="array" ref="AX1828">IFERROR(DGET('SBV Import'!A:G,"SBV",{"RSC ID","Tier";B1828,A1828}))</f>
        <v>28.20409155</v>
      </c>
      <c r="AY1828" s="82">
        <f t="shared" si="2"/>
        <v>-5.217876778</v>
      </c>
      <c r="AZ1828" s="82">
        <v>0.23986048307733654</v>
      </c>
      <c r="BA1828" s="84">
        <v>1700.0</v>
      </c>
      <c r="BB1828" s="84" t="b">
        <f>IFERROR(__xludf.DUMMYFUNCTION("iferror(if(A1828="""",,E1828&gt;=FILTER(Constants!$F$2:$F$10,Constants!$A$2:$A$10=A1828)))"),TRUE)</f>
        <v>1</v>
      </c>
    </row>
    <row r="1829">
      <c r="A1829" s="89" t="str">
        <f>IFERROR(__xludf.DUMMYFUNCTION("""COMPUTED_VALUE"""),"Rival")</f>
        <v>Rival</v>
      </c>
      <c r="B1829" s="87" t="str">
        <f>IFERROR(__xludf.DUMMYFUNCTION("""COMPUTED_VALUE"""),"RSC006212")</f>
        <v>RSC006212</v>
      </c>
      <c r="C1829" s="73" t="str">
        <f>IFERROR(__xludf.DUMMYFUNCTION("""COMPUTED_VALUE"""),"Kingtutt97")</f>
        <v>Kingtutt97</v>
      </c>
      <c r="D1829" s="73" t="str">
        <f>IFERROR(__xludf.DUMMYFUNCTION("""COMPUTED_VALUE"""),"Dice")</f>
        <v>Dice</v>
      </c>
      <c r="E1829" s="82">
        <f>IFERROR(__xludf.DUMMYFUNCTION("""COMPUTED_VALUE"""),30.0)</f>
        <v>30</v>
      </c>
      <c r="F1829" s="82">
        <f>IFERROR(__xludf.DUMMYFUNCTION("""COMPUTED_VALUE"""),10.0)</f>
        <v>10</v>
      </c>
      <c r="G1829" s="86">
        <f>IFERROR(__xludf.DUMMYFUNCTION("""COMPUTED_VALUE"""),20.0)</f>
        <v>20</v>
      </c>
      <c r="H1829" s="86">
        <f>IFERROR(__xludf.DUMMYFUNCTION("""COMPUTED_VALUE"""),0.3333333333333333)</f>
        <v>0.3333333333</v>
      </c>
      <c r="I1829" s="86">
        <f>IFERROR(__xludf.DUMMYFUNCTION("""COMPUTED_VALUE"""),0.20547945205479454)</f>
        <v>0.2054794521</v>
      </c>
      <c r="J1829" s="82">
        <f>IFERROR(__xludf.DUMMYFUNCTION("""COMPUTED_VALUE"""),307.8)</f>
        <v>307.8</v>
      </c>
      <c r="K1829" s="82">
        <f>IFERROR(__xludf.DUMMYFUNCTION("""COMPUTED_VALUE"""),0.5)</f>
        <v>0.5</v>
      </c>
      <c r="L1829" s="82">
        <f>IFERROR(__xludf.DUMMYFUNCTION("""COMPUTED_VALUE"""),0.3333333333333333)</f>
        <v>0.3333333333</v>
      </c>
      <c r="M1829" s="82">
        <f>IFERROR(__xludf.DUMMYFUNCTION("""COMPUTED_VALUE"""),1.6)</f>
        <v>1.6</v>
      </c>
      <c r="N1829" s="82">
        <f>IFERROR(__xludf.DUMMYFUNCTION("""COMPUTED_VALUE"""),2.433333333333333)</f>
        <v>2.433333333</v>
      </c>
      <c r="O1829" s="82">
        <f>IFERROR(__xludf.DUMMYFUNCTION("""COMPUTED_VALUE"""),368.9777777777779)</f>
        <v>368.9777778</v>
      </c>
      <c r="P1829" s="82">
        <f>IFERROR(__xludf.DUMMYFUNCTION("""COMPUTED_VALUE"""),0.8555555555555554)</f>
        <v>0.8555555556</v>
      </c>
      <c r="Q1829" s="82">
        <f>IFERROR(__xludf.DUMMYFUNCTION("""COMPUTED_VALUE"""),0.5777777777777777)</f>
        <v>0.5777777778</v>
      </c>
      <c r="R1829" s="82">
        <f>IFERROR(__xludf.DUMMYFUNCTION("""COMPUTED_VALUE"""),1.388888888888889)</f>
        <v>1.388888889</v>
      </c>
      <c r="S1829" s="82">
        <f>IFERROR(__xludf.DUMMYFUNCTION("""COMPUTED_VALUE"""),2.900000000000001)</f>
        <v>2.9</v>
      </c>
      <c r="T1829" s="82">
        <f>IFERROR(__xludf.DUMMYFUNCTION("""COMPUTED_VALUE"""),349.70927901270113)</f>
        <v>349.709279</v>
      </c>
      <c r="U1829" s="82">
        <f>IFERROR(__xludf.DUMMYFUNCTION("""COMPUTED_VALUE"""),0.8240572646058106)</f>
        <v>0.8240572646</v>
      </c>
      <c r="V1829" s="82">
        <f>IFERROR(__xludf.DUMMYFUNCTION("""COMPUTED_VALUE"""),0.560134578382759)</f>
        <v>0.5601345784</v>
      </c>
      <c r="W1829" s="82">
        <f>IFERROR(__xludf.DUMMYFUNCTION("""COMPUTED_VALUE"""),1.3131303098314437)</f>
        <v>1.31313031</v>
      </c>
      <c r="X1829" s="82">
        <f>IFERROR(__xludf.DUMMYFUNCTION("""COMPUTED_VALUE"""),2.636740699501756)</f>
        <v>2.6367407</v>
      </c>
      <c r="Y1829" s="82">
        <f>IFERROR(__xludf.DUMMYFUNCTION("""COMPUTED_VALUE"""),345.0833889913787)</f>
        <v>345.083389</v>
      </c>
      <c r="Z1829" s="82">
        <f>IFERROR(__xludf.DUMMYFUNCTION("""COMPUTED_VALUE"""),0.7724844088043076)</f>
        <v>0.7724844088</v>
      </c>
      <c r="AA1829" s="82">
        <f>IFERROR(__xludf.DUMMYFUNCTION("""COMPUTED_VALUE"""),0.5468846993419745)</f>
        <v>0.5468846993</v>
      </c>
      <c r="AB1829" s="82">
        <f>IFERROR(__xludf.DUMMYFUNCTION("""COMPUTED_VALUE"""),1.3335670867579614)</f>
        <v>1.333567087</v>
      </c>
      <c r="AC1829" s="82">
        <f>IFERROR(__xludf.DUMMYFUNCTION("""COMPUTED_VALUE"""),2.5967241725114274)</f>
        <v>2.596724173</v>
      </c>
      <c r="AD1829" s="82">
        <f>IFERROR(__xludf.DUMMYFUNCTION("""COMPUTED_VALUE"""),0.8919583202762909)</f>
        <v>0.8919583203</v>
      </c>
      <c r="AE1829" s="82">
        <f>IFERROR(__xludf.DUMMYFUNCTION("""COMPUTED_VALUE"""),0.6472622544886395)</f>
        <v>0.6472622545</v>
      </c>
      <c r="AF1829" s="82">
        <f>IFERROR(__xludf.DUMMYFUNCTION("""COMPUTED_VALUE"""),0.6095129992380632)</f>
        <v>0.6095129992</v>
      </c>
      <c r="AG1829" s="82">
        <f>IFERROR(__xludf.DUMMYFUNCTION("""COMPUTED_VALUE"""),1.1997896587938177)</f>
        <v>1.199789659</v>
      </c>
      <c r="AH1829" s="82">
        <f>IFERROR(__xludf.DUMMYFUNCTION("""COMPUTED_VALUE"""),0.9370780921178584)</f>
        <v>0.9370780921</v>
      </c>
      <c r="AI1829" s="82">
        <f>IFERROR(__xludf.DUMMYFUNCTION("""COMPUTED_VALUE"""),1.055098620258163)</f>
        <v>1.05509862</v>
      </c>
      <c r="AJ1829" s="82">
        <f>IFERROR(__xludf.DUMMYFUNCTION("""COMPUTED_VALUE"""),1.0382234248791096)</f>
        <v>1.038223425</v>
      </c>
      <c r="AK1829" s="82">
        <f>IFERROR(__xludf.DUMMYFUNCTION("""COMPUTED_VALUE"""),1.0314981436174835)</f>
        <v>1.031498144</v>
      </c>
      <c r="AL1829" s="82">
        <f>IFERROR(__xludf.DUMMYFUNCTION("""COMPUTED_VALUE"""),1.057693115824255)</f>
        <v>1.057693116</v>
      </c>
      <c r="AM1829" s="82">
        <f>IFERROR(__xludf.DUMMYFUNCTION("""COMPUTED_VALUE"""),1.0998426961543812)</f>
        <v>1.099842696</v>
      </c>
      <c r="AN1829" s="82">
        <f>IFERROR(__xludf.DUMMYFUNCTION("""COMPUTED_VALUE"""),0.9077589694841841)</f>
        <v>0.9077589695</v>
      </c>
      <c r="AO1829" s="82">
        <f>IFERROR(__xludf.DUMMYFUNCTION("""COMPUTED_VALUE"""),0.6722779683159839)</f>
        <v>0.6722779683</v>
      </c>
      <c r="AP1829" s="82">
        <f>IFERROR(__xludf.DUMMYFUNCTION("""COMPUTED_VALUE"""),0.6107263657476258)</f>
        <v>0.6107263657</v>
      </c>
      <c r="AQ1829" s="82">
        <f>IFERROR(__xludf.DUMMYFUNCTION("""COMPUTED_VALUE"""),1.2233832272473664)</f>
        <v>1.223383227</v>
      </c>
      <c r="AR1829" s="82">
        <f>IFERROR(__xludf.DUMMYFUNCTION("""COMPUTED_VALUE"""),0.9726724233625171)</f>
        <v>0.9726724234</v>
      </c>
      <c r="AS1829" s="82">
        <f>IFERROR(__xludf.DUMMYFUNCTION("""COMPUTED_VALUE"""),53.0)</f>
        <v>53</v>
      </c>
      <c r="AT1829" s="82">
        <f>IFERROR(__xludf.DUMMYFUNCTION("""COMPUTED_VALUE"""),0.3614790958430867)</f>
        <v>0.3614790958</v>
      </c>
      <c r="AU1829" s="82">
        <f>IFERROR(__xludf.DUMMYFUNCTION("""COMPUTED_VALUE"""),1.6721230967690606)</f>
        <v>1.672123097</v>
      </c>
      <c r="AV1829" s="82">
        <f>IFERROR(__xludf.DUMMYFUNCTION("""COMPUTED_VALUE"""),27.060555310195166)</f>
        <v>27.06055531</v>
      </c>
      <c r="AW1829" s="82">
        <f t="shared" si="1"/>
        <v>-5.573515416</v>
      </c>
      <c r="AX1829" s="83">
        <f t="array" ref="AX1829">IFERROR(DGET('SBV Import'!A:G,"SBV",{"RSC ID","Tier";B1829,A1829}))</f>
        <v>29.14852671</v>
      </c>
      <c r="AY1829" s="82">
        <f t="shared" si="2"/>
        <v>-4.947460736</v>
      </c>
      <c r="AZ1829" s="82">
        <v>0.6260546795263</v>
      </c>
      <c r="BA1829" s="84">
        <v>1700.0</v>
      </c>
      <c r="BB1829" s="84" t="b">
        <f>IFERROR(__xludf.DUMMYFUNCTION("iferror(if(A1829="""",,E1829&gt;=FILTER(Constants!$F$2:$F$10,Constants!$A$2:$A$10=A1829)))"),TRUE)</f>
        <v>1</v>
      </c>
    </row>
    <row r="1830">
      <c r="A1830" s="89" t="str">
        <f>IFERROR(__xludf.DUMMYFUNCTION("""COMPUTED_VALUE"""),"Rival")</f>
        <v>Rival</v>
      </c>
      <c r="B1830" s="87" t="str">
        <f>IFERROR(__xludf.DUMMYFUNCTION("""COMPUTED_VALUE"""),"RSC004845")</f>
        <v>RSC004845</v>
      </c>
      <c r="C1830" s="73" t="str">
        <f>IFERROR(__xludf.DUMMYFUNCTION("""COMPUTED_VALUE"""),"BinBoiz_")</f>
        <v>BinBoiz_</v>
      </c>
      <c r="D1830" s="73"/>
      <c r="E1830" s="82">
        <f>IFERROR(__xludf.DUMMYFUNCTION("""COMPUTED_VALUE"""),41.0)</f>
        <v>41</v>
      </c>
      <c r="F1830" s="82">
        <f>IFERROR(__xludf.DUMMYFUNCTION("""COMPUTED_VALUE"""),16.0)</f>
        <v>16</v>
      </c>
      <c r="G1830" s="86">
        <f>IFERROR(__xludf.DUMMYFUNCTION("""COMPUTED_VALUE"""),25.0)</f>
        <v>25</v>
      </c>
      <c r="H1830" s="86">
        <f>IFERROR(__xludf.DUMMYFUNCTION("""COMPUTED_VALUE"""),0.3902439024390244)</f>
        <v>0.3902439024</v>
      </c>
      <c r="I1830" s="86">
        <f>IFERROR(__xludf.DUMMYFUNCTION("""COMPUTED_VALUE"""),0.29870129870129875)</f>
        <v>0.2987012987</v>
      </c>
      <c r="J1830" s="82">
        <f>IFERROR(__xludf.DUMMYFUNCTION("""COMPUTED_VALUE"""),242.2439024390244)</f>
        <v>242.2439024</v>
      </c>
      <c r="K1830" s="82">
        <f>IFERROR(__xludf.DUMMYFUNCTION("""COMPUTED_VALUE"""),0.5609756097560976)</f>
        <v>0.5609756098</v>
      </c>
      <c r="L1830" s="82">
        <f>IFERROR(__xludf.DUMMYFUNCTION("""COMPUTED_VALUE"""),0.4146341463414634)</f>
        <v>0.4146341463</v>
      </c>
      <c r="M1830" s="82">
        <f>IFERROR(__xludf.DUMMYFUNCTION("""COMPUTED_VALUE"""),0.7317073170731707)</f>
        <v>0.7317073171</v>
      </c>
      <c r="N1830" s="82">
        <f>IFERROR(__xludf.DUMMYFUNCTION("""COMPUTED_VALUE"""),1.8780487804878048)</f>
        <v>1.87804878</v>
      </c>
      <c r="O1830" s="82">
        <f>IFERROR(__xludf.DUMMYFUNCTION("""COMPUTED_VALUE"""),327.2845528455285)</f>
        <v>327.2845528</v>
      </c>
      <c r="P1830" s="82">
        <f>IFERROR(__xludf.DUMMYFUNCTION("""COMPUTED_VALUE"""),0.7235772357723576)</f>
        <v>0.7235772358</v>
      </c>
      <c r="Q1830" s="82">
        <f>IFERROR(__xludf.DUMMYFUNCTION("""COMPUTED_VALUE"""),0.5447154471544714)</f>
        <v>0.5447154472</v>
      </c>
      <c r="R1830" s="82">
        <f>IFERROR(__xludf.DUMMYFUNCTION("""COMPUTED_VALUE"""),1.2195121951219512)</f>
        <v>1.219512195</v>
      </c>
      <c r="S1830" s="82">
        <f>IFERROR(__xludf.DUMMYFUNCTION("""COMPUTED_VALUE"""),2.5203252032520322)</f>
        <v>2.520325203</v>
      </c>
      <c r="T1830" s="82">
        <f>IFERROR(__xludf.DUMMYFUNCTION("""COMPUTED_VALUE"""),349.9351538118441)</f>
        <v>349.9351538</v>
      </c>
      <c r="U1830" s="82">
        <f>IFERROR(__xludf.DUMMYFUNCTION("""COMPUTED_VALUE"""),0.8023072874392847)</f>
        <v>0.8023072874</v>
      </c>
      <c r="V1830" s="82">
        <f>IFERROR(__xludf.DUMMYFUNCTION("""COMPUTED_VALUE"""),0.5691065416683349)</f>
        <v>0.5691065417</v>
      </c>
      <c r="W1830" s="82">
        <f>IFERROR(__xludf.DUMMYFUNCTION("""COMPUTED_VALUE"""),1.3162356626239282)</f>
        <v>1.316235663</v>
      </c>
      <c r="X1830" s="82">
        <f>IFERROR(__xludf.DUMMYFUNCTION("""COMPUTED_VALUE"""),2.60102337971088)</f>
        <v>2.60102338</v>
      </c>
      <c r="Y1830" s="82">
        <f>IFERROR(__xludf.DUMMYFUNCTION("""COMPUTED_VALUE"""),346.95367409016285)</f>
        <v>346.9536741</v>
      </c>
      <c r="Z1830" s="82">
        <f>IFERROR(__xludf.DUMMYFUNCTION("""COMPUTED_VALUE"""),0.7601635101977807)</f>
        <v>0.7601635102</v>
      </c>
      <c r="AA1830" s="82">
        <f>IFERROR(__xludf.DUMMYFUNCTION("""COMPUTED_VALUE"""),0.5490791935663131)</f>
        <v>0.5490791936</v>
      </c>
      <c r="AB1830" s="82">
        <f>IFERROR(__xludf.DUMMYFUNCTION("""COMPUTED_VALUE"""),1.3551294787037182)</f>
        <v>1.355129479</v>
      </c>
      <c r="AC1830" s="82">
        <f>IFERROR(__xludf.DUMMYFUNCTION("""COMPUTED_VALUE"""),2.5582000140863426)</f>
        <v>2.558200014</v>
      </c>
      <c r="AD1830" s="82">
        <f>IFERROR(__xludf.DUMMYFUNCTION("""COMPUTED_VALUE"""),0.698202441793634)</f>
        <v>0.6982024418</v>
      </c>
      <c r="AE1830" s="82">
        <f>IFERROR(__xludf.DUMMYFUNCTION("""COMPUTED_VALUE"""),0.7379670323956249)</f>
        <v>0.7379670324</v>
      </c>
      <c r="AF1830" s="82">
        <f>IFERROR(__xludf.DUMMYFUNCTION("""COMPUTED_VALUE"""),0.7551445241411928)</f>
        <v>0.7551445241</v>
      </c>
      <c r="AG1830" s="82">
        <f>IFERROR(__xludf.DUMMYFUNCTION("""COMPUTED_VALUE"""),0.5399538040992976)</f>
        <v>0.5399538041</v>
      </c>
      <c r="AH1830" s="82">
        <f>IFERROR(__xludf.DUMMYFUNCTION("""COMPUTED_VALUE"""),0.7341289852812963)</f>
        <v>0.7341289853</v>
      </c>
      <c r="AI1830" s="82">
        <f>IFERROR(__xludf.DUMMYFUNCTION("""COMPUTED_VALUE"""),0.9352720047712195)</f>
        <v>0.9352720048</v>
      </c>
      <c r="AJ1830" s="82">
        <f>IFERROR(__xludf.DUMMYFUNCTION("""COMPUTED_VALUE"""),0.9018704517589402)</f>
        <v>0.9018704518</v>
      </c>
      <c r="AK1830" s="82">
        <f>IFERROR(__xludf.DUMMYFUNCTION("""COMPUTED_VALUE"""),0.9571414265554548)</f>
        <v>0.9571414266</v>
      </c>
      <c r="AL1830" s="82">
        <f>IFERROR(__xludf.DUMMYFUNCTION("""COMPUTED_VALUE"""),0.9265150836977339)</f>
        <v>0.9265150837</v>
      </c>
      <c r="AM1830" s="82">
        <f>IFERROR(__xludf.DUMMYFUNCTION("""COMPUTED_VALUE"""),0.9689744517145332)</f>
        <v>0.9689744517</v>
      </c>
      <c r="AN1830" s="82">
        <f>IFERROR(__xludf.DUMMYFUNCTION("""COMPUTED_VALUE"""),0.7144219468546978)</f>
        <v>0.7144219469</v>
      </c>
      <c r="AO1830" s="82">
        <f>IFERROR(__xludf.DUMMYFUNCTION("""COMPUTED_VALUE"""),0.754263086403299)</f>
        <v>0.7542630864</v>
      </c>
      <c r="AP1830" s="82">
        <f>IFERROR(__xludf.DUMMYFUNCTION("""COMPUTED_VALUE"""),0.7596840159299736)</f>
        <v>0.7596840159</v>
      </c>
      <c r="AQ1830" s="82">
        <f>IFERROR(__xludf.DUMMYFUNCTION("""COMPUTED_VALUE"""),0.5594740368509297)</f>
        <v>0.5594740369</v>
      </c>
      <c r="AR1830" s="82">
        <f>IFERROR(__xludf.DUMMYFUNCTION("""COMPUTED_VALUE"""),0.7507094213055178)</f>
        <v>0.7507094213</v>
      </c>
      <c r="AS1830" s="82">
        <f>IFERROR(__xludf.DUMMYFUNCTION("""COMPUTED_VALUE"""),79.0)</f>
        <v>79</v>
      </c>
      <c r="AT1830" s="82">
        <f>IFERROR(__xludf.DUMMYFUNCTION("""COMPUTED_VALUE"""),0.4554532363844056)</f>
        <v>0.4554532364</v>
      </c>
      <c r="AU1830" s="82">
        <f>IFERROR(__xludf.DUMMYFUNCTION("""COMPUTED_VALUE"""),1.6421201523933604)</f>
        <v>1.642120152</v>
      </c>
      <c r="AV1830" s="82">
        <f>IFERROR(__xludf.DUMMYFUNCTION("""COMPUTED_VALUE"""),26.201571765387563)</f>
        <v>26.20157177</v>
      </c>
      <c r="AW1830" s="82">
        <f t="shared" si="1"/>
        <v>-5.862886987</v>
      </c>
      <c r="AX1830" s="83">
        <f t="array" ref="AX1830">IFERROR(DGET('SBV Import'!A:G,"SBV",{"RSC ID","Tier";B1830,A1830}))</f>
        <v>15.14502055</v>
      </c>
      <c r="AY1830" s="82">
        <f t="shared" si="2"/>
        <v>-12.25058827</v>
      </c>
      <c r="AZ1830" s="82">
        <v>6.387701288226956</v>
      </c>
      <c r="BA1830" s="84">
        <v>1700.0</v>
      </c>
      <c r="BB1830" s="84" t="b">
        <f>IFERROR(__xludf.DUMMYFUNCTION("iferror(if(A1830="""",,E1830&gt;=FILTER(Constants!$F$2:$F$10,Constants!$A$2:$A$10=A1830)))"),TRUE)</f>
        <v>1</v>
      </c>
    </row>
    <row r="1831">
      <c r="A1831" s="89" t="str">
        <f>IFERROR(__xludf.DUMMYFUNCTION("""COMPUTED_VALUE"""),"Rival")</f>
        <v>Rival</v>
      </c>
      <c r="B1831" s="87" t="str">
        <f>IFERROR(__xludf.DUMMYFUNCTION("""COMPUTED_VALUE"""),"RSC007861")</f>
        <v>RSC007861</v>
      </c>
      <c r="C1831" s="73" t="str">
        <f>IFERROR(__xludf.DUMMYFUNCTION("""COMPUTED_VALUE"""),"xmanyaknow")</f>
        <v>xmanyaknow</v>
      </c>
      <c r="D1831" s="73" t="str">
        <f>IFERROR(__xludf.DUMMYFUNCTION("""COMPUTED_VALUE"""),"Phantoms")</f>
        <v>Phantoms</v>
      </c>
      <c r="E1831" s="82">
        <f>IFERROR(__xludf.DUMMYFUNCTION("""COMPUTED_VALUE"""),31.0)</f>
        <v>31</v>
      </c>
      <c r="F1831" s="82">
        <f>IFERROR(__xludf.DUMMYFUNCTION("""COMPUTED_VALUE"""),10.0)</f>
        <v>10</v>
      </c>
      <c r="G1831" s="86">
        <f>IFERROR(__xludf.DUMMYFUNCTION("""COMPUTED_VALUE"""),21.0)</f>
        <v>21</v>
      </c>
      <c r="H1831" s="86">
        <f>IFERROR(__xludf.DUMMYFUNCTION("""COMPUTED_VALUE"""),0.3225806451612903)</f>
        <v>0.3225806452</v>
      </c>
      <c r="I1831" s="86">
        <f>IFERROR(__xludf.DUMMYFUNCTION("""COMPUTED_VALUE"""),0.19480519480519481)</f>
        <v>0.1948051948</v>
      </c>
      <c r="J1831" s="82">
        <f>IFERROR(__xludf.DUMMYFUNCTION("""COMPUTED_VALUE"""),308.06451612903226)</f>
        <v>308.0645161</v>
      </c>
      <c r="K1831" s="82">
        <f>IFERROR(__xludf.DUMMYFUNCTION("""COMPUTED_VALUE"""),0.4838709677419355)</f>
        <v>0.4838709677</v>
      </c>
      <c r="L1831" s="82">
        <f>IFERROR(__xludf.DUMMYFUNCTION("""COMPUTED_VALUE"""),0.3870967741935484)</f>
        <v>0.3870967742</v>
      </c>
      <c r="M1831" s="82">
        <f>IFERROR(__xludf.DUMMYFUNCTION("""COMPUTED_VALUE"""),1.4516129032258065)</f>
        <v>1.451612903</v>
      </c>
      <c r="N1831" s="82">
        <f>IFERROR(__xludf.DUMMYFUNCTION("""COMPUTED_VALUE"""),2.4838709677419355)</f>
        <v>2.483870968</v>
      </c>
      <c r="O1831" s="82">
        <f>IFERROR(__xludf.DUMMYFUNCTION("""COMPUTED_VALUE"""),373.13978494623655)</f>
        <v>373.1397849</v>
      </c>
      <c r="P1831" s="82">
        <f>IFERROR(__xludf.DUMMYFUNCTION("""COMPUTED_VALUE"""),1.0000000000000002)</f>
        <v>1</v>
      </c>
      <c r="Q1831" s="82">
        <f>IFERROR(__xludf.DUMMYFUNCTION("""COMPUTED_VALUE"""),0.7419354838709676)</f>
        <v>0.7419354839</v>
      </c>
      <c r="R1831" s="82">
        <f>IFERROR(__xludf.DUMMYFUNCTION("""COMPUTED_VALUE"""),1.2365591397849458)</f>
        <v>1.23655914</v>
      </c>
      <c r="S1831" s="82">
        <f>IFERROR(__xludf.DUMMYFUNCTION("""COMPUTED_VALUE"""),2.7311827956989245)</f>
        <v>2.731182796</v>
      </c>
      <c r="T1831" s="82">
        <f>IFERROR(__xludf.DUMMYFUNCTION("""COMPUTED_VALUE"""),356.94046741349126)</f>
        <v>356.9404674</v>
      </c>
      <c r="U1831" s="82">
        <f>IFERROR(__xludf.DUMMYFUNCTION("""COMPUTED_VALUE"""),0.827160783238393)</f>
        <v>0.8271607832</v>
      </c>
      <c r="V1831" s="82">
        <f>IFERROR(__xludf.DUMMYFUNCTION("""COMPUTED_VALUE"""),0.5650524810279968)</f>
        <v>0.565052481</v>
      </c>
      <c r="W1831" s="82">
        <f>IFERROR(__xludf.DUMMYFUNCTION("""COMPUTED_VALUE"""),1.3706523251554181)</f>
        <v>1.370652325</v>
      </c>
      <c r="X1831" s="82">
        <f>IFERROR(__xludf.DUMMYFUNCTION("""COMPUTED_VALUE"""),2.544198655174465)</f>
        <v>2.544198655</v>
      </c>
      <c r="Y1831" s="82">
        <f>IFERROR(__xludf.DUMMYFUNCTION("""COMPUTED_VALUE"""),341.27590995511025)</f>
        <v>341.27591</v>
      </c>
      <c r="Z1831" s="82">
        <f>IFERROR(__xludf.DUMMYFUNCTION("""COMPUTED_VALUE"""),0.7622401934534766)</f>
        <v>0.7622401935</v>
      </c>
      <c r="AA1831" s="82">
        <f>IFERROR(__xludf.DUMMYFUNCTION("""COMPUTED_VALUE"""),0.5407212806767273)</f>
        <v>0.5407212807</v>
      </c>
      <c r="AB1831" s="82">
        <f>IFERROR(__xludf.DUMMYFUNCTION("""COMPUTED_VALUE"""),1.2671615927150564)</f>
        <v>1.267161593</v>
      </c>
      <c r="AC1831" s="82">
        <f>IFERROR(__xludf.DUMMYFUNCTION("""COMPUTED_VALUE"""),2.5688553460660453)</f>
        <v>2.568855346</v>
      </c>
      <c r="AD1831" s="82">
        <f>IFERROR(__xludf.DUMMYFUNCTION("""COMPUTED_VALUE"""),0.9026846230358115)</f>
        <v>0.902684623</v>
      </c>
      <c r="AE1831" s="82">
        <f>IFERROR(__xludf.DUMMYFUNCTION("""COMPUTED_VALUE"""),0.634801171464948)</f>
        <v>0.6348011715</v>
      </c>
      <c r="AF1831" s="82">
        <f>IFERROR(__xludf.DUMMYFUNCTION("""COMPUTED_VALUE"""),0.7158896607677181)</f>
        <v>0.7158896608</v>
      </c>
      <c r="AG1831" s="82">
        <f>IFERROR(__xludf.DUMMYFUNCTION("""COMPUTED_VALUE"""),1.1455625798407758)</f>
        <v>1.14556258</v>
      </c>
      <c r="AH1831" s="82">
        <f>IFERROR(__xludf.DUMMYFUNCTION("""COMPUTED_VALUE"""),0.9669174138379356)</f>
        <v>0.9669174138</v>
      </c>
      <c r="AI1831" s="82">
        <f>IFERROR(__xludf.DUMMYFUNCTION("""COMPUTED_VALUE"""),1.0453838076980482)</f>
        <v>1.045383808</v>
      </c>
      <c r="AJ1831" s="82">
        <f>IFERROR(__xludf.DUMMYFUNCTION("""COMPUTED_VALUE"""),1.2089548008851791)</f>
        <v>1.208954801</v>
      </c>
      <c r="AK1831" s="82">
        <f>IFERROR(__xludf.DUMMYFUNCTION("""COMPUTED_VALUE"""),1.3130381845614918)</f>
        <v>1.313038185</v>
      </c>
      <c r="AL1831" s="82">
        <f>IFERROR(__xludf.DUMMYFUNCTION("""COMPUTED_VALUE"""),0.9021683450212165)</f>
        <v>0.902168345</v>
      </c>
      <c r="AM1831" s="82">
        <f>IFERROR(__xludf.DUMMYFUNCTION("""COMPUTED_VALUE"""),1.0734943162335873)</f>
        <v>1.073494316</v>
      </c>
      <c r="AN1831" s="82">
        <f>IFERROR(__xludf.DUMMYFUNCTION("""COMPUTED_VALUE"""),0.9085390763350686)</f>
        <v>0.9085390763</v>
      </c>
      <c r="AO1831" s="82">
        <f>IFERROR(__xludf.DUMMYFUNCTION("""COMPUTED_VALUE"""),0.6505915822412747)</f>
        <v>0.6505915822</v>
      </c>
      <c r="AP1831" s="82">
        <f>IFERROR(__xludf.DUMMYFUNCTION("""COMPUTED_VALUE"""),0.7092306182875655)</f>
        <v>0.7092306183</v>
      </c>
      <c r="AQ1831" s="82">
        <f>IFERROR(__xludf.DUMMYFUNCTION("""COMPUTED_VALUE"""),1.1099242989139413)</f>
        <v>1.109924299</v>
      </c>
      <c r="AR1831" s="82">
        <f>IFERROR(__xludf.DUMMYFUNCTION("""COMPUTED_VALUE"""),0.9928737507589106)</f>
        <v>0.9928737508</v>
      </c>
      <c r="AS1831" s="82">
        <f>IFERROR(__xludf.DUMMYFUNCTION("""COMPUTED_VALUE"""),55.0)</f>
        <v>55</v>
      </c>
      <c r="AT1831" s="82">
        <f>IFERROR(__xludf.DUMMYFUNCTION("""COMPUTED_VALUE"""),0.3051979138966453)</f>
        <v>0.3051979139</v>
      </c>
      <c r="AU1831" s="82">
        <f>IFERROR(__xludf.DUMMYFUNCTION("""COMPUTED_VALUE"""),1.618202358159695)</f>
        <v>1.618202358</v>
      </c>
      <c r="AV1831" s="82">
        <f>IFERROR(__xludf.DUMMYFUNCTION("""COMPUTED_VALUE"""),25.516805916491332)</f>
        <v>25.51680592</v>
      </c>
      <c r="AW1831" s="82">
        <f t="shared" si="1"/>
        <v>-6.108398602</v>
      </c>
      <c r="AX1831" s="83">
        <f t="array" ref="AX1831">IFERROR(DGET('SBV Import'!A:G,"SBV",{"RSC ID","Tier";B1831,A1831}))</f>
        <v>35.95272655</v>
      </c>
      <c r="AY1831" s="82">
        <f t="shared" si="2"/>
        <v>-3.483165602</v>
      </c>
      <c r="AZ1831" s="82">
        <v>2.625232999802914</v>
      </c>
      <c r="BA1831" s="84">
        <v>1700.0</v>
      </c>
      <c r="BB1831" s="84" t="b">
        <f>IFERROR(__xludf.DUMMYFUNCTION("iferror(if(A1831="""",,E1831&gt;=FILTER(Constants!$F$2:$F$10,Constants!$A$2:$A$10=A1831)))"),TRUE)</f>
        <v>1</v>
      </c>
    </row>
    <row r="1832">
      <c r="A1832" s="89" t="str">
        <f>IFERROR(__xludf.DUMMYFUNCTION("""COMPUTED_VALUE"""),"Rival")</f>
        <v>Rival</v>
      </c>
      <c r="B1832" s="87" t="str">
        <f>IFERROR(__xludf.DUMMYFUNCTION("""COMPUTED_VALUE"""),"RSC001015")</f>
        <v>RSC001015</v>
      </c>
      <c r="C1832" s="73" t="str">
        <f>IFERROR(__xludf.DUMMYFUNCTION("""COMPUTED_VALUE"""),"LatFips")</f>
        <v>LatFips</v>
      </c>
      <c r="D1832" s="73" t="str">
        <f>IFERROR(__xludf.DUMMYFUNCTION("""COMPUTED_VALUE"""),"Heavy Metal")</f>
        <v>Heavy Metal</v>
      </c>
      <c r="E1832" s="82">
        <f>IFERROR(__xludf.DUMMYFUNCTION("""COMPUTED_VALUE"""),40.0)</f>
        <v>40</v>
      </c>
      <c r="F1832" s="82">
        <f>IFERROR(__xludf.DUMMYFUNCTION("""COMPUTED_VALUE"""),19.0)</f>
        <v>19</v>
      </c>
      <c r="G1832" s="86">
        <f>IFERROR(__xludf.DUMMYFUNCTION("""COMPUTED_VALUE"""),21.0)</f>
        <v>21</v>
      </c>
      <c r="H1832" s="86">
        <f>IFERROR(__xludf.DUMMYFUNCTION("""COMPUTED_VALUE"""),0.475)</f>
        <v>0.475</v>
      </c>
      <c r="I1832" s="86">
        <f>IFERROR(__xludf.DUMMYFUNCTION("""COMPUTED_VALUE"""),0.22784810126582278)</f>
        <v>0.2278481013</v>
      </c>
      <c r="J1832" s="82">
        <f>IFERROR(__xludf.DUMMYFUNCTION("""COMPUTED_VALUE"""),289.6)</f>
        <v>289.6</v>
      </c>
      <c r="K1832" s="82">
        <f>IFERROR(__xludf.DUMMYFUNCTION("""COMPUTED_VALUE"""),0.45)</f>
        <v>0.45</v>
      </c>
      <c r="L1832" s="82">
        <f>IFERROR(__xludf.DUMMYFUNCTION("""COMPUTED_VALUE"""),0.525)</f>
        <v>0.525</v>
      </c>
      <c r="M1832" s="82">
        <f>IFERROR(__xludf.DUMMYFUNCTION("""COMPUTED_VALUE"""),1.075)</f>
        <v>1.075</v>
      </c>
      <c r="N1832" s="82">
        <f>IFERROR(__xludf.DUMMYFUNCTION("""COMPUTED_VALUE"""),1.975)</f>
        <v>1.975</v>
      </c>
      <c r="O1832" s="82">
        <f>IFERROR(__xludf.DUMMYFUNCTION("""COMPUTED_VALUE"""),357.1416666666667)</f>
        <v>357.1416667</v>
      </c>
      <c r="P1832" s="82">
        <f>IFERROR(__xludf.DUMMYFUNCTION("""COMPUTED_VALUE"""),0.85)</f>
        <v>0.85</v>
      </c>
      <c r="Q1832" s="82">
        <f>IFERROR(__xludf.DUMMYFUNCTION("""COMPUTED_VALUE"""),0.6333333333333333)</f>
        <v>0.6333333333</v>
      </c>
      <c r="R1832" s="82">
        <f>IFERROR(__xludf.DUMMYFUNCTION("""COMPUTED_VALUE"""),1.325)</f>
        <v>1.325</v>
      </c>
      <c r="S1832" s="82">
        <f>IFERROR(__xludf.DUMMYFUNCTION("""COMPUTED_VALUE"""),2.425)</f>
        <v>2.425</v>
      </c>
      <c r="T1832" s="82">
        <f>IFERROR(__xludf.DUMMYFUNCTION("""COMPUTED_VALUE"""),345.11697952894093)</f>
        <v>345.1169795</v>
      </c>
      <c r="U1832" s="82">
        <f>IFERROR(__xludf.DUMMYFUNCTION("""COMPUTED_VALUE"""),0.7909889232922823)</f>
        <v>0.7909889233</v>
      </c>
      <c r="V1832" s="82">
        <f>IFERROR(__xludf.DUMMYFUNCTION("""COMPUTED_VALUE"""),0.5592768179008362)</f>
        <v>0.5592768179</v>
      </c>
      <c r="W1832" s="82">
        <f>IFERROR(__xludf.DUMMYFUNCTION("""COMPUTED_VALUE"""),1.3007617700752163)</f>
        <v>1.30076177</v>
      </c>
      <c r="X1832" s="82">
        <f>IFERROR(__xludf.DUMMYFUNCTION("""COMPUTED_VALUE"""),2.425397552582711)</f>
        <v>2.425397553</v>
      </c>
      <c r="Y1832" s="82">
        <f>IFERROR(__xludf.DUMMYFUNCTION("""COMPUTED_VALUE"""),346.727705333909)</f>
        <v>346.7277053</v>
      </c>
      <c r="Z1832" s="82">
        <f>IFERROR(__xludf.DUMMYFUNCTION("""COMPUTED_VALUE"""),0.8033932989372904)</f>
        <v>0.8033932989</v>
      </c>
      <c r="AA1832" s="82">
        <f>IFERROR(__xludf.DUMMYFUNCTION("""COMPUTED_VALUE"""),0.5786636700742196)</f>
        <v>0.5786636701</v>
      </c>
      <c r="AB1832" s="82">
        <f>IFERROR(__xludf.DUMMYFUNCTION("""COMPUTED_VALUE"""),1.2323585534005495)</f>
        <v>1.232358553</v>
      </c>
      <c r="AC1832" s="82">
        <f>IFERROR(__xludf.DUMMYFUNCTION("""COMPUTED_VALUE"""),2.587025671841382)</f>
        <v>2.587025672</v>
      </c>
      <c r="AD1832" s="82">
        <f>IFERROR(__xludf.DUMMYFUNCTION("""COMPUTED_VALUE"""),0.8352375525373915)</f>
        <v>0.8352375525</v>
      </c>
      <c r="AE1832" s="82">
        <f>IFERROR(__xludf.DUMMYFUNCTION("""COMPUTED_VALUE"""),0.560124164086568)</f>
        <v>0.5601241641</v>
      </c>
      <c r="AF1832" s="82">
        <f>IFERROR(__xludf.DUMMYFUNCTION("""COMPUTED_VALUE"""),0.9072627627247851)</f>
        <v>0.9072627627</v>
      </c>
      <c r="AG1832" s="82">
        <f>IFERROR(__xludf.DUMMYFUNCTION("""COMPUTED_VALUE"""),0.8723110632320951)</f>
        <v>0.8723110632</v>
      </c>
      <c r="AH1832" s="82">
        <f>IFERROR(__xludf.DUMMYFUNCTION("""COMPUTED_VALUE"""),0.7634249715791351)</f>
        <v>0.7634249716</v>
      </c>
      <c r="AI1832" s="82">
        <f>IFERROR(__xludf.DUMMYFUNCTION("""COMPUTED_VALUE"""),1.0348423515821754)</f>
        <v>1.034842352</v>
      </c>
      <c r="AJ1832" s="82">
        <f>IFERROR(__xludf.DUMMYFUNCTION("""COMPUTED_VALUE"""),1.074604175823474)</f>
        <v>1.074604176</v>
      </c>
      <c r="AK1832" s="82">
        <f>IFERROR(__xludf.DUMMYFUNCTION("""COMPUTED_VALUE"""),1.1324147775522995)</f>
        <v>1.132414778</v>
      </c>
      <c r="AL1832" s="82">
        <f>IFERROR(__xludf.DUMMYFUNCTION("""COMPUTED_VALUE"""),1.0186338732290556)</f>
        <v>1.018633873</v>
      </c>
      <c r="AM1832" s="82">
        <f>IFERROR(__xludf.DUMMYFUNCTION("""COMPUTED_VALUE"""),0.9998360876622936)</f>
        <v>0.9998360877</v>
      </c>
      <c r="AN1832" s="82">
        <f>IFERROR(__xludf.DUMMYFUNCTION("""COMPUTED_VALUE"""),0.8540838127440536)</f>
        <v>0.8540838127</v>
      </c>
      <c r="AO1832" s="82">
        <f>IFERROR(__xludf.DUMMYFUNCTION("""COMPUTED_VALUE"""),0.6050501714843854)</f>
        <v>0.6050501715</v>
      </c>
      <c r="AP1832" s="82">
        <f>IFERROR(__xludf.DUMMYFUNCTION("""COMPUTED_VALUE"""),0.9618940260525107)</f>
        <v>0.9618940261</v>
      </c>
      <c r="AQ1832" s="82">
        <f>IFERROR(__xludf.DUMMYFUNCTION("""COMPUTED_VALUE"""),0.8219606058068242)</f>
        <v>0.8219606058</v>
      </c>
      <c r="AR1832" s="82">
        <f>IFERROR(__xludf.DUMMYFUNCTION("""COMPUTED_VALUE"""),0.7894635764962897)</f>
        <v>0.7894635765</v>
      </c>
      <c r="AS1832" s="82">
        <f>IFERROR(__xludf.DUMMYFUNCTION("""COMPUTED_VALUE"""),90.0)</f>
        <v>90</v>
      </c>
      <c r="AT1832" s="82">
        <f>IFERROR(__xludf.DUMMYFUNCTION("""COMPUTED_VALUE"""),0.45107387883529837)</f>
        <v>0.4510738788</v>
      </c>
      <c r="AU1832" s="82">
        <f>IFERROR(__xludf.DUMMYFUNCTION("""COMPUTED_VALUE"""),1.608405659430905)</f>
        <v>1.608405659</v>
      </c>
      <c r="AV1832" s="82">
        <f>IFERROR(__xludf.DUMMYFUNCTION("""COMPUTED_VALUE"""),25.236326677650904)</f>
        <v>25.23632668</v>
      </c>
      <c r="AW1832" s="82">
        <f t="shared" si="1"/>
        <v>-6.212977235</v>
      </c>
      <c r="AX1832" s="83">
        <f t="array" ref="AX1832">IFERROR(DGET('SBV Import'!A:G,"SBV",{"RSC ID","Tier";B1832,A1832}))</f>
        <v>31.40896762</v>
      </c>
      <c r="AY1832" s="82">
        <f t="shared" si="2"/>
        <v>-4.375472285</v>
      </c>
      <c r="AZ1832" s="82">
        <v>1.8375049496837876</v>
      </c>
      <c r="BA1832" s="84">
        <v>1700.0</v>
      </c>
      <c r="BB1832" s="84" t="b">
        <f>IFERROR(__xludf.DUMMYFUNCTION("iferror(if(A1832="""",,E1832&gt;=FILTER(Constants!$F$2:$F$10,Constants!$A$2:$A$10=A1832)))"),TRUE)</f>
        <v>1</v>
      </c>
    </row>
    <row r="1833">
      <c r="A1833" s="89" t="str">
        <f>IFERROR(__xludf.DUMMYFUNCTION("""COMPUTED_VALUE"""),"Rival")</f>
        <v>Rival</v>
      </c>
      <c r="B1833" s="87" t="str">
        <f>IFERROR(__xludf.DUMMYFUNCTION("""COMPUTED_VALUE"""),"RSC005628")</f>
        <v>RSC005628</v>
      </c>
      <c r="C1833" s="73" t="str">
        <f>IFERROR(__xludf.DUMMYFUNCTION("""COMPUTED_VALUE"""),"I love sand")</f>
        <v>I love sand</v>
      </c>
      <c r="D1833" s="73" t="str">
        <f>IFERROR(__xludf.DUMMYFUNCTION("""COMPUTED_VALUE"""),"Tyrants")</f>
        <v>Tyrants</v>
      </c>
      <c r="E1833" s="82">
        <f>IFERROR(__xludf.DUMMYFUNCTION("""COMPUTED_VALUE"""),26.0)</f>
        <v>26</v>
      </c>
      <c r="F1833" s="82">
        <f>IFERROR(__xludf.DUMMYFUNCTION("""COMPUTED_VALUE"""),12.0)</f>
        <v>12</v>
      </c>
      <c r="G1833" s="86">
        <f>IFERROR(__xludf.DUMMYFUNCTION("""COMPUTED_VALUE"""),14.0)</f>
        <v>14</v>
      </c>
      <c r="H1833" s="86">
        <f>IFERROR(__xludf.DUMMYFUNCTION("""COMPUTED_VALUE"""),0.46153846153846156)</f>
        <v>0.4615384615</v>
      </c>
      <c r="I1833" s="86">
        <f>IFERROR(__xludf.DUMMYFUNCTION("""COMPUTED_VALUE"""),0.18518518518518517)</f>
        <v>0.1851851852</v>
      </c>
      <c r="J1833" s="82">
        <f>IFERROR(__xludf.DUMMYFUNCTION("""COMPUTED_VALUE"""),296.5)</f>
        <v>296.5</v>
      </c>
      <c r="K1833" s="82">
        <f>IFERROR(__xludf.DUMMYFUNCTION("""COMPUTED_VALUE"""),0.38461538461538464)</f>
        <v>0.3846153846</v>
      </c>
      <c r="L1833" s="82">
        <f>IFERROR(__xludf.DUMMYFUNCTION("""COMPUTED_VALUE"""),0.46153846153846156)</f>
        <v>0.4615384615</v>
      </c>
      <c r="M1833" s="82">
        <f>IFERROR(__xludf.DUMMYFUNCTION("""COMPUTED_VALUE"""),1.1153846153846154)</f>
        <v>1.115384615</v>
      </c>
      <c r="N1833" s="82">
        <f>IFERROR(__xludf.DUMMYFUNCTION("""COMPUTED_VALUE"""),2.076923076923077)</f>
        <v>2.076923077</v>
      </c>
      <c r="O1833" s="82">
        <f>IFERROR(__xludf.DUMMYFUNCTION("""COMPUTED_VALUE"""),338.2435897435898)</f>
        <v>338.2435897</v>
      </c>
      <c r="P1833" s="82">
        <f>IFERROR(__xludf.DUMMYFUNCTION("""COMPUTED_VALUE"""),0.7564102564102565)</f>
        <v>0.7564102564</v>
      </c>
      <c r="Q1833" s="82">
        <f>IFERROR(__xludf.DUMMYFUNCTION("""COMPUTED_VALUE"""),0.5897435897435896)</f>
        <v>0.5897435897</v>
      </c>
      <c r="R1833" s="82">
        <f>IFERROR(__xludf.DUMMYFUNCTION("""COMPUTED_VALUE"""),1.0384615384615383)</f>
        <v>1.038461538</v>
      </c>
      <c r="S1833" s="82">
        <f>IFERROR(__xludf.DUMMYFUNCTION("""COMPUTED_VALUE"""),2.5512820512820515)</f>
        <v>2.551282051</v>
      </c>
      <c r="T1833" s="82">
        <f>IFERROR(__xludf.DUMMYFUNCTION("""COMPUTED_VALUE"""),345.5599286623669)</f>
        <v>345.5599287</v>
      </c>
      <c r="U1833" s="82">
        <f>IFERROR(__xludf.DUMMYFUNCTION("""COMPUTED_VALUE"""),0.7691713028029951)</f>
        <v>0.7691713028</v>
      </c>
      <c r="V1833" s="82">
        <f>IFERROR(__xludf.DUMMYFUNCTION("""COMPUTED_VALUE"""),0.5627220731348699)</f>
        <v>0.5627220731</v>
      </c>
      <c r="W1833" s="82">
        <f>IFERROR(__xludf.DUMMYFUNCTION("""COMPUTED_VALUE"""),1.3196457819424325)</f>
        <v>1.319645782</v>
      </c>
      <c r="X1833" s="82">
        <f>IFERROR(__xludf.DUMMYFUNCTION("""COMPUTED_VALUE"""),2.510375969421553)</f>
        <v>2.510375969</v>
      </c>
      <c r="Y1833" s="82">
        <f>IFERROR(__xludf.DUMMYFUNCTION("""COMPUTED_VALUE"""),347.38719442295076)</f>
        <v>347.3871944</v>
      </c>
      <c r="Z1833" s="82">
        <f>IFERROR(__xludf.DUMMYFUNCTION("""COMPUTED_VALUE"""),0.7792044887750833)</f>
        <v>0.7792044888</v>
      </c>
      <c r="AA1833" s="82">
        <f>IFERROR(__xludf.DUMMYFUNCTION("""COMPUTED_VALUE"""),0.5519386226173414)</f>
        <v>0.5519386226</v>
      </c>
      <c r="AB1833" s="82">
        <f>IFERROR(__xludf.DUMMYFUNCTION("""COMPUTED_VALUE"""),1.2852052912483591)</f>
        <v>1.285205291</v>
      </c>
      <c r="AC1833" s="82">
        <f>IFERROR(__xludf.DUMMYFUNCTION("""COMPUTED_VALUE"""),2.5136871476342484)</f>
        <v>2.513687148</v>
      </c>
      <c r="AD1833" s="82">
        <f>IFERROR(__xludf.DUMMYFUNCTION("""COMPUTED_VALUE"""),0.8535144782539261)</f>
        <v>0.8535144783</v>
      </c>
      <c r="AE1833" s="82">
        <f>IFERROR(__xludf.DUMMYFUNCTION("""COMPUTED_VALUE"""),0.4936000628281847)</f>
        <v>0.4936000628</v>
      </c>
      <c r="AF1833" s="82">
        <f>IFERROR(__xludf.DUMMYFUNCTION("""COMPUTED_VALUE"""),0.836213380665056)</f>
        <v>0.8362133807</v>
      </c>
      <c r="AG1833" s="82">
        <f>IFERROR(__xludf.DUMMYFUNCTION("""COMPUTED_VALUE"""),0.8678649418733783)</f>
        <v>0.8678649419</v>
      </c>
      <c r="AH1833" s="82">
        <f>IFERROR(__xludf.DUMMYFUNCTION("""COMPUTED_VALUE"""),0.8262456522792699)</f>
        <v>0.8262456523</v>
      </c>
      <c r="AI1833" s="82">
        <f>IFERROR(__xludf.DUMMYFUNCTION("""COMPUTED_VALUE"""),0.9788275829691885)</f>
        <v>0.978827583</v>
      </c>
      <c r="AJ1833" s="82">
        <f>IFERROR(__xludf.DUMMYFUNCTION("""COMPUTED_VALUE"""),0.9834093571272939)</f>
        <v>0.9834093571</v>
      </c>
      <c r="AK1833" s="82">
        <f>IFERROR(__xludf.DUMMYFUNCTION("""COMPUTED_VALUE"""),1.0480192938908288)</f>
        <v>1.048019294</v>
      </c>
      <c r="AL1833" s="82">
        <f>IFERROR(__xludf.DUMMYFUNCTION("""COMPUTED_VALUE"""),0.7869244555406305)</f>
        <v>0.7869244555</v>
      </c>
      <c r="AM1833" s="82">
        <f>IFERROR(__xludf.DUMMYFUNCTION("""COMPUTED_VALUE"""),1.0162948029931644)</f>
        <v>1.016294803</v>
      </c>
      <c r="AN1833" s="82">
        <f>IFERROR(__xludf.DUMMYFUNCTION("""COMPUTED_VALUE"""),0.8744331853543228)</f>
        <v>0.8744331854</v>
      </c>
      <c r="AO1833" s="82">
        <f>IFERROR(__xludf.DUMMYFUNCTION("""COMPUTED_VALUE"""),0.517136898704603)</f>
        <v>0.5171368987</v>
      </c>
      <c r="AP1833" s="82">
        <f>IFERROR(__xludf.DUMMYFUNCTION("""COMPUTED_VALUE"""),0.8456211218044051)</f>
        <v>0.8456211218</v>
      </c>
      <c r="AQ1833" s="82">
        <f>IFERROR(__xludf.DUMMYFUNCTION("""COMPUTED_VALUE"""),0.8528392689945583)</f>
        <v>0.852839269</v>
      </c>
      <c r="AR1833" s="82">
        <f>IFERROR(__xludf.DUMMYFUNCTION("""COMPUTED_VALUE"""),0.8302051242609473)</f>
        <v>0.8302051243</v>
      </c>
      <c r="AS1833" s="82">
        <f>IFERROR(__xludf.DUMMYFUNCTION("""COMPUTED_VALUE"""),46.0)</f>
        <v>46</v>
      </c>
      <c r="AT1833" s="82">
        <f>IFERROR(__xludf.DUMMYFUNCTION("""COMPUTED_VALUE"""),0.4081696995080047)</f>
        <v>0.4081696995</v>
      </c>
      <c r="AU1833" s="82">
        <f>IFERROR(__xludf.DUMMYFUNCTION("""COMPUTED_VALUE"""),1.5809951993086402)</f>
        <v>1.580995199</v>
      </c>
      <c r="AV1833" s="82">
        <f>IFERROR(__xludf.DUMMYFUNCTION("""COMPUTED_VALUE"""),24.451565891982813)</f>
        <v>24.45156589</v>
      </c>
      <c r="AW1833" s="82">
        <f t="shared" si="1"/>
        <v>-6.518680737</v>
      </c>
      <c r="AX1833" s="83">
        <f t="array" ref="AX1833">IFERROR(DGET('SBV Import'!A:G,"SBV",{"RSC ID","Tier";B1833,A1833}))</f>
        <v>41.27151375</v>
      </c>
      <c r="AY1833" s="82">
        <f t="shared" si="2"/>
        <v>-2.751089833</v>
      </c>
      <c r="AZ1833" s="82">
        <v>3.767590903648234</v>
      </c>
      <c r="BA1833" s="84">
        <v>1700.0</v>
      </c>
      <c r="BB1833" s="84" t="b">
        <f>IFERROR(__xludf.DUMMYFUNCTION("iferror(if(A1833="""",,E1833&gt;=FILTER(Constants!$F$2:$F$10,Constants!$A$2:$A$10=A1833)))"),TRUE)</f>
        <v>1</v>
      </c>
    </row>
    <row r="1834">
      <c r="A1834" s="89" t="str">
        <f>IFERROR(__xludf.DUMMYFUNCTION("""COMPUTED_VALUE"""),"Rival")</f>
        <v>Rival</v>
      </c>
      <c r="B1834" s="87" t="str">
        <f>IFERROR(__xludf.DUMMYFUNCTION("""COMPUTED_VALUE"""),"RSC007774")</f>
        <v>RSC007774</v>
      </c>
      <c r="C1834" s="73" t="str">
        <f>IFERROR(__xludf.DUMMYFUNCTION("""COMPUTED_VALUE"""),"Il Rogue lI")</f>
        <v>Il Rogue lI</v>
      </c>
      <c r="D1834" s="73"/>
      <c r="E1834" s="82">
        <f>IFERROR(__xludf.DUMMYFUNCTION("""COMPUTED_VALUE"""),4.0)</f>
        <v>4</v>
      </c>
      <c r="F1834" s="82">
        <f>IFERROR(__xludf.DUMMYFUNCTION("""COMPUTED_VALUE"""),1.0)</f>
        <v>1</v>
      </c>
      <c r="G1834" s="86">
        <f>IFERROR(__xludf.DUMMYFUNCTION("""COMPUTED_VALUE"""),3.0)</f>
        <v>3</v>
      </c>
      <c r="H1834" s="86">
        <f>IFERROR(__xludf.DUMMYFUNCTION("""COMPUTED_VALUE"""),0.25)</f>
        <v>0.25</v>
      </c>
      <c r="I1834" s="86">
        <f>IFERROR(__xludf.DUMMYFUNCTION("""COMPUTED_VALUE"""),0.0)</f>
        <v>0</v>
      </c>
      <c r="J1834" s="82">
        <f>IFERROR(__xludf.DUMMYFUNCTION("""COMPUTED_VALUE"""),305.75)</f>
        <v>305.75</v>
      </c>
      <c r="K1834" s="82">
        <f>IFERROR(__xludf.DUMMYFUNCTION("""COMPUTED_VALUE"""),0.0)</f>
        <v>0</v>
      </c>
      <c r="L1834" s="82">
        <f>IFERROR(__xludf.DUMMYFUNCTION("""COMPUTED_VALUE"""),1.25)</f>
        <v>1.25</v>
      </c>
      <c r="M1834" s="82">
        <f>IFERROR(__xludf.DUMMYFUNCTION("""COMPUTED_VALUE"""),1.75)</f>
        <v>1.75</v>
      </c>
      <c r="N1834" s="82">
        <f>IFERROR(__xludf.DUMMYFUNCTION("""COMPUTED_VALUE"""),2.0)</f>
        <v>2</v>
      </c>
      <c r="O1834" s="82">
        <f>IFERROR(__xludf.DUMMYFUNCTION("""COMPUTED_VALUE"""),356.75000000000006)</f>
        <v>356.75</v>
      </c>
      <c r="P1834" s="82">
        <f>IFERROR(__xludf.DUMMYFUNCTION("""COMPUTED_VALUE"""),0.75)</f>
        <v>0.75</v>
      </c>
      <c r="Q1834" s="82">
        <f>IFERROR(__xludf.DUMMYFUNCTION("""COMPUTED_VALUE"""),0.6666666666666666)</f>
        <v>0.6666666667</v>
      </c>
      <c r="R1834" s="82">
        <f>IFERROR(__xludf.DUMMYFUNCTION("""COMPUTED_VALUE"""),1.1666666666666665)</f>
        <v>1.166666667</v>
      </c>
      <c r="S1834" s="82">
        <f>IFERROR(__xludf.DUMMYFUNCTION("""COMPUTED_VALUE"""),3.333333333333333)</f>
        <v>3.333333333</v>
      </c>
      <c r="T1834" s="82">
        <f>IFERROR(__xludf.DUMMYFUNCTION("""COMPUTED_VALUE"""),309.1881435926773)</f>
        <v>309.1881436</v>
      </c>
      <c r="U1834" s="82">
        <f>IFERROR(__xludf.DUMMYFUNCTION("""COMPUTED_VALUE"""),0.6021643783371472)</f>
        <v>0.6021643783</v>
      </c>
      <c r="V1834" s="82">
        <f>IFERROR(__xludf.DUMMYFUNCTION("""COMPUTED_VALUE"""),0.41106502669717776)</f>
        <v>0.4110650267</v>
      </c>
      <c r="W1834" s="82">
        <f>IFERROR(__xludf.DUMMYFUNCTION("""COMPUTED_VALUE"""),1.2532418001525552)</f>
        <v>1.2532418</v>
      </c>
      <c r="X1834" s="82">
        <f>IFERROR(__xludf.DUMMYFUNCTION("""COMPUTED_VALUE"""),2.2509534706331045)</f>
        <v>2.250953471</v>
      </c>
      <c r="Y1834" s="82">
        <f>IFERROR(__xludf.DUMMYFUNCTION("""COMPUTED_VALUE"""),352.6723795448767)</f>
        <v>352.6723795</v>
      </c>
      <c r="Z1834" s="82">
        <f>IFERROR(__xludf.DUMMYFUNCTION("""COMPUTED_VALUE"""),0.8300994787693873)</f>
        <v>0.8300994788</v>
      </c>
      <c r="AA1834" s="82">
        <f>IFERROR(__xludf.DUMMYFUNCTION("""COMPUTED_VALUE"""),0.5765080727180271)</f>
        <v>0.5765080727</v>
      </c>
      <c r="AB1834" s="82">
        <f>IFERROR(__xludf.DUMMYFUNCTION("""COMPUTED_VALUE"""),1.1580059750826344)</f>
        <v>1.158005975</v>
      </c>
      <c r="AC1834" s="82">
        <f>IFERROR(__xludf.DUMMYFUNCTION("""COMPUTED_VALUE"""),2.56080758962624)</f>
        <v>2.56080759</v>
      </c>
      <c r="AD1834" s="82">
        <f>IFERROR(__xludf.DUMMYFUNCTION("""COMPUTED_VALUE"""),0.8669519297047589)</f>
        <v>0.8669519297</v>
      </c>
      <c r="AE1834" s="82">
        <f>IFERROR(__xludf.DUMMYFUNCTION("""COMPUTED_VALUE"""),0.0)</f>
        <v>0</v>
      </c>
      <c r="AF1834" s="82">
        <f>IFERROR(__xludf.DUMMYFUNCTION("""COMPUTED_VALUE"""),2.1682263599652685)</f>
        <v>2.16822636</v>
      </c>
      <c r="AG1834" s="82">
        <f>IFERROR(__xludf.DUMMYFUNCTION("""COMPUTED_VALUE"""),1.5112184545292362)</f>
        <v>1.511218455</v>
      </c>
      <c r="AH1834" s="82">
        <f>IFERROR(__xludf.DUMMYFUNCTION("""COMPUTED_VALUE"""),0.7810036209287821)</f>
        <v>0.7810036209</v>
      </c>
      <c r="AI1834" s="82">
        <f>IFERROR(__xludf.DUMMYFUNCTION("""COMPUTED_VALUE"""),1.153828202642791)</f>
        <v>1.153828203</v>
      </c>
      <c r="AJ1834" s="82">
        <f>IFERROR(__xludf.DUMMYFUNCTION("""COMPUTED_VALUE"""),1.2455070857414299)</f>
        <v>1.245507086</v>
      </c>
      <c r="AK1834" s="82">
        <f>IFERROR(__xludf.DUMMYFUNCTION("""COMPUTED_VALUE"""),1.6218034212815307)</f>
        <v>1.621803421</v>
      </c>
      <c r="AL1834" s="82">
        <f>IFERROR(__xludf.DUMMYFUNCTION("""COMPUTED_VALUE"""),0.9309190505173464)</f>
        <v>0.9309190505</v>
      </c>
      <c r="AM1834" s="82">
        <f>IFERROR(__xludf.DUMMYFUNCTION("""COMPUTED_VALUE"""),1.4808539478143001)</f>
        <v>1.480853948</v>
      </c>
      <c r="AN1834" s="82">
        <f>IFERROR(__xludf.DUMMYFUNCTION("""COMPUTED_VALUE"""),0.9017131413898287)</f>
        <v>0.9017131414</v>
      </c>
      <c r="AO1834" s="82">
        <f>IFERROR(__xludf.DUMMYFUNCTION("""COMPUTED_VALUE"""),0.0)</f>
        <v>0</v>
      </c>
      <c r="AP1834" s="82">
        <f>IFERROR(__xludf.DUMMYFUNCTION("""COMPUTED_VALUE"""),2.290223871553597)</f>
        <v>2.290223872</v>
      </c>
      <c r="AQ1834" s="82">
        <f>IFERROR(__xludf.DUMMYFUNCTION("""COMPUTED_VALUE"""),1.3380754048018069)</f>
        <v>1.338075405</v>
      </c>
      <c r="AR1834" s="82">
        <f>IFERROR(__xludf.DUMMYFUNCTION("""COMPUTED_VALUE"""),0.7994567863253565)</f>
        <v>0.7994567863</v>
      </c>
      <c r="AS1834" s="82">
        <f>IFERROR(__xludf.DUMMYFUNCTION("""COMPUTED_VALUE"""),7.0)</f>
        <v>7</v>
      </c>
      <c r="AT1834" s="82">
        <f>IFERROR(__xludf.DUMMYFUNCTION("""COMPUTED_VALUE"""),0.4075463360783245)</f>
        <v>0.4075463361</v>
      </c>
      <c r="AU1834" s="82">
        <f>IFERROR(__xludf.DUMMYFUNCTION("""COMPUTED_VALUE"""),1.5746674973348627)</f>
        <v>1.574667497</v>
      </c>
      <c r="AV1834" s="82">
        <f>IFERROR(__xludf.DUMMYFUNCTION("""COMPUTED_VALUE"""),24.27040394321342)</f>
        <v>24.27040394</v>
      </c>
      <c r="AW1834" s="82">
        <f t="shared" si="1"/>
        <v>-6.592103526</v>
      </c>
      <c r="AX1834" s="83">
        <f t="array" ref="AX1834">IFERROR(DGET('SBV Import'!A:G,"SBV",{"RSC ID","Tier";B1834,A1834}))</f>
        <v>35.64341769</v>
      </c>
      <c r="AY1834" s="82">
        <f t="shared" si="2"/>
        <v>-3.534882649</v>
      </c>
      <c r="AZ1834" s="82">
        <v>3.057220877087701</v>
      </c>
      <c r="BA1834" s="84">
        <v>1700.0</v>
      </c>
      <c r="BB1834" s="84" t="b">
        <f>IFERROR(__xludf.DUMMYFUNCTION("iferror(if(A1834="""",,E1834&gt;=FILTER(Constants!$F$2:$F$10,Constants!$A$2:$A$10=A1834)))"),TRUE)</f>
        <v>1</v>
      </c>
    </row>
    <row r="1835">
      <c r="A1835" s="89" t="str">
        <f>IFERROR(__xludf.DUMMYFUNCTION("""COMPUTED_VALUE"""),"Rival")</f>
        <v>Rival</v>
      </c>
      <c r="B1835" s="87" t="str">
        <f>IFERROR(__xludf.DUMMYFUNCTION("""COMPUTED_VALUE"""),"RSC007129")</f>
        <v>RSC007129</v>
      </c>
      <c r="C1835" s="73" t="str">
        <f>IFERROR(__xludf.DUMMYFUNCTION("""COMPUTED_VALUE"""),"EKA Luminous")</f>
        <v>EKA Luminous</v>
      </c>
      <c r="D1835" s="73"/>
      <c r="E1835" s="82">
        <f>IFERROR(__xludf.DUMMYFUNCTION("""COMPUTED_VALUE"""),20.0)</f>
        <v>20</v>
      </c>
      <c r="F1835" s="82">
        <f>IFERROR(__xludf.DUMMYFUNCTION("""COMPUTED_VALUE"""),12.0)</f>
        <v>12</v>
      </c>
      <c r="G1835" s="86">
        <f>IFERROR(__xludf.DUMMYFUNCTION("""COMPUTED_VALUE"""),8.0)</f>
        <v>8</v>
      </c>
      <c r="H1835" s="86">
        <f>IFERROR(__xludf.DUMMYFUNCTION("""COMPUTED_VALUE"""),0.6)</f>
        <v>0.6</v>
      </c>
      <c r="I1835" s="86">
        <f>IFERROR(__xludf.DUMMYFUNCTION("""COMPUTED_VALUE"""),0.3478260869565218)</f>
        <v>0.347826087</v>
      </c>
      <c r="J1835" s="82">
        <f>IFERROR(__xludf.DUMMYFUNCTION("""COMPUTED_VALUE"""),274.1)</f>
        <v>274.1</v>
      </c>
      <c r="K1835" s="82">
        <f>IFERROR(__xludf.DUMMYFUNCTION("""COMPUTED_VALUE"""),0.4)</f>
        <v>0.4</v>
      </c>
      <c r="L1835" s="82">
        <f>IFERROR(__xludf.DUMMYFUNCTION("""COMPUTED_VALUE"""),0.75)</f>
        <v>0.75</v>
      </c>
      <c r="M1835" s="82">
        <f>IFERROR(__xludf.DUMMYFUNCTION("""COMPUTED_VALUE"""),1.45)</f>
        <v>1.45</v>
      </c>
      <c r="N1835" s="82">
        <f>IFERROR(__xludf.DUMMYFUNCTION("""COMPUTED_VALUE"""),1.15)</f>
        <v>1.15</v>
      </c>
      <c r="O1835" s="82">
        <f>IFERROR(__xludf.DUMMYFUNCTION("""COMPUTED_VALUE"""),313.9)</f>
        <v>313.9</v>
      </c>
      <c r="P1835" s="82">
        <f>IFERROR(__xludf.DUMMYFUNCTION("""COMPUTED_VALUE"""),0.6333333333333333)</f>
        <v>0.6333333333</v>
      </c>
      <c r="Q1835" s="82">
        <f>IFERROR(__xludf.DUMMYFUNCTION("""COMPUTED_VALUE"""),0.4833333333333333)</f>
        <v>0.4833333333</v>
      </c>
      <c r="R1835" s="82">
        <f>IFERROR(__xludf.DUMMYFUNCTION("""COMPUTED_VALUE"""),1.15)</f>
        <v>1.15</v>
      </c>
      <c r="S1835" s="82">
        <f>IFERROR(__xludf.DUMMYFUNCTION("""COMPUTED_VALUE"""),2.2833333333333337)</f>
        <v>2.283333333</v>
      </c>
      <c r="T1835" s="82">
        <f>IFERROR(__xludf.DUMMYFUNCTION("""COMPUTED_VALUE"""),328.2561433696019)</f>
        <v>328.2561434</v>
      </c>
      <c r="U1835" s="82">
        <f>IFERROR(__xludf.DUMMYFUNCTION("""COMPUTED_VALUE"""),0.6668804674138381)</f>
        <v>0.6668804674</v>
      </c>
      <c r="V1835" s="82">
        <f>IFERROR(__xludf.DUMMYFUNCTION("""COMPUTED_VALUE"""),0.5076213508141048)</f>
        <v>0.5076213508</v>
      </c>
      <c r="W1835" s="82">
        <f>IFERROR(__xludf.DUMMYFUNCTION("""COMPUTED_VALUE"""),1.3384201987399595)</f>
        <v>1.338420199</v>
      </c>
      <c r="X1835" s="82">
        <f>IFERROR(__xludf.DUMMYFUNCTION("""COMPUTED_VALUE"""),2.410156458248981)</f>
        <v>2.410156458</v>
      </c>
      <c r="Y1835" s="82">
        <f>IFERROR(__xludf.DUMMYFUNCTION("""COMPUTED_VALUE"""),363.086451820901)</f>
        <v>363.0864518</v>
      </c>
      <c r="Z1835" s="82">
        <f>IFERROR(__xludf.DUMMYFUNCTION("""COMPUTED_VALUE"""),0.8712131616917294)</f>
        <v>0.8712131617</v>
      </c>
      <c r="AA1835" s="82">
        <f>IFERROR(__xludf.DUMMYFUNCTION("""COMPUTED_VALUE"""),0.6374082062802601)</f>
        <v>0.6374082063</v>
      </c>
      <c r="AB1835" s="82">
        <f>IFERROR(__xludf.DUMMYFUNCTION("""COMPUTED_VALUE"""),1.2959597260316005)</f>
        <v>1.295959726</v>
      </c>
      <c r="AC1835" s="82">
        <f>IFERROR(__xludf.DUMMYFUNCTION("""COMPUTED_VALUE"""),2.714802101112089)</f>
        <v>2.714802101</v>
      </c>
      <c r="AD1835" s="82">
        <f>IFERROR(__xludf.DUMMYFUNCTION("""COMPUTED_VALUE"""),0.7549166283274178)</f>
        <v>0.7549166283</v>
      </c>
      <c r="AE1835" s="82">
        <f>IFERROR(__xludf.DUMMYFUNCTION("""COMPUTED_VALUE"""),0.45912988644854325)</f>
        <v>0.4591298864</v>
      </c>
      <c r="AF1835" s="82">
        <f>IFERROR(__xludf.DUMMYFUNCTION("""COMPUTED_VALUE"""),1.1766400128056005)</f>
        <v>1.176640013</v>
      </c>
      <c r="AG1835" s="82">
        <f>IFERROR(__xludf.DUMMYFUNCTION("""COMPUTED_VALUE"""),1.1188619297916695)</f>
        <v>1.11886193</v>
      </c>
      <c r="AH1835" s="82">
        <f>IFERROR(__xludf.DUMMYFUNCTION("""COMPUTED_VALUE"""),0.42360362087863235)</f>
        <v>0.4236036209</v>
      </c>
      <c r="AI1835" s="82">
        <f>IFERROR(__xludf.DUMMYFUNCTION("""COMPUTED_VALUE"""),0.9562654236346233)</f>
        <v>0.9562654236</v>
      </c>
      <c r="AJ1835" s="82">
        <f>IFERROR(__xludf.DUMMYFUNCTION("""COMPUTED_VALUE"""),0.9496954316107045)</f>
        <v>0.9496954316</v>
      </c>
      <c r="AK1835" s="82">
        <f>IFERROR(__xludf.DUMMYFUNCTION("""COMPUTED_VALUE"""),0.9521532783405993)</f>
        <v>0.9521532783</v>
      </c>
      <c r="AL1835" s="82">
        <f>IFERROR(__xludf.DUMMYFUNCTION("""COMPUTED_VALUE"""),0.8592219402267347)</f>
        <v>0.8592219402</v>
      </c>
      <c r="AM1835" s="82">
        <f>IFERROR(__xludf.DUMMYFUNCTION("""COMPUTED_VALUE"""),0.9473797128474445)</f>
        <v>0.9473797128</v>
      </c>
      <c r="AN1835" s="82">
        <f>IFERROR(__xludf.DUMMYFUNCTION("""COMPUTED_VALUE"""),0.8083714539818547)</f>
        <v>0.808371454</v>
      </c>
      <c r="AO1835" s="82">
        <f>IFERROR(__xludf.DUMMYFUNCTION("""COMPUTED_VALUE"""),0.5378223746527871)</f>
        <v>0.5378223747</v>
      </c>
      <c r="AP1835" s="82">
        <f>IFERROR(__xludf.DUMMYFUNCTION("""COMPUTED_VALUE"""),1.374134322932158)</f>
        <v>1.374134323</v>
      </c>
      <c r="AQ1835" s="82">
        <f>IFERROR(__xludf.DUMMYFUNCTION("""COMPUTED_VALUE"""),1.1086910496929256)</f>
        <v>1.10869105</v>
      </c>
      <c r="AR1835" s="82">
        <f>IFERROR(__xludf.DUMMYFUNCTION("""COMPUTED_VALUE"""),0.45968765213708)</f>
        <v>0.4596876521</v>
      </c>
      <c r="AS1835" s="82">
        <f>IFERROR(__xludf.DUMMYFUNCTION("""COMPUTED_VALUE"""),48.0)</f>
        <v>48</v>
      </c>
      <c r="AT1835" s="82">
        <f>IFERROR(__xludf.DUMMYFUNCTION("""COMPUTED_VALUE"""),0.5878448968012117)</f>
        <v>0.5878448968</v>
      </c>
      <c r="AU1835" s="82">
        <f>IFERROR(__xludf.DUMMYFUNCTION("""COMPUTED_VALUE"""),1.5603129768194646)</f>
        <v>1.560312977</v>
      </c>
      <c r="AV1835" s="82">
        <f>IFERROR(__xludf.DUMMYFUNCTION("""COMPUTED_VALUE"""),23.85943438096217)</f>
        <v>23.85943438</v>
      </c>
      <c r="AW1835" s="82">
        <f t="shared" si="1"/>
        <v>-6.762804457</v>
      </c>
      <c r="AX1835" s="83">
        <f t="array" ref="AX1835">IFERROR(DGET('SBV Import'!A:G,"SBV",{"RSC ID","Tier";B1835,A1835}))</f>
        <v>29.87269575</v>
      </c>
      <c r="AY1835" s="82">
        <f t="shared" si="2"/>
        <v>-4.753230186</v>
      </c>
      <c r="AZ1835" s="82">
        <v>2.009574271096109</v>
      </c>
      <c r="BA1835" s="84">
        <v>1700.0</v>
      </c>
      <c r="BB1835" s="84" t="b">
        <f>IFERROR(__xludf.DUMMYFUNCTION("iferror(if(A1835="""",,E1835&gt;=FILTER(Constants!$F$2:$F$10,Constants!$A$2:$A$10=A1835)))"),TRUE)</f>
        <v>1</v>
      </c>
    </row>
    <row r="1836">
      <c r="A1836" s="89" t="str">
        <f>IFERROR(__xludf.DUMMYFUNCTION("""COMPUTED_VALUE"""),"Rival")</f>
        <v>Rival</v>
      </c>
      <c r="B1836" s="87" t="str">
        <f>IFERROR(__xludf.DUMMYFUNCTION("""COMPUTED_VALUE"""),"RSC004283")</f>
        <v>RSC004283</v>
      </c>
      <c r="C1836" s="73" t="str">
        <f>IFERROR(__xludf.DUMMYFUNCTION("""COMPUTED_VALUE"""),"Tragic Event")</f>
        <v>Tragic Event</v>
      </c>
      <c r="D1836" s="73" t="str">
        <f>IFERROR(__xludf.DUMMYFUNCTION("""COMPUTED_VALUE"""),"Quasars")</f>
        <v>Quasars</v>
      </c>
      <c r="E1836" s="82">
        <f>IFERROR(__xludf.DUMMYFUNCTION("""COMPUTED_VALUE"""),8.0)</f>
        <v>8</v>
      </c>
      <c r="F1836" s="82">
        <f>IFERROR(__xludf.DUMMYFUNCTION("""COMPUTED_VALUE"""),3.0)</f>
        <v>3</v>
      </c>
      <c r="G1836" s="86">
        <f>IFERROR(__xludf.DUMMYFUNCTION("""COMPUTED_VALUE"""),5.0)</f>
        <v>5</v>
      </c>
      <c r="H1836" s="86">
        <f>IFERROR(__xludf.DUMMYFUNCTION("""COMPUTED_VALUE"""),0.375)</f>
        <v>0.375</v>
      </c>
      <c r="I1836" s="86">
        <f>IFERROR(__xludf.DUMMYFUNCTION("""COMPUTED_VALUE"""),0.35714285714285715)</f>
        <v>0.3571428571</v>
      </c>
      <c r="J1836" s="82">
        <f>IFERROR(__xludf.DUMMYFUNCTION("""COMPUTED_VALUE"""),246.125)</f>
        <v>246.125</v>
      </c>
      <c r="K1836" s="82">
        <f>IFERROR(__xludf.DUMMYFUNCTION("""COMPUTED_VALUE"""),0.625)</f>
        <v>0.625</v>
      </c>
      <c r="L1836" s="82">
        <f>IFERROR(__xludf.DUMMYFUNCTION("""COMPUTED_VALUE"""),0.25)</f>
        <v>0.25</v>
      </c>
      <c r="M1836" s="82">
        <f>IFERROR(__xludf.DUMMYFUNCTION("""COMPUTED_VALUE"""),1.0)</f>
        <v>1</v>
      </c>
      <c r="N1836" s="82">
        <f>IFERROR(__xludf.DUMMYFUNCTION("""COMPUTED_VALUE"""),1.75)</f>
        <v>1.75</v>
      </c>
      <c r="O1836" s="82">
        <f>IFERROR(__xludf.DUMMYFUNCTION("""COMPUTED_VALUE"""),313.7083333333333)</f>
        <v>313.7083333</v>
      </c>
      <c r="P1836" s="82">
        <f>IFERROR(__xludf.DUMMYFUNCTION("""COMPUTED_VALUE"""),0.7083333333333333)</f>
        <v>0.7083333333</v>
      </c>
      <c r="Q1836" s="82">
        <f>IFERROR(__xludf.DUMMYFUNCTION("""COMPUTED_VALUE"""),0.5416666666666666)</f>
        <v>0.5416666667</v>
      </c>
      <c r="R1836" s="82">
        <f>IFERROR(__xludf.DUMMYFUNCTION("""COMPUTED_VALUE"""),1.0833333333333333)</f>
        <v>1.083333333</v>
      </c>
      <c r="S1836" s="82">
        <f>IFERROR(__xludf.DUMMYFUNCTION("""COMPUTED_VALUE"""),2.416666666666667)</f>
        <v>2.416666667</v>
      </c>
      <c r="T1836" s="82">
        <f>IFERROR(__xludf.DUMMYFUNCTION("""COMPUTED_VALUE"""),359.9397426647427)</f>
        <v>359.9397427</v>
      </c>
      <c r="U1836" s="82">
        <f>IFERROR(__xludf.DUMMYFUNCTION("""COMPUTED_VALUE"""),0.8135401635401638)</f>
        <v>0.8135401635</v>
      </c>
      <c r="V1836" s="82">
        <f>IFERROR(__xludf.DUMMYFUNCTION("""COMPUTED_VALUE"""),0.6133718133718133)</f>
        <v>0.6133718134</v>
      </c>
      <c r="W1836" s="82">
        <f>IFERROR(__xludf.DUMMYFUNCTION("""COMPUTED_VALUE"""),1.2806277056277058)</f>
        <v>1.280627706</v>
      </c>
      <c r="X1836" s="82">
        <f>IFERROR(__xludf.DUMMYFUNCTION("""COMPUTED_VALUE"""),2.6814514189514194)</f>
        <v>2.681451419</v>
      </c>
      <c r="Y1836" s="82">
        <f>IFERROR(__xludf.DUMMYFUNCTION("""COMPUTED_VALUE"""),348.1828843995511)</f>
        <v>348.1828844</v>
      </c>
      <c r="Z1836" s="82">
        <f>IFERROR(__xludf.DUMMYFUNCTION("""COMPUTED_VALUE"""),0.7855459355459355)</f>
        <v>0.7855459355</v>
      </c>
      <c r="AA1836" s="82">
        <f>IFERROR(__xludf.DUMMYFUNCTION("""COMPUTED_VALUE"""),0.5454024370691036)</f>
        <v>0.5454024371</v>
      </c>
      <c r="AB1836" s="82">
        <f>IFERROR(__xludf.DUMMYFUNCTION("""COMPUTED_VALUE"""),1.3387646304312972)</f>
        <v>1.33876463</v>
      </c>
      <c r="AC1836" s="82">
        <f>IFERROR(__xludf.DUMMYFUNCTION("""COMPUTED_VALUE"""),2.507982603815937)</f>
        <v>2.507982604</v>
      </c>
      <c r="AD1836" s="82">
        <f>IFERROR(__xludf.DUMMYFUNCTION("""COMPUTED_VALUE"""),0.7068842583243226)</f>
        <v>0.7068842583</v>
      </c>
      <c r="AE1836" s="82">
        <f>IFERROR(__xludf.DUMMYFUNCTION("""COMPUTED_VALUE"""),0.7956250191348009)</f>
        <v>0.7956250191</v>
      </c>
      <c r="AF1836" s="82">
        <f>IFERROR(__xludf.DUMMYFUNCTION("""COMPUTED_VALUE"""),0.4583771230349755)</f>
        <v>0.458377123</v>
      </c>
      <c r="AG1836" s="82">
        <f>IFERROR(__xludf.DUMMYFUNCTION("""COMPUTED_VALUE"""),0.746957289779787)</f>
        <v>0.7469572898</v>
      </c>
      <c r="AH1836" s="82">
        <f>IFERROR(__xludf.DUMMYFUNCTION("""COMPUTED_VALUE"""),0.6977719850757123)</f>
        <v>0.6977719851</v>
      </c>
      <c r="AI1836" s="82">
        <f>IFERROR(__xludf.DUMMYFUNCTION("""COMPUTED_VALUE"""),0.8715579196974907)</f>
        <v>0.8715579197</v>
      </c>
      <c r="AJ1836" s="82">
        <f>IFERROR(__xludf.DUMMYFUNCTION("""COMPUTED_VALUE"""),0.8706802258550859)</f>
        <v>0.8706802259</v>
      </c>
      <c r="AK1836" s="82">
        <f>IFERROR(__xludf.DUMMYFUNCTION("""COMPUTED_VALUE"""),0.8830967691342534)</f>
        <v>0.8830967691</v>
      </c>
      <c r="AL1836" s="82">
        <f>IFERROR(__xludf.DUMMYFUNCTION("""COMPUTED_VALUE"""),0.845939322234429)</f>
        <v>0.8459393222</v>
      </c>
      <c r="AM1836" s="82">
        <f>IFERROR(__xludf.DUMMYFUNCTION("""COMPUTED_VALUE"""),0.9012531980205346)</f>
        <v>0.901253198</v>
      </c>
      <c r="AN1836" s="82">
        <f>IFERROR(__xludf.DUMMYFUNCTION("""COMPUTED_VALUE"""),0.725868019377176)</f>
        <v>0.7258680194</v>
      </c>
      <c r="AO1836" s="82">
        <f>IFERROR(__xludf.DUMMYFUNCTION("""COMPUTED_VALUE"""),0.8403474603949798)</f>
        <v>0.8403474604</v>
      </c>
      <c r="AP1836" s="82">
        <f>IFERROR(__xludf.DUMMYFUNCTION("""COMPUTED_VALUE"""),0.4580447743107194)</f>
        <v>0.4580447743</v>
      </c>
      <c r="AQ1836" s="82">
        <f>IFERROR(__xludf.DUMMYFUNCTION("""COMPUTED_VALUE"""),0.7646145170296039)</f>
        <v>0.764614517</v>
      </c>
      <c r="AR1836" s="82">
        <f>IFERROR(__xludf.DUMMYFUNCTION("""COMPUTED_VALUE"""),0.699524688034687)</f>
        <v>0.699524688</v>
      </c>
      <c r="AS1836" s="82">
        <f>IFERROR(__xludf.DUMMYFUNCTION("""COMPUTED_VALUE"""),17.0)</f>
        <v>17</v>
      </c>
      <c r="AT1836" s="82">
        <f>IFERROR(__xludf.DUMMYFUNCTION("""COMPUTED_VALUE"""),0.5)</f>
        <v>0.5</v>
      </c>
      <c r="AU1836" s="82">
        <f>IFERROR(__xludf.DUMMYFUNCTION("""COMPUTED_VALUE"""),1.5470957152226001)</f>
        <v>1.547095715</v>
      </c>
      <c r="AV1836" s="82">
        <f>IFERROR(__xludf.DUMMYFUNCTION("""COMPUTED_VALUE"""),23.4810245130187)</f>
        <v>23.48102451</v>
      </c>
      <c r="AW1836" s="82">
        <f t="shared" si="1"/>
        <v>-6.925221413</v>
      </c>
      <c r="AX1836" s="83">
        <f t="array" ref="AX1836">IFERROR(DGET('SBV Import'!A:G,"SBV",{"RSC ID","Tier";B1836,A1836}))</f>
        <v>17.05540026</v>
      </c>
      <c r="AY1836" s="82">
        <f t="shared" si="2"/>
        <v>-10.66234662</v>
      </c>
      <c r="AZ1836" s="82">
        <v>3.7371252114035167</v>
      </c>
      <c r="BA1836" s="84">
        <v>1700.0</v>
      </c>
      <c r="BB1836" s="84" t="b">
        <f>IFERROR(__xludf.DUMMYFUNCTION("iferror(if(A1836="""",,E1836&gt;=FILTER(Constants!$F$2:$F$10,Constants!$A$2:$A$10=A1836)))"),TRUE)</f>
        <v>1</v>
      </c>
    </row>
    <row r="1837">
      <c r="A1837" s="89" t="str">
        <f>IFERROR(__xludf.DUMMYFUNCTION("""COMPUTED_VALUE"""),"Rival")</f>
        <v>Rival</v>
      </c>
      <c r="B1837" s="87" t="str">
        <f>IFERROR(__xludf.DUMMYFUNCTION("""COMPUTED_VALUE"""),"RSC005386")</f>
        <v>RSC005386</v>
      </c>
      <c r="C1837" s="73" t="str">
        <f>IFERROR(__xludf.DUMMYFUNCTION("""COMPUTED_VALUE"""),"danub")</f>
        <v>danub</v>
      </c>
      <c r="D1837" s="73" t="str">
        <f>IFERROR(__xludf.DUMMYFUNCTION("""COMPUTED_VALUE"""),"Phantoms")</f>
        <v>Phantoms</v>
      </c>
      <c r="E1837" s="82">
        <f>IFERROR(__xludf.DUMMYFUNCTION("""COMPUTED_VALUE"""),34.0)</f>
        <v>34</v>
      </c>
      <c r="F1837" s="82">
        <f>IFERROR(__xludf.DUMMYFUNCTION("""COMPUTED_VALUE"""),11.0)</f>
        <v>11</v>
      </c>
      <c r="G1837" s="86">
        <f>IFERROR(__xludf.DUMMYFUNCTION("""COMPUTED_VALUE"""),23.0)</f>
        <v>23</v>
      </c>
      <c r="H1837" s="86">
        <f>IFERROR(__xludf.DUMMYFUNCTION("""COMPUTED_VALUE"""),0.3235294117647059)</f>
        <v>0.3235294118</v>
      </c>
      <c r="I1837" s="86">
        <f>IFERROR(__xludf.DUMMYFUNCTION("""COMPUTED_VALUE"""),0.3181818181818182)</f>
        <v>0.3181818182</v>
      </c>
      <c r="J1837" s="82">
        <f>IFERROR(__xludf.DUMMYFUNCTION("""COMPUTED_VALUE"""),297.88235294117646)</f>
        <v>297.8823529</v>
      </c>
      <c r="K1837" s="82">
        <f>IFERROR(__xludf.DUMMYFUNCTION("""COMPUTED_VALUE"""),0.6176470588235294)</f>
        <v>0.6176470588</v>
      </c>
      <c r="L1837" s="82">
        <f>IFERROR(__xludf.DUMMYFUNCTION("""COMPUTED_VALUE"""),0.3235294117647059)</f>
        <v>0.3235294118</v>
      </c>
      <c r="M1837" s="82">
        <f>IFERROR(__xludf.DUMMYFUNCTION("""COMPUTED_VALUE"""),1.2647058823529411)</f>
        <v>1.264705882</v>
      </c>
      <c r="N1837" s="82">
        <f>IFERROR(__xludf.DUMMYFUNCTION("""COMPUTED_VALUE"""),1.9411764705882353)</f>
        <v>1.941176471</v>
      </c>
      <c r="O1837" s="82">
        <f>IFERROR(__xludf.DUMMYFUNCTION("""COMPUTED_VALUE"""),372.9019607843136)</f>
        <v>372.9019608</v>
      </c>
      <c r="P1837" s="82">
        <f>IFERROR(__xludf.DUMMYFUNCTION("""COMPUTED_VALUE"""),1.0000000000000002)</f>
        <v>1</v>
      </c>
      <c r="Q1837" s="82">
        <f>IFERROR(__xludf.DUMMYFUNCTION("""COMPUTED_VALUE"""),0.7352941176470589)</f>
        <v>0.7352941176</v>
      </c>
      <c r="R1837" s="82">
        <f>IFERROR(__xludf.DUMMYFUNCTION("""COMPUTED_VALUE"""),1.2254901960784315)</f>
        <v>1.225490196</v>
      </c>
      <c r="S1837" s="82">
        <f>IFERROR(__xludf.DUMMYFUNCTION("""COMPUTED_VALUE"""),2.9313725490196076)</f>
        <v>2.931372549</v>
      </c>
      <c r="T1837" s="82">
        <f>IFERROR(__xludf.DUMMYFUNCTION("""COMPUTED_VALUE"""),353.1209988819091)</f>
        <v>353.1209989</v>
      </c>
      <c r="U1837" s="82">
        <f>IFERROR(__xludf.DUMMYFUNCTION("""COMPUTED_VALUE"""),0.8122499101128603)</f>
        <v>0.8122499101</v>
      </c>
      <c r="V1837" s="82">
        <f>IFERROR(__xludf.DUMMYFUNCTION("""COMPUTED_VALUE"""),0.5737612450007585)</f>
        <v>0.573761245</v>
      </c>
      <c r="W1837" s="82">
        <f>IFERROR(__xludf.DUMMYFUNCTION("""COMPUTED_VALUE"""),1.3070167461562983)</f>
        <v>1.307016746</v>
      </c>
      <c r="X1837" s="82">
        <f>IFERROR(__xludf.DUMMYFUNCTION("""COMPUTED_VALUE"""),2.6690535363154053)</f>
        <v>2.669053536</v>
      </c>
      <c r="Y1837" s="82">
        <f>IFERROR(__xludf.DUMMYFUNCTION("""COMPUTED_VALUE"""),344.38457718861514)</f>
        <v>344.3845772</v>
      </c>
      <c r="Z1837" s="82">
        <f>IFERROR(__xludf.DUMMYFUNCTION("""COMPUTED_VALUE"""),0.7529101589945231)</f>
        <v>0.752910159</v>
      </c>
      <c r="AA1837" s="82">
        <f>IFERROR(__xludf.DUMMYFUNCTION("""COMPUTED_VALUE"""),0.5444088166763329)</f>
        <v>0.5444088167</v>
      </c>
      <c r="AB1837" s="82">
        <f>IFERROR(__xludf.DUMMYFUNCTION("""COMPUTED_VALUE"""),1.3460746239227894)</f>
        <v>1.346074624</v>
      </c>
      <c r="AC1837" s="82">
        <f>IFERROR(__xludf.DUMMYFUNCTION("""COMPUTED_VALUE"""),2.534163526929716)</f>
        <v>2.534163527</v>
      </c>
      <c r="AD1837" s="82">
        <f>IFERROR(__xludf.DUMMYFUNCTION("""COMPUTED_VALUE"""),0.8649700732040332)</f>
        <v>0.8649700732</v>
      </c>
      <c r="AE1837" s="82">
        <f>IFERROR(__xludf.DUMMYFUNCTION("""COMPUTED_VALUE"""),0.8203462942356479)</f>
        <v>0.8203462942</v>
      </c>
      <c r="AF1837" s="82">
        <f>IFERROR(__xludf.DUMMYFUNCTION("""COMPUTED_VALUE"""),0.5942765837994385)</f>
        <v>0.5942765838</v>
      </c>
      <c r="AG1837" s="82">
        <f>IFERROR(__xludf.DUMMYFUNCTION("""COMPUTED_VALUE"""),0.939551091652913)</f>
        <v>0.9395510917</v>
      </c>
      <c r="AH1837" s="82">
        <f>IFERROR(__xludf.DUMMYFUNCTION("""COMPUTED_VALUE"""),0.7660028447098999)</f>
        <v>0.7660028447</v>
      </c>
      <c r="AI1837" s="82">
        <f>IFERROR(__xludf.DUMMYFUNCTION("""COMPUTED_VALUE"""),1.0560175179755302)</f>
        <v>1.056017518</v>
      </c>
      <c r="AJ1837" s="82">
        <f>IFERROR(__xludf.DUMMYFUNCTION("""COMPUTED_VALUE"""),1.2311481817967238)</f>
        <v>1.231148182</v>
      </c>
      <c r="AK1837" s="82">
        <f>IFERROR(__xludf.DUMMYFUNCTION("""COMPUTED_VALUE"""),1.2815332580472332)</f>
        <v>1.281533258</v>
      </c>
      <c r="AL1837" s="82">
        <f>IFERROR(__xludf.DUMMYFUNCTION("""COMPUTED_VALUE"""),0.9376239437500539)</f>
        <v>0.9376239438</v>
      </c>
      <c r="AM1837" s="82">
        <f>IFERROR(__xludf.DUMMYFUNCTION("""COMPUTED_VALUE"""),1.0982816601971688)</f>
        <v>1.09828166</v>
      </c>
      <c r="AN1837" s="82">
        <f>IFERROR(__xludf.DUMMYFUNCTION("""COMPUTED_VALUE"""),0.8785099991338737)</f>
        <v>0.8785099991</v>
      </c>
      <c r="AO1837" s="82">
        <f>IFERROR(__xludf.DUMMYFUNCTION("""COMPUTED_VALUE"""),0.8304610196844506)</f>
        <v>0.8304610197</v>
      </c>
      <c r="AP1837" s="82">
        <f>IFERROR(__xludf.DUMMYFUNCTION("""COMPUTED_VALUE"""),0.5927638255785781)</f>
        <v>0.5927638256</v>
      </c>
      <c r="AQ1837" s="82">
        <f>IFERROR(__xludf.DUMMYFUNCTION("""COMPUTED_VALUE"""),0.9670124774197931)</f>
        <v>0.9670124774</v>
      </c>
      <c r="AR1837" s="82">
        <f>IFERROR(__xludf.DUMMYFUNCTION("""COMPUTED_VALUE"""),0.7759433514334343)</f>
        <v>0.7759433514</v>
      </c>
      <c r="AS1837" s="82">
        <f>IFERROR(__xludf.DUMMYFUNCTION("""COMPUTED_VALUE"""),60.0)</f>
        <v>60</v>
      </c>
      <c r="AT1837" s="82">
        <f>IFERROR(__xludf.DUMMYFUNCTION("""COMPUTED_VALUE"""),0.3035203199574521)</f>
        <v>0.30352032</v>
      </c>
      <c r="AU1837" s="82">
        <f>IFERROR(__xludf.DUMMYFUNCTION("""COMPUTED_VALUE"""),1.5192683608852902)</f>
        <v>1.519268361</v>
      </c>
      <c r="AV1837" s="82">
        <f>IFERROR(__xludf.DUMMYFUNCTION("""COMPUTED_VALUE"""),22.68432805643228)</f>
        <v>22.68432806</v>
      </c>
      <c r="AW1837" s="82">
        <f t="shared" si="1"/>
        <v>-7.284444454</v>
      </c>
      <c r="AX1837" s="83">
        <f t="array" ref="AX1837">IFERROR(DGET('SBV Import'!A:G,"SBV",{"RSC ID","Tier";B1837,A1837}))</f>
        <v>23.9217013</v>
      </c>
      <c r="AY1837" s="82">
        <f t="shared" si="2"/>
        <v>-6.736565587</v>
      </c>
      <c r="AZ1837" s="82">
        <v>0.5478788664597953</v>
      </c>
      <c r="BA1837" s="84">
        <v>1700.0</v>
      </c>
      <c r="BB1837" s="84" t="b">
        <f>IFERROR(__xludf.DUMMYFUNCTION("iferror(if(A1837="""",,E1837&gt;=FILTER(Constants!$F$2:$F$10,Constants!$A$2:$A$10=A1837)))"),TRUE)</f>
        <v>1</v>
      </c>
    </row>
    <row r="1838">
      <c r="A1838" s="89" t="str">
        <f>IFERROR(__xludf.DUMMYFUNCTION("""COMPUTED_VALUE"""),"Rival")</f>
        <v>Rival</v>
      </c>
      <c r="B1838" s="87" t="str">
        <f>IFERROR(__xludf.DUMMYFUNCTION("""COMPUTED_VALUE"""),"RSC002177")</f>
        <v>RSC002177</v>
      </c>
      <c r="C1838" s="73" t="str">
        <f>IFERROR(__xludf.DUMMYFUNCTION("""COMPUTED_VALUE"""),"Slygo21")</f>
        <v>Slygo21</v>
      </c>
      <c r="D1838" s="73" t="str">
        <f>IFERROR(__xludf.DUMMYFUNCTION("""COMPUTED_VALUE"""),"Ruthless Racket")</f>
        <v>Ruthless Racket</v>
      </c>
      <c r="E1838" s="82">
        <f>IFERROR(__xludf.DUMMYFUNCTION("""COMPUTED_VALUE"""),43.0)</f>
        <v>43</v>
      </c>
      <c r="F1838" s="82">
        <f>IFERROR(__xludf.DUMMYFUNCTION("""COMPUTED_VALUE"""),15.0)</f>
        <v>15</v>
      </c>
      <c r="G1838" s="86">
        <f>IFERROR(__xludf.DUMMYFUNCTION("""COMPUTED_VALUE"""),28.0)</f>
        <v>28</v>
      </c>
      <c r="H1838" s="86">
        <f>IFERROR(__xludf.DUMMYFUNCTION("""COMPUTED_VALUE"""),0.3488372093023256)</f>
        <v>0.3488372093</v>
      </c>
      <c r="I1838" s="86">
        <f>IFERROR(__xludf.DUMMYFUNCTION("""COMPUTED_VALUE"""),0.2876712328767123)</f>
        <v>0.2876712329</v>
      </c>
      <c r="J1838" s="82">
        <f>IFERROR(__xludf.DUMMYFUNCTION("""COMPUTED_VALUE"""),311.3255813953488)</f>
        <v>311.3255814</v>
      </c>
      <c r="K1838" s="82">
        <f>IFERROR(__xludf.DUMMYFUNCTION("""COMPUTED_VALUE"""),0.4883720930232558)</f>
        <v>0.488372093</v>
      </c>
      <c r="L1838" s="82">
        <f>IFERROR(__xludf.DUMMYFUNCTION("""COMPUTED_VALUE"""),0.37209302325581395)</f>
        <v>0.3720930233</v>
      </c>
      <c r="M1838" s="82">
        <f>IFERROR(__xludf.DUMMYFUNCTION("""COMPUTED_VALUE"""),1.5348837209302326)</f>
        <v>1.534883721</v>
      </c>
      <c r="N1838" s="82">
        <f>IFERROR(__xludf.DUMMYFUNCTION("""COMPUTED_VALUE"""),1.697674418604651)</f>
        <v>1.697674419</v>
      </c>
      <c r="O1838" s="82">
        <f>IFERROR(__xludf.DUMMYFUNCTION("""COMPUTED_VALUE"""),347.51162790697674)</f>
        <v>347.5116279</v>
      </c>
      <c r="P1838" s="82">
        <f>IFERROR(__xludf.DUMMYFUNCTION("""COMPUTED_VALUE"""),0.8372093023255812)</f>
        <v>0.8372093023</v>
      </c>
      <c r="Q1838" s="82">
        <f>IFERROR(__xludf.DUMMYFUNCTION("""COMPUTED_VALUE"""),0.5968992248062015)</f>
        <v>0.5968992248</v>
      </c>
      <c r="R1838" s="82">
        <f>IFERROR(__xludf.DUMMYFUNCTION("""COMPUTED_VALUE"""),1.0930232558139534)</f>
        <v>1.093023256</v>
      </c>
      <c r="S1838" s="82">
        <f>IFERROR(__xludf.DUMMYFUNCTION("""COMPUTED_VALUE"""),2.8294573643410854)</f>
        <v>2.829457364</v>
      </c>
      <c r="T1838" s="82">
        <f>IFERROR(__xludf.DUMMYFUNCTION("""COMPUTED_VALUE"""),344.6528009233798)</f>
        <v>344.6528009</v>
      </c>
      <c r="U1838" s="82">
        <f>IFERROR(__xludf.DUMMYFUNCTION("""COMPUTED_VALUE"""),0.8076916538635617)</f>
        <v>0.8076916539</v>
      </c>
      <c r="V1838" s="82">
        <f>IFERROR(__xludf.DUMMYFUNCTION("""COMPUTED_VALUE"""),0.5652401454997349)</f>
        <v>0.5652401455</v>
      </c>
      <c r="W1838" s="82">
        <f>IFERROR(__xludf.DUMMYFUNCTION("""COMPUTED_VALUE"""),1.215838603390145)</f>
        <v>1.215838603</v>
      </c>
      <c r="X1838" s="82">
        <f>IFERROR(__xludf.DUMMYFUNCTION("""COMPUTED_VALUE"""),2.6331908791292453)</f>
        <v>2.633190879</v>
      </c>
      <c r="Y1838" s="82">
        <f>IFERROR(__xludf.DUMMYFUNCTION("""COMPUTED_VALUE"""),342.78884370429785)</f>
        <v>342.7888437</v>
      </c>
      <c r="Z1838" s="82">
        <f>IFERROR(__xludf.DUMMYFUNCTION("""COMPUTED_VALUE"""),0.7567029492049845)</f>
        <v>0.7567029492</v>
      </c>
      <c r="AA1838" s="82">
        <f>IFERROR(__xludf.DUMMYFUNCTION("""COMPUTED_VALUE"""),0.5462352956181158)</f>
        <v>0.5462352956</v>
      </c>
      <c r="AB1838" s="82">
        <f>IFERROR(__xludf.DUMMYFUNCTION("""COMPUTED_VALUE"""),1.3347612437811562)</f>
        <v>1.334761244</v>
      </c>
      <c r="AC1838" s="82">
        <f>IFERROR(__xludf.DUMMYFUNCTION("""COMPUTED_VALUE"""),2.441176451977841)</f>
        <v>2.441176452</v>
      </c>
      <c r="AD1838" s="82">
        <f>IFERROR(__xludf.DUMMYFUNCTION("""COMPUTED_VALUE"""),0.9082138672631646)</f>
        <v>0.9082138673</v>
      </c>
      <c r="AE1838" s="82">
        <f>IFERROR(__xludf.DUMMYFUNCTION("""COMPUTED_VALUE"""),0.645394726604878)</f>
        <v>0.6453947266</v>
      </c>
      <c r="AF1838" s="82">
        <f>IFERROR(__xludf.DUMMYFUNCTION("""COMPUTED_VALUE"""),0.6811954962279694)</f>
        <v>0.6811954962</v>
      </c>
      <c r="AG1838" s="82">
        <f>IFERROR(__xludf.DUMMYFUNCTION("""COMPUTED_VALUE"""),1.149931291518596)</f>
        <v>1.149931292</v>
      </c>
      <c r="AH1838" s="82">
        <f>IFERROR(__xludf.DUMMYFUNCTION("""COMPUTED_VALUE"""),0.6954328996698274)</f>
        <v>0.6954328997</v>
      </c>
      <c r="AI1838" s="82">
        <f>IFERROR(__xludf.DUMMYFUNCTION("""COMPUTED_VALUE"""),1.0082948026998118)</f>
        <v>1.008294803</v>
      </c>
      <c r="AJ1838" s="82">
        <f>IFERROR(__xludf.DUMMYFUNCTION("""COMPUTED_VALUE"""),1.0365456895844138)</f>
        <v>1.03654569</v>
      </c>
      <c r="AK1838" s="82">
        <f>IFERROR(__xludf.DUMMYFUNCTION("""COMPUTED_VALUE"""),1.0560099624177905)</f>
        <v>1.056009962</v>
      </c>
      <c r="AL1838" s="82">
        <f>IFERROR(__xludf.DUMMYFUNCTION("""COMPUTED_VALUE"""),0.8989871293494521)</f>
        <v>0.8989871293</v>
      </c>
      <c r="AM1838" s="82">
        <f>IFERROR(__xludf.DUMMYFUNCTION("""COMPUTED_VALUE"""),1.074535608780759)</f>
        <v>1.074535609</v>
      </c>
      <c r="AN1838" s="82">
        <f>IFERROR(__xludf.DUMMYFUNCTION("""COMPUTED_VALUE"""),0.9181565592641531)</f>
        <v>0.9181565593</v>
      </c>
      <c r="AO1838" s="82">
        <f>IFERROR(__xludf.DUMMYFUNCTION("""COMPUTED_VALUE"""),0.6566435969597981)</f>
        <v>0.656643597</v>
      </c>
      <c r="AP1838" s="82">
        <f>IFERROR(__xludf.DUMMYFUNCTION("""COMPUTED_VALUE"""),0.6817410594392103)</f>
        <v>0.6817410594</v>
      </c>
      <c r="AQ1838" s="82">
        <f>IFERROR(__xludf.DUMMYFUNCTION("""COMPUTED_VALUE"""),1.1735943749756712)</f>
        <v>1.173594375</v>
      </c>
      <c r="AR1838" s="82">
        <f>IFERROR(__xludf.DUMMYFUNCTION("""COMPUTED_VALUE"""),0.6786086674622213)</f>
        <v>0.6786086675</v>
      </c>
      <c r="AS1838" s="82">
        <f>IFERROR(__xludf.DUMMYFUNCTION("""COMPUTED_VALUE"""),75.0)</f>
        <v>75</v>
      </c>
      <c r="AT1838" s="82">
        <f>IFERROR(__xludf.DUMMYFUNCTION("""COMPUTED_VALUE"""),0.3652687299132805)</f>
        <v>0.3652687299</v>
      </c>
      <c r="AU1838" s="82">
        <f>IFERROR(__xludf.DUMMYFUNCTION("""COMPUTED_VALUE"""),1.5142518247541523)</f>
        <v>1.514251825</v>
      </c>
      <c r="AV1838" s="82">
        <f>IFERROR(__xludf.DUMMYFUNCTION("""COMPUTED_VALUE"""),22.54070475284511)</f>
        <v>22.54070475</v>
      </c>
      <c r="AW1838" s="82">
        <f t="shared" si="1"/>
        <v>-7.351801465</v>
      </c>
      <c r="AX1838" s="83">
        <f t="array" ref="AX1838">IFERROR(DGET('SBV Import'!A:G,"SBV",{"RSC ID","Tier";B1838,A1838}))</f>
        <v>29.11680049</v>
      </c>
      <c r="AY1838" s="82">
        <f t="shared" si="2"/>
        <v>-4.956223323</v>
      </c>
      <c r="AZ1838" s="82">
        <v>2.39557814165894</v>
      </c>
      <c r="BA1838" s="84">
        <v>1700.0</v>
      </c>
      <c r="BB1838" s="84" t="b">
        <f>IFERROR(__xludf.DUMMYFUNCTION("iferror(if(A1838="""",,E1838&gt;=FILTER(Constants!$F$2:$F$10,Constants!$A$2:$A$10=A1838)))"),TRUE)</f>
        <v>1</v>
      </c>
    </row>
    <row r="1839">
      <c r="A1839" s="89" t="str">
        <f>IFERROR(__xludf.DUMMYFUNCTION("""COMPUTED_VALUE"""),"Rival")</f>
        <v>Rival</v>
      </c>
      <c r="B1839" s="87" t="str">
        <f>IFERROR(__xludf.DUMMYFUNCTION("""COMPUTED_VALUE"""),"RSC005513")</f>
        <v>RSC005513</v>
      </c>
      <c r="C1839" s="73" t="str">
        <f>IFERROR(__xludf.DUMMYFUNCTION("""COMPUTED_VALUE"""),"TV_ImpactReapz")</f>
        <v>TV_ImpactReapz</v>
      </c>
      <c r="D1839" s="73" t="str">
        <f>IFERROR(__xludf.DUMMYFUNCTION("""COMPUTED_VALUE"""),"Nightfall")</f>
        <v>Nightfall</v>
      </c>
      <c r="E1839" s="82">
        <f>IFERROR(__xludf.DUMMYFUNCTION("""COMPUTED_VALUE"""),12.0)</f>
        <v>12</v>
      </c>
      <c r="F1839" s="82">
        <f>IFERROR(__xludf.DUMMYFUNCTION("""COMPUTED_VALUE"""),4.0)</f>
        <v>4</v>
      </c>
      <c r="G1839" s="86">
        <f>IFERROR(__xludf.DUMMYFUNCTION("""COMPUTED_VALUE"""),8.0)</f>
        <v>8</v>
      </c>
      <c r="H1839" s="86">
        <f>IFERROR(__xludf.DUMMYFUNCTION("""COMPUTED_VALUE"""),0.3333333333333333)</f>
        <v>0.3333333333</v>
      </c>
      <c r="I1839" s="86">
        <f>IFERROR(__xludf.DUMMYFUNCTION("""COMPUTED_VALUE"""),0.2608695652173913)</f>
        <v>0.2608695652</v>
      </c>
      <c r="J1839" s="82">
        <f>IFERROR(__xludf.DUMMYFUNCTION("""COMPUTED_VALUE"""),267.5833333333333)</f>
        <v>267.5833333</v>
      </c>
      <c r="K1839" s="82">
        <f>IFERROR(__xludf.DUMMYFUNCTION("""COMPUTED_VALUE"""),0.5)</f>
        <v>0.5</v>
      </c>
      <c r="L1839" s="82">
        <f>IFERROR(__xludf.DUMMYFUNCTION("""COMPUTED_VALUE"""),0.3333333333333333)</f>
        <v>0.3333333333</v>
      </c>
      <c r="M1839" s="82">
        <f>IFERROR(__xludf.DUMMYFUNCTION("""COMPUTED_VALUE"""),1.3333333333333333)</f>
        <v>1.333333333</v>
      </c>
      <c r="N1839" s="82">
        <f>IFERROR(__xludf.DUMMYFUNCTION("""COMPUTED_VALUE"""),1.9166666666666667)</f>
        <v>1.916666667</v>
      </c>
      <c r="O1839" s="82">
        <f>IFERROR(__xludf.DUMMYFUNCTION("""COMPUTED_VALUE"""),334.27777777777777)</f>
        <v>334.2777778</v>
      </c>
      <c r="P1839" s="82">
        <f>IFERROR(__xludf.DUMMYFUNCTION("""COMPUTED_VALUE"""),0.7777777777777777)</f>
        <v>0.7777777778</v>
      </c>
      <c r="Q1839" s="82">
        <f>IFERROR(__xludf.DUMMYFUNCTION("""COMPUTED_VALUE"""),0.5833333333333334)</f>
        <v>0.5833333333</v>
      </c>
      <c r="R1839" s="82">
        <f>IFERROR(__xludf.DUMMYFUNCTION("""COMPUTED_VALUE"""),1.0833333333333333)</f>
        <v>1.083333333</v>
      </c>
      <c r="S1839" s="82">
        <f>IFERROR(__xludf.DUMMYFUNCTION("""COMPUTED_VALUE"""),2.0833333333333335)</f>
        <v>2.083333333</v>
      </c>
      <c r="T1839" s="82">
        <f>IFERROR(__xludf.DUMMYFUNCTION("""COMPUTED_VALUE"""),347.13196801601043)</f>
        <v>347.131968</v>
      </c>
      <c r="U1839" s="82">
        <f>IFERROR(__xludf.DUMMYFUNCTION("""COMPUTED_VALUE"""),0.787843045881524)</f>
        <v>0.7878430459</v>
      </c>
      <c r="V1839" s="82">
        <f>IFERROR(__xludf.DUMMYFUNCTION("""COMPUTED_VALUE"""),0.5825833050745132)</f>
        <v>0.5825833051</v>
      </c>
      <c r="W1839" s="82">
        <f>IFERROR(__xludf.DUMMYFUNCTION("""COMPUTED_VALUE"""),1.2351020149391598)</f>
        <v>1.235102015</v>
      </c>
      <c r="X1839" s="82">
        <f>IFERROR(__xludf.DUMMYFUNCTION("""COMPUTED_VALUE"""),2.6017359515437053)</f>
        <v>2.601735952</v>
      </c>
      <c r="Y1839" s="82">
        <f>IFERROR(__xludf.DUMMYFUNCTION("""COMPUTED_VALUE"""),354.0253953680165)</f>
        <v>354.0253954</v>
      </c>
      <c r="Z1839" s="82">
        <f>IFERROR(__xludf.DUMMYFUNCTION("""COMPUTED_VALUE"""),0.8078612784698995)</f>
        <v>0.8078612785</v>
      </c>
      <c r="AA1839" s="82">
        <f>IFERROR(__xludf.DUMMYFUNCTION("""COMPUTED_VALUE"""),0.5503720868189083)</f>
        <v>0.5503720868</v>
      </c>
      <c r="AB1839" s="82">
        <f>IFERROR(__xludf.DUMMYFUNCTION("""COMPUTED_VALUE"""),1.3656016429778914)</f>
        <v>1.365601643</v>
      </c>
      <c r="AC1839" s="82">
        <f>IFERROR(__xludf.DUMMYFUNCTION("""COMPUTED_VALUE"""),2.6036598987988797)</f>
        <v>2.603659899</v>
      </c>
      <c r="AD1839" s="82">
        <f>IFERROR(__xludf.DUMMYFUNCTION("""COMPUTED_VALUE"""),0.755830900365707)</f>
        <v>0.7558309004</v>
      </c>
      <c r="AE1839" s="82">
        <f>IFERROR(__xludf.DUMMYFUNCTION("""COMPUTED_VALUE"""),0.6189181401873932)</f>
        <v>0.6189181402</v>
      </c>
      <c r="AF1839" s="82">
        <f>IFERROR(__xludf.DUMMYFUNCTION("""COMPUTED_VALUE"""),0.6056508702321084)</f>
        <v>0.6056508702</v>
      </c>
      <c r="AG1839" s="82">
        <f>IFERROR(__xludf.DUMMYFUNCTION("""COMPUTED_VALUE"""),0.9763706276933056)</f>
        <v>0.9763706277</v>
      </c>
      <c r="AH1839" s="82">
        <f>IFERROR(__xludf.DUMMYFUNCTION("""COMPUTED_VALUE"""),0.7361432526386658)</f>
        <v>0.7361432526</v>
      </c>
      <c r="AI1839" s="82">
        <f>IFERROR(__xludf.DUMMYFUNCTION("""COMPUTED_VALUE"""),0.9629703069074877)</f>
        <v>0.9629703069</v>
      </c>
      <c r="AJ1839" s="82">
        <f>IFERROR(__xludf.DUMMYFUNCTION("""COMPUTED_VALUE"""),0.9872242724532979)</f>
        <v>0.9872242725</v>
      </c>
      <c r="AK1839" s="82">
        <f>IFERROR(__xludf.DUMMYFUNCTION("""COMPUTED_VALUE"""),1.0012874180435436)</f>
        <v>1.001287418</v>
      </c>
      <c r="AL1839" s="82">
        <f>IFERROR(__xludf.DUMMYFUNCTION("""COMPUTED_VALUE"""),0.877120529502737)</f>
        <v>0.8771205295</v>
      </c>
      <c r="AM1839" s="82">
        <f>IFERROR(__xludf.DUMMYFUNCTION("""COMPUTED_VALUE"""),0.8007474133173336)</f>
        <v>0.8007474133</v>
      </c>
      <c r="AN1839" s="82">
        <f>IFERROR(__xludf.DUMMYFUNCTION("""COMPUTED_VALUE"""),0.7891526020721559)</f>
        <v>0.7891526021</v>
      </c>
      <c r="AO1839" s="82">
        <f>IFERROR(__xludf.DUMMYFUNCTION("""COMPUTED_VALUE"""),0.6722779683159839)</f>
        <v>0.6722779683</v>
      </c>
      <c r="AP1839" s="82">
        <f>IFERROR(__xludf.DUMMYFUNCTION("""COMPUTED_VALUE"""),0.6107263657476258)</f>
        <v>0.6107263657</v>
      </c>
      <c r="AQ1839" s="82">
        <f>IFERROR(__xludf.DUMMYFUNCTION("""COMPUTED_VALUE"""),1.0194860227061384)</f>
        <v>1.019486023</v>
      </c>
      <c r="AR1839" s="82">
        <f>IFERROR(__xludf.DUMMYFUNCTION("""COMPUTED_VALUE"""),0.7661460868951334)</f>
        <v>0.7661460869</v>
      </c>
      <c r="AS1839" s="82">
        <f>IFERROR(__xludf.DUMMYFUNCTION("""COMPUTED_VALUE"""),27.0)</f>
        <v>27</v>
      </c>
      <c r="AT1839" s="82">
        <f>IFERROR(__xludf.DUMMYFUNCTION("""COMPUTED_VALUE"""),0.4859298224934414)</f>
        <v>0.4859298225</v>
      </c>
      <c r="AU1839" s="82">
        <f>IFERROR(__xludf.DUMMYFUNCTION("""COMPUTED_VALUE"""),1.4874398284592383)</f>
        <v>1.487439828</v>
      </c>
      <c r="AV1839" s="82">
        <f>IFERROR(__xludf.DUMMYFUNCTION("""COMPUTED_VALUE"""),21.77307797154071)</f>
        <v>21.77307797</v>
      </c>
      <c r="AW1839" s="82">
        <f t="shared" si="1"/>
        <v>-7.726022778</v>
      </c>
      <c r="AX1839" s="83">
        <f t="array" ref="AX1839">IFERROR(DGET('SBV Import'!A:G,"SBV",{"RSC ID","Tier";B1839,A1839}))</f>
        <v>34.14523501</v>
      </c>
      <c r="AY1839" s="82">
        <f t="shared" si="2"/>
        <v>-3.802596264</v>
      </c>
      <c r="AZ1839" s="82">
        <v>3.923426514092709</v>
      </c>
      <c r="BA1839" s="84">
        <v>1700.0</v>
      </c>
      <c r="BB1839" s="84" t="b">
        <f>IFERROR(__xludf.DUMMYFUNCTION("iferror(if(A1839="""",,E1839&gt;=FILTER(Constants!$F$2:$F$10,Constants!$A$2:$A$10=A1839)))"),TRUE)</f>
        <v>1</v>
      </c>
    </row>
    <row r="1840">
      <c r="A1840" s="89" t="str">
        <f>IFERROR(__xludf.DUMMYFUNCTION("""COMPUTED_VALUE"""),"Rival")</f>
        <v>Rival</v>
      </c>
      <c r="B1840" s="87" t="str">
        <f>IFERROR(__xludf.DUMMYFUNCTION("""COMPUTED_VALUE"""),"RSC006910")</f>
        <v>RSC006910</v>
      </c>
      <c r="C1840" s="73" t="str">
        <f>IFERROR(__xludf.DUMMYFUNCTION("""COMPUTED_VALUE"""),"Swanny2.0")</f>
        <v>Swanny2.0</v>
      </c>
      <c r="D1840" s="73" t="str">
        <f>IFERROR(__xludf.DUMMYFUNCTION("""COMPUTED_VALUE"""),"Hue Heroes")</f>
        <v>Hue Heroes</v>
      </c>
      <c r="E1840" s="82">
        <f>IFERROR(__xludf.DUMMYFUNCTION("""COMPUTED_VALUE"""),21.0)</f>
        <v>21</v>
      </c>
      <c r="F1840" s="82">
        <f>IFERROR(__xludf.DUMMYFUNCTION("""COMPUTED_VALUE"""),5.0)</f>
        <v>5</v>
      </c>
      <c r="G1840" s="86">
        <f>IFERROR(__xludf.DUMMYFUNCTION("""COMPUTED_VALUE"""),16.0)</f>
        <v>16</v>
      </c>
      <c r="H1840" s="86">
        <f>IFERROR(__xludf.DUMMYFUNCTION("""COMPUTED_VALUE"""),0.23809523809523808)</f>
        <v>0.2380952381</v>
      </c>
      <c r="I1840" s="86">
        <f>IFERROR(__xludf.DUMMYFUNCTION("""COMPUTED_VALUE"""),0.393939393939394)</f>
        <v>0.3939393939</v>
      </c>
      <c r="J1840" s="82">
        <f>IFERROR(__xludf.DUMMYFUNCTION("""COMPUTED_VALUE"""),277.9047619047619)</f>
        <v>277.9047619</v>
      </c>
      <c r="K1840" s="82">
        <f>IFERROR(__xludf.DUMMYFUNCTION("""COMPUTED_VALUE"""),0.6190476190476191)</f>
        <v>0.619047619</v>
      </c>
      <c r="L1840" s="82">
        <f>IFERROR(__xludf.DUMMYFUNCTION("""COMPUTED_VALUE"""),0.2857142857142857)</f>
        <v>0.2857142857</v>
      </c>
      <c r="M1840" s="82">
        <f>IFERROR(__xludf.DUMMYFUNCTION("""COMPUTED_VALUE"""),1.2380952380952381)</f>
        <v>1.238095238</v>
      </c>
      <c r="N1840" s="82">
        <f>IFERROR(__xludf.DUMMYFUNCTION("""COMPUTED_VALUE"""),1.5714285714285714)</f>
        <v>1.571428571</v>
      </c>
      <c r="O1840" s="82">
        <f>IFERROR(__xludf.DUMMYFUNCTION("""COMPUTED_VALUE"""),375.25396825396825)</f>
        <v>375.2539683</v>
      </c>
      <c r="P1840" s="82">
        <f>IFERROR(__xludf.DUMMYFUNCTION("""COMPUTED_VALUE"""),1.126984126984127)</f>
        <v>1.126984127</v>
      </c>
      <c r="Q1840" s="82">
        <f>IFERROR(__xludf.DUMMYFUNCTION("""COMPUTED_VALUE"""),0.7936507936507938)</f>
        <v>0.7936507937</v>
      </c>
      <c r="R1840" s="82">
        <f>IFERROR(__xludf.DUMMYFUNCTION("""COMPUTED_VALUE"""),0.9523809523809522)</f>
        <v>0.9523809524</v>
      </c>
      <c r="S1840" s="82">
        <f>IFERROR(__xludf.DUMMYFUNCTION("""COMPUTED_VALUE"""),2.6666666666666665)</f>
        <v>2.666666667</v>
      </c>
      <c r="T1840" s="82">
        <f>IFERROR(__xludf.DUMMYFUNCTION("""COMPUTED_VALUE"""),366.9723372959296)</f>
        <v>366.9723373</v>
      </c>
      <c r="U1840" s="82">
        <f>IFERROR(__xludf.DUMMYFUNCTION("""COMPUTED_VALUE"""),0.9182678851534527)</f>
        <v>0.9182678852</v>
      </c>
      <c r="V1840" s="82">
        <f>IFERROR(__xludf.DUMMYFUNCTION("""COMPUTED_VALUE"""),0.7028288200896826)</f>
        <v>0.7028288201</v>
      </c>
      <c r="W1840" s="82">
        <f>IFERROR(__xludf.DUMMYFUNCTION("""COMPUTED_VALUE"""),1.2179542840220137)</f>
        <v>1.217954284</v>
      </c>
      <c r="X1840" s="82">
        <f>IFERROR(__xludf.DUMMYFUNCTION("""COMPUTED_VALUE"""),2.76758213389093)</f>
        <v>2.767582134</v>
      </c>
      <c r="Y1840" s="82">
        <f>IFERROR(__xludf.DUMMYFUNCTION("""COMPUTED_VALUE"""),333.14184395622294)</f>
        <v>333.141844</v>
      </c>
      <c r="Z1840" s="82">
        <f>IFERROR(__xludf.DUMMYFUNCTION("""COMPUTED_VALUE"""),0.6922740780652257)</f>
        <v>0.6922740781</v>
      </c>
      <c r="AA1840" s="82">
        <f>IFERROR(__xludf.DUMMYFUNCTION("""COMPUTED_VALUE"""),0.49513665675998386)</f>
        <v>0.4951366568</v>
      </c>
      <c r="AB1840" s="82">
        <f>IFERROR(__xludf.DUMMYFUNCTION("""COMPUTED_VALUE"""),1.3727022673742781)</f>
        <v>1.372702267</v>
      </c>
      <c r="AC1840" s="82">
        <f>IFERROR(__xludf.DUMMYFUNCTION("""COMPUTED_VALUE"""),2.370729239039127)</f>
        <v>2.370729239</v>
      </c>
      <c r="AD1840" s="82">
        <f>IFERROR(__xludf.DUMMYFUNCTION("""COMPUTED_VALUE"""),0.8341935032972936)</f>
        <v>0.8341935033</v>
      </c>
      <c r="AE1840" s="82">
        <f>IFERROR(__xludf.DUMMYFUNCTION("""COMPUTED_VALUE"""),0.8942233122143464)</f>
        <v>0.8942233122</v>
      </c>
      <c r="AF1840" s="82">
        <f>IFERROR(__xludf.DUMMYFUNCTION("""COMPUTED_VALUE"""),0.5770412709572116)</f>
        <v>0.577041271</v>
      </c>
      <c r="AG1840" s="82">
        <f>IFERROR(__xludf.DUMMYFUNCTION("""COMPUTED_VALUE"""),0.9019401129594417)</f>
        <v>0.901940113</v>
      </c>
      <c r="AH1840" s="82">
        <f>IFERROR(__xludf.DUMMYFUNCTION("""COMPUTED_VALUE"""),0.6628460751871784)</f>
        <v>0.6628460752</v>
      </c>
      <c r="AI1840" s="82">
        <f>IFERROR(__xludf.DUMMYFUNCTION("""COMPUTED_VALUE"""),1.0225674529558892)</f>
        <v>1.022567453</v>
      </c>
      <c r="AJ1840" s="82">
        <f>IFERROR(__xludf.DUMMYFUNCTION("""COMPUTED_VALUE"""),1.2272934131806161)</f>
        <v>1.227293413</v>
      </c>
      <c r="AK1840" s="82">
        <f>IFERROR(__xludf.DUMMYFUNCTION("""COMPUTED_VALUE"""),1.1292234623354263)</f>
        <v>1.129223462</v>
      </c>
      <c r="AL1840" s="82">
        <f>IFERROR(__xludf.DUMMYFUNCTION("""COMPUTED_VALUE"""),0.7819513136699461)</f>
        <v>0.7819513137</v>
      </c>
      <c r="AM1840" s="82">
        <f>IFERROR(__xludf.DUMMYFUNCTION("""COMPUTED_VALUE"""),0.9635365953593628)</f>
        <v>0.9635365954</v>
      </c>
      <c r="AN1840" s="82">
        <f>IFERROR(__xludf.DUMMYFUNCTION("""COMPUTED_VALUE"""),0.8195923985750949)</f>
        <v>0.8195923986</v>
      </c>
      <c r="AO1840" s="82">
        <f>IFERROR(__xludf.DUMMYFUNCTION("""COMPUTED_VALUE"""),0.832344151248361)</f>
        <v>0.8323441512</v>
      </c>
      <c r="AP1840" s="82">
        <f>IFERROR(__xludf.DUMMYFUNCTION("""COMPUTED_VALUE"""),0.5234797420693935)</f>
        <v>0.5234797421</v>
      </c>
      <c r="AQ1840" s="82">
        <f>IFERROR(__xludf.DUMMYFUNCTION("""COMPUTED_VALUE"""),0.946665592512843)</f>
        <v>0.9466655925</v>
      </c>
      <c r="AR1840" s="82">
        <f>IFERROR(__xludf.DUMMYFUNCTION("""COMPUTED_VALUE"""),0.6281446178270659)</f>
        <v>0.6281446178</v>
      </c>
      <c r="AS1840" s="82">
        <f>IFERROR(__xludf.DUMMYFUNCTION("""COMPUTED_VALUE"""),40.0)</f>
        <v>40</v>
      </c>
      <c r="AT1840" s="82">
        <f>IFERROR(__xludf.DUMMYFUNCTION("""COMPUTED_VALUE"""),0.28387529086754076)</f>
        <v>0.2838752909</v>
      </c>
      <c r="AU1840" s="82">
        <f>IFERROR(__xludf.DUMMYFUNCTION("""COMPUTED_VALUE"""),1.4681678065509807)</f>
        <v>1.468167807</v>
      </c>
      <c r="AV1840" s="82">
        <f>IFERROR(__xludf.DUMMYFUNCTION("""COMPUTED_VALUE"""),21.221320467774763)</f>
        <v>21.22132047</v>
      </c>
      <c r="AW1840" s="82">
        <f t="shared" si="1"/>
        <v>-8.010519721</v>
      </c>
      <c r="AX1840" s="83">
        <f t="array" ref="AX1840">IFERROR(DGET('SBV Import'!A:G,"SBV",{"RSC ID","Tier";B1840,A1840}))</f>
        <v>26.85028031</v>
      </c>
      <c r="AY1840" s="82">
        <f t="shared" si="2"/>
        <v>-5.642516017</v>
      </c>
      <c r="AZ1840" s="82">
        <v>2.3680037036141606</v>
      </c>
      <c r="BA1840" s="84">
        <v>1700.0</v>
      </c>
      <c r="BB1840" s="84" t="b">
        <f>IFERROR(__xludf.DUMMYFUNCTION("iferror(if(A1840="""",,E1840&gt;=FILTER(Constants!$F$2:$F$10,Constants!$A$2:$A$10=A1840)))"),TRUE)</f>
        <v>1</v>
      </c>
    </row>
    <row r="1841">
      <c r="A1841" s="89" t="str">
        <f>IFERROR(__xludf.DUMMYFUNCTION("""COMPUTED_VALUE"""),"Rival")</f>
        <v>Rival</v>
      </c>
      <c r="B1841" s="87" t="str">
        <f>IFERROR(__xludf.DUMMYFUNCTION("""COMPUTED_VALUE"""),"RSC002204")</f>
        <v>RSC002204</v>
      </c>
      <c r="C1841" s="73" t="str">
        <f>IFERROR(__xludf.DUMMYFUNCTION("""COMPUTED_VALUE"""),"Mr.Numb3rz")</f>
        <v>Mr.Numb3rz</v>
      </c>
      <c r="D1841" s="73"/>
      <c r="E1841" s="82">
        <f>IFERROR(__xludf.DUMMYFUNCTION("""COMPUTED_VALUE"""),6.0)</f>
        <v>6</v>
      </c>
      <c r="F1841" s="82">
        <f>IFERROR(__xludf.DUMMYFUNCTION("""COMPUTED_VALUE"""),2.0)</f>
        <v>2</v>
      </c>
      <c r="G1841" s="86">
        <f>IFERROR(__xludf.DUMMYFUNCTION("""COMPUTED_VALUE"""),4.0)</f>
        <v>4</v>
      </c>
      <c r="H1841" s="86">
        <f>IFERROR(__xludf.DUMMYFUNCTION("""COMPUTED_VALUE"""),0.3333333333333333)</f>
        <v>0.3333333333</v>
      </c>
      <c r="I1841" s="86">
        <f>IFERROR(__xludf.DUMMYFUNCTION("""COMPUTED_VALUE"""),0.2)</f>
        <v>0.2</v>
      </c>
      <c r="J1841" s="82">
        <f>IFERROR(__xludf.DUMMYFUNCTION("""COMPUTED_VALUE"""),286.3333333333333)</f>
        <v>286.3333333</v>
      </c>
      <c r="K1841" s="82">
        <f>IFERROR(__xludf.DUMMYFUNCTION("""COMPUTED_VALUE"""),0.5)</f>
        <v>0.5</v>
      </c>
      <c r="L1841" s="82">
        <f>IFERROR(__xludf.DUMMYFUNCTION("""COMPUTED_VALUE"""),0.3333333333333333)</f>
        <v>0.3333333333</v>
      </c>
      <c r="M1841" s="82">
        <f>IFERROR(__xludf.DUMMYFUNCTION("""COMPUTED_VALUE"""),1.3333333333333333)</f>
        <v>1.333333333</v>
      </c>
      <c r="N1841" s="82">
        <f>IFERROR(__xludf.DUMMYFUNCTION("""COMPUTED_VALUE"""),2.5)</f>
        <v>2.5</v>
      </c>
      <c r="O1841" s="82">
        <f>IFERROR(__xludf.DUMMYFUNCTION("""COMPUTED_VALUE"""),420.8888888888889)</f>
        <v>420.8888889</v>
      </c>
      <c r="P1841" s="82">
        <f>IFERROR(__xludf.DUMMYFUNCTION("""COMPUTED_VALUE"""),1.0555555555555556)</f>
        <v>1.055555556</v>
      </c>
      <c r="Q1841" s="82">
        <f>IFERROR(__xludf.DUMMYFUNCTION("""COMPUTED_VALUE"""),0.7777777777777778)</f>
        <v>0.7777777778</v>
      </c>
      <c r="R1841" s="82">
        <f>IFERROR(__xludf.DUMMYFUNCTION("""COMPUTED_VALUE"""),1.5555555555555556)</f>
        <v>1.555555556</v>
      </c>
      <c r="S1841" s="82">
        <f>IFERROR(__xludf.DUMMYFUNCTION("""COMPUTED_VALUE"""),3.222222222222222)</f>
        <v>3.222222222</v>
      </c>
      <c r="T1841" s="82">
        <f>IFERROR(__xludf.DUMMYFUNCTION("""COMPUTED_VALUE"""),376.67577233103543)</f>
        <v>376.6757723</v>
      </c>
      <c r="U1841" s="82">
        <f>IFERROR(__xludf.DUMMYFUNCTION("""COMPUTED_VALUE"""),0.8494866323813692)</f>
        <v>0.8494866324</v>
      </c>
      <c r="V1841" s="82">
        <f>IFERROR(__xludf.DUMMYFUNCTION("""COMPUTED_VALUE"""),0.6904575628259838)</f>
        <v>0.6904575628</v>
      </c>
      <c r="W1841" s="82">
        <f>IFERROR(__xludf.DUMMYFUNCTION("""COMPUTED_VALUE"""),1.38325977799662)</f>
        <v>1.383259778</v>
      </c>
      <c r="X1841" s="82">
        <f>IFERROR(__xludf.DUMMYFUNCTION("""COMPUTED_VALUE"""),2.728502389028705)</f>
        <v>2.728502389</v>
      </c>
      <c r="Y1841" s="82">
        <f>IFERROR(__xludf.DUMMYFUNCTION("""COMPUTED_VALUE"""),352.5918688931847)</f>
        <v>352.5918689</v>
      </c>
      <c r="Z1841" s="82">
        <f>IFERROR(__xludf.DUMMYFUNCTION("""COMPUTED_VALUE"""),0.8628763378763379)</f>
        <v>0.8628763379</v>
      </c>
      <c r="AA1841" s="82">
        <f>IFERROR(__xludf.DUMMYFUNCTION("""COMPUTED_VALUE"""),0.5875356125356125)</f>
        <v>0.5875356125</v>
      </c>
      <c r="AB1841" s="82">
        <f>IFERROR(__xludf.DUMMYFUNCTION("""COMPUTED_VALUE"""),1.233075484391274)</f>
        <v>1.233075484</v>
      </c>
      <c r="AC1841" s="82">
        <f>IFERROR(__xludf.DUMMYFUNCTION("""COMPUTED_VALUE"""),2.7109900386216172)</f>
        <v>2.710990039</v>
      </c>
      <c r="AD1841" s="82">
        <f>IFERROR(__xludf.DUMMYFUNCTION("""COMPUTED_VALUE"""),0.8120814987372157)</f>
        <v>0.8120814987</v>
      </c>
      <c r="AE1841" s="82">
        <f>IFERROR(__xludf.DUMMYFUNCTION("""COMPUTED_VALUE"""),0.5794573081359161)</f>
        <v>0.5794573081</v>
      </c>
      <c r="AF1841" s="82">
        <f>IFERROR(__xludf.DUMMYFUNCTION("""COMPUTED_VALUE"""),0.5673414959389017)</f>
        <v>0.5673414959</v>
      </c>
      <c r="AG1841" s="82">
        <f>IFERROR(__xludf.DUMMYFUNCTION("""COMPUTED_VALUE"""),1.08130714640844)</f>
        <v>1.081307146</v>
      </c>
      <c r="AH1841" s="82">
        <f>IFERROR(__xludf.DUMMYFUNCTION("""COMPUTED_VALUE"""),0.9221723298072708)</f>
        <v>0.9221723298</v>
      </c>
      <c r="AI1841" s="82">
        <f>IFERROR(__xludf.DUMMYFUNCTION("""COMPUTED_VALUE"""),1.1173771179501226)</f>
        <v>1.117377118</v>
      </c>
      <c r="AJ1841" s="82">
        <f>IFERROR(__xludf.DUMMYFUNCTION("""COMPUTED_VALUE"""),1.242580536666613)</f>
        <v>1.242580537</v>
      </c>
      <c r="AK1841" s="82">
        <f>IFERROR(__xludf.DUMMYFUNCTION("""COMPUTED_VALUE"""),1.1264671714136925)</f>
        <v>1.126467171</v>
      </c>
      <c r="AL1841" s="82">
        <f>IFERROR(__xludf.DUMMYFUNCTION("""COMPUTED_VALUE"""),1.12455778755345)</f>
        <v>1.124557788</v>
      </c>
      <c r="AM1841" s="82">
        <f>IFERROR(__xludf.DUMMYFUNCTION("""COMPUTED_VALUE"""),1.180949019938103)</f>
        <v>1.18094902</v>
      </c>
      <c r="AN1841" s="82">
        <f>IFERROR(__xludf.DUMMYFUNCTION("""COMPUTED_VALUE"""),0.8444498102522353)</f>
        <v>0.8444498103</v>
      </c>
      <c r="AO1841" s="82">
        <f>IFERROR(__xludf.DUMMYFUNCTION("""COMPUTED_VALUE"""),0.6722779683159839)</f>
        <v>0.6722779683</v>
      </c>
      <c r="AP1841" s="82">
        <f>IFERROR(__xludf.DUMMYFUNCTION("""COMPUTED_VALUE"""),0.6107263657476258)</f>
        <v>0.6107263657</v>
      </c>
      <c r="AQ1841" s="82">
        <f>IFERROR(__xludf.DUMMYFUNCTION("""COMPUTED_VALUE"""),1.0194860227061384)</f>
        <v>1.019486023</v>
      </c>
      <c r="AR1841" s="82">
        <f>IFERROR(__xludf.DUMMYFUNCTION("""COMPUTED_VALUE"""),0.9993209829066958)</f>
        <v>0.9993209829</v>
      </c>
      <c r="AS1841" s="82">
        <f>IFERROR(__xludf.DUMMYFUNCTION("""COMPUTED_VALUE"""),9.0)</f>
        <v>9</v>
      </c>
      <c r="AT1841" s="82">
        <f>IFERROR(__xludf.DUMMYFUNCTION("""COMPUTED_VALUE"""),0.23818552466457016)</f>
        <v>0.2381855247</v>
      </c>
      <c r="AU1841" s="82">
        <f>IFERROR(__xludf.DUMMYFUNCTION("""COMPUTED_VALUE"""),1.4080764632737361)</f>
        <v>1.408076463</v>
      </c>
      <c r="AV1841" s="82">
        <f>IFERROR(__xludf.DUMMYFUNCTION("""COMPUTED_VALUE"""),19.50090681722839)</f>
        <v>19.50090682</v>
      </c>
      <c r="AW1841" s="82">
        <f t="shared" si="1"/>
        <v>-8.989627628</v>
      </c>
      <c r="AX1841" s="83">
        <f t="array" ref="AX1841">IFERROR(DGET('SBV Import'!A:G,"SBV",{"RSC ID","Tier";B1841,A1841}))</f>
        <v>13.53034308</v>
      </c>
      <c r="AY1841" s="82">
        <f t="shared" si="2"/>
        <v>-13.82896904</v>
      </c>
      <c r="AZ1841" s="82">
        <v>4.839341411303609</v>
      </c>
      <c r="BA1841" s="84">
        <v>1700.0</v>
      </c>
      <c r="BB1841" s="84" t="b">
        <f>IFERROR(__xludf.DUMMYFUNCTION("iferror(if(A1841="""",,E1841&gt;=FILTER(Constants!$F$2:$F$10,Constants!$A$2:$A$10=A1841)))"),TRUE)</f>
        <v>1</v>
      </c>
    </row>
    <row r="1842">
      <c r="A1842" s="89" t="str">
        <f>IFERROR(__xludf.DUMMYFUNCTION("""COMPUTED_VALUE"""),"Rival")</f>
        <v>Rival</v>
      </c>
      <c r="B1842" s="87" t="str">
        <f>IFERROR(__xludf.DUMMYFUNCTION("""COMPUTED_VALUE"""),"RSC004790")</f>
        <v>RSC004790</v>
      </c>
      <c r="C1842" s="73" t="str">
        <f>IFERROR(__xludf.DUMMYFUNCTION("""COMPUTED_VALUE"""),"TheFrostNL")</f>
        <v>TheFrostNL</v>
      </c>
      <c r="D1842" s="73"/>
      <c r="E1842" s="82">
        <f>IFERROR(__xludf.DUMMYFUNCTION("""COMPUTED_VALUE"""),13.0)</f>
        <v>13</v>
      </c>
      <c r="F1842" s="82">
        <f>IFERROR(__xludf.DUMMYFUNCTION("""COMPUTED_VALUE"""),7.0)</f>
        <v>7</v>
      </c>
      <c r="G1842" s="86">
        <f>IFERROR(__xludf.DUMMYFUNCTION("""COMPUTED_VALUE"""),6.0)</f>
        <v>6</v>
      </c>
      <c r="H1842" s="86">
        <f>IFERROR(__xludf.DUMMYFUNCTION("""COMPUTED_VALUE"""),0.5384615384615384)</f>
        <v>0.5384615385</v>
      </c>
      <c r="I1842" s="86">
        <f>IFERROR(__xludf.DUMMYFUNCTION("""COMPUTED_VALUE"""),0.19230769230769232)</f>
        <v>0.1923076923</v>
      </c>
      <c r="J1842" s="82">
        <f>IFERROR(__xludf.DUMMYFUNCTION("""COMPUTED_VALUE"""),283.0)</f>
        <v>283</v>
      </c>
      <c r="K1842" s="82">
        <f>IFERROR(__xludf.DUMMYFUNCTION("""COMPUTED_VALUE"""),0.38461538461538464)</f>
        <v>0.3846153846</v>
      </c>
      <c r="L1842" s="82">
        <f>IFERROR(__xludf.DUMMYFUNCTION("""COMPUTED_VALUE"""),0.07692307692307693)</f>
        <v>0.07692307692</v>
      </c>
      <c r="M1842" s="82">
        <f>IFERROR(__xludf.DUMMYFUNCTION("""COMPUTED_VALUE"""),1.5384615384615385)</f>
        <v>1.538461538</v>
      </c>
      <c r="N1842" s="82">
        <f>IFERROR(__xludf.DUMMYFUNCTION("""COMPUTED_VALUE"""),2.0)</f>
        <v>2</v>
      </c>
      <c r="O1842" s="82">
        <f>IFERROR(__xludf.DUMMYFUNCTION("""COMPUTED_VALUE"""),315.2307692307692)</f>
        <v>315.2307692</v>
      </c>
      <c r="P1842" s="82">
        <f>IFERROR(__xludf.DUMMYFUNCTION("""COMPUTED_VALUE"""),0.5641025641025641)</f>
        <v>0.5641025641</v>
      </c>
      <c r="Q1842" s="82">
        <f>IFERROR(__xludf.DUMMYFUNCTION("""COMPUTED_VALUE"""),0.46153846153846156)</f>
        <v>0.4615384615</v>
      </c>
      <c r="R1842" s="82">
        <f>IFERROR(__xludf.DUMMYFUNCTION("""COMPUTED_VALUE"""),1.1538461538461537)</f>
        <v>1.153846154</v>
      </c>
      <c r="S1842" s="82">
        <f>IFERROR(__xludf.DUMMYFUNCTION("""COMPUTED_VALUE"""),2.5384615384615383)</f>
        <v>2.538461538</v>
      </c>
      <c r="T1842" s="82">
        <f>IFERROR(__xludf.DUMMYFUNCTION("""COMPUTED_VALUE"""),354.6325175426569)</f>
        <v>354.6325175</v>
      </c>
      <c r="U1842" s="82">
        <f>IFERROR(__xludf.DUMMYFUNCTION("""COMPUTED_VALUE"""),0.8209787689663852)</f>
        <v>0.820978769</v>
      </c>
      <c r="V1842" s="82">
        <f>IFERROR(__xludf.DUMMYFUNCTION("""COMPUTED_VALUE"""),0.5516461264913278)</f>
        <v>0.5516461265</v>
      </c>
      <c r="W1842" s="82">
        <f>IFERROR(__xludf.DUMMYFUNCTION("""COMPUTED_VALUE"""),1.3058532254352682)</f>
        <v>1.305853225</v>
      </c>
      <c r="X1842" s="82">
        <f>IFERROR(__xludf.DUMMYFUNCTION("""COMPUTED_VALUE"""),2.699983894101541)</f>
        <v>2.699983894</v>
      </c>
      <c r="Y1842" s="82">
        <f>IFERROR(__xludf.DUMMYFUNCTION("""COMPUTED_VALUE"""),336.62010911440734)</f>
        <v>336.6201091</v>
      </c>
      <c r="Z1842" s="82">
        <f>IFERROR(__xludf.DUMMYFUNCTION("""COMPUTED_VALUE"""),0.7119134954790269)</f>
        <v>0.7119134955</v>
      </c>
      <c r="AA1842" s="82">
        <f>IFERROR(__xludf.DUMMYFUNCTION("""COMPUTED_VALUE"""),0.46740687359882416)</f>
        <v>0.4674068736</v>
      </c>
      <c r="AB1842" s="82">
        <f>IFERROR(__xludf.DUMMYFUNCTION("""COMPUTED_VALUE"""),1.3640883330253812)</f>
        <v>1.364088333</v>
      </c>
      <c r="AC1842" s="82">
        <f>IFERROR(__xludf.DUMMYFUNCTION("""COMPUTED_VALUE"""),2.442237368372559)</f>
        <v>2.442237368</v>
      </c>
      <c r="AD1842" s="82">
        <f>IFERROR(__xludf.DUMMYFUNCTION("""COMPUTED_VALUE"""),0.8407103210337816)</f>
        <v>0.840710321</v>
      </c>
      <c r="AE1842" s="82">
        <f>IFERROR(__xludf.DUMMYFUNCTION("""COMPUTED_VALUE"""),0.5402557853698048)</f>
        <v>0.5402557854</v>
      </c>
      <c r="AF1842" s="82">
        <f>IFERROR(__xludf.DUMMYFUNCTION("""COMPUTED_VALUE"""),0.16457412431871957)</f>
        <v>0.1645741243</v>
      </c>
      <c r="AG1842" s="82">
        <f>IFERROR(__xludf.DUMMYFUNCTION("""COMPUTED_VALUE"""),1.127831315036189)</f>
        <v>1.127831315</v>
      </c>
      <c r="AH1842" s="82">
        <f>IFERROR(__xludf.DUMMYFUNCTION("""COMPUTED_VALUE"""),0.8189212178555543)</f>
        <v>0.8189212179</v>
      </c>
      <c r="AI1842" s="82">
        <f>IFERROR(__xludf.DUMMYFUNCTION("""COMPUTED_VALUE"""),0.88889414714445)</f>
        <v>0.8888941471</v>
      </c>
      <c r="AJ1842" s="82">
        <f>IFERROR(__xludf.DUMMYFUNCTION("""COMPUTED_VALUE"""),0.6871098077393292)</f>
        <v>0.6871098077</v>
      </c>
      <c r="AK1842" s="82">
        <f>IFERROR(__xludf.DUMMYFUNCTION("""COMPUTED_VALUE"""),0.8366567612357144)</f>
        <v>0.8366567612</v>
      </c>
      <c r="AL1842" s="82">
        <f>IFERROR(__xludf.DUMMYFUNCTION("""COMPUTED_VALUE"""),0.8835955920402561)</f>
        <v>0.883595592</v>
      </c>
      <c r="AM1842" s="82">
        <f>IFERROR(__xludf.DUMMYFUNCTION("""COMPUTED_VALUE"""),0.9401765484628006)</f>
        <v>0.9401765485</v>
      </c>
      <c r="AN1842" s="82">
        <f>IFERROR(__xludf.DUMMYFUNCTION("""COMPUTED_VALUE"""),0.8346191954646657)</f>
        <v>0.8346191955</v>
      </c>
      <c r="AO1842" s="82">
        <f>IFERROR(__xludf.DUMMYFUNCTION("""COMPUTED_VALUE"""),0.517136898704603)</f>
        <v>0.5171368987</v>
      </c>
      <c r="AP1842" s="82">
        <f>IFERROR(__xludf.DUMMYFUNCTION("""COMPUTED_VALUE"""),0.14093685363406752)</f>
        <v>0.1409368536</v>
      </c>
      <c r="AQ1842" s="82">
        <f>IFERROR(__xludf.DUMMYFUNCTION("""COMPUTED_VALUE"""),1.1763300261993908)</f>
        <v>1.176330026</v>
      </c>
      <c r="AR1842" s="82">
        <f>IFERROR(__xludf.DUMMYFUNCTION("""COMPUTED_VALUE"""),0.7994567863253565)</f>
        <v>0.7994567863</v>
      </c>
      <c r="AS1842" s="82">
        <f>IFERROR(__xludf.DUMMYFUNCTION("""COMPUTED_VALUE"""),20.0)</f>
        <v>20</v>
      </c>
      <c r="AT1842" s="82">
        <f>IFERROR(__xludf.DUMMYFUNCTION("""COMPUTED_VALUE"""),0.4666875733624595)</f>
        <v>0.4666875734</v>
      </c>
      <c r="AU1842" s="82">
        <f>IFERROR(__xludf.DUMMYFUNCTION("""COMPUTED_VALUE"""),1.2627448031991604)</f>
        <v>1.262744803</v>
      </c>
      <c r="AV1842" s="82">
        <f>IFERROR(__xludf.DUMMYFUNCTION("""COMPUTED_VALUE"""),15.340065035155142)</f>
        <v>15.34006504</v>
      </c>
      <c r="AW1842" s="82">
        <f t="shared" si="1"/>
        <v>-12.07542866</v>
      </c>
      <c r="AX1842" s="83">
        <f t="array" ref="AX1842">IFERROR(DGET('SBV Import'!A:G,"SBV",{"RSC ID","Tier";B1842,A1842}))</f>
        <v>24.63428918</v>
      </c>
      <c r="AY1842" s="82">
        <f t="shared" si="2"/>
        <v>-6.44572898</v>
      </c>
      <c r="AZ1842" s="82">
        <v>5.629699675387755</v>
      </c>
      <c r="BA1842" s="84">
        <v>1700.0</v>
      </c>
      <c r="BB1842" s="84" t="b">
        <f>IFERROR(__xludf.DUMMYFUNCTION("iferror(if(A1842="""",,E1842&gt;=FILTER(Constants!$F$2:$F$10,Constants!$A$2:$A$10=A1842)))"),TRUE)</f>
        <v>1</v>
      </c>
    </row>
    <row r="1843">
      <c r="A1843" s="89" t="str">
        <f>IFERROR(__xludf.DUMMYFUNCTION("""COMPUTED_VALUE"""),"Rival")</f>
        <v>Rival</v>
      </c>
      <c r="B1843" s="87" t="str">
        <f>IFERROR(__xludf.DUMMYFUNCTION("""COMPUTED_VALUE"""),"RSC003900")</f>
        <v>RSC003900</v>
      </c>
      <c r="C1843" s="73" t="str">
        <f>IFERROR(__xludf.DUMMYFUNCTION("""COMPUTED_VALUE"""),"Tryhard goblin")</f>
        <v>Tryhard goblin</v>
      </c>
      <c r="D1843" s="73" t="str">
        <f>IFERROR(__xludf.DUMMYFUNCTION("""COMPUTED_VALUE"""),"Phantoms")</f>
        <v>Phantoms</v>
      </c>
      <c r="E1843" s="82">
        <f>IFERROR(__xludf.DUMMYFUNCTION("""COMPUTED_VALUE"""),23.0)</f>
        <v>23</v>
      </c>
      <c r="F1843" s="82">
        <f>IFERROR(__xludf.DUMMYFUNCTION("""COMPUTED_VALUE"""),6.0)</f>
        <v>6</v>
      </c>
      <c r="G1843" s="86">
        <f>IFERROR(__xludf.DUMMYFUNCTION("""COMPUTED_VALUE"""),17.0)</f>
        <v>17</v>
      </c>
      <c r="H1843" s="86">
        <f>IFERROR(__xludf.DUMMYFUNCTION("""COMPUTED_VALUE"""),0.2608695652173913)</f>
        <v>0.2608695652</v>
      </c>
      <c r="I1843" s="86">
        <f>IFERROR(__xludf.DUMMYFUNCTION("""COMPUTED_VALUE"""),0.27906976744186046)</f>
        <v>0.2790697674</v>
      </c>
      <c r="J1843" s="82">
        <f>IFERROR(__xludf.DUMMYFUNCTION("""COMPUTED_VALUE"""),289.7826086956522)</f>
        <v>289.7826087</v>
      </c>
      <c r="K1843" s="82">
        <f>IFERROR(__xludf.DUMMYFUNCTION("""COMPUTED_VALUE"""),0.5217391304347826)</f>
        <v>0.5217391304</v>
      </c>
      <c r="L1843" s="82">
        <f>IFERROR(__xludf.DUMMYFUNCTION("""COMPUTED_VALUE"""),0.2608695652173913)</f>
        <v>0.2608695652</v>
      </c>
      <c r="M1843" s="82">
        <f>IFERROR(__xludf.DUMMYFUNCTION("""COMPUTED_VALUE"""),1.2608695652173914)</f>
        <v>1.260869565</v>
      </c>
      <c r="N1843" s="82">
        <f>IFERROR(__xludf.DUMMYFUNCTION("""COMPUTED_VALUE"""),1.8695652173913044)</f>
        <v>1.869565217</v>
      </c>
      <c r="O1843" s="82">
        <f>IFERROR(__xludf.DUMMYFUNCTION("""COMPUTED_VALUE"""),379.9420289855072)</f>
        <v>379.942029</v>
      </c>
      <c r="P1843" s="82">
        <f>IFERROR(__xludf.DUMMYFUNCTION("""COMPUTED_VALUE"""),1.0144927536231882)</f>
        <v>1.014492754</v>
      </c>
      <c r="Q1843" s="82">
        <f>IFERROR(__xludf.DUMMYFUNCTION("""COMPUTED_VALUE"""),0.7246376811594203)</f>
        <v>0.7246376812</v>
      </c>
      <c r="R1843" s="82">
        <f>IFERROR(__xludf.DUMMYFUNCTION("""COMPUTED_VALUE"""),1.1594202898550723)</f>
        <v>1.15942029</v>
      </c>
      <c r="S1843" s="82">
        <f>IFERROR(__xludf.DUMMYFUNCTION("""COMPUTED_VALUE"""),3.0869565217391313)</f>
        <v>3.086956522</v>
      </c>
      <c r="T1843" s="82">
        <f>IFERROR(__xludf.DUMMYFUNCTION("""COMPUTED_VALUE"""),359.60935493057207)</f>
        <v>359.6093549</v>
      </c>
      <c r="U1843" s="82">
        <f>IFERROR(__xludf.DUMMYFUNCTION("""COMPUTED_VALUE"""),0.8485395170128787)</f>
        <v>0.848539517</v>
      </c>
      <c r="V1843" s="82">
        <f>IFERROR(__xludf.DUMMYFUNCTION("""COMPUTED_VALUE"""),0.5847762510095728)</f>
        <v>0.584776251</v>
      </c>
      <c r="W1843" s="82">
        <f>IFERROR(__xludf.DUMMYFUNCTION("""COMPUTED_VALUE"""),1.3509774422143825)</f>
        <v>1.350977442</v>
      </c>
      <c r="X1843" s="82">
        <f>IFERROR(__xludf.DUMMYFUNCTION("""COMPUTED_VALUE"""),2.750093543192224)</f>
        <v>2.750093543</v>
      </c>
      <c r="Y1843" s="82">
        <f>IFERROR(__xludf.DUMMYFUNCTION("""COMPUTED_VALUE"""),348.4877568191183)</f>
        <v>348.4877568</v>
      </c>
      <c r="Z1843" s="82">
        <f>IFERROR(__xludf.DUMMYFUNCTION("""COMPUTED_VALUE"""),0.7739122642816024)</f>
        <v>0.7739122643</v>
      </c>
      <c r="AA1843" s="82">
        <f>IFERROR(__xludf.DUMMYFUNCTION("""COMPUTED_VALUE"""),0.5558965336365095)</f>
        <v>0.5558965336</v>
      </c>
      <c r="AB1843" s="82">
        <f>IFERROR(__xludf.DUMMYFUNCTION("""COMPUTED_VALUE"""),1.357459755993889)</f>
        <v>1.357459756</v>
      </c>
      <c r="AC1843" s="82">
        <f>IFERROR(__xludf.DUMMYFUNCTION("""COMPUTED_VALUE"""),2.5868082823757637)</f>
        <v>2.586808282</v>
      </c>
      <c r="AD1843" s="82">
        <f>IFERROR(__xludf.DUMMYFUNCTION("""COMPUTED_VALUE"""),0.8315431547457867)</f>
        <v>0.8315431547</v>
      </c>
      <c r="AE1843" s="82">
        <f>IFERROR(__xludf.DUMMYFUNCTION("""COMPUTED_VALUE"""),0.6741579821313415)</f>
        <v>0.6741579821</v>
      </c>
      <c r="AF1843" s="82">
        <f>IFERROR(__xludf.DUMMYFUNCTION("""COMPUTED_VALUE"""),0.4692771935648894)</f>
        <v>0.4692771936</v>
      </c>
      <c r="AG1843" s="82">
        <f>IFERROR(__xludf.DUMMYFUNCTION("""COMPUTED_VALUE"""),0.9288448955116335)</f>
        <v>0.9288448955</v>
      </c>
      <c r="AH1843" s="82">
        <f>IFERROR(__xludf.DUMMYFUNCTION("""COMPUTED_VALUE"""),0.7227304899744127)</f>
        <v>0.72273049</v>
      </c>
      <c r="AI1843" s="82">
        <f>IFERROR(__xludf.DUMMYFUNCTION("""COMPUTED_VALUE"""),1.0565410042207068)</f>
        <v>1.056541004</v>
      </c>
      <c r="AJ1843" s="82">
        <f>IFERROR(__xludf.DUMMYFUNCTION("""COMPUTED_VALUE"""),1.19557514209181)</f>
        <v>1.195575142</v>
      </c>
      <c r="AK1843" s="82">
        <f>IFERROR(__xludf.DUMMYFUNCTION("""COMPUTED_VALUE"""),1.239170845102528)</f>
        <v>1.239170845</v>
      </c>
      <c r="AL1843" s="82">
        <f>IFERROR(__xludf.DUMMYFUNCTION("""COMPUTED_VALUE"""),0.858208474565401)</f>
        <v>0.8582084746</v>
      </c>
      <c r="AM1843" s="82">
        <f>IFERROR(__xludf.DUMMYFUNCTION("""COMPUTED_VALUE"""),1.122491461928923)</f>
        <v>1.122491462</v>
      </c>
      <c r="AN1843" s="82">
        <f>IFERROR(__xludf.DUMMYFUNCTION("""COMPUTED_VALUE"""),0.8546223594671988)</f>
        <v>0.8546223595</v>
      </c>
      <c r="AO1843" s="82">
        <f>IFERROR(__xludf.DUMMYFUNCTION("""COMPUTED_VALUE"""),0.7015074451992874)</f>
        <v>0.7015074452</v>
      </c>
      <c r="AP1843" s="82">
        <f>IFERROR(__xludf.DUMMYFUNCTION("""COMPUTED_VALUE"""),0.477959764498142)</f>
        <v>0.4779597645</v>
      </c>
      <c r="AQ1843" s="82">
        <f>IFERROR(__xludf.DUMMYFUNCTION("""COMPUTED_VALUE"""),0.9640791736460224)</f>
        <v>0.9640791736</v>
      </c>
      <c r="AR1843" s="82">
        <f>IFERROR(__xludf.DUMMYFUNCTION("""COMPUTED_VALUE"""),0.7473183002606595)</f>
        <v>0.7473183003</v>
      </c>
      <c r="AS1843" s="82">
        <f>IFERROR(__xludf.DUMMYFUNCTION("""COMPUTED_VALUE"""),38.0)</f>
        <v>38</v>
      </c>
      <c r="AT1843" s="82">
        <f>IFERROR(__xludf.DUMMYFUNCTION("""COMPUTED_VALUE"""),0.2784315278792608)</f>
        <v>0.2784315279</v>
      </c>
      <c r="AU1843" s="82">
        <f>IFERROR(__xludf.DUMMYFUNCTION("""COMPUTED_VALUE"""),1.22886098493901)</f>
        <v>1.228860985</v>
      </c>
      <c r="AV1843" s="82">
        <f>IFERROR(__xludf.DUMMYFUNCTION("""COMPUTED_VALUE"""),14.369972168393254)</f>
        <v>14.36997217</v>
      </c>
      <c r="AW1843" s="82">
        <f t="shared" si="1"/>
        <v>-12.97866327</v>
      </c>
      <c r="AX1843" s="83">
        <f t="array" ref="AX1843">IFERROR(DGET('SBV Import'!A:G,"SBV",{"RSC ID","Tier";B1843,A1843}))</f>
        <v>16.89808104</v>
      </c>
      <c r="AY1843" s="82">
        <f t="shared" si="2"/>
        <v>-10.78297595</v>
      </c>
      <c r="AZ1843" s="82">
        <v>2.19568731683135</v>
      </c>
      <c r="BA1843" s="84">
        <v>1700.0</v>
      </c>
      <c r="BB1843" s="84" t="b">
        <f>IFERROR(__xludf.DUMMYFUNCTION("iferror(if(A1843="""",,E1843&gt;=FILTER(Constants!$F$2:$F$10,Constants!$A$2:$A$10=A1843)))"),TRUE)</f>
        <v>1</v>
      </c>
    </row>
    <row r="1844">
      <c r="A1844" s="89" t="str">
        <f>IFERROR(__xludf.DUMMYFUNCTION("""COMPUTED_VALUE"""),"Rival")</f>
        <v>Rival</v>
      </c>
      <c r="B1844" s="87" t="str">
        <f>IFERROR(__xludf.DUMMYFUNCTION("""COMPUTED_VALUE"""),"RSC006044")</f>
        <v>RSC006044</v>
      </c>
      <c r="C1844" s="73" t="str">
        <f>IFERROR(__xludf.DUMMYFUNCTION("""COMPUTED_VALUE"""),"HybridParagon")</f>
        <v>HybridParagon</v>
      </c>
      <c r="D1844" s="73" t="str">
        <f>IFERROR(__xludf.DUMMYFUNCTION("""COMPUTED_VALUE"""),"Polar Bears")</f>
        <v>Polar Bears</v>
      </c>
      <c r="E1844" s="82">
        <f>IFERROR(__xludf.DUMMYFUNCTION("""COMPUTED_VALUE"""),18.0)</f>
        <v>18</v>
      </c>
      <c r="F1844" s="82">
        <f>IFERROR(__xludf.DUMMYFUNCTION("""COMPUTED_VALUE"""),7.0)</f>
        <v>7</v>
      </c>
      <c r="G1844" s="86">
        <f>IFERROR(__xludf.DUMMYFUNCTION("""COMPUTED_VALUE"""),11.0)</f>
        <v>11</v>
      </c>
      <c r="H1844" s="86">
        <f>IFERROR(__xludf.DUMMYFUNCTION("""COMPUTED_VALUE"""),0.3888888888888889)</f>
        <v>0.3888888889</v>
      </c>
      <c r="I1844" s="86">
        <f>IFERROR(__xludf.DUMMYFUNCTION("""COMPUTED_VALUE"""),0.25)</f>
        <v>0.25</v>
      </c>
      <c r="J1844" s="82">
        <f>IFERROR(__xludf.DUMMYFUNCTION("""COMPUTED_VALUE"""),261.27777777777777)</f>
        <v>261.2777778</v>
      </c>
      <c r="K1844" s="82">
        <f>IFERROR(__xludf.DUMMYFUNCTION("""COMPUTED_VALUE"""),0.3888888888888889)</f>
        <v>0.3888888889</v>
      </c>
      <c r="L1844" s="82">
        <f>IFERROR(__xludf.DUMMYFUNCTION("""COMPUTED_VALUE"""),0.3888888888888889)</f>
        <v>0.3888888889</v>
      </c>
      <c r="M1844" s="82">
        <f>IFERROR(__xludf.DUMMYFUNCTION("""COMPUTED_VALUE"""),1.1666666666666667)</f>
        <v>1.166666667</v>
      </c>
      <c r="N1844" s="82">
        <f>IFERROR(__xludf.DUMMYFUNCTION("""COMPUTED_VALUE"""),1.5555555555555556)</f>
        <v>1.555555556</v>
      </c>
      <c r="O1844" s="82">
        <f>IFERROR(__xludf.DUMMYFUNCTION("""COMPUTED_VALUE"""),342.8888888888889)</f>
        <v>342.8888889</v>
      </c>
      <c r="P1844" s="82">
        <f>IFERROR(__xludf.DUMMYFUNCTION("""COMPUTED_VALUE"""),0.7962962962962963)</f>
        <v>0.7962962963</v>
      </c>
      <c r="Q1844" s="82">
        <f>IFERROR(__xludf.DUMMYFUNCTION("""COMPUTED_VALUE"""),0.44444444444444436)</f>
        <v>0.4444444444</v>
      </c>
      <c r="R1844" s="82">
        <f>IFERROR(__xludf.DUMMYFUNCTION("""COMPUTED_VALUE"""),1.2222222222222223)</f>
        <v>1.222222222</v>
      </c>
      <c r="S1844" s="82">
        <f>IFERROR(__xludf.DUMMYFUNCTION("""COMPUTED_VALUE"""),2.3703703703703707)</f>
        <v>2.37037037</v>
      </c>
      <c r="T1844" s="82">
        <f>IFERROR(__xludf.DUMMYFUNCTION("""COMPUTED_VALUE"""),336.245959990843)</f>
        <v>336.24596</v>
      </c>
      <c r="U1844" s="82">
        <f>IFERROR(__xludf.DUMMYFUNCTION("""COMPUTED_VALUE"""),0.7455036955950701)</f>
        <v>0.7455036956</v>
      </c>
      <c r="V1844" s="82">
        <f>IFERROR(__xludf.DUMMYFUNCTION("""COMPUTED_VALUE"""),0.5122229405855135)</f>
        <v>0.5122229406</v>
      </c>
      <c r="W1844" s="82">
        <f>IFERROR(__xludf.DUMMYFUNCTION("""COMPUTED_VALUE"""),1.319761230214447)</f>
        <v>1.31976123</v>
      </c>
      <c r="X1844" s="82">
        <f>IFERROR(__xludf.DUMMYFUNCTION("""COMPUTED_VALUE"""),2.5016438699918226)</f>
        <v>2.50164387</v>
      </c>
      <c r="Y1844" s="82">
        <f>IFERROR(__xludf.DUMMYFUNCTION("""COMPUTED_VALUE"""),348.3506125207819)</f>
        <v>348.3506125</v>
      </c>
      <c r="Z1844" s="82">
        <f>IFERROR(__xludf.DUMMYFUNCTION("""COMPUTED_VALUE"""),0.7962442438075966)</f>
        <v>0.7962442438</v>
      </c>
      <c r="AA1844" s="82">
        <f>IFERROR(__xludf.DUMMYFUNCTION("""COMPUTED_VALUE"""),0.567203086062735)</f>
        <v>0.5672030861</v>
      </c>
      <c r="AB1844" s="82">
        <f>IFERROR(__xludf.DUMMYFUNCTION("""COMPUTED_VALUE"""),1.3238036181384132)</f>
        <v>1.323803618</v>
      </c>
      <c r="AC1844" s="82">
        <f>IFERROR(__xludf.DUMMYFUNCTION("""COMPUTED_VALUE"""),2.5825607139142712)</f>
        <v>2.582560714</v>
      </c>
      <c r="AD1844" s="82">
        <f>IFERROR(__xludf.DUMMYFUNCTION("""COMPUTED_VALUE"""),0.7500425387143261)</f>
        <v>0.7500425387</v>
      </c>
      <c r="AE1844" s="82">
        <f>IFERROR(__xludf.DUMMYFUNCTION("""COMPUTED_VALUE"""),0.4884040191351882)</f>
        <v>0.4884040191</v>
      </c>
      <c r="AF1844" s="82">
        <f>IFERROR(__xludf.DUMMYFUNCTION("""COMPUTED_VALUE"""),0.6856254813216517)</f>
        <v>0.6856254813</v>
      </c>
      <c r="AG1844" s="82">
        <f>IFERROR(__xludf.DUMMYFUNCTION("""COMPUTED_VALUE"""),0.8812988956075533)</f>
        <v>0.8812988956</v>
      </c>
      <c r="AH1844" s="82">
        <f>IFERROR(__xludf.DUMMYFUNCTION("""COMPUTED_VALUE"""),0.6023306817820635)</f>
        <v>0.6023306818</v>
      </c>
      <c r="AI1844" s="82">
        <f>IFERROR(__xludf.DUMMYFUNCTION("""COMPUTED_VALUE"""),1.0197561597415976)</f>
        <v>1.01975616</v>
      </c>
      <c r="AJ1844" s="82">
        <f>IFERROR(__xludf.DUMMYFUNCTION("""COMPUTED_VALUE"""),1.0681319234248503)</f>
        <v>1.068131923</v>
      </c>
      <c r="AK1844" s="82">
        <f>IFERROR(__xludf.DUMMYFUNCTION("""COMPUTED_VALUE"""),0.8676777419152826)</f>
        <v>0.8676777419</v>
      </c>
      <c r="AL1844" s="82">
        <f>IFERROR(__xludf.DUMMYFUNCTION("""COMPUTED_VALUE"""),0.9260934434508463)</f>
        <v>0.9260934435</v>
      </c>
      <c r="AM1844" s="82">
        <f>IFERROR(__xludf.DUMMYFUNCTION("""COMPUTED_VALUE"""),0.9475251049135619)</f>
        <v>0.9475251049</v>
      </c>
      <c r="AN1844" s="82">
        <f>IFERROR(__xludf.DUMMYFUNCTION("""COMPUTED_VALUE"""),0.7705563557656699)</f>
        <v>0.7705563558</v>
      </c>
      <c r="AO1844" s="82">
        <f>IFERROR(__xludf.DUMMYFUNCTION("""COMPUTED_VALUE"""),0.5228828642457652)</f>
        <v>0.5228828642</v>
      </c>
      <c r="AP1844" s="82">
        <f>IFERROR(__xludf.DUMMYFUNCTION("""COMPUTED_VALUE"""),0.7125140933722302)</f>
        <v>0.7125140934</v>
      </c>
      <c r="AQ1844" s="82">
        <f>IFERROR(__xludf.DUMMYFUNCTION("""COMPUTED_VALUE"""),0.8920502698678713)</f>
        <v>0.8920502699</v>
      </c>
      <c r="AR1844" s="82">
        <f>IFERROR(__xludf.DUMMYFUNCTION("""COMPUTED_VALUE"""),0.6217997226974996)</f>
        <v>0.6217997227</v>
      </c>
      <c r="AS1844" s="82">
        <f>IFERROR(__xludf.DUMMYFUNCTION("""COMPUTED_VALUE"""),38.0)</f>
        <v>38</v>
      </c>
      <c r="AT1844" s="82">
        <f>IFERROR(__xludf.DUMMYFUNCTION("""COMPUTED_VALUE"""),0.45255712162517575)</f>
        <v>0.4525571216</v>
      </c>
      <c r="AU1844" s="82">
        <f>IFERROR(__xludf.DUMMYFUNCTION("""COMPUTED_VALUE"""),1.216193421626584)</f>
        <v>1.216193422</v>
      </c>
      <c r="AV1844" s="82">
        <f>IFERROR(__xludf.DUMMYFUNCTION("""COMPUTED_VALUE"""),14.007300148543251)</f>
        <v>14.00730015</v>
      </c>
      <c r="AW1844" s="82">
        <f t="shared" si="1"/>
        <v>-13.33777653</v>
      </c>
      <c r="AX1844" s="83">
        <f t="array" ref="AX1844">IFERROR(DGET('SBV Import'!A:G,"SBV",{"RSC ID","Tier";B1844,A1844}))</f>
        <v>14.89437044</v>
      </c>
      <c r="AY1844" s="82">
        <f t="shared" si="2"/>
        <v>-12.48035862</v>
      </c>
      <c r="AZ1844" s="82">
        <v>0.8574179040666969</v>
      </c>
      <c r="BA1844" s="84">
        <v>1700.0</v>
      </c>
      <c r="BB1844" s="84" t="b">
        <f>IFERROR(__xludf.DUMMYFUNCTION("iferror(if(A1844="""",,E1844&gt;=FILTER(Constants!$F$2:$F$10,Constants!$A$2:$A$10=A1844)))"),TRUE)</f>
        <v>1</v>
      </c>
    </row>
    <row r="1845">
      <c r="A1845" s="89" t="str">
        <f>IFERROR(__xludf.DUMMYFUNCTION("""COMPUTED_VALUE"""),"Rival")</f>
        <v>Rival</v>
      </c>
      <c r="B1845" s="87" t="str">
        <f>IFERROR(__xludf.DUMMYFUNCTION("""COMPUTED_VALUE"""),"RSC005253")</f>
        <v>RSC005253</v>
      </c>
      <c r="C1845" s="73" t="str">
        <f>IFERROR(__xludf.DUMMYFUNCTION("""COMPUTED_VALUE"""),"dinnindu")</f>
        <v>dinnindu</v>
      </c>
      <c r="D1845" s="73" t="str">
        <f>IFERROR(__xludf.DUMMYFUNCTION("""COMPUTED_VALUE"""),"Tyrants")</f>
        <v>Tyrants</v>
      </c>
      <c r="E1845" s="82">
        <f>IFERROR(__xludf.DUMMYFUNCTION("""COMPUTED_VALUE"""),33.0)</f>
        <v>33</v>
      </c>
      <c r="F1845" s="82">
        <f>IFERROR(__xludf.DUMMYFUNCTION("""COMPUTED_VALUE"""),15.0)</f>
        <v>15</v>
      </c>
      <c r="G1845" s="86">
        <f>IFERROR(__xludf.DUMMYFUNCTION("""COMPUTED_VALUE"""),18.0)</f>
        <v>18</v>
      </c>
      <c r="H1845" s="86">
        <f>IFERROR(__xludf.DUMMYFUNCTION("""COMPUTED_VALUE"""),0.45454545454545453)</f>
        <v>0.4545454545</v>
      </c>
      <c r="I1845" s="86">
        <f>IFERROR(__xludf.DUMMYFUNCTION("""COMPUTED_VALUE"""),0.2641509433962264)</f>
        <v>0.2641509434</v>
      </c>
      <c r="J1845" s="82">
        <f>IFERROR(__xludf.DUMMYFUNCTION("""COMPUTED_VALUE"""),270.6666666666667)</f>
        <v>270.6666667</v>
      </c>
      <c r="K1845" s="82">
        <f>IFERROR(__xludf.DUMMYFUNCTION("""COMPUTED_VALUE"""),0.42424242424242425)</f>
        <v>0.4242424242</v>
      </c>
      <c r="L1845" s="82">
        <f>IFERROR(__xludf.DUMMYFUNCTION("""COMPUTED_VALUE"""),0.2727272727272727)</f>
        <v>0.2727272727</v>
      </c>
      <c r="M1845" s="82">
        <f>IFERROR(__xludf.DUMMYFUNCTION("""COMPUTED_VALUE"""),1.4848484848484849)</f>
        <v>1.484848485</v>
      </c>
      <c r="N1845" s="82">
        <f>IFERROR(__xludf.DUMMYFUNCTION("""COMPUTED_VALUE"""),1.606060606060606)</f>
        <v>1.606060606</v>
      </c>
      <c r="O1845" s="82">
        <f>IFERROR(__xludf.DUMMYFUNCTION("""COMPUTED_VALUE"""),323.64646464646466)</f>
        <v>323.6464646</v>
      </c>
      <c r="P1845" s="82">
        <f>IFERROR(__xludf.DUMMYFUNCTION("""COMPUTED_VALUE"""),0.7070707070707072)</f>
        <v>0.7070707071</v>
      </c>
      <c r="Q1845" s="82">
        <f>IFERROR(__xludf.DUMMYFUNCTION("""COMPUTED_VALUE"""),0.5454545454545454)</f>
        <v>0.5454545455</v>
      </c>
      <c r="R1845" s="82">
        <f>IFERROR(__xludf.DUMMYFUNCTION("""COMPUTED_VALUE"""),0.9898989898989898)</f>
        <v>0.9898989899</v>
      </c>
      <c r="S1845" s="82">
        <f>IFERROR(__xludf.DUMMYFUNCTION("""COMPUTED_VALUE"""),2.575757575757576)</f>
        <v>2.575757576</v>
      </c>
      <c r="T1845" s="82">
        <f>IFERROR(__xludf.DUMMYFUNCTION("""COMPUTED_VALUE"""),350.24259174175336)</f>
        <v>350.2425917</v>
      </c>
      <c r="U1845" s="82">
        <f>IFERROR(__xludf.DUMMYFUNCTION("""COMPUTED_VALUE"""),0.7722144809801147)</f>
        <v>0.772214481</v>
      </c>
      <c r="V1845" s="82">
        <f>IFERROR(__xludf.DUMMYFUNCTION("""COMPUTED_VALUE"""),0.5615012801000554)</f>
        <v>0.5615012801</v>
      </c>
      <c r="W1845" s="82">
        <f>IFERROR(__xludf.DUMMYFUNCTION("""COMPUTED_VALUE"""),1.3569330455053805)</f>
        <v>1.356933046</v>
      </c>
      <c r="X1845" s="82">
        <f>IFERROR(__xludf.DUMMYFUNCTION("""COMPUTED_VALUE"""),2.5749710921614843)</f>
        <v>2.574971092</v>
      </c>
      <c r="Y1845" s="82">
        <f>IFERROR(__xludf.DUMMYFUNCTION("""COMPUTED_VALUE"""),350.90945986703156)</f>
        <v>350.9094599</v>
      </c>
      <c r="Z1845" s="82">
        <f>IFERROR(__xludf.DUMMYFUNCTION("""COMPUTED_VALUE"""),0.7911242934927972)</f>
        <v>0.7911242935</v>
      </c>
      <c r="AA1845" s="82">
        <f>IFERROR(__xludf.DUMMYFUNCTION("""COMPUTED_VALUE"""),0.5714259072085444)</f>
        <v>0.5714259072</v>
      </c>
      <c r="AB1845" s="82">
        <f>IFERROR(__xludf.DUMMYFUNCTION("""COMPUTED_VALUE"""),1.322261836588586)</f>
        <v>1.322261837</v>
      </c>
      <c r="AC1845" s="82">
        <f>IFERROR(__xludf.DUMMYFUNCTION("""COMPUTED_VALUE"""),2.559144213798933)</f>
        <v>2.559144214</v>
      </c>
      <c r="AD1845" s="82">
        <f>IFERROR(__xludf.DUMMYFUNCTION("""COMPUTED_VALUE"""),0.7713290680998715)</f>
        <v>0.7713290681</v>
      </c>
      <c r="AE1845" s="82">
        <f>IFERROR(__xludf.DUMMYFUNCTION("""COMPUTED_VALUE"""),0.5362525556754209)</f>
        <v>0.5362525557</v>
      </c>
      <c r="AF1845" s="82">
        <f>IFERROR(__xludf.DUMMYFUNCTION("""COMPUTED_VALUE"""),0.4772749525123293)</f>
        <v>0.4772749525</v>
      </c>
      <c r="AG1845" s="82">
        <f>IFERROR(__xludf.DUMMYFUNCTION("""COMPUTED_VALUE"""),1.1229610079947325)</f>
        <v>1.122961008</v>
      </c>
      <c r="AH1845" s="82">
        <f>IFERROR(__xludf.DUMMYFUNCTION("""COMPUTED_VALUE"""),0.6275772179624384)</f>
        <v>0.627577218</v>
      </c>
      <c r="AI1845" s="82">
        <f>IFERROR(__xludf.DUMMYFUNCTION("""COMPUTED_VALUE"""),0.9240636983553988)</f>
        <v>0.9240636984</v>
      </c>
      <c r="AJ1845" s="82">
        <f>IFERROR(__xludf.DUMMYFUNCTION("""COMPUTED_VALUE"""),0.9156403104138563)</f>
        <v>0.9156403104</v>
      </c>
      <c r="AK1845" s="82">
        <f>IFERROR(__xludf.DUMMYFUNCTION("""COMPUTED_VALUE"""),0.9714217309662222)</f>
        <v>0.971421731</v>
      </c>
      <c r="AL1845" s="82">
        <f>IFERROR(__xludf.DUMMYFUNCTION("""COMPUTED_VALUE"""),0.7295120368524216)</f>
        <v>0.7295120369</v>
      </c>
      <c r="AM1845" s="82">
        <f>IFERROR(__xludf.DUMMYFUNCTION("""COMPUTED_VALUE"""),1.000305433951661)</f>
        <v>1.000305434</v>
      </c>
      <c r="AN1845" s="82">
        <f>IFERROR(__xludf.DUMMYFUNCTION("""COMPUTED_VALUE"""),0.7982459207506579)</f>
        <v>0.7982459208</v>
      </c>
      <c r="AO1845" s="82">
        <f>IFERROR(__xludf.DUMMYFUNCTION("""COMPUTED_VALUE"""),0.5704176700862893)</f>
        <v>0.5704176701</v>
      </c>
      <c r="AP1845" s="82">
        <f>IFERROR(__xludf.DUMMYFUNCTION("""COMPUTED_VALUE"""),0.49968520833896657)</f>
        <v>0.4996852083</v>
      </c>
      <c r="AQ1845" s="82">
        <f>IFERROR(__xludf.DUMMYFUNCTION("""COMPUTED_VALUE"""),1.1353367071045635)</f>
        <v>1.135336707</v>
      </c>
      <c r="AR1845" s="82">
        <f>IFERROR(__xludf.DUMMYFUNCTION("""COMPUTED_VALUE"""),0.6419880253824833)</f>
        <v>0.6419880254</v>
      </c>
      <c r="AS1845" s="82">
        <f>IFERROR(__xludf.DUMMYFUNCTION("""COMPUTED_VALUE"""),60.0)</f>
        <v>60</v>
      </c>
      <c r="AT1845" s="82">
        <f>IFERROR(__xludf.DUMMYFUNCTION("""COMPUTED_VALUE"""),0.44312907939764284)</f>
        <v>0.4431290794</v>
      </c>
      <c r="AU1845" s="82">
        <f>IFERROR(__xludf.DUMMYFUNCTION("""COMPUTED_VALUE"""),1.1938885780905806)</f>
        <v>1.193888578</v>
      </c>
      <c r="AV1845" s="82">
        <f>IFERROR(__xludf.DUMMYFUNCTION("""COMPUTED_VALUE"""),13.368713037657805)</f>
        <v>13.36871304</v>
      </c>
      <c r="AW1845" s="82">
        <f t="shared" si="1"/>
        <v>-14.00047272</v>
      </c>
      <c r="AX1845" s="83">
        <f t="array" ref="AX1845">IFERROR(DGET('SBV Import'!A:G,"SBV",{"RSC ID","Tier";B1845,A1845}))</f>
        <v>22.22707968</v>
      </c>
      <c r="AY1845" s="82">
        <f t="shared" si="2"/>
        <v>-7.501758472</v>
      </c>
      <c r="AZ1845" s="82">
        <v>6.4987142489579135</v>
      </c>
      <c r="BA1845" s="84">
        <v>1700.0</v>
      </c>
      <c r="BB1845" s="84" t="b">
        <f>IFERROR(__xludf.DUMMYFUNCTION("iferror(if(A1845="""",,E1845&gt;=FILTER(Constants!$F$2:$F$10,Constants!$A$2:$A$10=A1845)))"),TRUE)</f>
        <v>1</v>
      </c>
    </row>
    <row r="1846">
      <c r="A1846" s="89" t="str">
        <f>IFERROR(__xludf.DUMMYFUNCTION("""COMPUTED_VALUE"""),"Rival")</f>
        <v>Rival</v>
      </c>
      <c r="B1846" s="87" t="str">
        <f>IFERROR(__xludf.DUMMYFUNCTION("""COMPUTED_VALUE"""),"RSC000331")</f>
        <v>RSC000331</v>
      </c>
      <c r="C1846" s="73" t="str">
        <f>IFERROR(__xludf.DUMMYFUNCTION("""COMPUTED_VALUE"""),"Turtle_Supreme")</f>
        <v>Turtle_Supreme</v>
      </c>
      <c r="D1846" s="73"/>
      <c r="E1846" s="82">
        <f>IFERROR(__xludf.DUMMYFUNCTION("""COMPUTED_VALUE"""),20.0)</f>
        <v>20</v>
      </c>
      <c r="F1846" s="82">
        <f>IFERROR(__xludf.DUMMYFUNCTION("""COMPUTED_VALUE"""),5.0)</f>
        <v>5</v>
      </c>
      <c r="G1846" s="86">
        <f>IFERROR(__xludf.DUMMYFUNCTION("""COMPUTED_VALUE"""),15.0)</f>
        <v>15</v>
      </c>
      <c r="H1846" s="86">
        <f>IFERROR(__xludf.DUMMYFUNCTION("""COMPUTED_VALUE"""),0.25)</f>
        <v>0.25</v>
      </c>
      <c r="I1846" s="86">
        <f>IFERROR(__xludf.DUMMYFUNCTION("""COMPUTED_VALUE"""),0.13513513513513511)</f>
        <v>0.1351351351</v>
      </c>
      <c r="J1846" s="82">
        <f>IFERROR(__xludf.DUMMYFUNCTION("""COMPUTED_VALUE"""),293.95)</f>
        <v>293.95</v>
      </c>
      <c r="K1846" s="82">
        <f>IFERROR(__xludf.DUMMYFUNCTION("""COMPUTED_VALUE"""),0.25)</f>
        <v>0.25</v>
      </c>
      <c r="L1846" s="82">
        <f>IFERROR(__xludf.DUMMYFUNCTION("""COMPUTED_VALUE"""),0.4)</f>
        <v>0.4</v>
      </c>
      <c r="M1846" s="82">
        <f>IFERROR(__xludf.DUMMYFUNCTION("""COMPUTED_VALUE"""),1.5)</f>
        <v>1.5</v>
      </c>
      <c r="N1846" s="82">
        <f>IFERROR(__xludf.DUMMYFUNCTION("""COMPUTED_VALUE"""),1.85)</f>
        <v>1.85</v>
      </c>
      <c r="O1846" s="82">
        <f>IFERROR(__xludf.DUMMYFUNCTION("""COMPUTED_VALUE"""),375.6333333333333)</f>
        <v>375.6333333</v>
      </c>
      <c r="P1846" s="82">
        <f>IFERROR(__xludf.DUMMYFUNCTION("""COMPUTED_VALUE"""),0.9)</f>
        <v>0.9</v>
      </c>
      <c r="Q1846" s="82">
        <f>IFERROR(__xludf.DUMMYFUNCTION("""COMPUTED_VALUE"""),0.6666666666666666)</f>
        <v>0.6666666667</v>
      </c>
      <c r="R1846" s="82">
        <f>IFERROR(__xludf.DUMMYFUNCTION("""COMPUTED_VALUE"""),1.2500000000000002)</f>
        <v>1.25</v>
      </c>
      <c r="S1846" s="82">
        <f>IFERROR(__xludf.DUMMYFUNCTION("""COMPUTED_VALUE"""),3.1333333333333337)</f>
        <v>3.133333333</v>
      </c>
      <c r="T1846" s="82">
        <f>IFERROR(__xludf.DUMMYFUNCTION("""COMPUTED_VALUE"""),358.8940374807888)</f>
        <v>358.8940375</v>
      </c>
      <c r="U1846" s="82">
        <f>IFERROR(__xludf.DUMMYFUNCTION("""COMPUTED_VALUE"""),0.8635669025637001)</f>
        <v>0.8635669026</v>
      </c>
      <c r="V1846" s="82">
        <f>IFERROR(__xludf.DUMMYFUNCTION("""COMPUTED_VALUE"""),0.5905769665648599)</f>
        <v>0.5905769666</v>
      </c>
      <c r="W1846" s="82">
        <f>IFERROR(__xludf.DUMMYFUNCTION("""COMPUTED_VALUE"""),1.3310895715503397)</f>
        <v>1.331089572</v>
      </c>
      <c r="X1846" s="82">
        <f>IFERROR(__xludf.DUMMYFUNCTION("""COMPUTED_VALUE"""),2.7181282506838356)</f>
        <v>2.718128251</v>
      </c>
      <c r="Y1846" s="82">
        <f>IFERROR(__xludf.DUMMYFUNCTION("""COMPUTED_VALUE"""),343.4602361379403)</f>
        <v>343.4602361</v>
      </c>
      <c r="Z1846" s="82">
        <f>IFERROR(__xludf.DUMMYFUNCTION("""COMPUTED_VALUE"""),0.7526982438468854)</f>
        <v>0.7526982438</v>
      </c>
      <c r="AA1846" s="82">
        <f>IFERROR(__xludf.DUMMYFUNCTION("""COMPUTED_VALUE"""),0.540865017266708)</f>
        <v>0.5408650173</v>
      </c>
      <c r="AB1846" s="82">
        <f>IFERROR(__xludf.DUMMYFUNCTION("""COMPUTED_VALUE"""),1.3325627546679804)</f>
        <v>1.332562755</v>
      </c>
      <c r="AC1846" s="82">
        <f>IFERROR(__xludf.DUMMYFUNCTION("""COMPUTED_VALUE"""),2.602234347471191)</f>
        <v>2.602234347</v>
      </c>
      <c r="AD1846" s="82">
        <f>IFERROR(__xludf.DUMMYFUNCTION("""COMPUTED_VALUE"""),0.8558487098982369)</f>
        <v>0.8558487099</v>
      </c>
      <c r="AE1846" s="82">
        <f>IFERROR(__xludf.DUMMYFUNCTION("""COMPUTED_VALUE"""),0.3321384127619344)</f>
        <v>0.3321384128</v>
      </c>
      <c r="AF1846" s="82">
        <f>IFERROR(__xludf.DUMMYFUNCTION("""COMPUTED_VALUE"""),0.7395560578523319)</f>
        <v>0.7395560579</v>
      </c>
      <c r="AG1846" s="82">
        <f>IFERROR(__xludf.DUMMYFUNCTION("""COMPUTED_VALUE"""),1.1256505517248514)</f>
        <v>1.125650552</v>
      </c>
      <c r="AH1846" s="82">
        <f>IFERROR(__xludf.DUMMYFUNCTION("""COMPUTED_VALUE"""),0.7109275157319325)</f>
        <v>0.7109275157</v>
      </c>
      <c r="AI1846" s="82">
        <f>IFERROR(__xludf.DUMMYFUNCTION("""COMPUTED_VALUE"""),1.0466413317146306)</f>
        <v>1.046641332</v>
      </c>
      <c r="AJ1846" s="82">
        <f>IFERROR(__xludf.DUMMYFUNCTION("""COMPUTED_VALUE"""),1.0421890849778284)</f>
        <v>1.042189085</v>
      </c>
      <c r="AK1846" s="82">
        <f>IFERROR(__xludf.DUMMYFUNCTION("""COMPUTED_VALUE"""),1.1288395999329077)</f>
        <v>1.1288396</v>
      </c>
      <c r="AL1846" s="82">
        <f>IFERROR(__xludf.DUMMYFUNCTION("""COMPUTED_VALUE"""),0.9390803043735868)</f>
        <v>0.9390803044</v>
      </c>
      <c r="AM1846" s="82">
        <f>IFERROR(__xludf.DUMMYFUNCTION("""COMPUTED_VALUE"""),1.1527540440908333)</f>
        <v>1.152754044</v>
      </c>
      <c r="AN1846" s="82">
        <f>IFERROR(__xludf.DUMMYFUNCTION("""COMPUTED_VALUE"""),0.866912765041832)</f>
        <v>0.866912765</v>
      </c>
      <c r="AO1846" s="82">
        <f>IFERROR(__xludf.DUMMYFUNCTION("""COMPUTED_VALUE"""),0.3361389841579919)</f>
        <v>0.3361389842</v>
      </c>
      <c r="AP1846" s="82">
        <f>IFERROR(__xludf.DUMMYFUNCTION("""COMPUTED_VALUE"""),0.7328716388971511)</f>
        <v>0.7328716389</v>
      </c>
      <c r="AQ1846" s="82">
        <f>IFERROR(__xludf.DUMMYFUNCTION("""COMPUTED_VALUE"""),1.1469217755444059)</f>
        <v>1.146921776</v>
      </c>
      <c r="AR1846" s="82">
        <f>IFERROR(__xludf.DUMMYFUNCTION("""COMPUTED_VALUE"""),0.7394975273509549)</f>
        <v>0.7394975274</v>
      </c>
      <c r="AS1846" s="82">
        <f>IFERROR(__xludf.DUMMYFUNCTION("""COMPUTED_VALUE"""),28.0)</f>
        <v>28</v>
      </c>
      <c r="AT1846" s="82">
        <f>IFERROR(__xludf.DUMMYFUNCTION("""COMPUTED_VALUE"""),0.2719670917600866)</f>
        <v>0.2719670918</v>
      </c>
      <c r="AU1846" s="82">
        <f>IFERROR(__xludf.DUMMYFUNCTION("""COMPUTED_VALUE"""),1.107510060281886)</f>
        <v>1.10751006</v>
      </c>
      <c r="AV1846" s="82">
        <f>IFERROR(__xludf.DUMMYFUNCTION("""COMPUTED_VALUE"""),10.895698239729072)</f>
        <v>10.89569824</v>
      </c>
      <c r="AW1846" s="82">
        <f t="shared" si="1"/>
        <v>-16.98122052</v>
      </c>
      <c r="AX1846" s="83">
        <f t="array" ref="AX1846">IFERROR(DGET('SBV Import'!A:G,"SBV",{"RSC ID","Tier";B1846,A1846}))</f>
        <v>21.26503193</v>
      </c>
      <c r="AY1846" s="82">
        <f t="shared" si="2"/>
        <v>-7.98748819</v>
      </c>
      <c r="AZ1846" s="82">
        <v>8.993732325939067</v>
      </c>
      <c r="BA1846" s="84">
        <v>1700.0</v>
      </c>
      <c r="BB1846" s="84" t="b">
        <f>IFERROR(__xludf.DUMMYFUNCTION("iferror(if(A1846="""",,E1846&gt;=FILTER(Constants!$F$2:$F$10,Constants!$A$2:$A$10=A1846)))"),TRUE)</f>
        <v>1</v>
      </c>
    </row>
    <row r="1847">
      <c r="A1847" s="89" t="str">
        <f>IFERROR(__xludf.DUMMYFUNCTION("""COMPUTED_VALUE"""),"Rival")</f>
        <v>Rival</v>
      </c>
      <c r="B1847" s="87" t="str">
        <f>IFERROR(__xludf.DUMMYFUNCTION("""COMPUTED_VALUE"""),"RSC005699")</f>
        <v>RSC005699</v>
      </c>
      <c r="C1847" s="73" t="str">
        <f>IFERROR(__xludf.DUMMYFUNCTION("""COMPUTED_VALUE"""),"masdhapotatoes")</f>
        <v>masdhapotatoes</v>
      </c>
      <c r="D1847" s="73" t="str">
        <f>IFERROR(__xludf.DUMMYFUNCTION("""COMPUTED_VALUE"""),"Bulldozers")</f>
        <v>Bulldozers</v>
      </c>
      <c r="E1847" s="82">
        <f>IFERROR(__xludf.DUMMYFUNCTION("""COMPUTED_VALUE"""),4.0)</f>
        <v>4</v>
      </c>
      <c r="F1847" s="82">
        <f>IFERROR(__xludf.DUMMYFUNCTION("""COMPUTED_VALUE"""),1.0)</f>
        <v>1</v>
      </c>
      <c r="G1847" s="86">
        <f>IFERROR(__xludf.DUMMYFUNCTION("""COMPUTED_VALUE"""),3.0)</f>
        <v>3</v>
      </c>
      <c r="H1847" s="86">
        <f>IFERROR(__xludf.DUMMYFUNCTION("""COMPUTED_VALUE"""),0.25)</f>
        <v>0.25</v>
      </c>
      <c r="I1847" s="86">
        <f>IFERROR(__xludf.DUMMYFUNCTION("""COMPUTED_VALUE"""),0.16666666666666666)</f>
        <v>0.1666666667</v>
      </c>
      <c r="J1847" s="82">
        <f>IFERROR(__xludf.DUMMYFUNCTION("""COMPUTED_VALUE"""),283.5)</f>
        <v>283.5</v>
      </c>
      <c r="K1847" s="82">
        <f>IFERROR(__xludf.DUMMYFUNCTION("""COMPUTED_VALUE"""),0.25)</f>
        <v>0.25</v>
      </c>
      <c r="L1847" s="82">
        <f>IFERROR(__xludf.DUMMYFUNCTION("""COMPUTED_VALUE"""),0.5)</f>
        <v>0.5</v>
      </c>
      <c r="M1847" s="82">
        <f>IFERROR(__xludf.DUMMYFUNCTION("""COMPUTED_VALUE"""),1.75)</f>
        <v>1.75</v>
      </c>
      <c r="N1847" s="82">
        <f>IFERROR(__xludf.DUMMYFUNCTION("""COMPUTED_VALUE"""),1.5)</f>
        <v>1.5</v>
      </c>
      <c r="O1847" s="82">
        <f>IFERROR(__xludf.DUMMYFUNCTION("""COMPUTED_VALUE"""),389.41666666666663)</f>
        <v>389.4166667</v>
      </c>
      <c r="P1847" s="82">
        <f>IFERROR(__xludf.DUMMYFUNCTION("""COMPUTED_VALUE"""),1.0833333333333333)</f>
        <v>1.083333333</v>
      </c>
      <c r="Q1847" s="82">
        <f>IFERROR(__xludf.DUMMYFUNCTION("""COMPUTED_VALUE"""),0.6666666666666666)</f>
        <v>0.6666666667</v>
      </c>
      <c r="R1847" s="82">
        <f>IFERROR(__xludf.DUMMYFUNCTION("""COMPUTED_VALUE"""),1.3333333333333333)</f>
        <v>1.333333333</v>
      </c>
      <c r="S1847" s="82">
        <f>IFERROR(__xludf.DUMMYFUNCTION("""COMPUTED_VALUE"""),3.0000000000000004)</f>
        <v>3</v>
      </c>
      <c r="T1847" s="82">
        <f>IFERROR(__xludf.DUMMYFUNCTION("""COMPUTED_VALUE"""),352.2751527042155)</f>
        <v>352.2751527</v>
      </c>
      <c r="U1847" s="82">
        <f>IFERROR(__xludf.DUMMYFUNCTION("""COMPUTED_VALUE"""),0.8123171169931533)</f>
        <v>0.812317117</v>
      </c>
      <c r="V1847" s="82">
        <f>IFERROR(__xludf.DUMMYFUNCTION("""COMPUTED_VALUE"""),0.5737781456726339)</f>
        <v>0.5737781457</v>
      </c>
      <c r="W1847" s="82">
        <f>IFERROR(__xludf.DUMMYFUNCTION("""COMPUTED_VALUE"""),1.303915666936118)</f>
        <v>1.303915667</v>
      </c>
      <c r="X1847" s="82">
        <f>IFERROR(__xludf.DUMMYFUNCTION("""COMPUTED_VALUE"""),2.6661398657455146)</f>
        <v>2.666139866</v>
      </c>
      <c r="Y1847" s="82">
        <f>IFERROR(__xludf.DUMMYFUNCTION("""COMPUTED_VALUE"""),338.11506787064496)</f>
        <v>338.1150679</v>
      </c>
      <c r="Z1847" s="82">
        <f>IFERROR(__xludf.DUMMYFUNCTION("""COMPUTED_VALUE"""),0.688955532445689)</f>
        <v>0.6889555324</v>
      </c>
      <c r="AA1847" s="82">
        <f>IFERROR(__xludf.DUMMYFUNCTION("""COMPUTED_VALUE"""),0.5104140642532518)</f>
        <v>0.5104140643</v>
      </c>
      <c r="AB1847" s="82">
        <f>IFERROR(__xludf.DUMMYFUNCTION("""COMPUTED_VALUE"""),1.3717274658729628)</f>
        <v>1.371727466</v>
      </c>
      <c r="AC1847" s="82">
        <f>IFERROR(__xludf.DUMMYFUNCTION("""COMPUTED_VALUE"""),2.459302889445116)</f>
        <v>2.459302889</v>
      </c>
      <c r="AD1847" s="82">
        <f>IFERROR(__xludf.DUMMYFUNCTION("""COMPUTED_VALUE"""),0.8384719491663133)</f>
        <v>0.8384719492</v>
      </c>
      <c r="AE1847" s="82">
        <f>IFERROR(__xludf.DUMMYFUNCTION("""COMPUTED_VALUE"""),0.3628681217095934)</f>
        <v>0.3628681217</v>
      </c>
      <c r="AF1847" s="82">
        <f>IFERROR(__xludf.DUMMYFUNCTION("""COMPUTED_VALUE"""),0.9795968313128522)</f>
        <v>0.9795968313</v>
      </c>
      <c r="AG1847" s="82">
        <f>IFERROR(__xludf.DUMMYFUNCTION("""COMPUTED_VALUE"""),1.2757636218112072)</f>
        <v>1.275763622</v>
      </c>
      <c r="AH1847" s="82">
        <f>IFERROR(__xludf.DUMMYFUNCTION("""COMPUTED_VALUE"""),0.6099289381709464)</f>
        <v>0.6099289382</v>
      </c>
      <c r="AI1847" s="82">
        <f>IFERROR(__xludf.DUMMYFUNCTION("""COMPUTED_VALUE"""),1.105433249201191)</f>
        <v>1.105433249</v>
      </c>
      <c r="AJ1847" s="82">
        <f>IFERROR(__xludf.DUMMYFUNCTION("""COMPUTED_VALUE"""),1.3336335166041615)</f>
        <v>1.333633517</v>
      </c>
      <c r="AK1847" s="82">
        <f>IFERROR(__xludf.DUMMYFUNCTION("""COMPUTED_VALUE"""),1.1618892627657342)</f>
        <v>1.161889263</v>
      </c>
      <c r="AL1847" s="82">
        <f>IFERROR(__xludf.DUMMYFUNCTION("""COMPUTED_VALUE"""),1.0225610192002215)</f>
        <v>1.022561019</v>
      </c>
      <c r="AM1847" s="82">
        <f>IFERROR(__xludf.DUMMYFUNCTION("""COMPUTED_VALUE"""),1.1252222880516927)</f>
        <v>1.125222288</v>
      </c>
      <c r="AN1847" s="82">
        <f>IFERROR(__xludf.DUMMYFUNCTION("""COMPUTED_VALUE"""),0.8360937876828011)</f>
        <v>0.8360937877</v>
      </c>
      <c r="AO1847" s="82">
        <f>IFERROR(__xludf.DUMMYFUNCTION("""COMPUTED_VALUE"""),0.3361389841579919)</f>
        <v>0.3361389842</v>
      </c>
      <c r="AP1847" s="82">
        <f>IFERROR(__xludf.DUMMYFUNCTION("""COMPUTED_VALUE"""),0.9160895486214388)</f>
        <v>0.9160895486</v>
      </c>
      <c r="AQ1847" s="82">
        <f>IFERROR(__xludf.DUMMYFUNCTION("""COMPUTED_VALUE"""),1.3380754048018069)</f>
        <v>1.338075405</v>
      </c>
      <c r="AR1847" s="82">
        <f>IFERROR(__xludf.DUMMYFUNCTION("""COMPUTED_VALUE"""),0.5995925897440174)</f>
        <v>0.5995925897</v>
      </c>
      <c r="AS1847" s="82">
        <f>IFERROR(__xludf.DUMMYFUNCTION("""COMPUTED_VALUE"""),4.0)</f>
        <v>4</v>
      </c>
      <c r="AT1847" s="82">
        <f>IFERROR(__xludf.DUMMYFUNCTION("""COMPUTED_VALUE"""),0.1436382332496091)</f>
        <v>0.1436382332</v>
      </c>
      <c r="AU1847" s="82">
        <f>IFERROR(__xludf.DUMMYFUNCTION("""COMPUTED_VALUE"""),1.0296762141239664)</f>
        <v>1.029676214</v>
      </c>
      <c r="AV1847" s="82">
        <f>IFERROR(__xludf.DUMMYFUNCTION("""COMPUTED_VALUE"""),8.667317176806165)</f>
        <v>8.667317177</v>
      </c>
      <c r="AW1847" s="82">
        <f t="shared" si="1"/>
        <v>-20.35243592</v>
      </c>
      <c r="AX1847" s="83">
        <f t="array" ref="AX1847">IFERROR(DGET('SBV Import'!A:G,"SBV",{"RSC ID","Tier";B1847,A1847}))</f>
        <v>17.48276185</v>
      </c>
      <c r="AY1847" s="82">
        <f t="shared" si="2"/>
        <v>-10.34314688</v>
      </c>
      <c r="AZ1847" s="82">
        <v>10.009289038908259</v>
      </c>
      <c r="BA1847" s="84">
        <v>1700.0</v>
      </c>
      <c r="BB1847" s="84" t="b">
        <f>IFERROR(__xludf.DUMMYFUNCTION("iferror(if(A1847="""",,E1847&gt;=FILTER(Constants!$F$2:$F$10,Constants!$A$2:$A$10=A1847)))"),TRUE)</f>
        <v>1</v>
      </c>
    </row>
    <row r="1848">
      <c r="A1848" s="89" t="str">
        <f>IFERROR(__xludf.DUMMYFUNCTION("""COMPUTED_VALUE"""),"Rival")</f>
        <v>Rival</v>
      </c>
      <c r="B1848" s="87" t="str">
        <f>IFERROR(__xludf.DUMMYFUNCTION("""COMPUTED_VALUE"""),"RSC002413")</f>
        <v>RSC002413</v>
      </c>
      <c r="C1848" s="73" t="str">
        <f>IFERROR(__xludf.DUMMYFUNCTION("""COMPUTED_VALUE"""),"dafiya711")</f>
        <v>dafiya711</v>
      </c>
      <c r="D1848" s="73" t="str">
        <f>IFERROR(__xludf.DUMMYFUNCTION("""COMPUTED_VALUE"""),"Hippos")</f>
        <v>Hippos</v>
      </c>
      <c r="E1848" s="82">
        <f>IFERROR(__xludf.DUMMYFUNCTION("""COMPUTED_VALUE"""),4.0)</f>
        <v>4</v>
      </c>
      <c r="F1848" s="82">
        <f>IFERROR(__xludf.DUMMYFUNCTION("""COMPUTED_VALUE"""),1.0)</f>
        <v>1</v>
      </c>
      <c r="G1848" s="86">
        <f>IFERROR(__xludf.DUMMYFUNCTION("""COMPUTED_VALUE"""),3.0)</f>
        <v>3</v>
      </c>
      <c r="H1848" s="86">
        <f>IFERROR(__xludf.DUMMYFUNCTION("""COMPUTED_VALUE"""),0.25)</f>
        <v>0.25</v>
      </c>
      <c r="I1848" s="86">
        <f>IFERROR(__xludf.DUMMYFUNCTION("""COMPUTED_VALUE"""),0.125)</f>
        <v>0.125</v>
      </c>
      <c r="J1848" s="82">
        <f>IFERROR(__xludf.DUMMYFUNCTION("""COMPUTED_VALUE"""),265.25)</f>
        <v>265.25</v>
      </c>
      <c r="K1848" s="82">
        <f>IFERROR(__xludf.DUMMYFUNCTION("""COMPUTED_VALUE"""),0.25)</f>
        <v>0.25</v>
      </c>
      <c r="L1848" s="82">
        <f>IFERROR(__xludf.DUMMYFUNCTION("""COMPUTED_VALUE"""),0.25)</f>
        <v>0.25</v>
      </c>
      <c r="M1848" s="82">
        <f>IFERROR(__xludf.DUMMYFUNCTION("""COMPUTED_VALUE"""),1.0)</f>
        <v>1</v>
      </c>
      <c r="N1848" s="82">
        <f>IFERROR(__xludf.DUMMYFUNCTION("""COMPUTED_VALUE"""),2.0)</f>
        <v>2</v>
      </c>
      <c r="O1848" s="82">
        <f>IFERROR(__xludf.DUMMYFUNCTION("""COMPUTED_VALUE"""),364.58333333333337)</f>
        <v>364.5833333</v>
      </c>
      <c r="P1848" s="82">
        <f>IFERROR(__xludf.DUMMYFUNCTION("""COMPUTED_VALUE"""),1.0)</f>
        <v>1</v>
      </c>
      <c r="Q1848" s="82">
        <f>IFERROR(__xludf.DUMMYFUNCTION("""COMPUTED_VALUE"""),0.41666666666666663)</f>
        <v>0.4166666667</v>
      </c>
      <c r="R1848" s="82">
        <f>IFERROR(__xludf.DUMMYFUNCTION("""COMPUTED_VALUE"""),1.25)</f>
        <v>1.25</v>
      </c>
      <c r="S1848" s="82">
        <f>IFERROR(__xludf.DUMMYFUNCTION("""COMPUTED_VALUE"""),3.1666666666666665)</f>
        <v>3.166666667</v>
      </c>
      <c r="T1848" s="82">
        <f>IFERROR(__xludf.DUMMYFUNCTION("""COMPUTED_VALUE"""),361.9639479905438)</f>
        <v>361.963948</v>
      </c>
      <c r="U1848" s="82">
        <f>IFERROR(__xludf.DUMMYFUNCTION("""COMPUTED_VALUE"""),0.8202772404900065)</f>
        <v>0.8202772405</v>
      </c>
      <c r="V1848" s="82">
        <f>IFERROR(__xludf.DUMMYFUNCTION("""COMPUTED_VALUE"""),0.516387277025575)</f>
        <v>0.516387277</v>
      </c>
      <c r="W1848" s="82">
        <f>IFERROR(__xludf.DUMMYFUNCTION("""COMPUTED_VALUE"""),1.3639587362991616)</f>
        <v>1.363958736</v>
      </c>
      <c r="X1848" s="82">
        <f>IFERROR(__xludf.DUMMYFUNCTION("""COMPUTED_VALUE"""),2.5953148506339994)</f>
        <v>2.595314851</v>
      </c>
      <c r="Y1848" s="82">
        <f>IFERROR(__xludf.DUMMYFUNCTION("""COMPUTED_VALUE"""),334.9195501110395)</f>
        <v>334.9195501</v>
      </c>
      <c r="Z1848" s="82">
        <f>IFERROR(__xludf.DUMMYFUNCTION("""COMPUTED_VALUE"""),0.6182033096926713)</f>
        <v>0.6182033097</v>
      </c>
      <c r="AA1848" s="82">
        <f>IFERROR(__xludf.DUMMYFUNCTION("""COMPUTED_VALUE"""),0.4218962676409485)</f>
        <v>0.4218962676</v>
      </c>
      <c r="AB1848" s="82">
        <f>IFERROR(__xludf.DUMMYFUNCTION("""COMPUTED_VALUE"""),1.5114621391217136)</f>
        <v>1.511462139</v>
      </c>
      <c r="AC1848" s="82">
        <f>IFERROR(__xludf.DUMMYFUNCTION("""COMPUTED_VALUE"""),2.341124006017623)</f>
        <v>2.341124006</v>
      </c>
      <c r="AD1848" s="82">
        <f>IFERROR(__xludf.DUMMYFUNCTION("""COMPUTED_VALUE"""),0.7919812382169354)</f>
        <v>0.7919812382</v>
      </c>
      <c r="AE1848" s="82">
        <f>IFERROR(__xludf.DUMMYFUNCTION("""COMPUTED_VALUE"""),0.4043977055449331)</f>
        <v>0.4043977055</v>
      </c>
      <c r="AF1848" s="82">
        <f>IFERROR(__xludf.DUMMYFUNCTION("""COMPUTED_VALUE"""),0.5925627202105531)</f>
        <v>0.5925627202</v>
      </c>
      <c r="AG1848" s="82">
        <f>IFERROR(__xludf.DUMMYFUNCTION("""COMPUTED_VALUE"""),0.6616110150010664)</f>
        <v>0.661611015</v>
      </c>
      <c r="AH1848" s="82">
        <f>IFERROR(__xludf.DUMMYFUNCTION("""COMPUTED_VALUE"""),0.8542905009983246)</f>
        <v>0.854290501</v>
      </c>
      <c r="AI1848" s="82">
        <f>IFERROR(__xludf.DUMMYFUNCTION("""COMPUTED_VALUE"""),1.0072365918134423)</f>
        <v>1.007236592</v>
      </c>
      <c r="AJ1848" s="82">
        <f>IFERROR(__xludf.DUMMYFUNCTION("""COMPUTED_VALUE"""),1.219100019650226)</f>
        <v>1.21910002</v>
      </c>
      <c r="AK1848" s="82">
        <f>IFERROR(__xludf.DUMMYFUNCTION("""COMPUTED_VALUE"""),0.8068879409010506)</f>
        <v>0.8068879409</v>
      </c>
      <c r="AL1848" s="82">
        <f>IFERROR(__xludf.DUMMYFUNCTION("""COMPUTED_VALUE"""),0.9164500118175374)</f>
        <v>0.9164500118</v>
      </c>
      <c r="AM1848" s="82">
        <f>IFERROR(__xludf.DUMMYFUNCTION("""COMPUTED_VALUE"""),1.2201473998012586)</f>
        <v>1.2201474</v>
      </c>
      <c r="AN1848" s="82">
        <f>IFERROR(__xludf.DUMMYFUNCTION("""COMPUTED_VALUE"""),0.7822711717208571)</f>
        <v>0.7822711717</v>
      </c>
      <c r="AO1848" s="82">
        <f>IFERROR(__xludf.DUMMYFUNCTION("""COMPUTED_VALUE"""),0.3361389841579919)</f>
        <v>0.3361389842</v>
      </c>
      <c r="AP1848" s="82">
        <f>IFERROR(__xludf.DUMMYFUNCTION("""COMPUTED_VALUE"""),0.4580447743107194)</f>
        <v>0.4580447743</v>
      </c>
      <c r="AQ1848" s="82">
        <f>IFERROR(__xludf.DUMMYFUNCTION("""COMPUTED_VALUE"""),0.7646145170296039)</f>
        <v>0.764614517</v>
      </c>
      <c r="AR1848" s="82">
        <f>IFERROR(__xludf.DUMMYFUNCTION("""COMPUTED_VALUE"""),0.7994567863253565)</f>
        <v>0.7994567863</v>
      </c>
      <c r="AS1848" s="82">
        <f>IFERROR(__xludf.DUMMYFUNCTION("""COMPUTED_VALUE"""),6.0)</f>
        <v>6</v>
      </c>
      <c r="AT1848" s="82">
        <f>IFERROR(__xludf.DUMMYFUNCTION("""COMPUTED_VALUE"""),0.25591176740996385)</f>
        <v>0.2559117674</v>
      </c>
      <c r="AU1848" s="82">
        <f>IFERROR(__xludf.DUMMYFUNCTION("""COMPUTED_VALUE"""),1.0220641542664488)</f>
        <v>1.022064154</v>
      </c>
      <c r="AV1848" s="82">
        <f>IFERROR(__xludf.DUMMYFUNCTION("""COMPUTED_VALUE"""),8.449384094045335)</f>
        <v>8.449384094</v>
      </c>
      <c r="AW1848" s="82">
        <f t="shared" si="1"/>
        <v>-20.72370603</v>
      </c>
      <c r="AX1848" s="83">
        <f t="array" ref="AX1848">IFERROR(DGET('SBV Import'!A:G,"SBV",{"RSC ID","Tier";B1848,A1848}))</f>
        <v>10.28724533</v>
      </c>
      <c r="AY1848" s="82">
        <f t="shared" si="2"/>
        <v>-17.8299173</v>
      </c>
      <c r="AZ1848" s="82">
        <v>2.893788731421189</v>
      </c>
      <c r="BA1848" s="84">
        <v>1700.0</v>
      </c>
      <c r="BB1848" s="84" t="b">
        <f>IFERROR(__xludf.DUMMYFUNCTION("iferror(if(A1848="""",,E1848&gt;=FILTER(Constants!$F$2:$F$10,Constants!$A$2:$A$10=A1848)))"),TRUE)</f>
        <v>1</v>
      </c>
    </row>
    <row r="1849">
      <c r="A1849" s="89" t="str">
        <f>IFERROR(__xludf.DUMMYFUNCTION("""COMPUTED_VALUE"""),"Rival")</f>
        <v>Rival</v>
      </c>
      <c r="B1849" s="87" t="str">
        <f>IFERROR(__xludf.DUMMYFUNCTION("""COMPUTED_VALUE"""),"RSC005294")</f>
        <v>RSC005294</v>
      </c>
      <c r="C1849" s="73" t="str">
        <f>IFERROR(__xludf.DUMMYFUNCTION("""COMPUTED_VALUE"""),"mogulmaniac5480")</f>
        <v>mogulmaniac5480</v>
      </c>
      <c r="D1849" s="73"/>
      <c r="E1849" s="82">
        <f>IFERROR(__xludf.DUMMYFUNCTION("""COMPUTED_VALUE"""),4.0)</f>
        <v>4</v>
      </c>
      <c r="F1849" s="82">
        <f>IFERROR(__xludf.DUMMYFUNCTION("""COMPUTED_VALUE"""),1.0)</f>
        <v>1</v>
      </c>
      <c r="G1849" s="86">
        <f>IFERROR(__xludf.DUMMYFUNCTION("""COMPUTED_VALUE"""),3.0)</f>
        <v>3</v>
      </c>
      <c r="H1849" s="86">
        <f>IFERROR(__xludf.DUMMYFUNCTION("""COMPUTED_VALUE"""),0.25)</f>
        <v>0.25</v>
      </c>
      <c r="I1849" s="86">
        <f>IFERROR(__xludf.DUMMYFUNCTION("""COMPUTED_VALUE"""),0.0625)</f>
        <v>0.0625</v>
      </c>
      <c r="J1849" s="82">
        <f>IFERROR(__xludf.DUMMYFUNCTION("""COMPUTED_VALUE"""),274.0)</f>
        <v>274</v>
      </c>
      <c r="K1849" s="82">
        <f>IFERROR(__xludf.DUMMYFUNCTION("""COMPUTED_VALUE"""),0.25)</f>
        <v>0.25</v>
      </c>
      <c r="L1849" s="82">
        <f>IFERROR(__xludf.DUMMYFUNCTION("""COMPUTED_VALUE"""),0.25)</f>
        <v>0.25</v>
      </c>
      <c r="M1849" s="82">
        <f>IFERROR(__xludf.DUMMYFUNCTION("""COMPUTED_VALUE"""),1.0)</f>
        <v>1</v>
      </c>
      <c r="N1849" s="82">
        <f>IFERROR(__xludf.DUMMYFUNCTION("""COMPUTED_VALUE"""),4.0)</f>
        <v>4</v>
      </c>
      <c r="O1849" s="82">
        <f>IFERROR(__xludf.DUMMYFUNCTION("""COMPUTED_VALUE"""),391.3333333333333)</f>
        <v>391.3333333</v>
      </c>
      <c r="P1849" s="82">
        <f>IFERROR(__xludf.DUMMYFUNCTION("""COMPUTED_VALUE"""),0.8333333333333333)</f>
        <v>0.8333333333</v>
      </c>
      <c r="Q1849" s="82">
        <f>IFERROR(__xludf.DUMMYFUNCTION("""COMPUTED_VALUE"""),0.7499999999999999)</f>
        <v>0.75</v>
      </c>
      <c r="R1849" s="82">
        <f>IFERROR(__xludf.DUMMYFUNCTION("""COMPUTED_VALUE"""),1.9166666666666665)</f>
        <v>1.916666667</v>
      </c>
      <c r="S1849" s="82">
        <f>IFERROR(__xludf.DUMMYFUNCTION("""COMPUTED_VALUE"""),2.416666666666667)</f>
        <v>2.416666667</v>
      </c>
      <c r="T1849" s="82">
        <f>IFERROR(__xludf.DUMMYFUNCTION("""COMPUTED_VALUE"""),303.02720943449845)</f>
        <v>303.0272094</v>
      </c>
      <c r="U1849" s="82">
        <f>IFERROR(__xludf.DUMMYFUNCTION("""COMPUTED_VALUE"""),0.5811842853083262)</f>
        <v>0.5811842853</v>
      </c>
      <c r="V1849" s="82">
        <f>IFERROR(__xludf.DUMMYFUNCTION("""COMPUTED_VALUE"""),0.375355214549588)</f>
        <v>0.3753552145</v>
      </c>
      <c r="W1849" s="82">
        <f>IFERROR(__xludf.DUMMYFUNCTION("""COMPUTED_VALUE"""),1.307136260301222)</f>
        <v>1.30713626</v>
      </c>
      <c r="X1849" s="82">
        <f>IFERROR(__xludf.DUMMYFUNCTION("""COMPUTED_VALUE"""),2.0549694515487356)</f>
        <v>2.054969452</v>
      </c>
      <c r="Y1849" s="82">
        <f>IFERROR(__xludf.DUMMYFUNCTION("""COMPUTED_VALUE"""),375.2674410343847)</f>
        <v>375.267441</v>
      </c>
      <c r="Z1849" s="82">
        <f>IFERROR(__xludf.DUMMYFUNCTION("""COMPUTED_VALUE"""),1.0025161030595813)</f>
        <v>1.002516103</v>
      </c>
      <c r="AA1849" s="82">
        <f>IFERROR(__xludf.DUMMYFUNCTION("""COMPUTED_VALUE"""),0.7273846736762338)</f>
        <v>0.7273846737</v>
      </c>
      <c r="AB1849" s="82">
        <f>IFERROR(__xludf.DUMMYFUNCTION("""COMPUTED_VALUE"""),1.204692384200057)</f>
        <v>1.204692384</v>
      </c>
      <c r="AC1849" s="82">
        <f>IFERROR(__xludf.DUMMYFUNCTION("""COMPUTED_VALUE"""),2.9621282087714307)</f>
        <v>2.962128209</v>
      </c>
      <c r="AD1849" s="82">
        <f>IFERROR(__xludf.DUMMYFUNCTION("""COMPUTED_VALUE"""),0.7301459440359339)</f>
        <v>0.730145944</v>
      </c>
      <c r="AE1849" s="82">
        <f>IFERROR(__xludf.DUMMYFUNCTION("""COMPUTED_VALUE"""),0.2493725529565305)</f>
        <v>0.249372553</v>
      </c>
      <c r="AF1849" s="82">
        <f>IFERROR(__xludf.DUMMYFUNCTION("""COMPUTED_VALUE"""),0.34369709597603854)</f>
        <v>0.343697096</v>
      </c>
      <c r="AG1849" s="82">
        <f>IFERROR(__xludf.DUMMYFUNCTION("""COMPUTED_VALUE"""),0.8300874257323563)</f>
        <v>0.8300874257</v>
      </c>
      <c r="AH1849" s="82">
        <f>IFERROR(__xludf.DUMMYFUNCTION("""COMPUTED_VALUE"""),1.3503804420602834)</f>
        <v>1.350380442</v>
      </c>
      <c r="AI1849" s="82">
        <f>IFERROR(__xludf.DUMMYFUNCTION("""COMPUTED_VALUE"""),1.291413183864345)</f>
        <v>1.291413184</v>
      </c>
      <c r="AJ1849" s="82">
        <f>IFERROR(__xludf.DUMMYFUNCTION("""COMPUTED_VALUE"""),1.4338538642544998)</f>
        <v>1.433853864</v>
      </c>
      <c r="AK1849" s="82">
        <f>IFERROR(__xludf.DUMMYFUNCTION("""COMPUTED_VALUE"""),1.9981073152266486)</f>
        <v>1.998107315</v>
      </c>
      <c r="AL1849" s="82">
        <f>IFERROR(__xludf.DUMMYFUNCTION("""COMPUTED_VALUE"""),1.466309768061198)</f>
        <v>1.466309768</v>
      </c>
      <c r="AM1849" s="82">
        <f>IFERROR(__xludf.DUMMYFUNCTION("""COMPUTED_VALUE"""),1.1760109936648142)</f>
        <v>1.176010994</v>
      </c>
      <c r="AN1849" s="82">
        <f>IFERROR(__xludf.DUMMYFUNCTION("""COMPUTED_VALUE"""),0.8080765355382276)</f>
        <v>0.8080765355</v>
      </c>
      <c r="AO1849" s="82">
        <f>IFERROR(__xludf.DUMMYFUNCTION("""COMPUTED_VALUE"""),0.3361389841579919)</f>
        <v>0.3361389842</v>
      </c>
      <c r="AP1849" s="82">
        <f>IFERROR(__xludf.DUMMYFUNCTION("""COMPUTED_VALUE"""),0.4580447743107194)</f>
        <v>0.4580447743</v>
      </c>
      <c r="AQ1849" s="82">
        <f>IFERROR(__xludf.DUMMYFUNCTION("""COMPUTED_VALUE"""),0.7646145170296039)</f>
        <v>0.764614517</v>
      </c>
      <c r="AR1849" s="82">
        <f>IFERROR(__xludf.DUMMYFUNCTION("""COMPUTED_VALUE"""),1.598913572650713)</f>
        <v>1.598913573</v>
      </c>
      <c r="AS1849" s="82">
        <f>IFERROR(__xludf.DUMMYFUNCTION("""COMPUTED_VALUE"""),7.0)</f>
        <v>7</v>
      </c>
      <c r="AT1849" s="82">
        <f>IFERROR(__xludf.DUMMYFUNCTION("""COMPUTED_VALUE"""),0.3681220636841087)</f>
        <v>0.3681220637</v>
      </c>
      <c r="AU1849" s="82">
        <f>IFERROR(__xludf.DUMMYFUNCTION("""COMPUTED_VALUE"""),0.8718742524732513)</f>
        <v>0.8718742525</v>
      </c>
      <c r="AV1849" s="82">
        <f>IFERROR(__xludf.DUMMYFUNCTION("""COMPUTED_VALUE"""),4.149450973444203)</f>
        <v>4.149450973</v>
      </c>
      <c r="AW1849" s="82">
        <f t="shared" si="1"/>
        <v>-30.00717128</v>
      </c>
      <c r="AX1849" s="83">
        <f t="array" ref="AX1849">IFERROR(DGET('SBV Import'!A:G,"SBV",{"RSC ID","Tier";B1849,A1849}))</f>
        <v>26.64373193</v>
      </c>
      <c r="AY1849" s="82">
        <f t="shared" si="2"/>
        <v>-5.711436903</v>
      </c>
      <c r="AZ1849" s="82">
        <v>24.295734376343322</v>
      </c>
      <c r="BA1849" s="84">
        <v>1700.0</v>
      </c>
      <c r="BB1849" s="84" t="b">
        <f>IFERROR(__xludf.DUMMYFUNCTION("iferror(if(A1849="""",,E1849&gt;=FILTER(Constants!$F$2:$F$10,Constants!$A$2:$A$10=A1849)))"),TRUE)</f>
        <v>1</v>
      </c>
    </row>
    <row r="1850">
      <c r="A1850" s="89" t="str">
        <f>IFERROR(__xludf.DUMMYFUNCTION("""COMPUTED_VALUE"""),"Rival")</f>
        <v>Rival</v>
      </c>
      <c r="B1850" s="87" t="str">
        <f>IFERROR(__xludf.DUMMYFUNCTION("""COMPUTED_VALUE"""),"RSC000726")</f>
        <v>RSC000726</v>
      </c>
      <c r="C1850" s="73" t="str">
        <f>IFERROR(__xludf.DUMMYFUNCTION("""COMPUTED_VALUE"""),"Way2Luckee")</f>
        <v>Way2Luckee</v>
      </c>
      <c r="D1850" s="73"/>
      <c r="E1850" s="82">
        <f>IFERROR(__xludf.DUMMYFUNCTION("""COMPUTED_VALUE"""),4.0)</f>
        <v>4</v>
      </c>
      <c r="F1850" s="82">
        <f>IFERROR(__xludf.DUMMYFUNCTION("""COMPUTED_VALUE"""),0.0)</f>
        <v>0</v>
      </c>
      <c r="G1850" s="86">
        <f>IFERROR(__xludf.DUMMYFUNCTION("""COMPUTED_VALUE"""),4.0)</f>
        <v>4</v>
      </c>
      <c r="H1850" s="86">
        <f>IFERROR(__xludf.DUMMYFUNCTION("""COMPUTED_VALUE"""),0.0)</f>
        <v>0</v>
      </c>
      <c r="I1850" s="86">
        <f>IFERROR(__xludf.DUMMYFUNCTION("""COMPUTED_VALUE"""),0.08333333333333333)</f>
        <v>0.08333333333</v>
      </c>
      <c r="J1850" s="82">
        <f>IFERROR(__xludf.DUMMYFUNCTION("""COMPUTED_VALUE"""),280.75)</f>
        <v>280.75</v>
      </c>
      <c r="K1850" s="82">
        <f>IFERROR(__xludf.DUMMYFUNCTION("""COMPUTED_VALUE"""),0.25)</f>
        <v>0.25</v>
      </c>
      <c r="L1850" s="82">
        <f>IFERROR(__xludf.DUMMYFUNCTION("""COMPUTED_VALUE"""),0.5)</f>
        <v>0.5</v>
      </c>
      <c r="M1850" s="82">
        <f>IFERROR(__xludf.DUMMYFUNCTION("""COMPUTED_VALUE"""),1.5)</f>
        <v>1.5</v>
      </c>
      <c r="N1850" s="82">
        <f>IFERROR(__xludf.DUMMYFUNCTION("""COMPUTED_VALUE"""),3.0)</f>
        <v>3</v>
      </c>
      <c r="O1850" s="82">
        <f>IFERROR(__xludf.DUMMYFUNCTION("""COMPUTED_VALUE"""),538.1666666666666)</f>
        <v>538.1666667</v>
      </c>
      <c r="P1850" s="82">
        <f>IFERROR(__xludf.DUMMYFUNCTION("""COMPUTED_VALUE"""),1.8333333333333335)</f>
        <v>1.833333333</v>
      </c>
      <c r="Q1850" s="82">
        <f>IFERROR(__xludf.DUMMYFUNCTION("""COMPUTED_VALUE"""),1.1666666666666667)</f>
        <v>1.166666667</v>
      </c>
      <c r="R1850" s="82">
        <f>IFERROR(__xludf.DUMMYFUNCTION("""COMPUTED_VALUE"""),1.5833333333333333)</f>
        <v>1.583333333</v>
      </c>
      <c r="S1850" s="82">
        <f>IFERROR(__xludf.DUMMYFUNCTION("""COMPUTED_VALUE"""),3.9166666666666665)</f>
        <v>3.916666667</v>
      </c>
      <c r="T1850" s="82">
        <f>IFERROR(__xludf.DUMMYFUNCTION("""COMPUTED_VALUE"""),384.1804232804233)</f>
        <v>384.1804233</v>
      </c>
      <c r="U1850" s="82">
        <f>IFERROR(__xludf.DUMMYFUNCTION("""COMPUTED_VALUE"""),0.8957671957671959)</f>
        <v>0.8957671958</v>
      </c>
      <c r="V1850" s="82">
        <f>IFERROR(__xludf.DUMMYFUNCTION("""COMPUTED_VALUE"""),0.7227513227513227)</f>
        <v>0.7227513228</v>
      </c>
      <c r="W1850" s="82">
        <f>IFERROR(__xludf.DUMMYFUNCTION("""COMPUTED_VALUE"""),1.5164021164021164)</f>
        <v>1.516402116</v>
      </c>
      <c r="X1850" s="82">
        <f>IFERROR(__xludf.DUMMYFUNCTION("""COMPUTED_VALUE"""),2.793915343915344)</f>
        <v>2.793915344</v>
      </c>
      <c r="Y1850" s="82">
        <f>IFERROR(__xludf.DUMMYFUNCTION("""COMPUTED_VALUE"""),358.28253968253966)</f>
        <v>358.2825397</v>
      </c>
      <c r="Z1850" s="82">
        <f>IFERROR(__xludf.DUMMYFUNCTION("""COMPUTED_VALUE"""),0.8416225749559082)</f>
        <v>0.841622575</v>
      </c>
      <c r="AA1850" s="82">
        <f>IFERROR(__xludf.DUMMYFUNCTION("""COMPUTED_VALUE"""),0.5772486772486771)</f>
        <v>0.5772486772</v>
      </c>
      <c r="AB1850" s="82">
        <f>IFERROR(__xludf.DUMMYFUNCTION("""COMPUTED_VALUE"""),1.3746031746031748)</f>
        <v>1.374603175</v>
      </c>
      <c r="AC1850" s="82">
        <f>IFERROR(__xludf.DUMMYFUNCTION("""COMPUTED_VALUE"""),2.618430335097002)</f>
        <v>2.618430335</v>
      </c>
      <c r="AD1850" s="82">
        <f>IFERROR(__xludf.DUMMYFUNCTION("""COMPUTED_VALUE"""),0.783599447097706)</f>
        <v>0.7835994471</v>
      </c>
      <c r="AE1850" s="82">
        <f>IFERROR(__xludf.DUMMYFUNCTION("""COMPUTED_VALUE"""),0.29704526404023474)</f>
        <v>0.297045264</v>
      </c>
      <c r="AF1850" s="82">
        <f>IFERROR(__xludf.DUMMYFUNCTION("""COMPUTED_VALUE"""),0.8661778185151239)</f>
        <v>0.8661778185</v>
      </c>
      <c r="AG1850" s="82">
        <f>IFERROR(__xludf.DUMMYFUNCTION("""COMPUTED_VALUE"""),1.0912240184757505)</f>
        <v>1.091224018</v>
      </c>
      <c r="AH1850" s="82">
        <f>IFERROR(__xludf.DUMMYFUNCTION("""COMPUTED_VALUE"""),1.1457245815512072)</f>
        <v>1.145724582</v>
      </c>
      <c r="AI1850" s="82">
        <f>IFERROR(__xludf.DUMMYFUNCTION("""COMPUTED_VALUE"""),1.4008175171222734)</f>
        <v>1.400817517</v>
      </c>
      <c r="AJ1850" s="82">
        <f>IFERROR(__xludf.DUMMYFUNCTION("""COMPUTED_VALUE"""),2.0466627288836383)</f>
        <v>2.046662729</v>
      </c>
      <c r="AK1850" s="82">
        <f>IFERROR(__xludf.DUMMYFUNCTION("""COMPUTED_VALUE"""),1.6142020497803808)</f>
        <v>1.61420205</v>
      </c>
      <c r="AL1850" s="82">
        <f>IFERROR(__xludf.DUMMYFUNCTION("""COMPUTED_VALUE"""),1.0441381716678297)</f>
        <v>1.044138172</v>
      </c>
      <c r="AM1850" s="82">
        <f>IFERROR(__xludf.DUMMYFUNCTION("""COMPUTED_VALUE"""),1.4018558848593883)</f>
        <v>1.401855885</v>
      </c>
      <c r="AN1850" s="82">
        <f>IFERROR(__xludf.DUMMYFUNCTION("""COMPUTED_VALUE"""),0.8279835304830562)</f>
        <v>0.8279835305</v>
      </c>
      <c r="AO1850" s="82">
        <f>IFERROR(__xludf.DUMMYFUNCTION("""COMPUTED_VALUE"""),0.3361389841579919)</f>
        <v>0.3361389842</v>
      </c>
      <c r="AP1850" s="82">
        <f>IFERROR(__xludf.DUMMYFUNCTION("""COMPUTED_VALUE"""),0.9160895486214388)</f>
        <v>0.9160895486</v>
      </c>
      <c r="AQ1850" s="82">
        <f>IFERROR(__xludf.DUMMYFUNCTION("""COMPUTED_VALUE"""),1.1469217755444059)</f>
        <v>1.146921776</v>
      </c>
      <c r="AR1850" s="82">
        <f>IFERROR(__xludf.DUMMYFUNCTION("""COMPUTED_VALUE"""),1.1991851794880348)</f>
        <v>1.199185179</v>
      </c>
      <c r="AS1850" s="82">
        <f>IFERROR(__xludf.DUMMYFUNCTION("""COMPUTED_VALUE"""),9.0)</f>
        <v>9</v>
      </c>
      <c r="AT1850" s="82">
        <f>IFERROR(__xludf.DUMMYFUNCTION("""COMPUTED_VALUE"""),0.16676734579563535)</f>
        <v>0.1667673458</v>
      </c>
      <c r="AU1850" s="82">
        <f>IFERROR(__xludf.DUMMYFUNCTION("""COMPUTED_VALUE"""),0.8484526588934224)</f>
        <v>0.8484526589</v>
      </c>
      <c r="AV1850" s="82">
        <f>IFERROR(__xludf.DUMMYFUNCTION("""COMPUTED_VALUE"""),3.4788913368193803)</f>
        <v>3.478891337</v>
      </c>
      <c r="AW1850" s="82">
        <f t="shared" si="1"/>
        <v>-31.86430348</v>
      </c>
      <c r="AX1850" s="83">
        <f t="array" ref="AX1850">IFERROR(DGET('SBV Import'!A:G,"SBV",{"RSC ID","Tier";B1850,A1850}))</f>
        <v>6.603854184</v>
      </c>
      <c r="AY1850" s="82">
        <f t="shared" si="2"/>
        <v>-24.21568495</v>
      </c>
      <c r="AZ1850" s="82">
        <v>7.648618534703193</v>
      </c>
      <c r="BA1850" s="84">
        <v>1700.0</v>
      </c>
      <c r="BB1850" s="84" t="b">
        <f>IFERROR(__xludf.DUMMYFUNCTION("iferror(if(A1850="""",,E1850&gt;=FILTER(Constants!$F$2:$F$10,Constants!$A$2:$A$10=A1850)))"),TRUE)</f>
        <v>1</v>
      </c>
    </row>
    <row r="1851">
      <c r="A1851" s="89" t="str">
        <f>IFERROR(__xludf.DUMMYFUNCTION("""COMPUTED_VALUE"""),"Rival")</f>
        <v>Rival</v>
      </c>
      <c r="B1851" s="87" t="str">
        <f>IFERROR(__xludf.DUMMYFUNCTION("""COMPUTED_VALUE"""),"RSC001091")</f>
        <v>RSC001091</v>
      </c>
      <c r="C1851" s="73" t="str">
        <f>IFERROR(__xludf.DUMMYFUNCTION("""COMPUTED_VALUE"""),"stealthman777")</f>
        <v>stealthman777</v>
      </c>
      <c r="D1851" s="73" t="str">
        <f>IFERROR(__xludf.DUMMYFUNCTION("""COMPUTED_VALUE"""),"Necrotic Nerds")</f>
        <v>Necrotic Nerds</v>
      </c>
      <c r="E1851" s="82">
        <f>IFERROR(__xludf.DUMMYFUNCTION("""COMPUTED_VALUE"""),4.0)</f>
        <v>4</v>
      </c>
      <c r="F1851" s="82">
        <f>IFERROR(__xludf.DUMMYFUNCTION("""COMPUTED_VALUE"""),0.0)</f>
        <v>0</v>
      </c>
      <c r="G1851" s="86">
        <f>IFERROR(__xludf.DUMMYFUNCTION("""COMPUTED_VALUE"""),4.0)</f>
        <v>4</v>
      </c>
      <c r="H1851" s="86">
        <f>IFERROR(__xludf.DUMMYFUNCTION("""COMPUTED_VALUE"""),0.0)</f>
        <v>0</v>
      </c>
      <c r="I1851" s="86">
        <f>IFERROR(__xludf.DUMMYFUNCTION("""COMPUTED_VALUE"""),0.16666666666666666)</f>
        <v>0.1666666667</v>
      </c>
      <c r="J1851" s="82">
        <f>IFERROR(__xludf.DUMMYFUNCTION("""COMPUTED_VALUE"""),280.25)</f>
        <v>280.25</v>
      </c>
      <c r="K1851" s="82">
        <f>IFERROR(__xludf.DUMMYFUNCTION("""COMPUTED_VALUE"""),0.25)</f>
        <v>0.25</v>
      </c>
      <c r="L1851" s="82">
        <f>IFERROR(__xludf.DUMMYFUNCTION("""COMPUTED_VALUE"""),0.5)</f>
        <v>0.5</v>
      </c>
      <c r="M1851" s="82">
        <f>IFERROR(__xludf.DUMMYFUNCTION("""COMPUTED_VALUE"""),1.5)</f>
        <v>1.5</v>
      </c>
      <c r="N1851" s="82">
        <f>IFERROR(__xludf.DUMMYFUNCTION("""COMPUTED_VALUE"""),1.5)</f>
        <v>1.5</v>
      </c>
      <c r="O1851" s="82">
        <f>IFERROR(__xludf.DUMMYFUNCTION("""COMPUTED_VALUE"""),401.75)</f>
        <v>401.75</v>
      </c>
      <c r="P1851" s="82">
        <f>IFERROR(__xludf.DUMMYFUNCTION("""COMPUTED_VALUE"""),1.25)</f>
        <v>1.25</v>
      </c>
      <c r="Q1851" s="82">
        <f>IFERROR(__xludf.DUMMYFUNCTION("""COMPUTED_VALUE"""),0.9166666666666667)</f>
        <v>0.9166666667</v>
      </c>
      <c r="R1851" s="82">
        <f>IFERROR(__xludf.DUMMYFUNCTION("""COMPUTED_VALUE"""),1.0833333333333333)</f>
        <v>1.083333333</v>
      </c>
      <c r="S1851" s="82">
        <f>IFERROR(__xludf.DUMMYFUNCTION("""COMPUTED_VALUE"""),3.0833333333333335)</f>
        <v>3.083333333</v>
      </c>
      <c r="T1851" s="82">
        <f>IFERROR(__xludf.DUMMYFUNCTION("""COMPUTED_VALUE"""),349.6207419047623)</f>
        <v>349.6207419</v>
      </c>
      <c r="U1851" s="82">
        <f>IFERROR(__xludf.DUMMYFUNCTION("""COMPUTED_VALUE"""),0.8375969205767722)</f>
        <v>0.8375969206</v>
      </c>
      <c r="V1851" s="82">
        <f>IFERROR(__xludf.DUMMYFUNCTION("""COMPUTED_VALUE"""),0.6114630140876164)</f>
        <v>0.6114630141</v>
      </c>
      <c r="W1851" s="82">
        <f>IFERROR(__xludf.DUMMYFUNCTION("""COMPUTED_VALUE"""),1.2634733955319852)</f>
        <v>1.263473396</v>
      </c>
      <c r="X1851" s="82">
        <f>IFERROR(__xludf.DUMMYFUNCTION("""COMPUTED_VALUE"""),2.5594652908544746)</f>
        <v>2.559465291</v>
      </c>
      <c r="Y1851" s="82">
        <f>IFERROR(__xludf.DUMMYFUNCTION("""COMPUTED_VALUE"""),346.1447713868445)</f>
        <v>346.1447714</v>
      </c>
      <c r="Z1851" s="82">
        <f>IFERROR(__xludf.DUMMYFUNCTION("""COMPUTED_VALUE"""),0.8067559084990156)</f>
        <v>0.8067559085</v>
      </c>
      <c r="AA1851" s="82">
        <f>IFERROR(__xludf.DUMMYFUNCTION("""COMPUTED_VALUE"""),0.5665442734570518)</f>
        <v>0.5665442735</v>
      </c>
      <c r="AB1851" s="82">
        <f>IFERROR(__xludf.DUMMYFUNCTION("""COMPUTED_VALUE"""),1.2880615632537689)</f>
        <v>1.288061563</v>
      </c>
      <c r="AC1851" s="82">
        <f>IFERROR(__xludf.DUMMYFUNCTION("""COMPUTED_VALUE"""),2.5191183175607885)</f>
        <v>2.519118318</v>
      </c>
      <c r="AD1851" s="82">
        <f>IFERROR(__xludf.DUMMYFUNCTION("""COMPUTED_VALUE"""),0.8096323364272291)</f>
        <v>0.8096323364</v>
      </c>
      <c r="AE1851" s="82">
        <f>IFERROR(__xludf.DUMMYFUNCTION("""COMPUTED_VALUE"""),0.30988307289267913)</f>
        <v>0.3098830729</v>
      </c>
      <c r="AF1851" s="82">
        <f>IFERROR(__xludf.DUMMYFUNCTION("""COMPUTED_VALUE"""),0.8825435600098844)</f>
        <v>0.88254356</v>
      </c>
      <c r="AG1851" s="82">
        <f>IFERROR(__xludf.DUMMYFUNCTION("""COMPUTED_VALUE"""),1.1645406110953689)</f>
        <v>1.164540611</v>
      </c>
      <c r="AH1851" s="82">
        <f>IFERROR(__xludf.DUMMYFUNCTION("""COMPUTED_VALUE"""),0.5954464264514656)</f>
        <v>0.5954464265</v>
      </c>
      <c r="AI1851" s="82">
        <f>IFERROR(__xludf.DUMMYFUNCTION("""COMPUTED_VALUE"""),1.1491023038599861)</f>
        <v>1.149102304</v>
      </c>
      <c r="AJ1851" s="82">
        <f>IFERROR(__xludf.DUMMYFUNCTION("""COMPUTED_VALUE"""),1.4923646079539614)</f>
        <v>1.492364608</v>
      </c>
      <c r="AK1851" s="82">
        <f>IFERROR(__xludf.DUMMYFUNCTION("""COMPUTED_VALUE"""),1.4991367352520162)</f>
        <v>1.499136735</v>
      </c>
      <c r="AL1851" s="82">
        <f>IFERROR(__xludf.DUMMYFUNCTION("""COMPUTED_VALUE"""),0.857424728660152)</f>
        <v>0.8574247287</v>
      </c>
      <c r="AM1851" s="82">
        <f>IFERROR(__xludf.DUMMYFUNCTION("""COMPUTED_VALUE"""),1.2046787054900698)</f>
        <v>1.204678705</v>
      </c>
      <c r="AN1851" s="82">
        <f>IFERROR(__xludf.DUMMYFUNCTION("""COMPUTED_VALUE"""),0.8265089382649207)</f>
        <v>0.8265089383</v>
      </c>
      <c r="AO1851" s="82">
        <f>IFERROR(__xludf.DUMMYFUNCTION("""COMPUTED_VALUE"""),0.3361389841579919)</f>
        <v>0.3361389842</v>
      </c>
      <c r="AP1851" s="82">
        <f>IFERROR(__xludf.DUMMYFUNCTION("""COMPUTED_VALUE"""),0.9160895486214388)</f>
        <v>0.9160895486</v>
      </c>
      <c r="AQ1851" s="82">
        <f>IFERROR(__xludf.DUMMYFUNCTION("""COMPUTED_VALUE"""),1.1469217755444059)</f>
        <v>1.146921776</v>
      </c>
      <c r="AR1851" s="82">
        <f>IFERROR(__xludf.DUMMYFUNCTION("""COMPUTED_VALUE"""),0.5995925897440174)</f>
        <v>0.5995925897</v>
      </c>
      <c r="AS1851" s="82">
        <f>IFERROR(__xludf.DUMMYFUNCTION("""COMPUTED_VALUE"""),4.0)</f>
        <v>4</v>
      </c>
      <c r="AT1851" s="82">
        <f>IFERROR(__xludf.DUMMYFUNCTION("""COMPUTED_VALUE"""),0.112335503852016)</f>
        <v>0.1123355039</v>
      </c>
      <c r="AU1851" s="82">
        <f>IFERROR(__xludf.DUMMYFUNCTION("""COMPUTED_VALUE"""),0.7453558020801467)</f>
        <v>0.7453558021</v>
      </c>
      <c r="AV1851" s="82">
        <f>IFERROR(__xludf.DUMMYFUNCTION("""COMPUTED_VALUE"""),0.5272309125939998)</f>
        <v>0.5272309126</v>
      </c>
      <c r="AW1851" s="82">
        <f t="shared" si="1"/>
        <v>-41.81821047</v>
      </c>
      <c r="AX1851" s="83">
        <f t="array" ref="AX1851">IFERROR(DGET('SBV Import'!A:G,"SBV",{"RSC ID","Tier";B1851,A1851}))</f>
        <v>25.32233926</v>
      </c>
      <c r="AY1851" s="82">
        <f t="shared" si="2"/>
        <v>-6.180651811</v>
      </c>
      <c r="AZ1851" s="82">
        <v>35.63755865423171</v>
      </c>
      <c r="BA1851" s="84">
        <v>1700.0</v>
      </c>
      <c r="BB1851" s="84" t="b">
        <f>IFERROR(__xludf.DUMMYFUNCTION("iferror(if(A1851="""",,E1851&gt;=FILTER(Constants!$F$2:$F$10,Constants!$A$2:$A$10=A1851)))"),TRUE)</f>
        <v>1</v>
      </c>
    </row>
    <row r="1852">
      <c r="A1852" s="89" t="str">
        <f>IFERROR(__xludf.DUMMYFUNCTION("""COMPUTED_VALUE"""),"Rival")</f>
        <v>Rival</v>
      </c>
      <c r="B1852" s="87" t="str">
        <f>IFERROR(__xludf.DUMMYFUNCTION("""COMPUTED_VALUE"""),"RSC007173")</f>
        <v>RSC007173</v>
      </c>
      <c r="C1852" s="73" t="str">
        <f>IFERROR(__xludf.DUMMYFUNCTION("""COMPUTED_VALUE"""),"mr_marino_")</f>
        <v>mr_marino_</v>
      </c>
      <c r="D1852" s="73"/>
      <c r="E1852" s="82">
        <f>IFERROR(__xludf.DUMMYFUNCTION("""COMPUTED_VALUE"""),3.0)</f>
        <v>3</v>
      </c>
      <c r="F1852" s="82">
        <f>IFERROR(__xludf.DUMMYFUNCTION("""COMPUTED_VALUE"""),1.0)</f>
        <v>1</v>
      </c>
      <c r="G1852" s="86">
        <f>IFERROR(__xludf.DUMMYFUNCTION("""COMPUTED_VALUE"""),2.0)</f>
        <v>2</v>
      </c>
      <c r="H1852" s="86">
        <f>IFERROR(__xludf.DUMMYFUNCTION("""COMPUTED_VALUE"""),0.3333333333333333)</f>
        <v>0.3333333333</v>
      </c>
      <c r="I1852" s="86">
        <f>IFERROR(__xludf.DUMMYFUNCTION("""COMPUTED_VALUE"""),0.16666666666666666)</f>
        <v>0.1666666667</v>
      </c>
      <c r="J1852" s="82">
        <f>IFERROR(__xludf.DUMMYFUNCTION("""COMPUTED_VALUE"""),236.66666666666666)</f>
        <v>236.6666667</v>
      </c>
      <c r="K1852" s="82">
        <f>IFERROR(__xludf.DUMMYFUNCTION("""COMPUTED_VALUE"""),0.3333333333333333)</f>
        <v>0.3333333333</v>
      </c>
      <c r="L1852" s="82">
        <f>IFERROR(__xludf.DUMMYFUNCTION("""COMPUTED_VALUE"""),0.0)</f>
        <v>0</v>
      </c>
      <c r="M1852" s="82">
        <f>IFERROR(__xludf.DUMMYFUNCTION("""COMPUTED_VALUE"""),1.3333333333333333)</f>
        <v>1.333333333</v>
      </c>
      <c r="N1852" s="82">
        <f>IFERROR(__xludf.DUMMYFUNCTION("""COMPUTED_VALUE"""),2.0)</f>
        <v>2</v>
      </c>
      <c r="O1852" s="82">
        <f>IFERROR(__xludf.DUMMYFUNCTION("""COMPUTED_VALUE"""),337.8888888888889)</f>
        <v>337.8888889</v>
      </c>
      <c r="P1852" s="82">
        <f>IFERROR(__xludf.DUMMYFUNCTION("""COMPUTED_VALUE"""),0.888888888888889)</f>
        <v>0.8888888889</v>
      </c>
      <c r="Q1852" s="82">
        <f>IFERROR(__xludf.DUMMYFUNCTION("""COMPUTED_VALUE"""),0.7777777777777778)</f>
        <v>0.7777777778</v>
      </c>
      <c r="R1852" s="82">
        <f>IFERROR(__xludf.DUMMYFUNCTION("""COMPUTED_VALUE"""),0.9999999999999999)</f>
        <v>1</v>
      </c>
      <c r="S1852" s="82">
        <f>IFERROR(__xludf.DUMMYFUNCTION("""COMPUTED_VALUE"""),2.555555555555556)</f>
        <v>2.555555556</v>
      </c>
      <c r="T1852" s="82">
        <f>IFERROR(__xludf.DUMMYFUNCTION("""COMPUTED_VALUE"""),387.27142857142854)</f>
        <v>387.2714286</v>
      </c>
      <c r="U1852" s="82">
        <f>IFERROR(__xludf.DUMMYFUNCTION("""COMPUTED_VALUE"""),0.8957671957671959)</f>
        <v>0.8957671958</v>
      </c>
      <c r="V1852" s="82">
        <f>IFERROR(__xludf.DUMMYFUNCTION("""COMPUTED_VALUE"""),0.7386243386243385)</f>
        <v>0.7386243386</v>
      </c>
      <c r="W1852" s="82">
        <f>IFERROR(__xludf.DUMMYFUNCTION("""COMPUTED_VALUE"""),1.488888888888889)</f>
        <v>1.488888889</v>
      </c>
      <c r="X1852" s="82">
        <f>IFERROR(__xludf.DUMMYFUNCTION("""COMPUTED_VALUE"""),2.8076719576719573)</f>
        <v>2.807671958</v>
      </c>
      <c r="Y1852" s="82">
        <f>IFERROR(__xludf.DUMMYFUNCTION("""COMPUTED_VALUE"""),357.6440917107584)</f>
        <v>357.6440917</v>
      </c>
      <c r="Z1852" s="82">
        <f>IFERROR(__xludf.DUMMYFUNCTION("""COMPUTED_VALUE"""),0.8476190476190476)</f>
        <v>0.8476190476</v>
      </c>
      <c r="AA1852" s="82">
        <f>IFERROR(__xludf.DUMMYFUNCTION("""COMPUTED_VALUE"""),0.5888888888888887)</f>
        <v>0.5888888889</v>
      </c>
      <c r="AB1852" s="82">
        <f>IFERROR(__xludf.DUMMYFUNCTION("""COMPUTED_VALUE"""),1.3509700176366843)</f>
        <v>1.350970018</v>
      </c>
      <c r="AC1852" s="82">
        <f>IFERROR(__xludf.DUMMYFUNCTION("""COMPUTED_VALUE"""),2.6103174603174604)</f>
        <v>2.61031746</v>
      </c>
      <c r="AD1852" s="82">
        <f>IFERROR(__xludf.DUMMYFUNCTION("""COMPUTED_VALUE"""),0.6617379460529962)</f>
        <v>0.6617379461</v>
      </c>
      <c r="AE1852" s="82">
        <f>IFERROR(__xludf.DUMMYFUNCTION("""COMPUTED_VALUE"""),0.3932584269662921)</f>
        <v>0.393258427</v>
      </c>
      <c r="AF1852" s="82">
        <f>IFERROR(__xludf.DUMMYFUNCTION("""COMPUTED_VALUE"""),0.0)</f>
        <v>0</v>
      </c>
      <c r="AG1852" s="82">
        <f>IFERROR(__xludf.DUMMYFUNCTION("""COMPUTED_VALUE"""),0.9869451697127937)</f>
        <v>0.9869451697</v>
      </c>
      <c r="AH1852" s="82">
        <f>IFERROR(__xludf.DUMMYFUNCTION("""COMPUTED_VALUE"""),0.7661903314077227)</f>
        <v>0.7661903314</v>
      </c>
      <c r="AI1852" s="82">
        <f>IFERROR(__xludf.DUMMYFUNCTION("""COMPUTED_VALUE"""),0.8724859722683325)</f>
        <v>0.8724859723</v>
      </c>
      <c r="AJ1852" s="82">
        <f>IFERROR(__xludf.DUMMYFUNCTION("""COMPUTED_VALUE"""),0.9923213230950974)</f>
        <v>0.9923213231</v>
      </c>
      <c r="AK1852" s="82">
        <f>IFERROR(__xludf.DUMMYFUNCTION("""COMPUTED_VALUE"""),1.053008595988539)</f>
        <v>1.053008596</v>
      </c>
      <c r="AL1852" s="82">
        <f>IFERROR(__xludf.DUMMYFUNCTION("""COMPUTED_VALUE"""),0.6716417910447761)</f>
        <v>0.671641791</v>
      </c>
      <c r="AM1852" s="82">
        <f>IFERROR(__xludf.DUMMYFUNCTION("""COMPUTED_VALUE"""),0.910204466220673)</f>
        <v>0.9102044662</v>
      </c>
      <c r="AN1852" s="82">
        <f>IFERROR(__xludf.DUMMYFUNCTION("""COMPUTED_VALUE"""),0.6979736499174471)</f>
        <v>0.6979736499</v>
      </c>
      <c r="AO1852" s="82">
        <f>IFERROR(__xludf.DUMMYFUNCTION("""COMPUTED_VALUE"""),0.4481853122106559)</f>
        <v>0.4481853122</v>
      </c>
      <c r="AP1852" s="82">
        <f>IFERROR(__xludf.DUMMYFUNCTION("""COMPUTED_VALUE"""),0.0)</f>
        <v>0</v>
      </c>
      <c r="AQ1852" s="82">
        <f>IFERROR(__xludf.DUMMYFUNCTION("""COMPUTED_VALUE"""),1.0194860227061384)</f>
        <v>1.019486023</v>
      </c>
      <c r="AR1852" s="82">
        <f>IFERROR(__xludf.DUMMYFUNCTION("""COMPUTED_VALUE"""),0.7994567863253565)</f>
        <v>0.7994567863</v>
      </c>
      <c r="AS1852" s="82">
        <f>IFERROR(__xludf.DUMMYFUNCTION("""COMPUTED_VALUE"""),4.0)</f>
        <v>4</v>
      </c>
      <c r="AT1852" s="82">
        <f>IFERROR(__xludf.DUMMYFUNCTION("""COMPUTED_VALUE"""),0.26272554966373574)</f>
        <v>0.2627255497</v>
      </c>
      <c r="AU1852" s="82">
        <f>IFERROR(__xludf.DUMMYFUNCTION("""COMPUTED_VALUE"""),0.6778512058171158)</f>
        <v>0.6778512058</v>
      </c>
      <c r="AV1852" s="82">
        <f>IFERROR(__xludf.DUMMYFUNCTION("""COMPUTED_VALUE"""),-1.4054239849629084)</f>
        <v>-1.405423985</v>
      </c>
      <c r="AW1852" s="82">
        <f t="shared" si="1"/>
        <v>-50.29977625</v>
      </c>
      <c r="AX1852" s="83">
        <f t="array" ref="AX1852">IFERROR(DGET('SBV Import'!A:G,"SBV",{"RSC ID","Tier";B1852,A1852}))</f>
        <v>12.76923434</v>
      </c>
      <c r="AY1852" s="82">
        <f t="shared" si="2"/>
        <v>-14.65989248</v>
      </c>
      <c r="AZ1852" s="82">
        <v>35.639883765628944</v>
      </c>
      <c r="BA1852" s="84">
        <v>1700.0</v>
      </c>
      <c r="BB1852" s="84" t="b">
        <f>IFERROR(__xludf.DUMMYFUNCTION("iferror(if(A1852="""",,E1852&gt;=FILTER(Constants!$F$2:$F$10,Constants!$A$2:$A$10=A1852)))"),TRUE)</f>
        <v>1</v>
      </c>
    </row>
    <row r="1853">
      <c r="A1853" s="89" t="str">
        <f>IFERROR(__xludf.DUMMYFUNCTION("""COMPUTED_VALUE"""),"Rival")</f>
        <v>Rival</v>
      </c>
      <c r="B1853" s="87" t="str">
        <f>IFERROR(__xludf.DUMMYFUNCTION("""COMPUTED_VALUE"""),"RSC007906")</f>
        <v>RSC007906</v>
      </c>
      <c r="C1853" s="73" t="str">
        <f>IFERROR(__xludf.DUMMYFUNCTION("""COMPUTED_VALUE"""),"Vaz1fyy-")</f>
        <v>Vaz1fyy-</v>
      </c>
      <c r="D1853" s="73"/>
      <c r="E1853" s="82">
        <f>IFERROR(__xludf.DUMMYFUNCTION("""COMPUTED_VALUE"""),8.0)</f>
        <v>8</v>
      </c>
      <c r="F1853" s="82">
        <f>IFERROR(__xludf.DUMMYFUNCTION("""COMPUTED_VALUE"""),1.0)</f>
        <v>1</v>
      </c>
      <c r="G1853" s="86">
        <f>IFERROR(__xludf.DUMMYFUNCTION("""COMPUTED_VALUE"""),7.0)</f>
        <v>7</v>
      </c>
      <c r="H1853" s="86">
        <f>IFERROR(__xludf.DUMMYFUNCTION("""COMPUTED_VALUE"""),0.125)</f>
        <v>0.125</v>
      </c>
      <c r="I1853" s="86">
        <f>IFERROR(__xludf.DUMMYFUNCTION("""COMPUTED_VALUE"""),0.25)</f>
        <v>0.25</v>
      </c>
      <c r="J1853" s="82">
        <f>IFERROR(__xludf.DUMMYFUNCTION("""COMPUTED_VALUE"""),209.625)</f>
        <v>209.625</v>
      </c>
      <c r="K1853" s="82">
        <f>IFERROR(__xludf.DUMMYFUNCTION("""COMPUTED_VALUE"""),0.25)</f>
        <v>0.25</v>
      </c>
      <c r="L1853" s="82">
        <f>IFERROR(__xludf.DUMMYFUNCTION("""COMPUTED_VALUE"""),0.0)</f>
        <v>0</v>
      </c>
      <c r="M1853" s="82">
        <f>IFERROR(__xludf.DUMMYFUNCTION("""COMPUTED_VALUE"""),1.25)</f>
        <v>1.25</v>
      </c>
      <c r="N1853" s="82">
        <f>IFERROR(__xludf.DUMMYFUNCTION("""COMPUTED_VALUE"""),1.0)</f>
        <v>1</v>
      </c>
      <c r="O1853" s="82">
        <f>IFERROR(__xludf.DUMMYFUNCTION("""COMPUTED_VALUE"""),342.58333333333337)</f>
        <v>342.5833333</v>
      </c>
      <c r="P1853" s="82">
        <f>IFERROR(__xludf.DUMMYFUNCTION("""COMPUTED_VALUE"""),1.0416666666666665)</f>
        <v>1.041666667</v>
      </c>
      <c r="Q1853" s="82">
        <f>IFERROR(__xludf.DUMMYFUNCTION("""COMPUTED_VALUE"""),0.625)</f>
        <v>0.625</v>
      </c>
      <c r="R1853" s="82">
        <f>IFERROR(__xludf.DUMMYFUNCTION("""COMPUTED_VALUE"""),0.75)</f>
        <v>0.75</v>
      </c>
      <c r="S1853" s="82">
        <f>IFERROR(__xludf.DUMMYFUNCTION("""COMPUTED_VALUE"""),3.208333333333334)</f>
        <v>3.208333333</v>
      </c>
      <c r="T1853" s="82">
        <f>IFERROR(__xludf.DUMMYFUNCTION("""COMPUTED_VALUE"""),345.15672827476914)</f>
        <v>345.1567283</v>
      </c>
      <c r="U1853" s="82">
        <f>IFERROR(__xludf.DUMMYFUNCTION("""COMPUTED_VALUE"""),0.8181652216249248)</f>
        <v>0.8181652216</v>
      </c>
      <c r="V1853" s="82">
        <f>IFERROR(__xludf.DUMMYFUNCTION("""COMPUTED_VALUE"""),0.6184077111569157)</f>
        <v>0.6184077112</v>
      </c>
      <c r="W1853" s="82">
        <f>IFERROR(__xludf.DUMMYFUNCTION("""COMPUTED_VALUE"""),1.185072611689791)</f>
        <v>1.185072612</v>
      </c>
      <c r="X1853" s="82">
        <f>IFERROR(__xludf.DUMMYFUNCTION("""COMPUTED_VALUE"""),2.6560685313468984)</f>
        <v>2.656068531</v>
      </c>
      <c r="Y1853" s="82">
        <f>IFERROR(__xludf.DUMMYFUNCTION("""COMPUTED_VALUE"""),342.74201353449325)</f>
        <v>342.7420135</v>
      </c>
      <c r="Z1853" s="82">
        <f>IFERROR(__xludf.DUMMYFUNCTION("""COMPUTED_VALUE"""),0.7449287859150001)</f>
        <v>0.7449287859</v>
      </c>
      <c r="AA1853" s="82">
        <f>IFERROR(__xludf.DUMMYFUNCTION("""COMPUTED_VALUE"""),0.49660373959596305)</f>
        <v>0.4966037396</v>
      </c>
      <c r="AB1853" s="82">
        <f>IFERROR(__xludf.DUMMYFUNCTION("""COMPUTED_VALUE"""),1.4031360160204274)</f>
        <v>1.403136016</v>
      </c>
      <c r="AC1853" s="82">
        <f>IFERROR(__xludf.DUMMYFUNCTION("""COMPUTED_VALUE"""),2.374872946757889)</f>
        <v>2.374872947</v>
      </c>
      <c r="AD1853" s="82">
        <f>IFERROR(__xludf.DUMMYFUNCTION("""COMPUTED_VALUE"""),0.6116116254271334)</f>
        <v>0.6116116254</v>
      </c>
      <c r="AE1853" s="82">
        <f>IFERROR(__xludf.DUMMYFUNCTION("""COMPUTED_VALUE"""),0.33560254983692656)</f>
        <v>0.3356025498</v>
      </c>
      <c r="AF1853" s="82">
        <f>IFERROR(__xludf.DUMMYFUNCTION("""COMPUTED_VALUE"""),0.0)</f>
        <v>0</v>
      </c>
      <c r="AG1853" s="82">
        <f>IFERROR(__xludf.DUMMYFUNCTION("""COMPUTED_VALUE"""),0.8908616026728816)</f>
        <v>0.8908616027</v>
      </c>
      <c r="AH1853" s="82">
        <f>IFERROR(__xludf.DUMMYFUNCTION("""COMPUTED_VALUE"""),0.42107515745849583)</f>
        <v>0.4210751575</v>
      </c>
      <c r="AI1853" s="82">
        <f>IFERROR(__xludf.DUMMYFUNCTION("""COMPUTED_VALUE"""),0.992544271252371)</f>
        <v>0.9925442713</v>
      </c>
      <c r="AJ1853" s="82">
        <f>IFERROR(__xludf.DUMMYFUNCTION("""COMPUTED_VALUE"""),1.2731739740756207)</f>
        <v>1.273173974</v>
      </c>
      <c r="AK1853" s="82">
        <f>IFERROR(__xludf.DUMMYFUNCTION("""COMPUTED_VALUE"""),1.0106601012958771)</f>
        <v>1.010660101</v>
      </c>
      <c r="AL1853" s="82">
        <f>IFERROR(__xludf.DUMMYFUNCTION("""COMPUTED_VALUE"""),0.6328726127005649)</f>
        <v>0.6328726127</v>
      </c>
      <c r="AM1853" s="82">
        <f>IFERROR(__xludf.DUMMYFUNCTION("""COMPUTED_VALUE"""),1.2079256598497408)</f>
        <v>1.20792566</v>
      </c>
      <c r="AN1853" s="82">
        <f>IFERROR(__xludf.DUMMYFUNCTION("""COMPUTED_VALUE"""),0.6182227874532881)</f>
        <v>0.6182227875</v>
      </c>
      <c r="AO1853" s="82">
        <f>IFERROR(__xludf.DUMMYFUNCTION("""COMPUTED_VALUE"""),0.3361389841579919)</f>
        <v>0.3361389842</v>
      </c>
      <c r="AP1853" s="82">
        <f>IFERROR(__xludf.DUMMYFUNCTION("""COMPUTED_VALUE"""),0.0)</f>
        <v>0</v>
      </c>
      <c r="AQ1853" s="82">
        <f>IFERROR(__xludf.DUMMYFUNCTION("""COMPUTED_VALUE"""),0.9557681462870049)</f>
        <v>0.9557681463</v>
      </c>
      <c r="AR1853" s="82">
        <f>IFERROR(__xludf.DUMMYFUNCTION("""COMPUTED_VALUE"""),0.3997283931626783)</f>
        <v>0.3997283932</v>
      </c>
      <c r="AS1853" s="82">
        <f>IFERROR(__xludf.DUMMYFUNCTION("""COMPUTED_VALUE"""),10.0)</f>
        <v>10</v>
      </c>
      <c r="AT1853" s="82">
        <f>IFERROR(__xludf.DUMMYFUNCTION("""COMPUTED_VALUE"""),0.19788467630491166)</f>
        <v>0.1978846763</v>
      </c>
      <c r="AU1853" s="82">
        <f>IFERROR(__xludf.DUMMYFUNCTION("""COMPUTED_VALUE"""),-0.014961786658406057)</f>
        <v>-0.01496178666</v>
      </c>
      <c r="AV1853" s="82">
        <f>IFERROR(__xludf.DUMMYFUNCTION("""COMPUTED_VALUE"""),-21.240642579287922)</f>
        <v>-21.24064258</v>
      </c>
      <c r="AW1853" s="82">
        <f t="shared" si="1"/>
        <v>-456.9266066</v>
      </c>
      <c r="AX1853" s="83">
        <f t="array" ref="AX1853">IFERROR(DGET('SBV Import'!A:G,"SBV",{"RSC ID","Tier";B1853,A1853}))</f>
        <v>-12.4137541</v>
      </c>
      <c r="AY1853" s="82">
        <f t="shared" si="2"/>
        <v>-159.4795486</v>
      </c>
      <c r="AZ1853" s="82">
        <v>297.4470580390205</v>
      </c>
      <c r="BA1853" s="84">
        <v>1700.0</v>
      </c>
      <c r="BB1853" s="84" t="b">
        <f>IFERROR(__xludf.DUMMYFUNCTION("iferror(if(A1853="""",,E1853&gt;=FILTER(Constants!$F$2:$F$10,Constants!$A$2:$A$10=A1853)))"),TRUE)</f>
        <v>1</v>
      </c>
    </row>
    <row r="1854">
      <c r="A1854" s="89" t="str">
        <f>IFERROR(__xludf.DUMMYFUNCTION("""COMPUTED_VALUE"""),"Rival")</f>
        <v>Rival</v>
      </c>
      <c r="B1854" s="87" t="str">
        <f>IFERROR(__xludf.DUMMYFUNCTION("""COMPUTED_VALUE"""),"RSC007035")</f>
        <v>RSC007035</v>
      </c>
      <c r="C1854" s="73" t="str">
        <f>IFERROR(__xludf.DUMMYFUNCTION("""COMPUTED_VALUE"""),"itzsmurfyy")</f>
        <v>itzsmurfyy</v>
      </c>
      <c r="D1854" s="73" t="str">
        <f>IFERROR(__xludf.DUMMYFUNCTION("""COMPUTED_VALUE"""),"Hue Heroes")</f>
        <v>Hue Heroes</v>
      </c>
      <c r="E1854" s="82">
        <f>IFERROR(__xludf.DUMMYFUNCTION("""COMPUTED_VALUE"""),3.0)</f>
        <v>3</v>
      </c>
      <c r="F1854" s="82">
        <f>IFERROR(__xludf.DUMMYFUNCTION("""COMPUTED_VALUE"""),0.0)</f>
        <v>0</v>
      </c>
      <c r="G1854" s="86">
        <f>IFERROR(__xludf.DUMMYFUNCTION("""COMPUTED_VALUE"""),3.0)</f>
        <v>3</v>
      </c>
      <c r="H1854" s="86">
        <f>IFERROR(__xludf.DUMMYFUNCTION("""COMPUTED_VALUE"""),0.0)</f>
        <v>0</v>
      </c>
      <c r="I1854" s="86">
        <f>IFERROR(__xludf.DUMMYFUNCTION("""COMPUTED_VALUE"""),0.0)</f>
        <v>0</v>
      </c>
      <c r="J1854" s="82">
        <f>IFERROR(__xludf.DUMMYFUNCTION("""COMPUTED_VALUE"""),190.33333333333334)</f>
        <v>190.3333333</v>
      </c>
      <c r="K1854" s="82">
        <f>IFERROR(__xludf.DUMMYFUNCTION("""COMPUTED_VALUE"""),0.0)</f>
        <v>0</v>
      </c>
      <c r="L1854" s="82">
        <f>IFERROR(__xludf.DUMMYFUNCTION("""COMPUTED_VALUE"""),0.0)</f>
        <v>0</v>
      </c>
      <c r="M1854" s="82">
        <f>IFERROR(__xludf.DUMMYFUNCTION("""COMPUTED_VALUE"""),1.3333333333333333)</f>
        <v>1.333333333</v>
      </c>
      <c r="N1854" s="82">
        <f>IFERROR(__xludf.DUMMYFUNCTION("""COMPUTED_VALUE"""),2.0)</f>
        <v>2</v>
      </c>
      <c r="O1854" s="82">
        <f>IFERROR(__xludf.DUMMYFUNCTION("""COMPUTED_VALUE"""),430.5555555555556)</f>
        <v>430.5555556</v>
      </c>
      <c r="P1854" s="82">
        <f>IFERROR(__xludf.DUMMYFUNCTION("""COMPUTED_VALUE"""),1.111111111111111)</f>
        <v>1.111111111</v>
      </c>
      <c r="Q1854" s="82">
        <f>IFERROR(__xludf.DUMMYFUNCTION("""COMPUTED_VALUE"""),0.8888888888888888)</f>
        <v>0.8888888889</v>
      </c>
      <c r="R1854" s="82">
        <f>IFERROR(__xludf.DUMMYFUNCTION("""COMPUTED_VALUE"""),1.6666666666666667)</f>
        <v>1.666666667</v>
      </c>
      <c r="S1854" s="82">
        <f>IFERROR(__xludf.DUMMYFUNCTION("""COMPUTED_VALUE"""),3.0)</f>
        <v>3</v>
      </c>
      <c r="T1854" s="82">
        <f>IFERROR(__xludf.DUMMYFUNCTION("""COMPUTED_VALUE"""),373.99809218559216)</f>
        <v>373.9980922</v>
      </c>
      <c r="U1854" s="82">
        <f>IFERROR(__xludf.DUMMYFUNCTION("""COMPUTED_VALUE"""),0.9286375661375662)</f>
        <v>0.9286375661</v>
      </c>
      <c r="V1854" s="82">
        <f>IFERROR(__xludf.DUMMYFUNCTION("""COMPUTED_VALUE"""),0.7337962962962963)</f>
        <v>0.7337962963</v>
      </c>
      <c r="W1854" s="82">
        <f>IFERROR(__xludf.DUMMYFUNCTION("""COMPUTED_VALUE"""),1.3162087912087912)</f>
        <v>1.316208791</v>
      </c>
      <c r="X1854" s="82">
        <f>IFERROR(__xludf.DUMMYFUNCTION("""COMPUTED_VALUE"""),2.7800722425722424)</f>
        <v>2.780072243</v>
      </c>
      <c r="Y1854" s="82">
        <f>IFERROR(__xludf.DUMMYFUNCTION("""COMPUTED_VALUE"""),333.1120709537376)</f>
        <v>333.112071</v>
      </c>
      <c r="Z1854" s="82">
        <f>IFERROR(__xludf.DUMMYFUNCTION("""COMPUTED_VALUE"""),0.6651760276760276)</f>
        <v>0.6651760277</v>
      </c>
      <c r="AA1854" s="82">
        <f>IFERROR(__xludf.DUMMYFUNCTION("""COMPUTED_VALUE"""),0.48218525301858634)</f>
        <v>0.482185253</v>
      </c>
      <c r="AB1854" s="82">
        <f>IFERROR(__xludf.DUMMYFUNCTION("""COMPUTED_VALUE"""),1.3898419481752817)</f>
        <v>1.389841948</v>
      </c>
      <c r="AC1854" s="82">
        <f>IFERROR(__xludf.DUMMYFUNCTION("""COMPUTED_VALUE"""),2.4779320987654327)</f>
        <v>2.477932099</v>
      </c>
      <c r="AD1854" s="82">
        <f>IFERROR(__xludf.DUMMYFUNCTION("""COMPUTED_VALUE"""),0.5713792742135926)</f>
        <v>0.5713792742</v>
      </c>
      <c r="AE1854" s="82">
        <f>IFERROR(__xludf.DUMMYFUNCTION("""COMPUTED_VALUE"""),0.0)</f>
        <v>0</v>
      </c>
      <c r="AF1854" s="82">
        <f>IFERROR(__xludf.DUMMYFUNCTION("""COMPUTED_VALUE"""),0.0)</f>
        <v>0</v>
      </c>
      <c r="AG1854" s="82">
        <f>IFERROR(__xludf.DUMMYFUNCTION("""COMPUTED_VALUE"""),0.9593416971504289)</f>
        <v>0.9593416972</v>
      </c>
      <c r="AH1854" s="82">
        <f>IFERROR(__xludf.DUMMYFUNCTION("""COMPUTED_VALUE"""),0.8071246185464281)</f>
        <v>0.8071246185</v>
      </c>
      <c r="AI1854" s="82">
        <f>IFERROR(__xludf.DUMMYFUNCTION("""COMPUTED_VALUE"""),1.151223935500445)</f>
        <v>1.151223936</v>
      </c>
      <c r="AJ1854" s="82">
        <f>IFERROR(__xludf.DUMMYFUNCTION("""COMPUTED_VALUE"""),1.1964959760700802)</f>
        <v>1.196495976</v>
      </c>
      <c r="AK1854" s="82">
        <f>IFERROR(__xludf.DUMMYFUNCTION("""COMPUTED_VALUE"""),1.2113564668769716)</f>
        <v>1.211356467</v>
      </c>
      <c r="AL1854" s="82">
        <f>IFERROR(__xludf.DUMMYFUNCTION("""COMPUTED_VALUE"""),1.26626313226188)</f>
        <v>1.266263132</v>
      </c>
      <c r="AM1854" s="82">
        <f>IFERROR(__xludf.DUMMYFUNCTION("""COMPUTED_VALUE"""),1.0791086483509043)</f>
        <v>1.079108648</v>
      </c>
      <c r="AN1854" s="82">
        <f>IFERROR(__xludf.DUMMYFUNCTION("""COMPUTED_VALUE"""),0.5613281043702286)</f>
        <v>0.5613281044</v>
      </c>
      <c r="AO1854" s="82">
        <f>IFERROR(__xludf.DUMMYFUNCTION("""COMPUTED_VALUE"""),0.0)</f>
        <v>0</v>
      </c>
      <c r="AP1854" s="82">
        <f>IFERROR(__xludf.DUMMYFUNCTION("""COMPUTED_VALUE"""),0.0)</f>
        <v>0</v>
      </c>
      <c r="AQ1854" s="82">
        <f>IFERROR(__xludf.DUMMYFUNCTION("""COMPUTED_VALUE"""),1.0194860227061384)</f>
        <v>1.019486023</v>
      </c>
      <c r="AR1854" s="82">
        <f>IFERROR(__xludf.DUMMYFUNCTION("""COMPUTED_VALUE"""),0.7994567863253565)</f>
        <v>0.7994567863</v>
      </c>
      <c r="AS1854" s="82">
        <f>IFERROR(__xludf.DUMMYFUNCTION("""COMPUTED_VALUE"""),1.0)</f>
        <v>1</v>
      </c>
      <c r="AT1854" s="82">
        <f>IFERROR(__xludf.DUMMYFUNCTION("""COMPUTED_VALUE"""),0.034118741085508525)</f>
        <v>0.03411874109</v>
      </c>
      <c r="AU1854" s="82">
        <f>IFERROR(__xludf.DUMMYFUNCTION("""COMPUTED_VALUE"""),-0.16833104372261154)</f>
        <v>-0.1683310437</v>
      </c>
      <c r="AV1854" s="82">
        <f>IFERROR(__xludf.DUMMYFUNCTION("""COMPUTED_VALUE"""),-25.63160056153913)</f>
        <v>-25.63160056</v>
      </c>
      <c r="AW1854" s="82">
        <f t="shared" si="1"/>
        <v>-805.1005701</v>
      </c>
      <c r="AX1854" s="83">
        <f t="array" ref="AX1854">IFERROR(DGET('SBV Import'!A:G,"SBV",{"RSC ID","Tier";B1854,A1854}))</f>
        <v>-13.35925662</v>
      </c>
      <c r="AY1854" s="82">
        <f t="shared" si="2"/>
        <v>-177.5416371</v>
      </c>
      <c r="AZ1854" s="82">
        <v>627.5589329697402</v>
      </c>
      <c r="BA1854" s="84">
        <v>1700.0</v>
      </c>
      <c r="BB1854" s="84" t="b">
        <f>IFERROR(__xludf.DUMMYFUNCTION("iferror(if(A1854="""",,E1854&gt;=FILTER(Constants!$F$2:$F$10,Constants!$A$2:$A$10=A1854)))"),TRUE)</f>
        <v>1</v>
      </c>
    </row>
    <row r="1855">
      <c r="A1855" s="89" t="str">
        <f>IFERROR(__xludf.DUMMYFUNCTION("""COMPUTED_VALUE"""),"Rival")</f>
        <v>Rival</v>
      </c>
      <c r="B1855" s="87" t="str">
        <f>IFERROR(__xludf.DUMMYFUNCTION("""COMPUTED_VALUE"""),"RSC000111")</f>
        <v>RSC000111</v>
      </c>
      <c r="C1855" s="73" t="str">
        <f>IFERROR(__xludf.DUMMYFUNCTION("""COMPUTED_VALUE"""),"Wheelchair {LFLegs}")</f>
        <v>Wheelchair {LFLegs}</v>
      </c>
      <c r="D1855" s="73"/>
      <c r="E1855" s="82">
        <f>IFERROR(__xludf.DUMMYFUNCTION("""COMPUTED_VALUE"""),2.0)</f>
        <v>2</v>
      </c>
      <c r="F1855" s="82">
        <f>IFERROR(__xludf.DUMMYFUNCTION("""COMPUTED_VALUE"""),0.0)</f>
        <v>0</v>
      </c>
      <c r="G1855" s="86">
        <f>IFERROR(__xludf.DUMMYFUNCTION("""COMPUTED_VALUE"""),2.0)</f>
        <v>2</v>
      </c>
      <c r="H1855" s="86">
        <f>IFERROR(__xludf.DUMMYFUNCTION("""COMPUTED_VALUE"""),0.0)</f>
        <v>0</v>
      </c>
      <c r="I1855" s="86">
        <f>IFERROR(__xludf.DUMMYFUNCTION("""COMPUTED_VALUE"""),0.0)</f>
        <v>0</v>
      </c>
      <c r="J1855" s="82">
        <f>IFERROR(__xludf.DUMMYFUNCTION("""COMPUTED_VALUE"""),162.0)</f>
        <v>162</v>
      </c>
      <c r="K1855" s="82">
        <f>IFERROR(__xludf.DUMMYFUNCTION("""COMPUTED_VALUE"""),0.0)</f>
        <v>0</v>
      </c>
      <c r="L1855" s="82">
        <f>IFERROR(__xludf.DUMMYFUNCTION("""COMPUTED_VALUE"""),0.5)</f>
        <v>0.5</v>
      </c>
      <c r="M1855" s="82">
        <f>IFERROR(__xludf.DUMMYFUNCTION("""COMPUTED_VALUE"""),0.5)</f>
        <v>0.5</v>
      </c>
      <c r="N1855" s="82">
        <f>IFERROR(__xludf.DUMMYFUNCTION("""COMPUTED_VALUE"""),0.5)</f>
        <v>0.5</v>
      </c>
      <c r="O1855" s="82">
        <f>IFERROR(__xludf.DUMMYFUNCTION("""COMPUTED_VALUE"""),406.3333333333333)</f>
        <v>406.3333333</v>
      </c>
      <c r="P1855" s="82">
        <f>IFERROR(__xludf.DUMMYFUNCTION("""COMPUTED_VALUE"""),1.0)</f>
        <v>1</v>
      </c>
      <c r="Q1855" s="82">
        <f>IFERROR(__xludf.DUMMYFUNCTION("""COMPUTED_VALUE"""),0.8333333333333333)</f>
        <v>0.8333333333</v>
      </c>
      <c r="R1855" s="82">
        <f>IFERROR(__xludf.DUMMYFUNCTION("""COMPUTED_VALUE"""),2.0)</f>
        <v>2</v>
      </c>
      <c r="S1855" s="82">
        <f>IFERROR(__xludf.DUMMYFUNCTION("""COMPUTED_VALUE"""),2.5)</f>
        <v>2.5</v>
      </c>
      <c r="T1855" s="82">
        <f>IFERROR(__xludf.DUMMYFUNCTION("""COMPUTED_VALUE"""),340.70478831878614)</f>
        <v>340.7047883</v>
      </c>
      <c r="U1855" s="82">
        <f>IFERROR(__xludf.DUMMYFUNCTION("""COMPUTED_VALUE"""),0.8513473094597167)</f>
        <v>0.8513473095</v>
      </c>
      <c r="V1855" s="82">
        <f>IFERROR(__xludf.DUMMYFUNCTION("""COMPUTED_VALUE"""),0.48009625581205645)</f>
        <v>0.4800962558</v>
      </c>
      <c r="W1855" s="82">
        <f>IFERROR(__xludf.DUMMYFUNCTION("""COMPUTED_VALUE"""),1.3576691954210511)</f>
        <v>1.357669195</v>
      </c>
      <c r="X1855" s="82">
        <f>IFERROR(__xludf.DUMMYFUNCTION("""COMPUTED_VALUE"""),2.6478505587731465)</f>
        <v>2.647850559</v>
      </c>
      <c r="Y1855" s="82">
        <f>IFERROR(__xludf.DUMMYFUNCTION("""COMPUTED_VALUE"""),356.05611296915646)</f>
        <v>356.056113</v>
      </c>
      <c r="Z1855" s="82">
        <f>IFERROR(__xludf.DUMMYFUNCTION("""COMPUTED_VALUE"""),0.8390842102400957)</f>
        <v>0.8390842102</v>
      </c>
      <c r="AA1855" s="82">
        <f>IFERROR(__xludf.DUMMYFUNCTION("""COMPUTED_VALUE"""),0.5997271845628155)</f>
        <v>0.5997271846</v>
      </c>
      <c r="AB1855" s="82">
        <f>IFERROR(__xludf.DUMMYFUNCTION("""COMPUTED_VALUE"""),1.334461755988797)</f>
        <v>1.334461756</v>
      </c>
      <c r="AC1855" s="82">
        <f>IFERROR(__xludf.DUMMYFUNCTION("""COMPUTED_VALUE"""),2.6811050384751343)</f>
        <v>2.681105038</v>
      </c>
      <c r="AD1855" s="82">
        <f>IFERROR(__xludf.DUMMYFUNCTION("""COMPUTED_VALUE"""),0.45498446480550475)</f>
        <v>0.4549844648</v>
      </c>
      <c r="AE1855" s="82">
        <f>IFERROR(__xludf.DUMMYFUNCTION("""COMPUTED_VALUE"""),0.0)</f>
        <v>0</v>
      </c>
      <c r="AF1855" s="82">
        <f>IFERROR(__xludf.DUMMYFUNCTION("""COMPUTED_VALUE"""),0.8337124160287751)</f>
        <v>0.833712416</v>
      </c>
      <c r="AG1855" s="82">
        <f>IFERROR(__xludf.DUMMYFUNCTION("""COMPUTED_VALUE"""),0.37468289949569566)</f>
        <v>0.3746828995</v>
      </c>
      <c r="AH1855" s="82">
        <f>IFERROR(__xludf.DUMMYFUNCTION("""COMPUTED_VALUE"""),0.1864902690587507)</f>
        <v>0.1864902691</v>
      </c>
      <c r="AI1855" s="82">
        <f>IFERROR(__xludf.DUMMYFUNCTION("""COMPUTED_VALUE"""),1.1926258369845413)</f>
        <v>1.192625837</v>
      </c>
      <c r="AJ1855" s="82">
        <f>IFERROR(__xludf.DUMMYFUNCTION("""COMPUTED_VALUE"""),1.1746087511977004)</f>
        <v>1.174608751</v>
      </c>
      <c r="AK1855" s="82">
        <f>IFERROR(__xludf.DUMMYFUNCTION("""COMPUTED_VALUE"""),1.7357630334437741)</f>
        <v>1.735763033</v>
      </c>
      <c r="AL1855" s="82">
        <f>IFERROR(__xludf.DUMMYFUNCTION("""COMPUTED_VALUE"""),1.4731128957961988)</f>
        <v>1.473112896</v>
      </c>
      <c r="AM1855" s="82">
        <f>IFERROR(__xludf.DUMMYFUNCTION("""COMPUTED_VALUE"""),0.9441620455945778)</f>
        <v>0.9441620456</v>
      </c>
      <c r="AN1855" s="82">
        <f>IFERROR(__xludf.DUMMYFUNCTION("""COMPUTED_VALUE"""),0.4777678786758863)</f>
        <v>0.4777678787</v>
      </c>
      <c r="AO1855" s="82">
        <f>IFERROR(__xludf.DUMMYFUNCTION("""COMPUTED_VALUE"""),0.0)</f>
        <v>0</v>
      </c>
      <c r="AP1855" s="82">
        <f>IFERROR(__xludf.DUMMYFUNCTION("""COMPUTED_VALUE"""),0.9160895486214388)</f>
        <v>0.9160895486</v>
      </c>
      <c r="AQ1855" s="82">
        <f>IFERROR(__xludf.DUMMYFUNCTION("""COMPUTED_VALUE"""),0.38230725851480196)</f>
        <v>0.3823072585</v>
      </c>
      <c r="AR1855" s="82">
        <f>IFERROR(__xludf.DUMMYFUNCTION("""COMPUTED_VALUE"""),0.19986419658133914)</f>
        <v>0.1998641966</v>
      </c>
      <c r="AS1855" s="82">
        <f>IFERROR(__xludf.DUMMYFUNCTION("""COMPUTED_VALUE"""),2.0)</f>
        <v>2</v>
      </c>
      <c r="AT1855" s="82">
        <f>IFERROR(__xludf.DUMMYFUNCTION("""COMPUTED_VALUE"""),0.1630859559789061)</f>
        <v>0.163085956</v>
      </c>
      <c r="AU1855" s="82">
        <f>IFERROR(__xludf.DUMMYFUNCTION("""COMPUTED_VALUE"""),-0.2621466985138378)</f>
        <v>-0.2621466985</v>
      </c>
      <c r="AV1855" s="82">
        <f>IFERROR(__xludf.DUMMYFUNCTION("""COMPUTED_VALUE"""),-28.317540404706065)</f>
        <v>-28.3175404</v>
      </c>
      <c r="AW1855" s="82">
        <f t="shared" si="1"/>
        <v>-1154.698248</v>
      </c>
      <c r="AX1855" s="83">
        <f t="array" ref="AX1855">IFERROR(DGET('SBV Import'!A:G,"SBV",{"RSC ID","Tier";B1855,A1855}))</f>
        <v>-27.44067809</v>
      </c>
      <c r="AY1855" s="82">
        <f t="shared" si="2"/>
        <v>-1025.237718</v>
      </c>
      <c r="AZ1855" s="82">
        <v>129.46052995027503</v>
      </c>
      <c r="BA1855" s="84">
        <v>1700.0</v>
      </c>
      <c r="BB1855" s="84" t="b">
        <f>IFERROR(__xludf.DUMMYFUNCTION("iferror(if(A1855="""",,E1855&gt;=FILTER(Constants!$F$2:$F$10,Constants!$A$2:$A$10=A1855)))"),TRUE)</f>
        <v>1</v>
      </c>
    </row>
    <row r="1856">
      <c r="A1856" s="89"/>
      <c r="B1856" s="87"/>
      <c r="C1856" s="73"/>
      <c r="D1856" s="73"/>
      <c r="E1856" s="82"/>
      <c r="F1856" s="82"/>
      <c r="G1856" s="86"/>
      <c r="H1856" s="86"/>
      <c r="I1856" s="86"/>
      <c r="J1856" s="82"/>
      <c r="K1856" s="82"/>
      <c r="L1856" s="82"/>
      <c r="M1856" s="82"/>
      <c r="N1856" s="82"/>
      <c r="O1856" s="82"/>
      <c r="P1856" s="82"/>
      <c r="Q1856" s="82"/>
      <c r="R1856" s="82"/>
      <c r="S1856" s="82"/>
      <c r="T1856" s="82"/>
      <c r="U1856" s="82"/>
      <c r="V1856" s="82"/>
      <c r="W1856" s="82"/>
      <c r="X1856" s="82"/>
      <c r="Y1856" s="82"/>
      <c r="Z1856" s="82"/>
      <c r="AA1856" s="82"/>
      <c r="AB1856" s="82"/>
      <c r="AC1856" s="82"/>
      <c r="AD1856" s="82"/>
      <c r="AE1856" s="82"/>
      <c r="AF1856" s="82"/>
      <c r="AG1856" s="82"/>
      <c r="AH1856" s="82"/>
      <c r="AI1856" s="82"/>
      <c r="AJ1856" s="82"/>
      <c r="AK1856" s="82"/>
      <c r="AL1856" s="82"/>
      <c r="AM1856" s="82"/>
      <c r="AN1856" s="82">
        <f>IFERROR(__xludf.DUMMYFUNCTION("""COMPUTED_VALUE"""),0.0)</f>
        <v>0</v>
      </c>
      <c r="AO1856" s="82">
        <f>IFERROR(__xludf.DUMMYFUNCTION("""COMPUTED_VALUE"""),0.0)</f>
        <v>0</v>
      </c>
      <c r="AP1856" s="82">
        <f>IFERROR(__xludf.DUMMYFUNCTION("""COMPUTED_VALUE"""),0.0)</f>
        <v>0</v>
      </c>
      <c r="AQ1856" s="82">
        <f>IFERROR(__xludf.DUMMYFUNCTION("""COMPUTED_VALUE"""),0.0)</f>
        <v>0</v>
      </c>
      <c r="AR1856" s="82">
        <f>IFERROR(__xludf.DUMMYFUNCTION("""COMPUTED_VALUE"""),0.0)</f>
        <v>0</v>
      </c>
      <c r="AS1856" s="82"/>
      <c r="AT1856" s="82">
        <f>IFERROR(__xludf.DUMMYFUNCTION("""COMPUTED_VALUE"""),0.0)</f>
        <v>0</v>
      </c>
      <c r="AU1856" s="82"/>
      <c r="AV1856" s="82"/>
      <c r="AW1856" s="82" t="str">
        <f t="shared" si="1"/>
        <v/>
      </c>
      <c r="AX1856" s="83" t="str">
        <f t="array" ref="AX1856">IFERROR(DGET('SBV Import'!A:G,"SBV",{"RSC ID","Tier";B1856,A1856}))</f>
        <v/>
      </c>
      <c r="AY1856" s="82" t="str">
        <f t="shared" si="2"/>
        <v/>
      </c>
      <c r="AZ1856" s="82"/>
      <c r="BA1856" s="84" t="s">
        <v>152</v>
      </c>
      <c r="BB1856" s="84" t="str">
        <f>IFERROR(__xludf.DUMMYFUNCTION("iferror(if(A1856="""",,E1856&gt;=FILTER(Constants!$F$2:$F$10,Constants!$A$2:$A$10=A1856)))"),"")</f>
        <v/>
      </c>
    </row>
    <row r="1857">
      <c r="A1857" s="89"/>
      <c r="B1857" s="87"/>
      <c r="C1857" s="73"/>
      <c r="D1857" s="73"/>
      <c r="E1857" s="82"/>
      <c r="F1857" s="82"/>
      <c r="G1857" s="86"/>
      <c r="H1857" s="86"/>
      <c r="I1857" s="86"/>
      <c r="J1857" s="82"/>
      <c r="K1857" s="82"/>
      <c r="L1857" s="82"/>
      <c r="M1857" s="82"/>
      <c r="N1857" s="82"/>
      <c r="O1857" s="82"/>
      <c r="P1857" s="82"/>
      <c r="Q1857" s="82"/>
      <c r="R1857" s="82"/>
      <c r="S1857" s="82"/>
      <c r="T1857" s="82"/>
      <c r="U1857" s="82"/>
      <c r="V1857" s="82"/>
      <c r="W1857" s="82"/>
      <c r="X1857" s="82"/>
      <c r="Y1857" s="82"/>
      <c r="Z1857" s="82"/>
      <c r="AA1857" s="82"/>
      <c r="AB1857" s="82"/>
      <c r="AC1857" s="82"/>
      <c r="AD1857" s="82"/>
      <c r="AE1857" s="82"/>
      <c r="AF1857" s="82"/>
      <c r="AG1857" s="82"/>
      <c r="AH1857" s="82"/>
      <c r="AI1857" s="82"/>
      <c r="AJ1857" s="82"/>
      <c r="AK1857" s="82"/>
      <c r="AL1857" s="82"/>
      <c r="AM1857" s="82"/>
      <c r="AN1857" s="82">
        <f>IFERROR(__xludf.DUMMYFUNCTION("""COMPUTED_VALUE"""),0.0)</f>
        <v>0</v>
      </c>
      <c r="AO1857" s="82">
        <f>IFERROR(__xludf.DUMMYFUNCTION("""COMPUTED_VALUE"""),0.0)</f>
        <v>0</v>
      </c>
      <c r="AP1857" s="82">
        <f>IFERROR(__xludf.DUMMYFUNCTION("""COMPUTED_VALUE"""),0.0)</f>
        <v>0</v>
      </c>
      <c r="AQ1857" s="82">
        <f>IFERROR(__xludf.DUMMYFUNCTION("""COMPUTED_VALUE"""),0.0)</f>
        <v>0</v>
      </c>
      <c r="AR1857" s="82">
        <f>IFERROR(__xludf.DUMMYFUNCTION("""COMPUTED_VALUE"""),0.0)</f>
        <v>0</v>
      </c>
      <c r="AS1857" s="82"/>
      <c r="AT1857" s="82">
        <f>IFERROR(__xludf.DUMMYFUNCTION("""COMPUTED_VALUE"""),0.0)</f>
        <v>0</v>
      </c>
      <c r="AU1857" s="82"/>
      <c r="AV1857" s="82"/>
      <c r="AW1857" s="82" t="str">
        <f t="shared" si="1"/>
        <v/>
      </c>
      <c r="AX1857" s="83" t="str">
        <f t="array" ref="AX1857">IFERROR(DGET('SBV Import'!A:G,"SBV",{"RSC ID","Tier";B1857,A1857}))</f>
        <v/>
      </c>
      <c r="AY1857" s="82" t="str">
        <f t="shared" si="2"/>
        <v/>
      </c>
      <c r="AZ1857" s="82"/>
      <c r="BA1857" s="84" t="s">
        <v>152</v>
      </c>
      <c r="BB1857" s="84" t="str">
        <f>IFERROR(__xludf.DUMMYFUNCTION("iferror(if(A1857="""",,E1857&gt;=FILTER(Constants!$F$2:$F$10,Constants!$A$2:$A$10=A1857)))"),"")</f>
        <v/>
      </c>
    </row>
    <row r="1858">
      <c r="A1858" s="89"/>
      <c r="B1858" s="87"/>
      <c r="C1858" s="73"/>
      <c r="D1858" s="73"/>
      <c r="E1858" s="82"/>
      <c r="F1858" s="82"/>
      <c r="G1858" s="86"/>
      <c r="H1858" s="86"/>
      <c r="I1858" s="86"/>
      <c r="J1858" s="82"/>
      <c r="K1858" s="82"/>
      <c r="L1858" s="82"/>
      <c r="M1858" s="82"/>
      <c r="N1858" s="82"/>
      <c r="O1858" s="82"/>
      <c r="P1858" s="82"/>
      <c r="Q1858" s="82"/>
      <c r="R1858" s="82"/>
      <c r="S1858" s="82"/>
      <c r="T1858" s="82"/>
      <c r="U1858" s="82"/>
      <c r="V1858" s="82"/>
      <c r="W1858" s="82"/>
      <c r="X1858" s="82"/>
      <c r="Y1858" s="82"/>
      <c r="Z1858" s="82"/>
      <c r="AA1858" s="82"/>
      <c r="AB1858" s="82"/>
      <c r="AC1858" s="82"/>
      <c r="AD1858" s="82"/>
      <c r="AE1858" s="82"/>
      <c r="AF1858" s="82"/>
      <c r="AG1858" s="82"/>
      <c r="AH1858" s="82"/>
      <c r="AI1858" s="82"/>
      <c r="AJ1858" s="82"/>
      <c r="AK1858" s="82"/>
      <c r="AL1858" s="82"/>
      <c r="AM1858" s="82"/>
      <c r="AN1858" s="82">
        <f>IFERROR(__xludf.DUMMYFUNCTION("""COMPUTED_VALUE"""),0.0)</f>
        <v>0</v>
      </c>
      <c r="AO1858" s="82">
        <f>IFERROR(__xludf.DUMMYFUNCTION("""COMPUTED_VALUE"""),0.0)</f>
        <v>0</v>
      </c>
      <c r="AP1858" s="82">
        <f>IFERROR(__xludf.DUMMYFUNCTION("""COMPUTED_VALUE"""),0.0)</f>
        <v>0</v>
      </c>
      <c r="AQ1858" s="82">
        <f>IFERROR(__xludf.DUMMYFUNCTION("""COMPUTED_VALUE"""),0.0)</f>
        <v>0</v>
      </c>
      <c r="AR1858" s="82">
        <f>IFERROR(__xludf.DUMMYFUNCTION("""COMPUTED_VALUE"""),0.0)</f>
        <v>0</v>
      </c>
      <c r="AS1858" s="82"/>
      <c r="AT1858" s="82">
        <f>IFERROR(__xludf.DUMMYFUNCTION("""COMPUTED_VALUE"""),0.0)</f>
        <v>0</v>
      </c>
      <c r="AU1858" s="82"/>
      <c r="AV1858" s="82"/>
      <c r="AW1858" s="82" t="str">
        <f t="shared" si="1"/>
        <v/>
      </c>
      <c r="AX1858" s="83" t="str">
        <f t="array" ref="AX1858">IFERROR(DGET('SBV Import'!A:G,"SBV",{"RSC ID","Tier";B1858,A1858}))</f>
        <v/>
      </c>
      <c r="AY1858" s="82" t="str">
        <f t="shared" si="2"/>
        <v/>
      </c>
      <c r="AZ1858" s="82"/>
      <c r="BA1858" s="84" t="s">
        <v>152</v>
      </c>
      <c r="BB1858" s="84" t="str">
        <f>IFERROR(__xludf.DUMMYFUNCTION("iferror(if(A1858="""",,E1858&gt;=FILTER(Constants!$F$2:$F$10,Constants!$A$2:$A$10=A1858)))"),"")</f>
        <v/>
      </c>
    </row>
    <row r="1859">
      <c r="A1859" s="89"/>
      <c r="B1859" s="87"/>
      <c r="C1859" s="73"/>
      <c r="D1859" s="73"/>
      <c r="E1859" s="82"/>
      <c r="F1859" s="82"/>
      <c r="G1859" s="86"/>
      <c r="H1859" s="86"/>
      <c r="I1859" s="86"/>
      <c r="J1859" s="82"/>
      <c r="K1859" s="82"/>
      <c r="L1859" s="82"/>
      <c r="M1859" s="82"/>
      <c r="N1859" s="82"/>
      <c r="O1859" s="82"/>
      <c r="P1859" s="82"/>
      <c r="Q1859" s="82"/>
      <c r="R1859" s="82"/>
      <c r="S1859" s="82"/>
      <c r="T1859" s="82"/>
      <c r="U1859" s="82"/>
      <c r="V1859" s="82"/>
      <c r="W1859" s="82"/>
      <c r="X1859" s="82"/>
      <c r="Y1859" s="82"/>
      <c r="Z1859" s="82"/>
      <c r="AA1859" s="82"/>
      <c r="AB1859" s="82"/>
      <c r="AC1859" s="82"/>
      <c r="AD1859" s="82"/>
      <c r="AE1859" s="82"/>
      <c r="AF1859" s="82"/>
      <c r="AG1859" s="82"/>
      <c r="AH1859" s="82"/>
      <c r="AI1859" s="82"/>
      <c r="AJ1859" s="82"/>
      <c r="AK1859" s="82"/>
      <c r="AL1859" s="82"/>
      <c r="AM1859" s="82"/>
      <c r="AN1859" s="82">
        <f>IFERROR(__xludf.DUMMYFUNCTION("""COMPUTED_VALUE"""),0.0)</f>
        <v>0</v>
      </c>
      <c r="AO1859" s="82">
        <f>IFERROR(__xludf.DUMMYFUNCTION("""COMPUTED_VALUE"""),0.0)</f>
        <v>0</v>
      </c>
      <c r="AP1859" s="82">
        <f>IFERROR(__xludf.DUMMYFUNCTION("""COMPUTED_VALUE"""),0.0)</f>
        <v>0</v>
      </c>
      <c r="AQ1859" s="82">
        <f>IFERROR(__xludf.DUMMYFUNCTION("""COMPUTED_VALUE"""),0.0)</f>
        <v>0</v>
      </c>
      <c r="AR1859" s="82">
        <f>IFERROR(__xludf.DUMMYFUNCTION("""COMPUTED_VALUE"""),0.0)</f>
        <v>0</v>
      </c>
      <c r="AS1859" s="82"/>
      <c r="AT1859" s="82">
        <f>IFERROR(__xludf.DUMMYFUNCTION("""COMPUTED_VALUE"""),0.0)</f>
        <v>0</v>
      </c>
      <c r="AU1859" s="82"/>
      <c r="AV1859" s="82"/>
      <c r="AW1859" s="82" t="str">
        <f t="shared" si="1"/>
        <v/>
      </c>
      <c r="AX1859" s="83" t="str">
        <f t="array" ref="AX1859">IFERROR(DGET('SBV Import'!A:G,"SBV",{"RSC ID","Tier";B1859,A1859}))</f>
        <v/>
      </c>
      <c r="AY1859" s="82" t="str">
        <f t="shared" si="2"/>
        <v/>
      </c>
      <c r="AZ1859" s="82"/>
      <c r="BA1859" s="84" t="s">
        <v>152</v>
      </c>
      <c r="BB1859" s="84" t="str">
        <f>IFERROR(__xludf.DUMMYFUNCTION("iferror(if(A1859="""",,E1859&gt;=FILTER(Constants!$F$2:$F$10,Constants!$A$2:$A$10=A1859)))"),"")</f>
        <v/>
      </c>
    </row>
    <row r="1860">
      <c r="A1860" s="89"/>
      <c r="B1860" s="87"/>
      <c r="C1860" s="73"/>
      <c r="D1860" s="73"/>
      <c r="E1860" s="82"/>
      <c r="F1860" s="82"/>
      <c r="G1860" s="86"/>
      <c r="H1860" s="86"/>
      <c r="I1860" s="86"/>
      <c r="J1860" s="82"/>
      <c r="K1860" s="82"/>
      <c r="L1860" s="82"/>
      <c r="M1860" s="82"/>
      <c r="N1860" s="82"/>
      <c r="O1860" s="82"/>
      <c r="P1860" s="82"/>
      <c r="Q1860" s="82"/>
      <c r="R1860" s="82"/>
      <c r="S1860" s="82"/>
      <c r="T1860" s="82"/>
      <c r="U1860" s="82"/>
      <c r="V1860" s="82"/>
      <c r="W1860" s="82"/>
      <c r="X1860" s="82"/>
      <c r="Y1860" s="82"/>
      <c r="Z1860" s="82"/>
      <c r="AA1860" s="82"/>
      <c r="AB1860" s="82"/>
      <c r="AC1860" s="82"/>
      <c r="AD1860" s="82"/>
      <c r="AE1860" s="82"/>
      <c r="AF1860" s="82"/>
      <c r="AG1860" s="82"/>
      <c r="AH1860" s="82"/>
      <c r="AI1860" s="82"/>
      <c r="AJ1860" s="82"/>
      <c r="AK1860" s="82"/>
      <c r="AL1860" s="82"/>
      <c r="AM1860" s="82"/>
      <c r="AN1860" s="82">
        <f>IFERROR(__xludf.DUMMYFUNCTION("""COMPUTED_VALUE"""),0.0)</f>
        <v>0</v>
      </c>
      <c r="AO1860" s="82">
        <f>IFERROR(__xludf.DUMMYFUNCTION("""COMPUTED_VALUE"""),0.0)</f>
        <v>0</v>
      </c>
      <c r="AP1860" s="82">
        <f>IFERROR(__xludf.DUMMYFUNCTION("""COMPUTED_VALUE"""),0.0)</f>
        <v>0</v>
      </c>
      <c r="AQ1860" s="82">
        <f>IFERROR(__xludf.DUMMYFUNCTION("""COMPUTED_VALUE"""),0.0)</f>
        <v>0</v>
      </c>
      <c r="AR1860" s="82">
        <f>IFERROR(__xludf.DUMMYFUNCTION("""COMPUTED_VALUE"""),0.0)</f>
        <v>0</v>
      </c>
      <c r="AS1860" s="82"/>
      <c r="AT1860" s="82">
        <f>IFERROR(__xludf.DUMMYFUNCTION("""COMPUTED_VALUE"""),0.0)</f>
        <v>0</v>
      </c>
      <c r="AU1860" s="82"/>
      <c r="AV1860" s="82"/>
      <c r="AW1860" s="82" t="str">
        <f t="shared" si="1"/>
        <v/>
      </c>
      <c r="AX1860" s="83" t="str">
        <f t="array" ref="AX1860">IFERROR(DGET('SBV Import'!A:G,"SBV",{"RSC ID","Tier";B1860,A1860}))</f>
        <v/>
      </c>
      <c r="AY1860" s="82" t="str">
        <f t="shared" si="2"/>
        <v/>
      </c>
      <c r="AZ1860" s="82"/>
      <c r="BA1860" s="84" t="s">
        <v>152</v>
      </c>
      <c r="BB1860" s="84" t="str">
        <f>IFERROR(__xludf.DUMMYFUNCTION("iferror(if(A1860="""",,E1860&gt;=FILTER(Constants!$F$2:$F$10,Constants!$A$2:$A$10=A1860)))"),"")</f>
        <v/>
      </c>
    </row>
    <row r="1861">
      <c r="A1861" s="89"/>
      <c r="B1861" s="87"/>
      <c r="C1861" s="73"/>
      <c r="D1861" s="73"/>
      <c r="E1861" s="82"/>
      <c r="F1861" s="82"/>
      <c r="G1861" s="86"/>
      <c r="H1861" s="86"/>
      <c r="I1861" s="86"/>
      <c r="J1861" s="82"/>
      <c r="K1861" s="82"/>
      <c r="L1861" s="82"/>
      <c r="M1861" s="82"/>
      <c r="N1861" s="82"/>
      <c r="O1861" s="82"/>
      <c r="P1861" s="82"/>
      <c r="Q1861" s="82"/>
      <c r="R1861" s="82"/>
      <c r="S1861" s="82"/>
      <c r="T1861" s="82"/>
      <c r="U1861" s="82"/>
      <c r="V1861" s="82"/>
      <c r="W1861" s="82"/>
      <c r="X1861" s="82"/>
      <c r="Y1861" s="82"/>
      <c r="Z1861" s="82"/>
      <c r="AA1861" s="82"/>
      <c r="AB1861" s="82"/>
      <c r="AC1861" s="82"/>
      <c r="AD1861" s="82"/>
      <c r="AE1861" s="82"/>
      <c r="AF1861" s="82"/>
      <c r="AG1861" s="82"/>
      <c r="AH1861" s="82"/>
      <c r="AI1861" s="82"/>
      <c r="AJ1861" s="82"/>
      <c r="AK1861" s="82"/>
      <c r="AL1861" s="82"/>
      <c r="AM1861" s="82"/>
      <c r="AN1861" s="82">
        <f>IFERROR(__xludf.DUMMYFUNCTION("""COMPUTED_VALUE"""),0.0)</f>
        <v>0</v>
      </c>
      <c r="AO1861" s="82">
        <f>IFERROR(__xludf.DUMMYFUNCTION("""COMPUTED_VALUE"""),0.0)</f>
        <v>0</v>
      </c>
      <c r="AP1861" s="82">
        <f>IFERROR(__xludf.DUMMYFUNCTION("""COMPUTED_VALUE"""),0.0)</f>
        <v>0</v>
      </c>
      <c r="AQ1861" s="82">
        <f>IFERROR(__xludf.DUMMYFUNCTION("""COMPUTED_VALUE"""),0.0)</f>
        <v>0</v>
      </c>
      <c r="AR1861" s="82">
        <f>IFERROR(__xludf.DUMMYFUNCTION("""COMPUTED_VALUE"""),0.0)</f>
        <v>0</v>
      </c>
      <c r="AS1861" s="82"/>
      <c r="AT1861" s="82">
        <f>IFERROR(__xludf.DUMMYFUNCTION("""COMPUTED_VALUE"""),0.0)</f>
        <v>0</v>
      </c>
      <c r="AU1861" s="82"/>
      <c r="AV1861" s="82"/>
      <c r="AW1861" s="82" t="str">
        <f t="shared" si="1"/>
        <v/>
      </c>
      <c r="AX1861" s="83" t="str">
        <f t="array" ref="AX1861">IFERROR(DGET('SBV Import'!A:G,"SBV",{"RSC ID","Tier";B1861,A1861}))</f>
        <v/>
      </c>
      <c r="AY1861" s="82" t="str">
        <f t="shared" si="2"/>
        <v/>
      </c>
      <c r="AZ1861" s="82"/>
      <c r="BA1861" s="84" t="s">
        <v>152</v>
      </c>
      <c r="BB1861" s="84" t="str">
        <f>IFERROR(__xludf.DUMMYFUNCTION("iferror(if(A1861="""",,E1861&gt;=FILTER(Constants!$F$2:$F$10,Constants!$A$2:$A$10=A1861)))"),"")</f>
        <v/>
      </c>
    </row>
    <row r="1862">
      <c r="A1862" s="89"/>
      <c r="B1862" s="87"/>
      <c r="C1862" s="73"/>
      <c r="D1862" s="73"/>
      <c r="E1862" s="82"/>
      <c r="F1862" s="82"/>
      <c r="G1862" s="86"/>
      <c r="H1862" s="86"/>
      <c r="I1862" s="86"/>
      <c r="J1862" s="82"/>
      <c r="K1862" s="82"/>
      <c r="L1862" s="82"/>
      <c r="M1862" s="82"/>
      <c r="N1862" s="82"/>
      <c r="O1862" s="82"/>
      <c r="P1862" s="82"/>
      <c r="Q1862" s="82"/>
      <c r="R1862" s="82"/>
      <c r="S1862" s="82"/>
      <c r="T1862" s="82"/>
      <c r="U1862" s="82"/>
      <c r="V1862" s="82"/>
      <c r="W1862" s="82"/>
      <c r="X1862" s="82"/>
      <c r="Y1862" s="82"/>
      <c r="Z1862" s="82"/>
      <c r="AA1862" s="82"/>
      <c r="AB1862" s="82"/>
      <c r="AC1862" s="82"/>
      <c r="AD1862" s="82"/>
      <c r="AE1862" s="82"/>
      <c r="AF1862" s="82"/>
      <c r="AG1862" s="82"/>
      <c r="AH1862" s="82"/>
      <c r="AI1862" s="82"/>
      <c r="AJ1862" s="82"/>
      <c r="AK1862" s="82"/>
      <c r="AL1862" s="82"/>
      <c r="AM1862" s="82"/>
      <c r="AN1862" s="82">
        <f>IFERROR(__xludf.DUMMYFUNCTION("""COMPUTED_VALUE"""),0.0)</f>
        <v>0</v>
      </c>
      <c r="AO1862" s="82">
        <f>IFERROR(__xludf.DUMMYFUNCTION("""COMPUTED_VALUE"""),0.0)</f>
        <v>0</v>
      </c>
      <c r="AP1862" s="82">
        <f>IFERROR(__xludf.DUMMYFUNCTION("""COMPUTED_VALUE"""),0.0)</f>
        <v>0</v>
      </c>
      <c r="AQ1862" s="82">
        <f>IFERROR(__xludf.DUMMYFUNCTION("""COMPUTED_VALUE"""),0.0)</f>
        <v>0</v>
      </c>
      <c r="AR1862" s="82">
        <f>IFERROR(__xludf.DUMMYFUNCTION("""COMPUTED_VALUE"""),0.0)</f>
        <v>0</v>
      </c>
      <c r="AS1862" s="82"/>
      <c r="AT1862" s="82">
        <f>IFERROR(__xludf.DUMMYFUNCTION("""COMPUTED_VALUE"""),0.0)</f>
        <v>0</v>
      </c>
      <c r="AU1862" s="82"/>
      <c r="AV1862" s="82"/>
      <c r="AW1862" s="82" t="str">
        <f t="shared" si="1"/>
        <v/>
      </c>
      <c r="AX1862" s="83" t="str">
        <f t="array" ref="AX1862">IFERROR(DGET('SBV Import'!A:G,"SBV",{"RSC ID","Tier";B1862,A1862}))</f>
        <v/>
      </c>
      <c r="AY1862" s="82" t="str">
        <f t="shared" si="2"/>
        <v/>
      </c>
      <c r="AZ1862" s="82"/>
      <c r="BA1862" s="84" t="s">
        <v>152</v>
      </c>
      <c r="BB1862" s="84" t="str">
        <f>IFERROR(__xludf.DUMMYFUNCTION("iferror(if(A1862="""",,E1862&gt;=FILTER(Constants!$F$2:$F$10,Constants!$A$2:$A$10=A1862)))"),"")</f>
        <v/>
      </c>
    </row>
    <row r="1863">
      <c r="A1863" s="89"/>
      <c r="B1863" s="87"/>
      <c r="C1863" s="73"/>
      <c r="D1863" s="73"/>
      <c r="E1863" s="82"/>
      <c r="F1863" s="82"/>
      <c r="G1863" s="86"/>
      <c r="H1863" s="86"/>
      <c r="I1863" s="86"/>
      <c r="J1863" s="82"/>
      <c r="K1863" s="82"/>
      <c r="L1863" s="82"/>
      <c r="M1863" s="82"/>
      <c r="N1863" s="82"/>
      <c r="O1863" s="82"/>
      <c r="P1863" s="82"/>
      <c r="Q1863" s="82"/>
      <c r="R1863" s="82"/>
      <c r="S1863" s="82"/>
      <c r="T1863" s="82"/>
      <c r="U1863" s="82"/>
      <c r="V1863" s="82"/>
      <c r="W1863" s="82"/>
      <c r="X1863" s="82"/>
      <c r="Y1863" s="82"/>
      <c r="Z1863" s="82"/>
      <c r="AA1863" s="82"/>
      <c r="AB1863" s="82"/>
      <c r="AC1863" s="82"/>
      <c r="AD1863" s="82"/>
      <c r="AE1863" s="82"/>
      <c r="AF1863" s="82"/>
      <c r="AG1863" s="82"/>
      <c r="AH1863" s="82"/>
      <c r="AI1863" s="82"/>
      <c r="AJ1863" s="82"/>
      <c r="AK1863" s="82"/>
      <c r="AL1863" s="82"/>
      <c r="AM1863" s="82"/>
      <c r="AN1863" s="82">
        <f>IFERROR(__xludf.DUMMYFUNCTION("""COMPUTED_VALUE"""),0.0)</f>
        <v>0</v>
      </c>
      <c r="AO1863" s="82">
        <f>IFERROR(__xludf.DUMMYFUNCTION("""COMPUTED_VALUE"""),0.0)</f>
        <v>0</v>
      </c>
      <c r="AP1863" s="82">
        <f>IFERROR(__xludf.DUMMYFUNCTION("""COMPUTED_VALUE"""),0.0)</f>
        <v>0</v>
      </c>
      <c r="AQ1863" s="82">
        <f>IFERROR(__xludf.DUMMYFUNCTION("""COMPUTED_VALUE"""),0.0)</f>
        <v>0</v>
      </c>
      <c r="AR1863" s="82">
        <f>IFERROR(__xludf.DUMMYFUNCTION("""COMPUTED_VALUE"""),0.0)</f>
        <v>0</v>
      </c>
      <c r="AS1863" s="82"/>
      <c r="AT1863" s="82">
        <f>IFERROR(__xludf.DUMMYFUNCTION("""COMPUTED_VALUE"""),0.0)</f>
        <v>0</v>
      </c>
      <c r="AU1863" s="82"/>
      <c r="AV1863" s="82"/>
      <c r="AW1863" s="82" t="str">
        <f t="shared" si="1"/>
        <v/>
      </c>
      <c r="AX1863" s="83" t="str">
        <f t="array" ref="AX1863">IFERROR(DGET('SBV Import'!A:G,"SBV",{"RSC ID","Tier";B1863,A1863}))</f>
        <v/>
      </c>
      <c r="AY1863" s="82" t="str">
        <f t="shared" si="2"/>
        <v/>
      </c>
      <c r="AZ1863" s="82"/>
      <c r="BA1863" s="84" t="s">
        <v>152</v>
      </c>
      <c r="BB1863" s="84" t="str">
        <f>IFERROR(__xludf.DUMMYFUNCTION("iferror(if(A1863="""",,E1863&gt;=FILTER(Constants!$F$2:$F$10,Constants!$A$2:$A$10=A1863)))"),"")</f>
        <v/>
      </c>
    </row>
    <row r="1864">
      <c r="A1864" s="89"/>
      <c r="B1864" s="87"/>
      <c r="C1864" s="73"/>
      <c r="D1864" s="73"/>
      <c r="E1864" s="82"/>
      <c r="F1864" s="82"/>
      <c r="G1864" s="86"/>
      <c r="H1864" s="86"/>
      <c r="I1864" s="86"/>
      <c r="J1864" s="82"/>
      <c r="K1864" s="82"/>
      <c r="L1864" s="82"/>
      <c r="M1864" s="82"/>
      <c r="N1864" s="82"/>
      <c r="O1864" s="82"/>
      <c r="P1864" s="82"/>
      <c r="Q1864" s="82"/>
      <c r="R1864" s="82"/>
      <c r="S1864" s="82"/>
      <c r="T1864" s="82"/>
      <c r="U1864" s="82"/>
      <c r="V1864" s="82"/>
      <c r="W1864" s="82"/>
      <c r="X1864" s="82"/>
      <c r="Y1864" s="82"/>
      <c r="Z1864" s="82"/>
      <c r="AA1864" s="82"/>
      <c r="AB1864" s="82"/>
      <c r="AC1864" s="82"/>
      <c r="AD1864" s="82"/>
      <c r="AE1864" s="82"/>
      <c r="AF1864" s="82"/>
      <c r="AG1864" s="82"/>
      <c r="AH1864" s="82"/>
      <c r="AI1864" s="82"/>
      <c r="AJ1864" s="82"/>
      <c r="AK1864" s="82"/>
      <c r="AL1864" s="82"/>
      <c r="AM1864" s="82"/>
      <c r="AN1864" s="82">
        <f>IFERROR(__xludf.DUMMYFUNCTION("""COMPUTED_VALUE"""),0.0)</f>
        <v>0</v>
      </c>
      <c r="AO1864" s="82">
        <f>IFERROR(__xludf.DUMMYFUNCTION("""COMPUTED_VALUE"""),0.0)</f>
        <v>0</v>
      </c>
      <c r="AP1864" s="82">
        <f>IFERROR(__xludf.DUMMYFUNCTION("""COMPUTED_VALUE"""),0.0)</f>
        <v>0</v>
      </c>
      <c r="AQ1864" s="82">
        <f>IFERROR(__xludf.DUMMYFUNCTION("""COMPUTED_VALUE"""),0.0)</f>
        <v>0</v>
      </c>
      <c r="AR1864" s="82">
        <f>IFERROR(__xludf.DUMMYFUNCTION("""COMPUTED_VALUE"""),0.0)</f>
        <v>0</v>
      </c>
      <c r="AS1864" s="82"/>
      <c r="AT1864" s="82">
        <f>IFERROR(__xludf.DUMMYFUNCTION("""COMPUTED_VALUE"""),0.0)</f>
        <v>0</v>
      </c>
      <c r="AU1864" s="82"/>
      <c r="AV1864" s="82"/>
      <c r="AW1864" s="82" t="str">
        <f t="shared" si="1"/>
        <v/>
      </c>
      <c r="AX1864" s="83" t="str">
        <f t="array" ref="AX1864">IFERROR(DGET('SBV Import'!A:G,"SBV",{"RSC ID","Tier";B1864,A1864}))</f>
        <v/>
      </c>
      <c r="AY1864" s="82" t="str">
        <f t="shared" si="2"/>
        <v/>
      </c>
      <c r="AZ1864" s="82"/>
      <c r="BA1864" s="84" t="s">
        <v>152</v>
      </c>
      <c r="BB1864" s="84" t="str">
        <f>IFERROR(__xludf.DUMMYFUNCTION("iferror(if(A1864="""",,E1864&gt;=FILTER(Constants!$F$2:$F$10,Constants!$A$2:$A$10=A1864)))"),"")</f>
        <v/>
      </c>
    </row>
    <row r="1865">
      <c r="A1865" s="89"/>
      <c r="B1865" s="87"/>
      <c r="C1865" s="73"/>
      <c r="D1865" s="73"/>
      <c r="E1865" s="82"/>
      <c r="F1865" s="82"/>
      <c r="G1865" s="86"/>
      <c r="H1865" s="86"/>
      <c r="I1865" s="86"/>
      <c r="J1865" s="82"/>
      <c r="K1865" s="82"/>
      <c r="L1865" s="82"/>
      <c r="M1865" s="82"/>
      <c r="N1865" s="82"/>
      <c r="O1865" s="82"/>
      <c r="P1865" s="82"/>
      <c r="Q1865" s="82"/>
      <c r="R1865" s="82"/>
      <c r="S1865" s="82"/>
      <c r="T1865" s="82"/>
      <c r="U1865" s="82"/>
      <c r="V1865" s="82"/>
      <c r="W1865" s="82"/>
      <c r="X1865" s="82"/>
      <c r="Y1865" s="82"/>
      <c r="Z1865" s="82"/>
      <c r="AA1865" s="82"/>
      <c r="AB1865" s="82"/>
      <c r="AC1865" s="82"/>
      <c r="AD1865" s="82"/>
      <c r="AE1865" s="82"/>
      <c r="AF1865" s="82"/>
      <c r="AG1865" s="82"/>
      <c r="AH1865" s="82"/>
      <c r="AI1865" s="82"/>
      <c r="AJ1865" s="82"/>
      <c r="AK1865" s="82"/>
      <c r="AL1865" s="82"/>
      <c r="AM1865" s="82"/>
      <c r="AN1865" s="82">
        <f>IFERROR(__xludf.DUMMYFUNCTION("""COMPUTED_VALUE"""),0.0)</f>
        <v>0</v>
      </c>
      <c r="AO1865" s="82">
        <f>IFERROR(__xludf.DUMMYFUNCTION("""COMPUTED_VALUE"""),0.0)</f>
        <v>0</v>
      </c>
      <c r="AP1865" s="82">
        <f>IFERROR(__xludf.DUMMYFUNCTION("""COMPUTED_VALUE"""),0.0)</f>
        <v>0</v>
      </c>
      <c r="AQ1865" s="82">
        <f>IFERROR(__xludf.DUMMYFUNCTION("""COMPUTED_VALUE"""),0.0)</f>
        <v>0</v>
      </c>
      <c r="AR1865" s="82">
        <f>IFERROR(__xludf.DUMMYFUNCTION("""COMPUTED_VALUE"""),0.0)</f>
        <v>0</v>
      </c>
      <c r="AS1865" s="82"/>
      <c r="AT1865" s="82">
        <f>IFERROR(__xludf.DUMMYFUNCTION("""COMPUTED_VALUE"""),0.0)</f>
        <v>0</v>
      </c>
      <c r="AU1865" s="82"/>
      <c r="AV1865" s="82"/>
      <c r="AW1865" s="82" t="str">
        <f t="shared" si="1"/>
        <v/>
      </c>
      <c r="AX1865" s="83" t="str">
        <f t="array" ref="AX1865">IFERROR(DGET('SBV Import'!A:G,"SBV",{"RSC ID","Tier";B1865,A1865}))</f>
        <v/>
      </c>
      <c r="AY1865" s="82" t="str">
        <f t="shared" si="2"/>
        <v/>
      </c>
      <c r="AZ1865" s="82"/>
      <c r="BA1865" s="84" t="s">
        <v>152</v>
      </c>
      <c r="BB1865" s="84" t="str">
        <f>IFERROR(__xludf.DUMMYFUNCTION("iferror(if(A1865="""",,E1865&gt;=FILTER(Constants!$F$2:$F$10,Constants!$A$2:$A$10=A1865)))"),"")</f>
        <v/>
      </c>
    </row>
    <row r="1866">
      <c r="A1866" s="89"/>
      <c r="B1866" s="87"/>
      <c r="C1866" s="73"/>
      <c r="D1866" s="73"/>
      <c r="E1866" s="82"/>
      <c r="F1866" s="82"/>
      <c r="G1866" s="86"/>
      <c r="H1866" s="86"/>
      <c r="I1866" s="86"/>
      <c r="J1866" s="82"/>
      <c r="K1866" s="82"/>
      <c r="L1866" s="82"/>
      <c r="M1866" s="82"/>
      <c r="N1866" s="82"/>
      <c r="O1866" s="82"/>
      <c r="P1866" s="82"/>
      <c r="Q1866" s="82"/>
      <c r="R1866" s="82"/>
      <c r="S1866" s="82"/>
      <c r="T1866" s="82"/>
      <c r="U1866" s="82"/>
      <c r="V1866" s="82"/>
      <c r="W1866" s="82"/>
      <c r="X1866" s="82"/>
      <c r="Y1866" s="82"/>
      <c r="Z1866" s="82"/>
      <c r="AA1866" s="82"/>
      <c r="AB1866" s="82"/>
      <c r="AC1866" s="82"/>
      <c r="AD1866" s="82"/>
      <c r="AE1866" s="82"/>
      <c r="AF1866" s="82"/>
      <c r="AG1866" s="82"/>
      <c r="AH1866" s="82"/>
      <c r="AI1866" s="82"/>
      <c r="AJ1866" s="82"/>
      <c r="AK1866" s="82"/>
      <c r="AL1866" s="82"/>
      <c r="AM1866" s="82"/>
      <c r="AN1866" s="82">
        <f>IFERROR(__xludf.DUMMYFUNCTION("""COMPUTED_VALUE"""),0.0)</f>
        <v>0</v>
      </c>
      <c r="AO1866" s="82">
        <f>IFERROR(__xludf.DUMMYFUNCTION("""COMPUTED_VALUE"""),0.0)</f>
        <v>0</v>
      </c>
      <c r="AP1866" s="82">
        <f>IFERROR(__xludf.DUMMYFUNCTION("""COMPUTED_VALUE"""),0.0)</f>
        <v>0</v>
      </c>
      <c r="AQ1866" s="82">
        <f>IFERROR(__xludf.DUMMYFUNCTION("""COMPUTED_VALUE"""),0.0)</f>
        <v>0</v>
      </c>
      <c r="AR1866" s="82">
        <f>IFERROR(__xludf.DUMMYFUNCTION("""COMPUTED_VALUE"""),0.0)</f>
        <v>0</v>
      </c>
      <c r="AS1866" s="82"/>
      <c r="AT1866" s="82">
        <f>IFERROR(__xludf.DUMMYFUNCTION("""COMPUTED_VALUE"""),0.0)</f>
        <v>0</v>
      </c>
      <c r="AU1866" s="82"/>
      <c r="AV1866" s="82"/>
      <c r="AW1866" s="82" t="str">
        <f t="shared" si="1"/>
        <v/>
      </c>
      <c r="AX1866" s="83" t="str">
        <f t="array" ref="AX1866">IFERROR(DGET('SBV Import'!A:G,"SBV",{"RSC ID","Tier";B1866,A1866}))</f>
        <v/>
      </c>
      <c r="AY1866" s="82" t="str">
        <f t="shared" si="2"/>
        <v/>
      </c>
      <c r="AZ1866" s="82"/>
      <c r="BA1866" s="84" t="s">
        <v>152</v>
      </c>
      <c r="BB1866" s="84" t="str">
        <f>IFERROR(__xludf.DUMMYFUNCTION("iferror(if(A1866="""",,E1866&gt;=FILTER(Constants!$F$2:$F$10,Constants!$A$2:$A$10=A1866)))"),"")</f>
        <v/>
      </c>
    </row>
    <row r="1867">
      <c r="A1867" s="89"/>
      <c r="B1867" s="87"/>
      <c r="C1867" s="73"/>
      <c r="D1867" s="73"/>
      <c r="E1867" s="82"/>
      <c r="F1867" s="82"/>
      <c r="G1867" s="86"/>
      <c r="H1867" s="86"/>
      <c r="I1867" s="86"/>
      <c r="J1867" s="82"/>
      <c r="K1867" s="82"/>
      <c r="L1867" s="82"/>
      <c r="M1867" s="82"/>
      <c r="N1867" s="82"/>
      <c r="O1867" s="82"/>
      <c r="P1867" s="82"/>
      <c r="Q1867" s="82"/>
      <c r="R1867" s="82"/>
      <c r="S1867" s="82"/>
      <c r="T1867" s="82"/>
      <c r="U1867" s="82"/>
      <c r="V1867" s="82"/>
      <c r="W1867" s="82"/>
      <c r="X1867" s="82"/>
      <c r="Y1867" s="82"/>
      <c r="Z1867" s="82"/>
      <c r="AA1867" s="82"/>
      <c r="AB1867" s="82"/>
      <c r="AC1867" s="82"/>
      <c r="AD1867" s="82"/>
      <c r="AE1867" s="82"/>
      <c r="AF1867" s="82"/>
      <c r="AG1867" s="82"/>
      <c r="AH1867" s="82"/>
      <c r="AI1867" s="82"/>
      <c r="AJ1867" s="82"/>
      <c r="AK1867" s="82"/>
      <c r="AL1867" s="82"/>
      <c r="AM1867" s="82"/>
      <c r="AN1867" s="82">
        <f>IFERROR(__xludf.DUMMYFUNCTION("""COMPUTED_VALUE"""),0.0)</f>
        <v>0</v>
      </c>
      <c r="AO1867" s="82">
        <f>IFERROR(__xludf.DUMMYFUNCTION("""COMPUTED_VALUE"""),0.0)</f>
        <v>0</v>
      </c>
      <c r="AP1867" s="82">
        <f>IFERROR(__xludf.DUMMYFUNCTION("""COMPUTED_VALUE"""),0.0)</f>
        <v>0</v>
      </c>
      <c r="AQ1867" s="82">
        <f>IFERROR(__xludf.DUMMYFUNCTION("""COMPUTED_VALUE"""),0.0)</f>
        <v>0</v>
      </c>
      <c r="AR1867" s="82">
        <f>IFERROR(__xludf.DUMMYFUNCTION("""COMPUTED_VALUE"""),0.0)</f>
        <v>0</v>
      </c>
      <c r="AS1867" s="82"/>
      <c r="AT1867" s="82">
        <f>IFERROR(__xludf.DUMMYFUNCTION("""COMPUTED_VALUE"""),0.0)</f>
        <v>0</v>
      </c>
      <c r="AU1867" s="82"/>
      <c r="AV1867" s="82"/>
      <c r="AW1867" s="82" t="str">
        <f t="shared" si="1"/>
        <v/>
      </c>
      <c r="AX1867" s="83" t="str">
        <f t="array" ref="AX1867">IFERROR(DGET('SBV Import'!A:G,"SBV",{"RSC ID","Tier";B1867,A1867}))</f>
        <v/>
      </c>
      <c r="AY1867" s="82" t="str">
        <f t="shared" si="2"/>
        <v/>
      </c>
      <c r="AZ1867" s="82"/>
      <c r="BA1867" s="84" t="s">
        <v>152</v>
      </c>
      <c r="BB1867" s="84" t="str">
        <f>IFERROR(__xludf.DUMMYFUNCTION("iferror(if(A1867="""",,E1867&gt;=FILTER(Constants!$F$2:$F$10,Constants!$A$2:$A$10=A1867)))"),"")</f>
        <v/>
      </c>
    </row>
    <row r="1868">
      <c r="A1868" s="89"/>
      <c r="B1868" s="87"/>
      <c r="C1868" s="73"/>
      <c r="D1868" s="73"/>
      <c r="E1868" s="82"/>
      <c r="F1868" s="82"/>
      <c r="G1868" s="86"/>
      <c r="H1868" s="86"/>
      <c r="I1868" s="86"/>
      <c r="J1868" s="82"/>
      <c r="K1868" s="82"/>
      <c r="L1868" s="82"/>
      <c r="M1868" s="82"/>
      <c r="N1868" s="82"/>
      <c r="O1868" s="82"/>
      <c r="P1868" s="82"/>
      <c r="Q1868" s="82"/>
      <c r="R1868" s="82"/>
      <c r="S1868" s="82"/>
      <c r="T1868" s="82"/>
      <c r="U1868" s="82"/>
      <c r="V1868" s="82"/>
      <c r="W1868" s="82"/>
      <c r="X1868" s="82"/>
      <c r="Y1868" s="82"/>
      <c r="Z1868" s="82"/>
      <c r="AA1868" s="82"/>
      <c r="AB1868" s="82"/>
      <c r="AC1868" s="82"/>
      <c r="AD1868" s="82"/>
      <c r="AE1868" s="82"/>
      <c r="AF1868" s="82"/>
      <c r="AG1868" s="82"/>
      <c r="AH1868" s="82"/>
      <c r="AI1868" s="82"/>
      <c r="AJ1868" s="82"/>
      <c r="AK1868" s="82"/>
      <c r="AL1868" s="82"/>
      <c r="AM1868" s="82"/>
      <c r="AN1868" s="82">
        <f>IFERROR(__xludf.DUMMYFUNCTION("""COMPUTED_VALUE"""),0.0)</f>
        <v>0</v>
      </c>
      <c r="AO1868" s="82">
        <f>IFERROR(__xludf.DUMMYFUNCTION("""COMPUTED_VALUE"""),0.0)</f>
        <v>0</v>
      </c>
      <c r="AP1868" s="82">
        <f>IFERROR(__xludf.DUMMYFUNCTION("""COMPUTED_VALUE"""),0.0)</f>
        <v>0</v>
      </c>
      <c r="AQ1868" s="82">
        <f>IFERROR(__xludf.DUMMYFUNCTION("""COMPUTED_VALUE"""),0.0)</f>
        <v>0</v>
      </c>
      <c r="AR1868" s="82">
        <f>IFERROR(__xludf.DUMMYFUNCTION("""COMPUTED_VALUE"""),0.0)</f>
        <v>0</v>
      </c>
      <c r="AS1868" s="82"/>
      <c r="AT1868" s="82">
        <f>IFERROR(__xludf.DUMMYFUNCTION("""COMPUTED_VALUE"""),0.0)</f>
        <v>0</v>
      </c>
      <c r="AU1868" s="82"/>
      <c r="AV1868" s="82"/>
      <c r="AW1868" s="82" t="str">
        <f t="shared" si="1"/>
        <v/>
      </c>
      <c r="AX1868" s="83" t="str">
        <f t="array" ref="AX1868">IFERROR(DGET('SBV Import'!A:G,"SBV",{"RSC ID","Tier";B1868,A1868}))</f>
        <v/>
      </c>
      <c r="AY1868" s="82" t="str">
        <f t="shared" si="2"/>
        <v/>
      </c>
      <c r="AZ1868" s="82"/>
      <c r="BA1868" s="84" t="s">
        <v>152</v>
      </c>
      <c r="BB1868" s="84" t="str">
        <f>IFERROR(__xludf.DUMMYFUNCTION("iferror(if(A1868="""",,E1868&gt;=FILTER(Constants!$F$2:$F$10,Constants!$A$2:$A$10=A1868)))"),"")</f>
        <v/>
      </c>
    </row>
    <row r="1869">
      <c r="A1869" s="89"/>
      <c r="B1869" s="87"/>
      <c r="C1869" s="73"/>
      <c r="D1869" s="73"/>
      <c r="E1869" s="82"/>
      <c r="F1869" s="82"/>
      <c r="G1869" s="86"/>
      <c r="H1869" s="86"/>
      <c r="I1869" s="86"/>
      <c r="J1869" s="82"/>
      <c r="K1869" s="82"/>
      <c r="L1869" s="82"/>
      <c r="M1869" s="82"/>
      <c r="N1869" s="82"/>
      <c r="O1869" s="82"/>
      <c r="P1869" s="82"/>
      <c r="Q1869" s="82"/>
      <c r="R1869" s="82"/>
      <c r="S1869" s="82"/>
      <c r="T1869" s="82"/>
      <c r="U1869" s="82"/>
      <c r="V1869" s="82"/>
      <c r="W1869" s="82"/>
      <c r="X1869" s="82"/>
      <c r="Y1869" s="82"/>
      <c r="Z1869" s="82"/>
      <c r="AA1869" s="82"/>
      <c r="AB1869" s="82"/>
      <c r="AC1869" s="82"/>
      <c r="AD1869" s="82"/>
      <c r="AE1869" s="82"/>
      <c r="AF1869" s="82"/>
      <c r="AG1869" s="82"/>
      <c r="AH1869" s="82"/>
      <c r="AI1869" s="82"/>
      <c r="AJ1869" s="82"/>
      <c r="AK1869" s="82"/>
      <c r="AL1869" s="82"/>
      <c r="AM1869" s="82"/>
      <c r="AN1869" s="82">
        <f>IFERROR(__xludf.DUMMYFUNCTION("""COMPUTED_VALUE"""),0.0)</f>
        <v>0</v>
      </c>
      <c r="AO1869" s="82">
        <f>IFERROR(__xludf.DUMMYFUNCTION("""COMPUTED_VALUE"""),0.0)</f>
        <v>0</v>
      </c>
      <c r="AP1869" s="82">
        <f>IFERROR(__xludf.DUMMYFUNCTION("""COMPUTED_VALUE"""),0.0)</f>
        <v>0</v>
      </c>
      <c r="AQ1869" s="82">
        <f>IFERROR(__xludf.DUMMYFUNCTION("""COMPUTED_VALUE"""),0.0)</f>
        <v>0</v>
      </c>
      <c r="AR1869" s="82">
        <f>IFERROR(__xludf.DUMMYFUNCTION("""COMPUTED_VALUE"""),0.0)</f>
        <v>0</v>
      </c>
      <c r="AS1869" s="82"/>
      <c r="AT1869" s="82">
        <f>IFERROR(__xludf.DUMMYFUNCTION("""COMPUTED_VALUE"""),0.0)</f>
        <v>0</v>
      </c>
      <c r="AU1869" s="82"/>
      <c r="AV1869" s="82"/>
      <c r="AW1869" s="82" t="str">
        <f t="shared" si="1"/>
        <v/>
      </c>
      <c r="AX1869" s="83" t="str">
        <f t="array" ref="AX1869">IFERROR(DGET('SBV Import'!A:G,"SBV",{"RSC ID","Tier";B1869,A1869}))</f>
        <v/>
      </c>
      <c r="AY1869" s="82" t="str">
        <f t="shared" si="2"/>
        <v/>
      </c>
      <c r="AZ1869" s="82"/>
      <c r="BA1869" s="84" t="s">
        <v>152</v>
      </c>
      <c r="BB1869" s="84" t="str">
        <f>IFERROR(__xludf.DUMMYFUNCTION("iferror(if(A1869="""",,E1869&gt;=FILTER(Constants!$F$2:$F$10,Constants!$A$2:$A$10=A1869)))"),"")</f>
        <v/>
      </c>
    </row>
    <row r="1870">
      <c r="A1870" s="89"/>
      <c r="B1870" s="87"/>
      <c r="C1870" s="73"/>
      <c r="D1870" s="73"/>
      <c r="E1870" s="82"/>
      <c r="F1870" s="82"/>
      <c r="G1870" s="86"/>
      <c r="H1870" s="86"/>
      <c r="I1870" s="86"/>
      <c r="J1870" s="82"/>
      <c r="K1870" s="82"/>
      <c r="L1870" s="82"/>
      <c r="M1870" s="82"/>
      <c r="N1870" s="82"/>
      <c r="O1870" s="82"/>
      <c r="P1870" s="82"/>
      <c r="Q1870" s="82"/>
      <c r="R1870" s="82"/>
      <c r="S1870" s="82"/>
      <c r="T1870" s="82"/>
      <c r="U1870" s="82"/>
      <c r="V1870" s="82"/>
      <c r="W1870" s="82"/>
      <c r="X1870" s="82"/>
      <c r="Y1870" s="82"/>
      <c r="Z1870" s="82"/>
      <c r="AA1870" s="82"/>
      <c r="AB1870" s="82"/>
      <c r="AC1870" s="82"/>
      <c r="AD1870" s="82"/>
      <c r="AE1870" s="82"/>
      <c r="AF1870" s="82"/>
      <c r="AG1870" s="82"/>
      <c r="AH1870" s="82"/>
      <c r="AI1870" s="82"/>
      <c r="AJ1870" s="82"/>
      <c r="AK1870" s="82"/>
      <c r="AL1870" s="82"/>
      <c r="AM1870" s="82"/>
      <c r="AN1870" s="82">
        <f>IFERROR(__xludf.DUMMYFUNCTION("""COMPUTED_VALUE"""),0.0)</f>
        <v>0</v>
      </c>
      <c r="AO1870" s="82">
        <f>IFERROR(__xludf.DUMMYFUNCTION("""COMPUTED_VALUE"""),0.0)</f>
        <v>0</v>
      </c>
      <c r="AP1870" s="82">
        <f>IFERROR(__xludf.DUMMYFUNCTION("""COMPUTED_VALUE"""),0.0)</f>
        <v>0</v>
      </c>
      <c r="AQ1870" s="82">
        <f>IFERROR(__xludf.DUMMYFUNCTION("""COMPUTED_VALUE"""),0.0)</f>
        <v>0</v>
      </c>
      <c r="AR1870" s="82">
        <f>IFERROR(__xludf.DUMMYFUNCTION("""COMPUTED_VALUE"""),0.0)</f>
        <v>0</v>
      </c>
      <c r="AS1870" s="82"/>
      <c r="AT1870" s="82">
        <f>IFERROR(__xludf.DUMMYFUNCTION("""COMPUTED_VALUE"""),0.0)</f>
        <v>0</v>
      </c>
      <c r="AU1870" s="82"/>
      <c r="AV1870" s="82"/>
      <c r="AW1870" s="82" t="str">
        <f t="shared" si="1"/>
        <v/>
      </c>
      <c r="AX1870" s="83" t="str">
        <f t="array" ref="AX1870">IFERROR(DGET('SBV Import'!A:G,"SBV",{"RSC ID","Tier";B1870,A1870}))</f>
        <v/>
      </c>
      <c r="AY1870" s="82" t="str">
        <f t="shared" si="2"/>
        <v/>
      </c>
      <c r="AZ1870" s="82"/>
      <c r="BA1870" s="84" t="s">
        <v>152</v>
      </c>
      <c r="BB1870" s="84" t="str">
        <f>IFERROR(__xludf.DUMMYFUNCTION("iferror(if(A1870="""",,E1870&gt;=FILTER(Constants!$F$2:$F$10,Constants!$A$2:$A$10=A1870)))"),"")</f>
        <v/>
      </c>
    </row>
    <row r="1871">
      <c r="A1871" s="89"/>
      <c r="B1871" s="87"/>
      <c r="C1871" s="73"/>
      <c r="D1871" s="73"/>
      <c r="E1871" s="82"/>
      <c r="F1871" s="82"/>
      <c r="G1871" s="86"/>
      <c r="H1871" s="86"/>
      <c r="I1871" s="86"/>
      <c r="J1871" s="82"/>
      <c r="K1871" s="82"/>
      <c r="L1871" s="82"/>
      <c r="M1871" s="82"/>
      <c r="N1871" s="82"/>
      <c r="O1871" s="82"/>
      <c r="P1871" s="82"/>
      <c r="Q1871" s="82"/>
      <c r="R1871" s="82"/>
      <c r="S1871" s="82"/>
      <c r="T1871" s="82"/>
      <c r="U1871" s="82"/>
      <c r="V1871" s="82"/>
      <c r="W1871" s="82"/>
      <c r="X1871" s="82"/>
      <c r="Y1871" s="82"/>
      <c r="Z1871" s="82"/>
      <c r="AA1871" s="82"/>
      <c r="AB1871" s="82"/>
      <c r="AC1871" s="82"/>
      <c r="AD1871" s="82"/>
      <c r="AE1871" s="82"/>
      <c r="AF1871" s="82"/>
      <c r="AG1871" s="82"/>
      <c r="AH1871" s="82"/>
      <c r="AI1871" s="82"/>
      <c r="AJ1871" s="82"/>
      <c r="AK1871" s="82"/>
      <c r="AL1871" s="82"/>
      <c r="AM1871" s="82"/>
      <c r="AN1871" s="82">
        <f>IFERROR(__xludf.DUMMYFUNCTION("""COMPUTED_VALUE"""),0.0)</f>
        <v>0</v>
      </c>
      <c r="AO1871" s="82">
        <f>IFERROR(__xludf.DUMMYFUNCTION("""COMPUTED_VALUE"""),0.0)</f>
        <v>0</v>
      </c>
      <c r="AP1871" s="82">
        <f>IFERROR(__xludf.DUMMYFUNCTION("""COMPUTED_VALUE"""),0.0)</f>
        <v>0</v>
      </c>
      <c r="AQ1871" s="82">
        <f>IFERROR(__xludf.DUMMYFUNCTION("""COMPUTED_VALUE"""),0.0)</f>
        <v>0</v>
      </c>
      <c r="AR1871" s="82">
        <f>IFERROR(__xludf.DUMMYFUNCTION("""COMPUTED_VALUE"""),0.0)</f>
        <v>0</v>
      </c>
      <c r="AS1871" s="82"/>
      <c r="AT1871" s="82">
        <f>IFERROR(__xludf.DUMMYFUNCTION("""COMPUTED_VALUE"""),0.0)</f>
        <v>0</v>
      </c>
      <c r="AU1871" s="82"/>
      <c r="AV1871" s="82"/>
      <c r="AW1871" s="82" t="str">
        <f t="shared" si="1"/>
        <v/>
      </c>
      <c r="AX1871" s="83" t="str">
        <f t="array" ref="AX1871">IFERROR(DGET('SBV Import'!A:G,"SBV",{"RSC ID","Tier";B1871,A1871}))</f>
        <v/>
      </c>
      <c r="AY1871" s="82" t="str">
        <f t="shared" si="2"/>
        <v/>
      </c>
      <c r="AZ1871" s="82"/>
      <c r="BA1871" s="84" t="s">
        <v>152</v>
      </c>
      <c r="BB1871" s="84" t="str">
        <f>IFERROR(__xludf.DUMMYFUNCTION("iferror(if(A1871="""",,E1871&gt;=FILTER(Constants!$F$2:$F$10,Constants!$A$2:$A$10=A1871)))"),"")</f>
        <v/>
      </c>
    </row>
    <row r="1872">
      <c r="A1872" s="89"/>
      <c r="B1872" s="87"/>
      <c r="C1872" s="73"/>
      <c r="D1872" s="73"/>
      <c r="E1872" s="82"/>
      <c r="F1872" s="82"/>
      <c r="G1872" s="86"/>
      <c r="H1872" s="86"/>
      <c r="I1872" s="86"/>
      <c r="J1872" s="82"/>
      <c r="K1872" s="82"/>
      <c r="L1872" s="82"/>
      <c r="M1872" s="82"/>
      <c r="N1872" s="82"/>
      <c r="O1872" s="82"/>
      <c r="P1872" s="82"/>
      <c r="Q1872" s="82"/>
      <c r="R1872" s="82"/>
      <c r="S1872" s="82"/>
      <c r="T1872" s="82"/>
      <c r="U1872" s="82"/>
      <c r="V1872" s="82"/>
      <c r="W1872" s="82"/>
      <c r="X1872" s="82"/>
      <c r="Y1872" s="82"/>
      <c r="Z1872" s="82"/>
      <c r="AA1872" s="82"/>
      <c r="AB1872" s="82"/>
      <c r="AC1872" s="82"/>
      <c r="AD1872" s="82"/>
      <c r="AE1872" s="82"/>
      <c r="AF1872" s="82"/>
      <c r="AG1872" s="82"/>
      <c r="AH1872" s="82"/>
      <c r="AI1872" s="82"/>
      <c r="AJ1872" s="82"/>
      <c r="AK1872" s="82"/>
      <c r="AL1872" s="82"/>
      <c r="AM1872" s="82"/>
      <c r="AN1872" s="82">
        <f>IFERROR(__xludf.DUMMYFUNCTION("""COMPUTED_VALUE"""),0.0)</f>
        <v>0</v>
      </c>
      <c r="AO1872" s="82">
        <f>IFERROR(__xludf.DUMMYFUNCTION("""COMPUTED_VALUE"""),0.0)</f>
        <v>0</v>
      </c>
      <c r="AP1872" s="82">
        <f>IFERROR(__xludf.DUMMYFUNCTION("""COMPUTED_VALUE"""),0.0)</f>
        <v>0</v>
      </c>
      <c r="AQ1872" s="82">
        <f>IFERROR(__xludf.DUMMYFUNCTION("""COMPUTED_VALUE"""),0.0)</f>
        <v>0</v>
      </c>
      <c r="AR1872" s="82">
        <f>IFERROR(__xludf.DUMMYFUNCTION("""COMPUTED_VALUE"""),0.0)</f>
        <v>0</v>
      </c>
      <c r="AS1872" s="82"/>
      <c r="AT1872" s="82">
        <f>IFERROR(__xludf.DUMMYFUNCTION("""COMPUTED_VALUE"""),0.0)</f>
        <v>0</v>
      </c>
      <c r="AU1872" s="82"/>
      <c r="AV1872" s="82"/>
      <c r="AW1872" s="82" t="str">
        <f t="shared" si="1"/>
        <v/>
      </c>
      <c r="AX1872" s="83" t="str">
        <f t="array" ref="AX1872">IFERROR(DGET('SBV Import'!A:G,"SBV",{"RSC ID","Tier";B1872,A1872}))</f>
        <v/>
      </c>
      <c r="AY1872" s="82" t="str">
        <f t="shared" si="2"/>
        <v/>
      </c>
      <c r="AZ1872" s="82"/>
      <c r="BA1872" s="84" t="s">
        <v>152</v>
      </c>
      <c r="BB1872" s="84" t="str">
        <f>IFERROR(__xludf.DUMMYFUNCTION("iferror(if(A1872="""",,E1872&gt;=FILTER(Constants!$F$2:$F$10,Constants!$A$2:$A$10=A1872)))"),"")</f>
        <v/>
      </c>
    </row>
    <row r="1873">
      <c r="A1873" s="89"/>
      <c r="B1873" s="87"/>
      <c r="C1873" s="73"/>
      <c r="D1873" s="73"/>
      <c r="E1873" s="82"/>
      <c r="F1873" s="82"/>
      <c r="G1873" s="86"/>
      <c r="H1873" s="86"/>
      <c r="I1873" s="86"/>
      <c r="J1873" s="82"/>
      <c r="K1873" s="82"/>
      <c r="L1873" s="82"/>
      <c r="M1873" s="82"/>
      <c r="N1873" s="82"/>
      <c r="O1873" s="82"/>
      <c r="P1873" s="82"/>
      <c r="Q1873" s="82"/>
      <c r="R1873" s="82"/>
      <c r="S1873" s="82"/>
      <c r="T1873" s="82"/>
      <c r="U1873" s="82"/>
      <c r="V1873" s="82"/>
      <c r="W1873" s="82"/>
      <c r="X1873" s="82"/>
      <c r="Y1873" s="82"/>
      <c r="Z1873" s="82"/>
      <c r="AA1873" s="82"/>
      <c r="AB1873" s="82"/>
      <c r="AC1873" s="82"/>
      <c r="AD1873" s="82"/>
      <c r="AE1873" s="82"/>
      <c r="AF1873" s="82"/>
      <c r="AG1873" s="82"/>
      <c r="AH1873" s="82"/>
      <c r="AI1873" s="82"/>
      <c r="AJ1873" s="82"/>
      <c r="AK1873" s="82"/>
      <c r="AL1873" s="82"/>
      <c r="AM1873" s="82"/>
      <c r="AN1873" s="82">
        <f>IFERROR(__xludf.DUMMYFUNCTION("""COMPUTED_VALUE"""),0.0)</f>
        <v>0</v>
      </c>
      <c r="AO1873" s="82">
        <f>IFERROR(__xludf.DUMMYFUNCTION("""COMPUTED_VALUE"""),0.0)</f>
        <v>0</v>
      </c>
      <c r="AP1873" s="82">
        <f>IFERROR(__xludf.DUMMYFUNCTION("""COMPUTED_VALUE"""),0.0)</f>
        <v>0</v>
      </c>
      <c r="AQ1873" s="82">
        <f>IFERROR(__xludf.DUMMYFUNCTION("""COMPUTED_VALUE"""),0.0)</f>
        <v>0</v>
      </c>
      <c r="AR1873" s="82">
        <f>IFERROR(__xludf.DUMMYFUNCTION("""COMPUTED_VALUE"""),0.0)</f>
        <v>0</v>
      </c>
      <c r="AS1873" s="82"/>
      <c r="AT1873" s="82">
        <f>IFERROR(__xludf.DUMMYFUNCTION("""COMPUTED_VALUE"""),0.0)</f>
        <v>0</v>
      </c>
      <c r="AU1873" s="82"/>
      <c r="AV1873" s="82"/>
      <c r="AW1873" s="82" t="str">
        <f t="shared" si="1"/>
        <v/>
      </c>
      <c r="AX1873" s="83" t="str">
        <f t="array" ref="AX1873">IFERROR(DGET('SBV Import'!A:G,"SBV",{"RSC ID","Tier";B1873,A1873}))</f>
        <v/>
      </c>
      <c r="AY1873" s="82" t="str">
        <f t="shared" si="2"/>
        <v/>
      </c>
      <c r="AZ1873" s="82"/>
      <c r="BA1873" s="84" t="s">
        <v>152</v>
      </c>
      <c r="BB1873" s="84" t="str">
        <f>IFERROR(__xludf.DUMMYFUNCTION("iferror(if(A1873="""",,E1873&gt;=FILTER(Constants!$F$2:$F$10,Constants!$A$2:$A$10=A1873)))"),"")</f>
        <v/>
      </c>
    </row>
    <row r="1874">
      <c r="A1874" s="89"/>
      <c r="B1874" s="87"/>
      <c r="C1874" s="73"/>
      <c r="D1874" s="73"/>
      <c r="E1874" s="82"/>
      <c r="F1874" s="82"/>
      <c r="G1874" s="86"/>
      <c r="H1874" s="86"/>
      <c r="I1874" s="86"/>
      <c r="J1874" s="82"/>
      <c r="K1874" s="82"/>
      <c r="L1874" s="82"/>
      <c r="M1874" s="82"/>
      <c r="N1874" s="82"/>
      <c r="O1874" s="82"/>
      <c r="P1874" s="82"/>
      <c r="Q1874" s="82"/>
      <c r="R1874" s="82"/>
      <c r="S1874" s="82"/>
      <c r="T1874" s="82"/>
      <c r="U1874" s="82"/>
      <c r="V1874" s="82"/>
      <c r="W1874" s="82"/>
      <c r="X1874" s="82"/>
      <c r="Y1874" s="82"/>
      <c r="Z1874" s="82"/>
      <c r="AA1874" s="82"/>
      <c r="AB1874" s="82"/>
      <c r="AC1874" s="82"/>
      <c r="AD1874" s="82"/>
      <c r="AE1874" s="82"/>
      <c r="AF1874" s="82"/>
      <c r="AG1874" s="82"/>
      <c r="AH1874" s="82"/>
      <c r="AI1874" s="82"/>
      <c r="AJ1874" s="82"/>
      <c r="AK1874" s="82"/>
      <c r="AL1874" s="82"/>
      <c r="AM1874" s="82"/>
      <c r="AN1874" s="82">
        <f>IFERROR(__xludf.DUMMYFUNCTION("""COMPUTED_VALUE"""),0.0)</f>
        <v>0</v>
      </c>
      <c r="AO1874" s="82">
        <f>IFERROR(__xludf.DUMMYFUNCTION("""COMPUTED_VALUE"""),0.0)</f>
        <v>0</v>
      </c>
      <c r="AP1874" s="82">
        <f>IFERROR(__xludf.DUMMYFUNCTION("""COMPUTED_VALUE"""),0.0)</f>
        <v>0</v>
      </c>
      <c r="AQ1874" s="82">
        <f>IFERROR(__xludf.DUMMYFUNCTION("""COMPUTED_VALUE"""),0.0)</f>
        <v>0</v>
      </c>
      <c r="AR1874" s="82">
        <f>IFERROR(__xludf.DUMMYFUNCTION("""COMPUTED_VALUE"""),0.0)</f>
        <v>0</v>
      </c>
      <c r="AS1874" s="82"/>
      <c r="AT1874" s="82">
        <f>IFERROR(__xludf.DUMMYFUNCTION("""COMPUTED_VALUE"""),0.0)</f>
        <v>0</v>
      </c>
      <c r="AU1874" s="82"/>
      <c r="AV1874" s="82"/>
      <c r="AW1874" s="82" t="str">
        <f t="shared" si="1"/>
        <v/>
      </c>
      <c r="AX1874" s="83" t="str">
        <f t="array" ref="AX1874">IFERROR(DGET('SBV Import'!A:G,"SBV",{"RSC ID","Tier";B1874,A1874}))</f>
        <v/>
      </c>
      <c r="AY1874" s="82" t="str">
        <f t="shared" si="2"/>
        <v/>
      </c>
      <c r="AZ1874" s="82"/>
      <c r="BA1874" s="84" t="s">
        <v>152</v>
      </c>
      <c r="BB1874" s="84" t="str">
        <f>IFERROR(__xludf.DUMMYFUNCTION("iferror(if(A1874="""",,E1874&gt;=FILTER(Constants!$F$2:$F$10,Constants!$A$2:$A$10=A1874)))"),"")</f>
        <v/>
      </c>
    </row>
    <row r="1875">
      <c r="A1875" s="89"/>
      <c r="B1875" s="87"/>
      <c r="C1875" s="73"/>
      <c r="D1875" s="73"/>
      <c r="E1875" s="82"/>
      <c r="F1875" s="82"/>
      <c r="G1875" s="86"/>
      <c r="H1875" s="86"/>
      <c r="I1875" s="86"/>
      <c r="J1875" s="82"/>
      <c r="K1875" s="82"/>
      <c r="L1875" s="82"/>
      <c r="M1875" s="82"/>
      <c r="N1875" s="82"/>
      <c r="O1875" s="82"/>
      <c r="P1875" s="82"/>
      <c r="Q1875" s="82"/>
      <c r="R1875" s="82"/>
      <c r="S1875" s="82"/>
      <c r="T1875" s="82"/>
      <c r="U1875" s="82"/>
      <c r="V1875" s="82"/>
      <c r="W1875" s="82"/>
      <c r="X1875" s="82"/>
      <c r="Y1875" s="82"/>
      <c r="Z1875" s="82"/>
      <c r="AA1875" s="82"/>
      <c r="AB1875" s="82"/>
      <c r="AC1875" s="82"/>
      <c r="AD1875" s="82"/>
      <c r="AE1875" s="82"/>
      <c r="AF1875" s="82"/>
      <c r="AG1875" s="82"/>
      <c r="AH1875" s="82"/>
      <c r="AI1875" s="82"/>
      <c r="AJ1875" s="82"/>
      <c r="AK1875" s="82"/>
      <c r="AL1875" s="82"/>
      <c r="AM1875" s="82"/>
      <c r="AN1875" s="82">
        <f>IFERROR(__xludf.DUMMYFUNCTION("""COMPUTED_VALUE"""),0.0)</f>
        <v>0</v>
      </c>
      <c r="AO1875" s="82">
        <f>IFERROR(__xludf.DUMMYFUNCTION("""COMPUTED_VALUE"""),0.0)</f>
        <v>0</v>
      </c>
      <c r="AP1875" s="82">
        <f>IFERROR(__xludf.DUMMYFUNCTION("""COMPUTED_VALUE"""),0.0)</f>
        <v>0</v>
      </c>
      <c r="AQ1875" s="82">
        <f>IFERROR(__xludf.DUMMYFUNCTION("""COMPUTED_VALUE"""),0.0)</f>
        <v>0</v>
      </c>
      <c r="AR1875" s="82">
        <f>IFERROR(__xludf.DUMMYFUNCTION("""COMPUTED_VALUE"""),0.0)</f>
        <v>0</v>
      </c>
      <c r="AS1875" s="82"/>
      <c r="AT1875" s="82">
        <f>IFERROR(__xludf.DUMMYFUNCTION("""COMPUTED_VALUE"""),0.0)</f>
        <v>0</v>
      </c>
      <c r="AU1875" s="82"/>
      <c r="AV1875" s="82"/>
      <c r="AW1875" s="82" t="str">
        <f t="shared" si="1"/>
        <v/>
      </c>
      <c r="AX1875" s="83" t="str">
        <f t="array" ref="AX1875">IFERROR(DGET('SBV Import'!A:G,"SBV",{"RSC ID","Tier";B1875,A1875}))</f>
        <v/>
      </c>
      <c r="AY1875" s="82" t="str">
        <f t="shared" si="2"/>
        <v/>
      </c>
      <c r="AZ1875" s="82"/>
      <c r="BA1875" s="84" t="s">
        <v>152</v>
      </c>
      <c r="BB1875" s="84" t="str">
        <f>IFERROR(__xludf.DUMMYFUNCTION("iferror(if(A1875="""",,E1875&gt;=FILTER(Constants!$F$2:$F$10,Constants!$A$2:$A$10=A1875)))"),"")</f>
        <v/>
      </c>
    </row>
    <row r="1876">
      <c r="A1876" s="89"/>
      <c r="B1876" s="87"/>
      <c r="C1876" s="73"/>
      <c r="D1876" s="73"/>
      <c r="E1876" s="82"/>
      <c r="F1876" s="82"/>
      <c r="G1876" s="86"/>
      <c r="H1876" s="86"/>
      <c r="I1876" s="86"/>
      <c r="J1876" s="82"/>
      <c r="K1876" s="82"/>
      <c r="L1876" s="82"/>
      <c r="M1876" s="82"/>
      <c r="N1876" s="82"/>
      <c r="O1876" s="82"/>
      <c r="P1876" s="82"/>
      <c r="Q1876" s="82"/>
      <c r="R1876" s="82"/>
      <c r="S1876" s="82"/>
      <c r="T1876" s="82"/>
      <c r="U1876" s="82"/>
      <c r="V1876" s="82"/>
      <c r="W1876" s="82"/>
      <c r="X1876" s="82"/>
      <c r="Y1876" s="82"/>
      <c r="Z1876" s="82"/>
      <c r="AA1876" s="82"/>
      <c r="AB1876" s="82"/>
      <c r="AC1876" s="82"/>
      <c r="AD1876" s="82"/>
      <c r="AE1876" s="82"/>
      <c r="AF1876" s="82"/>
      <c r="AG1876" s="82"/>
      <c r="AH1876" s="82"/>
      <c r="AI1876" s="82"/>
      <c r="AJ1876" s="82"/>
      <c r="AK1876" s="82"/>
      <c r="AL1876" s="82"/>
      <c r="AM1876" s="82"/>
      <c r="AN1876" s="82">
        <f>IFERROR(__xludf.DUMMYFUNCTION("""COMPUTED_VALUE"""),0.0)</f>
        <v>0</v>
      </c>
      <c r="AO1876" s="82">
        <f>IFERROR(__xludf.DUMMYFUNCTION("""COMPUTED_VALUE"""),0.0)</f>
        <v>0</v>
      </c>
      <c r="AP1876" s="82">
        <f>IFERROR(__xludf.DUMMYFUNCTION("""COMPUTED_VALUE"""),0.0)</f>
        <v>0</v>
      </c>
      <c r="AQ1876" s="82">
        <f>IFERROR(__xludf.DUMMYFUNCTION("""COMPUTED_VALUE"""),0.0)</f>
        <v>0</v>
      </c>
      <c r="AR1876" s="82">
        <f>IFERROR(__xludf.DUMMYFUNCTION("""COMPUTED_VALUE"""),0.0)</f>
        <v>0</v>
      </c>
      <c r="AS1876" s="82"/>
      <c r="AT1876" s="82">
        <f>IFERROR(__xludf.DUMMYFUNCTION("""COMPUTED_VALUE"""),0.0)</f>
        <v>0</v>
      </c>
      <c r="AU1876" s="82"/>
      <c r="AV1876" s="82"/>
      <c r="AW1876" s="82" t="str">
        <f t="shared" si="1"/>
        <v/>
      </c>
      <c r="AX1876" s="83" t="str">
        <f t="array" ref="AX1876">IFERROR(DGET('SBV Import'!A:G,"SBV",{"RSC ID","Tier";B1876,A1876}))</f>
        <v/>
      </c>
      <c r="AY1876" s="82" t="str">
        <f t="shared" si="2"/>
        <v/>
      </c>
      <c r="AZ1876" s="82"/>
      <c r="BA1876" s="84" t="s">
        <v>152</v>
      </c>
      <c r="BB1876" s="84" t="str">
        <f>IFERROR(__xludf.DUMMYFUNCTION("iferror(if(A1876="""",,E1876&gt;=FILTER(Constants!$F$2:$F$10,Constants!$A$2:$A$10=A1876)))"),"")</f>
        <v/>
      </c>
    </row>
    <row r="1877">
      <c r="A1877" s="89"/>
      <c r="B1877" s="87"/>
      <c r="C1877" s="73"/>
      <c r="D1877" s="73"/>
      <c r="E1877" s="82"/>
      <c r="F1877" s="82"/>
      <c r="G1877" s="86"/>
      <c r="H1877" s="86"/>
      <c r="I1877" s="86"/>
      <c r="J1877" s="82"/>
      <c r="K1877" s="82"/>
      <c r="L1877" s="82"/>
      <c r="M1877" s="82"/>
      <c r="N1877" s="82"/>
      <c r="O1877" s="82"/>
      <c r="P1877" s="82"/>
      <c r="Q1877" s="82"/>
      <c r="R1877" s="82"/>
      <c r="S1877" s="82"/>
      <c r="T1877" s="82"/>
      <c r="U1877" s="82"/>
      <c r="V1877" s="82"/>
      <c r="W1877" s="82"/>
      <c r="X1877" s="82"/>
      <c r="Y1877" s="82"/>
      <c r="Z1877" s="82"/>
      <c r="AA1877" s="82"/>
      <c r="AB1877" s="82"/>
      <c r="AC1877" s="82"/>
      <c r="AD1877" s="82"/>
      <c r="AE1877" s="82"/>
      <c r="AF1877" s="82"/>
      <c r="AG1877" s="82"/>
      <c r="AH1877" s="82"/>
      <c r="AI1877" s="82"/>
      <c r="AJ1877" s="82"/>
      <c r="AK1877" s="82"/>
      <c r="AL1877" s="82"/>
      <c r="AM1877" s="82"/>
      <c r="AN1877" s="82">
        <f>IFERROR(__xludf.DUMMYFUNCTION("""COMPUTED_VALUE"""),0.0)</f>
        <v>0</v>
      </c>
      <c r="AO1877" s="82">
        <f>IFERROR(__xludf.DUMMYFUNCTION("""COMPUTED_VALUE"""),0.0)</f>
        <v>0</v>
      </c>
      <c r="AP1877" s="82">
        <f>IFERROR(__xludf.DUMMYFUNCTION("""COMPUTED_VALUE"""),0.0)</f>
        <v>0</v>
      </c>
      <c r="AQ1877" s="82">
        <f>IFERROR(__xludf.DUMMYFUNCTION("""COMPUTED_VALUE"""),0.0)</f>
        <v>0</v>
      </c>
      <c r="AR1877" s="82">
        <f>IFERROR(__xludf.DUMMYFUNCTION("""COMPUTED_VALUE"""),0.0)</f>
        <v>0</v>
      </c>
      <c r="AS1877" s="82"/>
      <c r="AT1877" s="82">
        <f>IFERROR(__xludf.DUMMYFUNCTION("""COMPUTED_VALUE"""),0.0)</f>
        <v>0</v>
      </c>
      <c r="AU1877" s="82"/>
      <c r="AV1877" s="82"/>
      <c r="AW1877" s="82" t="str">
        <f t="shared" si="1"/>
        <v/>
      </c>
      <c r="AX1877" s="83" t="str">
        <f t="array" ref="AX1877">IFERROR(DGET('SBV Import'!A:G,"SBV",{"RSC ID","Tier";B1877,A1877}))</f>
        <v/>
      </c>
      <c r="AY1877" s="82" t="str">
        <f t="shared" si="2"/>
        <v/>
      </c>
      <c r="AZ1877" s="82"/>
      <c r="BA1877" s="84" t="s">
        <v>152</v>
      </c>
      <c r="BB1877" s="84" t="str">
        <f>IFERROR(__xludf.DUMMYFUNCTION("iferror(if(A1877="""",,E1877&gt;=FILTER(Constants!$F$2:$F$10,Constants!$A$2:$A$10=A1877)))"),"")</f>
        <v/>
      </c>
    </row>
    <row r="1878">
      <c r="A1878" s="89"/>
      <c r="B1878" s="87"/>
      <c r="C1878" s="73"/>
      <c r="D1878" s="73"/>
      <c r="E1878" s="82"/>
      <c r="F1878" s="82"/>
      <c r="G1878" s="86"/>
      <c r="H1878" s="86"/>
      <c r="I1878" s="86"/>
      <c r="J1878" s="82"/>
      <c r="K1878" s="82"/>
      <c r="L1878" s="82"/>
      <c r="M1878" s="82"/>
      <c r="N1878" s="82"/>
      <c r="O1878" s="82"/>
      <c r="P1878" s="82"/>
      <c r="Q1878" s="82"/>
      <c r="R1878" s="82"/>
      <c r="S1878" s="82"/>
      <c r="T1878" s="82"/>
      <c r="U1878" s="82"/>
      <c r="V1878" s="82"/>
      <c r="W1878" s="82"/>
      <c r="X1878" s="82"/>
      <c r="Y1878" s="82"/>
      <c r="Z1878" s="82"/>
      <c r="AA1878" s="82"/>
      <c r="AB1878" s="82"/>
      <c r="AC1878" s="82"/>
      <c r="AD1878" s="82"/>
      <c r="AE1878" s="82"/>
      <c r="AF1878" s="82"/>
      <c r="AG1878" s="82"/>
      <c r="AH1878" s="82"/>
      <c r="AI1878" s="82"/>
      <c r="AJ1878" s="82"/>
      <c r="AK1878" s="82"/>
      <c r="AL1878" s="82"/>
      <c r="AM1878" s="82"/>
      <c r="AN1878" s="82">
        <f>IFERROR(__xludf.DUMMYFUNCTION("""COMPUTED_VALUE"""),0.0)</f>
        <v>0</v>
      </c>
      <c r="AO1878" s="82">
        <f>IFERROR(__xludf.DUMMYFUNCTION("""COMPUTED_VALUE"""),0.0)</f>
        <v>0</v>
      </c>
      <c r="AP1878" s="82">
        <f>IFERROR(__xludf.DUMMYFUNCTION("""COMPUTED_VALUE"""),0.0)</f>
        <v>0</v>
      </c>
      <c r="AQ1878" s="82">
        <f>IFERROR(__xludf.DUMMYFUNCTION("""COMPUTED_VALUE"""),0.0)</f>
        <v>0</v>
      </c>
      <c r="AR1878" s="82">
        <f>IFERROR(__xludf.DUMMYFUNCTION("""COMPUTED_VALUE"""),0.0)</f>
        <v>0</v>
      </c>
      <c r="AS1878" s="82"/>
      <c r="AT1878" s="82">
        <f>IFERROR(__xludf.DUMMYFUNCTION("""COMPUTED_VALUE"""),0.0)</f>
        <v>0</v>
      </c>
      <c r="AU1878" s="82"/>
      <c r="AV1878" s="82"/>
      <c r="AW1878" s="82" t="str">
        <f t="shared" si="1"/>
        <v/>
      </c>
      <c r="AX1878" s="83" t="str">
        <f t="array" ref="AX1878">IFERROR(DGET('SBV Import'!A:G,"SBV",{"RSC ID","Tier";B1878,A1878}))</f>
        <v/>
      </c>
      <c r="AY1878" s="82" t="str">
        <f t="shared" si="2"/>
        <v/>
      </c>
      <c r="AZ1878" s="82"/>
      <c r="BA1878" s="84" t="s">
        <v>152</v>
      </c>
      <c r="BB1878" s="84" t="str">
        <f>IFERROR(__xludf.DUMMYFUNCTION("iferror(if(A1878="""",,E1878&gt;=FILTER(Constants!$F$2:$F$10,Constants!$A$2:$A$10=A1878)))"),"")</f>
        <v/>
      </c>
    </row>
    <row r="1879">
      <c r="A1879" s="89"/>
      <c r="B1879" s="87"/>
      <c r="C1879" s="73"/>
      <c r="D1879" s="73"/>
      <c r="E1879" s="82"/>
      <c r="F1879" s="82"/>
      <c r="G1879" s="86"/>
      <c r="H1879" s="86"/>
      <c r="I1879" s="86"/>
      <c r="J1879" s="82"/>
      <c r="K1879" s="82"/>
      <c r="L1879" s="82"/>
      <c r="M1879" s="82"/>
      <c r="N1879" s="82"/>
      <c r="O1879" s="82"/>
      <c r="P1879" s="82"/>
      <c r="Q1879" s="82"/>
      <c r="R1879" s="82"/>
      <c r="S1879" s="82"/>
      <c r="T1879" s="82"/>
      <c r="U1879" s="82"/>
      <c r="V1879" s="82"/>
      <c r="W1879" s="82"/>
      <c r="X1879" s="82"/>
      <c r="Y1879" s="82"/>
      <c r="Z1879" s="82"/>
      <c r="AA1879" s="82"/>
      <c r="AB1879" s="82"/>
      <c r="AC1879" s="82"/>
      <c r="AD1879" s="82"/>
      <c r="AE1879" s="82"/>
      <c r="AF1879" s="82"/>
      <c r="AG1879" s="82"/>
      <c r="AH1879" s="82"/>
      <c r="AI1879" s="82"/>
      <c r="AJ1879" s="82"/>
      <c r="AK1879" s="82"/>
      <c r="AL1879" s="82"/>
      <c r="AM1879" s="82"/>
      <c r="AN1879" s="82">
        <f>IFERROR(__xludf.DUMMYFUNCTION("""COMPUTED_VALUE"""),0.0)</f>
        <v>0</v>
      </c>
      <c r="AO1879" s="82">
        <f>IFERROR(__xludf.DUMMYFUNCTION("""COMPUTED_VALUE"""),0.0)</f>
        <v>0</v>
      </c>
      <c r="AP1879" s="82">
        <f>IFERROR(__xludf.DUMMYFUNCTION("""COMPUTED_VALUE"""),0.0)</f>
        <v>0</v>
      </c>
      <c r="AQ1879" s="82">
        <f>IFERROR(__xludf.DUMMYFUNCTION("""COMPUTED_VALUE"""),0.0)</f>
        <v>0</v>
      </c>
      <c r="AR1879" s="82">
        <f>IFERROR(__xludf.DUMMYFUNCTION("""COMPUTED_VALUE"""),0.0)</f>
        <v>0</v>
      </c>
      <c r="AS1879" s="82"/>
      <c r="AT1879" s="82">
        <f>IFERROR(__xludf.DUMMYFUNCTION("""COMPUTED_VALUE"""),0.0)</f>
        <v>0</v>
      </c>
      <c r="AU1879" s="82"/>
      <c r="AV1879" s="82"/>
      <c r="AW1879" s="82" t="str">
        <f t="shared" si="1"/>
        <v/>
      </c>
      <c r="AX1879" s="83" t="str">
        <f t="array" ref="AX1879">IFERROR(DGET('SBV Import'!A:G,"SBV",{"RSC ID","Tier";B1879,A1879}))</f>
        <v/>
      </c>
      <c r="AY1879" s="82" t="str">
        <f t="shared" si="2"/>
        <v/>
      </c>
      <c r="AZ1879" s="82"/>
      <c r="BA1879" s="84" t="s">
        <v>152</v>
      </c>
      <c r="BB1879" s="84" t="str">
        <f>IFERROR(__xludf.DUMMYFUNCTION("iferror(if(A1879="""",,E1879&gt;=FILTER(Constants!$F$2:$F$10,Constants!$A$2:$A$10=A1879)))"),"")</f>
        <v/>
      </c>
    </row>
    <row r="1880">
      <c r="A1880" s="89"/>
      <c r="B1880" s="87"/>
      <c r="C1880" s="73"/>
      <c r="D1880" s="73"/>
      <c r="E1880" s="82"/>
      <c r="F1880" s="82"/>
      <c r="G1880" s="86"/>
      <c r="H1880" s="86"/>
      <c r="I1880" s="86"/>
      <c r="J1880" s="82"/>
      <c r="K1880" s="82"/>
      <c r="L1880" s="82"/>
      <c r="M1880" s="82"/>
      <c r="N1880" s="82"/>
      <c r="O1880" s="82"/>
      <c r="P1880" s="82"/>
      <c r="Q1880" s="82"/>
      <c r="R1880" s="82"/>
      <c r="S1880" s="82"/>
      <c r="T1880" s="82"/>
      <c r="U1880" s="82"/>
      <c r="V1880" s="82"/>
      <c r="W1880" s="82"/>
      <c r="X1880" s="82"/>
      <c r="Y1880" s="82"/>
      <c r="Z1880" s="82"/>
      <c r="AA1880" s="82"/>
      <c r="AB1880" s="82"/>
      <c r="AC1880" s="82"/>
      <c r="AD1880" s="82"/>
      <c r="AE1880" s="82"/>
      <c r="AF1880" s="82"/>
      <c r="AG1880" s="82"/>
      <c r="AH1880" s="82"/>
      <c r="AI1880" s="82"/>
      <c r="AJ1880" s="82"/>
      <c r="AK1880" s="82"/>
      <c r="AL1880" s="82"/>
      <c r="AM1880" s="82"/>
      <c r="AN1880" s="82">
        <f>IFERROR(__xludf.DUMMYFUNCTION("""COMPUTED_VALUE"""),0.0)</f>
        <v>0</v>
      </c>
      <c r="AO1880" s="82">
        <f>IFERROR(__xludf.DUMMYFUNCTION("""COMPUTED_VALUE"""),0.0)</f>
        <v>0</v>
      </c>
      <c r="AP1880" s="82">
        <f>IFERROR(__xludf.DUMMYFUNCTION("""COMPUTED_VALUE"""),0.0)</f>
        <v>0</v>
      </c>
      <c r="AQ1880" s="82">
        <f>IFERROR(__xludf.DUMMYFUNCTION("""COMPUTED_VALUE"""),0.0)</f>
        <v>0</v>
      </c>
      <c r="AR1880" s="82">
        <f>IFERROR(__xludf.DUMMYFUNCTION("""COMPUTED_VALUE"""),0.0)</f>
        <v>0</v>
      </c>
      <c r="AS1880" s="82"/>
      <c r="AT1880" s="82">
        <f>IFERROR(__xludf.DUMMYFUNCTION("""COMPUTED_VALUE"""),0.0)</f>
        <v>0</v>
      </c>
      <c r="AU1880" s="82"/>
      <c r="AV1880" s="82"/>
      <c r="AW1880" s="82" t="str">
        <f t="shared" si="1"/>
        <v/>
      </c>
      <c r="AX1880" s="83" t="str">
        <f t="array" ref="AX1880">IFERROR(DGET('SBV Import'!A:G,"SBV",{"RSC ID","Tier";B1880,A1880}))</f>
        <v/>
      </c>
      <c r="AY1880" s="82" t="str">
        <f t="shared" si="2"/>
        <v/>
      </c>
      <c r="AZ1880" s="82"/>
      <c r="BA1880" s="84" t="s">
        <v>152</v>
      </c>
      <c r="BB1880" s="84" t="str">
        <f>IFERROR(__xludf.DUMMYFUNCTION("iferror(if(A1880="""",,E1880&gt;=FILTER(Constants!$F$2:$F$10,Constants!$A$2:$A$10=A1880)))"),"")</f>
        <v/>
      </c>
    </row>
    <row r="1881">
      <c r="A1881" s="89"/>
      <c r="B1881" s="87"/>
      <c r="C1881" s="73"/>
      <c r="D1881" s="73"/>
      <c r="E1881" s="82"/>
      <c r="F1881" s="82"/>
      <c r="G1881" s="86"/>
      <c r="H1881" s="86"/>
      <c r="I1881" s="86"/>
      <c r="J1881" s="82"/>
      <c r="K1881" s="82"/>
      <c r="L1881" s="82"/>
      <c r="M1881" s="82"/>
      <c r="N1881" s="82"/>
      <c r="O1881" s="82"/>
      <c r="P1881" s="82"/>
      <c r="Q1881" s="82"/>
      <c r="R1881" s="82"/>
      <c r="S1881" s="82"/>
      <c r="T1881" s="82"/>
      <c r="U1881" s="82"/>
      <c r="V1881" s="82"/>
      <c r="W1881" s="82"/>
      <c r="X1881" s="82"/>
      <c r="Y1881" s="82"/>
      <c r="Z1881" s="82"/>
      <c r="AA1881" s="82"/>
      <c r="AB1881" s="82"/>
      <c r="AC1881" s="82"/>
      <c r="AD1881" s="82"/>
      <c r="AE1881" s="82"/>
      <c r="AF1881" s="82"/>
      <c r="AG1881" s="82"/>
      <c r="AH1881" s="82"/>
      <c r="AI1881" s="82"/>
      <c r="AJ1881" s="82"/>
      <c r="AK1881" s="82"/>
      <c r="AL1881" s="82"/>
      <c r="AM1881" s="82"/>
      <c r="AN1881" s="82">
        <f>IFERROR(__xludf.DUMMYFUNCTION("""COMPUTED_VALUE"""),0.0)</f>
        <v>0</v>
      </c>
      <c r="AO1881" s="82">
        <f>IFERROR(__xludf.DUMMYFUNCTION("""COMPUTED_VALUE"""),0.0)</f>
        <v>0</v>
      </c>
      <c r="AP1881" s="82">
        <f>IFERROR(__xludf.DUMMYFUNCTION("""COMPUTED_VALUE"""),0.0)</f>
        <v>0</v>
      </c>
      <c r="AQ1881" s="82">
        <f>IFERROR(__xludf.DUMMYFUNCTION("""COMPUTED_VALUE"""),0.0)</f>
        <v>0</v>
      </c>
      <c r="AR1881" s="82">
        <f>IFERROR(__xludf.DUMMYFUNCTION("""COMPUTED_VALUE"""),0.0)</f>
        <v>0</v>
      </c>
      <c r="AS1881" s="82"/>
      <c r="AT1881" s="82">
        <f>IFERROR(__xludf.DUMMYFUNCTION("""COMPUTED_VALUE"""),0.0)</f>
        <v>0</v>
      </c>
      <c r="AU1881" s="82"/>
      <c r="AV1881" s="82"/>
      <c r="AW1881" s="82" t="str">
        <f t="shared" si="1"/>
        <v/>
      </c>
      <c r="AX1881" s="83" t="str">
        <f t="array" ref="AX1881">IFERROR(DGET('SBV Import'!A:G,"SBV",{"RSC ID","Tier";B1881,A1881}))</f>
        <v/>
      </c>
      <c r="AY1881" s="82" t="str">
        <f t="shared" si="2"/>
        <v/>
      </c>
      <c r="AZ1881" s="82"/>
      <c r="BA1881" s="84" t="s">
        <v>152</v>
      </c>
      <c r="BB1881" s="84" t="str">
        <f>IFERROR(__xludf.DUMMYFUNCTION("iferror(if(A1881="""",,E1881&gt;=FILTER(Constants!$F$2:$F$10,Constants!$A$2:$A$10=A1881)))"),"")</f>
        <v/>
      </c>
    </row>
    <row r="1882">
      <c r="A1882" s="89"/>
      <c r="B1882" s="87"/>
      <c r="C1882" s="73"/>
      <c r="D1882" s="73"/>
      <c r="E1882" s="82"/>
      <c r="F1882" s="82"/>
      <c r="G1882" s="86"/>
      <c r="H1882" s="86"/>
      <c r="I1882" s="86"/>
      <c r="J1882" s="82"/>
      <c r="K1882" s="82"/>
      <c r="L1882" s="82"/>
      <c r="M1882" s="82"/>
      <c r="N1882" s="82"/>
      <c r="O1882" s="82"/>
      <c r="P1882" s="82"/>
      <c r="Q1882" s="82"/>
      <c r="R1882" s="82"/>
      <c r="S1882" s="82"/>
      <c r="T1882" s="82"/>
      <c r="U1882" s="82"/>
      <c r="V1882" s="82"/>
      <c r="W1882" s="82"/>
      <c r="X1882" s="82"/>
      <c r="Y1882" s="82"/>
      <c r="Z1882" s="82"/>
      <c r="AA1882" s="82"/>
      <c r="AB1882" s="82"/>
      <c r="AC1882" s="82"/>
      <c r="AD1882" s="82"/>
      <c r="AE1882" s="82"/>
      <c r="AF1882" s="82"/>
      <c r="AG1882" s="82"/>
      <c r="AH1882" s="82"/>
      <c r="AI1882" s="82"/>
      <c r="AJ1882" s="82"/>
      <c r="AK1882" s="82"/>
      <c r="AL1882" s="82"/>
      <c r="AM1882" s="82"/>
      <c r="AN1882" s="82">
        <f>IFERROR(__xludf.DUMMYFUNCTION("""COMPUTED_VALUE"""),0.0)</f>
        <v>0</v>
      </c>
      <c r="AO1882" s="82">
        <f>IFERROR(__xludf.DUMMYFUNCTION("""COMPUTED_VALUE"""),0.0)</f>
        <v>0</v>
      </c>
      <c r="AP1882" s="82">
        <f>IFERROR(__xludf.DUMMYFUNCTION("""COMPUTED_VALUE"""),0.0)</f>
        <v>0</v>
      </c>
      <c r="AQ1882" s="82">
        <f>IFERROR(__xludf.DUMMYFUNCTION("""COMPUTED_VALUE"""),0.0)</f>
        <v>0</v>
      </c>
      <c r="AR1882" s="82">
        <f>IFERROR(__xludf.DUMMYFUNCTION("""COMPUTED_VALUE"""),0.0)</f>
        <v>0</v>
      </c>
      <c r="AS1882" s="82"/>
      <c r="AT1882" s="82">
        <f>IFERROR(__xludf.DUMMYFUNCTION("""COMPUTED_VALUE"""),0.0)</f>
        <v>0</v>
      </c>
      <c r="AU1882" s="82"/>
      <c r="AV1882" s="82"/>
      <c r="AW1882" s="82" t="str">
        <f t="shared" si="1"/>
        <v/>
      </c>
      <c r="AX1882" s="83" t="str">
        <f t="array" ref="AX1882">IFERROR(DGET('SBV Import'!A:G,"SBV",{"RSC ID","Tier";B1882,A1882}))</f>
        <v/>
      </c>
      <c r="AY1882" s="82" t="str">
        <f t="shared" si="2"/>
        <v/>
      </c>
      <c r="AZ1882" s="82"/>
      <c r="BA1882" s="84" t="s">
        <v>152</v>
      </c>
      <c r="BB1882" s="84" t="str">
        <f>IFERROR(__xludf.DUMMYFUNCTION("iferror(if(A1882="""",,E1882&gt;=FILTER(Constants!$F$2:$F$10,Constants!$A$2:$A$10=A1882)))"),"")</f>
        <v/>
      </c>
    </row>
    <row r="1883">
      <c r="A1883" s="89"/>
      <c r="B1883" s="87"/>
      <c r="C1883" s="73"/>
      <c r="D1883" s="73"/>
      <c r="E1883" s="82"/>
      <c r="F1883" s="82"/>
      <c r="G1883" s="86"/>
      <c r="H1883" s="86"/>
      <c r="I1883" s="86"/>
      <c r="J1883" s="82"/>
      <c r="K1883" s="82"/>
      <c r="L1883" s="82"/>
      <c r="M1883" s="82"/>
      <c r="N1883" s="82"/>
      <c r="O1883" s="82"/>
      <c r="P1883" s="82"/>
      <c r="Q1883" s="82"/>
      <c r="R1883" s="82"/>
      <c r="S1883" s="82"/>
      <c r="T1883" s="82"/>
      <c r="U1883" s="82"/>
      <c r="V1883" s="82"/>
      <c r="W1883" s="82"/>
      <c r="X1883" s="82"/>
      <c r="Y1883" s="82"/>
      <c r="Z1883" s="82"/>
      <c r="AA1883" s="82"/>
      <c r="AB1883" s="82"/>
      <c r="AC1883" s="82"/>
      <c r="AD1883" s="82"/>
      <c r="AE1883" s="82"/>
      <c r="AF1883" s="82"/>
      <c r="AG1883" s="82"/>
      <c r="AH1883" s="82"/>
      <c r="AI1883" s="82"/>
      <c r="AJ1883" s="82"/>
      <c r="AK1883" s="82"/>
      <c r="AL1883" s="82"/>
      <c r="AM1883" s="82"/>
      <c r="AN1883" s="82">
        <f>IFERROR(__xludf.DUMMYFUNCTION("""COMPUTED_VALUE"""),0.0)</f>
        <v>0</v>
      </c>
      <c r="AO1883" s="82">
        <f>IFERROR(__xludf.DUMMYFUNCTION("""COMPUTED_VALUE"""),0.0)</f>
        <v>0</v>
      </c>
      <c r="AP1883" s="82">
        <f>IFERROR(__xludf.DUMMYFUNCTION("""COMPUTED_VALUE"""),0.0)</f>
        <v>0</v>
      </c>
      <c r="AQ1883" s="82">
        <f>IFERROR(__xludf.DUMMYFUNCTION("""COMPUTED_VALUE"""),0.0)</f>
        <v>0</v>
      </c>
      <c r="AR1883" s="82">
        <f>IFERROR(__xludf.DUMMYFUNCTION("""COMPUTED_VALUE"""),0.0)</f>
        <v>0</v>
      </c>
      <c r="AS1883" s="82"/>
      <c r="AT1883" s="82">
        <f>IFERROR(__xludf.DUMMYFUNCTION("""COMPUTED_VALUE"""),0.0)</f>
        <v>0</v>
      </c>
      <c r="AU1883" s="82"/>
      <c r="AV1883" s="82"/>
      <c r="AW1883" s="82" t="str">
        <f t="shared" si="1"/>
        <v/>
      </c>
      <c r="AX1883" s="83" t="str">
        <f t="array" ref="AX1883">IFERROR(DGET('SBV Import'!A:G,"SBV",{"RSC ID","Tier";B1883,A1883}))</f>
        <v/>
      </c>
      <c r="AY1883" s="82" t="str">
        <f t="shared" si="2"/>
        <v/>
      </c>
      <c r="AZ1883" s="82"/>
      <c r="BA1883" s="84" t="s">
        <v>152</v>
      </c>
      <c r="BB1883" s="84" t="str">
        <f>IFERROR(__xludf.DUMMYFUNCTION("iferror(if(A1883="""",,E1883&gt;=FILTER(Constants!$F$2:$F$10,Constants!$A$2:$A$10=A1883)))"),"")</f>
        <v/>
      </c>
    </row>
    <row r="1884">
      <c r="A1884" s="89"/>
      <c r="B1884" s="87"/>
      <c r="C1884" s="73"/>
      <c r="D1884" s="73"/>
      <c r="E1884" s="82"/>
      <c r="F1884" s="82"/>
      <c r="G1884" s="86"/>
      <c r="H1884" s="86"/>
      <c r="I1884" s="86"/>
      <c r="J1884" s="82"/>
      <c r="K1884" s="82"/>
      <c r="L1884" s="82"/>
      <c r="M1884" s="82"/>
      <c r="N1884" s="82"/>
      <c r="O1884" s="82"/>
      <c r="P1884" s="82"/>
      <c r="Q1884" s="82"/>
      <c r="R1884" s="82"/>
      <c r="S1884" s="82"/>
      <c r="T1884" s="82"/>
      <c r="U1884" s="82"/>
      <c r="V1884" s="82"/>
      <c r="W1884" s="82"/>
      <c r="X1884" s="82"/>
      <c r="Y1884" s="82"/>
      <c r="Z1884" s="82"/>
      <c r="AA1884" s="82"/>
      <c r="AB1884" s="82"/>
      <c r="AC1884" s="82"/>
      <c r="AD1884" s="82"/>
      <c r="AE1884" s="82"/>
      <c r="AF1884" s="82"/>
      <c r="AG1884" s="82"/>
      <c r="AH1884" s="82"/>
      <c r="AI1884" s="82"/>
      <c r="AJ1884" s="82"/>
      <c r="AK1884" s="82"/>
      <c r="AL1884" s="82"/>
      <c r="AM1884" s="82"/>
      <c r="AN1884" s="82">
        <f>IFERROR(__xludf.DUMMYFUNCTION("""COMPUTED_VALUE"""),0.0)</f>
        <v>0</v>
      </c>
      <c r="AO1884" s="82">
        <f>IFERROR(__xludf.DUMMYFUNCTION("""COMPUTED_VALUE"""),0.0)</f>
        <v>0</v>
      </c>
      <c r="AP1884" s="82">
        <f>IFERROR(__xludf.DUMMYFUNCTION("""COMPUTED_VALUE"""),0.0)</f>
        <v>0</v>
      </c>
      <c r="AQ1884" s="82">
        <f>IFERROR(__xludf.DUMMYFUNCTION("""COMPUTED_VALUE"""),0.0)</f>
        <v>0</v>
      </c>
      <c r="AR1884" s="82">
        <f>IFERROR(__xludf.DUMMYFUNCTION("""COMPUTED_VALUE"""),0.0)</f>
        <v>0</v>
      </c>
      <c r="AS1884" s="82"/>
      <c r="AT1884" s="82">
        <f>IFERROR(__xludf.DUMMYFUNCTION("""COMPUTED_VALUE"""),0.0)</f>
        <v>0</v>
      </c>
      <c r="AU1884" s="82"/>
      <c r="AV1884" s="82"/>
      <c r="AW1884" s="82" t="str">
        <f t="shared" si="1"/>
        <v/>
      </c>
      <c r="AX1884" s="83" t="str">
        <f t="array" ref="AX1884">IFERROR(DGET('SBV Import'!A:G,"SBV",{"RSC ID","Tier";B1884,A1884}))</f>
        <v/>
      </c>
      <c r="AY1884" s="82" t="str">
        <f t="shared" si="2"/>
        <v/>
      </c>
      <c r="AZ1884" s="82"/>
      <c r="BA1884" s="84" t="s">
        <v>152</v>
      </c>
      <c r="BB1884" s="84" t="str">
        <f>IFERROR(__xludf.DUMMYFUNCTION("iferror(if(A1884="""",,E1884&gt;=FILTER(Constants!$F$2:$F$10,Constants!$A$2:$A$10=A1884)))"),"")</f>
        <v/>
      </c>
    </row>
    <row r="1885">
      <c r="A1885" s="89"/>
      <c r="B1885" s="87"/>
      <c r="C1885" s="73"/>
      <c r="D1885" s="73"/>
      <c r="E1885" s="82"/>
      <c r="F1885" s="82"/>
      <c r="G1885" s="86"/>
      <c r="H1885" s="86"/>
      <c r="I1885" s="86"/>
      <c r="J1885" s="82"/>
      <c r="K1885" s="82"/>
      <c r="L1885" s="82"/>
      <c r="M1885" s="82"/>
      <c r="N1885" s="82"/>
      <c r="O1885" s="82"/>
      <c r="P1885" s="82"/>
      <c r="Q1885" s="82"/>
      <c r="R1885" s="82"/>
      <c r="S1885" s="82"/>
      <c r="T1885" s="82"/>
      <c r="U1885" s="82"/>
      <c r="V1885" s="82"/>
      <c r="W1885" s="82"/>
      <c r="X1885" s="82"/>
      <c r="Y1885" s="82"/>
      <c r="Z1885" s="82"/>
      <c r="AA1885" s="82"/>
      <c r="AB1885" s="82"/>
      <c r="AC1885" s="82"/>
      <c r="AD1885" s="82"/>
      <c r="AE1885" s="82"/>
      <c r="AF1885" s="82"/>
      <c r="AG1885" s="82"/>
      <c r="AH1885" s="82"/>
      <c r="AI1885" s="82"/>
      <c r="AJ1885" s="82"/>
      <c r="AK1885" s="82"/>
      <c r="AL1885" s="82"/>
      <c r="AM1885" s="82"/>
      <c r="AN1885" s="82">
        <f>IFERROR(__xludf.DUMMYFUNCTION("""COMPUTED_VALUE"""),0.0)</f>
        <v>0</v>
      </c>
      <c r="AO1885" s="82">
        <f>IFERROR(__xludf.DUMMYFUNCTION("""COMPUTED_VALUE"""),0.0)</f>
        <v>0</v>
      </c>
      <c r="AP1885" s="82">
        <f>IFERROR(__xludf.DUMMYFUNCTION("""COMPUTED_VALUE"""),0.0)</f>
        <v>0</v>
      </c>
      <c r="AQ1885" s="82">
        <f>IFERROR(__xludf.DUMMYFUNCTION("""COMPUTED_VALUE"""),0.0)</f>
        <v>0</v>
      </c>
      <c r="AR1885" s="82">
        <f>IFERROR(__xludf.DUMMYFUNCTION("""COMPUTED_VALUE"""),0.0)</f>
        <v>0</v>
      </c>
      <c r="AS1885" s="82"/>
      <c r="AT1885" s="82">
        <f>IFERROR(__xludf.DUMMYFUNCTION("""COMPUTED_VALUE"""),0.0)</f>
        <v>0</v>
      </c>
      <c r="AU1885" s="82"/>
      <c r="AV1885" s="82"/>
      <c r="AW1885" s="82" t="str">
        <f t="shared" si="1"/>
        <v/>
      </c>
      <c r="AX1885" s="83" t="str">
        <f t="array" ref="AX1885">IFERROR(DGET('SBV Import'!A:G,"SBV",{"RSC ID","Tier";B1885,A1885}))</f>
        <v/>
      </c>
      <c r="AY1885" s="82" t="str">
        <f t="shared" si="2"/>
        <v/>
      </c>
      <c r="AZ1885" s="82"/>
      <c r="BA1885" s="84" t="s">
        <v>152</v>
      </c>
      <c r="BB1885" s="84" t="str">
        <f>IFERROR(__xludf.DUMMYFUNCTION("iferror(if(A1885="""",,E1885&gt;=FILTER(Constants!$F$2:$F$10,Constants!$A$2:$A$10=A1885)))"),"")</f>
        <v/>
      </c>
    </row>
    <row r="1886">
      <c r="A1886" s="89"/>
      <c r="B1886" s="87"/>
      <c r="C1886" s="73"/>
      <c r="D1886" s="73"/>
      <c r="E1886" s="82"/>
      <c r="F1886" s="82"/>
      <c r="G1886" s="86"/>
      <c r="H1886" s="86"/>
      <c r="I1886" s="86"/>
      <c r="J1886" s="82"/>
      <c r="K1886" s="82"/>
      <c r="L1886" s="82"/>
      <c r="M1886" s="82"/>
      <c r="N1886" s="82"/>
      <c r="O1886" s="82"/>
      <c r="P1886" s="82"/>
      <c r="Q1886" s="82"/>
      <c r="R1886" s="82"/>
      <c r="S1886" s="82"/>
      <c r="T1886" s="82"/>
      <c r="U1886" s="82"/>
      <c r="V1886" s="82"/>
      <c r="W1886" s="82"/>
      <c r="X1886" s="82"/>
      <c r="Y1886" s="82"/>
      <c r="Z1886" s="82"/>
      <c r="AA1886" s="82"/>
      <c r="AB1886" s="82"/>
      <c r="AC1886" s="82"/>
      <c r="AD1886" s="82"/>
      <c r="AE1886" s="82"/>
      <c r="AF1886" s="82"/>
      <c r="AG1886" s="82"/>
      <c r="AH1886" s="82"/>
      <c r="AI1886" s="82"/>
      <c r="AJ1886" s="82"/>
      <c r="AK1886" s="82"/>
      <c r="AL1886" s="82"/>
      <c r="AM1886" s="82"/>
      <c r="AN1886" s="82">
        <f>IFERROR(__xludf.DUMMYFUNCTION("""COMPUTED_VALUE"""),0.0)</f>
        <v>0</v>
      </c>
      <c r="AO1886" s="82">
        <f>IFERROR(__xludf.DUMMYFUNCTION("""COMPUTED_VALUE"""),0.0)</f>
        <v>0</v>
      </c>
      <c r="AP1886" s="82">
        <f>IFERROR(__xludf.DUMMYFUNCTION("""COMPUTED_VALUE"""),0.0)</f>
        <v>0</v>
      </c>
      <c r="AQ1886" s="82">
        <f>IFERROR(__xludf.DUMMYFUNCTION("""COMPUTED_VALUE"""),0.0)</f>
        <v>0</v>
      </c>
      <c r="AR1886" s="82">
        <f>IFERROR(__xludf.DUMMYFUNCTION("""COMPUTED_VALUE"""),0.0)</f>
        <v>0</v>
      </c>
      <c r="AS1886" s="82"/>
      <c r="AT1886" s="82">
        <f>IFERROR(__xludf.DUMMYFUNCTION("""COMPUTED_VALUE"""),0.0)</f>
        <v>0</v>
      </c>
      <c r="AU1886" s="82"/>
      <c r="AV1886" s="82"/>
      <c r="AW1886" s="82" t="str">
        <f t="shared" si="1"/>
        <v/>
      </c>
      <c r="AX1886" s="83" t="str">
        <f t="array" ref="AX1886">IFERROR(DGET('SBV Import'!A:G,"SBV",{"RSC ID","Tier";B1886,A1886}))</f>
        <v/>
      </c>
      <c r="AY1886" s="82" t="str">
        <f t="shared" si="2"/>
        <v/>
      </c>
      <c r="AZ1886" s="82"/>
      <c r="BA1886" s="84" t="s">
        <v>152</v>
      </c>
      <c r="BB1886" s="84" t="str">
        <f>IFERROR(__xludf.DUMMYFUNCTION("iferror(if(A1886="""",,E1886&gt;=FILTER(Constants!$F$2:$F$10,Constants!$A$2:$A$10=A1886)))"),"")</f>
        <v/>
      </c>
    </row>
    <row r="1887">
      <c r="A1887" s="89"/>
      <c r="B1887" s="87"/>
      <c r="C1887" s="73"/>
      <c r="D1887" s="73"/>
      <c r="E1887" s="82"/>
      <c r="F1887" s="82"/>
      <c r="G1887" s="86"/>
      <c r="H1887" s="86"/>
      <c r="I1887" s="86"/>
      <c r="J1887" s="82"/>
      <c r="K1887" s="82"/>
      <c r="L1887" s="82"/>
      <c r="M1887" s="82"/>
      <c r="N1887" s="82"/>
      <c r="O1887" s="82"/>
      <c r="P1887" s="82"/>
      <c r="Q1887" s="82"/>
      <c r="R1887" s="82"/>
      <c r="S1887" s="82"/>
      <c r="T1887" s="82"/>
      <c r="U1887" s="82"/>
      <c r="V1887" s="82"/>
      <c r="W1887" s="82"/>
      <c r="X1887" s="82"/>
      <c r="Y1887" s="82"/>
      <c r="Z1887" s="82"/>
      <c r="AA1887" s="82"/>
      <c r="AB1887" s="82"/>
      <c r="AC1887" s="82"/>
      <c r="AD1887" s="82"/>
      <c r="AE1887" s="82"/>
      <c r="AF1887" s="82"/>
      <c r="AG1887" s="82"/>
      <c r="AH1887" s="82"/>
      <c r="AI1887" s="82"/>
      <c r="AJ1887" s="82"/>
      <c r="AK1887" s="82"/>
      <c r="AL1887" s="82"/>
      <c r="AM1887" s="82"/>
      <c r="AN1887" s="82">
        <f>IFERROR(__xludf.DUMMYFUNCTION("""COMPUTED_VALUE"""),0.0)</f>
        <v>0</v>
      </c>
      <c r="AO1887" s="82">
        <f>IFERROR(__xludf.DUMMYFUNCTION("""COMPUTED_VALUE"""),0.0)</f>
        <v>0</v>
      </c>
      <c r="AP1887" s="82">
        <f>IFERROR(__xludf.DUMMYFUNCTION("""COMPUTED_VALUE"""),0.0)</f>
        <v>0</v>
      </c>
      <c r="AQ1887" s="82">
        <f>IFERROR(__xludf.DUMMYFUNCTION("""COMPUTED_VALUE"""),0.0)</f>
        <v>0</v>
      </c>
      <c r="AR1887" s="82">
        <f>IFERROR(__xludf.DUMMYFUNCTION("""COMPUTED_VALUE"""),0.0)</f>
        <v>0</v>
      </c>
      <c r="AS1887" s="82"/>
      <c r="AT1887" s="82">
        <f>IFERROR(__xludf.DUMMYFUNCTION("""COMPUTED_VALUE"""),0.0)</f>
        <v>0</v>
      </c>
      <c r="AU1887" s="82"/>
      <c r="AV1887" s="82"/>
      <c r="AW1887" s="82" t="str">
        <f t="shared" si="1"/>
        <v/>
      </c>
      <c r="AX1887" s="83" t="str">
        <f t="array" ref="AX1887">IFERROR(DGET('SBV Import'!A:G,"SBV",{"RSC ID","Tier";B1887,A1887}))</f>
        <v/>
      </c>
      <c r="AY1887" s="82" t="str">
        <f t="shared" si="2"/>
        <v/>
      </c>
      <c r="AZ1887" s="82"/>
      <c r="BA1887" s="84" t="s">
        <v>152</v>
      </c>
      <c r="BB1887" s="84" t="str">
        <f>IFERROR(__xludf.DUMMYFUNCTION("iferror(if(A1887="""",,E1887&gt;=FILTER(Constants!$F$2:$F$10,Constants!$A$2:$A$10=A1887)))"),"")</f>
        <v/>
      </c>
    </row>
    <row r="1888">
      <c r="A1888" s="89"/>
      <c r="B1888" s="87"/>
      <c r="C1888" s="73"/>
      <c r="D1888" s="73"/>
      <c r="E1888" s="82"/>
      <c r="F1888" s="82"/>
      <c r="G1888" s="86"/>
      <c r="H1888" s="86"/>
      <c r="I1888" s="86"/>
      <c r="J1888" s="82"/>
      <c r="K1888" s="82"/>
      <c r="L1888" s="82"/>
      <c r="M1888" s="82"/>
      <c r="N1888" s="82"/>
      <c r="O1888" s="82"/>
      <c r="P1888" s="82"/>
      <c r="Q1888" s="82"/>
      <c r="R1888" s="82"/>
      <c r="S1888" s="82"/>
      <c r="T1888" s="82"/>
      <c r="U1888" s="82"/>
      <c r="V1888" s="82"/>
      <c r="W1888" s="82"/>
      <c r="X1888" s="82"/>
      <c r="Y1888" s="82"/>
      <c r="Z1888" s="82"/>
      <c r="AA1888" s="82"/>
      <c r="AB1888" s="82"/>
      <c r="AC1888" s="82"/>
      <c r="AD1888" s="82"/>
      <c r="AE1888" s="82"/>
      <c r="AF1888" s="82"/>
      <c r="AG1888" s="82"/>
      <c r="AH1888" s="82"/>
      <c r="AI1888" s="82"/>
      <c r="AJ1888" s="82"/>
      <c r="AK1888" s="82"/>
      <c r="AL1888" s="82"/>
      <c r="AM1888" s="82"/>
      <c r="AN1888" s="82">
        <f>IFERROR(__xludf.DUMMYFUNCTION("""COMPUTED_VALUE"""),0.0)</f>
        <v>0</v>
      </c>
      <c r="AO1888" s="82">
        <f>IFERROR(__xludf.DUMMYFUNCTION("""COMPUTED_VALUE"""),0.0)</f>
        <v>0</v>
      </c>
      <c r="AP1888" s="82">
        <f>IFERROR(__xludf.DUMMYFUNCTION("""COMPUTED_VALUE"""),0.0)</f>
        <v>0</v>
      </c>
      <c r="AQ1888" s="82">
        <f>IFERROR(__xludf.DUMMYFUNCTION("""COMPUTED_VALUE"""),0.0)</f>
        <v>0</v>
      </c>
      <c r="AR1888" s="82">
        <f>IFERROR(__xludf.DUMMYFUNCTION("""COMPUTED_VALUE"""),0.0)</f>
        <v>0</v>
      </c>
      <c r="AS1888" s="82"/>
      <c r="AT1888" s="82">
        <f>IFERROR(__xludf.DUMMYFUNCTION("""COMPUTED_VALUE"""),0.0)</f>
        <v>0</v>
      </c>
      <c r="AU1888" s="82"/>
      <c r="AV1888" s="82"/>
      <c r="AW1888" s="82" t="str">
        <f t="shared" si="1"/>
        <v/>
      </c>
      <c r="AX1888" s="83" t="str">
        <f t="array" ref="AX1888">IFERROR(DGET('SBV Import'!A:G,"SBV",{"RSC ID","Tier";B1888,A1888}))</f>
        <v/>
      </c>
      <c r="AY1888" s="82" t="str">
        <f t="shared" si="2"/>
        <v/>
      </c>
      <c r="AZ1888" s="82"/>
      <c r="BA1888" s="84" t="s">
        <v>152</v>
      </c>
      <c r="BB1888" s="84" t="str">
        <f>IFERROR(__xludf.DUMMYFUNCTION("iferror(if(A1888="""",,E1888&gt;=FILTER(Constants!$F$2:$F$10,Constants!$A$2:$A$10=A1888)))"),"")</f>
        <v/>
      </c>
    </row>
    <row r="1889">
      <c r="A1889" s="89"/>
      <c r="B1889" s="87"/>
      <c r="C1889" s="73"/>
      <c r="D1889" s="73"/>
      <c r="E1889" s="82"/>
      <c r="F1889" s="82"/>
      <c r="G1889" s="86"/>
      <c r="H1889" s="86"/>
      <c r="I1889" s="86"/>
      <c r="J1889" s="82"/>
      <c r="K1889" s="82"/>
      <c r="L1889" s="82"/>
      <c r="M1889" s="82"/>
      <c r="N1889" s="82"/>
      <c r="O1889" s="82"/>
      <c r="P1889" s="82"/>
      <c r="Q1889" s="82"/>
      <c r="R1889" s="82"/>
      <c r="S1889" s="82"/>
      <c r="T1889" s="82"/>
      <c r="U1889" s="82"/>
      <c r="V1889" s="82"/>
      <c r="W1889" s="82"/>
      <c r="X1889" s="82"/>
      <c r="Y1889" s="82"/>
      <c r="Z1889" s="82"/>
      <c r="AA1889" s="82"/>
      <c r="AB1889" s="82"/>
      <c r="AC1889" s="82"/>
      <c r="AD1889" s="82"/>
      <c r="AE1889" s="82"/>
      <c r="AF1889" s="82"/>
      <c r="AG1889" s="82"/>
      <c r="AH1889" s="82"/>
      <c r="AI1889" s="82"/>
      <c r="AJ1889" s="82"/>
      <c r="AK1889" s="82"/>
      <c r="AL1889" s="82"/>
      <c r="AM1889" s="82"/>
      <c r="AN1889" s="82">
        <f>IFERROR(__xludf.DUMMYFUNCTION("""COMPUTED_VALUE"""),0.0)</f>
        <v>0</v>
      </c>
      <c r="AO1889" s="82">
        <f>IFERROR(__xludf.DUMMYFUNCTION("""COMPUTED_VALUE"""),0.0)</f>
        <v>0</v>
      </c>
      <c r="AP1889" s="82">
        <f>IFERROR(__xludf.DUMMYFUNCTION("""COMPUTED_VALUE"""),0.0)</f>
        <v>0</v>
      </c>
      <c r="AQ1889" s="82">
        <f>IFERROR(__xludf.DUMMYFUNCTION("""COMPUTED_VALUE"""),0.0)</f>
        <v>0</v>
      </c>
      <c r="AR1889" s="82">
        <f>IFERROR(__xludf.DUMMYFUNCTION("""COMPUTED_VALUE"""),0.0)</f>
        <v>0</v>
      </c>
      <c r="AS1889" s="82"/>
      <c r="AT1889" s="82">
        <f>IFERROR(__xludf.DUMMYFUNCTION("""COMPUTED_VALUE"""),0.0)</f>
        <v>0</v>
      </c>
      <c r="AU1889" s="82"/>
      <c r="AV1889" s="82"/>
      <c r="AW1889" s="82" t="str">
        <f t="shared" si="1"/>
        <v/>
      </c>
      <c r="AX1889" s="83" t="str">
        <f t="array" ref="AX1889">IFERROR(DGET('SBV Import'!A:G,"SBV",{"RSC ID","Tier";B1889,A1889}))</f>
        <v/>
      </c>
      <c r="AY1889" s="82" t="str">
        <f t="shared" si="2"/>
        <v/>
      </c>
      <c r="AZ1889" s="82"/>
      <c r="BA1889" s="84" t="s">
        <v>152</v>
      </c>
      <c r="BB1889" s="84" t="str">
        <f>IFERROR(__xludf.DUMMYFUNCTION("iferror(if(A1889="""",,E1889&gt;=FILTER(Constants!$F$2:$F$10,Constants!$A$2:$A$10=A1889)))"),"")</f>
        <v/>
      </c>
    </row>
    <row r="1890">
      <c r="A1890" s="89"/>
      <c r="B1890" s="87"/>
      <c r="C1890" s="73"/>
      <c r="D1890" s="73"/>
      <c r="E1890" s="82"/>
      <c r="F1890" s="82"/>
      <c r="G1890" s="86"/>
      <c r="H1890" s="86"/>
      <c r="I1890" s="86"/>
      <c r="J1890" s="82"/>
      <c r="K1890" s="82"/>
      <c r="L1890" s="82"/>
      <c r="M1890" s="82"/>
      <c r="N1890" s="82"/>
      <c r="O1890" s="82"/>
      <c r="P1890" s="82"/>
      <c r="Q1890" s="82"/>
      <c r="R1890" s="82"/>
      <c r="S1890" s="82"/>
      <c r="T1890" s="82"/>
      <c r="U1890" s="82"/>
      <c r="V1890" s="82"/>
      <c r="W1890" s="82"/>
      <c r="X1890" s="82"/>
      <c r="Y1890" s="82"/>
      <c r="Z1890" s="82"/>
      <c r="AA1890" s="82"/>
      <c r="AB1890" s="82"/>
      <c r="AC1890" s="82"/>
      <c r="AD1890" s="82"/>
      <c r="AE1890" s="82"/>
      <c r="AF1890" s="82"/>
      <c r="AG1890" s="82"/>
      <c r="AH1890" s="82"/>
      <c r="AI1890" s="82"/>
      <c r="AJ1890" s="82"/>
      <c r="AK1890" s="82"/>
      <c r="AL1890" s="82"/>
      <c r="AM1890" s="82"/>
      <c r="AN1890" s="82">
        <f>IFERROR(__xludf.DUMMYFUNCTION("""COMPUTED_VALUE"""),0.0)</f>
        <v>0</v>
      </c>
      <c r="AO1890" s="82">
        <f>IFERROR(__xludf.DUMMYFUNCTION("""COMPUTED_VALUE"""),0.0)</f>
        <v>0</v>
      </c>
      <c r="AP1890" s="82">
        <f>IFERROR(__xludf.DUMMYFUNCTION("""COMPUTED_VALUE"""),0.0)</f>
        <v>0</v>
      </c>
      <c r="AQ1890" s="82">
        <f>IFERROR(__xludf.DUMMYFUNCTION("""COMPUTED_VALUE"""),0.0)</f>
        <v>0</v>
      </c>
      <c r="AR1890" s="82">
        <f>IFERROR(__xludf.DUMMYFUNCTION("""COMPUTED_VALUE"""),0.0)</f>
        <v>0</v>
      </c>
      <c r="AS1890" s="82"/>
      <c r="AT1890" s="82">
        <f>IFERROR(__xludf.DUMMYFUNCTION("""COMPUTED_VALUE"""),0.0)</f>
        <v>0</v>
      </c>
      <c r="AU1890" s="82"/>
      <c r="AV1890" s="82"/>
      <c r="AW1890" s="82" t="str">
        <f t="shared" si="1"/>
        <v/>
      </c>
      <c r="AX1890" s="83" t="str">
        <f t="array" ref="AX1890">IFERROR(DGET('SBV Import'!A:G,"SBV",{"RSC ID","Tier";B1890,A1890}))</f>
        <v/>
      </c>
      <c r="AY1890" s="82" t="str">
        <f t="shared" si="2"/>
        <v/>
      </c>
      <c r="AZ1890" s="82"/>
      <c r="BA1890" s="84" t="s">
        <v>152</v>
      </c>
      <c r="BB1890" s="84" t="str">
        <f>IFERROR(__xludf.DUMMYFUNCTION("iferror(if(A1890="""",,E1890&gt;=FILTER(Constants!$F$2:$F$10,Constants!$A$2:$A$10=A1890)))"),"")</f>
        <v/>
      </c>
    </row>
    <row r="1891">
      <c r="A1891" s="89"/>
      <c r="B1891" s="87"/>
      <c r="C1891" s="73"/>
      <c r="D1891" s="73"/>
      <c r="E1891" s="82"/>
      <c r="F1891" s="82"/>
      <c r="G1891" s="86"/>
      <c r="H1891" s="86"/>
      <c r="I1891" s="86"/>
      <c r="J1891" s="82"/>
      <c r="K1891" s="82"/>
      <c r="L1891" s="82"/>
      <c r="M1891" s="82"/>
      <c r="N1891" s="82"/>
      <c r="O1891" s="82"/>
      <c r="P1891" s="82"/>
      <c r="Q1891" s="82"/>
      <c r="R1891" s="82"/>
      <c r="S1891" s="82"/>
      <c r="T1891" s="82"/>
      <c r="U1891" s="82"/>
      <c r="V1891" s="82"/>
      <c r="W1891" s="82"/>
      <c r="X1891" s="82"/>
      <c r="Y1891" s="82"/>
      <c r="Z1891" s="82"/>
      <c r="AA1891" s="82"/>
      <c r="AB1891" s="82"/>
      <c r="AC1891" s="82"/>
      <c r="AD1891" s="82"/>
      <c r="AE1891" s="82"/>
      <c r="AF1891" s="82"/>
      <c r="AG1891" s="82"/>
      <c r="AH1891" s="82"/>
      <c r="AI1891" s="82"/>
      <c r="AJ1891" s="82"/>
      <c r="AK1891" s="82"/>
      <c r="AL1891" s="82"/>
      <c r="AM1891" s="82"/>
      <c r="AN1891" s="82">
        <f>IFERROR(__xludf.DUMMYFUNCTION("""COMPUTED_VALUE"""),0.0)</f>
        <v>0</v>
      </c>
      <c r="AO1891" s="82">
        <f>IFERROR(__xludf.DUMMYFUNCTION("""COMPUTED_VALUE"""),0.0)</f>
        <v>0</v>
      </c>
      <c r="AP1891" s="82">
        <f>IFERROR(__xludf.DUMMYFUNCTION("""COMPUTED_VALUE"""),0.0)</f>
        <v>0</v>
      </c>
      <c r="AQ1891" s="82">
        <f>IFERROR(__xludf.DUMMYFUNCTION("""COMPUTED_VALUE"""),0.0)</f>
        <v>0</v>
      </c>
      <c r="AR1891" s="82">
        <f>IFERROR(__xludf.DUMMYFUNCTION("""COMPUTED_VALUE"""),0.0)</f>
        <v>0</v>
      </c>
      <c r="AS1891" s="82"/>
      <c r="AT1891" s="82">
        <f>IFERROR(__xludf.DUMMYFUNCTION("""COMPUTED_VALUE"""),0.0)</f>
        <v>0</v>
      </c>
      <c r="AU1891" s="82"/>
      <c r="AV1891" s="82"/>
      <c r="AW1891" s="82" t="str">
        <f t="shared" si="1"/>
        <v/>
      </c>
      <c r="AX1891" s="83" t="str">
        <f t="array" ref="AX1891">IFERROR(DGET('SBV Import'!A:G,"SBV",{"RSC ID","Tier";B1891,A1891}))</f>
        <v/>
      </c>
      <c r="AY1891" s="82" t="str">
        <f t="shared" si="2"/>
        <v/>
      </c>
      <c r="AZ1891" s="82"/>
      <c r="BA1891" s="84" t="s">
        <v>152</v>
      </c>
      <c r="BB1891" s="84" t="str">
        <f>IFERROR(__xludf.DUMMYFUNCTION("iferror(if(A1891="""",,E1891&gt;=FILTER(Constants!$F$2:$F$10,Constants!$A$2:$A$10=A1891)))"),"")</f>
        <v/>
      </c>
    </row>
    <row r="1892">
      <c r="A1892" s="89"/>
      <c r="B1892" s="87"/>
      <c r="C1892" s="73"/>
      <c r="D1892" s="73"/>
      <c r="E1892" s="82"/>
      <c r="F1892" s="82"/>
      <c r="G1892" s="86"/>
      <c r="H1892" s="86"/>
      <c r="I1892" s="86"/>
      <c r="J1892" s="82"/>
      <c r="K1892" s="82"/>
      <c r="L1892" s="82"/>
      <c r="M1892" s="82"/>
      <c r="N1892" s="82"/>
      <c r="O1892" s="82"/>
      <c r="P1892" s="82"/>
      <c r="Q1892" s="82"/>
      <c r="R1892" s="82"/>
      <c r="S1892" s="82"/>
      <c r="T1892" s="82"/>
      <c r="U1892" s="82"/>
      <c r="V1892" s="82"/>
      <c r="W1892" s="82"/>
      <c r="X1892" s="82"/>
      <c r="Y1892" s="82"/>
      <c r="Z1892" s="82"/>
      <c r="AA1892" s="82"/>
      <c r="AB1892" s="82"/>
      <c r="AC1892" s="82"/>
      <c r="AD1892" s="82"/>
      <c r="AE1892" s="82"/>
      <c r="AF1892" s="82"/>
      <c r="AG1892" s="82"/>
      <c r="AH1892" s="82"/>
      <c r="AI1892" s="82"/>
      <c r="AJ1892" s="82"/>
      <c r="AK1892" s="82"/>
      <c r="AL1892" s="82"/>
      <c r="AM1892" s="82"/>
      <c r="AN1892" s="82">
        <f>IFERROR(__xludf.DUMMYFUNCTION("""COMPUTED_VALUE"""),0.0)</f>
        <v>0</v>
      </c>
      <c r="AO1892" s="82">
        <f>IFERROR(__xludf.DUMMYFUNCTION("""COMPUTED_VALUE"""),0.0)</f>
        <v>0</v>
      </c>
      <c r="AP1892" s="82">
        <f>IFERROR(__xludf.DUMMYFUNCTION("""COMPUTED_VALUE"""),0.0)</f>
        <v>0</v>
      </c>
      <c r="AQ1892" s="82">
        <f>IFERROR(__xludf.DUMMYFUNCTION("""COMPUTED_VALUE"""),0.0)</f>
        <v>0</v>
      </c>
      <c r="AR1892" s="82">
        <f>IFERROR(__xludf.DUMMYFUNCTION("""COMPUTED_VALUE"""),0.0)</f>
        <v>0</v>
      </c>
      <c r="AS1892" s="82"/>
      <c r="AT1892" s="82">
        <f>IFERROR(__xludf.DUMMYFUNCTION("""COMPUTED_VALUE"""),0.0)</f>
        <v>0</v>
      </c>
      <c r="AU1892" s="82"/>
      <c r="AV1892" s="82"/>
      <c r="AW1892" s="82" t="str">
        <f t="shared" si="1"/>
        <v/>
      </c>
      <c r="AX1892" s="83" t="str">
        <f t="array" ref="AX1892">IFERROR(DGET('SBV Import'!A:G,"SBV",{"RSC ID","Tier";B1892,A1892}))</f>
        <v/>
      </c>
      <c r="AY1892" s="82" t="str">
        <f t="shared" si="2"/>
        <v/>
      </c>
      <c r="AZ1892" s="82"/>
      <c r="BA1892" s="84" t="s">
        <v>152</v>
      </c>
      <c r="BB1892" s="84" t="str">
        <f>IFERROR(__xludf.DUMMYFUNCTION("iferror(if(A1892="""",,E1892&gt;=FILTER(Constants!$F$2:$F$10,Constants!$A$2:$A$10=A1892)))"),"")</f>
        <v/>
      </c>
    </row>
    <row r="1893">
      <c r="A1893" s="89"/>
      <c r="B1893" s="87"/>
      <c r="C1893" s="73"/>
      <c r="D1893" s="73"/>
      <c r="E1893" s="82"/>
      <c r="F1893" s="82"/>
      <c r="G1893" s="86"/>
      <c r="H1893" s="86"/>
      <c r="I1893" s="86"/>
      <c r="J1893" s="82"/>
      <c r="K1893" s="82"/>
      <c r="L1893" s="82"/>
      <c r="M1893" s="82"/>
      <c r="N1893" s="82"/>
      <c r="O1893" s="82"/>
      <c r="P1893" s="82"/>
      <c r="Q1893" s="82"/>
      <c r="R1893" s="82"/>
      <c r="S1893" s="82"/>
      <c r="T1893" s="82"/>
      <c r="U1893" s="82"/>
      <c r="V1893" s="82"/>
      <c r="W1893" s="82"/>
      <c r="X1893" s="82"/>
      <c r="Y1893" s="82"/>
      <c r="Z1893" s="82"/>
      <c r="AA1893" s="82"/>
      <c r="AB1893" s="82"/>
      <c r="AC1893" s="82"/>
      <c r="AD1893" s="82"/>
      <c r="AE1893" s="82"/>
      <c r="AF1893" s="82"/>
      <c r="AG1893" s="82"/>
      <c r="AH1893" s="82"/>
      <c r="AI1893" s="82"/>
      <c r="AJ1893" s="82"/>
      <c r="AK1893" s="82"/>
      <c r="AL1893" s="82"/>
      <c r="AM1893" s="82"/>
      <c r="AN1893" s="82">
        <f>IFERROR(__xludf.DUMMYFUNCTION("""COMPUTED_VALUE"""),0.0)</f>
        <v>0</v>
      </c>
      <c r="AO1893" s="82">
        <f>IFERROR(__xludf.DUMMYFUNCTION("""COMPUTED_VALUE"""),0.0)</f>
        <v>0</v>
      </c>
      <c r="AP1893" s="82">
        <f>IFERROR(__xludf.DUMMYFUNCTION("""COMPUTED_VALUE"""),0.0)</f>
        <v>0</v>
      </c>
      <c r="AQ1893" s="82">
        <f>IFERROR(__xludf.DUMMYFUNCTION("""COMPUTED_VALUE"""),0.0)</f>
        <v>0</v>
      </c>
      <c r="AR1893" s="82">
        <f>IFERROR(__xludf.DUMMYFUNCTION("""COMPUTED_VALUE"""),0.0)</f>
        <v>0</v>
      </c>
      <c r="AS1893" s="82"/>
      <c r="AT1893" s="82">
        <f>IFERROR(__xludf.DUMMYFUNCTION("""COMPUTED_VALUE"""),0.0)</f>
        <v>0</v>
      </c>
      <c r="AU1893" s="82"/>
      <c r="AV1893" s="82"/>
      <c r="AW1893" s="82" t="str">
        <f t="shared" si="1"/>
        <v/>
      </c>
      <c r="AX1893" s="83" t="str">
        <f t="array" ref="AX1893">IFERROR(DGET('SBV Import'!A:G,"SBV",{"RSC ID","Tier";B1893,A1893}))</f>
        <v/>
      </c>
      <c r="AY1893" s="82" t="str">
        <f t="shared" si="2"/>
        <v/>
      </c>
      <c r="AZ1893" s="82"/>
      <c r="BA1893" s="84" t="s">
        <v>152</v>
      </c>
      <c r="BB1893" s="84" t="str">
        <f>IFERROR(__xludf.DUMMYFUNCTION("iferror(if(A1893="""",,E1893&gt;=FILTER(Constants!$F$2:$F$10,Constants!$A$2:$A$10=A1893)))"),"")</f>
        <v/>
      </c>
    </row>
    <row r="1894">
      <c r="A1894" s="89"/>
      <c r="B1894" s="87"/>
      <c r="C1894" s="73"/>
      <c r="D1894" s="73"/>
      <c r="E1894" s="82"/>
      <c r="F1894" s="82"/>
      <c r="G1894" s="86"/>
      <c r="H1894" s="86"/>
      <c r="I1894" s="86"/>
      <c r="J1894" s="82"/>
      <c r="K1894" s="82"/>
      <c r="L1894" s="82"/>
      <c r="M1894" s="82"/>
      <c r="N1894" s="82"/>
      <c r="O1894" s="82"/>
      <c r="P1894" s="82"/>
      <c r="Q1894" s="82"/>
      <c r="R1894" s="82"/>
      <c r="S1894" s="82"/>
      <c r="T1894" s="82"/>
      <c r="U1894" s="82"/>
      <c r="V1894" s="82"/>
      <c r="W1894" s="82"/>
      <c r="X1894" s="82"/>
      <c r="Y1894" s="82"/>
      <c r="Z1894" s="82"/>
      <c r="AA1894" s="82"/>
      <c r="AB1894" s="82"/>
      <c r="AC1894" s="82"/>
      <c r="AD1894" s="82"/>
      <c r="AE1894" s="82"/>
      <c r="AF1894" s="82"/>
      <c r="AG1894" s="82"/>
      <c r="AH1894" s="82"/>
      <c r="AI1894" s="82"/>
      <c r="AJ1894" s="82"/>
      <c r="AK1894" s="82"/>
      <c r="AL1894" s="82"/>
      <c r="AM1894" s="82"/>
      <c r="AN1894" s="82">
        <f>IFERROR(__xludf.DUMMYFUNCTION("""COMPUTED_VALUE"""),0.0)</f>
        <v>0</v>
      </c>
      <c r="AO1894" s="82">
        <f>IFERROR(__xludf.DUMMYFUNCTION("""COMPUTED_VALUE"""),0.0)</f>
        <v>0</v>
      </c>
      <c r="AP1894" s="82">
        <f>IFERROR(__xludf.DUMMYFUNCTION("""COMPUTED_VALUE"""),0.0)</f>
        <v>0</v>
      </c>
      <c r="AQ1894" s="82">
        <f>IFERROR(__xludf.DUMMYFUNCTION("""COMPUTED_VALUE"""),0.0)</f>
        <v>0</v>
      </c>
      <c r="AR1894" s="82">
        <f>IFERROR(__xludf.DUMMYFUNCTION("""COMPUTED_VALUE"""),0.0)</f>
        <v>0</v>
      </c>
      <c r="AS1894" s="82"/>
      <c r="AT1894" s="82">
        <f>IFERROR(__xludf.DUMMYFUNCTION("""COMPUTED_VALUE"""),0.0)</f>
        <v>0</v>
      </c>
      <c r="AU1894" s="82"/>
      <c r="AV1894" s="82"/>
      <c r="AW1894" s="82" t="str">
        <f t="shared" si="1"/>
        <v/>
      </c>
      <c r="AX1894" s="83" t="str">
        <f t="array" ref="AX1894">IFERROR(DGET('SBV Import'!A:G,"SBV",{"RSC ID","Tier";B1894,A1894}))</f>
        <v/>
      </c>
      <c r="AY1894" s="82" t="str">
        <f t="shared" si="2"/>
        <v/>
      </c>
      <c r="AZ1894" s="82"/>
      <c r="BA1894" s="84" t="s">
        <v>152</v>
      </c>
      <c r="BB1894" s="84" t="str">
        <f>IFERROR(__xludf.DUMMYFUNCTION("iferror(if(A1894="""",,E1894&gt;=FILTER(Constants!$F$2:$F$10,Constants!$A$2:$A$10=A1894)))"),"")</f>
        <v/>
      </c>
    </row>
    <row r="1895">
      <c r="A1895" s="89"/>
      <c r="B1895" s="87"/>
      <c r="C1895" s="73"/>
      <c r="D1895" s="73"/>
      <c r="E1895" s="82"/>
      <c r="F1895" s="82"/>
      <c r="G1895" s="86"/>
      <c r="H1895" s="86"/>
      <c r="I1895" s="86"/>
      <c r="J1895" s="82"/>
      <c r="K1895" s="82"/>
      <c r="L1895" s="82"/>
      <c r="M1895" s="82"/>
      <c r="N1895" s="82"/>
      <c r="O1895" s="82"/>
      <c r="P1895" s="82"/>
      <c r="Q1895" s="82"/>
      <c r="R1895" s="82"/>
      <c r="S1895" s="82"/>
      <c r="T1895" s="82"/>
      <c r="U1895" s="82"/>
      <c r="V1895" s="82"/>
      <c r="W1895" s="82"/>
      <c r="X1895" s="82"/>
      <c r="Y1895" s="82"/>
      <c r="Z1895" s="82"/>
      <c r="AA1895" s="82"/>
      <c r="AB1895" s="82"/>
      <c r="AC1895" s="82"/>
      <c r="AD1895" s="82"/>
      <c r="AE1895" s="82"/>
      <c r="AF1895" s="82"/>
      <c r="AG1895" s="82"/>
      <c r="AH1895" s="82"/>
      <c r="AI1895" s="82"/>
      <c r="AJ1895" s="82"/>
      <c r="AK1895" s="82"/>
      <c r="AL1895" s="82"/>
      <c r="AM1895" s="82"/>
      <c r="AN1895" s="82">
        <f>IFERROR(__xludf.DUMMYFUNCTION("""COMPUTED_VALUE"""),0.0)</f>
        <v>0</v>
      </c>
      <c r="AO1895" s="82">
        <f>IFERROR(__xludf.DUMMYFUNCTION("""COMPUTED_VALUE"""),0.0)</f>
        <v>0</v>
      </c>
      <c r="AP1895" s="82">
        <f>IFERROR(__xludf.DUMMYFUNCTION("""COMPUTED_VALUE"""),0.0)</f>
        <v>0</v>
      </c>
      <c r="AQ1895" s="82">
        <f>IFERROR(__xludf.DUMMYFUNCTION("""COMPUTED_VALUE"""),0.0)</f>
        <v>0</v>
      </c>
      <c r="AR1895" s="82">
        <f>IFERROR(__xludf.DUMMYFUNCTION("""COMPUTED_VALUE"""),0.0)</f>
        <v>0</v>
      </c>
      <c r="AS1895" s="82"/>
      <c r="AT1895" s="82">
        <f>IFERROR(__xludf.DUMMYFUNCTION("""COMPUTED_VALUE"""),0.0)</f>
        <v>0</v>
      </c>
      <c r="AU1895" s="82"/>
      <c r="AV1895" s="82"/>
      <c r="AW1895" s="82" t="str">
        <f t="shared" si="1"/>
        <v/>
      </c>
      <c r="AX1895" s="83" t="str">
        <f t="array" ref="AX1895">IFERROR(DGET('SBV Import'!A:G,"SBV",{"RSC ID","Tier";B1895,A1895}))</f>
        <v/>
      </c>
      <c r="AY1895" s="82" t="str">
        <f t="shared" si="2"/>
        <v/>
      </c>
      <c r="AZ1895" s="82"/>
      <c r="BA1895" s="84" t="s">
        <v>152</v>
      </c>
      <c r="BB1895" s="84" t="str">
        <f>IFERROR(__xludf.DUMMYFUNCTION("iferror(if(A1895="""",,E1895&gt;=FILTER(Constants!$F$2:$F$10,Constants!$A$2:$A$10=A1895)))"),"")</f>
        <v/>
      </c>
    </row>
    <row r="1896">
      <c r="A1896" s="89"/>
      <c r="B1896" s="87"/>
      <c r="C1896" s="73"/>
      <c r="D1896" s="73"/>
      <c r="E1896" s="82"/>
      <c r="F1896" s="82"/>
      <c r="G1896" s="86"/>
      <c r="H1896" s="86"/>
      <c r="I1896" s="86"/>
      <c r="J1896" s="82"/>
      <c r="K1896" s="82"/>
      <c r="L1896" s="82"/>
      <c r="M1896" s="82"/>
      <c r="N1896" s="82"/>
      <c r="O1896" s="82"/>
      <c r="P1896" s="82"/>
      <c r="Q1896" s="82"/>
      <c r="R1896" s="82"/>
      <c r="S1896" s="82"/>
      <c r="T1896" s="82"/>
      <c r="U1896" s="82"/>
      <c r="V1896" s="82"/>
      <c r="W1896" s="82"/>
      <c r="X1896" s="82"/>
      <c r="Y1896" s="82"/>
      <c r="Z1896" s="82"/>
      <c r="AA1896" s="82"/>
      <c r="AB1896" s="82"/>
      <c r="AC1896" s="82"/>
      <c r="AD1896" s="82"/>
      <c r="AE1896" s="82"/>
      <c r="AF1896" s="82"/>
      <c r="AG1896" s="82"/>
      <c r="AH1896" s="82"/>
      <c r="AI1896" s="82"/>
      <c r="AJ1896" s="82"/>
      <c r="AK1896" s="82"/>
      <c r="AL1896" s="82"/>
      <c r="AM1896" s="82"/>
      <c r="AN1896" s="82">
        <f>IFERROR(__xludf.DUMMYFUNCTION("""COMPUTED_VALUE"""),0.0)</f>
        <v>0</v>
      </c>
      <c r="AO1896" s="82">
        <f>IFERROR(__xludf.DUMMYFUNCTION("""COMPUTED_VALUE"""),0.0)</f>
        <v>0</v>
      </c>
      <c r="AP1896" s="82">
        <f>IFERROR(__xludf.DUMMYFUNCTION("""COMPUTED_VALUE"""),0.0)</f>
        <v>0</v>
      </c>
      <c r="AQ1896" s="82">
        <f>IFERROR(__xludf.DUMMYFUNCTION("""COMPUTED_VALUE"""),0.0)</f>
        <v>0</v>
      </c>
      <c r="AR1896" s="82">
        <f>IFERROR(__xludf.DUMMYFUNCTION("""COMPUTED_VALUE"""),0.0)</f>
        <v>0</v>
      </c>
      <c r="AS1896" s="82"/>
      <c r="AT1896" s="82">
        <f>IFERROR(__xludf.DUMMYFUNCTION("""COMPUTED_VALUE"""),0.0)</f>
        <v>0</v>
      </c>
      <c r="AU1896" s="82"/>
      <c r="AV1896" s="82"/>
      <c r="AW1896" s="82" t="str">
        <f t="shared" si="1"/>
        <v/>
      </c>
      <c r="AX1896" s="83" t="str">
        <f t="array" ref="AX1896">IFERROR(DGET('SBV Import'!A:G,"SBV",{"RSC ID","Tier";B1896,A1896}))</f>
        <v/>
      </c>
      <c r="AY1896" s="82" t="str">
        <f t="shared" si="2"/>
        <v/>
      </c>
      <c r="AZ1896" s="82"/>
      <c r="BA1896" s="84" t="s">
        <v>152</v>
      </c>
      <c r="BB1896" s="84" t="str">
        <f>IFERROR(__xludf.DUMMYFUNCTION("iferror(if(A1896="""",,E1896&gt;=FILTER(Constants!$F$2:$F$10,Constants!$A$2:$A$10=A1896)))"),"")</f>
        <v/>
      </c>
    </row>
    <row r="1897">
      <c r="A1897" s="89"/>
      <c r="B1897" s="87"/>
      <c r="C1897" s="73"/>
      <c r="D1897" s="73"/>
      <c r="E1897" s="82"/>
      <c r="F1897" s="82"/>
      <c r="G1897" s="86"/>
      <c r="H1897" s="86"/>
      <c r="I1897" s="86"/>
      <c r="J1897" s="82"/>
      <c r="K1897" s="82"/>
      <c r="L1897" s="82"/>
      <c r="M1897" s="82"/>
      <c r="N1897" s="82"/>
      <c r="O1897" s="82"/>
      <c r="P1897" s="82"/>
      <c r="Q1897" s="82"/>
      <c r="R1897" s="82"/>
      <c r="S1897" s="82"/>
      <c r="T1897" s="82"/>
      <c r="U1897" s="82"/>
      <c r="V1897" s="82"/>
      <c r="W1897" s="82"/>
      <c r="X1897" s="82"/>
      <c r="Y1897" s="82"/>
      <c r="Z1897" s="82"/>
      <c r="AA1897" s="82"/>
      <c r="AB1897" s="82"/>
      <c r="AC1897" s="82"/>
      <c r="AD1897" s="82"/>
      <c r="AE1897" s="82"/>
      <c r="AF1897" s="82"/>
      <c r="AG1897" s="82"/>
      <c r="AH1897" s="82"/>
      <c r="AI1897" s="82"/>
      <c r="AJ1897" s="82"/>
      <c r="AK1897" s="82"/>
      <c r="AL1897" s="82"/>
      <c r="AM1897" s="82"/>
      <c r="AN1897" s="82">
        <f>IFERROR(__xludf.DUMMYFUNCTION("""COMPUTED_VALUE"""),0.0)</f>
        <v>0</v>
      </c>
      <c r="AO1897" s="82">
        <f>IFERROR(__xludf.DUMMYFUNCTION("""COMPUTED_VALUE"""),0.0)</f>
        <v>0</v>
      </c>
      <c r="AP1897" s="82">
        <f>IFERROR(__xludf.DUMMYFUNCTION("""COMPUTED_VALUE"""),0.0)</f>
        <v>0</v>
      </c>
      <c r="AQ1897" s="82">
        <f>IFERROR(__xludf.DUMMYFUNCTION("""COMPUTED_VALUE"""),0.0)</f>
        <v>0</v>
      </c>
      <c r="AR1897" s="82">
        <f>IFERROR(__xludf.DUMMYFUNCTION("""COMPUTED_VALUE"""),0.0)</f>
        <v>0</v>
      </c>
      <c r="AS1897" s="82"/>
      <c r="AT1897" s="82">
        <f>IFERROR(__xludf.DUMMYFUNCTION("""COMPUTED_VALUE"""),0.0)</f>
        <v>0</v>
      </c>
      <c r="AU1897" s="82"/>
      <c r="AV1897" s="82"/>
      <c r="AW1897" s="82" t="str">
        <f t="shared" si="1"/>
        <v/>
      </c>
      <c r="AX1897" s="83" t="str">
        <f t="array" ref="AX1897">IFERROR(DGET('SBV Import'!A:G,"SBV",{"RSC ID","Tier";B1897,A1897}))</f>
        <v/>
      </c>
      <c r="AY1897" s="82" t="str">
        <f t="shared" si="2"/>
        <v/>
      </c>
      <c r="AZ1897" s="82"/>
      <c r="BA1897" s="84" t="s">
        <v>152</v>
      </c>
      <c r="BB1897" s="84" t="str">
        <f>IFERROR(__xludf.DUMMYFUNCTION("iferror(if(A1897="""",,E1897&gt;=FILTER(Constants!$F$2:$F$10,Constants!$A$2:$A$10=A1897)))"),"")</f>
        <v/>
      </c>
    </row>
    <row r="1898">
      <c r="A1898" s="89"/>
      <c r="B1898" s="87"/>
      <c r="C1898" s="73"/>
      <c r="D1898" s="73"/>
      <c r="E1898" s="82"/>
      <c r="F1898" s="82"/>
      <c r="G1898" s="86"/>
      <c r="H1898" s="86"/>
      <c r="I1898" s="86"/>
      <c r="J1898" s="82"/>
      <c r="K1898" s="82"/>
      <c r="L1898" s="82"/>
      <c r="M1898" s="82"/>
      <c r="N1898" s="82"/>
      <c r="O1898" s="82"/>
      <c r="P1898" s="82"/>
      <c r="Q1898" s="82"/>
      <c r="R1898" s="82"/>
      <c r="S1898" s="82"/>
      <c r="T1898" s="82"/>
      <c r="U1898" s="82"/>
      <c r="V1898" s="82"/>
      <c r="W1898" s="82"/>
      <c r="X1898" s="82"/>
      <c r="Y1898" s="82"/>
      <c r="Z1898" s="82"/>
      <c r="AA1898" s="82"/>
      <c r="AB1898" s="82"/>
      <c r="AC1898" s="82"/>
      <c r="AD1898" s="82"/>
      <c r="AE1898" s="82"/>
      <c r="AF1898" s="82"/>
      <c r="AG1898" s="82"/>
      <c r="AH1898" s="82"/>
      <c r="AI1898" s="82"/>
      <c r="AJ1898" s="82"/>
      <c r="AK1898" s="82"/>
      <c r="AL1898" s="82"/>
      <c r="AM1898" s="82"/>
      <c r="AN1898" s="82">
        <f>IFERROR(__xludf.DUMMYFUNCTION("""COMPUTED_VALUE"""),0.0)</f>
        <v>0</v>
      </c>
      <c r="AO1898" s="82">
        <f>IFERROR(__xludf.DUMMYFUNCTION("""COMPUTED_VALUE"""),0.0)</f>
        <v>0</v>
      </c>
      <c r="AP1898" s="82">
        <f>IFERROR(__xludf.DUMMYFUNCTION("""COMPUTED_VALUE"""),0.0)</f>
        <v>0</v>
      </c>
      <c r="AQ1898" s="82">
        <f>IFERROR(__xludf.DUMMYFUNCTION("""COMPUTED_VALUE"""),0.0)</f>
        <v>0</v>
      </c>
      <c r="AR1898" s="82">
        <f>IFERROR(__xludf.DUMMYFUNCTION("""COMPUTED_VALUE"""),0.0)</f>
        <v>0</v>
      </c>
      <c r="AS1898" s="82"/>
      <c r="AT1898" s="82">
        <f>IFERROR(__xludf.DUMMYFUNCTION("""COMPUTED_VALUE"""),0.0)</f>
        <v>0</v>
      </c>
      <c r="AU1898" s="82"/>
      <c r="AV1898" s="82"/>
      <c r="AW1898" s="82" t="str">
        <f t="shared" si="1"/>
        <v/>
      </c>
      <c r="AX1898" s="83" t="str">
        <f t="array" ref="AX1898">IFERROR(DGET('SBV Import'!A:G,"SBV",{"RSC ID","Tier";B1898,A1898}))</f>
        <v/>
      </c>
      <c r="AY1898" s="82" t="str">
        <f t="shared" si="2"/>
        <v/>
      </c>
      <c r="AZ1898" s="82"/>
      <c r="BA1898" s="84" t="s">
        <v>152</v>
      </c>
      <c r="BB1898" s="84" t="str">
        <f>IFERROR(__xludf.DUMMYFUNCTION("iferror(if(A1898="""",,E1898&gt;=FILTER(Constants!$F$2:$F$10,Constants!$A$2:$A$10=A1898)))"),"")</f>
        <v/>
      </c>
    </row>
    <row r="1899">
      <c r="A1899" s="89"/>
      <c r="B1899" s="87"/>
      <c r="C1899" s="73"/>
      <c r="D1899" s="73"/>
      <c r="E1899" s="82"/>
      <c r="F1899" s="82"/>
      <c r="G1899" s="86"/>
      <c r="H1899" s="86"/>
      <c r="I1899" s="86"/>
      <c r="J1899" s="82"/>
      <c r="K1899" s="82"/>
      <c r="L1899" s="82"/>
      <c r="M1899" s="82"/>
      <c r="N1899" s="82"/>
      <c r="O1899" s="82"/>
      <c r="P1899" s="82"/>
      <c r="Q1899" s="82"/>
      <c r="R1899" s="82"/>
      <c r="S1899" s="82"/>
      <c r="T1899" s="82"/>
      <c r="U1899" s="82"/>
      <c r="V1899" s="82"/>
      <c r="W1899" s="82"/>
      <c r="X1899" s="82"/>
      <c r="Y1899" s="82"/>
      <c r="Z1899" s="82"/>
      <c r="AA1899" s="82"/>
      <c r="AB1899" s="82"/>
      <c r="AC1899" s="82"/>
      <c r="AD1899" s="82"/>
      <c r="AE1899" s="82"/>
      <c r="AF1899" s="82"/>
      <c r="AG1899" s="82"/>
      <c r="AH1899" s="82"/>
      <c r="AI1899" s="82"/>
      <c r="AJ1899" s="82"/>
      <c r="AK1899" s="82"/>
      <c r="AL1899" s="82"/>
      <c r="AM1899" s="82"/>
      <c r="AN1899" s="82">
        <f>IFERROR(__xludf.DUMMYFUNCTION("""COMPUTED_VALUE"""),0.0)</f>
        <v>0</v>
      </c>
      <c r="AO1899" s="82">
        <f>IFERROR(__xludf.DUMMYFUNCTION("""COMPUTED_VALUE"""),0.0)</f>
        <v>0</v>
      </c>
      <c r="AP1899" s="82">
        <f>IFERROR(__xludf.DUMMYFUNCTION("""COMPUTED_VALUE"""),0.0)</f>
        <v>0</v>
      </c>
      <c r="AQ1899" s="82">
        <f>IFERROR(__xludf.DUMMYFUNCTION("""COMPUTED_VALUE"""),0.0)</f>
        <v>0</v>
      </c>
      <c r="AR1899" s="82">
        <f>IFERROR(__xludf.DUMMYFUNCTION("""COMPUTED_VALUE"""),0.0)</f>
        <v>0</v>
      </c>
      <c r="AS1899" s="82"/>
      <c r="AT1899" s="82">
        <f>IFERROR(__xludf.DUMMYFUNCTION("""COMPUTED_VALUE"""),0.0)</f>
        <v>0</v>
      </c>
      <c r="AU1899" s="82"/>
      <c r="AV1899" s="82"/>
      <c r="AW1899" s="82" t="str">
        <f t="shared" si="1"/>
        <v/>
      </c>
      <c r="AX1899" s="83" t="str">
        <f t="array" ref="AX1899">IFERROR(DGET('SBV Import'!A:G,"SBV",{"RSC ID","Tier";B1899,A1899}))</f>
        <v/>
      </c>
      <c r="AY1899" s="82" t="str">
        <f t="shared" si="2"/>
        <v/>
      </c>
      <c r="AZ1899" s="82"/>
      <c r="BA1899" s="84" t="s">
        <v>152</v>
      </c>
      <c r="BB1899" s="84" t="str">
        <f>IFERROR(__xludf.DUMMYFUNCTION("iferror(if(A1899="""",,E1899&gt;=FILTER(Constants!$F$2:$F$10,Constants!$A$2:$A$10=A1899)))"),"")</f>
        <v/>
      </c>
    </row>
    <row r="1900">
      <c r="A1900" s="89"/>
      <c r="B1900" s="87"/>
      <c r="C1900" s="73"/>
      <c r="D1900" s="73"/>
      <c r="E1900" s="82"/>
      <c r="F1900" s="82"/>
      <c r="G1900" s="86"/>
      <c r="H1900" s="86"/>
      <c r="I1900" s="86"/>
      <c r="J1900" s="82"/>
      <c r="K1900" s="82"/>
      <c r="L1900" s="82"/>
      <c r="M1900" s="82"/>
      <c r="N1900" s="82"/>
      <c r="O1900" s="82"/>
      <c r="P1900" s="82"/>
      <c r="Q1900" s="82"/>
      <c r="R1900" s="82"/>
      <c r="S1900" s="82"/>
      <c r="T1900" s="82"/>
      <c r="U1900" s="82"/>
      <c r="V1900" s="82"/>
      <c r="W1900" s="82"/>
      <c r="X1900" s="82"/>
      <c r="Y1900" s="82"/>
      <c r="Z1900" s="82"/>
      <c r="AA1900" s="82"/>
      <c r="AB1900" s="82"/>
      <c r="AC1900" s="82"/>
      <c r="AD1900" s="82"/>
      <c r="AE1900" s="82"/>
      <c r="AF1900" s="82"/>
      <c r="AG1900" s="82"/>
      <c r="AH1900" s="82"/>
      <c r="AI1900" s="82"/>
      <c r="AJ1900" s="82"/>
      <c r="AK1900" s="82"/>
      <c r="AL1900" s="82"/>
      <c r="AM1900" s="82"/>
      <c r="AN1900" s="82">
        <f>IFERROR(__xludf.DUMMYFUNCTION("""COMPUTED_VALUE"""),0.0)</f>
        <v>0</v>
      </c>
      <c r="AO1900" s="82">
        <f>IFERROR(__xludf.DUMMYFUNCTION("""COMPUTED_VALUE"""),0.0)</f>
        <v>0</v>
      </c>
      <c r="AP1900" s="82">
        <f>IFERROR(__xludf.DUMMYFUNCTION("""COMPUTED_VALUE"""),0.0)</f>
        <v>0</v>
      </c>
      <c r="AQ1900" s="82">
        <f>IFERROR(__xludf.DUMMYFUNCTION("""COMPUTED_VALUE"""),0.0)</f>
        <v>0</v>
      </c>
      <c r="AR1900" s="82">
        <f>IFERROR(__xludf.DUMMYFUNCTION("""COMPUTED_VALUE"""),0.0)</f>
        <v>0</v>
      </c>
      <c r="AS1900" s="82"/>
      <c r="AT1900" s="82">
        <f>IFERROR(__xludf.DUMMYFUNCTION("""COMPUTED_VALUE"""),0.0)</f>
        <v>0</v>
      </c>
      <c r="AU1900" s="82"/>
      <c r="AV1900" s="82"/>
      <c r="AW1900" s="82" t="str">
        <f t="shared" si="1"/>
        <v/>
      </c>
      <c r="AX1900" s="83" t="str">
        <f t="array" ref="AX1900">IFERROR(DGET('SBV Import'!A:G,"SBV",{"RSC ID","Tier";B1900,A1900}))</f>
        <v/>
      </c>
      <c r="AY1900" s="82" t="str">
        <f t="shared" si="2"/>
        <v/>
      </c>
      <c r="AZ1900" s="82"/>
      <c r="BA1900" s="84" t="s">
        <v>152</v>
      </c>
      <c r="BB1900" s="84" t="str">
        <f>IFERROR(__xludf.DUMMYFUNCTION("iferror(if(A1900="""",,E1900&gt;=FILTER(Constants!$F$2:$F$10,Constants!$A$2:$A$10=A1900)))"),"")</f>
        <v/>
      </c>
    </row>
    <row r="1901">
      <c r="A1901" s="89"/>
      <c r="B1901" s="87"/>
      <c r="C1901" s="73"/>
      <c r="D1901" s="73"/>
      <c r="E1901" s="82"/>
      <c r="F1901" s="82"/>
      <c r="G1901" s="86"/>
      <c r="H1901" s="86"/>
      <c r="I1901" s="86"/>
      <c r="J1901" s="82"/>
      <c r="K1901" s="82"/>
      <c r="L1901" s="82"/>
      <c r="M1901" s="82"/>
      <c r="N1901" s="82"/>
      <c r="O1901" s="82"/>
      <c r="P1901" s="82"/>
      <c r="Q1901" s="82"/>
      <c r="R1901" s="82"/>
      <c r="S1901" s="82"/>
      <c r="T1901" s="82"/>
      <c r="U1901" s="82"/>
      <c r="V1901" s="82"/>
      <c r="W1901" s="82"/>
      <c r="X1901" s="82"/>
      <c r="Y1901" s="82"/>
      <c r="Z1901" s="82"/>
      <c r="AA1901" s="82"/>
      <c r="AB1901" s="82"/>
      <c r="AC1901" s="82"/>
      <c r="AD1901" s="82"/>
      <c r="AE1901" s="82"/>
      <c r="AF1901" s="82"/>
      <c r="AG1901" s="82"/>
      <c r="AH1901" s="82"/>
      <c r="AI1901" s="82"/>
      <c r="AJ1901" s="82"/>
      <c r="AK1901" s="82"/>
      <c r="AL1901" s="82"/>
      <c r="AM1901" s="82"/>
      <c r="AN1901" s="82">
        <f>IFERROR(__xludf.DUMMYFUNCTION("""COMPUTED_VALUE"""),0.0)</f>
        <v>0</v>
      </c>
      <c r="AO1901" s="82">
        <f>IFERROR(__xludf.DUMMYFUNCTION("""COMPUTED_VALUE"""),0.0)</f>
        <v>0</v>
      </c>
      <c r="AP1901" s="82">
        <f>IFERROR(__xludf.DUMMYFUNCTION("""COMPUTED_VALUE"""),0.0)</f>
        <v>0</v>
      </c>
      <c r="AQ1901" s="82">
        <f>IFERROR(__xludf.DUMMYFUNCTION("""COMPUTED_VALUE"""),0.0)</f>
        <v>0</v>
      </c>
      <c r="AR1901" s="82">
        <f>IFERROR(__xludf.DUMMYFUNCTION("""COMPUTED_VALUE"""),0.0)</f>
        <v>0</v>
      </c>
      <c r="AS1901" s="82"/>
      <c r="AT1901" s="82">
        <f>IFERROR(__xludf.DUMMYFUNCTION("""COMPUTED_VALUE"""),0.0)</f>
        <v>0</v>
      </c>
      <c r="AU1901" s="82"/>
      <c r="AV1901" s="82"/>
      <c r="AW1901" s="82" t="str">
        <f t="shared" si="1"/>
        <v/>
      </c>
      <c r="AX1901" s="83" t="str">
        <f t="array" ref="AX1901">IFERROR(DGET('SBV Import'!A:G,"SBV",{"RSC ID","Tier";B1901,A1901}))</f>
        <v/>
      </c>
      <c r="AY1901" s="82" t="str">
        <f t="shared" si="2"/>
        <v/>
      </c>
      <c r="AZ1901" s="82"/>
      <c r="BA1901" s="84" t="s">
        <v>152</v>
      </c>
      <c r="BB1901" s="84" t="str">
        <f>IFERROR(__xludf.DUMMYFUNCTION("iferror(if(A1901="""",,E1901&gt;=FILTER(Constants!$F$2:$F$10,Constants!$A$2:$A$10=A1901)))"),"")</f>
        <v/>
      </c>
    </row>
    <row r="1902">
      <c r="A1902" s="89"/>
      <c r="B1902" s="87"/>
      <c r="C1902" s="73"/>
      <c r="D1902" s="73"/>
      <c r="E1902" s="82"/>
      <c r="F1902" s="82"/>
      <c r="G1902" s="86"/>
      <c r="H1902" s="86"/>
      <c r="I1902" s="86"/>
      <c r="J1902" s="82"/>
      <c r="K1902" s="82"/>
      <c r="L1902" s="82"/>
      <c r="M1902" s="82"/>
      <c r="N1902" s="82"/>
      <c r="O1902" s="82"/>
      <c r="P1902" s="82"/>
      <c r="Q1902" s="82"/>
      <c r="R1902" s="82"/>
      <c r="S1902" s="82"/>
      <c r="T1902" s="82"/>
      <c r="U1902" s="82"/>
      <c r="V1902" s="82"/>
      <c r="W1902" s="82"/>
      <c r="X1902" s="82"/>
      <c r="Y1902" s="82"/>
      <c r="Z1902" s="82"/>
      <c r="AA1902" s="82"/>
      <c r="AB1902" s="82"/>
      <c r="AC1902" s="82"/>
      <c r="AD1902" s="82"/>
      <c r="AE1902" s="82"/>
      <c r="AF1902" s="82"/>
      <c r="AG1902" s="82"/>
      <c r="AH1902" s="82"/>
      <c r="AI1902" s="82"/>
      <c r="AJ1902" s="82"/>
      <c r="AK1902" s="82"/>
      <c r="AL1902" s="82"/>
      <c r="AM1902" s="82"/>
      <c r="AN1902" s="82">
        <f>IFERROR(__xludf.DUMMYFUNCTION("""COMPUTED_VALUE"""),0.0)</f>
        <v>0</v>
      </c>
      <c r="AO1902" s="82">
        <f>IFERROR(__xludf.DUMMYFUNCTION("""COMPUTED_VALUE"""),0.0)</f>
        <v>0</v>
      </c>
      <c r="AP1902" s="82">
        <f>IFERROR(__xludf.DUMMYFUNCTION("""COMPUTED_VALUE"""),0.0)</f>
        <v>0</v>
      </c>
      <c r="AQ1902" s="82">
        <f>IFERROR(__xludf.DUMMYFUNCTION("""COMPUTED_VALUE"""),0.0)</f>
        <v>0</v>
      </c>
      <c r="AR1902" s="82">
        <f>IFERROR(__xludf.DUMMYFUNCTION("""COMPUTED_VALUE"""),0.0)</f>
        <v>0</v>
      </c>
      <c r="AS1902" s="82"/>
      <c r="AT1902" s="82">
        <f>IFERROR(__xludf.DUMMYFUNCTION("""COMPUTED_VALUE"""),0.0)</f>
        <v>0</v>
      </c>
      <c r="AU1902" s="82"/>
      <c r="AV1902" s="82"/>
      <c r="AW1902" s="82" t="str">
        <f t="shared" si="1"/>
        <v/>
      </c>
      <c r="AX1902" s="83" t="str">
        <f t="array" ref="AX1902">IFERROR(DGET('SBV Import'!A:G,"SBV",{"RSC ID","Tier";B1902,A1902}))</f>
        <v/>
      </c>
      <c r="AY1902" s="82" t="str">
        <f t="shared" si="2"/>
        <v/>
      </c>
      <c r="AZ1902" s="82"/>
      <c r="BA1902" s="84" t="s">
        <v>152</v>
      </c>
      <c r="BB1902" s="84" t="str">
        <f>IFERROR(__xludf.DUMMYFUNCTION("iferror(if(A1902="""",,E1902&gt;=FILTER(Constants!$F$2:$F$10,Constants!$A$2:$A$10=A1902)))"),"")</f>
        <v/>
      </c>
    </row>
    <row r="1903">
      <c r="A1903" s="89"/>
      <c r="B1903" s="87"/>
      <c r="C1903" s="73"/>
      <c r="D1903" s="73"/>
      <c r="E1903" s="82"/>
      <c r="F1903" s="82"/>
      <c r="G1903" s="86"/>
      <c r="H1903" s="86"/>
      <c r="I1903" s="86"/>
      <c r="J1903" s="82"/>
      <c r="K1903" s="82"/>
      <c r="L1903" s="82"/>
      <c r="M1903" s="82"/>
      <c r="N1903" s="82"/>
      <c r="O1903" s="82"/>
      <c r="P1903" s="82"/>
      <c r="Q1903" s="82"/>
      <c r="R1903" s="82"/>
      <c r="S1903" s="82"/>
      <c r="T1903" s="82"/>
      <c r="U1903" s="82"/>
      <c r="V1903" s="82"/>
      <c r="W1903" s="82"/>
      <c r="X1903" s="82"/>
      <c r="Y1903" s="82"/>
      <c r="Z1903" s="82"/>
      <c r="AA1903" s="82"/>
      <c r="AB1903" s="82"/>
      <c r="AC1903" s="82"/>
      <c r="AD1903" s="82"/>
      <c r="AE1903" s="82"/>
      <c r="AF1903" s="82"/>
      <c r="AG1903" s="82"/>
      <c r="AH1903" s="82"/>
      <c r="AI1903" s="82"/>
      <c r="AJ1903" s="82"/>
      <c r="AK1903" s="82"/>
      <c r="AL1903" s="82"/>
      <c r="AM1903" s="82"/>
      <c r="AN1903" s="82">
        <f>IFERROR(__xludf.DUMMYFUNCTION("""COMPUTED_VALUE"""),0.0)</f>
        <v>0</v>
      </c>
      <c r="AO1903" s="82">
        <f>IFERROR(__xludf.DUMMYFUNCTION("""COMPUTED_VALUE"""),0.0)</f>
        <v>0</v>
      </c>
      <c r="AP1903" s="82">
        <f>IFERROR(__xludf.DUMMYFUNCTION("""COMPUTED_VALUE"""),0.0)</f>
        <v>0</v>
      </c>
      <c r="AQ1903" s="82">
        <f>IFERROR(__xludf.DUMMYFUNCTION("""COMPUTED_VALUE"""),0.0)</f>
        <v>0</v>
      </c>
      <c r="AR1903" s="82">
        <f>IFERROR(__xludf.DUMMYFUNCTION("""COMPUTED_VALUE"""),0.0)</f>
        <v>0</v>
      </c>
      <c r="AS1903" s="82"/>
      <c r="AT1903" s="82">
        <f>IFERROR(__xludf.DUMMYFUNCTION("""COMPUTED_VALUE"""),0.0)</f>
        <v>0</v>
      </c>
      <c r="AU1903" s="82"/>
      <c r="AV1903" s="82"/>
      <c r="AW1903" s="82" t="str">
        <f t="shared" si="1"/>
        <v/>
      </c>
      <c r="AX1903" s="83" t="str">
        <f t="array" ref="AX1903">IFERROR(DGET('SBV Import'!A:G,"SBV",{"RSC ID","Tier";B1903,A1903}))</f>
        <v/>
      </c>
      <c r="AY1903" s="82" t="str">
        <f t="shared" si="2"/>
        <v/>
      </c>
      <c r="AZ1903" s="82"/>
      <c r="BA1903" s="84" t="s">
        <v>152</v>
      </c>
      <c r="BB1903" s="84" t="str">
        <f>IFERROR(__xludf.DUMMYFUNCTION("iferror(if(A1903="""",,E1903&gt;=FILTER(Constants!$F$2:$F$10,Constants!$A$2:$A$10=A1903)))"),"")</f>
        <v/>
      </c>
    </row>
    <row r="1904">
      <c r="A1904" s="89"/>
      <c r="B1904" s="87"/>
      <c r="C1904" s="73"/>
      <c r="D1904" s="73"/>
      <c r="E1904" s="82"/>
      <c r="F1904" s="82"/>
      <c r="G1904" s="86"/>
      <c r="H1904" s="86"/>
      <c r="I1904" s="86"/>
      <c r="J1904" s="82"/>
      <c r="K1904" s="82"/>
      <c r="L1904" s="82"/>
      <c r="M1904" s="82"/>
      <c r="N1904" s="82"/>
      <c r="O1904" s="82"/>
      <c r="P1904" s="82"/>
      <c r="Q1904" s="82"/>
      <c r="R1904" s="82"/>
      <c r="S1904" s="82"/>
      <c r="T1904" s="82"/>
      <c r="U1904" s="82"/>
      <c r="V1904" s="82"/>
      <c r="W1904" s="82"/>
      <c r="X1904" s="82"/>
      <c r="Y1904" s="82"/>
      <c r="Z1904" s="82"/>
      <c r="AA1904" s="82"/>
      <c r="AB1904" s="82"/>
      <c r="AC1904" s="82"/>
      <c r="AD1904" s="82"/>
      <c r="AE1904" s="82"/>
      <c r="AF1904" s="82"/>
      <c r="AG1904" s="82"/>
      <c r="AH1904" s="82"/>
      <c r="AI1904" s="82"/>
      <c r="AJ1904" s="82"/>
      <c r="AK1904" s="82"/>
      <c r="AL1904" s="82"/>
      <c r="AM1904" s="82"/>
      <c r="AN1904" s="82">
        <f>IFERROR(__xludf.DUMMYFUNCTION("""COMPUTED_VALUE"""),0.0)</f>
        <v>0</v>
      </c>
      <c r="AO1904" s="82">
        <f>IFERROR(__xludf.DUMMYFUNCTION("""COMPUTED_VALUE"""),0.0)</f>
        <v>0</v>
      </c>
      <c r="AP1904" s="82">
        <f>IFERROR(__xludf.DUMMYFUNCTION("""COMPUTED_VALUE"""),0.0)</f>
        <v>0</v>
      </c>
      <c r="AQ1904" s="82">
        <f>IFERROR(__xludf.DUMMYFUNCTION("""COMPUTED_VALUE"""),0.0)</f>
        <v>0</v>
      </c>
      <c r="AR1904" s="82">
        <f>IFERROR(__xludf.DUMMYFUNCTION("""COMPUTED_VALUE"""),0.0)</f>
        <v>0</v>
      </c>
      <c r="AS1904" s="82"/>
      <c r="AT1904" s="82">
        <f>IFERROR(__xludf.DUMMYFUNCTION("""COMPUTED_VALUE"""),0.0)</f>
        <v>0</v>
      </c>
      <c r="AU1904" s="82"/>
      <c r="AV1904" s="82"/>
      <c r="AW1904" s="82" t="str">
        <f t="shared" si="1"/>
        <v/>
      </c>
      <c r="AX1904" s="83" t="str">
        <f t="array" ref="AX1904">IFERROR(DGET('SBV Import'!A:G,"SBV",{"RSC ID","Tier";B1904,A1904}))</f>
        <v/>
      </c>
      <c r="AY1904" s="82" t="str">
        <f t="shared" si="2"/>
        <v/>
      </c>
      <c r="AZ1904" s="82"/>
      <c r="BA1904" s="84" t="s">
        <v>152</v>
      </c>
      <c r="BB1904" s="84" t="str">
        <f>IFERROR(__xludf.DUMMYFUNCTION("iferror(if(A1904="""",,E1904&gt;=FILTER(Constants!$F$2:$F$10,Constants!$A$2:$A$10=A1904)))"),"")</f>
        <v/>
      </c>
    </row>
    <row r="1905">
      <c r="A1905" s="89"/>
      <c r="B1905" s="87"/>
      <c r="C1905" s="73"/>
      <c r="D1905" s="73"/>
      <c r="E1905" s="82"/>
      <c r="F1905" s="82"/>
      <c r="G1905" s="86"/>
      <c r="H1905" s="86"/>
      <c r="I1905" s="86"/>
      <c r="J1905" s="82"/>
      <c r="K1905" s="82"/>
      <c r="L1905" s="82"/>
      <c r="M1905" s="82"/>
      <c r="N1905" s="82"/>
      <c r="O1905" s="82"/>
      <c r="P1905" s="82"/>
      <c r="Q1905" s="82"/>
      <c r="R1905" s="82"/>
      <c r="S1905" s="82"/>
      <c r="T1905" s="82"/>
      <c r="U1905" s="82"/>
      <c r="V1905" s="82"/>
      <c r="W1905" s="82"/>
      <c r="X1905" s="82"/>
      <c r="Y1905" s="82"/>
      <c r="Z1905" s="82"/>
      <c r="AA1905" s="82"/>
      <c r="AB1905" s="82"/>
      <c r="AC1905" s="82"/>
      <c r="AD1905" s="82"/>
      <c r="AE1905" s="82"/>
      <c r="AF1905" s="82"/>
      <c r="AG1905" s="82"/>
      <c r="AH1905" s="82"/>
      <c r="AI1905" s="82"/>
      <c r="AJ1905" s="82"/>
      <c r="AK1905" s="82"/>
      <c r="AL1905" s="82"/>
      <c r="AM1905" s="82"/>
      <c r="AN1905" s="82">
        <f>IFERROR(__xludf.DUMMYFUNCTION("""COMPUTED_VALUE"""),0.0)</f>
        <v>0</v>
      </c>
      <c r="AO1905" s="82">
        <f>IFERROR(__xludf.DUMMYFUNCTION("""COMPUTED_VALUE"""),0.0)</f>
        <v>0</v>
      </c>
      <c r="AP1905" s="82">
        <f>IFERROR(__xludf.DUMMYFUNCTION("""COMPUTED_VALUE"""),0.0)</f>
        <v>0</v>
      </c>
      <c r="AQ1905" s="82">
        <f>IFERROR(__xludf.DUMMYFUNCTION("""COMPUTED_VALUE"""),0.0)</f>
        <v>0</v>
      </c>
      <c r="AR1905" s="82">
        <f>IFERROR(__xludf.DUMMYFUNCTION("""COMPUTED_VALUE"""),0.0)</f>
        <v>0</v>
      </c>
      <c r="AS1905" s="82"/>
      <c r="AT1905" s="82">
        <f>IFERROR(__xludf.DUMMYFUNCTION("""COMPUTED_VALUE"""),0.0)</f>
        <v>0</v>
      </c>
      <c r="AU1905" s="82"/>
      <c r="AV1905" s="82"/>
      <c r="AW1905" s="82" t="str">
        <f t="shared" si="1"/>
        <v/>
      </c>
      <c r="AX1905" s="83" t="str">
        <f t="array" ref="AX1905">IFERROR(DGET('SBV Import'!A:G,"SBV",{"RSC ID","Tier";B1905,A1905}))</f>
        <v/>
      </c>
      <c r="AY1905" s="82" t="str">
        <f t="shared" si="2"/>
        <v/>
      </c>
      <c r="AZ1905" s="82"/>
      <c r="BA1905" s="84" t="s">
        <v>152</v>
      </c>
      <c r="BB1905" s="84" t="str">
        <f>IFERROR(__xludf.DUMMYFUNCTION("iferror(if(A1905="""",,E1905&gt;=FILTER(Constants!$F$2:$F$10,Constants!$A$2:$A$10=A1905)))"),"")</f>
        <v/>
      </c>
    </row>
    <row r="1906">
      <c r="A1906" s="89"/>
      <c r="B1906" s="87"/>
      <c r="C1906" s="73"/>
      <c r="D1906" s="73"/>
      <c r="E1906" s="82"/>
      <c r="F1906" s="82"/>
      <c r="G1906" s="86"/>
      <c r="H1906" s="86"/>
      <c r="I1906" s="86"/>
      <c r="J1906" s="82"/>
      <c r="K1906" s="82"/>
      <c r="L1906" s="82"/>
      <c r="M1906" s="82"/>
      <c r="N1906" s="82"/>
      <c r="O1906" s="82"/>
      <c r="P1906" s="82"/>
      <c r="Q1906" s="82"/>
      <c r="R1906" s="82"/>
      <c r="S1906" s="82"/>
      <c r="T1906" s="82"/>
      <c r="U1906" s="82"/>
      <c r="V1906" s="82"/>
      <c r="W1906" s="82"/>
      <c r="X1906" s="82"/>
      <c r="Y1906" s="82"/>
      <c r="Z1906" s="82"/>
      <c r="AA1906" s="82"/>
      <c r="AB1906" s="82"/>
      <c r="AC1906" s="82"/>
      <c r="AD1906" s="82"/>
      <c r="AE1906" s="82"/>
      <c r="AF1906" s="82"/>
      <c r="AG1906" s="82"/>
      <c r="AH1906" s="82"/>
      <c r="AI1906" s="82"/>
      <c r="AJ1906" s="82"/>
      <c r="AK1906" s="82"/>
      <c r="AL1906" s="82"/>
      <c r="AM1906" s="82"/>
      <c r="AN1906" s="82">
        <f>IFERROR(__xludf.DUMMYFUNCTION("""COMPUTED_VALUE"""),0.0)</f>
        <v>0</v>
      </c>
      <c r="AO1906" s="82">
        <f>IFERROR(__xludf.DUMMYFUNCTION("""COMPUTED_VALUE"""),0.0)</f>
        <v>0</v>
      </c>
      <c r="AP1906" s="82">
        <f>IFERROR(__xludf.DUMMYFUNCTION("""COMPUTED_VALUE"""),0.0)</f>
        <v>0</v>
      </c>
      <c r="AQ1906" s="82">
        <f>IFERROR(__xludf.DUMMYFUNCTION("""COMPUTED_VALUE"""),0.0)</f>
        <v>0</v>
      </c>
      <c r="AR1906" s="82">
        <f>IFERROR(__xludf.DUMMYFUNCTION("""COMPUTED_VALUE"""),0.0)</f>
        <v>0</v>
      </c>
      <c r="AS1906" s="82"/>
      <c r="AT1906" s="82">
        <f>IFERROR(__xludf.DUMMYFUNCTION("""COMPUTED_VALUE"""),0.0)</f>
        <v>0</v>
      </c>
      <c r="AU1906" s="82"/>
      <c r="AV1906" s="82"/>
      <c r="AW1906" s="82" t="str">
        <f t="shared" si="1"/>
        <v/>
      </c>
      <c r="AX1906" s="83" t="str">
        <f t="array" ref="AX1906">IFERROR(DGET('SBV Import'!A:G,"SBV",{"RSC ID","Tier";B1906,A1906}))</f>
        <v/>
      </c>
      <c r="AY1906" s="82" t="str">
        <f t="shared" si="2"/>
        <v/>
      </c>
      <c r="AZ1906" s="82"/>
      <c r="BA1906" s="84" t="s">
        <v>152</v>
      </c>
      <c r="BB1906" s="84" t="str">
        <f>IFERROR(__xludf.DUMMYFUNCTION("iferror(if(A1906="""",,E1906&gt;=FILTER(Constants!$F$2:$F$10,Constants!$A$2:$A$10=A1906)))"),"")</f>
        <v/>
      </c>
    </row>
    <row r="1907">
      <c r="A1907" s="89"/>
      <c r="B1907" s="87"/>
      <c r="C1907" s="73"/>
      <c r="D1907" s="73"/>
      <c r="E1907" s="82"/>
      <c r="F1907" s="82"/>
      <c r="G1907" s="86"/>
      <c r="H1907" s="86"/>
      <c r="I1907" s="86"/>
      <c r="J1907" s="82"/>
      <c r="K1907" s="82"/>
      <c r="L1907" s="82"/>
      <c r="M1907" s="82"/>
      <c r="N1907" s="82"/>
      <c r="O1907" s="82"/>
      <c r="P1907" s="82"/>
      <c r="Q1907" s="82"/>
      <c r="R1907" s="82"/>
      <c r="S1907" s="82"/>
      <c r="T1907" s="82"/>
      <c r="U1907" s="82"/>
      <c r="V1907" s="82"/>
      <c r="W1907" s="82"/>
      <c r="X1907" s="82"/>
      <c r="Y1907" s="82"/>
      <c r="Z1907" s="82"/>
      <c r="AA1907" s="82"/>
      <c r="AB1907" s="82"/>
      <c r="AC1907" s="82"/>
      <c r="AD1907" s="82"/>
      <c r="AE1907" s="82"/>
      <c r="AF1907" s="82"/>
      <c r="AG1907" s="82"/>
      <c r="AH1907" s="82"/>
      <c r="AI1907" s="82"/>
      <c r="AJ1907" s="82"/>
      <c r="AK1907" s="82"/>
      <c r="AL1907" s="82"/>
      <c r="AM1907" s="82"/>
      <c r="AN1907" s="82">
        <f>IFERROR(__xludf.DUMMYFUNCTION("""COMPUTED_VALUE"""),0.0)</f>
        <v>0</v>
      </c>
      <c r="AO1907" s="82">
        <f>IFERROR(__xludf.DUMMYFUNCTION("""COMPUTED_VALUE"""),0.0)</f>
        <v>0</v>
      </c>
      <c r="AP1907" s="82">
        <f>IFERROR(__xludf.DUMMYFUNCTION("""COMPUTED_VALUE"""),0.0)</f>
        <v>0</v>
      </c>
      <c r="AQ1907" s="82">
        <f>IFERROR(__xludf.DUMMYFUNCTION("""COMPUTED_VALUE"""),0.0)</f>
        <v>0</v>
      </c>
      <c r="AR1907" s="82">
        <f>IFERROR(__xludf.DUMMYFUNCTION("""COMPUTED_VALUE"""),0.0)</f>
        <v>0</v>
      </c>
      <c r="AS1907" s="82"/>
      <c r="AT1907" s="82">
        <f>IFERROR(__xludf.DUMMYFUNCTION("""COMPUTED_VALUE"""),0.0)</f>
        <v>0</v>
      </c>
      <c r="AU1907" s="82"/>
      <c r="AV1907" s="82"/>
      <c r="AW1907" s="82" t="str">
        <f t="shared" si="1"/>
        <v/>
      </c>
      <c r="AX1907" s="83" t="str">
        <f t="array" ref="AX1907">IFERROR(DGET('SBV Import'!A:G,"SBV",{"RSC ID","Tier";B1907,A1907}))</f>
        <v/>
      </c>
      <c r="AY1907" s="82" t="str">
        <f t="shared" si="2"/>
        <v/>
      </c>
      <c r="AZ1907" s="82"/>
      <c r="BA1907" s="84" t="s">
        <v>152</v>
      </c>
      <c r="BB1907" s="84" t="str">
        <f>IFERROR(__xludf.DUMMYFUNCTION("iferror(if(A1907="""",,E1907&gt;=FILTER(Constants!$F$2:$F$10,Constants!$A$2:$A$10=A1907)))"),"")</f>
        <v/>
      </c>
    </row>
    <row r="1908">
      <c r="A1908" s="89"/>
      <c r="B1908" s="87"/>
      <c r="C1908" s="73"/>
      <c r="D1908" s="73"/>
      <c r="E1908" s="82"/>
      <c r="F1908" s="82"/>
      <c r="G1908" s="86"/>
      <c r="H1908" s="86"/>
      <c r="I1908" s="86"/>
      <c r="J1908" s="82"/>
      <c r="K1908" s="82"/>
      <c r="L1908" s="82"/>
      <c r="M1908" s="82"/>
      <c r="N1908" s="82"/>
      <c r="O1908" s="82"/>
      <c r="P1908" s="82"/>
      <c r="Q1908" s="82"/>
      <c r="R1908" s="82"/>
      <c r="S1908" s="82"/>
      <c r="T1908" s="82"/>
      <c r="U1908" s="82"/>
      <c r="V1908" s="82"/>
      <c r="W1908" s="82"/>
      <c r="X1908" s="82"/>
      <c r="Y1908" s="82"/>
      <c r="Z1908" s="82"/>
      <c r="AA1908" s="82"/>
      <c r="AB1908" s="82"/>
      <c r="AC1908" s="82"/>
      <c r="AD1908" s="82"/>
      <c r="AE1908" s="82"/>
      <c r="AF1908" s="82"/>
      <c r="AG1908" s="82"/>
      <c r="AH1908" s="82"/>
      <c r="AI1908" s="82"/>
      <c r="AJ1908" s="82"/>
      <c r="AK1908" s="82"/>
      <c r="AL1908" s="82"/>
      <c r="AM1908" s="82"/>
      <c r="AN1908" s="82">
        <f>IFERROR(__xludf.DUMMYFUNCTION("""COMPUTED_VALUE"""),0.0)</f>
        <v>0</v>
      </c>
      <c r="AO1908" s="82">
        <f>IFERROR(__xludf.DUMMYFUNCTION("""COMPUTED_VALUE"""),0.0)</f>
        <v>0</v>
      </c>
      <c r="AP1908" s="82">
        <f>IFERROR(__xludf.DUMMYFUNCTION("""COMPUTED_VALUE"""),0.0)</f>
        <v>0</v>
      </c>
      <c r="AQ1908" s="82">
        <f>IFERROR(__xludf.DUMMYFUNCTION("""COMPUTED_VALUE"""),0.0)</f>
        <v>0</v>
      </c>
      <c r="AR1908" s="82">
        <f>IFERROR(__xludf.DUMMYFUNCTION("""COMPUTED_VALUE"""),0.0)</f>
        <v>0</v>
      </c>
      <c r="AS1908" s="82"/>
      <c r="AT1908" s="82">
        <f>IFERROR(__xludf.DUMMYFUNCTION("""COMPUTED_VALUE"""),0.0)</f>
        <v>0</v>
      </c>
      <c r="AU1908" s="82"/>
      <c r="AV1908" s="82"/>
      <c r="AW1908" s="82" t="str">
        <f t="shared" si="1"/>
        <v/>
      </c>
      <c r="AX1908" s="83" t="str">
        <f t="array" ref="AX1908">IFERROR(DGET('SBV Import'!A:G,"SBV",{"RSC ID","Tier";B1908,A1908}))</f>
        <v/>
      </c>
      <c r="AY1908" s="82" t="str">
        <f t="shared" si="2"/>
        <v/>
      </c>
      <c r="AZ1908" s="82"/>
      <c r="BA1908" s="84" t="s">
        <v>152</v>
      </c>
      <c r="BB1908" s="84" t="str">
        <f>IFERROR(__xludf.DUMMYFUNCTION("iferror(if(A1908="""",,E1908&gt;=FILTER(Constants!$F$2:$F$10,Constants!$A$2:$A$10=A1908)))"),"")</f>
        <v/>
      </c>
    </row>
    <row r="1909">
      <c r="A1909" s="89"/>
      <c r="B1909" s="87"/>
      <c r="C1909" s="73"/>
      <c r="D1909" s="73"/>
      <c r="E1909" s="82"/>
      <c r="F1909" s="82"/>
      <c r="G1909" s="86"/>
      <c r="H1909" s="86"/>
      <c r="I1909" s="86"/>
      <c r="J1909" s="82"/>
      <c r="K1909" s="82"/>
      <c r="L1909" s="82"/>
      <c r="M1909" s="82"/>
      <c r="N1909" s="82"/>
      <c r="O1909" s="82"/>
      <c r="P1909" s="82"/>
      <c r="Q1909" s="82"/>
      <c r="R1909" s="82"/>
      <c r="S1909" s="82"/>
      <c r="T1909" s="82"/>
      <c r="U1909" s="82"/>
      <c r="V1909" s="82"/>
      <c r="W1909" s="82"/>
      <c r="X1909" s="82"/>
      <c r="Y1909" s="82"/>
      <c r="Z1909" s="82"/>
      <c r="AA1909" s="82"/>
      <c r="AB1909" s="82"/>
      <c r="AC1909" s="82"/>
      <c r="AD1909" s="82"/>
      <c r="AE1909" s="82"/>
      <c r="AF1909" s="82"/>
      <c r="AG1909" s="82"/>
      <c r="AH1909" s="82"/>
      <c r="AI1909" s="82"/>
      <c r="AJ1909" s="82"/>
      <c r="AK1909" s="82"/>
      <c r="AL1909" s="82"/>
      <c r="AM1909" s="82"/>
      <c r="AN1909" s="82">
        <f>IFERROR(__xludf.DUMMYFUNCTION("""COMPUTED_VALUE"""),0.0)</f>
        <v>0</v>
      </c>
      <c r="AO1909" s="82">
        <f>IFERROR(__xludf.DUMMYFUNCTION("""COMPUTED_VALUE"""),0.0)</f>
        <v>0</v>
      </c>
      <c r="AP1909" s="82">
        <f>IFERROR(__xludf.DUMMYFUNCTION("""COMPUTED_VALUE"""),0.0)</f>
        <v>0</v>
      </c>
      <c r="AQ1909" s="82">
        <f>IFERROR(__xludf.DUMMYFUNCTION("""COMPUTED_VALUE"""),0.0)</f>
        <v>0</v>
      </c>
      <c r="AR1909" s="82">
        <f>IFERROR(__xludf.DUMMYFUNCTION("""COMPUTED_VALUE"""),0.0)</f>
        <v>0</v>
      </c>
      <c r="AS1909" s="82"/>
      <c r="AT1909" s="82">
        <f>IFERROR(__xludf.DUMMYFUNCTION("""COMPUTED_VALUE"""),0.0)</f>
        <v>0</v>
      </c>
      <c r="AU1909" s="82"/>
      <c r="AV1909" s="82"/>
      <c r="AW1909" s="82" t="str">
        <f t="shared" si="1"/>
        <v/>
      </c>
      <c r="AX1909" s="83" t="str">
        <f t="array" ref="AX1909">IFERROR(DGET('SBV Import'!A:G,"SBV",{"RSC ID","Tier";B1909,A1909}))</f>
        <v/>
      </c>
      <c r="AY1909" s="82" t="str">
        <f t="shared" si="2"/>
        <v/>
      </c>
      <c r="AZ1909" s="82"/>
      <c r="BA1909" s="84" t="s">
        <v>152</v>
      </c>
      <c r="BB1909" s="84" t="str">
        <f>IFERROR(__xludf.DUMMYFUNCTION("iferror(if(A1909="""",,E1909&gt;=FILTER(Constants!$F$2:$F$10,Constants!$A$2:$A$10=A1909)))"),"")</f>
        <v/>
      </c>
    </row>
    <row r="1910">
      <c r="A1910" s="89"/>
      <c r="B1910" s="87"/>
      <c r="C1910" s="73"/>
      <c r="D1910" s="73"/>
      <c r="E1910" s="82"/>
      <c r="F1910" s="82"/>
      <c r="G1910" s="86"/>
      <c r="H1910" s="86"/>
      <c r="I1910" s="86"/>
      <c r="J1910" s="82"/>
      <c r="K1910" s="82"/>
      <c r="L1910" s="82"/>
      <c r="M1910" s="82"/>
      <c r="N1910" s="82"/>
      <c r="O1910" s="82"/>
      <c r="P1910" s="82"/>
      <c r="Q1910" s="82"/>
      <c r="R1910" s="82"/>
      <c r="S1910" s="82"/>
      <c r="T1910" s="82"/>
      <c r="U1910" s="82"/>
      <c r="V1910" s="82"/>
      <c r="W1910" s="82"/>
      <c r="X1910" s="82"/>
      <c r="Y1910" s="82"/>
      <c r="Z1910" s="82"/>
      <c r="AA1910" s="82"/>
      <c r="AB1910" s="82"/>
      <c r="AC1910" s="82"/>
      <c r="AD1910" s="82"/>
      <c r="AE1910" s="82"/>
      <c r="AF1910" s="82"/>
      <c r="AG1910" s="82"/>
      <c r="AH1910" s="82"/>
      <c r="AI1910" s="82"/>
      <c r="AJ1910" s="82"/>
      <c r="AK1910" s="82"/>
      <c r="AL1910" s="82"/>
      <c r="AM1910" s="82"/>
      <c r="AN1910" s="82">
        <f>IFERROR(__xludf.DUMMYFUNCTION("""COMPUTED_VALUE"""),0.0)</f>
        <v>0</v>
      </c>
      <c r="AO1910" s="82">
        <f>IFERROR(__xludf.DUMMYFUNCTION("""COMPUTED_VALUE"""),0.0)</f>
        <v>0</v>
      </c>
      <c r="AP1910" s="82">
        <f>IFERROR(__xludf.DUMMYFUNCTION("""COMPUTED_VALUE"""),0.0)</f>
        <v>0</v>
      </c>
      <c r="AQ1910" s="82">
        <f>IFERROR(__xludf.DUMMYFUNCTION("""COMPUTED_VALUE"""),0.0)</f>
        <v>0</v>
      </c>
      <c r="AR1910" s="82">
        <f>IFERROR(__xludf.DUMMYFUNCTION("""COMPUTED_VALUE"""),0.0)</f>
        <v>0</v>
      </c>
      <c r="AS1910" s="82"/>
      <c r="AT1910" s="82">
        <f>IFERROR(__xludf.DUMMYFUNCTION("""COMPUTED_VALUE"""),0.0)</f>
        <v>0</v>
      </c>
      <c r="AU1910" s="82"/>
      <c r="AV1910" s="82"/>
      <c r="AW1910" s="82" t="str">
        <f t="shared" si="1"/>
        <v/>
      </c>
      <c r="AX1910" s="83" t="str">
        <f t="array" ref="AX1910">IFERROR(DGET('SBV Import'!A:G,"SBV",{"RSC ID","Tier";B1910,A1910}))</f>
        <v/>
      </c>
      <c r="AY1910" s="82" t="str">
        <f t="shared" si="2"/>
        <v/>
      </c>
      <c r="AZ1910" s="82"/>
      <c r="BA1910" s="84" t="s">
        <v>152</v>
      </c>
      <c r="BB1910" s="84" t="str">
        <f>IFERROR(__xludf.DUMMYFUNCTION("iferror(if(A1910="""",,E1910&gt;=FILTER(Constants!$F$2:$F$10,Constants!$A$2:$A$10=A1910)))"),"")</f>
        <v/>
      </c>
    </row>
    <row r="1911">
      <c r="A1911" s="89"/>
      <c r="B1911" s="87"/>
      <c r="C1911" s="73"/>
      <c r="D1911" s="73"/>
      <c r="E1911" s="82"/>
      <c r="F1911" s="82"/>
      <c r="G1911" s="86"/>
      <c r="H1911" s="86"/>
      <c r="I1911" s="86"/>
      <c r="J1911" s="82"/>
      <c r="K1911" s="82"/>
      <c r="L1911" s="82"/>
      <c r="M1911" s="82"/>
      <c r="N1911" s="82"/>
      <c r="O1911" s="82"/>
      <c r="P1911" s="82"/>
      <c r="Q1911" s="82"/>
      <c r="R1911" s="82"/>
      <c r="S1911" s="82"/>
      <c r="T1911" s="82"/>
      <c r="U1911" s="82"/>
      <c r="V1911" s="82"/>
      <c r="W1911" s="82"/>
      <c r="X1911" s="82"/>
      <c r="Y1911" s="82"/>
      <c r="Z1911" s="82"/>
      <c r="AA1911" s="82"/>
      <c r="AB1911" s="82"/>
      <c r="AC1911" s="82"/>
      <c r="AD1911" s="82"/>
      <c r="AE1911" s="82"/>
      <c r="AF1911" s="82"/>
      <c r="AG1911" s="82"/>
      <c r="AH1911" s="82"/>
      <c r="AI1911" s="82"/>
      <c r="AJ1911" s="82"/>
      <c r="AK1911" s="82"/>
      <c r="AL1911" s="82"/>
      <c r="AM1911" s="82"/>
      <c r="AN1911" s="82">
        <f>IFERROR(__xludf.DUMMYFUNCTION("""COMPUTED_VALUE"""),0.0)</f>
        <v>0</v>
      </c>
      <c r="AO1911" s="82">
        <f>IFERROR(__xludf.DUMMYFUNCTION("""COMPUTED_VALUE"""),0.0)</f>
        <v>0</v>
      </c>
      <c r="AP1911" s="82">
        <f>IFERROR(__xludf.DUMMYFUNCTION("""COMPUTED_VALUE"""),0.0)</f>
        <v>0</v>
      </c>
      <c r="AQ1911" s="82">
        <f>IFERROR(__xludf.DUMMYFUNCTION("""COMPUTED_VALUE"""),0.0)</f>
        <v>0</v>
      </c>
      <c r="AR1911" s="82">
        <f>IFERROR(__xludf.DUMMYFUNCTION("""COMPUTED_VALUE"""),0.0)</f>
        <v>0</v>
      </c>
      <c r="AS1911" s="82"/>
      <c r="AT1911" s="82">
        <f>IFERROR(__xludf.DUMMYFUNCTION("""COMPUTED_VALUE"""),0.0)</f>
        <v>0</v>
      </c>
      <c r="AU1911" s="82"/>
      <c r="AV1911" s="82"/>
      <c r="AW1911" s="82" t="str">
        <f t="shared" si="1"/>
        <v/>
      </c>
      <c r="AX1911" s="83" t="str">
        <f t="array" ref="AX1911">IFERROR(DGET('SBV Import'!A:G,"SBV",{"RSC ID","Tier";B1911,A1911}))</f>
        <v/>
      </c>
      <c r="AY1911" s="82" t="str">
        <f t="shared" si="2"/>
        <v/>
      </c>
      <c r="AZ1911" s="82"/>
      <c r="BA1911" s="84" t="s">
        <v>152</v>
      </c>
      <c r="BB1911" s="84" t="str">
        <f>IFERROR(__xludf.DUMMYFUNCTION("iferror(if(A1911="""",,E1911&gt;=FILTER(Constants!$F$2:$F$10,Constants!$A$2:$A$10=A1911)))"),"")</f>
        <v/>
      </c>
    </row>
    <row r="1912">
      <c r="A1912" s="89"/>
      <c r="B1912" s="87"/>
      <c r="C1912" s="73"/>
      <c r="D1912" s="73"/>
      <c r="E1912" s="82"/>
      <c r="F1912" s="82"/>
      <c r="G1912" s="86"/>
      <c r="H1912" s="86"/>
      <c r="I1912" s="86"/>
      <c r="J1912" s="82"/>
      <c r="K1912" s="82"/>
      <c r="L1912" s="82"/>
      <c r="M1912" s="82"/>
      <c r="N1912" s="82"/>
      <c r="O1912" s="82"/>
      <c r="P1912" s="82"/>
      <c r="Q1912" s="82"/>
      <c r="R1912" s="82"/>
      <c r="S1912" s="82"/>
      <c r="T1912" s="82"/>
      <c r="U1912" s="82"/>
      <c r="V1912" s="82"/>
      <c r="W1912" s="82"/>
      <c r="X1912" s="82"/>
      <c r="Y1912" s="82"/>
      <c r="Z1912" s="82"/>
      <c r="AA1912" s="82"/>
      <c r="AB1912" s="82"/>
      <c r="AC1912" s="82"/>
      <c r="AD1912" s="82"/>
      <c r="AE1912" s="82"/>
      <c r="AF1912" s="82"/>
      <c r="AG1912" s="82"/>
      <c r="AH1912" s="82"/>
      <c r="AI1912" s="82"/>
      <c r="AJ1912" s="82"/>
      <c r="AK1912" s="82"/>
      <c r="AL1912" s="82"/>
      <c r="AM1912" s="82"/>
      <c r="AN1912" s="82">
        <f>IFERROR(__xludf.DUMMYFUNCTION("""COMPUTED_VALUE"""),0.0)</f>
        <v>0</v>
      </c>
      <c r="AO1912" s="82">
        <f>IFERROR(__xludf.DUMMYFUNCTION("""COMPUTED_VALUE"""),0.0)</f>
        <v>0</v>
      </c>
      <c r="AP1912" s="82">
        <f>IFERROR(__xludf.DUMMYFUNCTION("""COMPUTED_VALUE"""),0.0)</f>
        <v>0</v>
      </c>
      <c r="AQ1912" s="82">
        <f>IFERROR(__xludf.DUMMYFUNCTION("""COMPUTED_VALUE"""),0.0)</f>
        <v>0</v>
      </c>
      <c r="AR1912" s="82">
        <f>IFERROR(__xludf.DUMMYFUNCTION("""COMPUTED_VALUE"""),0.0)</f>
        <v>0</v>
      </c>
      <c r="AS1912" s="82"/>
      <c r="AT1912" s="82">
        <f>IFERROR(__xludf.DUMMYFUNCTION("""COMPUTED_VALUE"""),0.0)</f>
        <v>0</v>
      </c>
      <c r="AU1912" s="82"/>
      <c r="AV1912" s="82"/>
      <c r="AW1912" s="82" t="str">
        <f t="shared" si="1"/>
        <v/>
      </c>
      <c r="AX1912" s="83" t="str">
        <f t="array" ref="AX1912">IFERROR(DGET('SBV Import'!A:G,"SBV",{"RSC ID","Tier";B1912,A1912}))</f>
        <v/>
      </c>
      <c r="AY1912" s="82" t="str">
        <f t="shared" si="2"/>
        <v/>
      </c>
      <c r="AZ1912" s="82"/>
      <c r="BA1912" s="84" t="s">
        <v>152</v>
      </c>
      <c r="BB1912" s="84" t="str">
        <f>IFERROR(__xludf.DUMMYFUNCTION("iferror(if(A1912="""",,E1912&gt;=FILTER(Constants!$F$2:$F$10,Constants!$A$2:$A$10=A1912)))"),"")</f>
        <v/>
      </c>
    </row>
    <row r="1913">
      <c r="A1913" s="89"/>
      <c r="B1913" s="87"/>
      <c r="C1913" s="73"/>
      <c r="D1913" s="73"/>
      <c r="E1913" s="82"/>
      <c r="F1913" s="82"/>
      <c r="G1913" s="86"/>
      <c r="H1913" s="86"/>
      <c r="I1913" s="86"/>
      <c r="J1913" s="82"/>
      <c r="K1913" s="82"/>
      <c r="L1913" s="82"/>
      <c r="M1913" s="82"/>
      <c r="N1913" s="82"/>
      <c r="O1913" s="82"/>
      <c r="P1913" s="82"/>
      <c r="Q1913" s="82"/>
      <c r="R1913" s="82"/>
      <c r="S1913" s="82"/>
      <c r="T1913" s="82"/>
      <c r="U1913" s="82"/>
      <c r="V1913" s="82"/>
      <c r="W1913" s="82"/>
      <c r="X1913" s="82"/>
      <c r="Y1913" s="82"/>
      <c r="Z1913" s="82"/>
      <c r="AA1913" s="82"/>
      <c r="AB1913" s="82"/>
      <c r="AC1913" s="82"/>
      <c r="AD1913" s="82"/>
      <c r="AE1913" s="82"/>
      <c r="AF1913" s="82"/>
      <c r="AG1913" s="82"/>
      <c r="AH1913" s="82"/>
      <c r="AI1913" s="82"/>
      <c r="AJ1913" s="82"/>
      <c r="AK1913" s="82"/>
      <c r="AL1913" s="82"/>
      <c r="AM1913" s="82"/>
      <c r="AN1913" s="82">
        <f>IFERROR(__xludf.DUMMYFUNCTION("""COMPUTED_VALUE"""),0.0)</f>
        <v>0</v>
      </c>
      <c r="AO1913" s="82">
        <f>IFERROR(__xludf.DUMMYFUNCTION("""COMPUTED_VALUE"""),0.0)</f>
        <v>0</v>
      </c>
      <c r="AP1913" s="82">
        <f>IFERROR(__xludf.DUMMYFUNCTION("""COMPUTED_VALUE"""),0.0)</f>
        <v>0</v>
      </c>
      <c r="AQ1913" s="82">
        <f>IFERROR(__xludf.DUMMYFUNCTION("""COMPUTED_VALUE"""),0.0)</f>
        <v>0</v>
      </c>
      <c r="AR1913" s="82">
        <f>IFERROR(__xludf.DUMMYFUNCTION("""COMPUTED_VALUE"""),0.0)</f>
        <v>0</v>
      </c>
      <c r="AS1913" s="82"/>
      <c r="AT1913" s="82">
        <f>IFERROR(__xludf.DUMMYFUNCTION("""COMPUTED_VALUE"""),0.0)</f>
        <v>0</v>
      </c>
      <c r="AU1913" s="82"/>
      <c r="AV1913" s="82"/>
      <c r="AW1913" s="82" t="str">
        <f t="shared" si="1"/>
        <v/>
      </c>
      <c r="AX1913" s="83" t="str">
        <f t="array" ref="AX1913">IFERROR(DGET('SBV Import'!A:G,"SBV",{"RSC ID","Tier";B1913,A1913}))</f>
        <v/>
      </c>
      <c r="AY1913" s="82" t="str">
        <f t="shared" si="2"/>
        <v/>
      </c>
      <c r="AZ1913" s="82"/>
      <c r="BA1913" s="84" t="s">
        <v>152</v>
      </c>
      <c r="BB1913" s="84" t="str">
        <f>IFERROR(__xludf.DUMMYFUNCTION("iferror(if(A1913="""",,E1913&gt;=FILTER(Constants!$F$2:$F$10,Constants!$A$2:$A$10=A1913)))"),"")</f>
        <v/>
      </c>
    </row>
    <row r="1914">
      <c r="A1914" s="89"/>
      <c r="B1914" s="87"/>
      <c r="C1914" s="73"/>
      <c r="D1914" s="73"/>
      <c r="E1914" s="82"/>
      <c r="F1914" s="82"/>
      <c r="G1914" s="86"/>
      <c r="H1914" s="86"/>
      <c r="I1914" s="86"/>
      <c r="J1914" s="82"/>
      <c r="K1914" s="82"/>
      <c r="L1914" s="82"/>
      <c r="M1914" s="82"/>
      <c r="N1914" s="82"/>
      <c r="O1914" s="82"/>
      <c r="P1914" s="82"/>
      <c r="Q1914" s="82"/>
      <c r="R1914" s="82"/>
      <c r="S1914" s="82"/>
      <c r="T1914" s="82"/>
      <c r="U1914" s="82"/>
      <c r="V1914" s="82"/>
      <c r="W1914" s="82"/>
      <c r="X1914" s="82"/>
      <c r="Y1914" s="82"/>
      <c r="Z1914" s="82"/>
      <c r="AA1914" s="82"/>
      <c r="AB1914" s="82"/>
      <c r="AC1914" s="82"/>
      <c r="AD1914" s="82"/>
      <c r="AE1914" s="82"/>
      <c r="AF1914" s="82"/>
      <c r="AG1914" s="82"/>
      <c r="AH1914" s="82"/>
      <c r="AI1914" s="82"/>
      <c r="AJ1914" s="82"/>
      <c r="AK1914" s="82"/>
      <c r="AL1914" s="82"/>
      <c r="AM1914" s="82"/>
      <c r="AN1914" s="82">
        <f>IFERROR(__xludf.DUMMYFUNCTION("""COMPUTED_VALUE"""),0.0)</f>
        <v>0</v>
      </c>
      <c r="AO1914" s="82">
        <f>IFERROR(__xludf.DUMMYFUNCTION("""COMPUTED_VALUE"""),0.0)</f>
        <v>0</v>
      </c>
      <c r="AP1914" s="82">
        <f>IFERROR(__xludf.DUMMYFUNCTION("""COMPUTED_VALUE"""),0.0)</f>
        <v>0</v>
      </c>
      <c r="AQ1914" s="82">
        <f>IFERROR(__xludf.DUMMYFUNCTION("""COMPUTED_VALUE"""),0.0)</f>
        <v>0</v>
      </c>
      <c r="AR1914" s="82">
        <f>IFERROR(__xludf.DUMMYFUNCTION("""COMPUTED_VALUE"""),0.0)</f>
        <v>0</v>
      </c>
      <c r="AS1914" s="82"/>
      <c r="AT1914" s="82">
        <f>IFERROR(__xludf.DUMMYFUNCTION("""COMPUTED_VALUE"""),0.0)</f>
        <v>0</v>
      </c>
      <c r="AU1914" s="82"/>
      <c r="AV1914" s="82"/>
      <c r="AW1914" s="82" t="str">
        <f t="shared" si="1"/>
        <v/>
      </c>
      <c r="AX1914" s="83" t="str">
        <f t="array" ref="AX1914">IFERROR(DGET('SBV Import'!A:G,"SBV",{"RSC ID","Tier";B1914,A1914}))</f>
        <v/>
      </c>
      <c r="AY1914" s="82" t="str">
        <f t="shared" si="2"/>
        <v/>
      </c>
      <c r="AZ1914" s="82"/>
      <c r="BA1914" s="84" t="s">
        <v>152</v>
      </c>
      <c r="BB1914" s="84" t="str">
        <f>IFERROR(__xludf.DUMMYFUNCTION("iferror(if(A1914="""",,E1914&gt;=FILTER(Constants!$F$2:$F$10,Constants!$A$2:$A$10=A1914)))"),"")</f>
        <v/>
      </c>
    </row>
    <row r="1915">
      <c r="A1915" s="89"/>
      <c r="B1915" s="87"/>
      <c r="C1915" s="73"/>
      <c r="D1915" s="73"/>
      <c r="E1915" s="82"/>
      <c r="F1915" s="82"/>
      <c r="G1915" s="86"/>
      <c r="H1915" s="86"/>
      <c r="I1915" s="86"/>
      <c r="J1915" s="82"/>
      <c r="K1915" s="82"/>
      <c r="L1915" s="82"/>
      <c r="M1915" s="82"/>
      <c r="N1915" s="82"/>
      <c r="O1915" s="82"/>
      <c r="P1915" s="82"/>
      <c r="Q1915" s="82"/>
      <c r="R1915" s="82"/>
      <c r="S1915" s="82"/>
      <c r="T1915" s="82"/>
      <c r="U1915" s="82"/>
      <c r="V1915" s="82"/>
      <c r="W1915" s="82"/>
      <c r="X1915" s="82"/>
      <c r="Y1915" s="82"/>
      <c r="Z1915" s="82"/>
      <c r="AA1915" s="82"/>
      <c r="AB1915" s="82"/>
      <c r="AC1915" s="82"/>
      <c r="AD1915" s="82"/>
      <c r="AE1915" s="82"/>
      <c r="AF1915" s="82"/>
      <c r="AG1915" s="82"/>
      <c r="AH1915" s="82"/>
      <c r="AI1915" s="82"/>
      <c r="AJ1915" s="82"/>
      <c r="AK1915" s="82"/>
      <c r="AL1915" s="82"/>
      <c r="AM1915" s="82"/>
      <c r="AN1915" s="82">
        <f>IFERROR(__xludf.DUMMYFUNCTION("""COMPUTED_VALUE"""),0.0)</f>
        <v>0</v>
      </c>
      <c r="AO1915" s="82">
        <f>IFERROR(__xludf.DUMMYFUNCTION("""COMPUTED_VALUE"""),0.0)</f>
        <v>0</v>
      </c>
      <c r="AP1915" s="82">
        <f>IFERROR(__xludf.DUMMYFUNCTION("""COMPUTED_VALUE"""),0.0)</f>
        <v>0</v>
      </c>
      <c r="AQ1915" s="82">
        <f>IFERROR(__xludf.DUMMYFUNCTION("""COMPUTED_VALUE"""),0.0)</f>
        <v>0</v>
      </c>
      <c r="AR1915" s="82">
        <f>IFERROR(__xludf.DUMMYFUNCTION("""COMPUTED_VALUE"""),0.0)</f>
        <v>0</v>
      </c>
      <c r="AS1915" s="82"/>
      <c r="AT1915" s="82">
        <f>IFERROR(__xludf.DUMMYFUNCTION("""COMPUTED_VALUE"""),0.0)</f>
        <v>0</v>
      </c>
      <c r="AU1915" s="82"/>
      <c r="AV1915" s="82"/>
      <c r="AW1915" s="82" t="str">
        <f t="shared" si="1"/>
        <v/>
      </c>
      <c r="AX1915" s="83" t="str">
        <f t="array" ref="AX1915">IFERROR(DGET('SBV Import'!A:G,"SBV",{"RSC ID","Tier";B1915,A1915}))</f>
        <v/>
      </c>
      <c r="AY1915" s="82" t="str">
        <f t="shared" si="2"/>
        <v/>
      </c>
      <c r="AZ1915" s="82"/>
      <c r="BA1915" s="84" t="s">
        <v>152</v>
      </c>
      <c r="BB1915" s="84" t="str">
        <f>IFERROR(__xludf.DUMMYFUNCTION("iferror(if(A1915="""",,E1915&gt;=FILTER(Constants!$F$2:$F$10,Constants!$A$2:$A$10=A1915)))"),"")</f>
        <v/>
      </c>
    </row>
    <row r="1916">
      <c r="A1916" s="89"/>
      <c r="B1916" s="87"/>
      <c r="C1916" s="73"/>
      <c r="D1916" s="73"/>
      <c r="E1916" s="82"/>
      <c r="F1916" s="82"/>
      <c r="G1916" s="86"/>
      <c r="H1916" s="86"/>
      <c r="I1916" s="86"/>
      <c r="J1916" s="82"/>
      <c r="K1916" s="82"/>
      <c r="L1916" s="82"/>
      <c r="M1916" s="82"/>
      <c r="N1916" s="82"/>
      <c r="O1916" s="82"/>
      <c r="P1916" s="82"/>
      <c r="Q1916" s="82"/>
      <c r="R1916" s="82"/>
      <c r="S1916" s="82"/>
      <c r="T1916" s="82"/>
      <c r="U1916" s="82"/>
      <c r="V1916" s="82"/>
      <c r="W1916" s="82"/>
      <c r="X1916" s="82"/>
      <c r="Y1916" s="82"/>
      <c r="Z1916" s="82"/>
      <c r="AA1916" s="82"/>
      <c r="AB1916" s="82"/>
      <c r="AC1916" s="82"/>
      <c r="AD1916" s="82"/>
      <c r="AE1916" s="82"/>
      <c r="AF1916" s="82"/>
      <c r="AG1916" s="82"/>
      <c r="AH1916" s="82"/>
      <c r="AI1916" s="82"/>
      <c r="AJ1916" s="82"/>
      <c r="AK1916" s="82"/>
      <c r="AL1916" s="82"/>
      <c r="AM1916" s="82"/>
      <c r="AN1916" s="82">
        <f>IFERROR(__xludf.DUMMYFUNCTION("""COMPUTED_VALUE"""),0.0)</f>
        <v>0</v>
      </c>
      <c r="AO1916" s="82">
        <f>IFERROR(__xludf.DUMMYFUNCTION("""COMPUTED_VALUE"""),0.0)</f>
        <v>0</v>
      </c>
      <c r="AP1916" s="82">
        <f>IFERROR(__xludf.DUMMYFUNCTION("""COMPUTED_VALUE"""),0.0)</f>
        <v>0</v>
      </c>
      <c r="AQ1916" s="82">
        <f>IFERROR(__xludf.DUMMYFUNCTION("""COMPUTED_VALUE"""),0.0)</f>
        <v>0</v>
      </c>
      <c r="AR1916" s="82">
        <f>IFERROR(__xludf.DUMMYFUNCTION("""COMPUTED_VALUE"""),0.0)</f>
        <v>0</v>
      </c>
      <c r="AS1916" s="82"/>
      <c r="AT1916" s="82">
        <f>IFERROR(__xludf.DUMMYFUNCTION("""COMPUTED_VALUE"""),0.0)</f>
        <v>0</v>
      </c>
      <c r="AU1916" s="82"/>
      <c r="AV1916" s="82"/>
      <c r="AW1916" s="82" t="str">
        <f t="shared" si="1"/>
        <v/>
      </c>
      <c r="AX1916" s="83" t="str">
        <f t="array" ref="AX1916">IFERROR(DGET('SBV Import'!A:G,"SBV",{"RSC ID","Tier";B1916,A1916}))</f>
        <v/>
      </c>
      <c r="AY1916" s="82" t="str">
        <f t="shared" si="2"/>
        <v/>
      </c>
      <c r="AZ1916" s="82"/>
      <c r="BA1916" s="84" t="s">
        <v>152</v>
      </c>
      <c r="BB1916" s="84" t="str">
        <f>IFERROR(__xludf.DUMMYFUNCTION("iferror(if(A1916="""",,E1916&gt;=FILTER(Constants!$F$2:$F$10,Constants!$A$2:$A$10=A1916)))"),"")</f>
        <v/>
      </c>
    </row>
    <row r="1917">
      <c r="A1917" s="89"/>
      <c r="B1917" s="87"/>
      <c r="C1917" s="73"/>
      <c r="D1917" s="73"/>
      <c r="E1917" s="82"/>
      <c r="F1917" s="82"/>
      <c r="G1917" s="86"/>
      <c r="H1917" s="86"/>
      <c r="I1917" s="86"/>
      <c r="J1917" s="82"/>
      <c r="K1917" s="82"/>
      <c r="L1917" s="82"/>
      <c r="M1917" s="82"/>
      <c r="N1917" s="82"/>
      <c r="O1917" s="82"/>
      <c r="P1917" s="82"/>
      <c r="Q1917" s="82"/>
      <c r="R1917" s="82"/>
      <c r="S1917" s="82"/>
      <c r="T1917" s="82"/>
      <c r="U1917" s="82"/>
      <c r="V1917" s="82"/>
      <c r="W1917" s="82"/>
      <c r="X1917" s="82"/>
      <c r="Y1917" s="82"/>
      <c r="Z1917" s="82"/>
      <c r="AA1917" s="82"/>
      <c r="AB1917" s="82"/>
      <c r="AC1917" s="82"/>
      <c r="AD1917" s="82"/>
      <c r="AE1917" s="82"/>
      <c r="AF1917" s="82"/>
      <c r="AG1917" s="82"/>
      <c r="AH1917" s="82"/>
      <c r="AI1917" s="82"/>
      <c r="AJ1917" s="82"/>
      <c r="AK1917" s="82"/>
      <c r="AL1917" s="82"/>
      <c r="AM1917" s="82"/>
      <c r="AN1917" s="82">
        <f>IFERROR(__xludf.DUMMYFUNCTION("""COMPUTED_VALUE"""),0.0)</f>
        <v>0</v>
      </c>
      <c r="AO1917" s="82">
        <f>IFERROR(__xludf.DUMMYFUNCTION("""COMPUTED_VALUE"""),0.0)</f>
        <v>0</v>
      </c>
      <c r="AP1917" s="82">
        <f>IFERROR(__xludf.DUMMYFUNCTION("""COMPUTED_VALUE"""),0.0)</f>
        <v>0</v>
      </c>
      <c r="AQ1917" s="82">
        <f>IFERROR(__xludf.DUMMYFUNCTION("""COMPUTED_VALUE"""),0.0)</f>
        <v>0</v>
      </c>
      <c r="AR1917" s="82">
        <f>IFERROR(__xludf.DUMMYFUNCTION("""COMPUTED_VALUE"""),0.0)</f>
        <v>0</v>
      </c>
      <c r="AS1917" s="82"/>
      <c r="AT1917" s="82">
        <f>IFERROR(__xludf.DUMMYFUNCTION("""COMPUTED_VALUE"""),0.0)</f>
        <v>0</v>
      </c>
      <c r="AU1917" s="82"/>
      <c r="AV1917" s="82"/>
      <c r="AW1917" s="82" t="str">
        <f t="shared" si="1"/>
        <v/>
      </c>
      <c r="AX1917" s="83" t="str">
        <f t="array" ref="AX1917">IFERROR(DGET('SBV Import'!A:G,"SBV",{"RSC ID","Tier";B1917,A1917}))</f>
        <v/>
      </c>
      <c r="AY1917" s="82" t="str">
        <f t="shared" si="2"/>
        <v/>
      </c>
      <c r="AZ1917" s="82"/>
      <c r="BA1917" s="84" t="s">
        <v>152</v>
      </c>
      <c r="BB1917" s="84" t="str">
        <f>IFERROR(__xludf.DUMMYFUNCTION("iferror(if(A1917="""",,E1917&gt;=FILTER(Constants!$F$2:$F$10,Constants!$A$2:$A$10=A1917)))"),"")</f>
        <v/>
      </c>
    </row>
    <row r="1918">
      <c r="A1918" s="89"/>
      <c r="B1918" s="87"/>
      <c r="C1918" s="73"/>
      <c r="D1918" s="73"/>
      <c r="E1918" s="82"/>
      <c r="F1918" s="82"/>
      <c r="G1918" s="86"/>
      <c r="H1918" s="86"/>
      <c r="I1918" s="86"/>
      <c r="J1918" s="82"/>
      <c r="K1918" s="82"/>
      <c r="L1918" s="82"/>
      <c r="M1918" s="82"/>
      <c r="N1918" s="82"/>
      <c r="O1918" s="82"/>
      <c r="P1918" s="82"/>
      <c r="Q1918" s="82"/>
      <c r="R1918" s="82"/>
      <c r="S1918" s="82"/>
      <c r="T1918" s="82"/>
      <c r="U1918" s="82"/>
      <c r="V1918" s="82"/>
      <c r="W1918" s="82"/>
      <c r="X1918" s="82"/>
      <c r="Y1918" s="82"/>
      <c r="Z1918" s="82"/>
      <c r="AA1918" s="82"/>
      <c r="AB1918" s="82"/>
      <c r="AC1918" s="82"/>
      <c r="AD1918" s="82"/>
      <c r="AE1918" s="82"/>
      <c r="AF1918" s="82"/>
      <c r="AG1918" s="82"/>
      <c r="AH1918" s="82"/>
      <c r="AI1918" s="82"/>
      <c r="AJ1918" s="82"/>
      <c r="AK1918" s="82"/>
      <c r="AL1918" s="82"/>
      <c r="AM1918" s="82"/>
      <c r="AN1918" s="82">
        <f>IFERROR(__xludf.DUMMYFUNCTION("""COMPUTED_VALUE"""),0.0)</f>
        <v>0</v>
      </c>
      <c r="AO1918" s="82">
        <f>IFERROR(__xludf.DUMMYFUNCTION("""COMPUTED_VALUE"""),0.0)</f>
        <v>0</v>
      </c>
      <c r="AP1918" s="82">
        <f>IFERROR(__xludf.DUMMYFUNCTION("""COMPUTED_VALUE"""),0.0)</f>
        <v>0</v>
      </c>
      <c r="AQ1918" s="82">
        <f>IFERROR(__xludf.DUMMYFUNCTION("""COMPUTED_VALUE"""),0.0)</f>
        <v>0</v>
      </c>
      <c r="AR1918" s="82">
        <f>IFERROR(__xludf.DUMMYFUNCTION("""COMPUTED_VALUE"""),0.0)</f>
        <v>0</v>
      </c>
      <c r="AS1918" s="82"/>
      <c r="AT1918" s="82">
        <f>IFERROR(__xludf.DUMMYFUNCTION("""COMPUTED_VALUE"""),0.0)</f>
        <v>0</v>
      </c>
      <c r="AU1918" s="82"/>
      <c r="AV1918" s="82"/>
      <c r="AW1918" s="82" t="str">
        <f t="shared" si="1"/>
        <v/>
      </c>
      <c r="AX1918" s="83" t="str">
        <f t="array" ref="AX1918">IFERROR(DGET('SBV Import'!A:G,"SBV",{"RSC ID","Tier";B1918,A1918}))</f>
        <v/>
      </c>
      <c r="AY1918" s="82" t="str">
        <f t="shared" si="2"/>
        <v/>
      </c>
      <c r="AZ1918" s="82"/>
      <c r="BA1918" s="84" t="s">
        <v>152</v>
      </c>
      <c r="BB1918" s="84" t="str">
        <f>IFERROR(__xludf.DUMMYFUNCTION("iferror(if(A1918="""",,E1918&gt;=FILTER(Constants!$F$2:$F$10,Constants!$A$2:$A$10=A1918)))"),"")</f>
        <v/>
      </c>
    </row>
    <row r="1919">
      <c r="A1919" s="89"/>
      <c r="B1919" s="87"/>
      <c r="C1919" s="73"/>
      <c r="D1919" s="73"/>
      <c r="E1919" s="82"/>
      <c r="F1919" s="82"/>
      <c r="G1919" s="86"/>
      <c r="H1919" s="86"/>
      <c r="I1919" s="86"/>
      <c r="J1919" s="82"/>
      <c r="K1919" s="82"/>
      <c r="L1919" s="82"/>
      <c r="M1919" s="82"/>
      <c r="N1919" s="82"/>
      <c r="O1919" s="82"/>
      <c r="P1919" s="82"/>
      <c r="Q1919" s="82"/>
      <c r="R1919" s="82"/>
      <c r="S1919" s="82"/>
      <c r="T1919" s="82"/>
      <c r="U1919" s="82"/>
      <c r="V1919" s="82"/>
      <c r="W1919" s="82"/>
      <c r="X1919" s="82"/>
      <c r="Y1919" s="82"/>
      <c r="Z1919" s="82"/>
      <c r="AA1919" s="82"/>
      <c r="AB1919" s="82"/>
      <c r="AC1919" s="82"/>
      <c r="AD1919" s="82"/>
      <c r="AE1919" s="82"/>
      <c r="AF1919" s="82"/>
      <c r="AG1919" s="82"/>
      <c r="AH1919" s="82"/>
      <c r="AI1919" s="82"/>
      <c r="AJ1919" s="82"/>
      <c r="AK1919" s="82"/>
      <c r="AL1919" s="82"/>
      <c r="AM1919" s="82"/>
      <c r="AN1919" s="82">
        <f>IFERROR(__xludf.DUMMYFUNCTION("""COMPUTED_VALUE"""),0.0)</f>
        <v>0</v>
      </c>
      <c r="AO1919" s="82">
        <f>IFERROR(__xludf.DUMMYFUNCTION("""COMPUTED_VALUE"""),0.0)</f>
        <v>0</v>
      </c>
      <c r="AP1919" s="82">
        <f>IFERROR(__xludf.DUMMYFUNCTION("""COMPUTED_VALUE"""),0.0)</f>
        <v>0</v>
      </c>
      <c r="AQ1919" s="82">
        <f>IFERROR(__xludf.DUMMYFUNCTION("""COMPUTED_VALUE"""),0.0)</f>
        <v>0</v>
      </c>
      <c r="AR1919" s="82">
        <f>IFERROR(__xludf.DUMMYFUNCTION("""COMPUTED_VALUE"""),0.0)</f>
        <v>0</v>
      </c>
      <c r="AS1919" s="82"/>
      <c r="AT1919" s="82">
        <f>IFERROR(__xludf.DUMMYFUNCTION("""COMPUTED_VALUE"""),0.0)</f>
        <v>0</v>
      </c>
      <c r="AU1919" s="82"/>
      <c r="AV1919" s="82"/>
      <c r="AW1919" s="82" t="str">
        <f t="shared" si="1"/>
        <v/>
      </c>
      <c r="AX1919" s="83" t="str">
        <f t="array" ref="AX1919">IFERROR(DGET('SBV Import'!A:G,"SBV",{"RSC ID","Tier";B1919,A1919}))</f>
        <v/>
      </c>
      <c r="AY1919" s="82" t="str">
        <f t="shared" si="2"/>
        <v/>
      </c>
      <c r="AZ1919" s="82"/>
      <c r="BA1919" s="84" t="s">
        <v>152</v>
      </c>
      <c r="BB1919" s="84" t="str">
        <f>IFERROR(__xludf.DUMMYFUNCTION("iferror(if(A1919="""",,E1919&gt;=FILTER(Constants!$F$2:$F$10,Constants!$A$2:$A$10=A1919)))"),"")</f>
        <v/>
      </c>
    </row>
    <row r="1920">
      <c r="A1920" s="89"/>
      <c r="B1920" s="87"/>
      <c r="C1920" s="73"/>
      <c r="D1920" s="73"/>
      <c r="E1920" s="82"/>
      <c r="F1920" s="82"/>
      <c r="G1920" s="86"/>
      <c r="H1920" s="86"/>
      <c r="I1920" s="86"/>
      <c r="J1920" s="82"/>
      <c r="K1920" s="82"/>
      <c r="L1920" s="82"/>
      <c r="M1920" s="82"/>
      <c r="N1920" s="82"/>
      <c r="O1920" s="82"/>
      <c r="P1920" s="82"/>
      <c r="Q1920" s="82"/>
      <c r="R1920" s="82"/>
      <c r="S1920" s="82"/>
      <c r="T1920" s="82"/>
      <c r="U1920" s="82"/>
      <c r="V1920" s="82"/>
      <c r="W1920" s="82"/>
      <c r="X1920" s="82"/>
      <c r="Y1920" s="82"/>
      <c r="Z1920" s="82"/>
      <c r="AA1920" s="82"/>
      <c r="AB1920" s="82"/>
      <c r="AC1920" s="82"/>
      <c r="AD1920" s="82"/>
      <c r="AE1920" s="82"/>
      <c r="AF1920" s="82"/>
      <c r="AG1920" s="82"/>
      <c r="AH1920" s="82"/>
      <c r="AI1920" s="82"/>
      <c r="AJ1920" s="82"/>
      <c r="AK1920" s="82"/>
      <c r="AL1920" s="82"/>
      <c r="AM1920" s="82"/>
      <c r="AN1920" s="82">
        <f>IFERROR(__xludf.DUMMYFUNCTION("""COMPUTED_VALUE"""),0.0)</f>
        <v>0</v>
      </c>
      <c r="AO1920" s="82">
        <f>IFERROR(__xludf.DUMMYFUNCTION("""COMPUTED_VALUE"""),0.0)</f>
        <v>0</v>
      </c>
      <c r="AP1920" s="82">
        <f>IFERROR(__xludf.DUMMYFUNCTION("""COMPUTED_VALUE"""),0.0)</f>
        <v>0</v>
      </c>
      <c r="AQ1920" s="82">
        <f>IFERROR(__xludf.DUMMYFUNCTION("""COMPUTED_VALUE"""),0.0)</f>
        <v>0</v>
      </c>
      <c r="AR1920" s="82">
        <f>IFERROR(__xludf.DUMMYFUNCTION("""COMPUTED_VALUE"""),0.0)</f>
        <v>0</v>
      </c>
      <c r="AS1920" s="82"/>
      <c r="AT1920" s="82">
        <f>IFERROR(__xludf.DUMMYFUNCTION("""COMPUTED_VALUE"""),0.0)</f>
        <v>0</v>
      </c>
      <c r="AU1920" s="82"/>
      <c r="AV1920" s="82"/>
      <c r="AW1920" s="82" t="str">
        <f t="shared" si="1"/>
        <v/>
      </c>
      <c r="AX1920" s="83" t="str">
        <f t="array" ref="AX1920">IFERROR(DGET('SBV Import'!A:G,"SBV",{"RSC ID","Tier";B1920,A1920}))</f>
        <v/>
      </c>
      <c r="AY1920" s="82" t="str">
        <f t="shared" si="2"/>
        <v/>
      </c>
      <c r="AZ1920" s="82"/>
      <c r="BA1920" s="84" t="s">
        <v>152</v>
      </c>
      <c r="BB1920" s="84" t="str">
        <f>IFERROR(__xludf.DUMMYFUNCTION("iferror(if(A1920="""",,E1920&gt;=FILTER(Constants!$F$2:$F$10,Constants!$A$2:$A$10=A1920)))"),"")</f>
        <v/>
      </c>
    </row>
    <row r="1921">
      <c r="A1921" s="89"/>
      <c r="B1921" s="87"/>
      <c r="C1921" s="73"/>
      <c r="D1921" s="73"/>
      <c r="E1921" s="82"/>
      <c r="F1921" s="82"/>
      <c r="G1921" s="86"/>
      <c r="H1921" s="86"/>
      <c r="I1921" s="86"/>
      <c r="J1921" s="82"/>
      <c r="K1921" s="82"/>
      <c r="L1921" s="82"/>
      <c r="M1921" s="82"/>
      <c r="N1921" s="82"/>
      <c r="O1921" s="82"/>
      <c r="P1921" s="82"/>
      <c r="Q1921" s="82"/>
      <c r="R1921" s="82"/>
      <c r="S1921" s="82"/>
      <c r="T1921" s="82"/>
      <c r="U1921" s="82"/>
      <c r="V1921" s="82"/>
      <c r="W1921" s="82"/>
      <c r="X1921" s="82"/>
      <c r="Y1921" s="82"/>
      <c r="Z1921" s="82"/>
      <c r="AA1921" s="82"/>
      <c r="AB1921" s="82"/>
      <c r="AC1921" s="82"/>
      <c r="AD1921" s="82"/>
      <c r="AE1921" s="82"/>
      <c r="AF1921" s="82"/>
      <c r="AG1921" s="82"/>
      <c r="AH1921" s="82"/>
      <c r="AI1921" s="82"/>
      <c r="AJ1921" s="82"/>
      <c r="AK1921" s="82"/>
      <c r="AL1921" s="82"/>
      <c r="AM1921" s="82"/>
      <c r="AN1921" s="82">
        <f>IFERROR(__xludf.DUMMYFUNCTION("""COMPUTED_VALUE"""),0.0)</f>
        <v>0</v>
      </c>
      <c r="AO1921" s="82">
        <f>IFERROR(__xludf.DUMMYFUNCTION("""COMPUTED_VALUE"""),0.0)</f>
        <v>0</v>
      </c>
      <c r="AP1921" s="82">
        <f>IFERROR(__xludf.DUMMYFUNCTION("""COMPUTED_VALUE"""),0.0)</f>
        <v>0</v>
      </c>
      <c r="AQ1921" s="82">
        <f>IFERROR(__xludf.DUMMYFUNCTION("""COMPUTED_VALUE"""),0.0)</f>
        <v>0</v>
      </c>
      <c r="AR1921" s="82">
        <f>IFERROR(__xludf.DUMMYFUNCTION("""COMPUTED_VALUE"""),0.0)</f>
        <v>0</v>
      </c>
      <c r="AS1921" s="82"/>
      <c r="AT1921" s="82">
        <f>IFERROR(__xludf.DUMMYFUNCTION("""COMPUTED_VALUE"""),0.0)</f>
        <v>0</v>
      </c>
      <c r="AU1921" s="82"/>
      <c r="AV1921" s="82"/>
      <c r="AW1921" s="82" t="str">
        <f t="shared" si="1"/>
        <v/>
      </c>
      <c r="AX1921" s="83" t="str">
        <f t="array" ref="AX1921">IFERROR(DGET('SBV Import'!A:G,"SBV",{"RSC ID","Tier";B1921,A1921}))</f>
        <v/>
      </c>
      <c r="AY1921" s="82" t="str">
        <f t="shared" si="2"/>
        <v/>
      </c>
      <c r="AZ1921" s="82"/>
      <c r="BA1921" s="84" t="s">
        <v>152</v>
      </c>
      <c r="BB1921" s="84" t="str">
        <f>IFERROR(__xludf.DUMMYFUNCTION("iferror(if(A1921="""",,E1921&gt;=FILTER(Constants!$F$2:$F$10,Constants!$A$2:$A$10=A1921)))"),"")</f>
        <v/>
      </c>
    </row>
    <row r="1922">
      <c r="A1922" s="89"/>
      <c r="B1922" s="87"/>
      <c r="C1922" s="73"/>
      <c r="D1922" s="73"/>
      <c r="E1922" s="82"/>
      <c r="F1922" s="82"/>
      <c r="G1922" s="86"/>
      <c r="H1922" s="86"/>
      <c r="I1922" s="86"/>
      <c r="J1922" s="82"/>
      <c r="K1922" s="82"/>
      <c r="L1922" s="82"/>
      <c r="M1922" s="82"/>
      <c r="N1922" s="82"/>
      <c r="O1922" s="82"/>
      <c r="P1922" s="82"/>
      <c r="Q1922" s="82"/>
      <c r="R1922" s="82"/>
      <c r="S1922" s="82"/>
      <c r="T1922" s="82"/>
      <c r="U1922" s="82"/>
      <c r="V1922" s="82"/>
      <c r="W1922" s="82"/>
      <c r="X1922" s="82"/>
      <c r="Y1922" s="82"/>
      <c r="Z1922" s="82"/>
      <c r="AA1922" s="82"/>
      <c r="AB1922" s="82"/>
      <c r="AC1922" s="82"/>
      <c r="AD1922" s="82"/>
      <c r="AE1922" s="82"/>
      <c r="AF1922" s="82"/>
      <c r="AG1922" s="82"/>
      <c r="AH1922" s="82"/>
      <c r="AI1922" s="82"/>
      <c r="AJ1922" s="82"/>
      <c r="AK1922" s="82"/>
      <c r="AL1922" s="82"/>
      <c r="AM1922" s="82"/>
      <c r="AN1922" s="82">
        <f>IFERROR(__xludf.DUMMYFUNCTION("""COMPUTED_VALUE"""),0.0)</f>
        <v>0</v>
      </c>
      <c r="AO1922" s="82">
        <f>IFERROR(__xludf.DUMMYFUNCTION("""COMPUTED_VALUE"""),0.0)</f>
        <v>0</v>
      </c>
      <c r="AP1922" s="82">
        <f>IFERROR(__xludf.DUMMYFUNCTION("""COMPUTED_VALUE"""),0.0)</f>
        <v>0</v>
      </c>
      <c r="AQ1922" s="82">
        <f>IFERROR(__xludf.DUMMYFUNCTION("""COMPUTED_VALUE"""),0.0)</f>
        <v>0</v>
      </c>
      <c r="AR1922" s="82">
        <f>IFERROR(__xludf.DUMMYFUNCTION("""COMPUTED_VALUE"""),0.0)</f>
        <v>0</v>
      </c>
      <c r="AS1922" s="82"/>
      <c r="AT1922" s="82">
        <f>IFERROR(__xludf.DUMMYFUNCTION("""COMPUTED_VALUE"""),0.0)</f>
        <v>0</v>
      </c>
      <c r="AU1922" s="82"/>
      <c r="AV1922" s="82"/>
      <c r="AW1922" s="82" t="str">
        <f t="shared" si="1"/>
        <v/>
      </c>
      <c r="AX1922" s="83" t="str">
        <f t="array" ref="AX1922">IFERROR(DGET('SBV Import'!A:G,"SBV",{"RSC ID","Tier";B1922,A1922}))</f>
        <v/>
      </c>
      <c r="AY1922" s="82" t="str">
        <f t="shared" si="2"/>
        <v/>
      </c>
      <c r="AZ1922" s="82"/>
      <c r="BA1922" s="84" t="s">
        <v>152</v>
      </c>
      <c r="BB1922" s="84" t="str">
        <f>IFERROR(__xludf.DUMMYFUNCTION("iferror(if(A1922="""",,E1922&gt;=FILTER(Constants!$F$2:$F$10,Constants!$A$2:$A$10=A1922)))"),"")</f>
        <v/>
      </c>
    </row>
    <row r="1923">
      <c r="A1923" s="89"/>
      <c r="B1923" s="87"/>
      <c r="C1923" s="73"/>
      <c r="D1923" s="73"/>
      <c r="E1923" s="82"/>
      <c r="F1923" s="82"/>
      <c r="G1923" s="86"/>
      <c r="H1923" s="86"/>
      <c r="I1923" s="86"/>
      <c r="J1923" s="82"/>
      <c r="K1923" s="82"/>
      <c r="L1923" s="82"/>
      <c r="M1923" s="82"/>
      <c r="N1923" s="82"/>
      <c r="O1923" s="82"/>
      <c r="P1923" s="82"/>
      <c r="Q1923" s="82"/>
      <c r="R1923" s="82"/>
      <c r="S1923" s="82"/>
      <c r="T1923" s="82"/>
      <c r="U1923" s="82"/>
      <c r="V1923" s="82"/>
      <c r="W1923" s="82"/>
      <c r="X1923" s="82"/>
      <c r="Y1923" s="82"/>
      <c r="Z1923" s="82"/>
      <c r="AA1923" s="82"/>
      <c r="AB1923" s="82"/>
      <c r="AC1923" s="82"/>
      <c r="AD1923" s="82"/>
      <c r="AE1923" s="82"/>
      <c r="AF1923" s="82"/>
      <c r="AG1923" s="82"/>
      <c r="AH1923" s="82"/>
      <c r="AI1923" s="82"/>
      <c r="AJ1923" s="82"/>
      <c r="AK1923" s="82"/>
      <c r="AL1923" s="82"/>
      <c r="AM1923" s="82"/>
      <c r="AN1923" s="82">
        <f>IFERROR(__xludf.DUMMYFUNCTION("""COMPUTED_VALUE"""),0.0)</f>
        <v>0</v>
      </c>
      <c r="AO1923" s="82">
        <f>IFERROR(__xludf.DUMMYFUNCTION("""COMPUTED_VALUE"""),0.0)</f>
        <v>0</v>
      </c>
      <c r="AP1923" s="82">
        <f>IFERROR(__xludf.DUMMYFUNCTION("""COMPUTED_VALUE"""),0.0)</f>
        <v>0</v>
      </c>
      <c r="AQ1923" s="82">
        <f>IFERROR(__xludf.DUMMYFUNCTION("""COMPUTED_VALUE"""),0.0)</f>
        <v>0</v>
      </c>
      <c r="AR1923" s="82">
        <f>IFERROR(__xludf.DUMMYFUNCTION("""COMPUTED_VALUE"""),0.0)</f>
        <v>0</v>
      </c>
      <c r="AS1923" s="82"/>
      <c r="AT1923" s="82">
        <f>IFERROR(__xludf.DUMMYFUNCTION("""COMPUTED_VALUE"""),0.0)</f>
        <v>0</v>
      </c>
      <c r="AU1923" s="82"/>
      <c r="AV1923" s="82"/>
      <c r="AW1923" s="82" t="str">
        <f t="shared" si="1"/>
        <v/>
      </c>
      <c r="AX1923" s="83" t="str">
        <f t="array" ref="AX1923">IFERROR(DGET('SBV Import'!A:G,"SBV",{"RSC ID","Tier";B1923,A1923}))</f>
        <v/>
      </c>
      <c r="AY1923" s="82" t="str">
        <f t="shared" si="2"/>
        <v/>
      </c>
      <c r="AZ1923" s="82"/>
      <c r="BA1923" s="84" t="s">
        <v>152</v>
      </c>
      <c r="BB1923" s="84" t="str">
        <f>IFERROR(__xludf.DUMMYFUNCTION("iferror(if(A1923="""",,E1923&gt;=FILTER(Constants!$F$2:$F$10,Constants!$A$2:$A$10=A1923)))"),"")</f>
        <v/>
      </c>
    </row>
    <row r="1924">
      <c r="A1924" s="89"/>
      <c r="B1924" s="87"/>
      <c r="C1924" s="73"/>
      <c r="D1924" s="73"/>
      <c r="E1924" s="82"/>
      <c r="F1924" s="82"/>
      <c r="G1924" s="86"/>
      <c r="H1924" s="86"/>
      <c r="I1924" s="86"/>
      <c r="J1924" s="82"/>
      <c r="K1924" s="82"/>
      <c r="L1924" s="82"/>
      <c r="M1924" s="82"/>
      <c r="N1924" s="82"/>
      <c r="O1924" s="82"/>
      <c r="P1924" s="82"/>
      <c r="Q1924" s="82"/>
      <c r="R1924" s="82"/>
      <c r="S1924" s="82"/>
      <c r="T1924" s="82"/>
      <c r="U1924" s="82"/>
      <c r="V1924" s="82"/>
      <c r="W1924" s="82"/>
      <c r="X1924" s="82"/>
      <c r="Y1924" s="82"/>
      <c r="Z1924" s="82"/>
      <c r="AA1924" s="82"/>
      <c r="AB1924" s="82"/>
      <c r="AC1924" s="82"/>
      <c r="AD1924" s="82"/>
      <c r="AE1924" s="82"/>
      <c r="AF1924" s="82"/>
      <c r="AG1924" s="82"/>
      <c r="AH1924" s="82"/>
      <c r="AI1924" s="82"/>
      <c r="AJ1924" s="82"/>
      <c r="AK1924" s="82"/>
      <c r="AL1924" s="82"/>
      <c r="AM1924" s="82"/>
      <c r="AN1924" s="82">
        <f>IFERROR(__xludf.DUMMYFUNCTION("""COMPUTED_VALUE"""),0.0)</f>
        <v>0</v>
      </c>
      <c r="AO1924" s="82">
        <f>IFERROR(__xludf.DUMMYFUNCTION("""COMPUTED_VALUE"""),0.0)</f>
        <v>0</v>
      </c>
      <c r="AP1924" s="82">
        <f>IFERROR(__xludf.DUMMYFUNCTION("""COMPUTED_VALUE"""),0.0)</f>
        <v>0</v>
      </c>
      <c r="AQ1924" s="82">
        <f>IFERROR(__xludf.DUMMYFUNCTION("""COMPUTED_VALUE"""),0.0)</f>
        <v>0</v>
      </c>
      <c r="AR1924" s="82">
        <f>IFERROR(__xludf.DUMMYFUNCTION("""COMPUTED_VALUE"""),0.0)</f>
        <v>0</v>
      </c>
      <c r="AS1924" s="82"/>
      <c r="AT1924" s="82">
        <f>IFERROR(__xludf.DUMMYFUNCTION("""COMPUTED_VALUE"""),0.0)</f>
        <v>0</v>
      </c>
      <c r="AU1924" s="82"/>
      <c r="AV1924" s="82"/>
      <c r="AW1924" s="82" t="str">
        <f t="shared" si="1"/>
        <v/>
      </c>
      <c r="AX1924" s="83" t="str">
        <f t="array" ref="AX1924">IFERROR(DGET('SBV Import'!A:G,"SBV",{"RSC ID","Tier";B1924,A1924}))</f>
        <v/>
      </c>
      <c r="AY1924" s="82" t="str">
        <f t="shared" si="2"/>
        <v/>
      </c>
      <c r="AZ1924" s="82"/>
      <c r="BA1924" s="84" t="s">
        <v>152</v>
      </c>
      <c r="BB1924" s="84" t="str">
        <f>IFERROR(__xludf.DUMMYFUNCTION("iferror(if(A1924="""",,E1924&gt;=FILTER(Constants!$F$2:$F$10,Constants!$A$2:$A$10=A1924)))"),"")</f>
        <v/>
      </c>
    </row>
    <row r="1925">
      <c r="A1925" s="89"/>
      <c r="B1925" s="87"/>
      <c r="C1925" s="73"/>
      <c r="D1925" s="73"/>
      <c r="E1925" s="82"/>
      <c r="F1925" s="82"/>
      <c r="G1925" s="86"/>
      <c r="H1925" s="86"/>
      <c r="I1925" s="86"/>
      <c r="J1925" s="82"/>
      <c r="K1925" s="82"/>
      <c r="L1925" s="82"/>
      <c r="M1925" s="82"/>
      <c r="N1925" s="82"/>
      <c r="O1925" s="82"/>
      <c r="P1925" s="82"/>
      <c r="Q1925" s="82"/>
      <c r="R1925" s="82"/>
      <c r="S1925" s="82"/>
      <c r="T1925" s="82"/>
      <c r="U1925" s="82"/>
      <c r="V1925" s="82"/>
      <c r="W1925" s="82"/>
      <c r="X1925" s="82"/>
      <c r="Y1925" s="82"/>
      <c r="Z1925" s="82"/>
      <c r="AA1925" s="82"/>
      <c r="AB1925" s="82"/>
      <c r="AC1925" s="82"/>
      <c r="AD1925" s="82"/>
      <c r="AE1925" s="82"/>
      <c r="AF1925" s="82"/>
      <c r="AG1925" s="82"/>
      <c r="AH1925" s="82"/>
      <c r="AI1925" s="82"/>
      <c r="AJ1925" s="82"/>
      <c r="AK1925" s="82"/>
      <c r="AL1925" s="82"/>
      <c r="AM1925" s="82"/>
      <c r="AN1925" s="82">
        <f>IFERROR(__xludf.DUMMYFUNCTION("""COMPUTED_VALUE"""),0.0)</f>
        <v>0</v>
      </c>
      <c r="AO1925" s="82">
        <f>IFERROR(__xludf.DUMMYFUNCTION("""COMPUTED_VALUE"""),0.0)</f>
        <v>0</v>
      </c>
      <c r="AP1925" s="82">
        <f>IFERROR(__xludf.DUMMYFUNCTION("""COMPUTED_VALUE"""),0.0)</f>
        <v>0</v>
      </c>
      <c r="AQ1925" s="82">
        <f>IFERROR(__xludf.DUMMYFUNCTION("""COMPUTED_VALUE"""),0.0)</f>
        <v>0</v>
      </c>
      <c r="AR1925" s="82">
        <f>IFERROR(__xludf.DUMMYFUNCTION("""COMPUTED_VALUE"""),0.0)</f>
        <v>0</v>
      </c>
      <c r="AS1925" s="82"/>
      <c r="AT1925" s="82">
        <f>IFERROR(__xludf.DUMMYFUNCTION("""COMPUTED_VALUE"""),0.0)</f>
        <v>0</v>
      </c>
      <c r="AU1925" s="82"/>
      <c r="AV1925" s="82"/>
      <c r="AW1925" s="82" t="str">
        <f t="shared" si="1"/>
        <v/>
      </c>
      <c r="AX1925" s="83" t="str">
        <f t="array" ref="AX1925">IFERROR(DGET('SBV Import'!A:G,"SBV",{"RSC ID","Tier";B1925,A1925}))</f>
        <v/>
      </c>
      <c r="AY1925" s="82" t="str">
        <f t="shared" si="2"/>
        <v/>
      </c>
      <c r="AZ1925" s="82"/>
      <c r="BA1925" s="84" t="s">
        <v>152</v>
      </c>
      <c r="BB1925" s="84" t="str">
        <f>IFERROR(__xludf.DUMMYFUNCTION("iferror(if(A1925="""",,E1925&gt;=FILTER(Constants!$F$2:$F$10,Constants!$A$2:$A$10=A1925)))"),"")</f>
        <v/>
      </c>
    </row>
    <row r="1926">
      <c r="A1926" s="89"/>
      <c r="B1926" s="87"/>
      <c r="C1926" s="73"/>
      <c r="D1926" s="73"/>
      <c r="E1926" s="82"/>
      <c r="F1926" s="82"/>
      <c r="G1926" s="86"/>
      <c r="H1926" s="86"/>
      <c r="I1926" s="86"/>
      <c r="J1926" s="82"/>
      <c r="K1926" s="82"/>
      <c r="L1926" s="82"/>
      <c r="M1926" s="82"/>
      <c r="N1926" s="82"/>
      <c r="O1926" s="82"/>
      <c r="P1926" s="82"/>
      <c r="Q1926" s="82"/>
      <c r="R1926" s="82"/>
      <c r="S1926" s="82"/>
      <c r="T1926" s="82"/>
      <c r="U1926" s="82"/>
      <c r="V1926" s="82"/>
      <c r="W1926" s="82"/>
      <c r="X1926" s="82"/>
      <c r="Y1926" s="82"/>
      <c r="Z1926" s="82"/>
      <c r="AA1926" s="82"/>
      <c r="AB1926" s="82"/>
      <c r="AC1926" s="82"/>
      <c r="AD1926" s="82"/>
      <c r="AE1926" s="82"/>
      <c r="AF1926" s="82"/>
      <c r="AG1926" s="82"/>
      <c r="AH1926" s="82"/>
      <c r="AI1926" s="82"/>
      <c r="AJ1926" s="82"/>
      <c r="AK1926" s="82"/>
      <c r="AL1926" s="82"/>
      <c r="AM1926" s="82"/>
      <c r="AN1926" s="82">
        <f>IFERROR(__xludf.DUMMYFUNCTION("""COMPUTED_VALUE"""),0.0)</f>
        <v>0</v>
      </c>
      <c r="AO1926" s="82">
        <f>IFERROR(__xludf.DUMMYFUNCTION("""COMPUTED_VALUE"""),0.0)</f>
        <v>0</v>
      </c>
      <c r="AP1926" s="82">
        <f>IFERROR(__xludf.DUMMYFUNCTION("""COMPUTED_VALUE"""),0.0)</f>
        <v>0</v>
      </c>
      <c r="AQ1926" s="82">
        <f>IFERROR(__xludf.DUMMYFUNCTION("""COMPUTED_VALUE"""),0.0)</f>
        <v>0</v>
      </c>
      <c r="AR1926" s="82">
        <f>IFERROR(__xludf.DUMMYFUNCTION("""COMPUTED_VALUE"""),0.0)</f>
        <v>0</v>
      </c>
      <c r="AS1926" s="82"/>
      <c r="AT1926" s="82">
        <f>IFERROR(__xludf.DUMMYFUNCTION("""COMPUTED_VALUE"""),0.0)</f>
        <v>0</v>
      </c>
      <c r="AU1926" s="82"/>
      <c r="AV1926" s="82"/>
      <c r="AW1926" s="82" t="str">
        <f t="shared" si="1"/>
        <v/>
      </c>
      <c r="AX1926" s="83" t="str">
        <f t="array" ref="AX1926">IFERROR(DGET('SBV Import'!A:G,"SBV",{"RSC ID","Tier";B1926,A1926}))</f>
        <v/>
      </c>
      <c r="AY1926" s="82" t="str">
        <f t="shared" si="2"/>
        <v/>
      </c>
      <c r="AZ1926" s="82"/>
      <c r="BA1926" s="84" t="s">
        <v>152</v>
      </c>
      <c r="BB1926" s="84" t="str">
        <f>IFERROR(__xludf.DUMMYFUNCTION("iferror(if(A1926="""",,E1926&gt;=FILTER(Constants!$F$2:$F$10,Constants!$A$2:$A$10=A1926)))"),"")</f>
        <v/>
      </c>
    </row>
    <row r="1927">
      <c r="A1927" s="89"/>
      <c r="B1927" s="87"/>
      <c r="C1927" s="73"/>
      <c r="D1927" s="73"/>
      <c r="E1927" s="82"/>
      <c r="F1927" s="82"/>
      <c r="G1927" s="86"/>
      <c r="H1927" s="86"/>
      <c r="I1927" s="86"/>
      <c r="J1927" s="82"/>
      <c r="K1927" s="82"/>
      <c r="L1927" s="82"/>
      <c r="M1927" s="82"/>
      <c r="N1927" s="82"/>
      <c r="O1927" s="82"/>
      <c r="P1927" s="82"/>
      <c r="Q1927" s="82"/>
      <c r="R1927" s="82"/>
      <c r="S1927" s="82"/>
      <c r="T1927" s="82"/>
      <c r="U1927" s="82"/>
      <c r="V1927" s="82"/>
      <c r="W1927" s="82"/>
      <c r="X1927" s="82"/>
      <c r="Y1927" s="82"/>
      <c r="Z1927" s="82"/>
      <c r="AA1927" s="82"/>
      <c r="AB1927" s="82"/>
      <c r="AC1927" s="82"/>
      <c r="AD1927" s="82"/>
      <c r="AE1927" s="82"/>
      <c r="AF1927" s="82"/>
      <c r="AG1927" s="82"/>
      <c r="AH1927" s="82"/>
      <c r="AI1927" s="82"/>
      <c r="AJ1927" s="82"/>
      <c r="AK1927" s="82"/>
      <c r="AL1927" s="82"/>
      <c r="AM1927" s="82"/>
      <c r="AN1927" s="82">
        <f>IFERROR(__xludf.DUMMYFUNCTION("""COMPUTED_VALUE"""),0.0)</f>
        <v>0</v>
      </c>
      <c r="AO1927" s="82">
        <f>IFERROR(__xludf.DUMMYFUNCTION("""COMPUTED_VALUE"""),0.0)</f>
        <v>0</v>
      </c>
      <c r="AP1927" s="82">
        <f>IFERROR(__xludf.DUMMYFUNCTION("""COMPUTED_VALUE"""),0.0)</f>
        <v>0</v>
      </c>
      <c r="AQ1927" s="82">
        <f>IFERROR(__xludf.DUMMYFUNCTION("""COMPUTED_VALUE"""),0.0)</f>
        <v>0</v>
      </c>
      <c r="AR1927" s="82">
        <f>IFERROR(__xludf.DUMMYFUNCTION("""COMPUTED_VALUE"""),0.0)</f>
        <v>0</v>
      </c>
      <c r="AS1927" s="82"/>
      <c r="AT1927" s="82">
        <f>IFERROR(__xludf.DUMMYFUNCTION("""COMPUTED_VALUE"""),0.0)</f>
        <v>0</v>
      </c>
      <c r="AU1927" s="82"/>
      <c r="AV1927" s="82"/>
      <c r="AW1927" s="82" t="str">
        <f t="shared" si="1"/>
        <v/>
      </c>
      <c r="AX1927" s="83" t="str">
        <f t="array" ref="AX1927">IFERROR(DGET('SBV Import'!A:G,"SBV",{"RSC ID","Tier";B1927,A1927}))</f>
        <v/>
      </c>
      <c r="AY1927" s="82" t="str">
        <f t="shared" si="2"/>
        <v/>
      </c>
      <c r="AZ1927" s="82"/>
      <c r="BA1927" s="84" t="s">
        <v>152</v>
      </c>
      <c r="BB1927" s="84" t="str">
        <f>IFERROR(__xludf.DUMMYFUNCTION("iferror(if(A1927="""",,E1927&gt;=FILTER(Constants!$F$2:$F$10,Constants!$A$2:$A$10=A1927)))"),"")</f>
        <v/>
      </c>
    </row>
    <row r="1928">
      <c r="A1928" s="89"/>
      <c r="B1928" s="87"/>
      <c r="C1928" s="73"/>
      <c r="D1928" s="73"/>
      <c r="E1928" s="82"/>
      <c r="F1928" s="82"/>
      <c r="G1928" s="86"/>
      <c r="H1928" s="86"/>
      <c r="I1928" s="86"/>
      <c r="J1928" s="82"/>
      <c r="K1928" s="82"/>
      <c r="L1928" s="82"/>
      <c r="M1928" s="82"/>
      <c r="N1928" s="82"/>
      <c r="O1928" s="82"/>
      <c r="P1928" s="82"/>
      <c r="Q1928" s="82"/>
      <c r="R1928" s="82"/>
      <c r="S1928" s="82"/>
      <c r="T1928" s="82"/>
      <c r="U1928" s="82"/>
      <c r="V1928" s="82"/>
      <c r="W1928" s="82"/>
      <c r="X1928" s="82"/>
      <c r="Y1928" s="82"/>
      <c r="Z1928" s="82"/>
      <c r="AA1928" s="82"/>
      <c r="AB1928" s="82"/>
      <c r="AC1928" s="82"/>
      <c r="AD1928" s="82"/>
      <c r="AE1928" s="82"/>
      <c r="AF1928" s="82"/>
      <c r="AG1928" s="82"/>
      <c r="AH1928" s="82"/>
      <c r="AI1928" s="82"/>
      <c r="AJ1928" s="82"/>
      <c r="AK1928" s="82"/>
      <c r="AL1928" s="82"/>
      <c r="AM1928" s="82"/>
      <c r="AN1928" s="82">
        <f>IFERROR(__xludf.DUMMYFUNCTION("""COMPUTED_VALUE"""),0.0)</f>
        <v>0</v>
      </c>
      <c r="AO1928" s="82">
        <f>IFERROR(__xludf.DUMMYFUNCTION("""COMPUTED_VALUE"""),0.0)</f>
        <v>0</v>
      </c>
      <c r="AP1928" s="82">
        <f>IFERROR(__xludf.DUMMYFUNCTION("""COMPUTED_VALUE"""),0.0)</f>
        <v>0</v>
      </c>
      <c r="AQ1928" s="82">
        <f>IFERROR(__xludf.DUMMYFUNCTION("""COMPUTED_VALUE"""),0.0)</f>
        <v>0</v>
      </c>
      <c r="AR1928" s="82">
        <f>IFERROR(__xludf.DUMMYFUNCTION("""COMPUTED_VALUE"""),0.0)</f>
        <v>0</v>
      </c>
      <c r="AS1928" s="82"/>
      <c r="AT1928" s="82">
        <f>IFERROR(__xludf.DUMMYFUNCTION("""COMPUTED_VALUE"""),0.0)</f>
        <v>0</v>
      </c>
      <c r="AU1928" s="82"/>
      <c r="AV1928" s="82"/>
      <c r="AW1928" s="82" t="str">
        <f t="shared" si="1"/>
        <v/>
      </c>
      <c r="AX1928" s="83" t="str">
        <f t="array" ref="AX1928">IFERROR(DGET('SBV Import'!A:G,"SBV",{"RSC ID","Tier";B1928,A1928}))</f>
        <v/>
      </c>
      <c r="AY1928" s="82" t="str">
        <f t="shared" si="2"/>
        <v/>
      </c>
      <c r="AZ1928" s="82"/>
      <c r="BA1928" s="84" t="s">
        <v>152</v>
      </c>
      <c r="BB1928" s="84" t="str">
        <f>IFERROR(__xludf.DUMMYFUNCTION("iferror(if(A1928="""",,E1928&gt;=FILTER(Constants!$F$2:$F$10,Constants!$A$2:$A$10=A1928)))"),"")</f>
        <v/>
      </c>
    </row>
    <row r="1929">
      <c r="A1929" s="89"/>
      <c r="B1929" s="87"/>
      <c r="C1929" s="73"/>
      <c r="D1929" s="73"/>
      <c r="E1929" s="82"/>
      <c r="F1929" s="82"/>
      <c r="G1929" s="86"/>
      <c r="H1929" s="86"/>
      <c r="I1929" s="86"/>
      <c r="J1929" s="82"/>
      <c r="K1929" s="82"/>
      <c r="L1929" s="82"/>
      <c r="M1929" s="82"/>
      <c r="N1929" s="82"/>
      <c r="O1929" s="82"/>
      <c r="P1929" s="82"/>
      <c r="Q1929" s="82"/>
      <c r="R1929" s="82"/>
      <c r="S1929" s="82"/>
      <c r="T1929" s="82"/>
      <c r="U1929" s="82"/>
      <c r="V1929" s="82"/>
      <c r="W1929" s="82"/>
      <c r="X1929" s="82"/>
      <c r="Y1929" s="82"/>
      <c r="Z1929" s="82"/>
      <c r="AA1929" s="82"/>
      <c r="AB1929" s="82"/>
      <c r="AC1929" s="82"/>
      <c r="AD1929" s="82"/>
      <c r="AE1929" s="82"/>
      <c r="AF1929" s="82"/>
      <c r="AG1929" s="82"/>
      <c r="AH1929" s="82"/>
      <c r="AI1929" s="82"/>
      <c r="AJ1929" s="82"/>
      <c r="AK1929" s="82"/>
      <c r="AL1929" s="82"/>
      <c r="AM1929" s="82"/>
      <c r="AN1929" s="82">
        <f>IFERROR(__xludf.DUMMYFUNCTION("""COMPUTED_VALUE"""),0.0)</f>
        <v>0</v>
      </c>
      <c r="AO1929" s="82">
        <f>IFERROR(__xludf.DUMMYFUNCTION("""COMPUTED_VALUE"""),0.0)</f>
        <v>0</v>
      </c>
      <c r="AP1929" s="82">
        <f>IFERROR(__xludf.DUMMYFUNCTION("""COMPUTED_VALUE"""),0.0)</f>
        <v>0</v>
      </c>
      <c r="AQ1929" s="82">
        <f>IFERROR(__xludf.DUMMYFUNCTION("""COMPUTED_VALUE"""),0.0)</f>
        <v>0</v>
      </c>
      <c r="AR1929" s="82">
        <f>IFERROR(__xludf.DUMMYFUNCTION("""COMPUTED_VALUE"""),0.0)</f>
        <v>0</v>
      </c>
      <c r="AS1929" s="82"/>
      <c r="AT1929" s="82">
        <f>IFERROR(__xludf.DUMMYFUNCTION("""COMPUTED_VALUE"""),0.0)</f>
        <v>0</v>
      </c>
      <c r="AU1929" s="82"/>
      <c r="AV1929" s="82"/>
      <c r="AW1929" s="82" t="str">
        <f t="shared" si="1"/>
        <v/>
      </c>
      <c r="AX1929" s="83" t="str">
        <f t="array" ref="AX1929">IFERROR(DGET('SBV Import'!A:G,"SBV",{"RSC ID","Tier";B1929,A1929}))</f>
        <v/>
      </c>
      <c r="AY1929" s="82" t="str">
        <f t="shared" si="2"/>
        <v/>
      </c>
      <c r="AZ1929" s="82"/>
      <c r="BA1929" s="84" t="s">
        <v>152</v>
      </c>
      <c r="BB1929" s="84" t="str">
        <f>IFERROR(__xludf.DUMMYFUNCTION("iferror(if(A1929="""",,E1929&gt;=FILTER(Constants!$F$2:$F$10,Constants!$A$2:$A$10=A1929)))"),"")</f>
        <v/>
      </c>
    </row>
    <row r="1930">
      <c r="A1930" s="89"/>
      <c r="B1930" s="87"/>
      <c r="C1930" s="73"/>
      <c r="D1930" s="73"/>
      <c r="E1930" s="82"/>
      <c r="F1930" s="82"/>
      <c r="G1930" s="86"/>
      <c r="H1930" s="86"/>
      <c r="I1930" s="86"/>
      <c r="J1930" s="82"/>
      <c r="K1930" s="82"/>
      <c r="L1930" s="82"/>
      <c r="M1930" s="82"/>
      <c r="N1930" s="82"/>
      <c r="O1930" s="82"/>
      <c r="P1930" s="82"/>
      <c r="Q1930" s="82"/>
      <c r="R1930" s="82"/>
      <c r="S1930" s="82"/>
      <c r="T1930" s="82"/>
      <c r="U1930" s="82"/>
      <c r="V1930" s="82"/>
      <c r="W1930" s="82"/>
      <c r="X1930" s="82"/>
      <c r="Y1930" s="82"/>
      <c r="Z1930" s="82"/>
      <c r="AA1930" s="82"/>
      <c r="AB1930" s="82"/>
      <c r="AC1930" s="82"/>
      <c r="AD1930" s="82"/>
      <c r="AE1930" s="82"/>
      <c r="AF1930" s="82"/>
      <c r="AG1930" s="82"/>
      <c r="AH1930" s="82"/>
      <c r="AI1930" s="82"/>
      <c r="AJ1930" s="82"/>
      <c r="AK1930" s="82"/>
      <c r="AL1930" s="82"/>
      <c r="AM1930" s="82"/>
      <c r="AN1930" s="82">
        <f>IFERROR(__xludf.DUMMYFUNCTION("""COMPUTED_VALUE"""),0.0)</f>
        <v>0</v>
      </c>
      <c r="AO1930" s="82">
        <f>IFERROR(__xludf.DUMMYFUNCTION("""COMPUTED_VALUE"""),0.0)</f>
        <v>0</v>
      </c>
      <c r="AP1930" s="82">
        <f>IFERROR(__xludf.DUMMYFUNCTION("""COMPUTED_VALUE"""),0.0)</f>
        <v>0</v>
      </c>
      <c r="AQ1930" s="82">
        <f>IFERROR(__xludf.DUMMYFUNCTION("""COMPUTED_VALUE"""),0.0)</f>
        <v>0</v>
      </c>
      <c r="AR1930" s="82">
        <f>IFERROR(__xludf.DUMMYFUNCTION("""COMPUTED_VALUE"""),0.0)</f>
        <v>0</v>
      </c>
      <c r="AS1930" s="82"/>
      <c r="AT1930" s="82">
        <f>IFERROR(__xludf.DUMMYFUNCTION("""COMPUTED_VALUE"""),0.0)</f>
        <v>0</v>
      </c>
      <c r="AU1930" s="82"/>
      <c r="AV1930" s="82"/>
      <c r="AW1930" s="82" t="str">
        <f t="shared" si="1"/>
        <v/>
      </c>
      <c r="AX1930" s="83" t="str">
        <f t="array" ref="AX1930">IFERROR(DGET('SBV Import'!A:G,"SBV",{"RSC ID","Tier";B1930,A1930}))</f>
        <v/>
      </c>
      <c r="AY1930" s="82" t="str">
        <f t="shared" si="2"/>
        <v/>
      </c>
      <c r="AZ1930" s="82"/>
      <c r="BA1930" s="84" t="s">
        <v>152</v>
      </c>
      <c r="BB1930" s="84" t="str">
        <f>IFERROR(__xludf.DUMMYFUNCTION("iferror(if(A1930="""",,E1930&gt;=FILTER(Constants!$F$2:$F$10,Constants!$A$2:$A$10=A1930)))"),"")</f>
        <v/>
      </c>
    </row>
    <row r="1931">
      <c r="A1931" s="89"/>
      <c r="B1931" s="87"/>
      <c r="C1931" s="73"/>
      <c r="D1931" s="73"/>
      <c r="E1931" s="82"/>
      <c r="F1931" s="82"/>
      <c r="G1931" s="86"/>
      <c r="H1931" s="86"/>
      <c r="I1931" s="86"/>
      <c r="J1931" s="82"/>
      <c r="K1931" s="82"/>
      <c r="L1931" s="82"/>
      <c r="M1931" s="82"/>
      <c r="N1931" s="82"/>
      <c r="O1931" s="82"/>
      <c r="P1931" s="82"/>
      <c r="Q1931" s="82"/>
      <c r="R1931" s="82"/>
      <c r="S1931" s="82"/>
      <c r="T1931" s="82"/>
      <c r="U1931" s="82"/>
      <c r="V1931" s="82"/>
      <c r="W1931" s="82"/>
      <c r="X1931" s="82"/>
      <c r="Y1931" s="82"/>
      <c r="Z1931" s="82"/>
      <c r="AA1931" s="82"/>
      <c r="AB1931" s="82"/>
      <c r="AC1931" s="82"/>
      <c r="AD1931" s="82"/>
      <c r="AE1931" s="82"/>
      <c r="AF1931" s="82"/>
      <c r="AG1931" s="82"/>
      <c r="AH1931" s="82"/>
      <c r="AI1931" s="82"/>
      <c r="AJ1931" s="82"/>
      <c r="AK1931" s="82"/>
      <c r="AL1931" s="82"/>
      <c r="AM1931" s="82"/>
      <c r="AN1931" s="82">
        <f>IFERROR(__xludf.DUMMYFUNCTION("""COMPUTED_VALUE"""),0.0)</f>
        <v>0</v>
      </c>
      <c r="AO1931" s="82">
        <f>IFERROR(__xludf.DUMMYFUNCTION("""COMPUTED_VALUE"""),0.0)</f>
        <v>0</v>
      </c>
      <c r="AP1931" s="82">
        <f>IFERROR(__xludf.DUMMYFUNCTION("""COMPUTED_VALUE"""),0.0)</f>
        <v>0</v>
      </c>
      <c r="AQ1931" s="82">
        <f>IFERROR(__xludf.DUMMYFUNCTION("""COMPUTED_VALUE"""),0.0)</f>
        <v>0</v>
      </c>
      <c r="AR1931" s="82">
        <f>IFERROR(__xludf.DUMMYFUNCTION("""COMPUTED_VALUE"""),0.0)</f>
        <v>0</v>
      </c>
      <c r="AS1931" s="82"/>
      <c r="AT1931" s="82">
        <f>IFERROR(__xludf.DUMMYFUNCTION("""COMPUTED_VALUE"""),0.0)</f>
        <v>0</v>
      </c>
      <c r="AU1931" s="82"/>
      <c r="AV1931" s="82"/>
      <c r="AW1931" s="82" t="str">
        <f t="shared" si="1"/>
        <v/>
      </c>
      <c r="AX1931" s="83" t="str">
        <f t="array" ref="AX1931">IFERROR(DGET('SBV Import'!A:G,"SBV",{"RSC ID","Tier";B1931,A1931}))</f>
        <v/>
      </c>
      <c r="AY1931" s="82" t="str">
        <f t="shared" si="2"/>
        <v/>
      </c>
      <c r="AZ1931" s="82"/>
      <c r="BA1931" s="84" t="s">
        <v>152</v>
      </c>
      <c r="BB1931" s="84" t="str">
        <f>IFERROR(__xludf.DUMMYFUNCTION("iferror(if(A1931="""",,E1931&gt;=FILTER(Constants!$F$2:$F$10,Constants!$A$2:$A$10=A1931)))"),"")</f>
        <v/>
      </c>
    </row>
    <row r="1932">
      <c r="A1932" s="89"/>
      <c r="B1932" s="87"/>
      <c r="C1932" s="73"/>
      <c r="D1932" s="73"/>
      <c r="E1932" s="82"/>
      <c r="F1932" s="82"/>
      <c r="G1932" s="86"/>
      <c r="H1932" s="86"/>
      <c r="I1932" s="86"/>
      <c r="J1932" s="82"/>
      <c r="K1932" s="82"/>
      <c r="L1932" s="82"/>
      <c r="M1932" s="82"/>
      <c r="N1932" s="82"/>
      <c r="O1932" s="82"/>
      <c r="P1932" s="82"/>
      <c r="Q1932" s="82"/>
      <c r="R1932" s="82"/>
      <c r="S1932" s="82"/>
      <c r="T1932" s="82"/>
      <c r="U1932" s="82"/>
      <c r="V1932" s="82"/>
      <c r="W1932" s="82"/>
      <c r="X1932" s="82"/>
      <c r="Y1932" s="82"/>
      <c r="Z1932" s="82"/>
      <c r="AA1932" s="82"/>
      <c r="AB1932" s="82"/>
      <c r="AC1932" s="82"/>
      <c r="AD1932" s="82"/>
      <c r="AE1932" s="82"/>
      <c r="AF1932" s="82"/>
      <c r="AG1932" s="82"/>
      <c r="AH1932" s="82"/>
      <c r="AI1932" s="82"/>
      <c r="AJ1932" s="82"/>
      <c r="AK1932" s="82"/>
      <c r="AL1932" s="82"/>
      <c r="AM1932" s="82"/>
      <c r="AN1932" s="82">
        <f>IFERROR(__xludf.DUMMYFUNCTION("""COMPUTED_VALUE"""),0.0)</f>
        <v>0</v>
      </c>
      <c r="AO1932" s="82">
        <f>IFERROR(__xludf.DUMMYFUNCTION("""COMPUTED_VALUE"""),0.0)</f>
        <v>0</v>
      </c>
      <c r="AP1932" s="82">
        <f>IFERROR(__xludf.DUMMYFUNCTION("""COMPUTED_VALUE"""),0.0)</f>
        <v>0</v>
      </c>
      <c r="AQ1932" s="82">
        <f>IFERROR(__xludf.DUMMYFUNCTION("""COMPUTED_VALUE"""),0.0)</f>
        <v>0</v>
      </c>
      <c r="AR1932" s="82">
        <f>IFERROR(__xludf.DUMMYFUNCTION("""COMPUTED_VALUE"""),0.0)</f>
        <v>0</v>
      </c>
      <c r="AS1932" s="82"/>
      <c r="AT1932" s="82">
        <f>IFERROR(__xludf.DUMMYFUNCTION("""COMPUTED_VALUE"""),0.0)</f>
        <v>0</v>
      </c>
      <c r="AU1932" s="82"/>
      <c r="AV1932" s="82"/>
      <c r="AW1932" s="82" t="str">
        <f t="shared" si="1"/>
        <v/>
      </c>
      <c r="AX1932" s="83" t="str">
        <f t="array" ref="AX1932">IFERROR(DGET('SBV Import'!A:G,"SBV",{"RSC ID","Tier";B1932,A1932}))</f>
        <v/>
      </c>
      <c r="AY1932" s="82" t="str">
        <f t="shared" si="2"/>
        <v/>
      </c>
      <c r="AZ1932" s="82"/>
      <c r="BA1932" s="84" t="s">
        <v>152</v>
      </c>
      <c r="BB1932" s="84" t="str">
        <f>IFERROR(__xludf.DUMMYFUNCTION("iferror(if(A1932="""",,E1932&gt;=FILTER(Constants!$F$2:$F$10,Constants!$A$2:$A$10=A1932)))"),"")</f>
        <v/>
      </c>
    </row>
    <row r="1933">
      <c r="A1933" s="89"/>
      <c r="B1933" s="87"/>
      <c r="C1933" s="73"/>
      <c r="D1933" s="73"/>
      <c r="E1933" s="82"/>
      <c r="F1933" s="82"/>
      <c r="G1933" s="86"/>
      <c r="H1933" s="86"/>
      <c r="I1933" s="86"/>
      <c r="J1933" s="82"/>
      <c r="K1933" s="82"/>
      <c r="L1933" s="82"/>
      <c r="M1933" s="82"/>
      <c r="N1933" s="82"/>
      <c r="O1933" s="82"/>
      <c r="P1933" s="82"/>
      <c r="Q1933" s="82"/>
      <c r="R1933" s="82"/>
      <c r="S1933" s="82"/>
      <c r="T1933" s="82"/>
      <c r="U1933" s="82"/>
      <c r="V1933" s="82"/>
      <c r="W1933" s="82"/>
      <c r="X1933" s="82"/>
      <c r="Y1933" s="82"/>
      <c r="Z1933" s="82"/>
      <c r="AA1933" s="82"/>
      <c r="AB1933" s="82"/>
      <c r="AC1933" s="82"/>
      <c r="AD1933" s="82"/>
      <c r="AE1933" s="82"/>
      <c r="AF1933" s="82"/>
      <c r="AG1933" s="82"/>
      <c r="AH1933" s="82"/>
      <c r="AI1933" s="82"/>
      <c r="AJ1933" s="82"/>
      <c r="AK1933" s="82"/>
      <c r="AL1933" s="82"/>
      <c r="AM1933" s="82"/>
      <c r="AN1933" s="82">
        <f>IFERROR(__xludf.DUMMYFUNCTION("""COMPUTED_VALUE"""),0.0)</f>
        <v>0</v>
      </c>
      <c r="AO1933" s="82">
        <f>IFERROR(__xludf.DUMMYFUNCTION("""COMPUTED_VALUE"""),0.0)</f>
        <v>0</v>
      </c>
      <c r="AP1933" s="82">
        <f>IFERROR(__xludf.DUMMYFUNCTION("""COMPUTED_VALUE"""),0.0)</f>
        <v>0</v>
      </c>
      <c r="AQ1933" s="82">
        <f>IFERROR(__xludf.DUMMYFUNCTION("""COMPUTED_VALUE"""),0.0)</f>
        <v>0</v>
      </c>
      <c r="AR1933" s="82">
        <f>IFERROR(__xludf.DUMMYFUNCTION("""COMPUTED_VALUE"""),0.0)</f>
        <v>0</v>
      </c>
      <c r="AS1933" s="82"/>
      <c r="AT1933" s="82">
        <f>IFERROR(__xludf.DUMMYFUNCTION("""COMPUTED_VALUE"""),0.0)</f>
        <v>0</v>
      </c>
      <c r="AU1933" s="82"/>
      <c r="AV1933" s="82"/>
      <c r="AW1933" s="82" t="str">
        <f t="shared" si="1"/>
        <v/>
      </c>
      <c r="AX1933" s="83" t="str">
        <f t="array" ref="AX1933">IFERROR(DGET('SBV Import'!A:G,"SBV",{"RSC ID","Tier";B1933,A1933}))</f>
        <v/>
      </c>
      <c r="AY1933" s="82" t="str">
        <f t="shared" si="2"/>
        <v/>
      </c>
      <c r="AZ1933" s="82"/>
      <c r="BA1933" s="84" t="s">
        <v>152</v>
      </c>
      <c r="BB1933" s="84" t="str">
        <f>IFERROR(__xludf.DUMMYFUNCTION("iferror(if(A1933="""",,E1933&gt;=FILTER(Constants!$F$2:$F$10,Constants!$A$2:$A$10=A1933)))"),"")</f>
        <v/>
      </c>
    </row>
    <row r="1934">
      <c r="A1934" s="89"/>
      <c r="B1934" s="87"/>
      <c r="C1934" s="73"/>
      <c r="D1934" s="73"/>
      <c r="E1934" s="82"/>
      <c r="F1934" s="82"/>
      <c r="G1934" s="86"/>
      <c r="H1934" s="86"/>
      <c r="I1934" s="86"/>
      <c r="J1934" s="82"/>
      <c r="K1934" s="82"/>
      <c r="L1934" s="82"/>
      <c r="M1934" s="82"/>
      <c r="N1934" s="82"/>
      <c r="O1934" s="82"/>
      <c r="P1934" s="82"/>
      <c r="Q1934" s="82"/>
      <c r="R1934" s="82"/>
      <c r="S1934" s="82"/>
      <c r="T1934" s="82"/>
      <c r="U1934" s="82"/>
      <c r="V1934" s="82"/>
      <c r="W1934" s="82"/>
      <c r="X1934" s="82"/>
      <c r="Y1934" s="82"/>
      <c r="Z1934" s="82"/>
      <c r="AA1934" s="82"/>
      <c r="AB1934" s="82"/>
      <c r="AC1934" s="82"/>
      <c r="AD1934" s="82"/>
      <c r="AE1934" s="82"/>
      <c r="AF1934" s="82"/>
      <c r="AG1934" s="82"/>
      <c r="AH1934" s="82"/>
      <c r="AI1934" s="82"/>
      <c r="AJ1934" s="82"/>
      <c r="AK1934" s="82"/>
      <c r="AL1934" s="82"/>
      <c r="AM1934" s="82"/>
      <c r="AN1934" s="82">
        <f>IFERROR(__xludf.DUMMYFUNCTION("""COMPUTED_VALUE"""),0.0)</f>
        <v>0</v>
      </c>
      <c r="AO1934" s="82">
        <f>IFERROR(__xludf.DUMMYFUNCTION("""COMPUTED_VALUE"""),0.0)</f>
        <v>0</v>
      </c>
      <c r="AP1934" s="82">
        <f>IFERROR(__xludf.DUMMYFUNCTION("""COMPUTED_VALUE"""),0.0)</f>
        <v>0</v>
      </c>
      <c r="AQ1934" s="82">
        <f>IFERROR(__xludf.DUMMYFUNCTION("""COMPUTED_VALUE"""),0.0)</f>
        <v>0</v>
      </c>
      <c r="AR1934" s="82">
        <f>IFERROR(__xludf.DUMMYFUNCTION("""COMPUTED_VALUE"""),0.0)</f>
        <v>0</v>
      </c>
      <c r="AS1934" s="82"/>
      <c r="AT1934" s="82">
        <f>IFERROR(__xludf.DUMMYFUNCTION("""COMPUTED_VALUE"""),0.0)</f>
        <v>0</v>
      </c>
      <c r="AU1934" s="82"/>
      <c r="AV1934" s="82"/>
      <c r="AW1934" s="82" t="str">
        <f t="shared" si="1"/>
        <v/>
      </c>
      <c r="AX1934" s="83" t="str">
        <f t="array" ref="AX1934">IFERROR(DGET('SBV Import'!A:G,"SBV",{"RSC ID","Tier";B1934,A1934}))</f>
        <v/>
      </c>
      <c r="AY1934" s="82" t="str">
        <f t="shared" si="2"/>
        <v/>
      </c>
      <c r="AZ1934" s="82"/>
      <c r="BA1934" s="84" t="s">
        <v>152</v>
      </c>
      <c r="BB1934" s="84" t="str">
        <f>IFERROR(__xludf.DUMMYFUNCTION("iferror(if(A1934="""",,E1934&gt;=FILTER(Constants!$F$2:$F$10,Constants!$A$2:$A$10=A1934)))"),"")</f>
        <v/>
      </c>
    </row>
    <row r="1935">
      <c r="A1935" s="89"/>
      <c r="B1935" s="87"/>
      <c r="C1935" s="73"/>
      <c r="D1935" s="73"/>
      <c r="E1935" s="82"/>
      <c r="F1935" s="82"/>
      <c r="G1935" s="86"/>
      <c r="H1935" s="86"/>
      <c r="I1935" s="86"/>
      <c r="J1935" s="82"/>
      <c r="K1935" s="82"/>
      <c r="L1935" s="82"/>
      <c r="M1935" s="82"/>
      <c r="N1935" s="82"/>
      <c r="O1935" s="82"/>
      <c r="P1935" s="82"/>
      <c r="Q1935" s="82"/>
      <c r="R1935" s="82"/>
      <c r="S1935" s="82"/>
      <c r="T1935" s="82"/>
      <c r="U1935" s="82"/>
      <c r="V1935" s="82"/>
      <c r="W1935" s="82"/>
      <c r="X1935" s="82"/>
      <c r="Y1935" s="82"/>
      <c r="Z1935" s="82"/>
      <c r="AA1935" s="82"/>
      <c r="AB1935" s="82"/>
      <c r="AC1935" s="82"/>
      <c r="AD1935" s="82"/>
      <c r="AE1935" s="82"/>
      <c r="AF1935" s="82"/>
      <c r="AG1935" s="82"/>
      <c r="AH1935" s="82"/>
      <c r="AI1935" s="82"/>
      <c r="AJ1935" s="82"/>
      <c r="AK1935" s="82"/>
      <c r="AL1935" s="82"/>
      <c r="AM1935" s="82"/>
      <c r="AN1935" s="82">
        <f>IFERROR(__xludf.DUMMYFUNCTION("""COMPUTED_VALUE"""),0.0)</f>
        <v>0</v>
      </c>
      <c r="AO1935" s="82">
        <f>IFERROR(__xludf.DUMMYFUNCTION("""COMPUTED_VALUE"""),0.0)</f>
        <v>0</v>
      </c>
      <c r="AP1935" s="82">
        <f>IFERROR(__xludf.DUMMYFUNCTION("""COMPUTED_VALUE"""),0.0)</f>
        <v>0</v>
      </c>
      <c r="AQ1935" s="82">
        <f>IFERROR(__xludf.DUMMYFUNCTION("""COMPUTED_VALUE"""),0.0)</f>
        <v>0</v>
      </c>
      <c r="AR1935" s="82">
        <f>IFERROR(__xludf.DUMMYFUNCTION("""COMPUTED_VALUE"""),0.0)</f>
        <v>0</v>
      </c>
      <c r="AS1935" s="82"/>
      <c r="AT1935" s="82">
        <f>IFERROR(__xludf.DUMMYFUNCTION("""COMPUTED_VALUE"""),0.0)</f>
        <v>0</v>
      </c>
      <c r="AU1935" s="82"/>
      <c r="AV1935" s="82"/>
      <c r="AW1935" s="82" t="str">
        <f t="shared" si="1"/>
        <v/>
      </c>
      <c r="AX1935" s="83" t="str">
        <f t="array" ref="AX1935">IFERROR(DGET('SBV Import'!A:G,"SBV",{"RSC ID","Tier";B1935,A1935}))</f>
        <v/>
      </c>
      <c r="AY1935" s="82" t="str">
        <f t="shared" si="2"/>
        <v/>
      </c>
      <c r="AZ1935" s="82"/>
      <c r="BA1935" s="84" t="s">
        <v>152</v>
      </c>
      <c r="BB1935" s="84" t="str">
        <f>IFERROR(__xludf.DUMMYFUNCTION("iferror(if(A1935="""",,E1935&gt;=FILTER(Constants!$F$2:$F$10,Constants!$A$2:$A$10=A1935)))"),"")</f>
        <v/>
      </c>
    </row>
    <row r="1936">
      <c r="A1936" s="89"/>
      <c r="B1936" s="87"/>
      <c r="C1936" s="73"/>
      <c r="D1936" s="73"/>
      <c r="E1936" s="82"/>
      <c r="F1936" s="82"/>
      <c r="G1936" s="86"/>
      <c r="H1936" s="86"/>
      <c r="I1936" s="86"/>
      <c r="J1936" s="82"/>
      <c r="K1936" s="82"/>
      <c r="L1936" s="82"/>
      <c r="M1936" s="82"/>
      <c r="N1936" s="82"/>
      <c r="O1936" s="82"/>
      <c r="P1936" s="82"/>
      <c r="Q1936" s="82"/>
      <c r="R1936" s="82"/>
      <c r="S1936" s="82"/>
      <c r="T1936" s="82"/>
      <c r="U1936" s="82"/>
      <c r="V1936" s="82"/>
      <c r="W1936" s="82"/>
      <c r="X1936" s="82"/>
      <c r="Y1936" s="82"/>
      <c r="Z1936" s="82"/>
      <c r="AA1936" s="82"/>
      <c r="AB1936" s="82"/>
      <c r="AC1936" s="82"/>
      <c r="AD1936" s="82"/>
      <c r="AE1936" s="82"/>
      <c r="AF1936" s="82"/>
      <c r="AG1936" s="82"/>
      <c r="AH1936" s="82"/>
      <c r="AI1936" s="82"/>
      <c r="AJ1936" s="82"/>
      <c r="AK1936" s="82"/>
      <c r="AL1936" s="82"/>
      <c r="AM1936" s="82"/>
      <c r="AN1936" s="82">
        <f>IFERROR(__xludf.DUMMYFUNCTION("""COMPUTED_VALUE"""),0.0)</f>
        <v>0</v>
      </c>
      <c r="AO1936" s="82">
        <f>IFERROR(__xludf.DUMMYFUNCTION("""COMPUTED_VALUE"""),0.0)</f>
        <v>0</v>
      </c>
      <c r="AP1936" s="82">
        <f>IFERROR(__xludf.DUMMYFUNCTION("""COMPUTED_VALUE"""),0.0)</f>
        <v>0</v>
      </c>
      <c r="AQ1936" s="82">
        <f>IFERROR(__xludf.DUMMYFUNCTION("""COMPUTED_VALUE"""),0.0)</f>
        <v>0</v>
      </c>
      <c r="AR1936" s="82">
        <f>IFERROR(__xludf.DUMMYFUNCTION("""COMPUTED_VALUE"""),0.0)</f>
        <v>0</v>
      </c>
      <c r="AS1936" s="82"/>
      <c r="AT1936" s="82">
        <f>IFERROR(__xludf.DUMMYFUNCTION("""COMPUTED_VALUE"""),0.0)</f>
        <v>0</v>
      </c>
      <c r="AU1936" s="82"/>
      <c r="AV1936" s="82"/>
      <c r="AW1936" s="82" t="str">
        <f t="shared" si="1"/>
        <v/>
      </c>
      <c r="AX1936" s="83" t="str">
        <f t="array" ref="AX1936">IFERROR(DGET('SBV Import'!A:G,"SBV",{"RSC ID","Tier";B1936,A1936}))</f>
        <v/>
      </c>
      <c r="AY1936" s="82" t="str">
        <f t="shared" si="2"/>
        <v/>
      </c>
      <c r="AZ1936" s="82"/>
      <c r="BA1936" s="84" t="s">
        <v>152</v>
      </c>
      <c r="BB1936" s="84" t="str">
        <f>IFERROR(__xludf.DUMMYFUNCTION("iferror(if(A1936="""",,E1936&gt;=FILTER(Constants!$F$2:$F$10,Constants!$A$2:$A$10=A1936)))"),"")</f>
        <v/>
      </c>
    </row>
    <row r="1937">
      <c r="A1937" s="89"/>
      <c r="B1937" s="87"/>
      <c r="C1937" s="73"/>
      <c r="D1937" s="73"/>
      <c r="E1937" s="82"/>
      <c r="F1937" s="82"/>
      <c r="G1937" s="86"/>
      <c r="H1937" s="86"/>
      <c r="I1937" s="86"/>
      <c r="J1937" s="82"/>
      <c r="K1937" s="82"/>
      <c r="L1937" s="82"/>
      <c r="M1937" s="82"/>
      <c r="N1937" s="82"/>
      <c r="O1937" s="82"/>
      <c r="P1937" s="82"/>
      <c r="Q1937" s="82"/>
      <c r="R1937" s="82"/>
      <c r="S1937" s="82"/>
      <c r="T1937" s="82"/>
      <c r="U1937" s="82"/>
      <c r="V1937" s="82"/>
      <c r="W1937" s="82"/>
      <c r="X1937" s="82"/>
      <c r="Y1937" s="82"/>
      <c r="Z1937" s="82"/>
      <c r="AA1937" s="82"/>
      <c r="AB1937" s="82"/>
      <c r="AC1937" s="82"/>
      <c r="AD1937" s="82"/>
      <c r="AE1937" s="82"/>
      <c r="AF1937" s="82"/>
      <c r="AG1937" s="82"/>
      <c r="AH1937" s="82"/>
      <c r="AI1937" s="82"/>
      <c r="AJ1937" s="82"/>
      <c r="AK1937" s="82"/>
      <c r="AL1937" s="82"/>
      <c r="AM1937" s="82"/>
      <c r="AN1937" s="82">
        <f>IFERROR(__xludf.DUMMYFUNCTION("""COMPUTED_VALUE"""),0.0)</f>
        <v>0</v>
      </c>
      <c r="AO1937" s="82">
        <f>IFERROR(__xludf.DUMMYFUNCTION("""COMPUTED_VALUE"""),0.0)</f>
        <v>0</v>
      </c>
      <c r="AP1937" s="82">
        <f>IFERROR(__xludf.DUMMYFUNCTION("""COMPUTED_VALUE"""),0.0)</f>
        <v>0</v>
      </c>
      <c r="AQ1937" s="82">
        <f>IFERROR(__xludf.DUMMYFUNCTION("""COMPUTED_VALUE"""),0.0)</f>
        <v>0</v>
      </c>
      <c r="AR1937" s="82">
        <f>IFERROR(__xludf.DUMMYFUNCTION("""COMPUTED_VALUE"""),0.0)</f>
        <v>0</v>
      </c>
      <c r="AS1937" s="82"/>
      <c r="AT1937" s="82">
        <f>IFERROR(__xludf.DUMMYFUNCTION("""COMPUTED_VALUE"""),0.0)</f>
        <v>0</v>
      </c>
      <c r="AU1937" s="82"/>
      <c r="AV1937" s="82"/>
      <c r="AW1937" s="82" t="str">
        <f t="shared" si="1"/>
        <v/>
      </c>
      <c r="AX1937" s="83" t="str">
        <f t="array" ref="AX1937">IFERROR(DGET('SBV Import'!A:G,"SBV",{"RSC ID","Tier";B1937,A1937}))</f>
        <v/>
      </c>
      <c r="AY1937" s="82" t="str">
        <f t="shared" si="2"/>
        <v/>
      </c>
      <c r="AZ1937" s="82"/>
      <c r="BA1937" s="84" t="s">
        <v>152</v>
      </c>
      <c r="BB1937" s="84" t="str">
        <f>IFERROR(__xludf.DUMMYFUNCTION("iferror(if(A1937="""",,E1937&gt;=FILTER(Constants!$F$2:$F$10,Constants!$A$2:$A$10=A1937)))"),"")</f>
        <v/>
      </c>
    </row>
    <row r="1938">
      <c r="A1938" s="89"/>
      <c r="B1938" s="87"/>
      <c r="C1938" s="73"/>
      <c r="D1938" s="73"/>
      <c r="E1938" s="82"/>
      <c r="F1938" s="82"/>
      <c r="G1938" s="86"/>
      <c r="H1938" s="86"/>
      <c r="I1938" s="86"/>
      <c r="J1938" s="82"/>
      <c r="K1938" s="82"/>
      <c r="L1938" s="82"/>
      <c r="M1938" s="82"/>
      <c r="N1938" s="82"/>
      <c r="O1938" s="82"/>
      <c r="P1938" s="82"/>
      <c r="Q1938" s="82"/>
      <c r="R1938" s="82"/>
      <c r="S1938" s="82"/>
      <c r="T1938" s="82"/>
      <c r="U1938" s="82"/>
      <c r="V1938" s="82"/>
      <c r="W1938" s="82"/>
      <c r="X1938" s="82"/>
      <c r="Y1938" s="82"/>
      <c r="Z1938" s="82"/>
      <c r="AA1938" s="82"/>
      <c r="AB1938" s="82"/>
      <c r="AC1938" s="82"/>
      <c r="AD1938" s="82"/>
      <c r="AE1938" s="82"/>
      <c r="AF1938" s="82"/>
      <c r="AG1938" s="82"/>
      <c r="AH1938" s="82"/>
      <c r="AI1938" s="82"/>
      <c r="AJ1938" s="82"/>
      <c r="AK1938" s="82"/>
      <c r="AL1938" s="82"/>
      <c r="AM1938" s="82"/>
      <c r="AN1938" s="82">
        <f>IFERROR(__xludf.DUMMYFUNCTION("""COMPUTED_VALUE"""),0.0)</f>
        <v>0</v>
      </c>
      <c r="AO1938" s="82">
        <f>IFERROR(__xludf.DUMMYFUNCTION("""COMPUTED_VALUE"""),0.0)</f>
        <v>0</v>
      </c>
      <c r="AP1938" s="82">
        <f>IFERROR(__xludf.DUMMYFUNCTION("""COMPUTED_VALUE"""),0.0)</f>
        <v>0</v>
      </c>
      <c r="AQ1938" s="82">
        <f>IFERROR(__xludf.DUMMYFUNCTION("""COMPUTED_VALUE"""),0.0)</f>
        <v>0</v>
      </c>
      <c r="AR1938" s="82">
        <f>IFERROR(__xludf.DUMMYFUNCTION("""COMPUTED_VALUE"""),0.0)</f>
        <v>0</v>
      </c>
      <c r="AS1938" s="82"/>
      <c r="AT1938" s="82">
        <f>IFERROR(__xludf.DUMMYFUNCTION("""COMPUTED_VALUE"""),0.0)</f>
        <v>0</v>
      </c>
      <c r="AU1938" s="82"/>
      <c r="AV1938" s="82"/>
      <c r="AW1938" s="82" t="str">
        <f t="shared" si="1"/>
        <v/>
      </c>
      <c r="AX1938" s="83" t="str">
        <f t="array" ref="AX1938">IFERROR(DGET('SBV Import'!A:G,"SBV",{"RSC ID","Tier";B1938,A1938}))</f>
        <v/>
      </c>
      <c r="AY1938" s="82" t="str">
        <f t="shared" si="2"/>
        <v/>
      </c>
      <c r="AZ1938" s="82"/>
      <c r="BA1938" s="84" t="s">
        <v>152</v>
      </c>
      <c r="BB1938" s="84" t="str">
        <f>IFERROR(__xludf.DUMMYFUNCTION("iferror(if(A1938="""",,E1938&gt;=FILTER(Constants!$F$2:$F$10,Constants!$A$2:$A$10=A1938)))"),"")</f>
        <v/>
      </c>
    </row>
    <row r="1939">
      <c r="A1939" s="89"/>
      <c r="B1939" s="87"/>
      <c r="C1939" s="73"/>
      <c r="D1939" s="73"/>
      <c r="E1939" s="82"/>
      <c r="F1939" s="82"/>
      <c r="G1939" s="86"/>
      <c r="H1939" s="86"/>
      <c r="I1939" s="86"/>
      <c r="J1939" s="82"/>
      <c r="K1939" s="82"/>
      <c r="L1939" s="82"/>
      <c r="M1939" s="82"/>
      <c r="N1939" s="82"/>
      <c r="O1939" s="82"/>
      <c r="P1939" s="82"/>
      <c r="Q1939" s="82"/>
      <c r="R1939" s="82"/>
      <c r="S1939" s="82"/>
      <c r="T1939" s="82"/>
      <c r="U1939" s="82"/>
      <c r="V1939" s="82"/>
      <c r="W1939" s="82"/>
      <c r="X1939" s="82"/>
      <c r="Y1939" s="82"/>
      <c r="Z1939" s="82"/>
      <c r="AA1939" s="82"/>
      <c r="AB1939" s="82"/>
      <c r="AC1939" s="82"/>
      <c r="AD1939" s="82"/>
      <c r="AE1939" s="82"/>
      <c r="AF1939" s="82"/>
      <c r="AG1939" s="82"/>
      <c r="AH1939" s="82"/>
      <c r="AI1939" s="82"/>
      <c r="AJ1939" s="82"/>
      <c r="AK1939" s="82"/>
      <c r="AL1939" s="82"/>
      <c r="AM1939" s="82"/>
      <c r="AN1939" s="82">
        <f>IFERROR(__xludf.DUMMYFUNCTION("""COMPUTED_VALUE"""),0.0)</f>
        <v>0</v>
      </c>
      <c r="AO1939" s="82">
        <f>IFERROR(__xludf.DUMMYFUNCTION("""COMPUTED_VALUE"""),0.0)</f>
        <v>0</v>
      </c>
      <c r="AP1939" s="82">
        <f>IFERROR(__xludf.DUMMYFUNCTION("""COMPUTED_VALUE"""),0.0)</f>
        <v>0</v>
      </c>
      <c r="AQ1939" s="82">
        <f>IFERROR(__xludf.DUMMYFUNCTION("""COMPUTED_VALUE"""),0.0)</f>
        <v>0</v>
      </c>
      <c r="AR1939" s="82">
        <f>IFERROR(__xludf.DUMMYFUNCTION("""COMPUTED_VALUE"""),0.0)</f>
        <v>0</v>
      </c>
      <c r="AS1939" s="82"/>
      <c r="AT1939" s="82">
        <f>IFERROR(__xludf.DUMMYFUNCTION("""COMPUTED_VALUE"""),0.0)</f>
        <v>0</v>
      </c>
      <c r="AU1939" s="82"/>
      <c r="AV1939" s="82"/>
      <c r="AW1939" s="82" t="str">
        <f t="shared" si="1"/>
        <v/>
      </c>
      <c r="AX1939" s="83" t="str">
        <f t="array" ref="AX1939">IFERROR(DGET('SBV Import'!A:G,"SBV",{"RSC ID","Tier";B1939,A1939}))</f>
        <v/>
      </c>
      <c r="AY1939" s="82" t="str">
        <f t="shared" si="2"/>
        <v/>
      </c>
      <c r="AZ1939" s="82"/>
      <c r="BA1939" s="84" t="s">
        <v>152</v>
      </c>
      <c r="BB1939" s="84" t="str">
        <f>IFERROR(__xludf.DUMMYFUNCTION("iferror(if(A1939="""",,E1939&gt;=FILTER(Constants!$F$2:$F$10,Constants!$A$2:$A$10=A1939)))"),"")</f>
        <v/>
      </c>
    </row>
    <row r="1940">
      <c r="A1940" s="89"/>
      <c r="B1940" s="87"/>
      <c r="C1940" s="73"/>
      <c r="D1940" s="73"/>
      <c r="E1940" s="82"/>
      <c r="F1940" s="82"/>
      <c r="G1940" s="86"/>
      <c r="H1940" s="86"/>
      <c r="I1940" s="86"/>
      <c r="J1940" s="82"/>
      <c r="K1940" s="82"/>
      <c r="L1940" s="82"/>
      <c r="M1940" s="82"/>
      <c r="N1940" s="82"/>
      <c r="O1940" s="82"/>
      <c r="P1940" s="82"/>
      <c r="Q1940" s="82"/>
      <c r="R1940" s="82"/>
      <c r="S1940" s="82"/>
      <c r="T1940" s="82"/>
      <c r="U1940" s="82"/>
      <c r="V1940" s="82"/>
      <c r="W1940" s="82"/>
      <c r="X1940" s="82"/>
      <c r="Y1940" s="82"/>
      <c r="Z1940" s="82"/>
      <c r="AA1940" s="82"/>
      <c r="AB1940" s="82"/>
      <c r="AC1940" s="82"/>
      <c r="AD1940" s="82"/>
      <c r="AE1940" s="82"/>
      <c r="AF1940" s="82"/>
      <c r="AG1940" s="82"/>
      <c r="AH1940" s="82"/>
      <c r="AI1940" s="82"/>
      <c r="AJ1940" s="82"/>
      <c r="AK1940" s="82"/>
      <c r="AL1940" s="82"/>
      <c r="AM1940" s="82"/>
      <c r="AN1940" s="82">
        <f>IFERROR(__xludf.DUMMYFUNCTION("""COMPUTED_VALUE"""),0.0)</f>
        <v>0</v>
      </c>
      <c r="AO1940" s="82">
        <f>IFERROR(__xludf.DUMMYFUNCTION("""COMPUTED_VALUE"""),0.0)</f>
        <v>0</v>
      </c>
      <c r="AP1940" s="82">
        <f>IFERROR(__xludf.DUMMYFUNCTION("""COMPUTED_VALUE"""),0.0)</f>
        <v>0</v>
      </c>
      <c r="AQ1940" s="82">
        <f>IFERROR(__xludf.DUMMYFUNCTION("""COMPUTED_VALUE"""),0.0)</f>
        <v>0</v>
      </c>
      <c r="AR1940" s="82">
        <f>IFERROR(__xludf.DUMMYFUNCTION("""COMPUTED_VALUE"""),0.0)</f>
        <v>0</v>
      </c>
      <c r="AS1940" s="82"/>
      <c r="AT1940" s="82">
        <f>IFERROR(__xludf.DUMMYFUNCTION("""COMPUTED_VALUE"""),0.0)</f>
        <v>0</v>
      </c>
      <c r="AU1940" s="82"/>
      <c r="AV1940" s="82"/>
      <c r="AW1940" s="82" t="str">
        <f t="shared" si="1"/>
        <v/>
      </c>
      <c r="AX1940" s="83" t="str">
        <f t="array" ref="AX1940">IFERROR(DGET('SBV Import'!A:G,"SBV",{"RSC ID","Tier";B1940,A1940}))</f>
        <v/>
      </c>
      <c r="AY1940" s="82" t="str">
        <f t="shared" si="2"/>
        <v/>
      </c>
      <c r="AZ1940" s="82"/>
      <c r="BA1940" s="84" t="s">
        <v>152</v>
      </c>
      <c r="BB1940" s="84" t="str">
        <f>IFERROR(__xludf.DUMMYFUNCTION("iferror(if(A1940="""",,E1940&gt;=FILTER(Constants!$F$2:$F$10,Constants!$A$2:$A$10=A1940)))"),"")</f>
        <v/>
      </c>
    </row>
    <row r="1941">
      <c r="A1941" s="89"/>
      <c r="B1941" s="87"/>
      <c r="C1941" s="73"/>
      <c r="D1941" s="73"/>
      <c r="E1941" s="82"/>
      <c r="F1941" s="82"/>
      <c r="G1941" s="86"/>
      <c r="H1941" s="86"/>
      <c r="I1941" s="86"/>
      <c r="J1941" s="82"/>
      <c r="K1941" s="82"/>
      <c r="L1941" s="82"/>
      <c r="M1941" s="82"/>
      <c r="N1941" s="82"/>
      <c r="O1941" s="82"/>
      <c r="P1941" s="82"/>
      <c r="Q1941" s="82"/>
      <c r="R1941" s="82"/>
      <c r="S1941" s="82"/>
      <c r="T1941" s="82"/>
      <c r="U1941" s="82"/>
      <c r="V1941" s="82"/>
      <c r="W1941" s="82"/>
      <c r="X1941" s="82"/>
      <c r="Y1941" s="82"/>
      <c r="Z1941" s="82"/>
      <c r="AA1941" s="82"/>
      <c r="AB1941" s="82"/>
      <c r="AC1941" s="82"/>
      <c r="AD1941" s="82"/>
      <c r="AE1941" s="82"/>
      <c r="AF1941" s="82"/>
      <c r="AG1941" s="82"/>
      <c r="AH1941" s="82"/>
      <c r="AI1941" s="82"/>
      <c r="AJ1941" s="82"/>
      <c r="AK1941" s="82"/>
      <c r="AL1941" s="82"/>
      <c r="AM1941" s="82"/>
      <c r="AN1941" s="82">
        <f>IFERROR(__xludf.DUMMYFUNCTION("""COMPUTED_VALUE"""),0.0)</f>
        <v>0</v>
      </c>
      <c r="AO1941" s="82">
        <f>IFERROR(__xludf.DUMMYFUNCTION("""COMPUTED_VALUE"""),0.0)</f>
        <v>0</v>
      </c>
      <c r="AP1941" s="82">
        <f>IFERROR(__xludf.DUMMYFUNCTION("""COMPUTED_VALUE"""),0.0)</f>
        <v>0</v>
      </c>
      <c r="AQ1941" s="82">
        <f>IFERROR(__xludf.DUMMYFUNCTION("""COMPUTED_VALUE"""),0.0)</f>
        <v>0</v>
      </c>
      <c r="AR1941" s="82">
        <f>IFERROR(__xludf.DUMMYFUNCTION("""COMPUTED_VALUE"""),0.0)</f>
        <v>0</v>
      </c>
      <c r="AS1941" s="82"/>
      <c r="AT1941" s="82">
        <f>IFERROR(__xludf.DUMMYFUNCTION("""COMPUTED_VALUE"""),0.0)</f>
        <v>0</v>
      </c>
      <c r="AU1941" s="82"/>
      <c r="AV1941" s="82"/>
      <c r="AW1941" s="82" t="str">
        <f t="shared" si="1"/>
        <v/>
      </c>
      <c r="AX1941" s="83" t="str">
        <f t="array" ref="AX1941">IFERROR(DGET('SBV Import'!A:G,"SBV",{"RSC ID","Tier";B1941,A1941}))</f>
        <v/>
      </c>
      <c r="AY1941" s="82" t="str">
        <f t="shared" si="2"/>
        <v/>
      </c>
      <c r="AZ1941" s="82"/>
      <c r="BA1941" s="84" t="s">
        <v>152</v>
      </c>
      <c r="BB1941" s="84" t="str">
        <f>IFERROR(__xludf.DUMMYFUNCTION("iferror(if(A1941="""",,E1941&gt;=FILTER(Constants!$F$2:$F$10,Constants!$A$2:$A$10=A1941)))"),"")</f>
        <v/>
      </c>
    </row>
    <row r="1942">
      <c r="A1942" s="89"/>
      <c r="B1942" s="87"/>
      <c r="C1942" s="73"/>
      <c r="D1942" s="73"/>
      <c r="E1942" s="82"/>
      <c r="F1942" s="82"/>
      <c r="G1942" s="86"/>
      <c r="H1942" s="86"/>
      <c r="I1942" s="86"/>
      <c r="J1942" s="82"/>
      <c r="K1942" s="82"/>
      <c r="L1942" s="82"/>
      <c r="M1942" s="82"/>
      <c r="N1942" s="82"/>
      <c r="O1942" s="82"/>
      <c r="P1942" s="82"/>
      <c r="Q1942" s="82"/>
      <c r="R1942" s="82"/>
      <c r="S1942" s="82"/>
      <c r="T1942" s="82"/>
      <c r="U1942" s="82"/>
      <c r="V1942" s="82"/>
      <c r="W1942" s="82"/>
      <c r="X1942" s="82"/>
      <c r="Y1942" s="82"/>
      <c r="Z1942" s="82"/>
      <c r="AA1942" s="82"/>
      <c r="AB1942" s="82"/>
      <c r="AC1942" s="82"/>
      <c r="AD1942" s="82"/>
      <c r="AE1942" s="82"/>
      <c r="AF1942" s="82"/>
      <c r="AG1942" s="82"/>
      <c r="AH1942" s="82"/>
      <c r="AI1942" s="82"/>
      <c r="AJ1942" s="82"/>
      <c r="AK1942" s="82"/>
      <c r="AL1942" s="82"/>
      <c r="AM1942" s="82"/>
      <c r="AN1942" s="82">
        <f>IFERROR(__xludf.DUMMYFUNCTION("""COMPUTED_VALUE"""),0.0)</f>
        <v>0</v>
      </c>
      <c r="AO1942" s="82">
        <f>IFERROR(__xludf.DUMMYFUNCTION("""COMPUTED_VALUE"""),0.0)</f>
        <v>0</v>
      </c>
      <c r="AP1942" s="82">
        <f>IFERROR(__xludf.DUMMYFUNCTION("""COMPUTED_VALUE"""),0.0)</f>
        <v>0</v>
      </c>
      <c r="AQ1942" s="82">
        <f>IFERROR(__xludf.DUMMYFUNCTION("""COMPUTED_VALUE"""),0.0)</f>
        <v>0</v>
      </c>
      <c r="AR1942" s="82">
        <f>IFERROR(__xludf.DUMMYFUNCTION("""COMPUTED_VALUE"""),0.0)</f>
        <v>0</v>
      </c>
      <c r="AS1942" s="82"/>
      <c r="AT1942" s="82">
        <f>IFERROR(__xludf.DUMMYFUNCTION("""COMPUTED_VALUE"""),0.0)</f>
        <v>0</v>
      </c>
      <c r="AU1942" s="82"/>
      <c r="AV1942" s="82"/>
      <c r="AW1942" s="82" t="str">
        <f t="shared" si="1"/>
        <v/>
      </c>
      <c r="AX1942" s="83" t="str">
        <f t="array" ref="AX1942">IFERROR(DGET('SBV Import'!A:G,"SBV",{"RSC ID","Tier";B1942,A1942}))</f>
        <v/>
      </c>
      <c r="AY1942" s="82" t="str">
        <f t="shared" si="2"/>
        <v/>
      </c>
      <c r="AZ1942" s="82"/>
      <c r="BA1942" s="84" t="s">
        <v>152</v>
      </c>
      <c r="BB1942" s="84" t="str">
        <f>IFERROR(__xludf.DUMMYFUNCTION("iferror(if(A1942="""",,E1942&gt;=FILTER(Constants!$F$2:$F$10,Constants!$A$2:$A$10=A1942)))"),"")</f>
        <v/>
      </c>
    </row>
    <row r="1943">
      <c r="A1943" s="89"/>
      <c r="B1943" s="87"/>
      <c r="C1943" s="73"/>
      <c r="D1943" s="73"/>
      <c r="E1943" s="82"/>
      <c r="F1943" s="82"/>
      <c r="G1943" s="86"/>
      <c r="H1943" s="86"/>
      <c r="I1943" s="86"/>
      <c r="J1943" s="82"/>
      <c r="K1943" s="82"/>
      <c r="L1943" s="82"/>
      <c r="M1943" s="82"/>
      <c r="N1943" s="82"/>
      <c r="O1943" s="82"/>
      <c r="P1943" s="82"/>
      <c r="Q1943" s="82"/>
      <c r="R1943" s="82"/>
      <c r="S1943" s="82"/>
      <c r="T1943" s="82"/>
      <c r="U1943" s="82"/>
      <c r="V1943" s="82"/>
      <c r="W1943" s="82"/>
      <c r="X1943" s="82"/>
      <c r="Y1943" s="82"/>
      <c r="Z1943" s="82"/>
      <c r="AA1943" s="82"/>
      <c r="AB1943" s="82"/>
      <c r="AC1943" s="82"/>
      <c r="AD1943" s="82"/>
      <c r="AE1943" s="82"/>
      <c r="AF1943" s="82"/>
      <c r="AG1943" s="82"/>
      <c r="AH1943" s="82"/>
      <c r="AI1943" s="82"/>
      <c r="AJ1943" s="82"/>
      <c r="AK1943" s="82"/>
      <c r="AL1943" s="82"/>
      <c r="AM1943" s="82"/>
      <c r="AN1943" s="82">
        <f>IFERROR(__xludf.DUMMYFUNCTION("""COMPUTED_VALUE"""),0.0)</f>
        <v>0</v>
      </c>
      <c r="AO1943" s="82">
        <f>IFERROR(__xludf.DUMMYFUNCTION("""COMPUTED_VALUE"""),0.0)</f>
        <v>0</v>
      </c>
      <c r="AP1943" s="82">
        <f>IFERROR(__xludf.DUMMYFUNCTION("""COMPUTED_VALUE"""),0.0)</f>
        <v>0</v>
      </c>
      <c r="AQ1943" s="82">
        <f>IFERROR(__xludf.DUMMYFUNCTION("""COMPUTED_VALUE"""),0.0)</f>
        <v>0</v>
      </c>
      <c r="AR1943" s="82">
        <f>IFERROR(__xludf.DUMMYFUNCTION("""COMPUTED_VALUE"""),0.0)</f>
        <v>0</v>
      </c>
      <c r="AS1943" s="82"/>
      <c r="AT1943" s="82">
        <f>IFERROR(__xludf.DUMMYFUNCTION("""COMPUTED_VALUE"""),0.0)</f>
        <v>0</v>
      </c>
      <c r="AU1943" s="82"/>
      <c r="AV1943" s="82"/>
      <c r="AW1943" s="82" t="str">
        <f t="shared" si="1"/>
        <v/>
      </c>
      <c r="AX1943" s="83" t="str">
        <f t="array" ref="AX1943">IFERROR(DGET('SBV Import'!A:G,"SBV",{"RSC ID","Tier";B1943,A1943}))</f>
        <v/>
      </c>
      <c r="AY1943" s="82" t="str">
        <f t="shared" si="2"/>
        <v/>
      </c>
      <c r="AZ1943" s="82"/>
      <c r="BA1943" s="84" t="s">
        <v>152</v>
      </c>
      <c r="BB1943" s="84" t="str">
        <f>IFERROR(__xludf.DUMMYFUNCTION("iferror(if(A1943="""",,E1943&gt;=FILTER(Constants!$F$2:$F$10,Constants!$A$2:$A$10=A1943)))"),"")</f>
        <v/>
      </c>
    </row>
    <row r="1944">
      <c r="A1944" s="89"/>
      <c r="B1944" s="87"/>
      <c r="C1944" s="73"/>
      <c r="D1944" s="73"/>
      <c r="E1944" s="82"/>
      <c r="F1944" s="82"/>
      <c r="G1944" s="86"/>
      <c r="H1944" s="86"/>
      <c r="I1944" s="86"/>
      <c r="J1944" s="82"/>
      <c r="K1944" s="82"/>
      <c r="L1944" s="82"/>
      <c r="M1944" s="82"/>
      <c r="N1944" s="82"/>
      <c r="O1944" s="82"/>
      <c r="P1944" s="82"/>
      <c r="Q1944" s="82"/>
      <c r="R1944" s="82"/>
      <c r="S1944" s="82"/>
      <c r="T1944" s="82"/>
      <c r="U1944" s="82"/>
      <c r="V1944" s="82"/>
      <c r="W1944" s="82"/>
      <c r="X1944" s="82"/>
      <c r="Y1944" s="82"/>
      <c r="Z1944" s="82"/>
      <c r="AA1944" s="82"/>
      <c r="AB1944" s="82"/>
      <c r="AC1944" s="82"/>
      <c r="AD1944" s="82"/>
      <c r="AE1944" s="82"/>
      <c r="AF1944" s="82"/>
      <c r="AG1944" s="82"/>
      <c r="AH1944" s="82"/>
      <c r="AI1944" s="82"/>
      <c r="AJ1944" s="82"/>
      <c r="AK1944" s="82"/>
      <c r="AL1944" s="82"/>
      <c r="AM1944" s="82"/>
      <c r="AN1944" s="82">
        <f>IFERROR(__xludf.DUMMYFUNCTION("""COMPUTED_VALUE"""),0.0)</f>
        <v>0</v>
      </c>
      <c r="AO1944" s="82">
        <f>IFERROR(__xludf.DUMMYFUNCTION("""COMPUTED_VALUE"""),0.0)</f>
        <v>0</v>
      </c>
      <c r="AP1944" s="82">
        <f>IFERROR(__xludf.DUMMYFUNCTION("""COMPUTED_VALUE"""),0.0)</f>
        <v>0</v>
      </c>
      <c r="AQ1944" s="82">
        <f>IFERROR(__xludf.DUMMYFUNCTION("""COMPUTED_VALUE"""),0.0)</f>
        <v>0</v>
      </c>
      <c r="AR1944" s="82">
        <f>IFERROR(__xludf.DUMMYFUNCTION("""COMPUTED_VALUE"""),0.0)</f>
        <v>0</v>
      </c>
      <c r="AS1944" s="82"/>
      <c r="AT1944" s="82">
        <f>IFERROR(__xludf.DUMMYFUNCTION("""COMPUTED_VALUE"""),0.0)</f>
        <v>0</v>
      </c>
      <c r="AU1944" s="82"/>
      <c r="AV1944" s="82"/>
      <c r="AW1944" s="82" t="str">
        <f t="shared" si="1"/>
        <v/>
      </c>
      <c r="AX1944" s="83" t="str">
        <f t="array" ref="AX1944">IFERROR(DGET('SBV Import'!A:G,"SBV",{"RSC ID","Tier";B1944,A1944}))</f>
        <v/>
      </c>
      <c r="AY1944" s="82" t="str">
        <f t="shared" si="2"/>
        <v/>
      </c>
      <c r="AZ1944" s="82"/>
      <c r="BA1944" s="84" t="s">
        <v>152</v>
      </c>
      <c r="BB1944" s="84" t="str">
        <f>IFERROR(__xludf.DUMMYFUNCTION("iferror(if(A1944="""",,E1944&gt;=FILTER(Constants!$F$2:$F$10,Constants!$A$2:$A$10=A1944)))"),"")</f>
        <v/>
      </c>
    </row>
    <row r="1945">
      <c r="A1945" s="89"/>
      <c r="B1945" s="87"/>
      <c r="C1945" s="73"/>
      <c r="D1945" s="73"/>
      <c r="E1945" s="82"/>
      <c r="F1945" s="82"/>
      <c r="G1945" s="86"/>
      <c r="H1945" s="86"/>
      <c r="I1945" s="86"/>
      <c r="J1945" s="82"/>
      <c r="K1945" s="82"/>
      <c r="L1945" s="82"/>
      <c r="M1945" s="82"/>
      <c r="N1945" s="82"/>
      <c r="O1945" s="82"/>
      <c r="P1945" s="82"/>
      <c r="Q1945" s="82"/>
      <c r="R1945" s="82"/>
      <c r="S1945" s="82"/>
      <c r="T1945" s="82"/>
      <c r="U1945" s="82"/>
      <c r="V1945" s="82"/>
      <c r="W1945" s="82"/>
      <c r="X1945" s="82"/>
      <c r="Y1945" s="82"/>
      <c r="Z1945" s="82"/>
      <c r="AA1945" s="82"/>
      <c r="AB1945" s="82"/>
      <c r="AC1945" s="82"/>
      <c r="AD1945" s="82"/>
      <c r="AE1945" s="82"/>
      <c r="AF1945" s="82"/>
      <c r="AG1945" s="82"/>
      <c r="AH1945" s="82"/>
      <c r="AI1945" s="82"/>
      <c r="AJ1945" s="82"/>
      <c r="AK1945" s="82"/>
      <c r="AL1945" s="82"/>
      <c r="AM1945" s="82"/>
      <c r="AN1945" s="82">
        <f>IFERROR(__xludf.DUMMYFUNCTION("""COMPUTED_VALUE"""),0.0)</f>
        <v>0</v>
      </c>
      <c r="AO1945" s="82">
        <f>IFERROR(__xludf.DUMMYFUNCTION("""COMPUTED_VALUE"""),0.0)</f>
        <v>0</v>
      </c>
      <c r="AP1945" s="82">
        <f>IFERROR(__xludf.DUMMYFUNCTION("""COMPUTED_VALUE"""),0.0)</f>
        <v>0</v>
      </c>
      <c r="AQ1945" s="82">
        <f>IFERROR(__xludf.DUMMYFUNCTION("""COMPUTED_VALUE"""),0.0)</f>
        <v>0</v>
      </c>
      <c r="AR1945" s="82">
        <f>IFERROR(__xludf.DUMMYFUNCTION("""COMPUTED_VALUE"""),0.0)</f>
        <v>0</v>
      </c>
      <c r="AS1945" s="82"/>
      <c r="AT1945" s="82">
        <f>IFERROR(__xludf.DUMMYFUNCTION("""COMPUTED_VALUE"""),0.0)</f>
        <v>0</v>
      </c>
      <c r="AU1945" s="82"/>
      <c r="AV1945" s="82"/>
      <c r="AW1945" s="82" t="str">
        <f t="shared" si="1"/>
        <v/>
      </c>
      <c r="AX1945" s="83" t="str">
        <f t="array" ref="AX1945">IFERROR(DGET('SBV Import'!A:G,"SBV",{"RSC ID","Tier";B1945,A1945}))</f>
        <v/>
      </c>
      <c r="AY1945" s="82" t="str">
        <f t="shared" si="2"/>
        <v/>
      </c>
      <c r="AZ1945" s="82"/>
      <c r="BA1945" s="84" t="s">
        <v>152</v>
      </c>
      <c r="BB1945" s="84" t="str">
        <f>IFERROR(__xludf.DUMMYFUNCTION("iferror(if(A1945="""",,E1945&gt;=FILTER(Constants!$F$2:$F$10,Constants!$A$2:$A$10=A1945)))"),"")</f>
        <v/>
      </c>
    </row>
    <row r="1946">
      <c r="A1946" s="89"/>
      <c r="B1946" s="87"/>
      <c r="C1946" s="73"/>
      <c r="D1946" s="73"/>
      <c r="E1946" s="82"/>
      <c r="F1946" s="82"/>
      <c r="G1946" s="86"/>
      <c r="H1946" s="86"/>
      <c r="I1946" s="86"/>
      <c r="J1946" s="82"/>
      <c r="K1946" s="82"/>
      <c r="L1946" s="82"/>
      <c r="M1946" s="82"/>
      <c r="N1946" s="82"/>
      <c r="O1946" s="82"/>
      <c r="P1946" s="82"/>
      <c r="Q1946" s="82"/>
      <c r="R1946" s="82"/>
      <c r="S1946" s="82"/>
      <c r="T1946" s="82"/>
      <c r="U1946" s="82"/>
      <c r="V1946" s="82"/>
      <c r="W1946" s="82"/>
      <c r="X1946" s="82"/>
      <c r="Y1946" s="82"/>
      <c r="Z1946" s="82"/>
      <c r="AA1946" s="82"/>
      <c r="AB1946" s="82"/>
      <c r="AC1946" s="82"/>
      <c r="AD1946" s="82"/>
      <c r="AE1946" s="82"/>
      <c r="AF1946" s="82"/>
      <c r="AG1946" s="82"/>
      <c r="AH1946" s="82"/>
      <c r="AI1946" s="82"/>
      <c r="AJ1946" s="82"/>
      <c r="AK1946" s="82"/>
      <c r="AL1946" s="82"/>
      <c r="AM1946" s="82"/>
      <c r="AN1946" s="82">
        <f>IFERROR(__xludf.DUMMYFUNCTION("""COMPUTED_VALUE"""),0.0)</f>
        <v>0</v>
      </c>
      <c r="AO1946" s="82">
        <f>IFERROR(__xludf.DUMMYFUNCTION("""COMPUTED_VALUE"""),0.0)</f>
        <v>0</v>
      </c>
      <c r="AP1946" s="82">
        <f>IFERROR(__xludf.DUMMYFUNCTION("""COMPUTED_VALUE"""),0.0)</f>
        <v>0</v>
      </c>
      <c r="AQ1946" s="82">
        <f>IFERROR(__xludf.DUMMYFUNCTION("""COMPUTED_VALUE"""),0.0)</f>
        <v>0</v>
      </c>
      <c r="AR1946" s="82">
        <f>IFERROR(__xludf.DUMMYFUNCTION("""COMPUTED_VALUE"""),0.0)</f>
        <v>0</v>
      </c>
      <c r="AS1946" s="82"/>
      <c r="AT1946" s="82">
        <f>IFERROR(__xludf.DUMMYFUNCTION("""COMPUTED_VALUE"""),0.0)</f>
        <v>0</v>
      </c>
      <c r="AU1946" s="82"/>
      <c r="AV1946" s="82"/>
      <c r="AW1946" s="82" t="str">
        <f t="shared" si="1"/>
        <v/>
      </c>
      <c r="AX1946" s="83" t="str">
        <f t="array" ref="AX1946">IFERROR(DGET('SBV Import'!A:G,"SBV",{"RSC ID","Tier";B1946,A1946}))</f>
        <v/>
      </c>
      <c r="AY1946" s="82" t="str">
        <f t="shared" si="2"/>
        <v/>
      </c>
      <c r="AZ1946" s="82"/>
      <c r="BA1946" s="84" t="s">
        <v>152</v>
      </c>
      <c r="BB1946" s="84" t="str">
        <f>IFERROR(__xludf.DUMMYFUNCTION("iferror(if(A1946="""",,E1946&gt;=FILTER(Constants!$F$2:$F$10,Constants!$A$2:$A$10=A1946)))"),"")</f>
        <v/>
      </c>
    </row>
    <row r="1947">
      <c r="A1947" s="89"/>
      <c r="B1947" s="87"/>
      <c r="C1947" s="73"/>
      <c r="D1947" s="73"/>
      <c r="E1947" s="82"/>
      <c r="F1947" s="82"/>
      <c r="G1947" s="86"/>
      <c r="H1947" s="86"/>
      <c r="I1947" s="86"/>
      <c r="J1947" s="82"/>
      <c r="K1947" s="82"/>
      <c r="L1947" s="82"/>
      <c r="M1947" s="82"/>
      <c r="N1947" s="82"/>
      <c r="O1947" s="82"/>
      <c r="P1947" s="82"/>
      <c r="Q1947" s="82"/>
      <c r="R1947" s="82"/>
      <c r="S1947" s="82"/>
      <c r="T1947" s="82"/>
      <c r="U1947" s="82"/>
      <c r="V1947" s="82"/>
      <c r="W1947" s="82"/>
      <c r="X1947" s="82"/>
      <c r="Y1947" s="82"/>
      <c r="Z1947" s="82"/>
      <c r="AA1947" s="82"/>
      <c r="AB1947" s="82"/>
      <c r="AC1947" s="82"/>
      <c r="AD1947" s="82"/>
      <c r="AE1947" s="82"/>
      <c r="AF1947" s="82"/>
      <c r="AG1947" s="82"/>
      <c r="AH1947" s="82"/>
      <c r="AI1947" s="82"/>
      <c r="AJ1947" s="82"/>
      <c r="AK1947" s="82"/>
      <c r="AL1947" s="82"/>
      <c r="AM1947" s="82"/>
      <c r="AN1947" s="82">
        <f>IFERROR(__xludf.DUMMYFUNCTION("""COMPUTED_VALUE"""),0.0)</f>
        <v>0</v>
      </c>
      <c r="AO1947" s="82">
        <f>IFERROR(__xludf.DUMMYFUNCTION("""COMPUTED_VALUE"""),0.0)</f>
        <v>0</v>
      </c>
      <c r="AP1947" s="82">
        <f>IFERROR(__xludf.DUMMYFUNCTION("""COMPUTED_VALUE"""),0.0)</f>
        <v>0</v>
      </c>
      <c r="AQ1947" s="82">
        <f>IFERROR(__xludf.DUMMYFUNCTION("""COMPUTED_VALUE"""),0.0)</f>
        <v>0</v>
      </c>
      <c r="AR1947" s="82">
        <f>IFERROR(__xludf.DUMMYFUNCTION("""COMPUTED_VALUE"""),0.0)</f>
        <v>0</v>
      </c>
      <c r="AS1947" s="82"/>
      <c r="AT1947" s="82">
        <f>IFERROR(__xludf.DUMMYFUNCTION("""COMPUTED_VALUE"""),0.0)</f>
        <v>0</v>
      </c>
      <c r="AU1947" s="82"/>
      <c r="AV1947" s="82"/>
      <c r="AW1947" s="82" t="str">
        <f t="shared" si="1"/>
        <v/>
      </c>
      <c r="AX1947" s="83" t="str">
        <f t="array" ref="AX1947">IFERROR(DGET('SBV Import'!A:G,"SBV",{"RSC ID","Tier";B1947,A1947}))</f>
        <v/>
      </c>
      <c r="AY1947" s="82" t="str">
        <f t="shared" si="2"/>
        <v/>
      </c>
      <c r="AZ1947" s="82"/>
      <c r="BA1947" s="84" t="s">
        <v>152</v>
      </c>
      <c r="BB1947" s="84" t="str">
        <f>IFERROR(__xludf.DUMMYFUNCTION("iferror(if(A1947="""",,E1947&gt;=FILTER(Constants!$F$2:$F$10,Constants!$A$2:$A$10=A1947)))"),"")</f>
        <v/>
      </c>
    </row>
    <row r="1948">
      <c r="A1948" s="89"/>
      <c r="B1948" s="87"/>
      <c r="C1948" s="73"/>
      <c r="D1948" s="73"/>
      <c r="E1948" s="82"/>
      <c r="F1948" s="82"/>
      <c r="G1948" s="86"/>
      <c r="H1948" s="86"/>
      <c r="I1948" s="86"/>
      <c r="J1948" s="82"/>
      <c r="K1948" s="82"/>
      <c r="L1948" s="82"/>
      <c r="M1948" s="82"/>
      <c r="N1948" s="82"/>
      <c r="O1948" s="82"/>
      <c r="P1948" s="82"/>
      <c r="Q1948" s="82"/>
      <c r="R1948" s="82"/>
      <c r="S1948" s="82"/>
      <c r="T1948" s="82"/>
      <c r="U1948" s="82"/>
      <c r="V1948" s="82"/>
      <c r="W1948" s="82"/>
      <c r="X1948" s="82"/>
      <c r="Y1948" s="82"/>
      <c r="Z1948" s="82"/>
      <c r="AA1948" s="82"/>
      <c r="AB1948" s="82"/>
      <c r="AC1948" s="82"/>
      <c r="AD1948" s="82"/>
      <c r="AE1948" s="82"/>
      <c r="AF1948" s="82"/>
      <c r="AG1948" s="82"/>
      <c r="AH1948" s="82"/>
      <c r="AI1948" s="82"/>
      <c r="AJ1948" s="82"/>
      <c r="AK1948" s="82"/>
      <c r="AL1948" s="82"/>
      <c r="AM1948" s="82"/>
      <c r="AN1948" s="82">
        <f>IFERROR(__xludf.DUMMYFUNCTION("""COMPUTED_VALUE"""),0.0)</f>
        <v>0</v>
      </c>
      <c r="AO1948" s="82">
        <f>IFERROR(__xludf.DUMMYFUNCTION("""COMPUTED_VALUE"""),0.0)</f>
        <v>0</v>
      </c>
      <c r="AP1948" s="82">
        <f>IFERROR(__xludf.DUMMYFUNCTION("""COMPUTED_VALUE"""),0.0)</f>
        <v>0</v>
      </c>
      <c r="AQ1948" s="82">
        <f>IFERROR(__xludf.DUMMYFUNCTION("""COMPUTED_VALUE"""),0.0)</f>
        <v>0</v>
      </c>
      <c r="AR1948" s="82">
        <f>IFERROR(__xludf.DUMMYFUNCTION("""COMPUTED_VALUE"""),0.0)</f>
        <v>0</v>
      </c>
      <c r="AS1948" s="82"/>
      <c r="AT1948" s="82">
        <f>IFERROR(__xludf.DUMMYFUNCTION("""COMPUTED_VALUE"""),0.0)</f>
        <v>0</v>
      </c>
      <c r="AU1948" s="82"/>
      <c r="AV1948" s="82"/>
      <c r="AW1948" s="82" t="str">
        <f t="shared" si="1"/>
        <v/>
      </c>
      <c r="AX1948" s="83" t="str">
        <f t="array" ref="AX1948">IFERROR(DGET('SBV Import'!A:G,"SBV",{"RSC ID","Tier";B1948,A1948}))</f>
        <v/>
      </c>
      <c r="AY1948" s="82" t="str">
        <f t="shared" si="2"/>
        <v/>
      </c>
      <c r="AZ1948" s="82"/>
      <c r="BA1948" s="84" t="s">
        <v>152</v>
      </c>
      <c r="BB1948" s="84" t="str">
        <f>IFERROR(__xludf.DUMMYFUNCTION("iferror(if(A1948="""",,E1948&gt;=FILTER(Constants!$F$2:$F$10,Constants!$A$2:$A$10=A1948)))"),"")</f>
        <v/>
      </c>
    </row>
    <row r="1949">
      <c r="A1949" s="89"/>
      <c r="B1949" s="87"/>
      <c r="C1949" s="73"/>
      <c r="D1949" s="73"/>
      <c r="E1949" s="82"/>
      <c r="F1949" s="82"/>
      <c r="G1949" s="86"/>
      <c r="H1949" s="86"/>
      <c r="I1949" s="86"/>
      <c r="J1949" s="82"/>
      <c r="K1949" s="82"/>
      <c r="L1949" s="82"/>
      <c r="M1949" s="82"/>
      <c r="N1949" s="82"/>
      <c r="O1949" s="82"/>
      <c r="P1949" s="82"/>
      <c r="Q1949" s="82"/>
      <c r="R1949" s="82"/>
      <c r="S1949" s="82"/>
      <c r="T1949" s="82"/>
      <c r="U1949" s="82"/>
      <c r="V1949" s="82"/>
      <c r="W1949" s="82"/>
      <c r="X1949" s="82"/>
      <c r="Y1949" s="82"/>
      <c r="Z1949" s="82"/>
      <c r="AA1949" s="82"/>
      <c r="AB1949" s="82"/>
      <c r="AC1949" s="82"/>
      <c r="AD1949" s="82"/>
      <c r="AE1949" s="82"/>
      <c r="AF1949" s="82"/>
      <c r="AG1949" s="82"/>
      <c r="AH1949" s="82"/>
      <c r="AI1949" s="82"/>
      <c r="AJ1949" s="82"/>
      <c r="AK1949" s="82"/>
      <c r="AL1949" s="82"/>
      <c r="AM1949" s="82"/>
      <c r="AN1949" s="82">
        <f>IFERROR(__xludf.DUMMYFUNCTION("""COMPUTED_VALUE"""),0.0)</f>
        <v>0</v>
      </c>
      <c r="AO1949" s="82">
        <f>IFERROR(__xludf.DUMMYFUNCTION("""COMPUTED_VALUE"""),0.0)</f>
        <v>0</v>
      </c>
      <c r="AP1949" s="82">
        <f>IFERROR(__xludf.DUMMYFUNCTION("""COMPUTED_VALUE"""),0.0)</f>
        <v>0</v>
      </c>
      <c r="AQ1949" s="82">
        <f>IFERROR(__xludf.DUMMYFUNCTION("""COMPUTED_VALUE"""),0.0)</f>
        <v>0</v>
      </c>
      <c r="AR1949" s="82">
        <f>IFERROR(__xludf.DUMMYFUNCTION("""COMPUTED_VALUE"""),0.0)</f>
        <v>0</v>
      </c>
      <c r="AS1949" s="82"/>
      <c r="AT1949" s="82">
        <f>IFERROR(__xludf.DUMMYFUNCTION("""COMPUTED_VALUE"""),0.0)</f>
        <v>0</v>
      </c>
      <c r="AU1949" s="82"/>
      <c r="AV1949" s="82"/>
      <c r="AW1949" s="82" t="str">
        <f t="shared" si="1"/>
        <v/>
      </c>
      <c r="AX1949" s="83" t="str">
        <f t="array" ref="AX1949">IFERROR(DGET('SBV Import'!A:G,"SBV",{"RSC ID","Tier";B1949,A1949}))</f>
        <v/>
      </c>
      <c r="AY1949" s="82" t="str">
        <f t="shared" si="2"/>
        <v/>
      </c>
      <c r="AZ1949" s="82"/>
      <c r="BA1949" s="84" t="s">
        <v>152</v>
      </c>
      <c r="BB1949" s="84" t="str">
        <f>IFERROR(__xludf.DUMMYFUNCTION("iferror(if(A1949="""",,E1949&gt;=FILTER(Constants!$F$2:$F$10,Constants!$A$2:$A$10=A1949)))"),"")</f>
        <v/>
      </c>
    </row>
    <row r="1950">
      <c r="A1950" s="89"/>
      <c r="B1950" s="87"/>
      <c r="C1950" s="73"/>
      <c r="D1950" s="73"/>
      <c r="E1950" s="82"/>
      <c r="F1950" s="82"/>
      <c r="G1950" s="86"/>
      <c r="H1950" s="86"/>
      <c r="I1950" s="86"/>
      <c r="J1950" s="82"/>
      <c r="K1950" s="82"/>
      <c r="L1950" s="82"/>
      <c r="M1950" s="82"/>
      <c r="N1950" s="82"/>
      <c r="O1950" s="82"/>
      <c r="P1950" s="82"/>
      <c r="Q1950" s="82"/>
      <c r="R1950" s="82"/>
      <c r="S1950" s="82"/>
      <c r="T1950" s="82"/>
      <c r="U1950" s="82"/>
      <c r="V1950" s="82"/>
      <c r="W1950" s="82"/>
      <c r="X1950" s="82"/>
      <c r="Y1950" s="82"/>
      <c r="Z1950" s="82"/>
      <c r="AA1950" s="82"/>
      <c r="AB1950" s="82"/>
      <c r="AC1950" s="82"/>
      <c r="AD1950" s="82"/>
      <c r="AE1950" s="82"/>
      <c r="AF1950" s="82"/>
      <c r="AG1950" s="82"/>
      <c r="AH1950" s="82"/>
      <c r="AI1950" s="82"/>
      <c r="AJ1950" s="82"/>
      <c r="AK1950" s="82"/>
      <c r="AL1950" s="82"/>
      <c r="AM1950" s="82"/>
      <c r="AN1950" s="82">
        <f>IFERROR(__xludf.DUMMYFUNCTION("""COMPUTED_VALUE"""),0.0)</f>
        <v>0</v>
      </c>
      <c r="AO1950" s="82">
        <f>IFERROR(__xludf.DUMMYFUNCTION("""COMPUTED_VALUE"""),0.0)</f>
        <v>0</v>
      </c>
      <c r="AP1950" s="82">
        <f>IFERROR(__xludf.DUMMYFUNCTION("""COMPUTED_VALUE"""),0.0)</f>
        <v>0</v>
      </c>
      <c r="AQ1950" s="82">
        <f>IFERROR(__xludf.DUMMYFUNCTION("""COMPUTED_VALUE"""),0.0)</f>
        <v>0</v>
      </c>
      <c r="AR1950" s="82">
        <f>IFERROR(__xludf.DUMMYFUNCTION("""COMPUTED_VALUE"""),0.0)</f>
        <v>0</v>
      </c>
      <c r="AS1950" s="82"/>
      <c r="AT1950" s="82">
        <f>IFERROR(__xludf.DUMMYFUNCTION("""COMPUTED_VALUE"""),0.0)</f>
        <v>0</v>
      </c>
      <c r="AU1950" s="82"/>
      <c r="AV1950" s="82"/>
      <c r="AW1950" s="82" t="str">
        <f t="shared" si="1"/>
        <v/>
      </c>
      <c r="AX1950" s="83" t="str">
        <f t="array" ref="AX1950">IFERROR(DGET('SBV Import'!A:G,"SBV",{"RSC ID","Tier";B1950,A1950}))</f>
        <v/>
      </c>
      <c r="AY1950" s="82" t="str">
        <f t="shared" si="2"/>
        <v/>
      </c>
      <c r="AZ1950" s="82"/>
      <c r="BA1950" s="84" t="s">
        <v>152</v>
      </c>
      <c r="BB1950" s="84" t="str">
        <f>IFERROR(__xludf.DUMMYFUNCTION("iferror(if(A1950="""",,E1950&gt;=FILTER(Constants!$F$2:$F$10,Constants!$A$2:$A$10=A1950)))"),"")</f>
        <v/>
      </c>
    </row>
    <row r="1951">
      <c r="A1951" s="89"/>
      <c r="B1951" s="87"/>
      <c r="C1951" s="73"/>
      <c r="D1951" s="73"/>
      <c r="E1951" s="82"/>
      <c r="F1951" s="82"/>
      <c r="G1951" s="86"/>
      <c r="H1951" s="86"/>
      <c r="I1951" s="86"/>
      <c r="J1951" s="82"/>
      <c r="K1951" s="82"/>
      <c r="L1951" s="82"/>
      <c r="M1951" s="82"/>
      <c r="N1951" s="82"/>
      <c r="O1951" s="82"/>
      <c r="P1951" s="82"/>
      <c r="Q1951" s="82"/>
      <c r="R1951" s="82"/>
      <c r="S1951" s="82"/>
      <c r="T1951" s="82"/>
      <c r="U1951" s="82"/>
      <c r="V1951" s="82"/>
      <c r="W1951" s="82"/>
      <c r="X1951" s="82"/>
      <c r="Y1951" s="82"/>
      <c r="Z1951" s="82"/>
      <c r="AA1951" s="82"/>
      <c r="AB1951" s="82"/>
      <c r="AC1951" s="82"/>
      <c r="AD1951" s="82"/>
      <c r="AE1951" s="82"/>
      <c r="AF1951" s="82"/>
      <c r="AG1951" s="82"/>
      <c r="AH1951" s="82"/>
      <c r="AI1951" s="82"/>
      <c r="AJ1951" s="82"/>
      <c r="AK1951" s="82"/>
      <c r="AL1951" s="82"/>
      <c r="AM1951" s="82"/>
      <c r="AN1951" s="82">
        <f>IFERROR(__xludf.DUMMYFUNCTION("""COMPUTED_VALUE"""),0.0)</f>
        <v>0</v>
      </c>
      <c r="AO1951" s="82">
        <f>IFERROR(__xludf.DUMMYFUNCTION("""COMPUTED_VALUE"""),0.0)</f>
        <v>0</v>
      </c>
      <c r="AP1951" s="82">
        <f>IFERROR(__xludf.DUMMYFUNCTION("""COMPUTED_VALUE"""),0.0)</f>
        <v>0</v>
      </c>
      <c r="AQ1951" s="82">
        <f>IFERROR(__xludf.DUMMYFUNCTION("""COMPUTED_VALUE"""),0.0)</f>
        <v>0</v>
      </c>
      <c r="AR1951" s="82">
        <f>IFERROR(__xludf.DUMMYFUNCTION("""COMPUTED_VALUE"""),0.0)</f>
        <v>0</v>
      </c>
      <c r="AS1951" s="82"/>
      <c r="AT1951" s="82">
        <f>IFERROR(__xludf.DUMMYFUNCTION("""COMPUTED_VALUE"""),0.0)</f>
        <v>0</v>
      </c>
      <c r="AU1951" s="82"/>
      <c r="AV1951" s="82"/>
      <c r="AW1951" s="82" t="str">
        <f t="shared" si="1"/>
        <v/>
      </c>
      <c r="AX1951" s="83" t="str">
        <f t="array" ref="AX1951">IFERROR(DGET('SBV Import'!A:G,"SBV",{"RSC ID","Tier";B1951,A1951}))</f>
        <v/>
      </c>
      <c r="AY1951" s="82" t="str">
        <f t="shared" si="2"/>
        <v/>
      </c>
      <c r="AZ1951" s="82"/>
      <c r="BA1951" s="84" t="s">
        <v>152</v>
      </c>
      <c r="BB1951" s="84" t="str">
        <f>IFERROR(__xludf.DUMMYFUNCTION("iferror(if(A1951="""",,E1951&gt;=FILTER(Constants!$F$2:$F$10,Constants!$A$2:$A$10=A1951)))"),"")</f>
        <v/>
      </c>
    </row>
    <row r="1952">
      <c r="A1952" s="89"/>
      <c r="B1952" s="87"/>
      <c r="C1952" s="73"/>
      <c r="D1952" s="73"/>
      <c r="E1952" s="82"/>
      <c r="F1952" s="82"/>
      <c r="G1952" s="86"/>
      <c r="H1952" s="86"/>
      <c r="I1952" s="86"/>
      <c r="J1952" s="82"/>
      <c r="K1952" s="82"/>
      <c r="L1952" s="82"/>
      <c r="M1952" s="82"/>
      <c r="N1952" s="82"/>
      <c r="O1952" s="82"/>
      <c r="P1952" s="82"/>
      <c r="Q1952" s="82"/>
      <c r="R1952" s="82"/>
      <c r="S1952" s="82"/>
      <c r="T1952" s="82"/>
      <c r="U1952" s="82"/>
      <c r="V1952" s="82"/>
      <c r="W1952" s="82"/>
      <c r="X1952" s="82"/>
      <c r="Y1952" s="82"/>
      <c r="Z1952" s="82"/>
      <c r="AA1952" s="82"/>
      <c r="AB1952" s="82"/>
      <c r="AC1952" s="82"/>
      <c r="AD1952" s="82"/>
      <c r="AE1952" s="82"/>
      <c r="AF1952" s="82"/>
      <c r="AG1952" s="82"/>
      <c r="AH1952" s="82"/>
      <c r="AI1952" s="82"/>
      <c r="AJ1952" s="82"/>
      <c r="AK1952" s="82"/>
      <c r="AL1952" s="82"/>
      <c r="AM1952" s="82"/>
      <c r="AN1952" s="82">
        <f>IFERROR(__xludf.DUMMYFUNCTION("""COMPUTED_VALUE"""),0.0)</f>
        <v>0</v>
      </c>
      <c r="AO1952" s="82">
        <f>IFERROR(__xludf.DUMMYFUNCTION("""COMPUTED_VALUE"""),0.0)</f>
        <v>0</v>
      </c>
      <c r="AP1952" s="82">
        <f>IFERROR(__xludf.DUMMYFUNCTION("""COMPUTED_VALUE"""),0.0)</f>
        <v>0</v>
      </c>
      <c r="AQ1952" s="82">
        <f>IFERROR(__xludf.DUMMYFUNCTION("""COMPUTED_VALUE"""),0.0)</f>
        <v>0</v>
      </c>
      <c r="AR1952" s="82">
        <f>IFERROR(__xludf.DUMMYFUNCTION("""COMPUTED_VALUE"""),0.0)</f>
        <v>0</v>
      </c>
      <c r="AS1952" s="82"/>
      <c r="AT1952" s="82">
        <f>IFERROR(__xludf.DUMMYFUNCTION("""COMPUTED_VALUE"""),0.0)</f>
        <v>0</v>
      </c>
      <c r="AU1952" s="82"/>
      <c r="AV1952" s="82"/>
      <c r="AW1952" s="82" t="str">
        <f t="shared" si="1"/>
        <v/>
      </c>
      <c r="AX1952" s="83" t="str">
        <f t="array" ref="AX1952">IFERROR(DGET('SBV Import'!A:G,"SBV",{"RSC ID","Tier";B1952,A1952}))</f>
        <v/>
      </c>
      <c r="AY1952" s="82" t="str">
        <f t="shared" si="2"/>
        <v/>
      </c>
      <c r="AZ1952" s="82"/>
      <c r="BA1952" s="84" t="s">
        <v>152</v>
      </c>
      <c r="BB1952" s="84" t="str">
        <f>IFERROR(__xludf.DUMMYFUNCTION("iferror(if(A1952="""",,E1952&gt;=FILTER(Constants!$F$2:$F$10,Constants!$A$2:$A$10=A1952)))"),"")</f>
        <v/>
      </c>
    </row>
    <row r="1953">
      <c r="A1953" s="89"/>
      <c r="B1953" s="87"/>
      <c r="C1953" s="73"/>
      <c r="D1953" s="73"/>
      <c r="E1953" s="82"/>
      <c r="F1953" s="82"/>
      <c r="G1953" s="86"/>
      <c r="H1953" s="86"/>
      <c r="I1953" s="86"/>
      <c r="J1953" s="82"/>
      <c r="K1953" s="82"/>
      <c r="L1953" s="82"/>
      <c r="M1953" s="82"/>
      <c r="N1953" s="82"/>
      <c r="O1953" s="82"/>
      <c r="P1953" s="82"/>
      <c r="Q1953" s="82"/>
      <c r="R1953" s="82"/>
      <c r="S1953" s="82"/>
      <c r="T1953" s="82"/>
      <c r="U1953" s="82"/>
      <c r="V1953" s="82"/>
      <c r="W1953" s="82"/>
      <c r="X1953" s="82"/>
      <c r="Y1953" s="82"/>
      <c r="Z1953" s="82"/>
      <c r="AA1953" s="82"/>
      <c r="AB1953" s="82"/>
      <c r="AC1953" s="82"/>
      <c r="AD1953" s="82"/>
      <c r="AE1953" s="82"/>
      <c r="AF1953" s="82"/>
      <c r="AG1953" s="82"/>
      <c r="AH1953" s="82"/>
      <c r="AI1953" s="82"/>
      <c r="AJ1953" s="82"/>
      <c r="AK1953" s="82"/>
      <c r="AL1953" s="82"/>
      <c r="AM1953" s="82"/>
      <c r="AN1953" s="82">
        <f>IFERROR(__xludf.DUMMYFUNCTION("""COMPUTED_VALUE"""),0.0)</f>
        <v>0</v>
      </c>
      <c r="AO1953" s="82">
        <f>IFERROR(__xludf.DUMMYFUNCTION("""COMPUTED_VALUE"""),0.0)</f>
        <v>0</v>
      </c>
      <c r="AP1953" s="82">
        <f>IFERROR(__xludf.DUMMYFUNCTION("""COMPUTED_VALUE"""),0.0)</f>
        <v>0</v>
      </c>
      <c r="AQ1953" s="82">
        <f>IFERROR(__xludf.DUMMYFUNCTION("""COMPUTED_VALUE"""),0.0)</f>
        <v>0</v>
      </c>
      <c r="AR1953" s="82">
        <f>IFERROR(__xludf.DUMMYFUNCTION("""COMPUTED_VALUE"""),0.0)</f>
        <v>0</v>
      </c>
      <c r="AS1953" s="82"/>
      <c r="AT1953" s="82">
        <f>IFERROR(__xludf.DUMMYFUNCTION("""COMPUTED_VALUE"""),0.0)</f>
        <v>0</v>
      </c>
      <c r="AU1953" s="82"/>
      <c r="AV1953" s="82"/>
      <c r="AW1953" s="82" t="str">
        <f t="shared" si="1"/>
        <v/>
      </c>
      <c r="AX1953" s="83" t="str">
        <f t="array" ref="AX1953">IFERROR(DGET('SBV Import'!A:G,"SBV",{"RSC ID","Tier";B1953,A1953}))</f>
        <v/>
      </c>
      <c r="AY1953" s="82" t="str">
        <f t="shared" si="2"/>
        <v/>
      </c>
      <c r="AZ1953" s="82"/>
      <c r="BA1953" s="84" t="s">
        <v>152</v>
      </c>
      <c r="BB1953" s="84" t="str">
        <f>IFERROR(__xludf.DUMMYFUNCTION("iferror(if(A1953="""",,E1953&gt;=FILTER(Constants!$F$2:$F$10,Constants!$A$2:$A$10=A1953)))"),"")</f>
        <v/>
      </c>
    </row>
    <row r="1954">
      <c r="A1954" s="89"/>
      <c r="B1954" s="87"/>
      <c r="C1954" s="73"/>
      <c r="D1954" s="73"/>
      <c r="E1954" s="82"/>
      <c r="F1954" s="82"/>
      <c r="G1954" s="86"/>
      <c r="H1954" s="86"/>
      <c r="I1954" s="86"/>
      <c r="J1954" s="82"/>
      <c r="K1954" s="82"/>
      <c r="L1954" s="82"/>
      <c r="M1954" s="82"/>
      <c r="N1954" s="82"/>
      <c r="O1954" s="82"/>
      <c r="P1954" s="82"/>
      <c r="Q1954" s="82"/>
      <c r="R1954" s="82"/>
      <c r="S1954" s="82"/>
      <c r="T1954" s="82"/>
      <c r="U1954" s="82"/>
      <c r="V1954" s="82"/>
      <c r="W1954" s="82"/>
      <c r="X1954" s="82"/>
      <c r="Y1954" s="82"/>
      <c r="Z1954" s="82"/>
      <c r="AA1954" s="82"/>
      <c r="AB1954" s="82"/>
      <c r="AC1954" s="82"/>
      <c r="AD1954" s="82"/>
      <c r="AE1954" s="82"/>
      <c r="AF1954" s="82"/>
      <c r="AG1954" s="82"/>
      <c r="AH1954" s="82"/>
      <c r="AI1954" s="82"/>
      <c r="AJ1954" s="82"/>
      <c r="AK1954" s="82"/>
      <c r="AL1954" s="82"/>
      <c r="AM1954" s="82"/>
      <c r="AN1954" s="82">
        <f>IFERROR(__xludf.DUMMYFUNCTION("""COMPUTED_VALUE"""),0.0)</f>
        <v>0</v>
      </c>
      <c r="AO1954" s="82">
        <f>IFERROR(__xludf.DUMMYFUNCTION("""COMPUTED_VALUE"""),0.0)</f>
        <v>0</v>
      </c>
      <c r="AP1954" s="82">
        <f>IFERROR(__xludf.DUMMYFUNCTION("""COMPUTED_VALUE"""),0.0)</f>
        <v>0</v>
      </c>
      <c r="AQ1954" s="82">
        <f>IFERROR(__xludf.DUMMYFUNCTION("""COMPUTED_VALUE"""),0.0)</f>
        <v>0</v>
      </c>
      <c r="AR1954" s="82">
        <f>IFERROR(__xludf.DUMMYFUNCTION("""COMPUTED_VALUE"""),0.0)</f>
        <v>0</v>
      </c>
      <c r="AS1954" s="82"/>
      <c r="AT1954" s="82">
        <f>IFERROR(__xludf.DUMMYFUNCTION("""COMPUTED_VALUE"""),0.0)</f>
        <v>0</v>
      </c>
      <c r="AU1954" s="82"/>
      <c r="AV1954" s="82"/>
      <c r="AW1954" s="82" t="str">
        <f t="shared" si="1"/>
        <v/>
      </c>
      <c r="AX1954" s="83" t="str">
        <f t="array" ref="AX1954">IFERROR(DGET('SBV Import'!A:G,"SBV",{"RSC ID","Tier";B1954,A1954}))</f>
        <v/>
      </c>
      <c r="AY1954" s="82" t="str">
        <f t="shared" si="2"/>
        <v/>
      </c>
      <c r="AZ1954" s="82"/>
      <c r="BA1954" s="84" t="s">
        <v>152</v>
      </c>
      <c r="BB1954" s="84" t="str">
        <f>IFERROR(__xludf.DUMMYFUNCTION("iferror(if(A1954="""",,E1954&gt;=FILTER(Constants!$F$2:$F$10,Constants!$A$2:$A$10=A1954)))"),"")</f>
        <v/>
      </c>
    </row>
    <row r="1955">
      <c r="A1955" s="89"/>
      <c r="B1955" s="87"/>
      <c r="C1955" s="73"/>
      <c r="D1955" s="73"/>
      <c r="E1955" s="82"/>
      <c r="F1955" s="82"/>
      <c r="G1955" s="86"/>
      <c r="H1955" s="86"/>
      <c r="I1955" s="86"/>
      <c r="J1955" s="82"/>
      <c r="K1955" s="82"/>
      <c r="L1955" s="82"/>
      <c r="M1955" s="82"/>
      <c r="N1955" s="82"/>
      <c r="O1955" s="82"/>
      <c r="P1955" s="82"/>
      <c r="Q1955" s="82"/>
      <c r="R1955" s="82"/>
      <c r="S1955" s="82"/>
      <c r="T1955" s="82"/>
      <c r="U1955" s="82"/>
      <c r="V1955" s="82"/>
      <c r="W1955" s="82"/>
      <c r="X1955" s="82"/>
      <c r="Y1955" s="82"/>
      <c r="Z1955" s="82"/>
      <c r="AA1955" s="82"/>
      <c r="AB1955" s="82"/>
      <c r="AC1955" s="82"/>
      <c r="AD1955" s="82"/>
      <c r="AE1955" s="82"/>
      <c r="AF1955" s="82"/>
      <c r="AG1955" s="82"/>
      <c r="AH1955" s="82"/>
      <c r="AI1955" s="82"/>
      <c r="AJ1955" s="82"/>
      <c r="AK1955" s="82"/>
      <c r="AL1955" s="82"/>
      <c r="AM1955" s="82"/>
      <c r="AN1955" s="82">
        <f>IFERROR(__xludf.DUMMYFUNCTION("""COMPUTED_VALUE"""),0.0)</f>
        <v>0</v>
      </c>
      <c r="AO1955" s="82">
        <f>IFERROR(__xludf.DUMMYFUNCTION("""COMPUTED_VALUE"""),0.0)</f>
        <v>0</v>
      </c>
      <c r="AP1955" s="82">
        <f>IFERROR(__xludf.DUMMYFUNCTION("""COMPUTED_VALUE"""),0.0)</f>
        <v>0</v>
      </c>
      <c r="AQ1955" s="82">
        <f>IFERROR(__xludf.DUMMYFUNCTION("""COMPUTED_VALUE"""),0.0)</f>
        <v>0</v>
      </c>
      <c r="AR1955" s="82">
        <f>IFERROR(__xludf.DUMMYFUNCTION("""COMPUTED_VALUE"""),0.0)</f>
        <v>0</v>
      </c>
      <c r="AS1955" s="82"/>
      <c r="AT1955" s="82">
        <f>IFERROR(__xludf.DUMMYFUNCTION("""COMPUTED_VALUE"""),0.0)</f>
        <v>0</v>
      </c>
      <c r="AU1955" s="82"/>
      <c r="AV1955" s="82"/>
      <c r="AW1955" s="82" t="str">
        <f t="shared" si="1"/>
        <v/>
      </c>
      <c r="AX1955" s="83" t="str">
        <f t="array" ref="AX1955">IFERROR(DGET('SBV Import'!A:G,"SBV",{"RSC ID","Tier";B1955,A1955}))</f>
        <v/>
      </c>
      <c r="AY1955" s="82" t="str">
        <f t="shared" si="2"/>
        <v/>
      </c>
      <c r="AZ1955" s="82"/>
      <c r="BA1955" s="84" t="s">
        <v>152</v>
      </c>
      <c r="BB1955" s="84" t="str">
        <f>IFERROR(__xludf.DUMMYFUNCTION("iferror(if(A1955="""",,E1955&gt;=FILTER(Constants!$F$2:$F$10,Constants!$A$2:$A$10=A1955)))"),"")</f>
        <v/>
      </c>
    </row>
    <row r="1956">
      <c r="A1956" s="89"/>
      <c r="B1956" s="87"/>
      <c r="C1956" s="73"/>
      <c r="D1956" s="73"/>
      <c r="E1956" s="82"/>
      <c r="F1956" s="82"/>
      <c r="G1956" s="86"/>
      <c r="H1956" s="86"/>
      <c r="I1956" s="86"/>
      <c r="J1956" s="82"/>
      <c r="K1956" s="82"/>
      <c r="L1956" s="82"/>
      <c r="M1956" s="82"/>
      <c r="N1956" s="82"/>
      <c r="O1956" s="82"/>
      <c r="P1956" s="82"/>
      <c r="Q1956" s="82"/>
      <c r="R1956" s="82"/>
      <c r="S1956" s="82"/>
      <c r="T1956" s="82"/>
      <c r="U1956" s="82"/>
      <c r="V1956" s="82"/>
      <c r="W1956" s="82"/>
      <c r="X1956" s="82"/>
      <c r="Y1956" s="82"/>
      <c r="Z1956" s="82"/>
      <c r="AA1956" s="82"/>
      <c r="AB1956" s="82"/>
      <c r="AC1956" s="82"/>
      <c r="AD1956" s="82"/>
      <c r="AE1956" s="82"/>
      <c r="AF1956" s="82"/>
      <c r="AG1956" s="82"/>
      <c r="AH1956" s="82"/>
      <c r="AI1956" s="82"/>
      <c r="AJ1956" s="82"/>
      <c r="AK1956" s="82"/>
      <c r="AL1956" s="82"/>
      <c r="AM1956" s="82"/>
      <c r="AN1956" s="82">
        <f>IFERROR(__xludf.DUMMYFUNCTION("""COMPUTED_VALUE"""),0.0)</f>
        <v>0</v>
      </c>
      <c r="AO1956" s="82">
        <f>IFERROR(__xludf.DUMMYFUNCTION("""COMPUTED_VALUE"""),0.0)</f>
        <v>0</v>
      </c>
      <c r="AP1956" s="82">
        <f>IFERROR(__xludf.DUMMYFUNCTION("""COMPUTED_VALUE"""),0.0)</f>
        <v>0</v>
      </c>
      <c r="AQ1956" s="82">
        <f>IFERROR(__xludf.DUMMYFUNCTION("""COMPUTED_VALUE"""),0.0)</f>
        <v>0</v>
      </c>
      <c r="AR1956" s="82">
        <f>IFERROR(__xludf.DUMMYFUNCTION("""COMPUTED_VALUE"""),0.0)</f>
        <v>0</v>
      </c>
      <c r="AS1956" s="82"/>
      <c r="AT1956" s="82">
        <f>IFERROR(__xludf.DUMMYFUNCTION("""COMPUTED_VALUE"""),0.0)</f>
        <v>0</v>
      </c>
      <c r="AU1956" s="82"/>
      <c r="AV1956" s="82"/>
      <c r="AW1956" s="82" t="str">
        <f t="shared" si="1"/>
        <v/>
      </c>
      <c r="AX1956" s="83" t="str">
        <f t="array" ref="AX1956">IFERROR(DGET('SBV Import'!A:G,"SBV",{"RSC ID","Tier";B1956,A1956}))</f>
        <v/>
      </c>
      <c r="AY1956" s="82" t="str">
        <f t="shared" si="2"/>
        <v/>
      </c>
      <c r="AZ1956" s="82"/>
      <c r="BA1956" s="84" t="s">
        <v>152</v>
      </c>
      <c r="BB1956" s="84" t="str">
        <f>IFERROR(__xludf.DUMMYFUNCTION("iferror(if(A1956="""",,E1956&gt;=FILTER(Constants!$F$2:$F$10,Constants!$A$2:$A$10=A1956)))"),"")</f>
        <v/>
      </c>
    </row>
    <row r="1957">
      <c r="A1957" s="89"/>
      <c r="B1957" s="87"/>
      <c r="C1957" s="73"/>
      <c r="D1957" s="73"/>
      <c r="E1957" s="82"/>
      <c r="F1957" s="82"/>
      <c r="G1957" s="86"/>
      <c r="H1957" s="86"/>
      <c r="I1957" s="86"/>
      <c r="J1957" s="82"/>
      <c r="K1957" s="82"/>
      <c r="L1957" s="82"/>
      <c r="M1957" s="82"/>
      <c r="N1957" s="82"/>
      <c r="O1957" s="82"/>
      <c r="P1957" s="82"/>
      <c r="Q1957" s="82"/>
      <c r="R1957" s="82"/>
      <c r="S1957" s="82"/>
      <c r="T1957" s="82"/>
      <c r="U1957" s="82"/>
      <c r="V1957" s="82"/>
      <c r="W1957" s="82"/>
      <c r="X1957" s="82"/>
      <c r="Y1957" s="82"/>
      <c r="Z1957" s="82"/>
      <c r="AA1957" s="82"/>
      <c r="AB1957" s="82"/>
      <c r="AC1957" s="82"/>
      <c r="AD1957" s="82"/>
      <c r="AE1957" s="82"/>
      <c r="AF1957" s="82"/>
      <c r="AG1957" s="82"/>
      <c r="AH1957" s="82"/>
      <c r="AI1957" s="82"/>
      <c r="AJ1957" s="82"/>
      <c r="AK1957" s="82"/>
      <c r="AL1957" s="82"/>
      <c r="AM1957" s="82"/>
      <c r="AN1957" s="82">
        <f>IFERROR(__xludf.DUMMYFUNCTION("""COMPUTED_VALUE"""),0.0)</f>
        <v>0</v>
      </c>
      <c r="AO1957" s="82">
        <f>IFERROR(__xludf.DUMMYFUNCTION("""COMPUTED_VALUE"""),0.0)</f>
        <v>0</v>
      </c>
      <c r="AP1957" s="82">
        <f>IFERROR(__xludf.DUMMYFUNCTION("""COMPUTED_VALUE"""),0.0)</f>
        <v>0</v>
      </c>
      <c r="AQ1957" s="82">
        <f>IFERROR(__xludf.DUMMYFUNCTION("""COMPUTED_VALUE"""),0.0)</f>
        <v>0</v>
      </c>
      <c r="AR1957" s="82">
        <f>IFERROR(__xludf.DUMMYFUNCTION("""COMPUTED_VALUE"""),0.0)</f>
        <v>0</v>
      </c>
      <c r="AS1957" s="82"/>
      <c r="AT1957" s="82">
        <f>IFERROR(__xludf.DUMMYFUNCTION("""COMPUTED_VALUE"""),0.0)</f>
        <v>0</v>
      </c>
      <c r="AU1957" s="82"/>
      <c r="AV1957" s="82"/>
      <c r="AW1957" s="82" t="str">
        <f t="shared" si="1"/>
        <v/>
      </c>
      <c r="AX1957" s="83" t="str">
        <f t="array" ref="AX1957">IFERROR(DGET('SBV Import'!A:G,"SBV",{"RSC ID","Tier";B1957,A1957}))</f>
        <v/>
      </c>
      <c r="AY1957" s="82" t="str">
        <f t="shared" si="2"/>
        <v/>
      </c>
      <c r="AZ1957" s="82"/>
      <c r="BA1957" s="84" t="s">
        <v>152</v>
      </c>
      <c r="BB1957" s="84" t="str">
        <f>IFERROR(__xludf.DUMMYFUNCTION("iferror(if(A1957="""",,E1957&gt;=FILTER(Constants!$F$2:$F$10,Constants!$A$2:$A$10=A1957)))"),"")</f>
        <v/>
      </c>
    </row>
    <row r="1958">
      <c r="A1958" s="89"/>
      <c r="B1958" s="87"/>
      <c r="C1958" s="73"/>
      <c r="D1958" s="73"/>
      <c r="E1958" s="82"/>
      <c r="F1958" s="82"/>
      <c r="G1958" s="86"/>
      <c r="H1958" s="86"/>
      <c r="I1958" s="86"/>
      <c r="J1958" s="82"/>
      <c r="K1958" s="82"/>
      <c r="L1958" s="82"/>
      <c r="M1958" s="82"/>
      <c r="N1958" s="82"/>
      <c r="O1958" s="82"/>
      <c r="P1958" s="82"/>
      <c r="Q1958" s="82"/>
      <c r="R1958" s="82"/>
      <c r="S1958" s="82"/>
      <c r="T1958" s="82"/>
      <c r="U1958" s="82"/>
      <c r="V1958" s="82"/>
      <c r="W1958" s="82"/>
      <c r="X1958" s="82"/>
      <c r="Y1958" s="82"/>
      <c r="Z1958" s="82"/>
      <c r="AA1958" s="82"/>
      <c r="AB1958" s="82"/>
      <c r="AC1958" s="82"/>
      <c r="AD1958" s="82"/>
      <c r="AE1958" s="82"/>
      <c r="AF1958" s="82"/>
      <c r="AG1958" s="82"/>
      <c r="AH1958" s="82"/>
      <c r="AI1958" s="82"/>
      <c r="AJ1958" s="82"/>
      <c r="AK1958" s="82"/>
      <c r="AL1958" s="82"/>
      <c r="AM1958" s="82"/>
      <c r="AN1958" s="82">
        <f>IFERROR(__xludf.DUMMYFUNCTION("""COMPUTED_VALUE"""),0.0)</f>
        <v>0</v>
      </c>
      <c r="AO1958" s="82">
        <f>IFERROR(__xludf.DUMMYFUNCTION("""COMPUTED_VALUE"""),0.0)</f>
        <v>0</v>
      </c>
      <c r="AP1958" s="82">
        <f>IFERROR(__xludf.DUMMYFUNCTION("""COMPUTED_VALUE"""),0.0)</f>
        <v>0</v>
      </c>
      <c r="AQ1958" s="82">
        <f>IFERROR(__xludf.DUMMYFUNCTION("""COMPUTED_VALUE"""),0.0)</f>
        <v>0</v>
      </c>
      <c r="AR1958" s="82">
        <f>IFERROR(__xludf.DUMMYFUNCTION("""COMPUTED_VALUE"""),0.0)</f>
        <v>0</v>
      </c>
      <c r="AS1958" s="82"/>
      <c r="AT1958" s="82">
        <f>IFERROR(__xludf.DUMMYFUNCTION("""COMPUTED_VALUE"""),0.0)</f>
        <v>0</v>
      </c>
      <c r="AU1958" s="82"/>
      <c r="AV1958" s="82"/>
      <c r="AW1958" s="82" t="str">
        <f t="shared" si="1"/>
        <v/>
      </c>
      <c r="AX1958" s="83" t="str">
        <f t="array" ref="AX1958">IFERROR(DGET('SBV Import'!A:G,"SBV",{"RSC ID","Tier";B1958,A1958}))</f>
        <v/>
      </c>
      <c r="AY1958" s="82" t="str">
        <f t="shared" si="2"/>
        <v/>
      </c>
      <c r="AZ1958" s="82"/>
      <c r="BA1958" s="84" t="s">
        <v>152</v>
      </c>
      <c r="BB1958" s="84" t="str">
        <f>IFERROR(__xludf.DUMMYFUNCTION("iferror(if(A1958="""",,E1958&gt;=FILTER(Constants!$F$2:$F$10,Constants!$A$2:$A$10=A1958)))"),"")</f>
        <v/>
      </c>
    </row>
    <row r="1959">
      <c r="A1959" s="89"/>
      <c r="B1959" s="87"/>
      <c r="C1959" s="73"/>
      <c r="D1959" s="73"/>
      <c r="E1959" s="82"/>
      <c r="F1959" s="82"/>
      <c r="G1959" s="86"/>
      <c r="H1959" s="86"/>
      <c r="I1959" s="86"/>
      <c r="J1959" s="82"/>
      <c r="K1959" s="82"/>
      <c r="L1959" s="82"/>
      <c r="M1959" s="82"/>
      <c r="N1959" s="82"/>
      <c r="O1959" s="82"/>
      <c r="P1959" s="82"/>
      <c r="Q1959" s="82"/>
      <c r="R1959" s="82"/>
      <c r="S1959" s="82"/>
      <c r="T1959" s="82"/>
      <c r="U1959" s="82"/>
      <c r="V1959" s="82"/>
      <c r="W1959" s="82"/>
      <c r="X1959" s="82"/>
      <c r="Y1959" s="82"/>
      <c r="Z1959" s="82"/>
      <c r="AA1959" s="82"/>
      <c r="AB1959" s="82"/>
      <c r="AC1959" s="82"/>
      <c r="AD1959" s="82"/>
      <c r="AE1959" s="82"/>
      <c r="AF1959" s="82"/>
      <c r="AG1959" s="82"/>
      <c r="AH1959" s="82"/>
      <c r="AI1959" s="82"/>
      <c r="AJ1959" s="82"/>
      <c r="AK1959" s="82"/>
      <c r="AL1959" s="82"/>
      <c r="AM1959" s="82"/>
      <c r="AN1959" s="82">
        <f>IFERROR(__xludf.DUMMYFUNCTION("""COMPUTED_VALUE"""),0.0)</f>
        <v>0</v>
      </c>
      <c r="AO1959" s="82">
        <f>IFERROR(__xludf.DUMMYFUNCTION("""COMPUTED_VALUE"""),0.0)</f>
        <v>0</v>
      </c>
      <c r="AP1959" s="82">
        <f>IFERROR(__xludf.DUMMYFUNCTION("""COMPUTED_VALUE"""),0.0)</f>
        <v>0</v>
      </c>
      <c r="AQ1959" s="82">
        <f>IFERROR(__xludf.DUMMYFUNCTION("""COMPUTED_VALUE"""),0.0)</f>
        <v>0</v>
      </c>
      <c r="AR1959" s="82">
        <f>IFERROR(__xludf.DUMMYFUNCTION("""COMPUTED_VALUE"""),0.0)</f>
        <v>0</v>
      </c>
      <c r="AS1959" s="82"/>
      <c r="AT1959" s="82">
        <f>IFERROR(__xludf.DUMMYFUNCTION("""COMPUTED_VALUE"""),0.0)</f>
        <v>0</v>
      </c>
      <c r="AU1959" s="82"/>
      <c r="AV1959" s="82"/>
      <c r="AW1959" s="82" t="str">
        <f t="shared" si="1"/>
        <v/>
      </c>
      <c r="AX1959" s="83" t="str">
        <f t="array" ref="AX1959">IFERROR(DGET('SBV Import'!A:G,"SBV",{"RSC ID","Tier";B1959,A1959}))</f>
        <v/>
      </c>
      <c r="AY1959" s="82" t="str">
        <f t="shared" si="2"/>
        <v/>
      </c>
      <c r="AZ1959" s="82"/>
      <c r="BA1959" s="84" t="s">
        <v>152</v>
      </c>
      <c r="BB1959" s="84" t="str">
        <f>IFERROR(__xludf.DUMMYFUNCTION("iferror(if(A1959="""",,E1959&gt;=FILTER(Constants!$F$2:$F$10,Constants!$A$2:$A$10=A1959)))"),"")</f>
        <v/>
      </c>
    </row>
    <row r="1960">
      <c r="A1960" s="89"/>
      <c r="B1960" s="87"/>
      <c r="C1960" s="73"/>
      <c r="D1960" s="73"/>
      <c r="E1960" s="82"/>
      <c r="F1960" s="82"/>
      <c r="G1960" s="86"/>
      <c r="H1960" s="86"/>
      <c r="I1960" s="86"/>
      <c r="J1960" s="82"/>
      <c r="K1960" s="82"/>
      <c r="L1960" s="82"/>
      <c r="M1960" s="82"/>
      <c r="N1960" s="82"/>
      <c r="O1960" s="82"/>
      <c r="P1960" s="82"/>
      <c r="Q1960" s="82"/>
      <c r="R1960" s="82"/>
      <c r="S1960" s="82"/>
      <c r="T1960" s="82"/>
      <c r="U1960" s="82"/>
      <c r="V1960" s="82"/>
      <c r="W1960" s="82"/>
      <c r="X1960" s="82"/>
      <c r="Y1960" s="82"/>
      <c r="Z1960" s="82"/>
      <c r="AA1960" s="82"/>
      <c r="AB1960" s="82"/>
      <c r="AC1960" s="82"/>
      <c r="AD1960" s="82"/>
      <c r="AE1960" s="82"/>
      <c r="AF1960" s="82"/>
      <c r="AG1960" s="82"/>
      <c r="AH1960" s="82"/>
      <c r="AI1960" s="82"/>
      <c r="AJ1960" s="82"/>
      <c r="AK1960" s="82"/>
      <c r="AL1960" s="82"/>
      <c r="AM1960" s="82"/>
      <c r="AN1960" s="82">
        <f>IFERROR(__xludf.DUMMYFUNCTION("""COMPUTED_VALUE"""),0.0)</f>
        <v>0</v>
      </c>
      <c r="AO1960" s="82">
        <f>IFERROR(__xludf.DUMMYFUNCTION("""COMPUTED_VALUE"""),0.0)</f>
        <v>0</v>
      </c>
      <c r="AP1960" s="82">
        <f>IFERROR(__xludf.DUMMYFUNCTION("""COMPUTED_VALUE"""),0.0)</f>
        <v>0</v>
      </c>
      <c r="AQ1960" s="82">
        <f>IFERROR(__xludf.DUMMYFUNCTION("""COMPUTED_VALUE"""),0.0)</f>
        <v>0</v>
      </c>
      <c r="AR1960" s="82">
        <f>IFERROR(__xludf.DUMMYFUNCTION("""COMPUTED_VALUE"""),0.0)</f>
        <v>0</v>
      </c>
      <c r="AS1960" s="82"/>
      <c r="AT1960" s="82">
        <f>IFERROR(__xludf.DUMMYFUNCTION("""COMPUTED_VALUE"""),0.0)</f>
        <v>0</v>
      </c>
      <c r="AU1960" s="82"/>
      <c r="AV1960" s="82"/>
      <c r="AW1960" s="82" t="str">
        <f t="shared" si="1"/>
        <v/>
      </c>
      <c r="AX1960" s="83" t="str">
        <f t="array" ref="AX1960">IFERROR(DGET('SBV Import'!A:G,"SBV",{"RSC ID","Tier";B1960,A1960}))</f>
        <v/>
      </c>
      <c r="AY1960" s="82" t="str">
        <f t="shared" si="2"/>
        <v/>
      </c>
      <c r="AZ1960" s="82"/>
      <c r="BA1960" s="84" t="s">
        <v>152</v>
      </c>
      <c r="BB1960" s="84" t="str">
        <f>IFERROR(__xludf.DUMMYFUNCTION("iferror(if(A1960="""",,E1960&gt;=FILTER(Constants!$F$2:$F$10,Constants!$A$2:$A$10=A1960)))"),"")</f>
        <v/>
      </c>
    </row>
    <row r="1961">
      <c r="A1961" s="89"/>
      <c r="B1961" s="87"/>
      <c r="C1961" s="73"/>
      <c r="D1961" s="73"/>
      <c r="E1961" s="82"/>
      <c r="F1961" s="82"/>
      <c r="G1961" s="86"/>
      <c r="H1961" s="86"/>
      <c r="I1961" s="86"/>
      <c r="J1961" s="82"/>
      <c r="K1961" s="82"/>
      <c r="L1961" s="82"/>
      <c r="M1961" s="82"/>
      <c r="N1961" s="82"/>
      <c r="O1961" s="82"/>
      <c r="P1961" s="82"/>
      <c r="Q1961" s="82"/>
      <c r="R1961" s="82"/>
      <c r="S1961" s="82"/>
      <c r="T1961" s="82"/>
      <c r="U1961" s="82"/>
      <c r="V1961" s="82"/>
      <c r="W1961" s="82"/>
      <c r="X1961" s="82"/>
      <c r="Y1961" s="82"/>
      <c r="Z1961" s="82"/>
      <c r="AA1961" s="82"/>
      <c r="AB1961" s="82"/>
      <c r="AC1961" s="82"/>
      <c r="AD1961" s="82"/>
      <c r="AE1961" s="82"/>
      <c r="AF1961" s="82"/>
      <c r="AG1961" s="82"/>
      <c r="AH1961" s="82"/>
      <c r="AI1961" s="82"/>
      <c r="AJ1961" s="82"/>
      <c r="AK1961" s="82"/>
      <c r="AL1961" s="82"/>
      <c r="AM1961" s="82"/>
      <c r="AN1961" s="82">
        <f>IFERROR(__xludf.DUMMYFUNCTION("""COMPUTED_VALUE"""),0.0)</f>
        <v>0</v>
      </c>
      <c r="AO1961" s="82">
        <f>IFERROR(__xludf.DUMMYFUNCTION("""COMPUTED_VALUE"""),0.0)</f>
        <v>0</v>
      </c>
      <c r="AP1961" s="82">
        <f>IFERROR(__xludf.DUMMYFUNCTION("""COMPUTED_VALUE"""),0.0)</f>
        <v>0</v>
      </c>
      <c r="AQ1961" s="82">
        <f>IFERROR(__xludf.DUMMYFUNCTION("""COMPUTED_VALUE"""),0.0)</f>
        <v>0</v>
      </c>
      <c r="AR1961" s="82">
        <f>IFERROR(__xludf.DUMMYFUNCTION("""COMPUTED_VALUE"""),0.0)</f>
        <v>0</v>
      </c>
      <c r="AS1961" s="82"/>
      <c r="AT1961" s="82">
        <f>IFERROR(__xludf.DUMMYFUNCTION("""COMPUTED_VALUE"""),0.0)</f>
        <v>0</v>
      </c>
      <c r="AU1961" s="82"/>
      <c r="AV1961" s="82"/>
      <c r="AW1961" s="82" t="str">
        <f t="shared" si="1"/>
        <v/>
      </c>
      <c r="AX1961" s="83" t="str">
        <f t="array" ref="AX1961">IFERROR(DGET('SBV Import'!A:G,"SBV",{"RSC ID","Tier";B1961,A1961}))</f>
        <v/>
      </c>
      <c r="AY1961" s="82" t="str">
        <f t="shared" si="2"/>
        <v/>
      </c>
      <c r="AZ1961" s="82"/>
      <c r="BA1961" s="84" t="s">
        <v>152</v>
      </c>
      <c r="BB1961" s="84" t="str">
        <f>IFERROR(__xludf.DUMMYFUNCTION("iferror(if(A1961="""",,E1961&gt;=FILTER(Constants!$F$2:$F$10,Constants!$A$2:$A$10=A1961)))"),"")</f>
        <v/>
      </c>
    </row>
    <row r="1962">
      <c r="A1962" s="89"/>
      <c r="B1962" s="87"/>
      <c r="C1962" s="73"/>
      <c r="D1962" s="73"/>
      <c r="E1962" s="82"/>
      <c r="F1962" s="82"/>
      <c r="G1962" s="86"/>
      <c r="H1962" s="86"/>
      <c r="I1962" s="86"/>
      <c r="J1962" s="82"/>
      <c r="K1962" s="82"/>
      <c r="L1962" s="82"/>
      <c r="M1962" s="82"/>
      <c r="N1962" s="82"/>
      <c r="O1962" s="82"/>
      <c r="P1962" s="82"/>
      <c r="Q1962" s="82"/>
      <c r="R1962" s="82"/>
      <c r="S1962" s="82"/>
      <c r="T1962" s="82"/>
      <c r="U1962" s="82"/>
      <c r="V1962" s="82"/>
      <c r="W1962" s="82"/>
      <c r="X1962" s="82"/>
      <c r="Y1962" s="82"/>
      <c r="Z1962" s="82"/>
      <c r="AA1962" s="82"/>
      <c r="AB1962" s="82"/>
      <c r="AC1962" s="82"/>
      <c r="AD1962" s="82"/>
      <c r="AE1962" s="82"/>
      <c r="AF1962" s="82"/>
      <c r="AG1962" s="82"/>
      <c r="AH1962" s="82"/>
      <c r="AI1962" s="82"/>
      <c r="AJ1962" s="82"/>
      <c r="AK1962" s="82"/>
      <c r="AL1962" s="82"/>
      <c r="AM1962" s="82"/>
      <c r="AN1962" s="82">
        <f>IFERROR(__xludf.DUMMYFUNCTION("""COMPUTED_VALUE"""),0.0)</f>
        <v>0</v>
      </c>
      <c r="AO1962" s="82">
        <f>IFERROR(__xludf.DUMMYFUNCTION("""COMPUTED_VALUE"""),0.0)</f>
        <v>0</v>
      </c>
      <c r="AP1962" s="82">
        <f>IFERROR(__xludf.DUMMYFUNCTION("""COMPUTED_VALUE"""),0.0)</f>
        <v>0</v>
      </c>
      <c r="AQ1962" s="82">
        <f>IFERROR(__xludf.DUMMYFUNCTION("""COMPUTED_VALUE"""),0.0)</f>
        <v>0</v>
      </c>
      <c r="AR1962" s="82">
        <f>IFERROR(__xludf.DUMMYFUNCTION("""COMPUTED_VALUE"""),0.0)</f>
        <v>0</v>
      </c>
      <c r="AS1962" s="82"/>
      <c r="AT1962" s="82">
        <f>IFERROR(__xludf.DUMMYFUNCTION("""COMPUTED_VALUE"""),0.0)</f>
        <v>0</v>
      </c>
      <c r="AU1962" s="82"/>
      <c r="AV1962" s="82"/>
      <c r="AW1962" s="82" t="str">
        <f t="shared" si="1"/>
        <v/>
      </c>
      <c r="AX1962" s="83" t="str">
        <f t="array" ref="AX1962">IFERROR(DGET('SBV Import'!A:G,"SBV",{"RSC ID","Tier";B1962,A1962}))</f>
        <v/>
      </c>
      <c r="AY1962" s="82" t="str">
        <f t="shared" si="2"/>
        <v/>
      </c>
      <c r="AZ1962" s="82"/>
      <c r="BA1962" s="84" t="s">
        <v>152</v>
      </c>
      <c r="BB1962" s="84" t="str">
        <f>IFERROR(__xludf.DUMMYFUNCTION("iferror(if(A1962="""",,E1962&gt;=FILTER(Constants!$F$2:$F$10,Constants!$A$2:$A$10=A1962)))"),"")</f>
        <v/>
      </c>
    </row>
    <row r="1963">
      <c r="A1963" s="89"/>
      <c r="B1963" s="87"/>
      <c r="C1963" s="73"/>
      <c r="D1963" s="73"/>
      <c r="E1963" s="82"/>
      <c r="F1963" s="82"/>
      <c r="G1963" s="86"/>
      <c r="H1963" s="86"/>
      <c r="I1963" s="86"/>
      <c r="J1963" s="82"/>
      <c r="K1963" s="82"/>
      <c r="L1963" s="82"/>
      <c r="M1963" s="82"/>
      <c r="N1963" s="82"/>
      <c r="O1963" s="82"/>
      <c r="P1963" s="82"/>
      <c r="Q1963" s="82"/>
      <c r="R1963" s="82"/>
      <c r="S1963" s="82"/>
      <c r="T1963" s="82"/>
      <c r="U1963" s="82"/>
      <c r="V1963" s="82"/>
      <c r="W1963" s="82"/>
      <c r="X1963" s="82"/>
      <c r="Y1963" s="82"/>
      <c r="Z1963" s="82"/>
      <c r="AA1963" s="82"/>
      <c r="AB1963" s="82"/>
      <c r="AC1963" s="82"/>
      <c r="AD1963" s="82"/>
      <c r="AE1963" s="82"/>
      <c r="AF1963" s="82"/>
      <c r="AG1963" s="82"/>
      <c r="AH1963" s="82"/>
      <c r="AI1963" s="82"/>
      <c r="AJ1963" s="82"/>
      <c r="AK1963" s="82"/>
      <c r="AL1963" s="82"/>
      <c r="AM1963" s="82"/>
      <c r="AN1963" s="82">
        <f>IFERROR(__xludf.DUMMYFUNCTION("""COMPUTED_VALUE"""),0.0)</f>
        <v>0</v>
      </c>
      <c r="AO1963" s="82">
        <f>IFERROR(__xludf.DUMMYFUNCTION("""COMPUTED_VALUE"""),0.0)</f>
        <v>0</v>
      </c>
      <c r="AP1963" s="82">
        <f>IFERROR(__xludf.DUMMYFUNCTION("""COMPUTED_VALUE"""),0.0)</f>
        <v>0</v>
      </c>
      <c r="AQ1963" s="82">
        <f>IFERROR(__xludf.DUMMYFUNCTION("""COMPUTED_VALUE"""),0.0)</f>
        <v>0</v>
      </c>
      <c r="AR1963" s="82">
        <f>IFERROR(__xludf.DUMMYFUNCTION("""COMPUTED_VALUE"""),0.0)</f>
        <v>0</v>
      </c>
      <c r="AS1963" s="82"/>
      <c r="AT1963" s="82">
        <f>IFERROR(__xludf.DUMMYFUNCTION("""COMPUTED_VALUE"""),0.0)</f>
        <v>0</v>
      </c>
      <c r="AU1963" s="82"/>
      <c r="AV1963" s="82"/>
      <c r="AW1963" s="82" t="str">
        <f t="shared" si="1"/>
        <v/>
      </c>
      <c r="AX1963" s="83" t="str">
        <f t="array" ref="AX1963">IFERROR(DGET('SBV Import'!A:G,"SBV",{"RSC ID","Tier";B1963,A1963}))</f>
        <v/>
      </c>
      <c r="AY1963" s="82" t="str">
        <f t="shared" si="2"/>
        <v/>
      </c>
      <c r="AZ1963" s="82"/>
      <c r="BA1963" s="84" t="s">
        <v>152</v>
      </c>
      <c r="BB1963" s="84" t="str">
        <f>IFERROR(__xludf.DUMMYFUNCTION("iferror(if(A1963="""",,E1963&gt;=FILTER(Constants!$F$2:$F$10,Constants!$A$2:$A$10=A1963)))"),"")</f>
        <v/>
      </c>
    </row>
    <row r="1964">
      <c r="A1964" s="89"/>
      <c r="B1964" s="87"/>
      <c r="C1964" s="73"/>
      <c r="D1964" s="73"/>
      <c r="E1964" s="82"/>
      <c r="F1964" s="82"/>
      <c r="G1964" s="86"/>
      <c r="H1964" s="86"/>
      <c r="I1964" s="86"/>
      <c r="J1964" s="82"/>
      <c r="K1964" s="82"/>
      <c r="L1964" s="82"/>
      <c r="M1964" s="82"/>
      <c r="N1964" s="82"/>
      <c r="O1964" s="82"/>
      <c r="P1964" s="82"/>
      <c r="Q1964" s="82"/>
      <c r="R1964" s="82"/>
      <c r="S1964" s="82"/>
      <c r="T1964" s="82"/>
      <c r="U1964" s="82"/>
      <c r="V1964" s="82"/>
      <c r="W1964" s="82"/>
      <c r="X1964" s="82"/>
      <c r="Y1964" s="82"/>
      <c r="Z1964" s="82"/>
      <c r="AA1964" s="82"/>
      <c r="AB1964" s="82"/>
      <c r="AC1964" s="82"/>
      <c r="AD1964" s="82"/>
      <c r="AE1964" s="82"/>
      <c r="AF1964" s="82"/>
      <c r="AG1964" s="82"/>
      <c r="AH1964" s="82"/>
      <c r="AI1964" s="82"/>
      <c r="AJ1964" s="82"/>
      <c r="AK1964" s="82"/>
      <c r="AL1964" s="82"/>
      <c r="AM1964" s="82"/>
      <c r="AN1964" s="82">
        <f>IFERROR(__xludf.DUMMYFUNCTION("""COMPUTED_VALUE"""),0.0)</f>
        <v>0</v>
      </c>
      <c r="AO1964" s="82">
        <f>IFERROR(__xludf.DUMMYFUNCTION("""COMPUTED_VALUE"""),0.0)</f>
        <v>0</v>
      </c>
      <c r="AP1964" s="82">
        <f>IFERROR(__xludf.DUMMYFUNCTION("""COMPUTED_VALUE"""),0.0)</f>
        <v>0</v>
      </c>
      <c r="AQ1964" s="82">
        <f>IFERROR(__xludf.DUMMYFUNCTION("""COMPUTED_VALUE"""),0.0)</f>
        <v>0</v>
      </c>
      <c r="AR1964" s="82">
        <f>IFERROR(__xludf.DUMMYFUNCTION("""COMPUTED_VALUE"""),0.0)</f>
        <v>0</v>
      </c>
      <c r="AS1964" s="82"/>
      <c r="AT1964" s="82">
        <f>IFERROR(__xludf.DUMMYFUNCTION("""COMPUTED_VALUE"""),0.0)</f>
        <v>0</v>
      </c>
      <c r="AU1964" s="82"/>
      <c r="AV1964" s="82"/>
      <c r="AW1964" s="82" t="str">
        <f t="shared" si="1"/>
        <v/>
      </c>
      <c r="AX1964" s="83" t="str">
        <f t="array" ref="AX1964">IFERROR(DGET('SBV Import'!A:G,"SBV",{"RSC ID","Tier";B1964,A1964}))</f>
        <v/>
      </c>
      <c r="AY1964" s="82" t="str">
        <f t="shared" si="2"/>
        <v/>
      </c>
      <c r="AZ1964" s="82"/>
      <c r="BA1964" s="84" t="s">
        <v>152</v>
      </c>
      <c r="BB1964" s="84" t="str">
        <f>IFERROR(__xludf.DUMMYFUNCTION("iferror(if(A1964="""",,E1964&gt;=FILTER(Constants!$F$2:$F$10,Constants!$A$2:$A$10=A1964)))"),"")</f>
        <v/>
      </c>
    </row>
    <row r="1965">
      <c r="A1965" s="89"/>
      <c r="B1965" s="87"/>
      <c r="C1965" s="73"/>
      <c r="D1965" s="73"/>
      <c r="E1965" s="82"/>
      <c r="F1965" s="82"/>
      <c r="G1965" s="86"/>
      <c r="H1965" s="86"/>
      <c r="I1965" s="86"/>
      <c r="J1965" s="82"/>
      <c r="K1965" s="82"/>
      <c r="L1965" s="82"/>
      <c r="M1965" s="82"/>
      <c r="N1965" s="82"/>
      <c r="O1965" s="82"/>
      <c r="P1965" s="82"/>
      <c r="Q1965" s="82"/>
      <c r="R1965" s="82"/>
      <c r="S1965" s="82"/>
      <c r="T1965" s="82"/>
      <c r="U1965" s="82"/>
      <c r="V1965" s="82"/>
      <c r="W1965" s="82"/>
      <c r="X1965" s="82"/>
      <c r="Y1965" s="82"/>
      <c r="Z1965" s="82"/>
      <c r="AA1965" s="82"/>
      <c r="AB1965" s="82"/>
      <c r="AC1965" s="82"/>
      <c r="AD1965" s="82"/>
      <c r="AE1965" s="82"/>
      <c r="AF1965" s="82"/>
      <c r="AG1965" s="82"/>
      <c r="AH1965" s="82"/>
      <c r="AI1965" s="82"/>
      <c r="AJ1965" s="82"/>
      <c r="AK1965" s="82"/>
      <c r="AL1965" s="82"/>
      <c r="AM1965" s="82"/>
      <c r="AN1965" s="82">
        <f>IFERROR(__xludf.DUMMYFUNCTION("""COMPUTED_VALUE"""),0.0)</f>
        <v>0</v>
      </c>
      <c r="AO1965" s="82">
        <f>IFERROR(__xludf.DUMMYFUNCTION("""COMPUTED_VALUE"""),0.0)</f>
        <v>0</v>
      </c>
      <c r="AP1965" s="82">
        <f>IFERROR(__xludf.DUMMYFUNCTION("""COMPUTED_VALUE"""),0.0)</f>
        <v>0</v>
      </c>
      <c r="AQ1965" s="82">
        <f>IFERROR(__xludf.DUMMYFUNCTION("""COMPUTED_VALUE"""),0.0)</f>
        <v>0</v>
      </c>
      <c r="AR1965" s="82">
        <f>IFERROR(__xludf.DUMMYFUNCTION("""COMPUTED_VALUE"""),0.0)</f>
        <v>0</v>
      </c>
      <c r="AS1965" s="82"/>
      <c r="AT1965" s="82">
        <f>IFERROR(__xludf.DUMMYFUNCTION("""COMPUTED_VALUE"""),0.0)</f>
        <v>0</v>
      </c>
      <c r="AU1965" s="82"/>
      <c r="AV1965" s="82"/>
      <c r="AW1965" s="82" t="str">
        <f t="shared" si="1"/>
        <v/>
      </c>
      <c r="AX1965" s="83" t="str">
        <f t="array" ref="AX1965">IFERROR(DGET('SBV Import'!A:G,"SBV",{"RSC ID","Tier";B1965,A1965}))</f>
        <v/>
      </c>
      <c r="AY1965" s="82" t="str">
        <f t="shared" si="2"/>
        <v/>
      </c>
      <c r="AZ1965" s="82"/>
      <c r="BA1965" s="84" t="s">
        <v>152</v>
      </c>
      <c r="BB1965" s="84" t="str">
        <f>IFERROR(__xludf.DUMMYFUNCTION("iferror(if(A1965="""",,E1965&gt;=FILTER(Constants!$F$2:$F$10,Constants!$A$2:$A$10=A1965)))"),"")</f>
        <v/>
      </c>
    </row>
    <row r="1966">
      <c r="A1966" s="89"/>
      <c r="B1966" s="87"/>
      <c r="C1966" s="73"/>
      <c r="D1966" s="73"/>
      <c r="E1966" s="82"/>
      <c r="F1966" s="82"/>
      <c r="G1966" s="86"/>
      <c r="H1966" s="86"/>
      <c r="I1966" s="86"/>
      <c r="J1966" s="82"/>
      <c r="K1966" s="82"/>
      <c r="L1966" s="82"/>
      <c r="M1966" s="82"/>
      <c r="N1966" s="82"/>
      <c r="O1966" s="82"/>
      <c r="P1966" s="82"/>
      <c r="Q1966" s="82"/>
      <c r="R1966" s="82"/>
      <c r="S1966" s="82"/>
      <c r="T1966" s="82"/>
      <c r="U1966" s="82"/>
      <c r="V1966" s="82"/>
      <c r="W1966" s="82"/>
      <c r="X1966" s="82"/>
      <c r="Y1966" s="82"/>
      <c r="Z1966" s="82"/>
      <c r="AA1966" s="82"/>
      <c r="AB1966" s="82"/>
      <c r="AC1966" s="82"/>
      <c r="AD1966" s="82"/>
      <c r="AE1966" s="82"/>
      <c r="AF1966" s="82"/>
      <c r="AG1966" s="82"/>
      <c r="AH1966" s="82"/>
      <c r="AI1966" s="82"/>
      <c r="AJ1966" s="82"/>
      <c r="AK1966" s="82"/>
      <c r="AL1966" s="82"/>
      <c r="AM1966" s="82"/>
      <c r="AN1966" s="82">
        <f>IFERROR(__xludf.DUMMYFUNCTION("""COMPUTED_VALUE"""),0.0)</f>
        <v>0</v>
      </c>
      <c r="AO1966" s="82">
        <f>IFERROR(__xludf.DUMMYFUNCTION("""COMPUTED_VALUE"""),0.0)</f>
        <v>0</v>
      </c>
      <c r="AP1966" s="82">
        <f>IFERROR(__xludf.DUMMYFUNCTION("""COMPUTED_VALUE"""),0.0)</f>
        <v>0</v>
      </c>
      <c r="AQ1966" s="82">
        <f>IFERROR(__xludf.DUMMYFUNCTION("""COMPUTED_VALUE"""),0.0)</f>
        <v>0</v>
      </c>
      <c r="AR1966" s="82">
        <f>IFERROR(__xludf.DUMMYFUNCTION("""COMPUTED_VALUE"""),0.0)</f>
        <v>0</v>
      </c>
      <c r="AS1966" s="82"/>
      <c r="AT1966" s="82">
        <f>IFERROR(__xludf.DUMMYFUNCTION("""COMPUTED_VALUE"""),0.0)</f>
        <v>0</v>
      </c>
      <c r="AU1966" s="82"/>
      <c r="AV1966" s="82"/>
      <c r="AW1966" s="82" t="str">
        <f t="shared" si="1"/>
        <v/>
      </c>
      <c r="AX1966" s="83" t="str">
        <f t="array" ref="AX1966">IFERROR(DGET('SBV Import'!A:G,"SBV",{"RSC ID","Tier";B1966,A1966}))</f>
        <v/>
      </c>
      <c r="AY1966" s="82" t="str">
        <f t="shared" si="2"/>
        <v/>
      </c>
      <c r="AZ1966" s="82"/>
      <c r="BA1966" s="84" t="s">
        <v>152</v>
      </c>
      <c r="BB1966" s="84" t="str">
        <f>IFERROR(__xludf.DUMMYFUNCTION("iferror(if(A1966="""",,E1966&gt;=FILTER(Constants!$F$2:$F$10,Constants!$A$2:$A$10=A1966)))"),"")</f>
        <v/>
      </c>
    </row>
    <row r="1967">
      <c r="A1967" s="89"/>
      <c r="B1967" s="87"/>
      <c r="C1967" s="73"/>
      <c r="D1967" s="73"/>
      <c r="E1967" s="82"/>
      <c r="F1967" s="82"/>
      <c r="G1967" s="86"/>
      <c r="H1967" s="86"/>
      <c r="I1967" s="86"/>
      <c r="J1967" s="82"/>
      <c r="K1967" s="82"/>
      <c r="L1967" s="82"/>
      <c r="M1967" s="82"/>
      <c r="N1967" s="82"/>
      <c r="O1967" s="82"/>
      <c r="P1967" s="82"/>
      <c r="Q1967" s="82"/>
      <c r="R1967" s="82"/>
      <c r="S1967" s="82"/>
      <c r="T1967" s="82"/>
      <c r="U1967" s="82"/>
      <c r="V1967" s="82"/>
      <c r="W1967" s="82"/>
      <c r="X1967" s="82"/>
      <c r="Y1967" s="82"/>
      <c r="Z1967" s="82"/>
      <c r="AA1967" s="82"/>
      <c r="AB1967" s="82"/>
      <c r="AC1967" s="82"/>
      <c r="AD1967" s="82"/>
      <c r="AE1967" s="82"/>
      <c r="AF1967" s="82"/>
      <c r="AG1967" s="82"/>
      <c r="AH1967" s="82"/>
      <c r="AI1967" s="82"/>
      <c r="AJ1967" s="82"/>
      <c r="AK1967" s="82"/>
      <c r="AL1967" s="82"/>
      <c r="AM1967" s="82"/>
      <c r="AN1967" s="82">
        <f>IFERROR(__xludf.DUMMYFUNCTION("""COMPUTED_VALUE"""),0.0)</f>
        <v>0</v>
      </c>
      <c r="AO1967" s="82">
        <f>IFERROR(__xludf.DUMMYFUNCTION("""COMPUTED_VALUE"""),0.0)</f>
        <v>0</v>
      </c>
      <c r="AP1967" s="82">
        <f>IFERROR(__xludf.DUMMYFUNCTION("""COMPUTED_VALUE"""),0.0)</f>
        <v>0</v>
      </c>
      <c r="AQ1967" s="82">
        <f>IFERROR(__xludf.DUMMYFUNCTION("""COMPUTED_VALUE"""),0.0)</f>
        <v>0</v>
      </c>
      <c r="AR1967" s="82">
        <f>IFERROR(__xludf.DUMMYFUNCTION("""COMPUTED_VALUE"""),0.0)</f>
        <v>0</v>
      </c>
      <c r="AS1967" s="82"/>
      <c r="AT1967" s="82">
        <f>IFERROR(__xludf.DUMMYFUNCTION("""COMPUTED_VALUE"""),0.0)</f>
        <v>0</v>
      </c>
      <c r="AU1967" s="82"/>
      <c r="AV1967" s="82"/>
      <c r="AW1967" s="82" t="str">
        <f t="shared" si="1"/>
        <v/>
      </c>
      <c r="AX1967" s="83" t="str">
        <f t="array" ref="AX1967">IFERROR(DGET('SBV Import'!A:G,"SBV",{"RSC ID","Tier";B1967,A1967}))</f>
        <v/>
      </c>
      <c r="AY1967" s="82" t="str">
        <f t="shared" si="2"/>
        <v/>
      </c>
      <c r="AZ1967" s="82"/>
      <c r="BA1967" s="84" t="s">
        <v>152</v>
      </c>
      <c r="BB1967" s="84" t="str">
        <f>IFERROR(__xludf.DUMMYFUNCTION("iferror(if(A1967="""",,E1967&gt;=FILTER(Constants!$F$2:$F$10,Constants!$A$2:$A$10=A1967)))"),"")</f>
        <v/>
      </c>
    </row>
    <row r="1968">
      <c r="A1968" s="89"/>
      <c r="B1968" s="87"/>
      <c r="C1968" s="73"/>
      <c r="D1968" s="73"/>
      <c r="E1968" s="82"/>
      <c r="F1968" s="82"/>
      <c r="G1968" s="86"/>
      <c r="H1968" s="86"/>
      <c r="I1968" s="86"/>
      <c r="J1968" s="82"/>
      <c r="K1968" s="82"/>
      <c r="L1968" s="82"/>
      <c r="M1968" s="82"/>
      <c r="N1968" s="82"/>
      <c r="O1968" s="82"/>
      <c r="P1968" s="82"/>
      <c r="Q1968" s="82"/>
      <c r="R1968" s="82"/>
      <c r="S1968" s="82"/>
      <c r="T1968" s="82"/>
      <c r="U1968" s="82"/>
      <c r="V1968" s="82"/>
      <c r="W1968" s="82"/>
      <c r="X1968" s="82"/>
      <c r="Y1968" s="82"/>
      <c r="Z1968" s="82"/>
      <c r="AA1968" s="82"/>
      <c r="AB1968" s="82"/>
      <c r="AC1968" s="82"/>
      <c r="AD1968" s="82"/>
      <c r="AE1968" s="82"/>
      <c r="AF1968" s="82"/>
      <c r="AG1968" s="82"/>
      <c r="AH1968" s="82"/>
      <c r="AI1968" s="82"/>
      <c r="AJ1968" s="82"/>
      <c r="AK1968" s="82"/>
      <c r="AL1968" s="82"/>
      <c r="AM1968" s="82"/>
      <c r="AN1968" s="82">
        <f>IFERROR(__xludf.DUMMYFUNCTION("""COMPUTED_VALUE"""),0.0)</f>
        <v>0</v>
      </c>
      <c r="AO1968" s="82">
        <f>IFERROR(__xludf.DUMMYFUNCTION("""COMPUTED_VALUE"""),0.0)</f>
        <v>0</v>
      </c>
      <c r="AP1968" s="82">
        <f>IFERROR(__xludf.DUMMYFUNCTION("""COMPUTED_VALUE"""),0.0)</f>
        <v>0</v>
      </c>
      <c r="AQ1968" s="82">
        <f>IFERROR(__xludf.DUMMYFUNCTION("""COMPUTED_VALUE"""),0.0)</f>
        <v>0</v>
      </c>
      <c r="AR1968" s="82">
        <f>IFERROR(__xludf.DUMMYFUNCTION("""COMPUTED_VALUE"""),0.0)</f>
        <v>0</v>
      </c>
      <c r="AS1968" s="82"/>
      <c r="AT1968" s="82">
        <f>IFERROR(__xludf.DUMMYFUNCTION("""COMPUTED_VALUE"""),0.0)</f>
        <v>0</v>
      </c>
      <c r="AU1968" s="82"/>
      <c r="AV1968" s="82"/>
      <c r="AW1968" s="82" t="str">
        <f t="shared" si="1"/>
        <v/>
      </c>
      <c r="AX1968" s="83" t="str">
        <f t="array" ref="AX1968">IFERROR(DGET('SBV Import'!A:G,"SBV",{"RSC ID","Tier";B1968,A1968}))</f>
        <v/>
      </c>
      <c r="AY1968" s="82" t="str">
        <f t="shared" si="2"/>
        <v/>
      </c>
      <c r="AZ1968" s="82"/>
      <c r="BA1968" s="84" t="s">
        <v>152</v>
      </c>
      <c r="BB1968" s="84" t="str">
        <f>IFERROR(__xludf.DUMMYFUNCTION("iferror(if(A1968="""",,E1968&gt;=FILTER(Constants!$F$2:$F$10,Constants!$A$2:$A$10=A1968)))"),"")</f>
        <v/>
      </c>
    </row>
    <row r="1969">
      <c r="A1969" s="89"/>
      <c r="B1969" s="87"/>
      <c r="C1969" s="73"/>
      <c r="D1969" s="73"/>
      <c r="E1969" s="82"/>
      <c r="F1969" s="82"/>
      <c r="G1969" s="86"/>
      <c r="H1969" s="86"/>
      <c r="I1969" s="86"/>
      <c r="J1969" s="82"/>
      <c r="K1969" s="82"/>
      <c r="L1969" s="82"/>
      <c r="M1969" s="82"/>
      <c r="N1969" s="82"/>
      <c r="O1969" s="82"/>
      <c r="P1969" s="82"/>
      <c r="Q1969" s="82"/>
      <c r="R1969" s="82"/>
      <c r="S1969" s="82"/>
      <c r="T1969" s="82"/>
      <c r="U1969" s="82"/>
      <c r="V1969" s="82"/>
      <c r="W1969" s="82"/>
      <c r="X1969" s="82"/>
      <c r="Y1969" s="82"/>
      <c r="Z1969" s="82"/>
      <c r="AA1969" s="82"/>
      <c r="AB1969" s="82"/>
      <c r="AC1969" s="82"/>
      <c r="AD1969" s="82"/>
      <c r="AE1969" s="82"/>
      <c r="AF1969" s="82"/>
      <c r="AG1969" s="82"/>
      <c r="AH1969" s="82"/>
      <c r="AI1969" s="82"/>
      <c r="AJ1969" s="82"/>
      <c r="AK1969" s="82"/>
      <c r="AL1969" s="82"/>
      <c r="AM1969" s="82"/>
      <c r="AN1969" s="82">
        <f>IFERROR(__xludf.DUMMYFUNCTION("""COMPUTED_VALUE"""),0.0)</f>
        <v>0</v>
      </c>
      <c r="AO1969" s="82">
        <f>IFERROR(__xludf.DUMMYFUNCTION("""COMPUTED_VALUE"""),0.0)</f>
        <v>0</v>
      </c>
      <c r="AP1969" s="82">
        <f>IFERROR(__xludf.DUMMYFUNCTION("""COMPUTED_VALUE"""),0.0)</f>
        <v>0</v>
      </c>
      <c r="AQ1969" s="82">
        <f>IFERROR(__xludf.DUMMYFUNCTION("""COMPUTED_VALUE"""),0.0)</f>
        <v>0</v>
      </c>
      <c r="AR1969" s="82">
        <f>IFERROR(__xludf.DUMMYFUNCTION("""COMPUTED_VALUE"""),0.0)</f>
        <v>0</v>
      </c>
      <c r="AS1969" s="82"/>
      <c r="AT1969" s="82">
        <f>IFERROR(__xludf.DUMMYFUNCTION("""COMPUTED_VALUE"""),0.0)</f>
        <v>0</v>
      </c>
      <c r="AU1969" s="82"/>
      <c r="AV1969" s="82"/>
      <c r="AW1969" s="82" t="str">
        <f t="shared" si="1"/>
        <v/>
      </c>
      <c r="AX1969" s="83" t="str">
        <f t="array" ref="AX1969">IFERROR(DGET('SBV Import'!A:G,"SBV",{"RSC ID","Tier";B1969,A1969}))</f>
        <v/>
      </c>
      <c r="AY1969" s="82" t="str">
        <f t="shared" si="2"/>
        <v/>
      </c>
      <c r="AZ1969" s="82"/>
      <c r="BA1969" s="84" t="s">
        <v>152</v>
      </c>
      <c r="BB1969" s="84" t="str">
        <f>IFERROR(__xludf.DUMMYFUNCTION("iferror(if(A1969="""",,E1969&gt;=FILTER(Constants!$F$2:$F$10,Constants!$A$2:$A$10=A1969)))"),"")</f>
        <v/>
      </c>
    </row>
    <row r="1970">
      <c r="A1970" s="89"/>
      <c r="B1970" s="87"/>
      <c r="C1970" s="73"/>
      <c r="D1970" s="73"/>
      <c r="E1970" s="82"/>
      <c r="F1970" s="82"/>
      <c r="G1970" s="86"/>
      <c r="H1970" s="86"/>
      <c r="I1970" s="86"/>
      <c r="J1970" s="82"/>
      <c r="K1970" s="82"/>
      <c r="L1970" s="82"/>
      <c r="M1970" s="82"/>
      <c r="N1970" s="82"/>
      <c r="O1970" s="82"/>
      <c r="P1970" s="82"/>
      <c r="Q1970" s="82"/>
      <c r="R1970" s="82"/>
      <c r="S1970" s="82"/>
      <c r="T1970" s="82"/>
      <c r="U1970" s="82"/>
      <c r="V1970" s="82"/>
      <c r="W1970" s="82"/>
      <c r="X1970" s="82"/>
      <c r="Y1970" s="82"/>
      <c r="Z1970" s="82"/>
      <c r="AA1970" s="82"/>
      <c r="AB1970" s="82"/>
      <c r="AC1970" s="82"/>
      <c r="AD1970" s="82"/>
      <c r="AE1970" s="82"/>
      <c r="AF1970" s="82"/>
      <c r="AG1970" s="82"/>
      <c r="AH1970" s="82"/>
      <c r="AI1970" s="82"/>
      <c r="AJ1970" s="82"/>
      <c r="AK1970" s="82"/>
      <c r="AL1970" s="82"/>
      <c r="AM1970" s="82"/>
      <c r="AN1970" s="82">
        <f>IFERROR(__xludf.DUMMYFUNCTION("""COMPUTED_VALUE"""),0.0)</f>
        <v>0</v>
      </c>
      <c r="AO1970" s="82">
        <f>IFERROR(__xludf.DUMMYFUNCTION("""COMPUTED_VALUE"""),0.0)</f>
        <v>0</v>
      </c>
      <c r="AP1970" s="82">
        <f>IFERROR(__xludf.DUMMYFUNCTION("""COMPUTED_VALUE"""),0.0)</f>
        <v>0</v>
      </c>
      <c r="AQ1970" s="82">
        <f>IFERROR(__xludf.DUMMYFUNCTION("""COMPUTED_VALUE"""),0.0)</f>
        <v>0</v>
      </c>
      <c r="AR1970" s="82">
        <f>IFERROR(__xludf.DUMMYFUNCTION("""COMPUTED_VALUE"""),0.0)</f>
        <v>0</v>
      </c>
      <c r="AS1970" s="82"/>
      <c r="AT1970" s="82">
        <f>IFERROR(__xludf.DUMMYFUNCTION("""COMPUTED_VALUE"""),0.0)</f>
        <v>0</v>
      </c>
      <c r="AU1970" s="82"/>
      <c r="AV1970" s="82"/>
      <c r="AW1970" s="82" t="str">
        <f t="shared" si="1"/>
        <v/>
      </c>
      <c r="AX1970" s="83" t="str">
        <f t="array" ref="AX1970">IFERROR(DGET('SBV Import'!A:G,"SBV",{"RSC ID","Tier";B1970,A1970}))</f>
        <v/>
      </c>
      <c r="AY1970" s="82" t="str">
        <f t="shared" si="2"/>
        <v/>
      </c>
      <c r="AZ1970" s="82"/>
      <c r="BA1970" s="84" t="s">
        <v>152</v>
      </c>
      <c r="BB1970" s="84" t="str">
        <f>IFERROR(__xludf.DUMMYFUNCTION("iferror(if(A1970="""",,E1970&gt;=FILTER(Constants!$F$2:$F$10,Constants!$A$2:$A$10=A1970)))"),"")</f>
        <v/>
      </c>
    </row>
    <row r="1971">
      <c r="A1971" s="89"/>
      <c r="B1971" s="87"/>
      <c r="C1971" s="73"/>
      <c r="D1971" s="73"/>
      <c r="E1971" s="82"/>
      <c r="F1971" s="82"/>
      <c r="G1971" s="86"/>
      <c r="H1971" s="86"/>
      <c r="I1971" s="86"/>
      <c r="J1971" s="82"/>
      <c r="K1971" s="82"/>
      <c r="L1971" s="82"/>
      <c r="M1971" s="82"/>
      <c r="N1971" s="82"/>
      <c r="O1971" s="82"/>
      <c r="P1971" s="82"/>
      <c r="Q1971" s="82"/>
      <c r="R1971" s="82"/>
      <c r="S1971" s="82"/>
      <c r="T1971" s="82"/>
      <c r="U1971" s="82"/>
      <c r="V1971" s="82"/>
      <c r="W1971" s="82"/>
      <c r="X1971" s="82"/>
      <c r="Y1971" s="82"/>
      <c r="Z1971" s="82"/>
      <c r="AA1971" s="82"/>
      <c r="AB1971" s="82"/>
      <c r="AC1971" s="82"/>
      <c r="AD1971" s="82"/>
      <c r="AE1971" s="82"/>
      <c r="AF1971" s="82"/>
      <c r="AG1971" s="82"/>
      <c r="AH1971" s="82"/>
      <c r="AI1971" s="82"/>
      <c r="AJ1971" s="82"/>
      <c r="AK1971" s="82"/>
      <c r="AL1971" s="82"/>
      <c r="AM1971" s="82"/>
      <c r="AN1971" s="82">
        <f>IFERROR(__xludf.DUMMYFUNCTION("""COMPUTED_VALUE"""),0.0)</f>
        <v>0</v>
      </c>
      <c r="AO1971" s="82">
        <f>IFERROR(__xludf.DUMMYFUNCTION("""COMPUTED_VALUE"""),0.0)</f>
        <v>0</v>
      </c>
      <c r="AP1971" s="82">
        <f>IFERROR(__xludf.DUMMYFUNCTION("""COMPUTED_VALUE"""),0.0)</f>
        <v>0</v>
      </c>
      <c r="AQ1971" s="82">
        <f>IFERROR(__xludf.DUMMYFUNCTION("""COMPUTED_VALUE"""),0.0)</f>
        <v>0</v>
      </c>
      <c r="AR1971" s="82">
        <f>IFERROR(__xludf.DUMMYFUNCTION("""COMPUTED_VALUE"""),0.0)</f>
        <v>0</v>
      </c>
      <c r="AS1971" s="82"/>
      <c r="AT1971" s="82">
        <f>IFERROR(__xludf.DUMMYFUNCTION("""COMPUTED_VALUE"""),0.0)</f>
        <v>0</v>
      </c>
      <c r="AU1971" s="82"/>
      <c r="AV1971" s="82"/>
      <c r="AW1971" s="82" t="str">
        <f t="shared" si="1"/>
        <v/>
      </c>
      <c r="AX1971" s="83" t="str">
        <f t="array" ref="AX1971">IFERROR(DGET('SBV Import'!A:G,"SBV",{"RSC ID","Tier";B1971,A1971}))</f>
        <v/>
      </c>
      <c r="AY1971" s="82" t="str">
        <f t="shared" si="2"/>
        <v/>
      </c>
      <c r="AZ1971" s="82"/>
      <c r="BA1971" s="84" t="s">
        <v>152</v>
      </c>
      <c r="BB1971" s="84" t="str">
        <f>IFERROR(__xludf.DUMMYFUNCTION("iferror(if(A1971="""",,E1971&gt;=FILTER(Constants!$F$2:$F$10,Constants!$A$2:$A$10=A1971)))"),"")</f>
        <v/>
      </c>
    </row>
    <row r="1972">
      <c r="A1972" s="89"/>
      <c r="B1972" s="87"/>
      <c r="C1972" s="73"/>
      <c r="D1972" s="73"/>
      <c r="E1972" s="82"/>
      <c r="F1972" s="82"/>
      <c r="G1972" s="86"/>
      <c r="H1972" s="86"/>
      <c r="I1972" s="86"/>
      <c r="J1972" s="82"/>
      <c r="K1972" s="82"/>
      <c r="L1972" s="82"/>
      <c r="M1972" s="82"/>
      <c r="N1972" s="82"/>
      <c r="O1972" s="82"/>
      <c r="P1972" s="82"/>
      <c r="Q1972" s="82"/>
      <c r="R1972" s="82"/>
      <c r="S1972" s="82"/>
      <c r="T1972" s="82"/>
      <c r="U1972" s="82"/>
      <c r="V1972" s="82"/>
      <c r="W1972" s="82"/>
      <c r="X1972" s="82"/>
      <c r="Y1972" s="82"/>
      <c r="Z1972" s="82"/>
      <c r="AA1972" s="82"/>
      <c r="AB1972" s="82"/>
      <c r="AC1972" s="82"/>
      <c r="AD1972" s="82"/>
      <c r="AE1972" s="82"/>
      <c r="AF1972" s="82"/>
      <c r="AG1972" s="82"/>
      <c r="AH1972" s="82"/>
      <c r="AI1972" s="82"/>
      <c r="AJ1972" s="82"/>
      <c r="AK1972" s="82"/>
      <c r="AL1972" s="82"/>
      <c r="AM1972" s="82"/>
      <c r="AN1972" s="82">
        <f>IFERROR(__xludf.DUMMYFUNCTION("""COMPUTED_VALUE"""),0.0)</f>
        <v>0</v>
      </c>
      <c r="AO1972" s="82">
        <f>IFERROR(__xludf.DUMMYFUNCTION("""COMPUTED_VALUE"""),0.0)</f>
        <v>0</v>
      </c>
      <c r="AP1972" s="82">
        <f>IFERROR(__xludf.DUMMYFUNCTION("""COMPUTED_VALUE"""),0.0)</f>
        <v>0</v>
      </c>
      <c r="AQ1972" s="82">
        <f>IFERROR(__xludf.DUMMYFUNCTION("""COMPUTED_VALUE"""),0.0)</f>
        <v>0</v>
      </c>
      <c r="AR1972" s="82">
        <f>IFERROR(__xludf.DUMMYFUNCTION("""COMPUTED_VALUE"""),0.0)</f>
        <v>0</v>
      </c>
      <c r="AS1972" s="82"/>
      <c r="AT1972" s="82">
        <f>IFERROR(__xludf.DUMMYFUNCTION("""COMPUTED_VALUE"""),0.0)</f>
        <v>0</v>
      </c>
      <c r="AU1972" s="82"/>
      <c r="AV1972" s="82"/>
      <c r="AW1972" s="82" t="str">
        <f t="shared" si="1"/>
        <v/>
      </c>
      <c r="AX1972" s="83" t="str">
        <f t="array" ref="AX1972">IFERROR(DGET('SBV Import'!A:G,"SBV",{"RSC ID","Tier";B1972,A1972}))</f>
        <v/>
      </c>
      <c r="AY1972" s="82" t="str">
        <f t="shared" si="2"/>
        <v/>
      </c>
      <c r="AZ1972" s="82"/>
      <c r="BA1972" s="84" t="s">
        <v>152</v>
      </c>
      <c r="BB1972" s="84" t="str">
        <f>IFERROR(__xludf.DUMMYFUNCTION("iferror(if(A1972="""",,E1972&gt;=FILTER(Constants!$F$2:$F$10,Constants!$A$2:$A$10=A1972)))"),"")</f>
        <v/>
      </c>
    </row>
    <row r="1973">
      <c r="A1973" s="89"/>
      <c r="B1973" s="87"/>
      <c r="C1973" s="73"/>
      <c r="D1973" s="73"/>
      <c r="E1973" s="82"/>
      <c r="F1973" s="82"/>
      <c r="G1973" s="86"/>
      <c r="H1973" s="86"/>
      <c r="I1973" s="86"/>
      <c r="J1973" s="82"/>
      <c r="K1973" s="82"/>
      <c r="L1973" s="82"/>
      <c r="M1973" s="82"/>
      <c r="N1973" s="82"/>
      <c r="O1973" s="82"/>
      <c r="P1973" s="82"/>
      <c r="Q1973" s="82"/>
      <c r="R1973" s="82"/>
      <c r="S1973" s="82"/>
      <c r="T1973" s="82"/>
      <c r="U1973" s="82"/>
      <c r="V1973" s="82"/>
      <c r="W1973" s="82"/>
      <c r="X1973" s="82"/>
      <c r="Y1973" s="82"/>
      <c r="Z1973" s="82"/>
      <c r="AA1973" s="82"/>
      <c r="AB1973" s="82"/>
      <c r="AC1973" s="82"/>
      <c r="AD1973" s="82"/>
      <c r="AE1973" s="82"/>
      <c r="AF1973" s="82"/>
      <c r="AG1973" s="82"/>
      <c r="AH1973" s="82"/>
      <c r="AI1973" s="82"/>
      <c r="AJ1973" s="82"/>
      <c r="AK1973" s="82"/>
      <c r="AL1973" s="82"/>
      <c r="AM1973" s="82"/>
      <c r="AN1973" s="82">
        <f>IFERROR(__xludf.DUMMYFUNCTION("""COMPUTED_VALUE"""),0.0)</f>
        <v>0</v>
      </c>
      <c r="AO1973" s="82">
        <f>IFERROR(__xludf.DUMMYFUNCTION("""COMPUTED_VALUE"""),0.0)</f>
        <v>0</v>
      </c>
      <c r="AP1973" s="82">
        <f>IFERROR(__xludf.DUMMYFUNCTION("""COMPUTED_VALUE"""),0.0)</f>
        <v>0</v>
      </c>
      <c r="AQ1973" s="82">
        <f>IFERROR(__xludf.DUMMYFUNCTION("""COMPUTED_VALUE"""),0.0)</f>
        <v>0</v>
      </c>
      <c r="AR1973" s="82">
        <f>IFERROR(__xludf.DUMMYFUNCTION("""COMPUTED_VALUE"""),0.0)</f>
        <v>0</v>
      </c>
      <c r="AS1973" s="82"/>
      <c r="AT1973" s="82">
        <f>IFERROR(__xludf.DUMMYFUNCTION("""COMPUTED_VALUE"""),0.0)</f>
        <v>0</v>
      </c>
      <c r="AU1973" s="82"/>
      <c r="AV1973" s="82"/>
      <c r="AW1973" s="82" t="str">
        <f t="shared" si="1"/>
        <v/>
      </c>
      <c r="AX1973" s="83" t="str">
        <f t="array" ref="AX1973">IFERROR(DGET('SBV Import'!A:G,"SBV",{"RSC ID","Tier";B1973,A1973}))</f>
        <v/>
      </c>
      <c r="AY1973" s="82" t="str">
        <f t="shared" si="2"/>
        <v/>
      </c>
      <c r="AZ1973" s="82"/>
      <c r="BA1973" s="84" t="s">
        <v>152</v>
      </c>
      <c r="BB1973" s="84" t="str">
        <f>IFERROR(__xludf.DUMMYFUNCTION("iferror(if(A1973="""",,E1973&gt;=FILTER(Constants!$F$2:$F$10,Constants!$A$2:$A$10=A1973)))"),"")</f>
        <v/>
      </c>
    </row>
    <row r="1974">
      <c r="A1974" s="89"/>
      <c r="B1974" s="87"/>
      <c r="C1974" s="73"/>
      <c r="D1974" s="73"/>
      <c r="E1974" s="82"/>
      <c r="F1974" s="82"/>
      <c r="G1974" s="86"/>
      <c r="H1974" s="86"/>
      <c r="I1974" s="86"/>
      <c r="J1974" s="82"/>
      <c r="K1974" s="82"/>
      <c r="L1974" s="82"/>
      <c r="M1974" s="82"/>
      <c r="N1974" s="82"/>
      <c r="O1974" s="82"/>
      <c r="P1974" s="82"/>
      <c r="Q1974" s="82"/>
      <c r="R1974" s="82"/>
      <c r="S1974" s="82"/>
      <c r="T1974" s="82"/>
      <c r="U1974" s="82"/>
      <c r="V1974" s="82"/>
      <c r="W1974" s="82"/>
      <c r="X1974" s="82"/>
      <c r="Y1974" s="82"/>
      <c r="Z1974" s="82"/>
      <c r="AA1974" s="82"/>
      <c r="AB1974" s="82"/>
      <c r="AC1974" s="82"/>
      <c r="AD1974" s="82"/>
      <c r="AE1974" s="82"/>
      <c r="AF1974" s="82"/>
      <c r="AG1974" s="82"/>
      <c r="AH1974" s="82"/>
      <c r="AI1974" s="82"/>
      <c r="AJ1974" s="82"/>
      <c r="AK1974" s="82"/>
      <c r="AL1974" s="82"/>
      <c r="AM1974" s="82"/>
      <c r="AN1974" s="82">
        <f>IFERROR(__xludf.DUMMYFUNCTION("""COMPUTED_VALUE"""),0.0)</f>
        <v>0</v>
      </c>
      <c r="AO1974" s="82">
        <f>IFERROR(__xludf.DUMMYFUNCTION("""COMPUTED_VALUE"""),0.0)</f>
        <v>0</v>
      </c>
      <c r="AP1974" s="82">
        <f>IFERROR(__xludf.DUMMYFUNCTION("""COMPUTED_VALUE"""),0.0)</f>
        <v>0</v>
      </c>
      <c r="AQ1974" s="82">
        <f>IFERROR(__xludf.DUMMYFUNCTION("""COMPUTED_VALUE"""),0.0)</f>
        <v>0</v>
      </c>
      <c r="AR1974" s="82">
        <f>IFERROR(__xludf.DUMMYFUNCTION("""COMPUTED_VALUE"""),0.0)</f>
        <v>0</v>
      </c>
      <c r="AS1974" s="82"/>
      <c r="AT1974" s="82">
        <f>IFERROR(__xludf.DUMMYFUNCTION("""COMPUTED_VALUE"""),0.0)</f>
        <v>0</v>
      </c>
      <c r="AU1974" s="82"/>
      <c r="AV1974" s="82"/>
      <c r="AW1974" s="82" t="str">
        <f t="shared" si="1"/>
        <v/>
      </c>
      <c r="AX1974" s="83" t="str">
        <f t="array" ref="AX1974">IFERROR(DGET('SBV Import'!A:G,"SBV",{"RSC ID","Tier";B1974,A1974}))</f>
        <v/>
      </c>
      <c r="AY1974" s="82" t="str">
        <f t="shared" si="2"/>
        <v/>
      </c>
      <c r="AZ1974" s="82"/>
      <c r="BA1974" s="84" t="s">
        <v>152</v>
      </c>
      <c r="BB1974" s="84" t="str">
        <f>IFERROR(__xludf.DUMMYFUNCTION("iferror(if(A1974="""",,E1974&gt;=FILTER(Constants!$F$2:$F$10,Constants!$A$2:$A$10=A1974)))"),"")</f>
        <v/>
      </c>
    </row>
    <row r="1975">
      <c r="A1975" s="89"/>
      <c r="B1975" s="87"/>
      <c r="C1975" s="73"/>
      <c r="D1975" s="73"/>
      <c r="E1975" s="82"/>
      <c r="F1975" s="82"/>
      <c r="G1975" s="86"/>
      <c r="H1975" s="86"/>
      <c r="I1975" s="86"/>
      <c r="J1975" s="82"/>
      <c r="K1975" s="82"/>
      <c r="L1975" s="82"/>
      <c r="M1975" s="82"/>
      <c r="N1975" s="82"/>
      <c r="O1975" s="82"/>
      <c r="P1975" s="82"/>
      <c r="Q1975" s="82"/>
      <c r="R1975" s="82"/>
      <c r="S1975" s="82"/>
      <c r="T1975" s="82"/>
      <c r="U1975" s="82"/>
      <c r="V1975" s="82"/>
      <c r="W1975" s="82"/>
      <c r="X1975" s="82"/>
      <c r="Y1975" s="82"/>
      <c r="Z1975" s="82"/>
      <c r="AA1975" s="82"/>
      <c r="AB1975" s="82"/>
      <c r="AC1975" s="82"/>
      <c r="AD1975" s="82"/>
      <c r="AE1975" s="82"/>
      <c r="AF1975" s="82"/>
      <c r="AG1975" s="82"/>
      <c r="AH1975" s="82"/>
      <c r="AI1975" s="82"/>
      <c r="AJ1975" s="82"/>
      <c r="AK1975" s="82"/>
      <c r="AL1975" s="82"/>
      <c r="AM1975" s="82"/>
      <c r="AN1975" s="82">
        <f>IFERROR(__xludf.DUMMYFUNCTION("""COMPUTED_VALUE"""),0.0)</f>
        <v>0</v>
      </c>
      <c r="AO1975" s="82">
        <f>IFERROR(__xludf.DUMMYFUNCTION("""COMPUTED_VALUE"""),0.0)</f>
        <v>0</v>
      </c>
      <c r="AP1975" s="82">
        <f>IFERROR(__xludf.DUMMYFUNCTION("""COMPUTED_VALUE"""),0.0)</f>
        <v>0</v>
      </c>
      <c r="AQ1975" s="82">
        <f>IFERROR(__xludf.DUMMYFUNCTION("""COMPUTED_VALUE"""),0.0)</f>
        <v>0</v>
      </c>
      <c r="AR1975" s="82">
        <f>IFERROR(__xludf.DUMMYFUNCTION("""COMPUTED_VALUE"""),0.0)</f>
        <v>0</v>
      </c>
      <c r="AS1975" s="82"/>
      <c r="AT1975" s="82">
        <f>IFERROR(__xludf.DUMMYFUNCTION("""COMPUTED_VALUE"""),0.0)</f>
        <v>0</v>
      </c>
      <c r="AU1975" s="82"/>
      <c r="AV1975" s="82"/>
      <c r="AW1975" s="82" t="str">
        <f t="shared" si="1"/>
        <v/>
      </c>
      <c r="AX1975" s="83" t="str">
        <f t="array" ref="AX1975">IFERROR(DGET('SBV Import'!A:G,"SBV",{"RSC ID","Tier";B1975,A1975}))</f>
        <v/>
      </c>
      <c r="AY1975" s="82" t="str">
        <f t="shared" si="2"/>
        <v/>
      </c>
      <c r="AZ1975" s="82"/>
      <c r="BA1975" s="84" t="s">
        <v>152</v>
      </c>
      <c r="BB1975" s="84" t="str">
        <f>IFERROR(__xludf.DUMMYFUNCTION("iferror(if(A1975="""",,E1975&gt;=FILTER(Constants!$F$2:$F$10,Constants!$A$2:$A$10=A1975)))"),"")</f>
        <v/>
      </c>
    </row>
    <row r="1976">
      <c r="A1976" s="89"/>
      <c r="B1976" s="87"/>
      <c r="C1976" s="73"/>
      <c r="D1976" s="73"/>
      <c r="E1976" s="82"/>
      <c r="F1976" s="82"/>
      <c r="G1976" s="86"/>
      <c r="H1976" s="86"/>
      <c r="I1976" s="86"/>
      <c r="J1976" s="82"/>
      <c r="K1976" s="82"/>
      <c r="L1976" s="82"/>
      <c r="M1976" s="82"/>
      <c r="N1976" s="82"/>
      <c r="O1976" s="82"/>
      <c r="P1976" s="82"/>
      <c r="Q1976" s="82"/>
      <c r="R1976" s="82"/>
      <c r="S1976" s="82"/>
      <c r="T1976" s="82"/>
      <c r="U1976" s="82"/>
      <c r="V1976" s="82"/>
      <c r="W1976" s="82"/>
      <c r="X1976" s="82"/>
      <c r="Y1976" s="82"/>
      <c r="Z1976" s="82"/>
      <c r="AA1976" s="82"/>
      <c r="AB1976" s="82"/>
      <c r="AC1976" s="82"/>
      <c r="AD1976" s="82"/>
      <c r="AE1976" s="82"/>
      <c r="AF1976" s="82"/>
      <c r="AG1976" s="82"/>
      <c r="AH1976" s="82"/>
      <c r="AI1976" s="82"/>
      <c r="AJ1976" s="82"/>
      <c r="AK1976" s="82"/>
      <c r="AL1976" s="82"/>
      <c r="AM1976" s="82"/>
      <c r="AN1976" s="82">
        <f>IFERROR(__xludf.DUMMYFUNCTION("""COMPUTED_VALUE"""),0.0)</f>
        <v>0</v>
      </c>
      <c r="AO1976" s="82">
        <f>IFERROR(__xludf.DUMMYFUNCTION("""COMPUTED_VALUE"""),0.0)</f>
        <v>0</v>
      </c>
      <c r="AP1976" s="82">
        <f>IFERROR(__xludf.DUMMYFUNCTION("""COMPUTED_VALUE"""),0.0)</f>
        <v>0</v>
      </c>
      <c r="AQ1976" s="82">
        <f>IFERROR(__xludf.DUMMYFUNCTION("""COMPUTED_VALUE"""),0.0)</f>
        <v>0</v>
      </c>
      <c r="AR1976" s="82">
        <f>IFERROR(__xludf.DUMMYFUNCTION("""COMPUTED_VALUE"""),0.0)</f>
        <v>0</v>
      </c>
      <c r="AS1976" s="82"/>
      <c r="AT1976" s="82">
        <f>IFERROR(__xludf.DUMMYFUNCTION("""COMPUTED_VALUE"""),0.0)</f>
        <v>0</v>
      </c>
      <c r="AU1976" s="82"/>
      <c r="AV1976" s="82"/>
      <c r="AW1976" s="82" t="str">
        <f t="shared" si="1"/>
        <v/>
      </c>
      <c r="AX1976" s="83" t="str">
        <f t="array" ref="AX1976">IFERROR(DGET('SBV Import'!A:G,"SBV",{"RSC ID","Tier";B1976,A1976}))</f>
        <v/>
      </c>
      <c r="AY1976" s="82" t="str">
        <f t="shared" si="2"/>
        <v/>
      </c>
      <c r="AZ1976" s="82"/>
      <c r="BA1976" s="84" t="s">
        <v>152</v>
      </c>
      <c r="BB1976" s="84" t="str">
        <f>IFERROR(__xludf.DUMMYFUNCTION("iferror(if(A1976="""",,E1976&gt;=FILTER(Constants!$F$2:$F$10,Constants!$A$2:$A$10=A1976)))"),"")</f>
        <v/>
      </c>
    </row>
    <row r="1977">
      <c r="A1977" s="89"/>
      <c r="B1977" s="87"/>
      <c r="C1977" s="73"/>
      <c r="D1977" s="73"/>
      <c r="E1977" s="82"/>
      <c r="F1977" s="82"/>
      <c r="G1977" s="86"/>
      <c r="H1977" s="86"/>
      <c r="I1977" s="86"/>
      <c r="J1977" s="82"/>
      <c r="K1977" s="82"/>
      <c r="L1977" s="82"/>
      <c r="M1977" s="82"/>
      <c r="N1977" s="82"/>
      <c r="O1977" s="82"/>
      <c r="P1977" s="82"/>
      <c r="Q1977" s="82"/>
      <c r="R1977" s="82"/>
      <c r="S1977" s="82"/>
      <c r="T1977" s="82"/>
      <c r="U1977" s="82"/>
      <c r="V1977" s="82"/>
      <c r="W1977" s="82"/>
      <c r="X1977" s="82"/>
      <c r="Y1977" s="82"/>
      <c r="Z1977" s="82"/>
      <c r="AA1977" s="82"/>
      <c r="AB1977" s="82"/>
      <c r="AC1977" s="82"/>
      <c r="AD1977" s="82"/>
      <c r="AE1977" s="82"/>
      <c r="AF1977" s="82"/>
      <c r="AG1977" s="82"/>
      <c r="AH1977" s="82"/>
      <c r="AI1977" s="82"/>
      <c r="AJ1977" s="82"/>
      <c r="AK1977" s="82"/>
      <c r="AL1977" s="82"/>
      <c r="AM1977" s="82"/>
      <c r="AN1977" s="82">
        <f>IFERROR(__xludf.DUMMYFUNCTION("""COMPUTED_VALUE"""),0.0)</f>
        <v>0</v>
      </c>
      <c r="AO1977" s="82">
        <f>IFERROR(__xludf.DUMMYFUNCTION("""COMPUTED_VALUE"""),0.0)</f>
        <v>0</v>
      </c>
      <c r="AP1977" s="82">
        <f>IFERROR(__xludf.DUMMYFUNCTION("""COMPUTED_VALUE"""),0.0)</f>
        <v>0</v>
      </c>
      <c r="AQ1977" s="82">
        <f>IFERROR(__xludf.DUMMYFUNCTION("""COMPUTED_VALUE"""),0.0)</f>
        <v>0</v>
      </c>
      <c r="AR1977" s="82">
        <f>IFERROR(__xludf.DUMMYFUNCTION("""COMPUTED_VALUE"""),0.0)</f>
        <v>0</v>
      </c>
      <c r="AS1977" s="82"/>
      <c r="AT1977" s="82">
        <f>IFERROR(__xludf.DUMMYFUNCTION("""COMPUTED_VALUE"""),0.0)</f>
        <v>0</v>
      </c>
      <c r="AU1977" s="82"/>
      <c r="AV1977" s="82"/>
      <c r="AW1977" s="82" t="str">
        <f t="shared" si="1"/>
        <v/>
      </c>
      <c r="AX1977" s="83" t="str">
        <f t="array" ref="AX1977">IFERROR(DGET('SBV Import'!A:G,"SBV",{"RSC ID","Tier";B1977,A1977}))</f>
        <v/>
      </c>
      <c r="AY1977" s="82" t="str">
        <f t="shared" si="2"/>
        <v/>
      </c>
      <c r="AZ1977" s="82"/>
      <c r="BA1977" s="84" t="s">
        <v>152</v>
      </c>
      <c r="BB1977" s="84" t="str">
        <f>IFERROR(__xludf.DUMMYFUNCTION("iferror(if(A1977="""",,E1977&gt;=FILTER(Constants!$F$2:$F$10,Constants!$A$2:$A$10=A1977)))"),"")</f>
        <v/>
      </c>
    </row>
    <row r="1978">
      <c r="A1978" s="89"/>
      <c r="B1978" s="87"/>
      <c r="C1978" s="73"/>
      <c r="D1978" s="73"/>
      <c r="E1978" s="82"/>
      <c r="F1978" s="82"/>
      <c r="G1978" s="86"/>
      <c r="H1978" s="86"/>
      <c r="I1978" s="86"/>
      <c r="J1978" s="82"/>
      <c r="K1978" s="82"/>
      <c r="L1978" s="82"/>
      <c r="M1978" s="82"/>
      <c r="N1978" s="82"/>
      <c r="O1978" s="82"/>
      <c r="P1978" s="82"/>
      <c r="Q1978" s="82"/>
      <c r="R1978" s="82"/>
      <c r="S1978" s="82"/>
      <c r="T1978" s="82"/>
      <c r="U1978" s="82"/>
      <c r="V1978" s="82"/>
      <c r="W1978" s="82"/>
      <c r="X1978" s="82"/>
      <c r="Y1978" s="82"/>
      <c r="Z1978" s="82"/>
      <c r="AA1978" s="82"/>
      <c r="AB1978" s="82"/>
      <c r="AC1978" s="82"/>
      <c r="AD1978" s="82"/>
      <c r="AE1978" s="82"/>
      <c r="AF1978" s="82"/>
      <c r="AG1978" s="82"/>
      <c r="AH1978" s="82"/>
      <c r="AI1978" s="82"/>
      <c r="AJ1978" s="82"/>
      <c r="AK1978" s="82"/>
      <c r="AL1978" s="82"/>
      <c r="AM1978" s="82"/>
      <c r="AN1978" s="82">
        <f>IFERROR(__xludf.DUMMYFUNCTION("""COMPUTED_VALUE"""),0.0)</f>
        <v>0</v>
      </c>
      <c r="AO1978" s="82">
        <f>IFERROR(__xludf.DUMMYFUNCTION("""COMPUTED_VALUE"""),0.0)</f>
        <v>0</v>
      </c>
      <c r="AP1978" s="82">
        <f>IFERROR(__xludf.DUMMYFUNCTION("""COMPUTED_VALUE"""),0.0)</f>
        <v>0</v>
      </c>
      <c r="AQ1978" s="82">
        <f>IFERROR(__xludf.DUMMYFUNCTION("""COMPUTED_VALUE"""),0.0)</f>
        <v>0</v>
      </c>
      <c r="AR1978" s="82">
        <f>IFERROR(__xludf.DUMMYFUNCTION("""COMPUTED_VALUE"""),0.0)</f>
        <v>0</v>
      </c>
      <c r="AS1978" s="82"/>
      <c r="AT1978" s="82">
        <f>IFERROR(__xludf.DUMMYFUNCTION("""COMPUTED_VALUE"""),0.0)</f>
        <v>0</v>
      </c>
      <c r="AU1978" s="82"/>
      <c r="AV1978" s="82"/>
      <c r="AW1978" s="82" t="str">
        <f t="shared" si="1"/>
        <v/>
      </c>
      <c r="AX1978" s="83" t="str">
        <f t="array" ref="AX1978">IFERROR(DGET('SBV Import'!A:G,"SBV",{"RSC ID","Tier";B1978,A1978}))</f>
        <v/>
      </c>
      <c r="AY1978" s="82" t="str">
        <f t="shared" si="2"/>
        <v/>
      </c>
      <c r="AZ1978" s="82"/>
      <c r="BA1978" s="84" t="s">
        <v>152</v>
      </c>
      <c r="BB1978" s="84" t="str">
        <f>IFERROR(__xludf.DUMMYFUNCTION("iferror(if(A1978="""",,E1978&gt;=FILTER(Constants!$F$2:$F$10,Constants!$A$2:$A$10=A1978)))"),"")</f>
        <v/>
      </c>
    </row>
    <row r="1979">
      <c r="A1979" s="89"/>
      <c r="B1979" s="87"/>
      <c r="C1979" s="73"/>
      <c r="D1979" s="73"/>
      <c r="E1979" s="82"/>
      <c r="F1979" s="82"/>
      <c r="G1979" s="86"/>
      <c r="H1979" s="86"/>
      <c r="I1979" s="86"/>
      <c r="J1979" s="82"/>
      <c r="K1979" s="82"/>
      <c r="L1979" s="82"/>
      <c r="M1979" s="82"/>
      <c r="N1979" s="82"/>
      <c r="O1979" s="82"/>
      <c r="P1979" s="82"/>
      <c r="Q1979" s="82"/>
      <c r="R1979" s="82"/>
      <c r="S1979" s="82"/>
      <c r="T1979" s="82"/>
      <c r="U1979" s="82"/>
      <c r="V1979" s="82"/>
      <c r="W1979" s="82"/>
      <c r="X1979" s="82"/>
      <c r="Y1979" s="82"/>
      <c r="Z1979" s="82"/>
      <c r="AA1979" s="82"/>
      <c r="AB1979" s="82"/>
      <c r="AC1979" s="82"/>
      <c r="AD1979" s="82"/>
      <c r="AE1979" s="82"/>
      <c r="AF1979" s="82"/>
      <c r="AG1979" s="82"/>
      <c r="AH1979" s="82"/>
      <c r="AI1979" s="82"/>
      <c r="AJ1979" s="82"/>
      <c r="AK1979" s="82"/>
      <c r="AL1979" s="82"/>
      <c r="AM1979" s="82"/>
      <c r="AN1979" s="82">
        <f>IFERROR(__xludf.DUMMYFUNCTION("""COMPUTED_VALUE"""),0.0)</f>
        <v>0</v>
      </c>
      <c r="AO1979" s="82">
        <f>IFERROR(__xludf.DUMMYFUNCTION("""COMPUTED_VALUE"""),0.0)</f>
        <v>0</v>
      </c>
      <c r="AP1979" s="82">
        <f>IFERROR(__xludf.DUMMYFUNCTION("""COMPUTED_VALUE"""),0.0)</f>
        <v>0</v>
      </c>
      <c r="AQ1979" s="82">
        <f>IFERROR(__xludf.DUMMYFUNCTION("""COMPUTED_VALUE"""),0.0)</f>
        <v>0</v>
      </c>
      <c r="AR1979" s="82">
        <f>IFERROR(__xludf.DUMMYFUNCTION("""COMPUTED_VALUE"""),0.0)</f>
        <v>0</v>
      </c>
      <c r="AS1979" s="82"/>
      <c r="AT1979" s="82">
        <f>IFERROR(__xludf.DUMMYFUNCTION("""COMPUTED_VALUE"""),0.0)</f>
        <v>0</v>
      </c>
      <c r="AU1979" s="82"/>
      <c r="AV1979" s="82"/>
      <c r="AW1979" s="82" t="str">
        <f t="shared" si="1"/>
        <v/>
      </c>
      <c r="AX1979" s="83" t="str">
        <f t="array" ref="AX1979">IFERROR(DGET('SBV Import'!A:G,"SBV",{"RSC ID","Tier";B1979,A1979}))</f>
        <v/>
      </c>
      <c r="AY1979" s="82" t="str">
        <f t="shared" si="2"/>
        <v/>
      </c>
      <c r="AZ1979" s="82"/>
      <c r="BA1979" s="84" t="s">
        <v>152</v>
      </c>
      <c r="BB1979" s="84" t="str">
        <f>IFERROR(__xludf.DUMMYFUNCTION("iferror(if(A1979="""",,E1979&gt;=FILTER(Constants!$F$2:$F$10,Constants!$A$2:$A$10=A1979)))"),"")</f>
        <v/>
      </c>
    </row>
    <row r="1980">
      <c r="A1980" s="89"/>
      <c r="B1980" s="87"/>
      <c r="C1980" s="73"/>
      <c r="D1980" s="73"/>
      <c r="E1980" s="82"/>
      <c r="F1980" s="82"/>
      <c r="G1980" s="86"/>
      <c r="H1980" s="86"/>
      <c r="I1980" s="86"/>
      <c r="J1980" s="82"/>
      <c r="K1980" s="82"/>
      <c r="L1980" s="82"/>
      <c r="M1980" s="82"/>
      <c r="N1980" s="82"/>
      <c r="O1980" s="82"/>
      <c r="P1980" s="82"/>
      <c r="Q1980" s="82"/>
      <c r="R1980" s="82"/>
      <c r="S1980" s="82"/>
      <c r="T1980" s="82"/>
      <c r="U1980" s="82"/>
      <c r="V1980" s="82"/>
      <c r="W1980" s="82"/>
      <c r="X1980" s="82"/>
      <c r="Y1980" s="82"/>
      <c r="Z1980" s="82"/>
      <c r="AA1980" s="82"/>
      <c r="AB1980" s="82"/>
      <c r="AC1980" s="82"/>
      <c r="AD1980" s="82"/>
      <c r="AE1980" s="82"/>
      <c r="AF1980" s="82"/>
      <c r="AG1980" s="82"/>
      <c r="AH1980" s="82"/>
      <c r="AI1980" s="82"/>
      <c r="AJ1980" s="82"/>
      <c r="AK1980" s="82"/>
      <c r="AL1980" s="82"/>
      <c r="AM1980" s="82"/>
      <c r="AN1980" s="82">
        <f>IFERROR(__xludf.DUMMYFUNCTION("""COMPUTED_VALUE"""),0.0)</f>
        <v>0</v>
      </c>
      <c r="AO1980" s="82">
        <f>IFERROR(__xludf.DUMMYFUNCTION("""COMPUTED_VALUE"""),0.0)</f>
        <v>0</v>
      </c>
      <c r="AP1980" s="82">
        <f>IFERROR(__xludf.DUMMYFUNCTION("""COMPUTED_VALUE"""),0.0)</f>
        <v>0</v>
      </c>
      <c r="AQ1980" s="82">
        <f>IFERROR(__xludf.DUMMYFUNCTION("""COMPUTED_VALUE"""),0.0)</f>
        <v>0</v>
      </c>
      <c r="AR1980" s="82">
        <f>IFERROR(__xludf.DUMMYFUNCTION("""COMPUTED_VALUE"""),0.0)</f>
        <v>0</v>
      </c>
      <c r="AS1980" s="82"/>
      <c r="AT1980" s="82">
        <f>IFERROR(__xludf.DUMMYFUNCTION("""COMPUTED_VALUE"""),0.0)</f>
        <v>0</v>
      </c>
      <c r="AU1980" s="82"/>
      <c r="AV1980" s="82"/>
      <c r="AW1980" s="82" t="str">
        <f t="shared" si="1"/>
        <v/>
      </c>
      <c r="AX1980" s="83" t="str">
        <f t="array" ref="AX1980">IFERROR(DGET('SBV Import'!A:G,"SBV",{"RSC ID","Tier";B1980,A1980}))</f>
        <v/>
      </c>
      <c r="AY1980" s="82" t="str">
        <f t="shared" si="2"/>
        <v/>
      </c>
      <c r="AZ1980" s="82"/>
      <c r="BA1980" s="84" t="s">
        <v>152</v>
      </c>
      <c r="BB1980" s="84" t="str">
        <f>IFERROR(__xludf.DUMMYFUNCTION("iferror(if(A1980="""",,E1980&gt;=FILTER(Constants!$F$2:$F$10,Constants!$A$2:$A$10=A1980)))"),"")</f>
        <v/>
      </c>
    </row>
    <row r="1981">
      <c r="A1981" s="89"/>
      <c r="B1981" s="87"/>
      <c r="C1981" s="73"/>
      <c r="D1981" s="73"/>
      <c r="E1981" s="82"/>
      <c r="F1981" s="82"/>
      <c r="G1981" s="86"/>
      <c r="H1981" s="86"/>
      <c r="I1981" s="86"/>
      <c r="J1981" s="82"/>
      <c r="K1981" s="82"/>
      <c r="L1981" s="82"/>
      <c r="M1981" s="82"/>
      <c r="N1981" s="82"/>
      <c r="O1981" s="82"/>
      <c r="P1981" s="82"/>
      <c r="Q1981" s="82"/>
      <c r="R1981" s="82"/>
      <c r="S1981" s="82"/>
      <c r="T1981" s="82"/>
      <c r="U1981" s="82"/>
      <c r="V1981" s="82"/>
      <c r="W1981" s="82"/>
      <c r="X1981" s="82"/>
      <c r="Y1981" s="82"/>
      <c r="Z1981" s="82"/>
      <c r="AA1981" s="82"/>
      <c r="AB1981" s="82"/>
      <c r="AC1981" s="82"/>
      <c r="AD1981" s="82"/>
      <c r="AE1981" s="82"/>
      <c r="AF1981" s="82"/>
      <c r="AG1981" s="82"/>
      <c r="AH1981" s="82"/>
      <c r="AI1981" s="82"/>
      <c r="AJ1981" s="82"/>
      <c r="AK1981" s="82"/>
      <c r="AL1981" s="82"/>
      <c r="AM1981" s="82"/>
      <c r="AN1981" s="82">
        <f>IFERROR(__xludf.DUMMYFUNCTION("""COMPUTED_VALUE"""),0.0)</f>
        <v>0</v>
      </c>
      <c r="AO1981" s="82">
        <f>IFERROR(__xludf.DUMMYFUNCTION("""COMPUTED_VALUE"""),0.0)</f>
        <v>0</v>
      </c>
      <c r="AP1981" s="82">
        <f>IFERROR(__xludf.DUMMYFUNCTION("""COMPUTED_VALUE"""),0.0)</f>
        <v>0</v>
      </c>
      <c r="AQ1981" s="82">
        <f>IFERROR(__xludf.DUMMYFUNCTION("""COMPUTED_VALUE"""),0.0)</f>
        <v>0</v>
      </c>
      <c r="AR1981" s="82">
        <f>IFERROR(__xludf.DUMMYFUNCTION("""COMPUTED_VALUE"""),0.0)</f>
        <v>0</v>
      </c>
      <c r="AS1981" s="82"/>
      <c r="AT1981" s="82">
        <f>IFERROR(__xludf.DUMMYFUNCTION("""COMPUTED_VALUE"""),0.0)</f>
        <v>0</v>
      </c>
      <c r="AU1981" s="82"/>
      <c r="AV1981" s="82"/>
      <c r="AW1981" s="82" t="str">
        <f t="shared" si="1"/>
        <v/>
      </c>
      <c r="AX1981" s="83" t="str">
        <f t="array" ref="AX1981">IFERROR(DGET('SBV Import'!A:G,"SBV",{"RSC ID","Tier";B1981,A1981}))</f>
        <v/>
      </c>
      <c r="AY1981" s="82" t="str">
        <f t="shared" si="2"/>
        <v/>
      </c>
      <c r="AZ1981" s="82"/>
      <c r="BA1981" s="84" t="s">
        <v>152</v>
      </c>
      <c r="BB1981" s="84" t="str">
        <f>IFERROR(__xludf.DUMMYFUNCTION("iferror(if(A1981="""",,E1981&gt;=FILTER(Constants!$F$2:$F$10,Constants!$A$2:$A$10=A1981)))"),"")</f>
        <v/>
      </c>
    </row>
    <row r="1982">
      <c r="A1982" s="89"/>
      <c r="B1982" s="87"/>
      <c r="C1982" s="73"/>
      <c r="D1982" s="73"/>
      <c r="E1982" s="82"/>
      <c r="F1982" s="82"/>
      <c r="G1982" s="86"/>
      <c r="H1982" s="86"/>
      <c r="I1982" s="86"/>
      <c r="J1982" s="82"/>
      <c r="K1982" s="82"/>
      <c r="L1982" s="82"/>
      <c r="M1982" s="82"/>
      <c r="N1982" s="82"/>
      <c r="O1982" s="82"/>
      <c r="P1982" s="82"/>
      <c r="Q1982" s="82"/>
      <c r="R1982" s="82"/>
      <c r="S1982" s="82"/>
      <c r="T1982" s="82"/>
      <c r="U1982" s="82"/>
      <c r="V1982" s="82"/>
      <c r="W1982" s="82"/>
      <c r="X1982" s="82"/>
      <c r="Y1982" s="82"/>
      <c r="Z1982" s="82"/>
      <c r="AA1982" s="82"/>
      <c r="AB1982" s="82"/>
      <c r="AC1982" s="82"/>
      <c r="AD1982" s="82"/>
      <c r="AE1982" s="82"/>
      <c r="AF1982" s="82"/>
      <c r="AG1982" s="82"/>
      <c r="AH1982" s="82"/>
      <c r="AI1982" s="82"/>
      <c r="AJ1982" s="82"/>
      <c r="AK1982" s="82"/>
      <c r="AL1982" s="82"/>
      <c r="AM1982" s="82"/>
      <c r="AN1982" s="82">
        <f>IFERROR(__xludf.DUMMYFUNCTION("""COMPUTED_VALUE"""),0.0)</f>
        <v>0</v>
      </c>
      <c r="AO1982" s="82">
        <f>IFERROR(__xludf.DUMMYFUNCTION("""COMPUTED_VALUE"""),0.0)</f>
        <v>0</v>
      </c>
      <c r="AP1982" s="82">
        <f>IFERROR(__xludf.DUMMYFUNCTION("""COMPUTED_VALUE"""),0.0)</f>
        <v>0</v>
      </c>
      <c r="AQ1982" s="82">
        <f>IFERROR(__xludf.DUMMYFUNCTION("""COMPUTED_VALUE"""),0.0)</f>
        <v>0</v>
      </c>
      <c r="AR1982" s="82">
        <f>IFERROR(__xludf.DUMMYFUNCTION("""COMPUTED_VALUE"""),0.0)</f>
        <v>0</v>
      </c>
      <c r="AS1982" s="82"/>
      <c r="AT1982" s="82">
        <f>IFERROR(__xludf.DUMMYFUNCTION("""COMPUTED_VALUE"""),0.0)</f>
        <v>0</v>
      </c>
      <c r="AU1982" s="82"/>
      <c r="AV1982" s="82"/>
      <c r="AW1982" s="82" t="str">
        <f t="shared" si="1"/>
        <v/>
      </c>
      <c r="AX1982" s="83" t="str">
        <f t="array" ref="AX1982">IFERROR(DGET('SBV Import'!A:G,"SBV",{"RSC ID","Tier";B1982,A1982}))</f>
        <v/>
      </c>
      <c r="AY1982" s="82" t="str">
        <f t="shared" si="2"/>
        <v/>
      </c>
      <c r="AZ1982" s="82"/>
      <c r="BA1982" s="84" t="s">
        <v>152</v>
      </c>
      <c r="BB1982" s="84" t="str">
        <f>IFERROR(__xludf.DUMMYFUNCTION("iferror(if(A1982="""",,E1982&gt;=FILTER(Constants!$F$2:$F$10,Constants!$A$2:$A$10=A1982)))"),"")</f>
        <v/>
      </c>
    </row>
    <row r="1983">
      <c r="A1983" s="89"/>
      <c r="B1983" s="87"/>
      <c r="C1983" s="73"/>
      <c r="D1983" s="73"/>
      <c r="E1983" s="82"/>
      <c r="F1983" s="82"/>
      <c r="G1983" s="86"/>
      <c r="H1983" s="86"/>
      <c r="I1983" s="86"/>
      <c r="J1983" s="82"/>
      <c r="K1983" s="82"/>
      <c r="L1983" s="82"/>
      <c r="M1983" s="82"/>
      <c r="N1983" s="82"/>
      <c r="O1983" s="82"/>
      <c r="P1983" s="82"/>
      <c r="Q1983" s="82"/>
      <c r="R1983" s="82"/>
      <c r="S1983" s="82"/>
      <c r="T1983" s="82"/>
      <c r="U1983" s="82"/>
      <c r="V1983" s="82"/>
      <c r="W1983" s="82"/>
      <c r="X1983" s="82"/>
      <c r="Y1983" s="82"/>
      <c r="Z1983" s="82"/>
      <c r="AA1983" s="82"/>
      <c r="AB1983" s="82"/>
      <c r="AC1983" s="82"/>
      <c r="AD1983" s="82"/>
      <c r="AE1983" s="82"/>
      <c r="AF1983" s="82"/>
      <c r="AG1983" s="82"/>
      <c r="AH1983" s="82"/>
      <c r="AI1983" s="82"/>
      <c r="AJ1983" s="82"/>
      <c r="AK1983" s="82"/>
      <c r="AL1983" s="82"/>
      <c r="AM1983" s="82"/>
      <c r="AN1983" s="82">
        <f>IFERROR(__xludf.DUMMYFUNCTION("""COMPUTED_VALUE"""),0.0)</f>
        <v>0</v>
      </c>
      <c r="AO1983" s="82">
        <f>IFERROR(__xludf.DUMMYFUNCTION("""COMPUTED_VALUE"""),0.0)</f>
        <v>0</v>
      </c>
      <c r="AP1983" s="82">
        <f>IFERROR(__xludf.DUMMYFUNCTION("""COMPUTED_VALUE"""),0.0)</f>
        <v>0</v>
      </c>
      <c r="AQ1983" s="82">
        <f>IFERROR(__xludf.DUMMYFUNCTION("""COMPUTED_VALUE"""),0.0)</f>
        <v>0</v>
      </c>
      <c r="AR1983" s="82">
        <f>IFERROR(__xludf.DUMMYFUNCTION("""COMPUTED_VALUE"""),0.0)</f>
        <v>0</v>
      </c>
      <c r="AS1983" s="82"/>
      <c r="AT1983" s="82">
        <f>IFERROR(__xludf.DUMMYFUNCTION("""COMPUTED_VALUE"""),0.0)</f>
        <v>0</v>
      </c>
      <c r="AU1983" s="82"/>
      <c r="AV1983" s="82"/>
      <c r="AW1983" s="82" t="str">
        <f t="shared" si="1"/>
        <v/>
      </c>
      <c r="AX1983" s="83" t="str">
        <f t="array" ref="AX1983">IFERROR(DGET('SBV Import'!A:G,"SBV",{"RSC ID","Tier";B1983,A1983}))</f>
        <v/>
      </c>
      <c r="AY1983" s="82" t="str">
        <f t="shared" si="2"/>
        <v/>
      </c>
      <c r="AZ1983" s="82"/>
      <c r="BA1983" s="84" t="s">
        <v>152</v>
      </c>
      <c r="BB1983" s="84" t="str">
        <f>IFERROR(__xludf.DUMMYFUNCTION("iferror(if(A1983="""",,E1983&gt;=FILTER(Constants!$F$2:$F$10,Constants!$A$2:$A$10=A1983)))"),"")</f>
        <v/>
      </c>
    </row>
    <row r="1984">
      <c r="A1984" s="89"/>
      <c r="B1984" s="87"/>
      <c r="C1984" s="73"/>
      <c r="D1984" s="73"/>
      <c r="E1984" s="82"/>
      <c r="F1984" s="82"/>
      <c r="G1984" s="86"/>
      <c r="H1984" s="86"/>
      <c r="I1984" s="86"/>
      <c r="J1984" s="82"/>
      <c r="K1984" s="82"/>
      <c r="L1984" s="82"/>
      <c r="M1984" s="82"/>
      <c r="N1984" s="82"/>
      <c r="O1984" s="82"/>
      <c r="P1984" s="82"/>
      <c r="Q1984" s="82"/>
      <c r="R1984" s="82"/>
      <c r="S1984" s="82"/>
      <c r="T1984" s="82"/>
      <c r="U1984" s="82"/>
      <c r="V1984" s="82"/>
      <c r="W1984" s="82"/>
      <c r="X1984" s="82"/>
      <c r="Y1984" s="82"/>
      <c r="Z1984" s="82"/>
      <c r="AA1984" s="82"/>
      <c r="AB1984" s="82"/>
      <c r="AC1984" s="82"/>
      <c r="AD1984" s="82"/>
      <c r="AE1984" s="82"/>
      <c r="AF1984" s="82"/>
      <c r="AG1984" s="82"/>
      <c r="AH1984" s="82"/>
      <c r="AI1984" s="82"/>
      <c r="AJ1984" s="82"/>
      <c r="AK1984" s="82"/>
      <c r="AL1984" s="82"/>
      <c r="AM1984" s="82"/>
      <c r="AN1984" s="82">
        <f>IFERROR(__xludf.DUMMYFUNCTION("""COMPUTED_VALUE"""),0.0)</f>
        <v>0</v>
      </c>
      <c r="AO1984" s="82">
        <f>IFERROR(__xludf.DUMMYFUNCTION("""COMPUTED_VALUE"""),0.0)</f>
        <v>0</v>
      </c>
      <c r="AP1984" s="82">
        <f>IFERROR(__xludf.DUMMYFUNCTION("""COMPUTED_VALUE"""),0.0)</f>
        <v>0</v>
      </c>
      <c r="AQ1984" s="82">
        <f>IFERROR(__xludf.DUMMYFUNCTION("""COMPUTED_VALUE"""),0.0)</f>
        <v>0</v>
      </c>
      <c r="AR1984" s="82">
        <f>IFERROR(__xludf.DUMMYFUNCTION("""COMPUTED_VALUE"""),0.0)</f>
        <v>0</v>
      </c>
      <c r="AS1984" s="82"/>
      <c r="AT1984" s="82">
        <f>IFERROR(__xludf.DUMMYFUNCTION("""COMPUTED_VALUE"""),0.0)</f>
        <v>0</v>
      </c>
      <c r="AU1984" s="82"/>
      <c r="AV1984" s="82"/>
      <c r="AW1984" s="82" t="str">
        <f t="shared" si="1"/>
        <v/>
      </c>
      <c r="AX1984" s="83" t="str">
        <f t="array" ref="AX1984">IFERROR(DGET('SBV Import'!A:G,"SBV",{"RSC ID","Tier";B1984,A1984}))</f>
        <v/>
      </c>
      <c r="AY1984" s="82" t="str">
        <f t="shared" si="2"/>
        <v/>
      </c>
      <c r="AZ1984" s="82"/>
      <c r="BA1984" s="84" t="s">
        <v>152</v>
      </c>
      <c r="BB1984" s="84" t="str">
        <f>IFERROR(__xludf.DUMMYFUNCTION("iferror(if(A1984="""",,E1984&gt;=FILTER(Constants!$F$2:$F$10,Constants!$A$2:$A$10=A1984)))"),"")</f>
        <v/>
      </c>
    </row>
    <row r="1985">
      <c r="A1985" s="89"/>
      <c r="B1985" s="87"/>
      <c r="C1985" s="73"/>
      <c r="D1985" s="73"/>
      <c r="E1985" s="82"/>
      <c r="F1985" s="82"/>
      <c r="G1985" s="86"/>
      <c r="H1985" s="86"/>
      <c r="I1985" s="86"/>
      <c r="J1985" s="82"/>
      <c r="K1985" s="82"/>
      <c r="L1985" s="82"/>
      <c r="M1985" s="82"/>
      <c r="N1985" s="82"/>
      <c r="O1985" s="82"/>
      <c r="P1985" s="82"/>
      <c r="Q1985" s="82"/>
      <c r="R1985" s="82"/>
      <c r="S1985" s="82"/>
      <c r="T1985" s="82"/>
      <c r="U1985" s="82"/>
      <c r="V1985" s="82"/>
      <c r="W1985" s="82"/>
      <c r="X1985" s="82"/>
      <c r="Y1985" s="82"/>
      <c r="Z1985" s="82"/>
      <c r="AA1985" s="82"/>
      <c r="AB1985" s="82"/>
      <c r="AC1985" s="82"/>
      <c r="AD1985" s="82"/>
      <c r="AE1985" s="82"/>
      <c r="AF1985" s="82"/>
      <c r="AG1985" s="82"/>
      <c r="AH1985" s="82"/>
      <c r="AI1985" s="82"/>
      <c r="AJ1985" s="82"/>
      <c r="AK1985" s="82"/>
      <c r="AL1985" s="82"/>
      <c r="AM1985" s="82"/>
      <c r="AN1985" s="82">
        <f>IFERROR(__xludf.DUMMYFUNCTION("""COMPUTED_VALUE"""),0.0)</f>
        <v>0</v>
      </c>
      <c r="AO1985" s="82">
        <f>IFERROR(__xludf.DUMMYFUNCTION("""COMPUTED_VALUE"""),0.0)</f>
        <v>0</v>
      </c>
      <c r="AP1985" s="82">
        <f>IFERROR(__xludf.DUMMYFUNCTION("""COMPUTED_VALUE"""),0.0)</f>
        <v>0</v>
      </c>
      <c r="AQ1985" s="82">
        <f>IFERROR(__xludf.DUMMYFUNCTION("""COMPUTED_VALUE"""),0.0)</f>
        <v>0</v>
      </c>
      <c r="AR1985" s="82">
        <f>IFERROR(__xludf.DUMMYFUNCTION("""COMPUTED_VALUE"""),0.0)</f>
        <v>0</v>
      </c>
      <c r="AS1985" s="82"/>
      <c r="AT1985" s="82">
        <f>IFERROR(__xludf.DUMMYFUNCTION("""COMPUTED_VALUE"""),0.0)</f>
        <v>0</v>
      </c>
      <c r="AU1985" s="82"/>
      <c r="AV1985" s="82"/>
      <c r="AW1985" s="82" t="str">
        <f t="shared" si="1"/>
        <v/>
      </c>
      <c r="AX1985" s="83" t="str">
        <f t="array" ref="AX1985">IFERROR(DGET('SBV Import'!A:G,"SBV",{"RSC ID","Tier";B1985,A1985}))</f>
        <v/>
      </c>
      <c r="AY1985" s="82" t="str">
        <f t="shared" si="2"/>
        <v/>
      </c>
      <c r="AZ1985" s="82"/>
      <c r="BA1985" s="84" t="s">
        <v>152</v>
      </c>
      <c r="BB1985" s="84" t="str">
        <f>IFERROR(__xludf.DUMMYFUNCTION("iferror(if(A1985="""",,E1985&gt;=FILTER(Constants!$F$2:$F$10,Constants!$A$2:$A$10=A1985)))"),"")</f>
        <v/>
      </c>
    </row>
    <row r="1986">
      <c r="A1986" s="89"/>
      <c r="B1986" s="87"/>
      <c r="C1986" s="73"/>
      <c r="D1986" s="73"/>
      <c r="E1986" s="82"/>
      <c r="F1986" s="82"/>
      <c r="G1986" s="86"/>
      <c r="H1986" s="86"/>
      <c r="I1986" s="86"/>
      <c r="J1986" s="82"/>
      <c r="K1986" s="82"/>
      <c r="L1986" s="82"/>
      <c r="M1986" s="82"/>
      <c r="N1986" s="82"/>
      <c r="O1986" s="82"/>
      <c r="P1986" s="82"/>
      <c r="Q1986" s="82"/>
      <c r="R1986" s="82"/>
      <c r="S1986" s="82"/>
      <c r="T1986" s="82"/>
      <c r="U1986" s="82"/>
      <c r="V1986" s="82"/>
      <c r="W1986" s="82"/>
      <c r="X1986" s="82"/>
      <c r="Y1986" s="82"/>
      <c r="Z1986" s="82"/>
      <c r="AA1986" s="82"/>
      <c r="AB1986" s="82"/>
      <c r="AC1986" s="82"/>
      <c r="AD1986" s="82"/>
      <c r="AE1986" s="82"/>
      <c r="AF1986" s="82"/>
      <c r="AG1986" s="82"/>
      <c r="AH1986" s="82"/>
      <c r="AI1986" s="82"/>
      <c r="AJ1986" s="82"/>
      <c r="AK1986" s="82"/>
      <c r="AL1986" s="82"/>
      <c r="AM1986" s="82"/>
      <c r="AN1986" s="82">
        <f>IFERROR(__xludf.DUMMYFUNCTION("""COMPUTED_VALUE"""),0.0)</f>
        <v>0</v>
      </c>
      <c r="AO1986" s="82">
        <f>IFERROR(__xludf.DUMMYFUNCTION("""COMPUTED_VALUE"""),0.0)</f>
        <v>0</v>
      </c>
      <c r="AP1986" s="82">
        <f>IFERROR(__xludf.DUMMYFUNCTION("""COMPUTED_VALUE"""),0.0)</f>
        <v>0</v>
      </c>
      <c r="AQ1986" s="82">
        <f>IFERROR(__xludf.DUMMYFUNCTION("""COMPUTED_VALUE"""),0.0)</f>
        <v>0</v>
      </c>
      <c r="AR1986" s="82">
        <f>IFERROR(__xludf.DUMMYFUNCTION("""COMPUTED_VALUE"""),0.0)</f>
        <v>0</v>
      </c>
      <c r="AS1986" s="82"/>
      <c r="AT1986" s="82">
        <f>IFERROR(__xludf.DUMMYFUNCTION("""COMPUTED_VALUE"""),0.0)</f>
        <v>0</v>
      </c>
      <c r="AU1986" s="82"/>
      <c r="AV1986" s="82"/>
      <c r="AW1986" s="82" t="str">
        <f t="shared" si="1"/>
        <v/>
      </c>
      <c r="AX1986" s="83" t="str">
        <f t="array" ref="AX1986">IFERROR(DGET('SBV Import'!A:G,"SBV",{"RSC ID","Tier";B1986,A1986}))</f>
        <v/>
      </c>
      <c r="AY1986" s="82" t="str">
        <f t="shared" si="2"/>
        <v/>
      </c>
      <c r="AZ1986" s="82"/>
      <c r="BA1986" s="84" t="s">
        <v>152</v>
      </c>
      <c r="BB1986" s="84" t="str">
        <f>IFERROR(__xludf.DUMMYFUNCTION("iferror(if(A1986="""",,E1986&gt;=FILTER(Constants!$F$2:$F$10,Constants!$A$2:$A$10=A1986)))"),"")</f>
        <v/>
      </c>
    </row>
    <row r="1987">
      <c r="A1987" s="89"/>
      <c r="B1987" s="87"/>
      <c r="C1987" s="73"/>
      <c r="D1987" s="73"/>
      <c r="E1987" s="82"/>
      <c r="F1987" s="82"/>
      <c r="G1987" s="86"/>
      <c r="H1987" s="86"/>
      <c r="I1987" s="86"/>
      <c r="J1987" s="82"/>
      <c r="K1987" s="82"/>
      <c r="L1987" s="82"/>
      <c r="M1987" s="82"/>
      <c r="N1987" s="82"/>
      <c r="O1987" s="82"/>
      <c r="P1987" s="82"/>
      <c r="Q1987" s="82"/>
      <c r="R1987" s="82"/>
      <c r="S1987" s="82"/>
      <c r="T1987" s="82"/>
      <c r="U1987" s="82"/>
      <c r="V1987" s="82"/>
      <c r="W1987" s="82"/>
      <c r="X1987" s="82"/>
      <c r="Y1987" s="82"/>
      <c r="Z1987" s="82"/>
      <c r="AA1987" s="82"/>
      <c r="AB1987" s="82"/>
      <c r="AC1987" s="82"/>
      <c r="AD1987" s="82"/>
      <c r="AE1987" s="82"/>
      <c r="AF1987" s="82"/>
      <c r="AG1987" s="82"/>
      <c r="AH1987" s="82"/>
      <c r="AI1987" s="82"/>
      <c r="AJ1987" s="82"/>
      <c r="AK1987" s="82"/>
      <c r="AL1987" s="82"/>
      <c r="AM1987" s="82"/>
      <c r="AN1987" s="82">
        <f>IFERROR(__xludf.DUMMYFUNCTION("""COMPUTED_VALUE"""),0.0)</f>
        <v>0</v>
      </c>
      <c r="AO1987" s="82">
        <f>IFERROR(__xludf.DUMMYFUNCTION("""COMPUTED_VALUE"""),0.0)</f>
        <v>0</v>
      </c>
      <c r="AP1987" s="82">
        <f>IFERROR(__xludf.DUMMYFUNCTION("""COMPUTED_VALUE"""),0.0)</f>
        <v>0</v>
      </c>
      <c r="AQ1987" s="82">
        <f>IFERROR(__xludf.DUMMYFUNCTION("""COMPUTED_VALUE"""),0.0)</f>
        <v>0</v>
      </c>
      <c r="AR1987" s="82">
        <f>IFERROR(__xludf.DUMMYFUNCTION("""COMPUTED_VALUE"""),0.0)</f>
        <v>0</v>
      </c>
      <c r="AS1987" s="82"/>
      <c r="AT1987" s="82">
        <f>IFERROR(__xludf.DUMMYFUNCTION("""COMPUTED_VALUE"""),0.0)</f>
        <v>0</v>
      </c>
      <c r="AU1987" s="82"/>
      <c r="AV1987" s="82"/>
      <c r="AW1987" s="82" t="str">
        <f t="shared" si="1"/>
        <v/>
      </c>
      <c r="AX1987" s="83" t="str">
        <f t="array" ref="AX1987">IFERROR(DGET('SBV Import'!A:G,"SBV",{"RSC ID","Tier";B1987,A1987}))</f>
        <v/>
      </c>
      <c r="AY1987" s="82" t="str">
        <f t="shared" si="2"/>
        <v/>
      </c>
      <c r="AZ1987" s="82"/>
      <c r="BA1987" s="84" t="s">
        <v>152</v>
      </c>
      <c r="BB1987" s="84" t="str">
        <f>IFERROR(__xludf.DUMMYFUNCTION("iferror(if(A1987="""",,E1987&gt;=FILTER(Constants!$F$2:$F$10,Constants!$A$2:$A$10=A1987)))"),"")</f>
        <v/>
      </c>
    </row>
    <row r="1988">
      <c r="A1988" s="89"/>
      <c r="B1988" s="87"/>
      <c r="C1988" s="73"/>
      <c r="D1988" s="73"/>
      <c r="E1988" s="82"/>
      <c r="F1988" s="82"/>
      <c r="G1988" s="86"/>
      <c r="H1988" s="86"/>
      <c r="I1988" s="86"/>
      <c r="J1988" s="82"/>
      <c r="K1988" s="82"/>
      <c r="L1988" s="82"/>
      <c r="M1988" s="82"/>
      <c r="N1988" s="82"/>
      <c r="O1988" s="82"/>
      <c r="P1988" s="82"/>
      <c r="Q1988" s="82"/>
      <c r="R1988" s="82"/>
      <c r="S1988" s="82"/>
      <c r="T1988" s="82"/>
      <c r="U1988" s="82"/>
      <c r="V1988" s="82"/>
      <c r="W1988" s="82"/>
      <c r="X1988" s="82"/>
      <c r="Y1988" s="82"/>
      <c r="Z1988" s="82"/>
      <c r="AA1988" s="82"/>
      <c r="AB1988" s="82"/>
      <c r="AC1988" s="82"/>
      <c r="AD1988" s="82"/>
      <c r="AE1988" s="82"/>
      <c r="AF1988" s="82"/>
      <c r="AG1988" s="82"/>
      <c r="AH1988" s="82"/>
      <c r="AI1988" s="82"/>
      <c r="AJ1988" s="82"/>
      <c r="AK1988" s="82"/>
      <c r="AL1988" s="82"/>
      <c r="AM1988" s="82"/>
      <c r="AN1988" s="82">
        <f>IFERROR(__xludf.DUMMYFUNCTION("""COMPUTED_VALUE"""),0.0)</f>
        <v>0</v>
      </c>
      <c r="AO1988" s="82">
        <f>IFERROR(__xludf.DUMMYFUNCTION("""COMPUTED_VALUE"""),0.0)</f>
        <v>0</v>
      </c>
      <c r="AP1988" s="82">
        <f>IFERROR(__xludf.DUMMYFUNCTION("""COMPUTED_VALUE"""),0.0)</f>
        <v>0</v>
      </c>
      <c r="AQ1988" s="82">
        <f>IFERROR(__xludf.DUMMYFUNCTION("""COMPUTED_VALUE"""),0.0)</f>
        <v>0</v>
      </c>
      <c r="AR1988" s="82">
        <f>IFERROR(__xludf.DUMMYFUNCTION("""COMPUTED_VALUE"""),0.0)</f>
        <v>0</v>
      </c>
      <c r="AS1988" s="82"/>
      <c r="AT1988" s="82">
        <f>IFERROR(__xludf.DUMMYFUNCTION("""COMPUTED_VALUE"""),0.0)</f>
        <v>0</v>
      </c>
      <c r="AU1988" s="82"/>
      <c r="AV1988" s="82"/>
      <c r="AW1988" s="82" t="str">
        <f t="shared" si="1"/>
        <v/>
      </c>
      <c r="AX1988" s="83" t="str">
        <f t="array" ref="AX1988">IFERROR(DGET('SBV Import'!A:G,"SBV",{"RSC ID","Tier";B1988,A1988}))</f>
        <v/>
      </c>
      <c r="AY1988" s="82" t="str">
        <f t="shared" si="2"/>
        <v/>
      </c>
      <c r="AZ1988" s="82"/>
      <c r="BA1988" s="84" t="s">
        <v>152</v>
      </c>
      <c r="BB1988" s="84" t="str">
        <f>IFERROR(__xludf.DUMMYFUNCTION("iferror(if(A1988="""",,E1988&gt;=FILTER(Constants!$F$2:$F$10,Constants!$A$2:$A$10=A1988)))"),"")</f>
        <v/>
      </c>
    </row>
    <row r="1989">
      <c r="A1989" s="89"/>
      <c r="B1989" s="87"/>
      <c r="C1989" s="73"/>
      <c r="D1989" s="73"/>
      <c r="E1989" s="82"/>
      <c r="F1989" s="82"/>
      <c r="G1989" s="86"/>
      <c r="H1989" s="86"/>
      <c r="I1989" s="86"/>
      <c r="J1989" s="82"/>
      <c r="K1989" s="82"/>
      <c r="L1989" s="82"/>
      <c r="M1989" s="82"/>
      <c r="N1989" s="82"/>
      <c r="O1989" s="82"/>
      <c r="P1989" s="82"/>
      <c r="Q1989" s="82"/>
      <c r="R1989" s="82"/>
      <c r="S1989" s="82"/>
      <c r="T1989" s="82"/>
      <c r="U1989" s="82"/>
      <c r="V1989" s="82"/>
      <c r="W1989" s="82"/>
      <c r="X1989" s="82"/>
      <c r="Y1989" s="82"/>
      <c r="Z1989" s="82"/>
      <c r="AA1989" s="82"/>
      <c r="AB1989" s="82"/>
      <c r="AC1989" s="82"/>
      <c r="AD1989" s="82"/>
      <c r="AE1989" s="82"/>
      <c r="AF1989" s="82"/>
      <c r="AG1989" s="82"/>
      <c r="AH1989" s="82"/>
      <c r="AI1989" s="82"/>
      <c r="AJ1989" s="82"/>
      <c r="AK1989" s="82"/>
      <c r="AL1989" s="82"/>
      <c r="AM1989" s="82"/>
      <c r="AN1989" s="82">
        <f>IFERROR(__xludf.DUMMYFUNCTION("""COMPUTED_VALUE"""),0.0)</f>
        <v>0</v>
      </c>
      <c r="AO1989" s="82">
        <f>IFERROR(__xludf.DUMMYFUNCTION("""COMPUTED_VALUE"""),0.0)</f>
        <v>0</v>
      </c>
      <c r="AP1989" s="82">
        <f>IFERROR(__xludf.DUMMYFUNCTION("""COMPUTED_VALUE"""),0.0)</f>
        <v>0</v>
      </c>
      <c r="AQ1989" s="82">
        <f>IFERROR(__xludf.DUMMYFUNCTION("""COMPUTED_VALUE"""),0.0)</f>
        <v>0</v>
      </c>
      <c r="AR1989" s="82">
        <f>IFERROR(__xludf.DUMMYFUNCTION("""COMPUTED_VALUE"""),0.0)</f>
        <v>0</v>
      </c>
      <c r="AS1989" s="82"/>
      <c r="AT1989" s="82">
        <f>IFERROR(__xludf.DUMMYFUNCTION("""COMPUTED_VALUE"""),0.0)</f>
        <v>0</v>
      </c>
      <c r="AU1989" s="82"/>
      <c r="AV1989" s="82"/>
      <c r="AW1989" s="82" t="str">
        <f t="shared" si="1"/>
        <v/>
      </c>
      <c r="AX1989" s="83" t="str">
        <f t="array" ref="AX1989">IFERROR(DGET('SBV Import'!A:G,"SBV",{"RSC ID","Tier";B1989,A1989}))</f>
        <v/>
      </c>
      <c r="AY1989" s="82" t="str">
        <f t="shared" si="2"/>
        <v/>
      </c>
      <c r="AZ1989" s="82"/>
      <c r="BA1989" s="84" t="s">
        <v>152</v>
      </c>
      <c r="BB1989" s="84" t="str">
        <f>IFERROR(__xludf.DUMMYFUNCTION("iferror(if(A1989="""",,E1989&gt;=FILTER(Constants!$F$2:$F$10,Constants!$A$2:$A$10=A1989)))"),"")</f>
        <v/>
      </c>
    </row>
    <row r="1990">
      <c r="A1990" s="89"/>
      <c r="B1990" s="87"/>
      <c r="C1990" s="73"/>
      <c r="D1990" s="73"/>
      <c r="E1990" s="82"/>
      <c r="F1990" s="82"/>
      <c r="G1990" s="86"/>
      <c r="H1990" s="86"/>
      <c r="I1990" s="86"/>
      <c r="J1990" s="82"/>
      <c r="K1990" s="82"/>
      <c r="L1990" s="82"/>
      <c r="M1990" s="82"/>
      <c r="N1990" s="82"/>
      <c r="O1990" s="82"/>
      <c r="P1990" s="82"/>
      <c r="Q1990" s="82"/>
      <c r="R1990" s="82"/>
      <c r="S1990" s="82"/>
      <c r="T1990" s="82"/>
      <c r="U1990" s="82"/>
      <c r="V1990" s="82"/>
      <c r="W1990" s="82"/>
      <c r="X1990" s="82"/>
      <c r="Y1990" s="82"/>
      <c r="Z1990" s="82"/>
      <c r="AA1990" s="82"/>
      <c r="AB1990" s="82"/>
      <c r="AC1990" s="82"/>
      <c r="AD1990" s="82"/>
      <c r="AE1990" s="82"/>
      <c r="AF1990" s="82"/>
      <c r="AG1990" s="82"/>
      <c r="AH1990" s="82"/>
      <c r="AI1990" s="82"/>
      <c r="AJ1990" s="82"/>
      <c r="AK1990" s="82"/>
      <c r="AL1990" s="82"/>
      <c r="AM1990" s="82"/>
      <c r="AN1990" s="82">
        <f>IFERROR(__xludf.DUMMYFUNCTION("""COMPUTED_VALUE"""),0.0)</f>
        <v>0</v>
      </c>
      <c r="AO1990" s="82">
        <f>IFERROR(__xludf.DUMMYFUNCTION("""COMPUTED_VALUE"""),0.0)</f>
        <v>0</v>
      </c>
      <c r="AP1990" s="82">
        <f>IFERROR(__xludf.DUMMYFUNCTION("""COMPUTED_VALUE"""),0.0)</f>
        <v>0</v>
      </c>
      <c r="AQ1990" s="82">
        <f>IFERROR(__xludf.DUMMYFUNCTION("""COMPUTED_VALUE"""),0.0)</f>
        <v>0</v>
      </c>
      <c r="AR1990" s="82">
        <f>IFERROR(__xludf.DUMMYFUNCTION("""COMPUTED_VALUE"""),0.0)</f>
        <v>0</v>
      </c>
      <c r="AS1990" s="82"/>
      <c r="AT1990" s="82">
        <f>IFERROR(__xludf.DUMMYFUNCTION("""COMPUTED_VALUE"""),0.0)</f>
        <v>0</v>
      </c>
      <c r="AU1990" s="82"/>
      <c r="AV1990" s="82"/>
      <c r="AW1990" s="82" t="str">
        <f t="shared" si="1"/>
        <v/>
      </c>
      <c r="AX1990" s="83" t="str">
        <f t="array" ref="AX1990">IFERROR(DGET('SBV Import'!A:G,"SBV",{"RSC ID","Tier";B1990,A1990}))</f>
        <v/>
      </c>
      <c r="AY1990" s="82" t="str">
        <f t="shared" si="2"/>
        <v/>
      </c>
      <c r="AZ1990" s="82"/>
      <c r="BA1990" s="84" t="s">
        <v>152</v>
      </c>
      <c r="BB1990" s="84" t="str">
        <f>IFERROR(__xludf.DUMMYFUNCTION("iferror(if(A1990="""",,E1990&gt;=FILTER(Constants!$F$2:$F$10,Constants!$A$2:$A$10=A1990)))"),"")</f>
        <v/>
      </c>
    </row>
    <row r="1991">
      <c r="A1991" s="89"/>
      <c r="B1991" s="87"/>
      <c r="C1991" s="73"/>
      <c r="D1991" s="73"/>
      <c r="E1991" s="82"/>
      <c r="F1991" s="82"/>
      <c r="G1991" s="86"/>
      <c r="H1991" s="86"/>
      <c r="I1991" s="86"/>
      <c r="J1991" s="82"/>
      <c r="K1991" s="82"/>
      <c r="L1991" s="82"/>
      <c r="M1991" s="82"/>
      <c r="N1991" s="82"/>
      <c r="O1991" s="82"/>
      <c r="P1991" s="82"/>
      <c r="Q1991" s="82"/>
      <c r="R1991" s="82"/>
      <c r="S1991" s="82"/>
      <c r="T1991" s="82"/>
      <c r="U1991" s="82"/>
      <c r="V1991" s="82"/>
      <c r="W1991" s="82"/>
      <c r="X1991" s="82"/>
      <c r="Y1991" s="82"/>
      <c r="Z1991" s="82"/>
      <c r="AA1991" s="82"/>
      <c r="AB1991" s="82"/>
      <c r="AC1991" s="82"/>
      <c r="AD1991" s="82"/>
      <c r="AE1991" s="82"/>
      <c r="AF1991" s="82"/>
      <c r="AG1991" s="82"/>
      <c r="AH1991" s="82"/>
      <c r="AI1991" s="82"/>
      <c r="AJ1991" s="82"/>
      <c r="AK1991" s="82"/>
      <c r="AL1991" s="82"/>
      <c r="AM1991" s="82"/>
      <c r="AN1991" s="82">
        <f>IFERROR(__xludf.DUMMYFUNCTION("""COMPUTED_VALUE"""),0.0)</f>
        <v>0</v>
      </c>
      <c r="AO1991" s="82">
        <f>IFERROR(__xludf.DUMMYFUNCTION("""COMPUTED_VALUE"""),0.0)</f>
        <v>0</v>
      </c>
      <c r="AP1991" s="82">
        <f>IFERROR(__xludf.DUMMYFUNCTION("""COMPUTED_VALUE"""),0.0)</f>
        <v>0</v>
      </c>
      <c r="AQ1991" s="82">
        <f>IFERROR(__xludf.DUMMYFUNCTION("""COMPUTED_VALUE"""),0.0)</f>
        <v>0</v>
      </c>
      <c r="AR1991" s="82">
        <f>IFERROR(__xludf.DUMMYFUNCTION("""COMPUTED_VALUE"""),0.0)</f>
        <v>0</v>
      </c>
      <c r="AS1991" s="82"/>
      <c r="AT1991" s="82">
        <f>IFERROR(__xludf.DUMMYFUNCTION("""COMPUTED_VALUE"""),0.0)</f>
        <v>0</v>
      </c>
      <c r="AU1991" s="82"/>
      <c r="AV1991" s="82"/>
      <c r="AW1991" s="82" t="str">
        <f t="shared" si="1"/>
        <v/>
      </c>
      <c r="AX1991" s="83" t="str">
        <f t="array" ref="AX1991">IFERROR(DGET('SBV Import'!A:G,"SBV",{"RSC ID","Tier";B1991,A1991}))</f>
        <v/>
      </c>
      <c r="AY1991" s="82" t="str">
        <f t="shared" si="2"/>
        <v/>
      </c>
      <c r="AZ1991" s="82"/>
      <c r="BA1991" s="84" t="s">
        <v>152</v>
      </c>
      <c r="BB1991" s="84" t="str">
        <f>IFERROR(__xludf.DUMMYFUNCTION("iferror(if(A1991="""",,E1991&gt;=FILTER(Constants!$F$2:$F$10,Constants!$A$2:$A$10=A1991)))"),"")</f>
        <v/>
      </c>
    </row>
    <row r="1992">
      <c r="A1992" s="89"/>
      <c r="B1992" s="87"/>
      <c r="C1992" s="73"/>
      <c r="D1992" s="73"/>
      <c r="E1992" s="82"/>
      <c r="F1992" s="82"/>
      <c r="G1992" s="86"/>
      <c r="H1992" s="86"/>
      <c r="I1992" s="86"/>
      <c r="J1992" s="82"/>
      <c r="K1992" s="82"/>
      <c r="L1992" s="82"/>
      <c r="M1992" s="82"/>
      <c r="N1992" s="82"/>
      <c r="O1992" s="82"/>
      <c r="P1992" s="82"/>
      <c r="Q1992" s="82"/>
      <c r="R1992" s="82"/>
      <c r="S1992" s="82"/>
      <c r="T1992" s="82"/>
      <c r="U1992" s="82"/>
      <c r="V1992" s="82"/>
      <c r="W1992" s="82"/>
      <c r="X1992" s="82"/>
      <c r="Y1992" s="82"/>
      <c r="Z1992" s="82"/>
      <c r="AA1992" s="82"/>
      <c r="AB1992" s="82"/>
      <c r="AC1992" s="82"/>
      <c r="AD1992" s="82"/>
      <c r="AE1992" s="82"/>
      <c r="AF1992" s="82"/>
      <c r="AG1992" s="82"/>
      <c r="AH1992" s="82"/>
      <c r="AI1992" s="82"/>
      <c r="AJ1992" s="82"/>
      <c r="AK1992" s="82"/>
      <c r="AL1992" s="82"/>
      <c r="AM1992" s="82"/>
      <c r="AN1992" s="82">
        <f>IFERROR(__xludf.DUMMYFUNCTION("""COMPUTED_VALUE"""),0.0)</f>
        <v>0</v>
      </c>
      <c r="AO1992" s="82">
        <f>IFERROR(__xludf.DUMMYFUNCTION("""COMPUTED_VALUE"""),0.0)</f>
        <v>0</v>
      </c>
      <c r="AP1992" s="82">
        <f>IFERROR(__xludf.DUMMYFUNCTION("""COMPUTED_VALUE"""),0.0)</f>
        <v>0</v>
      </c>
      <c r="AQ1992" s="82">
        <f>IFERROR(__xludf.DUMMYFUNCTION("""COMPUTED_VALUE"""),0.0)</f>
        <v>0</v>
      </c>
      <c r="AR1992" s="82">
        <f>IFERROR(__xludf.DUMMYFUNCTION("""COMPUTED_VALUE"""),0.0)</f>
        <v>0</v>
      </c>
      <c r="AS1992" s="82"/>
      <c r="AT1992" s="82">
        <f>IFERROR(__xludf.DUMMYFUNCTION("""COMPUTED_VALUE"""),0.0)</f>
        <v>0</v>
      </c>
      <c r="AU1992" s="82"/>
      <c r="AV1992" s="82"/>
      <c r="AW1992" s="82" t="str">
        <f t="shared" si="1"/>
        <v/>
      </c>
      <c r="AX1992" s="83" t="str">
        <f t="array" ref="AX1992">IFERROR(DGET('SBV Import'!A:G,"SBV",{"RSC ID","Tier";B1992,A1992}))</f>
        <v/>
      </c>
      <c r="AY1992" s="82" t="str">
        <f t="shared" si="2"/>
        <v/>
      </c>
      <c r="AZ1992" s="82"/>
      <c r="BA1992" s="84" t="s">
        <v>152</v>
      </c>
      <c r="BB1992" s="84" t="str">
        <f>IFERROR(__xludf.DUMMYFUNCTION("iferror(if(A1992="""",,E1992&gt;=FILTER(Constants!$F$2:$F$10,Constants!$A$2:$A$10=A1992)))"),"")</f>
        <v/>
      </c>
    </row>
    <row r="1993">
      <c r="A1993" s="89"/>
      <c r="B1993" s="87"/>
      <c r="C1993" s="73"/>
      <c r="D1993" s="73"/>
      <c r="E1993" s="82"/>
      <c r="F1993" s="82"/>
      <c r="G1993" s="86"/>
      <c r="H1993" s="86"/>
      <c r="I1993" s="86"/>
      <c r="J1993" s="82"/>
      <c r="K1993" s="82"/>
      <c r="L1993" s="82"/>
      <c r="M1993" s="82"/>
      <c r="N1993" s="82"/>
      <c r="O1993" s="82"/>
      <c r="P1993" s="82"/>
      <c r="Q1993" s="82"/>
      <c r="R1993" s="82"/>
      <c r="S1993" s="82"/>
      <c r="T1993" s="82"/>
      <c r="U1993" s="82"/>
      <c r="V1993" s="82"/>
      <c r="W1993" s="82"/>
      <c r="X1993" s="82"/>
      <c r="Y1993" s="82"/>
      <c r="Z1993" s="82"/>
      <c r="AA1993" s="82"/>
      <c r="AB1993" s="82"/>
      <c r="AC1993" s="82"/>
      <c r="AD1993" s="82"/>
      <c r="AE1993" s="82"/>
      <c r="AF1993" s="82"/>
      <c r="AG1993" s="82"/>
      <c r="AH1993" s="82"/>
      <c r="AI1993" s="82"/>
      <c r="AJ1993" s="82"/>
      <c r="AK1993" s="82"/>
      <c r="AL1993" s="82"/>
      <c r="AM1993" s="82"/>
      <c r="AN1993" s="82">
        <f>IFERROR(__xludf.DUMMYFUNCTION("""COMPUTED_VALUE"""),0.0)</f>
        <v>0</v>
      </c>
      <c r="AO1993" s="82">
        <f>IFERROR(__xludf.DUMMYFUNCTION("""COMPUTED_VALUE"""),0.0)</f>
        <v>0</v>
      </c>
      <c r="AP1993" s="82">
        <f>IFERROR(__xludf.DUMMYFUNCTION("""COMPUTED_VALUE"""),0.0)</f>
        <v>0</v>
      </c>
      <c r="AQ1993" s="82">
        <f>IFERROR(__xludf.DUMMYFUNCTION("""COMPUTED_VALUE"""),0.0)</f>
        <v>0</v>
      </c>
      <c r="AR1993" s="82">
        <f>IFERROR(__xludf.DUMMYFUNCTION("""COMPUTED_VALUE"""),0.0)</f>
        <v>0</v>
      </c>
      <c r="AS1993" s="82"/>
      <c r="AT1993" s="82">
        <f>IFERROR(__xludf.DUMMYFUNCTION("""COMPUTED_VALUE"""),0.0)</f>
        <v>0</v>
      </c>
      <c r="AU1993" s="82"/>
      <c r="AV1993" s="82"/>
      <c r="AW1993" s="82" t="str">
        <f t="shared" si="1"/>
        <v/>
      </c>
      <c r="AX1993" s="83" t="str">
        <f t="array" ref="AX1993">IFERROR(DGET('SBV Import'!A:G,"SBV",{"RSC ID","Tier";B1993,A1993}))</f>
        <v/>
      </c>
      <c r="AY1993" s="82" t="str">
        <f t="shared" si="2"/>
        <v/>
      </c>
      <c r="AZ1993" s="82"/>
      <c r="BA1993" s="84" t="s">
        <v>152</v>
      </c>
      <c r="BB1993" s="84" t="str">
        <f>IFERROR(__xludf.DUMMYFUNCTION("iferror(if(A1993="""",,E1993&gt;=FILTER(Constants!$F$2:$F$10,Constants!$A$2:$A$10=A1993)))"),"")</f>
        <v/>
      </c>
    </row>
    <row r="1994">
      <c r="A1994" s="89"/>
      <c r="B1994" s="87"/>
      <c r="C1994" s="73"/>
      <c r="D1994" s="73"/>
      <c r="E1994" s="82"/>
      <c r="F1994" s="82"/>
      <c r="G1994" s="86"/>
      <c r="H1994" s="86"/>
      <c r="I1994" s="86"/>
      <c r="J1994" s="82"/>
      <c r="K1994" s="82"/>
      <c r="L1994" s="82"/>
      <c r="M1994" s="82"/>
      <c r="N1994" s="82"/>
      <c r="O1994" s="82"/>
      <c r="P1994" s="82"/>
      <c r="Q1994" s="82"/>
      <c r="R1994" s="82"/>
      <c r="S1994" s="82"/>
      <c r="T1994" s="82"/>
      <c r="U1994" s="82"/>
      <c r="V1994" s="82"/>
      <c r="W1994" s="82"/>
      <c r="X1994" s="82"/>
      <c r="Y1994" s="82"/>
      <c r="Z1994" s="82"/>
      <c r="AA1994" s="82"/>
      <c r="AB1994" s="82"/>
      <c r="AC1994" s="82"/>
      <c r="AD1994" s="82"/>
      <c r="AE1994" s="82"/>
      <c r="AF1994" s="82"/>
      <c r="AG1994" s="82"/>
      <c r="AH1994" s="82"/>
      <c r="AI1994" s="82"/>
      <c r="AJ1994" s="82"/>
      <c r="AK1994" s="82"/>
      <c r="AL1994" s="82"/>
      <c r="AM1994" s="82"/>
      <c r="AN1994" s="82">
        <f>IFERROR(__xludf.DUMMYFUNCTION("""COMPUTED_VALUE"""),0.0)</f>
        <v>0</v>
      </c>
      <c r="AO1994" s="82">
        <f>IFERROR(__xludf.DUMMYFUNCTION("""COMPUTED_VALUE"""),0.0)</f>
        <v>0</v>
      </c>
      <c r="AP1994" s="82">
        <f>IFERROR(__xludf.DUMMYFUNCTION("""COMPUTED_VALUE"""),0.0)</f>
        <v>0</v>
      </c>
      <c r="AQ1994" s="82">
        <f>IFERROR(__xludf.DUMMYFUNCTION("""COMPUTED_VALUE"""),0.0)</f>
        <v>0</v>
      </c>
      <c r="AR1994" s="82">
        <f>IFERROR(__xludf.DUMMYFUNCTION("""COMPUTED_VALUE"""),0.0)</f>
        <v>0</v>
      </c>
      <c r="AS1994" s="82"/>
      <c r="AT1994" s="82">
        <f>IFERROR(__xludf.DUMMYFUNCTION("""COMPUTED_VALUE"""),0.0)</f>
        <v>0</v>
      </c>
      <c r="AU1994" s="82"/>
      <c r="AV1994" s="82"/>
      <c r="AW1994" s="82" t="str">
        <f t="shared" si="1"/>
        <v/>
      </c>
      <c r="AX1994" s="83" t="str">
        <f t="array" ref="AX1994">IFERROR(DGET('SBV Import'!A:G,"SBV",{"RSC ID","Tier";B1994,A1994}))</f>
        <v/>
      </c>
      <c r="AY1994" s="82" t="str">
        <f t="shared" si="2"/>
        <v/>
      </c>
      <c r="AZ1994" s="82"/>
      <c r="BA1994" s="84" t="s">
        <v>152</v>
      </c>
      <c r="BB1994" s="84" t="str">
        <f>IFERROR(__xludf.DUMMYFUNCTION("iferror(if(A1994="""",,E1994&gt;=FILTER(Constants!$F$2:$F$10,Constants!$A$2:$A$10=A1994)))"),"")</f>
        <v/>
      </c>
    </row>
    <row r="1995">
      <c r="A1995" s="89"/>
      <c r="B1995" s="87"/>
      <c r="C1995" s="73"/>
      <c r="D1995" s="73"/>
      <c r="E1995" s="82"/>
      <c r="F1995" s="82"/>
      <c r="G1995" s="86"/>
      <c r="H1995" s="86"/>
      <c r="I1995" s="86"/>
      <c r="J1995" s="82"/>
      <c r="K1995" s="82"/>
      <c r="L1995" s="82"/>
      <c r="M1995" s="82"/>
      <c r="N1995" s="82"/>
      <c r="O1995" s="82"/>
      <c r="P1995" s="82"/>
      <c r="Q1995" s="82"/>
      <c r="R1995" s="82"/>
      <c r="S1995" s="82"/>
      <c r="T1995" s="82"/>
      <c r="U1995" s="82"/>
      <c r="V1995" s="82"/>
      <c r="W1995" s="82"/>
      <c r="X1995" s="82"/>
      <c r="Y1995" s="82"/>
      <c r="Z1995" s="82"/>
      <c r="AA1995" s="82"/>
      <c r="AB1995" s="82"/>
      <c r="AC1995" s="82"/>
      <c r="AD1995" s="82"/>
      <c r="AE1995" s="82"/>
      <c r="AF1995" s="82"/>
      <c r="AG1995" s="82"/>
      <c r="AH1995" s="82"/>
      <c r="AI1995" s="82"/>
      <c r="AJ1995" s="82"/>
      <c r="AK1995" s="82"/>
      <c r="AL1995" s="82"/>
      <c r="AM1995" s="82"/>
      <c r="AN1995" s="82">
        <f>IFERROR(__xludf.DUMMYFUNCTION("""COMPUTED_VALUE"""),0.0)</f>
        <v>0</v>
      </c>
      <c r="AO1995" s="82">
        <f>IFERROR(__xludf.DUMMYFUNCTION("""COMPUTED_VALUE"""),0.0)</f>
        <v>0</v>
      </c>
      <c r="AP1995" s="82">
        <f>IFERROR(__xludf.DUMMYFUNCTION("""COMPUTED_VALUE"""),0.0)</f>
        <v>0</v>
      </c>
      <c r="AQ1995" s="82">
        <f>IFERROR(__xludf.DUMMYFUNCTION("""COMPUTED_VALUE"""),0.0)</f>
        <v>0</v>
      </c>
      <c r="AR1995" s="82">
        <f>IFERROR(__xludf.DUMMYFUNCTION("""COMPUTED_VALUE"""),0.0)</f>
        <v>0</v>
      </c>
      <c r="AS1995" s="82"/>
      <c r="AT1995" s="82">
        <f>IFERROR(__xludf.DUMMYFUNCTION("""COMPUTED_VALUE"""),0.0)</f>
        <v>0</v>
      </c>
      <c r="AU1995" s="82"/>
      <c r="AV1995" s="82"/>
      <c r="AW1995" s="82" t="str">
        <f t="shared" si="1"/>
        <v/>
      </c>
      <c r="AX1995" s="83" t="str">
        <f t="array" ref="AX1995">IFERROR(DGET('SBV Import'!A:G,"SBV",{"RSC ID","Tier";B1995,A1995}))</f>
        <v/>
      </c>
      <c r="AY1995" s="82" t="str">
        <f t="shared" si="2"/>
        <v/>
      </c>
      <c r="AZ1995" s="82"/>
      <c r="BA1995" s="84" t="s">
        <v>152</v>
      </c>
      <c r="BB1995" s="84" t="str">
        <f>IFERROR(__xludf.DUMMYFUNCTION("iferror(if(A1995="""",,E1995&gt;=FILTER(Constants!$F$2:$F$10,Constants!$A$2:$A$10=A1995)))"),"")</f>
        <v/>
      </c>
    </row>
    <row r="1996">
      <c r="A1996" s="89"/>
      <c r="B1996" s="87"/>
      <c r="C1996" s="73"/>
      <c r="D1996" s="73"/>
      <c r="E1996" s="82"/>
      <c r="F1996" s="82"/>
      <c r="G1996" s="86"/>
      <c r="H1996" s="86"/>
      <c r="I1996" s="86"/>
      <c r="J1996" s="82"/>
      <c r="K1996" s="82"/>
      <c r="L1996" s="82"/>
      <c r="M1996" s="82"/>
      <c r="N1996" s="82"/>
      <c r="O1996" s="82"/>
      <c r="P1996" s="82"/>
      <c r="Q1996" s="82"/>
      <c r="R1996" s="82"/>
      <c r="S1996" s="82"/>
      <c r="T1996" s="82"/>
      <c r="U1996" s="82"/>
      <c r="V1996" s="82"/>
      <c r="W1996" s="82"/>
      <c r="X1996" s="82"/>
      <c r="Y1996" s="82"/>
      <c r="Z1996" s="82"/>
      <c r="AA1996" s="82"/>
      <c r="AB1996" s="82"/>
      <c r="AC1996" s="82"/>
      <c r="AD1996" s="82"/>
      <c r="AE1996" s="82"/>
      <c r="AF1996" s="82"/>
      <c r="AG1996" s="82"/>
      <c r="AH1996" s="82"/>
      <c r="AI1996" s="82"/>
      <c r="AJ1996" s="82"/>
      <c r="AK1996" s="82"/>
      <c r="AL1996" s="82"/>
      <c r="AM1996" s="82"/>
      <c r="AN1996" s="82">
        <f>IFERROR(__xludf.DUMMYFUNCTION("""COMPUTED_VALUE"""),0.0)</f>
        <v>0</v>
      </c>
      <c r="AO1996" s="82">
        <f>IFERROR(__xludf.DUMMYFUNCTION("""COMPUTED_VALUE"""),0.0)</f>
        <v>0</v>
      </c>
      <c r="AP1996" s="82">
        <f>IFERROR(__xludf.DUMMYFUNCTION("""COMPUTED_VALUE"""),0.0)</f>
        <v>0</v>
      </c>
      <c r="AQ1996" s="82">
        <f>IFERROR(__xludf.DUMMYFUNCTION("""COMPUTED_VALUE"""),0.0)</f>
        <v>0</v>
      </c>
      <c r="AR1996" s="82">
        <f>IFERROR(__xludf.DUMMYFUNCTION("""COMPUTED_VALUE"""),0.0)</f>
        <v>0</v>
      </c>
      <c r="AS1996" s="82"/>
      <c r="AT1996" s="82">
        <f>IFERROR(__xludf.DUMMYFUNCTION("""COMPUTED_VALUE"""),0.0)</f>
        <v>0</v>
      </c>
      <c r="AU1996" s="82"/>
      <c r="AV1996" s="82"/>
      <c r="AW1996" s="82" t="str">
        <f t="shared" si="1"/>
        <v/>
      </c>
      <c r="AX1996" s="83" t="str">
        <f t="array" ref="AX1996">IFERROR(DGET('SBV Import'!A:G,"SBV",{"RSC ID","Tier";B1996,A1996}))</f>
        <v/>
      </c>
      <c r="AY1996" s="82" t="str">
        <f t="shared" si="2"/>
        <v/>
      </c>
      <c r="AZ1996" s="82"/>
      <c r="BA1996" s="84" t="s">
        <v>152</v>
      </c>
      <c r="BB1996" s="84" t="str">
        <f>IFERROR(__xludf.DUMMYFUNCTION("iferror(if(A1996="""",,E1996&gt;=FILTER(Constants!$F$2:$F$10,Constants!$A$2:$A$10=A1996)))"),"")</f>
        <v/>
      </c>
    </row>
    <row r="1997">
      <c r="A1997" s="89"/>
      <c r="B1997" s="87"/>
      <c r="C1997" s="73"/>
      <c r="D1997" s="73"/>
      <c r="E1997" s="82"/>
      <c r="F1997" s="82"/>
      <c r="G1997" s="86"/>
      <c r="H1997" s="86"/>
      <c r="I1997" s="86"/>
      <c r="J1997" s="82"/>
      <c r="K1997" s="82"/>
      <c r="L1997" s="82"/>
      <c r="M1997" s="82"/>
      <c r="N1997" s="82"/>
      <c r="O1997" s="82"/>
      <c r="P1997" s="82"/>
      <c r="Q1997" s="82"/>
      <c r="R1997" s="82"/>
      <c r="S1997" s="82"/>
      <c r="T1997" s="82"/>
      <c r="U1997" s="82"/>
      <c r="V1997" s="82"/>
      <c r="W1997" s="82"/>
      <c r="X1997" s="82"/>
      <c r="Y1997" s="82"/>
      <c r="Z1997" s="82"/>
      <c r="AA1997" s="82"/>
      <c r="AB1997" s="82"/>
      <c r="AC1997" s="82"/>
      <c r="AD1997" s="82"/>
      <c r="AE1997" s="82"/>
      <c r="AF1997" s="82"/>
      <c r="AG1997" s="82"/>
      <c r="AH1997" s="82"/>
      <c r="AI1997" s="82"/>
      <c r="AJ1997" s="82"/>
      <c r="AK1997" s="82"/>
      <c r="AL1997" s="82"/>
      <c r="AM1997" s="82"/>
      <c r="AN1997" s="82">
        <f>IFERROR(__xludf.DUMMYFUNCTION("""COMPUTED_VALUE"""),0.0)</f>
        <v>0</v>
      </c>
      <c r="AO1997" s="82">
        <f>IFERROR(__xludf.DUMMYFUNCTION("""COMPUTED_VALUE"""),0.0)</f>
        <v>0</v>
      </c>
      <c r="AP1997" s="82">
        <f>IFERROR(__xludf.DUMMYFUNCTION("""COMPUTED_VALUE"""),0.0)</f>
        <v>0</v>
      </c>
      <c r="AQ1997" s="82">
        <f>IFERROR(__xludf.DUMMYFUNCTION("""COMPUTED_VALUE"""),0.0)</f>
        <v>0</v>
      </c>
      <c r="AR1997" s="82">
        <f>IFERROR(__xludf.DUMMYFUNCTION("""COMPUTED_VALUE"""),0.0)</f>
        <v>0</v>
      </c>
      <c r="AS1997" s="82"/>
      <c r="AT1997" s="82">
        <f>IFERROR(__xludf.DUMMYFUNCTION("""COMPUTED_VALUE"""),0.0)</f>
        <v>0</v>
      </c>
      <c r="AU1997" s="82"/>
      <c r="AV1997" s="82"/>
      <c r="AW1997" s="82" t="str">
        <f t="shared" si="1"/>
        <v/>
      </c>
      <c r="AX1997" s="83" t="str">
        <f t="array" ref="AX1997">IFERROR(DGET('SBV Import'!A:G,"SBV",{"RSC ID","Tier";B1997,A1997}))</f>
        <v/>
      </c>
      <c r="AY1997" s="82" t="str">
        <f t="shared" si="2"/>
        <v/>
      </c>
      <c r="AZ1997" s="82"/>
      <c r="BA1997" s="84" t="s">
        <v>152</v>
      </c>
      <c r="BB1997" s="84" t="str">
        <f>IFERROR(__xludf.DUMMYFUNCTION("iferror(if(A1997="""",,E1997&gt;=FILTER(Constants!$F$2:$F$10,Constants!$A$2:$A$10=A1997)))"),"")</f>
        <v/>
      </c>
    </row>
    <row r="1998">
      <c r="A1998" s="87"/>
      <c r="B1998" s="87"/>
      <c r="C1998" s="73"/>
      <c r="D1998" s="73"/>
      <c r="E1998" s="82"/>
      <c r="F1998" s="82"/>
      <c r="G1998" s="86"/>
      <c r="H1998" s="86"/>
      <c r="I1998" s="86"/>
      <c r="J1998" s="82"/>
      <c r="K1998" s="82"/>
      <c r="L1998" s="82"/>
      <c r="M1998" s="82"/>
      <c r="N1998" s="82"/>
      <c r="O1998" s="82"/>
      <c r="P1998" s="82"/>
      <c r="Q1998" s="82"/>
      <c r="R1998" s="82"/>
      <c r="S1998" s="82"/>
      <c r="T1998" s="82"/>
      <c r="U1998" s="82"/>
      <c r="V1998" s="82"/>
      <c r="W1998" s="82"/>
      <c r="X1998" s="82"/>
      <c r="Y1998" s="82"/>
      <c r="Z1998" s="82"/>
      <c r="AA1998" s="82"/>
      <c r="AB1998" s="82"/>
      <c r="AC1998" s="82"/>
      <c r="AD1998" s="82"/>
      <c r="AE1998" s="82"/>
      <c r="AF1998" s="82"/>
      <c r="AG1998" s="82"/>
      <c r="AH1998" s="82"/>
      <c r="AI1998" s="82"/>
      <c r="AJ1998" s="82"/>
      <c r="AK1998" s="82"/>
      <c r="AL1998" s="82"/>
      <c r="AM1998" s="82"/>
      <c r="AN1998" s="82">
        <f>IFERROR(__xludf.DUMMYFUNCTION("""COMPUTED_VALUE"""),0.0)</f>
        <v>0</v>
      </c>
      <c r="AO1998" s="82">
        <f>IFERROR(__xludf.DUMMYFUNCTION("""COMPUTED_VALUE"""),0.0)</f>
        <v>0</v>
      </c>
      <c r="AP1998" s="82">
        <f>IFERROR(__xludf.DUMMYFUNCTION("""COMPUTED_VALUE"""),0.0)</f>
        <v>0</v>
      </c>
      <c r="AQ1998" s="82">
        <f>IFERROR(__xludf.DUMMYFUNCTION("""COMPUTED_VALUE"""),0.0)</f>
        <v>0</v>
      </c>
      <c r="AR1998" s="82">
        <f>IFERROR(__xludf.DUMMYFUNCTION("""COMPUTED_VALUE"""),0.0)</f>
        <v>0</v>
      </c>
      <c r="AS1998" s="82"/>
      <c r="AT1998" s="82">
        <f>IFERROR(__xludf.DUMMYFUNCTION("""COMPUTED_VALUE"""),0.0)</f>
        <v>0</v>
      </c>
      <c r="AU1998" s="82"/>
      <c r="AV1998" s="82"/>
      <c r="AW1998" s="82" t="str">
        <f t="shared" si="1"/>
        <v/>
      </c>
      <c r="AX1998" s="83" t="str">
        <f t="array" ref="AX1998">IFERROR(DGET('SBV Import'!A:G,"SBV",{"RSC ID","Tier";B1998,A1998}))</f>
        <v/>
      </c>
      <c r="AY1998" s="82" t="str">
        <f t="shared" si="2"/>
        <v/>
      </c>
      <c r="AZ1998" s="82"/>
      <c r="BA1998" s="84" t="s">
        <v>152</v>
      </c>
      <c r="BB1998" s="84" t="str">
        <f>IFERROR(__xludf.DUMMYFUNCTION("iferror(if(A1998="""",,E1998&gt;=FILTER(Constants!$F$2:$F$10,Constants!$A$2:$A$10=A1998)))"),"")</f>
        <v/>
      </c>
    </row>
    <row r="1999">
      <c r="A1999" s="87"/>
      <c r="B1999" s="87"/>
      <c r="C1999" s="73"/>
      <c r="D1999" s="73"/>
      <c r="E1999" s="82"/>
      <c r="F1999" s="82"/>
      <c r="G1999" s="86"/>
      <c r="H1999" s="86"/>
      <c r="I1999" s="86"/>
      <c r="J1999" s="82"/>
      <c r="K1999" s="82"/>
      <c r="L1999" s="82"/>
      <c r="M1999" s="82"/>
      <c r="N1999" s="82"/>
      <c r="O1999" s="82"/>
      <c r="P1999" s="82"/>
      <c r="Q1999" s="82"/>
      <c r="R1999" s="82"/>
      <c r="S1999" s="82"/>
      <c r="T1999" s="82"/>
      <c r="U1999" s="82"/>
      <c r="V1999" s="82"/>
      <c r="W1999" s="82"/>
      <c r="X1999" s="82"/>
      <c r="Y1999" s="82"/>
      <c r="Z1999" s="82"/>
      <c r="AA1999" s="82"/>
      <c r="AB1999" s="82"/>
      <c r="AC1999" s="82"/>
      <c r="AD1999" s="82"/>
      <c r="AE1999" s="82"/>
      <c r="AF1999" s="82"/>
      <c r="AG1999" s="82"/>
      <c r="AH1999" s="82"/>
      <c r="AI1999" s="82"/>
      <c r="AJ1999" s="82"/>
      <c r="AK1999" s="82"/>
      <c r="AL1999" s="82"/>
      <c r="AM1999" s="82"/>
      <c r="AN1999" s="82"/>
      <c r="AO1999" s="82"/>
      <c r="AP1999" s="82"/>
      <c r="AQ1999" s="82"/>
      <c r="AR1999" s="82"/>
      <c r="AS1999" s="82"/>
      <c r="AT1999" s="82"/>
      <c r="AU1999" s="82"/>
      <c r="AV1999" s="82"/>
      <c r="AW1999" s="82" t="str">
        <f t="shared" si="1"/>
        <v/>
      </c>
      <c r="AX1999" s="83" t="str">
        <f t="array" ref="AX1999">IFERROR(DGET('SBV Import'!A:G,"SBV",{"RSC ID","Tier";B1999,A1999}))</f>
        <v/>
      </c>
      <c r="AY1999" s="82" t="str">
        <f t="shared" si="2"/>
        <v/>
      </c>
      <c r="AZ1999" s="82"/>
      <c r="BA1999" s="84" t="s">
        <v>152</v>
      </c>
      <c r="BB1999" s="84" t="str">
        <f>IFERROR(__xludf.DUMMYFUNCTION("iferror(if(A1999="""",,E1999&gt;=FILTER(Constants!$F$2:$F$10,Constants!$A$2:$A$10=A1999)))"),"")</f>
        <v/>
      </c>
    </row>
    <row r="2000">
      <c r="A2000" s="87"/>
      <c r="B2000" s="87"/>
      <c r="C2000" s="73"/>
      <c r="D2000" s="73"/>
      <c r="E2000" s="82"/>
      <c r="F2000" s="82"/>
      <c r="G2000" s="86"/>
      <c r="H2000" s="86"/>
      <c r="I2000" s="86"/>
      <c r="J2000" s="82"/>
      <c r="K2000" s="82"/>
      <c r="L2000" s="82"/>
      <c r="M2000" s="82"/>
      <c r="N2000" s="82"/>
      <c r="O2000" s="82"/>
      <c r="P2000" s="82"/>
      <c r="Q2000" s="82"/>
      <c r="R2000" s="82"/>
      <c r="S2000" s="82"/>
      <c r="T2000" s="82"/>
      <c r="U2000" s="82"/>
      <c r="V2000" s="82"/>
      <c r="W2000" s="82"/>
      <c r="X2000" s="82"/>
      <c r="Y2000" s="82"/>
      <c r="Z2000" s="82"/>
      <c r="AA2000" s="82"/>
      <c r="AB2000" s="82"/>
      <c r="AC2000" s="82"/>
      <c r="AD2000" s="82"/>
      <c r="AE2000" s="82"/>
      <c r="AF2000" s="82"/>
      <c r="AG2000" s="82"/>
      <c r="AH2000" s="82"/>
      <c r="AI2000" s="82"/>
      <c r="AJ2000" s="82"/>
      <c r="AK2000" s="82"/>
      <c r="AL2000" s="82"/>
      <c r="AM2000" s="82"/>
      <c r="AN2000" s="82"/>
      <c r="AO2000" s="82"/>
      <c r="AP2000" s="82"/>
      <c r="AQ2000" s="82"/>
      <c r="AR2000" s="82"/>
      <c r="AS2000" s="82"/>
      <c r="AT2000" s="82"/>
      <c r="AU2000" s="82"/>
      <c r="AV2000" s="82"/>
      <c r="AW2000" s="82" t="str">
        <f t="shared" si="1"/>
        <v/>
      </c>
      <c r="AX2000" s="83" t="str">
        <f t="array" ref="AX2000">IFERROR(DGET('SBV Import'!A:G,"SBV",{"RSC ID","Tier";B2000,A2000}))</f>
        <v/>
      </c>
      <c r="AY2000" s="82" t="str">
        <f t="shared" si="2"/>
        <v/>
      </c>
      <c r="AZ2000" s="82"/>
      <c r="BA2000" s="84" t="s">
        <v>152</v>
      </c>
      <c r="BB2000" s="84" t="str">
        <f>IFERROR(__xludf.DUMMYFUNCTION("iferror(if(A2000="""",,E2000&gt;=FILTER(Constants!$F$2:$F$10,Constants!$A$2:$A$10=A2000)))"),"")</f>
        <v/>
      </c>
    </row>
    <row r="2001">
      <c r="A2001" s="87"/>
      <c r="B2001" s="87"/>
      <c r="C2001" s="73"/>
      <c r="D2001" s="73"/>
      <c r="E2001" s="82"/>
      <c r="F2001" s="82"/>
      <c r="G2001" s="86"/>
      <c r="H2001" s="86"/>
      <c r="I2001" s="86"/>
      <c r="J2001" s="82"/>
      <c r="K2001" s="82"/>
      <c r="L2001" s="82"/>
      <c r="M2001" s="82"/>
      <c r="N2001" s="82"/>
      <c r="O2001" s="82"/>
      <c r="P2001" s="82"/>
      <c r="Q2001" s="82"/>
      <c r="R2001" s="82"/>
      <c r="S2001" s="82"/>
      <c r="T2001" s="82"/>
      <c r="U2001" s="82"/>
      <c r="V2001" s="82"/>
      <c r="W2001" s="82"/>
      <c r="X2001" s="82"/>
      <c r="Y2001" s="82"/>
      <c r="Z2001" s="82"/>
      <c r="AA2001" s="82"/>
      <c r="AB2001" s="82"/>
      <c r="AC2001" s="82"/>
      <c r="AD2001" s="82"/>
      <c r="AE2001" s="82"/>
      <c r="AF2001" s="82"/>
      <c r="AG2001" s="82"/>
      <c r="AH2001" s="82"/>
      <c r="AI2001" s="82"/>
      <c r="AJ2001" s="82"/>
      <c r="AK2001" s="82"/>
      <c r="AL2001" s="82"/>
      <c r="AM2001" s="82"/>
      <c r="AN2001" s="82"/>
      <c r="AO2001" s="82"/>
      <c r="AP2001" s="82"/>
      <c r="AQ2001" s="82"/>
      <c r="AR2001" s="82"/>
      <c r="AS2001" s="82"/>
      <c r="AT2001" s="82"/>
      <c r="AU2001" s="82"/>
      <c r="AV2001" s="82"/>
      <c r="AW2001" s="82" t="str">
        <f t="shared" si="1"/>
        <v/>
      </c>
      <c r="AX2001" s="83" t="str">
        <f t="array" ref="AX2001">IFERROR(DGET('SBV Import'!A:G,"SBV",{"RSC ID","Tier";B2001,A2001}))</f>
        <v/>
      </c>
      <c r="AY2001" s="82" t="str">
        <f t="shared" si="2"/>
        <v/>
      </c>
      <c r="AZ2001" s="82"/>
      <c r="BA2001" s="84" t="s">
        <v>152</v>
      </c>
      <c r="BB2001" s="84" t="str">
        <f>IFERROR(__xludf.DUMMYFUNCTION("iferror(if(A2001="""",,E2001&gt;=FILTER(Constants!$F$2:$F$10,Constants!$A$2:$A$10=A2001)))"),"")</f>
        <v/>
      </c>
    </row>
    <row r="2002">
      <c r="A2002" s="87"/>
      <c r="B2002" s="87"/>
      <c r="C2002" s="73"/>
      <c r="D2002" s="73"/>
      <c r="E2002" s="82"/>
      <c r="F2002" s="82"/>
      <c r="G2002" s="86"/>
      <c r="H2002" s="86"/>
      <c r="I2002" s="86"/>
      <c r="J2002" s="82"/>
      <c r="K2002" s="82"/>
      <c r="L2002" s="82"/>
      <c r="M2002" s="82"/>
      <c r="N2002" s="82"/>
      <c r="O2002" s="82"/>
      <c r="P2002" s="82"/>
      <c r="Q2002" s="82"/>
      <c r="R2002" s="82"/>
      <c r="S2002" s="82"/>
      <c r="T2002" s="82"/>
      <c r="U2002" s="82"/>
      <c r="V2002" s="82"/>
      <c r="W2002" s="82"/>
      <c r="X2002" s="82"/>
      <c r="Y2002" s="82"/>
      <c r="Z2002" s="82"/>
      <c r="AA2002" s="82"/>
      <c r="AB2002" s="82"/>
      <c r="AC2002" s="82"/>
      <c r="AD2002" s="82"/>
      <c r="AE2002" s="82"/>
      <c r="AF2002" s="82"/>
      <c r="AG2002" s="82"/>
      <c r="AH2002" s="82"/>
      <c r="AI2002" s="82"/>
      <c r="AJ2002" s="82"/>
      <c r="AK2002" s="82"/>
      <c r="AL2002" s="82"/>
      <c r="AM2002" s="82"/>
      <c r="AN2002" s="82"/>
      <c r="AO2002" s="82"/>
      <c r="AP2002" s="82"/>
      <c r="AQ2002" s="82"/>
      <c r="AR2002" s="82"/>
      <c r="AS2002" s="82"/>
      <c r="AT2002" s="82"/>
      <c r="AU2002" s="82"/>
      <c r="AV2002" s="82"/>
      <c r="AW2002" s="82" t="str">
        <f t="shared" si="1"/>
        <v/>
      </c>
      <c r="AX2002" s="83" t="str">
        <f t="array" ref="AX2002">IFERROR(DGET('SBV Import'!A:G,"SBV",{"RSC ID","Tier";B2002,A2002}))</f>
        <v/>
      </c>
      <c r="AY2002" s="82" t="str">
        <f t="shared" si="2"/>
        <v/>
      </c>
      <c r="AZ2002" s="82"/>
      <c r="BA2002" s="84" t="s">
        <v>152</v>
      </c>
      <c r="BB2002" s="84" t="str">
        <f>IFERROR(__xludf.DUMMYFUNCTION("iferror(if(A2002="""",,E2002&gt;=FILTER(Constants!$F$2:$F$10,Constants!$A$2:$A$10=A2002)))"),"")</f>
        <v/>
      </c>
    </row>
    <row r="2003">
      <c r="A2003" s="87"/>
      <c r="B2003" s="87"/>
      <c r="C2003" s="73"/>
      <c r="D2003" s="73"/>
      <c r="E2003" s="82"/>
      <c r="F2003" s="82"/>
      <c r="G2003" s="86"/>
      <c r="H2003" s="86"/>
      <c r="I2003" s="86"/>
      <c r="J2003" s="82"/>
      <c r="K2003" s="82"/>
      <c r="L2003" s="82"/>
      <c r="M2003" s="82"/>
      <c r="N2003" s="82"/>
      <c r="O2003" s="82"/>
      <c r="P2003" s="82"/>
      <c r="Q2003" s="82"/>
      <c r="R2003" s="82"/>
      <c r="S2003" s="82"/>
      <c r="T2003" s="82"/>
      <c r="U2003" s="82"/>
      <c r="V2003" s="82"/>
      <c r="W2003" s="82"/>
      <c r="X2003" s="82"/>
      <c r="Y2003" s="82"/>
      <c r="Z2003" s="82"/>
      <c r="AA2003" s="82"/>
      <c r="AB2003" s="82"/>
      <c r="AC2003" s="82"/>
      <c r="AD2003" s="82"/>
      <c r="AE2003" s="82"/>
      <c r="AF2003" s="82"/>
      <c r="AG2003" s="82"/>
      <c r="AH2003" s="82"/>
      <c r="AI2003" s="82"/>
      <c r="AJ2003" s="82"/>
      <c r="AK2003" s="82"/>
      <c r="AL2003" s="82"/>
      <c r="AM2003" s="82"/>
      <c r="AN2003" s="82"/>
      <c r="AO2003" s="82"/>
      <c r="AP2003" s="82"/>
      <c r="AQ2003" s="82"/>
      <c r="AR2003" s="82"/>
      <c r="AS2003" s="82"/>
      <c r="AT2003" s="82"/>
      <c r="AU2003" s="82"/>
      <c r="AV2003" s="82"/>
      <c r="AW2003" s="82" t="str">
        <f t="shared" si="1"/>
        <v/>
      </c>
      <c r="AX2003" s="83" t="str">
        <f t="array" ref="AX2003">IFERROR(DGET('SBV Import'!A:G,"SBV",{"RSC ID","Tier";B2003,A2003}))</f>
        <v/>
      </c>
      <c r="AY2003" s="82" t="str">
        <f t="shared" si="2"/>
        <v/>
      </c>
      <c r="AZ2003" s="82"/>
      <c r="BA2003" s="84" t="s">
        <v>152</v>
      </c>
      <c r="BB2003" s="84" t="str">
        <f>IFERROR(__xludf.DUMMYFUNCTION("iferror(if(A2003="""",,E2003&gt;=FILTER(Constants!$F$2:$F$10,Constants!$A$2:$A$10=A2003)))"),"")</f>
        <v/>
      </c>
    </row>
    <row r="2004">
      <c r="A2004" s="87"/>
      <c r="B2004" s="87"/>
      <c r="C2004" s="73"/>
      <c r="D2004" s="73"/>
      <c r="E2004" s="82"/>
      <c r="F2004" s="82"/>
      <c r="G2004" s="86"/>
      <c r="H2004" s="86"/>
      <c r="I2004" s="86"/>
      <c r="J2004" s="82"/>
      <c r="K2004" s="82"/>
      <c r="L2004" s="82"/>
      <c r="M2004" s="82"/>
      <c r="N2004" s="82"/>
      <c r="O2004" s="82"/>
      <c r="P2004" s="82"/>
      <c r="Q2004" s="82"/>
      <c r="R2004" s="82"/>
      <c r="S2004" s="82"/>
      <c r="T2004" s="82"/>
      <c r="U2004" s="82"/>
      <c r="V2004" s="82"/>
      <c r="W2004" s="82"/>
      <c r="X2004" s="82"/>
      <c r="Y2004" s="82"/>
      <c r="Z2004" s="82"/>
      <c r="AA2004" s="82"/>
      <c r="AB2004" s="82"/>
      <c r="AC2004" s="82"/>
      <c r="AD2004" s="82"/>
      <c r="AE2004" s="82"/>
      <c r="AF2004" s="82"/>
      <c r="AG2004" s="82"/>
      <c r="AH2004" s="82"/>
      <c r="AI2004" s="82"/>
      <c r="AJ2004" s="82"/>
      <c r="AK2004" s="82"/>
      <c r="AL2004" s="82"/>
      <c r="AM2004" s="82"/>
      <c r="AN2004" s="82"/>
      <c r="AO2004" s="82"/>
      <c r="AP2004" s="82"/>
      <c r="AQ2004" s="82"/>
      <c r="AR2004" s="82"/>
      <c r="AS2004" s="82"/>
      <c r="AT2004" s="82"/>
      <c r="AU2004" s="82"/>
      <c r="AV2004" s="82"/>
      <c r="AW2004" s="82" t="str">
        <f t="shared" si="1"/>
        <v/>
      </c>
      <c r="AX2004" s="83" t="str">
        <f t="array" ref="AX2004">IFERROR(DGET('SBV Import'!A:G,"SBV",{"RSC ID","Tier";B2004,A2004}))</f>
        <v/>
      </c>
      <c r="AY2004" s="82" t="str">
        <f t="shared" si="2"/>
        <v/>
      </c>
      <c r="AZ2004" s="82"/>
      <c r="BA2004" s="84" t="s">
        <v>152</v>
      </c>
      <c r="BB2004" s="84" t="str">
        <f>IFERROR(__xludf.DUMMYFUNCTION("iferror(if(A2004="""",,E2004&gt;=FILTER(Constants!$F$2:$F$10,Constants!$A$2:$A$10=A2004)))"),"")</f>
        <v/>
      </c>
    </row>
    <row r="2005">
      <c r="A2005" s="87"/>
      <c r="B2005" s="87"/>
      <c r="C2005" s="73"/>
      <c r="D2005" s="73"/>
      <c r="E2005" s="82"/>
      <c r="F2005" s="82"/>
      <c r="G2005" s="86"/>
      <c r="H2005" s="86"/>
      <c r="I2005" s="86"/>
      <c r="J2005" s="82"/>
      <c r="K2005" s="82"/>
      <c r="L2005" s="82"/>
      <c r="M2005" s="82"/>
      <c r="N2005" s="82"/>
      <c r="O2005" s="82"/>
      <c r="P2005" s="82"/>
      <c r="Q2005" s="82"/>
      <c r="R2005" s="82"/>
      <c r="S2005" s="82"/>
      <c r="T2005" s="82"/>
      <c r="U2005" s="82"/>
      <c r="V2005" s="82"/>
      <c r="W2005" s="82"/>
      <c r="X2005" s="82"/>
      <c r="Y2005" s="82"/>
      <c r="Z2005" s="82"/>
      <c r="AA2005" s="82"/>
      <c r="AB2005" s="82"/>
      <c r="AC2005" s="82"/>
      <c r="AD2005" s="82"/>
      <c r="AE2005" s="82"/>
      <c r="AF2005" s="82"/>
      <c r="AG2005" s="82"/>
      <c r="AH2005" s="82"/>
      <c r="AI2005" s="82"/>
      <c r="AJ2005" s="82"/>
      <c r="AK2005" s="82"/>
      <c r="AL2005" s="82"/>
      <c r="AM2005" s="82"/>
      <c r="AN2005" s="82"/>
      <c r="AO2005" s="82"/>
      <c r="AP2005" s="82"/>
      <c r="AQ2005" s="82"/>
      <c r="AR2005" s="82"/>
      <c r="AS2005" s="82"/>
      <c r="AT2005" s="82"/>
      <c r="AU2005" s="82"/>
      <c r="AV2005" s="82"/>
      <c r="AW2005" s="82" t="str">
        <f t="shared" si="1"/>
        <v/>
      </c>
      <c r="AX2005" s="83" t="str">
        <f t="array" ref="AX2005">IFERROR(DGET('SBV Import'!A:G,"SBV",{"RSC ID","Tier";B2005,A2005}))</f>
        <v/>
      </c>
      <c r="AY2005" s="82" t="str">
        <f t="shared" si="2"/>
        <v/>
      </c>
      <c r="AZ2005" s="82"/>
      <c r="BA2005" s="84" t="s">
        <v>152</v>
      </c>
      <c r="BB2005" s="84" t="str">
        <f>IFERROR(__xludf.DUMMYFUNCTION("iferror(if(A2005="""",,E2005&gt;=FILTER(Constants!$F$2:$F$10,Constants!$A$2:$A$10=A2005)))"),"")</f>
        <v/>
      </c>
    </row>
    <row r="2006">
      <c r="A2006" s="87"/>
      <c r="B2006" s="87"/>
      <c r="C2006" s="73"/>
      <c r="D2006" s="73"/>
      <c r="E2006" s="82"/>
      <c r="F2006" s="82"/>
      <c r="G2006" s="86"/>
      <c r="H2006" s="86"/>
      <c r="I2006" s="86"/>
      <c r="J2006" s="82"/>
      <c r="K2006" s="82"/>
      <c r="L2006" s="82"/>
      <c r="M2006" s="82"/>
      <c r="N2006" s="82"/>
      <c r="O2006" s="82"/>
      <c r="P2006" s="82"/>
      <c r="Q2006" s="82"/>
      <c r="R2006" s="82"/>
      <c r="S2006" s="82"/>
      <c r="T2006" s="82"/>
      <c r="U2006" s="82"/>
      <c r="V2006" s="82"/>
      <c r="W2006" s="82"/>
      <c r="X2006" s="82"/>
      <c r="Y2006" s="82"/>
      <c r="Z2006" s="82"/>
      <c r="AA2006" s="82"/>
      <c r="AB2006" s="82"/>
      <c r="AC2006" s="82"/>
      <c r="AD2006" s="82"/>
      <c r="AE2006" s="82"/>
      <c r="AF2006" s="82"/>
      <c r="AG2006" s="82"/>
      <c r="AH2006" s="82"/>
      <c r="AI2006" s="82"/>
      <c r="AJ2006" s="82"/>
      <c r="AK2006" s="82"/>
      <c r="AL2006" s="82"/>
      <c r="AM2006" s="82"/>
      <c r="AN2006" s="82"/>
      <c r="AO2006" s="82"/>
      <c r="AP2006" s="82"/>
      <c r="AQ2006" s="82"/>
      <c r="AR2006" s="82"/>
      <c r="AS2006" s="82"/>
      <c r="AT2006" s="82"/>
      <c r="AU2006" s="82"/>
      <c r="AV2006" s="82"/>
      <c r="AW2006" s="82" t="str">
        <f t="shared" si="1"/>
        <v/>
      </c>
      <c r="AX2006" s="83" t="str">
        <f t="array" ref="AX2006">IFERROR(DGET('SBV Import'!A:G,"SBV",{"RSC ID","Tier";B2006,A2006}))</f>
        <v/>
      </c>
      <c r="AY2006" s="82" t="str">
        <f t="shared" si="2"/>
        <v/>
      </c>
      <c r="AZ2006" s="82"/>
      <c r="BA2006" s="84" t="s">
        <v>152</v>
      </c>
      <c r="BB2006" s="84" t="str">
        <f>IFERROR(__xludf.DUMMYFUNCTION("iferror(if(A2006="""",,E2006&gt;=FILTER(Constants!$F$2:$F$10,Constants!$A$2:$A$10=A2006)))"),"")</f>
        <v/>
      </c>
    </row>
    <row r="2007">
      <c r="A2007" s="87"/>
      <c r="B2007" s="87"/>
      <c r="C2007" s="73"/>
      <c r="D2007" s="73"/>
      <c r="E2007" s="82"/>
      <c r="F2007" s="82"/>
      <c r="G2007" s="86"/>
      <c r="H2007" s="86"/>
      <c r="I2007" s="86"/>
      <c r="J2007" s="82"/>
      <c r="K2007" s="82"/>
      <c r="L2007" s="82"/>
      <c r="M2007" s="82"/>
      <c r="N2007" s="82"/>
      <c r="O2007" s="82"/>
      <c r="P2007" s="82"/>
      <c r="Q2007" s="82"/>
      <c r="R2007" s="82"/>
      <c r="S2007" s="82"/>
      <c r="T2007" s="82"/>
      <c r="U2007" s="82"/>
      <c r="V2007" s="82"/>
      <c r="W2007" s="82"/>
      <c r="X2007" s="82"/>
      <c r="Y2007" s="82"/>
      <c r="Z2007" s="82"/>
      <c r="AA2007" s="82"/>
      <c r="AB2007" s="82"/>
      <c r="AC2007" s="82"/>
      <c r="AD2007" s="82"/>
      <c r="AE2007" s="82"/>
      <c r="AF2007" s="82"/>
      <c r="AG2007" s="82"/>
      <c r="AH2007" s="82"/>
      <c r="AI2007" s="82"/>
      <c r="AJ2007" s="82"/>
      <c r="AK2007" s="82"/>
      <c r="AL2007" s="82"/>
      <c r="AM2007" s="82"/>
      <c r="AN2007" s="82"/>
      <c r="AO2007" s="82"/>
      <c r="AP2007" s="82"/>
      <c r="AQ2007" s="82"/>
      <c r="AR2007" s="82"/>
      <c r="AS2007" s="82"/>
      <c r="AT2007" s="82"/>
      <c r="AU2007" s="82"/>
      <c r="AV2007" s="82"/>
      <c r="AW2007" s="82" t="str">
        <f t="shared" si="1"/>
        <v/>
      </c>
      <c r="AX2007" s="83" t="str">
        <f t="array" ref="AX2007">IFERROR(DGET('SBV Import'!A:G,"SBV",{"RSC ID","Tier";B2007,A2007}))</f>
        <v/>
      </c>
      <c r="AY2007" s="82" t="str">
        <f t="shared" si="2"/>
        <v/>
      </c>
      <c r="AZ2007" s="82"/>
      <c r="BA2007" s="84" t="s">
        <v>152</v>
      </c>
      <c r="BB2007" s="84" t="str">
        <f>IFERROR(__xludf.DUMMYFUNCTION("iferror(if(A2007="""",,E2007&gt;=FILTER(Constants!$F$2:$F$10,Constants!$A$2:$A$10=A2007)))"),"")</f>
        <v/>
      </c>
    </row>
    <row r="2008">
      <c r="A2008" s="87"/>
      <c r="B2008" s="87"/>
      <c r="C2008" s="73"/>
      <c r="D2008" s="73"/>
      <c r="E2008" s="82"/>
      <c r="F2008" s="82"/>
      <c r="G2008" s="86"/>
      <c r="H2008" s="86"/>
      <c r="I2008" s="86"/>
      <c r="J2008" s="82"/>
      <c r="K2008" s="82"/>
      <c r="L2008" s="82"/>
      <c r="M2008" s="82"/>
      <c r="N2008" s="82"/>
      <c r="O2008" s="82"/>
      <c r="P2008" s="82"/>
      <c r="Q2008" s="82"/>
      <c r="R2008" s="82"/>
      <c r="S2008" s="82"/>
      <c r="T2008" s="82"/>
      <c r="U2008" s="82"/>
      <c r="V2008" s="82"/>
      <c r="W2008" s="82"/>
      <c r="X2008" s="82"/>
      <c r="Y2008" s="82"/>
      <c r="Z2008" s="82"/>
      <c r="AA2008" s="82"/>
      <c r="AB2008" s="82"/>
      <c r="AC2008" s="82"/>
      <c r="AD2008" s="82"/>
      <c r="AE2008" s="82"/>
      <c r="AF2008" s="82"/>
      <c r="AG2008" s="82"/>
      <c r="AH2008" s="82"/>
      <c r="AI2008" s="82"/>
      <c r="AJ2008" s="82"/>
      <c r="AK2008" s="82"/>
      <c r="AL2008" s="82"/>
      <c r="AM2008" s="82"/>
      <c r="AN2008" s="82"/>
      <c r="AO2008" s="82"/>
      <c r="AP2008" s="82"/>
      <c r="AQ2008" s="82"/>
      <c r="AR2008" s="82"/>
      <c r="AS2008" s="82"/>
      <c r="AT2008" s="82"/>
      <c r="AU2008" s="82"/>
      <c r="AV2008" s="82"/>
      <c r="AW2008" s="82" t="str">
        <f t="shared" si="1"/>
        <v/>
      </c>
      <c r="AX2008" s="83" t="str">
        <f t="array" ref="AX2008">IFERROR(DGET('SBV Import'!A:G,"SBV",{"RSC ID","Tier";B2008,A2008}))</f>
        <v/>
      </c>
      <c r="AY2008" s="82" t="str">
        <f t="shared" si="2"/>
        <v/>
      </c>
      <c r="AZ2008" s="82"/>
      <c r="BA2008" s="84" t="s">
        <v>152</v>
      </c>
      <c r="BB2008" s="84" t="str">
        <f>IFERROR(__xludf.DUMMYFUNCTION("iferror(if(A2008="""",,E2008&gt;=FILTER(Constants!$F$2:$F$10,Constants!$A$2:$A$10=A2008)))"),"")</f>
        <v/>
      </c>
    </row>
    <row r="2009">
      <c r="A2009" s="87"/>
      <c r="B2009" s="87"/>
      <c r="C2009" s="73"/>
      <c r="D2009" s="73"/>
      <c r="E2009" s="82"/>
      <c r="F2009" s="82"/>
      <c r="G2009" s="86"/>
      <c r="H2009" s="86"/>
      <c r="I2009" s="86"/>
      <c r="J2009" s="82"/>
      <c r="K2009" s="82"/>
      <c r="L2009" s="82"/>
      <c r="M2009" s="82"/>
      <c r="N2009" s="82"/>
      <c r="O2009" s="82"/>
      <c r="P2009" s="82"/>
      <c r="Q2009" s="82"/>
      <c r="R2009" s="82"/>
      <c r="S2009" s="82"/>
      <c r="T2009" s="82"/>
      <c r="U2009" s="82"/>
      <c r="V2009" s="82"/>
      <c r="W2009" s="82"/>
      <c r="X2009" s="82"/>
      <c r="Y2009" s="82"/>
      <c r="Z2009" s="82"/>
      <c r="AA2009" s="82"/>
      <c r="AB2009" s="82"/>
      <c r="AC2009" s="82"/>
      <c r="AD2009" s="82"/>
      <c r="AE2009" s="82"/>
      <c r="AF2009" s="82"/>
      <c r="AG2009" s="82"/>
      <c r="AH2009" s="82"/>
      <c r="AI2009" s="82"/>
      <c r="AJ2009" s="82"/>
      <c r="AK2009" s="82"/>
      <c r="AL2009" s="82"/>
      <c r="AM2009" s="82"/>
      <c r="AN2009" s="82"/>
      <c r="AO2009" s="82"/>
      <c r="AP2009" s="82"/>
      <c r="AQ2009" s="82"/>
      <c r="AR2009" s="82"/>
      <c r="AS2009" s="82"/>
      <c r="AT2009" s="82"/>
      <c r="AU2009" s="82"/>
      <c r="AV2009" s="82"/>
      <c r="AW2009" s="82" t="str">
        <f t="shared" si="1"/>
        <v/>
      </c>
      <c r="AX2009" s="83" t="str">
        <f t="array" ref="AX2009">IFERROR(DGET('SBV Import'!A:G,"SBV",{"RSC ID","Tier";B2009,A2009}))</f>
        <v/>
      </c>
      <c r="AY2009" s="82" t="str">
        <f t="shared" si="2"/>
        <v/>
      </c>
      <c r="AZ2009" s="82"/>
      <c r="BA2009" s="84" t="s">
        <v>152</v>
      </c>
      <c r="BB2009" s="84" t="str">
        <f>IFERROR(__xludf.DUMMYFUNCTION("iferror(if(A2009="""",,E2009&gt;=FILTER(Constants!$F$2:$F$10,Constants!$A$2:$A$10=A2009)))"),"")</f>
        <v/>
      </c>
    </row>
    <row r="2010">
      <c r="A2010" s="87"/>
      <c r="B2010" s="87"/>
      <c r="C2010" s="73"/>
      <c r="D2010" s="73"/>
      <c r="E2010" s="82"/>
      <c r="F2010" s="82"/>
      <c r="G2010" s="86"/>
      <c r="H2010" s="86"/>
      <c r="I2010" s="86"/>
      <c r="J2010" s="82"/>
      <c r="K2010" s="82"/>
      <c r="L2010" s="82"/>
      <c r="M2010" s="82"/>
      <c r="N2010" s="82"/>
      <c r="O2010" s="82"/>
      <c r="P2010" s="82"/>
      <c r="Q2010" s="82"/>
      <c r="R2010" s="82"/>
      <c r="S2010" s="82"/>
      <c r="T2010" s="82"/>
      <c r="U2010" s="82"/>
      <c r="V2010" s="82"/>
      <c r="W2010" s="82"/>
      <c r="X2010" s="82"/>
      <c r="Y2010" s="82"/>
      <c r="Z2010" s="82"/>
      <c r="AA2010" s="82"/>
      <c r="AB2010" s="82"/>
      <c r="AC2010" s="82"/>
      <c r="AD2010" s="82"/>
      <c r="AE2010" s="82"/>
      <c r="AF2010" s="82"/>
      <c r="AG2010" s="82"/>
      <c r="AH2010" s="82"/>
      <c r="AI2010" s="82"/>
      <c r="AJ2010" s="82"/>
      <c r="AK2010" s="82"/>
      <c r="AL2010" s="82"/>
      <c r="AM2010" s="82"/>
      <c r="AN2010" s="82"/>
      <c r="AO2010" s="82"/>
      <c r="AP2010" s="82"/>
      <c r="AQ2010" s="82"/>
      <c r="AR2010" s="82"/>
      <c r="AS2010" s="82"/>
      <c r="AT2010" s="82"/>
      <c r="AU2010" s="82"/>
      <c r="AV2010" s="82"/>
      <c r="AW2010" s="82" t="str">
        <f t="shared" si="1"/>
        <v/>
      </c>
      <c r="AX2010" s="83" t="str">
        <f t="array" ref="AX2010">IFERROR(DGET('SBV Import'!A:G,"SBV",{"RSC ID","Tier";B2010,A2010}))</f>
        <v/>
      </c>
      <c r="AY2010" s="82" t="str">
        <f t="shared" si="2"/>
        <v/>
      </c>
      <c r="AZ2010" s="82"/>
      <c r="BA2010" s="84" t="s">
        <v>152</v>
      </c>
      <c r="BB2010" s="84" t="str">
        <f>IFERROR(__xludf.DUMMYFUNCTION("iferror(if(A2010="""",,E2010&gt;=FILTER(Constants!$F$2:$F$10,Constants!$A$2:$A$10=A2010)))"),"")</f>
        <v/>
      </c>
    </row>
    <row r="2011">
      <c r="A2011" s="87"/>
      <c r="B2011" s="87"/>
      <c r="C2011" s="73"/>
      <c r="D2011" s="73"/>
      <c r="E2011" s="82"/>
      <c r="F2011" s="82"/>
      <c r="G2011" s="86"/>
      <c r="H2011" s="86"/>
      <c r="I2011" s="86"/>
      <c r="J2011" s="82"/>
      <c r="K2011" s="82"/>
      <c r="L2011" s="82"/>
      <c r="M2011" s="82"/>
      <c r="N2011" s="82"/>
      <c r="O2011" s="82"/>
      <c r="P2011" s="82"/>
      <c r="Q2011" s="82"/>
      <c r="R2011" s="82"/>
      <c r="S2011" s="82"/>
      <c r="T2011" s="82"/>
      <c r="U2011" s="82"/>
      <c r="V2011" s="82"/>
      <c r="W2011" s="82"/>
      <c r="X2011" s="82"/>
      <c r="Y2011" s="82"/>
      <c r="Z2011" s="82"/>
      <c r="AA2011" s="82"/>
      <c r="AB2011" s="82"/>
      <c r="AC2011" s="82"/>
      <c r="AD2011" s="82"/>
      <c r="AE2011" s="82"/>
      <c r="AF2011" s="82"/>
      <c r="AG2011" s="82"/>
      <c r="AH2011" s="82"/>
      <c r="AI2011" s="82"/>
      <c r="AJ2011" s="82"/>
      <c r="AK2011" s="82"/>
      <c r="AL2011" s="82"/>
      <c r="AM2011" s="82"/>
      <c r="AN2011" s="82"/>
      <c r="AO2011" s="82"/>
      <c r="AP2011" s="82"/>
      <c r="AQ2011" s="82"/>
      <c r="AR2011" s="82"/>
      <c r="AS2011" s="82"/>
      <c r="AT2011" s="82"/>
      <c r="AU2011" s="82"/>
      <c r="AV2011" s="82"/>
      <c r="AW2011" s="82" t="str">
        <f t="shared" si="1"/>
        <v/>
      </c>
      <c r="AX2011" s="83" t="str">
        <f t="array" ref="AX2011">IFERROR(DGET('SBV Import'!A:G,"SBV",{"RSC ID","Tier";B2011,A2011}))</f>
        <v/>
      </c>
      <c r="AY2011" s="82" t="str">
        <f t="shared" si="2"/>
        <v/>
      </c>
      <c r="AZ2011" s="82"/>
      <c r="BA2011" s="84" t="s">
        <v>152</v>
      </c>
      <c r="BB2011" s="84" t="str">
        <f>IFERROR(__xludf.DUMMYFUNCTION("iferror(if(A2011="""",,E2011&gt;=FILTER(Constants!$F$2:$F$10,Constants!$A$2:$A$10=A2011)))"),"")</f>
        <v/>
      </c>
    </row>
    <row r="2012">
      <c r="A2012" s="87"/>
      <c r="B2012" s="87"/>
      <c r="C2012" s="73"/>
      <c r="D2012" s="73"/>
      <c r="E2012" s="82"/>
      <c r="F2012" s="82"/>
      <c r="G2012" s="86"/>
      <c r="H2012" s="86"/>
      <c r="I2012" s="86"/>
      <c r="J2012" s="82"/>
      <c r="K2012" s="82"/>
      <c r="L2012" s="82"/>
      <c r="M2012" s="82"/>
      <c r="N2012" s="82"/>
      <c r="O2012" s="82"/>
      <c r="P2012" s="82"/>
      <c r="Q2012" s="82"/>
      <c r="R2012" s="82"/>
      <c r="S2012" s="82"/>
      <c r="T2012" s="82"/>
      <c r="U2012" s="82"/>
      <c r="V2012" s="82"/>
      <c r="W2012" s="82"/>
      <c r="X2012" s="82"/>
      <c r="Y2012" s="82"/>
      <c r="Z2012" s="82"/>
      <c r="AA2012" s="82"/>
      <c r="AB2012" s="82"/>
      <c r="AC2012" s="82"/>
      <c r="AD2012" s="82"/>
      <c r="AE2012" s="82"/>
      <c r="AF2012" s="82"/>
      <c r="AG2012" s="82"/>
      <c r="AH2012" s="82"/>
      <c r="AI2012" s="82"/>
      <c r="AJ2012" s="82"/>
      <c r="AK2012" s="82"/>
      <c r="AL2012" s="82"/>
      <c r="AM2012" s="82"/>
      <c r="AN2012" s="82"/>
      <c r="AO2012" s="82"/>
      <c r="AP2012" s="82"/>
      <c r="AQ2012" s="82"/>
      <c r="AR2012" s="82"/>
      <c r="AS2012" s="82"/>
      <c r="AT2012" s="82"/>
      <c r="AU2012" s="82"/>
      <c r="AV2012" s="82"/>
      <c r="AW2012" s="82" t="str">
        <f t="shared" si="1"/>
        <v/>
      </c>
      <c r="AX2012" s="83" t="str">
        <f t="array" ref="AX2012">IFERROR(DGET('SBV Import'!A:G,"SBV",{"RSC ID","Tier";B2012,A2012}))</f>
        <v/>
      </c>
      <c r="AY2012" s="82" t="str">
        <f t="shared" si="2"/>
        <v/>
      </c>
      <c r="AZ2012" s="82"/>
      <c r="BA2012" s="84" t="s">
        <v>152</v>
      </c>
      <c r="BB2012" s="84" t="str">
        <f>IFERROR(__xludf.DUMMYFUNCTION("iferror(if(A2012="""",,E2012&gt;=FILTER(Constants!$F$2:$F$10,Constants!$A$2:$A$10=A2012)))"),"")</f>
        <v/>
      </c>
    </row>
    <row r="2013">
      <c r="A2013" s="87"/>
      <c r="B2013" s="87"/>
      <c r="C2013" s="73"/>
      <c r="D2013" s="73"/>
      <c r="E2013" s="82"/>
      <c r="F2013" s="82"/>
      <c r="G2013" s="86"/>
      <c r="H2013" s="86"/>
      <c r="I2013" s="86"/>
      <c r="J2013" s="82"/>
      <c r="K2013" s="82"/>
      <c r="L2013" s="82"/>
      <c r="M2013" s="82"/>
      <c r="N2013" s="82"/>
      <c r="O2013" s="82"/>
      <c r="P2013" s="82"/>
      <c r="Q2013" s="82"/>
      <c r="R2013" s="82"/>
      <c r="S2013" s="82"/>
      <c r="T2013" s="82"/>
      <c r="U2013" s="82"/>
      <c r="V2013" s="82"/>
      <c r="W2013" s="82"/>
      <c r="X2013" s="82"/>
      <c r="Y2013" s="82"/>
      <c r="Z2013" s="82"/>
      <c r="AA2013" s="82"/>
      <c r="AB2013" s="82"/>
      <c r="AC2013" s="82"/>
      <c r="AD2013" s="82"/>
      <c r="AE2013" s="82"/>
      <c r="AF2013" s="82"/>
      <c r="AG2013" s="82"/>
      <c r="AH2013" s="82"/>
      <c r="AI2013" s="82"/>
      <c r="AJ2013" s="82"/>
      <c r="AK2013" s="82"/>
      <c r="AL2013" s="82"/>
      <c r="AM2013" s="82"/>
      <c r="AN2013" s="82"/>
      <c r="AO2013" s="82"/>
      <c r="AP2013" s="82"/>
      <c r="AQ2013" s="82"/>
      <c r="AR2013" s="82"/>
      <c r="AS2013" s="82"/>
      <c r="AT2013" s="82"/>
      <c r="AU2013" s="82"/>
      <c r="AV2013" s="82"/>
      <c r="AW2013" s="82" t="str">
        <f t="shared" si="1"/>
        <v/>
      </c>
      <c r="AX2013" s="83" t="str">
        <f t="array" ref="AX2013">IFERROR(DGET('SBV Import'!A:G,"SBV",{"RSC ID","Tier";B2013,A2013}))</f>
        <v/>
      </c>
      <c r="AY2013" s="82" t="str">
        <f t="shared" si="2"/>
        <v/>
      </c>
      <c r="AZ2013" s="82"/>
      <c r="BA2013" s="84" t="s">
        <v>152</v>
      </c>
      <c r="BB2013" s="84" t="str">
        <f>IFERROR(__xludf.DUMMYFUNCTION("iferror(if(A2013="""",,E2013&gt;=FILTER(Constants!$F$2:$F$10,Constants!$A$2:$A$10=A2013)))"),"")</f>
        <v/>
      </c>
    </row>
    <row r="2014">
      <c r="A2014" s="87"/>
      <c r="B2014" s="87"/>
      <c r="C2014" s="73"/>
      <c r="D2014" s="73"/>
      <c r="E2014" s="82"/>
      <c r="F2014" s="82"/>
      <c r="G2014" s="86"/>
      <c r="H2014" s="86"/>
      <c r="I2014" s="86"/>
      <c r="J2014" s="82"/>
      <c r="K2014" s="82"/>
      <c r="L2014" s="82"/>
      <c r="M2014" s="82"/>
      <c r="N2014" s="82"/>
      <c r="O2014" s="82"/>
      <c r="P2014" s="82"/>
      <c r="Q2014" s="82"/>
      <c r="R2014" s="82"/>
      <c r="S2014" s="82"/>
      <c r="T2014" s="82"/>
      <c r="U2014" s="82"/>
      <c r="V2014" s="82"/>
      <c r="W2014" s="82"/>
      <c r="X2014" s="82"/>
      <c r="Y2014" s="82"/>
      <c r="Z2014" s="82"/>
      <c r="AA2014" s="82"/>
      <c r="AB2014" s="82"/>
      <c r="AC2014" s="82"/>
      <c r="AD2014" s="82"/>
      <c r="AE2014" s="82"/>
      <c r="AF2014" s="82"/>
      <c r="AG2014" s="82"/>
      <c r="AH2014" s="82"/>
      <c r="AI2014" s="82"/>
      <c r="AJ2014" s="82"/>
      <c r="AK2014" s="82"/>
      <c r="AL2014" s="82"/>
      <c r="AM2014" s="82"/>
      <c r="AN2014" s="82"/>
      <c r="AO2014" s="82"/>
      <c r="AP2014" s="82"/>
      <c r="AQ2014" s="82"/>
      <c r="AR2014" s="82"/>
      <c r="AS2014" s="82"/>
      <c r="AT2014" s="82"/>
      <c r="AU2014" s="82"/>
      <c r="AV2014" s="82"/>
      <c r="AW2014" s="82" t="str">
        <f t="shared" si="1"/>
        <v/>
      </c>
      <c r="AX2014" s="83" t="str">
        <f t="array" ref="AX2014">IFERROR(DGET('SBV Import'!A:G,"SBV",{"RSC ID","Tier";B2014,A2014}))</f>
        <v/>
      </c>
      <c r="AY2014" s="82" t="str">
        <f t="shared" si="2"/>
        <v/>
      </c>
      <c r="AZ2014" s="82"/>
      <c r="BA2014" s="84" t="s">
        <v>152</v>
      </c>
      <c r="BB2014" s="84" t="str">
        <f>IFERROR(__xludf.DUMMYFUNCTION("iferror(if(A2014="""",,E2014&gt;=FILTER(Constants!$F$2:$F$10,Constants!$A$2:$A$10=A2014)))"),"")</f>
        <v/>
      </c>
    </row>
    <row r="2015">
      <c r="A2015" s="87"/>
      <c r="B2015" s="87"/>
      <c r="C2015" s="73"/>
      <c r="D2015" s="73"/>
      <c r="E2015" s="82"/>
      <c r="F2015" s="82"/>
      <c r="G2015" s="86"/>
      <c r="H2015" s="86"/>
      <c r="I2015" s="86"/>
      <c r="J2015" s="82"/>
      <c r="K2015" s="82"/>
      <c r="L2015" s="82"/>
      <c r="M2015" s="82"/>
      <c r="N2015" s="82"/>
      <c r="O2015" s="82"/>
      <c r="P2015" s="82"/>
      <c r="Q2015" s="82"/>
      <c r="R2015" s="82"/>
      <c r="S2015" s="82"/>
      <c r="T2015" s="82"/>
      <c r="U2015" s="82"/>
      <c r="V2015" s="82"/>
      <c r="W2015" s="82"/>
      <c r="X2015" s="82"/>
      <c r="Y2015" s="82"/>
      <c r="Z2015" s="82"/>
      <c r="AA2015" s="82"/>
      <c r="AB2015" s="82"/>
      <c r="AC2015" s="82"/>
      <c r="AD2015" s="82"/>
      <c r="AE2015" s="82"/>
      <c r="AF2015" s="82"/>
      <c r="AG2015" s="82"/>
      <c r="AH2015" s="82"/>
      <c r="AI2015" s="82"/>
      <c r="AJ2015" s="82"/>
      <c r="AK2015" s="82"/>
      <c r="AL2015" s="82"/>
      <c r="AM2015" s="82"/>
      <c r="AN2015" s="82"/>
      <c r="AO2015" s="82"/>
      <c r="AP2015" s="82"/>
      <c r="AQ2015" s="82"/>
      <c r="AR2015" s="82"/>
      <c r="AS2015" s="82"/>
      <c r="AT2015" s="82"/>
      <c r="AU2015" s="82"/>
      <c r="AV2015" s="82"/>
      <c r="AW2015" s="82" t="str">
        <f t="shared" si="1"/>
        <v/>
      </c>
      <c r="AX2015" s="83" t="str">
        <f t="array" ref="AX2015">IFERROR(DGET('SBV Import'!A:G,"SBV",{"RSC ID","Tier";B2015,A2015}))</f>
        <v/>
      </c>
      <c r="AY2015" s="82" t="str">
        <f t="shared" si="2"/>
        <v/>
      </c>
      <c r="AZ2015" s="82"/>
      <c r="BA2015" s="84" t="s">
        <v>152</v>
      </c>
      <c r="BB2015" s="84" t="str">
        <f>IFERROR(__xludf.DUMMYFUNCTION("iferror(if(A2015="""",,E2015&gt;=FILTER(Constants!$F$2:$F$10,Constants!$A$2:$A$10=A2015)))"),"")</f>
        <v/>
      </c>
    </row>
    <row r="2016">
      <c r="A2016" s="87"/>
      <c r="B2016" s="87"/>
      <c r="C2016" s="73"/>
      <c r="D2016" s="73"/>
      <c r="E2016" s="82"/>
      <c r="F2016" s="82"/>
      <c r="G2016" s="86"/>
      <c r="H2016" s="86"/>
      <c r="I2016" s="86"/>
      <c r="J2016" s="82"/>
      <c r="K2016" s="82"/>
      <c r="L2016" s="82"/>
      <c r="M2016" s="82"/>
      <c r="N2016" s="82"/>
      <c r="O2016" s="82"/>
      <c r="P2016" s="82"/>
      <c r="Q2016" s="82"/>
      <c r="R2016" s="82"/>
      <c r="S2016" s="82"/>
      <c r="T2016" s="82"/>
      <c r="U2016" s="82"/>
      <c r="V2016" s="82"/>
      <c r="W2016" s="82"/>
      <c r="X2016" s="82"/>
      <c r="Y2016" s="82"/>
      <c r="Z2016" s="82"/>
      <c r="AA2016" s="82"/>
      <c r="AB2016" s="82"/>
      <c r="AC2016" s="82"/>
      <c r="AD2016" s="82"/>
      <c r="AE2016" s="82"/>
      <c r="AF2016" s="82"/>
      <c r="AG2016" s="82"/>
      <c r="AH2016" s="82"/>
      <c r="AI2016" s="82"/>
      <c r="AJ2016" s="82"/>
      <c r="AK2016" s="82"/>
      <c r="AL2016" s="82"/>
      <c r="AM2016" s="82"/>
      <c r="AN2016" s="82"/>
      <c r="AO2016" s="82"/>
      <c r="AP2016" s="82"/>
      <c r="AQ2016" s="82"/>
      <c r="AR2016" s="82"/>
      <c r="AS2016" s="82"/>
      <c r="AT2016" s="82"/>
      <c r="AU2016" s="82"/>
      <c r="AV2016" s="82"/>
      <c r="AW2016" s="82" t="str">
        <f t="shared" si="1"/>
        <v/>
      </c>
      <c r="AX2016" s="83" t="str">
        <f t="array" ref="AX2016">IFERROR(DGET('SBV Import'!A:G,"SBV",{"RSC ID","Tier";B2016,A2016}))</f>
        <v/>
      </c>
      <c r="AY2016" s="82" t="str">
        <f t="shared" si="2"/>
        <v/>
      </c>
      <c r="AZ2016" s="82"/>
      <c r="BA2016" s="84" t="s">
        <v>152</v>
      </c>
      <c r="BB2016" s="84" t="str">
        <f>IFERROR(__xludf.DUMMYFUNCTION("iferror(if(A2016="""",,E2016&gt;=FILTER(Constants!$F$2:$F$10,Constants!$A$2:$A$10=A2016)))"),"")</f>
        <v/>
      </c>
    </row>
    <row r="2017">
      <c r="A2017" s="87"/>
      <c r="B2017" s="87"/>
      <c r="C2017" s="73"/>
      <c r="D2017" s="73"/>
      <c r="E2017" s="82"/>
      <c r="F2017" s="82"/>
      <c r="G2017" s="86"/>
      <c r="H2017" s="86"/>
      <c r="I2017" s="86"/>
      <c r="J2017" s="82"/>
      <c r="K2017" s="82"/>
      <c r="L2017" s="82"/>
      <c r="M2017" s="82"/>
      <c r="N2017" s="82"/>
      <c r="O2017" s="82"/>
      <c r="P2017" s="82"/>
      <c r="Q2017" s="82"/>
      <c r="R2017" s="82"/>
      <c r="S2017" s="82"/>
      <c r="T2017" s="82"/>
      <c r="U2017" s="82"/>
      <c r="V2017" s="82"/>
      <c r="W2017" s="82"/>
      <c r="X2017" s="82"/>
      <c r="Y2017" s="82"/>
      <c r="Z2017" s="82"/>
      <c r="AA2017" s="82"/>
      <c r="AB2017" s="82"/>
      <c r="AC2017" s="82"/>
      <c r="AD2017" s="82"/>
      <c r="AE2017" s="82"/>
      <c r="AF2017" s="82"/>
      <c r="AG2017" s="82"/>
      <c r="AH2017" s="82"/>
      <c r="AI2017" s="82"/>
      <c r="AJ2017" s="82"/>
      <c r="AK2017" s="82"/>
      <c r="AL2017" s="82"/>
      <c r="AM2017" s="82"/>
      <c r="AN2017" s="82"/>
      <c r="AO2017" s="82"/>
      <c r="AP2017" s="82"/>
      <c r="AQ2017" s="82"/>
      <c r="AR2017" s="82"/>
      <c r="AS2017" s="82"/>
      <c r="AT2017" s="82"/>
      <c r="AU2017" s="82"/>
      <c r="AV2017" s="82"/>
      <c r="AW2017" s="82" t="str">
        <f t="shared" si="1"/>
        <v/>
      </c>
      <c r="AX2017" s="83" t="str">
        <f t="array" ref="AX2017">IFERROR(DGET('SBV Import'!A:G,"SBV",{"RSC ID","Tier";B2017,A2017}))</f>
        <v/>
      </c>
      <c r="AY2017" s="82" t="str">
        <f t="shared" si="2"/>
        <v/>
      </c>
      <c r="AZ2017" s="82"/>
      <c r="BA2017" s="84" t="s">
        <v>152</v>
      </c>
      <c r="BB2017" s="84" t="str">
        <f>IFERROR(__xludf.DUMMYFUNCTION("iferror(if(A2017="""",,E2017&gt;=FILTER(Constants!$F$2:$F$10,Constants!$A$2:$A$10=A2017)))"),"")</f>
        <v/>
      </c>
    </row>
    <row r="2018">
      <c r="A2018" s="87"/>
      <c r="B2018" s="87"/>
      <c r="C2018" s="73"/>
      <c r="D2018" s="73"/>
      <c r="E2018" s="82"/>
      <c r="F2018" s="82"/>
      <c r="G2018" s="86"/>
      <c r="H2018" s="86"/>
      <c r="I2018" s="86"/>
      <c r="J2018" s="82"/>
      <c r="K2018" s="82"/>
      <c r="L2018" s="82"/>
      <c r="M2018" s="82"/>
      <c r="N2018" s="82"/>
      <c r="O2018" s="82"/>
      <c r="P2018" s="82"/>
      <c r="Q2018" s="82"/>
      <c r="R2018" s="82"/>
      <c r="S2018" s="82"/>
      <c r="T2018" s="82"/>
      <c r="U2018" s="82"/>
      <c r="V2018" s="82"/>
      <c r="W2018" s="82"/>
      <c r="X2018" s="82"/>
      <c r="Y2018" s="82"/>
      <c r="Z2018" s="82"/>
      <c r="AA2018" s="82"/>
      <c r="AB2018" s="82"/>
      <c r="AC2018" s="82"/>
      <c r="AD2018" s="82"/>
      <c r="AE2018" s="82"/>
      <c r="AF2018" s="82"/>
      <c r="AG2018" s="82"/>
      <c r="AH2018" s="82"/>
      <c r="AI2018" s="82"/>
      <c r="AJ2018" s="82"/>
      <c r="AK2018" s="82"/>
      <c r="AL2018" s="82"/>
      <c r="AM2018" s="82"/>
      <c r="AN2018" s="82"/>
      <c r="AO2018" s="82"/>
      <c r="AP2018" s="82"/>
      <c r="AQ2018" s="82"/>
      <c r="AR2018" s="82"/>
      <c r="AS2018" s="82"/>
      <c r="AT2018" s="82"/>
      <c r="AU2018" s="82"/>
      <c r="AV2018" s="82"/>
      <c r="AW2018" s="82" t="str">
        <f t="shared" si="1"/>
        <v/>
      </c>
      <c r="AX2018" s="83" t="str">
        <f t="array" ref="AX2018">IFERROR(DGET('SBV Import'!A:G,"SBV",{"RSC ID","Tier";B2018,A2018}))</f>
        <v/>
      </c>
      <c r="AY2018" s="82" t="str">
        <f t="shared" si="2"/>
        <v/>
      </c>
      <c r="AZ2018" s="82"/>
      <c r="BA2018" s="84" t="s">
        <v>152</v>
      </c>
      <c r="BB2018" s="84" t="str">
        <f>IFERROR(__xludf.DUMMYFUNCTION("iferror(if(A2018="""",,E2018&gt;=FILTER(Constants!$F$2:$F$10,Constants!$A$2:$A$10=A2018)))"),"")</f>
        <v/>
      </c>
    </row>
    <row r="2019">
      <c r="A2019" s="87"/>
      <c r="B2019" s="87"/>
      <c r="C2019" s="73"/>
      <c r="D2019" s="73"/>
      <c r="E2019" s="82"/>
      <c r="F2019" s="82"/>
      <c r="G2019" s="86"/>
      <c r="H2019" s="86"/>
      <c r="I2019" s="86"/>
      <c r="J2019" s="82"/>
      <c r="K2019" s="82"/>
      <c r="L2019" s="82"/>
      <c r="M2019" s="82"/>
      <c r="N2019" s="82"/>
      <c r="O2019" s="82"/>
      <c r="P2019" s="82"/>
      <c r="Q2019" s="82"/>
      <c r="R2019" s="82"/>
      <c r="S2019" s="82"/>
      <c r="T2019" s="82"/>
      <c r="U2019" s="82"/>
      <c r="V2019" s="82"/>
      <c r="W2019" s="82"/>
      <c r="X2019" s="82"/>
      <c r="Y2019" s="82"/>
      <c r="Z2019" s="82"/>
      <c r="AA2019" s="82"/>
      <c r="AB2019" s="82"/>
      <c r="AC2019" s="82"/>
      <c r="AD2019" s="82"/>
      <c r="AE2019" s="82"/>
      <c r="AF2019" s="82"/>
      <c r="AG2019" s="82"/>
      <c r="AH2019" s="82"/>
      <c r="AI2019" s="82"/>
      <c r="AJ2019" s="82"/>
      <c r="AK2019" s="82"/>
      <c r="AL2019" s="82"/>
      <c r="AM2019" s="82"/>
      <c r="AN2019" s="82"/>
      <c r="AO2019" s="82"/>
      <c r="AP2019" s="82"/>
      <c r="AQ2019" s="82"/>
      <c r="AR2019" s="82"/>
      <c r="AS2019" s="82"/>
      <c r="AT2019" s="82"/>
      <c r="AU2019" s="82"/>
      <c r="AV2019" s="82"/>
      <c r="AW2019" s="82" t="str">
        <f t="shared" si="1"/>
        <v/>
      </c>
      <c r="AX2019" s="83" t="str">
        <f t="array" ref="AX2019">IFERROR(DGET('SBV Import'!A:G,"SBV",{"RSC ID","Tier";B2019,A2019}))</f>
        <v/>
      </c>
      <c r="AY2019" s="82" t="str">
        <f t="shared" si="2"/>
        <v/>
      </c>
      <c r="AZ2019" s="82"/>
      <c r="BA2019" s="84" t="s">
        <v>152</v>
      </c>
      <c r="BB2019" s="84" t="str">
        <f>IFERROR(__xludf.DUMMYFUNCTION("iferror(if(A2019="""",,E2019&gt;=FILTER(Constants!$F$2:$F$10,Constants!$A$2:$A$10=A2019)))"),"")</f>
        <v/>
      </c>
    </row>
    <row r="2020">
      <c r="A2020" s="87"/>
      <c r="B2020" s="87"/>
      <c r="C2020" s="73"/>
      <c r="D2020" s="73"/>
      <c r="E2020" s="82"/>
      <c r="F2020" s="82"/>
      <c r="G2020" s="86"/>
      <c r="H2020" s="86"/>
      <c r="I2020" s="86"/>
      <c r="J2020" s="82"/>
      <c r="K2020" s="82"/>
      <c r="L2020" s="82"/>
      <c r="M2020" s="82"/>
      <c r="N2020" s="82"/>
      <c r="O2020" s="82"/>
      <c r="P2020" s="82"/>
      <c r="Q2020" s="82"/>
      <c r="R2020" s="82"/>
      <c r="S2020" s="82"/>
      <c r="T2020" s="82"/>
      <c r="U2020" s="82"/>
      <c r="V2020" s="82"/>
      <c r="W2020" s="82"/>
      <c r="X2020" s="82"/>
      <c r="Y2020" s="82"/>
      <c r="Z2020" s="82"/>
      <c r="AA2020" s="82"/>
      <c r="AB2020" s="82"/>
      <c r="AC2020" s="82"/>
      <c r="AD2020" s="82"/>
      <c r="AE2020" s="82"/>
      <c r="AF2020" s="82"/>
      <c r="AG2020" s="82"/>
      <c r="AH2020" s="82"/>
      <c r="AI2020" s="82"/>
      <c r="AJ2020" s="82"/>
      <c r="AK2020" s="82"/>
      <c r="AL2020" s="82"/>
      <c r="AM2020" s="82"/>
      <c r="AN2020" s="82"/>
      <c r="AO2020" s="82"/>
      <c r="AP2020" s="82"/>
      <c r="AQ2020" s="82"/>
      <c r="AR2020" s="82"/>
      <c r="AS2020" s="82"/>
      <c r="AT2020" s="82"/>
      <c r="AU2020" s="82"/>
      <c r="AV2020" s="82"/>
      <c r="AW2020" s="82" t="str">
        <f t="shared" si="1"/>
        <v/>
      </c>
      <c r="AX2020" s="83" t="str">
        <f t="array" ref="AX2020">IFERROR(DGET('SBV Import'!A:G,"SBV",{"RSC ID","Tier";B2020,A2020}))</f>
        <v/>
      </c>
      <c r="AY2020" s="82" t="str">
        <f t="shared" si="2"/>
        <v/>
      </c>
      <c r="AZ2020" s="82"/>
      <c r="BA2020" s="84" t="s">
        <v>152</v>
      </c>
      <c r="BB2020" s="84" t="str">
        <f>IFERROR(__xludf.DUMMYFUNCTION("iferror(if(A2020="""",,E2020&gt;=FILTER(Constants!$F$2:$F$10,Constants!$A$2:$A$10=A2020)))"),"")</f>
        <v/>
      </c>
    </row>
    <row r="2021">
      <c r="A2021" s="87"/>
      <c r="B2021" s="87"/>
      <c r="C2021" s="73"/>
      <c r="D2021" s="73"/>
      <c r="E2021" s="82"/>
      <c r="F2021" s="82"/>
      <c r="G2021" s="86"/>
      <c r="H2021" s="86"/>
      <c r="I2021" s="86"/>
      <c r="J2021" s="82"/>
      <c r="K2021" s="82"/>
      <c r="L2021" s="82"/>
      <c r="M2021" s="82"/>
      <c r="N2021" s="82"/>
      <c r="O2021" s="82"/>
      <c r="P2021" s="82"/>
      <c r="Q2021" s="82"/>
      <c r="R2021" s="82"/>
      <c r="S2021" s="82"/>
      <c r="T2021" s="82"/>
      <c r="U2021" s="82"/>
      <c r="V2021" s="82"/>
      <c r="W2021" s="82"/>
      <c r="X2021" s="82"/>
      <c r="Y2021" s="82"/>
      <c r="Z2021" s="82"/>
      <c r="AA2021" s="82"/>
      <c r="AB2021" s="82"/>
      <c r="AC2021" s="82"/>
      <c r="AD2021" s="82"/>
      <c r="AE2021" s="82"/>
      <c r="AF2021" s="82"/>
      <c r="AG2021" s="82"/>
      <c r="AH2021" s="82"/>
      <c r="AI2021" s="82"/>
      <c r="AJ2021" s="82"/>
      <c r="AK2021" s="82"/>
      <c r="AL2021" s="82"/>
      <c r="AM2021" s="82"/>
      <c r="AN2021" s="82"/>
      <c r="AO2021" s="82"/>
      <c r="AP2021" s="82"/>
      <c r="AQ2021" s="82"/>
      <c r="AR2021" s="82"/>
      <c r="AS2021" s="82"/>
      <c r="AT2021" s="82"/>
      <c r="AU2021" s="82"/>
      <c r="AV2021" s="82"/>
      <c r="AW2021" s="82" t="str">
        <f t="shared" si="1"/>
        <v/>
      </c>
      <c r="AX2021" s="83" t="str">
        <f t="array" ref="AX2021">IFERROR(DGET('SBV Import'!A:G,"SBV",{"RSC ID","Tier";B2021,A2021}))</f>
        <v/>
      </c>
      <c r="AY2021" s="82" t="str">
        <f t="shared" si="2"/>
        <v/>
      </c>
      <c r="AZ2021" s="82"/>
      <c r="BA2021" s="84" t="s">
        <v>152</v>
      </c>
      <c r="BB2021" s="84" t="str">
        <f>IFERROR(__xludf.DUMMYFUNCTION("iferror(if(A2021="""",,E2021&gt;=FILTER(Constants!$F$2:$F$10,Constants!$A$2:$A$10=A2021)))"),"")</f>
        <v/>
      </c>
    </row>
    <row r="2022">
      <c r="A2022" s="87"/>
      <c r="B2022" s="87"/>
      <c r="C2022" s="73"/>
      <c r="D2022" s="73"/>
      <c r="E2022" s="82"/>
      <c r="F2022" s="82"/>
      <c r="G2022" s="86"/>
      <c r="H2022" s="86"/>
      <c r="I2022" s="86"/>
      <c r="J2022" s="82"/>
      <c r="K2022" s="82"/>
      <c r="L2022" s="82"/>
      <c r="M2022" s="82"/>
      <c r="N2022" s="82"/>
      <c r="O2022" s="82"/>
      <c r="P2022" s="82"/>
      <c r="Q2022" s="82"/>
      <c r="R2022" s="82"/>
      <c r="S2022" s="82"/>
      <c r="T2022" s="82"/>
      <c r="U2022" s="82"/>
      <c r="V2022" s="82"/>
      <c r="W2022" s="82"/>
      <c r="X2022" s="82"/>
      <c r="Y2022" s="82"/>
      <c r="Z2022" s="82"/>
      <c r="AA2022" s="82"/>
      <c r="AB2022" s="82"/>
      <c r="AC2022" s="82"/>
      <c r="AD2022" s="82"/>
      <c r="AE2022" s="82"/>
      <c r="AF2022" s="82"/>
      <c r="AG2022" s="82"/>
      <c r="AH2022" s="82"/>
      <c r="AI2022" s="82"/>
      <c r="AJ2022" s="82"/>
      <c r="AK2022" s="82"/>
      <c r="AL2022" s="82"/>
      <c r="AM2022" s="82"/>
      <c r="AN2022" s="82"/>
      <c r="AO2022" s="82"/>
      <c r="AP2022" s="82"/>
      <c r="AQ2022" s="82"/>
      <c r="AR2022" s="82"/>
      <c r="AS2022" s="82"/>
      <c r="AT2022" s="82"/>
      <c r="AU2022" s="82"/>
      <c r="AV2022" s="82"/>
      <c r="AW2022" s="82" t="str">
        <f t="shared" si="1"/>
        <v/>
      </c>
      <c r="AX2022" s="83" t="str">
        <f t="array" ref="AX2022">IFERROR(DGET('SBV Import'!A:G,"SBV",{"RSC ID","Tier";B2022,A2022}))</f>
        <v/>
      </c>
      <c r="AY2022" s="82" t="str">
        <f t="shared" si="2"/>
        <v/>
      </c>
      <c r="AZ2022" s="82"/>
      <c r="BA2022" s="84" t="s">
        <v>152</v>
      </c>
      <c r="BB2022" s="84" t="str">
        <f>IFERROR(__xludf.DUMMYFUNCTION("iferror(if(A2022="""",,E2022&gt;=FILTER(Constants!$F$2:$F$10,Constants!$A$2:$A$10=A2022)))"),"")</f>
        <v/>
      </c>
    </row>
    <row r="2023">
      <c r="A2023" s="87"/>
      <c r="B2023" s="87"/>
      <c r="C2023" s="73"/>
      <c r="D2023" s="73"/>
      <c r="E2023" s="82"/>
      <c r="F2023" s="82"/>
      <c r="G2023" s="86"/>
      <c r="H2023" s="86"/>
      <c r="I2023" s="86"/>
      <c r="J2023" s="82"/>
      <c r="K2023" s="82"/>
      <c r="L2023" s="82"/>
      <c r="M2023" s="82"/>
      <c r="N2023" s="82"/>
      <c r="O2023" s="82"/>
      <c r="P2023" s="82"/>
      <c r="Q2023" s="82"/>
      <c r="R2023" s="82"/>
      <c r="S2023" s="82"/>
      <c r="T2023" s="82"/>
      <c r="U2023" s="82"/>
      <c r="V2023" s="82"/>
      <c r="W2023" s="82"/>
      <c r="X2023" s="82"/>
      <c r="Y2023" s="82"/>
      <c r="Z2023" s="82"/>
      <c r="AA2023" s="82"/>
      <c r="AB2023" s="82"/>
      <c r="AC2023" s="82"/>
      <c r="AD2023" s="82"/>
      <c r="AE2023" s="82"/>
      <c r="AF2023" s="82"/>
      <c r="AG2023" s="82"/>
      <c r="AH2023" s="82"/>
      <c r="AI2023" s="82"/>
      <c r="AJ2023" s="82"/>
      <c r="AK2023" s="82"/>
      <c r="AL2023" s="82"/>
      <c r="AM2023" s="82"/>
      <c r="AN2023" s="82"/>
      <c r="AO2023" s="82"/>
      <c r="AP2023" s="82"/>
      <c r="AQ2023" s="82"/>
      <c r="AR2023" s="82"/>
      <c r="AS2023" s="82"/>
      <c r="AT2023" s="82"/>
      <c r="AU2023" s="82"/>
      <c r="AV2023" s="82"/>
      <c r="AW2023" s="82" t="str">
        <f t="shared" si="1"/>
        <v/>
      </c>
      <c r="AX2023" s="83" t="str">
        <f t="array" ref="AX2023">IFERROR(DGET('SBV Import'!A:G,"SBV",{"RSC ID","Tier";B2023,A2023}))</f>
        <v/>
      </c>
      <c r="AY2023" s="82" t="str">
        <f t="shared" si="2"/>
        <v/>
      </c>
      <c r="AZ2023" s="82"/>
      <c r="BA2023" s="84" t="s">
        <v>152</v>
      </c>
      <c r="BB2023" s="84" t="str">
        <f>IFERROR(__xludf.DUMMYFUNCTION("iferror(if(A2023="""",,E2023&gt;=FILTER(Constants!$F$2:$F$10,Constants!$A$2:$A$10=A2023)))"),"")</f>
        <v/>
      </c>
    </row>
    <row r="2024">
      <c r="A2024" s="87"/>
      <c r="B2024" s="87"/>
      <c r="C2024" s="73"/>
      <c r="D2024" s="73"/>
      <c r="E2024" s="82"/>
      <c r="F2024" s="82"/>
      <c r="G2024" s="86"/>
      <c r="H2024" s="86"/>
      <c r="I2024" s="86"/>
      <c r="J2024" s="82"/>
      <c r="K2024" s="82"/>
      <c r="L2024" s="82"/>
      <c r="M2024" s="82"/>
      <c r="N2024" s="82"/>
      <c r="O2024" s="82"/>
      <c r="P2024" s="82"/>
      <c r="Q2024" s="82"/>
      <c r="R2024" s="82"/>
      <c r="S2024" s="82"/>
      <c r="T2024" s="82"/>
      <c r="U2024" s="82"/>
      <c r="V2024" s="82"/>
      <c r="W2024" s="82"/>
      <c r="X2024" s="82"/>
      <c r="Y2024" s="82"/>
      <c r="Z2024" s="82"/>
      <c r="AA2024" s="82"/>
      <c r="AB2024" s="82"/>
      <c r="AC2024" s="82"/>
      <c r="AD2024" s="82"/>
      <c r="AE2024" s="82"/>
      <c r="AF2024" s="82"/>
      <c r="AG2024" s="82"/>
      <c r="AH2024" s="82"/>
      <c r="AI2024" s="82"/>
      <c r="AJ2024" s="82"/>
      <c r="AK2024" s="82"/>
      <c r="AL2024" s="82"/>
      <c r="AM2024" s="82"/>
      <c r="AN2024" s="82"/>
      <c r="AO2024" s="82"/>
      <c r="AP2024" s="82"/>
      <c r="AQ2024" s="82"/>
      <c r="AR2024" s="82"/>
      <c r="AS2024" s="82"/>
      <c r="AT2024" s="82"/>
      <c r="AU2024" s="82"/>
      <c r="AV2024" s="82"/>
      <c r="AW2024" s="82" t="str">
        <f t="shared" si="1"/>
        <v/>
      </c>
      <c r="AX2024" s="83" t="str">
        <f t="array" ref="AX2024">IFERROR(DGET('SBV Import'!A:G,"SBV",{"RSC ID","Tier";B2024,A2024}))</f>
        <v/>
      </c>
      <c r="AY2024" s="82" t="str">
        <f t="shared" si="2"/>
        <v/>
      </c>
      <c r="AZ2024" s="82"/>
      <c r="BA2024" s="84" t="s">
        <v>152</v>
      </c>
      <c r="BB2024" s="84" t="str">
        <f>IFERROR(__xludf.DUMMYFUNCTION("iferror(if(A2024="""",,E2024&gt;=FILTER(Constants!$F$2:$F$10,Constants!$A$2:$A$10=A2024)))"),"")</f>
        <v/>
      </c>
    </row>
    <row r="2025">
      <c r="A2025" s="87"/>
      <c r="B2025" s="87"/>
      <c r="C2025" s="73"/>
      <c r="D2025" s="73"/>
      <c r="E2025" s="82"/>
      <c r="F2025" s="82"/>
      <c r="G2025" s="86"/>
      <c r="H2025" s="86"/>
      <c r="I2025" s="86"/>
      <c r="J2025" s="82"/>
      <c r="K2025" s="82"/>
      <c r="L2025" s="82"/>
      <c r="M2025" s="82"/>
      <c r="N2025" s="82"/>
      <c r="O2025" s="82"/>
      <c r="P2025" s="82"/>
      <c r="Q2025" s="82"/>
      <c r="R2025" s="82"/>
      <c r="S2025" s="82"/>
      <c r="T2025" s="82"/>
      <c r="U2025" s="82"/>
      <c r="V2025" s="82"/>
      <c r="W2025" s="82"/>
      <c r="X2025" s="82"/>
      <c r="Y2025" s="82"/>
      <c r="Z2025" s="82"/>
      <c r="AA2025" s="82"/>
      <c r="AB2025" s="82"/>
      <c r="AC2025" s="82"/>
      <c r="AD2025" s="82"/>
      <c r="AE2025" s="82"/>
      <c r="AF2025" s="82"/>
      <c r="AG2025" s="82"/>
      <c r="AH2025" s="82"/>
      <c r="AI2025" s="82"/>
      <c r="AJ2025" s="82"/>
      <c r="AK2025" s="82"/>
      <c r="AL2025" s="82"/>
      <c r="AM2025" s="82"/>
      <c r="AN2025" s="82"/>
      <c r="AO2025" s="82"/>
      <c r="AP2025" s="82"/>
      <c r="AQ2025" s="82"/>
      <c r="AR2025" s="82"/>
      <c r="AS2025" s="82"/>
      <c r="AT2025" s="82"/>
      <c r="AU2025" s="82"/>
      <c r="AV2025" s="82"/>
      <c r="AW2025" s="82" t="str">
        <f t="shared" si="1"/>
        <v/>
      </c>
      <c r="AX2025" s="83" t="str">
        <f t="array" ref="AX2025">IFERROR(DGET('SBV Import'!A:G,"SBV",{"RSC ID","Tier";B2025,A2025}))</f>
        <v/>
      </c>
      <c r="AY2025" s="82" t="str">
        <f t="shared" si="2"/>
        <v/>
      </c>
      <c r="AZ2025" s="82"/>
      <c r="BA2025" s="84" t="s">
        <v>152</v>
      </c>
      <c r="BB2025" s="84" t="str">
        <f>IFERROR(__xludf.DUMMYFUNCTION("iferror(if(A2025="""",,E2025&gt;=FILTER(Constants!$F$2:$F$10,Constants!$A$2:$A$10=A2025)))"),"")</f>
        <v/>
      </c>
    </row>
    <row r="2026">
      <c r="A2026" s="87"/>
      <c r="B2026" s="87"/>
      <c r="C2026" s="73"/>
      <c r="D2026" s="73"/>
      <c r="E2026" s="82"/>
      <c r="F2026" s="82"/>
      <c r="G2026" s="86"/>
      <c r="H2026" s="86"/>
      <c r="I2026" s="86"/>
      <c r="J2026" s="82"/>
      <c r="K2026" s="82"/>
      <c r="L2026" s="82"/>
      <c r="M2026" s="82"/>
      <c r="N2026" s="82"/>
      <c r="O2026" s="82"/>
      <c r="P2026" s="82"/>
      <c r="Q2026" s="82"/>
      <c r="R2026" s="82"/>
      <c r="S2026" s="82"/>
      <c r="T2026" s="82"/>
      <c r="U2026" s="82"/>
      <c r="V2026" s="82"/>
      <c r="W2026" s="82"/>
      <c r="X2026" s="82"/>
      <c r="Y2026" s="82"/>
      <c r="Z2026" s="82"/>
      <c r="AA2026" s="82"/>
      <c r="AB2026" s="82"/>
      <c r="AC2026" s="82"/>
      <c r="AD2026" s="82"/>
      <c r="AE2026" s="82"/>
      <c r="AF2026" s="82"/>
      <c r="AG2026" s="82"/>
      <c r="AH2026" s="82"/>
      <c r="AI2026" s="82"/>
      <c r="AJ2026" s="82"/>
      <c r="AK2026" s="82"/>
      <c r="AL2026" s="82"/>
      <c r="AM2026" s="82"/>
      <c r="AN2026" s="82"/>
      <c r="AO2026" s="82"/>
      <c r="AP2026" s="82"/>
      <c r="AQ2026" s="82"/>
      <c r="AR2026" s="82"/>
      <c r="AS2026" s="82"/>
      <c r="AT2026" s="82"/>
      <c r="AU2026" s="82"/>
      <c r="AV2026" s="82"/>
      <c r="AW2026" s="82" t="str">
        <f t="shared" si="1"/>
        <v/>
      </c>
      <c r="AX2026" s="83" t="str">
        <f t="array" ref="AX2026">IFERROR(DGET('SBV Import'!A:G,"SBV",{"RSC ID","Tier";B2026,A2026}))</f>
        <v/>
      </c>
      <c r="AY2026" s="82" t="str">
        <f t="shared" si="2"/>
        <v/>
      </c>
      <c r="AZ2026" s="82"/>
      <c r="BA2026" s="84" t="s">
        <v>152</v>
      </c>
      <c r="BB2026" s="84" t="str">
        <f>IFERROR(__xludf.DUMMYFUNCTION("iferror(if(A2026="""",,E2026&gt;=FILTER(Constants!$F$2:$F$10,Constants!$A$2:$A$10=A2026)))"),"")</f>
        <v/>
      </c>
    </row>
    <row r="2027">
      <c r="A2027" s="87"/>
      <c r="B2027" s="87"/>
      <c r="C2027" s="73"/>
      <c r="D2027" s="73"/>
      <c r="E2027" s="82"/>
      <c r="F2027" s="82"/>
      <c r="G2027" s="86"/>
      <c r="H2027" s="86"/>
      <c r="I2027" s="86"/>
      <c r="J2027" s="82"/>
      <c r="K2027" s="82"/>
      <c r="L2027" s="82"/>
      <c r="M2027" s="82"/>
      <c r="N2027" s="82"/>
      <c r="O2027" s="82"/>
      <c r="P2027" s="82"/>
      <c r="Q2027" s="82"/>
      <c r="R2027" s="82"/>
      <c r="S2027" s="82"/>
      <c r="T2027" s="82"/>
      <c r="U2027" s="82"/>
      <c r="V2027" s="82"/>
      <c r="W2027" s="82"/>
      <c r="X2027" s="82"/>
      <c r="Y2027" s="82"/>
      <c r="Z2027" s="82"/>
      <c r="AA2027" s="82"/>
      <c r="AB2027" s="82"/>
      <c r="AC2027" s="82"/>
      <c r="AD2027" s="82"/>
      <c r="AE2027" s="82"/>
      <c r="AF2027" s="82"/>
      <c r="AG2027" s="82"/>
      <c r="AH2027" s="82"/>
      <c r="AI2027" s="82"/>
      <c r="AJ2027" s="82"/>
      <c r="AK2027" s="82"/>
      <c r="AL2027" s="82"/>
      <c r="AM2027" s="82"/>
      <c r="AN2027" s="82"/>
      <c r="AO2027" s="82"/>
      <c r="AP2027" s="82"/>
      <c r="AQ2027" s="82"/>
      <c r="AR2027" s="82"/>
      <c r="AS2027" s="82"/>
      <c r="AT2027" s="82"/>
      <c r="AU2027" s="82"/>
      <c r="AV2027" s="82"/>
      <c r="AW2027" s="82" t="str">
        <f t="shared" si="1"/>
        <v/>
      </c>
      <c r="AX2027" s="83" t="str">
        <f t="array" ref="AX2027">IFERROR(DGET('SBV Import'!A:G,"SBV",{"RSC ID","Tier";B2027,A2027}))</f>
        <v/>
      </c>
      <c r="AY2027" s="82" t="str">
        <f t="shared" si="2"/>
        <v/>
      </c>
      <c r="AZ2027" s="82"/>
      <c r="BA2027" s="84" t="s">
        <v>152</v>
      </c>
      <c r="BB2027" s="84" t="str">
        <f>IFERROR(__xludf.DUMMYFUNCTION("iferror(if(A2027="""",,E2027&gt;=FILTER(Constants!$F$2:$F$10,Constants!$A$2:$A$10=A2027)))"),"")</f>
        <v/>
      </c>
    </row>
    <row r="2028">
      <c r="A2028" s="87"/>
      <c r="B2028" s="87"/>
      <c r="C2028" s="73"/>
      <c r="D2028" s="73"/>
      <c r="E2028" s="82"/>
      <c r="F2028" s="82"/>
      <c r="G2028" s="86"/>
      <c r="H2028" s="86"/>
      <c r="I2028" s="86"/>
      <c r="J2028" s="82"/>
      <c r="K2028" s="82"/>
      <c r="L2028" s="82"/>
      <c r="M2028" s="82"/>
      <c r="N2028" s="82"/>
      <c r="O2028" s="82"/>
      <c r="P2028" s="82"/>
      <c r="Q2028" s="82"/>
      <c r="R2028" s="82"/>
      <c r="S2028" s="82"/>
      <c r="T2028" s="82"/>
      <c r="U2028" s="82"/>
      <c r="V2028" s="82"/>
      <c r="W2028" s="82"/>
      <c r="X2028" s="82"/>
      <c r="Y2028" s="82"/>
      <c r="Z2028" s="82"/>
      <c r="AA2028" s="82"/>
      <c r="AB2028" s="82"/>
      <c r="AC2028" s="82"/>
      <c r="AD2028" s="82"/>
      <c r="AE2028" s="82"/>
      <c r="AF2028" s="82"/>
      <c r="AG2028" s="82"/>
      <c r="AH2028" s="82"/>
      <c r="AI2028" s="82"/>
      <c r="AJ2028" s="82"/>
      <c r="AK2028" s="82"/>
      <c r="AL2028" s="82"/>
      <c r="AM2028" s="82"/>
      <c r="AN2028" s="82"/>
      <c r="AO2028" s="82"/>
      <c r="AP2028" s="82"/>
      <c r="AQ2028" s="82"/>
      <c r="AR2028" s="82"/>
      <c r="AS2028" s="82"/>
      <c r="AT2028" s="82"/>
      <c r="AU2028" s="82"/>
      <c r="AV2028" s="82"/>
      <c r="AW2028" s="82" t="str">
        <f t="shared" si="1"/>
        <v/>
      </c>
      <c r="AX2028" s="83" t="str">
        <f t="array" ref="AX2028">IFERROR(DGET('SBV Import'!A:G,"SBV",{"RSC ID","Tier";B2028,A2028}))</f>
        <v/>
      </c>
      <c r="AY2028" s="82" t="str">
        <f t="shared" si="2"/>
        <v/>
      </c>
      <c r="AZ2028" s="82"/>
      <c r="BA2028" s="84" t="s">
        <v>152</v>
      </c>
      <c r="BB2028" s="84" t="str">
        <f>IFERROR(__xludf.DUMMYFUNCTION("iferror(if(A2028="""",,E2028&gt;=FILTER(Constants!$F$2:$F$10,Constants!$A$2:$A$10=A2028)))"),"")</f>
        <v/>
      </c>
    </row>
    <row r="2029">
      <c r="A2029" s="87"/>
      <c r="B2029" s="87"/>
      <c r="C2029" s="73"/>
      <c r="D2029" s="73"/>
      <c r="E2029" s="82"/>
      <c r="F2029" s="82"/>
      <c r="G2029" s="86"/>
      <c r="H2029" s="86"/>
      <c r="I2029" s="86"/>
      <c r="J2029" s="82"/>
      <c r="K2029" s="82"/>
      <c r="L2029" s="82"/>
      <c r="M2029" s="82"/>
      <c r="N2029" s="82"/>
      <c r="O2029" s="82"/>
      <c r="P2029" s="82"/>
      <c r="Q2029" s="82"/>
      <c r="R2029" s="82"/>
      <c r="S2029" s="82"/>
      <c r="T2029" s="82"/>
      <c r="U2029" s="82"/>
      <c r="V2029" s="82"/>
      <c r="W2029" s="82"/>
      <c r="X2029" s="82"/>
      <c r="Y2029" s="82"/>
      <c r="Z2029" s="82"/>
      <c r="AA2029" s="82"/>
      <c r="AB2029" s="82"/>
      <c r="AC2029" s="82"/>
      <c r="AD2029" s="82"/>
      <c r="AE2029" s="82"/>
      <c r="AF2029" s="82"/>
      <c r="AG2029" s="82"/>
      <c r="AH2029" s="82"/>
      <c r="AI2029" s="82"/>
      <c r="AJ2029" s="82"/>
      <c r="AK2029" s="82"/>
      <c r="AL2029" s="82"/>
      <c r="AM2029" s="82"/>
      <c r="AN2029" s="82"/>
      <c r="AO2029" s="82"/>
      <c r="AP2029" s="82"/>
      <c r="AQ2029" s="82"/>
      <c r="AR2029" s="82"/>
      <c r="AS2029" s="82"/>
      <c r="AT2029" s="82"/>
      <c r="AU2029" s="82"/>
      <c r="AV2029" s="82"/>
      <c r="AW2029" s="82" t="str">
        <f t="shared" si="1"/>
        <v/>
      </c>
      <c r="AX2029" s="83" t="str">
        <f t="array" ref="AX2029">IFERROR(DGET('SBV Import'!A:G,"SBV",{"RSC ID","Tier";B2029,A2029}))</f>
        <v/>
      </c>
      <c r="AY2029" s="82" t="str">
        <f t="shared" si="2"/>
        <v/>
      </c>
      <c r="AZ2029" s="82"/>
      <c r="BA2029" s="84" t="s">
        <v>152</v>
      </c>
      <c r="BB2029" s="84" t="str">
        <f>IFERROR(__xludf.DUMMYFUNCTION("iferror(if(A2029="""",,E2029&gt;=FILTER(Constants!$F$2:$F$10,Constants!$A$2:$A$10=A2029)))"),"")</f>
        <v/>
      </c>
    </row>
    <row r="2030">
      <c r="A2030" s="87"/>
      <c r="B2030" s="87"/>
      <c r="C2030" s="73"/>
      <c r="D2030" s="73"/>
      <c r="E2030" s="82"/>
      <c r="F2030" s="82"/>
      <c r="G2030" s="86"/>
      <c r="H2030" s="86"/>
      <c r="I2030" s="86"/>
      <c r="J2030" s="82"/>
      <c r="K2030" s="82"/>
      <c r="L2030" s="82"/>
      <c r="M2030" s="82"/>
      <c r="N2030" s="82"/>
      <c r="O2030" s="82"/>
      <c r="P2030" s="82"/>
      <c r="Q2030" s="82"/>
      <c r="R2030" s="82"/>
      <c r="S2030" s="82"/>
      <c r="T2030" s="82"/>
      <c r="U2030" s="82"/>
      <c r="V2030" s="82"/>
      <c r="W2030" s="82"/>
      <c r="X2030" s="82"/>
      <c r="Y2030" s="82"/>
      <c r="Z2030" s="82"/>
      <c r="AA2030" s="82"/>
      <c r="AB2030" s="82"/>
      <c r="AC2030" s="82"/>
      <c r="AD2030" s="82"/>
      <c r="AE2030" s="82"/>
      <c r="AF2030" s="82"/>
      <c r="AG2030" s="82"/>
      <c r="AH2030" s="82"/>
      <c r="AI2030" s="82"/>
      <c r="AJ2030" s="82"/>
      <c r="AK2030" s="82"/>
      <c r="AL2030" s="82"/>
      <c r="AM2030" s="82"/>
      <c r="AN2030" s="82"/>
      <c r="AO2030" s="82"/>
      <c r="AP2030" s="82"/>
      <c r="AQ2030" s="82"/>
      <c r="AR2030" s="82"/>
      <c r="AS2030" s="82"/>
      <c r="AT2030" s="82"/>
      <c r="AU2030" s="82"/>
      <c r="AV2030" s="82"/>
      <c r="AW2030" s="82" t="str">
        <f t="shared" si="1"/>
        <v/>
      </c>
      <c r="AX2030" s="83" t="str">
        <f t="array" ref="AX2030">IFERROR(DGET('SBV Import'!A:G,"SBV",{"RSC ID","Tier";B2030,A2030}))</f>
        <v/>
      </c>
      <c r="AY2030" s="82" t="str">
        <f t="shared" si="2"/>
        <v/>
      </c>
      <c r="AZ2030" s="82"/>
      <c r="BA2030" s="84" t="s">
        <v>152</v>
      </c>
      <c r="BB2030" s="84" t="str">
        <f>IFERROR(__xludf.DUMMYFUNCTION("iferror(if(A2030="""",,E2030&gt;=FILTER(Constants!$F$2:$F$10,Constants!$A$2:$A$10=A2030)))"),"")</f>
        <v/>
      </c>
    </row>
    <row r="2031">
      <c r="A2031" s="87"/>
      <c r="B2031" s="87"/>
      <c r="C2031" s="73"/>
      <c r="D2031" s="73"/>
      <c r="E2031" s="82"/>
      <c r="F2031" s="82"/>
      <c r="G2031" s="86"/>
      <c r="H2031" s="86"/>
      <c r="I2031" s="86"/>
      <c r="J2031" s="82"/>
      <c r="K2031" s="82"/>
      <c r="L2031" s="82"/>
      <c r="M2031" s="82"/>
      <c r="N2031" s="82"/>
      <c r="O2031" s="82"/>
      <c r="P2031" s="82"/>
      <c r="Q2031" s="82"/>
      <c r="R2031" s="82"/>
      <c r="S2031" s="82"/>
      <c r="T2031" s="82"/>
      <c r="U2031" s="82"/>
      <c r="V2031" s="82"/>
      <c r="W2031" s="82"/>
      <c r="X2031" s="82"/>
      <c r="Y2031" s="82"/>
      <c r="Z2031" s="82"/>
      <c r="AA2031" s="82"/>
      <c r="AB2031" s="82"/>
      <c r="AC2031" s="82"/>
      <c r="AD2031" s="82"/>
      <c r="AE2031" s="82"/>
      <c r="AF2031" s="82"/>
      <c r="AG2031" s="82"/>
      <c r="AH2031" s="82"/>
      <c r="AI2031" s="82"/>
      <c r="AJ2031" s="82"/>
      <c r="AK2031" s="82"/>
      <c r="AL2031" s="82"/>
      <c r="AM2031" s="82"/>
      <c r="AN2031" s="82"/>
      <c r="AO2031" s="82"/>
      <c r="AP2031" s="82"/>
      <c r="AQ2031" s="82"/>
      <c r="AR2031" s="82"/>
      <c r="AS2031" s="82"/>
      <c r="AT2031" s="82"/>
      <c r="AU2031" s="82"/>
      <c r="AV2031" s="82"/>
      <c r="AW2031" s="82" t="str">
        <f t="shared" si="1"/>
        <v/>
      </c>
      <c r="AX2031" s="83" t="str">
        <f t="array" ref="AX2031">IFERROR(DGET('SBV Import'!A:G,"SBV",{"RSC ID","Tier";B2031,A2031}))</f>
        <v/>
      </c>
      <c r="AY2031" s="82" t="str">
        <f t="shared" si="2"/>
        <v/>
      </c>
      <c r="AZ2031" s="82"/>
      <c r="BA2031" s="84" t="s">
        <v>152</v>
      </c>
      <c r="BB2031" s="84" t="str">
        <f>IFERROR(__xludf.DUMMYFUNCTION("iferror(if(A2031="""",,E2031&gt;=FILTER(Constants!$F$2:$F$10,Constants!$A$2:$A$10=A2031)))"),"")</f>
        <v/>
      </c>
    </row>
    <row r="2032">
      <c r="A2032" s="87"/>
      <c r="B2032" s="87"/>
      <c r="C2032" s="73"/>
      <c r="D2032" s="73"/>
      <c r="E2032" s="82"/>
      <c r="F2032" s="82"/>
      <c r="G2032" s="86"/>
      <c r="H2032" s="86"/>
      <c r="I2032" s="86"/>
      <c r="J2032" s="82"/>
      <c r="K2032" s="82"/>
      <c r="L2032" s="82"/>
      <c r="M2032" s="82"/>
      <c r="N2032" s="82"/>
      <c r="O2032" s="82"/>
      <c r="P2032" s="82"/>
      <c r="Q2032" s="82"/>
      <c r="R2032" s="82"/>
      <c r="S2032" s="82"/>
      <c r="T2032" s="82"/>
      <c r="U2032" s="82"/>
      <c r="V2032" s="82"/>
      <c r="W2032" s="82"/>
      <c r="X2032" s="82"/>
      <c r="Y2032" s="82"/>
      <c r="Z2032" s="82"/>
      <c r="AA2032" s="82"/>
      <c r="AB2032" s="82"/>
      <c r="AC2032" s="82"/>
      <c r="AD2032" s="82"/>
      <c r="AE2032" s="82"/>
      <c r="AF2032" s="82"/>
      <c r="AG2032" s="82"/>
      <c r="AH2032" s="82"/>
      <c r="AI2032" s="82"/>
      <c r="AJ2032" s="82"/>
      <c r="AK2032" s="82"/>
      <c r="AL2032" s="82"/>
      <c r="AM2032" s="82"/>
      <c r="AN2032" s="82"/>
      <c r="AO2032" s="82"/>
      <c r="AP2032" s="82"/>
      <c r="AQ2032" s="82"/>
      <c r="AR2032" s="82"/>
      <c r="AS2032" s="82"/>
      <c r="AT2032" s="82"/>
      <c r="AU2032" s="82"/>
      <c r="AV2032" s="82"/>
      <c r="AW2032" s="82" t="str">
        <f t="shared" si="1"/>
        <v/>
      </c>
      <c r="AX2032" s="83" t="str">
        <f t="array" ref="AX2032">IFERROR(DGET('SBV Import'!A:G,"SBV",{"RSC ID","Tier";B2032,A2032}))</f>
        <v/>
      </c>
      <c r="AY2032" s="82" t="str">
        <f t="shared" si="2"/>
        <v/>
      </c>
      <c r="AZ2032" s="82"/>
      <c r="BA2032" s="84" t="s">
        <v>152</v>
      </c>
      <c r="BB2032" s="84" t="str">
        <f>IFERROR(__xludf.DUMMYFUNCTION("iferror(if(A2032="""",,E2032&gt;=FILTER(Constants!$F$2:$F$10,Constants!$A$2:$A$10=A2032)))"),"")</f>
        <v/>
      </c>
    </row>
    <row r="2033">
      <c r="A2033" s="87"/>
      <c r="B2033" s="87"/>
      <c r="C2033" s="73"/>
      <c r="D2033" s="73"/>
      <c r="E2033" s="82"/>
      <c r="F2033" s="82"/>
      <c r="G2033" s="86"/>
      <c r="H2033" s="86"/>
      <c r="I2033" s="86"/>
      <c r="J2033" s="82"/>
      <c r="K2033" s="82"/>
      <c r="L2033" s="82"/>
      <c r="M2033" s="82"/>
      <c r="N2033" s="82"/>
      <c r="O2033" s="82"/>
      <c r="P2033" s="82"/>
      <c r="Q2033" s="82"/>
      <c r="R2033" s="82"/>
      <c r="S2033" s="82"/>
      <c r="T2033" s="82"/>
      <c r="U2033" s="82"/>
      <c r="V2033" s="82"/>
      <c r="W2033" s="82"/>
      <c r="X2033" s="82"/>
      <c r="Y2033" s="82"/>
      <c r="Z2033" s="82"/>
      <c r="AA2033" s="82"/>
      <c r="AB2033" s="82"/>
      <c r="AC2033" s="82"/>
      <c r="AD2033" s="82"/>
      <c r="AE2033" s="82"/>
      <c r="AF2033" s="82"/>
      <c r="AG2033" s="82"/>
      <c r="AH2033" s="82"/>
      <c r="AI2033" s="82"/>
      <c r="AJ2033" s="82"/>
      <c r="AK2033" s="82"/>
      <c r="AL2033" s="82"/>
      <c r="AM2033" s="82"/>
      <c r="AN2033" s="82"/>
      <c r="AO2033" s="82"/>
      <c r="AP2033" s="82"/>
      <c r="AQ2033" s="82"/>
      <c r="AR2033" s="82"/>
      <c r="AS2033" s="82"/>
      <c r="AT2033" s="82"/>
      <c r="AU2033" s="82"/>
      <c r="AV2033" s="82"/>
      <c r="AW2033" s="82" t="str">
        <f t="shared" si="1"/>
        <v/>
      </c>
      <c r="AX2033" s="83" t="str">
        <f t="array" ref="AX2033">IFERROR(DGET('SBV Import'!A:G,"SBV",{"RSC ID","Tier";B2033,A2033}))</f>
        <v/>
      </c>
      <c r="AY2033" s="82" t="str">
        <f t="shared" si="2"/>
        <v/>
      </c>
      <c r="AZ2033" s="82"/>
      <c r="BA2033" s="84" t="s">
        <v>152</v>
      </c>
      <c r="BB2033" s="84" t="str">
        <f>IFERROR(__xludf.DUMMYFUNCTION("iferror(if(A2033="""",,E2033&gt;=FILTER(Constants!$F$2:$F$10,Constants!$A$2:$A$10=A2033)))"),"")</f>
        <v/>
      </c>
    </row>
    <row r="2034">
      <c r="A2034" s="87"/>
      <c r="B2034" s="87"/>
      <c r="C2034" s="73"/>
      <c r="D2034" s="73"/>
      <c r="E2034" s="82"/>
      <c r="F2034" s="82"/>
      <c r="G2034" s="86"/>
      <c r="H2034" s="86"/>
      <c r="I2034" s="86"/>
      <c r="J2034" s="82"/>
      <c r="K2034" s="82"/>
      <c r="L2034" s="82"/>
      <c r="M2034" s="82"/>
      <c r="N2034" s="82"/>
      <c r="O2034" s="82"/>
      <c r="P2034" s="82"/>
      <c r="Q2034" s="82"/>
      <c r="R2034" s="82"/>
      <c r="S2034" s="82"/>
      <c r="T2034" s="82"/>
      <c r="U2034" s="82"/>
      <c r="V2034" s="82"/>
      <c r="W2034" s="82"/>
      <c r="X2034" s="82"/>
      <c r="Y2034" s="82"/>
      <c r="Z2034" s="82"/>
      <c r="AA2034" s="82"/>
      <c r="AB2034" s="82"/>
      <c r="AC2034" s="82"/>
      <c r="AD2034" s="82"/>
      <c r="AE2034" s="82"/>
      <c r="AF2034" s="82"/>
      <c r="AG2034" s="82"/>
      <c r="AH2034" s="82"/>
      <c r="AI2034" s="82"/>
      <c r="AJ2034" s="82"/>
      <c r="AK2034" s="82"/>
      <c r="AL2034" s="82"/>
      <c r="AM2034" s="82"/>
      <c r="AN2034" s="82"/>
      <c r="AO2034" s="82"/>
      <c r="AP2034" s="82"/>
      <c r="AQ2034" s="82"/>
      <c r="AR2034" s="82"/>
      <c r="AS2034" s="82"/>
      <c r="AT2034" s="82"/>
      <c r="AU2034" s="82"/>
      <c r="AV2034" s="82"/>
      <c r="AW2034" s="82" t="str">
        <f t="shared" si="1"/>
        <v/>
      </c>
      <c r="AX2034" s="83" t="str">
        <f t="array" ref="AX2034">IFERROR(DGET('SBV Import'!A:G,"SBV",{"RSC ID","Tier";B2034,A2034}))</f>
        <v/>
      </c>
      <c r="AY2034" s="82" t="str">
        <f t="shared" si="2"/>
        <v/>
      </c>
      <c r="AZ2034" s="82"/>
      <c r="BA2034" s="84" t="s">
        <v>152</v>
      </c>
      <c r="BB2034" s="84" t="str">
        <f>IFERROR(__xludf.DUMMYFUNCTION("iferror(if(A2034="""",,E2034&gt;=FILTER(Constants!$F$2:$F$10,Constants!$A$2:$A$10=A2034)))"),"")</f>
        <v/>
      </c>
    </row>
    <row r="2035">
      <c r="A2035" s="87"/>
      <c r="B2035" s="87"/>
      <c r="C2035" s="73"/>
      <c r="D2035" s="73"/>
      <c r="E2035" s="82"/>
      <c r="F2035" s="82"/>
      <c r="G2035" s="86"/>
      <c r="H2035" s="86"/>
      <c r="I2035" s="86"/>
      <c r="J2035" s="82"/>
      <c r="K2035" s="82"/>
      <c r="L2035" s="82"/>
      <c r="M2035" s="82"/>
      <c r="N2035" s="82"/>
      <c r="O2035" s="82"/>
      <c r="P2035" s="82"/>
      <c r="Q2035" s="82"/>
      <c r="R2035" s="82"/>
      <c r="S2035" s="82"/>
      <c r="T2035" s="82"/>
      <c r="U2035" s="82"/>
      <c r="V2035" s="82"/>
      <c r="W2035" s="82"/>
      <c r="X2035" s="82"/>
      <c r="Y2035" s="82"/>
      <c r="Z2035" s="82"/>
      <c r="AA2035" s="82"/>
      <c r="AB2035" s="82"/>
      <c r="AC2035" s="82"/>
      <c r="AD2035" s="82"/>
      <c r="AE2035" s="82"/>
      <c r="AF2035" s="82"/>
      <c r="AG2035" s="82"/>
      <c r="AH2035" s="82"/>
      <c r="AI2035" s="82"/>
      <c r="AJ2035" s="82"/>
      <c r="AK2035" s="82"/>
      <c r="AL2035" s="82"/>
      <c r="AM2035" s="82"/>
      <c r="AN2035" s="82"/>
      <c r="AO2035" s="82"/>
      <c r="AP2035" s="82"/>
      <c r="AQ2035" s="82"/>
      <c r="AR2035" s="82"/>
      <c r="AS2035" s="82"/>
      <c r="AT2035" s="82"/>
      <c r="AU2035" s="82"/>
      <c r="AV2035" s="82"/>
      <c r="AW2035" s="82" t="str">
        <f t="shared" si="1"/>
        <v/>
      </c>
      <c r="AX2035" s="83" t="str">
        <f t="array" ref="AX2035">IFERROR(DGET('SBV Import'!A:G,"SBV",{"RSC ID","Tier";B2035,A2035}))</f>
        <v/>
      </c>
      <c r="AY2035" s="82" t="str">
        <f t="shared" si="2"/>
        <v/>
      </c>
      <c r="AZ2035" s="82"/>
      <c r="BA2035" s="84" t="s">
        <v>152</v>
      </c>
      <c r="BB2035" s="84" t="str">
        <f>IFERROR(__xludf.DUMMYFUNCTION("iferror(if(A2035="""",,E2035&gt;=FILTER(Constants!$F$2:$F$10,Constants!$A$2:$A$10=A2035)))"),"")</f>
        <v/>
      </c>
    </row>
    <row r="2036">
      <c r="A2036" s="87"/>
      <c r="B2036" s="87"/>
      <c r="C2036" s="73"/>
      <c r="D2036" s="73"/>
      <c r="E2036" s="82"/>
      <c r="F2036" s="82"/>
      <c r="G2036" s="86"/>
      <c r="H2036" s="86"/>
      <c r="I2036" s="86"/>
      <c r="J2036" s="82"/>
      <c r="K2036" s="82"/>
      <c r="L2036" s="82"/>
      <c r="M2036" s="82"/>
      <c r="N2036" s="82"/>
      <c r="O2036" s="82"/>
      <c r="P2036" s="82"/>
      <c r="Q2036" s="82"/>
      <c r="R2036" s="82"/>
      <c r="S2036" s="82"/>
      <c r="T2036" s="82"/>
      <c r="U2036" s="82"/>
      <c r="V2036" s="82"/>
      <c r="W2036" s="82"/>
      <c r="X2036" s="82"/>
      <c r="Y2036" s="82"/>
      <c r="Z2036" s="82"/>
      <c r="AA2036" s="82"/>
      <c r="AB2036" s="82"/>
      <c r="AC2036" s="82"/>
      <c r="AD2036" s="82"/>
      <c r="AE2036" s="82"/>
      <c r="AF2036" s="82"/>
      <c r="AG2036" s="82"/>
      <c r="AH2036" s="82"/>
      <c r="AI2036" s="82"/>
      <c r="AJ2036" s="82"/>
      <c r="AK2036" s="82"/>
      <c r="AL2036" s="82"/>
      <c r="AM2036" s="82"/>
      <c r="AN2036" s="82"/>
      <c r="AO2036" s="82"/>
      <c r="AP2036" s="82"/>
      <c r="AQ2036" s="82"/>
      <c r="AR2036" s="82"/>
      <c r="AS2036" s="82"/>
      <c r="AT2036" s="82"/>
      <c r="AU2036" s="82"/>
      <c r="AV2036" s="82"/>
      <c r="AW2036" s="82" t="str">
        <f t="shared" si="1"/>
        <v/>
      </c>
      <c r="AX2036" s="83" t="str">
        <f t="array" ref="AX2036">IFERROR(DGET('SBV Import'!A:G,"SBV",{"RSC ID","Tier";B2036,A2036}))</f>
        <v/>
      </c>
      <c r="AY2036" s="82" t="str">
        <f t="shared" si="2"/>
        <v/>
      </c>
      <c r="AZ2036" s="82"/>
      <c r="BA2036" s="84" t="s">
        <v>152</v>
      </c>
      <c r="BB2036" s="84" t="str">
        <f>IFERROR(__xludf.DUMMYFUNCTION("iferror(if(A2036="""",,E2036&gt;=FILTER(Constants!$F$2:$F$10,Constants!$A$2:$A$10=A2036)))"),"")</f>
        <v/>
      </c>
    </row>
    <row r="2037">
      <c r="A2037" s="87"/>
      <c r="B2037" s="87"/>
      <c r="C2037" s="73"/>
      <c r="D2037" s="73"/>
      <c r="E2037" s="82"/>
      <c r="F2037" s="82"/>
      <c r="G2037" s="86"/>
      <c r="H2037" s="86"/>
      <c r="I2037" s="86"/>
      <c r="J2037" s="82"/>
      <c r="K2037" s="82"/>
      <c r="L2037" s="82"/>
      <c r="M2037" s="82"/>
      <c r="N2037" s="82"/>
      <c r="O2037" s="82"/>
      <c r="P2037" s="82"/>
      <c r="Q2037" s="82"/>
      <c r="R2037" s="82"/>
      <c r="S2037" s="82"/>
      <c r="T2037" s="82"/>
      <c r="U2037" s="82"/>
      <c r="V2037" s="82"/>
      <c r="W2037" s="82"/>
      <c r="X2037" s="82"/>
      <c r="Y2037" s="82"/>
      <c r="Z2037" s="82"/>
      <c r="AA2037" s="82"/>
      <c r="AB2037" s="82"/>
      <c r="AC2037" s="82"/>
      <c r="AD2037" s="82"/>
      <c r="AE2037" s="82"/>
      <c r="AF2037" s="82"/>
      <c r="AG2037" s="82"/>
      <c r="AH2037" s="82"/>
      <c r="AI2037" s="82"/>
      <c r="AJ2037" s="82"/>
      <c r="AK2037" s="82"/>
      <c r="AL2037" s="82"/>
      <c r="AM2037" s="82"/>
      <c r="AN2037" s="82"/>
      <c r="AO2037" s="82"/>
      <c r="AP2037" s="82"/>
      <c r="AQ2037" s="82"/>
      <c r="AR2037" s="82"/>
      <c r="AS2037" s="82"/>
      <c r="AT2037" s="82"/>
      <c r="AU2037" s="82"/>
      <c r="AV2037" s="82"/>
      <c r="AW2037" s="82" t="str">
        <f t="shared" si="1"/>
        <v/>
      </c>
      <c r="AX2037" s="83" t="str">
        <f t="array" ref="AX2037">IFERROR(DGET('SBV Import'!A:G,"SBV",{"RSC ID","Tier";B2037,A2037}))</f>
        <v/>
      </c>
      <c r="AY2037" s="82" t="str">
        <f t="shared" si="2"/>
        <v/>
      </c>
      <c r="AZ2037" s="82"/>
      <c r="BA2037" s="84" t="s">
        <v>152</v>
      </c>
      <c r="BB2037" s="84" t="str">
        <f>IFERROR(__xludf.DUMMYFUNCTION("iferror(if(A2037="""",,E2037&gt;=FILTER(Constants!$F$2:$F$10,Constants!$A$2:$A$10=A2037)))"),"")</f>
        <v/>
      </c>
    </row>
    <row r="2038">
      <c r="A2038" s="87"/>
      <c r="B2038" s="87"/>
      <c r="C2038" s="73"/>
      <c r="D2038" s="73"/>
      <c r="E2038" s="82"/>
      <c r="F2038" s="82"/>
      <c r="G2038" s="86"/>
      <c r="H2038" s="86"/>
      <c r="I2038" s="86"/>
      <c r="J2038" s="82"/>
      <c r="K2038" s="82"/>
      <c r="L2038" s="82"/>
      <c r="M2038" s="82"/>
      <c r="N2038" s="82"/>
      <c r="O2038" s="82"/>
      <c r="P2038" s="82"/>
      <c r="Q2038" s="82"/>
      <c r="R2038" s="82"/>
      <c r="S2038" s="82"/>
      <c r="T2038" s="82"/>
      <c r="U2038" s="82"/>
      <c r="V2038" s="82"/>
      <c r="W2038" s="82"/>
      <c r="X2038" s="82"/>
      <c r="Y2038" s="82"/>
      <c r="Z2038" s="82"/>
      <c r="AA2038" s="82"/>
      <c r="AB2038" s="82"/>
      <c r="AC2038" s="82"/>
      <c r="AD2038" s="82"/>
      <c r="AE2038" s="82"/>
      <c r="AF2038" s="82"/>
      <c r="AG2038" s="82"/>
      <c r="AH2038" s="82"/>
      <c r="AI2038" s="82"/>
      <c r="AJ2038" s="82"/>
      <c r="AK2038" s="82"/>
      <c r="AL2038" s="82"/>
      <c r="AM2038" s="82"/>
      <c r="AN2038" s="82"/>
      <c r="AO2038" s="82"/>
      <c r="AP2038" s="82"/>
      <c r="AQ2038" s="82"/>
      <c r="AR2038" s="82"/>
      <c r="AS2038" s="82"/>
      <c r="AT2038" s="82"/>
      <c r="AU2038" s="82"/>
      <c r="AV2038" s="82"/>
      <c r="AW2038" s="82" t="str">
        <f t="shared" si="1"/>
        <v/>
      </c>
      <c r="AX2038" s="83" t="str">
        <f t="array" ref="AX2038">IFERROR(DGET('SBV Import'!A:G,"SBV",{"RSC ID","Tier";B2038,A2038}))</f>
        <v/>
      </c>
      <c r="AY2038" s="82" t="str">
        <f t="shared" si="2"/>
        <v/>
      </c>
      <c r="AZ2038" s="82"/>
      <c r="BA2038" s="84" t="s">
        <v>152</v>
      </c>
      <c r="BB2038" s="84" t="str">
        <f>IFERROR(__xludf.DUMMYFUNCTION("iferror(if(A2038="""",,E2038&gt;=FILTER(Constants!$F$2:$F$10,Constants!$A$2:$A$10=A2038)))"),"")</f>
        <v/>
      </c>
    </row>
    <row r="2039">
      <c r="A2039" s="87"/>
      <c r="B2039" s="87"/>
      <c r="C2039" s="73"/>
      <c r="D2039" s="73"/>
      <c r="E2039" s="82"/>
      <c r="F2039" s="82"/>
      <c r="G2039" s="86"/>
      <c r="H2039" s="86"/>
      <c r="I2039" s="86"/>
      <c r="J2039" s="82"/>
      <c r="K2039" s="82"/>
      <c r="L2039" s="82"/>
      <c r="M2039" s="82"/>
      <c r="N2039" s="82"/>
      <c r="O2039" s="82"/>
      <c r="P2039" s="82"/>
      <c r="Q2039" s="82"/>
      <c r="R2039" s="82"/>
      <c r="S2039" s="82"/>
      <c r="T2039" s="82"/>
      <c r="U2039" s="82"/>
      <c r="V2039" s="82"/>
      <c r="W2039" s="82"/>
      <c r="X2039" s="82"/>
      <c r="Y2039" s="82"/>
      <c r="Z2039" s="82"/>
      <c r="AA2039" s="82"/>
      <c r="AB2039" s="82"/>
      <c r="AC2039" s="82"/>
      <c r="AD2039" s="82"/>
      <c r="AE2039" s="82"/>
      <c r="AF2039" s="82"/>
      <c r="AG2039" s="82"/>
      <c r="AH2039" s="82"/>
      <c r="AI2039" s="82"/>
      <c r="AJ2039" s="82"/>
      <c r="AK2039" s="82"/>
      <c r="AL2039" s="82"/>
      <c r="AM2039" s="82"/>
      <c r="AN2039" s="82"/>
      <c r="AO2039" s="82"/>
      <c r="AP2039" s="82"/>
      <c r="AQ2039" s="82"/>
      <c r="AR2039" s="82"/>
      <c r="AS2039" s="82"/>
      <c r="AT2039" s="82"/>
      <c r="AU2039" s="82"/>
      <c r="AV2039" s="82"/>
      <c r="AW2039" s="82" t="str">
        <f t="shared" si="1"/>
        <v/>
      </c>
      <c r="AX2039" s="83" t="str">
        <f t="array" ref="AX2039">IFERROR(DGET('SBV Import'!A:G,"SBV",{"RSC ID","Tier";B2039,A2039}))</f>
        <v/>
      </c>
      <c r="AY2039" s="82" t="str">
        <f t="shared" si="2"/>
        <v/>
      </c>
      <c r="AZ2039" s="82"/>
      <c r="BA2039" s="84" t="s">
        <v>152</v>
      </c>
      <c r="BB2039" s="84" t="str">
        <f>IFERROR(__xludf.DUMMYFUNCTION("iferror(if(A2039="""",,E2039&gt;=FILTER(Constants!$F$2:$F$10,Constants!$A$2:$A$10=A2039)))"),"")</f>
        <v/>
      </c>
    </row>
    <row r="2040">
      <c r="A2040" s="87"/>
      <c r="B2040" s="87"/>
      <c r="C2040" s="73"/>
      <c r="D2040" s="73"/>
      <c r="E2040" s="82"/>
      <c r="F2040" s="82"/>
      <c r="G2040" s="86"/>
      <c r="H2040" s="86"/>
      <c r="I2040" s="86"/>
      <c r="J2040" s="82"/>
      <c r="K2040" s="82"/>
      <c r="L2040" s="82"/>
      <c r="M2040" s="82"/>
      <c r="N2040" s="82"/>
      <c r="O2040" s="82"/>
      <c r="P2040" s="82"/>
      <c r="Q2040" s="82"/>
      <c r="R2040" s="82"/>
      <c r="S2040" s="82"/>
      <c r="T2040" s="82"/>
      <c r="U2040" s="82"/>
      <c r="V2040" s="82"/>
      <c r="W2040" s="82"/>
      <c r="X2040" s="82"/>
      <c r="Y2040" s="82"/>
      <c r="Z2040" s="82"/>
      <c r="AA2040" s="82"/>
      <c r="AB2040" s="82"/>
      <c r="AC2040" s="82"/>
      <c r="AD2040" s="82"/>
      <c r="AE2040" s="82"/>
      <c r="AF2040" s="82"/>
      <c r="AG2040" s="82"/>
      <c r="AH2040" s="82"/>
      <c r="AI2040" s="82"/>
      <c r="AJ2040" s="82"/>
      <c r="AK2040" s="82"/>
      <c r="AL2040" s="82"/>
      <c r="AM2040" s="82"/>
      <c r="AN2040" s="82"/>
      <c r="AO2040" s="82"/>
      <c r="AP2040" s="82"/>
      <c r="AQ2040" s="82"/>
      <c r="AR2040" s="82"/>
      <c r="AS2040" s="82"/>
      <c r="AT2040" s="82"/>
      <c r="AU2040" s="82"/>
      <c r="AV2040" s="82"/>
      <c r="AW2040" s="82" t="str">
        <f t="shared" si="1"/>
        <v/>
      </c>
      <c r="AX2040" s="83" t="str">
        <f t="array" ref="AX2040">IFERROR(DGET('SBV Import'!A:G,"SBV",{"RSC ID","Tier";B2040,A2040}))</f>
        <v/>
      </c>
      <c r="AY2040" s="82" t="str">
        <f t="shared" si="2"/>
        <v/>
      </c>
      <c r="AZ2040" s="82"/>
      <c r="BA2040" s="84" t="s">
        <v>152</v>
      </c>
      <c r="BB2040" s="84" t="str">
        <f>IFERROR(__xludf.DUMMYFUNCTION("iferror(if(A2040="""",,E2040&gt;=FILTER(Constants!$F$2:$F$10,Constants!$A$2:$A$10=A2040)))"),"")</f>
        <v/>
      </c>
    </row>
    <row r="2041">
      <c r="A2041" s="87"/>
      <c r="B2041" s="87"/>
      <c r="C2041" s="73"/>
      <c r="D2041" s="73"/>
      <c r="E2041" s="82"/>
      <c r="F2041" s="82"/>
      <c r="G2041" s="86"/>
      <c r="H2041" s="86"/>
      <c r="I2041" s="86"/>
      <c r="J2041" s="82"/>
      <c r="K2041" s="82"/>
      <c r="L2041" s="82"/>
      <c r="M2041" s="82"/>
      <c r="N2041" s="82"/>
      <c r="O2041" s="82"/>
      <c r="P2041" s="82"/>
      <c r="Q2041" s="82"/>
      <c r="R2041" s="82"/>
      <c r="S2041" s="82"/>
      <c r="T2041" s="82"/>
      <c r="U2041" s="82"/>
      <c r="V2041" s="82"/>
      <c r="W2041" s="82"/>
      <c r="X2041" s="82"/>
      <c r="Y2041" s="82"/>
      <c r="Z2041" s="82"/>
      <c r="AA2041" s="82"/>
      <c r="AB2041" s="82"/>
      <c r="AC2041" s="82"/>
      <c r="AD2041" s="82"/>
      <c r="AE2041" s="82"/>
      <c r="AF2041" s="82"/>
      <c r="AG2041" s="82"/>
      <c r="AH2041" s="82"/>
      <c r="AI2041" s="82"/>
      <c r="AJ2041" s="82"/>
      <c r="AK2041" s="82"/>
      <c r="AL2041" s="82"/>
      <c r="AM2041" s="82"/>
      <c r="AN2041" s="82"/>
      <c r="AO2041" s="82"/>
      <c r="AP2041" s="82"/>
      <c r="AQ2041" s="82"/>
      <c r="AR2041" s="82"/>
      <c r="AS2041" s="82"/>
      <c r="AT2041" s="82"/>
      <c r="AU2041" s="82"/>
      <c r="AV2041" s="82"/>
      <c r="AW2041" s="82" t="str">
        <f t="shared" si="1"/>
        <v/>
      </c>
      <c r="AX2041" s="83" t="str">
        <f t="array" ref="AX2041">IFERROR(DGET('SBV Import'!A:G,"SBV",{"RSC ID","Tier";B2041,A2041}))</f>
        <v/>
      </c>
      <c r="AY2041" s="82" t="str">
        <f t="shared" si="2"/>
        <v/>
      </c>
      <c r="AZ2041" s="82"/>
      <c r="BA2041" s="84" t="s">
        <v>152</v>
      </c>
      <c r="BB2041" s="84" t="str">
        <f>IFERROR(__xludf.DUMMYFUNCTION("iferror(if(A2041="""",,E2041&gt;=FILTER(Constants!$F$2:$F$10,Constants!$A$2:$A$10=A2041)))"),"")</f>
        <v/>
      </c>
    </row>
    <row r="2042">
      <c r="A2042" s="87"/>
      <c r="B2042" s="87"/>
      <c r="C2042" s="73"/>
      <c r="D2042" s="73"/>
      <c r="E2042" s="82"/>
      <c r="F2042" s="82"/>
      <c r="G2042" s="86"/>
      <c r="H2042" s="86"/>
      <c r="I2042" s="86"/>
      <c r="J2042" s="82"/>
      <c r="K2042" s="82"/>
      <c r="L2042" s="82"/>
      <c r="M2042" s="82"/>
      <c r="N2042" s="82"/>
      <c r="O2042" s="82"/>
      <c r="P2042" s="82"/>
      <c r="Q2042" s="82"/>
      <c r="R2042" s="82"/>
      <c r="S2042" s="82"/>
      <c r="T2042" s="82"/>
      <c r="U2042" s="82"/>
      <c r="V2042" s="82"/>
      <c r="W2042" s="82"/>
      <c r="X2042" s="82"/>
      <c r="Y2042" s="82"/>
      <c r="Z2042" s="82"/>
      <c r="AA2042" s="82"/>
      <c r="AB2042" s="82"/>
      <c r="AC2042" s="82"/>
      <c r="AD2042" s="82"/>
      <c r="AE2042" s="82"/>
      <c r="AF2042" s="82"/>
      <c r="AG2042" s="82"/>
      <c r="AH2042" s="82"/>
      <c r="AI2042" s="82"/>
      <c r="AJ2042" s="82"/>
      <c r="AK2042" s="82"/>
      <c r="AL2042" s="82"/>
      <c r="AM2042" s="82"/>
      <c r="AN2042" s="82"/>
      <c r="AO2042" s="82"/>
      <c r="AP2042" s="82"/>
      <c r="AQ2042" s="82"/>
      <c r="AR2042" s="82"/>
      <c r="AS2042" s="82"/>
      <c r="AT2042" s="82"/>
      <c r="AU2042" s="82"/>
      <c r="AV2042" s="82"/>
      <c r="AW2042" s="82" t="str">
        <f t="shared" si="1"/>
        <v/>
      </c>
      <c r="AX2042" s="83" t="str">
        <f t="array" ref="AX2042">IFERROR(DGET('SBV Import'!A:G,"SBV",{"RSC ID","Tier";B2042,A2042}))</f>
        <v/>
      </c>
      <c r="AY2042" s="82" t="str">
        <f t="shared" si="2"/>
        <v/>
      </c>
      <c r="AZ2042" s="82"/>
      <c r="BA2042" s="84" t="s">
        <v>152</v>
      </c>
      <c r="BB2042" s="84" t="str">
        <f>IFERROR(__xludf.DUMMYFUNCTION("iferror(if(A2042="""",,E2042&gt;=FILTER(Constants!$F$2:$F$10,Constants!$A$2:$A$10=A2042)))"),"")</f>
        <v/>
      </c>
    </row>
    <row r="2043">
      <c r="A2043" s="87"/>
      <c r="B2043" s="87"/>
      <c r="C2043" s="73"/>
      <c r="D2043" s="73"/>
      <c r="E2043" s="82"/>
      <c r="F2043" s="82"/>
      <c r="G2043" s="86"/>
      <c r="H2043" s="86"/>
      <c r="I2043" s="86"/>
      <c r="J2043" s="82"/>
      <c r="K2043" s="82"/>
      <c r="L2043" s="82"/>
      <c r="M2043" s="82"/>
      <c r="N2043" s="82"/>
      <c r="O2043" s="82"/>
      <c r="P2043" s="82"/>
      <c r="Q2043" s="82"/>
      <c r="R2043" s="82"/>
      <c r="S2043" s="82"/>
      <c r="T2043" s="82"/>
      <c r="U2043" s="82"/>
      <c r="V2043" s="82"/>
      <c r="W2043" s="82"/>
      <c r="X2043" s="82"/>
      <c r="Y2043" s="82"/>
      <c r="Z2043" s="82"/>
      <c r="AA2043" s="82"/>
      <c r="AB2043" s="82"/>
      <c r="AC2043" s="82"/>
      <c r="AD2043" s="82"/>
      <c r="AE2043" s="82"/>
      <c r="AF2043" s="82"/>
      <c r="AG2043" s="82"/>
      <c r="AH2043" s="82"/>
      <c r="AI2043" s="82"/>
      <c r="AJ2043" s="82"/>
      <c r="AK2043" s="82"/>
      <c r="AL2043" s="82"/>
      <c r="AM2043" s="82"/>
      <c r="AN2043" s="82"/>
      <c r="AO2043" s="82"/>
      <c r="AP2043" s="82"/>
      <c r="AQ2043" s="82"/>
      <c r="AR2043" s="82"/>
      <c r="AS2043" s="82"/>
      <c r="AT2043" s="82"/>
      <c r="AU2043" s="82"/>
      <c r="AV2043" s="82"/>
      <c r="AW2043" s="82" t="str">
        <f t="shared" si="1"/>
        <v/>
      </c>
      <c r="AX2043" s="83" t="str">
        <f t="array" ref="AX2043">IFERROR(DGET('SBV Import'!A:G,"SBV",{"RSC ID","Tier";B2043,A2043}))</f>
        <v/>
      </c>
      <c r="AY2043" s="82" t="str">
        <f t="shared" si="2"/>
        <v/>
      </c>
      <c r="AZ2043" s="82"/>
      <c r="BA2043" s="84" t="s">
        <v>152</v>
      </c>
      <c r="BB2043" s="84" t="str">
        <f>IFERROR(__xludf.DUMMYFUNCTION("iferror(if(A2043="""",,E2043&gt;=FILTER(Constants!$F$2:$F$10,Constants!$A$2:$A$10=A2043)))"),"")</f>
        <v/>
      </c>
    </row>
    <row r="2044">
      <c r="A2044" s="87"/>
      <c r="B2044" s="87"/>
      <c r="C2044" s="73"/>
      <c r="D2044" s="73"/>
      <c r="E2044" s="82"/>
      <c r="F2044" s="82"/>
      <c r="G2044" s="86"/>
      <c r="H2044" s="86"/>
      <c r="I2044" s="86"/>
      <c r="J2044" s="82"/>
      <c r="K2044" s="82"/>
      <c r="L2044" s="82"/>
      <c r="M2044" s="82"/>
      <c r="N2044" s="82"/>
      <c r="O2044" s="82"/>
      <c r="P2044" s="82"/>
      <c r="Q2044" s="82"/>
      <c r="R2044" s="82"/>
      <c r="S2044" s="82"/>
      <c r="T2044" s="82"/>
      <c r="U2044" s="82"/>
      <c r="V2044" s="82"/>
      <c r="W2044" s="82"/>
      <c r="X2044" s="82"/>
      <c r="Y2044" s="82"/>
      <c r="Z2044" s="82"/>
      <c r="AA2044" s="82"/>
      <c r="AB2044" s="82"/>
      <c r="AC2044" s="82"/>
      <c r="AD2044" s="82"/>
      <c r="AE2044" s="82"/>
      <c r="AF2044" s="82"/>
      <c r="AG2044" s="82"/>
      <c r="AH2044" s="82"/>
      <c r="AI2044" s="82"/>
      <c r="AJ2044" s="82"/>
      <c r="AK2044" s="82"/>
      <c r="AL2044" s="82"/>
      <c r="AM2044" s="82"/>
      <c r="AN2044" s="82"/>
      <c r="AO2044" s="82"/>
      <c r="AP2044" s="82"/>
      <c r="AQ2044" s="82"/>
      <c r="AR2044" s="82"/>
      <c r="AS2044" s="82"/>
      <c r="AT2044" s="82"/>
      <c r="AU2044" s="82"/>
      <c r="AV2044" s="82"/>
      <c r="AW2044" s="82" t="str">
        <f t="shared" si="1"/>
        <v/>
      </c>
      <c r="AX2044" s="83" t="str">
        <f t="array" ref="AX2044">IFERROR(DGET('SBV Import'!A:G,"SBV",{"RSC ID","Tier";B2044,A2044}))</f>
        <v/>
      </c>
      <c r="AY2044" s="82" t="str">
        <f t="shared" si="2"/>
        <v/>
      </c>
      <c r="AZ2044" s="82"/>
      <c r="BA2044" s="84" t="s">
        <v>152</v>
      </c>
      <c r="BB2044" s="84" t="str">
        <f>IFERROR(__xludf.DUMMYFUNCTION("iferror(if(A2044="""",,E2044&gt;=FILTER(Constants!$F$2:$F$10,Constants!$A$2:$A$10=A2044)))"),"")</f>
        <v/>
      </c>
    </row>
    <row r="2045">
      <c r="A2045" s="87"/>
      <c r="B2045" s="87"/>
      <c r="C2045" s="73"/>
      <c r="D2045" s="73"/>
      <c r="E2045" s="82"/>
      <c r="F2045" s="82"/>
      <c r="G2045" s="86"/>
      <c r="H2045" s="86"/>
      <c r="I2045" s="86"/>
      <c r="J2045" s="82"/>
      <c r="K2045" s="82"/>
      <c r="L2045" s="82"/>
      <c r="M2045" s="82"/>
      <c r="N2045" s="82"/>
      <c r="O2045" s="82"/>
      <c r="P2045" s="82"/>
      <c r="Q2045" s="82"/>
      <c r="R2045" s="82"/>
      <c r="S2045" s="82"/>
      <c r="T2045" s="82"/>
      <c r="U2045" s="82"/>
      <c r="V2045" s="82"/>
      <c r="W2045" s="82"/>
      <c r="X2045" s="82"/>
      <c r="Y2045" s="82"/>
      <c r="Z2045" s="82"/>
      <c r="AA2045" s="82"/>
      <c r="AB2045" s="82"/>
      <c r="AC2045" s="82"/>
      <c r="AD2045" s="82"/>
      <c r="AE2045" s="82"/>
      <c r="AF2045" s="82"/>
      <c r="AG2045" s="82"/>
      <c r="AH2045" s="82"/>
      <c r="AI2045" s="82"/>
      <c r="AJ2045" s="82"/>
      <c r="AK2045" s="82"/>
      <c r="AL2045" s="82"/>
      <c r="AM2045" s="82"/>
      <c r="AN2045" s="82"/>
      <c r="AO2045" s="82"/>
      <c r="AP2045" s="82"/>
      <c r="AQ2045" s="82"/>
      <c r="AR2045" s="82"/>
      <c r="AS2045" s="82"/>
      <c r="AT2045" s="82"/>
      <c r="AU2045" s="82"/>
      <c r="AV2045" s="82"/>
      <c r="AW2045" s="82" t="str">
        <f t="shared" si="1"/>
        <v/>
      </c>
      <c r="AX2045" s="83" t="str">
        <f t="array" ref="AX2045">IFERROR(DGET('SBV Import'!A:G,"SBV",{"RSC ID","Tier";B2045,A2045}))</f>
        <v/>
      </c>
      <c r="AY2045" s="82" t="str">
        <f t="shared" si="2"/>
        <v/>
      </c>
      <c r="AZ2045" s="82"/>
      <c r="BA2045" s="84" t="s">
        <v>152</v>
      </c>
      <c r="BB2045" s="84" t="str">
        <f>IFERROR(__xludf.DUMMYFUNCTION("iferror(if(A2045="""",,E2045&gt;=FILTER(Constants!$F$2:$F$10,Constants!$A$2:$A$10=A2045)))"),"")</f>
        <v/>
      </c>
    </row>
    <row r="2046">
      <c r="A2046" s="87"/>
      <c r="B2046" s="87"/>
      <c r="C2046" s="73"/>
      <c r="D2046" s="73"/>
      <c r="E2046" s="82"/>
      <c r="F2046" s="82"/>
      <c r="G2046" s="86"/>
      <c r="H2046" s="86"/>
      <c r="I2046" s="86"/>
      <c r="J2046" s="82"/>
      <c r="K2046" s="82"/>
      <c r="L2046" s="82"/>
      <c r="M2046" s="82"/>
      <c r="N2046" s="82"/>
      <c r="O2046" s="82"/>
      <c r="P2046" s="82"/>
      <c r="Q2046" s="82"/>
      <c r="R2046" s="82"/>
      <c r="S2046" s="82"/>
      <c r="T2046" s="82"/>
      <c r="U2046" s="82"/>
      <c r="V2046" s="82"/>
      <c r="W2046" s="82"/>
      <c r="X2046" s="82"/>
      <c r="Y2046" s="82"/>
      <c r="Z2046" s="82"/>
      <c r="AA2046" s="82"/>
      <c r="AB2046" s="82"/>
      <c r="AC2046" s="82"/>
      <c r="AD2046" s="82"/>
      <c r="AE2046" s="82"/>
      <c r="AF2046" s="82"/>
      <c r="AG2046" s="82"/>
      <c r="AH2046" s="82"/>
      <c r="AI2046" s="82"/>
      <c r="AJ2046" s="82"/>
      <c r="AK2046" s="82"/>
      <c r="AL2046" s="82"/>
      <c r="AM2046" s="82"/>
      <c r="AN2046" s="82"/>
      <c r="AO2046" s="82"/>
      <c r="AP2046" s="82"/>
      <c r="AQ2046" s="82"/>
      <c r="AR2046" s="82"/>
      <c r="AS2046" s="82"/>
      <c r="AT2046" s="82"/>
      <c r="AU2046" s="82"/>
      <c r="AV2046" s="82"/>
      <c r="AW2046" s="82" t="str">
        <f t="shared" si="1"/>
        <v/>
      </c>
      <c r="AX2046" s="83" t="str">
        <f t="array" ref="AX2046">IFERROR(DGET('SBV Import'!A:G,"SBV",{"RSC ID","Tier";B2046,A2046}))</f>
        <v/>
      </c>
      <c r="AY2046" s="82" t="str">
        <f t="shared" si="2"/>
        <v/>
      </c>
      <c r="AZ2046" s="82"/>
      <c r="BA2046" s="84" t="s">
        <v>152</v>
      </c>
      <c r="BB2046" s="84" t="str">
        <f>IFERROR(__xludf.DUMMYFUNCTION("iferror(if(A2046="""",,E2046&gt;=FILTER(Constants!$F$2:$F$10,Constants!$A$2:$A$10=A2046)))"),"")</f>
        <v/>
      </c>
    </row>
    <row r="2047">
      <c r="A2047" s="87"/>
      <c r="B2047" s="87"/>
      <c r="C2047" s="73"/>
      <c r="D2047" s="73"/>
      <c r="E2047" s="82"/>
      <c r="F2047" s="82"/>
      <c r="G2047" s="86"/>
      <c r="H2047" s="86"/>
      <c r="I2047" s="86"/>
      <c r="J2047" s="82"/>
      <c r="K2047" s="82"/>
      <c r="L2047" s="82"/>
      <c r="M2047" s="82"/>
      <c r="N2047" s="82"/>
      <c r="O2047" s="82"/>
      <c r="P2047" s="82"/>
      <c r="Q2047" s="82"/>
      <c r="R2047" s="82"/>
      <c r="S2047" s="82"/>
      <c r="T2047" s="82"/>
      <c r="U2047" s="82"/>
      <c r="V2047" s="82"/>
      <c r="W2047" s="82"/>
      <c r="X2047" s="82"/>
      <c r="Y2047" s="82"/>
      <c r="Z2047" s="82"/>
      <c r="AA2047" s="82"/>
      <c r="AB2047" s="82"/>
      <c r="AC2047" s="82"/>
      <c r="AD2047" s="82"/>
      <c r="AE2047" s="82"/>
      <c r="AF2047" s="82"/>
      <c r="AG2047" s="82"/>
      <c r="AH2047" s="82"/>
      <c r="AI2047" s="82"/>
      <c r="AJ2047" s="82"/>
      <c r="AK2047" s="82"/>
      <c r="AL2047" s="82"/>
      <c r="AM2047" s="82"/>
      <c r="AN2047" s="82"/>
      <c r="AO2047" s="82"/>
      <c r="AP2047" s="82"/>
      <c r="AQ2047" s="82"/>
      <c r="AR2047" s="82"/>
      <c r="AS2047" s="82"/>
      <c r="AT2047" s="82"/>
      <c r="AU2047" s="82"/>
      <c r="AV2047" s="82"/>
      <c r="AW2047" s="82" t="str">
        <f t="shared" si="1"/>
        <v/>
      </c>
      <c r="AX2047" s="83" t="str">
        <f t="array" ref="AX2047">IFERROR(DGET('SBV Import'!A:G,"SBV",{"RSC ID","Tier";B2047,A2047}))</f>
        <v/>
      </c>
      <c r="AY2047" s="82" t="str">
        <f t="shared" si="2"/>
        <v/>
      </c>
      <c r="AZ2047" s="82"/>
      <c r="BA2047" s="84" t="s">
        <v>152</v>
      </c>
      <c r="BB2047" s="84" t="str">
        <f>IFERROR(__xludf.DUMMYFUNCTION("iferror(if(A2047="""",,E2047&gt;=FILTER(Constants!$F$2:$F$10,Constants!$A$2:$A$10=A2047)))"),"")</f>
        <v/>
      </c>
    </row>
    <row r="2048">
      <c r="A2048" s="87"/>
      <c r="B2048" s="87"/>
      <c r="C2048" s="73"/>
      <c r="D2048" s="73"/>
      <c r="E2048" s="82"/>
      <c r="F2048" s="82"/>
      <c r="G2048" s="86"/>
      <c r="H2048" s="86"/>
      <c r="I2048" s="86"/>
      <c r="J2048" s="82"/>
      <c r="K2048" s="82"/>
      <c r="L2048" s="82"/>
      <c r="M2048" s="82"/>
      <c r="N2048" s="82"/>
      <c r="O2048" s="82"/>
      <c r="P2048" s="82"/>
      <c r="Q2048" s="82"/>
      <c r="R2048" s="82"/>
      <c r="S2048" s="82"/>
      <c r="T2048" s="82"/>
      <c r="U2048" s="82"/>
      <c r="V2048" s="82"/>
      <c r="W2048" s="82"/>
      <c r="X2048" s="82"/>
      <c r="Y2048" s="82"/>
      <c r="Z2048" s="82"/>
      <c r="AA2048" s="82"/>
      <c r="AB2048" s="82"/>
      <c r="AC2048" s="82"/>
      <c r="AD2048" s="82"/>
      <c r="AE2048" s="82"/>
      <c r="AF2048" s="82"/>
      <c r="AG2048" s="82"/>
      <c r="AH2048" s="82"/>
      <c r="AI2048" s="82"/>
      <c r="AJ2048" s="82"/>
      <c r="AK2048" s="82"/>
      <c r="AL2048" s="82"/>
      <c r="AM2048" s="82"/>
      <c r="AN2048" s="82"/>
      <c r="AO2048" s="82"/>
      <c r="AP2048" s="82"/>
      <c r="AQ2048" s="82"/>
      <c r="AR2048" s="82"/>
      <c r="AS2048" s="82"/>
      <c r="AT2048" s="82"/>
      <c r="AU2048" s="82"/>
      <c r="AV2048" s="82"/>
      <c r="AW2048" s="82" t="str">
        <f t="shared" si="1"/>
        <v/>
      </c>
      <c r="AX2048" s="83" t="str">
        <f t="array" ref="AX2048">IFERROR(DGET('SBV Import'!A:G,"SBV",{"RSC ID","Tier";B2048,A2048}))</f>
        <v/>
      </c>
      <c r="AY2048" s="82" t="str">
        <f t="shared" si="2"/>
        <v/>
      </c>
      <c r="AZ2048" s="82"/>
      <c r="BA2048" s="84" t="s">
        <v>152</v>
      </c>
      <c r="BB2048" s="84" t="str">
        <f>IFERROR(__xludf.DUMMYFUNCTION("iferror(if(A2048="""",,E2048&gt;=FILTER(Constants!$F$2:$F$10,Constants!$A$2:$A$10=A2048)))"),"")</f>
        <v/>
      </c>
    </row>
    <row r="2049">
      <c r="A2049" s="87"/>
      <c r="B2049" s="87"/>
      <c r="C2049" s="73"/>
      <c r="D2049" s="73"/>
      <c r="E2049" s="82"/>
      <c r="F2049" s="82"/>
      <c r="G2049" s="86"/>
      <c r="H2049" s="86"/>
      <c r="I2049" s="86"/>
      <c r="J2049" s="82"/>
      <c r="K2049" s="82"/>
      <c r="L2049" s="82"/>
      <c r="M2049" s="82"/>
      <c r="N2049" s="82"/>
      <c r="O2049" s="82"/>
      <c r="P2049" s="82"/>
      <c r="Q2049" s="82"/>
      <c r="R2049" s="82"/>
      <c r="S2049" s="82"/>
      <c r="T2049" s="82"/>
      <c r="U2049" s="82"/>
      <c r="V2049" s="82"/>
      <c r="W2049" s="82"/>
      <c r="X2049" s="82"/>
      <c r="Y2049" s="82"/>
      <c r="Z2049" s="82"/>
      <c r="AA2049" s="82"/>
      <c r="AB2049" s="82"/>
      <c r="AC2049" s="82"/>
      <c r="AD2049" s="82"/>
      <c r="AE2049" s="82"/>
      <c r="AF2049" s="82"/>
      <c r="AG2049" s="82"/>
      <c r="AH2049" s="82"/>
      <c r="AI2049" s="82"/>
      <c r="AJ2049" s="82"/>
      <c r="AK2049" s="82"/>
      <c r="AL2049" s="82"/>
      <c r="AM2049" s="82"/>
      <c r="AN2049" s="82"/>
      <c r="AO2049" s="82"/>
      <c r="AP2049" s="82"/>
      <c r="AQ2049" s="82"/>
      <c r="AR2049" s="82"/>
      <c r="AS2049" s="82"/>
      <c r="AT2049" s="82"/>
      <c r="AU2049" s="82"/>
      <c r="AV2049" s="82"/>
      <c r="AW2049" s="82" t="str">
        <f t="shared" si="1"/>
        <v/>
      </c>
      <c r="AX2049" s="83" t="str">
        <f t="array" ref="AX2049">IFERROR(DGET('SBV Import'!A:G,"SBV",{"RSC ID","Tier";B2049,A2049}))</f>
        <v/>
      </c>
      <c r="AY2049" s="82" t="str">
        <f t="shared" si="2"/>
        <v/>
      </c>
      <c r="AZ2049" s="82"/>
      <c r="BA2049" s="84" t="s">
        <v>152</v>
      </c>
      <c r="BB2049" s="84" t="str">
        <f>IFERROR(__xludf.DUMMYFUNCTION("iferror(if(A2049="""",,E2049&gt;=FILTER(Constants!$F$2:$F$10,Constants!$A$2:$A$10=A2049)))"),"")</f>
        <v/>
      </c>
    </row>
    <row r="2050">
      <c r="A2050" s="87"/>
      <c r="B2050" s="87"/>
      <c r="C2050" s="73"/>
      <c r="D2050" s="73"/>
      <c r="E2050" s="82"/>
      <c r="F2050" s="82"/>
      <c r="G2050" s="86"/>
      <c r="H2050" s="86"/>
      <c r="I2050" s="86"/>
      <c r="J2050" s="82"/>
      <c r="K2050" s="82"/>
      <c r="L2050" s="82"/>
      <c r="M2050" s="82"/>
      <c r="N2050" s="82"/>
      <c r="O2050" s="82"/>
      <c r="P2050" s="82"/>
      <c r="Q2050" s="82"/>
      <c r="R2050" s="82"/>
      <c r="S2050" s="82"/>
      <c r="T2050" s="82"/>
      <c r="U2050" s="82"/>
      <c r="V2050" s="82"/>
      <c r="W2050" s="82"/>
      <c r="X2050" s="82"/>
      <c r="Y2050" s="82"/>
      <c r="Z2050" s="82"/>
      <c r="AA2050" s="82"/>
      <c r="AB2050" s="82"/>
      <c r="AC2050" s="82"/>
      <c r="AD2050" s="82"/>
      <c r="AE2050" s="82"/>
      <c r="AF2050" s="82"/>
      <c r="AG2050" s="82"/>
      <c r="AH2050" s="82"/>
      <c r="AI2050" s="82"/>
      <c r="AJ2050" s="82"/>
      <c r="AK2050" s="82"/>
      <c r="AL2050" s="82"/>
      <c r="AM2050" s="82"/>
      <c r="AN2050" s="82"/>
      <c r="AO2050" s="82"/>
      <c r="AP2050" s="82"/>
      <c r="AQ2050" s="82"/>
      <c r="AR2050" s="82"/>
      <c r="AS2050" s="82"/>
      <c r="AT2050" s="82"/>
      <c r="AU2050" s="82"/>
      <c r="AV2050" s="82"/>
      <c r="AW2050" s="82" t="str">
        <f t="shared" si="1"/>
        <v/>
      </c>
      <c r="AX2050" s="83" t="str">
        <f t="array" ref="AX2050">IFERROR(DGET('SBV Import'!A:G,"SBV",{"RSC ID","Tier";B2050,A2050}))</f>
        <v/>
      </c>
      <c r="AY2050" s="82" t="str">
        <f t="shared" si="2"/>
        <v/>
      </c>
      <c r="AZ2050" s="82"/>
      <c r="BA2050" s="84" t="s">
        <v>152</v>
      </c>
      <c r="BB2050" s="84" t="str">
        <f>IFERROR(__xludf.DUMMYFUNCTION("iferror(if(A2050="""",,E2050&gt;=FILTER(Constants!$F$2:$F$10,Constants!$A$2:$A$10=A2050)))"),"")</f>
        <v/>
      </c>
    </row>
    <row r="2051">
      <c r="A2051" s="87"/>
      <c r="B2051" s="87"/>
      <c r="C2051" s="73"/>
      <c r="D2051" s="73"/>
      <c r="E2051" s="82"/>
      <c r="F2051" s="82"/>
      <c r="G2051" s="86"/>
      <c r="H2051" s="86"/>
      <c r="I2051" s="86"/>
      <c r="J2051" s="82"/>
      <c r="K2051" s="82"/>
      <c r="L2051" s="82"/>
      <c r="M2051" s="82"/>
      <c r="N2051" s="82"/>
      <c r="O2051" s="82"/>
      <c r="P2051" s="82"/>
      <c r="Q2051" s="82"/>
      <c r="R2051" s="82"/>
      <c r="S2051" s="82"/>
      <c r="T2051" s="82"/>
      <c r="U2051" s="82"/>
      <c r="V2051" s="82"/>
      <c r="W2051" s="82"/>
      <c r="X2051" s="82"/>
      <c r="Y2051" s="82"/>
      <c r="Z2051" s="82"/>
      <c r="AA2051" s="82"/>
      <c r="AB2051" s="82"/>
      <c r="AC2051" s="82"/>
      <c r="AD2051" s="82"/>
      <c r="AE2051" s="82"/>
      <c r="AF2051" s="82"/>
      <c r="AG2051" s="82"/>
      <c r="AH2051" s="82"/>
      <c r="AI2051" s="82"/>
      <c r="AJ2051" s="82"/>
      <c r="AK2051" s="82"/>
      <c r="AL2051" s="82"/>
      <c r="AM2051" s="82"/>
      <c r="AN2051" s="82"/>
      <c r="AO2051" s="82"/>
      <c r="AP2051" s="82"/>
      <c r="AQ2051" s="82"/>
      <c r="AR2051" s="82"/>
      <c r="AS2051" s="82"/>
      <c r="AT2051" s="82"/>
      <c r="AU2051" s="82"/>
      <c r="AV2051" s="82"/>
      <c r="AW2051" s="82" t="str">
        <f t="shared" si="1"/>
        <v/>
      </c>
      <c r="AX2051" s="83" t="str">
        <f t="array" ref="AX2051">IFERROR(DGET('SBV Import'!A:G,"SBV",{"RSC ID","Tier";B2051,A2051}))</f>
        <v/>
      </c>
      <c r="AY2051" s="82" t="str">
        <f t="shared" si="2"/>
        <v/>
      </c>
      <c r="AZ2051" s="82"/>
      <c r="BA2051" s="84" t="s">
        <v>152</v>
      </c>
      <c r="BB2051" s="84" t="str">
        <f>IFERROR(__xludf.DUMMYFUNCTION("iferror(if(A2051="""",,E2051&gt;=FILTER(Constants!$F$2:$F$10,Constants!$A$2:$A$10=A2051)))"),"")</f>
        <v/>
      </c>
    </row>
    <row r="2052">
      <c r="A2052" s="87"/>
      <c r="B2052" s="87"/>
      <c r="C2052" s="73"/>
      <c r="D2052" s="73"/>
      <c r="E2052" s="82"/>
      <c r="F2052" s="82"/>
      <c r="G2052" s="86"/>
      <c r="H2052" s="86"/>
      <c r="I2052" s="86"/>
      <c r="J2052" s="82"/>
      <c r="K2052" s="82"/>
      <c r="L2052" s="82"/>
      <c r="M2052" s="82"/>
      <c r="N2052" s="82"/>
      <c r="O2052" s="82"/>
      <c r="P2052" s="82"/>
      <c r="Q2052" s="82"/>
      <c r="R2052" s="82"/>
      <c r="S2052" s="82"/>
      <c r="T2052" s="82"/>
      <c r="U2052" s="82"/>
      <c r="V2052" s="82"/>
      <c r="W2052" s="82"/>
      <c r="X2052" s="82"/>
      <c r="Y2052" s="82"/>
      <c r="Z2052" s="82"/>
      <c r="AA2052" s="82"/>
      <c r="AB2052" s="82"/>
      <c r="AC2052" s="82"/>
      <c r="AD2052" s="82"/>
      <c r="AE2052" s="82"/>
      <c r="AF2052" s="82"/>
      <c r="AG2052" s="82"/>
      <c r="AH2052" s="82"/>
      <c r="AI2052" s="82"/>
      <c r="AJ2052" s="82"/>
      <c r="AK2052" s="82"/>
      <c r="AL2052" s="82"/>
      <c r="AM2052" s="82"/>
      <c r="AN2052" s="82"/>
      <c r="AO2052" s="82"/>
      <c r="AP2052" s="82"/>
      <c r="AQ2052" s="82"/>
      <c r="AR2052" s="82"/>
      <c r="AS2052" s="82"/>
      <c r="AT2052" s="82"/>
      <c r="AU2052" s="82"/>
      <c r="AV2052" s="82"/>
      <c r="AW2052" s="82" t="str">
        <f t="shared" si="1"/>
        <v/>
      </c>
      <c r="AX2052" s="83" t="str">
        <f t="array" ref="AX2052">IFERROR(DGET('SBV Import'!A:G,"SBV",{"RSC ID","Tier";B2052,A2052}))</f>
        <v/>
      </c>
      <c r="AY2052" s="82" t="str">
        <f t="shared" si="2"/>
        <v/>
      </c>
      <c r="AZ2052" s="82"/>
      <c r="BA2052" s="84" t="s">
        <v>152</v>
      </c>
      <c r="BB2052" s="84" t="str">
        <f>IFERROR(__xludf.DUMMYFUNCTION("iferror(if(A2052="""",,E2052&gt;=FILTER(Constants!$F$2:$F$10,Constants!$A$2:$A$10=A2052)))"),"")</f>
        <v/>
      </c>
    </row>
    <row r="2053">
      <c r="A2053" s="87"/>
      <c r="B2053" s="87"/>
      <c r="C2053" s="73"/>
      <c r="D2053" s="73"/>
      <c r="E2053" s="82"/>
      <c r="F2053" s="82"/>
      <c r="G2053" s="86"/>
      <c r="H2053" s="86"/>
      <c r="I2053" s="86"/>
      <c r="J2053" s="82"/>
      <c r="K2053" s="82"/>
      <c r="L2053" s="82"/>
      <c r="M2053" s="82"/>
      <c r="N2053" s="82"/>
      <c r="O2053" s="82"/>
      <c r="P2053" s="82"/>
      <c r="Q2053" s="82"/>
      <c r="R2053" s="82"/>
      <c r="S2053" s="82"/>
      <c r="T2053" s="82"/>
      <c r="U2053" s="82"/>
      <c r="V2053" s="82"/>
      <c r="W2053" s="82"/>
      <c r="X2053" s="82"/>
      <c r="Y2053" s="82"/>
      <c r="Z2053" s="82"/>
      <c r="AA2053" s="82"/>
      <c r="AB2053" s="82"/>
      <c r="AC2053" s="82"/>
      <c r="AD2053" s="82"/>
      <c r="AE2053" s="82"/>
      <c r="AF2053" s="82"/>
      <c r="AG2053" s="82"/>
      <c r="AH2053" s="82"/>
      <c r="AI2053" s="82"/>
      <c r="AJ2053" s="82"/>
      <c r="AK2053" s="82"/>
      <c r="AL2053" s="82"/>
      <c r="AM2053" s="82"/>
      <c r="AN2053" s="82"/>
      <c r="AO2053" s="82"/>
      <c r="AP2053" s="82"/>
      <c r="AQ2053" s="82"/>
      <c r="AR2053" s="82"/>
      <c r="AS2053" s="82"/>
      <c r="AT2053" s="82"/>
      <c r="AU2053" s="82"/>
      <c r="AV2053" s="82"/>
      <c r="AW2053" s="82" t="str">
        <f t="shared" si="1"/>
        <v/>
      </c>
      <c r="AX2053" s="83" t="str">
        <f t="array" ref="AX2053">IFERROR(DGET('SBV Import'!A:G,"SBV",{"RSC ID","Tier";B2053,A2053}))</f>
        <v/>
      </c>
      <c r="AY2053" s="82" t="str">
        <f t="shared" si="2"/>
        <v/>
      </c>
      <c r="AZ2053" s="82"/>
      <c r="BA2053" s="84" t="s">
        <v>152</v>
      </c>
      <c r="BB2053" s="84" t="str">
        <f>IFERROR(__xludf.DUMMYFUNCTION("iferror(if(A2053="""",,E2053&gt;=FILTER(Constants!$F$2:$F$10,Constants!$A$2:$A$10=A2053)))"),"")</f>
        <v/>
      </c>
    </row>
    <row r="2054">
      <c r="A2054" s="87"/>
      <c r="B2054" s="87"/>
      <c r="C2054" s="73"/>
      <c r="D2054" s="73"/>
      <c r="E2054" s="82"/>
      <c r="F2054" s="82"/>
      <c r="G2054" s="86"/>
      <c r="H2054" s="86"/>
      <c r="I2054" s="86"/>
      <c r="J2054" s="82"/>
      <c r="K2054" s="82"/>
      <c r="L2054" s="82"/>
      <c r="M2054" s="82"/>
      <c r="N2054" s="82"/>
      <c r="O2054" s="82"/>
      <c r="P2054" s="82"/>
      <c r="Q2054" s="82"/>
      <c r="R2054" s="82"/>
      <c r="S2054" s="82"/>
      <c r="T2054" s="82"/>
      <c r="U2054" s="82"/>
      <c r="V2054" s="82"/>
      <c r="W2054" s="82"/>
      <c r="X2054" s="82"/>
      <c r="Y2054" s="82"/>
      <c r="Z2054" s="82"/>
      <c r="AA2054" s="82"/>
      <c r="AB2054" s="82"/>
      <c r="AC2054" s="82"/>
      <c r="AD2054" s="82"/>
      <c r="AE2054" s="82"/>
      <c r="AF2054" s="82"/>
      <c r="AG2054" s="82"/>
      <c r="AH2054" s="82"/>
      <c r="AI2054" s="82"/>
      <c r="AJ2054" s="82"/>
      <c r="AK2054" s="82"/>
      <c r="AL2054" s="82"/>
      <c r="AM2054" s="82"/>
      <c r="AN2054" s="82"/>
      <c r="AO2054" s="82"/>
      <c r="AP2054" s="82"/>
      <c r="AQ2054" s="82"/>
      <c r="AR2054" s="82"/>
      <c r="AS2054" s="82"/>
      <c r="AT2054" s="82"/>
      <c r="AU2054" s="82"/>
      <c r="AV2054" s="82"/>
      <c r="AW2054" s="82" t="str">
        <f t="shared" si="1"/>
        <v/>
      </c>
      <c r="AX2054" s="83" t="str">
        <f t="array" ref="AX2054">IFERROR(DGET('SBV Import'!A:G,"SBV",{"RSC ID","Tier";B2054,A2054}))</f>
        <v/>
      </c>
      <c r="AY2054" s="82" t="str">
        <f t="shared" si="2"/>
        <v/>
      </c>
      <c r="AZ2054" s="82"/>
      <c r="BA2054" s="84" t="s">
        <v>152</v>
      </c>
      <c r="BB2054" s="84" t="str">
        <f>IFERROR(__xludf.DUMMYFUNCTION("iferror(if(A2054="""",,E2054&gt;=FILTER(Constants!$F$2:$F$10,Constants!$A$2:$A$10=A2054)))"),"")</f>
        <v/>
      </c>
    </row>
    <row r="2055">
      <c r="A2055" s="87"/>
      <c r="B2055" s="87"/>
      <c r="C2055" s="73"/>
      <c r="D2055" s="73"/>
      <c r="E2055" s="82"/>
      <c r="F2055" s="82"/>
      <c r="G2055" s="86"/>
      <c r="H2055" s="86"/>
      <c r="I2055" s="86"/>
      <c r="J2055" s="82"/>
      <c r="K2055" s="82"/>
      <c r="L2055" s="82"/>
      <c r="M2055" s="82"/>
      <c r="N2055" s="82"/>
      <c r="O2055" s="82"/>
      <c r="P2055" s="82"/>
      <c r="Q2055" s="82"/>
      <c r="R2055" s="82"/>
      <c r="S2055" s="82"/>
      <c r="T2055" s="82"/>
      <c r="U2055" s="82"/>
      <c r="V2055" s="82"/>
      <c r="W2055" s="82"/>
      <c r="X2055" s="82"/>
      <c r="Y2055" s="82"/>
      <c r="Z2055" s="82"/>
      <c r="AA2055" s="82"/>
      <c r="AB2055" s="82"/>
      <c r="AC2055" s="82"/>
      <c r="AD2055" s="82"/>
      <c r="AE2055" s="82"/>
      <c r="AF2055" s="82"/>
      <c r="AG2055" s="82"/>
      <c r="AH2055" s="82"/>
      <c r="AI2055" s="82"/>
      <c r="AJ2055" s="82"/>
      <c r="AK2055" s="82"/>
      <c r="AL2055" s="82"/>
      <c r="AM2055" s="82"/>
      <c r="AN2055" s="82"/>
      <c r="AO2055" s="82"/>
      <c r="AP2055" s="82"/>
      <c r="AQ2055" s="82"/>
      <c r="AR2055" s="82"/>
      <c r="AS2055" s="82"/>
      <c r="AT2055" s="82"/>
      <c r="AU2055" s="82"/>
      <c r="AV2055" s="82"/>
      <c r="AW2055" s="82" t="str">
        <f t="shared" si="1"/>
        <v/>
      </c>
      <c r="AX2055" s="83" t="str">
        <f t="array" ref="AX2055">IFERROR(DGET('SBV Import'!A:G,"SBV",{"RSC ID","Tier";B2055,A2055}))</f>
        <v/>
      </c>
      <c r="AY2055" s="82" t="str">
        <f t="shared" si="2"/>
        <v/>
      </c>
      <c r="AZ2055" s="82"/>
      <c r="BA2055" s="84" t="s">
        <v>152</v>
      </c>
      <c r="BB2055" s="84" t="str">
        <f>IFERROR(__xludf.DUMMYFUNCTION("iferror(if(A2055="""",,E2055&gt;=FILTER(Constants!$F$2:$F$10,Constants!$A$2:$A$10=A2055)))"),"")</f>
        <v/>
      </c>
    </row>
    <row r="2056">
      <c r="A2056" s="87"/>
      <c r="B2056" s="87"/>
      <c r="C2056" s="73"/>
      <c r="D2056" s="73"/>
      <c r="E2056" s="82"/>
      <c r="F2056" s="82"/>
      <c r="G2056" s="86"/>
      <c r="H2056" s="86"/>
      <c r="I2056" s="86"/>
      <c r="J2056" s="82"/>
      <c r="K2056" s="82"/>
      <c r="L2056" s="82"/>
      <c r="M2056" s="82"/>
      <c r="N2056" s="82"/>
      <c r="O2056" s="82"/>
      <c r="P2056" s="82"/>
      <c r="Q2056" s="82"/>
      <c r="R2056" s="82"/>
      <c r="S2056" s="82"/>
      <c r="T2056" s="82"/>
      <c r="U2056" s="82"/>
      <c r="V2056" s="82"/>
      <c r="W2056" s="82"/>
      <c r="X2056" s="82"/>
      <c r="Y2056" s="82"/>
      <c r="Z2056" s="82"/>
      <c r="AA2056" s="82"/>
      <c r="AB2056" s="82"/>
      <c r="AC2056" s="82"/>
      <c r="AD2056" s="82"/>
      <c r="AE2056" s="82"/>
      <c r="AF2056" s="82"/>
      <c r="AG2056" s="82"/>
      <c r="AH2056" s="82"/>
      <c r="AI2056" s="82"/>
      <c r="AJ2056" s="82"/>
      <c r="AK2056" s="82"/>
      <c r="AL2056" s="82"/>
      <c r="AM2056" s="82"/>
      <c r="AN2056" s="82"/>
      <c r="AO2056" s="82"/>
      <c r="AP2056" s="82"/>
      <c r="AQ2056" s="82"/>
      <c r="AR2056" s="82"/>
      <c r="AS2056" s="82"/>
      <c r="AT2056" s="82"/>
      <c r="AU2056" s="82"/>
      <c r="AV2056" s="82"/>
      <c r="AW2056" s="82" t="str">
        <f t="shared" si="1"/>
        <v/>
      </c>
      <c r="AX2056" s="83" t="str">
        <f t="array" ref="AX2056">IFERROR(DGET('SBV Import'!A:G,"SBV",{"RSC ID","Tier";B2056,A2056}))</f>
        <v/>
      </c>
      <c r="AY2056" s="82" t="str">
        <f t="shared" si="2"/>
        <v/>
      </c>
      <c r="AZ2056" s="82"/>
      <c r="BA2056" s="84" t="s">
        <v>152</v>
      </c>
      <c r="BB2056" s="84" t="str">
        <f>IFERROR(__xludf.DUMMYFUNCTION("iferror(if(A2056="""",,E2056&gt;=FILTER(Constants!$F$2:$F$10,Constants!$A$2:$A$10=A2056)))"),"")</f>
        <v/>
      </c>
    </row>
    <row r="2057">
      <c r="A2057" s="87"/>
      <c r="B2057" s="87"/>
      <c r="C2057" s="73"/>
      <c r="D2057" s="73"/>
      <c r="E2057" s="82"/>
      <c r="F2057" s="82"/>
      <c r="G2057" s="86"/>
      <c r="H2057" s="86"/>
      <c r="I2057" s="86"/>
      <c r="J2057" s="82"/>
      <c r="K2057" s="82"/>
      <c r="L2057" s="82"/>
      <c r="M2057" s="82"/>
      <c r="N2057" s="82"/>
      <c r="O2057" s="82"/>
      <c r="P2057" s="82"/>
      <c r="Q2057" s="82"/>
      <c r="R2057" s="82"/>
      <c r="S2057" s="82"/>
      <c r="T2057" s="82"/>
      <c r="U2057" s="82"/>
      <c r="V2057" s="82"/>
      <c r="W2057" s="82"/>
      <c r="X2057" s="82"/>
      <c r="Y2057" s="82"/>
      <c r="Z2057" s="82"/>
      <c r="AA2057" s="82"/>
      <c r="AB2057" s="82"/>
      <c r="AC2057" s="82"/>
      <c r="AD2057" s="82"/>
      <c r="AE2057" s="82"/>
      <c r="AF2057" s="82"/>
      <c r="AG2057" s="82"/>
      <c r="AH2057" s="82"/>
      <c r="AI2057" s="82"/>
      <c r="AJ2057" s="82"/>
      <c r="AK2057" s="82"/>
      <c r="AL2057" s="82"/>
      <c r="AM2057" s="82"/>
      <c r="AN2057" s="82"/>
      <c r="AO2057" s="82"/>
      <c r="AP2057" s="82"/>
      <c r="AQ2057" s="82"/>
      <c r="AR2057" s="82"/>
      <c r="AS2057" s="82"/>
      <c r="AT2057" s="82"/>
      <c r="AU2057" s="82"/>
      <c r="AV2057" s="82"/>
      <c r="AW2057" s="82" t="str">
        <f t="shared" si="1"/>
        <v/>
      </c>
      <c r="AX2057" s="83" t="str">
        <f t="array" ref="AX2057">IFERROR(DGET('SBV Import'!A:G,"SBV",{"RSC ID","Tier";B2057,A2057}))</f>
        <v/>
      </c>
      <c r="AY2057" s="82" t="str">
        <f t="shared" si="2"/>
        <v/>
      </c>
      <c r="AZ2057" s="82"/>
      <c r="BA2057" s="84" t="s">
        <v>152</v>
      </c>
      <c r="BB2057" s="84" t="str">
        <f>IFERROR(__xludf.DUMMYFUNCTION("iferror(if(A2057="""",,E2057&gt;=FILTER(Constants!$F$2:$F$10,Constants!$A$2:$A$10=A2057)))"),"")</f>
        <v/>
      </c>
    </row>
    <row r="2058">
      <c r="A2058" s="87"/>
      <c r="B2058" s="87"/>
      <c r="C2058" s="73"/>
      <c r="D2058" s="73"/>
      <c r="E2058" s="82"/>
      <c r="F2058" s="82"/>
      <c r="G2058" s="86"/>
      <c r="H2058" s="86"/>
      <c r="I2058" s="86"/>
      <c r="J2058" s="82"/>
      <c r="K2058" s="82"/>
      <c r="L2058" s="82"/>
      <c r="M2058" s="82"/>
      <c r="N2058" s="82"/>
      <c r="O2058" s="82"/>
      <c r="P2058" s="82"/>
      <c r="Q2058" s="82"/>
      <c r="R2058" s="82"/>
      <c r="S2058" s="82"/>
      <c r="T2058" s="82"/>
      <c r="U2058" s="82"/>
      <c r="V2058" s="82"/>
      <c r="W2058" s="82"/>
      <c r="X2058" s="82"/>
      <c r="Y2058" s="82"/>
      <c r="Z2058" s="82"/>
      <c r="AA2058" s="82"/>
      <c r="AB2058" s="82"/>
      <c r="AC2058" s="82"/>
      <c r="AD2058" s="82"/>
      <c r="AE2058" s="82"/>
      <c r="AF2058" s="82"/>
      <c r="AG2058" s="82"/>
      <c r="AH2058" s="82"/>
      <c r="AI2058" s="82"/>
      <c r="AJ2058" s="82"/>
      <c r="AK2058" s="82"/>
      <c r="AL2058" s="82"/>
      <c r="AM2058" s="82"/>
      <c r="AN2058" s="82"/>
      <c r="AO2058" s="82"/>
      <c r="AP2058" s="82"/>
      <c r="AQ2058" s="82"/>
      <c r="AR2058" s="82"/>
      <c r="AS2058" s="82"/>
      <c r="AT2058" s="82"/>
      <c r="AU2058" s="82"/>
      <c r="AV2058" s="82"/>
      <c r="AW2058" s="82" t="str">
        <f t="shared" si="1"/>
        <v/>
      </c>
      <c r="AX2058" s="83" t="str">
        <f t="array" ref="AX2058">IFERROR(DGET('SBV Import'!A:G,"SBV",{"RSC ID","Tier";B2058,A2058}))</f>
        <v/>
      </c>
      <c r="AY2058" s="82" t="str">
        <f t="shared" si="2"/>
        <v/>
      </c>
      <c r="AZ2058" s="82"/>
      <c r="BA2058" s="84" t="s">
        <v>152</v>
      </c>
      <c r="BB2058" s="84" t="str">
        <f>IFERROR(__xludf.DUMMYFUNCTION("iferror(if(A2058="""",,E2058&gt;=FILTER(Constants!$F$2:$F$10,Constants!$A$2:$A$10=A2058)))"),"")</f>
        <v/>
      </c>
    </row>
    <row r="2059">
      <c r="A2059" s="87"/>
      <c r="B2059" s="87"/>
      <c r="C2059" s="88"/>
      <c r="D2059" s="73"/>
      <c r="E2059" s="82"/>
      <c r="F2059" s="82"/>
      <c r="G2059" s="86"/>
      <c r="H2059" s="86"/>
      <c r="I2059" s="86"/>
      <c r="J2059" s="82"/>
      <c r="K2059" s="82"/>
      <c r="L2059" s="82"/>
      <c r="M2059" s="82"/>
      <c r="N2059" s="82"/>
      <c r="O2059" s="82"/>
      <c r="P2059" s="82"/>
      <c r="Q2059" s="82"/>
      <c r="R2059" s="82"/>
      <c r="S2059" s="82"/>
      <c r="T2059" s="82"/>
      <c r="U2059" s="82"/>
      <c r="V2059" s="82"/>
      <c r="W2059" s="82"/>
      <c r="X2059" s="82"/>
      <c r="Y2059" s="82"/>
      <c r="Z2059" s="82"/>
      <c r="AA2059" s="82"/>
      <c r="AB2059" s="82"/>
      <c r="AC2059" s="82"/>
      <c r="AD2059" s="82"/>
      <c r="AE2059" s="82"/>
      <c r="AF2059" s="82"/>
      <c r="AG2059" s="82"/>
      <c r="AH2059" s="82"/>
      <c r="AI2059" s="82"/>
      <c r="AJ2059" s="82"/>
      <c r="AK2059" s="82"/>
      <c r="AL2059" s="82"/>
      <c r="AM2059" s="82"/>
      <c r="AN2059" s="82"/>
      <c r="AO2059" s="82"/>
      <c r="AP2059" s="82"/>
      <c r="AQ2059" s="82"/>
      <c r="AR2059" s="82"/>
      <c r="AS2059" s="82"/>
      <c r="AT2059" s="82"/>
      <c r="AU2059" s="82"/>
      <c r="AV2059" s="82"/>
      <c r="AW2059" s="82" t="str">
        <f t="shared" si="1"/>
        <v/>
      </c>
      <c r="AX2059" s="83" t="str">
        <f t="array" ref="AX2059">IFERROR(DGET('SBV Import'!A:G,"SBV",{"RSC ID","Tier";B2059,A2059}))</f>
        <v/>
      </c>
      <c r="AY2059" s="82" t="str">
        <f t="shared" si="2"/>
        <v/>
      </c>
      <c r="AZ2059" s="82"/>
      <c r="BA2059" s="84" t="s">
        <v>152</v>
      </c>
      <c r="BB2059" s="84" t="str">
        <f>IFERROR(__xludf.DUMMYFUNCTION("iferror(if(A2059="""",,E2059&gt;=FILTER(Constants!$F$2:$F$10,Constants!$A$2:$A$10=A2059)))"),"")</f>
        <v/>
      </c>
    </row>
    <row r="2060">
      <c r="A2060" s="87"/>
      <c r="B2060" s="87"/>
      <c r="C2060" s="73"/>
      <c r="D2060" s="73"/>
      <c r="E2060" s="82"/>
      <c r="F2060" s="82"/>
      <c r="G2060" s="86"/>
      <c r="H2060" s="86"/>
      <c r="I2060" s="86"/>
      <c r="J2060" s="82"/>
      <c r="K2060" s="82"/>
      <c r="L2060" s="82"/>
      <c r="M2060" s="82"/>
      <c r="N2060" s="82"/>
      <c r="O2060" s="82"/>
      <c r="P2060" s="82"/>
      <c r="Q2060" s="82"/>
      <c r="R2060" s="82"/>
      <c r="S2060" s="82"/>
      <c r="T2060" s="82"/>
      <c r="U2060" s="82"/>
      <c r="V2060" s="82"/>
      <c r="W2060" s="82"/>
      <c r="X2060" s="82"/>
      <c r="Y2060" s="82"/>
      <c r="Z2060" s="82"/>
      <c r="AA2060" s="82"/>
      <c r="AB2060" s="82"/>
      <c r="AC2060" s="82"/>
      <c r="AD2060" s="82"/>
      <c r="AE2060" s="82"/>
      <c r="AF2060" s="82"/>
      <c r="AG2060" s="82"/>
      <c r="AH2060" s="82"/>
      <c r="AI2060" s="82"/>
      <c r="AJ2060" s="82"/>
      <c r="AK2060" s="82"/>
      <c r="AL2060" s="82"/>
      <c r="AM2060" s="82"/>
      <c r="AN2060" s="82"/>
      <c r="AO2060" s="82"/>
      <c r="AP2060" s="82"/>
      <c r="AQ2060" s="82"/>
      <c r="AR2060" s="82"/>
      <c r="AS2060" s="82"/>
      <c r="AT2060" s="82"/>
      <c r="AU2060" s="82"/>
      <c r="AV2060" s="82"/>
      <c r="AW2060" s="82" t="str">
        <f t="shared" si="1"/>
        <v/>
      </c>
      <c r="AX2060" s="83" t="str">
        <f t="array" ref="AX2060">IFERROR(DGET('SBV Import'!A:G,"SBV",{"RSC ID","Tier";B2060,A2060}))</f>
        <v/>
      </c>
      <c r="AY2060" s="82" t="str">
        <f t="shared" si="2"/>
        <v/>
      </c>
      <c r="AZ2060" s="82"/>
      <c r="BA2060" s="84" t="s">
        <v>152</v>
      </c>
      <c r="BB2060" s="84" t="str">
        <f>IFERROR(__xludf.DUMMYFUNCTION("iferror(if(A2060="""",,E2060&gt;=FILTER(Constants!$F$2:$F$10,Constants!$A$2:$A$10=A2060)))"),"")</f>
        <v/>
      </c>
    </row>
    <row r="2061">
      <c r="A2061" s="87"/>
      <c r="B2061" s="87"/>
      <c r="C2061" s="73"/>
      <c r="D2061" s="73"/>
      <c r="E2061" s="82"/>
      <c r="F2061" s="82"/>
      <c r="G2061" s="86"/>
      <c r="H2061" s="86"/>
      <c r="I2061" s="86"/>
      <c r="J2061" s="82"/>
      <c r="K2061" s="82"/>
      <c r="L2061" s="82"/>
      <c r="M2061" s="82"/>
      <c r="N2061" s="82"/>
      <c r="O2061" s="82"/>
      <c r="P2061" s="82"/>
      <c r="Q2061" s="82"/>
      <c r="R2061" s="82"/>
      <c r="S2061" s="82"/>
      <c r="T2061" s="82"/>
      <c r="U2061" s="82"/>
      <c r="V2061" s="82"/>
      <c r="W2061" s="82"/>
      <c r="X2061" s="82"/>
      <c r="Y2061" s="82"/>
      <c r="Z2061" s="82"/>
      <c r="AA2061" s="82"/>
      <c r="AB2061" s="82"/>
      <c r="AC2061" s="82"/>
      <c r="AD2061" s="82"/>
      <c r="AE2061" s="82"/>
      <c r="AF2061" s="82"/>
      <c r="AG2061" s="82"/>
      <c r="AH2061" s="82"/>
      <c r="AI2061" s="82"/>
      <c r="AJ2061" s="82"/>
      <c r="AK2061" s="82"/>
      <c r="AL2061" s="82"/>
      <c r="AM2061" s="82"/>
      <c r="AN2061" s="82"/>
      <c r="AO2061" s="82"/>
      <c r="AP2061" s="82"/>
      <c r="AQ2061" s="82"/>
      <c r="AR2061" s="82"/>
      <c r="AS2061" s="82"/>
      <c r="AT2061" s="82"/>
      <c r="AU2061" s="82"/>
      <c r="AV2061" s="82"/>
      <c r="AW2061" s="82" t="str">
        <f t="shared" si="1"/>
        <v/>
      </c>
      <c r="AX2061" s="83" t="str">
        <f t="array" ref="AX2061">IFERROR(DGET('SBV Import'!A:G,"SBV",{"RSC ID","Tier";B2061,A2061}))</f>
        <v/>
      </c>
      <c r="AY2061" s="82" t="str">
        <f t="shared" si="2"/>
        <v/>
      </c>
      <c r="AZ2061" s="82"/>
      <c r="BA2061" s="84" t="s">
        <v>152</v>
      </c>
      <c r="BB2061" s="84" t="str">
        <f>IFERROR(__xludf.DUMMYFUNCTION("iferror(if(A2061="""",,E2061&gt;=FILTER(Constants!$F$2:$F$10,Constants!$A$2:$A$10=A2061)))"),"")</f>
        <v/>
      </c>
    </row>
    <row r="2062">
      <c r="A2062" s="87"/>
      <c r="B2062" s="87"/>
      <c r="C2062" s="73"/>
      <c r="D2062" s="73"/>
      <c r="E2062" s="82"/>
      <c r="F2062" s="82"/>
      <c r="G2062" s="86"/>
      <c r="H2062" s="86"/>
      <c r="I2062" s="86"/>
      <c r="J2062" s="82"/>
      <c r="K2062" s="82"/>
      <c r="L2062" s="82"/>
      <c r="M2062" s="82"/>
      <c r="N2062" s="82"/>
      <c r="O2062" s="82"/>
      <c r="P2062" s="82"/>
      <c r="Q2062" s="82"/>
      <c r="R2062" s="82"/>
      <c r="S2062" s="82"/>
      <c r="T2062" s="82"/>
      <c r="U2062" s="82"/>
      <c r="V2062" s="82"/>
      <c r="W2062" s="82"/>
      <c r="X2062" s="82"/>
      <c r="Y2062" s="82"/>
      <c r="Z2062" s="82"/>
      <c r="AA2062" s="82"/>
      <c r="AB2062" s="82"/>
      <c r="AC2062" s="82"/>
      <c r="AD2062" s="82"/>
      <c r="AE2062" s="82"/>
      <c r="AF2062" s="82"/>
      <c r="AG2062" s="82"/>
      <c r="AH2062" s="82"/>
      <c r="AI2062" s="82"/>
      <c r="AJ2062" s="82"/>
      <c r="AK2062" s="82"/>
      <c r="AL2062" s="82"/>
      <c r="AM2062" s="82"/>
      <c r="AN2062" s="82"/>
      <c r="AO2062" s="82"/>
      <c r="AP2062" s="82"/>
      <c r="AQ2062" s="82"/>
      <c r="AR2062" s="82"/>
      <c r="AS2062" s="82"/>
      <c r="AT2062" s="82"/>
      <c r="AU2062" s="82"/>
      <c r="AV2062" s="82"/>
      <c r="AW2062" s="82" t="str">
        <f t="shared" si="1"/>
        <v/>
      </c>
      <c r="AX2062" s="83" t="str">
        <f t="array" ref="AX2062">IFERROR(DGET('SBV Import'!A:G,"SBV",{"RSC ID","Tier";B2062,A2062}))</f>
        <v/>
      </c>
      <c r="AY2062" s="82" t="str">
        <f t="shared" si="2"/>
        <v/>
      </c>
      <c r="AZ2062" s="82"/>
      <c r="BA2062" s="84" t="s">
        <v>152</v>
      </c>
      <c r="BB2062" s="84" t="str">
        <f>IFERROR(__xludf.DUMMYFUNCTION("iferror(if(A2062="""",,E2062&gt;=FILTER(Constants!$F$2:$F$10,Constants!$A$2:$A$10=A2062)))"),"")</f>
        <v/>
      </c>
    </row>
    <row r="2063">
      <c r="A2063" s="87"/>
      <c r="B2063" s="87"/>
      <c r="C2063" s="73"/>
      <c r="D2063" s="73"/>
      <c r="E2063" s="82"/>
      <c r="F2063" s="82"/>
      <c r="G2063" s="86"/>
      <c r="H2063" s="86"/>
      <c r="I2063" s="86"/>
      <c r="J2063" s="82"/>
      <c r="K2063" s="82"/>
      <c r="L2063" s="82"/>
      <c r="M2063" s="82"/>
      <c r="N2063" s="82"/>
      <c r="O2063" s="82"/>
      <c r="P2063" s="82"/>
      <c r="Q2063" s="82"/>
      <c r="R2063" s="82"/>
      <c r="S2063" s="82"/>
      <c r="T2063" s="82"/>
      <c r="U2063" s="82"/>
      <c r="V2063" s="82"/>
      <c r="W2063" s="82"/>
      <c r="X2063" s="82"/>
      <c r="Y2063" s="82"/>
      <c r="Z2063" s="82"/>
      <c r="AA2063" s="82"/>
      <c r="AB2063" s="82"/>
      <c r="AC2063" s="82"/>
      <c r="AD2063" s="82"/>
      <c r="AE2063" s="82"/>
      <c r="AF2063" s="82"/>
      <c r="AG2063" s="82"/>
      <c r="AH2063" s="82"/>
      <c r="AI2063" s="82"/>
      <c r="AJ2063" s="82"/>
      <c r="AK2063" s="82"/>
      <c r="AL2063" s="82"/>
      <c r="AM2063" s="82"/>
      <c r="AN2063" s="82"/>
      <c r="AO2063" s="82"/>
      <c r="AP2063" s="82"/>
      <c r="AQ2063" s="82"/>
      <c r="AR2063" s="82"/>
      <c r="AS2063" s="82"/>
      <c r="AT2063" s="82"/>
      <c r="AU2063" s="82"/>
      <c r="AV2063" s="82"/>
      <c r="AW2063" s="82" t="str">
        <f t="shared" si="1"/>
        <v/>
      </c>
      <c r="AX2063" s="83" t="str">
        <f t="array" ref="AX2063">IFERROR(DGET('SBV Import'!A:G,"SBV",{"RSC ID","Tier";B2063,A2063}))</f>
        <v/>
      </c>
      <c r="AY2063" s="82" t="str">
        <f t="shared" si="2"/>
        <v/>
      </c>
      <c r="AZ2063" s="82"/>
      <c r="BA2063" s="84" t="s">
        <v>152</v>
      </c>
      <c r="BB2063" s="84" t="str">
        <f>IFERROR(__xludf.DUMMYFUNCTION("iferror(if(A2063="""",,E2063&gt;=FILTER(Constants!$F$2:$F$10,Constants!$A$2:$A$10=A2063)))"),"")</f>
        <v/>
      </c>
    </row>
    <row r="2064">
      <c r="A2064" s="87"/>
      <c r="B2064" s="87"/>
      <c r="C2064" s="73"/>
      <c r="D2064" s="73"/>
      <c r="E2064" s="82"/>
      <c r="F2064" s="82"/>
      <c r="G2064" s="86"/>
      <c r="H2064" s="86"/>
      <c r="I2064" s="86"/>
      <c r="J2064" s="82"/>
      <c r="K2064" s="82"/>
      <c r="L2064" s="82"/>
      <c r="M2064" s="82"/>
      <c r="N2064" s="82"/>
      <c r="O2064" s="82"/>
      <c r="P2064" s="82"/>
      <c r="Q2064" s="82"/>
      <c r="R2064" s="82"/>
      <c r="S2064" s="82"/>
      <c r="T2064" s="82"/>
      <c r="U2064" s="82"/>
      <c r="V2064" s="82"/>
      <c r="W2064" s="82"/>
      <c r="X2064" s="82"/>
      <c r="Y2064" s="82"/>
      <c r="Z2064" s="82"/>
      <c r="AA2064" s="82"/>
      <c r="AB2064" s="82"/>
      <c r="AC2064" s="82"/>
      <c r="AD2064" s="82"/>
      <c r="AE2064" s="82"/>
      <c r="AF2064" s="82"/>
      <c r="AG2064" s="82"/>
      <c r="AH2064" s="82"/>
      <c r="AI2064" s="82"/>
      <c r="AJ2064" s="82"/>
      <c r="AK2064" s="82"/>
      <c r="AL2064" s="82"/>
      <c r="AM2064" s="82"/>
      <c r="AN2064" s="82"/>
      <c r="AO2064" s="82"/>
      <c r="AP2064" s="82"/>
      <c r="AQ2064" s="82"/>
      <c r="AR2064" s="82"/>
      <c r="AS2064" s="82"/>
      <c r="AT2064" s="82"/>
      <c r="AU2064" s="82"/>
      <c r="AV2064" s="82"/>
      <c r="AW2064" s="82" t="str">
        <f t="shared" si="1"/>
        <v/>
      </c>
      <c r="AX2064" s="83" t="str">
        <f t="array" ref="AX2064">IFERROR(DGET('SBV Import'!A:G,"SBV",{"RSC ID","Tier";B2064,A2064}))</f>
        <v/>
      </c>
      <c r="AY2064" s="82" t="str">
        <f t="shared" si="2"/>
        <v/>
      </c>
      <c r="AZ2064" s="82"/>
      <c r="BA2064" s="84" t="s">
        <v>152</v>
      </c>
      <c r="BB2064" s="84" t="str">
        <f>IFERROR(__xludf.DUMMYFUNCTION("iferror(if(A2064="""",,E2064&gt;=FILTER(Constants!$F$2:$F$10,Constants!$A$2:$A$10=A2064)))"),"")</f>
        <v/>
      </c>
    </row>
    <row r="2065">
      <c r="A2065" s="87"/>
      <c r="B2065" s="87"/>
      <c r="C2065" s="73"/>
      <c r="D2065" s="73"/>
      <c r="E2065" s="82"/>
      <c r="F2065" s="82"/>
      <c r="G2065" s="86"/>
      <c r="H2065" s="86"/>
      <c r="I2065" s="86"/>
      <c r="J2065" s="82"/>
      <c r="K2065" s="82"/>
      <c r="L2065" s="82"/>
      <c r="M2065" s="82"/>
      <c r="N2065" s="82"/>
      <c r="O2065" s="82"/>
      <c r="P2065" s="82"/>
      <c r="Q2065" s="82"/>
      <c r="R2065" s="82"/>
      <c r="S2065" s="82"/>
      <c r="T2065" s="82"/>
      <c r="U2065" s="82"/>
      <c r="V2065" s="82"/>
      <c r="W2065" s="82"/>
      <c r="X2065" s="82"/>
      <c r="Y2065" s="82"/>
      <c r="Z2065" s="82"/>
      <c r="AA2065" s="82"/>
      <c r="AB2065" s="82"/>
      <c r="AC2065" s="82"/>
      <c r="AD2065" s="82"/>
      <c r="AE2065" s="82"/>
      <c r="AF2065" s="82"/>
      <c r="AG2065" s="82"/>
      <c r="AH2065" s="82"/>
      <c r="AI2065" s="82"/>
      <c r="AJ2065" s="82"/>
      <c r="AK2065" s="82"/>
      <c r="AL2065" s="82"/>
      <c r="AM2065" s="82"/>
      <c r="AN2065" s="82"/>
      <c r="AO2065" s="82"/>
      <c r="AP2065" s="82"/>
      <c r="AQ2065" s="82"/>
      <c r="AR2065" s="82"/>
      <c r="AS2065" s="82"/>
      <c r="AT2065" s="82"/>
      <c r="AU2065" s="82"/>
      <c r="AV2065" s="82"/>
      <c r="AW2065" s="82" t="str">
        <f t="shared" si="1"/>
        <v/>
      </c>
      <c r="AX2065" s="83" t="str">
        <f t="array" ref="AX2065">IFERROR(DGET('SBV Import'!A:G,"SBV",{"RSC ID","Tier";B2065,A2065}))</f>
        <v/>
      </c>
      <c r="AY2065" s="82" t="str">
        <f t="shared" si="2"/>
        <v/>
      </c>
      <c r="AZ2065" s="82"/>
      <c r="BA2065" s="84" t="s">
        <v>152</v>
      </c>
      <c r="BB2065" s="84" t="str">
        <f>IFERROR(__xludf.DUMMYFUNCTION("iferror(if(A2065="""",,E2065&gt;=FILTER(Constants!$F$2:$F$10,Constants!$A$2:$A$10=A2065)))"),"")</f>
        <v/>
      </c>
    </row>
    <row r="2066">
      <c r="A2066" s="87"/>
      <c r="B2066" s="87"/>
      <c r="C2066" s="73"/>
      <c r="D2066" s="73"/>
      <c r="E2066" s="82"/>
      <c r="F2066" s="82"/>
      <c r="G2066" s="86"/>
      <c r="H2066" s="86"/>
      <c r="I2066" s="86"/>
      <c r="J2066" s="82"/>
      <c r="K2066" s="82"/>
      <c r="L2066" s="82"/>
      <c r="M2066" s="82"/>
      <c r="N2066" s="82"/>
      <c r="O2066" s="82"/>
      <c r="P2066" s="82"/>
      <c r="Q2066" s="82"/>
      <c r="R2066" s="82"/>
      <c r="S2066" s="82"/>
      <c r="T2066" s="82"/>
      <c r="U2066" s="82"/>
      <c r="V2066" s="82"/>
      <c r="W2066" s="82"/>
      <c r="X2066" s="82"/>
      <c r="Y2066" s="82"/>
      <c r="Z2066" s="82"/>
      <c r="AA2066" s="82"/>
      <c r="AB2066" s="82"/>
      <c r="AC2066" s="82"/>
      <c r="AD2066" s="82"/>
      <c r="AE2066" s="82"/>
      <c r="AF2066" s="82"/>
      <c r="AG2066" s="82"/>
      <c r="AH2066" s="82"/>
      <c r="AI2066" s="82"/>
      <c r="AJ2066" s="82"/>
      <c r="AK2066" s="82"/>
      <c r="AL2066" s="82"/>
      <c r="AM2066" s="82"/>
      <c r="AN2066" s="82"/>
      <c r="AO2066" s="82"/>
      <c r="AP2066" s="82"/>
      <c r="AQ2066" s="82"/>
      <c r="AR2066" s="82"/>
      <c r="AS2066" s="82"/>
      <c r="AT2066" s="82"/>
      <c r="AU2066" s="82"/>
      <c r="AV2066" s="82"/>
      <c r="AW2066" s="82" t="str">
        <f t="shared" si="1"/>
        <v/>
      </c>
      <c r="AX2066" s="83" t="str">
        <f t="array" ref="AX2066">IFERROR(DGET('SBV Import'!A:G,"SBV",{"RSC ID","Tier";B2066,A2066}))</f>
        <v/>
      </c>
      <c r="AY2066" s="82" t="str">
        <f t="shared" si="2"/>
        <v/>
      </c>
      <c r="AZ2066" s="82"/>
      <c r="BA2066" s="84" t="s">
        <v>152</v>
      </c>
      <c r="BB2066" s="84" t="str">
        <f>IFERROR(__xludf.DUMMYFUNCTION("iferror(if(A2066="""",,E2066&gt;=FILTER(Constants!$F$2:$F$10,Constants!$A$2:$A$10=A2066)))"),"")</f>
        <v/>
      </c>
    </row>
    <row r="2067">
      <c r="A2067" s="87"/>
      <c r="B2067" s="87"/>
      <c r="C2067" s="73"/>
      <c r="D2067" s="73"/>
      <c r="E2067" s="82"/>
      <c r="F2067" s="82"/>
      <c r="G2067" s="86"/>
      <c r="H2067" s="86"/>
      <c r="I2067" s="86"/>
      <c r="J2067" s="82"/>
      <c r="K2067" s="82"/>
      <c r="L2067" s="82"/>
      <c r="M2067" s="82"/>
      <c r="N2067" s="82"/>
      <c r="O2067" s="82"/>
      <c r="P2067" s="82"/>
      <c r="Q2067" s="82"/>
      <c r="R2067" s="82"/>
      <c r="S2067" s="82"/>
      <c r="T2067" s="82"/>
      <c r="U2067" s="82"/>
      <c r="V2067" s="82"/>
      <c r="W2067" s="82"/>
      <c r="X2067" s="82"/>
      <c r="Y2067" s="82"/>
      <c r="Z2067" s="82"/>
      <c r="AA2067" s="82"/>
      <c r="AB2067" s="82"/>
      <c r="AC2067" s="82"/>
      <c r="AD2067" s="82"/>
      <c r="AE2067" s="82"/>
      <c r="AF2067" s="82"/>
      <c r="AG2067" s="82"/>
      <c r="AH2067" s="82"/>
      <c r="AI2067" s="82"/>
      <c r="AJ2067" s="82"/>
      <c r="AK2067" s="82"/>
      <c r="AL2067" s="82"/>
      <c r="AM2067" s="82"/>
      <c r="AN2067" s="82"/>
      <c r="AO2067" s="82"/>
      <c r="AP2067" s="82"/>
      <c r="AQ2067" s="82"/>
      <c r="AR2067" s="82"/>
      <c r="AS2067" s="82"/>
      <c r="AT2067" s="82"/>
      <c r="AU2067" s="82"/>
      <c r="AV2067" s="82"/>
      <c r="AW2067" s="82" t="str">
        <f t="shared" si="1"/>
        <v/>
      </c>
      <c r="AX2067" s="83" t="str">
        <f t="array" ref="AX2067">IFERROR(DGET('SBV Import'!A:G,"SBV",{"RSC ID","Tier";B2067,A2067}))</f>
        <v/>
      </c>
      <c r="AY2067" s="82" t="str">
        <f t="shared" si="2"/>
        <v/>
      </c>
      <c r="AZ2067" s="82"/>
      <c r="BA2067" s="84" t="s">
        <v>152</v>
      </c>
      <c r="BB2067" s="84" t="str">
        <f>IFERROR(__xludf.DUMMYFUNCTION("iferror(if(A2067="""",,E2067&gt;=FILTER(Constants!$F$2:$F$10,Constants!$A$2:$A$10=A2067)))"),"")</f>
        <v/>
      </c>
    </row>
    <row r="2068">
      <c r="A2068" s="87"/>
      <c r="B2068" s="87"/>
      <c r="C2068" s="73"/>
      <c r="D2068" s="73"/>
      <c r="E2068" s="82"/>
      <c r="F2068" s="82"/>
      <c r="G2068" s="86"/>
      <c r="H2068" s="86"/>
      <c r="I2068" s="86"/>
      <c r="J2068" s="82"/>
      <c r="K2068" s="82"/>
      <c r="L2068" s="82"/>
      <c r="M2068" s="82"/>
      <c r="N2068" s="82"/>
      <c r="O2068" s="82"/>
      <c r="P2068" s="82"/>
      <c r="Q2068" s="82"/>
      <c r="R2068" s="82"/>
      <c r="S2068" s="82"/>
      <c r="T2068" s="82"/>
      <c r="U2068" s="82"/>
      <c r="V2068" s="82"/>
      <c r="W2068" s="82"/>
      <c r="X2068" s="82"/>
      <c r="Y2068" s="82"/>
      <c r="Z2068" s="82"/>
      <c r="AA2068" s="82"/>
      <c r="AB2068" s="82"/>
      <c r="AC2068" s="82"/>
      <c r="AD2068" s="82"/>
      <c r="AE2068" s="82"/>
      <c r="AF2068" s="82"/>
      <c r="AG2068" s="82"/>
      <c r="AH2068" s="82"/>
      <c r="AI2068" s="82"/>
      <c r="AJ2068" s="82"/>
      <c r="AK2068" s="82"/>
      <c r="AL2068" s="82"/>
      <c r="AM2068" s="82"/>
      <c r="AN2068" s="82"/>
      <c r="AO2068" s="82"/>
      <c r="AP2068" s="82"/>
      <c r="AQ2068" s="82"/>
      <c r="AR2068" s="82"/>
      <c r="AS2068" s="82"/>
      <c r="AT2068" s="82"/>
      <c r="AU2068" s="82"/>
      <c r="AV2068" s="82"/>
      <c r="AW2068" s="82" t="str">
        <f t="shared" si="1"/>
        <v/>
      </c>
      <c r="AX2068" s="83" t="str">
        <f t="array" ref="AX2068">IFERROR(DGET('SBV Import'!A:G,"SBV",{"RSC ID","Tier";B2068,A2068}))</f>
        <v/>
      </c>
      <c r="AY2068" s="82" t="str">
        <f t="shared" si="2"/>
        <v/>
      </c>
      <c r="AZ2068" s="82"/>
      <c r="BA2068" s="84" t="s">
        <v>152</v>
      </c>
      <c r="BB2068" s="84" t="str">
        <f>IFERROR(__xludf.DUMMYFUNCTION("iferror(if(A2068="""",,E2068&gt;=FILTER(Constants!$F$2:$F$10,Constants!$A$2:$A$10=A2068)))"),"")</f>
        <v/>
      </c>
    </row>
    <row r="2069">
      <c r="A2069" s="87"/>
      <c r="B2069" s="87"/>
      <c r="C2069" s="73"/>
      <c r="D2069" s="73"/>
      <c r="E2069" s="82"/>
      <c r="F2069" s="82"/>
      <c r="G2069" s="86"/>
      <c r="H2069" s="86"/>
      <c r="I2069" s="86"/>
      <c r="J2069" s="82"/>
      <c r="K2069" s="82"/>
      <c r="L2069" s="82"/>
      <c r="M2069" s="82"/>
      <c r="N2069" s="82"/>
      <c r="O2069" s="82"/>
      <c r="P2069" s="82"/>
      <c r="Q2069" s="82"/>
      <c r="R2069" s="82"/>
      <c r="S2069" s="82"/>
      <c r="T2069" s="82"/>
      <c r="U2069" s="82"/>
      <c r="V2069" s="82"/>
      <c r="W2069" s="82"/>
      <c r="X2069" s="82"/>
      <c r="Y2069" s="82"/>
      <c r="Z2069" s="82"/>
      <c r="AA2069" s="82"/>
      <c r="AB2069" s="82"/>
      <c r="AC2069" s="82"/>
      <c r="AD2069" s="82"/>
      <c r="AE2069" s="82"/>
      <c r="AF2069" s="82"/>
      <c r="AG2069" s="82"/>
      <c r="AH2069" s="82"/>
      <c r="AI2069" s="82"/>
      <c r="AJ2069" s="82"/>
      <c r="AK2069" s="82"/>
      <c r="AL2069" s="82"/>
      <c r="AM2069" s="82"/>
      <c r="AN2069" s="82"/>
      <c r="AO2069" s="82"/>
      <c r="AP2069" s="82"/>
      <c r="AQ2069" s="82"/>
      <c r="AR2069" s="82"/>
      <c r="AS2069" s="82"/>
      <c r="AT2069" s="82"/>
      <c r="AU2069" s="82"/>
      <c r="AV2069" s="82"/>
      <c r="AW2069" s="82" t="str">
        <f t="shared" si="1"/>
        <v/>
      </c>
      <c r="AX2069" s="83" t="str">
        <f t="array" ref="AX2069">IFERROR(DGET('SBV Import'!A:G,"SBV",{"RSC ID","Tier";B2069,A2069}))</f>
        <v/>
      </c>
      <c r="AY2069" s="82" t="str">
        <f t="shared" si="2"/>
        <v/>
      </c>
      <c r="AZ2069" s="82"/>
      <c r="BA2069" s="84" t="s">
        <v>152</v>
      </c>
      <c r="BB2069" s="84" t="str">
        <f>IFERROR(__xludf.DUMMYFUNCTION("iferror(if(A2069="""",,E2069&gt;=FILTER(Constants!$F$2:$F$10,Constants!$A$2:$A$10=A2069)))"),"")</f>
        <v/>
      </c>
    </row>
    <row r="2070">
      <c r="A2070" s="87"/>
      <c r="B2070" s="87"/>
      <c r="C2070" s="73"/>
      <c r="D2070" s="73"/>
      <c r="E2070" s="82"/>
      <c r="F2070" s="82"/>
      <c r="G2070" s="86"/>
      <c r="H2070" s="86"/>
      <c r="I2070" s="86"/>
      <c r="J2070" s="82"/>
      <c r="K2070" s="82"/>
      <c r="L2070" s="82"/>
      <c r="M2070" s="82"/>
      <c r="N2070" s="82"/>
      <c r="O2070" s="82"/>
      <c r="P2070" s="82"/>
      <c r="Q2070" s="82"/>
      <c r="R2070" s="82"/>
      <c r="S2070" s="82"/>
      <c r="T2070" s="82"/>
      <c r="U2070" s="82"/>
      <c r="V2070" s="82"/>
      <c r="W2070" s="82"/>
      <c r="X2070" s="82"/>
      <c r="Y2070" s="82"/>
      <c r="Z2070" s="82"/>
      <c r="AA2070" s="82"/>
      <c r="AB2070" s="82"/>
      <c r="AC2070" s="82"/>
      <c r="AD2070" s="82"/>
      <c r="AE2070" s="82"/>
      <c r="AF2070" s="82"/>
      <c r="AG2070" s="82"/>
      <c r="AH2070" s="82"/>
      <c r="AI2070" s="82"/>
      <c r="AJ2070" s="82"/>
      <c r="AK2070" s="82"/>
      <c r="AL2070" s="82"/>
      <c r="AM2070" s="82"/>
      <c r="AN2070" s="82"/>
      <c r="AO2070" s="82"/>
      <c r="AP2070" s="82"/>
      <c r="AQ2070" s="82"/>
      <c r="AR2070" s="82"/>
      <c r="AS2070" s="82"/>
      <c r="AT2070" s="82"/>
      <c r="AU2070" s="82"/>
      <c r="AV2070" s="82"/>
      <c r="AW2070" s="82" t="str">
        <f t="shared" si="1"/>
        <v/>
      </c>
      <c r="AX2070" s="83" t="str">
        <f t="array" ref="AX2070">IFERROR(DGET('SBV Import'!A:G,"SBV",{"RSC ID","Tier";B2070,A2070}))</f>
        <v/>
      </c>
      <c r="AY2070" s="82" t="str">
        <f t="shared" si="2"/>
        <v/>
      </c>
      <c r="AZ2070" s="82"/>
      <c r="BA2070" s="84" t="s">
        <v>152</v>
      </c>
      <c r="BB2070" s="84" t="str">
        <f>IFERROR(__xludf.DUMMYFUNCTION("iferror(if(A2070="""",,E2070&gt;=FILTER(Constants!$F$2:$F$10,Constants!$A$2:$A$10=A2070)))"),"")</f>
        <v/>
      </c>
    </row>
    <row r="2071">
      <c r="A2071" s="87"/>
      <c r="B2071" s="87"/>
      <c r="C2071" s="73"/>
      <c r="D2071" s="73"/>
      <c r="E2071" s="82"/>
      <c r="F2071" s="82"/>
      <c r="G2071" s="86"/>
      <c r="H2071" s="86"/>
      <c r="I2071" s="86"/>
      <c r="J2071" s="82"/>
      <c r="K2071" s="82"/>
      <c r="L2071" s="82"/>
      <c r="M2071" s="82"/>
      <c r="N2071" s="82"/>
      <c r="O2071" s="82"/>
      <c r="P2071" s="82"/>
      <c r="Q2071" s="82"/>
      <c r="R2071" s="82"/>
      <c r="S2071" s="82"/>
      <c r="T2071" s="82"/>
      <c r="U2071" s="82"/>
      <c r="V2071" s="82"/>
      <c r="W2071" s="82"/>
      <c r="X2071" s="82"/>
      <c r="Y2071" s="82"/>
      <c r="Z2071" s="82"/>
      <c r="AA2071" s="82"/>
      <c r="AB2071" s="82"/>
      <c r="AC2071" s="82"/>
      <c r="AD2071" s="82"/>
      <c r="AE2071" s="82"/>
      <c r="AF2071" s="82"/>
      <c r="AG2071" s="82"/>
      <c r="AH2071" s="82"/>
      <c r="AI2071" s="82"/>
      <c r="AJ2071" s="82"/>
      <c r="AK2071" s="82"/>
      <c r="AL2071" s="82"/>
      <c r="AM2071" s="82"/>
      <c r="AN2071" s="82"/>
      <c r="AO2071" s="82"/>
      <c r="AP2071" s="82"/>
      <c r="AQ2071" s="82"/>
      <c r="AR2071" s="82"/>
      <c r="AS2071" s="82"/>
      <c r="AT2071" s="82"/>
      <c r="AU2071" s="82"/>
      <c r="AV2071" s="82"/>
      <c r="AW2071" s="82" t="str">
        <f t="shared" si="1"/>
        <v/>
      </c>
      <c r="AX2071" s="83" t="str">
        <f t="array" ref="AX2071">IFERROR(DGET('SBV Import'!A:G,"SBV",{"RSC ID","Tier";B2071,A2071}))</f>
        <v/>
      </c>
      <c r="AY2071" s="82" t="str">
        <f t="shared" si="2"/>
        <v/>
      </c>
      <c r="AZ2071" s="82"/>
      <c r="BA2071" s="84" t="s">
        <v>152</v>
      </c>
      <c r="BB2071" s="84" t="str">
        <f>IFERROR(__xludf.DUMMYFUNCTION("iferror(if(A2071="""",,E2071&gt;=FILTER(Constants!$F$2:$F$10,Constants!$A$2:$A$10=A2071)))"),"")</f>
        <v/>
      </c>
    </row>
    <row r="2072">
      <c r="A2072" s="87"/>
      <c r="B2072" s="87"/>
      <c r="C2072" s="73"/>
      <c r="D2072" s="73"/>
      <c r="E2072" s="82"/>
      <c r="F2072" s="82"/>
      <c r="G2072" s="86"/>
      <c r="H2072" s="86"/>
      <c r="I2072" s="86"/>
      <c r="J2072" s="82"/>
      <c r="K2072" s="82"/>
      <c r="L2072" s="82"/>
      <c r="M2072" s="82"/>
      <c r="N2072" s="82"/>
      <c r="O2072" s="82"/>
      <c r="P2072" s="82"/>
      <c r="Q2072" s="82"/>
      <c r="R2072" s="82"/>
      <c r="S2072" s="82"/>
      <c r="T2072" s="82"/>
      <c r="U2072" s="82"/>
      <c r="V2072" s="82"/>
      <c r="W2072" s="82"/>
      <c r="X2072" s="82"/>
      <c r="Y2072" s="82"/>
      <c r="Z2072" s="82"/>
      <c r="AA2072" s="82"/>
      <c r="AB2072" s="82"/>
      <c r="AC2072" s="82"/>
      <c r="AD2072" s="82"/>
      <c r="AE2072" s="82"/>
      <c r="AF2072" s="82"/>
      <c r="AG2072" s="82"/>
      <c r="AH2072" s="82"/>
      <c r="AI2072" s="82"/>
      <c r="AJ2072" s="82"/>
      <c r="AK2072" s="82"/>
      <c r="AL2072" s="82"/>
      <c r="AM2072" s="82"/>
      <c r="AN2072" s="82"/>
      <c r="AO2072" s="82"/>
      <c r="AP2072" s="82"/>
      <c r="AQ2072" s="82"/>
      <c r="AR2072" s="82"/>
      <c r="AS2072" s="82"/>
      <c r="AT2072" s="82"/>
      <c r="AU2072" s="82"/>
      <c r="AV2072" s="82"/>
      <c r="AW2072" s="82" t="str">
        <f t="shared" si="1"/>
        <v/>
      </c>
      <c r="AX2072" s="83" t="str">
        <f t="array" ref="AX2072">IFERROR(DGET('SBV Import'!A:G,"SBV",{"RSC ID","Tier";B2072,A2072}))</f>
        <v/>
      </c>
      <c r="AY2072" s="82" t="str">
        <f t="shared" si="2"/>
        <v/>
      </c>
      <c r="AZ2072" s="82"/>
      <c r="BA2072" s="84" t="s">
        <v>152</v>
      </c>
      <c r="BB2072" s="84" t="str">
        <f>IFERROR(__xludf.DUMMYFUNCTION("iferror(if(A2072="""",,E2072&gt;=FILTER(Constants!$F$2:$F$10,Constants!$A$2:$A$10=A2072)))"),"")</f>
        <v/>
      </c>
    </row>
    <row r="2073">
      <c r="A2073" s="87"/>
      <c r="B2073" s="87"/>
      <c r="C2073" s="73"/>
      <c r="D2073" s="73"/>
      <c r="E2073" s="82"/>
      <c r="F2073" s="82"/>
      <c r="G2073" s="86"/>
      <c r="H2073" s="86"/>
      <c r="I2073" s="86"/>
      <c r="J2073" s="82"/>
      <c r="K2073" s="82"/>
      <c r="L2073" s="82"/>
      <c r="M2073" s="82"/>
      <c r="N2073" s="82"/>
      <c r="O2073" s="82"/>
      <c r="P2073" s="82"/>
      <c r="Q2073" s="82"/>
      <c r="R2073" s="82"/>
      <c r="S2073" s="82"/>
      <c r="T2073" s="82"/>
      <c r="U2073" s="82"/>
      <c r="V2073" s="82"/>
      <c r="W2073" s="82"/>
      <c r="X2073" s="82"/>
      <c r="Y2073" s="82"/>
      <c r="Z2073" s="82"/>
      <c r="AA2073" s="82"/>
      <c r="AB2073" s="82"/>
      <c r="AC2073" s="82"/>
      <c r="AD2073" s="82"/>
      <c r="AE2073" s="82"/>
      <c r="AF2073" s="82"/>
      <c r="AG2073" s="82"/>
      <c r="AH2073" s="82"/>
      <c r="AI2073" s="82"/>
      <c r="AJ2073" s="82"/>
      <c r="AK2073" s="82"/>
      <c r="AL2073" s="82"/>
      <c r="AM2073" s="82"/>
      <c r="AN2073" s="82"/>
      <c r="AO2073" s="82"/>
      <c r="AP2073" s="82"/>
      <c r="AQ2073" s="82"/>
      <c r="AR2073" s="82"/>
      <c r="AS2073" s="82"/>
      <c r="AT2073" s="82"/>
      <c r="AU2073" s="82"/>
      <c r="AV2073" s="82"/>
      <c r="AW2073" s="82" t="str">
        <f t="shared" si="1"/>
        <v/>
      </c>
      <c r="AX2073" s="83" t="str">
        <f t="array" ref="AX2073">IFERROR(DGET('SBV Import'!A:G,"SBV",{"RSC ID","Tier";B2073,A2073}))</f>
        <v/>
      </c>
      <c r="AY2073" s="82" t="str">
        <f t="shared" si="2"/>
        <v/>
      </c>
      <c r="AZ2073" s="82"/>
      <c r="BA2073" s="84" t="s">
        <v>152</v>
      </c>
      <c r="BB2073" s="84" t="str">
        <f>IFERROR(__xludf.DUMMYFUNCTION("iferror(if(A2073="""",,E2073&gt;=FILTER(Constants!$F$2:$F$10,Constants!$A$2:$A$10=A2073)))"),"")</f>
        <v/>
      </c>
    </row>
    <row r="2074">
      <c r="A2074" s="87"/>
      <c r="B2074" s="87"/>
      <c r="C2074" s="73"/>
      <c r="D2074" s="73"/>
      <c r="E2074" s="82"/>
      <c r="F2074" s="82"/>
      <c r="G2074" s="86"/>
      <c r="H2074" s="86"/>
      <c r="I2074" s="86"/>
      <c r="J2074" s="82"/>
      <c r="K2074" s="82"/>
      <c r="L2074" s="82"/>
      <c r="M2074" s="82"/>
      <c r="N2074" s="82"/>
      <c r="O2074" s="82"/>
      <c r="P2074" s="82"/>
      <c r="Q2074" s="82"/>
      <c r="R2074" s="82"/>
      <c r="S2074" s="82"/>
      <c r="T2074" s="82"/>
      <c r="U2074" s="82"/>
      <c r="V2074" s="82"/>
      <c r="W2074" s="82"/>
      <c r="X2074" s="82"/>
      <c r="Y2074" s="82"/>
      <c r="Z2074" s="82"/>
      <c r="AA2074" s="82"/>
      <c r="AB2074" s="82"/>
      <c r="AC2074" s="82"/>
      <c r="AD2074" s="82"/>
      <c r="AE2074" s="82"/>
      <c r="AF2074" s="82"/>
      <c r="AG2074" s="82"/>
      <c r="AH2074" s="82"/>
      <c r="AI2074" s="82"/>
      <c r="AJ2074" s="82"/>
      <c r="AK2074" s="82"/>
      <c r="AL2074" s="82"/>
      <c r="AM2074" s="82"/>
      <c r="AN2074" s="82"/>
      <c r="AO2074" s="82"/>
      <c r="AP2074" s="82"/>
      <c r="AQ2074" s="82"/>
      <c r="AR2074" s="82"/>
      <c r="AS2074" s="82"/>
      <c r="AT2074" s="82"/>
      <c r="AU2074" s="82"/>
      <c r="AV2074" s="82"/>
      <c r="AW2074" s="82" t="str">
        <f t="shared" si="1"/>
        <v/>
      </c>
      <c r="AX2074" s="83" t="str">
        <f t="array" ref="AX2074">IFERROR(DGET('SBV Import'!A:G,"SBV",{"RSC ID","Tier";B2074,A2074}))</f>
        <v/>
      </c>
      <c r="AY2074" s="82" t="str">
        <f t="shared" si="2"/>
        <v/>
      </c>
      <c r="AZ2074" s="82"/>
      <c r="BA2074" s="84" t="s">
        <v>152</v>
      </c>
      <c r="BB2074" s="84" t="str">
        <f>IFERROR(__xludf.DUMMYFUNCTION("iferror(if(A2074="""",,E2074&gt;=FILTER(Constants!$F$2:$F$10,Constants!$A$2:$A$10=A2074)))"),"")</f>
        <v/>
      </c>
    </row>
    <row r="2075">
      <c r="A2075" s="87"/>
      <c r="B2075" s="87"/>
      <c r="C2075" s="73"/>
      <c r="D2075" s="73"/>
      <c r="E2075" s="82"/>
      <c r="F2075" s="82"/>
      <c r="G2075" s="86"/>
      <c r="H2075" s="86"/>
      <c r="I2075" s="86"/>
      <c r="J2075" s="82"/>
      <c r="K2075" s="82"/>
      <c r="L2075" s="82"/>
      <c r="M2075" s="82"/>
      <c r="N2075" s="82"/>
      <c r="O2075" s="82"/>
      <c r="P2075" s="82"/>
      <c r="Q2075" s="82"/>
      <c r="R2075" s="82"/>
      <c r="S2075" s="82"/>
      <c r="T2075" s="82"/>
      <c r="U2075" s="82"/>
      <c r="V2075" s="82"/>
      <c r="W2075" s="82"/>
      <c r="X2075" s="82"/>
      <c r="Y2075" s="82"/>
      <c r="Z2075" s="82"/>
      <c r="AA2075" s="82"/>
      <c r="AB2075" s="82"/>
      <c r="AC2075" s="82"/>
      <c r="AD2075" s="82"/>
      <c r="AE2075" s="82"/>
      <c r="AF2075" s="82"/>
      <c r="AG2075" s="82"/>
      <c r="AH2075" s="82"/>
      <c r="AI2075" s="82"/>
      <c r="AJ2075" s="82"/>
      <c r="AK2075" s="82"/>
      <c r="AL2075" s="82"/>
      <c r="AM2075" s="82"/>
      <c r="AN2075" s="82"/>
      <c r="AO2075" s="82"/>
      <c r="AP2075" s="82"/>
      <c r="AQ2075" s="82"/>
      <c r="AR2075" s="82"/>
      <c r="AS2075" s="82"/>
      <c r="AT2075" s="82"/>
      <c r="AU2075" s="82"/>
      <c r="AV2075" s="82"/>
      <c r="AW2075" s="82" t="str">
        <f t="shared" si="1"/>
        <v/>
      </c>
      <c r="AX2075" s="83" t="str">
        <f t="array" ref="AX2075">IFERROR(DGET('SBV Import'!A:G,"SBV",{"RSC ID","Tier";B2075,A2075}))</f>
        <v/>
      </c>
      <c r="AY2075" s="82" t="str">
        <f t="shared" si="2"/>
        <v/>
      </c>
      <c r="AZ2075" s="82"/>
      <c r="BA2075" s="84" t="s">
        <v>152</v>
      </c>
      <c r="BB2075" s="84" t="str">
        <f>IFERROR(__xludf.DUMMYFUNCTION("iferror(if(A2075="""",,E2075&gt;=FILTER(Constants!$F$2:$F$10,Constants!$A$2:$A$10=A2075)))"),"")</f>
        <v/>
      </c>
    </row>
    <row r="2076">
      <c r="A2076" s="87"/>
      <c r="B2076" s="87"/>
      <c r="C2076" s="73"/>
      <c r="D2076" s="73"/>
      <c r="E2076" s="82"/>
      <c r="F2076" s="82"/>
      <c r="G2076" s="86"/>
      <c r="H2076" s="86"/>
      <c r="I2076" s="86"/>
      <c r="J2076" s="82"/>
      <c r="K2076" s="82"/>
      <c r="L2076" s="82"/>
      <c r="M2076" s="82"/>
      <c r="N2076" s="82"/>
      <c r="O2076" s="82"/>
      <c r="P2076" s="82"/>
      <c r="Q2076" s="82"/>
      <c r="R2076" s="82"/>
      <c r="S2076" s="82"/>
      <c r="T2076" s="82"/>
      <c r="U2076" s="82"/>
      <c r="V2076" s="82"/>
      <c r="W2076" s="82"/>
      <c r="X2076" s="82"/>
      <c r="Y2076" s="82"/>
      <c r="Z2076" s="82"/>
      <c r="AA2076" s="82"/>
      <c r="AB2076" s="82"/>
      <c r="AC2076" s="82"/>
      <c r="AD2076" s="82"/>
      <c r="AE2076" s="82"/>
      <c r="AF2076" s="82"/>
      <c r="AG2076" s="82"/>
      <c r="AH2076" s="82"/>
      <c r="AI2076" s="82"/>
      <c r="AJ2076" s="82"/>
      <c r="AK2076" s="82"/>
      <c r="AL2076" s="82"/>
      <c r="AM2076" s="82"/>
      <c r="AN2076" s="82"/>
      <c r="AO2076" s="82"/>
      <c r="AP2076" s="82"/>
      <c r="AQ2076" s="82"/>
      <c r="AR2076" s="82"/>
      <c r="AS2076" s="82"/>
      <c r="AT2076" s="82"/>
      <c r="AU2076" s="82"/>
      <c r="AV2076" s="82"/>
      <c r="AW2076" s="82" t="str">
        <f t="shared" si="1"/>
        <v/>
      </c>
      <c r="AX2076" s="83" t="str">
        <f t="array" ref="AX2076">IFERROR(DGET('SBV Import'!A:G,"SBV",{"RSC ID","Tier";B2076,A2076}))</f>
        <v/>
      </c>
      <c r="AY2076" s="82" t="str">
        <f t="shared" si="2"/>
        <v/>
      </c>
      <c r="AZ2076" s="82"/>
      <c r="BA2076" s="84" t="s">
        <v>152</v>
      </c>
      <c r="BB2076" s="84" t="str">
        <f>IFERROR(__xludf.DUMMYFUNCTION("iferror(if(A2076="""",,E2076&gt;=FILTER(Constants!$F$2:$F$10,Constants!$A$2:$A$10=A2076)))"),"")</f>
        <v/>
      </c>
    </row>
    <row r="2077">
      <c r="A2077" s="87"/>
      <c r="B2077" s="87"/>
      <c r="C2077" s="73"/>
      <c r="D2077" s="73"/>
      <c r="E2077" s="82"/>
      <c r="F2077" s="82"/>
      <c r="G2077" s="86"/>
      <c r="H2077" s="86"/>
      <c r="I2077" s="86"/>
      <c r="J2077" s="82"/>
      <c r="K2077" s="82"/>
      <c r="L2077" s="82"/>
      <c r="M2077" s="82"/>
      <c r="N2077" s="82"/>
      <c r="O2077" s="82"/>
      <c r="P2077" s="82"/>
      <c r="Q2077" s="82"/>
      <c r="R2077" s="82"/>
      <c r="S2077" s="82"/>
      <c r="T2077" s="82"/>
      <c r="U2077" s="82"/>
      <c r="V2077" s="82"/>
      <c r="W2077" s="82"/>
      <c r="X2077" s="82"/>
      <c r="Y2077" s="82"/>
      <c r="Z2077" s="82"/>
      <c r="AA2077" s="82"/>
      <c r="AB2077" s="82"/>
      <c r="AC2077" s="82"/>
      <c r="AD2077" s="82"/>
      <c r="AE2077" s="82"/>
      <c r="AF2077" s="82"/>
      <c r="AG2077" s="82"/>
      <c r="AH2077" s="82"/>
      <c r="AI2077" s="82"/>
      <c r="AJ2077" s="82"/>
      <c r="AK2077" s="82"/>
      <c r="AL2077" s="82"/>
      <c r="AM2077" s="82"/>
      <c r="AN2077" s="82"/>
      <c r="AO2077" s="82"/>
      <c r="AP2077" s="82"/>
      <c r="AQ2077" s="82"/>
      <c r="AR2077" s="82"/>
      <c r="AS2077" s="82"/>
      <c r="AT2077" s="82"/>
      <c r="AU2077" s="82"/>
      <c r="AV2077" s="82"/>
      <c r="AW2077" s="82" t="str">
        <f t="shared" si="1"/>
        <v/>
      </c>
      <c r="AX2077" s="83" t="str">
        <f t="array" ref="AX2077">IFERROR(DGET('SBV Import'!A:G,"SBV",{"RSC ID","Tier";B2077,A2077}))</f>
        <v/>
      </c>
      <c r="AY2077" s="82" t="str">
        <f t="shared" si="2"/>
        <v/>
      </c>
      <c r="AZ2077" s="82"/>
      <c r="BA2077" s="84" t="s">
        <v>152</v>
      </c>
      <c r="BB2077" s="84" t="str">
        <f>IFERROR(__xludf.DUMMYFUNCTION("iferror(if(A2077="""",,E2077&gt;=FILTER(Constants!$F$2:$F$10,Constants!$A$2:$A$10=A2077)))"),"")</f>
        <v/>
      </c>
    </row>
    <row r="2078">
      <c r="A2078" s="87"/>
      <c r="B2078" s="87"/>
      <c r="C2078" s="73"/>
      <c r="D2078" s="73"/>
      <c r="E2078" s="82"/>
      <c r="F2078" s="82"/>
      <c r="G2078" s="86"/>
      <c r="H2078" s="86"/>
      <c r="I2078" s="86"/>
      <c r="J2078" s="82"/>
      <c r="K2078" s="82"/>
      <c r="L2078" s="82"/>
      <c r="M2078" s="82"/>
      <c r="N2078" s="82"/>
      <c r="O2078" s="82"/>
      <c r="P2078" s="82"/>
      <c r="Q2078" s="82"/>
      <c r="R2078" s="82"/>
      <c r="S2078" s="82"/>
      <c r="T2078" s="82"/>
      <c r="U2078" s="82"/>
      <c r="V2078" s="82"/>
      <c r="W2078" s="82"/>
      <c r="X2078" s="82"/>
      <c r="Y2078" s="82"/>
      <c r="Z2078" s="82"/>
      <c r="AA2078" s="82"/>
      <c r="AB2078" s="82"/>
      <c r="AC2078" s="82"/>
      <c r="AD2078" s="82"/>
      <c r="AE2078" s="82"/>
      <c r="AF2078" s="82"/>
      <c r="AG2078" s="82"/>
      <c r="AH2078" s="82"/>
      <c r="AI2078" s="82"/>
      <c r="AJ2078" s="82"/>
      <c r="AK2078" s="82"/>
      <c r="AL2078" s="82"/>
      <c r="AM2078" s="82"/>
      <c r="AN2078" s="82"/>
      <c r="AO2078" s="82"/>
      <c r="AP2078" s="82"/>
      <c r="AQ2078" s="82"/>
      <c r="AR2078" s="82"/>
      <c r="AS2078" s="82"/>
      <c r="AT2078" s="82"/>
      <c r="AU2078" s="82"/>
      <c r="AV2078" s="82"/>
      <c r="AW2078" s="82" t="str">
        <f t="shared" si="1"/>
        <v/>
      </c>
      <c r="AX2078" s="83" t="str">
        <f t="array" ref="AX2078">IFERROR(DGET('SBV Import'!A:G,"SBV",{"RSC ID","Tier";B2078,A2078}))</f>
        <v/>
      </c>
      <c r="AY2078" s="82" t="str">
        <f t="shared" si="2"/>
        <v/>
      </c>
      <c r="AZ2078" s="82"/>
      <c r="BA2078" s="84" t="s">
        <v>152</v>
      </c>
      <c r="BB2078" s="84" t="str">
        <f>IFERROR(__xludf.DUMMYFUNCTION("iferror(if(A2078="""",,E2078&gt;=FILTER(Constants!$F$2:$F$10,Constants!$A$2:$A$10=A2078)))"),"")</f>
        <v/>
      </c>
    </row>
    <row r="2079">
      <c r="A2079" s="87"/>
      <c r="B2079" s="87"/>
      <c r="C2079" s="73"/>
      <c r="D2079" s="73"/>
      <c r="E2079" s="82"/>
      <c r="F2079" s="82"/>
      <c r="G2079" s="86"/>
      <c r="H2079" s="86"/>
      <c r="I2079" s="86"/>
      <c r="J2079" s="82"/>
      <c r="K2079" s="82"/>
      <c r="L2079" s="82"/>
      <c r="M2079" s="82"/>
      <c r="N2079" s="82"/>
      <c r="O2079" s="82"/>
      <c r="P2079" s="82"/>
      <c r="Q2079" s="82"/>
      <c r="R2079" s="82"/>
      <c r="S2079" s="82"/>
      <c r="T2079" s="82"/>
      <c r="U2079" s="82"/>
      <c r="V2079" s="82"/>
      <c r="W2079" s="82"/>
      <c r="X2079" s="82"/>
      <c r="Y2079" s="82"/>
      <c r="Z2079" s="82"/>
      <c r="AA2079" s="82"/>
      <c r="AB2079" s="82"/>
      <c r="AC2079" s="82"/>
      <c r="AD2079" s="82"/>
      <c r="AE2079" s="82"/>
      <c r="AF2079" s="82"/>
      <c r="AG2079" s="82"/>
      <c r="AH2079" s="82"/>
      <c r="AI2079" s="82"/>
      <c r="AJ2079" s="82"/>
      <c r="AK2079" s="82"/>
      <c r="AL2079" s="82"/>
      <c r="AM2079" s="82"/>
      <c r="AN2079" s="82"/>
      <c r="AO2079" s="82"/>
      <c r="AP2079" s="82"/>
      <c r="AQ2079" s="82"/>
      <c r="AR2079" s="82"/>
      <c r="AS2079" s="82"/>
      <c r="AT2079" s="82"/>
      <c r="AU2079" s="82"/>
      <c r="AV2079" s="82"/>
      <c r="AW2079" s="82" t="str">
        <f t="shared" si="1"/>
        <v/>
      </c>
      <c r="AX2079" s="83" t="str">
        <f t="array" ref="AX2079">IFERROR(DGET('SBV Import'!A:G,"SBV",{"RSC ID","Tier";B2079,A2079}))</f>
        <v/>
      </c>
      <c r="AY2079" s="82" t="str">
        <f t="shared" si="2"/>
        <v/>
      </c>
      <c r="AZ2079" s="82"/>
      <c r="BA2079" s="84" t="s">
        <v>152</v>
      </c>
      <c r="BB2079" s="84" t="str">
        <f>IFERROR(__xludf.DUMMYFUNCTION("iferror(if(A2079="""",,E2079&gt;=FILTER(Constants!$F$2:$F$10,Constants!$A$2:$A$10=A2079)))"),"")</f>
        <v/>
      </c>
    </row>
    <row r="2080">
      <c r="A2080" s="87"/>
      <c r="B2080" s="87"/>
      <c r="C2080" s="73"/>
      <c r="D2080" s="73"/>
      <c r="E2080" s="82"/>
      <c r="F2080" s="82"/>
      <c r="G2080" s="86"/>
      <c r="H2080" s="86"/>
      <c r="I2080" s="86"/>
      <c r="J2080" s="82"/>
      <c r="K2080" s="82"/>
      <c r="L2080" s="82"/>
      <c r="M2080" s="82"/>
      <c r="N2080" s="82"/>
      <c r="O2080" s="82"/>
      <c r="P2080" s="82"/>
      <c r="Q2080" s="82"/>
      <c r="R2080" s="82"/>
      <c r="S2080" s="82"/>
      <c r="T2080" s="82"/>
      <c r="U2080" s="82"/>
      <c r="V2080" s="82"/>
      <c r="W2080" s="82"/>
      <c r="X2080" s="82"/>
      <c r="Y2080" s="82"/>
      <c r="Z2080" s="82"/>
      <c r="AA2080" s="82"/>
      <c r="AB2080" s="82"/>
      <c r="AC2080" s="82"/>
      <c r="AD2080" s="82"/>
      <c r="AE2080" s="82"/>
      <c r="AF2080" s="82"/>
      <c r="AG2080" s="82"/>
      <c r="AH2080" s="82"/>
      <c r="AI2080" s="82"/>
      <c r="AJ2080" s="82"/>
      <c r="AK2080" s="82"/>
      <c r="AL2080" s="82"/>
      <c r="AM2080" s="82"/>
      <c r="AN2080" s="82"/>
      <c r="AO2080" s="82"/>
      <c r="AP2080" s="82"/>
      <c r="AQ2080" s="82"/>
      <c r="AR2080" s="82"/>
      <c r="AS2080" s="82"/>
      <c r="AT2080" s="82"/>
      <c r="AU2080" s="82"/>
      <c r="AV2080" s="82"/>
      <c r="AW2080" s="82" t="str">
        <f t="shared" si="1"/>
        <v/>
      </c>
      <c r="AX2080" s="83" t="str">
        <f t="array" ref="AX2080">IFERROR(DGET('SBV Import'!A:G,"SBV",{"RSC ID","Tier";B2080,A2080}))</f>
        <v/>
      </c>
      <c r="AY2080" s="82" t="str">
        <f t="shared" si="2"/>
        <v/>
      </c>
      <c r="AZ2080" s="82"/>
      <c r="BA2080" s="84" t="s">
        <v>152</v>
      </c>
      <c r="BB2080" s="84" t="str">
        <f>IFERROR(__xludf.DUMMYFUNCTION("iferror(if(A2080="""",,E2080&gt;=FILTER(Constants!$F$2:$F$10,Constants!$A$2:$A$10=A2080)))"),"")</f>
        <v/>
      </c>
    </row>
    <row r="2081">
      <c r="A2081" s="87"/>
      <c r="B2081" s="87"/>
      <c r="C2081" s="73"/>
      <c r="D2081" s="73"/>
      <c r="E2081" s="82"/>
      <c r="F2081" s="82"/>
      <c r="G2081" s="86"/>
      <c r="H2081" s="86"/>
      <c r="I2081" s="86"/>
      <c r="J2081" s="82"/>
      <c r="K2081" s="82"/>
      <c r="L2081" s="82"/>
      <c r="M2081" s="82"/>
      <c r="N2081" s="82"/>
      <c r="O2081" s="82"/>
      <c r="P2081" s="82"/>
      <c r="Q2081" s="82"/>
      <c r="R2081" s="82"/>
      <c r="S2081" s="82"/>
      <c r="T2081" s="82"/>
      <c r="U2081" s="82"/>
      <c r="V2081" s="82"/>
      <c r="W2081" s="82"/>
      <c r="X2081" s="82"/>
      <c r="Y2081" s="82"/>
      <c r="Z2081" s="82"/>
      <c r="AA2081" s="82"/>
      <c r="AB2081" s="82"/>
      <c r="AC2081" s="82"/>
      <c r="AD2081" s="82"/>
      <c r="AE2081" s="82"/>
      <c r="AF2081" s="82"/>
      <c r="AG2081" s="82"/>
      <c r="AH2081" s="82"/>
      <c r="AI2081" s="82"/>
      <c r="AJ2081" s="82"/>
      <c r="AK2081" s="82"/>
      <c r="AL2081" s="82"/>
      <c r="AM2081" s="82"/>
      <c r="AN2081" s="82"/>
      <c r="AO2081" s="82"/>
      <c r="AP2081" s="82"/>
      <c r="AQ2081" s="82"/>
      <c r="AR2081" s="82"/>
      <c r="AS2081" s="82"/>
      <c r="AT2081" s="82"/>
      <c r="AU2081" s="82"/>
      <c r="AV2081" s="82"/>
      <c r="AW2081" s="82" t="str">
        <f t="shared" si="1"/>
        <v/>
      </c>
      <c r="AX2081" s="83" t="str">
        <f t="array" ref="AX2081">IFERROR(DGET('SBV Import'!A:G,"SBV",{"RSC ID","Tier";B2081,A2081}))</f>
        <v/>
      </c>
      <c r="AY2081" s="82" t="str">
        <f t="shared" si="2"/>
        <v/>
      </c>
      <c r="AZ2081" s="82"/>
      <c r="BA2081" s="84" t="s">
        <v>152</v>
      </c>
      <c r="BB2081" s="84" t="str">
        <f>IFERROR(__xludf.DUMMYFUNCTION("iferror(if(A2081="""",,E2081&gt;=FILTER(Constants!$F$2:$F$10,Constants!$A$2:$A$10=A2081)))"),"")</f>
        <v/>
      </c>
    </row>
    <row r="2082">
      <c r="A2082" s="87"/>
      <c r="B2082" s="87"/>
      <c r="C2082" s="73"/>
      <c r="D2082" s="73"/>
      <c r="E2082" s="82"/>
      <c r="F2082" s="82"/>
      <c r="G2082" s="86"/>
      <c r="H2082" s="86"/>
      <c r="I2082" s="86"/>
      <c r="J2082" s="82"/>
      <c r="K2082" s="82"/>
      <c r="L2082" s="82"/>
      <c r="M2082" s="82"/>
      <c r="N2082" s="82"/>
      <c r="O2082" s="82"/>
      <c r="P2082" s="82"/>
      <c r="Q2082" s="82"/>
      <c r="R2082" s="82"/>
      <c r="S2082" s="82"/>
      <c r="T2082" s="82"/>
      <c r="U2082" s="82"/>
      <c r="V2082" s="82"/>
      <c r="W2082" s="82"/>
      <c r="X2082" s="82"/>
      <c r="Y2082" s="82"/>
      <c r="Z2082" s="82"/>
      <c r="AA2082" s="82"/>
      <c r="AB2082" s="82"/>
      <c r="AC2082" s="82"/>
      <c r="AD2082" s="82"/>
      <c r="AE2082" s="82"/>
      <c r="AF2082" s="82"/>
      <c r="AG2082" s="82"/>
      <c r="AH2082" s="82"/>
      <c r="AI2082" s="82"/>
      <c r="AJ2082" s="82"/>
      <c r="AK2082" s="82"/>
      <c r="AL2082" s="82"/>
      <c r="AM2082" s="82"/>
      <c r="AN2082" s="82"/>
      <c r="AO2082" s="82"/>
      <c r="AP2082" s="82"/>
      <c r="AQ2082" s="82"/>
      <c r="AR2082" s="82"/>
      <c r="AS2082" s="82"/>
      <c r="AT2082" s="82"/>
      <c r="AU2082" s="82"/>
      <c r="AV2082" s="82"/>
      <c r="AW2082" s="82" t="str">
        <f t="shared" si="1"/>
        <v/>
      </c>
      <c r="AX2082" s="83" t="str">
        <f t="array" ref="AX2082">IFERROR(DGET('SBV Import'!A:G,"SBV",{"RSC ID","Tier";B2082,A2082}))</f>
        <v/>
      </c>
      <c r="AY2082" s="82" t="str">
        <f t="shared" si="2"/>
        <v/>
      </c>
      <c r="AZ2082" s="82"/>
      <c r="BA2082" s="84" t="s">
        <v>152</v>
      </c>
      <c r="BB2082" s="84" t="str">
        <f>IFERROR(__xludf.DUMMYFUNCTION("iferror(if(A2082="""",,E2082&gt;=FILTER(Constants!$F$2:$F$10,Constants!$A$2:$A$10=A2082)))"),"")</f>
        <v/>
      </c>
    </row>
    <row r="2083">
      <c r="A2083" s="87"/>
      <c r="B2083" s="87"/>
      <c r="C2083" s="73"/>
      <c r="D2083" s="73"/>
      <c r="E2083" s="82"/>
      <c r="F2083" s="82"/>
      <c r="G2083" s="86"/>
      <c r="H2083" s="86"/>
      <c r="I2083" s="86"/>
      <c r="J2083" s="82"/>
      <c r="K2083" s="82"/>
      <c r="L2083" s="82"/>
      <c r="M2083" s="82"/>
      <c r="N2083" s="82"/>
      <c r="O2083" s="82"/>
      <c r="P2083" s="82"/>
      <c r="Q2083" s="82"/>
      <c r="R2083" s="82"/>
      <c r="S2083" s="82"/>
      <c r="T2083" s="82"/>
      <c r="U2083" s="82"/>
      <c r="V2083" s="82"/>
      <c r="W2083" s="82"/>
      <c r="X2083" s="82"/>
      <c r="Y2083" s="82"/>
      <c r="Z2083" s="82"/>
      <c r="AA2083" s="82"/>
      <c r="AB2083" s="82"/>
      <c r="AC2083" s="82"/>
      <c r="AD2083" s="82"/>
      <c r="AE2083" s="82"/>
      <c r="AF2083" s="82"/>
      <c r="AG2083" s="82"/>
      <c r="AH2083" s="82"/>
      <c r="AI2083" s="82"/>
      <c r="AJ2083" s="82"/>
      <c r="AK2083" s="82"/>
      <c r="AL2083" s="82"/>
      <c r="AM2083" s="82"/>
      <c r="AN2083" s="82"/>
      <c r="AO2083" s="82"/>
      <c r="AP2083" s="82"/>
      <c r="AQ2083" s="82"/>
      <c r="AR2083" s="82"/>
      <c r="AS2083" s="82"/>
      <c r="AT2083" s="82"/>
      <c r="AU2083" s="82"/>
      <c r="AV2083" s="82"/>
      <c r="AW2083" s="82" t="str">
        <f t="shared" si="1"/>
        <v/>
      </c>
      <c r="AX2083" s="83" t="str">
        <f t="array" ref="AX2083">IFERROR(DGET('SBV Import'!A:G,"SBV",{"RSC ID","Tier";B2083,A2083}))</f>
        <v/>
      </c>
      <c r="AY2083" s="82" t="str">
        <f t="shared" si="2"/>
        <v/>
      </c>
      <c r="AZ2083" s="82"/>
      <c r="BA2083" s="84" t="s">
        <v>152</v>
      </c>
      <c r="BB2083" s="84" t="str">
        <f>IFERROR(__xludf.DUMMYFUNCTION("iferror(if(A2083="""",,E2083&gt;=FILTER(Constants!$F$2:$F$10,Constants!$A$2:$A$10=A2083)))"),"")</f>
        <v/>
      </c>
    </row>
    <row r="2084">
      <c r="A2084" s="87"/>
      <c r="B2084" s="87"/>
      <c r="C2084" s="73"/>
      <c r="D2084" s="73"/>
      <c r="E2084" s="82"/>
      <c r="F2084" s="82"/>
      <c r="G2084" s="86"/>
      <c r="H2084" s="86"/>
      <c r="I2084" s="86"/>
      <c r="J2084" s="82"/>
      <c r="K2084" s="82"/>
      <c r="L2084" s="82"/>
      <c r="M2084" s="82"/>
      <c r="N2084" s="82"/>
      <c r="O2084" s="82"/>
      <c r="P2084" s="82"/>
      <c r="Q2084" s="82"/>
      <c r="R2084" s="82"/>
      <c r="S2084" s="82"/>
      <c r="T2084" s="82"/>
      <c r="U2084" s="82"/>
      <c r="V2084" s="82"/>
      <c r="W2084" s="82"/>
      <c r="X2084" s="82"/>
      <c r="Y2084" s="82"/>
      <c r="Z2084" s="82"/>
      <c r="AA2084" s="82"/>
      <c r="AB2084" s="82"/>
      <c r="AC2084" s="82"/>
      <c r="AD2084" s="82"/>
      <c r="AE2084" s="82"/>
      <c r="AF2084" s="82"/>
      <c r="AG2084" s="82"/>
      <c r="AH2084" s="82"/>
      <c r="AI2084" s="82"/>
      <c r="AJ2084" s="82"/>
      <c r="AK2084" s="82"/>
      <c r="AL2084" s="82"/>
      <c r="AM2084" s="82"/>
      <c r="AN2084" s="82"/>
      <c r="AO2084" s="82"/>
      <c r="AP2084" s="82"/>
      <c r="AQ2084" s="82"/>
      <c r="AR2084" s="82"/>
      <c r="AS2084" s="82"/>
      <c r="AT2084" s="82"/>
      <c r="AU2084" s="82"/>
      <c r="AV2084" s="82"/>
      <c r="AW2084" s="82" t="str">
        <f t="shared" si="1"/>
        <v/>
      </c>
      <c r="AX2084" s="83" t="str">
        <f t="array" ref="AX2084">IFERROR(DGET('SBV Import'!A:G,"SBV",{"RSC ID","Tier";B2084,A2084}))</f>
        <v/>
      </c>
      <c r="AY2084" s="82" t="str">
        <f t="shared" si="2"/>
        <v/>
      </c>
      <c r="AZ2084" s="82"/>
      <c r="BA2084" s="84" t="s">
        <v>152</v>
      </c>
      <c r="BB2084" s="84" t="str">
        <f>IFERROR(__xludf.DUMMYFUNCTION("iferror(if(A2084="""",,E2084&gt;=FILTER(Constants!$F$2:$F$10,Constants!$A$2:$A$10=A2084)))"),"")</f>
        <v/>
      </c>
    </row>
    <row r="2085">
      <c r="A2085" s="87"/>
      <c r="B2085" s="87"/>
      <c r="C2085" s="73"/>
      <c r="D2085" s="73"/>
      <c r="E2085" s="82"/>
      <c r="F2085" s="82"/>
      <c r="G2085" s="86"/>
      <c r="H2085" s="86"/>
      <c r="I2085" s="86"/>
      <c r="J2085" s="82"/>
      <c r="K2085" s="82"/>
      <c r="L2085" s="82"/>
      <c r="M2085" s="82"/>
      <c r="N2085" s="82"/>
      <c r="O2085" s="82"/>
      <c r="P2085" s="82"/>
      <c r="Q2085" s="82"/>
      <c r="R2085" s="82"/>
      <c r="S2085" s="82"/>
      <c r="T2085" s="82"/>
      <c r="U2085" s="82"/>
      <c r="V2085" s="82"/>
      <c r="W2085" s="82"/>
      <c r="X2085" s="82"/>
      <c r="Y2085" s="82"/>
      <c r="Z2085" s="82"/>
      <c r="AA2085" s="82"/>
      <c r="AB2085" s="82"/>
      <c r="AC2085" s="82"/>
      <c r="AD2085" s="82"/>
      <c r="AE2085" s="82"/>
      <c r="AF2085" s="82"/>
      <c r="AG2085" s="82"/>
      <c r="AH2085" s="82"/>
      <c r="AI2085" s="82"/>
      <c r="AJ2085" s="82"/>
      <c r="AK2085" s="82"/>
      <c r="AL2085" s="82"/>
      <c r="AM2085" s="82"/>
      <c r="AN2085" s="82"/>
      <c r="AO2085" s="82"/>
      <c r="AP2085" s="82"/>
      <c r="AQ2085" s="82"/>
      <c r="AR2085" s="82"/>
      <c r="AS2085" s="82"/>
      <c r="AT2085" s="82"/>
      <c r="AU2085" s="82"/>
      <c r="AV2085" s="82"/>
      <c r="AW2085" s="82" t="str">
        <f t="shared" si="1"/>
        <v/>
      </c>
      <c r="AX2085" s="83" t="str">
        <f t="array" ref="AX2085">IFERROR(DGET('SBV Import'!A:G,"SBV",{"RSC ID","Tier";B2085,A2085}))</f>
        <v/>
      </c>
      <c r="AY2085" s="82" t="str">
        <f t="shared" si="2"/>
        <v/>
      </c>
      <c r="AZ2085" s="82"/>
      <c r="BA2085" s="84" t="s">
        <v>152</v>
      </c>
      <c r="BB2085" s="84" t="str">
        <f>IFERROR(__xludf.DUMMYFUNCTION("iferror(if(A2085="""",,E2085&gt;=FILTER(Constants!$F$2:$F$10,Constants!$A$2:$A$10=A2085)))"),"")</f>
        <v/>
      </c>
    </row>
    <row r="2086">
      <c r="A2086" s="87"/>
      <c r="B2086" s="87"/>
      <c r="C2086" s="73"/>
      <c r="D2086" s="73"/>
      <c r="E2086" s="82"/>
      <c r="F2086" s="82"/>
      <c r="G2086" s="86"/>
      <c r="H2086" s="86"/>
      <c r="I2086" s="86"/>
      <c r="J2086" s="82"/>
      <c r="K2086" s="82"/>
      <c r="L2086" s="82"/>
      <c r="M2086" s="82"/>
      <c r="N2086" s="82"/>
      <c r="O2086" s="82"/>
      <c r="P2086" s="82"/>
      <c r="Q2086" s="82"/>
      <c r="R2086" s="82"/>
      <c r="S2086" s="82"/>
      <c r="T2086" s="82"/>
      <c r="U2086" s="82"/>
      <c r="V2086" s="82"/>
      <c r="W2086" s="82"/>
      <c r="X2086" s="82"/>
      <c r="Y2086" s="82"/>
      <c r="Z2086" s="82"/>
      <c r="AA2086" s="82"/>
      <c r="AB2086" s="82"/>
      <c r="AC2086" s="82"/>
      <c r="AD2086" s="82"/>
      <c r="AE2086" s="82"/>
      <c r="AF2086" s="82"/>
      <c r="AG2086" s="82"/>
      <c r="AH2086" s="82"/>
      <c r="AI2086" s="82"/>
      <c r="AJ2086" s="82"/>
      <c r="AK2086" s="82"/>
      <c r="AL2086" s="82"/>
      <c r="AM2086" s="82"/>
      <c r="AN2086" s="82"/>
      <c r="AO2086" s="82"/>
      <c r="AP2086" s="82"/>
      <c r="AQ2086" s="82"/>
      <c r="AR2086" s="82"/>
      <c r="AS2086" s="82"/>
      <c r="AT2086" s="82"/>
      <c r="AU2086" s="82"/>
      <c r="AV2086" s="82"/>
      <c r="AW2086" s="82" t="str">
        <f t="shared" si="1"/>
        <v/>
      </c>
      <c r="AX2086" s="83" t="str">
        <f t="array" ref="AX2086">IFERROR(DGET('SBV Import'!A:G,"SBV",{"RSC ID","Tier";B2086,A2086}))</f>
        <v/>
      </c>
      <c r="AY2086" s="82" t="str">
        <f t="shared" si="2"/>
        <v/>
      </c>
      <c r="AZ2086" s="82"/>
      <c r="BA2086" s="84" t="s">
        <v>152</v>
      </c>
      <c r="BB2086" s="84" t="str">
        <f>IFERROR(__xludf.DUMMYFUNCTION("iferror(if(A2086="""",,E2086&gt;=FILTER(Constants!$F$2:$F$10,Constants!$A$2:$A$10=A2086)))"),"")</f>
        <v/>
      </c>
    </row>
    <row r="2087">
      <c r="A2087" s="87"/>
      <c r="B2087" s="87"/>
      <c r="C2087" s="73"/>
      <c r="D2087" s="73"/>
      <c r="E2087" s="82"/>
      <c r="F2087" s="82"/>
      <c r="G2087" s="86"/>
      <c r="H2087" s="86"/>
      <c r="I2087" s="86"/>
      <c r="J2087" s="82"/>
      <c r="K2087" s="82"/>
      <c r="L2087" s="82"/>
      <c r="M2087" s="82"/>
      <c r="N2087" s="82"/>
      <c r="O2087" s="82"/>
      <c r="P2087" s="82"/>
      <c r="Q2087" s="82"/>
      <c r="R2087" s="82"/>
      <c r="S2087" s="82"/>
      <c r="T2087" s="82"/>
      <c r="U2087" s="82"/>
      <c r="V2087" s="82"/>
      <c r="W2087" s="82"/>
      <c r="X2087" s="82"/>
      <c r="Y2087" s="82"/>
      <c r="Z2087" s="82"/>
      <c r="AA2087" s="82"/>
      <c r="AB2087" s="82"/>
      <c r="AC2087" s="82"/>
      <c r="AD2087" s="82"/>
      <c r="AE2087" s="82"/>
      <c r="AF2087" s="82"/>
      <c r="AG2087" s="82"/>
      <c r="AH2087" s="82"/>
      <c r="AI2087" s="82"/>
      <c r="AJ2087" s="82"/>
      <c r="AK2087" s="82"/>
      <c r="AL2087" s="82"/>
      <c r="AM2087" s="82"/>
      <c r="AN2087" s="82"/>
      <c r="AO2087" s="82"/>
      <c r="AP2087" s="82"/>
      <c r="AQ2087" s="82"/>
      <c r="AR2087" s="82"/>
      <c r="AS2087" s="82"/>
      <c r="AT2087" s="82"/>
      <c r="AU2087" s="82"/>
      <c r="AV2087" s="82"/>
      <c r="AW2087" s="82" t="str">
        <f t="shared" si="1"/>
        <v/>
      </c>
      <c r="AX2087" s="83" t="str">
        <f t="array" ref="AX2087">IFERROR(DGET('SBV Import'!A:G,"SBV",{"RSC ID","Tier";B2087,A2087}))</f>
        <v/>
      </c>
      <c r="AY2087" s="82" t="str">
        <f t="shared" si="2"/>
        <v/>
      </c>
      <c r="AZ2087" s="82"/>
      <c r="BA2087" s="84" t="s">
        <v>152</v>
      </c>
      <c r="BB2087" s="84" t="str">
        <f>IFERROR(__xludf.DUMMYFUNCTION("iferror(if(A2087="""",,E2087&gt;=FILTER(Constants!$F$2:$F$10,Constants!$A$2:$A$10=A2087)))"),"")</f>
        <v/>
      </c>
    </row>
    <row r="2088">
      <c r="A2088" s="87"/>
      <c r="B2088" s="87"/>
      <c r="C2088" s="73"/>
      <c r="D2088" s="73"/>
      <c r="E2088" s="82"/>
      <c r="F2088" s="82"/>
      <c r="G2088" s="86"/>
      <c r="H2088" s="86"/>
      <c r="I2088" s="86"/>
      <c r="J2088" s="82"/>
      <c r="K2088" s="82"/>
      <c r="L2088" s="82"/>
      <c r="M2088" s="82"/>
      <c r="N2088" s="82"/>
      <c r="O2088" s="82"/>
      <c r="P2088" s="82"/>
      <c r="Q2088" s="82"/>
      <c r="R2088" s="82"/>
      <c r="S2088" s="82"/>
      <c r="T2088" s="82"/>
      <c r="U2088" s="82"/>
      <c r="V2088" s="82"/>
      <c r="W2088" s="82"/>
      <c r="X2088" s="82"/>
      <c r="Y2088" s="82"/>
      <c r="Z2088" s="82"/>
      <c r="AA2088" s="82"/>
      <c r="AB2088" s="82"/>
      <c r="AC2088" s="82"/>
      <c r="AD2088" s="82"/>
      <c r="AE2088" s="82"/>
      <c r="AF2088" s="82"/>
      <c r="AG2088" s="82"/>
      <c r="AH2088" s="82"/>
      <c r="AI2088" s="82"/>
      <c r="AJ2088" s="82"/>
      <c r="AK2088" s="82"/>
      <c r="AL2088" s="82"/>
      <c r="AM2088" s="82"/>
      <c r="AN2088" s="82"/>
      <c r="AO2088" s="82"/>
      <c r="AP2088" s="82"/>
      <c r="AQ2088" s="82"/>
      <c r="AR2088" s="82"/>
      <c r="AS2088" s="82"/>
      <c r="AT2088" s="82"/>
      <c r="AU2088" s="82"/>
      <c r="AV2088" s="82"/>
      <c r="AW2088" s="82" t="str">
        <f t="shared" si="1"/>
        <v/>
      </c>
      <c r="AX2088" s="83" t="str">
        <f t="array" ref="AX2088">IFERROR(DGET('SBV Import'!A:G,"SBV",{"RSC ID","Tier";B2088,A2088}))</f>
        <v/>
      </c>
      <c r="AY2088" s="82" t="str">
        <f t="shared" si="2"/>
        <v/>
      </c>
      <c r="AZ2088" s="82"/>
      <c r="BA2088" s="84" t="s">
        <v>152</v>
      </c>
      <c r="BB2088" s="84" t="str">
        <f>IFERROR(__xludf.DUMMYFUNCTION("iferror(if(A2088="""",,E2088&gt;=FILTER(Constants!$F$2:$F$10,Constants!$A$2:$A$10=A2088)))"),"")</f>
        <v/>
      </c>
    </row>
    <row r="2089">
      <c r="A2089" s="87"/>
      <c r="B2089" s="87"/>
      <c r="C2089" s="73"/>
      <c r="D2089" s="73"/>
      <c r="E2089" s="82"/>
      <c r="F2089" s="82"/>
      <c r="G2089" s="86"/>
      <c r="H2089" s="86"/>
      <c r="I2089" s="86"/>
      <c r="J2089" s="82"/>
      <c r="K2089" s="82"/>
      <c r="L2089" s="82"/>
      <c r="M2089" s="82"/>
      <c r="N2089" s="82"/>
      <c r="O2089" s="82"/>
      <c r="P2089" s="82"/>
      <c r="Q2089" s="82"/>
      <c r="R2089" s="82"/>
      <c r="S2089" s="82"/>
      <c r="T2089" s="82"/>
      <c r="U2089" s="82"/>
      <c r="V2089" s="82"/>
      <c r="W2089" s="82"/>
      <c r="X2089" s="82"/>
      <c r="Y2089" s="82"/>
      <c r="Z2089" s="82"/>
      <c r="AA2089" s="82"/>
      <c r="AB2089" s="82"/>
      <c r="AC2089" s="82"/>
      <c r="AD2089" s="82"/>
      <c r="AE2089" s="82"/>
      <c r="AF2089" s="82"/>
      <c r="AG2089" s="82"/>
      <c r="AH2089" s="82"/>
      <c r="AI2089" s="82"/>
      <c r="AJ2089" s="82"/>
      <c r="AK2089" s="82"/>
      <c r="AL2089" s="82"/>
      <c r="AM2089" s="82"/>
      <c r="AN2089" s="82"/>
      <c r="AO2089" s="82"/>
      <c r="AP2089" s="82"/>
      <c r="AQ2089" s="82"/>
      <c r="AR2089" s="82"/>
      <c r="AS2089" s="82"/>
      <c r="AT2089" s="82"/>
      <c r="AU2089" s="82"/>
      <c r="AV2089" s="82"/>
      <c r="AW2089" s="82" t="str">
        <f t="shared" si="1"/>
        <v/>
      </c>
      <c r="AX2089" s="83" t="str">
        <f t="array" ref="AX2089">IFERROR(DGET('SBV Import'!A:G,"SBV",{"RSC ID","Tier";B2089,A2089}))</f>
        <v/>
      </c>
      <c r="AY2089" s="82" t="str">
        <f t="shared" si="2"/>
        <v/>
      </c>
      <c r="AZ2089" s="82"/>
      <c r="BA2089" s="84" t="s">
        <v>152</v>
      </c>
      <c r="BB2089" s="84" t="str">
        <f>IFERROR(__xludf.DUMMYFUNCTION("iferror(if(A2089="""",,E2089&gt;=FILTER(Constants!$F$2:$F$10,Constants!$A$2:$A$10=A2089)))"),"")</f>
        <v/>
      </c>
    </row>
    <row r="2090">
      <c r="A2090" s="87"/>
      <c r="B2090" s="87"/>
      <c r="C2090" s="73"/>
      <c r="D2090" s="73"/>
      <c r="E2090" s="82"/>
      <c r="F2090" s="82"/>
      <c r="G2090" s="86"/>
      <c r="H2090" s="86"/>
      <c r="I2090" s="86"/>
      <c r="J2090" s="82"/>
      <c r="K2090" s="82"/>
      <c r="L2090" s="82"/>
      <c r="M2090" s="82"/>
      <c r="N2090" s="82"/>
      <c r="O2090" s="82"/>
      <c r="P2090" s="82"/>
      <c r="Q2090" s="82"/>
      <c r="R2090" s="82"/>
      <c r="S2090" s="82"/>
      <c r="T2090" s="82"/>
      <c r="U2090" s="82"/>
      <c r="V2090" s="82"/>
      <c r="W2090" s="82"/>
      <c r="X2090" s="82"/>
      <c r="Y2090" s="82"/>
      <c r="Z2090" s="82"/>
      <c r="AA2090" s="82"/>
      <c r="AB2090" s="82"/>
      <c r="AC2090" s="82"/>
      <c r="AD2090" s="82"/>
      <c r="AE2090" s="82"/>
      <c r="AF2090" s="82"/>
      <c r="AG2090" s="82"/>
      <c r="AH2090" s="82"/>
      <c r="AI2090" s="82"/>
      <c r="AJ2090" s="82"/>
      <c r="AK2090" s="82"/>
      <c r="AL2090" s="82"/>
      <c r="AM2090" s="82"/>
      <c r="AN2090" s="82"/>
      <c r="AO2090" s="82"/>
      <c r="AP2090" s="82"/>
      <c r="AQ2090" s="82"/>
      <c r="AR2090" s="82"/>
      <c r="AS2090" s="82"/>
      <c r="AT2090" s="82"/>
      <c r="AU2090" s="82"/>
      <c r="AV2090" s="82"/>
      <c r="AW2090" s="82" t="str">
        <f t="shared" si="1"/>
        <v/>
      </c>
      <c r="AX2090" s="83" t="str">
        <f t="array" ref="AX2090">IFERROR(DGET('SBV Import'!A:G,"SBV",{"RSC ID","Tier";B2090,A2090}))</f>
        <v/>
      </c>
      <c r="AY2090" s="82" t="str">
        <f t="shared" si="2"/>
        <v/>
      </c>
      <c r="AZ2090" s="82"/>
      <c r="BA2090" s="84" t="s">
        <v>152</v>
      </c>
      <c r="BB2090" s="84" t="str">
        <f>IFERROR(__xludf.DUMMYFUNCTION("iferror(if(A2090="""",,E2090&gt;=FILTER(Constants!$F$2:$F$10,Constants!$A$2:$A$10=A2090)))"),"")</f>
        <v/>
      </c>
    </row>
    <row r="2091">
      <c r="A2091" s="87"/>
      <c r="B2091" s="87"/>
      <c r="C2091" s="73"/>
      <c r="D2091" s="73"/>
      <c r="E2091" s="82"/>
      <c r="F2091" s="82"/>
      <c r="G2091" s="86"/>
      <c r="H2091" s="86"/>
      <c r="I2091" s="86"/>
      <c r="J2091" s="82"/>
      <c r="K2091" s="82"/>
      <c r="L2091" s="82"/>
      <c r="M2091" s="82"/>
      <c r="N2091" s="82"/>
      <c r="O2091" s="82"/>
      <c r="P2091" s="82"/>
      <c r="Q2091" s="82"/>
      <c r="R2091" s="82"/>
      <c r="S2091" s="82"/>
      <c r="T2091" s="82"/>
      <c r="U2091" s="82"/>
      <c r="V2091" s="82"/>
      <c r="W2091" s="82"/>
      <c r="X2091" s="82"/>
      <c r="Y2091" s="82"/>
      <c r="Z2091" s="82"/>
      <c r="AA2091" s="82"/>
      <c r="AB2091" s="82"/>
      <c r="AC2091" s="82"/>
      <c r="AD2091" s="82"/>
      <c r="AE2091" s="82"/>
      <c r="AF2091" s="82"/>
      <c r="AG2091" s="82"/>
      <c r="AH2091" s="82"/>
      <c r="AI2091" s="82"/>
      <c r="AJ2091" s="82"/>
      <c r="AK2091" s="82"/>
      <c r="AL2091" s="82"/>
      <c r="AM2091" s="82"/>
      <c r="AN2091" s="82"/>
      <c r="AO2091" s="82"/>
      <c r="AP2091" s="82"/>
      <c r="AQ2091" s="82"/>
      <c r="AR2091" s="82"/>
      <c r="AS2091" s="82"/>
      <c r="AT2091" s="82"/>
      <c r="AU2091" s="82"/>
      <c r="AV2091" s="82"/>
      <c r="AW2091" s="82" t="str">
        <f t="shared" si="1"/>
        <v/>
      </c>
      <c r="AX2091" s="83" t="str">
        <f t="array" ref="AX2091">IFERROR(DGET('SBV Import'!A:G,"SBV",{"RSC ID","Tier";B2091,A2091}))</f>
        <v/>
      </c>
      <c r="AY2091" s="82" t="str">
        <f t="shared" si="2"/>
        <v/>
      </c>
      <c r="AZ2091" s="82"/>
      <c r="BA2091" s="84" t="s">
        <v>152</v>
      </c>
      <c r="BB2091" s="84" t="str">
        <f>IFERROR(__xludf.DUMMYFUNCTION("iferror(if(A2091="""",,E2091&gt;=FILTER(Constants!$F$2:$F$10,Constants!$A$2:$A$10=A2091)))"),"")</f>
        <v/>
      </c>
    </row>
    <row r="2092">
      <c r="A2092" s="87"/>
      <c r="B2092" s="87"/>
      <c r="C2092" s="73"/>
      <c r="D2092" s="73"/>
      <c r="E2092" s="82"/>
      <c r="F2092" s="82"/>
      <c r="G2092" s="86"/>
      <c r="H2092" s="86"/>
      <c r="I2092" s="86"/>
      <c r="J2092" s="82"/>
      <c r="K2092" s="82"/>
      <c r="L2092" s="82"/>
      <c r="M2092" s="82"/>
      <c r="N2092" s="82"/>
      <c r="O2092" s="82"/>
      <c r="P2092" s="82"/>
      <c r="Q2092" s="82"/>
      <c r="R2092" s="82"/>
      <c r="S2092" s="82"/>
      <c r="T2092" s="82"/>
      <c r="U2092" s="82"/>
      <c r="V2092" s="82"/>
      <c r="W2092" s="82"/>
      <c r="X2092" s="82"/>
      <c r="Y2092" s="82"/>
      <c r="Z2092" s="82"/>
      <c r="AA2092" s="82"/>
      <c r="AB2092" s="82"/>
      <c r="AC2092" s="82"/>
      <c r="AD2092" s="82"/>
      <c r="AE2092" s="82"/>
      <c r="AF2092" s="82"/>
      <c r="AG2092" s="82"/>
      <c r="AH2092" s="82"/>
      <c r="AI2092" s="82"/>
      <c r="AJ2092" s="82"/>
      <c r="AK2092" s="82"/>
      <c r="AL2092" s="82"/>
      <c r="AM2092" s="82"/>
      <c r="AN2092" s="82"/>
      <c r="AO2092" s="82"/>
      <c r="AP2092" s="82"/>
      <c r="AQ2092" s="82"/>
      <c r="AR2092" s="82"/>
      <c r="AS2092" s="82"/>
      <c r="AT2092" s="82"/>
      <c r="AU2092" s="82"/>
      <c r="AV2092" s="82"/>
      <c r="AW2092" s="82" t="str">
        <f t="shared" si="1"/>
        <v/>
      </c>
      <c r="AX2092" s="83" t="str">
        <f t="array" ref="AX2092">IFERROR(DGET('SBV Import'!A:G,"SBV",{"RSC ID","Tier";B2092,A2092}))</f>
        <v/>
      </c>
      <c r="AY2092" s="82" t="str">
        <f t="shared" si="2"/>
        <v/>
      </c>
      <c r="AZ2092" s="82"/>
      <c r="BA2092" s="84" t="s">
        <v>152</v>
      </c>
      <c r="BB2092" s="84" t="str">
        <f>IFERROR(__xludf.DUMMYFUNCTION("iferror(if(A2092="""",,E2092&gt;=FILTER(Constants!$F$2:$F$10,Constants!$A$2:$A$10=A2092)))"),"")</f>
        <v/>
      </c>
    </row>
    <row r="2093">
      <c r="A2093" s="87"/>
      <c r="B2093" s="87"/>
      <c r="C2093" s="73"/>
      <c r="D2093" s="73"/>
      <c r="E2093" s="82"/>
      <c r="F2093" s="82"/>
      <c r="G2093" s="86"/>
      <c r="H2093" s="86"/>
      <c r="I2093" s="86"/>
      <c r="J2093" s="82"/>
      <c r="K2093" s="82"/>
      <c r="L2093" s="82"/>
      <c r="M2093" s="82"/>
      <c r="N2093" s="82"/>
      <c r="O2093" s="82"/>
      <c r="P2093" s="82"/>
      <c r="Q2093" s="82"/>
      <c r="R2093" s="82"/>
      <c r="S2093" s="82"/>
      <c r="T2093" s="82"/>
      <c r="U2093" s="82"/>
      <c r="V2093" s="82"/>
      <c r="W2093" s="82"/>
      <c r="X2093" s="82"/>
      <c r="Y2093" s="82"/>
      <c r="Z2093" s="82"/>
      <c r="AA2093" s="82"/>
      <c r="AB2093" s="82"/>
      <c r="AC2093" s="82"/>
      <c r="AD2093" s="82"/>
      <c r="AE2093" s="82"/>
      <c r="AF2093" s="82"/>
      <c r="AG2093" s="82"/>
      <c r="AH2093" s="82"/>
      <c r="AI2093" s="82"/>
      <c r="AJ2093" s="82"/>
      <c r="AK2093" s="82"/>
      <c r="AL2093" s="82"/>
      <c r="AM2093" s="82"/>
      <c r="AN2093" s="82"/>
      <c r="AO2093" s="82"/>
      <c r="AP2093" s="82"/>
      <c r="AQ2093" s="82"/>
      <c r="AR2093" s="82"/>
      <c r="AS2093" s="82"/>
      <c r="AT2093" s="82"/>
      <c r="AU2093" s="82"/>
      <c r="AV2093" s="82"/>
      <c r="AW2093" s="82" t="str">
        <f t="shared" si="1"/>
        <v/>
      </c>
      <c r="AX2093" s="83" t="str">
        <f t="array" ref="AX2093">IFERROR(DGET('SBV Import'!A:G,"SBV",{"RSC ID","Tier";B2093,A2093}))</f>
        <v/>
      </c>
      <c r="AY2093" s="82" t="str">
        <f t="shared" si="2"/>
        <v/>
      </c>
      <c r="AZ2093" s="82"/>
      <c r="BA2093" s="84" t="s">
        <v>152</v>
      </c>
      <c r="BB2093" s="84" t="str">
        <f>IFERROR(__xludf.DUMMYFUNCTION("iferror(if(A2093="""",,E2093&gt;=FILTER(Constants!$F$2:$F$10,Constants!$A$2:$A$10=A2093)))"),"")</f>
        <v/>
      </c>
    </row>
    <row r="2094">
      <c r="A2094" s="87"/>
      <c r="B2094" s="87"/>
      <c r="C2094" s="73"/>
      <c r="D2094" s="73"/>
      <c r="E2094" s="82"/>
      <c r="F2094" s="82"/>
      <c r="G2094" s="86"/>
      <c r="H2094" s="86"/>
      <c r="I2094" s="86"/>
      <c r="J2094" s="82"/>
      <c r="K2094" s="82"/>
      <c r="L2094" s="82"/>
      <c r="M2094" s="82"/>
      <c r="N2094" s="82"/>
      <c r="O2094" s="82"/>
      <c r="P2094" s="82"/>
      <c r="Q2094" s="82"/>
      <c r="R2094" s="82"/>
      <c r="S2094" s="82"/>
      <c r="T2094" s="82"/>
      <c r="U2094" s="82"/>
      <c r="V2094" s="82"/>
      <c r="W2094" s="82"/>
      <c r="X2094" s="82"/>
      <c r="Y2094" s="82"/>
      <c r="Z2094" s="82"/>
      <c r="AA2094" s="82"/>
      <c r="AB2094" s="82"/>
      <c r="AC2094" s="82"/>
      <c r="AD2094" s="82"/>
      <c r="AE2094" s="82"/>
      <c r="AF2094" s="82"/>
      <c r="AG2094" s="82"/>
      <c r="AH2094" s="82"/>
      <c r="AI2094" s="82"/>
      <c r="AJ2094" s="82"/>
      <c r="AK2094" s="82"/>
      <c r="AL2094" s="82"/>
      <c r="AM2094" s="82"/>
      <c r="AN2094" s="82"/>
      <c r="AO2094" s="82"/>
      <c r="AP2094" s="82"/>
      <c r="AQ2094" s="82"/>
      <c r="AR2094" s="82"/>
      <c r="AS2094" s="82"/>
      <c r="AT2094" s="82"/>
      <c r="AU2094" s="82"/>
      <c r="AV2094" s="82"/>
      <c r="AW2094" s="82" t="str">
        <f t="shared" si="1"/>
        <v/>
      </c>
      <c r="AX2094" s="83" t="str">
        <f t="array" ref="AX2094">IFERROR(DGET('SBV Import'!A:G,"SBV",{"RSC ID","Tier";B2094,A2094}))</f>
        <v/>
      </c>
      <c r="AY2094" s="82" t="str">
        <f t="shared" si="2"/>
        <v/>
      </c>
      <c r="AZ2094" s="82"/>
      <c r="BA2094" s="84" t="s">
        <v>152</v>
      </c>
      <c r="BB2094" s="84" t="str">
        <f>IFERROR(__xludf.DUMMYFUNCTION("iferror(if(A2094="""",,E2094&gt;=FILTER(Constants!$F$2:$F$10,Constants!$A$2:$A$10=A2094)))"),"")</f>
        <v/>
      </c>
    </row>
    <row r="2095">
      <c r="A2095" s="87"/>
      <c r="B2095" s="87"/>
      <c r="C2095" s="73"/>
      <c r="D2095" s="73"/>
      <c r="E2095" s="82"/>
      <c r="F2095" s="82"/>
      <c r="G2095" s="86"/>
      <c r="H2095" s="86"/>
      <c r="I2095" s="86"/>
      <c r="J2095" s="82"/>
      <c r="K2095" s="82"/>
      <c r="L2095" s="82"/>
      <c r="M2095" s="82"/>
      <c r="N2095" s="82"/>
      <c r="O2095" s="82"/>
      <c r="P2095" s="82"/>
      <c r="Q2095" s="82"/>
      <c r="R2095" s="82"/>
      <c r="S2095" s="82"/>
      <c r="T2095" s="82"/>
      <c r="U2095" s="82"/>
      <c r="V2095" s="82"/>
      <c r="W2095" s="82"/>
      <c r="X2095" s="82"/>
      <c r="Y2095" s="82"/>
      <c r="Z2095" s="82"/>
      <c r="AA2095" s="82"/>
      <c r="AB2095" s="82"/>
      <c r="AC2095" s="82"/>
      <c r="AD2095" s="82"/>
      <c r="AE2095" s="82"/>
      <c r="AF2095" s="82"/>
      <c r="AG2095" s="82"/>
      <c r="AH2095" s="82"/>
      <c r="AI2095" s="82"/>
      <c r="AJ2095" s="82"/>
      <c r="AK2095" s="82"/>
      <c r="AL2095" s="82"/>
      <c r="AM2095" s="82"/>
      <c r="AN2095" s="82"/>
      <c r="AO2095" s="82"/>
      <c r="AP2095" s="82"/>
      <c r="AQ2095" s="82"/>
      <c r="AR2095" s="82"/>
      <c r="AS2095" s="82"/>
      <c r="AT2095" s="82"/>
      <c r="AU2095" s="82"/>
      <c r="AV2095" s="82"/>
      <c r="AW2095" s="82" t="str">
        <f t="shared" si="1"/>
        <v/>
      </c>
      <c r="AX2095" s="83" t="str">
        <f t="array" ref="AX2095">IFERROR(DGET('SBV Import'!A:G,"SBV",{"RSC ID","Tier";B2095,A2095}))</f>
        <v/>
      </c>
      <c r="AY2095" s="82" t="str">
        <f t="shared" si="2"/>
        <v/>
      </c>
      <c r="AZ2095" s="82"/>
      <c r="BA2095" s="84" t="s">
        <v>152</v>
      </c>
      <c r="BB2095" s="84" t="str">
        <f>IFERROR(__xludf.DUMMYFUNCTION("iferror(if(A2095="""",,E2095&gt;=FILTER(Constants!$F$2:$F$10,Constants!$A$2:$A$10=A2095)))"),"")</f>
        <v/>
      </c>
    </row>
    <row r="2096">
      <c r="A2096" s="87"/>
      <c r="B2096" s="87"/>
      <c r="C2096" s="73"/>
      <c r="D2096" s="73"/>
      <c r="E2096" s="82"/>
      <c r="F2096" s="82"/>
      <c r="G2096" s="86"/>
      <c r="H2096" s="86"/>
      <c r="I2096" s="86"/>
      <c r="J2096" s="82"/>
      <c r="K2096" s="82"/>
      <c r="L2096" s="82"/>
      <c r="M2096" s="82"/>
      <c r="N2096" s="82"/>
      <c r="O2096" s="82"/>
      <c r="P2096" s="82"/>
      <c r="Q2096" s="82"/>
      <c r="R2096" s="82"/>
      <c r="S2096" s="82"/>
      <c r="T2096" s="82"/>
      <c r="U2096" s="82"/>
      <c r="V2096" s="82"/>
      <c r="W2096" s="82"/>
      <c r="X2096" s="82"/>
      <c r="Y2096" s="82"/>
      <c r="Z2096" s="82"/>
      <c r="AA2096" s="82"/>
      <c r="AB2096" s="82"/>
      <c r="AC2096" s="82"/>
      <c r="AD2096" s="82"/>
      <c r="AE2096" s="82"/>
      <c r="AF2096" s="82"/>
      <c r="AG2096" s="82"/>
      <c r="AH2096" s="82"/>
      <c r="AI2096" s="82"/>
      <c r="AJ2096" s="82"/>
      <c r="AK2096" s="82"/>
      <c r="AL2096" s="82"/>
      <c r="AM2096" s="82"/>
      <c r="AN2096" s="82"/>
      <c r="AO2096" s="82"/>
      <c r="AP2096" s="82"/>
      <c r="AQ2096" s="82"/>
      <c r="AR2096" s="82"/>
      <c r="AS2096" s="82"/>
      <c r="AT2096" s="82"/>
      <c r="AU2096" s="82"/>
      <c r="AV2096" s="82"/>
      <c r="AW2096" s="82" t="str">
        <f t="shared" si="1"/>
        <v/>
      </c>
      <c r="AX2096" s="83" t="str">
        <f t="array" ref="AX2096">IFERROR(DGET('SBV Import'!A:G,"SBV",{"RSC ID","Tier";B2096,A2096}))</f>
        <v/>
      </c>
      <c r="AY2096" s="82" t="str">
        <f t="shared" si="2"/>
        <v/>
      </c>
      <c r="AZ2096" s="82"/>
      <c r="BA2096" s="84" t="s">
        <v>152</v>
      </c>
      <c r="BB2096" s="84" t="str">
        <f>IFERROR(__xludf.DUMMYFUNCTION("iferror(if(A2096="""",,E2096&gt;=FILTER(Constants!$F$2:$F$10,Constants!$A$2:$A$10=A2096)))"),"")</f>
        <v/>
      </c>
    </row>
    <row r="2097">
      <c r="A2097" s="87"/>
      <c r="B2097" s="87"/>
      <c r="C2097" s="73"/>
      <c r="D2097" s="73"/>
      <c r="E2097" s="82"/>
      <c r="F2097" s="82"/>
      <c r="G2097" s="86"/>
      <c r="H2097" s="86"/>
      <c r="I2097" s="86"/>
      <c r="J2097" s="82"/>
      <c r="K2097" s="82"/>
      <c r="L2097" s="82"/>
      <c r="M2097" s="82"/>
      <c r="N2097" s="82"/>
      <c r="O2097" s="82"/>
      <c r="P2097" s="82"/>
      <c r="Q2097" s="82"/>
      <c r="R2097" s="82"/>
      <c r="S2097" s="82"/>
      <c r="T2097" s="82"/>
      <c r="U2097" s="82"/>
      <c r="V2097" s="82"/>
      <c r="W2097" s="82"/>
      <c r="X2097" s="82"/>
      <c r="Y2097" s="82"/>
      <c r="Z2097" s="82"/>
      <c r="AA2097" s="82"/>
      <c r="AB2097" s="82"/>
      <c r="AC2097" s="82"/>
      <c r="AD2097" s="82"/>
      <c r="AE2097" s="82"/>
      <c r="AF2097" s="82"/>
      <c r="AG2097" s="82"/>
      <c r="AH2097" s="82"/>
      <c r="AI2097" s="82"/>
      <c r="AJ2097" s="82"/>
      <c r="AK2097" s="82"/>
      <c r="AL2097" s="82"/>
      <c r="AM2097" s="82"/>
      <c r="AN2097" s="82"/>
      <c r="AO2097" s="82"/>
      <c r="AP2097" s="82"/>
      <c r="AQ2097" s="82"/>
      <c r="AR2097" s="82"/>
      <c r="AS2097" s="82"/>
      <c r="AT2097" s="82"/>
      <c r="AU2097" s="82"/>
      <c r="AV2097" s="82"/>
      <c r="AW2097" s="82" t="str">
        <f t="shared" si="1"/>
        <v/>
      </c>
      <c r="AX2097" s="83" t="str">
        <f t="array" ref="AX2097">IFERROR(DGET('SBV Import'!A:G,"SBV",{"RSC ID","Tier";B2097,A2097}))</f>
        <v/>
      </c>
      <c r="AY2097" s="82" t="str">
        <f t="shared" si="2"/>
        <v/>
      </c>
      <c r="AZ2097" s="82"/>
      <c r="BA2097" s="84" t="s">
        <v>152</v>
      </c>
      <c r="BB2097" s="84" t="str">
        <f>IFERROR(__xludf.DUMMYFUNCTION("iferror(if(A2097="""",,E2097&gt;=FILTER(Constants!$F$2:$F$10,Constants!$A$2:$A$10=A2097)))"),"")</f>
        <v/>
      </c>
    </row>
    <row r="2098">
      <c r="A2098" s="87"/>
      <c r="B2098" s="87"/>
      <c r="C2098" s="73"/>
      <c r="D2098" s="73"/>
      <c r="E2098" s="82"/>
      <c r="F2098" s="82"/>
      <c r="G2098" s="86"/>
      <c r="H2098" s="86"/>
      <c r="I2098" s="86"/>
      <c r="J2098" s="82"/>
      <c r="K2098" s="82"/>
      <c r="L2098" s="82"/>
      <c r="M2098" s="82"/>
      <c r="N2098" s="82"/>
      <c r="O2098" s="82"/>
      <c r="P2098" s="82"/>
      <c r="Q2098" s="82"/>
      <c r="R2098" s="82"/>
      <c r="S2098" s="82"/>
      <c r="T2098" s="82"/>
      <c r="U2098" s="82"/>
      <c r="V2098" s="82"/>
      <c r="W2098" s="82"/>
      <c r="X2098" s="82"/>
      <c r="Y2098" s="82"/>
      <c r="Z2098" s="82"/>
      <c r="AA2098" s="82"/>
      <c r="AB2098" s="82"/>
      <c r="AC2098" s="82"/>
      <c r="AD2098" s="82"/>
      <c r="AE2098" s="82"/>
      <c r="AF2098" s="82"/>
      <c r="AG2098" s="82"/>
      <c r="AH2098" s="82"/>
      <c r="AI2098" s="82"/>
      <c r="AJ2098" s="82"/>
      <c r="AK2098" s="82"/>
      <c r="AL2098" s="82"/>
      <c r="AM2098" s="82"/>
      <c r="AN2098" s="82"/>
      <c r="AO2098" s="82"/>
      <c r="AP2098" s="82"/>
      <c r="AQ2098" s="82"/>
      <c r="AR2098" s="82"/>
      <c r="AS2098" s="82"/>
      <c r="AT2098" s="82"/>
      <c r="AU2098" s="82"/>
      <c r="AV2098" s="82"/>
      <c r="AW2098" s="82" t="str">
        <f t="shared" si="1"/>
        <v/>
      </c>
      <c r="AX2098" s="83" t="str">
        <f t="array" ref="AX2098">IFERROR(DGET('SBV Import'!A:G,"SBV",{"RSC ID","Tier";B2098,A2098}))</f>
        <v/>
      </c>
      <c r="AY2098" s="82" t="str">
        <f t="shared" si="2"/>
        <v/>
      </c>
      <c r="AZ2098" s="82"/>
      <c r="BA2098" s="84" t="s">
        <v>152</v>
      </c>
      <c r="BB2098" s="84" t="str">
        <f>IFERROR(__xludf.DUMMYFUNCTION("iferror(if(A2098="""",,E2098&gt;=FILTER(Constants!$F$2:$F$10,Constants!$A$2:$A$10=A2098)))"),"")</f>
        <v/>
      </c>
    </row>
    <row r="2099">
      <c r="A2099" s="87"/>
      <c r="B2099" s="87"/>
      <c r="C2099" s="73"/>
      <c r="D2099" s="73"/>
      <c r="E2099" s="82"/>
      <c r="F2099" s="82"/>
      <c r="G2099" s="86"/>
      <c r="H2099" s="86"/>
      <c r="I2099" s="86"/>
      <c r="J2099" s="82"/>
      <c r="K2099" s="82"/>
      <c r="L2099" s="82"/>
      <c r="M2099" s="82"/>
      <c r="N2099" s="82"/>
      <c r="O2099" s="82"/>
      <c r="P2099" s="82"/>
      <c r="Q2099" s="82"/>
      <c r="R2099" s="82"/>
      <c r="S2099" s="82"/>
      <c r="T2099" s="82"/>
      <c r="U2099" s="82"/>
      <c r="V2099" s="82"/>
      <c r="W2099" s="82"/>
      <c r="X2099" s="82"/>
      <c r="Y2099" s="82"/>
      <c r="Z2099" s="82"/>
      <c r="AA2099" s="82"/>
      <c r="AB2099" s="82"/>
      <c r="AC2099" s="82"/>
      <c r="AD2099" s="82"/>
      <c r="AE2099" s="82"/>
      <c r="AF2099" s="82"/>
      <c r="AG2099" s="82"/>
      <c r="AH2099" s="82"/>
      <c r="AI2099" s="82"/>
      <c r="AJ2099" s="82"/>
      <c r="AK2099" s="82"/>
      <c r="AL2099" s="82"/>
      <c r="AM2099" s="82"/>
      <c r="AN2099" s="82"/>
      <c r="AO2099" s="82"/>
      <c r="AP2099" s="82"/>
      <c r="AQ2099" s="82"/>
      <c r="AR2099" s="82"/>
      <c r="AS2099" s="82"/>
      <c r="AT2099" s="82"/>
      <c r="AU2099" s="82"/>
      <c r="AV2099" s="82"/>
      <c r="AW2099" s="82" t="str">
        <f t="shared" si="1"/>
        <v/>
      </c>
      <c r="AX2099" s="83" t="str">
        <f t="array" ref="AX2099">IFERROR(DGET('SBV Import'!A:G,"SBV",{"RSC ID","Tier";B2099,A2099}))</f>
        <v/>
      </c>
      <c r="AY2099" s="82" t="str">
        <f t="shared" si="2"/>
        <v/>
      </c>
      <c r="AZ2099" s="82"/>
      <c r="BA2099" s="84" t="s">
        <v>152</v>
      </c>
      <c r="BB2099" s="84" t="str">
        <f>IFERROR(__xludf.DUMMYFUNCTION("iferror(if(A2099="""",,E2099&gt;=FILTER(Constants!$F$2:$F$10,Constants!$A$2:$A$10=A2099)))"),"")</f>
        <v/>
      </c>
    </row>
    <row r="2100">
      <c r="A2100" s="90"/>
      <c r="B2100" s="87"/>
      <c r="C2100" s="73"/>
      <c r="D2100" s="73"/>
      <c r="E2100" s="82"/>
      <c r="F2100" s="82"/>
      <c r="G2100" s="86"/>
      <c r="H2100" s="86"/>
      <c r="I2100" s="86"/>
      <c r="J2100" s="82"/>
      <c r="K2100" s="82"/>
      <c r="L2100" s="82"/>
      <c r="M2100" s="82"/>
      <c r="N2100" s="82"/>
      <c r="O2100" s="82"/>
      <c r="P2100" s="82"/>
      <c r="Q2100" s="82"/>
      <c r="R2100" s="82"/>
      <c r="S2100" s="82"/>
      <c r="T2100" s="82"/>
      <c r="U2100" s="82"/>
      <c r="V2100" s="82"/>
      <c r="W2100" s="82"/>
      <c r="X2100" s="82"/>
      <c r="Y2100" s="82"/>
      <c r="Z2100" s="82"/>
      <c r="AA2100" s="82"/>
      <c r="AB2100" s="82"/>
      <c r="AC2100" s="82"/>
      <c r="AD2100" s="82"/>
      <c r="AE2100" s="82"/>
      <c r="AF2100" s="82"/>
      <c r="AG2100" s="82"/>
      <c r="AH2100" s="82"/>
      <c r="AI2100" s="82"/>
      <c r="AJ2100" s="82"/>
      <c r="AK2100" s="82"/>
      <c r="AL2100" s="82"/>
      <c r="AM2100" s="82"/>
      <c r="AN2100" s="82"/>
      <c r="AO2100" s="82"/>
      <c r="AP2100" s="82"/>
      <c r="AQ2100" s="82"/>
      <c r="AR2100" s="82"/>
      <c r="AS2100" s="82"/>
      <c r="AT2100" s="82"/>
      <c r="AU2100" s="82"/>
      <c r="AV2100" s="82"/>
      <c r="AW2100" s="82" t="str">
        <f t="shared" si="1"/>
        <v/>
      </c>
      <c r="AX2100" s="83" t="str">
        <f t="array" ref="AX2100">IFERROR(DGET('SBV Import'!A:G,"SBV",{"RSC ID","Tier";B2100,A2100}))</f>
        <v/>
      </c>
      <c r="AY2100" s="82" t="str">
        <f t="shared" si="2"/>
        <v/>
      </c>
      <c r="AZ2100" s="82"/>
      <c r="BA2100" s="84" t="s">
        <v>152</v>
      </c>
      <c r="BB2100" s="84" t="str">
        <f>IFERROR(__xludf.DUMMYFUNCTION("iferror(if(A2100="""",,E2100&gt;=FILTER(Constants!$F$2:$F$10,Constants!$A$2:$A$10=A2100)))"),"")</f>
        <v/>
      </c>
    </row>
    <row r="2101">
      <c r="A2101" s="87"/>
      <c r="B2101" s="87"/>
      <c r="C2101" s="73"/>
      <c r="D2101" s="73"/>
      <c r="E2101" s="82"/>
      <c r="F2101" s="82"/>
      <c r="G2101" s="86"/>
      <c r="H2101" s="86"/>
      <c r="I2101" s="86"/>
      <c r="J2101" s="82"/>
      <c r="K2101" s="82"/>
      <c r="L2101" s="82"/>
      <c r="M2101" s="82"/>
      <c r="N2101" s="82"/>
      <c r="O2101" s="82"/>
      <c r="P2101" s="82"/>
      <c r="Q2101" s="82"/>
      <c r="R2101" s="82"/>
      <c r="S2101" s="82"/>
      <c r="T2101" s="82"/>
      <c r="U2101" s="82"/>
      <c r="V2101" s="82"/>
      <c r="W2101" s="82"/>
      <c r="X2101" s="82"/>
      <c r="Y2101" s="82"/>
      <c r="Z2101" s="82"/>
      <c r="AA2101" s="82"/>
      <c r="AB2101" s="82"/>
      <c r="AC2101" s="82"/>
      <c r="AD2101" s="82"/>
      <c r="AE2101" s="82"/>
      <c r="AF2101" s="82"/>
      <c r="AG2101" s="82"/>
      <c r="AH2101" s="82"/>
      <c r="AI2101" s="82"/>
      <c r="AJ2101" s="82"/>
      <c r="AK2101" s="82"/>
      <c r="AL2101" s="82"/>
      <c r="AM2101" s="82"/>
      <c r="AN2101" s="82"/>
      <c r="AO2101" s="82"/>
      <c r="AP2101" s="82"/>
      <c r="AQ2101" s="82"/>
      <c r="AR2101" s="82"/>
      <c r="AS2101" s="82"/>
      <c r="AT2101" s="82"/>
      <c r="AU2101" s="82"/>
      <c r="AV2101" s="82"/>
      <c r="AW2101" s="82" t="str">
        <f t="shared" si="1"/>
        <v/>
      </c>
      <c r="AX2101" s="83" t="str">
        <f t="array" ref="AX2101">IFERROR(DGET('SBV Import'!A:G,"SBV",{"RSC ID","Tier";B2101,A2101}))</f>
        <v/>
      </c>
      <c r="AY2101" s="82" t="str">
        <f t="shared" si="2"/>
        <v/>
      </c>
      <c r="AZ2101" s="82"/>
      <c r="BA2101" s="84" t="s">
        <v>152</v>
      </c>
      <c r="BB2101" s="84" t="str">
        <f>IFERROR(__xludf.DUMMYFUNCTION("iferror(if(A2101="""",,E2101&gt;=FILTER(Constants!$F$2:$F$10,Constants!$A$2:$A$10=A2101)))"),"")</f>
        <v/>
      </c>
    </row>
    <row r="2102">
      <c r="A2102" s="87"/>
      <c r="B2102" s="87"/>
      <c r="C2102" s="73"/>
      <c r="D2102" s="73"/>
      <c r="E2102" s="82"/>
      <c r="F2102" s="82"/>
      <c r="G2102" s="86"/>
      <c r="H2102" s="86"/>
      <c r="I2102" s="86"/>
      <c r="J2102" s="82"/>
      <c r="K2102" s="82"/>
      <c r="L2102" s="82"/>
      <c r="M2102" s="82"/>
      <c r="N2102" s="82"/>
      <c r="O2102" s="82"/>
      <c r="P2102" s="82"/>
      <c r="Q2102" s="82"/>
      <c r="R2102" s="82"/>
      <c r="S2102" s="82"/>
      <c r="T2102" s="82"/>
      <c r="U2102" s="82"/>
      <c r="V2102" s="82"/>
      <c r="W2102" s="82"/>
      <c r="X2102" s="82"/>
      <c r="Y2102" s="82"/>
      <c r="Z2102" s="82"/>
      <c r="AA2102" s="82"/>
      <c r="AB2102" s="82"/>
      <c r="AC2102" s="82"/>
      <c r="AD2102" s="82"/>
      <c r="AE2102" s="82"/>
      <c r="AF2102" s="82"/>
      <c r="AG2102" s="82"/>
      <c r="AH2102" s="82"/>
      <c r="AI2102" s="82"/>
      <c r="AJ2102" s="82"/>
      <c r="AK2102" s="82"/>
      <c r="AL2102" s="82"/>
      <c r="AM2102" s="82"/>
      <c r="AN2102" s="82"/>
      <c r="AO2102" s="82"/>
      <c r="AP2102" s="82"/>
      <c r="AQ2102" s="82"/>
      <c r="AR2102" s="82"/>
      <c r="AS2102" s="82"/>
      <c r="AT2102" s="82"/>
      <c r="AU2102" s="82"/>
      <c r="AV2102" s="82"/>
      <c r="AW2102" s="82" t="str">
        <f t="shared" si="1"/>
        <v/>
      </c>
      <c r="AX2102" s="83" t="str">
        <f t="array" ref="AX2102">IFERROR(DGET('SBV Import'!A:G,"SBV",{"RSC ID","Tier";B2102,A2102}))</f>
        <v/>
      </c>
      <c r="AY2102" s="82" t="str">
        <f t="shared" si="2"/>
        <v/>
      </c>
      <c r="AZ2102" s="82"/>
      <c r="BA2102" s="84" t="s">
        <v>152</v>
      </c>
      <c r="BB2102" s="84" t="str">
        <f>IFERROR(__xludf.DUMMYFUNCTION("iferror(if(A2102="""",,E2102&gt;=FILTER(Constants!$F$2:$F$10,Constants!$A$2:$A$10=A2102)))"),"")</f>
        <v/>
      </c>
    </row>
    <row r="2103">
      <c r="A2103" s="87"/>
      <c r="B2103" s="87"/>
      <c r="C2103" s="73"/>
      <c r="D2103" s="73"/>
      <c r="E2103" s="82"/>
      <c r="F2103" s="82"/>
      <c r="G2103" s="86"/>
      <c r="H2103" s="86"/>
      <c r="I2103" s="86"/>
      <c r="J2103" s="82"/>
      <c r="K2103" s="82"/>
      <c r="L2103" s="82"/>
      <c r="M2103" s="82"/>
      <c r="N2103" s="82"/>
      <c r="O2103" s="82"/>
      <c r="P2103" s="82"/>
      <c r="Q2103" s="82"/>
      <c r="R2103" s="82"/>
      <c r="S2103" s="82"/>
      <c r="T2103" s="82"/>
      <c r="U2103" s="82"/>
      <c r="V2103" s="82"/>
      <c r="W2103" s="82"/>
      <c r="X2103" s="82"/>
      <c r="Y2103" s="82"/>
      <c r="Z2103" s="82"/>
      <c r="AA2103" s="82"/>
      <c r="AB2103" s="82"/>
      <c r="AC2103" s="82"/>
      <c r="AD2103" s="82"/>
      <c r="AE2103" s="82"/>
      <c r="AF2103" s="82"/>
      <c r="AG2103" s="82"/>
      <c r="AH2103" s="82"/>
      <c r="AI2103" s="82"/>
      <c r="AJ2103" s="82"/>
      <c r="AK2103" s="82"/>
      <c r="AL2103" s="82"/>
      <c r="AM2103" s="82"/>
      <c r="AN2103" s="82"/>
      <c r="AO2103" s="82"/>
      <c r="AP2103" s="82"/>
      <c r="AQ2103" s="82"/>
      <c r="AR2103" s="82"/>
      <c r="AS2103" s="82"/>
      <c r="AT2103" s="82"/>
      <c r="AU2103" s="82"/>
      <c r="AV2103" s="82"/>
      <c r="AW2103" s="82" t="str">
        <f t="shared" si="1"/>
        <v/>
      </c>
      <c r="AX2103" s="83" t="str">
        <f t="array" ref="AX2103">IFERROR(DGET('SBV Import'!A:G,"SBV",{"RSC ID","Tier";B2103,A2103}))</f>
        <v/>
      </c>
      <c r="AY2103" s="82" t="str">
        <f t="shared" si="2"/>
        <v/>
      </c>
      <c r="AZ2103" s="82"/>
      <c r="BA2103" s="84" t="s">
        <v>152</v>
      </c>
      <c r="BB2103" s="84" t="str">
        <f>IFERROR(__xludf.DUMMYFUNCTION("iferror(if(A2103="""",,E2103&gt;=FILTER(Constants!$F$2:$F$10,Constants!$A$2:$A$10=A2103)))"),"")</f>
        <v/>
      </c>
    </row>
    <row r="2104">
      <c r="A2104" s="87"/>
      <c r="B2104" s="87"/>
      <c r="C2104" s="73"/>
      <c r="D2104" s="73"/>
      <c r="E2104" s="82"/>
      <c r="F2104" s="82"/>
      <c r="G2104" s="86"/>
      <c r="H2104" s="86"/>
      <c r="I2104" s="86"/>
      <c r="J2104" s="82"/>
      <c r="K2104" s="82"/>
      <c r="L2104" s="82"/>
      <c r="M2104" s="82"/>
      <c r="N2104" s="82"/>
      <c r="O2104" s="82"/>
      <c r="P2104" s="82"/>
      <c r="Q2104" s="82"/>
      <c r="R2104" s="82"/>
      <c r="S2104" s="82"/>
      <c r="T2104" s="82"/>
      <c r="U2104" s="82"/>
      <c r="V2104" s="82"/>
      <c r="W2104" s="82"/>
      <c r="X2104" s="82"/>
      <c r="Y2104" s="82"/>
      <c r="Z2104" s="82"/>
      <c r="AA2104" s="82"/>
      <c r="AB2104" s="82"/>
      <c r="AC2104" s="82"/>
      <c r="AD2104" s="82"/>
      <c r="AE2104" s="82"/>
      <c r="AF2104" s="82"/>
      <c r="AG2104" s="82"/>
      <c r="AH2104" s="82"/>
      <c r="AI2104" s="82"/>
      <c r="AJ2104" s="82"/>
      <c r="AK2104" s="82"/>
      <c r="AL2104" s="82"/>
      <c r="AM2104" s="82"/>
      <c r="AN2104" s="82"/>
      <c r="AO2104" s="82"/>
      <c r="AP2104" s="82"/>
      <c r="AQ2104" s="82"/>
      <c r="AR2104" s="82"/>
      <c r="AS2104" s="82"/>
      <c r="AT2104" s="82"/>
      <c r="AU2104" s="82"/>
      <c r="AV2104" s="82"/>
      <c r="AW2104" s="82" t="str">
        <f t="shared" si="1"/>
        <v/>
      </c>
      <c r="AX2104" s="83" t="str">
        <f t="array" ref="AX2104">IFERROR(DGET('SBV Import'!A:G,"SBV",{"RSC ID","Tier";B2104,A2104}))</f>
        <v/>
      </c>
      <c r="AY2104" s="82" t="str">
        <f t="shared" si="2"/>
        <v/>
      </c>
      <c r="AZ2104" s="82"/>
      <c r="BA2104" s="84" t="s">
        <v>152</v>
      </c>
      <c r="BB2104" s="84" t="str">
        <f>IFERROR(__xludf.DUMMYFUNCTION("iferror(if(A2104="""",,E2104&gt;=FILTER(Constants!$F$2:$F$10,Constants!$A$2:$A$10=A2104)))"),"")</f>
        <v/>
      </c>
    </row>
    <row r="2105">
      <c r="A2105" s="87"/>
      <c r="B2105" s="87"/>
      <c r="C2105" s="73"/>
      <c r="D2105" s="73"/>
      <c r="E2105" s="82"/>
      <c r="F2105" s="82"/>
      <c r="G2105" s="86"/>
      <c r="H2105" s="86"/>
      <c r="I2105" s="86"/>
      <c r="J2105" s="82"/>
      <c r="K2105" s="82"/>
      <c r="L2105" s="82"/>
      <c r="M2105" s="82"/>
      <c r="N2105" s="82"/>
      <c r="O2105" s="82"/>
      <c r="P2105" s="82"/>
      <c r="Q2105" s="82"/>
      <c r="R2105" s="82"/>
      <c r="S2105" s="82"/>
      <c r="T2105" s="82"/>
      <c r="U2105" s="82"/>
      <c r="V2105" s="82"/>
      <c r="W2105" s="82"/>
      <c r="X2105" s="82"/>
      <c r="Y2105" s="82"/>
      <c r="Z2105" s="82"/>
      <c r="AA2105" s="82"/>
      <c r="AB2105" s="82"/>
      <c r="AC2105" s="82"/>
      <c r="AD2105" s="82"/>
      <c r="AE2105" s="82"/>
      <c r="AF2105" s="82"/>
      <c r="AG2105" s="82"/>
      <c r="AH2105" s="82"/>
      <c r="AI2105" s="82"/>
      <c r="AJ2105" s="82"/>
      <c r="AK2105" s="82"/>
      <c r="AL2105" s="82"/>
      <c r="AM2105" s="82"/>
      <c r="AN2105" s="82"/>
      <c r="AO2105" s="82"/>
      <c r="AP2105" s="82"/>
      <c r="AQ2105" s="82"/>
      <c r="AR2105" s="82"/>
      <c r="AS2105" s="82"/>
      <c r="AT2105" s="82"/>
      <c r="AU2105" s="82"/>
      <c r="AV2105" s="82"/>
      <c r="AW2105" s="82" t="str">
        <f t="shared" si="1"/>
        <v/>
      </c>
      <c r="AX2105" s="83" t="str">
        <f t="array" ref="AX2105">IFERROR(DGET('SBV Import'!A:G,"SBV",{"RSC ID","Tier";B2105,A2105}))</f>
        <v/>
      </c>
      <c r="AY2105" s="82" t="str">
        <f t="shared" si="2"/>
        <v/>
      </c>
      <c r="AZ2105" s="82"/>
      <c r="BA2105" s="84" t="s">
        <v>152</v>
      </c>
      <c r="BB2105" s="84" t="str">
        <f>IFERROR(__xludf.DUMMYFUNCTION("iferror(if(A2105="""",,E2105&gt;=FILTER(Constants!$F$2:$F$10,Constants!$A$2:$A$10=A2105)))"),"")</f>
        <v/>
      </c>
    </row>
    <row r="2106">
      <c r="A2106" s="87"/>
      <c r="B2106" s="87"/>
      <c r="C2106" s="73"/>
      <c r="D2106" s="73"/>
      <c r="E2106" s="82"/>
      <c r="F2106" s="82"/>
      <c r="G2106" s="86"/>
      <c r="H2106" s="86"/>
      <c r="I2106" s="86"/>
      <c r="J2106" s="82"/>
      <c r="K2106" s="82"/>
      <c r="L2106" s="82"/>
      <c r="M2106" s="82"/>
      <c r="N2106" s="82"/>
      <c r="O2106" s="82"/>
      <c r="P2106" s="82"/>
      <c r="Q2106" s="82"/>
      <c r="R2106" s="82"/>
      <c r="S2106" s="82"/>
      <c r="T2106" s="82"/>
      <c r="U2106" s="82"/>
      <c r="V2106" s="82"/>
      <c r="W2106" s="82"/>
      <c r="X2106" s="82"/>
      <c r="Y2106" s="82"/>
      <c r="Z2106" s="82"/>
      <c r="AA2106" s="82"/>
      <c r="AB2106" s="82"/>
      <c r="AC2106" s="82"/>
      <c r="AD2106" s="82"/>
      <c r="AE2106" s="82"/>
      <c r="AF2106" s="82"/>
      <c r="AG2106" s="82"/>
      <c r="AH2106" s="82"/>
      <c r="AI2106" s="82"/>
      <c r="AJ2106" s="82"/>
      <c r="AK2106" s="82"/>
      <c r="AL2106" s="82"/>
      <c r="AM2106" s="82"/>
      <c r="AN2106" s="82"/>
      <c r="AO2106" s="82"/>
      <c r="AP2106" s="82"/>
      <c r="AQ2106" s="82"/>
      <c r="AR2106" s="82"/>
      <c r="AS2106" s="82"/>
      <c r="AT2106" s="82"/>
      <c r="AU2106" s="82"/>
      <c r="AV2106" s="82"/>
      <c r="AW2106" s="82" t="str">
        <f t="shared" si="1"/>
        <v/>
      </c>
      <c r="AX2106" s="83" t="str">
        <f t="array" ref="AX2106">IFERROR(DGET('SBV Import'!A:G,"SBV",{"RSC ID","Tier";B2106,A2106}))</f>
        <v/>
      </c>
      <c r="AY2106" s="82" t="str">
        <f t="shared" si="2"/>
        <v/>
      </c>
      <c r="AZ2106" s="82"/>
      <c r="BA2106" s="84" t="s">
        <v>152</v>
      </c>
      <c r="BB2106" s="84" t="str">
        <f>IFERROR(__xludf.DUMMYFUNCTION("iferror(if(A2106="""",,E2106&gt;=FILTER(Constants!$F$2:$F$10,Constants!$A$2:$A$10=A2106)))"),"")</f>
        <v/>
      </c>
    </row>
    <row r="2107">
      <c r="A2107" s="87"/>
      <c r="B2107" s="87"/>
      <c r="C2107" s="73"/>
      <c r="D2107" s="73"/>
      <c r="E2107" s="82"/>
      <c r="F2107" s="82"/>
      <c r="G2107" s="86"/>
      <c r="H2107" s="86"/>
      <c r="I2107" s="86"/>
      <c r="J2107" s="82"/>
      <c r="K2107" s="82"/>
      <c r="L2107" s="82"/>
      <c r="M2107" s="82"/>
      <c r="N2107" s="82"/>
      <c r="O2107" s="82"/>
      <c r="P2107" s="82"/>
      <c r="Q2107" s="82"/>
      <c r="R2107" s="82"/>
      <c r="S2107" s="82"/>
      <c r="T2107" s="82"/>
      <c r="U2107" s="82"/>
      <c r="V2107" s="82"/>
      <c r="W2107" s="82"/>
      <c r="X2107" s="82"/>
      <c r="Y2107" s="82"/>
      <c r="Z2107" s="82"/>
      <c r="AA2107" s="82"/>
      <c r="AB2107" s="82"/>
      <c r="AC2107" s="82"/>
      <c r="AD2107" s="82"/>
      <c r="AE2107" s="82"/>
      <c r="AF2107" s="82"/>
      <c r="AG2107" s="82"/>
      <c r="AH2107" s="82"/>
      <c r="AI2107" s="82"/>
      <c r="AJ2107" s="82"/>
      <c r="AK2107" s="82"/>
      <c r="AL2107" s="82"/>
      <c r="AM2107" s="82"/>
      <c r="AN2107" s="82"/>
      <c r="AO2107" s="82"/>
      <c r="AP2107" s="82"/>
      <c r="AQ2107" s="82"/>
      <c r="AR2107" s="82"/>
      <c r="AS2107" s="82"/>
      <c r="AT2107" s="82"/>
      <c r="AU2107" s="82"/>
      <c r="AV2107" s="82"/>
      <c r="AW2107" s="82" t="str">
        <f t="shared" si="1"/>
        <v/>
      </c>
      <c r="AX2107" s="83" t="str">
        <f t="array" ref="AX2107">IFERROR(DGET('SBV Import'!A:G,"SBV",{"RSC ID","Tier";B2107,A2107}))</f>
        <v/>
      </c>
      <c r="AY2107" s="82" t="str">
        <f t="shared" si="2"/>
        <v/>
      </c>
      <c r="AZ2107" s="82"/>
      <c r="BA2107" s="84" t="s">
        <v>152</v>
      </c>
      <c r="BB2107" s="84" t="str">
        <f>IFERROR(__xludf.DUMMYFUNCTION("iferror(if(A2107="""",,E2107&gt;=FILTER(Constants!$F$2:$F$10,Constants!$A$2:$A$10=A2107)))"),"")</f>
        <v/>
      </c>
    </row>
    <row r="2108">
      <c r="A2108" s="87"/>
      <c r="B2108" s="87"/>
      <c r="C2108" s="73"/>
      <c r="D2108" s="73"/>
      <c r="E2108" s="82"/>
      <c r="F2108" s="82"/>
      <c r="G2108" s="86"/>
      <c r="H2108" s="86"/>
      <c r="I2108" s="86"/>
      <c r="J2108" s="82"/>
      <c r="K2108" s="82"/>
      <c r="L2108" s="82"/>
      <c r="M2108" s="82"/>
      <c r="N2108" s="82"/>
      <c r="O2108" s="82"/>
      <c r="P2108" s="82"/>
      <c r="Q2108" s="82"/>
      <c r="R2108" s="82"/>
      <c r="S2108" s="82"/>
      <c r="T2108" s="82"/>
      <c r="U2108" s="82"/>
      <c r="V2108" s="82"/>
      <c r="W2108" s="82"/>
      <c r="X2108" s="82"/>
      <c r="Y2108" s="82"/>
      <c r="Z2108" s="82"/>
      <c r="AA2108" s="82"/>
      <c r="AB2108" s="82"/>
      <c r="AC2108" s="82"/>
      <c r="AD2108" s="82"/>
      <c r="AE2108" s="82"/>
      <c r="AF2108" s="82"/>
      <c r="AG2108" s="82"/>
      <c r="AH2108" s="82"/>
      <c r="AI2108" s="82"/>
      <c r="AJ2108" s="82"/>
      <c r="AK2108" s="82"/>
      <c r="AL2108" s="82"/>
      <c r="AM2108" s="82"/>
      <c r="AN2108" s="82"/>
      <c r="AO2108" s="82"/>
      <c r="AP2108" s="82"/>
      <c r="AQ2108" s="82"/>
      <c r="AR2108" s="82"/>
      <c r="AS2108" s="82"/>
      <c r="AT2108" s="82"/>
      <c r="AU2108" s="82"/>
      <c r="AV2108" s="82"/>
      <c r="AW2108" s="82" t="str">
        <f t="shared" si="1"/>
        <v/>
      </c>
      <c r="AX2108" s="83" t="str">
        <f t="array" ref="AX2108">IFERROR(DGET('SBV Import'!A:G,"SBV",{"RSC ID","Tier";B2108,A2108}))</f>
        <v/>
      </c>
      <c r="AY2108" s="82" t="str">
        <f t="shared" si="2"/>
        <v/>
      </c>
      <c r="AZ2108" s="82"/>
      <c r="BA2108" s="84" t="s">
        <v>152</v>
      </c>
      <c r="BB2108" s="84" t="str">
        <f>IFERROR(__xludf.DUMMYFUNCTION("iferror(if(A2108="""",,E2108&gt;=FILTER(Constants!$F$2:$F$10,Constants!$A$2:$A$10=A2108)))"),"")</f>
        <v/>
      </c>
    </row>
    <row r="2109">
      <c r="A2109" s="87"/>
      <c r="B2109" s="87"/>
      <c r="C2109" s="73"/>
      <c r="D2109" s="73"/>
      <c r="E2109" s="82"/>
      <c r="F2109" s="82"/>
      <c r="G2109" s="86"/>
      <c r="H2109" s="86"/>
      <c r="I2109" s="86"/>
      <c r="J2109" s="82"/>
      <c r="K2109" s="82"/>
      <c r="L2109" s="82"/>
      <c r="M2109" s="82"/>
      <c r="N2109" s="82"/>
      <c r="O2109" s="82"/>
      <c r="P2109" s="82"/>
      <c r="Q2109" s="82"/>
      <c r="R2109" s="82"/>
      <c r="S2109" s="82"/>
      <c r="T2109" s="82"/>
      <c r="U2109" s="82"/>
      <c r="V2109" s="82"/>
      <c r="W2109" s="82"/>
      <c r="X2109" s="82"/>
      <c r="Y2109" s="82"/>
      <c r="Z2109" s="82"/>
      <c r="AA2109" s="82"/>
      <c r="AB2109" s="82"/>
      <c r="AC2109" s="82"/>
      <c r="AD2109" s="82"/>
      <c r="AE2109" s="82"/>
      <c r="AF2109" s="82"/>
      <c r="AG2109" s="82"/>
      <c r="AH2109" s="82"/>
      <c r="AI2109" s="82"/>
      <c r="AJ2109" s="82"/>
      <c r="AK2109" s="82"/>
      <c r="AL2109" s="82"/>
      <c r="AM2109" s="82"/>
      <c r="AN2109" s="82"/>
      <c r="AO2109" s="82"/>
      <c r="AP2109" s="82"/>
      <c r="AQ2109" s="82"/>
      <c r="AR2109" s="82"/>
      <c r="AS2109" s="82"/>
      <c r="AT2109" s="82"/>
      <c r="AU2109" s="82"/>
      <c r="AV2109" s="82"/>
      <c r="AW2109" s="82" t="str">
        <f t="shared" si="1"/>
        <v/>
      </c>
      <c r="AX2109" s="83" t="str">
        <f t="array" ref="AX2109">IFERROR(DGET('SBV Import'!A:G,"SBV",{"RSC ID","Tier";B2109,A2109}))</f>
        <v/>
      </c>
      <c r="AY2109" s="82" t="str">
        <f t="shared" si="2"/>
        <v/>
      </c>
      <c r="AZ2109" s="82"/>
      <c r="BA2109" s="84" t="s">
        <v>152</v>
      </c>
      <c r="BB2109" s="84" t="str">
        <f>IFERROR(__xludf.DUMMYFUNCTION("iferror(if(A2109="""",,E2109&gt;=FILTER(Constants!$F$2:$F$10,Constants!$A$2:$A$10=A2109)))"),"")</f>
        <v/>
      </c>
    </row>
    <row r="2110">
      <c r="A2110" s="87"/>
      <c r="B2110" s="87"/>
      <c r="C2110" s="73"/>
      <c r="D2110" s="73"/>
      <c r="E2110" s="82"/>
      <c r="F2110" s="82"/>
      <c r="G2110" s="86"/>
      <c r="H2110" s="86"/>
      <c r="I2110" s="86"/>
      <c r="J2110" s="82"/>
      <c r="K2110" s="82"/>
      <c r="L2110" s="82"/>
      <c r="M2110" s="82"/>
      <c r="N2110" s="82"/>
      <c r="O2110" s="82"/>
      <c r="P2110" s="82"/>
      <c r="Q2110" s="82"/>
      <c r="R2110" s="82"/>
      <c r="S2110" s="82"/>
      <c r="T2110" s="82"/>
      <c r="U2110" s="82"/>
      <c r="V2110" s="82"/>
      <c r="W2110" s="82"/>
      <c r="X2110" s="82"/>
      <c r="Y2110" s="82"/>
      <c r="Z2110" s="82"/>
      <c r="AA2110" s="82"/>
      <c r="AB2110" s="82"/>
      <c r="AC2110" s="82"/>
      <c r="AD2110" s="82"/>
      <c r="AE2110" s="82"/>
      <c r="AF2110" s="82"/>
      <c r="AG2110" s="82"/>
      <c r="AH2110" s="82"/>
      <c r="AI2110" s="82"/>
      <c r="AJ2110" s="82"/>
      <c r="AK2110" s="82"/>
      <c r="AL2110" s="82"/>
      <c r="AM2110" s="82"/>
      <c r="AN2110" s="82"/>
      <c r="AO2110" s="82"/>
      <c r="AP2110" s="82"/>
      <c r="AQ2110" s="82"/>
      <c r="AR2110" s="82"/>
      <c r="AS2110" s="82"/>
      <c r="AT2110" s="82"/>
      <c r="AU2110" s="82"/>
      <c r="AV2110" s="82"/>
      <c r="AW2110" s="82" t="str">
        <f t="shared" si="1"/>
        <v/>
      </c>
      <c r="AX2110" s="83" t="str">
        <f t="array" ref="AX2110">IFERROR(DGET('SBV Import'!A:G,"SBV",{"RSC ID","Tier";B2110,A2110}))</f>
        <v/>
      </c>
      <c r="AY2110" s="82" t="str">
        <f t="shared" si="2"/>
        <v/>
      </c>
      <c r="AZ2110" s="82"/>
      <c r="BA2110" s="84" t="s">
        <v>152</v>
      </c>
      <c r="BB2110" s="84" t="str">
        <f>IFERROR(__xludf.DUMMYFUNCTION("iferror(if(A2110="""",,E2110&gt;=FILTER(Constants!$F$2:$F$10,Constants!$A$2:$A$10=A2110)))"),"")</f>
        <v/>
      </c>
    </row>
    <row r="2111">
      <c r="A2111" s="87"/>
      <c r="B2111" s="87"/>
      <c r="C2111" s="73"/>
      <c r="D2111" s="73"/>
      <c r="E2111" s="82"/>
      <c r="F2111" s="82"/>
      <c r="G2111" s="86"/>
      <c r="H2111" s="86"/>
      <c r="I2111" s="86"/>
      <c r="J2111" s="82"/>
      <c r="K2111" s="82"/>
      <c r="L2111" s="82"/>
      <c r="M2111" s="82"/>
      <c r="N2111" s="82"/>
      <c r="O2111" s="82"/>
      <c r="P2111" s="82"/>
      <c r="Q2111" s="82"/>
      <c r="R2111" s="82"/>
      <c r="S2111" s="82"/>
      <c r="T2111" s="82"/>
      <c r="U2111" s="82"/>
      <c r="V2111" s="82"/>
      <c r="W2111" s="82"/>
      <c r="X2111" s="82"/>
      <c r="Y2111" s="82"/>
      <c r="Z2111" s="82"/>
      <c r="AA2111" s="82"/>
      <c r="AB2111" s="82"/>
      <c r="AC2111" s="82"/>
      <c r="AD2111" s="82"/>
      <c r="AE2111" s="82"/>
      <c r="AF2111" s="82"/>
      <c r="AG2111" s="82"/>
      <c r="AH2111" s="82"/>
      <c r="AI2111" s="82"/>
      <c r="AJ2111" s="82"/>
      <c r="AK2111" s="82"/>
      <c r="AL2111" s="82"/>
      <c r="AM2111" s="82"/>
      <c r="AN2111" s="82"/>
      <c r="AO2111" s="82"/>
      <c r="AP2111" s="82"/>
      <c r="AQ2111" s="82"/>
      <c r="AR2111" s="82"/>
      <c r="AS2111" s="82"/>
      <c r="AT2111" s="82"/>
      <c r="AU2111" s="82"/>
      <c r="AV2111" s="82"/>
      <c r="AW2111" s="82" t="str">
        <f t="shared" si="1"/>
        <v/>
      </c>
      <c r="AX2111" s="83" t="str">
        <f t="array" ref="AX2111">IFERROR(DGET('SBV Import'!A:G,"SBV",{"RSC ID","Tier";B2111,A2111}))</f>
        <v/>
      </c>
      <c r="AY2111" s="82" t="str">
        <f t="shared" si="2"/>
        <v/>
      </c>
      <c r="AZ2111" s="82"/>
      <c r="BA2111" s="84" t="s">
        <v>152</v>
      </c>
      <c r="BB2111" s="84" t="str">
        <f>IFERROR(__xludf.DUMMYFUNCTION("iferror(if(A2111="""",,E2111&gt;=FILTER(Constants!$F$2:$F$10,Constants!$A$2:$A$10=A2111)))"),"")</f>
        <v/>
      </c>
    </row>
    <row r="2112">
      <c r="A2112" s="87"/>
      <c r="B2112" s="87"/>
      <c r="C2112" s="73"/>
      <c r="D2112" s="73"/>
      <c r="E2112" s="82"/>
      <c r="F2112" s="82"/>
      <c r="G2112" s="86"/>
      <c r="H2112" s="86"/>
      <c r="I2112" s="86"/>
      <c r="J2112" s="82"/>
      <c r="K2112" s="82"/>
      <c r="L2112" s="82"/>
      <c r="M2112" s="82"/>
      <c r="N2112" s="82"/>
      <c r="O2112" s="82"/>
      <c r="P2112" s="82"/>
      <c r="Q2112" s="82"/>
      <c r="R2112" s="82"/>
      <c r="S2112" s="82"/>
      <c r="T2112" s="82"/>
      <c r="U2112" s="82"/>
      <c r="V2112" s="82"/>
      <c r="W2112" s="82"/>
      <c r="X2112" s="82"/>
      <c r="Y2112" s="82"/>
      <c r="Z2112" s="82"/>
      <c r="AA2112" s="82"/>
      <c r="AB2112" s="82"/>
      <c r="AC2112" s="82"/>
      <c r="AD2112" s="82"/>
      <c r="AE2112" s="82"/>
      <c r="AF2112" s="82"/>
      <c r="AG2112" s="82"/>
      <c r="AH2112" s="82"/>
      <c r="AI2112" s="82"/>
      <c r="AJ2112" s="82"/>
      <c r="AK2112" s="82"/>
      <c r="AL2112" s="82"/>
      <c r="AM2112" s="82"/>
      <c r="AN2112" s="82"/>
      <c r="AO2112" s="82"/>
      <c r="AP2112" s="82"/>
      <c r="AQ2112" s="82"/>
      <c r="AR2112" s="82"/>
      <c r="AS2112" s="82"/>
      <c r="AT2112" s="82"/>
      <c r="AU2112" s="82"/>
      <c r="AV2112" s="82"/>
      <c r="AW2112" s="82" t="str">
        <f t="shared" si="1"/>
        <v/>
      </c>
      <c r="AX2112" s="83" t="str">
        <f t="array" ref="AX2112">IFERROR(DGET('SBV Import'!A:G,"SBV",{"RSC ID","Tier";B2112,A2112}))</f>
        <v/>
      </c>
      <c r="AY2112" s="82" t="str">
        <f t="shared" si="2"/>
        <v/>
      </c>
      <c r="AZ2112" s="82"/>
      <c r="BA2112" s="84" t="s">
        <v>152</v>
      </c>
      <c r="BB2112" s="84" t="str">
        <f>IFERROR(__xludf.DUMMYFUNCTION("iferror(if(A2112="""",,E2112&gt;=FILTER(Constants!$F$2:$F$10,Constants!$A$2:$A$10=A2112)))"),"")</f>
        <v/>
      </c>
    </row>
    <row r="2113">
      <c r="A2113" s="87"/>
      <c r="B2113" s="87"/>
      <c r="C2113" s="73"/>
      <c r="D2113" s="73"/>
      <c r="E2113" s="82"/>
      <c r="F2113" s="82"/>
      <c r="G2113" s="86"/>
      <c r="H2113" s="86"/>
      <c r="I2113" s="86"/>
      <c r="J2113" s="82"/>
      <c r="K2113" s="82"/>
      <c r="L2113" s="82"/>
      <c r="M2113" s="82"/>
      <c r="N2113" s="82"/>
      <c r="O2113" s="82"/>
      <c r="P2113" s="82"/>
      <c r="Q2113" s="82"/>
      <c r="R2113" s="82"/>
      <c r="S2113" s="82"/>
      <c r="T2113" s="82"/>
      <c r="U2113" s="82"/>
      <c r="V2113" s="82"/>
      <c r="W2113" s="82"/>
      <c r="X2113" s="82"/>
      <c r="Y2113" s="82"/>
      <c r="Z2113" s="82"/>
      <c r="AA2113" s="82"/>
      <c r="AB2113" s="82"/>
      <c r="AC2113" s="82"/>
      <c r="AD2113" s="82"/>
      <c r="AE2113" s="82"/>
      <c r="AF2113" s="82"/>
      <c r="AG2113" s="82"/>
      <c r="AH2113" s="82"/>
      <c r="AI2113" s="82"/>
      <c r="AJ2113" s="82"/>
      <c r="AK2113" s="82"/>
      <c r="AL2113" s="82"/>
      <c r="AM2113" s="82"/>
      <c r="AN2113" s="82"/>
      <c r="AO2113" s="82"/>
      <c r="AP2113" s="82"/>
      <c r="AQ2113" s="82"/>
      <c r="AR2113" s="82"/>
      <c r="AS2113" s="82"/>
      <c r="AT2113" s="82"/>
      <c r="AU2113" s="82"/>
      <c r="AV2113" s="82"/>
      <c r="AW2113" s="82" t="str">
        <f t="shared" si="1"/>
        <v/>
      </c>
      <c r="AX2113" s="83" t="str">
        <f t="array" ref="AX2113">IFERROR(DGET('SBV Import'!A:G,"SBV",{"RSC ID","Tier";B2113,A2113}))</f>
        <v/>
      </c>
      <c r="AY2113" s="82" t="str">
        <f t="shared" si="2"/>
        <v/>
      </c>
      <c r="AZ2113" s="82"/>
      <c r="BA2113" s="84" t="s">
        <v>152</v>
      </c>
      <c r="BB2113" s="84" t="str">
        <f>IFERROR(__xludf.DUMMYFUNCTION("iferror(if(A2113="""",,E2113&gt;=FILTER(Constants!$F$2:$F$10,Constants!$A$2:$A$10=A2113)))"),"")</f>
        <v/>
      </c>
    </row>
    <row r="2114">
      <c r="A2114" s="87"/>
      <c r="B2114" s="87"/>
      <c r="C2114" s="73"/>
      <c r="D2114" s="73"/>
      <c r="E2114" s="82"/>
      <c r="F2114" s="82"/>
      <c r="G2114" s="86"/>
      <c r="H2114" s="86"/>
      <c r="I2114" s="86"/>
      <c r="J2114" s="82"/>
      <c r="K2114" s="82"/>
      <c r="L2114" s="82"/>
      <c r="M2114" s="82"/>
      <c r="N2114" s="82"/>
      <c r="O2114" s="82"/>
      <c r="P2114" s="82"/>
      <c r="Q2114" s="82"/>
      <c r="R2114" s="82"/>
      <c r="S2114" s="82"/>
      <c r="T2114" s="82"/>
      <c r="U2114" s="82"/>
      <c r="V2114" s="82"/>
      <c r="W2114" s="82"/>
      <c r="X2114" s="82"/>
      <c r="Y2114" s="82"/>
      <c r="Z2114" s="82"/>
      <c r="AA2114" s="82"/>
      <c r="AB2114" s="82"/>
      <c r="AC2114" s="82"/>
      <c r="AD2114" s="82"/>
      <c r="AE2114" s="82"/>
      <c r="AF2114" s="82"/>
      <c r="AG2114" s="82"/>
      <c r="AH2114" s="82"/>
      <c r="AI2114" s="82"/>
      <c r="AJ2114" s="82"/>
      <c r="AK2114" s="82"/>
      <c r="AL2114" s="82"/>
      <c r="AM2114" s="82"/>
      <c r="AN2114" s="82"/>
      <c r="AO2114" s="82"/>
      <c r="AP2114" s="82"/>
      <c r="AQ2114" s="82"/>
      <c r="AR2114" s="82"/>
      <c r="AS2114" s="82"/>
      <c r="AT2114" s="82"/>
      <c r="AU2114" s="82"/>
      <c r="AV2114" s="82"/>
      <c r="AW2114" s="82" t="str">
        <f t="shared" si="1"/>
        <v/>
      </c>
      <c r="AX2114" s="83" t="str">
        <f t="array" ref="AX2114">IFERROR(DGET('SBV Import'!A:G,"SBV",{"RSC ID","Tier";B2114,A2114}))</f>
        <v/>
      </c>
      <c r="AY2114" s="82" t="str">
        <f t="shared" si="2"/>
        <v/>
      </c>
      <c r="AZ2114" s="82"/>
      <c r="BA2114" s="84" t="s">
        <v>152</v>
      </c>
      <c r="BB2114" s="84" t="str">
        <f>IFERROR(__xludf.DUMMYFUNCTION("iferror(if(A2114="""",,E2114&gt;=FILTER(Constants!$F$2:$F$10,Constants!$A$2:$A$10=A2114)))"),"")</f>
        <v/>
      </c>
    </row>
    <row r="2115">
      <c r="A2115" s="87"/>
      <c r="B2115" s="87"/>
      <c r="C2115" s="73"/>
      <c r="D2115" s="73"/>
      <c r="E2115" s="82"/>
      <c r="F2115" s="82"/>
      <c r="G2115" s="86"/>
      <c r="H2115" s="86"/>
      <c r="I2115" s="86"/>
      <c r="J2115" s="82"/>
      <c r="K2115" s="82"/>
      <c r="L2115" s="82"/>
      <c r="M2115" s="82"/>
      <c r="N2115" s="82"/>
      <c r="O2115" s="82"/>
      <c r="P2115" s="82"/>
      <c r="Q2115" s="82"/>
      <c r="R2115" s="82"/>
      <c r="S2115" s="82"/>
      <c r="T2115" s="82"/>
      <c r="U2115" s="82"/>
      <c r="V2115" s="82"/>
      <c r="W2115" s="82"/>
      <c r="X2115" s="82"/>
      <c r="Y2115" s="82"/>
      <c r="Z2115" s="82"/>
      <c r="AA2115" s="82"/>
      <c r="AB2115" s="82"/>
      <c r="AC2115" s="82"/>
      <c r="AD2115" s="82"/>
      <c r="AE2115" s="82"/>
      <c r="AF2115" s="82"/>
      <c r="AG2115" s="82"/>
      <c r="AH2115" s="82"/>
      <c r="AI2115" s="82"/>
      <c r="AJ2115" s="82"/>
      <c r="AK2115" s="82"/>
      <c r="AL2115" s="82"/>
      <c r="AM2115" s="82"/>
      <c r="AN2115" s="82"/>
      <c r="AO2115" s="82"/>
      <c r="AP2115" s="82"/>
      <c r="AQ2115" s="82"/>
      <c r="AR2115" s="82"/>
      <c r="AS2115" s="82"/>
      <c r="AT2115" s="82"/>
      <c r="AU2115" s="82"/>
      <c r="AV2115" s="82"/>
      <c r="AW2115" s="82" t="str">
        <f t="shared" si="1"/>
        <v/>
      </c>
      <c r="AX2115" s="83" t="str">
        <f t="array" ref="AX2115">IFERROR(DGET('SBV Import'!A:G,"SBV",{"RSC ID","Tier";B2115,A2115}))</f>
        <v/>
      </c>
      <c r="AY2115" s="82" t="str">
        <f t="shared" si="2"/>
        <v/>
      </c>
      <c r="AZ2115" s="82"/>
      <c r="BA2115" s="84" t="s">
        <v>152</v>
      </c>
      <c r="BB2115" s="84" t="str">
        <f>IFERROR(__xludf.DUMMYFUNCTION("iferror(if(A2115="""",,E2115&gt;=FILTER(Constants!$F$2:$F$10,Constants!$A$2:$A$10=A2115)))"),"")</f>
        <v/>
      </c>
    </row>
    <row r="2116">
      <c r="A2116" s="87"/>
      <c r="B2116" s="87"/>
      <c r="C2116" s="73"/>
      <c r="D2116" s="73"/>
      <c r="E2116" s="82"/>
      <c r="F2116" s="82"/>
      <c r="G2116" s="86"/>
      <c r="H2116" s="86"/>
      <c r="I2116" s="86"/>
      <c r="J2116" s="82"/>
      <c r="K2116" s="82"/>
      <c r="L2116" s="82"/>
      <c r="M2116" s="82"/>
      <c r="N2116" s="82"/>
      <c r="O2116" s="82"/>
      <c r="P2116" s="82"/>
      <c r="Q2116" s="82"/>
      <c r="R2116" s="82"/>
      <c r="S2116" s="82"/>
      <c r="T2116" s="82"/>
      <c r="U2116" s="82"/>
      <c r="V2116" s="82"/>
      <c r="W2116" s="82"/>
      <c r="X2116" s="82"/>
      <c r="Y2116" s="82"/>
      <c r="Z2116" s="82"/>
      <c r="AA2116" s="82"/>
      <c r="AB2116" s="82"/>
      <c r="AC2116" s="82"/>
      <c r="AD2116" s="82"/>
      <c r="AE2116" s="82"/>
      <c r="AF2116" s="82"/>
      <c r="AG2116" s="82"/>
      <c r="AH2116" s="82"/>
      <c r="AI2116" s="82"/>
      <c r="AJ2116" s="82"/>
      <c r="AK2116" s="82"/>
      <c r="AL2116" s="82"/>
      <c r="AM2116" s="82"/>
      <c r="AN2116" s="82"/>
      <c r="AO2116" s="82"/>
      <c r="AP2116" s="82"/>
      <c r="AQ2116" s="82"/>
      <c r="AR2116" s="82"/>
      <c r="AS2116" s="82"/>
      <c r="AT2116" s="82"/>
      <c r="AU2116" s="82"/>
      <c r="AV2116" s="82"/>
      <c r="AW2116" s="82" t="str">
        <f t="shared" si="1"/>
        <v/>
      </c>
      <c r="AX2116" s="83" t="str">
        <f t="array" ref="AX2116">IFERROR(DGET('SBV Import'!A:G,"SBV",{"RSC ID","Tier";B2116,A2116}))</f>
        <v/>
      </c>
      <c r="AY2116" s="82" t="str">
        <f t="shared" si="2"/>
        <v/>
      </c>
      <c r="AZ2116" s="82"/>
      <c r="BA2116" s="84" t="s">
        <v>152</v>
      </c>
      <c r="BB2116" s="84" t="str">
        <f>IFERROR(__xludf.DUMMYFUNCTION("iferror(if(A2116="""",,E2116&gt;=FILTER(Constants!$F$2:$F$10,Constants!$A$2:$A$10=A2116)))"),"")</f>
        <v/>
      </c>
    </row>
    <row r="2117">
      <c r="A2117" s="87"/>
      <c r="B2117" s="87"/>
      <c r="C2117" s="73"/>
      <c r="D2117" s="73"/>
      <c r="E2117" s="82"/>
      <c r="F2117" s="82"/>
      <c r="G2117" s="86"/>
      <c r="H2117" s="86"/>
      <c r="I2117" s="86"/>
      <c r="J2117" s="82"/>
      <c r="K2117" s="82"/>
      <c r="L2117" s="82"/>
      <c r="M2117" s="82"/>
      <c r="N2117" s="82"/>
      <c r="O2117" s="82"/>
      <c r="P2117" s="82"/>
      <c r="Q2117" s="82"/>
      <c r="R2117" s="82"/>
      <c r="S2117" s="82"/>
      <c r="T2117" s="82"/>
      <c r="U2117" s="82"/>
      <c r="V2117" s="82"/>
      <c r="W2117" s="82"/>
      <c r="X2117" s="82"/>
      <c r="Y2117" s="82"/>
      <c r="Z2117" s="82"/>
      <c r="AA2117" s="82"/>
      <c r="AB2117" s="82"/>
      <c r="AC2117" s="82"/>
      <c r="AD2117" s="82"/>
      <c r="AE2117" s="82"/>
      <c r="AF2117" s="82"/>
      <c r="AG2117" s="82"/>
      <c r="AH2117" s="82"/>
      <c r="AI2117" s="82"/>
      <c r="AJ2117" s="82"/>
      <c r="AK2117" s="82"/>
      <c r="AL2117" s="82"/>
      <c r="AM2117" s="82"/>
      <c r="AN2117" s="82"/>
      <c r="AO2117" s="82"/>
      <c r="AP2117" s="82"/>
      <c r="AQ2117" s="82"/>
      <c r="AR2117" s="82"/>
      <c r="AS2117" s="82"/>
      <c r="AT2117" s="82"/>
      <c r="AU2117" s="82"/>
      <c r="AV2117" s="82"/>
      <c r="AW2117" s="82" t="str">
        <f t="shared" si="1"/>
        <v/>
      </c>
      <c r="AX2117" s="83" t="str">
        <f t="array" ref="AX2117">IFERROR(DGET('SBV Import'!A:G,"SBV",{"RSC ID","Tier";B2117,A2117}))</f>
        <v/>
      </c>
      <c r="AY2117" s="82" t="str">
        <f t="shared" si="2"/>
        <v/>
      </c>
      <c r="AZ2117" s="82"/>
      <c r="BA2117" s="84" t="s">
        <v>152</v>
      </c>
      <c r="BB2117" s="84" t="str">
        <f>IFERROR(__xludf.DUMMYFUNCTION("iferror(if(A2117="""",,E2117&gt;=FILTER(Constants!$F$2:$F$10,Constants!$A$2:$A$10=A2117)))"),"")</f>
        <v/>
      </c>
    </row>
    <row r="2118">
      <c r="A2118" s="87"/>
      <c r="B2118" s="87"/>
      <c r="C2118" s="73"/>
      <c r="D2118" s="73"/>
      <c r="E2118" s="82"/>
      <c r="F2118" s="82"/>
      <c r="G2118" s="86"/>
      <c r="H2118" s="86"/>
      <c r="I2118" s="86"/>
      <c r="J2118" s="82"/>
      <c r="K2118" s="82"/>
      <c r="L2118" s="82"/>
      <c r="M2118" s="82"/>
      <c r="N2118" s="82"/>
      <c r="O2118" s="82"/>
      <c r="P2118" s="82"/>
      <c r="Q2118" s="82"/>
      <c r="R2118" s="82"/>
      <c r="S2118" s="82"/>
      <c r="T2118" s="82"/>
      <c r="U2118" s="82"/>
      <c r="V2118" s="82"/>
      <c r="W2118" s="82"/>
      <c r="X2118" s="82"/>
      <c r="Y2118" s="82"/>
      <c r="Z2118" s="82"/>
      <c r="AA2118" s="82"/>
      <c r="AB2118" s="82"/>
      <c r="AC2118" s="82"/>
      <c r="AD2118" s="82"/>
      <c r="AE2118" s="82"/>
      <c r="AF2118" s="82"/>
      <c r="AG2118" s="82"/>
      <c r="AH2118" s="82"/>
      <c r="AI2118" s="82"/>
      <c r="AJ2118" s="82"/>
      <c r="AK2118" s="82"/>
      <c r="AL2118" s="82"/>
      <c r="AM2118" s="82"/>
      <c r="AN2118" s="82"/>
      <c r="AO2118" s="82"/>
      <c r="AP2118" s="82"/>
      <c r="AQ2118" s="82"/>
      <c r="AR2118" s="82"/>
      <c r="AS2118" s="82"/>
      <c r="AT2118" s="82"/>
      <c r="AU2118" s="82"/>
      <c r="AV2118" s="82"/>
      <c r="AW2118" s="82" t="str">
        <f t="shared" si="1"/>
        <v/>
      </c>
      <c r="AX2118" s="83" t="str">
        <f t="array" ref="AX2118">IFERROR(DGET('SBV Import'!A:G,"SBV",{"RSC ID","Tier";B2118,A2118}))</f>
        <v/>
      </c>
      <c r="AY2118" s="82" t="str">
        <f t="shared" si="2"/>
        <v/>
      </c>
      <c r="AZ2118" s="82"/>
      <c r="BA2118" s="84" t="s">
        <v>152</v>
      </c>
      <c r="BB2118" s="84" t="str">
        <f>IFERROR(__xludf.DUMMYFUNCTION("iferror(if(A2118="""",,E2118&gt;=FILTER(Constants!$F$2:$F$10,Constants!$A$2:$A$10=A2118)))"),"")</f>
        <v/>
      </c>
    </row>
    <row r="2119">
      <c r="A2119" s="87"/>
      <c r="B2119" s="87"/>
      <c r="C2119" s="73"/>
      <c r="D2119" s="73"/>
      <c r="E2119" s="82"/>
      <c r="F2119" s="82"/>
      <c r="G2119" s="86"/>
      <c r="H2119" s="86"/>
      <c r="I2119" s="86"/>
      <c r="J2119" s="82"/>
      <c r="K2119" s="82"/>
      <c r="L2119" s="82"/>
      <c r="M2119" s="82"/>
      <c r="N2119" s="82"/>
      <c r="O2119" s="82"/>
      <c r="P2119" s="82"/>
      <c r="Q2119" s="82"/>
      <c r="R2119" s="82"/>
      <c r="S2119" s="82"/>
      <c r="T2119" s="82"/>
      <c r="U2119" s="82"/>
      <c r="V2119" s="82"/>
      <c r="W2119" s="82"/>
      <c r="X2119" s="82"/>
      <c r="Y2119" s="82"/>
      <c r="Z2119" s="82"/>
      <c r="AA2119" s="82"/>
      <c r="AB2119" s="82"/>
      <c r="AC2119" s="82"/>
      <c r="AD2119" s="82"/>
      <c r="AE2119" s="82"/>
      <c r="AF2119" s="82"/>
      <c r="AG2119" s="82"/>
      <c r="AH2119" s="82"/>
      <c r="AI2119" s="82"/>
      <c r="AJ2119" s="82"/>
      <c r="AK2119" s="82"/>
      <c r="AL2119" s="82"/>
      <c r="AM2119" s="82"/>
      <c r="AN2119" s="82"/>
      <c r="AO2119" s="82"/>
      <c r="AP2119" s="82"/>
      <c r="AQ2119" s="82"/>
      <c r="AR2119" s="82"/>
      <c r="AS2119" s="82"/>
      <c r="AT2119" s="82"/>
      <c r="AU2119" s="82"/>
      <c r="AV2119" s="82"/>
      <c r="AW2119" s="82" t="str">
        <f t="shared" si="1"/>
        <v/>
      </c>
      <c r="AX2119" s="83" t="str">
        <f t="array" ref="AX2119">IFERROR(DGET('SBV Import'!A:G,"SBV",{"RSC ID","Tier";B2119,A2119}))</f>
        <v/>
      </c>
      <c r="AY2119" s="82" t="str">
        <f t="shared" si="2"/>
        <v/>
      </c>
      <c r="AZ2119" s="82"/>
      <c r="BA2119" s="84" t="s">
        <v>152</v>
      </c>
      <c r="BB2119" s="84" t="str">
        <f>IFERROR(__xludf.DUMMYFUNCTION("iferror(if(A2119="""",,E2119&gt;=FILTER(Constants!$F$2:$F$10,Constants!$A$2:$A$10=A2119)))"),"")</f>
        <v/>
      </c>
    </row>
    <row r="2120">
      <c r="A2120" s="87"/>
      <c r="B2120" s="87"/>
      <c r="C2120" s="73"/>
      <c r="D2120" s="73"/>
      <c r="E2120" s="82"/>
      <c r="F2120" s="82"/>
      <c r="G2120" s="86"/>
      <c r="H2120" s="86"/>
      <c r="I2120" s="86"/>
      <c r="J2120" s="82"/>
      <c r="K2120" s="82"/>
      <c r="L2120" s="82"/>
      <c r="M2120" s="82"/>
      <c r="N2120" s="82"/>
      <c r="O2120" s="82"/>
      <c r="P2120" s="82"/>
      <c r="Q2120" s="82"/>
      <c r="R2120" s="82"/>
      <c r="S2120" s="82"/>
      <c r="T2120" s="82"/>
      <c r="U2120" s="82"/>
      <c r="V2120" s="82"/>
      <c r="W2120" s="82"/>
      <c r="X2120" s="82"/>
      <c r="Y2120" s="82"/>
      <c r="Z2120" s="82"/>
      <c r="AA2120" s="82"/>
      <c r="AB2120" s="82"/>
      <c r="AC2120" s="82"/>
      <c r="AD2120" s="82"/>
      <c r="AE2120" s="82"/>
      <c r="AF2120" s="82"/>
      <c r="AG2120" s="82"/>
      <c r="AH2120" s="82"/>
      <c r="AI2120" s="82"/>
      <c r="AJ2120" s="82"/>
      <c r="AK2120" s="82"/>
      <c r="AL2120" s="82"/>
      <c r="AM2120" s="82"/>
      <c r="AN2120" s="82"/>
      <c r="AO2120" s="82"/>
      <c r="AP2120" s="82"/>
      <c r="AQ2120" s="82"/>
      <c r="AR2120" s="82"/>
      <c r="AS2120" s="82"/>
      <c r="AT2120" s="82"/>
      <c r="AU2120" s="82"/>
      <c r="AV2120" s="82"/>
      <c r="AW2120" s="82" t="str">
        <f t="shared" si="1"/>
        <v/>
      </c>
      <c r="AX2120" s="83" t="str">
        <f t="array" ref="AX2120">IFERROR(DGET('SBV Import'!A:G,"SBV",{"RSC ID","Tier";B2120,A2120}))</f>
        <v/>
      </c>
      <c r="AY2120" s="82" t="str">
        <f t="shared" si="2"/>
        <v/>
      </c>
      <c r="AZ2120" s="82"/>
      <c r="BA2120" s="84" t="s">
        <v>152</v>
      </c>
      <c r="BB2120" s="84" t="str">
        <f>IFERROR(__xludf.DUMMYFUNCTION("iferror(if(A2120="""",,E2120&gt;=FILTER(Constants!$F$2:$F$10,Constants!$A$2:$A$10=A2120)))"),"")</f>
        <v/>
      </c>
    </row>
    <row r="2121">
      <c r="A2121" s="87"/>
      <c r="B2121" s="87"/>
      <c r="C2121" s="73"/>
      <c r="D2121" s="73"/>
      <c r="E2121" s="82"/>
      <c r="F2121" s="82"/>
      <c r="G2121" s="86"/>
      <c r="H2121" s="86"/>
      <c r="I2121" s="86"/>
      <c r="J2121" s="82"/>
      <c r="K2121" s="82"/>
      <c r="L2121" s="82"/>
      <c r="M2121" s="82"/>
      <c r="N2121" s="82"/>
      <c r="O2121" s="82"/>
      <c r="P2121" s="82"/>
      <c r="Q2121" s="82"/>
      <c r="R2121" s="82"/>
      <c r="S2121" s="82"/>
      <c r="T2121" s="82"/>
      <c r="U2121" s="82"/>
      <c r="V2121" s="82"/>
      <c r="W2121" s="82"/>
      <c r="X2121" s="82"/>
      <c r="Y2121" s="82"/>
      <c r="Z2121" s="82"/>
      <c r="AA2121" s="82"/>
      <c r="AB2121" s="82"/>
      <c r="AC2121" s="82"/>
      <c r="AD2121" s="82"/>
      <c r="AE2121" s="82"/>
      <c r="AF2121" s="82"/>
      <c r="AG2121" s="82"/>
      <c r="AH2121" s="82"/>
      <c r="AI2121" s="82"/>
      <c r="AJ2121" s="82"/>
      <c r="AK2121" s="82"/>
      <c r="AL2121" s="82"/>
      <c r="AM2121" s="82"/>
      <c r="AN2121" s="82"/>
      <c r="AO2121" s="82"/>
      <c r="AP2121" s="82"/>
      <c r="AQ2121" s="82"/>
      <c r="AR2121" s="82"/>
      <c r="AS2121" s="82"/>
      <c r="AT2121" s="82"/>
      <c r="AU2121" s="82"/>
      <c r="AV2121" s="82"/>
      <c r="AW2121" s="82" t="str">
        <f t="shared" si="1"/>
        <v/>
      </c>
      <c r="AX2121" s="83" t="str">
        <f t="array" ref="AX2121">IFERROR(DGET('SBV Import'!A:G,"SBV",{"RSC ID","Tier";B2121,A2121}))</f>
        <v/>
      </c>
      <c r="AY2121" s="82" t="str">
        <f t="shared" si="2"/>
        <v/>
      </c>
      <c r="AZ2121" s="82"/>
      <c r="BA2121" s="84" t="s">
        <v>152</v>
      </c>
      <c r="BB2121" s="84" t="str">
        <f>IFERROR(__xludf.DUMMYFUNCTION("iferror(if(A2121="""",,E2121&gt;=FILTER(Constants!$F$2:$F$10,Constants!$A$2:$A$10=A2121)))"),"")</f>
        <v/>
      </c>
    </row>
    <row r="2122">
      <c r="A2122" s="87"/>
      <c r="B2122" s="87"/>
      <c r="C2122" s="73"/>
      <c r="D2122" s="73"/>
      <c r="E2122" s="82"/>
      <c r="F2122" s="82"/>
      <c r="G2122" s="86"/>
      <c r="H2122" s="86"/>
      <c r="I2122" s="86"/>
      <c r="J2122" s="82"/>
      <c r="K2122" s="82"/>
      <c r="L2122" s="82"/>
      <c r="M2122" s="82"/>
      <c r="N2122" s="82"/>
      <c r="O2122" s="82"/>
      <c r="P2122" s="82"/>
      <c r="Q2122" s="82"/>
      <c r="R2122" s="82"/>
      <c r="S2122" s="82"/>
      <c r="T2122" s="82"/>
      <c r="U2122" s="82"/>
      <c r="V2122" s="82"/>
      <c r="W2122" s="82"/>
      <c r="X2122" s="82"/>
      <c r="Y2122" s="82"/>
      <c r="Z2122" s="82"/>
      <c r="AA2122" s="82"/>
      <c r="AB2122" s="82"/>
      <c r="AC2122" s="82"/>
      <c r="AD2122" s="82"/>
      <c r="AE2122" s="82"/>
      <c r="AF2122" s="82"/>
      <c r="AG2122" s="82"/>
      <c r="AH2122" s="82"/>
      <c r="AI2122" s="82"/>
      <c r="AJ2122" s="82"/>
      <c r="AK2122" s="82"/>
      <c r="AL2122" s="82"/>
      <c r="AM2122" s="82"/>
      <c r="AN2122" s="82"/>
      <c r="AO2122" s="82"/>
      <c r="AP2122" s="82"/>
      <c r="AQ2122" s="82"/>
      <c r="AR2122" s="82"/>
      <c r="AS2122" s="82"/>
      <c r="AT2122" s="82"/>
      <c r="AU2122" s="82"/>
      <c r="AV2122" s="82"/>
      <c r="AW2122" s="82" t="str">
        <f t="shared" si="1"/>
        <v/>
      </c>
      <c r="AX2122" s="83" t="str">
        <f t="array" ref="AX2122">IFERROR(DGET('SBV Import'!A:G,"SBV",{"RSC ID","Tier";B2122,A2122}))</f>
        <v/>
      </c>
      <c r="AY2122" s="82" t="str">
        <f t="shared" si="2"/>
        <v/>
      </c>
      <c r="AZ2122" s="82"/>
      <c r="BA2122" s="84" t="s">
        <v>152</v>
      </c>
      <c r="BB2122" s="84" t="str">
        <f>IFERROR(__xludf.DUMMYFUNCTION("iferror(if(A2122="""",,E2122&gt;=FILTER(Constants!$F$2:$F$10,Constants!$A$2:$A$10=A2122)))"),"")</f>
        <v/>
      </c>
    </row>
    <row r="2123">
      <c r="A2123" s="87"/>
      <c r="B2123" s="87"/>
      <c r="C2123" s="73"/>
      <c r="D2123" s="73"/>
      <c r="E2123" s="82"/>
      <c r="F2123" s="82"/>
      <c r="G2123" s="86"/>
      <c r="H2123" s="86"/>
      <c r="I2123" s="86"/>
      <c r="J2123" s="82"/>
      <c r="K2123" s="82"/>
      <c r="L2123" s="82"/>
      <c r="M2123" s="82"/>
      <c r="N2123" s="82"/>
      <c r="O2123" s="82"/>
      <c r="P2123" s="82"/>
      <c r="Q2123" s="82"/>
      <c r="R2123" s="82"/>
      <c r="S2123" s="82"/>
      <c r="T2123" s="82"/>
      <c r="U2123" s="82"/>
      <c r="V2123" s="82"/>
      <c r="W2123" s="82"/>
      <c r="X2123" s="82"/>
      <c r="Y2123" s="82"/>
      <c r="Z2123" s="82"/>
      <c r="AA2123" s="82"/>
      <c r="AB2123" s="82"/>
      <c r="AC2123" s="82"/>
      <c r="AD2123" s="82"/>
      <c r="AE2123" s="82"/>
      <c r="AF2123" s="82"/>
      <c r="AG2123" s="82"/>
      <c r="AH2123" s="82"/>
      <c r="AI2123" s="82"/>
      <c r="AJ2123" s="82"/>
      <c r="AK2123" s="82"/>
      <c r="AL2123" s="82"/>
      <c r="AM2123" s="82"/>
      <c r="AN2123" s="82"/>
      <c r="AO2123" s="82"/>
      <c r="AP2123" s="82"/>
      <c r="AQ2123" s="82"/>
      <c r="AR2123" s="82"/>
      <c r="AS2123" s="82"/>
      <c r="AT2123" s="82"/>
      <c r="AU2123" s="82"/>
      <c r="AV2123" s="82"/>
      <c r="AW2123" s="82" t="str">
        <f t="shared" si="1"/>
        <v/>
      </c>
      <c r="AX2123" s="83" t="str">
        <f t="array" ref="AX2123">IFERROR(DGET('SBV Import'!A:G,"SBV",{"RSC ID","Tier";B2123,A2123}))</f>
        <v/>
      </c>
      <c r="AY2123" s="82" t="str">
        <f t="shared" si="2"/>
        <v/>
      </c>
      <c r="AZ2123" s="82"/>
      <c r="BA2123" s="84" t="s">
        <v>152</v>
      </c>
      <c r="BB2123" s="84" t="str">
        <f>IFERROR(__xludf.DUMMYFUNCTION("iferror(if(A2123="""",,E2123&gt;=FILTER(Constants!$F$2:$F$10,Constants!$A$2:$A$10=A2123)))"),"")</f>
        <v/>
      </c>
    </row>
    <row r="2124">
      <c r="A2124" s="87"/>
      <c r="B2124" s="87"/>
      <c r="C2124" s="73"/>
      <c r="D2124" s="73"/>
      <c r="E2124" s="82"/>
      <c r="F2124" s="82"/>
      <c r="G2124" s="86"/>
      <c r="H2124" s="86"/>
      <c r="I2124" s="86"/>
      <c r="J2124" s="82"/>
      <c r="K2124" s="82"/>
      <c r="L2124" s="82"/>
      <c r="M2124" s="82"/>
      <c r="N2124" s="82"/>
      <c r="O2124" s="82"/>
      <c r="P2124" s="82"/>
      <c r="Q2124" s="82"/>
      <c r="R2124" s="82"/>
      <c r="S2124" s="82"/>
      <c r="T2124" s="82"/>
      <c r="U2124" s="82"/>
      <c r="V2124" s="82"/>
      <c r="W2124" s="82"/>
      <c r="X2124" s="82"/>
      <c r="Y2124" s="82"/>
      <c r="Z2124" s="82"/>
      <c r="AA2124" s="82"/>
      <c r="AB2124" s="82"/>
      <c r="AC2124" s="82"/>
      <c r="AD2124" s="82"/>
      <c r="AE2124" s="82"/>
      <c r="AF2124" s="82"/>
      <c r="AG2124" s="82"/>
      <c r="AH2124" s="82"/>
      <c r="AI2124" s="82"/>
      <c r="AJ2124" s="82"/>
      <c r="AK2124" s="82"/>
      <c r="AL2124" s="82"/>
      <c r="AM2124" s="82"/>
      <c r="AN2124" s="82"/>
      <c r="AO2124" s="82"/>
      <c r="AP2124" s="82"/>
      <c r="AQ2124" s="82"/>
      <c r="AR2124" s="82"/>
      <c r="AS2124" s="82"/>
      <c r="AT2124" s="82"/>
      <c r="AU2124" s="82"/>
      <c r="AV2124" s="82"/>
      <c r="AW2124" s="82" t="str">
        <f t="shared" si="1"/>
        <v/>
      </c>
      <c r="AX2124" s="83" t="str">
        <f t="array" ref="AX2124">IFERROR(DGET('SBV Import'!A:G,"SBV",{"RSC ID","Tier";B2124,A2124}))</f>
        <v/>
      </c>
      <c r="AY2124" s="82" t="str">
        <f t="shared" si="2"/>
        <v/>
      </c>
      <c r="AZ2124" s="82"/>
      <c r="BA2124" s="84" t="s">
        <v>152</v>
      </c>
      <c r="BB2124" s="84" t="str">
        <f>IFERROR(__xludf.DUMMYFUNCTION("iferror(if(A2124="""",,E2124&gt;=FILTER(Constants!$F$2:$F$10,Constants!$A$2:$A$10=A2124)))"),"")</f>
        <v/>
      </c>
    </row>
    <row r="2125">
      <c r="A2125" s="87"/>
      <c r="B2125" s="87"/>
      <c r="C2125" s="73"/>
      <c r="D2125" s="73"/>
      <c r="E2125" s="82"/>
      <c r="F2125" s="82"/>
      <c r="G2125" s="86"/>
      <c r="H2125" s="86"/>
      <c r="I2125" s="86"/>
      <c r="J2125" s="82"/>
      <c r="K2125" s="82"/>
      <c r="L2125" s="82"/>
      <c r="M2125" s="82"/>
      <c r="N2125" s="82"/>
      <c r="O2125" s="82"/>
      <c r="P2125" s="82"/>
      <c r="Q2125" s="82"/>
      <c r="R2125" s="82"/>
      <c r="S2125" s="82"/>
      <c r="T2125" s="82"/>
      <c r="U2125" s="82"/>
      <c r="V2125" s="82"/>
      <c r="W2125" s="82"/>
      <c r="X2125" s="82"/>
      <c r="Y2125" s="82"/>
      <c r="Z2125" s="82"/>
      <c r="AA2125" s="82"/>
      <c r="AB2125" s="82"/>
      <c r="AC2125" s="82"/>
      <c r="AD2125" s="82"/>
      <c r="AE2125" s="82"/>
      <c r="AF2125" s="82"/>
      <c r="AG2125" s="82"/>
      <c r="AH2125" s="82"/>
      <c r="AI2125" s="82"/>
      <c r="AJ2125" s="82"/>
      <c r="AK2125" s="82"/>
      <c r="AL2125" s="82"/>
      <c r="AM2125" s="82"/>
      <c r="AN2125" s="82"/>
      <c r="AO2125" s="82"/>
      <c r="AP2125" s="82"/>
      <c r="AQ2125" s="82"/>
      <c r="AR2125" s="82"/>
      <c r="AS2125" s="82"/>
      <c r="AT2125" s="82"/>
      <c r="AU2125" s="82"/>
      <c r="AV2125" s="82"/>
      <c r="AW2125" s="82" t="str">
        <f t="shared" si="1"/>
        <v/>
      </c>
      <c r="AX2125" s="83" t="str">
        <f t="array" ref="AX2125">IFERROR(DGET('SBV Import'!A:G,"SBV",{"RSC ID","Tier";B2125,A2125}))</f>
        <v/>
      </c>
      <c r="AY2125" s="82" t="str">
        <f t="shared" si="2"/>
        <v/>
      </c>
      <c r="AZ2125" s="82"/>
      <c r="BA2125" s="84" t="s">
        <v>152</v>
      </c>
      <c r="BB2125" s="84" t="str">
        <f>IFERROR(__xludf.DUMMYFUNCTION("iferror(if(A2125="""",,E2125&gt;=FILTER(Constants!$F$2:$F$10,Constants!$A$2:$A$10=A2125)))"),"")</f>
        <v/>
      </c>
    </row>
    <row r="2126">
      <c r="A2126" s="87"/>
      <c r="B2126" s="87"/>
      <c r="C2126" s="73"/>
      <c r="D2126" s="73"/>
      <c r="E2126" s="82"/>
      <c r="F2126" s="82"/>
      <c r="G2126" s="86"/>
      <c r="H2126" s="86"/>
      <c r="I2126" s="86"/>
      <c r="J2126" s="82"/>
      <c r="K2126" s="82"/>
      <c r="L2126" s="82"/>
      <c r="M2126" s="82"/>
      <c r="N2126" s="82"/>
      <c r="O2126" s="82"/>
      <c r="P2126" s="82"/>
      <c r="Q2126" s="82"/>
      <c r="R2126" s="82"/>
      <c r="S2126" s="82"/>
      <c r="T2126" s="82"/>
      <c r="U2126" s="82"/>
      <c r="V2126" s="82"/>
      <c r="W2126" s="82"/>
      <c r="X2126" s="82"/>
      <c r="Y2126" s="82"/>
      <c r="Z2126" s="82"/>
      <c r="AA2126" s="82"/>
      <c r="AB2126" s="82"/>
      <c r="AC2126" s="82"/>
      <c r="AD2126" s="82"/>
      <c r="AE2126" s="82"/>
      <c r="AF2126" s="82"/>
      <c r="AG2126" s="82"/>
      <c r="AH2126" s="82"/>
      <c r="AI2126" s="82"/>
      <c r="AJ2126" s="82"/>
      <c r="AK2126" s="82"/>
      <c r="AL2126" s="82"/>
      <c r="AM2126" s="82"/>
      <c r="AN2126" s="82"/>
      <c r="AO2126" s="82"/>
      <c r="AP2126" s="82"/>
      <c r="AQ2126" s="82"/>
      <c r="AR2126" s="82"/>
      <c r="AS2126" s="82"/>
      <c r="AT2126" s="82"/>
      <c r="AU2126" s="82"/>
      <c r="AV2126" s="82"/>
      <c r="AW2126" s="82" t="str">
        <f t="shared" si="1"/>
        <v/>
      </c>
      <c r="AX2126" s="83" t="str">
        <f t="array" ref="AX2126">IFERROR(DGET('SBV Import'!A:G,"SBV",{"RSC ID","Tier";B2126,A2126}))</f>
        <v/>
      </c>
      <c r="AY2126" s="82" t="str">
        <f t="shared" si="2"/>
        <v/>
      </c>
      <c r="AZ2126" s="82"/>
      <c r="BA2126" s="84" t="s">
        <v>152</v>
      </c>
      <c r="BB2126" s="84" t="str">
        <f>IFERROR(__xludf.DUMMYFUNCTION("iferror(if(A2126="""",,E2126&gt;=FILTER(Constants!$F$2:$F$10,Constants!$A$2:$A$10=A2126)))"),"")</f>
        <v/>
      </c>
    </row>
    <row r="2127">
      <c r="A2127" s="87"/>
      <c r="B2127" s="87"/>
      <c r="C2127" s="73"/>
      <c r="D2127" s="73"/>
      <c r="E2127" s="82"/>
      <c r="F2127" s="82"/>
      <c r="G2127" s="86"/>
      <c r="H2127" s="86"/>
      <c r="I2127" s="86"/>
      <c r="J2127" s="82"/>
      <c r="K2127" s="82"/>
      <c r="L2127" s="82"/>
      <c r="M2127" s="82"/>
      <c r="N2127" s="82"/>
      <c r="O2127" s="82"/>
      <c r="P2127" s="82"/>
      <c r="Q2127" s="82"/>
      <c r="R2127" s="82"/>
      <c r="S2127" s="82"/>
      <c r="T2127" s="82"/>
      <c r="U2127" s="82"/>
      <c r="V2127" s="82"/>
      <c r="W2127" s="82"/>
      <c r="X2127" s="82"/>
      <c r="Y2127" s="82"/>
      <c r="Z2127" s="82"/>
      <c r="AA2127" s="82"/>
      <c r="AB2127" s="82"/>
      <c r="AC2127" s="82"/>
      <c r="AD2127" s="82"/>
      <c r="AE2127" s="82"/>
      <c r="AF2127" s="82"/>
      <c r="AG2127" s="82"/>
      <c r="AH2127" s="82"/>
      <c r="AI2127" s="82"/>
      <c r="AJ2127" s="82"/>
      <c r="AK2127" s="82"/>
      <c r="AL2127" s="82"/>
      <c r="AM2127" s="82"/>
      <c r="AN2127" s="82"/>
      <c r="AO2127" s="82"/>
      <c r="AP2127" s="82"/>
      <c r="AQ2127" s="82"/>
      <c r="AR2127" s="82"/>
      <c r="AS2127" s="82"/>
      <c r="AT2127" s="82"/>
      <c r="AU2127" s="82"/>
      <c r="AV2127" s="82"/>
      <c r="AW2127" s="82" t="str">
        <f t="shared" si="1"/>
        <v/>
      </c>
      <c r="AX2127" s="83" t="str">
        <f t="array" ref="AX2127">IFERROR(DGET('SBV Import'!A:G,"SBV",{"RSC ID","Tier";B2127,A2127}))</f>
        <v/>
      </c>
      <c r="AY2127" s="82" t="str">
        <f t="shared" si="2"/>
        <v/>
      </c>
      <c r="AZ2127" s="82"/>
      <c r="BA2127" s="84" t="s">
        <v>152</v>
      </c>
      <c r="BB2127" s="84" t="str">
        <f>IFERROR(__xludf.DUMMYFUNCTION("iferror(if(A2127="""",,E2127&gt;=FILTER(Constants!$F$2:$F$10,Constants!$A$2:$A$10=A2127)))"),"")</f>
        <v/>
      </c>
    </row>
    <row r="2128">
      <c r="A2128" s="87"/>
      <c r="B2128" s="87"/>
      <c r="C2128" s="73"/>
      <c r="D2128" s="73"/>
      <c r="E2128" s="82"/>
      <c r="F2128" s="82"/>
      <c r="G2128" s="86"/>
      <c r="H2128" s="86"/>
      <c r="I2128" s="86"/>
      <c r="J2128" s="82"/>
      <c r="K2128" s="82"/>
      <c r="L2128" s="82"/>
      <c r="M2128" s="82"/>
      <c r="N2128" s="82"/>
      <c r="O2128" s="82"/>
      <c r="P2128" s="82"/>
      <c r="Q2128" s="82"/>
      <c r="R2128" s="82"/>
      <c r="S2128" s="82"/>
      <c r="T2128" s="82"/>
      <c r="U2128" s="82"/>
      <c r="V2128" s="82"/>
      <c r="W2128" s="82"/>
      <c r="X2128" s="82"/>
      <c r="Y2128" s="82"/>
      <c r="Z2128" s="82"/>
      <c r="AA2128" s="82"/>
      <c r="AB2128" s="82"/>
      <c r="AC2128" s="82"/>
      <c r="AD2128" s="82"/>
      <c r="AE2128" s="82"/>
      <c r="AF2128" s="82"/>
      <c r="AG2128" s="82"/>
      <c r="AH2128" s="82"/>
      <c r="AI2128" s="82"/>
      <c r="AJ2128" s="82"/>
      <c r="AK2128" s="82"/>
      <c r="AL2128" s="82"/>
      <c r="AM2128" s="82"/>
      <c r="AN2128" s="82"/>
      <c r="AO2128" s="82"/>
      <c r="AP2128" s="82"/>
      <c r="AQ2128" s="82"/>
      <c r="AR2128" s="82"/>
      <c r="AS2128" s="82"/>
      <c r="AT2128" s="82"/>
      <c r="AU2128" s="82"/>
      <c r="AV2128" s="82"/>
      <c r="AW2128" s="82" t="str">
        <f t="shared" si="1"/>
        <v/>
      </c>
      <c r="AX2128" s="83" t="str">
        <f t="array" ref="AX2128">IFERROR(DGET('SBV Import'!A:G,"SBV",{"RSC ID","Tier";B2128,A2128}))</f>
        <v/>
      </c>
      <c r="AY2128" s="82" t="str">
        <f t="shared" si="2"/>
        <v/>
      </c>
      <c r="AZ2128" s="82"/>
      <c r="BA2128" s="84" t="s">
        <v>152</v>
      </c>
      <c r="BB2128" s="84" t="str">
        <f>IFERROR(__xludf.DUMMYFUNCTION("iferror(if(A2128="""",,E2128&gt;=FILTER(Constants!$F$2:$F$10,Constants!$A$2:$A$10=A2128)))"),"")</f>
        <v/>
      </c>
    </row>
    <row r="2129">
      <c r="A2129" s="87"/>
      <c r="B2129" s="87"/>
      <c r="C2129" s="73"/>
      <c r="D2129" s="73"/>
      <c r="E2129" s="82"/>
      <c r="F2129" s="82"/>
      <c r="G2129" s="86"/>
      <c r="H2129" s="86"/>
      <c r="I2129" s="86"/>
      <c r="J2129" s="82"/>
      <c r="K2129" s="82"/>
      <c r="L2129" s="82"/>
      <c r="M2129" s="82"/>
      <c r="N2129" s="82"/>
      <c r="O2129" s="82"/>
      <c r="P2129" s="82"/>
      <c r="Q2129" s="82"/>
      <c r="R2129" s="82"/>
      <c r="S2129" s="82"/>
      <c r="T2129" s="82"/>
      <c r="U2129" s="82"/>
      <c r="V2129" s="82"/>
      <c r="W2129" s="82"/>
      <c r="X2129" s="82"/>
      <c r="Y2129" s="82"/>
      <c r="Z2129" s="82"/>
      <c r="AA2129" s="82"/>
      <c r="AB2129" s="82"/>
      <c r="AC2129" s="82"/>
      <c r="AD2129" s="82"/>
      <c r="AE2129" s="82"/>
      <c r="AF2129" s="82"/>
      <c r="AG2129" s="82"/>
      <c r="AH2129" s="82"/>
      <c r="AI2129" s="82"/>
      <c r="AJ2129" s="82"/>
      <c r="AK2129" s="82"/>
      <c r="AL2129" s="82"/>
      <c r="AM2129" s="82"/>
      <c r="AN2129" s="82"/>
      <c r="AO2129" s="82"/>
      <c r="AP2129" s="82"/>
      <c r="AQ2129" s="82"/>
      <c r="AR2129" s="82"/>
      <c r="AS2129" s="82"/>
      <c r="AT2129" s="82"/>
      <c r="AU2129" s="82"/>
      <c r="AV2129" s="82"/>
      <c r="AW2129" s="82" t="str">
        <f t="shared" si="1"/>
        <v/>
      </c>
      <c r="AX2129" s="83" t="str">
        <f t="array" ref="AX2129">IFERROR(DGET('SBV Import'!A:G,"SBV",{"RSC ID","Tier";B2129,A2129}))</f>
        <v/>
      </c>
      <c r="AY2129" s="82" t="str">
        <f t="shared" si="2"/>
        <v/>
      </c>
      <c r="AZ2129" s="82"/>
      <c r="BA2129" s="84" t="s">
        <v>152</v>
      </c>
      <c r="BB2129" s="84" t="str">
        <f>IFERROR(__xludf.DUMMYFUNCTION("iferror(if(A2129="""",,E2129&gt;=FILTER(Constants!$F$2:$F$10,Constants!$A$2:$A$10=A2129)))"),"")</f>
        <v/>
      </c>
    </row>
    <row r="2130">
      <c r="A2130" s="87"/>
      <c r="B2130" s="87"/>
      <c r="C2130" s="73"/>
      <c r="D2130" s="73"/>
      <c r="E2130" s="82"/>
      <c r="F2130" s="82"/>
      <c r="G2130" s="86"/>
      <c r="H2130" s="86"/>
      <c r="I2130" s="86"/>
      <c r="J2130" s="82"/>
      <c r="K2130" s="82"/>
      <c r="L2130" s="82"/>
      <c r="M2130" s="82"/>
      <c r="N2130" s="82"/>
      <c r="O2130" s="82"/>
      <c r="P2130" s="82"/>
      <c r="Q2130" s="82"/>
      <c r="R2130" s="82"/>
      <c r="S2130" s="82"/>
      <c r="T2130" s="82"/>
      <c r="U2130" s="82"/>
      <c r="V2130" s="82"/>
      <c r="W2130" s="82"/>
      <c r="X2130" s="82"/>
      <c r="Y2130" s="82"/>
      <c r="Z2130" s="82"/>
      <c r="AA2130" s="82"/>
      <c r="AB2130" s="82"/>
      <c r="AC2130" s="82"/>
      <c r="AD2130" s="82"/>
      <c r="AE2130" s="82"/>
      <c r="AF2130" s="82"/>
      <c r="AG2130" s="82"/>
      <c r="AH2130" s="82"/>
      <c r="AI2130" s="82"/>
      <c r="AJ2130" s="82"/>
      <c r="AK2130" s="82"/>
      <c r="AL2130" s="82"/>
      <c r="AM2130" s="82"/>
      <c r="AN2130" s="82"/>
      <c r="AO2130" s="82"/>
      <c r="AP2130" s="82"/>
      <c r="AQ2130" s="82"/>
      <c r="AR2130" s="82"/>
      <c r="AS2130" s="82"/>
      <c r="AT2130" s="82"/>
      <c r="AU2130" s="82"/>
      <c r="AV2130" s="82"/>
      <c r="AW2130" s="82" t="str">
        <f t="shared" si="1"/>
        <v/>
      </c>
      <c r="AX2130" s="83" t="str">
        <f t="array" ref="AX2130">IFERROR(DGET('SBV Import'!A:G,"SBV",{"RSC ID","Tier";B2130,A2130}))</f>
        <v/>
      </c>
      <c r="AY2130" s="82" t="str">
        <f t="shared" si="2"/>
        <v/>
      </c>
      <c r="AZ2130" s="82"/>
      <c r="BA2130" s="84" t="s">
        <v>152</v>
      </c>
      <c r="BB2130" s="84" t="str">
        <f>IFERROR(__xludf.DUMMYFUNCTION("iferror(if(A2130="""",,E2130&gt;=FILTER(Constants!$F$2:$F$10,Constants!$A$2:$A$10=A2130)))"),"")</f>
        <v/>
      </c>
    </row>
    <row r="2131">
      <c r="A2131" s="87"/>
      <c r="B2131" s="87"/>
      <c r="C2131" s="73"/>
      <c r="D2131" s="73"/>
      <c r="E2131" s="82"/>
      <c r="F2131" s="82"/>
      <c r="G2131" s="86"/>
      <c r="H2131" s="86"/>
      <c r="I2131" s="86"/>
      <c r="J2131" s="82"/>
      <c r="K2131" s="82"/>
      <c r="L2131" s="82"/>
      <c r="M2131" s="82"/>
      <c r="N2131" s="82"/>
      <c r="O2131" s="82"/>
      <c r="P2131" s="82"/>
      <c r="Q2131" s="82"/>
      <c r="R2131" s="82"/>
      <c r="S2131" s="82"/>
      <c r="T2131" s="82"/>
      <c r="U2131" s="82"/>
      <c r="V2131" s="82"/>
      <c r="W2131" s="82"/>
      <c r="X2131" s="82"/>
      <c r="Y2131" s="82"/>
      <c r="Z2131" s="82"/>
      <c r="AA2131" s="82"/>
      <c r="AB2131" s="82"/>
      <c r="AC2131" s="82"/>
      <c r="AD2131" s="82"/>
      <c r="AE2131" s="82"/>
      <c r="AF2131" s="82"/>
      <c r="AG2131" s="82"/>
      <c r="AH2131" s="82"/>
      <c r="AI2131" s="82"/>
      <c r="AJ2131" s="82"/>
      <c r="AK2131" s="82"/>
      <c r="AL2131" s="82"/>
      <c r="AM2131" s="82"/>
      <c r="AN2131" s="82"/>
      <c r="AO2131" s="82"/>
      <c r="AP2131" s="82"/>
      <c r="AQ2131" s="82"/>
      <c r="AR2131" s="82"/>
      <c r="AS2131" s="82"/>
      <c r="AT2131" s="82"/>
      <c r="AU2131" s="82"/>
      <c r="AV2131" s="82"/>
      <c r="AW2131" s="82" t="str">
        <f t="shared" si="1"/>
        <v/>
      </c>
      <c r="AX2131" s="83" t="str">
        <f t="array" ref="AX2131">IFERROR(DGET('SBV Import'!A:G,"SBV",{"RSC ID","Tier";B2131,A2131}))</f>
        <v/>
      </c>
      <c r="AY2131" s="82" t="str">
        <f t="shared" si="2"/>
        <v/>
      </c>
      <c r="AZ2131" s="82"/>
      <c r="BA2131" s="84" t="s">
        <v>152</v>
      </c>
      <c r="BB2131" s="84" t="str">
        <f>IFERROR(__xludf.DUMMYFUNCTION("iferror(if(A2131="""",,E2131&gt;=FILTER(Constants!$F$2:$F$10,Constants!$A$2:$A$10=A2131)))"),"")</f>
        <v/>
      </c>
    </row>
    <row r="2132">
      <c r="A2132" s="87"/>
      <c r="B2132" s="87"/>
      <c r="C2132" s="73"/>
      <c r="D2132" s="73"/>
      <c r="E2132" s="82"/>
      <c r="F2132" s="82"/>
      <c r="G2132" s="86"/>
      <c r="H2132" s="86"/>
      <c r="I2132" s="86"/>
      <c r="J2132" s="82"/>
      <c r="K2132" s="82"/>
      <c r="L2132" s="82"/>
      <c r="M2132" s="82"/>
      <c r="N2132" s="82"/>
      <c r="O2132" s="82"/>
      <c r="P2132" s="82"/>
      <c r="Q2132" s="82"/>
      <c r="R2132" s="82"/>
      <c r="S2132" s="82"/>
      <c r="T2132" s="82"/>
      <c r="U2132" s="82"/>
      <c r="V2132" s="82"/>
      <c r="W2132" s="82"/>
      <c r="X2132" s="82"/>
      <c r="Y2132" s="82"/>
      <c r="Z2132" s="82"/>
      <c r="AA2132" s="82"/>
      <c r="AB2132" s="82"/>
      <c r="AC2132" s="82"/>
      <c r="AD2132" s="82"/>
      <c r="AE2132" s="82"/>
      <c r="AF2132" s="82"/>
      <c r="AG2132" s="82"/>
      <c r="AH2132" s="82"/>
      <c r="AI2132" s="82"/>
      <c r="AJ2132" s="82"/>
      <c r="AK2132" s="82"/>
      <c r="AL2132" s="82"/>
      <c r="AM2132" s="82"/>
      <c r="AN2132" s="82"/>
      <c r="AO2132" s="82"/>
      <c r="AP2132" s="82"/>
      <c r="AQ2132" s="82"/>
      <c r="AR2132" s="82"/>
      <c r="AS2132" s="82"/>
      <c r="AT2132" s="82"/>
      <c r="AU2132" s="82"/>
      <c r="AV2132" s="82"/>
      <c r="AW2132" s="82" t="str">
        <f t="shared" si="1"/>
        <v/>
      </c>
      <c r="AX2132" s="83" t="str">
        <f t="array" ref="AX2132">IFERROR(DGET('SBV Import'!A:G,"SBV",{"RSC ID","Tier";B2132,A2132}))</f>
        <v/>
      </c>
      <c r="AY2132" s="82" t="str">
        <f t="shared" si="2"/>
        <v/>
      </c>
      <c r="AZ2132" s="82"/>
      <c r="BA2132" s="84" t="s">
        <v>152</v>
      </c>
      <c r="BB2132" s="84" t="str">
        <f>IFERROR(__xludf.DUMMYFUNCTION("iferror(if(A2132="""",,E2132&gt;=FILTER(Constants!$F$2:$F$10,Constants!$A$2:$A$10=A2132)))"),"")</f>
        <v/>
      </c>
    </row>
    <row r="2133">
      <c r="A2133" s="87"/>
      <c r="B2133" s="87"/>
      <c r="C2133" s="73"/>
      <c r="D2133" s="73"/>
      <c r="E2133" s="82"/>
      <c r="F2133" s="82"/>
      <c r="G2133" s="86"/>
      <c r="H2133" s="86"/>
      <c r="I2133" s="86"/>
      <c r="J2133" s="82"/>
      <c r="K2133" s="82"/>
      <c r="L2133" s="82"/>
      <c r="M2133" s="82"/>
      <c r="N2133" s="82"/>
      <c r="O2133" s="82"/>
      <c r="P2133" s="82"/>
      <c r="Q2133" s="82"/>
      <c r="R2133" s="82"/>
      <c r="S2133" s="82"/>
      <c r="T2133" s="82"/>
      <c r="U2133" s="82"/>
      <c r="V2133" s="82"/>
      <c r="W2133" s="82"/>
      <c r="X2133" s="82"/>
      <c r="Y2133" s="82"/>
      <c r="Z2133" s="82"/>
      <c r="AA2133" s="82"/>
      <c r="AB2133" s="82"/>
      <c r="AC2133" s="82"/>
      <c r="AD2133" s="82"/>
      <c r="AE2133" s="82"/>
      <c r="AF2133" s="82"/>
      <c r="AG2133" s="82"/>
      <c r="AH2133" s="82"/>
      <c r="AI2133" s="82"/>
      <c r="AJ2133" s="82"/>
      <c r="AK2133" s="82"/>
      <c r="AL2133" s="82"/>
      <c r="AM2133" s="82"/>
      <c r="AN2133" s="82"/>
      <c r="AO2133" s="82"/>
      <c r="AP2133" s="82"/>
      <c r="AQ2133" s="82"/>
      <c r="AR2133" s="82"/>
      <c r="AS2133" s="82"/>
      <c r="AT2133" s="82"/>
      <c r="AU2133" s="82"/>
      <c r="AV2133" s="82"/>
      <c r="AW2133" s="82" t="str">
        <f t="shared" si="1"/>
        <v/>
      </c>
      <c r="AX2133" s="83" t="str">
        <f t="array" ref="AX2133">IFERROR(DGET('SBV Import'!A:G,"SBV",{"RSC ID","Tier";B2133,A2133}))</f>
        <v/>
      </c>
      <c r="AY2133" s="82" t="str">
        <f t="shared" si="2"/>
        <v/>
      </c>
      <c r="AZ2133" s="82"/>
      <c r="BA2133" s="84" t="s">
        <v>152</v>
      </c>
      <c r="BB2133" s="84" t="str">
        <f>IFERROR(__xludf.DUMMYFUNCTION("iferror(if(A2133="""",,E2133&gt;=FILTER(Constants!$F$2:$F$10,Constants!$A$2:$A$10=A2133)))"),"")</f>
        <v/>
      </c>
    </row>
    <row r="2134">
      <c r="A2134" s="87"/>
      <c r="B2134" s="87"/>
      <c r="C2134" s="73"/>
      <c r="D2134" s="73"/>
      <c r="E2134" s="82"/>
      <c r="F2134" s="82"/>
      <c r="G2134" s="86"/>
      <c r="H2134" s="86"/>
      <c r="I2134" s="86"/>
      <c r="J2134" s="82"/>
      <c r="K2134" s="82"/>
      <c r="L2134" s="82"/>
      <c r="M2134" s="82"/>
      <c r="N2134" s="82"/>
      <c r="O2134" s="82"/>
      <c r="P2134" s="82"/>
      <c r="Q2134" s="82"/>
      <c r="R2134" s="82"/>
      <c r="S2134" s="82"/>
      <c r="T2134" s="82"/>
      <c r="U2134" s="82"/>
      <c r="V2134" s="82"/>
      <c r="W2134" s="82"/>
      <c r="X2134" s="82"/>
      <c r="Y2134" s="82"/>
      <c r="Z2134" s="82"/>
      <c r="AA2134" s="82"/>
      <c r="AB2134" s="82"/>
      <c r="AC2134" s="82"/>
      <c r="AD2134" s="82"/>
      <c r="AE2134" s="82"/>
      <c r="AF2134" s="82"/>
      <c r="AG2134" s="82"/>
      <c r="AH2134" s="82"/>
      <c r="AI2134" s="82"/>
      <c r="AJ2134" s="82"/>
      <c r="AK2134" s="82"/>
      <c r="AL2134" s="82"/>
      <c r="AM2134" s="82"/>
      <c r="AN2134" s="82"/>
      <c r="AO2134" s="82"/>
      <c r="AP2134" s="82"/>
      <c r="AQ2134" s="82"/>
      <c r="AR2134" s="82"/>
      <c r="AS2134" s="82"/>
      <c r="AT2134" s="82"/>
      <c r="AU2134" s="82"/>
      <c r="AV2134" s="82"/>
      <c r="AW2134" s="82" t="str">
        <f t="shared" si="1"/>
        <v/>
      </c>
      <c r="AX2134" s="83" t="str">
        <f t="array" ref="AX2134">IFERROR(DGET('SBV Import'!A:G,"SBV",{"RSC ID","Tier";B2134,A2134}))</f>
        <v/>
      </c>
      <c r="AY2134" s="82" t="str">
        <f t="shared" si="2"/>
        <v/>
      </c>
      <c r="AZ2134" s="82"/>
      <c r="BA2134" s="84" t="s">
        <v>152</v>
      </c>
      <c r="BB2134" s="84" t="str">
        <f>IFERROR(__xludf.DUMMYFUNCTION("iferror(if(A2134="""",,E2134&gt;=FILTER(Constants!$F$2:$F$10,Constants!$A$2:$A$10=A2134)))"),"")</f>
        <v/>
      </c>
    </row>
    <row r="2135">
      <c r="A2135" s="87"/>
      <c r="B2135" s="87"/>
      <c r="C2135" s="73"/>
      <c r="D2135" s="73"/>
      <c r="E2135" s="82"/>
      <c r="F2135" s="82"/>
      <c r="G2135" s="86"/>
      <c r="H2135" s="86"/>
      <c r="I2135" s="86"/>
      <c r="J2135" s="82"/>
      <c r="K2135" s="82"/>
      <c r="L2135" s="82"/>
      <c r="M2135" s="82"/>
      <c r="N2135" s="82"/>
      <c r="O2135" s="82"/>
      <c r="P2135" s="82"/>
      <c r="Q2135" s="82"/>
      <c r="R2135" s="82"/>
      <c r="S2135" s="82"/>
      <c r="T2135" s="82"/>
      <c r="U2135" s="82"/>
      <c r="V2135" s="82"/>
      <c r="W2135" s="82"/>
      <c r="X2135" s="82"/>
      <c r="Y2135" s="82"/>
      <c r="Z2135" s="82"/>
      <c r="AA2135" s="82"/>
      <c r="AB2135" s="82"/>
      <c r="AC2135" s="82"/>
      <c r="AD2135" s="82"/>
      <c r="AE2135" s="82"/>
      <c r="AF2135" s="82"/>
      <c r="AG2135" s="82"/>
      <c r="AH2135" s="82"/>
      <c r="AI2135" s="82"/>
      <c r="AJ2135" s="82"/>
      <c r="AK2135" s="82"/>
      <c r="AL2135" s="82"/>
      <c r="AM2135" s="82"/>
      <c r="AN2135" s="82"/>
      <c r="AO2135" s="82"/>
      <c r="AP2135" s="82"/>
      <c r="AQ2135" s="82"/>
      <c r="AR2135" s="82"/>
      <c r="AS2135" s="82"/>
      <c r="AT2135" s="82"/>
      <c r="AU2135" s="82"/>
      <c r="AV2135" s="82"/>
      <c r="AW2135" s="82" t="str">
        <f t="shared" si="1"/>
        <v/>
      </c>
      <c r="AX2135" s="83" t="str">
        <f t="array" ref="AX2135">IFERROR(DGET('SBV Import'!A:G,"SBV",{"RSC ID","Tier";B2135,A2135}))</f>
        <v/>
      </c>
      <c r="AY2135" s="82" t="str">
        <f t="shared" si="2"/>
        <v/>
      </c>
      <c r="AZ2135" s="82"/>
      <c r="BA2135" s="84" t="s">
        <v>152</v>
      </c>
      <c r="BB2135" s="84" t="str">
        <f>IFERROR(__xludf.DUMMYFUNCTION("iferror(if(A2135="""",,E2135&gt;=FILTER(Constants!$F$2:$F$10,Constants!$A$2:$A$10=A2135)))"),"")</f>
        <v/>
      </c>
    </row>
    <row r="2136">
      <c r="A2136" s="87"/>
      <c r="B2136" s="87"/>
      <c r="C2136" s="73"/>
      <c r="D2136" s="73"/>
      <c r="E2136" s="82"/>
      <c r="F2136" s="82"/>
      <c r="G2136" s="86"/>
      <c r="H2136" s="86"/>
      <c r="I2136" s="86"/>
      <c r="J2136" s="82"/>
      <c r="K2136" s="82"/>
      <c r="L2136" s="82"/>
      <c r="M2136" s="82"/>
      <c r="N2136" s="82"/>
      <c r="O2136" s="82"/>
      <c r="P2136" s="82"/>
      <c r="Q2136" s="82"/>
      <c r="R2136" s="82"/>
      <c r="S2136" s="82"/>
      <c r="T2136" s="82"/>
      <c r="U2136" s="82"/>
      <c r="V2136" s="82"/>
      <c r="W2136" s="82"/>
      <c r="X2136" s="82"/>
      <c r="Y2136" s="82"/>
      <c r="Z2136" s="82"/>
      <c r="AA2136" s="82"/>
      <c r="AB2136" s="82"/>
      <c r="AC2136" s="82"/>
      <c r="AD2136" s="82"/>
      <c r="AE2136" s="82"/>
      <c r="AF2136" s="82"/>
      <c r="AG2136" s="82"/>
      <c r="AH2136" s="82"/>
      <c r="AI2136" s="82"/>
      <c r="AJ2136" s="82"/>
      <c r="AK2136" s="82"/>
      <c r="AL2136" s="82"/>
      <c r="AM2136" s="82"/>
      <c r="AN2136" s="82"/>
      <c r="AO2136" s="82"/>
      <c r="AP2136" s="82"/>
      <c r="AQ2136" s="82"/>
      <c r="AR2136" s="82"/>
      <c r="AS2136" s="82"/>
      <c r="AT2136" s="82"/>
      <c r="AU2136" s="82"/>
      <c r="AV2136" s="82"/>
      <c r="AW2136" s="82" t="str">
        <f t="shared" si="1"/>
        <v/>
      </c>
      <c r="AX2136" s="83" t="str">
        <f t="array" ref="AX2136">IFERROR(DGET('SBV Import'!A:G,"SBV",{"RSC ID","Tier";B2136,A2136}))</f>
        <v/>
      </c>
      <c r="AY2136" s="82" t="str">
        <f t="shared" si="2"/>
        <v/>
      </c>
      <c r="AZ2136" s="82"/>
      <c r="BA2136" s="84" t="s">
        <v>152</v>
      </c>
      <c r="BB2136" s="84" t="str">
        <f>IFERROR(__xludf.DUMMYFUNCTION("iferror(if(A2136="""",,E2136&gt;=FILTER(Constants!$F$2:$F$10,Constants!$A$2:$A$10=A2136)))"),"")</f>
        <v/>
      </c>
    </row>
    <row r="2137">
      <c r="A2137" s="87"/>
      <c r="B2137" s="87"/>
      <c r="C2137" s="73"/>
      <c r="D2137" s="73"/>
      <c r="E2137" s="82"/>
      <c r="F2137" s="82"/>
      <c r="G2137" s="86"/>
      <c r="H2137" s="86"/>
      <c r="I2137" s="86"/>
      <c r="J2137" s="82"/>
      <c r="K2137" s="82"/>
      <c r="L2137" s="82"/>
      <c r="M2137" s="82"/>
      <c r="N2137" s="82"/>
      <c r="O2137" s="82"/>
      <c r="P2137" s="82"/>
      <c r="Q2137" s="82"/>
      <c r="R2137" s="82"/>
      <c r="S2137" s="82"/>
      <c r="T2137" s="82"/>
      <c r="U2137" s="82"/>
      <c r="V2137" s="82"/>
      <c r="W2137" s="82"/>
      <c r="X2137" s="82"/>
      <c r="Y2137" s="82"/>
      <c r="Z2137" s="82"/>
      <c r="AA2137" s="82"/>
      <c r="AB2137" s="82"/>
      <c r="AC2137" s="82"/>
      <c r="AD2137" s="82"/>
      <c r="AE2137" s="82"/>
      <c r="AF2137" s="82"/>
      <c r="AG2137" s="82"/>
      <c r="AH2137" s="82"/>
      <c r="AI2137" s="82"/>
      <c r="AJ2137" s="82"/>
      <c r="AK2137" s="82"/>
      <c r="AL2137" s="82"/>
      <c r="AM2137" s="82"/>
      <c r="AN2137" s="82"/>
      <c r="AO2137" s="82"/>
      <c r="AP2137" s="82"/>
      <c r="AQ2137" s="82"/>
      <c r="AR2137" s="82"/>
      <c r="AS2137" s="82"/>
      <c r="AT2137" s="82"/>
      <c r="AU2137" s="82"/>
      <c r="AV2137" s="82"/>
      <c r="AW2137" s="82" t="str">
        <f t="shared" si="1"/>
        <v/>
      </c>
      <c r="AX2137" s="83" t="str">
        <f t="array" ref="AX2137">IFERROR(DGET('SBV Import'!A:G,"SBV",{"RSC ID","Tier";B2137,A2137}))</f>
        <v/>
      </c>
      <c r="AY2137" s="82" t="str">
        <f t="shared" si="2"/>
        <v/>
      </c>
      <c r="AZ2137" s="82"/>
      <c r="BA2137" s="84" t="s">
        <v>152</v>
      </c>
      <c r="BB2137" s="84" t="str">
        <f>IFERROR(__xludf.DUMMYFUNCTION("iferror(if(A2137="""",,E2137&gt;=FILTER(Constants!$F$2:$F$10,Constants!$A$2:$A$10=A2137)))"),"")</f>
        <v/>
      </c>
    </row>
    <row r="2138">
      <c r="A2138" s="87"/>
      <c r="B2138" s="87"/>
      <c r="C2138" s="73"/>
      <c r="D2138" s="73"/>
      <c r="E2138" s="82"/>
      <c r="F2138" s="82"/>
      <c r="G2138" s="86"/>
      <c r="H2138" s="86"/>
      <c r="I2138" s="86"/>
      <c r="J2138" s="82"/>
      <c r="K2138" s="82"/>
      <c r="L2138" s="82"/>
      <c r="M2138" s="82"/>
      <c r="N2138" s="82"/>
      <c r="O2138" s="82"/>
      <c r="P2138" s="82"/>
      <c r="Q2138" s="82"/>
      <c r="R2138" s="82"/>
      <c r="S2138" s="82"/>
      <c r="T2138" s="82"/>
      <c r="U2138" s="82"/>
      <c r="V2138" s="82"/>
      <c r="W2138" s="82"/>
      <c r="X2138" s="82"/>
      <c r="Y2138" s="82"/>
      <c r="Z2138" s="82"/>
      <c r="AA2138" s="82"/>
      <c r="AB2138" s="82"/>
      <c r="AC2138" s="82"/>
      <c r="AD2138" s="82"/>
      <c r="AE2138" s="82"/>
      <c r="AF2138" s="82"/>
      <c r="AG2138" s="82"/>
      <c r="AH2138" s="82"/>
      <c r="AI2138" s="82"/>
      <c r="AJ2138" s="82"/>
      <c r="AK2138" s="82"/>
      <c r="AL2138" s="82"/>
      <c r="AM2138" s="82"/>
      <c r="AN2138" s="82"/>
      <c r="AO2138" s="82"/>
      <c r="AP2138" s="82"/>
      <c r="AQ2138" s="82"/>
      <c r="AR2138" s="82"/>
      <c r="AS2138" s="82"/>
      <c r="AT2138" s="82"/>
      <c r="AU2138" s="82"/>
      <c r="AV2138" s="82"/>
      <c r="AW2138" s="82" t="str">
        <f t="shared" si="1"/>
        <v/>
      </c>
      <c r="AX2138" s="83" t="str">
        <f t="array" ref="AX2138">IFERROR(DGET('SBV Import'!A:G,"SBV",{"RSC ID","Tier";B2138,A2138}))</f>
        <v/>
      </c>
      <c r="AY2138" s="82" t="str">
        <f t="shared" si="2"/>
        <v/>
      </c>
      <c r="AZ2138" s="82"/>
      <c r="BA2138" s="84" t="s">
        <v>152</v>
      </c>
      <c r="BB2138" s="84" t="str">
        <f>IFERROR(__xludf.DUMMYFUNCTION("iferror(if(A2138="""",,E2138&gt;=FILTER(Constants!$F$2:$F$10,Constants!$A$2:$A$10=A2138)))"),"")</f>
        <v/>
      </c>
    </row>
    <row r="2139">
      <c r="A2139" s="87"/>
      <c r="B2139" s="87"/>
      <c r="C2139" s="73"/>
      <c r="D2139" s="73"/>
      <c r="E2139" s="82"/>
      <c r="F2139" s="82"/>
      <c r="G2139" s="86"/>
      <c r="H2139" s="86"/>
      <c r="I2139" s="86"/>
      <c r="J2139" s="82"/>
      <c r="K2139" s="82"/>
      <c r="L2139" s="82"/>
      <c r="M2139" s="82"/>
      <c r="N2139" s="82"/>
      <c r="O2139" s="82"/>
      <c r="P2139" s="82"/>
      <c r="Q2139" s="82"/>
      <c r="R2139" s="82"/>
      <c r="S2139" s="82"/>
      <c r="T2139" s="82"/>
      <c r="U2139" s="82"/>
      <c r="V2139" s="82"/>
      <c r="W2139" s="82"/>
      <c r="X2139" s="82"/>
      <c r="Y2139" s="82"/>
      <c r="Z2139" s="82"/>
      <c r="AA2139" s="82"/>
      <c r="AB2139" s="82"/>
      <c r="AC2139" s="82"/>
      <c r="AD2139" s="82"/>
      <c r="AE2139" s="82"/>
      <c r="AF2139" s="82"/>
      <c r="AG2139" s="82"/>
      <c r="AH2139" s="82"/>
      <c r="AI2139" s="82"/>
      <c r="AJ2139" s="82"/>
      <c r="AK2139" s="82"/>
      <c r="AL2139" s="82"/>
      <c r="AM2139" s="82"/>
      <c r="AN2139" s="82"/>
      <c r="AO2139" s="82"/>
      <c r="AP2139" s="82"/>
      <c r="AQ2139" s="82"/>
      <c r="AR2139" s="82"/>
      <c r="AS2139" s="82"/>
      <c r="AT2139" s="82"/>
      <c r="AU2139" s="82"/>
      <c r="AV2139" s="82"/>
      <c r="AW2139" s="82" t="str">
        <f t="shared" si="1"/>
        <v/>
      </c>
      <c r="AX2139" s="83" t="str">
        <f t="array" ref="AX2139">IFERROR(DGET('SBV Import'!A:G,"SBV",{"RSC ID","Tier";B2139,A2139}))</f>
        <v/>
      </c>
      <c r="AY2139" s="82" t="str">
        <f t="shared" si="2"/>
        <v/>
      </c>
      <c r="AZ2139" s="82"/>
      <c r="BA2139" s="84" t="s">
        <v>152</v>
      </c>
      <c r="BB2139" s="84" t="str">
        <f>IFERROR(__xludf.DUMMYFUNCTION("iferror(if(A2139="""",,E2139&gt;=FILTER(Constants!$F$2:$F$10,Constants!$A$2:$A$10=A2139)))"),"")</f>
        <v/>
      </c>
    </row>
    <row r="2140">
      <c r="A2140" s="87"/>
      <c r="B2140" s="87"/>
      <c r="C2140" s="73"/>
      <c r="D2140" s="73"/>
      <c r="E2140" s="82"/>
      <c r="F2140" s="82"/>
      <c r="G2140" s="86"/>
      <c r="H2140" s="86"/>
      <c r="I2140" s="86"/>
      <c r="J2140" s="82"/>
      <c r="K2140" s="82"/>
      <c r="L2140" s="82"/>
      <c r="M2140" s="82"/>
      <c r="N2140" s="82"/>
      <c r="O2140" s="82"/>
      <c r="P2140" s="82"/>
      <c r="Q2140" s="82"/>
      <c r="R2140" s="82"/>
      <c r="S2140" s="82"/>
      <c r="T2140" s="82"/>
      <c r="U2140" s="82"/>
      <c r="V2140" s="82"/>
      <c r="W2140" s="82"/>
      <c r="X2140" s="82"/>
      <c r="Y2140" s="82"/>
      <c r="Z2140" s="82"/>
      <c r="AA2140" s="82"/>
      <c r="AB2140" s="82"/>
      <c r="AC2140" s="82"/>
      <c r="AD2140" s="82"/>
      <c r="AE2140" s="82"/>
      <c r="AF2140" s="82"/>
      <c r="AG2140" s="82"/>
      <c r="AH2140" s="82"/>
      <c r="AI2140" s="82"/>
      <c r="AJ2140" s="82"/>
      <c r="AK2140" s="82"/>
      <c r="AL2140" s="82"/>
      <c r="AM2140" s="82"/>
      <c r="AN2140" s="82"/>
      <c r="AO2140" s="82"/>
      <c r="AP2140" s="82"/>
      <c r="AQ2140" s="82"/>
      <c r="AR2140" s="82"/>
      <c r="AS2140" s="82"/>
      <c r="AT2140" s="82"/>
      <c r="AU2140" s="82"/>
      <c r="AV2140" s="82"/>
      <c r="AW2140" s="82" t="str">
        <f t="shared" si="1"/>
        <v/>
      </c>
      <c r="AX2140" s="83" t="str">
        <f t="array" ref="AX2140">IFERROR(DGET('SBV Import'!A:G,"SBV",{"RSC ID","Tier";B2140,A2140}))</f>
        <v/>
      </c>
      <c r="AY2140" s="82" t="str">
        <f t="shared" si="2"/>
        <v/>
      </c>
      <c r="AZ2140" s="82"/>
      <c r="BA2140" s="84" t="s">
        <v>152</v>
      </c>
      <c r="BB2140" s="84" t="str">
        <f>IFERROR(__xludf.DUMMYFUNCTION("iferror(if(A2140="""",,E2140&gt;=FILTER(Constants!$F$2:$F$10,Constants!$A$2:$A$10=A2140)))"),"")</f>
        <v/>
      </c>
    </row>
    <row r="2141">
      <c r="A2141" s="87"/>
      <c r="B2141" s="87"/>
      <c r="C2141" s="73"/>
      <c r="D2141" s="73"/>
      <c r="E2141" s="82"/>
      <c r="F2141" s="82"/>
      <c r="G2141" s="86"/>
      <c r="H2141" s="86"/>
      <c r="I2141" s="86"/>
      <c r="J2141" s="82"/>
      <c r="K2141" s="82"/>
      <c r="L2141" s="82"/>
      <c r="M2141" s="82"/>
      <c r="N2141" s="82"/>
      <c r="O2141" s="82"/>
      <c r="P2141" s="82"/>
      <c r="Q2141" s="82"/>
      <c r="R2141" s="82"/>
      <c r="S2141" s="82"/>
      <c r="T2141" s="82"/>
      <c r="U2141" s="82"/>
      <c r="V2141" s="82"/>
      <c r="W2141" s="82"/>
      <c r="X2141" s="82"/>
      <c r="Y2141" s="82"/>
      <c r="Z2141" s="82"/>
      <c r="AA2141" s="82"/>
      <c r="AB2141" s="82"/>
      <c r="AC2141" s="82"/>
      <c r="AD2141" s="82"/>
      <c r="AE2141" s="82"/>
      <c r="AF2141" s="82"/>
      <c r="AG2141" s="82"/>
      <c r="AH2141" s="82"/>
      <c r="AI2141" s="82"/>
      <c r="AJ2141" s="82"/>
      <c r="AK2141" s="82"/>
      <c r="AL2141" s="82"/>
      <c r="AM2141" s="82"/>
      <c r="AN2141" s="82"/>
      <c r="AO2141" s="82"/>
      <c r="AP2141" s="82"/>
      <c r="AQ2141" s="82"/>
      <c r="AR2141" s="82"/>
      <c r="AS2141" s="82"/>
      <c r="AT2141" s="82"/>
      <c r="AU2141" s="82"/>
      <c r="AV2141" s="82"/>
      <c r="AW2141" s="82" t="str">
        <f t="shared" si="1"/>
        <v/>
      </c>
      <c r="AX2141" s="83" t="str">
        <f t="array" ref="AX2141">IFERROR(DGET('SBV Import'!A:G,"SBV",{"RSC ID","Tier";B2141,A2141}))</f>
        <v/>
      </c>
      <c r="AY2141" s="82" t="str">
        <f t="shared" si="2"/>
        <v/>
      </c>
      <c r="AZ2141" s="82"/>
      <c r="BA2141" s="84" t="s">
        <v>152</v>
      </c>
      <c r="BB2141" s="84" t="str">
        <f>IFERROR(__xludf.DUMMYFUNCTION("iferror(if(A2141="""",,E2141&gt;=FILTER(Constants!$F$2:$F$10,Constants!$A$2:$A$10=A2141)))"),"")</f>
        <v/>
      </c>
    </row>
    <row r="2142">
      <c r="A2142" s="87"/>
      <c r="B2142" s="87"/>
      <c r="C2142" s="73"/>
      <c r="D2142" s="73"/>
      <c r="E2142" s="82"/>
      <c r="F2142" s="82"/>
      <c r="G2142" s="86"/>
      <c r="H2142" s="86"/>
      <c r="I2142" s="86"/>
      <c r="J2142" s="82"/>
      <c r="K2142" s="82"/>
      <c r="L2142" s="82"/>
      <c r="M2142" s="82"/>
      <c r="N2142" s="82"/>
      <c r="O2142" s="82"/>
      <c r="P2142" s="82"/>
      <c r="Q2142" s="82"/>
      <c r="R2142" s="82"/>
      <c r="S2142" s="82"/>
      <c r="T2142" s="82"/>
      <c r="U2142" s="82"/>
      <c r="V2142" s="82"/>
      <c r="W2142" s="82"/>
      <c r="X2142" s="82"/>
      <c r="Y2142" s="82"/>
      <c r="Z2142" s="82"/>
      <c r="AA2142" s="82"/>
      <c r="AB2142" s="82"/>
      <c r="AC2142" s="82"/>
      <c r="AD2142" s="82"/>
      <c r="AE2142" s="82"/>
      <c r="AF2142" s="82"/>
      <c r="AG2142" s="82"/>
      <c r="AH2142" s="82"/>
      <c r="AI2142" s="82"/>
      <c r="AJ2142" s="82"/>
      <c r="AK2142" s="82"/>
      <c r="AL2142" s="82"/>
      <c r="AM2142" s="82"/>
      <c r="AN2142" s="82"/>
      <c r="AO2142" s="82"/>
      <c r="AP2142" s="82"/>
      <c r="AQ2142" s="82"/>
      <c r="AR2142" s="82"/>
      <c r="AS2142" s="82"/>
      <c r="AT2142" s="82"/>
      <c r="AU2142" s="82"/>
      <c r="AV2142" s="82"/>
      <c r="AW2142" s="82" t="str">
        <f t="shared" si="1"/>
        <v/>
      </c>
      <c r="AX2142" s="83" t="str">
        <f t="array" ref="AX2142">IFERROR(DGET('SBV Import'!A:G,"SBV",{"RSC ID","Tier";B2142,A2142}))</f>
        <v/>
      </c>
      <c r="AY2142" s="82" t="str">
        <f t="shared" si="2"/>
        <v/>
      </c>
      <c r="AZ2142" s="82"/>
      <c r="BA2142" s="84" t="s">
        <v>152</v>
      </c>
      <c r="BB2142" s="84" t="str">
        <f>IFERROR(__xludf.DUMMYFUNCTION("iferror(if(A2142="""",,E2142&gt;=FILTER(Constants!$F$2:$F$10,Constants!$A$2:$A$10=A2142)))"),"")</f>
        <v/>
      </c>
    </row>
    <row r="2143">
      <c r="A2143" s="87"/>
      <c r="B2143" s="87"/>
      <c r="C2143" s="73"/>
      <c r="D2143" s="73"/>
      <c r="E2143" s="82"/>
      <c r="F2143" s="82"/>
      <c r="G2143" s="86"/>
      <c r="H2143" s="86"/>
      <c r="I2143" s="86"/>
      <c r="J2143" s="82"/>
      <c r="K2143" s="82"/>
      <c r="L2143" s="82"/>
      <c r="M2143" s="82"/>
      <c r="N2143" s="82"/>
      <c r="O2143" s="82"/>
      <c r="P2143" s="82"/>
      <c r="Q2143" s="82"/>
      <c r="R2143" s="82"/>
      <c r="S2143" s="82"/>
      <c r="T2143" s="82"/>
      <c r="U2143" s="82"/>
      <c r="V2143" s="82"/>
      <c r="W2143" s="82"/>
      <c r="X2143" s="82"/>
      <c r="Y2143" s="82"/>
      <c r="Z2143" s="82"/>
      <c r="AA2143" s="82"/>
      <c r="AB2143" s="82"/>
      <c r="AC2143" s="82"/>
      <c r="AD2143" s="82"/>
      <c r="AE2143" s="82"/>
      <c r="AF2143" s="82"/>
      <c r="AG2143" s="82"/>
      <c r="AH2143" s="82"/>
      <c r="AI2143" s="82"/>
      <c r="AJ2143" s="82"/>
      <c r="AK2143" s="82"/>
      <c r="AL2143" s="82"/>
      <c r="AM2143" s="82"/>
      <c r="AN2143" s="82"/>
      <c r="AO2143" s="82"/>
      <c r="AP2143" s="82"/>
      <c r="AQ2143" s="82"/>
      <c r="AR2143" s="82"/>
      <c r="AS2143" s="82"/>
      <c r="AT2143" s="82"/>
      <c r="AU2143" s="82"/>
      <c r="AV2143" s="82"/>
      <c r="AW2143" s="82" t="str">
        <f t="shared" si="1"/>
        <v/>
      </c>
      <c r="AX2143" s="83" t="str">
        <f t="array" ref="AX2143">IFERROR(DGET('SBV Import'!A:G,"SBV",{"RSC ID","Tier";B2143,A2143}))</f>
        <v/>
      </c>
      <c r="AY2143" s="82" t="str">
        <f t="shared" si="2"/>
        <v/>
      </c>
      <c r="AZ2143" s="82"/>
      <c r="BA2143" s="84" t="s">
        <v>152</v>
      </c>
      <c r="BB2143" s="84" t="str">
        <f>IFERROR(__xludf.DUMMYFUNCTION("iferror(if(A2143="""",,E2143&gt;=FILTER(Constants!$F$2:$F$10,Constants!$A$2:$A$10=A2143)))"),"")</f>
        <v/>
      </c>
    </row>
    <row r="2144">
      <c r="A2144" s="87"/>
      <c r="B2144" s="87"/>
      <c r="C2144" s="73"/>
      <c r="D2144" s="73"/>
      <c r="E2144" s="82"/>
      <c r="F2144" s="82"/>
      <c r="G2144" s="86"/>
      <c r="H2144" s="86"/>
      <c r="I2144" s="86"/>
      <c r="J2144" s="82"/>
      <c r="K2144" s="82"/>
      <c r="L2144" s="82"/>
      <c r="M2144" s="82"/>
      <c r="N2144" s="82"/>
      <c r="O2144" s="82"/>
      <c r="P2144" s="82"/>
      <c r="Q2144" s="82"/>
      <c r="R2144" s="82"/>
      <c r="S2144" s="82"/>
      <c r="T2144" s="82"/>
      <c r="U2144" s="82"/>
      <c r="V2144" s="82"/>
      <c r="W2144" s="82"/>
      <c r="X2144" s="82"/>
      <c r="Y2144" s="82"/>
      <c r="Z2144" s="82"/>
      <c r="AA2144" s="82"/>
      <c r="AB2144" s="82"/>
      <c r="AC2144" s="82"/>
      <c r="AD2144" s="82"/>
      <c r="AE2144" s="82"/>
      <c r="AF2144" s="82"/>
      <c r="AG2144" s="82"/>
      <c r="AH2144" s="82"/>
      <c r="AI2144" s="82"/>
      <c r="AJ2144" s="82"/>
      <c r="AK2144" s="82"/>
      <c r="AL2144" s="82"/>
      <c r="AM2144" s="82"/>
      <c r="AN2144" s="82"/>
      <c r="AO2144" s="82"/>
      <c r="AP2144" s="82"/>
      <c r="AQ2144" s="82"/>
      <c r="AR2144" s="82"/>
      <c r="AS2144" s="82"/>
      <c r="AT2144" s="82"/>
      <c r="AU2144" s="82"/>
      <c r="AV2144" s="82"/>
      <c r="AW2144" s="82" t="str">
        <f t="shared" si="1"/>
        <v/>
      </c>
      <c r="AX2144" s="83" t="str">
        <f t="array" ref="AX2144">IFERROR(DGET('SBV Import'!A:G,"SBV",{"RSC ID","Tier";B2144,A2144}))</f>
        <v/>
      </c>
      <c r="AY2144" s="82" t="str">
        <f t="shared" si="2"/>
        <v/>
      </c>
      <c r="AZ2144" s="82"/>
      <c r="BA2144" s="84" t="s">
        <v>152</v>
      </c>
      <c r="BB2144" s="84" t="str">
        <f>IFERROR(__xludf.DUMMYFUNCTION("iferror(if(A2144="""",,E2144&gt;=FILTER(Constants!$F$2:$F$10,Constants!$A$2:$A$10=A2144)))"),"")</f>
        <v/>
      </c>
    </row>
    <row r="2145">
      <c r="A2145" s="87"/>
      <c r="B2145" s="87"/>
      <c r="C2145" s="73"/>
      <c r="D2145" s="73"/>
      <c r="E2145" s="82"/>
      <c r="F2145" s="82"/>
      <c r="G2145" s="86"/>
      <c r="H2145" s="86"/>
      <c r="I2145" s="86"/>
      <c r="J2145" s="82"/>
      <c r="K2145" s="82"/>
      <c r="L2145" s="82"/>
      <c r="M2145" s="82"/>
      <c r="N2145" s="82"/>
      <c r="O2145" s="82"/>
      <c r="P2145" s="82"/>
      <c r="Q2145" s="82"/>
      <c r="R2145" s="82"/>
      <c r="S2145" s="82"/>
      <c r="T2145" s="82"/>
      <c r="U2145" s="82"/>
      <c r="V2145" s="82"/>
      <c r="W2145" s="82"/>
      <c r="X2145" s="82"/>
      <c r="Y2145" s="82"/>
      <c r="Z2145" s="82"/>
      <c r="AA2145" s="82"/>
      <c r="AB2145" s="82"/>
      <c r="AC2145" s="82"/>
      <c r="AD2145" s="82"/>
      <c r="AE2145" s="82"/>
      <c r="AF2145" s="82"/>
      <c r="AG2145" s="82"/>
      <c r="AH2145" s="82"/>
      <c r="AI2145" s="82"/>
      <c r="AJ2145" s="82"/>
      <c r="AK2145" s="82"/>
      <c r="AL2145" s="82"/>
      <c r="AM2145" s="82"/>
      <c r="AN2145" s="82"/>
      <c r="AO2145" s="82"/>
      <c r="AP2145" s="82"/>
      <c r="AQ2145" s="82"/>
      <c r="AR2145" s="82"/>
      <c r="AS2145" s="82"/>
      <c r="AT2145" s="82"/>
      <c r="AU2145" s="82"/>
      <c r="AV2145" s="82"/>
      <c r="AW2145" s="82" t="str">
        <f t="shared" si="1"/>
        <v/>
      </c>
      <c r="AX2145" s="83" t="str">
        <f t="array" ref="AX2145">IFERROR(DGET('SBV Import'!A:G,"SBV",{"RSC ID","Tier";B2145,A2145}))</f>
        <v/>
      </c>
      <c r="AY2145" s="82" t="str">
        <f t="shared" si="2"/>
        <v/>
      </c>
      <c r="AZ2145" s="82"/>
      <c r="BA2145" s="84" t="s">
        <v>152</v>
      </c>
      <c r="BB2145" s="84" t="str">
        <f>IFERROR(__xludf.DUMMYFUNCTION("iferror(if(A2145="""",,E2145&gt;=FILTER(Constants!$F$2:$F$10,Constants!$A$2:$A$10=A2145)))"),"")</f>
        <v/>
      </c>
    </row>
    <row r="2146">
      <c r="A2146" s="87"/>
      <c r="B2146" s="87"/>
      <c r="C2146" s="73"/>
      <c r="D2146" s="73"/>
      <c r="E2146" s="82"/>
      <c r="F2146" s="82"/>
      <c r="G2146" s="86"/>
      <c r="H2146" s="86"/>
      <c r="I2146" s="86"/>
      <c r="J2146" s="82"/>
      <c r="K2146" s="82"/>
      <c r="L2146" s="82"/>
      <c r="M2146" s="82"/>
      <c r="N2146" s="82"/>
      <c r="O2146" s="82"/>
      <c r="P2146" s="82"/>
      <c r="Q2146" s="82"/>
      <c r="R2146" s="82"/>
      <c r="S2146" s="82"/>
      <c r="T2146" s="82"/>
      <c r="U2146" s="82"/>
      <c r="V2146" s="82"/>
      <c r="W2146" s="82"/>
      <c r="X2146" s="82"/>
      <c r="Y2146" s="82"/>
      <c r="Z2146" s="82"/>
      <c r="AA2146" s="82"/>
      <c r="AB2146" s="82"/>
      <c r="AC2146" s="82"/>
      <c r="AD2146" s="82"/>
      <c r="AE2146" s="82"/>
      <c r="AF2146" s="82"/>
      <c r="AG2146" s="82"/>
      <c r="AH2146" s="82"/>
      <c r="AI2146" s="82"/>
      <c r="AJ2146" s="82"/>
      <c r="AK2146" s="82"/>
      <c r="AL2146" s="82"/>
      <c r="AM2146" s="82"/>
      <c r="AN2146" s="82"/>
      <c r="AO2146" s="82"/>
      <c r="AP2146" s="82"/>
      <c r="AQ2146" s="82"/>
      <c r="AR2146" s="82"/>
      <c r="AS2146" s="82"/>
      <c r="AT2146" s="82"/>
      <c r="AU2146" s="82"/>
      <c r="AV2146" s="82"/>
      <c r="AW2146" s="82" t="str">
        <f t="shared" si="1"/>
        <v/>
      </c>
      <c r="AX2146" s="83" t="str">
        <f t="array" ref="AX2146">IFERROR(DGET('SBV Import'!A:G,"SBV",{"RSC ID","Tier";B2146,A2146}))</f>
        <v/>
      </c>
      <c r="AY2146" s="82" t="str">
        <f t="shared" si="2"/>
        <v/>
      </c>
      <c r="AZ2146" s="82"/>
      <c r="BA2146" s="84" t="s">
        <v>152</v>
      </c>
      <c r="BB2146" s="84" t="str">
        <f>IFERROR(__xludf.DUMMYFUNCTION("iferror(if(A2146="""",,E2146&gt;=FILTER(Constants!$F$2:$F$10,Constants!$A$2:$A$10=A2146)))"),"")</f>
        <v/>
      </c>
    </row>
    <row r="2147">
      <c r="A2147" s="87"/>
      <c r="B2147" s="87"/>
      <c r="C2147" s="73"/>
      <c r="D2147" s="73"/>
      <c r="E2147" s="82"/>
      <c r="F2147" s="82"/>
      <c r="G2147" s="86"/>
      <c r="H2147" s="86"/>
      <c r="I2147" s="86"/>
      <c r="J2147" s="82"/>
      <c r="K2147" s="82"/>
      <c r="L2147" s="82"/>
      <c r="M2147" s="82"/>
      <c r="N2147" s="82"/>
      <c r="O2147" s="82"/>
      <c r="P2147" s="82"/>
      <c r="Q2147" s="82"/>
      <c r="R2147" s="82"/>
      <c r="S2147" s="82"/>
      <c r="T2147" s="82"/>
      <c r="U2147" s="82"/>
      <c r="V2147" s="82"/>
      <c r="W2147" s="82"/>
      <c r="X2147" s="82"/>
      <c r="Y2147" s="82"/>
      <c r="Z2147" s="82"/>
      <c r="AA2147" s="82"/>
      <c r="AB2147" s="82"/>
      <c r="AC2147" s="82"/>
      <c r="AD2147" s="82"/>
      <c r="AE2147" s="82"/>
      <c r="AF2147" s="82"/>
      <c r="AG2147" s="82"/>
      <c r="AH2147" s="82"/>
      <c r="AI2147" s="82"/>
      <c r="AJ2147" s="82"/>
      <c r="AK2147" s="82"/>
      <c r="AL2147" s="82"/>
      <c r="AM2147" s="82"/>
      <c r="AN2147" s="82"/>
      <c r="AO2147" s="82"/>
      <c r="AP2147" s="82"/>
      <c r="AQ2147" s="82"/>
      <c r="AR2147" s="82"/>
      <c r="AS2147" s="82"/>
      <c r="AT2147" s="82"/>
      <c r="AU2147" s="82"/>
      <c r="AV2147" s="82"/>
      <c r="AW2147" s="82" t="str">
        <f t="shared" si="1"/>
        <v/>
      </c>
      <c r="AX2147" s="83" t="str">
        <f t="array" ref="AX2147">IFERROR(DGET('SBV Import'!A:G,"SBV",{"RSC ID","Tier";B2147,A2147}))</f>
        <v/>
      </c>
      <c r="AY2147" s="82" t="str">
        <f t="shared" si="2"/>
        <v/>
      </c>
      <c r="AZ2147" s="82"/>
      <c r="BA2147" s="84" t="s">
        <v>152</v>
      </c>
      <c r="BB2147" s="84" t="str">
        <f>IFERROR(__xludf.DUMMYFUNCTION("iferror(if(A2147="""",,E2147&gt;=FILTER(Constants!$F$2:$F$10,Constants!$A$2:$A$10=A2147)))"),"")</f>
        <v/>
      </c>
    </row>
    <row r="2148">
      <c r="A2148" s="87"/>
      <c r="B2148" s="87"/>
      <c r="C2148" s="73"/>
      <c r="D2148" s="73"/>
      <c r="E2148" s="82"/>
      <c r="F2148" s="82"/>
      <c r="G2148" s="86"/>
      <c r="H2148" s="86"/>
      <c r="I2148" s="86"/>
      <c r="J2148" s="82"/>
      <c r="K2148" s="82"/>
      <c r="L2148" s="82"/>
      <c r="M2148" s="82"/>
      <c r="N2148" s="82"/>
      <c r="O2148" s="84"/>
      <c r="P2148" s="84"/>
      <c r="Q2148" s="84"/>
      <c r="R2148" s="84"/>
      <c r="S2148" s="84"/>
      <c r="T2148" s="73"/>
      <c r="U2148" s="73"/>
      <c r="V2148" s="73"/>
      <c r="W2148" s="73"/>
      <c r="X2148" s="73"/>
      <c r="Y2148" s="73"/>
      <c r="Z2148" s="73"/>
      <c r="AA2148" s="73"/>
      <c r="AB2148" s="73"/>
      <c r="AC2148" s="73"/>
      <c r="AD2148" s="73"/>
      <c r="AE2148" s="73"/>
      <c r="AF2148" s="73"/>
      <c r="AG2148" s="73"/>
      <c r="AH2148" s="73"/>
      <c r="AI2148" s="73"/>
      <c r="AJ2148" s="73"/>
      <c r="AK2148" s="73"/>
      <c r="AL2148" s="73"/>
      <c r="AM2148" s="73"/>
      <c r="AN2148" s="82"/>
      <c r="AO2148" s="82"/>
      <c r="AP2148" s="82"/>
      <c r="AQ2148" s="82"/>
      <c r="AR2148" s="82"/>
      <c r="AS2148" s="82"/>
      <c r="AT2148" s="82"/>
      <c r="AU2148" s="82"/>
      <c r="AV2148" s="82"/>
      <c r="AW2148" s="82" t="str">
        <f t="shared" si="1"/>
        <v/>
      </c>
      <c r="AX2148" s="83" t="str">
        <f t="array" ref="AX2148">IFERROR(DGET('SBV Import'!A:G,"SBV",{"RSC ID","Tier";B2148,A2148}))</f>
        <v/>
      </c>
      <c r="AY2148" s="82" t="str">
        <f t="shared" si="2"/>
        <v/>
      </c>
      <c r="AZ2148" s="82"/>
      <c r="BA2148" s="84" t="s">
        <v>152</v>
      </c>
      <c r="BB2148" s="84" t="str">
        <f>IFERROR(__xludf.DUMMYFUNCTION("iferror(if(A2148="""",,E2148&gt;=FILTER(Constants!$F$2:$F$10,Constants!$A$2:$A$10=A2148)))"),"")</f>
        <v/>
      </c>
    </row>
    <row r="2149">
      <c r="A2149" s="87"/>
      <c r="B2149" s="87"/>
      <c r="C2149" s="73"/>
      <c r="D2149" s="73"/>
      <c r="E2149" s="82"/>
      <c r="F2149" s="82"/>
      <c r="G2149" s="86"/>
      <c r="H2149" s="86"/>
      <c r="I2149" s="86"/>
      <c r="J2149" s="82"/>
      <c r="K2149" s="82"/>
      <c r="L2149" s="82"/>
      <c r="M2149" s="82"/>
      <c r="N2149" s="82"/>
      <c r="O2149" s="84"/>
      <c r="P2149" s="84"/>
      <c r="Q2149" s="84"/>
      <c r="R2149" s="84"/>
      <c r="S2149" s="84"/>
      <c r="T2149" s="73"/>
      <c r="U2149" s="73"/>
      <c r="V2149" s="73"/>
      <c r="W2149" s="73"/>
      <c r="X2149" s="73"/>
      <c r="Y2149" s="73"/>
      <c r="Z2149" s="73"/>
      <c r="AA2149" s="73"/>
      <c r="AB2149" s="73"/>
      <c r="AC2149" s="73"/>
      <c r="AD2149" s="73"/>
      <c r="AE2149" s="73"/>
      <c r="AF2149" s="73"/>
      <c r="AG2149" s="73"/>
      <c r="AH2149" s="73"/>
      <c r="AI2149" s="73"/>
      <c r="AJ2149" s="73"/>
      <c r="AK2149" s="73"/>
      <c r="AL2149" s="73"/>
      <c r="AM2149" s="73"/>
      <c r="AN2149" s="82"/>
      <c r="AO2149" s="82"/>
      <c r="AP2149" s="82"/>
      <c r="AQ2149" s="82"/>
      <c r="AR2149" s="82"/>
      <c r="AS2149" s="82"/>
      <c r="AT2149" s="82"/>
      <c r="AU2149" s="82"/>
      <c r="AV2149" s="82"/>
      <c r="AW2149" s="82" t="str">
        <f t="shared" si="1"/>
        <v/>
      </c>
      <c r="AX2149" s="83" t="str">
        <f t="array" ref="AX2149">IFERROR(DGET('SBV Import'!A:G,"SBV",{"RSC ID","Tier";B2149,A2149}))</f>
        <v/>
      </c>
      <c r="AY2149" s="82" t="str">
        <f t="shared" si="2"/>
        <v/>
      </c>
      <c r="AZ2149" s="82"/>
      <c r="BA2149" s="84" t="s">
        <v>152</v>
      </c>
      <c r="BB2149" s="84" t="str">
        <f>IFERROR(__xludf.DUMMYFUNCTION("iferror(if(A2149="""",,E2149&gt;=FILTER(Constants!$F$2:$F$10,Constants!$A$2:$A$10=A2149)))"),"")</f>
        <v/>
      </c>
    </row>
    <row r="2150">
      <c r="A2150" s="89"/>
      <c r="B2150" s="87"/>
      <c r="C2150" s="73"/>
      <c r="D2150" s="73"/>
      <c r="E2150" s="82"/>
      <c r="F2150" s="82"/>
      <c r="G2150" s="86"/>
      <c r="H2150" s="86"/>
      <c r="I2150" s="86"/>
      <c r="J2150" s="82"/>
      <c r="K2150" s="82"/>
      <c r="L2150" s="82"/>
      <c r="M2150" s="82"/>
      <c r="N2150" s="82"/>
      <c r="O2150" s="82"/>
      <c r="P2150" s="82"/>
      <c r="Q2150" s="82"/>
      <c r="R2150" s="82"/>
      <c r="S2150" s="82"/>
      <c r="T2150" s="82"/>
      <c r="U2150" s="82"/>
      <c r="V2150" s="82"/>
      <c r="W2150" s="82"/>
      <c r="X2150" s="82"/>
      <c r="Y2150" s="82"/>
      <c r="Z2150" s="82"/>
      <c r="AA2150" s="82"/>
      <c r="AB2150" s="82"/>
      <c r="AC2150" s="82"/>
      <c r="AD2150" s="82"/>
      <c r="AE2150" s="82"/>
      <c r="AF2150" s="82"/>
      <c r="AG2150" s="82"/>
      <c r="AH2150" s="82"/>
      <c r="AI2150" s="82"/>
      <c r="AJ2150" s="82"/>
      <c r="AK2150" s="82"/>
      <c r="AL2150" s="82"/>
      <c r="AM2150" s="82"/>
      <c r="AN2150" s="82"/>
      <c r="AO2150" s="82"/>
      <c r="AP2150" s="82"/>
      <c r="AQ2150" s="82"/>
      <c r="AR2150" s="82"/>
      <c r="AS2150" s="82"/>
      <c r="AT2150" s="82"/>
      <c r="AU2150" s="82"/>
      <c r="AV2150" s="82"/>
      <c r="AW2150" s="82" t="str">
        <f t="shared" si="1"/>
        <v/>
      </c>
      <c r="AX2150" s="83" t="str">
        <f t="array" ref="AX2150">IFERROR(DGET('SBV Import'!A:G,"SBV",{"RSC ID","Tier";B2150,A2150}))</f>
        <v/>
      </c>
      <c r="AY2150" s="82" t="str">
        <f t="shared" si="2"/>
        <v/>
      </c>
      <c r="AZ2150" s="82"/>
      <c r="BA2150" s="84" t="s">
        <v>152</v>
      </c>
      <c r="BB2150" s="84" t="str">
        <f>IFERROR(__xludf.DUMMYFUNCTION("iferror(if(A2150="""",,E2150&gt;=FILTER(Constants!$F$2:$F$10,Constants!$A$2:$A$10=A2150)))"),"")</f>
        <v/>
      </c>
    </row>
    <row r="2151">
      <c r="A2151" s="89"/>
      <c r="B2151" s="87"/>
      <c r="C2151" s="73"/>
      <c r="D2151" s="73"/>
      <c r="E2151" s="82"/>
      <c r="F2151" s="82"/>
      <c r="G2151" s="86"/>
      <c r="H2151" s="86"/>
      <c r="I2151" s="86"/>
      <c r="J2151" s="82"/>
      <c r="K2151" s="82"/>
      <c r="L2151" s="82"/>
      <c r="M2151" s="82"/>
      <c r="N2151" s="82"/>
      <c r="O2151" s="82"/>
      <c r="P2151" s="82"/>
      <c r="Q2151" s="82"/>
      <c r="R2151" s="82"/>
      <c r="S2151" s="82"/>
      <c r="T2151" s="82"/>
      <c r="U2151" s="82"/>
      <c r="V2151" s="82"/>
      <c r="W2151" s="82"/>
      <c r="X2151" s="82"/>
      <c r="Y2151" s="82"/>
      <c r="Z2151" s="82"/>
      <c r="AA2151" s="82"/>
      <c r="AB2151" s="82"/>
      <c r="AC2151" s="82"/>
      <c r="AD2151" s="82"/>
      <c r="AE2151" s="82"/>
      <c r="AF2151" s="82"/>
      <c r="AG2151" s="82"/>
      <c r="AH2151" s="82"/>
      <c r="AI2151" s="82"/>
      <c r="AJ2151" s="82"/>
      <c r="AK2151" s="82"/>
      <c r="AL2151" s="82"/>
      <c r="AM2151" s="82"/>
      <c r="AN2151" s="82"/>
      <c r="AO2151" s="82"/>
      <c r="AP2151" s="82"/>
      <c r="AQ2151" s="82"/>
      <c r="AR2151" s="82"/>
      <c r="AS2151" s="82"/>
      <c r="AT2151" s="82"/>
      <c r="AU2151" s="82"/>
      <c r="AV2151" s="82"/>
      <c r="AW2151" s="82" t="str">
        <f t="shared" si="1"/>
        <v/>
      </c>
      <c r="AX2151" s="83" t="str">
        <f t="array" ref="AX2151">IFERROR(DGET('SBV Import'!A:G,"SBV",{"RSC ID","Tier";B2151,A2151}))</f>
        <v/>
      </c>
      <c r="AY2151" s="82" t="str">
        <f t="shared" si="2"/>
        <v/>
      </c>
      <c r="AZ2151" s="82"/>
      <c r="BA2151" s="84" t="s">
        <v>152</v>
      </c>
      <c r="BB2151" s="84" t="str">
        <f>IFERROR(__xludf.DUMMYFUNCTION("iferror(if(A2151="""",,E2151&gt;=FILTER(Constants!$F$2:$F$10,Constants!$A$2:$A$10=A2151)))"),"")</f>
        <v/>
      </c>
    </row>
    <row r="2152">
      <c r="A2152" s="89"/>
      <c r="B2152" s="87"/>
      <c r="C2152" s="73"/>
      <c r="D2152" s="73"/>
      <c r="E2152" s="82"/>
      <c r="F2152" s="82"/>
      <c r="G2152" s="86"/>
      <c r="H2152" s="86"/>
      <c r="I2152" s="86"/>
      <c r="J2152" s="82"/>
      <c r="K2152" s="82"/>
      <c r="L2152" s="82"/>
      <c r="M2152" s="82"/>
      <c r="N2152" s="82"/>
      <c r="O2152" s="82"/>
      <c r="P2152" s="82"/>
      <c r="Q2152" s="82"/>
      <c r="R2152" s="82"/>
      <c r="S2152" s="82"/>
      <c r="T2152" s="82"/>
      <c r="U2152" s="82"/>
      <c r="V2152" s="82"/>
      <c r="W2152" s="82"/>
      <c r="X2152" s="82"/>
      <c r="Y2152" s="82"/>
      <c r="Z2152" s="82"/>
      <c r="AA2152" s="82"/>
      <c r="AB2152" s="82"/>
      <c r="AC2152" s="82"/>
      <c r="AD2152" s="82"/>
      <c r="AE2152" s="82"/>
      <c r="AF2152" s="82"/>
      <c r="AG2152" s="82"/>
      <c r="AH2152" s="82"/>
      <c r="AI2152" s="82"/>
      <c r="AJ2152" s="82"/>
      <c r="AK2152" s="82"/>
      <c r="AL2152" s="82"/>
      <c r="AM2152" s="82"/>
      <c r="AN2152" s="82"/>
      <c r="AO2152" s="82"/>
      <c r="AP2152" s="82"/>
      <c r="AQ2152" s="82"/>
      <c r="AR2152" s="82"/>
      <c r="AS2152" s="82"/>
      <c r="AT2152" s="82"/>
      <c r="AU2152" s="82"/>
      <c r="AV2152" s="82"/>
      <c r="AW2152" s="82" t="str">
        <f t="shared" si="1"/>
        <v/>
      </c>
      <c r="AX2152" s="83" t="str">
        <f t="array" ref="AX2152">IFERROR(DGET('SBV Import'!A:G,"SBV",{"RSC ID","Tier";B2152,A2152}))</f>
        <v/>
      </c>
      <c r="AY2152" s="82" t="str">
        <f t="shared" si="2"/>
        <v/>
      </c>
      <c r="AZ2152" s="82"/>
      <c r="BA2152" s="84" t="s">
        <v>152</v>
      </c>
      <c r="BB2152" s="84" t="str">
        <f>IFERROR(__xludf.DUMMYFUNCTION("iferror(if(A2152="""",,E2152&gt;=FILTER(Constants!$F$2:$F$10,Constants!$A$2:$A$10=A2152)))"),"")</f>
        <v/>
      </c>
    </row>
    <row r="2153">
      <c r="A2153" s="89"/>
      <c r="B2153" s="87"/>
      <c r="C2153" s="73"/>
      <c r="D2153" s="73"/>
      <c r="E2153" s="82"/>
      <c r="F2153" s="82"/>
      <c r="G2153" s="86"/>
      <c r="H2153" s="86"/>
      <c r="I2153" s="86"/>
      <c r="J2153" s="82"/>
      <c r="K2153" s="82"/>
      <c r="L2153" s="82"/>
      <c r="M2153" s="82"/>
      <c r="N2153" s="82"/>
      <c r="O2153" s="82"/>
      <c r="P2153" s="82"/>
      <c r="Q2153" s="82"/>
      <c r="R2153" s="82"/>
      <c r="S2153" s="82"/>
      <c r="T2153" s="82"/>
      <c r="U2153" s="82"/>
      <c r="V2153" s="82"/>
      <c r="W2153" s="82"/>
      <c r="X2153" s="82"/>
      <c r="Y2153" s="82"/>
      <c r="Z2153" s="82"/>
      <c r="AA2153" s="82"/>
      <c r="AB2153" s="82"/>
      <c r="AC2153" s="82"/>
      <c r="AD2153" s="82"/>
      <c r="AE2153" s="82"/>
      <c r="AF2153" s="82"/>
      <c r="AG2153" s="82"/>
      <c r="AH2153" s="82"/>
      <c r="AI2153" s="82"/>
      <c r="AJ2153" s="82"/>
      <c r="AK2153" s="82"/>
      <c r="AL2153" s="82"/>
      <c r="AM2153" s="82"/>
      <c r="AN2153" s="82"/>
      <c r="AO2153" s="82"/>
      <c r="AP2153" s="82"/>
      <c r="AQ2153" s="82"/>
      <c r="AR2153" s="82"/>
      <c r="AS2153" s="82"/>
      <c r="AT2153" s="82"/>
      <c r="AU2153" s="82"/>
      <c r="AV2153" s="82"/>
      <c r="AW2153" s="82" t="str">
        <f t="shared" si="1"/>
        <v/>
      </c>
      <c r="AX2153" s="83" t="str">
        <f t="array" ref="AX2153">IFERROR(DGET('SBV Import'!A:G,"SBV",{"RSC ID","Tier";B2153,A2153}))</f>
        <v/>
      </c>
      <c r="AY2153" s="82" t="str">
        <f t="shared" si="2"/>
        <v/>
      </c>
      <c r="AZ2153" s="82"/>
      <c r="BA2153" s="84" t="s">
        <v>152</v>
      </c>
      <c r="BB2153" s="84" t="str">
        <f>IFERROR(__xludf.DUMMYFUNCTION("iferror(if(A2153="""",,E2153&gt;=FILTER(Constants!$F$2:$F$10,Constants!$A$2:$A$10=A2153)))"),"")</f>
        <v/>
      </c>
    </row>
    <row r="2154">
      <c r="A2154" s="89"/>
      <c r="B2154" s="87"/>
      <c r="C2154" s="73"/>
      <c r="D2154" s="73"/>
      <c r="E2154" s="82"/>
      <c r="F2154" s="82"/>
      <c r="G2154" s="86"/>
      <c r="H2154" s="86"/>
      <c r="I2154" s="86"/>
      <c r="J2154" s="82"/>
      <c r="K2154" s="82"/>
      <c r="L2154" s="82"/>
      <c r="M2154" s="82"/>
      <c r="N2154" s="82"/>
      <c r="O2154" s="82"/>
      <c r="P2154" s="82"/>
      <c r="Q2154" s="82"/>
      <c r="R2154" s="82"/>
      <c r="S2154" s="82"/>
      <c r="T2154" s="82"/>
      <c r="U2154" s="82"/>
      <c r="V2154" s="82"/>
      <c r="W2154" s="82"/>
      <c r="X2154" s="82"/>
      <c r="Y2154" s="82"/>
      <c r="Z2154" s="82"/>
      <c r="AA2154" s="82"/>
      <c r="AB2154" s="82"/>
      <c r="AC2154" s="82"/>
      <c r="AD2154" s="82"/>
      <c r="AE2154" s="82"/>
      <c r="AF2154" s="82"/>
      <c r="AG2154" s="82"/>
      <c r="AH2154" s="82"/>
      <c r="AI2154" s="82"/>
      <c r="AJ2154" s="82"/>
      <c r="AK2154" s="82"/>
      <c r="AL2154" s="82"/>
      <c r="AM2154" s="82"/>
      <c r="AN2154" s="82"/>
      <c r="AO2154" s="82"/>
      <c r="AP2154" s="82"/>
      <c r="AQ2154" s="82"/>
      <c r="AR2154" s="82"/>
      <c r="AS2154" s="82"/>
      <c r="AT2154" s="82"/>
      <c r="AU2154" s="82"/>
      <c r="AV2154" s="82"/>
      <c r="AW2154" s="82" t="str">
        <f t="shared" si="1"/>
        <v/>
      </c>
      <c r="AX2154" s="83" t="str">
        <f t="array" ref="AX2154">IFERROR(DGET('SBV Import'!A:G,"SBV",{"RSC ID","Tier";B2154,A2154}))</f>
        <v/>
      </c>
      <c r="AY2154" s="82" t="str">
        <f t="shared" si="2"/>
        <v/>
      </c>
      <c r="AZ2154" s="82"/>
      <c r="BA2154" s="84" t="s">
        <v>152</v>
      </c>
      <c r="BB2154" s="84" t="str">
        <f>IFERROR(__xludf.DUMMYFUNCTION("iferror(if(A2154="""",,E2154&gt;=FILTER(Constants!$F$2:$F$10,Constants!$A$2:$A$10=A2154)))"),"")</f>
        <v/>
      </c>
    </row>
    <row r="2155">
      <c r="A2155" s="89"/>
      <c r="B2155" s="87"/>
      <c r="C2155" s="73"/>
      <c r="D2155" s="73"/>
      <c r="E2155" s="82"/>
      <c r="F2155" s="82"/>
      <c r="G2155" s="86"/>
      <c r="H2155" s="86"/>
      <c r="I2155" s="86"/>
      <c r="J2155" s="82"/>
      <c r="K2155" s="82"/>
      <c r="L2155" s="82"/>
      <c r="M2155" s="82"/>
      <c r="N2155" s="82"/>
      <c r="O2155" s="82"/>
      <c r="P2155" s="82"/>
      <c r="Q2155" s="82"/>
      <c r="R2155" s="82"/>
      <c r="S2155" s="82"/>
      <c r="T2155" s="82"/>
      <c r="U2155" s="82"/>
      <c r="V2155" s="82"/>
      <c r="W2155" s="82"/>
      <c r="X2155" s="82"/>
      <c r="Y2155" s="82"/>
      <c r="Z2155" s="82"/>
      <c r="AA2155" s="82"/>
      <c r="AB2155" s="82"/>
      <c r="AC2155" s="82"/>
      <c r="AD2155" s="82"/>
      <c r="AE2155" s="82"/>
      <c r="AF2155" s="82"/>
      <c r="AG2155" s="82"/>
      <c r="AH2155" s="82"/>
      <c r="AI2155" s="82"/>
      <c r="AJ2155" s="82"/>
      <c r="AK2155" s="82"/>
      <c r="AL2155" s="82"/>
      <c r="AM2155" s="82"/>
      <c r="AN2155" s="82"/>
      <c r="AO2155" s="82"/>
      <c r="AP2155" s="82"/>
      <c r="AQ2155" s="82"/>
      <c r="AR2155" s="82"/>
      <c r="AS2155" s="82"/>
      <c r="AT2155" s="82"/>
      <c r="AU2155" s="82"/>
      <c r="AV2155" s="82"/>
      <c r="AW2155" s="82" t="str">
        <f t="shared" si="1"/>
        <v/>
      </c>
      <c r="AX2155" s="83" t="str">
        <f t="array" ref="AX2155">IFERROR(DGET('SBV Import'!A:G,"SBV",{"RSC ID","Tier";B2155,A2155}))</f>
        <v/>
      </c>
      <c r="AY2155" s="82" t="str">
        <f t="shared" si="2"/>
        <v/>
      </c>
      <c r="AZ2155" s="82"/>
      <c r="BA2155" s="84" t="s">
        <v>152</v>
      </c>
      <c r="BB2155" s="84" t="str">
        <f>IFERROR(__xludf.DUMMYFUNCTION("iferror(if(A2155="""",,E2155&gt;=FILTER(Constants!$F$2:$F$10,Constants!$A$2:$A$10=A2155)))"),"")</f>
        <v/>
      </c>
    </row>
    <row r="2156">
      <c r="A2156" s="89"/>
      <c r="B2156" s="87"/>
      <c r="C2156" s="73"/>
      <c r="D2156" s="73"/>
      <c r="E2156" s="82"/>
      <c r="F2156" s="82"/>
      <c r="G2156" s="86"/>
      <c r="H2156" s="86"/>
      <c r="I2156" s="86"/>
      <c r="J2156" s="82"/>
      <c r="K2156" s="82"/>
      <c r="L2156" s="82"/>
      <c r="M2156" s="82"/>
      <c r="N2156" s="82"/>
      <c r="O2156" s="82"/>
      <c r="P2156" s="82"/>
      <c r="Q2156" s="82"/>
      <c r="R2156" s="82"/>
      <c r="S2156" s="82"/>
      <c r="T2156" s="82"/>
      <c r="U2156" s="82"/>
      <c r="V2156" s="82"/>
      <c r="W2156" s="82"/>
      <c r="X2156" s="82"/>
      <c r="Y2156" s="82"/>
      <c r="Z2156" s="82"/>
      <c r="AA2156" s="82"/>
      <c r="AB2156" s="82"/>
      <c r="AC2156" s="82"/>
      <c r="AD2156" s="82"/>
      <c r="AE2156" s="82"/>
      <c r="AF2156" s="82"/>
      <c r="AG2156" s="82"/>
      <c r="AH2156" s="82"/>
      <c r="AI2156" s="82"/>
      <c r="AJ2156" s="82"/>
      <c r="AK2156" s="82"/>
      <c r="AL2156" s="82"/>
      <c r="AM2156" s="82"/>
      <c r="AN2156" s="82"/>
      <c r="AO2156" s="82"/>
      <c r="AP2156" s="82"/>
      <c r="AQ2156" s="82"/>
      <c r="AR2156" s="82"/>
      <c r="AS2156" s="82"/>
      <c r="AT2156" s="82"/>
      <c r="AU2156" s="82"/>
      <c r="AV2156" s="82"/>
      <c r="AW2156" s="82" t="str">
        <f t="shared" si="1"/>
        <v/>
      </c>
      <c r="AX2156" s="83" t="str">
        <f t="array" ref="AX2156">IFERROR(DGET('SBV Import'!A:G,"SBV",{"RSC ID","Tier";B2156,A2156}))</f>
        <v/>
      </c>
      <c r="AY2156" s="82" t="str">
        <f t="shared" si="2"/>
        <v/>
      </c>
      <c r="AZ2156" s="82"/>
      <c r="BA2156" s="84" t="s">
        <v>152</v>
      </c>
      <c r="BB2156" s="84" t="str">
        <f>IFERROR(__xludf.DUMMYFUNCTION("iferror(if(A2156="""",,E2156&gt;=FILTER(Constants!$F$2:$F$10,Constants!$A$2:$A$10=A2156)))"),"")</f>
        <v/>
      </c>
    </row>
    <row r="2157">
      <c r="A2157" s="89"/>
      <c r="B2157" s="87"/>
      <c r="C2157" s="73"/>
      <c r="D2157" s="73"/>
      <c r="E2157" s="82"/>
      <c r="F2157" s="82"/>
      <c r="G2157" s="86"/>
      <c r="H2157" s="86"/>
      <c r="I2157" s="86"/>
      <c r="J2157" s="82"/>
      <c r="K2157" s="82"/>
      <c r="L2157" s="82"/>
      <c r="M2157" s="82"/>
      <c r="N2157" s="82"/>
      <c r="O2157" s="82"/>
      <c r="P2157" s="82"/>
      <c r="Q2157" s="82"/>
      <c r="R2157" s="82"/>
      <c r="S2157" s="82"/>
      <c r="T2157" s="82"/>
      <c r="U2157" s="82"/>
      <c r="V2157" s="82"/>
      <c r="W2157" s="82"/>
      <c r="X2157" s="82"/>
      <c r="Y2157" s="82"/>
      <c r="Z2157" s="82"/>
      <c r="AA2157" s="82"/>
      <c r="AB2157" s="82"/>
      <c r="AC2157" s="82"/>
      <c r="AD2157" s="82"/>
      <c r="AE2157" s="82"/>
      <c r="AF2157" s="82"/>
      <c r="AG2157" s="82"/>
      <c r="AH2157" s="82"/>
      <c r="AI2157" s="82"/>
      <c r="AJ2157" s="82"/>
      <c r="AK2157" s="82"/>
      <c r="AL2157" s="82"/>
      <c r="AM2157" s="82"/>
      <c r="AN2157" s="82"/>
      <c r="AO2157" s="82"/>
      <c r="AP2157" s="82"/>
      <c r="AQ2157" s="82"/>
      <c r="AR2157" s="82"/>
      <c r="AS2157" s="82"/>
      <c r="AT2157" s="82"/>
      <c r="AU2157" s="82"/>
      <c r="AV2157" s="82"/>
      <c r="AW2157" s="82" t="str">
        <f t="shared" si="1"/>
        <v/>
      </c>
      <c r="AX2157" s="83" t="str">
        <f t="array" ref="AX2157">IFERROR(DGET('SBV Import'!A:G,"SBV",{"RSC ID","Tier";B2157,A2157}))</f>
        <v/>
      </c>
      <c r="AY2157" s="82" t="str">
        <f t="shared" si="2"/>
        <v/>
      </c>
      <c r="AZ2157" s="82"/>
      <c r="BA2157" s="84" t="s">
        <v>152</v>
      </c>
      <c r="BB2157" s="84" t="str">
        <f>IFERROR(__xludf.DUMMYFUNCTION("iferror(if(A2157="""",,E2157&gt;=FILTER(Constants!$F$2:$F$10,Constants!$A$2:$A$10=A2157)))"),"")</f>
        <v/>
      </c>
    </row>
    <row r="2158">
      <c r="A2158" s="89"/>
      <c r="B2158" s="87"/>
      <c r="C2158" s="73"/>
      <c r="D2158" s="73"/>
      <c r="E2158" s="82"/>
      <c r="F2158" s="82"/>
      <c r="G2158" s="86"/>
      <c r="H2158" s="86"/>
      <c r="I2158" s="86"/>
      <c r="J2158" s="82"/>
      <c r="K2158" s="82"/>
      <c r="L2158" s="82"/>
      <c r="M2158" s="82"/>
      <c r="N2158" s="82"/>
      <c r="O2158" s="82"/>
      <c r="P2158" s="82"/>
      <c r="Q2158" s="82"/>
      <c r="R2158" s="82"/>
      <c r="S2158" s="82"/>
      <c r="T2158" s="82"/>
      <c r="U2158" s="82"/>
      <c r="V2158" s="82"/>
      <c r="W2158" s="82"/>
      <c r="X2158" s="82"/>
      <c r="Y2158" s="82"/>
      <c r="Z2158" s="82"/>
      <c r="AA2158" s="82"/>
      <c r="AB2158" s="82"/>
      <c r="AC2158" s="82"/>
      <c r="AD2158" s="82"/>
      <c r="AE2158" s="82"/>
      <c r="AF2158" s="82"/>
      <c r="AG2158" s="82"/>
      <c r="AH2158" s="82"/>
      <c r="AI2158" s="82"/>
      <c r="AJ2158" s="82"/>
      <c r="AK2158" s="82"/>
      <c r="AL2158" s="82"/>
      <c r="AM2158" s="82"/>
      <c r="AN2158" s="82"/>
      <c r="AO2158" s="82"/>
      <c r="AP2158" s="82"/>
      <c r="AQ2158" s="82"/>
      <c r="AR2158" s="82"/>
      <c r="AS2158" s="82"/>
      <c r="AT2158" s="82"/>
      <c r="AU2158" s="82"/>
      <c r="AV2158" s="82"/>
      <c r="AW2158" s="82" t="str">
        <f t="shared" si="1"/>
        <v/>
      </c>
      <c r="AX2158" s="83" t="str">
        <f t="array" ref="AX2158">IFERROR(DGET('SBV Import'!A:G,"SBV",{"RSC ID","Tier";B2158,A2158}))</f>
        <v/>
      </c>
      <c r="AY2158" s="82" t="str">
        <f t="shared" si="2"/>
        <v/>
      </c>
      <c r="AZ2158" s="82"/>
      <c r="BA2158" s="84" t="s">
        <v>152</v>
      </c>
      <c r="BB2158" s="84" t="str">
        <f>IFERROR(__xludf.DUMMYFUNCTION("iferror(if(A2158="""",,E2158&gt;=FILTER(Constants!$F$2:$F$10,Constants!$A$2:$A$10=A2158)))"),"")</f>
        <v/>
      </c>
    </row>
    <row r="2159">
      <c r="A2159" s="89"/>
      <c r="B2159" s="87"/>
      <c r="C2159" s="73"/>
      <c r="D2159" s="73"/>
      <c r="E2159" s="82"/>
      <c r="F2159" s="82"/>
      <c r="G2159" s="86"/>
      <c r="H2159" s="86"/>
      <c r="I2159" s="86"/>
      <c r="J2159" s="82"/>
      <c r="K2159" s="82"/>
      <c r="L2159" s="82"/>
      <c r="M2159" s="82"/>
      <c r="N2159" s="82"/>
      <c r="O2159" s="82"/>
      <c r="P2159" s="82"/>
      <c r="Q2159" s="82"/>
      <c r="R2159" s="82"/>
      <c r="S2159" s="82"/>
      <c r="T2159" s="82"/>
      <c r="U2159" s="82"/>
      <c r="V2159" s="82"/>
      <c r="W2159" s="82"/>
      <c r="X2159" s="82"/>
      <c r="Y2159" s="82"/>
      <c r="Z2159" s="82"/>
      <c r="AA2159" s="82"/>
      <c r="AB2159" s="82"/>
      <c r="AC2159" s="82"/>
      <c r="AD2159" s="82"/>
      <c r="AE2159" s="82"/>
      <c r="AF2159" s="82"/>
      <c r="AG2159" s="82"/>
      <c r="AH2159" s="82"/>
      <c r="AI2159" s="82"/>
      <c r="AJ2159" s="82"/>
      <c r="AK2159" s="82"/>
      <c r="AL2159" s="82"/>
      <c r="AM2159" s="82"/>
      <c r="AN2159" s="82"/>
      <c r="AO2159" s="82"/>
      <c r="AP2159" s="82"/>
      <c r="AQ2159" s="82"/>
      <c r="AR2159" s="82"/>
      <c r="AS2159" s="82"/>
      <c r="AT2159" s="82"/>
      <c r="AU2159" s="82"/>
      <c r="AV2159" s="82"/>
      <c r="AW2159" s="82" t="str">
        <f t="shared" si="1"/>
        <v/>
      </c>
      <c r="AX2159" s="83" t="str">
        <f t="array" ref="AX2159">IFERROR(DGET('SBV Import'!A:G,"SBV",{"RSC ID","Tier";B2159,A2159}))</f>
        <v/>
      </c>
      <c r="AY2159" s="82" t="str">
        <f t="shared" si="2"/>
        <v/>
      </c>
      <c r="AZ2159" s="82"/>
      <c r="BA2159" s="84" t="s">
        <v>152</v>
      </c>
      <c r="BB2159" s="84" t="str">
        <f>IFERROR(__xludf.DUMMYFUNCTION("iferror(if(A2159="""",,E2159&gt;=FILTER(Constants!$F$2:$F$10,Constants!$A$2:$A$10=A2159)))"),"")</f>
        <v/>
      </c>
    </row>
    <row r="2160">
      <c r="A2160" s="89"/>
      <c r="B2160" s="87"/>
      <c r="C2160" s="73"/>
      <c r="D2160" s="73"/>
      <c r="E2160" s="82"/>
      <c r="F2160" s="82"/>
      <c r="G2160" s="86"/>
      <c r="H2160" s="86"/>
      <c r="I2160" s="86"/>
      <c r="J2160" s="82"/>
      <c r="K2160" s="82"/>
      <c r="L2160" s="82"/>
      <c r="M2160" s="82"/>
      <c r="N2160" s="82"/>
      <c r="O2160" s="82"/>
      <c r="P2160" s="82"/>
      <c r="Q2160" s="82"/>
      <c r="R2160" s="82"/>
      <c r="S2160" s="82"/>
      <c r="T2160" s="82"/>
      <c r="U2160" s="82"/>
      <c r="V2160" s="82"/>
      <c r="W2160" s="82"/>
      <c r="X2160" s="82"/>
      <c r="Y2160" s="82"/>
      <c r="Z2160" s="82"/>
      <c r="AA2160" s="82"/>
      <c r="AB2160" s="82"/>
      <c r="AC2160" s="82"/>
      <c r="AD2160" s="82"/>
      <c r="AE2160" s="82"/>
      <c r="AF2160" s="82"/>
      <c r="AG2160" s="82"/>
      <c r="AH2160" s="82"/>
      <c r="AI2160" s="82"/>
      <c r="AJ2160" s="82"/>
      <c r="AK2160" s="82"/>
      <c r="AL2160" s="82"/>
      <c r="AM2160" s="82"/>
      <c r="AN2160" s="82"/>
      <c r="AO2160" s="82"/>
      <c r="AP2160" s="82"/>
      <c r="AQ2160" s="82"/>
      <c r="AR2160" s="82"/>
      <c r="AS2160" s="82"/>
      <c r="AT2160" s="82"/>
      <c r="AU2160" s="82"/>
      <c r="AV2160" s="82"/>
      <c r="AW2160" s="82" t="str">
        <f t="shared" si="1"/>
        <v/>
      </c>
      <c r="AX2160" s="83" t="str">
        <f t="array" ref="AX2160">IFERROR(DGET('SBV Import'!A:G,"SBV",{"RSC ID","Tier";B2160,A2160}))</f>
        <v/>
      </c>
      <c r="AY2160" s="82" t="str">
        <f t="shared" si="2"/>
        <v/>
      </c>
      <c r="AZ2160" s="82"/>
      <c r="BA2160" s="84" t="s">
        <v>152</v>
      </c>
      <c r="BB2160" s="84" t="str">
        <f>IFERROR(__xludf.DUMMYFUNCTION("iferror(if(A2160="""",,E2160&gt;=FILTER(Constants!$F$2:$F$10,Constants!$A$2:$A$10=A2160)))"),"")</f>
        <v/>
      </c>
    </row>
    <row r="2161">
      <c r="A2161" s="89"/>
      <c r="B2161" s="87"/>
      <c r="C2161" s="73"/>
      <c r="D2161" s="73"/>
      <c r="E2161" s="82"/>
      <c r="F2161" s="82"/>
      <c r="G2161" s="86"/>
      <c r="H2161" s="86"/>
      <c r="I2161" s="86"/>
      <c r="J2161" s="82"/>
      <c r="K2161" s="82"/>
      <c r="L2161" s="82"/>
      <c r="M2161" s="82"/>
      <c r="N2161" s="82"/>
      <c r="O2161" s="82"/>
      <c r="P2161" s="82"/>
      <c r="Q2161" s="82"/>
      <c r="R2161" s="82"/>
      <c r="S2161" s="82"/>
      <c r="T2161" s="82"/>
      <c r="U2161" s="82"/>
      <c r="V2161" s="82"/>
      <c r="W2161" s="82"/>
      <c r="X2161" s="82"/>
      <c r="Y2161" s="82"/>
      <c r="Z2161" s="82"/>
      <c r="AA2161" s="82"/>
      <c r="AB2161" s="82"/>
      <c r="AC2161" s="82"/>
      <c r="AD2161" s="82"/>
      <c r="AE2161" s="82"/>
      <c r="AF2161" s="82"/>
      <c r="AG2161" s="82"/>
      <c r="AH2161" s="82"/>
      <c r="AI2161" s="82"/>
      <c r="AJ2161" s="82"/>
      <c r="AK2161" s="82"/>
      <c r="AL2161" s="82"/>
      <c r="AM2161" s="82"/>
      <c r="AN2161" s="82"/>
      <c r="AO2161" s="82"/>
      <c r="AP2161" s="82"/>
      <c r="AQ2161" s="82"/>
      <c r="AR2161" s="82"/>
      <c r="AS2161" s="82"/>
      <c r="AT2161" s="82"/>
      <c r="AU2161" s="82"/>
      <c r="AV2161" s="82"/>
      <c r="AW2161" s="82" t="str">
        <f t="shared" si="1"/>
        <v/>
      </c>
      <c r="AX2161" s="83" t="str">
        <f t="array" ref="AX2161">IFERROR(DGET('SBV Import'!A:G,"SBV",{"RSC ID","Tier";B2161,A2161}))</f>
        <v/>
      </c>
      <c r="AY2161" s="82" t="str">
        <f t="shared" si="2"/>
        <v/>
      </c>
      <c r="AZ2161" s="82"/>
      <c r="BA2161" s="84" t="s">
        <v>152</v>
      </c>
      <c r="BB2161" s="84" t="str">
        <f>IFERROR(__xludf.DUMMYFUNCTION("iferror(if(A2161="""",,E2161&gt;=FILTER(Constants!$F$2:$F$10,Constants!$A$2:$A$10=A2161)))"),"")</f>
        <v/>
      </c>
    </row>
    <row r="2162">
      <c r="A2162" s="89"/>
      <c r="B2162" s="87"/>
      <c r="C2162" s="73"/>
      <c r="D2162" s="73"/>
      <c r="E2162" s="82"/>
      <c r="F2162" s="82"/>
      <c r="G2162" s="86"/>
      <c r="H2162" s="86"/>
      <c r="I2162" s="86"/>
      <c r="J2162" s="82"/>
      <c r="K2162" s="82"/>
      <c r="L2162" s="82"/>
      <c r="M2162" s="82"/>
      <c r="N2162" s="82"/>
      <c r="O2162" s="82"/>
      <c r="P2162" s="82"/>
      <c r="Q2162" s="82"/>
      <c r="R2162" s="82"/>
      <c r="S2162" s="82"/>
      <c r="T2162" s="82"/>
      <c r="U2162" s="82"/>
      <c r="V2162" s="82"/>
      <c r="W2162" s="82"/>
      <c r="X2162" s="82"/>
      <c r="Y2162" s="82"/>
      <c r="Z2162" s="82"/>
      <c r="AA2162" s="82"/>
      <c r="AB2162" s="82"/>
      <c r="AC2162" s="82"/>
      <c r="AD2162" s="82"/>
      <c r="AE2162" s="82"/>
      <c r="AF2162" s="82"/>
      <c r="AG2162" s="82"/>
      <c r="AH2162" s="82"/>
      <c r="AI2162" s="82"/>
      <c r="AJ2162" s="82"/>
      <c r="AK2162" s="82"/>
      <c r="AL2162" s="82"/>
      <c r="AM2162" s="82"/>
      <c r="AN2162" s="82"/>
      <c r="AO2162" s="82"/>
      <c r="AP2162" s="82"/>
      <c r="AQ2162" s="82"/>
      <c r="AR2162" s="82"/>
      <c r="AS2162" s="82"/>
      <c r="AT2162" s="82"/>
      <c r="AU2162" s="82"/>
      <c r="AV2162" s="82"/>
      <c r="AW2162" s="82" t="str">
        <f t="shared" si="1"/>
        <v/>
      </c>
      <c r="AX2162" s="83" t="str">
        <f t="array" ref="AX2162">IFERROR(DGET('SBV Import'!A:G,"SBV",{"RSC ID","Tier";B2162,A2162}))</f>
        <v/>
      </c>
      <c r="AY2162" s="82" t="str">
        <f t="shared" si="2"/>
        <v/>
      </c>
      <c r="AZ2162" s="82"/>
      <c r="BA2162" s="84" t="s">
        <v>152</v>
      </c>
      <c r="BB2162" s="84" t="str">
        <f>IFERROR(__xludf.DUMMYFUNCTION("iferror(if(A2162="""",,E2162&gt;=FILTER(Constants!$F$2:$F$10,Constants!$A$2:$A$10=A2162)))"),"")</f>
        <v/>
      </c>
    </row>
    <row r="2163">
      <c r="A2163" s="89"/>
      <c r="B2163" s="87"/>
      <c r="C2163" s="73"/>
      <c r="D2163" s="73"/>
      <c r="E2163" s="82"/>
      <c r="F2163" s="82"/>
      <c r="G2163" s="86"/>
      <c r="H2163" s="86"/>
      <c r="I2163" s="86"/>
      <c r="J2163" s="82"/>
      <c r="K2163" s="82"/>
      <c r="L2163" s="82"/>
      <c r="M2163" s="82"/>
      <c r="N2163" s="82"/>
      <c r="O2163" s="82"/>
      <c r="P2163" s="82"/>
      <c r="Q2163" s="82"/>
      <c r="R2163" s="82"/>
      <c r="S2163" s="82"/>
      <c r="T2163" s="82"/>
      <c r="U2163" s="82"/>
      <c r="V2163" s="82"/>
      <c r="W2163" s="82"/>
      <c r="X2163" s="82"/>
      <c r="Y2163" s="82"/>
      <c r="Z2163" s="82"/>
      <c r="AA2163" s="82"/>
      <c r="AB2163" s="82"/>
      <c r="AC2163" s="82"/>
      <c r="AD2163" s="82"/>
      <c r="AE2163" s="82"/>
      <c r="AF2163" s="82"/>
      <c r="AG2163" s="82"/>
      <c r="AH2163" s="82"/>
      <c r="AI2163" s="82"/>
      <c r="AJ2163" s="82"/>
      <c r="AK2163" s="82"/>
      <c r="AL2163" s="82"/>
      <c r="AM2163" s="82"/>
      <c r="AN2163" s="82"/>
      <c r="AO2163" s="82"/>
      <c r="AP2163" s="82"/>
      <c r="AQ2163" s="82"/>
      <c r="AR2163" s="82"/>
      <c r="AS2163" s="82"/>
      <c r="AT2163" s="82"/>
      <c r="AU2163" s="82"/>
      <c r="AV2163" s="82"/>
      <c r="AW2163" s="82" t="str">
        <f t="shared" si="1"/>
        <v/>
      </c>
      <c r="AX2163" s="83" t="str">
        <f t="array" ref="AX2163">IFERROR(DGET('SBV Import'!A:G,"SBV",{"RSC ID","Tier";B2163,A2163}))</f>
        <v/>
      </c>
      <c r="AY2163" s="82" t="str">
        <f t="shared" si="2"/>
        <v/>
      </c>
      <c r="AZ2163" s="82"/>
      <c r="BA2163" s="84" t="s">
        <v>152</v>
      </c>
      <c r="BB2163" s="84" t="str">
        <f>IFERROR(__xludf.DUMMYFUNCTION("iferror(if(A2163="""",,E2163&gt;=FILTER(Constants!$F$2:$F$10,Constants!$A$2:$A$10=A2163)))"),"")</f>
        <v/>
      </c>
    </row>
    <row r="2164">
      <c r="A2164" s="89"/>
      <c r="B2164" s="87"/>
      <c r="C2164" s="73"/>
      <c r="D2164" s="73"/>
      <c r="E2164" s="82"/>
      <c r="F2164" s="82"/>
      <c r="G2164" s="86"/>
      <c r="H2164" s="86"/>
      <c r="I2164" s="86"/>
      <c r="J2164" s="82"/>
      <c r="K2164" s="82"/>
      <c r="L2164" s="82"/>
      <c r="M2164" s="82"/>
      <c r="N2164" s="82"/>
      <c r="O2164" s="82"/>
      <c r="P2164" s="82"/>
      <c r="Q2164" s="82"/>
      <c r="R2164" s="82"/>
      <c r="S2164" s="82"/>
      <c r="T2164" s="82"/>
      <c r="U2164" s="82"/>
      <c r="V2164" s="82"/>
      <c r="W2164" s="82"/>
      <c r="X2164" s="82"/>
      <c r="Y2164" s="82"/>
      <c r="Z2164" s="82"/>
      <c r="AA2164" s="82"/>
      <c r="AB2164" s="82"/>
      <c r="AC2164" s="82"/>
      <c r="AD2164" s="82"/>
      <c r="AE2164" s="82"/>
      <c r="AF2164" s="82"/>
      <c r="AG2164" s="82"/>
      <c r="AH2164" s="82"/>
      <c r="AI2164" s="82"/>
      <c r="AJ2164" s="82"/>
      <c r="AK2164" s="82"/>
      <c r="AL2164" s="82"/>
      <c r="AM2164" s="82"/>
      <c r="AN2164" s="82"/>
      <c r="AO2164" s="82"/>
      <c r="AP2164" s="82"/>
      <c r="AQ2164" s="82"/>
      <c r="AR2164" s="82"/>
      <c r="AS2164" s="82"/>
      <c r="AT2164" s="82"/>
      <c r="AU2164" s="82"/>
      <c r="AV2164" s="82"/>
      <c r="AW2164" s="82" t="str">
        <f t="shared" si="1"/>
        <v/>
      </c>
      <c r="AX2164" s="83" t="str">
        <f t="array" ref="AX2164">IFERROR(DGET('SBV Import'!A:G,"SBV",{"RSC ID","Tier";B2164,A2164}))</f>
        <v/>
      </c>
      <c r="AY2164" s="82" t="str">
        <f t="shared" si="2"/>
        <v/>
      </c>
      <c r="AZ2164" s="82"/>
      <c r="BA2164" s="84" t="s">
        <v>152</v>
      </c>
      <c r="BB2164" s="84" t="str">
        <f>IFERROR(__xludf.DUMMYFUNCTION("iferror(if(A2164="""",,E2164&gt;=FILTER(Constants!$F$2:$F$10,Constants!$A$2:$A$10=A2164)))"),"")</f>
        <v/>
      </c>
    </row>
    <row r="2165">
      <c r="A2165" s="89"/>
      <c r="B2165" s="87"/>
      <c r="C2165" s="73"/>
      <c r="D2165" s="73"/>
      <c r="E2165" s="82"/>
      <c r="F2165" s="82"/>
      <c r="G2165" s="86"/>
      <c r="H2165" s="86"/>
      <c r="I2165" s="86"/>
      <c r="J2165" s="82"/>
      <c r="K2165" s="82"/>
      <c r="L2165" s="82"/>
      <c r="M2165" s="82"/>
      <c r="N2165" s="82"/>
      <c r="O2165" s="82"/>
      <c r="P2165" s="82"/>
      <c r="Q2165" s="82"/>
      <c r="R2165" s="82"/>
      <c r="S2165" s="82"/>
      <c r="T2165" s="82"/>
      <c r="U2165" s="82"/>
      <c r="V2165" s="82"/>
      <c r="W2165" s="82"/>
      <c r="X2165" s="82"/>
      <c r="Y2165" s="82"/>
      <c r="Z2165" s="82"/>
      <c r="AA2165" s="82"/>
      <c r="AB2165" s="82"/>
      <c r="AC2165" s="82"/>
      <c r="AD2165" s="82"/>
      <c r="AE2165" s="82"/>
      <c r="AF2165" s="82"/>
      <c r="AG2165" s="82"/>
      <c r="AH2165" s="82"/>
      <c r="AI2165" s="82"/>
      <c r="AJ2165" s="82"/>
      <c r="AK2165" s="82"/>
      <c r="AL2165" s="82"/>
      <c r="AM2165" s="82"/>
      <c r="AN2165" s="82"/>
      <c r="AO2165" s="82"/>
      <c r="AP2165" s="82"/>
      <c r="AQ2165" s="82"/>
      <c r="AR2165" s="82"/>
      <c r="AS2165" s="82"/>
      <c r="AT2165" s="82"/>
      <c r="AU2165" s="82"/>
      <c r="AV2165" s="82"/>
      <c r="AW2165" s="82" t="str">
        <f t="shared" si="1"/>
        <v/>
      </c>
      <c r="AX2165" s="83" t="str">
        <f t="array" ref="AX2165">IFERROR(DGET('SBV Import'!A:G,"SBV",{"RSC ID","Tier";B2165,A2165}))</f>
        <v/>
      </c>
      <c r="AY2165" s="82" t="str">
        <f t="shared" si="2"/>
        <v/>
      </c>
      <c r="AZ2165" s="82"/>
      <c r="BA2165" s="84" t="s">
        <v>152</v>
      </c>
      <c r="BB2165" s="84" t="str">
        <f>IFERROR(__xludf.DUMMYFUNCTION("iferror(if(A2165="""",,E2165&gt;=FILTER(Constants!$F$2:$F$10,Constants!$A$2:$A$10=A2165)))"),"")</f>
        <v/>
      </c>
    </row>
    <row r="2166">
      <c r="A2166" s="89"/>
      <c r="B2166" s="87"/>
      <c r="C2166" s="73"/>
      <c r="D2166" s="73"/>
      <c r="E2166" s="82"/>
      <c r="F2166" s="82"/>
      <c r="G2166" s="86"/>
      <c r="H2166" s="86"/>
      <c r="I2166" s="86"/>
      <c r="J2166" s="82"/>
      <c r="K2166" s="82"/>
      <c r="L2166" s="82"/>
      <c r="M2166" s="82"/>
      <c r="N2166" s="82"/>
      <c r="O2166" s="82"/>
      <c r="P2166" s="82"/>
      <c r="Q2166" s="82"/>
      <c r="R2166" s="82"/>
      <c r="S2166" s="82"/>
      <c r="T2166" s="82"/>
      <c r="U2166" s="82"/>
      <c r="V2166" s="82"/>
      <c r="W2166" s="82"/>
      <c r="X2166" s="82"/>
      <c r="Y2166" s="82"/>
      <c r="Z2166" s="82"/>
      <c r="AA2166" s="82"/>
      <c r="AB2166" s="82"/>
      <c r="AC2166" s="82"/>
      <c r="AD2166" s="82"/>
      <c r="AE2166" s="82"/>
      <c r="AF2166" s="82"/>
      <c r="AG2166" s="82"/>
      <c r="AH2166" s="82"/>
      <c r="AI2166" s="82"/>
      <c r="AJ2166" s="82"/>
      <c r="AK2166" s="82"/>
      <c r="AL2166" s="82"/>
      <c r="AM2166" s="82"/>
      <c r="AN2166" s="82"/>
      <c r="AO2166" s="82"/>
      <c r="AP2166" s="82"/>
      <c r="AQ2166" s="82"/>
      <c r="AR2166" s="82"/>
      <c r="AS2166" s="82"/>
      <c r="AT2166" s="82"/>
      <c r="AU2166" s="82"/>
      <c r="AV2166" s="82"/>
      <c r="AW2166" s="82" t="str">
        <f t="shared" si="1"/>
        <v/>
      </c>
      <c r="AX2166" s="83" t="str">
        <f t="array" ref="AX2166">IFERROR(DGET('SBV Import'!A:G,"SBV",{"RSC ID","Tier";B2166,A2166}))</f>
        <v/>
      </c>
      <c r="AY2166" s="82" t="str">
        <f t="shared" si="2"/>
        <v/>
      </c>
      <c r="AZ2166" s="82"/>
      <c r="BA2166" s="84" t="s">
        <v>152</v>
      </c>
      <c r="BB2166" s="84" t="str">
        <f>IFERROR(__xludf.DUMMYFUNCTION("iferror(if(A2166="""",,E2166&gt;=FILTER(Constants!$F$2:$F$10,Constants!$A$2:$A$10=A2166)))"),"")</f>
        <v/>
      </c>
    </row>
    <row r="2167">
      <c r="A2167" s="89"/>
      <c r="B2167" s="87"/>
      <c r="C2167" s="73"/>
      <c r="D2167" s="73"/>
      <c r="E2167" s="82"/>
      <c r="F2167" s="82"/>
      <c r="G2167" s="86"/>
      <c r="H2167" s="86"/>
      <c r="I2167" s="86"/>
      <c r="J2167" s="82"/>
      <c r="K2167" s="82"/>
      <c r="L2167" s="82"/>
      <c r="M2167" s="82"/>
      <c r="N2167" s="82"/>
      <c r="O2167" s="82"/>
      <c r="P2167" s="82"/>
      <c r="Q2167" s="82"/>
      <c r="R2167" s="82"/>
      <c r="S2167" s="82"/>
      <c r="T2167" s="82"/>
      <c r="U2167" s="82"/>
      <c r="V2167" s="82"/>
      <c r="W2167" s="82"/>
      <c r="X2167" s="82"/>
      <c r="Y2167" s="82"/>
      <c r="Z2167" s="82"/>
      <c r="AA2167" s="82"/>
      <c r="AB2167" s="82"/>
      <c r="AC2167" s="82"/>
      <c r="AD2167" s="82"/>
      <c r="AE2167" s="82"/>
      <c r="AF2167" s="82"/>
      <c r="AG2167" s="82"/>
      <c r="AH2167" s="82"/>
      <c r="AI2167" s="82"/>
      <c r="AJ2167" s="82"/>
      <c r="AK2167" s="82"/>
      <c r="AL2167" s="82"/>
      <c r="AM2167" s="82"/>
      <c r="AN2167" s="82"/>
      <c r="AO2167" s="82"/>
      <c r="AP2167" s="82"/>
      <c r="AQ2167" s="82"/>
      <c r="AR2167" s="82"/>
      <c r="AS2167" s="82"/>
      <c r="AT2167" s="82"/>
      <c r="AU2167" s="82"/>
      <c r="AV2167" s="82"/>
      <c r="AW2167" s="82" t="str">
        <f t="shared" si="1"/>
        <v/>
      </c>
      <c r="AX2167" s="83" t="str">
        <f t="array" ref="AX2167">IFERROR(DGET('SBV Import'!A:G,"SBV",{"RSC ID","Tier";B2167,A2167}))</f>
        <v/>
      </c>
      <c r="AY2167" s="82" t="str">
        <f t="shared" si="2"/>
        <v/>
      </c>
      <c r="AZ2167" s="82"/>
      <c r="BA2167" s="84" t="s">
        <v>152</v>
      </c>
      <c r="BB2167" s="84" t="str">
        <f>IFERROR(__xludf.DUMMYFUNCTION("iferror(if(A2167="""",,E2167&gt;=FILTER(Constants!$F$2:$F$10,Constants!$A$2:$A$10=A2167)))"),"")</f>
        <v/>
      </c>
    </row>
    <row r="2168">
      <c r="A2168" s="89"/>
      <c r="B2168" s="87"/>
      <c r="C2168" s="73"/>
      <c r="D2168" s="73"/>
      <c r="E2168" s="82"/>
      <c r="F2168" s="82"/>
      <c r="G2168" s="86"/>
      <c r="H2168" s="86"/>
      <c r="I2168" s="86"/>
      <c r="J2168" s="82"/>
      <c r="K2168" s="82"/>
      <c r="L2168" s="82"/>
      <c r="M2168" s="82"/>
      <c r="N2168" s="82"/>
      <c r="O2168" s="82"/>
      <c r="P2168" s="82"/>
      <c r="Q2168" s="82"/>
      <c r="R2168" s="82"/>
      <c r="S2168" s="82"/>
      <c r="T2168" s="82"/>
      <c r="U2168" s="82"/>
      <c r="V2168" s="82"/>
      <c r="W2168" s="82"/>
      <c r="X2168" s="82"/>
      <c r="Y2168" s="82"/>
      <c r="Z2168" s="82"/>
      <c r="AA2168" s="82"/>
      <c r="AB2168" s="82"/>
      <c r="AC2168" s="82"/>
      <c r="AD2168" s="82"/>
      <c r="AE2168" s="82"/>
      <c r="AF2168" s="82"/>
      <c r="AG2168" s="82"/>
      <c r="AH2168" s="82"/>
      <c r="AI2168" s="82"/>
      <c r="AJ2168" s="82"/>
      <c r="AK2168" s="82"/>
      <c r="AL2168" s="82"/>
      <c r="AM2168" s="82"/>
      <c r="AN2168" s="82"/>
      <c r="AO2168" s="82"/>
      <c r="AP2168" s="82"/>
      <c r="AQ2168" s="82"/>
      <c r="AR2168" s="82"/>
      <c r="AS2168" s="82"/>
      <c r="AT2168" s="82"/>
      <c r="AU2168" s="82"/>
      <c r="AV2168" s="82"/>
      <c r="AW2168" s="82" t="str">
        <f t="shared" si="1"/>
        <v/>
      </c>
      <c r="AX2168" s="83" t="str">
        <f t="array" ref="AX2168">IFERROR(DGET('SBV Import'!A:G,"SBV",{"RSC ID","Tier";B2168,A2168}))</f>
        <v/>
      </c>
      <c r="AY2168" s="82" t="str">
        <f t="shared" si="2"/>
        <v/>
      </c>
      <c r="AZ2168" s="82"/>
      <c r="BA2168" s="84" t="s">
        <v>152</v>
      </c>
      <c r="BB2168" s="84" t="str">
        <f>IFERROR(__xludf.DUMMYFUNCTION("iferror(if(A2168="""",,E2168&gt;=FILTER(Constants!$F$2:$F$10,Constants!$A$2:$A$10=A2168)))"),"")</f>
        <v/>
      </c>
    </row>
    <row r="2169">
      <c r="A2169" s="89"/>
      <c r="B2169" s="87"/>
      <c r="C2169" s="73"/>
      <c r="D2169" s="73"/>
      <c r="E2169" s="82"/>
      <c r="F2169" s="82"/>
      <c r="G2169" s="86"/>
      <c r="H2169" s="86"/>
      <c r="I2169" s="86"/>
      <c r="J2169" s="82"/>
      <c r="K2169" s="82"/>
      <c r="L2169" s="82"/>
      <c r="M2169" s="82"/>
      <c r="N2169" s="82"/>
      <c r="O2169" s="82"/>
      <c r="P2169" s="82"/>
      <c r="Q2169" s="82"/>
      <c r="R2169" s="82"/>
      <c r="S2169" s="82"/>
      <c r="T2169" s="82"/>
      <c r="U2169" s="82"/>
      <c r="V2169" s="82"/>
      <c r="W2169" s="82"/>
      <c r="X2169" s="82"/>
      <c r="Y2169" s="82"/>
      <c r="Z2169" s="82"/>
      <c r="AA2169" s="82"/>
      <c r="AB2169" s="82"/>
      <c r="AC2169" s="82"/>
      <c r="AD2169" s="82"/>
      <c r="AE2169" s="82"/>
      <c r="AF2169" s="82"/>
      <c r="AG2169" s="82"/>
      <c r="AH2169" s="82"/>
      <c r="AI2169" s="82"/>
      <c r="AJ2169" s="82"/>
      <c r="AK2169" s="82"/>
      <c r="AL2169" s="82"/>
      <c r="AM2169" s="82"/>
      <c r="AN2169" s="82"/>
      <c r="AO2169" s="82"/>
      <c r="AP2169" s="82"/>
      <c r="AQ2169" s="82"/>
      <c r="AR2169" s="82"/>
      <c r="AS2169" s="82"/>
      <c r="AT2169" s="82"/>
      <c r="AU2169" s="82"/>
      <c r="AV2169" s="82"/>
      <c r="AW2169" s="82" t="str">
        <f t="shared" si="1"/>
        <v/>
      </c>
      <c r="AX2169" s="83" t="str">
        <f t="array" ref="AX2169">IFERROR(DGET('SBV Import'!A:G,"SBV",{"RSC ID","Tier";B2169,A2169}))</f>
        <v/>
      </c>
      <c r="AY2169" s="82" t="str">
        <f t="shared" si="2"/>
        <v/>
      </c>
      <c r="AZ2169" s="82"/>
      <c r="BA2169" s="84" t="s">
        <v>152</v>
      </c>
      <c r="BB2169" s="84" t="str">
        <f>IFERROR(__xludf.DUMMYFUNCTION("iferror(if(A2169="""",,E2169&gt;=FILTER(Constants!$F$2:$F$10,Constants!$A$2:$A$10=A2169)))"),"")</f>
        <v/>
      </c>
    </row>
    <row r="2170">
      <c r="A2170" s="89"/>
      <c r="B2170" s="87"/>
      <c r="C2170" s="73"/>
      <c r="D2170" s="73"/>
      <c r="E2170" s="82"/>
      <c r="F2170" s="82"/>
      <c r="G2170" s="86"/>
      <c r="H2170" s="86"/>
      <c r="I2170" s="86"/>
      <c r="J2170" s="82"/>
      <c r="K2170" s="82"/>
      <c r="L2170" s="82"/>
      <c r="M2170" s="82"/>
      <c r="N2170" s="82"/>
      <c r="O2170" s="82"/>
      <c r="P2170" s="82"/>
      <c r="Q2170" s="82"/>
      <c r="R2170" s="82"/>
      <c r="S2170" s="82"/>
      <c r="T2170" s="82"/>
      <c r="U2170" s="82"/>
      <c r="V2170" s="82"/>
      <c r="W2170" s="82"/>
      <c r="X2170" s="82"/>
      <c r="Y2170" s="82"/>
      <c r="Z2170" s="82"/>
      <c r="AA2170" s="82"/>
      <c r="AB2170" s="82"/>
      <c r="AC2170" s="82"/>
      <c r="AD2170" s="82"/>
      <c r="AE2170" s="82"/>
      <c r="AF2170" s="82"/>
      <c r="AG2170" s="82"/>
      <c r="AH2170" s="82"/>
      <c r="AI2170" s="82"/>
      <c r="AJ2170" s="82"/>
      <c r="AK2170" s="82"/>
      <c r="AL2170" s="82"/>
      <c r="AM2170" s="82"/>
      <c r="AN2170" s="82"/>
      <c r="AO2170" s="82"/>
      <c r="AP2170" s="82"/>
      <c r="AQ2170" s="82"/>
      <c r="AR2170" s="82"/>
      <c r="AS2170" s="82"/>
      <c r="AT2170" s="82"/>
      <c r="AU2170" s="82"/>
      <c r="AV2170" s="82"/>
      <c r="AW2170" s="82" t="str">
        <f t="shared" si="1"/>
        <v/>
      </c>
      <c r="AX2170" s="83" t="str">
        <f t="array" ref="AX2170">IFERROR(DGET('SBV Import'!A:G,"SBV",{"RSC ID","Tier";B2170,A2170}))</f>
        <v/>
      </c>
      <c r="AY2170" s="82" t="str">
        <f t="shared" si="2"/>
        <v/>
      </c>
      <c r="AZ2170" s="82"/>
      <c r="BA2170" s="84" t="s">
        <v>152</v>
      </c>
      <c r="BB2170" s="84" t="str">
        <f>IFERROR(__xludf.DUMMYFUNCTION("iferror(if(A2170="""",,E2170&gt;=FILTER(Constants!$F$2:$F$10,Constants!$A$2:$A$10=A2170)))"),"")</f>
        <v/>
      </c>
    </row>
    <row r="2171">
      <c r="A2171" s="89"/>
      <c r="B2171" s="87"/>
      <c r="C2171" s="73"/>
      <c r="D2171" s="73"/>
      <c r="E2171" s="82"/>
      <c r="F2171" s="82"/>
      <c r="G2171" s="86"/>
      <c r="H2171" s="86"/>
      <c r="I2171" s="86"/>
      <c r="J2171" s="82"/>
      <c r="K2171" s="82"/>
      <c r="L2171" s="82"/>
      <c r="M2171" s="82"/>
      <c r="N2171" s="82"/>
      <c r="O2171" s="82"/>
      <c r="P2171" s="82"/>
      <c r="Q2171" s="82"/>
      <c r="R2171" s="82"/>
      <c r="S2171" s="82"/>
      <c r="T2171" s="82"/>
      <c r="U2171" s="82"/>
      <c r="V2171" s="82"/>
      <c r="W2171" s="82"/>
      <c r="X2171" s="82"/>
      <c r="Y2171" s="82"/>
      <c r="Z2171" s="82"/>
      <c r="AA2171" s="82"/>
      <c r="AB2171" s="82"/>
      <c r="AC2171" s="82"/>
      <c r="AD2171" s="82"/>
      <c r="AE2171" s="82"/>
      <c r="AF2171" s="82"/>
      <c r="AG2171" s="82"/>
      <c r="AH2171" s="82"/>
      <c r="AI2171" s="82"/>
      <c r="AJ2171" s="82"/>
      <c r="AK2171" s="82"/>
      <c r="AL2171" s="82"/>
      <c r="AM2171" s="82"/>
      <c r="AN2171" s="82"/>
      <c r="AO2171" s="82"/>
      <c r="AP2171" s="82"/>
      <c r="AQ2171" s="82"/>
      <c r="AR2171" s="82"/>
      <c r="AS2171" s="82"/>
      <c r="AT2171" s="82"/>
      <c r="AU2171" s="82"/>
      <c r="AV2171" s="82"/>
      <c r="AW2171" s="82" t="str">
        <f t="shared" si="1"/>
        <v/>
      </c>
      <c r="AX2171" s="83" t="str">
        <f t="array" ref="AX2171">IFERROR(DGET('SBV Import'!A:G,"SBV",{"RSC ID","Tier";B2171,A2171}))</f>
        <v/>
      </c>
      <c r="AY2171" s="82" t="str">
        <f t="shared" si="2"/>
        <v/>
      </c>
      <c r="AZ2171" s="82"/>
      <c r="BA2171" s="84" t="s">
        <v>152</v>
      </c>
      <c r="BB2171" s="84" t="str">
        <f>IFERROR(__xludf.DUMMYFUNCTION("iferror(if(A2171="""",,E2171&gt;=FILTER(Constants!$F$2:$F$10,Constants!$A$2:$A$10=A2171)))"),"")</f>
        <v/>
      </c>
    </row>
    <row r="2172">
      <c r="A2172" s="89"/>
      <c r="B2172" s="87"/>
      <c r="C2172" s="73"/>
      <c r="D2172" s="73"/>
      <c r="E2172" s="82"/>
      <c r="F2172" s="82"/>
      <c r="G2172" s="86"/>
      <c r="H2172" s="86"/>
      <c r="I2172" s="86"/>
      <c r="J2172" s="82"/>
      <c r="K2172" s="82"/>
      <c r="L2172" s="82"/>
      <c r="M2172" s="82"/>
      <c r="N2172" s="82"/>
      <c r="O2172" s="82"/>
      <c r="P2172" s="82"/>
      <c r="Q2172" s="82"/>
      <c r="R2172" s="82"/>
      <c r="S2172" s="82"/>
      <c r="T2172" s="82"/>
      <c r="U2172" s="82"/>
      <c r="V2172" s="82"/>
      <c r="W2172" s="82"/>
      <c r="X2172" s="82"/>
      <c r="Y2172" s="82"/>
      <c r="Z2172" s="82"/>
      <c r="AA2172" s="82"/>
      <c r="AB2172" s="82"/>
      <c r="AC2172" s="82"/>
      <c r="AD2172" s="82"/>
      <c r="AE2172" s="82"/>
      <c r="AF2172" s="82"/>
      <c r="AG2172" s="82"/>
      <c r="AH2172" s="82"/>
      <c r="AI2172" s="82"/>
      <c r="AJ2172" s="82"/>
      <c r="AK2172" s="82"/>
      <c r="AL2172" s="82"/>
      <c r="AM2172" s="82"/>
      <c r="AN2172" s="82"/>
      <c r="AO2172" s="82"/>
      <c r="AP2172" s="82"/>
      <c r="AQ2172" s="82"/>
      <c r="AR2172" s="82"/>
      <c r="AS2172" s="82"/>
      <c r="AT2172" s="82"/>
      <c r="AU2172" s="82"/>
      <c r="AV2172" s="82"/>
      <c r="AW2172" s="82" t="str">
        <f t="shared" si="1"/>
        <v/>
      </c>
      <c r="AX2172" s="83" t="str">
        <f t="array" ref="AX2172">IFERROR(DGET('SBV Import'!A:G,"SBV",{"RSC ID","Tier";B2172,A2172}))</f>
        <v/>
      </c>
      <c r="AY2172" s="82" t="str">
        <f t="shared" si="2"/>
        <v/>
      </c>
      <c r="AZ2172" s="82"/>
      <c r="BA2172" s="84" t="s">
        <v>152</v>
      </c>
      <c r="BB2172" s="84" t="str">
        <f>IFERROR(__xludf.DUMMYFUNCTION("iferror(if(A2172="""",,E2172&gt;=FILTER(Constants!$F$2:$F$10,Constants!$A$2:$A$10=A2172)))"),"")</f>
        <v/>
      </c>
    </row>
    <row r="2173">
      <c r="A2173" s="89"/>
      <c r="B2173" s="87"/>
      <c r="C2173" s="73"/>
      <c r="D2173" s="73"/>
      <c r="E2173" s="82"/>
      <c r="F2173" s="82"/>
      <c r="G2173" s="86"/>
      <c r="H2173" s="86"/>
      <c r="I2173" s="86"/>
      <c r="J2173" s="82"/>
      <c r="K2173" s="82"/>
      <c r="L2173" s="82"/>
      <c r="M2173" s="82"/>
      <c r="N2173" s="82"/>
      <c r="O2173" s="82"/>
      <c r="P2173" s="82"/>
      <c r="Q2173" s="82"/>
      <c r="R2173" s="82"/>
      <c r="S2173" s="82"/>
      <c r="T2173" s="82"/>
      <c r="U2173" s="82"/>
      <c r="V2173" s="82"/>
      <c r="W2173" s="82"/>
      <c r="X2173" s="82"/>
      <c r="Y2173" s="82"/>
      <c r="Z2173" s="82"/>
      <c r="AA2173" s="82"/>
      <c r="AB2173" s="82"/>
      <c r="AC2173" s="82"/>
      <c r="AD2173" s="82"/>
      <c r="AE2173" s="82"/>
      <c r="AF2173" s="82"/>
      <c r="AG2173" s="82"/>
      <c r="AH2173" s="82"/>
      <c r="AI2173" s="82"/>
      <c r="AJ2173" s="82"/>
      <c r="AK2173" s="82"/>
      <c r="AL2173" s="82"/>
      <c r="AM2173" s="82"/>
      <c r="AN2173" s="82"/>
      <c r="AO2173" s="82"/>
      <c r="AP2173" s="82"/>
      <c r="AQ2173" s="82"/>
      <c r="AR2173" s="82"/>
      <c r="AS2173" s="82"/>
      <c r="AT2173" s="82"/>
      <c r="AU2173" s="82"/>
      <c r="AV2173" s="82"/>
      <c r="AW2173" s="82" t="str">
        <f t="shared" si="1"/>
        <v/>
      </c>
      <c r="AX2173" s="83" t="str">
        <f t="array" ref="AX2173">IFERROR(DGET('SBV Import'!A:G,"SBV",{"RSC ID","Tier";B2173,A2173}))</f>
        <v/>
      </c>
      <c r="AY2173" s="82" t="str">
        <f t="shared" si="2"/>
        <v/>
      </c>
      <c r="AZ2173" s="82"/>
      <c r="BA2173" s="84" t="s">
        <v>152</v>
      </c>
      <c r="BB2173" s="84" t="str">
        <f>IFERROR(__xludf.DUMMYFUNCTION("iferror(if(A2173="""",,E2173&gt;=FILTER(Constants!$F$2:$F$10,Constants!$A$2:$A$10=A2173)))"),"")</f>
        <v/>
      </c>
    </row>
    <row r="2174">
      <c r="A2174" s="89"/>
      <c r="B2174" s="87"/>
      <c r="C2174" s="73"/>
      <c r="D2174" s="73"/>
      <c r="E2174" s="82"/>
      <c r="F2174" s="82"/>
      <c r="G2174" s="86"/>
      <c r="H2174" s="86"/>
      <c r="I2174" s="86"/>
      <c r="J2174" s="82"/>
      <c r="K2174" s="82"/>
      <c r="L2174" s="82"/>
      <c r="M2174" s="82"/>
      <c r="N2174" s="82"/>
      <c r="O2174" s="82"/>
      <c r="P2174" s="82"/>
      <c r="Q2174" s="82"/>
      <c r="R2174" s="82"/>
      <c r="S2174" s="82"/>
      <c r="T2174" s="82"/>
      <c r="U2174" s="82"/>
      <c r="V2174" s="82"/>
      <c r="W2174" s="82"/>
      <c r="X2174" s="82"/>
      <c r="Y2174" s="82"/>
      <c r="Z2174" s="82"/>
      <c r="AA2174" s="82"/>
      <c r="AB2174" s="82"/>
      <c r="AC2174" s="82"/>
      <c r="AD2174" s="82"/>
      <c r="AE2174" s="82"/>
      <c r="AF2174" s="82"/>
      <c r="AG2174" s="82"/>
      <c r="AH2174" s="82"/>
      <c r="AI2174" s="82"/>
      <c r="AJ2174" s="82"/>
      <c r="AK2174" s="82"/>
      <c r="AL2174" s="82"/>
      <c r="AM2174" s="82"/>
      <c r="AN2174" s="82"/>
      <c r="AO2174" s="82"/>
      <c r="AP2174" s="82"/>
      <c r="AQ2174" s="82"/>
      <c r="AR2174" s="82"/>
      <c r="AS2174" s="82"/>
      <c r="AT2174" s="82"/>
      <c r="AU2174" s="82"/>
      <c r="AV2174" s="82"/>
      <c r="AW2174" s="82" t="str">
        <f t="shared" si="1"/>
        <v/>
      </c>
      <c r="AX2174" s="83" t="str">
        <f t="array" ref="AX2174">IFERROR(DGET('SBV Import'!A:G,"SBV",{"RSC ID","Tier";B2174,A2174}))</f>
        <v/>
      </c>
      <c r="AY2174" s="82" t="str">
        <f t="shared" si="2"/>
        <v/>
      </c>
      <c r="AZ2174" s="82"/>
      <c r="BA2174" s="84" t="s">
        <v>152</v>
      </c>
      <c r="BB2174" s="84" t="str">
        <f>IFERROR(__xludf.DUMMYFUNCTION("iferror(if(A2174="""",,E2174&gt;=FILTER(Constants!$F$2:$F$10,Constants!$A$2:$A$10=A2174)))"),"")</f>
        <v/>
      </c>
    </row>
    <row r="2175">
      <c r="A2175" s="89"/>
      <c r="B2175" s="87"/>
      <c r="C2175" s="73"/>
      <c r="D2175" s="73"/>
      <c r="E2175" s="82"/>
      <c r="F2175" s="82"/>
      <c r="G2175" s="86"/>
      <c r="H2175" s="86"/>
      <c r="I2175" s="86"/>
      <c r="J2175" s="82"/>
      <c r="K2175" s="82"/>
      <c r="L2175" s="82"/>
      <c r="M2175" s="82"/>
      <c r="N2175" s="82"/>
      <c r="O2175" s="82"/>
      <c r="P2175" s="82"/>
      <c r="Q2175" s="82"/>
      <c r="R2175" s="82"/>
      <c r="S2175" s="82"/>
      <c r="T2175" s="82"/>
      <c r="U2175" s="82"/>
      <c r="V2175" s="82"/>
      <c r="W2175" s="82"/>
      <c r="X2175" s="82"/>
      <c r="Y2175" s="82"/>
      <c r="Z2175" s="82"/>
      <c r="AA2175" s="82"/>
      <c r="AB2175" s="82"/>
      <c r="AC2175" s="82"/>
      <c r="AD2175" s="82"/>
      <c r="AE2175" s="82"/>
      <c r="AF2175" s="82"/>
      <c r="AG2175" s="82"/>
      <c r="AH2175" s="82"/>
      <c r="AI2175" s="82"/>
      <c r="AJ2175" s="82"/>
      <c r="AK2175" s="82"/>
      <c r="AL2175" s="82"/>
      <c r="AM2175" s="82"/>
      <c r="AN2175" s="82"/>
      <c r="AO2175" s="82"/>
      <c r="AP2175" s="82"/>
      <c r="AQ2175" s="82"/>
      <c r="AR2175" s="82"/>
      <c r="AS2175" s="82"/>
      <c r="AT2175" s="82"/>
      <c r="AU2175" s="82"/>
      <c r="AV2175" s="82"/>
      <c r="AW2175" s="82" t="str">
        <f t="shared" si="1"/>
        <v/>
      </c>
      <c r="AX2175" s="83" t="str">
        <f t="array" ref="AX2175">IFERROR(DGET('SBV Import'!A:G,"SBV",{"RSC ID","Tier";B2175,A2175}))</f>
        <v/>
      </c>
      <c r="AY2175" s="82" t="str">
        <f t="shared" si="2"/>
        <v/>
      </c>
      <c r="AZ2175" s="82"/>
      <c r="BA2175" s="84" t="s">
        <v>152</v>
      </c>
      <c r="BB2175" s="84" t="str">
        <f>IFERROR(__xludf.DUMMYFUNCTION("iferror(if(A2175="""",,E2175&gt;=FILTER(Constants!$F$2:$F$10,Constants!$A$2:$A$10=A2175)))"),"")</f>
        <v/>
      </c>
    </row>
    <row r="2176">
      <c r="A2176" s="89"/>
      <c r="B2176" s="87"/>
      <c r="C2176" s="73"/>
      <c r="D2176" s="73"/>
      <c r="E2176" s="82"/>
      <c r="F2176" s="82"/>
      <c r="G2176" s="86"/>
      <c r="H2176" s="86"/>
      <c r="I2176" s="86"/>
      <c r="J2176" s="82"/>
      <c r="K2176" s="82"/>
      <c r="L2176" s="82"/>
      <c r="M2176" s="82"/>
      <c r="N2176" s="82"/>
      <c r="O2176" s="82"/>
      <c r="P2176" s="82"/>
      <c r="Q2176" s="82"/>
      <c r="R2176" s="82"/>
      <c r="S2176" s="82"/>
      <c r="T2176" s="82"/>
      <c r="U2176" s="82"/>
      <c r="V2176" s="82"/>
      <c r="W2176" s="82"/>
      <c r="X2176" s="82"/>
      <c r="Y2176" s="82"/>
      <c r="Z2176" s="82"/>
      <c r="AA2176" s="82"/>
      <c r="AB2176" s="82"/>
      <c r="AC2176" s="82"/>
      <c r="AD2176" s="82"/>
      <c r="AE2176" s="82"/>
      <c r="AF2176" s="82"/>
      <c r="AG2176" s="82"/>
      <c r="AH2176" s="82"/>
      <c r="AI2176" s="82"/>
      <c r="AJ2176" s="82"/>
      <c r="AK2176" s="82"/>
      <c r="AL2176" s="82"/>
      <c r="AM2176" s="82"/>
      <c r="AN2176" s="82"/>
      <c r="AO2176" s="82"/>
      <c r="AP2176" s="82"/>
      <c r="AQ2176" s="82"/>
      <c r="AR2176" s="82"/>
      <c r="AS2176" s="82"/>
      <c r="AT2176" s="82"/>
      <c r="AU2176" s="82"/>
      <c r="AV2176" s="82"/>
      <c r="AW2176" s="82" t="str">
        <f t="shared" si="1"/>
        <v/>
      </c>
      <c r="AX2176" s="83" t="str">
        <f t="array" ref="AX2176">IFERROR(DGET('SBV Import'!A:G,"SBV",{"RSC ID","Tier";B2176,A2176}))</f>
        <v/>
      </c>
      <c r="AY2176" s="82" t="str">
        <f t="shared" si="2"/>
        <v/>
      </c>
      <c r="AZ2176" s="82"/>
      <c r="BA2176" s="84" t="s">
        <v>152</v>
      </c>
      <c r="BB2176" s="84" t="str">
        <f>IFERROR(__xludf.DUMMYFUNCTION("iferror(if(A2176="""",,E2176&gt;=FILTER(Constants!$F$2:$F$10,Constants!$A$2:$A$10=A2176)))"),"")</f>
        <v/>
      </c>
    </row>
    <row r="2177">
      <c r="A2177" s="89"/>
      <c r="B2177" s="87"/>
      <c r="C2177" s="73"/>
      <c r="D2177" s="73"/>
      <c r="E2177" s="82"/>
      <c r="F2177" s="82"/>
      <c r="G2177" s="86"/>
      <c r="H2177" s="86"/>
      <c r="I2177" s="86"/>
      <c r="J2177" s="82"/>
      <c r="K2177" s="82"/>
      <c r="L2177" s="82"/>
      <c r="M2177" s="82"/>
      <c r="N2177" s="82"/>
      <c r="O2177" s="82"/>
      <c r="P2177" s="82"/>
      <c r="Q2177" s="82"/>
      <c r="R2177" s="82"/>
      <c r="S2177" s="82"/>
      <c r="T2177" s="82"/>
      <c r="U2177" s="82"/>
      <c r="V2177" s="82"/>
      <c r="W2177" s="82"/>
      <c r="X2177" s="82"/>
      <c r="Y2177" s="82"/>
      <c r="Z2177" s="82"/>
      <c r="AA2177" s="82"/>
      <c r="AB2177" s="82"/>
      <c r="AC2177" s="82"/>
      <c r="AD2177" s="82"/>
      <c r="AE2177" s="82"/>
      <c r="AF2177" s="82"/>
      <c r="AG2177" s="82"/>
      <c r="AH2177" s="82"/>
      <c r="AI2177" s="82"/>
      <c r="AJ2177" s="82"/>
      <c r="AK2177" s="82"/>
      <c r="AL2177" s="82"/>
      <c r="AM2177" s="82"/>
      <c r="AN2177" s="82"/>
      <c r="AO2177" s="82"/>
      <c r="AP2177" s="82"/>
      <c r="AQ2177" s="82"/>
      <c r="AR2177" s="82"/>
      <c r="AS2177" s="82"/>
      <c r="AT2177" s="82"/>
      <c r="AU2177" s="82"/>
      <c r="AV2177" s="82"/>
      <c r="AW2177" s="82" t="str">
        <f t="shared" si="1"/>
        <v/>
      </c>
      <c r="AX2177" s="83" t="str">
        <f t="array" ref="AX2177">IFERROR(DGET('SBV Import'!A:G,"SBV",{"RSC ID","Tier";B2177,A2177}))</f>
        <v/>
      </c>
      <c r="AY2177" s="82" t="str">
        <f t="shared" si="2"/>
        <v/>
      </c>
      <c r="AZ2177" s="82"/>
      <c r="BA2177" s="84" t="s">
        <v>152</v>
      </c>
      <c r="BB2177" s="84" t="str">
        <f>IFERROR(__xludf.DUMMYFUNCTION("iferror(if(A2177="""",,E2177&gt;=FILTER(Constants!$F$2:$F$10,Constants!$A$2:$A$10=A2177)))"),"")</f>
        <v/>
      </c>
    </row>
    <row r="2178">
      <c r="A2178" s="89"/>
      <c r="B2178" s="87"/>
      <c r="C2178" s="73"/>
      <c r="D2178" s="73"/>
      <c r="E2178" s="82"/>
      <c r="F2178" s="82"/>
      <c r="G2178" s="86"/>
      <c r="H2178" s="86"/>
      <c r="I2178" s="86"/>
      <c r="J2178" s="82"/>
      <c r="K2178" s="82"/>
      <c r="L2178" s="82"/>
      <c r="M2178" s="82"/>
      <c r="N2178" s="82"/>
      <c r="O2178" s="82"/>
      <c r="P2178" s="82"/>
      <c r="Q2178" s="82"/>
      <c r="R2178" s="82"/>
      <c r="S2178" s="82"/>
      <c r="T2178" s="82"/>
      <c r="U2178" s="82"/>
      <c r="V2178" s="82"/>
      <c r="W2178" s="82"/>
      <c r="X2178" s="82"/>
      <c r="Y2178" s="82"/>
      <c r="Z2178" s="82"/>
      <c r="AA2178" s="82"/>
      <c r="AB2178" s="82"/>
      <c r="AC2178" s="82"/>
      <c r="AD2178" s="82"/>
      <c r="AE2178" s="82"/>
      <c r="AF2178" s="82"/>
      <c r="AG2178" s="82"/>
      <c r="AH2178" s="82"/>
      <c r="AI2178" s="82"/>
      <c r="AJ2178" s="82"/>
      <c r="AK2178" s="82"/>
      <c r="AL2178" s="82"/>
      <c r="AM2178" s="82"/>
      <c r="AN2178" s="82"/>
      <c r="AO2178" s="82"/>
      <c r="AP2178" s="82"/>
      <c r="AQ2178" s="82"/>
      <c r="AR2178" s="82"/>
      <c r="AS2178" s="82"/>
      <c r="AT2178" s="82"/>
      <c r="AU2178" s="82"/>
      <c r="AV2178" s="82"/>
      <c r="AW2178" s="82" t="str">
        <f t="shared" si="1"/>
        <v/>
      </c>
      <c r="AX2178" s="83" t="str">
        <f t="array" ref="AX2178">IFERROR(DGET('SBV Import'!A:G,"SBV",{"RSC ID","Tier";B2178,A2178}))</f>
        <v/>
      </c>
      <c r="AY2178" s="82" t="str">
        <f t="shared" si="2"/>
        <v/>
      </c>
      <c r="AZ2178" s="82"/>
      <c r="BA2178" s="84" t="s">
        <v>152</v>
      </c>
      <c r="BB2178" s="84" t="str">
        <f>IFERROR(__xludf.DUMMYFUNCTION("iferror(if(A2178="""",,E2178&gt;=FILTER(Constants!$F$2:$F$10,Constants!$A$2:$A$10=A2178)))"),"")</f>
        <v/>
      </c>
    </row>
    <row r="2179">
      <c r="A2179" s="89"/>
      <c r="B2179" s="87"/>
      <c r="C2179" s="73"/>
      <c r="D2179" s="73"/>
      <c r="E2179" s="82"/>
      <c r="F2179" s="82"/>
      <c r="G2179" s="86"/>
      <c r="H2179" s="86"/>
      <c r="I2179" s="86"/>
      <c r="J2179" s="82"/>
      <c r="K2179" s="82"/>
      <c r="L2179" s="82"/>
      <c r="M2179" s="82"/>
      <c r="N2179" s="82"/>
      <c r="O2179" s="82"/>
      <c r="P2179" s="82"/>
      <c r="Q2179" s="82"/>
      <c r="R2179" s="82"/>
      <c r="S2179" s="82"/>
      <c r="T2179" s="82"/>
      <c r="U2179" s="82"/>
      <c r="V2179" s="82"/>
      <c r="W2179" s="82"/>
      <c r="X2179" s="82"/>
      <c r="Y2179" s="82"/>
      <c r="Z2179" s="82"/>
      <c r="AA2179" s="82"/>
      <c r="AB2179" s="82"/>
      <c r="AC2179" s="82"/>
      <c r="AD2179" s="82"/>
      <c r="AE2179" s="82"/>
      <c r="AF2179" s="82"/>
      <c r="AG2179" s="82"/>
      <c r="AH2179" s="82"/>
      <c r="AI2179" s="82"/>
      <c r="AJ2179" s="82"/>
      <c r="AK2179" s="82"/>
      <c r="AL2179" s="82"/>
      <c r="AM2179" s="82"/>
      <c r="AN2179" s="82"/>
      <c r="AO2179" s="82"/>
      <c r="AP2179" s="82"/>
      <c r="AQ2179" s="82"/>
      <c r="AR2179" s="82"/>
      <c r="AS2179" s="82"/>
      <c r="AT2179" s="82"/>
      <c r="AU2179" s="82"/>
      <c r="AV2179" s="82"/>
      <c r="AW2179" s="82" t="str">
        <f t="shared" si="1"/>
        <v/>
      </c>
      <c r="AX2179" s="83" t="str">
        <f t="array" ref="AX2179">IFERROR(DGET('SBV Import'!A:G,"SBV",{"RSC ID","Tier";B2179,A2179}))</f>
        <v/>
      </c>
      <c r="AY2179" s="82" t="str">
        <f t="shared" si="2"/>
        <v/>
      </c>
      <c r="AZ2179" s="82"/>
      <c r="BA2179" s="84" t="s">
        <v>152</v>
      </c>
      <c r="BB2179" s="84" t="str">
        <f>IFERROR(__xludf.DUMMYFUNCTION("iferror(if(A2179="""",,E2179&gt;=FILTER(Constants!$F$2:$F$10,Constants!$A$2:$A$10=A2179)))"),"")</f>
        <v/>
      </c>
    </row>
    <row r="2180">
      <c r="A2180" s="89"/>
      <c r="B2180" s="87"/>
      <c r="C2180" s="73"/>
      <c r="D2180" s="73"/>
      <c r="E2180" s="82"/>
      <c r="F2180" s="82"/>
      <c r="G2180" s="86"/>
      <c r="H2180" s="86"/>
      <c r="I2180" s="86"/>
      <c r="J2180" s="82"/>
      <c r="K2180" s="82"/>
      <c r="L2180" s="82"/>
      <c r="M2180" s="82"/>
      <c r="N2180" s="82"/>
      <c r="O2180" s="82"/>
      <c r="P2180" s="82"/>
      <c r="Q2180" s="82"/>
      <c r="R2180" s="82"/>
      <c r="S2180" s="82"/>
      <c r="T2180" s="82"/>
      <c r="U2180" s="82"/>
      <c r="V2180" s="82"/>
      <c r="W2180" s="82"/>
      <c r="X2180" s="82"/>
      <c r="Y2180" s="82"/>
      <c r="Z2180" s="82"/>
      <c r="AA2180" s="82"/>
      <c r="AB2180" s="82"/>
      <c r="AC2180" s="82"/>
      <c r="AD2180" s="82"/>
      <c r="AE2180" s="82"/>
      <c r="AF2180" s="82"/>
      <c r="AG2180" s="82"/>
      <c r="AH2180" s="82"/>
      <c r="AI2180" s="82"/>
      <c r="AJ2180" s="82"/>
      <c r="AK2180" s="82"/>
      <c r="AL2180" s="82"/>
      <c r="AM2180" s="82"/>
      <c r="AN2180" s="82"/>
      <c r="AO2180" s="82"/>
      <c r="AP2180" s="82"/>
      <c r="AQ2180" s="82"/>
      <c r="AR2180" s="82"/>
      <c r="AS2180" s="82"/>
      <c r="AT2180" s="82"/>
      <c r="AU2180" s="82"/>
      <c r="AV2180" s="82"/>
      <c r="AW2180" s="82" t="str">
        <f t="shared" si="1"/>
        <v/>
      </c>
      <c r="AX2180" s="83" t="str">
        <f t="array" ref="AX2180">IFERROR(DGET('SBV Import'!A:G,"SBV",{"RSC ID","Tier";B2180,A2180}))</f>
        <v/>
      </c>
      <c r="AY2180" s="82" t="str">
        <f t="shared" si="2"/>
        <v/>
      </c>
      <c r="AZ2180" s="82"/>
      <c r="BA2180" s="84" t="s">
        <v>152</v>
      </c>
      <c r="BB2180" s="84" t="str">
        <f>IFERROR(__xludf.DUMMYFUNCTION("iferror(if(A2180="""",,E2180&gt;=FILTER(Constants!$F$2:$F$10,Constants!$A$2:$A$10=A2180)))"),"")</f>
        <v/>
      </c>
    </row>
    <row r="2181">
      <c r="A2181" s="89"/>
      <c r="B2181" s="87"/>
      <c r="C2181" s="73"/>
      <c r="D2181" s="73"/>
      <c r="E2181" s="82"/>
      <c r="F2181" s="82"/>
      <c r="G2181" s="86"/>
      <c r="H2181" s="86"/>
      <c r="I2181" s="86"/>
      <c r="J2181" s="82"/>
      <c r="K2181" s="82"/>
      <c r="L2181" s="82"/>
      <c r="M2181" s="82"/>
      <c r="N2181" s="82"/>
      <c r="O2181" s="82"/>
      <c r="P2181" s="82"/>
      <c r="Q2181" s="82"/>
      <c r="R2181" s="82"/>
      <c r="S2181" s="82"/>
      <c r="T2181" s="82"/>
      <c r="U2181" s="82"/>
      <c r="V2181" s="82"/>
      <c r="W2181" s="82"/>
      <c r="X2181" s="82"/>
      <c r="Y2181" s="82"/>
      <c r="Z2181" s="82"/>
      <c r="AA2181" s="82"/>
      <c r="AB2181" s="82"/>
      <c r="AC2181" s="82"/>
      <c r="AD2181" s="82"/>
      <c r="AE2181" s="82"/>
      <c r="AF2181" s="82"/>
      <c r="AG2181" s="82"/>
      <c r="AH2181" s="82"/>
      <c r="AI2181" s="82"/>
      <c r="AJ2181" s="82"/>
      <c r="AK2181" s="82"/>
      <c r="AL2181" s="82"/>
      <c r="AM2181" s="82"/>
      <c r="AN2181" s="82"/>
      <c r="AO2181" s="82"/>
      <c r="AP2181" s="82"/>
      <c r="AQ2181" s="82"/>
      <c r="AR2181" s="82"/>
      <c r="AS2181" s="82"/>
      <c r="AT2181" s="82"/>
      <c r="AU2181" s="82"/>
      <c r="AV2181" s="82"/>
      <c r="AW2181" s="82" t="str">
        <f t="shared" si="1"/>
        <v/>
      </c>
      <c r="AX2181" s="83" t="str">
        <f t="array" ref="AX2181">IFERROR(DGET('SBV Import'!A:G,"SBV",{"RSC ID","Tier";B2181,A2181}))</f>
        <v/>
      </c>
      <c r="AY2181" s="82" t="str">
        <f t="shared" si="2"/>
        <v/>
      </c>
      <c r="AZ2181" s="82"/>
      <c r="BA2181" s="84" t="s">
        <v>152</v>
      </c>
      <c r="BB2181" s="84" t="str">
        <f>IFERROR(__xludf.DUMMYFUNCTION("iferror(if(A2181="""",,E2181&gt;=FILTER(Constants!$F$2:$F$10,Constants!$A$2:$A$10=A2181)))"),"")</f>
        <v/>
      </c>
    </row>
    <row r="2182">
      <c r="A2182" s="89"/>
      <c r="B2182" s="87"/>
      <c r="C2182" s="73"/>
      <c r="D2182" s="73"/>
      <c r="E2182" s="82"/>
      <c r="F2182" s="82"/>
      <c r="G2182" s="86"/>
      <c r="H2182" s="86"/>
      <c r="I2182" s="86"/>
      <c r="J2182" s="82"/>
      <c r="K2182" s="82"/>
      <c r="L2182" s="82"/>
      <c r="M2182" s="82"/>
      <c r="N2182" s="82"/>
      <c r="O2182" s="82"/>
      <c r="P2182" s="82"/>
      <c r="Q2182" s="82"/>
      <c r="R2182" s="82"/>
      <c r="S2182" s="82"/>
      <c r="T2182" s="82"/>
      <c r="U2182" s="82"/>
      <c r="V2182" s="82"/>
      <c r="W2182" s="82"/>
      <c r="X2182" s="82"/>
      <c r="Y2182" s="82"/>
      <c r="Z2182" s="82"/>
      <c r="AA2182" s="82"/>
      <c r="AB2182" s="82"/>
      <c r="AC2182" s="82"/>
      <c r="AD2182" s="82"/>
      <c r="AE2182" s="82"/>
      <c r="AF2182" s="82"/>
      <c r="AG2182" s="82"/>
      <c r="AH2182" s="82"/>
      <c r="AI2182" s="82"/>
      <c r="AJ2182" s="82"/>
      <c r="AK2182" s="82"/>
      <c r="AL2182" s="82"/>
      <c r="AM2182" s="82"/>
      <c r="AN2182" s="82"/>
      <c r="AO2182" s="82"/>
      <c r="AP2182" s="82"/>
      <c r="AQ2182" s="82"/>
      <c r="AR2182" s="82"/>
      <c r="AS2182" s="82"/>
      <c r="AT2182" s="82"/>
      <c r="AU2182" s="82"/>
      <c r="AV2182" s="82"/>
      <c r="AW2182" s="82" t="str">
        <f t="shared" si="1"/>
        <v/>
      </c>
      <c r="AX2182" s="83" t="str">
        <f t="array" ref="AX2182">IFERROR(DGET('SBV Import'!A:G,"SBV",{"RSC ID","Tier";B2182,A2182}))</f>
        <v/>
      </c>
      <c r="AY2182" s="82" t="str">
        <f t="shared" si="2"/>
        <v/>
      </c>
      <c r="AZ2182" s="82"/>
      <c r="BA2182" s="84" t="s">
        <v>152</v>
      </c>
      <c r="BB2182" s="84" t="str">
        <f>IFERROR(__xludf.DUMMYFUNCTION("iferror(if(A2182="""",,E2182&gt;=FILTER(Constants!$F$2:$F$10,Constants!$A$2:$A$10=A2182)))"),"")</f>
        <v/>
      </c>
    </row>
    <row r="2183">
      <c r="A2183" s="89"/>
      <c r="B2183" s="87"/>
      <c r="C2183" s="73"/>
      <c r="D2183" s="73"/>
      <c r="E2183" s="82"/>
      <c r="F2183" s="82"/>
      <c r="G2183" s="86"/>
      <c r="H2183" s="86"/>
      <c r="I2183" s="86"/>
      <c r="J2183" s="82"/>
      <c r="K2183" s="82"/>
      <c r="L2183" s="82"/>
      <c r="M2183" s="82"/>
      <c r="N2183" s="82"/>
      <c r="O2183" s="82"/>
      <c r="P2183" s="82"/>
      <c r="Q2183" s="82"/>
      <c r="R2183" s="82"/>
      <c r="S2183" s="82"/>
      <c r="T2183" s="82"/>
      <c r="U2183" s="82"/>
      <c r="V2183" s="82"/>
      <c r="W2183" s="82"/>
      <c r="X2183" s="82"/>
      <c r="Y2183" s="82"/>
      <c r="Z2183" s="82"/>
      <c r="AA2183" s="82"/>
      <c r="AB2183" s="82"/>
      <c r="AC2183" s="82"/>
      <c r="AD2183" s="82"/>
      <c r="AE2183" s="82"/>
      <c r="AF2183" s="82"/>
      <c r="AG2183" s="82"/>
      <c r="AH2183" s="82"/>
      <c r="AI2183" s="82"/>
      <c r="AJ2183" s="82"/>
      <c r="AK2183" s="82"/>
      <c r="AL2183" s="82"/>
      <c r="AM2183" s="82"/>
      <c r="AN2183" s="82"/>
      <c r="AO2183" s="82"/>
      <c r="AP2183" s="82"/>
      <c r="AQ2183" s="82"/>
      <c r="AR2183" s="82"/>
      <c r="AS2183" s="82"/>
      <c r="AT2183" s="82"/>
      <c r="AU2183" s="82"/>
      <c r="AV2183" s="82"/>
      <c r="AW2183" s="82" t="str">
        <f t="shared" si="1"/>
        <v/>
      </c>
      <c r="AX2183" s="83" t="str">
        <f t="array" ref="AX2183">IFERROR(DGET('SBV Import'!A:G,"SBV",{"RSC ID","Tier";B2183,A2183}))</f>
        <v/>
      </c>
      <c r="AY2183" s="82" t="str">
        <f t="shared" si="2"/>
        <v/>
      </c>
      <c r="AZ2183" s="82"/>
      <c r="BA2183" s="84" t="s">
        <v>152</v>
      </c>
      <c r="BB2183" s="84" t="str">
        <f>IFERROR(__xludf.DUMMYFUNCTION("iferror(if(A2183="""",,E2183&gt;=FILTER(Constants!$F$2:$F$10,Constants!$A$2:$A$10=A2183)))"),"")</f>
        <v/>
      </c>
    </row>
    <row r="2184">
      <c r="A2184" s="89"/>
      <c r="B2184" s="87"/>
      <c r="C2184" s="73"/>
      <c r="D2184" s="73"/>
      <c r="E2184" s="82"/>
      <c r="F2184" s="82"/>
      <c r="G2184" s="86"/>
      <c r="H2184" s="86"/>
      <c r="I2184" s="86"/>
      <c r="J2184" s="82"/>
      <c r="K2184" s="82"/>
      <c r="L2184" s="82"/>
      <c r="M2184" s="82"/>
      <c r="N2184" s="82"/>
      <c r="O2184" s="82"/>
      <c r="P2184" s="82"/>
      <c r="Q2184" s="82"/>
      <c r="R2184" s="82"/>
      <c r="S2184" s="82"/>
      <c r="T2184" s="82"/>
      <c r="U2184" s="82"/>
      <c r="V2184" s="82"/>
      <c r="W2184" s="82"/>
      <c r="X2184" s="82"/>
      <c r="Y2184" s="82"/>
      <c r="Z2184" s="82"/>
      <c r="AA2184" s="82"/>
      <c r="AB2184" s="82"/>
      <c r="AC2184" s="82"/>
      <c r="AD2184" s="82"/>
      <c r="AE2184" s="82"/>
      <c r="AF2184" s="82"/>
      <c r="AG2184" s="82"/>
      <c r="AH2184" s="82"/>
      <c r="AI2184" s="82"/>
      <c r="AJ2184" s="82"/>
      <c r="AK2184" s="82"/>
      <c r="AL2184" s="82"/>
      <c r="AM2184" s="82"/>
      <c r="AN2184" s="82"/>
      <c r="AO2184" s="82"/>
      <c r="AP2184" s="82"/>
      <c r="AQ2184" s="82"/>
      <c r="AR2184" s="82"/>
      <c r="AS2184" s="82"/>
      <c r="AT2184" s="82"/>
      <c r="AU2184" s="82"/>
      <c r="AV2184" s="82"/>
      <c r="AW2184" s="82" t="str">
        <f t="shared" si="1"/>
        <v/>
      </c>
      <c r="AX2184" s="83" t="str">
        <f t="array" ref="AX2184">IFERROR(DGET('SBV Import'!A:G,"SBV",{"RSC ID","Tier";B2184,A2184}))</f>
        <v/>
      </c>
      <c r="AY2184" s="82" t="str">
        <f t="shared" si="2"/>
        <v/>
      </c>
      <c r="AZ2184" s="82"/>
      <c r="BA2184" s="84" t="s">
        <v>152</v>
      </c>
      <c r="BB2184" s="84" t="str">
        <f>IFERROR(__xludf.DUMMYFUNCTION("iferror(if(A2184="""",,E2184&gt;=FILTER(Constants!$F$2:$F$10,Constants!$A$2:$A$10=A2184)))"),"")</f>
        <v/>
      </c>
    </row>
    <row r="2185">
      <c r="A2185" s="89"/>
      <c r="B2185" s="87"/>
      <c r="C2185" s="73"/>
      <c r="D2185" s="73"/>
      <c r="E2185" s="82"/>
      <c r="F2185" s="82"/>
      <c r="G2185" s="86"/>
      <c r="H2185" s="86"/>
      <c r="I2185" s="86"/>
      <c r="J2185" s="82"/>
      <c r="K2185" s="82"/>
      <c r="L2185" s="82"/>
      <c r="M2185" s="82"/>
      <c r="N2185" s="82"/>
      <c r="O2185" s="82"/>
      <c r="P2185" s="82"/>
      <c r="Q2185" s="82"/>
      <c r="R2185" s="82"/>
      <c r="S2185" s="82"/>
      <c r="T2185" s="82"/>
      <c r="U2185" s="82"/>
      <c r="V2185" s="82"/>
      <c r="W2185" s="82"/>
      <c r="X2185" s="82"/>
      <c r="Y2185" s="82"/>
      <c r="Z2185" s="82"/>
      <c r="AA2185" s="82"/>
      <c r="AB2185" s="82"/>
      <c r="AC2185" s="82"/>
      <c r="AD2185" s="82"/>
      <c r="AE2185" s="82"/>
      <c r="AF2185" s="82"/>
      <c r="AG2185" s="82"/>
      <c r="AH2185" s="82"/>
      <c r="AI2185" s="82"/>
      <c r="AJ2185" s="82"/>
      <c r="AK2185" s="82"/>
      <c r="AL2185" s="82"/>
      <c r="AM2185" s="82"/>
      <c r="AN2185" s="82"/>
      <c r="AO2185" s="82"/>
      <c r="AP2185" s="82"/>
      <c r="AQ2185" s="82"/>
      <c r="AR2185" s="82"/>
      <c r="AS2185" s="82"/>
      <c r="AT2185" s="82"/>
      <c r="AU2185" s="82"/>
      <c r="AV2185" s="82"/>
      <c r="AW2185" s="82" t="str">
        <f t="shared" si="1"/>
        <v/>
      </c>
      <c r="AX2185" s="83" t="str">
        <f t="array" ref="AX2185">IFERROR(DGET('SBV Import'!A:G,"SBV",{"RSC ID","Tier";B2185,A2185}))</f>
        <v/>
      </c>
      <c r="AY2185" s="82" t="str">
        <f t="shared" si="2"/>
        <v/>
      </c>
      <c r="AZ2185" s="82"/>
      <c r="BA2185" s="84" t="s">
        <v>152</v>
      </c>
      <c r="BB2185" s="84" t="str">
        <f>IFERROR(__xludf.DUMMYFUNCTION("iferror(if(A2185="""",,E2185&gt;=FILTER(Constants!$F$2:$F$10,Constants!$A$2:$A$10=A2185)))"),"")</f>
        <v/>
      </c>
    </row>
    <row r="2186">
      <c r="A2186" s="89"/>
      <c r="B2186" s="87"/>
      <c r="C2186" s="73"/>
      <c r="D2186" s="73"/>
      <c r="E2186" s="82"/>
      <c r="F2186" s="82"/>
      <c r="G2186" s="86"/>
      <c r="H2186" s="86"/>
      <c r="I2186" s="86"/>
      <c r="J2186" s="82"/>
      <c r="K2186" s="82"/>
      <c r="L2186" s="82"/>
      <c r="M2186" s="82"/>
      <c r="N2186" s="82"/>
      <c r="O2186" s="82"/>
      <c r="P2186" s="82"/>
      <c r="Q2186" s="82"/>
      <c r="R2186" s="82"/>
      <c r="S2186" s="82"/>
      <c r="T2186" s="82"/>
      <c r="U2186" s="82"/>
      <c r="V2186" s="82"/>
      <c r="W2186" s="82"/>
      <c r="X2186" s="82"/>
      <c r="Y2186" s="82"/>
      <c r="Z2186" s="82"/>
      <c r="AA2186" s="82"/>
      <c r="AB2186" s="82"/>
      <c r="AC2186" s="82"/>
      <c r="AD2186" s="82"/>
      <c r="AE2186" s="82"/>
      <c r="AF2186" s="82"/>
      <c r="AG2186" s="82"/>
      <c r="AH2186" s="82"/>
      <c r="AI2186" s="82"/>
      <c r="AJ2186" s="82"/>
      <c r="AK2186" s="82"/>
      <c r="AL2186" s="82"/>
      <c r="AM2186" s="82"/>
      <c r="AN2186" s="82"/>
      <c r="AO2186" s="82"/>
      <c r="AP2186" s="82"/>
      <c r="AQ2186" s="82"/>
      <c r="AR2186" s="82"/>
      <c r="AS2186" s="82"/>
      <c r="AT2186" s="82"/>
      <c r="AU2186" s="82"/>
      <c r="AV2186" s="82"/>
      <c r="AW2186" s="82" t="str">
        <f t="shared" si="1"/>
        <v/>
      </c>
      <c r="AX2186" s="83" t="str">
        <f t="array" ref="AX2186">IFERROR(DGET('SBV Import'!A:G,"SBV",{"RSC ID","Tier";B2186,A2186}))</f>
        <v/>
      </c>
      <c r="AY2186" s="82" t="str">
        <f t="shared" si="2"/>
        <v/>
      </c>
      <c r="AZ2186" s="82"/>
      <c r="BA2186" s="84" t="s">
        <v>152</v>
      </c>
      <c r="BB2186" s="84" t="str">
        <f>IFERROR(__xludf.DUMMYFUNCTION("iferror(if(A2186="""",,E2186&gt;=FILTER(Constants!$F$2:$F$10,Constants!$A$2:$A$10=A2186)))"),"")</f>
        <v/>
      </c>
    </row>
    <row r="2187">
      <c r="A2187" s="89"/>
      <c r="B2187" s="87"/>
      <c r="C2187" s="73"/>
      <c r="D2187" s="73"/>
      <c r="E2187" s="82"/>
      <c r="F2187" s="82"/>
      <c r="G2187" s="86"/>
      <c r="H2187" s="86"/>
      <c r="I2187" s="86"/>
      <c r="J2187" s="82"/>
      <c r="K2187" s="82"/>
      <c r="L2187" s="82"/>
      <c r="M2187" s="82"/>
      <c r="N2187" s="82"/>
      <c r="O2187" s="82"/>
      <c r="P2187" s="82"/>
      <c r="Q2187" s="82"/>
      <c r="R2187" s="82"/>
      <c r="S2187" s="82"/>
      <c r="T2187" s="82"/>
      <c r="U2187" s="82"/>
      <c r="V2187" s="82"/>
      <c r="W2187" s="82"/>
      <c r="X2187" s="82"/>
      <c r="Y2187" s="82"/>
      <c r="Z2187" s="82"/>
      <c r="AA2187" s="82"/>
      <c r="AB2187" s="82"/>
      <c r="AC2187" s="82"/>
      <c r="AD2187" s="82"/>
      <c r="AE2187" s="82"/>
      <c r="AF2187" s="82"/>
      <c r="AG2187" s="82"/>
      <c r="AH2187" s="82"/>
      <c r="AI2187" s="82"/>
      <c r="AJ2187" s="82"/>
      <c r="AK2187" s="82"/>
      <c r="AL2187" s="82"/>
      <c r="AM2187" s="82"/>
      <c r="AN2187" s="82"/>
      <c r="AO2187" s="82"/>
      <c r="AP2187" s="82"/>
      <c r="AQ2187" s="82"/>
      <c r="AR2187" s="82"/>
      <c r="AS2187" s="82"/>
      <c r="AT2187" s="82"/>
      <c r="AU2187" s="82"/>
      <c r="AV2187" s="82"/>
      <c r="AW2187" s="82" t="str">
        <f t="shared" si="1"/>
        <v/>
      </c>
      <c r="AX2187" s="83" t="str">
        <f t="array" ref="AX2187">IFERROR(DGET('SBV Import'!A:G,"SBV",{"RSC ID","Tier";B2187,A2187}))</f>
        <v/>
      </c>
      <c r="AY2187" s="82" t="str">
        <f t="shared" si="2"/>
        <v/>
      </c>
      <c r="AZ2187" s="82"/>
      <c r="BA2187" s="84" t="s">
        <v>152</v>
      </c>
      <c r="BB2187" s="84" t="str">
        <f>IFERROR(__xludf.DUMMYFUNCTION("iferror(if(A2187="""",,E2187&gt;=FILTER(Constants!$F$2:$F$10,Constants!$A$2:$A$10=A2187)))"),"")</f>
        <v/>
      </c>
    </row>
    <row r="2188">
      <c r="A2188" s="89"/>
      <c r="B2188" s="87"/>
      <c r="C2188" s="73"/>
      <c r="D2188" s="73"/>
      <c r="E2188" s="82"/>
      <c r="F2188" s="82"/>
      <c r="G2188" s="86"/>
      <c r="H2188" s="86"/>
      <c r="I2188" s="86"/>
      <c r="J2188" s="82"/>
      <c r="K2188" s="82"/>
      <c r="L2188" s="82"/>
      <c r="M2188" s="82"/>
      <c r="N2188" s="82"/>
      <c r="O2188" s="82"/>
      <c r="P2188" s="82"/>
      <c r="Q2188" s="82"/>
      <c r="R2188" s="82"/>
      <c r="S2188" s="82"/>
      <c r="T2188" s="82"/>
      <c r="U2188" s="82"/>
      <c r="V2188" s="82"/>
      <c r="W2188" s="82"/>
      <c r="X2188" s="82"/>
      <c r="Y2188" s="82"/>
      <c r="Z2188" s="82"/>
      <c r="AA2188" s="82"/>
      <c r="AB2188" s="82"/>
      <c r="AC2188" s="82"/>
      <c r="AD2188" s="82"/>
      <c r="AE2188" s="82"/>
      <c r="AF2188" s="82"/>
      <c r="AG2188" s="82"/>
      <c r="AH2188" s="82"/>
      <c r="AI2188" s="82"/>
      <c r="AJ2188" s="82"/>
      <c r="AK2188" s="82"/>
      <c r="AL2188" s="82"/>
      <c r="AM2188" s="82"/>
      <c r="AN2188" s="82"/>
      <c r="AO2188" s="82"/>
      <c r="AP2188" s="82"/>
      <c r="AQ2188" s="82"/>
      <c r="AR2188" s="82"/>
      <c r="AS2188" s="82"/>
      <c r="AT2188" s="82"/>
      <c r="AU2188" s="82"/>
      <c r="AV2188" s="82"/>
      <c r="AW2188" s="82" t="str">
        <f t="shared" si="1"/>
        <v/>
      </c>
      <c r="AX2188" s="83" t="str">
        <f t="array" ref="AX2188">IFERROR(DGET('SBV Import'!A:G,"SBV",{"RSC ID","Tier";B2188,A2188}))</f>
        <v/>
      </c>
      <c r="AY2188" s="82" t="str">
        <f t="shared" si="2"/>
        <v/>
      </c>
      <c r="AZ2188" s="82"/>
      <c r="BA2188" s="84" t="s">
        <v>152</v>
      </c>
      <c r="BB2188" s="84" t="str">
        <f>IFERROR(__xludf.DUMMYFUNCTION("iferror(if(A2188="""",,E2188&gt;=FILTER(Constants!$F$2:$F$10,Constants!$A$2:$A$10=A2188)))"),"")</f>
        <v/>
      </c>
    </row>
    <row r="2189">
      <c r="A2189" s="89"/>
      <c r="B2189" s="87"/>
      <c r="C2189" s="73"/>
      <c r="D2189" s="73"/>
      <c r="E2189" s="82"/>
      <c r="F2189" s="82"/>
      <c r="G2189" s="86"/>
      <c r="H2189" s="86"/>
      <c r="I2189" s="86"/>
      <c r="J2189" s="82"/>
      <c r="K2189" s="82"/>
      <c r="L2189" s="82"/>
      <c r="M2189" s="82"/>
      <c r="N2189" s="82"/>
      <c r="O2189" s="82"/>
      <c r="P2189" s="82"/>
      <c r="Q2189" s="82"/>
      <c r="R2189" s="82"/>
      <c r="S2189" s="82"/>
      <c r="T2189" s="82"/>
      <c r="U2189" s="82"/>
      <c r="V2189" s="82"/>
      <c r="W2189" s="82"/>
      <c r="X2189" s="82"/>
      <c r="Y2189" s="82"/>
      <c r="Z2189" s="82"/>
      <c r="AA2189" s="82"/>
      <c r="AB2189" s="82"/>
      <c r="AC2189" s="82"/>
      <c r="AD2189" s="82"/>
      <c r="AE2189" s="82"/>
      <c r="AF2189" s="82"/>
      <c r="AG2189" s="82"/>
      <c r="AH2189" s="82"/>
      <c r="AI2189" s="82"/>
      <c r="AJ2189" s="82"/>
      <c r="AK2189" s="82"/>
      <c r="AL2189" s="82"/>
      <c r="AM2189" s="82"/>
      <c r="AN2189" s="82"/>
      <c r="AO2189" s="82"/>
      <c r="AP2189" s="82"/>
      <c r="AQ2189" s="82"/>
      <c r="AR2189" s="82"/>
      <c r="AS2189" s="82"/>
      <c r="AT2189" s="82"/>
      <c r="AU2189" s="82"/>
      <c r="AV2189" s="82"/>
      <c r="AW2189" s="82" t="str">
        <f t="shared" si="1"/>
        <v/>
      </c>
      <c r="AX2189" s="83" t="str">
        <f t="array" ref="AX2189">IFERROR(DGET('SBV Import'!A:G,"SBV",{"RSC ID","Tier";B2189,A2189}))</f>
        <v/>
      </c>
      <c r="AY2189" s="82" t="str">
        <f t="shared" si="2"/>
        <v/>
      </c>
      <c r="AZ2189" s="82"/>
      <c r="BA2189" s="84" t="s">
        <v>152</v>
      </c>
      <c r="BB2189" s="84" t="str">
        <f>IFERROR(__xludf.DUMMYFUNCTION("iferror(if(A2189="""",,E2189&gt;=FILTER(Constants!$F$2:$F$10,Constants!$A$2:$A$10=A2189)))"),"")</f>
        <v/>
      </c>
    </row>
    <row r="2190">
      <c r="A2190" s="89"/>
      <c r="B2190" s="87"/>
      <c r="C2190" s="73"/>
      <c r="D2190" s="73"/>
      <c r="E2190" s="82"/>
      <c r="F2190" s="82"/>
      <c r="G2190" s="86"/>
      <c r="H2190" s="86"/>
      <c r="I2190" s="86"/>
      <c r="J2190" s="82"/>
      <c r="K2190" s="82"/>
      <c r="L2190" s="82"/>
      <c r="M2190" s="82"/>
      <c r="N2190" s="82"/>
      <c r="O2190" s="82"/>
      <c r="P2190" s="82"/>
      <c r="Q2190" s="82"/>
      <c r="R2190" s="82"/>
      <c r="S2190" s="82"/>
      <c r="T2190" s="82"/>
      <c r="U2190" s="82"/>
      <c r="V2190" s="82"/>
      <c r="W2190" s="82"/>
      <c r="X2190" s="82"/>
      <c r="Y2190" s="82"/>
      <c r="Z2190" s="82"/>
      <c r="AA2190" s="82"/>
      <c r="AB2190" s="82"/>
      <c r="AC2190" s="82"/>
      <c r="AD2190" s="82"/>
      <c r="AE2190" s="82"/>
      <c r="AF2190" s="82"/>
      <c r="AG2190" s="82"/>
      <c r="AH2190" s="82"/>
      <c r="AI2190" s="82"/>
      <c r="AJ2190" s="82"/>
      <c r="AK2190" s="82"/>
      <c r="AL2190" s="82"/>
      <c r="AM2190" s="82"/>
      <c r="AN2190" s="82"/>
      <c r="AO2190" s="82"/>
      <c r="AP2190" s="82"/>
      <c r="AQ2190" s="82"/>
      <c r="AR2190" s="82"/>
      <c r="AS2190" s="82"/>
      <c r="AT2190" s="82"/>
      <c r="AU2190" s="82"/>
      <c r="AV2190" s="82"/>
      <c r="AW2190" s="82" t="str">
        <f t="shared" si="1"/>
        <v/>
      </c>
      <c r="AX2190" s="83" t="str">
        <f t="array" ref="AX2190">IFERROR(DGET('SBV Import'!A:G,"SBV",{"RSC ID","Tier";B2190,A2190}))</f>
        <v/>
      </c>
      <c r="AY2190" s="82" t="str">
        <f t="shared" si="2"/>
        <v/>
      </c>
      <c r="AZ2190" s="82"/>
      <c r="BA2190" s="84" t="s">
        <v>152</v>
      </c>
      <c r="BB2190" s="84" t="str">
        <f>IFERROR(__xludf.DUMMYFUNCTION("iferror(if(A2190="""",,E2190&gt;=FILTER(Constants!$F$2:$F$10,Constants!$A$2:$A$10=A2190)))"),"")</f>
        <v/>
      </c>
    </row>
    <row r="2191">
      <c r="A2191" s="89"/>
      <c r="B2191" s="87"/>
      <c r="C2191" s="73"/>
      <c r="D2191" s="73"/>
      <c r="E2191" s="82"/>
      <c r="F2191" s="82"/>
      <c r="G2191" s="86"/>
      <c r="H2191" s="86"/>
      <c r="I2191" s="86"/>
      <c r="J2191" s="82"/>
      <c r="K2191" s="82"/>
      <c r="L2191" s="82"/>
      <c r="M2191" s="82"/>
      <c r="N2191" s="82"/>
      <c r="O2191" s="82"/>
      <c r="P2191" s="82"/>
      <c r="Q2191" s="82"/>
      <c r="R2191" s="82"/>
      <c r="S2191" s="82"/>
      <c r="T2191" s="82"/>
      <c r="U2191" s="82"/>
      <c r="V2191" s="82"/>
      <c r="W2191" s="82"/>
      <c r="X2191" s="82"/>
      <c r="Y2191" s="82"/>
      <c r="Z2191" s="82"/>
      <c r="AA2191" s="82"/>
      <c r="AB2191" s="82"/>
      <c r="AC2191" s="82"/>
      <c r="AD2191" s="82"/>
      <c r="AE2191" s="82"/>
      <c r="AF2191" s="82"/>
      <c r="AG2191" s="82"/>
      <c r="AH2191" s="82"/>
      <c r="AI2191" s="82"/>
      <c r="AJ2191" s="82"/>
      <c r="AK2191" s="82"/>
      <c r="AL2191" s="82"/>
      <c r="AM2191" s="82"/>
      <c r="AN2191" s="82"/>
      <c r="AO2191" s="82"/>
      <c r="AP2191" s="82"/>
      <c r="AQ2191" s="82"/>
      <c r="AR2191" s="82"/>
      <c r="AS2191" s="82"/>
      <c r="AT2191" s="82"/>
      <c r="AU2191" s="82"/>
      <c r="AV2191" s="82"/>
      <c r="AW2191" s="82" t="str">
        <f t="shared" si="1"/>
        <v/>
      </c>
      <c r="AX2191" s="83" t="str">
        <f t="array" ref="AX2191">IFERROR(DGET('SBV Import'!A:G,"SBV",{"RSC ID","Tier";B2191,A2191}))</f>
        <v/>
      </c>
      <c r="AY2191" s="82" t="str">
        <f t="shared" si="2"/>
        <v/>
      </c>
      <c r="AZ2191" s="82"/>
      <c r="BA2191" s="84" t="s">
        <v>152</v>
      </c>
      <c r="BB2191" s="84" t="str">
        <f>IFERROR(__xludf.DUMMYFUNCTION("iferror(if(A2191="""",,E2191&gt;=FILTER(Constants!$F$2:$F$10,Constants!$A$2:$A$10=A2191)))"),"")</f>
        <v/>
      </c>
    </row>
    <row r="2192">
      <c r="A2192" s="89"/>
      <c r="B2192" s="87"/>
      <c r="C2192" s="73"/>
      <c r="D2192" s="73"/>
      <c r="E2192" s="82"/>
      <c r="F2192" s="82"/>
      <c r="G2192" s="86"/>
      <c r="H2192" s="86"/>
      <c r="I2192" s="86"/>
      <c r="J2192" s="82"/>
      <c r="K2192" s="82"/>
      <c r="L2192" s="82"/>
      <c r="M2192" s="82"/>
      <c r="N2192" s="82"/>
      <c r="O2192" s="82"/>
      <c r="P2192" s="82"/>
      <c r="Q2192" s="82"/>
      <c r="R2192" s="82"/>
      <c r="S2192" s="82"/>
      <c r="T2192" s="82"/>
      <c r="U2192" s="82"/>
      <c r="V2192" s="82"/>
      <c r="W2192" s="82"/>
      <c r="X2192" s="82"/>
      <c r="Y2192" s="82"/>
      <c r="Z2192" s="82"/>
      <c r="AA2192" s="82"/>
      <c r="AB2192" s="82"/>
      <c r="AC2192" s="82"/>
      <c r="AD2192" s="82"/>
      <c r="AE2192" s="82"/>
      <c r="AF2192" s="82"/>
      <c r="AG2192" s="82"/>
      <c r="AH2192" s="82"/>
      <c r="AI2192" s="82"/>
      <c r="AJ2192" s="82"/>
      <c r="AK2192" s="82"/>
      <c r="AL2192" s="82"/>
      <c r="AM2192" s="82"/>
      <c r="AN2192" s="82"/>
      <c r="AO2192" s="82"/>
      <c r="AP2192" s="82"/>
      <c r="AQ2192" s="82"/>
      <c r="AR2192" s="82"/>
      <c r="AS2192" s="82"/>
      <c r="AT2192" s="82"/>
      <c r="AU2192" s="82"/>
      <c r="AV2192" s="82"/>
      <c r="AW2192" s="82" t="str">
        <f t="shared" si="1"/>
        <v/>
      </c>
      <c r="AX2192" s="83" t="str">
        <f t="array" ref="AX2192">IFERROR(DGET('SBV Import'!A:G,"SBV",{"RSC ID","Tier";B2192,A2192}))</f>
        <v/>
      </c>
      <c r="AY2192" s="82" t="str">
        <f t="shared" si="2"/>
        <v/>
      </c>
      <c r="AZ2192" s="82"/>
      <c r="BA2192" s="84" t="s">
        <v>152</v>
      </c>
      <c r="BB2192" s="84" t="str">
        <f>IFERROR(__xludf.DUMMYFUNCTION("iferror(if(A2192="""",,E2192&gt;=FILTER(Constants!$F$2:$F$10,Constants!$A$2:$A$10=A2192)))"),"")</f>
        <v/>
      </c>
    </row>
    <row r="2193">
      <c r="A2193" s="89"/>
      <c r="B2193" s="87"/>
      <c r="C2193" s="73"/>
      <c r="D2193" s="73"/>
      <c r="E2193" s="82"/>
      <c r="F2193" s="82"/>
      <c r="G2193" s="86"/>
      <c r="H2193" s="86"/>
      <c r="I2193" s="86"/>
      <c r="J2193" s="82"/>
      <c r="K2193" s="82"/>
      <c r="L2193" s="82"/>
      <c r="M2193" s="82"/>
      <c r="N2193" s="82"/>
      <c r="O2193" s="82"/>
      <c r="P2193" s="82"/>
      <c r="Q2193" s="82"/>
      <c r="R2193" s="82"/>
      <c r="S2193" s="82"/>
      <c r="T2193" s="82"/>
      <c r="U2193" s="82"/>
      <c r="V2193" s="82"/>
      <c r="W2193" s="82"/>
      <c r="X2193" s="82"/>
      <c r="Y2193" s="82"/>
      <c r="Z2193" s="82"/>
      <c r="AA2193" s="82"/>
      <c r="AB2193" s="82"/>
      <c r="AC2193" s="82"/>
      <c r="AD2193" s="82"/>
      <c r="AE2193" s="82"/>
      <c r="AF2193" s="82"/>
      <c r="AG2193" s="82"/>
      <c r="AH2193" s="82"/>
      <c r="AI2193" s="82"/>
      <c r="AJ2193" s="82"/>
      <c r="AK2193" s="82"/>
      <c r="AL2193" s="82"/>
      <c r="AM2193" s="82"/>
      <c r="AN2193" s="82"/>
      <c r="AO2193" s="82"/>
      <c r="AP2193" s="82"/>
      <c r="AQ2193" s="82"/>
      <c r="AR2193" s="82"/>
      <c r="AS2193" s="82"/>
      <c r="AT2193" s="82"/>
      <c r="AU2193" s="82"/>
      <c r="AV2193" s="82"/>
      <c r="AW2193" s="82" t="str">
        <f t="shared" si="1"/>
        <v/>
      </c>
      <c r="AX2193" s="83" t="str">
        <f t="array" ref="AX2193">IFERROR(DGET('SBV Import'!A:G,"SBV",{"RSC ID","Tier";B2193,A2193}))</f>
        <v/>
      </c>
      <c r="AY2193" s="82" t="str">
        <f t="shared" si="2"/>
        <v/>
      </c>
      <c r="AZ2193" s="82"/>
      <c r="BA2193" s="84" t="s">
        <v>152</v>
      </c>
      <c r="BB2193" s="84" t="str">
        <f>IFERROR(__xludf.DUMMYFUNCTION("iferror(if(A2193="""",,E2193&gt;=FILTER(Constants!$F$2:$F$10,Constants!$A$2:$A$10=A2193)))"),"")</f>
        <v/>
      </c>
    </row>
    <row r="2194">
      <c r="A2194" s="89"/>
      <c r="B2194" s="87"/>
      <c r="C2194" s="73"/>
      <c r="D2194" s="73"/>
      <c r="E2194" s="82"/>
      <c r="F2194" s="82"/>
      <c r="G2194" s="86"/>
      <c r="H2194" s="86"/>
      <c r="I2194" s="86"/>
      <c r="J2194" s="82"/>
      <c r="K2194" s="82"/>
      <c r="L2194" s="82"/>
      <c r="M2194" s="82"/>
      <c r="N2194" s="82"/>
      <c r="O2194" s="82"/>
      <c r="P2194" s="82"/>
      <c r="Q2194" s="82"/>
      <c r="R2194" s="82"/>
      <c r="S2194" s="82"/>
      <c r="T2194" s="82"/>
      <c r="U2194" s="82"/>
      <c r="V2194" s="82"/>
      <c r="W2194" s="82"/>
      <c r="X2194" s="82"/>
      <c r="Y2194" s="82"/>
      <c r="Z2194" s="82"/>
      <c r="AA2194" s="82"/>
      <c r="AB2194" s="82"/>
      <c r="AC2194" s="82"/>
      <c r="AD2194" s="82"/>
      <c r="AE2194" s="82"/>
      <c r="AF2194" s="82"/>
      <c r="AG2194" s="82"/>
      <c r="AH2194" s="82"/>
      <c r="AI2194" s="82"/>
      <c r="AJ2194" s="82"/>
      <c r="AK2194" s="82"/>
      <c r="AL2194" s="82"/>
      <c r="AM2194" s="82"/>
      <c r="AN2194" s="82"/>
      <c r="AO2194" s="82"/>
      <c r="AP2194" s="82"/>
      <c r="AQ2194" s="82"/>
      <c r="AR2194" s="82"/>
      <c r="AS2194" s="82"/>
      <c r="AT2194" s="82"/>
      <c r="AU2194" s="82"/>
      <c r="AV2194" s="82"/>
      <c r="AW2194" s="82" t="str">
        <f t="shared" si="1"/>
        <v/>
      </c>
      <c r="AX2194" s="83" t="str">
        <f t="array" ref="AX2194">IFERROR(DGET('SBV Import'!A:G,"SBV",{"RSC ID","Tier";B2194,A2194}))</f>
        <v/>
      </c>
      <c r="AY2194" s="82" t="str">
        <f t="shared" si="2"/>
        <v/>
      </c>
      <c r="AZ2194" s="82"/>
      <c r="BA2194" s="84" t="s">
        <v>152</v>
      </c>
      <c r="BB2194" s="84" t="str">
        <f>IFERROR(__xludf.DUMMYFUNCTION("iferror(if(A2194="""",,E2194&gt;=FILTER(Constants!$F$2:$F$10,Constants!$A$2:$A$10=A2194)))"),"")</f>
        <v/>
      </c>
    </row>
    <row r="2195">
      <c r="A2195" s="89"/>
      <c r="B2195" s="87"/>
      <c r="C2195" s="73"/>
      <c r="D2195" s="73"/>
      <c r="E2195" s="82"/>
      <c r="F2195" s="82"/>
      <c r="G2195" s="86"/>
      <c r="H2195" s="86"/>
      <c r="I2195" s="86"/>
      <c r="J2195" s="82"/>
      <c r="K2195" s="82"/>
      <c r="L2195" s="82"/>
      <c r="M2195" s="82"/>
      <c r="N2195" s="82"/>
      <c r="O2195" s="82"/>
      <c r="P2195" s="82"/>
      <c r="Q2195" s="82"/>
      <c r="R2195" s="82"/>
      <c r="S2195" s="82"/>
      <c r="T2195" s="82"/>
      <c r="U2195" s="82"/>
      <c r="V2195" s="82"/>
      <c r="W2195" s="82"/>
      <c r="X2195" s="82"/>
      <c r="Y2195" s="82"/>
      <c r="Z2195" s="82"/>
      <c r="AA2195" s="82"/>
      <c r="AB2195" s="82"/>
      <c r="AC2195" s="82"/>
      <c r="AD2195" s="82"/>
      <c r="AE2195" s="82"/>
      <c r="AF2195" s="82"/>
      <c r="AG2195" s="82"/>
      <c r="AH2195" s="82"/>
      <c r="AI2195" s="82"/>
      <c r="AJ2195" s="82"/>
      <c r="AK2195" s="82"/>
      <c r="AL2195" s="82"/>
      <c r="AM2195" s="82"/>
      <c r="AN2195" s="82"/>
      <c r="AO2195" s="82"/>
      <c r="AP2195" s="82"/>
      <c r="AQ2195" s="82"/>
      <c r="AR2195" s="82"/>
      <c r="AS2195" s="82"/>
      <c r="AT2195" s="82"/>
      <c r="AU2195" s="82"/>
      <c r="AV2195" s="82"/>
      <c r="AW2195" s="82" t="str">
        <f t="shared" si="1"/>
        <v/>
      </c>
      <c r="AX2195" s="83" t="str">
        <f t="array" ref="AX2195">IFERROR(DGET('SBV Import'!A:G,"SBV",{"RSC ID","Tier";B2195,A2195}))</f>
        <v/>
      </c>
      <c r="AY2195" s="82" t="str">
        <f t="shared" si="2"/>
        <v/>
      </c>
      <c r="AZ2195" s="82"/>
      <c r="BA2195" s="84" t="s">
        <v>152</v>
      </c>
      <c r="BB2195" s="84" t="str">
        <f>IFERROR(__xludf.DUMMYFUNCTION("iferror(if(A2195="""",,E2195&gt;=FILTER(Constants!$F$2:$F$10,Constants!$A$2:$A$10=A2195)))"),"")</f>
        <v/>
      </c>
    </row>
    <row r="2196">
      <c r="A2196" s="89"/>
      <c r="B2196" s="87"/>
      <c r="C2196" s="73"/>
      <c r="D2196" s="73"/>
      <c r="E2196" s="82"/>
      <c r="F2196" s="82"/>
      <c r="G2196" s="86"/>
      <c r="H2196" s="86"/>
      <c r="I2196" s="86"/>
      <c r="J2196" s="82"/>
      <c r="K2196" s="82"/>
      <c r="L2196" s="82"/>
      <c r="M2196" s="82"/>
      <c r="N2196" s="82"/>
      <c r="O2196" s="82"/>
      <c r="P2196" s="82"/>
      <c r="Q2196" s="82"/>
      <c r="R2196" s="82"/>
      <c r="S2196" s="82"/>
      <c r="T2196" s="82"/>
      <c r="U2196" s="82"/>
      <c r="V2196" s="82"/>
      <c r="W2196" s="82"/>
      <c r="X2196" s="82"/>
      <c r="Y2196" s="82"/>
      <c r="Z2196" s="82"/>
      <c r="AA2196" s="82"/>
      <c r="AB2196" s="82"/>
      <c r="AC2196" s="82"/>
      <c r="AD2196" s="82"/>
      <c r="AE2196" s="82"/>
      <c r="AF2196" s="82"/>
      <c r="AG2196" s="82"/>
      <c r="AH2196" s="82"/>
      <c r="AI2196" s="82"/>
      <c r="AJ2196" s="82"/>
      <c r="AK2196" s="82"/>
      <c r="AL2196" s="82"/>
      <c r="AM2196" s="82"/>
      <c r="AN2196" s="82"/>
      <c r="AO2196" s="82"/>
      <c r="AP2196" s="82"/>
      <c r="AQ2196" s="82"/>
      <c r="AR2196" s="82"/>
      <c r="AS2196" s="82"/>
      <c r="AT2196" s="82"/>
      <c r="AU2196" s="82"/>
      <c r="AV2196" s="82"/>
      <c r="AW2196" s="82" t="str">
        <f t="shared" si="1"/>
        <v/>
      </c>
      <c r="AX2196" s="83" t="str">
        <f t="array" ref="AX2196">IFERROR(DGET('SBV Import'!A:G,"SBV",{"RSC ID","Tier";B2196,A2196}))</f>
        <v/>
      </c>
      <c r="AY2196" s="82" t="str">
        <f t="shared" si="2"/>
        <v/>
      </c>
      <c r="AZ2196" s="82"/>
      <c r="BA2196" s="84" t="s">
        <v>152</v>
      </c>
      <c r="BB2196" s="84" t="str">
        <f>IFERROR(__xludf.DUMMYFUNCTION("iferror(if(A2196="""",,E2196&gt;=FILTER(Constants!$F$2:$F$10,Constants!$A$2:$A$10=A2196)))"),"")</f>
        <v/>
      </c>
    </row>
    <row r="2197">
      <c r="A2197" s="89"/>
      <c r="B2197" s="87"/>
      <c r="C2197" s="73"/>
      <c r="D2197" s="73"/>
      <c r="E2197" s="82"/>
      <c r="F2197" s="82"/>
      <c r="G2197" s="86"/>
      <c r="H2197" s="86"/>
      <c r="I2197" s="86"/>
      <c r="J2197" s="82"/>
      <c r="K2197" s="82"/>
      <c r="L2197" s="82"/>
      <c r="M2197" s="82"/>
      <c r="N2197" s="82"/>
      <c r="O2197" s="82"/>
      <c r="P2197" s="82"/>
      <c r="Q2197" s="82"/>
      <c r="R2197" s="82"/>
      <c r="S2197" s="82"/>
      <c r="T2197" s="82"/>
      <c r="U2197" s="82"/>
      <c r="V2197" s="82"/>
      <c r="W2197" s="82"/>
      <c r="X2197" s="82"/>
      <c r="Y2197" s="82"/>
      <c r="Z2197" s="82"/>
      <c r="AA2197" s="82"/>
      <c r="AB2197" s="82"/>
      <c r="AC2197" s="82"/>
      <c r="AD2197" s="82"/>
      <c r="AE2197" s="82"/>
      <c r="AF2197" s="82"/>
      <c r="AG2197" s="82"/>
      <c r="AH2197" s="82"/>
      <c r="AI2197" s="82"/>
      <c r="AJ2197" s="82"/>
      <c r="AK2197" s="82"/>
      <c r="AL2197" s="82"/>
      <c r="AM2197" s="82"/>
      <c r="AN2197" s="82"/>
      <c r="AO2197" s="82"/>
      <c r="AP2197" s="82"/>
      <c r="AQ2197" s="82"/>
      <c r="AR2197" s="82"/>
      <c r="AS2197" s="82"/>
      <c r="AT2197" s="82"/>
      <c r="AU2197" s="82"/>
      <c r="AV2197" s="82"/>
      <c r="AW2197" s="82" t="str">
        <f t="shared" si="1"/>
        <v/>
      </c>
      <c r="AX2197" s="83" t="str">
        <f t="array" ref="AX2197">IFERROR(DGET('SBV Import'!A:G,"SBV",{"RSC ID","Tier";B2197,A2197}))</f>
        <v/>
      </c>
      <c r="AY2197" s="82" t="str">
        <f t="shared" si="2"/>
        <v/>
      </c>
      <c r="AZ2197" s="82"/>
      <c r="BA2197" s="84" t="s">
        <v>152</v>
      </c>
      <c r="BB2197" s="84" t="str">
        <f>IFERROR(__xludf.DUMMYFUNCTION("iferror(if(A2197="""",,E2197&gt;=FILTER(Constants!$F$2:$F$10,Constants!$A$2:$A$10=A2197)))"),"")</f>
        <v/>
      </c>
    </row>
    <row r="2198">
      <c r="A2198" s="89"/>
      <c r="B2198" s="87"/>
      <c r="C2198" s="73"/>
      <c r="D2198" s="73"/>
      <c r="E2198" s="82"/>
      <c r="F2198" s="82"/>
      <c r="G2198" s="86"/>
      <c r="H2198" s="86"/>
      <c r="I2198" s="86"/>
      <c r="J2198" s="82"/>
      <c r="K2198" s="82"/>
      <c r="L2198" s="82"/>
      <c r="M2198" s="82"/>
      <c r="N2198" s="82"/>
      <c r="O2198" s="82"/>
      <c r="P2198" s="82"/>
      <c r="Q2198" s="82"/>
      <c r="R2198" s="82"/>
      <c r="S2198" s="82"/>
      <c r="T2198" s="82"/>
      <c r="U2198" s="82"/>
      <c r="V2198" s="82"/>
      <c r="W2198" s="82"/>
      <c r="X2198" s="82"/>
      <c r="Y2198" s="82"/>
      <c r="Z2198" s="82"/>
      <c r="AA2198" s="82"/>
      <c r="AB2198" s="82"/>
      <c r="AC2198" s="82"/>
      <c r="AD2198" s="82"/>
      <c r="AE2198" s="82"/>
      <c r="AF2198" s="82"/>
      <c r="AG2198" s="82"/>
      <c r="AH2198" s="82"/>
      <c r="AI2198" s="82"/>
      <c r="AJ2198" s="82"/>
      <c r="AK2198" s="82"/>
      <c r="AL2198" s="82"/>
      <c r="AM2198" s="82"/>
      <c r="AN2198" s="82"/>
      <c r="AO2198" s="82"/>
      <c r="AP2198" s="82"/>
      <c r="AQ2198" s="82"/>
      <c r="AR2198" s="82"/>
      <c r="AS2198" s="82"/>
      <c r="AT2198" s="82"/>
      <c r="AU2198" s="82"/>
      <c r="AV2198" s="82"/>
      <c r="AW2198" s="82" t="str">
        <f t="shared" si="1"/>
        <v/>
      </c>
      <c r="AX2198" s="83" t="str">
        <f t="array" ref="AX2198">IFERROR(DGET('SBV Import'!A:G,"SBV",{"RSC ID","Tier";B2198,A2198}))</f>
        <v/>
      </c>
      <c r="AY2198" s="82" t="str">
        <f t="shared" si="2"/>
        <v/>
      </c>
      <c r="AZ2198" s="82"/>
      <c r="BA2198" s="84" t="s">
        <v>152</v>
      </c>
      <c r="BB2198" s="84" t="str">
        <f>IFERROR(__xludf.DUMMYFUNCTION("iferror(if(A2198="""",,E2198&gt;=FILTER(Constants!$F$2:$F$10,Constants!$A$2:$A$10=A2198)))"),"")</f>
        <v/>
      </c>
    </row>
    <row r="2199">
      <c r="A2199" s="89"/>
      <c r="B2199" s="87"/>
      <c r="C2199" s="73"/>
      <c r="D2199" s="73"/>
      <c r="E2199" s="82"/>
      <c r="F2199" s="82"/>
      <c r="G2199" s="86"/>
      <c r="H2199" s="86"/>
      <c r="I2199" s="86"/>
      <c r="J2199" s="82"/>
      <c r="K2199" s="82"/>
      <c r="L2199" s="82"/>
      <c r="M2199" s="82"/>
      <c r="N2199" s="82"/>
      <c r="O2199" s="82"/>
      <c r="P2199" s="82"/>
      <c r="Q2199" s="82"/>
      <c r="R2199" s="82"/>
      <c r="S2199" s="82"/>
      <c r="T2199" s="82"/>
      <c r="U2199" s="82"/>
      <c r="V2199" s="82"/>
      <c r="W2199" s="82"/>
      <c r="X2199" s="82"/>
      <c r="Y2199" s="82"/>
      <c r="Z2199" s="82"/>
      <c r="AA2199" s="82"/>
      <c r="AB2199" s="82"/>
      <c r="AC2199" s="82"/>
      <c r="AD2199" s="82"/>
      <c r="AE2199" s="82"/>
      <c r="AF2199" s="82"/>
      <c r="AG2199" s="82"/>
      <c r="AH2199" s="82"/>
      <c r="AI2199" s="82"/>
      <c r="AJ2199" s="82"/>
      <c r="AK2199" s="82"/>
      <c r="AL2199" s="82"/>
      <c r="AM2199" s="82"/>
      <c r="AN2199" s="82"/>
      <c r="AO2199" s="82"/>
      <c r="AP2199" s="82"/>
      <c r="AQ2199" s="82"/>
      <c r="AR2199" s="82"/>
      <c r="AS2199" s="82"/>
      <c r="AT2199" s="82"/>
      <c r="AU2199" s="82"/>
      <c r="AV2199" s="82"/>
      <c r="AW2199" s="82" t="str">
        <f t="shared" si="1"/>
        <v/>
      </c>
      <c r="AX2199" s="83" t="str">
        <f t="array" ref="AX2199">IFERROR(DGET('SBV Import'!A:G,"SBV",{"RSC ID","Tier";B2199,A2199}))</f>
        <v/>
      </c>
      <c r="AY2199" s="82" t="str">
        <f t="shared" si="2"/>
        <v/>
      </c>
      <c r="AZ2199" s="82"/>
      <c r="BA2199" s="84" t="s">
        <v>152</v>
      </c>
      <c r="BB2199" s="84" t="str">
        <f>IFERROR(__xludf.DUMMYFUNCTION("iferror(if(A2199="""",,E2199&gt;=FILTER(Constants!$F$2:$F$10,Constants!$A$2:$A$10=A2199)))"),"")</f>
        <v/>
      </c>
    </row>
    <row r="2200">
      <c r="A2200" s="89"/>
      <c r="B2200" s="87"/>
      <c r="C2200" s="73"/>
      <c r="D2200" s="73"/>
      <c r="E2200" s="82"/>
      <c r="F2200" s="82"/>
      <c r="G2200" s="86"/>
      <c r="H2200" s="86"/>
      <c r="I2200" s="86"/>
      <c r="J2200" s="82"/>
      <c r="K2200" s="82"/>
      <c r="L2200" s="82"/>
      <c r="M2200" s="82"/>
      <c r="N2200" s="82"/>
      <c r="O2200" s="82"/>
      <c r="P2200" s="82"/>
      <c r="Q2200" s="82"/>
      <c r="R2200" s="82"/>
      <c r="S2200" s="82"/>
      <c r="T2200" s="82"/>
      <c r="U2200" s="82"/>
      <c r="V2200" s="82"/>
      <c r="W2200" s="82"/>
      <c r="X2200" s="82"/>
      <c r="Y2200" s="82"/>
      <c r="Z2200" s="82"/>
      <c r="AA2200" s="82"/>
      <c r="AB2200" s="82"/>
      <c r="AC2200" s="82"/>
      <c r="AD2200" s="82"/>
      <c r="AE2200" s="82"/>
      <c r="AF2200" s="82"/>
      <c r="AG2200" s="82"/>
      <c r="AH2200" s="82"/>
      <c r="AI2200" s="82"/>
      <c r="AJ2200" s="82"/>
      <c r="AK2200" s="82"/>
      <c r="AL2200" s="82"/>
      <c r="AM2200" s="82"/>
      <c r="AN2200" s="82"/>
      <c r="AO2200" s="82"/>
      <c r="AP2200" s="82"/>
      <c r="AQ2200" s="82"/>
      <c r="AR2200" s="82"/>
      <c r="AS2200" s="82"/>
      <c r="AT2200" s="82"/>
      <c r="AU2200" s="82"/>
      <c r="AV2200" s="82"/>
      <c r="AW2200" s="82" t="str">
        <f t="shared" si="1"/>
        <v/>
      </c>
      <c r="AX2200" s="83" t="str">
        <f t="array" ref="AX2200">IFERROR(DGET('SBV Import'!A:G,"SBV",{"RSC ID","Tier";B2200,A2200}))</f>
        <v/>
      </c>
      <c r="AY2200" s="82" t="str">
        <f t="shared" si="2"/>
        <v/>
      </c>
      <c r="AZ2200" s="82"/>
      <c r="BA2200" s="84" t="s">
        <v>152</v>
      </c>
      <c r="BB2200" s="84" t="str">
        <f>IFERROR(__xludf.DUMMYFUNCTION("iferror(if(A2200="""",,E2200&gt;=FILTER(Constants!$F$2:$F$10,Constants!$A$2:$A$10=A2200)))"),"")</f>
        <v/>
      </c>
    </row>
    <row r="2201">
      <c r="A2201" s="89"/>
      <c r="B2201" s="87"/>
      <c r="C2201" s="73"/>
      <c r="D2201" s="73"/>
      <c r="E2201" s="82"/>
      <c r="F2201" s="82"/>
      <c r="G2201" s="86"/>
      <c r="H2201" s="86"/>
      <c r="I2201" s="86"/>
      <c r="J2201" s="82"/>
      <c r="K2201" s="82"/>
      <c r="L2201" s="82"/>
      <c r="M2201" s="82"/>
      <c r="N2201" s="82"/>
      <c r="O2201" s="82"/>
      <c r="P2201" s="82"/>
      <c r="Q2201" s="82"/>
      <c r="R2201" s="82"/>
      <c r="S2201" s="82"/>
      <c r="T2201" s="82"/>
      <c r="U2201" s="82"/>
      <c r="V2201" s="82"/>
      <c r="W2201" s="82"/>
      <c r="X2201" s="82"/>
      <c r="Y2201" s="82"/>
      <c r="Z2201" s="82"/>
      <c r="AA2201" s="82"/>
      <c r="AB2201" s="82"/>
      <c r="AC2201" s="82"/>
      <c r="AD2201" s="82"/>
      <c r="AE2201" s="82"/>
      <c r="AF2201" s="82"/>
      <c r="AG2201" s="82"/>
      <c r="AH2201" s="82"/>
      <c r="AI2201" s="82"/>
      <c r="AJ2201" s="82"/>
      <c r="AK2201" s="82"/>
      <c r="AL2201" s="82"/>
      <c r="AM2201" s="82"/>
      <c r="AN2201" s="82"/>
      <c r="AO2201" s="82"/>
      <c r="AP2201" s="82"/>
      <c r="AQ2201" s="82"/>
      <c r="AR2201" s="82"/>
      <c r="AS2201" s="82"/>
      <c r="AT2201" s="82"/>
      <c r="AU2201" s="82"/>
      <c r="AV2201" s="82"/>
      <c r="AW2201" s="82" t="str">
        <f t="shared" si="1"/>
        <v/>
      </c>
      <c r="AX2201" s="83" t="str">
        <f t="array" ref="AX2201">IFERROR(DGET('SBV Import'!A:G,"SBV",{"RSC ID","Tier";B2201,A2201}))</f>
        <v/>
      </c>
      <c r="AY2201" s="82" t="str">
        <f t="shared" si="2"/>
        <v/>
      </c>
      <c r="AZ2201" s="82"/>
      <c r="BA2201" s="84" t="s">
        <v>152</v>
      </c>
      <c r="BB2201" s="84" t="str">
        <f>IFERROR(__xludf.DUMMYFUNCTION("iferror(if(A2201="""",,E2201&gt;=FILTER(Constants!$F$2:$F$10,Constants!$A$2:$A$10=A2201)))"),"")</f>
        <v/>
      </c>
    </row>
    <row r="2202">
      <c r="A2202" s="89"/>
      <c r="B2202" s="87"/>
      <c r="C2202" s="73"/>
      <c r="D2202" s="73"/>
      <c r="E2202" s="82"/>
      <c r="F2202" s="82"/>
      <c r="G2202" s="86"/>
      <c r="H2202" s="86"/>
      <c r="I2202" s="86"/>
      <c r="J2202" s="82"/>
      <c r="K2202" s="82"/>
      <c r="L2202" s="82"/>
      <c r="M2202" s="82"/>
      <c r="N2202" s="82"/>
      <c r="O2202" s="82"/>
      <c r="P2202" s="82"/>
      <c r="Q2202" s="82"/>
      <c r="R2202" s="82"/>
      <c r="S2202" s="82"/>
      <c r="T2202" s="82"/>
      <c r="U2202" s="82"/>
      <c r="V2202" s="82"/>
      <c r="W2202" s="82"/>
      <c r="X2202" s="82"/>
      <c r="Y2202" s="82"/>
      <c r="Z2202" s="82"/>
      <c r="AA2202" s="82"/>
      <c r="AB2202" s="82"/>
      <c r="AC2202" s="82"/>
      <c r="AD2202" s="82"/>
      <c r="AE2202" s="82"/>
      <c r="AF2202" s="82"/>
      <c r="AG2202" s="82"/>
      <c r="AH2202" s="82"/>
      <c r="AI2202" s="82"/>
      <c r="AJ2202" s="82"/>
      <c r="AK2202" s="82"/>
      <c r="AL2202" s="82"/>
      <c r="AM2202" s="82"/>
      <c r="AN2202" s="82"/>
      <c r="AO2202" s="82"/>
      <c r="AP2202" s="82"/>
      <c r="AQ2202" s="82"/>
      <c r="AR2202" s="82"/>
      <c r="AS2202" s="82"/>
      <c r="AT2202" s="82"/>
      <c r="AU2202" s="82"/>
      <c r="AV2202" s="82"/>
      <c r="AW2202" s="82" t="str">
        <f t="shared" si="1"/>
        <v/>
      </c>
      <c r="AX2202" s="83" t="str">
        <f t="array" ref="AX2202">IFERROR(DGET('SBV Import'!A:G,"SBV",{"RSC ID","Tier";B2202,A2202}))</f>
        <v/>
      </c>
      <c r="AY2202" s="82" t="str">
        <f t="shared" si="2"/>
        <v/>
      </c>
      <c r="AZ2202" s="82"/>
      <c r="BA2202" s="84" t="s">
        <v>152</v>
      </c>
      <c r="BB2202" s="84" t="str">
        <f>IFERROR(__xludf.DUMMYFUNCTION("iferror(if(A2202="""",,E2202&gt;=FILTER(Constants!$F$2:$F$10,Constants!$A$2:$A$10=A2202)))"),"")</f>
        <v/>
      </c>
    </row>
    <row r="2203">
      <c r="A2203" s="89"/>
      <c r="B2203" s="87"/>
      <c r="C2203" s="73"/>
      <c r="D2203" s="73"/>
      <c r="E2203" s="82"/>
      <c r="F2203" s="82"/>
      <c r="G2203" s="86"/>
      <c r="H2203" s="86"/>
      <c r="I2203" s="86"/>
      <c r="J2203" s="82"/>
      <c r="K2203" s="82"/>
      <c r="L2203" s="82"/>
      <c r="M2203" s="82"/>
      <c r="N2203" s="82"/>
      <c r="O2203" s="82"/>
      <c r="P2203" s="82"/>
      <c r="Q2203" s="82"/>
      <c r="R2203" s="82"/>
      <c r="S2203" s="82"/>
      <c r="T2203" s="82"/>
      <c r="U2203" s="82"/>
      <c r="V2203" s="82"/>
      <c r="W2203" s="82"/>
      <c r="X2203" s="82"/>
      <c r="Y2203" s="82"/>
      <c r="Z2203" s="82"/>
      <c r="AA2203" s="82"/>
      <c r="AB2203" s="82"/>
      <c r="AC2203" s="82"/>
      <c r="AD2203" s="82"/>
      <c r="AE2203" s="82"/>
      <c r="AF2203" s="82"/>
      <c r="AG2203" s="82"/>
      <c r="AH2203" s="82"/>
      <c r="AI2203" s="82"/>
      <c r="AJ2203" s="82"/>
      <c r="AK2203" s="82"/>
      <c r="AL2203" s="82"/>
      <c r="AM2203" s="82"/>
      <c r="AN2203" s="82"/>
      <c r="AO2203" s="82"/>
      <c r="AP2203" s="82"/>
      <c r="AQ2203" s="82"/>
      <c r="AR2203" s="82"/>
      <c r="AS2203" s="82"/>
      <c r="AT2203" s="82"/>
      <c r="AU2203" s="82"/>
      <c r="AV2203" s="82"/>
      <c r="AW2203" s="82" t="str">
        <f t="shared" si="1"/>
        <v/>
      </c>
      <c r="AX2203" s="83" t="str">
        <f t="array" ref="AX2203">IFERROR(DGET('SBV Import'!A:G,"SBV",{"RSC ID","Tier";B2203,A2203}))</f>
        <v/>
      </c>
      <c r="AY2203" s="82" t="str">
        <f t="shared" si="2"/>
        <v/>
      </c>
      <c r="AZ2203" s="82"/>
      <c r="BA2203" s="84" t="s">
        <v>152</v>
      </c>
      <c r="BB2203" s="84" t="str">
        <f>IFERROR(__xludf.DUMMYFUNCTION("iferror(if(A2203="""",,E2203&gt;=FILTER(Constants!$F$2:$F$10,Constants!$A$2:$A$10=A2203)))"),"")</f>
        <v/>
      </c>
    </row>
    <row r="2204">
      <c r="A2204" s="89"/>
      <c r="B2204" s="87"/>
      <c r="C2204" s="73"/>
      <c r="D2204" s="73"/>
      <c r="E2204" s="82"/>
      <c r="F2204" s="82"/>
      <c r="G2204" s="86"/>
      <c r="H2204" s="86"/>
      <c r="I2204" s="86"/>
      <c r="J2204" s="82"/>
      <c r="K2204" s="82"/>
      <c r="L2204" s="82"/>
      <c r="M2204" s="82"/>
      <c r="N2204" s="82"/>
      <c r="O2204" s="82"/>
      <c r="P2204" s="82"/>
      <c r="Q2204" s="82"/>
      <c r="R2204" s="82"/>
      <c r="S2204" s="82"/>
      <c r="T2204" s="82"/>
      <c r="U2204" s="82"/>
      <c r="V2204" s="82"/>
      <c r="W2204" s="82"/>
      <c r="X2204" s="82"/>
      <c r="Y2204" s="82"/>
      <c r="Z2204" s="82"/>
      <c r="AA2204" s="82"/>
      <c r="AB2204" s="82"/>
      <c r="AC2204" s="82"/>
      <c r="AD2204" s="82"/>
      <c r="AE2204" s="82"/>
      <c r="AF2204" s="82"/>
      <c r="AG2204" s="82"/>
      <c r="AH2204" s="82"/>
      <c r="AI2204" s="82"/>
      <c r="AJ2204" s="82"/>
      <c r="AK2204" s="82"/>
      <c r="AL2204" s="82"/>
      <c r="AM2204" s="82"/>
      <c r="AN2204" s="82"/>
      <c r="AO2204" s="82"/>
      <c r="AP2204" s="82"/>
      <c r="AQ2204" s="82"/>
      <c r="AR2204" s="82"/>
      <c r="AS2204" s="82"/>
      <c r="AT2204" s="82"/>
      <c r="AU2204" s="82"/>
      <c r="AV2204" s="82"/>
      <c r="AW2204" s="82" t="str">
        <f t="shared" si="1"/>
        <v/>
      </c>
      <c r="AX2204" s="83" t="str">
        <f t="array" ref="AX2204">IFERROR(DGET('SBV Import'!A:G,"SBV",{"RSC ID","Tier";B2204,A2204}))</f>
        <v/>
      </c>
      <c r="AY2204" s="82" t="str">
        <f t="shared" si="2"/>
        <v/>
      </c>
      <c r="AZ2204" s="82"/>
      <c r="BA2204" s="84" t="s">
        <v>152</v>
      </c>
      <c r="BB2204" s="84" t="str">
        <f>IFERROR(__xludf.DUMMYFUNCTION("iferror(if(A2204="""",,E2204&gt;=FILTER(Constants!$F$2:$F$10,Constants!$A$2:$A$10=A2204)))"),"")</f>
        <v/>
      </c>
    </row>
    <row r="2205">
      <c r="A2205" s="89"/>
      <c r="B2205" s="87"/>
      <c r="C2205" s="73"/>
      <c r="D2205" s="73"/>
      <c r="E2205" s="82"/>
      <c r="F2205" s="82"/>
      <c r="G2205" s="86"/>
      <c r="H2205" s="86"/>
      <c r="I2205" s="86"/>
      <c r="J2205" s="82"/>
      <c r="K2205" s="82"/>
      <c r="L2205" s="82"/>
      <c r="M2205" s="82"/>
      <c r="N2205" s="82"/>
      <c r="O2205" s="82"/>
      <c r="P2205" s="82"/>
      <c r="Q2205" s="82"/>
      <c r="R2205" s="82"/>
      <c r="S2205" s="82"/>
      <c r="T2205" s="82"/>
      <c r="U2205" s="82"/>
      <c r="V2205" s="82"/>
      <c r="W2205" s="82"/>
      <c r="X2205" s="82"/>
      <c r="Y2205" s="82"/>
      <c r="Z2205" s="82"/>
      <c r="AA2205" s="82"/>
      <c r="AB2205" s="82"/>
      <c r="AC2205" s="82"/>
      <c r="AD2205" s="82"/>
      <c r="AE2205" s="82"/>
      <c r="AF2205" s="82"/>
      <c r="AG2205" s="82"/>
      <c r="AH2205" s="82"/>
      <c r="AI2205" s="82"/>
      <c r="AJ2205" s="82"/>
      <c r="AK2205" s="82"/>
      <c r="AL2205" s="82"/>
      <c r="AM2205" s="82"/>
      <c r="AN2205" s="82"/>
      <c r="AO2205" s="82"/>
      <c r="AP2205" s="82"/>
      <c r="AQ2205" s="82"/>
      <c r="AR2205" s="82"/>
      <c r="AS2205" s="82"/>
      <c r="AT2205" s="82"/>
      <c r="AU2205" s="82"/>
      <c r="AV2205" s="82"/>
      <c r="AW2205" s="82" t="str">
        <f t="shared" si="1"/>
        <v/>
      </c>
      <c r="AX2205" s="83" t="str">
        <f t="array" ref="AX2205">IFERROR(DGET('SBV Import'!A:G,"SBV",{"RSC ID","Tier";B2205,A2205}))</f>
        <v/>
      </c>
      <c r="AY2205" s="82" t="str">
        <f t="shared" si="2"/>
        <v/>
      </c>
      <c r="AZ2205" s="82"/>
      <c r="BA2205" s="84" t="s">
        <v>152</v>
      </c>
      <c r="BB2205" s="84" t="str">
        <f>IFERROR(__xludf.DUMMYFUNCTION("iferror(if(A2205="""",,E2205&gt;=FILTER(Constants!$F$2:$F$10,Constants!$A$2:$A$10=A2205)))"),"")</f>
        <v/>
      </c>
    </row>
    <row r="2206">
      <c r="A2206" s="89"/>
      <c r="B2206" s="87"/>
      <c r="C2206" s="73"/>
      <c r="D2206" s="73"/>
      <c r="E2206" s="82"/>
      <c r="F2206" s="82"/>
      <c r="G2206" s="86"/>
      <c r="H2206" s="86"/>
      <c r="I2206" s="86"/>
      <c r="J2206" s="82"/>
      <c r="K2206" s="82"/>
      <c r="L2206" s="82"/>
      <c r="M2206" s="82"/>
      <c r="N2206" s="82"/>
      <c r="O2206" s="82"/>
      <c r="P2206" s="82"/>
      <c r="Q2206" s="82"/>
      <c r="R2206" s="82"/>
      <c r="S2206" s="82"/>
      <c r="T2206" s="82"/>
      <c r="U2206" s="82"/>
      <c r="V2206" s="82"/>
      <c r="W2206" s="82"/>
      <c r="X2206" s="82"/>
      <c r="Y2206" s="82"/>
      <c r="Z2206" s="82"/>
      <c r="AA2206" s="82"/>
      <c r="AB2206" s="82"/>
      <c r="AC2206" s="82"/>
      <c r="AD2206" s="82"/>
      <c r="AE2206" s="82"/>
      <c r="AF2206" s="82"/>
      <c r="AG2206" s="82"/>
      <c r="AH2206" s="82"/>
      <c r="AI2206" s="82"/>
      <c r="AJ2206" s="82"/>
      <c r="AK2206" s="82"/>
      <c r="AL2206" s="82"/>
      <c r="AM2206" s="82"/>
      <c r="AN2206" s="82"/>
      <c r="AO2206" s="82"/>
      <c r="AP2206" s="82"/>
      <c r="AQ2206" s="82"/>
      <c r="AR2206" s="82"/>
      <c r="AS2206" s="82"/>
      <c r="AT2206" s="82"/>
      <c r="AU2206" s="82"/>
      <c r="AV2206" s="82"/>
      <c r="AW2206" s="82" t="str">
        <f t="shared" si="1"/>
        <v/>
      </c>
      <c r="AX2206" s="83" t="str">
        <f t="array" ref="AX2206">IFERROR(DGET('SBV Import'!A:G,"SBV",{"RSC ID","Tier";B2206,A2206}))</f>
        <v/>
      </c>
      <c r="AY2206" s="82" t="str">
        <f t="shared" si="2"/>
        <v/>
      </c>
      <c r="AZ2206" s="82"/>
      <c r="BA2206" s="84" t="s">
        <v>152</v>
      </c>
      <c r="BB2206" s="84" t="str">
        <f>IFERROR(__xludf.DUMMYFUNCTION("iferror(if(A2206="""",,E2206&gt;=FILTER(Constants!$F$2:$F$10,Constants!$A$2:$A$10=A2206)))"),"")</f>
        <v/>
      </c>
    </row>
    <row r="2207">
      <c r="A2207" s="89"/>
      <c r="B2207" s="87"/>
      <c r="C2207" s="73"/>
      <c r="D2207" s="73"/>
      <c r="E2207" s="82"/>
      <c r="F2207" s="82"/>
      <c r="G2207" s="86"/>
      <c r="H2207" s="86"/>
      <c r="I2207" s="86"/>
      <c r="J2207" s="82"/>
      <c r="K2207" s="82"/>
      <c r="L2207" s="82"/>
      <c r="M2207" s="82"/>
      <c r="N2207" s="82"/>
      <c r="O2207" s="82"/>
      <c r="P2207" s="82"/>
      <c r="Q2207" s="82"/>
      <c r="R2207" s="82"/>
      <c r="S2207" s="82"/>
      <c r="T2207" s="82"/>
      <c r="U2207" s="82"/>
      <c r="V2207" s="82"/>
      <c r="W2207" s="82"/>
      <c r="X2207" s="82"/>
      <c r="Y2207" s="82"/>
      <c r="Z2207" s="82"/>
      <c r="AA2207" s="82"/>
      <c r="AB2207" s="82"/>
      <c r="AC2207" s="82"/>
      <c r="AD2207" s="82"/>
      <c r="AE2207" s="82"/>
      <c r="AF2207" s="82"/>
      <c r="AG2207" s="82"/>
      <c r="AH2207" s="82"/>
      <c r="AI2207" s="82"/>
      <c r="AJ2207" s="82"/>
      <c r="AK2207" s="82"/>
      <c r="AL2207" s="82"/>
      <c r="AM2207" s="82"/>
      <c r="AN2207" s="82"/>
      <c r="AO2207" s="82"/>
      <c r="AP2207" s="82"/>
      <c r="AQ2207" s="82"/>
      <c r="AR2207" s="82"/>
      <c r="AS2207" s="82"/>
      <c r="AT2207" s="82"/>
      <c r="AU2207" s="82"/>
      <c r="AV2207" s="82"/>
      <c r="AW2207" s="82" t="str">
        <f t="shared" si="1"/>
        <v/>
      </c>
      <c r="AX2207" s="83" t="str">
        <f t="array" ref="AX2207">IFERROR(DGET('SBV Import'!A:G,"SBV",{"RSC ID","Tier";B2207,A2207}))</f>
        <v/>
      </c>
      <c r="AY2207" s="82" t="str">
        <f t="shared" si="2"/>
        <v/>
      </c>
      <c r="AZ2207" s="82"/>
      <c r="BA2207" s="84" t="s">
        <v>152</v>
      </c>
      <c r="BB2207" s="84" t="str">
        <f>IFERROR(__xludf.DUMMYFUNCTION("iferror(if(A2207="""",,E2207&gt;=FILTER(Constants!$F$2:$F$10,Constants!$A$2:$A$10=A2207)))"),"")</f>
        <v/>
      </c>
    </row>
    <row r="2208">
      <c r="A2208" s="89"/>
      <c r="B2208" s="87"/>
      <c r="C2208" s="73"/>
      <c r="D2208" s="73"/>
      <c r="E2208" s="82"/>
      <c r="F2208" s="82"/>
      <c r="G2208" s="86"/>
      <c r="H2208" s="86"/>
      <c r="I2208" s="86"/>
      <c r="J2208" s="82"/>
      <c r="K2208" s="82"/>
      <c r="L2208" s="82"/>
      <c r="M2208" s="82"/>
      <c r="N2208" s="82"/>
      <c r="O2208" s="82"/>
      <c r="P2208" s="82"/>
      <c r="Q2208" s="82"/>
      <c r="R2208" s="82"/>
      <c r="S2208" s="82"/>
      <c r="T2208" s="82"/>
      <c r="U2208" s="82"/>
      <c r="V2208" s="82"/>
      <c r="W2208" s="82"/>
      <c r="X2208" s="82"/>
      <c r="Y2208" s="82"/>
      <c r="Z2208" s="82"/>
      <c r="AA2208" s="82"/>
      <c r="AB2208" s="82"/>
      <c r="AC2208" s="82"/>
      <c r="AD2208" s="82"/>
      <c r="AE2208" s="82"/>
      <c r="AF2208" s="82"/>
      <c r="AG2208" s="82"/>
      <c r="AH2208" s="82"/>
      <c r="AI2208" s="82"/>
      <c r="AJ2208" s="82"/>
      <c r="AK2208" s="82"/>
      <c r="AL2208" s="82"/>
      <c r="AM2208" s="82"/>
      <c r="AN2208" s="82"/>
      <c r="AO2208" s="82"/>
      <c r="AP2208" s="82"/>
      <c r="AQ2208" s="82"/>
      <c r="AR2208" s="82"/>
      <c r="AS2208" s="82"/>
      <c r="AT2208" s="82"/>
      <c r="AU2208" s="82"/>
      <c r="AV2208" s="82"/>
      <c r="AW2208" s="82" t="str">
        <f t="shared" si="1"/>
        <v/>
      </c>
      <c r="AX2208" s="83" t="str">
        <f t="array" ref="AX2208">IFERROR(DGET('SBV Import'!A:G,"SBV",{"RSC ID","Tier";B2208,A2208}))</f>
        <v/>
      </c>
      <c r="AY2208" s="82" t="str">
        <f t="shared" si="2"/>
        <v/>
      </c>
      <c r="AZ2208" s="82"/>
      <c r="BA2208" s="84" t="s">
        <v>152</v>
      </c>
      <c r="BB2208" s="84" t="str">
        <f>IFERROR(__xludf.DUMMYFUNCTION("iferror(if(A2208="""",,E2208&gt;=FILTER(Constants!$F$2:$F$10,Constants!$A$2:$A$10=A2208)))"),"")</f>
        <v/>
      </c>
    </row>
    <row r="2209">
      <c r="A2209" s="89"/>
      <c r="B2209" s="87"/>
      <c r="C2209" s="73"/>
      <c r="D2209" s="73"/>
      <c r="E2209" s="82"/>
      <c r="F2209" s="82"/>
      <c r="G2209" s="86"/>
      <c r="H2209" s="86"/>
      <c r="I2209" s="86"/>
      <c r="J2209" s="82"/>
      <c r="K2209" s="82"/>
      <c r="L2209" s="82"/>
      <c r="M2209" s="82"/>
      <c r="N2209" s="82"/>
      <c r="O2209" s="82"/>
      <c r="P2209" s="82"/>
      <c r="Q2209" s="82"/>
      <c r="R2209" s="82"/>
      <c r="S2209" s="82"/>
      <c r="T2209" s="82"/>
      <c r="U2209" s="82"/>
      <c r="V2209" s="82"/>
      <c r="W2209" s="82"/>
      <c r="X2209" s="82"/>
      <c r="Y2209" s="82"/>
      <c r="Z2209" s="82"/>
      <c r="AA2209" s="82"/>
      <c r="AB2209" s="82"/>
      <c r="AC2209" s="82"/>
      <c r="AD2209" s="82"/>
      <c r="AE2209" s="82"/>
      <c r="AF2209" s="82"/>
      <c r="AG2209" s="82"/>
      <c r="AH2209" s="82"/>
      <c r="AI2209" s="82"/>
      <c r="AJ2209" s="82"/>
      <c r="AK2209" s="82"/>
      <c r="AL2209" s="82"/>
      <c r="AM2209" s="82"/>
      <c r="AN2209" s="82"/>
      <c r="AO2209" s="82"/>
      <c r="AP2209" s="82"/>
      <c r="AQ2209" s="82"/>
      <c r="AR2209" s="82"/>
      <c r="AS2209" s="82"/>
      <c r="AT2209" s="82"/>
      <c r="AU2209" s="82"/>
      <c r="AV2209" s="82"/>
      <c r="AW2209" s="82" t="str">
        <f t="shared" si="1"/>
        <v/>
      </c>
      <c r="AX2209" s="83" t="str">
        <f t="array" ref="AX2209">IFERROR(DGET('SBV Import'!A:G,"SBV",{"RSC ID","Tier";B2209,A2209}))</f>
        <v/>
      </c>
      <c r="AY2209" s="82" t="str">
        <f t="shared" si="2"/>
        <v/>
      </c>
      <c r="AZ2209" s="82"/>
      <c r="BA2209" s="84" t="s">
        <v>152</v>
      </c>
      <c r="BB2209" s="84" t="str">
        <f>IFERROR(__xludf.DUMMYFUNCTION("iferror(if(A2209="""",,E2209&gt;=FILTER(Constants!$F$2:$F$10,Constants!$A$2:$A$10=A2209)))"),"")</f>
        <v/>
      </c>
    </row>
    <row r="2210">
      <c r="A2210" s="89"/>
      <c r="B2210" s="87"/>
      <c r="C2210" s="73"/>
      <c r="D2210" s="73"/>
      <c r="E2210" s="82"/>
      <c r="F2210" s="82"/>
      <c r="G2210" s="86"/>
      <c r="H2210" s="86"/>
      <c r="I2210" s="86"/>
      <c r="J2210" s="82"/>
      <c r="K2210" s="82"/>
      <c r="L2210" s="82"/>
      <c r="M2210" s="82"/>
      <c r="N2210" s="82"/>
      <c r="O2210" s="82"/>
      <c r="P2210" s="82"/>
      <c r="Q2210" s="82"/>
      <c r="R2210" s="82"/>
      <c r="S2210" s="82"/>
      <c r="T2210" s="82"/>
      <c r="U2210" s="82"/>
      <c r="V2210" s="82"/>
      <c r="W2210" s="82"/>
      <c r="X2210" s="82"/>
      <c r="Y2210" s="82"/>
      <c r="Z2210" s="82"/>
      <c r="AA2210" s="82"/>
      <c r="AB2210" s="82"/>
      <c r="AC2210" s="82"/>
      <c r="AD2210" s="82"/>
      <c r="AE2210" s="82"/>
      <c r="AF2210" s="82"/>
      <c r="AG2210" s="82"/>
      <c r="AH2210" s="82"/>
      <c r="AI2210" s="82"/>
      <c r="AJ2210" s="82"/>
      <c r="AK2210" s="82"/>
      <c r="AL2210" s="82"/>
      <c r="AM2210" s="82"/>
      <c r="AN2210" s="82"/>
      <c r="AO2210" s="82"/>
      <c r="AP2210" s="82"/>
      <c r="AQ2210" s="82"/>
      <c r="AR2210" s="82"/>
      <c r="AS2210" s="82"/>
      <c r="AT2210" s="82"/>
      <c r="AU2210" s="82"/>
      <c r="AV2210" s="82"/>
      <c r="AW2210" s="82" t="str">
        <f t="shared" si="1"/>
        <v/>
      </c>
      <c r="AX2210" s="83" t="str">
        <f t="array" ref="AX2210">IFERROR(DGET('SBV Import'!A:G,"SBV",{"RSC ID","Tier";B2210,A2210}))</f>
        <v/>
      </c>
      <c r="AY2210" s="82" t="str">
        <f t="shared" si="2"/>
        <v/>
      </c>
      <c r="AZ2210" s="82"/>
      <c r="BA2210" s="84" t="s">
        <v>152</v>
      </c>
      <c r="BB2210" s="84" t="str">
        <f>IFERROR(__xludf.DUMMYFUNCTION("iferror(if(A2210="""",,E2210&gt;=FILTER(Constants!$F$2:$F$10,Constants!$A$2:$A$10=A2210)))"),"")</f>
        <v/>
      </c>
    </row>
    <row r="2211">
      <c r="A2211" s="89"/>
      <c r="B2211" s="87"/>
      <c r="C2211" s="73"/>
      <c r="D2211" s="73"/>
      <c r="E2211" s="82"/>
      <c r="F2211" s="82"/>
      <c r="G2211" s="86"/>
      <c r="H2211" s="86"/>
      <c r="I2211" s="86"/>
      <c r="J2211" s="82"/>
      <c r="K2211" s="82"/>
      <c r="L2211" s="82"/>
      <c r="M2211" s="82"/>
      <c r="N2211" s="82"/>
      <c r="O2211" s="82"/>
      <c r="P2211" s="82"/>
      <c r="Q2211" s="82"/>
      <c r="R2211" s="82"/>
      <c r="S2211" s="82"/>
      <c r="T2211" s="82"/>
      <c r="U2211" s="82"/>
      <c r="V2211" s="82"/>
      <c r="W2211" s="82"/>
      <c r="X2211" s="82"/>
      <c r="Y2211" s="82"/>
      <c r="Z2211" s="82"/>
      <c r="AA2211" s="82"/>
      <c r="AB2211" s="82"/>
      <c r="AC2211" s="82"/>
      <c r="AD2211" s="82"/>
      <c r="AE2211" s="82"/>
      <c r="AF2211" s="82"/>
      <c r="AG2211" s="82"/>
      <c r="AH2211" s="82"/>
      <c r="AI2211" s="82"/>
      <c r="AJ2211" s="82"/>
      <c r="AK2211" s="82"/>
      <c r="AL2211" s="82"/>
      <c r="AM2211" s="82"/>
      <c r="AN2211" s="82"/>
      <c r="AO2211" s="82"/>
      <c r="AP2211" s="82"/>
      <c r="AQ2211" s="82"/>
      <c r="AR2211" s="82"/>
      <c r="AS2211" s="82"/>
      <c r="AT2211" s="82"/>
      <c r="AU2211" s="82"/>
      <c r="AV2211" s="82"/>
      <c r="AW2211" s="82" t="str">
        <f t="shared" si="1"/>
        <v/>
      </c>
      <c r="AX2211" s="83" t="str">
        <f t="array" ref="AX2211">IFERROR(DGET('SBV Import'!A:G,"SBV",{"RSC ID","Tier";B2211,A2211}))</f>
        <v/>
      </c>
      <c r="AY2211" s="82" t="str">
        <f t="shared" si="2"/>
        <v/>
      </c>
      <c r="AZ2211" s="82"/>
      <c r="BA2211" s="84" t="s">
        <v>152</v>
      </c>
      <c r="BB2211" s="84" t="str">
        <f>IFERROR(__xludf.DUMMYFUNCTION("iferror(if(A2211="""",,E2211&gt;=FILTER(Constants!$F$2:$F$10,Constants!$A$2:$A$10=A2211)))"),"")</f>
        <v/>
      </c>
    </row>
    <row r="2212">
      <c r="A2212" s="89"/>
      <c r="B2212" s="87"/>
      <c r="C2212" s="73"/>
      <c r="D2212" s="73"/>
      <c r="E2212" s="82"/>
      <c r="F2212" s="82"/>
      <c r="G2212" s="86"/>
      <c r="H2212" s="86"/>
      <c r="I2212" s="86"/>
      <c r="J2212" s="82"/>
      <c r="K2212" s="82"/>
      <c r="L2212" s="82"/>
      <c r="M2212" s="82"/>
      <c r="N2212" s="82"/>
      <c r="O2212" s="82"/>
      <c r="P2212" s="82"/>
      <c r="Q2212" s="82"/>
      <c r="R2212" s="82"/>
      <c r="S2212" s="82"/>
      <c r="T2212" s="82"/>
      <c r="U2212" s="82"/>
      <c r="V2212" s="82"/>
      <c r="W2212" s="82"/>
      <c r="X2212" s="82"/>
      <c r="Y2212" s="82"/>
      <c r="Z2212" s="82"/>
      <c r="AA2212" s="82"/>
      <c r="AB2212" s="82"/>
      <c r="AC2212" s="82"/>
      <c r="AD2212" s="82"/>
      <c r="AE2212" s="82"/>
      <c r="AF2212" s="82"/>
      <c r="AG2212" s="82"/>
      <c r="AH2212" s="82"/>
      <c r="AI2212" s="82"/>
      <c r="AJ2212" s="82"/>
      <c r="AK2212" s="82"/>
      <c r="AL2212" s="82"/>
      <c r="AM2212" s="82"/>
      <c r="AN2212" s="82"/>
      <c r="AO2212" s="82"/>
      <c r="AP2212" s="82"/>
      <c r="AQ2212" s="82"/>
      <c r="AR2212" s="82"/>
      <c r="AS2212" s="82"/>
      <c r="AT2212" s="82"/>
      <c r="AU2212" s="82"/>
      <c r="AV2212" s="82"/>
      <c r="AW2212" s="82" t="str">
        <f t="shared" si="1"/>
        <v/>
      </c>
      <c r="AX2212" s="83" t="str">
        <f t="array" ref="AX2212">IFERROR(DGET('SBV Import'!A:G,"SBV",{"RSC ID","Tier";B2212,A2212}))</f>
        <v/>
      </c>
      <c r="AY2212" s="82" t="str">
        <f t="shared" si="2"/>
        <v/>
      </c>
      <c r="AZ2212" s="82"/>
      <c r="BA2212" s="84" t="s">
        <v>152</v>
      </c>
      <c r="BB2212" s="84" t="str">
        <f>IFERROR(__xludf.DUMMYFUNCTION("iferror(if(A2212="""",,E2212&gt;=FILTER(Constants!$F$2:$F$10,Constants!$A$2:$A$10=A2212)))"),"")</f>
        <v/>
      </c>
    </row>
    <row r="2213">
      <c r="A2213" s="89"/>
      <c r="B2213" s="87"/>
      <c r="C2213" s="73"/>
      <c r="D2213" s="73"/>
      <c r="E2213" s="82"/>
      <c r="F2213" s="82"/>
      <c r="G2213" s="86"/>
      <c r="H2213" s="86"/>
      <c r="I2213" s="86"/>
      <c r="J2213" s="82"/>
      <c r="K2213" s="82"/>
      <c r="L2213" s="82"/>
      <c r="M2213" s="82"/>
      <c r="N2213" s="82"/>
      <c r="O2213" s="82"/>
      <c r="P2213" s="82"/>
      <c r="Q2213" s="82"/>
      <c r="R2213" s="82"/>
      <c r="S2213" s="82"/>
      <c r="T2213" s="82"/>
      <c r="U2213" s="82"/>
      <c r="V2213" s="82"/>
      <c r="W2213" s="82"/>
      <c r="X2213" s="82"/>
      <c r="Y2213" s="82"/>
      <c r="Z2213" s="82"/>
      <c r="AA2213" s="82"/>
      <c r="AB2213" s="82"/>
      <c r="AC2213" s="82"/>
      <c r="AD2213" s="82"/>
      <c r="AE2213" s="82"/>
      <c r="AF2213" s="82"/>
      <c r="AG2213" s="82"/>
      <c r="AH2213" s="82"/>
      <c r="AI2213" s="82"/>
      <c r="AJ2213" s="82"/>
      <c r="AK2213" s="82"/>
      <c r="AL2213" s="82"/>
      <c r="AM2213" s="82"/>
      <c r="AN2213" s="82"/>
      <c r="AO2213" s="82"/>
      <c r="AP2213" s="82"/>
      <c r="AQ2213" s="82"/>
      <c r="AR2213" s="82"/>
      <c r="AS2213" s="82"/>
      <c r="AT2213" s="82"/>
      <c r="AU2213" s="82"/>
      <c r="AV2213" s="82"/>
      <c r="AW2213" s="82" t="str">
        <f t="shared" si="1"/>
        <v/>
      </c>
      <c r="AX2213" s="83" t="str">
        <f t="array" ref="AX2213">IFERROR(DGET('SBV Import'!A:G,"SBV",{"RSC ID","Tier";B2213,A2213}))</f>
        <v/>
      </c>
      <c r="AY2213" s="82" t="str">
        <f t="shared" si="2"/>
        <v/>
      </c>
      <c r="AZ2213" s="82"/>
      <c r="BA2213" s="84" t="s">
        <v>152</v>
      </c>
      <c r="BB2213" s="84" t="str">
        <f>IFERROR(__xludf.DUMMYFUNCTION("iferror(if(A2213="""",,E2213&gt;=FILTER(Constants!$F$2:$F$10,Constants!$A$2:$A$10=A2213)))"),"")</f>
        <v/>
      </c>
    </row>
    <row r="2214">
      <c r="A2214" s="89"/>
      <c r="B2214" s="87"/>
      <c r="C2214" s="73"/>
      <c r="D2214" s="73"/>
      <c r="E2214" s="82"/>
      <c r="F2214" s="82"/>
      <c r="G2214" s="86"/>
      <c r="H2214" s="86"/>
      <c r="I2214" s="86"/>
      <c r="J2214" s="82"/>
      <c r="K2214" s="82"/>
      <c r="L2214" s="82"/>
      <c r="M2214" s="82"/>
      <c r="N2214" s="82"/>
      <c r="O2214" s="82"/>
      <c r="P2214" s="82"/>
      <c r="Q2214" s="82"/>
      <c r="R2214" s="82"/>
      <c r="S2214" s="82"/>
      <c r="T2214" s="82"/>
      <c r="U2214" s="82"/>
      <c r="V2214" s="82"/>
      <c r="W2214" s="82"/>
      <c r="X2214" s="82"/>
      <c r="Y2214" s="82"/>
      <c r="Z2214" s="82"/>
      <c r="AA2214" s="82"/>
      <c r="AB2214" s="82"/>
      <c r="AC2214" s="82"/>
      <c r="AD2214" s="82"/>
      <c r="AE2214" s="82"/>
      <c r="AF2214" s="82"/>
      <c r="AG2214" s="82"/>
      <c r="AH2214" s="82"/>
      <c r="AI2214" s="82"/>
      <c r="AJ2214" s="82"/>
      <c r="AK2214" s="82"/>
      <c r="AL2214" s="82"/>
      <c r="AM2214" s="82"/>
      <c r="AN2214" s="82"/>
      <c r="AO2214" s="82"/>
      <c r="AP2214" s="82"/>
      <c r="AQ2214" s="82"/>
      <c r="AR2214" s="82"/>
      <c r="AS2214" s="82"/>
      <c r="AT2214" s="82"/>
      <c r="AU2214" s="82"/>
      <c r="AV2214" s="82"/>
      <c r="AW2214" s="82" t="str">
        <f t="shared" si="1"/>
        <v/>
      </c>
      <c r="AX2214" s="83" t="str">
        <f t="array" ref="AX2214">IFERROR(DGET('SBV Import'!A:G,"SBV",{"RSC ID","Tier";B2214,A2214}))</f>
        <v/>
      </c>
      <c r="AY2214" s="82" t="str">
        <f t="shared" si="2"/>
        <v/>
      </c>
      <c r="AZ2214" s="82"/>
      <c r="BA2214" s="84" t="s">
        <v>152</v>
      </c>
      <c r="BB2214" s="84" t="str">
        <f>IFERROR(__xludf.DUMMYFUNCTION("iferror(if(A2214="""",,E2214&gt;=FILTER(Constants!$F$2:$F$10,Constants!$A$2:$A$10=A2214)))"),"")</f>
        <v/>
      </c>
    </row>
    <row r="2215">
      <c r="A2215" s="89"/>
      <c r="B2215" s="87"/>
      <c r="C2215" s="73"/>
      <c r="D2215" s="73"/>
      <c r="E2215" s="82"/>
      <c r="F2215" s="82"/>
      <c r="G2215" s="86"/>
      <c r="H2215" s="86"/>
      <c r="I2215" s="86"/>
      <c r="J2215" s="82"/>
      <c r="K2215" s="82"/>
      <c r="L2215" s="82"/>
      <c r="M2215" s="82"/>
      <c r="N2215" s="82"/>
      <c r="O2215" s="82"/>
      <c r="P2215" s="82"/>
      <c r="Q2215" s="82"/>
      <c r="R2215" s="82"/>
      <c r="S2215" s="82"/>
      <c r="T2215" s="82"/>
      <c r="U2215" s="82"/>
      <c r="V2215" s="82"/>
      <c r="W2215" s="82"/>
      <c r="X2215" s="82"/>
      <c r="Y2215" s="82"/>
      <c r="Z2215" s="82"/>
      <c r="AA2215" s="82"/>
      <c r="AB2215" s="82"/>
      <c r="AC2215" s="82"/>
      <c r="AD2215" s="82"/>
      <c r="AE2215" s="82"/>
      <c r="AF2215" s="82"/>
      <c r="AG2215" s="82"/>
      <c r="AH2215" s="82"/>
      <c r="AI2215" s="82"/>
      <c r="AJ2215" s="82"/>
      <c r="AK2215" s="82"/>
      <c r="AL2215" s="82"/>
      <c r="AM2215" s="82"/>
      <c r="AN2215" s="82"/>
      <c r="AO2215" s="82"/>
      <c r="AP2215" s="82"/>
      <c r="AQ2215" s="82"/>
      <c r="AR2215" s="82"/>
      <c r="AS2215" s="82"/>
      <c r="AT2215" s="82"/>
      <c r="AU2215" s="82"/>
      <c r="AV2215" s="82"/>
      <c r="AW2215" s="82" t="str">
        <f t="shared" si="1"/>
        <v/>
      </c>
      <c r="AX2215" s="83" t="str">
        <f t="array" ref="AX2215">IFERROR(DGET('SBV Import'!A:G,"SBV",{"RSC ID","Tier";B2215,A2215}))</f>
        <v/>
      </c>
      <c r="AY2215" s="82" t="str">
        <f t="shared" si="2"/>
        <v/>
      </c>
      <c r="AZ2215" s="82"/>
      <c r="BA2215" s="84" t="s">
        <v>152</v>
      </c>
      <c r="BB2215" s="84" t="str">
        <f>IFERROR(__xludf.DUMMYFUNCTION("iferror(if(A2215="""",,E2215&gt;=FILTER(Constants!$F$2:$F$10,Constants!$A$2:$A$10=A2215)))"),"")</f>
        <v/>
      </c>
    </row>
    <row r="2216">
      <c r="A2216" s="89"/>
      <c r="B2216" s="87"/>
      <c r="C2216" s="73"/>
      <c r="D2216" s="73"/>
      <c r="E2216" s="82"/>
      <c r="F2216" s="82"/>
      <c r="G2216" s="86"/>
      <c r="H2216" s="86"/>
      <c r="I2216" s="86"/>
      <c r="J2216" s="82"/>
      <c r="K2216" s="82"/>
      <c r="L2216" s="82"/>
      <c r="M2216" s="82"/>
      <c r="N2216" s="82"/>
      <c r="O2216" s="82"/>
      <c r="P2216" s="82"/>
      <c r="Q2216" s="82"/>
      <c r="R2216" s="82"/>
      <c r="S2216" s="82"/>
      <c r="T2216" s="82"/>
      <c r="U2216" s="82"/>
      <c r="V2216" s="82"/>
      <c r="W2216" s="82"/>
      <c r="X2216" s="82"/>
      <c r="Y2216" s="82"/>
      <c r="Z2216" s="82"/>
      <c r="AA2216" s="82"/>
      <c r="AB2216" s="82"/>
      <c r="AC2216" s="82"/>
      <c r="AD2216" s="82"/>
      <c r="AE2216" s="82"/>
      <c r="AF2216" s="82"/>
      <c r="AG2216" s="82"/>
      <c r="AH2216" s="82"/>
      <c r="AI2216" s="82"/>
      <c r="AJ2216" s="82"/>
      <c r="AK2216" s="82"/>
      <c r="AL2216" s="82"/>
      <c r="AM2216" s="82"/>
      <c r="AN2216" s="82"/>
      <c r="AO2216" s="82"/>
      <c r="AP2216" s="82"/>
      <c r="AQ2216" s="82"/>
      <c r="AR2216" s="82"/>
      <c r="AS2216" s="82"/>
      <c r="AT2216" s="82"/>
      <c r="AU2216" s="82"/>
      <c r="AV2216" s="82"/>
      <c r="AW2216" s="82" t="str">
        <f t="shared" si="1"/>
        <v/>
      </c>
      <c r="AX2216" s="83" t="str">
        <f t="array" ref="AX2216">IFERROR(DGET('SBV Import'!A:G,"SBV",{"RSC ID","Tier";B2216,A2216}))</f>
        <v/>
      </c>
      <c r="AY2216" s="82" t="str">
        <f t="shared" si="2"/>
        <v/>
      </c>
      <c r="AZ2216" s="82"/>
      <c r="BA2216" s="84" t="s">
        <v>152</v>
      </c>
      <c r="BB2216" s="84" t="str">
        <f>IFERROR(__xludf.DUMMYFUNCTION("iferror(if(A2216="""",,E2216&gt;=FILTER(Constants!$F$2:$F$10,Constants!$A$2:$A$10=A2216)))"),"")</f>
        <v/>
      </c>
    </row>
    <row r="2217">
      <c r="A2217" s="89"/>
      <c r="B2217" s="87"/>
      <c r="C2217" s="73"/>
      <c r="D2217" s="73"/>
      <c r="E2217" s="82"/>
      <c r="F2217" s="82"/>
      <c r="G2217" s="86"/>
      <c r="H2217" s="86"/>
      <c r="I2217" s="86"/>
      <c r="J2217" s="82"/>
      <c r="K2217" s="82"/>
      <c r="L2217" s="82"/>
      <c r="M2217" s="82"/>
      <c r="N2217" s="82"/>
      <c r="O2217" s="82"/>
      <c r="P2217" s="82"/>
      <c r="Q2217" s="82"/>
      <c r="R2217" s="82"/>
      <c r="S2217" s="82"/>
      <c r="T2217" s="82"/>
      <c r="U2217" s="82"/>
      <c r="V2217" s="82"/>
      <c r="W2217" s="82"/>
      <c r="X2217" s="82"/>
      <c r="Y2217" s="82"/>
      <c r="Z2217" s="82"/>
      <c r="AA2217" s="82"/>
      <c r="AB2217" s="82"/>
      <c r="AC2217" s="82"/>
      <c r="AD2217" s="82"/>
      <c r="AE2217" s="82"/>
      <c r="AF2217" s="82"/>
      <c r="AG2217" s="82"/>
      <c r="AH2217" s="82"/>
      <c r="AI2217" s="82"/>
      <c r="AJ2217" s="82"/>
      <c r="AK2217" s="82"/>
      <c r="AL2217" s="82"/>
      <c r="AM2217" s="82"/>
      <c r="AN2217" s="82"/>
      <c r="AO2217" s="82"/>
      <c r="AP2217" s="82"/>
      <c r="AQ2217" s="82"/>
      <c r="AR2217" s="82"/>
      <c r="AS2217" s="82"/>
      <c r="AT2217" s="82"/>
      <c r="AU2217" s="82"/>
      <c r="AV2217" s="82"/>
      <c r="AW2217" s="82" t="str">
        <f t="shared" si="1"/>
        <v/>
      </c>
      <c r="AX2217" s="83" t="str">
        <f t="array" ref="AX2217">IFERROR(DGET('SBV Import'!A:G,"SBV",{"RSC ID","Tier";B2217,A2217}))</f>
        <v/>
      </c>
      <c r="AY2217" s="82" t="str">
        <f t="shared" si="2"/>
        <v/>
      </c>
      <c r="AZ2217" s="82"/>
      <c r="BA2217" s="84" t="s">
        <v>152</v>
      </c>
      <c r="BB2217" s="84" t="str">
        <f>IFERROR(__xludf.DUMMYFUNCTION("iferror(if(A2217="""",,E2217&gt;=FILTER(Constants!$F$2:$F$10,Constants!$A$2:$A$10=A2217)))"),"")</f>
        <v/>
      </c>
    </row>
    <row r="2218">
      <c r="A2218" s="89"/>
      <c r="B2218" s="87"/>
      <c r="C2218" s="73"/>
      <c r="D2218" s="73"/>
      <c r="E2218" s="82"/>
      <c r="F2218" s="82"/>
      <c r="G2218" s="86"/>
      <c r="H2218" s="86"/>
      <c r="I2218" s="86"/>
      <c r="J2218" s="82"/>
      <c r="K2218" s="82"/>
      <c r="L2218" s="82"/>
      <c r="M2218" s="82"/>
      <c r="N2218" s="82"/>
      <c r="O2218" s="82"/>
      <c r="P2218" s="82"/>
      <c r="Q2218" s="82"/>
      <c r="R2218" s="82"/>
      <c r="S2218" s="82"/>
      <c r="T2218" s="82"/>
      <c r="U2218" s="82"/>
      <c r="V2218" s="82"/>
      <c r="W2218" s="82"/>
      <c r="X2218" s="82"/>
      <c r="Y2218" s="82"/>
      <c r="Z2218" s="82"/>
      <c r="AA2218" s="82"/>
      <c r="AB2218" s="82"/>
      <c r="AC2218" s="82"/>
      <c r="AD2218" s="82"/>
      <c r="AE2218" s="82"/>
      <c r="AF2218" s="82"/>
      <c r="AG2218" s="82"/>
      <c r="AH2218" s="82"/>
      <c r="AI2218" s="82"/>
      <c r="AJ2218" s="82"/>
      <c r="AK2218" s="82"/>
      <c r="AL2218" s="82"/>
      <c r="AM2218" s="82"/>
      <c r="AN2218" s="82"/>
      <c r="AO2218" s="82"/>
      <c r="AP2218" s="82"/>
      <c r="AQ2218" s="82"/>
      <c r="AR2218" s="82"/>
      <c r="AS2218" s="82"/>
      <c r="AT2218" s="82"/>
      <c r="AU2218" s="82"/>
      <c r="AV2218" s="82"/>
      <c r="AW2218" s="82" t="str">
        <f t="shared" si="1"/>
        <v/>
      </c>
      <c r="AX2218" s="83" t="str">
        <f t="array" ref="AX2218">IFERROR(DGET('SBV Import'!A:G,"SBV",{"RSC ID","Tier";B2218,A2218}))</f>
        <v/>
      </c>
      <c r="AY2218" s="82" t="str">
        <f t="shared" si="2"/>
        <v/>
      </c>
      <c r="AZ2218" s="82"/>
      <c r="BA2218" s="84" t="s">
        <v>152</v>
      </c>
      <c r="BB2218" s="84" t="str">
        <f>IFERROR(__xludf.DUMMYFUNCTION("iferror(if(A2218="""",,E2218&gt;=FILTER(Constants!$F$2:$F$10,Constants!$A$2:$A$10=A2218)))"),"")</f>
        <v/>
      </c>
    </row>
    <row r="2219">
      <c r="A2219" s="89"/>
      <c r="B2219" s="87"/>
      <c r="C2219" s="73"/>
      <c r="D2219" s="73"/>
      <c r="E2219" s="82"/>
      <c r="F2219" s="82"/>
      <c r="G2219" s="86"/>
      <c r="H2219" s="86"/>
      <c r="I2219" s="86"/>
      <c r="J2219" s="82"/>
      <c r="K2219" s="82"/>
      <c r="L2219" s="82"/>
      <c r="M2219" s="82"/>
      <c r="N2219" s="82"/>
      <c r="O2219" s="82"/>
      <c r="P2219" s="82"/>
      <c r="Q2219" s="82"/>
      <c r="R2219" s="82"/>
      <c r="S2219" s="82"/>
      <c r="T2219" s="82"/>
      <c r="U2219" s="82"/>
      <c r="V2219" s="82"/>
      <c r="W2219" s="82"/>
      <c r="X2219" s="82"/>
      <c r="Y2219" s="82"/>
      <c r="Z2219" s="82"/>
      <c r="AA2219" s="82"/>
      <c r="AB2219" s="82"/>
      <c r="AC2219" s="82"/>
      <c r="AD2219" s="82"/>
      <c r="AE2219" s="82"/>
      <c r="AF2219" s="82"/>
      <c r="AG2219" s="82"/>
      <c r="AH2219" s="82"/>
      <c r="AI2219" s="82"/>
      <c r="AJ2219" s="82"/>
      <c r="AK2219" s="82"/>
      <c r="AL2219" s="82"/>
      <c r="AM2219" s="82"/>
      <c r="AN2219" s="82"/>
      <c r="AO2219" s="82"/>
      <c r="AP2219" s="82"/>
      <c r="AQ2219" s="82"/>
      <c r="AR2219" s="82"/>
      <c r="AS2219" s="82"/>
      <c r="AT2219" s="82"/>
      <c r="AU2219" s="82"/>
      <c r="AV2219" s="82"/>
      <c r="AW2219" s="82" t="str">
        <f t="shared" si="1"/>
        <v/>
      </c>
      <c r="AX2219" s="83" t="str">
        <f t="array" ref="AX2219">IFERROR(DGET('SBV Import'!A:G,"SBV",{"RSC ID","Tier";B2219,A2219}))</f>
        <v/>
      </c>
      <c r="AY2219" s="82" t="str">
        <f t="shared" si="2"/>
        <v/>
      </c>
      <c r="AZ2219" s="82"/>
      <c r="BA2219" s="84" t="s">
        <v>152</v>
      </c>
      <c r="BB2219" s="84" t="str">
        <f>IFERROR(__xludf.DUMMYFUNCTION("iferror(if(A2219="""",,E2219&gt;=FILTER(Constants!$F$2:$F$10,Constants!$A$2:$A$10=A2219)))"),"")</f>
        <v/>
      </c>
    </row>
    <row r="2220">
      <c r="A2220" s="89"/>
      <c r="B2220" s="87"/>
      <c r="C2220" s="73"/>
      <c r="D2220" s="73"/>
      <c r="E2220" s="82"/>
      <c r="F2220" s="82"/>
      <c r="G2220" s="86"/>
      <c r="H2220" s="86"/>
      <c r="I2220" s="86"/>
      <c r="J2220" s="82"/>
      <c r="K2220" s="82"/>
      <c r="L2220" s="82"/>
      <c r="M2220" s="82"/>
      <c r="N2220" s="82"/>
      <c r="O2220" s="82"/>
      <c r="P2220" s="82"/>
      <c r="Q2220" s="82"/>
      <c r="R2220" s="82"/>
      <c r="S2220" s="82"/>
      <c r="T2220" s="82"/>
      <c r="U2220" s="82"/>
      <c r="V2220" s="82"/>
      <c r="W2220" s="82"/>
      <c r="X2220" s="82"/>
      <c r="Y2220" s="82"/>
      <c r="Z2220" s="82"/>
      <c r="AA2220" s="82"/>
      <c r="AB2220" s="82"/>
      <c r="AC2220" s="82"/>
      <c r="AD2220" s="82"/>
      <c r="AE2220" s="82"/>
      <c r="AF2220" s="82"/>
      <c r="AG2220" s="82"/>
      <c r="AH2220" s="82"/>
      <c r="AI2220" s="82"/>
      <c r="AJ2220" s="82"/>
      <c r="AK2220" s="82"/>
      <c r="AL2220" s="82"/>
      <c r="AM2220" s="82"/>
      <c r="AN2220" s="82"/>
      <c r="AO2220" s="82"/>
      <c r="AP2220" s="82"/>
      <c r="AQ2220" s="82"/>
      <c r="AR2220" s="82"/>
      <c r="AS2220" s="82"/>
      <c r="AT2220" s="82"/>
      <c r="AU2220" s="82"/>
      <c r="AV2220" s="82"/>
      <c r="AW2220" s="82" t="str">
        <f t="shared" si="1"/>
        <v/>
      </c>
      <c r="AX2220" s="83" t="str">
        <f t="array" ref="AX2220">IFERROR(DGET('SBV Import'!A:G,"SBV",{"RSC ID","Tier";B2220,A2220}))</f>
        <v/>
      </c>
      <c r="AY2220" s="82" t="str">
        <f t="shared" si="2"/>
        <v/>
      </c>
      <c r="AZ2220" s="82"/>
      <c r="BA2220" s="84" t="s">
        <v>152</v>
      </c>
      <c r="BB2220" s="84" t="str">
        <f>IFERROR(__xludf.DUMMYFUNCTION("iferror(if(A2220="""",,E2220&gt;=FILTER(Constants!$F$2:$F$10,Constants!$A$2:$A$10=A2220)))"),"")</f>
        <v/>
      </c>
    </row>
    <row r="2221">
      <c r="A2221" s="89"/>
      <c r="B2221" s="87"/>
      <c r="C2221" s="73"/>
      <c r="D2221" s="73"/>
      <c r="E2221" s="82"/>
      <c r="F2221" s="82"/>
      <c r="G2221" s="86"/>
      <c r="H2221" s="86"/>
      <c r="I2221" s="86"/>
      <c r="J2221" s="82"/>
      <c r="K2221" s="82"/>
      <c r="L2221" s="82"/>
      <c r="M2221" s="82"/>
      <c r="N2221" s="82"/>
      <c r="O2221" s="82"/>
      <c r="P2221" s="82"/>
      <c r="Q2221" s="82"/>
      <c r="R2221" s="82"/>
      <c r="S2221" s="82"/>
      <c r="T2221" s="82"/>
      <c r="U2221" s="82"/>
      <c r="V2221" s="82"/>
      <c r="W2221" s="82"/>
      <c r="X2221" s="82"/>
      <c r="Y2221" s="82"/>
      <c r="Z2221" s="82"/>
      <c r="AA2221" s="82"/>
      <c r="AB2221" s="82"/>
      <c r="AC2221" s="82"/>
      <c r="AD2221" s="82"/>
      <c r="AE2221" s="82"/>
      <c r="AF2221" s="82"/>
      <c r="AG2221" s="82"/>
      <c r="AH2221" s="82"/>
      <c r="AI2221" s="82"/>
      <c r="AJ2221" s="82"/>
      <c r="AK2221" s="82"/>
      <c r="AL2221" s="82"/>
      <c r="AM2221" s="82"/>
      <c r="AN2221" s="82"/>
      <c r="AO2221" s="82"/>
      <c r="AP2221" s="82"/>
      <c r="AQ2221" s="82"/>
      <c r="AR2221" s="82"/>
      <c r="AS2221" s="82"/>
      <c r="AT2221" s="82"/>
      <c r="AU2221" s="82"/>
      <c r="AV2221" s="82"/>
      <c r="AW2221" s="82" t="str">
        <f t="shared" si="1"/>
        <v/>
      </c>
      <c r="AX2221" s="83" t="str">
        <f t="array" ref="AX2221">IFERROR(DGET('SBV Import'!A:G,"SBV",{"RSC ID","Tier";B2221,A2221}))</f>
        <v/>
      </c>
      <c r="AY2221" s="82" t="str">
        <f t="shared" si="2"/>
        <v/>
      </c>
      <c r="AZ2221" s="82"/>
      <c r="BA2221" s="84" t="s">
        <v>152</v>
      </c>
      <c r="BB2221" s="84" t="str">
        <f>IFERROR(__xludf.DUMMYFUNCTION("iferror(if(A2221="""",,E2221&gt;=FILTER(Constants!$F$2:$F$10,Constants!$A$2:$A$10=A2221)))"),"")</f>
        <v/>
      </c>
    </row>
    <row r="2222">
      <c r="A2222" s="89"/>
      <c r="B2222" s="87"/>
      <c r="C2222" s="73"/>
      <c r="D2222" s="73"/>
      <c r="E2222" s="82"/>
      <c r="F2222" s="82"/>
      <c r="G2222" s="86"/>
      <c r="H2222" s="86"/>
      <c r="I2222" s="86"/>
      <c r="J2222" s="82"/>
      <c r="K2222" s="82"/>
      <c r="L2222" s="82"/>
      <c r="M2222" s="82"/>
      <c r="N2222" s="82"/>
      <c r="O2222" s="82"/>
      <c r="P2222" s="82"/>
      <c r="Q2222" s="82"/>
      <c r="R2222" s="82"/>
      <c r="S2222" s="82"/>
      <c r="T2222" s="82"/>
      <c r="U2222" s="82"/>
      <c r="V2222" s="82"/>
      <c r="W2222" s="82"/>
      <c r="X2222" s="82"/>
      <c r="Y2222" s="82"/>
      <c r="Z2222" s="82"/>
      <c r="AA2222" s="82"/>
      <c r="AB2222" s="82"/>
      <c r="AC2222" s="82"/>
      <c r="AD2222" s="82"/>
      <c r="AE2222" s="82"/>
      <c r="AF2222" s="82"/>
      <c r="AG2222" s="82"/>
      <c r="AH2222" s="82"/>
      <c r="AI2222" s="82"/>
      <c r="AJ2222" s="82"/>
      <c r="AK2222" s="82"/>
      <c r="AL2222" s="82"/>
      <c r="AM2222" s="82"/>
      <c r="AN2222" s="82"/>
      <c r="AO2222" s="82"/>
      <c r="AP2222" s="82"/>
      <c r="AQ2222" s="82"/>
      <c r="AR2222" s="82"/>
      <c r="AS2222" s="82"/>
      <c r="AT2222" s="82"/>
      <c r="AU2222" s="82"/>
      <c r="AV2222" s="82"/>
      <c r="AW2222" s="82" t="str">
        <f t="shared" si="1"/>
        <v/>
      </c>
      <c r="AX2222" s="83" t="str">
        <f t="array" ref="AX2222">IFERROR(DGET('SBV Import'!A:G,"SBV",{"RSC ID","Tier";B2222,A2222}))</f>
        <v/>
      </c>
      <c r="AY2222" s="82" t="str">
        <f t="shared" si="2"/>
        <v/>
      </c>
      <c r="AZ2222" s="82"/>
      <c r="BA2222" s="84" t="s">
        <v>152</v>
      </c>
      <c r="BB2222" s="84" t="str">
        <f>IFERROR(__xludf.DUMMYFUNCTION("iferror(if(A2222="""",,E2222&gt;=FILTER(Constants!$F$2:$F$10,Constants!$A$2:$A$10=A2222)))"),"")</f>
        <v/>
      </c>
    </row>
    <row r="2223">
      <c r="A2223" s="89"/>
      <c r="B2223" s="87"/>
      <c r="C2223" s="73"/>
      <c r="D2223" s="73"/>
      <c r="E2223" s="82"/>
      <c r="F2223" s="82"/>
      <c r="G2223" s="86"/>
      <c r="H2223" s="86"/>
      <c r="I2223" s="86"/>
      <c r="J2223" s="82"/>
      <c r="K2223" s="82"/>
      <c r="L2223" s="82"/>
      <c r="M2223" s="82"/>
      <c r="N2223" s="82"/>
      <c r="O2223" s="82"/>
      <c r="P2223" s="82"/>
      <c r="Q2223" s="82"/>
      <c r="R2223" s="82"/>
      <c r="S2223" s="82"/>
      <c r="T2223" s="82"/>
      <c r="U2223" s="82"/>
      <c r="V2223" s="82"/>
      <c r="W2223" s="82"/>
      <c r="X2223" s="82"/>
      <c r="Y2223" s="82"/>
      <c r="Z2223" s="82"/>
      <c r="AA2223" s="82"/>
      <c r="AB2223" s="82"/>
      <c r="AC2223" s="82"/>
      <c r="AD2223" s="82"/>
      <c r="AE2223" s="82"/>
      <c r="AF2223" s="82"/>
      <c r="AG2223" s="82"/>
      <c r="AH2223" s="82"/>
      <c r="AI2223" s="82"/>
      <c r="AJ2223" s="82"/>
      <c r="AK2223" s="82"/>
      <c r="AL2223" s="82"/>
      <c r="AM2223" s="82"/>
      <c r="AN2223" s="82"/>
      <c r="AO2223" s="82"/>
      <c r="AP2223" s="82"/>
      <c r="AQ2223" s="82"/>
      <c r="AR2223" s="82"/>
      <c r="AS2223" s="82"/>
      <c r="AT2223" s="82"/>
      <c r="AU2223" s="82"/>
      <c r="AV2223" s="82"/>
      <c r="AW2223" s="82" t="str">
        <f t="shared" si="1"/>
        <v/>
      </c>
      <c r="AX2223" s="83" t="str">
        <f t="array" ref="AX2223">IFERROR(DGET('SBV Import'!A:G,"SBV",{"RSC ID","Tier";B2223,A2223}))</f>
        <v/>
      </c>
      <c r="AY2223" s="82" t="str">
        <f t="shared" si="2"/>
        <v/>
      </c>
      <c r="AZ2223" s="82"/>
      <c r="BA2223" s="84" t="s">
        <v>152</v>
      </c>
      <c r="BB2223" s="84" t="str">
        <f>IFERROR(__xludf.DUMMYFUNCTION("iferror(if(A2223="""",,E2223&gt;=FILTER(Constants!$F$2:$F$10,Constants!$A$2:$A$10=A2223)))"),"")</f>
        <v/>
      </c>
    </row>
    <row r="2224">
      <c r="A2224" s="89"/>
      <c r="B2224" s="87"/>
      <c r="C2224" s="73"/>
      <c r="D2224" s="73"/>
      <c r="E2224" s="82"/>
      <c r="F2224" s="82"/>
      <c r="G2224" s="86"/>
      <c r="H2224" s="86"/>
      <c r="I2224" s="86"/>
      <c r="J2224" s="82"/>
      <c r="K2224" s="82"/>
      <c r="L2224" s="82"/>
      <c r="M2224" s="82"/>
      <c r="N2224" s="82"/>
      <c r="O2224" s="82"/>
      <c r="P2224" s="82"/>
      <c r="Q2224" s="82"/>
      <c r="R2224" s="82"/>
      <c r="S2224" s="82"/>
      <c r="T2224" s="82"/>
      <c r="U2224" s="82"/>
      <c r="V2224" s="82"/>
      <c r="W2224" s="82"/>
      <c r="X2224" s="82"/>
      <c r="Y2224" s="82"/>
      <c r="Z2224" s="82"/>
      <c r="AA2224" s="82"/>
      <c r="AB2224" s="82"/>
      <c r="AC2224" s="82"/>
      <c r="AD2224" s="82"/>
      <c r="AE2224" s="82"/>
      <c r="AF2224" s="82"/>
      <c r="AG2224" s="82"/>
      <c r="AH2224" s="82"/>
      <c r="AI2224" s="82"/>
      <c r="AJ2224" s="82"/>
      <c r="AK2224" s="82"/>
      <c r="AL2224" s="82"/>
      <c r="AM2224" s="82"/>
      <c r="AN2224" s="82"/>
      <c r="AO2224" s="82"/>
      <c r="AP2224" s="82"/>
      <c r="AQ2224" s="82"/>
      <c r="AR2224" s="82"/>
      <c r="AS2224" s="82"/>
      <c r="AT2224" s="82"/>
      <c r="AU2224" s="82"/>
      <c r="AV2224" s="82"/>
      <c r="AW2224" s="82" t="str">
        <f t="shared" si="1"/>
        <v/>
      </c>
      <c r="AX2224" s="83" t="str">
        <f t="array" ref="AX2224">IFERROR(DGET('SBV Import'!A:G,"SBV",{"RSC ID","Tier";B2224,A2224}))</f>
        <v/>
      </c>
      <c r="AY2224" s="82" t="str">
        <f t="shared" si="2"/>
        <v/>
      </c>
      <c r="AZ2224" s="82"/>
      <c r="BA2224" s="84" t="s">
        <v>152</v>
      </c>
      <c r="BB2224" s="84" t="str">
        <f>IFERROR(__xludf.DUMMYFUNCTION("iferror(if(A2224="""",,E2224&gt;=FILTER(Constants!$F$2:$F$10,Constants!$A$2:$A$10=A2224)))"),"")</f>
        <v/>
      </c>
    </row>
    <row r="2225">
      <c r="A2225" s="89"/>
      <c r="B2225" s="87"/>
      <c r="C2225" s="73"/>
      <c r="D2225" s="73"/>
      <c r="E2225" s="82"/>
      <c r="F2225" s="82"/>
      <c r="G2225" s="86"/>
      <c r="H2225" s="86"/>
      <c r="I2225" s="86"/>
      <c r="J2225" s="82"/>
      <c r="K2225" s="82"/>
      <c r="L2225" s="82"/>
      <c r="M2225" s="82"/>
      <c r="N2225" s="82"/>
      <c r="O2225" s="82"/>
      <c r="P2225" s="82"/>
      <c r="Q2225" s="82"/>
      <c r="R2225" s="82"/>
      <c r="S2225" s="82"/>
      <c r="T2225" s="82"/>
      <c r="U2225" s="82"/>
      <c r="V2225" s="82"/>
      <c r="W2225" s="82"/>
      <c r="X2225" s="82"/>
      <c r="Y2225" s="82"/>
      <c r="Z2225" s="82"/>
      <c r="AA2225" s="82"/>
      <c r="AB2225" s="82"/>
      <c r="AC2225" s="82"/>
      <c r="AD2225" s="82"/>
      <c r="AE2225" s="82"/>
      <c r="AF2225" s="82"/>
      <c r="AG2225" s="82"/>
      <c r="AH2225" s="82"/>
      <c r="AI2225" s="82"/>
      <c r="AJ2225" s="82"/>
      <c r="AK2225" s="82"/>
      <c r="AL2225" s="82"/>
      <c r="AM2225" s="82"/>
      <c r="AN2225" s="82"/>
      <c r="AO2225" s="82"/>
      <c r="AP2225" s="82"/>
      <c r="AQ2225" s="82"/>
      <c r="AR2225" s="82"/>
      <c r="AS2225" s="82"/>
      <c r="AT2225" s="82"/>
      <c r="AU2225" s="82"/>
      <c r="AV2225" s="82"/>
      <c r="AW2225" s="82" t="str">
        <f t="shared" si="1"/>
        <v/>
      </c>
      <c r="AX2225" s="83" t="str">
        <f t="array" ref="AX2225">IFERROR(DGET('SBV Import'!A:G,"SBV",{"RSC ID","Tier";B2225,A2225}))</f>
        <v/>
      </c>
      <c r="AY2225" s="82" t="str">
        <f t="shared" si="2"/>
        <v/>
      </c>
      <c r="AZ2225" s="82"/>
      <c r="BA2225" s="84" t="s">
        <v>152</v>
      </c>
      <c r="BB2225" s="84" t="str">
        <f>IFERROR(__xludf.DUMMYFUNCTION("iferror(if(A2225="""",,E2225&gt;=FILTER(Constants!$F$2:$F$10,Constants!$A$2:$A$10=A2225)))"),"")</f>
        <v/>
      </c>
    </row>
    <row r="2226">
      <c r="A2226" s="89"/>
      <c r="B2226" s="87"/>
      <c r="C2226" s="73"/>
      <c r="D2226" s="73"/>
      <c r="E2226" s="82"/>
      <c r="F2226" s="82"/>
      <c r="G2226" s="86"/>
      <c r="H2226" s="86"/>
      <c r="I2226" s="86"/>
      <c r="J2226" s="82"/>
      <c r="K2226" s="82"/>
      <c r="L2226" s="82"/>
      <c r="M2226" s="82"/>
      <c r="N2226" s="82"/>
      <c r="O2226" s="82"/>
      <c r="P2226" s="82"/>
      <c r="Q2226" s="82"/>
      <c r="R2226" s="82"/>
      <c r="S2226" s="82"/>
      <c r="T2226" s="82"/>
      <c r="U2226" s="82"/>
      <c r="V2226" s="82"/>
      <c r="W2226" s="82"/>
      <c r="X2226" s="82"/>
      <c r="Y2226" s="82"/>
      <c r="Z2226" s="82"/>
      <c r="AA2226" s="82"/>
      <c r="AB2226" s="82"/>
      <c r="AC2226" s="82"/>
      <c r="AD2226" s="82"/>
      <c r="AE2226" s="82"/>
      <c r="AF2226" s="82"/>
      <c r="AG2226" s="82"/>
      <c r="AH2226" s="82"/>
      <c r="AI2226" s="82"/>
      <c r="AJ2226" s="82"/>
      <c r="AK2226" s="82"/>
      <c r="AL2226" s="82"/>
      <c r="AM2226" s="82"/>
      <c r="AN2226" s="82"/>
      <c r="AO2226" s="82"/>
      <c r="AP2226" s="82"/>
      <c r="AQ2226" s="82"/>
      <c r="AR2226" s="82"/>
      <c r="AS2226" s="82"/>
      <c r="AT2226" s="82"/>
      <c r="AU2226" s="82"/>
      <c r="AV2226" s="82"/>
      <c r="AW2226" s="82" t="str">
        <f t="shared" si="1"/>
        <v/>
      </c>
      <c r="AX2226" s="83" t="str">
        <f t="array" ref="AX2226">IFERROR(DGET('SBV Import'!A:G,"SBV",{"RSC ID","Tier";B2226,A2226}))</f>
        <v/>
      </c>
      <c r="AY2226" s="82" t="str">
        <f t="shared" si="2"/>
        <v/>
      </c>
      <c r="AZ2226" s="82"/>
      <c r="BA2226" s="84" t="s">
        <v>152</v>
      </c>
      <c r="BB2226" s="84" t="str">
        <f>IFERROR(__xludf.DUMMYFUNCTION("iferror(if(A2226="""",,E2226&gt;=FILTER(Constants!$F$2:$F$10,Constants!$A$2:$A$10=A2226)))"),"")</f>
        <v/>
      </c>
    </row>
    <row r="2227">
      <c r="A2227" s="89"/>
      <c r="B2227" s="87"/>
      <c r="C2227" s="73"/>
      <c r="D2227" s="73"/>
      <c r="E2227" s="82"/>
      <c r="F2227" s="82"/>
      <c r="G2227" s="86"/>
      <c r="H2227" s="86"/>
      <c r="I2227" s="86"/>
      <c r="J2227" s="82"/>
      <c r="K2227" s="82"/>
      <c r="L2227" s="82"/>
      <c r="M2227" s="82"/>
      <c r="N2227" s="82"/>
      <c r="O2227" s="82"/>
      <c r="P2227" s="82"/>
      <c r="Q2227" s="82"/>
      <c r="R2227" s="82"/>
      <c r="S2227" s="82"/>
      <c r="T2227" s="82"/>
      <c r="U2227" s="82"/>
      <c r="V2227" s="82"/>
      <c r="W2227" s="82"/>
      <c r="X2227" s="82"/>
      <c r="Y2227" s="82"/>
      <c r="Z2227" s="82"/>
      <c r="AA2227" s="82"/>
      <c r="AB2227" s="82"/>
      <c r="AC2227" s="82"/>
      <c r="AD2227" s="82"/>
      <c r="AE2227" s="82"/>
      <c r="AF2227" s="82"/>
      <c r="AG2227" s="82"/>
      <c r="AH2227" s="82"/>
      <c r="AI2227" s="82"/>
      <c r="AJ2227" s="82"/>
      <c r="AK2227" s="82"/>
      <c r="AL2227" s="82"/>
      <c r="AM2227" s="82"/>
      <c r="AN2227" s="82"/>
      <c r="AO2227" s="82"/>
      <c r="AP2227" s="82"/>
      <c r="AQ2227" s="82"/>
      <c r="AR2227" s="82"/>
      <c r="AS2227" s="82"/>
      <c r="AT2227" s="82"/>
      <c r="AU2227" s="82"/>
      <c r="AV2227" s="82"/>
      <c r="AW2227" s="82" t="str">
        <f t="shared" si="1"/>
        <v/>
      </c>
      <c r="AX2227" s="83" t="str">
        <f t="array" ref="AX2227">IFERROR(DGET('SBV Import'!A:G,"SBV",{"RSC ID","Tier";B2227,A2227}))</f>
        <v/>
      </c>
      <c r="AY2227" s="82" t="str">
        <f t="shared" si="2"/>
        <v/>
      </c>
      <c r="AZ2227" s="82"/>
      <c r="BA2227" s="84" t="s">
        <v>152</v>
      </c>
      <c r="BB2227" s="84" t="str">
        <f>IFERROR(__xludf.DUMMYFUNCTION("iferror(if(A2227="""",,E2227&gt;=FILTER(Constants!$F$2:$F$10,Constants!$A$2:$A$10=A2227)))"),"")</f>
        <v/>
      </c>
    </row>
    <row r="2228">
      <c r="A2228" s="89"/>
      <c r="B2228" s="87"/>
      <c r="C2228" s="73"/>
      <c r="D2228" s="73"/>
      <c r="E2228" s="82"/>
      <c r="F2228" s="82"/>
      <c r="G2228" s="86"/>
      <c r="H2228" s="86"/>
      <c r="I2228" s="86"/>
      <c r="J2228" s="82"/>
      <c r="K2228" s="82"/>
      <c r="L2228" s="82"/>
      <c r="M2228" s="82"/>
      <c r="N2228" s="82"/>
      <c r="O2228" s="82"/>
      <c r="P2228" s="82"/>
      <c r="Q2228" s="82"/>
      <c r="R2228" s="82"/>
      <c r="S2228" s="82"/>
      <c r="T2228" s="82"/>
      <c r="U2228" s="82"/>
      <c r="V2228" s="82"/>
      <c r="W2228" s="82"/>
      <c r="X2228" s="82"/>
      <c r="Y2228" s="82"/>
      <c r="Z2228" s="82"/>
      <c r="AA2228" s="82"/>
      <c r="AB2228" s="82"/>
      <c r="AC2228" s="82"/>
      <c r="AD2228" s="82"/>
      <c r="AE2228" s="82"/>
      <c r="AF2228" s="82"/>
      <c r="AG2228" s="82"/>
      <c r="AH2228" s="82"/>
      <c r="AI2228" s="82"/>
      <c r="AJ2228" s="82"/>
      <c r="AK2228" s="82"/>
      <c r="AL2228" s="82"/>
      <c r="AM2228" s="82"/>
      <c r="AN2228" s="82"/>
      <c r="AO2228" s="82"/>
      <c r="AP2228" s="82"/>
      <c r="AQ2228" s="82"/>
      <c r="AR2228" s="82"/>
      <c r="AS2228" s="82"/>
      <c r="AT2228" s="82"/>
      <c r="AU2228" s="82"/>
      <c r="AV2228" s="82"/>
      <c r="AW2228" s="82" t="str">
        <f t="shared" si="1"/>
        <v/>
      </c>
      <c r="AX2228" s="83" t="str">
        <f t="array" ref="AX2228">IFERROR(DGET('SBV Import'!A:G,"SBV",{"RSC ID","Tier";B2228,A2228}))</f>
        <v/>
      </c>
      <c r="AY2228" s="82" t="str">
        <f t="shared" si="2"/>
        <v/>
      </c>
      <c r="AZ2228" s="82"/>
      <c r="BA2228" s="84" t="s">
        <v>152</v>
      </c>
      <c r="BB2228" s="84" t="str">
        <f>IFERROR(__xludf.DUMMYFUNCTION("iferror(if(A2228="""",,E2228&gt;=FILTER(Constants!$F$2:$F$10,Constants!$A$2:$A$10=A2228)))"),"")</f>
        <v/>
      </c>
    </row>
    <row r="2229">
      <c r="A2229" s="89"/>
      <c r="B2229" s="87"/>
      <c r="C2229" s="73"/>
      <c r="D2229" s="73"/>
      <c r="E2229" s="82"/>
      <c r="F2229" s="82"/>
      <c r="G2229" s="86"/>
      <c r="H2229" s="86"/>
      <c r="I2229" s="86"/>
      <c r="J2229" s="82"/>
      <c r="K2229" s="82"/>
      <c r="L2229" s="82"/>
      <c r="M2229" s="82"/>
      <c r="N2229" s="82"/>
      <c r="O2229" s="82"/>
      <c r="P2229" s="82"/>
      <c r="Q2229" s="82"/>
      <c r="R2229" s="82"/>
      <c r="S2229" s="82"/>
      <c r="T2229" s="82"/>
      <c r="U2229" s="82"/>
      <c r="V2229" s="82"/>
      <c r="W2229" s="82"/>
      <c r="X2229" s="82"/>
      <c r="Y2229" s="82"/>
      <c r="Z2229" s="82"/>
      <c r="AA2229" s="82"/>
      <c r="AB2229" s="82"/>
      <c r="AC2229" s="82"/>
      <c r="AD2229" s="82"/>
      <c r="AE2229" s="82"/>
      <c r="AF2229" s="82"/>
      <c r="AG2229" s="82"/>
      <c r="AH2229" s="82"/>
      <c r="AI2229" s="82"/>
      <c r="AJ2229" s="82"/>
      <c r="AK2229" s="82"/>
      <c r="AL2229" s="82"/>
      <c r="AM2229" s="82"/>
      <c r="AN2229" s="82"/>
      <c r="AO2229" s="82"/>
      <c r="AP2229" s="82"/>
      <c r="AQ2229" s="82"/>
      <c r="AR2229" s="82"/>
      <c r="AS2229" s="82"/>
      <c r="AT2229" s="82"/>
      <c r="AU2229" s="82"/>
      <c r="AV2229" s="82"/>
      <c r="AW2229" s="82" t="str">
        <f t="shared" si="1"/>
        <v/>
      </c>
      <c r="AX2229" s="83" t="str">
        <f t="array" ref="AX2229">IFERROR(DGET('SBV Import'!A:G,"SBV",{"RSC ID","Tier";B2229,A2229}))</f>
        <v/>
      </c>
      <c r="AY2229" s="82" t="str">
        <f t="shared" si="2"/>
        <v/>
      </c>
      <c r="AZ2229" s="82"/>
      <c r="BA2229" s="84" t="s">
        <v>152</v>
      </c>
      <c r="BB2229" s="84" t="str">
        <f>IFERROR(__xludf.DUMMYFUNCTION("iferror(if(A2229="""",,E2229&gt;=FILTER(Constants!$F$2:$F$10,Constants!$A$2:$A$10=A2229)))"),"")</f>
        <v/>
      </c>
    </row>
    <row r="2230">
      <c r="A2230" s="89"/>
      <c r="B2230" s="87"/>
      <c r="C2230" s="73"/>
      <c r="D2230" s="73"/>
      <c r="E2230" s="82"/>
      <c r="F2230" s="82"/>
      <c r="G2230" s="86"/>
      <c r="H2230" s="86"/>
      <c r="I2230" s="86"/>
      <c r="J2230" s="82"/>
      <c r="K2230" s="82"/>
      <c r="L2230" s="82"/>
      <c r="M2230" s="82"/>
      <c r="N2230" s="82"/>
      <c r="O2230" s="82"/>
      <c r="P2230" s="82"/>
      <c r="Q2230" s="82"/>
      <c r="R2230" s="82"/>
      <c r="S2230" s="82"/>
      <c r="T2230" s="82"/>
      <c r="U2230" s="82"/>
      <c r="V2230" s="82"/>
      <c r="W2230" s="82"/>
      <c r="X2230" s="82"/>
      <c r="Y2230" s="82"/>
      <c r="Z2230" s="82"/>
      <c r="AA2230" s="82"/>
      <c r="AB2230" s="82"/>
      <c r="AC2230" s="82"/>
      <c r="AD2230" s="82"/>
      <c r="AE2230" s="82"/>
      <c r="AF2230" s="82"/>
      <c r="AG2230" s="82"/>
      <c r="AH2230" s="82"/>
      <c r="AI2230" s="82"/>
      <c r="AJ2230" s="82"/>
      <c r="AK2230" s="82"/>
      <c r="AL2230" s="82"/>
      <c r="AM2230" s="82"/>
      <c r="AN2230" s="82"/>
      <c r="AO2230" s="82"/>
      <c r="AP2230" s="82"/>
      <c r="AQ2230" s="82"/>
      <c r="AR2230" s="82"/>
      <c r="AS2230" s="82"/>
      <c r="AT2230" s="82"/>
      <c r="AU2230" s="82"/>
      <c r="AV2230" s="82"/>
      <c r="AW2230" s="82" t="str">
        <f t="shared" si="1"/>
        <v/>
      </c>
      <c r="AX2230" s="83" t="str">
        <f t="array" ref="AX2230">IFERROR(DGET('SBV Import'!A:G,"SBV",{"RSC ID","Tier";B2230,A2230}))</f>
        <v/>
      </c>
      <c r="AY2230" s="82" t="str">
        <f t="shared" si="2"/>
        <v/>
      </c>
      <c r="AZ2230" s="82"/>
      <c r="BA2230" s="84" t="s">
        <v>152</v>
      </c>
      <c r="BB2230" s="84" t="str">
        <f>IFERROR(__xludf.DUMMYFUNCTION("iferror(if(A2230="""",,E2230&gt;=FILTER(Constants!$F$2:$F$10,Constants!$A$2:$A$10=A2230)))"),"")</f>
        <v/>
      </c>
    </row>
    <row r="2231">
      <c r="A2231" s="89"/>
      <c r="B2231" s="87"/>
      <c r="C2231" s="73"/>
      <c r="D2231" s="73"/>
      <c r="E2231" s="82"/>
      <c r="F2231" s="82"/>
      <c r="G2231" s="86"/>
      <c r="H2231" s="86"/>
      <c r="I2231" s="86"/>
      <c r="J2231" s="82"/>
      <c r="K2231" s="82"/>
      <c r="L2231" s="82"/>
      <c r="M2231" s="82"/>
      <c r="N2231" s="82"/>
      <c r="O2231" s="82"/>
      <c r="P2231" s="82"/>
      <c r="Q2231" s="82"/>
      <c r="R2231" s="82"/>
      <c r="S2231" s="82"/>
      <c r="T2231" s="82"/>
      <c r="U2231" s="82"/>
      <c r="V2231" s="82"/>
      <c r="W2231" s="82"/>
      <c r="X2231" s="82"/>
      <c r="Y2231" s="82"/>
      <c r="Z2231" s="82"/>
      <c r="AA2231" s="82"/>
      <c r="AB2231" s="82"/>
      <c r="AC2231" s="82"/>
      <c r="AD2231" s="82"/>
      <c r="AE2231" s="82"/>
      <c r="AF2231" s="82"/>
      <c r="AG2231" s="82"/>
      <c r="AH2231" s="82"/>
      <c r="AI2231" s="82"/>
      <c r="AJ2231" s="82"/>
      <c r="AK2231" s="82"/>
      <c r="AL2231" s="82"/>
      <c r="AM2231" s="82"/>
      <c r="AN2231" s="82"/>
      <c r="AO2231" s="82"/>
      <c r="AP2231" s="82"/>
      <c r="AQ2231" s="82"/>
      <c r="AR2231" s="82"/>
      <c r="AS2231" s="82"/>
      <c r="AT2231" s="82"/>
      <c r="AU2231" s="82"/>
      <c r="AV2231" s="82"/>
      <c r="AW2231" s="82" t="str">
        <f t="shared" si="1"/>
        <v/>
      </c>
      <c r="AX2231" s="83" t="str">
        <f t="array" ref="AX2231">IFERROR(DGET('SBV Import'!A:G,"SBV",{"RSC ID","Tier";B2231,A2231}))</f>
        <v/>
      </c>
      <c r="AY2231" s="82" t="str">
        <f t="shared" si="2"/>
        <v/>
      </c>
      <c r="AZ2231" s="82"/>
      <c r="BA2231" s="84" t="s">
        <v>152</v>
      </c>
      <c r="BB2231" s="84" t="str">
        <f>IFERROR(__xludf.DUMMYFUNCTION("iferror(if(A2231="""",,E2231&gt;=FILTER(Constants!$F$2:$F$10,Constants!$A$2:$A$10=A2231)))"),"")</f>
        <v/>
      </c>
    </row>
    <row r="2232">
      <c r="A2232" s="89"/>
      <c r="B2232" s="87"/>
      <c r="C2232" s="73"/>
      <c r="D2232" s="73"/>
      <c r="E2232" s="82"/>
      <c r="F2232" s="82"/>
      <c r="G2232" s="86"/>
      <c r="H2232" s="86"/>
      <c r="I2232" s="86"/>
      <c r="J2232" s="82"/>
      <c r="K2232" s="82"/>
      <c r="L2232" s="82"/>
      <c r="M2232" s="82"/>
      <c r="N2232" s="82"/>
      <c r="O2232" s="82"/>
      <c r="P2232" s="82"/>
      <c r="Q2232" s="82"/>
      <c r="R2232" s="82"/>
      <c r="S2232" s="82"/>
      <c r="T2232" s="82"/>
      <c r="U2232" s="82"/>
      <c r="V2232" s="82"/>
      <c r="W2232" s="82"/>
      <c r="X2232" s="82"/>
      <c r="Y2232" s="82"/>
      <c r="Z2232" s="82"/>
      <c r="AA2232" s="82"/>
      <c r="AB2232" s="82"/>
      <c r="AC2232" s="82"/>
      <c r="AD2232" s="82"/>
      <c r="AE2232" s="82"/>
      <c r="AF2232" s="82"/>
      <c r="AG2232" s="82"/>
      <c r="AH2232" s="82"/>
      <c r="AI2232" s="82"/>
      <c r="AJ2232" s="82"/>
      <c r="AK2232" s="82"/>
      <c r="AL2232" s="82"/>
      <c r="AM2232" s="82"/>
      <c r="AN2232" s="82"/>
      <c r="AO2232" s="82"/>
      <c r="AP2232" s="82"/>
      <c r="AQ2232" s="82"/>
      <c r="AR2232" s="82"/>
      <c r="AS2232" s="82"/>
      <c r="AT2232" s="82"/>
      <c r="AU2232" s="82"/>
      <c r="AV2232" s="82"/>
      <c r="AW2232" s="82" t="str">
        <f t="shared" si="1"/>
        <v/>
      </c>
      <c r="AX2232" s="83" t="str">
        <f t="array" ref="AX2232">IFERROR(DGET('SBV Import'!A:G,"SBV",{"RSC ID","Tier";B2232,A2232}))</f>
        <v/>
      </c>
      <c r="AY2232" s="82" t="str">
        <f t="shared" si="2"/>
        <v/>
      </c>
      <c r="AZ2232" s="82"/>
      <c r="BA2232" s="84" t="s">
        <v>152</v>
      </c>
      <c r="BB2232" s="84" t="str">
        <f>IFERROR(__xludf.DUMMYFUNCTION("iferror(if(A2232="""",,E2232&gt;=FILTER(Constants!$F$2:$F$10,Constants!$A$2:$A$10=A2232)))"),"")</f>
        <v/>
      </c>
    </row>
    <row r="2233">
      <c r="A2233" s="89"/>
      <c r="B2233" s="87"/>
      <c r="C2233" s="73"/>
      <c r="D2233" s="73"/>
      <c r="E2233" s="82"/>
      <c r="F2233" s="82"/>
      <c r="G2233" s="86"/>
      <c r="H2233" s="86"/>
      <c r="I2233" s="86"/>
      <c r="J2233" s="82"/>
      <c r="K2233" s="82"/>
      <c r="L2233" s="82"/>
      <c r="M2233" s="82"/>
      <c r="N2233" s="82"/>
      <c r="O2233" s="82"/>
      <c r="P2233" s="82"/>
      <c r="Q2233" s="82"/>
      <c r="R2233" s="82"/>
      <c r="S2233" s="82"/>
      <c r="T2233" s="82"/>
      <c r="U2233" s="82"/>
      <c r="V2233" s="82"/>
      <c r="W2233" s="82"/>
      <c r="X2233" s="82"/>
      <c r="Y2233" s="82"/>
      <c r="Z2233" s="82"/>
      <c r="AA2233" s="82"/>
      <c r="AB2233" s="82"/>
      <c r="AC2233" s="82"/>
      <c r="AD2233" s="82"/>
      <c r="AE2233" s="82"/>
      <c r="AF2233" s="82"/>
      <c r="AG2233" s="82"/>
      <c r="AH2233" s="82"/>
      <c r="AI2233" s="82"/>
      <c r="AJ2233" s="82"/>
      <c r="AK2233" s="82"/>
      <c r="AL2233" s="82"/>
      <c r="AM2233" s="82"/>
      <c r="AN2233" s="82"/>
      <c r="AO2233" s="82"/>
      <c r="AP2233" s="82"/>
      <c r="AQ2233" s="82"/>
      <c r="AR2233" s="82"/>
      <c r="AS2233" s="82"/>
      <c r="AT2233" s="82"/>
      <c r="AU2233" s="82"/>
      <c r="AV2233" s="82"/>
      <c r="AW2233" s="82" t="str">
        <f t="shared" si="1"/>
        <v/>
      </c>
      <c r="AX2233" s="83" t="str">
        <f t="array" ref="AX2233">IFERROR(DGET('SBV Import'!A:G,"SBV",{"RSC ID","Tier";B2233,A2233}))</f>
        <v/>
      </c>
      <c r="AY2233" s="82" t="str">
        <f t="shared" si="2"/>
        <v/>
      </c>
      <c r="AZ2233" s="82"/>
      <c r="BA2233" s="84" t="s">
        <v>152</v>
      </c>
      <c r="BB2233" s="84" t="str">
        <f>IFERROR(__xludf.DUMMYFUNCTION("iferror(if(A2233="""",,E2233&gt;=FILTER(Constants!$F$2:$F$10,Constants!$A$2:$A$10=A2233)))"),"")</f>
        <v/>
      </c>
    </row>
    <row r="2234">
      <c r="A2234" s="89"/>
      <c r="B2234" s="87"/>
      <c r="C2234" s="73"/>
      <c r="D2234" s="73"/>
      <c r="E2234" s="82"/>
      <c r="F2234" s="82"/>
      <c r="G2234" s="86"/>
      <c r="H2234" s="86"/>
      <c r="I2234" s="86"/>
      <c r="J2234" s="82"/>
      <c r="K2234" s="82"/>
      <c r="L2234" s="82"/>
      <c r="M2234" s="82"/>
      <c r="N2234" s="82"/>
      <c r="O2234" s="82"/>
      <c r="P2234" s="82"/>
      <c r="Q2234" s="82"/>
      <c r="R2234" s="82"/>
      <c r="S2234" s="82"/>
      <c r="T2234" s="82"/>
      <c r="U2234" s="82"/>
      <c r="V2234" s="82"/>
      <c r="W2234" s="82"/>
      <c r="X2234" s="82"/>
      <c r="Y2234" s="82"/>
      <c r="Z2234" s="82"/>
      <c r="AA2234" s="82"/>
      <c r="AB2234" s="82"/>
      <c r="AC2234" s="82"/>
      <c r="AD2234" s="82"/>
      <c r="AE2234" s="82"/>
      <c r="AF2234" s="82"/>
      <c r="AG2234" s="82"/>
      <c r="AH2234" s="82"/>
      <c r="AI2234" s="82"/>
      <c r="AJ2234" s="82"/>
      <c r="AK2234" s="82"/>
      <c r="AL2234" s="82"/>
      <c r="AM2234" s="82"/>
      <c r="AN2234" s="82"/>
      <c r="AO2234" s="82"/>
      <c r="AP2234" s="82"/>
      <c r="AQ2234" s="82"/>
      <c r="AR2234" s="82"/>
      <c r="AS2234" s="82"/>
      <c r="AT2234" s="82"/>
      <c r="AU2234" s="82"/>
      <c r="AV2234" s="82"/>
      <c r="AW2234" s="82" t="str">
        <f t="shared" si="1"/>
        <v/>
      </c>
      <c r="AX2234" s="83" t="str">
        <f t="array" ref="AX2234">IFERROR(DGET('SBV Import'!A:G,"SBV",{"RSC ID","Tier";B2234,A2234}))</f>
        <v/>
      </c>
      <c r="AY2234" s="82" t="str">
        <f t="shared" si="2"/>
        <v/>
      </c>
      <c r="AZ2234" s="82"/>
      <c r="BA2234" s="84" t="s">
        <v>152</v>
      </c>
      <c r="BB2234" s="84" t="str">
        <f>IFERROR(__xludf.DUMMYFUNCTION("iferror(if(A2234="""",,E2234&gt;=FILTER(Constants!$F$2:$F$10,Constants!$A$2:$A$10=A2234)))"),"")</f>
        <v/>
      </c>
    </row>
    <row r="2235">
      <c r="A2235" s="89"/>
      <c r="B2235" s="87"/>
      <c r="C2235" s="73"/>
      <c r="D2235" s="73"/>
      <c r="E2235" s="82"/>
      <c r="F2235" s="82"/>
      <c r="G2235" s="86"/>
      <c r="H2235" s="86"/>
      <c r="I2235" s="86"/>
      <c r="J2235" s="82"/>
      <c r="K2235" s="82"/>
      <c r="L2235" s="82"/>
      <c r="M2235" s="82"/>
      <c r="N2235" s="82"/>
      <c r="O2235" s="82"/>
      <c r="P2235" s="82"/>
      <c r="Q2235" s="82"/>
      <c r="R2235" s="82"/>
      <c r="S2235" s="82"/>
      <c r="T2235" s="82"/>
      <c r="U2235" s="82"/>
      <c r="V2235" s="82"/>
      <c r="W2235" s="82"/>
      <c r="X2235" s="82"/>
      <c r="Y2235" s="82"/>
      <c r="Z2235" s="82"/>
      <c r="AA2235" s="82"/>
      <c r="AB2235" s="82"/>
      <c r="AC2235" s="82"/>
      <c r="AD2235" s="82"/>
      <c r="AE2235" s="82"/>
      <c r="AF2235" s="82"/>
      <c r="AG2235" s="82"/>
      <c r="AH2235" s="82"/>
      <c r="AI2235" s="82"/>
      <c r="AJ2235" s="82"/>
      <c r="AK2235" s="82"/>
      <c r="AL2235" s="82"/>
      <c r="AM2235" s="82"/>
      <c r="AN2235" s="82"/>
      <c r="AO2235" s="82"/>
      <c r="AP2235" s="82"/>
      <c r="AQ2235" s="82"/>
      <c r="AR2235" s="82"/>
      <c r="AS2235" s="82"/>
      <c r="AT2235" s="82"/>
      <c r="AU2235" s="82"/>
      <c r="AV2235" s="82"/>
      <c r="AW2235" s="82" t="str">
        <f t="shared" si="1"/>
        <v/>
      </c>
      <c r="AX2235" s="83" t="str">
        <f t="array" ref="AX2235">IFERROR(DGET('SBV Import'!A:G,"SBV",{"RSC ID","Tier";B2235,A2235}))</f>
        <v/>
      </c>
      <c r="AY2235" s="82" t="str">
        <f t="shared" si="2"/>
        <v/>
      </c>
      <c r="AZ2235" s="82"/>
      <c r="BA2235" s="84" t="s">
        <v>152</v>
      </c>
      <c r="BB2235" s="84" t="str">
        <f>IFERROR(__xludf.DUMMYFUNCTION("iferror(if(A2235="""",,E2235&gt;=FILTER(Constants!$F$2:$F$10,Constants!$A$2:$A$10=A2235)))"),"")</f>
        <v/>
      </c>
    </row>
    <row r="2236">
      <c r="A2236" s="89"/>
      <c r="B2236" s="87"/>
      <c r="C2236" s="73"/>
      <c r="D2236" s="73"/>
      <c r="E2236" s="82"/>
      <c r="F2236" s="82"/>
      <c r="G2236" s="86"/>
      <c r="H2236" s="86"/>
      <c r="I2236" s="86"/>
      <c r="J2236" s="82"/>
      <c r="K2236" s="82"/>
      <c r="L2236" s="82"/>
      <c r="M2236" s="82"/>
      <c r="N2236" s="82"/>
      <c r="O2236" s="82"/>
      <c r="P2236" s="82"/>
      <c r="Q2236" s="82"/>
      <c r="R2236" s="82"/>
      <c r="S2236" s="82"/>
      <c r="T2236" s="82"/>
      <c r="U2236" s="82"/>
      <c r="V2236" s="82"/>
      <c r="W2236" s="82"/>
      <c r="X2236" s="82"/>
      <c r="Y2236" s="82"/>
      <c r="Z2236" s="82"/>
      <c r="AA2236" s="82"/>
      <c r="AB2236" s="82"/>
      <c r="AC2236" s="82"/>
      <c r="AD2236" s="82"/>
      <c r="AE2236" s="82"/>
      <c r="AF2236" s="82"/>
      <c r="AG2236" s="82"/>
      <c r="AH2236" s="82"/>
      <c r="AI2236" s="82"/>
      <c r="AJ2236" s="82"/>
      <c r="AK2236" s="82"/>
      <c r="AL2236" s="82"/>
      <c r="AM2236" s="82"/>
      <c r="AN2236" s="82"/>
      <c r="AO2236" s="82"/>
      <c r="AP2236" s="82"/>
      <c r="AQ2236" s="82"/>
      <c r="AR2236" s="82"/>
      <c r="AS2236" s="82"/>
      <c r="AT2236" s="82"/>
      <c r="AU2236" s="82"/>
      <c r="AV2236" s="82"/>
      <c r="AW2236" s="82" t="str">
        <f t="shared" si="1"/>
        <v/>
      </c>
      <c r="AX2236" s="83" t="str">
        <f t="array" ref="AX2236">IFERROR(DGET('SBV Import'!A:G,"SBV",{"RSC ID","Tier";B2236,A2236}))</f>
        <v/>
      </c>
      <c r="AY2236" s="82" t="str">
        <f t="shared" si="2"/>
        <v/>
      </c>
      <c r="AZ2236" s="82"/>
      <c r="BA2236" s="84" t="s">
        <v>152</v>
      </c>
      <c r="BB2236" s="84" t="str">
        <f>IFERROR(__xludf.DUMMYFUNCTION("iferror(if(A2236="""",,E2236&gt;=FILTER(Constants!$F$2:$F$10,Constants!$A$2:$A$10=A2236)))"),"")</f>
        <v/>
      </c>
    </row>
    <row r="2237">
      <c r="A2237" s="89"/>
      <c r="B2237" s="87"/>
      <c r="C2237" s="73"/>
      <c r="D2237" s="73"/>
      <c r="E2237" s="82"/>
      <c r="F2237" s="82"/>
      <c r="G2237" s="86"/>
      <c r="H2237" s="86"/>
      <c r="I2237" s="86"/>
      <c r="J2237" s="82"/>
      <c r="K2237" s="82"/>
      <c r="L2237" s="82"/>
      <c r="M2237" s="82"/>
      <c r="N2237" s="82"/>
      <c r="O2237" s="82"/>
      <c r="P2237" s="82"/>
      <c r="Q2237" s="82"/>
      <c r="R2237" s="82"/>
      <c r="S2237" s="82"/>
      <c r="T2237" s="82"/>
      <c r="U2237" s="82"/>
      <c r="V2237" s="82"/>
      <c r="W2237" s="82"/>
      <c r="X2237" s="82"/>
      <c r="Y2237" s="82"/>
      <c r="Z2237" s="82"/>
      <c r="AA2237" s="82"/>
      <c r="AB2237" s="82"/>
      <c r="AC2237" s="82"/>
      <c r="AD2237" s="82"/>
      <c r="AE2237" s="82"/>
      <c r="AF2237" s="82"/>
      <c r="AG2237" s="82"/>
      <c r="AH2237" s="82"/>
      <c r="AI2237" s="82"/>
      <c r="AJ2237" s="82"/>
      <c r="AK2237" s="82"/>
      <c r="AL2237" s="82"/>
      <c r="AM2237" s="82"/>
      <c r="AN2237" s="82"/>
      <c r="AO2237" s="82"/>
      <c r="AP2237" s="82"/>
      <c r="AQ2237" s="82"/>
      <c r="AR2237" s="82"/>
      <c r="AS2237" s="82"/>
      <c r="AT2237" s="82"/>
      <c r="AU2237" s="82"/>
      <c r="AV2237" s="82"/>
      <c r="AW2237" s="82" t="str">
        <f t="shared" si="1"/>
        <v/>
      </c>
      <c r="AX2237" s="83" t="str">
        <f t="array" ref="AX2237">IFERROR(DGET('SBV Import'!A:G,"SBV",{"RSC ID","Tier";B2237,A2237}))</f>
        <v/>
      </c>
      <c r="AY2237" s="82" t="str">
        <f t="shared" si="2"/>
        <v/>
      </c>
      <c r="AZ2237" s="82"/>
      <c r="BA2237" s="84" t="s">
        <v>152</v>
      </c>
      <c r="BB2237" s="84" t="str">
        <f>IFERROR(__xludf.DUMMYFUNCTION("iferror(if(A2237="""",,E2237&gt;=FILTER(Constants!$F$2:$F$10,Constants!$A$2:$A$10=A2237)))"),"")</f>
        <v/>
      </c>
    </row>
    <row r="2238">
      <c r="A2238" s="89"/>
      <c r="B2238" s="87"/>
      <c r="C2238" s="73"/>
      <c r="D2238" s="73"/>
      <c r="E2238" s="82"/>
      <c r="F2238" s="82"/>
      <c r="G2238" s="86"/>
      <c r="H2238" s="86"/>
      <c r="I2238" s="86"/>
      <c r="J2238" s="82"/>
      <c r="K2238" s="82"/>
      <c r="L2238" s="82"/>
      <c r="M2238" s="82"/>
      <c r="N2238" s="82"/>
      <c r="O2238" s="82"/>
      <c r="P2238" s="82"/>
      <c r="Q2238" s="82"/>
      <c r="R2238" s="82"/>
      <c r="S2238" s="82"/>
      <c r="T2238" s="82"/>
      <c r="U2238" s="82"/>
      <c r="V2238" s="82"/>
      <c r="W2238" s="82"/>
      <c r="X2238" s="82"/>
      <c r="Y2238" s="82"/>
      <c r="Z2238" s="82"/>
      <c r="AA2238" s="82"/>
      <c r="AB2238" s="82"/>
      <c r="AC2238" s="82"/>
      <c r="AD2238" s="82"/>
      <c r="AE2238" s="82"/>
      <c r="AF2238" s="82"/>
      <c r="AG2238" s="82"/>
      <c r="AH2238" s="82"/>
      <c r="AI2238" s="82"/>
      <c r="AJ2238" s="82"/>
      <c r="AK2238" s="82"/>
      <c r="AL2238" s="82"/>
      <c r="AM2238" s="82"/>
      <c r="AN2238" s="82"/>
      <c r="AO2238" s="82"/>
      <c r="AP2238" s="82"/>
      <c r="AQ2238" s="82"/>
      <c r="AR2238" s="82"/>
      <c r="AS2238" s="82"/>
      <c r="AT2238" s="82"/>
      <c r="AU2238" s="82"/>
      <c r="AV2238" s="82"/>
      <c r="AW2238" s="82" t="str">
        <f t="shared" si="1"/>
        <v/>
      </c>
      <c r="AX2238" s="83" t="str">
        <f t="array" ref="AX2238">IFERROR(DGET('SBV Import'!A:G,"SBV",{"RSC ID","Tier";B2238,A2238}))</f>
        <v/>
      </c>
      <c r="AY2238" s="82" t="str">
        <f t="shared" si="2"/>
        <v/>
      </c>
      <c r="AZ2238" s="82"/>
      <c r="BA2238" s="84" t="s">
        <v>152</v>
      </c>
      <c r="BB2238" s="84" t="str">
        <f>IFERROR(__xludf.DUMMYFUNCTION("iferror(if(A2238="""",,E2238&gt;=FILTER(Constants!$F$2:$F$10,Constants!$A$2:$A$10=A2238)))"),"")</f>
        <v/>
      </c>
    </row>
    <row r="2239">
      <c r="A2239" s="89"/>
      <c r="B2239" s="87"/>
      <c r="C2239" s="73"/>
      <c r="D2239" s="73"/>
      <c r="E2239" s="82"/>
      <c r="F2239" s="82"/>
      <c r="G2239" s="86"/>
      <c r="H2239" s="86"/>
      <c r="I2239" s="86"/>
      <c r="J2239" s="82"/>
      <c r="K2239" s="82"/>
      <c r="L2239" s="82"/>
      <c r="M2239" s="82"/>
      <c r="N2239" s="82"/>
      <c r="O2239" s="82"/>
      <c r="P2239" s="82"/>
      <c r="Q2239" s="82"/>
      <c r="R2239" s="82"/>
      <c r="S2239" s="82"/>
      <c r="T2239" s="82"/>
      <c r="U2239" s="82"/>
      <c r="V2239" s="82"/>
      <c r="W2239" s="82"/>
      <c r="X2239" s="82"/>
      <c r="Y2239" s="82"/>
      <c r="Z2239" s="82"/>
      <c r="AA2239" s="82"/>
      <c r="AB2239" s="82"/>
      <c r="AC2239" s="82"/>
      <c r="AD2239" s="82"/>
      <c r="AE2239" s="82"/>
      <c r="AF2239" s="82"/>
      <c r="AG2239" s="82"/>
      <c r="AH2239" s="82"/>
      <c r="AI2239" s="82"/>
      <c r="AJ2239" s="82"/>
      <c r="AK2239" s="82"/>
      <c r="AL2239" s="82"/>
      <c r="AM2239" s="82"/>
      <c r="AN2239" s="82"/>
      <c r="AO2239" s="82"/>
      <c r="AP2239" s="82"/>
      <c r="AQ2239" s="82"/>
      <c r="AR2239" s="82"/>
      <c r="AS2239" s="82"/>
      <c r="AT2239" s="82"/>
      <c r="AU2239" s="82"/>
      <c r="AV2239" s="82"/>
      <c r="AW2239" s="82" t="str">
        <f t="shared" si="1"/>
        <v/>
      </c>
      <c r="AX2239" s="83" t="str">
        <f t="array" ref="AX2239">IFERROR(DGET('SBV Import'!A:G,"SBV",{"RSC ID","Tier";B2239,A2239}))</f>
        <v/>
      </c>
      <c r="AY2239" s="82" t="str">
        <f t="shared" si="2"/>
        <v/>
      </c>
      <c r="AZ2239" s="82"/>
      <c r="BA2239" s="84" t="s">
        <v>152</v>
      </c>
      <c r="BB2239" s="84" t="str">
        <f>IFERROR(__xludf.DUMMYFUNCTION("iferror(if(A2239="""",,E2239&gt;=FILTER(Constants!$F$2:$F$10,Constants!$A$2:$A$10=A2239)))"),"")</f>
        <v/>
      </c>
    </row>
    <row r="2240">
      <c r="A2240" s="89"/>
      <c r="B2240" s="87"/>
      <c r="C2240" s="73"/>
      <c r="D2240" s="73"/>
      <c r="E2240" s="82"/>
      <c r="F2240" s="82"/>
      <c r="G2240" s="86"/>
      <c r="H2240" s="86"/>
      <c r="I2240" s="86"/>
      <c r="J2240" s="82"/>
      <c r="K2240" s="82"/>
      <c r="L2240" s="82"/>
      <c r="M2240" s="82"/>
      <c r="N2240" s="82"/>
      <c r="O2240" s="82"/>
      <c r="P2240" s="82"/>
      <c r="Q2240" s="82"/>
      <c r="R2240" s="82"/>
      <c r="S2240" s="82"/>
      <c r="T2240" s="82"/>
      <c r="U2240" s="82"/>
      <c r="V2240" s="82"/>
      <c r="W2240" s="82"/>
      <c r="X2240" s="82"/>
      <c r="Y2240" s="82"/>
      <c r="Z2240" s="82"/>
      <c r="AA2240" s="82"/>
      <c r="AB2240" s="82"/>
      <c r="AC2240" s="82"/>
      <c r="AD2240" s="82"/>
      <c r="AE2240" s="82"/>
      <c r="AF2240" s="82"/>
      <c r="AG2240" s="82"/>
      <c r="AH2240" s="82"/>
      <c r="AI2240" s="82"/>
      <c r="AJ2240" s="82"/>
      <c r="AK2240" s="82"/>
      <c r="AL2240" s="82"/>
      <c r="AM2240" s="82"/>
      <c r="AN2240" s="82"/>
      <c r="AO2240" s="82"/>
      <c r="AP2240" s="82"/>
      <c r="AQ2240" s="82"/>
      <c r="AR2240" s="82"/>
      <c r="AS2240" s="82"/>
      <c r="AT2240" s="82"/>
      <c r="AU2240" s="82"/>
      <c r="AV2240" s="82"/>
      <c r="AW2240" s="82" t="str">
        <f t="shared" si="1"/>
        <v/>
      </c>
      <c r="AX2240" s="83" t="str">
        <f t="array" ref="AX2240">IFERROR(DGET('SBV Import'!A:G,"SBV",{"RSC ID","Tier";B2240,A2240}))</f>
        <v/>
      </c>
      <c r="AY2240" s="82" t="str">
        <f t="shared" si="2"/>
        <v/>
      </c>
      <c r="AZ2240" s="82"/>
      <c r="BA2240" s="84" t="s">
        <v>152</v>
      </c>
      <c r="BB2240" s="84" t="str">
        <f>IFERROR(__xludf.DUMMYFUNCTION("iferror(if(A2240="""",,E2240&gt;=FILTER(Constants!$F$2:$F$10,Constants!$A$2:$A$10=A2240)))"),"")</f>
        <v/>
      </c>
    </row>
    <row r="2241">
      <c r="A2241" s="89"/>
      <c r="B2241" s="87"/>
      <c r="C2241" s="73"/>
      <c r="D2241" s="73"/>
      <c r="E2241" s="82"/>
      <c r="F2241" s="82"/>
      <c r="G2241" s="86"/>
      <c r="H2241" s="86"/>
      <c r="I2241" s="86"/>
      <c r="J2241" s="82"/>
      <c r="K2241" s="82"/>
      <c r="L2241" s="82"/>
      <c r="M2241" s="82"/>
      <c r="N2241" s="82"/>
      <c r="O2241" s="82"/>
      <c r="P2241" s="82"/>
      <c r="Q2241" s="82"/>
      <c r="R2241" s="82"/>
      <c r="S2241" s="82"/>
      <c r="T2241" s="82"/>
      <c r="U2241" s="82"/>
      <c r="V2241" s="82"/>
      <c r="W2241" s="82"/>
      <c r="X2241" s="82"/>
      <c r="Y2241" s="82"/>
      <c r="Z2241" s="82"/>
      <c r="AA2241" s="82"/>
      <c r="AB2241" s="82"/>
      <c r="AC2241" s="82"/>
      <c r="AD2241" s="82"/>
      <c r="AE2241" s="82"/>
      <c r="AF2241" s="82"/>
      <c r="AG2241" s="82"/>
      <c r="AH2241" s="82"/>
      <c r="AI2241" s="82"/>
      <c r="AJ2241" s="82"/>
      <c r="AK2241" s="82"/>
      <c r="AL2241" s="82"/>
      <c r="AM2241" s="82"/>
      <c r="AN2241" s="82"/>
      <c r="AO2241" s="82"/>
      <c r="AP2241" s="82"/>
      <c r="AQ2241" s="82"/>
      <c r="AR2241" s="82"/>
      <c r="AS2241" s="82"/>
      <c r="AT2241" s="82"/>
      <c r="AU2241" s="82"/>
      <c r="AV2241" s="82"/>
      <c r="AW2241" s="82" t="str">
        <f t="shared" si="1"/>
        <v/>
      </c>
      <c r="AX2241" s="83" t="str">
        <f t="array" ref="AX2241">IFERROR(DGET('SBV Import'!A:G,"SBV",{"RSC ID","Tier";B2241,A2241}))</f>
        <v/>
      </c>
      <c r="AY2241" s="82" t="str">
        <f t="shared" si="2"/>
        <v/>
      </c>
      <c r="AZ2241" s="82"/>
      <c r="BA2241" s="84" t="s">
        <v>152</v>
      </c>
      <c r="BB2241" s="84" t="str">
        <f>IFERROR(__xludf.DUMMYFUNCTION("iferror(if(A2241="""",,E2241&gt;=FILTER(Constants!$F$2:$F$10,Constants!$A$2:$A$10=A2241)))"),"")</f>
        <v/>
      </c>
    </row>
    <row r="2242">
      <c r="A2242" s="89"/>
      <c r="B2242" s="87"/>
      <c r="C2242" s="73"/>
      <c r="D2242" s="73"/>
      <c r="E2242" s="82"/>
      <c r="F2242" s="82"/>
      <c r="G2242" s="86"/>
      <c r="H2242" s="86"/>
      <c r="I2242" s="86"/>
      <c r="J2242" s="82"/>
      <c r="K2242" s="82"/>
      <c r="L2242" s="82"/>
      <c r="M2242" s="82"/>
      <c r="N2242" s="82"/>
      <c r="O2242" s="82"/>
      <c r="P2242" s="82"/>
      <c r="Q2242" s="82"/>
      <c r="R2242" s="82"/>
      <c r="S2242" s="82"/>
      <c r="T2242" s="82"/>
      <c r="U2242" s="82"/>
      <c r="V2242" s="82"/>
      <c r="W2242" s="82"/>
      <c r="X2242" s="82"/>
      <c r="Y2242" s="82"/>
      <c r="Z2242" s="82"/>
      <c r="AA2242" s="82"/>
      <c r="AB2242" s="82"/>
      <c r="AC2242" s="82"/>
      <c r="AD2242" s="82"/>
      <c r="AE2242" s="82"/>
      <c r="AF2242" s="82"/>
      <c r="AG2242" s="82"/>
      <c r="AH2242" s="82"/>
      <c r="AI2242" s="82"/>
      <c r="AJ2242" s="82"/>
      <c r="AK2242" s="82"/>
      <c r="AL2242" s="82"/>
      <c r="AM2242" s="82"/>
      <c r="AN2242" s="82"/>
      <c r="AO2242" s="82"/>
      <c r="AP2242" s="82"/>
      <c r="AQ2242" s="82"/>
      <c r="AR2242" s="82"/>
      <c r="AS2242" s="82"/>
      <c r="AT2242" s="82"/>
      <c r="AU2242" s="82"/>
      <c r="AV2242" s="82"/>
      <c r="AW2242" s="82" t="str">
        <f t="shared" si="1"/>
        <v/>
      </c>
      <c r="AX2242" s="83" t="str">
        <f t="array" ref="AX2242">IFERROR(DGET('SBV Import'!A:G,"SBV",{"RSC ID","Tier";B2242,A2242}))</f>
        <v/>
      </c>
      <c r="AY2242" s="82" t="str">
        <f t="shared" si="2"/>
        <v/>
      </c>
      <c r="AZ2242" s="82"/>
      <c r="BA2242" s="84" t="s">
        <v>152</v>
      </c>
      <c r="BB2242" s="84" t="str">
        <f>IFERROR(__xludf.DUMMYFUNCTION("iferror(if(A2242="""",,E2242&gt;=FILTER(Constants!$F$2:$F$10,Constants!$A$2:$A$10=A2242)))"),"")</f>
        <v/>
      </c>
    </row>
    <row r="2243">
      <c r="A2243" s="89"/>
      <c r="B2243" s="87"/>
      <c r="C2243" s="73"/>
      <c r="D2243" s="73"/>
      <c r="E2243" s="82"/>
      <c r="F2243" s="82"/>
      <c r="G2243" s="86"/>
      <c r="H2243" s="86"/>
      <c r="I2243" s="86"/>
      <c r="J2243" s="82"/>
      <c r="K2243" s="82"/>
      <c r="L2243" s="82"/>
      <c r="M2243" s="82"/>
      <c r="N2243" s="82"/>
      <c r="O2243" s="82"/>
      <c r="P2243" s="82"/>
      <c r="Q2243" s="82"/>
      <c r="R2243" s="82"/>
      <c r="S2243" s="82"/>
      <c r="T2243" s="82"/>
      <c r="U2243" s="82"/>
      <c r="V2243" s="82"/>
      <c r="W2243" s="82"/>
      <c r="X2243" s="82"/>
      <c r="Y2243" s="82"/>
      <c r="Z2243" s="82"/>
      <c r="AA2243" s="82"/>
      <c r="AB2243" s="82"/>
      <c r="AC2243" s="82"/>
      <c r="AD2243" s="82"/>
      <c r="AE2243" s="82"/>
      <c r="AF2243" s="82"/>
      <c r="AG2243" s="82"/>
      <c r="AH2243" s="82"/>
      <c r="AI2243" s="82"/>
      <c r="AJ2243" s="82"/>
      <c r="AK2243" s="82"/>
      <c r="AL2243" s="82"/>
      <c r="AM2243" s="82"/>
      <c r="AN2243" s="82"/>
      <c r="AO2243" s="82"/>
      <c r="AP2243" s="82"/>
      <c r="AQ2243" s="82"/>
      <c r="AR2243" s="82"/>
      <c r="AS2243" s="82"/>
      <c r="AT2243" s="82"/>
      <c r="AU2243" s="82"/>
      <c r="AV2243" s="82"/>
      <c r="AW2243" s="82" t="str">
        <f t="shared" si="1"/>
        <v/>
      </c>
      <c r="AX2243" s="83" t="str">
        <f t="array" ref="AX2243">IFERROR(DGET('SBV Import'!A:G,"SBV",{"RSC ID","Tier";B2243,A2243}))</f>
        <v/>
      </c>
      <c r="AY2243" s="82" t="str">
        <f t="shared" si="2"/>
        <v/>
      </c>
      <c r="AZ2243" s="82"/>
      <c r="BA2243" s="84" t="s">
        <v>152</v>
      </c>
      <c r="BB2243" s="84" t="str">
        <f>IFERROR(__xludf.DUMMYFUNCTION("iferror(if(A2243="""",,E2243&gt;=FILTER(Constants!$F$2:$F$10,Constants!$A$2:$A$10=A2243)))"),"")</f>
        <v/>
      </c>
    </row>
    <row r="2244">
      <c r="A2244" s="89"/>
      <c r="B2244" s="87"/>
      <c r="C2244" s="73"/>
      <c r="D2244" s="73"/>
      <c r="E2244" s="82"/>
      <c r="F2244" s="82"/>
      <c r="G2244" s="86"/>
      <c r="H2244" s="86"/>
      <c r="I2244" s="86"/>
      <c r="J2244" s="82"/>
      <c r="K2244" s="82"/>
      <c r="L2244" s="82"/>
      <c r="M2244" s="82"/>
      <c r="N2244" s="82"/>
      <c r="O2244" s="82"/>
      <c r="P2244" s="82"/>
      <c r="Q2244" s="82"/>
      <c r="R2244" s="82"/>
      <c r="S2244" s="82"/>
      <c r="T2244" s="82"/>
      <c r="U2244" s="82"/>
      <c r="V2244" s="82"/>
      <c r="W2244" s="82"/>
      <c r="X2244" s="82"/>
      <c r="Y2244" s="82"/>
      <c r="Z2244" s="82"/>
      <c r="AA2244" s="82"/>
      <c r="AB2244" s="82"/>
      <c r="AC2244" s="82"/>
      <c r="AD2244" s="82"/>
      <c r="AE2244" s="82"/>
      <c r="AF2244" s="82"/>
      <c r="AG2244" s="82"/>
      <c r="AH2244" s="82"/>
      <c r="AI2244" s="82"/>
      <c r="AJ2244" s="82"/>
      <c r="AK2244" s="82"/>
      <c r="AL2244" s="82"/>
      <c r="AM2244" s="82"/>
      <c r="AN2244" s="82"/>
      <c r="AO2244" s="82"/>
      <c r="AP2244" s="82"/>
      <c r="AQ2244" s="82"/>
      <c r="AR2244" s="82"/>
      <c r="AS2244" s="82"/>
      <c r="AT2244" s="82"/>
      <c r="AU2244" s="82"/>
      <c r="AV2244" s="82"/>
      <c r="AW2244" s="82" t="str">
        <f t="shared" si="1"/>
        <v/>
      </c>
      <c r="AX2244" s="83" t="str">
        <f t="array" ref="AX2244">IFERROR(DGET('SBV Import'!A:G,"SBV",{"RSC ID","Tier";B2244,A2244}))</f>
        <v/>
      </c>
      <c r="AY2244" s="82" t="str">
        <f t="shared" si="2"/>
        <v/>
      </c>
      <c r="AZ2244" s="82"/>
      <c r="BA2244" s="84" t="s">
        <v>152</v>
      </c>
      <c r="BB2244" s="84" t="str">
        <f>IFERROR(__xludf.DUMMYFUNCTION("iferror(if(A2244="""",,E2244&gt;=FILTER(Constants!$F$2:$F$10,Constants!$A$2:$A$10=A2244)))"),"")</f>
        <v/>
      </c>
    </row>
    <row r="2245">
      <c r="A2245" s="89"/>
      <c r="B2245" s="87"/>
      <c r="C2245" s="73"/>
      <c r="D2245" s="73"/>
      <c r="E2245" s="82"/>
      <c r="F2245" s="82"/>
      <c r="G2245" s="86"/>
      <c r="H2245" s="86"/>
      <c r="I2245" s="86"/>
      <c r="J2245" s="82"/>
      <c r="K2245" s="82"/>
      <c r="L2245" s="82"/>
      <c r="M2245" s="82"/>
      <c r="N2245" s="82"/>
      <c r="O2245" s="82"/>
      <c r="P2245" s="82"/>
      <c r="Q2245" s="82"/>
      <c r="R2245" s="82"/>
      <c r="S2245" s="82"/>
      <c r="T2245" s="82"/>
      <c r="U2245" s="82"/>
      <c r="V2245" s="82"/>
      <c r="W2245" s="82"/>
      <c r="X2245" s="82"/>
      <c r="Y2245" s="82"/>
      <c r="Z2245" s="82"/>
      <c r="AA2245" s="82"/>
      <c r="AB2245" s="82"/>
      <c r="AC2245" s="82"/>
      <c r="AD2245" s="82"/>
      <c r="AE2245" s="82"/>
      <c r="AF2245" s="82"/>
      <c r="AG2245" s="82"/>
      <c r="AH2245" s="82"/>
      <c r="AI2245" s="82"/>
      <c r="AJ2245" s="82"/>
      <c r="AK2245" s="82"/>
      <c r="AL2245" s="82"/>
      <c r="AM2245" s="82"/>
      <c r="AN2245" s="82"/>
      <c r="AO2245" s="82"/>
      <c r="AP2245" s="82"/>
      <c r="AQ2245" s="82"/>
      <c r="AR2245" s="82"/>
      <c r="AS2245" s="82"/>
      <c r="AT2245" s="82"/>
      <c r="AU2245" s="82"/>
      <c r="AV2245" s="82"/>
      <c r="AW2245" s="82" t="str">
        <f t="shared" si="1"/>
        <v/>
      </c>
      <c r="AX2245" s="83" t="str">
        <f t="array" ref="AX2245">IFERROR(DGET('SBV Import'!A:G,"SBV",{"RSC ID","Tier";B2245,A2245}))</f>
        <v/>
      </c>
      <c r="AY2245" s="82" t="str">
        <f t="shared" si="2"/>
        <v/>
      </c>
      <c r="AZ2245" s="82"/>
      <c r="BA2245" s="84" t="s">
        <v>152</v>
      </c>
      <c r="BB2245" s="84" t="str">
        <f>IFERROR(__xludf.DUMMYFUNCTION("iferror(if(A2245="""",,E2245&gt;=FILTER(Constants!$F$2:$F$10,Constants!$A$2:$A$10=A2245)))"),"")</f>
        <v/>
      </c>
    </row>
    <row r="2246">
      <c r="A2246" s="89"/>
      <c r="B2246" s="87"/>
      <c r="C2246" s="73"/>
      <c r="D2246" s="73"/>
      <c r="E2246" s="82"/>
      <c r="F2246" s="82"/>
      <c r="G2246" s="86"/>
      <c r="H2246" s="86"/>
      <c r="I2246" s="86"/>
      <c r="J2246" s="82"/>
      <c r="K2246" s="82"/>
      <c r="L2246" s="82"/>
      <c r="M2246" s="82"/>
      <c r="N2246" s="82"/>
      <c r="O2246" s="82"/>
      <c r="P2246" s="82"/>
      <c r="Q2246" s="82"/>
      <c r="R2246" s="82"/>
      <c r="S2246" s="82"/>
      <c r="T2246" s="82"/>
      <c r="U2246" s="82"/>
      <c r="V2246" s="82"/>
      <c r="W2246" s="82"/>
      <c r="X2246" s="82"/>
      <c r="Y2246" s="82"/>
      <c r="Z2246" s="82"/>
      <c r="AA2246" s="82"/>
      <c r="AB2246" s="82"/>
      <c r="AC2246" s="82"/>
      <c r="AD2246" s="82"/>
      <c r="AE2246" s="82"/>
      <c r="AF2246" s="82"/>
      <c r="AG2246" s="82"/>
      <c r="AH2246" s="82"/>
      <c r="AI2246" s="82"/>
      <c r="AJ2246" s="82"/>
      <c r="AK2246" s="82"/>
      <c r="AL2246" s="82"/>
      <c r="AM2246" s="82"/>
      <c r="AN2246" s="82"/>
      <c r="AO2246" s="82"/>
      <c r="AP2246" s="82"/>
      <c r="AQ2246" s="82"/>
      <c r="AR2246" s="82"/>
      <c r="AS2246" s="82"/>
      <c r="AT2246" s="82"/>
      <c r="AU2246" s="82"/>
      <c r="AV2246" s="82"/>
      <c r="AW2246" s="82" t="str">
        <f t="shared" si="1"/>
        <v/>
      </c>
      <c r="AX2246" s="83" t="str">
        <f t="array" ref="AX2246">IFERROR(DGET('SBV Import'!A:G,"SBV",{"RSC ID","Tier";B2246,A2246}))</f>
        <v/>
      </c>
      <c r="AY2246" s="82" t="str">
        <f t="shared" si="2"/>
        <v/>
      </c>
      <c r="AZ2246" s="82"/>
      <c r="BA2246" s="84" t="s">
        <v>152</v>
      </c>
      <c r="BB2246" s="84" t="str">
        <f>IFERROR(__xludf.DUMMYFUNCTION("iferror(if(A2246="""",,E2246&gt;=FILTER(Constants!$F$2:$F$10,Constants!$A$2:$A$10=A2246)))"),"")</f>
        <v/>
      </c>
    </row>
    <row r="2247">
      <c r="A2247" s="89"/>
      <c r="B2247" s="87"/>
      <c r="C2247" s="73"/>
      <c r="D2247" s="73"/>
      <c r="E2247" s="82"/>
      <c r="F2247" s="82"/>
      <c r="G2247" s="86"/>
      <c r="H2247" s="86"/>
      <c r="I2247" s="86"/>
      <c r="J2247" s="82"/>
      <c r="K2247" s="82"/>
      <c r="L2247" s="82"/>
      <c r="M2247" s="82"/>
      <c r="N2247" s="82"/>
      <c r="O2247" s="82"/>
      <c r="P2247" s="82"/>
      <c r="Q2247" s="82"/>
      <c r="R2247" s="82"/>
      <c r="S2247" s="82"/>
      <c r="T2247" s="82"/>
      <c r="U2247" s="82"/>
      <c r="V2247" s="82"/>
      <c r="W2247" s="82"/>
      <c r="X2247" s="82"/>
      <c r="Y2247" s="82"/>
      <c r="Z2247" s="82"/>
      <c r="AA2247" s="82"/>
      <c r="AB2247" s="82"/>
      <c r="AC2247" s="82"/>
      <c r="AD2247" s="82"/>
      <c r="AE2247" s="82"/>
      <c r="AF2247" s="82"/>
      <c r="AG2247" s="82"/>
      <c r="AH2247" s="82"/>
      <c r="AI2247" s="82"/>
      <c r="AJ2247" s="82"/>
      <c r="AK2247" s="82"/>
      <c r="AL2247" s="82"/>
      <c r="AM2247" s="82"/>
      <c r="AN2247" s="82"/>
      <c r="AO2247" s="82"/>
      <c r="AP2247" s="82"/>
      <c r="AQ2247" s="82"/>
      <c r="AR2247" s="82"/>
      <c r="AS2247" s="82"/>
      <c r="AT2247" s="82"/>
      <c r="AU2247" s="82"/>
      <c r="AV2247" s="82"/>
      <c r="AW2247" s="82" t="str">
        <f t="shared" si="1"/>
        <v/>
      </c>
      <c r="AX2247" s="83" t="str">
        <f t="array" ref="AX2247">IFERROR(DGET('SBV Import'!A:G,"SBV",{"RSC ID","Tier";B2247,A2247}))</f>
        <v/>
      </c>
      <c r="AY2247" s="82" t="str">
        <f t="shared" si="2"/>
        <v/>
      </c>
      <c r="AZ2247" s="82"/>
      <c r="BA2247" s="84" t="s">
        <v>152</v>
      </c>
      <c r="BB2247" s="84" t="str">
        <f>IFERROR(__xludf.DUMMYFUNCTION("iferror(if(A2247="""",,E2247&gt;=FILTER(Constants!$F$2:$F$10,Constants!$A$2:$A$10=A2247)))"),"")</f>
        <v/>
      </c>
    </row>
    <row r="2248">
      <c r="A2248" s="89"/>
      <c r="B2248" s="87"/>
      <c r="C2248" s="73"/>
      <c r="D2248" s="73"/>
      <c r="E2248" s="82"/>
      <c r="F2248" s="82"/>
      <c r="G2248" s="86"/>
      <c r="H2248" s="86"/>
      <c r="I2248" s="86"/>
      <c r="J2248" s="82"/>
      <c r="K2248" s="82"/>
      <c r="L2248" s="82"/>
      <c r="M2248" s="82"/>
      <c r="N2248" s="82"/>
      <c r="O2248" s="82"/>
      <c r="P2248" s="82"/>
      <c r="Q2248" s="82"/>
      <c r="R2248" s="82"/>
      <c r="S2248" s="82"/>
      <c r="T2248" s="82"/>
      <c r="U2248" s="82"/>
      <c r="V2248" s="82"/>
      <c r="W2248" s="82"/>
      <c r="X2248" s="82"/>
      <c r="Y2248" s="82"/>
      <c r="Z2248" s="82"/>
      <c r="AA2248" s="82"/>
      <c r="AB2248" s="82"/>
      <c r="AC2248" s="82"/>
      <c r="AD2248" s="82"/>
      <c r="AE2248" s="82"/>
      <c r="AF2248" s="82"/>
      <c r="AG2248" s="82"/>
      <c r="AH2248" s="82"/>
      <c r="AI2248" s="82"/>
      <c r="AJ2248" s="82"/>
      <c r="AK2248" s="82"/>
      <c r="AL2248" s="82"/>
      <c r="AM2248" s="82"/>
      <c r="AN2248" s="82"/>
      <c r="AO2248" s="82"/>
      <c r="AP2248" s="82"/>
      <c r="AQ2248" s="82"/>
      <c r="AR2248" s="82"/>
      <c r="AS2248" s="82"/>
      <c r="AT2248" s="82"/>
      <c r="AU2248" s="82"/>
      <c r="AV2248" s="82"/>
      <c r="AW2248" s="82" t="str">
        <f t="shared" si="1"/>
        <v/>
      </c>
      <c r="AX2248" s="83" t="str">
        <f t="array" ref="AX2248">IFERROR(DGET('SBV Import'!A:G,"SBV",{"RSC ID","Tier";B2248,A2248}))</f>
        <v/>
      </c>
      <c r="AY2248" s="82" t="str">
        <f t="shared" si="2"/>
        <v/>
      </c>
      <c r="AZ2248" s="82"/>
      <c r="BA2248" s="84" t="s">
        <v>152</v>
      </c>
      <c r="BB2248" s="84" t="str">
        <f>IFERROR(__xludf.DUMMYFUNCTION("iferror(if(A2248="""",,E2248&gt;=FILTER(Constants!$F$2:$F$10,Constants!$A$2:$A$10=A2248)))"),"")</f>
        <v/>
      </c>
    </row>
    <row r="2249">
      <c r="A2249" s="89"/>
      <c r="B2249" s="87"/>
      <c r="C2249" s="73"/>
      <c r="D2249" s="73"/>
      <c r="E2249" s="82"/>
      <c r="F2249" s="82"/>
      <c r="G2249" s="86"/>
      <c r="H2249" s="86"/>
      <c r="I2249" s="86"/>
      <c r="J2249" s="82"/>
      <c r="K2249" s="82"/>
      <c r="L2249" s="82"/>
      <c r="M2249" s="82"/>
      <c r="N2249" s="82"/>
      <c r="O2249" s="82"/>
      <c r="P2249" s="82"/>
      <c r="Q2249" s="82"/>
      <c r="R2249" s="82"/>
      <c r="S2249" s="82"/>
      <c r="T2249" s="82"/>
      <c r="U2249" s="82"/>
      <c r="V2249" s="82"/>
      <c r="W2249" s="82"/>
      <c r="X2249" s="82"/>
      <c r="Y2249" s="82"/>
      <c r="Z2249" s="82"/>
      <c r="AA2249" s="82"/>
      <c r="AB2249" s="82"/>
      <c r="AC2249" s="82"/>
      <c r="AD2249" s="82"/>
      <c r="AE2249" s="82"/>
      <c r="AF2249" s="82"/>
      <c r="AG2249" s="82"/>
      <c r="AH2249" s="82"/>
      <c r="AI2249" s="82"/>
      <c r="AJ2249" s="82"/>
      <c r="AK2249" s="82"/>
      <c r="AL2249" s="82"/>
      <c r="AM2249" s="82"/>
      <c r="AN2249" s="82"/>
      <c r="AO2249" s="82"/>
      <c r="AP2249" s="82"/>
      <c r="AQ2249" s="82"/>
      <c r="AR2249" s="82"/>
      <c r="AS2249" s="82"/>
      <c r="AT2249" s="82"/>
      <c r="AU2249" s="82"/>
      <c r="AV2249" s="82"/>
      <c r="AW2249" s="82" t="str">
        <f t="shared" si="1"/>
        <v/>
      </c>
      <c r="AX2249" s="83" t="str">
        <f t="array" ref="AX2249">IFERROR(DGET('SBV Import'!A:G,"SBV",{"RSC ID","Tier";B2249,A2249}))</f>
        <v/>
      </c>
      <c r="AY2249" s="82" t="str">
        <f t="shared" si="2"/>
        <v/>
      </c>
      <c r="AZ2249" s="82"/>
      <c r="BA2249" s="84" t="s">
        <v>152</v>
      </c>
      <c r="BB2249" s="84" t="str">
        <f>IFERROR(__xludf.DUMMYFUNCTION("iferror(if(A2249="""",,E2249&gt;=FILTER(Constants!$F$2:$F$10,Constants!$A$2:$A$10=A2249)))"),"")</f>
        <v/>
      </c>
    </row>
    <row r="2250">
      <c r="A2250" s="89"/>
      <c r="B2250" s="87"/>
      <c r="C2250" s="73"/>
      <c r="D2250" s="73"/>
      <c r="E2250" s="82"/>
      <c r="F2250" s="82"/>
      <c r="G2250" s="86"/>
      <c r="H2250" s="86"/>
      <c r="I2250" s="86"/>
      <c r="J2250" s="82"/>
      <c r="K2250" s="82"/>
      <c r="L2250" s="82"/>
      <c r="M2250" s="82"/>
      <c r="N2250" s="82"/>
      <c r="O2250" s="82"/>
      <c r="P2250" s="82"/>
      <c r="Q2250" s="82"/>
      <c r="R2250" s="82"/>
      <c r="S2250" s="82"/>
      <c r="T2250" s="82"/>
      <c r="U2250" s="82"/>
      <c r="V2250" s="82"/>
      <c r="W2250" s="82"/>
      <c r="X2250" s="82"/>
      <c r="Y2250" s="82"/>
      <c r="Z2250" s="82"/>
      <c r="AA2250" s="82"/>
      <c r="AB2250" s="82"/>
      <c r="AC2250" s="82"/>
      <c r="AD2250" s="82"/>
      <c r="AE2250" s="82"/>
      <c r="AF2250" s="82"/>
      <c r="AG2250" s="82"/>
      <c r="AH2250" s="82"/>
      <c r="AI2250" s="82"/>
      <c r="AJ2250" s="82"/>
      <c r="AK2250" s="82"/>
      <c r="AL2250" s="82"/>
      <c r="AM2250" s="82"/>
      <c r="AN2250" s="82"/>
      <c r="AO2250" s="82"/>
      <c r="AP2250" s="82"/>
      <c r="AQ2250" s="82"/>
      <c r="AR2250" s="82"/>
      <c r="AS2250" s="82"/>
      <c r="AT2250" s="82"/>
      <c r="AU2250" s="82"/>
      <c r="AV2250" s="82"/>
      <c r="AW2250" s="82" t="str">
        <f t="shared" si="1"/>
        <v/>
      </c>
      <c r="AX2250" s="83" t="str">
        <f t="array" ref="AX2250">IFERROR(DGET('SBV Import'!A:G,"SBV",{"RSC ID","Tier";B2250,A2250}))</f>
        <v/>
      </c>
      <c r="AY2250" s="82" t="str">
        <f t="shared" si="2"/>
        <v/>
      </c>
      <c r="AZ2250" s="82"/>
      <c r="BA2250" s="84" t="s">
        <v>152</v>
      </c>
      <c r="BB2250" s="84" t="str">
        <f>IFERROR(__xludf.DUMMYFUNCTION("iferror(if(A2250="""",,E2250&gt;=FILTER(Constants!$F$2:$F$10,Constants!$A$2:$A$10=A2250)))"),"")</f>
        <v/>
      </c>
    </row>
    <row r="2251">
      <c r="A2251" s="89"/>
      <c r="B2251" s="87"/>
      <c r="C2251" s="73"/>
      <c r="D2251" s="73"/>
      <c r="E2251" s="82"/>
      <c r="F2251" s="82"/>
      <c r="G2251" s="86"/>
      <c r="H2251" s="86"/>
      <c r="I2251" s="86"/>
      <c r="J2251" s="82"/>
      <c r="K2251" s="82"/>
      <c r="L2251" s="82"/>
      <c r="M2251" s="82"/>
      <c r="N2251" s="82"/>
      <c r="O2251" s="82"/>
      <c r="P2251" s="82"/>
      <c r="Q2251" s="82"/>
      <c r="R2251" s="82"/>
      <c r="S2251" s="82"/>
      <c r="T2251" s="82"/>
      <c r="U2251" s="82"/>
      <c r="V2251" s="82"/>
      <c r="W2251" s="82"/>
      <c r="X2251" s="82"/>
      <c r="Y2251" s="82"/>
      <c r="Z2251" s="82"/>
      <c r="AA2251" s="82"/>
      <c r="AB2251" s="82"/>
      <c r="AC2251" s="82"/>
      <c r="AD2251" s="82"/>
      <c r="AE2251" s="82"/>
      <c r="AF2251" s="82"/>
      <c r="AG2251" s="82"/>
      <c r="AH2251" s="82"/>
      <c r="AI2251" s="82"/>
      <c r="AJ2251" s="82"/>
      <c r="AK2251" s="82"/>
      <c r="AL2251" s="82"/>
      <c r="AM2251" s="82"/>
      <c r="AN2251" s="82"/>
      <c r="AO2251" s="82"/>
      <c r="AP2251" s="82"/>
      <c r="AQ2251" s="82"/>
      <c r="AR2251" s="82"/>
      <c r="AS2251" s="82"/>
      <c r="AT2251" s="82"/>
      <c r="AU2251" s="82"/>
      <c r="AV2251" s="82"/>
      <c r="AW2251" s="82" t="str">
        <f t="shared" si="1"/>
        <v/>
      </c>
      <c r="AX2251" s="83" t="str">
        <f t="array" ref="AX2251">IFERROR(DGET('SBV Import'!A:G,"SBV",{"RSC ID","Tier";B2251,A2251}))</f>
        <v/>
      </c>
      <c r="AY2251" s="82" t="str">
        <f t="shared" si="2"/>
        <v/>
      </c>
      <c r="AZ2251" s="82"/>
      <c r="BA2251" s="84" t="s">
        <v>152</v>
      </c>
      <c r="BB2251" s="84" t="str">
        <f>IFERROR(__xludf.DUMMYFUNCTION("iferror(if(A2251="""",,E2251&gt;=FILTER(Constants!$F$2:$F$10,Constants!$A$2:$A$10=A2251)))"),"")</f>
        <v/>
      </c>
    </row>
    <row r="2252">
      <c r="A2252" s="89"/>
      <c r="B2252" s="87"/>
      <c r="C2252" s="73"/>
      <c r="D2252" s="73"/>
      <c r="E2252" s="82"/>
      <c r="F2252" s="82"/>
      <c r="G2252" s="86"/>
      <c r="H2252" s="86"/>
      <c r="I2252" s="86"/>
      <c r="J2252" s="82"/>
      <c r="K2252" s="82"/>
      <c r="L2252" s="82"/>
      <c r="M2252" s="82"/>
      <c r="N2252" s="82"/>
      <c r="O2252" s="82"/>
      <c r="P2252" s="82"/>
      <c r="Q2252" s="82"/>
      <c r="R2252" s="82"/>
      <c r="S2252" s="82"/>
      <c r="T2252" s="82"/>
      <c r="U2252" s="82"/>
      <c r="V2252" s="82"/>
      <c r="W2252" s="82"/>
      <c r="X2252" s="82"/>
      <c r="Y2252" s="82"/>
      <c r="Z2252" s="82"/>
      <c r="AA2252" s="82"/>
      <c r="AB2252" s="82"/>
      <c r="AC2252" s="82"/>
      <c r="AD2252" s="82"/>
      <c r="AE2252" s="82"/>
      <c r="AF2252" s="82"/>
      <c r="AG2252" s="82"/>
      <c r="AH2252" s="82"/>
      <c r="AI2252" s="82"/>
      <c r="AJ2252" s="82"/>
      <c r="AK2252" s="82"/>
      <c r="AL2252" s="82"/>
      <c r="AM2252" s="82"/>
      <c r="AN2252" s="82"/>
      <c r="AO2252" s="82"/>
      <c r="AP2252" s="82"/>
      <c r="AQ2252" s="82"/>
      <c r="AR2252" s="82"/>
      <c r="AS2252" s="82"/>
      <c r="AT2252" s="82"/>
      <c r="AU2252" s="82"/>
      <c r="AV2252" s="82"/>
      <c r="AW2252" s="82" t="str">
        <f t="shared" si="1"/>
        <v/>
      </c>
      <c r="AX2252" s="83" t="str">
        <f t="array" ref="AX2252">IFERROR(DGET('SBV Import'!A:G,"SBV",{"RSC ID","Tier";B2252,A2252}))</f>
        <v/>
      </c>
      <c r="AY2252" s="82" t="str">
        <f t="shared" si="2"/>
        <v/>
      </c>
      <c r="AZ2252" s="82"/>
      <c r="BA2252" s="84" t="s">
        <v>152</v>
      </c>
      <c r="BB2252" s="84" t="str">
        <f>IFERROR(__xludf.DUMMYFUNCTION("iferror(if(A2252="""",,E2252&gt;=FILTER(Constants!$F$2:$F$10,Constants!$A$2:$A$10=A2252)))"),"")</f>
        <v/>
      </c>
    </row>
    <row r="2253">
      <c r="A2253" s="89"/>
      <c r="B2253" s="87"/>
      <c r="C2253" s="73"/>
      <c r="D2253" s="73"/>
      <c r="E2253" s="82"/>
      <c r="F2253" s="82"/>
      <c r="G2253" s="86"/>
      <c r="H2253" s="86"/>
      <c r="I2253" s="86"/>
      <c r="J2253" s="82"/>
      <c r="K2253" s="82"/>
      <c r="L2253" s="82"/>
      <c r="M2253" s="82"/>
      <c r="N2253" s="82"/>
      <c r="O2253" s="82"/>
      <c r="P2253" s="82"/>
      <c r="Q2253" s="82"/>
      <c r="R2253" s="82"/>
      <c r="S2253" s="82"/>
      <c r="T2253" s="82"/>
      <c r="U2253" s="82"/>
      <c r="V2253" s="82"/>
      <c r="W2253" s="82"/>
      <c r="X2253" s="82"/>
      <c r="Y2253" s="82"/>
      <c r="Z2253" s="82"/>
      <c r="AA2253" s="82"/>
      <c r="AB2253" s="82"/>
      <c r="AC2253" s="82"/>
      <c r="AD2253" s="82"/>
      <c r="AE2253" s="82"/>
      <c r="AF2253" s="82"/>
      <c r="AG2253" s="82"/>
      <c r="AH2253" s="82"/>
      <c r="AI2253" s="82"/>
      <c r="AJ2253" s="82"/>
      <c r="AK2253" s="82"/>
      <c r="AL2253" s="82"/>
      <c r="AM2253" s="82"/>
      <c r="AN2253" s="82"/>
      <c r="AO2253" s="82"/>
      <c r="AP2253" s="82"/>
      <c r="AQ2253" s="82"/>
      <c r="AR2253" s="82"/>
      <c r="AS2253" s="82"/>
      <c r="AT2253" s="82"/>
      <c r="AU2253" s="82"/>
      <c r="AV2253" s="82"/>
      <c r="AW2253" s="82" t="str">
        <f t="shared" si="1"/>
        <v/>
      </c>
      <c r="AX2253" s="83" t="str">
        <f t="array" ref="AX2253">IFERROR(DGET('SBV Import'!A:G,"SBV",{"RSC ID","Tier";B2253,A2253}))</f>
        <v/>
      </c>
      <c r="AY2253" s="82" t="str">
        <f t="shared" si="2"/>
        <v/>
      </c>
      <c r="AZ2253" s="82"/>
      <c r="BA2253" s="84" t="s">
        <v>152</v>
      </c>
      <c r="BB2253" s="84" t="str">
        <f>IFERROR(__xludf.DUMMYFUNCTION("iferror(if(A2253="""",,E2253&gt;=FILTER(Constants!$F$2:$F$10,Constants!$A$2:$A$10=A2253)))"),"")</f>
        <v/>
      </c>
    </row>
    <row r="2254">
      <c r="A2254" s="89"/>
      <c r="B2254" s="87"/>
      <c r="C2254" s="73"/>
      <c r="D2254" s="73"/>
      <c r="E2254" s="82"/>
      <c r="F2254" s="82"/>
      <c r="G2254" s="86"/>
      <c r="H2254" s="86"/>
      <c r="I2254" s="86"/>
      <c r="J2254" s="82"/>
      <c r="K2254" s="82"/>
      <c r="L2254" s="82"/>
      <c r="M2254" s="82"/>
      <c r="N2254" s="82"/>
      <c r="O2254" s="82"/>
      <c r="P2254" s="82"/>
      <c r="Q2254" s="82"/>
      <c r="R2254" s="82"/>
      <c r="S2254" s="82"/>
      <c r="T2254" s="82"/>
      <c r="U2254" s="82"/>
      <c r="V2254" s="82"/>
      <c r="W2254" s="82"/>
      <c r="X2254" s="82"/>
      <c r="Y2254" s="82"/>
      <c r="Z2254" s="82"/>
      <c r="AA2254" s="82"/>
      <c r="AB2254" s="82"/>
      <c r="AC2254" s="82"/>
      <c r="AD2254" s="82"/>
      <c r="AE2254" s="82"/>
      <c r="AF2254" s="82"/>
      <c r="AG2254" s="82"/>
      <c r="AH2254" s="82"/>
      <c r="AI2254" s="82"/>
      <c r="AJ2254" s="82"/>
      <c r="AK2254" s="82"/>
      <c r="AL2254" s="82"/>
      <c r="AM2254" s="82"/>
      <c r="AN2254" s="82"/>
      <c r="AO2254" s="82"/>
      <c r="AP2254" s="82"/>
      <c r="AQ2254" s="82"/>
      <c r="AR2254" s="82"/>
      <c r="AS2254" s="82"/>
      <c r="AT2254" s="82"/>
      <c r="AU2254" s="82"/>
      <c r="AV2254" s="82"/>
      <c r="AW2254" s="82" t="str">
        <f t="shared" si="1"/>
        <v/>
      </c>
      <c r="AX2254" s="83" t="str">
        <f t="array" ref="AX2254">IFERROR(DGET('SBV Import'!A:G,"SBV",{"RSC ID","Tier";B2254,A2254}))</f>
        <v/>
      </c>
      <c r="AY2254" s="82" t="str">
        <f t="shared" si="2"/>
        <v/>
      </c>
      <c r="AZ2254" s="82"/>
      <c r="BA2254" s="84" t="s">
        <v>152</v>
      </c>
      <c r="BB2254" s="84" t="str">
        <f>IFERROR(__xludf.DUMMYFUNCTION("iferror(if(A2254="""",,E2254&gt;=FILTER(Constants!$F$2:$F$10,Constants!$A$2:$A$10=A2254)))"),"")</f>
        <v/>
      </c>
    </row>
    <row r="2255">
      <c r="A2255" s="89"/>
      <c r="B2255" s="87"/>
      <c r="C2255" s="73"/>
      <c r="D2255" s="73"/>
      <c r="E2255" s="82"/>
      <c r="F2255" s="82"/>
      <c r="G2255" s="86"/>
      <c r="H2255" s="86"/>
      <c r="I2255" s="86"/>
      <c r="J2255" s="82"/>
      <c r="K2255" s="82"/>
      <c r="L2255" s="82"/>
      <c r="M2255" s="82"/>
      <c r="N2255" s="82"/>
      <c r="O2255" s="82"/>
      <c r="P2255" s="82"/>
      <c r="Q2255" s="82"/>
      <c r="R2255" s="82"/>
      <c r="S2255" s="82"/>
      <c r="T2255" s="82"/>
      <c r="U2255" s="82"/>
      <c r="V2255" s="82"/>
      <c r="W2255" s="82"/>
      <c r="X2255" s="82"/>
      <c r="Y2255" s="82"/>
      <c r="Z2255" s="82"/>
      <c r="AA2255" s="82"/>
      <c r="AB2255" s="82"/>
      <c r="AC2255" s="82"/>
      <c r="AD2255" s="82"/>
      <c r="AE2255" s="82"/>
      <c r="AF2255" s="82"/>
      <c r="AG2255" s="82"/>
      <c r="AH2255" s="82"/>
      <c r="AI2255" s="82"/>
      <c r="AJ2255" s="82"/>
      <c r="AK2255" s="82"/>
      <c r="AL2255" s="82"/>
      <c r="AM2255" s="82"/>
      <c r="AN2255" s="82"/>
      <c r="AO2255" s="82"/>
      <c r="AP2255" s="82"/>
      <c r="AQ2255" s="82"/>
      <c r="AR2255" s="82"/>
      <c r="AS2255" s="82"/>
      <c r="AT2255" s="82"/>
      <c r="AU2255" s="82"/>
      <c r="AV2255" s="82"/>
      <c r="AW2255" s="82" t="str">
        <f t="shared" si="1"/>
        <v/>
      </c>
      <c r="AX2255" s="83" t="str">
        <f t="array" ref="AX2255">IFERROR(DGET('SBV Import'!A:G,"SBV",{"RSC ID","Tier";B2255,A2255}))</f>
        <v/>
      </c>
      <c r="AY2255" s="82" t="str">
        <f t="shared" si="2"/>
        <v/>
      </c>
      <c r="AZ2255" s="82"/>
      <c r="BA2255" s="84" t="s">
        <v>152</v>
      </c>
      <c r="BB2255" s="84" t="str">
        <f>IFERROR(__xludf.DUMMYFUNCTION("iferror(if(A2255="""",,E2255&gt;=FILTER(Constants!$F$2:$F$10,Constants!$A$2:$A$10=A2255)))"),"")</f>
        <v/>
      </c>
    </row>
    <row r="2256">
      <c r="A2256" s="89"/>
      <c r="B2256" s="87"/>
      <c r="C2256" s="73"/>
      <c r="D2256" s="73"/>
      <c r="E2256" s="82"/>
      <c r="F2256" s="82"/>
      <c r="G2256" s="86"/>
      <c r="H2256" s="86"/>
      <c r="I2256" s="86"/>
      <c r="J2256" s="82"/>
      <c r="K2256" s="82"/>
      <c r="L2256" s="82"/>
      <c r="M2256" s="82"/>
      <c r="N2256" s="82"/>
      <c r="O2256" s="82"/>
      <c r="P2256" s="82"/>
      <c r="Q2256" s="82"/>
      <c r="R2256" s="82"/>
      <c r="S2256" s="82"/>
      <c r="T2256" s="82"/>
      <c r="U2256" s="82"/>
      <c r="V2256" s="82"/>
      <c r="W2256" s="82"/>
      <c r="X2256" s="82"/>
      <c r="Y2256" s="82"/>
      <c r="Z2256" s="82"/>
      <c r="AA2256" s="82"/>
      <c r="AB2256" s="82"/>
      <c r="AC2256" s="82"/>
      <c r="AD2256" s="82"/>
      <c r="AE2256" s="82"/>
      <c r="AF2256" s="82"/>
      <c r="AG2256" s="82"/>
      <c r="AH2256" s="82"/>
      <c r="AI2256" s="82"/>
      <c r="AJ2256" s="82"/>
      <c r="AK2256" s="82"/>
      <c r="AL2256" s="82"/>
      <c r="AM2256" s="82"/>
      <c r="AN2256" s="82"/>
      <c r="AO2256" s="82"/>
      <c r="AP2256" s="82"/>
      <c r="AQ2256" s="82"/>
      <c r="AR2256" s="82"/>
      <c r="AS2256" s="82"/>
      <c r="AT2256" s="82"/>
      <c r="AU2256" s="82"/>
      <c r="AV2256" s="82"/>
      <c r="AW2256" s="82" t="str">
        <f t="shared" si="1"/>
        <v/>
      </c>
      <c r="AX2256" s="83" t="str">
        <f t="array" ref="AX2256">IFERROR(DGET('SBV Import'!A:G,"SBV",{"RSC ID","Tier";B2256,A2256}))</f>
        <v/>
      </c>
      <c r="AY2256" s="82" t="str">
        <f t="shared" si="2"/>
        <v/>
      </c>
      <c r="AZ2256" s="82"/>
      <c r="BA2256" s="84" t="s">
        <v>152</v>
      </c>
      <c r="BB2256" s="84" t="str">
        <f>IFERROR(__xludf.DUMMYFUNCTION("iferror(if(A2256="""",,E2256&gt;=FILTER(Constants!$F$2:$F$10,Constants!$A$2:$A$10=A2256)))"),"")</f>
        <v/>
      </c>
    </row>
    <row r="2257">
      <c r="A2257" s="89"/>
      <c r="B2257" s="87"/>
      <c r="C2257" s="73"/>
      <c r="D2257" s="73"/>
      <c r="E2257" s="82"/>
      <c r="F2257" s="82"/>
      <c r="G2257" s="86"/>
      <c r="H2257" s="86"/>
      <c r="I2257" s="86"/>
      <c r="J2257" s="82"/>
      <c r="K2257" s="82"/>
      <c r="L2257" s="82"/>
      <c r="M2257" s="82"/>
      <c r="N2257" s="82"/>
      <c r="O2257" s="82"/>
      <c r="P2257" s="82"/>
      <c r="Q2257" s="82"/>
      <c r="R2257" s="82"/>
      <c r="S2257" s="82"/>
      <c r="T2257" s="82"/>
      <c r="U2257" s="82"/>
      <c r="V2257" s="82"/>
      <c r="W2257" s="82"/>
      <c r="X2257" s="82"/>
      <c r="Y2257" s="82"/>
      <c r="Z2257" s="82"/>
      <c r="AA2257" s="82"/>
      <c r="AB2257" s="82"/>
      <c r="AC2257" s="82"/>
      <c r="AD2257" s="82"/>
      <c r="AE2257" s="82"/>
      <c r="AF2257" s="82"/>
      <c r="AG2257" s="82"/>
      <c r="AH2257" s="82"/>
      <c r="AI2257" s="82"/>
      <c r="AJ2257" s="82"/>
      <c r="AK2257" s="82"/>
      <c r="AL2257" s="82"/>
      <c r="AM2257" s="82"/>
      <c r="AN2257" s="82"/>
      <c r="AO2257" s="82"/>
      <c r="AP2257" s="82"/>
      <c r="AQ2257" s="82"/>
      <c r="AR2257" s="82"/>
      <c r="AS2257" s="82"/>
      <c r="AT2257" s="82"/>
      <c r="AU2257" s="82"/>
      <c r="AV2257" s="82"/>
      <c r="AW2257" s="82" t="str">
        <f t="shared" si="1"/>
        <v/>
      </c>
      <c r="AX2257" s="83" t="str">
        <f t="array" ref="AX2257">IFERROR(DGET('SBV Import'!A:G,"SBV",{"RSC ID","Tier";B2257,A2257}))</f>
        <v/>
      </c>
      <c r="AY2257" s="82" t="str">
        <f t="shared" si="2"/>
        <v/>
      </c>
      <c r="AZ2257" s="82"/>
      <c r="BA2257" s="84" t="s">
        <v>152</v>
      </c>
      <c r="BB2257" s="84" t="str">
        <f>IFERROR(__xludf.DUMMYFUNCTION("iferror(if(A2257="""",,E2257&gt;=FILTER(Constants!$F$2:$F$10,Constants!$A$2:$A$10=A2257)))"),"")</f>
        <v/>
      </c>
    </row>
    <row r="2258">
      <c r="A2258" s="89"/>
      <c r="B2258" s="87"/>
      <c r="C2258" s="73"/>
      <c r="D2258" s="73"/>
      <c r="E2258" s="82"/>
      <c r="F2258" s="82"/>
      <c r="G2258" s="86"/>
      <c r="H2258" s="86"/>
      <c r="I2258" s="86"/>
      <c r="J2258" s="82"/>
      <c r="K2258" s="82"/>
      <c r="L2258" s="82"/>
      <c r="M2258" s="82"/>
      <c r="N2258" s="82"/>
      <c r="O2258" s="82"/>
      <c r="P2258" s="82"/>
      <c r="Q2258" s="82"/>
      <c r="R2258" s="82"/>
      <c r="S2258" s="82"/>
      <c r="T2258" s="82"/>
      <c r="U2258" s="82"/>
      <c r="V2258" s="82"/>
      <c r="W2258" s="82"/>
      <c r="X2258" s="82"/>
      <c r="Y2258" s="82"/>
      <c r="Z2258" s="82"/>
      <c r="AA2258" s="82"/>
      <c r="AB2258" s="82"/>
      <c r="AC2258" s="82"/>
      <c r="AD2258" s="82"/>
      <c r="AE2258" s="82"/>
      <c r="AF2258" s="82"/>
      <c r="AG2258" s="82"/>
      <c r="AH2258" s="82"/>
      <c r="AI2258" s="82"/>
      <c r="AJ2258" s="82"/>
      <c r="AK2258" s="82"/>
      <c r="AL2258" s="82"/>
      <c r="AM2258" s="82"/>
      <c r="AN2258" s="82"/>
      <c r="AO2258" s="82"/>
      <c r="AP2258" s="82"/>
      <c r="AQ2258" s="82"/>
      <c r="AR2258" s="82"/>
      <c r="AS2258" s="82"/>
      <c r="AT2258" s="82"/>
      <c r="AU2258" s="82"/>
      <c r="AV2258" s="82"/>
      <c r="AW2258" s="82" t="str">
        <f t="shared" si="1"/>
        <v/>
      </c>
      <c r="AX2258" s="83" t="str">
        <f t="array" ref="AX2258">IFERROR(DGET('SBV Import'!A:G,"SBV",{"RSC ID","Tier";B2258,A2258}))</f>
        <v/>
      </c>
      <c r="AY2258" s="82" t="str">
        <f t="shared" si="2"/>
        <v/>
      </c>
      <c r="AZ2258" s="82"/>
      <c r="BA2258" s="84" t="s">
        <v>152</v>
      </c>
      <c r="BB2258" s="84" t="str">
        <f>IFERROR(__xludf.DUMMYFUNCTION("iferror(if(A2258="""",,E2258&gt;=FILTER(Constants!$F$2:$F$10,Constants!$A$2:$A$10=A2258)))"),"")</f>
        <v/>
      </c>
    </row>
    <row r="2259">
      <c r="A2259" s="89"/>
      <c r="B2259" s="87"/>
      <c r="C2259" s="73"/>
      <c r="D2259" s="73"/>
      <c r="E2259" s="82"/>
      <c r="F2259" s="82"/>
      <c r="G2259" s="86"/>
      <c r="H2259" s="86"/>
      <c r="I2259" s="86"/>
      <c r="J2259" s="82"/>
      <c r="K2259" s="82"/>
      <c r="L2259" s="82"/>
      <c r="M2259" s="82"/>
      <c r="N2259" s="82"/>
      <c r="O2259" s="82"/>
      <c r="P2259" s="82"/>
      <c r="Q2259" s="82"/>
      <c r="R2259" s="82"/>
      <c r="S2259" s="82"/>
      <c r="T2259" s="82"/>
      <c r="U2259" s="82"/>
      <c r="V2259" s="82"/>
      <c r="W2259" s="82"/>
      <c r="X2259" s="82"/>
      <c r="Y2259" s="82"/>
      <c r="Z2259" s="82"/>
      <c r="AA2259" s="82"/>
      <c r="AB2259" s="82"/>
      <c r="AC2259" s="82"/>
      <c r="AD2259" s="82"/>
      <c r="AE2259" s="82"/>
      <c r="AF2259" s="82"/>
      <c r="AG2259" s="82"/>
      <c r="AH2259" s="82"/>
      <c r="AI2259" s="82"/>
      <c r="AJ2259" s="82"/>
      <c r="AK2259" s="82"/>
      <c r="AL2259" s="82"/>
      <c r="AM2259" s="82"/>
      <c r="AN2259" s="82"/>
      <c r="AO2259" s="82"/>
      <c r="AP2259" s="82"/>
      <c r="AQ2259" s="82"/>
      <c r="AR2259" s="82"/>
      <c r="AS2259" s="82"/>
      <c r="AT2259" s="82"/>
      <c r="AU2259" s="82"/>
      <c r="AV2259" s="82"/>
      <c r="AW2259" s="82" t="str">
        <f t="shared" si="1"/>
        <v/>
      </c>
      <c r="AX2259" s="83" t="str">
        <f t="array" ref="AX2259">IFERROR(DGET('SBV Import'!A:G,"SBV",{"RSC ID","Tier";B2259,A2259}))</f>
        <v/>
      </c>
      <c r="AY2259" s="82" t="str">
        <f t="shared" si="2"/>
        <v/>
      </c>
      <c r="AZ2259" s="82"/>
      <c r="BA2259" s="84" t="s">
        <v>152</v>
      </c>
      <c r="BB2259" s="84" t="str">
        <f>IFERROR(__xludf.DUMMYFUNCTION("iferror(if(A2259="""",,E2259&gt;=FILTER(Constants!$F$2:$F$10,Constants!$A$2:$A$10=A2259)))"),"")</f>
        <v/>
      </c>
    </row>
    <row r="2260">
      <c r="A2260" s="89"/>
      <c r="B2260" s="87"/>
      <c r="C2260" s="73"/>
      <c r="D2260" s="73"/>
      <c r="E2260" s="82"/>
      <c r="F2260" s="82"/>
      <c r="G2260" s="86"/>
      <c r="H2260" s="86"/>
      <c r="I2260" s="86"/>
      <c r="J2260" s="82"/>
      <c r="K2260" s="82"/>
      <c r="L2260" s="82"/>
      <c r="M2260" s="82"/>
      <c r="N2260" s="82"/>
      <c r="O2260" s="82"/>
      <c r="P2260" s="82"/>
      <c r="Q2260" s="82"/>
      <c r="R2260" s="82"/>
      <c r="S2260" s="82"/>
      <c r="T2260" s="82"/>
      <c r="U2260" s="82"/>
      <c r="V2260" s="82"/>
      <c r="W2260" s="82"/>
      <c r="X2260" s="82"/>
      <c r="Y2260" s="82"/>
      <c r="Z2260" s="82"/>
      <c r="AA2260" s="82"/>
      <c r="AB2260" s="82"/>
      <c r="AC2260" s="82"/>
      <c r="AD2260" s="82"/>
      <c r="AE2260" s="82"/>
      <c r="AF2260" s="82"/>
      <c r="AG2260" s="82"/>
      <c r="AH2260" s="82"/>
      <c r="AI2260" s="82"/>
      <c r="AJ2260" s="82"/>
      <c r="AK2260" s="82"/>
      <c r="AL2260" s="82"/>
      <c r="AM2260" s="82"/>
      <c r="AN2260" s="82"/>
      <c r="AO2260" s="82"/>
      <c r="AP2260" s="82"/>
      <c r="AQ2260" s="82"/>
      <c r="AR2260" s="82"/>
      <c r="AS2260" s="82"/>
      <c r="AT2260" s="82"/>
      <c r="AU2260" s="82"/>
      <c r="AV2260" s="82"/>
      <c r="AW2260" s="82" t="str">
        <f t="shared" si="1"/>
        <v/>
      </c>
      <c r="AX2260" s="83" t="str">
        <f t="array" ref="AX2260">IFERROR(DGET('SBV Import'!A:G,"SBV",{"RSC ID","Tier";B2260,A2260}))</f>
        <v/>
      </c>
      <c r="AY2260" s="82" t="str">
        <f t="shared" si="2"/>
        <v/>
      </c>
      <c r="AZ2260" s="82"/>
      <c r="BA2260" s="84" t="s">
        <v>152</v>
      </c>
      <c r="BB2260" s="84" t="str">
        <f>IFERROR(__xludf.DUMMYFUNCTION("iferror(if(A2260="""",,E2260&gt;=FILTER(Constants!$F$2:$F$10,Constants!$A$2:$A$10=A2260)))"),"")</f>
        <v/>
      </c>
    </row>
    <row r="2261">
      <c r="A2261" s="89"/>
      <c r="B2261" s="87"/>
      <c r="C2261" s="73"/>
      <c r="D2261" s="73"/>
      <c r="E2261" s="82"/>
      <c r="F2261" s="82"/>
      <c r="G2261" s="86"/>
      <c r="H2261" s="86"/>
      <c r="I2261" s="86"/>
      <c r="J2261" s="82"/>
      <c r="K2261" s="82"/>
      <c r="L2261" s="82"/>
      <c r="M2261" s="82"/>
      <c r="N2261" s="82"/>
      <c r="O2261" s="82"/>
      <c r="P2261" s="82"/>
      <c r="Q2261" s="82"/>
      <c r="R2261" s="82"/>
      <c r="S2261" s="82"/>
      <c r="T2261" s="82"/>
      <c r="U2261" s="82"/>
      <c r="V2261" s="82"/>
      <c r="W2261" s="82"/>
      <c r="X2261" s="82"/>
      <c r="Y2261" s="82"/>
      <c r="Z2261" s="82"/>
      <c r="AA2261" s="82"/>
      <c r="AB2261" s="82"/>
      <c r="AC2261" s="82"/>
      <c r="AD2261" s="82"/>
      <c r="AE2261" s="82"/>
      <c r="AF2261" s="82"/>
      <c r="AG2261" s="82"/>
      <c r="AH2261" s="82"/>
      <c r="AI2261" s="82"/>
      <c r="AJ2261" s="82"/>
      <c r="AK2261" s="82"/>
      <c r="AL2261" s="82"/>
      <c r="AM2261" s="82"/>
      <c r="AN2261" s="82"/>
      <c r="AO2261" s="82"/>
      <c r="AP2261" s="82"/>
      <c r="AQ2261" s="82"/>
      <c r="AR2261" s="82"/>
      <c r="AS2261" s="82"/>
      <c r="AT2261" s="82"/>
      <c r="AU2261" s="82"/>
      <c r="AV2261" s="82"/>
      <c r="AW2261" s="82" t="str">
        <f t="shared" si="1"/>
        <v/>
      </c>
      <c r="AX2261" s="83" t="str">
        <f t="array" ref="AX2261">IFERROR(DGET('SBV Import'!A:G,"SBV",{"RSC ID","Tier";B2261,A2261}))</f>
        <v/>
      </c>
      <c r="AY2261" s="82" t="str">
        <f t="shared" si="2"/>
        <v/>
      </c>
      <c r="AZ2261" s="82"/>
      <c r="BA2261" s="84" t="s">
        <v>152</v>
      </c>
      <c r="BB2261" s="84" t="str">
        <f>IFERROR(__xludf.DUMMYFUNCTION("iferror(if(A2261="""",,E2261&gt;=FILTER(Constants!$F$2:$F$10,Constants!$A$2:$A$10=A2261)))"),"")</f>
        <v/>
      </c>
    </row>
    <row r="2262">
      <c r="A2262" s="89"/>
      <c r="B2262" s="87"/>
      <c r="C2262" s="73"/>
      <c r="D2262" s="73"/>
      <c r="E2262" s="82"/>
      <c r="F2262" s="82"/>
      <c r="G2262" s="86"/>
      <c r="H2262" s="86"/>
      <c r="I2262" s="86"/>
      <c r="J2262" s="82"/>
      <c r="K2262" s="82"/>
      <c r="L2262" s="82"/>
      <c r="M2262" s="82"/>
      <c r="N2262" s="82"/>
      <c r="O2262" s="82"/>
      <c r="P2262" s="82"/>
      <c r="Q2262" s="82"/>
      <c r="R2262" s="82"/>
      <c r="S2262" s="82"/>
      <c r="T2262" s="82"/>
      <c r="U2262" s="82"/>
      <c r="V2262" s="82"/>
      <c r="W2262" s="82"/>
      <c r="X2262" s="82"/>
      <c r="Y2262" s="82"/>
      <c r="Z2262" s="82"/>
      <c r="AA2262" s="82"/>
      <c r="AB2262" s="82"/>
      <c r="AC2262" s="82"/>
      <c r="AD2262" s="82"/>
      <c r="AE2262" s="82"/>
      <c r="AF2262" s="82"/>
      <c r="AG2262" s="82"/>
      <c r="AH2262" s="82"/>
      <c r="AI2262" s="82"/>
      <c r="AJ2262" s="82"/>
      <c r="AK2262" s="82"/>
      <c r="AL2262" s="82"/>
      <c r="AM2262" s="82"/>
      <c r="AN2262" s="82"/>
      <c r="AO2262" s="82"/>
      <c r="AP2262" s="82"/>
      <c r="AQ2262" s="82"/>
      <c r="AR2262" s="82"/>
      <c r="AS2262" s="82"/>
      <c r="AT2262" s="82"/>
      <c r="AU2262" s="82"/>
      <c r="AV2262" s="82"/>
      <c r="AW2262" s="82" t="str">
        <f t="shared" si="1"/>
        <v/>
      </c>
      <c r="AX2262" s="83" t="str">
        <f t="array" ref="AX2262">IFERROR(DGET('SBV Import'!A:G,"SBV",{"RSC ID","Tier";B2262,A2262}))</f>
        <v/>
      </c>
      <c r="AY2262" s="82" t="str">
        <f t="shared" si="2"/>
        <v/>
      </c>
      <c r="AZ2262" s="82"/>
      <c r="BA2262" s="84" t="s">
        <v>152</v>
      </c>
      <c r="BB2262" s="84" t="str">
        <f>IFERROR(__xludf.DUMMYFUNCTION("iferror(if(A2262="""",,E2262&gt;=FILTER(Constants!$F$2:$F$10,Constants!$A$2:$A$10=A2262)))"),"")</f>
        <v/>
      </c>
    </row>
    <row r="2263">
      <c r="A2263" s="89"/>
      <c r="B2263" s="87"/>
      <c r="C2263" s="73"/>
      <c r="D2263" s="73"/>
      <c r="E2263" s="82"/>
      <c r="F2263" s="82"/>
      <c r="G2263" s="86"/>
      <c r="H2263" s="86"/>
      <c r="I2263" s="86"/>
      <c r="J2263" s="82"/>
      <c r="K2263" s="82"/>
      <c r="L2263" s="82"/>
      <c r="M2263" s="82"/>
      <c r="N2263" s="82"/>
      <c r="O2263" s="82"/>
      <c r="P2263" s="82"/>
      <c r="Q2263" s="82"/>
      <c r="R2263" s="82"/>
      <c r="S2263" s="82"/>
      <c r="T2263" s="82"/>
      <c r="U2263" s="82"/>
      <c r="V2263" s="82"/>
      <c r="W2263" s="82"/>
      <c r="X2263" s="82"/>
      <c r="Y2263" s="82"/>
      <c r="Z2263" s="82"/>
      <c r="AA2263" s="82"/>
      <c r="AB2263" s="82"/>
      <c r="AC2263" s="82"/>
      <c r="AD2263" s="82"/>
      <c r="AE2263" s="82"/>
      <c r="AF2263" s="82"/>
      <c r="AG2263" s="82"/>
      <c r="AH2263" s="82"/>
      <c r="AI2263" s="82"/>
      <c r="AJ2263" s="82"/>
      <c r="AK2263" s="82"/>
      <c r="AL2263" s="82"/>
      <c r="AM2263" s="82"/>
      <c r="AN2263" s="82"/>
      <c r="AO2263" s="82"/>
      <c r="AP2263" s="82"/>
      <c r="AQ2263" s="82"/>
      <c r="AR2263" s="82"/>
      <c r="AS2263" s="82"/>
      <c r="AT2263" s="82"/>
      <c r="AU2263" s="82"/>
      <c r="AV2263" s="82"/>
      <c r="AW2263" s="82" t="str">
        <f t="shared" si="1"/>
        <v/>
      </c>
      <c r="AX2263" s="83" t="str">
        <f t="array" ref="AX2263">IFERROR(DGET('SBV Import'!A:G,"SBV",{"RSC ID","Tier";B2263,A2263}))</f>
        <v/>
      </c>
      <c r="AY2263" s="82" t="str">
        <f t="shared" si="2"/>
        <v/>
      </c>
      <c r="AZ2263" s="82"/>
      <c r="BA2263" s="84" t="s">
        <v>152</v>
      </c>
      <c r="BB2263" s="84" t="str">
        <f>IFERROR(__xludf.DUMMYFUNCTION("iferror(if(A2263="""",,E2263&gt;=FILTER(Constants!$F$2:$F$10,Constants!$A$2:$A$10=A2263)))"),"")</f>
        <v/>
      </c>
    </row>
    <row r="2264">
      <c r="A2264" s="89"/>
      <c r="B2264" s="87"/>
      <c r="C2264" s="73"/>
      <c r="D2264" s="73"/>
      <c r="E2264" s="82"/>
      <c r="F2264" s="82"/>
      <c r="G2264" s="86"/>
      <c r="H2264" s="86"/>
      <c r="I2264" s="86"/>
      <c r="J2264" s="82"/>
      <c r="K2264" s="82"/>
      <c r="L2264" s="82"/>
      <c r="M2264" s="82"/>
      <c r="N2264" s="82"/>
      <c r="O2264" s="82"/>
      <c r="P2264" s="82"/>
      <c r="Q2264" s="82"/>
      <c r="R2264" s="82"/>
      <c r="S2264" s="82"/>
      <c r="T2264" s="82"/>
      <c r="U2264" s="82"/>
      <c r="V2264" s="82"/>
      <c r="W2264" s="82"/>
      <c r="X2264" s="82"/>
      <c r="Y2264" s="82"/>
      <c r="Z2264" s="82"/>
      <c r="AA2264" s="82"/>
      <c r="AB2264" s="82"/>
      <c r="AC2264" s="82"/>
      <c r="AD2264" s="82"/>
      <c r="AE2264" s="82"/>
      <c r="AF2264" s="82"/>
      <c r="AG2264" s="82"/>
      <c r="AH2264" s="82"/>
      <c r="AI2264" s="82"/>
      <c r="AJ2264" s="82"/>
      <c r="AK2264" s="82"/>
      <c r="AL2264" s="82"/>
      <c r="AM2264" s="82"/>
      <c r="AN2264" s="82"/>
      <c r="AO2264" s="82"/>
      <c r="AP2264" s="82"/>
      <c r="AQ2264" s="82"/>
      <c r="AR2264" s="82"/>
      <c r="AS2264" s="82"/>
      <c r="AT2264" s="82"/>
      <c r="AU2264" s="82"/>
      <c r="AV2264" s="82"/>
      <c r="AW2264" s="82" t="str">
        <f t="shared" si="1"/>
        <v/>
      </c>
      <c r="AX2264" s="83" t="str">
        <f t="array" ref="AX2264">IFERROR(DGET('SBV Import'!A:G,"SBV",{"RSC ID","Tier";B2264,A2264}))</f>
        <v/>
      </c>
      <c r="AY2264" s="82" t="str">
        <f t="shared" si="2"/>
        <v/>
      </c>
      <c r="AZ2264" s="82"/>
      <c r="BA2264" s="84" t="s">
        <v>152</v>
      </c>
      <c r="BB2264" s="84" t="str">
        <f>IFERROR(__xludf.DUMMYFUNCTION("iferror(if(A2264="""",,E2264&gt;=FILTER(Constants!$F$2:$F$10,Constants!$A$2:$A$10=A2264)))"),"")</f>
        <v/>
      </c>
    </row>
    <row r="2265">
      <c r="A2265" s="89"/>
      <c r="B2265" s="87"/>
      <c r="C2265" s="73"/>
      <c r="D2265" s="73"/>
      <c r="E2265" s="82"/>
      <c r="F2265" s="82"/>
      <c r="G2265" s="86"/>
      <c r="H2265" s="86"/>
      <c r="I2265" s="86"/>
      <c r="J2265" s="82"/>
      <c r="K2265" s="82"/>
      <c r="L2265" s="82"/>
      <c r="M2265" s="82"/>
      <c r="N2265" s="82"/>
      <c r="O2265" s="82"/>
      <c r="P2265" s="82"/>
      <c r="Q2265" s="82"/>
      <c r="R2265" s="82"/>
      <c r="S2265" s="82"/>
      <c r="T2265" s="82"/>
      <c r="U2265" s="82"/>
      <c r="V2265" s="82"/>
      <c r="W2265" s="82"/>
      <c r="X2265" s="82"/>
      <c r="Y2265" s="82"/>
      <c r="Z2265" s="82"/>
      <c r="AA2265" s="82"/>
      <c r="AB2265" s="82"/>
      <c r="AC2265" s="82"/>
      <c r="AD2265" s="82"/>
      <c r="AE2265" s="82"/>
      <c r="AF2265" s="82"/>
      <c r="AG2265" s="82"/>
      <c r="AH2265" s="82"/>
      <c r="AI2265" s="82"/>
      <c r="AJ2265" s="82"/>
      <c r="AK2265" s="82"/>
      <c r="AL2265" s="82"/>
      <c r="AM2265" s="82"/>
      <c r="AN2265" s="82"/>
      <c r="AO2265" s="82"/>
      <c r="AP2265" s="82"/>
      <c r="AQ2265" s="82"/>
      <c r="AR2265" s="82"/>
      <c r="AS2265" s="82"/>
      <c r="AT2265" s="82"/>
      <c r="AU2265" s="82"/>
      <c r="AV2265" s="82"/>
      <c r="AW2265" s="82" t="str">
        <f t="shared" si="1"/>
        <v/>
      </c>
      <c r="AX2265" s="83" t="str">
        <f t="array" ref="AX2265">IFERROR(DGET('SBV Import'!A:G,"SBV",{"RSC ID","Tier";B2265,A2265}))</f>
        <v/>
      </c>
      <c r="AY2265" s="82" t="str">
        <f t="shared" si="2"/>
        <v/>
      </c>
      <c r="AZ2265" s="82"/>
      <c r="BA2265" s="84" t="s">
        <v>152</v>
      </c>
      <c r="BB2265" s="84" t="str">
        <f>IFERROR(__xludf.DUMMYFUNCTION("iferror(if(A2265="""",,E2265&gt;=FILTER(Constants!$F$2:$F$10,Constants!$A$2:$A$10=A2265)))"),"")</f>
        <v/>
      </c>
    </row>
    <row r="2266">
      <c r="A2266" s="89"/>
      <c r="B2266" s="87"/>
      <c r="C2266" s="73"/>
      <c r="D2266" s="73"/>
      <c r="E2266" s="82"/>
      <c r="F2266" s="82"/>
      <c r="G2266" s="86"/>
      <c r="H2266" s="86"/>
      <c r="I2266" s="86"/>
      <c r="J2266" s="82"/>
      <c r="K2266" s="82"/>
      <c r="L2266" s="82"/>
      <c r="M2266" s="82"/>
      <c r="N2266" s="82"/>
      <c r="O2266" s="82"/>
      <c r="P2266" s="82"/>
      <c r="Q2266" s="82"/>
      <c r="R2266" s="82"/>
      <c r="S2266" s="82"/>
      <c r="T2266" s="82"/>
      <c r="U2266" s="82"/>
      <c r="V2266" s="82"/>
      <c r="W2266" s="82"/>
      <c r="X2266" s="82"/>
      <c r="Y2266" s="82"/>
      <c r="Z2266" s="82"/>
      <c r="AA2266" s="82"/>
      <c r="AB2266" s="82"/>
      <c r="AC2266" s="82"/>
      <c r="AD2266" s="82"/>
      <c r="AE2266" s="82"/>
      <c r="AF2266" s="82"/>
      <c r="AG2266" s="82"/>
      <c r="AH2266" s="82"/>
      <c r="AI2266" s="82"/>
      <c r="AJ2266" s="82"/>
      <c r="AK2266" s="82"/>
      <c r="AL2266" s="82"/>
      <c r="AM2266" s="82"/>
      <c r="AN2266" s="82"/>
      <c r="AO2266" s="82"/>
      <c r="AP2266" s="82"/>
      <c r="AQ2266" s="82"/>
      <c r="AR2266" s="82"/>
      <c r="AS2266" s="82"/>
      <c r="AT2266" s="82"/>
      <c r="AU2266" s="82"/>
      <c r="AV2266" s="82"/>
      <c r="AW2266" s="82" t="str">
        <f t="shared" si="1"/>
        <v/>
      </c>
      <c r="AX2266" s="83" t="str">
        <f t="array" ref="AX2266">IFERROR(DGET('SBV Import'!A:G,"SBV",{"RSC ID","Tier";B2266,A2266}))</f>
        <v/>
      </c>
      <c r="AY2266" s="82" t="str">
        <f t="shared" si="2"/>
        <v/>
      </c>
      <c r="AZ2266" s="82"/>
      <c r="BA2266" s="84" t="s">
        <v>152</v>
      </c>
      <c r="BB2266" s="84" t="str">
        <f>IFERROR(__xludf.DUMMYFUNCTION("iferror(if(A2266="""",,E2266&gt;=FILTER(Constants!$F$2:$F$10,Constants!$A$2:$A$10=A2266)))"),"")</f>
        <v/>
      </c>
    </row>
    <row r="2267">
      <c r="A2267" s="89"/>
      <c r="B2267" s="87"/>
      <c r="C2267" s="73"/>
      <c r="D2267" s="73"/>
      <c r="E2267" s="82"/>
      <c r="F2267" s="82"/>
      <c r="G2267" s="86"/>
      <c r="H2267" s="86"/>
      <c r="I2267" s="86"/>
      <c r="J2267" s="82"/>
      <c r="K2267" s="82"/>
      <c r="L2267" s="82"/>
      <c r="M2267" s="82"/>
      <c r="N2267" s="82"/>
      <c r="O2267" s="82"/>
      <c r="P2267" s="82"/>
      <c r="Q2267" s="82"/>
      <c r="R2267" s="82"/>
      <c r="S2267" s="82"/>
      <c r="T2267" s="82"/>
      <c r="U2267" s="82"/>
      <c r="V2267" s="82"/>
      <c r="W2267" s="82"/>
      <c r="X2267" s="82"/>
      <c r="Y2267" s="82"/>
      <c r="Z2267" s="82"/>
      <c r="AA2267" s="82"/>
      <c r="AB2267" s="82"/>
      <c r="AC2267" s="82"/>
      <c r="AD2267" s="82"/>
      <c r="AE2267" s="82"/>
      <c r="AF2267" s="82"/>
      <c r="AG2267" s="82"/>
      <c r="AH2267" s="82"/>
      <c r="AI2267" s="82"/>
      <c r="AJ2267" s="82"/>
      <c r="AK2267" s="82"/>
      <c r="AL2267" s="82"/>
      <c r="AM2267" s="82"/>
      <c r="AN2267" s="82"/>
      <c r="AO2267" s="82"/>
      <c r="AP2267" s="82"/>
      <c r="AQ2267" s="82"/>
      <c r="AR2267" s="82"/>
      <c r="AS2267" s="82"/>
      <c r="AT2267" s="82"/>
      <c r="AU2267" s="82"/>
      <c r="AV2267" s="82"/>
      <c r="AW2267" s="82" t="str">
        <f t="shared" si="1"/>
        <v/>
      </c>
      <c r="AX2267" s="83" t="str">
        <f t="array" ref="AX2267">IFERROR(DGET('SBV Import'!A:G,"SBV",{"RSC ID","Tier";B2267,A2267}))</f>
        <v/>
      </c>
      <c r="AY2267" s="82" t="str">
        <f t="shared" si="2"/>
        <v/>
      </c>
      <c r="AZ2267" s="82"/>
      <c r="BA2267" s="84" t="s">
        <v>152</v>
      </c>
      <c r="BB2267" s="84" t="str">
        <f>IFERROR(__xludf.DUMMYFUNCTION("iferror(if(A2267="""",,E2267&gt;=FILTER(Constants!$F$2:$F$10,Constants!$A$2:$A$10=A2267)))"),"")</f>
        <v/>
      </c>
    </row>
    <row r="2268">
      <c r="A2268" s="89"/>
      <c r="B2268" s="87"/>
      <c r="C2268" s="73"/>
      <c r="D2268" s="73"/>
      <c r="E2268" s="82"/>
      <c r="F2268" s="82"/>
      <c r="G2268" s="86"/>
      <c r="H2268" s="86"/>
      <c r="I2268" s="86"/>
      <c r="J2268" s="82"/>
      <c r="K2268" s="82"/>
      <c r="L2268" s="82"/>
      <c r="M2268" s="82"/>
      <c r="N2268" s="82"/>
      <c r="O2268" s="82"/>
      <c r="P2268" s="82"/>
      <c r="Q2268" s="82"/>
      <c r="R2268" s="82"/>
      <c r="S2268" s="82"/>
      <c r="T2268" s="82"/>
      <c r="U2268" s="82"/>
      <c r="V2268" s="82"/>
      <c r="W2268" s="82"/>
      <c r="X2268" s="82"/>
      <c r="Y2268" s="82"/>
      <c r="Z2268" s="82"/>
      <c r="AA2268" s="82"/>
      <c r="AB2268" s="82"/>
      <c r="AC2268" s="82"/>
      <c r="AD2268" s="82"/>
      <c r="AE2268" s="82"/>
      <c r="AF2268" s="82"/>
      <c r="AG2268" s="82"/>
      <c r="AH2268" s="82"/>
      <c r="AI2268" s="82"/>
      <c r="AJ2268" s="82"/>
      <c r="AK2268" s="82"/>
      <c r="AL2268" s="82"/>
      <c r="AM2268" s="82"/>
      <c r="AN2268" s="82"/>
      <c r="AO2268" s="82"/>
      <c r="AP2268" s="82"/>
      <c r="AQ2268" s="82"/>
      <c r="AR2268" s="82"/>
      <c r="AS2268" s="82"/>
      <c r="AT2268" s="82"/>
      <c r="AU2268" s="82"/>
      <c r="AV2268" s="82"/>
      <c r="AW2268" s="82" t="str">
        <f t="shared" si="1"/>
        <v/>
      </c>
      <c r="AX2268" s="83" t="str">
        <f t="array" ref="AX2268">IFERROR(DGET('SBV Import'!A:G,"SBV",{"RSC ID","Tier";B2268,A2268}))</f>
        <v/>
      </c>
      <c r="AY2268" s="82" t="str">
        <f t="shared" si="2"/>
        <v/>
      </c>
      <c r="AZ2268" s="82"/>
      <c r="BA2268" s="84" t="s">
        <v>152</v>
      </c>
      <c r="BB2268" s="84" t="str">
        <f>IFERROR(__xludf.DUMMYFUNCTION("iferror(if(A2268="""",,E2268&gt;=FILTER(Constants!$F$2:$F$10,Constants!$A$2:$A$10=A2268)))"),"")</f>
        <v/>
      </c>
    </row>
    <row r="2269">
      <c r="A2269" s="89"/>
      <c r="B2269" s="87"/>
      <c r="C2269" s="73"/>
      <c r="D2269" s="73"/>
      <c r="E2269" s="82"/>
      <c r="F2269" s="82"/>
      <c r="G2269" s="86"/>
      <c r="H2269" s="86"/>
      <c r="I2269" s="86"/>
      <c r="J2269" s="82"/>
      <c r="K2269" s="82"/>
      <c r="L2269" s="82"/>
      <c r="M2269" s="82"/>
      <c r="N2269" s="82"/>
      <c r="O2269" s="82"/>
      <c r="P2269" s="82"/>
      <c r="Q2269" s="82"/>
      <c r="R2269" s="82"/>
      <c r="S2269" s="82"/>
      <c r="T2269" s="82"/>
      <c r="U2269" s="82"/>
      <c r="V2269" s="82"/>
      <c r="W2269" s="82"/>
      <c r="X2269" s="82"/>
      <c r="Y2269" s="82"/>
      <c r="Z2269" s="82"/>
      <c r="AA2269" s="82"/>
      <c r="AB2269" s="82"/>
      <c r="AC2269" s="82"/>
      <c r="AD2269" s="82"/>
      <c r="AE2269" s="82"/>
      <c r="AF2269" s="82"/>
      <c r="AG2269" s="82"/>
      <c r="AH2269" s="82"/>
      <c r="AI2269" s="82"/>
      <c r="AJ2269" s="82"/>
      <c r="AK2269" s="82"/>
      <c r="AL2269" s="82"/>
      <c r="AM2269" s="82"/>
      <c r="AN2269" s="82"/>
      <c r="AO2269" s="82"/>
      <c r="AP2269" s="82"/>
      <c r="AQ2269" s="82"/>
      <c r="AR2269" s="82"/>
      <c r="AS2269" s="82"/>
      <c r="AT2269" s="82"/>
      <c r="AU2269" s="82"/>
      <c r="AV2269" s="82"/>
      <c r="AW2269" s="82" t="str">
        <f t="shared" si="1"/>
        <v/>
      </c>
      <c r="AX2269" s="83" t="str">
        <f t="array" ref="AX2269">IFERROR(DGET('SBV Import'!A:G,"SBV",{"RSC ID","Tier";B2269,A2269}))</f>
        <v/>
      </c>
      <c r="AY2269" s="82" t="str">
        <f t="shared" si="2"/>
        <v/>
      </c>
      <c r="AZ2269" s="82"/>
      <c r="BA2269" s="84" t="s">
        <v>152</v>
      </c>
      <c r="BB2269" s="84" t="str">
        <f>IFERROR(__xludf.DUMMYFUNCTION("iferror(if(A2269="""",,E2269&gt;=FILTER(Constants!$F$2:$F$10,Constants!$A$2:$A$10=A2269)))"),"")</f>
        <v/>
      </c>
    </row>
    <row r="2270">
      <c r="A2270" s="89"/>
      <c r="B2270" s="87"/>
      <c r="C2270" s="73"/>
      <c r="D2270" s="73"/>
      <c r="E2270" s="82"/>
      <c r="F2270" s="82"/>
      <c r="G2270" s="86"/>
      <c r="H2270" s="86"/>
      <c r="I2270" s="86"/>
      <c r="J2270" s="82"/>
      <c r="K2270" s="82"/>
      <c r="L2270" s="82"/>
      <c r="M2270" s="82"/>
      <c r="N2270" s="82"/>
      <c r="O2270" s="82"/>
      <c r="P2270" s="82"/>
      <c r="Q2270" s="82"/>
      <c r="R2270" s="82"/>
      <c r="S2270" s="82"/>
      <c r="T2270" s="82"/>
      <c r="U2270" s="82"/>
      <c r="V2270" s="82"/>
      <c r="W2270" s="82"/>
      <c r="X2270" s="82"/>
      <c r="Y2270" s="82"/>
      <c r="Z2270" s="82"/>
      <c r="AA2270" s="82"/>
      <c r="AB2270" s="82"/>
      <c r="AC2270" s="82"/>
      <c r="AD2270" s="82"/>
      <c r="AE2270" s="82"/>
      <c r="AF2270" s="82"/>
      <c r="AG2270" s="82"/>
      <c r="AH2270" s="82"/>
      <c r="AI2270" s="82"/>
      <c r="AJ2270" s="82"/>
      <c r="AK2270" s="82"/>
      <c r="AL2270" s="82"/>
      <c r="AM2270" s="82"/>
      <c r="AN2270" s="82"/>
      <c r="AO2270" s="82"/>
      <c r="AP2270" s="82"/>
      <c r="AQ2270" s="82"/>
      <c r="AR2270" s="82"/>
      <c r="AS2270" s="82"/>
      <c r="AT2270" s="82"/>
      <c r="AU2270" s="82"/>
      <c r="AV2270" s="82"/>
      <c r="AW2270" s="82" t="str">
        <f t="shared" si="1"/>
        <v/>
      </c>
      <c r="AX2270" s="83" t="str">
        <f t="array" ref="AX2270">IFERROR(DGET('SBV Import'!A:G,"SBV",{"RSC ID","Tier";B2270,A2270}))</f>
        <v/>
      </c>
      <c r="AY2270" s="82" t="str">
        <f t="shared" si="2"/>
        <v/>
      </c>
      <c r="AZ2270" s="82"/>
      <c r="BA2270" s="84" t="s">
        <v>152</v>
      </c>
      <c r="BB2270" s="84" t="str">
        <f>IFERROR(__xludf.DUMMYFUNCTION("iferror(if(A2270="""",,E2270&gt;=FILTER(Constants!$F$2:$F$10,Constants!$A$2:$A$10=A2270)))"),"")</f>
        <v/>
      </c>
    </row>
    <row r="2271">
      <c r="A2271" s="89"/>
      <c r="B2271" s="87"/>
      <c r="C2271" s="73"/>
      <c r="D2271" s="73"/>
      <c r="E2271" s="82"/>
      <c r="F2271" s="82"/>
      <c r="G2271" s="86"/>
      <c r="H2271" s="86"/>
      <c r="I2271" s="86"/>
      <c r="J2271" s="82"/>
      <c r="K2271" s="82"/>
      <c r="L2271" s="82"/>
      <c r="M2271" s="82"/>
      <c r="N2271" s="82"/>
      <c r="O2271" s="82"/>
      <c r="P2271" s="82"/>
      <c r="Q2271" s="82"/>
      <c r="R2271" s="82"/>
      <c r="S2271" s="82"/>
      <c r="T2271" s="82"/>
      <c r="U2271" s="82"/>
      <c r="V2271" s="82"/>
      <c r="W2271" s="82"/>
      <c r="X2271" s="82"/>
      <c r="Y2271" s="82"/>
      <c r="Z2271" s="82"/>
      <c r="AA2271" s="82"/>
      <c r="AB2271" s="82"/>
      <c r="AC2271" s="82"/>
      <c r="AD2271" s="82"/>
      <c r="AE2271" s="82"/>
      <c r="AF2271" s="82"/>
      <c r="AG2271" s="82"/>
      <c r="AH2271" s="82"/>
      <c r="AI2271" s="82"/>
      <c r="AJ2271" s="82"/>
      <c r="AK2271" s="82"/>
      <c r="AL2271" s="82"/>
      <c r="AM2271" s="82"/>
      <c r="AN2271" s="82"/>
      <c r="AO2271" s="82"/>
      <c r="AP2271" s="82"/>
      <c r="AQ2271" s="82"/>
      <c r="AR2271" s="82"/>
      <c r="AS2271" s="82"/>
      <c r="AT2271" s="82"/>
      <c r="AU2271" s="82"/>
      <c r="AV2271" s="82"/>
      <c r="AW2271" s="82" t="str">
        <f t="shared" si="1"/>
        <v/>
      </c>
      <c r="AX2271" s="83" t="str">
        <f t="array" ref="AX2271">IFERROR(DGET('SBV Import'!A:G,"SBV",{"RSC ID","Tier";B2271,A2271}))</f>
        <v/>
      </c>
      <c r="AY2271" s="82" t="str">
        <f t="shared" si="2"/>
        <v/>
      </c>
      <c r="AZ2271" s="82"/>
      <c r="BA2271" s="84" t="s">
        <v>152</v>
      </c>
      <c r="BB2271" s="84" t="str">
        <f>IFERROR(__xludf.DUMMYFUNCTION("iferror(if(A2271="""",,E2271&gt;=FILTER(Constants!$F$2:$F$10,Constants!$A$2:$A$10=A2271)))"),"")</f>
        <v/>
      </c>
    </row>
    <row r="2272">
      <c r="A2272" s="89"/>
      <c r="B2272" s="87"/>
      <c r="C2272" s="73"/>
      <c r="D2272" s="73"/>
      <c r="E2272" s="82"/>
      <c r="F2272" s="82"/>
      <c r="G2272" s="86"/>
      <c r="H2272" s="86"/>
      <c r="I2272" s="86"/>
      <c r="J2272" s="82"/>
      <c r="K2272" s="82"/>
      <c r="L2272" s="82"/>
      <c r="M2272" s="82"/>
      <c r="N2272" s="82"/>
      <c r="O2272" s="82"/>
      <c r="P2272" s="82"/>
      <c r="Q2272" s="82"/>
      <c r="R2272" s="82"/>
      <c r="S2272" s="82"/>
      <c r="T2272" s="82"/>
      <c r="U2272" s="82"/>
      <c r="V2272" s="82"/>
      <c r="W2272" s="82"/>
      <c r="X2272" s="82"/>
      <c r="Y2272" s="82"/>
      <c r="Z2272" s="82"/>
      <c r="AA2272" s="82"/>
      <c r="AB2272" s="82"/>
      <c r="AC2272" s="82"/>
      <c r="AD2272" s="82"/>
      <c r="AE2272" s="82"/>
      <c r="AF2272" s="82"/>
      <c r="AG2272" s="82"/>
      <c r="AH2272" s="82"/>
      <c r="AI2272" s="82"/>
      <c r="AJ2272" s="82"/>
      <c r="AK2272" s="82"/>
      <c r="AL2272" s="82"/>
      <c r="AM2272" s="82"/>
      <c r="AN2272" s="82"/>
      <c r="AO2272" s="82"/>
      <c r="AP2272" s="82"/>
      <c r="AQ2272" s="82"/>
      <c r="AR2272" s="82"/>
      <c r="AS2272" s="82"/>
      <c r="AT2272" s="82"/>
      <c r="AU2272" s="82"/>
      <c r="AV2272" s="82"/>
      <c r="AW2272" s="82" t="str">
        <f t="shared" si="1"/>
        <v/>
      </c>
      <c r="AX2272" s="83" t="str">
        <f t="array" ref="AX2272">IFERROR(DGET('SBV Import'!A:G,"SBV",{"RSC ID","Tier";B2272,A2272}))</f>
        <v/>
      </c>
      <c r="AY2272" s="82" t="str">
        <f t="shared" si="2"/>
        <v/>
      </c>
      <c r="AZ2272" s="82"/>
      <c r="BA2272" s="84" t="s">
        <v>152</v>
      </c>
      <c r="BB2272" s="84" t="str">
        <f>IFERROR(__xludf.DUMMYFUNCTION("iferror(if(A2272="""",,E2272&gt;=FILTER(Constants!$F$2:$F$10,Constants!$A$2:$A$10=A2272)))"),"")</f>
        <v/>
      </c>
    </row>
    <row r="2273">
      <c r="A2273" s="89"/>
      <c r="B2273" s="87"/>
      <c r="C2273" s="73"/>
      <c r="D2273" s="73"/>
      <c r="E2273" s="82"/>
      <c r="F2273" s="82"/>
      <c r="G2273" s="86"/>
      <c r="H2273" s="86"/>
      <c r="I2273" s="86"/>
      <c r="J2273" s="82"/>
      <c r="K2273" s="82"/>
      <c r="L2273" s="82"/>
      <c r="M2273" s="82"/>
      <c r="N2273" s="82"/>
      <c r="O2273" s="82"/>
      <c r="P2273" s="82"/>
      <c r="Q2273" s="82"/>
      <c r="R2273" s="82"/>
      <c r="S2273" s="82"/>
      <c r="T2273" s="82"/>
      <c r="U2273" s="82"/>
      <c r="V2273" s="82"/>
      <c r="W2273" s="82"/>
      <c r="X2273" s="82"/>
      <c r="Y2273" s="82"/>
      <c r="Z2273" s="82"/>
      <c r="AA2273" s="82"/>
      <c r="AB2273" s="82"/>
      <c r="AC2273" s="82"/>
      <c r="AD2273" s="82"/>
      <c r="AE2273" s="82"/>
      <c r="AF2273" s="82"/>
      <c r="AG2273" s="82"/>
      <c r="AH2273" s="82"/>
      <c r="AI2273" s="82"/>
      <c r="AJ2273" s="82"/>
      <c r="AK2273" s="82"/>
      <c r="AL2273" s="82"/>
      <c r="AM2273" s="82"/>
      <c r="AN2273" s="82"/>
      <c r="AO2273" s="82"/>
      <c r="AP2273" s="82"/>
      <c r="AQ2273" s="82"/>
      <c r="AR2273" s="82"/>
      <c r="AS2273" s="82"/>
      <c r="AT2273" s="82"/>
      <c r="AU2273" s="82"/>
      <c r="AV2273" s="82"/>
      <c r="AW2273" s="82" t="str">
        <f t="shared" si="1"/>
        <v/>
      </c>
      <c r="AX2273" s="83" t="str">
        <f t="array" ref="AX2273">IFERROR(DGET('SBV Import'!A:G,"SBV",{"RSC ID","Tier";B2273,A2273}))</f>
        <v/>
      </c>
      <c r="AY2273" s="82" t="str">
        <f t="shared" si="2"/>
        <v/>
      </c>
      <c r="AZ2273" s="82"/>
      <c r="BA2273" s="84" t="s">
        <v>152</v>
      </c>
      <c r="BB2273" s="84" t="str">
        <f>IFERROR(__xludf.DUMMYFUNCTION("iferror(if(A2273="""",,E2273&gt;=FILTER(Constants!$F$2:$F$10,Constants!$A$2:$A$10=A2273)))"),"")</f>
        <v/>
      </c>
    </row>
    <row r="2274">
      <c r="A2274" s="89"/>
      <c r="B2274" s="87"/>
      <c r="C2274" s="73"/>
      <c r="D2274" s="73"/>
      <c r="E2274" s="82"/>
      <c r="F2274" s="82"/>
      <c r="G2274" s="86"/>
      <c r="H2274" s="86"/>
      <c r="I2274" s="86"/>
      <c r="J2274" s="82"/>
      <c r="K2274" s="82"/>
      <c r="L2274" s="82"/>
      <c r="M2274" s="82"/>
      <c r="N2274" s="82"/>
      <c r="O2274" s="82"/>
      <c r="P2274" s="82"/>
      <c r="Q2274" s="82"/>
      <c r="R2274" s="82"/>
      <c r="S2274" s="82"/>
      <c r="T2274" s="82"/>
      <c r="U2274" s="82"/>
      <c r="V2274" s="82"/>
      <c r="W2274" s="82"/>
      <c r="X2274" s="82"/>
      <c r="Y2274" s="82"/>
      <c r="Z2274" s="82"/>
      <c r="AA2274" s="82"/>
      <c r="AB2274" s="82"/>
      <c r="AC2274" s="82"/>
      <c r="AD2274" s="82"/>
      <c r="AE2274" s="82"/>
      <c r="AF2274" s="82"/>
      <c r="AG2274" s="82"/>
      <c r="AH2274" s="82"/>
      <c r="AI2274" s="82"/>
      <c r="AJ2274" s="82"/>
      <c r="AK2274" s="82"/>
      <c r="AL2274" s="82"/>
      <c r="AM2274" s="82"/>
      <c r="AN2274" s="82"/>
      <c r="AO2274" s="82"/>
      <c r="AP2274" s="82"/>
      <c r="AQ2274" s="82"/>
      <c r="AR2274" s="82"/>
      <c r="AS2274" s="82"/>
      <c r="AT2274" s="82"/>
      <c r="AU2274" s="82"/>
      <c r="AV2274" s="82"/>
      <c r="AW2274" s="82" t="str">
        <f t="shared" si="1"/>
        <v/>
      </c>
      <c r="AX2274" s="83" t="str">
        <f t="array" ref="AX2274">IFERROR(DGET('SBV Import'!A:G,"SBV",{"RSC ID","Tier";B2274,A2274}))</f>
        <v/>
      </c>
      <c r="AY2274" s="82" t="str">
        <f t="shared" si="2"/>
        <v/>
      </c>
      <c r="AZ2274" s="82"/>
      <c r="BA2274" s="84" t="s">
        <v>152</v>
      </c>
      <c r="BB2274" s="84" t="str">
        <f>IFERROR(__xludf.DUMMYFUNCTION("iferror(if(A2274="""",,E2274&gt;=FILTER(Constants!$F$2:$F$10,Constants!$A$2:$A$10=A2274)))"),"")</f>
        <v/>
      </c>
    </row>
    <row r="2275">
      <c r="A2275" s="89"/>
      <c r="B2275" s="87"/>
      <c r="C2275" s="73"/>
      <c r="D2275" s="73"/>
      <c r="E2275" s="82"/>
      <c r="F2275" s="82"/>
      <c r="G2275" s="86"/>
      <c r="H2275" s="86"/>
      <c r="I2275" s="86"/>
      <c r="J2275" s="82"/>
      <c r="K2275" s="82"/>
      <c r="L2275" s="82"/>
      <c r="M2275" s="82"/>
      <c r="N2275" s="82"/>
      <c r="O2275" s="82"/>
      <c r="P2275" s="82"/>
      <c r="Q2275" s="82"/>
      <c r="R2275" s="82"/>
      <c r="S2275" s="82"/>
      <c r="T2275" s="82"/>
      <c r="U2275" s="82"/>
      <c r="V2275" s="82"/>
      <c r="W2275" s="82"/>
      <c r="X2275" s="82"/>
      <c r="Y2275" s="82"/>
      <c r="Z2275" s="82"/>
      <c r="AA2275" s="82"/>
      <c r="AB2275" s="82"/>
      <c r="AC2275" s="82"/>
      <c r="AD2275" s="82"/>
      <c r="AE2275" s="82"/>
      <c r="AF2275" s="82"/>
      <c r="AG2275" s="82"/>
      <c r="AH2275" s="82"/>
      <c r="AI2275" s="82"/>
      <c r="AJ2275" s="82"/>
      <c r="AK2275" s="82"/>
      <c r="AL2275" s="82"/>
      <c r="AM2275" s="82"/>
      <c r="AN2275" s="82"/>
      <c r="AO2275" s="82"/>
      <c r="AP2275" s="82"/>
      <c r="AQ2275" s="82"/>
      <c r="AR2275" s="82"/>
      <c r="AS2275" s="82"/>
      <c r="AT2275" s="82"/>
      <c r="AU2275" s="82"/>
      <c r="AV2275" s="82"/>
      <c r="AW2275" s="82" t="str">
        <f t="shared" si="1"/>
        <v/>
      </c>
      <c r="AX2275" s="83" t="str">
        <f t="array" ref="AX2275">IFERROR(DGET('SBV Import'!A:G,"SBV",{"RSC ID","Tier";B2275,A2275}))</f>
        <v/>
      </c>
      <c r="AY2275" s="82" t="str">
        <f t="shared" si="2"/>
        <v/>
      </c>
      <c r="AZ2275" s="82"/>
      <c r="BA2275" s="84" t="s">
        <v>152</v>
      </c>
      <c r="BB2275" s="84" t="str">
        <f>IFERROR(__xludf.DUMMYFUNCTION("iferror(if(A2275="""",,E2275&gt;=FILTER(Constants!$F$2:$F$10,Constants!$A$2:$A$10=A2275)))"),"")</f>
        <v/>
      </c>
    </row>
    <row r="2276">
      <c r="A2276" s="89"/>
      <c r="B2276" s="87"/>
      <c r="C2276" s="73"/>
      <c r="D2276" s="73"/>
      <c r="E2276" s="82"/>
      <c r="F2276" s="82"/>
      <c r="G2276" s="86"/>
      <c r="H2276" s="86"/>
      <c r="I2276" s="86"/>
      <c r="J2276" s="82"/>
      <c r="K2276" s="82"/>
      <c r="L2276" s="82"/>
      <c r="M2276" s="82"/>
      <c r="N2276" s="82"/>
      <c r="O2276" s="82"/>
      <c r="P2276" s="82"/>
      <c r="Q2276" s="82"/>
      <c r="R2276" s="82"/>
      <c r="S2276" s="82"/>
      <c r="T2276" s="82"/>
      <c r="U2276" s="82"/>
      <c r="V2276" s="82"/>
      <c r="W2276" s="82"/>
      <c r="X2276" s="82"/>
      <c r="Y2276" s="82"/>
      <c r="Z2276" s="82"/>
      <c r="AA2276" s="82"/>
      <c r="AB2276" s="82"/>
      <c r="AC2276" s="82"/>
      <c r="AD2276" s="82"/>
      <c r="AE2276" s="82"/>
      <c r="AF2276" s="82"/>
      <c r="AG2276" s="82"/>
      <c r="AH2276" s="82"/>
      <c r="AI2276" s="82"/>
      <c r="AJ2276" s="82"/>
      <c r="AK2276" s="82"/>
      <c r="AL2276" s="82"/>
      <c r="AM2276" s="82"/>
      <c r="AN2276" s="82"/>
      <c r="AO2276" s="82"/>
      <c r="AP2276" s="82"/>
      <c r="AQ2276" s="82"/>
      <c r="AR2276" s="82"/>
      <c r="AS2276" s="82"/>
      <c r="AT2276" s="82"/>
      <c r="AU2276" s="82"/>
      <c r="AV2276" s="82"/>
      <c r="AW2276" s="82" t="str">
        <f t="shared" si="1"/>
        <v/>
      </c>
      <c r="AX2276" s="83" t="str">
        <f t="array" ref="AX2276">IFERROR(DGET('SBV Import'!A:G,"SBV",{"RSC ID","Tier";B2276,A2276}))</f>
        <v/>
      </c>
      <c r="AY2276" s="82" t="str">
        <f t="shared" si="2"/>
        <v/>
      </c>
      <c r="AZ2276" s="82"/>
      <c r="BA2276" s="84" t="s">
        <v>152</v>
      </c>
      <c r="BB2276" s="84" t="str">
        <f>IFERROR(__xludf.DUMMYFUNCTION("iferror(if(A2276="""",,E2276&gt;=FILTER(Constants!$F$2:$F$10,Constants!$A$2:$A$10=A2276)))"),"")</f>
        <v/>
      </c>
    </row>
    <row r="2277">
      <c r="A2277" s="89"/>
      <c r="B2277" s="87"/>
      <c r="C2277" s="73"/>
      <c r="D2277" s="73"/>
      <c r="E2277" s="82"/>
      <c r="F2277" s="82"/>
      <c r="G2277" s="86"/>
      <c r="H2277" s="86"/>
      <c r="I2277" s="86"/>
      <c r="J2277" s="82"/>
      <c r="K2277" s="82"/>
      <c r="L2277" s="82"/>
      <c r="M2277" s="82"/>
      <c r="N2277" s="82"/>
      <c r="O2277" s="82"/>
      <c r="P2277" s="82"/>
      <c r="Q2277" s="82"/>
      <c r="R2277" s="82"/>
      <c r="S2277" s="82"/>
      <c r="T2277" s="82"/>
      <c r="U2277" s="82"/>
      <c r="V2277" s="82"/>
      <c r="W2277" s="82"/>
      <c r="X2277" s="82"/>
      <c r="Y2277" s="82"/>
      <c r="Z2277" s="82"/>
      <c r="AA2277" s="82"/>
      <c r="AB2277" s="82"/>
      <c r="AC2277" s="82"/>
      <c r="AD2277" s="82"/>
      <c r="AE2277" s="82"/>
      <c r="AF2277" s="82"/>
      <c r="AG2277" s="82"/>
      <c r="AH2277" s="82"/>
      <c r="AI2277" s="82"/>
      <c r="AJ2277" s="82"/>
      <c r="AK2277" s="82"/>
      <c r="AL2277" s="82"/>
      <c r="AM2277" s="82"/>
      <c r="AN2277" s="82"/>
      <c r="AO2277" s="82"/>
      <c r="AP2277" s="82"/>
      <c r="AQ2277" s="82"/>
      <c r="AR2277" s="82"/>
      <c r="AS2277" s="82"/>
      <c r="AT2277" s="82"/>
      <c r="AU2277" s="82"/>
      <c r="AV2277" s="82"/>
      <c r="AW2277" s="82" t="str">
        <f t="shared" si="1"/>
        <v/>
      </c>
      <c r="AX2277" s="83" t="str">
        <f t="array" ref="AX2277">IFERROR(DGET('SBV Import'!A:G,"SBV",{"RSC ID","Tier";B2277,A2277}))</f>
        <v/>
      </c>
      <c r="AY2277" s="82" t="str">
        <f t="shared" si="2"/>
        <v/>
      </c>
      <c r="AZ2277" s="82"/>
      <c r="BA2277" s="84" t="s">
        <v>152</v>
      </c>
      <c r="BB2277" s="84" t="str">
        <f>IFERROR(__xludf.DUMMYFUNCTION("iferror(if(A2277="""",,E2277&gt;=FILTER(Constants!$F$2:$F$10,Constants!$A$2:$A$10=A2277)))"),"")</f>
        <v/>
      </c>
    </row>
    <row r="2278">
      <c r="A2278" s="89"/>
      <c r="B2278" s="87"/>
      <c r="C2278" s="73"/>
      <c r="D2278" s="73"/>
      <c r="E2278" s="82"/>
      <c r="F2278" s="82"/>
      <c r="G2278" s="86"/>
      <c r="H2278" s="86"/>
      <c r="I2278" s="86"/>
      <c r="J2278" s="82"/>
      <c r="K2278" s="82"/>
      <c r="L2278" s="82"/>
      <c r="M2278" s="82"/>
      <c r="N2278" s="82"/>
      <c r="O2278" s="82"/>
      <c r="P2278" s="82"/>
      <c r="Q2278" s="82"/>
      <c r="R2278" s="82"/>
      <c r="S2278" s="82"/>
      <c r="T2278" s="82"/>
      <c r="U2278" s="82"/>
      <c r="V2278" s="82"/>
      <c r="W2278" s="82"/>
      <c r="X2278" s="82"/>
      <c r="Y2278" s="82"/>
      <c r="Z2278" s="82"/>
      <c r="AA2278" s="82"/>
      <c r="AB2278" s="82"/>
      <c r="AC2278" s="82"/>
      <c r="AD2278" s="82"/>
      <c r="AE2278" s="82"/>
      <c r="AF2278" s="82"/>
      <c r="AG2278" s="82"/>
      <c r="AH2278" s="82"/>
      <c r="AI2278" s="82"/>
      <c r="AJ2278" s="82"/>
      <c r="AK2278" s="82"/>
      <c r="AL2278" s="82"/>
      <c r="AM2278" s="82"/>
      <c r="AN2278" s="82"/>
      <c r="AO2278" s="82"/>
      <c r="AP2278" s="82"/>
      <c r="AQ2278" s="82"/>
      <c r="AR2278" s="82"/>
      <c r="AS2278" s="82"/>
      <c r="AT2278" s="82"/>
      <c r="AU2278" s="82"/>
      <c r="AV2278" s="82"/>
      <c r="AW2278" s="82" t="str">
        <f t="shared" si="1"/>
        <v/>
      </c>
      <c r="AX2278" s="83" t="str">
        <f t="array" ref="AX2278">IFERROR(DGET('SBV Import'!A:G,"SBV",{"RSC ID","Tier";B2278,A2278}))</f>
        <v/>
      </c>
      <c r="AY2278" s="82" t="str">
        <f t="shared" si="2"/>
        <v/>
      </c>
      <c r="AZ2278" s="82"/>
      <c r="BA2278" s="84" t="s">
        <v>152</v>
      </c>
      <c r="BB2278" s="84" t="str">
        <f>IFERROR(__xludf.DUMMYFUNCTION("iferror(if(A2278="""",,E2278&gt;=FILTER(Constants!$F$2:$F$10,Constants!$A$2:$A$10=A2278)))"),"")</f>
        <v/>
      </c>
    </row>
    <row r="2279">
      <c r="A2279" s="89"/>
      <c r="B2279" s="87"/>
      <c r="C2279" s="73"/>
      <c r="D2279" s="73"/>
      <c r="E2279" s="82"/>
      <c r="F2279" s="82"/>
      <c r="G2279" s="86"/>
      <c r="H2279" s="86"/>
      <c r="I2279" s="86"/>
      <c r="J2279" s="82"/>
      <c r="K2279" s="82"/>
      <c r="L2279" s="82"/>
      <c r="M2279" s="82"/>
      <c r="N2279" s="82"/>
      <c r="O2279" s="82"/>
      <c r="P2279" s="82"/>
      <c r="Q2279" s="82"/>
      <c r="R2279" s="82"/>
      <c r="S2279" s="82"/>
      <c r="T2279" s="82"/>
      <c r="U2279" s="82"/>
      <c r="V2279" s="82"/>
      <c r="W2279" s="82"/>
      <c r="X2279" s="82"/>
      <c r="Y2279" s="82"/>
      <c r="Z2279" s="82"/>
      <c r="AA2279" s="82"/>
      <c r="AB2279" s="82"/>
      <c r="AC2279" s="82"/>
      <c r="AD2279" s="82"/>
      <c r="AE2279" s="82"/>
      <c r="AF2279" s="82"/>
      <c r="AG2279" s="82"/>
      <c r="AH2279" s="82"/>
      <c r="AI2279" s="82"/>
      <c r="AJ2279" s="82"/>
      <c r="AK2279" s="82"/>
      <c r="AL2279" s="82"/>
      <c r="AM2279" s="82"/>
      <c r="AN2279" s="82"/>
      <c r="AO2279" s="82"/>
      <c r="AP2279" s="82"/>
      <c r="AQ2279" s="82"/>
      <c r="AR2279" s="82"/>
      <c r="AS2279" s="82"/>
      <c r="AT2279" s="82"/>
      <c r="AU2279" s="82"/>
      <c r="AV2279" s="82"/>
      <c r="AW2279" s="82" t="str">
        <f t="shared" si="1"/>
        <v/>
      </c>
      <c r="AX2279" s="83" t="str">
        <f t="array" ref="AX2279">IFERROR(DGET('SBV Import'!A:G,"SBV",{"RSC ID","Tier";B2279,A2279}))</f>
        <v/>
      </c>
      <c r="AY2279" s="82" t="str">
        <f t="shared" si="2"/>
        <v/>
      </c>
      <c r="AZ2279" s="82"/>
      <c r="BA2279" s="84" t="s">
        <v>152</v>
      </c>
      <c r="BB2279" s="84" t="str">
        <f>IFERROR(__xludf.DUMMYFUNCTION("iferror(if(A2279="""",,E2279&gt;=FILTER(Constants!$F$2:$F$10,Constants!$A$2:$A$10=A2279)))"),"")</f>
        <v/>
      </c>
    </row>
    <row r="2280">
      <c r="A2280" s="89"/>
      <c r="B2280" s="87"/>
      <c r="C2280" s="73"/>
      <c r="D2280" s="73"/>
      <c r="E2280" s="82"/>
      <c r="F2280" s="82"/>
      <c r="G2280" s="86"/>
      <c r="H2280" s="86"/>
      <c r="I2280" s="86"/>
      <c r="J2280" s="82"/>
      <c r="K2280" s="82"/>
      <c r="L2280" s="82"/>
      <c r="M2280" s="82"/>
      <c r="N2280" s="82"/>
      <c r="O2280" s="82"/>
      <c r="P2280" s="82"/>
      <c r="Q2280" s="82"/>
      <c r="R2280" s="82"/>
      <c r="S2280" s="82"/>
      <c r="T2280" s="82"/>
      <c r="U2280" s="82"/>
      <c r="V2280" s="82"/>
      <c r="W2280" s="82"/>
      <c r="X2280" s="82"/>
      <c r="Y2280" s="82"/>
      <c r="Z2280" s="82"/>
      <c r="AA2280" s="82"/>
      <c r="AB2280" s="82"/>
      <c r="AC2280" s="82"/>
      <c r="AD2280" s="82"/>
      <c r="AE2280" s="82"/>
      <c r="AF2280" s="82"/>
      <c r="AG2280" s="82"/>
      <c r="AH2280" s="82"/>
      <c r="AI2280" s="82"/>
      <c r="AJ2280" s="82"/>
      <c r="AK2280" s="82"/>
      <c r="AL2280" s="82"/>
      <c r="AM2280" s="82"/>
      <c r="AN2280" s="82"/>
      <c r="AO2280" s="82"/>
      <c r="AP2280" s="82"/>
      <c r="AQ2280" s="82"/>
      <c r="AR2280" s="82"/>
      <c r="AS2280" s="82"/>
      <c r="AT2280" s="82"/>
      <c r="AU2280" s="82"/>
      <c r="AV2280" s="82"/>
      <c r="AW2280" s="82" t="str">
        <f t="shared" si="1"/>
        <v/>
      </c>
      <c r="AX2280" s="83" t="str">
        <f t="array" ref="AX2280">IFERROR(DGET('SBV Import'!A:G,"SBV",{"RSC ID","Tier";B2280,A2280}))</f>
        <v/>
      </c>
      <c r="AY2280" s="82" t="str">
        <f t="shared" si="2"/>
        <v/>
      </c>
      <c r="AZ2280" s="82"/>
      <c r="BA2280" s="84" t="s">
        <v>152</v>
      </c>
      <c r="BB2280" s="84" t="str">
        <f>IFERROR(__xludf.DUMMYFUNCTION("iferror(if(A2280="""",,E2280&gt;=FILTER(Constants!$F$2:$F$10,Constants!$A$2:$A$10=A2280)))"),"")</f>
        <v/>
      </c>
    </row>
    <row r="2281">
      <c r="A2281" s="89"/>
      <c r="B2281" s="87"/>
      <c r="C2281" s="73"/>
      <c r="D2281" s="73"/>
      <c r="E2281" s="82"/>
      <c r="F2281" s="82"/>
      <c r="G2281" s="86"/>
      <c r="H2281" s="86"/>
      <c r="I2281" s="86"/>
      <c r="J2281" s="82"/>
      <c r="K2281" s="82"/>
      <c r="L2281" s="82"/>
      <c r="M2281" s="82"/>
      <c r="N2281" s="82"/>
      <c r="O2281" s="82"/>
      <c r="P2281" s="82"/>
      <c r="Q2281" s="82"/>
      <c r="R2281" s="82"/>
      <c r="S2281" s="82"/>
      <c r="T2281" s="82"/>
      <c r="U2281" s="82"/>
      <c r="V2281" s="82"/>
      <c r="W2281" s="82"/>
      <c r="X2281" s="82"/>
      <c r="Y2281" s="82"/>
      <c r="Z2281" s="82"/>
      <c r="AA2281" s="82"/>
      <c r="AB2281" s="82"/>
      <c r="AC2281" s="82"/>
      <c r="AD2281" s="82"/>
      <c r="AE2281" s="82"/>
      <c r="AF2281" s="82"/>
      <c r="AG2281" s="82"/>
      <c r="AH2281" s="82"/>
      <c r="AI2281" s="82"/>
      <c r="AJ2281" s="82"/>
      <c r="AK2281" s="82"/>
      <c r="AL2281" s="82"/>
      <c r="AM2281" s="82"/>
      <c r="AN2281" s="82"/>
      <c r="AO2281" s="82"/>
      <c r="AP2281" s="82"/>
      <c r="AQ2281" s="82"/>
      <c r="AR2281" s="82"/>
      <c r="AS2281" s="82"/>
      <c r="AT2281" s="82"/>
      <c r="AU2281" s="82"/>
      <c r="AV2281" s="82"/>
      <c r="AW2281" s="82" t="str">
        <f t="shared" si="1"/>
        <v/>
      </c>
      <c r="AX2281" s="83" t="str">
        <f t="array" ref="AX2281">IFERROR(DGET('SBV Import'!A:G,"SBV",{"RSC ID","Tier";B2281,A2281}))</f>
        <v/>
      </c>
      <c r="AY2281" s="82" t="str">
        <f t="shared" si="2"/>
        <v/>
      </c>
      <c r="AZ2281" s="82"/>
      <c r="BA2281" s="84" t="s">
        <v>152</v>
      </c>
      <c r="BB2281" s="84" t="str">
        <f>IFERROR(__xludf.DUMMYFUNCTION("iferror(if(A2281="""",,E2281&gt;=FILTER(Constants!$F$2:$F$10,Constants!$A$2:$A$10=A2281)))"),"")</f>
        <v/>
      </c>
    </row>
    <row r="2282">
      <c r="A2282" s="89"/>
      <c r="B2282" s="87"/>
      <c r="C2282" s="73"/>
      <c r="D2282" s="73"/>
      <c r="E2282" s="82"/>
      <c r="F2282" s="82"/>
      <c r="G2282" s="86"/>
      <c r="H2282" s="86"/>
      <c r="I2282" s="86"/>
      <c r="J2282" s="82"/>
      <c r="K2282" s="82"/>
      <c r="L2282" s="82"/>
      <c r="M2282" s="82"/>
      <c r="N2282" s="82"/>
      <c r="O2282" s="82"/>
      <c r="P2282" s="82"/>
      <c r="Q2282" s="82"/>
      <c r="R2282" s="82"/>
      <c r="S2282" s="82"/>
      <c r="T2282" s="82"/>
      <c r="U2282" s="82"/>
      <c r="V2282" s="82"/>
      <c r="W2282" s="82"/>
      <c r="X2282" s="82"/>
      <c r="Y2282" s="82"/>
      <c r="Z2282" s="82"/>
      <c r="AA2282" s="82"/>
      <c r="AB2282" s="82"/>
      <c r="AC2282" s="82"/>
      <c r="AD2282" s="82"/>
      <c r="AE2282" s="82"/>
      <c r="AF2282" s="82"/>
      <c r="AG2282" s="82"/>
      <c r="AH2282" s="82"/>
      <c r="AI2282" s="82"/>
      <c r="AJ2282" s="82"/>
      <c r="AK2282" s="82"/>
      <c r="AL2282" s="82"/>
      <c r="AM2282" s="82"/>
      <c r="AN2282" s="82"/>
      <c r="AO2282" s="82"/>
      <c r="AP2282" s="82"/>
      <c r="AQ2282" s="82"/>
      <c r="AR2282" s="82"/>
      <c r="AS2282" s="82"/>
      <c r="AT2282" s="82"/>
      <c r="AU2282" s="82"/>
      <c r="AV2282" s="82"/>
      <c r="AW2282" s="82" t="str">
        <f t="shared" si="1"/>
        <v/>
      </c>
      <c r="AX2282" s="83" t="str">
        <f t="array" ref="AX2282">IFERROR(DGET('SBV Import'!A:G,"SBV",{"RSC ID","Tier";B2282,A2282}))</f>
        <v/>
      </c>
      <c r="AY2282" s="82" t="str">
        <f t="shared" si="2"/>
        <v/>
      </c>
      <c r="AZ2282" s="82"/>
      <c r="BA2282" s="84" t="s">
        <v>152</v>
      </c>
      <c r="BB2282" s="84" t="str">
        <f>IFERROR(__xludf.DUMMYFUNCTION("iferror(if(A2282="""",,E2282&gt;=FILTER(Constants!$F$2:$F$10,Constants!$A$2:$A$10=A2282)))"),"")</f>
        <v/>
      </c>
    </row>
    <row r="2283">
      <c r="A2283" s="89"/>
      <c r="B2283" s="87"/>
      <c r="C2283" s="73"/>
      <c r="D2283" s="73"/>
      <c r="E2283" s="82"/>
      <c r="F2283" s="82"/>
      <c r="G2283" s="86"/>
      <c r="H2283" s="86"/>
      <c r="I2283" s="86"/>
      <c r="J2283" s="82"/>
      <c r="K2283" s="82"/>
      <c r="L2283" s="82"/>
      <c r="M2283" s="82"/>
      <c r="N2283" s="82"/>
      <c r="O2283" s="82"/>
      <c r="P2283" s="82"/>
      <c r="Q2283" s="82"/>
      <c r="R2283" s="82"/>
      <c r="S2283" s="82"/>
      <c r="T2283" s="82"/>
      <c r="U2283" s="82"/>
      <c r="V2283" s="82"/>
      <c r="W2283" s="82"/>
      <c r="X2283" s="82"/>
      <c r="Y2283" s="82"/>
      <c r="Z2283" s="82"/>
      <c r="AA2283" s="82"/>
      <c r="AB2283" s="82"/>
      <c r="AC2283" s="82"/>
      <c r="AD2283" s="82"/>
      <c r="AE2283" s="82"/>
      <c r="AF2283" s="82"/>
      <c r="AG2283" s="82"/>
      <c r="AH2283" s="82"/>
      <c r="AI2283" s="82"/>
      <c r="AJ2283" s="82"/>
      <c r="AK2283" s="82"/>
      <c r="AL2283" s="82"/>
      <c r="AM2283" s="82"/>
      <c r="AN2283" s="82"/>
      <c r="AO2283" s="82"/>
      <c r="AP2283" s="82"/>
      <c r="AQ2283" s="82"/>
      <c r="AR2283" s="82"/>
      <c r="AS2283" s="82"/>
      <c r="AT2283" s="82"/>
      <c r="AU2283" s="82"/>
      <c r="AV2283" s="82"/>
      <c r="AW2283" s="82" t="str">
        <f t="shared" si="1"/>
        <v/>
      </c>
      <c r="AX2283" s="83" t="str">
        <f t="array" ref="AX2283">IFERROR(DGET('SBV Import'!A:G,"SBV",{"RSC ID","Tier";B2283,A2283}))</f>
        <v/>
      </c>
      <c r="AY2283" s="82" t="str">
        <f t="shared" si="2"/>
        <v/>
      </c>
      <c r="AZ2283" s="82"/>
      <c r="BA2283" s="84" t="s">
        <v>152</v>
      </c>
      <c r="BB2283" s="84" t="str">
        <f>IFERROR(__xludf.DUMMYFUNCTION("iferror(if(A2283="""",,E2283&gt;=FILTER(Constants!$F$2:$F$10,Constants!$A$2:$A$10=A2283)))"),"")</f>
        <v/>
      </c>
    </row>
    <row r="2284">
      <c r="A2284" s="89"/>
      <c r="B2284" s="87"/>
      <c r="C2284" s="73"/>
      <c r="D2284" s="73"/>
      <c r="E2284" s="82"/>
      <c r="F2284" s="82"/>
      <c r="G2284" s="86"/>
      <c r="H2284" s="86"/>
      <c r="I2284" s="86"/>
      <c r="J2284" s="82"/>
      <c r="K2284" s="82"/>
      <c r="L2284" s="82"/>
      <c r="M2284" s="82"/>
      <c r="N2284" s="82"/>
      <c r="O2284" s="82"/>
      <c r="P2284" s="82"/>
      <c r="Q2284" s="82"/>
      <c r="R2284" s="82"/>
      <c r="S2284" s="82"/>
      <c r="T2284" s="82"/>
      <c r="U2284" s="82"/>
      <c r="V2284" s="82"/>
      <c r="W2284" s="82"/>
      <c r="X2284" s="82"/>
      <c r="Y2284" s="82"/>
      <c r="Z2284" s="82"/>
      <c r="AA2284" s="82"/>
      <c r="AB2284" s="82"/>
      <c r="AC2284" s="82"/>
      <c r="AD2284" s="82"/>
      <c r="AE2284" s="82"/>
      <c r="AF2284" s="82"/>
      <c r="AG2284" s="82"/>
      <c r="AH2284" s="82"/>
      <c r="AI2284" s="82"/>
      <c r="AJ2284" s="82"/>
      <c r="AK2284" s="82"/>
      <c r="AL2284" s="82"/>
      <c r="AM2284" s="82"/>
      <c r="AN2284" s="82"/>
      <c r="AO2284" s="82"/>
      <c r="AP2284" s="82"/>
      <c r="AQ2284" s="82"/>
      <c r="AR2284" s="82"/>
      <c r="AS2284" s="82"/>
      <c r="AT2284" s="82"/>
      <c r="AU2284" s="82"/>
      <c r="AV2284" s="82"/>
      <c r="AW2284" s="82" t="str">
        <f t="shared" si="1"/>
        <v/>
      </c>
      <c r="AX2284" s="83" t="str">
        <f t="array" ref="AX2284">IFERROR(DGET('SBV Import'!A:G,"SBV",{"RSC ID","Tier";B2284,A2284}))</f>
        <v/>
      </c>
      <c r="AY2284" s="82" t="str">
        <f t="shared" si="2"/>
        <v/>
      </c>
      <c r="AZ2284" s="82"/>
      <c r="BA2284" s="84" t="s">
        <v>152</v>
      </c>
      <c r="BB2284" s="84" t="str">
        <f>IFERROR(__xludf.DUMMYFUNCTION("iferror(if(A2284="""",,E2284&gt;=FILTER(Constants!$F$2:$F$10,Constants!$A$2:$A$10=A2284)))"),"")</f>
        <v/>
      </c>
    </row>
    <row r="2285">
      <c r="A2285" s="89"/>
      <c r="B2285" s="87"/>
      <c r="C2285" s="73"/>
      <c r="D2285" s="73"/>
      <c r="E2285" s="82"/>
      <c r="F2285" s="82"/>
      <c r="G2285" s="86"/>
      <c r="H2285" s="86"/>
      <c r="I2285" s="86"/>
      <c r="J2285" s="82"/>
      <c r="K2285" s="82"/>
      <c r="L2285" s="82"/>
      <c r="M2285" s="82"/>
      <c r="N2285" s="82"/>
      <c r="O2285" s="82"/>
      <c r="P2285" s="82"/>
      <c r="Q2285" s="82"/>
      <c r="R2285" s="82"/>
      <c r="S2285" s="82"/>
      <c r="T2285" s="82"/>
      <c r="U2285" s="82"/>
      <c r="V2285" s="82"/>
      <c r="W2285" s="82"/>
      <c r="X2285" s="82"/>
      <c r="Y2285" s="82"/>
      <c r="Z2285" s="82"/>
      <c r="AA2285" s="82"/>
      <c r="AB2285" s="82"/>
      <c r="AC2285" s="82"/>
      <c r="AD2285" s="82"/>
      <c r="AE2285" s="82"/>
      <c r="AF2285" s="82"/>
      <c r="AG2285" s="82"/>
      <c r="AH2285" s="82"/>
      <c r="AI2285" s="82"/>
      <c r="AJ2285" s="82"/>
      <c r="AK2285" s="82"/>
      <c r="AL2285" s="82"/>
      <c r="AM2285" s="82"/>
      <c r="AN2285" s="82"/>
      <c r="AO2285" s="82"/>
      <c r="AP2285" s="82"/>
      <c r="AQ2285" s="82"/>
      <c r="AR2285" s="82"/>
      <c r="AS2285" s="82"/>
      <c r="AT2285" s="82"/>
      <c r="AU2285" s="82"/>
      <c r="AV2285" s="82"/>
      <c r="AW2285" s="82" t="str">
        <f t="shared" si="1"/>
        <v/>
      </c>
      <c r="AX2285" s="83" t="str">
        <f t="array" ref="AX2285">IFERROR(DGET('SBV Import'!A:G,"SBV",{"RSC ID","Tier";B2285,A2285}))</f>
        <v/>
      </c>
      <c r="AY2285" s="82" t="str">
        <f t="shared" si="2"/>
        <v/>
      </c>
      <c r="AZ2285" s="82"/>
      <c r="BA2285" s="84" t="s">
        <v>152</v>
      </c>
      <c r="BB2285" s="84" t="str">
        <f>IFERROR(__xludf.DUMMYFUNCTION("iferror(if(A2285="""",,E2285&gt;=FILTER(Constants!$F$2:$F$10,Constants!$A$2:$A$10=A2285)))"),"")</f>
        <v/>
      </c>
    </row>
    <row r="2286">
      <c r="A2286" s="89"/>
      <c r="B2286" s="87"/>
      <c r="C2286" s="73"/>
      <c r="D2286" s="73"/>
      <c r="E2286" s="82"/>
      <c r="F2286" s="82"/>
      <c r="G2286" s="86"/>
      <c r="H2286" s="86"/>
      <c r="I2286" s="86"/>
      <c r="J2286" s="82"/>
      <c r="K2286" s="82"/>
      <c r="L2286" s="82"/>
      <c r="M2286" s="82"/>
      <c r="N2286" s="82"/>
      <c r="O2286" s="82"/>
      <c r="P2286" s="82"/>
      <c r="Q2286" s="82"/>
      <c r="R2286" s="82"/>
      <c r="S2286" s="82"/>
      <c r="T2286" s="82"/>
      <c r="U2286" s="82"/>
      <c r="V2286" s="82"/>
      <c r="W2286" s="82"/>
      <c r="X2286" s="82"/>
      <c r="Y2286" s="82"/>
      <c r="Z2286" s="82"/>
      <c r="AA2286" s="82"/>
      <c r="AB2286" s="82"/>
      <c r="AC2286" s="82"/>
      <c r="AD2286" s="82"/>
      <c r="AE2286" s="82"/>
      <c r="AF2286" s="82"/>
      <c r="AG2286" s="82"/>
      <c r="AH2286" s="82"/>
      <c r="AI2286" s="82"/>
      <c r="AJ2286" s="82"/>
      <c r="AK2286" s="82"/>
      <c r="AL2286" s="82"/>
      <c r="AM2286" s="82"/>
      <c r="AN2286" s="82"/>
      <c r="AO2286" s="82"/>
      <c r="AP2286" s="82"/>
      <c r="AQ2286" s="82"/>
      <c r="AR2286" s="82"/>
      <c r="AS2286" s="82"/>
      <c r="AT2286" s="82"/>
      <c r="AU2286" s="82"/>
      <c r="AV2286" s="82"/>
      <c r="AW2286" s="82" t="str">
        <f t="shared" si="1"/>
        <v/>
      </c>
      <c r="AX2286" s="83" t="str">
        <f t="array" ref="AX2286">IFERROR(DGET('SBV Import'!A:G,"SBV",{"RSC ID","Tier";B2286,A2286}))</f>
        <v/>
      </c>
      <c r="AY2286" s="82" t="str">
        <f t="shared" si="2"/>
        <v/>
      </c>
      <c r="AZ2286" s="82"/>
      <c r="BA2286" s="84" t="s">
        <v>152</v>
      </c>
      <c r="BB2286" s="84" t="str">
        <f>IFERROR(__xludf.DUMMYFUNCTION("iferror(if(A2286="""",,E2286&gt;=FILTER(Constants!$F$2:$F$10,Constants!$A$2:$A$10=A2286)))"),"")</f>
        <v/>
      </c>
    </row>
    <row r="2287">
      <c r="A2287" s="89"/>
      <c r="B2287" s="87"/>
      <c r="C2287" s="73"/>
      <c r="D2287" s="73"/>
      <c r="E2287" s="82"/>
      <c r="F2287" s="82"/>
      <c r="G2287" s="86"/>
      <c r="H2287" s="86"/>
      <c r="I2287" s="86"/>
      <c r="J2287" s="82"/>
      <c r="K2287" s="82"/>
      <c r="L2287" s="82"/>
      <c r="M2287" s="82"/>
      <c r="N2287" s="82"/>
      <c r="O2287" s="82"/>
      <c r="P2287" s="82"/>
      <c r="Q2287" s="82"/>
      <c r="R2287" s="82"/>
      <c r="S2287" s="82"/>
      <c r="T2287" s="82"/>
      <c r="U2287" s="82"/>
      <c r="V2287" s="82"/>
      <c r="W2287" s="82"/>
      <c r="X2287" s="82"/>
      <c r="Y2287" s="82"/>
      <c r="Z2287" s="82"/>
      <c r="AA2287" s="82"/>
      <c r="AB2287" s="82"/>
      <c r="AC2287" s="82"/>
      <c r="AD2287" s="82"/>
      <c r="AE2287" s="82"/>
      <c r="AF2287" s="82"/>
      <c r="AG2287" s="82"/>
      <c r="AH2287" s="82"/>
      <c r="AI2287" s="82"/>
      <c r="AJ2287" s="82"/>
      <c r="AK2287" s="82"/>
      <c r="AL2287" s="82"/>
      <c r="AM2287" s="82"/>
      <c r="AN2287" s="82"/>
      <c r="AO2287" s="82"/>
      <c r="AP2287" s="82"/>
      <c r="AQ2287" s="82"/>
      <c r="AR2287" s="82"/>
      <c r="AS2287" s="82"/>
      <c r="AT2287" s="82"/>
      <c r="AU2287" s="82"/>
      <c r="AV2287" s="82"/>
      <c r="AW2287" s="82" t="str">
        <f t="shared" si="1"/>
        <v/>
      </c>
      <c r="AX2287" s="83" t="str">
        <f t="array" ref="AX2287">IFERROR(DGET('SBV Import'!A:G,"SBV",{"RSC ID","Tier";B2287,A2287}))</f>
        <v/>
      </c>
      <c r="AY2287" s="82" t="str">
        <f t="shared" si="2"/>
        <v/>
      </c>
      <c r="AZ2287" s="82"/>
      <c r="BA2287" s="84" t="s">
        <v>152</v>
      </c>
      <c r="BB2287" s="84" t="str">
        <f>IFERROR(__xludf.DUMMYFUNCTION("iferror(if(A2287="""",,E2287&gt;=FILTER(Constants!$F$2:$F$10,Constants!$A$2:$A$10=A2287)))"),"")</f>
        <v/>
      </c>
    </row>
    <row r="2288">
      <c r="A2288" s="89"/>
      <c r="B2288" s="87"/>
      <c r="C2288" s="73"/>
      <c r="D2288" s="73"/>
      <c r="E2288" s="82"/>
      <c r="F2288" s="82"/>
      <c r="G2288" s="86"/>
      <c r="H2288" s="86"/>
      <c r="I2288" s="86"/>
      <c r="J2288" s="82"/>
      <c r="K2288" s="82"/>
      <c r="L2288" s="82"/>
      <c r="M2288" s="82"/>
      <c r="N2288" s="82"/>
      <c r="O2288" s="82"/>
      <c r="P2288" s="82"/>
      <c r="Q2288" s="82"/>
      <c r="R2288" s="82"/>
      <c r="S2288" s="82"/>
      <c r="T2288" s="82"/>
      <c r="U2288" s="82"/>
      <c r="V2288" s="82"/>
      <c r="W2288" s="82"/>
      <c r="X2288" s="82"/>
      <c r="Y2288" s="82"/>
      <c r="Z2288" s="82"/>
      <c r="AA2288" s="82"/>
      <c r="AB2288" s="82"/>
      <c r="AC2288" s="82"/>
      <c r="AD2288" s="82"/>
      <c r="AE2288" s="82"/>
      <c r="AF2288" s="82"/>
      <c r="AG2288" s="82"/>
      <c r="AH2288" s="82"/>
      <c r="AI2288" s="82"/>
      <c r="AJ2288" s="82"/>
      <c r="AK2288" s="82"/>
      <c r="AL2288" s="82"/>
      <c r="AM2288" s="82"/>
      <c r="AN2288" s="82"/>
      <c r="AO2288" s="82"/>
      <c r="AP2288" s="82"/>
      <c r="AQ2288" s="82"/>
      <c r="AR2288" s="82"/>
      <c r="AS2288" s="82"/>
      <c r="AT2288" s="82"/>
      <c r="AU2288" s="82"/>
      <c r="AV2288" s="82"/>
      <c r="AW2288" s="82" t="str">
        <f t="shared" si="1"/>
        <v/>
      </c>
      <c r="AX2288" s="83" t="str">
        <f t="array" ref="AX2288">IFERROR(DGET('SBV Import'!A:G,"SBV",{"RSC ID","Tier";B2288,A2288}))</f>
        <v/>
      </c>
      <c r="AY2288" s="82" t="str">
        <f t="shared" si="2"/>
        <v/>
      </c>
      <c r="AZ2288" s="82"/>
      <c r="BA2288" s="84" t="s">
        <v>152</v>
      </c>
      <c r="BB2288" s="84" t="str">
        <f>IFERROR(__xludf.DUMMYFUNCTION("iferror(if(A2288="""",,E2288&gt;=FILTER(Constants!$F$2:$F$10,Constants!$A$2:$A$10=A2288)))"),"")</f>
        <v/>
      </c>
    </row>
    <row r="2289">
      <c r="A2289" s="89"/>
      <c r="B2289" s="87"/>
      <c r="C2289" s="73"/>
      <c r="D2289" s="73"/>
      <c r="E2289" s="82"/>
      <c r="F2289" s="82"/>
      <c r="G2289" s="86"/>
      <c r="H2289" s="86"/>
      <c r="I2289" s="86"/>
      <c r="J2289" s="82"/>
      <c r="K2289" s="82"/>
      <c r="L2289" s="82"/>
      <c r="M2289" s="82"/>
      <c r="N2289" s="82"/>
      <c r="O2289" s="82"/>
      <c r="P2289" s="82"/>
      <c r="Q2289" s="82"/>
      <c r="R2289" s="82"/>
      <c r="S2289" s="82"/>
      <c r="T2289" s="82"/>
      <c r="U2289" s="82"/>
      <c r="V2289" s="82"/>
      <c r="W2289" s="82"/>
      <c r="X2289" s="82"/>
      <c r="Y2289" s="82"/>
      <c r="Z2289" s="82"/>
      <c r="AA2289" s="82"/>
      <c r="AB2289" s="82"/>
      <c r="AC2289" s="82"/>
      <c r="AD2289" s="82"/>
      <c r="AE2289" s="82"/>
      <c r="AF2289" s="82"/>
      <c r="AG2289" s="82"/>
      <c r="AH2289" s="82"/>
      <c r="AI2289" s="82"/>
      <c r="AJ2289" s="82"/>
      <c r="AK2289" s="82"/>
      <c r="AL2289" s="82"/>
      <c r="AM2289" s="82"/>
      <c r="AN2289" s="82"/>
      <c r="AO2289" s="82"/>
      <c r="AP2289" s="82"/>
      <c r="AQ2289" s="82"/>
      <c r="AR2289" s="82"/>
      <c r="AS2289" s="82"/>
      <c r="AT2289" s="82"/>
      <c r="AU2289" s="82"/>
      <c r="AV2289" s="82"/>
      <c r="AW2289" s="82" t="str">
        <f t="shared" si="1"/>
        <v/>
      </c>
      <c r="AX2289" s="83" t="str">
        <f t="array" ref="AX2289">IFERROR(DGET('SBV Import'!A:G,"SBV",{"RSC ID","Tier";B2289,A2289}))</f>
        <v/>
      </c>
      <c r="AY2289" s="82" t="str">
        <f t="shared" si="2"/>
        <v/>
      </c>
      <c r="AZ2289" s="82"/>
      <c r="BA2289" s="84" t="s">
        <v>152</v>
      </c>
      <c r="BB2289" s="84" t="str">
        <f>IFERROR(__xludf.DUMMYFUNCTION("iferror(if(A2289="""",,E2289&gt;=FILTER(Constants!$F$2:$F$10,Constants!$A$2:$A$10=A2289)))"),"")</f>
        <v/>
      </c>
    </row>
    <row r="2290">
      <c r="A2290" s="89"/>
      <c r="B2290" s="87"/>
      <c r="C2290" s="73"/>
      <c r="D2290" s="73"/>
      <c r="E2290" s="82"/>
      <c r="F2290" s="82"/>
      <c r="G2290" s="86"/>
      <c r="H2290" s="86"/>
      <c r="I2290" s="86"/>
      <c r="J2290" s="82"/>
      <c r="K2290" s="82"/>
      <c r="L2290" s="82"/>
      <c r="M2290" s="82"/>
      <c r="N2290" s="82"/>
      <c r="O2290" s="82"/>
      <c r="P2290" s="82"/>
      <c r="Q2290" s="82"/>
      <c r="R2290" s="82"/>
      <c r="S2290" s="82"/>
      <c r="T2290" s="82"/>
      <c r="U2290" s="82"/>
      <c r="V2290" s="82"/>
      <c r="W2290" s="82"/>
      <c r="X2290" s="82"/>
      <c r="Y2290" s="82"/>
      <c r="Z2290" s="82"/>
      <c r="AA2290" s="82"/>
      <c r="AB2290" s="82"/>
      <c r="AC2290" s="82"/>
      <c r="AD2290" s="82"/>
      <c r="AE2290" s="82"/>
      <c r="AF2290" s="82"/>
      <c r="AG2290" s="82"/>
      <c r="AH2290" s="82"/>
      <c r="AI2290" s="82"/>
      <c r="AJ2290" s="82"/>
      <c r="AK2290" s="82"/>
      <c r="AL2290" s="82"/>
      <c r="AM2290" s="82"/>
      <c r="AN2290" s="82"/>
      <c r="AO2290" s="82"/>
      <c r="AP2290" s="82"/>
      <c r="AQ2290" s="82"/>
      <c r="AR2290" s="82"/>
      <c r="AS2290" s="82"/>
      <c r="AT2290" s="82"/>
      <c r="AU2290" s="82"/>
      <c r="AV2290" s="82"/>
      <c r="AW2290" s="82" t="str">
        <f t="shared" si="1"/>
        <v/>
      </c>
      <c r="AX2290" s="83" t="str">
        <f t="array" ref="AX2290">IFERROR(DGET('SBV Import'!A:G,"SBV",{"RSC ID","Tier";B2290,A2290}))</f>
        <v/>
      </c>
      <c r="AY2290" s="82" t="str">
        <f t="shared" si="2"/>
        <v/>
      </c>
      <c r="AZ2290" s="82"/>
      <c r="BA2290" s="84" t="s">
        <v>152</v>
      </c>
      <c r="BB2290" s="84" t="str">
        <f>IFERROR(__xludf.DUMMYFUNCTION("iferror(if(A2290="""",,E2290&gt;=FILTER(Constants!$F$2:$F$10,Constants!$A$2:$A$10=A2290)))"),"")</f>
        <v/>
      </c>
    </row>
    <row r="2291">
      <c r="A2291" s="89"/>
      <c r="B2291" s="87"/>
      <c r="C2291" s="73"/>
      <c r="D2291" s="73"/>
      <c r="E2291" s="82"/>
      <c r="F2291" s="82"/>
      <c r="G2291" s="86"/>
      <c r="H2291" s="86"/>
      <c r="I2291" s="86"/>
      <c r="J2291" s="82"/>
      <c r="K2291" s="82"/>
      <c r="L2291" s="82"/>
      <c r="M2291" s="82"/>
      <c r="N2291" s="82"/>
      <c r="O2291" s="82"/>
      <c r="P2291" s="82"/>
      <c r="Q2291" s="82"/>
      <c r="R2291" s="82"/>
      <c r="S2291" s="82"/>
      <c r="T2291" s="82"/>
      <c r="U2291" s="82"/>
      <c r="V2291" s="82"/>
      <c r="W2291" s="82"/>
      <c r="X2291" s="82"/>
      <c r="Y2291" s="82"/>
      <c r="Z2291" s="82"/>
      <c r="AA2291" s="82"/>
      <c r="AB2291" s="82"/>
      <c r="AC2291" s="82"/>
      <c r="AD2291" s="82"/>
      <c r="AE2291" s="82"/>
      <c r="AF2291" s="82"/>
      <c r="AG2291" s="82"/>
      <c r="AH2291" s="82"/>
      <c r="AI2291" s="82"/>
      <c r="AJ2291" s="82"/>
      <c r="AK2291" s="82"/>
      <c r="AL2291" s="82"/>
      <c r="AM2291" s="82"/>
      <c r="AN2291" s="82"/>
      <c r="AO2291" s="82"/>
      <c r="AP2291" s="82"/>
      <c r="AQ2291" s="82"/>
      <c r="AR2291" s="82"/>
      <c r="AS2291" s="82"/>
      <c r="AT2291" s="82"/>
      <c r="AU2291" s="82"/>
      <c r="AV2291" s="82"/>
      <c r="AW2291" s="82" t="str">
        <f t="shared" si="1"/>
        <v/>
      </c>
      <c r="AX2291" s="83" t="str">
        <f t="array" ref="AX2291">IFERROR(DGET('SBV Import'!A:G,"SBV",{"RSC ID","Tier";B2291,A2291}))</f>
        <v/>
      </c>
      <c r="AY2291" s="82" t="str">
        <f t="shared" si="2"/>
        <v/>
      </c>
      <c r="AZ2291" s="82"/>
      <c r="BA2291" s="84" t="s">
        <v>152</v>
      </c>
      <c r="BB2291" s="84" t="str">
        <f>IFERROR(__xludf.DUMMYFUNCTION("iferror(if(A2291="""",,E2291&gt;=FILTER(Constants!$F$2:$F$10,Constants!$A$2:$A$10=A2291)))"),"")</f>
        <v/>
      </c>
    </row>
    <row r="2292">
      <c r="A2292" s="89"/>
      <c r="B2292" s="87"/>
      <c r="C2292" s="73"/>
      <c r="D2292" s="73"/>
      <c r="E2292" s="82"/>
      <c r="F2292" s="82"/>
      <c r="G2292" s="86"/>
      <c r="H2292" s="86"/>
      <c r="I2292" s="86"/>
      <c r="J2292" s="82"/>
      <c r="K2292" s="82"/>
      <c r="L2292" s="82"/>
      <c r="M2292" s="82"/>
      <c r="N2292" s="82"/>
      <c r="O2292" s="82"/>
      <c r="P2292" s="82"/>
      <c r="Q2292" s="82"/>
      <c r="R2292" s="82"/>
      <c r="S2292" s="82"/>
      <c r="T2292" s="82"/>
      <c r="U2292" s="82"/>
      <c r="V2292" s="82"/>
      <c r="W2292" s="82"/>
      <c r="X2292" s="82"/>
      <c r="Y2292" s="82"/>
      <c r="Z2292" s="82"/>
      <c r="AA2292" s="82"/>
      <c r="AB2292" s="82"/>
      <c r="AC2292" s="82"/>
      <c r="AD2292" s="82"/>
      <c r="AE2292" s="82"/>
      <c r="AF2292" s="82"/>
      <c r="AG2292" s="82"/>
      <c r="AH2292" s="82"/>
      <c r="AI2292" s="82"/>
      <c r="AJ2292" s="82"/>
      <c r="AK2292" s="82"/>
      <c r="AL2292" s="82"/>
      <c r="AM2292" s="82"/>
      <c r="AN2292" s="82"/>
      <c r="AO2292" s="82"/>
      <c r="AP2292" s="82"/>
      <c r="AQ2292" s="82"/>
      <c r="AR2292" s="82"/>
      <c r="AS2292" s="82"/>
      <c r="AT2292" s="82"/>
      <c r="AU2292" s="82"/>
      <c r="AV2292" s="82"/>
      <c r="AW2292" s="82" t="str">
        <f t="shared" si="1"/>
        <v/>
      </c>
      <c r="AX2292" s="83" t="str">
        <f t="array" ref="AX2292">IFERROR(DGET('SBV Import'!A:G,"SBV",{"RSC ID","Tier";B2292,A2292}))</f>
        <v/>
      </c>
      <c r="AY2292" s="82" t="str">
        <f t="shared" si="2"/>
        <v/>
      </c>
      <c r="AZ2292" s="82"/>
      <c r="BA2292" s="84" t="s">
        <v>152</v>
      </c>
      <c r="BB2292" s="84" t="str">
        <f>IFERROR(__xludf.DUMMYFUNCTION("iferror(if(A2292="""",,E2292&gt;=FILTER(Constants!$F$2:$F$10,Constants!$A$2:$A$10=A2292)))"),"")</f>
        <v/>
      </c>
    </row>
    <row r="2293">
      <c r="A2293" s="89"/>
      <c r="B2293" s="87"/>
      <c r="C2293" s="73"/>
      <c r="D2293" s="73"/>
      <c r="E2293" s="82"/>
      <c r="F2293" s="82"/>
      <c r="G2293" s="86"/>
      <c r="H2293" s="86"/>
      <c r="I2293" s="86"/>
      <c r="J2293" s="82"/>
      <c r="K2293" s="82"/>
      <c r="L2293" s="82"/>
      <c r="M2293" s="82"/>
      <c r="N2293" s="82"/>
      <c r="O2293" s="82"/>
      <c r="P2293" s="82"/>
      <c r="Q2293" s="82"/>
      <c r="R2293" s="82"/>
      <c r="S2293" s="82"/>
      <c r="T2293" s="82"/>
      <c r="U2293" s="82"/>
      <c r="V2293" s="82"/>
      <c r="W2293" s="82"/>
      <c r="X2293" s="82"/>
      <c r="Y2293" s="82"/>
      <c r="Z2293" s="82"/>
      <c r="AA2293" s="82"/>
      <c r="AB2293" s="82"/>
      <c r="AC2293" s="82"/>
      <c r="AD2293" s="82"/>
      <c r="AE2293" s="82"/>
      <c r="AF2293" s="82"/>
      <c r="AG2293" s="82"/>
      <c r="AH2293" s="82"/>
      <c r="AI2293" s="82"/>
      <c r="AJ2293" s="82"/>
      <c r="AK2293" s="82"/>
      <c r="AL2293" s="82"/>
      <c r="AM2293" s="82"/>
      <c r="AN2293" s="82"/>
      <c r="AO2293" s="82"/>
      <c r="AP2293" s="82"/>
      <c r="AQ2293" s="82"/>
      <c r="AR2293" s="82"/>
      <c r="AS2293" s="82"/>
      <c r="AT2293" s="82"/>
      <c r="AU2293" s="82"/>
      <c r="AV2293" s="82"/>
      <c r="AW2293" s="82" t="str">
        <f t="shared" si="1"/>
        <v/>
      </c>
      <c r="AX2293" s="83" t="str">
        <f t="array" ref="AX2293">IFERROR(DGET('SBV Import'!A:G,"SBV",{"RSC ID","Tier";B2293,A2293}))</f>
        <v/>
      </c>
      <c r="AY2293" s="82" t="str">
        <f t="shared" si="2"/>
        <v/>
      </c>
      <c r="AZ2293" s="82"/>
      <c r="BA2293" s="84" t="s">
        <v>152</v>
      </c>
      <c r="BB2293" s="84" t="str">
        <f>IFERROR(__xludf.DUMMYFUNCTION("iferror(if(A2293="""",,E2293&gt;=FILTER(Constants!$F$2:$F$10,Constants!$A$2:$A$10=A2293)))"),"")</f>
        <v/>
      </c>
    </row>
    <row r="2294">
      <c r="A2294" s="89"/>
      <c r="B2294" s="87"/>
      <c r="C2294" s="73"/>
      <c r="D2294" s="73"/>
      <c r="E2294" s="82"/>
      <c r="F2294" s="82"/>
      <c r="G2294" s="86"/>
      <c r="H2294" s="86"/>
      <c r="I2294" s="86"/>
      <c r="J2294" s="82"/>
      <c r="K2294" s="82"/>
      <c r="L2294" s="82"/>
      <c r="M2294" s="82"/>
      <c r="N2294" s="82"/>
      <c r="O2294" s="82"/>
      <c r="P2294" s="82"/>
      <c r="Q2294" s="82"/>
      <c r="R2294" s="82"/>
      <c r="S2294" s="82"/>
      <c r="T2294" s="82"/>
      <c r="U2294" s="82"/>
      <c r="V2294" s="82"/>
      <c r="W2294" s="82"/>
      <c r="X2294" s="82"/>
      <c r="Y2294" s="82"/>
      <c r="Z2294" s="82"/>
      <c r="AA2294" s="82"/>
      <c r="AB2294" s="82"/>
      <c r="AC2294" s="82"/>
      <c r="AD2294" s="82"/>
      <c r="AE2294" s="82"/>
      <c r="AF2294" s="82"/>
      <c r="AG2294" s="82"/>
      <c r="AH2294" s="82"/>
      <c r="AI2294" s="82"/>
      <c r="AJ2294" s="82"/>
      <c r="AK2294" s="82"/>
      <c r="AL2294" s="82"/>
      <c r="AM2294" s="82"/>
      <c r="AN2294" s="82"/>
      <c r="AO2294" s="82"/>
      <c r="AP2294" s="82"/>
      <c r="AQ2294" s="82"/>
      <c r="AR2294" s="82"/>
      <c r="AS2294" s="82"/>
      <c r="AT2294" s="82"/>
      <c r="AU2294" s="82"/>
      <c r="AV2294" s="82"/>
      <c r="AW2294" s="82" t="str">
        <f t="shared" si="1"/>
        <v/>
      </c>
      <c r="AX2294" s="83" t="str">
        <f t="array" ref="AX2294">IFERROR(DGET('SBV Import'!A:G,"SBV",{"RSC ID","Tier";B2294,A2294}))</f>
        <v/>
      </c>
      <c r="AY2294" s="82" t="str">
        <f t="shared" si="2"/>
        <v/>
      </c>
      <c r="AZ2294" s="82"/>
      <c r="BA2294" s="84" t="s">
        <v>152</v>
      </c>
      <c r="BB2294" s="84" t="str">
        <f>IFERROR(__xludf.DUMMYFUNCTION("iferror(if(A2294="""",,E2294&gt;=FILTER(Constants!$F$2:$F$10,Constants!$A$2:$A$10=A2294)))"),"")</f>
        <v/>
      </c>
    </row>
    <row r="2295">
      <c r="A2295" s="89"/>
      <c r="B2295" s="87"/>
      <c r="C2295" s="73"/>
      <c r="D2295" s="73"/>
      <c r="E2295" s="82"/>
      <c r="F2295" s="82"/>
      <c r="G2295" s="86"/>
      <c r="H2295" s="86"/>
      <c r="I2295" s="86"/>
      <c r="J2295" s="82"/>
      <c r="K2295" s="82"/>
      <c r="L2295" s="82"/>
      <c r="M2295" s="82"/>
      <c r="N2295" s="82"/>
      <c r="O2295" s="82"/>
      <c r="P2295" s="82"/>
      <c r="Q2295" s="82"/>
      <c r="R2295" s="82"/>
      <c r="S2295" s="82"/>
      <c r="T2295" s="82"/>
      <c r="U2295" s="82"/>
      <c r="V2295" s="82"/>
      <c r="W2295" s="82"/>
      <c r="X2295" s="82"/>
      <c r="Y2295" s="82"/>
      <c r="Z2295" s="82"/>
      <c r="AA2295" s="82"/>
      <c r="AB2295" s="82"/>
      <c r="AC2295" s="82"/>
      <c r="AD2295" s="82"/>
      <c r="AE2295" s="82"/>
      <c r="AF2295" s="82"/>
      <c r="AG2295" s="82"/>
      <c r="AH2295" s="82"/>
      <c r="AI2295" s="82"/>
      <c r="AJ2295" s="82"/>
      <c r="AK2295" s="82"/>
      <c r="AL2295" s="82"/>
      <c r="AM2295" s="82"/>
      <c r="AN2295" s="82"/>
      <c r="AO2295" s="82"/>
      <c r="AP2295" s="82"/>
      <c r="AQ2295" s="82"/>
      <c r="AR2295" s="82"/>
      <c r="AS2295" s="82"/>
      <c r="AT2295" s="82"/>
      <c r="AU2295" s="82"/>
      <c r="AV2295" s="82"/>
      <c r="AW2295" s="82" t="str">
        <f t="shared" si="1"/>
        <v/>
      </c>
      <c r="AX2295" s="83" t="str">
        <f t="array" ref="AX2295">IFERROR(DGET('SBV Import'!A:G,"SBV",{"RSC ID","Tier";B2295,A2295}))</f>
        <v/>
      </c>
      <c r="AY2295" s="82" t="str">
        <f t="shared" si="2"/>
        <v/>
      </c>
      <c r="AZ2295" s="82"/>
      <c r="BA2295" s="84" t="s">
        <v>152</v>
      </c>
      <c r="BB2295" s="84" t="str">
        <f>IFERROR(__xludf.DUMMYFUNCTION("iferror(if(A2295="""",,E2295&gt;=FILTER(Constants!$F$2:$F$10,Constants!$A$2:$A$10=A2295)))"),"")</f>
        <v/>
      </c>
    </row>
    <row r="2296">
      <c r="A2296" s="89"/>
      <c r="B2296" s="87"/>
      <c r="C2296" s="73"/>
      <c r="D2296" s="73"/>
      <c r="E2296" s="82"/>
      <c r="F2296" s="82"/>
      <c r="G2296" s="86"/>
      <c r="H2296" s="86"/>
      <c r="I2296" s="86"/>
      <c r="J2296" s="82"/>
      <c r="K2296" s="82"/>
      <c r="L2296" s="82"/>
      <c r="M2296" s="82"/>
      <c r="N2296" s="82"/>
      <c r="O2296" s="82"/>
      <c r="P2296" s="82"/>
      <c r="Q2296" s="82"/>
      <c r="R2296" s="82"/>
      <c r="S2296" s="82"/>
      <c r="T2296" s="82"/>
      <c r="U2296" s="82"/>
      <c r="V2296" s="82"/>
      <c r="W2296" s="82"/>
      <c r="X2296" s="82"/>
      <c r="Y2296" s="82"/>
      <c r="Z2296" s="82"/>
      <c r="AA2296" s="82"/>
      <c r="AB2296" s="82"/>
      <c r="AC2296" s="82"/>
      <c r="AD2296" s="82"/>
      <c r="AE2296" s="82"/>
      <c r="AF2296" s="82"/>
      <c r="AG2296" s="82"/>
      <c r="AH2296" s="82"/>
      <c r="AI2296" s="82"/>
      <c r="AJ2296" s="82"/>
      <c r="AK2296" s="82"/>
      <c r="AL2296" s="82"/>
      <c r="AM2296" s="82"/>
      <c r="AN2296" s="82"/>
      <c r="AO2296" s="82"/>
      <c r="AP2296" s="82"/>
      <c r="AQ2296" s="82"/>
      <c r="AR2296" s="82"/>
      <c r="AS2296" s="82"/>
      <c r="AT2296" s="82"/>
      <c r="AU2296" s="82"/>
      <c r="AV2296" s="82"/>
      <c r="AW2296" s="82" t="str">
        <f t="shared" si="1"/>
        <v/>
      </c>
      <c r="AX2296" s="83" t="str">
        <f t="array" ref="AX2296">IFERROR(DGET('SBV Import'!A:G,"SBV",{"RSC ID","Tier";B2296,A2296}))</f>
        <v/>
      </c>
      <c r="AY2296" s="82" t="str">
        <f t="shared" si="2"/>
        <v/>
      </c>
      <c r="AZ2296" s="82"/>
      <c r="BA2296" s="84" t="s">
        <v>152</v>
      </c>
      <c r="BB2296" s="84" t="str">
        <f>IFERROR(__xludf.DUMMYFUNCTION("iferror(if(A2296="""",,E2296&gt;=FILTER(Constants!$F$2:$F$10,Constants!$A$2:$A$10=A2296)))"),"")</f>
        <v/>
      </c>
    </row>
    <row r="2297">
      <c r="A2297" s="89"/>
      <c r="B2297" s="87"/>
      <c r="C2297" s="73"/>
      <c r="D2297" s="73"/>
      <c r="E2297" s="82"/>
      <c r="F2297" s="82"/>
      <c r="G2297" s="86"/>
      <c r="H2297" s="86"/>
      <c r="I2297" s="86"/>
      <c r="J2297" s="82"/>
      <c r="K2297" s="82"/>
      <c r="L2297" s="82"/>
      <c r="M2297" s="82"/>
      <c r="N2297" s="82"/>
      <c r="O2297" s="82"/>
      <c r="P2297" s="82"/>
      <c r="Q2297" s="82"/>
      <c r="R2297" s="82"/>
      <c r="S2297" s="82"/>
      <c r="T2297" s="82"/>
      <c r="U2297" s="82"/>
      <c r="V2297" s="82"/>
      <c r="W2297" s="82"/>
      <c r="X2297" s="82"/>
      <c r="Y2297" s="82"/>
      <c r="Z2297" s="82"/>
      <c r="AA2297" s="82"/>
      <c r="AB2297" s="82"/>
      <c r="AC2297" s="82"/>
      <c r="AD2297" s="82"/>
      <c r="AE2297" s="82"/>
      <c r="AF2297" s="82"/>
      <c r="AG2297" s="82"/>
      <c r="AH2297" s="82"/>
      <c r="AI2297" s="82"/>
      <c r="AJ2297" s="82"/>
      <c r="AK2297" s="82"/>
      <c r="AL2297" s="82"/>
      <c r="AM2297" s="82"/>
      <c r="AN2297" s="82"/>
      <c r="AO2297" s="82"/>
      <c r="AP2297" s="82"/>
      <c r="AQ2297" s="82"/>
      <c r="AR2297" s="82"/>
      <c r="AS2297" s="82"/>
      <c r="AT2297" s="82"/>
      <c r="AU2297" s="82"/>
      <c r="AV2297" s="82"/>
      <c r="AW2297" s="82" t="str">
        <f t="shared" si="1"/>
        <v/>
      </c>
      <c r="AX2297" s="83" t="str">
        <f t="array" ref="AX2297">IFERROR(DGET('SBV Import'!A:G,"SBV",{"RSC ID","Tier";B2297,A2297}))</f>
        <v/>
      </c>
      <c r="AY2297" s="82" t="str">
        <f t="shared" si="2"/>
        <v/>
      </c>
      <c r="AZ2297" s="82"/>
      <c r="BA2297" s="84" t="s">
        <v>152</v>
      </c>
      <c r="BB2297" s="84" t="str">
        <f>IFERROR(__xludf.DUMMYFUNCTION("iferror(if(A2297="""",,E2297&gt;=FILTER(Constants!$F$2:$F$10,Constants!$A$2:$A$10=A2297)))"),"")</f>
        <v/>
      </c>
    </row>
    <row r="2298">
      <c r="A2298" s="89"/>
      <c r="B2298" s="87"/>
      <c r="C2298" s="73"/>
      <c r="D2298" s="73"/>
      <c r="E2298" s="82"/>
      <c r="F2298" s="82"/>
      <c r="G2298" s="86"/>
      <c r="H2298" s="86"/>
      <c r="I2298" s="86"/>
      <c r="J2298" s="82"/>
      <c r="K2298" s="82"/>
      <c r="L2298" s="82"/>
      <c r="M2298" s="82"/>
      <c r="N2298" s="82"/>
      <c r="O2298" s="82"/>
      <c r="P2298" s="82"/>
      <c r="Q2298" s="82"/>
      <c r="R2298" s="82"/>
      <c r="S2298" s="82"/>
      <c r="T2298" s="82"/>
      <c r="U2298" s="82"/>
      <c r="V2298" s="82"/>
      <c r="W2298" s="82"/>
      <c r="X2298" s="82"/>
      <c r="Y2298" s="82"/>
      <c r="Z2298" s="82"/>
      <c r="AA2298" s="82"/>
      <c r="AB2298" s="82"/>
      <c r="AC2298" s="82"/>
      <c r="AD2298" s="82"/>
      <c r="AE2298" s="82"/>
      <c r="AF2298" s="82"/>
      <c r="AG2298" s="82"/>
      <c r="AH2298" s="82"/>
      <c r="AI2298" s="82"/>
      <c r="AJ2298" s="82"/>
      <c r="AK2298" s="82"/>
      <c r="AL2298" s="82"/>
      <c r="AM2298" s="82"/>
      <c r="AN2298" s="82"/>
      <c r="AO2298" s="82"/>
      <c r="AP2298" s="82"/>
      <c r="AQ2298" s="82"/>
      <c r="AR2298" s="82"/>
      <c r="AS2298" s="82"/>
      <c r="AT2298" s="82"/>
      <c r="AU2298" s="82"/>
      <c r="AV2298" s="82"/>
      <c r="AW2298" s="82" t="str">
        <f t="shared" si="1"/>
        <v/>
      </c>
      <c r="AX2298" s="83" t="str">
        <f t="array" ref="AX2298">IFERROR(DGET('SBV Import'!A:G,"SBV",{"RSC ID","Tier";B2298,A2298}))</f>
        <v/>
      </c>
      <c r="AY2298" s="82" t="str">
        <f t="shared" si="2"/>
        <v/>
      </c>
      <c r="AZ2298" s="82"/>
      <c r="BA2298" s="84" t="s">
        <v>152</v>
      </c>
      <c r="BB2298" s="84" t="str">
        <f>IFERROR(__xludf.DUMMYFUNCTION("iferror(if(A2298="""",,E2298&gt;=FILTER(Constants!$F$2:$F$10,Constants!$A$2:$A$10=A2298)))"),"")</f>
        <v/>
      </c>
    </row>
    <row r="2299">
      <c r="A2299" s="89"/>
      <c r="B2299" s="87"/>
      <c r="C2299" s="73"/>
      <c r="D2299" s="73"/>
      <c r="E2299" s="82"/>
      <c r="F2299" s="82"/>
      <c r="G2299" s="86"/>
      <c r="H2299" s="86"/>
      <c r="I2299" s="86"/>
      <c r="J2299" s="82"/>
      <c r="K2299" s="82"/>
      <c r="L2299" s="82"/>
      <c r="M2299" s="82"/>
      <c r="N2299" s="82"/>
      <c r="O2299" s="82"/>
      <c r="P2299" s="82"/>
      <c r="Q2299" s="82"/>
      <c r="R2299" s="82"/>
      <c r="S2299" s="82"/>
      <c r="T2299" s="82"/>
      <c r="U2299" s="82"/>
      <c r="V2299" s="82"/>
      <c r="W2299" s="82"/>
      <c r="X2299" s="82"/>
      <c r="Y2299" s="82"/>
      <c r="Z2299" s="82"/>
      <c r="AA2299" s="82"/>
      <c r="AB2299" s="82"/>
      <c r="AC2299" s="82"/>
      <c r="AD2299" s="82"/>
      <c r="AE2299" s="82"/>
      <c r="AF2299" s="82"/>
      <c r="AG2299" s="82"/>
      <c r="AH2299" s="82"/>
      <c r="AI2299" s="82"/>
      <c r="AJ2299" s="82"/>
      <c r="AK2299" s="82"/>
      <c r="AL2299" s="82"/>
      <c r="AM2299" s="82"/>
      <c r="AN2299" s="82"/>
      <c r="AO2299" s="82"/>
      <c r="AP2299" s="82"/>
      <c r="AQ2299" s="82"/>
      <c r="AR2299" s="82"/>
      <c r="AS2299" s="82"/>
      <c r="AT2299" s="82"/>
      <c r="AU2299" s="82"/>
      <c r="AV2299" s="82"/>
      <c r="AW2299" s="82" t="str">
        <f t="shared" si="1"/>
        <v/>
      </c>
      <c r="AX2299" s="83" t="str">
        <f t="array" ref="AX2299">IFERROR(DGET('SBV Import'!A:G,"SBV",{"RSC ID","Tier";B2299,A2299}))</f>
        <v/>
      </c>
      <c r="AY2299" s="82" t="str">
        <f t="shared" si="2"/>
        <v/>
      </c>
      <c r="AZ2299" s="82"/>
      <c r="BA2299" s="84" t="s">
        <v>152</v>
      </c>
      <c r="BB2299" s="84" t="str">
        <f>IFERROR(__xludf.DUMMYFUNCTION("iferror(if(A2299="""",,E2299&gt;=FILTER(Constants!$F$2:$F$10,Constants!$A$2:$A$10=A2299)))"),"")</f>
        <v/>
      </c>
    </row>
    <row r="2300">
      <c r="A2300" s="90" t="str">
        <f>IFERROR(__xludf.DUMMYFUNCTION("QUERY(IMPORTRANGE(Constants!$B7, ""'Player Stats'!a2:AV""), ""Select * order by Col48 desc"")"),"Challenger")</f>
        <v>Challenger</v>
      </c>
      <c r="B2300" s="87" t="str">
        <f>IFERROR(__xludf.DUMMYFUNCTION("""COMPUTED_VALUE"""),"RSC004997")</f>
        <v>RSC004997</v>
      </c>
      <c r="C2300" s="73" t="str">
        <f>IFERROR(__xludf.DUMMYFUNCTION("""COMPUTED_VALUE"""),"evelynnx")</f>
        <v>evelynnx</v>
      </c>
      <c r="D2300" s="73" t="str">
        <f>IFERROR(__xludf.DUMMYFUNCTION("""COMPUTED_VALUE"""),"Deceased")</f>
        <v>Deceased</v>
      </c>
      <c r="E2300" s="82">
        <f>IFERROR(__xludf.DUMMYFUNCTION("""COMPUTED_VALUE"""),25.0)</f>
        <v>25</v>
      </c>
      <c r="F2300" s="82">
        <f>IFERROR(__xludf.DUMMYFUNCTION("""COMPUTED_VALUE"""),18.0)</f>
        <v>18</v>
      </c>
      <c r="G2300" s="86">
        <f>IFERROR(__xludf.DUMMYFUNCTION("""COMPUTED_VALUE"""),7.0)</f>
        <v>7</v>
      </c>
      <c r="H2300" s="86">
        <f>IFERROR(__xludf.DUMMYFUNCTION("""COMPUTED_VALUE"""),0.72)</f>
        <v>0.72</v>
      </c>
      <c r="I2300" s="86">
        <f>IFERROR(__xludf.DUMMYFUNCTION("""COMPUTED_VALUE"""),0.33707865168539325)</f>
        <v>0.3370786517</v>
      </c>
      <c r="J2300" s="82">
        <f>IFERROR(__xludf.DUMMYFUNCTION("""COMPUTED_VALUE"""),421.16)</f>
        <v>421.16</v>
      </c>
      <c r="K2300" s="82">
        <f>IFERROR(__xludf.DUMMYFUNCTION("""COMPUTED_VALUE"""),1.2)</f>
        <v>1.2</v>
      </c>
      <c r="L2300" s="82">
        <f>IFERROR(__xludf.DUMMYFUNCTION("""COMPUTED_VALUE"""),0.84)</f>
        <v>0.84</v>
      </c>
      <c r="M2300" s="82">
        <f>IFERROR(__xludf.DUMMYFUNCTION("""COMPUTED_VALUE"""),1.24)</f>
        <v>1.24</v>
      </c>
      <c r="N2300" s="82">
        <f>IFERROR(__xludf.DUMMYFUNCTION("""COMPUTED_VALUE"""),3.56)</f>
        <v>3.56</v>
      </c>
      <c r="O2300" s="82">
        <f>IFERROR(__xludf.DUMMYFUNCTION("""COMPUTED_VALUE"""),342.4)</f>
        <v>342.4</v>
      </c>
      <c r="P2300" s="82">
        <f>IFERROR(__xludf.DUMMYFUNCTION("""COMPUTED_VALUE"""),0.6266666666666667)</f>
        <v>0.6266666667</v>
      </c>
      <c r="Q2300" s="82">
        <f>IFERROR(__xludf.DUMMYFUNCTION("""COMPUTED_VALUE"""),0.44)</f>
        <v>0.44</v>
      </c>
      <c r="R2300" s="82">
        <f>IFERROR(__xludf.DUMMYFUNCTION("""COMPUTED_VALUE"""),1.5466666666666669)</f>
        <v>1.546666667</v>
      </c>
      <c r="S2300" s="82">
        <f>IFERROR(__xludf.DUMMYFUNCTION("""COMPUTED_VALUE"""),2.186666666666666)</f>
        <v>2.186666667</v>
      </c>
      <c r="T2300" s="82">
        <f>IFERROR(__xludf.DUMMYFUNCTION("""COMPUTED_VALUE"""),330.1015004690037)</f>
        <v>330.1015005</v>
      </c>
      <c r="U2300" s="82">
        <f>IFERROR(__xludf.DUMMYFUNCTION("""COMPUTED_VALUE"""),0.7367610649765334)</f>
        <v>0.736761065</v>
      </c>
      <c r="V2300" s="82">
        <f>IFERROR(__xludf.DUMMYFUNCTION("""COMPUTED_VALUE"""),0.5032767298299617)</f>
        <v>0.5032767298</v>
      </c>
      <c r="W2300" s="82">
        <f>IFERROR(__xludf.DUMMYFUNCTION("""COMPUTED_VALUE"""),1.2572508022664002)</f>
        <v>1.257250802</v>
      </c>
      <c r="X2300" s="82">
        <f>IFERROR(__xludf.DUMMYFUNCTION("""COMPUTED_VALUE"""),2.344534896473068)</f>
        <v>2.344534896</v>
      </c>
      <c r="Y2300" s="82">
        <f>IFERROR(__xludf.DUMMYFUNCTION("""COMPUTED_VALUE"""),345.945355836709)</f>
        <v>345.9453558</v>
      </c>
      <c r="Z2300" s="82">
        <f>IFERROR(__xludf.DUMMYFUNCTION("""COMPUTED_VALUE"""),0.8462216224759257)</f>
        <v>0.8462216225</v>
      </c>
      <c r="AA2300" s="82">
        <f>IFERROR(__xludf.DUMMYFUNCTION("""COMPUTED_VALUE"""),0.5841802744849393)</f>
        <v>0.5841802745</v>
      </c>
      <c r="AB2300" s="82">
        <f>IFERROR(__xludf.DUMMYFUNCTION("""COMPUTED_VALUE"""),1.1748695471719626)</f>
        <v>1.174869547</v>
      </c>
      <c r="AC2300" s="82">
        <f>IFERROR(__xludf.DUMMYFUNCTION("""COMPUTED_VALUE"""),2.594040218720413)</f>
        <v>2.594040219</v>
      </c>
      <c r="AD2300" s="82">
        <f>IFERROR(__xludf.DUMMYFUNCTION("""COMPUTED_VALUE"""),1.2174177016522616)</f>
        <v>1.217417702</v>
      </c>
      <c r="AE2300" s="82">
        <f>IFERROR(__xludf.DUMMYFUNCTION("""COMPUTED_VALUE"""),1.418068231923652)</f>
        <v>1.418068232</v>
      </c>
      <c r="AF2300" s="82">
        <f>IFERROR(__xludf.DUMMYFUNCTION("""COMPUTED_VALUE"""),1.4379122964064683)</f>
        <v>1.437912296</v>
      </c>
      <c r="AG2300" s="82">
        <f>IFERROR(__xludf.DUMMYFUNCTION("""COMPUTED_VALUE"""),1.0554363273648666)</f>
        <v>1.055436327</v>
      </c>
      <c r="AH2300" s="82">
        <f>IFERROR(__xludf.DUMMYFUNCTION("""COMPUTED_VALUE"""),1.3723765631344278)</f>
        <v>1.372376563</v>
      </c>
      <c r="AI2300" s="82">
        <f>IFERROR(__xludf.DUMMYFUNCTION("""COMPUTED_VALUE"""),1.0372567210797974)</f>
        <v>1.037256721</v>
      </c>
      <c r="AJ2300" s="82">
        <f>IFERROR(__xludf.DUMMYFUNCTION("""COMPUTED_VALUE"""),0.8505697388971372)</f>
        <v>0.8505697389</v>
      </c>
      <c r="AK2300" s="82">
        <f>IFERROR(__xludf.DUMMYFUNCTION("""COMPUTED_VALUE"""),0.874270503523299)</f>
        <v>0.8742705035</v>
      </c>
      <c r="AL2300" s="82">
        <f>IFERROR(__xludf.DUMMYFUNCTION("""COMPUTED_VALUE"""),1.2301973988630965)</f>
        <v>1.230197399</v>
      </c>
      <c r="AM2300" s="82">
        <f>IFERROR(__xludf.DUMMYFUNCTION("""COMPUTED_VALUE"""),0.932665438230889)</f>
        <v>0.9326654382</v>
      </c>
      <c r="AN2300" s="82">
        <f>IFERROR(__xludf.DUMMYFUNCTION("""COMPUTED_VALUE"""),1.2946043783772139)</f>
        <v>1.294604378</v>
      </c>
      <c r="AO2300" s="82">
        <f>IFERROR(__xludf.DUMMYFUNCTION("""COMPUTED_VALUE"""),1.6419375767929507)</f>
        <v>1.641937577</v>
      </c>
      <c r="AP2300" s="82">
        <f>IFERROR(__xludf.DUMMYFUNCTION("""COMPUTED_VALUE"""),1.6293239828322692)</f>
        <v>1.629323983</v>
      </c>
      <c r="AQ2300" s="82">
        <f>IFERROR(__xludf.DUMMYFUNCTION("""COMPUTED_VALUE"""),1.0284361454783064)</f>
        <v>1.028436145</v>
      </c>
      <c r="AR2300" s="82">
        <f>IFERROR(__xludf.DUMMYFUNCTION("""COMPUTED_VALUE"""),1.4960636255977)</f>
        <v>1.496063626</v>
      </c>
      <c r="AS2300" s="82">
        <f>IFERROR(__xludf.DUMMYFUNCTION("""COMPUTED_VALUE"""),81.0)</f>
        <v>81</v>
      </c>
      <c r="AT2300" s="82">
        <f>IFERROR(__xludf.DUMMYFUNCTION("""COMPUTED_VALUE"""),0.7046960155534193)</f>
        <v>0.7046960156</v>
      </c>
      <c r="AU2300" s="82">
        <f>IFERROR(__xludf.DUMMYFUNCTION("""COMPUTED_VALUE"""),4.9384034280039435)</f>
        <v>4.938403428</v>
      </c>
      <c r="AV2300" s="82">
        <f>IFERROR(__xludf.DUMMYFUNCTION("""COMPUTED_VALUE"""),104.6776184112578)</f>
        <v>104.6776184</v>
      </c>
      <c r="AW2300" s="82">
        <f t="shared" si="1"/>
        <v>69.60182442</v>
      </c>
      <c r="AX2300" s="83">
        <f t="array" ref="AX2300">IFERROR(DGET('SBV Import'!A:G,"SBV",{"RSC ID","Tier";B2300,A2300}))</f>
        <v>81.80307464</v>
      </c>
      <c r="AY2300" s="82">
        <f t="shared" si="2"/>
        <v>9.836254616</v>
      </c>
      <c r="AZ2300" s="82">
        <v>59.76556980489956</v>
      </c>
      <c r="BA2300" s="84">
        <v>2300.0</v>
      </c>
      <c r="BB2300" s="84" t="b">
        <f>IFERROR(__xludf.DUMMYFUNCTION("iferror(if(A2300="""",,E2300&gt;=FILTER(Constants!$F$2:$F$10,Constants!$A$2:$A$10=A2300)))"),TRUE)</f>
        <v>1</v>
      </c>
    </row>
    <row r="2301">
      <c r="A2301" s="89" t="str">
        <f>IFERROR(__xludf.DUMMYFUNCTION("""COMPUTED_VALUE"""),"Challenger")</f>
        <v>Challenger</v>
      </c>
      <c r="B2301" s="87" t="str">
        <f>IFERROR(__xludf.DUMMYFUNCTION("""COMPUTED_VALUE"""),"RSC007647")</f>
        <v>RSC007647</v>
      </c>
      <c r="C2301" s="73" t="str">
        <f>IFERROR(__xludf.DUMMYFUNCTION("""COMPUTED_VALUE"""),"I'm Pale")</f>
        <v>I'm Pale</v>
      </c>
      <c r="D2301" s="73" t="str">
        <f>IFERROR(__xludf.DUMMYFUNCTION("""COMPUTED_VALUE"""),"Cassowaries")</f>
        <v>Cassowaries</v>
      </c>
      <c r="E2301" s="82">
        <f>IFERROR(__xludf.DUMMYFUNCTION("""COMPUTED_VALUE"""),47.0)</f>
        <v>47</v>
      </c>
      <c r="F2301" s="82">
        <f>IFERROR(__xludf.DUMMYFUNCTION("""COMPUTED_VALUE"""),35.0)</f>
        <v>35</v>
      </c>
      <c r="G2301" s="86">
        <f>IFERROR(__xludf.DUMMYFUNCTION("""COMPUTED_VALUE"""),12.0)</f>
        <v>12</v>
      </c>
      <c r="H2301" s="86">
        <f>IFERROR(__xludf.DUMMYFUNCTION("""COMPUTED_VALUE"""),0.7446808510638298)</f>
        <v>0.7446808511</v>
      </c>
      <c r="I2301" s="86">
        <f>IFERROR(__xludf.DUMMYFUNCTION("""COMPUTED_VALUE"""),0.3157894736842105)</f>
        <v>0.3157894737</v>
      </c>
      <c r="J2301" s="82">
        <f>IFERROR(__xludf.DUMMYFUNCTION("""COMPUTED_VALUE"""),421.6170212765957)</f>
        <v>421.6170213</v>
      </c>
      <c r="K2301" s="82">
        <f>IFERROR(__xludf.DUMMYFUNCTION("""COMPUTED_VALUE"""),1.0212765957446808)</f>
        <v>1.021276596</v>
      </c>
      <c r="L2301" s="82">
        <f>IFERROR(__xludf.DUMMYFUNCTION("""COMPUTED_VALUE"""),1.0)</f>
        <v>1</v>
      </c>
      <c r="M2301" s="82">
        <f>IFERROR(__xludf.DUMMYFUNCTION("""COMPUTED_VALUE"""),1.3617021276595744)</f>
        <v>1.361702128</v>
      </c>
      <c r="N2301" s="82">
        <f>IFERROR(__xludf.DUMMYFUNCTION("""COMPUTED_VALUE"""),3.234042553191489)</f>
        <v>3.234042553</v>
      </c>
      <c r="O2301" s="82">
        <f>IFERROR(__xludf.DUMMYFUNCTION("""COMPUTED_VALUE"""),317.43262411347513)</f>
        <v>317.4326241</v>
      </c>
      <c r="P2301" s="82">
        <f>IFERROR(__xludf.DUMMYFUNCTION("""COMPUTED_VALUE"""),0.6808510638297872)</f>
        <v>0.6808510638</v>
      </c>
      <c r="Q2301" s="82">
        <f>IFERROR(__xludf.DUMMYFUNCTION("""COMPUTED_VALUE"""),0.43262411347517726)</f>
        <v>0.4326241135</v>
      </c>
      <c r="R2301" s="82">
        <f>IFERROR(__xludf.DUMMYFUNCTION("""COMPUTED_VALUE"""),1.283687943262411)</f>
        <v>1.283687943</v>
      </c>
      <c r="S2301" s="82">
        <f>IFERROR(__xludf.DUMMYFUNCTION("""COMPUTED_VALUE"""),2.446808510638297)</f>
        <v>2.446808511</v>
      </c>
      <c r="T2301" s="82">
        <f>IFERROR(__xludf.DUMMYFUNCTION("""COMPUTED_VALUE"""),321.431347794347)</f>
        <v>321.4313478</v>
      </c>
      <c r="U2301" s="82">
        <f>IFERROR(__xludf.DUMMYFUNCTION("""COMPUTED_VALUE"""),0.7077868144839647)</f>
        <v>0.7077868145</v>
      </c>
      <c r="V2301" s="82">
        <f>IFERROR(__xludf.DUMMYFUNCTION("""COMPUTED_VALUE"""),0.48821960092979527)</f>
        <v>0.4882196009</v>
      </c>
      <c r="W2301" s="82">
        <f>IFERROR(__xludf.DUMMYFUNCTION("""COMPUTED_VALUE"""),1.1783848939667994)</f>
        <v>1.178384894</v>
      </c>
      <c r="X2301" s="82">
        <f>IFERROR(__xludf.DUMMYFUNCTION("""COMPUTED_VALUE"""),2.374119922206647)</f>
        <v>2.374119922</v>
      </c>
      <c r="Y2301" s="82">
        <f>IFERROR(__xludf.DUMMYFUNCTION("""COMPUTED_VALUE"""),339.3592113826068)</f>
        <v>339.3592114</v>
      </c>
      <c r="Z2301" s="82">
        <f>IFERROR(__xludf.DUMMYFUNCTION("""COMPUTED_VALUE"""),0.8026760987075838)</f>
        <v>0.8026760987</v>
      </c>
      <c r="AA2301" s="82">
        <f>IFERROR(__xludf.DUMMYFUNCTION("""COMPUTED_VALUE"""),0.5546903915670031)</f>
        <v>0.5546903916</v>
      </c>
      <c r="AB2301" s="82">
        <f>IFERROR(__xludf.DUMMYFUNCTION("""COMPUTED_VALUE"""),1.2155782886468833)</f>
        <v>1.215578289</v>
      </c>
      <c r="AC2301" s="82">
        <f>IFERROR(__xludf.DUMMYFUNCTION("""COMPUTED_VALUE"""),2.463082905911722)</f>
        <v>2.463082906</v>
      </c>
      <c r="AD2301" s="82">
        <f>IFERROR(__xludf.DUMMYFUNCTION("""COMPUTED_VALUE"""),1.2423915636733616)</f>
        <v>1.242391564</v>
      </c>
      <c r="AE2301" s="82">
        <f>IFERROR(__xludf.DUMMYFUNCTION("""COMPUTED_VALUE"""),1.2723396116927774)</f>
        <v>1.272339612</v>
      </c>
      <c r="AF2301" s="82">
        <f>IFERROR(__xludf.DUMMYFUNCTION("""COMPUTED_VALUE"""),1.8028075034344748)</f>
        <v>1.802807503</v>
      </c>
      <c r="AG2301" s="82">
        <f>IFERROR(__xludf.DUMMYFUNCTION("""COMPUTED_VALUE"""),1.1202093196114487)</f>
        <v>1.12020932</v>
      </c>
      <c r="AH2301" s="82">
        <f>IFERROR(__xludf.DUMMYFUNCTION("""COMPUTED_VALUE"""),1.3130059672085592)</f>
        <v>1.313005967</v>
      </c>
      <c r="AI2301" s="82">
        <f>IFERROR(__xludf.DUMMYFUNCTION("""COMPUTED_VALUE"""),0.9875596337808649)</f>
        <v>0.9875596338</v>
      </c>
      <c r="AJ2301" s="82">
        <f>IFERROR(__xludf.DUMMYFUNCTION("""COMPUTED_VALUE"""),0.9619436953289163)</f>
        <v>0.9619436953</v>
      </c>
      <c r="AK2301" s="82">
        <f>IFERROR(__xludf.DUMMYFUNCTION("""COMPUTED_VALUE"""),0.8861260642777583)</f>
        <v>0.8861260643</v>
      </c>
      <c r="AL2301" s="82">
        <f>IFERROR(__xludf.DUMMYFUNCTION("""COMPUTED_VALUE"""),1.0893621853392315)</f>
        <v>1.089362185</v>
      </c>
      <c r="AM2301" s="82">
        <f>IFERROR(__xludf.DUMMYFUNCTION("""COMPUTED_VALUE"""),1.0306170668767602)</f>
        <v>1.030617067</v>
      </c>
      <c r="AN2301" s="82">
        <f>IFERROR(__xludf.DUMMYFUNCTION("""COMPUTED_VALUE"""),1.296009216789438)</f>
        <v>1.296009217</v>
      </c>
      <c r="AO2301" s="82">
        <f>IFERROR(__xludf.DUMMYFUNCTION("""COMPUTED_VALUE"""),1.3973936823769793)</f>
        <v>1.397393682</v>
      </c>
      <c r="AP2301" s="82">
        <f>IFERROR(__xludf.DUMMYFUNCTION("""COMPUTED_VALUE"""),1.939671408133654)</f>
        <v>1.939671408</v>
      </c>
      <c r="AQ2301" s="82">
        <f>IFERROR(__xludf.DUMMYFUNCTION("""COMPUTED_VALUE"""),1.129373941499856)</f>
        <v>1.129373941</v>
      </c>
      <c r="AR2301" s="82">
        <f>IFERROR(__xludf.DUMMYFUNCTION("""COMPUTED_VALUE"""),1.3590824234451973)</f>
        <v>1.359082423</v>
      </c>
      <c r="AS2301" s="82">
        <f>IFERROR(__xludf.DUMMYFUNCTION("""COMPUTED_VALUE"""),151.0)</f>
        <v>151</v>
      </c>
      <c r="AT2301" s="82">
        <f>IFERROR(__xludf.DUMMYFUNCTION("""COMPUTED_VALUE"""),0.6746289362800548)</f>
        <v>0.6746289363</v>
      </c>
      <c r="AU2301" s="82">
        <f>IFERROR(__xludf.DUMMYFUNCTION("""COMPUTED_VALUE"""),4.804937149189559)</f>
        <v>4.804937149</v>
      </c>
      <c r="AV2301" s="82">
        <f>IFERROR(__xludf.DUMMYFUNCTION("""COMPUTED_VALUE"""),101.19438067100164)</f>
        <v>101.1943807</v>
      </c>
      <c r="AW2301" s="82">
        <f t="shared" si="1"/>
        <v>49.28289833</v>
      </c>
      <c r="AX2301" s="83">
        <f t="array" ref="AX2301">IFERROR(DGET('SBV Import'!A:G,"SBV",{"RSC ID","Tier";B2301,A2301}))</f>
        <v>83.87736824</v>
      </c>
      <c r="AY2301" s="82">
        <f t="shared" si="2"/>
        <v>11.40332917</v>
      </c>
      <c r="AZ2301" s="82">
        <v>37.87956916463179</v>
      </c>
      <c r="BA2301" s="84">
        <v>2300.0</v>
      </c>
      <c r="BB2301" s="84" t="b">
        <f>IFERROR(__xludf.DUMMYFUNCTION("iferror(if(A2301="""",,E2301&gt;=FILTER(Constants!$F$2:$F$10,Constants!$A$2:$A$10=A2301)))"),TRUE)</f>
        <v>1</v>
      </c>
    </row>
    <row r="2302">
      <c r="A2302" s="89" t="str">
        <f>IFERROR(__xludf.DUMMYFUNCTION("""COMPUTED_VALUE"""),"Challenger")</f>
        <v>Challenger</v>
      </c>
      <c r="B2302" s="87" t="str">
        <f>IFERROR(__xludf.DUMMYFUNCTION("""COMPUTED_VALUE"""),"RSC006355")</f>
        <v>RSC006355</v>
      </c>
      <c r="C2302" s="73" t="str">
        <f>IFERROR(__xludf.DUMMYFUNCTION("""COMPUTED_VALUE"""),"Heartlesswins")</f>
        <v>Heartlesswins</v>
      </c>
      <c r="D2302" s="73" t="str">
        <f>IFERROR(__xludf.DUMMYFUNCTION("""COMPUTED_VALUE"""),"Lilac")</f>
        <v>Lilac</v>
      </c>
      <c r="E2302" s="82">
        <f>IFERROR(__xludf.DUMMYFUNCTION("""COMPUTED_VALUE"""),41.0)</f>
        <v>41</v>
      </c>
      <c r="F2302" s="82">
        <f>IFERROR(__xludf.DUMMYFUNCTION("""COMPUTED_VALUE"""),24.0)</f>
        <v>24</v>
      </c>
      <c r="G2302" s="86">
        <f>IFERROR(__xludf.DUMMYFUNCTION("""COMPUTED_VALUE"""),17.0)</f>
        <v>17</v>
      </c>
      <c r="H2302" s="86">
        <f>IFERROR(__xludf.DUMMYFUNCTION("""COMPUTED_VALUE"""),0.5853658536585366)</f>
        <v>0.5853658537</v>
      </c>
      <c r="I2302" s="86">
        <f>IFERROR(__xludf.DUMMYFUNCTION("""COMPUTED_VALUE"""),0.37984496124031003)</f>
        <v>0.3798449612</v>
      </c>
      <c r="J2302" s="82">
        <f>IFERROR(__xludf.DUMMYFUNCTION("""COMPUTED_VALUE"""),390.7560975609756)</f>
        <v>390.7560976</v>
      </c>
      <c r="K2302" s="82">
        <f>IFERROR(__xludf.DUMMYFUNCTION("""COMPUTED_VALUE"""),1.1951219512195121)</f>
        <v>1.195121951</v>
      </c>
      <c r="L2302" s="82">
        <f>IFERROR(__xludf.DUMMYFUNCTION("""COMPUTED_VALUE"""),0.7560975609756098)</f>
        <v>0.756097561</v>
      </c>
      <c r="M2302" s="82">
        <f>IFERROR(__xludf.DUMMYFUNCTION("""COMPUTED_VALUE"""),1.1219512195121952)</f>
        <v>1.12195122</v>
      </c>
      <c r="N2302" s="82">
        <f>IFERROR(__xludf.DUMMYFUNCTION("""COMPUTED_VALUE"""),3.1463414634146343)</f>
        <v>3.146341463</v>
      </c>
      <c r="O2302" s="82">
        <f>IFERROR(__xludf.DUMMYFUNCTION("""COMPUTED_VALUE"""),338.99186991869914)</f>
        <v>338.9918699</v>
      </c>
      <c r="P2302" s="82">
        <f>IFERROR(__xludf.DUMMYFUNCTION("""COMPUTED_VALUE"""),0.6910569105691057)</f>
        <v>0.6910569106</v>
      </c>
      <c r="Q2302" s="82">
        <f>IFERROR(__xludf.DUMMYFUNCTION("""COMPUTED_VALUE"""),0.5121951219512196)</f>
        <v>0.512195122</v>
      </c>
      <c r="R2302" s="82">
        <f>IFERROR(__xludf.DUMMYFUNCTION("""COMPUTED_VALUE"""),1.3739837398373989)</f>
        <v>1.37398374</v>
      </c>
      <c r="S2302" s="82">
        <f>IFERROR(__xludf.DUMMYFUNCTION("""COMPUTED_VALUE"""),2.3983739837398375)</f>
        <v>2.398373984</v>
      </c>
      <c r="T2302" s="82">
        <f>IFERROR(__xludf.DUMMYFUNCTION("""COMPUTED_VALUE"""),330.30979721668996)</f>
        <v>330.3097972</v>
      </c>
      <c r="U2302" s="82">
        <f>IFERROR(__xludf.DUMMYFUNCTION("""COMPUTED_VALUE"""),0.7659884007425932)</f>
        <v>0.7659884007</v>
      </c>
      <c r="V2302" s="82">
        <f>IFERROR(__xludf.DUMMYFUNCTION("""COMPUTED_VALUE"""),0.5234111628127969)</f>
        <v>0.5234111628</v>
      </c>
      <c r="W2302" s="82">
        <f>IFERROR(__xludf.DUMMYFUNCTION("""COMPUTED_VALUE"""),1.2043110726128907)</f>
        <v>1.204311073</v>
      </c>
      <c r="X2302" s="82">
        <f>IFERROR(__xludf.DUMMYFUNCTION("""COMPUTED_VALUE"""),2.4113771518337153)</f>
        <v>2.411377152</v>
      </c>
      <c r="Y2302" s="82">
        <f>IFERROR(__xludf.DUMMYFUNCTION("""COMPUTED_VALUE"""),334.4636834624381)</f>
        <v>334.4636835</v>
      </c>
      <c r="Z2302" s="82">
        <f>IFERROR(__xludf.DUMMYFUNCTION("""COMPUTED_VALUE"""),0.7844286176339974)</f>
        <v>0.7844286176</v>
      </c>
      <c r="AA2302" s="82">
        <f>IFERROR(__xludf.DUMMYFUNCTION("""COMPUTED_VALUE"""),0.5579608569458324)</f>
        <v>0.5579608569</v>
      </c>
      <c r="AB2302" s="82">
        <f>IFERROR(__xludf.DUMMYFUNCTION("""COMPUTED_VALUE"""),1.2102622150834148)</f>
        <v>1.210262215</v>
      </c>
      <c r="AC2302" s="82">
        <f>IFERROR(__xludf.DUMMYFUNCTION("""COMPUTED_VALUE"""),2.43151874481853)</f>
        <v>2.431518745</v>
      </c>
      <c r="AD2302" s="82">
        <f>IFERROR(__xludf.DUMMYFUNCTION("""COMPUTED_VALUE"""),1.168306506451722)</f>
        <v>1.168306506</v>
      </c>
      <c r="AE2302" s="82">
        <f>IFERROR(__xludf.DUMMYFUNCTION("""COMPUTED_VALUE"""),1.5235573057294272)</f>
        <v>1.523557306</v>
      </c>
      <c r="AF2302" s="82">
        <f>IFERROR(__xludf.DUMMYFUNCTION("""COMPUTED_VALUE"""),1.3551086094360427)</f>
        <v>1.355108609</v>
      </c>
      <c r="AG2302" s="82">
        <f>IFERROR(__xludf.DUMMYFUNCTION("""COMPUTED_VALUE"""),0.9270315188968096)</f>
        <v>0.9270315189</v>
      </c>
      <c r="AH2302" s="82">
        <f>IFERROR(__xludf.DUMMYFUNCTION("""COMPUTED_VALUE"""),1.2939819897006195)</f>
        <v>1.29398199</v>
      </c>
      <c r="AI2302" s="82">
        <f>IFERROR(__xludf.DUMMYFUNCTION("""COMPUTED_VALUE"""),1.026284635742468)</f>
        <v>1.026284636</v>
      </c>
      <c r="AJ2302" s="82">
        <f>IFERROR(__xludf.DUMMYFUNCTION("""COMPUTED_VALUE"""),0.902176729959821)</f>
        <v>0.90217673</v>
      </c>
      <c r="AK2302" s="82">
        <f>IFERROR(__xludf.DUMMYFUNCTION("""COMPUTED_VALUE"""),0.9785712616419899)</f>
        <v>0.9785712616</v>
      </c>
      <c r="AL2302" s="82">
        <f>IFERROR(__xludf.DUMMYFUNCTION("""COMPUTED_VALUE"""),1.1408877416167766)</f>
        <v>1.140887742</v>
      </c>
      <c r="AM2302" s="82">
        <f>IFERROR(__xludf.DUMMYFUNCTION("""COMPUTED_VALUE"""),0.9946075759720997)</f>
        <v>0.994607576</v>
      </c>
      <c r="AN2302" s="82">
        <f>IFERROR(__xludf.DUMMYFUNCTION("""COMPUTED_VALUE"""),1.2011457754298431)</f>
        <v>1.201145775</v>
      </c>
      <c r="AO2302" s="82">
        <f>IFERROR(__xludf.DUMMYFUNCTION("""COMPUTED_VALUE"""),1.6352630337978573)</f>
        <v>1.635263034</v>
      </c>
      <c r="AP2302" s="82">
        <f>IFERROR(__xludf.DUMMYFUNCTION("""COMPUTED_VALUE"""),1.4665808207839823)</f>
        <v>1.466580821</v>
      </c>
      <c r="AQ2302" s="82">
        <f>IFERROR(__xludf.DUMMYFUNCTION("""COMPUTED_VALUE"""),0.9305283771046833)</f>
        <v>0.9305283771</v>
      </c>
      <c r="AR2302" s="82">
        <f>IFERROR(__xludf.DUMMYFUNCTION("""COMPUTED_VALUE"""),1.3222266902035031)</f>
        <v>1.32222669</v>
      </c>
      <c r="AS2302" s="82">
        <f>IFERROR(__xludf.DUMMYFUNCTION("""COMPUTED_VALUE"""),118.0)</f>
        <v>118</v>
      </c>
      <c r="AT2302" s="82">
        <f>IFERROR(__xludf.DUMMYFUNCTION("""COMPUTED_VALUE"""),0.6269511002367666)</f>
        <v>0.6269511002</v>
      </c>
      <c r="AU2302" s="82">
        <f>IFERROR(__xludf.DUMMYFUNCTION("""COMPUTED_VALUE"""),4.593321249524264)</f>
        <v>4.59332125</v>
      </c>
      <c r="AV2302" s="82">
        <f>IFERROR(__xludf.DUMMYFUNCTION("""COMPUTED_VALUE"""),95.67157375152846)</f>
        <v>95.67157375</v>
      </c>
      <c r="AW2302" s="82">
        <f t="shared" si="1"/>
        <v>29.53320781</v>
      </c>
      <c r="AX2302" s="83">
        <f t="array" ref="AX2302">IFERROR(DGET('SBV Import'!A:G,"SBV",{"RSC ID","Tier";B2302,A2302}))</f>
        <v>75.69748839</v>
      </c>
      <c r="AY2302" s="82">
        <f t="shared" si="2"/>
        <v>6.579010389</v>
      </c>
      <c r="AZ2302" s="82">
        <v>22.95419741917208</v>
      </c>
      <c r="BA2302" s="84">
        <v>2300.0</v>
      </c>
      <c r="BB2302" s="84" t="b">
        <f>IFERROR(__xludf.DUMMYFUNCTION("iferror(if(A2302="""",,E2302&gt;=FILTER(Constants!$F$2:$F$10,Constants!$A$2:$A$10=A2302)))"),TRUE)</f>
        <v>1</v>
      </c>
    </row>
    <row r="2303">
      <c r="A2303" s="89" t="str">
        <f>IFERROR(__xludf.DUMMYFUNCTION("""COMPUTED_VALUE"""),"Challenger")</f>
        <v>Challenger</v>
      </c>
      <c r="B2303" s="87" t="str">
        <f>IFERROR(__xludf.DUMMYFUNCTION("""COMPUTED_VALUE"""),"RSC006976")</f>
        <v>RSC006976</v>
      </c>
      <c r="C2303" s="73" t="str">
        <f>IFERROR(__xludf.DUMMYFUNCTION("""COMPUTED_VALUE"""),"Slendda")</f>
        <v>Slendda</v>
      </c>
      <c r="D2303" s="73" t="str">
        <f>IFERROR(__xludf.DUMMYFUNCTION("""COMPUTED_VALUE"""),"Meat Lovers")</f>
        <v>Meat Lovers</v>
      </c>
      <c r="E2303" s="82">
        <f>IFERROR(__xludf.DUMMYFUNCTION("""COMPUTED_VALUE"""),48.0)</f>
        <v>48</v>
      </c>
      <c r="F2303" s="82">
        <f>IFERROR(__xludf.DUMMYFUNCTION("""COMPUTED_VALUE"""),35.0)</f>
        <v>35</v>
      </c>
      <c r="G2303" s="86">
        <f>IFERROR(__xludf.DUMMYFUNCTION("""COMPUTED_VALUE"""),13.0)</f>
        <v>13</v>
      </c>
      <c r="H2303" s="86">
        <f>IFERROR(__xludf.DUMMYFUNCTION("""COMPUTED_VALUE"""),0.7291666666666666)</f>
        <v>0.7291666667</v>
      </c>
      <c r="I2303" s="86">
        <f>IFERROR(__xludf.DUMMYFUNCTION("""COMPUTED_VALUE"""),0.4057971014492754)</f>
        <v>0.4057971014</v>
      </c>
      <c r="J2303" s="82">
        <f>IFERROR(__xludf.DUMMYFUNCTION("""COMPUTED_VALUE"""),394.0625)</f>
        <v>394.0625</v>
      </c>
      <c r="K2303" s="82">
        <f>IFERROR(__xludf.DUMMYFUNCTION("""COMPUTED_VALUE"""),1.1666666666666667)</f>
        <v>1.166666667</v>
      </c>
      <c r="L2303" s="82">
        <f>IFERROR(__xludf.DUMMYFUNCTION("""COMPUTED_VALUE"""),0.7291666666666666)</f>
        <v>0.7291666667</v>
      </c>
      <c r="M2303" s="82">
        <f>IFERROR(__xludf.DUMMYFUNCTION("""COMPUTED_VALUE"""),1.0625)</f>
        <v>1.0625</v>
      </c>
      <c r="N2303" s="82">
        <f>IFERROR(__xludf.DUMMYFUNCTION("""COMPUTED_VALUE"""),2.875)</f>
        <v>2.875</v>
      </c>
      <c r="O2303" s="82">
        <f>IFERROR(__xludf.DUMMYFUNCTION("""COMPUTED_VALUE"""),311.46527777777777)</f>
        <v>311.4652778</v>
      </c>
      <c r="P2303" s="82">
        <f>IFERROR(__xludf.DUMMYFUNCTION("""COMPUTED_VALUE"""),0.6180555555555555)</f>
        <v>0.6180555556</v>
      </c>
      <c r="Q2303" s="82">
        <f>IFERROR(__xludf.DUMMYFUNCTION("""COMPUTED_VALUE"""),0.47222222222222215)</f>
        <v>0.4722222222</v>
      </c>
      <c r="R2303" s="82">
        <f>IFERROR(__xludf.DUMMYFUNCTION("""COMPUTED_VALUE"""),1.2430555555555556)</f>
        <v>1.243055556</v>
      </c>
      <c r="S2303" s="82">
        <f>IFERROR(__xludf.DUMMYFUNCTION("""COMPUTED_VALUE"""),2.1944444444444446)</f>
        <v>2.194444444</v>
      </c>
      <c r="T2303" s="82">
        <f>IFERROR(__xludf.DUMMYFUNCTION("""COMPUTED_VALUE"""),320.7985271859124)</f>
        <v>320.7985272</v>
      </c>
      <c r="U2303" s="82">
        <f>IFERROR(__xludf.DUMMYFUNCTION("""COMPUTED_VALUE"""),0.6927744006948034)</f>
        <v>0.6927744007</v>
      </c>
      <c r="V2303" s="82">
        <f>IFERROR(__xludf.DUMMYFUNCTION("""COMPUTED_VALUE"""),0.5001332104731209)</f>
        <v>0.5001332105</v>
      </c>
      <c r="W2303" s="82">
        <f>IFERROR(__xludf.DUMMYFUNCTION("""COMPUTED_VALUE"""),1.2206984387092092)</f>
        <v>1.220698439</v>
      </c>
      <c r="X2303" s="82">
        <f>IFERROR(__xludf.DUMMYFUNCTION("""COMPUTED_VALUE"""),2.3544470245117237)</f>
        <v>2.354447025</v>
      </c>
      <c r="Y2303" s="82">
        <f>IFERROR(__xludf.DUMMYFUNCTION("""COMPUTED_VALUE"""),340.9583795718825)</f>
        <v>340.9583796</v>
      </c>
      <c r="Z2303" s="82">
        <f>IFERROR(__xludf.DUMMYFUNCTION("""COMPUTED_VALUE"""),0.7885206256756102)</f>
        <v>0.7885206257</v>
      </c>
      <c r="AA2303" s="82">
        <f>IFERROR(__xludf.DUMMYFUNCTION("""COMPUTED_VALUE"""),0.5656940376172195)</f>
        <v>0.5656940376</v>
      </c>
      <c r="AB2303" s="82">
        <f>IFERROR(__xludf.DUMMYFUNCTION("""COMPUTED_VALUE"""),1.238478731049337)</f>
        <v>1.238478731</v>
      </c>
      <c r="AC2303" s="82">
        <f>IFERROR(__xludf.DUMMYFUNCTION("""COMPUTED_VALUE"""),2.4809156416832656)</f>
        <v>2.480915642</v>
      </c>
      <c r="AD2303" s="82">
        <f>IFERROR(__xludf.DUMMYFUNCTION("""COMPUTED_VALUE"""),1.1557495683044852)</f>
        <v>1.155749568</v>
      </c>
      <c r="AE2303" s="82">
        <f>IFERROR(__xludf.DUMMYFUNCTION("""COMPUTED_VALUE"""),1.4795639184036034)</f>
        <v>1.479563918</v>
      </c>
      <c r="AF2303" s="82">
        <f>IFERROR(__xludf.DUMMYFUNCTION("""COMPUTED_VALUE"""),1.2889771116167605)</f>
        <v>1.288977112</v>
      </c>
      <c r="AG2303" s="82">
        <f>IFERROR(__xludf.DUMMYFUNCTION("""COMPUTED_VALUE"""),0.8579073450052437)</f>
        <v>0.857907345</v>
      </c>
      <c r="AH2303" s="82">
        <f>IFERROR(__xludf.DUMMYFUNCTION("""COMPUTED_VALUE"""),1.158846335480135)</f>
        <v>1.158846335</v>
      </c>
      <c r="AI2303" s="82">
        <f>IFERROR(__xludf.DUMMYFUNCTION("""COMPUTED_VALUE"""),0.9709061962035576)</f>
        <v>0.9709061962</v>
      </c>
      <c r="AJ2303" s="82">
        <f>IFERROR(__xludf.DUMMYFUNCTION("""COMPUTED_VALUE"""),0.8921454876734616)</f>
        <v>0.8921454877</v>
      </c>
      <c r="AK2303" s="82">
        <f>IFERROR(__xludf.DUMMYFUNCTION("""COMPUTED_VALUE"""),0.944192891680808)</f>
        <v>0.9441928917</v>
      </c>
      <c r="AL2303" s="82">
        <f>IFERROR(__xludf.DUMMYFUNCTION("""COMPUTED_VALUE"""),1.0183150204320628)</f>
        <v>1.01831502</v>
      </c>
      <c r="AM2303" s="82">
        <f>IFERROR(__xludf.DUMMYFUNCTION("""COMPUTED_VALUE"""),0.9320423953473911)</f>
        <v>0.9320423953</v>
      </c>
      <c r="AN2303" s="82">
        <f>IFERROR(__xludf.DUMMYFUNCTION("""COMPUTED_VALUE"""),1.2113093310244818)</f>
        <v>1.211309331</v>
      </c>
      <c r="AO2303" s="82">
        <f>IFERROR(__xludf.DUMMYFUNCTION("""COMPUTED_VALUE"""),1.5963281996598133)</f>
        <v>1.5963282</v>
      </c>
      <c r="AP2303" s="82">
        <f>IFERROR(__xludf.DUMMYFUNCTION("""COMPUTED_VALUE"""),1.414343735097456)</f>
        <v>1.414343735</v>
      </c>
      <c r="AQ2303" s="82">
        <f>IFERROR(__xludf.DUMMYFUNCTION("""COMPUTED_VALUE"""),0.8812204875570165)</f>
        <v>0.8812204876</v>
      </c>
      <c r="AR2303" s="82">
        <f>IFERROR(__xludf.DUMMYFUNCTION("""COMPUTED_VALUE"""),1.2081974504475808)</f>
        <v>1.20819745</v>
      </c>
      <c r="AS2303" s="82">
        <f>IFERROR(__xludf.DUMMYFUNCTION("""COMPUTED_VALUE"""),142.0)</f>
        <v>142</v>
      </c>
      <c r="AT2303" s="82">
        <f>IFERROR(__xludf.DUMMYFUNCTION("""COMPUTED_VALUE"""),0.6755485942734717)</f>
        <v>0.6755485943</v>
      </c>
      <c r="AU2303" s="82">
        <f>IFERROR(__xludf.DUMMYFUNCTION("""COMPUTED_VALUE"""),4.4077613806711)</f>
        <v>4.407761381</v>
      </c>
      <c r="AV2303" s="82">
        <f>IFERROR(__xludf.DUMMYFUNCTION("""COMPUTED_VALUE"""),90.82878391721215)</f>
        <v>90.82878392</v>
      </c>
      <c r="AW2303" s="82">
        <f t="shared" si="1"/>
        <v>19.52416341</v>
      </c>
      <c r="AX2303" s="83">
        <f t="array" ref="AX2303">IFERROR(DGET('SBV Import'!A:G,"SBV",{"RSC ID","Tier";B2303,A2303}))</f>
        <v>82.61429351</v>
      </c>
      <c r="AY2303" s="82">
        <f t="shared" si="2"/>
        <v>10.4145666</v>
      </c>
      <c r="AZ2303" s="82">
        <v>9.10959681474665</v>
      </c>
      <c r="BA2303" s="84">
        <v>2300.0</v>
      </c>
      <c r="BB2303" s="84" t="b">
        <f>IFERROR(__xludf.DUMMYFUNCTION("iferror(if(A2303="""",,E2303&gt;=FILTER(Constants!$F$2:$F$10,Constants!$A$2:$A$10=A2303)))"),TRUE)</f>
        <v>1</v>
      </c>
    </row>
    <row r="2304">
      <c r="A2304" s="89" t="str">
        <f>IFERROR(__xludf.DUMMYFUNCTION("""COMPUTED_VALUE"""),"Challenger")</f>
        <v>Challenger</v>
      </c>
      <c r="B2304" s="87" t="str">
        <f>IFERROR(__xludf.DUMMYFUNCTION("""COMPUTED_VALUE"""),"RSC005696")</f>
        <v>RSC005696</v>
      </c>
      <c r="C2304" s="73" t="str">
        <f>IFERROR(__xludf.DUMMYFUNCTION("""COMPUTED_VALUE"""),"Jack.flv")</f>
        <v>Jack.flv</v>
      </c>
      <c r="D2304" s="73"/>
      <c r="E2304" s="82">
        <f>IFERROR(__xludf.DUMMYFUNCTION("""COMPUTED_VALUE"""),2.0)</f>
        <v>2</v>
      </c>
      <c r="F2304" s="82">
        <f>IFERROR(__xludf.DUMMYFUNCTION("""COMPUTED_VALUE"""),1.0)</f>
        <v>1</v>
      </c>
      <c r="G2304" s="86">
        <f>IFERROR(__xludf.DUMMYFUNCTION("""COMPUTED_VALUE"""),1.0)</f>
        <v>1</v>
      </c>
      <c r="H2304" s="86">
        <f>IFERROR(__xludf.DUMMYFUNCTION("""COMPUTED_VALUE"""),0.5)</f>
        <v>0.5</v>
      </c>
      <c r="I2304" s="86">
        <f>IFERROR(__xludf.DUMMYFUNCTION("""COMPUTED_VALUE"""),0.3333333333333333)</f>
        <v>0.3333333333</v>
      </c>
      <c r="J2304" s="82">
        <f>IFERROR(__xludf.DUMMYFUNCTION("""COMPUTED_VALUE"""),330.0)</f>
        <v>330</v>
      </c>
      <c r="K2304" s="82">
        <f>IFERROR(__xludf.DUMMYFUNCTION("""COMPUTED_VALUE"""),1.0)</f>
        <v>1</v>
      </c>
      <c r="L2304" s="82">
        <f>IFERROR(__xludf.DUMMYFUNCTION("""COMPUTED_VALUE"""),0.5)</f>
        <v>0.5</v>
      </c>
      <c r="M2304" s="82">
        <f>IFERROR(__xludf.DUMMYFUNCTION("""COMPUTED_VALUE"""),0.5)</f>
        <v>0.5</v>
      </c>
      <c r="N2304" s="82">
        <f>IFERROR(__xludf.DUMMYFUNCTION("""COMPUTED_VALUE"""),3.0)</f>
        <v>3</v>
      </c>
      <c r="O2304" s="82">
        <f>IFERROR(__xludf.DUMMYFUNCTION("""COMPUTED_VALUE"""),336.0)</f>
        <v>336</v>
      </c>
      <c r="P2304" s="82">
        <f>IFERROR(__xludf.DUMMYFUNCTION("""COMPUTED_VALUE"""),0.6666666666666666)</f>
        <v>0.6666666667</v>
      </c>
      <c r="Q2304" s="82">
        <f>IFERROR(__xludf.DUMMYFUNCTION("""COMPUTED_VALUE"""),0.3333333333333333)</f>
        <v>0.3333333333</v>
      </c>
      <c r="R2304" s="82">
        <f>IFERROR(__xludf.DUMMYFUNCTION("""COMPUTED_VALUE"""),1.5)</f>
        <v>1.5</v>
      </c>
      <c r="S2304" s="82">
        <f>IFERROR(__xludf.DUMMYFUNCTION("""COMPUTED_VALUE"""),1.8333333333333335)</f>
        <v>1.833333333</v>
      </c>
      <c r="T2304" s="82">
        <f>IFERROR(__xludf.DUMMYFUNCTION("""COMPUTED_VALUE"""),349.4618055555556)</f>
        <v>349.4618056</v>
      </c>
      <c r="U2304" s="82">
        <f>IFERROR(__xludf.DUMMYFUNCTION("""COMPUTED_VALUE"""),0.821886446886447)</f>
        <v>0.8218864469</v>
      </c>
      <c r="V2304" s="82">
        <f>IFERROR(__xludf.DUMMYFUNCTION("""COMPUTED_VALUE"""),0.5220161782661783)</f>
        <v>0.5220161783</v>
      </c>
      <c r="W2304" s="82">
        <f>IFERROR(__xludf.DUMMYFUNCTION("""COMPUTED_VALUE"""),1.1602564102564101)</f>
        <v>1.16025641</v>
      </c>
      <c r="X2304" s="82">
        <f>IFERROR(__xludf.DUMMYFUNCTION("""COMPUTED_VALUE"""),2.7256562881562885)</f>
        <v>2.725656288</v>
      </c>
      <c r="Y2304" s="82">
        <f>IFERROR(__xludf.DUMMYFUNCTION("""COMPUTED_VALUE"""),316.5898962148961)</f>
        <v>316.5898962</v>
      </c>
      <c r="Z2304" s="82">
        <f>IFERROR(__xludf.DUMMYFUNCTION("""COMPUTED_VALUE"""),0.6202304639804638)</f>
        <v>0.620230464</v>
      </c>
      <c r="AA2304" s="82">
        <f>IFERROR(__xludf.DUMMYFUNCTION("""COMPUTED_VALUE"""),0.41035816035816036)</f>
        <v>0.4103581604</v>
      </c>
      <c r="AB2304" s="82">
        <f>IFERROR(__xludf.DUMMYFUNCTION("""COMPUTED_VALUE"""),1.3856583231583233)</f>
        <v>1.385658323</v>
      </c>
      <c r="AC2304" s="82">
        <f>IFERROR(__xludf.DUMMYFUNCTION("""COMPUTED_VALUE"""),2.1517857142857144)</f>
        <v>2.151785714</v>
      </c>
      <c r="AD2304" s="82">
        <f>IFERROR(__xludf.DUMMYFUNCTION("""COMPUTED_VALUE"""),1.0423579651322838)</f>
        <v>1.042357965</v>
      </c>
      <c r="AE2304" s="82">
        <f>IFERROR(__xludf.DUMMYFUNCTION("""COMPUTED_VALUE"""),1.6123039064903113)</f>
        <v>1.612303906</v>
      </c>
      <c r="AF2304" s="82">
        <f>IFERROR(__xludf.DUMMYFUNCTION("""COMPUTED_VALUE"""),1.2184478056037689)</f>
        <v>1.218447806</v>
      </c>
      <c r="AG2304" s="82">
        <f>IFERROR(__xludf.DUMMYFUNCTION("""COMPUTED_VALUE"""),0.3608393148899455)</f>
        <v>0.3608393149</v>
      </c>
      <c r="AH2304" s="82">
        <f>IFERROR(__xludf.DUMMYFUNCTION("""COMPUTED_VALUE"""),1.3941908713692945)</f>
        <v>1.394190871</v>
      </c>
      <c r="AI2304" s="82">
        <f>IFERROR(__xludf.DUMMYFUNCTION("""COMPUTED_VALUE"""),0.9614784639077946)</f>
        <v>0.9614784639</v>
      </c>
      <c r="AJ2304" s="82">
        <f>IFERROR(__xludf.DUMMYFUNCTION("""COMPUTED_VALUE"""),0.8111420612813369)</f>
        <v>0.8111420613</v>
      </c>
      <c r="AK2304" s="82">
        <f>IFERROR(__xludf.DUMMYFUNCTION("""COMPUTED_VALUE"""),0.6385498136101161)</f>
        <v>0.6385498136</v>
      </c>
      <c r="AL2304" s="82">
        <f>IFERROR(__xludf.DUMMYFUNCTION("""COMPUTED_VALUE"""),1.292817679558011)</f>
        <v>1.29281768</v>
      </c>
      <c r="AM2304" s="82">
        <f>IFERROR(__xludf.DUMMYFUNCTION("""COMPUTED_VALUE"""),0.6726208808130582)</f>
        <v>0.6726208808</v>
      </c>
      <c r="AN2304" s="82">
        <f>IFERROR(__xludf.DUMMYFUNCTION("""COMPUTED_VALUE"""),1.0143875127373931)</f>
        <v>1.014387513</v>
      </c>
      <c r="AO2304" s="82">
        <f>IFERROR(__xludf.DUMMYFUNCTION("""COMPUTED_VALUE"""),1.3682813139941257)</f>
        <v>1.368281314</v>
      </c>
      <c r="AP2304" s="82">
        <f>IFERROR(__xludf.DUMMYFUNCTION("""COMPUTED_VALUE"""),0.969835704066827)</f>
        <v>0.9698357041</v>
      </c>
      <c r="AQ2304" s="82">
        <f>IFERROR(__xludf.DUMMYFUNCTION("""COMPUTED_VALUE"""),0.4146919941444784)</f>
        <v>0.4146919941</v>
      </c>
      <c r="AR2304" s="82">
        <f>IFERROR(__xludf.DUMMYFUNCTION("""COMPUTED_VALUE"""),1.2607277743800842)</f>
        <v>1.260727774</v>
      </c>
      <c r="AS2304" s="82">
        <f>IFERROR(__xludf.DUMMYFUNCTION("""COMPUTED_VALUE"""),4.0)</f>
        <v>4</v>
      </c>
      <c r="AT2304" s="82">
        <f>IFERROR(__xludf.DUMMYFUNCTION("""COMPUTED_VALUE"""),0.5)</f>
        <v>0.5</v>
      </c>
      <c r="AU2304" s="82">
        <f>IFERROR(__xludf.DUMMYFUNCTION("""COMPUTED_VALUE"""),4.317883658254794)</f>
        <v>4.317883658</v>
      </c>
      <c r="AV2304" s="82">
        <f>IFERROR(__xludf.DUMMYFUNCTION("""COMPUTED_VALUE"""),88.48313168572875)</f>
        <v>88.48313169</v>
      </c>
      <c r="AW2304" s="82">
        <f t="shared" si="1"/>
        <v>16.16489376</v>
      </c>
      <c r="AX2304" s="83">
        <f t="array" ref="AX2304">IFERROR(DGET('SBV Import'!A:G,"SBV",{"RSC ID","Tier";B2304,A2304}))</f>
        <v>84.71624215</v>
      </c>
      <c r="AY2304" s="82">
        <f t="shared" si="2"/>
        <v>12.12567284</v>
      </c>
      <c r="AZ2304" s="82">
        <v>4.039220924134124</v>
      </c>
      <c r="BA2304" s="84">
        <v>2300.0</v>
      </c>
      <c r="BB2304" s="84" t="b">
        <f>IFERROR(__xludf.DUMMYFUNCTION("iferror(if(A2304="""",,E2304&gt;=FILTER(Constants!$F$2:$F$10,Constants!$A$2:$A$10=A2304)))"),TRUE)</f>
        <v>1</v>
      </c>
    </row>
    <row r="2305">
      <c r="A2305" s="89" t="str">
        <f>IFERROR(__xludf.DUMMYFUNCTION("""COMPUTED_VALUE"""),"Challenger")</f>
        <v>Challenger</v>
      </c>
      <c r="B2305" s="87" t="str">
        <f>IFERROR(__xludf.DUMMYFUNCTION("""COMPUTED_VALUE"""),"RSC004679")</f>
        <v>RSC004679</v>
      </c>
      <c r="C2305" s="73" t="str">
        <f>IFERROR(__xludf.DUMMYFUNCTION("""COMPUTED_VALUE"""),"master_ibk810")</f>
        <v>master_ibk810</v>
      </c>
      <c r="D2305" s="73" t="str">
        <f>IFERROR(__xludf.DUMMYFUNCTION("""COMPUTED_VALUE"""),"Squalls")</f>
        <v>Squalls</v>
      </c>
      <c r="E2305" s="82">
        <f>IFERROR(__xludf.DUMMYFUNCTION("""COMPUTED_VALUE"""),39.0)</f>
        <v>39</v>
      </c>
      <c r="F2305" s="82">
        <f>IFERROR(__xludf.DUMMYFUNCTION("""COMPUTED_VALUE"""),27.0)</f>
        <v>27</v>
      </c>
      <c r="G2305" s="86">
        <f>IFERROR(__xludf.DUMMYFUNCTION("""COMPUTED_VALUE"""),12.0)</f>
        <v>12</v>
      </c>
      <c r="H2305" s="86">
        <f>IFERROR(__xludf.DUMMYFUNCTION("""COMPUTED_VALUE"""),0.6923076923076923)</f>
        <v>0.6923076923</v>
      </c>
      <c r="I2305" s="86">
        <f>IFERROR(__xludf.DUMMYFUNCTION("""COMPUTED_VALUE"""),0.3553719008264463)</f>
        <v>0.3553719008</v>
      </c>
      <c r="J2305" s="82">
        <f>IFERROR(__xludf.DUMMYFUNCTION("""COMPUTED_VALUE"""),360.0)</f>
        <v>360</v>
      </c>
      <c r="K2305" s="82">
        <f>IFERROR(__xludf.DUMMYFUNCTION("""COMPUTED_VALUE"""),1.1025641025641026)</f>
        <v>1.102564103</v>
      </c>
      <c r="L2305" s="82">
        <f>IFERROR(__xludf.DUMMYFUNCTION("""COMPUTED_VALUE"""),0.48717948717948717)</f>
        <v>0.4871794872</v>
      </c>
      <c r="M2305" s="82">
        <f>IFERROR(__xludf.DUMMYFUNCTION("""COMPUTED_VALUE"""),0.8974358974358975)</f>
        <v>0.8974358974</v>
      </c>
      <c r="N2305" s="82">
        <f>IFERROR(__xludf.DUMMYFUNCTION("""COMPUTED_VALUE"""),3.1025641025641026)</f>
        <v>3.102564103</v>
      </c>
      <c r="O2305" s="82">
        <f>IFERROR(__xludf.DUMMYFUNCTION("""COMPUTED_VALUE"""),305.47008547008545)</f>
        <v>305.4700855</v>
      </c>
      <c r="P2305" s="82">
        <f>IFERROR(__xludf.DUMMYFUNCTION("""COMPUTED_VALUE"""),0.5982905982905982)</f>
        <v>0.5982905983</v>
      </c>
      <c r="Q2305" s="82">
        <f>IFERROR(__xludf.DUMMYFUNCTION("""COMPUTED_VALUE"""),0.4017094017094017)</f>
        <v>0.4017094017</v>
      </c>
      <c r="R2305" s="82">
        <f>IFERROR(__xludf.DUMMYFUNCTION("""COMPUTED_VALUE"""),1.3504273504273505)</f>
        <v>1.35042735</v>
      </c>
      <c r="S2305" s="82">
        <f>IFERROR(__xludf.DUMMYFUNCTION("""COMPUTED_VALUE"""),2.111111111111111)</f>
        <v>2.111111111</v>
      </c>
      <c r="T2305" s="82">
        <f>IFERROR(__xludf.DUMMYFUNCTION("""COMPUTED_VALUE"""),340.12042778953673)</f>
        <v>340.1204278</v>
      </c>
      <c r="U2305" s="82">
        <f>IFERROR(__xludf.DUMMYFUNCTION("""COMPUTED_VALUE"""),0.8050092786830941)</f>
        <v>0.8050092787</v>
      </c>
      <c r="V2305" s="82">
        <f>IFERROR(__xludf.DUMMYFUNCTION("""COMPUTED_VALUE"""),0.564903857856575)</f>
        <v>0.5649038579</v>
      </c>
      <c r="W2305" s="82">
        <f>IFERROR(__xludf.DUMMYFUNCTION("""COMPUTED_VALUE"""),1.224876559584944)</f>
        <v>1.22487656</v>
      </c>
      <c r="X2305" s="82">
        <f>IFERROR(__xludf.DUMMYFUNCTION("""COMPUTED_VALUE"""),2.422130717290888)</f>
        <v>2.422130717</v>
      </c>
      <c r="Y2305" s="82">
        <f>IFERROR(__xludf.DUMMYFUNCTION("""COMPUTED_VALUE"""),328.27473736781997)</f>
        <v>328.2747374</v>
      </c>
      <c r="Z2305" s="82">
        <f>IFERROR(__xludf.DUMMYFUNCTION("""COMPUTED_VALUE"""),0.7474292136332656)</f>
        <v>0.7474292136</v>
      </c>
      <c r="AA2305" s="82">
        <f>IFERROR(__xludf.DUMMYFUNCTION("""COMPUTED_VALUE"""),0.5078977840761604)</f>
        <v>0.5078977841</v>
      </c>
      <c r="AB2305" s="82">
        <f>IFERROR(__xludf.DUMMYFUNCTION("""COMPUTED_VALUE"""),1.192059667964729)</f>
        <v>1.192059668</v>
      </c>
      <c r="AC2305" s="82">
        <f>IFERROR(__xludf.DUMMYFUNCTION("""COMPUTED_VALUE"""),2.4034983571655166)</f>
        <v>2.403498357</v>
      </c>
      <c r="AD2305" s="82">
        <f>IFERROR(__xludf.DUMMYFUNCTION("""COMPUTED_VALUE"""),1.0966424126527685)</f>
        <v>1.096642413</v>
      </c>
      <c r="AE2305" s="82">
        <f>IFERROR(__xludf.DUMMYFUNCTION("""COMPUTED_VALUE"""),1.4751418361138449)</f>
        <v>1.475141836</v>
      </c>
      <c r="AF2305" s="82">
        <f>IFERROR(__xludf.DUMMYFUNCTION("""COMPUTED_VALUE"""),0.9592077430809061)</f>
        <v>0.9592077431</v>
      </c>
      <c r="AG2305" s="82">
        <f>IFERROR(__xludf.DUMMYFUNCTION("""COMPUTED_VALUE"""),0.7528447791276595)</f>
        <v>0.7528447791</v>
      </c>
      <c r="AH2305" s="82">
        <f>IFERROR(__xludf.DUMMYFUNCTION("""COMPUTED_VALUE"""),1.2908534317547882)</f>
        <v>1.290853432</v>
      </c>
      <c r="AI2305" s="82">
        <f>IFERROR(__xludf.DUMMYFUNCTION("""COMPUTED_VALUE"""),0.8981233131316282)</f>
        <v>0.8981233131</v>
      </c>
      <c r="AJ2305" s="82">
        <f>IFERROR(__xludf.DUMMYFUNCTION("""COMPUTED_VALUE"""),0.7432095680553338)</f>
        <v>0.7432095681</v>
      </c>
      <c r="AK2305" s="82">
        <f>IFERROR(__xludf.DUMMYFUNCTION("""COMPUTED_VALUE"""),0.7111110963795061)</f>
        <v>0.7111110964</v>
      </c>
      <c r="AL2305" s="82">
        <f>IFERROR(__xludf.DUMMYFUNCTION("""COMPUTED_VALUE"""),1.102500770269414)</f>
        <v>1.10250077</v>
      </c>
      <c r="AM2305" s="82">
        <f>IFERROR(__xludf.DUMMYFUNCTION("""COMPUTED_VALUE"""),0.871592559410812)</f>
        <v>0.8715925594</v>
      </c>
      <c r="AN2305" s="82">
        <f>IFERROR(__xludf.DUMMYFUNCTION("""COMPUTED_VALUE"""),1.1066045593498834)</f>
        <v>1.106604559</v>
      </c>
      <c r="AO2305" s="82">
        <f>IFERROR(__xludf.DUMMYFUNCTION("""COMPUTED_VALUE"""),1.5086178590191641)</f>
        <v>1.508617859</v>
      </c>
      <c r="AP2305" s="82">
        <f>IFERROR(__xludf.DUMMYFUNCTION("""COMPUTED_VALUE"""),0.9449681219112672)</f>
        <v>0.9449681219</v>
      </c>
      <c r="AQ2305" s="82">
        <f>IFERROR(__xludf.DUMMYFUNCTION("""COMPUTED_VALUE"""),0.7443189638490638)</f>
        <v>0.7443189638</v>
      </c>
      <c r="AR2305" s="82">
        <f>IFERROR(__xludf.DUMMYFUNCTION("""COMPUTED_VALUE"""),1.303829578632395)</f>
        <v>1.303829579</v>
      </c>
      <c r="AS2305" s="82">
        <f>IFERROR(__xludf.DUMMYFUNCTION("""COMPUTED_VALUE"""),101.0)</f>
        <v>101</v>
      </c>
      <c r="AT2305" s="82">
        <f>IFERROR(__xludf.DUMMYFUNCTION("""COMPUTED_VALUE"""),0.636532733590989)</f>
        <v>0.6365327336</v>
      </c>
      <c r="AU2305" s="82">
        <f>IFERROR(__xludf.DUMMYFUNCTION("""COMPUTED_VALUE"""),4.23791322458901)</f>
        <v>4.237913225</v>
      </c>
      <c r="AV2305" s="82">
        <f>IFERROR(__xludf.DUMMYFUNCTION("""COMPUTED_VALUE"""),86.39604245896828)</f>
        <v>86.39604246</v>
      </c>
      <c r="AW2305" s="82">
        <f t="shared" si="1"/>
        <v>13.75171688</v>
      </c>
      <c r="AX2305" s="83">
        <f t="array" ref="AX2305">IFERROR(DGET('SBV Import'!A:G,"SBV",{"RSC ID","Tier";B2305,A2305}))</f>
        <v>72.15423901</v>
      </c>
      <c r="AY2305" s="82">
        <f t="shared" si="2"/>
        <v>5.325860599</v>
      </c>
      <c r="AZ2305" s="82">
        <v>8.425856283681313</v>
      </c>
      <c r="BA2305" s="84">
        <v>2300.0</v>
      </c>
      <c r="BB2305" s="84" t="b">
        <f>IFERROR(__xludf.DUMMYFUNCTION("iferror(if(A2305="""",,E2305&gt;=FILTER(Constants!$F$2:$F$10,Constants!$A$2:$A$10=A2305)))"),TRUE)</f>
        <v>1</v>
      </c>
    </row>
    <row r="2306">
      <c r="A2306" s="89" t="str">
        <f>IFERROR(__xludf.DUMMYFUNCTION("""COMPUTED_VALUE"""),"Challenger")</f>
        <v>Challenger</v>
      </c>
      <c r="B2306" s="87" t="str">
        <f>IFERROR(__xludf.DUMMYFUNCTION("""COMPUTED_VALUE"""),"RSC007256")</f>
        <v>RSC007256</v>
      </c>
      <c r="C2306" s="73" t="str">
        <f>IFERROR(__xludf.DUMMYFUNCTION("""COMPUTED_VALUE"""),"Dark Odst RW7")</f>
        <v>Dark Odst RW7</v>
      </c>
      <c r="D2306" s="73" t="str">
        <f>IFERROR(__xludf.DUMMYFUNCTION("""COMPUTED_VALUE"""),"Deceased")</f>
        <v>Deceased</v>
      </c>
      <c r="E2306" s="82">
        <f>IFERROR(__xludf.DUMMYFUNCTION("""COMPUTED_VALUE"""),43.0)</f>
        <v>43</v>
      </c>
      <c r="F2306" s="82">
        <f>IFERROR(__xludf.DUMMYFUNCTION("""COMPUTED_VALUE"""),27.0)</f>
        <v>27</v>
      </c>
      <c r="G2306" s="86">
        <f>IFERROR(__xludf.DUMMYFUNCTION("""COMPUTED_VALUE"""),16.0)</f>
        <v>16</v>
      </c>
      <c r="H2306" s="86">
        <f>IFERROR(__xludf.DUMMYFUNCTION("""COMPUTED_VALUE"""),0.627906976744186)</f>
        <v>0.6279069767</v>
      </c>
      <c r="I2306" s="86">
        <f>IFERROR(__xludf.DUMMYFUNCTION("""COMPUTED_VALUE"""),0.3165467625899281)</f>
        <v>0.3165467626</v>
      </c>
      <c r="J2306" s="82">
        <f>IFERROR(__xludf.DUMMYFUNCTION("""COMPUTED_VALUE"""),383.93023255813955)</f>
        <v>383.9302326</v>
      </c>
      <c r="K2306" s="82">
        <f>IFERROR(__xludf.DUMMYFUNCTION("""COMPUTED_VALUE"""),1.0232558139534884)</f>
        <v>1.023255814</v>
      </c>
      <c r="L2306" s="82">
        <f>IFERROR(__xludf.DUMMYFUNCTION("""COMPUTED_VALUE"""),0.6046511627906976)</f>
        <v>0.6046511628</v>
      </c>
      <c r="M2306" s="82">
        <f>IFERROR(__xludf.DUMMYFUNCTION("""COMPUTED_VALUE"""),1.302325581395349)</f>
        <v>1.302325581</v>
      </c>
      <c r="N2306" s="82">
        <f>IFERROR(__xludf.DUMMYFUNCTION("""COMPUTED_VALUE"""),3.2325581395348837)</f>
        <v>3.23255814</v>
      </c>
      <c r="O2306" s="82">
        <f>IFERROR(__xludf.DUMMYFUNCTION("""COMPUTED_VALUE"""),341.8449612403101)</f>
        <v>341.8449612</v>
      </c>
      <c r="P2306" s="82">
        <f>IFERROR(__xludf.DUMMYFUNCTION("""COMPUTED_VALUE"""),0.6201550387596898)</f>
        <v>0.6201550388</v>
      </c>
      <c r="Q2306" s="82">
        <f>IFERROR(__xludf.DUMMYFUNCTION("""COMPUTED_VALUE"""),0.4573643410852712)</f>
        <v>0.4573643411</v>
      </c>
      <c r="R2306" s="82">
        <f>IFERROR(__xludf.DUMMYFUNCTION("""COMPUTED_VALUE"""),1.5271317829457365)</f>
        <v>1.527131783</v>
      </c>
      <c r="S2306" s="82">
        <f>IFERROR(__xludf.DUMMYFUNCTION("""COMPUTED_VALUE"""),2.2015503875969)</f>
        <v>2.201550388</v>
      </c>
      <c r="T2306" s="82">
        <f>IFERROR(__xludf.DUMMYFUNCTION("""COMPUTED_VALUE"""),328.5208076008868)</f>
        <v>328.5208076</v>
      </c>
      <c r="U2306" s="82">
        <f>IFERROR(__xludf.DUMMYFUNCTION("""COMPUTED_VALUE"""),0.7384603253814702)</f>
        <v>0.7384603254</v>
      </c>
      <c r="V2306" s="82">
        <f>IFERROR(__xludf.DUMMYFUNCTION("""COMPUTED_VALUE"""),0.49640384155032385)</f>
        <v>0.4964038416</v>
      </c>
      <c r="W2306" s="82">
        <f>IFERROR(__xludf.DUMMYFUNCTION("""COMPUTED_VALUE"""),1.253598883975486)</f>
        <v>1.253598884</v>
      </c>
      <c r="X2306" s="82">
        <f>IFERROR(__xludf.DUMMYFUNCTION("""COMPUTED_VALUE"""),2.3286871967585294)</f>
        <v>2.328687197</v>
      </c>
      <c r="Y2306" s="82">
        <f>IFERROR(__xludf.DUMMYFUNCTION("""COMPUTED_VALUE"""),344.774096291704)</f>
        <v>344.7740963</v>
      </c>
      <c r="Z2306" s="82">
        <f>IFERROR(__xludf.DUMMYFUNCTION("""COMPUTED_VALUE"""),0.8412538187139801)</f>
        <v>0.8412538187</v>
      </c>
      <c r="AA2306" s="82">
        <f>IFERROR(__xludf.DUMMYFUNCTION("""COMPUTED_VALUE"""),0.5871208854770756)</f>
        <v>0.5871208855</v>
      </c>
      <c r="AB2306" s="82">
        <f>IFERROR(__xludf.DUMMYFUNCTION("""COMPUTED_VALUE"""),1.171081000310064)</f>
        <v>1.171081</v>
      </c>
      <c r="AC2306" s="82">
        <f>IFERROR(__xludf.DUMMYFUNCTION("""COMPUTED_VALUE"""),2.598430194010124)</f>
        <v>2.598430194</v>
      </c>
      <c r="AD2306" s="82">
        <f>IFERROR(__xludf.DUMMYFUNCTION("""COMPUTED_VALUE"""),1.113570412300658)</f>
        <v>1.113570412</v>
      </c>
      <c r="AE2306" s="82">
        <f>IFERROR(__xludf.DUMMYFUNCTION("""COMPUTED_VALUE"""),1.2163461148000894)</f>
        <v>1.216346115</v>
      </c>
      <c r="AF2306" s="82">
        <f>IFERROR(__xludf.DUMMYFUNCTION("""COMPUTED_VALUE"""),1.029858037326295)</f>
        <v>1.029858037</v>
      </c>
      <c r="AG2306" s="82">
        <f>IFERROR(__xludf.DUMMYFUNCTION("""COMPUTED_VALUE"""),1.1120713093718844)</f>
        <v>1.112071309</v>
      </c>
      <c r="AH2306" s="82">
        <f>IFERROR(__xludf.DUMMYFUNCTION("""COMPUTED_VALUE"""),1.2440427097047075)</f>
        <v>1.24404271</v>
      </c>
      <c r="AI2306" s="82">
        <f>IFERROR(__xludf.DUMMYFUNCTION("""COMPUTED_VALUE"""),1.0405580204697735)</f>
        <v>1.04055802</v>
      </c>
      <c r="AJ2306" s="82">
        <f>IFERROR(__xludf.DUMMYFUNCTION("""COMPUTED_VALUE"""),0.8397946611950116)</f>
        <v>0.8397946612</v>
      </c>
      <c r="AK2306" s="82">
        <f>IFERROR(__xludf.DUMMYFUNCTION("""COMPUTED_VALUE"""),0.9213553619103189)</f>
        <v>0.9213553619</v>
      </c>
      <c r="AL2306" s="82">
        <f>IFERROR(__xludf.DUMMYFUNCTION("""COMPUTED_VALUE"""),1.2181981034498108)</f>
        <v>1.218198103</v>
      </c>
      <c r="AM2306" s="82">
        <f>IFERROR(__xludf.DUMMYFUNCTION("""COMPUTED_VALUE"""),0.9454040846110201)</f>
        <v>0.9454040846</v>
      </c>
      <c r="AN2306" s="82">
        <f>IFERROR(__xludf.DUMMYFUNCTION("""COMPUTED_VALUE"""),1.1801637383919397)</f>
        <v>1.180163738</v>
      </c>
      <c r="AO2306" s="82">
        <f>IFERROR(__xludf.DUMMYFUNCTION("""COMPUTED_VALUE"""),1.4001018096684077)</f>
        <v>1.40010181</v>
      </c>
      <c r="AP2306" s="82">
        <f>IFERROR(__xludf.DUMMYFUNCTION("""COMPUTED_VALUE"""),1.1728245723598836)</f>
        <v>1.172824572</v>
      </c>
      <c r="AQ2306" s="82">
        <f>IFERROR(__xludf.DUMMYFUNCTION("""COMPUTED_VALUE"""),1.0801279847484089)</f>
        <v>1.080127985</v>
      </c>
      <c r="AR2306" s="82">
        <f>IFERROR(__xludf.DUMMYFUNCTION("""COMPUTED_VALUE"""),1.3584586096033466)</f>
        <v>1.35845861</v>
      </c>
      <c r="AS2306" s="82">
        <f>IFERROR(__xludf.DUMMYFUNCTION("""COMPUTED_VALUE"""),124.0)</f>
        <v>124</v>
      </c>
      <c r="AT2306" s="82">
        <f>IFERROR(__xludf.DUMMYFUNCTION("""COMPUTED_VALUE"""),0.6648869985423563)</f>
        <v>0.6648869985</v>
      </c>
      <c r="AU2306" s="82">
        <f>IFERROR(__xludf.DUMMYFUNCTION("""COMPUTED_VALUE"""),4.01390614241529)</f>
        <v>4.013906142</v>
      </c>
      <c r="AV2306" s="82">
        <f>IFERROR(__xludf.DUMMYFUNCTION("""COMPUTED_VALUE"""),80.54984722790687)</f>
        <v>80.54984723</v>
      </c>
      <c r="AW2306" s="82">
        <f t="shared" si="1"/>
        <v>9.020795454</v>
      </c>
      <c r="AX2306" s="83">
        <f t="array" ref="AX2306">IFERROR(DGET('SBV Import'!A:G,"SBV",{"RSC ID","Tier";B2306,A2306}))</f>
        <v>60.13647707</v>
      </c>
      <c r="AY2306" s="82">
        <f t="shared" si="2"/>
        <v>2.919111042</v>
      </c>
      <c r="AZ2306" s="82">
        <v>6.101684412344884</v>
      </c>
      <c r="BA2306" s="84">
        <v>2300.0</v>
      </c>
      <c r="BB2306" s="84" t="b">
        <f>IFERROR(__xludf.DUMMYFUNCTION("iferror(if(A2306="""",,E2306&gt;=FILTER(Constants!$F$2:$F$10,Constants!$A$2:$A$10=A2306)))"),TRUE)</f>
        <v>1</v>
      </c>
    </row>
    <row r="2307">
      <c r="A2307" s="89" t="str">
        <f>IFERROR(__xludf.DUMMYFUNCTION("""COMPUTED_VALUE"""),"Challenger")</f>
        <v>Challenger</v>
      </c>
      <c r="B2307" s="87" t="str">
        <f>IFERROR(__xludf.DUMMYFUNCTION("""COMPUTED_VALUE"""),"RSC002841")</f>
        <v>RSC002841</v>
      </c>
      <c r="C2307" s="73" t="str">
        <f>IFERROR(__xludf.DUMMYFUNCTION("""COMPUTED_VALUE"""),"dyl")</f>
        <v>dyl</v>
      </c>
      <c r="D2307" s="73" t="str">
        <f>IFERROR(__xludf.DUMMYFUNCTION("""COMPUTED_VALUE"""),"Cassowaries")</f>
        <v>Cassowaries</v>
      </c>
      <c r="E2307" s="82">
        <f>IFERROR(__xludf.DUMMYFUNCTION("""COMPUTED_VALUE"""),46.0)</f>
        <v>46</v>
      </c>
      <c r="F2307" s="82">
        <f>IFERROR(__xludf.DUMMYFUNCTION("""COMPUTED_VALUE"""),35.0)</f>
        <v>35</v>
      </c>
      <c r="G2307" s="86">
        <f>IFERROR(__xludf.DUMMYFUNCTION("""COMPUTED_VALUE"""),11.0)</f>
        <v>11</v>
      </c>
      <c r="H2307" s="86">
        <f>IFERROR(__xludf.DUMMYFUNCTION("""COMPUTED_VALUE"""),0.7608695652173914)</f>
        <v>0.7608695652</v>
      </c>
      <c r="I2307" s="86">
        <f>IFERROR(__xludf.DUMMYFUNCTION("""COMPUTED_VALUE"""),0.40178571428571425)</f>
        <v>0.4017857143</v>
      </c>
      <c r="J2307" s="82">
        <f>IFERROR(__xludf.DUMMYFUNCTION("""COMPUTED_VALUE"""),407.7391304347826)</f>
        <v>407.7391304</v>
      </c>
      <c r="K2307" s="82">
        <f>IFERROR(__xludf.DUMMYFUNCTION("""COMPUTED_VALUE"""),0.9782608695652174)</f>
        <v>0.9782608696</v>
      </c>
      <c r="L2307" s="82">
        <f>IFERROR(__xludf.DUMMYFUNCTION("""COMPUTED_VALUE"""),0.8043478260869565)</f>
        <v>0.8043478261</v>
      </c>
      <c r="M2307" s="82">
        <f>IFERROR(__xludf.DUMMYFUNCTION("""COMPUTED_VALUE"""),1.673913043478261)</f>
        <v>1.673913043</v>
      </c>
      <c r="N2307" s="82">
        <f>IFERROR(__xludf.DUMMYFUNCTION("""COMPUTED_VALUE"""),2.4347826086956523)</f>
        <v>2.434782609</v>
      </c>
      <c r="O2307" s="82">
        <f>IFERROR(__xludf.DUMMYFUNCTION("""COMPUTED_VALUE"""),314.66666666666663)</f>
        <v>314.6666667</v>
      </c>
      <c r="P2307" s="82">
        <f>IFERROR(__xludf.DUMMYFUNCTION("""COMPUTED_VALUE"""),0.6666666666666666)</f>
        <v>0.6666666667</v>
      </c>
      <c r="Q2307" s="82">
        <f>IFERROR(__xludf.DUMMYFUNCTION("""COMPUTED_VALUE"""),0.44202898550724645)</f>
        <v>0.4420289855</v>
      </c>
      <c r="R2307" s="82">
        <f>IFERROR(__xludf.DUMMYFUNCTION("""COMPUTED_VALUE"""),1.2681159420289854)</f>
        <v>1.268115942</v>
      </c>
      <c r="S2307" s="82">
        <f>IFERROR(__xludf.DUMMYFUNCTION("""COMPUTED_VALUE"""),2.427536231884057)</f>
        <v>2.427536232</v>
      </c>
      <c r="T2307" s="82">
        <f>IFERROR(__xludf.DUMMYFUNCTION("""COMPUTED_VALUE"""),320.8942274080723)</f>
        <v>320.8942274</v>
      </c>
      <c r="U2307" s="82">
        <f>IFERROR(__xludf.DUMMYFUNCTION("""COMPUTED_VALUE"""),0.7047648774661497)</f>
        <v>0.7047648775</v>
      </c>
      <c r="V2307" s="82">
        <f>IFERROR(__xludf.DUMMYFUNCTION("""COMPUTED_VALUE"""),0.48219022195168154)</f>
        <v>0.482190222</v>
      </c>
      <c r="W2307" s="82">
        <f>IFERROR(__xludf.DUMMYFUNCTION("""COMPUTED_VALUE"""),1.181006617417308)</f>
        <v>1.181006617</v>
      </c>
      <c r="X2307" s="82">
        <f>IFERROR(__xludf.DUMMYFUNCTION("""COMPUTED_VALUE"""),2.3723366581002345)</f>
        <v>2.372336658</v>
      </c>
      <c r="Y2307" s="82">
        <f>IFERROR(__xludf.DUMMYFUNCTION("""COMPUTED_VALUE"""),339.8819164034656)</f>
        <v>339.8819164</v>
      </c>
      <c r="Z2307" s="82">
        <f>IFERROR(__xludf.DUMMYFUNCTION("""COMPUTED_VALUE"""),0.8046269538749056)</f>
        <v>0.8046269539</v>
      </c>
      <c r="AA2307" s="82">
        <f>IFERROR(__xludf.DUMMYFUNCTION("""COMPUTED_VALUE"""),0.5577828657727778)</f>
        <v>0.5577828658</v>
      </c>
      <c r="AB2307" s="82">
        <f>IFERROR(__xludf.DUMMYFUNCTION("""COMPUTED_VALUE"""),1.2147871765848302)</f>
        <v>1.214787177</v>
      </c>
      <c r="AC2307" s="82">
        <f>IFERROR(__xludf.DUMMYFUNCTION("""COMPUTED_VALUE"""),2.4662682651504517)</f>
        <v>2.466268265</v>
      </c>
      <c r="AD2307" s="82">
        <f>IFERROR(__xludf.DUMMYFUNCTION("""COMPUTED_VALUE"""),1.1996493804358963)</f>
        <v>1.19964938</v>
      </c>
      <c r="AE2307" s="82">
        <f>IFERROR(__xludf.DUMMYFUNCTION("""COMPUTED_VALUE"""),1.2157943067332373)</f>
        <v>1.215794307</v>
      </c>
      <c r="AF2307" s="82">
        <f>IFERROR(__xludf.DUMMYFUNCTION("""COMPUTED_VALUE"""),1.4420447013419395)</f>
        <v>1.442044701</v>
      </c>
      <c r="AG2307" s="82">
        <f>IFERROR(__xludf.DUMMYFUNCTION("""COMPUTED_VALUE"""),1.3779475744748855)</f>
        <v>1.377947574</v>
      </c>
      <c r="AH2307" s="82">
        <f>IFERROR(__xludf.DUMMYFUNCTION("""COMPUTED_VALUE"""),0.9872334827075762)</f>
        <v>0.9872334827</v>
      </c>
      <c r="AI2307" s="82">
        <f>IFERROR(__xludf.DUMMYFUNCTION("""COMPUTED_VALUE"""),0.9805931044889559)</f>
        <v>0.9805931045</v>
      </c>
      <c r="AJ2307" s="82">
        <f>IFERROR(__xludf.DUMMYFUNCTION("""COMPUTED_VALUE"""),0.9459419559379036)</f>
        <v>0.9459419559</v>
      </c>
      <c r="AK2307" s="82">
        <f>IFERROR(__xludf.DUMMYFUNCTION("""COMPUTED_VALUE"""),0.9167108028821466)</f>
        <v>0.9167108029</v>
      </c>
      <c r="AL2307" s="82">
        <f>IFERROR(__xludf.DUMMYFUNCTION("""COMPUTED_VALUE"""),1.073758540660994)</f>
        <v>1.073758541</v>
      </c>
      <c r="AM2307" s="82">
        <f>IFERROR(__xludf.DUMMYFUNCTION("""COMPUTED_VALUE"""),1.0232680187254817)</f>
        <v>1.023268019</v>
      </c>
      <c r="AN2307" s="82">
        <f>IFERROR(__xludf.DUMMYFUNCTION("""COMPUTED_VALUE"""),1.2533499465680202)</f>
        <v>1.253349947</v>
      </c>
      <c r="AO2307" s="82">
        <f>IFERROR(__xludf.DUMMYFUNCTION("""COMPUTED_VALUE"""),1.3385360680377316)</f>
        <v>1.338536068</v>
      </c>
      <c r="AP2307" s="82">
        <f>IFERROR(__xludf.DUMMYFUNCTION("""COMPUTED_VALUE"""),1.5601704804553302)</f>
        <v>1.56017048</v>
      </c>
      <c r="AQ2307" s="82">
        <f>IFERROR(__xludf.DUMMYFUNCTION("""COMPUTED_VALUE"""),1.388316676048906)</f>
        <v>1.388316676</v>
      </c>
      <c r="AR2307" s="82">
        <f>IFERROR(__xludf.DUMMYFUNCTION("""COMPUTED_VALUE"""),1.0231993531200685)</f>
        <v>1.023199353</v>
      </c>
      <c r="AS2307" s="82">
        <f>IFERROR(__xludf.DUMMYFUNCTION("""COMPUTED_VALUE"""),148.0)</f>
        <v>148</v>
      </c>
      <c r="AT2307" s="82">
        <f>IFERROR(__xludf.DUMMYFUNCTION("""COMPUTED_VALUE"""),0.6821821129951607)</f>
        <v>0.682182113</v>
      </c>
      <c r="AU2307" s="82">
        <f>IFERROR(__xludf.DUMMYFUNCTION("""COMPUTED_VALUE"""),4.010026491108811)</f>
        <v>4.010026491</v>
      </c>
      <c r="AV2307" s="82">
        <f>IFERROR(__xludf.DUMMYFUNCTION("""COMPUTED_VALUE"""),80.44859507665333)</f>
        <v>80.44859508</v>
      </c>
      <c r="AW2307" s="82">
        <f t="shared" si="1"/>
        <v>8.958754072</v>
      </c>
      <c r="AX2307" s="83">
        <f t="array" ref="AX2307">IFERROR(DGET('SBV Import'!A:G,"SBV",{"RSC ID","Tier";B2307,A2307}))</f>
        <v>66.09206718</v>
      </c>
      <c r="AY2307" s="82">
        <f t="shared" si="2"/>
        <v>3.847772731</v>
      </c>
      <c r="AZ2307" s="82">
        <v>5.110981341210124</v>
      </c>
      <c r="BA2307" s="84">
        <v>2300.0</v>
      </c>
      <c r="BB2307" s="84" t="b">
        <f>IFERROR(__xludf.DUMMYFUNCTION("iferror(if(A2307="""",,E2307&gt;=FILTER(Constants!$F$2:$F$10,Constants!$A$2:$A$10=A2307)))"),TRUE)</f>
        <v>1</v>
      </c>
    </row>
    <row r="2308">
      <c r="A2308" s="89" t="str">
        <f>IFERROR(__xludf.DUMMYFUNCTION("""COMPUTED_VALUE"""),"Challenger")</f>
        <v>Challenger</v>
      </c>
      <c r="B2308" s="87" t="str">
        <f>IFERROR(__xludf.DUMMYFUNCTION("""COMPUTED_VALUE"""),"RSC007093")</f>
        <v>RSC007093</v>
      </c>
      <c r="C2308" s="73" t="str">
        <f>IFERROR(__xludf.DUMMYFUNCTION("""COMPUTED_VALUE"""),"Mangy")</f>
        <v>Mangy</v>
      </c>
      <c r="D2308" s="73" t="str">
        <f>IFERROR(__xludf.DUMMYFUNCTION("""COMPUTED_VALUE"""),"Meat Lovers")</f>
        <v>Meat Lovers</v>
      </c>
      <c r="E2308" s="82">
        <f>IFERROR(__xludf.DUMMYFUNCTION("""COMPUTED_VALUE"""),44.0)</f>
        <v>44</v>
      </c>
      <c r="F2308" s="82">
        <f>IFERROR(__xludf.DUMMYFUNCTION("""COMPUTED_VALUE"""),33.0)</f>
        <v>33</v>
      </c>
      <c r="G2308" s="86">
        <f>IFERROR(__xludf.DUMMYFUNCTION("""COMPUTED_VALUE"""),11.0)</f>
        <v>11</v>
      </c>
      <c r="H2308" s="86">
        <f>IFERROR(__xludf.DUMMYFUNCTION("""COMPUTED_VALUE"""),0.75)</f>
        <v>0.75</v>
      </c>
      <c r="I2308" s="86">
        <f>IFERROR(__xludf.DUMMYFUNCTION("""COMPUTED_VALUE"""),0.32)</f>
        <v>0.32</v>
      </c>
      <c r="J2308" s="82">
        <f>IFERROR(__xludf.DUMMYFUNCTION("""COMPUTED_VALUE"""),383.0681818181818)</f>
        <v>383.0681818</v>
      </c>
      <c r="K2308" s="82">
        <f>IFERROR(__xludf.DUMMYFUNCTION("""COMPUTED_VALUE"""),0.9090909090909091)</f>
        <v>0.9090909091</v>
      </c>
      <c r="L2308" s="82">
        <f>IFERROR(__xludf.DUMMYFUNCTION("""COMPUTED_VALUE"""),0.7727272727272727)</f>
        <v>0.7727272727</v>
      </c>
      <c r="M2308" s="82">
        <f>IFERROR(__xludf.DUMMYFUNCTION("""COMPUTED_VALUE"""),1.3409090909090908)</f>
        <v>1.340909091</v>
      </c>
      <c r="N2308" s="82">
        <f>IFERROR(__xludf.DUMMYFUNCTION("""COMPUTED_VALUE"""),2.840909090909091)</f>
        <v>2.840909091</v>
      </c>
      <c r="O2308" s="82">
        <f>IFERROR(__xludf.DUMMYFUNCTION("""COMPUTED_VALUE"""),310.1969696969697)</f>
        <v>310.1969697</v>
      </c>
      <c r="P2308" s="82">
        <f>IFERROR(__xludf.DUMMYFUNCTION("""COMPUTED_VALUE"""),0.6136363636363636)</f>
        <v>0.6136363636</v>
      </c>
      <c r="Q2308" s="82">
        <f>IFERROR(__xludf.DUMMYFUNCTION("""COMPUTED_VALUE"""),0.4696969696969697)</f>
        <v>0.4696969697</v>
      </c>
      <c r="R2308" s="82">
        <f>IFERROR(__xludf.DUMMYFUNCTION("""COMPUTED_VALUE"""),1.2348484848484849)</f>
        <v>1.234848485</v>
      </c>
      <c r="S2308" s="82">
        <f>IFERROR(__xludf.DUMMYFUNCTION("""COMPUTED_VALUE"""),2.212121212121212)</f>
        <v>2.212121212</v>
      </c>
      <c r="T2308" s="82">
        <f>IFERROR(__xludf.DUMMYFUNCTION("""COMPUTED_VALUE"""),319.19423440276023)</f>
        <v>319.1942344</v>
      </c>
      <c r="U2308" s="82">
        <f>IFERROR(__xludf.DUMMYFUNCTION("""COMPUTED_VALUE"""),0.6823049595304428)</f>
        <v>0.6823049595</v>
      </c>
      <c r="V2308" s="82">
        <f>IFERROR(__xludf.DUMMYFUNCTION("""COMPUTED_VALUE"""),0.4979273934448322)</f>
        <v>0.4979273934</v>
      </c>
      <c r="W2308" s="82">
        <f>IFERROR(__xludf.DUMMYFUNCTION("""COMPUTED_VALUE"""),1.2153798128138495)</f>
        <v>1.215379813</v>
      </c>
      <c r="X2308" s="82">
        <f>IFERROR(__xludf.DUMMYFUNCTION("""COMPUTED_VALUE"""),2.3588195005396417)</f>
        <v>2.358819501</v>
      </c>
      <c r="Y2308" s="82">
        <f>IFERROR(__xludf.DUMMYFUNCTION("""COMPUTED_VALUE"""),341.14528393534437)</f>
        <v>341.1452839</v>
      </c>
      <c r="Z2308" s="82">
        <f>IFERROR(__xludf.DUMMYFUNCTION("""COMPUTED_VALUE"""),0.7895447664044561)</f>
        <v>0.7895447664</v>
      </c>
      <c r="AA2308" s="82">
        <f>IFERROR(__xludf.DUMMYFUNCTION("""COMPUTED_VALUE"""),0.5677691139360453)</f>
        <v>0.5677691139</v>
      </c>
      <c r="AB2308" s="82">
        <f>IFERROR(__xludf.DUMMYFUNCTION("""COMPUTED_VALUE"""),1.2497663252392444)</f>
        <v>1.249766325</v>
      </c>
      <c r="AC2308" s="82">
        <f>IFERROR(__xludf.DUMMYFUNCTION("""COMPUTED_VALUE"""),2.4754502133330765)</f>
        <v>2.475450213</v>
      </c>
      <c r="AD2308" s="82">
        <f>IFERROR(__xludf.DUMMYFUNCTION("""COMPUTED_VALUE"""),1.1228886924633052)</f>
        <v>1.122888692</v>
      </c>
      <c r="AE2308" s="82">
        <f>IFERROR(__xludf.DUMMYFUNCTION("""COMPUTED_VALUE"""),1.1514114813664835)</f>
        <v>1.151411481</v>
      </c>
      <c r="AF2308" s="82">
        <f>IFERROR(__xludf.DUMMYFUNCTION("""COMPUTED_VALUE"""),1.3609885669376411)</f>
        <v>1.360988567</v>
      </c>
      <c r="AG2308" s="82">
        <f>IFERROR(__xludf.DUMMYFUNCTION("""COMPUTED_VALUE"""),1.0729278456533855)</f>
        <v>1.072927846</v>
      </c>
      <c r="AH2308" s="82">
        <f>IFERROR(__xludf.DUMMYFUNCTION("""COMPUTED_VALUE"""),1.147633297412975)</f>
        <v>1.147633297</v>
      </c>
      <c r="AI2308" s="82">
        <f>IFERROR(__xludf.DUMMYFUNCTION("""COMPUTED_VALUE"""),0.9718125713560422)</f>
        <v>0.9718125714</v>
      </c>
      <c r="AJ2308" s="82">
        <f>IFERROR(__xludf.DUMMYFUNCTION("""COMPUTED_VALUE"""),0.8993579118326557)</f>
        <v>0.8993579118</v>
      </c>
      <c r="AK2308" s="82">
        <f>IFERROR(__xludf.DUMMYFUNCTION("""COMPUTED_VALUE"""),0.9433041360657931)</f>
        <v>0.9433041361</v>
      </c>
      <c r="AL2308" s="82">
        <f>IFERROR(__xludf.DUMMYFUNCTION("""COMPUTED_VALUE"""),1.0160185909206123)</f>
        <v>1.016018591</v>
      </c>
      <c r="AM2308" s="82">
        <f>IFERROR(__xludf.DUMMYFUNCTION("""COMPUTED_VALUE"""),0.9378085994350697)</f>
        <v>0.9378085994</v>
      </c>
      <c r="AN2308" s="82">
        <f>IFERROR(__xludf.DUMMYFUNCTION("""COMPUTED_VALUE"""),1.1775138792829727)</f>
        <v>1.177513879</v>
      </c>
      <c r="AO2308" s="82">
        <f>IFERROR(__xludf.DUMMYFUNCTION("""COMPUTED_VALUE"""),1.2438921036310233)</f>
        <v>1.243892104</v>
      </c>
      <c r="AP2308" s="82">
        <f>IFERROR(__xludf.DUMMYFUNCTION("""COMPUTED_VALUE"""),1.498836997194187)</f>
        <v>1.498836997</v>
      </c>
      <c r="AQ2308" s="82">
        <f>IFERROR(__xludf.DUMMYFUNCTION("""COMPUTED_VALUE"""),1.112128529751101)</f>
        <v>1.11212853</v>
      </c>
      <c r="AR2308" s="82">
        <f>IFERROR(__xludf.DUMMYFUNCTION("""COMPUTED_VALUE"""),1.193870998465989)</f>
        <v>1.193870998</v>
      </c>
      <c r="AS2308" s="82">
        <f>IFERROR(__xludf.DUMMYFUNCTION("""COMPUTED_VALUE"""),132.0)</f>
        <v>132</v>
      </c>
      <c r="AT2308" s="82">
        <f>IFERROR(__xludf.DUMMYFUNCTION("""COMPUTED_VALUE"""),0.6830676003092886)</f>
        <v>0.6830676003</v>
      </c>
      <c r="AU2308" s="82">
        <f>IFERROR(__xludf.DUMMYFUNCTION("""COMPUTED_VALUE"""),3.9889177788592645)</f>
        <v>3.988917779</v>
      </c>
      <c r="AV2308" s="82">
        <f>IFERROR(__xludf.DUMMYFUNCTION("""COMPUTED_VALUE"""),79.8976944011495)</f>
        <v>79.8976944</v>
      </c>
      <c r="AW2308" s="82">
        <f t="shared" si="1"/>
        <v>8.630639059</v>
      </c>
      <c r="AX2308" s="83">
        <f t="array" ref="AX2308">IFERROR(DGET('SBV Import'!A:G,"SBV",{"RSC ID","Tier";B2308,A2308}))</f>
        <v>78.52620332</v>
      </c>
      <c r="AY2308" s="82">
        <f t="shared" si="2"/>
        <v>7.878671811</v>
      </c>
      <c r="AZ2308" s="82">
        <v>0.7519672477717485</v>
      </c>
      <c r="BA2308" s="84">
        <v>2300.0</v>
      </c>
      <c r="BB2308" s="84" t="b">
        <f>IFERROR(__xludf.DUMMYFUNCTION("iferror(if(A2308="""",,E2308&gt;=FILTER(Constants!$F$2:$F$10,Constants!$A$2:$A$10=A2308)))"),TRUE)</f>
        <v>1</v>
      </c>
    </row>
    <row r="2309">
      <c r="A2309" s="89" t="str">
        <f>IFERROR(__xludf.DUMMYFUNCTION("""COMPUTED_VALUE"""),"Challenger")</f>
        <v>Challenger</v>
      </c>
      <c r="B2309" s="87" t="str">
        <f>IFERROR(__xludf.DUMMYFUNCTION("""COMPUTED_VALUE"""),"RSC004890")</f>
        <v>RSC004890</v>
      </c>
      <c r="C2309" s="73" t="str">
        <f>IFERROR(__xludf.DUMMYFUNCTION("""COMPUTED_VALUE"""),"kamikaze7200")</f>
        <v>kamikaze7200</v>
      </c>
      <c r="D2309" s="73" t="str">
        <f>IFERROR(__xludf.DUMMYFUNCTION("""COMPUTED_VALUE"""),"Lilac")</f>
        <v>Lilac</v>
      </c>
      <c r="E2309" s="82">
        <f>IFERROR(__xludf.DUMMYFUNCTION("""COMPUTED_VALUE"""),41.0)</f>
        <v>41</v>
      </c>
      <c r="F2309" s="82">
        <f>IFERROR(__xludf.DUMMYFUNCTION("""COMPUTED_VALUE"""),24.0)</f>
        <v>24</v>
      </c>
      <c r="G2309" s="86">
        <f>IFERROR(__xludf.DUMMYFUNCTION("""COMPUTED_VALUE"""),17.0)</f>
        <v>17</v>
      </c>
      <c r="H2309" s="86">
        <f>IFERROR(__xludf.DUMMYFUNCTION("""COMPUTED_VALUE"""),0.5853658536585366)</f>
        <v>0.5853658537</v>
      </c>
      <c r="I2309" s="86">
        <f>IFERROR(__xludf.DUMMYFUNCTION("""COMPUTED_VALUE"""),0.3333333333333333)</f>
        <v>0.3333333333</v>
      </c>
      <c r="J2309" s="82">
        <f>IFERROR(__xludf.DUMMYFUNCTION("""COMPUTED_VALUE"""),366.8292682926829)</f>
        <v>366.8292683</v>
      </c>
      <c r="K2309" s="82">
        <f>IFERROR(__xludf.DUMMYFUNCTION("""COMPUTED_VALUE"""),0.9512195121951219)</f>
        <v>0.9512195122</v>
      </c>
      <c r="L2309" s="82">
        <f>IFERROR(__xludf.DUMMYFUNCTION("""COMPUTED_VALUE"""),0.6829268292682927)</f>
        <v>0.6829268293</v>
      </c>
      <c r="M2309" s="82">
        <f>IFERROR(__xludf.DUMMYFUNCTION("""COMPUTED_VALUE"""),1.0731707317073171)</f>
        <v>1.073170732</v>
      </c>
      <c r="N2309" s="82">
        <f>IFERROR(__xludf.DUMMYFUNCTION("""COMPUTED_VALUE"""),2.8536585365853657)</f>
        <v>2.853658537</v>
      </c>
      <c r="O2309" s="82">
        <f>IFERROR(__xludf.DUMMYFUNCTION("""COMPUTED_VALUE"""),337.69918699186985)</f>
        <v>337.699187</v>
      </c>
      <c r="P2309" s="82">
        <f>IFERROR(__xludf.DUMMYFUNCTION("""COMPUTED_VALUE"""),0.6829268292682927)</f>
        <v>0.6829268293</v>
      </c>
      <c r="Q2309" s="82">
        <f>IFERROR(__xludf.DUMMYFUNCTION("""COMPUTED_VALUE"""),0.5121951219512195)</f>
        <v>0.512195122</v>
      </c>
      <c r="R2309" s="82">
        <f>IFERROR(__xludf.DUMMYFUNCTION("""COMPUTED_VALUE"""),1.3983739837398377)</f>
        <v>1.398373984</v>
      </c>
      <c r="S2309" s="82">
        <f>IFERROR(__xludf.DUMMYFUNCTION("""COMPUTED_VALUE"""),2.203252032520325)</f>
        <v>2.203252033</v>
      </c>
      <c r="T2309" s="82">
        <f>IFERROR(__xludf.DUMMYFUNCTION("""COMPUTED_VALUE"""),333.80624543994566)</f>
        <v>333.8062454</v>
      </c>
      <c r="U2309" s="82">
        <f>IFERROR(__xludf.DUMMYFUNCTION("""COMPUTED_VALUE"""),0.7818943444494689)</f>
        <v>0.7818943444</v>
      </c>
      <c r="V2309" s="82">
        <f>IFERROR(__xludf.DUMMYFUNCTION("""COMPUTED_VALUE"""),0.52371164277862)</f>
        <v>0.5237116428</v>
      </c>
      <c r="W2309" s="82">
        <f>IFERROR(__xludf.DUMMYFUNCTION("""COMPUTED_VALUE"""),1.2133917600432294)</f>
        <v>1.21339176</v>
      </c>
      <c r="X2309" s="82">
        <f>IFERROR(__xludf.DUMMYFUNCTION("""COMPUTED_VALUE"""),2.434006767238738)</f>
        <v>2.434006767</v>
      </c>
      <c r="Y2309" s="82">
        <f>IFERROR(__xludf.DUMMYFUNCTION("""COMPUTED_VALUE"""),329.1489632496145)</f>
        <v>329.1489632</v>
      </c>
      <c r="Z2309" s="82">
        <f>IFERROR(__xludf.DUMMYFUNCTION("""COMPUTED_VALUE"""),0.7512581292470836)</f>
        <v>0.7512581292</v>
      </c>
      <c r="AA2309" s="82">
        <f>IFERROR(__xludf.DUMMYFUNCTION("""COMPUTED_VALUE"""),0.5304074724983201)</f>
        <v>0.5304074725</v>
      </c>
      <c r="AB2309" s="82">
        <f>IFERROR(__xludf.DUMMYFUNCTION("""COMPUTED_VALUE"""),1.2168463024257614)</f>
        <v>1.216846302</v>
      </c>
      <c r="AC2309" s="82">
        <f>IFERROR(__xludf.DUMMYFUNCTION("""COMPUTED_VALUE"""),2.41868335601569)</f>
        <v>2.418683356</v>
      </c>
      <c r="AD2309" s="82">
        <f>IFERROR(__xludf.DUMMYFUNCTION("""COMPUTED_VALUE"""),1.114477969704231)</f>
        <v>1.11447797</v>
      </c>
      <c r="AE2309" s="82">
        <f>IFERROR(__xludf.DUMMYFUNCTION("""COMPUTED_VALUE"""),1.2661686777997878)</f>
        <v>1.266168678</v>
      </c>
      <c r="AF2309" s="82">
        <f>IFERROR(__xludf.DUMMYFUNCTION("""COMPUTED_VALUE"""),1.2875512972160392)</f>
        <v>1.287551297</v>
      </c>
      <c r="AG2309" s="82">
        <f>IFERROR(__xludf.DUMMYFUNCTION("""COMPUTED_VALUE"""),0.8819279226702422)</f>
        <v>0.8819279227</v>
      </c>
      <c r="AH2309" s="82">
        <f>IFERROR(__xludf.DUMMYFUNCTION("""COMPUTED_VALUE"""),1.179839655111454)</f>
        <v>1.179839655</v>
      </c>
      <c r="AI2309" s="82">
        <f>IFERROR(__xludf.DUMMYFUNCTION("""COMPUTED_VALUE"""),1.0116622789570442)</f>
        <v>1.011662279</v>
      </c>
      <c r="AJ2309" s="82">
        <f>IFERROR(__xludf.DUMMYFUNCTION("""COMPUTED_VALUE"""),0.8734259738752055)</f>
        <v>0.8734259739</v>
      </c>
      <c r="AK2309" s="82">
        <f>IFERROR(__xludf.DUMMYFUNCTION("""COMPUTED_VALUE"""),0.9780098056130696)</f>
        <v>0.9780098056</v>
      </c>
      <c r="AL2309" s="82">
        <f>IFERROR(__xludf.DUMMYFUNCTION("""COMPUTED_VALUE"""),1.1524505355879604)</f>
        <v>1.152450536</v>
      </c>
      <c r="AM2309" s="82">
        <f>IFERROR(__xludf.DUMMYFUNCTION("""COMPUTED_VALUE"""),0.9051955245875537)</f>
        <v>0.9051955246</v>
      </c>
      <c r="AN2309" s="82">
        <f>IFERROR(__xludf.DUMMYFUNCTION("""COMPUTED_VALUE"""),1.1275970577657348)</f>
        <v>1.127597058</v>
      </c>
      <c r="AO2309" s="82">
        <f>IFERROR(__xludf.DUMMYFUNCTION("""COMPUTED_VALUE"""),1.3015358840431925)</f>
        <v>1.301535884</v>
      </c>
      <c r="AP2309" s="82">
        <f>IFERROR(__xludf.DUMMYFUNCTION("""COMPUTED_VALUE"""),1.3246536445790809)</f>
        <v>1.324653645</v>
      </c>
      <c r="AQ2309" s="82">
        <f>IFERROR(__xludf.DUMMYFUNCTION("""COMPUTED_VALUE"""),0.8900706215783927)</f>
        <v>0.8900706216</v>
      </c>
      <c r="AR2309" s="82">
        <f>IFERROR(__xludf.DUMMYFUNCTION("""COMPUTED_VALUE"""),1.1992288585566655)</f>
        <v>1.199228859</v>
      </c>
      <c r="AS2309" s="82">
        <f>IFERROR(__xludf.DUMMYFUNCTION("""COMPUTED_VALUE"""),117.0)</f>
        <v>117</v>
      </c>
      <c r="AT2309" s="82">
        <f>IFERROR(__xludf.DUMMYFUNCTION("""COMPUTED_VALUE"""),0.6278329442162802)</f>
        <v>0.6278329442</v>
      </c>
      <c r="AU2309" s="82">
        <f>IFERROR(__xludf.DUMMYFUNCTION("""COMPUTED_VALUE"""),3.970516258813759)</f>
        <v>3.970516259</v>
      </c>
      <c r="AV2309" s="82">
        <f>IFERROR(__xludf.DUMMYFUNCTION("""COMPUTED_VALUE"""),79.41744673357401)</f>
        <v>79.41744673</v>
      </c>
      <c r="AW2309" s="82">
        <f t="shared" si="1"/>
        <v>8.357147073</v>
      </c>
      <c r="AX2309" s="83">
        <f t="array" ref="AX2309">IFERROR(DGET('SBV Import'!A:G,"SBV",{"RSC ID","Tier";B2309,A2309}))</f>
        <v>66.82429337</v>
      </c>
      <c r="AY2309" s="82">
        <f t="shared" si="2"/>
        <v>3.992292693</v>
      </c>
      <c r="AZ2309" s="82">
        <v>4.36485438019635</v>
      </c>
      <c r="BA2309" s="84">
        <v>2300.0</v>
      </c>
      <c r="BB2309" s="84" t="b">
        <f>IFERROR(__xludf.DUMMYFUNCTION("iferror(if(A2309="""",,E2309&gt;=FILTER(Constants!$F$2:$F$10,Constants!$A$2:$A$10=A2309)))"),TRUE)</f>
        <v>1</v>
      </c>
    </row>
    <row r="2310">
      <c r="A2310" s="89" t="str">
        <f>IFERROR(__xludf.DUMMYFUNCTION("""COMPUTED_VALUE"""),"Challenger")</f>
        <v>Challenger</v>
      </c>
      <c r="B2310" s="87" t="str">
        <f>IFERROR(__xludf.DUMMYFUNCTION("""COMPUTED_VALUE"""),"RSC006017")</f>
        <v>RSC006017</v>
      </c>
      <c r="C2310" s="73" t="str">
        <f>IFERROR(__xludf.DUMMYFUNCTION("""COMPUTED_VALUE"""),"Dondo RF")</f>
        <v>Dondo RF</v>
      </c>
      <c r="D2310" s="73" t="str">
        <f>IFERROR(__xludf.DUMMYFUNCTION("""COMPUTED_VALUE"""),"Ryujin")</f>
        <v>Ryujin</v>
      </c>
      <c r="E2310" s="82">
        <f>IFERROR(__xludf.DUMMYFUNCTION("""COMPUTED_VALUE"""),43.0)</f>
        <v>43</v>
      </c>
      <c r="F2310" s="82">
        <f>IFERROR(__xludf.DUMMYFUNCTION("""COMPUTED_VALUE"""),30.0)</f>
        <v>30</v>
      </c>
      <c r="G2310" s="86">
        <f>IFERROR(__xludf.DUMMYFUNCTION("""COMPUTED_VALUE"""),13.0)</f>
        <v>13</v>
      </c>
      <c r="H2310" s="86">
        <f>IFERROR(__xludf.DUMMYFUNCTION("""COMPUTED_VALUE"""),0.6976744186046512)</f>
        <v>0.6976744186</v>
      </c>
      <c r="I2310" s="86">
        <f>IFERROR(__xludf.DUMMYFUNCTION("""COMPUTED_VALUE"""),0.36134453781512604)</f>
        <v>0.3613445378</v>
      </c>
      <c r="J2310" s="82">
        <f>IFERROR(__xludf.DUMMYFUNCTION("""COMPUTED_VALUE"""),347.8837209302326)</f>
        <v>347.8837209</v>
      </c>
      <c r="K2310" s="82">
        <f>IFERROR(__xludf.DUMMYFUNCTION("""COMPUTED_VALUE"""),1.0)</f>
        <v>1</v>
      </c>
      <c r="L2310" s="82">
        <f>IFERROR(__xludf.DUMMYFUNCTION("""COMPUTED_VALUE"""),0.5348837209302325)</f>
        <v>0.5348837209</v>
      </c>
      <c r="M2310" s="82">
        <f>IFERROR(__xludf.DUMMYFUNCTION("""COMPUTED_VALUE"""),1.0465116279069768)</f>
        <v>1.046511628</v>
      </c>
      <c r="N2310" s="82">
        <f>IFERROR(__xludf.DUMMYFUNCTION("""COMPUTED_VALUE"""),2.7674418604651163)</f>
        <v>2.76744186</v>
      </c>
      <c r="O2310" s="82">
        <f>IFERROR(__xludf.DUMMYFUNCTION("""COMPUTED_VALUE"""),290.5116279069768)</f>
        <v>290.5116279</v>
      </c>
      <c r="P2310" s="82">
        <f>IFERROR(__xludf.DUMMYFUNCTION("""COMPUTED_VALUE"""),0.503875968992248)</f>
        <v>0.503875969</v>
      </c>
      <c r="Q2310" s="82">
        <f>IFERROR(__xludf.DUMMYFUNCTION("""COMPUTED_VALUE"""),0.3643410852713178)</f>
        <v>0.3643410853</v>
      </c>
      <c r="R2310" s="82">
        <f>IFERROR(__xludf.DUMMYFUNCTION("""COMPUTED_VALUE"""),1.232558139534884)</f>
        <v>1.23255814</v>
      </c>
      <c r="S2310" s="82">
        <f>IFERROR(__xludf.DUMMYFUNCTION("""COMPUTED_VALUE"""),1.914728682170543)</f>
        <v>1.914728682</v>
      </c>
      <c r="T2310" s="82">
        <f>IFERROR(__xludf.DUMMYFUNCTION("""COMPUTED_VALUE"""),334.84215868748265)</f>
        <v>334.8421587</v>
      </c>
      <c r="U2310" s="82">
        <f>IFERROR(__xludf.DUMMYFUNCTION("""COMPUTED_VALUE"""),0.7600066054097838)</f>
        <v>0.7600066054</v>
      </c>
      <c r="V2310" s="82">
        <f>IFERROR(__xludf.DUMMYFUNCTION("""COMPUTED_VALUE"""),0.5170282675005121)</f>
        <v>0.5170282675</v>
      </c>
      <c r="W2310" s="82">
        <f>IFERROR(__xludf.DUMMYFUNCTION("""COMPUTED_VALUE"""),1.2219432098967848)</f>
        <v>1.22194321</v>
      </c>
      <c r="X2310" s="82">
        <f>IFERROR(__xludf.DUMMYFUNCTION("""COMPUTED_VALUE"""),2.4535697601197595)</f>
        <v>2.45356976</v>
      </c>
      <c r="Y2310" s="82">
        <f>IFERROR(__xludf.DUMMYFUNCTION("""COMPUTED_VALUE"""),331.1628366824917)</f>
        <v>331.1628367</v>
      </c>
      <c r="Z2310" s="82">
        <f>IFERROR(__xludf.DUMMYFUNCTION("""COMPUTED_VALUE"""),0.7652158749289033)</f>
        <v>0.7652158749</v>
      </c>
      <c r="AA2310" s="82">
        <f>IFERROR(__xludf.DUMMYFUNCTION("""COMPUTED_VALUE"""),0.5259333074408734)</f>
        <v>0.5259333074</v>
      </c>
      <c r="AB2310" s="82">
        <f>IFERROR(__xludf.DUMMYFUNCTION("""COMPUTED_VALUE"""),1.2088117940343919)</f>
        <v>1.208811794</v>
      </c>
      <c r="AC2310" s="82">
        <f>IFERROR(__xludf.DUMMYFUNCTION("""COMPUTED_VALUE"""),2.4278274027836972)</f>
        <v>2.427827403</v>
      </c>
      <c r="AD2310" s="82">
        <f>IFERROR(__xludf.DUMMYFUNCTION("""COMPUTED_VALUE"""),1.050491427163889)</f>
        <v>1.050491427</v>
      </c>
      <c r="AE2310" s="82">
        <f>IFERROR(__xludf.DUMMYFUNCTION("""COMPUTED_VALUE"""),1.3068207714495084)</f>
        <v>1.306820771</v>
      </c>
      <c r="AF2310" s="82">
        <f>IFERROR(__xludf.DUMMYFUNCTION("""COMPUTED_VALUE"""),1.017018152991509)</f>
        <v>1.017018153</v>
      </c>
      <c r="AG2310" s="82">
        <f>IFERROR(__xludf.DUMMYFUNCTION("""COMPUTED_VALUE"""),0.8657357853982045)</f>
        <v>0.8657357854</v>
      </c>
      <c r="AH2310" s="82">
        <f>IFERROR(__xludf.DUMMYFUNCTION("""COMPUTED_VALUE"""),1.139884102672218)</f>
        <v>1.139884103</v>
      </c>
      <c r="AI2310" s="82">
        <f>IFERROR(__xludf.DUMMYFUNCTION("""COMPUTED_VALUE"""),0.8676076783333584)</f>
        <v>0.8676076783</v>
      </c>
      <c r="AJ2310" s="82">
        <f>IFERROR(__xludf.DUMMYFUNCTION("""COMPUTED_VALUE"""),0.6629889337877081)</f>
        <v>0.6629889338</v>
      </c>
      <c r="AK2310" s="82">
        <f>IFERROR(__xludf.DUMMYFUNCTION("""COMPUTED_VALUE"""),0.7046831056891042)</f>
        <v>0.7046831057</v>
      </c>
      <c r="AL2310" s="82">
        <f>IFERROR(__xludf.DUMMYFUNCTION("""COMPUTED_VALUE"""),1.008686925506952)</f>
        <v>1.008686926</v>
      </c>
      <c r="AM2310" s="82">
        <f>IFERROR(__xludf.DUMMYFUNCTION("""COMPUTED_VALUE"""),0.7803848552800408)</f>
        <v>0.7803848553</v>
      </c>
      <c r="AN2310" s="82">
        <f>IFERROR(__xludf.DUMMYFUNCTION("""COMPUTED_VALUE"""),1.0693603102916607)</f>
        <v>1.06936031</v>
      </c>
      <c r="AO2310" s="82">
        <f>IFERROR(__xludf.DUMMYFUNCTION("""COMPUTED_VALUE"""),1.3682813139941257)</f>
        <v>1.368281314</v>
      </c>
      <c r="AP2310" s="82">
        <f>IFERROR(__xludf.DUMMYFUNCTION("""COMPUTED_VALUE"""),1.0374986601645124)</f>
        <v>1.03749866</v>
      </c>
      <c r="AQ2310" s="82">
        <f>IFERROR(__xludf.DUMMYFUNCTION("""COMPUTED_VALUE"""),0.8679599877442572)</f>
        <v>0.8679599877</v>
      </c>
      <c r="AR2310" s="82">
        <f>IFERROR(__xludf.DUMMYFUNCTION("""COMPUTED_VALUE"""),1.162996939156822)</f>
        <v>1.162996939</v>
      </c>
      <c r="AS2310" s="82">
        <f>IFERROR(__xludf.DUMMYFUNCTION("""COMPUTED_VALUE"""),112.0)</f>
        <v>112</v>
      </c>
      <c r="AT2310" s="82">
        <f>IFERROR(__xludf.DUMMYFUNCTION("""COMPUTED_VALUE"""),0.6935307210775329)</f>
        <v>0.6935307211</v>
      </c>
      <c r="AU2310" s="82">
        <f>IFERROR(__xludf.DUMMYFUNCTION("""COMPUTED_VALUE"""),3.9691895440996805)</f>
        <v>3.969189544</v>
      </c>
      <c r="AV2310" s="82">
        <f>IFERROR(__xludf.DUMMYFUNCTION("""COMPUTED_VALUE"""),79.38282178708054)</f>
        <v>79.38282179</v>
      </c>
      <c r="AW2310" s="82">
        <f t="shared" si="1"/>
        <v>8.337864726</v>
      </c>
      <c r="AX2310" s="83">
        <f t="array" ref="AX2310">IFERROR(DGET('SBV Import'!A:G,"SBV",{"RSC ID","Tier";B2310,A2310}))</f>
        <v>74.67739411</v>
      </c>
      <c r="AY2310" s="82">
        <f t="shared" si="2"/>
        <v>6.180551956</v>
      </c>
      <c r="AZ2310" s="82">
        <v>2.1573127695630436</v>
      </c>
      <c r="BA2310" s="84">
        <v>2300.0</v>
      </c>
      <c r="BB2310" s="84" t="b">
        <f>IFERROR(__xludf.DUMMYFUNCTION("iferror(if(A2310="""",,E2310&gt;=FILTER(Constants!$F$2:$F$10,Constants!$A$2:$A$10=A2310)))"),TRUE)</f>
        <v>1</v>
      </c>
    </row>
    <row r="2311">
      <c r="A2311" s="89" t="str">
        <f>IFERROR(__xludf.DUMMYFUNCTION("""COMPUTED_VALUE"""),"Challenger")</f>
        <v>Challenger</v>
      </c>
      <c r="B2311" s="87" t="str">
        <f>IFERROR(__xludf.DUMMYFUNCTION("""COMPUTED_VALUE"""),"RSC006067")</f>
        <v>RSC006067</v>
      </c>
      <c r="C2311" s="73" t="str">
        <f>IFERROR(__xludf.DUMMYFUNCTION("""COMPUTED_VALUE"""),"ShinxX403")</f>
        <v>ShinxX403</v>
      </c>
      <c r="D2311" s="73" t="str">
        <f>IFERROR(__xludf.DUMMYFUNCTION("""COMPUTED_VALUE"""),"Panda Bears")</f>
        <v>Panda Bears</v>
      </c>
      <c r="E2311" s="82">
        <f>IFERROR(__xludf.DUMMYFUNCTION("""COMPUTED_VALUE"""),32.0)</f>
        <v>32</v>
      </c>
      <c r="F2311" s="82">
        <f>IFERROR(__xludf.DUMMYFUNCTION("""COMPUTED_VALUE"""),19.0)</f>
        <v>19</v>
      </c>
      <c r="G2311" s="86">
        <f>IFERROR(__xludf.DUMMYFUNCTION("""COMPUTED_VALUE"""),13.0)</f>
        <v>13</v>
      </c>
      <c r="H2311" s="86">
        <f>IFERROR(__xludf.DUMMYFUNCTION("""COMPUTED_VALUE"""),0.59375)</f>
        <v>0.59375</v>
      </c>
      <c r="I2311" s="86">
        <f>IFERROR(__xludf.DUMMYFUNCTION("""COMPUTED_VALUE"""),0.31)</f>
        <v>0.31</v>
      </c>
      <c r="J2311" s="82">
        <f>IFERROR(__xludf.DUMMYFUNCTION("""COMPUTED_VALUE"""),368.9375)</f>
        <v>368.9375</v>
      </c>
      <c r="K2311" s="82">
        <f>IFERROR(__xludf.DUMMYFUNCTION("""COMPUTED_VALUE"""),0.96875)</f>
        <v>0.96875</v>
      </c>
      <c r="L2311" s="82">
        <f>IFERROR(__xludf.DUMMYFUNCTION("""COMPUTED_VALUE"""),0.59375)</f>
        <v>0.59375</v>
      </c>
      <c r="M2311" s="82">
        <f>IFERROR(__xludf.DUMMYFUNCTION("""COMPUTED_VALUE"""),1.34375)</f>
        <v>1.34375</v>
      </c>
      <c r="N2311" s="82">
        <f>IFERROR(__xludf.DUMMYFUNCTION("""COMPUTED_VALUE"""),3.125)</f>
        <v>3.125</v>
      </c>
      <c r="O2311" s="82">
        <f>IFERROR(__xludf.DUMMYFUNCTION("""COMPUTED_VALUE"""),351.3229166666667)</f>
        <v>351.3229167</v>
      </c>
      <c r="P2311" s="82">
        <f>IFERROR(__xludf.DUMMYFUNCTION("""COMPUTED_VALUE"""),0.65625)</f>
        <v>0.65625</v>
      </c>
      <c r="Q2311" s="82">
        <f>IFERROR(__xludf.DUMMYFUNCTION("""COMPUTED_VALUE"""),0.4583333333333333)</f>
        <v>0.4583333333</v>
      </c>
      <c r="R2311" s="82">
        <f>IFERROR(__xludf.DUMMYFUNCTION("""COMPUTED_VALUE"""),1.5520833333333328)</f>
        <v>1.552083333</v>
      </c>
      <c r="S2311" s="82">
        <f>IFERROR(__xludf.DUMMYFUNCTION("""COMPUTED_VALUE"""),2.6666666666666665)</f>
        <v>2.666666667</v>
      </c>
      <c r="T2311" s="82">
        <f>IFERROR(__xludf.DUMMYFUNCTION("""COMPUTED_VALUE"""),338.3990514549338)</f>
        <v>338.3990515</v>
      </c>
      <c r="U2311" s="82">
        <f>IFERROR(__xludf.DUMMYFUNCTION("""COMPUTED_VALUE"""),0.7593677832877703)</f>
        <v>0.7593677833</v>
      </c>
      <c r="V2311" s="82">
        <f>IFERROR(__xludf.DUMMYFUNCTION("""COMPUTED_VALUE"""),0.5449948594267433)</f>
        <v>0.5449948594</v>
      </c>
      <c r="W2311" s="82">
        <f>IFERROR(__xludf.DUMMYFUNCTION("""COMPUTED_VALUE"""),1.287883386320552)</f>
        <v>1.287883386</v>
      </c>
      <c r="X2311" s="82">
        <f>IFERROR(__xludf.DUMMYFUNCTION("""COMPUTED_VALUE"""),2.423461268349626)</f>
        <v>2.423461268</v>
      </c>
      <c r="Y2311" s="82">
        <f>IFERROR(__xludf.DUMMYFUNCTION("""COMPUTED_VALUE"""),331.34114699476544)</f>
        <v>331.341147</v>
      </c>
      <c r="Z2311" s="82">
        <f>IFERROR(__xludf.DUMMYFUNCTION("""COMPUTED_VALUE"""),0.7606862532655859)</f>
        <v>0.7606862533</v>
      </c>
      <c r="AA2311" s="82">
        <f>IFERROR(__xludf.DUMMYFUNCTION("""COMPUTED_VALUE"""),0.5273161520274764)</f>
        <v>0.527316152</v>
      </c>
      <c r="AB2311" s="82">
        <f>IFERROR(__xludf.DUMMYFUNCTION("""COMPUTED_VALUE"""),1.2036602140256623)</f>
        <v>1.203660214</v>
      </c>
      <c r="AC2311" s="82">
        <f>IFERROR(__xludf.DUMMYFUNCTION("""COMPUTED_VALUE"""),2.4875881588012905)</f>
        <v>2.487588159</v>
      </c>
      <c r="AD2311" s="82">
        <f>IFERROR(__xludf.DUMMYFUNCTION("""COMPUTED_VALUE"""),1.1134672024474779)</f>
        <v>1.113467202</v>
      </c>
      <c r="AE2311" s="82">
        <f>IFERROR(__xludf.DUMMYFUNCTION("""COMPUTED_VALUE"""),1.2735211078696471)</f>
        <v>1.273521108</v>
      </c>
      <c r="AF2311" s="82">
        <f>IFERROR(__xludf.DUMMYFUNCTION("""COMPUTED_VALUE"""),1.1259848531418815)</f>
        <v>1.125984853</v>
      </c>
      <c r="AG2311" s="82">
        <f>IFERROR(__xludf.DUMMYFUNCTION("""COMPUTED_VALUE"""),1.1163864887631412)</f>
        <v>1.116386489</v>
      </c>
      <c r="AH2311" s="82">
        <f>IFERROR(__xludf.DUMMYFUNCTION("""COMPUTED_VALUE"""),1.2562368850902808)</f>
        <v>1.256236885</v>
      </c>
      <c r="AI2311" s="82">
        <f>IFERROR(__xludf.DUMMYFUNCTION("""COMPUTED_VALUE"""),1.038191198102262)</f>
        <v>1.038191198</v>
      </c>
      <c r="AJ2311" s="82">
        <f>IFERROR(__xludf.DUMMYFUNCTION("""COMPUTED_VALUE"""),0.8642057438342854)</f>
        <v>0.8642057438</v>
      </c>
      <c r="AK2311" s="82">
        <f>IFERROR(__xludf.DUMMYFUNCTION("""COMPUTED_VALUE"""),0.8409865256627089)</f>
        <v>0.8409865257</v>
      </c>
      <c r="AL2311" s="82">
        <f>IFERROR(__xludf.DUMMYFUNCTION("""COMPUTED_VALUE"""),1.2051427557952998)</f>
        <v>1.205142756</v>
      </c>
      <c r="AM2311" s="82">
        <f>IFERROR(__xludf.DUMMYFUNCTION("""COMPUTED_VALUE"""),1.1003545637362973)</f>
        <v>1.100354564</v>
      </c>
      <c r="AN2311" s="82">
        <f>IFERROR(__xludf.DUMMYFUNCTION("""COMPUTED_VALUE"""),1.1340775544865211)</f>
        <v>1.134077554</v>
      </c>
      <c r="AO2311" s="82">
        <f>IFERROR(__xludf.DUMMYFUNCTION("""COMPUTED_VALUE"""),1.325522522931809)</f>
        <v>1.325522523</v>
      </c>
      <c r="AP2311" s="82">
        <f>IFERROR(__xludf.DUMMYFUNCTION("""COMPUTED_VALUE"""),1.151679898579357)</f>
        <v>1.151679899</v>
      </c>
      <c r="AQ2311" s="82">
        <f>IFERROR(__xludf.DUMMYFUNCTION("""COMPUTED_VALUE"""),1.1144847342632858)</f>
        <v>1.114484734</v>
      </c>
      <c r="AR2311" s="82">
        <f>IFERROR(__xludf.DUMMYFUNCTION("""COMPUTED_VALUE"""),1.3132580983125879)</f>
        <v>1.313258098</v>
      </c>
      <c r="AS2311" s="82">
        <f>IFERROR(__xludf.DUMMYFUNCTION("""COMPUTED_VALUE"""),82.0)</f>
        <v>82</v>
      </c>
      <c r="AT2311" s="82">
        <f>IFERROR(__xludf.DUMMYFUNCTION("""COMPUTED_VALUE"""),0.6002919116890097)</f>
        <v>0.6002919117</v>
      </c>
      <c r="AU2311" s="82">
        <f>IFERROR(__xludf.DUMMYFUNCTION("""COMPUTED_VALUE"""),3.9519417230575273)</f>
        <v>3.951941723</v>
      </c>
      <c r="AV2311" s="82">
        <f>IFERROR(__xludf.DUMMYFUNCTION("""COMPUTED_VALUE"""),78.9326836568734)</f>
        <v>78.93268366</v>
      </c>
      <c r="AW2311" s="82">
        <f t="shared" si="1"/>
        <v>8.092356013</v>
      </c>
      <c r="AX2311" s="83">
        <f t="array" ref="AX2311">IFERROR(DGET('SBV Import'!A:G,"SBV",{"RSC ID","Tier";B2311,A2311}))</f>
        <v>51.71874485</v>
      </c>
      <c r="AY2311" s="82">
        <f t="shared" si="2"/>
        <v>2.115979409</v>
      </c>
      <c r="AZ2311" s="82">
        <v>5.976376604638199</v>
      </c>
      <c r="BA2311" s="84">
        <v>2300.0</v>
      </c>
      <c r="BB2311" s="84" t="b">
        <f>IFERROR(__xludf.DUMMYFUNCTION("iferror(if(A2311="""",,E2311&gt;=FILTER(Constants!$F$2:$F$10,Constants!$A$2:$A$10=A2311)))"),TRUE)</f>
        <v>1</v>
      </c>
    </row>
    <row r="2312">
      <c r="A2312" s="89" t="str">
        <f>IFERROR(__xludf.DUMMYFUNCTION("""COMPUTED_VALUE"""),"Challenger")</f>
        <v>Challenger</v>
      </c>
      <c r="B2312" s="87" t="str">
        <f>IFERROR(__xludf.DUMMYFUNCTION("""COMPUTED_VALUE"""),"RSC003109")</f>
        <v>RSC003109</v>
      </c>
      <c r="C2312" s="73" t="str">
        <f>IFERROR(__xludf.DUMMYFUNCTION("""COMPUTED_VALUE"""),"Kflip11")</f>
        <v>Kflip11</v>
      </c>
      <c r="D2312" s="73" t="str">
        <f>IFERROR(__xludf.DUMMYFUNCTION("""COMPUTED_VALUE"""),"Cassowaries")</f>
        <v>Cassowaries</v>
      </c>
      <c r="E2312" s="82">
        <f>IFERROR(__xludf.DUMMYFUNCTION("""COMPUTED_VALUE"""),47.0)</f>
        <v>47</v>
      </c>
      <c r="F2312" s="82">
        <f>IFERROR(__xludf.DUMMYFUNCTION("""COMPUTED_VALUE"""),34.0)</f>
        <v>34</v>
      </c>
      <c r="G2312" s="86">
        <f>IFERROR(__xludf.DUMMYFUNCTION("""COMPUTED_VALUE"""),13.0)</f>
        <v>13</v>
      </c>
      <c r="H2312" s="86">
        <f>IFERROR(__xludf.DUMMYFUNCTION("""COMPUTED_VALUE"""),0.723404255319149)</f>
        <v>0.7234042553</v>
      </c>
      <c r="I2312" s="86">
        <f>IFERROR(__xludf.DUMMYFUNCTION("""COMPUTED_VALUE"""),0.39568345323741005)</f>
        <v>0.3956834532</v>
      </c>
      <c r="J2312" s="82">
        <f>IFERROR(__xludf.DUMMYFUNCTION("""COMPUTED_VALUE"""),344.5744680851064)</f>
        <v>344.5744681</v>
      </c>
      <c r="K2312" s="82">
        <f>IFERROR(__xludf.DUMMYFUNCTION("""COMPUTED_VALUE"""),1.1702127659574468)</f>
        <v>1.170212766</v>
      </c>
      <c r="L2312" s="82">
        <f>IFERROR(__xludf.DUMMYFUNCTION("""COMPUTED_VALUE"""),0.5319148936170213)</f>
        <v>0.5319148936</v>
      </c>
      <c r="M2312" s="82">
        <f>IFERROR(__xludf.DUMMYFUNCTION("""COMPUTED_VALUE"""),0.9148936170212766)</f>
        <v>0.914893617</v>
      </c>
      <c r="N2312" s="82">
        <f>IFERROR(__xludf.DUMMYFUNCTION("""COMPUTED_VALUE"""),2.9574468085106385)</f>
        <v>2.957446809</v>
      </c>
      <c r="O2312" s="82">
        <f>IFERROR(__xludf.DUMMYFUNCTION("""COMPUTED_VALUE"""),316.9219858156028)</f>
        <v>316.9219858</v>
      </c>
      <c r="P2312" s="82">
        <f>IFERROR(__xludf.DUMMYFUNCTION("""COMPUTED_VALUE"""),0.6808510638297872)</f>
        <v>0.6808510638</v>
      </c>
      <c r="Q2312" s="82">
        <f>IFERROR(__xludf.DUMMYFUNCTION("""COMPUTED_VALUE"""),0.44680851063829785)</f>
        <v>0.4468085106</v>
      </c>
      <c r="R2312" s="82">
        <f>IFERROR(__xludf.DUMMYFUNCTION("""COMPUTED_VALUE"""),1.2624113475177303)</f>
        <v>1.262411348</v>
      </c>
      <c r="S2312" s="82">
        <f>IFERROR(__xludf.DUMMYFUNCTION("""COMPUTED_VALUE"""),2.4184397163120557)</f>
        <v>2.418439716</v>
      </c>
      <c r="T2312" s="82">
        <f>IFERROR(__xludf.DUMMYFUNCTION("""COMPUTED_VALUE"""),321.3446565829674)</f>
        <v>321.3446566</v>
      </c>
      <c r="U2312" s="82">
        <f>IFERROR(__xludf.DUMMYFUNCTION("""COMPUTED_VALUE"""),0.7081616607586655)</f>
        <v>0.7081616608</v>
      </c>
      <c r="V2312" s="82">
        <f>IFERROR(__xludf.DUMMYFUNCTION("""COMPUTED_VALUE"""),0.48794707061208653)</f>
        <v>0.4879470706</v>
      </c>
      <c r="W2312" s="82">
        <f>IFERROR(__xludf.DUMMYFUNCTION("""COMPUTED_VALUE"""),1.174478622078192)</f>
        <v>1.174478622</v>
      </c>
      <c r="X2312" s="82">
        <f>IFERROR(__xludf.DUMMYFUNCTION("""COMPUTED_VALUE"""),2.3801041039466004)</f>
        <v>2.380104104</v>
      </c>
      <c r="Y2312" s="82">
        <f>IFERROR(__xludf.DUMMYFUNCTION("""COMPUTED_VALUE"""),339.1402232514267)</f>
        <v>339.1402233</v>
      </c>
      <c r="Z2312" s="82">
        <f>IFERROR(__xludf.DUMMYFUNCTION("""COMPUTED_VALUE"""),0.8020930583805884)</f>
        <v>0.8020930584</v>
      </c>
      <c r="AA2312" s="82">
        <f>IFERROR(__xludf.DUMMYFUNCTION("""COMPUTED_VALUE"""),0.554072481280503)</f>
        <v>0.5540724813</v>
      </c>
      <c r="AB2312" s="82">
        <f>IFERROR(__xludf.DUMMYFUNCTION("""COMPUTED_VALUE"""),1.21770032938681)</f>
        <v>1.217700329</v>
      </c>
      <c r="AC2312" s="82">
        <f>IFERROR(__xludf.DUMMYFUNCTION("""COMPUTED_VALUE"""),2.457721271167492)</f>
        <v>2.457721271</v>
      </c>
      <c r="AD2312" s="82">
        <f>IFERROR(__xludf.DUMMYFUNCTION("""COMPUTED_VALUE"""),1.0160235927828913)</f>
        <v>1.016023593</v>
      </c>
      <c r="AE2312" s="82">
        <f>IFERROR(__xludf.DUMMYFUNCTION("""COMPUTED_VALUE"""),1.458948875982153)</f>
        <v>1.458948876</v>
      </c>
      <c r="AF2312" s="82">
        <f>IFERROR(__xludf.DUMMYFUNCTION("""COMPUTED_VALUE"""),0.9600095864492785)</f>
        <v>0.9600095864</v>
      </c>
      <c r="AG2312" s="82">
        <f>IFERROR(__xludf.DUMMYFUNCTION("""COMPUTED_VALUE"""),0.7513290379760216)</f>
        <v>0.751329038</v>
      </c>
      <c r="AH2312" s="82">
        <f>IFERROR(__xludf.DUMMYFUNCTION("""COMPUTED_VALUE"""),1.2033288083582243)</f>
        <v>1.203328808</v>
      </c>
      <c r="AI2312" s="82">
        <f>IFERROR(__xludf.DUMMYFUNCTION("""COMPUTED_VALUE"""),0.986236986746899)</f>
        <v>0.9862369867</v>
      </c>
      <c r="AJ2312" s="82">
        <f>IFERROR(__xludf.DUMMYFUNCTION("""COMPUTED_VALUE"""),0.9614345163791839)</f>
        <v>0.9614345164</v>
      </c>
      <c r="AK2312" s="82">
        <f>IFERROR(__xludf.DUMMYFUNCTION("""COMPUTED_VALUE"""),0.9156905278226509)</f>
        <v>0.9156905278</v>
      </c>
      <c r="AL2312" s="82">
        <f>IFERROR(__xludf.DUMMYFUNCTION("""COMPUTED_VALUE"""),1.0748695836489088)</f>
        <v>1.074869584</v>
      </c>
      <c r="AM2312" s="82">
        <f>IFERROR(__xludf.DUMMYFUNCTION("""COMPUTED_VALUE"""),1.0161066956280982)</f>
        <v>1.016106696</v>
      </c>
      <c r="AN2312" s="82">
        <f>IFERROR(__xludf.DUMMYFUNCTION("""COMPUTED_VALUE"""),1.059187992829277)</f>
        <v>1.059187993</v>
      </c>
      <c r="AO2312" s="82">
        <f>IFERROR(__xludf.DUMMYFUNCTION("""COMPUTED_VALUE"""),1.6011802610569554)</f>
        <v>1.601180261</v>
      </c>
      <c r="AP2312" s="82">
        <f>IFERROR(__xludf.DUMMYFUNCTION("""COMPUTED_VALUE"""),1.0317401107093904)</f>
        <v>1.031740111</v>
      </c>
      <c r="AQ2312" s="82">
        <f>IFERROR(__xludf.DUMMYFUNCTION("""COMPUTED_VALUE"""),0.7587981169452157)</f>
        <v>0.7587981169</v>
      </c>
      <c r="AR2312" s="82">
        <f>IFERROR(__xludf.DUMMYFUNCTION("""COMPUTED_VALUE"""),1.2428451109137002)</f>
        <v>1.242845111</v>
      </c>
      <c r="AS2312" s="82">
        <f>IFERROR(__xludf.DUMMYFUNCTION("""COMPUTED_VALUE"""),148.0)</f>
        <v>148</v>
      </c>
      <c r="AT2312" s="82">
        <f>IFERROR(__xludf.DUMMYFUNCTION("""COMPUTED_VALUE"""),0.666955893165868)</f>
        <v>0.6669558932</v>
      </c>
      <c r="AU2312" s="82">
        <f>IFERROR(__xludf.DUMMYFUNCTION("""COMPUTED_VALUE"""),3.9358841492683867)</f>
        <v>3.935884149</v>
      </c>
      <c r="AV2312" s="82">
        <f>IFERROR(__xludf.DUMMYFUNCTION("""COMPUTED_VALUE"""),78.51360890978265)</f>
        <v>78.51360891</v>
      </c>
      <c r="AW2312" s="82">
        <f t="shared" si="1"/>
        <v>7.872169069</v>
      </c>
      <c r="AX2312" s="83">
        <f t="array" ref="AX2312">IFERROR(DGET('SBV Import'!A:G,"SBV",{"RSC ID","Tier";B2312,A2312}))</f>
        <v>50.19925806</v>
      </c>
      <c r="AY2312" s="82">
        <f t="shared" si="2"/>
        <v>2.01280006</v>
      </c>
      <c r="AZ2312" s="82">
        <v>5.859369009569356</v>
      </c>
      <c r="BA2312" s="84">
        <v>2300.0</v>
      </c>
      <c r="BB2312" s="84" t="b">
        <f>IFERROR(__xludf.DUMMYFUNCTION("iferror(if(A2312="""",,E2312&gt;=FILTER(Constants!$F$2:$F$10,Constants!$A$2:$A$10=A2312)))"),TRUE)</f>
        <v>1</v>
      </c>
    </row>
    <row r="2313">
      <c r="A2313" s="89" t="str">
        <f>IFERROR(__xludf.DUMMYFUNCTION("""COMPUTED_VALUE"""),"Challenger")</f>
        <v>Challenger</v>
      </c>
      <c r="B2313" s="87" t="str">
        <f>IFERROR(__xludf.DUMMYFUNCTION("""COMPUTED_VALUE"""),"RSC006322")</f>
        <v>RSC006322</v>
      </c>
      <c r="C2313" s="73" t="str">
        <f>IFERROR(__xludf.DUMMYFUNCTION("""COMPUTED_VALUE"""),"Lorak")</f>
        <v>Lorak</v>
      </c>
      <c r="D2313" s="73" t="str">
        <f>IFERROR(__xludf.DUMMYFUNCTION("""COMPUTED_VALUE"""),"Deceased")</f>
        <v>Deceased</v>
      </c>
      <c r="E2313" s="82">
        <f>IFERROR(__xludf.DUMMYFUNCTION("""COMPUTED_VALUE"""),37.0)</f>
        <v>37</v>
      </c>
      <c r="F2313" s="82">
        <f>IFERROR(__xludf.DUMMYFUNCTION("""COMPUTED_VALUE"""),24.0)</f>
        <v>24</v>
      </c>
      <c r="G2313" s="86">
        <f>IFERROR(__xludf.DUMMYFUNCTION("""COMPUTED_VALUE"""),13.0)</f>
        <v>13</v>
      </c>
      <c r="H2313" s="86">
        <f>IFERROR(__xludf.DUMMYFUNCTION("""COMPUTED_VALUE"""),0.6486486486486487)</f>
        <v>0.6486486486</v>
      </c>
      <c r="I2313" s="86">
        <f>IFERROR(__xludf.DUMMYFUNCTION("""COMPUTED_VALUE"""),0.3238095238095238)</f>
        <v>0.3238095238</v>
      </c>
      <c r="J2313" s="82">
        <f>IFERROR(__xludf.DUMMYFUNCTION("""COMPUTED_VALUE"""),367.94594594594594)</f>
        <v>367.9459459</v>
      </c>
      <c r="K2313" s="82">
        <f>IFERROR(__xludf.DUMMYFUNCTION("""COMPUTED_VALUE"""),0.918918918918919)</f>
        <v>0.9189189189</v>
      </c>
      <c r="L2313" s="82">
        <f>IFERROR(__xludf.DUMMYFUNCTION("""COMPUTED_VALUE"""),0.6756756756756757)</f>
        <v>0.6756756757</v>
      </c>
      <c r="M2313" s="82">
        <f>IFERROR(__xludf.DUMMYFUNCTION("""COMPUTED_VALUE"""),1.4324324324324325)</f>
        <v>1.432432432</v>
      </c>
      <c r="N2313" s="82">
        <f>IFERROR(__xludf.DUMMYFUNCTION("""COMPUTED_VALUE"""),2.8378378378378377)</f>
        <v>2.837837838</v>
      </c>
      <c r="O2313" s="82">
        <f>IFERROR(__xludf.DUMMYFUNCTION("""COMPUTED_VALUE"""),313.36936936936945)</f>
        <v>313.3693694</v>
      </c>
      <c r="P2313" s="82">
        <f>IFERROR(__xludf.DUMMYFUNCTION("""COMPUTED_VALUE"""),0.4954954954954954)</f>
        <v>0.4954954955</v>
      </c>
      <c r="Q2313" s="82">
        <f>IFERROR(__xludf.DUMMYFUNCTION("""COMPUTED_VALUE"""),0.3783783783783784)</f>
        <v>0.3783783784</v>
      </c>
      <c r="R2313" s="82">
        <f>IFERROR(__xludf.DUMMYFUNCTION("""COMPUTED_VALUE"""),1.4864864864864868)</f>
        <v>1.486486486</v>
      </c>
      <c r="S2313" s="82">
        <f>IFERROR(__xludf.DUMMYFUNCTION("""COMPUTED_VALUE"""),2.144144144144145)</f>
        <v>2.144144144</v>
      </c>
      <c r="T2313" s="82">
        <f>IFERROR(__xludf.DUMMYFUNCTION("""COMPUTED_VALUE"""),329.19667723824625)</f>
        <v>329.1966772</v>
      </c>
      <c r="U2313" s="82">
        <f>IFERROR(__xludf.DUMMYFUNCTION("""COMPUTED_VALUE"""),0.7431072787336026)</f>
        <v>0.7431072787</v>
      </c>
      <c r="V2313" s="82">
        <f>IFERROR(__xludf.DUMMYFUNCTION("""COMPUTED_VALUE"""),0.4985735174491364)</f>
        <v>0.4985735174</v>
      </c>
      <c r="W2313" s="82">
        <f>IFERROR(__xludf.DUMMYFUNCTION("""COMPUTED_VALUE"""),1.2532759658631427)</f>
        <v>1.253275966</v>
      </c>
      <c r="X2313" s="82">
        <f>IFERROR(__xludf.DUMMYFUNCTION("""COMPUTED_VALUE"""),2.326080110511184)</f>
        <v>2.326080111</v>
      </c>
      <c r="Y2313" s="82">
        <f>IFERROR(__xludf.DUMMYFUNCTION("""COMPUTED_VALUE"""),342.8303772004042)</f>
        <v>342.8303772</v>
      </c>
      <c r="Z2313" s="82">
        <f>IFERROR(__xludf.DUMMYFUNCTION("""COMPUTED_VALUE"""),0.8323346597168242)</f>
        <v>0.8323346597</v>
      </c>
      <c r="AA2313" s="82">
        <f>IFERROR(__xludf.DUMMYFUNCTION("""COMPUTED_VALUE"""),0.5808918209134352)</f>
        <v>0.5808918209</v>
      </c>
      <c r="AB2313" s="82">
        <f>IFERROR(__xludf.DUMMYFUNCTION("""COMPUTED_VALUE"""),1.1665813554163316)</f>
        <v>1.166581355</v>
      </c>
      <c r="AC2313" s="82">
        <f>IFERROR(__xludf.DUMMYFUNCTION("""COMPUTED_VALUE"""),2.5874289903878607)</f>
        <v>2.58742899</v>
      </c>
      <c r="AD2313" s="82">
        <f>IFERROR(__xludf.DUMMYFUNCTION("""COMPUTED_VALUE"""),1.0732594612841446)</f>
        <v>1.073259461</v>
      </c>
      <c r="AE2313" s="82">
        <f>IFERROR(__xludf.DUMMYFUNCTION("""COMPUTED_VALUE"""),1.1040257764005075)</f>
        <v>1.104025776</v>
      </c>
      <c r="AF2313" s="82">
        <f>IFERROR(__xludf.DUMMYFUNCTION("""COMPUTED_VALUE"""),1.1631695461182354)</f>
        <v>1.163169546</v>
      </c>
      <c r="AG2313" s="82">
        <f>IFERROR(__xludf.DUMMYFUNCTION("""COMPUTED_VALUE"""),1.2278890158682705)</f>
        <v>1.227889016</v>
      </c>
      <c r="AH2313" s="82">
        <f>IFERROR(__xludf.DUMMYFUNCTION("""COMPUTED_VALUE"""),1.0967790221027245)</f>
        <v>1.096779022</v>
      </c>
      <c r="AI2313" s="82">
        <f>IFERROR(__xludf.DUMMYFUNCTION("""COMPUTED_VALUE"""),0.9519214227748044)</f>
        <v>0.9519214228</v>
      </c>
      <c r="AJ2313" s="82">
        <f>IFERROR(__xludf.DUMMYFUNCTION("""COMPUTED_VALUE"""),0.6667886450256748)</f>
        <v>0.666788645</v>
      </c>
      <c r="AK2313" s="82">
        <f>IFERROR(__xludf.DUMMYFUNCTION("""COMPUTED_VALUE"""),0.758921934550966)</f>
        <v>0.7589219346</v>
      </c>
      <c r="AL2313" s="82">
        <f>IFERROR(__xludf.DUMMYFUNCTION("""COMPUTED_VALUE"""),1.186080741173976)</f>
        <v>1.186080741</v>
      </c>
      <c r="AM2313" s="82">
        <f>IFERROR(__xludf.DUMMYFUNCTION("""COMPUTED_VALUE"""),0.9217843076234136)</f>
        <v>0.9217843076</v>
      </c>
      <c r="AN2313" s="82">
        <f>IFERROR(__xludf.DUMMYFUNCTION("""COMPUTED_VALUE"""),1.1310296149391377)</f>
        <v>1.131029615</v>
      </c>
      <c r="AO2313" s="82">
        <f>IFERROR(__xludf.DUMMYFUNCTION("""COMPUTED_VALUE"""),1.2573395858324399)</f>
        <v>1.257339586</v>
      </c>
      <c r="AP2313" s="82">
        <f>IFERROR(__xludf.DUMMYFUNCTION("""COMPUTED_VALUE"""),1.3105887892794958)</f>
        <v>1.310588789</v>
      </c>
      <c r="AQ2313" s="82">
        <f>IFERROR(__xludf.DUMMYFUNCTION("""COMPUTED_VALUE"""),1.1880365237652624)</f>
        <v>1.188036524</v>
      </c>
      <c r="AR2313" s="82">
        <f>IFERROR(__xludf.DUMMYFUNCTION("""COMPUTED_VALUE"""),1.1925803271162958)</f>
        <v>1.192580327</v>
      </c>
      <c r="AS2313" s="82">
        <f>IFERROR(__xludf.DUMMYFUNCTION("""COMPUTED_VALUE"""),95.0)</f>
        <v>95</v>
      </c>
      <c r="AT2313" s="82">
        <f>IFERROR(__xludf.DUMMYFUNCTION("""COMPUTED_VALUE"""),0.6935460405369869)</f>
        <v>0.6935460405</v>
      </c>
      <c r="AU2313" s="82">
        <f>IFERROR(__xludf.DUMMYFUNCTION("""COMPUTED_VALUE"""),3.902353322274015)</f>
        <v>3.902353322</v>
      </c>
      <c r="AV2313" s="82">
        <f>IFERROR(__xludf.DUMMYFUNCTION("""COMPUTED_VALUE"""),77.63851264512071)</f>
        <v>77.63851265</v>
      </c>
      <c r="AW2313" s="82">
        <f t="shared" si="1"/>
        <v>7.437005229</v>
      </c>
      <c r="AX2313" s="83">
        <f t="array" ref="AX2313">IFERROR(DGET('SBV Import'!A:G,"SBV",{"RSC ID","Tier";B2313,A2313}))</f>
        <v>62.19623134</v>
      </c>
      <c r="AY2313" s="82">
        <f t="shared" si="2"/>
        <v>3.196641627</v>
      </c>
      <c r="AZ2313" s="82">
        <v>4.240363602464951</v>
      </c>
      <c r="BA2313" s="84">
        <v>2300.0</v>
      </c>
      <c r="BB2313" s="84" t="b">
        <f>IFERROR(__xludf.DUMMYFUNCTION("iferror(if(A2313="""",,E2313&gt;=FILTER(Constants!$F$2:$F$10,Constants!$A$2:$A$10=A2313)))"),TRUE)</f>
        <v>1</v>
      </c>
    </row>
    <row r="2314">
      <c r="A2314" s="89" t="str">
        <f>IFERROR(__xludf.DUMMYFUNCTION("""COMPUTED_VALUE"""),"Challenger")</f>
        <v>Challenger</v>
      </c>
      <c r="B2314" s="87" t="str">
        <f>IFERROR(__xludf.DUMMYFUNCTION("""COMPUTED_VALUE"""),"RSC002427")</f>
        <v>RSC002427</v>
      </c>
      <c r="C2314" s="73" t="str">
        <f>IFERROR(__xludf.DUMMYFUNCTION("""COMPUTED_VALUE"""),"Free.")</f>
        <v>Free.</v>
      </c>
      <c r="D2314" s="73" t="str">
        <f>IFERROR(__xludf.DUMMYFUNCTION("""COMPUTED_VALUE"""),"Ryujin")</f>
        <v>Ryujin</v>
      </c>
      <c r="E2314" s="82">
        <f>IFERROR(__xludf.DUMMYFUNCTION("""COMPUTED_VALUE"""),17.0)</f>
        <v>17</v>
      </c>
      <c r="F2314" s="82">
        <f>IFERROR(__xludf.DUMMYFUNCTION("""COMPUTED_VALUE"""),11.0)</f>
        <v>11</v>
      </c>
      <c r="G2314" s="86">
        <f>IFERROR(__xludf.DUMMYFUNCTION("""COMPUTED_VALUE"""),6.0)</f>
        <v>6</v>
      </c>
      <c r="H2314" s="86">
        <f>IFERROR(__xludf.DUMMYFUNCTION("""COMPUTED_VALUE"""),0.6470588235294118)</f>
        <v>0.6470588235</v>
      </c>
      <c r="I2314" s="86">
        <f>IFERROR(__xludf.DUMMYFUNCTION("""COMPUTED_VALUE"""),0.4285714285714286)</f>
        <v>0.4285714286</v>
      </c>
      <c r="J2314" s="82">
        <f>IFERROR(__xludf.DUMMYFUNCTION("""COMPUTED_VALUE"""),343.3529411764706)</f>
        <v>343.3529412</v>
      </c>
      <c r="K2314" s="82">
        <f>IFERROR(__xludf.DUMMYFUNCTION("""COMPUTED_VALUE"""),1.2352941176470589)</f>
        <v>1.235294118</v>
      </c>
      <c r="L2314" s="82">
        <f>IFERROR(__xludf.DUMMYFUNCTION("""COMPUTED_VALUE"""),0.35294117647058826)</f>
        <v>0.3529411765</v>
      </c>
      <c r="M2314" s="82">
        <f>IFERROR(__xludf.DUMMYFUNCTION("""COMPUTED_VALUE"""),0.8235294117647058)</f>
        <v>0.8235294118</v>
      </c>
      <c r="N2314" s="82">
        <f>IFERROR(__xludf.DUMMYFUNCTION("""COMPUTED_VALUE"""),2.8823529411764706)</f>
        <v>2.882352941</v>
      </c>
      <c r="O2314" s="82">
        <f>IFERROR(__xludf.DUMMYFUNCTION("""COMPUTED_VALUE"""),275.64705882352945)</f>
        <v>275.6470588</v>
      </c>
      <c r="P2314" s="82">
        <f>IFERROR(__xludf.DUMMYFUNCTION("""COMPUTED_VALUE"""),0.47058823529411753)</f>
        <v>0.4705882353</v>
      </c>
      <c r="Q2314" s="82">
        <f>IFERROR(__xludf.DUMMYFUNCTION("""COMPUTED_VALUE"""),0.37254901960784315)</f>
        <v>0.3725490196</v>
      </c>
      <c r="R2314" s="82">
        <f>IFERROR(__xludf.DUMMYFUNCTION("""COMPUTED_VALUE"""),1.2352941176470589)</f>
        <v>1.235294118</v>
      </c>
      <c r="S2314" s="82">
        <f>IFERROR(__xludf.DUMMYFUNCTION("""COMPUTED_VALUE"""),1.607843137254902)</f>
        <v>1.607843137</v>
      </c>
      <c r="T2314" s="82">
        <f>IFERROR(__xludf.DUMMYFUNCTION("""COMPUTED_VALUE"""),318.0484756977053)</f>
        <v>318.0484757</v>
      </c>
      <c r="U2314" s="82">
        <f>IFERROR(__xludf.DUMMYFUNCTION("""COMPUTED_VALUE"""),0.6937543789778332)</f>
        <v>0.693754379</v>
      </c>
      <c r="V2314" s="82">
        <f>IFERROR(__xludf.DUMMYFUNCTION("""COMPUTED_VALUE"""),0.44809804881377874)</f>
        <v>0.4480980488</v>
      </c>
      <c r="W2314" s="82">
        <f>IFERROR(__xludf.DUMMYFUNCTION("""COMPUTED_VALUE"""),1.2271959958184682)</f>
        <v>1.227195996</v>
      </c>
      <c r="X2314" s="82">
        <f>IFERROR(__xludf.DUMMYFUNCTION("""COMPUTED_VALUE"""),2.2325431086603666)</f>
        <v>2.232543109</v>
      </c>
      <c r="Y2314" s="82">
        <f>IFERROR(__xludf.DUMMYFUNCTION("""COMPUTED_VALUE"""),341.08426483074356)</f>
        <v>341.0842648</v>
      </c>
      <c r="Z2314" s="82">
        <f>IFERROR(__xludf.DUMMYFUNCTION("""COMPUTED_VALUE"""),0.8536039276886404)</f>
        <v>0.8536039277</v>
      </c>
      <c r="AA2314" s="82">
        <f>IFERROR(__xludf.DUMMYFUNCTION("""COMPUTED_VALUE"""),0.5734253464274771)</f>
        <v>0.5734253464</v>
      </c>
      <c r="AB2314" s="82">
        <f>IFERROR(__xludf.DUMMYFUNCTION("""COMPUTED_VALUE"""),1.1389633956696135)</f>
        <v>1.138963396</v>
      </c>
      <c r="AC2314" s="82">
        <f>IFERROR(__xludf.DUMMYFUNCTION("""COMPUTED_VALUE"""),2.6087002247508644)</f>
        <v>2.608700225</v>
      </c>
      <c r="AD2314" s="82">
        <f>IFERROR(__xludf.DUMMYFUNCTION("""COMPUTED_VALUE"""),1.0066513661861618)</f>
        <v>1.006651366</v>
      </c>
      <c r="AE2314" s="82">
        <f>IFERROR(__xludf.DUMMYFUNCTION("""COMPUTED_VALUE"""),1.4471513984148905)</f>
        <v>1.447151398</v>
      </c>
      <c r="AF2314" s="82">
        <f>IFERROR(__xludf.DUMMYFUNCTION("""COMPUTED_VALUE"""),0.615496295497684)</f>
        <v>0.6154962955</v>
      </c>
      <c r="AG2314" s="82">
        <f>IFERROR(__xludf.DUMMYFUNCTION("""COMPUTED_VALUE"""),0.7230516932289476)</f>
        <v>0.7230516932</v>
      </c>
      <c r="AH2314" s="82">
        <f>IFERROR(__xludf.DUMMYFUNCTION("""COMPUTED_VALUE"""),1.1049000240921667)</f>
        <v>1.104900024</v>
      </c>
      <c r="AI2314" s="82">
        <f>IFERROR(__xludf.DUMMYFUNCTION("""COMPUTED_VALUE"""),0.866682533908834)</f>
        <v>0.8666825339</v>
      </c>
      <c r="AJ2314" s="82">
        <f>IFERROR(__xludf.DUMMYFUNCTION("""COMPUTED_VALUE"""),0.678321102617723)</f>
        <v>0.6783211026</v>
      </c>
      <c r="AK2314" s="82">
        <f>IFERROR(__xludf.DUMMYFUNCTION("""COMPUTED_VALUE"""),0.8314006735670202)</f>
        <v>0.8314006736</v>
      </c>
      <c r="AL2314" s="82">
        <f>IFERROR(__xludf.DUMMYFUNCTION("""COMPUTED_VALUE"""),1.0065988822129344)</f>
        <v>1.006598882</v>
      </c>
      <c r="AM2314" s="82">
        <f>IFERROR(__xludf.DUMMYFUNCTION("""COMPUTED_VALUE"""),0.7201845872618716)</f>
        <v>0.7201845873</v>
      </c>
      <c r="AN2314" s="82">
        <f>IFERROR(__xludf.DUMMYFUNCTION("""COMPUTED_VALUE"""),1.0554331393668743)</f>
        <v>1.055433139</v>
      </c>
      <c r="AO2314" s="82">
        <f>IFERROR(__xludf.DUMMYFUNCTION("""COMPUTED_VALUE"""),1.6902298584633317)</f>
        <v>1.690229858</v>
      </c>
      <c r="AP2314" s="82">
        <f>IFERROR(__xludf.DUMMYFUNCTION("""COMPUTED_VALUE"""),0.6845899087530544)</f>
        <v>0.6845899088</v>
      </c>
      <c r="AQ2314" s="82">
        <f>IFERROR(__xludf.DUMMYFUNCTION("""COMPUTED_VALUE"""),0.6830221080026703)</f>
        <v>0.683022108</v>
      </c>
      <c r="AR2314" s="82">
        <f>IFERROR(__xludf.DUMMYFUNCTION("""COMPUTED_VALUE"""),1.2112874695024338)</f>
        <v>1.21128747</v>
      </c>
      <c r="AS2314" s="82">
        <f>IFERROR(__xludf.DUMMYFUNCTION("""COMPUTED_VALUE"""),45.0)</f>
        <v>45</v>
      </c>
      <c r="AT2314" s="82">
        <f>IFERROR(__xludf.DUMMYFUNCTION("""COMPUTED_VALUE"""),0.7190399208222331)</f>
        <v>0.7190399208</v>
      </c>
      <c r="AU2314" s="82">
        <f>IFERROR(__xludf.DUMMYFUNCTION("""COMPUTED_VALUE"""),3.9004011007896597)</f>
        <v>3.900401101</v>
      </c>
      <c r="AV2314" s="82">
        <f>IFERROR(__xludf.DUMMYFUNCTION("""COMPUTED_VALUE"""),77.58756305986178)</f>
        <v>77.58756306</v>
      </c>
      <c r="AW2314" s="82">
        <f t="shared" si="1"/>
        <v>7.412651261</v>
      </c>
      <c r="AX2314" s="83">
        <f t="array" ref="AX2314">IFERROR(DGET('SBV Import'!A:G,"SBV",{"RSC ID","Tier";B2314,A2314}))</f>
        <v>74.25058871</v>
      </c>
      <c r="AY2314" s="82">
        <f t="shared" si="2"/>
        <v>6.023465837</v>
      </c>
      <c r="AZ2314" s="82">
        <v>1.389185423578998</v>
      </c>
      <c r="BA2314" s="84">
        <v>2300.0</v>
      </c>
      <c r="BB2314" s="84" t="b">
        <f>IFERROR(__xludf.DUMMYFUNCTION("iferror(if(A2314="""",,E2314&gt;=FILTER(Constants!$F$2:$F$10,Constants!$A$2:$A$10=A2314)))"),TRUE)</f>
        <v>1</v>
      </c>
    </row>
    <row r="2315">
      <c r="A2315" s="89" t="str">
        <f>IFERROR(__xludf.DUMMYFUNCTION("""COMPUTED_VALUE"""),"Challenger")</f>
        <v>Challenger</v>
      </c>
      <c r="B2315" s="87" t="str">
        <f>IFERROR(__xludf.DUMMYFUNCTION("""COMPUTED_VALUE"""),"RSC007890")</f>
        <v>RSC007890</v>
      </c>
      <c r="C2315" s="73" t="str">
        <f>IFERROR(__xludf.DUMMYFUNCTION("""COMPUTED_VALUE"""),"Ghost-Bacon")</f>
        <v>Ghost-Bacon</v>
      </c>
      <c r="D2315" s="73"/>
      <c r="E2315" s="82">
        <f>IFERROR(__xludf.DUMMYFUNCTION("""COMPUTED_VALUE"""),15.0)</f>
        <v>15</v>
      </c>
      <c r="F2315" s="82">
        <f>IFERROR(__xludf.DUMMYFUNCTION("""COMPUTED_VALUE"""),10.0)</f>
        <v>10</v>
      </c>
      <c r="G2315" s="86">
        <f>IFERROR(__xludf.DUMMYFUNCTION("""COMPUTED_VALUE"""),5.0)</f>
        <v>5</v>
      </c>
      <c r="H2315" s="86">
        <f>IFERROR(__xludf.DUMMYFUNCTION("""COMPUTED_VALUE"""),0.6666666666666666)</f>
        <v>0.6666666667</v>
      </c>
      <c r="I2315" s="86">
        <f>IFERROR(__xludf.DUMMYFUNCTION("""COMPUTED_VALUE"""),0.25)</f>
        <v>0.25</v>
      </c>
      <c r="J2315" s="82">
        <f>IFERROR(__xludf.DUMMYFUNCTION("""COMPUTED_VALUE"""),333.6666666666667)</f>
        <v>333.6666667</v>
      </c>
      <c r="K2315" s="82">
        <f>IFERROR(__xludf.DUMMYFUNCTION("""COMPUTED_VALUE"""),0.8)</f>
        <v>0.8</v>
      </c>
      <c r="L2315" s="82">
        <f>IFERROR(__xludf.DUMMYFUNCTION("""COMPUTED_VALUE"""),0.6666666666666666)</f>
        <v>0.6666666667</v>
      </c>
      <c r="M2315" s="82">
        <f>IFERROR(__xludf.DUMMYFUNCTION("""COMPUTED_VALUE"""),0.8666666666666667)</f>
        <v>0.8666666667</v>
      </c>
      <c r="N2315" s="82">
        <f>IFERROR(__xludf.DUMMYFUNCTION("""COMPUTED_VALUE"""),3.2)</f>
        <v>3.2</v>
      </c>
      <c r="O2315" s="82">
        <f>IFERROR(__xludf.DUMMYFUNCTION("""COMPUTED_VALUE"""),301.1111111111111)</f>
        <v>301.1111111</v>
      </c>
      <c r="P2315" s="82">
        <f>IFERROR(__xludf.DUMMYFUNCTION("""COMPUTED_VALUE"""),0.5555555555555556)</f>
        <v>0.5555555556</v>
      </c>
      <c r="Q2315" s="82">
        <f>IFERROR(__xludf.DUMMYFUNCTION("""COMPUTED_VALUE"""),0.44444444444444436)</f>
        <v>0.4444444444</v>
      </c>
      <c r="R2315" s="82">
        <f>IFERROR(__xludf.DUMMYFUNCTION("""COMPUTED_VALUE"""),1.2222222222222223)</f>
        <v>1.222222222</v>
      </c>
      <c r="S2315" s="82">
        <f>IFERROR(__xludf.DUMMYFUNCTION("""COMPUTED_VALUE"""),2.177777777777778)</f>
        <v>2.177777778</v>
      </c>
      <c r="T2315" s="82">
        <f>IFERROR(__xludf.DUMMYFUNCTION("""COMPUTED_VALUE"""),325.6766336698773)</f>
        <v>325.6766337</v>
      </c>
      <c r="U2315" s="82">
        <f>IFERROR(__xludf.DUMMYFUNCTION("""COMPUTED_VALUE"""),0.8249573064058547)</f>
        <v>0.8249573064</v>
      </c>
      <c r="V2315" s="82">
        <f>IFERROR(__xludf.DUMMYFUNCTION("""COMPUTED_VALUE"""),0.4591903359345218)</f>
        <v>0.4591903359</v>
      </c>
      <c r="W2315" s="82">
        <f>IFERROR(__xludf.DUMMYFUNCTION("""COMPUTED_VALUE"""),1.1302779466653157)</f>
        <v>1.130277947</v>
      </c>
      <c r="X2315" s="82">
        <f>IFERROR(__xludf.DUMMYFUNCTION("""COMPUTED_VALUE"""),2.369517917061237)</f>
        <v>2.369517917</v>
      </c>
      <c r="Y2315" s="82">
        <f>IFERROR(__xludf.DUMMYFUNCTION("""COMPUTED_VALUE"""),326.01502665600816)</f>
        <v>326.0150267</v>
      </c>
      <c r="Z2315" s="82">
        <f>IFERROR(__xludf.DUMMYFUNCTION("""COMPUTED_VALUE"""),0.7756971181339121)</f>
        <v>0.7756971181</v>
      </c>
      <c r="AA2315" s="82">
        <f>IFERROR(__xludf.DUMMYFUNCTION("""COMPUTED_VALUE"""),0.5026454793997989)</f>
        <v>0.5026454794</v>
      </c>
      <c r="AB2315" s="82">
        <f>IFERROR(__xludf.DUMMYFUNCTION("""COMPUTED_VALUE"""),1.1613231330209595)</f>
        <v>1.161323133</v>
      </c>
      <c r="AC2315" s="82">
        <f>IFERROR(__xludf.DUMMYFUNCTION("""COMPUTED_VALUE"""),2.391206929560657)</f>
        <v>2.39120693</v>
      </c>
      <c r="AD2315" s="82">
        <f>IFERROR(__xludf.DUMMYFUNCTION("""COMPUTED_VALUE"""),1.0234702065396883)</f>
        <v>1.023470207</v>
      </c>
      <c r="AE2315" s="82">
        <f>IFERROR(__xludf.DUMMYFUNCTION("""COMPUTED_VALUE"""),1.031330375346183)</f>
        <v>1.031330375</v>
      </c>
      <c r="AF2315" s="82">
        <f>IFERROR(__xludf.DUMMYFUNCTION("""COMPUTED_VALUE"""),1.3263158508114365)</f>
        <v>1.326315851</v>
      </c>
      <c r="AG2315" s="82">
        <f>IFERROR(__xludf.DUMMYFUNCTION("""COMPUTED_VALUE"""),0.7462752114583299)</f>
        <v>0.7462752115</v>
      </c>
      <c r="AH2315" s="82">
        <f>IFERROR(__xludf.DUMMYFUNCTION("""COMPUTED_VALUE"""),1.3382363359861729)</f>
        <v>1.338236336</v>
      </c>
      <c r="AI2315" s="82">
        <f>IFERROR(__xludf.DUMMYFUNCTION("""COMPUTED_VALUE"""),0.9245708165122246)</f>
        <v>0.9245708165</v>
      </c>
      <c r="AJ2315" s="82">
        <f>IFERROR(__xludf.DUMMYFUNCTION("""COMPUTED_VALUE"""),0.6734355235617958)</f>
        <v>0.6734355236</v>
      </c>
      <c r="AK2315" s="82">
        <f>IFERROR(__xludf.DUMMYFUNCTION("""COMPUTED_VALUE"""),0.9678871911359648)</f>
        <v>0.9678871911</v>
      </c>
      <c r="AL2315" s="82">
        <f>IFERROR(__xludf.DUMMYFUNCTION("""COMPUTED_VALUE"""),1.0813466066715465)</f>
        <v>1.081346607</v>
      </c>
      <c r="AM2315" s="82">
        <f>IFERROR(__xludf.DUMMYFUNCTION("""COMPUTED_VALUE"""),0.9190805277719689)</f>
        <v>0.9190805278</v>
      </c>
      <c r="AN2315" s="82">
        <f>IFERROR(__xludf.DUMMYFUNCTION("""COMPUTED_VALUE"""),1.025658485101142)</f>
        <v>1.025658485</v>
      </c>
      <c r="AO2315" s="82">
        <f>IFERROR(__xludf.DUMMYFUNCTION("""COMPUTED_VALUE"""),1.0946250511953006)</f>
        <v>1.094625051</v>
      </c>
      <c r="AP2315" s="82">
        <f>IFERROR(__xludf.DUMMYFUNCTION("""COMPUTED_VALUE"""),1.2931142720891025)</f>
        <v>1.293114272</v>
      </c>
      <c r="AQ2315" s="82">
        <f>IFERROR(__xludf.DUMMYFUNCTION("""COMPUTED_VALUE"""),0.7187994565170959)</f>
        <v>0.7187994565</v>
      </c>
      <c r="AR2315" s="82">
        <f>IFERROR(__xludf.DUMMYFUNCTION("""COMPUTED_VALUE"""),1.34477629267209)</f>
        <v>1.344776293</v>
      </c>
      <c r="AS2315" s="82">
        <f>IFERROR(__xludf.DUMMYFUNCTION("""COMPUTED_VALUE"""),35.0)</f>
        <v>35</v>
      </c>
      <c r="AT2315" s="82">
        <f>IFERROR(__xludf.DUMMYFUNCTION("""COMPUTED_VALUE"""),0.6226679444608085)</f>
        <v>0.6226679445</v>
      </c>
      <c r="AU2315" s="82">
        <f>IFERROR(__xludf.DUMMYFUNCTION("""COMPUTED_VALUE"""),3.863608536936523)</f>
        <v>3.863608537</v>
      </c>
      <c r="AV2315" s="82">
        <f>IFERROR(__xludf.DUMMYFUNCTION("""COMPUTED_VALUE"""),76.62734113629813)</f>
        <v>76.62734114</v>
      </c>
      <c r="AW2315" s="82">
        <f t="shared" si="1"/>
        <v>6.972684917</v>
      </c>
      <c r="AX2315" s="83">
        <f t="array" ref="AX2315">IFERROR(DGET('SBV Import'!A:G,"SBV",{"RSC ID","Tier";B2315,A2315}))</f>
        <v>72.02379756</v>
      </c>
      <c r="AY2315" s="82">
        <f t="shared" si="2"/>
        <v>5.286196621</v>
      </c>
      <c r="AZ2315" s="82">
        <v>1.6864882959897347</v>
      </c>
      <c r="BA2315" s="84">
        <v>2300.0</v>
      </c>
      <c r="BB2315" s="84" t="b">
        <f>IFERROR(__xludf.DUMMYFUNCTION("iferror(if(A2315="""",,E2315&gt;=FILTER(Constants!$F$2:$F$10,Constants!$A$2:$A$10=A2315)))"),TRUE)</f>
        <v>1</v>
      </c>
    </row>
    <row r="2316">
      <c r="A2316" s="89" t="str">
        <f>IFERROR(__xludf.DUMMYFUNCTION("""COMPUTED_VALUE"""),"Challenger")</f>
        <v>Challenger</v>
      </c>
      <c r="B2316" s="87" t="str">
        <f>IFERROR(__xludf.DUMMYFUNCTION("""COMPUTED_VALUE"""),"RSC007960")</f>
        <v>RSC007960</v>
      </c>
      <c r="C2316" s="73" t="str">
        <f>IFERROR(__xludf.DUMMYFUNCTION("""COMPUTED_VALUE"""),"Kayo")</f>
        <v>Kayo</v>
      </c>
      <c r="D2316" s="73" t="str">
        <f>IFERROR(__xludf.DUMMYFUNCTION("""COMPUTED_VALUE"""),"Warbirds")</f>
        <v>Warbirds</v>
      </c>
      <c r="E2316" s="82">
        <f>IFERROR(__xludf.DUMMYFUNCTION("""COMPUTED_VALUE"""),44.0)</f>
        <v>44</v>
      </c>
      <c r="F2316" s="82">
        <f>IFERROR(__xludf.DUMMYFUNCTION("""COMPUTED_VALUE"""),25.0)</f>
        <v>25</v>
      </c>
      <c r="G2316" s="86">
        <f>IFERROR(__xludf.DUMMYFUNCTION("""COMPUTED_VALUE"""),19.0)</f>
        <v>19</v>
      </c>
      <c r="H2316" s="86">
        <f>IFERROR(__xludf.DUMMYFUNCTION("""COMPUTED_VALUE"""),0.5681818181818182)</f>
        <v>0.5681818182</v>
      </c>
      <c r="I2316" s="86">
        <f>IFERROR(__xludf.DUMMYFUNCTION("""COMPUTED_VALUE"""),0.34108527131782945)</f>
        <v>0.3410852713</v>
      </c>
      <c r="J2316" s="82">
        <f>IFERROR(__xludf.DUMMYFUNCTION("""COMPUTED_VALUE"""),390.3636363636364)</f>
        <v>390.3636364</v>
      </c>
      <c r="K2316" s="82">
        <f>IFERROR(__xludf.DUMMYFUNCTION("""COMPUTED_VALUE"""),1.0)</f>
        <v>1</v>
      </c>
      <c r="L2316" s="82">
        <f>IFERROR(__xludf.DUMMYFUNCTION("""COMPUTED_VALUE"""),0.5227272727272727)</f>
        <v>0.5227272727</v>
      </c>
      <c r="M2316" s="82">
        <f>IFERROR(__xludf.DUMMYFUNCTION("""COMPUTED_VALUE"""),1.5227272727272727)</f>
        <v>1.522727273</v>
      </c>
      <c r="N2316" s="82">
        <f>IFERROR(__xludf.DUMMYFUNCTION("""COMPUTED_VALUE"""),2.9318181818181817)</f>
        <v>2.931818182</v>
      </c>
      <c r="O2316" s="82">
        <f>IFERROR(__xludf.DUMMYFUNCTION("""COMPUTED_VALUE"""),353.87878787878776)</f>
        <v>353.8787879</v>
      </c>
      <c r="P2316" s="82">
        <f>IFERROR(__xludf.DUMMYFUNCTION("""COMPUTED_VALUE"""),0.8030303030303028)</f>
        <v>0.803030303</v>
      </c>
      <c r="Q2316" s="82">
        <f>IFERROR(__xludf.DUMMYFUNCTION("""COMPUTED_VALUE"""),0.6212121212121212)</f>
        <v>0.6212121212</v>
      </c>
      <c r="R2316" s="82">
        <f>IFERROR(__xludf.DUMMYFUNCTION("""COMPUTED_VALUE"""),1.3181818181818183)</f>
        <v>1.318181818</v>
      </c>
      <c r="S2316" s="82">
        <f>IFERROR(__xludf.DUMMYFUNCTION("""COMPUTED_VALUE"""),2.583333333333333)</f>
        <v>2.583333333</v>
      </c>
      <c r="T2316" s="82">
        <f>IFERROR(__xludf.DUMMYFUNCTION("""COMPUTED_VALUE"""),337.158412568176)</f>
        <v>337.1584126</v>
      </c>
      <c r="U2316" s="82">
        <f>IFERROR(__xludf.DUMMYFUNCTION("""COMPUTED_VALUE"""),0.775686908685392)</f>
        <v>0.7756869087</v>
      </c>
      <c r="V2316" s="82">
        <f>IFERROR(__xludf.DUMMYFUNCTION("""COMPUTED_VALUE"""),0.5412014110582919)</f>
        <v>0.5412014111</v>
      </c>
      <c r="W2316" s="82">
        <f>IFERROR(__xludf.DUMMYFUNCTION("""COMPUTED_VALUE"""),1.223496917093822)</f>
        <v>1.223496917</v>
      </c>
      <c r="X2316" s="82">
        <f>IFERROR(__xludf.DUMMYFUNCTION("""COMPUTED_VALUE"""),2.5093947223356086)</f>
        <v>2.509394722</v>
      </c>
      <c r="Y2316" s="82">
        <f>IFERROR(__xludf.DUMMYFUNCTION("""COMPUTED_VALUE"""),332.96020601068483)</f>
        <v>332.960206</v>
      </c>
      <c r="Z2316" s="82">
        <f>IFERROR(__xludf.DUMMYFUNCTION("""COMPUTED_VALUE"""),0.7456565703842363)</f>
        <v>0.7456565704</v>
      </c>
      <c r="AA2316" s="82">
        <f>IFERROR(__xludf.DUMMYFUNCTION("""COMPUTED_VALUE"""),0.5210621610143819)</f>
        <v>0.521062161</v>
      </c>
      <c r="AB2316" s="82">
        <f>IFERROR(__xludf.DUMMYFUNCTION("""COMPUTED_VALUE"""),1.2570811572573637)</f>
        <v>1.257081157</v>
      </c>
      <c r="AC2316" s="82">
        <f>IFERROR(__xludf.DUMMYFUNCTION("""COMPUTED_VALUE"""),2.3801168247199005)</f>
        <v>2.380116825</v>
      </c>
      <c r="AD2316" s="82">
        <f>IFERROR(__xludf.DUMMYFUNCTION("""COMPUTED_VALUE"""),1.1724032761774223)</f>
        <v>1.172403276</v>
      </c>
      <c r="AE2316" s="82">
        <f>IFERROR(__xludf.DUMMYFUNCTION("""COMPUTED_VALUE"""),1.3410999644041235)</f>
        <v>1.341099964</v>
      </c>
      <c r="AF2316" s="82">
        <f>IFERROR(__xludf.DUMMYFUNCTION("""COMPUTED_VALUE"""),1.003195610500001)</f>
        <v>1.003195611</v>
      </c>
      <c r="AG2316" s="82">
        <f>IFERROR(__xludf.DUMMYFUNCTION("""COMPUTED_VALUE"""),1.2113197814924554)</f>
        <v>1.211319781</v>
      </c>
      <c r="AH2316" s="82">
        <f>IFERROR(__xludf.DUMMYFUNCTION("""COMPUTED_VALUE"""),1.2317959149602697)</f>
        <v>1.231795915</v>
      </c>
      <c r="AI2316" s="82">
        <f>IFERROR(__xludf.DUMMYFUNCTION("""COMPUTED_VALUE"""),1.04959204542236)</f>
        <v>1.049592045</v>
      </c>
      <c r="AJ2316" s="82">
        <f>IFERROR(__xludf.DUMMYFUNCTION("""COMPUTED_VALUE"""),1.035250555396444)</f>
        <v>1.035250555</v>
      </c>
      <c r="AK2316" s="82">
        <f>IFERROR(__xludf.DUMMYFUNCTION("""COMPUTED_VALUE"""),1.1478390641986178)</f>
        <v>1.147839064</v>
      </c>
      <c r="AL2316" s="82">
        <f>IFERROR(__xludf.DUMMYFUNCTION("""COMPUTED_VALUE"""),1.0773887533063033)</f>
        <v>1.077388753</v>
      </c>
      <c r="AM2316" s="82">
        <f>IFERROR(__xludf.DUMMYFUNCTION("""COMPUTED_VALUE"""),1.0294647192566446)</f>
        <v>1.029464719</v>
      </c>
      <c r="AN2316" s="82">
        <f>IFERROR(__xludf.DUMMYFUNCTION("""COMPUTED_VALUE"""),1.1999393883455556)</f>
        <v>1.199939388</v>
      </c>
      <c r="AO2316" s="82">
        <f>IFERROR(__xludf.DUMMYFUNCTION("""COMPUTED_VALUE"""),1.3682813139941257)</f>
        <v>1.368281314</v>
      </c>
      <c r="AP2316" s="82">
        <f>IFERROR(__xludf.DUMMYFUNCTION("""COMPUTED_VALUE"""),1.0139191451607736)</f>
        <v>1.013919145</v>
      </c>
      <c r="AQ2316" s="82">
        <f>IFERROR(__xludf.DUMMYFUNCTION("""COMPUTED_VALUE"""),1.2629256185309115)</f>
        <v>1.262925619</v>
      </c>
      <c r="AR2316" s="82">
        <f>IFERROR(__xludf.DUMMYFUNCTION("""COMPUTED_VALUE"""),1.2320748704169004)</f>
        <v>1.23207487</v>
      </c>
      <c r="AS2316" s="82">
        <f>IFERROR(__xludf.DUMMYFUNCTION("""COMPUTED_VALUE"""),103.0)</f>
        <v>103</v>
      </c>
      <c r="AT2316" s="82">
        <f>IFERROR(__xludf.DUMMYFUNCTION("""COMPUTED_VALUE"""),0.48877689785179995)</f>
        <v>0.4887768979</v>
      </c>
      <c r="AU2316" s="82">
        <f>IFERROR(__xludf.DUMMYFUNCTION("""COMPUTED_VALUE"""),3.76058428258756)</f>
        <v>3.760584283</v>
      </c>
      <c r="AV2316" s="82">
        <f>IFERROR(__xludf.DUMMYFUNCTION("""COMPUTED_VALUE"""),73.93858728702709)</f>
        <v>73.93858729</v>
      </c>
      <c r="AW2316" s="82">
        <f t="shared" si="1"/>
        <v>5.912034737</v>
      </c>
      <c r="AX2316" s="83">
        <f t="array" ref="AX2316">IFERROR(DGET('SBV Import'!A:G,"SBV",{"RSC ID","Tier";B2316,A2316}))</f>
        <v>66.64191911</v>
      </c>
      <c r="AY2316" s="82">
        <f t="shared" si="2"/>
        <v>3.955557504</v>
      </c>
      <c r="AZ2316" s="82">
        <v>1.956477232433698</v>
      </c>
      <c r="BA2316" s="84">
        <v>2300.0</v>
      </c>
      <c r="BB2316" s="84" t="b">
        <f>IFERROR(__xludf.DUMMYFUNCTION("iferror(if(A2316="""",,E2316&gt;=FILTER(Constants!$F$2:$F$10,Constants!$A$2:$A$10=A2316)))"),TRUE)</f>
        <v>1</v>
      </c>
    </row>
    <row r="2317">
      <c r="A2317" s="89" t="str">
        <f>IFERROR(__xludf.DUMMYFUNCTION("""COMPUTED_VALUE"""),"Challenger")</f>
        <v>Challenger</v>
      </c>
      <c r="B2317" s="87" t="str">
        <f>IFERROR(__xludf.DUMMYFUNCTION("""COMPUTED_VALUE"""),"RSC003193")</f>
        <v>RSC003193</v>
      </c>
      <c r="C2317" s="73" t="str">
        <f>IFERROR(__xludf.DUMMYFUNCTION("""COMPUTED_VALUE"""),"ShiftDrink")</f>
        <v>ShiftDrink</v>
      </c>
      <c r="D2317" s="73" t="str">
        <f>IFERROR(__xludf.DUMMYFUNCTION("""COMPUTED_VALUE"""),"Mugged")</f>
        <v>Mugged</v>
      </c>
      <c r="E2317" s="82">
        <f>IFERROR(__xludf.DUMMYFUNCTION("""COMPUTED_VALUE"""),10.0)</f>
        <v>10</v>
      </c>
      <c r="F2317" s="82">
        <f>IFERROR(__xludf.DUMMYFUNCTION("""COMPUTED_VALUE"""),4.0)</f>
        <v>4</v>
      </c>
      <c r="G2317" s="86">
        <f>IFERROR(__xludf.DUMMYFUNCTION("""COMPUTED_VALUE"""),6.0)</f>
        <v>6</v>
      </c>
      <c r="H2317" s="86">
        <f>IFERROR(__xludf.DUMMYFUNCTION("""COMPUTED_VALUE"""),0.4)</f>
        <v>0.4</v>
      </c>
      <c r="I2317" s="86">
        <f>IFERROR(__xludf.DUMMYFUNCTION("""COMPUTED_VALUE"""),0.3928571428571429)</f>
        <v>0.3928571429</v>
      </c>
      <c r="J2317" s="82">
        <f>IFERROR(__xludf.DUMMYFUNCTION("""COMPUTED_VALUE"""),372.0)</f>
        <v>372</v>
      </c>
      <c r="K2317" s="82">
        <f>IFERROR(__xludf.DUMMYFUNCTION("""COMPUTED_VALUE"""),1.1)</f>
        <v>1.1</v>
      </c>
      <c r="L2317" s="82">
        <f>IFERROR(__xludf.DUMMYFUNCTION("""COMPUTED_VALUE"""),0.6)</f>
        <v>0.6</v>
      </c>
      <c r="M2317" s="82">
        <f>IFERROR(__xludf.DUMMYFUNCTION("""COMPUTED_VALUE"""),1.1)</f>
        <v>1.1</v>
      </c>
      <c r="N2317" s="82">
        <f>IFERROR(__xludf.DUMMYFUNCTION("""COMPUTED_VALUE"""),2.8)</f>
        <v>2.8</v>
      </c>
      <c r="O2317" s="82">
        <f>IFERROR(__xludf.DUMMYFUNCTION("""COMPUTED_VALUE"""),353.6333333333333)</f>
        <v>353.6333333</v>
      </c>
      <c r="P2317" s="82">
        <f>IFERROR(__xludf.DUMMYFUNCTION("""COMPUTED_VALUE"""),0.9)</f>
        <v>0.9</v>
      </c>
      <c r="Q2317" s="82">
        <f>IFERROR(__xludf.DUMMYFUNCTION("""COMPUTED_VALUE"""),0.6333333333333333)</f>
        <v>0.6333333333</v>
      </c>
      <c r="R2317" s="82">
        <f>IFERROR(__xludf.DUMMYFUNCTION("""COMPUTED_VALUE"""),1.2)</f>
        <v>1.2</v>
      </c>
      <c r="S2317" s="82">
        <f>IFERROR(__xludf.DUMMYFUNCTION("""COMPUTED_VALUE"""),2.666666666666667)</f>
        <v>2.666666667</v>
      </c>
      <c r="T2317" s="82">
        <f>IFERROR(__xludf.DUMMYFUNCTION("""COMPUTED_VALUE"""),342.58080132340035)</f>
        <v>342.5808013</v>
      </c>
      <c r="U2317" s="82">
        <f>IFERROR(__xludf.DUMMYFUNCTION("""COMPUTED_VALUE"""),0.7648009780833276)</f>
        <v>0.7648009781</v>
      </c>
      <c r="V2317" s="82">
        <f>IFERROR(__xludf.DUMMYFUNCTION("""COMPUTED_VALUE"""),0.5772150494525059)</f>
        <v>0.5772150495</v>
      </c>
      <c r="W2317" s="82">
        <f>IFERROR(__xludf.DUMMYFUNCTION("""COMPUTED_VALUE"""),1.3095633172083214)</f>
        <v>1.309563317</v>
      </c>
      <c r="X2317" s="82">
        <f>IFERROR(__xludf.DUMMYFUNCTION("""COMPUTED_VALUE"""),2.5892813261447563)</f>
        <v>2.589281326</v>
      </c>
      <c r="Y2317" s="82">
        <f>IFERROR(__xludf.DUMMYFUNCTION("""COMPUTED_VALUE"""),349.34753030329534)</f>
        <v>349.3475303</v>
      </c>
      <c r="Z2317" s="82">
        <f>IFERROR(__xludf.DUMMYFUNCTION("""COMPUTED_VALUE"""),0.7860327297147285)</f>
        <v>0.7860327297</v>
      </c>
      <c r="AA2317" s="82">
        <f>IFERROR(__xludf.DUMMYFUNCTION("""COMPUTED_VALUE"""),0.5720188680742262)</f>
        <v>0.5720188681</v>
      </c>
      <c r="AB2317" s="82">
        <f>IFERROR(__xludf.DUMMYFUNCTION("""COMPUTED_VALUE"""),1.3346449696805998)</f>
        <v>1.33464497</v>
      </c>
      <c r="AC2317" s="82">
        <f>IFERROR(__xludf.DUMMYFUNCTION("""COMPUTED_VALUE"""),2.500760113950541)</f>
        <v>2.500760114</v>
      </c>
      <c r="AD2317" s="82">
        <f>IFERROR(__xludf.DUMMYFUNCTION("""COMPUTED_VALUE"""),1.064842220802415)</f>
        <v>1.064842221</v>
      </c>
      <c r="AE2317" s="82">
        <f>IFERROR(__xludf.DUMMYFUNCTION("""COMPUTED_VALUE"""),1.399432820563615)</f>
        <v>1.399432821</v>
      </c>
      <c r="AF2317" s="82">
        <f>IFERROR(__xludf.DUMMYFUNCTION("""COMPUTED_VALUE"""),1.0489164492422702)</f>
        <v>1.048916449</v>
      </c>
      <c r="AG2317" s="82">
        <f>IFERROR(__xludf.DUMMYFUNCTION("""COMPUTED_VALUE"""),0.8241892225939654)</f>
        <v>0.8241892226</v>
      </c>
      <c r="AH2317" s="82">
        <f>IFERROR(__xludf.DUMMYFUNCTION("""COMPUTED_VALUE"""),1.1196595724556477)</f>
        <v>1.119659572</v>
      </c>
      <c r="AI2317" s="82">
        <f>IFERROR(__xludf.DUMMYFUNCTION("""COMPUTED_VALUE"""),1.0322625551905906)</f>
        <v>1.032262555</v>
      </c>
      <c r="AJ2317" s="82">
        <f>IFERROR(__xludf.DUMMYFUNCTION("""COMPUTED_VALUE"""),1.176776737727893)</f>
        <v>1.176776738</v>
      </c>
      <c r="AK2317" s="82">
        <f>IFERROR(__xludf.DUMMYFUNCTION("""COMPUTED_VALUE"""),1.0972224891469067)</f>
        <v>1.097222489</v>
      </c>
      <c r="AL2317" s="82">
        <f>IFERROR(__xludf.DUMMYFUNCTION("""COMPUTED_VALUE"""),0.9163359909608002)</f>
        <v>0.916335991</v>
      </c>
      <c r="AM2317" s="82">
        <f>IFERROR(__xludf.DUMMYFUNCTION("""COMPUTED_VALUE"""),1.029886802851636)</f>
        <v>1.029886803</v>
      </c>
      <c r="AN2317" s="82">
        <f>IFERROR(__xludf.DUMMYFUNCTION("""COMPUTED_VALUE"""),1.1434913779948797)</f>
        <v>1.143491378</v>
      </c>
      <c r="AO2317" s="82">
        <f>IFERROR(__xludf.DUMMYFUNCTION("""COMPUTED_VALUE"""),1.5051094453935383)</f>
        <v>1.505109445</v>
      </c>
      <c r="AP2317" s="82">
        <f>IFERROR(__xludf.DUMMYFUNCTION("""COMPUTED_VALUE"""),1.1638028448801923)</f>
        <v>1.163802845</v>
      </c>
      <c r="AQ2317" s="82">
        <f>IFERROR(__xludf.DUMMYFUNCTION("""COMPUTED_VALUE"""),0.9123223871178525)</f>
        <v>0.9123223871</v>
      </c>
      <c r="AR2317" s="82">
        <f>IFERROR(__xludf.DUMMYFUNCTION("""COMPUTED_VALUE"""),1.1766792560880786)</f>
        <v>1.176679256</v>
      </c>
      <c r="AS2317" s="82">
        <f>IFERROR(__xludf.DUMMYFUNCTION("""COMPUTED_VALUE"""),28.0)</f>
        <v>28</v>
      </c>
      <c r="AT2317" s="82">
        <f>IFERROR(__xludf.DUMMYFUNCTION("""COMPUTED_VALUE"""),0.5148255886173724)</f>
        <v>0.5148255886</v>
      </c>
      <c r="AU2317" s="82">
        <f>IFERROR(__xludf.DUMMYFUNCTION("""COMPUTED_VALUE"""),3.749779387045345)</f>
        <v>3.749779387</v>
      </c>
      <c r="AV2317" s="82">
        <f>IFERROR(__xludf.DUMMYFUNCTION("""COMPUTED_VALUE"""),73.65659830624108)</f>
        <v>73.65659831</v>
      </c>
      <c r="AW2317" s="82">
        <f t="shared" si="1"/>
        <v>5.813717141</v>
      </c>
      <c r="AX2317" s="83">
        <f t="array" ref="AX2317">IFERROR(DGET('SBV Import'!A:G,"SBV",{"RSC ID","Tier";B2317,A2317}))</f>
        <v>57.8900894</v>
      </c>
      <c r="AY2317" s="82">
        <f t="shared" si="2"/>
        <v>2.658501794</v>
      </c>
      <c r="AZ2317" s="82">
        <v>3.155215346901052</v>
      </c>
      <c r="BA2317" s="84">
        <v>2300.0</v>
      </c>
      <c r="BB2317" s="84" t="b">
        <f>IFERROR(__xludf.DUMMYFUNCTION("iferror(if(A2317="""",,E2317&gt;=FILTER(Constants!$F$2:$F$10,Constants!$A$2:$A$10=A2317)))"),TRUE)</f>
        <v>1</v>
      </c>
    </row>
    <row r="2318">
      <c r="A2318" s="89" t="str">
        <f>IFERROR(__xludf.DUMMYFUNCTION("""COMPUTED_VALUE"""),"Challenger")</f>
        <v>Challenger</v>
      </c>
      <c r="B2318" s="87" t="str">
        <f>IFERROR(__xludf.DUMMYFUNCTION("""COMPUTED_VALUE"""),"RSC005059")</f>
        <v>RSC005059</v>
      </c>
      <c r="C2318" s="73" t="str">
        <f>IFERROR(__xludf.DUMMYFUNCTION("""COMPUTED_VALUE"""),"Jacobim Mugatu")</f>
        <v>Jacobim Mugatu</v>
      </c>
      <c r="D2318" s="73" t="str">
        <f>IFERROR(__xludf.DUMMYFUNCTION("""COMPUTED_VALUE"""),"Lilac")</f>
        <v>Lilac</v>
      </c>
      <c r="E2318" s="82">
        <f>IFERROR(__xludf.DUMMYFUNCTION("""COMPUTED_VALUE"""),41.0)</f>
        <v>41</v>
      </c>
      <c r="F2318" s="82">
        <f>IFERROR(__xludf.DUMMYFUNCTION("""COMPUTED_VALUE"""),27.0)</f>
        <v>27</v>
      </c>
      <c r="G2318" s="86">
        <f>IFERROR(__xludf.DUMMYFUNCTION("""COMPUTED_VALUE"""),14.0)</f>
        <v>14</v>
      </c>
      <c r="H2318" s="86">
        <f>IFERROR(__xludf.DUMMYFUNCTION("""COMPUTED_VALUE"""),0.6585365853658537)</f>
        <v>0.6585365854</v>
      </c>
      <c r="I2318" s="86">
        <f>IFERROR(__xludf.DUMMYFUNCTION("""COMPUTED_VALUE"""),0.3142857142857143)</f>
        <v>0.3142857143</v>
      </c>
      <c r="J2318" s="82">
        <f>IFERROR(__xludf.DUMMYFUNCTION("""COMPUTED_VALUE"""),366.3414634146341)</f>
        <v>366.3414634</v>
      </c>
      <c r="K2318" s="82">
        <f>IFERROR(__xludf.DUMMYFUNCTION("""COMPUTED_VALUE"""),0.8048780487804879)</f>
        <v>0.8048780488</v>
      </c>
      <c r="L2318" s="82">
        <f>IFERROR(__xludf.DUMMYFUNCTION("""COMPUTED_VALUE"""),0.7317073170731707)</f>
        <v>0.7317073171</v>
      </c>
      <c r="M2318" s="82">
        <f>IFERROR(__xludf.DUMMYFUNCTION("""COMPUTED_VALUE"""),1.4390243902439024)</f>
        <v>1.43902439</v>
      </c>
      <c r="N2318" s="82">
        <f>IFERROR(__xludf.DUMMYFUNCTION("""COMPUTED_VALUE"""),2.5609756097560976)</f>
        <v>2.56097561</v>
      </c>
      <c r="O2318" s="82">
        <f>IFERROR(__xludf.DUMMYFUNCTION("""COMPUTED_VALUE"""),332.66666666666663)</f>
        <v>332.6666667</v>
      </c>
      <c r="P2318" s="82">
        <f>IFERROR(__xludf.DUMMYFUNCTION("""COMPUTED_VALUE"""),0.6422764227642277)</f>
        <v>0.6422764228</v>
      </c>
      <c r="Q2318" s="82">
        <f>IFERROR(__xludf.DUMMYFUNCTION("""COMPUTED_VALUE"""),0.4634146341463415)</f>
        <v>0.4634146341</v>
      </c>
      <c r="R2318" s="82">
        <f>IFERROR(__xludf.DUMMYFUNCTION("""COMPUTED_VALUE"""),1.4065040650406508)</f>
        <v>1.406504065</v>
      </c>
      <c r="S2318" s="82">
        <f>IFERROR(__xludf.DUMMYFUNCTION("""COMPUTED_VALUE"""),2.2113821138211383)</f>
        <v>2.211382114</v>
      </c>
      <c r="T2318" s="82">
        <f>IFERROR(__xludf.DUMMYFUNCTION("""COMPUTED_VALUE"""),336.6036089782496)</f>
        <v>336.603609</v>
      </c>
      <c r="U2318" s="82">
        <f>IFERROR(__xludf.DUMMYFUNCTION("""COMPUTED_VALUE"""),0.7936216247940527)</f>
        <v>0.7936216248</v>
      </c>
      <c r="V2318" s="82">
        <f>IFERROR(__xludf.DUMMYFUNCTION("""COMPUTED_VALUE"""),0.526958285724841)</f>
        <v>0.5269582857</v>
      </c>
      <c r="W2318" s="82">
        <f>IFERROR(__xludf.DUMMYFUNCTION("""COMPUTED_VALUE"""),1.2243950065838056)</f>
        <v>1.224395007</v>
      </c>
      <c r="X2318" s="82">
        <f>IFERROR(__xludf.DUMMYFUNCTION("""COMPUTED_VALUE"""),2.482454406167751)</f>
        <v>2.482454406</v>
      </c>
      <c r="Y2318" s="82">
        <f>IFERROR(__xludf.DUMMYFUNCTION("""COMPUTED_VALUE"""),331.34883112544543)</f>
        <v>331.3488311</v>
      </c>
      <c r="Z2318" s="82">
        <f>IFERROR(__xludf.DUMMYFUNCTION("""COMPUTED_VALUE"""),0.7487271032524814)</f>
        <v>0.7487271033</v>
      </c>
      <c r="AA2318" s="82">
        <f>IFERROR(__xludf.DUMMYFUNCTION("""COMPUTED_VALUE"""),0.5283533724705355)</f>
        <v>0.5283533725</v>
      </c>
      <c r="AB2318" s="82">
        <f>IFERROR(__xludf.DUMMYFUNCTION("""COMPUTED_VALUE"""),1.2435864461978994)</f>
        <v>1.243586446</v>
      </c>
      <c r="AC2318" s="82">
        <f>IFERROR(__xludf.DUMMYFUNCTION("""COMPUTED_VALUE"""),2.4102337408315884)</f>
        <v>2.410233741</v>
      </c>
      <c r="AD2318" s="82">
        <f>IFERROR(__xludf.DUMMYFUNCTION("""COMPUTED_VALUE"""),1.1056066266186428)</f>
        <v>1.105606627</v>
      </c>
      <c r="AE2318" s="82">
        <f>IFERROR(__xludf.DUMMYFUNCTION("""COMPUTED_VALUE"""),1.074995208914017)</f>
        <v>1.074995209</v>
      </c>
      <c r="AF2318" s="82">
        <f>IFERROR(__xludf.DUMMYFUNCTION("""COMPUTED_VALUE"""),1.3848824578364465)</f>
        <v>1.384882458</v>
      </c>
      <c r="AG2318" s="82">
        <f>IFERROR(__xludf.DUMMYFUNCTION("""COMPUTED_VALUE"""),1.1571567016056894)</f>
        <v>1.157156702</v>
      </c>
      <c r="AH2318" s="82">
        <f>IFERROR(__xludf.DUMMYFUNCTION("""COMPUTED_VALUE"""),1.0625424274711628)</f>
        <v>1.062542427</v>
      </c>
      <c r="AI2318" s="82">
        <f>IFERROR(__xludf.DUMMYFUNCTION("""COMPUTED_VALUE"""),0.9883039212694913)</f>
        <v>0.9883039213</v>
      </c>
      <c r="AJ2318" s="82">
        <f>IFERROR(__xludf.DUMMYFUNCTION("""COMPUTED_VALUE"""),0.8092980366190253)</f>
        <v>0.8092980366</v>
      </c>
      <c r="AK2318" s="82">
        <f>IFERROR(__xludf.DUMMYFUNCTION("""COMPUTED_VALUE"""),0.8794142661765075)</f>
        <v>0.8794142662</v>
      </c>
      <c r="AL2318" s="82">
        <f>IFERROR(__xludf.DUMMYFUNCTION("""COMPUTED_VALUE"""),1.148733911423691)</f>
        <v>1.148733911</v>
      </c>
      <c r="AM2318" s="82">
        <f>IFERROR(__xludf.DUMMYFUNCTION("""COMPUTED_VALUE"""),0.8908047246817007)</f>
        <v>0.8908047247</v>
      </c>
      <c r="AN2318" s="82">
        <f>IFERROR(__xludf.DUMMYFUNCTION("""COMPUTED_VALUE"""),1.126097593593174)</f>
        <v>1.126097594</v>
      </c>
      <c r="AO2318" s="82">
        <f>IFERROR(__xludf.DUMMYFUNCTION("""COMPUTED_VALUE"""),1.1012995941903938)</f>
        <v>1.101299594</v>
      </c>
      <c r="AP2318" s="82">
        <f>IFERROR(__xludf.DUMMYFUNCTION("""COMPUTED_VALUE"""),1.419271762049015)</f>
        <v>1.419271762</v>
      </c>
      <c r="AQ2318" s="82">
        <f>IFERROR(__xludf.DUMMYFUNCTION("""COMPUTED_VALUE"""),1.1935037880255719)</f>
        <v>1.193503788</v>
      </c>
      <c r="AR2318" s="82">
        <f>IFERROR(__xludf.DUMMYFUNCTION("""COMPUTED_VALUE"""),1.076231026909828)</f>
        <v>1.076231027</v>
      </c>
      <c r="AS2318" s="82">
        <f>IFERROR(__xludf.DUMMYFUNCTION("""COMPUTED_VALUE"""),120.0)</f>
        <v>120</v>
      </c>
      <c r="AT2318" s="82">
        <f>IFERROR(__xludf.DUMMYFUNCTION("""COMPUTED_VALUE"""),0.6587761889655626)</f>
        <v>0.658776189</v>
      </c>
      <c r="AU2318" s="82">
        <f>IFERROR(__xludf.DUMMYFUNCTION("""COMPUTED_VALUE"""),3.7370508732921133)</f>
        <v>3.737050873</v>
      </c>
      <c r="AV2318" s="82">
        <f>IFERROR(__xludf.DUMMYFUNCTION("""COMPUTED_VALUE"""),73.32440623588084)</f>
        <v>73.32440624</v>
      </c>
      <c r="AW2318" s="82">
        <f t="shared" si="1"/>
        <v>5.700730496</v>
      </c>
      <c r="AX2318" s="83">
        <f t="array" ref="AX2318">IFERROR(DGET('SBV Import'!A:G,"SBV",{"RSC ID","Tier";B2318,A2318}))</f>
        <v>61.93611147</v>
      </c>
      <c r="AY2318" s="82">
        <f t="shared" si="2"/>
        <v>3.15932976</v>
      </c>
      <c r="AZ2318" s="82">
        <v>2.541400735968555</v>
      </c>
      <c r="BA2318" s="84">
        <v>2300.0</v>
      </c>
      <c r="BB2318" s="84" t="b">
        <f>IFERROR(__xludf.DUMMYFUNCTION("iferror(if(A2318="""",,E2318&gt;=FILTER(Constants!$F$2:$F$10,Constants!$A$2:$A$10=A2318)))"),TRUE)</f>
        <v>1</v>
      </c>
    </row>
    <row r="2319">
      <c r="A2319" s="89" t="str">
        <f>IFERROR(__xludf.DUMMYFUNCTION("""COMPUTED_VALUE"""),"Challenger")</f>
        <v>Challenger</v>
      </c>
      <c r="B2319" s="87" t="str">
        <f>IFERROR(__xludf.DUMMYFUNCTION("""COMPUTED_VALUE"""),"RSC004901")</f>
        <v>RSC004901</v>
      </c>
      <c r="C2319" s="73" t="str">
        <f>IFERROR(__xludf.DUMMYFUNCTION("""COMPUTED_VALUE"""),"Dofri9976")</f>
        <v>Dofri9976</v>
      </c>
      <c r="D2319" s="73" t="str">
        <f>IFERROR(__xludf.DUMMYFUNCTION("""COMPUTED_VALUE"""),"Lilac")</f>
        <v>Lilac</v>
      </c>
      <c r="E2319" s="82">
        <f>IFERROR(__xludf.DUMMYFUNCTION("""COMPUTED_VALUE"""),21.0)</f>
        <v>21</v>
      </c>
      <c r="F2319" s="82">
        <f>IFERROR(__xludf.DUMMYFUNCTION("""COMPUTED_VALUE"""),12.0)</f>
        <v>12</v>
      </c>
      <c r="G2319" s="86">
        <f>IFERROR(__xludf.DUMMYFUNCTION("""COMPUTED_VALUE"""),9.0)</f>
        <v>9</v>
      </c>
      <c r="H2319" s="86">
        <f>IFERROR(__xludf.DUMMYFUNCTION("""COMPUTED_VALUE"""),0.5714285714285714)</f>
        <v>0.5714285714</v>
      </c>
      <c r="I2319" s="86">
        <f>IFERROR(__xludf.DUMMYFUNCTION("""COMPUTED_VALUE"""),0.3333333333333333)</f>
        <v>0.3333333333</v>
      </c>
      <c r="J2319" s="82">
        <f>IFERROR(__xludf.DUMMYFUNCTION("""COMPUTED_VALUE"""),385.9047619047619)</f>
        <v>385.9047619</v>
      </c>
      <c r="K2319" s="82">
        <f>IFERROR(__xludf.DUMMYFUNCTION("""COMPUTED_VALUE"""),0.8571428571428571)</f>
        <v>0.8571428571</v>
      </c>
      <c r="L2319" s="82">
        <f>IFERROR(__xludf.DUMMYFUNCTION("""COMPUTED_VALUE"""),0.8571428571428571)</f>
        <v>0.8571428571</v>
      </c>
      <c r="M2319" s="82">
        <f>IFERROR(__xludf.DUMMYFUNCTION("""COMPUTED_VALUE"""),1.5714285714285714)</f>
        <v>1.571428571</v>
      </c>
      <c r="N2319" s="82">
        <f>IFERROR(__xludf.DUMMYFUNCTION("""COMPUTED_VALUE"""),2.5714285714285716)</f>
        <v>2.571428571</v>
      </c>
      <c r="O2319" s="82">
        <f>IFERROR(__xludf.DUMMYFUNCTION("""COMPUTED_VALUE"""),355.82539682539675)</f>
        <v>355.8253968</v>
      </c>
      <c r="P2319" s="82">
        <f>IFERROR(__xludf.DUMMYFUNCTION("""COMPUTED_VALUE"""),0.7301587301587302)</f>
        <v>0.7301587302</v>
      </c>
      <c r="Q2319" s="82">
        <f>IFERROR(__xludf.DUMMYFUNCTION("""COMPUTED_VALUE"""),0.5714285714285715)</f>
        <v>0.5714285714</v>
      </c>
      <c r="R2319" s="82">
        <f>IFERROR(__xludf.DUMMYFUNCTION("""COMPUTED_VALUE"""),1.4126984126984126)</f>
        <v>1.412698413</v>
      </c>
      <c r="S2319" s="82">
        <f>IFERROR(__xludf.DUMMYFUNCTION("""COMPUTED_VALUE"""),2.365079365079365)</f>
        <v>2.365079365</v>
      </c>
      <c r="T2319" s="82">
        <f>IFERROR(__xludf.DUMMYFUNCTION("""COMPUTED_VALUE"""),337.6025859987505)</f>
        <v>337.602586</v>
      </c>
      <c r="U2319" s="82">
        <f>IFERROR(__xludf.DUMMYFUNCTION("""COMPUTED_VALUE"""),0.7791565072313766)</f>
        <v>0.7791565072</v>
      </c>
      <c r="V2319" s="82">
        <f>IFERROR(__xludf.DUMMYFUNCTION("""COMPUTED_VALUE"""),0.5339443822108758)</f>
        <v>0.5339443822</v>
      </c>
      <c r="W2319" s="82">
        <f>IFERROR(__xludf.DUMMYFUNCTION("""COMPUTED_VALUE"""),1.2760059842555056)</f>
        <v>1.276005984</v>
      </c>
      <c r="X2319" s="82">
        <f>IFERROR(__xludf.DUMMYFUNCTION("""COMPUTED_VALUE"""),2.4729738870024027)</f>
        <v>2.472973887</v>
      </c>
      <c r="Y2319" s="82">
        <f>IFERROR(__xludf.DUMMYFUNCTION("""COMPUTED_VALUE"""),351.85436661700726)</f>
        <v>351.8543666</v>
      </c>
      <c r="Z2319" s="82">
        <f>IFERROR(__xludf.DUMMYFUNCTION("""COMPUTED_VALUE"""),0.8303213502376303)</f>
        <v>0.8303213502</v>
      </c>
      <c r="AA2319" s="82">
        <f>IFERROR(__xludf.DUMMYFUNCTION("""COMPUTED_VALUE"""),0.5975368197946286)</f>
        <v>0.5975368198</v>
      </c>
      <c r="AB2319" s="82">
        <f>IFERROR(__xludf.DUMMYFUNCTION("""COMPUTED_VALUE"""),1.2792494545473194)</f>
        <v>1.279249455</v>
      </c>
      <c r="AC2319" s="82">
        <f>IFERROR(__xludf.DUMMYFUNCTION("""COMPUTED_VALUE"""),2.595626299872292)</f>
        <v>2.5956263</v>
      </c>
      <c r="AD2319" s="82">
        <f>IFERROR(__xludf.DUMMYFUNCTION("""COMPUTED_VALUE"""),1.0967741159933322)</f>
        <v>1.096774116</v>
      </c>
      <c r="AE2319" s="82">
        <f>IFERROR(__xludf.DUMMYFUNCTION("""COMPUTED_VALUE"""),1.0323025620111428)</f>
        <v>1.032302562</v>
      </c>
      <c r="AF2319" s="82">
        <f>IFERROR(__xludf.DUMMYFUNCTION("""COMPUTED_VALUE"""),1.4344603190100558)</f>
        <v>1.434460319</v>
      </c>
      <c r="AG2319" s="82">
        <f>IFERROR(__xludf.DUMMYFUNCTION("""COMPUTED_VALUE"""),1.2283988598491478)</f>
        <v>1.22839886</v>
      </c>
      <c r="AH2319" s="82">
        <f>IFERROR(__xludf.DUMMYFUNCTION("""COMPUTED_VALUE"""),0.9906774991280867)</f>
        <v>0.9906774991</v>
      </c>
      <c r="AI2319" s="82">
        <f>IFERROR(__xludf.DUMMYFUNCTION("""COMPUTED_VALUE"""),1.0539771067592287)</f>
        <v>1.053977107</v>
      </c>
      <c r="AJ2319" s="82">
        <f>IFERROR(__xludf.DUMMYFUNCTION("""COMPUTED_VALUE"""),0.9371143324635084)</f>
        <v>0.9371143325</v>
      </c>
      <c r="AK2319" s="82">
        <f>IFERROR(__xludf.DUMMYFUNCTION("""COMPUTED_VALUE"""),1.0702024226989464)</f>
        <v>1.070202423</v>
      </c>
      <c r="AL2319" s="82">
        <f>IFERROR(__xludf.DUMMYFUNCTION("""COMPUTED_VALUE"""),1.1071252252180157)</f>
        <v>1.107125225</v>
      </c>
      <c r="AM2319" s="82">
        <f>IFERROR(__xludf.DUMMYFUNCTION("""COMPUTED_VALUE"""),0.9563705373153693)</f>
        <v>0.9563705373</v>
      </c>
      <c r="AN2319" s="82">
        <f>IFERROR(__xludf.DUMMYFUNCTION("""COMPUTED_VALUE"""),1.1862332472184467)</f>
        <v>1.186233247</v>
      </c>
      <c r="AO2319" s="82">
        <f>IFERROR(__xludf.DUMMYFUNCTION("""COMPUTED_VALUE"""),1.1728125548521076)</f>
        <v>1.172812555</v>
      </c>
      <c r="AP2319" s="82">
        <f>IFERROR(__xludf.DUMMYFUNCTION("""COMPUTED_VALUE"""),1.662575492685989)</f>
        <v>1.662575493</v>
      </c>
      <c r="AQ2319" s="82">
        <f>IFERROR(__xludf.DUMMYFUNCTION("""COMPUTED_VALUE"""),1.3033176958826462)</f>
        <v>1.303317696</v>
      </c>
      <c r="AR2319" s="82">
        <f>IFERROR(__xludf.DUMMYFUNCTION("""COMPUTED_VALUE"""),1.0806238066115008)</f>
        <v>1.080623807</v>
      </c>
      <c r="AS2319" s="82">
        <f>IFERROR(__xludf.DUMMYFUNCTION("""COMPUTED_VALUE"""),62.0)</f>
        <v>62</v>
      </c>
      <c r="AT2319" s="82">
        <f>IFERROR(__xludf.DUMMYFUNCTION("""COMPUTED_VALUE"""),0.617177221392091)</f>
        <v>0.6171772214</v>
      </c>
      <c r="AU2319" s="82">
        <f>IFERROR(__xludf.DUMMYFUNCTION("""COMPUTED_VALUE"""),3.7163488707211636)</f>
        <v>3.716348871</v>
      </c>
      <c r="AV2319" s="82">
        <f>IFERROR(__xludf.DUMMYFUNCTION("""COMPUTED_VALUE"""),72.78411997560158)</f>
        <v>72.78411998</v>
      </c>
      <c r="AW2319" s="82">
        <f t="shared" si="1"/>
        <v>5.523287369</v>
      </c>
      <c r="AX2319" s="83">
        <f t="array" ref="AX2319">IFERROR(DGET('SBV Import'!A:G,"SBV",{"RSC ID","Tier";B2319,A2319}))</f>
        <v>66.36360135</v>
      </c>
      <c r="AY2319" s="82">
        <f t="shared" si="2"/>
        <v>3.900449951</v>
      </c>
      <c r="AZ2319" s="82">
        <v>1.6228374175085083</v>
      </c>
      <c r="BA2319" s="84">
        <v>2300.0</v>
      </c>
      <c r="BB2319" s="84" t="b">
        <f>IFERROR(__xludf.DUMMYFUNCTION("iferror(if(A2319="""",,E2319&gt;=FILTER(Constants!$F$2:$F$10,Constants!$A$2:$A$10=A2319)))"),TRUE)</f>
        <v>1</v>
      </c>
    </row>
    <row r="2320">
      <c r="A2320" s="89" t="str">
        <f>IFERROR(__xludf.DUMMYFUNCTION("""COMPUTED_VALUE"""),"Challenger")</f>
        <v>Challenger</v>
      </c>
      <c r="B2320" s="87" t="str">
        <f>IFERROR(__xludf.DUMMYFUNCTION("""COMPUTED_VALUE"""),"RSC006159")</f>
        <v>RSC006159</v>
      </c>
      <c r="C2320" s="73" t="str">
        <f>IFERROR(__xludf.DUMMYFUNCTION("""COMPUTED_VALUE"""),"Peter Potamus")</f>
        <v>Peter Potamus</v>
      </c>
      <c r="D2320" s="73" t="str">
        <f>IFERROR(__xludf.DUMMYFUNCTION("""COMPUTED_VALUE"""),"Lions")</f>
        <v>Lions</v>
      </c>
      <c r="E2320" s="82">
        <f>IFERROR(__xludf.DUMMYFUNCTION("""COMPUTED_VALUE"""),36.0)</f>
        <v>36</v>
      </c>
      <c r="F2320" s="82">
        <f>IFERROR(__xludf.DUMMYFUNCTION("""COMPUTED_VALUE"""),19.0)</f>
        <v>19</v>
      </c>
      <c r="G2320" s="86">
        <f>IFERROR(__xludf.DUMMYFUNCTION("""COMPUTED_VALUE"""),17.0)</f>
        <v>17</v>
      </c>
      <c r="H2320" s="86">
        <f>IFERROR(__xludf.DUMMYFUNCTION("""COMPUTED_VALUE"""),0.5277777777777778)</f>
        <v>0.5277777778</v>
      </c>
      <c r="I2320" s="86">
        <f>IFERROR(__xludf.DUMMYFUNCTION("""COMPUTED_VALUE"""),0.3703703703703704)</f>
        <v>0.3703703704</v>
      </c>
      <c r="J2320" s="82">
        <f>IFERROR(__xludf.DUMMYFUNCTION("""COMPUTED_VALUE"""),347.55555555555554)</f>
        <v>347.5555556</v>
      </c>
      <c r="K2320" s="82">
        <f>IFERROR(__xludf.DUMMYFUNCTION("""COMPUTED_VALUE"""),1.1111111111111112)</f>
        <v>1.111111111</v>
      </c>
      <c r="L2320" s="82">
        <f>IFERROR(__xludf.DUMMYFUNCTION("""COMPUTED_VALUE"""),0.3888888888888889)</f>
        <v>0.3888888889</v>
      </c>
      <c r="M2320" s="82">
        <f>IFERROR(__xludf.DUMMYFUNCTION("""COMPUTED_VALUE"""),0.9722222222222222)</f>
        <v>0.9722222222</v>
      </c>
      <c r="N2320" s="82">
        <f>IFERROR(__xludf.DUMMYFUNCTION("""COMPUTED_VALUE"""),3.0)</f>
        <v>3</v>
      </c>
      <c r="O2320" s="82">
        <f>IFERROR(__xludf.DUMMYFUNCTION("""COMPUTED_VALUE"""),325.81481481481484)</f>
        <v>325.8148148</v>
      </c>
      <c r="P2320" s="82">
        <f>IFERROR(__xludf.DUMMYFUNCTION("""COMPUTED_VALUE"""),0.685185185185185)</f>
        <v>0.6851851852</v>
      </c>
      <c r="Q2320" s="82">
        <f>IFERROR(__xludf.DUMMYFUNCTION("""COMPUTED_VALUE"""),0.4444444444444444)</f>
        <v>0.4444444444</v>
      </c>
      <c r="R2320" s="82">
        <f>IFERROR(__xludf.DUMMYFUNCTION("""COMPUTED_VALUE"""),1.3796296296296293)</f>
        <v>1.37962963</v>
      </c>
      <c r="S2320" s="82">
        <f>IFERROR(__xludf.DUMMYFUNCTION("""COMPUTED_VALUE"""),2.0925925925925926)</f>
        <v>2.092592593</v>
      </c>
      <c r="T2320" s="82">
        <f>IFERROR(__xludf.DUMMYFUNCTION("""COMPUTED_VALUE"""),339.0777634674157)</f>
        <v>339.0777635</v>
      </c>
      <c r="U2320" s="82">
        <f>IFERROR(__xludf.DUMMYFUNCTION("""COMPUTED_VALUE"""),0.759986054994028)</f>
        <v>0.759986055</v>
      </c>
      <c r="V2320" s="82">
        <f>IFERROR(__xludf.DUMMYFUNCTION("""COMPUTED_VALUE"""),0.5095504178644883)</f>
        <v>0.5095504179</v>
      </c>
      <c r="W2320" s="82">
        <f>IFERROR(__xludf.DUMMYFUNCTION("""COMPUTED_VALUE"""),1.2952470500231197)</f>
        <v>1.29524705</v>
      </c>
      <c r="X2320" s="82">
        <f>IFERROR(__xludf.DUMMYFUNCTION("""COMPUTED_VALUE"""),2.3614647745878616)</f>
        <v>2.361464775</v>
      </c>
      <c r="Y2320" s="82">
        <f>IFERROR(__xludf.DUMMYFUNCTION("""COMPUTED_VALUE"""),338.860145643706)</f>
        <v>338.8601456</v>
      </c>
      <c r="Z2320" s="82">
        <f>IFERROR(__xludf.DUMMYFUNCTION("""COMPUTED_VALUE"""),0.7981446748527552)</f>
        <v>0.7981446749</v>
      </c>
      <c r="AA2320" s="82">
        <f>IFERROR(__xludf.DUMMYFUNCTION("""COMPUTED_VALUE"""),0.5617634971614431)</f>
        <v>0.5617634972</v>
      </c>
      <c r="AB2320" s="82">
        <f>IFERROR(__xludf.DUMMYFUNCTION("""COMPUTED_VALUE"""),1.1844905990154988)</f>
        <v>1.184490599</v>
      </c>
      <c r="AC2320" s="82">
        <f>IFERROR(__xludf.DUMMYFUNCTION("""COMPUTED_VALUE"""),2.5674100298805502)</f>
        <v>2.56741003</v>
      </c>
      <c r="AD2320" s="82">
        <f>IFERROR(__xludf.DUMMYFUNCTION("""COMPUTED_VALUE"""),1.0256607630718317)</f>
        <v>1.025660763</v>
      </c>
      <c r="AE2320" s="82">
        <f>IFERROR(__xludf.DUMMYFUNCTION("""COMPUTED_VALUE"""),1.3921174269766232)</f>
        <v>1.392117427</v>
      </c>
      <c r="AF2320" s="82">
        <f>IFERROR(__xludf.DUMMYFUNCTION("""COMPUTED_VALUE"""),0.6922644330824641)</f>
        <v>0.6922644331</v>
      </c>
      <c r="AG2320" s="82">
        <f>IFERROR(__xludf.DUMMYFUNCTION("""COMPUTED_VALUE"""),0.8207935318611177)</f>
        <v>0.8207935319</v>
      </c>
      <c r="AH2320" s="82">
        <f>IFERROR(__xludf.DUMMYFUNCTION("""COMPUTED_VALUE"""),1.1684927475879558)</f>
        <v>1.168492748</v>
      </c>
      <c r="AI2320" s="82">
        <f>IFERROR(__xludf.DUMMYFUNCTION("""COMPUTED_VALUE"""),0.9608852302286836)</f>
        <v>0.9608852302</v>
      </c>
      <c r="AJ2320" s="82">
        <f>IFERROR(__xludf.DUMMYFUNCTION("""COMPUTED_VALUE"""),0.9015759969313768)</f>
        <v>0.9015759969</v>
      </c>
      <c r="AK2320" s="82">
        <f>IFERROR(__xludf.DUMMYFUNCTION("""COMPUTED_VALUE"""),0.8722285938005876)</f>
        <v>0.8722285938</v>
      </c>
      <c r="AL2320" s="82">
        <f>IFERROR(__xludf.DUMMYFUNCTION("""COMPUTED_VALUE"""),1.0651478647297468)</f>
        <v>1.065147865</v>
      </c>
      <c r="AM2320" s="82">
        <f>IFERROR(__xludf.DUMMYFUNCTION("""COMPUTED_VALUE"""),0.8861417773880644)</f>
        <v>0.8861417774</v>
      </c>
      <c r="AN2320" s="82">
        <f>IFERROR(__xludf.DUMMYFUNCTION("""COMPUTED_VALUE"""),1.0683515622365543)</f>
        <v>1.068351562</v>
      </c>
      <c r="AO2320" s="82">
        <f>IFERROR(__xludf.DUMMYFUNCTION("""COMPUTED_VALUE"""),1.520312571104584)</f>
        <v>1.520312571</v>
      </c>
      <c r="AP2320" s="82">
        <f>IFERROR(__xludf.DUMMYFUNCTION("""COMPUTED_VALUE"""),0.7543166587186432)</f>
        <v>0.7543166587</v>
      </c>
      <c r="AQ2320" s="82">
        <f>IFERROR(__xludf.DUMMYFUNCTION("""COMPUTED_VALUE"""),0.8063455441698191)</f>
        <v>0.8063455442</v>
      </c>
      <c r="AR2320" s="82">
        <f>IFERROR(__xludf.DUMMYFUNCTION("""COMPUTED_VALUE"""),1.2607277743800842)</f>
        <v>1.260727774</v>
      </c>
      <c r="AS2320" s="82">
        <f>IFERROR(__xludf.DUMMYFUNCTION("""COMPUTED_VALUE"""),92.0)</f>
        <v>92</v>
      </c>
      <c r="AT2320" s="82">
        <f>IFERROR(__xludf.DUMMYFUNCTION("""COMPUTED_VALUE"""),0.5836102579705201)</f>
        <v>0.583610258</v>
      </c>
      <c r="AU2320" s="82">
        <f>IFERROR(__xludf.DUMMYFUNCTION("""COMPUTED_VALUE"""),3.7115004016728737)</f>
        <v>3.711500402</v>
      </c>
      <c r="AV2320" s="82">
        <f>IFERROR(__xludf.DUMMYFUNCTION("""COMPUTED_VALUE"""),72.65758336634349)</f>
        <v>72.65758337</v>
      </c>
      <c r="AW2320" s="82">
        <f t="shared" si="1"/>
        <v>5.482827058</v>
      </c>
      <c r="AX2320" s="83">
        <f t="array" ref="AX2320">IFERROR(DGET('SBV Import'!A:G,"SBV",{"RSC ID","Tier";B2320,A2320}))</f>
        <v>62.59022507</v>
      </c>
      <c r="AY2320" s="82">
        <f t="shared" si="2"/>
        <v>3.254487065</v>
      </c>
      <c r="AZ2320" s="82">
        <v>2.2283399928453753</v>
      </c>
      <c r="BA2320" s="84">
        <v>2300.0</v>
      </c>
      <c r="BB2320" s="84" t="b">
        <f>IFERROR(__xludf.DUMMYFUNCTION("iferror(if(A2320="""",,E2320&gt;=FILTER(Constants!$F$2:$F$10,Constants!$A$2:$A$10=A2320)))"),TRUE)</f>
        <v>1</v>
      </c>
    </row>
    <row r="2321">
      <c r="A2321" s="89" t="str">
        <f>IFERROR(__xludf.DUMMYFUNCTION("""COMPUTED_VALUE"""),"Challenger")</f>
        <v>Challenger</v>
      </c>
      <c r="B2321" s="87" t="str">
        <f>IFERROR(__xludf.DUMMYFUNCTION("""COMPUTED_VALUE"""),"RSC003450")</f>
        <v>RSC003450</v>
      </c>
      <c r="C2321" s="73" t="str">
        <f>IFERROR(__xludf.DUMMYFUNCTION("""COMPUTED_VALUE"""),"ChronoElevated")</f>
        <v>ChronoElevated</v>
      </c>
      <c r="D2321" s="73" t="str">
        <f>IFERROR(__xludf.DUMMYFUNCTION("""COMPUTED_VALUE"""),"Mugged")</f>
        <v>Mugged</v>
      </c>
      <c r="E2321" s="82">
        <f>IFERROR(__xludf.DUMMYFUNCTION("""COMPUTED_VALUE"""),30.0)</f>
        <v>30</v>
      </c>
      <c r="F2321" s="82">
        <f>IFERROR(__xludf.DUMMYFUNCTION("""COMPUTED_VALUE"""),19.0)</f>
        <v>19</v>
      </c>
      <c r="G2321" s="86">
        <f>IFERROR(__xludf.DUMMYFUNCTION("""COMPUTED_VALUE"""),11.0)</f>
        <v>11</v>
      </c>
      <c r="H2321" s="86">
        <f>IFERROR(__xludf.DUMMYFUNCTION("""COMPUTED_VALUE"""),0.6333333333333333)</f>
        <v>0.6333333333</v>
      </c>
      <c r="I2321" s="86">
        <f>IFERROR(__xludf.DUMMYFUNCTION("""COMPUTED_VALUE"""),0.33333333333333337)</f>
        <v>0.3333333333</v>
      </c>
      <c r="J2321" s="82">
        <f>IFERROR(__xludf.DUMMYFUNCTION("""COMPUTED_VALUE"""),345.8666666666667)</f>
        <v>345.8666667</v>
      </c>
      <c r="K2321" s="82">
        <f>IFERROR(__xludf.DUMMYFUNCTION("""COMPUTED_VALUE"""),0.9666666666666667)</f>
        <v>0.9666666667</v>
      </c>
      <c r="L2321" s="82">
        <f>IFERROR(__xludf.DUMMYFUNCTION("""COMPUTED_VALUE"""),0.7333333333333333)</f>
        <v>0.7333333333</v>
      </c>
      <c r="M2321" s="82">
        <f>IFERROR(__xludf.DUMMYFUNCTION("""COMPUTED_VALUE"""),1.0333333333333334)</f>
        <v>1.033333333</v>
      </c>
      <c r="N2321" s="82">
        <f>IFERROR(__xludf.DUMMYFUNCTION("""COMPUTED_VALUE"""),2.9)</f>
        <v>2.9</v>
      </c>
      <c r="O2321" s="82">
        <f>IFERROR(__xludf.DUMMYFUNCTION("""COMPUTED_VALUE"""),339.22222222222234)</f>
        <v>339.2222222</v>
      </c>
      <c r="P2321" s="82">
        <f>IFERROR(__xludf.DUMMYFUNCTION("""COMPUTED_VALUE"""),0.8222222222222223)</f>
        <v>0.8222222222</v>
      </c>
      <c r="Q2321" s="82">
        <f>IFERROR(__xludf.DUMMYFUNCTION("""COMPUTED_VALUE"""),0.5666666666666667)</f>
        <v>0.5666666667</v>
      </c>
      <c r="R2321" s="82">
        <f>IFERROR(__xludf.DUMMYFUNCTION("""COMPUTED_VALUE"""),1.1888888888888889)</f>
        <v>1.188888889</v>
      </c>
      <c r="S2321" s="82">
        <f>IFERROR(__xludf.DUMMYFUNCTION("""COMPUTED_VALUE"""),2.566666666666666)</f>
        <v>2.566666667</v>
      </c>
      <c r="T2321" s="82">
        <f>IFERROR(__xludf.DUMMYFUNCTION("""COMPUTED_VALUE"""),334.94076865356357)</f>
        <v>334.9407687</v>
      </c>
      <c r="U2321" s="82">
        <f>IFERROR(__xludf.DUMMYFUNCTION("""COMPUTED_VALUE"""),0.7586452123684547)</f>
        <v>0.7586452124</v>
      </c>
      <c r="V2321" s="82">
        <f>IFERROR(__xludf.DUMMYFUNCTION("""COMPUTED_VALUE"""),0.516996709658761)</f>
        <v>0.5169967097</v>
      </c>
      <c r="W2321" s="82">
        <f>IFERROR(__xludf.DUMMYFUNCTION("""COMPUTED_VALUE"""),1.281226716327597)</f>
        <v>1.281226716</v>
      </c>
      <c r="X2321" s="82">
        <f>IFERROR(__xludf.DUMMYFUNCTION("""COMPUTED_VALUE"""),2.424253996588108)</f>
        <v>2.424253997</v>
      </c>
      <c r="Y2321" s="82">
        <f>IFERROR(__xludf.DUMMYFUNCTION("""COMPUTED_VALUE"""),345.0126379816886)</f>
        <v>345.012638</v>
      </c>
      <c r="Z2321" s="82">
        <f>IFERROR(__xludf.DUMMYFUNCTION("""COMPUTED_VALUE"""),0.8020631723141096)</f>
        <v>0.8020631723</v>
      </c>
      <c r="AA2321" s="82">
        <f>IFERROR(__xludf.DUMMYFUNCTION("""COMPUTED_VALUE"""),0.5751279718202282)</f>
        <v>0.5751279718</v>
      </c>
      <c r="AB2321" s="82">
        <f>IFERROR(__xludf.DUMMYFUNCTION("""COMPUTED_VALUE"""),1.250421247538128)</f>
        <v>1.250421248</v>
      </c>
      <c r="AC2321" s="82">
        <f>IFERROR(__xludf.DUMMYFUNCTION("""COMPUTED_VALUE"""),2.5417560222309104)</f>
        <v>2.541756022</v>
      </c>
      <c r="AD2321" s="82">
        <f>IFERROR(__xludf.DUMMYFUNCTION("""COMPUTED_VALUE"""),1.0024753547869263)</f>
        <v>1.002475355</v>
      </c>
      <c r="AE2321" s="82">
        <f>IFERROR(__xludf.DUMMYFUNCTION("""COMPUTED_VALUE"""),1.205225099511356)</f>
        <v>1.2052251</v>
      </c>
      <c r="AF2321" s="82">
        <f>IFERROR(__xludf.DUMMYFUNCTION("""COMPUTED_VALUE"""),1.2750785377598648)</f>
        <v>1.275078538</v>
      </c>
      <c r="AG2321" s="82">
        <f>IFERROR(__xludf.DUMMYFUNCTION("""COMPUTED_VALUE"""),0.8263881754790998)</f>
        <v>0.8263881755</v>
      </c>
      <c r="AH2321" s="82">
        <f>IFERROR(__xludf.DUMMYFUNCTION("""COMPUTED_VALUE"""),1.1409434952197566)</f>
        <v>1.140943495</v>
      </c>
      <c r="AI2321" s="82">
        <f>IFERROR(__xludf.DUMMYFUNCTION("""COMPUTED_VALUE"""),1.0127827185262335)</f>
        <v>1.012782719</v>
      </c>
      <c r="AJ2321" s="82">
        <f>IFERROR(__xludf.DUMMYFUNCTION("""COMPUTED_VALUE"""),1.0838033494672472)</f>
        <v>1.083803349</v>
      </c>
      <c r="AK2321" s="82">
        <f>IFERROR(__xludf.DUMMYFUNCTION("""COMPUTED_VALUE"""),1.0960740292538609)</f>
        <v>1.096074029</v>
      </c>
      <c r="AL2321" s="82">
        <f>IFERROR(__xludf.DUMMYFUNCTION("""COMPUTED_VALUE"""),0.9279301420568424)</f>
        <v>0.9279301421</v>
      </c>
      <c r="AM2321" s="82">
        <f>IFERROR(__xludf.DUMMYFUNCTION("""COMPUTED_VALUE"""),1.058744945982966)</f>
        <v>1.058744946</v>
      </c>
      <c r="AN2321" s="82">
        <f>IFERROR(__xludf.DUMMYFUNCTION("""COMPUTED_VALUE"""),1.063160084056888)</f>
        <v>1.063160084</v>
      </c>
      <c r="AO2321" s="82">
        <f>IFERROR(__xludf.DUMMYFUNCTION("""COMPUTED_VALUE"""),1.322671936860988)</f>
        <v>1.322671937</v>
      </c>
      <c r="AP2321" s="82">
        <f>IFERROR(__xludf.DUMMYFUNCTION("""COMPUTED_VALUE"""),1.4224256992980127)</f>
        <v>1.422425699</v>
      </c>
      <c r="AQ2321" s="82">
        <f>IFERROR(__xludf.DUMMYFUNCTION("""COMPUTED_VALUE"""),0.8570301212319221)</f>
        <v>0.8570301212</v>
      </c>
      <c r="AR2321" s="82">
        <f>IFERROR(__xludf.DUMMYFUNCTION("""COMPUTED_VALUE"""),1.2187035152340815)</f>
        <v>1.218703515</v>
      </c>
      <c r="AS2321" s="82">
        <f>IFERROR(__xludf.DUMMYFUNCTION("""COMPUTED_VALUE"""),82.0)</f>
        <v>82</v>
      </c>
      <c r="AT2321" s="82">
        <f>IFERROR(__xludf.DUMMYFUNCTION("""COMPUTED_VALUE"""),0.5410987419652857)</f>
        <v>0.541098742</v>
      </c>
      <c r="AU2321" s="82">
        <f>IFERROR(__xludf.DUMMYFUNCTION("""COMPUTED_VALUE"""),3.7024605990085178)</f>
        <v>3.702460599</v>
      </c>
      <c r="AV2321" s="82">
        <f>IFERROR(__xludf.DUMMYFUNCTION("""COMPUTED_VALUE"""),72.42166023965811)</f>
        <v>72.42166024</v>
      </c>
      <c r="AW2321" s="82">
        <f t="shared" si="1"/>
        <v>5.408472067</v>
      </c>
      <c r="AX2321" s="83">
        <f t="array" ref="AX2321">IFERROR(DGET('SBV Import'!A:G,"SBV",{"RSC ID","Tier";B2321,A2321}))</f>
        <v>59.98112651</v>
      </c>
      <c r="AY2321" s="82">
        <f t="shared" si="2"/>
        <v>2.899758351</v>
      </c>
      <c r="AZ2321" s="82">
        <v>2.508713715438725</v>
      </c>
      <c r="BA2321" s="84">
        <v>2300.0</v>
      </c>
      <c r="BB2321" s="84" t="b">
        <f>IFERROR(__xludf.DUMMYFUNCTION("iferror(if(A2321="""",,E2321&gt;=FILTER(Constants!$F$2:$F$10,Constants!$A$2:$A$10=A2321)))"),TRUE)</f>
        <v>1</v>
      </c>
    </row>
    <row r="2322">
      <c r="A2322" s="89" t="str">
        <f>IFERROR(__xludf.DUMMYFUNCTION("""COMPUTED_VALUE"""),"Challenger")</f>
        <v>Challenger</v>
      </c>
      <c r="B2322" s="87" t="str">
        <f>IFERROR(__xludf.DUMMYFUNCTION("""COMPUTED_VALUE"""),"RSC006769")</f>
        <v>RSC006769</v>
      </c>
      <c r="C2322" s="73" t="str">
        <f>IFERROR(__xludf.DUMMYFUNCTION("""COMPUTED_VALUE"""),"baltostorm")</f>
        <v>baltostorm</v>
      </c>
      <c r="D2322" s="73" t="str">
        <f>IFERROR(__xludf.DUMMYFUNCTION("""COMPUTED_VALUE"""),"Decuriones")</f>
        <v>Decuriones</v>
      </c>
      <c r="E2322" s="82">
        <f>IFERROR(__xludf.DUMMYFUNCTION("""COMPUTED_VALUE"""),20.0)</f>
        <v>20</v>
      </c>
      <c r="F2322" s="82">
        <f>IFERROR(__xludf.DUMMYFUNCTION("""COMPUTED_VALUE"""),12.0)</f>
        <v>12</v>
      </c>
      <c r="G2322" s="86">
        <f>IFERROR(__xludf.DUMMYFUNCTION("""COMPUTED_VALUE"""),8.0)</f>
        <v>8</v>
      </c>
      <c r="H2322" s="86">
        <f>IFERROR(__xludf.DUMMYFUNCTION("""COMPUTED_VALUE"""),0.6)</f>
        <v>0.6</v>
      </c>
      <c r="I2322" s="86">
        <f>IFERROR(__xludf.DUMMYFUNCTION("""COMPUTED_VALUE"""),0.36363636363636365)</f>
        <v>0.3636363636</v>
      </c>
      <c r="J2322" s="82">
        <f>IFERROR(__xludf.DUMMYFUNCTION("""COMPUTED_VALUE"""),355.25)</f>
        <v>355.25</v>
      </c>
      <c r="K2322" s="82">
        <f>IFERROR(__xludf.DUMMYFUNCTION("""COMPUTED_VALUE"""),1.0)</f>
        <v>1</v>
      </c>
      <c r="L2322" s="82">
        <f>IFERROR(__xludf.DUMMYFUNCTION("""COMPUTED_VALUE"""),0.55)</f>
        <v>0.55</v>
      </c>
      <c r="M2322" s="82">
        <f>IFERROR(__xludf.DUMMYFUNCTION("""COMPUTED_VALUE"""),1.15)</f>
        <v>1.15</v>
      </c>
      <c r="N2322" s="82">
        <f>IFERROR(__xludf.DUMMYFUNCTION("""COMPUTED_VALUE"""),2.75)</f>
        <v>2.75</v>
      </c>
      <c r="O2322" s="82">
        <f>IFERROR(__xludf.DUMMYFUNCTION("""COMPUTED_VALUE"""),315.08333333333337)</f>
        <v>315.0833333</v>
      </c>
      <c r="P2322" s="82">
        <f>IFERROR(__xludf.DUMMYFUNCTION("""COMPUTED_VALUE"""),0.65)</f>
        <v>0.65</v>
      </c>
      <c r="Q2322" s="82">
        <f>IFERROR(__xludf.DUMMYFUNCTION("""COMPUTED_VALUE"""),0.5333333333333333)</f>
        <v>0.5333333333</v>
      </c>
      <c r="R2322" s="82">
        <f>IFERROR(__xludf.DUMMYFUNCTION("""COMPUTED_VALUE"""),1.2166666666666666)</f>
        <v>1.216666667</v>
      </c>
      <c r="S2322" s="82">
        <f>IFERROR(__xludf.DUMMYFUNCTION("""COMPUTED_VALUE"""),2.1166666666666667)</f>
        <v>2.116666667</v>
      </c>
      <c r="T2322" s="82">
        <f>IFERROR(__xludf.DUMMYFUNCTION("""COMPUTED_VALUE"""),335.132293937553)</f>
        <v>335.1322939</v>
      </c>
      <c r="U2322" s="82">
        <f>IFERROR(__xludf.DUMMYFUNCTION("""COMPUTED_VALUE"""),0.7433845772269099)</f>
        <v>0.7433845772</v>
      </c>
      <c r="V2322" s="82">
        <f>IFERROR(__xludf.DUMMYFUNCTION("""COMPUTED_VALUE"""),0.5003728301479341)</f>
        <v>0.5003728301</v>
      </c>
      <c r="W2322" s="82">
        <f>IFERROR(__xludf.DUMMYFUNCTION("""COMPUTED_VALUE"""),1.2739258471372676)</f>
        <v>1.273925847</v>
      </c>
      <c r="X2322" s="82">
        <f>IFERROR(__xludf.DUMMYFUNCTION("""COMPUTED_VALUE"""),2.3560279138608777)</f>
        <v>2.356027914</v>
      </c>
      <c r="Y2322" s="82">
        <f>IFERROR(__xludf.DUMMYFUNCTION("""COMPUTED_VALUE"""),336.82826391101605)</f>
        <v>336.8282639</v>
      </c>
      <c r="Z2322" s="82">
        <f>IFERROR(__xludf.DUMMYFUNCTION("""COMPUTED_VALUE"""),0.7765195961560487)</f>
        <v>0.7765195962</v>
      </c>
      <c r="AA2322" s="82">
        <f>IFERROR(__xludf.DUMMYFUNCTION("""COMPUTED_VALUE"""),0.5272332044104979)</f>
        <v>0.5272332044</v>
      </c>
      <c r="AB2322" s="82">
        <f>IFERROR(__xludf.DUMMYFUNCTION("""COMPUTED_VALUE"""),1.239773273832513)</f>
        <v>1.239773274</v>
      </c>
      <c r="AC2322" s="82">
        <f>IFERROR(__xludf.DUMMYFUNCTION("""COMPUTED_VALUE"""),2.4953760543501113)</f>
        <v>2.495376054</v>
      </c>
      <c r="AD2322" s="82">
        <f>IFERROR(__xludf.DUMMYFUNCTION("""COMPUTED_VALUE"""),1.0546917763820753)</f>
        <v>1.054691776</v>
      </c>
      <c r="AE2322" s="82">
        <f>IFERROR(__xludf.DUMMYFUNCTION("""COMPUTED_VALUE"""),1.287797506914482)</f>
        <v>1.287797507</v>
      </c>
      <c r="AF2322" s="82">
        <f>IFERROR(__xludf.DUMMYFUNCTION("""COMPUTED_VALUE"""),1.043181642201306)</f>
        <v>1.043181642</v>
      </c>
      <c r="AG2322" s="82">
        <f>IFERROR(__xludf.DUMMYFUNCTION("""COMPUTED_VALUE"""),0.9275889586206382)</f>
        <v>0.9275889586</v>
      </c>
      <c r="AH2322" s="82">
        <f>IFERROR(__xludf.DUMMYFUNCTION("""COMPUTED_VALUE"""),1.102038306092587)</f>
        <v>1.102038306</v>
      </c>
      <c r="AI2322" s="82">
        <f>IFERROR(__xludf.DUMMYFUNCTION("""COMPUTED_VALUE"""),0.9401759813455773)</f>
        <v>0.9401759813</v>
      </c>
      <c r="AJ2322" s="82">
        <f>IFERROR(__xludf.DUMMYFUNCTION("""COMPUTED_VALUE"""),0.8743791839544645)</f>
        <v>0.874379184</v>
      </c>
      <c r="AK2322" s="82">
        <f>IFERROR(__xludf.DUMMYFUNCTION("""COMPUTED_VALUE"""),1.065871888319065)</f>
        <v>1.065871888</v>
      </c>
      <c r="AL2322" s="82">
        <f>IFERROR(__xludf.DUMMYFUNCTION("""COMPUTED_VALUE"""),0.9550529721967158)</f>
        <v>0.9550529722</v>
      </c>
      <c r="AM2322" s="82">
        <f>IFERROR(__xludf.DUMMYFUNCTION("""COMPUTED_VALUE"""),0.8984047490328906)</f>
        <v>0.898404749</v>
      </c>
      <c r="AN2322" s="82">
        <f>IFERROR(__xludf.DUMMYFUNCTION("""COMPUTED_VALUE"""),1.0920035269695725)</f>
        <v>1.092003527</v>
      </c>
      <c r="AO2322" s="82">
        <f>IFERROR(__xludf.DUMMYFUNCTION("""COMPUTED_VALUE"""),1.3682813139941257)</f>
        <v>1.368281314</v>
      </c>
      <c r="AP2322" s="82">
        <f>IFERROR(__xludf.DUMMYFUNCTION("""COMPUTED_VALUE"""),1.0668192744735097)</f>
        <v>1.066819274</v>
      </c>
      <c r="AQ2322" s="82">
        <f>IFERROR(__xludf.DUMMYFUNCTION("""COMPUTED_VALUE"""),0.9537915865323002)</f>
        <v>0.9537915865</v>
      </c>
      <c r="AR2322" s="82">
        <f>IFERROR(__xludf.DUMMYFUNCTION("""COMPUTED_VALUE"""),1.1556671265150773)</f>
        <v>1.155667127</v>
      </c>
      <c r="AS2322" s="82">
        <f>IFERROR(__xludf.DUMMYFUNCTION("""COMPUTED_VALUE"""),52.0)</f>
        <v>52</v>
      </c>
      <c r="AT2322" s="82">
        <f>IFERROR(__xludf.DUMMYFUNCTION("""COMPUTED_VALUE"""),0.609304043444959)</f>
        <v>0.6093040434</v>
      </c>
      <c r="AU2322" s="82">
        <f>IFERROR(__xludf.DUMMYFUNCTION("""COMPUTED_VALUE"""),3.693637438380237)</f>
        <v>3.693637438</v>
      </c>
      <c r="AV2322" s="82">
        <f>IFERROR(__xludf.DUMMYFUNCTION("""COMPUTED_VALUE"""),72.19139109331057)</f>
        <v>72.19139109</v>
      </c>
      <c r="AW2322" s="82">
        <f t="shared" si="1"/>
        <v>5.337232895</v>
      </c>
      <c r="AX2322" s="83">
        <f t="array" ref="AX2322">IFERROR(DGET('SBV Import'!A:G,"SBV",{"RSC ID","Tier";B2322,A2322}))</f>
        <v>62.92417642</v>
      </c>
      <c r="AY2322" s="82">
        <f t="shared" si="2"/>
        <v>3.304806487</v>
      </c>
      <c r="AZ2322" s="82">
        <v>2.032426407093685</v>
      </c>
      <c r="BA2322" s="84">
        <v>2300.0</v>
      </c>
      <c r="BB2322" s="84" t="b">
        <f>IFERROR(__xludf.DUMMYFUNCTION("iferror(if(A2322="""",,E2322&gt;=FILTER(Constants!$F$2:$F$10,Constants!$A$2:$A$10=A2322)))"),TRUE)</f>
        <v>1</v>
      </c>
    </row>
    <row r="2323">
      <c r="A2323" s="89" t="str">
        <f>IFERROR(__xludf.DUMMYFUNCTION("""COMPUTED_VALUE"""),"Challenger")</f>
        <v>Challenger</v>
      </c>
      <c r="B2323" s="87" t="str">
        <f>IFERROR(__xludf.DUMMYFUNCTION("""COMPUTED_VALUE"""),"RSC008000")</f>
        <v>RSC008000</v>
      </c>
      <c r="C2323" s="73" t="str">
        <f>IFERROR(__xludf.DUMMYFUNCTION("""COMPUTED_VALUE"""),"ChefHoffy")</f>
        <v>ChefHoffy</v>
      </c>
      <c r="D2323" s="73" t="str">
        <f>IFERROR(__xludf.DUMMYFUNCTION("""COMPUTED_VALUE"""),"Ryujin")</f>
        <v>Ryujin</v>
      </c>
      <c r="E2323" s="82">
        <f>IFERROR(__xludf.DUMMYFUNCTION("""COMPUTED_VALUE"""),48.0)</f>
        <v>48</v>
      </c>
      <c r="F2323" s="82">
        <f>IFERROR(__xludf.DUMMYFUNCTION("""COMPUTED_VALUE"""),34.0)</f>
        <v>34</v>
      </c>
      <c r="G2323" s="86">
        <f>IFERROR(__xludf.DUMMYFUNCTION("""COMPUTED_VALUE"""),14.0)</f>
        <v>14</v>
      </c>
      <c r="H2323" s="86">
        <f>IFERROR(__xludf.DUMMYFUNCTION("""COMPUTED_VALUE"""),0.7083333333333334)</f>
        <v>0.7083333333</v>
      </c>
      <c r="I2323" s="86">
        <f>IFERROR(__xludf.DUMMYFUNCTION("""COMPUTED_VALUE"""),0.2945736434108527)</f>
        <v>0.2945736434</v>
      </c>
      <c r="J2323" s="82">
        <f>IFERROR(__xludf.DUMMYFUNCTION("""COMPUTED_VALUE"""),336.125)</f>
        <v>336.125</v>
      </c>
      <c r="K2323" s="82">
        <f>IFERROR(__xludf.DUMMYFUNCTION("""COMPUTED_VALUE"""),0.7916666666666666)</f>
        <v>0.7916666667</v>
      </c>
      <c r="L2323" s="82">
        <f>IFERROR(__xludf.DUMMYFUNCTION("""COMPUTED_VALUE"""),0.625)</f>
        <v>0.625</v>
      </c>
      <c r="M2323" s="82">
        <f>IFERROR(__xludf.DUMMYFUNCTION("""COMPUTED_VALUE"""),1.0625)</f>
        <v>1.0625</v>
      </c>
      <c r="N2323" s="82">
        <f>IFERROR(__xludf.DUMMYFUNCTION("""COMPUTED_VALUE"""),2.6875)</f>
        <v>2.6875</v>
      </c>
      <c r="O2323" s="82">
        <f>IFERROR(__xludf.DUMMYFUNCTION("""COMPUTED_VALUE"""),289.20833333333337)</f>
        <v>289.2083333</v>
      </c>
      <c r="P2323" s="82">
        <f>IFERROR(__xludf.DUMMYFUNCTION("""COMPUTED_VALUE"""),0.5)</f>
        <v>0.5</v>
      </c>
      <c r="Q2323" s="82">
        <f>IFERROR(__xludf.DUMMYFUNCTION("""COMPUTED_VALUE"""),0.361111111111111)</f>
        <v>0.3611111111</v>
      </c>
      <c r="R2323" s="82">
        <f>IFERROR(__xludf.DUMMYFUNCTION("""COMPUTED_VALUE"""),1.2361111111111112)</f>
        <v>1.236111111</v>
      </c>
      <c r="S2323" s="82">
        <f>IFERROR(__xludf.DUMMYFUNCTION("""COMPUTED_VALUE"""),1.868055555555556)</f>
        <v>1.868055556</v>
      </c>
      <c r="T2323" s="82">
        <f>IFERROR(__xludf.DUMMYFUNCTION("""COMPUTED_VALUE"""),334.9292019433587)</f>
        <v>334.9292019</v>
      </c>
      <c r="U2323" s="82">
        <f>IFERROR(__xludf.DUMMYFUNCTION("""COMPUTED_VALUE"""),0.7567830589424851)</f>
        <v>0.7567830589</v>
      </c>
      <c r="V2323" s="82">
        <f>IFERROR(__xludf.DUMMYFUNCTION("""COMPUTED_VALUE"""),0.5126130376728774)</f>
        <v>0.5126130377</v>
      </c>
      <c r="W2323" s="82">
        <f>IFERROR(__xludf.DUMMYFUNCTION("""COMPUTED_VALUE"""),1.2351631824308036)</f>
        <v>1.235163182</v>
      </c>
      <c r="X2323" s="82">
        <f>IFERROR(__xludf.DUMMYFUNCTION("""COMPUTED_VALUE"""),2.434865099216908)</f>
        <v>2.434865099</v>
      </c>
      <c r="Y2323" s="82">
        <f>IFERROR(__xludf.DUMMYFUNCTION("""COMPUTED_VALUE"""),331.540856936617)</f>
        <v>331.5408569</v>
      </c>
      <c r="Z2323" s="82">
        <f>IFERROR(__xludf.DUMMYFUNCTION("""COMPUTED_VALUE"""),0.7716153055152991)</f>
        <v>0.7716153055</v>
      </c>
      <c r="AA2323" s="82">
        <f>IFERROR(__xludf.DUMMYFUNCTION("""COMPUTED_VALUE"""),0.5210847932796193)</f>
        <v>0.5210847933</v>
      </c>
      <c r="AB2323" s="82">
        <f>IFERROR(__xludf.DUMMYFUNCTION("""COMPUTED_VALUE"""),1.2071876854654953)</f>
        <v>1.207187685</v>
      </c>
      <c r="AC2323" s="82">
        <f>IFERROR(__xludf.DUMMYFUNCTION("""COMPUTED_VALUE"""),2.4428072865318406)</f>
        <v>2.442807287</v>
      </c>
      <c r="AD2323" s="82">
        <f>IFERROR(__xludf.DUMMYFUNCTION("""COMPUTED_VALUE"""),1.0138267817298288)</f>
        <v>1.013826782</v>
      </c>
      <c r="AE2323" s="82">
        <f>IFERROR(__xludf.DUMMYFUNCTION("""COMPUTED_VALUE"""),1.0259862149027446)</f>
        <v>1.025986215</v>
      </c>
      <c r="AF2323" s="82">
        <f>IFERROR(__xludf.DUMMYFUNCTION("""COMPUTED_VALUE"""),1.1994209158673697)</f>
        <v>1.199420916</v>
      </c>
      <c r="AG2323" s="82">
        <f>IFERROR(__xludf.DUMMYFUNCTION("""COMPUTED_VALUE"""),0.880144829832568)</f>
        <v>0.8801448298</v>
      </c>
      <c r="AH2323" s="82">
        <f>IFERROR(__xludf.DUMMYFUNCTION("""COMPUTED_VALUE"""),1.1001686521966947)</f>
        <v>1.100168652</v>
      </c>
      <c r="AI2323" s="82">
        <f>IFERROR(__xludf.DUMMYFUNCTION("""COMPUTED_VALUE"""),0.8634909457140815)</f>
        <v>0.8634909457</v>
      </c>
      <c r="AJ2323" s="82">
        <f>IFERROR(__xludf.DUMMYFUNCTION("""COMPUTED_VALUE"""),0.6606913224229556)</f>
        <v>0.6606913224</v>
      </c>
      <c r="AK2323" s="82">
        <f>IFERROR(__xludf.DUMMYFUNCTION("""COMPUTED_VALUE"""),0.7044516712849451)</f>
        <v>0.7044516713</v>
      </c>
      <c r="AL2323" s="82">
        <f>IFERROR(__xludf.DUMMYFUNCTION("""COMPUTED_VALUE"""),1.000767452182668)</f>
        <v>1.000767452</v>
      </c>
      <c r="AM2323" s="82">
        <f>IFERROR(__xludf.DUMMYFUNCTION("""COMPUTED_VALUE"""),0.7672111100349474)</f>
        <v>0.76721111</v>
      </c>
      <c r="AN2323" s="82">
        <f>IFERROR(__xludf.DUMMYFUNCTION("""COMPUTED_VALUE"""),1.03321515975411)</f>
        <v>1.03321516</v>
      </c>
      <c r="AO2323" s="82">
        <f>IFERROR(__xludf.DUMMYFUNCTION("""COMPUTED_VALUE"""),1.083222706912016)</f>
        <v>1.083222707</v>
      </c>
      <c r="AP2323" s="82">
        <f>IFERROR(__xludf.DUMMYFUNCTION("""COMPUTED_VALUE"""),1.2122946300835338)</f>
        <v>1.21229463</v>
      </c>
      <c r="AQ2323" s="82">
        <f>IFERROR(__xludf.DUMMYFUNCTION("""COMPUTED_VALUE"""),0.8812204875570165)</f>
        <v>0.8812204876</v>
      </c>
      <c r="AR2323" s="82">
        <f>IFERROR(__xludf.DUMMYFUNCTION("""COMPUTED_VALUE"""),1.1294019645488256)</f>
        <v>1.129401965</v>
      </c>
      <c r="AS2323" s="82">
        <f>IFERROR(__xludf.DUMMYFUNCTION("""COMPUTED_VALUE"""),127.0)</f>
        <v>127</v>
      </c>
      <c r="AT2323" s="82">
        <f>IFERROR(__xludf.DUMMYFUNCTION("""COMPUTED_VALUE"""),0.7013144106077754)</f>
        <v>0.7013144106</v>
      </c>
      <c r="AU2323" s="82">
        <f>IFERROR(__xludf.DUMMYFUNCTION("""COMPUTED_VALUE"""),3.683967622012613)</f>
        <v>3.683967622</v>
      </c>
      <c r="AV2323" s="82">
        <f>IFERROR(__xludf.DUMMYFUNCTION("""COMPUTED_VALUE"""),71.93902570474754)</f>
        <v>71.9390257</v>
      </c>
      <c r="AW2323" s="82">
        <f t="shared" si="1"/>
        <v>5.260638515</v>
      </c>
      <c r="AX2323" s="83">
        <f t="array" ref="AX2323">IFERROR(DGET('SBV Import'!A:G,"SBV",{"RSC ID","Tier";B2323,A2323}))</f>
        <v>72.13381048</v>
      </c>
      <c r="AY2323" s="82">
        <f t="shared" si="2"/>
        <v>5.319621671</v>
      </c>
      <c r="AZ2323" s="82">
        <v>0.05898315620577321</v>
      </c>
      <c r="BA2323" s="84">
        <v>2300.0</v>
      </c>
      <c r="BB2323" s="84" t="b">
        <f>IFERROR(__xludf.DUMMYFUNCTION("iferror(if(A2323="""",,E2323&gt;=FILTER(Constants!$F$2:$F$10,Constants!$A$2:$A$10=A2323)))"),TRUE)</f>
        <v>1</v>
      </c>
    </row>
    <row r="2324">
      <c r="A2324" s="89" t="str">
        <f>IFERROR(__xludf.DUMMYFUNCTION("""COMPUTED_VALUE"""),"Challenger")</f>
        <v>Challenger</v>
      </c>
      <c r="B2324" s="87" t="str">
        <f>IFERROR(__xludf.DUMMYFUNCTION("""COMPUTED_VALUE"""),"RSC005150")</f>
        <v>RSC005150</v>
      </c>
      <c r="C2324" s="73" t="str">
        <f>IFERROR(__xludf.DUMMYFUNCTION("""COMPUTED_VALUE"""),"Galatiq")</f>
        <v>Galatiq</v>
      </c>
      <c r="D2324" s="73" t="str">
        <f>IFERROR(__xludf.DUMMYFUNCTION("""COMPUTED_VALUE"""),"Lions")</f>
        <v>Lions</v>
      </c>
      <c r="E2324" s="82">
        <f>IFERROR(__xludf.DUMMYFUNCTION("""COMPUTED_VALUE"""),37.0)</f>
        <v>37</v>
      </c>
      <c r="F2324" s="82">
        <f>IFERROR(__xludf.DUMMYFUNCTION("""COMPUTED_VALUE"""),18.0)</f>
        <v>18</v>
      </c>
      <c r="G2324" s="86">
        <f>IFERROR(__xludf.DUMMYFUNCTION("""COMPUTED_VALUE"""),19.0)</f>
        <v>19</v>
      </c>
      <c r="H2324" s="86">
        <f>IFERROR(__xludf.DUMMYFUNCTION("""COMPUTED_VALUE"""),0.4864864864864865)</f>
        <v>0.4864864865</v>
      </c>
      <c r="I2324" s="86">
        <f>IFERROR(__xludf.DUMMYFUNCTION("""COMPUTED_VALUE"""),0.2708333333333333)</f>
        <v>0.2708333333</v>
      </c>
      <c r="J2324" s="82">
        <f>IFERROR(__xludf.DUMMYFUNCTION("""COMPUTED_VALUE"""),347.8918918918919)</f>
        <v>347.8918919</v>
      </c>
      <c r="K2324" s="82">
        <f>IFERROR(__xludf.DUMMYFUNCTION("""COMPUTED_VALUE"""),0.7027027027027027)</f>
        <v>0.7027027027</v>
      </c>
      <c r="L2324" s="82">
        <f>IFERROR(__xludf.DUMMYFUNCTION("""COMPUTED_VALUE"""),0.918918918918919)</f>
        <v>0.9189189189</v>
      </c>
      <c r="M2324" s="82">
        <f>IFERROR(__xludf.DUMMYFUNCTION("""COMPUTED_VALUE"""),1.2702702702702702)</f>
        <v>1.27027027</v>
      </c>
      <c r="N2324" s="82">
        <f>IFERROR(__xludf.DUMMYFUNCTION("""COMPUTED_VALUE"""),2.5945945945945947)</f>
        <v>2.594594595</v>
      </c>
      <c r="O2324" s="82">
        <f>IFERROR(__xludf.DUMMYFUNCTION("""COMPUTED_VALUE"""),329.43243243243245)</f>
        <v>329.4324324</v>
      </c>
      <c r="P2324" s="82">
        <f>IFERROR(__xludf.DUMMYFUNCTION("""COMPUTED_VALUE"""),0.7297297297297298)</f>
        <v>0.7297297297</v>
      </c>
      <c r="Q2324" s="82">
        <f>IFERROR(__xludf.DUMMYFUNCTION("""COMPUTED_VALUE"""),0.4954954954954955)</f>
        <v>0.4954954955</v>
      </c>
      <c r="R2324" s="82">
        <f>IFERROR(__xludf.DUMMYFUNCTION("""COMPUTED_VALUE"""),1.36036036036036)</f>
        <v>1.36036036</v>
      </c>
      <c r="S2324" s="82">
        <f>IFERROR(__xludf.DUMMYFUNCTION("""COMPUTED_VALUE"""),2.18018018018018)</f>
        <v>2.18018018</v>
      </c>
      <c r="T2324" s="82">
        <f>IFERROR(__xludf.DUMMYFUNCTION("""COMPUTED_VALUE"""),340.8979253192247)</f>
        <v>340.8979253</v>
      </c>
      <c r="U2324" s="82">
        <f>IFERROR(__xludf.DUMMYFUNCTION("""COMPUTED_VALUE"""),0.7737317714878229)</f>
        <v>0.7737317715</v>
      </c>
      <c r="V2324" s="82">
        <f>IFERROR(__xludf.DUMMYFUNCTION("""COMPUTED_VALUE"""),0.5216434775207176)</f>
        <v>0.5216434775</v>
      </c>
      <c r="W2324" s="82">
        <f>IFERROR(__xludf.DUMMYFUNCTION("""COMPUTED_VALUE"""),1.2881887314475073)</f>
        <v>1.288188731</v>
      </c>
      <c r="X2324" s="82">
        <f>IFERROR(__xludf.DUMMYFUNCTION("""COMPUTED_VALUE"""),2.4246447670376576)</f>
        <v>2.424644767</v>
      </c>
      <c r="Y2324" s="82">
        <f>IFERROR(__xludf.DUMMYFUNCTION("""COMPUTED_VALUE"""),339.7976442686548)</f>
        <v>339.7976443</v>
      </c>
      <c r="Z2324" s="82">
        <f>IFERROR(__xludf.DUMMYFUNCTION("""COMPUTED_VALUE"""),0.7896083948707776)</f>
        <v>0.7896083949</v>
      </c>
      <c r="AA2324" s="82">
        <f>IFERROR(__xludf.DUMMYFUNCTION("""COMPUTED_VALUE"""),0.552736828751168)</f>
        <v>0.5527368288</v>
      </c>
      <c r="AB2324" s="82">
        <f>IFERROR(__xludf.DUMMYFUNCTION("""COMPUTED_VALUE"""),1.229113122912235)</f>
        <v>1.229113123</v>
      </c>
      <c r="AC2324" s="82">
        <f>IFERROR(__xludf.DUMMYFUNCTION("""COMPUTED_VALUE"""),2.5435220385944417)</f>
        <v>2.543522039</v>
      </c>
      <c r="AD2324" s="82">
        <f>IFERROR(__xludf.DUMMYFUNCTION("""COMPUTED_VALUE"""),1.0238207879299996)</f>
        <v>1.023820788</v>
      </c>
      <c r="AE2324" s="82">
        <f>IFERROR(__xludf.DUMMYFUNCTION("""COMPUTED_VALUE"""),0.8899382368113028)</f>
        <v>0.8899382368</v>
      </c>
      <c r="AF2324" s="82">
        <f>IFERROR(__xludf.DUMMYFUNCTION("""COMPUTED_VALUE"""),1.6624890384002247)</f>
        <v>1.662489038</v>
      </c>
      <c r="AG2324" s="82">
        <f>IFERROR(__xludf.DUMMYFUNCTION("""COMPUTED_VALUE"""),1.0334852395526608)</f>
        <v>1.03348524</v>
      </c>
      <c r="AH2324" s="82">
        <f>IFERROR(__xludf.DUMMYFUNCTION("""COMPUTED_VALUE"""),1.0200794627391456)</f>
        <v>1.020079463</v>
      </c>
      <c r="AI2324" s="82">
        <f>IFERROR(__xludf.DUMMYFUNCTION("""COMPUTED_VALUE"""),0.9663667859636995)</f>
        <v>0.966366786</v>
      </c>
      <c r="AJ2324" s="82">
        <f>IFERROR(__xludf.DUMMYFUNCTION("""COMPUTED_VALUE"""),0.9431301086764464)</f>
        <v>0.9431301087</v>
      </c>
      <c r="AK2324" s="82">
        <f>IFERROR(__xludf.DUMMYFUNCTION("""COMPUTED_VALUE"""),0.949873844585388)</f>
        <v>0.9498738446</v>
      </c>
      <c r="AL2324" s="82">
        <f>IFERROR(__xludf.DUMMYFUNCTION("""COMPUTED_VALUE"""),1.056025663903887)</f>
        <v>1.056025664</v>
      </c>
      <c r="AM2324" s="82">
        <f>IFERROR(__xludf.DUMMYFUNCTION("""COMPUTED_VALUE"""),0.8991750914686957)</f>
        <v>0.8991750915</v>
      </c>
      <c r="AN2324" s="82">
        <f>IFERROR(__xludf.DUMMYFUNCTION("""COMPUTED_VALUE"""),1.069385427023401)</f>
        <v>1.069385427</v>
      </c>
      <c r="AO2324" s="82">
        <f>IFERROR(__xludf.DUMMYFUNCTION("""COMPUTED_VALUE"""),0.9614949774012775)</f>
        <v>0.9614949774</v>
      </c>
      <c r="AP2324" s="82">
        <f>IFERROR(__xludf.DUMMYFUNCTION("""COMPUTED_VALUE"""),1.7824007534201145)</f>
        <v>1.782400753</v>
      </c>
      <c r="AQ2324" s="82">
        <f>IFERROR(__xludf.DUMMYFUNCTION("""COMPUTED_VALUE"""),1.0535418229616478)</f>
        <v>1.053541823</v>
      </c>
      <c r="AR2324" s="82">
        <f>IFERROR(__xludf.DUMMYFUNCTION("""COMPUTED_VALUE"""),1.0903591562206134)</f>
        <v>1.090359156</v>
      </c>
      <c r="AS2324" s="82">
        <f>IFERROR(__xludf.DUMMYFUNCTION("""COMPUTED_VALUE"""),95.0)</f>
        <v>95</v>
      </c>
      <c r="AT2324" s="82">
        <f>IFERROR(__xludf.DUMMYFUNCTION("""COMPUTED_VALUE"""),0.5620366851769675)</f>
        <v>0.5620366852</v>
      </c>
      <c r="AU2324" s="82">
        <f>IFERROR(__xludf.DUMMYFUNCTION("""COMPUTED_VALUE"""),3.630627577632633)</f>
        <v>3.630627578</v>
      </c>
      <c r="AV2324" s="82">
        <f>IFERROR(__xludf.DUMMYFUNCTION("""COMPUTED_VALUE"""),70.54694332032985)</f>
        <v>70.54694332</v>
      </c>
      <c r="AW2324" s="82">
        <f t="shared" si="1"/>
        <v>4.864446279</v>
      </c>
      <c r="AX2324" s="83">
        <f t="array" ref="AX2324">IFERROR(DGET('SBV Import'!A:G,"SBV",{"RSC ID","Tier";B2324,A2324}))</f>
        <v>65.91129441</v>
      </c>
      <c r="AY2324" s="82">
        <f t="shared" si="2"/>
        <v>3.813286232</v>
      </c>
      <c r="AZ2324" s="82">
        <v>1.05116004762273</v>
      </c>
      <c r="BA2324" s="84">
        <v>2300.0</v>
      </c>
      <c r="BB2324" s="84" t="b">
        <f>IFERROR(__xludf.DUMMYFUNCTION("iferror(if(A2324="""",,E2324&gt;=FILTER(Constants!$F$2:$F$10,Constants!$A$2:$A$10=A2324)))"),TRUE)</f>
        <v>1</v>
      </c>
    </row>
    <row r="2325">
      <c r="A2325" s="89" t="str">
        <f>IFERROR(__xludf.DUMMYFUNCTION("""COMPUTED_VALUE"""),"Challenger")</f>
        <v>Challenger</v>
      </c>
      <c r="B2325" s="87" t="str">
        <f>IFERROR(__xludf.DUMMYFUNCTION("""COMPUTED_VALUE"""),"RSC004618")</f>
        <v>RSC004618</v>
      </c>
      <c r="C2325" s="73" t="str">
        <f>IFERROR(__xludf.DUMMYFUNCTION("""COMPUTED_VALUE"""),"Squirrel")</f>
        <v>Squirrel</v>
      </c>
      <c r="D2325" s="73" t="str">
        <f>IFERROR(__xludf.DUMMYFUNCTION("""COMPUTED_VALUE"""),"Mugged")</f>
        <v>Mugged</v>
      </c>
      <c r="E2325" s="82">
        <f>IFERROR(__xludf.DUMMYFUNCTION("""COMPUTED_VALUE"""),11.0)</f>
        <v>11</v>
      </c>
      <c r="F2325" s="82">
        <f>IFERROR(__xludf.DUMMYFUNCTION("""COMPUTED_VALUE"""),6.0)</f>
        <v>6</v>
      </c>
      <c r="G2325" s="86">
        <f>IFERROR(__xludf.DUMMYFUNCTION("""COMPUTED_VALUE"""),5.0)</f>
        <v>5</v>
      </c>
      <c r="H2325" s="86">
        <f>IFERROR(__xludf.DUMMYFUNCTION("""COMPUTED_VALUE"""),0.5454545454545454)</f>
        <v>0.5454545455</v>
      </c>
      <c r="I2325" s="86">
        <f>IFERROR(__xludf.DUMMYFUNCTION("""COMPUTED_VALUE"""),0.43478260869565216)</f>
        <v>0.4347826087</v>
      </c>
      <c r="J2325" s="82">
        <f>IFERROR(__xludf.DUMMYFUNCTION("""COMPUTED_VALUE"""),441.3636363636364)</f>
        <v>441.3636364</v>
      </c>
      <c r="K2325" s="82">
        <f>IFERROR(__xludf.DUMMYFUNCTION("""COMPUTED_VALUE"""),0.9090909090909091)</f>
        <v>0.9090909091</v>
      </c>
      <c r="L2325" s="82">
        <f>IFERROR(__xludf.DUMMYFUNCTION("""COMPUTED_VALUE"""),0.5454545454545454)</f>
        <v>0.5454545455</v>
      </c>
      <c r="M2325" s="82">
        <f>IFERROR(__xludf.DUMMYFUNCTION("""COMPUTED_VALUE"""),2.0)</f>
        <v>2</v>
      </c>
      <c r="N2325" s="82">
        <f>IFERROR(__xludf.DUMMYFUNCTION("""COMPUTED_VALUE"""),2.090909090909091)</f>
        <v>2.090909091</v>
      </c>
      <c r="O2325" s="82">
        <f>IFERROR(__xludf.DUMMYFUNCTION("""COMPUTED_VALUE"""),332.09090909090907)</f>
        <v>332.0909091</v>
      </c>
      <c r="P2325" s="82">
        <f>IFERROR(__xludf.DUMMYFUNCTION("""COMPUTED_VALUE"""),0.7575757575757575)</f>
        <v>0.7575757576</v>
      </c>
      <c r="Q2325" s="82">
        <f>IFERROR(__xludf.DUMMYFUNCTION("""COMPUTED_VALUE"""),0.42424242424242425)</f>
        <v>0.4242424242</v>
      </c>
      <c r="R2325" s="82">
        <f>IFERROR(__xludf.DUMMYFUNCTION("""COMPUTED_VALUE"""),1.1818181818181819)</f>
        <v>1.181818182</v>
      </c>
      <c r="S2325" s="82">
        <f>IFERROR(__xludf.DUMMYFUNCTION("""COMPUTED_VALUE"""),2.96969696969697)</f>
        <v>2.96969697</v>
      </c>
      <c r="T2325" s="82">
        <f>IFERROR(__xludf.DUMMYFUNCTION("""COMPUTED_VALUE"""),331.35152359437785)</f>
        <v>331.3515236</v>
      </c>
      <c r="U2325" s="82">
        <f>IFERROR(__xludf.DUMMYFUNCTION("""COMPUTED_VALUE"""),0.7802961851353133)</f>
        <v>0.7802961851</v>
      </c>
      <c r="V2325" s="82">
        <f>IFERROR(__xludf.DUMMYFUNCTION("""COMPUTED_VALUE"""),0.5087540981025319)</f>
        <v>0.5087540981</v>
      </c>
      <c r="W2325" s="82">
        <f>IFERROR(__xludf.DUMMYFUNCTION("""COMPUTED_VALUE"""),1.1623345858750633)</f>
        <v>1.162334586</v>
      </c>
      <c r="X2325" s="82">
        <f>IFERROR(__xludf.DUMMYFUNCTION("""COMPUTED_VALUE"""),2.5261331396707276)</f>
        <v>2.52613314</v>
      </c>
      <c r="Y2325" s="82">
        <f>IFERROR(__xludf.DUMMYFUNCTION("""COMPUTED_VALUE"""),329.26751297252434)</f>
        <v>329.267513</v>
      </c>
      <c r="Z2325" s="82">
        <f>IFERROR(__xludf.DUMMYFUNCTION("""COMPUTED_VALUE"""),0.7052548691787145)</f>
        <v>0.7052548692</v>
      </c>
      <c r="AA2325" s="82">
        <f>IFERROR(__xludf.DUMMYFUNCTION("""COMPUTED_VALUE"""),0.5039172050977968)</f>
        <v>0.5039172051</v>
      </c>
      <c r="AB2325" s="82">
        <f>IFERROR(__xludf.DUMMYFUNCTION("""COMPUTED_VALUE"""),1.2252705919813882)</f>
        <v>1.225270592</v>
      </c>
      <c r="AC2325" s="82">
        <f>IFERROR(__xludf.DUMMYFUNCTION("""COMPUTED_VALUE"""),2.34489241055412)</f>
        <v>2.344892411</v>
      </c>
      <c r="AD2325" s="82">
        <f>IFERROR(__xludf.DUMMYFUNCTION("""COMPUTED_VALUE"""),1.340440884614286)</f>
        <v>1.340440885</v>
      </c>
      <c r="AE2325" s="82">
        <f>IFERROR(__xludf.DUMMYFUNCTION("""COMPUTED_VALUE"""),1.2890246474293277)</f>
        <v>1.289024647</v>
      </c>
      <c r="AF2325" s="82">
        <f>IFERROR(__xludf.DUMMYFUNCTION("""COMPUTED_VALUE"""),1.0824288989074848)</f>
        <v>1.082428899</v>
      </c>
      <c r="AG2325" s="82">
        <f>IFERROR(__xludf.DUMMYFUNCTION("""COMPUTED_VALUE"""),1.6322925018267147)</f>
        <v>1.632292502</v>
      </c>
      <c r="AH2325" s="82">
        <f>IFERROR(__xludf.DUMMYFUNCTION("""COMPUTED_VALUE"""),0.891686578666946)</f>
        <v>0.8916865787</v>
      </c>
      <c r="AI2325" s="82">
        <f>IFERROR(__xludf.DUMMYFUNCTION("""COMPUTED_VALUE"""),1.0022314232586307)</f>
        <v>1.002231423</v>
      </c>
      <c r="AJ2325" s="82">
        <f>IFERROR(__xludf.DUMMYFUNCTION("""COMPUTED_VALUE"""),0.9708823034222372)</f>
        <v>0.9708823034</v>
      </c>
      <c r="AK2325" s="82">
        <f>IFERROR(__xludf.DUMMYFUNCTION("""COMPUTED_VALUE"""),0.8338850258399775)</f>
        <v>0.8338850258</v>
      </c>
      <c r="AL2325" s="82">
        <f>IFERROR(__xludf.DUMMYFUNCTION("""COMPUTED_VALUE"""),1.0167624676920806)</f>
        <v>1.016762468</v>
      </c>
      <c r="AM2325" s="82">
        <f>IFERROR(__xludf.DUMMYFUNCTION("""COMPUTED_VALUE"""),1.1755900443489924)</f>
        <v>1.175590044</v>
      </c>
      <c r="AN2325" s="82">
        <f>IFERROR(__xludf.DUMMYFUNCTION("""COMPUTED_VALUE"""),1.356708367586789)</f>
        <v>1.356708368</v>
      </c>
      <c r="AO2325" s="82">
        <f>IFERROR(__xludf.DUMMYFUNCTION("""COMPUTED_VALUE"""),1.2438921036310233)</f>
        <v>1.243892104</v>
      </c>
      <c r="AP2325" s="82">
        <f>IFERROR(__xludf.DUMMYFUNCTION("""COMPUTED_VALUE"""),1.0580025862547202)</f>
        <v>1.058002586</v>
      </c>
      <c r="AQ2325" s="82">
        <f>IFERROR(__xludf.DUMMYFUNCTION("""COMPUTED_VALUE"""),1.6587679765779135)</f>
        <v>1.658767977</v>
      </c>
      <c r="AR2325" s="82">
        <f>IFERROR(__xludf.DUMMYFUNCTION("""COMPUTED_VALUE"""),0.8786890548709678)</f>
        <v>0.8786890549</v>
      </c>
      <c r="AS2325" s="82">
        <f>IFERROR(__xludf.DUMMYFUNCTION("""COMPUTED_VALUE"""),29.0)</f>
        <v>29</v>
      </c>
      <c r="AT2325" s="82">
        <f>IFERROR(__xludf.DUMMYFUNCTION("""COMPUTED_VALUE"""),0.558313483557868)</f>
        <v>0.5583134836</v>
      </c>
      <c r="AU2325" s="82">
        <f>IFERROR(__xludf.DUMMYFUNCTION("""COMPUTED_VALUE"""),3.6073762002741345)</f>
        <v>3.6073762</v>
      </c>
      <c r="AV2325" s="82">
        <f>IFERROR(__xludf.DUMMYFUNCTION("""COMPUTED_VALUE"""),69.94012281220213)</f>
        <v>69.94012281</v>
      </c>
      <c r="AW2325" s="82">
        <f t="shared" si="1"/>
        <v>4.704777567</v>
      </c>
      <c r="AX2325" s="83">
        <f t="array" ref="AX2325">IFERROR(DGET('SBV Import'!A:G,"SBV",{"RSC ID","Tier";B2325,A2325}))</f>
        <v>59.49640741</v>
      </c>
      <c r="AY2325" s="82">
        <f t="shared" si="2"/>
        <v>2.840698902</v>
      </c>
      <c r="AZ2325" s="82">
        <v>1.8640786657769444</v>
      </c>
      <c r="BA2325" s="84">
        <v>2300.0</v>
      </c>
      <c r="BB2325" s="84" t="b">
        <f>IFERROR(__xludf.DUMMYFUNCTION("iferror(if(A2325="""",,E2325&gt;=FILTER(Constants!$F$2:$F$10,Constants!$A$2:$A$10=A2325)))"),TRUE)</f>
        <v>1</v>
      </c>
    </row>
    <row r="2326">
      <c r="A2326" s="89" t="str">
        <f>IFERROR(__xludf.DUMMYFUNCTION("""COMPUTED_VALUE"""),"Challenger")</f>
        <v>Challenger</v>
      </c>
      <c r="B2326" s="87" t="str">
        <f>IFERROR(__xludf.DUMMYFUNCTION("""COMPUTED_VALUE"""),"RSC007870")</f>
        <v>RSC007870</v>
      </c>
      <c r="C2326" s="73" t="str">
        <f>IFERROR(__xludf.DUMMYFUNCTION("""COMPUTED_VALUE"""),"King_OaF")</f>
        <v>King_OaF</v>
      </c>
      <c r="D2326" s="73" t="str">
        <f>IFERROR(__xludf.DUMMYFUNCTION("""COMPUTED_VALUE"""),"Metal")</f>
        <v>Metal</v>
      </c>
      <c r="E2326" s="82">
        <f>IFERROR(__xludf.DUMMYFUNCTION("""COMPUTED_VALUE"""),21.0)</f>
        <v>21</v>
      </c>
      <c r="F2326" s="82">
        <f>IFERROR(__xludf.DUMMYFUNCTION("""COMPUTED_VALUE"""),12.0)</f>
        <v>12</v>
      </c>
      <c r="G2326" s="86">
        <f>IFERROR(__xludf.DUMMYFUNCTION("""COMPUTED_VALUE"""),9.0)</f>
        <v>9</v>
      </c>
      <c r="H2326" s="86">
        <f>IFERROR(__xludf.DUMMYFUNCTION("""COMPUTED_VALUE"""),0.5714285714285714)</f>
        <v>0.5714285714</v>
      </c>
      <c r="I2326" s="86">
        <f>IFERROR(__xludf.DUMMYFUNCTION("""COMPUTED_VALUE"""),0.3508771929824561)</f>
        <v>0.350877193</v>
      </c>
      <c r="J2326" s="82">
        <f>IFERROR(__xludf.DUMMYFUNCTION("""COMPUTED_VALUE"""),374.5238095238095)</f>
        <v>374.5238095</v>
      </c>
      <c r="K2326" s="82">
        <f>IFERROR(__xludf.DUMMYFUNCTION("""COMPUTED_VALUE"""),0.9523809523809523)</f>
        <v>0.9523809524</v>
      </c>
      <c r="L2326" s="82">
        <f>IFERROR(__xludf.DUMMYFUNCTION("""COMPUTED_VALUE"""),0.5714285714285714)</f>
        <v>0.5714285714</v>
      </c>
      <c r="M2326" s="82">
        <f>IFERROR(__xludf.DUMMYFUNCTION("""COMPUTED_VALUE"""),1.0952380952380953)</f>
        <v>1.095238095</v>
      </c>
      <c r="N2326" s="82">
        <f>IFERROR(__xludf.DUMMYFUNCTION("""COMPUTED_VALUE"""),2.7142857142857144)</f>
        <v>2.714285714</v>
      </c>
      <c r="O2326" s="82">
        <f>IFERROR(__xludf.DUMMYFUNCTION("""COMPUTED_VALUE"""),315.04761904761904)</f>
        <v>315.047619</v>
      </c>
      <c r="P2326" s="82">
        <f>IFERROR(__xludf.DUMMYFUNCTION("""COMPUTED_VALUE"""),0.6984126984126986)</f>
        <v>0.6984126984</v>
      </c>
      <c r="Q2326" s="82">
        <f>IFERROR(__xludf.DUMMYFUNCTION("""COMPUTED_VALUE"""),0.4444444444444445)</f>
        <v>0.4444444444</v>
      </c>
      <c r="R2326" s="82">
        <f>IFERROR(__xludf.DUMMYFUNCTION("""COMPUTED_VALUE"""),1.0634920634920637)</f>
        <v>1.063492063</v>
      </c>
      <c r="S2326" s="82">
        <f>IFERROR(__xludf.DUMMYFUNCTION("""COMPUTED_VALUE"""),2.253968253968254)</f>
        <v>2.253968254</v>
      </c>
      <c r="T2326" s="82">
        <f>IFERROR(__xludf.DUMMYFUNCTION("""COMPUTED_VALUE"""),320.9931862064597)</f>
        <v>320.9931862</v>
      </c>
      <c r="U2326" s="82">
        <f>IFERROR(__xludf.DUMMYFUNCTION("""COMPUTED_VALUE"""),0.7052640971620426)</f>
        <v>0.7052640972</v>
      </c>
      <c r="V2326" s="82">
        <f>IFERROR(__xludf.DUMMYFUNCTION("""COMPUTED_VALUE"""),0.47783664845607504)</f>
        <v>0.4778366485</v>
      </c>
      <c r="W2326" s="82">
        <f>IFERROR(__xludf.DUMMYFUNCTION("""COMPUTED_VALUE"""),1.201775758986007)</f>
        <v>1.201775759</v>
      </c>
      <c r="X2326" s="82">
        <f>IFERROR(__xludf.DUMMYFUNCTION("""COMPUTED_VALUE"""),2.2889645711741657)</f>
        <v>2.288964571</v>
      </c>
      <c r="Y2326" s="82">
        <f>IFERROR(__xludf.DUMMYFUNCTION("""COMPUTED_VALUE"""),339.7308928193563)</f>
        <v>339.7308928</v>
      </c>
      <c r="Z2326" s="82">
        <f>IFERROR(__xludf.DUMMYFUNCTION("""COMPUTED_VALUE"""),0.8143379631762875)</f>
        <v>0.8143379632</v>
      </c>
      <c r="AA2326" s="82">
        <f>IFERROR(__xludf.DUMMYFUNCTION("""COMPUTED_VALUE"""),0.5677012089301459)</f>
        <v>0.5677012089</v>
      </c>
      <c r="AB2326" s="82">
        <f>IFERROR(__xludf.DUMMYFUNCTION("""COMPUTED_VALUE"""),1.1601066322712783)</f>
        <v>1.160106632</v>
      </c>
      <c r="AC2326" s="82">
        <f>IFERROR(__xludf.DUMMYFUNCTION("""COMPUTED_VALUE"""),2.5141576406846022)</f>
        <v>2.514157641</v>
      </c>
      <c r="AD2326" s="82">
        <f>IFERROR(__xludf.DUMMYFUNCTION("""COMPUTED_VALUE"""),1.102413167126822)</f>
        <v>1.102413167</v>
      </c>
      <c r="AE2326" s="82">
        <f>IFERROR(__xludf.DUMMYFUNCTION("""COMPUTED_VALUE"""),1.1695156009505372)</f>
        <v>1.169515601</v>
      </c>
      <c r="AF2326" s="82">
        <f>IFERROR(__xludf.DUMMYFUNCTION("""COMPUTED_VALUE"""),1.0065657117508167)</f>
        <v>1.006565712</v>
      </c>
      <c r="AG2326" s="82">
        <f>IFERROR(__xludf.DUMMYFUNCTION("""COMPUTED_VALUE"""),0.9440839874295157)</f>
        <v>0.9440839874</v>
      </c>
      <c r="AH2326" s="82">
        <f>IFERROR(__xludf.DUMMYFUNCTION("""COMPUTED_VALUE"""),1.0796004476261152)</f>
        <v>1.079600448</v>
      </c>
      <c r="AI2326" s="82">
        <f>IFERROR(__xludf.DUMMYFUNCTION("""COMPUTED_VALUE"""),0.9814775907579031)</f>
        <v>0.9814775908</v>
      </c>
      <c r="AJ2326" s="82">
        <f>IFERROR(__xludf.DUMMYFUNCTION("""COMPUTED_VALUE"""),0.9902853430694774)</f>
        <v>0.9902853431</v>
      </c>
      <c r="AK2326" s="82">
        <f>IFERROR(__xludf.DUMMYFUNCTION("""COMPUTED_VALUE"""),0.9301179511460178)</f>
        <v>0.9301179511</v>
      </c>
      <c r="AL2326" s="82">
        <f>IFERROR(__xludf.DUMMYFUNCTION("""COMPUTED_VALUE"""),0.8849338618623664)</f>
        <v>0.8849338619</v>
      </c>
      <c r="AM2326" s="82">
        <f>IFERROR(__xludf.DUMMYFUNCTION("""COMPUTED_VALUE"""),0.9847108523886152)</f>
        <v>0.9847108524</v>
      </c>
      <c r="AN2326" s="82">
        <f>IFERROR(__xludf.DUMMYFUNCTION("""COMPUTED_VALUE"""),1.151249320011486)</f>
        <v>1.15124932</v>
      </c>
      <c r="AO2326" s="82">
        <f>IFERROR(__xludf.DUMMYFUNCTION("""COMPUTED_VALUE"""),1.3031250609467862)</f>
        <v>1.303125061</v>
      </c>
      <c r="AP2326" s="82">
        <f>IFERROR(__xludf.DUMMYFUNCTION("""COMPUTED_VALUE"""),1.1083836617906593)</f>
        <v>1.108383662</v>
      </c>
      <c r="AQ2326" s="82">
        <f>IFERROR(__xludf.DUMMYFUNCTION("""COMPUTED_VALUE"""),0.9083729395545718)</f>
        <v>0.9083729396</v>
      </c>
      <c r="AR2326" s="82">
        <f>IFERROR(__xludf.DUMMYFUNCTION("""COMPUTED_VALUE"""),1.140658462534362)</f>
        <v>1.140658463</v>
      </c>
      <c r="AS2326" s="82">
        <f>IFERROR(__xludf.DUMMYFUNCTION("""COMPUTED_VALUE"""),53.0)</f>
        <v>53</v>
      </c>
      <c r="AT2326" s="82">
        <f>IFERROR(__xludf.DUMMYFUNCTION("""COMPUTED_VALUE"""),0.5716829625812315)</f>
        <v>0.5716829626</v>
      </c>
      <c r="AU2326" s="82">
        <f>IFERROR(__xludf.DUMMYFUNCTION("""COMPUTED_VALUE"""),3.5905486963282605)</f>
        <v>3.590548696</v>
      </c>
      <c r="AV2326" s="82">
        <f>IFERROR(__xludf.DUMMYFUNCTION("""COMPUTED_VALUE"""),69.50095422715381)</f>
        <v>69.50095423</v>
      </c>
      <c r="AW2326" s="82">
        <f t="shared" si="1"/>
        <v>4.593810574</v>
      </c>
      <c r="AX2326" s="83">
        <f t="array" ref="AX2326">IFERROR(DGET('SBV Import'!A:G,"SBV",{"RSC ID","Tier";B2326,A2326}))</f>
        <v>79.02387762</v>
      </c>
      <c r="AY2326" s="82">
        <f t="shared" si="2"/>
        <v>8.141328329</v>
      </c>
      <c r="AZ2326" s="82">
        <v>3.5475177549389647</v>
      </c>
      <c r="BA2326" s="84">
        <v>2300.0</v>
      </c>
      <c r="BB2326" s="84" t="b">
        <f>IFERROR(__xludf.DUMMYFUNCTION("iferror(if(A2326="""",,E2326&gt;=FILTER(Constants!$F$2:$F$10,Constants!$A$2:$A$10=A2326)))"),TRUE)</f>
        <v>1</v>
      </c>
    </row>
    <row r="2327">
      <c r="A2327" s="89" t="str">
        <f>IFERROR(__xludf.DUMMYFUNCTION("""COMPUTED_VALUE"""),"Challenger")</f>
        <v>Challenger</v>
      </c>
      <c r="B2327" s="87" t="str">
        <f>IFERROR(__xludf.DUMMYFUNCTION("""COMPUTED_VALUE"""),"RSC007613")</f>
        <v>RSC007613</v>
      </c>
      <c r="C2327" s="73" t="str">
        <f>IFERROR(__xludf.DUMMYFUNCTION("""COMPUTED_VALUE"""),"Squatch70")</f>
        <v>Squatch70</v>
      </c>
      <c r="D2327" s="73" t="str">
        <f>IFERROR(__xludf.DUMMYFUNCTION("""COMPUTED_VALUE"""),"Panda Bears")</f>
        <v>Panda Bears</v>
      </c>
      <c r="E2327" s="82">
        <f>IFERROR(__xludf.DUMMYFUNCTION("""COMPUTED_VALUE"""),43.0)</f>
        <v>43</v>
      </c>
      <c r="F2327" s="82">
        <f>IFERROR(__xludf.DUMMYFUNCTION("""COMPUTED_VALUE"""),26.0)</f>
        <v>26</v>
      </c>
      <c r="G2327" s="86">
        <f>IFERROR(__xludf.DUMMYFUNCTION("""COMPUTED_VALUE"""),17.0)</f>
        <v>17</v>
      </c>
      <c r="H2327" s="86">
        <f>IFERROR(__xludf.DUMMYFUNCTION("""COMPUTED_VALUE"""),0.6046511627906976)</f>
        <v>0.6046511628</v>
      </c>
      <c r="I2327" s="86">
        <f>IFERROR(__xludf.DUMMYFUNCTION("""COMPUTED_VALUE"""),0.2920353982300885)</f>
        <v>0.2920353982</v>
      </c>
      <c r="J2327" s="82">
        <f>IFERROR(__xludf.DUMMYFUNCTION("""COMPUTED_VALUE"""),375.4418604651163)</f>
        <v>375.4418605</v>
      </c>
      <c r="K2327" s="82">
        <f>IFERROR(__xludf.DUMMYFUNCTION("""COMPUTED_VALUE"""),0.7674418604651163)</f>
        <v>0.7674418605</v>
      </c>
      <c r="L2327" s="82">
        <f>IFERROR(__xludf.DUMMYFUNCTION("""COMPUTED_VALUE"""),0.6511627906976745)</f>
        <v>0.6511627907</v>
      </c>
      <c r="M2327" s="82">
        <f>IFERROR(__xludf.DUMMYFUNCTION("""COMPUTED_VALUE"""),1.6046511627906976)</f>
        <v>1.604651163</v>
      </c>
      <c r="N2327" s="82">
        <f>IFERROR(__xludf.DUMMYFUNCTION("""COMPUTED_VALUE"""),2.627906976744186)</f>
        <v>2.627906977</v>
      </c>
      <c r="O2327" s="82">
        <f>IFERROR(__xludf.DUMMYFUNCTION("""COMPUTED_VALUE"""),332.90697674418607)</f>
        <v>332.9069767</v>
      </c>
      <c r="P2327" s="82">
        <f>IFERROR(__xludf.DUMMYFUNCTION("""COMPUTED_VALUE"""),0.6356589147286823)</f>
        <v>0.6356589147</v>
      </c>
      <c r="Q2327" s="82">
        <f>IFERROR(__xludf.DUMMYFUNCTION("""COMPUTED_VALUE"""),0.44186046511627913)</f>
        <v>0.4418604651</v>
      </c>
      <c r="R2327" s="82">
        <f>IFERROR(__xludf.DUMMYFUNCTION("""COMPUTED_VALUE"""),1.395348837209302)</f>
        <v>1.395348837</v>
      </c>
      <c r="S2327" s="82">
        <f>IFERROR(__xludf.DUMMYFUNCTION("""COMPUTED_VALUE"""),2.6511627906976742)</f>
        <v>2.651162791</v>
      </c>
      <c r="T2327" s="82">
        <f>IFERROR(__xludf.DUMMYFUNCTION("""COMPUTED_VALUE"""),337.97036294651343)</f>
        <v>337.9703629</v>
      </c>
      <c r="U2327" s="82">
        <f>IFERROR(__xludf.DUMMYFUNCTION("""COMPUTED_VALUE"""),0.7660519042546264)</f>
        <v>0.7660519043</v>
      </c>
      <c r="V2327" s="82">
        <f>IFERROR(__xludf.DUMMYFUNCTION("""COMPUTED_VALUE"""),0.5619992121086899)</f>
        <v>0.5619992121</v>
      </c>
      <c r="W2327" s="82">
        <f>IFERROR(__xludf.DUMMYFUNCTION("""COMPUTED_VALUE"""),1.2653759405384186)</f>
        <v>1.265375941</v>
      </c>
      <c r="X2327" s="82">
        <f>IFERROR(__xludf.DUMMYFUNCTION("""COMPUTED_VALUE"""),2.4079469803596805)</f>
        <v>2.40794698</v>
      </c>
      <c r="Y2327" s="82">
        <f>IFERROR(__xludf.DUMMYFUNCTION("""COMPUTED_VALUE"""),328.6311029129722)</f>
        <v>328.6311029</v>
      </c>
      <c r="Z2327" s="82">
        <f>IFERROR(__xludf.DUMMYFUNCTION("""COMPUTED_VALUE"""),0.7527551723223802)</f>
        <v>0.7527551723</v>
      </c>
      <c r="AA2327" s="82">
        <f>IFERROR(__xludf.DUMMYFUNCTION("""COMPUTED_VALUE"""),0.5223330323763601)</f>
        <v>0.5223330324</v>
      </c>
      <c r="AB2327" s="82">
        <f>IFERROR(__xludf.DUMMYFUNCTION("""COMPUTED_VALUE"""),1.1909531479359579)</f>
        <v>1.190953148</v>
      </c>
      <c r="AC2327" s="82">
        <f>IFERROR(__xludf.DUMMYFUNCTION("""COMPUTED_VALUE"""),2.4463695505557768)</f>
        <v>2.446369551</v>
      </c>
      <c r="AD2327" s="82">
        <f>IFERROR(__xludf.DUMMYFUNCTION("""COMPUTED_VALUE"""),1.142441653079138)</f>
        <v>1.142441653</v>
      </c>
      <c r="AE2327" s="82">
        <f>IFERROR(__xludf.DUMMYFUNCTION("""COMPUTED_VALUE"""),1.0195105775194147)</f>
        <v>1.019510578</v>
      </c>
      <c r="AF2327" s="82">
        <f>IFERROR(__xludf.DUMMYFUNCTION("""COMPUTED_VALUE"""),1.2466429468096283)</f>
        <v>1.246642947</v>
      </c>
      <c r="AG2327" s="82">
        <f>IFERROR(__xludf.DUMMYFUNCTION("""COMPUTED_VALUE"""),1.3473671618163319)</f>
        <v>1.347367162</v>
      </c>
      <c r="AH2327" s="82">
        <f>IFERROR(__xludf.DUMMYFUNCTION("""COMPUTED_VALUE"""),1.0742068695823845)</f>
        <v>1.07420687</v>
      </c>
      <c r="AI2327" s="82">
        <f>IFERROR(__xludf.DUMMYFUNCTION("""COMPUTED_VALUE"""),0.985018253795441)</f>
        <v>0.9850182538</v>
      </c>
      <c r="AJ2327" s="82">
        <f>IFERROR(__xludf.DUMMYFUNCTION("""COMPUTED_VALUE"""),0.8297856988518064)</f>
        <v>0.8297856989</v>
      </c>
      <c r="AK2327" s="82">
        <f>IFERROR(__xludf.DUMMYFUNCTION("""COMPUTED_VALUE"""),0.7862296878644448)</f>
        <v>0.7862296879</v>
      </c>
      <c r="AL2327" s="82">
        <f>IFERROR(__xludf.DUMMYFUNCTION("""COMPUTED_VALUE"""),1.1027148474275397)</f>
        <v>1.102714847</v>
      </c>
      <c r="AM2327" s="82">
        <f>IFERROR(__xludf.DUMMYFUNCTION("""COMPUTED_VALUE"""),1.1010054674466563)</f>
        <v>1.101005467</v>
      </c>
      <c r="AN2327" s="82">
        <f>IFERROR(__xludf.DUMMYFUNCTION("""COMPUTED_VALUE"""),1.1540713182263902)</f>
        <v>1.154071318</v>
      </c>
      <c r="AO2327" s="82">
        <f>IFERROR(__xludf.DUMMYFUNCTION("""COMPUTED_VALUE"""),1.0500763572513057)</f>
        <v>1.050076357</v>
      </c>
      <c r="AP2327" s="82">
        <f>IFERROR(__xludf.DUMMYFUNCTION("""COMPUTED_VALUE"""),1.263041847156798)</f>
        <v>1.263041847</v>
      </c>
      <c r="AQ2327" s="82">
        <f>IFERROR(__xludf.DUMMYFUNCTION("""COMPUTED_VALUE"""),1.3308719812078609)</f>
        <v>1.330871981</v>
      </c>
      <c r="AR2327" s="82">
        <f>IFERROR(__xludf.DUMMYFUNCTION("""COMPUTED_VALUE"""),1.1043584380228644)</f>
        <v>1.104358438</v>
      </c>
      <c r="AS2327" s="82">
        <f>IFERROR(__xludf.DUMMYFUNCTION("""COMPUTED_VALUE"""),108.0)</f>
        <v>108</v>
      </c>
      <c r="AT2327" s="82">
        <f>IFERROR(__xludf.DUMMYFUNCTION("""COMPUTED_VALUE"""),0.6039308749760763)</f>
        <v>0.603930875</v>
      </c>
      <c r="AU2327" s="82">
        <f>IFERROR(__xludf.DUMMYFUNCTION("""COMPUTED_VALUE"""),3.5740595534215913)</f>
        <v>3.574059553</v>
      </c>
      <c r="AV2327" s="82">
        <f>IFERROR(__xludf.DUMMYFUNCTION("""COMPUTED_VALUE"""),69.07061627672016)</f>
        <v>69.07061628</v>
      </c>
      <c r="AW2327" s="82">
        <f t="shared" si="1"/>
        <v>4.488652912</v>
      </c>
      <c r="AX2327" s="83">
        <f t="array" ref="AX2327">IFERROR(DGET('SBV Import'!A:G,"SBV",{"RSC ID","Tier";B2327,A2327}))</f>
        <v>52.22293395</v>
      </c>
      <c r="AY2327" s="82">
        <f t="shared" si="2"/>
        <v>2.152510564</v>
      </c>
      <c r="AZ2327" s="82">
        <v>2.3361423477516956</v>
      </c>
      <c r="BA2327" s="84">
        <v>2300.0</v>
      </c>
      <c r="BB2327" s="84" t="b">
        <f>IFERROR(__xludf.DUMMYFUNCTION("iferror(if(A2327="""",,E2327&gt;=FILTER(Constants!$F$2:$F$10,Constants!$A$2:$A$10=A2327)))"),TRUE)</f>
        <v>1</v>
      </c>
    </row>
    <row r="2328">
      <c r="A2328" s="89" t="str">
        <f>IFERROR(__xludf.DUMMYFUNCTION("""COMPUTED_VALUE"""),"Challenger")</f>
        <v>Challenger</v>
      </c>
      <c r="B2328" s="87" t="str">
        <f>IFERROR(__xludf.DUMMYFUNCTION("""COMPUTED_VALUE"""),"RSC006535")</f>
        <v>RSC006535</v>
      </c>
      <c r="C2328" s="73" t="str">
        <f>IFERROR(__xludf.DUMMYFUNCTION("""COMPUTED_VALUE"""),"Westandalone0")</f>
        <v>Westandalone0</v>
      </c>
      <c r="D2328" s="73" t="str">
        <f>IFERROR(__xludf.DUMMYFUNCTION("""COMPUTED_VALUE"""),"Deceased")</f>
        <v>Deceased</v>
      </c>
      <c r="E2328" s="82">
        <f>IFERROR(__xludf.DUMMYFUNCTION("""COMPUTED_VALUE"""),39.0)</f>
        <v>39</v>
      </c>
      <c r="F2328" s="82">
        <f>IFERROR(__xludf.DUMMYFUNCTION("""COMPUTED_VALUE"""),24.0)</f>
        <v>24</v>
      </c>
      <c r="G2328" s="86">
        <f>IFERROR(__xludf.DUMMYFUNCTION("""COMPUTED_VALUE"""),15.0)</f>
        <v>15</v>
      </c>
      <c r="H2328" s="86">
        <f>IFERROR(__xludf.DUMMYFUNCTION("""COMPUTED_VALUE"""),0.6153846153846154)</f>
        <v>0.6153846154</v>
      </c>
      <c r="I2328" s="86">
        <f>IFERROR(__xludf.DUMMYFUNCTION("""COMPUTED_VALUE"""),0.21774193548387097)</f>
        <v>0.2177419355</v>
      </c>
      <c r="J2328" s="82">
        <f>IFERROR(__xludf.DUMMYFUNCTION("""COMPUTED_VALUE"""),334.9230769230769)</f>
        <v>334.9230769</v>
      </c>
      <c r="K2328" s="82">
        <f>IFERROR(__xludf.DUMMYFUNCTION("""COMPUTED_VALUE"""),0.6923076923076923)</f>
        <v>0.6923076923</v>
      </c>
      <c r="L2328" s="82">
        <f>IFERROR(__xludf.DUMMYFUNCTION("""COMPUTED_VALUE"""),0.8205128205128205)</f>
        <v>0.8205128205</v>
      </c>
      <c r="M2328" s="82">
        <f>IFERROR(__xludf.DUMMYFUNCTION("""COMPUTED_VALUE"""),0.8461538461538461)</f>
        <v>0.8461538462</v>
      </c>
      <c r="N2328" s="82">
        <f>IFERROR(__xludf.DUMMYFUNCTION("""COMPUTED_VALUE"""),3.1794871794871793)</f>
        <v>3.179487179</v>
      </c>
      <c r="O2328" s="82">
        <f>IFERROR(__xludf.DUMMYFUNCTION("""COMPUTED_VALUE"""),339.53846153846155)</f>
        <v>339.5384615</v>
      </c>
      <c r="P2328" s="82">
        <f>IFERROR(__xludf.DUMMYFUNCTION("""COMPUTED_VALUE"""),0.6495726495726495)</f>
        <v>0.6495726496</v>
      </c>
      <c r="Q2328" s="82">
        <f>IFERROR(__xludf.DUMMYFUNCTION("""COMPUTED_VALUE"""),0.4957264957264955)</f>
        <v>0.4957264957</v>
      </c>
      <c r="R2328" s="82">
        <f>IFERROR(__xludf.DUMMYFUNCTION("""COMPUTED_VALUE"""),1.5042735042735045)</f>
        <v>1.504273504</v>
      </c>
      <c r="S2328" s="82">
        <f>IFERROR(__xludf.DUMMYFUNCTION("""COMPUTED_VALUE"""),2.1111111111111116)</f>
        <v>2.111111111</v>
      </c>
      <c r="T2328" s="82">
        <f>IFERROR(__xludf.DUMMYFUNCTION("""COMPUTED_VALUE"""),328.19028159332845)</f>
        <v>328.1902816</v>
      </c>
      <c r="U2328" s="82">
        <f>IFERROR(__xludf.DUMMYFUNCTION("""COMPUTED_VALUE"""),0.7388767172684398)</f>
        <v>0.7388767173</v>
      </c>
      <c r="V2328" s="82">
        <f>IFERROR(__xludf.DUMMYFUNCTION("""COMPUTED_VALUE"""),0.49195412995150806)</f>
        <v>0.49195413</v>
      </c>
      <c r="W2328" s="82">
        <f>IFERROR(__xludf.DUMMYFUNCTION("""COMPUTED_VALUE"""),1.2583449969042884)</f>
        <v>1.258344997</v>
      </c>
      <c r="X2328" s="82">
        <f>IFERROR(__xludf.DUMMYFUNCTION("""COMPUTED_VALUE"""),2.3279795505686858)</f>
        <v>2.327979551</v>
      </c>
      <c r="Y2328" s="82">
        <f>IFERROR(__xludf.DUMMYFUNCTION("""COMPUTED_VALUE"""),346.3430151868166)</f>
        <v>346.3430152</v>
      </c>
      <c r="Z2328" s="82">
        <f>IFERROR(__xludf.DUMMYFUNCTION("""COMPUTED_VALUE"""),0.8481447499853323)</f>
        <v>0.84814475</v>
      </c>
      <c r="AA2328" s="82">
        <f>IFERROR(__xludf.DUMMYFUNCTION("""COMPUTED_VALUE"""),0.5963001673984072)</f>
        <v>0.5963001674</v>
      </c>
      <c r="AB2328" s="82">
        <f>IFERROR(__xludf.DUMMYFUNCTION("""COMPUTED_VALUE"""),1.1701622080545968)</f>
        <v>1.170162208</v>
      </c>
      <c r="AC2328" s="82">
        <f>IFERROR(__xludf.DUMMYFUNCTION("""COMPUTED_VALUE"""),2.613938676633726)</f>
        <v>2.613938677</v>
      </c>
      <c r="AD2328" s="82">
        <f>IFERROR(__xludf.DUMMYFUNCTION("""COMPUTED_VALUE"""),0.9670270865500786)</f>
        <v>0.9670270866</v>
      </c>
      <c r="AE2328" s="82">
        <f>IFERROR(__xludf.DUMMYFUNCTION("""COMPUTED_VALUE"""),0.8162612482358288)</f>
        <v>0.8162612482</v>
      </c>
      <c r="AF2328" s="82">
        <f>IFERROR(__xludf.DUMMYFUNCTION("""COMPUTED_VALUE"""),1.3760063561488314)</f>
        <v>1.376006356</v>
      </c>
      <c r="AG2328" s="82">
        <f>IFERROR(__xludf.DUMMYFUNCTION("""COMPUTED_VALUE"""),0.7231081642609045)</f>
        <v>0.7231081643</v>
      </c>
      <c r="AH2328" s="82">
        <f>IFERROR(__xludf.DUMMYFUNCTION("""COMPUTED_VALUE"""),1.2163587493115087)</f>
        <v>1.216358749</v>
      </c>
      <c r="AI2328" s="82">
        <f>IFERROR(__xludf.DUMMYFUNCTION("""COMPUTED_VALUE"""),1.0345780499350525)</f>
        <v>1.03457805</v>
      </c>
      <c r="AJ2328" s="82">
        <f>IFERROR(__xludf.DUMMYFUNCTION("""COMPUTED_VALUE"""),0.8791353610032003)</f>
        <v>0.879135361</v>
      </c>
      <c r="AK2328" s="82">
        <f>IFERROR(__xludf.DUMMYFUNCTION("""COMPUTED_VALUE"""),1.0076681250249069)</f>
        <v>1.007668125</v>
      </c>
      <c r="AL2328" s="82">
        <f>IFERROR(__xludf.DUMMYFUNCTION("""COMPUTED_VALUE"""),1.1954380618782894)</f>
        <v>1.195438062</v>
      </c>
      <c r="AM2328" s="82">
        <f>IFERROR(__xludf.DUMMYFUNCTION("""COMPUTED_VALUE"""),0.9068426355357817)</f>
        <v>0.9068426355</v>
      </c>
      <c r="AN2328" s="82">
        <f>IFERROR(__xludf.DUMMYFUNCTION("""COMPUTED_VALUE"""),1.0295205665404685)</f>
        <v>1.029520567</v>
      </c>
      <c r="AO2328" s="82">
        <f>IFERROR(__xludf.DUMMYFUNCTION("""COMPUTED_VALUE"""),0.94727167891901)</f>
        <v>0.9472716789</v>
      </c>
      <c r="AP2328" s="82">
        <f>IFERROR(__xludf.DUMMYFUNCTION("""COMPUTED_VALUE"""),1.5915252579558186)</f>
        <v>1.591525258</v>
      </c>
      <c r="AQ2328" s="82">
        <f>IFERROR(__xludf.DUMMYFUNCTION("""COMPUTED_VALUE"""),0.7017864516291172)</f>
        <v>0.7017864516</v>
      </c>
      <c r="AR2328" s="82">
        <f>IFERROR(__xludf.DUMMYFUNCTION("""COMPUTED_VALUE"""),1.3361559318216276)</f>
        <v>1.336155932</v>
      </c>
      <c r="AS2328" s="82">
        <f>IFERROR(__xludf.DUMMYFUNCTION("""COMPUTED_VALUE"""),105.0)</f>
        <v>105</v>
      </c>
      <c r="AT2328" s="82">
        <f>IFERROR(__xludf.DUMMYFUNCTION("""COMPUTED_VALUE"""),0.6229623883194485)</f>
        <v>0.6229623883</v>
      </c>
      <c r="AU2328" s="82">
        <f>IFERROR(__xludf.DUMMYFUNCTION("""COMPUTED_VALUE"""),3.5608234774144356)</f>
        <v>3.560823477</v>
      </c>
      <c r="AV2328" s="82">
        <f>IFERROR(__xludf.DUMMYFUNCTION("""COMPUTED_VALUE"""),68.72517771433137)</f>
        <v>68.72517771</v>
      </c>
      <c r="AW2328" s="82">
        <f t="shared" si="1"/>
        <v>4.406713955</v>
      </c>
      <c r="AX2328" s="83">
        <f t="array" ref="AX2328">IFERROR(DGET('SBV Import'!A:G,"SBV",{"RSC ID","Tier";B2328,A2328}))</f>
        <v>56.510105</v>
      </c>
      <c r="AY2328" s="82">
        <f t="shared" si="2"/>
        <v>2.517141724</v>
      </c>
      <c r="AZ2328" s="82">
        <v>1.8895722308048688</v>
      </c>
      <c r="BA2328" s="84">
        <v>2300.0</v>
      </c>
      <c r="BB2328" s="84" t="b">
        <f>IFERROR(__xludf.DUMMYFUNCTION("iferror(if(A2328="""",,E2328&gt;=FILTER(Constants!$F$2:$F$10,Constants!$A$2:$A$10=A2328)))"),TRUE)</f>
        <v>1</v>
      </c>
    </row>
    <row r="2329">
      <c r="A2329" s="89" t="str">
        <f>IFERROR(__xludf.DUMMYFUNCTION("""COMPUTED_VALUE"""),"Challenger")</f>
        <v>Challenger</v>
      </c>
      <c r="B2329" s="87" t="str">
        <f>IFERROR(__xludf.DUMMYFUNCTION("""COMPUTED_VALUE"""),"RSC006240")</f>
        <v>RSC006240</v>
      </c>
      <c r="C2329" s="73" t="str">
        <f>IFERROR(__xludf.DUMMYFUNCTION("""COMPUTED_VALUE"""),"Canadian Gamer")</f>
        <v>Canadian Gamer</v>
      </c>
      <c r="D2329" s="73" t="str">
        <f>IFERROR(__xludf.DUMMYFUNCTION("""COMPUTED_VALUE"""),"Meat Lovers")</f>
        <v>Meat Lovers</v>
      </c>
      <c r="E2329" s="82">
        <f>IFERROR(__xludf.DUMMYFUNCTION("""COMPUTED_VALUE"""),40.0)</f>
        <v>40</v>
      </c>
      <c r="F2329" s="82">
        <f>IFERROR(__xludf.DUMMYFUNCTION("""COMPUTED_VALUE"""),28.0)</f>
        <v>28</v>
      </c>
      <c r="G2329" s="86">
        <f>IFERROR(__xludf.DUMMYFUNCTION("""COMPUTED_VALUE"""),12.0)</f>
        <v>12</v>
      </c>
      <c r="H2329" s="86">
        <f>IFERROR(__xludf.DUMMYFUNCTION("""COMPUTED_VALUE"""),0.7)</f>
        <v>0.7</v>
      </c>
      <c r="I2329" s="86">
        <f>IFERROR(__xludf.DUMMYFUNCTION("""COMPUTED_VALUE"""),0.375)</f>
        <v>0.375</v>
      </c>
      <c r="J2329" s="82">
        <f>IFERROR(__xludf.DUMMYFUNCTION("""COMPUTED_VALUE"""),348.85)</f>
        <v>348.85</v>
      </c>
      <c r="K2329" s="82">
        <f>IFERROR(__xludf.DUMMYFUNCTION("""COMPUTED_VALUE"""),0.9)</f>
        <v>0.9</v>
      </c>
      <c r="L2329" s="82">
        <f>IFERROR(__xludf.DUMMYFUNCTION("""COMPUTED_VALUE"""),0.675)</f>
        <v>0.675</v>
      </c>
      <c r="M2329" s="82">
        <f>IFERROR(__xludf.DUMMYFUNCTION("""COMPUTED_VALUE"""),1.25)</f>
        <v>1.25</v>
      </c>
      <c r="N2329" s="82">
        <f>IFERROR(__xludf.DUMMYFUNCTION("""COMPUTED_VALUE"""),2.4)</f>
        <v>2.4</v>
      </c>
      <c r="O2329" s="82">
        <f>IFERROR(__xludf.DUMMYFUNCTION("""COMPUTED_VALUE"""),310.15000000000003)</f>
        <v>310.15</v>
      </c>
      <c r="P2329" s="82">
        <f>IFERROR(__xludf.DUMMYFUNCTION("""COMPUTED_VALUE"""),0.6083333333333332)</f>
        <v>0.6083333333</v>
      </c>
      <c r="Q2329" s="82">
        <f>IFERROR(__xludf.DUMMYFUNCTION("""COMPUTED_VALUE"""),0.4750000000000001)</f>
        <v>0.475</v>
      </c>
      <c r="R2329" s="82">
        <f>IFERROR(__xludf.DUMMYFUNCTION("""COMPUTED_VALUE"""),1.2833333333333337)</f>
        <v>1.283333333</v>
      </c>
      <c r="S2329" s="82">
        <f>IFERROR(__xludf.DUMMYFUNCTION("""COMPUTED_VALUE"""),2.1333333333333337)</f>
        <v>2.133333333</v>
      </c>
      <c r="T2329" s="82">
        <f>IFERROR(__xludf.DUMMYFUNCTION("""COMPUTED_VALUE"""),315.4191289230257)</f>
        <v>315.4191289</v>
      </c>
      <c r="U2329" s="82">
        <f>IFERROR(__xludf.DUMMYFUNCTION("""COMPUTED_VALUE"""),0.6877331816937396)</f>
        <v>0.6877331817</v>
      </c>
      <c r="V2329" s="82">
        <f>IFERROR(__xludf.DUMMYFUNCTION("""COMPUTED_VALUE"""),0.4997961086931979)</f>
        <v>0.4997961087</v>
      </c>
      <c r="W2329" s="82">
        <f>IFERROR(__xludf.DUMMYFUNCTION("""COMPUTED_VALUE"""),1.1767667030804019)</f>
        <v>1.176766703</v>
      </c>
      <c r="X2329" s="82">
        <f>IFERROR(__xludf.DUMMYFUNCTION("""COMPUTED_VALUE"""),2.352968481193833)</f>
        <v>2.352968481</v>
      </c>
      <c r="Y2329" s="82">
        <f>IFERROR(__xludf.DUMMYFUNCTION("""COMPUTED_VALUE"""),339.57879215462185)</f>
        <v>339.5787922</v>
      </c>
      <c r="Z2329" s="82">
        <f>IFERROR(__xludf.DUMMYFUNCTION("""COMPUTED_VALUE"""),0.7861196045475046)</f>
        <v>0.7861196045</v>
      </c>
      <c r="AA2329" s="82">
        <f>IFERROR(__xludf.DUMMYFUNCTION("""COMPUTED_VALUE"""),0.5667540729133015)</f>
        <v>0.5667540729</v>
      </c>
      <c r="AB2329" s="82">
        <f>IFERROR(__xludf.DUMMYFUNCTION("""COMPUTED_VALUE"""),1.2442511890591696)</f>
        <v>1.244251189</v>
      </c>
      <c r="AC2329" s="82">
        <f>IFERROR(__xludf.DUMMYFUNCTION("""COMPUTED_VALUE"""),2.423591954901333)</f>
        <v>2.423591955</v>
      </c>
      <c r="AD2329" s="82">
        <f>IFERROR(__xludf.DUMMYFUNCTION("""COMPUTED_VALUE"""),1.0273020814596592)</f>
        <v>1.027302081</v>
      </c>
      <c r="AE2329" s="82">
        <f>IFERROR(__xludf.DUMMYFUNCTION("""COMPUTED_VALUE"""),1.1448639555529794)</f>
        <v>1.144863956</v>
      </c>
      <c r="AF2329" s="82">
        <f>IFERROR(__xludf.DUMMYFUNCTION("""COMPUTED_VALUE"""),1.1909927643400586)</f>
        <v>1.190992764</v>
      </c>
      <c r="AG2329" s="82">
        <f>IFERROR(__xludf.DUMMYFUNCTION("""COMPUTED_VALUE"""),1.0046202977271634)</f>
        <v>1.004620298</v>
      </c>
      <c r="AH2329" s="82">
        <f>IFERROR(__xludf.DUMMYFUNCTION("""COMPUTED_VALUE"""),0.9902657067112216)</f>
        <v>0.9902657067</v>
      </c>
      <c r="AI2329" s="82">
        <f>IFERROR(__xludf.DUMMYFUNCTION("""COMPUTED_VALUE"""),0.9832948339531065)</f>
        <v>0.983294834</v>
      </c>
      <c r="AJ2329" s="82">
        <f>IFERROR(__xludf.DUMMYFUNCTION("""COMPUTED_VALUE"""),0.8845484695607363)</f>
        <v>0.8845484696</v>
      </c>
      <c r="AK2329" s="82">
        <f>IFERROR(__xludf.DUMMYFUNCTION("""COMPUTED_VALUE"""),0.9503875515196958)</f>
        <v>0.9503875515</v>
      </c>
      <c r="AL2329" s="82">
        <f>IFERROR(__xludf.DUMMYFUNCTION("""COMPUTED_VALUE"""),1.090558842270073)</f>
        <v>1.090558842</v>
      </c>
      <c r="AM2329" s="82">
        <f>IFERROR(__xludf.DUMMYFUNCTION("""COMPUTED_VALUE"""),0.9066561453687377)</f>
        <v>0.9066561454</v>
      </c>
      <c r="AN2329" s="82">
        <f>IFERROR(__xludf.DUMMYFUNCTION("""COMPUTED_VALUE"""),1.0723305570255748)</f>
        <v>1.072330557</v>
      </c>
      <c r="AO2329" s="82">
        <f>IFERROR(__xludf.DUMMYFUNCTION("""COMPUTED_VALUE"""),1.231453182594713)</f>
        <v>1.231453183</v>
      </c>
      <c r="AP2329" s="82">
        <f>IFERROR(__xludf.DUMMYFUNCTION("""COMPUTED_VALUE"""),1.3092782004902164)</f>
        <v>1.3092782</v>
      </c>
      <c r="AQ2329" s="82">
        <f>IFERROR(__xludf.DUMMYFUNCTION("""COMPUTED_VALUE"""),1.036729985361196)</f>
        <v>1.036729985</v>
      </c>
      <c r="AR2329" s="82">
        <f>IFERROR(__xludf.DUMMYFUNCTION("""COMPUTED_VALUE"""),1.0085822195040675)</f>
        <v>1.00858222</v>
      </c>
      <c r="AS2329" s="82">
        <f>IFERROR(__xludf.DUMMYFUNCTION("""COMPUTED_VALUE"""),113.0)</f>
        <v>113</v>
      </c>
      <c r="AT2329" s="82">
        <f>IFERROR(__xludf.DUMMYFUNCTION("""COMPUTED_VALUE"""),0.6635501973055563)</f>
        <v>0.6635501973</v>
      </c>
      <c r="AU2329" s="82">
        <f>IFERROR(__xludf.DUMMYFUNCTION("""COMPUTED_VALUE"""),3.5302185288299572)</f>
        <v>3.530218529</v>
      </c>
      <c r="AV2329" s="82">
        <f>IFERROR(__xludf.DUMMYFUNCTION("""COMPUTED_VALUE"""),67.92644178721143)</f>
        <v>67.92644179</v>
      </c>
      <c r="AW2329" s="82">
        <f t="shared" si="1"/>
        <v>4.225305882</v>
      </c>
      <c r="AX2329" s="83">
        <f t="array" ref="AX2329">IFERROR(DGET('SBV Import'!A:G,"SBV",{"RSC ID","Tier";B2329,A2329}))</f>
        <v>61.58826501</v>
      </c>
      <c r="AY2329" s="82">
        <f t="shared" si="2"/>
        <v>3.110496889</v>
      </c>
      <c r="AZ2329" s="82">
        <v>1.114808992306569</v>
      </c>
      <c r="BA2329" s="84">
        <v>2300.0</v>
      </c>
      <c r="BB2329" s="84" t="b">
        <f>IFERROR(__xludf.DUMMYFUNCTION("iferror(if(A2329="""",,E2329&gt;=FILTER(Constants!$F$2:$F$10,Constants!$A$2:$A$10=A2329)))"),TRUE)</f>
        <v>1</v>
      </c>
    </row>
    <row r="2330">
      <c r="A2330" s="89" t="str">
        <f>IFERROR(__xludf.DUMMYFUNCTION("""COMPUTED_VALUE"""),"Challenger")</f>
        <v>Challenger</v>
      </c>
      <c r="B2330" s="87" t="str">
        <f>IFERROR(__xludf.DUMMYFUNCTION("""COMPUTED_VALUE"""),"RSC005265")</f>
        <v>RSC005265</v>
      </c>
      <c r="C2330" s="73" t="str">
        <f>IFERROR(__xludf.DUMMYFUNCTION("""COMPUTED_VALUE"""),"doctorprofessor_")</f>
        <v>doctorprofessor_</v>
      </c>
      <c r="D2330" s="73" t="str">
        <f>IFERROR(__xludf.DUMMYFUNCTION("""COMPUTED_VALUE"""),"Decuriones")</f>
        <v>Decuriones</v>
      </c>
      <c r="E2330" s="82">
        <f>IFERROR(__xludf.DUMMYFUNCTION("""COMPUTED_VALUE"""),47.0)</f>
        <v>47</v>
      </c>
      <c r="F2330" s="82">
        <f>IFERROR(__xludf.DUMMYFUNCTION("""COMPUTED_VALUE"""),27.0)</f>
        <v>27</v>
      </c>
      <c r="G2330" s="86">
        <f>IFERROR(__xludf.DUMMYFUNCTION("""COMPUTED_VALUE"""),20.0)</f>
        <v>20</v>
      </c>
      <c r="H2330" s="86">
        <f>IFERROR(__xludf.DUMMYFUNCTION("""COMPUTED_VALUE"""),0.574468085106383)</f>
        <v>0.5744680851</v>
      </c>
      <c r="I2330" s="86">
        <f>IFERROR(__xludf.DUMMYFUNCTION("""COMPUTED_VALUE"""),0.28030303030303033)</f>
        <v>0.2803030303</v>
      </c>
      <c r="J2330" s="82">
        <f>IFERROR(__xludf.DUMMYFUNCTION("""COMPUTED_VALUE"""),349.0425531914894)</f>
        <v>349.0425532</v>
      </c>
      <c r="K2330" s="82">
        <f>IFERROR(__xludf.DUMMYFUNCTION("""COMPUTED_VALUE"""),0.7872340425531915)</f>
        <v>0.7872340426</v>
      </c>
      <c r="L2330" s="82">
        <f>IFERROR(__xludf.DUMMYFUNCTION("""COMPUTED_VALUE"""),0.574468085106383)</f>
        <v>0.5744680851</v>
      </c>
      <c r="M2330" s="82">
        <f>IFERROR(__xludf.DUMMYFUNCTION("""COMPUTED_VALUE"""),1.0212765957446808)</f>
        <v>1.021276596</v>
      </c>
      <c r="N2330" s="82">
        <f>IFERROR(__xludf.DUMMYFUNCTION("""COMPUTED_VALUE"""),2.8085106382978724)</f>
        <v>2.808510638</v>
      </c>
      <c r="O2330" s="82">
        <f>IFERROR(__xludf.DUMMYFUNCTION("""COMPUTED_VALUE"""),312.09219858156035)</f>
        <v>312.0921986</v>
      </c>
      <c r="P2330" s="82">
        <f>IFERROR(__xludf.DUMMYFUNCTION("""COMPUTED_VALUE"""),0.6170212765957448)</f>
        <v>0.6170212766</v>
      </c>
      <c r="Q2330" s="82">
        <f>IFERROR(__xludf.DUMMYFUNCTION("""COMPUTED_VALUE"""),0.4539007092198582)</f>
        <v>0.4539007092</v>
      </c>
      <c r="R2330" s="82">
        <f>IFERROR(__xludf.DUMMYFUNCTION("""COMPUTED_VALUE"""),1.276595744680851)</f>
        <v>1.276595745</v>
      </c>
      <c r="S2330" s="82">
        <f>IFERROR(__xludf.DUMMYFUNCTION("""COMPUTED_VALUE"""),2.056737588652482)</f>
        <v>2.056737589</v>
      </c>
      <c r="T2330" s="82">
        <f>IFERROR(__xludf.DUMMYFUNCTION("""COMPUTED_VALUE"""),337.8886224326256)</f>
        <v>337.8886224</v>
      </c>
      <c r="U2330" s="82">
        <f>IFERROR(__xludf.DUMMYFUNCTION("""COMPUTED_VALUE"""),0.7493217803254546)</f>
        <v>0.7493217803</v>
      </c>
      <c r="V2330" s="82">
        <f>IFERROR(__xludf.DUMMYFUNCTION("""COMPUTED_VALUE"""),0.522909889804648)</f>
        <v>0.5229098898</v>
      </c>
      <c r="W2330" s="82">
        <f>IFERROR(__xludf.DUMMYFUNCTION("""COMPUTED_VALUE"""),1.3002200696989668)</f>
        <v>1.30022007</v>
      </c>
      <c r="X2330" s="82">
        <f>IFERROR(__xludf.DUMMYFUNCTION("""COMPUTED_VALUE"""),2.347283584748685)</f>
        <v>2.347283585</v>
      </c>
      <c r="Y2330" s="82">
        <f>IFERROR(__xludf.DUMMYFUNCTION("""COMPUTED_VALUE"""),334.2176946941951)</f>
        <v>334.2176947</v>
      </c>
      <c r="Z2330" s="82">
        <f>IFERROR(__xludf.DUMMYFUNCTION("""COMPUTED_VALUE"""),0.7633750596907832)</f>
        <v>0.7633750597</v>
      </c>
      <c r="AA2330" s="82">
        <f>IFERROR(__xludf.DUMMYFUNCTION("""COMPUTED_VALUE"""),0.5340596299431332)</f>
        <v>0.5340596299</v>
      </c>
      <c r="AB2330" s="82">
        <f>IFERROR(__xludf.DUMMYFUNCTION("""COMPUTED_VALUE"""),1.1886556913081037)</f>
        <v>1.188655691</v>
      </c>
      <c r="AC2330" s="82">
        <f>IFERROR(__xludf.DUMMYFUNCTION("""COMPUTED_VALUE"""),2.5147824261883667)</f>
        <v>2.514782426</v>
      </c>
      <c r="AD2330" s="82">
        <f>IFERROR(__xludf.DUMMYFUNCTION("""COMPUTED_VALUE"""),1.04435689292531)</f>
        <v>1.044356893</v>
      </c>
      <c r="AE2330" s="82">
        <f>IFERROR(__xludf.DUMMYFUNCTION("""COMPUTED_VALUE"""),1.0312546009455335)</f>
        <v>1.031254601</v>
      </c>
      <c r="AF2330" s="82">
        <f>IFERROR(__xludf.DUMMYFUNCTION("""COMPUTED_VALUE"""),1.0756628153443326)</f>
        <v>1.075662815</v>
      </c>
      <c r="AG2330" s="82">
        <f>IFERROR(__xludf.DUMMYFUNCTION("""COMPUTED_VALUE"""),0.859186224583484)</f>
        <v>0.8591862246</v>
      </c>
      <c r="AH2330" s="82">
        <f>IFERROR(__xludf.DUMMYFUNCTION("""COMPUTED_VALUE"""),1.1168006460720767)</f>
        <v>1.116800646</v>
      </c>
      <c r="AI2330" s="82">
        <f>IFERROR(__xludf.DUMMYFUNCTION("""COMPUTED_VALUE"""),0.9236540619055351)</f>
        <v>0.9236540619</v>
      </c>
      <c r="AJ2330" s="82">
        <f>IFERROR(__xludf.DUMMYFUNCTION("""COMPUTED_VALUE"""),0.8234396661041303)</f>
        <v>0.8234396661</v>
      </c>
      <c r="AK2330" s="82">
        <f>IFERROR(__xludf.DUMMYFUNCTION("""COMPUTED_VALUE"""),0.8680285419528578)</f>
        <v>0.868028542</v>
      </c>
      <c r="AL2330" s="82">
        <f>IFERROR(__xludf.DUMMYFUNCTION("""COMPUTED_VALUE"""),0.9818305181033042)</f>
        <v>0.9818305181</v>
      </c>
      <c r="AM2330" s="82">
        <f>IFERROR(__xludf.DUMMYFUNCTION("""COMPUTED_VALUE"""),0.876220326344884)</f>
        <v>0.8762203263</v>
      </c>
      <c r="AN2330" s="82">
        <f>IFERROR(__xludf.DUMMYFUNCTION("""COMPUTED_VALUE"""),1.0729224465800733)</f>
        <v>1.072922447</v>
      </c>
      <c r="AO2330" s="82">
        <f>IFERROR(__xludf.DUMMYFUNCTION("""COMPUTED_VALUE"""),1.0771576301655883)</f>
        <v>1.07715763</v>
      </c>
      <c r="AP2330" s="82">
        <f>IFERROR(__xludf.DUMMYFUNCTION("""COMPUTED_VALUE"""),1.1142793195661418)</f>
        <v>1.11427932</v>
      </c>
      <c r="AQ2330" s="82">
        <f>IFERROR(__xludf.DUMMYFUNCTION("""COMPUTED_VALUE"""),0.8470304561248919)</f>
        <v>0.8470304561</v>
      </c>
      <c r="AR2330" s="82">
        <f>IFERROR(__xludf.DUMMYFUNCTION("""COMPUTED_VALUE"""),1.1802557887813556)</f>
        <v>1.180255789</v>
      </c>
      <c r="AS2330" s="82">
        <f>IFERROR(__xludf.DUMMYFUNCTION("""COMPUTED_VALUE"""),106.0)</f>
        <v>106</v>
      </c>
      <c r="AT2330" s="82">
        <f>IFERROR(__xludf.DUMMYFUNCTION("""COMPUTED_VALUE"""),0.5735321693476768)</f>
        <v>0.5735321693</v>
      </c>
      <c r="AU2330" s="82">
        <f>IFERROR(__xludf.DUMMYFUNCTION("""COMPUTED_VALUE"""),3.494813378775469)</f>
        <v>3.494813379</v>
      </c>
      <c r="AV2330" s="82">
        <f>IFERROR(__xludf.DUMMYFUNCTION("""COMPUTED_VALUE"""),67.00242895067512)</f>
        <v>67.00242895</v>
      </c>
      <c r="AW2330" s="82">
        <f t="shared" si="1"/>
        <v>4.028660342</v>
      </c>
      <c r="AX2330" s="83">
        <f t="array" ref="AX2330">IFERROR(DGET('SBV Import'!A:G,"SBV",{"RSC ID","Tier";B2330,A2330}))</f>
        <v>66.64746742</v>
      </c>
      <c r="AY2330" s="82">
        <f t="shared" si="2"/>
        <v>3.956667735</v>
      </c>
      <c r="AZ2330" s="82">
        <v>0.07199260722256184</v>
      </c>
      <c r="BA2330" s="84">
        <v>2300.0</v>
      </c>
      <c r="BB2330" s="84" t="b">
        <f>IFERROR(__xludf.DUMMYFUNCTION("iferror(if(A2330="""",,E2330&gt;=FILTER(Constants!$F$2:$F$10,Constants!$A$2:$A$10=A2330)))"),TRUE)</f>
        <v>1</v>
      </c>
    </row>
    <row r="2331">
      <c r="A2331" s="89" t="str">
        <f>IFERROR(__xludf.DUMMYFUNCTION("""COMPUTED_VALUE"""),"Challenger")</f>
        <v>Challenger</v>
      </c>
      <c r="B2331" s="87" t="str">
        <f>IFERROR(__xludf.DUMMYFUNCTION("""COMPUTED_VALUE"""),"RSC007626")</f>
        <v>RSC007626</v>
      </c>
      <c r="C2331" s="73" t="str">
        <f>IFERROR(__xludf.DUMMYFUNCTION("""COMPUTED_VALUE"""),"ACDye2")</f>
        <v>ACDye2</v>
      </c>
      <c r="D2331" s="73" t="str">
        <f>IFERROR(__xludf.DUMMYFUNCTION("""COMPUTED_VALUE"""),"Squalls")</f>
        <v>Squalls</v>
      </c>
      <c r="E2331" s="82">
        <f>IFERROR(__xludf.DUMMYFUNCTION("""COMPUTED_VALUE"""),42.0)</f>
        <v>42</v>
      </c>
      <c r="F2331" s="82">
        <f>IFERROR(__xludf.DUMMYFUNCTION("""COMPUTED_VALUE"""),26.0)</f>
        <v>26</v>
      </c>
      <c r="G2331" s="86">
        <f>IFERROR(__xludf.DUMMYFUNCTION("""COMPUTED_VALUE"""),16.0)</f>
        <v>16</v>
      </c>
      <c r="H2331" s="86">
        <f>IFERROR(__xludf.DUMMYFUNCTION("""COMPUTED_VALUE"""),0.6190476190476191)</f>
        <v>0.619047619</v>
      </c>
      <c r="I2331" s="86">
        <f>IFERROR(__xludf.DUMMYFUNCTION("""COMPUTED_VALUE"""),0.26724137931034486)</f>
        <v>0.2672413793</v>
      </c>
      <c r="J2331" s="82">
        <f>IFERROR(__xludf.DUMMYFUNCTION("""COMPUTED_VALUE"""),361.1666666666667)</f>
        <v>361.1666667</v>
      </c>
      <c r="K2331" s="82">
        <f>IFERROR(__xludf.DUMMYFUNCTION("""COMPUTED_VALUE"""),0.7380952380952381)</f>
        <v>0.7380952381</v>
      </c>
      <c r="L2331" s="82">
        <f>IFERROR(__xludf.DUMMYFUNCTION("""COMPUTED_VALUE"""),0.5476190476190477)</f>
        <v>0.5476190476</v>
      </c>
      <c r="M2331" s="82">
        <f>IFERROR(__xludf.DUMMYFUNCTION("""COMPUTED_VALUE"""),1.3333333333333333)</f>
        <v>1.333333333</v>
      </c>
      <c r="N2331" s="82">
        <f>IFERROR(__xludf.DUMMYFUNCTION("""COMPUTED_VALUE"""),2.761904761904762)</f>
        <v>2.761904762</v>
      </c>
      <c r="O2331" s="82">
        <f>IFERROR(__xludf.DUMMYFUNCTION("""COMPUTED_VALUE"""),325.34126984126976)</f>
        <v>325.3412698</v>
      </c>
      <c r="P2331" s="82">
        <f>IFERROR(__xludf.DUMMYFUNCTION("""COMPUTED_VALUE"""),0.6269841269841268)</f>
        <v>0.626984127</v>
      </c>
      <c r="Q2331" s="82">
        <f>IFERROR(__xludf.DUMMYFUNCTION("""COMPUTED_VALUE"""),0.41269841269841273)</f>
        <v>0.4126984127</v>
      </c>
      <c r="R2331" s="82">
        <f>IFERROR(__xludf.DUMMYFUNCTION("""COMPUTED_VALUE"""),1.452380952380952)</f>
        <v>1.452380952</v>
      </c>
      <c r="S2331" s="82">
        <f>IFERROR(__xludf.DUMMYFUNCTION("""COMPUTED_VALUE"""),2.1984126984126986)</f>
        <v>2.198412698</v>
      </c>
      <c r="T2331" s="82">
        <f>IFERROR(__xludf.DUMMYFUNCTION("""COMPUTED_VALUE"""),339.09972078562396)</f>
        <v>339.0997208</v>
      </c>
      <c r="U2331" s="82">
        <f>IFERROR(__xludf.DUMMYFUNCTION("""COMPUTED_VALUE"""),0.7858417000319978)</f>
        <v>0.7858417</v>
      </c>
      <c r="V2331" s="82">
        <f>IFERROR(__xludf.DUMMYFUNCTION("""COMPUTED_VALUE"""),0.5394604157949832)</f>
        <v>0.5394604158</v>
      </c>
      <c r="W2331" s="82">
        <f>IFERROR(__xludf.DUMMYFUNCTION("""COMPUTED_VALUE"""),1.2392300682755253)</f>
        <v>1.239230068</v>
      </c>
      <c r="X2331" s="82">
        <f>IFERROR(__xludf.DUMMYFUNCTION("""COMPUTED_VALUE"""),2.398062511193831)</f>
        <v>2.398062511</v>
      </c>
      <c r="Y2331" s="82">
        <f>IFERROR(__xludf.DUMMYFUNCTION("""COMPUTED_VALUE"""),328.7825864653773)</f>
        <v>328.7825865</v>
      </c>
      <c r="Z2331" s="82">
        <f>IFERROR(__xludf.DUMMYFUNCTION("""COMPUTED_VALUE"""),0.7352364179656605)</f>
        <v>0.735236418</v>
      </c>
      <c r="AA2331" s="82">
        <f>IFERROR(__xludf.DUMMYFUNCTION("""COMPUTED_VALUE"""),0.5082133156463156)</f>
        <v>0.5082133156</v>
      </c>
      <c r="AB2331" s="82">
        <f>IFERROR(__xludf.DUMMYFUNCTION("""COMPUTED_VALUE"""),1.1872773916515957)</f>
        <v>1.187277392</v>
      </c>
      <c r="AC2331" s="82">
        <f>IFERROR(__xludf.DUMMYFUNCTION("""COMPUTED_VALUE"""),2.4331534455544994)</f>
        <v>2.433153446</v>
      </c>
      <c r="AD2331" s="82">
        <f>IFERROR(__xludf.DUMMYFUNCTION("""COMPUTED_VALUE"""),1.098496944590159)</f>
        <v>1.098496945</v>
      </c>
      <c r="AE2331" s="82">
        <f>IFERROR(__xludf.DUMMYFUNCTION("""COMPUTED_VALUE"""),1.0038883004972574)</f>
        <v>1.0038883</v>
      </c>
      <c r="AF2331" s="82">
        <f>IFERROR(__xludf.DUMMYFUNCTION("""COMPUTED_VALUE"""),1.0775377794314938)</f>
        <v>1.077537779</v>
      </c>
      <c r="AG2331" s="82">
        <f>IFERROR(__xludf.DUMMYFUNCTION("""COMPUTED_VALUE"""),1.1230175380317504)</f>
        <v>1.123017538</v>
      </c>
      <c r="AH2331" s="82">
        <f>IFERROR(__xludf.DUMMYFUNCTION("""COMPUTED_VALUE"""),1.1351132691408792)</f>
        <v>1.135113269</v>
      </c>
      <c r="AI2331" s="82">
        <f>IFERROR(__xludf.DUMMYFUNCTION("""COMPUTED_VALUE"""),0.9594265341402266)</f>
        <v>0.9594265341</v>
      </c>
      <c r="AJ2331" s="82">
        <f>IFERROR(__xludf.DUMMYFUNCTION("""COMPUTED_VALUE"""),0.797850415622634)</f>
        <v>0.7978504156</v>
      </c>
      <c r="AK2331" s="82">
        <f>IFERROR(__xludf.DUMMYFUNCTION("""COMPUTED_VALUE"""),0.7650207515045087)</f>
        <v>0.7650207515</v>
      </c>
      <c r="AL2331" s="82">
        <f>IFERROR(__xludf.DUMMYFUNCTION("""COMPUTED_VALUE"""),1.1720026729193564)</f>
        <v>1.172002673</v>
      </c>
      <c r="AM2331" s="82">
        <f>IFERROR(__xludf.DUMMYFUNCTION("""COMPUTED_VALUE"""),0.9167453676252415)</f>
        <v>0.9167453676</v>
      </c>
      <c r="AN2331" s="82">
        <f>IFERROR(__xludf.DUMMYFUNCTION("""COMPUTED_VALUE"""),1.1101907778292581)</f>
        <v>1.110190778</v>
      </c>
      <c r="AO2331" s="82">
        <f>IFERROR(__xludf.DUMMYFUNCTION("""COMPUTED_VALUE"""),1.0099219222337594)</f>
        <v>1.009921922</v>
      </c>
      <c r="AP2331" s="82">
        <f>IFERROR(__xludf.DUMMYFUNCTION("""COMPUTED_VALUE"""),1.0622010092160488)</f>
        <v>1.062201009</v>
      </c>
      <c r="AQ2331" s="82">
        <f>IFERROR(__xludf.DUMMYFUNCTION("""COMPUTED_VALUE"""),1.105845317718609)</f>
        <v>1.105845318</v>
      </c>
      <c r="AR2331" s="82">
        <f>IFERROR(__xludf.DUMMYFUNCTION("""COMPUTED_VALUE"""),1.160670014508649)</f>
        <v>1.160670015</v>
      </c>
      <c r="AS2331" s="82">
        <f>IFERROR(__xludf.DUMMYFUNCTION("""COMPUTED_VALUE"""),103.0)</f>
        <v>103</v>
      </c>
      <c r="AT2331" s="82">
        <f>IFERROR(__xludf.DUMMYFUNCTION("""COMPUTED_VALUE"""),0.5996690815119258)</f>
        <v>0.5996690815</v>
      </c>
      <c r="AU2331" s="82">
        <f>IFERROR(__xludf.DUMMYFUNCTION("""COMPUTED_VALUE"""),3.4868302027722855)</f>
        <v>3.486830203</v>
      </c>
      <c r="AV2331" s="82">
        <f>IFERROR(__xludf.DUMMYFUNCTION("""COMPUTED_VALUE"""),66.79408194206428)</f>
        <v>66.79408194</v>
      </c>
      <c r="AW2331" s="82">
        <f t="shared" si="1"/>
        <v>3.986172682</v>
      </c>
      <c r="AX2331" s="83">
        <f t="array" ref="AX2331">IFERROR(DGET('SBV Import'!A:G,"SBV",{"RSC ID","Tier";B2331,A2331}))</f>
        <v>62.06101577</v>
      </c>
      <c r="AY2331" s="82">
        <f t="shared" si="2"/>
        <v>3.177160215</v>
      </c>
      <c r="AZ2331" s="82">
        <v>0.8090124669669367</v>
      </c>
      <c r="BA2331" s="84">
        <v>2300.0</v>
      </c>
      <c r="BB2331" s="84" t="b">
        <f>IFERROR(__xludf.DUMMYFUNCTION("iferror(if(A2331="""",,E2331&gt;=FILTER(Constants!$F$2:$F$10,Constants!$A$2:$A$10=A2331)))"),TRUE)</f>
        <v>1</v>
      </c>
    </row>
    <row r="2332">
      <c r="A2332" s="89" t="str">
        <f>IFERROR(__xludf.DUMMYFUNCTION("""COMPUTED_VALUE"""),"Challenger")</f>
        <v>Challenger</v>
      </c>
      <c r="B2332" s="87" t="str">
        <f>IFERROR(__xludf.DUMMYFUNCTION("""COMPUTED_VALUE"""),"RSC007291")</f>
        <v>RSC007291</v>
      </c>
      <c r="C2332" s="73" t="str">
        <f>IFERROR(__xludf.DUMMYFUNCTION("""COMPUTED_VALUE"""),"brdtrd999")</f>
        <v>brdtrd999</v>
      </c>
      <c r="D2332" s="73" t="str">
        <f>IFERROR(__xludf.DUMMYFUNCTION("""COMPUTED_VALUE"""),"Hydras")</f>
        <v>Hydras</v>
      </c>
      <c r="E2332" s="82">
        <f>IFERROR(__xludf.DUMMYFUNCTION("""COMPUTED_VALUE"""),38.0)</f>
        <v>38</v>
      </c>
      <c r="F2332" s="82">
        <f>IFERROR(__xludf.DUMMYFUNCTION("""COMPUTED_VALUE"""),23.0)</f>
        <v>23</v>
      </c>
      <c r="G2332" s="86">
        <f>IFERROR(__xludf.DUMMYFUNCTION("""COMPUTED_VALUE"""),15.0)</f>
        <v>15</v>
      </c>
      <c r="H2332" s="86">
        <f>IFERROR(__xludf.DUMMYFUNCTION("""COMPUTED_VALUE"""),0.6052631578947368)</f>
        <v>0.6052631579</v>
      </c>
      <c r="I2332" s="86">
        <f>IFERROR(__xludf.DUMMYFUNCTION("""COMPUTED_VALUE"""),0.3333333333333333)</f>
        <v>0.3333333333</v>
      </c>
      <c r="J2332" s="82">
        <f>IFERROR(__xludf.DUMMYFUNCTION("""COMPUTED_VALUE"""),347.63157894736844)</f>
        <v>347.6315789</v>
      </c>
      <c r="K2332" s="82">
        <f>IFERROR(__xludf.DUMMYFUNCTION("""COMPUTED_VALUE"""),0.9473684210526315)</f>
        <v>0.9473684211</v>
      </c>
      <c r="L2332" s="82">
        <f>IFERROR(__xludf.DUMMYFUNCTION("""COMPUTED_VALUE"""),0.47368421052631576)</f>
        <v>0.4736842105</v>
      </c>
      <c r="M2332" s="82">
        <f>IFERROR(__xludf.DUMMYFUNCTION("""COMPUTED_VALUE"""),1.1842105263157894)</f>
        <v>1.184210526</v>
      </c>
      <c r="N2332" s="82">
        <f>IFERROR(__xludf.DUMMYFUNCTION("""COMPUTED_VALUE"""),2.8421052631578947)</f>
        <v>2.842105263</v>
      </c>
      <c r="O2332" s="82">
        <f>IFERROR(__xludf.DUMMYFUNCTION("""COMPUTED_VALUE"""),337.65789473684214)</f>
        <v>337.6578947</v>
      </c>
      <c r="P2332" s="82">
        <f>IFERROR(__xludf.DUMMYFUNCTION("""COMPUTED_VALUE"""),0.7368421052631579)</f>
        <v>0.7368421053</v>
      </c>
      <c r="Q2332" s="82">
        <f>IFERROR(__xludf.DUMMYFUNCTION("""COMPUTED_VALUE"""),0.5000000000000001)</f>
        <v>0.5</v>
      </c>
      <c r="R2332" s="82">
        <f>IFERROR(__xludf.DUMMYFUNCTION("""COMPUTED_VALUE"""),1.3245614035087723)</f>
        <v>1.324561404</v>
      </c>
      <c r="S2332" s="82">
        <f>IFERROR(__xludf.DUMMYFUNCTION("""COMPUTED_VALUE"""),2.6666666666666665)</f>
        <v>2.666666667</v>
      </c>
      <c r="T2332" s="82">
        <f>IFERROR(__xludf.DUMMYFUNCTION("""COMPUTED_VALUE"""),336.1706303045186)</f>
        <v>336.1706303</v>
      </c>
      <c r="U2332" s="82">
        <f>IFERROR(__xludf.DUMMYFUNCTION("""COMPUTED_VALUE"""),0.7459783683692034)</f>
        <v>0.7459783684</v>
      </c>
      <c r="V2332" s="82">
        <f>IFERROR(__xludf.DUMMYFUNCTION("""COMPUTED_VALUE"""),0.5314375567082117)</f>
        <v>0.5314375567</v>
      </c>
      <c r="W2332" s="82">
        <f>IFERROR(__xludf.DUMMYFUNCTION("""COMPUTED_VALUE"""),1.2937676262329745)</f>
        <v>1.293767626</v>
      </c>
      <c r="X2332" s="82">
        <f>IFERROR(__xludf.DUMMYFUNCTION("""COMPUTED_VALUE"""),2.4375358526739537)</f>
        <v>2.437535853</v>
      </c>
      <c r="Y2332" s="82">
        <f>IFERROR(__xludf.DUMMYFUNCTION("""COMPUTED_VALUE"""),337.60510761268426)</f>
        <v>337.6051076</v>
      </c>
      <c r="Z2332" s="82">
        <f>IFERROR(__xludf.DUMMYFUNCTION("""COMPUTED_VALUE"""),0.7446646210114402)</f>
        <v>0.744664621</v>
      </c>
      <c r="AA2332" s="82">
        <f>IFERROR(__xludf.DUMMYFUNCTION("""COMPUTED_VALUE"""),0.5079594282021682)</f>
        <v>0.5079594282</v>
      </c>
      <c r="AB2332" s="82">
        <f>IFERROR(__xludf.DUMMYFUNCTION("""COMPUTED_VALUE"""),1.2679664024985193)</f>
        <v>1.267966402</v>
      </c>
      <c r="AC2332" s="82">
        <f>IFERROR(__xludf.DUMMYFUNCTION("""COMPUTED_VALUE"""),2.5160537780199537)</f>
        <v>2.516053778</v>
      </c>
      <c r="AD2332" s="82">
        <f>IFERROR(__xludf.DUMMYFUNCTION("""COMPUTED_VALUE"""),1.0296988141132835)</f>
        <v>1.029698814</v>
      </c>
      <c r="AE2332" s="82">
        <f>IFERROR(__xludf.DUMMYFUNCTION("""COMPUTED_VALUE"""),1.2722081784493389)</f>
        <v>1.272208178</v>
      </c>
      <c r="AF2332" s="82">
        <f>IFERROR(__xludf.DUMMYFUNCTION("""COMPUTED_VALUE"""),0.9325237100191969)</f>
        <v>0.93252371</v>
      </c>
      <c r="AG2332" s="82">
        <f>IFERROR(__xludf.DUMMYFUNCTION("""COMPUTED_VALUE"""),0.933944719656854)</f>
        <v>0.9339447197</v>
      </c>
      <c r="AH2332" s="82">
        <f>IFERROR(__xludf.DUMMYFUNCTION("""COMPUTED_VALUE"""),1.1295884404325143)</f>
        <v>1.12958844</v>
      </c>
      <c r="AI2332" s="82">
        <f>IFERROR(__xludf.DUMMYFUNCTION("""COMPUTED_VALUE"""),1.0044241355378853)</f>
        <v>1.004424136</v>
      </c>
      <c r="AJ2332" s="82">
        <f>IFERROR(__xludf.DUMMYFUNCTION("""COMPUTED_VALUE"""),0.9877526433829195)</f>
        <v>0.9877526434</v>
      </c>
      <c r="AK2332" s="82">
        <f>IFERROR(__xludf.DUMMYFUNCTION("""COMPUTED_VALUE"""),0.9408443074611821)</f>
        <v>0.9408443075</v>
      </c>
      <c r="AL2332" s="82">
        <f>IFERROR(__xludf.DUMMYFUNCTION("""COMPUTED_VALUE"""),1.02380162917313)</f>
        <v>1.023801629</v>
      </c>
      <c r="AM2332" s="82">
        <f>IFERROR(__xludf.DUMMYFUNCTION("""COMPUTED_VALUE"""),1.0940010025868372)</f>
        <v>1.094001003</v>
      </c>
      <c r="AN2332" s="82">
        <f>IFERROR(__xludf.DUMMYFUNCTION("""COMPUTED_VALUE"""),1.0685852506587692)</f>
        <v>1.068585251</v>
      </c>
      <c r="AO2332" s="82">
        <f>IFERROR(__xludf.DUMMYFUNCTION("""COMPUTED_VALUE"""),1.2962665079944347)</f>
        <v>1.296266508</v>
      </c>
      <c r="AP2332" s="82">
        <f>IFERROR(__xludf.DUMMYFUNCTION("""COMPUTED_VALUE"""),0.918791719642257)</f>
        <v>0.9187917196</v>
      </c>
      <c r="AQ2332" s="82">
        <f>IFERROR(__xludf.DUMMYFUNCTION("""COMPUTED_VALUE"""),0.982165249289554)</f>
        <v>0.9821652493</v>
      </c>
      <c r="AR2332" s="82">
        <f>IFERROR(__xludf.DUMMYFUNCTION("""COMPUTED_VALUE"""),1.1943736809916587)</f>
        <v>1.194373681</v>
      </c>
      <c r="AS2332" s="82">
        <f>IFERROR(__xludf.DUMMYFUNCTION("""COMPUTED_VALUE"""),96.0)</f>
        <v>96</v>
      </c>
      <c r="AT2332" s="82">
        <f>IFERROR(__xludf.DUMMYFUNCTION("""COMPUTED_VALUE"""),0.5519776806192137)</f>
        <v>0.5519776806</v>
      </c>
      <c r="AU2332" s="82">
        <f>IFERROR(__xludf.DUMMYFUNCTION("""COMPUTED_VALUE"""),3.460818843679266)</f>
        <v>3.460818844</v>
      </c>
      <c r="AV2332" s="82">
        <f>IFERROR(__xludf.DUMMYFUNCTION("""COMPUTED_VALUE"""),66.11523071107908)</f>
        <v>66.11523071</v>
      </c>
      <c r="AW2332" s="82">
        <f t="shared" si="1"/>
        <v>3.852225153</v>
      </c>
      <c r="AX2332" s="83">
        <f t="array" ref="AX2332">IFERROR(DGET('SBV Import'!A:G,"SBV",{"RSC ID","Tier";B2332,A2332}))</f>
        <v>46.41144196</v>
      </c>
      <c r="AY2332" s="82">
        <f t="shared" si="2"/>
        <v>-2.257688274</v>
      </c>
      <c r="AZ2332" s="82">
        <v>6.109913426860096</v>
      </c>
      <c r="BA2332" s="84">
        <v>2300.0</v>
      </c>
      <c r="BB2332" s="84" t="b">
        <f>IFERROR(__xludf.DUMMYFUNCTION("iferror(if(A2332="""",,E2332&gt;=FILTER(Constants!$F$2:$F$10,Constants!$A$2:$A$10=A2332)))"),TRUE)</f>
        <v>1</v>
      </c>
    </row>
    <row r="2333">
      <c r="A2333" s="89" t="str">
        <f>IFERROR(__xludf.DUMMYFUNCTION("""COMPUTED_VALUE"""),"Challenger")</f>
        <v>Challenger</v>
      </c>
      <c r="B2333" s="87" t="str">
        <f>IFERROR(__xludf.DUMMYFUNCTION("""COMPUTED_VALUE"""),"RSC007848")</f>
        <v>RSC007848</v>
      </c>
      <c r="C2333" s="73" t="str">
        <f>IFERROR(__xludf.DUMMYFUNCTION("""COMPUTED_VALUE"""),"Ninji &lt;3")</f>
        <v>Ninji &lt;3</v>
      </c>
      <c r="D2333" s="73" t="str">
        <f>IFERROR(__xludf.DUMMYFUNCTION("""COMPUTED_VALUE"""),"Squalls")</f>
        <v>Squalls</v>
      </c>
      <c r="E2333" s="82">
        <f>IFERROR(__xludf.DUMMYFUNCTION("""COMPUTED_VALUE"""),31.0)</f>
        <v>31</v>
      </c>
      <c r="F2333" s="82">
        <f>IFERROR(__xludf.DUMMYFUNCTION("""COMPUTED_VALUE"""),20.0)</f>
        <v>20</v>
      </c>
      <c r="G2333" s="86">
        <f>IFERROR(__xludf.DUMMYFUNCTION("""COMPUTED_VALUE"""),11.0)</f>
        <v>11</v>
      </c>
      <c r="H2333" s="86">
        <f>IFERROR(__xludf.DUMMYFUNCTION("""COMPUTED_VALUE"""),0.6451612903225806)</f>
        <v>0.6451612903</v>
      </c>
      <c r="I2333" s="86">
        <f>IFERROR(__xludf.DUMMYFUNCTION("""COMPUTED_VALUE"""),0.2948717948717949)</f>
        <v>0.2948717949</v>
      </c>
      <c r="J2333" s="82">
        <f>IFERROR(__xludf.DUMMYFUNCTION("""COMPUTED_VALUE"""),324.4516129032258)</f>
        <v>324.4516129</v>
      </c>
      <c r="K2333" s="82">
        <f>IFERROR(__xludf.DUMMYFUNCTION("""COMPUTED_VALUE"""),0.7419354838709677)</f>
        <v>0.7419354839</v>
      </c>
      <c r="L2333" s="82">
        <f>IFERROR(__xludf.DUMMYFUNCTION("""COMPUTED_VALUE"""),0.7419354838709677)</f>
        <v>0.7419354839</v>
      </c>
      <c r="M2333" s="82">
        <f>IFERROR(__xludf.DUMMYFUNCTION("""COMPUTED_VALUE"""),1.1290322580645162)</f>
        <v>1.129032258</v>
      </c>
      <c r="N2333" s="82">
        <f>IFERROR(__xludf.DUMMYFUNCTION("""COMPUTED_VALUE"""),2.5161290322580645)</f>
        <v>2.516129032</v>
      </c>
      <c r="O2333" s="82">
        <f>IFERROR(__xludf.DUMMYFUNCTION("""COMPUTED_VALUE"""),336.0860215053764)</f>
        <v>336.0860215</v>
      </c>
      <c r="P2333" s="82">
        <f>IFERROR(__xludf.DUMMYFUNCTION("""COMPUTED_VALUE"""),0.6129032258064516)</f>
        <v>0.6129032258</v>
      </c>
      <c r="Q2333" s="82">
        <f>IFERROR(__xludf.DUMMYFUNCTION("""COMPUTED_VALUE"""),0.44086021505376344)</f>
        <v>0.4408602151</v>
      </c>
      <c r="R2333" s="82">
        <f>IFERROR(__xludf.DUMMYFUNCTION("""COMPUTED_VALUE"""),1.5483870967741935)</f>
        <v>1.548387097</v>
      </c>
      <c r="S2333" s="82">
        <f>IFERROR(__xludf.DUMMYFUNCTION("""COMPUTED_VALUE"""),2.150537634408602)</f>
        <v>2.150537634</v>
      </c>
      <c r="T2333" s="82">
        <f>IFERROR(__xludf.DUMMYFUNCTION("""COMPUTED_VALUE"""),347.99458535990897)</f>
        <v>347.9945854</v>
      </c>
      <c r="U2333" s="82">
        <f>IFERROR(__xludf.DUMMYFUNCTION("""COMPUTED_VALUE"""),0.7763166294089987)</f>
        <v>0.7763166294</v>
      </c>
      <c r="V2333" s="82">
        <f>IFERROR(__xludf.DUMMYFUNCTION("""COMPUTED_VALUE"""),0.5634753745112068)</f>
        <v>0.5634753745</v>
      </c>
      <c r="W2333" s="82">
        <f>IFERROR(__xludf.DUMMYFUNCTION("""COMPUTED_VALUE"""),1.351790233149866)</f>
        <v>1.351790233</v>
      </c>
      <c r="X2333" s="82">
        <f>IFERROR(__xludf.DUMMYFUNCTION("""COMPUTED_VALUE"""),2.438190272487066)</f>
        <v>2.438190272</v>
      </c>
      <c r="Y2333" s="82">
        <f>IFERROR(__xludf.DUMMYFUNCTION("""COMPUTED_VALUE"""),340.3661130610711)</f>
        <v>340.3661131</v>
      </c>
      <c r="Z2333" s="82">
        <f>IFERROR(__xludf.DUMMYFUNCTION("""COMPUTED_VALUE"""),0.7969005923550638)</f>
        <v>0.7969005924</v>
      </c>
      <c r="AA2333" s="82">
        <f>IFERROR(__xludf.DUMMYFUNCTION("""COMPUTED_VALUE"""),0.5433046862985978)</f>
        <v>0.5433046863</v>
      </c>
      <c r="AB2333" s="82">
        <f>IFERROR(__xludf.DUMMYFUNCTION("""COMPUTED_VALUE"""),1.1990803034830644)</f>
        <v>1.199080303</v>
      </c>
      <c r="AC2333" s="82">
        <f>IFERROR(__xludf.DUMMYFUNCTION("""COMPUTED_VALUE"""),2.5843682023746752)</f>
        <v>2.584368202</v>
      </c>
      <c r="AD2333" s="82">
        <f>IFERROR(__xludf.DUMMYFUNCTION("""COMPUTED_VALUE"""),0.9532429946838163)</f>
        <v>0.9532429947</v>
      </c>
      <c r="AE2333" s="82">
        <f>IFERROR(__xludf.DUMMYFUNCTION("""COMPUTED_VALUE"""),0.9310263927378208)</f>
        <v>0.9310263927</v>
      </c>
      <c r="AF2333" s="82">
        <f>IFERROR(__xludf.DUMMYFUNCTION("""COMPUTED_VALUE"""),1.3655974310208752)</f>
        <v>1.365597431</v>
      </c>
      <c r="AG2333" s="82">
        <f>IFERROR(__xludf.DUMMYFUNCTION("""COMPUTED_VALUE"""),0.9415818563485081)</f>
        <v>0.9415818563</v>
      </c>
      <c r="AH2333" s="82">
        <f>IFERROR(__xludf.DUMMYFUNCTION("""COMPUTED_VALUE"""),0.973595414904924)</f>
        <v>0.9735954149</v>
      </c>
      <c r="AI2333" s="82">
        <f>IFERROR(__xludf.DUMMYFUNCTION("""COMPUTED_VALUE"""),0.9657794564756911)</f>
        <v>0.9657794565</v>
      </c>
      <c r="AJ2333" s="82">
        <f>IFERROR(__xludf.DUMMYFUNCTION("""COMPUTED_VALUE"""),0.7895016061591366)</f>
        <v>0.7895016062</v>
      </c>
      <c r="AK2333" s="82">
        <f>IFERROR(__xludf.DUMMYFUNCTION("""COMPUTED_VALUE"""),0.7823948214883263)</f>
        <v>0.7823948215</v>
      </c>
      <c r="AL2333" s="82">
        <f>IFERROR(__xludf.DUMMYFUNCTION("""COMPUTED_VALUE"""),1.145434445968905)</f>
        <v>1.145434446</v>
      </c>
      <c r="AM2333" s="82">
        <f>IFERROR(__xludf.DUMMYFUNCTION("""COMPUTED_VALUE"""),0.8820220713188864)</f>
        <v>0.8820220713</v>
      </c>
      <c r="AN2333" s="82">
        <f>IFERROR(__xludf.DUMMYFUNCTION("""COMPUTED_VALUE"""),0.9973323170198143)</f>
        <v>0.997332317</v>
      </c>
      <c r="AO2333" s="82">
        <f>IFERROR(__xludf.DUMMYFUNCTION("""COMPUTED_VALUE"""),1.015176458769835)</f>
        <v>1.015176459</v>
      </c>
      <c r="AP2333" s="82">
        <f>IFERROR(__xludf.DUMMYFUNCTION("""COMPUTED_VALUE"""),1.4391110447443238)</f>
        <v>1.439111045</v>
      </c>
      <c r="AQ2333" s="82">
        <f>IFERROR(__xludf.DUMMYFUNCTION("""COMPUTED_VALUE"""),0.9364012771004352)</f>
        <v>0.9364012771</v>
      </c>
      <c r="AR2333" s="82">
        <f>IFERROR(__xludf.DUMMYFUNCTION("""COMPUTED_VALUE"""),1.0573845849639416)</f>
        <v>1.057384585</v>
      </c>
      <c r="AS2333" s="82">
        <f>IFERROR(__xludf.DUMMYFUNCTION("""COMPUTED_VALUE"""),78.0)</f>
        <v>78</v>
      </c>
      <c r="AT2333" s="82">
        <f>IFERROR(__xludf.DUMMYFUNCTION("""COMPUTED_VALUE"""),0.6173828871007525)</f>
        <v>0.6173828871</v>
      </c>
      <c r="AU2333" s="82">
        <f>IFERROR(__xludf.DUMMYFUNCTION("""COMPUTED_VALUE"""),3.430567697015031)</f>
        <v>3.430567697</v>
      </c>
      <c r="AV2333" s="82">
        <f>IFERROR(__xludf.DUMMYFUNCTION("""COMPUTED_VALUE"""),65.32572839871273)</f>
        <v>65.3257284</v>
      </c>
      <c r="AW2333" s="82">
        <f t="shared" si="1"/>
        <v>3.704684246</v>
      </c>
      <c r="AX2333" s="83">
        <f t="array" ref="AX2333">IFERROR(DGET('SBV Import'!A:G,"SBV",{"RSC ID","Tier";B2333,A2333}))</f>
        <v>49.45450972</v>
      </c>
      <c r="AY2333" s="82">
        <f t="shared" si="2"/>
        <v>-2.035433124</v>
      </c>
      <c r="AZ2333" s="82">
        <v>5.740117370260786</v>
      </c>
      <c r="BA2333" s="84">
        <v>2300.0</v>
      </c>
      <c r="BB2333" s="84" t="b">
        <f>IFERROR(__xludf.DUMMYFUNCTION("iferror(if(A2333="""",,E2333&gt;=FILTER(Constants!$F$2:$F$10,Constants!$A$2:$A$10=A2333)))"),TRUE)</f>
        <v>1</v>
      </c>
    </row>
    <row r="2334">
      <c r="A2334" s="89" t="str">
        <f>IFERROR(__xludf.DUMMYFUNCTION("""COMPUTED_VALUE"""),"Challenger")</f>
        <v>Challenger</v>
      </c>
      <c r="B2334" s="87" t="str">
        <f>IFERROR(__xludf.DUMMYFUNCTION("""COMPUTED_VALUE"""),"RSC002412")</f>
        <v>RSC002412</v>
      </c>
      <c r="C2334" s="73" t="str">
        <f>IFERROR(__xludf.DUMMYFUNCTION("""COMPUTED_VALUE"""),"Rosefanatic3615")</f>
        <v>Rosefanatic3615</v>
      </c>
      <c r="D2334" s="73" t="str">
        <f>IFERROR(__xludf.DUMMYFUNCTION("""COMPUTED_VALUE"""),"Solstice Sake")</f>
        <v>Solstice Sake</v>
      </c>
      <c r="E2334" s="82">
        <f>IFERROR(__xludf.DUMMYFUNCTION("""COMPUTED_VALUE"""),36.0)</f>
        <v>36</v>
      </c>
      <c r="F2334" s="82">
        <f>IFERROR(__xludf.DUMMYFUNCTION("""COMPUTED_VALUE"""),21.0)</f>
        <v>21</v>
      </c>
      <c r="G2334" s="86">
        <f>IFERROR(__xludf.DUMMYFUNCTION("""COMPUTED_VALUE"""),15.0)</f>
        <v>15</v>
      </c>
      <c r="H2334" s="86">
        <f>IFERROR(__xludf.DUMMYFUNCTION("""COMPUTED_VALUE"""),0.5833333333333334)</f>
        <v>0.5833333333</v>
      </c>
      <c r="I2334" s="86">
        <f>IFERROR(__xludf.DUMMYFUNCTION("""COMPUTED_VALUE"""),0.31250000000000006)</f>
        <v>0.3125</v>
      </c>
      <c r="J2334" s="82">
        <f>IFERROR(__xludf.DUMMYFUNCTION("""COMPUTED_VALUE"""),349.8611111111111)</f>
        <v>349.8611111</v>
      </c>
      <c r="K2334" s="82">
        <f>IFERROR(__xludf.DUMMYFUNCTION("""COMPUTED_VALUE"""),0.8333333333333334)</f>
        <v>0.8333333333</v>
      </c>
      <c r="L2334" s="82">
        <f>IFERROR(__xludf.DUMMYFUNCTION("""COMPUTED_VALUE"""),0.5833333333333334)</f>
        <v>0.5833333333</v>
      </c>
      <c r="M2334" s="82">
        <f>IFERROR(__xludf.DUMMYFUNCTION("""COMPUTED_VALUE"""),1.2222222222222223)</f>
        <v>1.222222222</v>
      </c>
      <c r="N2334" s="82">
        <f>IFERROR(__xludf.DUMMYFUNCTION("""COMPUTED_VALUE"""),2.6666666666666665)</f>
        <v>2.666666667</v>
      </c>
      <c r="O2334" s="82">
        <f>IFERROR(__xludf.DUMMYFUNCTION("""COMPUTED_VALUE"""),316.3055555555555)</f>
        <v>316.3055556</v>
      </c>
      <c r="P2334" s="82">
        <f>IFERROR(__xludf.DUMMYFUNCTION("""COMPUTED_VALUE"""),0.7222222222222221)</f>
        <v>0.7222222222</v>
      </c>
      <c r="Q2334" s="82">
        <f>IFERROR(__xludf.DUMMYFUNCTION("""COMPUTED_VALUE"""),0.44444444444444453)</f>
        <v>0.4444444444</v>
      </c>
      <c r="R2334" s="82">
        <f>IFERROR(__xludf.DUMMYFUNCTION("""COMPUTED_VALUE"""),1.1203703703703705)</f>
        <v>1.12037037</v>
      </c>
      <c r="S2334" s="82">
        <f>IFERROR(__xludf.DUMMYFUNCTION("""COMPUTED_VALUE"""),2.2962962962962967)</f>
        <v>2.296296296</v>
      </c>
      <c r="T2334" s="82">
        <f>IFERROR(__xludf.DUMMYFUNCTION("""COMPUTED_VALUE"""),332.92692589001285)</f>
        <v>332.9269259</v>
      </c>
      <c r="U2334" s="82">
        <f>IFERROR(__xludf.DUMMYFUNCTION("""COMPUTED_VALUE"""),0.779130952163615)</f>
        <v>0.7791309522</v>
      </c>
      <c r="V2334" s="82">
        <f>IFERROR(__xludf.DUMMYFUNCTION("""COMPUTED_VALUE"""),0.5453932140836023)</f>
        <v>0.5453932141</v>
      </c>
      <c r="W2334" s="82">
        <f>IFERROR(__xludf.DUMMYFUNCTION("""COMPUTED_VALUE"""),1.1925027926898384)</f>
        <v>1.192502793</v>
      </c>
      <c r="X2334" s="82">
        <f>IFERROR(__xludf.DUMMYFUNCTION("""COMPUTED_VALUE"""),2.494175950396402)</f>
        <v>2.49417595</v>
      </c>
      <c r="Y2334" s="82">
        <f>IFERROR(__xludf.DUMMYFUNCTION("""COMPUTED_VALUE"""),343.91628534602313)</f>
        <v>343.9162853</v>
      </c>
      <c r="Z2334" s="82">
        <f>IFERROR(__xludf.DUMMYFUNCTION("""COMPUTED_VALUE"""),0.8083267010999465)</f>
        <v>0.8083267011</v>
      </c>
      <c r="AA2334" s="82">
        <f>IFERROR(__xludf.DUMMYFUNCTION("""COMPUTED_VALUE"""),0.5535064803882176)</f>
        <v>0.5535064804</v>
      </c>
      <c r="AB2334" s="82">
        <f>IFERROR(__xludf.DUMMYFUNCTION("""COMPUTED_VALUE"""),1.266287252277814)</f>
        <v>1.266287252</v>
      </c>
      <c r="AC2334" s="82">
        <f>IFERROR(__xludf.DUMMYFUNCTION("""COMPUTED_VALUE"""),2.4601270638652517)</f>
        <v>2.460127064</v>
      </c>
      <c r="AD2334" s="82">
        <f>IFERROR(__xludf.DUMMYFUNCTION("""COMPUTED_VALUE"""),1.0172856768300655)</f>
        <v>1.017285677</v>
      </c>
      <c r="AE2334" s="82">
        <f>IFERROR(__xludf.DUMMYFUNCTION("""COMPUTED_VALUE"""),1.030936293703225)</f>
        <v>1.030936294</v>
      </c>
      <c r="AF2334" s="82">
        <f>IFERROR(__xludf.DUMMYFUNCTION("""COMPUTED_VALUE"""),1.0538870889536756)</f>
        <v>1.053887089</v>
      </c>
      <c r="AG2334" s="82">
        <f>IFERROR(__xludf.DUMMYFUNCTION("""COMPUTED_VALUE"""),0.9652013948838806)</f>
        <v>0.9652013949</v>
      </c>
      <c r="AH2334" s="82">
        <f>IFERROR(__xludf.DUMMYFUNCTION("""COMPUTED_VALUE"""),1.083954851696525)</f>
        <v>1.083954852</v>
      </c>
      <c r="AI2334" s="82">
        <f>IFERROR(__xludf.DUMMYFUNCTION("""COMPUTED_VALUE"""),0.950075019345391)</f>
        <v>0.9500750193</v>
      </c>
      <c r="AJ2334" s="82">
        <f>IFERROR(__xludf.DUMMYFUNCTION("""COMPUTED_VALUE"""),0.9269587098505588)</f>
        <v>0.9269587099</v>
      </c>
      <c r="AK2334" s="82">
        <f>IFERROR(__xludf.DUMMYFUNCTION("""COMPUTED_VALUE"""),0.8149064435853367)</f>
        <v>0.8149064436</v>
      </c>
      <c r="AL2334" s="82">
        <f>IFERROR(__xludf.DUMMYFUNCTION("""COMPUTED_VALUE"""),0.9395117371953786)</f>
        <v>0.9395117372</v>
      </c>
      <c r="AM2334" s="82">
        <f>IFERROR(__xludf.DUMMYFUNCTION("""COMPUTED_VALUE"""),0.9206633140421966)</f>
        <v>0.920663314</v>
      </c>
      <c r="AN2334" s="82">
        <f>IFERROR(__xludf.DUMMYFUNCTION("""COMPUTED_VALUE"""),1.0754386130410325)</f>
        <v>1.075438613</v>
      </c>
      <c r="AO2334" s="82">
        <f>IFERROR(__xludf.DUMMYFUNCTION("""COMPUTED_VALUE"""),1.140234428328438)</f>
        <v>1.140234428</v>
      </c>
      <c r="AP2334" s="82">
        <f>IFERROR(__xludf.DUMMYFUNCTION("""COMPUTED_VALUE"""),1.1314749880779649)</f>
        <v>1.131474988</v>
      </c>
      <c r="AQ2334" s="82">
        <f>IFERROR(__xludf.DUMMYFUNCTION("""COMPUTED_VALUE"""),1.0136915412420584)</f>
        <v>1.013691541</v>
      </c>
      <c r="AR2334" s="82">
        <f>IFERROR(__xludf.DUMMYFUNCTION("""COMPUTED_VALUE"""),1.120646910560075)</f>
        <v>1.120646911</v>
      </c>
      <c r="AS2334" s="82">
        <f>IFERROR(__xludf.DUMMYFUNCTION("""COMPUTED_VALUE"""),90.0)</f>
        <v>90</v>
      </c>
      <c r="AT2334" s="82">
        <f>IFERROR(__xludf.DUMMYFUNCTION("""COMPUTED_VALUE"""),0.5554367817938212)</f>
        <v>0.5554367818</v>
      </c>
      <c r="AU2334" s="82">
        <f>IFERROR(__xludf.DUMMYFUNCTION("""COMPUTED_VALUE"""),3.425239113234311)</f>
        <v>3.425239113</v>
      </c>
      <c r="AV2334" s="82">
        <f>IFERROR(__xludf.DUMMYFUNCTION("""COMPUTED_VALUE"""),65.18666162999781)</f>
        <v>65.18666163</v>
      </c>
      <c r="AW2334" s="82">
        <f t="shared" si="1"/>
        <v>3.679572582</v>
      </c>
      <c r="AX2334" s="83">
        <f t="array" ref="AX2334">IFERROR(DGET('SBV Import'!A:G,"SBV",{"RSC ID","Tier";B2334,A2334}))</f>
        <v>63.21466061</v>
      </c>
      <c r="AY2334" s="82">
        <f t="shared" si="2"/>
        <v>3.349565441</v>
      </c>
      <c r="AZ2334" s="82">
        <v>0.3300071408448706</v>
      </c>
      <c r="BA2334" s="84">
        <v>2300.0</v>
      </c>
      <c r="BB2334" s="84" t="b">
        <f>IFERROR(__xludf.DUMMYFUNCTION("iferror(if(A2334="""",,E2334&gt;=FILTER(Constants!$F$2:$F$10,Constants!$A$2:$A$10=A2334)))"),TRUE)</f>
        <v>1</v>
      </c>
    </row>
    <row r="2335">
      <c r="A2335" s="89" t="str">
        <f>IFERROR(__xludf.DUMMYFUNCTION("""COMPUTED_VALUE"""),"Challenger")</f>
        <v>Challenger</v>
      </c>
      <c r="B2335" s="87" t="str">
        <f>IFERROR(__xludf.DUMMYFUNCTION("""COMPUTED_VALUE"""),"RSC006299")</f>
        <v>RSC006299</v>
      </c>
      <c r="C2335" s="73" t="str">
        <f>IFERROR(__xludf.DUMMYFUNCTION("""COMPUTED_VALUE"""),"dr_zachattack")</f>
        <v>dr_zachattack</v>
      </c>
      <c r="D2335" s="73" t="str">
        <f>IFERROR(__xludf.DUMMYFUNCTION("""COMPUTED_VALUE"""),"Trippy Hippies")</f>
        <v>Trippy Hippies</v>
      </c>
      <c r="E2335" s="82">
        <f>IFERROR(__xludf.DUMMYFUNCTION("""COMPUTED_VALUE"""),40.0)</f>
        <v>40</v>
      </c>
      <c r="F2335" s="82">
        <f>IFERROR(__xludf.DUMMYFUNCTION("""COMPUTED_VALUE"""),23.0)</f>
        <v>23</v>
      </c>
      <c r="G2335" s="86">
        <f>IFERROR(__xludf.DUMMYFUNCTION("""COMPUTED_VALUE"""),17.0)</f>
        <v>17</v>
      </c>
      <c r="H2335" s="86">
        <f>IFERROR(__xludf.DUMMYFUNCTION("""COMPUTED_VALUE"""),0.575)</f>
        <v>0.575</v>
      </c>
      <c r="I2335" s="86">
        <f>IFERROR(__xludf.DUMMYFUNCTION("""COMPUTED_VALUE"""),0.32222222222222224)</f>
        <v>0.3222222222</v>
      </c>
      <c r="J2335" s="82">
        <f>IFERROR(__xludf.DUMMYFUNCTION("""COMPUTED_VALUE"""),376.94444444444446)</f>
        <v>376.9444444</v>
      </c>
      <c r="K2335" s="82">
        <f>IFERROR(__xludf.DUMMYFUNCTION("""COMPUTED_VALUE"""),0.8055555555555556)</f>
        <v>0.8055555556</v>
      </c>
      <c r="L2335" s="82">
        <f>IFERROR(__xludf.DUMMYFUNCTION("""COMPUTED_VALUE"""),0.5555555555555556)</f>
        <v>0.5555555556</v>
      </c>
      <c r="M2335" s="82">
        <f>IFERROR(__xludf.DUMMYFUNCTION("""COMPUTED_VALUE"""),1.3888888888888888)</f>
        <v>1.388888889</v>
      </c>
      <c r="N2335" s="82">
        <f>IFERROR(__xludf.DUMMYFUNCTION("""COMPUTED_VALUE"""),2.5)</f>
        <v>2.5</v>
      </c>
      <c r="O2335" s="82">
        <f>IFERROR(__xludf.DUMMYFUNCTION("""COMPUTED_VALUE"""),313.7777777777778)</f>
        <v>313.7777778</v>
      </c>
      <c r="P2335" s="82">
        <f>IFERROR(__xludf.DUMMYFUNCTION("""COMPUTED_VALUE"""),0.6851851851851852)</f>
        <v>0.6851851852</v>
      </c>
      <c r="Q2335" s="82">
        <f>IFERROR(__xludf.DUMMYFUNCTION("""COMPUTED_VALUE"""),0.48148148148148134)</f>
        <v>0.4814814815</v>
      </c>
      <c r="R2335" s="82">
        <f>IFERROR(__xludf.DUMMYFUNCTION("""COMPUTED_VALUE"""),1.259259259259259)</f>
        <v>1.259259259</v>
      </c>
      <c r="S2335" s="82">
        <f>IFERROR(__xludf.DUMMYFUNCTION("""COMPUTED_VALUE"""),2.2777777777777777)</f>
        <v>2.277777778</v>
      </c>
      <c r="T2335" s="82">
        <f>IFERROR(__xludf.DUMMYFUNCTION("""COMPUTED_VALUE"""),340.2410220040961)</f>
        <v>340.241022</v>
      </c>
      <c r="U2335" s="82">
        <f>IFERROR(__xludf.DUMMYFUNCTION("""COMPUTED_VALUE"""),0.7803183625490826)</f>
        <v>0.7803183625</v>
      </c>
      <c r="V2335" s="82">
        <f>IFERROR(__xludf.DUMMYFUNCTION("""COMPUTED_VALUE"""),0.5552331554288104)</f>
        <v>0.5552331554</v>
      </c>
      <c r="W2335" s="82">
        <f>IFERROR(__xludf.DUMMYFUNCTION("""COMPUTED_VALUE"""),1.2704047232570734)</f>
        <v>1.270404723</v>
      </c>
      <c r="X2335" s="82">
        <f>IFERROR(__xludf.DUMMYFUNCTION("""COMPUTED_VALUE"""),2.3923158646616893)</f>
        <v>2.392315865</v>
      </c>
      <c r="Y2335" s="82">
        <f>IFERROR(__xludf.DUMMYFUNCTION("""COMPUTED_VALUE"""),335.14220293977246)</f>
        <v>335.1422029</v>
      </c>
      <c r="Z2335" s="82">
        <f>IFERROR(__xludf.DUMMYFUNCTION("""COMPUTED_VALUE"""),0.7653883509711655)</f>
        <v>0.765388351</v>
      </c>
      <c r="AA2335" s="82">
        <f>IFERROR(__xludf.DUMMYFUNCTION("""COMPUTED_VALUE"""),0.5357951348438796)</f>
        <v>0.5357951348</v>
      </c>
      <c r="AB2335" s="82">
        <f>IFERROR(__xludf.DUMMYFUNCTION("""COMPUTED_VALUE"""),1.2003636021961406)</f>
        <v>1.200363602</v>
      </c>
      <c r="AC2335" s="82">
        <f>IFERROR(__xludf.DUMMYFUNCTION("""COMPUTED_VALUE"""),2.489212662489302)</f>
        <v>2.489212662</v>
      </c>
      <c r="AD2335" s="82">
        <f>IFERROR(__xludf.DUMMYFUNCTION("""COMPUTED_VALUE"""),1.1247298643321986)</f>
        <v>1.124729864</v>
      </c>
      <c r="AE2335" s="82">
        <f>IFERROR(__xludf.DUMMYFUNCTION("""COMPUTED_VALUE"""),1.0524795086486798)</f>
        <v>1.052479509</v>
      </c>
      <c r="AF2335" s="82">
        <f>IFERROR(__xludf.DUMMYFUNCTION("""COMPUTED_VALUE"""),1.0368805527087022)</f>
        <v>1.036880553</v>
      </c>
      <c r="AG2335" s="82">
        <f>IFERROR(__xludf.DUMMYFUNCTION("""COMPUTED_VALUE"""),1.1570568170742843)</f>
        <v>1.157056817</v>
      </c>
      <c r="AH2335" s="82">
        <f>IFERROR(__xludf.DUMMYFUNCTION("""COMPUTED_VALUE"""),1.0043336343548528)</f>
        <v>1.004333634</v>
      </c>
      <c r="AI2335" s="82">
        <f>IFERROR(__xludf.DUMMYFUNCTION("""COMPUTED_VALUE"""),0.9222220646104228)</f>
        <v>0.9222220646</v>
      </c>
      <c r="AJ2335" s="82">
        <f>IFERROR(__xludf.DUMMYFUNCTION("""COMPUTED_VALUE"""),0.8780841488169985)</f>
        <v>0.8780841488</v>
      </c>
      <c r="AK2335" s="82">
        <f>IFERROR(__xludf.DUMMYFUNCTION("""COMPUTED_VALUE"""),0.8671699029025561)</f>
        <v>0.8671699029</v>
      </c>
      <c r="AL2335" s="82">
        <f>IFERROR(__xludf.DUMMYFUNCTION("""COMPUTED_VALUE"""),0.9912268399244931)</f>
        <v>0.9912268399</v>
      </c>
      <c r="AM2335" s="82">
        <f>IFERROR(__xludf.DUMMYFUNCTION("""COMPUTED_VALUE"""),0.9521225066573268)</f>
        <v>0.9521225067</v>
      </c>
      <c r="AN2335" s="82">
        <f>IFERROR(__xludf.DUMMYFUNCTION("""COMPUTED_VALUE"""),1.1586901134550864)</f>
        <v>1.158690113</v>
      </c>
      <c r="AO2335" s="82">
        <f>IFERROR(__xludf.DUMMYFUNCTION("""COMPUTED_VALUE"""),1.1022266140508234)</f>
        <v>1.102226614</v>
      </c>
      <c r="AP2335" s="82">
        <f>IFERROR(__xludf.DUMMYFUNCTION("""COMPUTED_VALUE"""),1.0775952267409188)</f>
        <v>1.077595227</v>
      </c>
      <c r="AQ2335" s="82">
        <f>IFERROR(__xludf.DUMMYFUNCTION("""COMPUTED_VALUE"""),1.1519222059568843)</f>
        <v>1.151922206</v>
      </c>
      <c r="AR2335" s="82">
        <f>IFERROR(__xludf.DUMMYFUNCTION("""COMPUTED_VALUE"""),1.0506064786500702)</f>
        <v>1.050606479</v>
      </c>
      <c r="AS2335" s="82">
        <f>IFERROR(__xludf.DUMMYFUNCTION("""COMPUTED_VALUE"""),85.0)</f>
        <v>85</v>
      </c>
      <c r="AT2335" s="82">
        <f>IFERROR(__xludf.DUMMYFUNCTION("""COMPUTED_VALUE"""),0.5125203602089423)</f>
        <v>0.5125203602</v>
      </c>
      <c r="AU2335" s="82">
        <f>IFERROR(__xludf.DUMMYFUNCTION("""COMPUTED_VALUE"""),3.408523650062814)</f>
        <v>3.40852365</v>
      </c>
      <c r="AV2335" s="82">
        <f>IFERROR(__xludf.DUMMYFUNCTION("""COMPUTED_VALUE"""),64.75041711428912)</f>
        <v>64.75041711</v>
      </c>
      <c r="AW2335" s="82">
        <f t="shared" si="1"/>
        <v>3.602438726</v>
      </c>
      <c r="AX2335" s="83">
        <f t="array" ref="AX2335">IFERROR(DGET('SBV Import'!A:G,"SBV",{"RSC ID","Tier";B2335,A2335}))</f>
        <v>68.90463772</v>
      </c>
      <c r="AY2335" s="82">
        <f t="shared" si="2"/>
        <v>4.449012296</v>
      </c>
      <c r="AZ2335" s="82">
        <v>0.8465735706255457</v>
      </c>
      <c r="BA2335" s="84">
        <v>2300.0</v>
      </c>
      <c r="BB2335" s="84" t="b">
        <f>IFERROR(__xludf.DUMMYFUNCTION("iferror(if(A2335="""",,E2335&gt;=FILTER(Constants!$F$2:$F$10,Constants!$A$2:$A$10=A2335)))"),TRUE)</f>
        <v>1</v>
      </c>
    </row>
    <row r="2336">
      <c r="A2336" s="89" t="str">
        <f>IFERROR(__xludf.DUMMYFUNCTION("""COMPUTED_VALUE"""),"Challenger")</f>
        <v>Challenger</v>
      </c>
      <c r="B2336" s="87" t="str">
        <f>IFERROR(__xludf.DUMMYFUNCTION("""COMPUTED_VALUE"""),"RSC006883")</f>
        <v>RSC006883</v>
      </c>
      <c r="C2336" s="73" t="str">
        <f>IFERROR(__xludf.DUMMYFUNCTION("""COMPUTED_VALUE"""),"Kit")</f>
        <v>Kit</v>
      </c>
      <c r="D2336" s="73" t="str">
        <f>IFERROR(__xludf.DUMMYFUNCTION("""COMPUTED_VALUE"""),"Trippy Hippies")</f>
        <v>Trippy Hippies</v>
      </c>
      <c r="E2336" s="82">
        <f>IFERROR(__xludf.DUMMYFUNCTION("""COMPUTED_VALUE"""),18.0)</f>
        <v>18</v>
      </c>
      <c r="F2336" s="82">
        <f>IFERROR(__xludf.DUMMYFUNCTION("""COMPUTED_VALUE"""),7.0)</f>
        <v>7</v>
      </c>
      <c r="G2336" s="86">
        <f>IFERROR(__xludf.DUMMYFUNCTION("""COMPUTED_VALUE"""),11.0)</f>
        <v>11</v>
      </c>
      <c r="H2336" s="86">
        <f>IFERROR(__xludf.DUMMYFUNCTION("""COMPUTED_VALUE"""),0.3888888888888889)</f>
        <v>0.3888888889</v>
      </c>
      <c r="I2336" s="86">
        <f>IFERROR(__xludf.DUMMYFUNCTION("""COMPUTED_VALUE"""),0.37209302325581395)</f>
        <v>0.3720930233</v>
      </c>
      <c r="J2336" s="82">
        <f>IFERROR(__xludf.DUMMYFUNCTION("""COMPUTED_VALUE"""),373.3333333333333)</f>
        <v>373.3333333</v>
      </c>
      <c r="K2336" s="82">
        <f>IFERROR(__xludf.DUMMYFUNCTION("""COMPUTED_VALUE"""),0.8888888888888888)</f>
        <v>0.8888888889</v>
      </c>
      <c r="L2336" s="82">
        <f>IFERROR(__xludf.DUMMYFUNCTION("""COMPUTED_VALUE"""),0.3888888888888889)</f>
        <v>0.3888888889</v>
      </c>
      <c r="M2336" s="82">
        <f>IFERROR(__xludf.DUMMYFUNCTION("""COMPUTED_VALUE"""),1.7222222222222223)</f>
        <v>1.722222222</v>
      </c>
      <c r="N2336" s="82">
        <f>IFERROR(__xludf.DUMMYFUNCTION("""COMPUTED_VALUE"""),2.388888888888889)</f>
        <v>2.388888889</v>
      </c>
      <c r="O2336" s="82">
        <f>IFERROR(__xludf.DUMMYFUNCTION("""COMPUTED_VALUE"""),307.1296296296296)</f>
        <v>307.1296296</v>
      </c>
      <c r="P2336" s="82">
        <f>IFERROR(__xludf.DUMMYFUNCTION("""COMPUTED_VALUE"""),0.7407407407407407)</f>
        <v>0.7407407407</v>
      </c>
      <c r="Q2336" s="82">
        <f>IFERROR(__xludf.DUMMYFUNCTION("""COMPUTED_VALUE"""),0.4629629629629629)</f>
        <v>0.462962963</v>
      </c>
      <c r="R2336" s="82">
        <f>IFERROR(__xludf.DUMMYFUNCTION("""COMPUTED_VALUE"""),1.1296296296296295)</f>
        <v>1.12962963</v>
      </c>
      <c r="S2336" s="82">
        <f>IFERROR(__xludf.DUMMYFUNCTION("""COMPUTED_VALUE"""),2.537037037037037)</f>
        <v>2.537037037</v>
      </c>
      <c r="T2336" s="82">
        <f>IFERROR(__xludf.DUMMYFUNCTION("""COMPUTED_VALUE"""),336.77302868348625)</f>
        <v>336.7730287</v>
      </c>
      <c r="U2336" s="82">
        <f>IFERROR(__xludf.DUMMYFUNCTION("""COMPUTED_VALUE"""),0.780933612278119)</f>
        <v>0.7809336123</v>
      </c>
      <c r="V2336" s="82">
        <f>IFERROR(__xludf.DUMMYFUNCTION("""COMPUTED_VALUE"""),0.5547849582186342)</f>
        <v>0.5547849582</v>
      </c>
      <c r="W2336" s="82">
        <f>IFERROR(__xludf.DUMMYFUNCTION("""COMPUTED_VALUE"""),1.230656761861693)</f>
        <v>1.230656762</v>
      </c>
      <c r="X2336" s="82">
        <f>IFERROR(__xludf.DUMMYFUNCTION("""COMPUTED_VALUE"""),2.563678474133971)</f>
        <v>2.563678474</v>
      </c>
      <c r="Y2336" s="82">
        <f>IFERROR(__xludf.DUMMYFUNCTION("""COMPUTED_VALUE"""),322.87079424105093)</f>
        <v>322.8707942</v>
      </c>
      <c r="Z2336" s="82">
        <f>IFERROR(__xludf.DUMMYFUNCTION("""COMPUTED_VALUE"""),0.670825005351018)</f>
        <v>0.6708250054</v>
      </c>
      <c r="AA2336" s="82">
        <f>IFERROR(__xludf.DUMMYFUNCTION("""COMPUTED_VALUE"""),0.4637584908342288)</f>
        <v>0.4637584908</v>
      </c>
      <c r="AB2336" s="82">
        <f>IFERROR(__xludf.DUMMYFUNCTION("""COMPUTED_VALUE"""),1.2949775043115632)</f>
        <v>1.294977504</v>
      </c>
      <c r="AC2336" s="82">
        <f>IFERROR(__xludf.DUMMYFUNCTION("""COMPUTED_VALUE"""),2.307242621453245)</f>
        <v>2.307242621</v>
      </c>
      <c r="AD2336" s="82">
        <f>IFERROR(__xludf.DUMMYFUNCTION("""COMPUTED_VALUE"""),1.1562932912866926)</f>
        <v>1.156293291</v>
      </c>
      <c r="AE2336" s="82">
        <f>IFERROR(__xludf.DUMMYFUNCTION("""COMPUTED_VALUE"""),1.3250682097393882)</f>
        <v>1.32506821</v>
      </c>
      <c r="AF2336" s="82">
        <f>IFERROR(__xludf.DUMMYFUNCTION("""COMPUTED_VALUE"""),0.8385590702379137)</f>
        <v>0.8385590702</v>
      </c>
      <c r="AG2336" s="82">
        <f>IFERROR(__xludf.DUMMYFUNCTION("""COMPUTED_VALUE"""),1.3299244322686448)</f>
        <v>1.329924432</v>
      </c>
      <c r="AH2336" s="82">
        <f>IFERROR(__xludf.DUMMYFUNCTION("""COMPUTED_VALUE"""),1.0353869448650432)</f>
        <v>1.035386945</v>
      </c>
      <c r="AI2336" s="82">
        <f>IFERROR(__xludf.DUMMYFUNCTION("""COMPUTED_VALUE"""),0.9119781083130717)</f>
        <v>0.9119781083</v>
      </c>
      <c r="AJ2336" s="82">
        <f>IFERROR(__xludf.DUMMYFUNCTION("""COMPUTED_VALUE"""),0.9485322812266607)</f>
        <v>0.9485322812</v>
      </c>
      <c r="AK2336" s="82">
        <f>IFERROR(__xludf.DUMMYFUNCTION("""COMPUTED_VALUE"""),0.8344908348804128)</f>
        <v>0.8344908349</v>
      </c>
      <c r="AL2336" s="82">
        <f>IFERROR(__xludf.DUMMYFUNCTION("""COMPUTED_VALUE"""),0.9179079534091753)</f>
        <v>0.9179079534</v>
      </c>
      <c r="AM2336" s="82">
        <f>IFERROR(__xludf.DUMMYFUNCTION("""COMPUTED_VALUE"""),0.989608120766418)</f>
        <v>0.9896081208</v>
      </c>
      <c r="AN2336" s="82">
        <f>IFERROR(__xludf.DUMMYFUNCTION("""COMPUTED_VALUE"""),1.147589913399879)</f>
        <v>1.147589913</v>
      </c>
      <c r="AO2336" s="82">
        <f>IFERROR(__xludf.DUMMYFUNCTION("""COMPUTED_VALUE"""),1.2162500568836672)</f>
        <v>1.216250057</v>
      </c>
      <c r="AP2336" s="82">
        <f>IFERROR(__xludf.DUMMYFUNCTION("""COMPUTED_VALUE"""),0.7543166587186432)</f>
        <v>0.7543166587</v>
      </c>
      <c r="AQ2336" s="82">
        <f>IFERROR(__xludf.DUMMYFUNCTION("""COMPUTED_VALUE"""),1.4283835353865368)</f>
        <v>1.428383535</v>
      </c>
      <c r="AR2336" s="82">
        <f>IFERROR(__xludf.DUMMYFUNCTION("""COMPUTED_VALUE"""),1.0039128573767337)</f>
        <v>1.003912857</v>
      </c>
      <c r="AS2336" s="82">
        <f>IFERROR(__xludf.DUMMYFUNCTION("""COMPUTED_VALUE"""),35.0)</f>
        <v>35</v>
      </c>
      <c r="AT2336" s="82">
        <f>IFERROR(__xludf.DUMMYFUNCTION("""COMPUTED_VALUE"""),0.4498879409931495)</f>
        <v>0.449887941</v>
      </c>
      <c r="AU2336" s="82">
        <f>IFERROR(__xludf.DUMMYFUNCTION("""COMPUTED_VALUE"""),3.4050188458918997)</f>
        <v>3.405018846</v>
      </c>
      <c r="AV2336" s="82">
        <f>IFERROR(__xludf.DUMMYFUNCTION("""COMPUTED_VALUE"""),64.65894782130529)</f>
        <v>64.65894782</v>
      </c>
      <c r="AW2336" s="82">
        <f t="shared" si="1"/>
        <v>3.586575314</v>
      </c>
      <c r="AX2336" s="83">
        <f t="array" ref="AX2336">IFERROR(DGET('SBV Import'!A:G,"SBV",{"RSC ID","Tier";B2336,A2336}))</f>
        <v>63.24301428</v>
      </c>
      <c r="AY2336" s="82">
        <f t="shared" si="2"/>
        <v>3.35398447</v>
      </c>
      <c r="AZ2336" s="82">
        <v>0.23259084435079558</v>
      </c>
      <c r="BA2336" s="84">
        <v>2300.0</v>
      </c>
      <c r="BB2336" s="84" t="b">
        <f>IFERROR(__xludf.DUMMYFUNCTION("iferror(if(A2336="""",,E2336&gt;=FILTER(Constants!$F$2:$F$10,Constants!$A$2:$A$10=A2336)))"),TRUE)</f>
        <v>1</v>
      </c>
    </row>
    <row r="2337">
      <c r="A2337" s="89" t="str">
        <f>IFERROR(__xludf.DUMMYFUNCTION("""COMPUTED_VALUE"""),"Challenger")</f>
        <v>Challenger</v>
      </c>
      <c r="B2337" s="87" t="str">
        <f>IFERROR(__xludf.DUMMYFUNCTION("""COMPUTED_VALUE"""),"RSC007934")</f>
        <v>RSC007934</v>
      </c>
      <c r="C2337" s="73" t="str">
        <f>IFERROR(__xludf.DUMMYFUNCTION("""COMPUTED_VALUE"""),"Chicknn.")</f>
        <v>Chicknn.</v>
      </c>
      <c r="D2337" s="73" t="str">
        <f>IFERROR(__xludf.DUMMYFUNCTION("""COMPUTED_VALUE"""),"Void")</f>
        <v>Void</v>
      </c>
      <c r="E2337" s="82">
        <f>IFERROR(__xludf.DUMMYFUNCTION("""COMPUTED_VALUE"""),30.0)</f>
        <v>30</v>
      </c>
      <c r="F2337" s="82">
        <f>IFERROR(__xludf.DUMMYFUNCTION("""COMPUTED_VALUE"""),13.0)</f>
        <v>13</v>
      </c>
      <c r="G2337" s="86">
        <f>IFERROR(__xludf.DUMMYFUNCTION("""COMPUTED_VALUE"""),17.0)</f>
        <v>17</v>
      </c>
      <c r="H2337" s="86">
        <f>IFERROR(__xludf.DUMMYFUNCTION("""COMPUTED_VALUE"""),0.43333333333333335)</f>
        <v>0.4333333333</v>
      </c>
      <c r="I2337" s="86">
        <f>IFERROR(__xludf.DUMMYFUNCTION("""COMPUTED_VALUE"""),0.3037974683544304)</f>
        <v>0.3037974684</v>
      </c>
      <c r="J2337" s="82">
        <f>IFERROR(__xludf.DUMMYFUNCTION("""COMPUTED_VALUE"""),367.53333333333336)</f>
        <v>367.5333333</v>
      </c>
      <c r="K2337" s="82">
        <f>IFERROR(__xludf.DUMMYFUNCTION("""COMPUTED_VALUE"""),0.8)</f>
        <v>0.8</v>
      </c>
      <c r="L2337" s="82">
        <f>IFERROR(__xludf.DUMMYFUNCTION("""COMPUTED_VALUE"""),0.7333333333333333)</f>
        <v>0.7333333333</v>
      </c>
      <c r="M2337" s="82">
        <f>IFERROR(__xludf.DUMMYFUNCTION("""COMPUTED_VALUE"""),1.4)</f>
        <v>1.4</v>
      </c>
      <c r="N2337" s="82">
        <f>IFERROR(__xludf.DUMMYFUNCTION("""COMPUTED_VALUE"""),2.6333333333333333)</f>
        <v>2.633333333</v>
      </c>
      <c r="O2337" s="82">
        <f>IFERROR(__xludf.DUMMYFUNCTION("""COMPUTED_VALUE"""),351.96666666666675)</f>
        <v>351.9666667</v>
      </c>
      <c r="P2337" s="82">
        <f>IFERROR(__xludf.DUMMYFUNCTION("""COMPUTED_VALUE"""),0.9444444444444445)</f>
        <v>0.9444444444</v>
      </c>
      <c r="Q2337" s="82">
        <f>IFERROR(__xludf.DUMMYFUNCTION("""COMPUTED_VALUE"""),0.6333333333333333)</f>
        <v>0.6333333333</v>
      </c>
      <c r="R2337" s="82">
        <f>IFERROR(__xludf.DUMMYFUNCTION("""COMPUTED_VALUE"""),1.1444444444444444)</f>
        <v>1.144444444</v>
      </c>
      <c r="S2337" s="82">
        <f>IFERROR(__xludf.DUMMYFUNCTION("""COMPUTED_VALUE"""),2.788888888888889)</f>
        <v>2.788888889</v>
      </c>
      <c r="T2337" s="82">
        <f>IFERROR(__xludf.DUMMYFUNCTION("""COMPUTED_VALUE"""),337.62013753067004)</f>
        <v>337.6201375</v>
      </c>
      <c r="U2337" s="82">
        <f>IFERROR(__xludf.DUMMYFUNCTION("""COMPUTED_VALUE"""),0.7802590159584336)</f>
        <v>0.780259016</v>
      </c>
      <c r="V2337" s="82">
        <f>IFERROR(__xludf.DUMMYFUNCTION("""COMPUTED_VALUE"""),0.5474691769285068)</f>
        <v>0.5474691769</v>
      </c>
      <c r="W2337" s="82">
        <f>IFERROR(__xludf.DUMMYFUNCTION("""COMPUTED_VALUE"""),1.2069679083095932)</f>
        <v>1.206967908</v>
      </c>
      <c r="X2337" s="82">
        <f>IFERROR(__xludf.DUMMYFUNCTION("""COMPUTED_VALUE"""),2.5518711249039074)</f>
        <v>2.551871125</v>
      </c>
      <c r="Y2337" s="82">
        <f>IFERROR(__xludf.DUMMYFUNCTION("""COMPUTED_VALUE"""),341.23002704900676)</f>
        <v>341.230027</v>
      </c>
      <c r="Z2337" s="82">
        <f>IFERROR(__xludf.DUMMYFUNCTION("""COMPUTED_VALUE"""),0.7748972540255896)</f>
        <v>0.774897254</v>
      </c>
      <c r="AA2337" s="82">
        <f>IFERROR(__xludf.DUMMYFUNCTION("""COMPUTED_VALUE"""),0.516135159742144)</f>
        <v>0.5161351597</v>
      </c>
      <c r="AB2337" s="82">
        <f>IFERROR(__xludf.DUMMYFUNCTION("""COMPUTED_VALUE"""),1.307508283881976)</f>
        <v>1.307508284</v>
      </c>
      <c r="AC2337" s="82">
        <f>IFERROR(__xludf.DUMMYFUNCTION("""COMPUTED_VALUE"""),2.4542242808364634)</f>
        <v>2.454224281</v>
      </c>
      <c r="AD2337" s="82">
        <f>IFERROR(__xludf.DUMMYFUNCTION("""COMPUTED_VALUE"""),1.0770837974365866)</f>
        <v>1.077083797</v>
      </c>
      <c r="AE2337" s="82">
        <f>IFERROR(__xludf.DUMMYFUNCTION("""COMPUTED_VALUE"""),1.0323949347400596)</f>
        <v>1.032394935</v>
      </c>
      <c r="AF2337" s="82">
        <f>IFERROR(__xludf.DUMMYFUNCTION("""COMPUTED_VALUE"""),1.420816465399682)</f>
        <v>1.420816465</v>
      </c>
      <c r="AG2337" s="82">
        <f>IFERROR(__xludf.DUMMYFUNCTION("""COMPUTED_VALUE"""),1.070738914053697)</f>
        <v>1.070738914</v>
      </c>
      <c r="AH2337" s="82">
        <f>IFERROR(__xludf.DUMMYFUNCTION("""COMPUTED_VALUE"""),1.072979904035431)</f>
        <v>1.072979904</v>
      </c>
      <c r="AI2337" s="82">
        <f>IFERROR(__xludf.DUMMYFUNCTION("""COMPUTED_VALUE"""),1.0424931085003586)</f>
        <v>1.042493109</v>
      </c>
      <c r="AJ2337" s="82">
        <f>IFERROR(__xludf.DUMMYFUNCTION("""COMPUTED_VALUE"""),1.2104242631330997)</f>
        <v>1.210424263</v>
      </c>
      <c r="AK2337" s="82">
        <f>IFERROR(__xludf.DUMMYFUNCTION("""COMPUTED_VALUE"""),1.1568383390761)</f>
        <v>1.156838339</v>
      </c>
      <c r="AL2337" s="82">
        <f>IFERROR(__xludf.DUMMYFUNCTION("""COMPUTED_VALUE"""),0.9481979069744154)</f>
        <v>0.948197907</v>
      </c>
      <c r="AM2337" s="82">
        <f>IFERROR(__xludf.DUMMYFUNCTION("""COMPUTED_VALUE"""),1.0928799897737418)</f>
        <v>1.09287999</v>
      </c>
      <c r="AN2337" s="82">
        <f>IFERROR(__xludf.DUMMYFUNCTION("""COMPUTED_VALUE"""),1.129761284388131)</f>
        <v>1.129761284</v>
      </c>
      <c r="AO2337" s="82">
        <f>IFERROR(__xludf.DUMMYFUNCTION("""COMPUTED_VALUE"""),1.0946250511953006)</f>
        <v>1.094625051</v>
      </c>
      <c r="AP2337" s="82">
        <f>IFERROR(__xludf.DUMMYFUNCTION("""COMPUTED_VALUE"""),1.4224256992980127)</f>
        <v>1.422425699</v>
      </c>
      <c r="AQ2337" s="82">
        <f>IFERROR(__xludf.DUMMYFUNCTION("""COMPUTED_VALUE"""),1.1611375836045394)</f>
        <v>1.161137584</v>
      </c>
      <c r="AR2337" s="82">
        <f>IFERROR(__xludf.DUMMYFUNCTION("""COMPUTED_VALUE"""),1.106638824178074)</f>
        <v>1.106638824</v>
      </c>
      <c r="AS2337" s="82">
        <f>IFERROR(__xludf.DUMMYFUNCTION("""COMPUTED_VALUE"""),74.0)</f>
        <v>74</v>
      </c>
      <c r="AT2337" s="82">
        <f>IFERROR(__xludf.DUMMYFUNCTION("""COMPUTED_VALUE"""),0.44431709194911095)</f>
        <v>0.4443170919</v>
      </c>
      <c r="AU2337" s="82">
        <f>IFERROR(__xludf.DUMMYFUNCTION("""COMPUTED_VALUE"""),3.38919622584861)</f>
        <v>3.389196226</v>
      </c>
      <c r="AV2337" s="82">
        <f>IFERROR(__xludf.DUMMYFUNCTION("""COMPUTED_VALUE"""),64.24600495832813)</f>
        <v>64.24600496</v>
      </c>
      <c r="AW2337" s="82">
        <f t="shared" si="1"/>
        <v>3.516260403</v>
      </c>
      <c r="AX2337" s="83">
        <f t="array" ref="AX2337">IFERROR(DGET('SBV Import'!A:G,"SBV",{"RSC ID","Tier";B2337,A2337}))</f>
        <v>58.03115579</v>
      </c>
      <c r="AY2337" s="82">
        <f t="shared" si="2"/>
        <v>2.67371172</v>
      </c>
      <c r="AZ2337" s="82">
        <v>0.842548682907378</v>
      </c>
      <c r="BA2337" s="84">
        <v>2300.0</v>
      </c>
      <c r="BB2337" s="84" t="b">
        <f>IFERROR(__xludf.DUMMYFUNCTION("iferror(if(A2337="""",,E2337&gt;=FILTER(Constants!$F$2:$F$10,Constants!$A$2:$A$10=A2337)))"),TRUE)</f>
        <v>1</v>
      </c>
    </row>
    <row r="2338">
      <c r="A2338" s="89" t="str">
        <f>IFERROR(__xludf.DUMMYFUNCTION("""COMPUTED_VALUE"""),"Challenger")</f>
        <v>Challenger</v>
      </c>
      <c r="B2338" s="87" t="str">
        <f>IFERROR(__xludf.DUMMYFUNCTION("""COMPUTED_VALUE"""),"RSC006928")</f>
        <v>RSC006928</v>
      </c>
      <c r="C2338" s="73" t="str">
        <f>IFERROR(__xludf.DUMMYFUNCTION("""COMPUTED_VALUE"""),"Thunderbolt")</f>
        <v>Thunderbolt</v>
      </c>
      <c r="D2338" s="73" t="str">
        <f>IFERROR(__xludf.DUMMYFUNCTION("""COMPUTED_VALUE"""),"Havarti Hustlers")</f>
        <v>Havarti Hustlers</v>
      </c>
      <c r="E2338" s="82">
        <f>IFERROR(__xludf.DUMMYFUNCTION("""COMPUTED_VALUE"""),44.0)</f>
        <v>44</v>
      </c>
      <c r="F2338" s="82">
        <f>IFERROR(__xludf.DUMMYFUNCTION("""COMPUTED_VALUE"""),21.0)</f>
        <v>21</v>
      </c>
      <c r="G2338" s="86">
        <f>IFERROR(__xludf.DUMMYFUNCTION("""COMPUTED_VALUE"""),23.0)</f>
        <v>23</v>
      </c>
      <c r="H2338" s="86">
        <f>IFERROR(__xludf.DUMMYFUNCTION("""COMPUTED_VALUE"""),0.4772727272727273)</f>
        <v>0.4772727273</v>
      </c>
      <c r="I2338" s="86">
        <f>IFERROR(__xludf.DUMMYFUNCTION("""COMPUTED_VALUE"""),0.2391304347826087)</f>
        <v>0.2391304348</v>
      </c>
      <c r="J2338" s="82">
        <f>IFERROR(__xludf.DUMMYFUNCTION("""COMPUTED_VALUE"""),343.90909090909093)</f>
        <v>343.9090909</v>
      </c>
      <c r="K2338" s="82">
        <f>IFERROR(__xludf.DUMMYFUNCTION("""COMPUTED_VALUE"""),0.75)</f>
        <v>0.75</v>
      </c>
      <c r="L2338" s="82">
        <f>IFERROR(__xludf.DUMMYFUNCTION("""COMPUTED_VALUE"""),0.5909090909090909)</f>
        <v>0.5909090909</v>
      </c>
      <c r="M2338" s="82">
        <f>IFERROR(__xludf.DUMMYFUNCTION("""COMPUTED_VALUE"""),1.2045454545454546)</f>
        <v>1.204545455</v>
      </c>
      <c r="N2338" s="82">
        <f>IFERROR(__xludf.DUMMYFUNCTION("""COMPUTED_VALUE"""),3.1363636363636362)</f>
        <v>3.136363636</v>
      </c>
      <c r="O2338" s="82">
        <f>IFERROR(__xludf.DUMMYFUNCTION("""COMPUTED_VALUE"""),341.42424242424244)</f>
        <v>341.4242424</v>
      </c>
      <c r="P2338" s="82">
        <f>IFERROR(__xludf.DUMMYFUNCTION("""COMPUTED_VALUE"""),0.7500000000000001)</f>
        <v>0.75</v>
      </c>
      <c r="Q2338" s="82">
        <f>IFERROR(__xludf.DUMMYFUNCTION("""COMPUTED_VALUE"""),0.484848484848485)</f>
        <v>0.4848484848</v>
      </c>
      <c r="R2338" s="82">
        <f>IFERROR(__xludf.DUMMYFUNCTION("""COMPUTED_VALUE"""),1.4090909090909092)</f>
        <v>1.409090909</v>
      </c>
      <c r="S2338" s="82">
        <f>IFERROR(__xludf.DUMMYFUNCTION("""COMPUTED_VALUE"""),2.257575757575758)</f>
        <v>2.257575758</v>
      </c>
      <c r="T2338" s="82">
        <f>IFERROR(__xludf.DUMMYFUNCTION("""COMPUTED_VALUE"""),336.4072161790762)</f>
        <v>336.4072162</v>
      </c>
      <c r="U2338" s="82">
        <f>IFERROR(__xludf.DUMMYFUNCTION("""COMPUTED_VALUE"""),0.7490799670445546)</f>
        <v>0.749079967</v>
      </c>
      <c r="V2338" s="82">
        <f>IFERROR(__xludf.DUMMYFUNCTION("""COMPUTED_VALUE"""),0.50599745349226)</f>
        <v>0.5059974535</v>
      </c>
      <c r="W2338" s="82">
        <f>IFERROR(__xludf.DUMMYFUNCTION("""COMPUTED_VALUE"""),1.2756732998096942)</f>
        <v>1.2756733</v>
      </c>
      <c r="X2338" s="82">
        <f>IFERROR(__xludf.DUMMYFUNCTION("""COMPUTED_VALUE"""),2.403134768823722)</f>
        <v>2.403134769</v>
      </c>
      <c r="Y2338" s="82">
        <f>IFERROR(__xludf.DUMMYFUNCTION("""COMPUTED_VALUE"""),337.7750998476606)</f>
        <v>337.7750998</v>
      </c>
      <c r="Z2338" s="82">
        <f>IFERROR(__xludf.DUMMYFUNCTION("""COMPUTED_VALUE"""),0.7998505453811776)</f>
        <v>0.7998505454</v>
      </c>
      <c r="AA2338" s="82">
        <f>IFERROR(__xludf.DUMMYFUNCTION("""COMPUTED_VALUE"""),0.5645228229424734)</f>
        <v>0.5645228229</v>
      </c>
      <c r="AB2338" s="82">
        <f>IFERROR(__xludf.DUMMYFUNCTION("""COMPUTED_VALUE"""),1.1869611966830318)</f>
        <v>1.186961197</v>
      </c>
      <c r="AC2338" s="82">
        <f>IFERROR(__xludf.DUMMYFUNCTION("""COMPUTED_VALUE"""),2.524069684506714)</f>
        <v>2.524069685</v>
      </c>
      <c r="AD2338" s="82">
        <f>IFERROR(__xludf.DUMMYFUNCTION("""COMPUTED_VALUE"""),1.01815998593205)</f>
        <v>1.018159986</v>
      </c>
      <c r="AE2338" s="82">
        <f>IFERROR(__xludf.DUMMYFUNCTION("""COMPUTED_VALUE"""),0.9376751748572969)</f>
        <v>0.9376751749</v>
      </c>
      <c r="AF2338" s="82">
        <f>IFERROR(__xludf.DUMMYFUNCTION("""COMPUTED_VALUE"""),1.0467408347267235)</f>
        <v>1.046740835</v>
      </c>
      <c r="AG2338" s="82">
        <f>IFERROR(__xludf.DUMMYFUNCTION("""COMPUTED_VALUE"""),1.0148145178726669)</f>
        <v>1.014814518</v>
      </c>
      <c r="AH2338" s="82">
        <f>IFERROR(__xludf.DUMMYFUNCTION("""COMPUTED_VALUE"""),1.2425820315561473)</f>
        <v>1.242582032</v>
      </c>
      <c r="AI2338" s="82">
        <f>IFERROR(__xludf.DUMMYFUNCTION("""COMPUTED_VALUE"""),1.0149135512078182)</f>
        <v>1.014913551</v>
      </c>
      <c r="AJ2338" s="82">
        <f>IFERROR(__xludf.DUMMYFUNCTION("""COMPUTED_VALUE"""),1.0012282172744191)</f>
        <v>1.001228217</v>
      </c>
      <c r="AK2338" s="82">
        <f>IFERROR(__xludf.DUMMYFUNCTION("""COMPUTED_VALUE"""),0.95820340893455)</f>
        <v>0.9582034089</v>
      </c>
      <c r="AL2338" s="82">
        <f>IFERROR(__xludf.DUMMYFUNCTION("""COMPUTED_VALUE"""),1.104586032568933)</f>
        <v>1.104586033</v>
      </c>
      <c r="AM2338" s="82">
        <f>IFERROR(__xludf.DUMMYFUNCTION("""COMPUTED_VALUE"""),0.9394295263268935)</f>
        <v>0.9394295263</v>
      </c>
      <c r="AN2338" s="82">
        <f>IFERROR(__xludf.DUMMYFUNCTION("""COMPUTED_VALUE"""),1.0571426888940934)</f>
        <v>1.057142689</v>
      </c>
      <c r="AO2338" s="82">
        <f>IFERROR(__xludf.DUMMYFUNCTION("""COMPUTED_VALUE"""),1.026210985495594)</f>
        <v>1.026210985</v>
      </c>
      <c r="AP2338" s="82">
        <f>IFERROR(__xludf.DUMMYFUNCTION("""COMPUTED_VALUE"""),1.1461694684426138)</f>
        <v>1.146169468</v>
      </c>
      <c r="AQ2338" s="82">
        <f>IFERROR(__xludf.DUMMYFUNCTION("""COMPUTED_VALUE"""),0.9990307131662434)</f>
        <v>0.9990307132</v>
      </c>
      <c r="AR2338" s="82">
        <f>IFERROR(__xludf.DUMMYFUNCTION("""COMPUTED_VALUE"""),1.3180335823064517)</f>
        <v>1.318033582</v>
      </c>
      <c r="AS2338" s="82">
        <f>IFERROR(__xludf.DUMMYFUNCTION("""COMPUTED_VALUE"""),97.0)</f>
        <v>97</v>
      </c>
      <c r="AT2338" s="82">
        <f>IFERROR(__xludf.DUMMYFUNCTION("""COMPUTED_VALUE"""),0.4921669654118889)</f>
        <v>0.4921669654</v>
      </c>
      <c r="AU2338" s="82">
        <f>IFERROR(__xludf.DUMMYFUNCTION("""COMPUTED_VALUE"""),3.379740880524746)</f>
        <v>3.379740881</v>
      </c>
      <c r="AV2338" s="82">
        <f>IFERROR(__xludf.DUMMYFUNCTION("""COMPUTED_VALUE"""),63.9992368909795)</f>
        <v>63.99923689</v>
      </c>
      <c r="AW2338" s="82">
        <f t="shared" si="1"/>
        <v>3.475237363</v>
      </c>
      <c r="AX2338" s="83">
        <f t="array" ref="AX2338">IFERROR(DGET('SBV Import'!A:G,"SBV",{"RSC ID","Tier";B2338,A2338}))</f>
        <v>64.66177135</v>
      </c>
      <c r="AY2338" s="82">
        <f t="shared" si="2"/>
        <v>3.587063414</v>
      </c>
      <c r="AZ2338" s="82">
        <v>0.11182605148682523</v>
      </c>
      <c r="BA2338" s="84">
        <v>2300.0</v>
      </c>
      <c r="BB2338" s="84" t="b">
        <f>IFERROR(__xludf.DUMMYFUNCTION("iferror(if(A2338="""",,E2338&gt;=FILTER(Constants!$F$2:$F$10,Constants!$A$2:$A$10=A2338)))"),TRUE)</f>
        <v>1</v>
      </c>
    </row>
    <row r="2339">
      <c r="A2339" s="89" t="str">
        <f>IFERROR(__xludf.DUMMYFUNCTION("""COMPUTED_VALUE"""),"Challenger")</f>
        <v>Challenger</v>
      </c>
      <c r="B2339" s="87" t="str">
        <f>IFERROR(__xludf.DUMMYFUNCTION("""COMPUTED_VALUE"""),"RSC007590")</f>
        <v>RSC007590</v>
      </c>
      <c r="C2339" s="73" t="str">
        <f>IFERROR(__xludf.DUMMYFUNCTION("""COMPUTED_VALUE"""),"DonkeyPancakes2")</f>
        <v>DonkeyPancakes2</v>
      </c>
      <c r="D2339" s="73" t="str">
        <f>IFERROR(__xludf.DUMMYFUNCTION("""COMPUTED_VALUE"""),"Lions")</f>
        <v>Lions</v>
      </c>
      <c r="E2339" s="82">
        <f>IFERROR(__xludf.DUMMYFUNCTION("""COMPUTED_VALUE"""),48.0)</f>
        <v>48</v>
      </c>
      <c r="F2339" s="82">
        <f>IFERROR(__xludf.DUMMYFUNCTION("""COMPUTED_VALUE"""),25.0)</f>
        <v>25</v>
      </c>
      <c r="G2339" s="86">
        <f>IFERROR(__xludf.DUMMYFUNCTION("""COMPUTED_VALUE"""),23.0)</f>
        <v>23</v>
      </c>
      <c r="H2339" s="86">
        <f>IFERROR(__xludf.DUMMYFUNCTION("""COMPUTED_VALUE"""),0.5208333333333334)</f>
        <v>0.5208333333</v>
      </c>
      <c r="I2339" s="86">
        <f>IFERROR(__xludf.DUMMYFUNCTION("""COMPUTED_VALUE"""),0.312)</f>
        <v>0.312</v>
      </c>
      <c r="J2339" s="82">
        <f>IFERROR(__xludf.DUMMYFUNCTION("""COMPUTED_VALUE"""),318.1666666666667)</f>
        <v>318.1666667</v>
      </c>
      <c r="K2339" s="82">
        <f>IFERROR(__xludf.DUMMYFUNCTION("""COMPUTED_VALUE"""),0.8125)</f>
        <v>0.8125</v>
      </c>
      <c r="L2339" s="82">
        <f>IFERROR(__xludf.DUMMYFUNCTION("""COMPUTED_VALUE"""),0.5833333333333334)</f>
        <v>0.5833333333</v>
      </c>
      <c r="M2339" s="82">
        <f>IFERROR(__xludf.DUMMYFUNCTION("""COMPUTED_VALUE"""),1.0625)</f>
        <v>1.0625</v>
      </c>
      <c r="N2339" s="82">
        <f>IFERROR(__xludf.DUMMYFUNCTION("""COMPUTED_VALUE"""),2.6041666666666665)</f>
        <v>2.604166667</v>
      </c>
      <c r="O2339" s="82">
        <f>IFERROR(__xludf.DUMMYFUNCTION("""COMPUTED_VALUE"""),322.1527777777778)</f>
        <v>322.1527778</v>
      </c>
      <c r="P2339" s="82">
        <f>IFERROR(__xludf.DUMMYFUNCTION("""COMPUTED_VALUE"""),0.6805555555555555)</f>
        <v>0.6805555556</v>
      </c>
      <c r="Q2339" s="82">
        <f>IFERROR(__xludf.DUMMYFUNCTION("""COMPUTED_VALUE"""),0.4652777777777776)</f>
        <v>0.4652777778</v>
      </c>
      <c r="R2339" s="82">
        <f>IFERROR(__xludf.DUMMYFUNCTION("""COMPUTED_VALUE"""),1.361111111111111)</f>
        <v>1.361111111</v>
      </c>
      <c r="S2339" s="82">
        <f>IFERROR(__xludf.DUMMYFUNCTION("""COMPUTED_VALUE"""),2.166666666666667)</f>
        <v>2.166666667</v>
      </c>
      <c r="T2339" s="82">
        <f>IFERROR(__xludf.DUMMYFUNCTION("""COMPUTED_VALUE"""),343.0297460597001)</f>
        <v>343.0297461</v>
      </c>
      <c r="U2339" s="82">
        <f>IFERROR(__xludf.DUMMYFUNCTION("""COMPUTED_VALUE"""),0.7791886771398664)</f>
        <v>0.7791886771</v>
      </c>
      <c r="V2339" s="82">
        <f>IFERROR(__xludf.DUMMYFUNCTION("""COMPUTED_VALUE"""),0.531764880794607)</f>
        <v>0.5317648808</v>
      </c>
      <c r="W2339" s="82">
        <f>IFERROR(__xludf.DUMMYFUNCTION("""COMPUTED_VALUE"""),1.2990697415341876)</f>
        <v>1.299069742</v>
      </c>
      <c r="X2339" s="82">
        <f>IFERROR(__xludf.DUMMYFUNCTION("""COMPUTED_VALUE"""),2.435765403557669)</f>
        <v>2.435765404</v>
      </c>
      <c r="Y2339" s="82">
        <f>IFERROR(__xludf.DUMMYFUNCTION("""COMPUTED_VALUE"""),339.6658037196977)</f>
        <v>339.6658037</v>
      </c>
      <c r="Z2339" s="82">
        <f>IFERROR(__xludf.DUMMYFUNCTION("""COMPUTED_VALUE"""),0.7795040864195206)</f>
        <v>0.7795040864</v>
      </c>
      <c r="AA2339" s="82">
        <f>IFERROR(__xludf.DUMMYFUNCTION("""COMPUTED_VALUE"""),0.5487451318616736)</f>
        <v>0.5487451319</v>
      </c>
      <c r="AB2339" s="82">
        <f>IFERROR(__xludf.DUMMYFUNCTION("""COMPUTED_VALUE"""),1.228255471366558)</f>
        <v>1.228255471</v>
      </c>
      <c r="AC2339" s="82">
        <f>IFERROR(__xludf.DUMMYFUNCTION("""COMPUTED_VALUE"""),2.5413127626263887)</f>
        <v>2.541312763</v>
      </c>
      <c r="AD2339" s="82">
        <f>IFERROR(__xludf.DUMMYFUNCTION("""COMPUTED_VALUE"""),0.9367050294212934)</f>
        <v>0.9367050294</v>
      </c>
      <c r="AE2339" s="82">
        <f>IFERROR(__xludf.DUMMYFUNCTION("""COMPUTED_VALUE"""),1.0423293657536021)</f>
        <v>1.042329366</v>
      </c>
      <c r="AF2339" s="82">
        <f>IFERROR(__xludf.DUMMYFUNCTION("""COMPUTED_VALUE"""),1.0630314502368627)</f>
        <v>1.06303145</v>
      </c>
      <c r="AG2339" s="82">
        <f>IFERROR(__xludf.DUMMYFUNCTION("""COMPUTED_VALUE"""),0.8650480496682514)</f>
        <v>0.8650480497</v>
      </c>
      <c r="AH2339" s="82">
        <f>IFERROR(__xludf.DUMMYFUNCTION("""COMPUTED_VALUE"""),1.0247328486932556)</f>
        <v>1.024732849</v>
      </c>
      <c r="AI2339" s="82">
        <f>IFERROR(__xludf.DUMMYFUNCTION("""COMPUTED_VALUE"""),0.9391394812790117)</f>
        <v>0.9391394813</v>
      </c>
      <c r="AJ2339" s="82">
        <f>IFERROR(__xludf.DUMMYFUNCTION("""COMPUTED_VALUE"""),0.8734156123182395)</f>
        <v>0.8734156123</v>
      </c>
      <c r="AK2339" s="82">
        <f>IFERROR(__xludf.DUMMYFUNCTION("""COMPUTED_VALUE"""),0.8749689845679939)</f>
        <v>0.8749689846</v>
      </c>
      <c r="AL2339" s="82">
        <f>IFERROR(__xludf.DUMMYFUNCTION("""COMPUTED_VALUE"""),1.0477583054960953)</f>
        <v>1.047758305</v>
      </c>
      <c r="AM2339" s="82">
        <f>IFERROR(__xludf.DUMMYFUNCTION("""COMPUTED_VALUE"""),0.8895218987436321)</f>
        <v>0.8895218987</v>
      </c>
      <c r="AN2339" s="82">
        <f>IFERROR(__xludf.DUMMYFUNCTION("""COMPUTED_VALUE"""),0.9780130110180221)</f>
        <v>0.978013011</v>
      </c>
      <c r="AO2339" s="82">
        <f>IFERROR(__xludf.DUMMYFUNCTION("""COMPUTED_VALUE"""),1.111728567620227)</f>
        <v>1.111728568</v>
      </c>
      <c r="AP2339" s="82">
        <f>IFERROR(__xludf.DUMMYFUNCTION("""COMPUTED_VALUE"""),1.1314749880779649)</f>
        <v>1.131474988</v>
      </c>
      <c r="AQ2339" s="82">
        <f>IFERROR(__xludf.DUMMYFUNCTION("""COMPUTED_VALUE"""),0.8812204875570165)</f>
        <v>0.8812204876</v>
      </c>
      <c r="AR2339" s="82">
        <f>IFERROR(__xludf.DUMMYFUNCTION("""COMPUTED_VALUE"""),1.0943817485938232)</f>
        <v>1.094381749</v>
      </c>
      <c r="AS2339" s="82">
        <f>IFERROR(__xludf.DUMMYFUNCTION("""COMPUTED_VALUE"""),120.0)</f>
        <v>120</v>
      </c>
      <c r="AT2339" s="82">
        <f>IFERROR(__xludf.DUMMYFUNCTION("""COMPUTED_VALUE"""),0.5775388862352242)</f>
        <v>0.5775388862</v>
      </c>
      <c r="AU2339" s="82">
        <f>IFERROR(__xludf.DUMMYFUNCTION("""COMPUTED_VALUE"""),3.2792501162293872)</f>
        <v>3.279250116</v>
      </c>
      <c r="AV2339" s="82">
        <f>IFERROR(__xludf.DUMMYFUNCTION("""COMPUTED_VALUE"""),61.37660272562914)</f>
        <v>61.37660273</v>
      </c>
      <c r="AW2339" s="82">
        <f t="shared" si="1"/>
        <v>3.081364423</v>
      </c>
      <c r="AX2339" s="83">
        <f t="array" ref="AX2339">IFERROR(DGET('SBV Import'!A:G,"SBV",{"RSC ID","Tier";B2339,A2339}))</f>
        <v>50.18671254</v>
      </c>
      <c r="AY2339" s="82">
        <f t="shared" si="2"/>
        <v>2.011989337</v>
      </c>
      <c r="AZ2339" s="82">
        <v>1.0693750859117759</v>
      </c>
      <c r="BA2339" s="84">
        <v>2300.0</v>
      </c>
      <c r="BB2339" s="84" t="b">
        <f>IFERROR(__xludf.DUMMYFUNCTION("iferror(if(A2339="""",,E2339&gt;=FILTER(Constants!$F$2:$F$10,Constants!$A$2:$A$10=A2339)))"),TRUE)</f>
        <v>1</v>
      </c>
    </row>
    <row r="2340">
      <c r="A2340" s="89" t="str">
        <f>IFERROR(__xludf.DUMMYFUNCTION("""COMPUTED_VALUE"""),"Challenger")</f>
        <v>Challenger</v>
      </c>
      <c r="B2340" s="87" t="str">
        <f>IFERROR(__xludf.DUMMYFUNCTION("""COMPUTED_VALUE"""),"RSC001066")</f>
        <v>RSC001066</v>
      </c>
      <c r="C2340" s="73" t="str">
        <f>IFERROR(__xludf.DUMMYFUNCTION("""COMPUTED_VALUE"""),"risu")</f>
        <v>risu</v>
      </c>
      <c r="D2340" s="73" t="str">
        <f>IFERROR(__xludf.DUMMYFUNCTION("""COMPUTED_VALUE"""),"Trippy Hippies")</f>
        <v>Trippy Hippies</v>
      </c>
      <c r="E2340" s="82">
        <f>IFERROR(__xludf.DUMMYFUNCTION("""COMPUTED_VALUE"""),43.0)</f>
        <v>43</v>
      </c>
      <c r="F2340" s="82">
        <f>IFERROR(__xludf.DUMMYFUNCTION("""COMPUTED_VALUE"""),24.0)</f>
        <v>24</v>
      </c>
      <c r="G2340" s="86">
        <f>IFERROR(__xludf.DUMMYFUNCTION("""COMPUTED_VALUE"""),19.0)</f>
        <v>19</v>
      </c>
      <c r="H2340" s="86">
        <f>IFERROR(__xludf.DUMMYFUNCTION("""COMPUTED_VALUE"""),0.5581395348837209)</f>
        <v>0.5581395349</v>
      </c>
      <c r="I2340" s="86">
        <f>IFERROR(__xludf.DUMMYFUNCTION("""COMPUTED_VALUE"""),0.3076923076923077)</f>
        <v>0.3076923077</v>
      </c>
      <c r="J2340" s="82">
        <f>IFERROR(__xludf.DUMMYFUNCTION("""COMPUTED_VALUE"""),317.0769230769231)</f>
        <v>317.0769231</v>
      </c>
      <c r="K2340" s="82">
        <f>IFERROR(__xludf.DUMMYFUNCTION("""COMPUTED_VALUE"""),0.8205128205128205)</f>
        <v>0.8205128205</v>
      </c>
      <c r="L2340" s="82">
        <f>IFERROR(__xludf.DUMMYFUNCTION("""COMPUTED_VALUE"""),0.6153846153846154)</f>
        <v>0.6153846154</v>
      </c>
      <c r="M2340" s="82">
        <f>IFERROR(__xludf.DUMMYFUNCTION("""COMPUTED_VALUE"""),0.8461538461538461)</f>
        <v>0.8461538462</v>
      </c>
      <c r="N2340" s="82">
        <f>IFERROR(__xludf.DUMMYFUNCTION("""COMPUTED_VALUE"""),2.6666666666666665)</f>
        <v>2.666666667</v>
      </c>
      <c r="O2340" s="82">
        <f>IFERROR(__xludf.DUMMYFUNCTION("""COMPUTED_VALUE"""),317.965811965812)</f>
        <v>317.965812</v>
      </c>
      <c r="P2340" s="82">
        <f>IFERROR(__xludf.DUMMYFUNCTION("""COMPUTED_VALUE"""),0.7264957264957266)</f>
        <v>0.7264957265</v>
      </c>
      <c r="Q2340" s="82">
        <f>IFERROR(__xludf.DUMMYFUNCTION("""COMPUTED_VALUE"""),0.5213675213675213)</f>
        <v>0.5213675214</v>
      </c>
      <c r="R2340" s="82">
        <f>IFERROR(__xludf.DUMMYFUNCTION("""COMPUTED_VALUE"""),1.2393162393162391)</f>
        <v>1.239316239</v>
      </c>
      <c r="S2340" s="82">
        <f>IFERROR(__xludf.DUMMYFUNCTION("""COMPUTED_VALUE"""),2.4017094017094016)</f>
        <v>2.401709402</v>
      </c>
      <c r="T2340" s="82">
        <f>IFERROR(__xludf.DUMMYFUNCTION("""COMPUTED_VALUE"""),340.83685490969094)</f>
        <v>340.8368549</v>
      </c>
      <c r="U2340" s="82">
        <f>IFERROR(__xludf.DUMMYFUNCTION("""COMPUTED_VALUE"""),0.7599168749434412)</f>
        <v>0.7599168749</v>
      </c>
      <c r="V2340" s="82">
        <f>IFERROR(__xludf.DUMMYFUNCTION("""COMPUTED_VALUE"""),0.543706590890794)</f>
        <v>0.5437065909</v>
      </c>
      <c r="W2340" s="82">
        <f>IFERROR(__xludf.DUMMYFUNCTION("""COMPUTED_VALUE"""),1.3175869288609776)</f>
        <v>1.317586929</v>
      </c>
      <c r="X2340" s="82">
        <f>IFERROR(__xludf.DUMMYFUNCTION("""COMPUTED_VALUE"""),2.4046332927514493)</f>
        <v>2.404633293</v>
      </c>
      <c r="Y2340" s="82">
        <f>IFERROR(__xludf.DUMMYFUNCTION("""COMPUTED_VALUE"""),339.9022224110539)</f>
        <v>339.9022224</v>
      </c>
      <c r="Z2340" s="82">
        <f>IFERROR(__xludf.DUMMYFUNCTION("""COMPUTED_VALUE"""),0.7856987788918756)</f>
        <v>0.7856987789</v>
      </c>
      <c r="AA2340" s="82">
        <f>IFERROR(__xludf.DUMMYFUNCTION("""COMPUTED_VALUE"""),0.5483987452693021)</f>
        <v>0.5483987453</v>
      </c>
      <c r="AB2340" s="82">
        <f>IFERROR(__xludf.DUMMYFUNCTION("""COMPUTED_VALUE"""),1.2151499152367078)</f>
        <v>1.215149915</v>
      </c>
      <c r="AC2340" s="82">
        <f>IFERROR(__xludf.DUMMYFUNCTION("""COMPUTED_VALUE"""),2.5647588808029744)</f>
        <v>2.564758881</v>
      </c>
      <c r="AD2340" s="82">
        <f>IFERROR(__xludf.DUMMYFUNCTION("""COMPUTED_VALUE"""),0.9328474548585696)</f>
        <v>0.9328474549</v>
      </c>
      <c r="AE2340" s="82">
        <f>IFERROR(__xludf.DUMMYFUNCTION("""COMPUTED_VALUE"""),1.0443096547382262)</f>
        <v>1.044309655</v>
      </c>
      <c r="AF2340" s="82">
        <f>IFERROR(__xludf.DUMMYFUNCTION("""COMPUTED_VALUE"""),1.1221481097343113)</f>
        <v>1.12214811</v>
      </c>
      <c r="AG2340" s="82">
        <f>IFERROR(__xludf.DUMMYFUNCTION("""COMPUTED_VALUE"""),0.6963369996935874)</f>
        <v>0.6963369997</v>
      </c>
      <c r="AH2340" s="82">
        <f>IFERROR(__xludf.DUMMYFUNCTION("""COMPUTED_VALUE"""),1.03973386606689)</f>
        <v>1.039733866</v>
      </c>
      <c r="AI2340" s="82">
        <f>IFERROR(__xludf.DUMMYFUNCTION("""COMPUTED_VALUE"""),0.932897388840362)</f>
        <v>0.9328973888</v>
      </c>
      <c r="AJ2340" s="82">
        <f>IFERROR(__xludf.DUMMYFUNCTION("""COMPUTED_VALUE"""),0.9560199943576696)</f>
        <v>0.9560199944</v>
      </c>
      <c r="AK2340" s="82">
        <f>IFERROR(__xludf.DUMMYFUNCTION("""COMPUTED_VALUE"""),0.958913373688053)</f>
        <v>0.9589133737</v>
      </c>
      <c r="AL2340" s="82">
        <f>IFERROR(__xludf.DUMMYFUNCTION("""COMPUTED_VALUE"""),0.9405954265101873)</f>
        <v>0.9405954265</v>
      </c>
      <c r="AM2340" s="82">
        <f>IFERROR(__xludf.DUMMYFUNCTION("""COMPUTED_VALUE"""),0.9987840594859676)</f>
        <v>0.9987840595</v>
      </c>
      <c r="AN2340" s="82">
        <f>IFERROR(__xludf.DUMMYFUNCTION("""COMPUTED_VALUE"""),0.9746632465043206)</f>
        <v>0.9746632465</v>
      </c>
      <c r="AO2340" s="82">
        <f>IFERROR(__xludf.DUMMYFUNCTION("""COMPUTED_VALUE"""),1.122692360200308)</f>
        <v>1.12269236</v>
      </c>
      <c r="AP2340" s="82">
        <f>IFERROR(__xludf.DUMMYFUNCTION("""COMPUTED_VALUE"""),1.193643943466864)</f>
        <v>1.193643943</v>
      </c>
      <c r="AQ2340" s="82">
        <f>IFERROR(__xludf.DUMMYFUNCTION("""COMPUTED_VALUE"""),0.7017864516291172)</f>
        <v>0.7017864516</v>
      </c>
      <c r="AR2340" s="82">
        <f>IFERROR(__xludf.DUMMYFUNCTION("""COMPUTED_VALUE"""),1.120646910560075)</f>
        <v>1.120646911</v>
      </c>
      <c r="AS2340" s="82">
        <f>IFERROR(__xludf.DUMMYFUNCTION("""COMPUTED_VALUE"""),91.0)</f>
        <v>91</v>
      </c>
      <c r="AT2340" s="82">
        <f>IFERROR(__xludf.DUMMYFUNCTION("""COMPUTED_VALUE"""),0.48882252226274797)</f>
        <v>0.4888225223</v>
      </c>
      <c r="AU2340" s="82">
        <f>IFERROR(__xludf.DUMMYFUNCTION("""COMPUTED_VALUE"""),3.261379523665776)</f>
        <v>3.261379524</v>
      </c>
      <c r="AV2340" s="82">
        <f>IFERROR(__xludf.DUMMYFUNCTION("""COMPUTED_VALUE"""),60.910211341893316)</f>
        <v>60.91021134</v>
      </c>
      <c r="AW2340" s="82">
        <f t="shared" si="1"/>
        <v>3.018683812</v>
      </c>
      <c r="AX2340" s="83">
        <f t="array" ref="AX2340">IFERROR(DGET('SBV Import'!A:G,"SBV",{"RSC ID","Tier";B2340,A2340}))</f>
        <v>51.1011009</v>
      </c>
      <c r="AY2340" s="82">
        <f t="shared" si="2"/>
        <v>2.072819599</v>
      </c>
      <c r="AZ2340" s="82">
        <v>0.9458642129324413</v>
      </c>
      <c r="BA2340" s="84">
        <v>2300.0</v>
      </c>
      <c r="BB2340" s="84" t="b">
        <f>IFERROR(__xludf.DUMMYFUNCTION("iferror(if(A2340="""",,E2340&gt;=FILTER(Constants!$F$2:$F$10,Constants!$A$2:$A$10=A2340)))"),TRUE)</f>
        <v>1</v>
      </c>
    </row>
    <row r="2341">
      <c r="A2341" s="89" t="str">
        <f>IFERROR(__xludf.DUMMYFUNCTION("""COMPUTED_VALUE"""),"Challenger")</f>
        <v>Challenger</v>
      </c>
      <c r="B2341" s="87" t="str">
        <f>IFERROR(__xludf.DUMMYFUNCTION("""COMPUTED_VALUE"""),"RSC006659")</f>
        <v>RSC006659</v>
      </c>
      <c r="C2341" s="73" t="str">
        <f>IFERROR(__xludf.DUMMYFUNCTION("""COMPUTED_VALUE"""),"Zalama")</f>
        <v>Zalama</v>
      </c>
      <c r="D2341" s="73" t="str">
        <f>IFERROR(__xludf.DUMMYFUNCTION("""COMPUTED_VALUE"""),"Solstice Sake")</f>
        <v>Solstice Sake</v>
      </c>
      <c r="E2341" s="82">
        <f>IFERROR(__xludf.DUMMYFUNCTION("""COMPUTED_VALUE"""),32.0)</f>
        <v>32</v>
      </c>
      <c r="F2341" s="82">
        <f>IFERROR(__xludf.DUMMYFUNCTION("""COMPUTED_VALUE"""),16.0)</f>
        <v>16</v>
      </c>
      <c r="G2341" s="86">
        <f>IFERROR(__xludf.DUMMYFUNCTION("""COMPUTED_VALUE"""),16.0)</f>
        <v>16</v>
      </c>
      <c r="H2341" s="86">
        <f>IFERROR(__xludf.DUMMYFUNCTION("""COMPUTED_VALUE"""),0.5)</f>
        <v>0.5</v>
      </c>
      <c r="I2341" s="86">
        <f>IFERROR(__xludf.DUMMYFUNCTION("""COMPUTED_VALUE"""),0.36470588235294116)</f>
        <v>0.3647058824</v>
      </c>
      <c r="J2341" s="82">
        <f>IFERROR(__xludf.DUMMYFUNCTION("""COMPUTED_VALUE"""),322.59375)</f>
        <v>322.59375</v>
      </c>
      <c r="K2341" s="82">
        <f>IFERROR(__xludf.DUMMYFUNCTION("""COMPUTED_VALUE"""),0.96875)</f>
        <v>0.96875</v>
      </c>
      <c r="L2341" s="82">
        <f>IFERROR(__xludf.DUMMYFUNCTION("""COMPUTED_VALUE"""),0.40625)</f>
        <v>0.40625</v>
      </c>
      <c r="M2341" s="82">
        <f>IFERROR(__xludf.DUMMYFUNCTION("""COMPUTED_VALUE"""),0.90625)</f>
        <v>0.90625</v>
      </c>
      <c r="N2341" s="82">
        <f>IFERROR(__xludf.DUMMYFUNCTION("""COMPUTED_VALUE"""),2.65625)</f>
        <v>2.65625</v>
      </c>
      <c r="O2341" s="82">
        <f>IFERROR(__xludf.DUMMYFUNCTION("""COMPUTED_VALUE"""),336.94791666666663)</f>
        <v>336.9479167</v>
      </c>
      <c r="P2341" s="82">
        <f>IFERROR(__xludf.DUMMYFUNCTION("""COMPUTED_VALUE"""),0.7812499999999998)</f>
        <v>0.78125</v>
      </c>
      <c r="Q2341" s="82">
        <f>IFERROR(__xludf.DUMMYFUNCTION("""COMPUTED_VALUE"""),0.4791666666666667)</f>
        <v>0.4791666667</v>
      </c>
      <c r="R2341" s="82">
        <f>IFERROR(__xludf.DUMMYFUNCTION("""COMPUTED_VALUE"""),1.2395833333333333)</f>
        <v>1.239583333</v>
      </c>
      <c r="S2341" s="82">
        <f>IFERROR(__xludf.DUMMYFUNCTION("""COMPUTED_VALUE"""),2.489583333333334)</f>
        <v>2.489583333</v>
      </c>
      <c r="T2341" s="82">
        <f>IFERROR(__xludf.DUMMYFUNCTION("""COMPUTED_VALUE"""),336.30918259699257)</f>
        <v>336.3091826</v>
      </c>
      <c r="U2341" s="82">
        <f>IFERROR(__xludf.DUMMYFUNCTION("""COMPUTED_VALUE"""),0.7949602914891069)</f>
        <v>0.7949602915</v>
      </c>
      <c r="V2341" s="82">
        <f>IFERROR(__xludf.DUMMYFUNCTION("""COMPUTED_VALUE"""),0.5607030638648293)</f>
        <v>0.5607030639</v>
      </c>
      <c r="W2341" s="82">
        <f>IFERROR(__xludf.DUMMYFUNCTION("""COMPUTED_VALUE"""),1.1859079769763392)</f>
        <v>1.185907977</v>
      </c>
      <c r="X2341" s="82">
        <f>IFERROR(__xludf.DUMMYFUNCTION("""COMPUTED_VALUE"""),2.5192209230328557)</f>
        <v>2.519220923</v>
      </c>
      <c r="Y2341" s="82">
        <f>IFERROR(__xludf.DUMMYFUNCTION("""COMPUTED_VALUE"""),338.0882627183142)</f>
        <v>338.0882627</v>
      </c>
      <c r="Z2341" s="82">
        <f>IFERROR(__xludf.DUMMYFUNCTION("""COMPUTED_VALUE"""),0.7759102533465626)</f>
        <v>0.7759102533</v>
      </c>
      <c r="AA2341" s="82">
        <f>IFERROR(__xludf.DUMMYFUNCTION("""COMPUTED_VALUE"""),0.5326077601660273)</f>
        <v>0.5326077602</v>
      </c>
      <c r="AB2341" s="82">
        <f>IFERROR(__xludf.DUMMYFUNCTION("""COMPUTED_VALUE"""),1.2512077381188615)</f>
        <v>1.251207738</v>
      </c>
      <c r="AC2341" s="82">
        <f>IFERROR(__xludf.DUMMYFUNCTION("""COMPUTED_VALUE"""),2.424374707638672)</f>
        <v>2.424374708</v>
      </c>
      <c r="AD2341" s="82">
        <f>IFERROR(__xludf.DUMMYFUNCTION("""COMPUTED_VALUE"""),0.9541702140330621)</f>
        <v>0.954170214</v>
      </c>
      <c r="AE2341" s="82">
        <f>IFERROR(__xludf.DUMMYFUNCTION("""COMPUTED_VALUE"""),1.2485335717909438)</f>
        <v>1.248533572</v>
      </c>
      <c r="AF2341" s="82">
        <f>IFERROR(__xludf.DUMMYFUNCTION("""COMPUTED_VALUE"""),0.7627564417637506)</f>
        <v>0.7627564418</v>
      </c>
      <c r="AG2341" s="82">
        <f>IFERROR(__xludf.DUMMYFUNCTION("""COMPUTED_VALUE"""),0.7243001880427218)</f>
        <v>0.724300188</v>
      </c>
      <c r="AH2341" s="82">
        <f>IFERROR(__xludf.DUMMYFUNCTION("""COMPUTED_VALUE"""),1.0956433391384344)</f>
        <v>1.095643339</v>
      </c>
      <c r="AI2341" s="82">
        <f>IFERROR(__xludf.DUMMYFUNCTION("""COMPUTED_VALUE"""),1.0018992465942849)</f>
        <v>1.001899247</v>
      </c>
      <c r="AJ2341" s="82">
        <f>IFERROR(__xludf.DUMMYFUNCTION("""COMPUTED_VALUE"""),0.9827534889026656)</f>
        <v>0.9827534889</v>
      </c>
      <c r="AK2341" s="82">
        <f>IFERROR(__xludf.DUMMYFUNCTION("""COMPUTED_VALUE"""),0.8545818590036832)</f>
        <v>0.854581859</v>
      </c>
      <c r="AL2341" s="82">
        <f>IFERROR(__xludf.DUMMYFUNCTION("""COMPUTED_VALUE"""),1.0452609792657335)</f>
        <v>1.045260979</v>
      </c>
      <c r="AM2341" s="82">
        <f>IFERROR(__xludf.DUMMYFUNCTION("""COMPUTED_VALUE"""),0.9882354145964136)</f>
        <v>0.9882354146</v>
      </c>
      <c r="AN2341" s="82">
        <f>IFERROR(__xludf.DUMMYFUNCTION("""COMPUTED_VALUE"""),0.9916214293549347)</f>
        <v>0.9916214294</v>
      </c>
      <c r="AO2341" s="82">
        <f>IFERROR(__xludf.DUMMYFUNCTION("""COMPUTED_VALUE"""),1.325522522931809)</f>
        <v>1.325522523</v>
      </c>
      <c r="AP2341" s="82">
        <f>IFERROR(__xludf.DUMMYFUNCTION("""COMPUTED_VALUE"""),0.7879915095542969)</f>
        <v>0.7879915096</v>
      </c>
      <c r="AQ2341" s="82">
        <f>IFERROR(__xludf.DUMMYFUNCTION("""COMPUTED_VALUE"""),0.7516292393868671)</f>
        <v>0.7516292394</v>
      </c>
      <c r="AR2341" s="82">
        <f>IFERROR(__xludf.DUMMYFUNCTION("""COMPUTED_VALUE"""),1.1162693835656996)</f>
        <v>1.116269384</v>
      </c>
      <c r="AS2341" s="82">
        <f>IFERROR(__xludf.DUMMYFUNCTION("""COMPUTED_VALUE"""),77.0)</f>
        <v>77</v>
      </c>
      <c r="AT2341" s="82">
        <f>IFERROR(__xludf.DUMMYFUNCTION("""COMPUTED_VALUE"""),0.5102880067942528)</f>
        <v>0.5102880068</v>
      </c>
      <c r="AU2341" s="82">
        <f>IFERROR(__xludf.DUMMYFUNCTION("""COMPUTED_VALUE"""),3.260199449578442)</f>
        <v>3.26019945</v>
      </c>
      <c r="AV2341" s="82">
        <f>IFERROR(__xludf.DUMMYFUNCTION("""COMPUTED_VALUE"""),60.87941346070705)</f>
        <v>60.87941346</v>
      </c>
      <c r="AW2341" s="82">
        <f t="shared" si="1"/>
        <v>3.01461656</v>
      </c>
      <c r="AX2341" s="83">
        <f t="array" ref="AX2341">IFERROR(DGET('SBV Import'!A:G,"SBV",{"RSC ID","Tier";B2341,A2341}))</f>
        <v>42.62511093</v>
      </c>
      <c r="AY2341" s="82">
        <f t="shared" si="2"/>
        <v>-2.604175926</v>
      </c>
      <c r="AZ2341" s="82">
        <v>5.618792486418618</v>
      </c>
      <c r="BA2341" s="84">
        <v>2300.0</v>
      </c>
      <c r="BB2341" s="84" t="b">
        <f>IFERROR(__xludf.DUMMYFUNCTION("iferror(if(A2341="""",,E2341&gt;=FILTER(Constants!$F$2:$F$10,Constants!$A$2:$A$10=A2341)))"),TRUE)</f>
        <v>1</v>
      </c>
    </row>
    <row r="2342">
      <c r="A2342" s="89" t="str">
        <f>IFERROR(__xludf.DUMMYFUNCTION("""COMPUTED_VALUE"""),"Challenger")</f>
        <v>Challenger</v>
      </c>
      <c r="B2342" s="87" t="str">
        <f>IFERROR(__xludf.DUMMYFUNCTION("""COMPUTED_VALUE"""),"RSC004333")</f>
        <v>RSC004333</v>
      </c>
      <c r="C2342" s="73" t="str">
        <f>IFERROR(__xludf.DUMMYFUNCTION("""COMPUTED_VALUE"""),"Penguin")</f>
        <v>Penguin</v>
      </c>
      <c r="D2342" s="73" t="str">
        <f>IFERROR(__xludf.DUMMYFUNCTION("""COMPUTED_VALUE"""),"Mugged")</f>
        <v>Mugged</v>
      </c>
      <c r="E2342" s="82">
        <f>IFERROR(__xludf.DUMMYFUNCTION("""COMPUTED_VALUE"""),45.0)</f>
        <v>45</v>
      </c>
      <c r="F2342" s="82">
        <f>IFERROR(__xludf.DUMMYFUNCTION("""COMPUTED_VALUE"""),24.0)</f>
        <v>24</v>
      </c>
      <c r="G2342" s="86">
        <f>IFERROR(__xludf.DUMMYFUNCTION("""COMPUTED_VALUE"""),21.0)</f>
        <v>21</v>
      </c>
      <c r="H2342" s="86">
        <f>IFERROR(__xludf.DUMMYFUNCTION("""COMPUTED_VALUE"""),0.5333333333333333)</f>
        <v>0.5333333333</v>
      </c>
      <c r="I2342" s="86">
        <f>IFERROR(__xludf.DUMMYFUNCTION("""COMPUTED_VALUE"""),0.33035714285714285)</f>
        <v>0.3303571429</v>
      </c>
      <c r="J2342" s="82">
        <f>IFERROR(__xludf.DUMMYFUNCTION("""COMPUTED_VALUE"""),376.2)</f>
        <v>376.2</v>
      </c>
      <c r="K2342" s="82">
        <f>IFERROR(__xludf.DUMMYFUNCTION("""COMPUTED_VALUE"""),0.8222222222222222)</f>
        <v>0.8222222222</v>
      </c>
      <c r="L2342" s="82">
        <f>IFERROR(__xludf.DUMMYFUNCTION("""COMPUTED_VALUE"""),0.6)</f>
        <v>0.6</v>
      </c>
      <c r="M2342" s="82">
        <f>IFERROR(__xludf.DUMMYFUNCTION("""COMPUTED_VALUE"""),1.4)</f>
        <v>1.4</v>
      </c>
      <c r="N2342" s="82">
        <f>IFERROR(__xludf.DUMMYFUNCTION("""COMPUTED_VALUE"""),2.488888888888889)</f>
        <v>2.488888889</v>
      </c>
      <c r="O2342" s="82">
        <f>IFERROR(__xludf.DUMMYFUNCTION("""COMPUTED_VALUE"""),336.19259259259263)</f>
        <v>336.1925926</v>
      </c>
      <c r="P2342" s="82">
        <f>IFERROR(__xludf.DUMMYFUNCTION("""COMPUTED_VALUE"""),0.8148148148148148)</f>
        <v>0.8148148148</v>
      </c>
      <c r="Q2342" s="82">
        <f>IFERROR(__xludf.DUMMYFUNCTION("""COMPUTED_VALUE"""),0.5333333333333335)</f>
        <v>0.5333333333</v>
      </c>
      <c r="R2342" s="82">
        <f>IFERROR(__xludf.DUMMYFUNCTION("""COMPUTED_VALUE"""),1.1629629629629634)</f>
        <v>1.162962963</v>
      </c>
      <c r="S2342" s="82">
        <f>IFERROR(__xludf.DUMMYFUNCTION("""COMPUTED_VALUE"""),2.65925925925926)</f>
        <v>2.659259259</v>
      </c>
      <c r="T2342" s="82">
        <f>IFERROR(__xludf.DUMMYFUNCTION("""COMPUTED_VALUE"""),333.16274043485095)</f>
        <v>333.1627404</v>
      </c>
      <c r="U2342" s="82">
        <f>IFERROR(__xludf.DUMMYFUNCTION("""COMPUTED_VALUE"""),0.7573463640419691)</f>
        <v>0.757346364</v>
      </c>
      <c r="V2342" s="82">
        <f>IFERROR(__xludf.DUMMYFUNCTION("""COMPUTED_VALUE"""),0.5160378385001567)</f>
        <v>0.5160378385</v>
      </c>
      <c r="W2342" s="82">
        <f>IFERROR(__xludf.DUMMYFUNCTION("""COMPUTED_VALUE"""),1.2424924005141602)</f>
        <v>1.242492401</v>
      </c>
      <c r="X2342" s="82">
        <f>IFERROR(__xludf.DUMMYFUNCTION("""COMPUTED_VALUE"""),2.4617317684734585)</f>
        <v>2.461731768</v>
      </c>
      <c r="Y2342" s="82">
        <f>IFERROR(__xludf.DUMMYFUNCTION("""COMPUTED_VALUE"""),341.02954755246026)</f>
        <v>341.0295476</v>
      </c>
      <c r="Z2342" s="82">
        <f>IFERROR(__xludf.DUMMYFUNCTION("""COMPUTED_VALUE"""),0.7753368634973176)</f>
        <v>0.7753368635</v>
      </c>
      <c r="AA2342" s="82">
        <f>IFERROR(__xludf.DUMMYFUNCTION("""COMPUTED_VALUE"""),0.5540986179810938)</f>
        <v>0.554098618</v>
      </c>
      <c r="AB2342" s="82">
        <f>IFERROR(__xludf.DUMMYFUNCTION("""COMPUTED_VALUE"""),1.2539394594352076)</f>
        <v>1.253939459</v>
      </c>
      <c r="AC2342" s="82">
        <f>IFERROR(__xludf.DUMMYFUNCTION("""COMPUTED_VALUE"""),2.475182780779676)</f>
        <v>2.475182781</v>
      </c>
      <c r="AD2342" s="82">
        <f>IFERROR(__xludf.DUMMYFUNCTION("""COMPUTED_VALUE"""),1.1031302205335434)</f>
        <v>1.103130221</v>
      </c>
      <c r="AE2342" s="82">
        <f>IFERROR(__xludf.DUMMYFUNCTION("""COMPUTED_VALUE"""),1.0604709526042893)</f>
        <v>1.060470953</v>
      </c>
      <c r="AF2342" s="82">
        <f>IFERROR(__xludf.DUMMYFUNCTION("""COMPUTED_VALUE"""),1.0828397338115583)</f>
        <v>1.082839734</v>
      </c>
      <c r="AG2342" s="82">
        <f>IFERROR(__xludf.DUMMYFUNCTION("""COMPUTED_VALUE"""),1.1164813336607018)</f>
        <v>1.116481334</v>
      </c>
      <c r="AH2342" s="82">
        <f>IFERROR(__xludf.DUMMYFUNCTION("""COMPUTED_VALUE"""),1.0055374125158125)</f>
        <v>1.005537413</v>
      </c>
      <c r="AI2342" s="82">
        <f>IFERROR(__xludf.DUMMYFUNCTION("""COMPUTED_VALUE"""),1.0090942106965115)</f>
        <v>1.009094211</v>
      </c>
      <c r="AJ2342" s="82">
        <f>IFERROR(__xludf.DUMMYFUNCTION("""COMPUTED_VALUE"""),1.0758813318468128)</f>
        <v>1.075881332</v>
      </c>
      <c r="AK2342" s="82">
        <f>IFERROR(__xludf.DUMMYFUNCTION("""COMPUTED_VALUE"""),1.0335159431010825)</f>
        <v>1.033515943</v>
      </c>
      <c r="AL2342" s="82">
        <f>IFERROR(__xludf.DUMMYFUNCTION("""COMPUTED_VALUE"""),0.9359920128941743)</f>
        <v>0.9359920129</v>
      </c>
      <c r="AM2342" s="82">
        <f>IFERROR(__xludf.DUMMYFUNCTION("""COMPUTED_VALUE"""),1.080239241868455)</f>
        <v>1.080239242</v>
      </c>
      <c r="AN2342" s="82">
        <f>IFERROR(__xludf.DUMMYFUNCTION("""COMPUTED_VALUE"""),1.1564017645206282)</f>
        <v>1.156401765</v>
      </c>
      <c r="AO2342" s="82">
        <f>IFERROR(__xludf.DUMMYFUNCTION("""COMPUTED_VALUE"""),1.1250313026173921)</f>
        <v>1.125031303</v>
      </c>
      <c r="AP2342" s="82">
        <f>IFERROR(__xludf.DUMMYFUNCTION("""COMPUTED_VALUE"""),1.1638028448801923)</f>
        <v>1.163802845</v>
      </c>
      <c r="AQ2342" s="82">
        <f>IFERROR(__xludf.DUMMYFUNCTION("""COMPUTED_VALUE"""),1.1611375836045394)</f>
        <v>1.161137584</v>
      </c>
      <c r="AR2342" s="82">
        <f>IFERROR(__xludf.DUMMYFUNCTION("""COMPUTED_VALUE"""),1.0459371165227367)</f>
        <v>1.045937117</v>
      </c>
      <c r="AS2342" s="82">
        <f>IFERROR(__xludf.DUMMYFUNCTION("""COMPUTED_VALUE"""),114.0)</f>
        <v>114</v>
      </c>
      <c r="AT2342" s="82">
        <f>IFERROR(__xludf.DUMMYFUNCTION("""COMPUTED_VALUE"""),0.5141501600522754)</f>
        <v>0.5141501601</v>
      </c>
      <c r="AU2342" s="82">
        <f>IFERROR(__xludf.DUMMYFUNCTION("""COMPUTED_VALUE"""),3.259736159642937)</f>
        <v>3.25973616</v>
      </c>
      <c r="AV2342" s="82">
        <f>IFERROR(__xludf.DUMMYFUNCTION("""COMPUTED_VALUE"""),60.867322399186726)</f>
        <v>60.8673224</v>
      </c>
      <c r="AW2342" s="82">
        <f t="shared" si="1"/>
        <v>3.013022181</v>
      </c>
      <c r="AX2342" s="83">
        <f t="array" ref="AX2342">IFERROR(DGET('SBV Import'!A:G,"SBV",{"RSC ID","Tier";B2342,A2342}))</f>
        <v>58.94379532</v>
      </c>
      <c r="AY2342" s="82">
        <f t="shared" si="2"/>
        <v>2.77573817</v>
      </c>
      <c r="AZ2342" s="82">
        <v>0.23728401083286954</v>
      </c>
      <c r="BA2342" s="84">
        <v>2300.0</v>
      </c>
      <c r="BB2342" s="84" t="b">
        <f>IFERROR(__xludf.DUMMYFUNCTION("iferror(if(A2342="""",,E2342&gt;=FILTER(Constants!$F$2:$F$10,Constants!$A$2:$A$10=A2342)))"),TRUE)</f>
        <v>1</v>
      </c>
    </row>
    <row r="2343">
      <c r="A2343" s="89" t="str">
        <f>IFERROR(__xludf.DUMMYFUNCTION("""COMPUTED_VALUE"""),"Challenger")</f>
        <v>Challenger</v>
      </c>
      <c r="B2343" s="87" t="str">
        <f>IFERROR(__xludf.DUMMYFUNCTION("""COMPUTED_VALUE"""),"RSC001995")</f>
        <v>RSC001995</v>
      </c>
      <c r="C2343" s="73" t="str">
        <f>IFERROR(__xludf.DUMMYFUNCTION("""COMPUTED_VALUE"""),"Tvveedle")</f>
        <v>Tvveedle</v>
      </c>
      <c r="D2343" s="73"/>
      <c r="E2343" s="82">
        <f>IFERROR(__xludf.DUMMYFUNCTION("""COMPUTED_VALUE"""),8.0)</f>
        <v>8</v>
      </c>
      <c r="F2343" s="82">
        <f>IFERROR(__xludf.DUMMYFUNCTION("""COMPUTED_VALUE"""),5.0)</f>
        <v>5</v>
      </c>
      <c r="G2343" s="86">
        <f>IFERROR(__xludf.DUMMYFUNCTION("""COMPUTED_VALUE"""),3.0)</f>
        <v>3</v>
      </c>
      <c r="H2343" s="86">
        <f>IFERROR(__xludf.DUMMYFUNCTION("""COMPUTED_VALUE"""),0.625)</f>
        <v>0.625</v>
      </c>
      <c r="I2343" s="86">
        <f>IFERROR(__xludf.DUMMYFUNCTION("""COMPUTED_VALUE"""),0.3181818181818182)</f>
        <v>0.3181818182</v>
      </c>
      <c r="J2343" s="82">
        <f>IFERROR(__xludf.DUMMYFUNCTION("""COMPUTED_VALUE"""),322.625)</f>
        <v>322.625</v>
      </c>
      <c r="K2343" s="82">
        <f>IFERROR(__xludf.DUMMYFUNCTION("""COMPUTED_VALUE"""),0.875)</f>
        <v>0.875</v>
      </c>
      <c r="L2343" s="82">
        <f>IFERROR(__xludf.DUMMYFUNCTION("""COMPUTED_VALUE"""),0.375)</f>
        <v>0.375</v>
      </c>
      <c r="M2343" s="82">
        <f>IFERROR(__xludf.DUMMYFUNCTION("""COMPUTED_VALUE"""),0.875)</f>
        <v>0.875</v>
      </c>
      <c r="N2343" s="82">
        <f>IFERROR(__xludf.DUMMYFUNCTION("""COMPUTED_VALUE"""),2.75)</f>
        <v>2.75</v>
      </c>
      <c r="O2343" s="82">
        <f>IFERROR(__xludf.DUMMYFUNCTION("""COMPUTED_VALUE"""),265.8333333333333)</f>
        <v>265.8333333</v>
      </c>
      <c r="P2343" s="82">
        <f>IFERROR(__xludf.DUMMYFUNCTION("""COMPUTED_VALUE"""),0.41666666666666674)</f>
        <v>0.4166666667</v>
      </c>
      <c r="Q2343" s="82">
        <f>IFERROR(__xludf.DUMMYFUNCTION("""COMPUTED_VALUE"""),0.29166666666666663)</f>
        <v>0.2916666667</v>
      </c>
      <c r="R2343" s="82">
        <f>IFERROR(__xludf.DUMMYFUNCTION("""COMPUTED_VALUE"""),1.0416666666666667)</f>
        <v>1.041666667</v>
      </c>
      <c r="S2343" s="82">
        <f>IFERROR(__xludf.DUMMYFUNCTION("""COMPUTED_VALUE"""),1.6666666666666667)</f>
        <v>1.666666667</v>
      </c>
      <c r="T2343" s="82">
        <f>IFERROR(__xludf.DUMMYFUNCTION("""COMPUTED_VALUE"""),318.7239201776583)</f>
        <v>318.7239202</v>
      </c>
      <c r="U2343" s="82">
        <f>IFERROR(__xludf.DUMMYFUNCTION("""COMPUTED_VALUE"""),0.6302161223953376)</f>
        <v>0.6302161224</v>
      </c>
      <c r="V2343" s="82">
        <f>IFERROR(__xludf.DUMMYFUNCTION("""COMPUTED_VALUE"""),0.4417183843217778)</f>
        <v>0.4417183843</v>
      </c>
      <c r="W2343" s="82">
        <f>IFERROR(__xludf.DUMMYFUNCTION("""COMPUTED_VALUE"""),1.298916819993172)</f>
        <v>1.29891682</v>
      </c>
      <c r="X2343" s="82">
        <f>IFERROR(__xludf.DUMMYFUNCTION("""COMPUTED_VALUE"""),2.1431693968809555)</f>
        <v>2.143169397</v>
      </c>
      <c r="Y2343" s="82">
        <f>IFERROR(__xludf.DUMMYFUNCTION("""COMPUTED_VALUE"""),345.4750508776667)</f>
        <v>345.4750509</v>
      </c>
      <c r="Z2343" s="82">
        <f>IFERROR(__xludf.DUMMYFUNCTION("""COMPUTED_VALUE"""),0.8438500461741889)</f>
        <v>0.8438500462</v>
      </c>
      <c r="AA2343" s="82">
        <f>IFERROR(__xludf.DUMMYFUNCTION("""COMPUTED_VALUE"""),0.6152865518807548)</f>
        <v>0.6152865519</v>
      </c>
      <c r="AB2343" s="82">
        <f>IFERROR(__xludf.DUMMYFUNCTION("""COMPUTED_VALUE"""),1.0962486481221014)</f>
        <v>1.096248648</v>
      </c>
      <c r="AC2343" s="82">
        <f>IFERROR(__xludf.DUMMYFUNCTION("""COMPUTED_VALUE"""),2.780288565106522)</f>
        <v>2.780288565</v>
      </c>
      <c r="AD2343" s="82">
        <f>IFERROR(__xludf.DUMMYFUNCTION("""COMPUTED_VALUE"""),0.9338590418624528)</f>
        <v>0.9338590419</v>
      </c>
      <c r="AE2343" s="82">
        <f>IFERROR(__xludf.DUMMYFUNCTION("""COMPUTED_VALUE"""),1.0369140867705553)</f>
        <v>1.036914087</v>
      </c>
      <c r="AF2343" s="82">
        <f>IFERROR(__xludf.DUMMYFUNCTION("""COMPUTED_VALUE"""),0.6094721213290497)</f>
        <v>0.6094721213</v>
      </c>
      <c r="AG2343" s="82">
        <f>IFERROR(__xludf.DUMMYFUNCTION("""COMPUTED_VALUE"""),0.7981765829302455)</f>
        <v>0.7981765829</v>
      </c>
      <c r="AH2343" s="82">
        <f>IFERROR(__xludf.DUMMYFUNCTION("""COMPUTED_VALUE"""),0.9891059635008204)</f>
        <v>0.9891059635</v>
      </c>
      <c r="AI2343" s="82">
        <f>IFERROR(__xludf.DUMMYFUNCTION("""COMPUTED_VALUE"""),0.8340551697066116)</f>
        <v>0.8340551697</v>
      </c>
      <c r="AJ2343" s="82">
        <f>IFERROR(__xludf.DUMMYFUNCTION("""COMPUTED_VALUE"""),0.661148853321924)</f>
        <v>0.6611488533</v>
      </c>
      <c r="AK2343" s="82">
        <f>IFERROR(__xludf.DUMMYFUNCTION("""COMPUTED_VALUE"""),0.6603000396157311)</f>
        <v>0.6603000396</v>
      </c>
      <c r="AL2343" s="82">
        <f>IFERROR(__xludf.DUMMYFUNCTION("""COMPUTED_VALUE"""),0.801950248571069)</f>
        <v>0.8019502486</v>
      </c>
      <c r="AM2343" s="82">
        <f>IFERROR(__xludf.DUMMYFUNCTION("""COMPUTED_VALUE"""),0.7776644576449425)</f>
        <v>0.7776644576</v>
      </c>
      <c r="AN2343" s="82">
        <f>IFERROR(__xludf.DUMMYFUNCTION("""COMPUTED_VALUE"""),0.9917174887784893)</f>
        <v>0.9917174888</v>
      </c>
      <c r="AO2343" s="82">
        <f>IFERROR(__xludf.DUMMYFUNCTION("""COMPUTED_VALUE"""),1.1972461497448599)</f>
        <v>1.19724615</v>
      </c>
      <c r="AP2343" s="82">
        <f>IFERROR(__xludf.DUMMYFUNCTION("""COMPUTED_VALUE"""),0.7273767780501202)</f>
        <v>0.7273767781</v>
      </c>
      <c r="AQ2343" s="82">
        <f>IFERROR(__xludf.DUMMYFUNCTION("""COMPUTED_VALUE"""),0.7257109897528372)</f>
        <v>0.7257109898</v>
      </c>
      <c r="AR2343" s="82">
        <f>IFERROR(__xludf.DUMMYFUNCTION("""COMPUTED_VALUE"""),1.1556671265150773)</f>
        <v>1.155667127</v>
      </c>
      <c r="AS2343" s="82">
        <f>IFERROR(__xludf.DUMMYFUNCTION("""COMPUTED_VALUE"""),17.0)</f>
        <v>17</v>
      </c>
      <c r="AT2343" s="82">
        <f>IFERROR(__xludf.DUMMYFUNCTION("""COMPUTED_VALUE"""),0.6796848859231691)</f>
        <v>0.6796848859</v>
      </c>
      <c r="AU2343" s="82">
        <f>IFERROR(__xludf.DUMMYFUNCTION("""COMPUTED_VALUE"""),3.241677807255903)</f>
        <v>3.241677807</v>
      </c>
      <c r="AV2343" s="82">
        <f>IFERROR(__xludf.DUMMYFUNCTION("""COMPUTED_VALUE"""),60.396030810628694)</f>
        <v>60.39603081</v>
      </c>
      <c r="AW2343" s="82">
        <f t="shared" si="1"/>
        <v>2.951915431</v>
      </c>
      <c r="AX2343" s="83">
        <f t="array" ref="AX2343">IFERROR(DGET('SBV Import'!A:G,"SBV",{"RSC ID","Tier";B2343,A2343}))</f>
        <v>76.61828395</v>
      </c>
      <c r="AY2343" s="82">
        <f t="shared" si="2"/>
        <v>6.968701444</v>
      </c>
      <c r="AZ2343" s="82">
        <v>4.01678601260644</v>
      </c>
      <c r="BA2343" s="84">
        <v>2300.0</v>
      </c>
      <c r="BB2343" s="84" t="b">
        <f>IFERROR(__xludf.DUMMYFUNCTION("iferror(if(A2343="""",,E2343&gt;=FILTER(Constants!$F$2:$F$10,Constants!$A$2:$A$10=A2343)))"),TRUE)</f>
        <v>1</v>
      </c>
    </row>
    <row r="2344">
      <c r="A2344" s="89" t="str">
        <f>IFERROR(__xludf.DUMMYFUNCTION("""COMPUTED_VALUE"""),"Challenger")</f>
        <v>Challenger</v>
      </c>
      <c r="B2344" s="87" t="str">
        <f>IFERROR(__xludf.DUMMYFUNCTION("""COMPUTED_VALUE"""),"RSC007294")</f>
        <v>RSC007294</v>
      </c>
      <c r="C2344" s="73" t="str">
        <f>IFERROR(__xludf.DUMMYFUNCTION("""COMPUTED_VALUE"""),"CF0UR_")</f>
        <v>CF0UR_</v>
      </c>
      <c r="D2344" s="73" t="str">
        <f>IFERROR(__xludf.DUMMYFUNCTION("""COMPUTED_VALUE"""),"Havarti Hustlers")</f>
        <v>Havarti Hustlers</v>
      </c>
      <c r="E2344" s="82">
        <f>IFERROR(__xludf.DUMMYFUNCTION("""COMPUTED_VALUE"""),48.0)</f>
        <v>48</v>
      </c>
      <c r="F2344" s="82">
        <f>IFERROR(__xludf.DUMMYFUNCTION("""COMPUTED_VALUE"""),23.0)</f>
        <v>23</v>
      </c>
      <c r="G2344" s="86">
        <f>IFERROR(__xludf.DUMMYFUNCTION("""COMPUTED_VALUE"""),25.0)</f>
        <v>25</v>
      </c>
      <c r="H2344" s="86">
        <f>IFERROR(__xludf.DUMMYFUNCTION("""COMPUTED_VALUE"""),0.4791666666666667)</f>
        <v>0.4791666667</v>
      </c>
      <c r="I2344" s="86">
        <f>IFERROR(__xludf.DUMMYFUNCTION("""COMPUTED_VALUE"""),0.39655172413793105)</f>
        <v>0.3965517241</v>
      </c>
      <c r="J2344" s="82">
        <f>IFERROR(__xludf.DUMMYFUNCTION("""COMPUTED_VALUE"""),362.7916666666667)</f>
        <v>362.7916667</v>
      </c>
      <c r="K2344" s="82">
        <f>IFERROR(__xludf.DUMMYFUNCTION("""COMPUTED_VALUE"""),0.9583333333333334)</f>
        <v>0.9583333333</v>
      </c>
      <c r="L2344" s="82">
        <f>IFERROR(__xludf.DUMMYFUNCTION("""COMPUTED_VALUE"""),0.4375)</f>
        <v>0.4375</v>
      </c>
      <c r="M2344" s="82">
        <f>IFERROR(__xludf.DUMMYFUNCTION("""COMPUTED_VALUE"""),1.2708333333333333)</f>
        <v>1.270833333</v>
      </c>
      <c r="N2344" s="82">
        <f>IFERROR(__xludf.DUMMYFUNCTION("""COMPUTED_VALUE"""),2.4166666666666665)</f>
        <v>2.416666667</v>
      </c>
      <c r="O2344" s="82">
        <f>IFERROR(__xludf.DUMMYFUNCTION("""COMPUTED_VALUE"""),343.9305555555556)</f>
        <v>343.9305556</v>
      </c>
      <c r="P2344" s="82">
        <f>IFERROR(__xludf.DUMMYFUNCTION("""COMPUTED_VALUE"""),0.7361111111111113)</f>
        <v>0.7361111111</v>
      </c>
      <c r="Q2344" s="82">
        <f>IFERROR(__xludf.DUMMYFUNCTION("""COMPUTED_VALUE"""),0.4861111111111112)</f>
        <v>0.4861111111</v>
      </c>
      <c r="R2344" s="82">
        <f>IFERROR(__xludf.DUMMYFUNCTION("""COMPUTED_VALUE"""),1.4375)</f>
        <v>1.4375</v>
      </c>
      <c r="S2344" s="82">
        <f>IFERROR(__xludf.DUMMYFUNCTION("""COMPUTED_VALUE"""),2.2291666666666665)</f>
        <v>2.229166667</v>
      </c>
      <c r="T2344" s="82">
        <f>IFERROR(__xludf.DUMMYFUNCTION("""COMPUTED_VALUE"""),335.88328480436485)</f>
        <v>335.8832848</v>
      </c>
      <c r="U2344" s="82">
        <f>IFERROR(__xludf.DUMMYFUNCTION("""COMPUTED_VALUE"""),0.7524469803728523)</f>
        <v>0.7524469804</v>
      </c>
      <c r="V2344" s="82">
        <f>IFERROR(__xludf.DUMMYFUNCTION("""COMPUTED_VALUE"""),0.5039268985054711)</f>
        <v>0.5039268985</v>
      </c>
      <c r="W2344" s="82">
        <f>IFERROR(__xludf.DUMMYFUNCTION("""COMPUTED_VALUE"""),1.2697805512805793)</f>
        <v>1.269780551</v>
      </c>
      <c r="X2344" s="82">
        <f>IFERROR(__xludf.DUMMYFUNCTION("""COMPUTED_VALUE"""),2.379857665072539)</f>
        <v>2.379857665</v>
      </c>
      <c r="Y2344" s="82">
        <f>IFERROR(__xludf.DUMMYFUNCTION("""COMPUTED_VALUE"""),336.0370954952763)</f>
        <v>336.0370955</v>
      </c>
      <c r="Z2344" s="82">
        <f>IFERROR(__xludf.DUMMYFUNCTION("""COMPUTED_VALUE"""),0.7949137054001182)</f>
        <v>0.7949137054</v>
      </c>
      <c r="AA2344" s="82">
        <f>IFERROR(__xludf.DUMMYFUNCTION("""COMPUTED_VALUE"""),0.5589309739406535)</f>
        <v>0.5589309739</v>
      </c>
      <c r="AB2344" s="82">
        <f>IFERROR(__xludf.DUMMYFUNCTION("""COMPUTED_VALUE"""),1.1808553033086522)</f>
        <v>1.180855303</v>
      </c>
      <c r="AC2344" s="82">
        <f>IFERROR(__xludf.DUMMYFUNCTION("""COMPUTED_VALUE"""),2.5178310732316835)</f>
        <v>2.517831073</v>
      </c>
      <c r="AD2344" s="82">
        <f>IFERROR(__xludf.DUMMYFUNCTION("""COMPUTED_VALUE"""),1.0796179098380718)</f>
        <v>1.07961791</v>
      </c>
      <c r="AE2344" s="82">
        <f>IFERROR(__xludf.DUMMYFUNCTION("""COMPUTED_VALUE"""),1.20558159561604)</f>
        <v>1.205581596</v>
      </c>
      <c r="AF2344" s="82">
        <f>IFERROR(__xludf.DUMMYFUNCTION("""COMPUTED_VALUE"""),0.7827442392671069)</f>
        <v>0.7827442393</v>
      </c>
      <c r="AG2344" s="82">
        <f>IFERROR(__xludf.DUMMYFUNCTION("""COMPUTED_VALUE"""),1.076197337449026)</f>
        <v>1.076197337</v>
      </c>
      <c r="AH2344" s="82">
        <f>IFERROR(__xludf.DUMMYFUNCTION("""COMPUTED_VALUE"""),0.9598208125872517)</f>
        <v>0.9598208126</v>
      </c>
      <c r="AI2344" s="82">
        <f>IFERROR(__xludf.DUMMYFUNCTION("""COMPUTED_VALUE"""),1.023958532964443)</f>
        <v>1.023958533</v>
      </c>
      <c r="AJ2344" s="82">
        <f>IFERROR(__xludf.DUMMYFUNCTION("""COMPUTED_VALUE"""),0.9782896739732462)</f>
        <v>0.978289674</v>
      </c>
      <c r="AK2344" s="82">
        <f>IFERROR(__xludf.DUMMYFUNCTION("""COMPUTED_VALUE"""),0.964646087662323)</f>
        <v>0.9646460877</v>
      </c>
      <c r="AL2344" s="82">
        <f>IFERROR(__xludf.DUMMYFUNCTION("""COMPUTED_VALUE"""),1.1320853816435248)</f>
        <v>1.132085382</v>
      </c>
      <c r="AM2344" s="82">
        <f>IFERROR(__xludf.DUMMYFUNCTION("""COMPUTED_VALUE"""),0.9366806676645179)</f>
        <v>0.9366806677</v>
      </c>
      <c r="AN2344" s="82">
        <f>IFERROR(__xludf.DUMMYFUNCTION("""COMPUTED_VALUE"""),1.1151858678541013)</f>
        <v>1.115185868</v>
      </c>
      <c r="AO2344" s="82">
        <f>IFERROR(__xludf.DUMMYFUNCTION("""COMPUTED_VALUE"""),1.3112695925777038)</f>
        <v>1.311269593</v>
      </c>
      <c r="AP2344" s="82">
        <f>IFERROR(__xludf.DUMMYFUNCTION("""COMPUTED_VALUE"""),0.8486062410584736)</f>
        <v>0.8486062411</v>
      </c>
      <c r="AQ2344" s="82">
        <f>IFERROR(__xludf.DUMMYFUNCTION("""COMPUTED_VALUE"""),1.0540088184505492)</f>
        <v>1.054008818</v>
      </c>
      <c r="AR2344" s="82">
        <f>IFERROR(__xludf.DUMMYFUNCTION("""COMPUTED_VALUE"""),1.0155862626950678)</f>
        <v>1.015586263</v>
      </c>
      <c r="AS2344" s="82">
        <f>IFERROR(__xludf.DUMMYFUNCTION("""COMPUTED_VALUE"""),109.0)</f>
        <v>109</v>
      </c>
      <c r="AT2344" s="82">
        <f>IFERROR(__xludf.DUMMYFUNCTION("""COMPUTED_VALUE"""),0.5107277325121318)</f>
        <v>0.5107277325</v>
      </c>
      <c r="AU2344" s="82">
        <f>IFERROR(__xludf.DUMMYFUNCTION("""COMPUTED_VALUE"""),3.2400310036318523)</f>
        <v>3.240031004</v>
      </c>
      <c r="AV2344" s="82">
        <f>IFERROR(__xludf.DUMMYFUNCTION("""COMPUTED_VALUE"""),60.353052100312944)</f>
        <v>60.3530521</v>
      </c>
      <c r="AW2344" s="82">
        <f t="shared" si="1"/>
        <v>2.946442369</v>
      </c>
      <c r="AX2344" s="83">
        <f t="array" ref="AX2344">IFERROR(DGET('SBV Import'!A:G,"SBV",{"RSC ID","Tier";B2344,A2344}))</f>
        <v>55.17554401</v>
      </c>
      <c r="AY2344" s="82">
        <f t="shared" si="2"/>
        <v>2.392364918</v>
      </c>
      <c r="AZ2344" s="82">
        <v>0.5540774510823407</v>
      </c>
      <c r="BA2344" s="84">
        <v>2300.0</v>
      </c>
      <c r="BB2344" s="84" t="b">
        <f>IFERROR(__xludf.DUMMYFUNCTION("iferror(if(A2344="""",,E2344&gt;=FILTER(Constants!$F$2:$F$10,Constants!$A$2:$A$10=A2344)))"),TRUE)</f>
        <v>1</v>
      </c>
    </row>
    <row r="2345">
      <c r="A2345" s="89" t="str">
        <f>IFERROR(__xludf.DUMMYFUNCTION("""COMPUTED_VALUE"""),"Challenger")</f>
        <v>Challenger</v>
      </c>
      <c r="B2345" s="87" t="str">
        <f>IFERROR(__xludf.DUMMYFUNCTION("""COMPUTED_VALUE"""),"RSC006072")</f>
        <v>RSC006072</v>
      </c>
      <c r="C2345" s="73" t="str">
        <f>IFERROR(__xludf.DUMMYFUNCTION("""COMPUTED_VALUE"""),"AveX InceptionZ")</f>
        <v>AveX InceptionZ</v>
      </c>
      <c r="D2345" s="73" t="str">
        <f>IFERROR(__xludf.DUMMYFUNCTION("""COMPUTED_VALUE"""),"Ryujin")</f>
        <v>Ryujin</v>
      </c>
      <c r="E2345" s="82">
        <f>IFERROR(__xludf.DUMMYFUNCTION("""COMPUTED_VALUE"""),36.0)</f>
        <v>36</v>
      </c>
      <c r="F2345" s="82">
        <f>IFERROR(__xludf.DUMMYFUNCTION("""COMPUTED_VALUE"""),27.0)</f>
        <v>27</v>
      </c>
      <c r="G2345" s="86">
        <f>IFERROR(__xludf.DUMMYFUNCTION("""COMPUTED_VALUE"""),9.0)</f>
        <v>9</v>
      </c>
      <c r="H2345" s="86">
        <f>IFERROR(__xludf.DUMMYFUNCTION("""COMPUTED_VALUE"""),0.75)</f>
        <v>0.75</v>
      </c>
      <c r="I2345" s="86">
        <f>IFERROR(__xludf.DUMMYFUNCTION("""COMPUTED_VALUE"""),0.3246753246753247)</f>
        <v>0.3246753247</v>
      </c>
      <c r="J2345" s="82">
        <f>IFERROR(__xludf.DUMMYFUNCTION("""COMPUTED_VALUE"""),315.30555555555554)</f>
        <v>315.3055556</v>
      </c>
      <c r="K2345" s="82">
        <f>IFERROR(__xludf.DUMMYFUNCTION("""COMPUTED_VALUE"""),0.6944444444444444)</f>
        <v>0.6944444444</v>
      </c>
      <c r="L2345" s="82">
        <f>IFERROR(__xludf.DUMMYFUNCTION("""COMPUTED_VALUE"""),0.5833333333333334)</f>
        <v>0.5833333333</v>
      </c>
      <c r="M2345" s="82">
        <f>IFERROR(__xludf.DUMMYFUNCTION("""COMPUTED_VALUE"""),1.1388888888888888)</f>
        <v>1.138888889</v>
      </c>
      <c r="N2345" s="82">
        <f>IFERROR(__xludf.DUMMYFUNCTION("""COMPUTED_VALUE"""),2.138888888888889)</f>
        <v>2.138888889</v>
      </c>
      <c r="O2345" s="82">
        <f>IFERROR(__xludf.DUMMYFUNCTION("""COMPUTED_VALUE"""),294.05555555555554)</f>
        <v>294.0555556</v>
      </c>
      <c r="P2345" s="82">
        <f>IFERROR(__xludf.DUMMYFUNCTION("""COMPUTED_VALUE"""),0.5092592592592591)</f>
        <v>0.5092592593</v>
      </c>
      <c r="Q2345" s="82">
        <f>IFERROR(__xludf.DUMMYFUNCTION("""COMPUTED_VALUE"""),0.3518518518518519)</f>
        <v>0.3518518519</v>
      </c>
      <c r="R2345" s="82">
        <f>IFERROR(__xludf.DUMMYFUNCTION("""COMPUTED_VALUE"""),1.2407407407407407)</f>
        <v>1.240740741</v>
      </c>
      <c r="S2345" s="82">
        <f>IFERROR(__xludf.DUMMYFUNCTION("""COMPUTED_VALUE"""),1.9351851851851853)</f>
        <v>1.935185185</v>
      </c>
      <c r="T2345" s="82">
        <f>IFERROR(__xludf.DUMMYFUNCTION("""COMPUTED_VALUE"""),343.0046243372136)</f>
        <v>343.0046243</v>
      </c>
      <c r="U2345" s="82">
        <f>IFERROR(__xludf.DUMMYFUNCTION("""COMPUTED_VALUE"""),0.7826962550898532)</f>
        <v>0.7826962551</v>
      </c>
      <c r="V2345" s="82">
        <f>IFERROR(__xludf.DUMMYFUNCTION("""COMPUTED_VALUE"""),0.5378047023399991)</f>
        <v>0.5378047023</v>
      </c>
      <c r="W2345" s="82">
        <f>IFERROR(__xludf.DUMMYFUNCTION("""COMPUTED_VALUE"""),1.2547159877467076)</f>
        <v>1.254715988</v>
      </c>
      <c r="X2345" s="82">
        <f>IFERROR(__xludf.DUMMYFUNCTION("""COMPUTED_VALUE"""),2.508064360901314)</f>
        <v>2.508064361</v>
      </c>
      <c r="Y2345" s="82">
        <f>IFERROR(__xludf.DUMMYFUNCTION("""COMPUTED_VALUE"""),327.4857718457069)</f>
        <v>327.4857718</v>
      </c>
      <c r="Z2345" s="82">
        <f>IFERROR(__xludf.DUMMYFUNCTION("""COMPUTED_VALUE"""),0.7405422204671942)</f>
        <v>0.7405422205</v>
      </c>
      <c r="AA2345" s="82">
        <f>IFERROR(__xludf.DUMMYFUNCTION("""COMPUTED_VALUE"""),0.4905771401560775)</f>
        <v>0.4905771402</v>
      </c>
      <c r="AB2345" s="82">
        <f>IFERROR(__xludf.DUMMYFUNCTION("""COMPUTED_VALUE"""),1.2374648037451461)</f>
        <v>1.237464804</v>
      </c>
      <c r="AC2345" s="82">
        <f>IFERROR(__xludf.DUMMYFUNCTION("""COMPUTED_VALUE"""),2.3823615935164715)</f>
        <v>2.382361594</v>
      </c>
      <c r="AD2345" s="82">
        <f>IFERROR(__xludf.DUMMYFUNCTION("""COMPUTED_VALUE"""),0.9628068840319267)</f>
        <v>0.962806884</v>
      </c>
      <c r="AE2345" s="82">
        <f>IFERROR(__xludf.DUMMYFUNCTION("""COMPUTED_VALUE"""),0.937751319575449)</f>
        <v>0.9377513196</v>
      </c>
      <c r="AF2345" s="82">
        <f>IFERROR(__xludf.DUMMYFUNCTION("""COMPUTED_VALUE"""),1.1890756531128732)</f>
        <v>1.189075653</v>
      </c>
      <c r="AG2345" s="82">
        <f>IFERROR(__xludf.DUMMYFUNCTION("""COMPUTED_VALUE"""),0.9203404294345015)</f>
        <v>0.9203404294</v>
      </c>
      <c r="AH2345" s="82">
        <f>IFERROR(__xludf.DUMMYFUNCTION("""COMPUTED_VALUE"""),0.8978019519412223)</f>
        <v>0.8978019519</v>
      </c>
      <c r="AI2345" s="82">
        <f>IFERROR(__xludf.DUMMYFUNCTION("""COMPUTED_VALUE"""),0.8572932686367067)</f>
        <v>0.8572932686</v>
      </c>
      <c r="AJ2345" s="82">
        <f>IFERROR(__xludf.DUMMYFUNCTION("""COMPUTED_VALUE"""),0.6506473692030076)</f>
        <v>0.6506473692</v>
      </c>
      <c r="AK2345" s="82">
        <f>IFERROR(__xludf.DUMMYFUNCTION("""COMPUTED_VALUE"""),0.6542372171922957)</f>
        <v>0.6542372172</v>
      </c>
      <c r="AL2345" s="82">
        <f>IFERROR(__xludf.DUMMYFUNCTION("""COMPUTED_VALUE"""),0.9888618243949657)</f>
        <v>0.9888618244</v>
      </c>
      <c r="AM2345" s="82">
        <f>IFERROR(__xludf.DUMMYFUNCTION("""COMPUTED_VALUE"""),0.7715851376675776)</f>
        <v>0.7715851377</v>
      </c>
      <c r="AN2345" s="82">
        <f>IFERROR(__xludf.DUMMYFUNCTION("""COMPUTED_VALUE"""),0.969218237128127)</f>
        <v>0.9692182371</v>
      </c>
      <c r="AO2345" s="82">
        <f>IFERROR(__xludf.DUMMYFUNCTION("""COMPUTED_VALUE"""),0.9501953569403649)</f>
        <v>0.9501953569</v>
      </c>
      <c r="AP2345" s="82">
        <f>IFERROR(__xludf.DUMMYFUNCTION("""COMPUTED_VALUE"""),1.1314749880779649)</f>
        <v>1.131474988</v>
      </c>
      <c r="AQ2345" s="82">
        <f>IFERROR(__xludf.DUMMYFUNCTION("""COMPUTED_VALUE"""),0.9445762088846452)</f>
        <v>0.9445762089</v>
      </c>
      <c r="AR2345" s="82">
        <f>IFERROR(__xludf.DUMMYFUNCTION("""COMPUTED_VALUE"""),0.8988522095117267)</f>
        <v>0.8988522095</v>
      </c>
      <c r="AS2345" s="82">
        <f>IFERROR(__xludf.DUMMYFUNCTION("""COMPUTED_VALUE"""),97.0)</f>
        <v>97</v>
      </c>
      <c r="AT2345" s="82">
        <f>IFERROR(__xludf.DUMMYFUNCTION("""COMPUTED_VALUE"""),0.7022076562914512)</f>
        <v>0.7022076563</v>
      </c>
      <c r="AU2345" s="82">
        <f>IFERROR(__xludf.DUMMYFUNCTION("""COMPUTED_VALUE"""),3.2177887209484277)</f>
        <v>3.217788721</v>
      </c>
      <c r="AV2345" s="82">
        <f>IFERROR(__xludf.DUMMYFUNCTION("""COMPUTED_VALUE"""),59.7725672080946)</f>
        <v>59.77256721</v>
      </c>
      <c r="AW2345" s="82">
        <f t="shared" si="1"/>
        <v>2.874103489</v>
      </c>
      <c r="AX2345" s="83">
        <f t="array" ref="AX2345">IFERROR(DGET('SBV Import'!A:G,"SBV",{"RSC ID","Tier";B2345,A2345}))</f>
        <v>55.11295795</v>
      </c>
      <c r="AY2345" s="82">
        <f t="shared" si="2"/>
        <v>2.386781587</v>
      </c>
      <c r="AZ2345" s="82">
        <v>0.48732190202166725</v>
      </c>
      <c r="BA2345" s="84">
        <v>2300.0</v>
      </c>
      <c r="BB2345" s="84" t="b">
        <f>IFERROR(__xludf.DUMMYFUNCTION("iferror(if(A2345="""",,E2345&gt;=FILTER(Constants!$F$2:$F$10,Constants!$A$2:$A$10=A2345)))"),TRUE)</f>
        <v>1</v>
      </c>
    </row>
    <row r="2346">
      <c r="A2346" s="89" t="str">
        <f>IFERROR(__xludf.DUMMYFUNCTION("""COMPUTED_VALUE"""),"Challenger")</f>
        <v>Challenger</v>
      </c>
      <c r="B2346" s="87" t="str">
        <f>IFERROR(__xludf.DUMMYFUNCTION("""COMPUTED_VALUE"""),"RSC000426")</f>
        <v>RSC000426</v>
      </c>
      <c r="C2346" s="73" t="str">
        <f>IFERROR(__xludf.DUMMYFUNCTION("""COMPUTED_VALUE"""),"struttrl")</f>
        <v>struttrl</v>
      </c>
      <c r="D2346" s="73"/>
      <c r="E2346" s="82">
        <f>IFERROR(__xludf.DUMMYFUNCTION("""COMPUTED_VALUE"""),44.0)</f>
        <v>44</v>
      </c>
      <c r="F2346" s="82">
        <f>IFERROR(__xludf.DUMMYFUNCTION("""COMPUTED_VALUE"""),26.0)</f>
        <v>26</v>
      </c>
      <c r="G2346" s="86">
        <f>IFERROR(__xludf.DUMMYFUNCTION("""COMPUTED_VALUE"""),18.0)</f>
        <v>18</v>
      </c>
      <c r="H2346" s="86">
        <f>IFERROR(__xludf.DUMMYFUNCTION("""COMPUTED_VALUE"""),0.5909090909090909)</f>
        <v>0.5909090909</v>
      </c>
      <c r="I2346" s="86">
        <f>IFERROR(__xludf.DUMMYFUNCTION("""COMPUTED_VALUE"""),0.3645833333333333)</f>
        <v>0.3645833333</v>
      </c>
      <c r="J2346" s="82">
        <f>IFERROR(__xludf.DUMMYFUNCTION("""COMPUTED_VALUE"""),348.27272727272725)</f>
        <v>348.2727273</v>
      </c>
      <c r="K2346" s="82">
        <f>IFERROR(__xludf.DUMMYFUNCTION("""COMPUTED_VALUE"""),0.7954545454545454)</f>
        <v>0.7954545455</v>
      </c>
      <c r="L2346" s="82">
        <f>IFERROR(__xludf.DUMMYFUNCTION("""COMPUTED_VALUE"""),0.6363636363636364)</f>
        <v>0.6363636364</v>
      </c>
      <c r="M2346" s="82">
        <f>IFERROR(__xludf.DUMMYFUNCTION("""COMPUTED_VALUE"""),1.2045454545454546)</f>
        <v>1.204545455</v>
      </c>
      <c r="N2346" s="82">
        <f>IFERROR(__xludf.DUMMYFUNCTION("""COMPUTED_VALUE"""),2.1818181818181817)</f>
        <v>2.181818182</v>
      </c>
      <c r="O2346" s="82">
        <f>IFERROR(__xludf.DUMMYFUNCTION("""COMPUTED_VALUE"""),334.56818181818176)</f>
        <v>334.5681818</v>
      </c>
      <c r="P2346" s="82">
        <f>IFERROR(__xludf.DUMMYFUNCTION("""COMPUTED_VALUE"""),0.75)</f>
        <v>0.75</v>
      </c>
      <c r="Q2346" s="82">
        <f>IFERROR(__xludf.DUMMYFUNCTION("""COMPUTED_VALUE"""),0.537878787878788)</f>
        <v>0.5378787879</v>
      </c>
      <c r="R2346" s="82">
        <f>IFERROR(__xludf.DUMMYFUNCTION("""COMPUTED_VALUE"""),1.128787878787879)</f>
        <v>1.128787879</v>
      </c>
      <c r="S2346" s="82">
        <f>IFERROR(__xludf.DUMMYFUNCTION("""COMPUTED_VALUE"""),2.477272727272727)</f>
        <v>2.477272727</v>
      </c>
      <c r="T2346" s="82">
        <f>IFERROR(__xludf.DUMMYFUNCTION("""COMPUTED_VALUE"""),335.4776459723933)</f>
        <v>335.477646</v>
      </c>
      <c r="U2346" s="82">
        <f>IFERROR(__xludf.DUMMYFUNCTION("""COMPUTED_VALUE"""),0.8048799743537818)</f>
        <v>0.8048799744</v>
      </c>
      <c r="V2346" s="82">
        <f>IFERROR(__xludf.DUMMYFUNCTION("""COMPUTED_VALUE"""),0.5190621047957912)</f>
        <v>0.5190621048</v>
      </c>
      <c r="W2346" s="82">
        <f>IFERROR(__xludf.DUMMYFUNCTION("""COMPUTED_VALUE"""),1.1892312889757828)</f>
        <v>1.189231289</v>
      </c>
      <c r="X2346" s="82">
        <f>IFERROR(__xludf.DUMMYFUNCTION("""COMPUTED_VALUE"""),2.462571811737163)</f>
        <v>2.462571812</v>
      </c>
      <c r="Y2346" s="82">
        <f>IFERROR(__xludf.DUMMYFUNCTION("""COMPUTED_VALUE"""),331.2561109760507)</f>
        <v>331.256111</v>
      </c>
      <c r="Z2346" s="82">
        <f>IFERROR(__xludf.DUMMYFUNCTION("""COMPUTED_VALUE"""),0.7512561310953498)</f>
        <v>0.7512561311</v>
      </c>
      <c r="AA2346" s="82">
        <f>IFERROR(__xludf.DUMMYFUNCTION("""COMPUTED_VALUE"""),0.5056649921833541)</f>
        <v>0.5056649922</v>
      </c>
      <c r="AB2346" s="82">
        <f>IFERROR(__xludf.DUMMYFUNCTION("""COMPUTED_VALUE"""),1.226811177863294)</f>
        <v>1.226811178</v>
      </c>
      <c r="AC2346" s="82">
        <f>IFERROR(__xludf.DUMMYFUNCTION("""COMPUTED_VALUE"""),2.4024714023109994)</f>
        <v>2.402471402</v>
      </c>
      <c r="AD2346" s="82">
        <f>IFERROR(__xludf.DUMMYFUNCTION("""COMPUTED_VALUE"""),1.0513699694370524)</f>
        <v>1.051369969</v>
      </c>
      <c r="AE2346" s="82">
        <f>IFERROR(__xludf.DUMMYFUNCTION("""COMPUTED_VALUE"""),1.0588326837276565)</f>
        <v>1.058832684</v>
      </c>
      <c r="AF2346" s="82">
        <f>IFERROR(__xludf.DUMMYFUNCTION("""COMPUTED_VALUE"""),1.258468840439108)</f>
        <v>1.25846884</v>
      </c>
      <c r="AG2346" s="82">
        <f>IFERROR(__xludf.DUMMYFUNCTION("""COMPUTED_VALUE"""),0.981850733250883)</f>
        <v>0.9818507333</v>
      </c>
      <c r="AH2346" s="82">
        <f>IFERROR(__xludf.DUMMYFUNCTION("""COMPUTED_VALUE"""),0.9081557348484708)</f>
        <v>0.9081557348</v>
      </c>
      <c r="AI2346" s="82">
        <f>IFERROR(__xludf.DUMMYFUNCTION("""COMPUTED_VALUE"""),0.9972890469301601)</f>
        <v>0.9972890469</v>
      </c>
      <c r="AJ2346" s="82">
        <f>IFERROR(__xludf.DUMMYFUNCTION("""COMPUTED_VALUE"""),0.93181595256132)</f>
        <v>0.9318159526</v>
      </c>
      <c r="AK2346" s="82">
        <f>IFERROR(__xludf.DUMMYFUNCTION("""COMPUTED_VALUE"""),1.0362513134924376)</f>
        <v>1.036251313</v>
      </c>
      <c r="AL2346" s="82">
        <f>IFERROR(__xludf.DUMMYFUNCTION("""COMPUTED_VALUE"""),0.949174386220564)</f>
        <v>0.9491743862</v>
      </c>
      <c r="AM2346" s="82">
        <f>IFERROR(__xludf.DUMMYFUNCTION("""COMPUTED_VALUE"""),1.0059697408479609)</f>
        <v>1.005969741</v>
      </c>
      <c r="AN2346" s="82">
        <f>IFERROR(__xludf.DUMMYFUNCTION("""COMPUTED_VALUE"""),1.0705560774922736)</f>
        <v>1.070556077</v>
      </c>
      <c r="AO2346" s="82">
        <f>IFERROR(__xludf.DUMMYFUNCTION("""COMPUTED_VALUE"""),1.0884055906771453)</f>
        <v>1.088405591</v>
      </c>
      <c r="AP2346" s="82">
        <f>IFERROR(__xludf.DUMMYFUNCTION("""COMPUTED_VALUE"""),1.234336350630507)</f>
        <v>1.234336351</v>
      </c>
      <c r="AQ2346" s="82">
        <f>IFERROR(__xludf.DUMMYFUNCTION("""COMPUTED_VALUE"""),0.9990307131662434)</f>
        <v>0.9990307132</v>
      </c>
      <c r="AR2346" s="82">
        <f>IFERROR(__xludf.DUMMYFUNCTION("""COMPUTED_VALUE"""),0.9168929268218794)</f>
        <v>0.9168929268</v>
      </c>
      <c r="AS2346" s="82">
        <f>IFERROR(__xludf.DUMMYFUNCTION("""COMPUTED_VALUE"""),109.0)</f>
        <v>109</v>
      </c>
      <c r="AT2346" s="82">
        <f>IFERROR(__xludf.DUMMYFUNCTION("""COMPUTED_VALUE"""),0.537500628867299)</f>
        <v>0.5375006289</v>
      </c>
      <c r="AU2346" s="82">
        <f>IFERROR(__xludf.DUMMYFUNCTION("""COMPUTED_VALUE"""),3.2059107361592223)</f>
        <v>3.205910736</v>
      </c>
      <c r="AV2346" s="82">
        <f>IFERROR(__xludf.DUMMYFUNCTION("""COMPUTED_VALUE"""),59.46257246437743)</f>
        <v>59.46257246</v>
      </c>
      <c r="AW2346" s="82">
        <f t="shared" si="1"/>
        <v>2.836649922</v>
      </c>
      <c r="AX2346" s="83">
        <f t="array" ref="AX2346">IFERROR(DGET('SBV Import'!A:G,"SBV",{"RSC ID","Tier";B2346,A2346}))</f>
        <v>52.91222814</v>
      </c>
      <c r="AY2346" s="82">
        <f t="shared" si="2"/>
        <v>2.204427826</v>
      </c>
      <c r="AZ2346" s="82">
        <v>0.6322220956716076</v>
      </c>
      <c r="BA2346" s="84">
        <v>2300.0</v>
      </c>
      <c r="BB2346" s="84" t="b">
        <f>IFERROR(__xludf.DUMMYFUNCTION("iferror(if(A2346="""",,E2346&gt;=FILTER(Constants!$F$2:$F$10,Constants!$A$2:$A$10=A2346)))"),TRUE)</f>
        <v>1</v>
      </c>
    </row>
    <row r="2347">
      <c r="A2347" s="89" t="str">
        <f>IFERROR(__xludf.DUMMYFUNCTION("""COMPUTED_VALUE"""),"Challenger")</f>
        <v>Challenger</v>
      </c>
      <c r="B2347" s="87" t="str">
        <f>IFERROR(__xludf.DUMMYFUNCTION("""COMPUTED_VALUE"""),"RSC004763")</f>
        <v>RSC004763</v>
      </c>
      <c r="C2347" s="73" t="str">
        <f>IFERROR(__xludf.DUMMYFUNCTION("""COMPUTED_VALUE"""),"Rmuru-")</f>
        <v>Rmuru-</v>
      </c>
      <c r="D2347" s="73" t="str">
        <f>IFERROR(__xludf.DUMMYFUNCTION("""COMPUTED_VALUE"""),"Warbirds")</f>
        <v>Warbirds</v>
      </c>
      <c r="E2347" s="82">
        <f>IFERROR(__xludf.DUMMYFUNCTION("""COMPUTED_VALUE"""),48.0)</f>
        <v>48</v>
      </c>
      <c r="F2347" s="82">
        <f>IFERROR(__xludf.DUMMYFUNCTION("""COMPUTED_VALUE"""),25.0)</f>
        <v>25</v>
      </c>
      <c r="G2347" s="86">
        <f>IFERROR(__xludf.DUMMYFUNCTION("""COMPUTED_VALUE"""),23.0)</f>
        <v>23</v>
      </c>
      <c r="H2347" s="86">
        <f>IFERROR(__xludf.DUMMYFUNCTION("""COMPUTED_VALUE"""),0.5208333333333334)</f>
        <v>0.5208333333</v>
      </c>
      <c r="I2347" s="86">
        <f>IFERROR(__xludf.DUMMYFUNCTION("""COMPUTED_VALUE"""),0.24060150375939848)</f>
        <v>0.2406015038</v>
      </c>
      <c r="J2347" s="82">
        <f>IFERROR(__xludf.DUMMYFUNCTION("""COMPUTED_VALUE"""),349.7083333333333)</f>
        <v>349.7083333</v>
      </c>
      <c r="K2347" s="82">
        <f>IFERROR(__xludf.DUMMYFUNCTION("""COMPUTED_VALUE"""),0.6666666666666666)</f>
        <v>0.6666666667</v>
      </c>
      <c r="L2347" s="82">
        <f>IFERROR(__xludf.DUMMYFUNCTION("""COMPUTED_VALUE"""),0.7083333333333334)</f>
        <v>0.7083333333</v>
      </c>
      <c r="M2347" s="82">
        <f>IFERROR(__xludf.DUMMYFUNCTION("""COMPUTED_VALUE"""),1.4375)</f>
        <v>1.4375</v>
      </c>
      <c r="N2347" s="82">
        <f>IFERROR(__xludf.DUMMYFUNCTION("""COMPUTED_VALUE"""),2.7708333333333335)</f>
        <v>2.770833333</v>
      </c>
      <c r="O2347" s="82">
        <f>IFERROR(__xludf.DUMMYFUNCTION("""COMPUTED_VALUE"""),365.83333333333326)</f>
        <v>365.8333333</v>
      </c>
      <c r="P2347" s="82">
        <f>IFERROR(__xludf.DUMMYFUNCTION("""COMPUTED_VALUE"""),0.8819444444444445)</f>
        <v>0.8819444444</v>
      </c>
      <c r="Q2347" s="82">
        <f>IFERROR(__xludf.DUMMYFUNCTION("""COMPUTED_VALUE"""),0.6875)</f>
        <v>0.6875</v>
      </c>
      <c r="R2347" s="82">
        <f>IFERROR(__xludf.DUMMYFUNCTION("""COMPUTED_VALUE"""),1.2916666666666667)</f>
        <v>1.291666667</v>
      </c>
      <c r="S2347" s="82">
        <f>IFERROR(__xludf.DUMMYFUNCTION("""COMPUTED_VALUE"""),2.7291666666666656)</f>
        <v>2.729166667</v>
      </c>
      <c r="T2347" s="82">
        <f>IFERROR(__xludf.DUMMYFUNCTION("""COMPUTED_VALUE"""),340.33911934911083)</f>
        <v>340.3391193</v>
      </c>
      <c r="U2347" s="82">
        <f>IFERROR(__xludf.DUMMYFUNCTION("""COMPUTED_VALUE"""),0.7937062656215419)</f>
        <v>0.7937062656</v>
      </c>
      <c r="V2347" s="82">
        <f>IFERROR(__xludf.DUMMYFUNCTION("""COMPUTED_VALUE"""),0.556570569564377)</f>
        <v>0.5565705696</v>
      </c>
      <c r="W2347" s="82">
        <f>IFERROR(__xludf.DUMMYFUNCTION("""COMPUTED_VALUE"""),1.2230224265279224)</f>
        <v>1.223022427</v>
      </c>
      <c r="X2347" s="82">
        <f>IFERROR(__xludf.DUMMYFUNCTION("""COMPUTED_VALUE"""),2.525720414666227)</f>
        <v>2.525720415</v>
      </c>
      <c r="Y2347" s="82">
        <f>IFERROR(__xludf.DUMMYFUNCTION("""COMPUTED_VALUE"""),331.0971957174263)</f>
        <v>331.0971957</v>
      </c>
      <c r="Z2347" s="82">
        <f>IFERROR(__xludf.DUMMYFUNCTION("""COMPUTED_VALUE"""),0.7346303354223621)</f>
        <v>0.7346303354</v>
      </c>
      <c r="AA2347" s="82">
        <f>IFERROR(__xludf.DUMMYFUNCTION("""COMPUTED_VALUE"""),0.5169991807053832)</f>
        <v>0.5169991807</v>
      </c>
      <c r="AB2347" s="82">
        <f>IFERROR(__xludf.DUMMYFUNCTION("""COMPUTED_VALUE"""),1.2568032100897322)</f>
        <v>1.25680321</v>
      </c>
      <c r="AC2347" s="82">
        <f>IFERROR(__xludf.DUMMYFUNCTION("""COMPUTED_VALUE"""),2.3634376168237696)</f>
        <v>2.363437617</v>
      </c>
      <c r="AD2347" s="82">
        <f>IFERROR(__xludf.DUMMYFUNCTION("""COMPUTED_VALUE"""),1.056210496061678)</f>
        <v>1.056210496</v>
      </c>
      <c r="AE2347" s="82">
        <f>IFERROR(__xludf.DUMMYFUNCTION("""COMPUTED_VALUE"""),0.9074858939542416)</f>
        <v>0.907485894</v>
      </c>
      <c r="AF2347" s="82">
        <f>IFERROR(__xludf.DUMMYFUNCTION("""COMPUTED_VALUE"""),1.3700859880800929)</f>
        <v>1.370085988</v>
      </c>
      <c r="AG2347" s="82">
        <f>IFERROR(__xludf.DUMMYFUNCTION("""COMPUTED_VALUE"""),1.143774927100454)</f>
        <v>1.143774927</v>
      </c>
      <c r="AH2347" s="82">
        <f>IFERROR(__xludf.DUMMYFUNCTION("""COMPUTED_VALUE"""),1.172374220334643)</f>
        <v>1.17237422</v>
      </c>
      <c r="AI2347" s="82">
        <f>IFERROR(__xludf.DUMMYFUNCTION("""COMPUTED_VALUE"""),1.0749082680621005)</f>
        <v>1.074908268</v>
      </c>
      <c r="AJ2347" s="82">
        <f>IFERROR(__xludf.DUMMYFUNCTION("""COMPUTED_VALUE"""),1.1111723349617308)</f>
        <v>1.111172335</v>
      </c>
      <c r="AK2347" s="82">
        <f>IFERROR(__xludf.DUMMYFUNCTION("""COMPUTED_VALUE"""),1.235243179563196)</f>
        <v>1.23524318</v>
      </c>
      <c r="AL2347" s="82">
        <f>IFERROR(__xludf.DUMMYFUNCTION("""COMPUTED_VALUE"""),1.0561267223313482)</f>
        <v>1.056126722</v>
      </c>
      <c r="AM2347" s="82">
        <f>IFERROR(__xludf.DUMMYFUNCTION("""COMPUTED_VALUE"""),1.080549791187923)</f>
        <v>1.080549791</v>
      </c>
      <c r="AN2347" s="82">
        <f>IFERROR(__xludf.DUMMYFUNCTION("""COMPUTED_VALUE"""),1.0749689891925431)</f>
        <v>1.074968989</v>
      </c>
      <c r="AO2347" s="82">
        <f>IFERROR(__xludf.DUMMYFUNCTION("""COMPUTED_VALUE"""),0.9121875426627504)</f>
        <v>0.9121875427</v>
      </c>
      <c r="AP2347" s="82">
        <f>IFERROR(__xludf.DUMMYFUNCTION("""COMPUTED_VALUE"""),1.3739339140946716)</f>
        <v>1.373933914</v>
      </c>
      <c r="AQ2347" s="82">
        <f>IFERROR(__xludf.DUMMYFUNCTION("""COMPUTED_VALUE"""),1.1922394831653753)</f>
        <v>1.192239483</v>
      </c>
      <c r="AR2347" s="82">
        <f>IFERROR(__xludf.DUMMYFUNCTION("""COMPUTED_VALUE"""),1.164422180503828)</f>
        <v>1.164422181</v>
      </c>
      <c r="AS2347" s="82">
        <f>IFERROR(__xludf.DUMMYFUNCTION("""COMPUTED_VALUE"""),113.0)</f>
        <v>113</v>
      </c>
      <c r="AT2347" s="82">
        <f>IFERROR(__xludf.DUMMYFUNCTION("""COMPUTED_VALUE"""),0.45378921200559763)</f>
        <v>0.453789212</v>
      </c>
      <c r="AU2347" s="82">
        <f>IFERROR(__xludf.DUMMYFUNCTION("""COMPUTED_VALUE"""),3.2025590998498723)</f>
        <v>3.2025591</v>
      </c>
      <c r="AV2347" s="82">
        <f>IFERROR(__xludf.DUMMYFUNCTION("""COMPUTED_VALUE"""),59.37510058617682)</f>
        <v>59.37510059</v>
      </c>
      <c r="AW2347" s="82">
        <f t="shared" si="1"/>
        <v>2.826226066</v>
      </c>
      <c r="AX2347" s="83">
        <f t="array" ref="AX2347">IFERROR(DGET('SBV Import'!A:G,"SBV",{"RSC ID","Tier";B2347,A2347}))</f>
        <v>53.26358133</v>
      </c>
      <c r="AY2347" s="82">
        <f t="shared" si="2"/>
        <v>2.231802518</v>
      </c>
      <c r="AZ2347" s="82">
        <v>0.5944235484244933</v>
      </c>
      <c r="BA2347" s="84">
        <v>2300.0</v>
      </c>
      <c r="BB2347" s="84" t="b">
        <f>IFERROR(__xludf.DUMMYFUNCTION("iferror(if(A2347="""",,E2347&gt;=FILTER(Constants!$F$2:$F$10,Constants!$A$2:$A$10=A2347)))"),TRUE)</f>
        <v>1</v>
      </c>
    </row>
    <row r="2348">
      <c r="A2348" s="89" t="str">
        <f>IFERROR(__xludf.DUMMYFUNCTION("""COMPUTED_VALUE"""),"Challenger")</f>
        <v>Challenger</v>
      </c>
      <c r="B2348" s="87" t="str">
        <f>IFERROR(__xludf.DUMMYFUNCTION("""COMPUTED_VALUE"""),"RSC006923")</f>
        <v>RSC006923</v>
      </c>
      <c r="C2348" s="73" t="str">
        <f>IFERROR(__xludf.DUMMYFUNCTION("""COMPUTED_VALUE"""),"LostZealous")</f>
        <v>LostZealous</v>
      </c>
      <c r="D2348" s="73" t="str">
        <f>IFERROR(__xludf.DUMMYFUNCTION("""COMPUTED_VALUE"""),"Zombies")</f>
        <v>Zombies</v>
      </c>
      <c r="E2348" s="82">
        <f>IFERROR(__xludf.DUMMYFUNCTION("""COMPUTED_VALUE"""),48.0)</f>
        <v>48</v>
      </c>
      <c r="F2348" s="82">
        <f>IFERROR(__xludf.DUMMYFUNCTION("""COMPUTED_VALUE"""),24.0)</f>
        <v>24</v>
      </c>
      <c r="G2348" s="86">
        <f>IFERROR(__xludf.DUMMYFUNCTION("""COMPUTED_VALUE"""),24.0)</f>
        <v>24</v>
      </c>
      <c r="H2348" s="86">
        <f>IFERROR(__xludf.DUMMYFUNCTION("""COMPUTED_VALUE"""),0.5)</f>
        <v>0.5</v>
      </c>
      <c r="I2348" s="86">
        <f>IFERROR(__xludf.DUMMYFUNCTION("""COMPUTED_VALUE"""),0.3796296296296296)</f>
        <v>0.3796296296</v>
      </c>
      <c r="J2348" s="82">
        <f>IFERROR(__xludf.DUMMYFUNCTION("""COMPUTED_VALUE"""),343.3958333333333)</f>
        <v>343.3958333</v>
      </c>
      <c r="K2348" s="82">
        <f>IFERROR(__xludf.DUMMYFUNCTION("""COMPUTED_VALUE"""),0.8541666666666666)</f>
        <v>0.8541666667</v>
      </c>
      <c r="L2348" s="82">
        <f>IFERROR(__xludf.DUMMYFUNCTION("""COMPUTED_VALUE"""),0.4791666666666667)</f>
        <v>0.4791666667</v>
      </c>
      <c r="M2348" s="82">
        <f>IFERROR(__xludf.DUMMYFUNCTION("""COMPUTED_VALUE"""),1.3125)</f>
        <v>1.3125</v>
      </c>
      <c r="N2348" s="82">
        <f>IFERROR(__xludf.DUMMYFUNCTION("""COMPUTED_VALUE"""),2.25)</f>
        <v>2.25</v>
      </c>
      <c r="O2348" s="82">
        <f>IFERROR(__xludf.DUMMYFUNCTION("""COMPUTED_VALUE"""),309.11111111111114)</f>
        <v>309.1111111</v>
      </c>
      <c r="P2348" s="82">
        <f>IFERROR(__xludf.DUMMYFUNCTION("""COMPUTED_VALUE"""),0.6805555555555555)</f>
        <v>0.6805555556</v>
      </c>
      <c r="Q2348" s="82">
        <f>IFERROR(__xludf.DUMMYFUNCTION("""COMPUTED_VALUE"""),0.46527777777777785)</f>
        <v>0.4652777778</v>
      </c>
      <c r="R2348" s="82">
        <f>IFERROR(__xludf.DUMMYFUNCTION("""COMPUTED_VALUE"""),1.1458333333333333)</f>
        <v>1.145833333</v>
      </c>
      <c r="S2348" s="82">
        <f>IFERROR(__xludf.DUMMYFUNCTION("""COMPUTED_VALUE"""),2.333333333333333)</f>
        <v>2.333333333</v>
      </c>
      <c r="T2348" s="82">
        <f>IFERROR(__xludf.DUMMYFUNCTION("""COMPUTED_VALUE"""),333.3681089498926)</f>
        <v>333.3681089</v>
      </c>
      <c r="U2348" s="82">
        <f>IFERROR(__xludf.DUMMYFUNCTION("""COMPUTED_VALUE"""),0.7602058059295186)</f>
        <v>0.7602058059</v>
      </c>
      <c r="V2348" s="82">
        <f>IFERROR(__xludf.DUMMYFUNCTION("""COMPUTED_VALUE"""),0.5459775265111614)</f>
        <v>0.5459775265</v>
      </c>
      <c r="W2348" s="82">
        <f>IFERROR(__xludf.DUMMYFUNCTION("""COMPUTED_VALUE"""),1.1997059120990532)</f>
        <v>1.199705912</v>
      </c>
      <c r="X2348" s="82">
        <f>IFERROR(__xludf.DUMMYFUNCTION("""COMPUTED_VALUE"""),2.498233768465824)</f>
        <v>2.498233768</v>
      </c>
      <c r="Y2348" s="82">
        <f>IFERROR(__xludf.DUMMYFUNCTION("""COMPUTED_VALUE"""),333.47059597665435)</f>
        <v>333.470596</v>
      </c>
      <c r="Z2348" s="82">
        <f>IFERROR(__xludf.DUMMYFUNCTION("""COMPUTED_VALUE"""),0.7431621524895312)</f>
        <v>0.7431621525</v>
      </c>
      <c r="AA2348" s="82">
        <f>IFERROR(__xludf.DUMMYFUNCTION("""COMPUTED_VALUE"""),0.5212907011728375)</f>
        <v>0.5212907012</v>
      </c>
      <c r="AB2348" s="82">
        <f>IFERROR(__xludf.DUMMYFUNCTION("""COMPUTED_VALUE"""),1.2868346288942796)</f>
        <v>1.286834629</v>
      </c>
      <c r="AC2348" s="82">
        <f>IFERROR(__xludf.DUMMYFUNCTION("""COMPUTED_VALUE"""),2.350910223596126)</f>
        <v>2.350910224</v>
      </c>
      <c r="AD2348" s="82">
        <f>IFERROR(__xludf.DUMMYFUNCTION("""COMPUTED_VALUE"""),1.0297634558381688)</f>
        <v>1.029763456</v>
      </c>
      <c r="AE2348" s="82">
        <f>IFERROR(__xludf.DUMMYFUNCTION("""COMPUTED_VALUE"""),1.1493678247812804)</f>
        <v>1.149367825</v>
      </c>
      <c r="AF2348" s="82">
        <f>IFERROR(__xludf.DUMMYFUNCTION("""COMPUTED_VALUE"""),0.9191928142754184)</f>
        <v>0.9191928143</v>
      </c>
      <c r="AG2348" s="82">
        <f>IFERROR(__xludf.DUMMYFUNCTION("""COMPUTED_VALUE"""),1.0199445760390933)</f>
        <v>1.019944576</v>
      </c>
      <c r="AH2348" s="82">
        <f>IFERROR(__xludf.DUMMYFUNCTION("""COMPUTED_VALUE"""),0.9570761049982733)</f>
        <v>0.957076105</v>
      </c>
      <c r="AI2348" s="82">
        <f>IFERROR(__xludf.DUMMYFUNCTION("""COMPUTED_VALUE"""),0.9272365976601936)</f>
        <v>0.9272365977</v>
      </c>
      <c r="AJ2348" s="82">
        <f>IFERROR(__xludf.DUMMYFUNCTION("""COMPUTED_VALUE"""),0.8952254116547121)</f>
        <v>0.8952254117</v>
      </c>
      <c r="AK2348" s="82">
        <f>IFERROR(__xludf.DUMMYFUNCTION("""COMPUTED_VALUE"""),0.8521921785882632)</f>
        <v>0.8521921786</v>
      </c>
      <c r="AL2348" s="82">
        <f>IFERROR(__xludf.DUMMYFUNCTION("""COMPUTED_VALUE"""),0.9550951793915374)</f>
        <v>0.9550951794</v>
      </c>
      <c r="AM2348" s="82">
        <f>IFERROR(__xludf.DUMMYFUNCTION("""COMPUTED_VALUE"""),0.9339931926251414)</f>
        <v>0.9339931926</v>
      </c>
      <c r="AN2348" s="82">
        <f>IFERROR(__xludf.DUMMYFUNCTION("""COMPUTED_VALUE"""),1.0555649856344982)</f>
        <v>1.055564986</v>
      </c>
      <c r="AO2348" s="82">
        <f>IFERROR(__xludf.DUMMYFUNCTION("""COMPUTED_VALUE"""),1.168740289036649)</f>
        <v>1.168740289</v>
      </c>
      <c r="AP2348" s="82">
        <f>IFERROR(__xludf.DUMMYFUNCTION("""COMPUTED_VALUE"""),0.9294258830640425)</f>
        <v>0.9294258831</v>
      </c>
      <c r="AQ2348" s="82">
        <f>IFERROR(__xludf.DUMMYFUNCTION("""COMPUTED_VALUE"""),1.0885664846292558)</f>
        <v>1.088566485</v>
      </c>
      <c r="AR2348" s="82">
        <f>IFERROR(__xludf.DUMMYFUNCTION("""COMPUTED_VALUE"""),0.9455458307850633)</f>
        <v>0.9455458308</v>
      </c>
      <c r="AS2348" s="82">
        <f>IFERROR(__xludf.DUMMYFUNCTION("""COMPUTED_VALUE"""),111.0)</f>
        <v>111</v>
      </c>
      <c r="AT2348" s="82">
        <f>IFERROR(__xludf.DUMMYFUNCTION("""COMPUTED_VALUE"""),0.5473576441930383)</f>
        <v>0.5473576442</v>
      </c>
      <c r="AU2348" s="82">
        <f>IFERROR(__xludf.DUMMYFUNCTION("""COMPUTED_VALUE"""),3.2020411543672496)</f>
        <v>3.202041154</v>
      </c>
      <c r="AV2348" s="82">
        <f>IFERROR(__xludf.DUMMYFUNCTION("""COMPUTED_VALUE"""),59.36158310993868)</f>
        <v>59.36158311</v>
      </c>
      <c r="AW2348" s="82">
        <f t="shared" si="1"/>
        <v>2.824620827</v>
      </c>
      <c r="AX2348" s="83">
        <f t="array" ref="AX2348">IFERROR(DGET('SBV Import'!A:G,"SBV",{"RSC ID","Tier";B2348,A2348}))</f>
        <v>61.59925671</v>
      </c>
      <c r="AY2348" s="82">
        <f t="shared" si="2"/>
        <v>3.112021668</v>
      </c>
      <c r="AZ2348" s="82">
        <v>0.28740084136991584</v>
      </c>
      <c r="BA2348" s="84">
        <v>2300.0</v>
      </c>
      <c r="BB2348" s="84" t="b">
        <f>IFERROR(__xludf.DUMMYFUNCTION("iferror(if(A2348="""",,E2348&gt;=FILTER(Constants!$F$2:$F$10,Constants!$A$2:$A$10=A2348)))"),TRUE)</f>
        <v>1</v>
      </c>
    </row>
    <row r="2349">
      <c r="A2349" s="89" t="str">
        <f>IFERROR(__xludf.DUMMYFUNCTION("""COMPUTED_VALUE"""),"Challenger")</f>
        <v>Challenger</v>
      </c>
      <c r="B2349" s="87" t="str">
        <f>IFERROR(__xludf.DUMMYFUNCTION("""COMPUTED_VALUE"""),"RSC007616")</f>
        <v>RSC007616</v>
      </c>
      <c r="C2349" s="73" t="str">
        <f>IFERROR(__xludf.DUMMYFUNCTION("""COMPUTED_VALUE"""),"VforVenDEADa")</f>
        <v>VforVenDEADa</v>
      </c>
      <c r="D2349" s="73" t="str">
        <f>IFERROR(__xludf.DUMMYFUNCTION("""COMPUTED_VALUE"""),"Cassowaries")</f>
        <v>Cassowaries</v>
      </c>
      <c r="E2349" s="82">
        <f>IFERROR(__xludf.DUMMYFUNCTION("""COMPUTED_VALUE"""),2.0)</f>
        <v>2</v>
      </c>
      <c r="F2349" s="82">
        <f>IFERROR(__xludf.DUMMYFUNCTION("""COMPUTED_VALUE"""),0.0)</f>
        <v>0</v>
      </c>
      <c r="G2349" s="86">
        <f>IFERROR(__xludf.DUMMYFUNCTION("""COMPUTED_VALUE"""),2.0)</f>
        <v>2</v>
      </c>
      <c r="H2349" s="86">
        <f>IFERROR(__xludf.DUMMYFUNCTION("""COMPUTED_VALUE"""),0.0)</f>
        <v>0</v>
      </c>
      <c r="I2349" s="86">
        <f>IFERROR(__xludf.DUMMYFUNCTION("""COMPUTED_VALUE"""),0.14285714285714285)</f>
        <v>0.1428571429</v>
      </c>
      <c r="J2349" s="82">
        <f>IFERROR(__xludf.DUMMYFUNCTION("""COMPUTED_VALUE"""),297.0)</f>
        <v>297</v>
      </c>
      <c r="K2349" s="82">
        <f>IFERROR(__xludf.DUMMYFUNCTION("""COMPUTED_VALUE"""),0.5)</f>
        <v>0.5</v>
      </c>
      <c r="L2349" s="82">
        <f>IFERROR(__xludf.DUMMYFUNCTION("""COMPUTED_VALUE"""),1.0)</f>
        <v>1</v>
      </c>
      <c r="M2349" s="82">
        <f>IFERROR(__xludf.DUMMYFUNCTION("""COMPUTED_VALUE"""),1.0)</f>
        <v>1</v>
      </c>
      <c r="N2349" s="82">
        <f>IFERROR(__xludf.DUMMYFUNCTION("""COMPUTED_VALUE"""),3.5)</f>
        <v>3.5</v>
      </c>
      <c r="O2349" s="82">
        <f>IFERROR(__xludf.DUMMYFUNCTION("""COMPUTED_VALUE"""),384.5)</f>
        <v>384.5</v>
      </c>
      <c r="P2349" s="82">
        <f>IFERROR(__xludf.DUMMYFUNCTION("""COMPUTED_VALUE"""),1.0)</f>
        <v>1</v>
      </c>
      <c r="Q2349" s="82">
        <f>IFERROR(__xludf.DUMMYFUNCTION("""COMPUTED_VALUE"""),0.6666666666666666)</f>
        <v>0.6666666667</v>
      </c>
      <c r="R2349" s="82">
        <f>IFERROR(__xludf.DUMMYFUNCTION("""COMPUTED_VALUE"""),1.3333333333333335)</f>
        <v>1.333333333</v>
      </c>
      <c r="S2349" s="82">
        <f>IFERROR(__xludf.DUMMYFUNCTION("""COMPUTED_VALUE"""),2.3333333333333335)</f>
        <v>2.333333333</v>
      </c>
      <c r="T2349" s="82">
        <f>IFERROR(__xludf.DUMMYFUNCTION("""COMPUTED_VALUE"""),314.0223246207676)</f>
        <v>314.0223246</v>
      </c>
      <c r="U2349" s="82">
        <f>IFERROR(__xludf.DUMMYFUNCTION("""COMPUTED_VALUE"""),0.6837890527587502)</f>
        <v>0.6837890528</v>
      </c>
      <c r="V2349" s="82">
        <f>IFERROR(__xludf.DUMMYFUNCTION("""COMPUTED_VALUE"""),0.453712505643165)</f>
        <v>0.4537125056</v>
      </c>
      <c r="W2349" s="82">
        <f>IFERROR(__xludf.DUMMYFUNCTION("""COMPUTED_VALUE"""),1.0822555438634507)</f>
        <v>1.082255544</v>
      </c>
      <c r="X2349" s="82">
        <f>IFERROR(__xludf.DUMMYFUNCTION("""COMPUTED_VALUE"""),2.2821077507145686)</f>
        <v>2.282107751</v>
      </c>
      <c r="Y2349" s="82">
        <f>IFERROR(__xludf.DUMMYFUNCTION("""COMPUTED_VALUE"""),328.62141120688204)</f>
        <v>328.6214112</v>
      </c>
      <c r="Z2349" s="82">
        <f>IFERROR(__xludf.DUMMYFUNCTION("""COMPUTED_VALUE"""),0.8175958757672741)</f>
        <v>0.8175958758</v>
      </c>
      <c r="AA2349" s="82">
        <f>IFERROR(__xludf.DUMMYFUNCTION("""COMPUTED_VALUE"""),0.5515206135336245)</f>
        <v>0.5515206135</v>
      </c>
      <c r="AB2349" s="82">
        <f>IFERROR(__xludf.DUMMYFUNCTION("""COMPUTED_VALUE"""),1.092914863274295)</f>
        <v>1.092914863</v>
      </c>
      <c r="AC2349" s="82">
        <f>IFERROR(__xludf.DUMMYFUNCTION("""COMPUTED_VALUE"""),2.4028402760641496)</f>
        <v>2.402840276</v>
      </c>
      <c r="AD2349" s="82">
        <f>IFERROR(__xludf.DUMMYFUNCTION("""COMPUTED_VALUE"""),0.9037755601780465)</f>
        <v>0.9037755602</v>
      </c>
      <c r="AE2349" s="82">
        <f>IFERROR(__xludf.DUMMYFUNCTION("""COMPUTED_VALUE"""),0.6115490731050646)</f>
        <v>0.6115490731</v>
      </c>
      <c r="AF2349" s="82">
        <f>IFERROR(__xludf.DUMMYFUNCTION("""COMPUTED_VALUE"""),1.8131688561791774)</f>
        <v>1.813168856</v>
      </c>
      <c r="AG2349" s="82">
        <f>IFERROR(__xludf.DUMMYFUNCTION("""COMPUTED_VALUE"""),0.9149843538627256)</f>
        <v>0.9149843539</v>
      </c>
      <c r="AH2349" s="82">
        <f>IFERROR(__xludf.DUMMYFUNCTION("""COMPUTED_VALUE"""),1.456609511196057)</f>
        <v>1.456609511</v>
      </c>
      <c r="AI2349" s="82">
        <f>IFERROR(__xludf.DUMMYFUNCTION("""COMPUTED_VALUE"""),1.2244352386867574)</f>
        <v>1.224435239</v>
      </c>
      <c r="AJ2349" s="82">
        <f>IFERROR(__xludf.DUMMYFUNCTION("""COMPUTED_VALUE"""),1.4624393238901605)</f>
        <v>1.462439324</v>
      </c>
      <c r="AK2349" s="82">
        <f>IFERROR(__xludf.DUMMYFUNCTION("""COMPUTED_VALUE"""),1.4693592492488745)</f>
        <v>1.469359249</v>
      </c>
      <c r="AL2349" s="82">
        <f>IFERROR(__xludf.DUMMYFUNCTION("""COMPUTED_VALUE"""),1.2319949210641896)</f>
        <v>1.231994921</v>
      </c>
      <c r="AM2349" s="82">
        <f>IFERROR(__xludf.DUMMYFUNCTION("""COMPUTED_VALUE"""),1.0224466099826905)</f>
        <v>1.02244661</v>
      </c>
      <c r="AN2349" s="82">
        <f>IFERROR(__xludf.DUMMYFUNCTION("""COMPUTED_VALUE"""),0.9129487614636539)</f>
        <v>0.9129487615</v>
      </c>
      <c r="AO2349" s="82">
        <f>IFERROR(__xludf.DUMMYFUNCTION("""COMPUTED_VALUE"""),0.6841406569970628)</f>
        <v>0.684140657</v>
      </c>
      <c r="AP2349" s="82">
        <f>IFERROR(__xludf.DUMMYFUNCTION("""COMPUTED_VALUE"""),1.939671408133654)</f>
        <v>1.939671408</v>
      </c>
      <c r="AQ2349" s="82">
        <f>IFERROR(__xludf.DUMMYFUNCTION("""COMPUTED_VALUE"""),0.8293839882889568)</f>
        <v>0.8293839883</v>
      </c>
      <c r="AR2349" s="82">
        <f>IFERROR(__xludf.DUMMYFUNCTION("""COMPUTED_VALUE"""),1.4708490701100982)</f>
        <v>1.47084907</v>
      </c>
      <c r="AS2349" s="82">
        <f>IFERROR(__xludf.DUMMYFUNCTION("""COMPUTED_VALUE"""),3.0)</f>
        <v>3</v>
      </c>
      <c r="AT2349" s="82">
        <f>IFERROR(__xludf.DUMMYFUNCTION("""COMPUTED_VALUE"""),0.25591176740996385)</f>
        <v>0.2559117674</v>
      </c>
      <c r="AU2349" s="82">
        <f>IFERROR(__xludf.DUMMYFUNCTION("""COMPUTED_VALUE"""),3.1837453982702106)</f>
        <v>3.183745398</v>
      </c>
      <c r="AV2349" s="82">
        <f>IFERROR(__xludf.DUMMYFUNCTION("""COMPUTED_VALUE"""),58.88409569746383)</f>
        <v>58.8840957</v>
      </c>
      <c r="AW2349" s="82">
        <f t="shared" si="1"/>
        <v>2.768867241</v>
      </c>
      <c r="AX2349" s="83">
        <f t="array" ref="AX2349">IFERROR(DGET('SBV Import'!A:G,"SBV",{"RSC ID","Tier";B2349,A2349}))</f>
        <v>75.04978969</v>
      </c>
      <c r="AY2349" s="82">
        <f t="shared" si="2"/>
        <v>6.322158434</v>
      </c>
      <c r="AZ2349" s="82">
        <v>3.553291193661915</v>
      </c>
      <c r="BA2349" s="84">
        <v>2300.0</v>
      </c>
      <c r="BB2349" s="84" t="b">
        <f>IFERROR(__xludf.DUMMYFUNCTION("iferror(if(A2349="""",,E2349&gt;=FILTER(Constants!$F$2:$F$10,Constants!$A$2:$A$10=A2349)))"),TRUE)</f>
        <v>1</v>
      </c>
    </row>
    <row r="2350">
      <c r="A2350" s="89" t="str">
        <f>IFERROR(__xludf.DUMMYFUNCTION("""COMPUTED_VALUE"""),"Challenger")</f>
        <v>Challenger</v>
      </c>
      <c r="B2350" s="87" t="str">
        <f>IFERROR(__xludf.DUMMYFUNCTION("""COMPUTED_VALUE"""),"RSC004681")</f>
        <v>RSC004681</v>
      </c>
      <c r="C2350" s="73" t="str">
        <f>IFERROR(__xludf.DUMMYFUNCTION("""COMPUTED_VALUE"""),"Speciial_Eddy")</f>
        <v>Speciial_Eddy</v>
      </c>
      <c r="D2350" s="73" t="str">
        <f>IFERROR(__xludf.DUMMYFUNCTION("""COMPUTED_VALUE"""),"Jock O Lanterns")</f>
        <v>Jock O Lanterns</v>
      </c>
      <c r="E2350" s="82">
        <f>IFERROR(__xludf.DUMMYFUNCTION("""COMPUTED_VALUE"""),23.0)</f>
        <v>23</v>
      </c>
      <c r="F2350" s="82">
        <f>IFERROR(__xludf.DUMMYFUNCTION("""COMPUTED_VALUE"""),10.0)</f>
        <v>10</v>
      </c>
      <c r="G2350" s="86">
        <f>IFERROR(__xludf.DUMMYFUNCTION("""COMPUTED_VALUE"""),13.0)</f>
        <v>13</v>
      </c>
      <c r="H2350" s="86">
        <f>IFERROR(__xludf.DUMMYFUNCTION("""COMPUTED_VALUE"""),0.43478260869565216)</f>
        <v>0.4347826087</v>
      </c>
      <c r="I2350" s="86">
        <f>IFERROR(__xludf.DUMMYFUNCTION("""COMPUTED_VALUE"""),0.2857142857142857)</f>
        <v>0.2857142857</v>
      </c>
      <c r="J2350" s="82">
        <f>IFERROR(__xludf.DUMMYFUNCTION("""COMPUTED_VALUE"""),358.69565217391306)</f>
        <v>358.6956522</v>
      </c>
      <c r="K2350" s="82">
        <f>IFERROR(__xludf.DUMMYFUNCTION("""COMPUTED_VALUE"""),0.782608695652174)</f>
        <v>0.7826086957</v>
      </c>
      <c r="L2350" s="82">
        <f>IFERROR(__xludf.DUMMYFUNCTION("""COMPUTED_VALUE"""),0.43478260869565216)</f>
        <v>0.4347826087</v>
      </c>
      <c r="M2350" s="82">
        <f>IFERROR(__xludf.DUMMYFUNCTION("""COMPUTED_VALUE"""),1.6521739130434783)</f>
        <v>1.652173913</v>
      </c>
      <c r="N2350" s="82">
        <f>IFERROR(__xludf.DUMMYFUNCTION("""COMPUTED_VALUE"""),2.739130434782609)</f>
        <v>2.739130435</v>
      </c>
      <c r="O2350" s="82">
        <f>IFERROR(__xludf.DUMMYFUNCTION("""COMPUTED_VALUE"""),377.50724637681157)</f>
        <v>377.5072464</v>
      </c>
      <c r="P2350" s="82">
        <f>IFERROR(__xludf.DUMMYFUNCTION("""COMPUTED_VALUE"""),0.8695652173913043)</f>
        <v>0.8695652174</v>
      </c>
      <c r="Q2350" s="82">
        <f>IFERROR(__xludf.DUMMYFUNCTION("""COMPUTED_VALUE"""),0.6376811594202898)</f>
        <v>0.6376811594</v>
      </c>
      <c r="R2350" s="82">
        <f>IFERROR(__xludf.DUMMYFUNCTION("""COMPUTED_VALUE"""),1.3478260869565215)</f>
        <v>1.347826087</v>
      </c>
      <c r="S2350" s="82">
        <f>IFERROR(__xludf.DUMMYFUNCTION("""COMPUTED_VALUE"""),2.724637681159421)</f>
        <v>2.724637681</v>
      </c>
      <c r="T2350" s="82">
        <f>IFERROR(__xludf.DUMMYFUNCTION("""COMPUTED_VALUE"""),342.08666438825065)</f>
        <v>342.0866644</v>
      </c>
      <c r="U2350" s="82">
        <f>IFERROR(__xludf.DUMMYFUNCTION("""COMPUTED_VALUE"""),0.8095820651717814)</f>
        <v>0.8095820652</v>
      </c>
      <c r="V2350" s="82">
        <f>IFERROR(__xludf.DUMMYFUNCTION("""COMPUTED_VALUE"""),0.6108538022810694)</f>
        <v>0.6108538023</v>
      </c>
      <c r="W2350" s="82">
        <f>IFERROR(__xludf.DUMMYFUNCTION("""COMPUTED_VALUE"""),1.172406872204973)</f>
        <v>1.172406872</v>
      </c>
      <c r="X2350" s="82">
        <f>IFERROR(__xludf.DUMMYFUNCTION("""COMPUTED_VALUE"""),2.5818592523377033)</f>
        <v>2.581859252</v>
      </c>
      <c r="Y2350" s="82">
        <f>IFERROR(__xludf.DUMMYFUNCTION("""COMPUTED_VALUE"""),325.3976024089386)</f>
        <v>325.3976024</v>
      </c>
      <c r="Z2350" s="82">
        <f>IFERROR(__xludf.DUMMYFUNCTION("""COMPUTED_VALUE"""),0.7025711566084882)</f>
        <v>0.7025711566</v>
      </c>
      <c r="AA2350" s="82">
        <f>IFERROR(__xludf.DUMMYFUNCTION("""COMPUTED_VALUE"""),0.4724339700684229)</f>
        <v>0.4724339701</v>
      </c>
      <c r="AB2350" s="82">
        <f>IFERROR(__xludf.DUMMYFUNCTION("""COMPUTED_VALUE"""),1.2597944434021224)</f>
        <v>1.259794443</v>
      </c>
      <c r="AC2350" s="82">
        <f>IFERROR(__xludf.DUMMYFUNCTION("""COMPUTED_VALUE"""),2.2740248663173617)</f>
        <v>2.274024866</v>
      </c>
      <c r="AD2350" s="82">
        <f>IFERROR(__xludf.DUMMYFUNCTION("""COMPUTED_VALUE"""),1.102330347606949)</f>
        <v>1.102330348</v>
      </c>
      <c r="AE2350" s="82">
        <f>IFERROR(__xludf.DUMMYFUNCTION("""COMPUTED_VALUE"""),1.113920900809606)</f>
        <v>1.113920901</v>
      </c>
      <c r="AF2350" s="82">
        <f>IFERROR(__xludf.DUMMYFUNCTION("""COMPUTED_VALUE"""),0.9203034418390411)</f>
        <v>0.9203034418</v>
      </c>
      <c r="AG2350" s="82">
        <f>IFERROR(__xludf.DUMMYFUNCTION("""COMPUTED_VALUE"""),1.3114630896304957)</f>
        <v>1.31146309</v>
      </c>
      <c r="AH2350" s="82">
        <f>IFERROR(__xludf.DUMMYFUNCTION("""COMPUTED_VALUE"""),1.2045296757103874)</f>
        <v>1.204529676</v>
      </c>
      <c r="AI2350" s="82">
        <f>IFERROR(__xludf.DUMMYFUNCTION("""COMPUTED_VALUE"""),1.103542714978098)</f>
        <v>1.103542715</v>
      </c>
      <c r="AJ2350" s="82">
        <f>IFERROR(__xludf.DUMMYFUNCTION("""COMPUTED_VALUE"""),1.0740915032582834)</f>
        <v>1.074091503</v>
      </c>
      <c r="AK2350" s="82">
        <f>IFERROR(__xludf.DUMMYFUNCTION("""COMPUTED_VALUE"""),1.04391780330914)</f>
        <v>1.043917803</v>
      </c>
      <c r="AL2350" s="82">
        <f>IFERROR(__xludf.DUMMYFUNCTION("""COMPUTED_VALUE"""),1.1496231546490627)</f>
        <v>1.149623155</v>
      </c>
      <c r="AM2350" s="82">
        <f>IFERROR(__xludf.DUMMYFUNCTION("""COMPUTED_VALUE"""),1.0553006244211187)</f>
        <v>1.055300624</v>
      </c>
      <c r="AN2350" s="82">
        <f>IFERROR(__xludf.DUMMYFUNCTION("""COMPUTED_VALUE"""),1.102595122540645)</f>
        <v>1.102595123</v>
      </c>
      <c r="AO2350" s="82">
        <f>IFERROR(__xludf.DUMMYFUNCTION("""COMPUTED_VALUE"""),1.0708288544301854)</f>
        <v>1.070828854</v>
      </c>
      <c r="AP2350" s="82">
        <f>IFERROR(__xludf.DUMMYFUNCTION("""COMPUTED_VALUE"""),0.8433353948407191)</f>
        <v>0.8433353948</v>
      </c>
      <c r="AQ2350" s="82">
        <f>IFERROR(__xludf.DUMMYFUNCTION("""COMPUTED_VALUE"""),1.370286589346972)</f>
        <v>1.370286589</v>
      </c>
      <c r="AR2350" s="82">
        <f>IFERROR(__xludf.DUMMYFUNCTION("""COMPUTED_VALUE"""),1.151099272260077)</f>
        <v>1.151099272</v>
      </c>
      <c r="AS2350" s="82">
        <f>IFERROR(__xludf.DUMMYFUNCTION("""COMPUTED_VALUE"""),48.0)</f>
        <v>48</v>
      </c>
      <c r="AT2350" s="82">
        <f>IFERROR(__xludf.DUMMYFUNCTION("""COMPUTED_VALUE"""),0.41390989853655513)</f>
        <v>0.4139098985</v>
      </c>
      <c r="AU2350" s="82">
        <f>IFERROR(__xludf.DUMMYFUNCTION("""COMPUTED_VALUE"""),3.1627410206648707)</f>
        <v>3.162741021</v>
      </c>
      <c r="AV2350" s="82">
        <f>IFERROR(__xludf.DUMMYFUNCTION("""COMPUTED_VALUE"""),58.33591797470539)</f>
        <v>58.33591797</v>
      </c>
      <c r="AW2350" s="82">
        <f t="shared" si="1"/>
        <v>2.707075545</v>
      </c>
      <c r="AX2350" s="83">
        <f t="array" ref="AX2350">IFERROR(DGET('SBV Import'!A:G,"SBV",{"RSC ID","Tier";B2350,A2350}))</f>
        <v>47.52448318</v>
      </c>
      <c r="AY2350" s="82">
        <f t="shared" si="2"/>
        <v>-2.171265383</v>
      </c>
      <c r="AZ2350" s="82">
        <v>4.878340928110958</v>
      </c>
      <c r="BA2350" s="84">
        <v>2300.0</v>
      </c>
      <c r="BB2350" s="84" t="b">
        <f>IFERROR(__xludf.DUMMYFUNCTION("iferror(if(A2350="""",,E2350&gt;=FILTER(Constants!$F$2:$F$10,Constants!$A$2:$A$10=A2350)))"),TRUE)</f>
        <v>1</v>
      </c>
    </row>
    <row r="2351">
      <c r="A2351" s="89" t="str">
        <f>IFERROR(__xludf.DUMMYFUNCTION("""COMPUTED_VALUE"""),"Challenger")</f>
        <v>Challenger</v>
      </c>
      <c r="B2351" s="87" t="str">
        <f>IFERROR(__xludf.DUMMYFUNCTION("""COMPUTED_VALUE"""),"RSC005526")</f>
        <v>RSC005526</v>
      </c>
      <c r="C2351" s="73" t="str">
        <f>IFERROR(__xludf.DUMMYFUNCTION("""COMPUTED_VALUE"""),"Vortex3524")</f>
        <v>Vortex3524</v>
      </c>
      <c r="D2351" s="73" t="str">
        <f>IFERROR(__xludf.DUMMYFUNCTION("""COMPUTED_VALUE"""),"Zombies")</f>
        <v>Zombies</v>
      </c>
      <c r="E2351" s="82">
        <f>IFERROR(__xludf.DUMMYFUNCTION("""COMPUTED_VALUE"""),42.0)</f>
        <v>42</v>
      </c>
      <c r="F2351" s="82">
        <f>IFERROR(__xludf.DUMMYFUNCTION("""COMPUTED_VALUE"""),20.0)</f>
        <v>20</v>
      </c>
      <c r="G2351" s="86">
        <f>IFERROR(__xludf.DUMMYFUNCTION("""COMPUTED_VALUE"""),22.0)</f>
        <v>22</v>
      </c>
      <c r="H2351" s="86">
        <f>IFERROR(__xludf.DUMMYFUNCTION("""COMPUTED_VALUE"""),0.47619047619047616)</f>
        <v>0.4761904762</v>
      </c>
      <c r="I2351" s="86">
        <f>IFERROR(__xludf.DUMMYFUNCTION("""COMPUTED_VALUE"""),0.36633663366336633)</f>
        <v>0.3663366337</v>
      </c>
      <c r="J2351" s="82">
        <f>IFERROR(__xludf.DUMMYFUNCTION("""COMPUTED_VALUE"""),352.2142857142857)</f>
        <v>352.2142857</v>
      </c>
      <c r="K2351" s="82">
        <f>IFERROR(__xludf.DUMMYFUNCTION("""COMPUTED_VALUE"""),0.8809523809523809)</f>
        <v>0.880952381</v>
      </c>
      <c r="L2351" s="82">
        <f>IFERROR(__xludf.DUMMYFUNCTION("""COMPUTED_VALUE"""),0.38095238095238093)</f>
        <v>0.380952381</v>
      </c>
      <c r="M2351" s="82">
        <f>IFERROR(__xludf.DUMMYFUNCTION("""COMPUTED_VALUE"""),1.2857142857142858)</f>
        <v>1.285714286</v>
      </c>
      <c r="N2351" s="82">
        <f>IFERROR(__xludf.DUMMYFUNCTION("""COMPUTED_VALUE"""),2.4047619047619047)</f>
        <v>2.404761905</v>
      </c>
      <c r="O2351" s="82">
        <f>IFERROR(__xludf.DUMMYFUNCTION("""COMPUTED_VALUE"""),314.0238095238096)</f>
        <v>314.0238095</v>
      </c>
      <c r="P2351" s="82">
        <f>IFERROR(__xludf.DUMMYFUNCTION("""COMPUTED_VALUE"""),0.6746031746031745)</f>
        <v>0.6746031746</v>
      </c>
      <c r="Q2351" s="82">
        <f>IFERROR(__xludf.DUMMYFUNCTION("""COMPUTED_VALUE"""),0.46031746031746046)</f>
        <v>0.4603174603</v>
      </c>
      <c r="R2351" s="82">
        <f>IFERROR(__xludf.DUMMYFUNCTION("""COMPUTED_VALUE"""),1.206349206349206)</f>
        <v>1.206349206</v>
      </c>
      <c r="S2351" s="82">
        <f>IFERROR(__xludf.DUMMYFUNCTION("""COMPUTED_VALUE"""),2.3253968253968247)</f>
        <v>2.325396825</v>
      </c>
      <c r="T2351" s="82">
        <f>IFERROR(__xludf.DUMMYFUNCTION("""COMPUTED_VALUE"""),332.21657960007155)</f>
        <v>332.2165796</v>
      </c>
      <c r="U2351" s="82">
        <f>IFERROR(__xludf.DUMMYFUNCTION("""COMPUTED_VALUE"""),0.750627284197205)</f>
        <v>0.7506272842</v>
      </c>
      <c r="V2351" s="82">
        <f>IFERROR(__xludf.DUMMYFUNCTION("""COMPUTED_VALUE"""),0.5401825122710546)</f>
        <v>0.5401825123</v>
      </c>
      <c r="W2351" s="82">
        <f>IFERROR(__xludf.DUMMYFUNCTION("""COMPUTED_VALUE"""),1.2101942693557899)</f>
        <v>1.210194269</v>
      </c>
      <c r="X2351" s="82">
        <f>IFERROR(__xludf.DUMMYFUNCTION("""COMPUTED_VALUE"""),2.469357350804075)</f>
        <v>2.469357351</v>
      </c>
      <c r="Y2351" s="82">
        <f>IFERROR(__xludf.DUMMYFUNCTION("""COMPUTED_VALUE"""),335.2822015116981)</f>
        <v>335.2822015</v>
      </c>
      <c r="Z2351" s="82">
        <f>IFERROR(__xludf.DUMMYFUNCTION("""COMPUTED_VALUE"""),0.7567514503541005)</f>
        <v>0.7567514504</v>
      </c>
      <c r="AA2351" s="82">
        <f>IFERROR(__xludf.DUMMYFUNCTION("""COMPUTED_VALUE"""),0.5305916899158378)</f>
        <v>0.5305916899</v>
      </c>
      <c r="AB2351" s="82">
        <f>IFERROR(__xludf.DUMMYFUNCTION("""COMPUTED_VALUE"""),1.2784394691220453)</f>
        <v>1.278439469</v>
      </c>
      <c r="AC2351" s="82">
        <f>IFERROR(__xludf.DUMMYFUNCTION("""COMPUTED_VALUE"""),2.380459526954215)</f>
        <v>2.380459527</v>
      </c>
      <c r="AD2351" s="82">
        <f>IFERROR(__xludf.DUMMYFUNCTION("""COMPUTED_VALUE"""),1.050500993271475)</f>
        <v>1.050500993</v>
      </c>
      <c r="AE2351" s="82">
        <f>IFERROR(__xludf.DUMMYFUNCTION("""COMPUTED_VALUE"""),1.1641238091319999)</f>
        <v>1.164123809</v>
      </c>
      <c r="AF2351" s="82">
        <f>IFERROR(__xludf.DUMMYFUNCTION("""COMPUTED_VALUE"""),0.717976531092689)</f>
        <v>0.7179765311</v>
      </c>
      <c r="AG2351" s="82">
        <f>IFERROR(__xludf.DUMMYFUNCTION("""COMPUTED_VALUE"""),1.0056903879831216)</f>
        <v>1.005690388</v>
      </c>
      <c r="AH2351" s="82">
        <f>IFERROR(__xludf.DUMMYFUNCTION("""COMPUTED_VALUE"""),1.0102091119519199)</f>
        <v>1.010209112</v>
      </c>
      <c r="AI2351" s="82">
        <f>IFERROR(__xludf.DUMMYFUNCTION("""COMPUTED_VALUE"""),0.9452382235162292)</f>
        <v>0.9452382235</v>
      </c>
      <c r="AJ2351" s="82">
        <f>IFERROR(__xludf.DUMMYFUNCTION("""COMPUTED_VALUE"""),0.8987192296435931)</f>
        <v>0.8987192296</v>
      </c>
      <c r="AK2351" s="82">
        <f>IFERROR(__xludf.DUMMYFUNCTION("""COMPUTED_VALUE"""),0.8521517262418906)</f>
        <v>0.8521517262</v>
      </c>
      <c r="AL2351" s="82">
        <f>IFERROR(__xludf.DUMMYFUNCTION("""COMPUTED_VALUE"""),0.996822772092095)</f>
        <v>0.9968227721</v>
      </c>
      <c r="AM2351" s="82">
        <f>IFERROR(__xludf.DUMMYFUNCTION("""COMPUTED_VALUE"""),0.9417012181892694)</f>
        <v>0.9417012182</v>
      </c>
      <c r="AN2351" s="82">
        <f>IFERROR(__xludf.DUMMYFUNCTION("""COMPUTED_VALUE"""),1.0826720401099754)</f>
        <v>1.08267204</v>
      </c>
      <c r="AO2351" s="82">
        <f>IFERROR(__xludf.DUMMYFUNCTION("""COMPUTED_VALUE"""),1.2053906813757773)</f>
        <v>1.205390681</v>
      </c>
      <c r="AP2351" s="82">
        <f>IFERROR(__xludf.DUMMYFUNCTION("""COMPUTED_VALUE"""),0.7389224411937729)</f>
        <v>0.7389224412</v>
      </c>
      <c r="AQ2351" s="82">
        <f>IFERROR(__xludf.DUMMYFUNCTION("""COMPUTED_VALUE"""),1.0663508420858017)</f>
        <v>1.066350842</v>
      </c>
      <c r="AR2351" s="82">
        <f>IFERROR(__xludf.DUMMYFUNCTION("""COMPUTED_VALUE"""),1.010583374701496)</f>
        <v>1.010583375</v>
      </c>
      <c r="AS2351" s="82">
        <f>IFERROR(__xludf.DUMMYFUNCTION("""COMPUTED_VALUE"""),94.0)</f>
        <v>94</v>
      </c>
      <c r="AT2351" s="82">
        <f>IFERROR(__xludf.DUMMYFUNCTION("""COMPUTED_VALUE"""),0.5380698155113252)</f>
        <v>0.5380698155</v>
      </c>
      <c r="AU2351" s="82">
        <f>IFERROR(__xludf.DUMMYFUNCTION("""COMPUTED_VALUE"""),3.1605852161792862)</f>
        <v>3.160585216</v>
      </c>
      <c r="AV2351" s="82">
        <f>IFERROR(__xludf.DUMMYFUNCTION("""COMPUTED_VALUE"""),58.279655227204614)</f>
        <v>58.27965523</v>
      </c>
      <c r="AW2351" s="82">
        <f t="shared" si="1"/>
        <v>2.700863792</v>
      </c>
      <c r="AX2351" s="83">
        <f t="array" ref="AX2351">IFERROR(DGET('SBV Import'!A:G,"SBV",{"RSC ID","Tier";B2351,A2351}))</f>
        <v>62.18875728</v>
      </c>
      <c r="AY2351" s="82">
        <f t="shared" si="2"/>
        <v>3.195559897</v>
      </c>
      <c r="AZ2351" s="82">
        <v>0.4946961053862937</v>
      </c>
      <c r="BA2351" s="84">
        <v>2300.0</v>
      </c>
      <c r="BB2351" s="84" t="b">
        <f>IFERROR(__xludf.DUMMYFUNCTION("iferror(if(A2351="""",,E2351&gt;=FILTER(Constants!$F$2:$F$10,Constants!$A$2:$A$10=A2351)))"),TRUE)</f>
        <v>1</v>
      </c>
    </row>
    <row r="2352">
      <c r="A2352" s="89" t="str">
        <f>IFERROR(__xludf.DUMMYFUNCTION("""COMPUTED_VALUE"""),"Challenger")</f>
        <v>Challenger</v>
      </c>
      <c r="B2352" s="87" t="str">
        <f>IFERROR(__xludf.DUMMYFUNCTION("""COMPUTED_VALUE"""),"RSC007911")</f>
        <v>RSC007911</v>
      </c>
      <c r="C2352" s="73" t="str">
        <f>IFERROR(__xludf.DUMMYFUNCTION("""COMPUTED_VALUE"""),"Redhood913011")</f>
        <v>Redhood913011</v>
      </c>
      <c r="D2352" s="73" t="str">
        <f>IFERROR(__xludf.DUMMYFUNCTION("""COMPUTED_VALUE"""),"Lions")</f>
        <v>Lions</v>
      </c>
      <c r="E2352" s="82">
        <f>IFERROR(__xludf.DUMMYFUNCTION("""COMPUTED_VALUE"""),15.0)</f>
        <v>15</v>
      </c>
      <c r="F2352" s="82">
        <f>IFERROR(__xludf.DUMMYFUNCTION("""COMPUTED_VALUE"""),8.0)</f>
        <v>8</v>
      </c>
      <c r="G2352" s="86">
        <f>IFERROR(__xludf.DUMMYFUNCTION("""COMPUTED_VALUE"""),7.0)</f>
        <v>7</v>
      </c>
      <c r="H2352" s="86">
        <f>IFERROR(__xludf.DUMMYFUNCTION("""COMPUTED_VALUE"""),0.5333333333333333)</f>
        <v>0.5333333333</v>
      </c>
      <c r="I2352" s="86">
        <f>IFERROR(__xludf.DUMMYFUNCTION("""COMPUTED_VALUE"""),0.31578947368421056)</f>
        <v>0.3157894737</v>
      </c>
      <c r="J2352" s="82">
        <f>IFERROR(__xludf.DUMMYFUNCTION("""COMPUTED_VALUE"""),303.73333333333335)</f>
        <v>303.7333333</v>
      </c>
      <c r="K2352" s="82">
        <f>IFERROR(__xludf.DUMMYFUNCTION("""COMPUTED_VALUE"""),0.8)</f>
        <v>0.8</v>
      </c>
      <c r="L2352" s="82">
        <f>IFERROR(__xludf.DUMMYFUNCTION("""COMPUTED_VALUE"""),0.4666666666666667)</f>
        <v>0.4666666667</v>
      </c>
      <c r="M2352" s="82">
        <f>IFERROR(__xludf.DUMMYFUNCTION("""COMPUTED_VALUE"""),0.8666666666666667)</f>
        <v>0.8666666667</v>
      </c>
      <c r="N2352" s="82">
        <f>IFERROR(__xludf.DUMMYFUNCTION("""COMPUTED_VALUE"""),2.533333333333333)</f>
        <v>2.533333333</v>
      </c>
      <c r="O2352" s="82">
        <f>IFERROR(__xludf.DUMMYFUNCTION("""COMPUTED_VALUE"""),314.8444444444445)</f>
        <v>314.8444444</v>
      </c>
      <c r="P2352" s="82">
        <f>IFERROR(__xludf.DUMMYFUNCTION("""COMPUTED_VALUE"""),0.6444444444444444)</f>
        <v>0.6444444444</v>
      </c>
      <c r="Q2352" s="82">
        <f>IFERROR(__xludf.DUMMYFUNCTION("""COMPUTED_VALUE"""),0.4666666666666666)</f>
        <v>0.4666666667</v>
      </c>
      <c r="R2352" s="82">
        <f>IFERROR(__xludf.DUMMYFUNCTION("""COMPUTED_VALUE"""),1.3555555555555556)</f>
        <v>1.355555556</v>
      </c>
      <c r="S2352" s="82">
        <f>IFERROR(__xludf.DUMMYFUNCTION("""COMPUTED_VALUE"""),2.3111111111111113)</f>
        <v>2.311111111</v>
      </c>
      <c r="T2352" s="82">
        <f>IFERROR(__xludf.DUMMYFUNCTION("""COMPUTED_VALUE"""),354.894830424385)</f>
        <v>354.8948304</v>
      </c>
      <c r="U2352" s="82">
        <f>IFERROR(__xludf.DUMMYFUNCTION("""COMPUTED_VALUE"""),0.8117007076466414)</f>
        <v>0.8117007076</v>
      </c>
      <c r="V2352" s="82">
        <f>IFERROR(__xludf.DUMMYFUNCTION("""COMPUTED_VALUE"""),0.5804051747120215)</f>
        <v>0.5804051747</v>
      </c>
      <c r="W2352" s="82">
        <f>IFERROR(__xludf.DUMMYFUNCTION("""COMPUTED_VALUE"""),1.3626642714676125)</f>
        <v>1.362664271</v>
      </c>
      <c r="X2352" s="82">
        <f>IFERROR(__xludf.DUMMYFUNCTION("""COMPUTED_VALUE"""),2.554283719207977)</f>
        <v>2.554283719</v>
      </c>
      <c r="Y2352" s="82">
        <f>IFERROR(__xludf.DUMMYFUNCTION("""COMPUTED_VALUE"""),337.8315676638206)</f>
        <v>337.8315677</v>
      </c>
      <c r="Z2352" s="82">
        <f>IFERROR(__xludf.DUMMYFUNCTION("""COMPUTED_VALUE"""),0.7150727494832226)</f>
        <v>0.7150727495</v>
      </c>
      <c r="AA2352" s="82">
        <f>IFERROR(__xludf.DUMMYFUNCTION("""COMPUTED_VALUE"""),0.5114571049667612)</f>
        <v>0.511457105</v>
      </c>
      <c r="AB2352" s="82">
        <f>IFERROR(__xludf.DUMMYFUNCTION("""COMPUTED_VALUE"""),1.2779084755102519)</f>
        <v>1.277908476</v>
      </c>
      <c r="AC2352" s="82">
        <f>IFERROR(__xludf.DUMMYFUNCTION("""COMPUTED_VALUE"""),2.542012192525574)</f>
        <v>2.542012193</v>
      </c>
      <c r="AD2352" s="82">
        <f>IFERROR(__xludf.DUMMYFUNCTION("""COMPUTED_VALUE"""),0.8990673531005879)</f>
        <v>0.8990673531</v>
      </c>
      <c r="AE2352" s="82">
        <f>IFERROR(__xludf.DUMMYFUNCTION("""COMPUTED_VALUE"""),1.1187672870741525)</f>
        <v>1.118767287</v>
      </c>
      <c r="AF2352" s="82">
        <f>IFERROR(__xludf.DUMMYFUNCTION("""COMPUTED_VALUE"""),0.9124258166224802)</f>
        <v>0.9124258166</v>
      </c>
      <c r="AG2352" s="82">
        <f>IFERROR(__xludf.DUMMYFUNCTION("""COMPUTED_VALUE"""),0.6781915006241884)</f>
        <v>0.6781915006</v>
      </c>
      <c r="AH2352" s="82">
        <f>IFERROR(__xludf.DUMMYFUNCTION("""COMPUTED_VALUE"""),0.996585831013022)</f>
        <v>0.996585831</v>
      </c>
      <c r="AI2352" s="82">
        <f>IFERROR(__xludf.DUMMYFUNCTION("""COMPUTED_VALUE"""),0.8871485788281331)</f>
        <v>0.8871485788</v>
      </c>
      <c r="AJ2352" s="82">
        <f>IFERROR(__xludf.DUMMYFUNCTION("""COMPUTED_VALUE"""),0.7939434305938675)</f>
        <v>0.7939434306</v>
      </c>
      <c r="AK2352" s="82">
        <f>IFERROR(__xludf.DUMMYFUNCTION("""COMPUTED_VALUE"""),0.8040360200065614)</f>
        <v>0.80403602</v>
      </c>
      <c r="AL2352" s="82">
        <f>IFERROR(__xludf.DUMMYFUNCTION("""COMPUTED_VALUE"""),0.9947832227930944)</f>
        <v>0.9947832228</v>
      </c>
      <c r="AM2352" s="82">
        <f>IFERROR(__xludf.DUMMYFUNCTION("""COMPUTED_VALUE"""),0.9047981215758335)</f>
        <v>0.9047981216</v>
      </c>
      <c r="AN2352" s="82">
        <f>IFERROR(__xludf.DUMMYFUNCTION("""COMPUTED_VALUE"""),0.9336463652589018)</f>
        <v>0.9336463653</v>
      </c>
      <c r="AO2352" s="82">
        <f>IFERROR(__xludf.DUMMYFUNCTION("""COMPUTED_VALUE"""),1.0946250511953006)</f>
        <v>1.094625051</v>
      </c>
      <c r="AP2352" s="82">
        <f>IFERROR(__xludf.DUMMYFUNCTION("""COMPUTED_VALUE"""),0.9051799904623719)</f>
        <v>0.9051799905</v>
      </c>
      <c r="AQ2352" s="82">
        <f>IFERROR(__xludf.DUMMYFUNCTION("""COMPUTED_VALUE"""),0.7187994565170959)</f>
        <v>0.7187994565</v>
      </c>
      <c r="AR2352" s="82">
        <f>IFERROR(__xludf.DUMMYFUNCTION("""COMPUTED_VALUE"""),1.064614565032071)</f>
        <v>1.064614565</v>
      </c>
      <c r="AS2352" s="82">
        <f>IFERROR(__xludf.DUMMYFUNCTION("""COMPUTED_VALUE"""),36.0)</f>
        <v>36</v>
      </c>
      <c r="AT2352" s="82">
        <f>IFERROR(__xludf.DUMMYFUNCTION("""COMPUTED_VALUE"""),0.5816034982047734)</f>
        <v>0.5816034982</v>
      </c>
      <c r="AU2352" s="82">
        <f>IFERROR(__xludf.DUMMYFUNCTION("""COMPUTED_VALUE"""),3.148523090820315)</f>
        <v>3.148523091</v>
      </c>
      <c r="AV2352" s="82">
        <f>IFERROR(__xludf.DUMMYFUNCTION("""COMPUTED_VALUE"""),57.964854734890736)</f>
        <v>57.96485473</v>
      </c>
      <c r="AW2352" s="82">
        <f t="shared" si="1"/>
        <v>2.666544858</v>
      </c>
      <c r="AX2352" s="83">
        <f t="array" ref="AX2352">IFERROR(DGET('SBV Import'!A:G,"SBV",{"RSC ID","Tier";B2352,A2352}))</f>
        <v>40.48021604</v>
      </c>
      <c r="AY2352" s="82">
        <f t="shared" si="2"/>
        <v>-2.843501879</v>
      </c>
      <c r="AZ2352" s="82">
        <v>5.510046737474762</v>
      </c>
      <c r="BA2352" s="84">
        <v>2300.0</v>
      </c>
      <c r="BB2352" s="84" t="b">
        <f>IFERROR(__xludf.DUMMYFUNCTION("iferror(if(A2352="""",,E2352&gt;=FILTER(Constants!$F$2:$F$10,Constants!$A$2:$A$10=A2352)))"),TRUE)</f>
        <v>1</v>
      </c>
    </row>
    <row r="2353">
      <c r="A2353" s="89" t="str">
        <f>IFERROR(__xludf.DUMMYFUNCTION("""COMPUTED_VALUE"""),"Challenger")</f>
        <v>Challenger</v>
      </c>
      <c r="B2353" s="87" t="str">
        <f>IFERROR(__xludf.DUMMYFUNCTION("""COMPUTED_VALUE"""),"RSC007939")</f>
        <v>RSC007939</v>
      </c>
      <c r="C2353" s="73" t="str">
        <f>IFERROR(__xludf.DUMMYFUNCTION("""COMPUTED_VALUE"""),"bryan_rown_")</f>
        <v>bryan_rown_</v>
      </c>
      <c r="D2353" s="73" t="str">
        <f>IFERROR(__xludf.DUMMYFUNCTION("""COMPUTED_VALUE"""),"Metal")</f>
        <v>Metal</v>
      </c>
      <c r="E2353" s="82">
        <f>IFERROR(__xludf.DUMMYFUNCTION("""COMPUTED_VALUE"""),37.0)</f>
        <v>37</v>
      </c>
      <c r="F2353" s="82">
        <f>IFERROR(__xludf.DUMMYFUNCTION("""COMPUTED_VALUE"""),18.0)</f>
        <v>18</v>
      </c>
      <c r="G2353" s="86">
        <f>IFERROR(__xludf.DUMMYFUNCTION("""COMPUTED_VALUE"""),19.0)</f>
        <v>19</v>
      </c>
      <c r="H2353" s="86">
        <f>IFERROR(__xludf.DUMMYFUNCTION("""COMPUTED_VALUE"""),0.4864864864864865)</f>
        <v>0.4864864865</v>
      </c>
      <c r="I2353" s="86">
        <f>IFERROR(__xludf.DUMMYFUNCTION("""COMPUTED_VALUE"""),0.37777777777777777)</f>
        <v>0.3777777778</v>
      </c>
      <c r="J2353" s="82">
        <f>IFERROR(__xludf.DUMMYFUNCTION("""COMPUTED_VALUE"""),337.97297297297297)</f>
        <v>337.972973</v>
      </c>
      <c r="K2353" s="82">
        <f>IFERROR(__xludf.DUMMYFUNCTION("""COMPUTED_VALUE"""),0.918918918918919)</f>
        <v>0.9189189189</v>
      </c>
      <c r="L2353" s="82">
        <f>IFERROR(__xludf.DUMMYFUNCTION("""COMPUTED_VALUE"""),0.5405405405405406)</f>
        <v>0.5405405405</v>
      </c>
      <c r="M2353" s="82">
        <f>IFERROR(__xludf.DUMMYFUNCTION("""COMPUTED_VALUE"""),1.135135135135135)</f>
        <v>1.135135135</v>
      </c>
      <c r="N2353" s="82">
        <f>IFERROR(__xludf.DUMMYFUNCTION("""COMPUTED_VALUE"""),2.4324324324324325)</f>
        <v>2.432432432</v>
      </c>
      <c r="O2353" s="82">
        <f>IFERROR(__xludf.DUMMYFUNCTION("""COMPUTED_VALUE"""),331.4234234234234)</f>
        <v>331.4234234</v>
      </c>
      <c r="P2353" s="82">
        <f>IFERROR(__xludf.DUMMYFUNCTION("""COMPUTED_VALUE"""),0.8018018018018018)</f>
        <v>0.8018018018</v>
      </c>
      <c r="Q2353" s="82">
        <f>IFERROR(__xludf.DUMMYFUNCTION("""COMPUTED_VALUE"""),0.5315315315315314)</f>
        <v>0.5315315315</v>
      </c>
      <c r="R2353" s="82">
        <f>IFERROR(__xludf.DUMMYFUNCTION("""COMPUTED_VALUE"""),1.117117117117117)</f>
        <v>1.117117117</v>
      </c>
      <c r="S2353" s="82">
        <f>IFERROR(__xludf.DUMMYFUNCTION("""COMPUTED_VALUE"""),2.432432432432433)</f>
        <v>2.432432432</v>
      </c>
      <c r="T2353" s="82">
        <f>IFERROR(__xludf.DUMMYFUNCTION("""COMPUTED_VALUE"""),326.18628209355467)</f>
        <v>326.1862821</v>
      </c>
      <c r="U2353" s="82">
        <f>IFERROR(__xludf.DUMMYFUNCTION("""COMPUTED_VALUE"""),0.737716042100685)</f>
        <v>0.7377160421</v>
      </c>
      <c r="V2353" s="82">
        <f>IFERROR(__xludf.DUMMYFUNCTION("""COMPUTED_VALUE"""),0.5042847625458091)</f>
        <v>0.5042847625</v>
      </c>
      <c r="W2353" s="82">
        <f>IFERROR(__xludf.DUMMYFUNCTION("""COMPUTED_VALUE"""),1.2176962594160217)</f>
        <v>1.217696259</v>
      </c>
      <c r="X2353" s="82">
        <f>IFERROR(__xludf.DUMMYFUNCTION("""COMPUTED_VALUE"""),2.38990201892572)</f>
        <v>2.389902019</v>
      </c>
      <c r="Y2353" s="82">
        <f>IFERROR(__xludf.DUMMYFUNCTION("""COMPUTED_VALUE"""),340.990314426721)</f>
        <v>340.9903144</v>
      </c>
      <c r="Z2353" s="82">
        <f>IFERROR(__xludf.DUMMYFUNCTION("""COMPUTED_VALUE"""),0.8047398104383818)</f>
        <v>0.8047398104</v>
      </c>
      <c r="AA2353" s="82">
        <f>IFERROR(__xludf.DUMMYFUNCTION("""COMPUTED_VALUE"""),0.5553694372913505)</f>
        <v>0.5553694373</v>
      </c>
      <c r="AB2353" s="82">
        <f>IFERROR(__xludf.DUMMYFUNCTION("""COMPUTED_VALUE"""),1.213614576178716)</f>
        <v>1.213614576</v>
      </c>
      <c r="AC2353" s="82">
        <f>IFERROR(__xludf.DUMMYFUNCTION("""COMPUTED_VALUE"""),2.4951725644780987)</f>
        <v>2.495172564</v>
      </c>
      <c r="AD2353" s="82">
        <f>IFERROR(__xludf.DUMMYFUNCTION("""COMPUTED_VALUE"""),0.9911512400027525)</f>
        <v>0.99115124</v>
      </c>
      <c r="AE2353" s="82">
        <f>IFERROR(__xludf.DUMMYFUNCTION("""COMPUTED_VALUE"""),1.1418832608993683)</f>
        <v>1.141883261</v>
      </c>
      <c r="AF2353" s="82">
        <f>IFERROR(__xludf.DUMMYFUNCTION("""COMPUTED_VALUE"""),0.973299040683381)</f>
        <v>0.9732990407</v>
      </c>
      <c r="AG2353" s="82">
        <f>IFERROR(__xludf.DUMMYFUNCTION("""COMPUTED_VALUE"""),0.9353341311286095)</f>
        <v>0.9353341311</v>
      </c>
      <c r="AH2353" s="82">
        <f>IFERROR(__xludf.DUMMYFUNCTION("""COMPUTED_VALUE"""),0.9748553935952766)</f>
        <v>0.9748553936</v>
      </c>
      <c r="AI2353" s="82">
        <f>IFERROR(__xludf.DUMMYFUNCTION("""COMPUTED_VALUE"""),1.016055676211321)</f>
        <v>1.016055676</v>
      </c>
      <c r="AJ2353" s="82">
        <f>IFERROR(__xludf.DUMMYFUNCTION("""COMPUTED_VALUE"""),1.0868704976492436)</f>
        <v>1.086870498</v>
      </c>
      <c r="AK2353" s="82">
        <f>IFERROR(__xludf.DUMMYFUNCTION("""COMPUTED_VALUE"""),1.0540305220569643)</f>
        <v>1.054030522</v>
      </c>
      <c r="AL2353" s="82">
        <f>IFERROR(__xludf.DUMMYFUNCTION("""COMPUTED_VALUE"""),0.9174021094988499)</f>
        <v>0.9174021095</v>
      </c>
      <c r="AM2353" s="82">
        <f>IFERROR(__xludf.DUMMYFUNCTION("""COMPUTED_VALUE"""),1.0177958816595463)</f>
        <v>1.017795882</v>
      </c>
      <c r="AN2353" s="82">
        <f>IFERROR(__xludf.DUMMYFUNCTION("""COMPUTED_VALUE"""),1.038895646747019)</f>
        <v>1.038895647</v>
      </c>
      <c r="AO2353" s="82">
        <f>IFERROR(__xludf.DUMMYFUNCTION("""COMPUTED_VALUE"""),1.2573395858324399)</f>
        <v>1.257339586</v>
      </c>
      <c r="AP2353" s="82">
        <f>IFERROR(__xludf.DUMMYFUNCTION("""COMPUTED_VALUE"""),1.0484710314235968)</f>
        <v>1.048471031</v>
      </c>
      <c r="AQ2353" s="82">
        <f>IFERROR(__xludf.DUMMYFUNCTION("""COMPUTED_VALUE"""),0.9414629056253022)</f>
        <v>0.9414629056</v>
      </c>
      <c r="AR2353" s="82">
        <f>IFERROR(__xludf.DUMMYFUNCTION("""COMPUTED_VALUE"""),1.0222117089568252)</f>
        <v>1.022211709</v>
      </c>
      <c r="AS2353" s="82">
        <f>IFERROR(__xludf.DUMMYFUNCTION("""COMPUTED_VALUE"""),94.0)</f>
        <v>94</v>
      </c>
      <c r="AT2353" s="82">
        <f>IFERROR(__xludf.DUMMYFUNCTION("""COMPUTED_VALUE"""),0.5216060836764169)</f>
        <v>0.5216060837</v>
      </c>
      <c r="AU2353" s="82">
        <f>IFERROR(__xludf.DUMMYFUNCTION("""COMPUTED_VALUE"""),3.1450182021993407)</f>
        <v>3.145018202</v>
      </c>
      <c r="AV2353" s="82">
        <f>IFERROR(__xludf.DUMMYFUNCTION("""COMPUTED_VALUE"""),57.87338323790722)</f>
        <v>57.87338324</v>
      </c>
      <c r="AW2353" s="82">
        <f t="shared" si="1"/>
        <v>2.65671018</v>
      </c>
      <c r="AX2353" s="83">
        <f t="array" ref="AX2353">IFERROR(DGET('SBV Import'!A:G,"SBV",{"RSC ID","Tier";B2353,A2353}))</f>
        <v>52.39138763</v>
      </c>
      <c r="AY2353" s="82">
        <f t="shared" si="2"/>
        <v>2.164984411</v>
      </c>
      <c r="AZ2353" s="82">
        <v>0.49172576863346595</v>
      </c>
      <c r="BA2353" s="84">
        <v>2300.0</v>
      </c>
      <c r="BB2353" s="84" t="b">
        <f>IFERROR(__xludf.DUMMYFUNCTION("iferror(if(A2353="""",,E2353&gt;=FILTER(Constants!$F$2:$F$10,Constants!$A$2:$A$10=A2353)))"),TRUE)</f>
        <v>1</v>
      </c>
    </row>
    <row r="2354">
      <c r="A2354" s="89" t="str">
        <f>IFERROR(__xludf.DUMMYFUNCTION("""COMPUTED_VALUE"""),"Challenger")</f>
        <v>Challenger</v>
      </c>
      <c r="B2354" s="87" t="str">
        <f>IFERROR(__xludf.DUMMYFUNCTION("""COMPUTED_VALUE"""),"RSC007313")</f>
        <v>RSC007313</v>
      </c>
      <c r="C2354" s="73" t="str">
        <f>IFERROR(__xludf.DUMMYFUNCTION("""COMPUTED_VALUE"""),"xNunYaBidn3ss")</f>
        <v>xNunYaBidn3ss</v>
      </c>
      <c r="D2354" s="73" t="str">
        <f>IFERROR(__xludf.DUMMYFUNCTION("""COMPUTED_VALUE"""),"Zombies")</f>
        <v>Zombies</v>
      </c>
      <c r="E2354" s="82">
        <f>IFERROR(__xludf.DUMMYFUNCTION("""COMPUTED_VALUE"""),26.0)</f>
        <v>26</v>
      </c>
      <c r="F2354" s="82">
        <f>IFERROR(__xludf.DUMMYFUNCTION("""COMPUTED_VALUE"""),16.0)</f>
        <v>16</v>
      </c>
      <c r="G2354" s="86">
        <f>IFERROR(__xludf.DUMMYFUNCTION("""COMPUTED_VALUE"""),10.0)</f>
        <v>10</v>
      </c>
      <c r="H2354" s="86">
        <f>IFERROR(__xludf.DUMMYFUNCTION("""COMPUTED_VALUE"""),0.6153846153846154)</f>
        <v>0.6153846154</v>
      </c>
      <c r="I2354" s="86">
        <f>IFERROR(__xludf.DUMMYFUNCTION("""COMPUTED_VALUE"""),0.3275862068965517)</f>
        <v>0.3275862069</v>
      </c>
      <c r="J2354" s="82">
        <f>IFERROR(__xludf.DUMMYFUNCTION("""COMPUTED_VALUE"""),337.9230769230769)</f>
        <v>337.9230769</v>
      </c>
      <c r="K2354" s="82">
        <f>IFERROR(__xludf.DUMMYFUNCTION("""COMPUTED_VALUE"""),0.7307692307692307)</f>
        <v>0.7307692308</v>
      </c>
      <c r="L2354" s="82">
        <f>IFERROR(__xludf.DUMMYFUNCTION("""COMPUTED_VALUE"""),0.5384615384615384)</f>
        <v>0.5384615385</v>
      </c>
      <c r="M2354" s="82">
        <f>IFERROR(__xludf.DUMMYFUNCTION("""COMPUTED_VALUE"""),1.3461538461538463)</f>
        <v>1.346153846</v>
      </c>
      <c r="N2354" s="82">
        <f>IFERROR(__xludf.DUMMYFUNCTION("""COMPUTED_VALUE"""),2.230769230769231)</f>
        <v>2.230769231</v>
      </c>
      <c r="O2354" s="82">
        <f>IFERROR(__xludf.DUMMYFUNCTION("""COMPUTED_VALUE"""),299.37179487179486)</f>
        <v>299.3717949</v>
      </c>
      <c r="P2354" s="82">
        <f>IFERROR(__xludf.DUMMYFUNCTION("""COMPUTED_VALUE"""),0.6153846153846154)</f>
        <v>0.6153846154</v>
      </c>
      <c r="Q2354" s="82">
        <f>IFERROR(__xludf.DUMMYFUNCTION("""COMPUTED_VALUE"""),0.4230769230769231)</f>
        <v>0.4230769231</v>
      </c>
      <c r="R2354" s="82">
        <f>IFERROR(__xludf.DUMMYFUNCTION("""COMPUTED_VALUE"""),1.141025641025641)</f>
        <v>1.141025641</v>
      </c>
      <c r="S2354" s="82">
        <f>IFERROR(__xludf.DUMMYFUNCTION("""COMPUTED_VALUE"""),2.166666666666667)</f>
        <v>2.166666667</v>
      </c>
      <c r="T2354" s="82">
        <f>IFERROR(__xludf.DUMMYFUNCTION("""COMPUTED_VALUE"""),341.86774783379246)</f>
        <v>341.8677478</v>
      </c>
      <c r="U2354" s="82">
        <f>IFERROR(__xludf.DUMMYFUNCTION("""COMPUTED_VALUE"""),0.7896187610915949)</f>
        <v>0.7896187611</v>
      </c>
      <c r="V2354" s="82">
        <f>IFERROR(__xludf.DUMMYFUNCTION("""COMPUTED_VALUE"""),0.5661388387823988)</f>
        <v>0.5661388388</v>
      </c>
      <c r="W2354" s="82">
        <f>IFERROR(__xludf.DUMMYFUNCTION("""COMPUTED_VALUE"""),1.2393514050669245)</f>
        <v>1.239351405</v>
      </c>
      <c r="X2354" s="82">
        <f>IFERROR(__xludf.DUMMYFUNCTION("""COMPUTED_VALUE"""),2.515538123065733)</f>
        <v>2.515538123</v>
      </c>
      <c r="Y2354" s="82">
        <f>IFERROR(__xludf.DUMMYFUNCTION("""COMPUTED_VALUE"""),338.13386123129555)</f>
        <v>338.1338612</v>
      </c>
      <c r="Z2354" s="82">
        <f>IFERROR(__xludf.DUMMYFUNCTION("""COMPUTED_VALUE"""),0.7544579112211244)</f>
        <v>0.7544579112</v>
      </c>
      <c r="AA2354" s="82">
        <f>IFERROR(__xludf.DUMMYFUNCTION("""COMPUTED_VALUE"""),0.5353632466173485)</f>
        <v>0.5353632466</v>
      </c>
      <c r="AB2354" s="82">
        <f>IFERROR(__xludf.DUMMYFUNCTION("""COMPUTED_VALUE"""),1.2845473924034145)</f>
        <v>1.284547392</v>
      </c>
      <c r="AC2354" s="82">
        <f>IFERROR(__xludf.DUMMYFUNCTION("""COMPUTED_VALUE"""),2.435396976160235)</f>
        <v>2.435396976</v>
      </c>
      <c r="AD2354" s="82">
        <f>IFERROR(__xludf.DUMMYFUNCTION("""COMPUTED_VALUE"""),0.9993766246673697)</f>
        <v>0.9993766247</v>
      </c>
      <c r="AE2354" s="82">
        <f>IFERROR(__xludf.DUMMYFUNCTION("""COMPUTED_VALUE"""),0.9686017203881494)</f>
        <v>0.9686017204</v>
      </c>
      <c r="AF2354" s="82">
        <f>IFERROR(__xludf.DUMMYFUNCTION("""COMPUTED_VALUE"""),1.005787270351049)</f>
        <v>1.00578727</v>
      </c>
      <c r="AG2354" s="82">
        <f>IFERROR(__xludf.DUMMYFUNCTION("""COMPUTED_VALUE"""),1.0479596580980675)</f>
        <v>1.047959658</v>
      </c>
      <c r="AH2354" s="82">
        <f>IFERROR(__xludf.DUMMYFUNCTION("""COMPUTED_VALUE"""),0.9159776630282138)</f>
        <v>0.915977663</v>
      </c>
      <c r="AI2354" s="82">
        <f>IFERROR(__xludf.DUMMYFUNCTION("""COMPUTED_VALUE"""),0.8756947584811128)</f>
        <v>0.8756947585</v>
      </c>
      <c r="AJ2354" s="82">
        <f>IFERROR(__xludf.DUMMYFUNCTION("""COMPUTED_VALUE"""),0.7793439640845001)</f>
        <v>0.7793439641</v>
      </c>
      <c r="AK2354" s="82">
        <f>IFERROR(__xludf.DUMMYFUNCTION("""COMPUTED_VALUE"""),0.7473024178783413)</f>
        <v>0.7473024179</v>
      </c>
      <c r="AL2354" s="82">
        <f>IFERROR(__xludf.DUMMYFUNCTION("""COMPUTED_VALUE"""),0.9206635312315041)</f>
        <v>0.9206635312</v>
      </c>
      <c r="AM2354" s="82">
        <f>IFERROR(__xludf.DUMMYFUNCTION("""COMPUTED_VALUE"""),0.8613133892902843)</f>
        <v>0.8613133893</v>
      </c>
      <c r="AN2354" s="82">
        <f>IFERROR(__xludf.DUMMYFUNCTION("""COMPUTED_VALUE"""),1.0387422712017176)</f>
        <v>1.038742271</v>
      </c>
      <c r="AO2354" s="82">
        <f>IFERROR(__xludf.DUMMYFUNCTION("""COMPUTED_VALUE"""),0.9998978833033993)</f>
        <v>0.9998978833</v>
      </c>
      <c r="AP2354" s="82">
        <f>IFERROR(__xludf.DUMMYFUNCTION("""COMPUTED_VALUE"""),1.0444384505335058)</f>
        <v>1.044438451</v>
      </c>
      <c r="AQ2354" s="82">
        <f>IFERROR(__xludf.DUMMYFUNCTION("""COMPUTED_VALUE"""),1.1164784457735957)</f>
        <v>1.116478446</v>
      </c>
      <c r="AR2354" s="82">
        <f>IFERROR(__xludf.DUMMYFUNCTION("""COMPUTED_VALUE"""),0.9374642424877551)</f>
        <v>0.9374642425</v>
      </c>
      <c r="AS2354" s="82">
        <f>IFERROR(__xludf.DUMMYFUNCTION("""COMPUTED_VALUE"""),70.0)</f>
        <v>70</v>
      </c>
      <c r="AT2354" s="82">
        <f>IFERROR(__xludf.DUMMYFUNCTION("""COMPUTED_VALUE"""),0.6416168639237134)</f>
        <v>0.6416168639</v>
      </c>
      <c r="AU2354" s="82">
        <f>IFERROR(__xludf.DUMMYFUNCTION("""COMPUTED_VALUE"""),3.137658578090554)</f>
        <v>3.137658578</v>
      </c>
      <c r="AV2354" s="82">
        <f>IFERROR(__xludf.DUMMYFUNCTION("""COMPUTED_VALUE"""),57.68130984920147)</f>
        <v>57.68130985</v>
      </c>
      <c r="AW2354" s="82">
        <f t="shared" si="1"/>
        <v>2.636257374</v>
      </c>
      <c r="AX2354" s="83">
        <f t="array" ref="AX2354">IFERROR(DGET('SBV Import'!A:G,"SBV",{"RSC ID","Tier";B2354,A2354}))</f>
        <v>61.03600401</v>
      </c>
      <c r="AY2354" s="82">
        <f t="shared" si="2"/>
        <v>3.035387887</v>
      </c>
      <c r="AZ2354" s="82">
        <v>0.39913051341840466</v>
      </c>
      <c r="BA2354" s="84">
        <v>2300.0</v>
      </c>
      <c r="BB2354" s="84" t="b">
        <f>IFERROR(__xludf.DUMMYFUNCTION("iferror(if(A2354="""",,E2354&gt;=FILTER(Constants!$F$2:$F$10,Constants!$A$2:$A$10=A2354)))"),TRUE)</f>
        <v>1</v>
      </c>
    </row>
    <row r="2355">
      <c r="A2355" s="89" t="str">
        <f>IFERROR(__xludf.DUMMYFUNCTION("""COMPUTED_VALUE"""),"Challenger")</f>
        <v>Challenger</v>
      </c>
      <c r="B2355" s="87" t="str">
        <f>IFERROR(__xludf.DUMMYFUNCTION("""COMPUTED_VALUE"""),"RSC004059")</f>
        <v>RSC004059</v>
      </c>
      <c r="C2355" s="73" t="str">
        <f>IFERROR(__xludf.DUMMYFUNCTION("""COMPUTED_VALUE"""),"turboalpaca")</f>
        <v>turboalpaca</v>
      </c>
      <c r="D2355" s="73" t="str">
        <f>IFERROR(__xludf.DUMMYFUNCTION("""COMPUTED_VALUE"""),"Decuriones")</f>
        <v>Decuriones</v>
      </c>
      <c r="E2355" s="82">
        <f>IFERROR(__xludf.DUMMYFUNCTION("""COMPUTED_VALUE"""),32.0)</f>
        <v>32</v>
      </c>
      <c r="F2355" s="82">
        <f>IFERROR(__xludf.DUMMYFUNCTION("""COMPUTED_VALUE"""),16.0)</f>
        <v>16</v>
      </c>
      <c r="G2355" s="86">
        <f>IFERROR(__xludf.DUMMYFUNCTION("""COMPUTED_VALUE"""),16.0)</f>
        <v>16</v>
      </c>
      <c r="H2355" s="86">
        <f>IFERROR(__xludf.DUMMYFUNCTION("""COMPUTED_VALUE"""),0.5)</f>
        <v>0.5</v>
      </c>
      <c r="I2355" s="86">
        <f>IFERROR(__xludf.DUMMYFUNCTION("""COMPUTED_VALUE"""),0.2857142857142857)</f>
        <v>0.2857142857</v>
      </c>
      <c r="J2355" s="82">
        <f>IFERROR(__xludf.DUMMYFUNCTION("""COMPUTED_VALUE"""),321.09375)</f>
        <v>321.09375</v>
      </c>
      <c r="K2355" s="82">
        <f>IFERROR(__xludf.DUMMYFUNCTION("""COMPUTED_VALUE"""),0.6875)</f>
        <v>0.6875</v>
      </c>
      <c r="L2355" s="82">
        <f>IFERROR(__xludf.DUMMYFUNCTION("""COMPUTED_VALUE"""),0.65625)</f>
        <v>0.65625</v>
      </c>
      <c r="M2355" s="82">
        <f>IFERROR(__xludf.DUMMYFUNCTION("""COMPUTED_VALUE"""),1.125)</f>
        <v>1.125</v>
      </c>
      <c r="N2355" s="82">
        <f>IFERROR(__xludf.DUMMYFUNCTION("""COMPUTED_VALUE"""),2.40625)</f>
        <v>2.40625</v>
      </c>
      <c r="O2355" s="82">
        <f>IFERROR(__xludf.DUMMYFUNCTION("""COMPUTED_VALUE"""),323.4166666666667)</f>
        <v>323.4166667</v>
      </c>
      <c r="P2355" s="82">
        <f>IFERROR(__xludf.DUMMYFUNCTION("""COMPUTED_VALUE"""),0.6562500000000001)</f>
        <v>0.65625</v>
      </c>
      <c r="Q2355" s="82">
        <f>IFERROR(__xludf.DUMMYFUNCTION("""COMPUTED_VALUE"""),0.47916666666666663)</f>
        <v>0.4791666667</v>
      </c>
      <c r="R2355" s="82">
        <f>IFERROR(__xludf.DUMMYFUNCTION("""COMPUTED_VALUE"""),1.3229166666666665)</f>
        <v>1.322916667</v>
      </c>
      <c r="S2355" s="82">
        <f>IFERROR(__xludf.DUMMYFUNCTION("""COMPUTED_VALUE"""),2.1770833333333335)</f>
        <v>2.177083333</v>
      </c>
      <c r="T2355" s="82">
        <f>IFERROR(__xludf.DUMMYFUNCTION("""COMPUTED_VALUE"""),338.5418662071311)</f>
        <v>338.5418662</v>
      </c>
      <c r="U2355" s="82">
        <f>IFERROR(__xludf.DUMMYFUNCTION("""COMPUTED_VALUE"""),0.7690588977561388)</f>
        <v>0.7690588978</v>
      </c>
      <c r="V2355" s="82">
        <f>IFERROR(__xludf.DUMMYFUNCTION("""COMPUTED_VALUE"""),0.5453677685183848)</f>
        <v>0.5453677685</v>
      </c>
      <c r="W2355" s="82">
        <f>IFERROR(__xludf.DUMMYFUNCTION("""COMPUTED_VALUE"""),1.280696494892379)</f>
        <v>1.280696495</v>
      </c>
      <c r="X2355" s="82">
        <f>IFERROR(__xludf.DUMMYFUNCTION("""COMPUTED_VALUE"""),2.339705683700832)</f>
        <v>2.339705684</v>
      </c>
      <c r="Y2355" s="82">
        <f>IFERROR(__xludf.DUMMYFUNCTION("""COMPUTED_VALUE"""),332.24510360444947)</f>
        <v>332.2451036</v>
      </c>
      <c r="Z2355" s="82">
        <f>IFERROR(__xludf.DUMMYFUNCTION("""COMPUTED_VALUE"""),0.7649087478403862)</f>
        <v>0.7649087478</v>
      </c>
      <c r="AA2355" s="82">
        <f>IFERROR(__xludf.DUMMYFUNCTION("""COMPUTED_VALUE"""),0.5386512074793901)</f>
        <v>0.5386512075</v>
      </c>
      <c r="AB2355" s="82">
        <f>IFERROR(__xludf.DUMMYFUNCTION("""COMPUTED_VALUE"""),1.167209249919767)</f>
        <v>1.16720925</v>
      </c>
      <c r="AC2355" s="82">
        <f>IFERROR(__xludf.DUMMYFUNCTION("""COMPUTED_VALUE"""),2.4990963179115875)</f>
        <v>2.499096318</v>
      </c>
      <c r="AD2355" s="82">
        <f>IFERROR(__xludf.DUMMYFUNCTION("""COMPUTED_VALUE"""),0.9664363643482747)</f>
        <v>0.9664363643</v>
      </c>
      <c r="AE2355" s="82">
        <f>IFERROR(__xludf.DUMMYFUNCTION("""COMPUTED_VALUE"""),0.8988000228014923)</f>
        <v>0.8988000228</v>
      </c>
      <c r="AF2355" s="82">
        <f>IFERROR(__xludf.DUMMYFUNCTION("""COMPUTED_VALUE"""),1.218320855662631)</f>
        <v>1.218320856</v>
      </c>
      <c r="AG2355" s="82">
        <f>IFERROR(__xludf.DUMMYFUNCTION("""COMPUTED_VALUE"""),0.96383746108706)</f>
        <v>0.9638374611</v>
      </c>
      <c r="AH2355" s="82">
        <f>IFERROR(__xludf.DUMMYFUNCTION("""COMPUTED_VALUE"""),0.9628480434122779)</f>
        <v>0.9628480434</v>
      </c>
      <c r="AI2355" s="82">
        <f>IFERROR(__xludf.DUMMYFUNCTION("""COMPUTED_VALUE"""),0.9553225138446827)</f>
        <v>0.9553225138</v>
      </c>
      <c r="AJ2355" s="82">
        <f>IFERROR(__xludf.DUMMYFUNCTION("""COMPUTED_VALUE"""),0.8533156588067858)</f>
        <v>0.8533156588</v>
      </c>
      <c r="AK2355" s="82">
        <f>IFERROR(__xludf.DUMMYFUNCTION("""COMPUTED_VALUE"""),0.8786120015277609)</f>
        <v>0.8786120015</v>
      </c>
      <c r="AL2355" s="82">
        <f>IFERROR(__xludf.DUMMYFUNCTION("""COMPUTED_VALUE"""),1.032966570879727)</f>
        <v>1.032966571</v>
      </c>
      <c r="AM2355" s="82">
        <f>IFERROR(__xludf.DUMMYFUNCTION("""COMPUTED_VALUE"""),0.9304945269397003)</f>
        <v>0.9304945269</v>
      </c>
      <c r="AN2355" s="82">
        <f>IFERROR(__xludf.DUMMYFUNCTION("""COMPUTED_VALUE"""),0.9870105770243102)</f>
        <v>0.987010577</v>
      </c>
      <c r="AO2355" s="82">
        <f>IFERROR(__xludf.DUMMYFUNCTION("""COMPUTED_VALUE"""),0.9406934033709613)</f>
        <v>0.9406934034</v>
      </c>
      <c r="AP2355" s="82">
        <f>IFERROR(__xludf.DUMMYFUNCTION("""COMPUTED_VALUE"""),1.2729093615877103)</f>
        <v>1.272909362</v>
      </c>
      <c r="AQ2355" s="82">
        <f>IFERROR(__xludf.DUMMYFUNCTION("""COMPUTED_VALUE"""),0.9330569868250763)</f>
        <v>0.9330569868</v>
      </c>
      <c r="AR2355" s="82">
        <f>IFERROR(__xludf.DUMMYFUNCTION("""COMPUTED_VALUE"""),1.0112087357006927)</f>
        <v>1.011208736</v>
      </c>
      <c r="AS2355" s="82">
        <f>IFERROR(__xludf.DUMMYFUNCTION("""COMPUTED_VALUE"""),68.0)</f>
        <v>68</v>
      </c>
      <c r="AT2355" s="82">
        <f>IFERROR(__xludf.DUMMYFUNCTION("""COMPUTED_VALUE"""),0.5285814890404863)</f>
        <v>0.528581489</v>
      </c>
      <c r="AU2355" s="82">
        <f>IFERROR(__xludf.DUMMYFUNCTION("""COMPUTED_VALUE"""),3.130984684459207)</f>
        <v>3.130984684</v>
      </c>
      <c r="AV2355" s="82">
        <f>IFERROR(__xludf.DUMMYFUNCTION("""COMPUTED_VALUE"""),57.50713283327152)</f>
        <v>57.50713283</v>
      </c>
      <c r="AW2355" s="82">
        <f t="shared" si="1"/>
        <v>2.617939706</v>
      </c>
      <c r="AX2355" s="83">
        <f t="array" ref="AX2355">IFERROR(DGET('SBV Import'!A:G,"SBV",{"RSC ID","Tier";B2355,A2355}))</f>
        <v>51.76285352</v>
      </c>
      <c r="AY2355" s="82">
        <f t="shared" si="2"/>
        <v>2.119127952</v>
      </c>
      <c r="AZ2355" s="82">
        <v>0.49881175398572397</v>
      </c>
      <c r="BA2355" s="84">
        <v>2300.0</v>
      </c>
      <c r="BB2355" s="84" t="b">
        <f>IFERROR(__xludf.DUMMYFUNCTION("iferror(if(A2355="""",,E2355&gt;=FILTER(Constants!$F$2:$F$10,Constants!$A$2:$A$10=A2355)))"),TRUE)</f>
        <v>1</v>
      </c>
    </row>
    <row r="2356">
      <c r="A2356" s="89" t="str">
        <f>IFERROR(__xludf.DUMMYFUNCTION("""COMPUTED_VALUE"""),"Challenger")</f>
        <v>Challenger</v>
      </c>
      <c r="B2356" s="87" t="str">
        <f>IFERROR(__xludf.DUMMYFUNCTION("""COMPUTED_VALUE"""),"RSC002897")</f>
        <v>RSC002897</v>
      </c>
      <c r="C2356" s="73" t="str">
        <f>IFERROR(__xludf.DUMMYFUNCTION("""COMPUTED_VALUE"""),"VickyViksta")</f>
        <v>VickyViksta</v>
      </c>
      <c r="D2356" s="73" t="str">
        <f>IFERROR(__xludf.DUMMYFUNCTION("""COMPUTED_VALUE"""),"Panda Bears")</f>
        <v>Panda Bears</v>
      </c>
      <c r="E2356" s="82">
        <f>IFERROR(__xludf.DUMMYFUNCTION("""COMPUTED_VALUE"""),43.0)</f>
        <v>43</v>
      </c>
      <c r="F2356" s="82">
        <f>IFERROR(__xludf.DUMMYFUNCTION("""COMPUTED_VALUE"""),25.0)</f>
        <v>25</v>
      </c>
      <c r="G2356" s="86">
        <f>IFERROR(__xludf.DUMMYFUNCTION("""COMPUTED_VALUE"""),18.0)</f>
        <v>18</v>
      </c>
      <c r="H2356" s="86">
        <f>IFERROR(__xludf.DUMMYFUNCTION("""COMPUTED_VALUE"""),0.5813953488372093)</f>
        <v>0.5813953488</v>
      </c>
      <c r="I2356" s="86">
        <f>IFERROR(__xludf.DUMMYFUNCTION("""COMPUTED_VALUE"""),0.2543859649122807)</f>
        <v>0.2543859649</v>
      </c>
      <c r="J2356" s="82">
        <f>IFERROR(__xludf.DUMMYFUNCTION("""COMPUTED_VALUE"""),351.51162790697674)</f>
        <v>351.5116279</v>
      </c>
      <c r="K2356" s="82">
        <f>IFERROR(__xludf.DUMMYFUNCTION("""COMPUTED_VALUE"""),0.6744186046511628)</f>
        <v>0.6744186047</v>
      </c>
      <c r="L2356" s="82">
        <f>IFERROR(__xludf.DUMMYFUNCTION("""COMPUTED_VALUE"""),0.5116279069767442)</f>
        <v>0.511627907</v>
      </c>
      <c r="M2356" s="82">
        <f>IFERROR(__xludf.DUMMYFUNCTION("""COMPUTED_VALUE"""),1.5813953488372092)</f>
        <v>1.581395349</v>
      </c>
      <c r="N2356" s="82">
        <f>IFERROR(__xludf.DUMMYFUNCTION("""COMPUTED_VALUE"""),2.6511627906976742)</f>
        <v>2.651162791</v>
      </c>
      <c r="O2356" s="82">
        <f>IFERROR(__xludf.DUMMYFUNCTION("""COMPUTED_VALUE"""),341.1937984496125)</f>
        <v>341.1937984</v>
      </c>
      <c r="P2356" s="82">
        <f>IFERROR(__xludf.DUMMYFUNCTION("""COMPUTED_VALUE"""),0.62015503875969)</f>
        <v>0.6201550388</v>
      </c>
      <c r="Q2356" s="82">
        <f>IFERROR(__xludf.DUMMYFUNCTION("""COMPUTED_VALUE"""),0.4108527131782946)</f>
        <v>0.4108527132</v>
      </c>
      <c r="R2356" s="82">
        <f>IFERROR(__xludf.DUMMYFUNCTION("""COMPUTED_VALUE"""),1.4883720930232556)</f>
        <v>1.488372093</v>
      </c>
      <c r="S2356" s="82">
        <f>IFERROR(__xludf.DUMMYFUNCTION("""COMPUTED_VALUE"""),2.759689922480621)</f>
        <v>2.759689922</v>
      </c>
      <c r="T2356" s="82">
        <f>IFERROR(__xludf.DUMMYFUNCTION("""COMPUTED_VALUE"""),337.6042051669243)</f>
        <v>337.6042052</v>
      </c>
      <c r="U2356" s="82">
        <f>IFERROR(__xludf.DUMMYFUNCTION("""COMPUTED_VALUE"""),0.7631138820017591)</f>
        <v>0.763113882</v>
      </c>
      <c r="V2356" s="82">
        <f>IFERROR(__xludf.DUMMYFUNCTION("""COMPUTED_VALUE"""),0.5450765870602737)</f>
        <v>0.5450765871</v>
      </c>
      <c r="W2356" s="82">
        <f>IFERROR(__xludf.DUMMYFUNCTION("""COMPUTED_VALUE"""),1.270958146134844)</f>
        <v>1.270958146</v>
      </c>
      <c r="X2356" s="82">
        <f>IFERROR(__xludf.DUMMYFUNCTION("""COMPUTED_VALUE"""),2.4158615977502023)</f>
        <v>2.415861598</v>
      </c>
      <c r="Y2356" s="82">
        <f>IFERROR(__xludf.DUMMYFUNCTION("""COMPUTED_VALUE"""),328.83045806175704)</f>
        <v>328.8304581</v>
      </c>
      <c r="Z2356" s="82">
        <f>IFERROR(__xludf.DUMMYFUNCTION("""COMPUTED_VALUE"""),0.7574733480497439)</f>
        <v>0.757473348</v>
      </c>
      <c r="AA2356" s="82">
        <f>IFERROR(__xludf.DUMMYFUNCTION("""COMPUTED_VALUE"""),0.5222276334806176)</f>
        <v>0.5222276335</v>
      </c>
      <c r="AB2356" s="82">
        <f>IFERROR(__xludf.DUMMYFUNCTION("""COMPUTED_VALUE"""),1.1922830084902583)</f>
        <v>1.192283008</v>
      </c>
      <c r="AC2356" s="82">
        <f>IFERROR(__xludf.DUMMYFUNCTION("""COMPUTED_VALUE"""),2.464160149612994)</f>
        <v>2.46416015</v>
      </c>
      <c r="AD2356" s="82">
        <f>IFERROR(__xludf.DUMMYFUNCTION("""COMPUTED_VALUE"""),1.06897527065744)</f>
        <v>1.068975271</v>
      </c>
      <c r="AE2356" s="82">
        <f>IFERROR(__xludf.DUMMYFUNCTION("""COMPUTED_VALUE"""),0.8903529165581587)</f>
        <v>0.8903529166</v>
      </c>
      <c r="AF2356" s="82">
        <f>IFERROR(__xludf.DUMMYFUNCTION("""COMPUTED_VALUE"""),0.9797028616941872)</f>
        <v>0.9797028617</v>
      </c>
      <c r="AG2356" s="82">
        <f>IFERROR(__xludf.DUMMYFUNCTION("""COMPUTED_VALUE"""),1.326359041918805)</f>
        <v>1.326359042</v>
      </c>
      <c r="AH2356" s="82">
        <f>IFERROR(__xludf.DUMMYFUNCTION("""COMPUTED_VALUE"""),1.0758889965467746)</f>
        <v>1.075888997</v>
      </c>
      <c r="AI2356" s="82">
        <f>IFERROR(__xludf.DUMMYFUNCTION("""COMPUTED_VALUE"""),1.0106325490848471)</f>
        <v>1.010632549</v>
      </c>
      <c r="AJ2356" s="82">
        <f>IFERROR(__xludf.DUMMYFUNCTION("""COMPUTED_VALUE"""),0.8126638151738674)</f>
        <v>0.8126638152</v>
      </c>
      <c r="AK2356" s="82">
        <f>IFERROR(__xludf.DUMMYFUNCTION("""COMPUTED_VALUE"""),0.7537522669871402)</f>
        <v>0.753752267</v>
      </c>
      <c r="AL2356" s="82">
        <f>IFERROR(__xludf.DUMMYFUNCTION("""COMPUTED_VALUE"""),1.1710630263865076)</f>
        <v>1.171063026</v>
      </c>
      <c r="AM2356" s="82">
        <f>IFERROR(__xludf.DUMMYFUNCTION("""COMPUTED_VALUE"""),1.1423212012851285)</f>
        <v>1.142321201</v>
      </c>
      <c r="AN2356" s="82">
        <f>IFERROR(__xludf.DUMMYFUNCTION("""COMPUTED_VALUE"""),1.080512139184334)</f>
        <v>1.080512139</v>
      </c>
      <c r="AO2356" s="82">
        <f>IFERROR(__xludf.DUMMYFUNCTION("""COMPUTED_VALUE"""),0.9227943745541777)</f>
        <v>0.9227943746</v>
      </c>
      <c r="AP2356" s="82">
        <f>IFERROR(__xludf.DUMMYFUNCTION("""COMPUTED_VALUE"""),0.9923900227660555)</f>
        <v>0.9923900228</v>
      </c>
      <c r="AQ2356" s="82">
        <f>IFERROR(__xludf.DUMMYFUNCTION("""COMPUTED_VALUE"""),1.3115839814802106)</f>
        <v>1.311583981</v>
      </c>
      <c r="AR2356" s="82">
        <f>IFERROR(__xludf.DUMMYFUNCTION("""COMPUTED_VALUE"""),1.1141315215451908)</f>
        <v>1.114131522</v>
      </c>
      <c r="AS2356" s="82">
        <f>IFERROR(__xludf.DUMMYFUNCTION("""COMPUTED_VALUE"""),106.0)</f>
        <v>106</v>
      </c>
      <c r="AT2356" s="82">
        <f>IFERROR(__xludf.DUMMYFUNCTION("""COMPUTED_VALUE"""),0.6055006407796887)</f>
        <v>0.6055006408</v>
      </c>
      <c r="AU2356" s="82">
        <f>IFERROR(__xludf.DUMMYFUNCTION("""COMPUTED_VALUE"""),3.115428393255739)</f>
        <v>3.115428393</v>
      </c>
      <c r="AV2356" s="82">
        <f>IFERROR(__xludf.DUMMYFUNCTION("""COMPUTED_VALUE"""),57.10114068979016)</f>
        <v>57.10114069</v>
      </c>
      <c r="AW2356" s="82">
        <f t="shared" si="1"/>
        <v>2.576073332</v>
      </c>
      <c r="AX2356" s="83">
        <f t="array" ref="AX2356">IFERROR(DGET('SBV Import'!A:G,"SBV",{"RSC ID","Tier";B2356,A2356}))</f>
        <v>39.04398929</v>
      </c>
      <c r="AY2356" s="82">
        <f t="shared" si="2"/>
        <v>-3.024748471</v>
      </c>
      <c r="AZ2356" s="82">
        <v>5.600821802101258</v>
      </c>
      <c r="BA2356" s="84">
        <v>2300.0</v>
      </c>
      <c r="BB2356" s="84" t="b">
        <f>IFERROR(__xludf.DUMMYFUNCTION("iferror(if(A2356="""",,E2356&gt;=FILTER(Constants!$F$2:$F$10,Constants!$A$2:$A$10=A2356)))"),TRUE)</f>
        <v>1</v>
      </c>
    </row>
    <row r="2357">
      <c r="A2357" s="89" t="str">
        <f>IFERROR(__xludf.DUMMYFUNCTION("""COMPUTED_VALUE"""),"Challenger")</f>
        <v>Challenger</v>
      </c>
      <c r="B2357" s="87" t="str">
        <f>IFERROR(__xludf.DUMMYFUNCTION("""COMPUTED_VALUE"""),"RSC006244")</f>
        <v>RSC006244</v>
      </c>
      <c r="C2357" s="73" t="str">
        <f>IFERROR(__xludf.DUMMYFUNCTION("""COMPUTED_VALUE"""),"Whiite Bear")</f>
        <v>Whiite Bear</v>
      </c>
      <c r="D2357" s="73" t="str">
        <f>IFERROR(__xludf.DUMMYFUNCTION("""COMPUTED_VALUE"""),"Panda Bears")</f>
        <v>Panda Bears</v>
      </c>
      <c r="E2357" s="82">
        <f>IFERROR(__xludf.DUMMYFUNCTION("""COMPUTED_VALUE"""),22.0)</f>
        <v>22</v>
      </c>
      <c r="F2357" s="82">
        <f>IFERROR(__xludf.DUMMYFUNCTION("""COMPUTED_VALUE"""),8.0)</f>
        <v>8</v>
      </c>
      <c r="G2357" s="86">
        <f>IFERROR(__xludf.DUMMYFUNCTION("""COMPUTED_VALUE"""),14.0)</f>
        <v>14</v>
      </c>
      <c r="H2357" s="86">
        <f>IFERROR(__xludf.DUMMYFUNCTION("""COMPUTED_VALUE"""),0.36363636363636365)</f>
        <v>0.3636363636</v>
      </c>
      <c r="I2357" s="86">
        <f>IFERROR(__xludf.DUMMYFUNCTION("""COMPUTED_VALUE"""),0.37037037037037035)</f>
        <v>0.3703703704</v>
      </c>
      <c r="J2357" s="82">
        <f>IFERROR(__xludf.DUMMYFUNCTION("""COMPUTED_VALUE"""),368.90909090909093)</f>
        <v>368.9090909</v>
      </c>
      <c r="K2357" s="82">
        <f>IFERROR(__xludf.DUMMYFUNCTION("""COMPUTED_VALUE"""),0.9090909090909091)</f>
        <v>0.9090909091</v>
      </c>
      <c r="L2357" s="82">
        <f>IFERROR(__xludf.DUMMYFUNCTION("""COMPUTED_VALUE"""),0.3181818181818182)</f>
        <v>0.3181818182</v>
      </c>
      <c r="M2357" s="82">
        <f>IFERROR(__xludf.DUMMYFUNCTION("""COMPUTED_VALUE"""),1.4545454545454546)</f>
        <v>1.454545455</v>
      </c>
      <c r="N2357" s="82">
        <f>IFERROR(__xludf.DUMMYFUNCTION("""COMPUTED_VALUE"""),2.4545454545454546)</f>
        <v>2.454545455</v>
      </c>
      <c r="O2357" s="82">
        <f>IFERROR(__xludf.DUMMYFUNCTION("""COMPUTED_VALUE"""),345.8030303030303)</f>
        <v>345.8030303</v>
      </c>
      <c r="P2357" s="82">
        <f>IFERROR(__xludf.DUMMYFUNCTION("""COMPUTED_VALUE"""),0.7575757575757577)</f>
        <v>0.7575757576</v>
      </c>
      <c r="Q2357" s="82">
        <f>IFERROR(__xludf.DUMMYFUNCTION("""COMPUTED_VALUE"""),0.5)</f>
        <v>0.5</v>
      </c>
      <c r="R2357" s="82">
        <f>IFERROR(__xludf.DUMMYFUNCTION("""COMPUTED_VALUE"""),1.303030303030303)</f>
        <v>1.303030303</v>
      </c>
      <c r="S2357" s="82">
        <f>IFERROR(__xludf.DUMMYFUNCTION("""COMPUTED_VALUE"""),2.6969696969696972)</f>
        <v>2.696969697</v>
      </c>
      <c r="T2357" s="82">
        <f>IFERROR(__xludf.DUMMYFUNCTION("""COMPUTED_VALUE"""),344.0416591931353)</f>
        <v>344.0416592</v>
      </c>
      <c r="U2357" s="82">
        <f>IFERROR(__xludf.DUMMYFUNCTION("""COMPUTED_VALUE"""),0.7739017134430708)</f>
        <v>0.7739017134</v>
      </c>
      <c r="V2357" s="82">
        <f>IFERROR(__xludf.DUMMYFUNCTION("""COMPUTED_VALUE"""),0.5730354636758279)</f>
        <v>0.5730354637</v>
      </c>
      <c r="W2357" s="82">
        <f>IFERROR(__xludf.DUMMYFUNCTION("""COMPUTED_VALUE"""),1.3083849676554296)</f>
        <v>1.308384968</v>
      </c>
      <c r="X2357" s="82">
        <f>IFERROR(__xludf.DUMMYFUNCTION("""COMPUTED_VALUE"""),2.3847461124912197)</f>
        <v>2.384746112</v>
      </c>
      <c r="Y2357" s="82">
        <f>IFERROR(__xludf.DUMMYFUNCTION("""COMPUTED_VALUE"""),327.62087182368924)</f>
        <v>327.6208718</v>
      </c>
      <c r="Z2357" s="82">
        <f>IFERROR(__xludf.DUMMYFUNCTION("""COMPUTED_VALUE"""),0.7280672088104847)</f>
        <v>0.7280672088</v>
      </c>
      <c r="AA2357" s="82">
        <f>IFERROR(__xludf.DUMMYFUNCTION("""COMPUTED_VALUE"""),0.5138926540638518)</f>
        <v>0.5138926541</v>
      </c>
      <c r="AB2357" s="82">
        <f>IFERROR(__xludf.DUMMYFUNCTION("""COMPUTED_VALUE"""),1.175945356191749)</f>
        <v>1.175945356</v>
      </c>
      <c r="AC2357" s="82">
        <f>IFERROR(__xludf.DUMMYFUNCTION("""COMPUTED_VALUE"""),2.460250133186282)</f>
        <v>2.460250133</v>
      </c>
      <c r="AD2357" s="82">
        <f>IFERROR(__xludf.DUMMYFUNCTION("""COMPUTED_VALUE"""),1.1260243856124683)</f>
        <v>1.126024386</v>
      </c>
      <c r="AE2357" s="82">
        <f>IFERROR(__xludf.DUMMYFUNCTION("""COMPUTED_VALUE"""),1.2486359749344853)</f>
        <v>1.248635975</v>
      </c>
      <c r="AF2357" s="82">
        <f>IFERROR(__xludf.DUMMYFUNCTION("""COMPUTED_VALUE"""),0.619160082685836)</f>
        <v>0.6191600827</v>
      </c>
      <c r="AG2357" s="82">
        <f>IFERROR(__xludf.DUMMYFUNCTION("""COMPUTED_VALUE"""),1.2369158540290857)</f>
        <v>1.236915854</v>
      </c>
      <c r="AH2357" s="82">
        <f>IFERROR(__xludf.DUMMYFUNCTION("""COMPUTED_VALUE"""),0.997681260712528)</f>
        <v>0.9976812607</v>
      </c>
      <c r="AI2357" s="82">
        <f>IFERROR(__xludf.DUMMYFUNCTION("""COMPUTED_VALUE"""),1.0051196448535502)</f>
        <v>1.005119645</v>
      </c>
      <c r="AJ2357" s="82">
        <f>IFERROR(__xludf.DUMMYFUNCTION("""COMPUTED_VALUE"""),0.9789043549281222)</f>
        <v>0.9789043549</v>
      </c>
      <c r="AK2357" s="82">
        <f>IFERROR(__xludf.DUMMYFUNCTION("""COMPUTED_VALUE"""),0.8725463460719687)</f>
        <v>0.8725463461</v>
      </c>
      <c r="AL2357" s="82">
        <f>IFERROR(__xludf.DUMMYFUNCTION("""COMPUTED_VALUE"""),0.9959074242233752)</f>
        <v>0.9959074242</v>
      </c>
      <c r="AM2357" s="82">
        <f>IFERROR(__xludf.DUMMYFUNCTION("""COMPUTED_VALUE"""),1.1309252934067324)</f>
        <v>1.130925293</v>
      </c>
      <c r="AN2357" s="82">
        <f>IFERROR(__xludf.DUMMYFUNCTION("""COMPUTED_VALUE"""),1.1339902277378353)</f>
        <v>1.133990228</v>
      </c>
      <c r="AO2357" s="82">
        <f>IFERROR(__xludf.DUMMYFUNCTION("""COMPUTED_VALUE"""),1.2438921036310233)</f>
        <v>1.243892104</v>
      </c>
      <c r="AP2357" s="82">
        <f>IFERROR(__xludf.DUMMYFUNCTION("""COMPUTED_VALUE"""),0.6171681753152535)</f>
        <v>0.6171681753</v>
      </c>
      <c r="AQ2357" s="82">
        <f>IFERROR(__xludf.DUMMYFUNCTION("""COMPUTED_VALUE"""),1.2063767102384826)</f>
        <v>1.20637671</v>
      </c>
      <c r="AR2357" s="82">
        <f>IFERROR(__xludf.DUMMYFUNCTION("""COMPUTED_VALUE"""),1.0315045426746143)</f>
        <v>1.031504543</v>
      </c>
      <c r="AS2357" s="82">
        <f>IFERROR(__xludf.DUMMYFUNCTION("""COMPUTED_VALUE"""),41.0)</f>
        <v>41</v>
      </c>
      <c r="AT2357" s="82">
        <f>IFERROR(__xludf.DUMMYFUNCTION("""COMPUTED_VALUE"""),0.4259782414574266)</f>
        <v>0.4259782415</v>
      </c>
      <c r="AU2357" s="82">
        <f>IFERROR(__xludf.DUMMYFUNCTION("""COMPUTED_VALUE"""),3.106944608336565)</f>
        <v>3.106944608</v>
      </c>
      <c r="AV2357" s="82">
        <f>IFERROR(__xludf.DUMMYFUNCTION("""COMPUTED_VALUE"""),56.87972865917693)</f>
        <v>56.87972866</v>
      </c>
      <c r="AW2357" s="82">
        <f t="shared" si="1"/>
        <v>2.553720951</v>
      </c>
      <c r="AX2357" s="83">
        <f t="array" ref="AX2357">IFERROR(DGET('SBV Import'!A:G,"SBV",{"RSC ID","Tier";B2357,A2357}))</f>
        <v>48.09118183</v>
      </c>
      <c r="AY2357" s="82">
        <f t="shared" si="2"/>
        <v>-2.12961139</v>
      </c>
      <c r="AZ2357" s="82">
        <v>4.683332341344906</v>
      </c>
      <c r="BA2357" s="84">
        <v>2300.0</v>
      </c>
      <c r="BB2357" s="84" t="b">
        <f>IFERROR(__xludf.DUMMYFUNCTION("iferror(if(A2357="""",,E2357&gt;=FILTER(Constants!$F$2:$F$10,Constants!$A$2:$A$10=A2357)))"),TRUE)</f>
        <v>1</v>
      </c>
    </row>
    <row r="2358">
      <c r="A2358" s="89" t="str">
        <f>IFERROR(__xludf.DUMMYFUNCTION("""COMPUTED_VALUE"""),"Challenger")</f>
        <v>Challenger</v>
      </c>
      <c r="B2358" s="87" t="str">
        <f>IFERROR(__xludf.DUMMYFUNCTION("""COMPUTED_VALUE"""),"RSC006747")</f>
        <v>RSC006747</v>
      </c>
      <c r="C2358" s="73" t="str">
        <f>IFERROR(__xludf.DUMMYFUNCTION("""COMPUTED_VALUE"""),"Panda")</f>
        <v>Panda</v>
      </c>
      <c r="D2358" s="73" t="str">
        <f>IFERROR(__xludf.DUMMYFUNCTION("""COMPUTED_VALUE"""),"Toucans")</f>
        <v>Toucans</v>
      </c>
      <c r="E2358" s="82">
        <f>IFERROR(__xludf.DUMMYFUNCTION("""COMPUTED_VALUE"""),43.0)</f>
        <v>43</v>
      </c>
      <c r="F2358" s="82">
        <f>IFERROR(__xludf.DUMMYFUNCTION("""COMPUTED_VALUE"""),25.0)</f>
        <v>25</v>
      </c>
      <c r="G2358" s="86">
        <f>IFERROR(__xludf.DUMMYFUNCTION("""COMPUTED_VALUE"""),18.0)</f>
        <v>18</v>
      </c>
      <c r="H2358" s="86">
        <f>IFERROR(__xludf.DUMMYFUNCTION("""COMPUTED_VALUE"""),0.5813953488372093)</f>
        <v>0.5813953488</v>
      </c>
      <c r="I2358" s="86">
        <f>IFERROR(__xludf.DUMMYFUNCTION("""COMPUTED_VALUE"""),0.3076923076923077)</f>
        <v>0.3076923077</v>
      </c>
      <c r="J2358" s="82">
        <f>IFERROR(__xludf.DUMMYFUNCTION("""COMPUTED_VALUE"""),304.27906976744185)</f>
        <v>304.2790698</v>
      </c>
      <c r="K2358" s="82">
        <f>IFERROR(__xludf.DUMMYFUNCTION("""COMPUTED_VALUE"""),0.7441860465116279)</f>
        <v>0.7441860465</v>
      </c>
      <c r="L2358" s="82">
        <f>IFERROR(__xludf.DUMMYFUNCTION("""COMPUTED_VALUE"""),0.627906976744186)</f>
        <v>0.6279069767</v>
      </c>
      <c r="M2358" s="82">
        <f>IFERROR(__xludf.DUMMYFUNCTION("""COMPUTED_VALUE"""),0.9302325581395349)</f>
        <v>0.9302325581</v>
      </c>
      <c r="N2358" s="82">
        <f>IFERROR(__xludf.DUMMYFUNCTION("""COMPUTED_VALUE"""),2.4186046511627906)</f>
        <v>2.418604651</v>
      </c>
      <c r="O2358" s="82">
        <f>IFERROR(__xludf.DUMMYFUNCTION("""COMPUTED_VALUE"""),313.1395348837209)</f>
        <v>313.1395349</v>
      </c>
      <c r="P2358" s="82">
        <f>IFERROR(__xludf.DUMMYFUNCTION("""COMPUTED_VALUE"""),0.7131782945736435)</f>
        <v>0.7131782946</v>
      </c>
      <c r="Q2358" s="82">
        <f>IFERROR(__xludf.DUMMYFUNCTION("""COMPUTED_VALUE"""),0.4883720930232556)</f>
        <v>0.488372093</v>
      </c>
      <c r="R2358" s="82">
        <f>IFERROR(__xludf.DUMMYFUNCTION("""COMPUTED_VALUE"""),1.1240310077519382)</f>
        <v>1.124031008</v>
      </c>
      <c r="S2358" s="82">
        <f>IFERROR(__xludf.DUMMYFUNCTION("""COMPUTED_VALUE"""),2.2403100775193803)</f>
        <v>2.240310078</v>
      </c>
      <c r="T2358" s="82">
        <f>IFERROR(__xludf.DUMMYFUNCTION("""COMPUTED_VALUE"""),324.66730578318106)</f>
        <v>324.6673058</v>
      </c>
      <c r="U2358" s="82">
        <f>IFERROR(__xludf.DUMMYFUNCTION("""COMPUTED_VALUE"""),0.7400106183705762)</f>
        <v>0.7400106184</v>
      </c>
      <c r="V2358" s="82">
        <f>IFERROR(__xludf.DUMMYFUNCTION("""COMPUTED_VALUE"""),0.5063142096319481)</f>
        <v>0.5063142096</v>
      </c>
      <c r="W2358" s="82">
        <f>IFERROR(__xludf.DUMMYFUNCTION("""COMPUTED_VALUE"""),1.1417605906417918)</f>
        <v>1.141760591</v>
      </c>
      <c r="X2358" s="82">
        <f>IFERROR(__xludf.DUMMYFUNCTION("""COMPUTED_VALUE"""),2.4332703334109143)</f>
        <v>2.433270333</v>
      </c>
      <c r="Y2358" s="82">
        <f>IFERROR(__xludf.DUMMYFUNCTION("""COMPUTED_VALUE"""),330.7491632699525)</f>
        <v>330.7491633</v>
      </c>
      <c r="Z2358" s="82">
        <f>IFERROR(__xludf.DUMMYFUNCTION("""COMPUTED_VALUE"""),0.7624902540800962)</f>
        <v>0.7624902541</v>
      </c>
      <c r="AA2358" s="82">
        <f>IFERROR(__xludf.DUMMYFUNCTION("""COMPUTED_VALUE"""),0.5295006777341121)</f>
        <v>0.5295006777</v>
      </c>
      <c r="AB2358" s="82">
        <f>IFERROR(__xludf.DUMMYFUNCTION("""COMPUTED_VALUE"""),1.197151766598741)</f>
        <v>1.197151767</v>
      </c>
      <c r="AC2358" s="82">
        <f>IFERROR(__xludf.DUMMYFUNCTION("""COMPUTED_VALUE"""),2.3762066022748174)</f>
        <v>2.376206602</v>
      </c>
      <c r="AD2358" s="82">
        <f>IFERROR(__xludf.DUMMYFUNCTION("""COMPUTED_VALUE"""),0.9199692805242076)</f>
        <v>0.9199692805</v>
      </c>
      <c r="AE2358" s="82">
        <f>IFERROR(__xludf.DUMMYFUNCTION("""COMPUTED_VALUE"""),0.9759941750461436)</f>
        <v>0.975994175</v>
      </c>
      <c r="AF2358" s="82">
        <f>IFERROR(__xludf.DUMMYFUNCTION("""COMPUTED_VALUE"""),1.1858473523229152)</f>
        <v>1.185847352</v>
      </c>
      <c r="AG2358" s="82">
        <f>IFERROR(__xludf.DUMMYFUNCTION("""COMPUTED_VALUE"""),0.7770381200559414)</f>
        <v>0.7770381201</v>
      </c>
      <c r="AH2358" s="82">
        <f>IFERROR(__xludf.DUMMYFUNCTION("""COMPUTED_VALUE"""),1.0178427451751815)</f>
        <v>1.017842745</v>
      </c>
      <c r="AI2358" s="82">
        <f>IFERROR(__xludf.DUMMYFUNCTION("""COMPUTED_VALUE"""),0.9644935886856478)</f>
        <v>0.9644935887</v>
      </c>
      <c r="AJ2358" s="82">
        <f>IFERROR(__xludf.DUMMYFUNCTION("""COMPUTED_VALUE"""),0.9637406232683328)</f>
        <v>0.9637406233</v>
      </c>
      <c r="AK2358" s="82">
        <f>IFERROR(__xludf.DUMMYFUNCTION("""COMPUTED_VALUE"""),0.9645632765832605)</f>
        <v>0.9645632766</v>
      </c>
      <c r="AL2358" s="82">
        <f>IFERROR(__xludf.DUMMYFUNCTION("""COMPUTED_VALUE"""),0.984471715843785)</f>
        <v>0.9844717158</v>
      </c>
      <c r="AM2358" s="82">
        <f>IFERROR(__xludf.DUMMYFUNCTION("""COMPUTED_VALUE"""),0.920699211574636)</f>
        <v>0.9206992116</v>
      </c>
      <c r="AN2358" s="82">
        <f>IFERROR(__xludf.DUMMYFUNCTION("""COMPUTED_VALUE"""),0.9353239053316457)</f>
        <v>0.9353239053</v>
      </c>
      <c r="AO2358" s="82">
        <f>IFERROR(__xludf.DUMMYFUNCTION("""COMPUTED_VALUE"""),1.0182558615770236)</f>
        <v>1.018255862</v>
      </c>
      <c r="AP2358" s="82">
        <f>IFERROR(__xludf.DUMMYFUNCTION("""COMPUTED_VALUE"""),1.2179332097583409)</f>
        <v>1.21793321</v>
      </c>
      <c r="AQ2358" s="82">
        <f>IFERROR(__xludf.DUMMYFUNCTION("""COMPUTED_VALUE"""),0.7715199891060063)</f>
        <v>0.7715199891</v>
      </c>
      <c r="AR2358" s="82">
        <f>IFERROR(__xludf.DUMMYFUNCTION("""COMPUTED_VALUE"""),1.0164006863219284)</f>
        <v>1.016400686</v>
      </c>
      <c r="AS2358" s="82">
        <f>IFERROR(__xludf.DUMMYFUNCTION("""COMPUTED_VALUE"""),100.0)</f>
        <v>100</v>
      </c>
      <c r="AT2358" s="82">
        <f>IFERROR(__xludf.DUMMYFUNCTION("""COMPUTED_VALUE"""),0.5319829785398296)</f>
        <v>0.5319829785</v>
      </c>
      <c r="AU2358" s="82">
        <f>IFERROR(__xludf.DUMMYFUNCTION("""COMPUTED_VALUE"""),3.09120652233642)</f>
        <v>3.091206522</v>
      </c>
      <c r="AV2358" s="82">
        <f>IFERROR(__xludf.DUMMYFUNCTION("""COMPUTED_VALUE"""),56.46899198769648)</f>
        <v>56.46899199</v>
      </c>
      <c r="AW2358" s="82">
        <f t="shared" si="1"/>
        <v>2.513128995</v>
      </c>
      <c r="AX2358" s="83">
        <f t="array" ref="AX2358">IFERROR(DGET('SBV Import'!A:G,"SBV",{"RSC ID","Tier";B2358,A2358}))</f>
        <v>54.43241835</v>
      </c>
      <c r="AY2358" s="82">
        <f t="shared" si="2"/>
        <v>2.327542713</v>
      </c>
      <c r="AZ2358" s="82">
        <v>0.18558628260875487</v>
      </c>
      <c r="BA2358" s="84">
        <v>2300.0</v>
      </c>
      <c r="BB2358" s="84" t="b">
        <f>IFERROR(__xludf.DUMMYFUNCTION("iferror(if(A2358="""",,E2358&gt;=FILTER(Constants!$F$2:$F$10,Constants!$A$2:$A$10=A2358)))"),TRUE)</f>
        <v>1</v>
      </c>
    </row>
    <row r="2359">
      <c r="A2359" s="89" t="str">
        <f>IFERROR(__xludf.DUMMYFUNCTION("""COMPUTED_VALUE"""),"Challenger")</f>
        <v>Challenger</v>
      </c>
      <c r="B2359" s="87" t="str">
        <f>IFERROR(__xludf.DUMMYFUNCTION("""COMPUTED_VALUE"""),"RSC004028")</f>
        <v>RSC004028</v>
      </c>
      <c r="C2359" s="73" t="str">
        <f>IFERROR(__xludf.DUMMYFUNCTION("""COMPUTED_VALUE"""),"parker on 3 legs")</f>
        <v>parker on 3 legs</v>
      </c>
      <c r="D2359" s="73" t="str">
        <f>IFERROR(__xludf.DUMMYFUNCTION("""COMPUTED_VALUE"""),"Solstice Sake")</f>
        <v>Solstice Sake</v>
      </c>
      <c r="E2359" s="82">
        <f>IFERROR(__xludf.DUMMYFUNCTION("""COMPUTED_VALUE"""),33.0)</f>
        <v>33</v>
      </c>
      <c r="F2359" s="82">
        <f>IFERROR(__xludf.DUMMYFUNCTION("""COMPUTED_VALUE"""),17.0)</f>
        <v>17</v>
      </c>
      <c r="G2359" s="86">
        <f>IFERROR(__xludf.DUMMYFUNCTION("""COMPUTED_VALUE"""),16.0)</f>
        <v>16</v>
      </c>
      <c r="H2359" s="86">
        <f>IFERROR(__xludf.DUMMYFUNCTION("""COMPUTED_VALUE"""),0.5151515151515151)</f>
        <v>0.5151515152</v>
      </c>
      <c r="I2359" s="86">
        <f>IFERROR(__xludf.DUMMYFUNCTION("""COMPUTED_VALUE"""),0.28205128205128205)</f>
        <v>0.2820512821</v>
      </c>
      <c r="J2359" s="82">
        <f>IFERROR(__xludf.DUMMYFUNCTION("""COMPUTED_VALUE"""),378.0)</f>
        <v>378</v>
      </c>
      <c r="K2359" s="82">
        <f>IFERROR(__xludf.DUMMYFUNCTION("""COMPUTED_VALUE"""),0.6666666666666666)</f>
        <v>0.6666666667</v>
      </c>
      <c r="L2359" s="82">
        <f>IFERROR(__xludf.DUMMYFUNCTION("""COMPUTED_VALUE"""),0.6363636363636364)</f>
        <v>0.6363636364</v>
      </c>
      <c r="M2359" s="82">
        <f>IFERROR(__xludf.DUMMYFUNCTION("""COMPUTED_VALUE"""),1.6666666666666667)</f>
        <v>1.666666667</v>
      </c>
      <c r="N2359" s="82">
        <f>IFERROR(__xludf.DUMMYFUNCTION("""COMPUTED_VALUE"""),2.3636363636363638)</f>
        <v>2.363636364</v>
      </c>
      <c r="O2359" s="82">
        <f>IFERROR(__xludf.DUMMYFUNCTION("""COMPUTED_VALUE"""),323.2424242424243)</f>
        <v>323.2424242</v>
      </c>
      <c r="P2359" s="82">
        <f>IFERROR(__xludf.DUMMYFUNCTION("""COMPUTED_VALUE"""),0.7575757575757575)</f>
        <v>0.7575757576</v>
      </c>
      <c r="Q2359" s="82">
        <f>IFERROR(__xludf.DUMMYFUNCTION("""COMPUTED_VALUE"""),0.48484848484848486)</f>
        <v>0.4848484848</v>
      </c>
      <c r="R2359" s="82">
        <f>IFERROR(__xludf.DUMMYFUNCTION("""COMPUTED_VALUE"""),1.1111111111111112)</f>
        <v>1.111111111</v>
      </c>
      <c r="S2359" s="82">
        <f>IFERROR(__xludf.DUMMYFUNCTION("""COMPUTED_VALUE"""),2.3939393939393945)</f>
        <v>2.393939394</v>
      </c>
      <c r="T2359" s="82">
        <f>IFERROR(__xludf.DUMMYFUNCTION("""COMPUTED_VALUE"""),329.6342140017796)</f>
        <v>329.634214</v>
      </c>
      <c r="U2359" s="82">
        <f>IFERROR(__xludf.DUMMYFUNCTION("""COMPUTED_VALUE"""),0.7524082484143165)</f>
        <v>0.7524082484</v>
      </c>
      <c r="V2359" s="82">
        <f>IFERROR(__xludf.DUMMYFUNCTION("""COMPUTED_VALUE"""),0.5217853289449836)</f>
        <v>0.5217853289</v>
      </c>
      <c r="W2359" s="82">
        <f>IFERROR(__xludf.DUMMYFUNCTION("""COMPUTED_VALUE"""),1.200569138430247)</f>
        <v>1.200569138</v>
      </c>
      <c r="X2359" s="82">
        <f>IFERROR(__xludf.DUMMYFUNCTION("""COMPUTED_VALUE"""),2.4484669840777658)</f>
        <v>2.448466984</v>
      </c>
      <c r="Y2359" s="82">
        <f>IFERROR(__xludf.DUMMYFUNCTION("""COMPUTED_VALUE"""),344.40411487788396)</f>
        <v>344.4041149</v>
      </c>
      <c r="Z2359" s="82">
        <f>IFERROR(__xludf.DUMMYFUNCTION("""COMPUTED_VALUE"""),0.8196803139276483)</f>
        <v>0.8196803139</v>
      </c>
      <c r="AA2359" s="82">
        <f>IFERROR(__xludf.DUMMYFUNCTION("""COMPUTED_VALUE"""),0.5629885804885392)</f>
        <v>0.5629885805</v>
      </c>
      <c r="AB2359" s="82">
        <f>IFERROR(__xludf.DUMMYFUNCTION("""COMPUTED_VALUE"""),1.230125598385319)</f>
        <v>1.230125598</v>
      </c>
      <c r="AC2359" s="82">
        <f>IFERROR(__xludf.DUMMYFUNCTION("""COMPUTED_VALUE"""),2.5040694798523573)</f>
        <v>2.50406948</v>
      </c>
      <c r="AD2359" s="82">
        <f>IFERROR(__xludf.DUMMYFUNCTION("""COMPUTED_VALUE"""),1.0975478621503352)</f>
        <v>1.097547862</v>
      </c>
      <c r="AE2359" s="82">
        <f>IFERROR(__xludf.DUMMYFUNCTION("""COMPUTED_VALUE"""),0.8133252139144482)</f>
        <v>0.8133252139</v>
      </c>
      <c r="AF2359" s="82">
        <f>IFERROR(__xludf.DUMMYFUNCTION("""COMPUTED_VALUE"""),1.1303313396009298)</f>
        <v>1.13033134</v>
      </c>
      <c r="AG2359" s="82">
        <f>IFERROR(__xludf.DUMMYFUNCTION("""COMPUTED_VALUE"""),1.354875200430231)</f>
        <v>1.3548752</v>
      </c>
      <c r="AH2359" s="82">
        <f>IFERROR(__xludf.DUMMYFUNCTION("""COMPUTED_VALUE"""),0.9439180432707986)</f>
        <v>0.9439180433</v>
      </c>
      <c r="AI2359" s="82">
        <f>IFERROR(__xludf.DUMMYFUNCTION("""COMPUTED_VALUE"""),0.9806094468114868)</f>
        <v>0.9806094468</v>
      </c>
      <c r="AJ2359" s="82">
        <f>IFERROR(__xludf.DUMMYFUNCTION("""COMPUTED_VALUE"""),1.006867959212743)</f>
        <v>1.006867959</v>
      </c>
      <c r="AK2359" s="82">
        <f>IFERROR(__xludf.DUMMYFUNCTION("""COMPUTED_VALUE"""),0.9292106503431542)</f>
        <v>0.9292106503</v>
      </c>
      <c r="AL2359" s="82">
        <f>IFERROR(__xludf.DUMMYFUNCTION("""COMPUTED_VALUE"""),0.9254869840848126)</f>
        <v>0.9254869841</v>
      </c>
      <c r="AM2359" s="82">
        <f>IFERROR(__xludf.DUMMYFUNCTION("""COMPUTED_VALUE"""),0.9777299058990948)</f>
        <v>0.9777299059</v>
      </c>
      <c r="AN2359" s="82">
        <f>IFERROR(__xludf.DUMMYFUNCTION("""COMPUTED_VALUE"""),1.1619347873173778)</f>
        <v>1.161934787</v>
      </c>
      <c r="AO2359" s="82">
        <f>IFERROR(__xludf.DUMMYFUNCTION("""COMPUTED_VALUE"""),0.9121875426627504)</f>
        <v>0.9121875427</v>
      </c>
      <c r="AP2359" s="82">
        <f>IFERROR(__xludf.DUMMYFUNCTION("""COMPUTED_VALUE"""),1.234336350630507)</f>
        <v>1.234336351</v>
      </c>
      <c r="AQ2359" s="82">
        <f>IFERROR(__xludf.DUMMYFUNCTION("""COMPUTED_VALUE"""),1.3823066471482615)</f>
        <v>1.382306647</v>
      </c>
      <c r="AR2359" s="82">
        <f>IFERROR(__xludf.DUMMYFUNCTION("""COMPUTED_VALUE"""),0.9933006707237029)</f>
        <v>0.9933006707</v>
      </c>
      <c r="AS2359" s="82">
        <f>IFERROR(__xludf.DUMMYFUNCTION("""COMPUTED_VALUE"""),77.0)</f>
        <v>77</v>
      </c>
      <c r="AT2359" s="82">
        <f>IFERROR(__xludf.DUMMYFUNCTION("""COMPUTED_VALUE"""),0.510197573836775)</f>
        <v>0.5101975738</v>
      </c>
      <c r="AU2359" s="82">
        <f>IFERROR(__xludf.DUMMYFUNCTION("""COMPUTED_VALUE"""),3.0650803729475715)</f>
        <v>3.065080373</v>
      </c>
      <c r="AV2359" s="82">
        <f>IFERROR(__xludf.DUMMYFUNCTION("""COMPUTED_VALUE"""),55.787144929643944)</f>
        <v>55.78714493</v>
      </c>
      <c r="AW2359" s="82">
        <f t="shared" si="1"/>
        <v>2.448167945</v>
      </c>
      <c r="AX2359" s="83">
        <f t="array" ref="AX2359">IFERROR(DGET('SBV Import'!A:G,"SBV",{"RSC ID","Tier";B2359,A2359}))</f>
        <v>64.70401069</v>
      </c>
      <c r="AY2359" s="82">
        <f t="shared" si="2"/>
        <v>3.594377282</v>
      </c>
      <c r="AZ2359" s="82">
        <v>1.1462093370264874</v>
      </c>
      <c r="BA2359" s="84">
        <v>2300.0</v>
      </c>
      <c r="BB2359" s="84" t="b">
        <f>IFERROR(__xludf.DUMMYFUNCTION("iferror(if(A2359="""",,E2359&gt;=FILTER(Constants!$F$2:$F$10,Constants!$A$2:$A$10=A2359)))"),TRUE)</f>
        <v>1</v>
      </c>
    </row>
    <row r="2360">
      <c r="A2360" s="89" t="str">
        <f>IFERROR(__xludf.DUMMYFUNCTION("""COMPUTED_VALUE"""),"Challenger")</f>
        <v>Challenger</v>
      </c>
      <c r="B2360" s="87" t="str">
        <f>IFERROR(__xludf.DUMMYFUNCTION("""COMPUTED_VALUE"""),"RSC006092")</f>
        <v>RSC006092</v>
      </c>
      <c r="C2360" s="73" t="str">
        <f>IFERROR(__xludf.DUMMYFUNCTION("""COMPUTED_VALUE"""),"Mickstery")</f>
        <v>Mickstery</v>
      </c>
      <c r="D2360" s="73" t="str">
        <f>IFERROR(__xludf.DUMMYFUNCTION("""COMPUTED_VALUE"""),"Void")</f>
        <v>Void</v>
      </c>
      <c r="E2360" s="82">
        <f>IFERROR(__xludf.DUMMYFUNCTION("""COMPUTED_VALUE"""),31.0)</f>
        <v>31</v>
      </c>
      <c r="F2360" s="82">
        <f>IFERROR(__xludf.DUMMYFUNCTION("""COMPUTED_VALUE"""),17.0)</f>
        <v>17</v>
      </c>
      <c r="G2360" s="86">
        <f>IFERROR(__xludf.DUMMYFUNCTION("""COMPUTED_VALUE"""),14.0)</f>
        <v>14</v>
      </c>
      <c r="H2360" s="86">
        <f>IFERROR(__xludf.DUMMYFUNCTION("""COMPUTED_VALUE"""),0.5483870967741935)</f>
        <v>0.5483870968</v>
      </c>
      <c r="I2360" s="86">
        <f>IFERROR(__xludf.DUMMYFUNCTION("""COMPUTED_VALUE"""),0.3428571428571428)</f>
        <v>0.3428571429</v>
      </c>
      <c r="J2360" s="82">
        <f>IFERROR(__xludf.DUMMYFUNCTION("""COMPUTED_VALUE"""),334.06451612903226)</f>
        <v>334.0645161</v>
      </c>
      <c r="K2360" s="82">
        <f>IFERROR(__xludf.DUMMYFUNCTION("""COMPUTED_VALUE"""),0.7741935483870968)</f>
        <v>0.7741935484</v>
      </c>
      <c r="L2360" s="82">
        <f>IFERROR(__xludf.DUMMYFUNCTION("""COMPUTED_VALUE"""),0.6451612903225806)</f>
        <v>0.6451612903</v>
      </c>
      <c r="M2360" s="82">
        <f>IFERROR(__xludf.DUMMYFUNCTION("""COMPUTED_VALUE"""),1.2580645161290323)</f>
        <v>1.258064516</v>
      </c>
      <c r="N2360" s="82">
        <f>IFERROR(__xludf.DUMMYFUNCTION("""COMPUTED_VALUE"""),2.2580645161290325)</f>
        <v>2.258064516</v>
      </c>
      <c r="O2360" s="82">
        <f>IFERROR(__xludf.DUMMYFUNCTION("""COMPUTED_VALUE"""),348.7849462365593)</f>
        <v>348.7849462</v>
      </c>
      <c r="P2360" s="82">
        <f>IFERROR(__xludf.DUMMYFUNCTION("""COMPUTED_VALUE"""),0.8387096774193549)</f>
        <v>0.8387096774</v>
      </c>
      <c r="Q2360" s="82">
        <f>IFERROR(__xludf.DUMMYFUNCTION("""COMPUTED_VALUE"""),0.5698924731182795)</f>
        <v>0.5698924731</v>
      </c>
      <c r="R2360" s="82">
        <f>IFERROR(__xludf.DUMMYFUNCTION("""COMPUTED_VALUE"""),1.075268817204301)</f>
        <v>1.075268817</v>
      </c>
      <c r="S2360" s="82">
        <f>IFERROR(__xludf.DUMMYFUNCTION("""COMPUTED_VALUE"""),2.6666666666666665)</f>
        <v>2.666666667</v>
      </c>
      <c r="T2360" s="82">
        <f>IFERROR(__xludf.DUMMYFUNCTION("""COMPUTED_VALUE"""),339.5026756859896)</f>
        <v>339.5026757</v>
      </c>
      <c r="U2360" s="82">
        <f>IFERROR(__xludf.DUMMYFUNCTION("""COMPUTED_VALUE"""),0.7913458553819617)</f>
        <v>0.7913458554</v>
      </c>
      <c r="V2360" s="82">
        <f>IFERROR(__xludf.DUMMYFUNCTION("""COMPUTED_VALUE"""),0.5494506884384112)</f>
        <v>0.5494506884</v>
      </c>
      <c r="W2360" s="82">
        <f>IFERROR(__xludf.DUMMYFUNCTION("""COMPUTED_VALUE"""),1.2196210145547959)</f>
        <v>1.219621015</v>
      </c>
      <c r="X2360" s="82">
        <f>IFERROR(__xludf.DUMMYFUNCTION("""COMPUTED_VALUE"""),2.4820859345093447)</f>
        <v>2.482085935</v>
      </c>
      <c r="Y2360" s="82">
        <f>IFERROR(__xludf.DUMMYFUNCTION("""COMPUTED_VALUE"""),334.8087386414041)</f>
        <v>334.8087386</v>
      </c>
      <c r="Z2360" s="82">
        <f>IFERROR(__xludf.DUMMYFUNCTION("""COMPUTED_VALUE"""),0.754792622175645)</f>
        <v>0.7547926222</v>
      </c>
      <c r="AA2360" s="82">
        <f>IFERROR(__xludf.DUMMYFUNCTION("""COMPUTED_VALUE"""),0.5185499138884022)</f>
        <v>0.5185499139</v>
      </c>
      <c r="AB2360" s="82">
        <f>IFERROR(__xludf.DUMMYFUNCTION("""COMPUTED_VALUE"""),1.2337091819616253)</f>
        <v>1.233709182</v>
      </c>
      <c r="AC2360" s="82">
        <f>IFERROR(__xludf.DUMMYFUNCTION("""COMPUTED_VALUE"""),2.4287361317244023)</f>
        <v>2.428736132</v>
      </c>
      <c r="AD2360" s="82">
        <f>IFERROR(__xludf.DUMMYFUNCTION("""COMPUTED_VALUE"""),0.9977771711831902)</f>
        <v>0.9977771712</v>
      </c>
      <c r="AE2360" s="82">
        <f>IFERROR(__xludf.DUMMYFUNCTION("""COMPUTED_VALUE"""),1.0257036510976083)</f>
        <v>1.025703651</v>
      </c>
      <c r="AF2360" s="82">
        <f>IFERROR(__xludf.DUMMYFUNCTION("""COMPUTED_VALUE"""),1.2441642994109658)</f>
        <v>1.244164299</v>
      </c>
      <c r="AG2360" s="82">
        <f>IFERROR(__xludf.DUMMYFUNCTION("""COMPUTED_VALUE"""),1.0197415521611677)</f>
        <v>1.019741552</v>
      </c>
      <c r="AH2360" s="82">
        <f>IFERROR(__xludf.DUMMYFUNCTION("""COMPUTED_VALUE"""),0.9297282181600383)</f>
        <v>0.9297282182</v>
      </c>
      <c r="AI2360" s="82">
        <f>IFERROR(__xludf.DUMMYFUNCTION("""COMPUTED_VALUE"""),1.0273407876147491)</f>
        <v>1.027340788</v>
      </c>
      <c r="AJ2360" s="82">
        <f>IFERROR(__xludf.DUMMYFUNCTION("""COMPUTED_VALUE"""),1.0598522399722836)</f>
        <v>1.05985224</v>
      </c>
      <c r="AK2360" s="82">
        <f>IFERROR(__xludf.DUMMYFUNCTION("""COMPUTED_VALUE"""),1.0372040387063046)</f>
        <v>1.037204039</v>
      </c>
      <c r="AL2360" s="82">
        <f>IFERROR(__xludf.DUMMYFUNCTION("""COMPUTED_VALUE"""),0.8816417595074085)</f>
        <v>0.8816417595</v>
      </c>
      <c r="AM2360" s="82">
        <f>IFERROR(__xludf.DUMMYFUNCTION("""COMPUTED_VALUE"""),1.0743651658433855)</f>
        <v>1.074365166</v>
      </c>
      <c r="AN2360" s="82">
        <f>IFERROR(__xludf.DUMMYFUNCTION("""COMPUTED_VALUE"""),1.0268814351816662)</f>
        <v>1.026881435</v>
      </c>
      <c r="AO2360" s="82">
        <f>IFERROR(__xludf.DUMMYFUNCTION("""COMPUTED_VALUE"""),1.0593145656728713)</f>
        <v>1.059314566</v>
      </c>
      <c r="AP2360" s="82">
        <f>IFERROR(__xludf.DUMMYFUNCTION("""COMPUTED_VALUE"""),1.251400908473325)</f>
        <v>1.251400908</v>
      </c>
      <c r="AQ2360" s="82">
        <f>IFERROR(__xludf.DUMMYFUNCTION("""COMPUTED_VALUE"""),1.0434185659119133)</f>
        <v>1.043418566</v>
      </c>
      <c r="AR2360" s="82">
        <f>IFERROR(__xludf.DUMMYFUNCTION("""COMPUTED_VALUE"""),0.948934883941999)</f>
        <v>0.9489348839</v>
      </c>
      <c r="AS2360" s="82">
        <f>IFERROR(__xludf.DUMMYFUNCTION("""COMPUTED_VALUE"""),78.0)</f>
        <v>78</v>
      </c>
      <c r="AT2360" s="82">
        <f>IFERROR(__xludf.DUMMYFUNCTION("""COMPUTED_VALUE"""),0.5)</f>
        <v>0.5</v>
      </c>
      <c r="AU2360" s="82">
        <f>IFERROR(__xludf.DUMMYFUNCTION("""COMPUTED_VALUE"""),3.0619222263837025)</f>
        <v>3.061922226</v>
      </c>
      <c r="AV2360" s="82">
        <f>IFERROR(__xludf.DUMMYFUNCTION("""COMPUTED_VALUE"""),55.70472279726526)</f>
        <v>55.7047228</v>
      </c>
      <c r="AW2360" s="82">
        <f t="shared" si="1"/>
        <v>2.440514351</v>
      </c>
      <c r="AX2360" s="83">
        <f t="array" ref="AX2360">IFERROR(DGET('SBV Import'!A:G,"SBV",{"RSC ID","Tier";B2360,A2360}))</f>
        <v>45.62810756</v>
      </c>
      <c r="AY2360" s="82">
        <f t="shared" si="2"/>
        <v>-2.322402118</v>
      </c>
      <c r="AZ2360" s="82">
        <v>4.762916468456931</v>
      </c>
      <c r="BA2360" s="84">
        <v>2300.0</v>
      </c>
      <c r="BB2360" s="84" t="b">
        <f>IFERROR(__xludf.DUMMYFUNCTION("iferror(if(A2360="""",,E2360&gt;=FILTER(Constants!$F$2:$F$10,Constants!$A$2:$A$10=A2360)))"),TRUE)</f>
        <v>1</v>
      </c>
    </row>
    <row r="2361">
      <c r="A2361" s="89" t="str">
        <f>IFERROR(__xludf.DUMMYFUNCTION("""COMPUTED_VALUE"""),"Challenger")</f>
        <v>Challenger</v>
      </c>
      <c r="B2361" s="87" t="str">
        <f>IFERROR(__xludf.DUMMYFUNCTION("""COMPUTED_VALUE"""),"RSC003424")</f>
        <v>RSC003424</v>
      </c>
      <c r="C2361" s="73" t="str">
        <f>IFERROR(__xludf.DUMMYFUNCTION("""COMPUTED_VALUE"""),"Fryder")</f>
        <v>Fryder</v>
      </c>
      <c r="D2361" s="73" t="str">
        <f>IFERROR(__xludf.DUMMYFUNCTION("""COMPUTED_VALUE"""),"Metal")</f>
        <v>Metal</v>
      </c>
      <c r="E2361" s="82">
        <f>IFERROR(__xludf.DUMMYFUNCTION("""COMPUTED_VALUE"""),37.0)</f>
        <v>37</v>
      </c>
      <c r="F2361" s="82">
        <f>IFERROR(__xludf.DUMMYFUNCTION("""COMPUTED_VALUE"""),16.0)</f>
        <v>16</v>
      </c>
      <c r="G2361" s="86">
        <f>IFERROR(__xludf.DUMMYFUNCTION("""COMPUTED_VALUE"""),21.0)</f>
        <v>21</v>
      </c>
      <c r="H2361" s="86">
        <f>IFERROR(__xludf.DUMMYFUNCTION("""COMPUTED_VALUE"""),0.43243243243243246)</f>
        <v>0.4324324324</v>
      </c>
      <c r="I2361" s="86">
        <f>IFERROR(__xludf.DUMMYFUNCTION("""COMPUTED_VALUE"""),0.3409090909090909)</f>
        <v>0.3409090909</v>
      </c>
      <c r="J2361" s="82">
        <f>IFERROR(__xludf.DUMMYFUNCTION("""COMPUTED_VALUE"""),354.4054054054054)</f>
        <v>354.4054054</v>
      </c>
      <c r="K2361" s="82">
        <f>IFERROR(__xludf.DUMMYFUNCTION("""COMPUTED_VALUE"""),0.8108108108108109)</f>
        <v>0.8108108108</v>
      </c>
      <c r="L2361" s="82">
        <f>IFERROR(__xludf.DUMMYFUNCTION("""COMPUTED_VALUE"""),0.5675675675675675)</f>
        <v>0.5675675676</v>
      </c>
      <c r="M2361" s="82">
        <f>IFERROR(__xludf.DUMMYFUNCTION("""COMPUTED_VALUE"""),1.3783783783783783)</f>
        <v>1.378378378</v>
      </c>
      <c r="N2361" s="82">
        <f>IFERROR(__xludf.DUMMYFUNCTION("""COMPUTED_VALUE"""),2.3783783783783785)</f>
        <v>2.378378378</v>
      </c>
      <c r="O2361" s="82">
        <f>IFERROR(__xludf.DUMMYFUNCTION("""COMPUTED_VALUE"""),331.73873873873873)</f>
        <v>331.7387387</v>
      </c>
      <c r="P2361" s="82">
        <f>IFERROR(__xludf.DUMMYFUNCTION("""COMPUTED_VALUE"""),0.8018018018018018)</f>
        <v>0.8018018018</v>
      </c>
      <c r="Q2361" s="82">
        <f>IFERROR(__xludf.DUMMYFUNCTION("""COMPUTED_VALUE"""),0.5495495495495494)</f>
        <v>0.5495495495</v>
      </c>
      <c r="R2361" s="82">
        <f>IFERROR(__xludf.DUMMYFUNCTION("""COMPUTED_VALUE"""),1.1261261261261262)</f>
        <v>1.126126126</v>
      </c>
      <c r="S2361" s="82">
        <f>IFERROR(__xludf.DUMMYFUNCTION("""COMPUTED_VALUE"""),2.3963963963963963)</f>
        <v>2.396396396</v>
      </c>
      <c r="T2361" s="82">
        <f>IFERROR(__xludf.DUMMYFUNCTION("""COMPUTED_VALUE"""),326.1862820935546)</f>
        <v>326.1862821</v>
      </c>
      <c r="U2361" s="82">
        <f>IFERROR(__xludf.DUMMYFUNCTION("""COMPUTED_VALUE"""),0.737716042100685)</f>
        <v>0.7377160421</v>
      </c>
      <c r="V2361" s="82">
        <f>IFERROR(__xludf.DUMMYFUNCTION("""COMPUTED_VALUE"""),0.5042847625458091)</f>
        <v>0.5042847625</v>
      </c>
      <c r="W2361" s="82">
        <f>IFERROR(__xludf.DUMMYFUNCTION("""COMPUTED_VALUE"""),1.2176962594160217)</f>
        <v>1.217696259</v>
      </c>
      <c r="X2361" s="82">
        <f>IFERROR(__xludf.DUMMYFUNCTION("""COMPUTED_VALUE"""),2.38990201892572)</f>
        <v>2.389902019</v>
      </c>
      <c r="Y2361" s="82">
        <f>IFERROR(__xludf.DUMMYFUNCTION("""COMPUTED_VALUE"""),340.990314426721)</f>
        <v>340.9903144</v>
      </c>
      <c r="Z2361" s="82">
        <f>IFERROR(__xludf.DUMMYFUNCTION("""COMPUTED_VALUE"""),0.8047398104383818)</f>
        <v>0.8047398104</v>
      </c>
      <c r="AA2361" s="82">
        <f>IFERROR(__xludf.DUMMYFUNCTION("""COMPUTED_VALUE"""),0.5553694372913504)</f>
        <v>0.5553694373</v>
      </c>
      <c r="AB2361" s="82">
        <f>IFERROR(__xludf.DUMMYFUNCTION("""COMPUTED_VALUE"""),1.213614576178716)</f>
        <v>1.213614576</v>
      </c>
      <c r="AC2361" s="82">
        <f>IFERROR(__xludf.DUMMYFUNCTION("""COMPUTED_VALUE"""),2.4951725644780987)</f>
        <v>2.495172564</v>
      </c>
      <c r="AD2361" s="82">
        <f>IFERROR(__xludf.DUMMYFUNCTION("""COMPUTED_VALUE"""),1.0393415601884122)</f>
        <v>1.03934156</v>
      </c>
      <c r="AE2361" s="82">
        <f>IFERROR(__xludf.DUMMYFUNCTION("""COMPUTED_VALUE"""),1.0075440537347367)</f>
        <v>1.007544054</v>
      </c>
      <c r="AF2361" s="82">
        <f>IFERROR(__xludf.DUMMYFUNCTION("""COMPUTED_VALUE"""),1.0219639927175503)</f>
        <v>1.021963993</v>
      </c>
      <c r="AG2361" s="82">
        <f>IFERROR(__xludf.DUMMYFUNCTION("""COMPUTED_VALUE"""),1.1357628735133116)</f>
        <v>1.135762874</v>
      </c>
      <c r="AH2361" s="82">
        <f>IFERROR(__xludf.DUMMYFUNCTION("""COMPUTED_VALUE"""),0.9531919404042705)</f>
        <v>0.9531919404</v>
      </c>
      <c r="AI2361" s="82">
        <f>IFERROR(__xludf.DUMMYFUNCTION("""COMPUTED_VALUE"""),1.0170223487313657)</f>
        <v>1.017022349</v>
      </c>
      <c r="AJ2361" s="82">
        <f>IFERROR(__xludf.DUMMYFUNCTION("""COMPUTED_VALUE"""),1.0868704976492436)</f>
        <v>1.086870498</v>
      </c>
      <c r="AK2361" s="82">
        <f>IFERROR(__xludf.DUMMYFUNCTION("""COMPUTED_VALUE"""),1.089760370262285)</f>
        <v>1.08976037</v>
      </c>
      <c r="AL2361" s="82">
        <f>IFERROR(__xludf.DUMMYFUNCTION("""COMPUTED_VALUE"""),0.9248005136077116)</f>
        <v>0.9248005136</v>
      </c>
      <c r="AM2361" s="82">
        <f>IFERROR(__xludf.DUMMYFUNCTION("""COMPUTED_VALUE"""),1.0027174241534789)</f>
        <v>1.002717424</v>
      </c>
      <c r="AN2361" s="82">
        <f>IFERROR(__xludf.DUMMYFUNCTION("""COMPUTED_VALUE"""),1.0894073263329598)</f>
        <v>1.089407326</v>
      </c>
      <c r="AO2361" s="82">
        <f>IFERROR(__xludf.DUMMYFUNCTION("""COMPUTED_VALUE"""),1.1094172816168586)</f>
        <v>1.109417282</v>
      </c>
      <c r="AP2361" s="82">
        <f>IFERROR(__xludf.DUMMYFUNCTION("""COMPUTED_VALUE"""),1.1008945829947765)</f>
        <v>1.100894583</v>
      </c>
      <c r="AQ2361" s="82">
        <f>IFERROR(__xludf.DUMMYFUNCTION("""COMPUTED_VALUE"""),1.143204956830724)</f>
        <v>1.143204957</v>
      </c>
      <c r="AR2361" s="82">
        <f>IFERROR(__xludf.DUMMYFUNCTION("""COMPUTED_VALUE"""),0.9994958932022291)</f>
        <v>0.9994958932</v>
      </c>
      <c r="AS2361" s="82">
        <f>IFERROR(__xludf.DUMMYFUNCTION("""COMPUTED_VALUE"""),82.0)</f>
        <v>82</v>
      </c>
      <c r="AT2361" s="82">
        <f>IFERROR(__xludf.DUMMYFUNCTION("""COMPUTED_VALUE"""),0.4682658755159971)</f>
        <v>0.4682658755</v>
      </c>
      <c r="AU2361" s="82">
        <f>IFERROR(__xludf.DUMMYFUNCTION("""COMPUTED_VALUE"""),3.0324744746101584)</f>
        <v>3.032474475</v>
      </c>
      <c r="AV2361" s="82">
        <f>IFERROR(__xludf.DUMMYFUNCTION("""COMPUTED_VALUE"""),54.93618769420783)</f>
        <v>54.93618769</v>
      </c>
      <c r="AW2361" s="82">
        <f t="shared" si="1"/>
        <v>2.371136566</v>
      </c>
      <c r="AX2361" s="83">
        <f t="array" ref="AX2361">IFERROR(DGET('SBV Import'!A:G,"SBV",{"RSC ID","Tier";B2361,A2361}))</f>
        <v>58.89646363</v>
      </c>
      <c r="AY2361" s="82">
        <f t="shared" si="2"/>
        <v>2.770288371</v>
      </c>
      <c r="AZ2361" s="82">
        <v>0.3991518050413627</v>
      </c>
      <c r="BA2361" s="84">
        <v>2300.0</v>
      </c>
      <c r="BB2361" s="84" t="b">
        <f>IFERROR(__xludf.DUMMYFUNCTION("iferror(if(A2361="""",,E2361&gt;=FILTER(Constants!$F$2:$F$10,Constants!$A$2:$A$10=A2361)))"),TRUE)</f>
        <v>1</v>
      </c>
    </row>
    <row r="2362">
      <c r="A2362" s="89" t="str">
        <f>IFERROR(__xludf.DUMMYFUNCTION("""COMPUTED_VALUE"""),"Challenger")</f>
        <v>Challenger</v>
      </c>
      <c r="B2362" s="87" t="str">
        <f>IFERROR(__xludf.DUMMYFUNCTION("""COMPUTED_VALUE"""),"RSC008009")</f>
        <v>RSC008009</v>
      </c>
      <c r="C2362" s="73" t="str">
        <f>IFERROR(__xludf.DUMMYFUNCTION("""COMPUTED_VALUE"""),"Daddy Driz")</f>
        <v>Daddy Driz</v>
      </c>
      <c r="D2362" s="73" t="str">
        <f>IFERROR(__xludf.DUMMYFUNCTION("""COMPUTED_VALUE"""),"Toucans")</f>
        <v>Toucans</v>
      </c>
      <c r="E2362" s="82">
        <f>IFERROR(__xludf.DUMMYFUNCTION("""COMPUTED_VALUE"""),39.0)</f>
        <v>39</v>
      </c>
      <c r="F2362" s="82">
        <f>IFERROR(__xludf.DUMMYFUNCTION("""COMPUTED_VALUE"""),22.0)</f>
        <v>22</v>
      </c>
      <c r="G2362" s="86">
        <f>IFERROR(__xludf.DUMMYFUNCTION("""COMPUTED_VALUE"""),17.0)</f>
        <v>17</v>
      </c>
      <c r="H2362" s="86">
        <f>IFERROR(__xludf.DUMMYFUNCTION("""COMPUTED_VALUE"""),0.5641025641025641)</f>
        <v>0.5641025641</v>
      </c>
      <c r="I2362" s="86">
        <f>IFERROR(__xludf.DUMMYFUNCTION("""COMPUTED_VALUE"""),0.33695652173913043)</f>
        <v>0.3369565217</v>
      </c>
      <c r="J2362" s="82">
        <f>IFERROR(__xludf.DUMMYFUNCTION("""COMPUTED_VALUE"""),339.0)</f>
        <v>339</v>
      </c>
      <c r="K2362" s="82">
        <f>IFERROR(__xludf.DUMMYFUNCTION("""COMPUTED_VALUE"""),0.7948717948717948)</f>
        <v>0.7948717949</v>
      </c>
      <c r="L2362" s="82">
        <f>IFERROR(__xludf.DUMMYFUNCTION("""COMPUTED_VALUE"""),0.4358974358974359)</f>
        <v>0.4358974359</v>
      </c>
      <c r="M2362" s="82">
        <f>IFERROR(__xludf.DUMMYFUNCTION("""COMPUTED_VALUE"""),0.8717948717948718)</f>
        <v>0.8717948718</v>
      </c>
      <c r="N2362" s="82">
        <f>IFERROR(__xludf.DUMMYFUNCTION("""COMPUTED_VALUE"""),2.358974358974359)</f>
        <v>2.358974359</v>
      </c>
      <c r="O2362" s="82">
        <f>IFERROR(__xludf.DUMMYFUNCTION("""COMPUTED_VALUE"""),307.3162393162393)</f>
        <v>307.3162393</v>
      </c>
      <c r="P2362" s="82">
        <f>IFERROR(__xludf.DUMMYFUNCTION("""COMPUTED_VALUE"""),0.6666666666666666)</f>
        <v>0.6666666667</v>
      </c>
      <c r="Q2362" s="82">
        <f>IFERROR(__xludf.DUMMYFUNCTION("""COMPUTED_VALUE"""),0.4444444444444443)</f>
        <v>0.4444444444</v>
      </c>
      <c r="R2362" s="82">
        <f>IFERROR(__xludf.DUMMYFUNCTION("""COMPUTED_VALUE"""),1.1623931623931627)</f>
        <v>1.162393162</v>
      </c>
      <c r="S2362" s="82">
        <f>IFERROR(__xludf.DUMMYFUNCTION("""COMPUTED_VALUE"""),2.170940170940171)</f>
        <v>2.170940171</v>
      </c>
      <c r="T2362" s="82">
        <f>IFERROR(__xludf.DUMMYFUNCTION("""COMPUTED_VALUE"""),321.50786430268624)</f>
        <v>321.5078643</v>
      </c>
      <c r="U2362" s="82">
        <f>IFERROR(__xludf.DUMMYFUNCTION("""COMPUTED_VALUE"""),0.727685784438635)</f>
        <v>0.7276857844</v>
      </c>
      <c r="V2362" s="82">
        <f>IFERROR(__xludf.DUMMYFUNCTION("""COMPUTED_VALUE"""),0.49947765643627573)</f>
        <v>0.4994776564</v>
      </c>
      <c r="W2362" s="82">
        <f>IFERROR(__xludf.DUMMYFUNCTION("""COMPUTED_VALUE"""),1.1347986105085988)</f>
        <v>1.134798611</v>
      </c>
      <c r="X2362" s="82">
        <f>IFERROR(__xludf.DUMMYFUNCTION("""COMPUTED_VALUE"""),2.42646807453633)</f>
        <v>2.426468075</v>
      </c>
      <c r="Y2362" s="82">
        <f>IFERROR(__xludf.DUMMYFUNCTION("""COMPUTED_VALUE"""),331.3076591616521)</f>
        <v>331.3076592</v>
      </c>
      <c r="Z2362" s="82">
        <f>IFERROR(__xludf.DUMMYFUNCTION("""COMPUTED_VALUE"""),0.7629650783127255)</f>
        <v>0.7629650783</v>
      </c>
      <c r="AA2362" s="82">
        <f>IFERROR(__xludf.DUMMYFUNCTION("""COMPUTED_VALUE"""),0.5322513289851556)</f>
        <v>0.532251329</v>
      </c>
      <c r="AB2362" s="82">
        <f>IFERROR(__xludf.DUMMYFUNCTION("""COMPUTED_VALUE"""),1.2073319012638903)</f>
        <v>1.207331901</v>
      </c>
      <c r="AC2362" s="82">
        <f>IFERROR(__xludf.DUMMYFUNCTION("""COMPUTED_VALUE"""),2.372585981890235)</f>
        <v>2.372585982</v>
      </c>
      <c r="AD2362" s="82">
        <f>IFERROR(__xludf.DUMMYFUNCTION("""COMPUTED_VALUE"""),1.0232181195503078)</f>
        <v>1.02321812</v>
      </c>
      <c r="AE2362" s="82">
        <f>IFERROR(__xludf.DUMMYFUNCTION("""COMPUTED_VALUE"""),1.0418193669225728)</f>
        <v>1.041819367</v>
      </c>
      <c r="AF2362" s="82">
        <f>IFERROR(__xludf.DUMMYFUNCTION("""COMPUTED_VALUE"""),0.8189691827140426)</f>
        <v>0.8189691827</v>
      </c>
      <c r="AG2362" s="82">
        <f>IFERROR(__xludf.DUMMYFUNCTION("""COMPUTED_VALUE"""),0.7220838535635785)</f>
        <v>0.7220838536</v>
      </c>
      <c r="AH2362" s="82">
        <f>IFERROR(__xludf.DUMMYFUNCTION("""COMPUTED_VALUE"""),0.9942629590582713)</f>
        <v>0.9942629591</v>
      </c>
      <c r="AI2362" s="82">
        <f>IFERROR(__xludf.DUMMYFUNCTION("""COMPUTED_VALUE"""),0.9558591668753518)</f>
        <v>0.9558591669</v>
      </c>
      <c r="AJ2362" s="82">
        <f>IFERROR(__xludf.DUMMYFUNCTION("""COMPUTED_VALUE"""),0.9161463380529814)</f>
        <v>0.9161463381</v>
      </c>
      <c r="AK2362" s="82">
        <f>IFERROR(__xludf.DUMMYFUNCTION("""COMPUTED_VALUE"""),0.88981847079109)</f>
        <v>0.8898184708</v>
      </c>
      <c r="AL2362" s="82">
        <f>IFERROR(__xludf.DUMMYFUNCTION("""COMPUTED_VALUE"""),1.0243166951642604)</f>
        <v>1.024316695</v>
      </c>
      <c r="AM2362" s="82">
        <f>IFERROR(__xludf.DUMMYFUNCTION("""COMPUTED_VALUE"""),0.8946914215448777)</f>
        <v>0.8946914215</v>
      </c>
      <c r="AN2362" s="82">
        <f>IFERROR(__xludf.DUMMYFUNCTION("""COMPUTED_VALUE"""),1.0420526267211403)</f>
        <v>1.042052627</v>
      </c>
      <c r="AO2362" s="82">
        <f>IFERROR(__xludf.DUMMYFUNCTION("""COMPUTED_VALUE"""),1.0876082239440485)</f>
        <v>1.087608224</v>
      </c>
      <c r="AP2362" s="82">
        <f>IFERROR(__xludf.DUMMYFUNCTION("""COMPUTED_VALUE"""),0.8454977932890286)</f>
        <v>0.8454977933</v>
      </c>
      <c r="AQ2362" s="82">
        <f>IFERROR(__xludf.DUMMYFUNCTION("""COMPUTED_VALUE"""),0.7230527077390906)</f>
        <v>0.7230527077</v>
      </c>
      <c r="AR2362" s="82">
        <f>IFERROR(__xludf.DUMMYFUNCTION("""COMPUTED_VALUE"""),0.9913414978031432)</f>
        <v>0.9913414978</v>
      </c>
      <c r="AS2362" s="82">
        <f>IFERROR(__xludf.DUMMYFUNCTION("""COMPUTED_VALUE"""),84.0)</f>
        <v>84</v>
      </c>
      <c r="AT2362" s="82">
        <f>IFERROR(__xludf.DUMMYFUNCTION("""COMPUTED_VALUE"""),0.5278516171422204)</f>
        <v>0.5278516171</v>
      </c>
      <c r="AU2362" s="82">
        <f>IFERROR(__xludf.DUMMYFUNCTION("""COMPUTED_VALUE"""),3.0259519419367438)</f>
        <v>3.025951942</v>
      </c>
      <c r="AV2362" s="82">
        <f>IFERROR(__xludf.DUMMYFUNCTION("""COMPUTED_VALUE"""),54.765960936019056)</f>
        <v>54.76596094</v>
      </c>
      <c r="AW2362" s="82">
        <f t="shared" si="1"/>
        <v>2.356243039</v>
      </c>
      <c r="AX2362" s="83">
        <f t="array" ref="AX2362">IFERROR(DGET('SBV Import'!A:G,"SBV",{"RSC ID","Tier";B2362,A2362}))</f>
        <v>59.92396486</v>
      </c>
      <c r="AY2362" s="82">
        <f t="shared" si="2"/>
        <v>2.892689908</v>
      </c>
      <c r="AZ2362" s="82">
        <v>0.5364468690862387</v>
      </c>
      <c r="BA2362" s="84">
        <v>2300.0</v>
      </c>
      <c r="BB2362" s="84" t="b">
        <f>IFERROR(__xludf.DUMMYFUNCTION("iferror(if(A2362="""",,E2362&gt;=FILTER(Constants!$F$2:$F$10,Constants!$A$2:$A$10=A2362)))"),TRUE)</f>
        <v>1</v>
      </c>
    </row>
    <row r="2363">
      <c r="A2363" s="89" t="str">
        <f>IFERROR(__xludf.DUMMYFUNCTION("""COMPUTED_VALUE"""),"Challenger")</f>
        <v>Challenger</v>
      </c>
      <c r="B2363" s="87" t="str">
        <f>IFERROR(__xludf.DUMMYFUNCTION("""COMPUTED_VALUE"""),"RSC004614")</f>
        <v>RSC004614</v>
      </c>
      <c r="C2363" s="73" t="str">
        <f>IFERROR(__xludf.DUMMYFUNCTION("""COMPUTED_VALUE"""),"Ex ample")</f>
        <v>Ex ample</v>
      </c>
      <c r="D2363" s="73" t="str">
        <f>IFERROR(__xludf.DUMMYFUNCTION("""COMPUTED_VALUE"""),"Pharaohs")</f>
        <v>Pharaohs</v>
      </c>
      <c r="E2363" s="82">
        <f>IFERROR(__xludf.DUMMYFUNCTION("""COMPUTED_VALUE"""),43.0)</f>
        <v>43</v>
      </c>
      <c r="F2363" s="82">
        <f>IFERROR(__xludf.DUMMYFUNCTION("""COMPUTED_VALUE"""),20.0)</f>
        <v>20</v>
      </c>
      <c r="G2363" s="86">
        <f>IFERROR(__xludf.DUMMYFUNCTION("""COMPUTED_VALUE"""),23.0)</f>
        <v>23</v>
      </c>
      <c r="H2363" s="86">
        <f>IFERROR(__xludf.DUMMYFUNCTION("""COMPUTED_VALUE"""),0.46511627906976744)</f>
        <v>0.4651162791</v>
      </c>
      <c r="I2363" s="86">
        <f>IFERROR(__xludf.DUMMYFUNCTION("""COMPUTED_VALUE"""),0.3111111111111111)</f>
        <v>0.3111111111</v>
      </c>
      <c r="J2363" s="82">
        <f>IFERROR(__xludf.DUMMYFUNCTION("""COMPUTED_VALUE"""),366.46153846153845)</f>
        <v>366.4615385</v>
      </c>
      <c r="K2363" s="82">
        <f>IFERROR(__xludf.DUMMYFUNCTION("""COMPUTED_VALUE"""),0.717948717948718)</f>
        <v>0.7179487179</v>
      </c>
      <c r="L2363" s="82">
        <f>IFERROR(__xludf.DUMMYFUNCTION("""COMPUTED_VALUE"""),0.5897435897435898)</f>
        <v>0.5897435897</v>
      </c>
      <c r="M2363" s="82">
        <f>IFERROR(__xludf.DUMMYFUNCTION("""COMPUTED_VALUE"""),1.7179487179487178)</f>
        <v>1.717948718</v>
      </c>
      <c r="N2363" s="82">
        <f>IFERROR(__xludf.DUMMYFUNCTION("""COMPUTED_VALUE"""),2.3076923076923075)</f>
        <v>2.307692308</v>
      </c>
      <c r="O2363" s="82">
        <f>IFERROR(__xludf.DUMMYFUNCTION("""COMPUTED_VALUE"""),337.3418803418803)</f>
        <v>337.3418803</v>
      </c>
      <c r="P2363" s="82">
        <f>IFERROR(__xludf.DUMMYFUNCTION("""COMPUTED_VALUE"""),0.7350427350427352)</f>
        <v>0.735042735</v>
      </c>
      <c r="Q2363" s="82">
        <f>IFERROR(__xludf.DUMMYFUNCTION("""COMPUTED_VALUE"""),0.5299145299145298)</f>
        <v>0.5299145299</v>
      </c>
      <c r="R2363" s="82">
        <f>IFERROR(__xludf.DUMMYFUNCTION("""COMPUTED_VALUE"""),1.0598290598290598)</f>
        <v>1.05982906</v>
      </c>
      <c r="S2363" s="82">
        <f>IFERROR(__xludf.DUMMYFUNCTION("""COMPUTED_VALUE"""),2.8119658119658117)</f>
        <v>2.811965812</v>
      </c>
      <c r="T2363" s="82">
        <f>IFERROR(__xludf.DUMMYFUNCTION("""COMPUTED_VALUE"""),329.03630118392016)</f>
        <v>329.0363012</v>
      </c>
      <c r="U2363" s="82">
        <f>IFERROR(__xludf.DUMMYFUNCTION("""COMPUTED_VALUE"""),0.7251803430212987)</f>
        <v>0.725180343</v>
      </c>
      <c r="V2363" s="82">
        <f>IFERROR(__xludf.DUMMYFUNCTION("""COMPUTED_VALUE"""),0.4995671483666337)</f>
        <v>0.4995671484</v>
      </c>
      <c r="W2363" s="82">
        <f>IFERROR(__xludf.DUMMYFUNCTION("""COMPUTED_VALUE"""),1.2199206052759344)</f>
        <v>1.219920605</v>
      </c>
      <c r="X2363" s="82">
        <f>IFERROR(__xludf.DUMMYFUNCTION("""COMPUTED_VALUE"""),2.4416846791528095)</f>
        <v>2.441684679</v>
      </c>
      <c r="Y2363" s="82">
        <f>IFERROR(__xludf.DUMMYFUNCTION("""COMPUTED_VALUE"""),334.74480782106576)</f>
        <v>334.7448078</v>
      </c>
      <c r="Z2363" s="82">
        <f>IFERROR(__xludf.DUMMYFUNCTION("""COMPUTED_VALUE"""),0.7525189545510612)</f>
        <v>0.7525189546</v>
      </c>
      <c r="AA2363" s="82">
        <f>IFERROR(__xludf.DUMMYFUNCTION("""COMPUTED_VALUE"""),0.5199737033135601)</f>
        <v>0.5199737033</v>
      </c>
      <c r="AB2363" s="82">
        <f>IFERROR(__xludf.DUMMYFUNCTION("""COMPUTED_VALUE"""),1.2772583223461398)</f>
        <v>1.277258322</v>
      </c>
      <c r="AC2363" s="82">
        <f>IFERROR(__xludf.DUMMYFUNCTION("""COMPUTED_VALUE"""),2.415531369986485)</f>
        <v>2.41553137</v>
      </c>
      <c r="AD2363" s="82">
        <f>IFERROR(__xludf.DUMMYFUNCTION("""COMPUTED_VALUE"""),1.0947489845979226)</f>
        <v>1.094748985</v>
      </c>
      <c r="AE2363" s="82">
        <f>IFERROR(__xludf.DUMMYFUNCTION("""COMPUTED_VALUE"""),0.9540606433987204)</f>
        <v>0.9540606434</v>
      </c>
      <c r="AF2363" s="82">
        <f>IFERROR(__xludf.DUMMYFUNCTION("""COMPUTED_VALUE"""),1.1341796440578003)</f>
        <v>1.134179644</v>
      </c>
      <c r="AG2363" s="82">
        <f>IFERROR(__xludf.DUMMYFUNCTION("""COMPUTED_VALUE"""),1.3450284002010597)</f>
        <v>1.3450284</v>
      </c>
      <c r="AH2363" s="82">
        <f>IFERROR(__xludf.DUMMYFUNCTION("""COMPUTED_VALUE"""),0.9553559669586155)</f>
        <v>0.955355967</v>
      </c>
      <c r="AI2363" s="82">
        <f>IFERROR(__xludf.DUMMYFUNCTION("""COMPUTED_VALUE"""),1.0252421362873199)</f>
        <v>1.025242136</v>
      </c>
      <c r="AJ2363" s="82">
        <f>IFERROR(__xludf.DUMMYFUNCTION("""COMPUTED_VALUE"""),1.0135999163743836)</f>
        <v>1.013599916</v>
      </c>
      <c r="AK2363" s="82">
        <f>IFERROR(__xludf.DUMMYFUNCTION("""COMPUTED_VALUE"""),1.0607473522771038)</f>
        <v>1.060747352</v>
      </c>
      <c r="AL2363" s="82">
        <f>IFERROR(__xludf.DUMMYFUNCTION("""COMPUTED_VALUE"""),0.8687688815530226)</f>
        <v>0.8687688816</v>
      </c>
      <c r="AM2363" s="82">
        <f>IFERROR(__xludf.DUMMYFUNCTION("""COMPUTED_VALUE"""),1.1516498571557892)</f>
        <v>1.151649857</v>
      </c>
      <c r="AN2363" s="82">
        <f>IFERROR(__xludf.DUMMYFUNCTION("""COMPUTED_VALUE"""),1.12646669246642)</f>
        <v>1.126466692</v>
      </c>
      <c r="AO2363" s="82">
        <f>IFERROR(__xludf.DUMMYFUNCTION("""COMPUTED_VALUE"""),0.9823558151752696)</f>
        <v>0.9823558152</v>
      </c>
      <c r="AP2363" s="82">
        <f>IFERROR(__xludf.DUMMYFUNCTION("""COMPUTED_VALUE"""),1.1439087791557447)</f>
        <v>1.143908779</v>
      </c>
      <c r="AQ2363" s="82">
        <f>IFERROR(__xludf.DUMMYFUNCTION("""COMPUTED_VALUE"""),1.4248391593682077)</f>
        <v>1.424839159</v>
      </c>
      <c r="AR2363" s="82">
        <f>IFERROR(__xludf.DUMMYFUNCTION("""COMPUTED_VALUE"""),0.9697905956769879)</f>
        <v>0.9697905957</v>
      </c>
      <c r="AS2363" s="82">
        <f>IFERROR(__xludf.DUMMYFUNCTION("""COMPUTED_VALUE"""),82.0)</f>
        <v>82</v>
      </c>
      <c r="AT2363" s="82">
        <f>IFERROR(__xludf.DUMMYFUNCTION("""COMPUTED_VALUE"""),0.4457215808339001)</f>
        <v>0.4457215808</v>
      </c>
      <c r="AU2363" s="82">
        <f>IFERROR(__xludf.DUMMYFUNCTION("""COMPUTED_VALUE"""),3.0070964393926274)</f>
        <v>3.007096439</v>
      </c>
      <c r="AV2363" s="82">
        <f>IFERROR(__xludf.DUMMYFUNCTION("""COMPUTED_VALUE"""),54.27386511483787)</f>
        <v>54.27386511</v>
      </c>
      <c r="AW2363" s="82">
        <f t="shared" si="1"/>
        <v>2.314119882</v>
      </c>
      <c r="AX2363" s="83">
        <f t="array" ref="AX2363">IFERROR(DGET('SBV Import'!A:G,"SBV",{"RSC ID","Tier";B2363,A2363}))</f>
        <v>55.43683101</v>
      </c>
      <c r="AY2363" s="82">
        <f t="shared" si="2"/>
        <v>2.41592707</v>
      </c>
      <c r="AZ2363" s="82">
        <v>0.10180718795066612</v>
      </c>
      <c r="BA2363" s="84">
        <v>2300.0</v>
      </c>
      <c r="BB2363" s="84" t="b">
        <f>IFERROR(__xludf.DUMMYFUNCTION("iferror(if(A2363="""",,E2363&gt;=FILTER(Constants!$F$2:$F$10,Constants!$A$2:$A$10=A2363)))"),TRUE)</f>
        <v>1</v>
      </c>
    </row>
    <row r="2364">
      <c r="A2364" s="89" t="str">
        <f>IFERROR(__xludf.DUMMYFUNCTION("""COMPUTED_VALUE"""),"Challenger")</f>
        <v>Challenger</v>
      </c>
      <c r="B2364" s="87" t="str">
        <f>IFERROR(__xludf.DUMMYFUNCTION("""COMPUTED_VALUE"""),"RSC007001")</f>
        <v>RSC007001</v>
      </c>
      <c r="C2364" s="73" t="str">
        <f>IFERROR(__xludf.DUMMYFUNCTION("""COMPUTED_VALUE"""),"tankersrul")</f>
        <v>tankersrul</v>
      </c>
      <c r="D2364" s="73" t="str">
        <f>IFERROR(__xludf.DUMMYFUNCTION("""COMPUTED_VALUE"""),"Bingo")</f>
        <v>Bingo</v>
      </c>
      <c r="E2364" s="82">
        <f>IFERROR(__xludf.DUMMYFUNCTION("""COMPUTED_VALUE"""),32.0)</f>
        <v>32</v>
      </c>
      <c r="F2364" s="82">
        <f>IFERROR(__xludf.DUMMYFUNCTION("""COMPUTED_VALUE"""),17.0)</f>
        <v>17</v>
      </c>
      <c r="G2364" s="86">
        <f>IFERROR(__xludf.DUMMYFUNCTION("""COMPUTED_VALUE"""),15.0)</f>
        <v>15</v>
      </c>
      <c r="H2364" s="86">
        <f>IFERROR(__xludf.DUMMYFUNCTION("""COMPUTED_VALUE"""),0.53125)</f>
        <v>0.53125</v>
      </c>
      <c r="I2364" s="86">
        <f>IFERROR(__xludf.DUMMYFUNCTION("""COMPUTED_VALUE"""),0.2702702702702703)</f>
        <v>0.2702702703</v>
      </c>
      <c r="J2364" s="82">
        <f>IFERROR(__xludf.DUMMYFUNCTION("""COMPUTED_VALUE"""),327.21875)</f>
        <v>327.21875</v>
      </c>
      <c r="K2364" s="82">
        <f>IFERROR(__xludf.DUMMYFUNCTION("""COMPUTED_VALUE"""),0.625)</f>
        <v>0.625</v>
      </c>
      <c r="L2364" s="82">
        <f>IFERROR(__xludf.DUMMYFUNCTION("""COMPUTED_VALUE"""),0.53125)</f>
        <v>0.53125</v>
      </c>
      <c r="M2364" s="82">
        <f>IFERROR(__xludf.DUMMYFUNCTION("""COMPUTED_VALUE"""),1.25)</f>
        <v>1.25</v>
      </c>
      <c r="N2364" s="82">
        <f>IFERROR(__xludf.DUMMYFUNCTION("""COMPUTED_VALUE"""),2.3125)</f>
        <v>2.3125</v>
      </c>
      <c r="O2364" s="82">
        <f>IFERROR(__xludf.DUMMYFUNCTION("""COMPUTED_VALUE"""),318.9583333333332)</f>
        <v>318.9583333</v>
      </c>
      <c r="P2364" s="82">
        <f>IFERROR(__xludf.DUMMYFUNCTION("""COMPUTED_VALUE"""),0.6354166666666665)</f>
        <v>0.6354166667</v>
      </c>
      <c r="Q2364" s="82">
        <f>IFERROR(__xludf.DUMMYFUNCTION("""COMPUTED_VALUE"""),0.41666666666666674)</f>
        <v>0.4166666667</v>
      </c>
      <c r="R2364" s="82">
        <f>IFERROR(__xludf.DUMMYFUNCTION("""COMPUTED_VALUE"""),1.3541666666666667)</f>
        <v>1.354166667</v>
      </c>
      <c r="S2364" s="82">
        <f>IFERROR(__xludf.DUMMYFUNCTION("""COMPUTED_VALUE"""),2.1458333333333335)</f>
        <v>2.145833333</v>
      </c>
      <c r="T2364" s="82">
        <f>IFERROR(__xludf.DUMMYFUNCTION("""COMPUTED_VALUE"""),341.495564717485)</f>
        <v>341.4955647</v>
      </c>
      <c r="U2364" s="82">
        <f>IFERROR(__xludf.DUMMYFUNCTION("""COMPUTED_VALUE"""),0.8186793353780814)</f>
        <v>0.8186793354</v>
      </c>
      <c r="V2364" s="82">
        <f>IFERROR(__xludf.DUMMYFUNCTION("""COMPUTED_VALUE"""),0.5376101153688077)</f>
        <v>0.5376101154</v>
      </c>
      <c r="W2364" s="82">
        <f>IFERROR(__xludf.DUMMYFUNCTION("""COMPUTED_VALUE"""),1.2153264735043827)</f>
        <v>1.215326474</v>
      </c>
      <c r="X2364" s="82">
        <f>IFERROR(__xludf.DUMMYFUNCTION("""COMPUTED_VALUE"""),2.456832432229602)</f>
        <v>2.456832432</v>
      </c>
      <c r="Y2364" s="82">
        <f>IFERROR(__xludf.DUMMYFUNCTION("""COMPUTED_VALUE"""),325.3261758101853)</f>
        <v>325.3261758</v>
      </c>
      <c r="Z2364" s="82">
        <f>IFERROR(__xludf.DUMMYFUNCTION("""COMPUTED_VALUE"""),0.7175106596200501)</f>
        <v>0.7175106596</v>
      </c>
      <c r="AA2364" s="82">
        <f>IFERROR(__xludf.DUMMYFUNCTION("""COMPUTED_VALUE"""),0.48449081580633124)</f>
        <v>0.4844908158</v>
      </c>
      <c r="AB2364" s="82">
        <f>IFERROR(__xludf.DUMMYFUNCTION("""COMPUTED_VALUE"""),1.1962353402742176)</f>
        <v>1.19623534</v>
      </c>
      <c r="AC2364" s="82">
        <f>IFERROR(__xludf.DUMMYFUNCTION("""COMPUTED_VALUE"""),2.41521949552737)</f>
        <v>2.415219496</v>
      </c>
      <c r="AD2364" s="82">
        <f>IFERROR(__xludf.DUMMYFUNCTION("""COMPUTED_VALUE"""),1.0058174666858621)</f>
        <v>1.005817467</v>
      </c>
      <c r="AE2364" s="82">
        <f>IFERROR(__xludf.DUMMYFUNCTION("""COMPUTED_VALUE"""),0.8710671982642905)</f>
        <v>0.8710671983</v>
      </c>
      <c r="AF2364" s="82">
        <f>IFERROR(__xludf.DUMMYFUNCTION("""COMPUTED_VALUE"""),1.0965120135783133)</f>
        <v>1.096512014</v>
      </c>
      <c r="AG2364" s="82">
        <f>IFERROR(__xludf.DUMMYFUNCTION("""COMPUTED_VALUE"""),1.0449448849366527)</f>
        <v>1.044944885</v>
      </c>
      <c r="AH2364" s="82">
        <f>IFERROR(__xludf.DUMMYFUNCTION("""COMPUTED_VALUE"""),0.9574699128929726)</f>
        <v>0.9574699129</v>
      </c>
      <c r="AI2364" s="82">
        <f>IFERROR(__xludf.DUMMYFUNCTION("""COMPUTED_VALUE"""),0.9340043218341749)</f>
        <v>0.9340043218</v>
      </c>
      <c r="AJ2364" s="82">
        <f>IFERROR(__xludf.DUMMYFUNCTION("""COMPUTED_VALUE"""),0.7761484127032707)</f>
        <v>0.7761484127</v>
      </c>
      <c r="AK2364" s="82">
        <f>IFERROR(__xludf.DUMMYFUNCTION("""COMPUTED_VALUE"""),0.7750350202782696)</f>
        <v>0.7750350203</v>
      </c>
      <c r="AL2364" s="82">
        <f>IFERROR(__xludf.DUMMYFUNCTION("""COMPUTED_VALUE"""),1.1142410670623668)</f>
        <v>1.114241067</v>
      </c>
      <c r="AM2364" s="82">
        <f>IFERROR(__xludf.DUMMYFUNCTION("""COMPUTED_VALUE"""),0.8734146070295754)</f>
        <v>0.873414607</v>
      </c>
      <c r="AN2364" s="82">
        <f>IFERROR(__xludf.DUMMYFUNCTION("""COMPUTED_VALUE"""),1.0058382240410269)</f>
        <v>1.005838224</v>
      </c>
      <c r="AO2364" s="82">
        <f>IFERROR(__xludf.DUMMYFUNCTION("""COMPUTED_VALUE"""),0.8551758212463285)</f>
        <v>0.8551758212</v>
      </c>
      <c r="AP2364" s="82">
        <f>IFERROR(__xludf.DUMMYFUNCTION("""COMPUTED_VALUE"""),1.0304504355710036)</f>
        <v>1.030450436</v>
      </c>
      <c r="AQ2364" s="82">
        <f>IFERROR(__xludf.DUMMYFUNCTION("""COMPUTED_VALUE"""),1.036729985361196)</f>
        <v>1.036729985</v>
      </c>
      <c r="AR2364" s="82">
        <f>IFERROR(__xludf.DUMMYFUNCTION("""COMPUTED_VALUE"""),0.971810992751315)</f>
        <v>0.9718109928</v>
      </c>
      <c r="AS2364" s="82">
        <f>IFERROR(__xludf.DUMMYFUNCTION("""COMPUTED_VALUE"""),69.0)</f>
        <v>69</v>
      </c>
      <c r="AT2364" s="82">
        <f>IFERROR(__xludf.DUMMYFUNCTION("""COMPUTED_VALUE"""),0.5459370424119446)</f>
        <v>0.5459370424</v>
      </c>
      <c r="AU2364" s="82">
        <f>IFERROR(__xludf.DUMMYFUNCTION("""COMPUTED_VALUE"""),3.0063210153936772)</f>
        <v>3.006321015</v>
      </c>
      <c r="AV2364" s="82">
        <f>IFERROR(__xludf.DUMMYFUNCTION("""COMPUTED_VALUE"""),54.25362789715384)</f>
        <v>54.2536279</v>
      </c>
      <c r="AW2364" s="82">
        <f t="shared" si="1"/>
        <v>2.312416717</v>
      </c>
      <c r="AX2364" s="83">
        <f t="array" ref="AX2364">IFERROR(DGET('SBV Import'!A:G,"SBV",{"RSC ID","Tier";B2364,A2364}))</f>
        <v>50.58059767</v>
      </c>
      <c r="AY2364" s="82">
        <f t="shared" si="2"/>
        <v>2.037756222</v>
      </c>
      <c r="AZ2364" s="82">
        <v>0.2746604953572209</v>
      </c>
      <c r="BA2364" s="84">
        <v>2300.0</v>
      </c>
      <c r="BB2364" s="84" t="b">
        <f>IFERROR(__xludf.DUMMYFUNCTION("iferror(if(A2364="""",,E2364&gt;=FILTER(Constants!$F$2:$F$10,Constants!$A$2:$A$10=A2364)))"),TRUE)</f>
        <v>1</v>
      </c>
    </row>
    <row r="2365">
      <c r="A2365" s="89" t="str">
        <f>IFERROR(__xludf.DUMMYFUNCTION("""COMPUTED_VALUE"""),"Challenger")</f>
        <v>Challenger</v>
      </c>
      <c r="B2365" s="87" t="str">
        <f>IFERROR(__xludf.DUMMYFUNCTION("""COMPUTED_VALUE"""),"RSC007824")</f>
        <v>RSC007824</v>
      </c>
      <c r="C2365" s="73" t="str">
        <f>IFERROR(__xludf.DUMMYFUNCTION("""COMPUTED_VALUE"""),"Akki404")</f>
        <v>Akki404</v>
      </c>
      <c r="D2365" s="73" t="str">
        <f>IFERROR(__xludf.DUMMYFUNCTION("""COMPUTED_VALUE"""),"Squalls")</f>
        <v>Squalls</v>
      </c>
      <c r="E2365" s="82">
        <f>IFERROR(__xludf.DUMMYFUNCTION("""COMPUTED_VALUE"""),47.0)</f>
        <v>47</v>
      </c>
      <c r="F2365" s="82">
        <f>IFERROR(__xludf.DUMMYFUNCTION("""COMPUTED_VALUE"""),15.0)</f>
        <v>15</v>
      </c>
      <c r="G2365" s="86">
        <f>IFERROR(__xludf.DUMMYFUNCTION("""COMPUTED_VALUE"""),32.0)</f>
        <v>32</v>
      </c>
      <c r="H2365" s="86">
        <f>IFERROR(__xludf.DUMMYFUNCTION("""COMPUTED_VALUE"""),0.3191489361702128)</f>
        <v>0.3191489362</v>
      </c>
      <c r="I2365" s="86">
        <f>IFERROR(__xludf.DUMMYFUNCTION("""COMPUTED_VALUE"""),0.36)</f>
        <v>0.36</v>
      </c>
      <c r="J2365" s="82">
        <f>IFERROR(__xludf.DUMMYFUNCTION("""COMPUTED_VALUE"""),384.17021276595744)</f>
        <v>384.1702128</v>
      </c>
      <c r="K2365" s="82">
        <f>IFERROR(__xludf.DUMMYFUNCTION("""COMPUTED_VALUE"""),0.7659574468085106)</f>
        <v>0.7659574468</v>
      </c>
      <c r="L2365" s="82">
        <f>IFERROR(__xludf.DUMMYFUNCTION("""COMPUTED_VALUE"""),0.5957446808510638)</f>
        <v>0.5957446809</v>
      </c>
      <c r="M2365" s="82">
        <f>IFERROR(__xludf.DUMMYFUNCTION("""COMPUTED_VALUE"""),1.5957446808510638)</f>
        <v>1.595744681</v>
      </c>
      <c r="N2365" s="82">
        <f>IFERROR(__xludf.DUMMYFUNCTION("""COMPUTED_VALUE"""),2.127659574468085)</f>
        <v>2.127659574</v>
      </c>
      <c r="O2365" s="82">
        <f>IFERROR(__xludf.DUMMYFUNCTION("""COMPUTED_VALUE"""),359.6879432624114)</f>
        <v>359.6879433</v>
      </c>
      <c r="P2365" s="82">
        <f>IFERROR(__xludf.DUMMYFUNCTION("""COMPUTED_VALUE"""),0.9716312056737592)</f>
        <v>0.9716312057</v>
      </c>
      <c r="Q2365" s="82">
        <f>IFERROR(__xludf.DUMMYFUNCTION("""COMPUTED_VALUE"""),0.702127659574468)</f>
        <v>0.7021276596</v>
      </c>
      <c r="R2365" s="82">
        <f>IFERROR(__xludf.DUMMYFUNCTION("""COMPUTED_VALUE"""),0.9929078014184397)</f>
        <v>0.9929078014</v>
      </c>
      <c r="S2365" s="82">
        <f>IFERROR(__xludf.DUMMYFUNCTION("""COMPUTED_VALUE"""),2.9078014184397167)</f>
        <v>2.907801418</v>
      </c>
      <c r="T2365" s="82">
        <f>IFERROR(__xludf.DUMMYFUNCTION("""COMPUTED_VALUE"""),342.12391178831854)</f>
        <v>342.1239118</v>
      </c>
      <c r="U2365" s="82">
        <f>IFERROR(__xludf.DUMMYFUNCTION("""COMPUTED_VALUE"""),0.7974276299271988)</f>
        <v>0.7974276299</v>
      </c>
      <c r="V2365" s="82">
        <f>IFERROR(__xludf.DUMMYFUNCTION("""COMPUTED_VALUE"""),0.5710829700777862)</f>
        <v>0.5710829701</v>
      </c>
      <c r="W2365" s="82">
        <f>IFERROR(__xludf.DUMMYFUNCTION("""COMPUTED_VALUE"""),1.2120867022921555)</f>
        <v>1.212086702</v>
      </c>
      <c r="X2365" s="82">
        <f>IFERROR(__xludf.DUMMYFUNCTION("""COMPUTED_VALUE"""),2.597664382240995)</f>
        <v>2.597664382</v>
      </c>
      <c r="Y2365" s="82">
        <f>IFERROR(__xludf.DUMMYFUNCTION("""COMPUTED_VALUE"""),333.3960417122332)</f>
        <v>333.3960417</v>
      </c>
      <c r="Z2365" s="82">
        <f>IFERROR(__xludf.DUMMYFUNCTION("""COMPUTED_VALUE"""),0.7214661199681812)</f>
        <v>0.72146612</v>
      </c>
      <c r="AA2365" s="82">
        <f>IFERROR(__xludf.DUMMYFUNCTION("""COMPUTED_VALUE"""),0.5043716423043935)</f>
        <v>0.5043716423</v>
      </c>
      <c r="AB2365" s="82">
        <f>IFERROR(__xludf.DUMMYFUNCTION("""COMPUTED_VALUE"""),1.2906030576592555)</f>
        <v>1.290603058</v>
      </c>
      <c r="AC2365" s="82">
        <f>IFERROR(__xludf.DUMMYFUNCTION("""COMPUTED_VALUE"""),2.3814037251182216)</f>
        <v>2.381403725</v>
      </c>
      <c r="AD2365" s="82">
        <f>IFERROR(__xludf.DUMMYFUNCTION("""COMPUTED_VALUE"""),1.152293862857404)</f>
        <v>1.152293863</v>
      </c>
      <c r="AE2365" s="82">
        <f>IFERROR(__xludf.DUMMYFUNCTION("""COMPUTED_VALUE"""),1.061667936454579)</f>
        <v>1.061667936</v>
      </c>
      <c r="AF2365" s="82">
        <f>IFERROR(__xludf.DUMMYFUNCTION("""COMPUTED_VALUE"""),1.1811621250734905)</f>
        <v>1.181162125</v>
      </c>
      <c r="AG2365" s="82">
        <f>IFERROR(__xludf.DUMMYFUNCTION("""COMPUTED_VALUE"""),1.2364333645274623)</f>
        <v>1.236433365</v>
      </c>
      <c r="AH2365" s="82">
        <f>IFERROR(__xludf.DUMMYFUNCTION("""COMPUTED_VALUE"""),0.8934476552741851)</f>
        <v>0.8934476553</v>
      </c>
      <c r="AI2365" s="82">
        <f>IFERROR(__xludf.DUMMYFUNCTION("""COMPUTED_VALUE"""),1.0513382165610226)</f>
        <v>1.051338217</v>
      </c>
      <c r="AJ2365" s="82">
        <f>IFERROR(__xludf.DUMMYFUNCTION("""COMPUTED_VALUE"""),1.2184569097040998)</f>
        <v>1.21845691</v>
      </c>
      <c r="AK2365" s="82">
        <f>IFERROR(__xludf.DUMMYFUNCTION("""COMPUTED_VALUE"""),1.2294669887964482)</f>
        <v>1.229466989</v>
      </c>
      <c r="AL2365" s="82">
        <f>IFERROR(__xludf.DUMMYFUNCTION("""COMPUTED_VALUE"""),0.819172258503265)</f>
        <v>0.8191722585</v>
      </c>
      <c r="AM2365" s="82">
        <f>IFERROR(__xludf.DUMMYFUNCTION("""COMPUTED_VALUE"""),1.1193907258839835)</f>
        <v>1.119390726</v>
      </c>
      <c r="AN2365" s="82">
        <f>IFERROR(__xludf.DUMMYFUNCTION("""COMPUTED_VALUE"""),1.1809014139256204)</f>
        <v>1.180901414</v>
      </c>
      <c r="AO2365" s="82">
        <f>IFERROR(__xludf.DUMMYFUNCTION("""COMPUTED_VALUE"""),1.0480452617827345)</f>
        <v>1.048045262</v>
      </c>
      <c r="AP2365" s="82">
        <f>IFERROR(__xludf.DUMMYFUNCTION("""COMPUTED_VALUE"""),1.1555489239945171)</f>
        <v>1.155548924</v>
      </c>
      <c r="AQ2365" s="82">
        <f>IFERROR(__xludf.DUMMYFUNCTION("""COMPUTED_VALUE"""),1.3234850876951438)</f>
        <v>1.323485088</v>
      </c>
      <c r="AR2365" s="82">
        <f>IFERROR(__xludf.DUMMYFUNCTION("""COMPUTED_VALUE"""),0.8941331733192087)</f>
        <v>0.8941331733</v>
      </c>
      <c r="AS2365" s="82">
        <f>IFERROR(__xludf.DUMMYFUNCTION("""COMPUTED_VALUE"""),86.0)</f>
        <v>86</v>
      </c>
      <c r="AT2365" s="82">
        <f>IFERROR(__xludf.DUMMYFUNCTION("""COMPUTED_VALUE"""),0.3256395203769261)</f>
        <v>0.3256395204</v>
      </c>
      <c r="AU2365" s="82">
        <f>IFERROR(__xludf.DUMMYFUNCTION("""COMPUTED_VALUE"""),2.9797733514749716)</f>
        <v>2.979773351</v>
      </c>
      <c r="AV2365" s="82">
        <f>IFERROR(__xludf.DUMMYFUNCTION("""COMPUTED_VALUE"""),53.560780043008776)</f>
        <v>53.56078004</v>
      </c>
      <c r="AW2365" s="82">
        <f t="shared" si="1"/>
        <v>2.255454036</v>
      </c>
      <c r="AX2365" s="83">
        <f t="array" ref="AX2365">IFERROR(DGET('SBV Import'!A:G,"SBV",{"RSC ID","Tier";B2365,A2365}))</f>
        <v>60.33367572</v>
      </c>
      <c r="AY2365" s="82">
        <f t="shared" si="2"/>
        <v>2.943980272</v>
      </c>
      <c r="AZ2365" s="82">
        <v>0.6885262356804276</v>
      </c>
      <c r="BA2365" s="84">
        <v>2300.0</v>
      </c>
      <c r="BB2365" s="84" t="b">
        <f>IFERROR(__xludf.DUMMYFUNCTION("iferror(if(A2365="""",,E2365&gt;=FILTER(Constants!$F$2:$F$10,Constants!$A$2:$A$10=A2365)))"),TRUE)</f>
        <v>1</v>
      </c>
    </row>
    <row r="2366">
      <c r="A2366" s="89" t="str">
        <f>IFERROR(__xludf.DUMMYFUNCTION("""COMPUTED_VALUE"""),"Challenger")</f>
        <v>Challenger</v>
      </c>
      <c r="B2366" s="87" t="str">
        <f>IFERROR(__xludf.DUMMYFUNCTION("""COMPUTED_VALUE"""),"RSC007307")</f>
        <v>RSC007307</v>
      </c>
      <c r="C2366" s="73" t="str">
        <f>IFERROR(__xludf.DUMMYFUNCTION("""COMPUTED_VALUE"""),"Jmh187-")</f>
        <v>Jmh187-</v>
      </c>
      <c r="D2366" s="73" t="str">
        <f>IFERROR(__xludf.DUMMYFUNCTION("""COMPUTED_VALUE"""),"Chromatic Chaos")</f>
        <v>Chromatic Chaos</v>
      </c>
      <c r="E2366" s="82">
        <f>IFERROR(__xludf.DUMMYFUNCTION("""COMPUTED_VALUE"""),39.0)</f>
        <v>39</v>
      </c>
      <c r="F2366" s="82">
        <f>IFERROR(__xludf.DUMMYFUNCTION("""COMPUTED_VALUE"""),14.0)</f>
        <v>14</v>
      </c>
      <c r="G2366" s="86">
        <f>IFERROR(__xludf.DUMMYFUNCTION("""COMPUTED_VALUE"""),25.0)</f>
        <v>25</v>
      </c>
      <c r="H2366" s="86">
        <f>IFERROR(__xludf.DUMMYFUNCTION("""COMPUTED_VALUE"""),0.358974358974359)</f>
        <v>0.358974359</v>
      </c>
      <c r="I2366" s="86">
        <f>IFERROR(__xludf.DUMMYFUNCTION("""COMPUTED_VALUE"""),0.34782608695652173)</f>
        <v>0.347826087</v>
      </c>
      <c r="J2366" s="82">
        <f>IFERROR(__xludf.DUMMYFUNCTION("""COMPUTED_VALUE"""),368.02564102564105)</f>
        <v>368.025641</v>
      </c>
      <c r="K2366" s="82">
        <f>IFERROR(__xludf.DUMMYFUNCTION("""COMPUTED_VALUE"""),0.8205128205128205)</f>
        <v>0.8205128205</v>
      </c>
      <c r="L2366" s="82">
        <f>IFERROR(__xludf.DUMMYFUNCTION("""COMPUTED_VALUE"""),0.48717948717948717)</f>
        <v>0.4871794872</v>
      </c>
      <c r="M2366" s="82">
        <f>IFERROR(__xludf.DUMMYFUNCTION("""COMPUTED_VALUE"""),1.794871794871795)</f>
        <v>1.794871795</v>
      </c>
      <c r="N2366" s="82">
        <f>IFERROR(__xludf.DUMMYFUNCTION("""COMPUTED_VALUE"""),2.358974358974359)</f>
        <v>2.358974359</v>
      </c>
      <c r="O2366" s="82">
        <f>IFERROR(__xludf.DUMMYFUNCTION("""COMPUTED_VALUE"""),344.25641025641033)</f>
        <v>344.2564103</v>
      </c>
      <c r="P2366" s="82">
        <f>IFERROR(__xludf.DUMMYFUNCTION("""COMPUTED_VALUE"""),0.9230769230769231)</f>
        <v>0.9230769231</v>
      </c>
      <c r="Q2366" s="82">
        <f>IFERROR(__xludf.DUMMYFUNCTION("""COMPUTED_VALUE"""),0.5213675213675213)</f>
        <v>0.5213675214</v>
      </c>
      <c r="R2366" s="82">
        <f>IFERROR(__xludf.DUMMYFUNCTION("""COMPUTED_VALUE"""),1.1025641025641026)</f>
        <v>1.102564103</v>
      </c>
      <c r="S2366" s="82">
        <f>IFERROR(__xludf.DUMMYFUNCTION("""COMPUTED_VALUE"""),2.7606837606837606)</f>
        <v>2.760683761</v>
      </c>
      <c r="T2366" s="82">
        <f>IFERROR(__xludf.DUMMYFUNCTION("""COMPUTED_VALUE"""),330.349795858606)</f>
        <v>330.3497959</v>
      </c>
      <c r="U2366" s="82">
        <f>IFERROR(__xludf.DUMMYFUNCTION("""COMPUTED_VALUE"""),0.7643839907144789)</f>
        <v>0.7643839907</v>
      </c>
      <c r="V2366" s="82">
        <f>IFERROR(__xludf.DUMMYFUNCTION("""COMPUTED_VALUE"""),0.5082410661381633)</f>
        <v>0.5082410661</v>
      </c>
      <c r="W2366" s="82">
        <f>IFERROR(__xludf.DUMMYFUNCTION("""COMPUTED_VALUE"""),1.1779095882417072)</f>
        <v>1.177909588</v>
      </c>
      <c r="X2366" s="82">
        <f>IFERROR(__xludf.DUMMYFUNCTION("""COMPUTED_VALUE"""),2.4501489154983607)</f>
        <v>2.450148915</v>
      </c>
      <c r="Y2366" s="82">
        <f>IFERROR(__xludf.DUMMYFUNCTION("""COMPUTED_VALUE"""),336.1063536407998)</f>
        <v>336.1063536</v>
      </c>
      <c r="Z2366" s="82">
        <f>IFERROR(__xludf.DUMMYFUNCTION("""COMPUTED_VALUE"""),0.7687544524615098)</f>
        <v>0.7687544525</v>
      </c>
      <c r="AA2366" s="82">
        <f>IFERROR(__xludf.DUMMYFUNCTION("""COMPUTED_VALUE"""),0.5176747563284095)</f>
        <v>0.5176747563</v>
      </c>
      <c r="AB2366" s="82">
        <f>IFERROR(__xludf.DUMMYFUNCTION("""COMPUTED_VALUE"""),1.2348427719072215)</f>
        <v>1.234842772</v>
      </c>
      <c r="AC2366" s="82">
        <f>IFERROR(__xludf.DUMMYFUNCTION("""COMPUTED_VALUE"""),2.3964239829247576)</f>
        <v>2.396423983</v>
      </c>
      <c r="AD2366" s="82">
        <f>IFERROR(__xludf.DUMMYFUNCTION("""COMPUTED_VALUE"""),1.0949678190819139)</f>
        <v>1.094967819</v>
      </c>
      <c r="AE2366" s="82">
        <f>IFERROR(__xludf.DUMMYFUNCTION("""COMPUTED_VALUE"""),1.0673275684915817)</f>
        <v>1.067327568</v>
      </c>
      <c r="AF2366" s="82">
        <f>IFERROR(__xludf.DUMMYFUNCTION("""COMPUTED_VALUE"""),0.9410918365708828)</f>
        <v>0.9410918366</v>
      </c>
      <c r="AG2366" s="82">
        <f>IFERROR(__xludf.DUMMYFUNCTION("""COMPUTED_VALUE"""),1.453522533965685)</f>
        <v>1.453522534</v>
      </c>
      <c r="AH2366" s="82">
        <f>IFERROR(__xludf.DUMMYFUNCTION("""COMPUTED_VALUE"""),0.9843727052402921)</f>
        <v>0.9843727052</v>
      </c>
      <c r="AI2366" s="82">
        <f>IFERROR(__xludf.DUMMYFUNCTION("""COMPUTED_VALUE"""),1.0420966338473432)</f>
        <v>1.042096634</v>
      </c>
      <c r="AJ2366" s="82">
        <f>IFERROR(__xludf.DUMMYFUNCTION("""COMPUTED_VALUE"""),1.20760891684049)</f>
        <v>1.207608917</v>
      </c>
      <c r="AK2366" s="82">
        <f>IFERROR(__xludf.DUMMYFUNCTION("""COMPUTED_VALUE"""),1.0258272227569065)</f>
        <v>1.025827223</v>
      </c>
      <c r="AL2366" s="82">
        <f>IFERROR(__xludf.DUMMYFUNCTION("""COMPUTED_VALUE"""),0.9360345764821606)</f>
        <v>0.9360345765</v>
      </c>
      <c r="AM2366" s="82">
        <f>IFERROR(__xludf.DUMMYFUNCTION("""COMPUTED_VALUE"""),1.1267412128385825)</f>
        <v>1.126741213</v>
      </c>
      <c r="AN2366" s="82">
        <f>IFERROR(__xludf.DUMMYFUNCTION("""COMPUTED_VALUE"""),1.1312745897684386)</f>
        <v>1.13127459</v>
      </c>
      <c r="AO2366" s="82">
        <f>IFERROR(__xludf.DUMMYFUNCTION("""COMPUTED_VALUE"""),1.122692360200308)</f>
        <v>1.12269236</v>
      </c>
      <c r="AP2366" s="82">
        <f>IFERROR(__xludf.DUMMYFUNCTION("""COMPUTED_VALUE"""),0.9449681219112672)</f>
        <v>0.9449681219</v>
      </c>
      <c r="AQ2366" s="82">
        <f>IFERROR(__xludf.DUMMYFUNCTION("""COMPUTED_VALUE"""),1.4886379276981276)</f>
        <v>1.488637928</v>
      </c>
      <c r="AR2366" s="82">
        <f>IFERROR(__xludf.DUMMYFUNCTION("""COMPUTED_VALUE"""),0.9913414978031432)</f>
        <v>0.9913414978</v>
      </c>
      <c r="AS2366" s="82">
        <f>IFERROR(__xludf.DUMMYFUNCTION("""COMPUTED_VALUE"""),83.0)</f>
        <v>83</v>
      </c>
      <c r="AT2366" s="82">
        <f>IFERROR(__xludf.DUMMYFUNCTION("""COMPUTED_VALUE"""),0.3976203194467105)</f>
        <v>0.3976203194</v>
      </c>
      <c r="AU2366" s="82">
        <f>IFERROR(__xludf.DUMMYFUNCTION("""COMPUTED_VALUE"""),2.9748508673673695)</f>
        <v>2.974850867</v>
      </c>
      <c r="AV2366" s="82">
        <f>IFERROR(__xludf.DUMMYFUNCTION("""COMPUTED_VALUE"""),53.432311769436424)</f>
        <v>53.43231177</v>
      </c>
      <c r="AW2366" s="82">
        <f t="shared" si="1"/>
        <v>2.245173832</v>
      </c>
      <c r="AX2366" s="83">
        <f t="array" ref="AX2366">IFERROR(DGET('SBV Import'!A:G,"SBV",{"RSC ID","Tier";B2366,A2366}))</f>
        <v>57.86063545</v>
      </c>
      <c r="AY2366" s="82">
        <f t="shared" si="2"/>
        <v>2.655344442</v>
      </c>
      <c r="AZ2366" s="82">
        <v>0.41017061014904765</v>
      </c>
      <c r="BA2366" s="84">
        <v>2300.0</v>
      </c>
      <c r="BB2366" s="84" t="b">
        <f>IFERROR(__xludf.DUMMYFUNCTION("iferror(if(A2366="""",,E2366&gt;=FILTER(Constants!$F$2:$F$10,Constants!$A$2:$A$10=A2366)))"),TRUE)</f>
        <v>1</v>
      </c>
    </row>
    <row r="2367">
      <c r="A2367" s="89" t="str">
        <f>IFERROR(__xludf.DUMMYFUNCTION("""COMPUTED_VALUE"""),"Challenger")</f>
        <v>Challenger</v>
      </c>
      <c r="B2367" s="87" t="str">
        <f>IFERROR(__xludf.DUMMYFUNCTION("""COMPUTED_VALUE"""),"RSC007197")</f>
        <v>RSC007197</v>
      </c>
      <c r="C2367" s="73" t="str">
        <f>IFERROR(__xludf.DUMMYFUNCTION("""COMPUTED_VALUE"""),"xMaster P")</f>
        <v>xMaster P</v>
      </c>
      <c r="D2367" s="73" t="str">
        <f>IFERROR(__xludf.DUMMYFUNCTION("""COMPUTED_VALUE"""),"Mugged")</f>
        <v>Mugged</v>
      </c>
      <c r="E2367" s="82">
        <f>IFERROR(__xludf.DUMMYFUNCTION("""COMPUTED_VALUE"""),35.0)</f>
        <v>35</v>
      </c>
      <c r="F2367" s="82">
        <f>IFERROR(__xludf.DUMMYFUNCTION("""COMPUTED_VALUE"""),23.0)</f>
        <v>23</v>
      </c>
      <c r="G2367" s="86">
        <f>IFERROR(__xludf.DUMMYFUNCTION("""COMPUTED_VALUE"""),12.0)</f>
        <v>12</v>
      </c>
      <c r="H2367" s="86">
        <f>IFERROR(__xludf.DUMMYFUNCTION("""COMPUTED_VALUE"""),0.6571428571428571)</f>
        <v>0.6571428571</v>
      </c>
      <c r="I2367" s="86">
        <f>IFERROR(__xludf.DUMMYFUNCTION("""COMPUTED_VALUE"""),0.3698630136986301)</f>
        <v>0.3698630137</v>
      </c>
      <c r="J2367" s="82">
        <f>IFERROR(__xludf.DUMMYFUNCTION("""COMPUTED_VALUE"""),340.7142857142857)</f>
        <v>340.7142857</v>
      </c>
      <c r="K2367" s="82">
        <f>IFERROR(__xludf.DUMMYFUNCTION("""COMPUTED_VALUE"""),0.7714285714285715)</f>
        <v>0.7714285714</v>
      </c>
      <c r="L2367" s="82">
        <f>IFERROR(__xludf.DUMMYFUNCTION("""COMPUTED_VALUE"""),0.6)</f>
        <v>0.6</v>
      </c>
      <c r="M2367" s="82">
        <f>IFERROR(__xludf.DUMMYFUNCTION("""COMPUTED_VALUE"""),1.2857142857142858)</f>
        <v>1.285714286</v>
      </c>
      <c r="N2367" s="82">
        <f>IFERROR(__xludf.DUMMYFUNCTION("""COMPUTED_VALUE"""),2.085714285714286)</f>
        <v>2.085714286</v>
      </c>
      <c r="O2367" s="82">
        <f>IFERROR(__xludf.DUMMYFUNCTION("""COMPUTED_VALUE"""),309.70476190476194)</f>
        <v>309.7047619</v>
      </c>
      <c r="P2367" s="82">
        <f>IFERROR(__xludf.DUMMYFUNCTION("""COMPUTED_VALUE"""),0.6857142857142856)</f>
        <v>0.6857142857</v>
      </c>
      <c r="Q2367" s="82">
        <f>IFERROR(__xludf.DUMMYFUNCTION("""COMPUTED_VALUE"""),0.4095238095238095)</f>
        <v>0.4095238095</v>
      </c>
      <c r="R2367" s="82">
        <f>IFERROR(__xludf.DUMMYFUNCTION("""COMPUTED_VALUE"""),1.1238095238095238)</f>
        <v>1.123809524</v>
      </c>
      <c r="S2367" s="82">
        <f>IFERROR(__xludf.DUMMYFUNCTION("""COMPUTED_VALUE"""),2.5047619047619043)</f>
        <v>2.504761905</v>
      </c>
      <c r="T2367" s="82">
        <f>IFERROR(__xludf.DUMMYFUNCTION("""COMPUTED_VALUE"""),323.03358586762903)</f>
        <v>323.0335859</v>
      </c>
      <c r="U2367" s="82">
        <f>IFERROR(__xludf.DUMMYFUNCTION("""COMPUTED_VALUE"""),0.7140984013988648)</f>
        <v>0.7140984014</v>
      </c>
      <c r="V2367" s="82">
        <f>IFERROR(__xludf.DUMMYFUNCTION("""COMPUTED_VALUE"""),0.4618646135907381)</f>
        <v>0.4618646136</v>
      </c>
      <c r="W2367" s="82">
        <f>IFERROR(__xludf.DUMMYFUNCTION("""COMPUTED_VALUE"""),1.2167803731283287)</f>
        <v>1.216780373</v>
      </c>
      <c r="X2367" s="82">
        <f>IFERROR(__xludf.DUMMYFUNCTION("""COMPUTED_VALUE"""),2.357402763392232)</f>
        <v>2.357402763</v>
      </c>
      <c r="Y2367" s="82">
        <f>IFERROR(__xludf.DUMMYFUNCTION("""COMPUTED_VALUE"""),340.7122343600133)</f>
        <v>340.7122344</v>
      </c>
      <c r="Z2367" s="82">
        <f>IFERROR(__xludf.DUMMYFUNCTION("""COMPUTED_VALUE"""),0.7980272015149881)</f>
        <v>0.7980272015</v>
      </c>
      <c r="AA2367" s="82">
        <f>IFERROR(__xludf.DUMMYFUNCTION("""COMPUTED_VALUE"""),0.5665996085446231)</f>
        <v>0.5665996085</v>
      </c>
      <c r="AB2367" s="82">
        <f>IFERROR(__xludf.DUMMYFUNCTION("""COMPUTED_VALUE"""),1.2039577055835489)</f>
        <v>1.203957706</v>
      </c>
      <c r="AC2367" s="82">
        <f>IFERROR(__xludf.DUMMYFUNCTION("""COMPUTED_VALUE"""),2.5342666454516216)</f>
        <v>2.534266645</v>
      </c>
      <c r="AD2367" s="82">
        <f>IFERROR(__xludf.DUMMYFUNCTION("""COMPUTED_VALUE"""),1.0000060207825419)</f>
        <v>1.000006021</v>
      </c>
      <c r="AE2367" s="82">
        <f>IFERROR(__xludf.DUMMYFUNCTION("""COMPUTED_VALUE"""),0.9666695194901611)</f>
        <v>0.9666695195</v>
      </c>
      <c r="AF2367" s="82">
        <f>IFERROR(__xludf.DUMMYFUNCTION("""COMPUTED_VALUE"""),1.0589488431542862)</f>
        <v>1.058948843</v>
      </c>
      <c r="AG2367" s="82">
        <f>IFERROR(__xludf.DUMMYFUNCTION("""COMPUTED_VALUE"""),1.0679065217586776)</f>
        <v>1.067906522</v>
      </c>
      <c r="AH2367" s="82">
        <f>IFERROR(__xludf.DUMMYFUNCTION("""COMPUTED_VALUE"""),0.8230050651763989)</f>
        <v>0.8230050652</v>
      </c>
      <c r="AI2367" s="82">
        <f>IFERROR(__xludf.DUMMYFUNCTION("""COMPUTED_VALUE"""),0.9587385815407785)</f>
        <v>0.9587385815</v>
      </c>
      <c r="AJ2367" s="82">
        <f>IFERROR(__xludf.DUMMYFUNCTION("""COMPUTED_VALUE"""),0.9602518145552813)</f>
        <v>0.9602518146</v>
      </c>
      <c r="AK2367" s="82">
        <f>IFERROR(__xludf.DUMMYFUNCTION("""COMPUTED_VALUE"""),0.8866750070761901)</f>
        <v>0.8866750071</v>
      </c>
      <c r="AL2367" s="82">
        <f>IFERROR(__xludf.DUMMYFUNCTION("""COMPUTED_VALUE"""),0.9235927441204711)</f>
        <v>0.9235927441</v>
      </c>
      <c r="AM2367" s="82">
        <f>IFERROR(__xludf.DUMMYFUNCTION("""COMPUTED_VALUE"""),1.0625091069112123)</f>
        <v>1.062509107</v>
      </c>
      <c r="AN2367" s="82">
        <f>IFERROR(__xludf.DUMMYFUNCTION("""COMPUTED_VALUE"""),1.047322172241854)</f>
        <v>1.047322172</v>
      </c>
      <c r="AO2367" s="82">
        <f>IFERROR(__xludf.DUMMYFUNCTION("""COMPUTED_VALUE"""),1.0555312993668968)</f>
        <v>1.055531299</v>
      </c>
      <c r="AP2367" s="82">
        <f>IFERROR(__xludf.DUMMYFUNCTION("""COMPUTED_VALUE"""),1.1638028448801923)</f>
        <v>1.163802845</v>
      </c>
      <c r="AQ2367" s="82">
        <f>IFERROR(__xludf.DUMMYFUNCTION("""COMPUTED_VALUE"""),1.0663508420858017)</f>
        <v>1.066350842</v>
      </c>
      <c r="AR2367" s="82">
        <f>IFERROR(__xludf.DUMMYFUNCTION("""COMPUTED_VALUE"""),0.8765059764737729)</f>
        <v>0.8765059765</v>
      </c>
      <c r="AS2367" s="82">
        <f>IFERROR(__xludf.DUMMYFUNCTION("""COMPUTED_VALUE"""),95.0)</f>
        <v>95</v>
      </c>
      <c r="AT2367" s="82">
        <f>IFERROR(__xludf.DUMMYFUNCTION("""COMPUTED_VALUE"""),0.60685047578785)</f>
        <v>0.6068504758</v>
      </c>
      <c r="AU2367" s="82">
        <f>IFERROR(__xludf.DUMMYFUNCTION("""COMPUTED_VALUE"""),2.953013537385815)</f>
        <v>2.953013537</v>
      </c>
      <c r="AV2367" s="82">
        <f>IFERROR(__xludf.DUMMYFUNCTION("""COMPUTED_VALUE"""),52.86239543840599)</f>
        <v>52.86239544</v>
      </c>
      <c r="AW2367" s="82">
        <f t="shared" si="1"/>
        <v>2.200595838</v>
      </c>
      <c r="AX2367" s="83">
        <f t="array" ref="AX2367">IFERROR(DGET('SBV Import'!A:G,"SBV",{"RSC ID","Tier";B2367,A2367}))</f>
        <v>47.53126918</v>
      </c>
      <c r="AY2367" s="82">
        <f t="shared" si="2"/>
        <v>-2.170757475</v>
      </c>
      <c r="AZ2367" s="82">
        <v>4.3713533131503635</v>
      </c>
      <c r="BA2367" s="84">
        <v>2300.0</v>
      </c>
      <c r="BB2367" s="84" t="b">
        <f>IFERROR(__xludf.DUMMYFUNCTION("iferror(if(A2367="""",,E2367&gt;=FILTER(Constants!$F$2:$F$10,Constants!$A$2:$A$10=A2367)))"),TRUE)</f>
        <v>1</v>
      </c>
    </row>
    <row r="2368">
      <c r="A2368" s="89" t="str">
        <f>IFERROR(__xludf.DUMMYFUNCTION("""COMPUTED_VALUE"""),"Challenger")</f>
        <v>Challenger</v>
      </c>
      <c r="B2368" s="87" t="str">
        <f>IFERROR(__xludf.DUMMYFUNCTION("""COMPUTED_VALUE"""),"RSC003387")</f>
        <v>RSC003387</v>
      </c>
      <c r="C2368" s="73" t="str">
        <f>IFERROR(__xludf.DUMMYFUNCTION("""COMPUTED_VALUE"""),"Redline")</f>
        <v>Redline</v>
      </c>
      <c r="D2368" s="73" t="str">
        <f>IFERROR(__xludf.DUMMYFUNCTION("""COMPUTED_VALUE"""),"Havarti Hustlers")</f>
        <v>Havarti Hustlers</v>
      </c>
      <c r="E2368" s="82">
        <f>IFERROR(__xludf.DUMMYFUNCTION("""COMPUTED_VALUE"""),31.0)</f>
        <v>31</v>
      </c>
      <c r="F2368" s="82">
        <f>IFERROR(__xludf.DUMMYFUNCTION("""COMPUTED_VALUE"""),18.0)</f>
        <v>18</v>
      </c>
      <c r="G2368" s="86">
        <f>IFERROR(__xludf.DUMMYFUNCTION("""COMPUTED_VALUE"""),13.0)</f>
        <v>13</v>
      </c>
      <c r="H2368" s="86">
        <f>IFERROR(__xludf.DUMMYFUNCTION("""COMPUTED_VALUE"""),0.5806451612903226)</f>
        <v>0.5806451613</v>
      </c>
      <c r="I2368" s="86">
        <f>IFERROR(__xludf.DUMMYFUNCTION("""COMPUTED_VALUE"""),0.2151898734177215)</f>
        <v>0.2151898734</v>
      </c>
      <c r="J2368" s="82">
        <f>IFERROR(__xludf.DUMMYFUNCTION("""COMPUTED_VALUE"""),297.7741935483871)</f>
        <v>297.7741935</v>
      </c>
      <c r="K2368" s="82">
        <f>IFERROR(__xludf.DUMMYFUNCTION("""COMPUTED_VALUE"""),0.5483870967741935)</f>
        <v>0.5483870968</v>
      </c>
      <c r="L2368" s="82">
        <f>IFERROR(__xludf.DUMMYFUNCTION("""COMPUTED_VALUE"""),0.7096774193548387)</f>
        <v>0.7096774194</v>
      </c>
      <c r="M2368" s="82">
        <f>IFERROR(__xludf.DUMMYFUNCTION("""COMPUTED_VALUE"""),1.064516129032258)</f>
        <v>1.064516129</v>
      </c>
      <c r="N2368" s="82">
        <f>IFERROR(__xludf.DUMMYFUNCTION("""COMPUTED_VALUE"""),2.5483870967741935)</f>
        <v>2.548387097</v>
      </c>
      <c r="O2368" s="82">
        <f>IFERROR(__xludf.DUMMYFUNCTION("""COMPUTED_VALUE"""),322.91397849462356)</f>
        <v>322.9139785</v>
      </c>
      <c r="P2368" s="82">
        <f>IFERROR(__xludf.DUMMYFUNCTION("""COMPUTED_VALUE"""),0.6451612903225806)</f>
        <v>0.6451612903</v>
      </c>
      <c r="Q2368" s="82">
        <f>IFERROR(__xludf.DUMMYFUNCTION("""COMPUTED_VALUE"""),0.4731182795698924)</f>
        <v>0.4731182796</v>
      </c>
      <c r="R2368" s="82">
        <f>IFERROR(__xludf.DUMMYFUNCTION("""COMPUTED_VALUE"""),1.376344086021506)</f>
        <v>1.376344086</v>
      </c>
      <c r="S2368" s="82">
        <f>IFERROR(__xludf.DUMMYFUNCTION("""COMPUTED_VALUE"""),2.096774193548387)</f>
        <v>2.096774194</v>
      </c>
      <c r="T2368" s="82">
        <f>IFERROR(__xludf.DUMMYFUNCTION("""COMPUTED_VALUE"""),333.46786726185206)</f>
        <v>333.4678673</v>
      </c>
      <c r="U2368" s="82">
        <f>IFERROR(__xludf.DUMMYFUNCTION("""COMPUTED_VALUE"""),0.7566252433256595)</f>
        <v>0.7566252433</v>
      </c>
      <c r="V2368" s="82">
        <f>IFERROR(__xludf.DUMMYFUNCTION("""COMPUTED_VALUE"""),0.491886819289552)</f>
        <v>0.4918868193</v>
      </c>
      <c r="W2368" s="82">
        <f>IFERROR(__xludf.DUMMYFUNCTION("""COMPUTED_VALUE"""),1.2334652234889751)</f>
        <v>1.233465223</v>
      </c>
      <c r="X2368" s="82">
        <f>IFERROR(__xludf.DUMMYFUNCTION("""COMPUTED_VALUE"""),2.4055102102964567)</f>
        <v>2.40551021</v>
      </c>
      <c r="Y2368" s="82">
        <f>IFERROR(__xludf.DUMMYFUNCTION("""COMPUTED_VALUE"""),332.5449835825918)</f>
        <v>332.5449836</v>
      </c>
      <c r="Z2368" s="82">
        <f>IFERROR(__xludf.DUMMYFUNCTION("""COMPUTED_VALUE"""),0.7734746742631661)</f>
        <v>0.7734746743</v>
      </c>
      <c r="AA2368" s="82">
        <f>IFERROR(__xludf.DUMMYFUNCTION("""COMPUTED_VALUE"""),0.5496725748078961)</f>
        <v>0.5496725748</v>
      </c>
      <c r="AB2368" s="82">
        <f>IFERROR(__xludf.DUMMYFUNCTION("""COMPUTED_VALUE"""),1.202012751174749)</f>
        <v>1.202012751</v>
      </c>
      <c r="AC2368" s="82">
        <f>IFERROR(__xludf.DUMMYFUNCTION("""COMPUTED_VALUE"""),2.450758178222226)</f>
        <v>2.450758178</v>
      </c>
      <c r="AD2368" s="82">
        <f>IFERROR(__xludf.DUMMYFUNCTION("""COMPUTED_VALUE"""),0.8954403411544203)</f>
        <v>0.8954403412</v>
      </c>
      <c r="AE2368" s="82">
        <f>IFERROR(__xludf.DUMMYFUNCTION("""COMPUTED_VALUE"""),0.708991664525542)</f>
        <v>0.7089916645</v>
      </c>
      <c r="AF2368" s="82">
        <f>IFERROR(__xludf.DUMMYFUNCTION("""COMPUTED_VALUE"""),1.2910911911565943)</f>
        <v>1.291091191</v>
      </c>
      <c r="AG2368" s="82">
        <f>IFERROR(__xludf.DUMMYFUNCTION("""COMPUTED_VALUE"""),0.8856113447980373)</f>
        <v>0.8856113448</v>
      </c>
      <c r="AH2368" s="82">
        <f>IFERROR(__xludf.DUMMYFUNCTION("""COMPUTED_VALUE"""),1.0398362104509173)</f>
        <v>1.03983621</v>
      </c>
      <c r="AI2368" s="82">
        <f>IFERROR(__xludf.DUMMYFUNCTION("""COMPUTED_VALUE"""),0.9683511072479402)</f>
        <v>0.9683511072</v>
      </c>
      <c r="AJ2368" s="82">
        <f>IFERROR(__xludf.DUMMYFUNCTION("""COMPUTED_VALUE"""),0.8526827461992256)</f>
        <v>0.8526827462</v>
      </c>
      <c r="AK2368" s="82">
        <f>IFERROR(__xludf.DUMMYFUNCTION("""COMPUTED_VALUE"""),0.9618437840095662)</f>
        <v>0.961843784</v>
      </c>
      <c r="AL2368" s="82">
        <f>IFERROR(__xludf.DUMMYFUNCTION("""COMPUTED_VALUE"""),1.1158353391823923)</f>
        <v>1.115835339</v>
      </c>
      <c r="AM2368" s="82">
        <f>IFERROR(__xludf.DUMMYFUNCTION("""COMPUTED_VALUE"""),0.8716546637688056)</f>
        <v>0.8716546638</v>
      </c>
      <c r="AN2368" s="82">
        <f>IFERROR(__xludf.DUMMYFUNCTION("""COMPUTED_VALUE"""),0.9153285562149439)</f>
        <v>0.9153285562</v>
      </c>
      <c r="AO2368" s="82">
        <f>IFERROR(__xludf.DUMMYFUNCTION("""COMPUTED_VALUE"""),0.7503478173516172)</f>
        <v>0.7503478174</v>
      </c>
      <c r="AP2368" s="82">
        <f>IFERROR(__xludf.DUMMYFUNCTION("""COMPUTED_VALUE"""),1.3765409993206577)</f>
        <v>1.376540999</v>
      </c>
      <c r="AQ2368" s="82">
        <f>IFERROR(__xludf.DUMMYFUNCTION("""COMPUTED_VALUE"""),0.8828926326946959)</f>
        <v>0.8828926327</v>
      </c>
      <c r="AR2368" s="82">
        <f>IFERROR(__xludf.DUMMYFUNCTION("""COMPUTED_VALUE"""),1.0709407975916845)</f>
        <v>1.070940798</v>
      </c>
      <c r="AS2368" s="82">
        <f>IFERROR(__xludf.DUMMYFUNCTION("""COMPUTED_VALUE"""),80.0)</f>
        <v>80</v>
      </c>
      <c r="AT2368" s="82">
        <f>IFERROR(__xludf.DUMMYFUNCTION("""COMPUTED_VALUE"""),0.6090774046535569)</f>
        <v>0.6090774047</v>
      </c>
      <c r="AU2368" s="82">
        <f>IFERROR(__xludf.DUMMYFUNCTION("""COMPUTED_VALUE"""),2.943819513286501)</f>
        <v>2.943819513</v>
      </c>
      <c r="AV2368" s="82">
        <f>IFERROR(__xludf.DUMMYFUNCTION("""COMPUTED_VALUE"""),52.62244740050427)</f>
        <v>52.6224474</v>
      </c>
      <c r="AW2368" s="82">
        <f t="shared" si="1"/>
        <v>2.182317746</v>
      </c>
      <c r="AX2368" s="83">
        <f t="array" ref="AX2368">IFERROR(DGET('SBV Import'!A:G,"SBV",{"RSC ID","Tier";B2368,A2368}))</f>
        <v>46.1850834</v>
      </c>
      <c r="AY2368" s="82">
        <f t="shared" si="2"/>
        <v>-2.276047312</v>
      </c>
      <c r="AZ2368" s="82">
        <v>4.458365057858554</v>
      </c>
      <c r="BA2368" s="84">
        <v>2300.0</v>
      </c>
      <c r="BB2368" s="84" t="b">
        <f>IFERROR(__xludf.DUMMYFUNCTION("iferror(if(A2368="""",,E2368&gt;=FILTER(Constants!$F$2:$F$10,Constants!$A$2:$A$10=A2368)))"),TRUE)</f>
        <v>1</v>
      </c>
    </row>
    <row r="2369">
      <c r="A2369" s="89" t="str">
        <f>IFERROR(__xludf.DUMMYFUNCTION("""COMPUTED_VALUE"""),"Challenger")</f>
        <v>Challenger</v>
      </c>
      <c r="B2369" s="87" t="str">
        <f>IFERROR(__xludf.DUMMYFUNCTION("""COMPUTED_VALUE"""),"RSC007589")</f>
        <v>RSC007589</v>
      </c>
      <c r="C2369" s="73" t="str">
        <f>IFERROR(__xludf.DUMMYFUNCTION("""COMPUTED_VALUE"""),"LilBoneSamaTTV")</f>
        <v>LilBoneSamaTTV</v>
      </c>
      <c r="D2369" s="73" t="str">
        <f>IFERROR(__xludf.DUMMYFUNCTION("""COMPUTED_VALUE"""),"Hydras")</f>
        <v>Hydras</v>
      </c>
      <c r="E2369" s="82">
        <f>IFERROR(__xludf.DUMMYFUNCTION("""COMPUTED_VALUE"""),47.0)</f>
        <v>47</v>
      </c>
      <c r="F2369" s="82">
        <f>IFERROR(__xludf.DUMMYFUNCTION("""COMPUTED_VALUE"""),25.0)</f>
        <v>25</v>
      </c>
      <c r="G2369" s="86">
        <f>IFERROR(__xludf.DUMMYFUNCTION("""COMPUTED_VALUE"""),22.0)</f>
        <v>22</v>
      </c>
      <c r="H2369" s="86">
        <f>IFERROR(__xludf.DUMMYFUNCTION("""COMPUTED_VALUE"""),0.5319148936170213)</f>
        <v>0.5319148936</v>
      </c>
      <c r="I2369" s="86">
        <f>IFERROR(__xludf.DUMMYFUNCTION("""COMPUTED_VALUE"""),0.3428571428571429)</f>
        <v>0.3428571429</v>
      </c>
      <c r="J2369" s="82">
        <f>IFERROR(__xludf.DUMMYFUNCTION("""COMPUTED_VALUE"""),364.8510638297872)</f>
        <v>364.8510638</v>
      </c>
      <c r="K2369" s="82">
        <f>IFERROR(__xludf.DUMMYFUNCTION("""COMPUTED_VALUE"""),0.7659574468085106)</f>
        <v>0.7659574468</v>
      </c>
      <c r="L2369" s="82">
        <f>IFERROR(__xludf.DUMMYFUNCTION("""COMPUTED_VALUE"""),0.44680851063829785)</f>
        <v>0.4468085106</v>
      </c>
      <c r="M2369" s="82">
        <f>IFERROR(__xludf.DUMMYFUNCTION("""COMPUTED_VALUE"""),1.5957446808510638)</f>
        <v>1.595744681</v>
      </c>
      <c r="N2369" s="82">
        <f>IFERROR(__xludf.DUMMYFUNCTION("""COMPUTED_VALUE"""),2.234042553191489)</f>
        <v>2.234042553</v>
      </c>
      <c r="O2369" s="82">
        <f>IFERROR(__xludf.DUMMYFUNCTION("""COMPUTED_VALUE"""),331.58156028368796)</f>
        <v>331.5815603</v>
      </c>
      <c r="P2369" s="82">
        <f>IFERROR(__xludf.DUMMYFUNCTION("""COMPUTED_VALUE"""),0.7234042553191488)</f>
        <v>0.7234042553</v>
      </c>
      <c r="Q2369" s="82">
        <f>IFERROR(__xludf.DUMMYFUNCTION("""COMPUTED_VALUE"""),0.4964539007092199)</f>
        <v>0.4964539007</v>
      </c>
      <c r="R2369" s="82">
        <f>IFERROR(__xludf.DUMMYFUNCTION("""COMPUTED_VALUE"""),1.2553191489361701)</f>
        <v>1.255319149</v>
      </c>
      <c r="S2369" s="82">
        <f>IFERROR(__xludf.DUMMYFUNCTION("""COMPUTED_VALUE"""),2.5319148936170217)</f>
        <v>2.531914894</v>
      </c>
      <c r="T2369" s="82">
        <f>IFERROR(__xludf.DUMMYFUNCTION("""COMPUTED_VALUE"""),334.6211330122683)</f>
        <v>334.621133</v>
      </c>
      <c r="U2369" s="82">
        <f>IFERROR(__xludf.DUMMYFUNCTION("""COMPUTED_VALUE"""),0.7587468686770936)</f>
        <v>0.7587468687</v>
      </c>
      <c r="V2369" s="82">
        <f>IFERROR(__xludf.DUMMYFUNCTION("""COMPUTED_VALUE"""),0.5283042921080591)</f>
        <v>0.5283042921</v>
      </c>
      <c r="W2369" s="82">
        <f>IFERROR(__xludf.DUMMYFUNCTION("""COMPUTED_VALUE"""),1.250641680468533)</f>
        <v>1.25064168</v>
      </c>
      <c r="X2369" s="82">
        <f>IFERROR(__xludf.DUMMYFUNCTION("""COMPUTED_VALUE"""),2.4542568756522325)</f>
        <v>2.454256876</v>
      </c>
      <c r="Y2369" s="82">
        <f>IFERROR(__xludf.DUMMYFUNCTION("""COMPUTED_VALUE"""),336.20356734986433)</f>
        <v>336.2035673</v>
      </c>
      <c r="Z2369" s="82">
        <f>IFERROR(__xludf.DUMMYFUNCTION("""COMPUTED_VALUE"""),0.7420015823447631)</f>
        <v>0.7420015823</v>
      </c>
      <c r="AA2369" s="82">
        <f>IFERROR(__xludf.DUMMYFUNCTION("""COMPUTED_VALUE"""),0.5088407397540972)</f>
        <v>0.5088407398</v>
      </c>
      <c r="AB2369" s="82">
        <f>IFERROR(__xludf.DUMMYFUNCTION("""COMPUTED_VALUE"""),1.2674611085890013)</f>
        <v>1.267461109</v>
      </c>
      <c r="AC2369" s="82">
        <f>IFERROR(__xludf.DUMMYFUNCTION("""COMPUTED_VALUE"""),2.4667770491651915)</f>
        <v>2.466777049</v>
      </c>
      <c r="AD2369" s="82">
        <f>IFERROR(__xludf.DUMMYFUNCTION("""COMPUTED_VALUE"""),1.085208782005907)</f>
        <v>1.085208782</v>
      </c>
      <c r="AE2369" s="82">
        <f>IFERROR(__xludf.DUMMYFUNCTION("""COMPUTED_VALUE"""),1.0322854627722569)</f>
        <v>1.032285463</v>
      </c>
      <c r="AF2369" s="82">
        <f>IFERROR(__xludf.DUMMYFUNCTION("""COMPUTED_VALUE"""),0.8780910719810346)</f>
        <v>0.878091072</v>
      </c>
      <c r="AG2369" s="82">
        <f>IFERROR(__xludf.DUMMYFUNCTION("""COMPUTED_VALUE"""),1.2590087932777074)</f>
        <v>1.259008793</v>
      </c>
      <c r="AH2369" s="82">
        <f>IFERROR(__xludf.DUMMYFUNCTION("""COMPUTED_VALUE"""),0.9056523993311578)</f>
        <v>0.9056523993</v>
      </c>
      <c r="AI2369" s="82">
        <f>IFERROR(__xludf.DUMMYFUNCTION("""COMPUTED_VALUE"""),0.9909163754804785)</f>
        <v>0.9909163755</v>
      </c>
      <c r="AJ2369" s="82">
        <f>IFERROR(__xludf.DUMMYFUNCTION("""COMPUTED_VALUE"""),0.9534197572115637)</f>
        <v>0.9534197572</v>
      </c>
      <c r="AK2369" s="82">
        <f>IFERROR(__xludf.DUMMYFUNCTION("""COMPUTED_VALUE"""),0.9397120336241287)</f>
        <v>0.9397120336</v>
      </c>
      <c r="AL2369" s="82">
        <f>IFERROR(__xludf.DUMMYFUNCTION("""COMPUTED_VALUE"""),1.003740054837997)</f>
        <v>1.003740055</v>
      </c>
      <c r="AM2369" s="82">
        <f>IFERROR(__xludf.DUMMYFUNCTION("""COMPUTED_VALUE"""),1.0316421719075968)</f>
        <v>1.031642172</v>
      </c>
      <c r="AN2369" s="82">
        <f>IFERROR(__xludf.DUMMYFUNCTION("""COMPUTED_VALUE"""),1.1215162519936053)</f>
        <v>1.121516252</v>
      </c>
      <c r="AO2369" s="82">
        <f>IFERROR(__xludf.DUMMYFUNCTION("""COMPUTED_VALUE"""),1.0480452617827345)</f>
        <v>1.048045262</v>
      </c>
      <c r="AP2369" s="82">
        <f>IFERROR(__xludf.DUMMYFUNCTION("""COMPUTED_VALUE"""),0.8666616929958879)</f>
        <v>0.866661693</v>
      </c>
      <c r="AQ2369" s="82">
        <f>IFERROR(__xludf.DUMMYFUNCTION("""COMPUTED_VALUE"""),1.3234850876951438)</f>
        <v>1.323485088</v>
      </c>
      <c r="AR2369" s="82">
        <f>IFERROR(__xludf.DUMMYFUNCTION("""COMPUTED_VALUE"""),0.9388398319851691)</f>
        <v>0.938839832</v>
      </c>
      <c r="AS2369" s="82">
        <f>IFERROR(__xludf.DUMMYFUNCTION("""COMPUTED_VALUE"""),105.0)</f>
        <v>105</v>
      </c>
      <c r="AT2369" s="82">
        <f>IFERROR(__xludf.DUMMYFUNCTION("""COMPUTED_VALUE"""),0.5110884671392482)</f>
        <v>0.5110884671</v>
      </c>
      <c r="AU2369" s="82">
        <f>IFERROR(__xludf.DUMMYFUNCTION("""COMPUTED_VALUE"""),2.9423395700536368)</f>
        <v>2.94233957</v>
      </c>
      <c r="AV2369" s="82">
        <f>IFERROR(__xludf.DUMMYFUNCTION("""COMPUTED_VALUE"""),52.583823456179594)</f>
        <v>52.58382346</v>
      </c>
      <c r="AW2369" s="82">
        <f t="shared" si="1"/>
        <v>2.179402148</v>
      </c>
      <c r="AX2369" s="83">
        <f t="array" ref="AX2369">IFERROR(DGET('SBV Import'!A:G,"SBV",{"RSC ID","Tier";B2369,A2369}))</f>
        <v>49.87701078</v>
      </c>
      <c r="AY2369" s="82">
        <f t="shared" si="2"/>
        <v>-2.007881401</v>
      </c>
      <c r="AZ2369" s="82">
        <v>4.187283548509603</v>
      </c>
      <c r="BA2369" s="84">
        <v>2300.0</v>
      </c>
      <c r="BB2369" s="84" t="b">
        <f>IFERROR(__xludf.DUMMYFUNCTION("iferror(if(A2369="""",,E2369&gt;=FILTER(Constants!$F$2:$F$10,Constants!$A$2:$A$10=A2369)))"),TRUE)</f>
        <v>1</v>
      </c>
    </row>
    <row r="2370">
      <c r="A2370" s="89" t="str">
        <f>IFERROR(__xludf.DUMMYFUNCTION("""COMPUTED_VALUE"""),"Challenger")</f>
        <v>Challenger</v>
      </c>
      <c r="B2370" s="87" t="str">
        <f>IFERROR(__xludf.DUMMYFUNCTION("""COMPUTED_VALUE"""),"RSC002877")</f>
        <v>RSC002877</v>
      </c>
      <c r="C2370" s="73" t="str">
        <f>IFERROR(__xludf.DUMMYFUNCTION("""COMPUTED_VALUE"""),"robophant")</f>
        <v>robophant</v>
      </c>
      <c r="D2370" s="73" t="str">
        <f>IFERROR(__xludf.DUMMYFUNCTION("""COMPUTED_VALUE"""),"Hydras")</f>
        <v>Hydras</v>
      </c>
      <c r="E2370" s="82">
        <f>IFERROR(__xludf.DUMMYFUNCTION("""COMPUTED_VALUE"""),48.0)</f>
        <v>48</v>
      </c>
      <c r="F2370" s="82">
        <f>IFERROR(__xludf.DUMMYFUNCTION("""COMPUTED_VALUE"""),25.0)</f>
        <v>25</v>
      </c>
      <c r="G2370" s="86">
        <f>IFERROR(__xludf.DUMMYFUNCTION("""COMPUTED_VALUE"""),23.0)</f>
        <v>23</v>
      </c>
      <c r="H2370" s="86">
        <f>IFERROR(__xludf.DUMMYFUNCTION("""COMPUTED_VALUE"""),0.5208333333333334)</f>
        <v>0.5208333333</v>
      </c>
      <c r="I2370" s="86">
        <f>IFERROR(__xludf.DUMMYFUNCTION("""COMPUTED_VALUE"""),0.24603174603174605)</f>
        <v>0.246031746</v>
      </c>
      <c r="J2370" s="82">
        <f>IFERROR(__xludf.DUMMYFUNCTION("""COMPUTED_VALUE"""),348.875)</f>
        <v>348.875</v>
      </c>
      <c r="K2370" s="82">
        <f>IFERROR(__xludf.DUMMYFUNCTION("""COMPUTED_VALUE"""),0.6458333333333334)</f>
        <v>0.6458333333</v>
      </c>
      <c r="L2370" s="82">
        <f>IFERROR(__xludf.DUMMYFUNCTION("""COMPUTED_VALUE"""),0.5)</f>
        <v>0.5</v>
      </c>
      <c r="M2370" s="82">
        <f>IFERROR(__xludf.DUMMYFUNCTION("""COMPUTED_VALUE"""),1.4375)</f>
        <v>1.4375</v>
      </c>
      <c r="N2370" s="82">
        <f>IFERROR(__xludf.DUMMYFUNCTION("""COMPUTED_VALUE"""),2.625)</f>
        <v>2.625</v>
      </c>
      <c r="O2370" s="82">
        <f>IFERROR(__xludf.DUMMYFUNCTION("""COMPUTED_VALUE"""),336.32638888888886)</f>
        <v>336.3263889</v>
      </c>
      <c r="P2370" s="82">
        <f>IFERROR(__xludf.DUMMYFUNCTION("""COMPUTED_VALUE"""),0.7569444444444442)</f>
        <v>0.7569444444</v>
      </c>
      <c r="Q2370" s="82">
        <f>IFERROR(__xludf.DUMMYFUNCTION("""COMPUTED_VALUE"""),0.5277777777777778)</f>
        <v>0.5277777778</v>
      </c>
      <c r="R2370" s="82">
        <f>IFERROR(__xludf.DUMMYFUNCTION("""COMPUTED_VALUE"""),1.236111111111111)</f>
        <v>1.236111111</v>
      </c>
      <c r="S2370" s="82">
        <f>IFERROR(__xludf.DUMMYFUNCTION("""COMPUTED_VALUE"""),2.5763888888888893)</f>
        <v>2.576388889</v>
      </c>
      <c r="T2370" s="82">
        <f>IFERROR(__xludf.DUMMYFUNCTION("""COMPUTED_VALUE"""),335.80215537865496)</f>
        <v>335.8021554</v>
      </c>
      <c r="U2370" s="82">
        <f>IFERROR(__xludf.DUMMYFUNCTION("""COMPUTED_VALUE"""),0.7649517966301218)</f>
        <v>0.7649517966</v>
      </c>
      <c r="V2370" s="82">
        <f>IFERROR(__xludf.DUMMYFUNCTION("""COMPUTED_VALUE"""),0.5335219993537521)</f>
        <v>0.5335219994</v>
      </c>
      <c r="W2370" s="82">
        <f>IFERROR(__xludf.DUMMYFUNCTION("""COMPUTED_VALUE"""),1.2520207342654326)</f>
        <v>1.252020734</v>
      </c>
      <c r="X2370" s="82">
        <f>IFERROR(__xludf.DUMMYFUNCTION("""COMPUTED_VALUE"""),2.46303119053724)</f>
        <v>2.463031191</v>
      </c>
      <c r="Y2370" s="82">
        <f>IFERROR(__xludf.DUMMYFUNCTION("""COMPUTED_VALUE"""),335.7897518953237)</f>
        <v>335.7897519</v>
      </c>
      <c r="Z2370" s="82">
        <f>IFERROR(__xludf.DUMMYFUNCTION("""COMPUTED_VALUE"""),0.7406291104509571)</f>
        <v>0.7406291105</v>
      </c>
      <c r="AA2370" s="82">
        <f>IFERROR(__xludf.DUMMYFUNCTION("""COMPUTED_VALUE"""),0.5074167077426973)</f>
        <v>0.5074167077</v>
      </c>
      <c r="AB2370" s="82">
        <f>IFERROR(__xludf.DUMMYFUNCTION("""COMPUTED_VALUE"""),1.2675432746101272)</f>
        <v>1.267543275</v>
      </c>
      <c r="AC2370" s="82">
        <f>IFERROR(__xludf.DUMMYFUNCTION("""COMPUTED_VALUE"""),2.4660301971606002)</f>
        <v>2.466030197</v>
      </c>
      <c r="AD2370" s="82">
        <f>IFERROR(__xludf.DUMMYFUNCTION("""COMPUTED_VALUE"""),1.0389685749217128)</f>
        <v>1.038968575</v>
      </c>
      <c r="AE2370" s="82">
        <f>IFERROR(__xludf.DUMMYFUNCTION("""COMPUTED_VALUE"""),0.872006412143449)</f>
        <v>0.8720064121</v>
      </c>
      <c r="AF2370" s="82">
        <f>IFERROR(__xludf.DUMMYFUNCTION("""COMPUTED_VALUE"""),0.9853833986356275)</f>
        <v>0.9853833986</v>
      </c>
      <c r="AG2370" s="82">
        <f>IFERROR(__xludf.DUMMYFUNCTION("""COMPUTED_VALUE"""),1.1340835684226627)</f>
        <v>1.134083568</v>
      </c>
      <c r="AH2370" s="82">
        <f>IFERROR(__xludf.DUMMYFUNCTION("""COMPUTED_VALUE"""),1.0644638508573165)</f>
        <v>1.064463851</v>
      </c>
      <c r="AI2370" s="82">
        <f>IFERROR(__xludf.DUMMYFUNCTION("""COMPUTED_VALUE"""),1.001561138014861)</f>
        <v>1.001561138</v>
      </c>
      <c r="AJ2370" s="82">
        <f>IFERROR(__xludf.DUMMYFUNCTION("""COMPUTED_VALUE"""),0.9895322133748129)</f>
        <v>0.9895322134</v>
      </c>
      <c r="AK2370" s="82">
        <f>IFERROR(__xludf.DUMMYFUNCTION("""COMPUTED_VALUE"""),0.9892333932191508)</f>
        <v>0.9892333932</v>
      </c>
      <c r="AL2370" s="82">
        <f>IFERROR(__xludf.DUMMYFUNCTION("""COMPUTED_VALUE"""),0.9872928437054551)</f>
        <v>0.9872928437</v>
      </c>
      <c r="AM2370" s="82">
        <f>IFERROR(__xludf.DUMMYFUNCTION("""COMPUTED_VALUE"""),1.0460236552371565)</f>
        <v>1.046023655</v>
      </c>
      <c r="AN2370" s="82">
        <f>IFERROR(__xludf.DUMMYFUNCTION("""COMPUTED_VALUE"""),1.0724074045644183)</f>
        <v>1.072407405</v>
      </c>
      <c r="AO2370" s="82">
        <f>IFERROR(__xludf.DUMMYFUNCTION("""COMPUTED_VALUE"""),0.8836816819545394)</f>
        <v>0.883681682</v>
      </c>
      <c r="AP2370" s="82">
        <f>IFERROR(__xludf.DUMMYFUNCTION("""COMPUTED_VALUE"""),0.969835704066827)</f>
        <v>0.9698357041</v>
      </c>
      <c r="AQ2370" s="82">
        <f>IFERROR(__xludf.DUMMYFUNCTION("""COMPUTED_VALUE"""),1.1922394831653753)</f>
        <v>1.192239483</v>
      </c>
      <c r="AR2370" s="82">
        <f>IFERROR(__xludf.DUMMYFUNCTION("""COMPUTED_VALUE"""),1.1031368025825738)</f>
        <v>1.103136803</v>
      </c>
      <c r="AS2370" s="82">
        <f>IFERROR(__xludf.DUMMYFUNCTION("""COMPUTED_VALUE"""),106.0)</f>
        <v>106</v>
      </c>
      <c r="AT2370" s="82">
        <f>IFERROR(__xludf.DUMMYFUNCTION("""COMPUTED_VALUE"""),0.4892722674878683)</f>
        <v>0.4892722675</v>
      </c>
      <c r="AU2370" s="82">
        <f>IFERROR(__xludf.DUMMYFUNCTION("""COMPUTED_VALUE"""),2.9109508774770267)</f>
        <v>2.910950877</v>
      </c>
      <c r="AV2370" s="82">
        <f>IFERROR(__xludf.DUMMYFUNCTION("""COMPUTED_VALUE"""),51.764633174024496)</f>
        <v>51.76463317</v>
      </c>
      <c r="AW2370" s="82">
        <f t="shared" si="1"/>
        <v>2.119255175</v>
      </c>
      <c r="AX2370" s="83">
        <f t="array" ref="AX2370">IFERROR(DGET('SBV Import'!A:G,"SBV",{"RSC ID","Tier";B2370,A2370}))</f>
        <v>51.12690386</v>
      </c>
      <c r="AY2370" s="82">
        <f t="shared" si="2"/>
        <v>2.074588493</v>
      </c>
      <c r="AZ2370" s="82">
        <v>0.04466668174214483</v>
      </c>
      <c r="BA2370" s="84">
        <v>2300.0</v>
      </c>
      <c r="BB2370" s="84" t="b">
        <f>IFERROR(__xludf.DUMMYFUNCTION("iferror(if(A2370="""",,E2370&gt;=FILTER(Constants!$F$2:$F$10,Constants!$A$2:$A$10=A2370)))"),TRUE)</f>
        <v>1</v>
      </c>
    </row>
    <row r="2371">
      <c r="A2371" s="89" t="str">
        <f>IFERROR(__xludf.DUMMYFUNCTION("""COMPUTED_VALUE"""),"Challenger")</f>
        <v>Challenger</v>
      </c>
      <c r="B2371" s="87" t="str">
        <f>IFERROR(__xludf.DUMMYFUNCTION("""COMPUTED_VALUE"""),"RSC005859")</f>
        <v>RSC005859</v>
      </c>
      <c r="C2371" s="73" t="str">
        <f>IFERROR(__xludf.DUMMYFUNCTION("""COMPUTED_VALUE"""),"LedTasso")</f>
        <v>LedTasso</v>
      </c>
      <c r="D2371" s="73" t="str">
        <f>IFERROR(__xludf.DUMMYFUNCTION("""COMPUTED_VALUE"""),"Jock O Lanterns")</f>
        <v>Jock O Lanterns</v>
      </c>
      <c r="E2371" s="82">
        <f>IFERROR(__xludf.DUMMYFUNCTION("""COMPUTED_VALUE"""),39.0)</f>
        <v>39</v>
      </c>
      <c r="F2371" s="82">
        <f>IFERROR(__xludf.DUMMYFUNCTION("""COMPUTED_VALUE"""),15.0)</f>
        <v>15</v>
      </c>
      <c r="G2371" s="86">
        <f>IFERROR(__xludf.DUMMYFUNCTION("""COMPUTED_VALUE"""),24.0)</f>
        <v>24</v>
      </c>
      <c r="H2371" s="86">
        <f>IFERROR(__xludf.DUMMYFUNCTION("""COMPUTED_VALUE"""),0.38461538461538464)</f>
        <v>0.3846153846</v>
      </c>
      <c r="I2371" s="86">
        <f>IFERROR(__xludf.DUMMYFUNCTION("""COMPUTED_VALUE"""),0.38709677419354843)</f>
        <v>0.3870967742</v>
      </c>
      <c r="J2371" s="82">
        <f>IFERROR(__xludf.DUMMYFUNCTION("""COMPUTED_VALUE"""),320.38461538461536)</f>
        <v>320.3846154</v>
      </c>
      <c r="K2371" s="82">
        <f>IFERROR(__xludf.DUMMYFUNCTION("""COMPUTED_VALUE"""),0.9230769230769231)</f>
        <v>0.9230769231</v>
      </c>
      <c r="L2371" s="82">
        <f>IFERROR(__xludf.DUMMYFUNCTION("""COMPUTED_VALUE"""),0.4358974358974359)</f>
        <v>0.4358974359</v>
      </c>
      <c r="M2371" s="82">
        <f>IFERROR(__xludf.DUMMYFUNCTION("""COMPUTED_VALUE"""),0.9743589743589743)</f>
        <v>0.9743589744</v>
      </c>
      <c r="N2371" s="82">
        <f>IFERROR(__xludf.DUMMYFUNCTION("""COMPUTED_VALUE"""),2.3846153846153846)</f>
        <v>2.384615385</v>
      </c>
      <c r="O2371" s="82">
        <f>IFERROR(__xludf.DUMMYFUNCTION("""COMPUTED_VALUE"""),374.25641025641033)</f>
        <v>374.2564103</v>
      </c>
      <c r="P2371" s="82">
        <f>IFERROR(__xludf.DUMMYFUNCTION("""COMPUTED_VALUE"""),0.9316239316239316)</f>
        <v>0.9316239316</v>
      </c>
      <c r="Q2371" s="82">
        <f>IFERROR(__xludf.DUMMYFUNCTION("""COMPUTED_VALUE"""),0.623931623931624)</f>
        <v>0.6239316239</v>
      </c>
      <c r="R2371" s="82">
        <f>IFERROR(__xludf.DUMMYFUNCTION("""COMPUTED_VALUE"""),1.3675213675213673)</f>
        <v>1.367521368</v>
      </c>
      <c r="S2371" s="82">
        <f>IFERROR(__xludf.DUMMYFUNCTION("""COMPUTED_VALUE"""),2.504273504273504)</f>
        <v>2.504273504</v>
      </c>
      <c r="T2371" s="82">
        <f>IFERROR(__xludf.DUMMYFUNCTION("""COMPUTED_VALUE"""),342.287851352064)</f>
        <v>342.2878514</v>
      </c>
      <c r="U2371" s="82">
        <f>IFERROR(__xludf.DUMMYFUNCTION("""COMPUTED_VALUE"""),0.7976834286161854)</f>
        <v>0.7976834286</v>
      </c>
      <c r="V2371" s="82">
        <f>IFERROR(__xludf.DUMMYFUNCTION("""COMPUTED_VALUE"""),0.575590863704169)</f>
        <v>0.5755908637</v>
      </c>
      <c r="W2371" s="82">
        <f>IFERROR(__xludf.DUMMYFUNCTION("""COMPUTED_VALUE"""),1.2408235815875073)</f>
        <v>1.240823582</v>
      </c>
      <c r="X2371" s="82">
        <f>IFERROR(__xludf.DUMMYFUNCTION("""COMPUTED_VALUE"""),2.4458563627188514)</f>
        <v>2.445856363</v>
      </c>
      <c r="Y2371" s="82">
        <f>IFERROR(__xludf.DUMMYFUNCTION("""COMPUTED_VALUE"""),332.87272040333426)</f>
        <v>332.8727204</v>
      </c>
      <c r="Z2371" s="82">
        <f>IFERROR(__xludf.DUMMYFUNCTION("""COMPUTED_VALUE"""),0.776724063201233)</f>
        <v>0.7767240632</v>
      </c>
      <c r="AA2371" s="82">
        <f>IFERROR(__xludf.DUMMYFUNCTION("""COMPUTED_VALUE"""),0.5216198066135457)</f>
        <v>0.5216198066</v>
      </c>
      <c r="AB2371" s="82">
        <f>IFERROR(__xludf.DUMMYFUNCTION("""COMPUTED_VALUE"""),1.1866407882749865)</f>
        <v>1.186640788</v>
      </c>
      <c r="AC2371" s="82">
        <f>IFERROR(__xludf.DUMMYFUNCTION("""COMPUTED_VALUE"""),2.470478193475927)</f>
        <v>2.470478193</v>
      </c>
      <c r="AD2371" s="82">
        <f>IFERROR(__xludf.DUMMYFUNCTION("""COMPUTED_VALUE"""),0.9624838436637663)</f>
        <v>0.9624838437</v>
      </c>
      <c r="AE2371" s="82">
        <f>IFERROR(__xludf.DUMMYFUNCTION("""COMPUTED_VALUE"""),1.188423233950682)</f>
        <v>1.188423234</v>
      </c>
      <c r="AF2371" s="82">
        <f>IFERROR(__xludf.DUMMYFUNCTION("""COMPUTED_VALUE"""),0.8356612045224364)</f>
        <v>0.8356612045</v>
      </c>
      <c r="AG2371" s="82">
        <f>IFERROR(__xludf.DUMMYFUNCTION("""COMPUTED_VALUE"""),0.8211069297351516)</f>
        <v>0.8211069297</v>
      </c>
      <c r="AH2371" s="82">
        <f>IFERROR(__xludf.DUMMYFUNCTION("""COMPUTED_VALUE"""),0.9652444578999767)</f>
        <v>0.9652444579</v>
      </c>
      <c r="AI2371" s="82">
        <f>IFERROR(__xludf.DUMMYFUNCTION("""COMPUTED_VALUE"""),1.0933967091676435)</f>
        <v>1.093396709</v>
      </c>
      <c r="AJ2371" s="82">
        <f>IFERROR(__xludf.DUMMYFUNCTION("""COMPUTED_VALUE"""),1.167911853503219)</f>
        <v>1.167911854</v>
      </c>
      <c r="AK2371" s="82">
        <f>IFERROR(__xludf.DUMMYFUNCTION("""COMPUTED_VALUE"""),1.0839845857113888)</f>
        <v>1.083984586</v>
      </c>
      <c r="AL2371" s="82">
        <f>IFERROR(__xludf.DUMMYFUNCTION("""COMPUTED_VALUE"""),1.1021078159811915)</f>
        <v>1.102107816</v>
      </c>
      <c r="AM2371" s="82">
        <f>IFERROR(__xludf.DUMMYFUNCTION("""COMPUTED_VALUE"""),1.0238841260039142)</f>
        <v>1.023884126</v>
      </c>
      <c r="AN2371" s="82">
        <f>IFERROR(__xludf.DUMMYFUNCTION("""COMPUTED_VALUE"""),0.9848307670282617)</f>
        <v>0.984830767</v>
      </c>
      <c r="AO2371" s="82">
        <f>IFERROR(__xludf.DUMMYFUNCTION("""COMPUTED_VALUE"""),1.2630289052253467)</f>
        <v>1.263028905</v>
      </c>
      <c r="AP2371" s="82">
        <f>IFERROR(__xludf.DUMMYFUNCTION("""COMPUTED_VALUE"""),0.8454977932890286)</f>
        <v>0.8454977933</v>
      </c>
      <c r="AQ2371" s="82">
        <f>IFERROR(__xludf.DUMMYFUNCTION("""COMPUTED_VALUE"""),0.8081177321789835)</f>
        <v>0.8081177322</v>
      </c>
      <c r="AR2371" s="82">
        <f>IFERROR(__xludf.DUMMYFUNCTION("""COMPUTED_VALUE"""),1.002116948866221)</f>
        <v>1.002116949</v>
      </c>
      <c r="AS2371" s="82">
        <f>IFERROR(__xludf.DUMMYFUNCTION("""COMPUTED_VALUE"""),80.0)</f>
        <v>80</v>
      </c>
      <c r="AT2371" s="82">
        <f>IFERROR(__xludf.DUMMYFUNCTION("""COMPUTED_VALUE"""),0.38070894101956815)</f>
        <v>0.380708941</v>
      </c>
      <c r="AU2371" s="82">
        <f>IFERROR(__xludf.DUMMYFUNCTION("""COMPUTED_VALUE"""),2.899253581302507)</f>
        <v>2.899253581</v>
      </c>
      <c r="AV2371" s="82">
        <f>IFERROR(__xludf.DUMMYFUNCTION("""COMPUTED_VALUE"""),51.4593540888804)</f>
        <v>51.45935409</v>
      </c>
      <c r="AW2371" s="82">
        <f t="shared" si="1"/>
        <v>2.097644086</v>
      </c>
      <c r="AX2371" s="83">
        <f t="array" ref="AX2371">IFERROR(DGET('SBV Import'!A:G,"SBV",{"RSC ID","Tier";B2371,A2371}))</f>
        <v>41.90246664</v>
      </c>
      <c r="AY2371" s="82">
        <f t="shared" si="2"/>
        <v>-2.680919386</v>
      </c>
      <c r="AZ2371" s="82">
        <v>4.7785634716274785</v>
      </c>
      <c r="BA2371" s="84">
        <v>2300.0</v>
      </c>
      <c r="BB2371" s="84" t="b">
        <f>IFERROR(__xludf.DUMMYFUNCTION("iferror(if(A2371="""",,E2371&gt;=FILTER(Constants!$F$2:$F$10,Constants!$A$2:$A$10=A2371)))"),TRUE)</f>
        <v>1</v>
      </c>
    </row>
    <row r="2372">
      <c r="A2372" s="89" t="str">
        <f>IFERROR(__xludf.DUMMYFUNCTION("""COMPUTED_VALUE"""),"Challenger")</f>
        <v>Challenger</v>
      </c>
      <c r="B2372" s="87" t="str">
        <f>IFERROR(__xludf.DUMMYFUNCTION("""COMPUTED_VALUE"""),"RSC006908")</f>
        <v>RSC006908</v>
      </c>
      <c r="C2372" s="73" t="str">
        <f>IFERROR(__xludf.DUMMYFUNCTION("""COMPUTED_VALUE"""),"OvrSizedFrog")</f>
        <v>OvrSizedFrog</v>
      </c>
      <c r="D2372" s="73" t="str">
        <f>IFERROR(__xludf.DUMMYFUNCTION("""COMPUTED_VALUE"""),"Toucans")</f>
        <v>Toucans</v>
      </c>
      <c r="E2372" s="82">
        <f>IFERROR(__xludf.DUMMYFUNCTION("""COMPUTED_VALUE"""),21.0)</f>
        <v>21</v>
      </c>
      <c r="F2372" s="82">
        <f>IFERROR(__xludf.DUMMYFUNCTION("""COMPUTED_VALUE"""),12.0)</f>
        <v>12</v>
      </c>
      <c r="G2372" s="86">
        <f>IFERROR(__xludf.DUMMYFUNCTION("""COMPUTED_VALUE"""),9.0)</f>
        <v>9</v>
      </c>
      <c r="H2372" s="86">
        <f>IFERROR(__xludf.DUMMYFUNCTION("""COMPUTED_VALUE"""),0.5714285714285714)</f>
        <v>0.5714285714</v>
      </c>
      <c r="I2372" s="86">
        <f>IFERROR(__xludf.DUMMYFUNCTION("""COMPUTED_VALUE"""),0.4347826086956521)</f>
        <v>0.4347826087</v>
      </c>
      <c r="J2372" s="82">
        <f>IFERROR(__xludf.DUMMYFUNCTION("""COMPUTED_VALUE"""),305.4761904761905)</f>
        <v>305.4761905</v>
      </c>
      <c r="K2372" s="82">
        <f>IFERROR(__xludf.DUMMYFUNCTION("""COMPUTED_VALUE"""),0.9523809523809523)</f>
        <v>0.9523809524</v>
      </c>
      <c r="L2372" s="82">
        <f>IFERROR(__xludf.DUMMYFUNCTION("""COMPUTED_VALUE"""),0.2857142857142857)</f>
        <v>0.2857142857</v>
      </c>
      <c r="M2372" s="82">
        <f>IFERROR(__xludf.DUMMYFUNCTION("""COMPUTED_VALUE"""),1.0)</f>
        <v>1</v>
      </c>
      <c r="N2372" s="82">
        <f>IFERROR(__xludf.DUMMYFUNCTION("""COMPUTED_VALUE"""),2.1904761904761907)</f>
        <v>2.19047619</v>
      </c>
      <c r="O2372" s="82">
        <f>IFERROR(__xludf.DUMMYFUNCTION("""COMPUTED_VALUE"""),322.9206349206349)</f>
        <v>322.9206349</v>
      </c>
      <c r="P2372" s="82">
        <f>IFERROR(__xludf.DUMMYFUNCTION("""COMPUTED_VALUE"""),0.73015873015873)</f>
        <v>0.7301587302</v>
      </c>
      <c r="Q2372" s="82">
        <f>IFERROR(__xludf.DUMMYFUNCTION("""COMPUTED_VALUE"""),0.5238095238095238)</f>
        <v>0.5238095238</v>
      </c>
      <c r="R2372" s="82">
        <f>IFERROR(__xludf.DUMMYFUNCTION("""COMPUTED_VALUE"""),1.1904761904761902)</f>
        <v>1.19047619</v>
      </c>
      <c r="S2372" s="82">
        <f>IFERROR(__xludf.DUMMYFUNCTION("""COMPUTED_VALUE"""),2.3333333333333335)</f>
        <v>2.333333333</v>
      </c>
      <c r="T2372" s="82">
        <f>IFERROR(__xludf.DUMMYFUNCTION("""COMPUTED_VALUE"""),336.46092845315496)</f>
        <v>336.4609285</v>
      </c>
      <c r="U2372" s="82">
        <f>IFERROR(__xludf.DUMMYFUNCTION("""COMPUTED_VALUE"""),0.7710244934244134)</f>
        <v>0.7710244934</v>
      </c>
      <c r="V2372" s="82">
        <f>IFERROR(__xludf.DUMMYFUNCTION("""COMPUTED_VALUE"""),0.5312441511509336)</f>
        <v>0.5312441512</v>
      </c>
      <c r="W2372" s="82">
        <f>IFERROR(__xludf.DUMMYFUNCTION("""COMPUTED_VALUE"""),1.169710042991068)</f>
        <v>1.169710043</v>
      </c>
      <c r="X2372" s="82">
        <f>IFERROR(__xludf.DUMMYFUNCTION("""COMPUTED_VALUE"""),2.5459024388707356)</f>
        <v>2.545902439</v>
      </c>
      <c r="Y2372" s="82">
        <f>IFERROR(__xludf.DUMMYFUNCTION("""COMPUTED_VALUE"""),328.83678950527997)</f>
        <v>328.8367895</v>
      </c>
      <c r="Z2372" s="82">
        <f>IFERROR(__xludf.DUMMYFUNCTION("""COMPUTED_VALUE"""),0.7123406589411062)</f>
        <v>0.7123406589</v>
      </c>
      <c r="AA2372" s="82">
        <f>IFERROR(__xludf.DUMMYFUNCTION("""COMPUTED_VALUE"""),0.4973195419529544)</f>
        <v>0.497319542</v>
      </c>
      <c r="AB2372" s="82">
        <f>IFERROR(__xludf.DUMMYFUNCTION("""COMPUTED_VALUE"""),1.2446645788744821)</f>
        <v>1.244664579</v>
      </c>
      <c r="AC2372" s="82">
        <f>IFERROR(__xludf.DUMMYFUNCTION("""COMPUTED_VALUE"""),2.3153948635455714)</f>
        <v>2.315394864</v>
      </c>
      <c r="AD2372" s="82">
        <f>IFERROR(__xludf.DUMMYFUNCTION("""COMPUTED_VALUE"""),0.9289598981177427)</f>
        <v>0.9289598981</v>
      </c>
      <c r="AE2372" s="82">
        <f>IFERROR(__xludf.DUMMYFUNCTION("""COMPUTED_VALUE"""),1.3369740171741227)</f>
        <v>1.336974017</v>
      </c>
      <c r="AF2372" s="82">
        <f>IFERROR(__xludf.DUMMYFUNCTION("""COMPUTED_VALUE"""),0.5745084630945666)</f>
        <v>0.5745084631</v>
      </c>
      <c r="AG2372" s="82">
        <f>IFERROR(__xludf.DUMMYFUNCTION("""COMPUTED_VALUE"""),0.8034293069577622)</f>
        <v>0.803429307</v>
      </c>
      <c r="AH2372" s="82">
        <f>IFERROR(__xludf.DUMMYFUNCTION("""COMPUTED_VALUE"""),0.9460486524194441)</f>
        <v>0.9460486524</v>
      </c>
      <c r="AI2372" s="82">
        <f>IFERROR(__xludf.DUMMYFUNCTION("""COMPUTED_VALUE"""),0.9597567135216258)</f>
        <v>0.9597567135</v>
      </c>
      <c r="AJ2372" s="82">
        <f>IFERROR(__xludf.DUMMYFUNCTION("""COMPUTED_VALUE"""),0.9469980997825596)</f>
        <v>0.9469980998</v>
      </c>
      <c r="AK2372" s="82">
        <f>IFERROR(__xludf.DUMMYFUNCTION("""COMPUTED_VALUE"""),0.9860052532808075)</f>
        <v>0.9860052533</v>
      </c>
      <c r="AL2372" s="82">
        <f>IFERROR(__xludf.DUMMYFUNCTION("""COMPUTED_VALUE"""),1.0177532437286945)</f>
        <v>1.017753244</v>
      </c>
      <c r="AM2372" s="82">
        <f>IFERROR(__xludf.DUMMYFUNCTION("""COMPUTED_VALUE"""),0.9165054000923579)</f>
        <v>0.9165054001</v>
      </c>
      <c r="AN2372" s="82">
        <f>IFERROR(__xludf.DUMMYFUNCTION("""COMPUTED_VALUE"""),0.939003736538294)</f>
        <v>0.9390037365</v>
      </c>
      <c r="AO2372" s="82">
        <f>IFERROR(__xludf.DUMMYFUNCTION("""COMPUTED_VALUE"""),1.3031250609467862)</f>
        <v>1.303125061</v>
      </c>
      <c r="AP2372" s="82">
        <f>IFERROR(__xludf.DUMMYFUNCTION("""COMPUTED_VALUE"""),0.5541918308953296)</f>
        <v>0.5541918309</v>
      </c>
      <c r="AQ2372" s="82">
        <f>IFERROR(__xludf.DUMMYFUNCTION("""COMPUTED_VALUE"""),0.8293839882889568)</f>
        <v>0.8293839883</v>
      </c>
      <c r="AR2372" s="82">
        <f>IFERROR(__xludf.DUMMYFUNCTION("""COMPUTED_VALUE"""),0.9205313908172045)</f>
        <v>0.9205313908</v>
      </c>
      <c r="AS2372" s="82">
        <f>IFERROR(__xludf.DUMMYFUNCTION("""COMPUTED_VALUE"""),48.0)</f>
        <v>48</v>
      </c>
      <c r="AT2372" s="82">
        <f>IFERROR(__xludf.DUMMYFUNCTION("""COMPUTED_VALUE"""),0.5163528528322511)</f>
        <v>0.5163528528</v>
      </c>
      <c r="AU2372" s="82">
        <f>IFERROR(__xludf.DUMMYFUNCTION("""COMPUTED_VALUE"""),2.8863980544930463)</f>
        <v>2.886398054</v>
      </c>
      <c r="AV2372" s="82">
        <f>IFERROR(__xludf.DUMMYFUNCTION("""COMPUTED_VALUE"""),51.12384719866536)</f>
        <v>51.1238472</v>
      </c>
      <c r="AW2372" s="82">
        <f t="shared" si="1"/>
        <v>2.074378794</v>
      </c>
      <c r="AX2372" s="83">
        <f t="array" ref="AX2372">IFERROR(DGET('SBV Import'!A:G,"SBV",{"RSC ID","Tier";B2372,A2372}))</f>
        <v>39.32338299</v>
      </c>
      <c r="AY2372" s="82">
        <f t="shared" si="2"/>
        <v>-2.988052791</v>
      </c>
      <c r="AZ2372" s="82">
        <v>5.062431584123015</v>
      </c>
      <c r="BA2372" s="84">
        <v>2300.0</v>
      </c>
      <c r="BB2372" s="84" t="b">
        <f>IFERROR(__xludf.DUMMYFUNCTION("iferror(if(A2372="""",,E2372&gt;=FILTER(Constants!$F$2:$F$10,Constants!$A$2:$A$10=A2372)))"),TRUE)</f>
        <v>1</v>
      </c>
    </row>
    <row r="2373">
      <c r="A2373" s="89" t="str">
        <f>IFERROR(__xludf.DUMMYFUNCTION("""COMPUTED_VALUE"""),"Challenger")</f>
        <v>Challenger</v>
      </c>
      <c r="B2373" s="87" t="str">
        <f>IFERROR(__xludf.DUMMYFUNCTION("""COMPUTED_VALUE"""),"RSC006643")</f>
        <v>RSC006643</v>
      </c>
      <c r="C2373" s="73" t="str">
        <f>IFERROR(__xludf.DUMMYFUNCTION("""COMPUTED_VALUE"""),"Napkhan")</f>
        <v>Napkhan</v>
      </c>
      <c r="D2373" s="73" t="str">
        <f>IFERROR(__xludf.DUMMYFUNCTION("""COMPUTED_VALUE"""),"Void")</f>
        <v>Void</v>
      </c>
      <c r="E2373" s="82">
        <f>IFERROR(__xludf.DUMMYFUNCTION("""COMPUTED_VALUE"""),48.0)</f>
        <v>48</v>
      </c>
      <c r="F2373" s="82">
        <f>IFERROR(__xludf.DUMMYFUNCTION("""COMPUTED_VALUE"""),28.0)</f>
        <v>28</v>
      </c>
      <c r="G2373" s="86">
        <f>IFERROR(__xludf.DUMMYFUNCTION("""COMPUTED_VALUE"""),20.0)</f>
        <v>20</v>
      </c>
      <c r="H2373" s="86">
        <f>IFERROR(__xludf.DUMMYFUNCTION("""COMPUTED_VALUE"""),0.5833333333333334)</f>
        <v>0.5833333333</v>
      </c>
      <c r="I2373" s="86">
        <f>IFERROR(__xludf.DUMMYFUNCTION("""COMPUTED_VALUE"""),0.3445378151260504)</f>
        <v>0.3445378151</v>
      </c>
      <c r="J2373" s="82">
        <f>IFERROR(__xludf.DUMMYFUNCTION("""COMPUTED_VALUE"""),333.0)</f>
        <v>333</v>
      </c>
      <c r="K2373" s="82">
        <f>IFERROR(__xludf.DUMMYFUNCTION("""COMPUTED_VALUE"""),0.8541666666666666)</f>
        <v>0.8541666667</v>
      </c>
      <c r="L2373" s="82">
        <f>IFERROR(__xludf.DUMMYFUNCTION("""COMPUTED_VALUE"""),0.2916666666666667)</f>
        <v>0.2916666667</v>
      </c>
      <c r="M2373" s="82">
        <f>IFERROR(__xludf.DUMMYFUNCTION("""COMPUTED_VALUE"""),1.375)</f>
        <v>1.375</v>
      </c>
      <c r="N2373" s="82">
        <f>IFERROR(__xludf.DUMMYFUNCTION("""COMPUTED_VALUE"""),2.4791666666666665)</f>
        <v>2.479166667</v>
      </c>
      <c r="O2373" s="82">
        <f>IFERROR(__xludf.DUMMYFUNCTION("""COMPUTED_VALUE"""),333.35416666666663)</f>
        <v>333.3541667</v>
      </c>
      <c r="P2373" s="82">
        <f>IFERROR(__xludf.DUMMYFUNCTION("""COMPUTED_VALUE"""),0.7430555555555557)</f>
        <v>0.7430555556</v>
      </c>
      <c r="Q2373" s="82">
        <f>IFERROR(__xludf.DUMMYFUNCTION("""COMPUTED_VALUE"""),0.5208333333333334)</f>
        <v>0.5208333333</v>
      </c>
      <c r="R2373" s="82">
        <f>IFERROR(__xludf.DUMMYFUNCTION("""COMPUTED_VALUE"""),1.138888888888889)</f>
        <v>1.138888889</v>
      </c>
      <c r="S2373" s="82">
        <f>IFERROR(__xludf.DUMMYFUNCTION("""COMPUTED_VALUE"""),2.4791666666666665)</f>
        <v>2.479166667</v>
      </c>
      <c r="T2373" s="82">
        <f>IFERROR(__xludf.DUMMYFUNCTION("""COMPUTED_VALUE"""),335.59700130051965)</f>
        <v>335.5970013</v>
      </c>
      <c r="U2373" s="82">
        <f>IFERROR(__xludf.DUMMYFUNCTION("""COMPUTED_VALUE"""),0.8031219584729485)</f>
        <v>0.8031219585</v>
      </c>
      <c r="V2373" s="82">
        <f>IFERROR(__xludf.DUMMYFUNCTION("""COMPUTED_VALUE"""),0.5201012236904362)</f>
        <v>0.5201012237</v>
      </c>
      <c r="W2373" s="82">
        <f>IFERROR(__xludf.DUMMYFUNCTION("""COMPUTED_VALUE"""),1.189227780660233)</f>
        <v>1.189227781</v>
      </c>
      <c r="X2373" s="82">
        <f>IFERROR(__xludf.DUMMYFUNCTION("""COMPUTED_VALUE"""),2.457057193792099)</f>
        <v>2.457057194</v>
      </c>
      <c r="Y2373" s="82">
        <f>IFERROR(__xludf.DUMMYFUNCTION("""COMPUTED_VALUE"""),331.3015852115299)</f>
        <v>331.3015852</v>
      </c>
      <c r="Z2373" s="82">
        <f>IFERROR(__xludf.DUMMYFUNCTION("""COMPUTED_VALUE"""),0.7557185205711376)</f>
        <v>0.7557185206</v>
      </c>
      <c r="AA2373" s="82">
        <f>IFERROR(__xludf.DUMMYFUNCTION("""COMPUTED_VALUE"""),0.509071788380287)</f>
        <v>0.5090717884</v>
      </c>
      <c r="AB2373" s="82">
        <f>IFERROR(__xludf.DUMMYFUNCTION("""COMPUTED_VALUE"""),1.217419755884196)</f>
        <v>1.217419756</v>
      </c>
      <c r="AC2373" s="82">
        <f>IFERROR(__xludf.DUMMYFUNCTION("""COMPUTED_VALUE"""),2.4054686553216196)</f>
        <v>2.405468655</v>
      </c>
      <c r="AD2373" s="82">
        <f>IFERROR(__xludf.DUMMYFUNCTION("""COMPUTED_VALUE"""),1.005126491584354)</f>
        <v>1.005126492</v>
      </c>
      <c r="AE2373" s="82">
        <f>IFERROR(__xludf.DUMMYFUNCTION("""COMPUTED_VALUE"""),1.1302709188880622)</f>
        <v>1.130270919</v>
      </c>
      <c r="AF2373" s="82">
        <f>IFERROR(__xludf.DUMMYFUNCTION("""COMPUTED_VALUE"""),0.5729381853876879)</f>
        <v>0.5729381854</v>
      </c>
      <c r="AG2373" s="82">
        <f>IFERROR(__xludf.DUMMYFUNCTION("""COMPUTED_VALUE"""),1.1294378897288024)</f>
        <v>1.12943789</v>
      </c>
      <c r="AH2373" s="82">
        <f>IFERROR(__xludf.DUMMYFUNCTION("""COMPUTED_VALUE"""),1.030637693483141)</f>
        <v>1.030637693</v>
      </c>
      <c r="AI2373" s="82">
        <f>IFERROR(__xludf.DUMMYFUNCTION("""COMPUTED_VALUE"""),0.9933168811843923)</f>
        <v>0.9933168812</v>
      </c>
      <c r="AJ2373" s="82">
        <f>IFERROR(__xludf.DUMMYFUNCTION("""COMPUTED_VALUE"""),0.9252088648757621)</f>
        <v>0.9252088649</v>
      </c>
      <c r="AK2373" s="82">
        <f>IFERROR(__xludf.DUMMYFUNCTION("""COMPUTED_VALUE"""),1.001407629149)</f>
        <v>1.001407629</v>
      </c>
      <c r="AL2373" s="82">
        <f>IFERROR(__xludf.DUMMYFUNCTION("""COMPUTED_VALUE"""),0.9576709419423445)</f>
        <v>0.9576709419</v>
      </c>
      <c r="AM2373" s="82">
        <f>IFERROR(__xludf.DUMMYFUNCTION("""COMPUTED_VALUE"""),1.0089983549957358)</f>
        <v>1.008998355</v>
      </c>
      <c r="AN2373" s="82">
        <f>IFERROR(__xludf.DUMMYFUNCTION("""COMPUTED_VALUE"""),1.0236092173986422)</f>
        <v>1.023609217</v>
      </c>
      <c r="AO2373" s="82">
        <f>IFERROR(__xludf.DUMMYFUNCTION("""COMPUTED_VALUE"""),1.168740289036649)</f>
        <v>1.168740289</v>
      </c>
      <c r="AP2373" s="82">
        <f>IFERROR(__xludf.DUMMYFUNCTION("""COMPUTED_VALUE"""),0.5657374940389824)</f>
        <v>0.565737494</v>
      </c>
      <c r="AQ2373" s="82">
        <f>IFERROR(__xludf.DUMMYFUNCTION("""COMPUTED_VALUE"""),1.1404029838973155)</f>
        <v>1.140402984</v>
      </c>
      <c r="AR2373" s="82">
        <f>IFERROR(__xludf.DUMMYFUNCTION("""COMPUTED_VALUE"""),1.0418514246613195)</f>
        <v>1.041851425</v>
      </c>
      <c r="AS2373" s="82">
        <f>IFERROR(__xludf.DUMMYFUNCTION("""COMPUTED_VALUE"""),117.0)</f>
        <v>117</v>
      </c>
      <c r="AT2373" s="82">
        <f>IFERROR(__xludf.DUMMYFUNCTION("""COMPUTED_VALUE"""),0.534699006219537)</f>
        <v>0.5346990062</v>
      </c>
      <c r="AU2373" s="82">
        <f>IFERROR(__xludf.DUMMYFUNCTION("""COMPUTED_VALUE"""),2.8529949155592385)</f>
        <v>2.852994916</v>
      </c>
      <c r="AV2373" s="82">
        <f>IFERROR(__xludf.DUMMYFUNCTION("""COMPUTED_VALUE"""),50.25208337029735)</f>
        <v>50.25208337</v>
      </c>
      <c r="AW2373" s="82">
        <f t="shared" si="1"/>
        <v>2.016220902</v>
      </c>
      <c r="AX2373" s="83">
        <f t="array" ref="AX2373">IFERROR(DGET('SBV Import'!A:G,"SBV",{"RSC ID","Tier";B2373,A2373}))</f>
        <v>43.40812626</v>
      </c>
      <c r="AY2373" s="82">
        <f t="shared" si="2"/>
        <v>-2.5251556</v>
      </c>
      <c r="AZ2373" s="82">
        <v>4.54137650203249</v>
      </c>
      <c r="BA2373" s="84">
        <v>2300.0</v>
      </c>
      <c r="BB2373" s="84" t="b">
        <f>IFERROR(__xludf.DUMMYFUNCTION("iferror(if(A2373="""",,E2373&gt;=FILTER(Constants!$F$2:$F$10,Constants!$A$2:$A$10=A2373)))"),TRUE)</f>
        <v>1</v>
      </c>
    </row>
    <row r="2374">
      <c r="A2374" s="89" t="str">
        <f>IFERROR(__xludf.DUMMYFUNCTION("""COMPUTED_VALUE"""),"Challenger")</f>
        <v>Challenger</v>
      </c>
      <c r="B2374" s="87" t="str">
        <f>IFERROR(__xludf.DUMMYFUNCTION("""COMPUTED_VALUE"""),"RSC003978")</f>
        <v>RSC003978</v>
      </c>
      <c r="C2374" s="73" t="str">
        <f>IFERROR(__xludf.DUMMYFUNCTION("""COMPUTED_VALUE"""),"thenio")</f>
        <v>thenio</v>
      </c>
      <c r="D2374" s="73" t="str">
        <f>IFERROR(__xludf.DUMMYFUNCTION("""COMPUTED_VALUE"""),"Quarter")</f>
        <v>Quarter</v>
      </c>
      <c r="E2374" s="82">
        <f>IFERROR(__xludf.DUMMYFUNCTION("""COMPUTED_VALUE"""),28.0)</f>
        <v>28</v>
      </c>
      <c r="F2374" s="82">
        <f>IFERROR(__xludf.DUMMYFUNCTION("""COMPUTED_VALUE"""),8.0)</f>
        <v>8</v>
      </c>
      <c r="G2374" s="86">
        <f>IFERROR(__xludf.DUMMYFUNCTION("""COMPUTED_VALUE"""),20.0)</f>
        <v>20</v>
      </c>
      <c r="H2374" s="86">
        <f>IFERROR(__xludf.DUMMYFUNCTION("""COMPUTED_VALUE"""),0.2857142857142857)</f>
        <v>0.2857142857</v>
      </c>
      <c r="I2374" s="86">
        <f>IFERROR(__xludf.DUMMYFUNCTION("""COMPUTED_VALUE"""),0.39999999999999997)</f>
        <v>0.4</v>
      </c>
      <c r="J2374" s="82">
        <f>IFERROR(__xludf.DUMMYFUNCTION("""COMPUTED_VALUE"""),333.07142857142856)</f>
        <v>333.0714286</v>
      </c>
      <c r="K2374" s="82">
        <f>IFERROR(__xludf.DUMMYFUNCTION("""COMPUTED_VALUE"""),0.9285714285714286)</f>
        <v>0.9285714286</v>
      </c>
      <c r="L2374" s="82">
        <f>IFERROR(__xludf.DUMMYFUNCTION("""COMPUTED_VALUE"""),0.32142857142857145)</f>
        <v>0.3214285714</v>
      </c>
      <c r="M2374" s="82">
        <f>IFERROR(__xludf.DUMMYFUNCTION("""COMPUTED_VALUE"""),1.2142857142857142)</f>
        <v>1.214285714</v>
      </c>
      <c r="N2374" s="82">
        <f>IFERROR(__xludf.DUMMYFUNCTION("""COMPUTED_VALUE"""),2.3214285714285716)</f>
        <v>2.321428571</v>
      </c>
      <c r="O2374" s="82">
        <f>IFERROR(__xludf.DUMMYFUNCTION("""COMPUTED_VALUE"""),366.095238095238)</f>
        <v>366.0952381</v>
      </c>
      <c r="P2374" s="82">
        <f>IFERROR(__xludf.DUMMYFUNCTION("""COMPUTED_VALUE"""),1.011904761904762)</f>
        <v>1.011904762</v>
      </c>
      <c r="Q2374" s="82">
        <f>IFERROR(__xludf.DUMMYFUNCTION("""COMPUTED_VALUE"""),0.69047619047619)</f>
        <v>0.6904761905</v>
      </c>
      <c r="R2374" s="82">
        <f>IFERROR(__xludf.DUMMYFUNCTION("""COMPUTED_VALUE"""),0.9166666666666664)</f>
        <v>0.9166666667</v>
      </c>
      <c r="S2374" s="82">
        <f>IFERROR(__xludf.DUMMYFUNCTION("""COMPUTED_VALUE"""),2.8809523809523805)</f>
        <v>2.880952381</v>
      </c>
      <c r="T2374" s="82">
        <f>IFERROR(__xludf.DUMMYFUNCTION("""COMPUTED_VALUE"""),343.0095719496945)</f>
        <v>343.0095719</v>
      </c>
      <c r="U2374" s="82">
        <f>IFERROR(__xludf.DUMMYFUNCTION("""COMPUTED_VALUE"""),0.8073170249534287)</f>
        <v>0.807317025</v>
      </c>
      <c r="V2374" s="82">
        <f>IFERROR(__xludf.DUMMYFUNCTION("""COMPUTED_VALUE"""),0.5796901729473146)</f>
        <v>0.5796901729</v>
      </c>
      <c r="W2374" s="82">
        <f>IFERROR(__xludf.DUMMYFUNCTION("""COMPUTED_VALUE"""),1.2064097973503205)</f>
        <v>1.206409797</v>
      </c>
      <c r="X2374" s="82">
        <f>IFERROR(__xludf.DUMMYFUNCTION("""COMPUTED_VALUE"""),2.5752687915774515)</f>
        <v>2.575268792</v>
      </c>
      <c r="Y2374" s="82">
        <f>IFERROR(__xludf.DUMMYFUNCTION("""COMPUTED_VALUE"""),332.367562818614)</f>
        <v>332.3675628</v>
      </c>
      <c r="Z2374" s="82">
        <f>IFERROR(__xludf.DUMMYFUNCTION("""COMPUTED_VALUE"""),0.7441085799546856)</f>
        <v>0.74410858</v>
      </c>
      <c r="AA2374" s="82">
        <f>IFERROR(__xludf.DUMMYFUNCTION("""COMPUTED_VALUE"""),0.49505524230204034)</f>
        <v>0.4950552423</v>
      </c>
      <c r="AB2374" s="82">
        <f>IFERROR(__xludf.DUMMYFUNCTION("""COMPUTED_VALUE"""),1.2649483047727375)</f>
        <v>1.264948305</v>
      </c>
      <c r="AC2374" s="82">
        <f>IFERROR(__xludf.DUMMYFUNCTION("""COMPUTED_VALUE"""),2.3705611878322097)</f>
        <v>2.370561188</v>
      </c>
      <c r="AD2374" s="82">
        <f>IFERROR(__xludf.DUMMYFUNCTION("""COMPUTED_VALUE"""),1.0021177329906852)</f>
        <v>1.002117733</v>
      </c>
      <c r="AE2374" s="82">
        <f>IFERROR(__xludf.DUMMYFUNCTION("""COMPUTED_VALUE"""),1.2478977579158896)</f>
        <v>1.247897758</v>
      </c>
      <c r="AF2374" s="82">
        <f>IFERROR(__xludf.DUMMYFUNCTION("""COMPUTED_VALUE"""),0.649278189508522)</f>
        <v>0.6492781895</v>
      </c>
      <c r="AG2374" s="82">
        <f>IFERROR(__xludf.DUMMYFUNCTION("""COMPUTED_VALUE"""),0.9599488846335698)</f>
        <v>0.9599488846</v>
      </c>
      <c r="AH2374" s="82">
        <f>IFERROR(__xludf.DUMMYFUNCTION("""COMPUTED_VALUE"""),0.9792738459332627)</f>
        <v>0.9792738459</v>
      </c>
      <c r="AI2374" s="82">
        <f>IFERROR(__xludf.DUMMYFUNCTION("""COMPUTED_VALUE"""),1.0673032709096797)</f>
        <v>1.067303271</v>
      </c>
      <c r="AJ2374" s="82">
        <f>IFERROR(__xludf.DUMMYFUNCTION("""COMPUTED_VALUE"""),1.253416849425584)</f>
        <v>1.253416849</v>
      </c>
      <c r="AK2374" s="82">
        <f>IFERROR(__xludf.DUMMYFUNCTION("""COMPUTED_VALUE"""),1.1911124643800788)</f>
        <v>1.191112464</v>
      </c>
      <c r="AL2374" s="82">
        <f>IFERROR(__xludf.DUMMYFUNCTION("""COMPUTED_VALUE"""),0.7598302572475564)</f>
        <v>0.7598302572</v>
      </c>
      <c r="AM2374" s="82">
        <f>IFERROR(__xludf.DUMMYFUNCTION("""COMPUTED_VALUE"""),1.1186996830679123)</f>
        <v>1.118699683</v>
      </c>
      <c r="AN2374" s="82">
        <f>IFERROR(__xludf.DUMMYFUNCTION("""COMPUTED_VALUE"""),1.0238287817953386)</f>
        <v>1.023828782</v>
      </c>
      <c r="AO2374" s="82">
        <f>IFERROR(__xludf.DUMMYFUNCTION("""COMPUTED_VALUE"""),1.2705469344231166)</f>
        <v>1.270546934</v>
      </c>
      <c r="AP2374" s="82">
        <f>IFERROR(__xludf.DUMMYFUNCTION("""COMPUTED_VALUE"""),0.623465809757246)</f>
        <v>0.6234658098</v>
      </c>
      <c r="AQ2374" s="82">
        <f>IFERROR(__xludf.DUMMYFUNCTION("""COMPUTED_VALUE"""),1.0071091286365903)</f>
        <v>1.007109129</v>
      </c>
      <c r="AR2374" s="82">
        <f>IFERROR(__xludf.DUMMYFUNCTION("""COMPUTED_VALUE"""),0.9755631587464939)</f>
        <v>0.9755631587</v>
      </c>
      <c r="AS2374" s="82">
        <f>IFERROR(__xludf.DUMMYFUNCTION("""COMPUTED_VALUE"""),58.0)</f>
        <v>58</v>
      </c>
      <c r="AT2374" s="82">
        <f>IFERROR(__xludf.DUMMYFUNCTION("""COMPUTED_VALUE"""),0.3519895583954246)</f>
        <v>0.3519895584</v>
      </c>
      <c r="AU2374" s="82">
        <f>IFERROR(__xludf.DUMMYFUNCTION("""COMPUTED_VALUE"""),2.715908404900843)</f>
        <v>2.715908405</v>
      </c>
      <c r="AV2374" s="82">
        <f>IFERROR(__xludf.DUMMYFUNCTION("""COMPUTED_VALUE"""),46.674363875551904)</f>
        <v>46.67436388</v>
      </c>
      <c r="AW2374" s="82">
        <f t="shared" si="1"/>
        <v>-2.236702992</v>
      </c>
      <c r="AX2374" s="83">
        <f t="array" ref="AX2374">IFERROR(DGET('SBV Import'!A:G,"SBV",{"RSC ID","Tier";B2374,A2374}))</f>
        <v>44.8050625</v>
      </c>
      <c r="AY2374" s="82">
        <f t="shared" si="2"/>
        <v>-2.394099738</v>
      </c>
      <c r="AZ2374" s="82">
        <v>0.15739674520873592</v>
      </c>
      <c r="BA2374" s="84">
        <v>2300.0</v>
      </c>
      <c r="BB2374" s="84" t="b">
        <f>IFERROR(__xludf.DUMMYFUNCTION("iferror(if(A2374="""",,E2374&gt;=FILTER(Constants!$F$2:$F$10,Constants!$A$2:$A$10=A2374)))"),TRUE)</f>
        <v>1</v>
      </c>
    </row>
    <row r="2375">
      <c r="A2375" s="89" t="str">
        <f>IFERROR(__xludf.DUMMYFUNCTION("""COMPUTED_VALUE"""),"Challenger")</f>
        <v>Challenger</v>
      </c>
      <c r="B2375" s="87" t="str">
        <f>IFERROR(__xludf.DUMMYFUNCTION("""COMPUTED_VALUE"""),"RSC000357")</f>
        <v>RSC000357</v>
      </c>
      <c r="C2375" s="73" t="str">
        <f>IFERROR(__xludf.DUMMYFUNCTION("""COMPUTED_VALUE"""),"Primed")</f>
        <v>Primed</v>
      </c>
      <c r="D2375" s="73" t="str">
        <f>IFERROR(__xludf.DUMMYFUNCTION("""COMPUTED_VALUE"""),"Decuriones")</f>
        <v>Decuriones</v>
      </c>
      <c r="E2375" s="82">
        <f>IFERROR(__xludf.DUMMYFUNCTION("""COMPUTED_VALUE"""),41.0)</f>
        <v>41</v>
      </c>
      <c r="F2375" s="82">
        <f>IFERROR(__xludf.DUMMYFUNCTION("""COMPUTED_VALUE"""),24.0)</f>
        <v>24</v>
      </c>
      <c r="G2375" s="86">
        <f>IFERROR(__xludf.DUMMYFUNCTION("""COMPUTED_VALUE"""),17.0)</f>
        <v>17</v>
      </c>
      <c r="H2375" s="86">
        <f>IFERROR(__xludf.DUMMYFUNCTION("""COMPUTED_VALUE"""),0.5853658536585366)</f>
        <v>0.5853658537</v>
      </c>
      <c r="I2375" s="86">
        <f>IFERROR(__xludf.DUMMYFUNCTION("""COMPUTED_VALUE"""),0.23809523809523808)</f>
        <v>0.2380952381</v>
      </c>
      <c r="J2375" s="82">
        <f>IFERROR(__xludf.DUMMYFUNCTION("""COMPUTED_VALUE"""),282.4634146341463)</f>
        <v>282.4634146</v>
      </c>
      <c r="K2375" s="82">
        <f>IFERROR(__xludf.DUMMYFUNCTION("""COMPUTED_VALUE"""),0.6097560975609756)</f>
        <v>0.6097560976</v>
      </c>
      <c r="L2375" s="82">
        <f>IFERROR(__xludf.DUMMYFUNCTION("""COMPUTED_VALUE"""),0.4634146341463415)</f>
        <v>0.4634146341</v>
      </c>
      <c r="M2375" s="82">
        <f>IFERROR(__xludf.DUMMYFUNCTION("""COMPUTED_VALUE"""),0.975609756097561)</f>
        <v>0.9756097561</v>
      </c>
      <c r="N2375" s="82">
        <f>IFERROR(__xludf.DUMMYFUNCTION("""COMPUTED_VALUE"""),2.5609756097560976)</f>
        <v>2.56097561</v>
      </c>
      <c r="O2375" s="82">
        <f>IFERROR(__xludf.DUMMYFUNCTION("""COMPUTED_VALUE"""),306.9512195121951)</f>
        <v>306.9512195</v>
      </c>
      <c r="P2375" s="82">
        <f>IFERROR(__xludf.DUMMYFUNCTION("""COMPUTED_VALUE"""),0.6260162601626017)</f>
        <v>0.6260162602</v>
      </c>
      <c r="Q2375" s="82">
        <f>IFERROR(__xludf.DUMMYFUNCTION("""COMPUTED_VALUE"""),0.4552845528455285)</f>
        <v>0.4552845528</v>
      </c>
      <c r="R2375" s="82">
        <f>IFERROR(__xludf.DUMMYFUNCTION("""COMPUTED_VALUE"""),1.2439024390243905)</f>
        <v>1.243902439</v>
      </c>
      <c r="S2375" s="82">
        <f>IFERROR(__xludf.DUMMYFUNCTION("""COMPUTED_VALUE"""),1.9512195121951224)</f>
        <v>1.951219512</v>
      </c>
      <c r="T2375" s="82">
        <f>IFERROR(__xludf.DUMMYFUNCTION("""COMPUTED_VALUE"""),336.5821739280309)</f>
        <v>336.5821739</v>
      </c>
      <c r="U2375" s="82">
        <f>IFERROR(__xludf.DUMMYFUNCTION("""COMPUTED_VALUE"""),0.7428188484697509)</f>
        <v>0.7428188485</v>
      </c>
      <c r="V2375" s="82">
        <f>IFERROR(__xludf.DUMMYFUNCTION("""COMPUTED_VALUE"""),0.5248815355958159)</f>
        <v>0.5248815356</v>
      </c>
      <c r="W2375" s="82">
        <f>IFERROR(__xludf.DUMMYFUNCTION("""COMPUTED_VALUE"""),1.2926902926907722)</f>
        <v>1.292690293</v>
      </c>
      <c r="X2375" s="82">
        <f>IFERROR(__xludf.DUMMYFUNCTION("""COMPUTED_VALUE"""),2.3406584822978806)</f>
        <v>2.340658482</v>
      </c>
      <c r="Y2375" s="82">
        <f>IFERROR(__xludf.DUMMYFUNCTION("""COMPUTED_VALUE"""),333.4245816075958)</f>
        <v>333.4245816</v>
      </c>
      <c r="Z2375" s="82">
        <f>IFERROR(__xludf.DUMMYFUNCTION("""COMPUTED_VALUE"""),0.7590704212363537)</f>
        <v>0.7590704212</v>
      </c>
      <c r="AA2375" s="82">
        <f>IFERROR(__xludf.DUMMYFUNCTION("""COMPUTED_VALUE"""),0.5321544812480158)</f>
        <v>0.5321544812</v>
      </c>
      <c r="AB2375" s="82">
        <f>IFERROR(__xludf.DUMMYFUNCTION("""COMPUTED_VALUE"""),1.1861843221738857)</f>
        <v>1.186184322</v>
      </c>
      <c r="AC2375" s="82">
        <f>IFERROR(__xludf.DUMMYFUNCTION("""COMPUTED_VALUE"""),2.5073290201076017)</f>
        <v>2.50732902</v>
      </c>
      <c r="AD2375" s="82">
        <f>IFERROR(__xludf.DUMMYFUNCTION("""COMPUTED_VALUE"""),0.8471583386931405)</f>
        <v>0.8471583387</v>
      </c>
      <c r="AE2375" s="82">
        <f>IFERROR(__xludf.DUMMYFUNCTION("""COMPUTED_VALUE"""),0.8032931866424476)</f>
        <v>0.8032931866</v>
      </c>
      <c r="AF2375" s="82">
        <f>IFERROR(__xludf.DUMMYFUNCTION("""COMPUTED_VALUE"""),0.8708272700429682)</f>
        <v>0.87082727</v>
      </c>
      <c r="AG2375" s="82">
        <f>IFERROR(__xludf.DUMMYFUNCTION("""COMPUTED_VALUE"""),0.8224773653301952)</f>
        <v>0.8224773653</v>
      </c>
      <c r="AH2375" s="82">
        <f>IFERROR(__xludf.DUMMYFUNCTION("""COMPUTED_VALUE"""),1.0213959114333522)</f>
        <v>1.021395911</v>
      </c>
      <c r="AI2375" s="82">
        <f>IFERROR(__xludf.DUMMYFUNCTION("""COMPUTED_VALUE"""),0.911965170139487)</f>
        <v>0.9119651701</v>
      </c>
      <c r="AJ2375" s="82">
        <f>IFERROR(__xludf.DUMMYFUNCTION("""COMPUTED_VALUE"""),0.8427576406444597)</f>
        <v>0.8427576406</v>
      </c>
      <c r="AK2375" s="82">
        <f>IFERROR(__xludf.DUMMYFUNCTION("""COMPUTED_VALUE"""),0.8674043988396642)</f>
        <v>0.8674043988</v>
      </c>
      <c r="AL2375" s="82">
        <f>IFERROR(__xludf.DUMMYFUNCTION("""COMPUTED_VALUE"""),0.9622586678787319)</f>
        <v>0.9622586679</v>
      </c>
      <c r="AM2375" s="82">
        <f>IFERROR(__xludf.DUMMYFUNCTION("""COMPUTED_VALUE"""),0.8336199095049369)</f>
        <v>0.8336199095</v>
      </c>
      <c r="AN2375" s="82">
        <f>IFERROR(__xludf.DUMMYFUNCTION("""COMPUTED_VALUE"""),0.8682647291213414)</f>
        <v>0.8682647291</v>
      </c>
      <c r="AO2375" s="82">
        <f>IFERROR(__xludf.DUMMYFUNCTION("""COMPUTED_VALUE"""),0.8343178743866619)</f>
        <v>0.8343178744</v>
      </c>
      <c r="AP2375" s="82">
        <f>IFERROR(__xludf.DUMMYFUNCTION("""COMPUTED_VALUE"""),0.8988721159643762)</f>
        <v>0.898872116</v>
      </c>
      <c r="AQ2375" s="82">
        <f>IFERROR(__xludf.DUMMYFUNCTION("""COMPUTED_VALUE"""),0.8091551105258115)</f>
        <v>0.8091551105</v>
      </c>
      <c r="AR2375" s="82">
        <f>IFERROR(__xludf.DUMMYFUNCTION("""COMPUTED_VALUE"""),1.076231026909828)</f>
        <v>1.076231027</v>
      </c>
      <c r="AS2375" s="82">
        <f>IFERROR(__xludf.DUMMYFUNCTION("""COMPUTED_VALUE"""),91.0)</f>
        <v>91</v>
      </c>
      <c r="AT2375" s="82">
        <f>IFERROR(__xludf.DUMMYFUNCTION("""COMPUTED_VALUE"""),0.5622774456211485)</f>
        <v>0.5622774456</v>
      </c>
      <c r="AU2375" s="82">
        <f>IFERROR(__xludf.DUMMYFUNCTION("""COMPUTED_VALUE"""),2.6951908103028783)</f>
        <v>2.69519081</v>
      </c>
      <c r="AV2375" s="82">
        <f>IFERROR(__xludf.DUMMYFUNCTION("""COMPUTED_VALUE"""),46.133670690486646)</f>
        <v>46.13367069</v>
      </c>
      <c r="AW2375" s="82">
        <f t="shared" si="1"/>
        <v>-2.280255358</v>
      </c>
      <c r="AX2375" s="83">
        <f t="array" ref="AX2375">IFERROR(DGET('SBV Import'!A:G,"SBV",{"RSC ID","Tier";B2375,A2375}))</f>
        <v>43.09492499</v>
      </c>
      <c r="AY2375" s="82">
        <f t="shared" si="2"/>
        <v>-2.556262857</v>
      </c>
      <c r="AZ2375" s="82">
        <v>0.2760074991454826</v>
      </c>
      <c r="BA2375" s="84">
        <v>2300.0</v>
      </c>
      <c r="BB2375" s="84" t="b">
        <f>IFERROR(__xludf.DUMMYFUNCTION("iferror(if(A2375="""",,E2375&gt;=FILTER(Constants!$F$2:$F$10,Constants!$A$2:$A$10=A2375)))"),TRUE)</f>
        <v>1</v>
      </c>
    </row>
    <row r="2376">
      <c r="A2376" s="89" t="str">
        <f>IFERROR(__xludf.DUMMYFUNCTION("""COMPUTED_VALUE"""),"Challenger")</f>
        <v>Challenger</v>
      </c>
      <c r="B2376" s="87" t="str">
        <f>IFERROR(__xludf.DUMMYFUNCTION("""COMPUTED_VALUE"""),"RSC000347")</f>
        <v>RSC000347</v>
      </c>
      <c r="C2376" s="73" t="str">
        <f>IFERROR(__xludf.DUMMYFUNCTION("""COMPUTED_VALUE"""),"Chris.")</f>
        <v>Chris.</v>
      </c>
      <c r="D2376" s="73" t="str">
        <f>IFERROR(__xludf.DUMMYFUNCTION("""COMPUTED_VALUE"""),"Zombies")</f>
        <v>Zombies</v>
      </c>
      <c r="E2376" s="82">
        <f>IFERROR(__xludf.DUMMYFUNCTION("""COMPUTED_VALUE"""),15.0)</f>
        <v>15</v>
      </c>
      <c r="F2376" s="82">
        <f>IFERROR(__xludf.DUMMYFUNCTION("""COMPUTED_VALUE"""),8.0)</f>
        <v>8</v>
      </c>
      <c r="G2376" s="86">
        <f>IFERROR(__xludf.DUMMYFUNCTION("""COMPUTED_VALUE"""),7.0)</f>
        <v>7</v>
      </c>
      <c r="H2376" s="86">
        <f>IFERROR(__xludf.DUMMYFUNCTION("""COMPUTED_VALUE"""),0.5333333333333333)</f>
        <v>0.5333333333</v>
      </c>
      <c r="I2376" s="86">
        <f>IFERROR(__xludf.DUMMYFUNCTION("""COMPUTED_VALUE"""),0.3333333333333333)</f>
        <v>0.3333333333</v>
      </c>
      <c r="J2376" s="82">
        <f>IFERROR(__xludf.DUMMYFUNCTION("""COMPUTED_VALUE"""),245.86666666666667)</f>
        <v>245.8666667</v>
      </c>
      <c r="K2376" s="82">
        <f>IFERROR(__xludf.DUMMYFUNCTION("""COMPUTED_VALUE"""),0.6666666666666666)</f>
        <v>0.6666666667</v>
      </c>
      <c r="L2376" s="82">
        <f>IFERROR(__xludf.DUMMYFUNCTION("""COMPUTED_VALUE"""),0.6)</f>
        <v>0.6</v>
      </c>
      <c r="M2376" s="82">
        <f>IFERROR(__xludf.DUMMYFUNCTION("""COMPUTED_VALUE"""),0.3333333333333333)</f>
        <v>0.3333333333</v>
      </c>
      <c r="N2376" s="82">
        <f>IFERROR(__xludf.DUMMYFUNCTION("""COMPUTED_VALUE"""),2.0)</f>
        <v>2</v>
      </c>
      <c r="O2376" s="82">
        <f>IFERROR(__xludf.DUMMYFUNCTION("""COMPUTED_VALUE"""),309.2)</f>
        <v>309.2</v>
      </c>
      <c r="P2376" s="82">
        <f>IFERROR(__xludf.DUMMYFUNCTION("""COMPUTED_VALUE"""),0.7333333333333335)</f>
        <v>0.7333333333</v>
      </c>
      <c r="Q2376" s="82">
        <f>IFERROR(__xludf.DUMMYFUNCTION("""COMPUTED_VALUE"""),0.4888888888888889)</f>
        <v>0.4888888889</v>
      </c>
      <c r="R2376" s="82">
        <f>IFERROR(__xludf.DUMMYFUNCTION("""COMPUTED_VALUE"""),1.0666666666666667)</f>
        <v>1.066666667</v>
      </c>
      <c r="S2376" s="82">
        <f>IFERROR(__xludf.DUMMYFUNCTION("""COMPUTED_VALUE"""),2.3333333333333335)</f>
        <v>2.333333333</v>
      </c>
      <c r="T2376" s="82">
        <f>IFERROR(__xludf.DUMMYFUNCTION("""COMPUTED_VALUE"""),329.4770509905214)</f>
        <v>329.477051</v>
      </c>
      <c r="U2376" s="82">
        <f>IFERROR(__xludf.DUMMYFUNCTION("""COMPUTED_VALUE"""),0.7573672219628382)</f>
        <v>0.757367222</v>
      </c>
      <c r="V2376" s="82">
        <f>IFERROR(__xludf.DUMMYFUNCTION("""COMPUTED_VALUE"""),0.5314313471682789)</f>
        <v>0.5314313472</v>
      </c>
      <c r="W2376" s="82">
        <f>IFERROR(__xludf.DUMMYFUNCTION("""COMPUTED_VALUE"""),1.1419826403548385)</f>
        <v>1.14198264</v>
      </c>
      <c r="X2376" s="82">
        <f>IFERROR(__xludf.DUMMYFUNCTION("""COMPUTED_VALUE"""),2.543987940131731)</f>
        <v>2.54398794</v>
      </c>
      <c r="Y2376" s="82">
        <f>IFERROR(__xludf.DUMMYFUNCTION("""COMPUTED_VALUE"""),326.22991062252066)</f>
        <v>326.2299106</v>
      </c>
      <c r="Z2376" s="82">
        <f>IFERROR(__xludf.DUMMYFUNCTION("""COMPUTED_VALUE"""),0.7000058142169698)</f>
        <v>0.7000058142</v>
      </c>
      <c r="AA2376" s="82">
        <f>IFERROR(__xludf.DUMMYFUNCTION("""COMPUTED_VALUE"""),0.4848738316842395)</f>
        <v>0.4848738317</v>
      </c>
      <c r="AB2376" s="82">
        <f>IFERROR(__xludf.DUMMYFUNCTION("""COMPUTED_VALUE"""),1.3189705189848968)</f>
        <v>1.318970519</v>
      </c>
      <c r="AC2376" s="82">
        <f>IFERROR(__xludf.DUMMYFUNCTION("""COMPUTED_VALUE"""),2.207686992295396)</f>
        <v>2.207686992</v>
      </c>
      <c r="AD2376" s="82">
        <f>IFERROR(__xludf.DUMMYFUNCTION("""COMPUTED_VALUE"""),0.7536607118504165)</f>
        <v>0.7536607119</v>
      </c>
      <c r="AE2376" s="82">
        <f>IFERROR(__xludf.DUMMYFUNCTION("""COMPUTED_VALUE"""),0.9523730419473779)</f>
        <v>0.9523730419</v>
      </c>
      <c r="AF2376" s="82">
        <f>IFERROR(__xludf.DUMMYFUNCTION("""COMPUTED_VALUE"""),1.2374353095440571)</f>
        <v>1.23743531</v>
      </c>
      <c r="AG2376" s="82">
        <f>IFERROR(__xludf.DUMMYFUNCTION("""COMPUTED_VALUE"""),0.2527223531803217)</f>
        <v>0.2527223532</v>
      </c>
      <c r="AH2376" s="82">
        <f>IFERROR(__xludf.DUMMYFUNCTION("""COMPUTED_VALUE"""),0.9059255261184206)</f>
        <v>0.9059255261</v>
      </c>
      <c r="AI2376" s="82">
        <f>IFERROR(__xludf.DUMMYFUNCTION("""COMPUTED_VALUE"""),0.9384568639012593)</f>
        <v>0.9384568639</v>
      </c>
      <c r="AJ2376" s="82">
        <f>IFERROR(__xludf.DUMMYFUNCTION("""COMPUTED_VALUE"""),0.9682665318321843)</f>
        <v>0.9682665318</v>
      </c>
      <c r="AK2376" s="82">
        <f>IFERROR(__xludf.DUMMYFUNCTION("""COMPUTED_VALUE"""),0.9199474052366752)</f>
        <v>0.9199474052</v>
      </c>
      <c r="AL2376" s="82">
        <f>IFERROR(__xludf.DUMMYFUNCTION("""COMPUTED_VALUE"""),0.9340480572762738)</f>
        <v>0.9340480573</v>
      </c>
      <c r="AM2376" s="82">
        <f>IFERROR(__xludf.DUMMYFUNCTION("""COMPUTED_VALUE"""),0.9171951236579016)</f>
        <v>0.9171951237</v>
      </c>
      <c r="AN2376" s="82">
        <f>IFERROR(__xludf.DUMMYFUNCTION("""COMPUTED_VALUE"""),0.7557699286819205)</f>
        <v>0.7557699287</v>
      </c>
      <c r="AO2376" s="82">
        <f>IFERROR(__xludf.DUMMYFUNCTION("""COMPUTED_VALUE"""),0.9121875426627504)</f>
        <v>0.9121875427</v>
      </c>
      <c r="AP2376" s="82">
        <f>IFERROR(__xludf.DUMMYFUNCTION("""COMPUTED_VALUE"""),1.1638028448801923)</f>
        <v>1.163802845</v>
      </c>
      <c r="AQ2376" s="82">
        <f>IFERROR(__xludf.DUMMYFUNCTION("""COMPUTED_VALUE"""),0.27646132942965224)</f>
        <v>0.2764613294</v>
      </c>
      <c r="AR2376" s="82">
        <f>IFERROR(__xludf.DUMMYFUNCTION("""COMPUTED_VALUE"""),0.8404851829200563)</f>
        <v>0.8404851829</v>
      </c>
      <c r="AS2376" s="82">
        <f>IFERROR(__xludf.DUMMYFUNCTION("""COMPUTED_VALUE"""),33.0)</f>
        <v>33</v>
      </c>
      <c r="AT2376" s="82">
        <f>IFERROR(__xludf.DUMMYFUNCTION("""COMPUTED_VALUE"""),0.4999999999999999)</f>
        <v>0.5</v>
      </c>
      <c r="AU2376" s="82">
        <f>IFERROR(__xludf.DUMMYFUNCTION("""COMPUTED_VALUE"""),2.664795858522612)</f>
        <v>2.664795859</v>
      </c>
      <c r="AV2376" s="82">
        <f>IFERROR(__xludf.DUMMYFUNCTION("""COMPUTED_VALUE"""),45.34041531471094)</f>
        <v>45.34041531</v>
      </c>
      <c r="AW2376" s="82">
        <f t="shared" si="1"/>
        <v>-2.347020833</v>
      </c>
      <c r="AX2376" s="83">
        <f t="array" ref="AX2376">IFERROR(DGET('SBV Import'!A:G,"SBV",{"RSC ID","Tier";B2376,A2376}))</f>
        <v>34.16232297</v>
      </c>
      <c r="AY2376" s="82">
        <f t="shared" si="2"/>
        <v>-3.799373634</v>
      </c>
      <c r="AZ2376" s="82">
        <v>1.452352801324274</v>
      </c>
      <c r="BA2376" s="84">
        <v>2300.0</v>
      </c>
      <c r="BB2376" s="84" t="b">
        <f>IFERROR(__xludf.DUMMYFUNCTION("iferror(if(A2376="""",,E2376&gt;=FILTER(Constants!$F$2:$F$10,Constants!$A$2:$A$10=A2376)))"),TRUE)</f>
        <v>1</v>
      </c>
    </row>
    <row r="2377">
      <c r="A2377" s="89" t="str">
        <f>IFERROR(__xludf.DUMMYFUNCTION("""COMPUTED_VALUE"""),"Challenger")</f>
        <v>Challenger</v>
      </c>
      <c r="B2377" s="87" t="str">
        <f>IFERROR(__xludf.DUMMYFUNCTION("""COMPUTED_VALUE"""),"RSC007065")</f>
        <v>RSC007065</v>
      </c>
      <c r="C2377" s="73" t="str">
        <f>IFERROR(__xludf.DUMMYFUNCTION("""COMPUTED_VALUE"""),"Rampage")</f>
        <v>Rampage</v>
      </c>
      <c r="D2377" s="73" t="str">
        <f>IFERROR(__xludf.DUMMYFUNCTION("""COMPUTED_VALUE"""),"Havarti Hustlers")</f>
        <v>Havarti Hustlers</v>
      </c>
      <c r="E2377" s="82">
        <f>IFERROR(__xludf.DUMMYFUNCTION("""COMPUTED_VALUE"""),21.0)</f>
        <v>21</v>
      </c>
      <c r="F2377" s="82">
        <f>IFERROR(__xludf.DUMMYFUNCTION("""COMPUTED_VALUE"""),7.0)</f>
        <v>7</v>
      </c>
      <c r="G2377" s="86">
        <f>IFERROR(__xludf.DUMMYFUNCTION("""COMPUTED_VALUE"""),14.0)</f>
        <v>14</v>
      </c>
      <c r="H2377" s="86">
        <f>IFERROR(__xludf.DUMMYFUNCTION("""COMPUTED_VALUE"""),0.3333333333333333)</f>
        <v>0.3333333333</v>
      </c>
      <c r="I2377" s="86">
        <f>IFERROR(__xludf.DUMMYFUNCTION("""COMPUTED_VALUE"""),0.23636363636363636)</f>
        <v>0.2363636364</v>
      </c>
      <c r="J2377" s="82">
        <f>IFERROR(__xludf.DUMMYFUNCTION("""COMPUTED_VALUE"""),316.42857142857144)</f>
        <v>316.4285714</v>
      </c>
      <c r="K2377" s="82">
        <f>IFERROR(__xludf.DUMMYFUNCTION("""COMPUTED_VALUE"""),0.6190476190476191)</f>
        <v>0.619047619</v>
      </c>
      <c r="L2377" s="82">
        <f>IFERROR(__xludf.DUMMYFUNCTION("""COMPUTED_VALUE"""),0.5714285714285714)</f>
        <v>0.5714285714</v>
      </c>
      <c r="M2377" s="82">
        <f>IFERROR(__xludf.DUMMYFUNCTION("""COMPUTED_VALUE"""),1.0952380952380953)</f>
        <v>1.095238095</v>
      </c>
      <c r="N2377" s="82">
        <f>IFERROR(__xludf.DUMMYFUNCTION("""COMPUTED_VALUE"""),2.619047619047619)</f>
        <v>2.619047619</v>
      </c>
      <c r="O2377" s="82">
        <f>IFERROR(__xludf.DUMMYFUNCTION("""COMPUTED_VALUE"""),380.2063492063492)</f>
        <v>380.2063492</v>
      </c>
      <c r="P2377" s="82">
        <f>IFERROR(__xludf.DUMMYFUNCTION("""COMPUTED_VALUE"""),0.8412698412698412)</f>
        <v>0.8412698413</v>
      </c>
      <c r="Q2377" s="82">
        <f>IFERROR(__xludf.DUMMYFUNCTION("""COMPUTED_VALUE"""),0.5079365079365078)</f>
        <v>0.5079365079</v>
      </c>
      <c r="R2377" s="82">
        <f>IFERROR(__xludf.DUMMYFUNCTION("""COMPUTED_VALUE"""),1.5873015873015874)</f>
        <v>1.587301587</v>
      </c>
      <c r="S2377" s="82">
        <f>IFERROR(__xludf.DUMMYFUNCTION("""COMPUTED_VALUE"""),2.365079365079365)</f>
        <v>2.365079365</v>
      </c>
      <c r="T2377" s="82">
        <f>IFERROR(__xludf.DUMMYFUNCTION("""COMPUTED_VALUE"""),338.3511402010599)</f>
        <v>338.3511402</v>
      </c>
      <c r="U2377" s="82">
        <f>IFERROR(__xludf.DUMMYFUNCTION("""COMPUTED_VALUE"""),0.7533337629875227)</f>
        <v>0.753333763</v>
      </c>
      <c r="V2377" s="82">
        <f>IFERROR(__xludf.DUMMYFUNCTION("""COMPUTED_VALUE"""),0.5173620430899847)</f>
        <v>0.5173620431</v>
      </c>
      <c r="W2377" s="82">
        <f>IFERROR(__xludf.DUMMYFUNCTION("""COMPUTED_VALUE"""),1.3110421811024207)</f>
        <v>1.311042181</v>
      </c>
      <c r="X2377" s="82">
        <f>IFERROR(__xludf.DUMMYFUNCTION("""COMPUTED_VALUE"""),2.293218547596658)</f>
        <v>2.293218548</v>
      </c>
      <c r="Y2377" s="82">
        <f>IFERROR(__xludf.DUMMYFUNCTION("""COMPUTED_VALUE"""),337.55058491376707)</f>
        <v>337.5505849</v>
      </c>
      <c r="Z2377" s="82">
        <f>IFERROR(__xludf.DUMMYFUNCTION("""COMPUTED_VALUE"""),0.8162179437848277)</f>
        <v>0.8162179438</v>
      </c>
      <c r="AA2377" s="82">
        <f>IFERROR(__xludf.DUMMYFUNCTION("""COMPUTED_VALUE"""),0.5608818795137679)</f>
        <v>0.5608818795</v>
      </c>
      <c r="AB2377" s="82">
        <f>IFERROR(__xludf.DUMMYFUNCTION("""COMPUTED_VALUE"""),1.1368295798647614)</f>
        <v>1.13682958</v>
      </c>
      <c r="AC2377" s="82">
        <f>IFERROR(__xludf.DUMMYFUNCTION("""COMPUTED_VALUE"""),2.603772066050343)</f>
        <v>2.603772066</v>
      </c>
      <c r="AD2377" s="82">
        <f>IFERROR(__xludf.DUMMYFUNCTION("""COMPUTED_VALUE"""),0.9374256350626926)</f>
        <v>0.9374256351</v>
      </c>
      <c r="AE2377" s="82">
        <f>IFERROR(__xludf.DUMMYFUNCTION("""COMPUTED_VALUE"""),0.7584342193913016)</f>
        <v>0.7584342194</v>
      </c>
      <c r="AF2377" s="82">
        <f>IFERROR(__xludf.DUMMYFUNCTION("""COMPUTED_VALUE"""),1.0188037665327083)</f>
        <v>1.018803767</v>
      </c>
      <c r="AG2377" s="82">
        <f>IFERROR(__xludf.DUMMYFUNCTION("""COMPUTED_VALUE"""),0.9634144946935548)</f>
        <v>0.9634144947</v>
      </c>
      <c r="AH2377" s="82">
        <f>IFERROR(__xludf.DUMMYFUNCTION("""COMPUTED_VALUE"""),1.0058667013124722)</f>
        <v>1.005866701</v>
      </c>
      <c r="AI2377" s="82">
        <f>IFERROR(__xludf.DUMMYFUNCTION("""COMPUTED_VALUE"""),1.1237034667015384)</f>
        <v>1.123703467</v>
      </c>
      <c r="AJ2377" s="82">
        <f>IFERROR(__xludf.DUMMYFUNCTION("""COMPUTED_VALUE"""),1.116729240879351)</f>
        <v>1.116729241</v>
      </c>
      <c r="AK2377" s="82">
        <f>IFERROR(__xludf.DUMMYFUNCTION("""COMPUTED_VALUE"""),0.9817815487638364)</f>
        <v>0.9817815488</v>
      </c>
      <c r="AL2377" s="82">
        <f>IFERROR(__xludf.DUMMYFUNCTION("""COMPUTED_VALUE"""),1.210717404963178)</f>
        <v>1.210717405</v>
      </c>
      <c r="AM2377" s="82">
        <f>IFERROR(__xludf.DUMMYFUNCTION("""COMPUTED_VALUE"""),1.0313362272244042)</f>
        <v>1.031336227</v>
      </c>
      <c r="AN2377" s="82">
        <f>IFERROR(__xludf.DUMMYFUNCTION("""COMPUTED_VALUE"""),0.9726702773650763)</f>
        <v>0.9726702774</v>
      </c>
      <c r="AO2377" s="82">
        <f>IFERROR(__xludf.DUMMYFUNCTION("""COMPUTED_VALUE"""),0.8470312896154111)</f>
        <v>0.8470312896</v>
      </c>
      <c r="AP2377" s="82">
        <f>IFERROR(__xludf.DUMMYFUNCTION("""COMPUTED_VALUE"""),1.1083836617906593)</f>
        <v>1.108383662</v>
      </c>
      <c r="AQ2377" s="82">
        <f>IFERROR(__xludf.DUMMYFUNCTION("""COMPUTED_VALUE"""),0.9083729395545718)</f>
        <v>0.9083729396</v>
      </c>
      <c r="AR2377" s="82">
        <f>IFERROR(__xludf.DUMMYFUNCTION("""COMPUTED_VALUE"""),1.100635358585788)</f>
        <v>1.100635359</v>
      </c>
      <c r="AS2377" s="82">
        <f>IFERROR(__xludf.DUMMYFUNCTION("""COMPUTED_VALUE"""),41.0)</f>
        <v>41</v>
      </c>
      <c r="AT2377" s="82">
        <f>IFERROR(__xludf.DUMMYFUNCTION("""COMPUTED_VALUE"""),0.40258571309472213)</f>
        <v>0.4025857131</v>
      </c>
      <c r="AU2377" s="82">
        <f>IFERROR(__xludf.DUMMYFUNCTION("""COMPUTED_VALUE"""),2.660111215172174)</f>
        <v>2.660111215</v>
      </c>
      <c r="AV2377" s="82">
        <f>IFERROR(__xludf.DUMMYFUNCTION("""COMPUTED_VALUE"""),45.2181542712261)</f>
        <v>45.21815427</v>
      </c>
      <c r="AW2377" s="82">
        <f t="shared" si="1"/>
        <v>-2.35762574</v>
      </c>
      <c r="AX2377" s="83">
        <f t="array" ref="AX2377">IFERROR(DGET('SBV Import'!A:G,"SBV",{"RSC ID","Tier";B2377,A2377}))</f>
        <v>40.30354354</v>
      </c>
      <c r="AY2377" s="82">
        <f t="shared" si="2"/>
        <v>-2.864833176</v>
      </c>
      <c r="AZ2377" s="82">
        <v>0.5072074351346272</v>
      </c>
      <c r="BA2377" s="84">
        <v>2300.0</v>
      </c>
      <c r="BB2377" s="84" t="b">
        <f>IFERROR(__xludf.DUMMYFUNCTION("iferror(if(A2377="""",,E2377&gt;=FILTER(Constants!$F$2:$F$10,Constants!$A$2:$A$10=A2377)))"),TRUE)</f>
        <v>1</v>
      </c>
    </row>
    <row r="2378">
      <c r="A2378" s="89" t="str">
        <f>IFERROR(__xludf.DUMMYFUNCTION("""COMPUTED_VALUE"""),"Challenger")</f>
        <v>Challenger</v>
      </c>
      <c r="B2378" s="87" t="str">
        <f>IFERROR(__xludf.DUMMYFUNCTION("""COMPUTED_VALUE"""),"RSC006777")</f>
        <v>RSC006777</v>
      </c>
      <c r="C2378" s="73" t="str">
        <f>IFERROR(__xludf.DUMMYFUNCTION("""COMPUTED_VALUE"""),"AlteredSp4rky")</f>
        <v>AlteredSp4rky</v>
      </c>
      <c r="D2378" s="73" t="str">
        <f>IFERROR(__xludf.DUMMYFUNCTION("""COMPUTED_VALUE"""),"Toucans")</f>
        <v>Toucans</v>
      </c>
      <c r="E2378" s="82">
        <f>IFERROR(__xludf.DUMMYFUNCTION("""COMPUTED_VALUE"""),29.0)</f>
        <v>29</v>
      </c>
      <c r="F2378" s="82">
        <f>IFERROR(__xludf.DUMMYFUNCTION("""COMPUTED_VALUE"""),16.0)</f>
        <v>16</v>
      </c>
      <c r="G2378" s="86">
        <f>IFERROR(__xludf.DUMMYFUNCTION("""COMPUTED_VALUE"""),13.0)</f>
        <v>13</v>
      </c>
      <c r="H2378" s="86">
        <f>IFERROR(__xludf.DUMMYFUNCTION("""COMPUTED_VALUE"""),0.5517241379310345)</f>
        <v>0.5517241379</v>
      </c>
      <c r="I2378" s="86">
        <f>IFERROR(__xludf.DUMMYFUNCTION("""COMPUTED_VALUE"""),0.2698412698412698)</f>
        <v>0.2698412698</v>
      </c>
      <c r="J2378" s="82">
        <f>IFERROR(__xludf.DUMMYFUNCTION("""COMPUTED_VALUE"""),320.2758620689655)</f>
        <v>320.2758621</v>
      </c>
      <c r="K2378" s="82">
        <f>IFERROR(__xludf.DUMMYFUNCTION("""COMPUTED_VALUE"""),0.5862068965517241)</f>
        <v>0.5862068966</v>
      </c>
      <c r="L2378" s="82">
        <f>IFERROR(__xludf.DUMMYFUNCTION("""COMPUTED_VALUE"""),0.6206896551724138)</f>
        <v>0.6206896552</v>
      </c>
      <c r="M2378" s="82">
        <f>IFERROR(__xludf.DUMMYFUNCTION("""COMPUTED_VALUE"""),1.2758620689655173)</f>
        <v>1.275862069</v>
      </c>
      <c r="N2378" s="82">
        <f>IFERROR(__xludf.DUMMYFUNCTION("""COMPUTED_VALUE"""),2.1724137931034484)</f>
        <v>2.172413793</v>
      </c>
      <c r="O2378" s="82">
        <f>IFERROR(__xludf.DUMMYFUNCTION("""COMPUTED_VALUE"""),308.0114942528736)</f>
        <v>308.0114943</v>
      </c>
      <c r="P2378" s="82">
        <f>IFERROR(__xludf.DUMMYFUNCTION("""COMPUTED_VALUE"""),0.724137931034483)</f>
        <v>0.724137931</v>
      </c>
      <c r="Q2378" s="82">
        <f>IFERROR(__xludf.DUMMYFUNCTION("""COMPUTED_VALUE"""),0.471264367816092)</f>
        <v>0.4712643678</v>
      </c>
      <c r="R2378" s="82">
        <f>IFERROR(__xludf.DUMMYFUNCTION("""COMPUTED_VALUE"""),1.0804597701149423)</f>
        <v>1.08045977</v>
      </c>
      <c r="S2378" s="82">
        <f>IFERROR(__xludf.DUMMYFUNCTION("""COMPUTED_VALUE"""),2.172413793103448)</f>
        <v>2.172413793</v>
      </c>
      <c r="T2378" s="82">
        <f>IFERROR(__xludf.DUMMYFUNCTION("""COMPUTED_VALUE"""),315.5043603795483)</f>
        <v>315.5043604</v>
      </c>
      <c r="U2378" s="82">
        <f>IFERROR(__xludf.DUMMYFUNCTION("""COMPUTED_VALUE"""),0.7093278595070628)</f>
        <v>0.7093278595</v>
      </c>
      <c r="V2378" s="82">
        <f>IFERROR(__xludf.DUMMYFUNCTION("""COMPUTED_VALUE"""),0.47849989732392895)</f>
        <v>0.4784998973</v>
      </c>
      <c r="W2378" s="82">
        <f>IFERROR(__xludf.DUMMYFUNCTION("""COMPUTED_VALUE"""),1.1233219651216986)</f>
        <v>1.123321965</v>
      </c>
      <c r="X2378" s="82">
        <f>IFERROR(__xludf.DUMMYFUNCTION("""COMPUTED_VALUE"""),2.3151517767067316)</f>
        <v>2.315151777</v>
      </c>
      <c r="Y2378" s="82">
        <f>IFERROR(__xludf.DUMMYFUNCTION("""COMPUTED_VALUE"""),332.58544265247184)</f>
        <v>332.5854427</v>
      </c>
      <c r="Z2378" s="82">
        <f>IFERROR(__xludf.DUMMYFUNCTION("""COMPUTED_VALUE"""),0.8086392431067876)</f>
        <v>0.8086392431</v>
      </c>
      <c r="AA2378" s="82">
        <f>IFERROR(__xludf.DUMMYFUNCTION("""COMPUTED_VALUE"""),0.5567763701610061)</f>
        <v>0.5567763702</v>
      </c>
      <c r="AB2378" s="82">
        <f>IFERROR(__xludf.DUMMYFUNCTION("""COMPUTED_VALUE"""),1.144781827219216)</f>
        <v>1.144781827</v>
      </c>
      <c r="AC2378" s="82">
        <f>IFERROR(__xludf.DUMMYFUNCTION("""COMPUTED_VALUE"""),2.423368449845545)</f>
        <v>2.42336845</v>
      </c>
      <c r="AD2378" s="82">
        <f>IFERROR(__xludf.DUMMYFUNCTION("""COMPUTED_VALUE"""),0.9629882159443492)</f>
        <v>0.9629882159</v>
      </c>
      <c r="AE2378" s="82">
        <f>IFERROR(__xludf.DUMMYFUNCTION("""COMPUTED_VALUE"""),0.7249300618895521)</f>
        <v>0.7249300619</v>
      </c>
      <c r="AF2378" s="82">
        <f>IFERROR(__xludf.DUMMYFUNCTION("""COMPUTED_VALUE"""),1.1147916622124705)</f>
        <v>1.114791662</v>
      </c>
      <c r="AG2378" s="82">
        <f>IFERROR(__xludf.DUMMYFUNCTION("""COMPUTED_VALUE"""),1.1145023782083505)</f>
        <v>1.114502378</v>
      </c>
      <c r="AH2378" s="82">
        <f>IFERROR(__xludf.DUMMYFUNCTION("""COMPUTED_VALUE"""),0.8964438706140244)</f>
        <v>0.8964438706</v>
      </c>
      <c r="AI2378" s="82">
        <f>IFERROR(__xludf.DUMMYFUNCTION("""COMPUTED_VALUE"""),0.9762511487395583)</f>
        <v>0.9762511487</v>
      </c>
      <c r="AJ2378" s="82">
        <f>IFERROR(__xludf.DUMMYFUNCTION("""COMPUTED_VALUE"""),1.0208790213565166)</f>
        <v>1.020879021</v>
      </c>
      <c r="AK2378" s="82">
        <f>IFERROR(__xludf.DUMMYFUNCTION("""COMPUTED_VALUE"""),0.9848787229667079)</f>
        <v>0.984878723</v>
      </c>
      <c r="AL2378" s="82">
        <f>IFERROR(__xludf.DUMMYFUNCTION("""COMPUTED_VALUE"""),0.9618433571695425)</f>
        <v>0.9618433572</v>
      </c>
      <c r="AM2378" s="82">
        <f>IFERROR(__xludf.DUMMYFUNCTION("""COMPUTED_VALUE"""),0.9383461658801799)</f>
        <v>0.9383461659</v>
      </c>
      <c r="AN2378" s="82">
        <f>IFERROR(__xludf.DUMMYFUNCTION("""COMPUTED_VALUE"""),0.9844964700423102)</f>
        <v>0.98449647</v>
      </c>
      <c r="AO2378" s="82">
        <f>IFERROR(__xludf.DUMMYFUNCTION("""COMPUTED_VALUE"""),0.8020959426862114)</f>
        <v>0.8020959427</v>
      </c>
      <c r="AP2378" s="82">
        <f>IFERROR(__xludf.DUMMYFUNCTION("""COMPUTED_VALUE"""),1.203933977462268)</f>
        <v>1.203933977</v>
      </c>
      <c r="AQ2378" s="82">
        <f>IFERROR(__xludf.DUMMYFUNCTION("""COMPUTED_VALUE"""),1.0581795712652209)</f>
        <v>1.058179571</v>
      </c>
      <c r="AR2378" s="82">
        <f>IFERROR(__xludf.DUMMYFUNCTION("""COMPUTED_VALUE"""),0.9129408021373024)</f>
        <v>0.9129408021</v>
      </c>
      <c r="AS2378" s="82">
        <f>IFERROR(__xludf.DUMMYFUNCTION("""COMPUTED_VALUE"""),68.0)</f>
        <v>68</v>
      </c>
      <c r="AT2378" s="82">
        <f>IFERROR(__xludf.DUMMYFUNCTION("""COMPUTED_VALUE"""),0.5293986341938026)</f>
        <v>0.5293986342</v>
      </c>
      <c r="AU2378" s="82">
        <f>IFERROR(__xludf.DUMMYFUNCTION("""COMPUTED_VALUE"""),2.655829599637241)</f>
        <v>2.6558296</v>
      </c>
      <c r="AV2378" s="82">
        <f>IFERROR(__xludf.DUMMYFUNCTION("""COMPUTED_VALUE"""),45.10641155274297)</f>
        <v>45.10641155</v>
      </c>
      <c r="AW2378" s="82">
        <f t="shared" si="1"/>
        <v>-2.367393683</v>
      </c>
      <c r="AX2378" s="83">
        <f t="array" ref="AX2378">IFERROR(DGET('SBV Import'!A:G,"SBV",{"RSC ID","Tier";B2378,A2378}))</f>
        <v>57.04682276</v>
      </c>
      <c r="AY2378" s="82">
        <f t="shared" si="2"/>
        <v>2.570558746</v>
      </c>
      <c r="AZ2378" s="82">
        <v>4.937952428587372</v>
      </c>
      <c r="BA2378" s="84">
        <v>2300.0</v>
      </c>
      <c r="BB2378" s="84" t="b">
        <f>IFERROR(__xludf.DUMMYFUNCTION("iferror(if(A2378="""",,E2378&gt;=FILTER(Constants!$F$2:$F$10,Constants!$A$2:$A$10=A2378)))"),TRUE)</f>
        <v>1</v>
      </c>
    </row>
    <row r="2379">
      <c r="A2379" s="89" t="str">
        <f>IFERROR(__xludf.DUMMYFUNCTION("""COMPUTED_VALUE"""),"Challenger")</f>
        <v>Challenger</v>
      </c>
      <c r="B2379" s="87" t="str">
        <f>IFERROR(__xludf.DUMMYFUNCTION("""COMPUTED_VALUE"""),"RSC005663")</f>
        <v>RSC005663</v>
      </c>
      <c r="C2379" s="73" t="str">
        <f>IFERROR(__xludf.DUMMYFUNCTION("""COMPUTED_VALUE"""),"Pure_Pusher")</f>
        <v>Pure_Pusher</v>
      </c>
      <c r="D2379" s="73" t="str">
        <f>IFERROR(__xludf.DUMMYFUNCTION("""COMPUTED_VALUE"""),"Chromatic Chaos")</f>
        <v>Chromatic Chaos</v>
      </c>
      <c r="E2379" s="82">
        <f>IFERROR(__xludf.DUMMYFUNCTION("""COMPUTED_VALUE"""),36.0)</f>
        <v>36</v>
      </c>
      <c r="F2379" s="82">
        <f>IFERROR(__xludf.DUMMYFUNCTION("""COMPUTED_VALUE"""),17.0)</f>
        <v>17</v>
      </c>
      <c r="G2379" s="86">
        <f>IFERROR(__xludf.DUMMYFUNCTION("""COMPUTED_VALUE"""),19.0)</f>
        <v>19</v>
      </c>
      <c r="H2379" s="86">
        <f>IFERROR(__xludf.DUMMYFUNCTION("""COMPUTED_VALUE"""),0.4722222222222222)</f>
        <v>0.4722222222</v>
      </c>
      <c r="I2379" s="86">
        <f>IFERROR(__xludf.DUMMYFUNCTION("""COMPUTED_VALUE"""),0.40506329113924044)</f>
        <v>0.4050632911</v>
      </c>
      <c r="J2379" s="82">
        <f>IFERROR(__xludf.DUMMYFUNCTION("""COMPUTED_VALUE"""),321.3888888888889)</f>
        <v>321.3888889</v>
      </c>
      <c r="K2379" s="82">
        <f>IFERROR(__xludf.DUMMYFUNCTION("""COMPUTED_VALUE"""),0.8888888888888888)</f>
        <v>0.8888888889</v>
      </c>
      <c r="L2379" s="82">
        <f>IFERROR(__xludf.DUMMYFUNCTION("""COMPUTED_VALUE"""),0.3611111111111111)</f>
        <v>0.3611111111</v>
      </c>
      <c r="M2379" s="82">
        <f>IFERROR(__xludf.DUMMYFUNCTION("""COMPUTED_VALUE"""),1.1111111111111112)</f>
        <v>1.111111111</v>
      </c>
      <c r="N2379" s="82">
        <f>IFERROR(__xludf.DUMMYFUNCTION("""COMPUTED_VALUE"""),2.1944444444444446)</f>
        <v>2.194444444</v>
      </c>
      <c r="O2379" s="82">
        <f>IFERROR(__xludf.DUMMYFUNCTION("""COMPUTED_VALUE"""),356.0555555555556)</f>
        <v>356.0555556</v>
      </c>
      <c r="P2379" s="82">
        <f>IFERROR(__xludf.DUMMYFUNCTION("""COMPUTED_VALUE"""),0.9537037037037037)</f>
        <v>0.9537037037</v>
      </c>
      <c r="Q2379" s="82">
        <f>IFERROR(__xludf.DUMMYFUNCTION("""COMPUTED_VALUE"""),0.5370370370370369)</f>
        <v>0.537037037</v>
      </c>
      <c r="R2379" s="82">
        <f>IFERROR(__xludf.DUMMYFUNCTION("""COMPUTED_VALUE"""),1.2129629629629628)</f>
        <v>1.212962963</v>
      </c>
      <c r="S2379" s="82">
        <f>IFERROR(__xludf.DUMMYFUNCTION("""COMPUTED_VALUE"""),2.62037037037037)</f>
        <v>2.62037037</v>
      </c>
      <c r="T2379" s="82">
        <f>IFERROR(__xludf.DUMMYFUNCTION("""COMPUTED_VALUE"""),334.8440601056725)</f>
        <v>334.8440601</v>
      </c>
      <c r="U2379" s="82">
        <f>IFERROR(__xludf.DUMMYFUNCTION("""COMPUTED_VALUE"""),0.7847631055853707)</f>
        <v>0.7847631056</v>
      </c>
      <c r="V2379" s="82">
        <f>IFERROR(__xludf.DUMMYFUNCTION("""COMPUTED_VALUE"""),0.5214389176210393)</f>
        <v>0.5214389176</v>
      </c>
      <c r="W2379" s="82">
        <f>IFERROR(__xludf.DUMMYFUNCTION("""COMPUTED_VALUE"""),1.196525756742707)</f>
        <v>1.196525757</v>
      </c>
      <c r="X2379" s="82">
        <f>IFERROR(__xludf.DUMMYFUNCTION("""COMPUTED_VALUE"""),2.454014623449273)</f>
        <v>2.454014623</v>
      </c>
      <c r="Y2379" s="82">
        <f>IFERROR(__xludf.DUMMYFUNCTION("""COMPUTED_VALUE"""),334.4402228889063)</f>
        <v>334.4402229</v>
      </c>
      <c r="Z2379" s="82">
        <f>IFERROR(__xludf.DUMMYFUNCTION("""COMPUTED_VALUE"""),0.7749664339855419)</f>
        <v>0.774966434</v>
      </c>
      <c r="AA2379" s="82">
        <f>IFERROR(__xludf.DUMMYFUNCTION("""COMPUTED_VALUE"""),0.5235167972101775)</f>
        <v>0.5235167972</v>
      </c>
      <c r="AB2379" s="82">
        <f>IFERROR(__xludf.DUMMYFUNCTION("""COMPUTED_VALUE"""),1.2073805086323766)</f>
        <v>1.207380509</v>
      </c>
      <c r="AC2379" s="82">
        <f>IFERROR(__xludf.DUMMYFUNCTION("""COMPUTED_VALUE"""),2.4487377053179746)</f>
        <v>2.448737705</v>
      </c>
      <c r="AD2379" s="82">
        <f>IFERROR(__xludf.DUMMYFUNCTION("""COMPUTED_VALUE"""),0.960975585151572)</f>
        <v>0.9609755852</v>
      </c>
      <c r="AE2379" s="82">
        <f>IFERROR(__xludf.DUMMYFUNCTION("""COMPUTED_VALUE"""),1.1470030828528406)</f>
        <v>1.147003083</v>
      </c>
      <c r="AF2379" s="82">
        <f>IFERROR(__xludf.DUMMYFUNCTION("""COMPUTED_VALUE"""),0.689779416888767)</f>
        <v>0.6897794169</v>
      </c>
      <c r="AG2379" s="82">
        <f>IFERROR(__xludf.DUMMYFUNCTION("""COMPUTED_VALUE"""),0.9202659005732073)</f>
        <v>0.9202659006</v>
      </c>
      <c r="AH2379" s="82">
        <f>IFERROR(__xludf.DUMMYFUNCTION("""COMPUTED_VALUE"""),0.8961533281734193)</f>
        <v>0.8961533282</v>
      </c>
      <c r="AI2379" s="82">
        <f>IFERROR(__xludf.DUMMYFUNCTION("""COMPUTED_VALUE"""),1.0633473845801207)</f>
        <v>1.063347385</v>
      </c>
      <c r="AJ2379" s="82">
        <f>IFERROR(__xludf.DUMMYFUNCTION("""COMPUTED_VALUE"""),1.2152759181923019)</f>
        <v>1.215275918</v>
      </c>
      <c r="AK2379" s="82">
        <f>IFERROR(__xludf.DUMMYFUNCTION("""COMPUTED_VALUE"""),1.0299136080735225)</f>
        <v>1.029913608</v>
      </c>
      <c r="AL2379" s="82">
        <f>IFERROR(__xludf.DUMMYFUNCTION("""COMPUTED_VALUE"""),1.0137374445369256)</f>
        <v>1.013737445</v>
      </c>
      <c r="AM2379" s="82">
        <f>IFERROR(__xludf.DUMMYFUNCTION("""COMPUTED_VALUE"""),1.067789223964474)</f>
        <v>1.067789224</v>
      </c>
      <c r="AN2379" s="82">
        <f>IFERROR(__xludf.DUMMYFUNCTION("""COMPUTED_VALUE"""),0.9879178049134377)</f>
        <v>0.9879178049</v>
      </c>
      <c r="AO2379" s="82">
        <f>IFERROR(__xludf.DUMMYFUNCTION("""COMPUTED_VALUE"""),1.2162500568836672)</f>
        <v>1.216250057</v>
      </c>
      <c r="AP2379" s="82">
        <f>IFERROR(__xludf.DUMMYFUNCTION("""COMPUTED_VALUE"""),0.7004368973815972)</f>
        <v>0.7004368974</v>
      </c>
      <c r="AQ2379" s="82">
        <f>IFERROR(__xludf.DUMMYFUNCTION("""COMPUTED_VALUE"""),0.9215377647655075)</f>
        <v>0.9215377648</v>
      </c>
      <c r="AR2379" s="82">
        <f>IFERROR(__xludf.DUMMYFUNCTION("""COMPUTED_VALUE"""),0.922199020148395)</f>
        <v>0.9221990201</v>
      </c>
      <c r="AS2379" s="82">
        <f>IFERROR(__xludf.DUMMYFUNCTION("""COMPUTED_VALUE"""),85.0)</f>
        <v>85</v>
      </c>
      <c r="AT2379" s="82">
        <f>IFERROR(__xludf.DUMMYFUNCTION("""COMPUTED_VALUE"""),0.42343818114433196)</f>
        <v>0.4234381811</v>
      </c>
      <c r="AU2379" s="82">
        <f>IFERROR(__xludf.DUMMYFUNCTION("""COMPUTED_VALUE"""),2.6407663812063347)</f>
        <v>2.640766381</v>
      </c>
      <c r="AV2379" s="82">
        <f>IFERROR(__xludf.DUMMYFUNCTION("""COMPUTED_VALUE"""),44.71328775102805)</f>
        <v>44.71328775</v>
      </c>
      <c r="AW2379" s="82">
        <f t="shared" si="1"/>
        <v>-2.402339732</v>
      </c>
      <c r="AX2379" s="83">
        <f t="array" ref="AX2379">IFERROR(DGET('SBV Import'!A:G,"SBV",{"RSC ID","Tier";B2379,A2379}))</f>
        <v>35.39325495</v>
      </c>
      <c r="AY2379" s="82">
        <f t="shared" si="2"/>
        <v>-3.577569177</v>
      </c>
      <c r="AZ2379" s="82">
        <v>1.1752294449321967</v>
      </c>
      <c r="BA2379" s="84">
        <v>2300.0</v>
      </c>
      <c r="BB2379" s="84" t="b">
        <f>IFERROR(__xludf.DUMMYFUNCTION("iferror(if(A2379="""",,E2379&gt;=FILTER(Constants!$F$2:$F$10,Constants!$A$2:$A$10=A2379)))"),TRUE)</f>
        <v>1</v>
      </c>
    </row>
    <row r="2380">
      <c r="A2380" s="89" t="str">
        <f>IFERROR(__xludf.DUMMYFUNCTION("""COMPUTED_VALUE"""),"Challenger")</f>
        <v>Challenger</v>
      </c>
      <c r="B2380" s="87" t="str">
        <f>IFERROR(__xludf.DUMMYFUNCTION("""COMPUTED_VALUE"""),"RSC007549")</f>
        <v>RSC007549</v>
      </c>
      <c r="C2380" s="73" t="str">
        <f>IFERROR(__xludf.DUMMYFUNCTION("""COMPUTED_VALUE"""),"Whiffy_RL")</f>
        <v>Whiffy_RL</v>
      </c>
      <c r="D2380" s="73" t="str">
        <f>IFERROR(__xludf.DUMMYFUNCTION("""COMPUTED_VALUE"""),"Apple Associates")</f>
        <v>Apple Associates</v>
      </c>
      <c r="E2380" s="82">
        <f>IFERROR(__xludf.DUMMYFUNCTION("""COMPUTED_VALUE"""),44.0)</f>
        <v>44</v>
      </c>
      <c r="F2380" s="82">
        <f>IFERROR(__xludf.DUMMYFUNCTION("""COMPUTED_VALUE"""),15.0)</f>
        <v>15</v>
      </c>
      <c r="G2380" s="86">
        <f>IFERROR(__xludf.DUMMYFUNCTION("""COMPUTED_VALUE"""),29.0)</f>
        <v>29</v>
      </c>
      <c r="H2380" s="86">
        <f>IFERROR(__xludf.DUMMYFUNCTION("""COMPUTED_VALUE"""),0.3409090909090909)</f>
        <v>0.3409090909</v>
      </c>
      <c r="I2380" s="86">
        <f>IFERROR(__xludf.DUMMYFUNCTION("""COMPUTED_VALUE"""),0.3052631578947368)</f>
        <v>0.3052631579</v>
      </c>
      <c r="J2380" s="82">
        <f>IFERROR(__xludf.DUMMYFUNCTION("""COMPUTED_VALUE"""),323.72727272727275)</f>
        <v>323.7272727</v>
      </c>
      <c r="K2380" s="82">
        <f>IFERROR(__xludf.DUMMYFUNCTION("""COMPUTED_VALUE"""),0.6590909090909091)</f>
        <v>0.6590909091</v>
      </c>
      <c r="L2380" s="82">
        <f>IFERROR(__xludf.DUMMYFUNCTION("""COMPUTED_VALUE"""),0.4318181818181818)</f>
        <v>0.4318181818</v>
      </c>
      <c r="M2380" s="82">
        <f>IFERROR(__xludf.DUMMYFUNCTION("""COMPUTED_VALUE"""),1.3181818181818181)</f>
        <v>1.318181818</v>
      </c>
      <c r="N2380" s="82">
        <f>IFERROR(__xludf.DUMMYFUNCTION("""COMPUTED_VALUE"""),2.159090909090909)</f>
        <v>2.159090909</v>
      </c>
      <c r="O2380" s="82">
        <f>IFERROR(__xludf.DUMMYFUNCTION("""COMPUTED_VALUE"""),327.3409090909091)</f>
        <v>327.3409091</v>
      </c>
      <c r="P2380" s="82">
        <f>IFERROR(__xludf.DUMMYFUNCTION("""COMPUTED_VALUE"""),0.7954545454545454)</f>
        <v>0.7954545455</v>
      </c>
      <c r="Q2380" s="82">
        <f>IFERROR(__xludf.DUMMYFUNCTION("""COMPUTED_VALUE"""),0.5530303030303029)</f>
        <v>0.553030303</v>
      </c>
      <c r="R2380" s="82">
        <f>IFERROR(__xludf.DUMMYFUNCTION("""COMPUTED_VALUE"""),1.1515151515151516)</f>
        <v>1.151515152</v>
      </c>
      <c r="S2380" s="82">
        <f>IFERROR(__xludf.DUMMYFUNCTION("""COMPUTED_VALUE"""),2.401515151515152)</f>
        <v>2.401515152</v>
      </c>
      <c r="T2380" s="82">
        <f>IFERROR(__xludf.DUMMYFUNCTION("""COMPUTED_VALUE"""),343.43424488648014)</f>
        <v>343.4342449</v>
      </c>
      <c r="U2380" s="82">
        <f>IFERROR(__xludf.DUMMYFUNCTION("""COMPUTED_VALUE"""),0.7945890499500385)</f>
        <v>0.79458905</v>
      </c>
      <c r="V2380" s="82">
        <f>IFERROR(__xludf.DUMMYFUNCTION("""COMPUTED_VALUE"""),0.5613832487109417)</f>
        <v>0.5613832487</v>
      </c>
      <c r="W2380" s="82">
        <f>IFERROR(__xludf.DUMMYFUNCTION("""COMPUTED_VALUE"""),1.263061283991984)</f>
        <v>1.263061284</v>
      </c>
      <c r="X2380" s="82">
        <f>IFERROR(__xludf.DUMMYFUNCTION("""COMPUTED_VALUE"""),2.5267629836390197)</f>
        <v>2.526762984</v>
      </c>
      <c r="Y2380" s="82">
        <f>IFERROR(__xludf.DUMMYFUNCTION("""COMPUTED_VALUE"""),329.99149202548244)</f>
        <v>329.991492</v>
      </c>
      <c r="Z2380" s="82">
        <f>IFERROR(__xludf.DUMMYFUNCTION("""COMPUTED_VALUE"""),0.7165137925711901)</f>
        <v>0.7165137926</v>
      </c>
      <c r="AA2380" s="82">
        <f>IFERROR(__xludf.DUMMYFUNCTION("""COMPUTED_VALUE"""),0.5078429140645518)</f>
        <v>0.5078429141</v>
      </c>
      <c r="AB2380" s="82">
        <f>IFERROR(__xludf.DUMMYFUNCTION("""COMPUTED_VALUE"""),1.2684043657757267)</f>
        <v>1.268404366</v>
      </c>
      <c r="AC2380" s="82">
        <f>IFERROR(__xludf.DUMMYFUNCTION("""COMPUTED_VALUE"""),2.4003008546667144)</f>
        <v>2.400300855</v>
      </c>
      <c r="AD2380" s="82">
        <f>IFERROR(__xludf.DUMMYFUNCTION("""COMPUTED_VALUE"""),0.9810170278640822)</f>
        <v>0.9810170279</v>
      </c>
      <c r="AE2380" s="82">
        <f>IFERROR(__xludf.DUMMYFUNCTION("""COMPUTED_VALUE"""),0.9198579509904191)</f>
        <v>0.919857951</v>
      </c>
      <c r="AF2380" s="82">
        <f>IFERROR(__xludf.DUMMYFUNCTION("""COMPUTED_VALUE"""),0.8502987239934069)</f>
        <v>0.850298724</v>
      </c>
      <c r="AG2380" s="82">
        <f>IFERROR(__xludf.DUMMYFUNCTION("""COMPUTED_VALUE"""),1.0392441509578443)</f>
        <v>1.039244151</v>
      </c>
      <c r="AH2380" s="82">
        <f>IFERROR(__xludf.DUMMYFUNCTION("""COMPUTED_VALUE"""),0.8995084532395846)</f>
        <v>0.8995084532</v>
      </c>
      <c r="AI2380" s="82">
        <f>IFERROR(__xludf.DUMMYFUNCTION("""COMPUTED_VALUE"""),0.9531399793841451)</f>
        <v>0.9531399794</v>
      </c>
      <c r="AJ2380" s="82">
        <f>IFERROR(__xludf.DUMMYFUNCTION("""COMPUTED_VALUE"""),1.0010892366369273)</f>
        <v>1.001089237</v>
      </c>
      <c r="AK2380" s="82">
        <f>IFERROR(__xludf.DUMMYFUNCTION("""COMPUTED_VALUE"""),0.9851207785415418)</f>
        <v>0.9851207785</v>
      </c>
      <c r="AL2380" s="82">
        <f>IFERROR(__xludf.DUMMYFUNCTION("""COMPUTED_VALUE"""),0.9116858905497571)</f>
        <v>0.9116858905</v>
      </c>
      <c r="AM2380" s="82">
        <f>IFERROR(__xludf.DUMMYFUNCTION("""COMPUTED_VALUE"""),0.950431507452477)</f>
        <v>0.9504315075</v>
      </c>
      <c r="AN2380" s="82">
        <f>IFERROR(__xludf.DUMMYFUNCTION("""COMPUTED_VALUE"""),0.9951057666275089)</f>
        <v>0.9951057666</v>
      </c>
      <c r="AO2380" s="82">
        <f>IFERROR(__xludf.DUMMYFUNCTION("""COMPUTED_VALUE"""),0.9018217751324918)</f>
        <v>0.9018217751</v>
      </c>
      <c r="AP2380" s="82">
        <f>IFERROR(__xludf.DUMMYFUNCTION("""COMPUTED_VALUE"""),0.8375853807849869)</f>
        <v>0.8375853808</v>
      </c>
      <c r="AQ2380" s="82">
        <f>IFERROR(__xludf.DUMMYFUNCTION("""COMPUTED_VALUE"""),1.0932788936536249)</f>
        <v>1.093278894</v>
      </c>
      <c r="AR2380" s="82">
        <f>IFERROR(__xludf.DUMMYFUNCTION("""COMPUTED_VALUE"""),0.9073419588341516)</f>
        <v>0.9073419588</v>
      </c>
      <c r="AS2380" s="82">
        <f>IFERROR(__xludf.DUMMYFUNCTION("""COMPUTED_VALUE"""),77.0)</f>
        <v>77</v>
      </c>
      <c r="AT2380" s="82">
        <f>IFERROR(__xludf.DUMMYFUNCTION("""COMPUTED_VALUE"""),0.3855221522591801)</f>
        <v>0.3855221523</v>
      </c>
      <c r="AU2380" s="82">
        <f>IFERROR(__xludf.DUMMYFUNCTION("""COMPUTED_VALUE"""),2.6033503542447693)</f>
        <v>2.603350354</v>
      </c>
      <c r="AV2380" s="82">
        <f>IFERROR(__xludf.DUMMYFUNCTION("""COMPUTED_VALUE"""),43.736794524718654)</f>
        <v>43.73679452</v>
      </c>
      <c r="AW2380" s="82">
        <f t="shared" si="1"/>
        <v>-2.49320948</v>
      </c>
      <c r="AX2380" s="83">
        <f t="array" ref="AX2380">IFERROR(DGET('SBV Import'!A:G,"SBV",{"RSC ID","Tier";B2380,A2380}))</f>
        <v>45.32419585</v>
      </c>
      <c r="AY2380" s="82">
        <f t="shared" si="2"/>
        <v>-2.348422775</v>
      </c>
      <c r="AZ2380" s="82">
        <v>0.14478670483893907</v>
      </c>
      <c r="BA2380" s="84">
        <v>2300.0</v>
      </c>
      <c r="BB2380" s="84" t="b">
        <f>IFERROR(__xludf.DUMMYFUNCTION("iferror(if(A2380="""",,E2380&gt;=FILTER(Constants!$F$2:$F$10,Constants!$A$2:$A$10=A2380)))"),TRUE)</f>
        <v>1</v>
      </c>
    </row>
    <row r="2381">
      <c r="A2381" s="89" t="str">
        <f>IFERROR(__xludf.DUMMYFUNCTION("""COMPUTED_VALUE"""),"Challenger")</f>
        <v>Challenger</v>
      </c>
      <c r="B2381" s="87" t="str">
        <f>IFERROR(__xludf.DUMMYFUNCTION("""COMPUTED_VALUE"""),"RSC004817")</f>
        <v>RSC004817</v>
      </c>
      <c r="C2381" s="73" t="str">
        <f>IFERROR(__xludf.DUMMYFUNCTION("""COMPUTED_VALUE"""),"crybound")</f>
        <v>crybound</v>
      </c>
      <c r="D2381" s="73" t="str">
        <f>IFERROR(__xludf.DUMMYFUNCTION("""COMPUTED_VALUE"""),"Chromatic Chaos")</f>
        <v>Chromatic Chaos</v>
      </c>
      <c r="E2381" s="82">
        <f>IFERROR(__xludf.DUMMYFUNCTION("""COMPUTED_VALUE"""),27.0)</f>
        <v>27</v>
      </c>
      <c r="F2381" s="82">
        <f>IFERROR(__xludf.DUMMYFUNCTION("""COMPUTED_VALUE"""),12.0)</f>
        <v>12</v>
      </c>
      <c r="G2381" s="86">
        <f>IFERROR(__xludf.DUMMYFUNCTION("""COMPUTED_VALUE"""),15.0)</f>
        <v>15</v>
      </c>
      <c r="H2381" s="86">
        <f>IFERROR(__xludf.DUMMYFUNCTION("""COMPUTED_VALUE"""),0.4444444444444444)</f>
        <v>0.4444444444</v>
      </c>
      <c r="I2381" s="86">
        <f>IFERROR(__xludf.DUMMYFUNCTION("""COMPUTED_VALUE"""),0.30158730158730157)</f>
        <v>0.3015873016</v>
      </c>
      <c r="J2381" s="82">
        <f>IFERROR(__xludf.DUMMYFUNCTION("""COMPUTED_VALUE"""),306.51851851851853)</f>
        <v>306.5185185</v>
      </c>
      <c r="K2381" s="82">
        <f>IFERROR(__xludf.DUMMYFUNCTION("""COMPUTED_VALUE"""),0.7037037037037037)</f>
        <v>0.7037037037</v>
      </c>
      <c r="L2381" s="82">
        <f>IFERROR(__xludf.DUMMYFUNCTION("""COMPUTED_VALUE"""),0.5555555555555556)</f>
        <v>0.5555555556</v>
      </c>
      <c r="M2381" s="82">
        <f>IFERROR(__xludf.DUMMYFUNCTION("""COMPUTED_VALUE"""),1.0)</f>
        <v>1</v>
      </c>
      <c r="N2381" s="82">
        <f>IFERROR(__xludf.DUMMYFUNCTION("""COMPUTED_VALUE"""),2.3333333333333335)</f>
        <v>2.333333333</v>
      </c>
      <c r="O2381" s="82">
        <f>IFERROR(__xludf.DUMMYFUNCTION("""COMPUTED_VALUE"""),352.71604938271605)</f>
        <v>352.7160494</v>
      </c>
      <c r="P2381" s="82">
        <f>IFERROR(__xludf.DUMMYFUNCTION("""COMPUTED_VALUE"""),0.9382716049382716)</f>
        <v>0.9382716049</v>
      </c>
      <c r="Q2381" s="82">
        <f>IFERROR(__xludf.DUMMYFUNCTION("""COMPUTED_VALUE"""),0.5679012345679012)</f>
        <v>0.5679012346</v>
      </c>
      <c r="R2381" s="82">
        <f>IFERROR(__xludf.DUMMYFUNCTION("""COMPUTED_VALUE"""),1.2222222222222225)</f>
        <v>1.222222222</v>
      </c>
      <c r="S2381" s="82">
        <f>IFERROR(__xludf.DUMMYFUNCTION("""COMPUTED_VALUE"""),2.790123456790123)</f>
        <v>2.790123457</v>
      </c>
      <c r="T2381" s="82">
        <f>IFERROR(__xludf.DUMMYFUNCTION("""COMPUTED_VALUE"""),334.90309273373896)</f>
        <v>334.9030927</v>
      </c>
      <c r="U2381" s="82">
        <f>IFERROR(__xludf.DUMMYFUNCTION("""COMPUTED_VALUE"""),0.7805611679787086)</f>
        <v>0.780561168</v>
      </c>
      <c r="V2381" s="82">
        <f>IFERROR(__xludf.DUMMYFUNCTION("""COMPUTED_VALUE"""),0.5441162324814793)</f>
        <v>0.5441162325</v>
      </c>
      <c r="W2381" s="82">
        <f>IFERROR(__xludf.DUMMYFUNCTION("""COMPUTED_VALUE"""),1.1857126492880279)</f>
        <v>1.185712649</v>
      </c>
      <c r="X2381" s="82">
        <f>IFERROR(__xludf.DUMMYFUNCTION("""COMPUTED_VALUE"""),2.5073715409650004)</f>
        <v>2.507371541</v>
      </c>
      <c r="Y2381" s="82">
        <f>IFERROR(__xludf.DUMMYFUNCTION("""COMPUTED_VALUE"""),339.6991870976616)</f>
        <v>339.6991871</v>
      </c>
      <c r="Z2381" s="82">
        <f>IFERROR(__xludf.DUMMYFUNCTION("""COMPUTED_VALUE"""),0.7873918600532095)</f>
        <v>0.7873918601</v>
      </c>
      <c r="AA2381" s="82">
        <f>IFERROR(__xludf.DUMMYFUNCTION("""COMPUTED_VALUE"""),0.540620254980256)</f>
        <v>0.540620255</v>
      </c>
      <c r="AB2381" s="82">
        <f>IFERROR(__xludf.DUMMYFUNCTION("""COMPUTED_VALUE"""),1.2441186119315317)</f>
        <v>1.244118612</v>
      </c>
      <c r="AC2381" s="82">
        <f>IFERROR(__xludf.DUMMYFUNCTION("""COMPUTED_VALUE"""),2.4945425021817473)</f>
        <v>2.494542502</v>
      </c>
      <c r="AD2381" s="82">
        <f>IFERROR(__xludf.DUMMYFUNCTION("""COMPUTED_VALUE"""),0.9023233795092839)</f>
        <v>0.9023233795</v>
      </c>
      <c r="AE2381" s="82">
        <f>IFERROR(__xludf.DUMMYFUNCTION("""COMPUTED_VALUE"""),0.8937147301169073)</f>
        <v>0.8937147301</v>
      </c>
      <c r="AF2381" s="82">
        <f>IFERROR(__xludf.DUMMYFUNCTION("""COMPUTED_VALUE"""),1.027626231976538)</f>
        <v>1.027626232</v>
      </c>
      <c r="AG2381" s="82">
        <f>IFERROR(__xludf.DUMMYFUNCTION("""COMPUTED_VALUE"""),0.8037818825388922)</f>
        <v>0.8037818825</v>
      </c>
      <c r="AH2381" s="82">
        <f>IFERROR(__xludf.DUMMYFUNCTION("""COMPUTED_VALUE"""),0.9353752567024137)</f>
        <v>0.9353752567</v>
      </c>
      <c r="AI2381" s="82">
        <f>IFERROR(__xludf.DUMMYFUNCTION("""COMPUTED_VALUE"""),1.0531883910165591)</f>
        <v>1.053188391</v>
      </c>
      <c r="AJ2381" s="82">
        <f>IFERROR(__xludf.DUMMYFUNCTION("""COMPUTED_VALUE"""),1.2020475056015916)</f>
        <v>1.202047506</v>
      </c>
      <c r="AK2381" s="82">
        <f>IFERROR(__xludf.DUMMYFUNCTION("""COMPUTED_VALUE"""),1.0437130904511867)</f>
        <v>1.04371309</v>
      </c>
      <c r="AL2381" s="82">
        <f>IFERROR(__xludf.DUMMYFUNCTION("""COMPUTED_VALUE"""),1.0307912485846527)</f>
        <v>1.030791249</v>
      </c>
      <c r="AM2381" s="82">
        <f>IFERROR(__xludf.DUMMYFUNCTION("""COMPUTED_VALUE"""),1.1127682560025791)</f>
        <v>1.112768256</v>
      </c>
      <c r="AN2381" s="82">
        <f>IFERROR(__xludf.DUMMYFUNCTION("""COMPUTED_VALUE"""),0.9422077503271231)</f>
        <v>0.9422077503</v>
      </c>
      <c r="AO2381" s="82">
        <f>IFERROR(__xludf.DUMMYFUNCTION("""COMPUTED_VALUE"""),0.9628646283662365)</f>
        <v>0.9628646284</v>
      </c>
      <c r="AP2381" s="82">
        <f>IFERROR(__xludf.DUMMYFUNCTION("""COMPUTED_VALUE"""),1.0775952267409188)</f>
        <v>1.077595227</v>
      </c>
      <c r="AQ2381" s="82">
        <f>IFERROR(__xludf.DUMMYFUNCTION("""COMPUTED_VALUE"""),0.8293839882889568)</f>
        <v>0.8293839883</v>
      </c>
      <c r="AR2381" s="82">
        <f>IFERROR(__xludf.DUMMYFUNCTION("""COMPUTED_VALUE"""),0.9805660467400656)</f>
        <v>0.9805660467</v>
      </c>
      <c r="AS2381" s="82">
        <f>IFERROR(__xludf.DUMMYFUNCTION("""COMPUTED_VALUE"""),69.0)</f>
        <v>69</v>
      </c>
      <c r="AT2381" s="82">
        <f>IFERROR(__xludf.DUMMYFUNCTION("""COMPUTED_VALUE"""),0.46094618564430345)</f>
        <v>0.4609461856</v>
      </c>
      <c r="AU2381" s="82">
        <f>IFERROR(__xludf.DUMMYFUNCTION("""COMPUTED_VALUE"""),2.6020526514674565)</f>
        <v>2.602052651</v>
      </c>
      <c r="AV2381" s="82">
        <f>IFERROR(__xludf.DUMMYFUNCTION("""COMPUTED_VALUE"""),43.70292673931454)</f>
        <v>43.70292674</v>
      </c>
      <c r="AW2381" s="82">
        <f t="shared" si="1"/>
        <v>-2.496468889</v>
      </c>
      <c r="AX2381" s="83">
        <f t="array" ref="AX2381">IFERROR(DGET('SBV Import'!A:G,"SBV",{"RSC ID","Tier";B2381,A2381}))</f>
        <v>32.12844335</v>
      </c>
      <c r="AY2381" s="82">
        <f t="shared" si="2"/>
        <v>-4.213239149</v>
      </c>
      <c r="AZ2381" s="82">
        <v>1.7167702604646182</v>
      </c>
      <c r="BA2381" s="84">
        <v>2300.0</v>
      </c>
      <c r="BB2381" s="84" t="b">
        <f>IFERROR(__xludf.DUMMYFUNCTION("iferror(if(A2381="""",,E2381&gt;=FILTER(Constants!$F$2:$F$10,Constants!$A$2:$A$10=A2381)))"),TRUE)</f>
        <v>1</v>
      </c>
    </row>
    <row r="2382">
      <c r="A2382" s="89" t="str">
        <f>IFERROR(__xludf.DUMMYFUNCTION("""COMPUTED_VALUE"""),"Challenger")</f>
        <v>Challenger</v>
      </c>
      <c r="B2382" s="87" t="str">
        <f>IFERROR(__xludf.DUMMYFUNCTION("""COMPUTED_VALUE"""),"RSC000967")</f>
        <v>RSC000967</v>
      </c>
      <c r="C2382" s="73" t="str">
        <f>IFERROR(__xludf.DUMMYFUNCTION("""COMPUTED_VALUE"""),"tr1ppn")</f>
        <v>tr1ppn</v>
      </c>
      <c r="D2382" s="73" t="str">
        <f>IFERROR(__xludf.DUMMYFUNCTION("""COMPUTED_VALUE"""),"Bingo")</f>
        <v>Bingo</v>
      </c>
      <c r="E2382" s="82">
        <f>IFERROR(__xludf.DUMMYFUNCTION("""COMPUTED_VALUE"""),46.0)</f>
        <v>46</v>
      </c>
      <c r="F2382" s="82">
        <f>IFERROR(__xludf.DUMMYFUNCTION("""COMPUTED_VALUE"""),16.0)</f>
        <v>16</v>
      </c>
      <c r="G2382" s="86">
        <f>IFERROR(__xludf.DUMMYFUNCTION("""COMPUTED_VALUE"""),30.0)</f>
        <v>30</v>
      </c>
      <c r="H2382" s="86">
        <f>IFERROR(__xludf.DUMMYFUNCTION("""COMPUTED_VALUE"""),0.34782608695652173)</f>
        <v>0.347826087</v>
      </c>
      <c r="I2382" s="86">
        <f>IFERROR(__xludf.DUMMYFUNCTION("""COMPUTED_VALUE"""),0.3)</f>
        <v>0.3</v>
      </c>
      <c r="J2382" s="82">
        <f>IFERROR(__xludf.DUMMYFUNCTION("""COMPUTED_VALUE"""),307.8695652173913)</f>
        <v>307.8695652</v>
      </c>
      <c r="K2382" s="82">
        <f>IFERROR(__xludf.DUMMYFUNCTION("""COMPUTED_VALUE"""),0.717391304347826)</f>
        <v>0.7173913043</v>
      </c>
      <c r="L2382" s="82">
        <f>IFERROR(__xludf.DUMMYFUNCTION("""COMPUTED_VALUE"""),0.45652173913043476)</f>
        <v>0.4565217391</v>
      </c>
      <c r="M2382" s="82">
        <f>IFERROR(__xludf.DUMMYFUNCTION("""COMPUTED_VALUE"""),1.065217391304348)</f>
        <v>1.065217391</v>
      </c>
      <c r="N2382" s="82">
        <f>IFERROR(__xludf.DUMMYFUNCTION("""COMPUTED_VALUE"""),2.391304347826087)</f>
        <v>2.391304348</v>
      </c>
      <c r="O2382" s="82">
        <f>IFERROR(__xludf.DUMMYFUNCTION("""COMPUTED_VALUE"""),360.4710144927536)</f>
        <v>360.4710145</v>
      </c>
      <c r="P2382" s="82">
        <f>IFERROR(__xludf.DUMMYFUNCTION("""COMPUTED_VALUE"""),0.9710144927536233)</f>
        <v>0.9710144928</v>
      </c>
      <c r="Q2382" s="82">
        <f>IFERROR(__xludf.DUMMYFUNCTION("""COMPUTED_VALUE"""),0.6956521739130433)</f>
        <v>0.6956521739</v>
      </c>
      <c r="R2382" s="82">
        <f>IFERROR(__xludf.DUMMYFUNCTION("""COMPUTED_VALUE"""),1.0144927536231882)</f>
        <v>1.014492754</v>
      </c>
      <c r="S2382" s="82">
        <f>IFERROR(__xludf.DUMMYFUNCTION("""COMPUTED_VALUE"""),2.898550724637681)</f>
        <v>2.898550725</v>
      </c>
      <c r="T2382" s="82">
        <f>IFERROR(__xludf.DUMMYFUNCTION("""COMPUTED_VALUE"""),343.7385225290139)</f>
        <v>343.7385225</v>
      </c>
      <c r="U2382" s="82">
        <f>IFERROR(__xludf.DUMMYFUNCTION("""COMPUTED_VALUE"""),0.8037256753369837)</f>
        <v>0.8037256753</v>
      </c>
      <c r="V2382" s="82">
        <f>IFERROR(__xludf.DUMMYFUNCTION("""COMPUTED_VALUE"""),0.579200325670981)</f>
        <v>0.5792003257</v>
      </c>
      <c r="W2382" s="82">
        <f>IFERROR(__xludf.DUMMYFUNCTION("""COMPUTED_VALUE"""),1.2158796954918318)</f>
        <v>1.215879695</v>
      </c>
      <c r="X2382" s="82">
        <f>IFERROR(__xludf.DUMMYFUNCTION("""COMPUTED_VALUE"""),2.607186991794338)</f>
        <v>2.607186992</v>
      </c>
      <c r="Y2382" s="82">
        <f>IFERROR(__xludf.DUMMYFUNCTION("""COMPUTED_VALUE"""),332.97895418962815)</f>
        <v>332.9789542</v>
      </c>
      <c r="Z2382" s="82">
        <f>IFERROR(__xludf.DUMMYFUNCTION("""COMPUTED_VALUE"""),0.7179966170978205)</f>
        <v>0.7179966171</v>
      </c>
      <c r="AA2382" s="82">
        <f>IFERROR(__xludf.DUMMYFUNCTION("""COMPUTED_VALUE"""),0.5016594781031449)</f>
        <v>0.5016594781</v>
      </c>
      <c r="AB2382" s="82">
        <f>IFERROR(__xludf.DUMMYFUNCTION("""COMPUTED_VALUE"""),1.2914406969282641)</f>
        <v>1.291440697</v>
      </c>
      <c r="AC2382" s="82">
        <f>IFERROR(__xludf.DUMMYFUNCTION("""COMPUTED_VALUE"""),2.3803917459022914)</f>
        <v>2.380391746</v>
      </c>
      <c r="AD2382" s="82">
        <f>IFERROR(__xludf.DUMMYFUNCTION("""COMPUTED_VALUE"""),0.9245916636583065)</f>
        <v>0.9245916637</v>
      </c>
      <c r="AE2382" s="82">
        <f>IFERROR(__xludf.DUMMYFUNCTION("""COMPUTED_VALUE"""),0.9991569420585279)</f>
        <v>0.9991569421</v>
      </c>
      <c r="AF2382" s="82">
        <f>IFERROR(__xludf.DUMMYFUNCTION("""COMPUTED_VALUE"""),0.9100231512750776)</f>
        <v>0.9100231513</v>
      </c>
      <c r="AG2382" s="82">
        <f>IFERROR(__xludf.DUMMYFUNCTION("""COMPUTED_VALUE"""),0.8248287310737565)</f>
        <v>0.8248287311</v>
      </c>
      <c r="AH2382" s="82">
        <f>IFERROR(__xludf.DUMMYFUNCTION("""COMPUTED_VALUE"""),1.0045843722751018)</f>
        <v>1.004584372</v>
      </c>
      <c r="AI2382" s="82">
        <f>IFERROR(__xludf.DUMMYFUNCTION("""COMPUTED_VALUE"""),1.0486779655670608)</f>
        <v>1.048677966</v>
      </c>
      <c r="AJ2382" s="82">
        <f>IFERROR(__xludf.DUMMYFUNCTION("""COMPUTED_VALUE"""),1.2081416863365715)</f>
        <v>1.208141686</v>
      </c>
      <c r="AK2382" s="82">
        <f>IFERROR(__xludf.DUMMYFUNCTION("""COMPUTED_VALUE"""),1.201056254771883)</f>
        <v>1.201056255</v>
      </c>
      <c r="AL2382" s="82">
        <f>IFERROR(__xludf.DUMMYFUNCTION("""COMPUTED_VALUE"""),0.8343693519882481)</f>
        <v>0.834369352</v>
      </c>
      <c r="AM2382" s="82">
        <f>IFERROR(__xludf.DUMMYFUNCTION("""COMPUTED_VALUE"""),1.1117540605105651)</f>
        <v>1.111754061</v>
      </c>
      <c r="AN2382" s="82">
        <f>IFERROR(__xludf.DUMMYFUNCTION("""COMPUTED_VALUE"""),0.9463607348739765)</f>
        <v>0.9463607349</v>
      </c>
      <c r="AO2382" s="82">
        <f>IFERROR(__xludf.DUMMYFUNCTION("""COMPUTED_VALUE"""),0.9815931165610031)</f>
        <v>0.9815931166</v>
      </c>
      <c r="AP2382" s="82">
        <f>IFERROR(__xludf.DUMMYFUNCTION("""COMPUTED_VALUE"""),0.885502164582755)</f>
        <v>0.8855021646</v>
      </c>
      <c r="AQ2382" s="82">
        <f>IFERROR(__xludf.DUMMYFUNCTION("""COMPUTED_VALUE"""),0.8834742483947584)</f>
        <v>0.8834742484</v>
      </c>
      <c r="AR2382" s="82">
        <f>IFERROR(__xludf.DUMMYFUNCTION("""COMPUTED_VALUE"""),1.0049279361000671)</f>
        <v>1.004927936</v>
      </c>
      <c r="AS2382" s="82">
        <f>IFERROR(__xludf.DUMMYFUNCTION("""COMPUTED_VALUE"""),88.0)</f>
        <v>88</v>
      </c>
      <c r="AT2382" s="82">
        <f>IFERROR(__xludf.DUMMYFUNCTION("""COMPUTED_VALUE"""),0.3405972174555942)</f>
        <v>0.3405972175</v>
      </c>
      <c r="AU2382" s="82">
        <f>IFERROR(__xludf.DUMMYFUNCTION("""COMPUTED_VALUE"""),2.5560205364024706)</f>
        <v>2.556020536</v>
      </c>
      <c r="AV2382" s="82">
        <f>IFERROR(__xludf.DUMMYFUNCTION("""COMPUTED_VALUE"""),42.50156859939693)</f>
        <v>42.5015686</v>
      </c>
      <c r="AW2382" s="82">
        <f t="shared" si="1"/>
        <v>-2.617030271</v>
      </c>
      <c r="AX2382" s="83">
        <f t="array" ref="AX2382">IFERROR(DGET('SBV Import'!A:G,"SBV",{"RSC ID","Tier";B2382,A2382}))</f>
        <v>36.4876803</v>
      </c>
      <c r="AY2382" s="82">
        <f t="shared" si="2"/>
        <v>-3.396408988</v>
      </c>
      <c r="AZ2382" s="82">
        <v>0.7793787164365384</v>
      </c>
      <c r="BA2382" s="84">
        <v>2300.0</v>
      </c>
      <c r="BB2382" s="84" t="b">
        <f>IFERROR(__xludf.DUMMYFUNCTION("iferror(if(A2382="""",,E2382&gt;=FILTER(Constants!$F$2:$F$10,Constants!$A$2:$A$10=A2382)))"),TRUE)</f>
        <v>1</v>
      </c>
    </row>
    <row r="2383">
      <c r="A2383" s="89" t="str">
        <f>IFERROR(__xludf.DUMMYFUNCTION("""COMPUTED_VALUE"""),"Challenger")</f>
        <v>Challenger</v>
      </c>
      <c r="B2383" s="87" t="str">
        <f>IFERROR(__xludf.DUMMYFUNCTION("""COMPUTED_VALUE"""),"RSC004597")</f>
        <v>RSC004597</v>
      </c>
      <c r="C2383" s="73" t="str">
        <f>IFERROR(__xludf.DUMMYFUNCTION("""COMPUTED_VALUE"""),"xXBlindBeastXx")</f>
        <v>xXBlindBeastXx</v>
      </c>
      <c r="D2383" s="73" t="str">
        <f>IFERROR(__xludf.DUMMYFUNCTION("""COMPUTED_VALUE"""),"Warbirds")</f>
        <v>Warbirds</v>
      </c>
      <c r="E2383" s="82">
        <f>IFERROR(__xludf.DUMMYFUNCTION("""COMPUTED_VALUE"""),46.0)</f>
        <v>46</v>
      </c>
      <c r="F2383" s="82">
        <f>IFERROR(__xludf.DUMMYFUNCTION("""COMPUTED_VALUE"""),23.0)</f>
        <v>23</v>
      </c>
      <c r="G2383" s="86">
        <f>IFERROR(__xludf.DUMMYFUNCTION("""COMPUTED_VALUE"""),23.0)</f>
        <v>23</v>
      </c>
      <c r="H2383" s="86">
        <f>IFERROR(__xludf.DUMMYFUNCTION("""COMPUTED_VALUE"""),0.5)</f>
        <v>0.5</v>
      </c>
      <c r="I2383" s="86">
        <f>IFERROR(__xludf.DUMMYFUNCTION("""COMPUTED_VALUE"""),0.38202247191011235)</f>
        <v>0.3820224719</v>
      </c>
      <c r="J2383" s="82">
        <f>IFERROR(__xludf.DUMMYFUNCTION("""COMPUTED_VALUE"""),304.3478260869565)</f>
        <v>304.3478261</v>
      </c>
      <c r="K2383" s="82">
        <f>IFERROR(__xludf.DUMMYFUNCTION("""COMPUTED_VALUE"""),0.7391304347826086)</f>
        <v>0.7391304348</v>
      </c>
      <c r="L2383" s="82">
        <f>IFERROR(__xludf.DUMMYFUNCTION("""COMPUTED_VALUE"""),0.5434782608695652)</f>
        <v>0.5434782609</v>
      </c>
      <c r="M2383" s="82">
        <f>IFERROR(__xludf.DUMMYFUNCTION("""COMPUTED_VALUE"""),1.173913043478261)</f>
        <v>1.173913043</v>
      </c>
      <c r="N2383" s="82">
        <f>IFERROR(__xludf.DUMMYFUNCTION("""COMPUTED_VALUE"""),1.934782608695652)</f>
        <v>1.934782609</v>
      </c>
      <c r="O2383" s="82">
        <f>IFERROR(__xludf.DUMMYFUNCTION("""COMPUTED_VALUE"""),369.59420289855063)</f>
        <v>369.5942029</v>
      </c>
      <c r="P2383" s="82">
        <f>IFERROR(__xludf.DUMMYFUNCTION("""COMPUTED_VALUE"""),0.9057971014492753)</f>
        <v>0.9057971014</v>
      </c>
      <c r="Q2383" s="82">
        <f>IFERROR(__xludf.DUMMYFUNCTION("""COMPUTED_VALUE"""),0.7101449275362318)</f>
        <v>0.7101449275</v>
      </c>
      <c r="R2383" s="82">
        <f>IFERROR(__xludf.DUMMYFUNCTION("""COMPUTED_VALUE"""),1.3043478260869565)</f>
        <v>1.304347826</v>
      </c>
      <c r="S2383" s="82">
        <f>IFERROR(__xludf.DUMMYFUNCTION("""COMPUTED_VALUE"""),2.7101449275362315)</f>
        <v>2.710144928</v>
      </c>
      <c r="T2383" s="82">
        <f>IFERROR(__xludf.DUMMYFUNCTION("""COMPUTED_VALUE"""),343.2741477054404)</f>
        <v>343.2741477</v>
      </c>
      <c r="U2383" s="82">
        <f>IFERROR(__xludf.DUMMYFUNCTION("""COMPUTED_VALUE"""),0.8064808202462083)</f>
        <v>0.8064808202</v>
      </c>
      <c r="V2383" s="82">
        <f>IFERROR(__xludf.DUMMYFUNCTION("""COMPUTED_VALUE"""),0.5702116746403376)</f>
        <v>0.5702116746</v>
      </c>
      <c r="W2383" s="82">
        <f>IFERROR(__xludf.DUMMYFUNCTION("""COMPUTED_VALUE"""),1.229728092941983)</f>
        <v>1.229728093</v>
      </c>
      <c r="X2383" s="82">
        <f>IFERROR(__xludf.DUMMYFUNCTION("""COMPUTED_VALUE"""),2.5458866843467485)</f>
        <v>2.545886684</v>
      </c>
      <c r="Y2383" s="82">
        <f>IFERROR(__xludf.DUMMYFUNCTION("""COMPUTED_VALUE"""),330.23599712442615)</f>
        <v>330.2359971</v>
      </c>
      <c r="Z2383" s="82">
        <f>IFERROR(__xludf.DUMMYFUNCTION("""COMPUTED_VALUE"""),0.728765625734576)</f>
        <v>0.7287656257</v>
      </c>
      <c r="AA2383" s="82">
        <f>IFERROR(__xludf.DUMMYFUNCTION("""COMPUTED_VALUE"""),0.5126474781919199)</f>
        <v>0.5126474782</v>
      </c>
      <c r="AB2383" s="82">
        <f>IFERROR(__xludf.DUMMYFUNCTION("""COMPUTED_VALUE"""),1.256956434740175)</f>
        <v>1.256956435</v>
      </c>
      <c r="AC2383" s="82">
        <f>IFERROR(__xludf.DUMMYFUNCTION("""COMPUTED_VALUE"""),2.3636113546748057)</f>
        <v>2.363611355</v>
      </c>
      <c r="AD2383" s="82">
        <f>IFERROR(__xludf.DUMMYFUNCTION("""COMPUTED_VALUE"""),0.9216070590035782)</f>
        <v>0.921607059</v>
      </c>
      <c r="AE2383" s="82">
        <f>IFERROR(__xludf.DUMMYFUNCTION("""COMPUTED_VALUE"""),1.0142224175812151)</f>
        <v>1.014222418</v>
      </c>
      <c r="AF2383" s="82">
        <f>IFERROR(__xludf.DUMMYFUNCTION("""COMPUTED_VALUE"""),1.060140318618915)</f>
        <v>1.060140319</v>
      </c>
      <c r="AG2383" s="82">
        <f>IFERROR(__xludf.DUMMYFUNCTION("""COMPUTED_VALUE"""),0.9339329598331864)</f>
        <v>0.9339329598</v>
      </c>
      <c r="AH2383" s="82">
        <f>IFERROR(__xludf.DUMMYFUNCTION("""COMPUTED_VALUE"""),0.8185705339708214)</f>
        <v>0.818570534</v>
      </c>
      <c r="AI2383" s="82">
        <f>IFERROR(__xludf.DUMMYFUNCTION("""COMPUTED_VALUE"""),1.0766735723299943)</f>
        <v>1.076673572</v>
      </c>
      <c r="AJ2383" s="82">
        <f>IFERROR(__xludf.DUMMYFUNCTION("""COMPUTED_VALUE"""),1.1231477286375477)</f>
        <v>1.123147729</v>
      </c>
      <c r="AK2383" s="82">
        <f>IFERROR(__xludf.DUMMYFUNCTION("""COMPUTED_VALUE"""),1.2454058012476812)</f>
        <v>1.245405801</v>
      </c>
      <c r="AL2383" s="82">
        <f>IFERROR(__xludf.DUMMYFUNCTION("""COMPUTED_VALUE"""),1.0606798637627726)</f>
        <v>1.060679864</v>
      </c>
      <c r="AM2383" s="82">
        <f>IFERROR(__xludf.DUMMYFUNCTION("""COMPUTED_VALUE"""),1.0645190707816716)</f>
        <v>1.064519071</v>
      </c>
      <c r="AN2383" s="82">
        <f>IFERROR(__xludf.DUMMYFUNCTION("""COMPUTED_VALUE"""),0.9355352554890319)</f>
        <v>0.9355352555</v>
      </c>
      <c r="AO2383" s="82">
        <f>IFERROR(__xludf.DUMMYFUNCTION("""COMPUTED_VALUE"""),1.011338362517397)</f>
        <v>1.011338363</v>
      </c>
      <c r="AP2383" s="82">
        <f>IFERROR(__xludf.DUMMYFUNCTION("""COMPUTED_VALUE"""),1.0541692435508987)</f>
        <v>1.054169244</v>
      </c>
      <c r="AQ2383" s="82">
        <f>IFERROR(__xludf.DUMMYFUNCTION("""COMPUTED_VALUE"""),0.9736246819044276)</f>
        <v>0.9736246819</v>
      </c>
      <c r="AR2383" s="82">
        <f>IFERROR(__xludf.DUMMYFUNCTION("""COMPUTED_VALUE"""),0.8130780573900543)</f>
        <v>0.8130780574</v>
      </c>
      <c r="AS2383" s="82">
        <f>IFERROR(__xludf.DUMMYFUNCTION("""COMPUTED_VALUE"""),109.0)</f>
        <v>109</v>
      </c>
      <c r="AT2383" s="82">
        <f>IFERROR(__xludf.DUMMYFUNCTION("""COMPUTED_VALUE"""),0.44560194156008814)</f>
        <v>0.4456019416</v>
      </c>
      <c r="AU2383" s="82">
        <f>IFERROR(__xludf.DUMMYFUNCTION("""COMPUTED_VALUE"""),2.5167621315791817)</f>
        <v>2.516762132</v>
      </c>
      <c r="AV2383" s="82">
        <f>IFERROR(__xludf.DUMMYFUNCTION("""COMPUTED_VALUE"""),41.4769925153292)</f>
        <v>41.47699252</v>
      </c>
      <c r="AW2383" s="82">
        <f t="shared" si="1"/>
        <v>-2.727904178</v>
      </c>
      <c r="AX2383" s="83">
        <f t="array" ref="AX2383">IFERROR(DGET('SBV Import'!A:G,"SBV",{"RSC ID","Tier";B2383,A2383}))</f>
        <v>24.82760789</v>
      </c>
      <c r="AY2383" s="82">
        <f t="shared" si="2"/>
        <v>-6.369732941</v>
      </c>
      <c r="AZ2383" s="82">
        <v>3.6418287636931597</v>
      </c>
      <c r="BA2383" s="84">
        <v>2300.0</v>
      </c>
      <c r="BB2383" s="84" t="b">
        <f>IFERROR(__xludf.DUMMYFUNCTION("iferror(if(A2383="""",,E2383&gt;=FILTER(Constants!$F$2:$F$10,Constants!$A$2:$A$10=A2383)))"),TRUE)</f>
        <v>1</v>
      </c>
    </row>
    <row r="2384">
      <c r="A2384" s="89" t="str">
        <f>IFERROR(__xludf.DUMMYFUNCTION("""COMPUTED_VALUE"""),"Challenger")</f>
        <v>Challenger</v>
      </c>
      <c r="B2384" s="87" t="str">
        <f>IFERROR(__xludf.DUMMYFUNCTION("""COMPUTED_VALUE"""),"RSC004844")</f>
        <v>RSC004844</v>
      </c>
      <c r="C2384" s="73" t="str">
        <f>IFERROR(__xludf.DUMMYFUNCTION("""COMPUTED_VALUE"""),"Calicat01")</f>
        <v>Calicat01</v>
      </c>
      <c r="D2384" s="73" t="str">
        <f>IFERROR(__xludf.DUMMYFUNCTION("""COMPUTED_VALUE"""),"Threshers")</f>
        <v>Threshers</v>
      </c>
      <c r="E2384" s="82">
        <f>IFERROR(__xludf.DUMMYFUNCTION("""COMPUTED_VALUE"""),46.0)</f>
        <v>46</v>
      </c>
      <c r="F2384" s="82">
        <f>IFERROR(__xludf.DUMMYFUNCTION("""COMPUTED_VALUE"""),15.0)</f>
        <v>15</v>
      </c>
      <c r="G2384" s="86">
        <f>IFERROR(__xludf.DUMMYFUNCTION("""COMPUTED_VALUE"""),31.0)</f>
        <v>31</v>
      </c>
      <c r="H2384" s="86">
        <f>IFERROR(__xludf.DUMMYFUNCTION("""COMPUTED_VALUE"""),0.32608695652173914)</f>
        <v>0.3260869565</v>
      </c>
      <c r="I2384" s="86">
        <f>IFERROR(__xludf.DUMMYFUNCTION("""COMPUTED_VALUE"""),0.23076923076923078)</f>
        <v>0.2307692308</v>
      </c>
      <c r="J2384" s="82">
        <f>IFERROR(__xludf.DUMMYFUNCTION("""COMPUTED_VALUE"""),322.0652173913044)</f>
        <v>322.0652174</v>
      </c>
      <c r="K2384" s="82">
        <f>IFERROR(__xludf.DUMMYFUNCTION("""COMPUTED_VALUE"""),0.5869565217391305)</f>
        <v>0.5869565217</v>
      </c>
      <c r="L2384" s="82">
        <f>IFERROR(__xludf.DUMMYFUNCTION("""COMPUTED_VALUE"""),0.43478260869565216)</f>
        <v>0.4347826087</v>
      </c>
      <c r="M2384" s="82">
        <f>IFERROR(__xludf.DUMMYFUNCTION("""COMPUTED_VALUE"""),1.2826086956521738)</f>
        <v>1.282608696</v>
      </c>
      <c r="N2384" s="82">
        <f>IFERROR(__xludf.DUMMYFUNCTION("""COMPUTED_VALUE"""),2.5434782608695654)</f>
        <v>2.543478261</v>
      </c>
      <c r="O2384" s="82">
        <f>IFERROR(__xludf.DUMMYFUNCTION("""COMPUTED_VALUE"""),354.9782608695652)</f>
        <v>354.9782609</v>
      </c>
      <c r="P2384" s="82">
        <f>IFERROR(__xludf.DUMMYFUNCTION("""COMPUTED_VALUE"""),0.905797101449275)</f>
        <v>0.9057971014</v>
      </c>
      <c r="Q2384" s="82">
        <f>IFERROR(__xludf.DUMMYFUNCTION("""COMPUTED_VALUE"""),0.673913043478261)</f>
        <v>0.6739130435</v>
      </c>
      <c r="R2384" s="82">
        <f>IFERROR(__xludf.DUMMYFUNCTION("""COMPUTED_VALUE"""),1.2028985507246377)</f>
        <v>1.202898551</v>
      </c>
      <c r="S2384" s="82">
        <f>IFERROR(__xludf.DUMMYFUNCTION("""COMPUTED_VALUE"""),2.7173913043478257)</f>
        <v>2.717391304</v>
      </c>
      <c r="T2384" s="82">
        <f>IFERROR(__xludf.DUMMYFUNCTION("""COMPUTED_VALUE"""),342.6966369251416)</f>
        <v>342.6966369</v>
      </c>
      <c r="U2384" s="82">
        <f>IFERROR(__xludf.DUMMYFUNCTION("""COMPUTED_VALUE"""),0.8303491890383781)</f>
        <v>0.830349189</v>
      </c>
      <c r="V2384" s="82">
        <f>IFERROR(__xludf.DUMMYFUNCTION("""COMPUTED_VALUE"""),0.5576594732388855)</f>
        <v>0.5576594732</v>
      </c>
      <c r="W2384" s="82">
        <f>IFERROR(__xludf.DUMMYFUNCTION("""COMPUTED_VALUE"""),1.1675646531326642)</f>
        <v>1.167564653</v>
      </c>
      <c r="X2384" s="82">
        <f>IFERROR(__xludf.DUMMYFUNCTION("""COMPUTED_VALUE"""),2.5574237371114497)</f>
        <v>2.557423737</v>
      </c>
      <c r="Y2384" s="82">
        <f>IFERROR(__xludf.DUMMYFUNCTION("""COMPUTED_VALUE"""),324.8052606628351)</f>
        <v>324.8052607</v>
      </c>
      <c r="Z2384" s="82">
        <f>IFERROR(__xludf.DUMMYFUNCTION("""COMPUTED_VALUE"""),0.7285612929499414)</f>
        <v>0.7285612929</v>
      </c>
      <c r="AA2384" s="82">
        <f>IFERROR(__xludf.DUMMYFUNCTION("""COMPUTED_VALUE"""),0.48953713932312465)</f>
        <v>0.4895371393</v>
      </c>
      <c r="AB2384" s="82">
        <f>IFERROR(__xludf.DUMMYFUNCTION("""COMPUTED_VALUE"""),1.2107148930497582)</f>
        <v>1.210714893</v>
      </c>
      <c r="AC2384" s="82">
        <f>IFERROR(__xludf.DUMMYFUNCTION("""COMPUTED_VALUE"""),2.3226180625093833)</f>
        <v>2.322618063</v>
      </c>
      <c r="AD2384" s="82">
        <f>IFERROR(__xludf.DUMMYFUNCTION("""COMPUTED_VALUE"""),0.9915640428177207)</f>
        <v>0.9915640428</v>
      </c>
      <c r="AE2384" s="82">
        <f>IFERROR(__xludf.DUMMYFUNCTION("""COMPUTED_VALUE"""),0.8056378062064568)</f>
        <v>0.8056378062</v>
      </c>
      <c r="AF2384" s="82">
        <f>IFERROR(__xludf.DUMMYFUNCTION("""COMPUTED_VALUE"""),0.8881504052926797)</f>
        <v>0.8881504053</v>
      </c>
      <c r="AG2384" s="82">
        <f>IFERROR(__xludf.DUMMYFUNCTION("""COMPUTED_VALUE"""),1.05938128209633)</f>
        <v>1.059381282</v>
      </c>
      <c r="AH2384" s="82">
        <f>IFERROR(__xludf.DUMMYFUNCTION("""COMPUTED_VALUE"""),1.0950910534647105)</f>
        <v>1.095091053</v>
      </c>
      <c r="AI2384" s="82">
        <f>IFERROR(__xludf.DUMMYFUNCTION("""COMPUTED_VALUE"""),1.035838180539561)</f>
        <v>1.035838181</v>
      </c>
      <c r="AJ2384" s="82">
        <f>IFERROR(__xludf.DUMMYFUNCTION("""COMPUTED_VALUE"""),1.0908628723998306)</f>
        <v>1.090862872</v>
      </c>
      <c r="AK2384" s="82">
        <f>IFERROR(__xludf.DUMMYFUNCTION("""COMPUTED_VALUE"""),1.2084669512815318)</f>
        <v>1.208466951</v>
      </c>
      <c r="AL2384" s="82">
        <f>IFERROR(__xludf.DUMMYFUNCTION("""COMPUTED_VALUE"""),1.0302629044971257)</f>
        <v>1.030262904</v>
      </c>
      <c r="AM2384" s="82">
        <f>IFERROR(__xludf.DUMMYFUNCTION("""COMPUTED_VALUE"""),1.0625502785928842)</f>
        <v>1.062550279</v>
      </c>
      <c r="AN2384" s="82">
        <f>IFERROR(__xludf.DUMMYFUNCTION("""COMPUTED_VALUE"""),0.9899967721478579)</f>
        <v>0.9899967721</v>
      </c>
      <c r="AO2384" s="82">
        <f>IFERROR(__xludf.DUMMYFUNCTION("""COMPUTED_VALUE"""),0.803121640822639)</f>
        <v>0.8031216408</v>
      </c>
      <c r="AP2384" s="82">
        <f>IFERROR(__xludf.DUMMYFUNCTION("""COMPUTED_VALUE"""),0.8433353948407191)</f>
        <v>0.8433353948</v>
      </c>
      <c r="AQ2384" s="82">
        <f>IFERROR(__xludf.DUMMYFUNCTION("""COMPUTED_VALUE"""),1.0637751154140966)</f>
        <v>1.063775115</v>
      </c>
      <c r="AR2384" s="82">
        <f>IFERROR(__xludf.DUMMYFUNCTION("""COMPUTED_VALUE"""),1.0688778956700715)</f>
        <v>1.068877896</v>
      </c>
      <c r="AS2384" s="82">
        <f>IFERROR(__xludf.DUMMYFUNCTION("""COMPUTED_VALUE"""),83.0)</f>
        <v>83</v>
      </c>
      <c r="AT2384" s="82">
        <f>IFERROR(__xludf.DUMMYFUNCTION("""COMPUTED_VALUE"""),0.3471952985432912)</f>
        <v>0.3471952985</v>
      </c>
      <c r="AU2384" s="82">
        <f>IFERROR(__xludf.DUMMYFUNCTION("""COMPUTED_VALUE"""),2.5100135968209685)</f>
        <v>2.510013597</v>
      </c>
      <c r="AV2384" s="82">
        <f>IFERROR(__xludf.DUMMYFUNCTION("""COMPUTED_VALUE"""),41.30086749581074)</f>
        <v>41.3008675</v>
      </c>
      <c r="AW2384" s="82">
        <f t="shared" si="1"/>
        <v>-2.747757597</v>
      </c>
      <c r="AX2384" s="83">
        <f t="array" ref="AX2384">IFERROR(DGET('SBV Import'!A:G,"SBV",{"RSC ID","Tier";B2384,A2384}))</f>
        <v>41.66812574</v>
      </c>
      <c r="AY2384" s="82">
        <f t="shared" si="2"/>
        <v>-2.706628297</v>
      </c>
      <c r="AZ2384" s="82">
        <v>0.04112930008661264</v>
      </c>
      <c r="BA2384" s="84">
        <v>2300.0</v>
      </c>
      <c r="BB2384" s="84" t="b">
        <f>IFERROR(__xludf.DUMMYFUNCTION("iferror(if(A2384="""",,E2384&gt;=FILTER(Constants!$F$2:$F$10,Constants!$A$2:$A$10=A2384)))"),TRUE)</f>
        <v>1</v>
      </c>
    </row>
    <row r="2385">
      <c r="A2385" s="89" t="str">
        <f>IFERROR(__xludf.DUMMYFUNCTION("""COMPUTED_VALUE"""),"Challenger")</f>
        <v>Challenger</v>
      </c>
      <c r="B2385" s="87" t="str">
        <f>IFERROR(__xludf.DUMMYFUNCTION("""COMPUTED_VALUE"""),"RSC002128")</f>
        <v>RSC002128</v>
      </c>
      <c r="C2385" s="73" t="str">
        <f>IFERROR(__xludf.DUMMYFUNCTION("""COMPUTED_VALUE"""),"Velo")</f>
        <v>Velo</v>
      </c>
      <c r="D2385" s="73" t="str">
        <f>IFERROR(__xludf.DUMMYFUNCTION("""COMPUTED_VALUE"""),"Jock O Lanterns")</f>
        <v>Jock O Lanterns</v>
      </c>
      <c r="E2385" s="82">
        <f>IFERROR(__xludf.DUMMYFUNCTION("""COMPUTED_VALUE"""),44.0)</f>
        <v>44</v>
      </c>
      <c r="F2385" s="82">
        <f>IFERROR(__xludf.DUMMYFUNCTION("""COMPUTED_VALUE"""),17.0)</f>
        <v>17</v>
      </c>
      <c r="G2385" s="86">
        <f>IFERROR(__xludf.DUMMYFUNCTION("""COMPUTED_VALUE"""),27.0)</f>
        <v>27</v>
      </c>
      <c r="H2385" s="86">
        <f>IFERROR(__xludf.DUMMYFUNCTION("""COMPUTED_VALUE"""),0.38636363636363635)</f>
        <v>0.3863636364</v>
      </c>
      <c r="I2385" s="86">
        <f>IFERROR(__xludf.DUMMYFUNCTION("""COMPUTED_VALUE"""),0.20909090909090908)</f>
        <v>0.2090909091</v>
      </c>
      <c r="J2385" s="82">
        <f>IFERROR(__xludf.DUMMYFUNCTION("""COMPUTED_VALUE"""),327.1363636363636)</f>
        <v>327.1363636</v>
      </c>
      <c r="K2385" s="82">
        <f>IFERROR(__xludf.DUMMYFUNCTION("""COMPUTED_VALUE"""),0.5227272727272727)</f>
        <v>0.5227272727</v>
      </c>
      <c r="L2385" s="82">
        <f>IFERROR(__xludf.DUMMYFUNCTION("""COMPUTED_VALUE"""),0.5681818181818182)</f>
        <v>0.5681818182</v>
      </c>
      <c r="M2385" s="82">
        <f>IFERROR(__xludf.DUMMYFUNCTION("""COMPUTED_VALUE"""),1.2727272727272727)</f>
        <v>1.272727273</v>
      </c>
      <c r="N2385" s="82">
        <f>IFERROR(__xludf.DUMMYFUNCTION("""COMPUTED_VALUE"""),2.5)</f>
        <v>2.5</v>
      </c>
      <c r="O2385" s="82">
        <f>IFERROR(__xludf.DUMMYFUNCTION("""COMPUTED_VALUE"""),385.5075757575758)</f>
        <v>385.5075758</v>
      </c>
      <c r="P2385" s="82">
        <f>IFERROR(__xludf.DUMMYFUNCTION("""COMPUTED_VALUE"""),0.962121212121212)</f>
        <v>0.9621212121</v>
      </c>
      <c r="Q2385" s="82">
        <f>IFERROR(__xludf.DUMMYFUNCTION("""COMPUTED_VALUE"""),0.6515151515151516)</f>
        <v>0.6515151515</v>
      </c>
      <c r="R2385" s="82">
        <f>IFERROR(__xludf.DUMMYFUNCTION("""COMPUTED_VALUE"""),1.3863636363636362)</f>
        <v>1.386363636</v>
      </c>
      <c r="S2385" s="82">
        <f>IFERROR(__xludf.DUMMYFUNCTION("""COMPUTED_VALUE"""),2.537878787878787)</f>
        <v>2.537878788</v>
      </c>
      <c r="T2385" s="82">
        <f>IFERROR(__xludf.DUMMYFUNCTION("""COMPUTED_VALUE"""),338.9296707352979)</f>
        <v>338.9296707</v>
      </c>
      <c r="U2385" s="82">
        <f>IFERROR(__xludf.DUMMYFUNCTION("""COMPUTED_VALUE"""),0.7913075150690144)</f>
        <v>0.7913075151</v>
      </c>
      <c r="V2385" s="82">
        <f>IFERROR(__xludf.DUMMYFUNCTION("""COMPUTED_VALUE"""),0.5830343117571587)</f>
        <v>0.5830343118</v>
      </c>
      <c r="W2385" s="82">
        <f>IFERROR(__xludf.DUMMYFUNCTION("""COMPUTED_VALUE"""),1.2009452553931987)</f>
        <v>1.200945255</v>
      </c>
      <c r="X2385" s="82">
        <f>IFERROR(__xludf.DUMMYFUNCTION("""COMPUTED_VALUE"""),2.4708625302976968)</f>
        <v>2.47086253</v>
      </c>
      <c r="Y2385" s="82">
        <f>IFERROR(__xludf.DUMMYFUNCTION("""COMPUTED_VALUE"""),335.4915153424121)</f>
        <v>335.4915153</v>
      </c>
      <c r="Z2385" s="82">
        <f>IFERROR(__xludf.DUMMYFUNCTION("""COMPUTED_VALUE"""),0.7787523171788243)</f>
        <v>0.7787523172</v>
      </c>
      <c r="AA2385" s="82">
        <f>IFERROR(__xludf.DUMMYFUNCTION("""COMPUTED_VALUE"""),0.5287491101025744)</f>
        <v>0.5287491101</v>
      </c>
      <c r="AB2385" s="82">
        <f>IFERROR(__xludf.DUMMYFUNCTION("""COMPUTED_VALUE"""),1.2110415700997201)</f>
        <v>1.21104157</v>
      </c>
      <c r="AC2385" s="82">
        <f>IFERROR(__xludf.DUMMYFUNCTION("""COMPUTED_VALUE"""),2.4511697858148076)</f>
        <v>2.451169786</v>
      </c>
      <c r="AD2385" s="82">
        <f>IFERROR(__xludf.DUMMYFUNCTION("""COMPUTED_VALUE"""),0.9750957883464775)</f>
        <v>0.9750957883</v>
      </c>
      <c r="AE2385" s="82">
        <f>IFERROR(__xludf.DUMMYFUNCTION("""COMPUTED_VALUE"""),0.671236876213672)</f>
        <v>0.6712368762</v>
      </c>
      <c r="AF2385" s="82">
        <f>IFERROR(__xludf.DUMMYFUNCTION("""COMPUTED_VALUE"""),1.0745773511970433)</f>
        <v>1.074577351</v>
      </c>
      <c r="AG2385" s="82">
        <f>IFERROR(__xludf.DUMMYFUNCTION("""COMPUTED_VALUE"""),1.0509360736663014)</f>
        <v>1.050936074</v>
      </c>
      <c r="AH2385" s="82">
        <f>IFERROR(__xludf.DUMMYFUNCTION("""COMPUTED_VALUE"""),1.019921188025317)</f>
        <v>1.019921188</v>
      </c>
      <c r="AI2385" s="82">
        <f>IFERROR(__xludf.DUMMYFUNCTION("""COMPUTED_VALUE"""),1.1374264605433584)</f>
        <v>1.137426461</v>
      </c>
      <c r="AJ2385" s="82">
        <f>IFERROR(__xludf.DUMMYFUNCTION("""COMPUTED_VALUE"""),1.2158625993047723)</f>
        <v>1.215862599</v>
      </c>
      <c r="AK2385" s="82">
        <f>IFERROR(__xludf.DUMMYFUNCTION("""COMPUTED_VALUE"""),1.1174559341998316)</f>
        <v>1.117455934</v>
      </c>
      <c r="AL2385" s="82">
        <f>IFERROR(__xludf.DUMMYFUNCTION("""COMPUTED_VALUE"""),1.1543936995776964)</f>
        <v>1.1543937</v>
      </c>
      <c r="AM2385" s="82">
        <f>IFERROR(__xludf.DUMMYFUNCTION("""COMPUTED_VALUE"""),1.0271226168025689)</f>
        <v>1.027122617</v>
      </c>
      <c r="AN2385" s="82">
        <f>IFERROR(__xludf.DUMMYFUNCTION("""COMPUTED_VALUE"""),1.0055849764698372)</f>
        <v>1.005584976</v>
      </c>
      <c r="AO2385" s="82">
        <f>IFERROR(__xludf.DUMMYFUNCTION("""COMPUTED_VALUE"""),0.7152379595878383)</f>
        <v>0.7152379596</v>
      </c>
      <c r="AP2385" s="82">
        <f>IFERROR(__xludf.DUMMYFUNCTION("""COMPUTED_VALUE"""),1.102086027348667)</f>
        <v>1.102086027</v>
      </c>
      <c r="AQ2385" s="82">
        <f>IFERROR(__xludf.DUMMYFUNCTION("""COMPUTED_VALUE"""),1.0555796214586723)</f>
        <v>1.055579621</v>
      </c>
      <c r="AR2385" s="82">
        <f>IFERROR(__xludf.DUMMYFUNCTION("""COMPUTED_VALUE"""),1.0506064786500702)</f>
        <v>1.050606479</v>
      </c>
      <c r="AS2385" s="82">
        <f>IFERROR(__xludf.DUMMYFUNCTION("""COMPUTED_VALUE"""),94.0)</f>
        <v>94</v>
      </c>
      <c r="AT2385" s="82">
        <f>IFERROR(__xludf.DUMMYFUNCTION("""COMPUTED_VALUE"""),0.38268475728250295)</f>
        <v>0.3826847573</v>
      </c>
      <c r="AU2385" s="82">
        <f>IFERROR(__xludf.DUMMYFUNCTION("""COMPUTED_VALUE"""),2.465331383514764)</f>
        <v>2.465331384</v>
      </c>
      <c r="AV2385" s="82">
        <f>IFERROR(__xludf.DUMMYFUNCTION("""COMPUTED_VALUE"""),40.13473944392432)</f>
        <v>40.13473944</v>
      </c>
      <c r="AW2385" s="82">
        <f t="shared" si="1"/>
        <v>-2.885459851</v>
      </c>
      <c r="AX2385" s="83">
        <f t="array" ref="AX2385">IFERROR(DGET('SBV Import'!A:G,"SBV",{"RSC ID","Tier";B2385,A2385}))</f>
        <v>42.33957965</v>
      </c>
      <c r="AY2385" s="82">
        <f t="shared" si="2"/>
        <v>-2.634049034</v>
      </c>
      <c r="AZ2385" s="82">
        <v>0.25141081633146056</v>
      </c>
      <c r="BA2385" s="84">
        <v>2300.0</v>
      </c>
      <c r="BB2385" s="84" t="b">
        <f>IFERROR(__xludf.DUMMYFUNCTION("iferror(if(A2385="""",,E2385&gt;=FILTER(Constants!$F$2:$F$10,Constants!$A$2:$A$10=A2385)))"),TRUE)</f>
        <v>1</v>
      </c>
    </row>
    <row r="2386">
      <c r="A2386" s="89" t="str">
        <f>IFERROR(__xludf.DUMMYFUNCTION("""COMPUTED_VALUE"""),"Challenger")</f>
        <v>Challenger</v>
      </c>
      <c r="B2386" s="87" t="str">
        <f>IFERROR(__xludf.DUMMYFUNCTION("""COMPUTED_VALUE"""),"RSC007546")</f>
        <v>RSC007546</v>
      </c>
      <c r="C2386" s="73" t="str">
        <f>IFERROR(__xludf.DUMMYFUNCTION("""COMPUTED_VALUE"""),"N0TTopmarx")</f>
        <v>N0TTopmarx</v>
      </c>
      <c r="D2386" s="73" t="str">
        <f>IFERROR(__xludf.DUMMYFUNCTION("""COMPUTED_VALUE"""),"Metal")</f>
        <v>Metal</v>
      </c>
      <c r="E2386" s="82">
        <f>IFERROR(__xludf.DUMMYFUNCTION("""COMPUTED_VALUE"""),37.0)</f>
        <v>37</v>
      </c>
      <c r="F2386" s="82">
        <f>IFERROR(__xludf.DUMMYFUNCTION("""COMPUTED_VALUE"""),17.0)</f>
        <v>17</v>
      </c>
      <c r="G2386" s="86">
        <f>IFERROR(__xludf.DUMMYFUNCTION("""COMPUTED_VALUE"""),20.0)</f>
        <v>20</v>
      </c>
      <c r="H2386" s="86">
        <f>IFERROR(__xludf.DUMMYFUNCTION("""COMPUTED_VALUE"""),0.4594594594594595)</f>
        <v>0.4594594595</v>
      </c>
      <c r="I2386" s="86">
        <f>IFERROR(__xludf.DUMMYFUNCTION("""COMPUTED_VALUE"""),0.26136363636363635)</f>
        <v>0.2613636364</v>
      </c>
      <c r="J2386" s="82">
        <f>IFERROR(__xludf.DUMMYFUNCTION("""COMPUTED_VALUE"""),318.35135135135135)</f>
        <v>318.3513514</v>
      </c>
      <c r="K2386" s="82">
        <f>IFERROR(__xludf.DUMMYFUNCTION("""COMPUTED_VALUE"""),0.6216216216216216)</f>
        <v>0.6216216216</v>
      </c>
      <c r="L2386" s="82">
        <f>IFERROR(__xludf.DUMMYFUNCTION("""COMPUTED_VALUE"""),0.4864864864864865)</f>
        <v>0.4864864865</v>
      </c>
      <c r="M2386" s="82">
        <f>IFERROR(__xludf.DUMMYFUNCTION("""COMPUTED_VALUE"""),1.054054054054054)</f>
        <v>1.054054054</v>
      </c>
      <c r="N2386" s="82">
        <f>IFERROR(__xludf.DUMMYFUNCTION("""COMPUTED_VALUE"""),2.3783783783783785)</f>
        <v>2.378378378</v>
      </c>
      <c r="O2386" s="82">
        <f>IFERROR(__xludf.DUMMYFUNCTION("""COMPUTED_VALUE"""),332.24324324324317)</f>
        <v>332.2432432</v>
      </c>
      <c r="P2386" s="82">
        <f>IFERROR(__xludf.DUMMYFUNCTION("""COMPUTED_VALUE"""),0.8108108108108109)</f>
        <v>0.8108108108</v>
      </c>
      <c r="Q2386" s="82">
        <f>IFERROR(__xludf.DUMMYFUNCTION("""COMPUTED_VALUE"""),0.5585585585585584)</f>
        <v>0.5585585586</v>
      </c>
      <c r="R2386" s="82">
        <f>IFERROR(__xludf.DUMMYFUNCTION("""COMPUTED_VALUE"""),1.099099099099099)</f>
        <v>1.099099099</v>
      </c>
      <c r="S2386" s="82">
        <f>IFERROR(__xludf.DUMMYFUNCTION("""COMPUTED_VALUE"""),2.4864864864864873)</f>
        <v>2.486486486</v>
      </c>
      <c r="T2386" s="82">
        <f>IFERROR(__xludf.DUMMYFUNCTION("""COMPUTED_VALUE"""),326.18628209355467)</f>
        <v>326.1862821</v>
      </c>
      <c r="U2386" s="82">
        <f>IFERROR(__xludf.DUMMYFUNCTION("""COMPUTED_VALUE"""),0.737716042100685)</f>
        <v>0.7377160421</v>
      </c>
      <c r="V2386" s="82">
        <f>IFERROR(__xludf.DUMMYFUNCTION("""COMPUTED_VALUE"""),0.5042847625458091)</f>
        <v>0.5042847625</v>
      </c>
      <c r="W2386" s="82">
        <f>IFERROR(__xludf.DUMMYFUNCTION("""COMPUTED_VALUE"""),1.2176962594160217)</f>
        <v>1.217696259</v>
      </c>
      <c r="X2386" s="82">
        <f>IFERROR(__xludf.DUMMYFUNCTION("""COMPUTED_VALUE"""),2.38990201892572)</f>
        <v>2.389902019</v>
      </c>
      <c r="Y2386" s="82">
        <f>IFERROR(__xludf.DUMMYFUNCTION("""COMPUTED_VALUE"""),340.990314426721)</f>
        <v>340.9903144</v>
      </c>
      <c r="Z2386" s="82">
        <f>IFERROR(__xludf.DUMMYFUNCTION("""COMPUTED_VALUE"""),0.8047398104383818)</f>
        <v>0.8047398104</v>
      </c>
      <c r="AA2386" s="82">
        <f>IFERROR(__xludf.DUMMYFUNCTION("""COMPUTED_VALUE"""),0.5553694372913505)</f>
        <v>0.5553694373</v>
      </c>
      <c r="AB2386" s="82">
        <f>IFERROR(__xludf.DUMMYFUNCTION("""COMPUTED_VALUE"""),1.213614576178716)</f>
        <v>1.213614576</v>
      </c>
      <c r="AC2386" s="82">
        <f>IFERROR(__xludf.DUMMYFUNCTION("""COMPUTED_VALUE"""),2.4951725644780987)</f>
        <v>2.495172564</v>
      </c>
      <c r="AD2386" s="82">
        <f>IFERROR(__xludf.DUMMYFUNCTION("""COMPUTED_VALUE"""),0.9336081932021129)</f>
        <v>0.9336081932</v>
      </c>
      <c r="AE2386" s="82">
        <f>IFERROR(__xludf.DUMMYFUNCTION("""COMPUTED_VALUE"""),0.7724504411966314)</f>
        <v>0.7724504412</v>
      </c>
      <c r="AF2386" s="82">
        <f>IFERROR(__xludf.DUMMYFUNCTION("""COMPUTED_VALUE"""),0.8759691366150429)</f>
        <v>0.8759691366</v>
      </c>
      <c r="AG2386" s="82">
        <f>IFERROR(__xludf.DUMMYFUNCTION("""COMPUTED_VALUE"""),0.8685245503337088)</f>
        <v>0.8685245503</v>
      </c>
      <c r="AH2386" s="82">
        <f>IFERROR(__xludf.DUMMYFUNCTION("""COMPUTED_VALUE"""),0.9531919404042705)</f>
        <v>0.9531919404</v>
      </c>
      <c r="AI2386" s="82">
        <f>IFERROR(__xludf.DUMMYFUNCTION("""COMPUTED_VALUE"""),1.0185690247634365)</f>
        <v>1.018569025</v>
      </c>
      <c r="AJ2386" s="82">
        <f>IFERROR(__xludf.DUMMYFUNCTION("""COMPUTED_VALUE"""),1.0990825257127184)</f>
        <v>1.099082526</v>
      </c>
      <c r="AK2386" s="82">
        <f>IFERROR(__xludf.DUMMYFUNCTION("""COMPUTED_VALUE"""),1.1076252943649454)</f>
        <v>1.107625294</v>
      </c>
      <c r="AL2386" s="82">
        <f>IFERROR(__xludf.DUMMYFUNCTION("""COMPUTED_VALUE"""),0.9026053012811265)</f>
        <v>0.9026053013</v>
      </c>
      <c r="AM2386" s="82">
        <f>IFERROR(__xludf.DUMMYFUNCTION("""COMPUTED_VALUE"""),1.0404135679186475)</f>
        <v>1.040413568</v>
      </c>
      <c r="AN2386" s="82">
        <f>IFERROR(__xludf.DUMMYFUNCTION("""COMPUTED_VALUE"""),0.9785807135572281)</f>
        <v>0.9785807136</v>
      </c>
      <c r="AO2386" s="82">
        <f>IFERROR(__xludf.DUMMYFUNCTION("""COMPUTED_VALUE"""),0.8505532492395915)</f>
        <v>0.8505532492</v>
      </c>
      <c r="AP2386" s="82">
        <f>IFERROR(__xludf.DUMMYFUNCTION("""COMPUTED_VALUE"""),0.9436239282812371)</f>
        <v>0.9436239283</v>
      </c>
      <c r="AQ2386" s="82">
        <f>IFERROR(__xludf.DUMMYFUNCTION("""COMPUTED_VALUE"""),0.8742155552234949)</f>
        <v>0.8742155552</v>
      </c>
      <c r="AR2386" s="82">
        <f>IFERROR(__xludf.DUMMYFUNCTION("""COMPUTED_VALUE"""),0.9994958932022291)</f>
        <v>0.9994958932</v>
      </c>
      <c r="AS2386" s="82">
        <f>IFERROR(__xludf.DUMMYFUNCTION("""COMPUTED_VALUE"""),92.0)</f>
        <v>92</v>
      </c>
      <c r="AT2386" s="82">
        <f>IFERROR(__xludf.DUMMYFUNCTION("""COMPUTED_VALUE"""),0.5086789875385667)</f>
        <v>0.5086789875</v>
      </c>
      <c r="AU2386" s="82">
        <f>IFERROR(__xludf.DUMMYFUNCTION("""COMPUTED_VALUE"""),2.4518431287803697)</f>
        <v>2.451843129</v>
      </c>
      <c r="AV2386" s="82">
        <f>IFERROR(__xludf.DUMMYFUNCTION("""COMPUTED_VALUE"""),39.78271945536697)</f>
        <v>39.78271946</v>
      </c>
      <c r="AW2386" s="82">
        <f t="shared" si="1"/>
        <v>-2.929260083</v>
      </c>
      <c r="AX2386" s="83">
        <f t="array" ref="AX2386">IFERROR(DGET('SBV Import'!A:G,"SBV",{"RSC ID","Tier";B2386,A2386}))</f>
        <v>37.65449869</v>
      </c>
      <c r="AY2386" s="82">
        <f t="shared" si="2"/>
        <v>-3.21836647</v>
      </c>
      <c r="AZ2386" s="82">
        <v>0.2891063867449093</v>
      </c>
      <c r="BA2386" s="84">
        <v>2300.0</v>
      </c>
      <c r="BB2386" s="84" t="b">
        <f>IFERROR(__xludf.DUMMYFUNCTION("iferror(if(A2386="""",,E2386&gt;=FILTER(Constants!$F$2:$F$10,Constants!$A$2:$A$10=A2386)))"),TRUE)</f>
        <v>1</v>
      </c>
    </row>
    <row r="2387">
      <c r="A2387" s="89" t="str">
        <f>IFERROR(__xludf.DUMMYFUNCTION("""COMPUTED_VALUE"""),"Challenger")</f>
        <v>Challenger</v>
      </c>
      <c r="B2387" s="87" t="str">
        <f>IFERROR(__xludf.DUMMYFUNCTION("""COMPUTED_VALUE"""),"RSC000938")</f>
        <v>RSC000938</v>
      </c>
      <c r="C2387" s="73" t="str">
        <f>IFERROR(__xludf.DUMMYFUNCTION("""COMPUTED_VALUE"""),"Nukem_IV")</f>
        <v>Nukem_IV</v>
      </c>
      <c r="D2387" s="73" t="str">
        <f>IFERROR(__xludf.DUMMYFUNCTION("""COMPUTED_VALUE"""),"Spearmint")</f>
        <v>Spearmint</v>
      </c>
      <c r="E2387" s="82">
        <f>IFERROR(__xludf.DUMMYFUNCTION("""COMPUTED_VALUE"""),41.0)</f>
        <v>41</v>
      </c>
      <c r="F2387" s="82">
        <f>IFERROR(__xludf.DUMMYFUNCTION("""COMPUTED_VALUE"""),15.0)</f>
        <v>15</v>
      </c>
      <c r="G2387" s="86">
        <f>IFERROR(__xludf.DUMMYFUNCTION("""COMPUTED_VALUE"""),26.0)</f>
        <v>26</v>
      </c>
      <c r="H2387" s="86">
        <f>IFERROR(__xludf.DUMMYFUNCTION("""COMPUTED_VALUE"""),0.36585365853658536)</f>
        <v>0.3658536585</v>
      </c>
      <c r="I2387" s="86">
        <f>IFERROR(__xludf.DUMMYFUNCTION("""COMPUTED_VALUE"""),0.27102803738317754)</f>
        <v>0.2710280374</v>
      </c>
      <c r="J2387" s="82">
        <f>IFERROR(__xludf.DUMMYFUNCTION("""COMPUTED_VALUE"""),313.6585365853659)</f>
        <v>313.6585366</v>
      </c>
      <c r="K2387" s="82">
        <f>IFERROR(__xludf.DUMMYFUNCTION("""COMPUTED_VALUE"""),0.7073170731707317)</f>
        <v>0.7073170732</v>
      </c>
      <c r="L2387" s="82">
        <f>IFERROR(__xludf.DUMMYFUNCTION("""COMPUTED_VALUE"""),0.2926829268292683)</f>
        <v>0.2926829268</v>
      </c>
      <c r="M2387" s="82">
        <f>IFERROR(__xludf.DUMMYFUNCTION("""COMPUTED_VALUE"""),1.0975609756097562)</f>
        <v>1.097560976</v>
      </c>
      <c r="N2387" s="82">
        <f>IFERROR(__xludf.DUMMYFUNCTION("""COMPUTED_VALUE"""),2.6097560975609757)</f>
        <v>2.609756098</v>
      </c>
      <c r="O2387" s="82">
        <f>IFERROR(__xludf.DUMMYFUNCTION("""COMPUTED_VALUE"""),346.7154471544716)</f>
        <v>346.7154472</v>
      </c>
      <c r="P2387" s="82">
        <f>IFERROR(__xludf.DUMMYFUNCTION("""COMPUTED_VALUE"""),0.8455284552845528)</f>
        <v>0.8455284553</v>
      </c>
      <c r="Q2387" s="82">
        <f>IFERROR(__xludf.DUMMYFUNCTION("""COMPUTED_VALUE"""),0.5934959349593495)</f>
        <v>0.593495935</v>
      </c>
      <c r="R2387" s="82">
        <f>IFERROR(__xludf.DUMMYFUNCTION("""COMPUTED_VALUE"""),1.2276422764227644)</f>
        <v>1.227642276</v>
      </c>
      <c r="S2387" s="82">
        <f>IFERROR(__xludf.DUMMYFUNCTION("""COMPUTED_VALUE"""),2.398373983739838)</f>
        <v>2.398373984</v>
      </c>
      <c r="T2387" s="82">
        <f>IFERROR(__xludf.DUMMYFUNCTION("""COMPUTED_VALUE"""),326.5154120997448)</f>
        <v>326.5154121</v>
      </c>
      <c r="U2387" s="82">
        <f>IFERROR(__xludf.DUMMYFUNCTION("""COMPUTED_VALUE"""),0.7538888030266172)</f>
        <v>0.753888803</v>
      </c>
      <c r="V2387" s="82">
        <f>IFERROR(__xludf.DUMMYFUNCTION("""COMPUTED_VALUE"""),0.5441084431770649)</f>
        <v>0.5441084432</v>
      </c>
      <c r="W2387" s="82">
        <f>IFERROR(__xludf.DUMMYFUNCTION("""COMPUTED_VALUE"""),1.153961083449574)</f>
        <v>1.153961083</v>
      </c>
      <c r="X2387" s="82">
        <f>IFERROR(__xludf.DUMMYFUNCTION("""COMPUTED_VALUE"""),2.4677852895784205)</f>
        <v>2.46778529</v>
      </c>
      <c r="Y2387" s="82">
        <f>IFERROR(__xludf.DUMMYFUNCTION("""COMPUTED_VALUE"""),335.82897166816184)</f>
        <v>335.8289717</v>
      </c>
      <c r="Z2387" s="82">
        <f>IFERROR(__xludf.DUMMYFUNCTION("""COMPUTED_VALUE"""),0.7809975981461448)</f>
        <v>0.7809975981</v>
      </c>
      <c r="AA2387" s="82">
        <f>IFERROR(__xludf.DUMMYFUNCTION("""COMPUTED_VALUE"""),0.5501019526239024)</f>
        <v>0.5501019526</v>
      </c>
      <c r="AB2387" s="82">
        <f>IFERROR(__xludf.DUMMYFUNCTION("""COMPUTED_VALUE"""),1.2332381483938066)</f>
        <v>1.233238148</v>
      </c>
      <c r="AC2387" s="82">
        <f>IFERROR(__xludf.DUMMYFUNCTION("""COMPUTED_VALUE"""),2.423288579068437)</f>
        <v>2.423288579</v>
      </c>
      <c r="AD2387" s="82">
        <f>IFERROR(__xludf.DUMMYFUNCTION("""COMPUTED_VALUE"""),0.9339829587284597)</f>
        <v>0.9339829587</v>
      </c>
      <c r="AE2387" s="82">
        <f>IFERROR(__xludf.DUMMYFUNCTION("""COMPUTED_VALUE"""),0.9056584486939413)</f>
        <v>0.9056584487</v>
      </c>
      <c r="AF2387" s="82">
        <f>IFERROR(__xludf.DUMMYFUNCTION("""COMPUTED_VALUE"""),0.532052150393605)</f>
        <v>0.5320521504</v>
      </c>
      <c r="AG2387" s="82">
        <f>IFERROR(__xludf.DUMMYFUNCTION("""COMPUTED_VALUE"""),0.8899829907461434)</f>
        <v>0.8899829907</v>
      </c>
      <c r="AH2387" s="82">
        <f>IFERROR(__xludf.DUMMYFUNCTION("""COMPUTED_VALUE"""),1.0769481274756887)</f>
        <v>1.076948127</v>
      </c>
      <c r="AI2387" s="82">
        <f>IFERROR(__xludf.DUMMYFUNCTION("""COMPUTED_VALUE"""),1.061865487221032)</f>
        <v>1.061865487</v>
      </c>
      <c r="AJ2387" s="82">
        <f>IFERROR(__xludf.DUMMYFUNCTION("""COMPUTED_VALUE"""),1.1215559269351558)</f>
        <v>1.121555927</v>
      </c>
      <c r="AK2387" s="82">
        <f>IFERROR(__xludf.DUMMYFUNCTION("""COMPUTED_VALUE"""),1.09076773647163)</f>
        <v>1.090767736</v>
      </c>
      <c r="AL2387" s="82">
        <f>IFERROR(__xludf.DUMMYFUNCTION("""COMPUTED_VALUE"""),1.0638506740218074)</f>
        <v>1.063850674</v>
      </c>
      <c r="AM2387" s="82">
        <f>IFERROR(__xludf.DUMMYFUNCTION("""COMPUTED_VALUE"""),0.9718730368757322)</f>
        <v>0.9718730369</v>
      </c>
      <c r="AN2387" s="82">
        <f>IFERROR(__xludf.DUMMYFUNCTION("""COMPUTED_VALUE"""),0.9641554629566059)</f>
        <v>0.964155463</v>
      </c>
      <c r="AO2387" s="82">
        <f>IFERROR(__xludf.DUMMYFUNCTION("""COMPUTED_VALUE"""),0.9678087342885278)</f>
        <v>0.9678087343</v>
      </c>
      <c r="AP2387" s="82">
        <f>IFERROR(__xludf.DUMMYFUNCTION("""COMPUTED_VALUE"""),0.567708704819606)</f>
        <v>0.5677087048</v>
      </c>
      <c r="AQ2387" s="82">
        <f>IFERROR(__xludf.DUMMYFUNCTION("""COMPUTED_VALUE"""),0.910299499341538)</f>
        <v>0.9102994993</v>
      </c>
      <c r="AR2387" s="82">
        <f>IFERROR(__xludf.DUMMYFUNCTION("""COMPUTED_VALUE"""),1.0967306655176343)</f>
        <v>1.096730666</v>
      </c>
      <c r="AS2387" s="82">
        <f>IFERROR(__xludf.DUMMYFUNCTION("""COMPUTED_VALUE"""),69.0)</f>
        <v>69</v>
      </c>
      <c r="AT2387" s="82">
        <f>IFERROR(__xludf.DUMMYFUNCTION("""COMPUTED_VALUE"""),0.3497348287569421)</f>
        <v>0.3497348288</v>
      </c>
      <c r="AU2387" s="82">
        <f>IFERROR(__xludf.DUMMYFUNCTION("""COMPUTED_VALUE"""),2.4326132355874126)</f>
        <v>2.432613236</v>
      </c>
      <c r="AV2387" s="82">
        <f>IFERROR(__xludf.DUMMYFUNCTION("""COMPUTED_VALUE"""),39.280852689425615)</f>
        <v>39.28085269</v>
      </c>
      <c r="AW2387" s="82">
        <f t="shared" si="1"/>
        <v>-2.993592503</v>
      </c>
      <c r="AX2387" s="83">
        <f t="array" ref="AX2387">IFERROR(DGET('SBV Import'!A:G,"SBV",{"RSC ID","Tier";B2387,A2387}))</f>
        <v>47.10430147</v>
      </c>
      <c r="AY2387" s="82">
        <f t="shared" si="2"/>
        <v>-2.203155368</v>
      </c>
      <c r="AZ2387" s="82">
        <v>0.7904371353023696</v>
      </c>
      <c r="BA2387" s="84">
        <v>2300.0</v>
      </c>
      <c r="BB2387" s="84" t="b">
        <f>IFERROR(__xludf.DUMMYFUNCTION("iferror(if(A2387="""",,E2387&gt;=FILTER(Constants!$F$2:$F$10,Constants!$A$2:$A$10=A2387)))"),TRUE)</f>
        <v>1</v>
      </c>
    </row>
    <row r="2388">
      <c r="A2388" s="89" t="str">
        <f>IFERROR(__xludf.DUMMYFUNCTION("""COMPUTED_VALUE"""),"Challenger")</f>
        <v>Challenger</v>
      </c>
      <c r="B2388" s="87" t="str">
        <f>IFERROR(__xludf.DUMMYFUNCTION("""COMPUTED_VALUE"""),"RSC000025")</f>
        <v>RSC000025</v>
      </c>
      <c r="C2388" s="73" t="str">
        <f>IFERROR(__xludf.DUMMYFUNCTION("""COMPUTED_VALUE"""),"Slayerof666")</f>
        <v>Slayerof666</v>
      </c>
      <c r="D2388" s="73" t="str">
        <f>IFERROR(__xludf.DUMMYFUNCTION("""COMPUTED_VALUE"""),"Apple Associates")</f>
        <v>Apple Associates</v>
      </c>
      <c r="E2388" s="82">
        <f>IFERROR(__xludf.DUMMYFUNCTION("""COMPUTED_VALUE"""),44.0)</f>
        <v>44</v>
      </c>
      <c r="F2388" s="82">
        <f>IFERROR(__xludf.DUMMYFUNCTION("""COMPUTED_VALUE"""),13.0)</f>
        <v>13</v>
      </c>
      <c r="G2388" s="86">
        <f>IFERROR(__xludf.DUMMYFUNCTION("""COMPUTED_VALUE"""),31.0)</f>
        <v>31</v>
      </c>
      <c r="H2388" s="86">
        <f>IFERROR(__xludf.DUMMYFUNCTION("""COMPUTED_VALUE"""),0.29545454545454547)</f>
        <v>0.2954545455</v>
      </c>
      <c r="I2388" s="86">
        <f>IFERROR(__xludf.DUMMYFUNCTION("""COMPUTED_VALUE"""),0.2641509433962264)</f>
        <v>0.2641509434</v>
      </c>
      <c r="J2388" s="82">
        <f>IFERROR(__xludf.DUMMYFUNCTION("""COMPUTED_VALUE"""),308.4318181818182)</f>
        <v>308.4318182</v>
      </c>
      <c r="K2388" s="82">
        <f>IFERROR(__xludf.DUMMYFUNCTION("""COMPUTED_VALUE"""),0.6363636363636364)</f>
        <v>0.6363636364</v>
      </c>
      <c r="L2388" s="82">
        <f>IFERROR(__xludf.DUMMYFUNCTION("""COMPUTED_VALUE"""),0.3409090909090909)</f>
        <v>0.3409090909</v>
      </c>
      <c r="M2388" s="82">
        <f>IFERROR(__xludf.DUMMYFUNCTION("""COMPUTED_VALUE"""),1.2954545454545454)</f>
        <v>1.295454545</v>
      </c>
      <c r="N2388" s="82">
        <f>IFERROR(__xludf.DUMMYFUNCTION("""COMPUTED_VALUE"""),2.409090909090909)</f>
        <v>2.409090909</v>
      </c>
      <c r="O2388" s="82">
        <f>IFERROR(__xludf.DUMMYFUNCTION("""COMPUTED_VALUE"""),334.19696969696975)</f>
        <v>334.1969697</v>
      </c>
      <c r="P2388" s="82">
        <f>IFERROR(__xludf.DUMMYFUNCTION("""COMPUTED_VALUE"""),0.8787878787878789)</f>
        <v>0.8787878788</v>
      </c>
      <c r="Q2388" s="82">
        <f>IFERROR(__xludf.DUMMYFUNCTION("""COMPUTED_VALUE"""),0.6136363636363635)</f>
        <v>0.6136363636</v>
      </c>
      <c r="R2388" s="82">
        <f>IFERROR(__xludf.DUMMYFUNCTION("""COMPUTED_VALUE"""),1.0530303030303034)</f>
        <v>1.053030303</v>
      </c>
      <c r="S2388" s="82">
        <f>IFERROR(__xludf.DUMMYFUNCTION("""COMPUTED_VALUE"""),2.5530303030303036)</f>
        <v>2.553030303</v>
      </c>
      <c r="T2388" s="82">
        <f>IFERROR(__xludf.DUMMYFUNCTION("""COMPUTED_VALUE"""),342.408910182175)</f>
        <v>342.4089102</v>
      </c>
      <c r="U2388" s="82">
        <f>IFERROR(__xludf.DUMMYFUNCTION("""COMPUTED_VALUE"""),0.7997447024593395)</f>
        <v>0.7997447025</v>
      </c>
      <c r="V2388" s="82">
        <f>IFERROR(__xludf.DUMMYFUNCTION("""COMPUTED_VALUE"""),0.5740405646506809)</f>
        <v>0.5740405647</v>
      </c>
      <c r="W2388" s="82">
        <f>IFERROR(__xludf.DUMMYFUNCTION("""COMPUTED_VALUE"""),1.2274294713453358)</f>
        <v>1.227429471</v>
      </c>
      <c r="X2388" s="82">
        <f>IFERROR(__xludf.DUMMYFUNCTION("""COMPUTED_VALUE"""),2.544195837533928)</f>
        <v>2.544195838</v>
      </c>
      <c r="Y2388" s="82">
        <f>IFERROR(__xludf.DUMMYFUNCTION("""COMPUTED_VALUE"""),327.02419913540365)</f>
        <v>327.0241991</v>
      </c>
      <c r="Z2388" s="82">
        <f>IFERROR(__xludf.DUMMYFUNCTION("""COMPUTED_VALUE"""),0.7099738629491967)</f>
        <v>0.7099738629</v>
      </c>
      <c r="AA2388" s="82">
        <f>IFERROR(__xludf.DUMMYFUNCTION("""COMPUTED_VALUE"""),0.49997749903861827)</f>
        <v>0.499977499</v>
      </c>
      <c r="AB2388" s="82">
        <f>IFERROR(__xludf.DUMMYFUNCTION("""COMPUTED_VALUE"""),1.2744828380928686)</f>
        <v>1.274482838</v>
      </c>
      <c r="AC2388" s="82">
        <f>IFERROR(__xludf.DUMMYFUNCTION("""COMPUTED_VALUE"""),2.342129018703938)</f>
        <v>2.342129019</v>
      </c>
      <c r="AD2388" s="82">
        <f>IFERROR(__xludf.DUMMYFUNCTION("""COMPUTED_VALUE"""),0.943146773227362)</f>
        <v>0.9431467732</v>
      </c>
      <c r="AE2388" s="82">
        <f>IFERROR(__xludf.DUMMYFUNCTION("""COMPUTED_VALUE"""),0.8963198077746312)</f>
        <v>0.8963198078</v>
      </c>
      <c r="AF2388" s="82">
        <f>IFERROR(__xludf.DUMMYFUNCTION("""COMPUTED_VALUE"""),0.6818488663282006)</f>
        <v>0.6818488663</v>
      </c>
      <c r="AG2388" s="82">
        <f>IFERROR(__xludf.DUMMYFUNCTION("""COMPUTED_VALUE"""),1.0164550723908208)</f>
        <v>1.016455072</v>
      </c>
      <c r="AH2388" s="82">
        <f>IFERROR(__xludf.DUMMYFUNCTION("""COMPUTED_VALUE"""),1.028590180067888)</f>
        <v>1.02859018</v>
      </c>
      <c r="AI2388" s="82">
        <f>IFERROR(__xludf.DUMMYFUNCTION("""COMPUTED_VALUE"""),0.9760171530558706)</f>
        <v>0.9760171531</v>
      </c>
      <c r="AJ2388" s="82">
        <f>IFERROR(__xludf.DUMMYFUNCTION("""COMPUTED_VALUE"""),1.0988355109892811)</f>
        <v>1.098835511</v>
      </c>
      <c r="AK2388" s="82">
        <f>IFERROR(__xludf.DUMMYFUNCTION("""COMPUTED_VALUE"""),1.0689773535599836)</f>
        <v>1.068977354</v>
      </c>
      <c r="AL2388" s="82">
        <f>IFERROR(__xludf.DUMMYFUNCTION("""COMPUTED_VALUE"""),0.8579151206758295)</f>
        <v>0.8579151207</v>
      </c>
      <c r="AM2388" s="82">
        <f>IFERROR(__xludf.DUMMYFUNCTION("""COMPUTED_VALUE"""),1.0034723999489514)</f>
        <v>1.0034724</v>
      </c>
      <c r="AN2388" s="82">
        <f>IFERROR(__xludf.DUMMYFUNCTION("""COMPUTED_VALUE"""),0.9480890451349286)</f>
        <v>0.9480890451</v>
      </c>
      <c r="AO2388" s="82">
        <f>IFERROR(__xludf.DUMMYFUNCTION("""COMPUTED_VALUE"""),0.8707244725417163)</f>
        <v>0.8707244725</v>
      </c>
      <c r="AP2388" s="82">
        <f>IFERROR(__xludf.DUMMYFUNCTION("""COMPUTED_VALUE"""),0.6612516164092002)</f>
        <v>0.6612516164</v>
      </c>
      <c r="AQ2388" s="82">
        <f>IFERROR(__xludf.DUMMYFUNCTION("""COMPUTED_VALUE"""),1.0744292575561485)</f>
        <v>1.074429258</v>
      </c>
      <c r="AR2388" s="82">
        <f>IFERROR(__xludf.DUMMYFUNCTION("""COMPUTED_VALUE"""),1.0124026066991587)</f>
        <v>1.012402607</v>
      </c>
      <c r="AS2388" s="82">
        <f>IFERROR(__xludf.DUMMYFUNCTION("""COMPUTED_VALUE"""),70.0)</f>
        <v>70</v>
      </c>
      <c r="AT2388" s="82">
        <f>IFERROR(__xludf.DUMMYFUNCTION("""COMPUTED_VALUE"""),0.3177941034660365)</f>
        <v>0.3177941035</v>
      </c>
      <c r="AU2388" s="82">
        <f>IFERROR(__xludf.DUMMYFUNCTION("""COMPUTED_VALUE"""),2.416932929466257)</f>
        <v>2.416932929</v>
      </c>
      <c r="AV2388" s="82">
        <f>IFERROR(__xludf.DUMMYFUNCTION("""COMPUTED_VALUE"""),38.87162397229071)</f>
        <v>38.87162397</v>
      </c>
      <c r="AW2388" s="82">
        <f t="shared" si="1"/>
        <v>-3.047748309</v>
      </c>
      <c r="AX2388" s="83">
        <f t="array" ref="AX2388">IFERROR(DGET('SBV Import'!A:G,"SBV",{"RSC ID","Tier";B2388,A2388}))</f>
        <v>43.80721364</v>
      </c>
      <c r="AY2388" s="82">
        <f t="shared" si="2"/>
        <v>-2.48645606</v>
      </c>
      <c r="AZ2388" s="82">
        <v>0.5612922487296932</v>
      </c>
      <c r="BA2388" s="84">
        <v>2300.0</v>
      </c>
      <c r="BB2388" s="84" t="b">
        <f>IFERROR(__xludf.DUMMYFUNCTION("iferror(if(A2388="""",,E2388&gt;=FILTER(Constants!$F$2:$F$10,Constants!$A$2:$A$10=A2388)))"),TRUE)</f>
        <v>1</v>
      </c>
    </row>
    <row r="2389">
      <c r="A2389" s="89" t="str">
        <f>IFERROR(__xludf.DUMMYFUNCTION("""COMPUTED_VALUE"""),"Challenger")</f>
        <v>Challenger</v>
      </c>
      <c r="B2389" s="87" t="str">
        <f>IFERROR(__xludf.DUMMYFUNCTION("""COMPUTED_VALUE"""),"RSC007604")</f>
        <v>RSC007604</v>
      </c>
      <c r="C2389" s="73" t="str">
        <f>IFERROR(__xludf.DUMMYFUNCTION("""COMPUTED_VALUE"""),"RiisenJT")</f>
        <v>RiisenJT</v>
      </c>
      <c r="D2389" s="73" t="str">
        <f>IFERROR(__xludf.DUMMYFUNCTION("""COMPUTED_VALUE"""),"Threshers")</f>
        <v>Threshers</v>
      </c>
      <c r="E2389" s="82">
        <f>IFERROR(__xludf.DUMMYFUNCTION("""COMPUTED_VALUE"""),39.0)</f>
        <v>39</v>
      </c>
      <c r="F2389" s="82">
        <f>IFERROR(__xludf.DUMMYFUNCTION("""COMPUTED_VALUE"""),11.0)</f>
        <v>11</v>
      </c>
      <c r="G2389" s="86">
        <f>IFERROR(__xludf.DUMMYFUNCTION("""COMPUTED_VALUE"""),28.0)</f>
        <v>28</v>
      </c>
      <c r="H2389" s="86">
        <f>IFERROR(__xludf.DUMMYFUNCTION("""COMPUTED_VALUE"""),0.28205128205128205)</f>
        <v>0.2820512821</v>
      </c>
      <c r="I2389" s="86">
        <f>IFERROR(__xludf.DUMMYFUNCTION("""COMPUTED_VALUE"""),0.2808988764044944)</f>
        <v>0.2808988764</v>
      </c>
      <c r="J2389" s="82">
        <f>IFERROR(__xludf.DUMMYFUNCTION("""COMPUTED_VALUE"""),313.6666666666667)</f>
        <v>313.6666667</v>
      </c>
      <c r="K2389" s="82">
        <f>IFERROR(__xludf.DUMMYFUNCTION("""COMPUTED_VALUE"""),0.6410256410256411)</f>
        <v>0.641025641</v>
      </c>
      <c r="L2389" s="82">
        <f>IFERROR(__xludf.DUMMYFUNCTION("""COMPUTED_VALUE"""),0.4358974358974359)</f>
        <v>0.4358974359</v>
      </c>
      <c r="M2389" s="82">
        <f>IFERROR(__xludf.DUMMYFUNCTION("""COMPUTED_VALUE"""),1.1025641025641026)</f>
        <v>1.102564103</v>
      </c>
      <c r="N2389" s="82">
        <f>IFERROR(__xludf.DUMMYFUNCTION("""COMPUTED_VALUE"""),2.282051282051282)</f>
        <v>2.282051282</v>
      </c>
      <c r="O2389" s="82">
        <f>IFERROR(__xludf.DUMMYFUNCTION("""COMPUTED_VALUE"""),361.2564102564102)</f>
        <v>361.2564103</v>
      </c>
      <c r="P2389" s="82">
        <f>IFERROR(__xludf.DUMMYFUNCTION("""COMPUTED_VALUE"""),0.9572649572649572)</f>
        <v>0.9572649573</v>
      </c>
      <c r="Q2389" s="82">
        <f>IFERROR(__xludf.DUMMYFUNCTION("""COMPUTED_VALUE"""),0.7008547008547008)</f>
        <v>0.7008547009</v>
      </c>
      <c r="R2389" s="82">
        <f>IFERROR(__xludf.DUMMYFUNCTION("""COMPUTED_VALUE"""),1.1538461538461537)</f>
        <v>1.153846154</v>
      </c>
      <c r="S2389" s="82">
        <f>IFERROR(__xludf.DUMMYFUNCTION("""COMPUTED_VALUE"""),2.829059829059829)</f>
        <v>2.829059829</v>
      </c>
      <c r="T2389" s="82">
        <f>IFERROR(__xludf.DUMMYFUNCTION("""COMPUTED_VALUE"""),347.052492994519)</f>
        <v>347.052493</v>
      </c>
      <c r="U2389" s="82">
        <f>IFERROR(__xludf.DUMMYFUNCTION("""COMPUTED_VALUE"""),0.8379320916444059)</f>
        <v>0.8379320916</v>
      </c>
      <c r="V2389" s="82">
        <f>IFERROR(__xludf.DUMMYFUNCTION("""COMPUTED_VALUE"""),0.5697077404560333)</f>
        <v>0.5697077405</v>
      </c>
      <c r="W2389" s="82">
        <f>IFERROR(__xludf.DUMMYFUNCTION("""COMPUTED_VALUE"""),1.1991202109343573)</f>
        <v>1.199120211</v>
      </c>
      <c r="X2389" s="82">
        <f>IFERROR(__xludf.DUMMYFUNCTION("""COMPUTED_VALUE"""),2.5842071624417295)</f>
        <v>2.584207162</v>
      </c>
      <c r="Y2389" s="82">
        <f>IFERROR(__xludf.DUMMYFUNCTION("""COMPUTED_VALUE"""),326.1255643776699)</f>
        <v>326.1255644</v>
      </c>
      <c r="Z2389" s="82">
        <f>IFERROR(__xludf.DUMMYFUNCTION("""COMPUTED_VALUE"""),0.7240588985422132)</f>
        <v>0.7240588985</v>
      </c>
      <c r="AA2389" s="82">
        <f>IFERROR(__xludf.DUMMYFUNCTION("""COMPUTED_VALUE"""),0.4858691182906835)</f>
        <v>0.4858691183</v>
      </c>
      <c r="AB2389" s="82">
        <f>IFERROR(__xludf.DUMMYFUNCTION("""COMPUTED_VALUE"""),1.228680615901112)</f>
        <v>1.228680616</v>
      </c>
      <c r="AC2389" s="82">
        <f>IFERROR(__xludf.DUMMYFUNCTION("""COMPUTED_VALUE"""),2.341847907832213)</f>
        <v>2.341847908</v>
      </c>
      <c r="AD2389" s="82">
        <f>IFERROR(__xludf.DUMMYFUNCTION("""COMPUTED_VALUE"""),0.9617972367950426)</f>
        <v>0.9617972368</v>
      </c>
      <c r="AE2389" s="82">
        <f>IFERROR(__xludf.DUMMYFUNCTION("""COMPUTED_VALUE"""),0.8853225094205078)</f>
        <v>0.8853225094</v>
      </c>
      <c r="AF2389" s="82">
        <f>IFERROR(__xludf.DUMMYFUNCTION("""COMPUTED_VALUE"""),0.8971499103111328)</f>
        <v>0.8971499103</v>
      </c>
      <c r="AG2389" s="82">
        <f>IFERROR(__xludf.DUMMYFUNCTION("""COMPUTED_VALUE"""),0.8973561463370887)</f>
        <v>0.8973561463</v>
      </c>
      <c r="AH2389" s="82">
        <f>IFERROR(__xludf.DUMMYFUNCTION("""COMPUTED_VALUE"""),0.9744660506854678)</f>
        <v>0.9744660507</v>
      </c>
      <c r="AI2389" s="82">
        <f>IFERROR(__xludf.DUMMYFUNCTION("""COMPUTED_VALUE"""),1.0409272877982627)</f>
        <v>1.040927288</v>
      </c>
      <c r="AJ2389" s="82">
        <f>IFERROR(__xludf.DUMMYFUNCTION("""COMPUTED_VALUE"""),1.1424135282685806)</f>
        <v>1.142413528</v>
      </c>
      <c r="AK2389" s="82">
        <f>IFERROR(__xludf.DUMMYFUNCTION("""COMPUTED_VALUE"""),1.2302004187158988)</f>
        <v>1.230200419</v>
      </c>
      <c r="AL2389" s="82">
        <f>IFERROR(__xludf.DUMMYFUNCTION("""COMPUTED_VALUE"""),0.9622439379510367)</f>
        <v>0.962243938</v>
      </c>
      <c r="AM2389" s="82">
        <f>IFERROR(__xludf.DUMMYFUNCTION("""COMPUTED_VALUE"""),1.0947496277298243)</f>
        <v>1.094749628</v>
      </c>
      <c r="AN2389" s="82">
        <f>IFERROR(__xludf.DUMMYFUNCTION("""COMPUTED_VALUE"""),0.9641804540261486)</f>
        <v>0.964180454</v>
      </c>
      <c r="AO2389" s="82">
        <f>IFERROR(__xludf.DUMMYFUNCTION("""COMPUTED_VALUE"""),0.8771034064064909)</f>
        <v>0.8771034064</v>
      </c>
      <c r="AP2389" s="82">
        <f>IFERROR(__xludf.DUMMYFUNCTION("""COMPUTED_VALUE"""),0.8454977932890286)</f>
        <v>0.8454977933</v>
      </c>
      <c r="AQ2389" s="82">
        <f>IFERROR(__xludf.DUMMYFUNCTION("""COMPUTED_VALUE"""),0.9144490127288498)</f>
        <v>0.9144490127</v>
      </c>
      <c r="AR2389" s="82">
        <f>IFERROR(__xludf.DUMMYFUNCTION("""COMPUTED_VALUE"""),0.9590151446139102)</f>
        <v>0.9590151446</v>
      </c>
      <c r="AS2389" s="82">
        <f>IFERROR(__xludf.DUMMYFUNCTION("""COMPUTED_VALUE"""),73.0)</f>
        <v>73</v>
      </c>
      <c r="AT2389" s="82">
        <f>IFERROR(__xludf.DUMMYFUNCTION("""COMPUTED_VALUE"""),0.33868614746421954)</f>
        <v>0.3386861475</v>
      </c>
      <c r="AU2389" s="82">
        <f>IFERROR(__xludf.DUMMYFUNCTION("""COMPUTED_VALUE"""),2.4088640581312037)</f>
        <v>2.408864058</v>
      </c>
      <c r="AV2389" s="82">
        <f>IFERROR(__xludf.DUMMYFUNCTION("""COMPUTED_VALUE"""),38.661040464567265)</f>
        <v>38.66104046</v>
      </c>
      <c r="AW2389" s="82">
        <f t="shared" si="1"/>
        <v>-3.076228728</v>
      </c>
      <c r="AX2389" s="83">
        <f t="array" ref="AX2389">IFERROR(DGET('SBV Import'!A:G,"SBV",{"RSC ID","Tier";B2389,A2389}))</f>
        <v>35.67651827</v>
      </c>
      <c r="AY2389" s="82">
        <f t="shared" si="2"/>
        <v>-3.529292507</v>
      </c>
      <c r="AZ2389" s="82">
        <v>0.45306377886407123</v>
      </c>
      <c r="BA2389" s="84">
        <v>2300.0</v>
      </c>
      <c r="BB2389" s="84" t="b">
        <f>IFERROR(__xludf.DUMMYFUNCTION("iferror(if(A2389="""",,E2389&gt;=FILTER(Constants!$F$2:$F$10,Constants!$A$2:$A$10=A2389)))"),TRUE)</f>
        <v>1</v>
      </c>
    </row>
    <row r="2390">
      <c r="A2390" s="89" t="str">
        <f>IFERROR(__xludf.DUMMYFUNCTION("""COMPUTED_VALUE"""),"Challenger")</f>
        <v>Challenger</v>
      </c>
      <c r="B2390" s="87" t="str">
        <f>IFERROR(__xludf.DUMMYFUNCTION("""COMPUTED_VALUE"""),"RSC006346")</f>
        <v>RSC006346</v>
      </c>
      <c r="C2390" s="73" t="str">
        <f>IFERROR(__xludf.DUMMYFUNCTION("""COMPUTED_VALUE"""),"MobBossCitrus")</f>
        <v>MobBossCitrus</v>
      </c>
      <c r="D2390" s="73" t="str">
        <f>IFERROR(__xludf.DUMMYFUNCTION("""COMPUTED_VALUE"""),"Void")</f>
        <v>Void</v>
      </c>
      <c r="E2390" s="82">
        <f>IFERROR(__xludf.DUMMYFUNCTION("""COMPUTED_VALUE"""),39.0)</f>
        <v>39</v>
      </c>
      <c r="F2390" s="82">
        <f>IFERROR(__xludf.DUMMYFUNCTION("""COMPUTED_VALUE"""),16.0)</f>
        <v>16</v>
      </c>
      <c r="G2390" s="86">
        <f>IFERROR(__xludf.DUMMYFUNCTION("""COMPUTED_VALUE"""),23.0)</f>
        <v>23</v>
      </c>
      <c r="H2390" s="86">
        <f>IFERROR(__xludf.DUMMYFUNCTION("""COMPUTED_VALUE"""),0.41025641025641024)</f>
        <v>0.4102564103</v>
      </c>
      <c r="I2390" s="86">
        <f>IFERROR(__xludf.DUMMYFUNCTION("""COMPUTED_VALUE"""),0.2666666666666667)</f>
        <v>0.2666666667</v>
      </c>
      <c r="J2390" s="82">
        <f>IFERROR(__xludf.DUMMYFUNCTION("""COMPUTED_VALUE"""),290.46153846153845)</f>
        <v>290.4615385</v>
      </c>
      <c r="K2390" s="82">
        <f>IFERROR(__xludf.DUMMYFUNCTION("""COMPUTED_VALUE"""),0.6153846153846154)</f>
        <v>0.6153846154</v>
      </c>
      <c r="L2390" s="82">
        <f>IFERROR(__xludf.DUMMYFUNCTION("""COMPUTED_VALUE"""),0.46153846153846156)</f>
        <v>0.4615384615</v>
      </c>
      <c r="M2390" s="82">
        <f>IFERROR(__xludf.DUMMYFUNCTION("""COMPUTED_VALUE"""),1.0769230769230769)</f>
        <v>1.076923077</v>
      </c>
      <c r="N2390" s="82">
        <f>IFERROR(__xludf.DUMMYFUNCTION("""COMPUTED_VALUE"""),2.3076923076923075)</f>
        <v>2.307692308</v>
      </c>
      <c r="O2390" s="82">
        <f>IFERROR(__xludf.DUMMYFUNCTION("""COMPUTED_VALUE"""),345.9829059829061)</f>
        <v>345.982906</v>
      </c>
      <c r="P2390" s="82">
        <f>IFERROR(__xludf.DUMMYFUNCTION("""COMPUTED_VALUE"""),0.8632478632478634)</f>
        <v>0.8632478632</v>
      </c>
      <c r="Q2390" s="82">
        <f>IFERROR(__xludf.DUMMYFUNCTION("""COMPUTED_VALUE"""),0.5299145299145298)</f>
        <v>0.5299145299</v>
      </c>
      <c r="R2390" s="82">
        <f>IFERROR(__xludf.DUMMYFUNCTION("""COMPUTED_VALUE"""),1.222222222222222)</f>
        <v>1.222222222</v>
      </c>
      <c r="S2390" s="82">
        <f>IFERROR(__xludf.DUMMYFUNCTION("""COMPUTED_VALUE"""),2.29059829059829)</f>
        <v>2.290598291</v>
      </c>
      <c r="T2390" s="82">
        <f>IFERROR(__xludf.DUMMYFUNCTION("""COMPUTED_VALUE"""),330.2329485322499)</f>
        <v>330.2329485</v>
      </c>
      <c r="U2390" s="82">
        <f>IFERROR(__xludf.DUMMYFUNCTION("""COMPUTED_VALUE"""),0.7460545216089642)</f>
        <v>0.7460545216</v>
      </c>
      <c r="V2390" s="82">
        <f>IFERROR(__xludf.DUMMYFUNCTION("""COMPUTED_VALUE"""),0.5270658369113479)</f>
        <v>0.5270658369</v>
      </c>
      <c r="W2390" s="82">
        <f>IFERROR(__xludf.DUMMYFUNCTION("""COMPUTED_VALUE"""),1.2074780377588037)</f>
        <v>1.207478038</v>
      </c>
      <c r="X2390" s="82">
        <f>IFERROR(__xludf.DUMMYFUNCTION("""COMPUTED_VALUE"""),2.319955974531014)</f>
        <v>2.319955975</v>
      </c>
      <c r="Y2390" s="82">
        <f>IFERROR(__xludf.DUMMYFUNCTION("""COMPUTED_VALUE"""),335.6560416264938)</f>
        <v>335.6560416</v>
      </c>
      <c r="Z2390" s="82">
        <f>IFERROR(__xludf.DUMMYFUNCTION("""COMPUTED_VALUE"""),0.821920775926154)</f>
        <v>0.8219207759</v>
      </c>
      <c r="AA2390" s="82">
        <f>IFERROR(__xludf.DUMMYFUNCTION("""COMPUTED_VALUE"""),0.5469421075199461)</f>
        <v>0.5469421075</v>
      </c>
      <c r="AB2390" s="82">
        <f>IFERROR(__xludf.DUMMYFUNCTION("""COMPUTED_VALUE"""),1.1309903019734537)</f>
        <v>1.130990302</v>
      </c>
      <c r="AC2390" s="82">
        <f>IFERROR(__xludf.DUMMYFUNCTION("""COMPUTED_VALUE"""),2.5088095592410062)</f>
        <v>2.508809559</v>
      </c>
      <c r="AD2390" s="82">
        <f>IFERROR(__xludf.DUMMYFUNCTION("""COMPUTED_VALUE"""),0.8653547156608425)</f>
        <v>0.8653547157</v>
      </c>
      <c r="AE2390" s="82">
        <f>IFERROR(__xludf.DUMMYFUNCTION("""COMPUTED_VALUE"""),0.74871524532421)</f>
        <v>0.7487152453</v>
      </c>
      <c r="AF2390" s="82">
        <f>IFERROR(__xludf.DUMMYFUNCTION("""COMPUTED_VALUE"""),0.8438524940624178)</f>
        <v>0.8438524941</v>
      </c>
      <c r="AG2390" s="82">
        <f>IFERROR(__xludf.DUMMYFUNCTION("""COMPUTED_VALUE"""),0.9521947933982852)</f>
        <v>0.9521947934</v>
      </c>
      <c r="AH2390" s="82">
        <f>IFERROR(__xludf.DUMMYFUNCTION("""COMPUTED_VALUE"""),0.9198355846469498)</f>
        <v>0.9198355846</v>
      </c>
      <c r="AI2390" s="82">
        <f>IFERROR(__xludf.DUMMYFUNCTION("""COMPUTED_VALUE"""),1.047693476743185)</f>
        <v>1.047693477</v>
      </c>
      <c r="AJ2390" s="82">
        <f>IFERROR(__xludf.DUMMYFUNCTION("""COMPUTED_VALUE"""),1.1570841516866037)</f>
        <v>1.157084152</v>
      </c>
      <c r="AK2390" s="82">
        <f>IFERROR(__xludf.DUMMYFUNCTION("""COMPUTED_VALUE"""),1.0054048143584404)</f>
        <v>1.005404814</v>
      </c>
      <c r="AL2390" s="82">
        <f>IFERROR(__xludf.DUMMYFUNCTION("""COMPUTED_VALUE"""),1.0122107268226468)</f>
        <v>1.012210727</v>
      </c>
      <c r="AM2390" s="82">
        <f>IFERROR(__xludf.DUMMYFUNCTION("""COMPUTED_VALUE"""),0.9873455857546355)</f>
        <v>0.9873455858</v>
      </c>
      <c r="AN2390" s="82">
        <f>IFERROR(__xludf.DUMMYFUNCTION("""COMPUTED_VALUE"""),0.8928501743814444)</f>
        <v>0.8928501744</v>
      </c>
      <c r="AO2390" s="82">
        <f>IFERROR(__xludf.DUMMYFUNCTION("""COMPUTED_VALUE"""),0.8420192701502311)</f>
        <v>0.8420192702</v>
      </c>
      <c r="AP2390" s="82">
        <f>IFERROR(__xludf.DUMMYFUNCTION("""COMPUTED_VALUE"""),0.895232957600148)</f>
        <v>0.8952329576</v>
      </c>
      <c r="AQ2390" s="82">
        <f>IFERROR(__xludf.DUMMYFUNCTION("""COMPUTED_VALUE"""),0.8931827566188765)</f>
        <v>0.8931827566</v>
      </c>
      <c r="AR2390" s="82">
        <f>IFERROR(__xludf.DUMMYFUNCTION("""COMPUTED_VALUE"""),0.9697905956769879)</f>
        <v>0.9697905957</v>
      </c>
      <c r="AS2390" s="82">
        <f>IFERROR(__xludf.DUMMYFUNCTION("""COMPUTED_VALUE"""),79.0)</f>
        <v>79</v>
      </c>
      <c r="AT2390" s="82">
        <f>IFERROR(__xludf.DUMMYFUNCTION("""COMPUTED_VALUE"""),0.40587313811610354)</f>
        <v>0.4058731381</v>
      </c>
      <c r="AU2390" s="82">
        <f>IFERROR(__xludf.DUMMYFUNCTION("""COMPUTED_VALUE"""),2.2952781093633443)</f>
        <v>2.295278109</v>
      </c>
      <c r="AV2390" s="82">
        <f>IFERROR(__xludf.DUMMYFUNCTION("""COMPUTED_VALUE"""),35.69664476083112)</f>
        <v>35.69664476</v>
      </c>
      <c r="AW2390" s="82">
        <f t="shared" si="1"/>
        <v>-3.525900043</v>
      </c>
      <c r="AX2390" s="83">
        <f t="array" ref="AX2390">IFERROR(DGET('SBV Import'!A:G,"SBV",{"RSC ID","Tier";B2390,A2390}))</f>
        <v>40.9544738</v>
      </c>
      <c r="AY2390" s="82">
        <f t="shared" si="2"/>
        <v>-2.78751176</v>
      </c>
      <c r="AZ2390" s="82">
        <v>0.7383882831368398</v>
      </c>
      <c r="BA2390" s="84">
        <v>2300.0</v>
      </c>
      <c r="BB2390" s="84" t="b">
        <f>IFERROR(__xludf.DUMMYFUNCTION("iferror(if(A2390="""",,E2390&gt;=FILTER(Constants!$F$2:$F$10,Constants!$A$2:$A$10=A2390)))"),TRUE)</f>
        <v>1</v>
      </c>
    </row>
    <row r="2391">
      <c r="A2391" s="89" t="str">
        <f>IFERROR(__xludf.DUMMYFUNCTION("""COMPUTED_VALUE"""),"Challenger")</f>
        <v>Challenger</v>
      </c>
      <c r="B2391" s="87" t="str">
        <f>IFERROR(__xludf.DUMMYFUNCTION("""COMPUTED_VALUE"""),"RSC003912")</f>
        <v>RSC003912</v>
      </c>
      <c r="C2391" s="73" t="str">
        <f>IFERROR(__xludf.DUMMYFUNCTION("""COMPUTED_VALUE"""),"ItsJustSticky.")</f>
        <v>ItsJustSticky.</v>
      </c>
      <c r="D2391" s="73" t="str">
        <f>IFERROR(__xludf.DUMMYFUNCTION("""COMPUTED_VALUE"""),"Pharaohs")</f>
        <v>Pharaohs</v>
      </c>
      <c r="E2391" s="82">
        <f>IFERROR(__xludf.DUMMYFUNCTION("""COMPUTED_VALUE"""),40.0)</f>
        <v>40</v>
      </c>
      <c r="F2391" s="82">
        <f>IFERROR(__xludf.DUMMYFUNCTION("""COMPUTED_VALUE"""),18.0)</f>
        <v>18</v>
      </c>
      <c r="G2391" s="86">
        <f>IFERROR(__xludf.DUMMYFUNCTION("""COMPUTED_VALUE"""),22.0)</f>
        <v>22</v>
      </c>
      <c r="H2391" s="86">
        <f>IFERROR(__xludf.DUMMYFUNCTION("""COMPUTED_VALUE"""),0.45)</f>
        <v>0.45</v>
      </c>
      <c r="I2391" s="86">
        <f>IFERROR(__xludf.DUMMYFUNCTION("""COMPUTED_VALUE"""),0.2916666666666667)</f>
        <v>0.2916666667</v>
      </c>
      <c r="J2391" s="82">
        <f>IFERROR(__xludf.DUMMYFUNCTION("""COMPUTED_VALUE"""),338.8611111111111)</f>
        <v>338.8611111</v>
      </c>
      <c r="K2391" s="82">
        <f>IFERROR(__xludf.DUMMYFUNCTION("""COMPUTED_VALUE"""),0.5833333333333334)</f>
        <v>0.5833333333</v>
      </c>
      <c r="L2391" s="82">
        <f>IFERROR(__xludf.DUMMYFUNCTION("""COMPUTED_VALUE"""),0.4722222222222222)</f>
        <v>0.4722222222</v>
      </c>
      <c r="M2391" s="82">
        <f>IFERROR(__xludf.DUMMYFUNCTION("""COMPUTED_VALUE"""),1.5277777777777777)</f>
        <v>1.527777778</v>
      </c>
      <c r="N2391" s="82">
        <f>IFERROR(__xludf.DUMMYFUNCTION("""COMPUTED_VALUE"""),2.0)</f>
        <v>2</v>
      </c>
      <c r="O2391" s="82">
        <f>IFERROR(__xludf.DUMMYFUNCTION("""COMPUTED_VALUE"""),336.2407407407408)</f>
        <v>336.2407407</v>
      </c>
      <c r="P2391" s="82">
        <f>IFERROR(__xludf.DUMMYFUNCTION("""COMPUTED_VALUE"""),0.7685185185185186)</f>
        <v>0.7685185185</v>
      </c>
      <c r="Q2391" s="82">
        <f>IFERROR(__xludf.DUMMYFUNCTION("""COMPUTED_VALUE"""),0.5648148148148148)</f>
        <v>0.5648148148</v>
      </c>
      <c r="R2391" s="82">
        <f>IFERROR(__xludf.DUMMYFUNCTION("""COMPUTED_VALUE"""),1.0185185185185184)</f>
        <v>1.018518519</v>
      </c>
      <c r="S2391" s="82">
        <f>IFERROR(__xludf.DUMMYFUNCTION("""COMPUTED_VALUE"""),2.9259259259259256)</f>
        <v>2.925925926</v>
      </c>
      <c r="T2391" s="82">
        <f>IFERROR(__xludf.DUMMYFUNCTION("""COMPUTED_VALUE"""),324.22492851410294)</f>
        <v>324.2249285</v>
      </c>
      <c r="U2391" s="82">
        <f>IFERROR(__xludf.DUMMYFUNCTION("""COMPUTED_VALUE"""),0.7169726984421345)</f>
        <v>0.7169726984</v>
      </c>
      <c r="V2391" s="82">
        <f>IFERROR(__xludf.DUMMYFUNCTION("""COMPUTED_VALUE"""),0.5115093716395485)</f>
        <v>0.5115093716</v>
      </c>
      <c r="W2391" s="82">
        <f>IFERROR(__xludf.DUMMYFUNCTION("""COMPUTED_VALUE"""),1.1822070292511326)</f>
        <v>1.182207029</v>
      </c>
      <c r="X2391" s="82">
        <f>IFERROR(__xludf.DUMMYFUNCTION("""COMPUTED_VALUE"""),2.4611443868656977)</f>
        <v>2.461144387</v>
      </c>
      <c r="Y2391" s="82">
        <f>IFERROR(__xludf.DUMMYFUNCTION("""COMPUTED_VALUE"""),335.3546429575198)</f>
        <v>335.354643</v>
      </c>
      <c r="Z2391" s="82">
        <f>IFERROR(__xludf.DUMMYFUNCTION("""COMPUTED_VALUE"""),0.762861148193776)</f>
        <v>0.7628611482</v>
      </c>
      <c r="AA2391" s="82">
        <f>IFERROR(__xludf.DUMMYFUNCTION("""COMPUTED_VALUE"""),0.5275276230649657)</f>
        <v>0.5275276231</v>
      </c>
      <c r="AB2391" s="82">
        <f>IFERROR(__xludf.DUMMYFUNCTION("""COMPUTED_VALUE"""),1.268063293548456)</f>
        <v>1.268063294</v>
      </c>
      <c r="AC2391" s="82">
        <f>IFERROR(__xludf.DUMMYFUNCTION("""COMPUTED_VALUE"""),2.4030326553819608)</f>
        <v>2.403032655</v>
      </c>
      <c r="AD2391" s="82">
        <f>IFERROR(__xludf.DUMMYFUNCTION("""COMPUTED_VALUE"""),1.010456000020359)</f>
        <v>1.010456</v>
      </c>
      <c r="AE2391" s="82">
        <f>IFERROR(__xludf.DUMMYFUNCTION("""COMPUTED_VALUE"""),0.7646651487161064)</f>
        <v>0.7646651487</v>
      </c>
      <c r="AF2391" s="82">
        <f>IFERROR(__xludf.DUMMYFUNCTION("""COMPUTED_VALUE"""),0.8951611282051621)</f>
        <v>0.8951611282</v>
      </c>
      <c r="AG2391" s="82">
        <f>IFERROR(__xludf.DUMMYFUNCTION("""COMPUTED_VALUE"""),1.2048119250440217)</f>
        <v>1.204811925</v>
      </c>
      <c r="AH2391" s="82">
        <f>IFERROR(__xludf.DUMMYFUNCTION("""COMPUTED_VALUE"""),0.8322816568974595)</f>
        <v>0.8322816569</v>
      </c>
      <c r="AI2391" s="82">
        <f>IFERROR(__xludf.DUMMYFUNCTION("""COMPUTED_VALUE"""),1.037060112193425)</f>
        <v>1.037060112</v>
      </c>
      <c r="AJ2391" s="82">
        <f>IFERROR(__xludf.DUMMYFUNCTION("""COMPUTED_VALUE"""),1.071893699981024)</f>
        <v>1.0718937</v>
      </c>
      <c r="AK2391" s="82">
        <f>IFERROR(__xludf.DUMMYFUNCTION("""COMPUTED_VALUE"""),1.104212055791677)</f>
        <v>1.104212056</v>
      </c>
      <c r="AL2391" s="82">
        <f>IFERROR(__xludf.DUMMYFUNCTION("""COMPUTED_VALUE"""),0.8615398938743389)</f>
        <v>0.8615398939</v>
      </c>
      <c r="AM2391" s="82">
        <f>IFERROR(__xludf.DUMMYFUNCTION("""COMPUTED_VALUE"""),1.188847733412396)</f>
        <v>1.188847733</v>
      </c>
      <c r="AN2391" s="82">
        <f>IFERROR(__xludf.DUMMYFUNCTION("""COMPUTED_VALUE"""),1.041625695949786)</f>
        <v>1.041625696</v>
      </c>
      <c r="AO2391" s="82">
        <f>IFERROR(__xludf.DUMMYFUNCTION("""COMPUTED_VALUE"""),0.7981640998299067)</f>
        <v>0.7981640998</v>
      </c>
      <c r="AP2391" s="82">
        <f>IFERROR(__xludf.DUMMYFUNCTION("""COMPUTED_VALUE"""),0.915955942729781)</f>
        <v>0.9159559427</v>
      </c>
      <c r="AQ2391" s="82">
        <f>IFERROR(__xludf.DUMMYFUNCTION("""COMPUTED_VALUE"""),1.2671144265525727)</f>
        <v>1.267114427</v>
      </c>
      <c r="AR2391" s="82">
        <f>IFERROR(__xludf.DUMMYFUNCTION("""COMPUTED_VALUE"""),0.8404851829200563)</f>
        <v>0.8404851829</v>
      </c>
      <c r="AS2391" s="82">
        <f>IFERROR(__xludf.DUMMYFUNCTION("""COMPUTED_VALUE"""),74.0)</f>
        <v>74</v>
      </c>
      <c r="AT2391" s="82">
        <f>IFERROR(__xludf.DUMMYFUNCTION("""COMPUTED_VALUE"""),0.4179213322503626)</f>
        <v>0.4179213323</v>
      </c>
      <c r="AU2391" s="82">
        <f>IFERROR(__xludf.DUMMYFUNCTION("""COMPUTED_VALUE"""),2.291072389197808)</f>
        <v>2.291072389</v>
      </c>
      <c r="AV2391" s="82">
        <f>IFERROR(__xludf.DUMMYFUNCTION("""COMPUTED_VALUE"""),35.586882779485066)</f>
        <v>35.58688278</v>
      </c>
      <c r="AW2391" s="82">
        <f t="shared" si="1"/>
        <v>-3.544461629</v>
      </c>
      <c r="AX2391" s="83">
        <f t="array" ref="AX2391">IFERROR(DGET('SBV Import'!A:G,"SBV",{"RSC ID","Tier";B2391,A2391}))</f>
        <v>36.96763777</v>
      </c>
      <c r="AY2391" s="82">
        <f t="shared" si="2"/>
        <v>-3.321367336</v>
      </c>
      <c r="AZ2391" s="82">
        <v>0.22309429314414508</v>
      </c>
      <c r="BA2391" s="84">
        <v>2300.0</v>
      </c>
      <c r="BB2391" s="84" t="b">
        <f>IFERROR(__xludf.DUMMYFUNCTION("iferror(if(A2391="""",,E2391&gt;=FILTER(Constants!$F$2:$F$10,Constants!$A$2:$A$10=A2391)))"),TRUE)</f>
        <v>1</v>
      </c>
    </row>
    <row r="2392">
      <c r="A2392" s="89" t="str">
        <f>IFERROR(__xludf.DUMMYFUNCTION("""COMPUTED_VALUE"""),"Challenger")</f>
        <v>Challenger</v>
      </c>
      <c r="B2392" s="87" t="str">
        <f>IFERROR(__xludf.DUMMYFUNCTION("""COMPUTED_VALUE"""),"RSC004073")</f>
        <v>RSC004073</v>
      </c>
      <c r="C2392" s="73" t="str">
        <f>IFERROR(__xludf.DUMMYFUNCTION("""COMPUTED_VALUE"""),"BusterChugs")</f>
        <v>BusterChugs</v>
      </c>
      <c r="D2392" s="73" t="str">
        <f>IFERROR(__xludf.DUMMYFUNCTION("""COMPUTED_VALUE"""),"Spearmint")</f>
        <v>Spearmint</v>
      </c>
      <c r="E2392" s="82">
        <f>IFERROR(__xludf.DUMMYFUNCTION("""COMPUTED_VALUE"""),41.0)</f>
        <v>41</v>
      </c>
      <c r="F2392" s="82">
        <f>IFERROR(__xludf.DUMMYFUNCTION("""COMPUTED_VALUE"""),13.0)</f>
        <v>13</v>
      </c>
      <c r="G2392" s="86">
        <f>IFERROR(__xludf.DUMMYFUNCTION("""COMPUTED_VALUE"""),28.0)</f>
        <v>28</v>
      </c>
      <c r="H2392" s="86">
        <f>IFERROR(__xludf.DUMMYFUNCTION("""COMPUTED_VALUE"""),0.3170731707317073)</f>
        <v>0.3170731707</v>
      </c>
      <c r="I2392" s="86">
        <f>IFERROR(__xludf.DUMMYFUNCTION("""COMPUTED_VALUE"""),0.34567901234567905)</f>
        <v>0.3456790123</v>
      </c>
      <c r="J2392" s="82">
        <f>IFERROR(__xludf.DUMMYFUNCTION("""COMPUTED_VALUE"""),306.0)</f>
        <v>306</v>
      </c>
      <c r="K2392" s="82">
        <f>IFERROR(__xludf.DUMMYFUNCTION("""COMPUTED_VALUE"""),0.6829268292682927)</f>
        <v>0.6829268293</v>
      </c>
      <c r="L2392" s="82">
        <f>IFERROR(__xludf.DUMMYFUNCTION("""COMPUTED_VALUE"""),0.4634146341463415)</f>
        <v>0.4634146341</v>
      </c>
      <c r="M2392" s="82">
        <f>IFERROR(__xludf.DUMMYFUNCTION("""COMPUTED_VALUE"""),1.0731707317073171)</f>
        <v>1.073170732</v>
      </c>
      <c r="N2392" s="82">
        <f>IFERROR(__xludf.DUMMYFUNCTION("""COMPUTED_VALUE"""),1.975609756097561)</f>
        <v>1.975609756</v>
      </c>
      <c r="O2392" s="82">
        <f>IFERROR(__xludf.DUMMYFUNCTION("""COMPUTED_VALUE"""),346.8048780487805)</f>
        <v>346.804878</v>
      </c>
      <c r="P2392" s="82">
        <f>IFERROR(__xludf.DUMMYFUNCTION("""COMPUTED_VALUE"""),0.9593495934959348)</f>
        <v>0.9593495935</v>
      </c>
      <c r="Q2392" s="82">
        <f>IFERROR(__xludf.DUMMYFUNCTION("""COMPUTED_VALUE"""),0.6097560975609756)</f>
        <v>0.6097560976</v>
      </c>
      <c r="R2392" s="82">
        <f>IFERROR(__xludf.DUMMYFUNCTION("""COMPUTED_VALUE"""),1.0813008130081303)</f>
        <v>1.081300813</v>
      </c>
      <c r="S2392" s="82">
        <f>IFERROR(__xludf.DUMMYFUNCTION("""COMPUTED_VALUE"""),2.577235772357724)</f>
        <v>2.577235772</v>
      </c>
      <c r="T2392" s="82">
        <f>IFERROR(__xludf.DUMMYFUNCTION("""COMPUTED_VALUE"""),332.89373874788606)</f>
        <v>332.8937387</v>
      </c>
      <c r="U2392" s="82">
        <f>IFERROR(__xludf.DUMMYFUNCTION("""COMPUTED_VALUE"""),0.7629837490336033)</f>
        <v>0.762983749</v>
      </c>
      <c r="V2392" s="82">
        <f>IFERROR(__xludf.DUMMYFUNCTION("""COMPUTED_VALUE"""),0.5108360518369366)</f>
        <v>0.5108360518</v>
      </c>
      <c r="W2392" s="82">
        <f>IFERROR(__xludf.DUMMYFUNCTION("""COMPUTED_VALUE"""),1.22442787480391)</f>
        <v>1.224427875</v>
      </c>
      <c r="X2392" s="82">
        <f>IFERROR(__xludf.DUMMYFUNCTION("""COMPUTED_VALUE"""),2.395760512428349)</f>
        <v>2.395760512</v>
      </c>
      <c r="Y2392" s="82">
        <f>IFERROR(__xludf.DUMMYFUNCTION("""COMPUTED_VALUE"""),331.9969688463923)</f>
        <v>331.9969688</v>
      </c>
      <c r="Z2392" s="82">
        <f>IFERROR(__xludf.DUMMYFUNCTION("""COMPUTED_VALUE"""),0.757755919286062)</f>
        <v>0.7577559193</v>
      </c>
      <c r="AA2392" s="82">
        <f>IFERROR(__xludf.DUMMYFUNCTION("""COMPUTED_VALUE"""),0.5178722744764507)</f>
        <v>0.5178722745</v>
      </c>
      <c r="AB2392" s="82">
        <f>IFERROR(__xludf.DUMMYFUNCTION("""COMPUTED_VALUE"""),1.2005184037667367)</f>
        <v>1.200518404</v>
      </c>
      <c r="AC2392" s="82">
        <f>IFERROR(__xludf.DUMMYFUNCTION("""COMPUTED_VALUE"""),2.4270123566212893)</f>
        <v>2.427012357</v>
      </c>
      <c r="AD2392" s="82">
        <f>IFERROR(__xludf.DUMMYFUNCTION("""COMPUTED_VALUE"""),0.921695162047035)</f>
        <v>0.921695162</v>
      </c>
      <c r="AE2392" s="82">
        <f>IFERROR(__xludf.DUMMYFUNCTION("""COMPUTED_VALUE"""),0.9012490854729696)</f>
        <v>0.9012490855</v>
      </c>
      <c r="AF2392" s="82">
        <f>IFERROR(__xludf.DUMMYFUNCTION("""COMPUTED_VALUE"""),0.8948434913122858)</f>
        <v>0.8948434913</v>
      </c>
      <c r="AG2392" s="82">
        <f>IFERROR(__xludf.DUMMYFUNCTION("""COMPUTED_VALUE"""),0.8939227656486943)</f>
        <v>0.8939227656</v>
      </c>
      <c r="AH2392" s="82">
        <f>IFERROR(__xludf.DUMMYFUNCTION("""COMPUTED_VALUE"""),0.814008940130763)</f>
        <v>0.8140089401</v>
      </c>
      <c r="AI2392" s="82">
        <f>IFERROR(__xludf.DUMMYFUNCTION("""COMPUTED_VALUE"""),1.0417885279345247)</f>
        <v>1.041788528</v>
      </c>
      <c r="AJ2392" s="82">
        <f>IFERROR(__xludf.DUMMYFUNCTION("""COMPUTED_VALUE"""),1.2573656971213985)</f>
        <v>1.257365697</v>
      </c>
      <c r="AK2392" s="82">
        <f>IFERROR(__xludf.DUMMYFUNCTION("""COMPUTED_VALUE"""),1.1936434309370458)</f>
        <v>1.193643431</v>
      </c>
      <c r="AL2392" s="82">
        <f>IFERROR(__xludf.DUMMYFUNCTION("""COMPUTED_VALUE"""),0.8831069883812461)</f>
        <v>0.8831069884</v>
      </c>
      <c r="AM2392" s="82">
        <f>IFERROR(__xludf.DUMMYFUNCTION("""COMPUTED_VALUE"""),1.0757484978101717)</f>
        <v>1.075748498</v>
      </c>
      <c r="AN2392" s="82">
        <f>IFERROR(__xludf.DUMMYFUNCTION("""COMPUTED_VALUE"""),0.9406138754474009)</f>
        <v>0.9406138754</v>
      </c>
      <c r="AO2392" s="82">
        <f>IFERROR(__xludf.DUMMYFUNCTION("""COMPUTED_VALUE"""),0.9344360193130614)</f>
        <v>0.9344360193</v>
      </c>
      <c r="AP2392" s="82">
        <f>IFERROR(__xludf.DUMMYFUNCTION("""COMPUTED_VALUE"""),0.8988721159643762)</f>
        <v>0.898872116</v>
      </c>
      <c r="AQ2392" s="82">
        <f>IFERROR(__xludf.DUMMYFUNCTION("""COMPUTED_VALUE"""),0.8900706215783927)</f>
        <v>0.8900706216</v>
      </c>
      <c r="AR2392" s="82">
        <f>IFERROR(__xludf.DUMMYFUNCTION("""COMPUTED_VALUE"""),0.830235363616153)</f>
        <v>0.8302353636</v>
      </c>
      <c r="AS2392" s="82">
        <f>IFERROR(__xludf.DUMMYFUNCTION("""COMPUTED_VALUE"""),78.0)</f>
        <v>78</v>
      </c>
      <c r="AT2392" s="82">
        <f>IFERROR(__xludf.DUMMYFUNCTION("""COMPUTED_VALUE"""),0.34330289379371076)</f>
        <v>0.3433028938</v>
      </c>
      <c r="AU2392" s="82">
        <f>IFERROR(__xludf.DUMMYFUNCTION("""COMPUTED_VALUE"""),2.253585805887014)</f>
        <v>2.253585806</v>
      </c>
      <c r="AV2392" s="82">
        <f>IFERROR(__xludf.DUMMYFUNCTION("""COMPUTED_VALUE"""),34.60854815517889)</f>
        <v>34.60854816</v>
      </c>
      <c r="AW2392" s="82">
        <f t="shared" si="1"/>
        <v>-3.71664165</v>
      </c>
      <c r="AX2392" s="83">
        <f t="array" ref="AX2392">IFERROR(DGET('SBV Import'!A:G,"SBV",{"RSC ID","Tier";B2392,A2392}))</f>
        <v>39.80688192</v>
      </c>
      <c r="AY2392" s="82">
        <f t="shared" si="2"/>
        <v>-2.926219254</v>
      </c>
      <c r="AZ2392" s="82">
        <v>0.7904223965380899</v>
      </c>
      <c r="BA2392" s="84">
        <v>2300.0</v>
      </c>
      <c r="BB2392" s="84" t="b">
        <f>IFERROR(__xludf.DUMMYFUNCTION("iferror(if(A2392="""",,E2392&gt;=FILTER(Constants!$F$2:$F$10,Constants!$A$2:$A$10=A2392)))"),TRUE)</f>
        <v>1</v>
      </c>
    </row>
    <row r="2393">
      <c r="A2393" s="89" t="str">
        <f>IFERROR(__xludf.DUMMYFUNCTION("""COMPUTED_VALUE"""),"Challenger")</f>
        <v>Challenger</v>
      </c>
      <c r="B2393" s="87" t="str">
        <f>IFERROR(__xludf.DUMMYFUNCTION("""COMPUTED_VALUE"""),"RSC006353")</f>
        <v>RSC006353</v>
      </c>
      <c r="C2393" s="73" t="str">
        <f>IFERROR(__xludf.DUMMYFUNCTION("""COMPUTED_VALUE"""),"Novarchite")</f>
        <v>Novarchite</v>
      </c>
      <c r="D2393" s="73"/>
      <c r="E2393" s="82">
        <f>IFERROR(__xludf.DUMMYFUNCTION("""COMPUTED_VALUE"""),9.0)</f>
        <v>9</v>
      </c>
      <c r="F2393" s="82">
        <f>IFERROR(__xludf.DUMMYFUNCTION("""COMPUTED_VALUE"""),5.0)</f>
        <v>5</v>
      </c>
      <c r="G2393" s="86">
        <f>IFERROR(__xludf.DUMMYFUNCTION("""COMPUTED_VALUE"""),4.0)</f>
        <v>4</v>
      </c>
      <c r="H2393" s="86">
        <f>IFERROR(__xludf.DUMMYFUNCTION("""COMPUTED_VALUE"""),0.5555555555555556)</f>
        <v>0.5555555556</v>
      </c>
      <c r="I2393" s="86">
        <f>IFERROR(__xludf.DUMMYFUNCTION("""COMPUTED_VALUE"""),0.08333333333333333)</f>
        <v>0.08333333333</v>
      </c>
      <c r="J2393" s="82">
        <f>IFERROR(__xludf.DUMMYFUNCTION("""COMPUTED_VALUE"""),248.44444444444446)</f>
        <v>248.4444444</v>
      </c>
      <c r="K2393" s="82">
        <f>IFERROR(__xludf.DUMMYFUNCTION("""COMPUTED_VALUE"""),0.2222222222222222)</f>
        <v>0.2222222222</v>
      </c>
      <c r="L2393" s="82">
        <f>IFERROR(__xludf.DUMMYFUNCTION("""COMPUTED_VALUE"""),0.6666666666666666)</f>
        <v>0.6666666667</v>
      </c>
      <c r="M2393" s="82">
        <f>IFERROR(__xludf.DUMMYFUNCTION("""COMPUTED_VALUE"""),0.8888888888888888)</f>
        <v>0.8888888889</v>
      </c>
      <c r="N2393" s="82">
        <f>IFERROR(__xludf.DUMMYFUNCTION("""COMPUTED_VALUE"""),2.6666666666666665)</f>
        <v>2.666666667</v>
      </c>
      <c r="O2393" s="82">
        <f>IFERROR(__xludf.DUMMYFUNCTION("""COMPUTED_VALUE"""),296.92592592592587)</f>
        <v>296.9259259</v>
      </c>
      <c r="P2393" s="82">
        <f>IFERROR(__xludf.DUMMYFUNCTION("""COMPUTED_VALUE"""),0.5555555555555556)</f>
        <v>0.5555555556</v>
      </c>
      <c r="Q2393" s="82">
        <f>IFERROR(__xludf.DUMMYFUNCTION("""COMPUTED_VALUE"""),0.3703703703703704)</f>
        <v>0.3703703704</v>
      </c>
      <c r="R2393" s="82">
        <f>IFERROR(__xludf.DUMMYFUNCTION("""COMPUTED_VALUE"""),1.333333333333333)</f>
        <v>1.333333333</v>
      </c>
      <c r="S2393" s="82">
        <f>IFERROR(__xludf.DUMMYFUNCTION("""COMPUTED_VALUE"""),1.9259259259259258)</f>
        <v>1.925925926</v>
      </c>
      <c r="T2393" s="82">
        <f>IFERROR(__xludf.DUMMYFUNCTION("""COMPUTED_VALUE"""),325.2472056868192)</f>
        <v>325.2472057</v>
      </c>
      <c r="U2393" s="82">
        <f>IFERROR(__xludf.DUMMYFUNCTION("""COMPUTED_VALUE"""),0.6609022877138817)</f>
        <v>0.6609022877</v>
      </c>
      <c r="V2393" s="82">
        <f>IFERROR(__xludf.DUMMYFUNCTION("""COMPUTED_VALUE"""),0.4423758071101066)</f>
        <v>0.4423758071</v>
      </c>
      <c r="W2393" s="82">
        <f>IFERROR(__xludf.DUMMYFUNCTION("""COMPUTED_VALUE"""),1.3201176075572212)</f>
        <v>1.320117608</v>
      </c>
      <c r="X2393" s="82">
        <f>IFERROR(__xludf.DUMMYFUNCTION("""COMPUTED_VALUE"""),2.2139781668767173)</f>
        <v>2.213978167</v>
      </c>
      <c r="Y2393" s="82">
        <f>IFERROR(__xludf.DUMMYFUNCTION("""COMPUTED_VALUE"""),335.6818875957362)</f>
        <v>335.6818876</v>
      </c>
      <c r="Z2393" s="82">
        <f>IFERROR(__xludf.DUMMYFUNCTION("""COMPUTED_VALUE"""),0.8003340463082815)</f>
        <v>0.8003340463</v>
      </c>
      <c r="AA2393" s="82">
        <f>IFERROR(__xludf.DUMMYFUNCTION("""COMPUTED_VALUE"""),0.5603514762129898)</f>
        <v>0.5603514762</v>
      </c>
      <c r="AB2393" s="82">
        <f>IFERROR(__xludf.DUMMYFUNCTION("""COMPUTED_VALUE"""),1.0839943070216822)</f>
        <v>1.083994307</v>
      </c>
      <c r="AC2393" s="82">
        <f>IFERROR(__xludf.DUMMYFUNCTION("""COMPUTED_VALUE"""),2.6266907031802362)</f>
        <v>2.626690703</v>
      </c>
      <c r="AD2393" s="82">
        <f>IFERROR(__xludf.DUMMYFUNCTION("""COMPUTED_VALUE"""),0.7401187065047955)</f>
        <v>0.7401187065</v>
      </c>
      <c r="AE2393" s="82">
        <f>IFERROR(__xludf.DUMMYFUNCTION("""COMPUTED_VALUE"""),0.2776618378879064)</f>
        <v>0.2776618379</v>
      </c>
      <c r="AF2393" s="82">
        <f>IFERROR(__xludf.DUMMYFUNCTION("""COMPUTED_VALUE"""),1.1897294733158987)</f>
        <v>1.189729473</v>
      </c>
      <c r="AG2393" s="82">
        <f>IFERROR(__xludf.DUMMYFUNCTION("""COMPUTED_VALUE"""),0.8200125066441969)</f>
        <v>0.8200125066</v>
      </c>
      <c r="AH2393" s="82">
        <f>IFERROR(__xludf.DUMMYFUNCTION("""COMPUTED_VALUE"""),1.0152191361693366)</f>
        <v>1.015219136</v>
      </c>
      <c r="AI2393" s="82">
        <f>IFERROR(__xludf.DUMMYFUNCTION("""COMPUTED_VALUE"""),0.9129238337310608)</f>
        <v>0.9129238337</v>
      </c>
      <c r="AJ2393" s="82">
        <f>IFERROR(__xludf.DUMMYFUNCTION("""COMPUTED_VALUE"""),0.8406016530480934)</f>
        <v>0.840601653</v>
      </c>
      <c r="AK2393" s="82">
        <f>IFERROR(__xludf.DUMMYFUNCTION("""COMPUTED_VALUE"""),0.8372301658851471)</f>
        <v>0.8372301659</v>
      </c>
      <c r="AL2393" s="82">
        <f>IFERROR(__xludf.DUMMYFUNCTION("""COMPUTED_VALUE"""),1.0100110215184286)</f>
        <v>1.010011022</v>
      </c>
      <c r="AM2393" s="82">
        <f>IFERROR(__xludf.DUMMYFUNCTION("""COMPUTED_VALUE"""),0.8698938204268067)</f>
        <v>0.8698938204</v>
      </c>
      <c r="AN2393" s="82">
        <f>IFERROR(__xludf.DUMMYFUNCTION("""COMPUTED_VALUE"""),0.7636937637982529)</f>
        <v>0.7636937638</v>
      </c>
      <c r="AO2393" s="82">
        <f>IFERROR(__xludf.DUMMYFUNCTION("""COMPUTED_VALUE"""),0.3040625142209168)</f>
        <v>0.3040625142</v>
      </c>
      <c r="AP2393" s="82">
        <f>IFERROR(__xludf.DUMMYFUNCTION("""COMPUTED_VALUE"""),1.2931142720891025)</f>
        <v>1.293114272</v>
      </c>
      <c r="AQ2393" s="82">
        <f>IFERROR(__xludf.DUMMYFUNCTION("""COMPUTED_VALUE"""),0.737230211812406)</f>
        <v>0.7372302118</v>
      </c>
      <c r="AR2393" s="82">
        <f>IFERROR(__xludf.DUMMYFUNCTION("""COMPUTED_VALUE"""),1.120646910560075)</f>
        <v>1.120646911</v>
      </c>
      <c r="AS2393" s="82">
        <f>IFERROR(__xludf.DUMMYFUNCTION("""COMPUTED_VALUE"""),21.0)</f>
        <v>21</v>
      </c>
      <c r="AT2393" s="82">
        <f>IFERROR(__xludf.DUMMYFUNCTION("""COMPUTED_VALUE"""),0.6226679444608085)</f>
        <v>0.6226679445</v>
      </c>
      <c r="AU2393" s="82">
        <f>IFERROR(__xludf.DUMMYFUNCTION("""COMPUTED_VALUE"""),2.2304561596113035)</f>
        <v>2.23045616</v>
      </c>
      <c r="AV2393" s="82">
        <f>IFERROR(__xludf.DUMMYFUNCTION("""COMPUTED_VALUE"""),34.00490461658607)</f>
        <v>34.00490462</v>
      </c>
      <c r="AW2393" s="82">
        <f t="shared" si="1"/>
        <v>-3.829215812</v>
      </c>
      <c r="AX2393" s="83">
        <f t="array" ref="AX2393">IFERROR(DGET('SBV Import'!A:G,"SBV",{"RSC ID","Tier";B2393,A2393}))</f>
        <v>34.64702892</v>
      </c>
      <c r="AY2393" s="82">
        <f t="shared" si="2"/>
        <v>-3.709633639</v>
      </c>
      <c r="AZ2393" s="82">
        <v>0.11958217248605907</v>
      </c>
      <c r="BA2393" s="84">
        <v>2300.0</v>
      </c>
      <c r="BB2393" s="84" t="b">
        <f>IFERROR(__xludf.DUMMYFUNCTION("iferror(if(A2393="""",,E2393&gt;=FILTER(Constants!$F$2:$F$10,Constants!$A$2:$A$10=A2393)))"),TRUE)</f>
        <v>1</v>
      </c>
    </row>
    <row r="2394">
      <c r="A2394" s="89" t="str">
        <f>IFERROR(__xludf.DUMMYFUNCTION("""COMPUTED_VALUE"""),"Challenger")</f>
        <v>Challenger</v>
      </c>
      <c r="B2394" s="87" t="str">
        <f>IFERROR(__xludf.DUMMYFUNCTION("""COMPUTED_VALUE"""),"RSC001933")</f>
        <v>RSC001933</v>
      </c>
      <c r="C2394" s="73" t="str">
        <f>IFERROR(__xludf.DUMMYFUNCTION("""COMPUTED_VALUE"""),"Ducky")</f>
        <v>Ducky</v>
      </c>
      <c r="D2394" s="73" t="str">
        <f>IFERROR(__xludf.DUMMYFUNCTION("""COMPUTED_VALUE"""),"Spearmint")</f>
        <v>Spearmint</v>
      </c>
      <c r="E2394" s="82">
        <f>IFERROR(__xludf.DUMMYFUNCTION("""COMPUTED_VALUE"""),27.0)</f>
        <v>27</v>
      </c>
      <c r="F2394" s="82">
        <f>IFERROR(__xludf.DUMMYFUNCTION("""COMPUTED_VALUE"""),8.0)</f>
        <v>8</v>
      </c>
      <c r="G2394" s="86">
        <f>IFERROR(__xludf.DUMMYFUNCTION("""COMPUTED_VALUE"""),19.0)</f>
        <v>19</v>
      </c>
      <c r="H2394" s="86">
        <f>IFERROR(__xludf.DUMMYFUNCTION("""COMPUTED_VALUE"""),0.2962962962962963)</f>
        <v>0.2962962963</v>
      </c>
      <c r="I2394" s="86">
        <f>IFERROR(__xludf.DUMMYFUNCTION("""COMPUTED_VALUE"""),0.35714285714285715)</f>
        <v>0.3571428571</v>
      </c>
      <c r="J2394" s="82">
        <f>IFERROR(__xludf.DUMMYFUNCTION("""COMPUTED_VALUE"""),320.18518518518516)</f>
        <v>320.1851852</v>
      </c>
      <c r="K2394" s="82">
        <f>IFERROR(__xludf.DUMMYFUNCTION("""COMPUTED_VALUE"""),0.7407407407407407)</f>
        <v>0.7407407407</v>
      </c>
      <c r="L2394" s="82">
        <f>IFERROR(__xludf.DUMMYFUNCTION("""COMPUTED_VALUE"""),0.3333333333333333)</f>
        <v>0.3333333333</v>
      </c>
      <c r="M2394" s="82">
        <f>IFERROR(__xludf.DUMMYFUNCTION("""COMPUTED_VALUE"""),1.2592592592592593)</f>
        <v>1.259259259</v>
      </c>
      <c r="N2394" s="82">
        <f>IFERROR(__xludf.DUMMYFUNCTION("""COMPUTED_VALUE"""),2.074074074074074)</f>
        <v>2.074074074</v>
      </c>
      <c r="O2394" s="82">
        <f>IFERROR(__xludf.DUMMYFUNCTION("""COMPUTED_VALUE"""),352.8888888888889)</f>
        <v>352.8888889</v>
      </c>
      <c r="P2394" s="82">
        <f>IFERROR(__xludf.DUMMYFUNCTION("""COMPUTED_VALUE"""),1.0246913580246915)</f>
        <v>1.024691358</v>
      </c>
      <c r="Q2394" s="82">
        <f>IFERROR(__xludf.DUMMYFUNCTION("""COMPUTED_VALUE"""),0.7037037037037036)</f>
        <v>0.7037037037</v>
      </c>
      <c r="R2394" s="82">
        <f>IFERROR(__xludf.DUMMYFUNCTION("""COMPUTED_VALUE"""),0.9629629629629629)</f>
        <v>0.962962963</v>
      </c>
      <c r="S2394" s="82">
        <f>IFERROR(__xludf.DUMMYFUNCTION("""COMPUTED_VALUE"""),2.82716049382716)</f>
        <v>2.827160494</v>
      </c>
      <c r="T2394" s="82">
        <f>IFERROR(__xludf.DUMMYFUNCTION("""COMPUTED_VALUE"""),339.6298813798267)</f>
        <v>339.6298814</v>
      </c>
      <c r="U2394" s="82">
        <f>IFERROR(__xludf.DUMMYFUNCTION("""COMPUTED_VALUE"""),0.8189701121099205)</f>
        <v>0.8189701121</v>
      </c>
      <c r="V2394" s="82">
        <f>IFERROR(__xludf.DUMMYFUNCTION("""COMPUTED_VALUE"""),0.5478746778865438)</f>
        <v>0.5478746779</v>
      </c>
      <c r="W2394" s="82">
        <f>IFERROR(__xludf.DUMMYFUNCTION("""COMPUTED_VALUE"""),1.2155231185966484)</f>
        <v>1.215523119</v>
      </c>
      <c r="X2394" s="82">
        <f>IFERROR(__xludf.DUMMYFUNCTION("""COMPUTED_VALUE"""),2.523776204918502)</f>
        <v>2.523776205</v>
      </c>
      <c r="Y2394" s="82">
        <f>IFERROR(__xludf.DUMMYFUNCTION("""COMPUTED_VALUE"""),329.5139420248197)</f>
        <v>329.513942</v>
      </c>
      <c r="Z2394" s="82">
        <f>IFERROR(__xludf.DUMMYFUNCTION("""COMPUTED_VALUE"""),0.7448448008833218)</f>
        <v>0.7448448009</v>
      </c>
      <c r="AA2394" s="82">
        <f>IFERROR(__xludf.DUMMYFUNCTION("""COMPUTED_VALUE"""),0.5018878276881101)</f>
        <v>0.5018878277</v>
      </c>
      <c r="AB2394" s="82">
        <f>IFERROR(__xludf.DUMMYFUNCTION("""COMPUTED_VALUE"""),1.2281428107580932)</f>
        <v>1.228142811</v>
      </c>
      <c r="AC2394" s="82">
        <f>IFERROR(__xludf.DUMMYFUNCTION("""COMPUTED_VALUE"""),2.3764102055106013)</f>
        <v>2.376410206</v>
      </c>
      <c r="AD2394" s="82">
        <f>IFERROR(__xludf.DUMMYFUNCTION("""COMPUTED_VALUE"""),0.9716893410266328)</f>
        <v>0.971689341</v>
      </c>
      <c r="AE2394" s="82">
        <f>IFERROR(__xludf.DUMMYFUNCTION("""COMPUTED_VALUE"""),0.9944900466006957)</f>
        <v>0.9944900466</v>
      </c>
      <c r="AF2394" s="82">
        <f>IFERROR(__xludf.DUMMYFUNCTION("""COMPUTED_VALUE"""),0.6641590310504158)</f>
        <v>0.6641590311</v>
      </c>
      <c r="AG2394" s="82">
        <f>IFERROR(__xludf.DUMMYFUNCTION("""COMPUTED_VALUE"""),1.0253361809625046)</f>
        <v>1.025336181</v>
      </c>
      <c r="AH2394" s="82">
        <f>IFERROR(__xludf.DUMMYFUNCTION("""COMPUTED_VALUE"""),0.8727761180559453)</f>
        <v>0.8727761181</v>
      </c>
      <c r="AI2394" s="82">
        <f>IFERROR(__xludf.DUMMYFUNCTION("""COMPUTED_VALUE"""),1.0390395787767388)</f>
        <v>1.039039579</v>
      </c>
      <c r="AJ2394" s="82">
        <f>IFERROR(__xludf.DUMMYFUNCTION("""COMPUTED_VALUE"""),1.2511950593468781)</f>
        <v>1.251195059</v>
      </c>
      <c r="AK2394" s="82">
        <f>IFERROR(__xludf.DUMMYFUNCTION("""COMPUTED_VALUE"""),1.2844245812167825)</f>
        <v>1.284424581</v>
      </c>
      <c r="AL2394" s="82">
        <f>IFERROR(__xludf.DUMMYFUNCTION("""COMPUTED_VALUE"""),0.7922210184490177)</f>
        <v>0.7922210184</v>
      </c>
      <c r="AM2394" s="82">
        <f>IFERROR(__xludf.DUMMYFUNCTION("""COMPUTED_VALUE"""),1.120210456187598)</f>
        <v>1.120210456</v>
      </c>
      <c r="AN2394" s="82">
        <f>IFERROR(__xludf.DUMMYFUNCTION("""COMPUTED_VALUE"""),0.9842177382283686)</f>
        <v>0.9842177382</v>
      </c>
      <c r="AO2394" s="82">
        <f>IFERROR(__xludf.DUMMYFUNCTION("""COMPUTED_VALUE"""),1.0135417140697225)</f>
        <v>1.013541714</v>
      </c>
      <c r="AP2394" s="82">
        <f>IFERROR(__xludf.DUMMYFUNCTION("""COMPUTED_VALUE"""),0.6465571360445512)</f>
        <v>0.646557136</v>
      </c>
      <c r="AQ2394" s="82">
        <f>IFERROR(__xludf.DUMMYFUNCTION("""COMPUTED_VALUE"""),1.0444094667342418)</f>
        <v>1.044409467</v>
      </c>
      <c r="AR2394" s="82">
        <f>IFERROR(__xludf.DUMMYFUNCTION("""COMPUTED_VALUE"""),0.8716142637689471)</f>
        <v>0.8716142638</v>
      </c>
      <c r="AS2394" s="82">
        <f>IFERROR(__xludf.DUMMYFUNCTION("""COMPUTED_VALUE"""),47.0)</f>
        <v>47</v>
      </c>
      <c r="AT2394" s="82">
        <f>IFERROR(__xludf.DUMMYFUNCTION("""COMPUTED_VALUE"""),0.29052215388882563)</f>
        <v>0.2905221539</v>
      </c>
      <c r="AU2394" s="82">
        <f>IFERROR(__xludf.DUMMYFUNCTION("""COMPUTED_VALUE"""),2.229767329162753)</f>
        <v>2.229767329</v>
      </c>
      <c r="AV2394" s="82">
        <f>IFERROR(__xludf.DUMMYFUNCTION("""COMPUTED_VALUE"""),33.98692733995602)</f>
        <v>33.98692734</v>
      </c>
      <c r="AW2394" s="82">
        <f t="shared" si="1"/>
        <v>-3.832645966</v>
      </c>
      <c r="AX2394" s="83">
        <f t="array" ref="AX2394">IFERROR(DGET('SBV Import'!A:G,"SBV",{"RSC ID","Tier";B2394,A2394}))</f>
        <v>41.31717117</v>
      </c>
      <c r="AY2394" s="82">
        <f t="shared" si="2"/>
        <v>-2.745909702</v>
      </c>
      <c r="AZ2394" s="82">
        <v>1.0867362639224605</v>
      </c>
      <c r="BA2394" s="84">
        <v>2300.0</v>
      </c>
      <c r="BB2394" s="84" t="b">
        <f>IFERROR(__xludf.DUMMYFUNCTION("iferror(if(A2394="""",,E2394&gt;=FILTER(Constants!$F$2:$F$10,Constants!$A$2:$A$10=A2394)))"),TRUE)</f>
        <v>1</v>
      </c>
    </row>
    <row r="2395">
      <c r="A2395" s="89" t="str">
        <f>IFERROR(__xludf.DUMMYFUNCTION("""COMPUTED_VALUE"""),"Challenger")</f>
        <v>Challenger</v>
      </c>
      <c r="B2395" s="87" t="str">
        <f>IFERROR(__xludf.DUMMYFUNCTION("""COMPUTED_VALUE"""),"RSC007525")</f>
        <v>RSC007525</v>
      </c>
      <c r="C2395" s="73" t="str">
        <f>IFERROR(__xludf.DUMMYFUNCTION("""COMPUTED_VALUE"""),"BulletNote")</f>
        <v>BulletNote</v>
      </c>
      <c r="D2395" s="73" t="str">
        <f>IFERROR(__xludf.DUMMYFUNCTION("""COMPUTED_VALUE"""),"Quarter")</f>
        <v>Quarter</v>
      </c>
      <c r="E2395" s="82">
        <f>IFERROR(__xludf.DUMMYFUNCTION("""COMPUTED_VALUE"""),30.0)</f>
        <v>30</v>
      </c>
      <c r="F2395" s="82">
        <f>IFERROR(__xludf.DUMMYFUNCTION("""COMPUTED_VALUE"""),6.0)</f>
        <v>6</v>
      </c>
      <c r="G2395" s="86">
        <f>IFERROR(__xludf.DUMMYFUNCTION("""COMPUTED_VALUE"""),24.0)</f>
        <v>24</v>
      </c>
      <c r="H2395" s="86">
        <f>IFERROR(__xludf.DUMMYFUNCTION("""COMPUTED_VALUE"""),0.2)</f>
        <v>0.2</v>
      </c>
      <c r="I2395" s="86">
        <f>IFERROR(__xludf.DUMMYFUNCTION("""COMPUTED_VALUE"""),0.41860465116279066)</f>
        <v>0.4186046512</v>
      </c>
      <c r="J2395" s="82">
        <f>IFERROR(__xludf.DUMMYFUNCTION("""COMPUTED_VALUE"""),343.6333333333333)</f>
        <v>343.6333333</v>
      </c>
      <c r="K2395" s="82">
        <f>IFERROR(__xludf.DUMMYFUNCTION("""COMPUTED_VALUE"""),0.6)</f>
        <v>0.6</v>
      </c>
      <c r="L2395" s="82">
        <f>IFERROR(__xludf.DUMMYFUNCTION("""COMPUTED_VALUE"""),0.5666666666666667)</f>
        <v>0.5666666667</v>
      </c>
      <c r="M2395" s="82">
        <f>IFERROR(__xludf.DUMMYFUNCTION("""COMPUTED_VALUE"""),1.7)</f>
        <v>1.7</v>
      </c>
      <c r="N2395" s="82">
        <f>IFERROR(__xludf.DUMMYFUNCTION("""COMPUTED_VALUE"""),1.4333333333333333)</f>
        <v>1.433333333</v>
      </c>
      <c r="O2395" s="82">
        <f>IFERROR(__xludf.DUMMYFUNCTION("""COMPUTED_VALUE"""),346.0444444444445)</f>
        <v>346.0444444</v>
      </c>
      <c r="P2395" s="82">
        <f>IFERROR(__xludf.DUMMYFUNCTION("""COMPUTED_VALUE"""),1.0)</f>
        <v>1</v>
      </c>
      <c r="Q2395" s="82">
        <f>IFERROR(__xludf.DUMMYFUNCTION("""COMPUTED_VALUE"""),0.6444444444444444)</f>
        <v>0.6444444444</v>
      </c>
      <c r="R2395" s="82">
        <f>IFERROR(__xludf.DUMMYFUNCTION("""COMPUTED_VALUE"""),0.9111111111111108)</f>
        <v>0.9111111111</v>
      </c>
      <c r="S2395" s="82">
        <f>IFERROR(__xludf.DUMMYFUNCTION("""COMPUTED_VALUE"""),3.0444444444444447)</f>
        <v>3.044444444</v>
      </c>
      <c r="T2395" s="82">
        <f>IFERROR(__xludf.DUMMYFUNCTION("""COMPUTED_VALUE"""),333.44711213910017)</f>
        <v>333.4471121</v>
      </c>
      <c r="U2395" s="82">
        <f>IFERROR(__xludf.DUMMYFUNCTION("""COMPUTED_VALUE"""),0.7685213169020076)</f>
        <v>0.7685213169</v>
      </c>
      <c r="V2395" s="82">
        <f>IFERROR(__xludf.DUMMYFUNCTION("""COMPUTED_VALUE"""),0.5461287926737998)</f>
        <v>0.5461287927</v>
      </c>
      <c r="W2395" s="82">
        <f>IFERROR(__xludf.DUMMYFUNCTION("""COMPUTED_VALUE"""),1.175470626777687)</f>
        <v>1.175470627</v>
      </c>
      <c r="X2395" s="82">
        <f>IFERROR(__xludf.DUMMYFUNCTION("""COMPUTED_VALUE"""),2.5433481152424178)</f>
        <v>2.543348115</v>
      </c>
      <c r="Y2395" s="82">
        <f>IFERROR(__xludf.DUMMYFUNCTION("""COMPUTED_VALUE"""),325.6287433032736)</f>
        <v>325.6287433</v>
      </c>
      <c r="Z2395" s="82">
        <f>IFERROR(__xludf.DUMMYFUNCTION("""COMPUTED_VALUE"""),0.7019384087490494)</f>
        <v>0.7019384087</v>
      </c>
      <c r="AA2395" s="82">
        <f>IFERROR(__xludf.DUMMYFUNCTION("""COMPUTED_VALUE"""),0.4820982464451414)</f>
        <v>0.4820982464</v>
      </c>
      <c r="AB2395" s="82">
        <f>IFERROR(__xludf.DUMMYFUNCTION("""COMPUTED_VALUE"""),1.2978075817566799)</f>
        <v>1.297807582</v>
      </c>
      <c r="AC2395" s="82">
        <f>IFERROR(__xludf.DUMMYFUNCTION("""COMPUTED_VALUE"""),2.2940961354480303)</f>
        <v>2.294096135</v>
      </c>
      <c r="AD2395" s="82">
        <f>IFERROR(__xludf.DUMMYFUNCTION("""COMPUTED_VALUE"""),1.0552917713817762)</f>
        <v>1.055291771</v>
      </c>
      <c r="AE2395" s="82">
        <f>IFERROR(__xludf.DUMMYFUNCTION("""COMPUTED_VALUE"""),0.8547758500197792)</f>
        <v>0.85477585</v>
      </c>
      <c r="AF2395" s="82">
        <f>IFERROR(__xludf.DUMMYFUNCTION("""COMPUTED_VALUE"""),1.17541739851806)</f>
        <v>1.175417399</v>
      </c>
      <c r="AG2395" s="82">
        <f>IFERROR(__xludf.DUMMYFUNCTION("""COMPUTED_VALUE"""),1.309901424446082)</f>
        <v>1.309901424</v>
      </c>
      <c r="AH2395" s="82">
        <f>IFERROR(__xludf.DUMMYFUNCTION("""COMPUTED_VALUE"""),0.62479218337265)</f>
        <v>0.6247921834</v>
      </c>
      <c r="AI2395" s="82">
        <f>IFERROR(__xludf.DUMMYFUNCTION("""COMPUTED_VALUE"""),1.0377791015328668)</f>
        <v>1.037779102</v>
      </c>
      <c r="AJ2395" s="82">
        <f>IFERROR(__xludf.DUMMYFUNCTION("""COMPUTED_VALUE"""),1.3012000812561815)</f>
        <v>1.301200081</v>
      </c>
      <c r="AK2395" s="82">
        <f>IFERROR(__xludf.DUMMYFUNCTION("""COMPUTED_VALUE"""),1.1800228317743504)</f>
        <v>1.180022832</v>
      </c>
      <c r="AL2395" s="82">
        <f>IFERROR(__xludf.DUMMYFUNCTION("""COMPUTED_VALUE"""),0.7751032568195566)</f>
        <v>0.7751032568</v>
      </c>
      <c r="AM2395" s="82">
        <f>IFERROR(__xludf.DUMMYFUNCTION("""COMPUTED_VALUE"""),1.1970223133038418)</f>
        <v>1.197022313</v>
      </c>
      <c r="AN2395" s="82">
        <f>IFERROR(__xludf.DUMMYFUNCTION("""COMPUTED_VALUE"""),1.0562950372535138)</f>
        <v>1.056295037</v>
      </c>
      <c r="AO2395" s="82">
        <f>IFERROR(__xludf.DUMMYFUNCTION("""COMPUTED_VALUE"""),0.8209687883964754)</f>
        <v>0.8209687884</v>
      </c>
      <c r="AP2395" s="82">
        <f>IFERROR(__xludf.DUMMYFUNCTION("""COMPUTED_VALUE"""),1.0991471312757373)</f>
        <v>1.099147131</v>
      </c>
      <c r="AQ2395" s="82">
        <f>IFERROR(__xludf.DUMMYFUNCTION("""COMPUTED_VALUE"""),1.4099527800912264)</f>
        <v>1.40995278</v>
      </c>
      <c r="AR2395" s="82">
        <f>IFERROR(__xludf.DUMMYFUNCTION("""COMPUTED_VALUE"""),0.6023477144260403)</f>
        <v>0.6023477144</v>
      </c>
      <c r="AS2395" s="82">
        <f>IFERROR(__xludf.DUMMYFUNCTION("""COMPUTED_VALUE"""),51.0)</f>
        <v>51</v>
      </c>
      <c r="AT2395" s="82">
        <f>IFERROR(__xludf.DUMMYFUNCTION("""COMPUTED_VALUE"""),0.2920226263420287)</f>
        <v>0.2920226263</v>
      </c>
      <c r="AU2395" s="82">
        <f>IFERROR(__xludf.DUMMYFUNCTION("""COMPUTED_VALUE"""),2.2039942806673594)</f>
        <v>2.203994281</v>
      </c>
      <c r="AV2395" s="82">
        <f>IFERROR(__xludf.DUMMYFUNCTION("""COMPUTED_VALUE"""),33.31429560107718)</f>
        <v>33.3142956</v>
      </c>
      <c r="AW2395" s="82">
        <f t="shared" si="1"/>
        <v>-3.964331535</v>
      </c>
      <c r="AX2395" s="83">
        <f t="array" ref="AX2395">IFERROR(DGET('SBV Import'!A:G,"SBV",{"RSC ID","Tier";B2395,A2395}))</f>
        <v>42.97097459</v>
      </c>
      <c r="AY2395" s="82">
        <f t="shared" si="2"/>
        <v>-2.568756283</v>
      </c>
      <c r="AZ2395" s="82">
        <v>1.3955752517179736</v>
      </c>
      <c r="BA2395" s="84">
        <v>2300.0</v>
      </c>
      <c r="BB2395" s="84" t="b">
        <f>IFERROR(__xludf.DUMMYFUNCTION("iferror(if(A2395="""",,E2395&gt;=FILTER(Constants!$F$2:$F$10,Constants!$A$2:$A$10=A2395)))"),TRUE)</f>
        <v>1</v>
      </c>
    </row>
    <row r="2396">
      <c r="A2396" s="89" t="str">
        <f>IFERROR(__xludf.DUMMYFUNCTION("""COMPUTED_VALUE"""),"Challenger")</f>
        <v>Challenger</v>
      </c>
      <c r="B2396" s="87" t="str">
        <f>IFERROR(__xludf.DUMMYFUNCTION("""COMPUTED_VALUE"""),"RSC007961")</f>
        <v>RSC007961</v>
      </c>
      <c r="C2396" s="73" t="str">
        <f>IFERROR(__xludf.DUMMYFUNCTION("""COMPUTED_VALUE"""),"Skrilpp")</f>
        <v>Skrilpp</v>
      </c>
      <c r="D2396" s="73" t="str">
        <f>IFERROR(__xludf.DUMMYFUNCTION("""COMPUTED_VALUE"""),"Chromatic Chaos")</f>
        <v>Chromatic Chaos</v>
      </c>
      <c r="E2396" s="82">
        <f>IFERROR(__xludf.DUMMYFUNCTION("""COMPUTED_VALUE"""),11.0)</f>
        <v>11</v>
      </c>
      <c r="F2396" s="82">
        <f>IFERROR(__xludf.DUMMYFUNCTION("""COMPUTED_VALUE"""),5.0)</f>
        <v>5</v>
      </c>
      <c r="G2396" s="86">
        <f>IFERROR(__xludf.DUMMYFUNCTION("""COMPUTED_VALUE"""),6.0)</f>
        <v>6</v>
      </c>
      <c r="H2396" s="86">
        <f>IFERROR(__xludf.DUMMYFUNCTION("""COMPUTED_VALUE"""),0.45454545454545453)</f>
        <v>0.4545454545</v>
      </c>
      <c r="I2396" s="86">
        <f>IFERROR(__xludf.DUMMYFUNCTION("""COMPUTED_VALUE"""),0.20833333333333334)</f>
        <v>0.2083333333</v>
      </c>
      <c r="J2396" s="82">
        <f>IFERROR(__xludf.DUMMYFUNCTION("""COMPUTED_VALUE"""),309.3636363636364)</f>
        <v>309.3636364</v>
      </c>
      <c r="K2396" s="82">
        <f>IFERROR(__xludf.DUMMYFUNCTION("""COMPUTED_VALUE"""),0.45454545454545453)</f>
        <v>0.4545454545</v>
      </c>
      <c r="L2396" s="82">
        <f>IFERROR(__xludf.DUMMYFUNCTION("""COMPUTED_VALUE"""),0.45454545454545453)</f>
        <v>0.4545454545</v>
      </c>
      <c r="M2396" s="82">
        <f>IFERROR(__xludf.DUMMYFUNCTION("""COMPUTED_VALUE"""),1.2727272727272727)</f>
        <v>1.272727273</v>
      </c>
      <c r="N2396" s="82">
        <f>IFERROR(__xludf.DUMMYFUNCTION("""COMPUTED_VALUE"""),2.1818181818181817)</f>
        <v>2.181818182</v>
      </c>
      <c r="O2396" s="82">
        <f>IFERROR(__xludf.DUMMYFUNCTION("""COMPUTED_VALUE"""),313.69696969696975)</f>
        <v>313.6969697</v>
      </c>
      <c r="P2396" s="82">
        <f>IFERROR(__xludf.DUMMYFUNCTION("""COMPUTED_VALUE"""),0.696969696969697)</f>
        <v>0.696969697</v>
      </c>
      <c r="Q2396" s="82">
        <f>IFERROR(__xludf.DUMMYFUNCTION("""COMPUTED_VALUE"""),0.3333333333333333)</f>
        <v>0.3333333333</v>
      </c>
      <c r="R2396" s="82">
        <f>IFERROR(__xludf.DUMMYFUNCTION("""COMPUTED_VALUE"""),1.2424242424242424)</f>
        <v>1.242424242</v>
      </c>
      <c r="S2396" s="82">
        <f>IFERROR(__xludf.DUMMYFUNCTION("""COMPUTED_VALUE"""),2.545454545454545)</f>
        <v>2.545454545</v>
      </c>
      <c r="T2396" s="82">
        <f>IFERROR(__xludf.DUMMYFUNCTION("""COMPUTED_VALUE"""),324.02239013642304)</f>
        <v>324.0223901</v>
      </c>
      <c r="U2396" s="82">
        <f>IFERROR(__xludf.DUMMYFUNCTION("""COMPUTED_VALUE"""),0.7491807632783073)</f>
        <v>0.7491807633</v>
      </c>
      <c r="V2396" s="82">
        <f>IFERROR(__xludf.DUMMYFUNCTION("""COMPUTED_VALUE"""),0.45327193969469454)</f>
        <v>0.4532719397</v>
      </c>
      <c r="W2396" s="82">
        <f>IFERROR(__xludf.DUMMYFUNCTION("""COMPUTED_VALUE"""),1.2081238592005372)</f>
        <v>1.208123859</v>
      </c>
      <c r="X2396" s="82">
        <f>IFERROR(__xludf.DUMMYFUNCTION("""COMPUTED_VALUE"""),2.2843241710693842)</f>
        <v>2.284324171</v>
      </c>
      <c r="Y2396" s="82">
        <f>IFERROR(__xludf.DUMMYFUNCTION("""COMPUTED_VALUE"""),343.51589983495757)</f>
        <v>343.5158998</v>
      </c>
      <c r="Z2396" s="82">
        <f>IFERROR(__xludf.DUMMYFUNCTION("""COMPUTED_VALUE"""),0.8224690769632107)</f>
        <v>0.822469077</v>
      </c>
      <c r="AA2396" s="82">
        <f>IFERROR(__xludf.DUMMYFUNCTION("""COMPUTED_VALUE"""),0.5636280142716535)</f>
        <v>0.5636280143</v>
      </c>
      <c r="AB2396" s="82">
        <f>IFERROR(__xludf.DUMMYFUNCTION("""COMPUTED_VALUE"""),1.1726637806926847)</f>
        <v>1.172663781</v>
      </c>
      <c r="AC2396" s="82">
        <f>IFERROR(__xludf.DUMMYFUNCTION("""COMPUTED_VALUE"""),2.4552375222478178)</f>
        <v>2.455237522</v>
      </c>
      <c r="AD2396" s="82">
        <f>IFERROR(__xludf.DUMMYFUNCTION("""COMPUTED_VALUE"""),0.9005802541083843)</f>
        <v>0.9005802541</v>
      </c>
      <c r="AE2396" s="82">
        <f>IFERROR(__xludf.DUMMYFUNCTION("""COMPUTED_VALUE"""),0.5526596285221632)</f>
        <v>0.5526596285</v>
      </c>
      <c r="AF2396" s="82">
        <f>IFERROR(__xludf.DUMMYFUNCTION("""COMPUTED_VALUE"""),0.8064635593616464)</f>
        <v>0.8064635594</v>
      </c>
      <c r="AG2396" s="82">
        <f>IFERROR(__xludf.DUMMYFUNCTION("""COMPUTED_VALUE"""),1.0853300781367028)</f>
        <v>1.085330078</v>
      </c>
      <c r="AH2396" s="82">
        <f>IFERROR(__xludf.DUMMYFUNCTION("""COMPUTED_VALUE"""),0.8886383341928908)</f>
        <v>0.8886383342</v>
      </c>
      <c r="AI2396" s="82">
        <f>IFERROR(__xludf.DUMMYFUNCTION("""COMPUTED_VALUE"""),0.9681336205343526)</f>
        <v>0.9681336205</v>
      </c>
      <c r="AJ2396" s="82">
        <f>IFERROR(__xludf.DUMMYFUNCTION("""COMPUTED_VALUE"""),0.9303091204849653)</f>
        <v>0.9303091205</v>
      </c>
      <c r="AK2396" s="82">
        <f>IFERROR(__xludf.DUMMYFUNCTION("""COMPUTED_VALUE"""),0.7353937099169497)</f>
        <v>0.7353937099</v>
      </c>
      <c r="AL2396" s="82">
        <f>IFERROR(__xludf.DUMMYFUNCTION("""COMPUTED_VALUE"""),1.0283914459287338)</f>
        <v>1.028391446</v>
      </c>
      <c r="AM2396" s="82">
        <f>IFERROR(__xludf.DUMMYFUNCTION("""COMPUTED_VALUE"""),1.1143140617659861)</f>
        <v>1.114314062</v>
      </c>
      <c r="AN2396" s="82">
        <f>IFERROR(__xludf.DUMMYFUNCTION("""COMPUTED_VALUE"""),0.9509533624918317)</f>
        <v>0.9509533625</v>
      </c>
      <c r="AO2396" s="82">
        <f>IFERROR(__xludf.DUMMYFUNCTION("""COMPUTED_VALUE"""),0.6219460518155117)</f>
        <v>0.6219460518</v>
      </c>
      <c r="AP2396" s="82">
        <f>IFERROR(__xludf.DUMMYFUNCTION("""COMPUTED_VALUE"""),0.8816688218789336)</f>
        <v>0.8816688219</v>
      </c>
      <c r="AQ2396" s="82">
        <f>IFERROR(__xludf.DUMMYFUNCTION("""COMPUTED_VALUE"""),1.0555796214586723)</f>
        <v>1.055579621</v>
      </c>
      <c r="AR2396" s="82">
        <f>IFERROR(__xludf.DUMMYFUNCTION("""COMPUTED_VALUE"""),0.9168929268218794)</f>
        <v>0.9168929268</v>
      </c>
      <c r="AS2396" s="82">
        <f>IFERROR(__xludf.DUMMYFUNCTION("""COMPUTED_VALUE"""),20.0)</f>
        <v>20</v>
      </c>
      <c r="AT2396" s="82">
        <f>IFERROR(__xludf.DUMMYFUNCTION("""COMPUTED_VALUE"""),0.4485112388947876)</f>
        <v>0.4485112389</v>
      </c>
      <c r="AU2396" s="82">
        <f>IFERROR(__xludf.DUMMYFUNCTION("""COMPUTED_VALUE"""),2.2004727321484134)</f>
        <v>2.200472732</v>
      </c>
      <c r="AV2396" s="82">
        <f>IFERROR(__xludf.DUMMYFUNCTION("""COMPUTED_VALUE"""),33.22238930973302)</f>
        <v>33.22238931</v>
      </c>
      <c r="AW2396" s="82">
        <f t="shared" si="1"/>
        <v>-3.982841865</v>
      </c>
      <c r="AX2396" s="83">
        <f t="array" ref="AX2396">IFERROR(DGET('SBV Import'!A:G,"SBV",{"RSC ID","Tier";B2396,A2396}))</f>
        <v>38.96177365</v>
      </c>
      <c r="AY2396" s="82">
        <f t="shared" si="2"/>
        <v>-3.03568432</v>
      </c>
      <c r="AZ2396" s="82">
        <v>0.9471575445952745</v>
      </c>
      <c r="BA2396" s="84">
        <v>2300.0</v>
      </c>
      <c r="BB2396" s="84" t="b">
        <f>IFERROR(__xludf.DUMMYFUNCTION("iferror(if(A2396="""",,E2396&gt;=FILTER(Constants!$F$2:$F$10,Constants!$A$2:$A$10=A2396)))"),TRUE)</f>
        <v>1</v>
      </c>
    </row>
    <row r="2397">
      <c r="A2397" s="89" t="str">
        <f>IFERROR(__xludf.DUMMYFUNCTION("""COMPUTED_VALUE"""),"Challenger")</f>
        <v>Challenger</v>
      </c>
      <c r="B2397" s="87" t="str">
        <f>IFERROR(__xludf.DUMMYFUNCTION("""COMPUTED_VALUE"""),"RSC007370")</f>
        <v>RSC007370</v>
      </c>
      <c r="C2397" s="73" t="str">
        <f>IFERROR(__xludf.DUMMYFUNCTION("""COMPUTED_VALUE"""),"Jarrod81535")</f>
        <v>Jarrod81535</v>
      </c>
      <c r="D2397" s="73" t="str">
        <f>IFERROR(__xludf.DUMMYFUNCTION("""COMPUTED_VALUE"""),"Trippy Hippies")</f>
        <v>Trippy Hippies</v>
      </c>
      <c r="E2397" s="82">
        <f>IFERROR(__xludf.DUMMYFUNCTION("""COMPUTED_VALUE"""),43.0)</f>
        <v>43</v>
      </c>
      <c r="F2397" s="82">
        <f>IFERROR(__xludf.DUMMYFUNCTION("""COMPUTED_VALUE"""),21.0)</f>
        <v>21</v>
      </c>
      <c r="G2397" s="86">
        <f>IFERROR(__xludf.DUMMYFUNCTION("""COMPUTED_VALUE"""),22.0)</f>
        <v>22</v>
      </c>
      <c r="H2397" s="86">
        <f>IFERROR(__xludf.DUMMYFUNCTION("""COMPUTED_VALUE"""),0.4883720930232558)</f>
        <v>0.488372093</v>
      </c>
      <c r="I2397" s="86">
        <f>IFERROR(__xludf.DUMMYFUNCTION("""COMPUTED_VALUE"""),0.26829268292682923)</f>
        <v>0.2682926829</v>
      </c>
      <c r="J2397" s="82">
        <f>IFERROR(__xludf.DUMMYFUNCTION("""COMPUTED_VALUE"""),284.12820512820514)</f>
        <v>284.1282051</v>
      </c>
      <c r="K2397" s="82">
        <f>IFERROR(__xludf.DUMMYFUNCTION("""COMPUTED_VALUE"""),0.5641025641025641)</f>
        <v>0.5641025641</v>
      </c>
      <c r="L2397" s="82">
        <f>IFERROR(__xludf.DUMMYFUNCTION("""COMPUTED_VALUE"""),0.41025641025641024)</f>
        <v>0.4102564103</v>
      </c>
      <c r="M2397" s="82">
        <f>IFERROR(__xludf.DUMMYFUNCTION("""COMPUTED_VALUE"""),1.2820512820512822)</f>
        <v>1.282051282</v>
      </c>
      <c r="N2397" s="82">
        <f>IFERROR(__xludf.DUMMYFUNCTION("""COMPUTED_VALUE"""),2.1025641025641026)</f>
        <v>2.102564103</v>
      </c>
      <c r="O2397" s="82">
        <f>IFERROR(__xludf.DUMMYFUNCTION("""COMPUTED_VALUE"""),321.9230769230769)</f>
        <v>321.9230769</v>
      </c>
      <c r="P2397" s="82">
        <f>IFERROR(__xludf.DUMMYFUNCTION("""COMPUTED_VALUE"""),0.7606837606837608)</f>
        <v>0.7606837607</v>
      </c>
      <c r="Q2397" s="82">
        <f>IFERROR(__xludf.DUMMYFUNCTION("""COMPUTED_VALUE"""),0.5128205128205128)</f>
        <v>0.5128205128</v>
      </c>
      <c r="R2397" s="82">
        <f>IFERROR(__xludf.DUMMYFUNCTION("""COMPUTED_VALUE"""),1.2564102564102562)</f>
        <v>1.256410256</v>
      </c>
      <c r="S2397" s="82">
        <f>IFERROR(__xludf.DUMMYFUNCTION("""COMPUTED_VALUE"""),2.3504273504273505)</f>
        <v>2.35042735</v>
      </c>
      <c r="T2397" s="82">
        <f>IFERROR(__xludf.DUMMYFUNCTION("""COMPUTED_VALUE"""),339.0499538935875)</f>
        <v>339.0499539</v>
      </c>
      <c r="U2397" s="82">
        <f>IFERROR(__xludf.DUMMYFUNCTION("""COMPUTED_VALUE"""),0.7541753925789919)</f>
        <v>0.7541753926</v>
      </c>
      <c r="V2397" s="82">
        <f>IFERROR(__xludf.DUMMYFUNCTION("""COMPUTED_VALUE"""),0.5347976422370644)</f>
        <v>0.5347976422</v>
      </c>
      <c r="W2397" s="82">
        <f>IFERROR(__xludf.DUMMYFUNCTION("""COMPUTED_VALUE"""),1.3085491842902734)</f>
        <v>1.308549184</v>
      </c>
      <c r="X2397" s="82">
        <f>IFERROR(__xludf.DUMMYFUNCTION("""COMPUTED_VALUE"""),2.3718535106493834)</f>
        <v>2.371853511</v>
      </c>
      <c r="Y2397" s="82">
        <f>IFERROR(__xludf.DUMMYFUNCTION("""COMPUTED_VALUE"""),335.85269072649305)</f>
        <v>335.8526907</v>
      </c>
      <c r="Z2397" s="82">
        <f>IFERROR(__xludf.DUMMYFUNCTION("""COMPUTED_VALUE"""),0.7679242750240565)</f>
        <v>0.767924275</v>
      </c>
      <c r="AA2397" s="82">
        <f>IFERROR(__xludf.DUMMYFUNCTION("""COMPUTED_VALUE"""),0.5373612601002312)</f>
        <v>0.5373612601</v>
      </c>
      <c r="AB2397" s="82">
        <f>IFERROR(__xludf.DUMMYFUNCTION("""COMPUTED_VALUE"""),1.1961684352744022)</f>
        <v>1.196168435</v>
      </c>
      <c r="AC2397" s="82">
        <f>IFERROR(__xludf.DUMMYFUNCTION("""COMPUTED_VALUE"""),2.542658866210093)</f>
        <v>2.542658866</v>
      </c>
      <c r="AD2397" s="82">
        <f>IFERROR(__xludf.DUMMYFUNCTION("""COMPUTED_VALUE"""),0.8459905576864633)</f>
        <v>0.8459905577</v>
      </c>
      <c r="AE2397" s="82">
        <f>IFERROR(__xludf.DUMMYFUNCTION("""COMPUTED_VALUE"""),0.734580976861153)</f>
        <v>0.7345809769</v>
      </c>
      <c r="AF2397" s="82">
        <f>IFERROR(__xludf.DUMMYFUNCTION("""COMPUTED_VALUE"""),0.763464806115512)</f>
        <v>0.7634648061</v>
      </c>
      <c r="AG2397" s="82">
        <f>IFERROR(__xludf.DUMMYFUNCTION("""COMPUTED_VALUE"""),1.0717982888063573)</f>
        <v>1.071798289</v>
      </c>
      <c r="AH2397" s="82">
        <f>IFERROR(__xludf.DUMMYFUNCTION("""COMPUTED_VALUE"""),0.8269155294504904)</f>
        <v>0.8269155295</v>
      </c>
      <c r="AI2397" s="82">
        <f>IFERROR(__xludf.DUMMYFUNCTION("""COMPUTED_VALUE"""),0.9494856826440214)</f>
        <v>0.9494856826</v>
      </c>
      <c r="AJ2397" s="82">
        <f>IFERROR(__xludf.DUMMYFUNCTION("""COMPUTED_VALUE"""),1.0086297805110198)</f>
        <v>1.008629781</v>
      </c>
      <c r="AK2397" s="82">
        <f>IFERROR(__xludf.DUMMYFUNCTION("""COMPUTED_VALUE"""),0.95890570997168)</f>
        <v>0.95890571</v>
      </c>
      <c r="AL2397" s="82">
        <f>IFERROR(__xludf.DUMMYFUNCTION("""COMPUTED_VALUE"""),0.9601551638211473)</f>
        <v>0.9601551638</v>
      </c>
      <c r="AM2397" s="82">
        <f>IFERROR(__xludf.DUMMYFUNCTION("""COMPUTED_VALUE"""),0.9909664909212008)</f>
        <v>0.9909664909</v>
      </c>
      <c r="AN2397" s="82">
        <f>IFERROR(__xludf.DUMMYFUNCTION("""COMPUTED_VALUE"""),0.8733821312076966)</f>
        <v>0.8733821312</v>
      </c>
      <c r="AO2397" s="82">
        <f>IFERROR(__xludf.DUMMYFUNCTION("""COMPUTED_VALUE"""),0.7718509976377118)</f>
        <v>0.7718509976</v>
      </c>
      <c r="AP2397" s="82">
        <f>IFERROR(__xludf.DUMMYFUNCTION("""COMPUTED_VALUE"""),0.7957626289779093)</f>
        <v>0.795762629</v>
      </c>
      <c r="AQ2397" s="82">
        <f>IFERROR(__xludf.DUMMYFUNCTION("""COMPUTED_VALUE"""),1.0633128054986627)</f>
        <v>1.063312805</v>
      </c>
      <c r="AR2397" s="82">
        <f>IFERROR(__xludf.DUMMYFUNCTION("""COMPUTED_VALUE"""),0.8835869871723668)</f>
        <v>0.8835869872</v>
      </c>
      <c r="AS2397" s="82">
        <f>IFERROR(__xludf.DUMMYFUNCTION("""COMPUTED_VALUE"""),86.0)</f>
        <v>86</v>
      </c>
      <c r="AT2397" s="82">
        <f>IFERROR(__xludf.DUMMYFUNCTION("""COMPUTED_VALUE"""),0.4500987561892207)</f>
        <v>0.4500987562</v>
      </c>
      <c r="AU2397" s="82">
        <f>IFERROR(__xludf.DUMMYFUNCTION("""COMPUTED_VALUE"""),2.1529435943000736)</f>
        <v>2.152943594</v>
      </c>
      <c r="AV2397" s="82">
        <f>IFERROR(__xludf.DUMMYFUNCTION("""COMPUTED_VALUE"""),31.98196147892927)</f>
        <v>31.98196148</v>
      </c>
      <c r="AW2397" s="82">
        <f t="shared" si="1"/>
        <v>-4.245555668</v>
      </c>
      <c r="AX2397" s="83">
        <f t="array" ref="AX2397">IFERROR(DGET('SBV Import'!A:G,"SBV",{"RSC ID","Tier";B2397,A2397}))</f>
        <v>29.111766</v>
      </c>
      <c r="AY2397" s="82">
        <f t="shared" si="2"/>
        <v>-4.957615817</v>
      </c>
      <c r="AZ2397" s="82">
        <v>0.7120601491725909</v>
      </c>
      <c r="BA2397" s="84">
        <v>2300.0</v>
      </c>
      <c r="BB2397" s="84" t="b">
        <f>IFERROR(__xludf.DUMMYFUNCTION("iferror(if(A2397="""",,E2397&gt;=FILTER(Constants!$F$2:$F$10,Constants!$A$2:$A$10=A2397)))"),TRUE)</f>
        <v>1</v>
      </c>
    </row>
    <row r="2398">
      <c r="A2398" s="89" t="str">
        <f>IFERROR(__xludf.DUMMYFUNCTION("""COMPUTED_VALUE"""),"Challenger")</f>
        <v>Challenger</v>
      </c>
      <c r="B2398" s="87" t="str">
        <f>IFERROR(__xludf.DUMMYFUNCTION("""COMPUTED_VALUE"""),"RSC000663")</f>
        <v>RSC000663</v>
      </c>
      <c r="C2398" s="73" t="str">
        <f>IFERROR(__xludf.DUMMYFUNCTION("""COMPUTED_VALUE"""),"DrProfessorNoah")</f>
        <v>DrProfessorNoah</v>
      </c>
      <c r="D2398" s="73" t="str">
        <f>IFERROR(__xludf.DUMMYFUNCTION("""COMPUTED_VALUE"""),"Apple Associates")</f>
        <v>Apple Associates</v>
      </c>
      <c r="E2398" s="82">
        <f>IFERROR(__xludf.DUMMYFUNCTION("""COMPUTED_VALUE"""),46.0)</f>
        <v>46</v>
      </c>
      <c r="F2398" s="82">
        <f>IFERROR(__xludf.DUMMYFUNCTION("""COMPUTED_VALUE"""),16.0)</f>
        <v>16</v>
      </c>
      <c r="G2398" s="86">
        <f>IFERROR(__xludf.DUMMYFUNCTION("""COMPUTED_VALUE"""),30.0)</f>
        <v>30</v>
      </c>
      <c r="H2398" s="86">
        <f>IFERROR(__xludf.DUMMYFUNCTION("""COMPUTED_VALUE"""),0.34782608695652173)</f>
        <v>0.347826087</v>
      </c>
      <c r="I2398" s="86">
        <f>IFERROR(__xludf.DUMMYFUNCTION("""COMPUTED_VALUE"""),0.23157894736842108)</f>
        <v>0.2315789474</v>
      </c>
      <c r="J2398" s="82">
        <f>IFERROR(__xludf.DUMMYFUNCTION("""COMPUTED_VALUE"""),291.39130434782606)</f>
        <v>291.3913043</v>
      </c>
      <c r="K2398" s="82">
        <f>IFERROR(__xludf.DUMMYFUNCTION("""COMPUTED_VALUE"""),0.4782608695652174)</f>
        <v>0.4782608696</v>
      </c>
      <c r="L2398" s="82">
        <f>IFERROR(__xludf.DUMMYFUNCTION("""COMPUTED_VALUE"""),0.45652173913043476)</f>
        <v>0.4565217391</v>
      </c>
      <c r="M2398" s="82">
        <f>IFERROR(__xludf.DUMMYFUNCTION("""COMPUTED_VALUE"""),1.2173913043478262)</f>
        <v>1.217391304</v>
      </c>
      <c r="N2398" s="82">
        <f>IFERROR(__xludf.DUMMYFUNCTION("""COMPUTED_VALUE"""),2.0652173913043477)</f>
        <v>2.065217391</v>
      </c>
      <c r="O2398" s="82">
        <f>IFERROR(__xludf.DUMMYFUNCTION("""COMPUTED_VALUE"""),327.47826086956525)</f>
        <v>327.4782609</v>
      </c>
      <c r="P2398" s="82">
        <f>IFERROR(__xludf.DUMMYFUNCTION("""COMPUTED_VALUE"""),0.8260869565217392)</f>
        <v>0.8260869565</v>
      </c>
      <c r="Q2398" s="82">
        <f>IFERROR(__xludf.DUMMYFUNCTION("""COMPUTED_VALUE"""),0.5652173913043477)</f>
        <v>0.5652173913</v>
      </c>
      <c r="R2398" s="82">
        <f>IFERROR(__xludf.DUMMYFUNCTION("""COMPUTED_VALUE"""),1.1014492753623188)</f>
        <v>1.101449275</v>
      </c>
      <c r="S2398" s="82">
        <f>IFERROR(__xludf.DUMMYFUNCTION("""COMPUTED_VALUE"""),2.4710144927536235)</f>
        <v>2.471014493</v>
      </c>
      <c r="T2398" s="82">
        <f>IFERROR(__xludf.DUMMYFUNCTION("""COMPUTED_VALUE"""),341.5707785940437)</f>
        <v>341.5707786</v>
      </c>
      <c r="U2398" s="82">
        <f>IFERROR(__xludf.DUMMYFUNCTION("""COMPUTED_VALUE"""),0.7857778656524587)</f>
        <v>0.7857778657</v>
      </c>
      <c r="V2398" s="82">
        <f>IFERROR(__xludf.DUMMYFUNCTION("""COMPUTED_VALUE"""),0.5599936879049832)</f>
        <v>0.5599936879</v>
      </c>
      <c r="W2398" s="82">
        <f>IFERROR(__xludf.DUMMYFUNCTION("""COMPUTED_VALUE"""),1.2495876397902335)</f>
        <v>1.24958764</v>
      </c>
      <c r="X2398" s="82">
        <f>IFERROR(__xludf.DUMMYFUNCTION("""COMPUTED_VALUE"""),2.5029214766428787)</f>
        <v>2.502921477</v>
      </c>
      <c r="Y2398" s="82">
        <f>IFERROR(__xludf.DUMMYFUNCTION("""COMPUTED_VALUE"""),328.7794320580572)</f>
        <v>328.7794321</v>
      </c>
      <c r="Z2398" s="82">
        <f>IFERROR(__xludf.DUMMYFUNCTION("""COMPUTED_VALUE"""),0.718472533589165)</f>
        <v>0.7184725336</v>
      </c>
      <c r="AA2398" s="82">
        <f>IFERROR(__xludf.DUMMYFUNCTION("""COMPUTED_VALUE"""),0.5052086004291035)</f>
        <v>0.5052086004</v>
      </c>
      <c r="AB2398" s="82">
        <f>IFERROR(__xludf.DUMMYFUNCTION("""COMPUTED_VALUE"""),1.2555402455609252)</f>
        <v>1.255540246</v>
      </c>
      <c r="AC2398" s="82">
        <f>IFERROR(__xludf.DUMMYFUNCTION("""COMPUTED_VALUE"""),2.394734737717053)</f>
        <v>2.394734738</v>
      </c>
      <c r="AD2398" s="82">
        <f>IFERROR(__xludf.DUMMYFUNCTION("""COMPUTED_VALUE"""),0.8862820357216599)</f>
        <v>0.8862820357</v>
      </c>
      <c r="AE2398" s="82">
        <f>IFERROR(__xludf.DUMMYFUNCTION("""COMPUTED_VALUE"""),0.6656634000690905)</f>
        <v>0.6656634001</v>
      </c>
      <c r="AF2398" s="82">
        <f>IFERROR(__xludf.DUMMYFUNCTION("""COMPUTED_VALUE"""),0.9036301811621652)</f>
        <v>0.9036301812</v>
      </c>
      <c r="AG2398" s="82">
        <f>IFERROR(__xludf.DUMMYFUNCTION("""COMPUTED_VALUE"""),0.9696155170270503)</f>
        <v>0.969615517</v>
      </c>
      <c r="AH2398" s="82">
        <f>IFERROR(__xludf.DUMMYFUNCTION("""COMPUTED_VALUE"""),0.8623992289322029)</f>
        <v>0.8623992289</v>
      </c>
      <c r="AI2398" s="82">
        <f>IFERROR(__xludf.DUMMYFUNCTION("""COMPUTED_VALUE"""),0.9587420276919315)</f>
        <v>0.9587420277</v>
      </c>
      <c r="AJ2398" s="82">
        <f>IFERROR(__xludf.DUMMYFUNCTION("""COMPUTED_VALUE"""),1.0512983282314914)</f>
        <v>1.051298328</v>
      </c>
      <c r="AK2398" s="82">
        <f>IFERROR(__xludf.DUMMYFUNCTION("""COMPUTED_VALUE"""),1.009328146927704)</f>
        <v>1.009328147</v>
      </c>
      <c r="AL2398" s="82">
        <f>IFERROR(__xludf.DUMMYFUNCTION("""COMPUTED_VALUE"""),0.8814502002814445)</f>
        <v>0.8814502003</v>
      </c>
      <c r="AM2398" s="82">
        <f>IFERROR(__xludf.DUMMYFUNCTION("""COMPUTED_VALUE"""),0.9872521035170263)</f>
        <v>0.9872521035</v>
      </c>
      <c r="AN2398" s="82">
        <f>IFERROR(__xludf.DUMMYFUNCTION("""COMPUTED_VALUE"""),0.8957081831839274)</f>
        <v>0.8957081832</v>
      </c>
      <c r="AO2398" s="82">
        <f>IFERROR(__xludf.DUMMYFUNCTION("""COMPUTED_VALUE"""),0.6543954110406688)</f>
        <v>0.654395411</v>
      </c>
      <c r="AP2398" s="82">
        <f>IFERROR(__xludf.DUMMYFUNCTION("""COMPUTED_VALUE"""),0.885502164582755)</f>
        <v>0.8855021646</v>
      </c>
      <c r="AQ2398" s="82">
        <f>IFERROR(__xludf.DUMMYFUNCTION("""COMPUTED_VALUE"""),1.0096848553082953)</f>
        <v>1.009684855</v>
      </c>
      <c r="AR2398" s="82">
        <f>IFERROR(__xludf.DUMMYFUNCTION("""COMPUTED_VALUE"""),0.8678923084500579)</f>
        <v>0.8678923085</v>
      </c>
      <c r="AS2398" s="82">
        <f>IFERROR(__xludf.DUMMYFUNCTION("""COMPUTED_VALUE"""),82.0)</f>
        <v>82</v>
      </c>
      <c r="AT2398" s="82">
        <f>IFERROR(__xludf.DUMMYFUNCTION("""COMPUTED_VALUE"""),0.37766939391463145)</f>
        <v>0.3776693939</v>
      </c>
      <c r="AU2398" s="82">
        <f>IFERROR(__xludf.DUMMYFUNCTION("""COMPUTED_VALUE"""),2.1344847292618936)</f>
        <v>2.134484729</v>
      </c>
      <c r="AV2398" s="82">
        <f>IFERROR(__xludf.DUMMYFUNCTION("""COMPUTED_VALUE"""),31.500217206784672)</f>
        <v>31.50021721</v>
      </c>
      <c r="AW2398" s="82">
        <f t="shared" si="1"/>
        <v>-4.354402501</v>
      </c>
      <c r="AX2398" s="83">
        <f t="array" ref="AX2398">IFERROR(DGET('SBV Import'!A:G,"SBV",{"RSC ID","Tier";B2398,A2398}))</f>
        <v>33.07949506</v>
      </c>
      <c r="AY2398" s="82">
        <f t="shared" si="2"/>
        <v>-4.011874815</v>
      </c>
      <c r="AZ2398" s="82">
        <v>0.3425276867110947</v>
      </c>
      <c r="BA2398" s="84">
        <v>2300.0</v>
      </c>
      <c r="BB2398" s="84" t="b">
        <f>IFERROR(__xludf.DUMMYFUNCTION("iferror(if(A2398="""",,E2398&gt;=FILTER(Constants!$F$2:$F$10,Constants!$A$2:$A$10=A2398)))"),TRUE)</f>
        <v>1</v>
      </c>
    </row>
    <row r="2399">
      <c r="A2399" s="89" t="str">
        <f>IFERROR(__xludf.DUMMYFUNCTION("""COMPUTED_VALUE"""),"Challenger")</f>
        <v>Challenger</v>
      </c>
      <c r="B2399" s="87" t="str">
        <f>IFERROR(__xludf.DUMMYFUNCTION("""COMPUTED_VALUE"""),"RSC007969")</f>
        <v>RSC007969</v>
      </c>
      <c r="C2399" s="73" t="str">
        <f>IFERROR(__xludf.DUMMYFUNCTION("""COMPUTED_VALUE"""),"EcHo.rll")</f>
        <v>EcHo.rll</v>
      </c>
      <c r="D2399" s="73" t="str">
        <f>IFERROR(__xludf.DUMMYFUNCTION("""COMPUTED_VALUE"""),"Shade")</f>
        <v>Shade</v>
      </c>
      <c r="E2399" s="82">
        <f>IFERROR(__xludf.DUMMYFUNCTION("""COMPUTED_VALUE"""),20.0)</f>
        <v>20</v>
      </c>
      <c r="F2399" s="82">
        <f>IFERROR(__xludf.DUMMYFUNCTION("""COMPUTED_VALUE"""),8.0)</f>
        <v>8</v>
      </c>
      <c r="G2399" s="86">
        <f>IFERROR(__xludf.DUMMYFUNCTION("""COMPUTED_VALUE"""),12.0)</f>
        <v>12</v>
      </c>
      <c r="H2399" s="86">
        <f>IFERROR(__xludf.DUMMYFUNCTION("""COMPUTED_VALUE"""),0.4)</f>
        <v>0.4</v>
      </c>
      <c r="I2399" s="86">
        <f>IFERROR(__xludf.DUMMYFUNCTION("""COMPUTED_VALUE"""),0.2631578947368421)</f>
        <v>0.2631578947</v>
      </c>
      <c r="J2399" s="82">
        <f>IFERROR(__xludf.DUMMYFUNCTION("""COMPUTED_VALUE"""),281.65)</f>
        <v>281.65</v>
      </c>
      <c r="K2399" s="82">
        <f>IFERROR(__xludf.DUMMYFUNCTION("""COMPUTED_VALUE"""),0.5)</f>
        <v>0.5</v>
      </c>
      <c r="L2399" s="82">
        <f>IFERROR(__xludf.DUMMYFUNCTION("""COMPUTED_VALUE"""),0.5)</f>
        <v>0.5</v>
      </c>
      <c r="M2399" s="82">
        <f>IFERROR(__xludf.DUMMYFUNCTION("""COMPUTED_VALUE"""),1.0)</f>
        <v>1</v>
      </c>
      <c r="N2399" s="82">
        <f>IFERROR(__xludf.DUMMYFUNCTION("""COMPUTED_VALUE"""),1.9)</f>
        <v>1.9</v>
      </c>
      <c r="O2399" s="82">
        <f>IFERROR(__xludf.DUMMYFUNCTION("""COMPUTED_VALUE"""),336.03333333333336)</f>
        <v>336.0333333</v>
      </c>
      <c r="P2399" s="82">
        <f>IFERROR(__xludf.DUMMYFUNCTION("""COMPUTED_VALUE"""),0.9)</f>
        <v>0.9</v>
      </c>
      <c r="Q2399" s="82">
        <f>IFERROR(__xludf.DUMMYFUNCTION("""COMPUTED_VALUE"""),0.6166666666666667)</f>
        <v>0.6166666667</v>
      </c>
      <c r="R2399" s="82">
        <f>IFERROR(__xludf.DUMMYFUNCTION("""COMPUTED_VALUE"""),0.9666666666666666)</f>
        <v>0.9666666667</v>
      </c>
      <c r="S2399" s="82">
        <f>IFERROR(__xludf.DUMMYFUNCTION("""COMPUTED_VALUE"""),2.4999999999999996)</f>
        <v>2.5</v>
      </c>
      <c r="T2399" s="82">
        <f>IFERROR(__xludf.DUMMYFUNCTION("""COMPUTED_VALUE"""),342.2238714317294)</f>
        <v>342.2238714</v>
      </c>
      <c r="U2399" s="82">
        <f>IFERROR(__xludf.DUMMYFUNCTION("""COMPUTED_VALUE"""),0.8245608939241785)</f>
        <v>0.8245608939</v>
      </c>
      <c r="V2399" s="82">
        <f>IFERROR(__xludf.DUMMYFUNCTION("""COMPUTED_VALUE"""),0.5607656037099324)</f>
        <v>0.5607656037</v>
      </c>
      <c r="W2399" s="82">
        <f>IFERROR(__xludf.DUMMYFUNCTION("""COMPUTED_VALUE"""),1.1980089442415889)</f>
        <v>1.198008944</v>
      </c>
      <c r="X2399" s="82">
        <f>IFERROR(__xludf.DUMMYFUNCTION("""COMPUTED_VALUE"""),2.455235003203243)</f>
        <v>2.455235003</v>
      </c>
      <c r="Y2399" s="82">
        <f>IFERROR(__xludf.DUMMYFUNCTION("""COMPUTED_VALUE"""),316.9501423281804)</f>
        <v>316.9501423</v>
      </c>
      <c r="Z2399" s="82">
        <f>IFERROR(__xludf.DUMMYFUNCTION("""COMPUTED_VALUE"""),0.7145657131147901)</f>
        <v>0.7145657131</v>
      </c>
      <c r="AA2399" s="82">
        <f>IFERROR(__xludf.DUMMYFUNCTION("""COMPUTED_VALUE"""),0.4849126505058662)</f>
        <v>0.4849126505</v>
      </c>
      <c r="AB2399" s="82">
        <f>IFERROR(__xludf.DUMMYFUNCTION("""COMPUTED_VALUE"""),1.1735592727702073)</f>
        <v>1.173559273</v>
      </c>
      <c r="AC2399" s="82">
        <f>IFERROR(__xludf.DUMMYFUNCTION("""COMPUTED_VALUE"""),2.3422722208114406)</f>
        <v>2.342272221</v>
      </c>
      <c r="AD2399" s="82">
        <f>IFERROR(__xludf.DUMMYFUNCTION("""COMPUTED_VALUE"""),0.8886255671984223)</f>
        <v>0.8886255672</v>
      </c>
      <c r="AE2399" s="82">
        <f>IFERROR(__xludf.DUMMYFUNCTION("""COMPUTED_VALUE"""),0.6997257086692577)</f>
        <v>0.6997257087</v>
      </c>
      <c r="AF2399" s="82">
        <f>IFERROR(__xludf.DUMMYFUNCTION("""COMPUTED_VALUE"""),1.0311135407137646)</f>
        <v>1.031113541</v>
      </c>
      <c r="AG2399" s="82">
        <f>IFERROR(__xludf.DUMMYFUNCTION("""COMPUTED_VALUE"""),0.8521086435110196)</f>
        <v>0.8521086435</v>
      </c>
      <c r="AH2399" s="82">
        <f>IFERROR(__xludf.DUMMYFUNCTION("""COMPUTED_VALUE"""),0.8111781299877164)</f>
        <v>0.81117813</v>
      </c>
      <c r="AI2399" s="82">
        <f>IFERROR(__xludf.DUMMYFUNCTION("""COMPUTED_VALUE"""),0.9819108524706437)</f>
        <v>0.9819108525</v>
      </c>
      <c r="AJ2399" s="82">
        <f>IFERROR(__xludf.DUMMYFUNCTION("""COMPUTED_VALUE"""),1.0914900362504438)</f>
        <v>1.091490036</v>
      </c>
      <c r="AK2399" s="82">
        <f>IFERROR(__xludf.DUMMYFUNCTION("""COMPUTED_VALUE"""),1.0996870396238678)</f>
        <v>1.09968704</v>
      </c>
      <c r="AL2399" s="82">
        <f>IFERROR(__xludf.DUMMYFUNCTION("""COMPUTED_VALUE"""),0.8068943652825766)</f>
        <v>0.8068943653</v>
      </c>
      <c r="AM2399" s="82">
        <f>IFERROR(__xludf.DUMMYFUNCTION("""COMPUTED_VALUE"""),1.0182324692904563)</f>
        <v>1.018232469</v>
      </c>
      <c r="AN2399" s="82">
        <f>IFERROR(__xludf.DUMMYFUNCTION("""COMPUTED_VALUE"""),0.8657643726135963)</f>
        <v>0.8657643726</v>
      </c>
      <c r="AO2399" s="82">
        <f>IFERROR(__xludf.DUMMYFUNCTION("""COMPUTED_VALUE"""),0.6841406569970628)</f>
        <v>0.684140657</v>
      </c>
      <c r="AP2399" s="82">
        <f>IFERROR(__xludf.DUMMYFUNCTION("""COMPUTED_VALUE"""),0.969835704066827)</f>
        <v>0.9698357041</v>
      </c>
      <c r="AQ2399" s="82">
        <f>IFERROR(__xludf.DUMMYFUNCTION("""COMPUTED_VALUE"""),0.8293839882889568)</f>
        <v>0.8293839883</v>
      </c>
      <c r="AR2399" s="82">
        <f>IFERROR(__xludf.DUMMYFUNCTION("""COMPUTED_VALUE"""),0.7984609237740533)</f>
        <v>0.7984609238</v>
      </c>
      <c r="AS2399" s="82">
        <f>IFERROR(__xludf.DUMMYFUNCTION("""COMPUTED_VALUE"""),37.0)</f>
        <v>37</v>
      </c>
      <c r="AT2399" s="82">
        <f>IFERROR(__xludf.DUMMYFUNCTION("""COMPUTED_VALUE"""),0.3580114159219156)</f>
        <v>0.3580114159</v>
      </c>
      <c r="AU2399" s="82">
        <f>IFERROR(__xludf.DUMMYFUNCTION("""COMPUTED_VALUE"""),2.1072942607938883)</f>
        <v>2.107294261</v>
      </c>
      <c r="AV2399" s="82">
        <f>IFERROR(__xludf.DUMMYFUNCTION("""COMPUTED_VALUE"""),30.79059327192755)</f>
        <v>30.79059327</v>
      </c>
      <c r="AW2399" s="82">
        <f t="shared" si="1"/>
        <v>-4.522189169</v>
      </c>
      <c r="AX2399" s="83">
        <f t="array" ref="AX2399">IFERROR(DGET('SBV Import'!A:G,"SBV",{"RSC ID","Tier";B2399,A2399}))</f>
        <v>38.34939003</v>
      </c>
      <c r="AY2399" s="82">
        <f t="shared" si="2"/>
        <v>-3.119161143</v>
      </c>
      <c r="AZ2399" s="82">
        <v>1.403028026395675</v>
      </c>
      <c r="BA2399" s="84">
        <v>2300.0</v>
      </c>
      <c r="BB2399" s="84" t="b">
        <f>IFERROR(__xludf.DUMMYFUNCTION("iferror(if(A2399="""",,E2399&gt;=FILTER(Constants!$F$2:$F$10,Constants!$A$2:$A$10=A2399)))"),TRUE)</f>
        <v>1</v>
      </c>
    </row>
    <row r="2400">
      <c r="A2400" s="89" t="str">
        <f>IFERROR(__xludf.DUMMYFUNCTION("""COMPUTED_VALUE"""),"Challenger")</f>
        <v>Challenger</v>
      </c>
      <c r="B2400" s="87" t="str">
        <f>IFERROR(__xludf.DUMMYFUNCTION("""COMPUTED_VALUE"""),"RSC002911")</f>
        <v>RSC002911</v>
      </c>
      <c r="C2400" s="73" t="str">
        <f>IFERROR(__xludf.DUMMYFUNCTION("""COMPUTED_VALUE"""),"Alextross")</f>
        <v>Alextross</v>
      </c>
      <c r="D2400" s="73" t="str">
        <f>IFERROR(__xludf.DUMMYFUNCTION("""COMPUTED_VALUE"""),"Meat Lovers")</f>
        <v>Meat Lovers</v>
      </c>
      <c r="E2400" s="82">
        <f>IFERROR(__xludf.DUMMYFUNCTION("""COMPUTED_VALUE"""),11.0)</f>
        <v>11</v>
      </c>
      <c r="F2400" s="82">
        <f>IFERROR(__xludf.DUMMYFUNCTION("""COMPUTED_VALUE"""),8.0)</f>
        <v>8</v>
      </c>
      <c r="G2400" s="86">
        <f>IFERROR(__xludf.DUMMYFUNCTION("""COMPUTED_VALUE"""),3.0)</f>
        <v>3</v>
      </c>
      <c r="H2400" s="86">
        <f>IFERROR(__xludf.DUMMYFUNCTION("""COMPUTED_VALUE"""),0.7272727272727273)</f>
        <v>0.7272727273</v>
      </c>
      <c r="I2400" s="86">
        <f>IFERROR(__xludf.DUMMYFUNCTION("""COMPUTED_VALUE"""),0.3)</f>
        <v>0.3</v>
      </c>
      <c r="J2400" s="82">
        <f>IFERROR(__xludf.DUMMYFUNCTION("""COMPUTED_VALUE"""),258.45454545454544)</f>
        <v>258.4545455</v>
      </c>
      <c r="K2400" s="82">
        <f>IFERROR(__xludf.DUMMYFUNCTION("""COMPUTED_VALUE"""),0.5454545454545454)</f>
        <v>0.5454545455</v>
      </c>
      <c r="L2400" s="82">
        <f>IFERROR(__xludf.DUMMYFUNCTION("""COMPUTED_VALUE"""),0.45454545454545453)</f>
        <v>0.4545454545</v>
      </c>
      <c r="M2400" s="82">
        <f>IFERROR(__xludf.DUMMYFUNCTION("""COMPUTED_VALUE"""),1.0)</f>
        <v>1</v>
      </c>
      <c r="N2400" s="82">
        <f>IFERROR(__xludf.DUMMYFUNCTION("""COMPUTED_VALUE"""),1.8181818181818181)</f>
        <v>1.818181818</v>
      </c>
      <c r="O2400" s="82">
        <f>IFERROR(__xludf.DUMMYFUNCTION("""COMPUTED_VALUE"""),316.0)</f>
        <v>316</v>
      </c>
      <c r="P2400" s="82">
        <f>IFERROR(__xludf.DUMMYFUNCTION("""COMPUTED_VALUE"""),0.6363636363636364)</f>
        <v>0.6363636364</v>
      </c>
      <c r="Q2400" s="82">
        <f>IFERROR(__xludf.DUMMYFUNCTION("""COMPUTED_VALUE"""),0.42424242424242425)</f>
        <v>0.4242424242</v>
      </c>
      <c r="R2400" s="82">
        <f>IFERROR(__xludf.DUMMYFUNCTION("""COMPUTED_VALUE"""),1.1212121212121213)</f>
        <v>1.121212121</v>
      </c>
      <c r="S2400" s="82">
        <f>IFERROR(__xludf.DUMMYFUNCTION("""COMPUTED_VALUE"""),2.272727272727273)</f>
        <v>2.272727273</v>
      </c>
      <c r="T2400" s="82">
        <f>IFERROR(__xludf.DUMMYFUNCTION("""COMPUTED_VALUE"""),346.06325314902125)</f>
        <v>346.0632531</v>
      </c>
      <c r="U2400" s="82">
        <f>IFERROR(__xludf.DUMMYFUNCTION("""COMPUTED_VALUE"""),0.7588921875054496)</f>
        <v>0.7588921875</v>
      </c>
      <c r="V2400" s="82">
        <f>IFERROR(__xludf.DUMMYFUNCTION("""COMPUTED_VALUE"""),0.5099092836737212)</f>
        <v>0.5099092837</v>
      </c>
      <c r="W2400" s="82">
        <f>IFERROR(__xludf.DUMMYFUNCTION("""COMPUTED_VALUE"""),1.3896378368188005)</f>
        <v>1.389637837</v>
      </c>
      <c r="X2400" s="82">
        <f>IFERROR(__xludf.DUMMYFUNCTION("""COMPUTED_VALUE"""),2.3648905249269583)</f>
        <v>2.364890525</v>
      </c>
      <c r="Y2400" s="82">
        <f>IFERROR(__xludf.DUMMYFUNCTION("""COMPUTED_VALUE"""),343.95996859951714)</f>
        <v>343.9599686</v>
      </c>
      <c r="Z2400" s="82">
        <f>IFERROR(__xludf.DUMMYFUNCTION("""COMPUTED_VALUE"""),0.780573865059525)</f>
        <v>0.7805738651</v>
      </c>
      <c r="AA2400" s="82">
        <f>IFERROR(__xludf.DUMMYFUNCTION("""COMPUTED_VALUE"""),0.5444270063974992)</f>
        <v>0.5444270064</v>
      </c>
      <c r="AB2400" s="82">
        <f>IFERROR(__xludf.DUMMYFUNCTION("""COMPUTED_VALUE"""),1.1923502218444797)</f>
        <v>1.192350222</v>
      </c>
      <c r="AC2400" s="82">
        <f>IFERROR(__xludf.DUMMYFUNCTION("""COMPUTED_VALUE"""),2.6785637636148967)</f>
        <v>2.678563764</v>
      </c>
      <c r="AD2400" s="82">
        <f>IFERROR(__xludf.DUMMYFUNCTION("""COMPUTED_VALUE"""),0.7514087947701605)</f>
        <v>0.7514087948</v>
      </c>
      <c r="AE2400" s="82">
        <f>IFERROR(__xludf.DUMMYFUNCTION("""COMPUTED_VALUE"""),0.6987865849351107)</f>
        <v>0.6987865849</v>
      </c>
      <c r="AF2400" s="82">
        <f>IFERROR(__xludf.DUMMYFUNCTION("""COMPUTED_VALUE"""),0.8349061475719299)</f>
        <v>0.8349061476</v>
      </c>
      <c r="AG2400" s="82">
        <f>IFERROR(__xludf.DUMMYFUNCTION("""COMPUTED_VALUE"""),0.8386797617675386)</f>
        <v>0.8386797618</v>
      </c>
      <c r="AH2400" s="82">
        <f>IFERROR(__xludf.DUMMYFUNCTION("""COMPUTED_VALUE"""),0.6787898212018156)</f>
        <v>0.6787898212</v>
      </c>
      <c r="AI2400" s="82">
        <f>IFERROR(__xludf.DUMMYFUNCTION("""COMPUTED_VALUE"""),0.913127866436384)</f>
        <v>0.9131278664</v>
      </c>
      <c r="AJ2400" s="82">
        <f>IFERROR(__xludf.DUMMYFUNCTION("""COMPUTED_VALUE"""),0.8385428745226958)</f>
        <v>0.8385428745</v>
      </c>
      <c r="AK2400" s="82">
        <f>IFERROR(__xludf.DUMMYFUNCTION("""COMPUTED_VALUE"""),0.8319958820633806)</f>
        <v>0.8319958821</v>
      </c>
      <c r="AL2400" s="82">
        <f>IFERROR(__xludf.DUMMYFUNCTION("""COMPUTED_VALUE"""),0.8068376461156476)</f>
        <v>0.8068376461</v>
      </c>
      <c r="AM2400" s="82">
        <f>IFERROR(__xludf.DUMMYFUNCTION("""COMPUTED_VALUE"""),0.9610285333598976)</f>
        <v>0.9610285334</v>
      </c>
      <c r="AN2400" s="82">
        <f>IFERROR(__xludf.DUMMYFUNCTION("""COMPUTED_VALUE"""),0.7944638288463935)</f>
        <v>0.7944638288</v>
      </c>
      <c r="AO2400" s="82">
        <f>IFERROR(__xludf.DUMMYFUNCTION("""COMPUTED_VALUE"""),0.7463352621786139)</f>
        <v>0.7463352622</v>
      </c>
      <c r="AP2400" s="82">
        <f>IFERROR(__xludf.DUMMYFUNCTION("""COMPUTED_VALUE"""),0.8816688218789336)</f>
        <v>0.8816688219</v>
      </c>
      <c r="AQ2400" s="82">
        <f>IFERROR(__xludf.DUMMYFUNCTION("""COMPUTED_VALUE"""),0.8293839882889568)</f>
        <v>0.8293839883</v>
      </c>
      <c r="AR2400" s="82">
        <f>IFERROR(__xludf.DUMMYFUNCTION("""COMPUTED_VALUE"""),0.7640774390182329)</f>
        <v>0.764077439</v>
      </c>
      <c r="AS2400" s="82">
        <f>IFERROR(__xludf.DUMMYFUNCTION("""COMPUTED_VALUE"""),32.0)</f>
        <v>32</v>
      </c>
      <c r="AT2400" s="82">
        <f>IFERROR(__xludf.DUMMYFUNCTION("""COMPUTED_VALUE"""),0.6595835388946111)</f>
        <v>0.6595835389</v>
      </c>
      <c r="AU2400" s="82">
        <f>IFERROR(__xludf.DUMMYFUNCTION("""COMPUTED_VALUE"""),2.06651795298272)</f>
        <v>2.066517953</v>
      </c>
      <c r="AV2400" s="82">
        <f>IFERROR(__xludf.DUMMYFUNCTION("""COMPUTED_VALUE"""),29.726402559952323)</f>
        <v>29.72640256</v>
      </c>
      <c r="AW2400" s="82">
        <f t="shared" si="1"/>
        <v>-4.79159107</v>
      </c>
      <c r="AX2400" s="83">
        <f t="array" ref="AX2400">IFERROR(DGET('SBV Import'!A:G,"SBV",{"RSC ID","Tier";B2400,A2400}))</f>
        <v>15.93240837</v>
      </c>
      <c r="AY2400" s="82">
        <f t="shared" si="2"/>
        <v>-11.56230286</v>
      </c>
      <c r="AZ2400" s="82">
        <v>6.770711785369342</v>
      </c>
      <c r="BA2400" s="84">
        <v>2300.0</v>
      </c>
      <c r="BB2400" s="84" t="b">
        <f>IFERROR(__xludf.DUMMYFUNCTION("iferror(if(A2400="""",,E2400&gt;=FILTER(Constants!$F$2:$F$10,Constants!$A$2:$A$10=A2400)))"),TRUE)</f>
        <v>1</v>
      </c>
    </row>
    <row r="2401">
      <c r="A2401" s="89" t="str">
        <f>IFERROR(__xludf.DUMMYFUNCTION("""COMPUTED_VALUE"""),"Challenger")</f>
        <v>Challenger</v>
      </c>
      <c r="B2401" s="87" t="str">
        <f>IFERROR(__xludf.DUMMYFUNCTION("""COMPUTED_VALUE"""),"RSC007406")</f>
        <v>RSC007406</v>
      </c>
      <c r="C2401" s="73" t="str">
        <f>IFERROR(__xludf.DUMMYFUNCTION("""COMPUTED_VALUE"""),"junior1000gsxr")</f>
        <v>junior1000gsxr</v>
      </c>
      <c r="D2401" s="73" t="str">
        <f>IFERROR(__xludf.DUMMYFUNCTION("""COMPUTED_VALUE"""),"Chromatic Chaos")</f>
        <v>Chromatic Chaos</v>
      </c>
      <c r="E2401" s="82">
        <f>IFERROR(__xludf.DUMMYFUNCTION("""COMPUTED_VALUE"""),19.0)</f>
        <v>19</v>
      </c>
      <c r="F2401" s="82">
        <f>IFERROR(__xludf.DUMMYFUNCTION("""COMPUTED_VALUE"""),6.0)</f>
        <v>6</v>
      </c>
      <c r="G2401" s="86">
        <f>IFERROR(__xludf.DUMMYFUNCTION("""COMPUTED_VALUE"""),13.0)</f>
        <v>13</v>
      </c>
      <c r="H2401" s="86">
        <f>IFERROR(__xludf.DUMMYFUNCTION("""COMPUTED_VALUE"""),0.3157894736842105)</f>
        <v>0.3157894737</v>
      </c>
      <c r="I2401" s="86">
        <f>IFERROR(__xludf.DUMMYFUNCTION("""COMPUTED_VALUE"""),0.34375000000000006)</f>
        <v>0.34375</v>
      </c>
      <c r="J2401" s="82">
        <f>IFERROR(__xludf.DUMMYFUNCTION("""COMPUTED_VALUE"""),311.2105263157895)</f>
        <v>311.2105263</v>
      </c>
      <c r="K2401" s="82">
        <f>IFERROR(__xludf.DUMMYFUNCTION("""COMPUTED_VALUE"""),0.5789473684210527)</f>
        <v>0.5789473684</v>
      </c>
      <c r="L2401" s="82">
        <f>IFERROR(__xludf.DUMMYFUNCTION("""COMPUTED_VALUE"""),0.5789473684210527)</f>
        <v>0.5789473684</v>
      </c>
      <c r="M2401" s="82">
        <f>IFERROR(__xludf.DUMMYFUNCTION("""COMPUTED_VALUE"""),1.2105263157894737)</f>
        <v>1.210526316</v>
      </c>
      <c r="N2401" s="82">
        <f>IFERROR(__xludf.DUMMYFUNCTION("""COMPUTED_VALUE"""),1.6842105263157894)</f>
        <v>1.684210526</v>
      </c>
      <c r="O2401" s="82">
        <f>IFERROR(__xludf.DUMMYFUNCTION("""COMPUTED_VALUE"""),342.9122807017543)</f>
        <v>342.9122807</v>
      </c>
      <c r="P2401" s="82">
        <f>IFERROR(__xludf.DUMMYFUNCTION("""COMPUTED_VALUE"""),0.9473684210526315)</f>
        <v>0.9473684211</v>
      </c>
      <c r="Q2401" s="82">
        <f>IFERROR(__xludf.DUMMYFUNCTION("""COMPUTED_VALUE"""),0.6315789473684209)</f>
        <v>0.6315789474</v>
      </c>
      <c r="R2401" s="82">
        <f>IFERROR(__xludf.DUMMYFUNCTION("""COMPUTED_VALUE"""),0.9824561403508772)</f>
        <v>0.9824561404</v>
      </c>
      <c r="S2401" s="82">
        <f>IFERROR(__xludf.DUMMYFUNCTION("""COMPUTED_VALUE"""),2.789473684210526)</f>
        <v>2.789473684</v>
      </c>
      <c r="T2401" s="82">
        <f>IFERROR(__xludf.DUMMYFUNCTION("""COMPUTED_VALUE"""),322.38633800517636)</f>
        <v>322.386338</v>
      </c>
      <c r="U2401" s="82">
        <f>IFERROR(__xludf.DUMMYFUNCTION("""COMPUTED_VALUE"""),0.7305421449013844)</f>
        <v>0.7305421449</v>
      </c>
      <c r="V2401" s="82">
        <f>IFERROR(__xludf.DUMMYFUNCTION("""COMPUTED_VALUE"""),0.5047362766058341)</f>
        <v>0.5047362766</v>
      </c>
      <c r="W2401" s="82">
        <f>IFERROR(__xludf.DUMMYFUNCTION("""COMPUTED_VALUE"""),1.144743819200034)</f>
        <v>1.144743819</v>
      </c>
      <c r="X2401" s="82">
        <f>IFERROR(__xludf.DUMMYFUNCTION("""COMPUTED_VALUE"""),2.3920824614009244)</f>
        <v>2.392082461</v>
      </c>
      <c r="Y2401" s="82">
        <f>IFERROR(__xludf.DUMMYFUNCTION("""COMPUTED_VALUE"""),340.8795633918256)</f>
        <v>340.8795634</v>
      </c>
      <c r="Z2401" s="82">
        <f>IFERROR(__xludf.DUMMYFUNCTION("""COMPUTED_VALUE"""),0.8181454600443585)</f>
        <v>0.81814546</v>
      </c>
      <c r="AA2401" s="82">
        <f>IFERROR(__xludf.DUMMYFUNCTION("""COMPUTED_VALUE"""),0.5376266957690374)</f>
        <v>0.5376266958</v>
      </c>
      <c r="AB2401" s="82">
        <f>IFERROR(__xludf.DUMMYFUNCTION("""COMPUTED_VALUE"""),1.222150964412427)</f>
        <v>1.222150964</v>
      </c>
      <c r="AC2401" s="82">
        <f>IFERROR(__xludf.DUMMYFUNCTION("""COMPUTED_VALUE"""),2.3770411865667156)</f>
        <v>2.377041187</v>
      </c>
      <c r="AD2401" s="82">
        <f>IFERROR(__xludf.DUMMYFUNCTION("""COMPUTED_VALUE"""),0.9129632859746041)</f>
        <v>0.912963286</v>
      </c>
      <c r="AE2401" s="82">
        <f>IFERROR(__xludf.DUMMYFUNCTION("""COMPUTED_VALUE"""),0.7076337848157992)</f>
        <v>0.7076337848</v>
      </c>
      <c r="AF2401" s="82">
        <f>IFERROR(__xludf.DUMMYFUNCTION("""COMPUTED_VALUE"""),1.076857553721191)</f>
        <v>1.076857554</v>
      </c>
      <c r="AG2401" s="82">
        <f>IFERROR(__xludf.DUMMYFUNCTION("""COMPUTED_VALUE"""),0.9904883693083348)</f>
        <v>0.9904883693</v>
      </c>
      <c r="AH2401" s="82">
        <f>IFERROR(__xludf.DUMMYFUNCTION("""COMPUTED_VALUE"""),0.708532328271679)</f>
        <v>0.7085323283</v>
      </c>
      <c r="AI2401" s="82">
        <f>IFERROR(__xludf.DUMMYFUNCTION("""COMPUTED_VALUE"""),1.063668773384089)</f>
        <v>1.063668773</v>
      </c>
      <c r="AJ2401" s="82">
        <f>IFERROR(__xludf.DUMMYFUNCTION("""COMPUTED_VALUE"""),1.2968018719584158)</f>
        <v>1.296801872</v>
      </c>
      <c r="AK2401" s="82">
        <f>IFERROR(__xludf.DUMMYFUNCTION("""COMPUTED_VALUE"""),1.2513048430272482)</f>
        <v>1.251304843</v>
      </c>
      <c r="AL2401" s="82">
        <f>IFERROR(__xludf.DUMMYFUNCTION("""COMPUTED_VALUE"""),0.858232317023938)</f>
        <v>0.858232317</v>
      </c>
      <c r="AM2401" s="82">
        <f>IFERROR(__xludf.DUMMYFUNCTION("""COMPUTED_VALUE"""),1.1661277272928414)</f>
        <v>1.166127727</v>
      </c>
      <c r="AN2401" s="82">
        <f>IFERROR(__xludf.DUMMYFUNCTION("""COMPUTED_VALUE"""),0.9566305203853598)</f>
        <v>0.9566305204</v>
      </c>
      <c r="AO2401" s="82">
        <f>IFERROR(__xludf.DUMMYFUNCTION("""COMPUTED_VALUE"""),0.792162865996599)</f>
        <v>0.792162866</v>
      </c>
      <c r="AP2401" s="82">
        <f>IFERROR(__xludf.DUMMYFUNCTION("""COMPUTED_VALUE"""),1.1229676573405365)</f>
        <v>1.122967657</v>
      </c>
      <c r="AQ2401" s="82">
        <f>IFERROR(__xludf.DUMMYFUNCTION("""COMPUTED_VALUE"""),1.0039911437182107)</f>
        <v>1.003991144</v>
      </c>
      <c r="AR2401" s="82">
        <f>IFERROR(__xludf.DUMMYFUNCTION("""COMPUTED_VALUE"""),0.7077769961432052)</f>
        <v>0.7077769961</v>
      </c>
      <c r="AS2401" s="82">
        <f>IFERROR(__xludf.DUMMYFUNCTION("""COMPUTED_VALUE"""),40.0)</f>
        <v>40</v>
      </c>
      <c r="AT2401" s="82">
        <f>IFERROR(__xludf.DUMMYFUNCTION("""COMPUTED_VALUE"""),0.3834685418618609)</f>
        <v>0.3834685419</v>
      </c>
      <c r="AU2401" s="82">
        <f>IFERROR(__xludf.DUMMYFUNCTION("""COMPUTED_VALUE"""),2.0165579121787354)</f>
        <v>2.016557912</v>
      </c>
      <c r="AV2401" s="82">
        <f>IFERROR(__xludf.DUMMYFUNCTION("""COMPUTED_VALUE"""),28.42253239005573)</f>
        <v>28.42253239</v>
      </c>
      <c r="AW2401" s="82">
        <f t="shared" si="1"/>
        <v>-5.153534084</v>
      </c>
      <c r="AX2401" s="83">
        <f t="array" ref="AX2401">IFERROR(DGET('SBV Import'!A:G,"SBV",{"RSC ID","Tier";B2401,A2401}))</f>
        <v>36.40853393</v>
      </c>
      <c r="AY2401" s="82">
        <f t="shared" si="2"/>
        <v>-3.409034367</v>
      </c>
      <c r="AZ2401" s="82">
        <v>1.7444997176883197</v>
      </c>
      <c r="BA2401" s="84">
        <v>2300.0</v>
      </c>
      <c r="BB2401" s="84" t="b">
        <f>IFERROR(__xludf.DUMMYFUNCTION("iferror(if(A2401="""",,E2401&gt;=FILTER(Constants!$F$2:$F$10,Constants!$A$2:$A$10=A2401)))"),TRUE)</f>
        <v>1</v>
      </c>
    </row>
    <row r="2402">
      <c r="A2402" s="89" t="str">
        <f>IFERROR(__xludf.DUMMYFUNCTION("""COMPUTED_VALUE"""),"Challenger")</f>
        <v>Challenger</v>
      </c>
      <c r="B2402" s="87" t="str">
        <f>IFERROR(__xludf.DUMMYFUNCTION("""COMPUTED_VALUE"""),"RSC006642")</f>
        <v>RSC006642</v>
      </c>
      <c r="C2402" s="73" t="str">
        <f>IFERROR(__xludf.DUMMYFUNCTION("""COMPUTED_VALUE"""),"Zonekiller.")</f>
        <v>Zonekiller.</v>
      </c>
      <c r="D2402" s="73" t="str">
        <f>IFERROR(__xludf.DUMMYFUNCTION("""COMPUTED_VALUE"""),"Pharaohs")</f>
        <v>Pharaohs</v>
      </c>
      <c r="E2402" s="82">
        <f>IFERROR(__xludf.DUMMYFUNCTION("""COMPUTED_VALUE"""),37.0)</f>
        <v>37</v>
      </c>
      <c r="F2402" s="82">
        <f>IFERROR(__xludf.DUMMYFUNCTION("""COMPUTED_VALUE"""),15.0)</f>
        <v>15</v>
      </c>
      <c r="G2402" s="86">
        <f>IFERROR(__xludf.DUMMYFUNCTION("""COMPUTED_VALUE"""),22.0)</f>
        <v>22</v>
      </c>
      <c r="H2402" s="86">
        <f>IFERROR(__xludf.DUMMYFUNCTION("""COMPUTED_VALUE"""),0.40540540540540543)</f>
        <v>0.4054054054</v>
      </c>
      <c r="I2402" s="86">
        <f>IFERROR(__xludf.DUMMYFUNCTION("""COMPUTED_VALUE"""),0.3384615384615384)</f>
        <v>0.3384615385</v>
      </c>
      <c r="J2402" s="82">
        <f>IFERROR(__xludf.DUMMYFUNCTION("""COMPUTED_VALUE"""),313.6060606060606)</f>
        <v>313.6060606</v>
      </c>
      <c r="K2402" s="82">
        <f>IFERROR(__xludf.DUMMYFUNCTION("""COMPUTED_VALUE"""),0.6666666666666666)</f>
        <v>0.6666666667</v>
      </c>
      <c r="L2402" s="82">
        <f>IFERROR(__xludf.DUMMYFUNCTION("""COMPUTED_VALUE"""),0.30303030303030304)</f>
        <v>0.303030303</v>
      </c>
      <c r="M2402" s="82">
        <f>IFERROR(__xludf.DUMMYFUNCTION("""COMPUTED_VALUE"""),1.3333333333333333)</f>
        <v>1.333333333</v>
      </c>
      <c r="N2402" s="82">
        <f>IFERROR(__xludf.DUMMYFUNCTION("""COMPUTED_VALUE"""),1.9696969696969697)</f>
        <v>1.96969697</v>
      </c>
      <c r="O2402" s="82">
        <f>IFERROR(__xludf.DUMMYFUNCTION("""COMPUTED_VALUE"""),332.9191919191919)</f>
        <v>332.9191919</v>
      </c>
      <c r="P2402" s="82">
        <f>IFERROR(__xludf.DUMMYFUNCTION("""COMPUTED_VALUE"""),0.7777777777777778)</f>
        <v>0.7777777778</v>
      </c>
      <c r="Q2402" s="82">
        <f>IFERROR(__xludf.DUMMYFUNCTION("""COMPUTED_VALUE"""),0.5555555555555554)</f>
        <v>0.5555555556</v>
      </c>
      <c r="R2402" s="82">
        <f>IFERROR(__xludf.DUMMYFUNCTION("""COMPUTED_VALUE"""),0.9797979797979797)</f>
        <v>0.9797979798</v>
      </c>
      <c r="S2402" s="82">
        <f>IFERROR(__xludf.DUMMYFUNCTION("""COMPUTED_VALUE"""),2.8282828282828283)</f>
        <v>2.828282828</v>
      </c>
      <c r="T2402" s="82">
        <f>IFERROR(__xludf.DUMMYFUNCTION("""COMPUTED_VALUE"""),320.7418451331816)</f>
        <v>320.7418451</v>
      </c>
      <c r="U2402" s="82">
        <f>IFERROR(__xludf.DUMMYFUNCTION("""COMPUTED_VALUE"""),0.6994713870442901)</f>
        <v>0.699471387</v>
      </c>
      <c r="V2402" s="82">
        <f>IFERROR(__xludf.DUMMYFUNCTION("""COMPUTED_VALUE"""),0.472104104242204)</f>
        <v>0.4721041042</v>
      </c>
      <c r="W2402" s="82">
        <f>IFERROR(__xludf.DUMMYFUNCTION("""COMPUTED_VALUE"""),1.1888001620664785)</f>
        <v>1.188800162</v>
      </c>
      <c r="X2402" s="82">
        <f>IFERROR(__xludf.DUMMYFUNCTION("""COMPUTED_VALUE"""),2.344945708026461)</f>
        <v>2.344945708</v>
      </c>
      <c r="Y2402" s="82">
        <f>IFERROR(__xludf.DUMMYFUNCTION("""COMPUTED_VALUE"""),334.6512294935634)</f>
        <v>334.6512295</v>
      </c>
      <c r="Z2402" s="82">
        <f>IFERROR(__xludf.DUMMYFUNCTION("""COMPUTED_VALUE"""),0.7857892887734041)</f>
        <v>0.7857892888</v>
      </c>
      <c r="AA2402" s="82">
        <f>IFERROR(__xludf.DUMMYFUNCTION("""COMPUTED_VALUE"""),0.5384384758862207)</f>
        <v>0.5384384759</v>
      </c>
      <c r="AB2402" s="82">
        <f>IFERROR(__xludf.DUMMYFUNCTION("""COMPUTED_VALUE"""),1.214540729373645)</f>
        <v>1.214540729</v>
      </c>
      <c r="AC2402" s="82">
        <f>IFERROR(__xludf.DUMMYFUNCTION("""COMPUTED_VALUE"""),2.464688791542882)</f>
        <v>2.464688792</v>
      </c>
      <c r="AD2402" s="82">
        <f>IFERROR(__xludf.DUMMYFUNCTION("""COMPUTED_VALUE"""),0.9371131284371763)</f>
        <v>0.9371131284</v>
      </c>
      <c r="AE2402" s="82">
        <f>IFERROR(__xludf.DUMMYFUNCTION("""COMPUTED_VALUE"""),0.8484038611767224)</f>
        <v>0.8484038612</v>
      </c>
      <c r="AF2402" s="82">
        <f>IFERROR(__xludf.DUMMYFUNCTION("""COMPUTED_VALUE"""),0.5627946675458932)</f>
        <v>0.5627946675</v>
      </c>
      <c r="AG2402" s="82">
        <f>IFERROR(__xludf.DUMMYFUNCTION("""COMPUTED_VALUE"""),1.0978086622265448)</f>
        <v>1.097808662</v>
      </c>
      <c r="AH2402" s="82">
        <f>IFERROR(__xludf.DUMMYFUNCTION("""COMPUTED_VALUE"""),0.7991666032870421)</f>
        <v>0.7991666033</v>
      </c>
      <c r="AI2402" s="82">
        <f>IFERROR(__xludf.DUMMYFUNCTION("""COMPUTED_VALUE"""),1.0379661929704056)</f>
        <v>1.037966193</v>
      </c>
      <c r="AJ2402" s="82">
        <f>IFERROR(__xludf.DUMMYFUNCTION("""COMPUTED_VALUE"""),1.1119508134055087)</f>
        <v>1.111950813</v>
      </c>
      <c r="AK2402" s="82">
        <f>IFERROR(__xludf.DUMMYFUNCTION("""COMPUTED_VALUE"""),1.1767649350291143)</f>
        <v>1.176764935</v>
      </c>
      <c r="AL2402" s="82">
        <f>IFERROR(__xludf.DUMMYFUNCTION("""COMPUTED_VALUE"""),0.8241906512653964)</f>
        <v>0.8241906513</v>
      </c>
      <c r="AM2402" s="82">
        <f>IFERROR(__xludf.DUMMYFUNCTION("""COMPUTED_VALUE"""),1.2061186826637238)</f>
        <v>1.206118683</v>
      </c>
      <c r="AN2402" s="82">
        <f>IFERROR(__xludf.DUMMYFUNCTION("""COMPUTED_VALUE"""),0.963994156962285)</f>
        <v>0.963994157</v>
      </c>
      <c r="AO2402" s="82">
        <f>IFERROR(__xludf.DUMMYFUNCTION("""COMPUTED_VALUE"""),0.9121875426627504)</f>
        <v>0.9121875427</v>
      </c>
      <c r="AP2402" s="82">
        <f>IFERROR(__xludf.DUMMYFUNCTION("""COMPUTED_VALUE"""),0.5877792145859557)</f>
        <v>0.5877792146</v>
      </c>
      <c r="AQ2402" s="82">
        <f>IFERROR(__xludf.DUMMYFUNCTION("""COMPUTED_VALUE"""),1.105845317718609)</f>
        <v>1.105845318</v>
      </c>
      <c r="AR2402" s="82">
        <f>IFERROR(__xludf.DUMMYFUNCTION("""COMPUTED_VALUE"""),0.827750558936419)</f>
        <v>0.8277505589</v>
      </c>
      <c r="AS2402" s="82">
        <f>IFERROR(__xludf.DUMMYFUNCTION("""COMPUTED_VALUE"""),62.0)</f>
        <v>62</v>
      </c>
      <c r="AT2402" s="82">
        <f>IFERROR(__xludf.DUMMYFUNCTION("""COMPUTED_VALUE"""),0.3791444765104066)</f>
        <v>0.3791444765</v>
      </c>
      <c r="AU2402" s="82">
        <f>IFERROR(__xludf.DUMMYFUNCTION("""COMPUTED_VALUE"""),1.9867365105443304)</f>
        <v>1.986736511</v>
      </c>
      <c r="AV2402" s="82">
        <f>IFERROR(__xludf.DUMMYFUNCTION("""COMPUTED_VALUE"""),27.644245675515958)</f>
        <v>27.64424568</v>
      </c>
      <c r="AW2402" s="82">
        <f t="shared" si="1"/>
        <v>-5.387949156</v>
      </c>
      <c r="AX2402" s="83">
        <f t="array" ref="AX2402">IFERROR(DGET('SBV Import'!A:G,"SBV",{"RSC ID","Tier";B2402,A2402}))</f>
        <v>29.53540152</v>
      </c>
      <c r="AY2402" s="82">
        <f t="shared" si="2"/>
        <v>-4.84233557</v>
      </c>
      <c r="AZ2402" s="82">
        <v>0.5456135861562412</v>
      </c>
      <c r="BA2402" s="84">
        <v>2300.0</v>
      </c>
      <c r="BB2402" s="84" t="b">
        <f>IFERROR(__xludf.DUMMYFUNCTION("iferror(if(A2402="""",,E2402&gt;=FILTER(Constants!$F$2:$F$10,Constants!$A$2:$A$10=A2402)))"),TRUE)</f>
        <v>1</v>
      </c>
    </row>
    <row r="2403">
      <c r="A2403" s="89" t="str">
        <f>IFERROR(__xludf.DUMMYFUNCTION("""COMPUTED_VALUE"""),"Challenger")</f>
        <v>Challenger</v>
      </c>
      <c r="B2403" s="87" t="str">
        <f>IFERROR(__xludf.DUMMYFUNCTION("""COMPUTED_VALUE"""),"RSC006583")</f>
        <v>RSC006583</v>
      </c>
      <c r="C2403" s="73" t="str">
        <f>IFERROR(__xludf.DUMMYFUNCTION("""COMPUTED_VALUE"""),"DaScrappyDoo15")</f>
        <v>DaScrappyDoo15</v>
      </c>
      <c r="D2403" s="73" t="str">
        <f>IFERROR(__xludf.DUMMYFUNCTION("""COMPUTED_VALUE"""),"Solstice Sake")</f>
        <v>Solstice Sake</v>
      </c>
      <c r="E2403" s="82">
        <f>IFERROR(__xludf.DUMMYFUNCTION("""COMPUTED_VALUE"""),11.0)</f>
        <v>11</v>
      </c>
      <c r="F2403" s="82">
        <f>IFERROR(__xludf.DUMMYFUNCTION("""COMPUTED_VALUE"""),6.0)</f>
        <v>6</v>
      </c>
      <c r="G2403" s="86">
        <f>IFERROR(__xludf.DUMMYFUNCTION("""COMPUTED_VALUE"""),5.0)</f>
        <v>5</v>
      </c>
      <c r="H2403" s="86">
        <f>IFERROR(__xludf.DUMMYFUNCTION("""COMPUTED_VALUE"""),0.5454545454545454)</f>
        <v>0.5454545455</v>
      </c>
      <c r="I2403" s="86">
        <f>IFERROR(__xludf.DUMMYFUNCTION("""COMPUTED_VALUE"""),0.3684210526315789)</f>
        <v>0.3684210526</v>
      </c>
      <c r="J2403" s="82">
        <f>IFERROR(__xludf.DUMMYFUNCTION("""COMPUTED_VALUE"""),270.3636363636364)</f>
        <v>270.3636364</v>
      </c>
      <c r="K2403" s="82">
        <f>IFERROR(__xludf.DUMMYFUNCTION("""COMPUTED_VALUE"""),0.6363636363636364)</f>
        <v>0.6363636364</v>
      </c>
      <c r="L2403" s="82">
        <f>IFERROR(__xludf.DUMMYFUNCTION("""COMPUTED_VALUE"""),0.18181818181818182)</f>
        <v>0.1818181818</v>
      </c>
      <c r="M2403" s="82">
        <f>IFERROR(__xludf.DUMMYFUNCTION("""COMPUTED_VALUE"""),1.0)</f>
        <v>1</v>
      </c>
      <c r="N2403" s="82">
        <f>IFERROR(__xludf.DUMMYFUNCTION("""COMPUTED_VALUE"""),1.7272727272727273)</f>
        <v>1.727272727</v>
      </c>
      <c r="O2403" s="82">
        <f>IFERROR(__xludf.DUMMYFUNCTION("""COMPUTED_VALUE"""),275.09090909090907)</f>
        <v>275.0909091</v>
      </c>
      <c r="P2403" s="82">
        <f>IFERROR(__xludf.DUMMYFUNCTION("""COMPUTED_VALUE"""),0.6363636363636364)</f>
        <v>0.6363636364</v>
      </c>
      <c r="Q2403" s="82">
        <f>IFERROR(__xludf.DUMMYFUNCTION("""COMPUTED_VALUE"""),0.33333333333333337)</f>
        <v>0.3333333333</v>
      </c>
      <c r="R2403" s="82">
        <f>IFERROR(__xludf.DUMMYFUNCTION("""COMPUTED_VALUE"""),0.9090909090909093)</f>
        <v>0.9090909091</v>
      </c>
      <c r="S2403" s="82">
        <f>IFERROR(__xludf.DUMMYFUNCTION("""COMPUTED_VALUE"""),2.090909090909091)</f>
        <v>2.090909091</v>
      </c>
      <c r="T2403" s="82">
        <f>IFERROR(__xludf.DUMMYFUNCTION("""COMPUTED_VALUE"""),336.42316758704703)</f>
        <v>336.4231676</v>
      </c>
      <c r="U2403" s="82">
        <f>IFERROR(__xludf.DUMMYFUNCTION("""COMPUTED_VALUE"""),0.8024878253268596)</f>
        <v>0.8024878253</v>
      </c>
      <c r="V2403" s="82">
        <f>IFERROR(__xludf.DUMMYFUNCTION("""COMPUTED_VALUE"""),0.5444229088104398)</f>
        <v>0.5444229088</v>
      </c>
      <c r="W2403" s="82">
        <f>IFERROR(__xludf.DUMMYFUNCTION("""COMPUTED_VALUE"""),1.2009219190912945)</f>
        <v>1.200921919</v>
      </c>
      <c r="X2403" s="82">
        <f>IFERROR(__xludf.DUMMYFUNCTION("""COMPUTED_VALUE"""),2.565232128935303)</f>
        <v>2.565232129</v>
      </c>
      <c r="Y2403" s="82">
        <f>IFERROR(__xludf.DUMMYFUNCTION("""COMPUTED_VALUE"""),351.2331092584206)</f>
        <v>351.2331093</v>
      </c>
      <c r="Z2403" s="82">
        <f>IFERROR(__xludf.DUMMYFUNCTION("""COMPUTED_VALUE"""),0.8198522524173794)</f>
        <v>0.8198522524</v>
      </c>
      <c r="AA2403" s="82">
        <f>IFERROR(__xludf.DUMMYFUNCTION("""COMPUTED_VALUE"""),0.5795271455382267)</f>
        <v>0.5795271455</v>
      </c>
      <c r="AB2403" s="82">
        <f>IFERROR(__xludf.DUMMYFUNCTION("""COMPUTED_VALUE"""),1.3072503549103875)</f>
        <v>1.307250355</v>
      </c>
      <c r="AC2403" s="82">
        <f>IFERROR(__xludf.DUMMYFUNCTION("""COMPUTED_VALUE"""),2.4827164860984023)</f>
        <v>2.482716486</v>
      </c>
      <c r="AD2403" s="82">
        <f>IFERROR(__xludf.DUMMYFUNCTION("""COMPUTED_VALUE"""),0.7697555533260269)</f>
        <v>0.7697555533</v>
      </c>
      <c r="AE2403" s="82">
        <f>IFERROR(__xludf.DUMMYFUNCTION("""COMPUTED_VALUE"""),0.776193069528422)</f>
        <v>0.7761930695</v>
      </c>
      <c r="AF2403" s="82">
        <f>IFERROR(__xludf.DUMMYFUNCTION("""COMPUTED_VALUE"""),0.31373540172880265)</f>
        <v>0.3137354017</v>
      </c>
      <c r="AG2403" s="82">
        <f>IFERROR(__xludf.DUMMYFUNCTION("""COMPUTED_VALUE"""),0.7649644127031431)</f>
        <v>0.7649644127</v>
      </c>
      <c r="AH2403" s="82">
        <f>IFERROR(__xludf.DUMMYFUNCTION("""COMPUTED_VALUE"""),0.6957188776665927)</f>
        <v>0.6957188777</v>
      </c>
      <c r="AI2403" s="82">
        <f>IFERROR(__xludf.DUMMYFUNCTION("""COMPUTED_VALUE"""),0.81769311865162)</f>
        <v>0.8176931187</v>
      </c>
      <c r="AJ2403" s="82">
        <f>IFERROR(__xludf.DUMMYFUNCTION("""COMPUTED_VALUE"""),0.79298852428626)</f>
        <v>0.7929885243</v>
      </c>
      <c r="AK2403" s="82">
        <f>IFERROR(__xludf.DUMMYFUNCTION("""COMPUTED_VALUE"""),0.612269116414782)</f>
        <v>0.6122691164</v>
      </c>
      <c r="AL2403" s="82">
        <f>IFERROR(__xludf.DUMMYFUNCTION("""COMPUTED_VALUE"""),0.7569941847499911)</f>
        <v>0.7569941847</v>
      </c>
      <c r="AM2403" s="82">
        <f>IFERROR(__xludf.DUMMYFUNCTION("""COMPUTED_VALUE"""),0.8150954712144981)</f>
        <v>0.8150954712</v>
      </c>
      <c r="AN2403" s="82">
        <f>IFERROR(__xludf.DUMMYFUNCTION("""COMPUTED_VALUE"""),0.8310712018955944)</f>
        <v>0.8310712019</v>
      </c>
      <c r="AO2403" s="82">
        <f>IFERROR(__xludf.DUMMYFUNCTION("""COMPUTED_VALUE"""),0.8707244725417163)</f>
        <v>0.8707244725</v>
      </c>
      <c r="AP2403" s="82">
        <f>IFERROR(__xludf.DUMMYFUNCTION("""COMPUTED_VALUE"""),0.3526675287515734)</f>
        <v>0.3526675288</v>
      </c>
      <c r="AQ2403" s="82">
        <f>IFERROR(__xludf.DUMMYFUNCTION("""COMPUTED_VALUE"""),0.8293839882889568)</f>
        <v>0.8293839883</v>
      </c>
      <c r="AR2403" s="82">
        <f>IFERROR(__xludf.DUMMYFUNCTION("""COMPUTED_VALUE"""),0.7258735670673213)</f>
        <v>0.7258735671</v>
      </c>
      <c r="AS2403" s="82">
        <f>IFERROR(__xludf.DUMMYFUNCTION("""COMPUTED_VALUE"""),22.0)</f>
        <v>22</v>
      </c>
      <c r="AT2403" s="82">
        <f>IFERROR(__xludf.DUMMYFUNCTION("""COMPUTED_VALUE"""),0.5171923151357092)</f>
        <v>0.5171923151</v>
      </c>
      <c r="AU2403" s="82">
        <f>IFERROR(__xludf.DUMMYFUNCTION("""COMPUTED_VALUE"""),1.960790765982267)</f>
        <v>1.960790766</v>
      </c>
      <c r="AV2403" s="82">
        <f>IFERROR(__xludf.DUMMYFUNCTION("""COMPUTED_VALUE"""),26.96710686966588)</f>
        <v>26.96710687</v>
      </c>
      <c r="AW2403" s="82">
        <f t="shared" si="1"/>
        <v>-5.604036489</v>
      </c>
      <c r="AX2403" s="83">
        <f t="array" ref="AX2403">IFERROR(DGET('SBV Import'!A:G,"SBV",{"RSC ID","Tier";B2403,A2403}))</f>
        <v>27.6336692</v>
      </c>
      <c r="AY2403" s="82">
        <f t="shared" si="2"/>
        <v>-5.391235397</v>
      </c>
      <c r="AZ2403" s="82">
        <v>0.21280109183873286</v>
      </c>
      <c r="BA2403" s="84">
        <v>2300.0</v>
      </c>
      <c r="BB2403" s="84" t="b">
        <f>IFERROR(__xludf.DUMMYFUNCTION("iferror(if(A2403="""",,E2403&gt;=FILTER(Constants!$F$2:$F$10,Constants!$A$2:$A$10=A2403)))"),TRUE)</f>
        <v>1</v>
      </c>
    </row>
    <row r="2404">
      <c r="A2404" s="89" t="str">
        <f>IFERROR(__xludf.DUMMYFUNCTION("""COMPUTED_VALUE"""),"Challenger")</f>
        <v>Challenger</v>
      </c>
      <c r="B2404" s="87" t="str">
        <f>IFERROR(__xludf.DUMMYFUNCTION("""COMPUTED_VALUE"""),"RSC002834")</f>
        <v>RSC002834</v>
      </c>
      <c r="C2404" s="73" t="str">
        <f>IFERROR(__xludf.DUMMYFUNCTION("""COMPUTED_VALUE"""),"Clockwork7678")</f>
        <v>Clockwork7678</v>
      </c>
      <c r="D2404" s="73" t="str">
        <f>IFERROR(__xludf.DUMMYFUNCTION("""COMPUTED_VALUE"""),"Pharaohs")</f>
        <v>Pharaohs</v>
      </c>
      <c r="E2404" s="82">
        <f>IFERROR(__xludf.DUMMYFUNCTION("""COMPUTED_VALUE"""),24.0)</f>
        <v>24</v>
      </c>
      <c r="F2404" s="82">
        <f>IFERROR(__xludf.DUMMYFUNCTION("""COMPUTED_VALUE"""),10.0)</f>
        <v>10</v>
      </c>
      <c r="G2404" s="86">
        <f>IFERROR(__xludf.DUMMYFUNCTION("""COMPUTED_VALUE"""),14.0)</f>
        <v>14</v>
      </c>
      <c r="H2404" s="86">
        <f>IFERROR(__xludf.DUMMYFUNCTION("""COMPUTED_VALUE"""),0.4166666666666667)</f>
        <v>0.4166666667</v>
      </c>
      <c r="I2404" s="86">
        <f>IFERROR(__xludf.DUMMYFUNCTION("""COMPUTED_VALUE"""),0.2857142857142857)</f>
        <v>0.2857142857</v>
      </c>
      <c r="J2404" s="82">
        <f>IFERROR(__xludf.DUMMYFUNCTION("""COMPUTED_VALUE"""),296.9583333333333)</f>
        <v>296.9583333</v>
      </c>
      <c r="K2404" s="82">
        <f>IFERROR(__xludf.DUMMYFUNCTION("""COMPUTED_VALUE"""),0.6666666666666666)</f>
        <v>0.6666666667</v>
      </c>
      <c r="L2404" s="82">
        <f>IFERROR(__xludf.DUMMYFUNCTION("""COMPUTED_VALUE"""),0.25)</f>
        <v>0.25</v>
      </c>
      <c r="M2404" s="82">
        <f>IFERROR(__xludf.DUMMYFUNCTION("""COMPUTED_VALUE"""),0.875)</f>
        <v>0.875</v>
      </c>
      <c r="N2404" s="82">
        <f>IFERROR(__xludf.DUMMYFUNCTION("""COMPUTED_VALUE"""),2.3333333333333335)</f>
        <v>2.333333333</v>
      </c>
      <c r="O2404" s="82">
        <f>IFERROR(__xludf.DUMMYFUNCTION("""COMPUTED_VALUE"""),374.90277777777777)</f>
        <v>374.9027778</v>
      </c>
      <c r="P2404" s="82">
        <f>IFERROR(__xludf.DUMMYFUNCTION("""COMPUTED_VALUE"""),0.8333333333333331)</f>
        <v>0.8333333333</v>
      </c>
      <c r="Q2404" s="82">
        <f>IFERROR(__xludf.DUMMYFUNCTION("""COMPUTED_VALUE"""),0.5694444444444443)</f>
        <v>0.5694444444</v>
      </c>
      <c r="R2404" s="82">
        <f>IFERROR(__xludf.DUMMYFUNCTION("""COMPUTED_VALUE"""),1.236111111111111)</f>
        <v>1.236111111</v>
      </c>
      <c r="S2404" s="82">
        <f>IFERROR(__xludf.DUMMYFUNCTION("""COMPUTED_VALUE"""),2.694444444444444)</f>
        <v>2.694444444</v>
      </c>
      <c r="T2404" s="82">
        <f>IFERROR(__xludf.DUMMYFUNCTION("""COMPUTED_VALUE"""),320.6230049119523)</f>
        <v>320.6230049</v>
      </c>
      <c r="U2404" s="82">
        <f>IFERROR(__xludf.DUMMYFUNCTION("""COMPUTED_VALUE"""),0.6553905971903478)</f>
        <v>0.6553905972</v>
      </c>
      <c r="V2404" s="82">
        <f>IFERROR(__xludf.DUMMYFUNCTION("""COMPUTED_VALUE"""),0.4966184755536877)</f>
        <v>0.4966184756</v>
      </c>
      <c r="W2404" s="82">
        <f>IFERROR(__xludf.DUMMYFUNCTION("""COMPUTED_VALUE"""),1.2091789738204832)</f>
        <v>1.209178974</v>
      </c>
      <c r="X2404" s="82">
        <f>IFERROR(__xludf.DUMMYFUNCTION("""COMPUTED_VALUE"""),2.301391469716887)</f>
        <v>2.30139147</v>
      </c>
      <c r="Y2404" s="82">
        <f>IFERROR(__xludf.DUMMYFUNCTION("""COMPUTED_VALUE"""),342.2012911990668)</f>
        <v>342.2012912</v>
      </c>
      <c r="Z2404" s="82">
        <f>IFERROR(__xludf.DUMMYFUNCTION("""COMPUTED_VALUE"""),0.8020382703154435)</f>
        <v>0.8020382703</v>
      </c>
      <c r="AA2404" s="82">
        <f>IFERROR(__xludf.DUMMYFUNCTION("""COMPUTED_VALUE"""),0.5363530240663968)</f>
        <v>0.5363530241</v>
      </c>
      <c r="AB2404" s="82">
        <f>IFERROR(__xludf.DUMMYFUNCTION("""COMPUTED_VALUE"""),1.2746006708535973)</f>
        <v>1.274600671</v>
      </c>
      <c r="AC2404" s="82">
        <f>IFERROR(__xludf.DUMMYFUNCTION("""COMPUTED_VALUE"""),2.431653230213244)</f>
        <v>2.43165323</v>
      </c>
      <c r="AD2404" s="82">
        <f>IFERROR(__xludf.DUMMYFUNCTION("""COMPUTED_VALUE"""),0.867788465358494)</f>
        <v>0.8677884654</v>
      </c>
      <c r="AE2404" s="82">
        <f>IFERROR(__xludf.DUMMYFUNCTION("""COMPUTED_VALUE"""),0.8312155309053583)</f>
        <v>0.8312155309</v>
      </c>
      <c r="AF2404" s="82">
        <f>IFERROR(__xludf.DUMMYFUNCTION("""COMPUTED_VALUE"""),0.4661109172175595)</f>
        <v>0.4661109172</v>
      </c>
      <c r="AG2404" s="82">
        <f>IFERROR(__xludf.DUMMYFUNCTION("""COMPUTED_VALUE"""),0.6864895178613192)</f>
        <v>0.6864895179</v>
      </c>
      <c r="AH2404" s="82">
        <f>IFERROR(__xludf.DUMMYFUNCTION("""COMPUTED_VALUE"""),0.959566645581579)</f>
        <v>0.9595666456</v>
      </c>
      <c r="AI2404" s="82">
        <f>IFERROR(__xludf.DUMMYFUNCTION("""COMPUTED_VALUE"""),1.1692946920035618)</f>
        <v>1.169294692</v>
      </c>
      <c r="AJ2404" s="82">
        <f>IFERROR(__xludf.DUMMYFUNCTION("""COMPUTED_VALUE"""),1.2715063916171883)</f>
        <v>1.271506392</v>
      </c>
      <c r="AK2404" s="82">
        <f>IFERROR(__xludf.DUMMYFUNCTION("""COMPUTED_VALUE"""),1.1466436962691768)</f>
        <v>1.146643696</v>
      </c>
      <c r="AL2404" s="82">
        <f>IFERROR(__xludf.DUMMYFUNCTION("""COMPUTED_VALUE"""),1.0222730777442597)</f>
        <v>1.022273078</v>
      </c>
      <c r="AM2404" s="82">
        <f>IFERROR(__xludf.DUMMYFUNCTION("""COMPUTED_VALUE"""),1.1707892724465125)</f>
        <v>1.170789272</v>
      </c>
      <c r="AN2404" s="82">
        <f>IFERROR(__xludf.DUMMYFUNCTION("""COMPUTED_VALUE"""),0.9128206822322475)</f>
        <v>0.9128206822</v>
      </c>
      <c r="AO2404" s="82">
        <f>IFERROR(__xludf.DUMMYFUNCTION("""COMPUTED_VALUE"""),0.9121875426627504)</f>
        <v>0.9121875427</v>
      </c>
      <c r="AP2404" s="82">
        <f>IFERROR(__xludf.DUMMYFUNCTION("""COMPUTED_VALUE"""),0.4849178520334135)</f>
        <v>0.484917852</v>
      </c>
      <c r="AQ2404" s="82">
        <f>IFERROR(__xludf.DUMMYFUNCTION("""COMPUTED_VALUE"""),0.7257109897528372)</f>
        <v>0.7257109898</v>
      </c>
      <c r="AR2404" s="82">
        <f>IFERROR(__xludf.DUMMYFUNCTION("""COMPUTED_VALUE"""),0.9805660467400656)</f>
        <v>0.9805660467</v>
      </c>
      <c r="AS2404" s="82">
        <f>IFERROR(__xludf.DUMMYFUNCTION("""COMPUTED_VALUE"""),43.0)</f>
        <v>43</v>
      </c>
      <c r="AT2404" s="82">
        <f>IFERROR(__xludf.DUMMYFUNCTION("""COMPUTED_VALUE"""),0.3761191860318674)</f>
        <v>0.376119186</v>
      </c>
      <c r="AU2404" s="82">
        <f>IFERROR(__xludf.DUMMYFUNCTION("""COMPUTED_VALUE"""),1.9157843134082455)</f>
        <v>1.915784313</v>
      </c>
      <c r="AV2404" s="82">
        <f>IFERROR(__xludf.DUMMYFUNCTION("""COMPUTED_VALUE"""),25.792516736836124)</f>
        <v>25.79251674</v>
      </c>
      <c r="AW2404" s="82">
        <f t="shared" si="1"/>
        <v>-6.007902211</v>
      </c>
      <c r="AX2404" s="83">
        <f t="array" ref="AX2404">IFERROR(DGET('SBV Import'!A:G,"SBV",{"RSC ID","Tier";B2404,A2404}))</f>
        <v>27.56296141</v>
      </c>
      <c r="AY2404" s="82">
        <f t="shared" si="2"/>
        <v>-5.413276345</v>
      </c>
      <c r="AZ2404" s="82">
        <v>0.5946258659395847</v>
      </c>
      <c r="BA2404" s="84">
        <v>2300.0</v>
      </c>
      <c r="BB2404" s="84" t="b">
        <f>IFERROR(__xludf.DUMMYFUNCTION("iferror(if(A2404="""",,E2404&gt;=FILTER(Constants!$F$2:$F$10,Constants!$A$2:$A$10=A2404)))"),TRUE)</f>
        <v>1</v>
      </c>
    </row>
    <row r="2405">
      <c r="A2405" s="89" t="str">
        <f>IFERROR(__xludf.DUMMYFUNCTION("""COMPUTED_VALUE"""),"Challenger")</f>
        <v>Challenger</v>
      </c>
      <c r="B2405" s="87" t="str">
        <f>IFERROR(__xludf.DUMMYFUNCTION("""COMPUTED_VALUE"""),"RSC006225")</f>
        <v>RSC006225</v>
      </c>
      <c r="C2405" s="73" t="str">
        <f>IFERROR(__xludf.DUMMYFUNCTION("""COMPUTED_VALUE"""),"renightly")</f>
        <v>renightly</v>
      </c>
      <c r="D2405" s="73" t="str">
        <f>IFERROR(__xludf.DUMMYFUNCTION("""COMPUTED_VALUE"""),"Quarter")</f>
        <v>Quarter</v>
      </c>
      <c r="E2405" s="82">
        <f>IFERROR(__xludf.DUMMYFUNCTION("""COMPUTED_VALUE"""),37.0)</f>
        <v>37</v>
      </c>
      <c r="F2405" s="82">
        <f>IFERROR(__xludf.DUMMYFUNCTION("""COMPUTED_VALUE"""),9.0)</f>
        <v>9</v>
      </c>
      <c r="G2405" s="86">
        <f>IFERROR(__xludf.DUMMYFUNCTION("""COMPUTED_VALUE"""),28.0)</f>
        <v>28</v>
      </c>
      <c r="H2405" s="86">
        <f>IFERROR(__xludf.DUMMYFUNCTION("""COMPUTED_VALUE"""),0.24324324324324326)</f>
        <v>0.2432432432</v>
      </c>
      <c r="I2405" s="86">
        <f>IFERROR(__xludf.DUMMYFUNCTION("""COMPUTED_VALUE"""),0.23943661971830987)</f>
        <v>0.2394366197</v>
      </c>
      <c r="J2405" s="82">
        <f>IFERROR(__xludf.DUMMYFUNCTION("""COMPUTED_VALUE"""),299.2432432432432)</f>
        <v>299.2432432</v>
      </c>
      <c r="K2405" s="82">
        <f>IFERROR(__xludf.DUMMYFUNCTION("""COMPUTED_VALUE"""),0.4594594594594595)</f>
        <v>0.4594594595</v>
      </c>
      <c r="L2405" s="82">
        <f>IFERROR(__xludf.DUMMYFUNCTION("""COMPUTED_VALUE"""),0.4864864864864865)</f>
        <v>0.4864864865</v>
      </c>
      <c r="M2405" s="82">
        <f>IFERROR(__xludf.DUMMYFUNCTION("""COMPUTED_VALUE"""),1.4594594594594594)</f>
        <v>1.459459459</v>
      </c>
      <c r="N2405" s="82">
        <f>IFERROR(__xludf.DUMMYFUNCTION("""COMPUTED_VALUE"""),1.9189189189189189)</f>
        <v>1.918918919</v>
      </c>
      <c r="O2405" s="82">
        <f>IFERROR(__xludf.DUMMYFUNCTION("""COMPUTED_VALUE"""),357.6936936936936)</f>
        <v>357.6936937</v>
      </c>
      <c r="P2405" s="82">
        <f>IFERROR(__xludf.DUMMYFUNCTION("""COMPUTED_VALUE"""),0.936936936936937)</f>
        <v>0.9369369369</v>
      </c>
      <c r="Q2405" s="82">
        <f>IFERROR(__xludf.DUMMYFUNCTION("""COMPUTED_VALUE"""),0.6756756756756755)</f>
        <v>0.6756756757</v>
      </c>
      <c r="R2405" s="82">
        <f>IFERROR(__xludf.DUMMYFUNCTION("""COMPUTED_VALUE"""),0.990990990990991)</f>
        <v>0.990990991</v>
      </c>
      <c r="S2405" s="82">
        <f>IFERROR(__xludf.DUMMYFUNCTION("""COMPUTED_VALUE"""),2.9279279279279273)</f>
        <v>2.927927928</v>
      </c>
      <c r="T2405" s="82">
        <f>IFERROR(__xludf.DUMMYFUNCTION("""COMPUTED_VALUE"""),343.3889772517252)</f>
        <v>343.3889773</v>
      </c>
      <c r="U2405" s="82">
        <f>IFERROR(__xludf.DUMMYFUNCTION("""COMPUTED_VALUE"""),0.8057923301016764)</f>
        <v>0.8057923301</v>
      </c>
      <c r="V2405" s="82">
        <f>IFERROR(__xludf.DUMMYFUNCTION("""COMPUTED_VALUE"""),0.5639414875195907)</f>
        <v>0.5639414875</v>
      </c>
      <c r="W2405" s="82">
        <f>IFERROR(__xludf.DUMMYFUNCTION("""COMPUTED_VALUE"""),1.2207600222654615)</f>
        <v>1.220760022</v>
      </c>
      <c r="X2405" s="82">
        <f>IFERROR(__xludf.DUMMYFUNCTION("""COMPUTED_VALUE"""),2.552390558247705)</f>
        <v>2.552390558</v>
      </c>
      <c r="Y2405" s="82">
        <f>IFERROR(__xludf.DUMMYFUNCTION("""COMPUTED_VALUE"""),330.2436265640511)</f>
        <v>330.2436266</v>
      </c>
      <c r="Z2405" s="82">
        <f>IFERROR(__xludf.DUMMYFUNCTION("""COMPUTED_VALUE"""),0.7412095694123114)</f>
        <v>0.7412095694</v>
      </c>
      <c r="AA2405" s="82">
        <f>IFERROR(__xludf.DUMMYFUNCTION("""COMPUTED_VALUE"""),0.4973832821566566)</f>
        <v>0.4973832822</v>
      </c>
      <c r="AB2405" s="82">
        <f>IFERROR(__xludf.DUMMYFUNCTION("""COMPUTED_VALUE"""),1.2369006023068148)</f>
        <v>1.236900602</v>
      </c>
      <c r="AC2405" s="82">
        <f>IFERROR(__xludf.DUMMYFUNCTION("""COMPUTED_VALUE"""),2.3978689919520924)</f>
        <v>2.397868992</v>
      </c>
      <c r="AD2405" s="82">
        <f>IFERROR(__xludf.DUMMYFUNCTION("""COMPUTED_VALUE"""),0.9061287460916514)</f>
        <v>0.9061287461</v>
      </c>
      <c r="AE2405" s="82">
        <f>IFERROR(__xludf.DUMMYFUNCTION("""COMPUTED_VALUE"""),0.6198779379275347)</f>
        <v>0.6198779379</v>
      </c>
      <c r="AF2405" s="82">
        <f>IFERROR(__xludf.DUMMYFUNCTION("""COMPUTED_VALUE"""),0.9780917532593345)</f>
        <v>0.9780917533</v>
      </c>
      <c r="AG2405" s="82">
        <f>IFERROR(__xludf.DUMMYFUNCTION("""COMPUTED_VALUE"""),1.1799326936518368)</f>
        <v>1.179932694</v>
      </c>
      <c r="AH2405" s="82">
        <f>IFERROR(__xludf.DUMMYFUNCTION("""COMPUTED_VALUE"""),0.8002601165281916)</f>
        <v>0.8002601165</v>
      </c>
      <c r="AI2405" s="82">
        <f>IFERROR(__xludf.DUMMYFUNCTION("""COMPUTED_VALUE"""),1.0416574712340931)</f>
        <v>1.041657471</v>
      </c>
      <c r="AJ2405" s="82">
        <f>IFERROR(__xludf.DUMMYFUNCTION("""COMPUTED_VALUE"""),1.1627523642707205)</f>
        <v>1.162752364</v>
      </c>
      <c r="AK2405" s="82">
        <f>IFERROR(__xludf.DUMMYFUNCTION("""COMPUTED_VALUE"""),1.1981308178753267)</f>
        <v>1.198130818</v>
      </c>
      <c r="AL2405" s="82">
        <f>IFERROR(__xludf.DUMMYFUNCTION("""COMPUTED_VALUE"""),0.811781982466898)</f>
        <v>0.8117819825</v>
      </c>
      <c r="AM2405" s="82">
        <f>IFERROR(__xludf.DUMMYFUNCTION("""COMPUTED_VALUE"""),1.1471316246907137)</f>
        <v>1.147131625</v>
      </c>
      <c r="AN2405" s="82">
        <f>IFERROR(__xludf.DUMMYFUNCTION("""COMPUTED_VALUE"""),0.9198442703544977)</f>
        <v>0.9198442704</v>
      </c>
      <c r="AO2405" s="82">
        <f>IFERROR(__xludf.DUMMYFUNCTION("""COMPUTED_VALUE"""),0.6286697929162199)</f>
        <v>0.6286697929</v>
      </c>
      <c r="AP2405" s="82">
        <f>IFERROR(__xludf.DUMMYFUNCTION("""COMPUTED_VALUE"""),0.9436239282812371)</f>
        <v>0.9436239283</v>
      </c>
      <c r="AQ2405" s="82">
        <f>IFERROR(__xludf.DUMMYFUNCTION("""COMPUTED_VALUE"""),1.2104523072325315)</f>
        <v>1.210452307</v>
      </c>
      <c r="AR2405" s="82">
        <f>IFERROR(__xludf.DUMMYFUNCTION("""COMPUTED_VALUE"""),0.806411459288162)</f>
        <v>0.8064114593</v>
      </c>
      <c r="AS2405" s="82">
        <f>IFERROR(__xludf.DUMMYFUNCTION("""COMPUTED_VALUE"""),62.0)</f>
        <v>62</v>
      </c>
      <c r="AT2405" s="82">
        <f>IFERROR(__xludf.DUMMYFUNCTION("""COMPUTED_VALUE"""),0.3109249853376844)</f>
        <v>0.3109249853</v>
      </c>
      <c r="AU2405" s="82">
        <f>IFERROR(__xludf.DUMMYFUNCTION("""COMPUTED_VALUE"""),1.9092298058633859)</f>
        <v>1.909229806</v>
      </c>
      <c r="AV2405" s="82">
        <f>IFERROR(__xludf.DUMMYFUNCTION("""COMPUTED_VALUE"""),25.621455490116265)</f>
        <v>25.62145549</v>
      </c>
      <c r="AW2405" s="82">
        <f t="shared" si="1"/>
        <v>-6.069988121</v>
      </c>
      <c r="AX2405" s="83">
        <f t="array" ref="AX2405">IFERROR(DGET('SBV Import'!A:G,"SBV",{"RSC ID","Tier";B2405,A2405}))</f>
        <v>32.77444628</v>
      </c>
      <c r="AY2405" s="82">
        <f t="shared" si="2"/>
        <v>-4.074902167</v>
      </c>
      <c r="AZ2405" s="82">
        <v>1.995085953756254</v>
      </c>
      <c r="BA2405" s="84">
        <v>2300.0</v>
      </c>
      <c r="BB2405" s="84" t="b">
        <f>IFERROR(__xludf.DUMMYFUNCTION("iferror(if(A2405="""",,E2405&gt;=FILTER(Constants!$F$2:$F$10,Constants!$A$2:$A$10=A2405)))"),TRUE)</f>
        <v>1</v>
      </c>
    </row>
    <row r="2406">
      <c r="A2406" s="89" t="str">
        <f>IFERROR(__xludf.DUMMYFUNCTION("""COMPUTED_VALUE"""),"Challenger")</f>
        <v>Challenger</v>
      </c>
      <c r="B2406" s="87" t="str">
        <f>IFERROR(__xludf.DUMMYFUNCTION("""COMPUTED_VALUE"""),"RSC003331")</f>
        <v>RSC003331</v>
      </c>
      <c r="C2406" s="73" t="str">
        <f>IFERROR(__xludf.DUMMYFUNCTION("""COMPUTED_VALUE"""),"Frostii")</f>
        <v>Frostii</v>
      </c>
      <c r="D2406" s="73" t="str">
        <f>IFERROR(__xludf.DUMMYFUNCTION("""COMPUTED_VALUE"""),"Spearmint")</f>
        <v>Spearmint</v>
      </c>
      <c r="E2406" s="82">
        <f>IFERROR(__xludf.DUMMYFUNCTION("""COMPUTED_VALUE"""),34.0)</f>
        <v>34</v>
      </c>
      <c r="F2406" s="82">
        <f>IFERROR(__xludf.DUMMYFUNCTION("""COMPUTED_VALUE"""),11.0)</f>
        <v>11</v>
      </c>
      <c r="G2406" s="86">
        <f>IFERROR(__xludf.DUMMYFUNCTION("""COMPUTED_VALUE"""),23.0)</f>
        <v>23</v>
      </c>
      <c r="H2406" s="86">
        <f>IFERROR(__xludf.DUMMYFUNCTION("""COMPUTED_VALUE"""),0.3235294117647059)</f>
        <v>0.3235294118</v>
      </c>
      <c r="I2406" s="86">
        <f>IFERROR(__xludf.DUMMYFUNCTION("""COMPUTED_VALUE"""),0.2571428571428572)</f>
        <v>0.2571428571</v>
      </c>
      <c r="J2406" s="82">
        <f>IFERROR(__xludf.DUMMYFUNCTION("""COMPUTED_VALUE"""),286.7352941176471)</f>
        <v>286.7352941</v>
      </c>
      <c r="K2406" s="82">
        <f>IFERROR(__xludf.DUMMYFUNCTION("""COMPUTED_VALUE"""),0.5294117647058824)</f>
        <v>0.5294117647</v>
      </c>
      <c r="L2406" s="82">
        <f>IFERROR(__xludf.DUMMYFUNCTION("""COMPUTED_VALUE"""),0.4117647058823529)</f>
        <v>0.4117647059</v>
      </c>
      <c r="M2406" s="82">
        <f>IFERROR(__xludf.DUMMYFUNCTION("""COMPUTED_VALUE"""),1.0588235294117647)</f>
        <v>1.058823529</v>
      </c>
      <c r="N2406" s="82">
        <f>IFERROR(__xludf.DUMMYFUNCTION("""COMPUTED_VALUE"""),2.0588235294117645)</f>
        <v>2.058823529</v>
      </c>
      <c r="O2406" s="82">
        <f>IFERROR(__xludf.DUMMYFUNCTION("""COMPUTED_VALUE"""),343.656862745098)</f>
        <v>343.6568627</v>
      </c>
      <c r="P2406" s="82">
        <f>IFERROR(__xludf.DUMMYFUNCTION("""COMPUTED_VALUE"""),0.9313725490196078)</f>
        <v>0.931372549</v>
      </c>
      <c r="Q2406" s="82">
        <f>IFERROR(__xludf.DUMMYFUNCTION("""COMPUTED_VALUE"""),0.6078431372549018)</f>
        <v>0.6078431373</v>
      </c>
      <c r="R2406" s="82">
        <f>IFERROR(__xludf.DUMMYFUNCTION("""COMPUTED_VALUE"""),1.0)</f>
        <v>1</v>
      </c>
      <c r="S2406" s="82">
        <f>IFERROR(__xludf.DUMMYFUNCTION("""COMPUTED_VALUE"""),2.6078431372549016)</f>
        <v>2.607843137</v>
      </c>
      <c r="T2406" s="82">
        <f>IFERROR(__xludf.DUMMYFUNCTION("""COMPUTED_VALUE"""),329.0784787107932)</f>
        <v>329.0784787</v>
      </c>
      <c r="U2406" s="82">
        <f>IFERROR(__xludf.DUMMYFUNCTION("""COMPUTED_VALUE"""),0.746375775303707)</f>
        <v>0.7463757753</v>
      </c>
      <c r="V2406" s="82">
        <f>IFERROR(__xludf.DUMMYFUNCTION("""COMPUTED_VALUE"""),0.502528228167499)</f>
        <v>0.5025282282</v>
      </c>
      <c r="W2406" s="82">
        <f>IFERROR(__xludf.DUMMYFUNCTION("""COMPUTED_VALUE"""),1.206203373176798)</f>
        <v>1.206203373</v>
      </c>
      <c r="X2406" s="82">
        <f>IFERROR(__xludf.DUMMYFUNCTION("""COMPUTED_VALUE"""),2.374245837695761)</f>
        <v>2.374245838</v>
      </c>
      <c r="Y2406" s="82">
        <f>IFERROR(__xludf.DUMMYFUNCTION("""COMPUTED_VALUE"""),332.4585277170555)</f>
        <v>332.4585277</v>
      </c>
      <c r="Z2406" s="82">
        <f>IFERROR(__xludf.DUMMYFUNCTION("""COMPUTED_VALUE"""),0.7711044155280748)</f>
        <v>0.7711044155</v>
      </c>
      <c r="AA2406" s="82">
        <f>IFERROR(__xludf.DUMMYFUNCTION("""COMPUTED_VALUE"""),0.5296992570146952)</f>
        <v>0.529699257</v>
      </c>
      <c r="AB2406" s="82">
        <f>IFERROR(__xludf.DUMMYFUNCTION("""COMPUTED_VALUE"""),1.1832841913605645)</f>
        <v>1.183284191</v>
      </c>
      <c r="AC2406" s="82">
        <f>IFERROR(__xludf.DUMMYFUNCTION("""COMPUTED_VALUE"""),2.4418724930886637)</f>
        <v>2.441872493</v>
      </c>
      <c r="AD2406" s="82">
        <f>IFERROR(__xludf.DUMMYFUNCTION("""COMPUTED_VALUE"""),0.8624693614768035)</f>
        <v>0.8624693615</v>
      </c>
      <c r="AE2406" s="82">
        <f>IFERROR(__xludf.DUMMYFUNCTION("""COMPUTED_VALUE"""),0.6865630050157678)</f>
        <v>0.686563005</v>
      </c>
      <c r="AF2406" s="82">
        <f>IFERROR(__xludf.DUMMYFUNCTION("""COMPUTED_VALUE"""),0.7773556417711371)</f>
        <v>0.7773556418</v>
      </c>
      <c r="AG2406" s="82">
        <f>IFERROR(__xludf.DUMMYFUNCTION("""COMPUTED_VALUE"""),0.894817607758545)</f>
        <v>0.8948176078</v>
      </c>
      <c r="AH2406" s="82">
        <f>IFERROR(__xludf.DUMMYFUNCTION("""COMPUTED_VALUE"""),0.8431331018466119)</f>
        <v>0.8431331018</v>
      </c>
      <c r="AI2406" s="82">
        <f>IFERROR(__xludf.DUMMYFUNCTION("""COMPUTED_VALUE"""),1.0443006303281135)</f>
        <v>1.04430063</v>
      </c>
      <c r="AJ2406" s="82">
        <f>IFERROR(__xludf.DUMMYFUNCTION("""COMPUTED_VALUE"""),1.2478600992115854)</f>
        <v>1.247860099</v>
      </c>
      <c r="AK2406" s="82">
        <f>IFERROR(__xludf.DUMMYFUNCTION("""COMPUTED_VALUE"""),1.209570135933339)</f>
        <v>1.209570136</v>
      </c>
      <c r="AL2406" s="82">
        <f>IFERROR(__xludf.DUMMYFUNCTION("""COMPUTED_VALUE"""),0.8290475903464631)</f>
        <v>0.8290475903</v>
      </c>
      <c r="AM2406" s="82">
        <f>IFERROR(__xludf.DUMMYFUNCTION("""COMPUTED_VALUE"""),1.0983880000336654)</f>
        <v>1.098388</v>
      </c>
      <c r="AN2406" s="82">
        <f>IFERROR(__xludf.DUMMYFUNCTION("""COMPUTED_VALUE"""),0.8813960661031058)</f>
        <v>0.8813960661</v>
      </c>
      <c r="AO2406" s="82">
        <f>IFERROR(__xludf.DUMMYFUNCTION("""COMPUTED_VALUE"""),0.7243842250557135)</f>
        <v>0.7243842251</v>
      </c>
      <c r="AP2406" s="82">
        <f>IFERROR(__xludf.DUMMYFUNCTION("""COMPUTED_VALUE"""),0.7986882268785633)</f>
        <v>0.7986882269</v>
      </c>
      <c r="AQ2406" s="82">
        <f>IFERROR(__xludf.DUMMYFUNCTION("""COMPUTED_VALUE"""),0.878171281717719)</f>
        <v>0.8781712817</v>
      </c>
      <c r="AR2406" s="82">
        <f>IFERROR(__xludf.DUMMYFUNCTION("""COMPUTED_VALUE"""),0.8652053353588813)</f>
        <v>0.8652053354</v>
      </c>
      <c r="AS2406" s="82">
        <f>IFERROR(__xludf.DUMMYFUNCTION("""COMPUTED_VALUE"""),65.0)</f>
        <v>65</v>
      </c>
      <c r="AT2406" s="82">
        <f>IFERROR(__xludf.DUMMYFUNCTION("""COMPUTED_VALUE"""),0.3561991658360154)</f>
        <v>0.3561991658</v>
      </c>
      <c r="AU2406" s="82">
        <f>IFERROR(__xludf.DUMMYFUNCTION("""COMPUTED_VALUE"""),1.8591581884934048)</f>
        <v>1.859158188</v>
      </c>
      <c r="AV2406" s="82">
        <f>IFERROR(__xludf.DUMMYFUNCTION("""COMPUTED_VALUE"""),24.314673365911364)</f>
        <v>24.31467337</v>
      </c>
      <c r="AW2406" s="82">
        <f t="shared" si="1"/>
        <v>-6.574060033</v>
      </c>
      <c r="AX2406" s="83">
        <f t="array" ref="AX2406">IFERROR(DGET('SBV Import'!A:G,"SBV",{"RSC ID","Tier";B2406,A2406}))</f>
        <v>33.24046903</v>
      </c>
      <c r="AY2406" s="82">
        <f t="shared" si="2"/>
        <v>-3.979190494</v>
      </c>
      <c r="AZ2406" s="82">
        <v>2.5948695397384443</v>
      </c>
      <c r="BA2406" s="84">
        <v>2300.0</v>
      </c>
      <c r="BB2406" s="84" t="b">
        <f>IFERROR(__xludf.DUMMYFUNCTION("iferror(if(A2406="""",,E2406&gt;=FILTER(Constants!$F$2:$F$10,Constants!$A$2:$A$10=A2406)))"),TRUE)</f>
        <v>1</v>
      </c>
    </row>
    <row r="2407">
      <c r="A2407" s="89" t="str">
        <f>IFERROR(__xludf.DUMMYFUNCTION("""COMPUTED_VALUE"""),"Challenger")</f>
        <v>Challenger</v>
      </c>
      <c r="B2407" s="87" t="str">
        <f>IFERROR(__xludf.DUMMYFUNCTION("""COMPUTED_VALUE"""),"RSC007457")</f>
        <v>RSC007457</v>
      </c>
      <c r="C2407" s="73" t="str">
        <f>IFERROR(__xludf.DUMMYFUNCTION("""COMPUTED_VALUE"""),"Fyooze")</f>
        <v>Fyooze</v>
      </c>
      <c r="D2407" s="73" t="str">
        <f>IFERROR(__xludf.DUMMYFUNCTION("""COMPUTED_VALUE"""),"Threshers")</f>
        <v>Threshers</v>
      </c>
      <c r="E2407" s="82">
        <f>IFERROR(__xludf.DUMMYFUNCTION("""COMPUTED_VALUE"""),41.0)</f>
        <v>41</v>
      </c>
      <c r="F2407" s="82">
        <f>IFERROR(__xludf.DUMMYFUNCTION("""COMPUTED_VALUE"""),13.0)</f>
        <v>13</v>
      </c>
      <c r="G2407" s="86">
        <f>IFERROR(__xludf.DUMMYFUNCTION("""COMPUTED_VALUE"""),28.0)</f>
        <v>28</v>
      </c>
      <c r="H2407" s="86">
        <f>IFERROR(__xludf.DUMMYFUNCTION("""COMPUTED_VALUE"""),0.3170731707317073)</f>
        <v>0.3170731707</v>
      </c>
      <c r="I2407" s="86">
        <f>IFERROR(__xludf.DUMMYFUNCTION("""COMPUTED_VALUE"""),0.3333333333333333)</f>
        <v>0.3333333333</v>
      </c>
      <c r="J2407" s="82">
        <f>IFERROR(__xludf.DUMMYFUNCTION("""COMPUTED_VALUE"""),257.6829268292683)</f>
        <v>257.6829268</v>
      </c>
      <c r="K2407" s="82">
        <f>IFERROR(__xludf.DUMMYFUNCTION("""COMPUTED_VALUE"""),0.5853658536585366)</f>
        <v>0.5853658537</v>
      </c>
      <c r="L2407" s="82">
        <f>IFERROR(__xludf.DUMMYFUNCTION("""COMPUTED_VALUE"""),0.4146341463414634)</f>
        <v>0.4146341463</v>
      </c>
      <c r="M2407" s="82">
        <f>IFERROR(__xludf.DUMMYFUNCTION("""COMPUTED_VALUE"""),0.8292682926829268)</f>
        <v>0.8292682927</v>
      </c>
      <c r="N2407" s="82">
        <f>IFERROR(__xludf.DUMMYFUNCTION("""COMPUTED_VALUE"""),1.7560975609756098)</f>
        <v>1.756097561</v>
      </c>
      <c r="O2407" s="82">
        <f>IFERROR(__xludf.DUMMYFUNCTION("""COMPUTED_VALUE"""),350.11382113821134)</f>
        <v>350.1138211</v>
      </c>
      <c r="P2407" s="82">
        <f>IFERROR(__xludf.DUMMYFUNCTION("""COMPUTED_VALUE"""),0.9186991869918697)</f>
        <v>0.918699187</v>
      </c>
      <c r="Q2407" s="82">
        <f>IFERROR(__xludf.DUMMYFUNCTION("""COMPUTED_VALUE"""),0.6666666666666666)</f>
        <v>0.6666666667</v>
      </c>
      <c r="R2407" s="82">
        <f>IFERROR(__xludf.DUMMYFUNCTION("""COMPUTED_VALUE"""),1.1626016260162604)</f>
        <v>1.162601626</v>
      </c>
      <c r="S2407" s="82">
        <f>IFERROR(__xludf.DUMMYFUNCTION("""COMPUTED_VALUE"""),2.56910569105691)</f>
        <v>2.569105691</v>
      </c>
      <c r="T2407" s="82">
        <f>IFERROR(__xludf.DUMMYFUNCTION("""COMPUTED_VALUE"""),340.5975615644885)</f>
        <v>340.5975616</v>
      </c>
      <c r="U2407" s="82">
        <f>IFERROR(__xludf.DUMMYFUNCTION("""COMPUTED_VALUE"""),0.826283037960415)</f>
        <v>0.826283038</v>
      </c>
      <c r="V2407" s="82">
        <f>IFERROR(__xludf.DUMMYFUNCTION("""COMPUTED_VALUE"""),0.5446163349204062)</f>
        <v>0.5446163349</v>
      </c>
      <c r="W2407" s="82">
        <f>IFERROR(__xludf.DUMMYFUNCTION("""COMPUTED_VALUE"""),1.163445676714835)</f>
        <v>1.163445677</v>
      </c>
      <c r="X2407" s="82">
        <f>IFERROR(__xludf.DUMMYFUNCTION("""COMPUTED_VALUE"""),2.5076845949122157)</f>
        <v>2.507684595</v>
      </c>
      <c r="Y2407" s="82">
        <f>IFERROR(__xludf.DUMMYFUNCTION("""COMPUTED_VALUE"""),324.39386409235095)</f>
        <v>324.3938641</v>
      </c>
      <c r="Z2407" s="82">
        <f>IFERROR(__xludf.DUMMYFUNCTION("""COMPUTED_VALUE"""),0.741733600849169)</f>
        <v>0.7417336008</v>
      </c>
      <c r="AA2407" s="82">
        <f>IFERROR(__xludf.DUMMYFUNCTION("""COMPUTED_VALUE"""),0.49517073562262376)</f>
        <v>0.4951707356</v>
      </c>
      <c r="AB2407" s="82">
        <f>IFERROR(__xludf.DUMMYFUNCTION("""COMPUTED_VALUE"""),1.185417362400741)</f>
        <v>1.185417362</v>
      </c>
      <c r="AC2407" s="82">
        <f>IFERROR(__xludf.DUMMYFUNCTION("""COMPUTED_VALUE"""),2.340409778465195)</f>
        <v>2.340409778</v>
      </c>
      <c r="AD2407" s="82">
        <f>IFERROR(__xludf.DUMMYFUNCTION("""COMPUTED_VALUE"""),0.7943520372996609)</f>
        <v>0.7943520373</v>
      </c>
      <c r="AE2407" s="82">
        <f>IFERROR(__xludf.DUMMYFUNCTION("""COMPUTED_VALUE"""),0.7891861080425427)</f>
        <v>0.789186108</v>
      </c>
      <c r="AF2407" s="82">
        <f>IFERROR(__xludf.DUMMYFUNCTION("""COMPUTED_VALUE"""),0.8373559189036196)</f>
        <v>0.8373559189</v>
      </c>
      <c r="AG2407" s="82">
        <f>IFERROR(__xludf.DUMMYFUNCTION("""COMPUTED_VALUE"""),0.6995580788554244)</f>
        <v>0.6995580789</v>
      </c>
      <c r="AH2407" s="82">
        <f>IFERROR(__xludf.DUMMYFUNCTION("""COMPUTED_VALUE"""),0.7503376447722893)</f>
        <v>0.7503376448</v>
      </c>
      <c r="AI2407" s="82">
        <f>IFERROR(__xludf.DUMMYFUNCTION("""COMPUTED_VALUE"""),1.0279398934332096)</f>
        <v>1.027939893</v>
      </c>
      <c r="AJ2407" s="82">
        <f>IFERROR(__xludf.DUMMYFUNCTION("""COMPUTED_VALUE"""),1.1118456325323745)</f>
        <v>1.111845633</v>
      </c>
      <c r="AK2407" s="82">
        <f>IFERROR(__xludf.DUMMYFUNCTION("""COMPUTED_VALUE"""),1.2241033254430345)</f>
        <v>1.224103325</v>
      </c>
      <c r="AL2407" s="82">
        <f>IFERROR(__xludf.DUMMYFUNCTION("""COMPUTED_VALUE"""),0.9992745250461905)</f>
        <v>0.999274525</v>
      </c>
      <c r="AM2407" s="82">
        <f>IFERROR(__xludf.DUMMYFUNCTION("""COMPUTED_VALUE"""),1.0244931504820463)</f>
        <v>1.02449315</v>
      </c>
      <c r="AN2407" s="82">
        <f>IFERROR(__xludf.DUMMYFUNCTION("""COMPUTED_VALUE"""),0.7920919491552519)</f>
        <v>0.7920919492</v>
      </c>
      <c r="AO2407" s="82">
        <f>IFERROR(__xludf.DUMMYFUNCTION("""COMPUTED_VALUE"""),0.8009451594111954)</f>
        <v>0.8009451594</v>
      </c>
      <c r="AP2407" s="82">
        <f>IFERROR(__xludf.DUMMYFUNCTION("""COMPUTED_VALUE"""),0.8042539984944418)</f>
        <v>0.8042539985</v>
      </c>
      <c r="AQ2407" s="82">
        <f>IFERROR(__xludf.DUMMYFUNCTION("""COMPUTED_VALUE"""),0.6877818439469398)</f>
        <v>0.6877818439</v>
      </c>
      <c r="AR2407" s="82">
        <f>IFERROR(__xludf.DUMMYFUNCTION("""COMPUTED_VALUE"""),0.737986989881025)</f>
        <v>0.7379869899</v>
      </c>
      <c r="AS2407" s="82">
        <f>IFERROR(__xludf.DUMMYFUNCTION("""COMPUTED_VALUE"""),74.0)</f>
        <v>74</v>
      </c>
      <c r="AT2407" s="82">
        <f>IFERROR(__xludf.DUMMYFUNCTION("""COMPUTED_VALUE"""),0.3420061982961061)</f>
        <v>0.3420061983</v>
      </c>
      <c r="AU2407" s="82">
        <f>IFERROR(__xludf.DUMMYFUNCTION("""COMPUTED_VALUE"""),1.8563332264848023)</f>
        <v>1.856333226</v>
      </c>
      <c r="AV2407" s="82">
        <f>IFERROR(__xludf.DUMMYFUNCTION("""COMPUTED_VALUE"""),24.24094677091999)</f>
        <v>24.24094677</v>
      </c>
      <c r="AW2407" s="82">
        <f t="shared" si="1"/>
        <v>-6.604146448</v>
      </c>
      <c r="AX2407" s="83">
        <f t="array" ref="AX2407">IFERROR(DGET('SBV Import'!A:G,"SBV",{"RSC ID","Tier";B2407,A2407}))</f>
        <v>16.10051215</v>
      </c>
      <c r="AY2407" s="82">
        <f t="shared" si="2"/>
        <v>-11.42167363</v>
      </c>
      <c r="AZ2407" s="82">
        <v>4.817527184864736</v>
      </c>
      <c r="BA2407" s="84">
        <v>2300.0</v>
      </c>
      <c r="BB2407" s="84" t="b">
        <f>IFERROR(__xludf.DUMMYFUNCTION("iferror(if(A2407="""",,E2407&gt;=FILTER(Constants!$F$2:$F$10,Constants!$A$2:$A$10=A2407)))"),TRUE)</f>
        <v>1</v>
      </c>
    </row>
    <row r="2408">
      <c r="A2408" s="89" t="str">
        <f>IFERROR(__xludf.DUMMYFUNCTION("""COMPUTED_VALUE"""),"Challenger")</f>
        <v>Challenger</v>
      </c>
      <c r="B2408" s="87" t="str">
        <f>IFERROR(__xludf.DUMMYFUNCTION("""COMPUTED_VALUE"""),"RSC007967")</f>
        <v>RSC007967</v>
      </c>
      <c r="C2408" s="73" t="str">
        <f>IFERROR(__xludf.DUMMYFUNCTION("""COMPUTED_VALUE"""),"davisino1605")</f>
        <v>davisino1605</v>
      </c>
      <c r="D2408" s="73" t="str">
        <f>IFERROR(__xludf.DUMMYFUNCTION("""COMPUTED_VALUE"""),"Threshers")</f>
        <v>Threshers</v>
      </c>
      <c r="E2408" s="82">
        <f>IFERROR(__xludf.DUMMYFUNCTION("""COMPUTED_VALUE"""),12.0)</f>
        <v>12</v>
      </c>
      <c r="F2408" s="82">
        <f>IFERROR(__xludf.DUMMYFUNCTION("""COMPUTED_VALUE"""),3.0)</f>
        <v>3</v>
      </c>
      <c r="G2408" s="86">
        <f>IFERROR(__xludf.DUMMYFUNCTION("""COMPUTED_VALUE"""),9.0)</f>
        <v>9</v>
      </c>
      <c r="H2408" s="86">
        <f>IFERROR(__xludf.DUMMYFUNCTION("""COMPUTED_VALUE"""),0.25)</f>
        <v>0.25</v>
      </c>
      <c r="I2408" s="86">
        <f>IFERROR(__xludf.DUMMYFUNCTION("""COMPUTED_VALUE"""),0.2962962962962963)</f>
        <v>0.2962962963</v>
      </c>
      <c r="J2408" s="82">
        <f>IFERROR(__xludf.DUMMYFUNCTION("""COMPUTED_VALUE"""),255.25)</f>
        <v>255.25</v>
      </c>
      <c r="K2408" s="82">
        <f>IFERROR(__xludf.DUMMYFUNCTION("""COMPUTED_VALUE"""),0.6666666666666666)</f>
        <v>0.6666666667</v>
      </c>
      <c r="L2408" s="82">
        <f>IFERROR(__xludf.DUMMYFUNCTION("""COMPUTED_VALUE"""),0.3333333333333333)</f>
        <v>0.3333333333</v>
      </c>
      <c r="M2408" s="82">
        <f>IFERROR(__xludf.DUMMYFUNCTION("""COMPUTED_VALUE"""),0.9166666666666666)</f>
        <v>0.9166666667</v>
      </c>
      <c r="N2408" s="82">
        <f>IFERROR(__xludf.DUMMYFUNCTION("""COMPUTED_VALUE"""),2.25)</f>
        <v>2.25</v>
      </c>
      <c r="O2408" s="82">
        <f>IFERROR(__xludf.DUMMYFUNCTION("""COMPUTED_VALUE"""),373.4166666666667)</f>
        <v>373.4166667</v>
      </c>
      <c r="P2408" s="82">
        <f>IFERROR(__xludf.DUMMYFUNCTION("""COMPUTED_VALUE"""),0.9999999999999997)</f>
        <v>1</v>
      </c>
      <c r="Q2408" s="82">
        <f>IFERROR(__xludf.DUMMYFUNCTION("""COMPUTED_VALUE"""),0.8055555555555557)</f>
        <v>0.8055555556</v>
      </c>
      <c r="R2408" s="82">
        <f>IFERROR(__xludf.DUMMYFUNCTION("""COMPUTED_VALUE"""),1.4166666666666667)</f>
        <v>1.416666667</v>
      </c>
      <c r="S2408" s="82">
        <f>IFERROR(__xludf.DUMMYFUNCTION("""COMPUTED_VALUE"""),2.5277777777777777)</f>
        <v>2.527777778</v>
      </c>
      <c r="T2408" s="82">
        <f>IFERROR(__xludf.DUMMYFUNCTION("""COMPUTED_VALUE"""),336.65291132163543)</f>
        <v>336.6529113</v>
      </c>
      <c r="U2408" s="82">
        <f>IFERROR(__xludf.DUMMYFUNCTION("""COMPUTED_VALUE"""),0.7765995017534374)</f>
        <v>0.7765995018</v>
      </c>
      <c r="V2408" s="82">
        <f>IFERROR(__xludf.DUMMYFUNCTION("""COMPUTED_VALUE"""),0.5516668900256513)</f>
        <v>0.55166689</v>
      </c>
      <c r="W2408" s="82">
        <f>IFERROR(__xludf.DUMMYFUNCTION("""COMPUTED_VALUE"""),1.1810932831930971)</f>
        <v>1.181093283</v>
      </c>
      <c r="X2408" s="82">
        <f>IFERROR(__xludf.DUMMYFUNCTION("""COMPUTED_VALUE"""),2.4449347018065106)</f>
        <v>2.444934702</v>
      </c>
      <c r="Y2408" s="82">
        <f>IFERROR(__xludf.DUMMYFUNCTION("""COMPUTED_VALUE"""),333.98347127448534)</f>
        <v>333.9834713</v>
      </c>
      <c r="Z2408" s="82">
        <f>IFERROR(__xludf.DUMMYFUNCTION("""COMPUTED_VALUE"""),0.7792634559351272)</f>
        <v>0.7792634559</v>
      </c>
      <c r="AA2408" s="82">
        <f>IFERROR(__xludf.DUMMYFUNCTION("""COMPUTED_VALUE"""),0.5366778875736641)</f>
        <v>0.5366778876</v>
      </c>
      <c r="AB2408" s="82">
        <f>IFERROR(__xludf.DUMMYFUNCTION("""COMPUTED_VALUE"""),1.1941794409726934)</f>
        <v>1.194179441</v>
      </c>
      <c r="AC2408" s="82">
        <f>IFERROR(__xludf.DUMMYFUNCTION("""COMPUTED_VALUE"""),2.378658657817134)</f>
        <v>2.378658658</v>
      </c>
      <c r="AD2408" s="82">
        <f>IFERROR(__xludf.DUMMYFUNCTION("""COMPUTED_VALUE"""),0.764259377944551)</f>
        <v>0.7642593779</v>
      </c>
      <c r="AE2408" s="82">
        <f>IFERROR(__xludf.DUMMYFUNCTION("""COMPUTED_VALUE"""),0.8555087006699899)</f>
        <v>0.8555087007</v>
      </c>
      <c r="AF2408" s="82">
        <f>IFERROR(__xludf.DUMMYFUNCTION("""COMPUTED_VALUE"""),0.6211050260340383)</f>
        <v>0.621105026</v>
      </c>
      <c r="AG2408" s="82">
        <f>IFERROR(__xludf.DUMMYFUNCTION("""COMPUTED_VALUE"""),0.7676121654883084)</f>
        <v>0.7676121655</v>
      </c>
      <c r="AH2408" s="82">
        <f>IFERROR(__xludf.DUMMYFUNCTION("""COMPUTED_VALUE"""),0.9459112565839092)</f>
        <v>0.9459112566</v>
      </c>
      <c r="AI2408" s="82">
        <f>IFERROR(__xludf.DUMMYFUNCTION("""COMPUTED_VALUE"""),1.1092037350893647)</f>
        <v>1.109203735</v>
      </c>
      <c r="AJ2408" s="82">
        <f>IFERROR(__xludf.DUMMYFUNCTION("""COMPUTED_VALUE"""),1.2876650033152992)</f>
        <v>1.287665003</v>
      </c>
      <c r="AK2408" s="82">
        <f>IFERROR(__xludf.DUMMYFUNCTION("""COMPUTED_VALUE"""),1.4602209596412414)</f>
        <v>1.46022096</v>
      </c>
      <c r="AL2408" s="82">
        <f>IFERROR(__xludf.DUMMYFUNCTION("""COMPUTED_VALUE"""),1.1994536645206335)</f>
        <v>1.199453665</v>
      </c>
      <c r="AM2408" s="82">
        <f>IFERROR(__xludf.DUMMYFUNCTION("""COMPUTED_VALUE"""),1.033883553581229)</f>
        <v>1.033883554</v>
      </c>
      <c r="AN2408" s="82">
        <f>IFERROR(__xludf.DUMMYFUNCTION("""COMPUTED_VALUE"""),0.7846133715946049)</f>
        <v>0.7846133716</v>
      </c>
      <c r="AO2408" s="82">
        <f>IFERROR(__xludf.DUMMYFUNCTION("""COMPUTED_VALUE"""),0.9121875426627504)</f>
        <v>0.9121875427</v>
      </c>
      <c r="AP2408" s="82">
        <f>IFERROR(__xludf.DUMMYFUNCTION("""COMPUTED_VALUE"""),0.6465571360445512)</f>
        <v>0.646557136</v>
      </c>
      <c r="AQ2408" s="82">
        <f>IFERROR(__xludf.DUMMYFUNCTION("""COMPUTED_VALUE"""),0.7602686559315437)</f>
        <v>0.7602686559</v>
      </c>
      <c r="AR2408" s="82">
        <f>IFERROR(__xludf.DUMMYFUNCTION("""COMPUTED_VALUE"""),0.9455458307850633)</f>
        <v>0.9455458308</v>
      </c>
      <c r="AS2408" s="82">
        <f>IFERROR(__xludf.DUMMYFUNCTION("""COMPUTED_VALUE"""),22.0)</f>
        <v>22</v>
      </c>
      <c r="AT2408" s="82">
        <f>IFERROR(__xludf.DUMMYFUNCTION("""COMPUTED_VALUE"""),0.3156054711659159)</f>
        <v>0.3156054712</v>
      </c>
      <c r="AU2408" s="82">
        <f>IFERROR(__xludf.DUMMYFUNCTION("""COMPUTED_VALUE"""),1.8367963245558583)</f>
        <v>1.836796325</v>
      </c>
      <c r="AV2408" s="82">
        <f>IFERROR(__xludf.DUMMYFUNCTION("""COMPUTED_VALUE"""),23.731067610947132)</f>
        <v>23.73106761</v>
      </c>
      <c r="AW2408" s="82">
        <f t="shared" si="1"/>
        <v>-6.817327939</v>
      </c>
      <c r="AX2408" s="83">
        <f t="array" ref="AX2408">IFERROR(DGET('SBV Import'!A:G,"SBV",{"RSC ID","Tier";B2408,A2408}))</f>
        <v>11.75730399</v>
      </c>
      <c r="AY2408" s="82">
        <f t="shared" si="2"/>
        <v>-15.86180408</v>
      </c>
      <c r="AZ2408" s="82">
        <v>9.044476145834626</v>
      </c>
      <c r="BA2408" s="84">
        <v>2300.0</v>
      </c>
      <c r="BB2408" s="84" t="b">
        <f>IFERROR(__xludf.DUMMYFUNCTION("iferror(if(A2408="""",,E2408&gt;=FILTER(Constants!$F$2:$F$10,Constants!$A$2:$A$10=A2408)))"),TRUE)</f>
        <v>1</v>
      </c>
    </row>
    <row r="2409">
      <c r="A2409" s="89" t="str">
        <f>IFERROR(__xludf.DUMMYFUNCTION("""COMPUTED_VALUE"""),"Challenger")</f>
        <v>Challenger</v>
      </c>
      <c r="B2409" s="87" t="str">
        <f>IFERROR(__xludf.DUMMYFUNCTION("""COMPUTED_VALUE"""),"RSC005844")</f>
        <v>RSC005844</v>
      </c>
      <c r="C2409" s="73" t="str">
        <f>IFERROR(__xludf.DUMMYFUNCTION("""COMPUTED_VALUE"""),"xr.")</f>
        <v>xr.</v>
      </c>
      <c r="D2409" s="73" t="str">
        <f>IFERROR(__xludf.DUMMYFUNCTION("""COMPUTED_VALUE"""),"Bingo")</f>
        <v>Bingo</v>
      </c>
      <c r="E2409" s="82">
        <f>IFERROR(__xludf.DUMMYFUNCTION("""COMPUTED_VALUE"""),35.0)</f>
        <v>35</v>
      </c>
      <c r="F2409" s="82">
        <f>IFERROR(__xludf.DUMMYFUNCTION("""COMPUTED_VALUE"""),15.0)</f>
        <v>15</v>
      </c>
      <c r="G2409" s="86">
        <f>IFERROR(__xludf.DUMMYFUNCTION("""COMPUTED_VALUE"""),20.0)</f>
        <v>20</v>
      </c>
      <c r="H2409" s="86">
        <f>IFERROR(__xludf.DUMMYFUNCTION("""COMPUTED_VALUE"""),0.42857142857142855)</f>
        <v>0.4285714286</v>
      </c>
      <c r="I2409" s="86">
        <f>IFERROR(__xludf.DUMMYFUNCTION("""COMPUTED_VALUE"""),0.22222222222222224)</f>
        <v>0.2222222222</v>
      </c>
      <c r="J2409" s="82">
        <f>IFERROR(__xludf.DUMMYFUNCTION("""COMPUTED_VALUE"""),293.9142857142857)</f>
        <v>293.9142857</v>
      </c>
      <c r="K2409" s="82">
        <f>IFERROR(__xludf.DUMMYFUNCTION("""COMPUTED_VALUE"""),0.4)</f>
        <v>0.4</v>
      </c>
      <c r="L2409" s="82">
        <f>IFERROR(__xludf.DUMMYFUNCTION("""COMPUTED_VALUE"""),0.45714285714285713)</f>
        <v>0.4571428571</v>
      </c>
      <c r="M2409" s="82">
        <f>IFERROR(__xludf.DUMMYFUNCTION("""COMPUTED_VALUE"""),1.4)</f>
        <v>1.4</v>
      </c>
      <c r="N2409" s="82">
        <f>IFERROR(__xludf.DUMMYFUNCTION("""COMPUTED_VALUE"""),1.8)</f>
        <v>1.8</v>
      </c>
      <c r="O2409" s="82">
        <f>IFERROR(__xludf.DUMMYFUNCTION("""COMPUTED_VALUE"""),344.5428571428571)</f>
        <v>344.5428571</v>
      </c>
      <c r="P2409" s="82">
        <f>IFERROR(__xludf.DUMMYFUNCTION("""COMPUTED_VALUE"""),0.8380952380952381)</f>
        <v>0.8380952381</v>
      </c>
      <c r="Q2409" s="82">
        <f>IFERROR(__xludf.DUMMYFUNCTION("""COMPUTED_VALUE"""),0.5999999999999999)</f>
        <v>0.6</v>
      </c>
      <c r="R2409" s="82">
        <f>IFERROR(__xludf.DUMMYFUNCTION("""COMPUTED_VALUE"""),1.0476190476190474)</f>
        <v>1.047619048</v>
      </c>
      <c r="S2409" s="82">
        <f>IFERROR(__xludf.DUMMYFUNCTION("""COMPUTED_VALUE"""),2.7142857142857144)</f>
        <v>2.714285714</v>
      </c>
      <c r="T2409" s="82">
        <f>IFERROR(__xludf.DUMMYFUNCTION("""COMPUTED_VALUE"""),336.8434662914438)</f>
        <v>336.8434663</v>
      </c>
      <c r="U2409" s="82">
        <f>IFERROR(__xludf.DUMMYFUNCTION("""COMPUTED_VALUE"""),0.7882506093015259)</f>
        <v>0.7882506093</v>
      </c>
      <c r="V2409" s="82">
        <f>IFERROR(__xludf.DUMMYFUNCTION("""COMPUTED_VALUE"""),0.5542638146814381)</f>
        <v>0.5542638147</v>
      </c>
      <c r="W2409" s="82">
        <f>IFERROR(__xludf.DUMMYFUNCTION("""COMPUTED_VALUE"""),1.1812168635193363)</f>
        <v>1.181216864</v>
      </c>
      <c r="X2409" s="82">
        <f>IFERROR(__xludf.DUMMYFUNCTION("""COMPUTED_VALUE"""),2.588278543939232)</f>
        <v>2.588278544</v>
      </c>
      <c r="Y2409" s="82">
        <f>IFERROR(__xludf.DUMMYFUNCTION("""COMPUTED_VALUE"""),333.1018878409065)</f>
        <v>333.1018878</v>
      </c>
      <c r="Z2409" s="82">
        <f>IFERROR(__xludf.DUMMYFUNCTION("""COMPUTED_VALUE"""),0.7223756535468601)</f>
        <v>0.7223756535</v>
      </c>
      <c r="AA2409" s="82">
        <f>IFERROR(__xludf.DUMMYFUNCTION("""COMPUTED_VALUE"""),0.5046075175347091)</f>
        <v>0.5046075175</v>
      </c>
      <c r="AB2409" s="82">
        <f>IFERROR(__xludf.DUMMYFUNCTION("""COMPUTED_VALUE"""),1.3101729607204091)</f>
        <v>1.310172961</v>
      </c>
      <c r="AC2409" s="82">
        <f>IFERROR(__xludf.DUMMYFUNCTION("""COMPUTED_VALUE"""),2.3300054212968946)</f>
        <v>2.330005421</v>
      </c>
      <c r="AD2409" s="82">
        <f>IFERROR(__xludf.DUMMYFUNCTION("""COMPUTED_VALUE"""),0.8823555087585175)</f>
        <v>0.8823555088</v>
      </c>
      <c r="AE2409" s="82">
        <f>IFERROR(__xludf.DUMMYFUNCTION("""COMPUTED_VALUE"""),0.5537285178923216)</f>
        <v>0.5537285179</v>
      </c>
      <c r="AF2409" s="82">
        <f>IFERROR(__xludf.DUMMYFUNCTION("""COMPUTED_VALUE"""),0.9059374687405699)</f>
        <v>0.9059374687</v>
      </c>
      <c r="AG2409" s="82">
        <f>IFERROR(__xludf.DUMMYFUNCTION("""COMPUTED_VALUE"""),1.068561206781583)</f>
        <v>1.068561207</v>
      </c>
      <c r="AH2409" s="82">
        <f>IFERROR(__xludf.DUMMYFUNCTION("""COMPUTED_VALUE"""),0.7725303913662611)</f>
        <v>0.7725303914</v>
      </c>
      <c r="AI2409" s="82">
        <f>IFERROR(__xludf.DUMMYFUNCTION("""COMPUTED_VALUE"""),1.0228574742333034)</f>
        <v>1.022857474</v>
      </c>
      <c r="AJ2409" s="82">
        <f>IFERROR(__xludf.DUMMYFUNCTION("""COMPUTED_VALUE"""),1.0632344944685548)</f>
        <v>1.063234494</v>
      </c>
      <c r="AK2409" s="82">
        <f>IFERROR(__xludf.DUMMYFUNCTION("""COMPUTED_VALUE"""),1.0825169966126122)</f>
        <v>1.082516997</v>
      </c>
      <c r="AL2409" s="82">
        <f>IFERROR(__xludf.DUMMYFUNCTION("""COMPUTED_VALUE"""),0.8868981471342651)</f>
        <v>0.8868981471</v>
      </c>
      <c r="AM2409" s="82">
        <f>IFERROR(__xludf.DUMMYFUNCTION("""COMPUTED_VALUE"""),1.0486837750293698)</f>
        <v>1.048683775</v>
      </c>
      <c r="AN2409" s="82">
        <f>IFERROR(__xludf.DUMMYFUNCTION("""COMPUTED_VALUE"""),0.9034635795263691)</f>
        <v>0.9034635795</v>
      </c>
      <c r="AO2409" s="82">
        <f>IFERROR(__xludf.DUMMYFUNCTION("""COMPUTED_VALUE"""),0.5473125255976503)</f>
        <v>0.5473125256</v>
      </c>
      <c r="AP2409" s="82">
        <f>IFERROR(__xludf.DUMMYFUNCTION("""COMPUTED_VALUE"""),0.8867069294325275)</f>
        <v>0.8867069294</v>
      </c>
      <c r="AQ2409" s="82">
        <f>IFERROR(__xludf.DUMMYFUNCTION("""COMPUTED_VALUE"""),1.1611375836045394)</f>
        <v>1.161137584</v>
      </c>
      <c r="AR2409" s="82">
        <f>IFERROR(__xludf.DUMMYFUNCTION("""COMPUTED_VALUE"""),0.7564366646280506)</f>
        <v>0.7564366646</v>
      </c>
      <c r="AS2409" s="82">
        <f>IFERROR(__xludf.DUMMYFUNCTION("""COMPUTED_VALUE"""),70.0)</f>
        <v>70</v>
      </c>
      <c r="AT2409" s="82">
        <f>IFERROR(__xludf.DUMMYFUNCTION("""COMPUTED_VALUE"""),0.4127285168527257)</f>
        <v>0.4127285169</v>
      </c>
      <c r="AU2409" s="82">
        <f>IFERROR(__xludf.DUMMYFUNCTION("""COMPUTED_VALUE"""),1.8163256348113264)</f>
        <v>1.816325635</v>
      </c>
      <c r="AV2409" s="82">
        <f>IFERROR(__xludf.DUMMYFUNCTION("""COMPUTED_VALUE"""),23.196818213116888)</f>
        <v>23.19681821</v>
      </c>
      <c r="AW2409" s="82">
        <f t="shared" si="1"/>
        <v>-7.050623127</v>
      </c>
      <c r="AX2409" s="83">
        <f t="array" ref="AX2409">IFERROR(DGET('SBV Import'!A:G,"SBV",{"RSC ID","Tier";B2409,A2409}))</f>
        <v>24.15886998</v>
      </c>
      <c r="AY2409" s="82">
        <f t="shared" si="2"/>
        <v>-6.637857039</v>
      </c>
      <c r="AZ2409" s="82">
        <v>0.41276608862180364</v>
      </c>
      <c r="BA2409" s="84">
        <v>2300.0</v>
      </c>
      <c r="BB2409" s="84" t="b">
        <f>IFERROR(__xludf.DUMMYFUNCTION("iferror(if(A2409="""",,E2409&gt;=FILTER(Constants!$F$2:$F$10,Constants!$A$2:$A$10=A2409)))"),TRUE)</f>
        <v>1</v>
      </c>
    </row>
    <row r="2410">
      <c r="A2410" s="89" t="str">
        <f>IFERROR(__xludf.DUMMYFUNCTION("""COMPUTED_VALUE"""),"Challenger")</f>
        <v>Challenger</v>
      </c>
      <c r="B2410" s="87" t="str">
        <f>IFERROR(__xludf.DUMMYFUNCTION("""COMPUTED_VALUE"""),"RSC007560")</f>
        <v>RSC007560</v>
      </c>
      <c r="C2410" s="73" t="str">
        <f>IFERROR(__xludf.DUMMYFUNCTION("""COMPUTED_VALUE"""),"ObiWan_Can_O_Bee")</f>
        <v>ObiWan_Can_O_Bee</v>
      </c>
      <c r="D2410" s="73" t="str">
        <f>IFERROR(__xludf.DUMMYFUNCTION("""COMPUTED_VALUE"""),"Shade")</f>
        <v>Shade</v>
      </c>
      <c r="E2410" s="82">
        <f>IFERROR(__xludf.DUMMYFUNCTION("""COMPUTED_VALUE"""),45.0)</f>
        <v>45</v>
      </c>
      <c r="F2410" s="82">
        <f>IFERROR(__xludf.DUMMYFUNCTION("""COMPUTED_VALUE"""),14.0)</f>
        <v>14</v>
      </c>
      <c r="G2410" s="86">
        <f>IFERROR(__xludf.DUMMYFUNCTION("""COMPUTED_VALUE"""),31.0)</f>
        <v>31</v>
      </c>
      <c r="H2410" s="86">
        <f>IFERROR(__xludf.DUMMYFUNCTION("""COMPUTED_VALUE"""),0.3111111111111111)</f>
        <v>0.3111111111</v>
      </c>
      <c r="I2410" s="86">
        <f>IFERROR(__xludf.DUMMYFUNCTION("""COMPUTED_VALUE"""),0.2549019607843137)</f>
        <v>0.2549019608</v>
      </c>
      <c r="J2410" s="82">
        <f>IFERROR(__xludf.DUMMYFUNCTION("""COMPUTED_VALUE"""),288.26666666666665)</f>
        <v>288.2666667</v>
      </c>
      <c r="K2410" s="82">
        <f>IFERROR(__xludf.DUMMYFUNCTION("""COMPUTED_VALUE"""),0.5777777777777777)</f>
        <v>0.5777777778</v>
      </c>
      <c r="L2410" s="82">
        <f>IFERROR(__xludf.DUMMYFUNCTION("""COMPUTED_VALUE"""),0.2)</f>
        <v>0.2</v>
      </c>
      <c r="M2410" s="82">
        <f>IFERROR(__xludf.DUMMYFUNCTION("""COMPUTED_VALUE"""),1.2444444444444445)</f>
        <v>1.244444444</v>
      </c>
      <c r="N2410" s="82">
        <f>IFERROR(__xludf.DUMMYFUNCTION("""COMPUTED_VALUE"""),2.2666666666666666)</f>
        <v>2.266666667</v>
      </c>
      <c r="O2410" s="82">
        <f>IFERROR(__xludf.DUMMYFUNCTION("""COMPUTED_VALUE"""),357.65185185185186)</f>
        <v>357.6518519</v>
      </c>
      <c r="P2410" s="82">
        <f>IFERROR(__xludf.DUMMYFUNCTION("""COMPUTED_VALUE"""),0.8962962962962964)</f>
        <v>0.8962962963</v>
      </c>
      <c r="Q2410" s="82">
        <f>IFERROR(__xludf.DUMMYFUNCTION("""COMPUTED_VALUE"""),0.6814814814814815)</f>
        <v>0.6814814815</v>
      </c>
      <c r="R2410" s="82">
        <f>IFERROR(__xludf.DUMMYFUNCTION("""COMPUTED_VALUE"""),1.2444444444444445)</f>
        <v>1.244444444</v>
      </c>
      <c r="S2410" s="82">
        <f>IFERROR(__xludf.DUMMYFUNCTION("""COMPUTED_VALUE"""),2.4370370370370367)</f>
        <v>2.437037037</v>
      </c>
      <c r="T2410" s="82">
        <f>IFERROR(__xludf.DUMMYFUNCTION("""COMPUTED_VALUE"""),337.71030997144686)</f>
        <v>337.71031</v>
      </c>
      <c r="U2410" s="82">
        <f>IFERROR(__xludf.DUMMYFUNCTION("""COMPUTED_VALUE"""),0.793295275281391)</f>
        <v>0.7932952753</v>
      </c>
      <c r="V2410" s="82">
        <f>IFERROR(__xludf.DUMMYFUNCTION("""COMPUTED_VALUE"""),0.5584601278303987)</f>
        <v>0.5584601278</v>
      </c>
      <c r="W2410" s="82">
        <f>IFERROR(__xludf.DUMMYFUNCTION("""COMPUTED_VALUE"""),1.2139544033397112)</f>
        <v>1.213954403</v>
      </c>
      <c r="X2410" s="82">
        <f>IFERROR(__xludf.DUMMYFUNCTION("""COMPUTED_VALUE"""),2.47609238392263)</f>
        <v>2.476092384</v>
      </c>
      <c r="Y2410" s="82">
        <f>IFERROR(__xludf.DUMMYFUNCTION("""COMPUTED_VALUE"""),329.25485951791)</f>
        <v>329.2548595</v>
      </c>
      <c r="Z2410" s="82">
        <f>IFERROR(__xludf.DUMMYFUNCTION("""COMPUTED_VALUE"""),0.7487142032930939)</f>
        <v>0.7487142033</v>
      </c>
      <c r="AA2410" s="82">
        <f>IFERROR(__xludf.DUMMYFUNCTION("""COMPUTED_VALUE"""),0.5251162417899365)</f>
        <v>0.5251162418</v>
      </c>
      <c r="AB2410" s="82">
        <f>IFERROR(__xludf.DUMMYFUNCTION("""COMPUTED_VALUE"""),1.2089858042727555)</f>
        <v>1.208985804</v>
      </c>
      <c r="AC2410" s="82">
        <f>IFERROR(__xludf.DUMMYFUNCTION("""COMPUTED_VALUE"""),2.413047930573464)</f>
        <v>2.413047931</v>
      </c>
      <c r="AD2410" s="82">
        <f>IFERROR(__xludf.DUMMYFUNCTION("""COMPUTED_VALUE"""),0.8755122615008396)</f>
        <v>0.8755122615</v>
      </c>
      <c r="AE2410" s="82">
        <f>IFERROR(__xludf.DUMMYFUNCTION("""COMPUTED_VALUE"""),0.7716933580751093)</f>
        <v>0.7716933581</v>
      </c>
      <c r="AF2410" s="82">
        <f>IFERROR(__xludf.DUMMYFUNCTION("""COMPUTED_VALUE"""),0.38086805183985617)</f>
        <v>0.3808680518</v>
      </c>
      <c r="AG2410" s="82">
        <f>IFERROR(__xludf.DUMMYFUNCTION("""COMPUTED_VALUE"""),1.0293292444347752)</f>
        <v>1.029329244</v>
      </c>
      <c r="AH2410" s="82">
        <f>IFERROR(__xludf.DUMMYFUNCTION("""COMPUTED_VALUE"""),0.9393376061651583)</f>
        <v>0.9393376062</v>
      </c>
      <c r="AI2410" s="82">
        <f>IFERROR(__xludf.DUMMYFUNCTION("""COMPUTED_VALUE"""),1.059049254025117)</f>
        <v>1.059049254</v>
      </c>
      <c r="AJ2410" s="82">
        <f>IFERROR(__xludf.DUMMYFUNCTION("""COMPUTED_VALUE"""),1.1298394484681251)</f>
        <v>1.129839448</v>
      </c>
      <c r="AK2410" s="82">
        <f>IFERROR(__xludf.DUMMYFUNCTION("""COMPUTED_VALUE"""),1.2202867268770237)</f>
        <v>1.220286727</v>
      </c>
      <c r="AL2410" s="82">
        <f>IFERROR(__xludf.DUMMYFUNCTION("""COMPUTED_VALUE"""),1.025116298454746)</f>
        <v>1.025116298</v>
      </c>
      <c r="AM2410" s="82">
        <f>IFERROR(__xludf.DUMMYFUNCTION("""COMPUTED_VALUE"""),0.9842270235395167)</f>
        <v>0.9842270235</v>
      </c>
      <c r="AN2410" s="82">
        <f>IFERROR(__xludf.DUMMYFUNCTION("""COMPUTED_VALUE"""),0.8861033545609067)</f>
        <v>0.8861033546</v>
      </c>
      <c r="AO2410" s="82">
        <f>IFERROR(__xludf.DUMMYFUNCTION("""COMPUTED_VALUE"""),0.7905625369743836)</f>
        <v>0.790562537</v>
      </c>
      <c r="AP2410" s="82">
        <f>IFERROR(__xludf.DUMMYFUNCTION("""COMPUTED_VALUE"""),0.3879342816267308)</f>
        <v>0.3879342816</v>
      </c>
      <c r="AQ2410" s="82">
        <f>IFERROR(__xludf.DUMMYFUNCTION("""COMPUTED_VALUE"""),1.0321222965373684)</f>
        <v>1.032122297</v>
      </c>
      <c r="AR2410" s="82">
        <f>IFERROR(__xludf.DUMMYFUNCTION("""COMPUTED_VALUE"""),0.9525498739760637)</f>
        <v>0.952549874</v>
      </c>
      <c r="AS2410" s="82">
        <f>IFERROR(__xludf.DUMMYFUNCTION("""COMPUTED_VALUE"""),63.0)</f>
        <v>63</v>
      </c>
      <c r="AT2410" s="82">
        <f>IFERROR(__xludf.DUMMYFUNCTION("""COMPUTED_VALUE"""),0.273344223249311)</f>
        <v>0.2733442232</v>
      </c>
      <c r="AU2410" s="82">
        <f>IFERROR(__xludf.DUMMYFUNCTION("""COMPUTED_VALUE"""),1.81034792756966)</f>
        <v>1.810347928</v>
      </c>
      <c r="AV2410" s="82">
        <f>IFERROR(__xludf.DUMMYFUNCTION("""COMPUTED_VALUE"""),23.040810451086358)</f>
        <v>23.04081045</v>
      </c>
      <c r="AW2410" s="82">
        <f t="shared" si="1"/>
        <v>-7.120738395</v>
      </c>
      <c r="AX2410" s="83">
        <f t="array" ref="AX2410">IFERROR(DGET('SBV Import'!A:G,"SBV",{"RSC ID","Tier";B2410,A2410}))</f>
        <v>33.75496982</v>
      </c>
      <c r="AY2410" s="82">
        <f t="shared" si="2"/>
        <v>-3.877316743</v>
      </c>
      <c r="AZ2410" s="82">
        <v>3.24342165172353</v>
      </c>
      <c r="BA2410" s="84">
        <v>2300.0</v>
      </c>
      <c r="BB2410" s="84" t="b">
        <f>IFERROR(__xludf.DUMMYFUNCTION("iferror(if(A2410="""",,E2410&gt;=FILTER(Constants!$F$2:$F$10,Constants!$A$2:$A$10=A2410)))"),TRUE)</f>
        <v>1</v>
      </c>
    </row>
    <row r="2411">
      <c r="A2411" s="89" t="str">
        <f>IFERROR(__xludf.DUMMYFUNCTION("""COMPUTED_VALUE"""),"Challenger")</f>
        <v>Challenger</v>
      </c>
      <c r="B2411" s="87" t="str">
        <f>IFERROR(__xludf.DUMMYFUNCTION("""COMPUTED_VALUE"""),"RSC007568")</f>
        <v>RSC007568</v>
      </c>
      <c r="C2411" s="73" t="str">
        <f>IFERROR(__xludf.DUMMYFUNCTION("""COMPUTED_VALUE"""),"Chills1912")</f>
        <v>Chills1912</v>
      </c>
      <c r="D2411" s="73" t="str">
        <f>IFERROR(__xludf.DUMMYFUNCTION("""COMPUTED_VALUE"""),"Threshers")</f>
        <v>Threshers</v>
      </c>
      <c r="E2411" s="82">
        <f>IFERROR(__xludf.DUMMYFUNCTION("""COMPUTED_VALUE"""),11.0)</f>
        <v>11</v>
      </c>
      <c r="F2411" s="82">
        <f>IFERROR(__xludf.DUMMYFUNCTION("""COMPUTED_VALUE"""),4.0)</f>
        <v>4</v>
      </c>
      <c r="G2411" s="86">
        <f>IFERROR(__xludf.DUMMYFUNCTION("""COMPUTED_VALUE"""),7.0)</f>
        <v>7</v>
      </c>
      <c r="H2411" s="86">
        <f>IFERROR(__xludf.DUMMYFUNCTION("""COMPUTED_VALUE"""),0.36363636363636365)</f>
        <v>0.3636363636</v>
      </c>
      <c r="I2411" s="86">
        <f>IFERROR(__xludf.DUMMYFUNCTION("""COMPUTED_VALUE"""),0.3157894736842105)</f>
        <v>0.3157894737</v>
      </c>
      <c r="J2411" s="82">
        <f>IFERROR(__xludf.DUMMYFUNCTION("""COMPUTED_VALUE"""),300.3636363636364)</f>
        <v>300.3636364</v>
      </c>
      <c r="K2411" s="82">
        <f>IFERROR(__xludf.DUMMYFUNCTION("""COMPUTED_VALUE"""),0.5454545454545454)</f>
        <v>0.5454545455</v>
      </c>
      <c r="L2411" s="82">
        <f>IFERROR(__xludf.DUMMYFUNCTION("""COMPUTED_VALUE"""),0.09090909090909091)</f>
        <v>0.09090909091</v>
      </c>
      <c r="M2411" s="82">
        <f>IFERROR(__xludf.DUMMYFUNCTION("""COMPUTED_VALUE"""),2.1818181818181817)</f>
        <v>2.181818182</v>
      </c>
      <c r="N2411" s="82">
        <f>IFERROR(__xludf.DUMMYFUNCTION("""COMPUTED_VALUE"""),1.7272727272727273)</f>
        <v>1.727272727</v>
      </c>
      <c r="O2411" s="82">
        <f>IFERROR(__xludf.DUMMYFUNCTION("""COMPUTED_VALUE"""),333.45454545454544)</f>
        <v>333.4545455</v>
      </c>
      <c r="P2411" s="82">
        <f>IFERROR(__xludf.DUMMYFUNCTION("""COMPUTED_VALUE"""),0.7272727272727273)</f>
        <v>0.7272727273</v>
      </c>
      <c r="Q2411" s="82">
        <f>IFERROR(__xludf.DUMMYFUNCTION("""COMPUTED_VALUE"""),0.6363636363636362)</f>
        <v>0.6363636364</v>
      </c>
      <c r="R2411" s="82">
        <f>IFERROR(__xludf.DUMMYFUNCTION("""COMPUTED_VALUE"""),1.0909090909090908)</f>
        <v>1.090909091</v>
      </c>
      <c r="S2411" s="82">
        <f>IFERROR(__xludf.DUMMYFUNCTION("""COMPUTED_VALUE"""),3.303030303030303)</f>
        <v>3.303030303</v>
      </c>
      <c r="T2411" s="82">
        <f>IFERROR(__xludf.DUMMYFUNCTION("""COMPUTED_VALUE"""),359.8331997236733)</f>
        <v>359.8331997</v>
      </c>
      <c r="U2411" s="82">
        <f>IFERROR(__xludf.DUMMYFUNCTION("""COMPUTED_VALUE"""),0.8933127086810355)</f>
        <v>0.8933127087</v>
      </c>
      <c r="V2411" s="82">
        <f>IFERROR(__xludf.DUMMYFUNCTION("""COMPUTED_VALUE"""),0.5942898896789447)</f>
        <v>0.5942898897</v>
      </c>
      <c r="W2411" s="82">
        <f>IFERROR(__xludf.DUMMYFUNCTION("""COMPUTED_VALUE"""),1.2368674758686053)</f>
        <v>1.236867476</v>
      </c>
      <c r="X2411" s="82">
        <f>IFERROR(__xludf.DUMMYFUNCTION("""COMPUTED_VALUE"""),2.8432468978387964)</f>
        <v>2.843246898</v>
      </c>
      <c r="Y2411" s="82">
        <f>IFERROR(__xludf.DUMMYFUNCTION("""COMPUTED_VALUE"""),323.94122701770584)</f>
        <v>323.941227</v>
      </c>
      <c r="Z2411" s="82">
        <f>IFERROR(__xludf.DUMMYFUNCTION("""COMPUTED_VALUE"""),0.6375189190754086)</f>
        <v>0.6375189191</v>
      </c>
      <c r="AA2411" s="82">
        <f>IFERROR(__xludf.DUMMYFUNCTION("""COMPUTED_VALUE"""),0.4546027041797412)</f>
        <v>0.4546027042</v>
      </c>
      <c r="AB2411" s="82">
        <f>IFERROR(__xludf.DUMMYFUNCTION("""COMPUTED_VALUE"""),1.352056239352198)</f>
        <v>1.352056239</v>
      </c>
      <c r="AC2411" s="82">
        <f>IFERROR(__xludf.DUMMYFUNCTION("""COMPUTED_VALUE"""),2.2740504878611474)</f>
        <v>2.274050488</v>
      </c>
      <c r="AD2411" s="82">
        <f>IFERROR(__xludf.DUMMYFUNCTION("""COMPUTED_VALUE"""),0.9272164556789162)</f>
        <v>0.9272164557</v>
      </c>
      <c r="AE2411" s="82">
        <f>IFERROR(__xludf.DUMMYFUNCTION("""COMPUTED_VALUE"""),0.8555895819462365)</f>
        <v>0.8555895819</v>
      </c>
      <c r="AF2411" s="82">
        <f>IFERROR(__xludf.DUMMYFUNCTION("""COMPUTED_VALUE"""),0.1999748133331543)</f>
        <v>0.1999748133</v>
      </c>
      <c r="AG2411" s="82">
        <f>IFERROR(__xludf.DUMMYFUNCTION("""COMPUTED_VALUE"""),1.613703719057975)</f>
        <v>1.613703719</v>
      </c>
      <c r="AH2411" s="82">
        <f>IFERROR(__xludf.DUMMYFUNCTION("""COMPUTED_VALUE"""),0.7595577743295002)</f>
        <v>0.7595577743</v>
      </c>
      <c r="AI2411" s="82">
        <f>IFERROR(__xludf.DUMMYFUNCTION("""COMPUTED_VALUE"""),0.9266919942646069)</f>
        <v>0.9266919943</v>
      </c>
      <c r="AJ2411" s="82">
        <f>IFERROR(__xludf.DUMMYFUNCTION("""COMPUTED_VALUE"""),0.8141300579351837)</f>
        <v>0.8141300579</v>
      </c>
      <c r="AK2411" s="82">
        <f>IFERROR(__xludf.DUMMYFUNCTION("""COMPUTED_VALUE"""),1.0707966724916373)</f>
        <v>1.070796672</v>
      </c>
      <c r="AL2411" s="82">
        <f>IFERROR(__xludf.DUMMYFUNCTION("""COMPUTED_VALUE"""),0.8819935136082275)</f>
        <v>0.8819935136</v>
      </c>
      <c r="AM2411" s="82">
        <f>IFERROR(__xludf.DUMMYFUNCTION("""COMPUTED_VALUE"""),1.161710685604193)</f>
        <v>1.161710686</v>
      </c>
      <c r="AN2411" s="82">
        <f>IFERROR(__xludf.DUMMYFUNCTION("""COMPUTED_VALUE"""),0.9232882485080847)</f>
        <v>0.9232882485</v>
      </c>
      <c r="AO2411" s="82">
        <f>IFERROR(__xludf.DUMMYFUNCTION("""COMPUTED_VALUE"""),0.7463352621786139)</f>
        <v>0.7463352622</v>
      </c>
      <c r="AP2411" s="82">
        <f>IFERROR(__xludf.DUMMYFUNCTION("""COMPUTED_VALUE"""),0.1763337643757867)</f>
        <v>0.1763337644</v>
      </c>
      <c r="AQ2411" s="82">
        <f>IFERROR(__xludf.DUMMYFUNCTION("""COMPUTED_VALUE"""),1.8095650653577238)</f>
        <v>1.809565065</v>
      </c>
      <c r="AR2411" s="82">
        <f>IFERROR(__xludf.DUMMYFUNCTION("""COMPUTED_VALUE"""),0.7258735670673213)</f>
        <v>0.7258735671</v>
      </c>
      <c r="AS2411" s="82">
        <f>IFERROR(__xludf.DUMMYFUNCTION("""COMPUTED_VALUE"""),16.0)</f>
        <v>16</v>
      </c>
      <c r="AT2411" s="82">
        <f>IFERROR(__xludf.DUMMYFUNCTION("""COMPUTED_VALUE"""),0.3572530455218765)</f>
        <v>0.3572530455</v>
      </c>
      <c r="AU2411" s="82">
        <f>IFERROR(__xludf.DUMMYFUNCTION("""COMPUTED_VALUE"""),1.665133144872296)</f>
        <v>1.665133145</v>
      </c>
      <c r="AV2411" s="82">
        <f>IFERROR(__xludf.DUMMYFUNCTION("""COMPUTED_VALUE"""),19.250957193560435)</f>
        <v>19.25095719</v>
      </c>
      <c r="AW2411" s="82">
        <f t="shared" si="1"/>
        <v>-9.144468959</v>
      </c>
      <c r="AX2411" s="83">
        <f t="array" ref="AX2411">IFERROR(DGET('SBV Import'!A:G,"SBV",{"RSC ID","Tier";B2411,A2411}))</f>
        <v>5.569782378</v>
      </c>
      <c r="AY2411" s="82">
        <f t="shared" si="2"/>
        <v>-26.47817463</v>
      </c>
      <c r="AZ2411" s="82">
        <v>17.333705668727703</v>
      </c>
      <c r="BA2411" s="84">
        <v>2300.0</v>
      </c>
      <c r="BB2411" s="84" t="b">
        <f>IFERROR(__xludf.DUMMYFUNCTION("iferror(if(A2411="""",,E2411&gt;=FILTER(Constants!$F$2:$F$10,Constants!$A$2:$A$10=A2411)))"),TRUE)</f>
        <v>1</v>
      </c>
    </row>
    <row r="2412">
      <c r="A2412" s="89" t="str">
        <f>IFERROR(__xludf.DUMMYFUNCTION("""COMPUTED_VALUE"""),"Challenger")</f>
        <v>Challenger</v>
      </c>
      <c r="B2412" s="87" t="str">
        <f>IFERROR(__xludf.DUMMYFUNCTION("""COMPUTED_VALUE"""),"RSC006187")</f>
        <v>RSC006187</v>
      </c>
      <c r="C2412" s="73" t="str">
        <f>IFERROR(__xludf.DUMMYFUNCTION("""COMPUTED_VALUE"""),"1985 Fiat Panda")</f>
        <v>1985 Fiat Panda</v>
      </c>
      <c r="D2412" s="73" t="str">
        <f>IFERROR(__xludf.DUMMYFUNCTION("""COMPUTED_VALUE"""),"Quarter")</f>
        <v>Quarter</v>
      </c>
      <c r="E2412" s="82">
        <f>IFERROR(__xludf.DUMMYFUNCTION("""COMPUTED_VALUE"""),41.0)</f>
        <v>41</v>
      </c>
      <c r="F2412" s="82">
        <f>IFERROR(__xludf.DUMMYFUNCTION("""COMPUTED_VALUE"""),11.0)</f>
        <v>11</v>
      </c>
      <c r="G2412" s="86">
        <f>IFERROR(__xludf.DUMMYFUNCTION("""COMPUTED_VALUE"""),30.0)</f>
        <v>30</v>
      </c>
      <c r="H2412" s="86">
        <f>IFERROR(__xludf.DUMMYFUNCTION("""COMPUTED_VALUE"""),0.2682926829268293)</f>
        <v>0.2682926829</v>
      </c>
      <c r="I2412" s="86">
        <f>IFERROR(__xludf.DUMMYFUNCTION("""COMPUTED_VALUE"""),0.3235294117647059)</f>
        <v>0.3235294118</v>
      </c>
      <c r="J2412" s="82">
        <f>IFERROR(__xludf.DUMMYFUNCTION("""COMPUTED_VALUE"""),300.4878048780488)</f>
        <v>300.4878049</v>
      </c>
      <c r="K2412" s="82">
        <f>IFERROR(__xludf.DUMMYFUNCTION("""COMPUTED_VALUE"""),0.5365853658536586)</f>
        <v>0.5365853659</v>
      </c>
      <c r="L2412" s="82">
        <f>IFERROR(__xludf.DUMMYFUNCTION("""COMPUTED_VALUE"""),0.2682926829268293)</f>
        <v>0.2682926829</v>
      </c>
      <c r="M2412" s="82">
        <f>IFERROR(__xludf.DUMMYFUNCTION("""COMPUTED_VALUE"""),1.2926829268292683)</f>
        <v>1.292682927</v>
      </c>
      <c r="N2412" s="82">
        <f>IFERROR(__xludf.DUMMYFUNCTION("""COMPUTED_VALUE"""),1.6585365853658536)</f>
        <v>1.658536585</v>
      </c>
      <c r="O2412" s="82">
        <f>IFERROR(__xludf.DUMMYFUNCTION("""COMPUTED_VALUE"""),350.34959349593487)</f>
        <v>350.3495935</v>
      </c>
      <c r="P2412" s="82">
        <f>IFERROR(__xludf.DUMMYFUNCTION("""COMPUTED_VALUE"""),0.934959349593496)</f>
        <v>0.9349593496</v>
      </c>
      <c r="Q2412" s="82">
        <f>IFERROR(__xludf.DUMMYFUNCTION("""COMPUTED_VALUE"""),0.6260162601626015)</f>
        <v>0.6260162602</v>
      </c>
      <c r="R2412" s="82">
        <f>IFERROR(__xludf.DUMMYFUNCTION("""COMPUTED_VALUE"""),0.9837398373983742)</f>
        <v>0.9837398374</v>
      </c>
      <c r="S2412" s="82">
        <f>IFERROR(__xludf.DUMMYFUNCTION("""COMPUTED_VALUE"""),2.7804878048780486)</f>
        <v>2.780487805</v>
      </c>
      <c r="T2412" s="82">
        <f>IFERROR(__xludf.DUMMYFUNCTION("""COMPUTED_VALUE"""),340.7332221446508)</f>
        <v>340.7332221</v>
      </c>
      <c r="U2412" s="82">
        <f>IFERROR(__xludf.DUMMYFUNCTION("""COMPUTED_VALUE"""),0.7952265061594369)</f>
        <v>0.7952265062</v>
      </c>
      <c r="V2412" s="82">
        <f>IFERROR(__xludf.DUMMYFUNCTION("""COMPUTED_VALUE"""),0.5501033571000937)</f>
        <v>0.5501033571</v>
      </c>
      <c r="W2412" s="82">
        <f>IFERROR(__xludf.DUMMYFUNCTION("""COMPUTED_VALUE"""),1.2232293378153183)</f>
        <v>1.223229338</v>
      </c>
      <c r="X2412" s="82">
        <f>IFERROR(__xludf.DUMMYFUNCTION("""COMPUTED_VALUE"""),2.5082316296268052)</f>
        <v>2.50823163</v>
      </c>
      <c r="Y2412" s="82">
        <f>IFERROR(__xludf.DUMMYFUNCTION("""COMPUTED_VALUE"""),335.3943726963004)</f>
        <v>335.3943727</v>
      </c>
      <c r="Z2412" s="82">
        <f>IFERROR(__xludf.DUMMYFUNCTION("""COMPUTED_VALUE"""),0.7719683087952075)</f>
        <v>0.7719683088</v>
      </c>
      <c r="AA2412" s="82">
        <f>IFERROR(__xludf.DUMMYFUNCTION("""COMPUTED_VALUE"""),0.5112243621455581)</f>
        <v>0.5112243621</v>
      </c>
      <c r="AB2412" s="82">
        <f>IFERROR(__xludf.DUMMYFUNCTION("""COMPUTED_VALUE"""),1.2445846393085678)</f>
        <v>1.244584639</v>
      </c>
      <c r="AC2412" s="82">
        <f>IFERROR(__xludf.DUMMYFUNCTION("""COMPUTED_VALUE"""),2.4399323069060475)</f>
        <v>2.439932307</v>
      </c>
      <c r="AD2412" s="82">
        <f>IFERROR(__xludf.DUMMYFUNCTION("""COMPUTED_VALUE"""),0.8959238119064701)</f>
        <v>0.8959238119</v>
      </c>
      <c r="AE2412" s="82">
        <f>IFERROR(__xludf.DUMMYFUNCTION("""COMPUTED_VALUE"""),0.6950872979372619)</f>
        <v>0.6950872979</v>
      </c>
      <c r="AF2412" s="82">
        <f>IFERROR(__xludf.DUMMYFUNCTION("""COMPUTED_VALUE"""),0.5248041814768596)</f>
        <v>0.5248041815</v>
      </c>
      <c r="AG2412" s="82">
        <f>IFERROR(__xludf.DUMMYFUNCTION("""COMPUTED_VALUE"""),1.0386460558820827)</f>
        <v>1.038646056</v>
      </c>
      <c r="AH2412" s="82">
        <f>IFERROR(__xludf.DUMMYFUNCTION("""COMPUTED_VALUE"""),0.6797469670250641)</f>
        <v>0.679746967</v>
      </c>
      <c r="AI2412" s="82">
        <f>IFERROR(__xludf.DUMMYFUNCTION("""COMPUTED_VALUE"""),1.028222582144343)</f>
        <v>1.028222582</v>
      </c>
      <c r="AJ2412" s="82">
        <f>IFERROR(__xludf.DUMMYFUNCTION("""COMPUTED_VALUE"""),1.1757145195133167)</f>
        <v>1.17571452</v>
      </c>
      <c r="AK2412" s="82">
        <f>IFERROR(__xludf.DUMMYFUNCTION("""COMPUTED_VALUE"""),1.1379975273422938)</f>
        <v>1.137997527</v>
      </c>
      <c r="AL2412" s="82">
        <f>IFERROR(__xludf.DUMMYFUNCTION("""COMPUTED_VALUE"""),0.8042153723645387)</f>
        <v>0.8042153724</v>
      </c>
      <c r="AM2412" s="82">
        <f>IFERROR(__xludf.DUMMYFUNCTION("""COMPUTED_VALUE"""),1.1085450689782395)</f>
        <v>1.108545069</v>
      </c>
      <c r="AN2412" s="82">
        <f>IFERROR(__xludf.DUMMYFUNCTION("""COMPUTED_VALUE"""),0.9236699302974638)</f>
        <v>0.9236699303</v>
      </c>
      <c r="AO2412" s="82">
        <f>IFERROR(__xludf.DUMMYFUNCTION("""COMPUTED_VALUE"""),0.7341997294602626)</f>
        <v>0.7341997295</v>
      </c>
      <c r="AP2412" s="82">
        <f>IFERROR(__xludf.DUMMYFUNCTION("""COMPUTED_VALUE"""),0.5203996460846388)</f>
        <v>0.5203996461</v>
      </c>
      <c r="AQ2412" s="82">
        <f>IFERROR(__xludf.DUMMYFUNCTION("""COMPUTED_VALUE"""),1.0721305214467003)</f>
        <v>1.072130521</v>
      </c>
      <c r="AR2412" s="82">
        <f>IFERROR(__xludf.DUMMYFUNCTION("""COMPUTED_VALUE"""),0.6969877126654124)</f>
        <v>0.6969877127</v>
      </c>
      <c r="AS2412" s="82">
        <f>IFERROR(__xludf.DUMMYFUNCTION("""COMPUTED_VALUE"""),76.0)</f>
        <v>76</v>
      </c>
      <c r="AT2412" s="82">
        <f>IFERROR(__xludf.DUMMYFUNCTION("""COMPUTED_VALUE"""),0.34430587460104833)</f>
        <v>0.3443058746</v>
      </c>
      <c r="AU2412" s="82">
        <f>IFERROR(__xludf.DUMMYFUNCTION("""COMPUTED_VALUE"""),1.5689008647689375)</f>
        <v>1.568900865</v>
      </c>
      <c r="AV2412" s="82">
        <f>IFERROR(__xludf.DUMMYFUNCTION("""COMPUTED_VALUE"""),16.73946205887482)</f>
        <v>16.73946206</v>
      </c>
      <c r="AW2412" s="82">
        <f t="shared" si="1"/>
        <v>-10.90634873</v>
      </c>
      <c r="AX2412" s="83">
        <f t="array" ref="AX2412">IFERROR(DGET('SBV Import'!A:G,"SBV",{"RSC ID","Tier";B2412,A2412}))</f>
        <v>24.89787972</v>
      </c>
      <c r="AY2412" s="82">
        <f t="shared" si="2"/>
        <v>-6.342406165</v>
      </c>
      <c r="AZ2412" s="82">
        <v>4.563942560820246</v>
      </c>
      <c r="BA2412" s="84">
        <v>2300.0</v>
      </c>
      <c r="BB2412" s="84" t="b">
        <f>IFERROR(__xludf.DUMMYFUNCTION("iferror(if(A2412="""",,E2412&gt;=FILTER(Constants!$F$2:$F$10,Constants!$A$2:$A$10=A2412)))"),TRUE)</f>
        <v>1</v>
      </c>
    </row>
    <row r="2413">
      <c r="A2413" s="89" t="str">
        <f>IFERROR(__xludf.DUMMYFUNCTION("""COMPUTED_VALUE"""),"Challenger")</f>
        <v>Challenger</v>
      </c>
      <c r="B2413" s="87" t="str">
        <f>IFERROR(__xludf.DUMMYFUNCTION("""COMPUTED_VALUE"""),"RSC006066")</f>
        <v>RSC006066</v>
      </c>
      <c r="C2413" s="73" t="str">
        <f>IFERROR(__xludf.DUMMYFUNCTION("""COMPUTED_VALUE"""),"GoldenTiger5")</f>
        <v>GoldenTiger5</v>
      </c>
      <c r="D2413" s="73"/>
      <c r="E2413" s="82">
        <f>IFERROR(__xludf.DUMMYFUNCTION("""COMPUTED_VALUE"""),4.0)</f>
        <v>4</v>
      </c>
      <c r="F2413" s="82">
        <f>IFERROR(__xludf.DUMMYFUNCTION("""COMPUTED_VALUE"""),0.0)</f>
        <v>0</v>
      </c>
      <c r="G2413" s="86">
        <f>IFERROR(__xludf.DUMMYFUNCTION("""COMPUTED_VALUE"""),4.0)</f>
        <v>4</v>
      </c>
      <c r="H2413" s="86">
        <f>IFERROR(__xludf.DUMMYFUNCTION("""COMPUTED_VALUE"""),0.0)</f>
        <v>0</v>
      </c>
      <c r="I2413" s="86">
        <f>IFERROR(__xludf.DUMMYFUNCTION("""COMPUTED_VALUE"""),0.08333333333333333)</f>
        <v>0.08333333333</v>
      </c>
      <c r="J2413" s="82">
        <f>IFERROR(__xludf.DUMMYFUNCTION("""COMPUTED_VALUE"""),286.25)</f>
        <v>286.25</v>
      </c>
      <c r="K2413" s="82">
        <f>IFERROR(__xludf.DUMMYFUNCTION("""COMPUTED_VALUE"""),0.25)</f>
        <v>0.25</v>
      </c>
      <c r="L2413" s="82">
        <f>IFERROR(__xludf.DUMMYFUNCTION("""COMPUTED_VALUE"""),0.25)</f>
        <v>0.25</v>
      </c>
      <c r="M2413" s="82">
        <f>IFERROR(__xludf.DUMMYFUNCTION("""COMPUTED_VALUE"""),1.5)</f>
        <v>1.5</v>
      </c>
      <c r="N2413" s="82">
        <f>IFERROR(__xludf.DUMMYFUNCTION("""COMPUTED_VALUE"""),3.0)</f>
        <v>3</v>
      </c>
      <c r="O2413" s="82">
        <f>IFERROR(__xludf.DUMMYFUNCTION("""COMPUTED_VALUE"""),483.1666666666667)</f>
        <v>483.1666667</v>
      </c>
      <c r="P2413" s="82">
        <f>IFERROR(__xludf.DUMMYFUNCTION("""COMPUTED_VALUE"""),0.8333333333333333)</f>
        <v>0.8333333333</v>
      </c>
      <c r="Q2413" s="82">
        <f>IFERROR(__xludf.DUMMYFUNCTION("""COMPUTED_VALUE"""),0.41666666666666663)</f>
        <v>0.4166666667</v>
      </c>
      <c r="R2413" s="82">
        <f>IFERROR(__xludf.DUMMYFUNCTION("""COMPUTED_VALUE"""),2.4166666666666665)</f>
        <v>2.416666667</v>
      </c>
      <c r="S2413" s="82">
        <f>IFERROR(__xludf.DUMMYFUNCTION("""COMPUTED_VALUE"""),3.666666666666667)</f>
        <v>3.666666667</v>
      </c>
      <c r="T2413" s="82">
        <f>IFERROR(__xludf.DUMMYFUNCTION("""COMPUTED_VALUE"""),353.7858809257186)</f>
        <v>353.7858809</v>
      </c>
      <c r="U2413" s="82">
        <f>IFERROR(__xludf.DUMMYFUNCTION("""COMPUTED_VALUE"""),0.7863864003981584)</f>
        <v>0.7863864004</v>
      </c>
      <c r="V2413" s="82">
        <f>IFERROR(__xludf.DUMMYFUNCTION("""COMPUTED_VALUE"""),0.4734975737215379)</f>
        <v>0.4734975737</v>
      </c>
      <c r="W2413" s="82">
        <f>IFERROR(__xludf.DUMMYFUNCTION("""COMPUTED_VALUE"""),1.4058184023889513)</f>
        <v>1.405818402</v>
      </c>
      <c r="X2413" s="82">
        <f>IFERROR(__xludf.DUMMYFUNCTION("""COMPUTED_VALUE"""),2.5670492721164613)</f>
        <v>2.567049272</v>
      </c>
      <c r="Y2413" s="82">
        <f>IFERROR(__xludf.DUMMYFUNCTION("""COMPUTED_VALUE"""),335.188614636473)</f>
        <v>335.1886146</v>
      </c>
      <c r="Z2413" s="82">
        <f>IFERROR(__xludf.DUMMYFUNCTION("""COMPUTED_VALUE"""),0.7390636016755837)</f>
        <v>0.7390636017</v>
      </c>
      <c r="AA2413" s="82">
        <f>IFERROR(__xludf.DUMMYFUNCTION("""COMPUTED_VALUE"""),0.5080772261623326)</f>
        <v>0.5080772262</v>
      </c>
      <c r="AB2413" s="82">
        <f>IFERROR(__xludf.DUMMYFUNCTION("""COMPUTED_VALUE"""),1.271997221185351)</f>
        <v>1.271997221</v>
      </c>
      <c r="AC2413" s="82">
        <f>IFERROR(__xludf.DUMMYFUNCTION("""COMPUTED_VALUE"""),2.591656816390859)</f>
        <v>2.591656816</v>
      </c>
      <c r="AD2413" s="82">
        <f>IFERROR(__xludf.DUMMYFUNCTION("""COMPUTED_VALUE"""),0.8539967871833919)</f>
        <v>0.8539967872</v>
      </c>
      <c r="AE2413" s="82">
        <f>IFERROR(__xludf.DUMMYFUNCTION("""COMPUTED_VALUE"""),0.33826588054560824)</f>
        <v>0.3382658805</v>
      </c>
      <c r="AF2413" s="82">
        <f>IFERROR(__xludf.DUMMYFUNCTION("""COMPUTED_VALUE"""),0.49205118262892583)</f>
        <v>0.4920511826</v>
      </c>
      <c r="AG2413" s="82">
        <f>IFERROR(__xludf.DUMMYFUNCTION("""COMPUTED_VALUE"""),1.1792478592069386)</f>
        <v>1.179247859</v>
      </c>
      <c r="AH2413" s="82">
        <f>IFERROR(__xludf.DUMMYFUNCTION("""COMPUTED_VALUE"""),1.1575606696946086)</f>
        <v>1.15756067</v>
      </c>
      <c r="AI2413" s="82">
        <f>IFERROR(__xludf.DUMMYFUNCTION("""COMPUTED_VALUE"""),1.3657036436909507)</f>
        <v>1.365703644</v>
      </c>
      <c r="AJ2413" s="82">
        <f>IFERROR(__xludf.DUMMYFUNCTION("""COMPUTED_VALUE"""),1.059699573786379)</f>
        <v>1.059699574</v>
      </c>
      <c r="AK2413" s="82">
        <f>IFERROR(__xludf.DUMMYFUNCTION("""COMPUTED_VALUE"""),0.8799763500197082)</f>
        <v>0.87997635</v>
      </c>
      <c r="AL2413" s="82">
        <f>IFERROR(__xludf.DUMMYFUNCTION("""COMPUTED_VALUE"""),1.7190461175923926)</f>
        <v>1.719046118</v>
      </c>
      <c r="AM2413" s="82">
        <f>IFERROR(__xludf.DUMMYFUNCTION("""COMPUTED_VALUE"""),1.4283585073704492)</f>
        <v>1.428358507</v>
      </c>
      <c r="AN2413" s="82">
        <f>IFERROR(__xludf.DUMMYFUNCTION("""COMPUTED_VALUE"""),0.8799043197608448)</f>
        <v>0.8799043198</v>
      </c>
      <c r="AO2413" s="82">
        <f>IFERROR(__xludf.DUMMYFUNCTION("""COMPUTED_VALUE"""),0.3420703284985314)</f>
        <v>0.3420703285</v>
      </c>
      <c r="AP2413" s="82">
        <f>IFERROR(__xludf.DUMMYFUNCTION("""COMPUTED_VALUE"""),0.4849178520334135)</f>
        <v>0.484917852</v>
      </c>
      <c r="AQ2413" s="82">
        <f>IFERROR(__xludf.DUMMYFUNCTION("""COMPUTED_VALUE"""),1.244075982433435)</f>
        <v>1.244075982</v>
      </c>
      <c r="AR2413" s="82">
        <f>IFERROR(__xludf.DUMMYFUNCTION("""COMPUTED_VALUE"""),1.2607277743800842)</f>
        <v>1.260727774</v>
      </c>
      <c r="AS2413" s="82">
        <f>IFERROR(__xludf.DUMMYFUNCTION("""COMPUTED_VALUE"""),5.0)</f>
        <v>5</v>
      </c>
      <c r="AT2413" s="82">
        <f>IFERROR(__xludf.DUMMYFUNCTION("""COMPUTED_VALUE"""),0.26641002694967897)</f>
        <v>0.2664100269</v>
      </c>
      <c r="AU2413" s="82">
        <f>IFERROR(__xludf.DUMMYFUNCTION("""COMPUTED_VALUE"""),1.5428293539131626)</f>
        <v>1.542829354</v>
      </c>
      <c r="AV2413" s="82">
        <f>IFERROR(__xludf.DUMMYFUNCTION("""COMPUTED_VALUE"""),16.05904097150315)</f>
        <v>16.05904097</v>
      </c>
      <c r="AW2413" s="82">
        <f t="shared" si="1"/>
        <v>-11.45616676</v>
      </c>
      <c r="AX2413" s="83">
        <f t="array" ref="AX2413">IFERROR(DGET('SBV Import'!A:G,"SBV",{"RSC ID","Tier";B2413,A2413}))</f>
        <v>-0.06667857252</v>
      </c>
      <c r="AY2413" s="82">
        <f t="shared" si="2"/>
        <v>-44.23503796</v>
      </c>
      <c r="AZ2413" s="82">
        <v>32.77887120144937</v>
      </c>
      <c r="BA2413" s="84">
        <v>2300.0</v>
      </c>
      <c r="BB2413" s="84" t="b">
        <f>IFERROR(__xludf.DUMMYFUNCTION("iferror(if(A2413="""",,E2413&gt;=FILTER(Constants!$F$2:$F$10,Constants!$A$2:$A$10=A2413)))"),TRUE)</f>
        <v>1</v>
      </c>
    </row>
    <row r="2414">
      <c r="A2414" s="89" t="str">
        <f>IFERROR(__xludf.DUMMYFUNCTION("""COMPUTED_VALUE"""),"Challenger")</f>
        <v>Challenger</v>
      </c>
      <c r="B2414" s="87" t="str">
        <f>IFERROR(__xludf.DUMMYFUNCTION("""COMPUTED_VALUE"""),"RSC006413")</f>
        <v>RSC006413</v>
      </c>
      <c r="C2414" s="73" t="str">
        <f>IFERROR(__xludf.DUMMYFUNCTION("""COMPUTED_VALUE"""),"BlueFlre")</f>
        <v>BlueFlre</v>
      </c>
      <c r="D2414" s="73" t="str">
        <f>IFERROR(__xludf.DUMMYFUNCTION("""COMPUTED_VALUE"""),"Shade")</f>
        <v>Shade</v>
      </c>
      <c r="E2414" s="82">
        <f>IFERROR(__xludf.DUMMYFUNCTION("""COMPUTED_VALUE"""),26.0)</f>
        <v>26</v>
      </c>
      <c r="F2414" s="82">
        <f>IFERROR(__xludf.DUMMYFUNCTION("""COMPUTED_VALUE"""),10.0)</f>
        <v>10</v>
      </c>
      <c r="G2414" s="86">
        <f>IFERROR(__xludf.DUMMYFUNCTION("""COMPUTED_VALUE"""),16.0)</f>
        <v>16</v>
      </c>
      <c r="H2414" s="86">
        <f>IFERROR(__xludf.DUMMYFUNCTION("""COMPUTED_VALUE"""),0.38461538461538464)</f>
        <v>0.3846153846</v>
      </c>
      <c r="I2414" s="86">
        <f>IFERROR(__xludf.DUMMYFUNCTION("""COMPUTED_VALUE"""),0.23404255319148937)</f>
        <v>0.2340425532</v>
      </c>
      <c r="J2414" s="82">
        <f>IFERROR(__xludf.DUMMYFUNCTION("""COMPUTED_VALUE"""),262.8076923076923)</f>
        <v>262.8076923</v>
      </c>
      <c r="K2414" s="82">
        <f>IFERROR(__xludf.DUMMYFUNCTION("""COMPUTED_VALUE"""),0.4230769230769231)</f>
        <v>0.4230769231</v>
      </c>
      <c r="L2414" s="82">
        <f>IFERROR(__xludf.DUMMYFUNCTION("""COMPUTED_VALUE"""),0.2692307692307692)</f>
        <v>0.2692307692</v>
      </c>
      <c r="M2414" s="82">
        <f>IFERROR(__xludf.DUMMYFUNCTION("""COMPUTED_VALUE"""),0.9615384615384616)</f>
        <v>0.9615384615</v>
      </c>
      <c r="N2414" s="82">
        <f>IFERROR(__xludf.DUMMYFUNCTION("""COMPUTED_VALUE"""),1.8076923076923077)</f>
        <v>1.807692308</v>
      </c>
      <c r="O2414" s="82">
        <f>IFERROR(__xludf.DUMMYFUNCTION("""COMPUTED_VALUE"""),333.43589743589746)</f>
        <v>333.4358974</v>
      </c>
      <c r="P2414" s="82">
        <f>IFERROR(__xludf.DUMMYFUNCTION("""COMPUTED_VALUE"""),0.7948717948717949)</f>
        <v>0.7948717949</v>
      </c>
      <c r="Q2414" s="82">
        <f>IFERROR(__xludf.DUMMYFUNCTION("""COMPUTED_VALUE"""),0.5128205128205129)</f>
        <v>0.5128205128</v>
      </c>
      <c r="R2414" s="82">
        <f>IFERROR(__xludf.DUMMYFUNCTION("""COMPUTED_VALUE"""),1.2564102564102564)</f>
        <v>1.256410256</v>
      </c>
      <c r="S2414" s="82">
        <f>IFERROR(__xludf.DUMMYFUNCTION("""COMPUTED_VALUE"""),2.141025641025641)</f>
        <v>2.141025641</v>
      </c>
      <c r="T2414" s="82">
        <f>IFERROR(__xludf.DUMMYFUNCTION("""COMPUTED_VALUE"""),330.02939590066336)</f>
        <v>330.0293959</v>
      </c>
      <c r="U2414" s="82">
        <f>IFERROR(__xludf.DUMMYFUNCTION("""COMPUTED_VALUE"""),0.755809324587456)</f>
        <v>0.7558093246</v>
      </c>
      <c r="V2414" s="82">
        <f>IFERROR(__xludf.DUMMYFUNCTION("""COMPUTED_VALUE"""),0.5002876845083198)</f>
        <v>0.5002876845</v>
      </c>
      <c r="W2414" s="82">
        <f>IFERROR(__xludf.DUMMYFUNCTION("""COMPUTED_VALUE"""),1.2220749694279975)</f>
        <v>1.222074969</v>
      </c>
      <c r="X2414" s="82">
        <f>IFERROR(__xludf.DUMMYFUNCTION("""COMPUTED_VALUE"""),2.3800743067676216)</f>
        <v>2.380074307</v>
      </c>
      <c r="Y2414" s="82">
        <f>IFERROR(__xludf.DUMMYFUNCTION("""COMPUTED_VALUE"""),331.69969027449855)</f>
        <v>331.6996903</v>
      </c>
      <c r="Z2414" s="82">
        <f>IFERROR(__xludf.DUMMYFUNCTION("""COMPUTED_VALUE"""),0.7559471569202731)</f>
        <v>0.7559471569</v>
      </c>
      <c r="AA2414" s="82">
        <f>IFERROR(__xludf.DUMMYFUNCTION("""COMPUTED_VALUE"""),0.5386659317697002)</f>
        <v>0.5386659318</v>
      </c>
      <c r="AB2414" s="82">
        <f>IFERROR(__xludf.DUMMYFUNCTION("""COMPUTED_VALUE"""),1.1896878251146328)</f>
        <v>1.189687825</v>
      </c>
      <c r="AC2414" s="82">
        <f>IFERROR(__xludf.DUMMYFUNCTION("""COMPUTED_VALUE"""),2.4512045806694336)</f>
        <v>2.451204581</v>
      </c>
      <c r="AD2414" s="82">
        <f>IFERROR(__xludf.DUMMYFUNCTION("""COMPUTED_VALUE"""),0.7923061130693413)</f>
        <v>0.7923061131</v>
      </c>
      <c r="AE2414" s="82">
        <f>IFERROR(__xludf.DUMMYFUNCTION("""COMPUTED_VALUE"""),0.5596646792092418)</f>
        <v>0.5596646792</v>
      </c>
      <c r="AF2414" s="82">
        <f>IFERROR(__xludf.DUMMYFUNCTION("""COMPUTED_VALUE"""),0.4998102782298759)</f>
        <v>0.4998102782</v>
      </c>
      <c r="AG2414" s="82">
        <f>IFERROR(__xludf.DUMMYFUNCTION("""COMPUTED_VALUE"""),0.8082275377120988)</f>
        <v>0.8082275377</v>
      </c>
      <c r="AH2414" s="82">
        <f>IFERROR(__xludf.DUMMYFUNCTION("""COMPUTED_VALUE"""),0.7374710058670908)</f>
        <v>0.7374710059</v>
      </c>
      <c r="AI2414" s="82">
        <f>IFERROR(__xludf.DUMMYFUNCTION("""COMPUTED_VALUE"""),1.010321812473515)</f>
        <v>1.010321812</v>
      </c>
      <c r="AJ2414" s="82">
        <f>IFERROR(__xludf.DUMMYFUNCTION("""COMPUTED_VALUE"""),1.051682969518351)</f>
        <v>1.05168297</v>
      </c>
      <c r="AK2414" s="82">
        <f>IFERROR(__xludf.DUMMYFUNCTION("""COMPUTED_VALUE"""),1.0250512429153842)</f>
        <v>1.025051243</v>
      </c>
      <c r="AL2414" s="82">
        <f>IFERROR(__xludf.DUMMYFUNCTION("""COMPUTED_VALUE"""),1.028095892511676)</f>
        <v>1.028095893</v>
      </c>
      <c r="AM2414" s="82">
        <f>IFERROR(__xludf.DUMMYFUNCTION("""COMPUTED_VALUE"""),0.8995625199338282)</f>
        <v>0.8995625199</v>
      </c>
      <c r="AN2414" s="82">
        <f>IFERROR(__xludf.DUMMYFUNCTION("""COMPUTED_VALUE"""),0.8078449737219823)</f>
        <v>0.8078449737</v>
      </c>
      <c r="AO2414" s="82">
        <f>IFERROR(__xludf.DUMMYFUNCTION("""COMPUTED_VALUE"""),0.5788882482282839)</f>
        <v>0.5788882482</v>
      </c>
      <c r="AP2414" s="82">
        <f>IFERROR(__xludf.DUMMYFUNCTION("""COMPUTED_VALUE"""),0.5222192252667529)</f>
        <v>0.5222192253</v>
      </c>
      <c r="AQ2414" s="82">
        <f>IFERROR(__xludf.DUMMYFUNCTION("""COMPUTED_VALUE"""),0.7974846041239969)</f>
        <v>0.7974846041</v>
      </c>
      <c r="AR2414" s="82">
        <f>IFERROR(__xludf.DUMMYFUNCTION("""COMPUTED_VALUE"""),0.7596692999469739)</f>
        <v>0.7596692999</v>
      </c>
      <c r="AS2414" s="82">
        <f>IFERROR(__xludf.DUMMYFUNCTION("""COMPUTED_VALUE"""),37.0)</f>
        <v>37</v>
      </c>
      <c r="AT2414" s="82">
        <f>IFERROR(__xludf.DUMMYFUNCTION("""COMPUTED_VALUE"""),0.31915169713744124)</f>
        <v>0.3191516971</v>
      </c>
      <c r="AU2414" s="82">
        <f>IFERROR(__xludf.DUMMYFUNCTION("""COMPUTED_VALUE"""),1.4802466268828698)</f>
        <v>1.480246627</v>
      </c>
      <c r="AV2414" s="82">
        <f>IFERROR(__xludf.DUMMYFUNCTION("""COMPUTED_VALUE"""),14.425740645634086)</f>
        <v>14.42574065</v>
      </c>
      <c r="AW2414" s="82">
        <f t="shared" si="1"/>
        <v>-12.92451009</v>
      </c>
      <c r="AX2414" s="83">
        <f t="array" ref="AX2414">IFERROR(DGET('SBV Import'!A:G,"SBV",{"RSC ID","Tier";B2414,A2414}))</f>
        <v>25.74815986</v>
      </c>
      <c r="AY2414" s="82">
        <f t="shared" si="2"/>
        <v>-6.023918493</v>
      </c>
      <c r="AZ2414" s="82">
        <v>6.900591593541233</v>
      </c>
      <c r="BA2414" s="84">
        <v>2300.0</v>
      </c>
      <c r="BB2414" s="84" t="b">
        <f>IFERROR(__xludf.DUMMYFUNCTION("iferror(if(A2414="""",,E2414&gt;=FILTER(Constants!$F$2:$F$10,Constants!$A$2:$A$10=A2414)))"),TRUE)</f>
        <v>1</v>
      </c>
    </row>
    <row r="2415">
      <c r="A2415" s="89" t="str">
        <f>IFERROR(__xludf.DUMMYFUNCTION("""COMPUTED_VALUE"""),"Challenger")</f>
        <v>Challenger</v>
      </c>
      <c r="B2415" s="87" t="str">
        <f>IFERROR(__xludf.DUMMYFUNCTION("""COMPUTED_VALUE"""),"RSC005154")</f>
        <v>RSC005154</v>
      </c>
      <c r="C2415" s="73" t="str">
        <f>IFERROR(__xludf.DUMMYFUNCTION("""COMPUTED_VALUE"""),"TacoBae")</f>
        <v>TacoBae</v>
      </c>
      <c r="D2415" s="73" t="str">
        <f>IFERROR(__xludf.DUMMYFUNCTION("""COMPUTED_VALUE"""),"Jock O Lanterns")</f>
        <v>Jock O Lanterns</v>
      </c>
      <c r="E2415" s="82">
        <f>IFERROR(__xludf.DUMMYFUNCTION("""COMPUTED_VALUE"""),35.0)</f>
        <v>35</v>
      </c>
      <c r="F2415" s="82">
        <f>IFERROR(__xludf.DUMMYFUNCTION("""COMPUTED_VALUE"""),10.0)</f>
        <v>10</v>
      </c>
      <c r="G2415" s="86">
        <f>IFERROR(__xludf.DUMMYFUNCTION("""COMPUTED_VALUE"""),25.0)</f>
        <v>25</v>
      </c>
      <c r="H2415" s="86">
        <f>IFERROR(__xludf.DUMMYFUNCTION("""COMPUTED_VALUE"""),0.2857142857142857)</f>
        <v>0.2857142857</v>
      </c>
      <c r="I2415" s="86">
        <f>IFERROR(__xludf.DUMMYFUNCTION("""COMPUTED_VALUE"""),0.23076923076923075)</f>
        <v>0.2307692308</v>
      </c>
      <c r="J2415" s="82">
        <f>IFERROR(__xludf.DUMMYFUNCTION("""COMPUTED_VALUE"""),249.94285714285715)</f>
        <v>249.9428571</v>
      </c>
      <c r="K2415" s="82">
        <f>IFERROR(__xludf.DUMMYFUNCTION("""COMPUTED_VALUE"""),0.42857142857142855)</f>
        <v>0.4285714286</v>
      </c>
      <c r="L2415" s="82">
        <f>IFERROR(__xludf.DUMMYFUNCTION("""COMPUTED_VALUE"""),0.45714285714285713)</f>
        <v>0.4571428571</v>
      </c>
      <c r="M2415" s="82">
        <f>IFERROR(__xludf.DUMMYFUNCTION("""COMPUTED_VALUE"""),0.8571428571428571)</f>
        <v>0.8571428571</v>
      </c>
      <c r="N2415" s="82">
        <f>IFERROR(__xludf.DUMMYFUNCTION("""COMPUTED_VALUE"""),1.8571428571428572)</f>
        <v>1.857142857</v>
      </c>
      <c r="O2415" s="82">
        <f>IFERROR(__xludf.DUMMYFUNCTION("""COMPUTED_VALUE"""),376.86666666666673)</f>
        <v>376.8666667</v>
      </c>
      <c r="P2415" s="82">
        <f>IFERROR(__xludf.DUMMYFUNCTION("""COMPUTED_VALUE"""),1.0952380952380953)</f>
        <v>1.095238095</v>
      </c>
      <c r="Q2415" s="82">
        <f>IFERROR(__xludf.DUMMYFUNCTION("""COMPUTED_VALUE"""),0.7047619047619047)</f>
        <v>0.7047619048</v>
      </c>
      <c r="R2415" s="82">
        <f>IFERROR(__xludf.DUMMYFUNCTION("""COMPUTED_VALUE"""),1.1238095238095238)</f>
        <v>1.123809524</v>
      </c>
      <c r="S2415" s="82">
        <f>IFERROR(__xludf.DUMMYFUNCTION("""COMPUTED_VALUE"""),2.5999999999999996)</f>
        <v>2.6</v>
      </c>
      <c r="T2415" s="82">
        <f>IFERROR(__xludf.DUMMYFUNCTION("""COMPUTED_VALUE"""),338.3675415026173)</f>
        <v>338.3675415</v>
      </c>
      <c r="U2415" s="82">
        <f>IFERROR(__xludf.DUMMYFUNCTION("""COMPUTED_VALUE"""),0.7678268543833644)</f>
        <v>0.7678268544</v>
      </c>
      <c r="V2415" s="82">
        <f>IFERROR(__xludf.DUMMYFUNCTION("""COMPUTED_VALUE"""),0.5155834138774298)</f>
        <v>0.5155834139</v>
      </c>
      <c r="W2415" s="82">
        <f>IFERROR(__xludf.DUMMYFUNCTION("""COMPUTED_VALUE"""),1.262774397718004)</f>
        <v>1.262774398</v>
      </c>
      <c r="X2415" s="82">
        <f>IFERROR(__xludf.DUMMYFUNCTION("""COMPUTED_VALUE"""),2.4633153854027703)</f>
        <v>2.463315385</v>
      </c>
      <c r="Y2415" s="82">
        <f>IFERROR(__xludf.DUMMYFUNCTION("""COMPUTED_VALUE"""),336.72790525952615)</f>
        <v>336.7279053</v>
      </c>
      <c r="Z2415" s="82">
        <f>IFERROR(__xludf.DUMMYFUNCTION("""COMPUTED_VALUE"""),0.7620304020458091)</f>
        <v>0.762030402</v>
      </c>
      <c r="AA2415" s="82">
        <f>IFERROR(__xludf.DUMMYFUNCTION("""COMPUTED_VALUE"""),0.5161809612339935)</f>
        <v>0.5161809612</v>
      </c>
      <c r="AB2415" s="82">
        <f>IFERROR(__xludf.DUMMYFUNCTION("""COMPUTED_VALUE"""),1.223715138423004)</f>
        <v>1.223715138</v>
      </c>
      <c r="AC2415" s="82">
        <f>IFERROR(__xludf.DUMMYFUNCTION("""COMPUTED_VALUE"""),2.451979395506687)</f>
        <v>2.451979396</v>
      </c>
      <c r="AD2415" s="82">
        <f>IFERROR(__xludf.DUMMYFUNCTION("""COMPUTED_VALUE"""),0.7422695097105741)</f>
        <v>0.7422695097</v>
      </c>
      <c r="AE2415" s="82">
        <f>IFERROR(__xludf.DUMMYFUNCTION("""COMPUTED_VALUE"""),0.5624072575330993)</f>
        <v>0.5624072575</v>
      </c>
      <c r="AF2415" s="82">
        <f>IFERROR(__xludf.DUMMYFUNCTION("""COMPUTED_VALUE"""),0.8856251808474327)</f>
        <v>0.8856251808</v>
      </c>
      <c r="AG2415" s="82">
        <f>IFERROR(__xludf.DUMMYFUNCTION("""COMPUTED_VALUE"""),0.7004431262061962)</f>
        <v>0.7004431262</v>
      </c>
      <c r="AH2415" s="82">
        <f>IFERROR(__xludf.DUMMYFUNCTION("""COMPUTED_VALUE"""),0.7574055722271229)</f>
        <v>0.7574055722</v>
      </c>
      <c r="AI2415" s="82">
        <f>IFERROR(__xludf.DUMMYFUNCTION("""COMPUTED_VALUE"""),1.1137790137703016)</f>
        <v>1.113779014</v>
      </c>
      <c r="AJ2415" s="82">
        <f>IFERROR(__xludf.DUMMYFUNCTION("""COMPUTED_VALUE"""),1.4264128546502484)</f>
        <v>1.426412855</v>
      </c>
      <c r="AK2415" s="82">
        <f>IFERROR(__xludf.DUMMYFUNCTION("""COMPUTED_VALUE"""),1.3669212115683933)</f>
        <v>1.366921212</v>
      </c>
      <c r="AL2415" s="82">
        <f>IFERROR(__xludf.DUMMYFUNCTION("""COMPUTED_VALUE"""),0.889952730939424)</f>
        <v>0.8899527309</v>
      </c>
      <c r="AM2415" s="82">
        <f>IFERROR(__xludf.DUMMYFUNCTION("""COMPUTED_VALUE"""),1.0554880692124124)</f>
        <v>1.055488069</v>
      </c>
      <c r="AN2415" s="82">
        <f>IFERROR(__xludf.DUMMYFUNCTION("""COMPUTED_VALUE"""),0.768299736920062)</f>
        <v>0.7682997369</v>
      </c>
      <c r="AO2415" s="82">
        <f>IFERROR(__xludf.DUMMYFUNCTION("""COMPUTED_VALUE"""),0.5864062774260538)</f>
        <v>0.5864062774</v>
      </c>
      <c r="AP2415" s="82">
        <f>IFERROR(__xludf.DUMMYFUNCTION("""COMPUTED_VALUE"""),0.8867069294325275)</f>
        <v>0.8867069294</v>
      </c>
      <c r="AQ2415" s="82">
        <f>IFERROR(__xludf.DUMMYFUNCTION("""COMPUTED_VALUE"""),0.7109005613905344)</f>
        <v>0.7109005614</v>
      </c>
      <c r="AR2415" s="82">
        <f>IFERROR(__xludf.DUMMYFUNCTION("""COMPUTED_VALUE"""),0.7804505269971951)</f>
        <v>0.780450527</v>
      </c>
      <c r="AS2415" s="82">
        <f>IFERROR(__xludf.DUMMYFUNCTION("""COMPUTED_VALUE"""),69.0)</f>
        <v>69</v>
      </c>
      <c r="AT2415" s="82">
        <f>IFERROR(__xludf.DUMMYFUNCTION("""COMPUTED_VALUE"""),0.30523646865678283)</f>
        <v>0.3052364687</v>
      </c>
      <c r="AU2415" s="82">
        <f>IFERROR(__xludf.DUMMYFUNCTION("""COMPUTED_VALUE"""),1.404235761209629)</f>
        <v>1.404235761</v>
      </c>
      <c r="AV2415" s="82">
        <f>IFERROR(__xludf.DUMMYFUNCTION("""COMPUTED_VALUE"""),12.441989256634997)</f>
        <v>12.44198926</v>
      </c>
      <c r="AW2415" s="82">
        <f t="shared" si="1"/>
        <v>-15.03596886</v>
      </c>
      <c r="AX2415" s="83">
        <f t="array" ref="AX2415">IFERROR(DGET('SBV Import'!A:G,"SBV",{"RSC ID","Tier";B2415,A2415}))</f>
        <v>16.31024517</v>
      </c>
      <c r="AY2415" s="82">
        <f t="shared" si="2"/>
        <v>-11.24921228</v>
      </c>
      <c r="AZ2415" s="82">
        <v>3.7867565767277718</v>
      </c>
      <c r="BA2415" s="84">
        <v>2300.0</v>
      </c>
      <c r="BB2415" s="84" t="b">
        <f>IFERROR(__xludf.DUMMYFUNCTION("iferror(if(A2415="""",,E2415&gt;=FILTER(Constants!$F$2:$F$10,Constants!$A$2:$A$10=A2415)))"),TRUE)</f>
        <v>1</v>
      </c>
    </row>
    <row r="2416">
      <c r="A2416" s="89" t="str">
        <f>IFERROR(__xludf.DUMMYFUNCTION("""COMPUTED_VALUE"""),"Challenger")</f>
        <v>Challenger</v>
      </c>
      <c r="B2416" s="87" t="str">
        <f>IFERROR(__xludf.DUMMYFUNCTION("""COMPUTED_VALUE"""),"RSC007447")</f>
        <v>RSC007447</v>
      </c>
      <c r="C2416" s="73" t="str">
        <f>IFERROR(__xludf.DUMMYFUNCTION("""COMPUTED_VALUE"""),"1R3IGN")</f>
        <v>1R3IGN</v>
      </c>
      <c r="D2416" s="73"/>
      <c r="E2416" s="82">
        <f>IFERROR(__xludf.DUMMYFUNCTION("""COMPUTED_VALUE"""),10.0)</f>
        <v>10</v>
      </c>
      <c r="F2416" s="82">
        <f>IFERROR(__xludf.DUMMYFUNCTION("""COMPUTED_VALUE"""),3.0)</f>
        <v>3</v>
      </c>
      <c r="G2416" s="86">
        <f>IFERROR(__xludf.DUMMYFUNCTION("""COMPUTED_VALUE"""),7.0)</f>
        <v>7</v>
      </c>
      <c r="H2416" s="86">
        <f>IFERROR(__xludf.DUMMYFUNCTION("""COMPUTED_VALUE"""),0.3)</f>
        <v>0.3</v>
      </c>
      <c r="I2416" s="86">
        <f>IFERROR(__xludf.DUMMYFUNCTION("""COMPUTED_VALUE"""),0.35714285714285715)</f>
        <v>0.3571428571</v>
      </c>
      <c r="J2416" s="82">
        <f>IFERROR(__xludf.DUMMYFUNCTION("""COMPUTED_VALUE"""),228.9)</f>
        <v>228.9</v>
      </c>
      <c r="K2416" s="82">
        <f>IFERROR(__xludf.DUMMYFUNCTION("""COMPUTED_VALUE"""),0.5)</f>
        <v>0.5</v>
      </c>
      <c r="L2416" s="82">
        <f>IFERROR(__xludf.DUMMYFUNCTION("""COMPUTED_VALUE"""),0.4)</f>
        <v>0.4</v>
      </c>
      <c r="M2416" s="82">
        <f>IFERROR(__xludf.DUMMYFUNCTION("""COMPUTED_VALUE"""),0.7)</f>
        <v>0.7</v>
      </c>
      <c r="N2416" s="82">
        <f>IFERROR(__xludf.DUMMYFUNCTION("""COMPUTED_VALUE"""),1.4)</f>
        <v>1.4</v>
      </c>
      <c r="O2416" s="82">
        <f>IFERROR(__xludf.DUMMYFUNCTION("""COMPUTED_VALUE"""),331.49999999999994)</f>
        <v>331.5</v>
      </c>
      <c r="P2416" s="82">
        <f>IFERROR(__xludf.DUMMYFUNCTION("""COMPUTED_VALUE"""),0.8666666666666666)</f>
        <v>0.8666666667</v>
      </c>
      <c r="Q2416" s="82">
        <f>IFERROR(__xludf.DUMMYFUNCTION("""COMPUTED_VALUE"""),0.5666666666666667)</f>
        <v>0.5666666667</v>
      </c>
      <c r="R2416" s="82">
        <f>IFERROR(__xludf.DUMMYFUNCTION("""COMPUTED_VALUE"""),0.9333333333333333)</f>
        <v>0.9333333333</v>
      </c>
      <c r="S2416" s="82">
        <f>IFERROR(__xludf.DUMMYFUNCTION("""COMPUTED_VALUE"""),2.2)</f>
        <v>2.2</v>
      </c>
      <c r="T2416" s="82">
        <f>IFERROR(__xludf.DUMMYFUNCTION("""COMPUTED_VALUE"""),323.34887677711384)</f>
        <v>323.3488768</v>
      </c>
      <c r="U2416" s="82">
        <f>IFERROR(__xludf.DUMMYFUNCTION("""COMPUTED_VALUE"""),0.7884025469691001)</f>
        <v>0.788402547</v>
      </c>
      <c r="V2416" s="82">
        <f>IFERROR(__xludf.DUMMYFUNCTION("""COMPUTED_VALUE"""),0.4916109228533491)</f>
        <v>0.4916109229</v>
      </c>
      <c r="W2416" s="82">
        <f>IFERROR(__xludf.DUMMYFUNCTION("""COMPUTED_VALUE"""),1.0907781893846464)</f>
        <v>1.090778189</v>
      </c>
      <c r="X2416" s="82">
        <f>IFERROR(__xludf.DUMMYFUNCTION("""COMPUTED_VALUE"""),2.3659040095041224)</f>
        <v>2.36590401</v>
      </c>
      <c r="Y2416" s="82">
        <f>IFERROR(__xludf.DUMMYFUNCTION("""COMPUTED_VALUE"""),333.64172264041935)</f>
        <v>333.6417226</v>
      </c>
      <c r="Z2416" s="82">
        <f>IFERROR(__xludf.DUMMYFUNCTION("""COMPUTED_VALUE"""),0.7990501842135196)</f>
        <v>0.7990501842</v>
      </c>
      <c r="AA2416" s="82">
        <f>IFERROR(__xludf.DUMMYFUNCTION("""COMPUTED_VALUE"""),0.5427952965500058)</f>
        <v>0.5427952966</v>
      </c>
      <c r="AB2416" s="82">
        <f>IFERROR(__xludf.DUMMYFUNCTION("""COMPUTED_VALUE"""),1.179030402463605)</f>
        <v>1.179030402</v>
      </c>
      <c r="AC2416" s="82">
        <f>IFERROR(__xludf.DUMMYFUNCTION("""COMPUTED_VALUE"""),2.4025933895133194)</f>
        <v>2.40259339</v>
      </c>
      <c r="AD2416" s="82">
        <f>IFERROR(__xludf.DUMMYFUNCTION("""COMPUTED_VALUE"""),0.686065274416221)</f>
        <v>0.6860652744</v>
      </c>
      <c r="AE2416" s="82">
        <f>IFERROR(__xludf.DUMMYFUNCTION("""COMPUTED_VALUE"""),0.6257429256363097)</f>
        <v>0.6257429256</v>
      </c>
      <c r="AF2416" s="82">
        <f>IFERROR(__xludf.DUMMYFUNCTION("""COMPUTED_VALUE"""),0.7369260613391285)</f>
        <v>0.7369260613</v>
      </c>
      <c r="AG2416" s="82">
        <f>IFERROR(__xludf.DUMMYFUNCTION("""COMPUTED_VALUE"""),0.5937081847400522)</f>
        <v>0.5937081847</v>
      </c>
      <c r="AH2416" s="82">
        <f>IFERROR(__xludf.DUMMYFUNCTION("""COMPUTED_VALUE"""),0.5827036759988716)</f>
        <v>0.582703676</v>
      </c>
      <c r="AI2416" s="82">
        <f>IFERROR(__xludf.DUMMYFUNCTION("""COMPUTED_VALUE"""),1.025208447618962)</f>
        <v>1.025208448</v>
      </c>
      <c r="AJ2416" s="82">
        <f>IFERROR(__xludf.DUMMYFUNCTION("""COMPUTED_VALUE"""),1.099269237521418)</f>
        <v>1.099269238</v>
      </c>
      <c r="AK2416" s="82">
        <f>IFERROR(__xludf.DUMMYFUNCTION("""COMPUTED_VALUE"""),1.1526730597800554)</f>
        <v>1.15267306</v>
      </c>
      <c r="AL2416" s="82">
        <f>IFERROR(__xludf.DUMMYFUNCTION("""COMPUTED_VALUE"""),0.8556582286082065)</f>
        <v>0.8556582286</v>
      </c>
      <c r="AM2416" s="82">
        <f>IFERROR(__xludf.DUMMYFUNCTION("""COMPUTED_VALUE"""),0.92987711722975)</f>
        <v>0.9298771172</v>
      </c>
      <c r="AN2416" s="82">
        <f>IFERROR(__xludf.DUMMYFUNCTION("""COMPUTED_VALUE"""),0.7036160656533009)</f>
        <v>0.7036160657</v>
      </c>
      <c r="AO2416" s="82">
        <f>IFERROR(__xludf.DUMMYFUNCTION("""COMPUTED_VALUE"""),0.6841406569970628)</f>
        <v>0.684140657</v>
      </c>
      <c r="AP2416" s="82">
        <f>IFERROR(__xludf.DUMMYFUNCTION("""COMPUTED_VALUE"""),0.7758685632534617)</f>
        <v>0.7758685633</v>
      </c>
      <c r="AQ2416" s="82">
        <f>IFERROR(__xludf.DUMMYFUNCTION("""COMPUTED_VALUE"""),0.5805687918022697)</f>
        <v>0.5805687918</v>
      </c>
      <c r="AR2416" s="82">
        <f>IFERROR(__xludf.DUMMYFUNCTION("""COMPUTED_VALUE"""),0.5883396280440393)</f>
        <v>0.588339628</v>
      </c>
      <c r="AS2416" s="82">
        <f>IFERROR(__xludf.DUMMYFUNCTION("""COMPUTED_VALUE"""),14.0)</f>
        <v>14</v>
      </c>
      <c r="AT2416" s="82">
        <f>IFERROR(__xludf.DUMMYFUNCTION("""COMPUTED_VALUE"""),0.2846462935742301)</f>
        <v>0.2846462936</v>
      </c>
      <c r="AU2416" s="82">
        <f>IFERROR(__xludf.DUMMYFUNCTION("""COMPUTED_VALUE"""),1.4035355524080997)</f>
        <v>1.403535552</v>
      </c>
      <c r="AV2416" s="82">
        <f>IFERROR(__xludf.DUMMYFUNCTION("""COMPUTED_VALUE"""),12.423715024782481)</f>
        <v>12.42371502</v>
      </c>
      <c r="AW2416" s="82">
        <f t="shared" si="1"/>
        <v>-15.05731678</v>
      </c>
      <c r="AX2416" s="83">
        <f t="array" ref="AX2416">IFERROR(DGET('SBV Import'!A:G,"SBV",{"RSC ID","Tier";B2416,A2416}))</f>
        <v>20.62239975</v>
      </c>
      <c r="AY2416" s="82">
        <f t="shared" si="2"/>
        <v>-8.334961895</v>
      </c>
      <c r="AZ2416" s="82">
        <v>6.722354888560387</v>
      </c>
      <c r="BA2416" s="84">
        <v>2300.0</v>
      </c>
      <c r="BB2416" s="84" t="b">
        <f>IFERROR(__xludf.DUMMYFUNCTION("iferror(if(A2416="""",,E2416&gt;=FILTER(Constants!$F$2:$F$10,Constants!$A$2:$A$10=A2416)))"),TRUE)</f>
        <v>1</v>
      </c>
    </row>
    <row r="2417">
      <c r="A2417" s="89" t="str">
        <f>IFERROR(__xludf.DUMMYFUNCTION("""COMPUTED_VALUE"""),"Challenger")</f>
        <v>Challenger</v>
      </c>
      <c r="B2417" s="87" t="str">
        <f>IFERROR(__xludf.DUMMYFUNCTION("""COMPUTED_VALUE"""),"RSC004902")</f>
        <v>RSC004902</v>
      </c>
      <c r="C2417" s="73" t="str">
        <f>IFERROR(__xludf.DUMMYFUNCTION("""COMPUTED_VALUE"""),"cuse42")</f>
        <v>cuse42</v>
      </c>
      <c r="D2417" s="73" t="str">
        <f>IFERROR(__xludf.DUMMYFUNCTION("""COMPUTED_VALUE"""),"Hydras")</f>
        <v>Hydras</v>
      </c>
      <c r="E2417" s="82">
        <f>IFERROR(__xludf.DUMMYFUNCTION("""COMPUTED_VALUE"""),3.0)</f>
        <v>3</v>
      </c>
      <c r="F2417" s="82">
        <f>IFERROR(__xludf.DUMMYFUNCTION("""COMPUTED_VALUE"""),0.0)</f>
        <v>0</v>
      </c>
      <c r="G2417" s="86">
        <f>IFERROR(__xludf.DUMMYFUNCTION("""COMPUTED_VALUE"""),3.0)</f>
        <v>3</v>
      </c>
      <c r="H2417" s="86">
        <f>IFERROR(__xludf.DUMMYFUNCTION("""COMPUTED_VALUE"""),0.0)</f>
        <v>0</v>
      </c>
      <c r="I2417" s="86">
        <f>IFERROR(__xludf.DUMMYFUNCTION("""COMPUTED_VALUE"""),0.19999999999999998)</f>
        <v>0.2</v>
      </c>
      <c r="J2417" s="82">
        <f>IFERROR(__xludf.DUMMYFUNCTION("""COMPUTED_VALUE"""),232.0)</f>
        <v>232</v>
      </c>
      <c r="K2417" s="82">
        <f>IFERROR(__xludf.DUMMYFUNCTION("""COMPUTED_VALUE"""),0.3333333333333333)</f>
        <v>0.3333333333</v>
      </c>
      <c r="L2417" s="82">
        <f>IFERROR(__xludf.DUMMYFUNCTION("""COMPUTED_VALUE"""),0.6666666666666666)</f>
        <v>0.6666666667</v>
      </c>
      <c r="M2417" s="82">
        <f>IFERROR(__xludf.DUMMYFUNCTION("""COMPUTED_VALUE"""),1.0)</f>
        <v>1</v>
      </c>
      <c r="N2417" s="82">
        <f>IFERROR(__xludf.DUMMYFUNCTION("""COMPUTED_VALUE"""),1.6666666666666667)</f>
        <v>1.666666667</v>
      </c>
      <c r="O2417" s="82">
        <f>IFERROR(__xludf.DUMMYFUNCTION("""COMPUTED_VALUE"""),457.5555555555555)</f>
        <v>457.5555556</v>
      </c>
      <c r="P2417" s="82">
        <f>IFERROR(__xludf.DUMMYFUNCTION("""COMPUTED_VALUE"""),1.4444444444444446)</f>
        <v>1.444444444</v>
      </c>
      <c r="Q2417" s="82">
        <f>IFERROR(__xludf.DUMMYFUNCTION("""COMPUTED_VALUE"""),1.222222222222222)</f>
        <v>1.222222222</v>
      </c>
      <c r="R2417" s="82">
        <f>IFERROR(__xludf.DUMMYFUNCTION("""COMPUTED_VALUE"""),1.1111111111111112)</f>
        <v>1.111111111</v>
      </c>
      <c r="S2417" s="82">
        <f>IFERROR(__xludf.DUMMYFUNCTION("""COMPUTED_VALUE"""),4.0)</f>
        <v>4</v>
      </c>
      <c r="T2417" s="82">
        <f>IFERROR(__xludf.DUMMYFUNCTION("""COMPUTED_VALUE"""),381.52956152530356)</f>
        <v>381.5295615</v>
      </c>
      <c r="U2417" s="82">
        <f>IFERROR(__xludf.DUMMYFUNCTION("""COMPUTED_VALUE"""),0.9940452654799836)</f>
        <v>0.9940452655</v>
      </c>
      <c r="V2417" s="82">
        <f>IFERROR(__xludf.DUMMYFUNCTION("""COMPUTED_VALUE"""),0.7286032463499494)</f>
        <v>0.7286032463</v>
      </c>
      <c r="W2417" s="82">
        <f>IFERROR(__xludf.DUMMYFUNCTION("""COMPUTED_VALUE"""),1.2784642957742802)</f>
        <v>1.278464296</v>
      </c>
      <c r="X2417" s="82">
        <f>IFERROR(__xludf.DUMMYFUNCTION("""COMPUTED_VALUE"""),3.056283456070045)</f>
        <v>3.056283456</v>
      </c>
      <c r="Y2417" s="82">
        <f>IFERROR(__xludf.DUMMYFUNCTION("""COMPUTED_VALUE"""),326.8209332615072)</f>
        <v>326.8209333</v>
      </c>
      <c r="Z2417" s="82">
        <f>IFERROR(__xludf.DUMMYFUNCTION("""COMPUTED_VALUE"""),0.6151010198973252)</f>
        <v>0.6151010199</v>
      </c>
      <c r="AA2417" s="82">
        <f>IFERROR(__xludf.DUMMYFUNCTION("""COMPUTED_VALUE"""),0.4365192826971685)</f>
        <v>0.4365192827</v>
      </c>
      <c r="AB2417" s="82">
        <f>IFERROR(__xludf.DUMMYFUNCTION("""COMPUTED_VALUE"""),1.4324879936237493)</f>
        <v>1.432487994</v>
      </c>
      <c r="AC2417" s="82">
        <f>IFERROR(__xludf.DUMMYFUNCTION("""COMPUTED_VALUE"""),2.2535501444549197)</f>
        <v>2.253550144</v>
      </c>
      <c r="AD2417" s="82">
        <f>IFERROR(__xludf.DUMMYFUNCTION("""COMPUTED_VALUE"""),0.7098688498461762)</f>
        <v>0.7098688498</v>
      </c>
      <c r="AE2417" s="82">
        <f>IFERROR(__xludf.DUMMYFUNCTION("""COMPUTED_VALUE"""),0.5419164048678938)</f>
        <v>0.5419164049</v>
      </c>
      <c r="AF2417" s="82">
        <f>IFERROR(__xludf.DUMMYFUNCTION("""COMPUTED_VALUE"""),1.5272330297700982)</f>
        <v>1.52723303</v>
      </c>
      <c r="AG2417" s="82">
        <f>IFERROR(__xludf.DUMMYFUNCTION("""COMPUTED_VALUE"""),0.6980861301813154)</f>
        <v>0.6980861302</v>
      </c>
      <c r="AH2417" s="82">
        <f>IFERROR(__xludf.DUMMYFUNCTION("""COMPUTED_VALUE"""),0.7395738101358263)</f>
        <v>0.7395738101</v>
      </c>
      <c r="AI2417" s="82">
        <f>IFERROR(__xludf.DUMMYFUNCTION("""COMPUTED_VALUE"""),1.1992663261171959)</f>
        <v>1.199266326</v>
      </c>
      <c r="AJ2417" s="82">
        <f>IFERROR(__xludf.DUMMYFUNCTION("""COMPUTED_VALUE"""),1.4530972528167334)</f>
        <v>1.453097253</v>
      </c>
      <c r="AK2417" s="82">
        <f>IFERROR(__xludf.DUMMYFUNCTION("""COMPUTED_VALUE"""),1.677486654561496)</f>
        <v>1.677486655</v>
      </c>
      <c r="AL2417" s="82">
        <f>IFERROR(__xludf.DUMMYFUNCTION("""COMPUTED_VALUE"""),0.8690982726570283)</f>
        <v>0.8690982727</v>
      </c>
      <c r="AM2417" s="82">
        <f>IFERROR(__xludf.DUMMYFUNCTION("""COMPUTED_VALUE"""),1.3087791291268)</f>
        <v>1.308779129</v>
      </c>
      <c r="AN2417" s="82">
        <f>IFERROR(__xludf.DUMMYFUNCTION("""COMPUTED_VALUE"""),0.7131451604699249)</f>
        <v>0.7131451605</v>
      </c>
      <c r="AO2417" s="82">
        <f>IFERROR(__xludf.DUMMYFUNCTION("""COMPUTED_VALUE"""),0.4560937713313752)</f>
        <v>0.4560937713</v>
      </c>
      <c r="AP2417" s="82">
        <f>IFERROR(__xludf.DUMMYFUNCTION("""COMPUTED_VALUE"""),1.2931142720891025)</f>
        <v>1.293114272</v>
      </c>
      <c r="AQ2417" s="82">
        <f>IFERROR(__xludf.DUMMYFUNCTION("""COMPUTED_VALUE"""),0.8293839882889568)</f>
        <v>0.8293839883</v>
      </c>
      <c r="AR2417" s="82">
        <f>IFERROR(__xludf.DUMMYFUNCTION("""COMPUTED_VALUE"""),0.7004043191000469)</f>
        <v>0.7004043191</v>
      </c>
      <c r="AS2417" s="82">
        <f>IFERROR(__xludf.DUMMYFUNCTION("""COMPUTED_VALUE"""),3.0)</f>
        <v>3</v>
      </c>
      <c r="AT2417" s="82">
        <f>IFERROR(__xludf.DUMMYFUNCTION("""COMPUTED_VALUE"""),0.08543193415905717)</f>
        <v>0.08543193416</v>
      </c>
      <c r="AU2417" s="82">
        <f>IFERROR(__xludf.DUMMYFUNCTION("""COMPUTED_VALUE"""),1.385595919235235)</f>
        <v>1.385595919</v>
      </c>
      <c r="AV2417" s="82">
        <f>IFERROR(__xludf.DUMMYFUNCTION("""COMPUTED_VALUE"""),11.955521801226901)</f>
        <v>11.9555218</v>
      </c>
      <c r="AW2417" s="82">
        <f t="shared" si="1"/>
        <v>-15.6171386</v>
      </c>
      <c r="AX2417" s="83">
        <f t="array" ref="AX2417">IFERROR(DGET('SBV Import'!A:G,"SBV",{"RSC ID","Tier";B2417,A2417}))</f>
        <v>-9.407968103</v>
      </c>
      <c r="AY2417" s="82">
        <f t="shared" si="2"/>
        <v>-114.3749193</v>
      </c>
      <c r="AZ2417" s="82">
        <v>98.75778072227475</v>
      </c>
      <c r="BA2417" s="84">
        <v>2300.0</v>
      </c>
      <c r="BB2417" s="84" t="b">
        <f>IFERROR(__xludf.DUMMYFUNCTION("iferror(if(A2417="""",,E2417&gt;=FILTER(Constants!$F$2:$F$10,Constants!$A$2:$A$10=A2417)))"),TRUE)</f>
        <v>1</v>
      </c>
    </row>
    <row r="2418">
      <c r="A2418" s="89" t="str">
        <f>IFERROR(__xludf.DUMMYFUNCTION("""COMPUTED_VALUE"""),"Challenger")</f>
        <v>Challenger</v>
      </c>
      <c r="B2418" s="87" t="str">
        <f>IFERROR(__xludf.DUMMYFUNCTION("""COMPUTED_VALUE"""),"RSC006217")</f>
        <v>RSC006217</v>
      </c>
      <c r="C2418" s="73" t="str">
        <f>IFERROR(__xludf.DUMMYFUNCTION("""COMPUTED_VALUE"""),"Subj3ct_Teonligas")</f>
        <v>Subj3ct_Teonligas</v>
      </c>
      <c r="D2418" s="73" t="str">
        <f>IFERROR(__xludf.DUMMYFUNCTION("""COMPUTED_VALUE"""),"Lions")</f>
        <v>Lions</v>
      </c>
      <c r="E2418" s="82">
        <f>IFERROR(__xludf.DUMMYFUNCTION("""COMPUTED_VALUE"""),3.0)</f>
        <v>3</v>
      </c>
      <c r="F2418" s="82">
        <f>IFERROR(__xludf.DUMMYFUNCTION("""COMPUTED_VALUE"""),1.0)</f>
        <v>1</v>
      </c>
      <c r="G2418" s="86">
        <f>IFERROR(__xludf.DUMMYFUNCTION("""COMPUTED_VALUE"""),2.0)</f>
        <v>2</v>
      </c>
      <c r="H2418" s="86">
        <f>IFERROR(__xludf.DUMMYFUNCTION("""COMPUTED_VALUE"""),0.3333333333333333)</f>
        <v>0.3333333333</v>
      </c>
      <c r="I2418" s="86">
        <f>IFERROR(__xludf.DUMMYFUNCTION("""COMPUTED_VALUE"""),0.0)</f>
        <v>0</v>
      </c>
      <c r="J2418" s="82">
        <f>IFERROR(__xludf.DUMMYFUNCTION("""COMPUTED_VALUE"""),189.0)</f>
        <v>189</v>
      </c>
      <c r="K2418" s="82">
        <f>IFERROR(__xludf.DUMMYFUNCTION("""COMPUTED_VALUE"""),0.0)</f>
        <v>0</v>
      </c>
      <c r="L2418" s="82">
        <f>IFERROR(__xludf.DUMMYFUNCTION("""COMPUTED_VALUE"""),0.3333333333333333)</f>
        <v>0.3333333333</v>
      </c>
      <c r="M2418" s="82">
        <f>IFERROR(__xludf.DUMMYFUNCTION("""COMPUTED_VALUE"""),0.6666666666666666)</f>
        <v>0.6666666667</v>
      </c>
      <c r="N2418" s="82">
        <f>IFERROR(__xludf.DUMMYFUNCTION("""COMPUTED_VALUE"""),2.3333333333333335)</f>
        <v>2.333333333</v>
      </c>
      <c r="O2418" s="82">
        <f>IFERROR(__xludf.DUMMYFUNCTION("""COMPUTED_VALUE"""),328.77777777777777)</f>
        <v>328.7777778</v>
      </c>
      <c r="P2418" s="82">
        <f>IFERROR(__xludf.DUMMYFUNCTION("""COMPUTED_VALUE"""),0.6666666666666666)</f>
        <v>0.6666666667</v>
      </c>
      <c r="Q2418" s="82">
        <f>IFERROR(__xludf.DUMMYFUNCTION("""COMPUTED_VALUE"""),0.6666666666666666)</f>
        <v>0.6666666667</v>
      </c>
      <c r="R2418" s="82">
        <f>IFERROR(__xludf.DUMMYFUNCTION("""COMPUTED_VALUE"""),1.3333333333333333)</f>
        <v>1.333333333</v>
      </c>
      <c r="S2418" s="82">
        <f>IFERROR(__xludf.DUMMYFUNCTION("""COMPUTED_VALUE"""),1.888888888888889)</f>
        <v>1.888888889</v>
      </c>
      <c r="T2418" s="82">
        <f>IFERROR(__xludf.DUMMYFUNCTION("""COMPUTED_VALUE"""),375.326893939394)</f>
        <v>375.3268939</v>
      </c>
      <c r="U2418" s="82">
        <f>IFERROR(__xludf.DUMMYFUNCTION("""COMPUTED_VALUE"""),0.9919191919191919)</f>
        <v>0.9919191919</v>
      </c>
      <c r="V2418" s="82">
        <f>IFERROR(__xludf.DUMMYFUNCTION("""COMPUTED_VALUE"""),0.7256313131313131)</f>
        <v>0.7256313131</v>
      </c>
      <c r="W2418" s="82">
        <f>IFERROR(__xludf.DUMMYFUNCTION("""COMPUTED_VALUE"""),1.2178030303030303)</f>
        <v>1.21780303</v>
      </c>
      <c r="X2418" s="82">
        <f>IFERROR(__xludf.DUMMYFUNCTION("""COMPUTED_VALUE"""),2.70530303030303)</f>
        <v>2.70530303</v>
      </c>
      <c r="Y2418" s="82">
        <f>IFERROR(__xludf.DUMMYFUNCTION("""COMPUTED_VALUE"""),310.60408249158246)</f>
        <v>310.6040825</v>
      </c>
      <c r="Z2418" s="82">
        <f>IFERROR(__xludf.DUMMYFUNCTION("""COMPUTED_VALUE"""),0.6133417508417507)</f>
        <v>0.6133417508</v>
      </c>
      <c r="AA2418" s="82">
        <f>IFERROR(__xludf.DUMMYFUNCTION("""COMPUTED_VALUE"""),0.4723063973063973)</f>
        <v>0.4723063973</v>
      </c>
      <c r="AB2418" s="82">
        <f>IFERROR(__xludf.DUMMYFUNCTION("""COMPUTED_VALUE"""),1.2537457912457912)</f>
        <v>1.253745791</v>
      </c>
      <c r="AC2418" s="82">
        <f>IFERROR(__xludf.DUMMYFUNCTION("""COMPUTED_VALUE"""),2.17996632996633)</f>
        <v>2.17996633</v>
      </c>
      <c r="AD2418" s="82">
        <f>IFERROR(__xludf.DUMMYFUNCTION("""COMPUTED_VALUE"""),0.6084916800960657)</f>
        <v>0.6084916801</v>
      </c>
      <c r="AE2418" s="82">
        <f>IFERROR(__xludf.DUMMYFUNCTION("""COMPUTED_VALUE"""),0.0)</f>
        <v>0</v>
      </c>
      <c r="AF2418" s="82">
        <f>IFERROR(__xludf.DUMMYFUNCTION("""COMPUTED_VALUE"""),0.7057565496346462)</f>
        <v>0.7057565496</v>
      </c>
      <c r="AG2418" s="82">
        <f>IFERROR(__xludf.DUMMYFUNCTION("""COMPUTED_VALUE"""),0.5317399039914062)</f>
        <v>0.531739904</v>
      </c>
      <c r="AH2418" s="82">
        <f>IFERROR(__xludf.DUMMYFUNCTION("""COMPUTED_VALUE"""),1.0703529230056374)</f>
        <v>1.070352923</v>
      </c>
      <c r="AI2418" s="82">
        <f>IFERROR(__xludf.DUMMYFUNCTION("""COMPUTED_VALUE"""),0.875977136428884)</f>
        <v>0.8759771364</v>
      </c>
      <c r="AJ2418" s="82">
        <f>IFERROR(__xludf.DUMMYFUNCTION("""COMPUTED_VALUE"""),0.6720977596741344)</f>
        <v>0.6720977597</v>
      </c>
      <c r="AK2418" s="82">
        <f>IFERROR(__xludf.DUMMYFUNCTION("""COMPUTED_VALUE"""),0.9187402122846702)</f>
        <v>0.9187402123</v>
      </c>
      <c r="AL2418" s="82">
        <f>IFERROR(__xludf.DUMMYFUNCTION("""COMPUTED_VALUE"""),1.0948678071539657)</f>
        <v>1.094867807</v>
      </c>
      <c r="AM2418" s="82">
        <f>IFERROR(__xludf.DUMMYFUNCTION("""COMPUTED_VALUE"""),0.69821711938766)</f>
        <v>0.6982171194</v>
      </c>
      <c r="AN2418" s="82">
        <f>IFERROR(__xludf.DUMMYFUNCTION("""COMPUTED_VALUE"""),0.5809673936586889)</f>
        <v>0.5809673937</v>
      </c>
      <c r="AO2418" s="82">
        <f>IFERROR(__xludf.DUMMYFUNCTION("""COMPUTED_VALUE"""),0.0)</f>
        <v>0</v>
      </c>
      <c r="AP2418" s="82">
        <f>IFERROR(__xludf.DUMMYFUNCTION("""COMPUTED_VALUE"""),0.6465571360445512)</f>
        <v>0.646557136</v>
      </c>
      <c r="AQ2418" s="82">
        <f>IFERROR(__xludf.DUMMYFUNCTION("""COMPUTED_VALUE"""),0.5529226588593045)</f>
        <v>0.5529226589</v>
      </c>
      <c r="AR2418" s="82">
        <f>IFERROR(__xludf.DUMMYFUNCTION("""COMPUTED_VALUE"""),0.9805660467400656)</f>
        <v>0.9805660467</v>
      </c>
      <c r="AS2418" s="82">
        <f>IFERROR(__xludf.DUMMYFUNCTION("""COMPUTED_VALUE"""),5.0)</f>
        <v>5</v>
      </c>
      <c r="AT2418" s="82">
        <f>IFERROR(__xludf.DUMMYFUNCTION("""COMPUTED_VALUE"""),0.43420420792280556)</f>
        <v>0.4342042079</v>
      </c>
      <c r="AU2418" s="82">
        <f>IFERROR(__xludf.DUMMYFUNCTION("""COMPUTED_VALUE"""),1.26823894700751)</f>
        <v>1.268238947</v>
      </c>
      <c r="AV2418" s="82">
        <f>IFERROR(__xludf.DUMMYFUNCTION("""COMPUTED_VALUE"""),8.892708944098302)</f>
        <v>8.892708944</v>
      </c>
      <c r="AW2418" s="82">
        <f t="shared" si="1"/>
        <v>-19.97683189</v>
      </c>
      <c r="AX2418" s="83">
        <f t="array" ref="AX2418">IFERROR(DGET('SBV Import'!A:G,"SBV",{"RSC ID","Tier";B2418,A2418}))</f>
        <v>7.117583003</v>
      </c>
      <c r="AY2418" s="82">
        <f t="shared" si="2"/>
        <v>-23.17742924</v>
      </c>
      <c r="AZ2418" s="82">
        <v>3.2005973490562205</v>
      </c>
      <c r="BA2418" s="84">
        <v>2300.0</v>
      </c>
      <c r="BB2418" s="84" t="b">
        <f>IFERROR(__xludf.DUMMYFUNCTION("iferror(if(A2418="""",,E2418&gt;=FILTER(Constants!$F$2:$F$10,Constants!$A$2:$A$10=A2418)))"),TRUE)</f>
        <v>1</v>
      </c>
    </row>
    <row r="2419">
      <c r="A2419" s="89" t="str">
        <f>IFERROR(__xludf.DUMMYFUNCTION("""COMPUTED_VALUE"""),"Challenger")</f>
        <v>Challenger</v>
      </c>
      <c r="B2419" s="87" t="str">
        <f>IFERROR(__xludf.DUMMYFUNCTION("""COMPUTED_VALUE"""),"RSC007118")</f>
        <v>RSC007118</v>
      </c>
      <c r="C2419" s="73" t="str">
        <f>IFERROR(__xludf.DUMMYFUNCTION("""COMPUTED_VALUE"""),"Vampress Maru")</f>
        <v>Vampress Maru</v>
      </c>
      <c r="D2419" s="73" t="str">
        <f>IFERROR(__xludf.DUMMYFUNCTION("""COMPUTED_VALUE"""),"Bingo")</f>
        <v>Bingo</v>
      </c>
      <c r="E2419" s="82">
        <f>IFERROR(__xludf.DUMMYFUNCTION("""COMPUTED_VALUE"""),17.0)</f>
        <v>17</v>
      </c>
      <c r="F2419" s="82">
        <f>IFERROR(__xludf.DUMMYFUNCTION("""COMPUTED_VALUE"""),1.0)</f>
        <v>1</v>
      </c>
      <c r="G2419" s="86">
        <f>IFERROR(__xludf.DUMMYFUNCTION("""COMPUTED_VALUE"""),16.0)</f>
        <v>16</v>
      </c>
      <c r="H2419" s="86">
        <f>IFERROR(__xludf.DUMMYFUNCTION("""COMPUTED_VALUE"""),0.058823529411764705)</f>
        <v>0.05882352941</v>
      </c>
      <c r="I2419" s="86">
        <f>IFERROR(__xludf.DUMMYFUNCTION("""COMPUTED_VALUE"""),0.3076923076923077)</f>
        <v>0.3076923077</v>
      </c>
      <c r="J2419" s="82">
        <f>IFERROR(__xludf.DUMMYFUNCTION("""COMPUTED_VALUE"""),248.05882352941177)</f>
        <v>248.0588235</v>
      </c>
      <c r="K2419" s="82">
        <f>IFERROR(__xludf.DUMMYFUNCTION("""COMPUTED_VALUE"""),0.47058823529411764)</f>
        <v>0.4705882353</v>
      </c>
      <c r="L2419" s="82">
        <f>IFERROR(__xludf.DUMMYFUNCTION("""COMPUTED_VALUE"""),0.23529411764705882)</f>
        <v>0.2352941176</v>
      </c>
      <c r="M2419" s="82">
        <f>IFERROR(__xludf.DUMMYFUNCTION("""COMPUTED_VALUE"""),1.2352941176470589)</f>
        <v>1.235294118</v>
      </c>
      <c r="N2419" s="82">
        <f>IFERROR(__xludf.DUMMYFUNCTION("""COMPUTED_VALUE"""),1.5294117647058822)</f>
        <v>1.529411765</v>
      </c>
      <c r="O2419" s="82">
        <f>IFERROR(__xludf.DUMMYFUNCTION("""COMPUTED_VALUE"""),369.54901960784315)</f>
        <v>369.5490196</v>
      </c>
      <c r="P2419" s="82">
        <f>IFERROR(__xludf.DUMMYFUNCTION("""COMPUTED_VALUE"""),1.1568627450980395)</f>
        <v>1.156862745</v>
      </c>
      <c r="Q2419" s="82">
        <f>IFERROR(__xludf.DUMMYFUNCTION("""COMPUTED_VALUE"""),0.784313725490196)</f>
        <v>0.7843137255</v>
      </c>
      <c r="R2419" s="82">
        <f>IFERROR(__xludf.DUMMYFUNCTION("""COMPUTED_VALUE"""),0.9215686274509803)</f>
        <v>0.9215686275</v>
      </c>
      <c r="S2419" s="82">
        <f>IFERROR(__xludf.DUMMYFUNCTION("""COMPUTED_VALUE"""),3.0588235294117654)</f>
        <v>3.058823529</v>
      </c>
      <c r="T2419" s="82">
        <f>IFERROR(__xludf.DUMMYFUNCTION("""COMPUTED_VALUE"""),348.11341037152994)</f>
        <v>348.1134104</v>
      </c>
      <c r="U2419" s="82">
        <f>IFERROR(__xludf.DUMMYFUNCTION("""COMPUTED_VALUE"""),0.8048016494735957)</f>
        <v>0.8048016495</v>
      </c>
      <c r="V2419" s="82">
        <f>IFERROR(__xludf.DUMMYFUNCTION("""COMPUTED_VALUE"""),0.5769073626793507)</f>
        <v>0.5769073627</v>
      </c>
      <c r="W2419" s="82">
        <f>IFERROR(__xludf.DUMMYFUNCTION("""COMPUTED_VALUE"""),1.253069295392509)</f>
        <v>1.253069295</v>
      </c>
      <c r="X2419" s="82">
        <f>IFERROR(__xludf.DUMMYFUNCTION("""COMPUTED_VALUE"""),2.5967587483595005)</f>
        <v>2.596758748</v>
      </c>
      <c r="Y2419" s="82">
        <f>IFERROR(__xludf.DUMMYFUNCTION("""COMPUTED_VALUE"""),333.14083195938184)</f>
        <v>333.140832</v>
      </c>
      <c r="Z2419" s="82">
        <f>IFERROR(__xludf.DUMMYFUNCTION("""COMPUTED_VALUE"""),0.7216234470773822)</f>
        <v>0.7216234471</v>
      </c>
      <c r="AA2419" s="82">
        <f>IFERROR(__xludf.DUMMYFUNCTION("""COMPUTED_VALUE"""),0.5125616864778232)</f>
        <v>0.5125616865</v>
      </c>
      <c r="AB2419" s="82">
        <f>IFERROR(__xludf.DUMMYFUNCTION("""COMPUTED_VALUE"""),1.2182132454004013)</f>
        <v>1.218213245</v>
      </c>
      <c r="AC2419" s="82">
        <f>IFERROR(__xludf.DUMMYFUNCTION("""COMPUTED_VALUE"""),2.492191887270108)</f>
        <v>2.492191887</v>
      </c>
      <c r="AD2419" s="82">
        <f>IFERROR(__xludf.DUMMYFUNCTION("""COMPUTED_VALUE"""),0.7446064839018481)</f>
        <v>0.7446064839</v>
      </c>
      <c r="AE2419" s="82">
        <f>IFERROR(__xludf.DUMMYFUNCTION("""COMPUTED_VALUE"""),0.6521243692954101)</f>
        <v>0.6521243693</v>
      </c>
      <c r="AF2419" s="82">
        <f>IFERROR(__xludf.DUMMYFUNCTION("""COMPUTED_VALUE"""),0.4590552197998498)</f>
        <v>0.4590552198</v>
      </c>
      <c r="AG2419" s="82">
        <f>IFERROR(__xludf.DUMMYFUNCTION("""COMPUTED_VALUE"""),1.0140212498190688)</f>
        <v>1.01402125</v>
      </c>
      <c r="AH2419" s="82">
        <f>IFERROR(__xludf.DUMMYFUNCTION("""COMPUTED_VALUE"""),0.6136813832506156)</f>
        <v>0.6136813833</v>
      </c>
      <c r="AI2419" s="82">
        <f>IFERROR(__xludf.DUMMYFUNCTION("""COMPUTED_VALUE"""),1.06157651098082)</f>
        <v>1.061576511</v>
      </c>
      <c r="AJ2419" s="82">
        <f>IFERROR(__xludf.DUMMYFUNCTION("""COMPUTED_VALUE"""),1.4374507629982118)</f>
        <v>1.437450763</v>
      </c>
      <c r="AK2419" s="82">
        <f>IFERROR(__xludf.DUMMYFUNCTION("""COMPUTED_VALUE"""),1.359514154660084)</f>
        <v>1.359514155</v>
      </c>
      <c r="AL2419" s="82">
        <f>IFERROR(__xludf.DUMMYFUNCTION("""COMPUTED_VALUE"""),0.7354490536473562)</f>
        <v>0.7354490536</v>
      </c>
      <c r="AM2419" s="82">
        <f>IFERROR(__xludf.DUMMYFUNCTION("""COMPUTED_VALUE"""),1.1779390485712906)</f>
        <v>1.177939049</v>
      </c>
      <c r="AN2419" s="82">
        <f>IFERROR(__xludf.DUMMYFUNCTION("""COMPUTED_VALUE"""),0.7625084030683756)</f>
        <v>0.7625084031</v>
      </c>
      <c r="AO2419" s="82">
        <f>IFERROR(__xludf.DUMMYFUNCTION("""COMPUTED_VALUE"""),0.643897088938412)</f>
        <v>0.6438970889</v>
      </c>
      <c r="AP2419" s="82">
        <f>IFERROR(__xludf.DUMMYFUNCTION("""COMPUTED_VALUE"""),0.4563932725020362)</f>
        <v>0.4563932725</v>
      </c>
      <c r="AQ2419" s="82">
        <f>IFERROR(__xludf.DUMMYFUNCTION("""COMPUTED_VALUE"""),1.0245331620040055)</f>
        <v>1.024533162</v>
      </c>
      <c r="AR2419" s="82">
        <f>IFERROR(__xludf.DUMMYFUNCTION("""COMPUTED_VALUE"""),0.6427239634094547)</f>
        <v>0.6427239634</v>
      </c>
      <c r="AS2419" s="82">
        <f>IFERROR(__xludf.DUMMYFUNCTION("""COMPUTED_VALUE"""),22.0)</f>
        <v>22</v>
      </c>
      <c r="AT2419" s="82">
        <f>IFERROR(__xludf.DUMMYFUNCTION("""COMPUTED_VALUE"""),0.17593189007752116)</f>
        <v>0.1759318901</v>
      </c>
      <c r="AU2419" s="82">
        <f>IFERROR(__xludf.DUMMYFUNCTION("""COMPUTED_VALUE"""),0.9659444636368288)</f>
        <v>0.9659444636</v>
      </c>
      <c r="AV2419" s="82">
        <f>IFERROR(__xludf.DUMMYFUNCTION("""COMPUTED_VALUE"""),1.0033487064281843)</f>
        <v>1.003348706</v>
      </c>
      <c r="AW2419" s="82">
        <f t="shared" si="1"/>
        <v>-39.99084331</v>
      </c>
      <c r="AX2419" s="83">
        <f t="array" ref="AX2419">IFERROR(DGET('SBV Import'!A:G,"SBV",{"RSC ID","Tier";B2419,A2419}))</f>
        <v>2.285924886</v>
      </c>
      <c r="AY2419" s="82">
        <f t="shared" si="2"/>
        <v>-35.51231688</v>
      </c>
      <c r="AZ2419" s="82">
        <v>4.478526430483726</v>
      </c>
      <c r="BA2419" s="84">
        <v>2300.0</v>
      </c>
      <c r="BB2419" s="84" t="b">
        <f>IFERROR(__xludf.DUMMYFUNCTION("iferror(if(A2419="""",,E2419&gt;=FILTER(Constants!$F$2:$F$10,Constants!$A$2:$A$10=A2419)))"),TRUE)</f>
        <v>1</v>
      </c>
    </row>
    <row r="2420">
      <c r="A2420" s="89" t="str">
        <f>IFERROR(__xludf.DUMMYFUNCTION("""COMPUTED_VALUE"""),"Challenger")</f>
        <v>Challenger</v>
      </c>
      <c r="B2420" s="87" t="str">
        <f>IFERROR(__xludf.DUMMYFUNCTION("""COMPUTED_VALUE"""),"RSC007946")</f>
        <v>RSC007946</v>
      </c>
      <c r="C2420" s="73" t="str">
        <f>IFERROR(__xludf.DUMMYFUNCTION("""COMPUTED_VALUE"""),"hagerity_tv")</f>
        <v>hagerity_tv</v>
      </c>
      <c r="D2420" s="73"/>
      <c r="E2420" s="82">
        <f>IFERROR(__xludf.DUMMYFUNCTION("""COMPUTED_VALUE"""),3.0)</f>
        <v>3</v>
      </c>
      <c r="F2420" s="82">
        <f>IFERROR(__xludf.DUMMYFUNCTION("""COMPUTED_VALUE"""),1.0)</f>
        <v>1</v>
      </c>
      <c r="G2420" s="86">
        <f>IFERROR(__xludf.DUMMYFUNCTION("""COMPUTED_VALUE"""),2.0)</f>
        <v>2</v>
      </c>
      <c r="H2420" s="86">
        <f>IFERROR(__xludf.DUMMYFUNCTION("""COMPUTED_VALUE"""),0.3333333333333333)</f>
        <v>0.3333333333</v>
      </c>
      <c r="I2420" s="86">
        <f>IFERROR(__xludf.DUMMYFUNCTION("""COMPUTED_VALUE"""),0.5)</f>
        <v>0.5</v>
      </c>
      <c r="J2420" s="82">
        <f>IFERROR(__xludf.DUMMYFUNCTION("""COMPUTED_VALUE"""),253.0)</f>
        <v>253</v>
      </c>
      <c r="K2420" s="82">
        <f>IFERROR(__xludf.DUMMYFUNCTION("""COMPUTED_VALUE"""),0.3333333333333333)</f>
        <v>0.3333333333</v>
      </c>
      <c r="L2420" s="82">
        <f>IFERROR(__xludf.DUMMYFUNCTION("""COMPUTED_VALUE"""),0.6666666666666666)</f>
        <v>0.6666666667</v>
      </c>
      <c r="M2420" s="82">
        <f>IFERROR(__xludf.DUMMYFUNCTION("""COMPUTED_VALUE"""),1.3333333333333333)</f>
        <v>1.333333333</v>
      </c>
      <c r="N2420" s="82">
        <f>IFERROR(__xludf.DUMMYFUNCTION("""COMPUTED_VALUE"""),0.6666666666666666)</f>
        <v>0.6666666667</v>
      </c>
      <c r="O2420" s="82">
        <f>IFERROR(__xludf.DUMMYFUNCTION("""COMPUTED_VALUE"""),417.0)</f>
        <v>417</v>
      </c>
      <c r="P2420" s="82">
        <f>IFERROR(__xludf.DUMMYFUNCTION("""COMPUTED_VALUE"""),1.4444444444444446)</f>
        <v>1.444444444</v>
      </c>
      <c r="Q2420" s="82">
        <f>IFERROR(__xludf.DUMMYFUNCTION("""COMPUTED_VALUE"""),1.2222222222222223)</f>
        <v>1.222222222</v>
      </c>
      <c r="R2420" s="82">
        <f>IFERROR(__xludf.DUMMYFUNCTION("""COMPUTED_VALUE"""),0.7777777777777777)</f>
        <v>0.7777777778</v>
      </c>
      <c r="S2420" s="82">
        <f>IFERROR(__xludf.DUMMYFUNCTION("""COMPUTED_VALUE"""),3.3333333333333335)</f>
        <v>3.333333333</v>
      </c>
      <c r="T2420" s="82">
        <f>IFERROR(__xludf.DUMMYFUNCTION("""COMPUTED_VALUE"""),378.98967608723706)</f>
        <v>378.9896761</v>
      </c>
      <c r="U2420" s="82">
        <f>IFERROR(__xludf.DUMMYFUNCTION("""COMPUTED_VALUE"""),0.9953542392566783)</f>
        <v>0.9953542393</v>
      </c>
      <c r="V2420" s="82">
        <f>IFERROR(__xludf.DUMMYFUNCTION("""COMPUTED_VALUE"""),0.7514518002322882)</f>
        <v>0.7514518002</v>
      </c>
      <c r="W2420" s="82">
        <f>IFERROR(__xludf.DUMMYFUNCTION("""COMPUTED_VALUE"""),1.240805265195509)</f>
        <v>1.240805265</v>
      </c>
      <c r="X2420" s="82">
        <f>IFERROR(__xludf.DUMMYFUNCTION("""COMPUTED_VALUE"""),2.8559814169570266)</f>
        <v>2.855981417</v>
      </c>
      <c r="Y2420" s="82">
        <f>IFERROR(__xludf.DUMMYFUNCTION("""COMPUTED_VALUE"""),341.598959005463)</f>
        <v>341.598959</v>
      </c>
      <c r="Z2420" s="82">
        <f>IFERROR(__xludf.DUMMYFUNCTION("""COMPUTED_VALUE"""),0.6916161225104315)</f>
        <v>0.6916161225</v>
      </c>
      <c r="AA2420" s="82">
        <f>IFERROR(__xludf.DUMMYFUNCTION("""COMPUTED_VALUE"""),0.5199380565234225)</f>
        <v>0.5199380565</v>
      </c>
      <c r="AB2420" s="82">
        <f>IFERROR(__xludf.DUMMYFUNCTION("""COMPUTED_VALUE"""),1.3943304512410204)</f>
        <v>1.394330451</v>
      </c>
      <c r="AC2420" s="82">
        <f>IFERROR(__xludf.DUMMYFUNCTION("""COMPUTED_VALUE"""),2.3051576547511505)</f>
        <v>2.305157655</v>
      </c>
      <c r="AD2420" s="82">
        <f>IFERROR(__xludf.DUMMYFUNCTION("""COMPUTED_VALUE"""),0.7406345755168239)</f>
        <v>0.7406345755</v>
      </c>
      <c r="AE2420" s="82">
        <f>IFERROR(__xludf.DUMMYFUNCTION("""COMPUTED_VALUE"""),0.4819629307127752)</f>
        <v>0.4819629307</v>
      </c>
      <c r="AF2420" s="82">
        <f>IFERROR(__xludf.DUMMYFUNCTION("""COMPUTED_VALUE"""),1.2822040208488454)</f>
        <v>1.282204021</v>
      </c>
      <c r="AG2420" s="82">
        <f>IFERROR(__xludf.DUMMYFUNCTION("""COMPUTED_VALUE"""),0.9562534707225272)</f>
        <v>0.9562534707</v>
      </c>
      <c r="AH2420" s="82">
        <f>IFERROR(__xludf.DUMMYFUNCTION("""COMPUTED_VALUE"""),0.2892065387773382)</f>
        <v>0.2892065388</v>
      </c>
      <c r="AI2420" s="82">
        <f>IFERROR(__xludf.DUMMYFUNCTION("""COMPUTED_VALUE"""),1.1002938241093765)</f>
        <v>1.100293824</v>
      </c>
      <c r="AJ2420" s="82">
        <f>IFERROR(__xludf.DUMMYFUNCTION("""COMPUTED_VALUE"""),1.4511863088292494)</f>
        <v>1.451186309</v>
      </c>
      <c r="AK2420" s="82">
        <f>IFERROR(__xludf.DUMMYFUNCTION("""COMPUTED_VALUE"""),1.626481195260175)</f>
        <v>1.626481195</v>
      </c>
      <c r="AL2420" s="82">
        <f>IFERROR(__xludf.DUMMYFUNCTION("""COMPUTED_VALUE"""),0.6268330733229328)</f>
        <v>0.6268330733</v>
      </c>
      <c r="AM2420" s="82">
        <f>IFERROR(__xludf.DUMMYFUNCTION("""COMPUTED_VALUE"""),1.1671411142740953)</f>
        <v>1.167141114</v>
      </c>
      <c r="AN2420" s="82">
        <f>IFERROR(__xludf.DUMMYFUNCTION("""COMPUTED_VALUE"""),0.7776970930986681)</f>
        <v>0.7776970931</v>
      </c>
      <c r="AO2420" s="82">
        <f>IFERROR(__xludf.DUMMYFUNCTION("""COMPUTED_VALUE"""),0.4560937713313752)</f>
        <v>0.4560937713</v>
      </c>
      <c r="AP2420" s="82">
        <f>IFERROR(__xludf.DUMMYFUNCTION("""COMPUTED_VALUE"""),1.2931142720891025)</f>
        <v>1.293114272</v>
      </c>
      <c r="AQ2420" s="82">
        <f>IFERROR(__xludf.DUMMYFUNCTION("""COMPUTED_VALUE"""),1.105845317718609)</f>
        <v>1.105845318</v>
      </c>
      <c r="AR2420" s="82">
        <f>IFERROR(__xludf.DUMMYFUNCTION("""COMPUTED_VALUE"""),0.28016172764001873)</f>
        <v>0.2801617276</v>
      </c>
      <c r="AS2420" s="82">
        <f>IFERROR(__xludf.DUMMYFUNCTION("""COMPUTED_VALUE"""),7.0)</f>
        <v>7</v>
      </c>
      <c r="AT2420" s="82">
        <f>IFERROR(__xludf.DUMMYFUNCTION("""COMPUTED_VALUE"""),0.2559667453991127)</f>
        <v>0.2559667454</v>
      </c>
      <c r="AU2420" s="82">
        <f>IFERROR(__xludf.DUMMYFUNCTION("""COMPUTED_VALUE"""),0.9229783496765248)</f>
        <v>0.9229783497</v>
      </c>
      <c r="AV2420" s="82">
        <f>IFERROR(__xludf.DUMMYFUNCTION("""COMPUTED_VALUE"""),-0.11799213732769687)</f>
        <v>-0.1179921373</v>
      </c>
      <c r="AW2420" s="82">
        <f t="shared" si="1"/>
        <v>-44.45133657</v>
      </c>
      <c r="AX2420" s="83">
        <f t="array" ref="AX2420">IFERROR(DGET('SBV Import'!A:G,"SBV",{"RSC ID","Tier";B2420,A2420}))</f>
        <v>-5.268138601</v>
      </c>
      <c r="AY2420" s="82">
        <f t="shared" si="2"/>
        <v>-73.92390307</v>
      </c>
      <c r="AZ2420" s="82">
        <v>29.472566499218672</v>
      </c>
      <c r="BA2420" s="84">
        <v>2300.0</v>
      </c>
      <c r="BB2420" s="84" t="b">
        <f>IFERROR(__xludf.DUMMYFUNCTION("iferror(if(A2420="""",,E2420&gt;=FILTER(Constants!$F$2:$F$10,Constants!$A$2:$A$10=A2420)))"),TRUE)</f>
        <v>1</v>
      </c>
    </row>
    <row r="2421">
      <c r="A2421" s="89" t="str">
        <f>IFERROR(__xludf.DUMMYFUNCTION("""COMPUTED_VALUE"""),"Challenger")</f>
        <v>Challenger</v>
      </c>
      <c r="B2421" s="87" t="str">
        <f>IFERROR(__xludf.DUMMYFUNCTION("""COMPUTED_VALUE"""),"RSC005219")</f>
        <v>RSC005219</v>
      </c>
      <c r="C2421" s="73" t="str">
        <f>IFERROR(__xludf.DUMMYFUNCTION("""COMPUTED_VALUE"""),"iargue")</f>
        <v>iargue</v>
      </c>
      <c r="D2421" s="73" t="str">
        <f>IFERROR(__xludf.DUMMYFUNCTION("""COMPUTED_VALUE"""),"Shade")</f>
        <v>Shade</v>
      </c>
      <c r="E2421" s="82">
        <f>IFERROR(__xludf.DUMMYFUNCTION("""COMPUTED_VALUE"""),31.0)</f>
        <v>31</v>
      </c>
      <c r="F2421" s="82">
        <f>IFERROR(__xludf.DUMMYFUNCTION("""COMPUTED_VALUE"""),5.0)</f>
        <v>5</v>
      </c>
      <c r="G2421" s="86">
        <f>IFERROR(__xludf.DUMMYFUNCTION("""COMPUTED_VALUE"""),26.0)</f>
        <v>26</v>
      </c>
      <c r="H2421" s="86">
        <f>IFERROR(__xludf.DUMMYFUNCTION("""COMPUTED_VALUE"""),0.16129032258064516)</f>
        <v>0.1612903226</v>
      </c>
      <c r="I2421" s="86">
        <f>IFERROR(__xludf.DUMMYFUNCTION("""COMPUTED_VALUE"""),0.18000000000000002)</f>
        <v>0.18</v>
      </c>
      <c r="J2421" s="82">
        <f>IFERROR(__xludf.DUMMYFUNCTION("""COMPUTED_VALUE"""),221.19354838709677)</f>
        <v>221.1935484</v>
      </c>
      <c r="K2421" s="82">
        <f>IFERROR(__xludf.DUMMYFUNCTION("""COMPUTED_VALUE"""),0.2903225806451613)</f>
        <v>0.2903225806</v>
      </c>
      <c r="L2421" s="82">
        <f>IFERROR(__xludf.DUMMYFUNCTION("""COMPUTED_VALUE"""),0.22580645161290322)</f>
        <v>0.2258064516</v>
      </c>
      <c r="M2421" s="82">
        <f>IFERROR(__xludf.DUMMYFUNCTION("""COMPUTED_VALUE"""),0.9032258064516129)</f>
        <v>0.9032258065</v>
      </c>
      <c r="N2421" s="82">
        <f>IFERROR(__xludf.DUMMYFUNCTION("""COMPUTED_VALUE"""),1.6129032258064515)</f>
        <v>1.612903226</v>
      </c>
      <c r="O2421" s="82">
        <f>IFERROR(__xludf.DUMMYFUNCTION("""COMPUTED_VALUE"""),376.53763440860206)</f>
        <v>376.5376344</v>
      </c>
      <c r="P2421" s="82">
        <f>IFERROR(__xludf.DUMMYFUNCTION("""COMPUTED_VALUE"""),0.9892473118279569)</f>
        <v>0.9892473118</v>
      </c>
      <c r="Q2421" s="82">
        <f>IFERROR(__xludf.DUMMYFUNCTION("""COMPUTED_VALUE"""),0.7204301075268815)</f>
        <v>0.7204301075</v>
      </c>
      <c r="R2421" s="82">
        <f>IFERROR(__xludf.DUMMYFUNCTION("""COMPUTED_VALUE"""),1.290322580645161)</f>
        <v>1.290322581</v>
      </c>
      <c r="S2421" s="82">
        <f>IFERROR(__xludf.DUMMYFUNCTION("""COMPUTED_VALUE"""),2.602150537634409)</f>
        <v>2.602150538</v>
      </c>
      <c r="T2421" s="82">
        <f>IFERROR(__xludf.DUMMYFUNCTION("""COMPUTED_VALUE"""),346.168484441428)</f>
        <v>346.1684844</v>
      </c>
      <c r="U2421" s="82">
        <f>IFERROR(__xludf.DUMMYFUNCTION("""COMPUTED_VALUE"""),0.8271496905806961)</f>
        <v>0.8271496906</v>
      </c>
      <c r="V2421" s="82">
        <f>IFERROR(__xludf.DUMMYFUNCTION("""COMPUTED_VALUE"""),0.5907472736845677)</f>
        <v>0.5907472737</v>
      </c>
      <c r="W2421" s="82">
        <f>IFERROR(__xludf.DUMMYFUNCTION("""COMPUTED_VALUE"""),1.238290606764215)</f>
        <v>1.238290607</v>
      </c>
      <c r="X2421" s="82">
        <f>IFERROR(__xludf.DUMMYFUNCTION("""COMPUTED_VALUE"""),2.5314845903439203)</f>
        <v>2.53148459</v>
      </c>
      <c r="Y2421" s="82">
        <f>IFERROR(__xludf.DUMMYFUNCTION("""COMPUTED_VALUE"""),331.27685371643565)</f>
        <v>331.2768537</v>
      </c>
      <c r="Z2421" s="82">
        <f>IFERROR(__xludf.DUMMYFUNCTION("""COMPUTED_VALUE"""),0.7430439533977105)</f>
        <v>0.7430439534</v>
      </c>
      <c r="AA2421" s="82">
        <f>IFERROR(__xludf.DUMMYFUNCTION("""COMPUTED_VALUE"""),0.5247256245239705)</f>
        <v>0.5247256245</v>
      </c>
      <c r="AB2421" s="82">
        <f>IFERROR(__xludf.DUMMYFUNCTION("""COMPUTED_VALUE"""),1.2111920044413222)</f>
        <v>1.211192004</v>
      </c>
      <c r="AC2421" s="82">
        <f>IFERROR(__xludf.DUMMYFUNCTION("""COMPUTED_VALUE"""),2.45177265779502)</f>
        <v>2.451772658</v>
      </c>
      <c r="AD2421" s="82">
        <f>IFERROR(__xludf.DUMMYFUNCTION("""COMPUTED_VALUE"""),0.6676999793545271)</f>
        <v>0.6676999794</v>
      </c>
      <c r="AE2421" s="82">
        <f>IFERROR(__xludf.DUMMYFUNCTION("""COMPUTED_VALUE"""),0.39072060181313073)</f>
        <v>0.3907206018</v>
      </c>
      <c r="AF2421" s="82">
        <f>IFERROR(__xludf.DUMMYFUNCTION("""COMPUTED_VALUE"""),0.43033242719517295)</f>
        <v>0.4303324272</v>
      </c>
      <c r="AG2421" s="82">
        <f>IFERROR(__xludf.DUMMYFUNCTION("""COMPUTED_VALUE"""),0.7457329664822526)</f>
        <v>0.7457329665</v>
      </c>
      <c r="AH2421" s="82">
        <f>IFERROR(__xludf.DUMMYFUNCTION("""COMPUTED_VALUE"""),0.6578518692091957)</f>
        <v>0.6578518692</v>
      </c>
      <c r="AI2421" s="82">
        <f>IFERROR(__xludf.DUMMYFUNCTION("""COMPUTED_VALUE"""),1.0877293899708325)</f>
        <v>1.08772939</v>
      </c>
      <c r="AJ2421" s="82">
        <f>IFERROR(__xludf.DUMMYFUNCTION("""COMPUTED_VALUE"""),1.1959713254966715)</f>
        <v>1.195971325</v>
      </c>
      <c r="AK2421" s="82">
        <f>IFERROR(__xludf.DUMMYFUNCTION("""COMPUTED_VALUE"""),1.2195233725472232)</f>
        <v>1.219523373</v>
      </c>
      <c r="AL2421" s="82">
        <f>IFERROR(__xludf.DUMMYFUNCTION("""COMPUTED_VALUE"""),1.0420191945224482)</f>
        <v>1.042019195</v>
      </c>
      <c r="AM2421" s="82">
        <f>IFERROR(__xludf.DUMMYFUNCTION("""COMPUTED_VALUE"""),1.027914824194481)</f>
        <v>1.027914824</v>
      </c>
      <c r="AN2421" s="82">
        <f>IFERROR(__xludf.DUMMYFUNCTION("""COMPUTED_VALUE"""),0.679927192066501)</f>
        <v>0.6799271921</v>
      </c>
      <c r="AO2421" s="82">
        <f>IFERROR(__xludf.DUMMYFUNCTION("""COMPUTED_VALUE"""),0.3972429621273268)</f>
        <v>0.3972429621</v>
      </c>
      <c r="AP2421" s="82">
        <f>IFERROR(__xludf.DUMMYFUNCTION("""COMPUTED_VALUE"""),0.4379903179656638)</f>
        <v>0.437990318</v>
      </c>
      <c r="AQ2421" s="82">
        <f>IFERROR(__xludf.DUMMYFUNCTION("""COMPUTED_VALUE"""),0.749121021680348)</f>
        <v>0.7491210217</v>
      </c>
      <c r="AR2421" s="82">
        <f>IFERROR(__xludf.DUMMYFUNCTION("""COMPUTED_VALUE"""),0.677810631387142)</f>
        <v>0.6778106314</v>
      </c>
      <c r="AS2421" s="82">
        <f>IFERROR(__xludf.DUMMYFUNCTION("""COMPUTED_VALUE"""),34.0)</f>
        <v>34</v>
      </c>
      <c r="AT2421" s="82">
        <f>IFERROR(__xludf.DUMMYFUNCTION("""COMPUTED_VALUE"""),0.18412299244063093)</f>
        <v>0.1841229924</v>
      </c>
      <c r="AU2421" s="82">
        <f>IFERROR(__xludf.DUMMYFUNCTION("""COMPUTED_VALUE"""),0.7678252119958925)</f>
        <v>0.767825212</v>
      </c>
      <c r="AV2421" s="82">
        <f>IFERROR(__xludf.DUMMYFUNCTION("""COMPUTED_VALUE"""),-4.167219174217948)</f>
        <v>-4.167219174</v>
      </c>
      <c r="AW2421" s="82">
        <f t="shared" si="1"/>
        <v>-66.09692507</v>
      </c>
      <c r="AX2421" s="83">
        <f t="array" ref="AX2421">IFERROR(DGET('SBV Import'!A:G,"SBV",{"RSC ID","Tier";B2421,A2421}))</f>
        <v>-0.7586001481</v>
      </c>
      <c r="AY2421" s="82">
        <f t="shared" si="2"/>
        <v>-47.25721036</v>
      </c>
      <c r="AZ2421" s="82">
        <v>18.83971471192322</v>
      </c>
      <c r="BA2421" s="84">
        <v>2300.0</v>
      </c>
      <c r="BB2421" s="84" t="b">
        <f>IFERROR(__xludf.DUMMYFUNCTION("iferror(if(A2421="""",,E2421&gt;=FILTER(Constants!$F$2:$F$10,Constants!$A$2:$A$10=A2421)))"),TRUE)</f>
        <v>1</v>
      </c>
    </row>
    <row r="2422">
      <c r="A2422" s="89" t="str">
        <f>IFERROR(__xludf.DUMMYFUNCTION("""COMPUTED_VALUE"""),"Challenger")</f>
        <v>Challenger</v>
      </c>
      <c r="B2422" s="87" t="str">
        <f>IFERROR(__xludf.DUMMYFUNCTION("""COMPUTED_VALUE"""),"RSC005509")</f>
        <v>RSC005509</v>
      </c>
      <c r="C2422" s="73" t="str">
        <f>IFERROR(__xludf.DUMMYFUNCTION("""COMPUTED_VALUE"""),"Benjamen A")</f>
        <v>Benjamen A</v>
      </c>
      <c r="D2422" s="73"/>
      <c r="E2422" s="82">
        <f>IFERROR(__xludf.DUMMYFUNCTION("""COMPUTED_VALUE"""),3.0)</f>
        <v>3</v>
      </c>
      <c r="F2422" s="82">
        <f>IFERROR(__xludf.DUMMYFUNCTION("""COMPUTED_VALUE"""),0.0)</f>
        <v>0</v>
      </c>
      <c r="G2422" s="86">
        <f>IFERROR(__xludf.DUMMYFUNCTION("""COMPUTED_VALUE"""),3.0)</f>
        <v>3</v>
      </c>
      <c r="H2422" s="86">
        <f>IFERROR(__xludf.DUMMYFUNCTION("""COMPUTED_VALUE"""),0.0)</f>
        <v>0</v>
      </c>
      <c r="I2422" s="86">
        <f>IFERROR(__xludf.DUMMYFUNCTION("""COMPUTED_VALUE"""),0.0)</f>
        <v>0</v>
      </c>
      <c r="J2422" s="82">
        <f>IFERROR(__xludf.DUMMYFUNCTION("""COMPUTED_VALUE"""),248.66666666666666)</f>
        <v>248.6666667</v>
      </c>
      <c r="K2422" s="82">
        <f>IFERROR(__xludf.DUMMYFUNCTION("""COMPUTED_VALUE"""),0.0)</f>
        <v>0</v>
      </c>
      <c r="L2422" s="82">
        <f>IFERROR(__xludf.DUMMYFUNCTION("""COMPUTED_VALUE"""),0.6666666666666666)</f>
        <v>0.6666666667</v>
      </c>
      <c r="M2422" s="82">
        <f>IFERROR(__xludf.DUMMYFUNCTION("""COMPUTED_VALUE"""),2.0)</f>
        <v>2</v>
      </c>
      <c r="N2422" s="82">
        <f>IFERROR(__xludf.DUMMYFUNCTION("""COMPUTED_VALUE"""),0.6666666666666666)</f>
        <v>0.6666666667</v>
      </c>
      <c r="O2422" s="82">
        <f>IFERROR(__xludf.DUMMYFUNCTION("""COMPUTED_VALUE"""),446.22222222222223)</f>
        <v>446.2222222</v>
      </c>
      <c r="P2422" s="82">
        <f>IFERROR(__xludf.DUMMYFUNCTION("""COMPUTED_VALUE"""),1.3333333333333333)</f>
        <v>1.333333333</v>
      </c>
      <c r="Q2422" s="82">
        <f>IFERROR(__xludf.DUMMYFUNCTION("""COMPUTED_VALUE"""),1.2222222222222223)</f>
        <v>1.222222222</v>
      </c>
      <c r="R2422" s="82">
        <f>IFERROR(__xludf.DUMMYFUNCTION("""COMPUTED_VALUE"""),1.222222222222222)</f>
        <v>1.222222222</v>
      </c>
      <c r="S2422" s="82">
        <f>IFERROR(__xludf.DUMMYFUNCTION("""COMPUTED_VALUE"""),3.4444444444444446)</f>
        <v>3.444444444</v>
      </c>
      <c r="T2422" s="82">
        <f>IFERROR(__xludf.DUMMYFUNCTION("""COMPUTED_VALUE"""),348.53942652329744)</f>
        <v>348.5394265</v>
      </c>
      <c r="U2422" s="82">
        <f>IFERROR(__xludf.DUMMYFUNCTION("""COMPUTED_VALUE"""),0.8608649415101027)</f>
        <v>0.8608649415</v>
      </c>
      <c r="V2422" s="82">
        <f>IFERROR(__xludf.DUMMYFUNCTION("""COMPUTED_VALUE"""),0.5922446728898342)</f>
        <v>0.5922446729</v>
      </c>
      <c r="W2422" s="82">
        <f>IFERROR(__xludf.DUMMYFUNCTION("""COMPUTED_VALUE"""),1.1199338296112489)</f>
        <v>1.11993383</v>
      </c>
      <c r="X2422" s="82">
        <f>IFERROR(__xludf.DUMMYFUNCTION("""COMPUTED_VALUE"""),2.7935326322423095)</f>
        <v>2.793532632</v>
      </c>
      <c r="Y2422" s="82">
        <f>IFERROR(__xludf.DUMMYFUNCTION("""COMPUTED_VALUE"""),322.2991256055772)</f>
        <v>322.2991256</v>
      </c>
      <c r="Z2422" s="82">
        <f>IFERROR(__xludf.DUMMYFUNCTION("""COMPUTED_VALUE"""),0.6127259836937256)</f>
        <v>0.6127259837</v>
      </c>
      <c r="AA2422" s="82">
        <f>IFERROR(__xludf.DUMMYFUNCTION("""COMPUTED_VALUE"""),0.4184226764871926)</f>
        <v>0.4184226765</v>
      </c>
      <c r="AB2422" s="82">
        <f>IFERROR(__xludf.DUMMYFUNCTION("""COMPUTED_VALUE"""),1.4503984665274985)</f>
        <v>1.450398467</v>
      </c>
      <c r="AC2422" s="82">
        <f>IFERROR(__xludf.DUMMYFUNCTION("""COMPUTED_VALUE"""),2.1533538146441376)</f>
        <v>2.153353815</v>
      </c>
      <c r="AD2422" s="82">
        <f>IFERROR(__xludf.DUMMYFUNCTION("""COMPUTED_VALUE"""),0.771539997818609)</f>
        <v>0.7715399978</v>
      </c>
      <c r="AE2422" s="82">
        <f>IFERROR(__xludf.DUMMYFUNCTION("""COMPUTED_VALUE"""),0.0)</f>
        <v>0</v>
      </c>
      <c r="AF2422" s="82">
        <f>IFERROR(__xludf.DUMMYFUNCTION("""COMPUTED_VALUE"""),1.5932852212111703)</f>
        <v>1.593285221</v>
      </c>
      <c r="AG2422" s="82">
        <f>IFERROR(__xludf.DUMMYFUNCTION("""COMPUTED_VALUE"""),1.3789314082690265)</f>
        <v>1.378931408</v>
      </c>
      <c r="AH2422" s="82">
        <f>IFERROR(__xludf.DUMMYFUNCTION("""COMPUTED_VALUE"""),0.3095945785281179)</f>
        <v>0.3095945785</v>
      </c>
      <c r="AI2422" s="82">
        <f>IFERROR(__xludf.DUMMYFUNCTION("""COMPUTED_VALUE"""),1.28026325937733)</f>
        <v>1.280263259</v>
      </c>
      <c r="AJ2422" s="82">
        <f>IFERROR(__xludf.DUMMYFUNCTION("""COMPUTED_VALUE"""),1.548829867545124)</f>
        <v>1.548829868</v>
      </c>
      <c r="AK2422" s="82">
        <f>IFERROR(__xludf.DUMMYFUNCTION("""COMPUTED_VALUE"""),2.063711635021448)</f>
        <v>2.063711635</v>
      </c>
      <c r="AL2422" s="82">
        <f>IFERROR(__xludf.DUMMYFUNCTION("""COMPUTED_VALUE"""),1.0913343180699162)</f>
        <v>1.091334318</v>
      </c>
      <c r="AM2422" s="82">
        <f>IFERROR(__xludf.DUMMYFUNCTION("""COMPUTED_VALUE"""),1.2330066972153684)</f>
        <v>1.233006697</v>
      </c>
      <c r="AN2422" s="82">
        <f>IFERROR(__xludf.DUMMYFUNCTION("""COMPUTED_VALUE"""),0.7643768530324195)</f>
        <v>0.764376853</v>
      </c>
      <c r="AO2422" s="82">
        <f>IFERROR(__xludf.DUMMYFUNCTION("""COMPUTED_VALUE"""),0.0)</f>
        <v>0</v>
      </c>
      <c r="AP2422" s="82">
        <f>IFERROR(__xludf.DUMMYFUNCTION("""COMPUTED_VALUE"""),1.2931142720891025)</f>
        <v>1.293114272</v>
      </c>
      <c r="AQ2422" s="82">
        <f>IFERROR(__xludf.DUMMYFUNCTION("""COMPUTED_VALUE"""),1.6587679765779135)</f>
        <v>1.658767977</v>
      </c>
      <c r="AR2422" s="82">
        <f>IFERROR(__xludf.DUMMYFUNCTION("""COMPUTED_VALUE"""),0.28016172764001873)</f>
        <v>0.2801617276</v>
      </c>
      <c r="AS2422" s="82">
        <f>IFERROR(__xludf.DUMMYFUNCTION("""COMPUTED_VALUE"""),5.0)</f>
        <v>5</v>
      </c>
      <c r="AT2422" s="82">
        <f>IFERROR(__xludf.DUMMYFUNCTION("""COMPUTED_VALUE"""),0.19150263325287462)</f>
        <v>0.1915026333</v>
      </c>
      <c r="AU2422" s="82">
        <f>IFERROR(__xludf.DUMMYFUNCTION("""COMPUTED_VALUE"""),0.1908209914192074)</f>
        <v>0.1908209914</v>
      </c>
      <c r="AV2422" s="82">
        <f>IFERROR(__xludf.DUMMYFUNCTION("""COMPUTED_VALUE"""),-19.226025752581876)</f>
        <v>-19.22602575</v>
      </c>
      <c r="AW2422" s="82">
        <f t="shared" si="1"/>
        <v>-355.7354496</v>
      </c>
      <c r="AX2422" s="83">
        <f t="array" ref="AX2422">IFERROR(DGET('SBV Import'!A:G,"SBV",{"RSC ID","Tier";B2422,A2422}))</f>
        <v>-7.9554447</v>
      </c>
      <c r="AY2422" s="82">
        <f t="shared" si="2"/>
        <v>-97.85938577</v>
      </c>
      <c r="AZ2422" s="82">
        <v>257.87606380385574</v>
      </c>
      <c r="BA2422" s="84">
        <v>2300.0</v>
      </c>
      <c r="BB2422" s="84" t="b">
        <f>IFERROR(__xludf.DUMMYFUNCTION("iferror(if(A2422="""",,E2422&gt;=FILTER(Constants!$F$2:$F$10,Constants!$A$2:$A$10=A2422)))"),TRUE)</f>
        <v>1</v>
      </c>
    </row>
    <row r="2423">
      <c r="A2423" s="89" t="str">
        <f>IFERROR(__xludf.DUMMYFUNCTION("""COMPUTED_VALUE"""),"Challenger")</f>
        <v>Challenger</v>
      </c>
      <c r="B2423" s="87" t="str">
        <f>IFERROR(__xludf.DUMMYFUNCTION("""COMPUTED_VALUE"""),"RSC006868")</f>
        <v>RSC006868</v>
      </c>
      <c r="C2423" s="73" t="str">
        <f>IFERROR(__xludf.DUMMYFUNCTION("""COMPUTED_VALUE"""),"TraxStar_19")</f>
        <v>TraxStar_19</v>
      </c>
      <c r="D2423" s="73" t="str">
        <f>IFERROR(__xludf.DUMMYFUNCTION("""COMPUTED_VALUE"""),"Warbirds")</f>
        <v>Warbirds</v>
      </c>
      <c r="E2423" s="82">
        <f>IFERROR(__xludf.DUMMYFUNCTION("""COMPUTED_VALUE"""),6.0)</f>
        <v>6</v>
      </c>
      <c r="F2423" s="82">
        <f>IFERROR(__xludf.DUMMYFUNCTION("""COMPUTED_VALUE"""),2.0)</f>
        <v>2</v>
      </c>
      <c r="G2423" s="86">
        <f>IFERROR(__xludf.DUMMYFUNCTION("""COMPUTED_VALUE"""),4.0)</f>
        <v>4</v>
      </c>
      <c r="H2423" s="86">
        <f>IFERROR(__xludf.DUMMYFUNCTION("""COMPUTED_VALUE"""),0.3333333333333333)</f>
        <v>0.3333333333</v>
      </c>
      <c r="I2423" s="86">
        <f>IFERROR(__xludf.DUMMYFUNCTION("""COMPUTED_VALUE"""),0.375)</f>
        <v>0.375</v>
      </c>
      <c r="J2423" s="82">
        <f>IFERROR(__xludf.DUMMYFUNCTION("""COMPUTED_VALUE"""),194.5)</f>
        <v>194.5</v>
      </c>
      <c r="K2423" s="82">
        <f>IFERROR(__xludf.DUMMYFUNCTION("""COMPUTED_VALUE"""),0.5)</f>
        <v>0.5</v>
      </c>
      <c r="L2423" s="82">
        <f>IFERROR(__xludf.DUMMYFUNCTION("""COMPUTED_VALUE"""),0.0)</f>
        <v>0</v>
      </c>
      <c r="M2423" s="82">
        <f>IFERROR(__xludf.DUMMYFUNCTION("""COMPUTED_VALUE"""),1.3333333333333333)</f>
        <v>1.333333333</v>
      </c>
      <c r="N2423" s="82">
        <f>IFERROR(__xludf.DUMMYFUNCTION("""COMPUTED_VALUE"""),1.3333333333333333)</f>
        <v>1.333333333</v>
      </c>
      <c r="O2423" s="82">
        <f>IFERROR(__xludf.DUMMYFUNCTION("""COMPUTED_VALUE"""),424.6666666666667)</f>
        <v>424.6666667</v>
      </c>
      <c r="P2423" s="82">
        <f>IFERROR(__xludf.DUMMYFUNCTION("""COMPUTED_VALUE"""),1.2777777777777777)</f>
        <v>1.277777778</v>
      </c>
      <c r="Q2423" s="82">
        <f>IFERROR(__xludf.DUMMYFUNCTION("""COMPUTED_VALUE"""),1.0)</f>
        <v>1</v>
      </c>
      <c r="R2423" s="82">
        <f>IFERROR(__xludf.DUMMYFUNCTION("""COMPUTED_VALUE"""),1.0)</f>
        <v>1</v>
      </c>
      <c r="S2423" s="82">
        <f>IFERROR(__xludf.DUMMYFUNCTION("""COMPUTED_VALUE"""),3.944444444444444)</f>
        <v>3.944444444</v>
      </c>
      <c r="T2423" s="82">
        <f>IFERROR(__xludf.DUMMYFUNCTION("""COMPUTED_VALUE"""),341.1624183441061)</f>
        <v>341.1624183</v>
      </c>
      <c r="U2423" s="82">
        <f>IFERROR(__xludf.DUMMYFUNCTION("""COMPUTED_VALUE"""),0.8279099643642)</f>
        <v>0.8279099644</v>
      </c>
      <c r="V2423" s="82">
        <f>IFERROR(__xludf.DUMMYFUNCTION("""COMPUTED_VALUE"""),0.5646959263599705)</f>
        <v>0.5646959264</v>
      </c>
      <c r="W2423" s="82">
        <f>IFERROR(__xludf.DUMMYFUNCTION("""COMPUTED_VALUE"""),1.168132719870197)</f>
        <v>1.16813272</v>
      </c>
      <c r="X2423" s="82">
        <f>IFERROR(__xludf.DUMMYFUNCTION("""COMPUTED_VALUE"""),2.4908340908734297)</f>
        <v>2.490834091</v>
      </c>
      <c r="Y2423" s="82">
        <f>IFERROR(__xludf.DUMMYFUNCTION("""COMPUTED_VALUE"""),324.0376427798645)</f>
        <v>324.0376428</v>
      </c>
      <c r="Z2423" s="82">
        <f>IFERROR(__xludf.DUMMYFUNCTION("""COMPUTED_VALUE"""),0.6987340533083167)</f>
        <v>0.6987340533</v>
      </c>
      <c r="AA2423" s="82">
        <f>IFERROR(__xludf.DUMMYFUNCTION("""COMPUTED_VALUE"""),0.5205670443759437)</f>
        <v>0.5205670444</v>
      </c>
      <c r="AB2423" s="82">
        <f>IFERROR(__xludf.DUMMYFUNCTION("""COMPUTED_VALUE"""),1.253590208540379)</f>
        <v>1.253590209</v>
      </c>
      <c r="AC2423" s="82">
        <f>IFERROR(__xludf.DUMMYFUNCTION("""COMPUTED_VALUE"""),2.239791435394198)</f>
        <v>2.239791435</v>
      </c>
      <c r="AD2423" s="82">
        <f>IFERROR(__xludf.DUMMYFUNCTION("""COMPUTED_VALUE"""),0.600238905367343)</f>
        <v>0.6002389054</v>
      </c>
      <c r="AE2423" s="82">
        <f>IFERROR(__xludf.DUMMYFUNCTION("""COMPUTED_VALUE"""),0.7155798370390498)</f>
        <v>0.715579837</v>
      </c>
      <c r="AF2423" s="82">
        <f>IFERROR(__xludf.DUMMYFUNCTION("""COMPUTED_VALUE"""),0.0)</f>
        <v>0</v>
      </c>
      <c r="AG2423" s="82">
        <f>IFERROR(__xludf.DUMMYFUNCTION("""COMPUTED_VALUE"""),1.0636117961433373)</f>
        <v>1.063611796</v>
      </c>
      <c r="AH2423" s="82">
        <f>IFERROR(__xludf.DUMMYFUNCTION("""COMPUTED_VALUE"""),0.5952935225411601)</f>
        <v>0.5952935225</v>
      </c>
      <c r="AI2423" s="82">
        <f>IFERROR(__xludf.DUMMYFUNCTION("""COMPUTED_VALUE"""),1.24476391253135)</f>
        <v>1.244763913</v>
      </c>
      <c r="AJ2423" s="82">
        <f>IFERROR(__xludf.DUMMYFUNCTION("""COMPUTED_VALUE"""),1.5433777014135315)</f>
        <v>1.543377701</v>
      </c>
      <c r="AK2423" s="82">
        <f>IFERROR(__xludf.DUMMYFUNCTION("""COMPUTED_VALUE"""),1.7708645543912442)</f>
        <v>1.770864554</v>
      </c>
      <c r="AL2423" s="82">
        <f>IFERROR(__xludf.DUMMYFUNCTION("""COMPUTED_VALUE"""),0.8560671086339574)</f>
        <v>0.8560671086</v>
      </c>
      <c r="AM2423" s="82">
        <f>IFERROR(__xludf.DUMMYFUNCTION("""COMPUTED_VALUE"""),1.5835837717562695)</f>
        <v>1.583583772</v>
      </c>
      <c r="AN2423" s="82">
        <f>IFERROR(__xludf.DUMMYFUNCTION("""COMPUTED_VALUE"""),0.5978738522043121)</f>
        <v>0.5978738522</v>
      </c>
      <c r="AO2423" s="82">
        <f>IFERROR(__xludf.DUMMYFUNCTION("""COMPUTED_VALUE"""),0.6841406569970628)</f>
        <v>0.684140657</v>
      </c>
      <c r="AP2423" s="82">
        <f>IFERROR(__xludf.DUMMYFUNCTION("""COMPUTED_VALUE"""),0.0)</f>
        <v>0</v>
      </c>
      <c r="AQ2423" s="82">
        <f>IFERROR(__xludf.DUMMYFUNCTION("""COMPUTED_VALUE"""),1.105845317718609)</f>
        <v>1.105845318</v>
      </c>
      <c r="AR2423" s="82">
        <f>IFERROR(__xludf.DUMMYFUNCTION("""COMPUTED_VALUE"""),0.5603234552800375)</f>
        <v>0.5603234553</v>
      </c>
      <c r="AS2423" s="82">
        <f>IFERROR(__xludf.DUMMYFUNCTION("""COMPUTED_VALUE"""),14.0)</f>
        <v>14</v>
      </c>
      <c r="AT2423" s="82">
        <f>IFERROR(__xludf.DUMMYFUNCTION("""COMPUTED_VALUE"""),0.3022145087535711)</f>
        <v>0.3022145088</v>
      </c>
      <c r="AU2423" s="82">
        <f>IFERROR(__xludf.DUMMYFUNCTION("""COMPUTED_VALUE"""),0.04469387958893689)</f>
        <v>0.04469387959</v>
      </c>
      <c r="AV2423" s="82">
        <f>IFERROR(__xludf.DUMMYFUNCTION("""COMPUTED_VALUE"""),-23.039689213670115)</f>
        <v>-23.03968921</v>
      </c>
      <c r="AW2423" s="82">
        <f t="shared" si="1"/>
        <v>-574.2961776</v>
      </c>
      <c r="AX2423" s="83">
        <f t="array" ref="AX2423">IFERROR(DGET('SBV Import'!A:G,"SBV",{"RSC ID","Tier";B2423,A2423}))</f>
        <v>-36.06985826</v>
      </c>
      <c r="AY2423" s="82">
        <f t="shared" si="2"/>
        <v>-3473.808453</v>
      </c>
      <c r="AZ2423" s="82">
        <v>2899.5122757319664</v>
      </c>
      <c r="BA2423" s="84">
        <v>2300.0</v>
      </c>
      <c r="BB2423" s="84" t="b">
        <f>IFERROR(__xludf.DUMMYFUNCTION("iferror(if(A2423="""",,E2423&gt;=FILTER(Constants!$F$2:$F$10,Constants!$A$2:$A$10=A2423)))"),TRUE)</f>
        <v>1</v>
      </c>
    </row>
    <row r="2424">
      <c r="A2424" s="89" t="str">
        <f>IFERROR(__xludf.DUMMYFUNCTION("""COMPUTED_VALUE"""),"Challenger")</f>
        <v>Challenger</v>
      </c>
      <c r="B2424" s="87" t="str">
        <f>IFERROR(__xludf.DUMMYFUNCTION("""COMPUTED_VALUE"""),"RSC007874")</f>
        <v>RSC007874</v>
      </c>
      <c r="C2424" s="73" t="str">
        <f>IFERROR(__xludf.DUMMYFUNCTION("""COMPUTED_VALUE"""),"SALTY NUM NUM")</f>
        <v>SALTY NUM NUM</v>
      </c>
      <c r="D2424" s="73" t="str">
        <f>IFERROR(__xludf.DUMMYFUNCTION("""COMPUTED_VALUE"""),"Apple Associates")</f>
        <v>Apple Associates</v>
      </c>
      <c r="E2424" s="82">
        <f>IFERROR(__xludf.DUMMYFUNCTION("""COMPUTED_VALUE"""),6.0)</f>
        <v>6</v>
      </c>
      <c r="F2424" s="82">
        <f>IFERROR(__xludf.DUMMYFUNCTION("""COMPUTED_VALUE"""),1.0)</f>
        <v>1</v>
      </c>
      <c r="G2424" s="86">
        <f>IFERROR(__xludf.DUMMYFUNCTION("""COMPUTED_VALUE"""),5.0)</f>
        <v>5</v>
      </c>
      <c r="H2424" s="86">
        <f>IFERROR(__xludf.DUMMYFUNCTION("""COMPUTED_VALUE"""),0.16666666666666666)</f>
        <v>0.1666666667</v>
      </c>
      <c r="I2424" s="86">
        <f>IFERROR(__xludf.DUMMYFUNCTION("""COMPUTED_VALUE"""),0.5)</f>
        <v>0.5</v>
      </c>
      <c r="J2424" s="82">
        <f>IFERROR(__xludf.DUMMYFUNCTION("""COMPUTED_VALUE"""),185.0)</f>
        <v>185</v>
      </c>
      <c r="K2424" s="82">
        <f>IFERROR(__xludf.DUMMYFUNCTION("""COMPUTED_VALUE"""),0.3333333333333333)</f>
        <v>0.3333333333</v>
      </c>
      <c r="L2424" s="82">
        <f>IFERROR(__xludf.DUMMYFUNCTION("""COMPUTED_VALUE"""),0.0)</f>
        <v>0</v>
      </c>
      <c r="M2424" s="82">
        <f>IFERROR(__xludf.DUMMYFUNCTION("""COMPUTED_VALUE"""),0.8333333333333334)</f>
        <v>0.8333333333</v>
      </c>
      <c r="N2424" s="82">
        <f>IFERROR(__xludf.DUMMYFUNCTION("""COMPUTED_VALUE"""),0.6666666666666666)</f>
        <v>0.6666666667</v>
      </c>
      <c r="O2424" s="82">
        <f>IFERROR(__xludf.DUMMYFUNCTION("""COMPUTED_VALUE"""),381.7222222222222)</f>
        <v>381.7222222</v>
      </c>
      <c r="P2424" s="82">
        <f>IFERROR(__xludf.DUMMYFUNCTION("""COMPUTED_VALUE"""),1.388888888888889)</f>
        <v>1.388888889</v>
      </c>
      <c r="Q2424" s="82">
        <f>IFERROR(__xludf.DUMMYFUNCTION("""COMPUTED_VALUE"""),0.9444444444444443)</f>
        <v>0.9444444444</v>
      </c>
      <c r="R2424" s="82">
        <f>IFERROR(__xludf.DUMMYFUNCTION("""COMPUTED_VALUE"""),0.4444444444444445)</f>
        <v>0.4444444444</v>
      </c>
      <c r="S2424" s="82">
        <f>IFERROR(__xludf.DUMMYFUNCTION("""COMPUTED_VALUE"""),3.2222222222222228)</f>
        <v>3.222222222</v>
      </c>
      <c r="T2424" s="82">
        <f>IFERROR(__xludf.DUMMYFUNCTION("""COMPUTED_VALUE"""),328.05512965158937)</f>
        <v>328.0551297</v>
      </c>
      <c r="U2424" s="82">
        <f>IFERROR(__xludf.DUMMYFUNCTION("""COMPUTED_VALUE"""),0.7472515020470539)</f>
        <v>0.747251502</v>
      </c>
      <c r="V2424" s="82">
        <f>IFERROR(__xludf.DUMMYFUNCTION("""COMPUTED_VALUE"""),0.572189580081606)</f>
        <v>0.5721895801</v>
      </c>
      <c r="W2424" s="82">
        <f>IFERROR(__xludf.DUMMYFUNCTION("""COMPUTED_VALUE"""),1.0502283992827255)</f>
        <v>1.050228399</v>
      </c>
      <c r="X2424" s="82">
        <f>IFERROR(__xludf.DUMMYFUNCTION("""COMPUTED_VALUE"""),2.4294162494198965)</f>
        <v>2.429416249</v>
      </c>
      <c r="Y2424" s="82">
        <f>IFERROR(__xludf.DUMMYFUNCTION("""COMPUTED_VALUE"""),311.94741505413646)</f>
        <v>311.9474151</v>
      </c>
      <c r="Z2424" s="82">
        <f>IFERROR(__xludf.DUMMYFUNCTION("""COMPUTED_VALUE"""),0.6812485623494812)</f>
        <v>0.6812485623</v>
      </c>
      <c r="AA2424" s="82">
        <f>IFERROR(__xludf.DUMMYFUNCTION("""COMPUTED_VALUE"""),0.47495139108749357)</f>
        <v>0.4749513911</v>
      </c>
      <c r="AB2424" s="82">
        <f>IFERROR(__xludf.DUMMYFUNCTION("""COMPUTED_VALUE"""),1.17221632872603)</f>
        <v>1.172216329</v>
      </c>
      <c r="AC2424" s="82">
        <f>IFERROR(__xludf.DUMMYFUNCTION("""COMPUTED_VALUE"""),2.1686461857531647)</f>
        <v>2.168646186</v>
      </c>
      <c r="AD2424" s="82">
        <f>IFERROR(__xludf.DUMMYFUNCTION("""COMPUTED_VALUE"""),0.5930486712572837)</f>
        <v>0.5930486713</v>
      </c>
      <c r="AE2424" s="82">
        <f>IFERROR(__xludf.DUMMYFUNCTION("""COMPUTED_VALUE"""),0.4892976686567054)</f>
        <v>0.4892976687</v>
      </c>
      <c r="AF2424" s="82">
        <f>IFERROR(__xludf.DUMMYFUNCTION("""COMPUTED_VALUE"""),0.0)</f>
        <v>0</v>
      </c>
      <c r="AG2424" s="82">
        <f>IFERROR(__xludf.DUMMYFUNCTION("""COMPUTED_VALUE"""),0.7109040480940951)</f>
        <v>0.7109040481</v>
      </c>
      <c r="AH2424" s="82">
        <f>IFERROR(__xludf.DUMMYFUNCTION("""COMPUTED_VALUE"""),0.30741144915491836)</f>
        <v>0.3074114492</v>
      </c>
      <c r="AI2424" s="82">
        <f>IFERROR(__xludf.DUMMYFUNCTION("""COMPUTED_VALUE"""),1.1635916884690385)</f>
        <v>1.163591688</v>
      </c>
      <c r="AJ2424" s="82">
        <f>IFERROR(__xludf.DUMMYFUNCTION("""COMPUTED_VALUE"""),1.858663227954852)</f>
        <v>1.858663228</v>
      </c>
      <c r="AK2424" s="82">
        <f>IFERROR(__xludf.DUMMYFUNCTION("""COMPUTED_VALUE"""),1.65057959340984)</f>
        <v>1.650579593</v>
      </c>
      <c r="AL2424" s="82">
        <f>IFERROR(__xludf.DUMMYFUNCTION("""COMPUTED_VALUE"""),0.42318837002311754)</f>
        <v>0.42318837</v>
      </c>
      <c r="AM2424" s="82">
        <f>IFERROR(__xludf.DUMMYFUNCTION("""COMPUTED_VALUE"""),1.326335996555401)</f>
        <v>1.326335997</v>
      </c>
      <c r="AN2424" s="82">
        <f>IFERROR(__xludf.DUMMYFUNCTION("""COMPUTED_VALUE"""),0.5686717874436902)</f>
        <v>0.5686717874</v>
      </c>
      <c r="AO2424" s="82">
        <f>IFERROR(__xludf.DUMMYFUNCTION("""COMPUTED_VALUE"""),0.4560937713313752)</f>
        <v>0.4560937713</v>
      </c>
      <c r="AP2424" s="82">
        <f>IFERROR(__xludf.DUMMYFUNCTION("""COMPUTED_VALUE"""),0.0)</f>
        <v>0</v>
      </c>
      <c r="AQ2424" s="82">
        <f>IFERROR(__xludf.DUMMYFUNCTION("""COMPUTED_VALUE"""),0.6911533235741307)</f>
        <v>0.6911533236</v>
      </c>
      <c r="AR2424" s="82">
        <f>IFERROR(__xludf.DUMMYFUNCTION("""COMPUTED_VALUE"""),0.28016172764001873)</f>
        <v>0.2801617276</v>
      </c>
      <c r="AS2424" s="82">
        <f>IFERROR(__xludf.DUMMYFUNCTION("""COMPUTED_VALUE"""),7.0)</f>
        <v>7</v>
      </c>
      <c r="AT2424" s="82">
        <f>IFERROR(__xludf.DUMMYFUNCTION("""COMPUTED_VALUE"""),0.11323702096194349)</f>
        <v>0.113237021</v>
      </c>
      <c r="AU2424" s="82">
        <f>IFERROR(__xludf.DUMMYFUNCTION("""COMPUTED_VALUE"""),-0.5566528537509658)</f>
        <v>-0.5566528538</v>
      </c>
      <c r="AV2424" s="82">
        <f>IFERROR(__xludf.DUMMYFUNCTION("""COMPUTED_VALUE"""),-38.7337930364221)</f>
        <v>-38.73379304</v>
      </c>
      <c r="AW2424" s="82">
        <f t="shared" si="1"/>
        <v>-5178.92019</v>
      </c>
      <c r="AX2424" s="83">
        <f t="array" ref="AX2424">IFERROR(DGET('SBV Import'!A:G,"SBV",{"RSC ID","Tier";B2424,A2424}))</f>
        <v>-31.95601503</v>
      </c>
      <c r="AY2424" s="82">
        <f t="shared" si="2"/>
        <v>-1914.67591</v>
      </c>
      <c r="AZ2424" s="82">
        <v>3264.244280450812</v>
      </c>
      <c r="BA2424" s="84">
        <v>2300.0</v>
      </c>
      <c r="BB2424" s="84" t="b">
        <f>IFERROR(__xludf.DUMMYFUNCTION("iferror(if(A2424="""",,E2424&gt;=FILTER(Constants!$F$2:$F$10,Constants!$A$2:$A$10=A2424)))"),TRUE)</f>
        <v>1</v>
      </c>
    </row>
    <row r="2425">
      <c r="A2425" s="89"/>
      <c r="B2425" s="87"/>
      <c r="C2425" s="73"/>
      <c r="D2425" s="73"/>
      <c r="E2425" s="82"/>
      <c r="F2425" s="82"/>
      <c r="G2425" s="86"/>
      <c r="H2425" s="86"/>
      <c r="I2425" s="86"/>
      <c r="J2425" s="82"/>
      <c r="K2425" s="82"/>
      <c r="L2425" s="82"/>
      <c r="M2425" s="82"/>
      <c r="N2425" s="82"/>
      <c r="O2425" s="82"/>
      <c r="P2425" s="82"/>
      <c r="Q2425" s="82"/>
      <c r="R2425" s="82"/>
      <c r="S2425" s="82"/>
      <c r="T2425" s="82"/>
      <c r="U2425" s="82"/>
      <c r="V2425" s="82"/>
      <c r="W2425" s="82"/>
      <c r="X2425" s="82"/>
      <c r="Y2425" s="82"/>
      <c r="Z2425" s="82"/>
      <c r="AA2425" s="82"/>
      <c r="AB2425" s="82"/>
      <c r="AC2425" s="82"/>
      <c r="AD2425" s="82"/>
      <c r="AE2425" s="82"/>
      <c r="AF2425" s="82"/>
      <c r="AG2425" s="82"/>
      <c r="AH2425" s="82"/>
      <c r="AI2425" s="82"/>
      <c r="AJ2425" s="82"/>
      <c r="AK2425" s="82"/>
      <c r="AL2425" s="82"/>
      <c r="AM2425" s="82"/>
      <c r="AN2425" s="82">
        <f>IFERROR(__xludf.DUMMYFUNCTION("""COMPUTED_VALUE"""),0.0)</f>
        <v>0</v>
      </c>
      <c r="AO2425" s="82">
        <f>IFERROR(__xludf.DUMMYFUNCTION("""COMPUTED_VALUE"""),0.0)</f>
        <v>0</v>
      </c>
      <c r="AP2425" s="82">
        <f>IFERROR(__xludf.DUMMYFUNCTION("""COMPUTED_VALUE"""),0.0)</f>
        <v>0</v>
      </c>
      <c r="AQ2425" s="82">
        <f>IFERROR(__xludf.DUMMYFUNCTION("""COMPUTED_VALUE"""),0.0)</f>
        <v>0</v>
      </c>
      <c r="AR2425" s="82">
        <f>IFERROR(__xludf.DUMMYFUNCTION("""COMPUTED_VALUE"""),0.0)</f>
        <v>0</v>
      </c>
      <c r="AS2425" s="82"/>
      <c r="AT2425" s="82">
        <f>IFERROR(__xludf.DUMMYFUNCTION("""COMPUTED_VALUE"""),0.0)</f>
        <v>0</v>
      </c>
      <c r="AU2425" s="82"/>
      <c r="AV2425" s="82"/>
      <c r="AW2425" s="82" t="str">
        <f t="shared" si="1"/>
        <v/>
      </c>
      <c r="AX2425" s="83" t="str">
        <f t="array" ref="AX2425">IFERROR(DGET('SBV Import'!A:G,"SBV",{"RSC ID","Tier";B2425,A2425}))</f>
        <v/>
      </c>
      <c r="AY2425" s="82" t="str">
        <f t="shared" si="2"/>
        <v/>
      </c>
      <c r="AZ2425" s="82"/>
      <c r="BA2425" s="84" t="s">
        <v>152</v>
      </c>
      <c r="BB2425" s="84" t="str">
        <f>IFERROR(__xludf.DUMMYFUNCTION("iferror(if(A2425="""",,E2425&gt;=FILTER(Constants!$F$2:$F$10,Constants!$A$2:$A$10=A2425)))"),"")</f>
        <v/>
      </c>
    </row>
    <row r="2426">
      <c r="A2426" s="89"/>
      <c r="B2426" s="87"/>
      <c r="C2426" s="73"/>
      <c r="D2426" s="73"/>
      <c r="E2426" s="82"/>
      <c r="F2426" s="82"/>
      <c r="G2426" s="86"/>
      <c r="H2426" s="86"/>
      <c r="I2426" s="86"/>
      <c r="J2426" s="82"/>
      <c r="K2426" s="82"/>
      <c r="L2426" s="82"/>
      <c r="M2426" s="82"/>
      <c r="N2426" s="82"/>
      <c r="O2426" s="82"/>
      <c r="P2426" s="82"/>
      <c r="Q2426" s="82"/>
      <c r="R2426" s="82"/>
      <c r="S2426" s="82"/>
      <c r="T2426" s="82"/>
      <c r="U2426" s="82"/>
      <c r="V2426" s="82"/>
      <c r="W2426" s="82"/>
      <c r="X2426" s="82"/>
      <c r="Y2426" s="82"/>
      <c r="Z2426" s="82"/>
      <c r="AA2426" s="82"/>
      <c r="AB2426" s="82"/>
      <c r="AC2426" s="82"/>
      <c r="AD2426" s="82"/>
      <c r="AE2426" s="82"/>
      <c r="AF2426" s="82"/>
      <c r="AG2426" s="82"/>
      <c r="AH2426" s="82"/>
      <c r="AI2426" s="82"/>
      <c r="AJ2426" s="82"/>
      <c r="AK2426" s="82"/>
      <c r="AL2426" s="82"/>
      <c r="AM2426" s="82"/>
      <c r="AN2426" s="82">
        <f>IFERROR(__xludf.DUMMYFUNCTION("""COMPUTED_VALUE"""),0.0)</f>
        <v>0</v>
      </c>
      <c r="AO2426" s="82">
        <f>IFERROR(__xludf.DUMMYFUNCTION("""COMPUTED_VALUE"""),0.0)</f>
        <v>0</v>
      </c>
      <c r="AP2426" s="82">
        <f>IFERROR(__xludf.DUMMYFUNCTION("""COMPUTED_VALUE"""),0.0)</f>
        <v>0</v>
      </c>
      <c r="AQ2426" s="82">
        <f>IFERROR(__xludf.DUMMYFUNCTION("""COMPUTED_VALUE"""),0.0)</f>
        <v>0</v>
      </c>
      <c r="AR2426" s="82">
        <f>IFERROR(__xludf.DUMMYFUNCTION("""COMPUTED_VALUE"""),0.0)</f>
        <v>0</v>
      </c>
      <c r="AS2426" s="82"/>
      <c r="AT2426" s="82">
        <f>IFERROR(__xludf.DUMMYFUNCTION("""COMPUTED_VALUE"""),0.0)</f>
        <v>0</v>
      </c>
      <c r="AU2426" s="82"/>
      <c r="AV2426" s="82"/>
      <c r="AW2426" s="82" t="str">
        <f t="shared" si="1"/>
        <v/>
      </c>
      <c r="AX2426" s="83" t="str">
        <f t="array" ref="AX2426">IFERROR(DGET('SBV Import'!A:G,"SBV",{"RSC ID","Tier";B2426,A2426}))</f>
        <v/>
      </c>
      <c r="AY2426" s="82" t="str">
        <f t="shared" si="2"/>
        <v/>
      </c>
      <c r="AZ2426" s="82"/>
      <c r="BA2426" s="84" t="s">
        <v>152</v>
      </c>
      <c r="BB2426" s="84" t="str">
        <f>IFERROR(__xludf.DUMMYFUNCTION("iferror(if(A2426="""",,E2426&gt;=FILTER(Constants!$F$2:$F$10,Constants!$A$2:$A$10=A2426)))"),"")</f>
        <v/>
      </c>
    </row>
    <row r="2427">
      <c r="A2427" s="89"/>
      <c r="B2427" s="87"/>
      <c r="C2427" s="73"/>
      <c r="D2427" s="73"/>
      <c r="E2427" s="82"/>
      <c r="F2427" s="82"/>
      <c r="G2427" s="86"/>
      <c r="H2427" s="86"/>
      <c r="I2427" s="86"/>
      <c r="J2427" s="82"/>
      <c r="K2427" s="82"/>
      <c r="L2427" s="82"/>
      <c r="M2427" s="82"/>
      <c r="N2427" s="82"/>
      <c r="O2427" s="82"/>
      <c r="P2427" s="82"/>
      <c r="Q2427" s="82"/>
      <c r="R2427" s="82"/>
      <c r="S2427" s="82"/>
      <c r="T2427" s="82"/>
      <c r="U2427" s="82"/>
      <c r="V2427" s="82"/>
      <c r="W2427" s="82"/>
      <c r="X2427" s="82"/>
      <c r="Y2427" s="82"/>
      <c r="Z2427" s="82"/>
      <c r="AA2427" s="82"/>
      <c r="AB2427" s="82"/>
      <c r="AC2427" s="82"/>
      <c r="AD2427" s="82"/>
      <c r="AE2427" s="82"/>
      <c r="AF2427" s="82"/>
      <c r="AG2427" s="82"/>
      <c r="AH2427" s="82"/>
      <c r="AI2427" s="82"/>
      <c r="AJ2427" s="82"/>
      <c r="AK2427" s="82"/>
      <c r="AL2427" s="82"/>
      <c r="AM2427" s="82"/>
      <c r="AN2427" s="82">
        <f>IFERROR(__xludf.DUMMYFUNCTION("""COMPUTED_VALUE"""),0.0)</f>
        <v>0</v>
      </c>
      <c r="AO2427" s="82">
        <f>IFERROR(__xludf.DUMMYFUNCTION("""COMPUTED_VALUE"""),0.0)</f>
        <v>0</v>
      </c>
      <c r="AP2427" s="82">
        <f>IFERROR(__xludf.DUMMYFUNCTION("""COMPUTED_VALUE"""),0.0)</f>
        <v>0</v>
      </c>
      <c r="AQ2427" s="82">
        <f>IFERROR(__xludf.DUMMYFUNCTION("""COMPUTED_VALUE"""),0.0)</f>
        <v>0</v>
      </c>
      <c r="AR2427" s="82">
        <f>IFERROR(__xludf.DUMMYFUNCTION("""COMPUTED_VALUE"""),0.0)</f>
        <v>0</v>
      </c>
      <c r="AS2427" s="82"/>
      <c r="AT2427" s="82">
        <f>IFERROR(__xludf.DUMMYFUNCTION("""COMPUTED_VALUE"""),0.0)</f>
        <v>0</v>
      </c>
      <c r="AU2427" s="82"/>
      <c r="AV2427" s="82"/>
      <c r="AW2427" s="82" t="str">
        <f t="shared" si="1"/>
        <v/>
      </c>
      <c r="AX2427" s="83" t="str">
        <f t="array" ref="AX2427">IFERROR(DGET('SBV Import'!A:G,"SBV",{"RSC ID","Tier";B2427,A2427}))</f>
        <v/>
      </c>
      <c r="AY2427" s="82" t="str">
        <f t="shared" si="2"/>
        <v/>
      </c>
      <c r="AZ2427" s="82"/>
      <c r="BA2427" s="84" t="s">
        <v>152</v>
      </c>
      <c r="BB2427" s="84" t="str">
        <f>IFERROR(__xludf.DUMMYFUNCTION("iferror(if(A2427="""",,E2427&gt;=FILTER(Constants!$F$2:$F$10,Constants!$A$2:$A$10=A2427)))"),"")</f>
        <v/>
      </c>
    </row>
    <row r="2428">
      <c r="A2428" s="89"/>
      <c r="B2428" s="87"/>
      <c r="C2428" s="73"/>
      <c r="D2428" s="73"/>
      <c r="E2428" s="82"/>
      <c r="F2428" s="82"/>
      <c r="G2428" s="86"/>
      <c r="H2428" s="86"/>
      <c r="I2428" s="86"/>
      <c r="J2428" s="82"/>
      <c r="K2428" s="82"/>
      <c r="L2428" s="82"/>
      <c r="M2428" s="82"/>
      <c r="N2428" s="82"/>
      <c r="O2428" s="82"/>
      <c r="P2428" s="82"/>
      <c r="Q2428" s="82"/>
      <c r="R2428" s="82"/>
      <c r="S2428" s="82"/>
      <c r="T2428" s="82"/>
      <c r="U2428" s="82"/>
      <c r="V2428" s="82"/>
      <c r="W2428" s="82"/>
      <c r="X2428" s="82"/>
      <c r="Y2428" s="82"/>
      <c r="Z2428" s="82"/>
      <c r="AA2428" s="82"/>
      <c r="AB2428" s="82"/>
      <c r="AC2428" s="82"/>
      <c r="AD2428" s="82"/>
      <c r="AE2428" s="82"/>
      <c r="AF2428" s="82"/>
      <c r="AG2428" s="82"/>
      <c r="AH2428" s="82"/>
      <c r="AI2428" s="82"/>
      <c r="AJ2428" s="82"/>
      <c r="AK2428" s="82"/>
      <c r="AL2428" s="82"/>
      <c r="AM2428" s="82"/>
      <c r="AN2428" s="82">
        <f>IFERROR(__xludf.DUMMYFUNCTION("""COMPUTED_VALUE"""),0.0)</f>
        <v>0</v>
      </c>
      <c r="AO2428" s="82">
        <f>IFERROR(__xludf.DUMMYFUNCTION("""COMPUTED_VALUE"""),0.0)</f>
        <v>0</v>
      </c>
      <c r="AP2428" s="82">
        <f>IFERROR(__xludf.DUMMYFUNCTION("""COMPUTED_VALUE"""),0.0)</f>
        <v>0</v>
      </c>
      <c r="AQ2428" s="82">
        <f>IFERROR(__xludf.DUMMYFUNCTION("""COMPUTED_VALUE"""),0.0)</f>
        <v>0</v>
      </c>
      <c r="AR2428" s="82">
        <f>IFERROR(__xludf.DUMMYFUNCTION("""COMPUTED_VALUE"""),0.0)</f>
        <v>0</v>
      </c>
      <c r="AS2428" s="82"/>
      <c r="AT2428" s="82">
        <f>IFERROR(__xludf.DUMMYFUNCTION("""COMPUTED_VALUE"""),0.0)</f>
        <v>0</v>
      </c>
      <c r="AU2428" s="82"/>
      <c r="AV2428" s="82"/>
      <c r="AW2428" s="82" t="str">
        <f t="shared" si="1"/>
        <v/>
      </c>
      <c r="AX2428" s="83" t="str">
        <f t="array" ref="AX2428">IFERROR(DGET('SBV Import'!A:G,"SBV",{"RSC ID","Tier";B2428,A2428}))</f>
        <v/>
      </c>
      <c r="AY2428" s="82" t="str">
        <f t="shared" si="2"/>
        <v/>
      </c>
      <c r="AZ2428" s="82"/>
      <c r="BA2428" s="84" t="s">
        <v>152</v>
      </c>
      <c r="BB2428" s="84" t="str">
        <f>IFERROR(__xludf.DUMMYFUNCTION("iferror(if(A2428="""",,E2428&gt;=FILTER(Constants!$F$2:$F$10,Constants!$A$2:$A$10=A2428)))"),"")</f>
        <v/>
      </c>
    </row>
    <row r="2429">
      <c r="A2429" s="89"/>
      <c r="B2429" s="87"/>
      <c r="C2429" s="73"/>
      <c r="D2429" s="73"/>
      <c r="E2429" s="82"/>
      <c r="F2429" s="82"/>
      <c r="G2429" s="86"/>
      <c r="H2429" s="86"/>
      <c r="I2429" s="86"/>
      <c r="J2429" s="82"/>
      <c r="K2429" s="82"/>
      <c r="L2429" s="82"/>
      <c r="M2429" s="82"/>
      <c r="N2429" s="82"/>
      <c r="O2429" s="82"/>
      <c r="P2429" s="82"/>
      <c r="Q2429" s="82"/>
      <c r="R2429" s="82"/>
      <c r="S2429" s="82"/>
      <c r="T2429" s="82"/>
      <c r="U2429" s="82"/>
      <c r="V2429" s="82"/>
      <c r="W2429" s="82"/>
      <c r="X2429" s="82"/>
      <c r="Y2429" s="82"/>
      <c r="Z2429" s="82"/>
      <c r="AA2429" s="82"/>
      <c r="AB2429" s="82"/>
      <c r="AC2429" s="82"/>
      <c r="AD2429" s="82"/>
      <c r="AE2429" s="82"/>
      <c r="AF2429" s="82"/>
      <c r="AG2429" s="82"/>
      <c r="AH2429" s="82"/>
      <c r="AI2429" s="82"/>
      <c r="AJ2429" s="82"/>
      <c r="AK2429" s="82"/>
      <c r="AL2429" s="82"/>
      <c r="AM2429" s="82"/>
      <c r="AN2429" s="82">
        <f>IFERROR(__xludf.DUMMYFUNCTION("""COMPUTED_VALUE"""),0.0)</f>
        <v>0</v>
      </c>
      <c r="AO2429" s="82">
        <f>IFERROR(__xludf.DUMMYFUNCTION("""COMPUTED_VALUE"""),0.0)</f>
        <v>0</v>
      </c>
      <c r="AP2429" s="82">
        <f>IFERROR(__xludf.DUMMYFUNCTION("""COMPUTED_VALUE"""),0.0)</f>
        <v>0</v>
      </c>
      <c r="AQ2429" s="82">
        <f>IFERROR(__xludf.DUMMYFUNCTION("""COMPUTED_VALUE"""),0.0)</f>
        <v>0</v>
      </c>
      <c r="AR2429" s="82">
        <f>IFERROR(__xludf.DUMMYFUNCTION("""COMPUTED_VALUE"""),0.0)</f>
        <v>0</v>
      </c>
      <c r="AS2429" s="82"/>
      <c r="AT2429" s="82">
        <f>IFERROR(__xludf.DUMMYFUNCTION("""COMPUTED_VALUE"""),0.0)</f>
        <v>0</v>
      </c>
      <c r="AU2429" s="82"/>
      <c r="AV2429" s="82"/>
      <c r="AW2429" s="82" t="str">
        <f t="shared" si="1"/>
        <v/>
      </c>
      <c r="AX2429" s="83" t="str">
        <f t="array" ref="AX2429">IFERROR(DGET('SBV Import'!A:G,"SBV",{"RSC ID","Tier";B2429,A2429}))</f>
        <v/>
      </c>
      <c r="AY2429" s="82" t="str">
        <f t="shared" si="2"/>
        <v/>
      </c>
      <c r="AZ2429" s="82"/>
      <c r="BA2429" s="84" t="s">
        <v>152</v>
      </c>
      <c r="BB2429" s="84" t="str">
        <f>IFERROR(__xludf.DUMMYFUNCTION("iferror(if(A2429="""",,E2429&gt;=FILTER(Constants!$F$2:$F$10,Constants!$A$2:$A$10=A2429)))"),"")</f>
        <v/>
      </c>
    </row>
    <row r="2430">
      <c r="A2430" s="89"/>
      <c r="B2430" s="87"/>
      <c r="C2430" s="73"/>
      <c r="D2430" s="73"/>
      <c r="E2430" s="82"/>
      <c r="F2430" s="82"/>
      <c r="G2430" s="86"/>
      <c r="H2430" s="86"/>
      <c r="I2430" s="86"/>
      <c r="J2430" s="82"/>
      <c r="K2430" s="82"/>
      <c r="L2430" s="82"/>
      <c r="M2430" s="82"/>
      <c r="N2430" s="82"/>
      <c r="O2430" s="82"/>
      <c r="P2430" s="82"/>
      <c r="Q2430" s="82"/>
      <c r="R2430" s="82"/>
      <c r="S2430" s="82"/>
      <c r="T2430" s="82"/>
      <c r="U2430" s="82"/>
      <c r="V2430" s="82"/>
      <c r="W2430" s="82"/>
      <c r="X2430" s="82"/>
      <c r="Y2430" s="82"/>
      <c r="Z2430" s="82"/>
      <c r="AA2430" s="82"/>
      <c r="AB2430" s="82"/>
      <c r="AC2430" s="82"/>
      <c r="AD2430" s="82"/>
      <c r="AE2430" s="82"/>
      <c r="AF2430" s="82"/>
      <c r="AG2430" s="82"/>
      <c r="AH2430" s="82"/>
      <c r="AI2430" s="82"/>
      <c r="AJ2430" s="82"/>
      <c r="AK2430" s="82"/>
      <c r="AL2430" s="82"/>
      <c r="AM2430" s="82"/>
      <c r="AN2430" s="82">
        <f>IFERROR(__xludf.DUMMYFUNCTION("""COMPUTED_VALUE"""),0.0)</f>
        <v>0</v>
      </c>
      <c r="AO2430" s="82">
        <f>IFERROR(__xludf.DUMMYFUNCTION("""COMPUTED_VALUE"""),0.0)</f>
        <v>0</v>
      </c>
      <c r="AP2430" s="82">
        <f>IFERROR(__xludf.DUMMYFUNCTION("""COMPUTED_VALUE"""),0.0)</f>
        <v>0</v>
      </c>
      <c r="AQ2430" s="82">
        <f>IFERROR(__xludf.DUMMYFUNCTION("""COMPUTED_VALUE"""),0.0)</f>
        <v>0</v>
      </c>
      <c r="AR2430" s="82">
        <f>IFERROR(__xludf.DUMMYFUNCTION("""COMPUTED_VALUE"""),0.0)</f>
        <v>0</v>
      </c>
      <c r="AS2430" s="82"/>
      <c r="AT2430" s="82">
        <f>IFERROR(__xludf.DUMMYFUNCTION("""COMPUTED_VALUE"""),0.0)</f>
        <v>0</v>
      </c>
      <c r="AU2430" s="82"/>
      <c r="AV2430" s="82"/>
      <c r="AW2430" s="82" t="str">
        <f t="shared" si="1"/>
        <v/>
      </c>
      <c r="AX2430" s="83" t="str">
        <f t="array" ref="AX2430">IFERROR(DGET('SBV Import'!A:G,"SBV",{"RSC ID","Tier";B2430,A2430}))</f>
        <v/>
      </c>
      <c r="AY2430" s="82" t="str">
        <f t="shared" si="2"/>
        <v/>
      </c>
      <c r="AZ2430" s="82"/>
      <c r="BA2430" s="84" t="s">
        <v>152</v>
      </c>
      <c r="BB2430" s="84" t="str">
        <f>IFERROR(__xludf.DUMMYFUNCTION("iferror(if(A2430="""",,E2430&gt;=FILTER(Constants!$F$2:$F$10,Constants!$A$2:$A$10=A2430)))"),"")</f>
        <v/>
      </c>
    </row>
    <row r="2431">
      <c r="A2431" s="89"/>
      <c r="B2431" s="87"/>
      <c r="C2431" s="73"/>
      <c r="D2431" s="73"/>
      <c r="E2431" s="82"/>
      <c r="F2431" s="82"/>
      <c r="G2431" s="86"/>
      <c r="H2431" s="86"/>
      <c r="I2431" s="86"/>
      <c r="J2431" s="82"/>
      <c r="K2431" s="82"/>
      <c r="L2431" s="82"/>
      <c r="M2431" s="82"/>
      <c r="N2431" s="82"/>
      <c r="O2431" s="82"/>
      <c r="P2431" s="82"/>
      <c r="Q2431" s="82"/>
      <c r="R2431" s="82"/>
      <c r="S2431" s="82"/>
      <c r="T2431" s="82"/>
      <c r="U2431" s="82"/>
      <c r="V2431" s="82"/>
      <c r="W2431" s="82"/>
      <c r="X2431" s="82"/>
      <c r="Y2431" s="82"/>
      <c r="Z2431" s="82"/>
      <c r="AA2431" s="82"/>
      <c r="AB2431" s="82"/>
      <c r="AC2431" s="82"/>
      <c r="AD2431" s="82"/>
      <c r="AE2431" s="82"/>
      <c r="AF2431" s="82"/>
      <c r="AG2431" s="82"/>
      <c r="AH2431" s="82"/>
      <c r="AI2431" s="82"/>
      <c r="AJ2431" s="82"/>
      <c r="AK2431" s="82"/>
      <c r="AL2431" s="82"/>
      <c r="AM2431" s="82"/>
      <c r="AN2431" s="82">
        <f>IFERROR(__xludf.DUMMYFUNCTION("""COMPUTED_VALUE"""),0.0)</f>
        <v>0</v>
      </c>
      <c r="AO2431" s="82">
        <f>IFERROR(__xludf.DUMMYFUNCTION("""COMPUTED_VALUE"""),0.0)</f>
        <v>0</v>
      </c>
      <c r="AP2431" s="82">
        <f>IFERROR(__xludf.DUMMYFUNCTION("""COMPUTED_VALUE"""),0.0)</f>
        <v>0</v>
      </c>
      <c r="AQ2431" s="82">
        <f>IFERROR(__xludf.DUMMYFUNCTION("""COMPUTED_VALUE"""),0.0)</f>
        <v>0</v>
      </c>
      <c r="AR2431" s="82">
        <f>IFERROR(__xludf.DUMMYFUNCTION("""COMPUTED_VALUE"""),0.0)</f>
        <v>0</v>
      </c>
      <c r="AS2431" s="82"/>
      <c r="AT2431" s="82">
        <f>IFERROR(__xludf.DUMMYFUNCTION("""COMPUTED_VALUE"""),0.0)</f>
        <v>0</v>
      </c>
      <c r="AU2431" s="82"/>
      <c r="AV2431" s="82"/>
      <c r="AW2431" s="82" t="str">
        <f t="shared" si="1"/>
        <v/>
      </c>
      <c r="AX2431" s="83" t="str">
        <f t="array" ref="AX2431">IFERROR(DGET('SBV Import'!A:G,"SBV",{"RSC ID","Tier";B2431,A2431}))</f>
        <v/>
      </c>
      <c r="AY2431" s="82" t="str">
        <f t="shared" si="2"/>
        <v/>
      </c>
      <c r="AZ2431" s="82"/>
      <c r="BA2431" s="84" t="s">
        <v>152</v>
      </c>
      <c r="BB2431" s="84" t="str">
        <f>IFERROR(__xludf.DUMMYFUNCTION("iferror(if(A2431="""",,E2431&gt;=FILTER(Constants!$F$2:$F$10,Constants!$A$2:$A$10=A2431)))"),"")</f>
        <v/>
      </c>
    </row>
    <row r="2432">
      <c r="A2432" s="89"/>
      <c r="B2432" s="87"/>
      <c r="C2432" s="73"/>
      <c r="D2432" s="73"/>
      <c r="E2432" s="82"/>
      <c r="F2432" s="82"/>
      <c r="G2432" s="86"/>
      <c r="H2432" s="86"/>
      <c r="I2432" s="86"/>
      <c r="J2432" s="82"/>
      <c r="K2432" s="82"/>
      <c r="L2432" s="82"/>
      <c r="M2432" s="82"/>
      <c r="N2432" s="82"/>
      <c r="O2432" s="82"/>
      <c r="P2432" s="82"/>
      <c r="Q2432" s="82"/>
      <c r="R2432" s="82"/>
      <c r="S2432" s="82"/>
      <c r="T2432" s="82"/>
      <c r="U2432" s="82"/>
      <c r="V2432" s="82"/>
      <c r="W2432" s="82"/>
      <c r="X2432" s="82"/>
      <c r="Y2432" s="82"/>
      <c r="Z2432" s="82"/>
      <c r="AA2432" s="82"/>
      <c r="AB2432" s="82"/>
      <c r="AC2432" s="82"/>
      <c r="AD2432" s="82"/>
      <c r="AE2432" s="82"/>
      <c r="AF2432" s="82"/>
      <c r="AG2432" s="82"/>
      <c r="AH2432" s="82"/>
      <c r="AI2432" s="82"/>
      <c r="AJ2432" s="82"/>
      <c r="AK2432" s="82"/>
      <c r="AL2432" s="82"/>
      <c r="AM2432" s="82"/>
      <c r="AN2432" s="82">
        <f>IFERROR(__xludf.DUMMYFUNCTION("""COMPUTED_VALUE"""),0.0)</f>
        <v>0</v>
      </c>
      <c r="AO2432" s="82">
        <f>IFERROR(__xludf.DUMMYFUNCTION("""COMPUTED_VALUE"""),0.0)</f>
        <v>0</v>
      </c>
      <c r="AP2432" s="82">
        <f>IFERROR(__xludf.DUMMYFUNCTION("""COMPUTED_VALUE"""),0.0)</f>
        <v>0</v>
      </c>
      <c r="AQ2432" s="82">
        <f>IFERROR(__xludf.DUMMYFUNCTION("""COMPUTED_VALUE"""),0.0)</f>
        <v>0</v>
      </c>
      <c r="AR2432" s="82">
        <f>IFERROR(__xludf.DUMMYFUNCTION("""COMPUTED_VALUE"""),0.0)</f>
        <v>0</v>
      </c>
      <c r="AS2432" s="82"/>
      <c r="AT2432" s="82">
        <f>IFERROR(__xludf.DUMMYFUNCTION("""COMPUTED_VALUE"""),0.0)</f>
        <v>0</v>
      </c>
      <c r="AU2432" s="82"/>
      <c r="AV2432" s="82"/>
      <c r="AW2432" s="82" t="str">
        <f t="shared" si="1"/>
        <v/>
      </c>
      <c r="AX2432" s="83" t="str">
        <f t="array" ref="AX2432">IFERROR(DGET('SBV Import'!A:G,"SBV",{"RSC ID","Tier";B2432,A2432}))</f>
        <v/>
      </c>
      <c r="AY2432" s="82" t="str">
        <f t="shared" si="2"/>
        <v/>
      </c>
      <c r="AZ2432" s="82"/>
      <c r="BA2432" s="84" t="s">
        <v>152</v>
      </c>
      <c r="BB2432" s="84" t="str">
        <f>IFERROR(__xludf.DUMMYFUNCTION("iferror(if(A2432="""",,E2432&gt;=FILTER(Constants!$F$2:$F$10,Constants!$A$2:$A$10=A2432)))"),"")</f>
        <v/>
      </c>
    </row>
    <row r="2433">
      <c r="A2433" s="89"/>
      <c r="B2433" s="87"/>
      <c r="C2433" s="73"/>
      <c r="D2433" s="73"/>
      <c r="E2433" s="82"/>
      <c r="F2433" s="82"/>
      <c r="G2433" s="86"/>
      <c r="H2433" s="86"/>
      <c r="I2433" s="86"/>
      <c r="J2433" s="82"/>
      <c r="K2433" s="82"/>
      <c r="L2433" s="82"/>
      <c r="M2433" s="82"/>
      <c r="N2433" s="82"/>
      <c r="O2433" s="82"/>
      <c r="P2433" s="82"/>
      <c r="Q2433" s="82"/>
      <c r="R2433" s="82"/>
      <c r="S2433" s="82"/>
      <c r="T2433" s="82"/>
      <c r="U2433" s="82"/>
      <c r="V2433" s="82"/>
      <c r="W2433" s="82"/>
      <c r="X2433" s="82"/>
      <c r="Y2433" s="82"/>
      <c r="Z2433" s="82"/>
      <c r="AA2433" s="82"/>
      <c r="AB2433" s="82"/>
      <c r="AC2433" s="82"/>
      <c r="AD2433" s="82"/>
      <c r="AE2433" s="82"/>
      <c r="AF2433" s="82"/>
      <c r="AG2433" s="82"/>
      <c r="AH2433" s="82"/>
      <c r="AI2433" s="82"/>
      <c r="AJ2433" s="82"/>
      <c r="AK2433" s="82"/>
      <c r="AL2433" s="82"/>
      <c r="AM2433" s="82"/>
      <c r="AN2433" s="82">
        <f>IFERROR(__xludf.DUMMYFUNCTION("""COMPUTED_VALUE"""),0.0)</f>
        <v>0</v>
      </c>
      <c r="AO2433" s="82">
        <f>IFERROR(__xludf.DUMMYFUNCTION("""COMPUTED_VALUE"""),0.0)</f>
        <v>0</v>
      </c>
      <c r="AP2433" s="82">
        <f>IFERROR(__xludf.DUMMYFUNCTION("""COMPUTED_VALUE"""),0.0)</f>
        <v>0</v>
      </c>
      <c r="AQ2433" s="82">
        <f>IFERROR(__xludf.DUMMYFUNCTION("""COMPUTED_VALUE"""),0.0)</f>
        <v>0</v>
      </c>
      <c r="AR2433" s="82">
        <f>IFERROR(__xludf.DUMMYFUNCTION("""COMPUTED_VALUE"""),0.0)</f>
        <v>0</v>
      </c>
      <c r="AS2433" s="82"/>
      <c r="AT2433" s="82">
        <f>IFERROR(__xludf.DUMMYFUNCTION("""COMPUTED_VALUE"""),0.0)</f>
        <v>0</v>
      </c>
      <c r="AU2433" s="82"/>
      <c r="AV2433" s="82"/>
      <c r="AW2433" s="82" t="str">
        <f t="shared" si="1"/>
        <v/>
      </c>
      <c r="AX2433" s="83" t="str">
        <f t="array" ref="AX2433">IFERROR(DGET('SBV Import'!A:G,"SBV",{"RSC ID","Tier";B2433,A2433}))</f>
        <v/>
      </c>
      <c r="AY2433" s="82" t="str">
        <f t="shared" si="2"/>
        <v/>
      </c>
      <c r="AZ2433" s="82"/>
      <c r="BA2433" s="84" t="s">
        <v>152</v>
      </c>
      <c r="BB2433" s="84" t="str">
        <f>IFERROR(__xludf.DUMMYFUNCTION("iferror(if(A2433="""",,E2433&gt;=FILTER(Constants!$F$2:$F$10,Constants!$A$2:$A$10=A2433)))"),"")</f>
        <v/>
      </c>
    </row>
    <row r="2434">
      <c r="A2434" s="89"/>
      <c r="B2434" s="87"/>
      <c r="C2434" s="73"/>
      <c r="D2434" s="73"/>
      <c r="E2434" s="82"/>
      <c r="F2434" s="82"/>
      <c r="G2434" s="86"/>
      <c r="H2434" s="86"/>
      <c r="I2434" s="86"/>
      <c r="J2434" s="82"/>
      <c r="K2434" s="82"/>
      <c r="L2434" s="82"/>
      <c r="M2434" s="82"/>
      <c r="N2434" s="82"/>
      <c r="O2434" s="82"/>
      <c r="P2434" s="82"/>
      <c r="Q2434" s="82"/>
      <c r="R2434" s="82"/>
      <c r="S2434" s="82"/>
      <c r="T2434" s="82"/>
      <c r="U2434" s="82"/>
      <c r="V2434" s="82"/>
      <c r="W2434" s="82"/>
      <c r="X2434" s="82"/>
      <c r="Y2434" s="82"/>
      <c r="Z2434" s="82"/>
      <c r="AA2434" s="82"/>
      <c r="AB2434" s="82"/>
      <c r="AC2434" s="82"/>
      <c r="AD2434" s="82"/>
      <c r="AE2434" s="82"/>
      <c r="AF2434" s="82"/>
      <c r="AG2434" s="82"/>
      <c r="AH2434" s="82"/>
      <c r="AI2434" s="82"/>
      <c r="AJ2434" s="82"/>
      <c r="AK2434" s="82"/>
      <c r="AL2434" s="82"/>
      <c r="AM2434" s="82"/>
      <c r="AN2434" s="82">
        <f>IFERROR(__xludf.DUMMYFUNCTION("""COMPUTED_VALUE"""),0.0)</f>
        <v>0</v>
      </c>
      <c r="AO2434" s="82">
        <f>IFERROR(__xludf.DUMMYFUNCTION("""COMPUTED_VALUE"""),0.0)</f>
        <v>0</v>
      </c>
      <c r="AP2434" s="82">
        <f>IFERROR(__xludf.DUMMYFUNCTION("""COMPUTED_VALUE"""),0.0)</f>
        <v>0</v>
      </c>
      <c r="AQ2434" s="82">
        <f>IFERROR(__xludf.DUMMYFUNCTION("""COMPUTED_VALUE"""),0.0)</f>
        <v>0</v>
      </c>
      <c r="AR2434" s="82">
        <f>IFERROR(__xludf.DUMMYFUNCTION("""COMPUTED_VALUE"""),0.0)</f>
        <v>0</v>
      </c>
      <c r="AS2434" s="82"/>
      <c r="AT2434" s="82">
        <f>IFERROR(__xludf.DUMMYFUNCTION("""COMPUTED_VALUE"""),0.0)</f>
        <v>0</v>
      </c>
      <c r="AU2434" s="82"/>
      <c r="AV2434" s="82"/>
      <c r="AW2434" s="82" t="str">
        <f t="shared" si="1"/>
        <v/>
      </c>
      <c r="AX2434" s="83" t="str">
        <f t="array" ref="AX2434">IFERROR(DGET('SBV Import'!A:G,"SBV",{"RSC ID","Tier";B2434,A2434}))</f>
        <v/>
      </c>
      <c r="AY2434" s="82" t="str">
        <f t="shared" si="2"/>
        <v/>
      </c>
      <c r="AZ2434" s="82"/>
      <c r="BA2434" s="84" t="s">
        <v>152</v>
      </c>
      <c r="BB2434" s="84" t="str">
        <f>IFERROR(__xludf.DUMMYFUNCTION("iferror(if(A2434="""",,E2434&gt;=FILTER(Constants!$F$2:$F$10,Constants!$A$2:$A$10=A2434)))"),"")</f>
        <v/>
      </c>
    </row>
    <row r="2435">
      <c r="A2435" s="89"/>
      <c r="B2435" s="87"/>
      <c r="C2435" s="73"/>
      <c r="D2435" s="73"/>
      <c r="E2435" s="82"/>
      <c r="F2435" s="82"/>
      <c r="G2435" s="86"/>
      <c r="H2435" s="86"/>
      <c r="I2435" s="86"/>
      <c r="J2435" s="82"/>
      <c r="K2435" s="82"/>
      <c r="L2435" s="82"/>
      <c r="M2435" s="82"/>
      <c r="N2435" s="82"/>
      <c r="O2435" s="82"/>
      <c r="P2435" s="82"/>
      <c r="Q2435" s="82"/>
      <c r="R2435" s="82"/>
      <c r="S2435" s="82"/>
      <c r="T2435" s="82"/>
      <c r="U2435" s="82"/>
      <c r="V2435" s="82"/>
      <c r="W2435" s="82"/>
      <c r="X2435" s="82"/>
      <c r="Y2435" s="82"/>
      <c r="Z2435" s="82"/>
      <c r="AA2435" s="82"/>
      <c r="AB2435" s="82"/>
      <c r="AC2435" s="82"/>
      <c r="AD2435" s="82"/>
      <c r="AE2435" s="82"/>
      <c r="AF2435" s="82"/>
      <c r="AG2435" s="82"/>
      <c r="AH2435" s="82"/>
      <c r="AI2435" s="82"/>
      <c r="AJ2435" s="82"/>
      <c r="AK2435" s="82"/>
      <c r="AL2435" s="82"/>
      <c r="AM2435" s="82"/>
      <c r="AN2435" s="82">
        <f>IFERROR(__xludf.DUMMYFUNCTION("""COMPUTED_VALUE"""),0.0)</f>
        <v>0</v>
      </c>
      <c r="AO2435" s="82">
        <f>IFERROR(__xludf.DUMMYFUNCTION("""COMPUTED_VALUE"""),0.0)</f>
        <v>0</v>
      </c>
      <c r="AP2435" s="82">
        <f>IFERROR(__xludf.DUMMYFUNCTION("""COMPUTED_VALUE"""),0.0)</f>
        <v>0</v>
      </c>
      <c r="AQ2435" s="82">
        <f>IFERROR(__xludf.DUMMYFUNCTION("""COMPUTED_VALUE"""),0.0)</f>
        <v>0</v>
      </c>
      <c r="AR2435" s="82">
        <f>IFERROR(__xludf.DUMMYFUNCTION("""COMPUTED_VALUE"""),0.0)</f>
        <v>0</v>
      </c>
      <c r="AS2435" s="82"/>
      <c r="AT2435" s="82">
        <f>IFERROR(__xludf.DUMMYFUNCTION("""COMPUTED_VALUE"""),0.0)</f>
        <v>0</v>
      </c>
      <c r="AU2435" s="82"/>
      <c r="AV2435" s="82"/>
      <c r="AW2435" s="82" t="str">
        <f t="shared" si="1"/>
        <v/>
      </c>
      <c r="AX2435" s="83" t="str">
        <f t="array" ref="AX2435">IFERROR(DGET('SBV Import'!A:G,"SBV",{"RSC ID","Tier";B2435,A2435}))</f>
        <v/>
      </c>
      <c r="AY2435" s="82" t="str">
        <f t="shared" si="2"/>
        <v/>
      </c>
      <c r="AZ2435" s="82"/>
      <c r="BA2435" s="84" t="s">
        <v>152</v>
      </c>
      <c r="BB2435" s="84" t="str">
        <f>IFERROR(__xludf.DUMMYFUNCTION("iferror(if(A2435="""",,E2435&gt;=FILTER(Constants!$F$2:$F$10,Constants!$A$2:$A$10=A2435)))"),"")</f>
        <v/>
      </c>
    </row>
    <row r="2436">
      <c r="A2436" s="89"/>
      <c r="B2436" s="87"/>
      <c r="C2436" s="73"/>
      <c r="D2436" s="73"/>
      <c r="E2436" s="82"/>
      <c r="F2436" s="82"/>
      <c r="G2436" s="86"/>
      <c r="H2436" s="86"/>
      <c r="I2436" s="86"/>
      <c r="J2436" s="82"/>
      <c r="K2436" s="82"/>
      <c r="L2436" s="82"/>
      <c r="M2436" s="82"/>
      <c r="N2436" s="82"/>
      <c r="O2436" s="82"/>
      <c r="P2436" s="82"/>
      <c r="Q2436" s="82"/>
      <c r="R2436" s="82"/>
      <c r="S2436" s="82"/>
      <c r="T2436" s="82"/>
      <c r="U2436" s="82"/>
      <c r="V2436" s="82"/>
      <c r="W2436" s="82"/>
      <c r="X2436" s="82"/>
      <c r="Y2436" s="82"/>
      <c r="Z2436" s="82"/>
      <c r="AA2436" s="82"/>
      <c r="AB2436" s="82"/>
      <c r="AC2436" s="82"/>
      <c r="AD2436" s="82"/>
      <c r="AE2436" s="82"/>
      <c r="AF2436" s="82"/>
      <c r="AG2436" s="82"/>
      <c r="AH2436" s="82"/>
      <c r="AI2436" s="82"/>
      <c r="AJ2436" s="82"/>
      <c r="AK2436" s="82"/>
      <c r="AL2436" s="82"/>
      <c r="AM2436" s="82"/>
      <c r="AN2436" s="82">
        <f>IFERROR(__xludf.DUMMYFUNCTION("""COMPUTED_VALUE"""),0.0)</f>
        <v>0</v>
      </c>
      <c r="AO2436" s="82">
        <f>IFERROR(__xludf.DUMMYFUNCTION("""COMPUTED_VALUE"""),0.0)</f>
        <v>0</v>
      </c>
      <c r="AP2436" s="82">
        <f>IFERROR(__xludf.DUMMYFUNCTION("""COMPUTED_VALUE"""),0.0)</f>
        <v>0</v>
      </c>
      <c r="AQ2436" s="82">
        <f>IFERROR(__xludf.DUMMYFUNCTION("""COMPUTED_VALUE"""),0.0)</f>
        <v>0</v>
      </c>
      <c r="AR2436" s="82">
        <f>IFERROR(__xludf.DUMMYFUNCTION("""COMPUTED_VALUE"""),0.0)</f>
        <v>0</v>
      </c>
      <c r="AS2436" s="82"/>
      <c r="AT2436" s="82">
        <f>IFERROR(__xludf.DUMMYFUNCTION("""COMPUTED_VALUE"""),0.0)</f>
        <v>0</v>
      </c>
      <c r="AU2436" s="82"/>
      <c r="AV2436" s="82"/>
      <c r="AW2436" s="82" t="str">
        <f t="shared" si="1"/>
        <v/>
      </c>
      <c r="AX2436" s="83" t="str">
        <f t="array" ref="AX2436">IFERROR(DGET('SBV Import'!A:G,"SBV",{"RSC ID","Tier";B2436,A2436}))</f>
        <v/>
      </c>
      <c r="AY2436" s="82" t="str">
        <f t="shared" si="2"/>
        <v/>
      </c>
      <c r="AZ2436" s="82"/>
      <c r="BA2436" s="84" t="s">
        <v>152</v>
      </c>
      <c r="BB2436" s="84" t="str">
        <f>IFERROR(__xludf.DUMMYFUNCTION("iferror(if(A2436="""",,E2436&gt;=FILTER(Constants!$F$2:$F$10,Constants!$A$2:$A$10=A2436)))"),"")</f>
        <v/>
      </c>
    </row>
    <row r="2437">
      <c r="A2437" s="89"/>
      <c r="B2437" s="87"/>
      <c r="C2437" s="73"/>
      <c r="D2437" s="73"/>
      <c r="E2437" s="82"/>
      <c r="F2437" s="82"/>
      <c r="G2437" s="86"/>
      <c r="H2437" s="86"/>
      <c r="I2437" s="86"/>
      <c r="J2437" s="82"/>
      <c r="K2437" s="82"/>
      <c r="L2437" s="82"/>
      <c r="M2437" s="82"/>
      <c r="N2437" s="82"/>
      <c r="O2437" s="82"/>
      <c r="P2437" s="82"/>
      <c r="Q2437" s="82"/>
      <c r="R2437" s="82"/>
      <c r="S2437" s="82"/>
      <c r="T2437" s="82"/>
      <c r="U2437" s="82"/>
      <c r="V2437" s="82"/>
      <c r="W2437" s="82"/>
      <c r="X2437" s="82"/>
      <c r="Y2437" s="82"/>
      <c r="Z2437" s="82"/>
      <c r="AA2437" s="82"/>
      <c r="AB2437" s="82"/>
      <c r="AC2437" s="82"/>
      <c r="AD2437" s="82"/>
      <c r="AE2437" s="82"/>
      <c r="AF2437" s="82"/>
      <c r="AG2437" s="82"/>
      <c r="AH2437" s="82"/>
      <c r="AI2437" s="82"/>
      <c r="AJ2437" s="82"/>
      <c r="AK2437" s="82"/>
      <c r="AL2437" s="82"/>
      <c r="AM2437" s="82"/>
      <c r="AN2437" s="82">
        <f>IFERROR(__xludf.DUMMYFUNCTION("""COMPUTED_VALUE"""),0.0)</f>
        <v>0</v>
      </c>
      <c r="AO2437" s="82">
        <f>IFERROR(__xludf.DUMMYFUNCTION("""COMPUTED_VALUE"""),0.0)</f>
        <v>0</v>
      </c>
      <c r="AP2437" s="82">
        <f>IFERROR(__xludf.DUMMYFUNCTION("""COMPUTED_VALUE"""),0.0)</f>
        <v>0</v>
      </c>
      <c r="AQ2437" s="82">
        <f>IFERROR(__xludf.DUMMYFUNCTION("""COMPUTED_VALUE"""),0.0)</f>
        <v>0</v>
      </c>
      <c r="AR2437" s="82">
        <f>IFERROR(__xludf.DUMMYFUNCTION("""COMPUTED_VALUE"""),0.0)</f>
        <v>0</v>
      </c>
      <c r="AS2437" s="82"/>
      <c r="AT2437" s="82">
        <f>IFERROR(__xludf.DUMMYFUNCTION("""COMPUTED_VALUE"""),0.0)</f>
        <v>0</v>
      </c>
      <c r="AU2437" s="82"/>
      <c r="AV2437" s="82"/>
      <c r="AW2437" s="82" t="str">
        <f t="shared" si="1"/>
        <v/>
      </c>
      <c r="AX2437" s="83" t="str">
        <f t="array" ref="AX2437">IFERROR(DGET('SBV Import'!A:G,"SBV",{"RSC ID","Tier";B2437,A2437}))</f>
        <v/>
      </c>
      <c r="AY2437" s="82" t="str">
        <f t="shared" si="2"/>
        <v/>
      </c>
      <c r="AZ2437" s="82"/>
      <c r="BA2437" s="84" t="s">
        <v>152</v>
      </c>
      <c r="BB2437" s="84" t="str">
        <f>IFERROR(__xludf.DUMMYFUNCTION("iferror(if(A2437="""",,E2437&gt;=FILTER(Constants!$F$2:$F$10,Constants!$A$2:$A$10=A2437)))"),"")</f>
        <v/>
      </c>
    </row>
    <row r="2438">
      <c r="A2438" s="89"/>
      <c r="B2438" s="87"/>
      <c r="C2438" s="73"/>
      <c r="D2438" s="73"/>
      <c r="E2438" s="82"/>
      <c r="F2438" s="82"/>
      <c r="G2438" s="86"/>
      <c r="H2438" s="86"/>
      <c r="I2438" s="86"/>
      <c r="J2438" s="82"/>
      <c r="K2438" s="82"/>
      <c r="L2438" s="82"/>
      <c r="M2438" s="82"/>
      <c r="N2438" s="82"/>
      <c r="O2438" s="82"/>
      <c r="P2438" s="82"/>
      <c r="Q2438" s="82"/>
      <c r="R2438" s="82"/>
      <c r="S2438" s="82"/>
      <c r="T2438" s="82"/>
      <c r="U2438" s="82"/>
      <c r="V2438" s="82"/>
      <c r="W2438" s="82"/>
      <c r="X2438" s="82"/>
      <c r="Y2438" s="82"/>
      <c r="Z2438" s="82"/>
      <c r="AA2438" s="82"/>
      <c r="AB2438" s="82"/>
      <c r="AC2438" s="82"/>
      <c r="AD2438" s="82"/>
      <c r="AE2438" s="82"/>
      <c r="AF2438" s="82"/>
      <c r="AG2438" s="82"/>
      <c r="AH2438" s="82"/>
      <c r="AI2438" s="82"/>
      <c r="AJ2438" s="82"/>
      <c r="AK2438" s="82"/>
      <c r="AL2438" s="82"/>
      <c r="AM2438" s="82"/>
      <c r="AN2438" s="82">
        <f>IFERROR(__xludf.DUMMYFUNCTION("""COMPUTED_VALUE"""),0.0)</f>
        <v>0</v>
      </c>
      <c r="AO2438" s="82">
        <f>IFERROR(__xludf.DUMMYFUNCTION("""COMPUTED_VALUE"""),0.0)</f>
        <v>0</v>
      </c>
      <c r="AP2438" s="82">
        <f>IFERROR(__xludf.DUMMYFUNCTION("""COMPUTED_VALUE"""),0.0)</f>
        <v>0</v>
      </c>
      <c r="AQ2438" s="82">
        <f>IFERROR(__xludf.DUMMYFUNCTION("""COMPUTED_VALUE"""),0.0)</f>
        <v>0</v>
      </c>
      <c r="AR2438" s="82">
        <f>IFERROR(__xludf.DUMMYFUNCTION("""COMPUTED_VALUE"""),0.0)</f>
        <v>0</v>
      </c>
      <c r="AS2438" s="82"/>
      <c r="AT2438" s="82">
        <f>IFERROR(__xludf.DUMMYFUNCTION("""COMPUTED_VALUE"""),0.0)</f>
        <v>0</v>
      </c>
      <c r="AU2438" s="82"/>
      <c r="AV2438" s="82"/>
      <c r="AW2438" s="82" t="str">
        <f t="shared" si="1"/>
        <v/>
      </c>
      <c r="AX2438" s="83" t="str">
        <f t="array" ref="AX2438">IFERROR(DGET('SBV Import'!A:G,"SBV",{"RSC ID","Tier";B2438,A2438}))</f>
        <v/>
      </c>
      <c r="AY2438" s="82" t="str">
        <f t="shared" si="2"/>
        <v/>
      </c>
      <c r="AZ2438" s="82"/>
      <c r="BA2438" s="84" t="s">
        <v>152</v>
      </c>
      <c r="BB2438" s="84" t="str">
        <f>IFERROR(__xludf.DUMMYFUNCTION("iferror(if(A2438="""",,E2438&gt;=FILTER(Constants!$F$2:$F$10,Constants!$A$2:$A$10=A2438)))"),"")</f>
        <v/>
      </c>
    </row>
    <row r="2439">
      <c r="A2439" s="89"/>
      <c r="B2439" s="87"/>
      <c r="C2439" s="73"/>
      <c r="D2439" s="73"/>
      <c r="E2439" s="82"/>
      <c r="F2439" s="82"/>
      <c r="G2439" s="86"/>
      <c r="H2439" s="86"/>
      <c r="I2439" s="86"/>
      <c r="J2439" s="82"/>
      <c r="K2439" s="82"/>
      <c r="L2439" s="82"/>
      <c r="M2439" s="82"/>
      <c r="N2439" s="82"/>
      <c r="O2439" s="82"/>
      <c r="P2439" s="82"/>
      <c r="Q2439" s="82"/>
      <c r="R2439" s="82"/>
      <c r="S2439" s="82"/>
      <c r="T2439" s="82"/>
      <c r="U2439" s="82"/>
      <c r="V2439" s="82"/>
      <c r="W2439" s="82"/>
      <c r="X2439" s="82"/>
      <c r="Y2439" s="82"/>
      <c r="Z2439" s="82"/>
      <c r="AA2439" s="82"/>
      <c r="AB2439" s="82"/>
      <c r="AC2439" s="82"/>
      <c r="AD2439" s="82"/>
      <c r="AE2439" s="82"/>
      <c r="AF2439" s="82"/>
      <c r="AG2439" s="82"/>
      <c r="AH2439" s="82"/>
      <c r="AI2439" s="82"/>
      <c r="AJ2439" s="82"/>
      <c r="AK2439" s="82"/>
      <c r="AL2439" s="82"/>
      <c r="AM2439" s="82"/>
      <c r="AN2439" s="82">
        <f>IFERROR(__xludf.DUMMYFUNCTION("""COMPUTED_VALUE"""),0.0)</f>
        <v>0</v>
      </c>
      <c r="AO2439" s="82">
        <f>IFERROR(__xludf.DUMMYFUNCTION("""COMPUTED_VALUE"""),0.0)</f>
        <v>0</v>
      </c>
      <c r="AP2439" s="82">
        <f>IFERROR(__xludf.DUMMYFUNCTION("""COMPUTED_VALUE"""),0.0)</f>
        <v>0</v>
      </c>
      <c r="AQ2439" s="82">
        <f>IFERROR(__xludf.DUMMYFUNCTION("""COMPUTED_VALUE"""),0.0)</f>
        <v>0</v>
      </c>
      <c r="AR2439" s="82">
        <f>IFERROR(__xludf.DUMMYFUNCTION("""COMPUTED_VALUE"""),0.0)</f>
        <v>0</v>
      </c>
      <c r="AS2439" s="82"/>
      <c r="AT2439" s="82">
        <f>IFERROR(__xludf.DUMMYFUNCTION("""COMPUTED_VALUE"""),0.0)</f>
        <v>0</v>
      </c>
      <c r="AU2439" s="82"/>
      <c r="AV2439" s="82"/>
      <c r="AW2439" s="82" t="str">
        <f t="shared" si="1"/>
        <v/>
      </c>
      <c r="AX2439" s="83" t="str">
        <f t="array" ref="AX2439">IFERROR(DGET('SBV Import'!A:G,"SBV",{"RSC ID","Tier";B2439,A2439}))</f>
        <v/>
      </c>
      <c r="AY2439" s="82" t="str">
        <f t="shared" si="2"/>
        <v/>
      </c>
      <c r="AZ2439" s="82"/>
      <c r="BA2439" s="84" t="s">
        <v>152</v>
      </c>
      <c r="BB2439" s="84" t="str">
        <f>IFERROR(__xludf.DUMMYFUNCTION("iferror(if(A2439="""",,E2439&gt;=FILTER(Constants!$F$2:$F$10,Constants!$A$2:$A$10=A2439)))"),"")</f>
        <v/>
      </c>
    </row>
    <row r="2440">
      <c r="A2440" s="89"/>
      <c r="B2440" s="87"/>
      <c r="C2440" s="73"/>
      <c r="D2440" s="73"/>
      <c r="E2440" s="82"/>
      <c r="F2440" s="82"/>
      <c r="G2440" s="86"/>
      <c r="H2440" s="86"/>
      <c r="I2440" s="86"/>
      <c r="J2440" s="82"/>
      <c r="K2440" s="82"/>
      <c r="L2440" s="82"/>
      <c r="M2440" s="82"/>
      <c r="N2440" s="82"/>
      <c r="O2440" s="82"/>
      <c r="P2440" s="82"/>
      <c r="Q2440" s="82"/>
      <c r="R2440" s="82"/>
      <c r="S2440" s="82"/>
      <c r="T2440" s="82"/>
      <c r="U2440" s="82"/>
      <c r="V2440" s="82"/>
      <c r="W2440" s="82"/>
      <c r="X2440" s="82"/>
      <c r="Y2440" s="82"/>
      <c r="Z2440" s="82"/>
      <c r="AA2440" s="82"/>
      <c r="AB2440" s="82"/>
      <c r="AC2440" s="82"/>
      <c r="AD2440" s="82"/>
      <c r="AE2440" s="82"/>
      <c r="AF2440" s="82"/>
      <c r="AG2440" s="82"/>
      <c r="AH2440" s="82"/>
      <c r="AI2440" s="82"/>
      <c r="AJ2440" s="82"/>
      <c r="AK2440" s="82"/>
      <c r="AL2440" s="82"/>
      <c r="AM2440" s="82"/>
      <c r="AN2440" s="82">
        <f>IFERROR(__xludf.DUMMYFUNCTION("""COMPUTED_VALUE"""),0.0)</f>
        <v>0</v>
      </c>
      <c r="AO2440" s="82">
        <f>IFERROR(__xludf.DUMMYFUNCTION("""COMPUTED_VALUE"""),0.0)</f>
        <v>0</v>
      </c>
      <c r="AP2440" s="82">
        <f>IFERROR(__xludf.DUMMYFUNCTION("""COMPUTED_VALUE"""),0.0)</f>
        <v>0</v>
      </c>
      <c r="AQ2440" s="82">
        <f>IFERROR(__xludf.DUMMYFUNCTION("""COMPUTED_VALUE"""),0.0)</f>
        <v>0</v>
      </c>
      <c r="AR2440" s="82">
        <f>IFERROR(__xludf.DUMMYFUNCTION("""COMPUTED_VALUE"""),0.0)</f>
        <v>0</v>
      </c>
      <c r="AS2440" s="82"/>
      <c r="AT2440" s="82">
        <f>IFERROR(__xludf.DUMMYFUNCTION("""COMPUTED_VALUE"""),0.0)</f>
        <v>0</v>
      </c>
      <c r="AU2440" s="82"/>
      <c r="AV2440" s="82"/>
      <c r="AW2440" s="82" t="str">
        <f t="shared" si="1"/>
        <v/>
      </c>
      <c r="AX2440" s="83" t="str">
        <f t="array" ref="AX2440">IFERROR(DGET('SBV Import'!A:G,"SBV",{"RSC ID","Tier";B2440,A2440}))</f>
        <v/>
      </c>
      <c r="AY2440" s="82" t="str">
        <f t="shared" si="2"/>
        <v/>
      </c>
      <c r="AZ2440" s="82"/>
      <c r="BA2440" s="84" t="s">
        <v>152</v>
      </c>
      <c r="BB2440" s="84" t="str">
        <f>IFERROR(__xludf.DUMMYFUNCTION("iferror(if(A2440="""",,E2440&gt;=FILTER(Constants!$F$2:$F$10,Constants!$A$2:$A$10=A2440)))"),"")</f>
        <v/>
      </c>
    </row>
    <row r="2441">
      <c r="A2441" s="89"/>
      <c r="B2441" s="87"/>
      <c r="C2441" s="73"/>
      <c r="D2441" s="73"/>
      <c r="E2441" s="82"/>
      <c r="F2441" s="82"/>
      <c r="G2441" s="86"/>
      <c r="H2441" s="86"/>
      <c r="I2441" s="86"/>
      <c r="J2441" s="82"/>
      <c r="K2441" s="82"/>
      <c r="L2441" s="82"/>
      <c r="M2441" s="82"/>
      <c r="N2441" s="82"/>
      <c r="O2441" s="82"/>
      <c r="P2441" s="82"/>
      <c r="Q2441" s="82"/>
      <c r="R2441" s="82"/>
      <c r="S2441" s="82"/>
      <c r="T2441" s="82"/>
      <c r="U2441" s="82"/>
      <c r="V2441" s="82"/>
      <c r="W2441" s="82"/>
      <c r="X2441" s="82"/>
      <c r="Y2441" s="82"/>
      <c r="Z2441" s="82"/>
      <c r="AA2441" s="82"/>
      <c r="AB2441" s="82"/>
      <c r="AC2441" s="82"/>
      <c r="AD2441" s="82"/>
      <c r="AE2441" s="82"/>
      <c r="AF2441" s="82"/>
      <c r="AG2441" s="82"/>
      <c r="AH2441" s="82"/>
      <c r="AI2441" s="82"/>
      <c r="AJ2441" s="82"/>
      <c r="AK2441" s="82"/>
      <c r="AL2441" s="82"/>
      <c r="AM2441" s="82"/>
      <c r="AN2441" s="82">
        <f>IFERROR(__xludf.DUMMYFUNCTION("""COMPUTED_VALUE"""),0.0)</f>
        <v>0</v>
      </c>
      <c r="AO2441" s="82">
        <f>IFERROR(__xludf.DUMMYFUNCTION("""COMPUTED_VALUE"""),0.0)</f>
        <v>0</v>
      </c>
      <c r="AP2441" s="82">
        <f>IFERROR(__xludf.DUMMYFUNCTION("""COMPUTED_VALUE"""),0.0)</f>
        <v>0</v>
      </c>
      <c r="AQ2441" s="82">
        <f>IFERROR(__xludf.DUMMYFUNCTION("""COMPUTED_VALUE"""),0.0)</f>
        <v>0</v>
      </c>
      <c r="AR2441" s="82">
        <f>IFERROR(__xludf.DUMMYFUNCTION("""COMPUTED_VALUE"""),0.0)</f>
        <v>0</v>
      </c>
      <c r="AS2441" s="82"/>
      <c r="AT2441" s="82">
        <f>IFERROR(__xludf.DUMMYFUNCTION("""COMPUTED_VALUE"""),0.0)</f>
        <v>0</v>
      </c>
      <c r="AU2441" s="82"/>
      <c r="AV2441" s="82"/>
      <c r="AW2441" s="82" t="str">
        <f t="shared" si="1"/>
        <v/>
      </c>
      <c r="AX2441" s="83" t="str">
        <f t="array" ref="AX2441">IFERROR(DGET('SBV Import'!A:G,"SBV",{"RSC ID","Tier";B2441,A2441}))</f>
        <v/>
      </c>
      <c r="AY2441" s="82" t="str">
        <f t="shared" si="2"/>
        <v/>
      </c>
      <c r="AZ2441" s="82"/>
      <c r="BA2441" s="84" t="s">
        <v>152</v>
      </c>
      <c r="BB2441" s="84" t="str">
        <f>IFERROR(__xludf.DUMMYFUNCTION("iferror(if(A2441="""",,E2441&gt;=FILTER(Constants!$F$2:$F$10,Constants!$A$2:$A$10=A2441)))"),"")</f>
        <v/>
      </c>
    </row>
    <row r="2442">
      <c r="A2442" s="89"/>
      <c r="B2442" s="87"/>
      <c r="C2442" s="73"/>
      <c r="D2442" s="73"/>
      <c r="E2442" s="82"/>
      <c r="F2442" s="82"/>
      <c r="G2442" s="86"/>
      <c r="H2442" s="86"/>
      <c r="I2442" s="86"/>
      <c r="J2442" s="82"/>
      <c r="K2442" s="82"/>
      <c r="L2442" s="82"/>
      <c r="M2442" s="82"/>
      <c r="N2442" s="82"/>
      <c r="O2442" s="82"/>
      <c r="P2442" s="82"/>
      <c r="Q2442" s="82"/>
      <c r="R2442" s="82"/>
      <c r="S2442" s="82"/>
      <c r="T2442" s="82"/>
      <c r="U2442" s="82"/>
      <c r="V2442" s="82"/>
      <c r="W2442" s="82"/>
      <c r="X2442" s="82"/>
      <c r="Y2442" s="82"/>
      <c r="Z2442" s="82"/>
      <c r="AA2442" s="82"/>
      <c r="AB2442" s="82"/>
      <c r="AC2442" s="82"/>
      <c r="AD2442" s="82"/>
      <c r="AE2442" s="82"/>
      <c r="AF2442" s="82"/>
      <c r="AG2442" s="82"/>
      <c r="AH2442" s="82"/>
      <c r="AI2442" s="82"/>
      <c r="AJ2442" s="82"/>
      <c r="AK2442" s="82"/>
      <c r="AL2442" s="82"/>
      <c r="AM2442" s="82"/>
      <c r="AN2442" s="82">
        <f>IFERROR(__xludf.DUMMYFUNCTION("""COMPUTED_VALUE"""),0.0)</f>
        <v>0</v>
      </c>
      <c r="AO2442" s="82">
        <f>IFERROR(__xludf.DUMMYFUNCTION("""COMPUTED_VALUE"""),0.0)</f>
        <v>0</v>
      </c>
      <c r="AP2442" s="82">
        <f>IFERROR(__xludf.DUMMYFUNCTION("""COMPUTED_VALUE"""),0.0)</f>
        <v>0</v>
      </c>
      <c r="AQ2442" s="82">
        <f>IFERROR(__xludf.DUMMYFUNCTION("""COMPUTED_VALUE"""),0.0)</f>
        <v>0</v>
      </c>
      <c r="AR2442" s="82">
        <f>IFERROR(__xludf.DUMMYFUNCTION("""COMPUTED_VALUE"""),0.0)</f>
        <v>0</v>
      </c>
      <c r="AS2442" s="82"/>
      <c r="AT2442" s="82">
        <f>IFERROR(__xludf.DUMMYFUNCTION("""COMPUTED_VALUE"""),0.0)</f>
        <v>0</v>
      </c>
      <c r="AU2442" s="82"/>
      <c r="AV2442" s="82"/>
      <c r="AW2442" s="82" t="str">
        <f t="shared" si="1"/>
        <v/>
      </c>
      <c r="AX2442" s="83" t="str">
        <f t="array" ref="AX2442">IFERROR(DGET('SBV Import'!A:G,"SBV",{"RSC ID","Tier";B2442,A2442}))</f>
        <v/>
      </c>
      <c r="AY2442" s="82" t="str">
        <f t="shared" si="2"/>
        <v/>
      </c>
      <c r="AZ2442" s="82"/>
      <c r="BA2442" s="84" t="s">
        <v>152</v>
      </c>
      <c r="BB2442" s="84" t="str">
        <f>IFERROR(__xludf.DUMMYFUNCTION("iferror(if(A2442="""",,E2442&gt;=FILTER(Constants!$F$2:$F$10,Constants!$A$2:$A$10=A2442)))"),"")</f>
        <v/>
      </c>
    </row>
    <row r="2443">
      <c r="A2443" s="89"/>
      <c r="B2443" s="87"/>
      <c r="C2443" s="73"/>
      <c r="D2443" s="73"/>
      <c r="E2443" s="82"/>
      <c r="F2443" s="82"/>
      <c r="G2443" s="86"/>
      <c r="H2443" s="86"/>
      <c r="I2443" s="86"/>
      <c r="J2443" s="82"/>
      <c r="K2443" s="82"/>
      <c r="L2443" s="82"/>
      <c r="M2443" s="82"/>
      <c r="N2443" s="82"/>
      <c r="O2443" s="82"/>
      <c r="P2443" s="82"/>
      <c r="Q2443" s="82"/>
      <c r="R2443" s="82"/>
      <c r="S2443" s="82"/>
      <c r="T2443" s="82"/>
      <c r="U2443" s="82"/>
      <c r="V2443" s="82"/>
      <c r="W2443" s="82"/>
      <c r="X2443" s="82"/>
      <c r="Y2443" s="82"/>
      <c r="Z2443" s="82"/>
      <c r="AA2443" s="82"/>
      <c r="AB2443" s="82"/>
      <c r="AC2443" s="82"/>
      <c r="AD2443" s="82"/>
      <c r="AE2443" s="82"/>
      <c r="AF2443" s="82"/>
      <c r="AG2443" s="82"/>
      <c r="AH2443" s="82"/>
      <c r="AI2443" s="82"/>
      <c r="AJ2443" s="82"/>
      <c r="AK2443" s="82"/>
      <c r="AL2443" s="82"/>
      <c r="AM2443" s="82"/>
      <c r="AN2443" s="82">
        <f>IFERROR(__xludf.DUMMYFUNCTION("""COMPUTED_VALUE"""),0.0)</f>
        <v>0</v>
      </c>
      <c r="AO2443" s="82">
        <f>IFERROR(__xludf.DUMMYFUNCTION("""COMPUTED_VALUE"""),0.0)</f>
        <v>0</v>
      </c>
      <c r="AP2443" s="82">
        <f>IFERROR(__xludf.DUMMYFUNCTION("""COMPUTED_VALUE"""),0.0)</f>
        <v>0</v>
      </c>
      <c r="AQ2443" s="82">
        <f>IFERROR(__xludf.DUMMYFUNCTION("""COMPUTED_VALUE"""),0.0)</f>
        <v>0</v>
      </c>
      <c r="AR2443" s="82">
        <f>IFERROR(__xludf.DUMMYFUNCTION("""COMPUTED_VALUE"""),0.0)</f>
        <v>0</v>
      </c>
      <c r="AS2443" s="82"/>
      <c r="AT2443" s="82">
        <f>IFERROR(__xludf.DUMMYFUNCTION("""COMPUTED_VALUE"""),0.0)</f>
        <v>0</v>
      </c>
      <c r="AU2443" s="82"/>
      <c r="AV2443" s="82"/>
      <c r="AW2443" s="82" t="str">
        <f t="shared" si="1"/>
        <v/>
      </c>
      <c r="AX2443" s="83" t="str">
        <f t="array" ref="AX2443">IFERROR(DGET('SBV Import'!A:G,"SBV",{"RSC ID","Tier";B2443,A2443}))</f>
        <v/>
      </c>
      <c r="AY2443" s="82" t="str">
        <f t="shared" si="2"/>
        <v/>
      </c>
      <c r="AZ2443" s="82"/>
      <c r="BA2443" s="84" t="s">
        <v>152</v>
      </c>
      <c r="BB2443" s="84" t="str">
        <f>IFERROR(__xludf.DUMMYFUNCTION("iferror(if(A2443="""",,E2443&gt;=FILTER(Constants!$F$2:$F$10,Constants!$A$2:$A$10=A2443)))"),"")</f>
        <v/>
      </c>
    </row>
    <row r="2444">
      <c r="A2444" s="89"/>
      <c r="B2444" s="87"/>
      <c r="C2444" s="73"/>
      <c r="D2444" s="73"/>
      <c r="E2444" s="82"/>
      <c r="F2444" s="82"/>
      <c r="G2444" s="86"/>
      <c r="H2444" s="86"/>
      <c r="I2444" s="86"/>
      <c r="J2444" s="82"/>
      <c r="K2444" s="82"/>
      <c r="L2444" s="82"/>
      <c r="M2444" s="82"/>
      <c r="N2444" s="82"/>
      <c r="O2444" s="82"/>
      <c r="P2444" s="82"/>
      <c r="Q2444" s="82"/>
      <c r="R2444" s="82"/>
      <c r="S2444" s="82"/>
      <c r="T2444" s="82"/>
      <c r="U2444" s="82"/>
      <c r="V2444" s="82"/>
      <c r="W2444" s="82"/>
      <c r="X2444" s="82"/>
      <c r="Y2444" s="82"/>
      <c r="Z2444" s="82"/>
      <c r="AA2444" s="82"/>
      <c r="AB2444" s="82"/>
      <c r="AC2444" s="82"/>
      <c r="AD2444" s="82"/>
      <c r="AE2444" s="82"/>
      <c r="AF2444" s="82"/>
      <c r="AG2444" s="82"/>
      <c r="AH2444" s="82"/>
      <c r="AI2444" s="82"/>
      <c r="AJ2444" s="82"/>
      <c r="AK2444" s="82"/>
      <c r="AL2444" s="82"/>
      <c r="AM2444" s="82"/>
      <c r="AN2444" s="82">
        <f>IFERROR(__xludf.DUMMYFUNCTION("""COMPUTED_VALUE"""),0.0)</f>
        <v>0</v>
      </c>
      <c r="AO2444" s="82">
        <f>IFERROR(__xludf.DUMMYFUNCTION("""COMPUTED_VALUE"""),0.0)</f>
        <v>0</v>
      </c>
      <c r="AP2444" s="82">
        <f>IFERROR(__xludf.DUMMYFUNCTION("""COMPUTED_VALUE"""),0.0)</f>
        <v>0</v>
      </c>
      <c r="AQ2444" s="82">
        <f>IFERROR(__xludf.DUMMYFUNCTION("""COMPUTED_VALUE"""),0.0)</f>
        <v>0</v>
      </c>
      <c r="AR2444" s="82">
        <f>IFERROR(__xludf.DUMMYFUNCTION("""COMPUTED_VALUE"""),0.0)</f>
        <v>0</v>
      </c>
      <c r="AS2444" s="82"/>
      <c r="AT2444" s="82">
        <f>IFERROR(__xludf.DUMMYFUNCTION("""COMPUTED_VALUE"""),0.0)</f>
        <v>0</v>
      </c>
      <c r="AU2444" s="82"/>
      <c r="AV2444" s="82"/>
      <c r="AW2444" s="82" t="str">
        <f t="shared" si="1"/>
        <v/>
      </c>
      <c r="AX2444" s="83" t="str">
        <f t="array" ref="AX2444">IFERROR(DGET('SBV Import'!A:G,"SBV",{"RSC ID","Tier";B2444,A2444}))</f>
        <v/>
      </c>
      <c r="AY2444" s="82" t="str">
        <f t="shared" si="2"/>
        <v/>
      </c>
      <c r="AZ2444" s="82"/>
      <c r="BA2444" s="84" t="s">
        <v>152</v>
      </c>
      <c r="BB2444" s="84" t="str">
        <f>IFERROR(__xludf.DUMMYFUNCTION("iferror(if(A2444="""",,E2444&gt;=FILTER(Constants!$F$2:$F$10,Constants!$A$2:$A$10=A2444)))"),"")</f>
        <v/>
      </c>
    </row>
    <row r="2445">
      <c r="A2445" s="89"/>
      <c r="B2445" s="87"/>
      <c r="C2445" s="73"/>
      <c r="D2445" s="73"/>
      <c r="E2445" s="82"/>
      <c r="F2445" s="82"/>
      <c r="G2445" s="86"/>
      <c r="H2445" s="86"/>
      <c r="I2445" s="86"/>
      <c r="J2445" s="82"/>
      <c r="K2445" s="82"/>
      <c r="L2445" s="82"/>
      <c r="M2445" s="82"/>
      <c r="N2445" s="82"/>
      <c r="O2445" s="82"/>
      <c r="P2445" s="82"/>
      <c r="Q2445" s="82"/>
      <c r="R2445" s="82"/>
      <c r="S2445" s="82"/>
      <c r="T2445" s="82"/>
      <c r="U2445" s="82"/>
      <c r="V2445" s="82"/>
      <c r="W2445" s="82"/>
      <c r="X2445" s="82"/>
      <c r="Y2445" s="82"/>
      <c r="Z2445" s="82"/>
      <c r="AA2445" s="82"/>
      <c r="AB2445" s="82"/>
      <c r="AC2445" s="82"/>
      <c r="AD2445" s="82"/>
      <c r="AE2445" s="82"/>
      <c r="AF2445" s="82"/>
      <c r="AG2445" s="82"/>
      <c r="AH2445" s="82"/>
      <c r="AI2445" s="82"/>
      <c r="AJ2445" s="82"/>
      <c r="AK2445" s="82"/>
      <c r="AL2445" s="82"/>
      <c r="AM2445" s="82"/>
      <c r="AN2445" s="82">
        <f>IFERROR(__xludf.DUMMYFUNCTION("""COMPUTED_VALUE"""),0.0)</f>
        <v>0</v>
      </c>
      <c r="AO2445" s="82">
        <f>IFERROR(__xludf.DUMMYFUNCTION("""COMPUTED_VALUE"""),0.0)</f>
        <v>0</v>
      </c>
      <c r="AP2445" s="82">
        <f>IFERROR(__xludf.DUMMYFUNCTION("""COMPUTED_VALUE"""),0.0)</f>
        <v>0</v>
      </c>
      <c r="AQ2445" s="82">
        <f>IFERROR(__xludf.DUMMYFUNCTION("""COMPUTED_VALUE"""),0.0)</f>
        <v>0</v>
      </c>
      <c r="AR2445" s="82">
        <f>IFERROR(__xludf.DUMMYFUNCTION("""COMPUTED_VALUE"""),0.0)</f>
        <v>0</v>
      </c>
      <c r="AS2445" s="82"/>
      <c r="AT2445" s="82">
        <f>IFERROR(__xludf.DUMMYFUNCTION("""COMPUTED_VALUE"""),0.0)</f>
        <v>0</v>
      </c>
      <c r="AU2445" s="82"/>
      <c r="AV2445" s="82"/>
      <c r="AW2445" s="82" t="str">
        <f t="shared" si="1"/>
        <v/>
      </c>
      <c r="AX2445" s="83" t="str">
        <f t="array" ref="AX2445">IFERROR(DGET('SBV Import'!A:G,"SBV",{"RSC ID","Tier";B2445,A2445}))</f>
        <v/>
      </c>
      <c r="AY2445" s="82" t="str">
        <f t="shared" si="2"/>
        <v/>
      </c>
      <c r="AZ2445" s="82"/>
      <c r="BA2445" s="84" t="s">
        <v>152</v>
      </c>
      <c r="BB2445" s="84" t="str">
        <f>IFERROR(__xludf.DUMMYFUNCTION("iferror(if(A2445="""",,E2445&gt;=FILTER(Constants!$F$2:$F$10,Constants!$A$2:$A$10=A2445)))"),"")</f>
        <v/>
      </c>
    </row>
    <row r="2446">
      <c r="A2446" s="89"/>
      <c r="B2446" s="87"/>
      <c r="C2446" s="73"/>
      <c r="D2446" s="73"/>
      <c r="E2446" s="82"/>
      <c r="F2446" s="82"/>
      <c r="G2446" s="86"/>
      <c r="H2446" s="86"/>
      <c r="I2446" s="86"/>
      <c r="J2446" s="82"/>
      <c r="K2446" s="82"/>
      <c r="L2446" s="82"/>
      <c r="M2446" s="82"/>
      <c r="N2446" s="82"/>
      <c r="O2446" s="82"/>
      <c r="P2446" s="82"/>
      <c r="Q2446" s="82"/>
      <c r="R2446" s="82"/>
      <c r="S2446" s="82"/>
      <c r="T2446" s="82"/>
      <c r="U2446" s="82"/>
      <c r="V2446" s="82"/>
      <c r="W2446" s="82"/>
      <c r="X2446" s="82"/>
      <c r="Y2446" s="82"/>
      <c r="Z2446" s="82"/>
      <c r="AA2446" s="82"/>
      <c r="AB2446" s="82"/>
      <c r="AC2446" s="82"/>
      <c r="AD2446" s="82"/>
      <c r="AE2446" s="82"/>
      <c r="AF2446" s="82"/>
      <c r="AG2446" s="82"/>
      <c r="AH2446" s="82"/>
      <c r="AI2446" s="82"/>
      <c r="AJ2446" s="82"/>
      <c r="AK2446" s="82"/>
      <c r="AL2446" s="82"/>
      <c r="AM2446" s="82"/>
      <c r="AN2446" s="82">
        <f>IFERROR(__xludf.DUMMYFUNCTION("""COMPUTED_VALUE"""),0.0)</f>
        <v>0</v>
      </c>
      <c r="AO2446" s="82">
        <f>IFERROR(__xludf.DUMMYFUNCTION("""COMPUTED_VALUE"""),0.0)</f>
        <v>0</v>
      </c>
      <c r="AP2446" s="82">
        <f>IFERROR(__xludf.DUMMYFUNCTION("""COMPUTED_VALUE"""),0.0)</f>
        <v>0</v>
      </c>
      <c r="AQ2446" s="82">
        <f>IFERROR(__xludf.DUMMYFUNCTION("""COMPUTED_VALUE"""),0.0)</f>
        <v>0</v>
      </c>
      <c r="AR2446" s="82">
        <f>IFERROR(__xludf.DUMMYFUNCTION("""COMPUTED_VALUE"""),0.0)</f>
        <v>0</v>
      </c>
      <c r="AS2446" s="82"/>
      <c r="AT2446" s="82">
        <f>IFERROR(__xludf.DUMMYFUNCTION("""COMPUTED_VALUE"""),0.0)</f>
        <v>0</v>
      </c>
      <c r="AU2446" s="82"/>
      <c r="AV2446" s="82"/>
      <c r="AW2446" s="82" t="str">
        <f t="shared" si="1"/>
        <v/>
      </c>
      <c r="AX2446" s="83" t="str">
        <f t="array" ref="AX2446">IFERROR(DGET('SBV Import'!A:G,"SBV",{"RSC ID","Tier";B2446,A2446}))</f>
        <v/>
      </c>
      <c r="AY2446" s="82" t="str">
        <f t="shared" si="2"/>
        <v/>
      </c>
      <c r="AZ2446" s="82"/>
      <c r="BA2446" s="84" t="s">
        <v>152</v>
      </c>
      <c r="BB2446" s="84" t="str">
        <f>IFERROR(__xludf.DUMMYFUNCTION("iferror(if(A2446="""",,E2446&gt;=FILTER(Constants!$F$2:$F$10,Constants!$A$2:$A$10=A2446)))"),"")</f>
        <v/>
      </c>
    </row>
    <row r="2447">
      <c r="A2447" s="89"/>
      <c r="B2447" s="87"/>
      <c r="C2447" s="73"/>
      <c r="D2447" s="73"/>
      <c r="E2447" s="82"/>
      <c r="F2447" s="82"/>
      <c r="G2447" s="86"/>
      <c r="H2447" s="86"/>
      <c r="I2447" s="86"/>
      <c r="J2447" s="82"/>
      <c r="K2447" s="82"/>
      <c r="L2447" s="82"/>
      <c r="M2447" s="82"/>
      <c r="N2447" s="82"/>
      <c r="O2447" s="82"/>
      <c r="P2447" s="82"/>
      <c r="Q2447" s="82"/>
      <c r="R2447" s="82"/>
      <c r="S2447" s="82"/>
      <c r="T2447" s="82"/>
      <c r="U2447" s="82"/>
      <c r="V2447" s="82"/>
      <c r="W2447" s="82"/>
      <c r="X2447" s="82"/>
      <c r="Y2447" s="82"/>
      <c r="Z2447" s="82"/>
      <c r="AA2447" s="82"/>
      <c r="AB2447" s="82"/>
      <c r="AC2447" s="82"/>
      <c r="AD2447" s="82"/>
      <c r="AE2447" s="82"/>
      <c r="AF2447" s="82"/>
      <c r="AG2447" s="82"/>
      <c r="AH2447" s="82"/>
      <c r="AI2447" s="82"/>
      <c r="AJ2447" s="82"/>
      <c r="AK2447" s="82"/>
      <c r="AL2447" s="82"/>
      <c r="AM2447" s="82"/>
      <c r="AN2447" s="82">
        <f>IFERROR(__xludf.DUMMYFUNCTION("""COMPUTED_VALUE"""),0.0)</f>
        <v>0</v>
      </c>
      <c r="AO2447" s="82">
        <f>IFERROR(__xludf.DUMMYFUNCTION("""COMPUTED_VALUE"""),0.0)</f>
        <v>0</v>
      </c>
      <c r="AP2447" s="82">
        <f>IFERROR(__xludf.DUMMYFUNCTION("""COMPUTED_VALUE"""),0.0)</f>
        <v>0</v>
      </c>
      <c r="AQ2447" s="82">
        <f>IFERROR(__xludf.DUMMYFUNCTION("""COMPUTED_VALUE"""),0.0)</f>
        <v>0</v>
      </c>
      <c r="AR2447" s="82">
        <f>IFERROR(__xludf.DUMMYFUNCTION("""COMPUTED_VALUE"""),0.0)</f>
        <v>0</v>
      </c>
      <c r="AS2447" s="82"/>
      <c r="AT2447" s="82">
        <f>IFERROR(__xludf.DUMMYFUNCTION("""COMPUTED_VALUE"""),0.0)</f>
        <v>0</v>
      </c>
      <c r="AU2447" s="82"/>
      <c r="AV2447" s="82"/>
      <c r="AW2447" s="82" t="str">
        <f t="shared" si="1"/>
        <v/>
      </c>
      <c r="AX2447" s="83" t="str">
        <f t="array" ref="AX2447">IFERROR(DGET('SBV Import'!A:G,"SBV",{"RSC ID","Tier";B2447,A2447}))</f>
        <v/>
      </c>
      <c r="AY2447" s="82" t="str">
        <f t="shared" si="2"/>
        <v/>
      </c>
      <c r="AZ2447" s="82"/>
      <c r="BA2447" s="84" t="s">
        <v>152</v>
      </c>
      <c r="BB2447" s="84" t="str">
        <f>IFERROR(__xludf.DUMMYFUNCTION("iferror(if(A2447="""",,E2447&gt;=FILTER(Constants!$F$2:$F$10,Constants!$A$2:$A$10=A2447)))"),"")</f>
        <v/>
      </c>
    </row>
    <row r="2448">
      <c r="A2448" s="89"/>
      <c r="B2448" s="87"/>
      <c r="C2448" s="73"/>
      <c r="D2448" s="73"/>
      <c r="E2448" s="82"/>
      <c r="F2448" s="82"/>
      <c r="G2448" s="86"/>
      <c r="H2448" s="86"/>
      <c r="I2448" s="86"/>
      <c r="J2448" s="82"/>
      <c r="K2448" s="82"/>
      <c r="L2448" s="82"/>
      <c r="M2448" s="82"/>
      <c r="N2448" s="82"/>
      <c r="O2448" s="82"/>
      <c r="P2448" s="82"/>
      <c r="Q2448" s="82"/>
      <c r="R2448" s="82"/>
      <c r="S2448" s="82"/>
      <c r="T2448" s="82"/>
      <c r="U2448" s="82"/>
      <c r="V2448" s="82"/>
      <c r="W2448" s="82"/>
      <c r="X2448" s="82"/>
      <c r="Y2448" s="82"/>
      <c r="Z2448" s="82"/>
      <c r="AA2448" s="82"/>
      <c r="AB2448" s="82"/>
      <c r="AC2448" s="82"/>
      <c r="AD2448" s="82"/>
      <c r="AE2448" s="82"/>
      <c r="AF2448" s="82"/>
      <c r="AG2448" s="82"/>
      <c r="AH2448" s="82"/>
      <c r="AI2448" s="82"/>
      <c r="AJ2448" s="82"/>
      <c r="AK2448" s="82"/>
      <c r="AL2448" s="82"/>
      <c r="AM2448" s="82"/>
      <c r="AN2448" s="82">
        <f>IFERROR(__xludf.DUMMYFUNCTION("""COMPUTED_VALUE"""),0.0)</f>
        <v>0</v>
      </c>
      <c r="AO2448" s="82">
        <f>IFERROR(__xludf.DUMMYFUNCTION("""COMPUTED_VALUE"""),0.0)</f>
        <v>0</v>
      </c>
      <c r="AP2448" s="82">
        <f>IFERROR(__xludf.DUMMYFUNCTION("""COMPUTED_VALUE"""),0.0)</f>
        <v>0</v>
      </c>
      <c r="AQ2448" s="82">
        <f>IFERROR(__xludf.DUMMYFUNCTION("""COMPUTED_VALUE"""),0.0)</f>
        <v>0</v>
      </c>
      <c r="AR2448" s="82">
        <f>IFERROR(__xludf.DUMMYFUNCTION("""COMPUTED_VALUE"""),0.0)</f>
        <v>0</v>
      </c>
      <c r="AS2448" s="82"/>
      <c r="AT2448" s="82">
        <f>IFERROR(__xludf.DUMMYFUNCTION("""COMPUTED_VALUE"""),0.0)</f>
        <v>0</v>
      </c>
      <c r="AU2448" s="82"/>
      <c r="AV2448" s="82"/>
      <c r="AW2448" s="82" t="str">
        <f t="shared" si="1"/>
        <v/>
      </c>
      <c r="AX2448" s="83" t="str">
        <f t="array" ref="AX2448">IFERROR(DGET('SBV Import'!A:G,"SBV",{"RSC ID","Tier";B2448,A2448}))</f>
        <v/>
      </c>
      <c r="AY2448" s="82" t="str">
        <f t="shared" si="2"/>
        <v/>
      </c>
      <c r="AZ2448" s="82"/>
      <c r="BA2448" s="84" t="s">
        <v>152</v>
      </c>
      <c r="BB2448" s="84" t="str">
        <f>IFERROR(__xludf.DUMMYFUNCTION("iferror(if(A2448="""",,E2448&gt;=FILTER(Constants!$F$2:$F$10,Constants!$A$2:$A$10=A2448)))"),"")</f>
        <v/>
      </c>
    </row>
    <row r="2449">
      <c r="A2449" s="89"/>
      <c r="B2449" s="87"/>
      <c r="C2449" s="73"/>
      <c r="D2449" s="73"/>
      <c r="E2449" s="82"/>
      <c r="F2449" s="82"/>
      <c r="G2449" s="86"/>
      <c r="H2449" s="86"/>
      <c r="I2449" s="86"/>
      <c r="J2449" s="82"/>
      <c r="K2449" s="82"/>
      <c r="L2449" s="82"/>
      <c r="M2449" s="82"/>
      <c r="N2449" s="82"/>
      <c r="O2449" s="82"/>
      <c r="P2449" s="82"/>
      <c r="Q2449" s="82"/>
      <c r="R2449" s="82"/>
      <c r="S2449" s="82"/>
      <c r="T2449" s="82"/>
      <c r="U2449" s="82"/>
      <c r="V2449" s="82"/>
      <c r="W2449" s="82"/>
      <c r="X2449" s="82"/>
      <c r="Y2449" s="82"/>
      <c r="Z2449" s="82"/>
      <c r="AA2449" s="82"/>
      <c r="AB2449" s="82"/>
      <c r="AC2449" s="82"/>
      <c r="AD2449" s="82"/>
      <c r="AE2449" s="82"/>
      <c r="AF2449" s="82"/>
      <c r="AG2449" s="82"/>
      <c r="AH2449" s="82"/>
      <c r="AI2449" s="82"/>
      <c r="AJ2449" s="82"/>
      <c r="AK2449" s="82"/>
      <c r="AL2449" s="82"/>
      <c r="AM2449" s="82"/>
      <c r="AN2449" s="82">
        <f>IFERROR(__xludf.DUMMYFUNCTION("""COMPUTED_VALUE"""),0.0)</f>
        <v>0</v>
      </c>
      <c r="AO2449" s="82">
        <f>IFERROR(__xludf.DUMMYFUNCTION("""COMPUTED_VALUE"""),0.0)</f>
        <v>0</v>
      </c>
      <c r="AP2449" s="82">
        <f>IFERROR(__xludf.DUMMYFUNCTION("""COMPUTED_VALUE"""),0.0)</f>
        <v>0</v>
      </c>
      <c r="AQ2449" s="82">
        <f>IFERROR(__xludf.DUMMYFUNCTION("""COMPUTED_VALUE"""),0.0)</f>
        <v>0</v>
      </c>
      <c r="AR2449" s="82">
        <f>IFERROR(__xludf.DUMMYFUNCTION("""COMPUTED_VALUE"""),0.0)</f>
        <v>0</v>
      </c>
      <c r="AS2449" s="82"/>
      <c r="AT2449" s="82">
        <f>IFERROR(__xludf.DUMMYFUNCTION("""COMPUTED_VALUE"""),0.0)</f>
        <v>0</v>
      </c>
      <c r="AU2449" s="82"/>
      <c r="AV2449" s="82"/>
      <c r="AW2449" s="82" t="str">
        <f t="shared" si="1"/>
        <v/>
      </c>
      <c r="AX2449" s="83" t="str">
        <f t="array" ref="AX2449">IFERROR(DGET('SBV Import'!A:G,"SBV",{"RSC ID","Tier";B2449,A2449}))</f>
        <v/>
      </c>
      <c r="AY2449" s="82" t="str">
        <f t="shared" si="2"/>
        <v/>
      </c>
      <c r="AZ2449" s="82"/>
      <c r="BA2449" s="84" t="s">
        <v>152</v>
      </c>
      <c r="BB2449" s="84" t="str">
        <f>IFERROR(__xludf.DUMMYFUNCTION("iferror(if(A2449="""",,E2449&gt;=FILTER(Constants!$F$2:$F$10,Constants!$A$2:$A$10=A2449)))"),"")</f>
        <v/>
      </c>
    </row>
    <row r="2450">
      <c r="A2450" s="89"/>
      <c r="B2450" s="87"/>
      <c r="C2450" s="73"/>
      <c r="D2450" s="73"/>
      <c r="E2450" s="82"/>
      <c r="F2450" s="82"/>
      <c r="G2450" s="86"/>
      <c r="H2450" s="86"/>
      <c r="I2450" s="86"/>
      <c r="J2450" s="82"/>
      <c r="K2450" s="82"/>
      <c r="L2450" s="82"/>
      <c r="M2450" s="82"/>
      <c r="N2450" s="82"/>
      <c r="O2450" s="82"/>
      <c r="P2450" s="82"/>
      <c r="Q2450" s="82"/>
      <c r="R2450" s="82"/>
      <c r="S2450" s="82"/>
      <c r="T2450" s="82"/>
      <c r="U2450" s="82"/>
      <c r="V2450" s="82"/>
      <c r="W2450" s="82"/>
      <c r="X2450" s="82"/>
      <c r="Y2450" s="82"/>
      <c r="Z2450" s="82"/>
      <c r="AA2450" s="82"/>
      <c r="AB2450" s="82"/>
      <c r="AC2450" s="82"/>
      <c r="AD2450" s="82"/>
      <c r="AE2450" s="82"/>
      <c r="AF2450" s="82"/>
      <c r="AG2450" s="82"/>
      <c r="AH2450" s="82"/>
      <c r="AI2450" s="82"/>
      <c r="AJ2450" s="82"/>
      <c r="AK2450" s="82"/>
      <c r="AL2450" s="82"/>
      <c r="AM2450" s="82"/>
      <c r="AN2450" s="82">
        <f>IFERROR(__xludf.DUMMYFUNCTION("""COMPUTED_VALUE"""),0.0)</f>
        <v>0</v>
      </c>
      <c r="AO2450" s="82">
        <f>IFERROR(__xludf.DUMMYFUNCTION("""COMPUTED_VALUE"""),0.0)</f>
        <v>0</v>
      </c>
      <c r="AP2450" s="82">
        <f>IFERROR(__xludf.DUMMYFUNCTION("""COMPUTED_VALUE"""),0.0)</f>
        <v>0</v>
      </c>
      <c r="AQ2450" s="82">
        <f>IFERROR(__xludf.DUMMYFUNCTION("""COMPUTED_VALUE"""),0.0)</f>
        <v>0</v>
      </c>
      <c r="AR2450" s="82">
        <f>IFERROR(__xludf.DUMMYFUNCTION("""COMPUTED_VALUE"""),0.0)</f>
        <v>0</v>
      </c>
      <c r="AS2450" s="82"/>
      <c r="AT2450" s="82">
        <f>IFERROR(__xludf.DUMMYFUNCTION("""COMPUTED_VALUE"""),0.0)</f>
        <v>0</v>
      </c>
      <c r="AU2450" s="82"/>
      <c r="AV2450" s="82"/>
      <c r="AW2450" s="82" t="str">
        <f t="shared" si="1"/>
        <v/>
      </c>
      <c r="AX2450" s="83" t="str">
        <f t="array" ref="AX2450">IFERROR(DGET('SBV Import'!A:G,"SBV",{"RSC ID","Tier";B2450,A2450}))</f>
        <v/>
      </c>
      <c r="AY2450" s="82" t="str">
        <f t="shared" si="2"/>
        <v/>
      </c>
      <c r="AZ2450" s="82"/>
      <c r="BA2450" s="84" t="s">
        <v>152</v>
      </c>
      <c r="BB2450" s="84" t="str">
        <f>IFERROR(__xludf.DUMMYFUNCTION("iferror(if(A2450="""",,E2450&gt;=FILTER(Constants!$F$2:$F$10,Constants!$A$2:$A$10=A2450)))"),"")</f>
        <v/>
      </c>
    </row>
    <row r="2451">
      <c r="A2451" s="89"/>
      <c r="B2451" s="87"/>
      <c r="C2451" s="73"/>
      <c r="D2451" s="73"/>
      <c r="E2451" s="82"/>
      <c r="F2451" s="82"/>
      <c r="G2451" s="86"/>
      <c r="H2451" s="86"/>
      <c r="I2451" s="86"/>
      <c r="J2451" s="82"/>
      <c r="K2451" s="82"/>
      <c r="L2451" s="82"/>
      <c r="M2451" s="82"/>
      <c r="N2451" s="82"/>
      <c r="O2451" s="82"/>
      <c r="P2451" s="82"/>
      <c r="Q2451" s="82"/>
      <c r="R2451" s="82"/>
      <c r="S2451" s="82"/>
      <c r="T2451" s="82"/>
      <c r="U2451" s="82"/>
      <c r="V2451" s="82"/>
      <c r="W2451" s="82"/>
      <c r="X2451" s="82"/>
      <c r="Y2451" s="82"/>
      <c r="Z2451" s="82"/>
      <c r="AA2451" s="82"/>
      <c r="AB2451" s="82"/>
      <c r="AC2451" s="82"/>
      <c r="AD2451" s="82"/>
      <c r="AE2451" s="82"/>
      <c r="AF2451" s="82"/>
      <c r="AG2451" s="82"/>
      <c r="AH2451" s="82"/>
      <c r="AI2451" s="82"/>
      <c r="AJ2451" s="82"/>
      <c r="AK2451" s="82"/>
      <c r="AL2451" s="82"/>
      <c r="AM2451" s="82"/>
      <c r="AN2451" s="82">
        <f>IFERROR(__xludf.DUMMYFUNCTION("""COMPUTED_VALUE"""),0.0)</f>
        <v>0</v>
      </c>
      <c r="AO2451" s="82">
        <f>IFERROR(__xludf.DUMMYFUNCTION("""COMPUTED_VALUE"""),0.0)</f>
        <v>0</v>
      </c>
      <c r="AP2451" s="82">
        <f>IFERROR(__xludf.DUMMYFUNCTION("""COMPUTED_VALUE"""),0.0)</f>
        <v>0</v>
      </c>
      <c r="AQ2451" s="82">
        <f>IFERROR(__xludf.DUMMYFUNCTION("""COMPUTED_VALUE"""),0.0)</f>
        <v>0</v>
      </c>
      <c r="AR2451" s="82">
        <f>IFERROR(__xludf.DUMMYFUNCTION("""COMPUTED_VALUE"""),0.0)</f>
        <v>0</v>
      </c>
      <c r="AS2451" s="82"/>
      <c r="AT2451" s="82">
        <f>IFERROR(__xludf.DUMMYFUNCTION("""COMPUTED_VALUE"""),0.0)</f>
        <v>0</v>
      </c>
      <c r="AU2451" s="82"/>
      <c r="AV2451" s="82"/>
      <c r="AW2451" s="82" t="str">
        <f t="shared" si="1"/>
        <v/>
      </c>
      <c r="AX2451" s="83" t="str">
        <f t="array" ref="AX2451">IFERROR(DGET('SBV Import'!A:G,"SBV",{"RSC ID","Tier";B2451,A2451}))</f>
        <v/>
      </c>
      <c r="AY2451" s="82" t="str">
        <f t="shared" si="2"/>
        <v/>
      </c>
      <c r="AZ2451" s="82"/>
      <c r="BA2451" s="84" t="s">
        <v>152</v>
      </c>
      <c r="BB2451" s="84" t="str">
        <f>IFERROR(__xludf.DUMMYFUNCTION("iferror(if(A2451="""",,E2451&gt;=FILTER(Constants!$F$2:$F$10,Constants!$A$2:$A$10=A2451)))"),"")</f>
        <v/>
      </c>
    </row>
    <row r="2452">
      <c r="A2452" s="89"/>
      <c r="B2452" s="87"/>
      <c r="C2452" s="73"/>
      <c r="D2452" s="73"/>
      <c r="E2452" s="82"/>
      <c r="F2452" s="82"/>
      <c r="G2452" s="86"/>
      <c r="H2452" s="86"/>
      <c r="I2452" s="86"/>
      <c r="J2452" s="82"/>
      <c r="K2452" s="82"/>
      <c r="L2452" s="82"/>
      <c r="M2452" s="82"/>
      <c r="N2452" s="82"/>
      <c r="O2452" s="82"/>
      <c r="P2452" s="82"/>
      <c r="Q2452" s="82"/>
      <c r="R2452" s="82"/>
      <c r="S2452" s="82"/>
      <c r="T2452" s="82"/>
      <c r="U2452" s="82"/>
      <c r="V2452" s="82"/>
      <c r="W2452" s="82"/>
      <c r="X2452" s="82"/>
      <c r="Y2452" s="82"/>
      <c r="Z2452" s="82"/>
      <c r="AA2452" s="82"/>
      <c r="AB2452" s="82"/>
      <c r="AC2452" s="82"/>
      <c r="AD2452" s="82"/>
      <c r="AE2452" s="82"/>
      <c r="AF2452" s="82"/>
      <c r="AG2452" s="82"/>
      <c r="AH2452" s="82"/>
      <c r="AI2452" s="82"/>
      <c r="AJ2452" s="82"/>
      <c r="AK2452" s="82"/>
      <c r="AL2452" s="82"/>
      <c r="AM2452" s="82"/>
      <c r="AN2452" s="82">
        <f>IFERROR(__xludf.DUMMYFUNCTION("""COMPUTED_VALUE"""),0.0)</f>
        <v>0</v>
      </c>
      <c r="AO2452" s="82">
        <f>IFERROR(__xludf.DUMMYFUNCTION("""COMPUTED_VALUE"""),0.0)</f>
        <v>0</v>
      </c>
      <c r="AP2452" s="82">
        <f>IFERROR(__xludf.DUMMYFUNCTION("""COMPUTED_VALUE"""),0.0)</f>
        <v>0</v>
      </c>
      <c r="AQ2452" s="82">
        <f>IFERROR(__xludf.DUMMYFUNCTION("""COMPUTED_VALUE"""),0.0)</f>
        <v>0</v>
      </c>
      <c r="AR2452" s="82">
        <f>IFERROR(__xludf.DUMMYFUNCTION("""COMPUTED_VALUE"""),0.0)</f>
        <v>0</v>
      </c>
      <c r="AS2452" s="82"/>
      <c r="AT2452" s="82">
        <f>IFERROR(__xludf.DUMMYFUNCTION("""COMPUTED_VALUE"""),0.0)</f>
        <v>0</v>
      </c>
      <c r="AU2452" s="82"/>
      <c r="AV2452" s="82"/>
      <c r="AW2452" s="82" t="str">
        <f t="shared" si="1"/>
        <v/>
      </c>
      <c r="AX2452" s="83" t="str">
        <f t="array" ref="AX2452">IFERROR(DGET('SBV Import'!A:G,"SBV",{"RSC ID","Tier";B2452,A2452}))</f>
        <v/>
      </c>
      <c r="AY2452" s="82" t="str">
        <f t="shared" si="2"/>
        <v/>
      </c>
      <c r="AZ2452" s="82"/>
      <c r="BA2452" s="84" t="s">
        <v>152</v>
      </c>
      <c r="BB2452" s="84" t="str">
        <f>IFERROR(__xludf.DUMMYFUNCTION("iferror(if(A2452="""",,E2452&gt;=FILTER(Constants!$F$2:$F$10,Constants!$A$2:$A$10=A2452)))"),"")</f>
        <v/>
      </c>
    </row>
    <row r="2453">
      <c r="A2453" s="89"/>
      <c r="B2453" s="87"/>
      <c r="C2453" s="73"/>
      <c r="D2453" s="73"/>
      <c r="E2453" s="82"/>
      <c r="F2453" s="82"/>
      <c r="G2453" s="86"/>
      <c r="H2453" s="86"/>
      <c r="I2453" s="86"/>
      <c r="J2453" s="82"/>
      <c r="K2453" s="82"/>
      <c r="L2453" s="82"/>
      <c r="M2453" s="82"/>
      <c r="N2453" s="82"/>
      <c r="O2453" s="82"/>
      <c r="P2453" s="82"/>
      <c r="Q2453" s="82"/>
      <c r="R2453" s="82"/>
      <c r="S2453" s="82"/>
      <c r="T2453" s="82"/>
      <c r="U2453" s="82"/>
      <c r="V2453" s="82"/>
      <c r="W2453" s="82"/>
      <c r="X2453" s="82"/>
      <c r="Y2453" s="82"/>
      <c r="Z2453" s="82"/>
      <c r="AA2453" s="82"/>
      <c r="AB2453" s="82"/>
      <c r="AC2453" s="82"/>
      <c r="AD2453" s="82"/>
      <c r="AE2453" s="82"/>
      <c r="AF2453" s="82"/>
      <c r="AG2453" s="82"/>
      <c r="AH2453" s="82"/>
      <c r="AI2453" s="82"/>
      <c r="AJ2453" s="82"/>
      <c r="AK2453" s="82"/>
      <c r="AL2453" s="82"/>
      <c r="AM2453" s="82"/>
      <c r="AN2453" s="82">
        <f>IFERROR(__xludf.DUMMYFUNCTION("""COMPUTED_VALUE"""),0.0)</f>
        <v>0</v>
      </c>
      <c r="AO2453" s="82">
        <f>IFERROR(__xludf.DUMMYFUNCTION("""COMPUTED_VALUE"""),0.0)</f>
        <v>0</v>
      </c>
      <c r="AP2453" s="82">
        <f>IFERROR(__xludf.DUMMYFUNCTION("""COMPUTED_VALUE"""),0.0)</f>
        <v>0</v>
      </c>
      <c r="AQ2453" s="82">
        <f>IFERROR(__xludf.DUMMYFUNCTION("""COMPUTED_VALUE"""),0.0)</f>
        <v>0</v>
      </c>
      <c r="AR2453" s="82">
        <f>IFERROR(__xludf.DUMMYFUNCTION("""COMPUTED_VALUE"""),0.0)</f>
        <v>0</v>
      </c>
      <c r="AS2453" s="82"/>
      <c r="AT2453" s="82">
        <f>IFERROR(__xludf.DUMMYFUNCTION("""COMPUTED_VALUE"""),0.0)</f>
        <v>0</v>
      </c>
      <c r="AU2453" s="82"/>
      <c r="AV2453" s="82"/>
      <c r="AW2453" s="82" t="str">
        <f t="shared" si="1"/>
        <v/>
      </c>
      <c r="AX2453" s="83" t="str">
        <f t="array" ref="AX2453">IFERROR(DGET('SBV Import'!A:G,"SBV",{"RSC ID","Tier";B2453,A2453}))</f>
        <v/>
      </c>
      <c r="AY2453" s="82" t="str">
        <f t="shared" si="2"/>
        <v/>
      </c>
      <c r="AZ2453" s="82"/>
      <c r="BA2453" s="84" t="s">
        <v>152</v>
      </c>
      <c r="BB2453" s="84" t="str">
        <f>IFERROR(__xludf.DUMMYFUNCTION("iferror(if(A2453="""",,E2453&gt;=FILTER(Constants!$F$2:$F$10,Constants!$A$2:$A$10=A2453)))"),"")</f>
        <v/>
      </c>
    </row>
    <row r="2454">
      <c r="A2454" s="89"/>
      <c r="B2454" s="87"/>
      <c r="C2454" s="73"/>
      <c r="D2454" s="73"/>
      <c r="E2454" s="82"/>
      <c r="F2454" s="82"/>
      <c r="G2454" s="86"/>
      <c r="H2454" s="86"/>
      <c r="I2454" s="86"/>
      <c r="J2454" s="82"/>
      <c r="K2454" s="82"/>
      <c r="L2454" s="82"/>
      <c r="M2454" s="82"/>
      <c r="N2454" s="82"/>
      <c r="O2454" s="82"/>
      <c r="P2454" s="82"/>
      <c r="Q2454" s="82"/>
      <c r="R2454" s="82"/>
      <c r="S2454" s="82"/>
      <c r="T2454" s="82"/>
      <c r="U2454" s="82"/>
      <c r="V2454" s="82"/>
      <c r="W2454" s="82"/>
      <c r="X2454" s="82"/>
      <c r="Y2454" s="82"/>
      <c r="Z2454" s="82"/>
      <c r="AA2454" s="82"/>
      <c r="AB2454" s="82"/>
      <c r="AC2454" s="82"/>
      <c r="AD2454" s="82"/>
      <c r="AE2454" s="82"/>
      <c r="AF2454" s="82"/>
      <c r="AG2454" s="82"/>
      <c r="AH2454" s="82"/>
      <c r="AI2454" s="82"/>
      <c r="AJ2454" s="82"/>
      <c r="AK2454" s="82"/>
      <c r="AL2454" s="82"/>
      <c r="AM2454" s="82"/>
      <c r="AN2454" s="82">
        <f>IFERROR(__xludf.DUMMYFUNCTION("""COMPUTED_VALUE"""),0.0)</f>
        <v>0</v>
      </c>
      <c r="AO2454" s="82">
        <f>IFERROR(__xludf.DUMMYFUNCTION("""COMPUTED_VALUE"""),0.0)</f>
        <v>0</v>
      </c>
      <c r="AP2454" s="82">
        <f>IFERROR(__xludf.DUMMYFUNCTION("""COMPUTED_VALUE"""),0.0)</f>
        <v>0</v>
      </c>
      <c r="AQ2454" s="82">
        <f>IFERROR(__xludf.DUMMYFUNCTION("""COMPUTED_VALUE"""),0.0)</f>
        <v>0</v>
      </c>
      <c r="AR2454" s="82">
        <f>IFERROR(__xludf.DUMMYFUNCTION("""COMPUTED_VALUE"""),0.0)</f>
        <v>0</v>
      </c>
      <c r="AS2454" s="82"/>
      <c r="AT2454" s="82">
        <f>IFERROR(__xludf.DUMMYFUNCTION("""COMPUTED_VALUE"""),0.0)</f>
        <v>0</v>
      </c>
      <c r="AU2454" s="82"/>
      <c r="AV2454" s="82"/>
      <c r="AW2454" s="82" t="str">
        <f t="shared" si="1"/>
        <v/>
      </c>
      <c r="AX2454" s="83" t="str">
        <f t="array" ref="AX2454">IFERROR(DGET('SBV Import'!A:G,"SBV",{"RSC ID","Tier";B2454,A2454}))</f>
        <v/>
      </c>
      <c r="AY2454" s="82" t="str">
        <f t="shared" si="2"/>
        <v/>
      </c>
      <c r="AZ2454" s="82"/>
      <c r="BA2454" s="84" t="s">
        <v>152</v>
      </c>
      <c r="BB2454" s="84" t="str">
        <f>IFERROR(__xludf.DUMMYFUNCTION("iferror(if(A2454="""",,E2454&gt;=FILTER(Constants!$F$2:$F$10,Constants!$A$2:$A$10=A2454)))"),"")</f>
        <v/>
      </c>
    </row>
    <row r="2455">
      <c r="A2455" s="89"/>
      <c r="B2455" s="87"/>
      <c r="C2455" s="73"/>
      <c r="D2455" s="73"/>
      <c r="E2455" s="82"/>
      <c r="F2455" s="82"/>
      <c r="G2455" s="86"/>
      <c r="H2455" s="86"/>
      <c r="I2455" s="86"/>
      <c r="J2455" s="82"/>
      <c r="K2455" s="82"/>
      <c r="L2455" s="82"/>
      <c r="M2455" s="82"/>
      <c r="N2455" s="82"/>
      <c r="O2455" s="82"/>
      <c r="P2455" s="82"/>
      <c r="Q2455" s="82"/>
      <c r="R2455" s="82"/>
      <c r="S2455" s="82"/>
      <c r="T2455" s="82"/>
      <c r="U2455" s="82"/>
      <c r="V2455" s="82"/>
      <c r="W2455" s="82"/>
      <c r="X2455" s="82"/>
      <c r="Y2455" s="82"/>
      <c r="Z2455" s="82"/>
      <c r="AA2455" s="82"/>
      <c r="AB2455" s="82"/>
      <c r="AC2455" s="82"/>
      <c r="AD2455" s="82"/>
      <c r="AE2455" s="82"/>
      <c r="AF2455" s="82"/>
      <c r="AG2455" s="82"/>
      <c r="AH2455" s="82"/>
      <c r="AI2455" s="82"/>
      <c r="AJ2455" s="82"/>
      <c r="AK2455" s="82"/>
      <c r="AL2455" s="82"/>
      <c r="AM2455" s="82"/>
      <c r="AN2455" s="82">
        <f>IFERROR(__xludf.DUMMYFUNCTION("""COMPUTED_VALUE"""),0.0)</f>
        <v>0</v>
      </c>
      <c r="AO2455" s="82">
        <f>IFERROR(__xludf.DUMMYFUNCTION("""COMPUTED_VALUE"""),0.0)</f>
        <v>0</v>
      </c>
      <c r="AP2455" s="82">
        <f>IFERROR(__xludf.DUMMYFUNCTION("""COMPUTED_VALUE"""),0.0)</f>
        <v>0</v>
      </c>
      <c r="AQ2455" s="82">
        <f>IFERROR(__xludf.DUMMYFUNCTION("""COMPUTED_VALUE"""),0.0)</f>
        <v>0</v>
      </c>
      <c r="AR2455" s="82">
        <f>IFERROR(__xludf.DUMMYFUNCTION("""COMPUTED_VALUE"""),0.0)</f>
        <v>0</v>
      </c>
      <c r="AS2455" s="82"/>
      <c r="AT2455" s="82">
        <f>IFERROR(__xludf.DUMMYFUNCTION("""COMPUTED_VALUE"""),0.0)</f>
        <v>0</v>
      </c>
      <c r="AU2455" s="82"/>
      <c r="AV2455" s="82"/>
      <c r="AW2455" s="82" t="str">
        <f t="shared" si="1"/>
        <v/>
      </c>
      <c r="AX2455" s="83" t="str">
        <f t="array" ref="AX2455">IFERROR(DGET('SBV Import'!A:G,"SBV",{"RSC ID","Tier";B2455,A2455}))</f>
        <v/>
      </c>
      <c r="AY2455" s="82" t="str">
        <f t="shared" si="2"/>
        <v/>
      </c>
      <c r="AZ2455" s="82"/>
      <c r="BA2455" s="84" t="s">
        <v>152</v>
      </c>
      <c r="BB2455" s="84" t="str">
        <f>IFERROR(__xludf.DUMMYFUNCTION("iferror(if(A2455="""",,E2455&gt;=FILTER(Constants!$F$2:$F$10,Constants!$A$2:$A$10=A2455)))"),"")</f>
        <v/>
      </c>
    </row>
    <row r="2456">
      <c r="A2456" s="89"/>
      <c r="B2456" s="87"/>
      <c r="C2456" s="73"/>
      <c r="D2456" s="73"/>
      <c r="E2456" s="82"/>
      <c r="F2456" s="82"/>
      <c r="G2456" s="86"/>
      <c r="H2456" s="86"/>
      <c r="I2456" s="86"/>
      <c r="J2456" s="82"/>
      <c r="K2456" s="82"/>
      <c r="L2456" s="82"/>
      <c r="M2456" s="82"/>
      <c r="N2456" s="82"/>
      <c r="O2456" s="82"/>
      <c r="P2456" s="82"/>
      <c r="Q2456" s="82"/>
      <c r="R2456" s="82"/>
      <c r="S2456" s="82"/>
      <c r="T2456" s="82"/>
      <c r="U2456" s="82"/>
      <c r="V2456" s="82"/>
      <c r="W2456" s="82"/>
      <c r="X2456" s="82"/>
      <c r="Y2456" s="82"/>
      <c r="Z2456" s="82"/>
      <c r="AA2456" s="82"/>
      <c r="AB2456" s="82"/>
      <c r="AC2456" s="82"/>
      <c r="AD2456" s="82"/>
      <c r="AE2456" s="82"/>
      <c r="AF2456" s="82"/>
      <c r="AG2456" s="82"/>
      <c r="AH2456" s="82"/>
      <c r="AI2456" s="82"/>
      <c r="AJ2456" s="82"/>
      <c r="AK2456" s="82"/>
      <c r="AL2456" s="82"/>
      <c r="AM2456" s="82"/>
      <c r="AN2456" s="82">
        <f>IFERROR(__xludf.DUMMYFUNCTION("""COMPUTED_VALUE"""),0.0)</f>
        <v>0</v>
      </c>
      <c r="AO2456" s="82">
        <f>IFERROR(__xludf.DUMMYFUNCTION("""COMPUTED_VALUE"""),0.0)</f>
        <v>0</v>
      </c>
      <c r="AP2456" s="82">
        <f>IFERROR(__xludf.DUMMYFUNCTION("""COMPUTED_VALUE"""),0.0)</f>
        <v>0</v>
      </c>
      <c r="AQ2456" s="82">
        <f>IFERROR(__xludf.DUMMYFUNCTION("""COMPUTED_VALUE"""),0.0)</f>
        <v>0</v>
      </c>
      <c r="AR2456" s="82">
        <f>IFERROR(__xludf.DUMMYFUNCTION("""COMPUTED_VALUE"""),0.0)</f>
        <v>0</v>
      </c>
      <c r="AS2456" s="82"/>
      <c r="AT2456" s="82">
        <f>IFERROR(__xludf.DUMMYFUNCTION("""COMPUTED_VALUE"""),0.0)</f>
        <v>0</v>
      </c>
      <c r="AU2456" s="82"/>
      <c r="AV2456" s="82"/>
      <c r="AW2456" s="82" t="str">
        <f t="shared" si="1"/>
        <v/>
      </c>
      <c r="AX2456" s="83" t="str">
        <f t="array" ref="AX2456">IFERROR(DGET('SBV Import'!A:G,"SBV",{"RSC ID","Tier";B2456,A2456}))</f>
        <v/>
      </c>
      <c r="AY2456" s="82" t="str">
        <f t="shared" si="2"/>
        <v/>
      </c>
      <c r="AZ2456" s="82"/>
      <c r="BA2456" s="84" t="s">
        <v>152</v>
      </c>
      <c r="BB2456" s="84" t="str">
        <f>IFERROR(__xludf.DUMMYFUNCTION("iferror(if(A2456="""",,E2456&gt;=FILTER(Constants!$F$2:$F$10,Constants!$A$2:$A$10=A2456)))"),"")</f>
        <v/>
      </c>
    </row>
    <row r="2457">
      <c r="A2457" s="89"/>
      <c r="B2457" s="87"/>
      <c r="C2457" s="73"/>
      <c r="D2457" s="73"/>
      <c r="E2457" s="82"/>
      <c r="F2457" s="82"/>
      <c r="G2457" s="86"/>
      <c r="H2457" s="86"/>
      <c r="I2457" s="86"/>
      <c r="J2457" s="82"/>
      <c r="K2457" s="82"/>
      <c r="L2457" s="82"/>
      <c r="M2457" s="82"/>
      <c r="N2457" s="82"/>
      <c r="O2457" s="82"/>
      <c r="P2457" s="82"/>
      <c r="Q2457" s="82"/>
      <c r="R2457" s="82"/>
      <c r="S2457" s="82"/>
      <c r="T2457" s="82"/>
      <c r="U2457" s="82"/>
      <c r="V2457" s="82"/>
      <c r="W2457" s="82"/>
      <c r="X2457" s="82"/>
      <c r="Y2457" s="82"/>
      <c r="Z2457" s="82"/>
      <c r="AA2457" s="82"/>
      <c r="AB2457" s="82"/>
      <c r="AC2457" s="82"/>
      <c r="AD2457" s="82"/>
      <c r="AE2457" s="82"/>
      <c r="AF2457" s="82"/>
      <c r="AG2457" s="82"/>
      <c r="AH2457" s="82"/>
      <c r="AI2457" s="82"/>
      <c r="AJ2457" s="82"/>
      <c r="AK2457" s="82"/>
      <c r="AL2457" s="82"/>
      <c r="AM2457" s="82"/>
      <c r="AN2457" s="82">
        <f>IFERROR(__xludf.DUMMYFUNCTION("""COMPUTED_VALUE"""),0.0)</f>
        <v>0</v>
      </c>
      <c r="AO2457" s="82">
        <f>IFERROR(__xludf.DUMMYFUNCTION("""COMPUTED_VALUE"""),0.0)</f>
        <v>0</v>
      </c>
      <c r="AP2457" s="82">
        <f>IFERROR(__xludf.DUMMYFUNCTION("""COMPUTED_VALUE"""),0.0)</f>
        <v>0</v>
      </c>
      <c r="AQ2457" s="82">
        <f>IFERROR(__xludf.DUMMYFUNCTION("""COMPUTED_VALUE"""),0.0)</f>
        <v>0</v>
      </c>
      <c r="AR2457" s="82">
        <f>IFERROR(__xludf.DUMMYFUNCTION("""COMPUTED_VALUE"""),0.0)</f>
        <v>0</v>
      </c>
      <c r="AS2457" s="82"/>
      <c r="AT2457" s="82">
        <f>IFERROR(__xludf.DUMMYFUNCTION("""COMPUTED_VALUE"""),0.0)</f>
        <v>0</v>
      </c>
      <c r="AU2457" s="82"/>
      <c r="AV2457" s="82"/>
      <c r="AW2457" s="82" t="str">
        <f t="shared" si="1"/>
        <v/>
      </c>
      <c r="AX2457" s="83" t="str">
        <f t="array" ref="AX2457">IFERROR(DGET('SBV Import'!A:G,"SBV",{"RSC ID","Tier";B2457,A2457}))</f>
        <v/>
      </c>
      <c r="AY2457" s="82" t="str">
        <f t="shared" si="2"/>
        <v/>
      </c>
      <c r="AZ2457" s="82"/>
      <c r="BA2457" s="84" t="s">
        <v>152</v>
      </c>
      <c r="BB2457" s="84" t="str">
        <f>IFERROR(__xludf.DUMMYFUNCTION("iferror(if(A2457="""",,E2457&gt;=FILTER(Constants!$F$2:$F$10,Constants!$A$2:$A$10=A2457)))"),"")</f>
        <v/>
      </c>
    </row>
    <row r="2458">
      <c r="A2458" s="89"/>
      <c r="B2458" s="87"/>
      <c r="C2458" s="73"/>
      <c r="D2458" s="73"/>
      <c r="E2458" s="82"/>
      <c r="F2458" s="82"/>
      <c r="G2458" s="86"/>
      <c r="H2458" s="86"/>
      <c r="I2458" s="86"/>
      <c r="J2458" s="82"/>
      <c r="K2458" s="82"/>
      <c r="L2458" s="82"/>
      <c r="M2458" s="82"/>
      <c r="N2458" s="82"/>
      <c r="O2458" s="82"/>
      <c r="P2458" s="82"/>
      <c r="Q2458" s="82"/>
      <c r="R2458" s="82"/>
      <c r="S2458" s="82"/>
      <c r="T2458" s="82"/>
      <c r="U2458" s="82"/>
      <c r="V2458" s="82"/>
      <c r="W2458" s="82"/>
      <c r="X2458" s="82"/>
      <c r="Y2458" s="82"/>
      <c r="Z2458" s="82"/>
      <c r="AA2458" s="82"/>
      <c r="AB2458" s="82"/>
      <c r="AC2458" s="82"/>
      <c r="AD2458" s="82"/>
      <c r="AE2458" s="82"/>
      <c r="AF2458" s="82"/>
      <c r="AG2458" s="82"/>
      <c r="AH2458" s="82"/>
      <c r="AI2458" s="82"/>
      <c r="AJ2458" s="82"/>
      <c r="AK2458" s="82"/>
      <c r="AL2458" s="82"/>
      <c r="AM2458" s="82"/>
      <c r="AN2458" s="82">
        <f>IFERROR(__xludf.DUMMYFUNCTION("""COMPUTED_VALUE"""),0.0)</f>
        <v>0</v>
      </c>
      <c r="AO2458" s="82">
        <f>IFERROR(__xludf.DUMMYFUNCTION("""COMPUTED_VALUE"""),0.0)</f>
        <v>0</v>
      </c>
      <c r="AP2458" s="82">
        <f>IFERROR(__xludf.DUMMYFUNCTION("""COMPUTED_VALUE"""),0.0)</f>
        <v>0</v>
      </c>
      <c r="AQ2458" s="82">
        <f>IFERROR(__xludf.DUMMYFUNCTION("""COMPUTED_VALUE"""),0.0)</f>
        <v>0</v>
      </c>
      <c r="AR2458" s="82">
        <f>IFERROR(__xludf.DUMMYFUNCTION("""COMPUTED_VALUE"""),0.0)</f>
        <v>0</v>
      </c>
      <c r="AS2458" s="82"/>
      <c r="AT2458" s="82">
        <f>IFERROR(__xludf.DUMMYFUNCTION("""COMPUTED_VALUE"""),0.0)</f>
        <v>0</v>
      </c>
      <c r="AU2458" s="82"/>
      <c r="AV2458" s="82"/>
      <c r="AW2458" s="82" t="str">
        <f t="shared" si="1"/>
        <v/>
      </c>
      <c r="AX2458" s="83" t="str">
        <f t="array" ref="AX2458">IFERROR(DGET('SBV Import'!A:G,"SBV",{"RSC ID","Tier";B2458,A2458}))</f>
        <v/>
      </c>
      <c r="AY2458" s="82" t="str">
        <f t="shared" si="2"/>
        <v/>
      </c>
      <c r="AZ2458" s="82"/>
      <c r="BA2458" s="84" t="s">
        <v>152</v>
      </c>
      <c r="BB2458" s="84" t="str">
        <f>IFERROR(__xludf.DUMMYFUNCTION("iferror(if(A2458="""",,E2458&gt;=FILTER(Constants!$F$2:$F$10,Constants!$A$2:$A$10=A2458)))"),"")</f>
        <v/>
      </c>
    </row>
    <row r="2459">
      <c r="A2459" s="89"/>
      <c r="B2459" s="87"/>
      <c r="C2459" s="73"/>
      <c r="D2459" s="73"/>
      <c r="E2459" s="82"/>
      <c r="F2459" s="82"/>
      <c r="G2459" s="86"/>
      <c r="H2459" s="86"/>
      <c r="I2459" s="86"/>
      <c r="J2459" s="82"/>
      <c r="K2459" s="82"/>
      <c r="L2459" s="82"/>
      <c r="M2459" s="82"/>
      <c r="N2459" s="82"/>
      <c r="O2459" s="82"/>
      <c r="P2459" s="82"/>
      <c r="Q2459" s="82"/>
      <c r="R2459" s="82"/>
      <c r="S2459" s="82"/>
      <c r="T2459" s="82"/>
      <c r="U2459" s="82"/>
      <c r="V2459" s="82"/>
      <c r="W2459" s="82"/>
      <c r="X2459" s="82"/>
      <c r="Y2459" s="82"/>
      <c r="Z2459" s="82"/>
      <c r="AA2459" s="82"/>
      <c r="AB2459" s="82"/>
      <c r="AC2459" s="82"/>
      <c r="AD2459" s="82"/>
      <c r="AE2459" s="82"/>
      <c r="AF2459" s="82"/>
      <c r="AG2459" s="82"/>
      <c r="AH2459" s="82"/>
      <c r="AI2459" s="82"/>
      <c r="AJ2459" s="82"/>
      <c r="AK2459" s="82"/>
      <c r="AL2459" s="82"/>
      <c r="AM2459" s="82"/>
      <c r="AN2459" s="82">
        <f>IFERROR(__xludf.DUMMYFUNCTION("""COMPUTED_VALUE"""),0.0)</f>
        <v>0</v>
      </c>
      <c r="AO2459" s="82">
        <f>IFERROR(__xludf.DUMMYFUNCTION("""COMPUTED_VALUE"""),0.0)</f>
        <v>0</v>
      </c>
      <c r="AP2459" s="82">
        <f>IFERROR(__xludf.DUMMYFUNCTION("""COMPUTED_VALUE"""),0.0)</f>
        <v>0</v>
      </c>
      <c r="AQ2459" s="82">
        <f>IFERROR(__xludf.DUMMYFUNCTION("""COMPUTED_VALUE"""),0.0)</f>
        <v>0</v>
      </c>
      <c r="AR2459" s="82">
        <f>IFERROR(__xludf.DUMMYFUNCTION("""COMPUTED_VALUE"""),0.0)</f>
        <v>0</v>
      </c>
      <c r="AS2459" s="82"/>
      <c r="AT2459" s="82">
        <f>IFERROR(__xludf.DUMMYFUNCTION("""COMPUTED_VALUE"""),0.0)</f>
        <v>0</v>
      </c>
      <c r="AU2459" s="82"/>
      <c r="AV2459" s="82"/>
      <c r="AW2459" s="82" t="str">
        <f t="shared" si="1"/>
        <v/>
      </c>
      <c r="AX2459" s="83" t="str">
        <f t="array" ref="AX2459">IFERROR(DGET('SBV Import'!A:G,"SBV",{"RSC ID","Tier";B2459,A2459}))</f>
        <v/>
      </c>
      <c r="AY2459" s="82" t="str">
        <f t="shared" si="2"/>
        <v/>
      </c>
      <c r="AZ2459" s="82"/>
      <c r="BA2459" s="84" t="s">
        <v>152</v>
      </c>
      <c r="BB2459" s="84" t="str">
        <f>IFERROR(__xludf.DUMMYFUNCTION("iferror(if(A2459="""",,E2459&gt;=FILTER(Constants!$F$2:$F$10,Constants!$A$2:$A$10=A2459)))"),"")</f>
        <v/>
      </c>
    </row>
    <row r="2460">
      <c r="A2460" s="89"/>
      <c r="B2460" s="87"/>
      <c r="C2460" s="73"/>
      <c r="D2460" s="73"/>
      <c r="E2460" s="82"/>
      <c r="F2460" s="82"/>
      <c r="G2460" s="86"/>
      <c r="H2460" s="86"/>
      <c r="I2460" s="86"/>
      <c r="J2460" s="82"/>
      <c r="K2460" s="82"/>
      <c r="L2460" s="82"/>
      <c r="M2460" s="82"/>
      <c r="N2460" s="82"/>
      <c r="O2460" s="82"/>
      <c r="P2460" s="82"/>
      <c r="Q2460" s="82"/>
      <c r="R2460" s="82"/>
      <c r="S2460" s="82"/>
      <c r="T2460" s="82"/>
      <c r="U2460" s="82"/>
      <c r="V2460" s="82"/>
      <c r="W2460" s="82"/>
      <c r="X2460" s="82"/>
      <c r="Y2460" s="82"/>
      <c r="Z2460" s="82"/>
      <c r="AA2460" s="82"/>
      <c r="AB2460" s="82"/>
      <c r="AC2460" s="82"/>
      <c r="AD2460" s="82"/>
      <c r="AE2460" s="82"/>
      <c r="AF2460" s="82"/>
      <c r="AG2460" s="82"/>
      <c r="AH2460" s="82"/>
      <c r="AI2460" s="82"/>
      <c r="AJ2460" s="82"/>
      <c r="AK2460" s="82"/>
      <c r="AL2460" s="82"/>
      <c r="AM2460" s="82"/>
      <c r="AN2460" s="82">
        <f>IFERROR(__xludf.DUMMYFUNCTION("""COMPUTED_VALUE"""),0.0)</f>
        <v>0</v>
      </c>
      <c r="AO2460" s="82">
        <f>IFERROR(__xludf.DUMMYFUNCTION("""COMPUTED_VALUE"""),0.0)</f>
        <v>0</v>
      </c>
      <c r="AP2460" s="82">
        <f>IFERROR(__xludf.DUMMYFUNCTION("""COMPUTED_VALUE"""),0.0)</f>
        <v>0</v>
      </c>
      <c r="AQ2460" s="82">
        <f>IFERROR(__xludf.DUMMYFUNCTION("""COMPUTED_VALUE"""),0.0)</f>
        <v>0</v>
      </c>
      <c r="AR2460" s="82">
        <f>IFERROR(__xludf.DUMMYFUNCTION("""COMPUTED_VALUE"""),0.0)</f>
        <v>0</v>
      </c>
      <c r="AS2460" s="82"/>
      <c r="AT2460" s="82">
        <f>IFERROR(__xludf.DUMMYFUNCTION("""COMPUTED_VALUE"""),0.0)</f>
        <v>0</v>
      </c>
      <c r="AU2460" s="82"/>
      <c r="AV2460" s="82"/>
      <c r="AW2460" s="82" t="str">
        <f t="shared" si="1"/>
        <v/>
      </c>
      <c r="AX2460" s="83" t="str">
        <f t="array" ref="AX2460">IFERROR(DGET('SBV Import'!A:G,"SBV",{"RSC ID","Tier";B2460,A2460}))</f>
        <v/>
      </c>
      <c r="AY2460" s="82" t="str">
        <f t="shared" si="2"/>
        <v/>
      </c>
      <c r="AZ2460" s="82"/>
      <c r="BA2460" s="84" t="s">
        <v>152</v>
      </c>
      <c r="BB2460" s="84" t="str">
        <f>IFERROR(__xludf.DUMMYFUNCTION("iferror(if(A2460="""",,E2460&gt;=FILTER(Constants!$F$2:$F$10,Constants!$A$2:$A$10=A2460)))"),"")</f>
        <v/>
      </c>
    </row>
    <row r="2461">
      <c r="A2461" s="89"/>
      <c r="B2461" s="87"/>
      <c r="C2461" s="73"/>
      <c r="D2461" s="73"/>
      <c r="E2461" s="82"/>
      <c r="F2461" s="82"/>
      <c r="G2461" s="86"/>
      <c r="H2461" s="86"/>
      <c r="I2461" s="86"/>
      <c r="J2461" s="82"/>
      <c r="K2461" s="82"/>
      <c r="L2461" s="82"/>
      <c r="M2461" s="82"/>
      <c r="N2461" s="82"/>
      <c r="O2461" s="82"/>
      <c r="P2461" s="82"/>
      <c r="Q2461" s="82"/>
      <c r="R2461" s="82"/>
      <c r="S2461" s="82"/>
      <c r="T2461" s="82"/>
      <c r="U2461" s="82"/>
      <c r="V2461" s="82"/>
      <c r="W2461" s="82"/>
      <c r="X2461" s="82"/>
      <c r="Y2461" s="82"/>
      <c r="Z2461" s="82"/>
      <c r="AA2461" s="82"/>
      <c r="AB2461" s="82"/>
      <c r="AC2461" s="82"/>
      <c r="AD2461" s="82"/>
      <c r="AE2461" s="82"/>
      <c r="AF2461" s="82"/>
      <c r="AG2461" s="82"/>
      <c r="AH2461" s="82"/>
      <c r="AI2461" s="82"/>
      <c r="AJ2461" s="82"/>
      <c r="AK2461" s="82"/>
      <c r="AL2461" s="82"/>
      <c r="AM2461" s="82"/>
      <c r="AN2461" s="82">
        <f>IFERROR(__xludf.DUMMYFUNCTION("""COMPUTED_VALUE"""),0.0)</f>
        <v>0</v>
      </c>
      <c r="AO2461" s="82">
        <f>IFERROR(__xludf.DUMMYFUNCTION("""COMPUTED_VALUE"""),0.0)</f>
        <v>0</v>
      </c>
      <c r="AP2461" s="82">
        <f>IFERROR(__xludf.DUMMYFUNCTION("""COMPUTED_VALUE"""),0.0)</f>
        <v>0</v>
      </c>
      <c r="AQ2461" s="82">
        <f>IFERROR(__xludf.DUMMYFUNCTION("""COMPUTED_VALUE"""),0.0)</f>
        <v>0</v>
      </c>
      <c r="AR2461" s="82">
        <f>IFERROR(__xludf.DUMMYFUNCTION("""COMPUTED_VALUE"""),0.0)</f>
        <v>0</v>
      </c>
      <c r="AS2461" s="82"/>
      <c r="AT2461" s="82">
        <f>IFERROR(__xludf.DUMMYFUNCTION("""COMPUTED_VALUE"""),0.0)</f>
        <v>0</v>
      </c>
      <c r="AU2461" s="82"/>
      <c r="AV2461" s="82"/>
      <c r="AW2461" s="82" t="str">
        <f t="shared" si="1"/>
        <v/>
      </c>
      <c r="AX2461" s="83" t="str">
        <f t="array" ref="AX2461">IFERROR(DGET('SBV Import'!A:G,"SBV",{"RSC ID","Tier";B2461,A2461}))</f>
        <v/>
      </c>
      <c r="AY2461" s="82" t="str">
        <f t="shared" si="2"/>
        <v/>
      </c>
      <c r="AZ2461" s="82"/>
      <c r="BA2461" s="84" t="s">
        <v>152</v>
      </c>
      <c r="BB2461" s="84" t="str">
        <f>IFERROR(__xludf.DUMMYFUNCTION("iferror(if(A2461="""",,E2461&gt;=FILTER(Constants!$F$2:$F$10,Constants!$A$2:$A$10=A2461)))"),"")</f>
        <v/>
      </c>
    </row>
    <row r="2462">
      <c r="A2462" s="89"/>
      <c r="B2462" s="87"/>
      <c r="C2462" s="73"/>
      <c r="D2462" s="73"/>
      <c r="E2462" s="82"/>
      <c r="F2462" s="82"/>
      <c r="G2462" s="86"/>
      <c r="H2462" s="86"/>
      <c r="I2462" s="86"/>
      <c r="J2462" s="82"/>
      <c r="K2462" s="82"/>
      <c r="L2462" s="82"/>
      <c r="M2462" s="82"/>
      <c r="N2462" s="82"/>
      <c r="O2462" s="82"/>
      <c r="P2462" s="82"/>
      <c r="Q2462" s="82"/>
      <c r="R2462" s="82"/>
      <c r="S2462" s="82"/>
      <c r="T2462" s="82"/>
      <c r="U2462" s="82"/>
      <c r="V2462" s="82"/>
      <c r="W2462" s="82"/>
      <c r="X2462" s="82"/>
      <c r="Y2462" s="82"/>
      <c r="Z2462" s="82"/>
      <c r="AA2462" s="82"/>
      <c r="AB2462" s="82"/>
      <c r="AC2462" s="82"/>
      <c r="AD2462" s="82"/>
      <c r="AE2462" s="82"/>
      <c r="AF2462" s="82"/>
      <c r="AG2462" s="82"/>
      <c r="AH2462" s="82"/>
      <c r="AI2462" s="82"/>
      <c r="AJ2462" s="82"/>
      <c r="AK2462" s="82"/>
      <c r="AL2462" s="82"/>
      <c r="AM2462" s="82"/>
      <c r="AN2462" s="82">
        <f>IFERROR(__xludf.DUMMYFUNCTION("""COMPUTED_VALUE"""),0.0)</f>
        <v>0</v>
      </c>
      <c r="AO2462" s="82">
        <f>IFERROR(__xludf.DUMMYFUNCTION("""COMPUTED_VALUE"""),0.0)</f>
        <v>0</v>
      </c>
      <c r="AP2462" s="82">
        <f>IFERROR(__xludf.DUMMYFUNCTION("""COMPUTED_VALUE"""),0.0)</f>
        <v>0</v>
      </c>
      <c r="AQ2462" s="82">
        <f>IFERROR(__xludf.DUMMYFUNCTION("""COMPUTED_VALUE"""),0.0)</f>
        <v>0</v>
      </c>
      <c r="AR2462" s="82">
        <f>IFERROR(__xludf.DUMMYFUNCTION("""COMPUTED_VALUE"""),0.0)</f>
        <v>0</v>
      </c>
      <c r="AS2462" s="82"/>
      <c r="AT2462" s="82">
        <f>IFERROR(__xludf.DUMMYFUNCTION("""COMPUTED_VALUE"""),0.0)</f>
        <v>0</v>
      </c>
      <c r="AU2462" s="82"/>
      <c r="AV2462" s="82"/>
      <c r="AW2462" s="82" t="str">
        <f t="shared" si="1"/>
        <v/>
      </c>
      <c r="AX2462" s="83" t="str">
        <f t="array" ref="AX2462">IFERROR(DGET('SBV Import'!A:G,"SBV",{"RSC ID","Tier";B2462,A2462}))</f>
        <v/>
      </c>
      <c r="AY2462" s="82" t="str">
        <f t="shared" si="2"/>
        <v/>
      </c>
      <c r="AZ2462" s="82"/>
      <c r="BA2462" s="84" t="s">
        <v>152</v>
      </c>
      <c r="BB2462" s="84" t="str">
        <f>IFERROR(__xludf.DUMMYFUNCTION("iferror(if(A2462="""",,E2462&gt;=FILTER(Constants!$F$2:$F$10,Constants!$A$2:$A$10=A2462)))"),"")</f>
        <v/>
      </c>
    </row>
    <row r="2463">
      <c r="A2463" s="89"/>
      <c r="B2463" s="87"/>
      <c r="C2463" s="73"/>
      <c r="D2463" s="73"/>
      <c r="E2463" s="82"/>
      <c r="F2463" s="82"/>
      <c r="G2463" s="86"/>
      <c r="H2463" s="86"/>
      <c r="I2463" s="86"/>
      <c r="J2463" s="82"/>
      <c r="K2463" s="82"/>
      <c r="L2463" s="82"/>
      <c r="M2463" s="82"/>
      <c r="N2463" s="82"/>
      <c r="O2463" s="82"/>
      <c r="P2463" s="82"/>
      <c r="Q2463" s="82"/>
      <c r="R2463" s="82"/>
      <c r="S2463" s="82"/>
      <c r="T2463" s="82"/>
      <c r="U2463" s="82"/>
      <c r="V2463" s="82"/>
      <c r="W2463" s="82"/>
      <c r="X2463" s="82"/>
      <c r="Y2463" s="82"/>
      <c r="Z2463" s="82"/>
      <c r="AA2463" s="82"/>
      <c r="AB2463" s="82"/>
      <c r="AC2463" s="82"/>
      <c r="AD2463" s="82"/>
      <c r="AE2463" s="82"/>
      <c r="AF2463" s="82"/>
      <c r="AG2463" s="82"/>
      <c r="AH2463" s="82"/>
      <c r="AI2463" s="82"/>
      <c r="AJ2463" s="82"/>
      <c r="AK2463" s="82"/>
      <c r="AL2463" s="82"/>
      <c r="AM2463" s="82"/>
      <c r="AN2463" s="82">
        <f>IFERROR(__xludf.DUMMYFUNCTION("""COMPUTED_VALUE"""),0.0)</f>
        <v>0</v>
      </c>
      <c r="AO2463" s="82">
        <f>IFERROR(__xludf.DUMMYFUNCTION("""COMPUTED_VALUE"""),0.0)</f>
        <v>0</v>
      </c>
      <c r="AP2463" s="82">
        <f>IFERROR(__xludf.DUMMYFUNCTION("""COMPUTED_VALUE"""),0.0)</f>
        <v>0</v>
      </c>
      <c r="AQ2463" s="82">
        <f>IFERROR(__xludf.DUMMYFUNCTION("""COMPUTED_VALUE"""),0.0)</f>
        <v>0</v>
      </c>
      <c r="AR2463" s="82">
        <f>IFERROR(__xludf.DUMMYFUNCTION("""COMPUTED_VALUE"""),0.0)</f>
        <v>0</v>
      </c>
      <c r="AS2463" s="82"/>
      <c r="AT2463" s="82">
        <f>IFERROR(__xludf.DUMMYFUNCTION("""COMPUTED_VALUE"""),0.0)</f>
        <v>0</v>
      </c>
      <c r="AU2463" s="82"/>
      <c r="AV2463" s="82"/>
      <c r="AW2463" s="82" t="str">
        <f t="shared" si="1"/>
        <v/>
      </c>
      <c r="AX2463" s="83" t="str">
        <f t="array" ref="AX2463">IFERROR(DGET('SBV Import'!A:G,"SBV",{"RSC ID","Tier";B2463,A2463}))</f>
        <v/>
      </c>
      <c r="AY2463" s="82" t="str">
        <f t="shared" si="2"/>
        <v/>
      </c>
      <c r="AZ2463" s="82"/>
      <c r="BA2463" s="84" t="s">
        <v>152</v>
      </c>
      <c r="BB2463" s="84" t="str">
        <f>IFERROR(__xludf.DUMMYFUNCTION("iferror(if(A2463="""",,E2463&gt;=FILTER(Constants!$F$2:$F$10,Constants!$A$2:$A$10=A2463)))"),"")</f>
        <v/>
      </c>
    </row>
    <row r="2464">
      <c r="A2464" s="89"/>
      <c r="B2464" s="87"/>
      <c r="C2464" s="73"/>
      <c r="D2464" s="73"/>
      <c r="E2464" s="82"/>
      <c r="F2464" s="82"/>
      <c r="G2464" s="86"/>
      <c r="H2464" s="86"/>
      <c r="I2464" s="86"/>
      <c r="J2464" s="82"/>
      <c r="K2464" s="82"/>
      <c r="L2464" s="82"/>
      <c r="M2464" s="82"/>
      <c r="N2464" s="82"/>
      <c r="O2464" s="82"/>
      <c r="P2464" s="82"/>
      <c r="Q2464" s="82"/>
      <c r="R2464" s="82"/>
      <c r="S2464" s="82"/>
      <c r="T2464" s="82"/>
      <c r="U2464" s="82"/>
      <c r="V2464" s="82"/>
      <c r="W2464" s="82"/>
      <c r="X2464" s="82"/>
      <c r="Y2464" s="82"/>
      <c r="Z2464" s="82"/>
      <c r="AA2464" s="82"/>
      <c r="AB2464" s="82"/>
      <c r="AC2464" s="82"/>
      <c r="AD2464" s="82"/>
      <c r="AE2464" s="82"/>
      <c r="AF2464" s="82"/>
      <c r="AG2464" s="82"/>
      <c r="AH2464" s="82"/>
      <c r="AI2464" s="82"/>
      <c r="AJ2464" s="82"/>
      <c r="AK2464" s="82"/>
      <c r="AL2464" s="82"/>
      <c r="AM2464" s="82"/>
      <c r="AN2464" s="82">
        <f>IFERROR(__xludf.DUMMYFUNCTION("""COMPUTED_VALUE"""),0.0)</f>
        <v>0</v>
      </c>
      <c r="AO2464" s="82">
        <f>IFERROR(__xludf.DUMMYFUNCTION("""COMPUTED_VALUE"""),0.0)</f>
        <v>0</v>
      </c>
      <c r="AP2464" s="82">
        <f>IFERROR(__xludf.DUMMYFUNCTION("""COMPUTED_VALUE"""),0.0)</f>
        <v>0</v>
      </c>
      <c r="AQ2464" s="82">
        <f>IFERROR(__xludf.DUMMYFUNCTION("""COMPUTED_VALUE"""),0.0)</f>
        <v>0</v>
      </c>
      <c r="AR2464" s="82">
        <f>IFERROR(__xludf.DUMMYFUNCTION("""COMPUTED_VALUE"""),0.0)</f>
        <v>0</v>
      </c>
      <c r="AS2464" s="82"/>
      <c r="AT2464" s="82">
        <f>IFERROR(__xludf.DUMMYFUNCTION("""COMPUTED_VALUE"""),0.0)</f>
        <v>0</v>
      </c>
      <c r="AU2464" s="82"/>
      <c r="AV2464" s="82"/>
      <c r="AW2464" s="82" t="str">
        <f t="shared" si="1"/>
        <v/>
      </c>
      <c r="AX2464" s="83" t="str">
        <f t="array" ref="AX2464">IFERROR(DGET('SBV Import'!A:G,"SBV",{"RSC ID","Tier";B2464,A2464}))</f>
        <v/>
      </c>
      <c r="AY2464" s="82" t="str">
        <f t="shared" si="2"/>
        <v/>
      </c>
      <c r="AZ2464" s="82"/>
      <c r="BA2464" s="84" t="s">
        <v>152</v>
      </c>
      <c r="BB2464" s="84" t="str">
        <f>IFERROR(__xludf.DUMMYFUNCTION("iferror(if(A2464="""",,E2464&gt;=FILTER(Constants!$F$2:$F$10,Constants!$A$2:$A$10=A2464)))"),"")</f>
        <v/>
      </c>
    </row>
    <row r="2465">
      <c r="A2465" s="89"/>
      <c r="B2465" s="87"/>
      <c r="C2465" s="73"/>
      <c r="D2465" s="73"/>
      <c r="E2465" s="82"/>
      <c r="F2465" s="82"/>
      <c r="G2465" s="86"/>
      <c r="H2465" s="86"/>
      <c r="I2465" s="86"/>
      <c r="J2465" s="82"/>
      <c r="K2465" s="82"/>
      <c r="L2465" s="82"/>
      <c r="M2465" s="82"/>
      <c r="N2465" s="82"/>
      <c r="O2465" s="82"/>
      <c r="P2465" s="82"/>
      <c r="Q2465" s="82"/>
      <c r="R2465" s="82"/>
      <c r="S2465" s="82"/>
      <c r="T2465" s="82"/>
      <c r="U2465" s="82"/>
      <c r="V2465" s="82"/>
      <c r="W2465" s="82"/>
      <c r="X2465" s="82"/>
      <c r="Y2465" s="82"/>
      <c r="Z2465" s="82"/>
      <c r="AA2465" s="82"/>
      <c r="AB2465" s="82"/>
      <c r="AC2465" s="82"/>
      <c r="AD2465" s="82"/>
      <c r="AE2465" s="82"/>
      <c r="AF2465" s="82"/>
      <c r="AG2465" s="82"/>
      <c r="AH2465" s="82"/>
      <c r="AI2465" s="82"/>
      <c r="AJ2465" s="82"/>
      <c r="AK2465" s="82"/>
      <c r="AL2465" s="82"/>
      <c r="AM2465" s="82"/>
      <c r="AN2465" s="82">
        <f>IFERROR(__xludf.DUMMYFUNCTION("""COMPUTED_VALUE"""),0.0)</f>
        <v>0</v>
      </c>
      <c r="AO2465" s="82">
        <f>IFERROR(__xludf.DUMMYFUNCTION("""COMPUTED_VALUE"""),0.0)</f>
        <v>0</v>
      </c>
      <c r="AP2465" s="82">
        <f>IFERROR(__xludf.DUMMYFUNCTION("""COMPUTED_VALUE"""),0.0)</f>
        <v>0</v>
      </c>
      <c r="AQ2465" s="82">
        <f>IFERROR(__xludf.DUMMYFUNCTION("""COMPUTED_VALUE"""),0.0)</f>
        <v>0</v>
      </c>
      <c r="AR2465" s="82">
        <f>IFERROR(__xludf.DUMMYFUNCTION("""COMPUTED_VALUE"""),0.0)</f>
        <v>0</v>
      </c>
      <c r="AS2465" s="82"/>
      <c r="AT2465" s="82">
        <f>IFERROR(__xludf.DUMMYFUNCTION("""COMPUTED_VALUE"""),0.0)</f>
        <v>0</v>
      </c>
      <c r="AU2465" s="82"/>
      <c r="AV2465" s="82"/>
      <c r="AW2465" s="82" t="str">
        <f t="shared" si="1"/>
        <v/>
      </c>
      <c r="AX2465" s="83" t="str">
        <f t="array" ref="AX2465">IFERROR(DGET('SBV Import'!A:G,"SBV",{"RSC ID","Tier";B2465,A2465}))</f>
        <v/>
      </c>
      <c r="AY2465" s="82" t="str">
        <f t="shared" si="2"/>
        <v/>
      </c>
      <c r="AZ2465" s="82"/>
      <c r="BA2465" s="84" t="s">
        <v>152</v>
      </c>
      <c r="BB2465" s="84" t="str">
        <f>IFERROR(__xludf.DUMMYFUNCTION("iferror(if(A2465="""",,E2465&gt;=FILTER(Constants!$F$2:$F$10,Constants!$A$2:$A$10=A2465)))"),"")</f>
        <v/>
      </c>
    </row>
    <row r="2466">
      <c r="A2466" s="89"/>
      <c r="B2466" s="87"/>
      <c r="C2466" s="73"/>
      <c r="D2466" s="73"/>
      <c r="E2466" s="82"/>
      <c r="F2466" s="82"/>
      <c r="G2466" s="86"/>
      <c r="H2466" s="86"/>
      <c r="I2466" s="86"/>
      <c r="J2466" s="82"/>
      <c r="K2466" s="82"/>
      <c r="L2466" s="82"/>
      <c r="M2466" s="82"/>
      <c r="N2466" s="82"/>
      <c r="O2466" s="82"/>
      <c r="P2466" s="82"/>
      <c r="Q2466" s="82"/>
      <c r="R2466" s="82"/>
      <c r="S2466" s="82"/>
      <c r="T2466" s="82"/>
      <c r="U2466" s="82"/>
      <c r="V2466" s="82"/>
      <c r="W2466" s="82"/>
      <c r="X2466" s="82"/>
      <c r="Y2466" s="82"/>
      <c r="Z2466" s="82"/>
      <c r="AA2466" s="82"/>
      <c r="AB2466" s="82"/>
      <c r="AC2466" s="82"/>
      <c r="AD2466" s="82"/>
      <c r="AE2466" s="82"/>
      <c r="AF2466" s="82"/>
      <c r="AG2466" s="82"/>
      <c r="AH2466" s="82"/>
      <c r="AI2466" s="82"/>
      <c r="AJ2466" s="82"/>
      <c r="AK2466" s="82"/>
      <c r="AL2466" s="82"/>
      <c r="AM2466" s="82"/>
      <c r="AN2466" s="82">
        <f>IFERROR(__xludf.DUMMYFUNCTION("""COMPUTED_VALUE"""),0.0)</f>
        <v>0</v>
      </c>
      <c r="AO2466" s="82">
        <f>IFERROR(__xludf.DUMMYFUNCTION("""COMPUTED_VALUE"""),0.0)</f>
        <v>0</v>
      </c>
      <c r="AP2466" s="82">
        <f>IFERROR(__xludf.DUMMYFUNCTION("""COMPUTED_VALUE"""),0.0)</f>
        <v>0</v>
      </c>
      <c r="AQ2466" s="82">
        <f>IFERROR(__xludf.DUMMYFUNCTION("""COMPUTED_VALUE"""),0.0)</f>
        <v>0</v>
      </c>
      <c r="AR2466" s="82">
        <f>IFERROR(__xludf.DUMMYFUNCTION("""COMPUTED_VALUE"""),0.0)</f>
        <v>0</v>
      </c>
      <c r="AS2466" s="82"/>
      <c r="AT2466" s="82">
        <f>IFERROR(__xludf.DUMMYFUNCTION("""COMPUTED_VALUE"""),0.0)</f>
        <v>0</v>
      </c>
      <c r="AU2466" s="82"/>
      <c r="AV2466" s="82"/>
      <c r="AW2466" s="82" t="str">
        <f t="shared" si="1"/>
        <v/>
      </c>
      <c r="AX2466" s="83" t="str">
        <f t="array" ref="AX2466">IFERROR(DGET('SBV Import'!A:G,"SBV",{"RSC ID","Tier";B2466,A2466}))</f>
        <v/>
      </c>
      <c r="AY2466" s="82" t="str">
        <f t="shared" si="2"/>
        <v/>
      </c>
      <c r="AZ2466" s="82"/>
      <c r="BA2466" s="84" t="s">
        <v>152</v>
      </c>
      <c r="BB2466" s="84" t="str">
        <f>IFERROR(__xludf.DUMMYFUNCTION("iferror(if(A2466="""",,E2466&gt;=FILTER(Constants!$F$2:$F$10,Constants!$A$2:$A$10=A2466)))"),"")</f>
        <v/>
      </c>
    </row>
    <row r="2467">
      <c r="A2467" s="89"/>
      <c r="B2467" s="87"/>
      <c r="C2467" s="73"/>
      <c r="D2467" s="73"/>
      <c r="E2467" s="82"/>
      <c r="F2467" s="82"/>
      <c r="G2467" s="86"/>
      <c r="H2467" s="86"/>
      <c r="I2467" s="86"/>
      <c r="J2467" s="82"/>
      <c r="K2467" s="82"/>
      <c r="L2467" s="82"/>
      <c r="M2467" s="82"/>
      <c r="N2467" s="82"/>
      <c r="O2467" s="82"/>
      <c r="P2467" s="82"/>
      <c r="Q2467" s="82"/>
      <c r="R2467" s="82"/>
      <c r="S2467" s="82"/>
      <c r="T2467" s="82"/>
      <c r="U2467" s="82"/>
      <c r="V2467" s="82"/>
      <c r="W2467" s="82"/>
      <c r="X2467" s="82"/>
      <c r="Y2467" s="82"/>
      <c r="Z2467" s="82"/>
      <c r="AA2467" s="82"/>
      <c r="AB2467" s="82"/>
      <c r="AC2467" s="82"/>
      <c r="AD2467" s="82"/>
      <c r="AE2467" s="82"/>
      <c r="AF2467" s="82"/>
      <c r="AG2467" s="82"/>
      <c r="AH2467" s="82"/>
      <c r="AI2467" s="82"/>
      <c r="AJ2467" s="82"/>
      <c r="AK2467" s="82"/>
      <c r="AL2467" s="82"/>
      <c r="AM2467" s="82"/>
      <c r="AN2467" s="82">
        <f>IFERROR(__xludf.DUMMYFUNCTION("""COMPUTED_VALUE"""),0.0)</f>
        <v>0</v>
      </c>
      <c r="AO2467" s="82">
        <f>IFERROR(__xludf.DUMMYFUNCTION("""COMPUTED_VALUE"""),0.0)</f>
        <v>0</v>
      </c>
      <c r="AP2467" s="82">
        <f>IFERROR(__xludf.DUMMYFUNCTION("""COMPUTED_VALUE"""),0.0)</f>
        <v>0</v>
      </c>
      <c r="AQ2467" s="82">
        <f>IFERROR(__xludf.DUMMYFUNCTION("""COMPUTED_VALUE"""),0.0)</f>
        <v>0</v>
      </c>
      <c r="AR2467" s="82">
        <f>IFERROR(__xludf.DUMMYFUNCTION("""COMPUTED_VALUE"""),0.0)</f>
        <v>0</v>
      </c>
      <c r="AS2467" s="82"/>
      <c r="AT2467" s="82">
        <f>IFERROR(__xludf.DUMMYFUNCTION("""COMPUTED_VALUE"""),0.0)</f>
        <v>0</v>
      </c>
      <c r="AU2467" s="82"/>
      <c r="AV2467" s="82"/>
      <c r="AW2467" s="82" t="str">
        <f t="shared" si="1"/>
        <v/>
      </c>
      <c r="AX2467" s="83" t="str">
        <f t="array" ref="AX2467">IFERROR(DGET('SBV Import'!A:G,"SBV",{"RSC ID","Tier";B2467,A2467}))</f>
        <v/>
      </c>
      <c r="AY2467" s="82" t="str">
        <f t="shared" si="2"/>
        <v/>
      </c>
      <c r="AZ2467" s="82"/>
      <c r="BA2467" s="84" t="s">
        <v>152</v>
      </c>
      <c r="BB2467" s="84" t="str">
        <f>IFERROR(__xludf.DUMMYFUNCTION("iferror(if(A2467="""",,E2467&gt;=FILTER(Constants!$F$2:$F$10,Constants!$A$2:$A$10=A2467)))"),"")</f>
        <v/>
      </c>
    </row>
    <row r="2468">
      <c r="A2468" s="89"/>
      <c r="B2468" s="87"/>
      <c r="C2468" s="73"/>
      <c r="D2468" s="73"/>
      <c r="E2468" s="82"/>
      <c r="F2468" s="82"/>
      <c r="G2468" s="86"/>
      <c r="H2468" s="86"/>
      <c r="I2468" s="86"/>
      <c r="J2468" s="82"/>
      <c r="K2468" s="82"/>
      <c r="L2468" s="82"/>
      <c r="M2468" s="82"/>
      <c r="N2468" s="82"/>
      <c r="O2468" s="82"/>
      <c r="P2468" s="82"/>
      <c r="Q2468" s="82"/>
      <c r="R2468" s="82"/>
      <c r="S2468" s="82"/>
      <c r="T2468" s="82"/>
      <c r="U2468" s="82"/>
      <c r="V2468" s="82"/>
      <c r="W2468" s="82"/>
      <c r="X2468" s="82"/>
      <c r="Y2468" s="82"/>
      <c r="Z2468" s="82"/>
      <c r="AA2468" s="82"/>
      <c r="AB2468" s="82"/>
      <c r="AC2468" s="82"/>
      <c r="AD2468" s="82"/>
      <c r="AE2468" s="82"/>
      <c r="AF2468" s="82"/>
      <c r="AG2468" s="82"/>
      <c r="AH2468" s="82"/>
      <c r="AI2468" s="82"/>
      <c r="AJ2468" s="82"/>
      <c r="AK2468" s="82"/>
      <c r="AL2468" s="82"/>
      <c r="AM2468" s="82"/>
      <c r="AN2468" s="82">
        <f>IFERROR(__xludf.DUMMYFUNCTION("""COMPUTED_VALUE"""),0.0)</f>
        <v>0</v>
      </c>
      <c r="AO2468" s="82">
        <f>IFERROR(__xludf.DUMMYFUNCTION("""COMPUTED_VALUE"""),0.0)</f>
        <v>0</v>
      </c>
      <c r="AP2468" s="82">
        <f>IFERROR(__xludf.DUMMYFUNCTION("""COMPUTED_VALUE"""),0.0)</f>
        <v>0</v>
      </c>
      <c r="AQ2468" s="82">
        <f>IFERROR(__xludf.DUMMYFUNCTION("""COMPUTED_VALUE"""),0.0)</f>
        <v>0</v>
      </c>
      <c r="AR2468" s="82">
        <f>IFERROR(__xludf.DUMMYFUNCTION("""COMPUTED_VALUE"""),0.0)</f>
        <v>0</v>
      </c>
      <c r="AS2468" s="82"/>
      <c r="AT2468" s="82">
        <f>IFERROR(__xludf.DUMMYFUNCTION("""COMPUTED_VALUE"""),0.0)</f>
        <v>0</v>
      </c>
      <c r="AU2468" s="82"/>
      <c r="AV2468" s="82"/>
      <c r="AW2468" s="82" t="str">
        <f t="shared" si="1"/>
        <v/>
      </c>
      <c r="AX2468" s="83" t="str">
        <f t="array" ref="AX2468">IFERROR(DGET('SBV Import'!A:G,"SBV",{"RSC ID","Tier";B2468,A2468}))</f>
        <v/>
      </c>
      <c r="AY2468" s="82" t="str">
        <f t="shared" si="2"/>
        <v/>
      </c>
      <c r="AZ2468" s="82"/>
      <c r="BA2468" s="84" t="s">
        <v>152</v>
      </c>
      <c r="BB2468" s="84" t="str">
        <f>IFERROR(__xludf.DUMMYFUNCTION("iferror(if(A2468="""",,E2468&gt;=FILTER(Constants!$F$2:$F$10,Constants!$A$2:$A$10=A2468)))"),"")</f>
        <v/>
      </c>
    </row>
    <row r="2469">
      <c r="A2469" s="89"/>
      <c r="B2469" s="87"/>
      <c r="C2469" s="73"/>
      <c r="D2469" s="73"/>
      <c r="E2469" s="82"/>
      <c r="F2469" s="82"/>
      <c r="G2469" s="86"/>
      <c r="H2469" s="86"/>
      <c r="I2469" s="86"/>
      <c r="J2469" s="82"/>
      <c r="K2469" s="82"/>
      <c r="L2469" s="82"/>
      <c r="M2469" s="82"/>
      <c r="N2469" s="82"/>
      <c r="O2469" s="82"/>
      <c r="P2469" s="82"/>
      <c r="Q2469" s="82"/>
      <c r="R2469" s="82"/>
      <c r="S2469" s="82"/>
      <c r="T2469" s="82"/>
      <c r="U2469" s="82"/>
      <c r="V2469" s="82"/>
      <c r="W2469" s="82"/>
      <c r="X2469" s="82"/>
      <c r="Y2469" s="82"/>
      <c r="Z2469" s="82"/>
      <c r="AA2469" s="82"/>
      <c r="AB2469" s="82"/>
      <c r="AC2469" s="82"/>
      <c r="AD2469" s="82"/>
      <c r="AE2469" s="82"/>
      <c r="AF2469" s="82"/>
      <c r="AG2469" s="82"/>
      <c r="AH2469" s="82"/>
      <c r="AI2469" s="82"/>
      <c r="AJ2469" s="82"/>
      <c r="AK2469" s="82"/>
      <c r="AL2469" s="82"/>
      <c r="AM2469" s="82"/>
      <c r="AN2469" s="82">
        <f>IFERROR(__xludf.DUMMYFUNCTION("""COMPUTED_VALUE"""),0.0)</f>
        <v>0</v>
      </c>
      <c r="AO2469" s="82">
        <f>IFERROR(__xludf.DUMMYFUNCTION("""COMPUTED_VALUE"""),0.0)</f>
        <v>0</v>
      </c>
      <c r="AP2469" s="82">
        <f>IFERROR(__xludf.DUMMYFUNCTION("""COMPUTED_VALUE"""),0.0)</f>
        <v>0</v>
      </c>
      <c r="AQ2469" s="82">
        <f>IFERROR(__xludf.DUMMYFUNCTION("""COMPUTED_VALUE"""),0.0)</f>
        <v>0</v>
      </c>
      <c r="AR2469" s="82">
        <f>IFERROR(__xludf.DUMMYFUNCTION("""COMPUTED_VALUE"""),0.0)</f>
        <v>0</v>
      </c>
      <c r="AS2469" s="82"/>
      <c r="AT2469" s="82">
        <f>IFERROR(__xludf.DUMMYFUNCTION("""COMPUTED_VALUE"""),0.0)</f>
        <v>0</v>
      </c>
      <c r="AU2469" s="82"/>
      <c r="AV2469" s="82"/>
      <c r="AW2469" s="82" t="str">
        <f t="shared" si="1"/>
        <v/>
      </c>
      <c r="AX2469" s="83" t="str">
        <f t="array" ref="AX2469">IFERROR(DGET('SBV Import'!A:G,"SBV",{"RSC ID","Tier";B2469,A2469}))</f>
        <v/>
      </c>
      <c r="AY2469" s="82" t="str">
        <f t="shared" si="2"/>
        <v/>
      </c>
      <c r="AZ2469" s="82"/>
      <c r="BA2469" s="84" t="s">
        <v>152</v>
      </c>
      <c r="BB2469" s="84" t="str">
        <f>IFERROR(__xludf.DUMMYFUNCTION("iferror(if(A2469="""",,E2469&gt;=FILTER(Constants!$F$2:$F$10,Constants!$A$2:$A$10=A2469)))"),"")</f>
        <v/>
      </c>
    </row>
    <row r="2470">
      <c r="A2470" s="89"/>
      <c r="B2470" s="87"/>
      <c r="C2470" s="73"/>
      <c r="D2470" s="73"/>
      <c r="E2470" s="82"/>
      <c r="F2470" s="82"/>
      <c r="G2470" s="86"/>
      <c r="H2470" s="86"/>
      <c r="I2470" s="86"/>
      <c r="J2470" s="82"/>
      <c r="K2470" s="82"/>
      <c r="L2470" s="82"/>
      <c r="M2470" s="82"/>
      <c r="N2470" s="82"/>
      <c r="O2470" s="82"/>
      <c r="P2470" s="82"/>
      <c r="Q2470" s="82"/>
      <c r="R2470" s="82"/>
      <c r="S2470" s="82"/>
      <c r="T2470" s="82"/>
      <c r="U2470" s="82"/>
      <c r="V2470" s="82"/>
      <c r="W2470" s="82"/>
      <c r="X2470" s="82"/>
      <c r="Y2470" s="82"/>
      <c r="Z2470" s="82"/>
      <c r="AA2470" s="82"/>
      <c r="AB2470" s="82"/>
      <c r="AC2470" s="82"/>
      <c r="AD2470" s="82"/>
      <c r="AE2470" s="82"/>
      <c r="AF2470" s="82"/>
      <c r="AG2470" s="82"/>
      <c r="AH2470" s="82"/>
      <c r="AI2470" s="82"/>
      <c r="AJ2470" s="82"/>
      <c r="AK2470" s="82"/>
      <c r="AL2470" s="82"/>
      <c r="AM2470" s="82"/>
      <c r="AN2470" s="82">
        <f>IFERROR(__xludf.DUMMYFUNCTION("""COMPUTED_VALUE"""),0.0)</f>
        <v>0</v>
      </c>
      <c r="AO2470" s="82">
        <f>IFERROR(__xludf.DUMMYFUNCTION("""COMPUTED_VALUE"""),0.0)</f>
        <v>0</v>
      </c>
      <c r="AP2470" s="82">
        <f>IFERROR(__xludf.DUMMYFUNCTION("""COMPUTED_VALUE"""),0.0)</f>
        <v>0</v>
      </c>
      <c r="AQ2470" s="82">
        <f>IFERROR(__xludf.DUMMYFUNCTION("""COMPUTED_VALUE"""),0.0)</f>
        <v>0</v>
      </c>
      <c r="AR2470" s="82">
        <f>IFERROR(__xludf.DUMMYFUNCTION("""COMPUTED_VALUE"""),0.0)</f>
        <v>0</v>
      </c>
      <c r="AS2470" s="82"/>
      <c r="AT2470" s="82">
        <f>IFERROR(__xludf.DUMMYFUNCTION("""COMPUTED_VALUE"""),0.0)</f>
        <v>0</v>
      </c>
      <c r="AU2470" s="82"/>
      <c r="AV2470" s="82"/>
      <c r="AW2470" s="82" t="str">
        <f t="shared" si="1"/>
        <v/>
      </c>
      <c r="AX2470" s="83" t="str">
        <f t="array" ref="AX2470">IFERROR(DGET('SBV Import'!A:G,"SBV",{"RSC ID","Tier";B2470,A2470}))</f>
        <v/>
      </c>
      <c r="AY2470" s="82" t="str">
        <f t="shared" si="2"/>
        <v/>
      </c>
      <c r="AZ2470" s="82"/>
      <c r="BA2470" s="84" t="s">
        <v>152</v>
      </c>
      <c r="BB2470" s="84" t="str">
        <f>IFERROR(__xludf.DUMMYFUNCTION("iferror(if(A2470="""",,E2470&gt;=FILTER(Constants!$F$2:$F$10,Constants!$A$2:$A$10=A2470)))"),"")</f>
        <v/>
      </c>
    </row>
    <row r="2471">
      <c r="A2471" s="89"/>
      <c r="B2471" s="87"/>
      <c r="C2471" s="73"/>
      <c r="D2471" s="73"/>
      <c r="E2471" s="82"/>
      <c r="F2471" s="82"/>
      <c r="G2471" s="86"/>
      <c r="H2471" s="86"/>
      <c r="I2471" s="86"/>
      <c r="J2471" s="82"/>
      <c r="K2471" s="82"/>
      <c r="L2471" s="82"/>
      <c r="M2471" s="82"/>
      <c r="N2471" s="82"/>
      <c r="O2471" s="82"/>
      <c r="P2471" s="82"/>
      <c r="Q2471" s="82"/>
      <c r="R2471" s="82"/>
      <c r="S2471" s="82"/>
      <c r="T2471" s="82"/>
      <c r="U2471" s="82"/>
      <c r="V2471" s="82"/>
      <c r="W2471" s="82"/>
      <c r="X2471" s="82"/>
      <c r="Y2471" s="82"/>
      <c r="Z2471" s="82"/>
      <c r="AA2471" s="82"/>
      <c r="AB2471" s="82"/>
      <c r="AC2471" s="82"/>
      <c r="AD2471" s="82"/>
      <c r="AE2471" s="82"/>
      <c r="AF2471" s="82"/>
      <c r="AG2471" s="82"/>
      <c r="AH2471" s="82"/>
      <c r="AI2471" s="82"/>
      <c r="AJ2471" s="82"/>
      <c r="AK2471" s="82"/>
      <c r="AL2471" s="82"/>
      <c r="AM2471" s="82"/>
      <c r="AN2471" s="82">
        <f>IFERROR(__xludf.DUMMYFUNCTION("""COMPUTED_VALUE"""),0.0)</f>
        <v>0</v>
      </c>
      <c r="AO2471" s="82">
        <f>IFERROR(__xludf.DUMMYFUNCTION("""COMPUTED_VALUE"""),0.0)</f>
        <v>0</v>
      </c>
      <c r="AP2471" s="82">
        <f>IFERROR(__xludf.DUMMYFUNCTION("""COMPUTED_VALUE"""),0.0)</f>
        <v>0</v>
      </c>
      <c r="AQ2471" s="82">
        <f>IFERROR(__xludf.DUMMYFUNCTION("""COMPUTED_VALUE"""),0.0)</f>
        <v>0</v>
      </c>
      <c r="AR2471" s="82">
        <f>IFERROR(__xludf.DUMMYFUNCTION("""COMPUTED_VALUE"""),0.0)</f>
        <v>0</v>
      </c>
      <c r="AS2471" s="82"/>
      <c r="AT2471" s="82">
        <f>IFERROR(__xludf.DUMMYFUNCTION("""COMPUTED_VALUE"""),0.0)</f>
        <v>0</v>
      </c>
      <c r="AU2471" s="82"/>
      <c r="AV2471" s="82"/>
      <c r="AW2471" s="82" t="str">
        <f t="shared" si="1"/>
        <v/>
      </c>
      <c r="AX2471" s="83" t="str">
        <f t="array" ref="AX2471">IFERROR(DGET('SBV Import'!A:G,"SBV",{"RSC ID","Tier";B2471,A2471}))</f>
        <v/>
      </c>
      <c r="AY2471" s="82" t="str">
        <f t="shared" si="2"/>
        <v/>
      </c>
      <c r="AZ2471" s="82"/>
      <c r="BA2471" s="84" t="s">
        <v>152</v>
      </c>
      <c r="BB2471" s="84" t="str">
        <f>IFERROR(__xludf.DUMMYFUNCTION("iferror(if(A2471="""",,E2471&gt;=FILTER(Constants!$F$2:$F$10,Constants!$A$2:$A$10=A2471)))"),"")</f>
        <v/>
      </c>
    </row>
    <row r="2472">
      <c r="A2472" s="89"/>
      <c r="B2472" s="87"/>
      <c r="C2472" s="73"/>
      <c r="D2472" s="73"/>
      <c r="E2472" s="82"/>
      <c r="F2472" s="82"/>
      <c r="G2472" s="86"/>
      <c r="H2472" s="86"/>
      <c r="I2472" s="86"/>
      <c r="J2472" s="82"/>
      <c r="K2472" s="82"/>
      <c r="L2472" s="82"/>
      <c r="M2472" s="82"/>
      <c r="N2472" s="82"/>
      <c r="O2472" s="82"/>
      <c r="P2472" s="82"/>
      <c r="Q2472" s="82"/>
      <c r="R2472" s="82"/>
      <c r="S2472" s="82"/>
      <c r="T2472" s="82"/>
      <c r="U2472" s="82"/>
      <c r="V2472" s="82"/>
      <c r="W2472" s="82"/>
      <c r="X2472" s="82"/>
      <c r="Y2472" s="82"/>
      <c r="Z2472" s="82"/>
      <c r="AA2472" s="82"/>
      <c r="AB2472" s="82"/>
      <c r="AC2472" s="82"/>
      <c r="AD2472" s="82"/>
      <c r="AE2472" s="82"/>
      <c r="AF2472" s="82"/>
      <c r="AG2472" s="82"/>
      <c r="AH2472" s="82"/>
      <c r="AI2472" s="82"/>
      <c r="AJ2472" s="82"/>
      <c r="AK2472" s="82"/>
      <c r="AL2472" s="82"/>
      <c r="AM2472" s="82"/>
      <c r="AN2472" s="82">
        <f>IFERROR(__xludf.DUMMYFUNCTION("""COMPUTED_VALUE"""),0.0)</f>
        <v>0</v>
      </c>
      <c r="AO2472" s="82">
        <f>IFERROR(__xludf.DUMMYFUNCTION("""COMPUTED_VALUE"""),0.0)</f>
        <v>0</v>
      </c>
      <c r="AP2472" s="82">
        <f>IFERROR(__xludf.DUMMYFUNCTION("""COMPUTED_VALUE"""),0.0)</f>
        <v>0</v>
      </c>
      <c r="AQ2472" s="82">
        <f>IFERROR(__xludf.DUMMYFUNCTION("""COMPUTED_VALUE"""),0.0)</f>
        <v>0</v>
      </c>
      <c r="AR2472" s="82">
        <f>IFERROR(__xludf.DUMMYFUNCTION("""COMPUTED_VALUE"""),0.0)</f>
        <v>0</v>
      </c>
      <c r="AS2472" s="82"/>
      <c r="AT2472" s="82">
        <f>IFERROR(__xludf.DUMMYFUNCTION("""COMPUTED_VALUE"""),0.0)</f>
        <v>0</v>
      </c>
      <c r="AU2472" s="82"/>
      <c r="AV2472" s="82"/>
      <c r="AW2472" s="82" t="str">
        <f t="shared" si="1"/>
        <v/>
      </c>
      <c r="AX2472" s="83" t="str">
        <f t="array" ref="AX2472">IFERROR(DGET('SBV Import'!A:G,"SBV",{"RSC ID","Tier";B2472,A2472}))</f>
        <v/>
      </c>
      <c r="AY2472" s="82" t="str">
        <f t="shared" si="2"/>
        <v/>
      </c>
      <c r="AZ2472" s="82"/>
      <c r="BA2472" s="84" t="s">
        <v>152</v>
      </c>
      <c r="BB2472" s="84" t="str">
        <f>IFERROR(__xludf.DUMMYFUNCTION("iferror(if(A2472="""",,E2472&gt;=FILTER(Constants!$F$2:$F$10,Constants!$A$2:$A$10=A2472)))"),"")</f>
        <v/>
      </c>
    </row>
    <row r="2473">
      <c r="A2473" s="89"/>
      <c r="B2473" s="87"/>
      <c r="C2473" s="73"/>
      <c r="D2473" s="73"/>
      <c r="E2473" s="82"/>
      <c r="F2473" s="82"/>
      <c r="G2473" s="86"/>
      <c r="H2473" s="86"/>
      <c r="I2473" s="86"/>
      <c r="J2473" s="82"/>
      <c r="K2473" s="82"/>
      <c r="L2473" s="82"/>
      <c r="M2473" s="82"/>
      <c r="N2473" s="82"/>
      <c r="O2473" s="82"/>
      <c r="P2473" s="82"/>
      <c r="Q2473" s="82"/>
      <c r="R2473" s="82"/>
      <c r="S2473" s="82"/>
      <c r="T2473" s="82"/>
      <c r="U2473" s="82"/>
      <c r="V2473" s="82"/>
      <c r="W2473" s="82"/>
      <c r="X2473" s="82"/>
      <c r="Y2473" s="82"/>
      <c r="Z2473" s="82"/>
      <c r="AA2473" s="82"/>
      <c r="AB2473" s="82"/>
      <c r="AC2473" s="82"/>
      <c r="AD2473" s="82"/>
      <c r="AE2473" s="82"/>
      <c r="AF2473" s="82"/>
      <c r="AG2473" s="82"/>
      <c r="AH2473" s="82"/>
      <c r="AI2473" s="82"/>
      <c r="AJ2473" s="82"/>
      <c r="AK2473" s="82"/>
      <c r="AL2473" s="82"/>
      <c r="AM2473" s="82"/>
      <c r="AN2473" s="82">
        <f>IFERROR(__xludf.DUMMYFUNCTION("""COMPUTED_VALUE"""),0.0)</f>
        <v>0</v>
      </c>
      <c r="AO2473" s="82">
        <f>IFERROR(__xludf.DUMMYFUNCTION("""COMPUTED_VALUE"""),0.0)</f>
        <v>0</v>
      </c>
      <c r="AP2473" s="82">
        <f>IFERROR(__xludf.DUMMYFUNCTION("""COMPUTED_VALUE"""),0.0)</f>
        <v>0</v>
      </c>
      <c r="AQ2473" s="82">
        <f>IFERROR(__xludf.DUMMYFUNCTION("""COMPUTED_VALUE"""),0.0)</f>
        <v>0</v>
      </c>
      <c r="AR2473" s="82">
        <f>IFERROR(__xludf.DUMMYFUNCTION("""COMPUTED_VALUE"""),0.0)</f>
        <v>0</v>
      </c>
      <c r="AS2473" s="82"/>
      <c r="AT2473" s="82">
        <f>IFERROR(__xludf.DUMMYFUNCTION("""COMPUTED_VALUE"""),0.0)</f>
        <v>0</v>
      </c>
      <c r="AU2473" s="82"/>
      <c r="AV2473" s="82"/>
      <c r="AW2473" s="82" t="str">
        <f t="shared" si="1"/>
        <v/>
      </c>
      <c r="AX2473" s="83" t="str">
        <f t="array" ref="AX2473">IFERROR(DGET('SBV Import'!A:G,"SBV",{"RSC ID","Tier";B2473,A2473}))</f>
        <v/>
      </c>
      <c r="AY2473" s="82" t="str">
        <f t="shared" si="2"/>
        <v/>
      </c>
      <c r="AZ2473" s="82"/>
      <c r="BA2473" s="84" t="s">
        <v>152</v>
      </c>
      <c r="BB2473" s="84" t="str">
        <f>IFERROR(__xludf.DUMMYFUNCTION("iferror(if(A2473="""",,E2473&gt;=FILTER(Constants!$F$2:$F$10,Constants!$A$2:$A$10=A2473)))"),"")</f>
        <v/>
      </c>
    </row>
    <row r="2474">
      <c r="A2474" s="89"/>
      <c r="B2474" s="87"/>
      <c r="C2474" s="73"/>
      <c r="D2474" s="73"/>
      <c r="E2474" s="82"/>
      <c r="F2474" s="82"/>
      <c r="G2474" s="86"/>
      <c r="H2474" s="86"/>
      <c r="I2474" s="86"/>
      <c r="J2474" s="82"/>
      <c r="K2474" s="82"/>
      <c r="L2474" s="82"/>
      <c r="M2474" s="82"/>
      <c r="N2474" s="82"/>
      <c r="O2474" s="82"/>
      <c r="P2474" s="82"/>
      <c r="Q2474" s="82"/>
      <c r="R2474" s="82"/>
      <c r="S2474" s="82"/>
      <c r="T2474" s="82"/>
      <c r="U2474" s="82"/>
      <c r="V2474" s="82"/>
      <c r="W2474" s="82"/>
      <c r="X2474" s="82"/>
      <c r="Y2474" s="82"/>
      <c r="Z2474" s="82"/>
      <c r="AA2474" s="82"/>
      <c r="AB2474" s="82"/>
      <c r="AC2474" s="82"/>
      <c r="AD2474" s="82"/>
      <c r="AE2474" s="82"/>
      <c r="AF2474" s="82"/>
      <c r="AG2474" s="82"/>
      <c r="AH2474" s="82"/>
      <c r="AI2474" s="82"/>
      <c r="AJ2474" s="82"/>
      <c r="AK2474" s="82"/>
      <c r="AL2474" s="82"/>
      <c r="AM2474" s="82"/>
      <c r="AN2474" s="82">
        <f>IFERROR(__xludf.DUMMYFUNCTION("""COMPUTED_VALUE"""),0.0)</f>
        <v>0</v>
      </c>
      <c r="AO2474" s="82">
        <f>IFERROR(__xludf.DUMMYFUNCTION("""COMPUTED_VALUE"""),0.0)</f>
        <v>0</v>
      </c>
      <c r="AP2474" s="82">
        <f>IFERROR(__xludf.DUMMYFUNCTION("""COMPUTED_VALUE"""),0.0)</f>
        <v>0</v>
      </c>
      <c r="AQ2474" s="82">
        <f>IFERROR(__xludf.DUMMYFUNCTION("""COMPUTED_VALUE"""),0.0)</f>
        <v>0</v>
      </c>
      <c r="AR2474" s="82">
        <f>IFERROR(__xludf.DUMMYFUNCTION("""COMPUTED_VALUE"""),0.0)</f>
        <v>0</v>
      </c>
      <c r="AS2474" s="82"/>
      <c r="AT2474" s="82">
        <f>IFERROR(__xludf.DUMMYFUNCTION("""COMPUTED_VALUE"""),0.0)</f>
        <v>0</v>
      </c>
      <c r="AU2474" s="82"/>
      <c r="AV2474" s="82"/>
      <c r="AW2474" s="82" t="str">
        <f t="shared" si="1"/>
        <v/>
      </c>
      <c r="AX2474" s="83" t="str">
        <f t="array" ref="AX2474">IFERROR(DGET('SBV Import'!A:G,"SBV",{"RSC ID","Tier";B2474,A2474}))</f>
        <v/>
      </c>
      <c r="AY2474" s="82" t="str">
        <f t="shared" si="2"/>
        <v/>
      </c>
      <c r="AZ2474" s="82"/>
      <c r="BA2474" s="84" t="s">
        <v>152</v>
      </c>
      <c r="BB2474" s="84" t="str">
        <f>IFERROR(__xludf.DUMMYFUNCTION("iferror(if(A2474="""",,E2474&gt;=FILTER(Constants!$F$2:$F$10,Constants!$A$2:$A$10=A2474)))"),"")</f>
        <v/>
      </c>
    </row>
    <row r="2475">
      <c r="A2475" s="89"/>
      <c r="B2475" s="87"/>
      <c r="C2475" s="73"/>
      <c r="D2475" s="73"/>
      <c r="E2475" s="82"/>
      <c r="F2475" s="82"/>
      <c r="G2475" s="86"/>
      <c r="H2475" s="86"/>
      <c r="I2475" s="86"/>
      <c r="J2475" s="82"/>
      <c r="K2475" s="82"/>
      <c r="L2475" s="82"/>
      <c r="M2475" s="82"/>
      <c r="N2475" s="82"/>
      <c r="O2475" s="82"/>
      <c r="P2475" s="82"/>
      <c r="Q2475" s="82"/>
      <c r="R2475" s="82"/>
      <c r="S2475" s="82"/>
      <c r="T2475" s="82"/>
      <c r="U2475" s="82"/>
      <c r="V2475" s="82"/>
      <c r="W2475" s="82"/>
      <c r="X2475" s="82"/>
      <c r="Y2475" s="82"/>
      <c r="Z2475" s="82"/>
      <c r="AA2475" s="82"/>
      <c r="AB2475" s="82"/>
      <c r="AC2475" s="82"/>
      <c r="AD2475" s="82"/>
      <c r="AE2475" s="82"/>
      <c r="AF2475" s="82"/>
      <c r="AG2475" s="82"/>
      <c r="AH2475" s="82"/>
      <c r="AI2475" s="82"/>
      <c r="AJ2475" s="82"/>
      <c r="AK2475" s="82"/>
      <c r="AL2475" s="82"/>
      <c r="AM2475" s="82"/>
      <c r="AN2475" s="82">
        <f>IFERROR(__xludf.DUMMYFUNCTION("""COMPUTED_VALUE"""),0.0)</f>
        <v>0</v>
      </c>
      <c r="AO2475" s="82">
        <f>IFERROR(__xludf.DUMMYFUNCTION("""COMPUTED_VALUE"""),0.0)</f>
        <v>0</v>
      </c>
      <c r="AP2475" s="82">
        <f>IFERROR(__xludf.DUMMYFUNCTION("""COMPUTED_VALUE"""),0.0)</f>
        <v>0</v>
      </c>
      <c r="AQ2475" s="82">
        <f>IFERROR(__xludf.DUMMYFUNCTION("""COMPUTED_VALUE"""),0.0)</f>
        <v>0</v>
      </c>
      <c r="AR2475" s="82">
        <f>IFERROR(__xludf.DUMMYFUNCTION("""COMPUTED_VALUE"""),0.0)</f>
        <v>0</v>
      </c>
      <c r="AS2475" s="82"/>
      <c r="AT2475" s="82">
        <f>IFERROR(__xludf.DUMMYFUNCTION("""COMPUTED_VALUE"""),0.0)</f>
        <v>0</v>
      </c>
      <c r="AU2475" s="82"/>
      <c r="AV2475" s="82"/>
      <c r="AW2475" s="82" t="str">
        <f t="shared" si="1"/>
        <v/>
      </c>
      <c r="AX2475" s="83" t="str">
        <f t="array" ref="AX2475">IFERROR(DGET('SBV Import'!A:G,"SBV",{"RSC ID","Tier";B2475,A2475}))</f>
        <v/>
      </c>
      <c r="AY2475" s="82" t="str">
        <f t="shared" si="2"/>
        <v/>
      </c>
      <c r="AZ2475" s="82"/>
      <c r="BA2475" s="84" t="s">
        <v>152</v>
      </c>
      <c r="BB2475" s="84" t="str">
        <f>IFERROR(__xludf.DUMMYFUNCTION("iferror(if(A2475="""",,E2475&gt;=FILTER(Constants!$F$2:$F$10,Constants!$A$2:$A$10=A2475)))"),"")</f>
        <v/>
      </c>
    </row>
    <row r="2476">
      <c r="A2476" s="89"/>
      <c r="B2476" s="87"/>
      <c r="C2476" s="73"/>
      <c r="D2476" s="73"/>
      <c r="E2476" s="82"/>
      <c r="F2476" s="82"/>
      <c r="G2476" s="86"/>
      <c r="H2476" s="86"/>
      <c r="I2476" s="86"/>
      <c r="J2476" s="82"/>
      <c r="K2476" s="82"/>
      <c r="L2476" s="82"/>
      <c r="M2476" s="82"/>
      <c r="N2476" s="82"/>
      <c r="O2476" s="82"/>
      <c r="P2476" s="82"/>
      <c r="Q2476" s="82"/>
      <c r="R2476" s="82"/>
      <c r="S2476" s="82"/>
      <c r="T2476" s="82"/>
      <c r="U2476" s="82"/>
      <c r="V2476" s="82"/>
      <c r="W2476" s="82"/>
      <c r="X2476" s="82"/>
      <c r="Y2476" s="82"/>
      <c r="Z2476" s="82"/>
      <c r="AA2476" s="82"/>
      <c r="AB2476" s="82"/>
      <c r="AC2476" s="82"/>
      <c r="AD2476" s="82"/>
      <c r="AE2476" s="82"/>
      <c r="AF2476" s="82"/>
      <c r="AG2476" s="82"/>
      <c r="AH2476" s="82"/>
      <c r="AI2476" s="82"/>
      <c r="AJ2476" s="82"/>
      <c r="AK2476" s="82"/>
      <c r="AL2476" s="82"/>
      <c r="AM2476" s="82"/>
      <c r="AN2476" s="82">
        <f>IFERROR(__xludf.DUMMYFUNCTION("""COMPUTED_VALUE"""),0.0)</f>
        <v>0</v>
      </c>
      <c r="AO2476" s="82">
        <f>IFERROR(__xludf.DUMMYFUNCTION("""COMPUTED_VALUE"""),0.0)</f>
        <v>0</v>
      </c>
      <c r="AP2476" s="82">
        <f>IFERROR(__xludf.DUMMYFUNCTION("""COMPUTED_VALUE"""),0.0)</f>
        <v>0</v>
      </c>
      <c r="AQ2476" s="82">
        <f>IFERROR(__xludf.DUMMYFUNCTION("""COMPUTED_VALUE"""),0.0)</f>
        <v>0</v>
      </c>
      <c r="AR2476" s="82">
        <f>IFERROR(__xludf.DUMMYFUNCTION("""COMPUTED_VALUE"""),0.0)</f>
        <v>0</v>
      </c>
      <c r="AS2476" s="82"/>
      <c r="AT2476" s="82">
        <f>IFERROR(__xludf.DUMMYFUNCTION("""COMPUTED_VALUE"""),0.0)</f>
        <v>0</v>
      </c>
      <c r="AU2476" s="82"/>
      <c r="AV2476" s="82"/>
      <c r="AW2476" s="82" t="str">
        <f t="shared" si="1"/>
        <v/>
      </c>
      <c r="AX2476" s="83" t="str">
        <f t="array" ref="AX2476">IFERROR(DGET('SBV Import'!A:G,"SBV",{"RSC ID","Tier";B2476,A2476}))</f>
        <v/>
      </c>
      <c r="AY2476" s="82" t="str">
        <f t="shared" si="2"/>
        <v/>
      </c>
      <c r="AZ2476" s="82"/>
      <c r="BA2476" s="84" t="s">
        <v>152</v>
      </c>
      <c r="BB2476" s="84" t="str">
        <f>IFERROR(__xludf.DUMMYFUNCTION("iferror(if(A2476="""",,E2476&gt;=FILTER(Constants!$F$2:$F$10,Constants!$A$2:$A$10=A2476)))"),"")</f>
        <v/>
      </c>
    </row>
    <row r="2477">
      <c r="A2477" s="89"/>
      <c r="B2477" s="87"/>
      <c r="C2477" s="73"/>
      <c r="D2477" s="73"/>
      <c r="E2477" s="82"/>
      <c r="F2477" s="82"/>
      <c r="G2477" s="86"/>
      <c r="H2477" s="86"/>
      <c r="I2477" s="86"/>
      <c r="J2477" s="82"/>
      <c r="K2477" s="82"/>
      <c r="L2477" s="82"/>
      <c r="M2477" s="82"/>
      <c r="N2477" s="82"/>
      <c r="O2477" s="82"/>
      <c r="P2477" s="82"/>
      <c r="Q2477" s="82"/>
      <c r="R2477" s="82"/>
      <c r="S2477" s="82"/>
      <c r="T2477" s="82"/>
      <c r="U2477" s="82"/>
      <c r="V2477" s="82"/>
      <c r="W2477" s="82"/>
      <c r="X2477" s="82"/>
      <c r="Y2477" s="82"/>
      <c r="Z2477" s="82"/>
      <c r="AA2477" s="82"/>
      <c r="AB2477" s="82"/>
      <c r="AC2477" s="82"/>
      <c r="AD2477" s="82"/>
      <c r="AE2477" s="82"/>
      <c r="AF2477" s="82"/>
      <c r="AG2477" s="82"/>
      <c r="AH2477" s="82"/>
      <c r="AI2477" s="82"/>
      <c r="AJ2477" s="82"/>
      <c r="AK2477" s="82"/>
      <c r="AL2477" s="82"/>
      <c r="AM2477" s="82"/>
      <c r="AN2477" s="82">
        <f>IFERROR(__xludf.DUMMYFUNCTION("""COMPUTED_VALUE"""),0.0)</f>
        <v>0</v>
      </c>
      <c r="AO2477" s="82">
        <f>IFERROR(__xludf.DUMMYFUNCTION("""COMPUTED_VALUE"""),0.0)</f>
        <v>0</v>
      </c>
      <c r="AP2477" s="82">
        <f>IFERROR(__xludf.DUMMYFUNCTION("""COMPUTED_VALUE"""),0.0)</f>
        <v>0</v>
      </c>
      <c r="AQ2477" s="82">
        <f>IFERROR(__xludf.DUMMYFUNCTION("""COMPUTED_VALUE"""),0.0)</f>
        <v>0</v>
      </c>
      <c r="AR2477" s="82">
        <f>IFERROR(__xludf.DUMMYFUNCTION("""COMPUTED_VALUE"""),0.0)</f>
        <v>0</v>
      </c>
      <c r="AS2477" s="82"/>
      <c r="AT2477" s="82">
        <f>IFERROR(__xludf.DUMMYFUNCTION("""COMPUTED_VALUE"""),0.0)</f>
        <v>0</v>
      </c>
      <c r="AU2477" s="82"/>
      <c r="AV2477" s="82"/>
      <c r="AW2477" s="82" t="str">
        <f t="shared" si="1"/>
        <v/>
      </c>
      <c r="AX2477" s="83" t="str">
        <f t="array" ref="AX2477">IFERROR(DGET('SBV Import'!A:G,"SBV",{"RSC ID","Tier";B2477,A2477}))</f>
        <v/>
      </c>
      <c r="AY2477" s="82" t="str">
        <f t="shared" si="2"/>
        <v/>
      </c>
      <c r="AZ2477" s="82"/>
      <c r="BA2477" s="84" t="s">
        <v>152</v>
      </c>
      <c r="BB2477" s="84" t="str">
        <f>IFERROR(__xludf.DUMMYFUNCTION("iferror(if(A2477="""",,E2477&gt;=FILTER(Constants!$F$2:$F$10,Constants!$A$2:$A$10=A2477)))"),"")</f>
        <v/>
      </c>
    </row>
    <row r="2478">
      <c r="A2478" s="89"/>
      <c r="B2478" s="87"/>
      <c r="C2478" s="73"/>
      <c r="D2478" s="73"/>
      <c r="E2478" s="82"/>
      <c r="F2478" s="82"/>
      <c r="G2478" s="86"/>
      <c r="H2478" s="86"/>
      <c r="I2478" s="86"/>
      <c r="J2478" s="82"/>
      <c r="K2478" s="82"/>
      <c r="L2478" s="82"/>
      <c r="M2478" s="82"/>
      <c r="N2478" s="82"/>
      <c r="O2478" s="82"/>
      <c r="P2478" s="82"/>
      <c r="Q2478" s="82"/>
      <c r="R2478" s="82"/>
      <c r="S2478" s="82"/>
      <c r="T2478" s="82"/>
      <c r="U2478" s="82"/>
      <c r="V2478" s="82"/>
      <c r="W2478" s="82"/>
      <c r="X2478" s="82"/>
      <c r="Y2478" s="82"/>
      <c r="Z2478" s="82"/>
      <c r="AA2478" s="82"/>
      <c r="AB2478" s="82"/>
      <c r="AC2478" s="82"/>
      <c r="AD2478" s="82"/>
      <c r="AE2478" s="82"/>
      <c r="AF2478" s="82"/>
      <c r="AG2478" s="82"/>
      <c r="AH2478" s="82"/>
      <c r="AI2478" s="82"/>
      <c r="AJ2478" s="82"/>
      <c r="AK2478" s="82"/>
      <c r="AL2478" s="82"/>
      <c r="AM2478" s="82"/>
      <c r="AN2478" s="82">
        <f>IFERROR(__xludf.DUMMYFUNCTION("""COMPUTED_VALUE"""),0.0)</f>
        <v>0</v>
      </c>
      <c r="AO2478" s="82">
        <f>IFERROR(__xludf.DUMMYFUNCTION("""COMPUTED_VALUE"""),0.0)</f>
        <v>0</v>
      </c>
      <c r="AP2478" s="82">
        <f>IFERROR(__xludf.DUMMYFUNCTION("""COMPUTED_VALUE"""),0.0)</f>
        <v>0</v>
      </c>
      <c r="AQ2478" s="82">
        <f>IFERROR(__xludf.DUMMYFUNCTION("""COMPUTED_VALUE"""),0.0)</f>
        <v>0</v>
      </c>
      <c r="AR2478" s="82">
        <f>IFERROR(__xludf.DUMMYFUNCTION("""COMPUTED_VALUE"""),0.0)</f>
        <v>0</v>
      </c>
      <c r="AS2478" s="82"/>
      <c r="AT2478" s="82">
        <f>IFERROR(__xludf.DUMMYFUNCTION("""COMPUTED_VALUE"""),0.0)</f>
        <v>0</v>
      </c>
      <c r="AU2478" s="82"/>
      <c r="AV2478" s="82"/>
      <c r="AW2478" s="82" t="str">
        <f t="shared" si="1"/>
        <v/>
      </c>
      <c r="AX2478" s="83" t="str">
        <f t="array" ref="AX2478">IFERROR(DGET('SBV Import'!A:G,"SBV",{"RSC ID","Tier";B2478,A2478}))</f>
        <v/>
      </c>
      <c r="AY2478" s="82" t="str">
        <f t="shared" si="2"/>
        <v/>
      </c>
      <c r="AZ2478" s="82"/>
      <c r="BA2478" s="84" t="s">
        <v>152</v>
      </c>
      <c r="BB2478" s="84" t="str">
        <f>IFERROR(__xludf.DUMMYFUNCTION("iferror(if(A2478="""",,E2478&gt;=FILTER(Constants!$F$2:$F$10,Constants!$A$2:$A$10=A2478)))"),"")</f>
        <v/>
      </c>
    </row>
    <row r="2479">
      <c r="A2479" s="89"/>
      <c r="B2479" s="87"/>
      <c r="C2479" s="73"/>
      <c r="D2479" s="73"/>
      <c r="E2479" s="82"/>
      <c r="F2479" s="82"/>
      <c r="G2479" s="86"/>
      <c r="H2479" s="86"/>
      <c r="I2479" s="86"/>
      <c r="J2479" s="82"/>
      <c r="K2479" s="82"/>
      <c r="L2479" s="82"/>
      <c r="M2479" s="82"/>
      <c r="N2479" s="82"/>
      <c r="O2479" s="82"/>
      <c r="P2479" s="82"/>
      <c r="Q2479" s="82"/>
      <c r="R2479" s="82"/>
      <c r="S2479" s="82"/>
      <c r="T2479" s="82"/>
      <c r="U2479" s="82"/>
      <c r="V2479" s="82"/>
      <c r="W2479" s="82"/>
      <c r="X2479" s="82"/>
      <c r="Y2479" s="82"/>
      <c r="Z2479" s="82"/>
      <c r="AA2479" s="82"/>
      <c r="AB2479" s="82"/>
      <c r="AC2479" s="82"/>
      <c r="AD2479" s="82"/>
      <c r="AE2479" s="82"/>
      <c r="AF2479" s="82"/>
      <c r="AG2479" s="82"/>
      <c r="AH2479" s="82"/>
      <c r="AI2479" s="82"/>
      <c r="AJ2479" s="82"/>
      <c r="AK2479" s="82"/>
      <c r="AL2479" s="82"/>
      <c r="AM2479" s="82"/>
      <c r="AN2479" s="82">
        <f>IFERROR(__xludf.DUMMYFUNCTION("""COMPUTED_VALUE"""),0.0)</f>
        <v>0</v>
      </c>
      <c r="AO2479" s="82">
        <f>IFERROR(__xludf.DUMMYFUNCTION("""COMPUTED_VALUE"""),0.0)</f>
        <v>0</v>
      </c>
      <c r="AP2479" s="82">
        <f>IFERROR(__xludf.DUMMYFUNCTION("""COMPUTED_VALUE"""),0.0)</f>
        <v>0</v>
      </c>
      <c r="AQ2479" s="82">
        <f>IFERROR(__xludf.DUMMYFUNCTION("""COMPUTED_VALUE"""),0.0)</f>
        <v>0</v>
      </c>
      <c r="AR2479" s="82">
        <f>IFERROR(__xludf.DUMMYFUNCTION("""COMPUTED_VALUE"""),0.0)</f>
        <v>0</v>
      </c>
      <c r="AS2479" s="82"/>
      <c r="AT2479" s="82">
        <f>IFERROR(__xludf.DUMMYFUNCTION("""COMPUTED_VALUE"""),0.0)</f>
        <v>0</v>
      </c>
      <c r="AU2479" s="82"/>
      <c r="AV2479" s="82"/>
      <c r="AW2479" s="82" t="str">
        <f t="shared" si="1"/>
        <v/>
      </c>
      <c r="AX2479" s="83" t="str">
        <f t="array" ref="AX2479">IFERROR(DGET('SBV Import'!A:G,"SBV",{"RSC ID","Tier";B2479,A2479}))</f>
        <v/>
      </c>
      <c r="AY2479" s="82" t="str">
        <f t="shared" si="2"/>
        <v/>
      </c>
      <c r="AZ2479" s="82"/>
      <c r="BA2479" s="84" t="s">
        <v>152</v>
      </c>
      <c r="BB2479" s="84" t="str">
        <f>IFERROR(__xludf.DUMMYFUNCTION("iferror(if(A2479="""",,E2479&gt;=FILTER(Constants!$F$2:$F$10,Constants!$A$2:$A$10=A2479)))"),"")</f>
        <v/>
      </c>
    </row>
    <row r="2480">
      <c r="A2480" s="89"/>
      <c r="B2480" s="87"/>
      <c r="C2480" s="73"/>
      <c r="D2480" s="73"/>
      <c r="E2480" s="82"/>
      <c r="F2480" s="82"/>
      <c r="G2480" s="86"/>
      <c r="H2480" s="86"/>
      <c r="I2480" s="86"/>
      <c r="J2480" s="82"/>
      <c r="K2480" s="82"/>
      <c r="L2480" s="82"/>
      <c r="M2480" s="82"/>
      <c r="N2480" s="82"/>
      <c r="O2480" s="82"/>
      <c r="P2480" s="82"/>
      <c r="Q2480" s="82"/>
      <c r="R2480" s="82"/>
      <c r="S2480" s="82"/>
      <c r="T2480" s="82"/>
      <c r="U2480" s="82"/>
      <c r="V2480" s="82"/>
      <c r="W2480" s="82"/>
      <c r="X2480" s="82"/>
      <c r="Y2480" s="82"/>
      <c r="Z2480" s="82"/>
      <c r="AA2480" s="82"/>
      <c r="AB2480" s="82"/>
      <c r="AC2480" s="82"/>
      <c r="AD2480" s="82"/>
      <c r="AE2480" s="82"/>
      <c r="AF2480" s="82"/>
      <c r="AG2480" s="82"/>
      <c r="AH2480" s="82"/>
      <c r="AI2480" s="82"/>
      <c r="AJ2480" s="82"/>
      <c r="AK2480" s="82"/>
      <c r="AL2480" s="82"/>
      <c r="AM2480" s="82"/>
      <c r="AN2480" s="82">
        <f>IFERROR(__xludf.DUMMYFUNCTION("""COMPUTED_VALUE"""),0.0)</f>
        <v>0</v>
      </c>
      <c r="AO2480" s="82">
        <f>IFERROR(__xludf.DUMMYFUNCTION("""COMPUTED_VALUE"""),0.0)</f>
        <v>0</v>
      </c>
      <c r="AP2480" s="82">
        <f>IFERROR(__xludf.DUMMYFUNCTION("""COMPUTED_VALUE"""),0.0)</f>
        <v>0</v>
      </c>
      <c r="AQ2480" s="82">
        <f>IFERROR(__xludf.DUMMYFUNCTION("""COMPUTED_VALUE"""),0.0)</f>
        <v>0</v>
      </c>
      <c r="AR2480" s="82">
        <f>IFERROR(__xludf.DUMMYFUNCTION("""COMPUTED_VALUE"""),0.0)</f>
        <v>0</v>
      </c>
      <c r="AS2480" s="82"/>
      <c r="AT2480" s="82">
        <f>IFERROR(__xludf.DUMMYFUNCTION("""COMPUTED_VALUE"""),0.0)</f>
        <v>0</v>
      </c>
      <c r="AU2480" s="82"/>
      <c r="AV2480" s="82"/>
      <c r="AW2480" s="82" t="str">
        <f t="shared" si="1"/>
        <v/>
      </c>
      <c r="AX2480" s="83" t="str">
        <f t="array" ref="AX2480">IFERROR(DGET('SBV Import'!A:G,"SBV",{"RSC ID","Tier";B2480,A2480}))</f>
        <v/>
      </c>
      <c r="AY2480" s="82" t="str">
        <f t="shared" si="2"/>
        <v/>
      </c>
      <c r="AZ2480" s="82"/>
      <c r="BA2480" s="84" t="s">
        <v>152</v>
      </c>
      <c r="BB2480" s="84" t="str">
        <f>IFERROR(__xludf.DUMMYFUNCTION("iferror(if(A2480="""",,E2480&gt;=FILTER(Constants!$F$2:$F$10,Constants!$A$2:$A$10=A2480)))"),"")</f>
        <v/>
      </c>
    </row>
    <row r="2481">
      <c r="A2481" s="89"/>
      <c r="B2481" s="87"/>
      <c r="C2481" s="73"/>
      <c r="D2481" s="73"/>
      <c r="E2481" s="82"/>
      <c r="F2481" s="82"/>
      <c r="G2481" s="86"/>
      <c r="H2481" s="86"/>
      <c r="I2481" s="86"/>
      <c r="J2481" s="82"/>
      <c r="K2481" s="82"/>
      <c r="L2481" s="82"/>
      <c r="M2481" s="82"/>
      <c r="N2481" s="82"/>
      <c r="O2481" s="82"/>
      <c r="P2481" s="82"/>
      <c r="Q2481" s="82"/>
      <c r="R2481" s="82"/>
      <c r="S2481" s="82"/>
      <c r="T2481" s="82"/>
      <c r="U2481" s="82"/>
      <c r="V2481" s="82"/>
      <c r="W2481" s="82"/>
      <c r="X2481" s="82"/>
      <c r="Y2481" s="82"/>
      <c r="Z2481" s="82"/>
      <c r="AA2481" s="82"/>
      <c r="AB2481" s="82"/>
      <c r="AC2481" s="82"/>
      <c r="AD2481" s="82"/>
      <c r="AE2481" s="82"/>
      <c r="AF2481" s="82"/>
      <c r="AG2481" s="82"/>
      <c r="AH2481" s="82"/>
      <c r="AI2481" s="82"/>
      <c r="AJ2481" s="82"/>
      <c r="AK2481" s="82"/>
      <c r="AL2481" s="82"/>
      <c r="AM2481" s="82"/>
      <c r="AN2481" s="82">
        <f>IFERROR(__xludf.DUMMYFUNCTION("""COMPUTED_VALUE"""),0.0)</f>
        <v>0</v>
      </c>
      <c r="AO2481" s="82">
        <f>IFERROR(__xludf.DUMMYFUNCTION("""COMPUTED_VALUE"""),0.0)</f>
        <v>0</v>
      </c>
      <c r="AP2481" s="82">
        <f>IFERROR(__xludf.DUMMYFUNCTION("""COMPUTED_VALUE"""),0.0)</f>
        <v>0</v>
      </c>
      <c r="AQ2481" s="82">
        <f>IFERROR(__xludf.DUMMYFUNCTION("""COMPUTED_VALUE"""),0.0)</f>
        <v>0</v>
      </c>
      <c r="AR2481" s="82">
        <f>IFERROR(__xludf.DUMMYFUNCTION("""COMPUTED_VALUE"""),0.0)</f>
        <v>0</v>
      </c>
      <c r="AS2481" s="82"/>
      <c r="AT2481" s="82">
        <f>IFERROR(__xludf.DUMMYFUNCTION("""COMPUTED_VALUE"""),0.0)</f>
        <v>0</v>
      </c>
      <c r="AU2481" s="82"/>
      <c r="AV2481" s="82"/>
      <c r="AW2481" s="82" t="str">
        <f t="shared" si="1"/>
        <v/>
      </c>
      <c r="AX2481" s="83" t="str">
        <f t="array" ref="AX2481">IFERROR(DGET('SBV Import'!A:G,"SBV",{"RSC ID","Tier";B2481,A2481}))</f>
        <v/>
      </c>
      <c r="AY2481" s="82" t="str">
        <f t="shared" si="2"/>
        <v/>
      </c>
      <c r="AZ2481" s="82"/>
      <c r="BA2481" s="84" t="s">
        <v>152</v>
      </c>
      <c r="BB2481" s="84" t="str">
        <f>IFERROR(__xludf.DUMMYFUNCTION("iferror(if(A2481="""",,E2481&gt;=FILTER(Constants!$F$2:$F$10,Constants!$A$2:$A$10=A2481)))"),"")</f>
        <v/>
      </c>
    </row>
    <row r="2482">
      <c r="A2482" s="89"/>
      <c r="B2482" s="87"/>
      <c r="C2482" s="73"/>
      <c r="D2482" s="73"/>
      <c r="E2482" s="82"/>
      <c r="F2482" s="82"/>
      <c r="G2482" s="86"/>
      <c r="H2482" s="86"/>
      <c r="I2482" s="86"/>
      <c r="J2482" s="82"/>
      <c r="K2482" s="82"/>
      <c r="L2482" s="82"/>
      <c r="M2482" s="82"/>
      <c r="N2482" s="82"/>
      <c r="O2482" s="82"/>
      <c r="P2482" s="82"/>
      <c r="Q2482" s="82"/>
      <c r="R2482" s="82"/>
      <c r="S2482" s="82"/>
      <c r="T2482" s="82"/>
      <c r="U2482" s="82"/>
      <c r="V2482" s="82"/>
      <c r="W2482" s="82"/>
      <c r="X2482" s="82"/>
      <c r="Y2482" s="82"/>
      <c r="Z2482" s="82"/>
      <c r="AA2482" s="82"/>
      <c r="AB2482" s="82"/>
      <c r="AC2482" s="82"/>
      <c r="AD2482" s="82"/>
      <c r="AE2482" s="82"/>
      <c r="AF2482" s="82"/>
      <c r="AG2482" s="82"/>
      <c r="AH2482" s="82"/>
      <c r="AI2482" s="82"/>
      <c r="AJ2482" s="82"/>
      <c r="AK2482" s="82"/>
      <c r="AL2482" s="82"/>
      <c r="AM2482" s="82"/>
      <c r="AN2482" s="82">
        <f>IFERROR(__xludf.DUMMYFUNCTION("""COMPUTED_VALUE"""),0.0)</f>
        <v>0</v>
      </c>
      <c r="AO2482" s="82">
        <f>IFERROR(__xludf.DUMMYFUNCTION("""COMPUTED_VALUE"""),0.0)</f>
        <v>0</v>
      </c>
      <c r="AP2482" s="82">
        <f>IFERROR(__xludf.DUMMYFUNCTION("""COMPUTED_VALUE"""),0.0)</f>
        <v>0</v>
      </c>
      <c r="AQ2482" s="82">
        <f>IFERROR(__xludf.DUMMYFUNCTION("""COMPUTED_VALUE"""),0.0)</f>
        <v>0</v>
      </c>
      <c r="AR2482" s="82">
        <f>IFERROR(__xludf.DUMMYFUNCTION("""COMPUTED_VALUE"""),0.0)</f>
        <v>0</v>
      </c>
      <c r="AS2482" s="82"/>
      <c r="AT2482" s="82">
        <f>IFERROR(__xludf.DUMMYFUNCTION("""COMPUTED_VALUE"""),0.0)</f>
        <v>0</v>
      </c>
      <c r="AU2482" s="82"/>
      <c r="AV2482" s="82"/>
      <c r="AW2482" s="82" t="str">
        <f t="shared" si="1"/>
        <v/>
      </c>
      <c r="AX2482" s="83" t="str">
        <f t="array" ref="AX2482">IFERROR(DGET('SBV Import'!A:G,"SBV",{"RSC ID","Tier";B2482,A2482}))</f>
        <v/>
      </c>
      <c r="AY2482" s="82" t="str">
        <f t="shared" si="2"/>
        <v/>
      </c>
      <c r="AZ2482" s="82"/>
      <c r="BA2482" s="84" t="s">
        <v>152</v>
      </c>
      <c r="BB2482" s="84" t="str">
        <f>IFERROR(__xludf.DUMMYFUNCTION("iferror(if(A2482="""",,E2482&gt;=FILTER(Constants!$F$2:$F$10,Constants!$A$2:$A$10=A2482)))"),"")</f>
        <v/>
      </c>
    </row>
    <row r="2483">
      <c r="A2483" s="89"/>
      <c r="B2483" s="87"/>
      <c r="C2483" s="73"/>
      <c r="D2483" s="73"/>
      <c r="E2483" s="82"/>
      <c r="F2483" s="82"/>
      <c r="G2483" s="86"/>
      <c r="H2483" s="86"/>
      <c r="I2483" s="86"/>
      <c r="J2483" s="82"/>
      <c r="K2483" s="82"/>
      <c r="L2483" s="82"/>
      <c r="M2483" s="82"/>
      <c r="N2483" s="82"/>
      <c r="O2483" s="82"/>
      <c r="P2483" s="82"/>
      <c r="Q2483" s="82"/>
      <c r="R2483" s="82"/>
      <c r="S2483" s="82"/>
      <c r="T2483" s="82"/>
      <c r="U2483" s="82"/>
      <c r="V2483" s="82"/>
      <c r="W2483" s="82"/>
      <c r="X2483" s="82"/>
      <c r="Y2483" s="82"/>
      <c r="Z2483" s="82"/>
      <c r="AA2483" s="82"/>
      <c r="AB2483" s="82"/>
      <c r="AC2483" s="82"/>
      <c r="AD2483" s="82"/>
      <c r="AE2483" s="82"/>
      <c r="AF2483" s="82"/>
      <c r="AG2483" s="82"/>
      <c r="AH2483" s="82"/>
      <c r="AI2483" s="82"/>
      <c r="AJ2483" s="82"/>
      <c r="AK2483" s="82"/>
      <c r="AL2483" s="82"/>
      <c r="AM2483" s="82"/>
      <c r="AN2483" s="82">
        <f>IFERROR(__xludf.DUMMYFUNCTION("""COMPUTED_VALUE"""),0.0)</f>
        <v>0</v>
      </c>
      <c r="AO2483" s="82">
        <f>IFERROR(__xludf.DUMMYFUNCTION("""COMPUTED_VALUE"""),0.0)</f>
        <v>0</v>
      </c>
      <c r="AP2483" s="82">
        <f>IFERROR(__xludf.DUMMYFUNCTION("""COMPUTED_VALUE"""),0.0)</f>
        <v>0</v>
      </c>
      <c r="AQ2483" s="82">
        <f>IFERROR(__xludf.DUMMYFUNCTION("""COMPUTED_VALUE"""),0.0)</f>
        <v>0</v>
      </c>
      <c r="AR2483" s="82">
        <f>IFERROR(__xludf.DUMMYFUNCTION("""COMPUTED_VALUE"""),0.0)</f>
        <v>0</v>
      </c>
      <c r="AS2483" s="82"/>
      <c r="AT2483" s="82">
        <f>IFERROR(__xludf.DUMMYFUNCTION("""COMPUTED_VALUE"""),0.0)</f>
        <v>0</v>
      </c>
      <c r="AU2483" s="82"/>
      <c r="AV2483" s="82"/>
      <c r="AW2483" s="82" t="str">
        <f t="shared" si="1"/>
        <v/>
      </c>
      <c r="AX2483" s="83" t="str">
        <f t="array" ref="AX2483">IFERROR(DGET('SBV Import'!A:G,"SBV",{"RSC ID","Tier";B2483,A2483}))</f>
        <v/>
      </c>
      <c r="AY2483" s="82" t="str">
        <f t="shared" si="2"/>
        <v/>
      </c>
      <c r="AZ2483" s="82"/>
      <c r="BA2483" s="84" t="s">
        <v>152</v>
      </c>
      <c r="BB2483" s="84" t="str">
        <f>IFERROR(__xludf.DUMMYFUNCTION("iferror(if(A2483="""",,E2483&gt;=FILTER(Constants!$F$2:$F$10,Constants!$A$2:$A$10=A2483)))"),"")</f>
        <v/>
      </c>
    </row>
    <row r="2484">
      <c r="A2484" s="89"/>
      <c r="B2484" s="87"/>
      <c r="C2484" s="73"/>
      <c r="D2484" s="73"/>
      <c r="E2484" s="82"/>
      <c r="F2484" s="82"/>
      <c r="G2484" s="86"/>
      <c r="H2484" s="86"/>
      <c r="I2484" s="86"/>
      <c r="J2484" s="82"/>
      <c r="K2484" s="82"/>
      <c r="L2484" s="82"/>
      <c r="M2484" s="82"/>
      <c r="N2484" s="82"/>
      <c r="O2484" s="82"/>
      <c r="P2484" s="82"/>
      <c r="Q2484" s="82"/>
      <c r="R2484" s="82"/>
      <c r="S2484" s="82"/>
      <c r="T2484" s="82"/>
      <c r="U2484" s="82"/>
      <c r="V2484" s="82"/>
      <c r="W2484" s="82"/>
      <c r="X2484" s="82"/>
      <c r="Y2484" s="82"/>
      <c r="Z2484" s="82"/>
      <c r="AA2484" s="82"/>
      <c r="AB2484" s="82"/>
      <c r="AC2484" s="82"/>
      <c r="AD2484" s="82"/>
      <c r="AE2484" s="82"/>
      <c r="AF2484" s="82"/>
      <c r="AG2484" s="82"/>
      <c r="AH2484" s="82"/>
      <c r="AI2484" s="82"/>
      <c r="AJ2484" s="82"/>
      <c r="AK2484" s="82"/>
      <c r="AL2484" s="82"/>
      <c r="AM2484" s="82"/>
      <c r="AN2484" s="82">
        <f>IFERROR(__xludf.DUMMYFUNCTION("""COMPUTED_VALUE"""),0.0)</f>
        <v>0</v>
      </c>
      <c r="AO2484" s="82">
        <f>IFERROR(__xludf.DUMMYFUNCTION("""COMPUTED_VALUE"""),0.0)</f>
        <v>0</v>
      </c>
      <c r="AP2484" s="82">
        <f>IFERROR(__xludf.DUMMYFUNCTION("""COMPUTED_VALUE"""),0.0)</f>
        <v>0</v>
      </c>
      <c r="AQ2484" s="82">
        <f>IFERROR(__xludf.DUMMYFUNCTION("""COMPUTED_VALUE"""),0.0)</f>
        <v>0</v>
      </c>
      <c r="AR2484" s="82">
        <f>IFERROR(__xludf.DUMMYFUNCTION("""COMPUTED_VALUE"""),0.0)</f>
        <v>0</v>
      </c>
      <c r="AS2484" s="82"/>
      <c r="AT2484" s="82">
        <f>IFERROR(__xludf.DUMMYFUNCTION("""COMPUTED_VALUE"""),0.0)</f>
        <v>0</v>
      </c>
      <c r="AU2484" s="82"/>
      <c r="AV2484" s="82"/>
      <c r="AW2484" s="82" t="str">
        <f t="shared" si="1"/>
        <v/>
      </c>
      <c r="AX2484" s="83" t="str">
        <f t="array" ref="AX2484">IFERROR(DGET('SBV Import'!A:G,"SBV",{"RSC ID","Tier";B2484,A2484}))</f>
        <v/>
      </c>
      <c r="AY2484" s="82" t="str">
        <f t="shared" si="2"/>
        <v/>
      </c>
      <c r="AZ2484" s="82"/>
      <c r="BA2484" s="84" t="s">
        <v>152</v>
      </c>
      <c r="BB2484" s="84" t="str">
        <f>IFERROR(__xludf.DUMMYFUNCTION("iferror(if(A2484="""",,E2484&gt;=FILTER(Constants!$F$2:$F$10,Constants!$A$2:$A$10=A2484)))"),"")</f>
        <v/>
      </c>
    </row>
    <row r="2485">
      <c r="A2485" s="89"/>
      <c r="B2485" s="87"/>
      <c r="C2485" s="73"/>
      <c r="D2485" s="73"/>
      <c r="E2485" s="82"/>
      <c r="F2485" s="82"/>
      <c r="G2485" s="86"/>
      <c r="H2485" s="86"/>
      <c r="I2485" s="86"/>
      <c r="J2485" s="82"/>
      <c r="K2485" s="82"/>
      <c r="L2485" s="82"/>
      <c r="M2485" s="82"/>
      <c r="N2485" s="82"/>
      <c r="O2485" s="82"/>
      <c r="P2485" s="82"/>
      <c r="Q2485" s="82"/>
      <c r="R2485" s="82"/>
      <c r="S2485" s="82"/>
      <c r="T2485" s="82"/>
      <c r="U2485" s="82"/>
      <c r="V2485" s="82"/>
      <c r="W2485" s="82"/>
      <c r="X2485" s="82"/>
      <c r="Y2485" s="82"/>
      <c r="Z2485" s="82"/>
      <c r="AA2485" s="82"/>
      <c r="AB2485" s="82"/>
      <c r="AC2485" s="82"/>
      <c r="AD2485" s="82"/>
      <c r="AE2485" s="82"/>
      <c r="AF2485" s="82"/>
      <c r="AG2485" s="82"/>
      <c r="AH2485" s="82"/>
      <c r="AI2485" s="82"/>
      <c r="AJ2485" s="82"/>
      <c r="AK2485" s="82"/>
      <c r="AL2485" s="82"/>
      <c r="AM2485" s="82"/>
      <c r="AN2485" s="82">
        <f>IFERROR(__xludf.DUMMYFUNCTION("""COMPUTED_VALUE"""),0.0)</f>
        <v>0</v>
      </c>
      <c r="AO2485" s="82">
        <f>IFERROR(__xludf.DUMMYFUNCTION("""COMPUTED_VALUE"""),0.0)</f>
        <v>0</v>
      </c>
      <c r="AP2485" s="82">
        <f>IFERROR(__xludf.DUMMYFUNCTION("""COMPUTED_VALUE"""),0.0)</f>
        <v>0</v>
      </c>
      <c r="AQ2485" s="82">
        <f>IFERROR(__xludf.DUMMYFUNCTION("""COMPUTED_VALUE"""),0.0)</f>
        <v>0</v>
      </c>
      <c r="AR2485" s="82">
        <f>IFERROR(__xludf.DUMMYFUNCTION("""COMPUTED_VALUE"""),0.0)</f>
        <v>0</v>
      </c>
      <c r="AS2485" s="82"/>
      <c r="AT2485" s="82">
        <f>IFERROR(__xludf.DUMMYFUNCTION("""COMPUTED_VALUE"""),0.0)</f>
        <v>0</v>
      </c>
      <c r="AU2485" s="82"/>
      <c r="AV2485" s="82"/>
      <c r="AW2485" s="82" t="str">
        <f t="shared" si="1"/>
        <v/>
      </c>
      <c r="AX2485" s="83" t="str">
        <f t="array" ref="AX2485">IFERROR(DGET('SBV Import'!A:G,"SBV",{"RSC ID","Tier";B2485,A2485}))</f>
        <v/>
      </c>
      <c r="AY2485" s="82" t="str">
        <f t="shared" si="2"/>
        <v/>
      </c>
      <c r="AZ2485" s="82"/>
      <c r="BA2485" s="84" t="s">
        <v>152</v>
      </c>
      <c r="BB2485" s="84" t="str">
        <f>IFERROR(__xludf.DUMMYFUNCTION("iferror(if(A2485="""",,E2485&gt;=FILTER(Constants!$F$2:$F$10,Constants!$A$2:$A$10=A2485)))"),"")</f>
        <v/>
      </c>
    </row>
    <row r="2486">
      <c r="A2486" s="89"/>
      <c r="B2486" s="87"/>
      <c r="C2486" s="73"/>
      <c r="D2486" s="73"/>
      <c r="E2486" s="82"/>
      <c r="F2486" s="82"/>
      <c r="G2486" s="86"/>
      <c r="H2486" s="86"/>
      <c r="I2486" s="86"/>
      <c r="J2486" s="82"/>
      <c r="K2486" s="82"/>
      <c r="L2486" s="82"/>
      <c r="M2486" s="82"/>
      <c r="N2486" s="82"/>
      <c r="O2486" s="82"/>
      <c r="P2486" s="82"/>
      <c r="Q2486" s="82"/>
      <c r="R2486" s="82"/>
      <c r="S2486" s="82"/>
      <c r="T2486" s="82"/>
      <c r="U2486" s="82"/>
      <c r="V2486" s="82"/>
      <c r="W2486" s="82"/>
      <c r="X2486" s="82"/>
      <c r="Y2486" s="82"/>
      <c r="Z2486" s="82"/>
      <c r="AA2486" s="82"/>
      <c r="AB2486" s="82"/>
      <c r="AC2486" s="82"/>
      <c r="AD2486" s="82"/>
      <c r="AE2486" s="82"/>
      <c r="AF2486" s="82"/>
      <c r="AG2486" s="82"/>
      <c r="AH2486" s="82"/>
      <c r="AI2486" s="82"/>
      <c r="AJ2486" s="82"/>
      <c r="AK2486" s="82"/>
      <c r="AL2486" s="82"/>
      <c r="AM2486" s="82"/>
      <c r="AN2486" s="82">
        <f>IFERROR(__xludf.DUMMYFUNCTION("""COMPUTED_VALUE"""),0.0)</f>
        <v>0</v>
      </c>
      <c r="AO2486" s="82">
        <f>IFERROR(__xludf.DUMMYFUNCTION("""COMPUTED_VALUE"""),0.0)</f>
        <v>0</v>
      </c>
      <c r="AP2486" s="82">
        <f>IFERROR(__xludf.DUMMYFUNCTION("""COMPUTED_VALUE"""),0.0)</f>
        <v>0</v>
      </c>
      <c r="AQ2486" s="82">
        <f>IFERROR(__xludf.DUMMYFUNCTION("""COMPUTED_VALUE"""),0.0)</f>
        <v>0</v>
      </c>
      <c r="AR2486" s="82">
        <f>IFERROR(__xludf.DUMMYFUNCTION("""COMPUTED_VALUE"""),0.0)</f>
        <v>0</v>
      </c>
      <c r="AS2486" s="82"/>
      <c r="AT2486" s="82">
        <f>IFERROR(__xludf.DUMMYFUNCTION("""COMPUTED_VALUE"""),0.0)</f>
        <v>0</v>
      </c>
      <c r="AU2486" s="82"/>
      <c r="AV2486" s="82"/>
      <c r="AW2486" s="82" t="str">
        <f t="shared" si="1"/>
        <v/>
      </c>
      <c r="AX2486" s="83" t="str">
        <f t="array" ref="AX2486">IFERROR(DGET('SBV Import'!A:G,"SBV",{"RSC ID","Tier";B2486,A2486}))</f>
        <v/>
      </c>
      <c r="AY2486" s="82" t="str">
        <f t="shared" si="2"/>
        <v/>
      </c>
      <c r="AZ2486" s="82"/>
      <c r="BA2486" s="84" t="s">
        <v>152</v>
      </c>
      <c r="BB2486" s="84" t="str">
        <f>IFERROR(__xludf.DUMMYFUNCTION("iferror(if(A2486="""",,E2486&gt;=FILTER(Constants!$F$2:$F$10,Constants!$A$2:$A$10=A2486)))"),"")</f>
        <v/>
      </c>
    </row>
    <row r="2487">
      <c r="A2487" s="89"/>
      <c r="B2487" s="87"/>
      <c r="C2487" s="73"/>
      <c r="D2487" s="73"/>
      <c r="E2487" s="82"/>
      <c r="F2487" s="82"/>
      <c r="G2487" s="86"/>
      <c r="H2487" s="86"/>
      <c r="I2487" s="86"/>
      <c r="J2487" s="82"/>
      <c r="K2487" s="82"/>
      <c r="L2487" s="82"/>
      <c r="M2487" s="82"/>
      <c r="N2487" s="82"/>
      <c r="O2487" s="82"/>
      <c r="P2487" s="82"/>
      <c r="Q2487" s="82"/>
      <c r="R2487" s="82"/>
      <c r="S2487" s="82"/>
      <c r="T2487" s="82"/>
      <c r="U2487" s="82"/>
      <c r="V2487" s="82"/>
      <c r="W2487" s="82"/>
      <c r="X2487" s="82"/>
      <c r="Y2487" s="82"/>
      <c r="Z2487" s="82"/>
      <c r="AA2487" s="82"/>
      <c r="AB2487" s="82"/>
      <c r="AC2487" s="82"/>
      <c r="AD2487" s="82"/>
      <c r="AE2487" s="82"/>
      <c r="AF2487" s="82"/>
      <c r="AG2487" s="82"/>
      <c r="AH2487" s="82"/>
      <c r="AI2487" s="82"/>
      <c r="AJ2487" s="82"/>
      <c r="AK2487" s="82"/>
      <c r="AL2487" s="82"/>
      <c r="AM2487" s="82"/>
      <c r="AN2487" s="82">
        <f>IFERROR(__xludf.DUMMYFUNCTION("""COMPUTED_VALUE"""),0.0)</f>
        <v>0</v>
      </c>
      <c r="AO2487" s="82">
        <f>IFERROR(__xludf.DUMMYFUNCTION("""COMPUTED_VALUE"""),0.0)</f>
        <v>0</v>
      </c>
      <c r="AP2487" s="82">
        <f>IFERROR(__xludf.DUMMYFUNCTION("""COMPUTED_VALUE"""),0.0)</f>
        <v>0</v>
      </c>
      <c r="AQ2487" s="82">
        <f>IFERROR(__xludf.DUMMYFUNCTION("""COMPUTED_VALUE"""),0.0)</f>
        <v>0</v>
      </c>
      <c r="AR2487" s="82">
        <f>IFERROR(__xludf.DUMMYFUNCTION("""COMPUTED_VALUE"""),0.0)</f>
        <v>0</v>
      </c>
      <c r="AS2487" s="82"/>
      <c r="AT2487" s="82">
        <f>IFERROR(__xludf.DUMMYFUNCTION("""COMPUTED_VALUE"""),0.0)</f>
        <v>0</v>
      </c>
      <c r="AU2487" s="82"/>
      <c r="AV2487" s="82"/>
      <c r="AW2487" s="82" t="str">
        <f t="shared" si="1"/>
        <v/>
      </c>
      <c r="AX2487" s="83" t="str">
        <f t="array" ref="AX2487">IFERROR(DGET('SBV Import'!A:G,"SBV",{"RSC ID","Tier";B2487,A2487}))</f>
        <v/>
      </c>
      <c r="AY2487" s="82" t="str">
        <f t="shared" si="2"/>
        <v/>
      </c>
      <c r="AZ2487" s="82"/>
      <c r="BA2487" s="84" t="s">
        <v>152</v>
      </c>
      <c r="BB2487" s="84" t="str">
        <f>IFERROR(__xludf.DUMMYFUNCTION("iferror(if(A2487="""",,E2487&gt;=FILTER(Constants!$F$2:$F$10,Constants!$A$2:$A$10=A2487)))"),"")</f>
        <v/>
      </c>
    </row>
    <row r="2488">
      <c r="A2488" s="89"/>
      <c r="B2488" s="87"/>
      <c r="C2488" s="73"/>
      <c r="D2488" s="73"/>
      <c r="E2488" s="82"/>
      <c r="F2488" s="82"/>
      <c r="G2488" s="86"/>
      <c r="H2488" s="86"/>
      <c r="I2488" s="86"/>
      <c r="J2488" s="82"/>
      <c r="K2488" s="82"/>
      <c r="L2488" s="82"/>
      <c r="M2488" s="82"/>
      <c r="N2488" s="82"/>
      <c r="O2488" s="82"/>
      <c r="P2488" s="82"/>
      <c r="Q2488" s="82"/>
      <c r="R2488" s="82"/>
      <c r="S2488" s="82"/>
      <c r="T2488" s="82"/>
      <c r="U2488" s="82"/>
      <c r="V2488" s="82"/>
      <c r="W2488" s="82"/>
      <c r="X2488" s="82"/>
      <c r="Y2488" s="82"/>
      <c r="Z2488" s="82"/>
      <c r="AA2488" s="82"/>
      <c r="AB2488" s="82"/>
      <c r="AC2488" s="82"/>
      <c r="AD2488" s="82"/>
      <c r="AE2488" s="82"/>
      <c r="AF2488" s="82"/>
      <c r="AG2488" s="82"/>
      <c r="AH2488" s="82"/>
      <c r="AI2488" s="82"/>
      <c r="AJ2488" s="82"/>
      <c r="AK2488" s="82"/>
      <c r="AL2488" s="82"/>
      <c r="AM2488" s="82"/>
      <c r="AN2488" s="82">
        <f>IFERROR(__xludf.DUMMYFUNCTION("""COMPUTED_VALUE"""),0.0)</f>
        <v>0</v>
      </c>
      <c r="AO2488" s="82">
        <f>IFERROR(__xludf.DUMMYFUNCTION("""COMPUTED_VALUE"""),0.0)</f>
        <v>0</v>
      </c>
      <c r="AP2488" s="82">
        <f>IFERROR(__xludf.DUMMYFUNCTION("""COMPUTED_VALUE"""),0.0)</f>
        <v>0</v>
      </c>
      <c r="AQ2488" s="82">
        <f>IFERROR(__xludf.DUMMYFUNCTION("""COMPUTED_VALUE"""),0.0)</f>
        <v>0</v>
      </c>
      <c r="AR2488" s="82">
        <f>IFERROR(__xludf.DUMMYFUNCTION("""COMPUTED_VALUE"""),0.0)</f>
        <v>0</v>
      </c>
      <c r="AS2488" s="82"/>
      <c r="AT2488" s="82">
        <f>IFERROR(__xludf.DUMMYFUNCTION("""COMPUTED_VALUE"""),0.0)</f>
        <v>0</v>
      </c>
      <c r="AU2488" s="82"/>
      <c r="AV2488" s="82"/>
      <c r="AW2488" s="82" t="str">
        <f t="shared" si="1"/>
        <v/>
      </c>
      <c r="AX2488" s="83" t="str">
        <f t="array" ref="AX2488">IFERROR(DGET('SBV Import'!A:G,"SBV",{"RSC ID","Tier";B2488,A2488}))</f>
        <v/>
      </c>
      <c r="AY2488" s="82" t="str">
        <f t="shared" si="2"/>
        <v/>
      </c>
      <c r="AZ2488" s="82"/>
      <c r="BA2488" s="84" t="s">
        <v>152</v>
      </c>
      <c r="BB2488" s="84" t="str">
        <f>IFERROR(__xludf.DUMMYFUNCTION("iferror(if(A2488="""",,E2488&gt;=FILTER(Constants!$F$2:$F$10,Constants!$A$2:$A$10=A2488)))"),"")</f>
        <v/>
      </c>
    </row>
    <row r="2489">
      <c r="A2489" s="89"/>
      <c r="B2489" s="87"/>
      <c r="C2489" s="73"/>
      <c r="D2489" s="73"/>
      <c r="E2489" s="82"/>
      <c r="F2489" s="82"/>
      <c r="G2489" s="86"/>
      <c r="H2489" s="86"/>
      <c r="I2489" s="86"/>
      <c r="J2489" s="82"/>
      <c r="K2489" s="82"/>
      <c r="L2489" s="82"/>
      <c r="M2489" s="82"/>
      <c r="N2489" s="82"/>
      <c r="O2489" s="82"/>
      <c r="P2489" s="82"/>
      <c r="Q2489" s="82"/>
      <c r="R2489" s="82"/>
      <c r="S2489" s="82"/>
      <c r="T2489" s="82"/>
      <c r="U2489" s="82"/>
      <c r="V2489" s="82"/>
      <c r="W2489" s="82"/>
      <c r="X2489" s="82"/>
      <c r="Y2489" s="82"/>
      <c r="Z2489" s="82"/>
      <c r="AA2489" s="82"/>
      <c r="AB2489" s="82"/>
      <c r="AC2489" s="82"/>
      <c r="AD2489" s="82"/>
      <c r="AE2489" s="82"/>
      <c r="AF2489" s="82"/>
      <c r="AG2489" s="82"/>
      <c r="AH2489" s="82"/>
      <c r="AI2489" s="82"/>
      <c r="AJ2489" s="82"/>
      <c r="AK2489" s="82"/>
      <c r="AL2489" s="82"/>
      <c r="AM2489" s="82"/>
      <c r="AN2489" s="82">
        <f>IFERROR(__xludf.DUMMYFUNCTION("""COMPUTED_VALUE"""),0.0)</f>
        <v>0</v>
      </c>
      <c r="AO2489" s="82">
        <f>IFERROR(__xludf.DUMMYFUNCTION("""COMPUTED_VALUE"""),0.0)</f>
        <v>0</v>
      </c>
      <c r="AP2489" s="82">
        <f>IFERROR(__xludf.DUMMYFUNCTION("""COMPUTED_VALUE"""),0.0)</f>
        <v>0</v>
      </c>
      <c r="AQ2489" s="82">
        <f>IFERROR(__xludf.DUMMYFUNCTION("""COMPUTED_VALUE"""),0.0)</f>
        <v>0</v>
      </c>
      <c r="AR2489" s="82">
        <f>IFERROR(__xludf.DUMMYFUNCTION("""COMPUTED_VALUE"""),0.0)</f>
        <v>0</v>
      </c>
      <c r="AS2489" s="82"/>
      <c r="AT2489" s="82">
        <f>IFERROR(__xludf.DUMMYFUNCTION("""COMPUTED_VALUE"""),0.0)</f>
        <v>0</v>
      </c>
      <c r="AU2489" s="82"/>
      <c r="AV2489" s="82"/>
      <c r="AW2489" s="82" t="str">
        <f t="shared" si="1"/>
        <v/>
      </c>
      <c r="AX2489" s="83" t="str">
        <f t="array" ref="AX2489">IFERROR(DGET('SBV Import'!A:G,"SBV",{"RSC ID","Tier";B2489,A2489}))</f>
        <v/>
      </c>
      <c r="AY2489" s="82" t="str">
        <f t="shared" si="2"/>
        <v/>
      </c>
      <c r="AZ2489" s="82"/>
      <c r="BA2489" s="84" t="s">
        <v>152</v>
      </c>
      <c r="BB2489" s="84" t="str">
        <f>IFERROR(__xludf.DUMMYFUNCTION("iferror(if(A2489="""",,E2489&gt;=FILTER(Constants!$F$2:$F$10,Constants!$A$2:$A$10=A2489)))"),"")</f>
        <v/>
      </c>
    </row>
    <row r="2490">
      <c r="A2490" s="89"/>
      <c r="B2490" s="87"/>
      <c r="C2490" s="73"/>
      <c r="D2490" s="73"/>
      <c r="E2490" s="82"/>
      <c r="F2490" s="82"/>
      <c r="G2490" s="86"/>
      <c r="H2490" s="86"/>
      <c r="I2490" s="86"/>
      <c r="J2490" s="82"/>
      <c r="K2490" s="82"/>
      <c r="L2490" s="82"/>
      <c r="M2490" s="82"/>
      <c r="N2490" s="82"/>
      <c r="O2490" s="82"/>
      <c r="P2490" s="82"/>
      <c r="Q2490" s="82"/>
      <c r="R2490" s="82"/>
      <c r="S2490" s="82"/>
      <c r="T2490" s="82"/>
      <c r="U2490" s="82"/>
      <c r="V2490" s="82"/>
      <c r="W2490" s="82"/>
      <c r="X2490" s="82"/>
      <c r="Y2490" s="82"/>
      <c r="Z2490" s="82"/>
      <c r="AA2490" s="82"/>
      <c r="AB2490" s="82"/>
      <c r="AC2490" s="82"/>
      <c r="AD2490" s="82"/>
      <c r="AE2490" s="82"/>
      <c r="AF2490" s="82"/>
      <c r="AG2490" s="82"/>
      <c r="AH2490" s="82"/>
      <c r="AI2490" s="82"/>
      <c r="AJ2490" s="82"/>
      <c r="AK2490" s="82"/>
      <c r="AL2490" s="82"/>
      <c r="AM2490" s="82"/>
      <c r="AN2490" s="82">
        <f>IFERROR(__xludf.DUMMYFUNCTION("""COMPUTED_VALUE"""),0.0)</f>
        <v>0</v>
      </c>
      <c r="AO2490" s="82">
        <f>IFERROR(__xludf.DUMMYFUNCTION("""COMPUTED_VALUE"""),0.0)</f>
        <v>0</v>
      </c>
      <c r="AP2490" s="82">
        <f>IFERROR(__xludf.DUMMYFUNCTION("""COMPUTED_VALUE"""),0.0)</f>
        <v>0</v>
      </c>
      <c r="AQ2490" s="82">
        <f>IFERROR(__xludf.DUMMYFUNCTION("""COMPUTED_VALUE"""),0.0)</f>
        <v>0</v>
      </c>
      <c r="AR2490" s="82">
        <f>IFERROR(__xludf.DUMMYFUNCTION("""COMPUTED_VALUE"""),0.0)</f>
        <v>0</v>
      </c>
      <c r="AS2490" s="82"/>
      <c r="AT2490" s="82">
        <f>IFERROR(__xludf.DUMMYFUNCTION("""COMPUTED_VALUE"""),0.0)</f>
        <v>0</v>
      </c>
      <c r="AU2490" s="82"/>
      <c r="AV2490" s="82"/>
      <c r="AW2490" s="82" t="str">
        <f t="shared" si="1"/>
        <v/>
      </c>
      <c r="AX2490" s="83" t="str">
        <f t="array" ref="AX2490">IFERROR(DGET('SBV Import'!A:G,"SBV",{"RSC ID","Tier";B2490,A2490}))</f>
        <v/>
      </c>
      <c r="AY2490" s="82" t="str">
        <f t="shared" si="2"/>
        <v/>
      </c>
      <c r="AZ2490" s="82"/>
      <c r="BA2490" s="84" t="s">
        <v>152</v>
      </c>
      <c r="BB2490" s="84" t="str">
        <f>IFERROR(__xludf.DUMMYFUNCTION("iferror(if(A2490="""",,E2490&gt;=FILTER(Constants!$F$2:$F$10,Constants!$A$2:$A$10=A2490)))"),"")</f>
        <v/>
      </c>
    </row>
    <row r="2491">
      <c r="A2491" s="89"/>
      <c r="B2491" s="87"/>
      <c r="C2491" s="73"/>
      <c r="D2491" s="73"/>
      <c r="E2491" s="82"/>
      <c r="F2491" s="82"/>
      <c r="G2491" s="86"/>
      <c r="H2491" s="86"/>
      <c r="I2491" s="86"/>
      <c r="J2491" s="82"/>
      <c r="K2491" s="82"/>
      <c r="L2491" s="82"/>
      <c r="M2491" s="82"/>
      <c r="N2491" s="82"/>
      <c r="O2491" s="82"/>
      <c r="P2491" s="82"/>
      <c r="Q2491" s="82"/>
      <c r="R2491" s="82"/>
      <c r="S2491" s="82"/>
      <c r="T2491" s="82"/>
      <c r="U2491" s="82"/>
      <c r="V2491" s="82"/>
      <c r="W2491" s="82"/>
      <c r="X2491" s="82"/>
      <c r="Y2491" s="82"/>
      <c r="Z2491" s="82"/>
      <c r="AA2491" s="82"/>
      <c r="AB2491" s="82"/>
      <c r="AC2491" s="82"/>
      <c r="AD2491" s="82"/>
      <c r="AE2491" s="82"/>
      <c r="AF2491" s="82"/>
      <c r="AG2491" s="82"/>
      <c r="AH2491" s="82"/>
      <c r="AI2491" s="82"/>
      <c r="AJ2491" s="82"/>
      <c r="AK2491" s="82"/>
      <c r="AL2491" s="82"/>
      <c r="AM2491" s="82"/>
      <c r="AN2491" s="82">
        <f>IFERROR(__xludf.DUMMYFUNCTION("""COMPUTED_VALUE"""),0.0)</f>
        <v>0</v>
      </c>
      <c r="AO2491" s="82">
        <f>IFERROR(__xludf.DUMMYFUNCTION("""COMPUTED_VALUE"""),0.0)</f>
        <v>0</v>
      </c>
      <c r="AP2491" s="82">
        <f>IFERROR(__xludf.DUMMYFUNCTION("""COMPUTED_VALUE"""),0.0)</f>
        <v>0</v>
      </c>
      <c r="AQ2491" s="82">
        <f>IFERROR(__xludf.DUMMYFUNCTION("""COMPUTED_VALUE"""),0.0)</f>
        <v>0</v>
      </c>
      <c r="AR2491" s="82">
        <f>IFERROR(__xludf.DUMMYFUNCTION("""COMPUTED_VALUE"""),0.0)</f>
        <v>0</v>
      </c>
      <c r="AS2491" s="82"/>
      <c r="AT2491" s="82">
        <f>IFERROR(__xludf.DUMMYFUNCTION("""COMPUTED_VALUE"""),0.0)</f>
        <v>0</v>
      </c>
      <c r="AU2491" s="82"/>
      <c r="AV2491" s="82"/>
      <c r="AW2491" s="82" t="str">
        <f t="shared" si="1"/>
        <v/>
      </c>
      <c r="AX2491" s="83" t="str">
        <f t="array" ref="AX2491">IFERROR(DGET('SBV Import'!A:G,"SBV",{"RSC ID","Tier";B2491,A2491}))</f>
        <v/>
      </c>
      <c r="AY2491" s="82" t="str">
        <f t="shared" si="2"/>
        <v/>
      </c>
      <c r="AZ2491" s="82"/>
      <c r="BA2491" s="84" t="s">
        <v>152</v>
      </c>
      <c r="BB2491" s="84" t="str">
        <f>IFERROR(__xludf.DUMMYFUNCTION("iferror(if(A2491="""",,E2491&gt;=FILTER(Constants!$F$2:$F$10,Constants!$A$2:$A$10=A2491)))"),"")</f>
        <v/>
      </c>
    </row>
    <row r="2492">
      <c r="A2492" s="89"/>
      <c r="B2492" s="87"/>
      <c r="C2492" s="73"/>
      <c r="D2492" s="73"/>
      <c r="E2492" s="82"/>
      <c r="F2492" s="82"/>
      <c r="G2492" s="86"/>
      <c r="H2492" s="86"/>
      <c r="I2492" s="86"/>
      <c r="J2492" s="82"/>
      <c r="K2492" s="82"/>
      <c r="L2492" s="82"/>
      <c r="M2492" s="82"/>
      <c r="N2492" s="82"/>
      <c r="O2492" s="82"/>
      <c r="P2492" s="82"/>
      <c r="Q2492" s="82"/>
      <c r="R2492" s="82"/>
      <c r="S2492" s="82"/>
      <c r="T2492" s="82"/>
      <c r="U2492" s="82"/>
      <c r="V2492" s="82"/>
      <c r="W2492" s="82"/>
      <c r="X2492" s="82"/>
      <c r="Y2492" s="82"/>
      <c r="Z2492" s="82"/>
      <c r="AA2492" s="82"/>
      <c r="AB2492" s="82"/>
      <c r="AC2492" s="82"/>
      <c r="AD2492" s="82"/>
      <c r="AE2492" s="82"/>
      <c r="AF2492" s="82"/>
      <c r="AG2492" s="82"/>
      <c r="AH2492" s="82"/>
      <c r="AI2492" s="82"/>
      <c r="AJ2492" s="82"/>
      <c r="AK2492" s="82"/>
      <c r="AL2492" s="82"/>
      <c r="AM2492" s="82"/>
      <c r="AN2492" s="82">
        <f>IFERROR(__xludf.DUMMYFUNCTION("""COMPUTED_VALUE"""),0.0)</f>
        <v>0</v>
      </c>
      <c r="AO2492" s="82">
        <f>IFERROR(__xludf.DUMMYFUNCTION("""COMPUTED_VALUE"""),0.0)</f>
        <v>0</v>
      </c>
      <c r="AP2492" s="82">
        <f>IFERROR(__xludf.DUMMYFUNCTION("""COMPUTED_VALUE"""),0.0)</f>
        <v>0</v>
      </c>
      <c r="AQ2492" s="82">
        <f>IFERROR(__xludf.DUMMYFUNCTION("""COMPUTED_VALUE"""),0.0)</f>
        <v>0</v>
      </c>
      <c r="AR2492" s="82">
        <f>IFERROR(__xludf.DUMMYFUNCTION("""COMPUTED_VALUE"""),0.0)</f>
        <v>0</v>
      </c>
      <c r="AS2492" s="82"/>
      <c r="AT2492" s="82">
        <f>IFERROR(__xludf.DUMMYFUNCTION("""COMPUTED_VALUE"""),0.0)</f>
        <v>0</v>
      </c>
      <c r="AU2492" s="82"/>
      <c r="AV2492" s="82"/>
      <c r="AW2492" s="82" t="str">
        <f t="shared" si="1"/>
        <v/>
      </c>
      <c r="AX2492" s="83" t="str">
        <f t="array" ref="AX2492">IFERROR(DGET('SBV Import'!A:G,"SBV",{"RSC ID","Tier";B2492,A2492}))</f>
        <v/>
      </c>
      <c r="AY2492" s="82" t="str">
        <f t="shared" si="2"/>
        <v/>
      </c>
      <c r="AZ2492" s="82"/>
      <c r="BA2492" s="84" t="s">
        <v>152</v>
      </c>
      <c r="BB2492" s="84" t="str">
        <f>IFERROR(__xludf.DUMMYFUNCTION("iferror(if(A2492="""",,E2492&gt;=FILTER(Constants!$F$2:$F$10,Constants!$A$2:$A$10=A2492)))"),"")</f>
        <v/>
      </c>
    </row>
    <row r="2493">
      <c r="A2493" s="89"/>
      <c r="B2493" s="87"/>
      <c r="C2493" s="73"/>
      <c r="D2493" s="73"/>
      <c r="E2493" s="82"/>
      <c r="F2493" s="82"/>
      <c r="G2493" s="86"/>
      <c r="H2493" s="86"/>
      <c r="I2493" s="86"/>
      <c r="J2493" s="82"/>
      <c r="K2493" s="82"/>
      <c r="L2493" s="82"/>
      <c r="M2493" s="82"/>
      <c r="N2493" s="82"/>
      <c r="O2493" s="82"/>
      <c r="P2493" s="82"/>
      <c r="Q2493" s="82"/>
      <c r="R2493" s="82"/>
      <c r="S2493" s="82"/>
      <c r="T2493" s="82"/>
      <c r="U2493" s="82"/>
      <c r="V2493" s="82"/>
      <c r="W2493" s="82"/>
      <c r="X2493" s="82"/>
      <c r="Y2493" s="82"/>
      <c r="Z2493" s="82"/>
      <c r="AA2493" s="82"/>
      <c r="AB2493" s="82"/>
      <c r="AC2493" s="82"/>
      <c r="AD2493" s="82"/>
      <c r="AE2493" s="82"/>
      <c r="AF2493" s="82"/>
      <c r="AG2493" s="82"/>
      <c r="AH2493" s="82"/>
      <c r="AI2493" s="82"/>
      <c r="AJ2493" s="82"/>
      <c r="AK2493" s="82"/>
      <c r="AL2493" s="82"/>
      <c r="AM2493" s="82"/>
      <c r="AN2493" s="82">
        <f>IFERROR(__xludf.DUMMYFUNCTION("""COMPUTED_VALUE"""),0.0)</f>
        <v>0</v>
      </c>
      <c r="AO2493" s="82">
        <f>IFERROR(__xludf.DUMMYFUNCTION("""COMPUTED_VALUE"""),0.0)</f>
        <v>0</v>
      </c>
      <c r="AP2493" s="82">
        <f>IFERROR(__xludf.DUMMYFUNCTION("""COMPUTED_VALUE"""),0.0)</f>
        <v>0</v>
      </c>
      <c r="AQ2493" s="82">
        <f>IFERROR(__xludf.DUMMYFUNCTION("""COMPUTED_VALUE"""),0.0)</f>
        <v>0</v>
      </c>
      <c r="AR2493" s="82">
        <f>IFERROR(__xludf.DUMMYFUNCTION("""COMPUTED_VALUE"""),0.0)</f>
        <v>0</v>
      </c>
      <c r="AS2493" s="82"/>
      <c r="AT2493" s="82">
        <f>IFERROR(__xludf.DUMMYFUNCTION("""COMPUTED_VALUE"""),0.0)</f>
        <v>0</v>
      </c>
      <c r="AU2493" s="82"/>
      <c r="AV2493" s="82"/>
      <c r="AW2493" s="82" t="str">
        <f t="shared" si="1"/>
        <v/>
      </c>
      <c r="AX2493" s="83" t="str">
        <f t="array" ref="AX2493">IFERROR(DGET('SBV Import'!A:G,"SBV",{"RSC ID","Tier";B2493,A2493}))</f>
        <v/>
      </c>
      <c r="AY2493" s="82" t="str">
        <f t="shared" si="2"/>
        <v/>
      </c>
      <c r="AZ2493" s="82"/>
      <c r="BA2493" s="84" t="s">
        <v>152</v>
      </c>
      <c r="BB2493" s="84" t="str">
        <f>IFERROR(__xludf.DUMMYFUNCTION("iferror(if(A2493="""",,E2493&gt;=FILTER(Constants!$F$2:$F$10,Constants!$A$2:$A$10=A2493)))"),"")</f>
        <v/>
      </c>
    </row>
    <row r="2494">
      <c r="A2494" s="89"/>
      <c r="B2494" s="87"/>
      <c r="C2494" s="73"/>
      <c r="D2494" s="73"/>
      <c r="E2494" s="82"/>
      <c r="F2494" s="82"/>
      <c r="G2494" s="86"/>
      <c r="H2494" s="86"/>
      <c r="I2494" s="86"/>
      <c r="J2494" s="82"/>
      <c r="K2494" s="82"/>
      <c r="L2494" s="82"/>
      <c r="M2494" s="82"/>
      <c r="N2494" s="82"/>
      <c r="O2494" s="82"/>
      <c r="P2494" s="82"/>
      <c r="Q2494" s="82"/>
      <c r="R2494" s="82"/>
      <c r="S2494" s="82"/>
      <c r="T2494" s="82"/>
      <c r="U2494" s="82"/>
      <c r="V2494" s="82"/>
      <c r="W2494" s="82"/>
      <c r="X2494" s="82"/>
      <c r="Y2494" s="82"/>
      <c r="Z2494" s="82"/>
      <c r="AA2494" s="82"/>
      <c r="AB2494" s="82"/>
      <c r="AC2494" s="82"/>
      <c r="AD2494" s="82"/>
      <c r="AE2494" s="82"/>
      <c r="AF2494" s="82"/>
      <c r="AG2494" s="82"/>
      <c r="AH2494" s="82"/>
      <c r="AI2494" s="82"/>
      <c r="AJ2494" s="82"/>
      <c r="AK2494" s="82"/>
      <c r="AL2494" s="82"/>
      <c r="AM2494" s="82"/>
      <c r="AN2494" s="82">
        <f>IFERROR(__xludf.DUMMYFUNCTION("""COMPUTED_VALUE"""),0.0)</f>
        <v>0</v>
      </c>
      <c r="AO2494" s="82">
        <f>IFERROR(__xludf.DUMMYFUNCTION("""COMPUTED_VALUE"""),0.0)</f>
        <v>0</v>
      </c>
      <c r="AP2494" s="82">
        <f>IFERROR(__xludf.DUMMYFUNCTION("""COMPUTED_VALUE"""),0.0)</f>
        <v>0</v>
      </c>
      <c r="AQ2494" s="82">
        <f>IFERROR(__xludf.DUMMYFUNCTION("""COMPUTED_VALUE"""),0.0)</f>
        <v>0</v>
      </c>
      <c r="AR2494" s="82">
        <f>IFERROR(__xludf.DUMMYFUNCTION("""COMPUTED_VALUE"""),0.0)</f>
        <v>0</v>
      </c>
      <c r="AS2494" s="82"/>
      <c r="AT2494" s="82">
        <f>IFERROR(__xludf.DUMMYFUNCTION("""COMPUTED_VALUE"""),0.0)</f>
        <v>0</v>
      </c>
      <c r="AU2494" s="82"/>
      <c r="AV2494" s="82"/>
      <c r="AW2494" s="82" t="str">
        <f t="shared" si="1"/>
        <v/>
      </c>
      <c r="AX2494" s="83" t="str">
        <f t="array" ref="AX2494">IFERROR(DGET('SBV Import'!A:G,"SBV",{"RSC ID","Tier";B2494,A2494}))</f>
        <v/>
      </c>
      <c r="AY2494" s="82" t="str">
        <f t="shared" si="2"/>
        <v/>
      </c>
      <c r="AZ2494" s="82"/>
      <c r="BA2494" s="84" t="s">
        <v>152</v>
      </c>
      <c r="BB2494" s="84" t="str">
        <f>IFERROR(__xludf.DUMMYFUNCTION("iferror(if(A2494="""",,E2494&gt;=FILTER(Constants!$F$2:$F$10,Constants!$A$2:$A$10=A2494)))"),"")</f>
        <v/>
      </c>
    </row>
    <row r="2495">
      <c r="A2495" s="89"/>
      <c r="B2495" s="87"/>
      <c r="C2495" s="73"/>
      <c r="D2495" s="73"/>
      <c r="E2495" s="82"/>
      <c r="F2495" s="82"/>
      <c r="G2495" s="86"/>
      <c r="H2495" s="86"/>
      <c r="I2495" s="86"/>
      <c r="J2495" s="82"/>
      <c r="K2495" s="82"/>
      <c r="L2495" s="82"/>
      <c r="M2495" s="82"/>
      <c r="N2495" s="82"/>
      <c r="O2495" s="82"/>
      <c r="P2495" s="82"/>
      <c r="Q2495" s="82"/>
      <c r="R2495" s="82"/>
      <c r="S2495" s="82"/>
      <c r="T2495" s="82"/>
      <c r="U2495" s="82"/>
      <c r="V2495" s="82"/>
      <c r="W2495" s="82"/>
      <c r="X2495" s="82"/>
      <c r="Y2495" s="82"/>
      <c r="Z2495" s="82"/>
      <c r="AA2495" s="82"/>
      <c r="AB2495" s="82"/>
      <c r="AC2495" s="82"/>
      <c r="AD2495" s="82"/>
      <c r="AE2495" s="82"/>
      <c r="AF2495" s="82"/>
      <c r="AG2495" s="82"/>
      <c r="AH2495" s="82"/>
      <c r="AI2495" s="82"/>
      <c r="AJ2495" s="82"/>
      <c r="AK2495" s="82"/>
      <c r="AL2495" s="82"/>
      <c r="AM2495" s="82"/>
      <c r="AN2495" s="82">
        <f>IFERROR(__xludf.DUMMYFUNCTION("""COMPUTED_VALUE"""),0.0)</f>
        <v>0</v>
      </c>
      <c r="AO2495" s="82">
        <f>IFERROR(__xludf.DUMMYFUNCTION("""COMPUTED_VALUE"""),0.0)</f>
        <v>0</v>
      </c>
      <c r="AP2495" s="82">
        <f>IFERROR(__xludf.DUMMYFUNCTION("""COMPUTED_VALUE"""),0.0)</f>
        <v>0</v>
      </c>
      <c r="AQ2495" s="82">
        <f>IFERROR(__xludf.DUMMYFUNCTION("""COMPUTED_VALUE"""),0.0)</f>
        <v>0</v>
      </c>
      <c r="AR2495" s="82">
        <f>IFERROR(__xludf.DUMMYFUNCTION("""COMPUTED_VALUE"""),0.0)</f>
        <v>0</v>
      </c>
      <c r="AS2495" s="82"/>
      <c r="AT2495" s="82">
        <f>IFERROR(__xludf.DUMMYFUNCTION("""COMPUTED_VALUE"""),0.0)</f>
        <v>0</v>
      </c>
      <c r="AU2495" s="82"/>
      <c r="AV2495" s="82"/>
      <c r="AW2495" s="82" t="str">
        <f t="shared" si="1"/>
        <v/>
      </c>
      <c r="AX2495" s="83" t="str">
        <f t="array" ref="AX2495">IFERROR(DGET('SBV Import'!A:G,"SBV",{"RSC ID","Tier";B2495,A2495}))</f>
        <v/>
      </c>
      <c r="AY2495" s="82" t="str">
        <f t="shared" si="2"/>
        <v/>
      </c>
      <c r="AZ2495" s="82"/>
      <c r="BA2495" s="84" t="s">
        <v>152</v>
      </c>
      <c r="BB2495" s="84" t="str">
        <f>IFERROR(__xludf.DUMMYFUNCTION("iferror(if(A2495="""",,E2495&gt;=FILTER(Constants!$F$2:$F$10,Constants!$A$2:$A$10=A2495)))"),"")</f>
        <v/>
      </c>
    </row>
    <row r="2496">
      <c r="A2496" s="89"/>
      <c r="B2496" s="87"/>
      <c r="C2496" s="73"/>
      <c r="D2496" s="73"/>
      <c r="E2496" s="82"/>
      <c r="F2496" s="82"/>
      <c r="G2496" s="86"/>
      <c r="H2496" s="86"/>
      <c r="I2496" s="86"/>
      <c r="J2496" s="82"/>
      <c r="K2496" s="82"/>
      <c r="L2496" s="82"/>
      <c r="M2496" s="82"/>
      <c r="N2496" s="82"/>
      <c r="O2496" s="82"/>
      <c r="P2496" s="82"/>
      <c r="Q2496" s="82"/>
      <c r="R2496" s="82"/>
      <c r="S2496" s="82"/>
      <c r="T2496" s="82"/>
      <c r="U2496" s="82"/>
      <c r="V2496" s="82"/>
      <c r="W2496" s="82"/>
      <c r="X2496" s="82"/>
      <c r="Y2496" s="82"/>
      <c r="Z2496" s="82"/>
      <c r="AA2496" s="82"/>
      <c r="AB2496" s="82"/>
      <c r="AC2496" s="82"/>
      <c r="AD2496" s="82"/>
      <c r="AE2496" s="82"/>
      <c r="AF2496" s="82"/>
      <c r="AG2496" s="82"/>
      <c r="AH2496" s="82"/>
      <c r="AI2496" s="82"/>
      <c r="AJ2496" s="82"/>
      <c r="AK2496" s="82"/>
      <c r="AL2496" s="82"/>
      <c r="AM2496" s="82"/>
      <c r="AN2496" s="82">
        <f>IFERROR(__xludf.DUMMYFUNCTION("""COMPUTED_VALUE"""),0.0)</f>
        <v>0</v>
      </c>
      <c r="AO2496" s="82">
        <f>IFERROR(__xludf.DUMMYFUNCTION("""COMPUTED_VALUE"""),0.0)</f>
        <v>0</v>
      </c>
      <c r="AP2496" s="82">
        <f>IFERROR(__xludf.DUMMYFUNCTION("""COMPUTED_VALUE"""),0.0)</f>
        <v>0</v>
      </c>
      <c r="AQ2496" s="82">
        <f>IFERROR(__xludf.DUMMYFUNCTION("""COMPUTED_VALUE"""),0.0)</f>
        <v>0</v>
      </c>
      <c r="AR2496" s="82">
        <f>IFERROR(__xludf.DUMMYFUNCTION("""COMPUTED_VALUE"""),0.0)</f>
        <v>0</v>
      </c>
      <c r="AS2496" s="82"/>
      <c r="AT2496" s="82">
        <f>IFERROR(__xludf.DUMMYFUNCTION("""COMPUTED_VALUE"""),0.0)</f>
        <v>0</v>
      </c>
      <c r="AU2496" s="82"/>
      <c r="AV2496" s="82"/>
      <c r="AW2496" s="82" t="str">
        <f t="shared" si="1"/>
        <v/>
      </c>
      <c r="AX2496" s="83" t="str">
        <f t="array" ref="AX2496">IFERROR(DGET('SBV Import'!A:G,"SBV",{"RSC ID","Tier";B2496,A2496}))</f>
        <v/>
      </c>
      <c r="AY2496" s="82" t="str">
        <f t="shared" si="2"/>
        <v/>
      </c>
      <c r="AZ2496" s="82"/>
      <c r="BA2496" s="84" t="s">
        <v>152</v>
      </c>
      <c r="BB2496" s="84" t="str">
        <f>IFERROR(__xludf.DUMMYFUNCTION("iferror(if(A2496="""",,E2496&gt;=FILTER(Constants!$F$2:$F$10,Constants!$A$2:$A$10=A2496)))"),"")</f>
        <v/>
      </c>
    </row>
    <row r="2497">
      <c r="A2497" s="89"/>
      <c r="B2497" s="87"/>
      <c r="C2497" s="73"/>
      <c r="D2497" s="73"/>
      <c r="E2497" s="82"/>
      <c r="F2497" s="82"/>
      <c r="G2497" s="86"/>
      <c r="H2497" s="86"/>
      <c r="I2497" s="86"/>
      <c r="J2497" s="82"/>
      <c r="K2497" s="82"/>
      <c r="L2497" s="82"/>
      <c r="M2497" s="82"/>
      <c r="N2497" s="82"/>
      <c r="O2497" s="82"/>
      <c r="P2497" s="82"/>
      <c r="Q2497" s="82"/>
      <c r="R2497" s="82"/>
      <c r="S2497" s="82"/>
      <c r="T2497" s="82"/>
      <c r="U2497" s="82"/>
      <c r="V2497" s="82"/>
      <c r="W2497" s="82"/>
      <c r="X2497" s="82"/>
      <c r="Y2497" s="82"/>
      <c r="Z2497" s="82"/>
      <c r="AA2497" s="82"/>
      <c r="AB2497" s="82"/>
      <c r="AC2497" s="82"/>
      <c r="AD2497" s="82"/>
      <c r="AE2497" s="82"/>
      <c r="AF2497" s="82"/>
      <c r="AG2497" s="82"/>
      <c r="AH2497" s="82"/>
      <c r="AI2497" s="82"/>
      <c r="AJ2497" s="82"/>
      <c r="AK2497" s="82"/>
      <c r="AL2497" s="82"/>
      <c r="AM2497" s="82"/>
      <c r="AN2497" s="82">
        <f>IFERROR(__xludf.DUMMYFUNCTION("""COMPUTED_VALUE"""),0.0)</f>
        <v>0</v>
      </c>
      <c r="AO2497" s="82">
        <f>IFERROR(__xludf.DUMMYFUNCTION("""COMPUTED_VALUE"""),0.0)</f>
        <v>0</v>
      </c>
      <c r="AP2497" s="82">
        <f>IFERROR(__xludf.DUMMYFUNCTION("""COMPUTED_VALUE"""),0.0)</f>
        <v>0</v>
      </c>
      <c r="AQ2497" s="82">
        <f>IFERROR(__xludf.DUMMYFUNCTION("""COMPUTED_VALUE"""),0.0)</f>
        <v>0</v>
      </c>
      <c r="AR2497" s="82">
        <f>IFERROR(__xludf.DUMMYFUNCTION("""COMPUTED_VALUE"""),0.0)</f>
        <v>0</v>
      </c>
      <c r="AS2497" s="82"/>
      <c r="AT2497" s="82">
        <f>IFERROR(__xludf.DUMMYFUNCTION("""COMPUTED_VALUE"""),0.0)</f>
        <v>0</v>
      </c>
      <c r="AU2497" s="82"/>
      <c r="AV2497" s="82"/>
      <c r="AW2497" s="82" t="str">
        <f t="shared" si="1"/>
        <v/>
      </c>
      <c r="AX2497" s="83" t="str">
        <f t="array" ref="AX2497">IFERROR(DGET('SBV Import'!A:G,"SBV",{"RSC ID","Tier";B2497,A2497}))</f>
        <v/>
      </c>
      <c r="AY2497" s="82" t="str">
        <f t="shared" si="2"/>
        <v/>
      </c>
      <c r="AZ2497" s="82"/>
      <c r="BA2497" s="84" t="s">
        <v>152</v>
      </c>
      <c r="BB2497" s="84" t="str">
        <f>IFERROR(__xludf.DUMMYFUNCTION("iferror(if(A2497="""",,E2497&gt;=FILTER(Constants!$F$2:$F$10,Constants!$A$2:$A$10=A2497)))"),"")</f>
        <v/>
      </c>
    </row>
    <row r="2498">
      <c r="A2498" s="89"/>
      <c r="B2498" s="87"/>
      <c r="C2498" s="73"/>
      <c r="D2498" s="73"/>
      <c r="E2498" s="82"/>
      <c r="F2498" s="82"/>
      <c r="G2498" s="86"/>
      <c r="H2498" s="86"/>
      <c r="I2498" s="86"/>
      <c r="J2498" s="82"/>
      <c r="K2498" s="82"/>
      <c r="L2498" s="82"/>
      <c r="M2498" s="82"/>
      <c r="N2498" s="82"/>
      <c r="O2498" s="82"/>
      <c r="P2498" s="82"/>
      <c r="Q2498" s="82"/>
      <c r="R2498" s="82"/>
      <c r="S2498" s="82"/>
      <c r="T2498" s="82"/>
      <c r="U2498" s="82"/>
      <c r="V2498" s="82"/>
      <c r="W2498" s="82"/>
      <c r="X2498" s="82"/>
      <c r="Y2498" s="82"/>
      <c r="Z2498" s="82"/>
      <c r="AA2498" s="82"/>
      <c r="AB2498" s="82"/>
      <c r="AC2498" s="82"/>
      <c r="AD2498" s="82"/>
      <c r="AE2498" s="82"/>
      <c r="AF2498" s="82"/>
      <c r="AG2498" s="82"/>
      <c r="AH2498" s="82"/>
      <c r="AI2498" s="82"/>
      <c r="AJ2498" s="82"/>
      <c r="AK2498" s="82"/>
      <c r="AL2498" s="82"/>
      <c r="AM2498" s="82"/>
      <c r="AN2498" s="82">
        <f>IFERROR(__xludf.DUMMYFUNCTION("""COMPUTED_VALUE"""),0.0)</f>
        <v>0</v>
      </c>
      <c r="AO2498" s="82">
        <f>IFERROR(__xludf.DUMMYFUNCTION("""COMPUTED_VALUE"""),0.0)</f>
        <v>0</v>
      </c>
      <c r="AP2498" s="82">
        <f>IFERROR(__xludf.DUMMYFUNCTION("""COMPUTED_VALUE"""),0.0)</f>
        <v>0</v>
      </c>
      <c r="AQ2498" s="82">
        <f>IFERROR(__xludf.DUMMYFUNCTION("""COMPUTED_VALUE"""),0.0)</f>
        <v>0</v>
      </c>
      <c r="AR2498" s="82">
        <f>IFERROR(__xludf.DUMMYFUNCTION("""COMPUTED_VALUE"""),0.0)</f>
        <v>0</v>
      </c>
      <c r="AS2498" s="82"/>
      <c r="AT2498" s="82">
        <f>IFERROR(__xludf.DUMMYFUNCTION("""COMPUTED_VALUE"""),0.0)</f>
        <v>0</v>
      </c>
      <c r="AU2498" s="82"/>
      <c r="AV2498" s="82"/>
      <c r="AW2498" s="82" t="str">
        <f t="shared" si="1"/>
        <v/>
      </c>
      <c r="AX2498" s="83" t="str">
        <f t="array" ref="AX2498">IFERROR(DGET('SBV Import'!A:G,"SBV",{"RSC ID","Tier";B2498,A2498}))</f>
        <v/>
      </c>
      <c r="AY2498" s="82" t="str">
        <f t="shared" si="2"/>
        <v/>
      </c>
      <c r="AZ2498" s="82"/>
      <c r="BA2498" s="84" t="s">
        <v>152</v>
      </c>
      <c r="BB2498" s="84" t="str">
        <f>IFERROR(__xludf.DUMMYFUNCTION("iferror(if(A2498="""",,E2498&gt;=FILTER(Constants!$F$2:$F$10,Constants!$A$2:$A$10=A2498)))"),"")</f>
        <v/>
      </c>
    </row>
    <row r="2499">
      <c r="A2499" s="89"/>
      <c r="B2499" s="87"/>
      <c r="C2499" s="73"/>
      <c r="D2499" s="73"/>
      <c r="E2499" s="82"/>
      <c r="F2499" s="82"/>
      <c r="G2499" s="86"/>
      <c r="H2499" s="86"/>
      <c r="I2499" s="86"/>
      <c r="J2499" s="82"/>
      <c r="K2499" s="82"/>
      <c r="L2499" s="82"/>
      <c r="M2499" s="82"/>
      <c r="N2499" s="82"/>
      <c r="O2499" s="82"/>
      <c r="P2499" s="82"/>
      <c r="Q2499" s="82"/>
      <c r="R2499" s="82"/>
      <c r="S2499" s="82"/>
      <c r="T2499" s="82"/>
      <c r="U2499" s="82"/>
      <c r="V2499" s="82"/>
      <c r="W2499" s="82"/>
      <c r="X2499" s="82"/>
      <c r="Y2499" s="82"/>
      <c r="Z2499" s="82"/>
      <c r="AA2499" s="82"/>
      <c r="AB2499" s="82"/>
      <c r="AC2499" s="82"/>
      <c r="AD2499" s="82"/>
      <c r="AE2499" s="82"/>
      <c r="AF2499" s="82"/>
      <c r="AG2499" s="82"/>
      <c r="AH2499" s="82"/>
      <c r="AI2499" s="82"/>
      <c r="AJ2499" s="82"/>
      <c r="AK2499" s="82"/>
      <c r="AL2499" s="82"/>
      <c r="AM2499" s="82"/>
      <c r="AN2499" s="82">
        <f>IFERROR(__xludf.DUMMYFUNCTION("""COMPUTED_VALUE"""),0.0)</f>
        <v>0</v>
      </c>
      <c r="AO2499" s="82">
        <f>IFERROR(__xludf.DUMMYFUNCTION("""COMPUTED_VALUE"""),0.0)</f>
        <v>0</v>
      </c>
      <c r="AP2499" s="82">
        <f>IFERROR(__xludf.DUMMYFUNCTION("""COMPUTED_VALUE"""),0.0)</f>
        <v>0</v>
      </c>
      <c r="AQ2499" s="82">
        <f>IFERROR(__xludf.DUMMYFUNCTION("""COMPUTED_VALUE"""),0.0)</f>
        <v>0</v>
      </c>
      <c r="AR2499" s="82">
        <f>IFERROR(__xludf.DUMMYFUNCTION("""COMPUTED_VALUE"""),0.0)</f>
        <v>0</v>
      </c>
      <c r="AS2499" s="82"/>
      <c r="AT2499" s="82">
        <f>IFERROR(__xludf.DUMMYFUNCTION("""COMPUTED_VALUE"""),0.0)</f>
        <v>0</v>
      </c>
      <c r="AU2499" s="82"/>
      <c r="AV2499" s="82"/>
      <c r="AW2499" s="82" t="str">
        <f t="shared" si="1"/>
        <v/>
      </c>
      <c r="AX2499" s="83" t="str">
        <f t="array" ref="AX2499">IFERROR(DGET('SBV Import'!A:G,"SBV",{"RSC ID","Tier";B2499,A2499}))</f>
        <v/>
      </c>
      <c r="AY2499" s="82" t="str">
        <f t="shared" si="2"/>
        <v/>
      </c>
      <c r="AZ2499" s="82"/>
      <c r="BA2499" s="84" t="s">
        <v>152</v>
      </c>
      <c r="BB2499" s="84" t="str">
        <f>IFERROR(__xludf.DUMMYFUNCTION("iferror(if(A2499="""",,E2499&gt;=FILTER(Constants!$F$2:$F$10,Constants!$A$2:$A$10=A2499)))"),"")</f>
        <v/>
      </c>
    </row>
    <row r="2500">
      <c r="A2500" s="89"/>
      <c r="B2500" s="87"/>
      <c r="C2500" s="73"/>
      <c r="D2500" s="73"/>
      <c r="E2500" s="82"/>
      <c r="F2500" s="82"/>
      <c r="G2500" s="86"/>
      <c r="H2500" s="86"/>
      <c r="I2500" s="86"/>
      <c r="J2500" s="82"/>
      <c r="K2500" s="82"/>
      <c r="L2500" s="82"/>
      <c r="M2500" s="82"/>
      <c r="N2500" s="82"/>
      <c r="O2500" s="82"/>
      <c r="P2500" s="82"/>
      <c r="Q2500" s="82"/>
      <c r="R2500" s="82"/>
      <c r="S2500" s="82"/>
      <c r="T2500" s="82"/>
      <c r="U2500" s="82"/>
      <c r="V2500" s="82"/>
      <c r="W2500" s="82"/>
      <c r="X2500" s="82"/>
      <c r="Y2500" s="82"/>
      <c r="Z2500" s="82"/>
      <c r="AA2500" s="82"/>
      <c r="AB2500" s="82"/>
      <c r="AC2500" s="82"/>
      <c r="AD2500" s="82"/>
      <c r="AE2500" s="82"/>
      <c r="AF2500" s="82"/>
      <c r="AG2500" s="82"/>
      <c r="AH2500" s="82"/>
      <c r="AI2500" s="82"/>
      <c r="AJ2500" s="82"/>
      <c r="AK2500" s="82"/>
      <c r="AL2500" s="82"/>
      <c r="AM2500" s="82"/>
      <c r="AN2500" s="82">
        <f>IFERROR(__xludf.DUMMYFUNCTION("""COMPUTED_VALUE"""),0.0)</f>
        <v>0</v>
      </c>
      <c r="AO2500" s="82">
        <f>IFERROR(__xludf.DUMMYFUNCTION("""COMPUTED_VALUE"""),0.0)</f>
        <v>0</v>
      </c>
      <c r="AP2500" s="82">
        <f>IFERROR(__xludf.DUMMYFUNCTION("""COMPUTED_VALUE"""),0.0)</f>
        <v>0</v>
      </c>
      <c r="AQ2500" s="82">
        <f>IFERROR(__xludf.DUMMYFUNCTION("""COMPUTED_VALUE"""),0.0)</f>
        <v>0</v>
      </c>
      <c r="AR2500" s="82">
        <f>IFERROR(__xludf.DUMMYFUNCTION("""COMPUTED_VALUE"""),0.0)</f>
        <v>0</v>
      </c>
      <c r="AS2500" s="82"/>
      <c r="AT2500" s="82">
        <f>IFERROR(__xludf.DUMMYFUNCTION("""COMPUTED_VALUE"""),0.0)</f>
        <v>0</v>
      </c>
      <c r="AU2500" s="82"/>
      <c r="AV2500" s="82"/>
      <c r="AW2500" s="82" t="str">
        <f t="shared" si="1"/>
        <v/>
      </c>
      <c r="AX2500" s="83" t="str">
        <f t="array" ref="AX2500">IFERROR(DGET('SBV Import'!A:G,"SBV",{"RSC ID","Tier";B2500,A2500}))</f>
        <v/>
      </c>
      <c r="AY2500" s="82" t="str">
        <f t="shared" si="2"/>
        <v/>
      </c>
      <c r="AZ2500" s="82"/>
      <c r="BA2500" s="84" t="s">
        <v>152</v>
      </c>
      <c r="BB2500" s="84" t="str">
        <f>IFERROR(__xludf.DUMMYFUNCTION("iferror(if(A2500="""",,E2500&gt;=FILTER(Constants!$F$2:$F$10,Constants!$A$2:$A$10=A2500)))"),"")</f>
        <v/>
      </c>
    </row>
    <row r="2501">
      <c r="A2501" s="89"/>
      <c r="B2501" s="87"/>
      <c r="C2501" s="73"/>
      <c r="D2501" s="73"/>
      <c r="E2501" s="82"/>
      <c r="F2501" s="82"/>
      <c r="G2501" s="86"/>
      <c r="H2501" s="86"/>
      <c r="I2501" s="86"/>
      <c r="J2501" s="82"/>
      <c r="K2501" s="82"/>
      <c r="L2501" s="82"/>
      <c r="M2501" s="82"/>
      <c r="N2501" s="82"/>
      <c r="O2501" s="82"/>
      <c r="P2501" s="82"/>
      <c r="Q2501" s="82"/>
      <c r="R2501" s="82"/>
      <c r="S2501" s="82"/>
      <c r="T2501" s="82"/>
      <c r="U2501" s="82"/>
      <c r="V2501" s="82"/>
      <c r="W2501" s="82"/>
      <c r="X2501" s="82"/>
      <c r="Y2501" s="82"/>
      <c r="Z2501" s="82"/>
      <c r="AA2501" s="82"/>
      <c r="AB2501" s="82"/>
      <c r="AC2501" s="82"/>
      <c r="AD2501" s="82"/>
      <c r="AE2501" s="82"/>
      <c r="AF2501" s="82"/>
      <c r="AG2501" s="82"/>
      <c r="AH2501" s="82"/>
      <c r="AI2501" s="82"/>
      <c r="AJ2501" s="82"/>
      <c r="AK2501" s="82"/>
      <c r="AL2501" s="82"/>
      <c r="AM2501" s="82"/>
      <c r="AN2501" s="82">
        <f>IFERROR(__xludf.DUMMYFUNCTION("""COMPUTED_VALUE"""),0.0)</f>
        <v>0</v>
      </c>
      <c r="AO2501" s="82">
        <f>IFERROR(__xludf.DUMMYFUNCTION("""COMPUTED_VALUE"""),0.0)</f>
        <v>0</v>
      </c>
      <c r="AP2501" s="82">
        <f>IFERROR(__xludf.DUMMYFUNCTION("""COMPUTED_VALUE"""),0.0)</f>
        <v>0</v>
      </c>
      <c r="AQ2501" s="82">
        <f>IFERROR(__xludf.DUMMYFUNCTION("""COMPUTED_VALUE"""),0.0)</f>
        <v>0</v>
      </c>
      <c r="AR2501" s="82">
        <f>IFERROR(__xludf.DUMMYFUNCTION("""COMPUTED_VALUE"""),0.0)</f>
        <v>0</v>
      </c>
      <c r="AS2501" s="82"/>
      <c r="AT2501" s="82">
        <f>IFERROR(__xludf.DUMMYFUNCTION("""COMPUTED_VALUE"""),0.0)</f>
        <v>0</v>
      </c>
      <c r="AU2501" s="82"/>
      <c r="AV2501" s="82"/>
      <c r="AW2501" s="82" t="str">
        <f t="shared" si="1"/>
        <v/>
      </c>
      <c r="AX2501" s="83" t="str">
        <f t="array" ref="AX2501">IFERROR(DGET('SBV Import'!A:G,"SBV",{"RSC ID","Tier";B2501,A2501}))</f>
        <v/>
      </c>
      <c r="AY2501" s="82" t="str">
        <f t="shared" si="2"/>
        <v/>
      </c>
      <c r="AZ2501" s="82"/>
      <c r="BA2501" s="84" t="s">
        <v>152</v>
      </c>
      <c r="BB2501" s="84" t="str">
        <f>IFERROR(__xludf.DUMMYFUNCTION("iferror(if(A2501="""",,E2501&gt;=FILTER(Constants!$F$2:$F$10,Constants!$A$2:$A$10=A2501)))"),"")</f>
        <v/>
      </c>
    </row>
    <row r="2502">
      <c r="A2502" s="89"/>
      <c r="B2502" s="87"/>
      <c r="C2502" s="73"/>
      <c r="D2502" s="73"/>
      <c r="E2502" s="82"/>
      <c r="F2502" s="82"/>
      <c r="G2502" s="86"/>
      <c r="H2502" s="86"/>
      <c r="I2502" s="86"/>
      <c r="J2502" s="82"/>
      <c r="K2502" s="82"/>
      <c r="L2502" s="82"/>
      <c r="M2502" s="82"/>
      <c r="N2502" s="82"/>
      <c r="O2502" s="82"/>
      <c r="P2502" s="82"/>
      <c r="Q2502" s="82"/>
      <c r="R2502" s="82"/>
      <c r="S2502" s="82"/>
      <c r="T2502" s="82"/>
      <c r="U2502" s="82"/>
      <c r="V2502" s="82"/>
      <c r="W2502" s="82"/>
      <c r="X2502" s="82"/>
      <c r="Y2502" s="82"/>
      <c r="Z2502" s="82"/>
      <c r="AA2502" s="82"/>
      <c r="AB2502" s="82"/>
      <c r="AC2502" s="82"/>
      <c r="AD2502" s="82"/>
      <c r="AE2502" s="82"/>
      <c r="AF2502" s="82"/>
      <c r="AG2502" s="82"/>
      <c r="AH2502" s="82"/>
      <c r="AI2502" s="82"/>
      <c r="AJ2502" s="82"/>
      <c r="AK2502" s="82"/>
      <c r="AL2502" s="82"/>
      <c r="AM2502" s="82"/>
      <c r="AN2502" s="82">
        <f>IFERROR(__xludf.DUMMYFUNCTION("""COMPUTED_VALUE"""),0.0)</f>
        <v>0</v>
      </c>
      <c r="AO2502" s="82">
        <f>IFERROR(__xludf.DUMMYFUNCTION("""COMPUTED_VALUE"""),0.0)</f>
        <v>0</v>
      </c>
      <c r="AP2502" s="82">
        <f>IFERROR(__xludf.DUMMYFUNCTION("""COMPUTED_VALUE"""),0.0)</f>
        <v>0</v>
      </c>
      <c r="AQ2502" s="82">
        <f>IFERROR(__xludf.DUMMYFUNCTION("""COMPUTED_VALUE"""),0.0)</f>
        <v>0</v>
      </c>
      <c r="AR2502" s="82">
        <f>IFERROR(__xludf.DUMMYFUNCTION("""COMPUTED_VALUE"""),0.0)</f>
        <v>0</v>
      </c>
      <c r="AS2502" s="82"/>
      <c r="AT2502" s="82">
        <f>IFERROR(__xludf.DUMMYFUNCTION("""COMPUTED_VALUE"""),0.0)</f>
        <v>0</v>
      </c>
      <c r="AU2502" s="82"/>
      <c r="AV2502" s="82"/>
      <c r="AW2502" s="82" t="str">
        <f t="shared" si="1"/>
        <v/>
      </c>
      <c r="AX2502" s="83" t="str">
        <f t="array" ref="AX2502">IFERROR(DGET('SBV Import'!A:G,"SBV",{"RSC ID","Tier";B2502,A2502}))</f>
        <v/>
      </c>
      <c r="AY2502" s="82" t="str">
        <f t="shared" si="2"/>
        <v/>
      </c>
      <c r="AZ2502" s="82"/>
      <c r="BA2502" s="84" t="s">
        <v>152</v>
      </c>
      <c r="BB2502" s="84" t="str">
        <f>IFERROR(__xludf.DUMMYFUNCTION("iferror(if(A2502="""",,E2502&gt;=FILTER(Constants!$F$2:$F$10,Constants!$A$2:$A$10=A2502)))"),"")</f>
        <v/>
      </c>
    </row>
    <row r="2503">
      <c r="A2503" s="89"/>
      <c r="B2503" s="87"/>
      <c r="C2503" s="73"/>
      <c r="D2503" s="73"/>
      <c r="E2503" s="82"/>
      <c r="F2503" s="82"/>
      <c r="G2503" s="86"/>
      <c r="H2503" s="86"/>
      <c r="I2503" s="86"/>
      <c r="J2503" s="82"/>
      <c r="K2503" s="82"/>
      <c r="L2503" s="82"/>
      <c r="M2503" s="82"/>
      <c r="N2503" s="82"/>
      <c r="O2503" s="82"/>
      <c r="P2503" s="82"/>
      <c r="Q2503" s="82"/>
      <c r="R2503" s="82"/>
      <c r="S2503" s="82"/>
      <c r="T2503" s="82"/>
      <c r="U2503" s="82"/>
      <c r="V2503" s="82"/>
      <c r="W2503" s="82"/>
      <c r="X2503" s="82"/>
      <c r="Y2503" s="82"/>
      <c r="Z2503" s="82"/>
      <c r="AA2503" s="82"/>
      <c r="AB2503" s="82"/>
      <c r="AC2503" s="82"/>
      <c r="AD2503" s="82"/>
      <c r="AE2503" s="82"/>
      <c r="AF2503" s="82"/>
      <c r="AG2503" s="82"/>
      <c r="AH2503" s="82"/>
      <c r="AI2503" s="82"/>
      <c r="AJ2503" s="82"/>
      <c r="AK2503" s="82"/>
      <c r="AL2503" s="82"/>
      <c r="AM2503" s="82"/>
      <c r="AN2503" s="82">
        <f>IFERROR(__xludf.DUMMYFUNCTION("""COMPUTED_VALUE"""),0.0)</f>
        <v>0</v>
      </c>
      <c r="AO2503" s="82">
        <f>IFERROR(__xludf.DUMMYFUNCTION("""COMPUTED_VALUE"""),0.0)</f>
        <v>0</v>
      </c>
      <c r="AP2503" s="82">
        <f>IFERROR(__xludf.DUMMYFUNCTION("""COMPUTED_VALUE"""),0.0)</f>
        <v>0</v>
      </c>
      <c r="AQ2503" s="82">
        <f>IFERROR(__xludf.DUMMYFUNCTION("""COMPUTED_VALUE"""),0.0)</f>
        <v>0</v>
      </c>
      <c r="AR2503" s="82">
        <f>IFERROR(__xludf.DUMMYFUNCTION("""COMPUTED_VALUE"""),0.0)</f>
        <v>0</v>
      </c>
      <c r="AS2503" s="82"/>
      <c r="AT2503" s="82">
        <f>IFERROR(__xludf.DUMMYFUNCTION("""COMPUTED_VALUE"""),0.0)</f>
        <v>0</v>
      </c>
      <c r="AU2503" s="82"/>
      <c r="AV2503" s="82"/>
      <c r="AW2503" s="82" t="str">
        <f t="shared" si="1"/>
        <v/>
      </c>
      <c r="AX2503" s="83" t="str">
        <f t="array" ref="AX2503">IFERROR(DGET('SBV Import'!A:G,"SBV",{"RSC ID","Tier";B2503,A2503}))</f>
        <v/>
      </c>
      <c r="AY2503" s="82" t="str">
        <f t="shared" si="2"/>
        <v/>
      </c>
      <c r="AZ2503" s="82"/>
      <c r="BA2503" s="84" t="s">
        <v>152</v>
      </c>
      <c r="BB2503" s="84" t="str">
        <f>IFERROR(__xludf.DUMMYFUNCTION("iferror(if(A2503="""",,E2503&gt;=FILTER(Constants!$F$2:$F$10,Constants!$A$2:$A$10=A2503)))"),"")</f>
        <v/>
      </c>
    </row>
    <row r="2504">
      <c r="A2504" s="89"/>
      <c r="B2504" s="87"/>
      <c r="C2504" s="73"/>
      <c r="D2504" s="73"/>
      <c r="E2504" s="82"/>
      <c r="F2504" s="82"/>
      <c r="G2504" s="86"/>
      <c r="H2504" s="86"/>
      <c r="I2504" s="86"/>
      <c r="J2504" s="82"/>
      <c r="K2504" s="82"/>
      <c r="L2504" s="82"/>
      <c r="M2504" s="82"/>
      <c r="N2504" s="82"/>
      <c r="O2504" s="82"/>
      <c r="P2504" s="82"/>
      <c r="Q2504" s="82"/>
      <c r="R2504" s="82"/>
      <c r="S2504" s="82"/>
      <c r="T2504" s="82"/>
      <c r="U2504" s="82"/>
      <c r="V2504" s="82"/>
      <c r="W2504" s="82"/>
      <c r="X2504" s="82"/>
      <c r="Y2504" s="82"/>
      <c r="Z2504" s="82"/>
      <c r="AA2504" s="82"/>
      <c r="AB2504" s="82"/>
      <c r="AC2504" s="82"/>
      <c r="AD2504" s="82"/>
      <c r="AE2504" s="82"/>
      <c r="AF2504" s="82"/>
      <c r="AG2504" s="82"/>
      <c r="AH2504" s="82"/>
      <c r="AI2504" s="82"/>
      <c r="AJ2504" s="82"/>
      <c r="AK2504" s="82"/>
      <c r="AL2504" s="82"/>
      <c r="AM2504" s="82"/>
      <c r="AN2504" s="82">
        <f>IFERROR(__xludf.DUMMYFUNCTION("""COMPUTED_VALUE"""),0.0)</f>
        <v>0</v>
      </c>
      <c r="AO2504" s="82">
        <f>IFERROR(__xludf.DUMMYFUNCTION("""COMPUTED_VALUE"""),0.0)</f>
        <v>0</v>
      </c>
      <c r="AP2504" s="82">
        <f>IFERROR(__xludf.DUMMYFUNCTION("""COMPUTED_VALUE"""),0.0)</f>
        <v>0</v>
      </c>
      <c r="AQ2504" s="82">
        <f>IFERROR(__xludf.DUMMYFUNCTION("""COMPUTED_VALUE"""),0.0)</f>
        <v>0</v>
      </c>
      <c r="AR2504" s="82">
        <f>IFERROR(__xludf.DUMMYFUNCTION("""COMPUTED_VALUE"""),0.0)</f>
        <v>0</v>
      </c>
      <c r="AS2504" s="82"/>
      <c r="AT2504" s="82">
        <f>IFERROR(__xludf.DUMMYFUNCTION("""COMPUTED_VALUE"""),0.0)</f>
        <v>0</v>
      </c>
      <c r="AU2504" s="82"/>
      <c r="AV2504" s="82"/>
      <c r="AW2504" s="82" t="str">
        <f t="shared" si="1"/>
        <v/>
      </c>
      <c r="AX2504" s="83" t="str">
        <f t="array" ref="AX2504">IFERROR(DGET('SBV Import'!A:G,"SBV",{"RSC ID","Tier";B2504,A2504}))</f>
        <v/>
      </c>
      <c r="AY2504" s="82" t="str">
        <f t="shared" si="2"/>
        <v/>
      </c>
      <c r="AZ2504" s="82"/>
      <c r="BA2504" s="84" t="s">
        <v>152</v>
      </c>
      <c r="BB2504" s="84" t="str">
        <f>IFERROR(__xludf.DUMMYFUNCTION("iferror(if(A2504="""",,E2504&gt;=FILTER(Constants!$F$2:$F$10,Constants!$A$2:$A$10=A2504)))"),"")</f>
        <v/>
      </c>
    </row>
    <row r="2505">
      <c r="A2505" s="89"/>
      <c r="B2505" s="87"/>
      <c r="C2505" s="73"/>
      <c r="D2505" s="73"/>
      <c r="E2505" s="82"/>
      <c r="F2505" s="82"/>
      <c r="G2505" s="86"/>
      <c r="H2505" s="86"/>
      <c r="I2505" s="86"/>
      <c r="J2505" s="82"/>
      <c r="K2505" s="82"/>
      <c r="L2505" s="82"/>
      <c r="M2505" s="82"/>
      <c r="N2505" s="82"/>
      <c r="O2505" s="82"/>
      <c r="P2505" s="82"/>
      <c r="Q2505" s="82"/>
      <c r="R2505" s="82"/>
      <c r="S2505" s="82"/>
      <c r="T2505" s="82"/>
      <c r="U2505" s="82"/>
      <c r="V2505" s="82"/>
      <c r="W2505" s="82"/>
      <c r="X2505" s="82"/>
      <c r="Y2505" s="82"/>
      <c r="Z2505" s="82"/>
      <c r="AA2505" s="82"/>
      <c r="AB2505" s="82"/>
      <c r="AC2505" s="82"/>
      <c r="AD2505" s="82"/>
      <c r="AE2505" s="82"/>
      <c r="AF2505" s="82"/>
      <c r="AG2505" s="82"/>
      <c r="AH2505" s="82"/>
      <c r="AI2505" s="82"/>
      <c r="AJ2505" s="82"/>
      <c r="AK2505" s="82"/>
      <c r="AL2505" s="82"/>
      <c r="AM2505" s="82"/>
      <c r="AN2505" s="82">
        <f>IFERROR(__xludf.DUMMYFUNCTION("""COMPUTED_VALUE"""),0.0)</f>
        <v>0</v>
      </c>
      <c r="AO2505" s="82">
        <f>IFERROR(__xludf.DUMMYFUNCTION("""COMPUTED_VALUE"""),0.0)</f>
        <v>0</v>
      </c>
      <c r="AP2505" s="82">
        <f>IFERROR(__xludf.DUMMYFUNCTION("""COMPUTED_VALUE"""),0.0)</f>
        <v>0</v>
      </c>
      <c r="AQ2505" s="82">
        <f>IFERROR(__xludf.DUMMYFUNCTION("""COMPUTED_VALUE"""),0.0)</f>
        <v>0</v>
      </c>
      <c r="AR2505" s="82">
        <f>IFERROR(__xludf.DUMMYFUNCTION("""COMPUTED_VALUE"""),0.0)</f>
        <v>0</v>
      </c>
      <c r="AS2505" s="82"/>
      <c r="AT2505" s="82">
        <f>IFERROR(__xludf.DUMMYFUNCTION("""COMPUTED_VALUE"""),0.0)</f>
        <v>0</v>
      </c>
      <c r="AU2505" s="82"/>
      <c r="AV2505" s="82"/>
      <c r="AW2505" s="82" t="str">
        <f t="shared" si="1"/>
        <v/>
      </c>
      <c r="AX2505" s="83" t="str">
        <f t="array" ref="AX2505">IFERROR(DGET('SBV Import'!A:G,"SBV",{"RSC ID","Tier";B2505,A2505}))</f>
        <v/>
      </c>
      <c r="AY2505" s="82" t="str">
        <f t="shared" si="2"/>
        <v/>
      </c>
      <c r="AZ2505" s="82"/>
      <c r="BA2505" s="84" t="s">
        <v>152</v>
      </c>
      <c r="BB2505" s="84" t="str">
        <f>IFERROR(__xludf.DUMMYFUNCTION("iferror(if(A2505="""",,E2505&gt;=FILTER(Constants!$F$2:$F$10,Constants!$A$2:$A$10=A2505)))"),"")</f>
        <v/>
      </c>
    </row>
    <row r="2506">
      <c r="A2506" s="89"/>
      <c r="B2506" s="87"/>
      <c r="C2506" s="73"/>
      <c r="D2506" s="73"/>
      <c r="E2506" s="82"/>
      <c r="F2506" s="82"/>
      <c r="G2506" s="86"/>
      <c r="H2506" s="86"/>
      <c r="I2506" s="86"/>
      <c r="J2506" s="82"/>
      <c r="K2506" s="82"/>
      <c r="L2506" s="82"/>
      <c r="M2506" s="82"/>
      <c r="N2506" s="82"/>
      <c r="O2506" s="82"/>
      <c r="P2506" s="82"/>
      <c r="Q2506" s="82"/>
      <c r="R2506" s="82"/>
      <c r="S2506" s="82"/>
      <c r="T2506" s="82"/>
      <c r="U2506" s="82"/>
      <c r="V2506" s="82"/>
      <c r="W2506" s="82"/>
      <c r="X2506" s="82"/>
      <c r="Y2506" s="82"/>
      <c r="Z2506" s="82"/>
      <c r="AA2506" s="82"/>
      <c r="AB2506" s="82"/>
      <c r="AC2506" s="82"/>
      <c r="AD2506" s="82"/>
      <c r="AE2506" s="82"/>
      <c r="AF2506" s="82"/>
      <c r="AG2506" s="82"/>
      <c r="AH2506" s="82"/>
      <c r="AI2506" s="82"/>
      <c r="AJ2506" s="82"/>
      <c r="AK2506" s="82"/>
      <c r="AL2506" s="82"/>
      <c r="AM2506" s="82"/>
      <c r="AN2506" s="82">
        <f>IFERROR(__xludf.DUMMYFUNCTION("""COMPUTED_VALUE"""),0.0)</f>
        <v>0</v>
      </c>
      <c r="AO2506" s="82">
        <f>IFERROR(__xludf.DUMMYFUNCTION("""COMPUTED_VALUE"""),0.0)</f>
        <v>0</v>
      </c>
      <c r="AP2506" s="82">
        <f>IFERROR(__xludf.DUMMYFUNCTION("""COMPUTED_VALUE"""),0.0)</f>
        <v>0</v>
      </c>
      <c r="AQ2506" s="82">
        <f>IFERROR(__xludf.DUMMYFUNCTION("""COMPUTED_VALUE"""),0.0)</f>
        <v>0</v>
      </c>
      <c r="AR2506" s="82">
        <f>IFERROR(__xludf.DUMMYFUNCTION("""COMPUTED_VALUE"""),0.0)</f>
        <v>0</v>
      </c>
      <c r="AS2506" s="82"/>
      <c r="AT2506" s="82">
        <f>IFERROR(__xludf.DUMMYFUNCTION("""COMPUTED_VALUE"""),0.0)</f>
        <v>0</v>
      </c>
      <c r="AU2506" s="82"/>
      <c r="AV2506" s="82"/>
      <c r="AW2506" s="82" t="str">
        <f t="shared" si="1"/>
        <v/>
      </c>
      <c r="AX2506" s="83" t="str">
        <f t="array" ref="AX2506">IFERROR(DGET('SBV Import'!A:G,"SBV",{"RSC ID","Tier";B2506,A2506}))</f>
        <v/>
      </c>
      <c r="AY2506" s="82" t="str">
        <f t="shared" si="2"/>
        <v/>
      </c>
      <c r="AZ2506" s="82"/>
      <c r="BA2506" s="84" t="s">
        <v>152</v>
      </c>
      <c r="BB2506" s="84" t="str">
        <f>IFERROR(__xludf.DUMMYFUNCTION("iferror(if(A2506="""",,E2506&gt;=FILTER(Constants!$F$2:$F$10,Constants!$A$2:$A$10=A2506)))"),"")</f>
        <v/>
      </c>
    </row>
    <row r="2507">
      <c r="A2507" s="89"/>
      <c r="B2507" s="87"/>
      <c r="C2507" s="73"/>
      <c r="D2507" s="73"/>
      <c r="E2507" s="82"/>
      <c r="F2507" s="82"/>
      <c r="G2507" s="86"/>
      <c r="H2507" s="86"/>
      <c r="I2507" s="86"/>
      <c r="J2507" s="82"/>
      <c r="K2507" s="82"/>
      <c r="L2507" s="82"/>
      <c r="M2507" s="82"/>
      <c r="N2507" s="82"/>
      <c r="O2507" s="82"/>
      <c r="P2507" s="82"/>
      <c r="Q2507" s="82"/>
      <c r="R2507" s="82"/>
      <c r="S2507" s="82"/>
      <c r="T2507" s="82"/>
      <c r="U2507" s="82"/>
      <c r="V2507" s="82"/>
      <c r="W2507" s="82"/>
      <c r="X2507" s="82"/>
      <c r="Y2507" s="82"/>
      <c r="Z2507" s="82"/>
      <c r="AA2507" s="82"/>
      <c r="AB2507" s="82"/>
      <c r="AC2507" s="82"/>
      <c r="AD2507" s="82"/>
      <c r="AE2507" s="82"/>
      <c r="AF2507" s="82"/>
      <c r="AG2507" s="82"/>
      <c r="AH2507" s="82"/>
      <c r="AI2507" s="82"/>
      <c r="AJ2507" s="82"/>
      <c r="AK2507" s="82"/>
      <c r="AL2507" s="82"/>
      <c r="AM2507" s="82"/>
      <c r="AN2507" s="82">
        <f>IFERROR(__xludf.DUMMYFUNCTION("""COMPUTED_VALUE"""),0.0)</f>
        <v>0</v>
      </c>
      <c r="AO2507" s="82">
        <f>IFERROR(__xludf.DUMMYFUNCTION("""COMPUTED_VALUE"""),0.0)</f>
        <v>0</v>
      </c>
      <c r="AP2507" s="82">
        <f>IFERROR(__xludf.DUMMYFUNCTION("""COMPUTED_VALUE"""),0.0)</f>
        <v>0</v>
      </c>
      <c r="AQ2507" s="82">
        <f>IFERROR(__xludf.DUMMYFUNCTION("""COMPUTED_VALUE"""),0.0)</f>
        <v>0</v>
      </c>
      <c r="AR2507" s="82">
        <f>IFERROR(__xludf.DUMMYFUNCTION("""COMPUTED_VALUE"""),0.0)</f>
        <v>0</v>
      </c>
      <c r="AS2507" s="82"/>
      <c r="AT2507" s="82">
        <f>IFERROR(__xludf.DUMMYFUNCTION("""COMPUTED_VALUE"""),0.0)</f>
        <v>0</v>
      </c>
      <c r="AU2507" s="82"/>
      <c r="AV2507" s="82"/>
      <c r="AW2507" s="82" t="str">
        <f t="shared" si="1"/>
        <v/>
      </c>
      <c r="AX2507" s="83" t="str">
        <f t="array" ref="AX2507">IFERROR(DGET('SBV Import'!A:G,"SBV",{"RSC ID","Tier";B2507,A2507}))</f>
        <v/>
      </c>
      <c r="AY2507" s="82" t="str">
        <f t="shared" si="2"/>
        <v/>
      </c>
      <c r="AZ2507" s="82"/>
      <c r="BA2507" s="84" t="s">
        <v>152</v>
      </c>
      <c r="BB2507" s="84" t="str">
        <f>IFERROR(__xludf.DUMMYFUNCTION("iferror(if(A2507="""",,E2507&gt;=FILTER(Constants!$F$2:$F$10,Constants!$A$2:$A$10=A2507)))"),"")</f>
        <v/>
      </c>
    </row>
    <row r="2508">
      <c r="A2508" s="89"/>
      <c r="B2508" s="87"/>
      <c r="C2508" s="73"/>
      <c r="D2508" s="73"/>
      <c r="E2508" s="82"/>
      <c r="F2508" s="82"/>
      <c r="G2508" s="86"/>
      <c r="H2508" s="86"/>
      <c r="I2508" s="86"/>
      <c r="J2508" s="82"/>
      <c r="K2508" s="82"/>
      <c r="L2508" s="82"/>
      <c r="M2508" s="82"/>
      <c r="N2508" s="82"/>
      <c r="O2508" s="82"/>
      <c r="P2508" s="82"/>
      <c r="Q2508" s="82"/>
      <c r="R2508" s="82"/>
      <c r="S2508" s="82"/>
      <c r="T2508" s="82"/>
      <c r="U2508" s="82"/>
      <c r="V2508" s="82"/>
      <c r="W2508" s="82"/>
      <c r="X2508" s="82"/>
      <c r="Y2508" s="82"/>
      <c r="Z2508" s="82"/>
      <c r="AA2508" s="82"/>
      <c r="AB2508" s="82"/>
      <c r="AC2508" s="82"/>
      <c r="AD2508" s="82"/>
      <c r="AE2508" s="82"/>
      <c r="AF2508" s="82"/>
      <c r="AG2508" s="82"/>
      <c r="AH2508" s="82"/>
      <c r="AI2508" s="82"/>
      <c r="AJ2508" s="82"/>
      <c r="AK2508" s="82"/>
      <c r="AL2508" s="82"/>
      <c r="AM2508" s="82"/>
      <c r="AN2508" s="82">
        <f>IFERROR(__xludf.DUMMYFUNCTION("""COMPUTED_VALUE"""),0.0)</f>
        <v>0</v>
      </c>
      <c r="AO2508" s="82">
        <f>IFERROR(__xludf.DUMMYFUNCTION("""COMPUTED_VALUE"""),0.0)</f>
        <v>0</v>
      </c>
      <c r="AP2508" s="82">
        <f>IFERROR(__xludf.DUMMYFUNCTION("""COMPUTED_VALUE"""),0.0)</f>
        <v>0</v>
      </c>
      <c r="AQ2508" s="82">
        <f>IFERROR(__xludf.DUMMYFUNCTION("""COMPUTED_VALUE"""),0.0)</f>
        <v>0</v>
      </c>
      <c r="AR2508" s="82">
        <f>IFERROR(__xludf.DUMMYFUNCTION("""COMPUTED_VALUE"""),0.0)</f>
        <v>0</v>
      </c>
      <c r="AS2508" s="82"/>
      <c r="AT2508" s="82">
        <f>IFERROR(__xludf.DUMMYFUNCTION("""COMPUTED_VALUE"""),0.0)</f>
        <v>0</v>
      </c>
      <c r="AU2508" s="82"/>
      <c r="AV2508" s="82"/>
      <c r="AW2508" s="82" t="str">
        <f t="shared" si="1"/>
        <v/>
      </c>
      <c r="AX2508" s="83" t="str">
        <f t="array" ref="AX2508">IFERROR(DGET('SBV Import'!A:G,"SBV",{"RSC ID","Tier";B2508,A2508}))</f>
        <v/>
      </c>
      <c r="AY2508" s="82" t="str">
        <f t="shared" si="2"/>
        <v/>
      </c>
      <c r="AZ2508" s="82"/>
      <c r="BA2508" s="84" t="s">
        <v>152</v>
      </c>
      <c r="BB2508" s="84" t="str">
        <f>IFERROR(__xludf.DUMMYFUNCTION("iferror(if(A2508="""",,E2508&gt;=FILTER(Constants!$F$2:$F$10,Constants!$A$2:$A$10=A2508)))"),"")</f>
        <v/>
      </c>
    </row>
    <row r="2509">
      <c r="A2509" s="89"/>
      <c r="B2509" s="87"/>
      <c r="C2509" s="73"/>
      <c r="D2509" s="73"/>
      <c r="E2509" s="82"/>
      <c r="F2509" s="82"/>
      <c r="G2509" s="86"/>
      <c r="H2509" s="86"/>
      <c r="I2509" s="86"/>
      <c r="J2509" s="82"/>
      <c r="K2509" s="82"/>
      <c r="L2509" s="82"/>
      <c r="M2509" s="82"/>
      <c r="N2509" s="82"/>
      <c r="O2509" s="82"/>
      <c r="P2509" s="82"/>
      <c r="Q2509" s="82"/>
      <c r="R2509" s="82"/>
      <c r="S2509" s="82"/>
      <c r="T2509" s="82"/>
      <c r="U2509" s="82"/>
      <c r="V2509" s="82"/>
      <c r="W2509" s="82"/>
      <c r="X2509" s="82"/>
      <c r="Y2509" s="82"/>
      <c r="Z2509" s="82"/>
      <c r="AA2509" s="82"/>
      <c r="AB2509" s="82"/>
      <c r="AC2509" s="82"/>
      <c r="AD2509" s="82"/>
      <c r="AE2509" s="82"/>
      <c r="AF2509" s="82"/>
      <c r="AG2509" s="82"/>
      <c r="AH2509" s="82"/>
      <c r="AI2509" s="82"/>
      <c r="AJ2509" s="82"/>
      <c r="AK2509" s="82"/>
      <c r="AL2509" s="82"/>
      <c r="AM2509" s="82"/>
      <c r="AN2509" s="82">
        <f>IFERROR(__xludf.DUMMYFUNCTION("""COMPUTED_VALUE"""),0.0)</f>
        <v>0</v>
      </c>
      <c r="AO2509" s="82">
        <f>IFERROR(__xludf.DUMMYFUNCTION("""COMPUTED_VALUE"""),0.0)</f>
        <v>0</v>
      </c>
      <c r="AP2509" s="82">
        <f>IFERROR(__xludf.DUMMYFUNCTION("""COMPUTED_VALUE"""),0.0)</f>
        <v>0</v>
      </c>
      <c r="AQ2509" s="82">
        <f>IFERROR(__xludf.DUMMYFUNCTION("""COMPUTED_VALUE"""),0.0)</f>
        <v>0</v>
      </c>
      <c r="AR2509" s="82">
        <f>IFERROR(__xludf.DUMMYFUNCTION("""COMPUTED_VALUE"""),0.0)</f>
        <v>0</v>
      </c>
      <c r="AS2509" s="82"/>
      <c r="AT2509" s="82">
        <f>IFERROR(__xludf.DUMMYFUNCTION("""COMPUTED_VALUE"""),0.0)</f>
        <v>0</v>
      </c>
      <c r="AU2509" s="82"/>
      <c r="AV2509" s="82"/>
      <c r="AW2509" s="82" t="str">
        <f t="shared" si="1"/>
        <v/>
      </c>
      <c r="AX2509" s="83" t="str">
        <f t="array" ref="AX2509">IFERROR(DGET('SBV Import'!A:G,"SBV",{"RSC ID","Tier";B2509,A2509}))</f>
        <v/>
      </c>
      <c r="AY2509" s="82" t="str">
        <f t="shared" si="2"/>
        <v/>
      </c>
      <c r="AZ2509" s="82"/>
      <c r="BA2509" s="84" t="s">
        <v>152</v>
      </c>
      <c r="BB2509" s="84" t="str">
        <f>IFERROR(__xludf.DUMMYFUNCTION("iferror(if(A2509="""",,E2509&gt;=FILTER(Constants!$F$2:$F$10,Constants!$A$2:$A$10=A2509)))"),"")</f>
        <v/>
      </c>
    </row>
    <row r="2510">
      <c r="A2510" s="89"/>
      <c r="B2510" s="87"/>
      <c r="C2510" s="73"/>
      <c r="D2510" s="73"/>
      <c r="E2510" s="82"/>
      <c r="F2510" s="82"/>
      <c r="G2510" s="86"/>
      <c r="H2510" s="86"/>
      <c r="I2510" s="86"/>
      <c r="J2510" s="82"/>
      <c r="K2510" s="82"/>
      <c r="L2510" s="82"/>
      <c r="M2510" s="82"/>
      <c r="N2510" s="82"/>
      <c r="O2510" s="82"/>
      <c r="P2510" s="82"/>
      <c r="Q2510" s="82"/>
      <c r="R2510" s="82"/>
      <c r="S2510" s="82"/>
      <c r="T2510" s="82"/>
      <c r="U2510" s="82"/>
      <c r="V2510" s="82"/>
      <c r="W2510" s="82"/>
      <c r="X2510" s="82"/>
      <c r="Y2510" s="82"/>
      <c r="Z2510" s="82"/>
      <c r="AA2510" s="82"/>
      <c r="AB2510" s="82"/>
      <c r="AC2510" s="82"/>
      <c r="AD2510" s="82"/>
      <c r="AE2510" s="82"/>
      <c r="AF2510" s="82"/>
      <c r="AG2510" s="82"/>
      <c r="AH2510" s="82"/>
      <c r="AI2510" s="82"/>
      <c r="AJ2510" s="82"/>
      <c r="AK2510" s="82"/>
      <c r="AL2510" s="82"/>
      <c r="AM2510" s="82"/>
      <c r="AN2510" s="82">
        <f>IFERROR(__xludf.DUMMYFUNCTION("""COMPUTED_VALUE"""),0.0)</f>
        <v>0</v>
      </c>
      <c r="AO2510" s="82">
        <f>IFERROR(__xludf.DUMMYFUNCTION("""COMPUTED_VALUE"""),0.0)</f>
        <v>0</v>
      </c>
      <c r="AP2510" s="82">
        <f>IFERROR(__xludf.DUMMYFUNCTION("""COMPUTED_VALUE"""),0.0)</f>
        <v>0</v>
      </c>
      <c r="AQ2510" s="82">
        <f>IFERROR(__xludf.DUMMYFUNCTION("""COMPUTED_VALUE"""),0.0)</f>
        <v>0</v>
      </c>
      <c r="AR2510" s="82">
        <f>IFERROR(__xludf.DUMMYFUNCTION("""COMPUTED_VALUE"""),0.0)</f>
        <v>0</v>
      </c>
      <c r="AS2510" s="82"/>
      <c r="AT2510" s="82">
        <f>IFERROR(__xludf.DUMMYFUNCTION("""COMPUTED_VALUE"""),0.0)</f>
        <v>0</v>
      </c>
      <c r="AU2510" s="82"/>
      <c r="AV2510" s="82"/>
      <c r="AW2510" s="82" t="str">
        <f t="shared" si="1"/>
        <v/>
      </c>
      <c r="AX2510" s="83" t="str">
        <f t="array" ref="AX2510">IFERROR(DGET('SBV Import'!A:G,"SBV",{"RSC ID","Tier";B2510,A2510}))</f>
        <v/>
      </c>
      <c r="AY2510" s="82" t="str">
        <f t="shared" si="2"/>
        <v/>
      </c>
      <c r="AZ2510" s="82"/>
      <c r="BA2510" s="84" t="s">
        <v>152</v>
      </c>
      <c r="BB2510" s="84" t="str">
        <f>IFERROR(__xludf.DUMMYFUNCTION("iferror(if(A2510="""",,E2510&gt;=FILTER(Constants!$F$2:$F$10,Constants!$A$2:$A$10=A2510)))"),"")</f>
        <v/>
      </c>
    </row>
    <row r="2511">
      <c r="A2511" s="89"/>
      <c r="B2511" s="87"/>
      <c r="C2511" s="73"/>
      <c r="D2511" s="73"/>
      <c r="E2511" s="82"/>
      <c r="F2511" s="82"/>
      <c r="G2511" s="86"/>
      <c r="H2511" s="86"/>
      <c r="I2511" s="86"/>
      <c r="J2511" s="82"/>
      <c r="K2511" s="82"/>
      <c r="L2511" s="82"/>
      <c r="M2511" s="82"/>
      <c r="N2511" s="82"/>
      <c r="O2511" s="82"/>
      <c r="P2511" s="82"/>
      <c r="Q2511" s="82"/>
      <c r="R2511" s="82"/>
      <c r="S2511" s="82"/>
      <c r="T2511" s="82"/>
      <c r="U2511" s="82"/>
      <c r="V2511" s="82"/>
      <c r="W2511" s="82"/>
      <c r="X2511" s="82"/>
      <c r="Y2511" s="82"/>
      <c r="Z2511" s="82"/>
      <c r="AA2511" s="82"/>
      <c r="AB2511" s="82"/>
      <c r="AC2511" s="82"/>
      <c r="AD2511" s="82"/>
      <c r="AE2511" s="82"/>
      <c r="AF2511" s="82"/>
      <c r="AG2511" s="82"/>
      <c r="AH2511" s="82"/>
      <c r="AI2511" s="82"/>
      <c r="AJ2511" s="82"/>
      <c r="AK2511" s="82"/>
      <c r="AL2511" s="82"/>
      <c r="AM2511" s="82"/>
      <c r="AN2511" s="82">
        <f>IFERROR(__xludf.DUMMYFUNCTION("""COMPUTED_VALUE"""),0.0)</f>
        <v>0</v>
      </c>
      <c r="AO2511" s="82">
        <f>IFERROR(__xludf.DUMMYFUNCTION("""COMPUTED_VALUE"""),0.0)</f>
        <v>0</v>
      </c>
      <c r="AP2511" s="82">
        <f>IFERROR(__xludf.DUMMYFUNCTION("""COMPUTED_VALUE"""),0.0)</f>
        <v>0</v>
      </c>
      <c r="AQ2511" s="82">
        <f>IFERROR(__xludf.DUMMYFUNCTION("""COMPUTED_VALUE"""),0.0)</f>
        <v>0</v>
      </c>
      <c r="AR2511" s="82">
        <f>IFERROR(__xludf.DUMMYFUNCTION("""COMPUTED_VALUE"""),0.0)</f>
        <v>0</v>
      </c>
      <c r="AS2511" s="82"/>
      <c r="AT2511" s="82">
        <f>IFERROR(__xludf.DUMMYFUNCTION("""COMPUTED_VALUE"""),0.0)</f>
        <v>0</v>
      </c>
      <c r="AU2511" s="82"/>
      <c r="AV2511" s="82"/>
      <c r="AW2511" s="82" t="str">
        <f t="shared" si="1"/>
        <v/>
      </c>
      <c r="AX2511" s="83" t="str">
        <f t="array" ref="AX2511">IFERROR(DGET('SBV Import'!A:G,"SBV",{"RSC ID","Tier";B2511,A2511}))</f>
        <v/>
      </c>
      <c r="AY2511" s="82" t="str">
        <f t="shared" si="2"/>
        <v/>
      </c>
      <c r="AZ2511" s="82"/>
      <c r="BA2511" s="84" t="s">
        <v>152</v>
      </c>
      <c r="BB2511" s="84" t="str">
        <f>IFERROR(__xludf.DUMMYFUNCTION("iferror(if(A2511="""",,E2511&gt;=FILTER(Constants!$F$2:$F$10,Constants!$A$2:$A$10=A2511)))"),"")</f>
        <v/>
      </c>
    </row>
    <row r="2512">
      <c r="A2512" s="89"/>
      <c r="B2512" s="87"/>
      <c r="C2512" s="73"/>
      <c r="D2512" s="73"/>
      <c r="E2512" s="82"/>
      <c r="F2512" s="82"/>
      <c r="G2512" s="86"/>
      <c r="H2512" s="86"/>
      <c r="I2512" s="86"/>
      <c r="J2512" s="82"/>
      <c r="K2512" s="82"/>
      <c r="L2512" s="82"/>
      <c r="M2512" s="82"/>
      <c r="N2512" s="82"/>
      <c r="O2512" s="82"/>
      <c r="P2512" s="82"/>
      <c r="Q2512" s="82"/>
      <c r="R2512" s="82"/>
      <c r="S2512" s="82"/>
      <c r="T2512" s="82"/>
      <c r="U2512" s="82"/>
      <c r="V2512" s="82"/>
      <c r="W2512" s="82"/>
      <c r="X2512" s="82"/>
      <c r="Y2512" s="82"/>
      <c r="Z2512" s="82"/>
      <c r="AA2512" s="82"/>
      <c r="AB2512" s="82"/>
      <c r="AC2512" s="82"/>
      <c r="AD2512" s="82"/>
      <c r="AE2512" s="82"/>
      <c r="AF2512" s="82"/>
      <c r="AG2512" s="82"/>
      <c r="AH2512" s="82"/>
      <c r="AI2512" s="82"/>
      <c r="AJ2512" s="82"/>
      <c r="AK2512" s="82"/>
      <c r="AL2512" s="82"/>
      <c r="AM2512" s="82"/>
      <c r="AN2512" s="82">
        <f>IFERROR(__xludf.DUMMYFUNCTION("""COMPUTED_VALUE"""),0.0)</f>
        <v>0</v>
      </c>
      <c r="AO2512" s="82">
        <f>IFERROR(__xludf.DUMMYFUNCTION("""COMPUTED_VALUE"""),0.0)</f>
        <v>0</v>
      </c>
      <c r="AP2512" s="82">
        <f>IFERROR(__xludf.DUMMYFUNCTION("""COMPUTED_VALUE"""),0.0)</f>
        <v>0</v>
      </c>
      <c r="AQ2512" s="82">
        <f>IFERROR(__xludf.DUMMYFUNCTION("""COMPUTED_VALUE"""),0.0)</f>
        <v>0</v>
      </c>
      <c r="AR2512" s="82">
        <f>IFERROR(__xludf.DUMMYFUNCTION("""COMPUTED_VALUE"""),0.0)</f>
        <v>0</v>
      </c>
      <c r="AS2512" s="82"/>
      <c r="AT2512" s="82">
        <f>IFERROR(__xludf.DUMMYFUNCTION("""COMPUTED_VALUE"""),0.0)</f>
        <v>0</v>
      </c>
      <c r="AU2512" s="82"/>
      <c r="AV2512" s="82"/>
      <c r="AW2512" s="82" t="str">
        <f t="shared" si="1"/>
        <v/>
      </c>
      <c r="AX2512" s="83" t="str">
        <f t="array" ref="AX2512">IFERROR(DGET('SBV Import'!A:G,"SBV",{"RSC ID","Tier";B2512,A2512}))</f>
        <v/>
      </c>
      <c r="AY2512" s="82" t="str">
        <f t="shared" si="2"/>
        <v/>
      </c>
      <c r="AZ2512" s="82"/>
      <c r="BA2512" s="84" t="s">
        <v>152</v>
      </c>
      <c r="BB2512" s="84" t="str">
        <f>IFERROR(__xludf.DUMMYFUNCTION("iferror(if(A2512="""",,E2512&gt;=FILTER(Constants!$F$2:$F$10,Constants!$A$2:$A$10=A2512)))"),"")</f>
        <v/>
      </c>
    </row>
    <row r="2513">
      <c r="A2513" s="89"/>
      <c r="B2513" s="87"/>
      <c r="C2513" s="73"/>
      <c r="D2513" s="73"/>
      <c r="E2513" s="82"/>
      <c r="F2513" s="82"/>
      <c r="G2513" s="86"/>
      <c r="H2513" s="86"/>
      <c r="I2513" s="86"/>
      <c r="J2513" s="82"/>
      <c r="K2513" s="82"/>
      <c r="L2513" s="82"/>
      <c r="M2513" s="82"/>
      <c r="N2513" s="82"/>
      <c r="O2513" s="82"/>
      <c r="P2513" s="82"/>
      <c r="Q2513" s="82"/>
      <c r="R2513" s="82"/>
      <c r="S2513" s="82"/>
      <c r="T2513" s="82"/>
      <c r="U2513" s="82"/>
      <c r="V2513" s="82"/>
      <c r="W2513" s="82"/>
      <c r="X2513" s="82"/>
      <c r="Y2513" s="82"/>
      <c r="Z2513" s="82"/>
      <c r="AA2513" s="82"/>
      <c r="AB2513" s="82"/>
      <c r="AC2513" s="82"/>
      <c r="AD2513" s="82"/>
      <c r="AE2513" s="82"/>
      <c r="AF2513" s="82"/>
      <c r="AG2513" s="82"/>
      <c r="AH2513" s="82"/>
      <c r="AI2513" s="82"/>
      <c r="AJ2513" s="82"/>
      <c r="AK2513" s="82"/>
      <c r="AL2513" s="82"/>
      <c r="AM2513" s="82"/>
      <c r="AN2513" s="82">
        <f>IFERROR(__xludf.DUMMYFUNCTION("""COMPUTED_VALUE"""),0.0)</f>
        <v>0</v>
      </c>
      <c r="AO2513" s="82">
        <f>IFERROR(__xludf.DUMMYFUNCTION("""COMPUTED_VALUE"""),0.0)</f>
        <v>0</v>
      </c>
      <c r="AP2513" s="82">
        <f>IFERROR(__xludf.DUMMYFUNCTION("""COMPUTED_VALUE"""),0.0)</f>
        <v>0</v>
      </c>
      <c r="AQ2513" s="82">
        <f>IFERROR(__xludf.DUMMYFUNCTION("""COMPUTED_VALUE"""),0.0)</f>
        <v>0</v>
      </c>
      <c r="AR2513" s="82">
        <f>IFERROR(__xludf.DUMMYFUNCTION("""COMPUTED_VALUE"""),0.0)</f>
        <v>0</v>
      </c>
      <c r="AS2513" s="82"/>
      <c r="AT2513" s="82">
        <f>IFERROR(__xludf.DUMMYFUNCTION("""COMPUTED_VALUE"""),0.0)</f>
        <v>0</v>
      </c>
      <c r="AU2513" s="82"/>
      <c r="AV2513" s="82"/>
      <c r="AW2513" s="82" t="str">
        <f t="shared" si="1"/>
        <v/>
      </c>
      <c r="AX2513" s="83" t="str">
        <f t="array" ref="AX2513">IFERROR(DGET('SBV Import'!A:G,"SBV",{"RSC ID","Tier";B2513,A2513}))</f>
        <v/>
      </c>
      <c r="AY2513" s="82" t="str">
        <f t="shared" si="2"/>
        <v/>
      </c>
      <c r="AZ2513" s="82"/>
      <c r="BA2513" s="84" t="s">
        <v>152</v>
      </c>
      <c r="BB2513" s="84" t="str">
        <f>IFERROR(__xludf.DUMMYFUNCTION("iferror(if(A2513="""",,E2513&gt;=FILTER(Constants!$F$2:$F$10,Constants!$A$2:$A$10=A2513)))"),"")</f>
        <v/>
      </c>
    </row>
    <row r="2514">
      <c r="A2514" s="89"/>
      <c r="B2514" s="87"/>
      <c r="C2514" s="73"/>
      <c r="D2514" s="73"/>
      <c r="E2514" s="82"/>
      <c r="F2514" s="82"/>
      <c r="G2514" s="86"/>
      <c r="H2514" s="86"/>
      <c r="I2514" s="86"/>
      <c r="J2514" s="82"/>
      <c r="K2514" s="82"/>
      <c r="L2514" s="82"/>
      <c r="M2514" s="82"/>
      <c r="N2514" s="82"/>
      <c r="O2514" s="82"/>
      <c r="P2514" s="82"/>
      <c r="Q2514" s="82"/>
      <c r="R2514" s="82"/>
      <c r="S2514" s="82"/>
      <c r="T2514" s="82"/>
      <c r="U2514" s="82"/>
      <c r="V2514" s="82"/>
      <c r="W2514" s="82"/>
      <c r="X2514" s="82"/>
      <c r="Y2514" s="82"/>
      <c r="Z2514" s="82"/>
      <c r="AA2514" s="82"/>
      <c r="AB2514" s="82"/>
      <c r="AC2514" s="82"/>
      <c r="AD2514" s="82"/>
      <c r="AE2514" s="82"/>
      <c r="AF2514" s="82"/>
      <c r="AG2514" s="82"/>
      <c r="AH2514" s="82"/>
      <c r="AI2514" s="82"/>
      <c r="AJ2514" s="82"/>
      <c r="AK2514" s="82"/>
      <c r="AL2514" s="82"/>
      <c r="AM2514" s="82"/>
      <c r="AN2514" s="82">
        <f>IFERROR(__xludf.DUMMYFUNCTION("""COMPUTED_VALUE"""),0.0)</f>
        <v>0</v>
      </c>
      <c r="AO2514" s="82">
        <f>IFERROR(__xludf.DUMMYFUNCTION("""COMPUTED_VALUE"""),0.0)</f>
        <v>0</v>
      </c>
      <c r="AP2514" s="82">
        <f>IFERROR(__xludf.DUMMYFUNCTION("""COMPUTED_VALUE"""),0.0)</f>
        <v>0</v>
      </c>
      <c r="AQ2514" s="82">
        <f>IFERROR(__xludf.DUMMYFUNCTION("""COMPUTED_VALUE"""),0.0)</f>
        <v>0</v>
      </c>
      <c r="AR2514" s="82">
        <f>IFERROR(__xludf.DUMMYFUNCTION("""COMPUTED_VALUE"""),0.0)</f>
        <v>0</v>
      </c>
      <c r="AS2514" s="82"/>
      <c r="AT2514" s="82">
        <f>IFERROR(__xludf.DUMMYFUNCTION("""COMPUTED_VALUE"""),0.0)</f>
        <v>0</v>
      </c>
      <c r="AU2514" s="82"/>
      <c r="AV2514" s="82"/>
      <c r="AW2514" s="82" t="str">
        <f t="shared" si="1"/>
        <v/>
      </c>
      <c r="AX2514" s="83" t="str">
        <f t="array" ref="AX2514">IFERROR(DGET('SBV Import'!A:G,"SBV",{"RSC ID","Tier";B2514,A2514}))</f>
        <v/>
      </c>
      <c r="AY2514" s="82" t="str">
        <f t="shared" si="2"/>
        <v/>
      </c>
      <c r="AZ2514" s="82"/>
      <c r="BA2514" s="84" t="s">
        <v>152</v>
      </c>
      <c r="BB2514" s="84" t="str">
        <f>IFERROR(__xludf.DUMMYFUNCTION("iferror(if(A2514="""",,E2514&gt;=FILTER(Constants!$F$2:$F$10,Constants!$A$2:$A$10=A2514)))"),"")</f>
        <v/>
      </c>
    </row>
    <row r="2515">
      <c r="A2515" s="89"/>
      <c r="B2515" s="87"/>
      <c r="C2515" s="73"/>
      <c r="D2515" s="73"/>
      <c r="E2515" s="82"/>
      <c r="F2515" s="82"/>
      <c r="G2515" s="86"/>
      <c r="H2515" s="86"/>
      <c r="I2515" s="86"/>
      <c r="J2515" s="82"/>
      <c r="K2515" s="82"/>
      <c r="L2515" s="82"/>
      <c r="M2515" s="82"/>
      <c r="N2515" s="82"/>
      <c r="O2515" s="82"/>
      <c r="P2515" s="82"/>
      <c r="Q2515" s="82"/>
      <c r="R2515" s="82"/>
      <c r="S2515" s="82"/>
      <c r="T2515" s="82"/>
      <c r="U2515" s="82"/>
      <c r="V2515" s="82"/>
      <c r="W2515" s="82"/>
      <c r="X2515" s="82"/>
      <c r="Y2515" s="82"/>
      <c r="Z2515" s="82"/>
      <c r="AA2515" s="82"/>
      <c r="AB2515" s="82"/>
      <c r="AC2515" s="82"/>
      <c r="AD2515" s="82"/>
      <c r="AE2515" s="82"/>
      <c r="AF2515" s="82"/>
      <c r="AG2515" s="82"/>
      <c r="AH2515" s="82"/>
      <c r="AI2515" s="82"/>
      <c r="AJ2515" s="82"/>
      <c r="AK2515" s="82"/>
      <c r="AL2515" s="82"/>
      <c r="AM2515" s="82"/>
      <c r="AN2515" s="82">
        <f>IFERROR(__xludf.DUMMYFUNCTION("""COMPUTED_VALUE"""),0.0)</f>
        <v>0</v>
      </c>
      <c r="AO2515" s="82">
        <f>IFERROR(__xludf.DUMMYFUNCTION("""COMPUTED_VALUE"""),0.0)</f>
        <v>0</v>
      </c>
      <c r="AP2515" s="82">
        <f>IFERROR(__xludf.DUMMYFUNCTION("""COMPUTED_VALUE"""),0.0)</f>
        <v>0</v>
      </c>
      <c r="AQ2515" s="82">
        <f>IFERROR(__xludf.DUMMYFUNCTION("""COMPUTED_VALUE"""),0.0)</f>
        <v>0</v>
      </c>
      <c r="AR2515" s="82">
        <f>IFERROR(__xludf.DUMMYFUNCTION("""COMPUTED_VALUE"""),0.0)</f>
        <v>0</v>
      </c>
      <c r="AS2515" s="82"/>
      <c r="AT2515" s="82">
        <f>IFERROR(__xludf.DUMMYFUNCTION("""COMPUTED_VALUE"""),0.0)</f>
        <v>0</v>
      </c>
      <c r="AU2515" s="82"/>
      <c r="AV2515" s="82"/>
      <c r="AW2515" s="82" t="str">
        <f t="shared" si="1"/>
        <v/>
      </c>
      <c r="AX2515" s="83" t="str">
        <f t="array" ref="AX2515">IFERROR(DGET('SBV Import'!A:G,"SBV",{"RSC ID","Tier";B2515,A2515}))</f>
        <v/>
      </c>
      <c r="AY2515" s="82" t="str">
        <f t="shared" si="2"/>
        <v/>
      </c>
      <c r="AZ2515" s="82"/>
      <c r="BA2515" s="84" t="s">
        <v>152</v>
      </c>
      <c r="BB2515" s="84" t="str">
        <f>IFERROR(__xludf.DUMMYFUNCTION("iferror(if(A2515="""",,E2515&gt;=FILTER(Constants!$F$2:$F$10,Constants!$A$2:$A$10=A2515)))"),"")</f>
        <v/>
      </c>
    </row>
    <row r="2516">
      <c r="A2516" s="89"/>
      <c r="B2516" s="87"/>
      <c r="C2516" s="73"/>
      <c r="D2516" s="73"/>
      <c r="E2516" s="82"/>
      <c r="F2516" s="82"/>
      <c r="G2516" s="86"/>
      <c r="H2516" s="86"/>
      <c r="I2516" s="86"/>
      <c r="J2516" s="82"/>
      <c r="K2516" s="82"/>
      <c r="L2516" s="82"/>
      <c r="M2516" s="82"/>
      <c r="N2516" s="82"/>
      <c r="O2516" s="82"/>
      <c r="P2516" s="82"/>
      <c r="Q2516" s="82"/>
      <c r="R2516" s="82"/>
      <c r="S2516" s="82"/>
      <c r="T2516" s="82"/>
      <c r="U2516" s="82"/>
      <c r="V2516" s="82"/>
      <c r="W2516" s="82"/>
      <c r="X2516" s="82"/>
      <c r="Y2516" s="82"/>
      <c r="Z2516" s="82"/>
      <c r="AA2516" s="82"/>
      <c r="AB2516" s="82"/>
      <c r="AC2516" s="82"/>
      <c r="AD2516" s="82"/>
      <c r="AE2516" s="82"/>
      <c r="AF2516" s="82"/>
      <c r="AG2516" s="82"/>
      <c r="AH2516" s="82"/>
      <c r="AI2516" s="82"/>
      <c r="AJ2516" s="82"/>
      <c r="AK2516" s="82"/>
      <c r="AL2516" s="82"/>
      <c r="AM2516" s="82"/>
      <c r="AN2516" s="82">
        <f>IFERROR(__xludf.DUMMYFUNCTION("""COMPUTED_VALUE"""),0.0)</f>
        <v>0</v>
      </c>
      <c r="AO2516" s="82">
        <f>IFERROR(__xludf.DUMMYFUNCTION("""COMPUTED_VALUE"""),0.0)</f>
        <v>0</v>
      </c>
      <c r="AP2516" s="82">
        <f>IFERROR(__xludf.DUMMYFUNCTION("""COMPUTED_VALUE"""),0.0)</f>
        <v>0</v>
      </c>
      <c r="AQ2516" s="82">
        <f>IFERROR(__xludf.DUMMYFUNCTION("""COMPUTED_VALUE"""),0.0)</f>
        <v>0</v>
      </c>
      <c r="AR2516" s="82">
        <f>IFERROR(__xludf.DUMMYFUNCTION("""COMPUTED_VALUE"""),0.0)</f>
        <v>0</v>
      </c>
      <c r="AS2516" s="82"/>
      <c r="AT2516" s="82">
        <f>IFERROR(__xludf.DUMMYFUNCTION("""COMPUTED_VALUE"""),0.0)</f>
        <v>0</v>
      </c>
      <c r="AU2516" s="82"/>
      <c r="AV2516" s="82"/>
      <c r="AW2516" s="82" t="str">
        <f t="shared" si="1"/>
        <v/>
      </c>
      <c r="AX2516" s="83" t="str">
        <f t="array" ref="AX2516">IFERROR(DGET('SBV Import'!A:G,"SBV",{"RSC ID","Tier";B2516,A2516}))</f>
        <v/>
      </c>
      <c r="AY2516" s="82" t="str">
        <f t="shared" si="2"/>
        <v/>
      </c>
      <c r="AZ2516" s="82"/>
      <c r="BA2516" s="84" t="s">
        <v>152</v>
      </c>
      <c r="BB2516" s="84" t="str">
        <f>IFERROR(__xludf.DUMMYFUNCTION("iferror(if(A2516="""",,E2516&gt;=FILTER(Constants!$F$2:$F$10,Constants!$A$2:$A$10=A2516)))"),"")</f>
        <v/>
      </c>
    </row>
    <row r="2517">
      <c r="A2517" s="89"/>
      <c r="B2517" s="87"/>
      <c r="C2517" s="73"/>
      <c r="D2517" s="73"/>
      <c r="E2517" s="82"/>
      <c r="F2517" s="82"/>
      <c r="G2517" s="86"/>
      <c r="H2517" s="86"/>
      <c r="I2517" s="86"/>
      <c r="J2517" s="82"/>
      <c r="K2517" s="82"/>
      <c r="L2517" s="82"/>
      <c r="M2517" s="82"/>
      <c r="N2517" s="82"/>
      <c r="O2517" s="82"/>
      <c r="P2517" s="82"/>
      <c r="Q2517" s="82"/>
      <c r="R2517" s="82"/>
      <c r="S2517" s="82"/>
      <c r="T2517" s="82"/>
      <c r="U2517" s="82"/>
      <c r="V2517" s="82"/>
      <c r="W2517" s="82"/>
      <c r="X2517" s="82"/>
      <c r="Y2517" s="82"/>
      <c r="Z2517" s="82"/>
      <c r="AA2517" s="82"/>
      <c r="AB2517" s="82"/>
      <c r="AC2517" s="82"/>
      <c r="AD2517" s="82"/>
      <c r="AE2517" s="82"/>
      <c r="AF2517" s="82"/>
      <c r="AG2517" s="82"/>
      <c r="AH2517" s="82"/>
      <c r="AI2517" s="82"/>
      <c r="AJ2517" s="82"/>
      <c r="AK2517" s="82"/>
      <c r="AL2517" s="82"/>
      <c r="AM2517" s="82"/>
      <c r="AN2517" s="82">
        <f>IFERROR(__xludf.DUMMYFUNCTION("""COMPUTED_VALUE"""),0.0)</f>
        <v>0</v>
      </c>
      <c r="AO2517" s="82">
        <f>IFERROR(__xludf.DUMMYFUNCTION("""COMPUTED_VALUE"""),0.0)</f>
        <v>0</v>
      </c>
      <c r="AP2517" s="82">
        <f>IFERROR(__xludf.DUMMYFUNCTION("""COMPUTED_VALUE"""),0.0)</f>
        <v>0</v>
      </c>
      <c r="AQ2517" s="82">
        <f>IFERROR(__xludf.DUMMYFUNCTION("""COMPUTED_VALUE"""),0.0)</f>
        <v>0</v>
      </c>
      <c r="AR2517" s="82">
        <f>IFERROR(__xludf.DUMMYFUNCTION("""COMPUTED_VALUE"""),0.0)</f>
        <v>0</v>
      </c>
      <c r="AS2517" s="82"/>
      <c r="AT2517" s="82">
        <f>IFERROR(__xludf.DUMMYFUNCTION("""COMPUTED_VALUE"""),0.0)</f>
        <v>0</v>
      </c>
      <c r="AU2517" s="82"/>
      <c r="AV2517" s="82"/>
      <c r="AW2517" s="82" t="str">
        <f t="shared" si="1"/>
        <v/>
      </c>
      <c r="AX2517" s="83" t="str">
        <f t="array" ref="AX2517">IFERROR(DGET('SBV Import'!A:G,"SBV",{"RSC ID","Tier";B2517,A2517}))</f>
        <v/>
      </c>
      <c r="AY2517" s="82" t="str">
        <f t="shared" si="2"/>
        <v/>
      </c>
      <c r="AZ2517" s="82"/>
      <c r="BA2517" s="84" t="s">
        <v>152</v>
      </c>
      <c r="BB2517" s="84" t="str">
        <f>IFERROR(__xludf.DUMMYFUNCTION("iferror(if(A2517="""",,E2517&gt;=FILTER(Constants!$F$2:$F$10,Constants!$A$2:$A$10=A2517)))"),"")</f>
        <v/>
      </c>
    </row>
    <row r="2518">
      <c r="A2518" s="89"/>
      <c r="B2518" s="87"/>
      <c r="C2518" s="73"/>
      <c r="D2518" s="73"/>
      <c r="E2518" s="82"/>
      <c r="F2518" s="82"/>
      <c r="G2518" s="86"/>
      <c r="H2518" s="86"/>
      <c r="I2518" s="86"/>
      <c r="J2518" s="82"/>
      <c r="K2518" s="82"/>
      <c r="L2518" s="82"/>
      <c r="M2518" s="82"/>
      <c r="N2518" s="82"/>
      <c r="O2518" s="82"/>
      <c r="P2518" s="82"/>
      <c r="Q2518" s="82"/>
      <c r="R2518" s="82"/>
      <c r="S2518" s="82"/>
      <c r="T2518" s="82"/>
      <c r="U2518" s="82"/>
      <c r="V2518" s="82"/>
      <c r="W2518" s="82"/>
      <c r="X2518" s="82"/>
      <c r="Y2518" s="82"/>
      <c r="Z2518" s="82"/>
      <c r="AA2518" s="82"/>
      <c r="AB2518" s="82"/>
      <c r="AC2518" s="82"/>
      <c r="AD2518" s="82"/>
      <c r="AE2518" s="82"/>
      <c r="AF2518" s="82"/>
      <c r="AG2518" s="82"/>
      <c r="AH2518" s="82"/>
      <c r="AI2518" s="82"/>
      <c r="AJ2518" s="82"/>
      <c r="AK2518" s="82"/>
      <c r="AL2518" s="82"/>
      <c r="AM2518" s="82"/>
      <c r="AN2518" s="82">
        <f>IFERROR(__xludf.DUMMYFUNCTION("""COMPUTED_VALUE"""),0.0)</f>
        <v>0</v>
      </c>
      <c r="AO2518" s="82">
        <f>IFERROR(__xludf.DUMMYFUNCTION("""COMPUTED_VALUE"""),0.0)</f>
        <v>0</v>
      </c>
      <c r="AP2518" s="82">
        <f>IFERROR(__xludf.DUMMYFUNCTION("""COMPUTED_VALUE"""),0.0)</f>
        <v>0</v>
      </c>
      <c r="AQ2518" s="82">
        <f>IFERROR(__xludf.DUMMYFUNCTION("""COMPUTED_VALUE"""),0.0)</f>
        <v>0</v>
      </c>
      <c r="AR2518" s="82">
        <f>IFERROR(__xludf.DUMMYFUNCTION("""COMPUTED_VALUE"""),0.0)</f>
        <v>0</v>
      </c>
      <c r="AS2518" s="82"/>
      <c r="AT2518" s="82">
        <f>IFERROR(__xludf.DUMMYFUNCTION("""COMPUTED_VALUE"""),0.0)</f>
        <v>0</v>
      </c>
      <c r="AU2518" s="82"/>
      <c r="AV2518" s="82"/>
      <c r="AW2518" s="82" t="str">
        <f t="shared" si="1"/>
        <v/>
      </c>
      <c r="AX2518" s="83" t="str">
        <f t="array" ref="AX2518">IFERROR(DGET('SBV Import'!A:G,"SBV",{"RSC ID","Tier";B2518,A2518}))</f>
        <v/>
      </c>
      <c r="AY2518" s="82" t="str">
        <f t="shared" si="2"/>
        <v/>
      </c>
      <c r="AZ2518" s="82"/>
      <c r="BA2518" s="84" t="s">
        <v>152</v>
      </c>
      <c r="BB2518" s="84" t="str">
        <f>IFERROR(__xludf.DUMMYFUNCTION("iferror(if(A2518="""",,E2518&gt;=FILTER(Constants!$F$2:$F$10,Constants!$A$2:$A$10=A2518)))"),"")</f>
        <v/>
      </c>
    </row>
    <row r="2519">
      <c r="A2519" s="89"/>
      <c r="B2519" s="87"/>
      <c r="C2519" s="73"/>
      <c r="D2519" s="73"/>
      <c r="E2519" s="82"/>
      <c r="F2519" s="82"/>
      <c r="G2519" s="86"/>
      <c r="H2519" s="86"/>
      <c r="I2519" s="86"/>
      <c r="J2519" s="82"/>
      <c r="K2519" s="82"/>
      <c r="L2519" s="82"/>
      <c r="M2519" s="82"/>
      <c r="N2519" s="82"/>
      <c r="O2519" s="82"/>
      <c r="P2519" s="82"/>
      <c r="Q2519" s="82"/>
      <c r="R2519" s="82"/>
      <c r="S2519" s="82"/>
      <c r="T2519" s="82"/>
      <c r="U2519" s="82"/>
      <c r="V2519" s="82"/>
      <c r="W2519" s="82"/>
      <c r="X2519" s="82"/>
      <c r="Y2519" s="82"/>
      <c r="Z2519" s="82"/>
      <c r="AA2519" s="82"/>
      <c r="AB2519" s="82"/>
      <c r="AC2519" s="82"/>
      <c r="AD2519" s="82"/>
      <c r="AE2519" s="82"/>
      <c r="AF2519" s="82"/>
      <c r="AG2519" s="82"/>
      <c r="AH2519" s="82"/>
      <c r="AI2519" s="82"/>
      <c r="AJ2519" s="82"/>
      <c r="AK2519" s="82"/>
      <c r="AL2519" s="82"/>
      <c r="AM2519" s="82"/>
      <c r="AN2519" s="82">
        <f>IFERROR(__xludf.DUMMYFUNCTION("""COMPUTED_VALUE"""),0.0)</f>
        <v>0</v>
      </c>
      <c r="AO2519" s="82">
        <f>IFERROR(__xludf.DUMMYFUNCTION("""COMPUTED_VALUE"""),0.0)</f>
        <v>0</v>
      </c>
      <c r="AP2519" s="82">
        <f>IFERROR(__xludf.DUMMYFUNCTION("""COMPUTED_VALUE"""),0.0)</f>
        <v>0</v>
      </c>
      <c r="AQ2519" s="82">
        <f>IFERROR(__xludf.DUMMYFUNCTION("""COMPUTED_VALUE"""),0.0)</f>
        <v>0</v>
      </c>
      <c r="AR2519" s="82">
        <f>IFERROR(__xludf.DUMMYFUNCTION("""COMPUTED_VALUE"""),0.0)</f>
        <v>0</v>
      </c>
      <c r="AS2519" s="82"/>
      <c r="AT2519" s="82">
        <f>IFERROR(__xludf.DUMMYFUNCTION("""COMPUTED_VALUE"""),0.0)</f>
        <v>0</v>
      </c>
      <c r="AU2519" s="82"/>
      <c r="AV2519" s="82"/>
      <c r="AW2519" s="82" t="str">
        <f t="shared" si="1"/>
        <v/>
      </c>
      <c r="AX2519" s="83" t="str">
        <f t="array" ref="AX2519">IFERROR(DGET('SBV Import'!A:G,"SBV",{"RSC ID","Tier";B2519,A2519}))</f>
        <v/>
      </c>
      <c r="AY2519" s="82" t="str">
        <f t="shared" si="2"/>
        <v/>
      </c>
      <c r="AZ2519" s="82"/>
      <c r="BA2519" s="84" t="s">
        <v>152</v>
      </c>
      <c r="BB2519" s="84" t="str">
        <f>IFERROR(__xludf.DUMMYFUNCTION("iferror(if(A2519="""",,E2519&gt;=FILTER(Constants!$F$2:$F$10,Constants!$A$2:$A$10=A2519)))"),"")</f>
        <v/>
      </c>
    </row>
    <row r="2520">
      <c r="A2520" s="89"/>
      <c r="B2520" s="87"/>
      <c r="C2520" s="73"/>
      <c r="D2520" s="73"/>
      <c r="E2520" s="82"/>
      <c r="F2520" s="82"/>
      <c r="G2520" s="86"/>
      <c r="H2520" s="86"/>
      <c r="I2520" s="86"/>
      <c r="J2520" s="82"/>
      <c r="K2520" s="82"/>
      <c r="L2520" s="82"/>
      <c r="M2520" s="82"/>
      <c r="N2520" s="82"/>
      <c r="O2520" s="82"/>
      <c r="P2520" s="82"/>
      <c r="Q2520" s="82"/>
      <c r="R2520" s="82"/>
      <c r="S2520" s="82"/>
      <c r="T2520" s="82"/>
      <c r="U2520" s="82"/>
      <c r="V2520" s="82"/>
      <c r="W2520" s="82"/>
      <c r="X2520" s="82"/>
      <c r="Y2520" s="82"/>
      <c r="Z2520" s="82"/>
      <c r="AA2520" s="82"/>
      <c r="AB2520" s="82"/>
      <c r="AC2520" s="82"/>
      <c r="AD2520" s="82"/>
      <c r="AE2520" s="82"/>
      <c r="AF2520" s="82"/>
      <c r="AG2520" s="82"/>
      <c r="AH2520" s="82"/>
      <c r="AI2520" s="82"/>
      <c r="AJ2520" s="82"/>
      <c r="AK2520" s="82"/>
      <c r="AL2520" s="82"/>
      <c r="AM2520" s="82"/>
      <c r="AN2520" s="82">
        <f>IFERROR(__xludf.DUMMYFUNCTION("""COMPUTED_VALUE"""),0.0)</f>
        <v>0</v>
      </c>
      <c r="AO2520" s="82">
        <f>IFERROR(__xludf.DUMMYFUNCTION("""COMPUTED_VALUE"""),0.0)</f>
        <v>0</v>
      </c>
      <c r="AP2520" s="82">
        <f>IFERROR(__xludf.DUMMYFUNCTION("""COMPUTED_VALUE"""),0.0)</f>
        <v>0</v>
      </c>
      <c r="AQ2520" s="82">
        <f>IFERROR(__xludf.DUMMYFUNCTION("""COMPUTED_VALUE"""),0.0)</f>
        <v>0</v>
      </c>
      <c r="AR2520" s="82">
        <f>IFERROR(__xludf.DUMMYFUNCTION("""COMPUTED_VALUE"""),0.0)</f>
        <v>0</v>
      </c>
      <c r="AS2520" s="82"/>
      <c r="AT2520" s="82">
        <f>IFERROR(__xludf.DUMMYFUNCTION("""COMPUTED_VALUE"""),0.0)</f>
        <v>0</v>
      </c>
      <c r="AU2520" s="82"/>
      <c r="AV2520" s="82"/>
      <c r="AW2520" s="82" t="str">
        <f t="shared" si="1"/>
        <v/>
      </c>
      <c r="AX2520" s="83" t="str">
        <f t="array" ref="AX2520">IFERROR(DGET('SBV Import'!A:G,"SBV",{"RSC ID","Tier";B2520,A2520}))</f>
        <v/>
      </c>
      <c r="AY2520" s="82" t="str">
        <f t="shared" si="2"/>
        <v/>
      </c>
      <c r="AZ2520" s="82"/>
      <c r="BA2520" s="84" t="s">
        <v>152</v>
      </c>
      <c r="BB2520" s="84" t="str">
        <f>IFERROR(__xludf.DUMMYFUNCTION("iferror(if(A2520="""",,E2520&gt;=FILTER(Constants!$F$2:$F$10,Constants!$A$2:$A$10=A2520)))"),"")</f>
        <v/>
      </c>
    </row>
    <row r="2521">
      <c r="A2521" s="89"/>
      <c r="B2521" s="87"/>
      <c r="C2521" s="73"/>
      <c r="D2521" s="73"/>
      <c r="E2521" s="82"/>
      <c r="F2521" s="82"/>
      <c r="G2521" s="86"/>
      <c r="H2521" s="86"/>
      <c r="I2521" s="86"/>
      <c r="J2521" s="82"/>
      <c r="K2521" s="82"/>
      <c r="L2521" s="82"/>
      <c r="M2521" s="82"/>
      <c r="N2521" s="82"/>
      <c r="O2521" s="82"/>
      <c r="P2521" s="82"/>
      <c r="Q2521" s="82"/>
      <c r="R2521" s="82"/>
      <c r="S2521" s="82"/>
      <c r="T2521" s="82"/>
      <c r="U2521" s="82"/>
      <c r="V2521" s="82"/>
      <c r="W2521" s="82"/>
      <c r="X2521" s="82"/>
      <c r="Y2521" s="82"/>
      <c r="Z2521" s="82"/>
      <c r="AA2521" s="82"/>
      <c r="AB2521" s="82"/>
      <c r="AC2521" s="82"/>
      <c r="AD2521" s="82"/>
      <c r="AE2521" s="82"/>
      <c r="AF2521" s="82"/>
      <c r="AG2521" s="82"/>
      <c r="AH2521" s="82"/>
      <c r="AI2521" s="82"/>
      <c r="AJ2521" s="82"/>
      <c r="AK2521" s="82"/>
      <c r="AL2521" s="82"/>
      <c r="AM2521" s="82"/>
      <c r="AN2521" s="82">
        <f>IFERROR(__xludf.DUMMYFUNCTION("""COMPUTED_VALUE"""),0.0)</f>
        <v>0</v>
      </c>
      <c r="AO2521" s="82">
        <f>IFERROR(__xludf.DUMMYFUNCTION("""COMPUTED_VALUE"""),0.0)</f>
        <v>0</v>
      </c>
      <c r="AP2521" s="82">
        <f>IFERROR(__xludf.DUMMYFUNCTION("""COMPUTED_VALUE"""),0.0)</f>
        <v>0</v>
      </c>
      <c r="AQ2521" s="82">
        <f>IFERROR(__xludf.DUMMYFUNCTION("""COMPUTED_VALUE"""),0.0)</f>
        <v>0</v>
      </c>
      <c r="AR2521" s="82">
        <f>IFERROR(__xludf.DUMMYFUNCTION("""COMPUTED_VALUE"""),0.0)</f>
        <v>0</v>
      </c>
      <c r="AS2521" s="82"/>
      <c r="AT2521" s="82">
        <f>IFERROR(__xludf.DUMMYFUNCTION("""COMPUTED_VALUE"""),0.0)</f>
        <v>0</v>
      </c>
      <c r="AU2521" s="82"/>
      <c r="AV2521" s="82"/>
      <c r="AW2521" s="82" t="str">
        <f t="shared" si="1"/>
        <v/>
      </c>
      <c r="AX2521" s="83" t="str">
        <f t="array" ref="AX2521">IFERROR(DGET('SBV Import'!A:G,"SBV",{"RSC ID","Tier";B2521,A2521}))</f>
        <v/>
      </c>
      <c r="AY2521" s="82" t="str">
        <f t="shared" si="2"/>
        <v/>
      </c>
      <c r="AZ2521" s="82"/>
      <c r="BA2521" s="84" t="s">
        <v>152</v>
      </c>
      <c r="BB2521" s="84" t="str">
        <f>IFERROR(__xludf.DUMMYFUNCTION("iferror(if(A2521="""",,E2521&gt;=FILTER(Constants!$F$2:$F$10,Constants!$A$2:$A$10=A2521)))"),"")</f>
        <v/>
      </c>
    </row>
    <row r="2522">
      <c r="A2522" s="89"/>
      <c r="B2522" s="87"/>
      <c r="C2522" s="73"/>
      <c r="D2522" s="73"/>
      <c r="E2522" s="82"/>
      <c r="F2522" s="82"/>
      <c r="G2522" s="86"/>
      <c r="H2522" s="86"/>
      <c r="I2522" s="86"/>
      <c r="J2522" s="82"/>
      <c r="K2522" s="82"/>
      <c r="L2522" s="82"/>
      <c r="M2522" s="82"/>
      <c r="N2522" s="82"/>
      <c r="O2522" s="82"/>
      <c r="P2522" s="82"/>
      <c r="Q2522" s="82"/>
      <c r="R2522" s="82"/>
      <c r="S2522" s="82"/>
      <c r="T2522" s="82"/>
      <c r="U2522" s="82"/>
      <c r="V2522" s="82"/>
      <c r="W2522" s="82"/>
      <c r="X2522" s="82"/>
      <c r="Y2522" s="82"/>
      <c r="Z2522" s="82"/>
      <c r="AA2522" s="82"/>
      <c r="AB2522" s="82"/>
      <c r="AC2522" s="82"/>
      <c r="AD2522" s="82"/>
      <c r="AE2522" s="82"/>
      <c r="AF2522" s="82"/>
      <c r="AG2522" s="82"/>
      <c r="AH2522" s="82"/>
      <c r="AI2522" s="82"/>
      <c r="AJ2522" s="82"/>
      <c r="AK2522" s="82"/>
      <c r="AL2522" s="82"/>
      <c r="AM2522" s="82"/>
      <c r="AN2522" s="82">
        <f>IFERROR(__xludf.DUMMYFUNCTION("""COMPUTED_VALUE"""),0.0)</f>
        <v>0</v>
      </c>
      <c r="AO2522" s="82">
        <f>IFERROR(__xludf.DUMMYFUNCTION("""COMPUTED_VALUE"""),0.0)</f>
        <v>0</v>
      </c>
      <c r="AP2522" s="82">
        <f>IFERROR(__xludf.DUMMYFUNCTION("""COMPUTED_VALUE"""),0.0)</f>
        <v>0</v>
      </c>
      <c r="AQ2522" s="82">
        <f>IFERROR(__xludf.DUMMYFUNCTION("""COMPUTED_VALUE"""),0.0)</f>
        <v>0</v>
      </c>
      <c r="AR2522" s="82">
        <f>IFERROR(__xludf.DUMMYFUNCTION("""COMPUTED_VALUE"""),0.0)</f>
        <v>0</v>
      </c>
      <c r="AS2522" s="82"/>
      <c r="AT2522" s="82">
        <f>IFERROR(__xludf.DUMMYFUNCTION("""COMPUTED_VALUE"""),0.0)</f>
        <v>0</v>
      </c>
      <c r="AU2522" s="82"/>
      <c r="AV2522" s="82"/>
      <c r="AW2522" s="82" t="str">
        <f t="shared" si="1"/>
        <v/>
      </c>
      <c r="AX2522" s="83" t="str">
        <f t="array" ref="AX2522">IFERROR(DGET('SBV Import'!A:G,"SBV",{"RSC ID","Tier";B2522,A2522}))</f>
        <v/>
      </c>
      <c r="AY2522" s="82" t="str">
        <f t="shared" si="2"/>
        <v/>
      </c>
      <c r="AZ2522" s="82"/>
      <c r="BA2522" s="84" t="s">
        <v>152</v>
      </c>
      <c r="BB2522" s="84" t="str">
        <f>IFERROR(__xludf.DUMMYFUNCTION("iferror(if(A2522="""",,E2522&gt;=FILTER(Constants!$F$2:$F$10,Constants!$A$2:$A$10=A2522)))"),"")</f>
        <v/>
      </c>
    </row>
    <row r="2523">
      <c r="A2523" s="89"/>
      <c r="B2523" s="87"/>
      <c r="C2523" s="73"/>
      <c r="D2523" s="73"/>
      <c r="E2523" s="82"/>
      <c r="F2523" s="82"/>
      <c r="G2523" s="86"/>
      <c r="H2523" s="86"/>
      <c r="I2523" s="86"/>
      <c r="J2523" s="82"/>
      <c r="K2523" s="82"/>
      <c r="L2523" s="82"/>
      <c r="M2523" s="82"/>
      <c r="N2523" s="82"/>
      <c r="O2523" s="82"/>
      <c r="P2523" s="82"/>
      <c r="Q2523" s="82"/>
      <c r="R2523" s="82"/>
      <c r="S2523" s="82"/>
      <c r="T2523" s="82"/>
      <c r="U2523" s="82"/>
      <c r="V2523" s="82"/>
      <c r="W2523" s="82"/>
      <c r="X2523" s="82"/>
      <c r="Y2523" s="82"/>
      <c r="Z2523" s="82"/>
      <c r="AA2523" s="82"/>
      <c r="AB2523" s="82"/>
      <c r="AC2523" s="82"/>
      <c r="AD2523" s="82"/>
      <c r="AE2523" s="82"/>
      <c r="AF2523" s="82"/>
      <c r="AG2523" s="82"/>
      <c r="AH2523" s="82"/>
      <c r="AI2523" s="82"/>
      <c r="AJ2523" s="82"/>
      <c r="AK2523" s="82"/>
      <c r="AL2523" s="82"/>
      <c r="AM2523" s="82"/>
      <c r="AN2523" s="82">
        <f>IFERROR(__xludf.DUMMYFUNCTION("""COMPUTED_VALUE"""),0.0)</f>
        <v>0</v>
      </c>
      <c r="AO2523" s="82">
        <f>IFERROR(__xludf.DUMMYFUNCTION("""COMPUTED_VALUE"""),0.0)</f>
        <v>0</v>
      </c>
      <c r="AP2523" s="82">
        <f>IFERROR(__xludf.DUMMYFUNCTION("""COMPUTED_VALUE"""),0.0)</f>
        <v>0</v>
      </c>
      <c r="AQ2523" s="82">
        <f>IFERROR(__xludf.DUMMYFUNCTION("""COMPUTED_VALUE"""),0.0)</f>
        <v>0</v>
      </c>
      <c r="AR2523" s="82">
        <f>IFERROR(__xludf.DUMMYFUNCTION("""COMPUTED_VALUE"""),0.0)</f>
        <v>0</v>
      </c>
      <c r="AS2523" s="82"/>
      <c r="AT2523" s="82">
        <f>IFERROR(__xludf.DUMMYFUNCTION("""COMPUTED_VALUE"""),0.0)</f>
        <v>0</v>
      </c>
      <c r="AU2523" s="82"/>
      <c r="AV2523" s="82"/>
      <c r="AW2523" s="82" t="str">
        <f t="shared" si="1"/>
        <v/>
      </c>
      <c r="AX2523" s="83" t="str">
        <f t="array" ref="AX2523">IFERROR(DGET('SBV Import'!A:G,"SBV",{"RSC ID","Tier";B2523,A2523}))</f>
        <v/>
      </c>
      <c r="AY2523" s="82" t="str">
        <f t="shared" si="2"/>
        <v/>
      </c>
      <c r="AZ2523" s="82"/>
      <c r="BA2523" s="84" t="s">
        <v>152</v>
      </c>
      <c r="BB2523" s="84" t="str">
        <f>IFERROR(__xludf.DUMMYFUNCTION("iferror(if(A2523="""",,E2523&gt;=FILTER(Constants!$F$2:$F$10,Constants!$A$2:$A$10=A2523)))"),"")</f>
        <v/>
      </c>
    </row>
    <row r="2524">
      <c r="A2524" s="89"/>
      <c r="B2524" s="87"/>
      <c r="C2524" s="73"/>
      <c r="D2524" s="73"/>
      <c r="E2524" s="82"/>
      <c r="F2524" s="82"/>
      <c r="G2524" s="86"/>
      <c r="H2524" s="86"/>
      <c r="I2524" s="86"/>
      <c r="J2524" s="82"/>
      <c r="K2524" s="82"/>
      <c r="L2524" s="82"/>
      <c r="M2524" s="82"/>
      <c r="N2524" s="82"/>
      <c r="O2524" s="82"/>
      <c r="P2524" s="82"/>
      <c r="Q2524" s="82"/>
      <c r="R2524" s="82"/>
      <c r="S2524" s="82"/>
      <c r="T2524" s="82"/>
      <c r="U2524" s="82"/>
      <c r="V2524" s="82"/>
      <c r="W2524" s="82"/>
      <c r="X2524" s="82"/>
      <c r="Y2524" s="82"/>
      <c r="Z2524" s="82"/>
      <c r="AA2524" s="82"/>
      <c r="AB2524" s="82"/>
      <c r="AC2524" s="82"/>
      <c r="AD2524" s="82"/>
      <c r="AE2524" s="82"/>
      <c r="AF2524" s="82"/>
      <c r="AG2524" s="82"/>
      <c r="AH2524" s="82"/>
      <c r="AI2524" s="82"/>
      <c r="AJ2524" s="82"/>
      <c r="AK2524" s="82"/>
      <c r="AL2524" s="82"/>
      <c r="AM2524" s="82"/>
      <c r="AN2524" s="82">
        <f>IFERROR(__xludf.DUMMYFUNCTION("""COMPUTED_VALUE"""),0.0)</f>
        <v>0</v>
      </c>
      <c r="AO2524" s="82">
        <f>IFERROR(__xludf.DUMMYFUNCTION("""COMPUTED_VALUE"""),0.0)</f>
        <v>0</v>
      </c>
      <c r="AP2524" s="82">
        <f>IFERROR(__xludf.DUMMYFUNCTION("""COMPUTED_VALUE"""),0.0)</f>
        <v>0</v>
      </c>
      <c r="AQ2524" s="82">
        <f>IFERROR(__xludf.DUMMYFUNCTION("""COMPUTED_VALUE"""),0.0)</f>
        <v>0</v>
      </c>
      <c r="AR2524" s="82">
        <f>IFERROR(__xludf.DUMMYFUNCTION("""COMPUTED_VALUE"""),0.0)</f>
        <v>0</v>
      </c>
      <c r="AS2524" s="82"/>
      <c r="AT2524" s="82">
        <f>IFERROR(__xludf.DUMMYFUNCTION("""COMPUTED_VALUE"""),0.0)</f>
        <v>0</v>
      </c>
      <c r="AU2524" s="82"/>
      <c r="AV2524" s="82"/>
      <c r="AW2524" s="82" t="str">
        <f t="shared" si="1"/>
        <v/>
      </c>
      <c r="AX2524" s="83" t="str">
        <f t="array" ref="AX2524">IFERROR(DGET('SBV Import'!A:G,"SBV",{"RSC ID","Tier";B2524,A2524}))</f>
        <v/>
      </c>
      <c r="AY2524" s="82" t="str">
        <f t="shared" si="2"/>
        <v/>
      </c>
      <c r="AZ2524" s="82"/>
      <c r="BA2524" s="84" t="s">
        <v>152</v>
      </c>
      <c r="BB2524" s="84" t="str">
        <f>IFERROR(__xludf.DUMMYFUNCTION("iferror(if(A2524="""",,E2524&gt;=FILTER(Constants!$F$2:$F$10,Constants!$A$2:$A$10=A2524)))"),"")</f>
        <v/>
      </c>
    </row>
    <row r="2525">
      <c r="A2525" s="89"/>
      <c r="B2525" s="87"/>
      <c r="C2525" s="73"/>
      <c r="D2525" s="73"/>
      <c r="E2525" s="82"/>
      <c r="F2525" s="82"/>
      <c r="G2525" s="86"/>
      <c r="H2525" s="86"/>
      <c r="I2525" s="86"/>
      <c r="J2525" s="82"/>
      <c r="K2525" s="82"/>
      <c r="L2525" s="82"/>
      <c r="M2525" s="82"/>
      <c r="N2525" s="82"/>
      <c r="O2525" s="82"/>
      <c r="P2525" s="82"/>
      <c r="Q2525" s="82"/>
      <c r="R2525" s="82"/>
      <c r="S2525" s="82"/>
      <c r="T2525" s="82"/>
      <c r="U2525" s="82"/>
      <c r="V2525" s="82"/>
      <c r="W2525" s="82"/>
      <c r="X2525" s="82"/>
      <c r="Y2525" s="82"/>
      <c r="Z2525" s="82"/>
      <c r="AA2525" s="82"/>
      <c r="AB2525" s="82"/>
      <c r="AC2525" s="82"/>
      <c r="AD2525" s="82"/>
      <c r="AE2525" s="82"/>
      <c r="AF2525" s="82"/>
      <c r="AG2525" s="82"/>
      <c r="AH2525" s="82"/>
      <c r="AI2525" s="82"/>
      <c r="AJ2525" s="82"/>
      <c r="AK2525" s="82"/>
      <c r="AL2525" s="82"/>
      <c r="AM2525" s="82"/>
      <c r="AN2525" s="82">
        <f>IFERROR(__xludf.DUMMYFUNCTION("""COMPUTED_VALUE"""),0.0)</f>
        <v>0</v>
      </c>
      <c r="AO2525" s="82">
        <f>IFERROR(__xludf.DUMMYFUNCTION("""COMPUTED_VALUE"""),0.0)</f>
        <v>0</v>
      </c>
      <c r="AP2525" s="82">
        <f>IFERROR(__xludf.DUMMYFUNCTION("""COMPUTED_VALUE"""),0.0)</f>
        <v>0</v>
      </c>
      <c r="AQ2525" s="82">
        <f>IFERROR(__xludf.DUMMYFUNCTION("""COMPUTED_VALUE"""),0.0)</f>
        <v>0</v>
      </c>
      <c r="AR2525" s="82">
        <f>IFERROR(__xludf.DUMMYFUNCTION("""COMPUTED_VALUE"""),0.0)</f>
        <v>0</v>
      </c>
      <c r="AS2525" s="82"/>
      <c r="AT2525" s="82">
        <f>IFERROR(__xludf.DUMMYFUNCTION("""COMPUTED_VALUE"""),0.0)</f>
        <v>0</v>
      </c>
      <c r="AU2525" s="82"/>
      <c r="AV2525" s="82"/>
      <c r="AW2525" s="82" t="str">
        <f t="shared" si="1"/>
        <v/>
      </c>
      <c r="AX2525" s="83" t="str">
        <f t="array" ref="AX2525">IFERROR(DGET('SBV Import'!A:G,"SBV",{"RSC ID","Tier";B2525,A2525}))</f>
        <v/>
      </c>
      <c r="AY2525" s="82" t="str">
        <f t="shared" si="2"/>
        <v/>
      </c>
      <c r="AZ2525" s="82"/>
      <c r="BA2525" s="84" t="s">
        <v>152</v>
      </c>
      <c r="BB2525" s="84" t="str">
        <f>IFERROR(__xludf.DUMMYFUNCTION("iferror(if(A2525="""",,E2525&gt;=FILTER(Constants!$F$2:$F$10,Constants!$A$2:$A$10=A2525)))"),"")</f>
        <v/>
      </c>
    </row>
    <row r="2526">
      <c r="A2526" s="89"/>
      <c r="B2526" s="87"/>
      <c r="C2526" s="73"/>
      <c r="D2526" s="73"/>
      <c r="E2526" s="82"/>
      <c r="F2526" s="82"/>
      <c r="G2526" s="86"/>
      <c r="H2526" s="86"/>
      <c r="I2526" s="86"/>
      <c r="J2526" s="82"/>
      <c r="K2526" s="82"/>
      <c r="L2526" s="82"/>
      <c r="M2526" s="82"/>
      <c r="N2526" s="82"/>
      <c r="O2526" s="82"/>
      <c r="P2526" s="82"/>
      <c r="Q2526" s="82"/>
      <c r="R2526" s="82"/>
      <c r="S2526" s="82"/>
      <c r="T2526" s="82"/>
      <c r="U2526" s="82"/>
      <c r="V2526" s="82"/>
      <c r="W2526" s="82"/>
      <c r="X2526" s="82"/>
      <c r="Y2526" s="82"/>
      <c r="Z2526" s="82"/>
      <c r="AA2526" s="82"/>
      <c r="AB2526" s="82"/>
      <c r="AC2526" s="82"/>
      <c r="AD2526" s="82"/>
      <c r="AE2526" s="82"/>
      <c r="AF2526" s="82"/>
      <c r="AG2526" s="82"/>
      <c r="AH2526" s="82"/>
      <c r="AI2526" s="82"/>
      <c r="AJ2526" s="82"/>
      <c r="AK2526" s="82"/>
      <c r="AL2526" s="82"/>
      <c r="AM2526" s="82"/>
      <c r="AN2526" s="82">
        <f>IFERROR(__xludf.DUMMYFUNCTION("""COMPUTED_VALUE"""),0.0)</f>
        <v>0</v>
      </c>
      <c r="AO2526" s="82">
        <f>IFERROR(__xludf.DUMMYFUNCTION("""COMPUTED_VALUE"""),0.0)</f>
        <v>0</v>
      </c>
      <c r="AP2526" s="82">
        <f>IFERROR(__xludf.DUMMYFUNCTION("""COMPUTED_VALUE"""),0.0)</f>
        <v>0</v>
      </c>
      <c r="AQ2526" s="82">
        <f>IFERROR(__xludf.DUMMYFUNCTION("""COMPUTED_VALUE"""),0.0)</f>
        <v>0</v>
      </c>
      <c r="AR2526" s="82">
        <f>IFERROR(__xludf.DUMMYFUNCTION("""COMPUTED_VALUE"""),0.0)</f>
        <v>0</v>
      </c>
      <c r="AS2526" s="82"/>
      <c r="AT2526" s="82">
        <f>IFERROR(__xludf.DUMMYFUNCTION("""COMPUTED_VALUE"""),0.0)</f>
        <v>0</v>
      </c>
      <c r="AU2526" s="82"/>
      <c r="AV2526" s="82"/>
      <c r="AW2526" s="82" t="str">
        <f t="shared" si="1"/>
        <v/>
      </c>
      <c r="AX2526" s="83" t="str">
        <f t="array" ref="AX2526">IFERROR(DGET('SBV Import'!A:G,"SBV",{"RSC ID","Tier";B2526,A2526}))</f>
        <v/>
      </c>
      <c r="AY2526" s="82" t="str">
        <f t="shared" si="2"/>
        <v/>
      </c>
      <c r="AZ2526" s="82"/>
      <c r="BA2526" s="84" t="s">
        <v>152</v>
      </c>
      <c r="BB2526" s="84" t="str">
        <f>IFERROR(__xludf.DUMMYFUNCTION("iferror(if(A2526="""",,E2526&gt;=FILTER(Constants!$F$2:$F$10,Constants!$A$2:$A$10=A2526)))"),"")</f>
        <v/>
      </c>
    </row>
    <row r="2527">
      <c r="A2527" s="89"/>
      <c r="B2527" s="87"/>
      <c r="C2527" s="73"/>
      <c r="D2527" s="73"/>
      <c r="E2527" s="82"/>
      <c r="F2527" s="82"/>
      <c r="G2527" s="86"/>
      <c r="H2527" s="86"/>
      <c r="I2527" s="86"/>
      <c r="J2527" s="82"/>
      <c r="K2527" s="82"/>
      <c r="L2527" s="82"/>
      <c r="M2527" s="82"/>
      <c r="N2527" s="82"/>
      <c r="O2527" s="82"/>
      <c r="P2527" s="82"/>
      <c r="Q2527" s="82"/>
      <c r="R2527" s="82"/>
      <c r="S2527" s="82"/>
      <c r="T2527" s="82"/>
      <c r="U2527" s="82"/>
      <c r="V2527" s="82"/>
      <c r="W2527" s="82"/>
      <c r="X2527" s="82"/>
      <c r="Y2527" s="82"/>
      <c r="Z2527" s="82"/>
      <c r="AA2527" s="82"/>
      <c r="AB2527" s="82"/>
      <c r="AC2527" s="82"/>
      <c r="AD2527" s="82"/>
      <c r="AE2527" s="82"/>
      <c r="AF2527" s="82"/>
      <c r="AG2527" s="82"/>
      <c r="AH2527" s="82"/>
      <c r="AI2527" s="82"/>
      <c r="AJ2527" s="82"/>
      <c r="AK2527" s="82"/>
      <c r="AL2527" s="82"/>
      <c r="AM2527" s="82"/>
      <c r="AN2527" s="82">
        <f>IFERROR(__xludf.DUMMYFUNCTION("""COMPUTED_VALUE"""),0.0)</f>
        <v>0</v>
      </c>
      <c r="AO2527" s="82">
        <f>IFERROR(__xludf.DUMMYFUNCTION("""COMPUTED_VALUE"""),0.0)</f>
        <v>0</v>
      </c>
      <c r="AP2527" s="82">
        <f>IFERROR(__xludf.DUMMYFUNCTION("""COMPUTED_VALUE"""),0.0)</f>
        <v>0</v>
      </c>
      <c r="AQ2527" s="82">
        <f>IFERROR(__xludf.DUMMYFUNCTION("""COMPUTED_VALUE"""),0.0)</f>
        <v>0</v>
      </c>
      <c r="AR2527" s="82">
        <f>IFERROR(__xludf.DUMMYFUNCTION("""COMPUTED_VALUE"""),0.0)</f>
        <v>0</v>
      </c>
      <c r="AS2527" s="82"/>
      <c r="AT2527" s="82">
        <f>IFERROR(__xludf.DUMMYFUNCTION("""COMPUTED_VALUE"""),0.0)</f>
        <v>0</v>
      </c>
      <c r="AU2527" s="82"/>
      <c r="AV2527" s="82"/>
      <c r="AW2527" s="82" t="str">
        <f t="shared" si="1"/>
        <v/>
      </c>
      <c r="AX2527" s="83" t="str">
        <f t="array" ref="AX2527">IFERROR(DGET('SBV Import'!A:G,"SBV",{"RSC ID","Tier";B2527,A2527}))</f>
        <v/>
      </c>
      <c r="AY2527" s="82" t="str">
        <f t="shared" si="2"/>
        <v/>
      </c>
      <c r="AZ2527" s="82"/>
      <c r="BA2527" s="84" t="s">
        <v>152</v>
      </c>
      <c r="BB2527" s="84" t="str">
        <f>IFERROR(__xludf.DUMMYFUNCTION("iferror(if(A2527="""",,E2527&gt;=FILTER(Constants!$F$2:$F$10,Constants!$A$2:$A$10=A2527)))"),"")</f>
        <v/>
      </c>
    </row>
    <row r="2528">
      <c r="A2528" s="89"/>
      <c r="B2528" s="87"/>
      <c r="C2528" s="73"/>
      <c r="D2528" s="73"/>
      <c r="E2528" s="82"/>
      <c r="F2528" s="82"/>
      <c r="G2528" s="86"/>
      <c r="H2528" s="86"/>
      <c r="I2528" s="86"/>
      <c r="J2528" s="82"/>
      <c r="K2528" s="82"/>
      <c r="L2528" s="82"/>
      <c r="M2528" s="82"/>
      <c r="N2528" s="82"/>
      <c r="O2528" s="82"/>
      <c r="P2528" s="82"/>
      <c r="Q2528" s="82"/>
      <c r="R2528" s="82"/>
      <c r="S2528" s="82"/>
      <c r="T2528" s="82"/>
      <c r="U2528" s="82"/>
      <c r="V2528" s="82"/>
      <c r="W2528" s="82"/>
      <c r="X2528" s="82"/>
      <c r="Y2528" s="82"/>
      <c r="Z2528" s="82"/>
      <c r="AA2528" s="82"/>
      <c r="AB2528" s="82"/>
      <c r="AC2528" s="82"/>
      <c r="AD2528" s="82"/>
      <c r="AE2528" s="82"/>
      <c r="AF2528" s="82"/>
      <c r="AG2528" s="82"/>
      <c r="AH2528" s="82"/>
      <c r="AI2528" s="82"/>
      <c r="AJ2528" s="82"/>
      <c r="AK2528" s="82"/>
      <c r="AL2528" s="82"/>
      <c r="AM2528" s="82"/>
      <c r="AN2528" s="82">
        <f>IFERROR(__xludf.DUMMYFUNCTION("""COMPUTED_VALUE"""),0.0)</f>
        <v>0</v>
      </c>
      <c r="AO2528" s="82">
        <f>IFERROR(__xludf.DUMMYFUNCTION("""COMPUTED_VALUE"""),0.0)</f>
        <v>0</v>
      </c>
      <c r="AP2528" s="82">
        <f>IFERROR(__xludf.DUMMYFUNCTION("""COMPUTED_VALUE"""),0.0)</f>
        <v>0</v>
      </c>
      <c r="AQ2528" s="82">
        <f>IFERROR(__xludf.DUMMYFUNCTION("""COMPUTED_VALUE"""),0.0)</f>
        <v>0</v>
      </c>
      <c r="AR2528" s="82">
        <f>IFERROR(__xludf.DUMMYFUNCTION("""COMPUTED_VALUE"""),0.0)</f>
        <v>0</v>
      </c>
      <c r="AS2528" s="82"/>
      <c r="AT2528" s="82">
        <f>IFERROR(__xludf.DUMMYFUNCTION("""COMPUTED_VALUE"""),0.0)</f>
        <v>0</v>
      </c>
      <c r="AU2528" s="82"/>
      <c r="AV2528" s="82"/>
      <c r="AW2528" s="82" t="str">
        <f t="shared" si="1"/>
        <v/>
      </c>
      <c r="AX2528" s="83" t="str">
        <f t="array" ref="AX2528">IFERROR(DGET('SBV Import'!A:G,"SBV",{"RSC ID","Tier";B2528,A2528}))</f>
        <v/>
      </c>
      <c r="AY2528" s="82" t="str">
        <f t="shared" si="2"/>
        <v/>
      </c>
      <c r="AZ2528" s="82"/>
      <c r="BA2528" s="84" t="s">
        <v>152</v>
      </c>
      <c r="BB2528" s="84" t="str">
        <f>IFERROR(__xludf.DUMMYFUNCTION("iferror(if(A2528="""",,E2528&gt;=FILTER(Constants!$F$2:$F$10,Constants!$A$2:$A$10=A2528)))"),"")</f>
        <v/>
      </c>
    </row>
    <row r="2529">
      <c r="A2529" s="89"/>
      <c r="B2529" s="87"/>
      <c r="C2529" s="73"/>
      <c r="D2529" s="73"/>
      <c r="E2529" s="82"/>
      <c r="F2529" s="82"/>
      <c r="G2529" s="86"/>
      <c r="H2529" s="86"/>
      <c r="I2529" s="86"/>
      <c r="J2529" s="82"/>
      <c r="K2529" s="82"/>
      <c r="L2529" s="82"/>
      <c r="M2529" s="82"/>
      <c r="N2529" s="82"/>
      <c r="O2529" s="82"/>
      <c r="P2529" s="82"/>
      <c r="Q2529" s="82"/>
      <c r="R2529" s="82"/>
      <c r="S2529" s="82"/>
      <c r="T2529" s="82"/>
      <c r="U2529" s="82"/>
      <c r="V2529" s="82"/>
      <c r="W2529" s="82"/>
      <c r="X2529" s="82"/>
      <c r="Y2529" s="82"/>
      <c r="Z2529" s="82"/>
      <c r="AA2529" s="82"/>
      <c r="AB2529" s="82"/>
      <c r="AC2529" s="82"/>
      <c r="AD2529" s="82"/>
      <c r="AE2529" s="82"/>
      <c r="AF2529" s="82"/>
      <c r="AG2529" s="82"/>
      <c r="AH2529" s="82"/>
      <c r="AI2529" s="82"/>
      <c r="AJ2529" s="82"/>
      <c r="AK2529" s="82"/>
      <c r="AL2529" s="82"/>
      <c r="AM2529" s="82"/>
      <c r="AN2529" s="82">
        <f>IFERROR(__xludf.DUMMYFUNCTION("""COMPUTED_VALUE"""),0.0)</f>
        <v>0</v>
      </c>
      <c r="AO2529" s="82">
        <f>IFERROR(__xludf.DUMMYFUNCTION("""COMPUTED_VALUE"""),0.0)</f>
        <v>0</v>
      </c>
      <c r="AP2529" s="82">
        <f>IFERROR(__xludf.DUMMYFUNCTION("""COMPUTED_VALUE"""),0.0)</f>
        <v>0</v>
      </c>
      <c r="AQ2529" s="82">
        <f>IFERROR(__xludf.DUMMYFUNCTION("""COMPUTED_VALUE"""),0.0)</f>
        <v>0</v>
      </c>
      <c r="AR2529" s="82">
        <f>IFERROR(__xludf.DUMMYFUNCTION("""COMPUTED_VALUE"""),0.0)</f>
        <v>0</v>
      </c>
      <c r="AS2529" s="82"/>
      <c r="AT2529" s="82">
        <f>IFERROR(__xludf.DUMMYFUNCTION("""COMPUTED_VALUE"""),0.0)</f>
        <v>0</v>
      </c>
      <c r="AU2529" s="82"/>
      <c r="AV2529" s="82"/>
      <c r="AW2529" s="82" t="str">
        <f t="shared" si="1"/>
        <v/>
      </c>
      <c r="AX2529" s="83" t="str">
        <f t="array" ref="AX2529">IFERROR(DGET('SBV Import'!A:G,"SBV",{"RSC ID","Tier";B2529,A2529}))</f>
        <v/>
      </c>
      <c r="AY2529" s="82" t="str">
        <f t="shared" si="2"/>
        <v/>
      </c>
      <c r="AZ2529" s="82"/>
      <c r="BA2529" s="84" t="s">
        <v>152</v>
      </c>
      <c r="BB2529" s="84" t="str">
        <f>IFERROR(__xludf.DUMMYFUNCTION("iferror(if(A2529="""",,E2529&gt;=FILTER(Constants!$F$2:$F$10,Constants!$A$2:$A$10=A2529)))"),"")</f>
        <v/>
      </c>
    </row>
    <row r="2530">
      <c r="A2530" s="89"/>
      <c r="B2530" s="87"/>
      <c r="C2530" s="73"/>
      <c r="D2530" s="73"/>
      <c r="E2530" s="82"/>
      <c r="F2530" s="82"/>
      <c r="G2530" s="86"/>
      <c r="H2530" s="86"/>
      <c r="I2530" s="86"/>
      <c r="J2530" s="82"/>
      <c r="K2530" s="82"/>
      <c r="L2530" s="82"/>
      <c r="M2530" s="82"/>
      <c r="N2530" s="82"/>
      <c r="O2530" s="82"/>
      <c r="P2530" s="82"/>
      <c r="Q2530" s="82"/>
      <c r="R2530" s="82"/>
      <c r="S2530" s="82"/>
      <c r="T2530" s="82"/>
      <c r="U2530" s="82"/>
      <c r="V2530" s="82"/>
      <c r="W2530" s="82"/>
      <c r="X2530" s="82"/>
      <c r="Y2530" s="82"/>
      <c r="Z2530" s="82"/>
      <c r="AA2530" s="82"/>
      <c r="AB2530" s="82"/>
      <c r="AC2530" s="82"/>
      <c r="AD2530" s="82"/>
      <c r="AE2530" s="82"/>
      <c r="AF2530" s="82"/>
      <c r="AG2530" s="82"/>
      <c r="AH2530" s="82"/>
      <c r="AI2530" s="82"/>
      <c r="AJ2530" s="82"/>
      <c r="AK2530" s="82"/>
      <c r="AL2530" s="82"/>
      <c r="AM2530" s="82"/>
      <c r="AN2530" s="82">
        <f>IFERROR(__xludf.DUMMYFUNCTION("""COMPUTED_VALUE"""),0.0)</f>
        <v>0</v>
      </c>
      <c r="AO2530" s="82">
        <f>IFERROR(__xludf.DUMMYFUNCTION("""COMPUTED_VALUE"""),0.0)</f>
        <v>0</v>
      </c>
      <c r="AP2530" s="82">
        <f>IFERROR(__xludf.DUMMYFUNCTION("""COMPUTED_VALUE"""),0.0)</f>
        <v>0</v>
      </c>
      <c r="AQ2530" s="82">
        <f>IFERROR(__xludf.DUMMYFUNCTION("""COMPUTED_VALUE"""),0.0)</f>
        <v>0</v>
      </c>
      <c r="AR2530" s="82">
        <f>IFERROR(__xludf.DUMMYFUNCTION("""COMPUTED_VALUE"""),0.0)</f>
        <v>0</v>
      </c>
      <c r="AS2530" s="82"/>
      <c r="AT2530" s="82">
        <f>IFERROR(__xludf.DUMMYFUNCTION("""COMPUTED_VALUE"""),0.0)</f>
        <v>0</v>
      </c>
      <c r="AU2530" s="82"/>
      <c r="AV2530" s="82"/>
      <c r="AW2530" s="82" t="str">
        <f t="shared" si="1"/>
        <v/>
      </c>
      <c r="AX2530" s="83" t="str">
        <f t="array" ref="AX2530">IFERROR(DGET('SBV Import'!A:G,"SBV",{"RSC ID","Tier";B2530,A2530}))</f>
        <v/>
      </c>
      <c r="AY2530" s="82" t="str">
        <f t="shared" si="2"/>
        <v/>
      </c>
      <c r="AZ2530" s="82"/>
      <c r="BA2530" s="84" t="s">
        <v>152</v>
      </c>
      <c r="BB2530" s="84" t="str">
        <f>IFERROR(__xludf.DUMMYFUNCTION("iferror(if(A2530="""",,E2530&gt;=FILTER(Constants!$F$2:$F$10,Constants!$A$2:$A$10=A2530)))"),"")</f>
        <v/>
      </c>
    </row>
    <row r="2531">
      <c r="A2531" s="89"/>
      <c r="B2531" s="87"/>
      <c r="C2531" s="73"/>
      <c r="D2531" s="73"/>
      <c r="E2531" s="82"/>
      <c r="F2531" s="82"/>
      <c r="G2531" s="86"/>
      <c r="H2531" s="86"/>
      <c r="I2531" s="86"/>
      <c r="J2531" s="82"/>
      <c r="K2531" s="82"/>
      <c r="L2531" s="82"/>
      <c r="M2531" s="82"/>
      <c r="N2531" s="82"/>
      <c r="O2531" s="82"/>
      <c r="P2531" s="82"/>
      <c r="Q2531" s="82"/>
      <c r="R2531" s="82"/>
      <c r="S2531" s="82"/>
      <c r="T2531" s="82"/>
      <c r="U2531" s="82"/>
      <c r="V2531" s="82"/>
      <c r="W2531" s="82"/>
      <c r="X2531" s="82"/>
      <c r="Y2531" s="82"/>
      <c r="Z2531" s="82"/>
      <c r="AA2531" s="82"/>
      <c r="AB2531" s="82"/>
      <c r="AC2531" s="82"/>
      <c r="AD2531" s="82"/>
      <c r="AE2531" s="82"/>
      <c r="AF2531" s="82"/>
      <c r="AG2531" s="82"/>
      <c r="AH2531" s="82"/>
      <c r="AI2531" s="82"/>
      <c r="AJ2531" s="82"/>
      <c r="AK2531" s="82"/>
      <c r="AL2531" s="82"/>
      <c r="AM2531" s="82"/>
      <c r="AN2531" s="82">
        <f>IFERROR(__xludf.DUMMYFUNCTION("""COMPUTED_VALUE"""),0.0)</f>
        <v>0</v>
      </c>
      <c r="AO2531" s="82">
        <f>IFERROR(__xludf.DUMMYFUNCTION("""COMPUTED_VALUE"""),0.0)</f>
        <v>0</v>
      </c>
      <c r="AP2531" s="82">
        <f>IFERROR(__xludf.DUMMYFUNCTION("""COMPUTED_VALUE"""),0.0)</f>
        <v>0</v>
      </c>
      <c r="AQ2531" s="82">
        <f>IFERROR(__xludf.DUMMYFUNCTION("""COMPUTED_VALUE"""),0.0)</f>
        <v>0</v>
      </c>
      <c r="AR2531" s="82">
        <f>IFERROR(__xludf.DUMMYFUNCTION("""COMPUTED_VALUE"""),0.0)</f>
        <v>0</v>
      </c>
      <c r="AS2531" s="82"/>
      <c r="AT2531" s="82">
        <f>IFERROR(__xludf.DUMMYFUNCTION("""COMPUTED_VALUE"""),0.0)</f>
        <v>0</v>
      </c>
      <c r="AU2531" s="82"/>
      <c r="AV2531" s="82"/>
      <c r="AW2531" s="82" t="str">
        <f t="shared" si="1"/>
        <v/>
      </c>
      <c r="AX2531" s="83" t="str">
        <f t="array" ref="AX2531">IFERROR(DGET('SBV Import'!A:G,"SBV",{"RSC ID","Tier";B2531,A2531}))</f>
        <v/>
      </c>
      <c r="AY2531" s="82" t="str">
        <f t="shared" si="2"/>
        <v/>
      </c>
      <c r="AZ2531" s="82"/>
      <c r="BA2531" s="84" t="s">
        <v>152</v>
      </c>
      <c r="BB2531" s="84" t="str">
        <f>IFERROR(__xludf.DUMMYFUNCTION("iferror(if(A2531="""",,E2531&gt;=FILTER(Constants!$F$2:$F$10,Constants!$A$2:$A$10=A2531)))"),"")</f>
        <v/>
      </c>
    </row>
    <row r="2532">
      <c r="A2532" s="89"/>
      <c r="B2532" s="87"/>
      <c r="C2532" s="73"/>
      <c r="D2532" s="73"/>
      <c r="E2532" s="82"/>
      <c r="F2532" s="82"/>
      <c r="G2532" s="86"/>
      <c r="H2532" s="86"/>
      <c r="I2532" s="86"/>
      <c r="J2532" s="82"/>
      <c r="K2532" s="82"/>
      <c r="L2532" s="82"/>
      <c r="M2532" s="82"/>
      <c r="N2532" s="82"/>
      <c r="O2532" s="82"/>
      <c r="P2532" s="82"/>
      <c r="Q2532" s="82"/>
      <c r="R2532" s="82"/>
      <c r="S2532" s="82"/>
      <c r="T2532" s="82"/>
      <c r="U2532" s="82"/>
      <c r="V2532" s="82"/>
      <c r="W2532" s="82"/>
      <c r="X2532" s="82"/>
      <c r="Y2532" s="82"/>
      <c r="Z2532" s="82"/>
      <c r="AA2532" s="82"/>
      <c r="AB2532" s="82"/>
      <c r="AC2532" s="82"/>
      <c r="AD2532" s="82"/>
      <c r="AE2532" s="82"/>
      <c r="AF2532" s="82"/>
      <c r="AG2532" s="82"/>
      <c r="AH2532" s="82"/>
      <c r="AI2532" s="82"/>
      <c r="AJ2532" s="82"/>
      <c r="AK2532" s="82"/>
      <c r="AL2532" s="82"/>
      <c r="AM2532" s="82"/>
      <c r="AN2532" s="82">
        <f>IFERROR(__xludf.DUMMYFUNCTION("""COMPUTED_VALUE"""),0.0)</f>
        <v>0</v>
      </c>
      <c r="AO2532" s="82">
        <f>IFERROR(__xludf.DUMMYFUNCTION("""COMPUTED_VALUE"""),0.0)</f>
        <v>0</v>
      </c>
      <c r="AP2532" s="82">
        <f>IFERROR(__xludf.DUMMYFUNCTION("""COMPUTED_VALUE"""),0.0)</f>
        <v>0</v>
      </c>
      <c r="AQ2532" s="82">
        <f>IFERROR(__xludf.DUMMYFUNCTION("""COMPUTED_VALUE"""),0.0)</f>
        <v>0</v>
      </c>
      <c r="AR2532" s="82">
        <f>IFERROR(__xludf.DUMMYFUNCTION("""COMPUTED_VALUE"""),0.0)</f>
        <v>0</v>
      </c>
      <c r="AS2532" s="82"/>
      <c r="AT2532" s="82">
        <f>IFERROR(__xludf.DUMMYFUNCTION("""COMPUTED_VALUE"""),0.0)</f>
        <v>0</v>
      </c>
      <c r="AU2532" s="82"/>
      <c r="AV2532" s="82"/>
      <c r="AW2532" s="82" t="str">
        <f t="shared" si="1"/>
        <v/>
      </c>
      <c r="AX2532" s="83" t="str">
        <f t="array" ref="AX2532">IFERROR(DGET('SBV Import'!A:G,"SBV",{"RSC ID","Tier";B2532,A2532}))</f>
        <v/>
      </c>
      <c r="AY2532" s="82" t="str">
        <f t="shared" si="2"/>
        <v/>
      </c>
      <c r="AZ2532" s="82"/>
      <c r="BA2532" s="84" t="s">
        <v>152</v>
      </c>
      <c r="BB2532" s="84" t="str">
        <f>IFERROR(__xludf.DUMMYFUNCTION("iferror(if(A2532="""",,E2532&gt;=FILTER(Constants!$F$2:$F$10,Constants!$A$2:$A$10=A2532)))"),"")</f>
        <v/>
      </c>
    </row>
    <row r="2533">
      <c r="A2533" s="89"/>
      <c r="B2533" s="87"/>
      <c r="C2533" s="73"/>
      <c r="D2533" s="73"/>
      <c r="E2533" s="82"/>
      <c r="F2533" s="82"/>
      <c r="G2533" s="86"/>
      <c r="H2533" s="86"/>
      <c r="I2533" s="86"/>
      <c r="J2533" s="82"/>
      <c r="K2533" s="82"/>
      <c r="L2533" s="82"/>
      <c r="M2533" s="82"/>
      <c r="N2533" s="82"/>
      <c r="O2533" s="82"/>
      <c r="P2533" s="82"/>
      <c r="Q2533" s="82"/>
      <c r="R2533" s="82"/>
      <c r="S2533" s="82"/>
      <c r="T2533" s="82"/>
      <c r="U2533" s="82"/>
      <c r="V2533" s="82"/>
      <c r="W2533" s="82"/>
      <c r="X2533" s="82"/>
      <c r="Y2533" s="82"/>
      <c r="Z2533" s="82"/>
      <c r="AA2533" s="82"/>
      <c r="AB2533" s="82"/>
      <c r="AC2533" s="82"/>
      <c r="AD2533" s="82"/>
      <c r="AE2533" s="82"/>
      <c r="AF2533" s="82"/>
      <c r="AG2533" s="82"/>
      <c r="AH2533" s="82"/>
      <c r="AI2533" s="82"/>
      <c r="AJ2533" s="82"/>
      <c r="AK2533" s="82"/>
      <c r="AL2533" s="82"/>
      <c r="AM2533" s="82"/>
      <c r="AN2533" s="82">
        <f>IFERROR(__xludf.DUMMYFUNCTION("""COMPUTED_VALUE"""),0.0)</f>
        <v>0</v>
      </c>
      <c r="AO2533" s="82">
        <f>IFERROR(__xludf.DUMMYFUNCTION("""COMPUTED_VALUE"""),0.0)</f>
        <v>0</v>
      </c>
      <c r="AP2533" s="82">
        <f>IFERROR(__xludf.DUMMYFUNCTION("""COMPUTED_VALUE"""),0.0)</f>
        <v>0</v>
      </c>
      <c r="AQ2533" s="82">
        <f>IFERROR(__xludf.DUMMYFUNCTION("""COMPUTED_VALUE"""),0.0)</f>
        <v>0</v>
      </c>
      <c r="AR2533" s="82">
        <f>IFERROR(__xludf.DUMMYFUNCTION("""COMPUTED_VALUE"""),0.0)</f>
        <v>0</v>
      </c>
      <c r="AS2533" s="82"/>
      <c r="AT2533" s="82">
        <f>IFERROR(__xludf.DUMMYFUNCTION("""COMPUTED_VALUE"""),0.0)</f>
        <v>0</v>
      </c>
      <c r="AU2533" s="82"/>
      <c r="AV2533" s="82"/>
      <c r="AW2533" s="82" t="str">
        <f t="shared" si="1"/>
        <v/>
      </c>
      <c r="AX2533" s="83" t="str">
        <f t="array" ref="AX2533">IFERROR(DGET('SBV Import'!A:G,"SBV",{"RSC ID","Tier";B2533,A2533}))</f>
        <v/>
      </c>
      <c r="AY2533" s="82" t="str">
        <f t="shared" si="2"/>
        <v/>
      </c>
      <c r="AZ2533" s="82"/>
      <c r="BA2533" s="84" t="s">
        <v>152</v>
      </c>
      <c r="BB2533" s="84" t="str">
        <f>IFERROR(__xludf.DUMMYFUNCTION("iferror(if(A2533="""",,E2533&gt;=FILTER(Constants!$F$2:$F$10,Constants!$A$2:$A$10=A2533)))"),"")</f>
        <v/>
      </c>
    </row>
    <row r="2534">
      <c r="A2534" s="89"/>
      <c r="B2534" s="87"/>
      <c r="C2534" s="73"/>
      <c r="D2534" s="73"/>
      <c r="E2534" s="82"/>
      <c r="F2534" s="82"/>
      <c r="G2534" s="86"/>
      <c r="H2534" s="86"/>
      <c r="I2534" s="86"/>
      <c r="J2534" s="82"/>
      <c r="K2534" s="82"/>
      <c r="L2534" s="82"/>
      <c r="M2534" s="82"/>
      <c r="N2534" s="82"/>
      <c r="O2534" s="82"/>
      <c r="P2534" s="82"/>
      <c r="Q2534" s="82"/>
      <c r="R2534" s="82"/>
      <c r="S2534" s="82"/>
      <c r="T2534" s="82"/>
      <c r="U2534" s="82"/>
      <c r="V2534" s="82"/>
      <c r="W2534" s="82"/>
      <c r="X2534" s="82"/>
      <c r="Y2534" s="82"/>
      <c r="Z2534" s="82"/>
      <c r="AA2534" s="82"/>
      <c r="AB2534" s="82"/>
      <c r="AC2534" s="82"/>
      <c r="AD2534" s="82"/>
      <c r="AE2534" s="82"/>
      <c r="AF2534" s="82"/>
      <c r="AG2534" s="82"/>
      <c r="AH2534" s="82"/>
      <c r="AI2534" s="82"/>
      <c r="AJ2534" s="82"/>
      <c r="AK2534" s="82"/>
      <c r="AL2534" s="82"/>
      <c r="AM2534" s="82"/>
      <c r="AN2534" s="82">
        <f>IFERROR(__xludf.DUMMYFUNCTION("""COMPUTED_VALUE"""),0.0)</f>
        <v>0</v>
      </c>
      <c r="AO2534" s="82">
        <f>IFERROR(__xludf.DUMMYFUNCTION("""COMPUTED_VALUE"""),0.0)</f>
        <v>0</v>
      </c>
      <c r="AP2534" s="82">
        <f>IFERROR(__xludf.DUMMYFUNCTION("""COMPUTED_VALUE"""),0.0)</f>
        <v>0</v>
      </c>
      <c r="AQ2534" s="82">
        <f>IFERROR(__xludf.DUMMYFUNCTION("""COMPUTED_VALUE"""),0.0)</f>
        <v>0</v>
      </c>
      <c r="AR2534" s="82">
        <f>IFERROR(__xludf.DUMMYFUNCTION("""COMPUTED_VALUE"""),0.0)</f>
        <v>0</v>
      </c>
      <c r="AS2534" s="82"/>
      <c r="AT2534" s="82">
        <f>IFERROR(__xludf.DUMMYFUNCTION("""COMPUTED_VALUE"""),0.0)</f>
        <v>0</v>
      </c>
      <c r="AU2534" s="82"/>
      <c r="AV2534" s="82"/>
      <c r="AW2534" s="82" t="str">
        <f t="shared" si="1"/>
        <v/>
      </c>
      <c r="AX2534" s="83" t="str">
        <f t="array" ref="AX2534">IFERROR(DGET('SBV Import'!A:G,"SBV",{"RSC ID","Tier";B2534,A2534}))</f>
        <v/>
      </c>
      <c r="AY2534" s="82" t="str">
        <f t="shared" si="2"/>
        <v/>
      </c>
      <c r="AZ2534" s="82"/>
      <c r="BA2534" s="84" t="s">
        <v>152</v>
      </c>
      <c r="BB2534" s="84" t="str">
        <f>IFERROR(__xludf.DUMMYFUNCTION("iferror(if(A2534="""",,E2534&gt;=FILTER(Constants!$F$2:$F$10,Constants!$A$2:$A$10=A2534)))"),"")</f>
        <v/>
      </c>
    </row>
    <row r="2535">
      <c r="A2535" s="89"/>
      <c r="B2535" s="87"/>
      <c r="C2535" s="73"/>
      <c r="D2535" s="73"/>
      <c r="E2535" s="82"/>
      <c r="F2535" s="82"/>
      <c r="G2535" s="86"/>
      <c r="H2535" s="86"/>
      <c r="I2535" s="86"/>
      <c r="J2535" s="82"/>
      <c r="K2535" s="82"/>
      <c r="L2535" s="82"/>
      <c r="M2535" s="82"/>
      <c r="N2535" s="82"/>
      <c r="O2535" s="82"/>
      <c r="P2535" s="82"/>
      <c r="Q2535" s="82"/>
      <c r="R2535" s="82"/>
      <c r="S2535" s="82"/>
      <c r="T2535" s="82"/>
      <c r="U2535" s="82"/>
      <c r="V2535" s="82"/>
      <c r="W2535" s="82"/>
      <c r="X2535" s="82"/>
      <c r="Y2535" s="82"/>
      <c r="Z2535" s="82"/>
      <c r="AA2535" s="82"/>
      <c r="AB2535" s="82"/>
      <c r="AC2535" s="82"/>
      <c r="AD2535" s="82"/>
      <c r="AE2535" s="82"/>
      <c r="AF2535" s="82"/>
      <c r="AG2535" s="82"/>
      <c r="AH2535" s="82"/>
      <c r="AI2535" s="82"/>
      <c r="AJ2535" s="82"/>
      <c r="AK2535" s="82"/>
      <c r="AL2535" s="82"/>
      <c r="AM2535" s="82"/>
      <c r="AN2535" s="82">
        <f>IFERROR(__xludf.DUMMYFUNCTION("""COMPUTED_VALUE"""),0.0)</f>
        <v>0</v>
      </c>
      <c r="AO2535" s="82">
        <f>IFERROR(__xludf.DUMMYFUNCTION("""COMPUTED_VALUE"""),0.0)</f>
        <v>0</v>
      </c>
      <c r="AP2535" s="82">
        <f>IFERROR(__xludf.DUMMYFUNCTION("""COMPUTED_VALUE"""),0.0)</f>
        <v>0</v>
      </c>
      <c r="AQ2535" s="82">
        <f>IFERROR(__xludf.DUMMYFUNCTION("""COMPUTED_VALUE"""),0.0)</f>
        <v>0</v>
      </c>
      <c r="AR2535" s="82">
        <f>IFERROR(__xludf.DUMMYFUNCTION("""COMPUTED_VALUE"""),0.0)</f>
        <v>0</v>
      </c>
      <c r="AS2535" s="82"/>
      <c r="AT2535" s="82">
        <f>IFERROR(__xludf.DUMMYFUNCTION("""COMPUTED_VALUE"""),0.0)</f>
        <v>0</v>
      </c>
      <c r="AU2535" s="82"/>
      <c r="AV2535" s="82"/>
      <c r="AW2535" s="82" t="str">
        <f t="shared" si="1"/>
        <v/>
      </c>
      <c r="AX2535" s="83" t="str">
        <f t="array" ref="AX2535">IFERROR(DGET('SBV Import'!A:G,"SBV",{"RSC ID","Tier";B2535,A2535}))</f>
        <v/>
      </c>
      <c r="AY2535" s="82" t="str">
        <f t="shared" si="2"/>
        <v/>
      </c>
      <c r="AZ2535" s="82"/>
      <c r="BA2535" s="84" t="s">
        <v>152</v>
      </c>
      <c r="BB2535" s="84" t="str">
        <f>IFERROR(__xludf.DUMMYFUNCTION("iferror(if(A2535="""",,E2535&gt;=FILTER(Constants!$F$2:$F$10,Constants!$A$2:$A$10=A2535)))"),"")</f>
        <v/>
      </c>
    </row>
    <row r="2536">
      <c r="A2536" s="89"/>
      <c r="B2536" s="87"/>
      <c r="C2536" s="73"/>
      <c r="D2536" s="73"/>
      <c r="E2536" s="82"/>
      <c r="F2536" s="82"/>
      <c r="G2536" s="86"/>
      <c r="H2536" s="86"/>
      <c r="I2536" s="86"/>
      <c r="J2536" s="82"/>
      <c r="K2536" s="82"/>
      <c r="L2536" s="82"/>
      <c r="M2536" s="82"/>
      <c r="N2536" s="82"/>
      <c r="O2536" s="82"/>
      <c r="P2536" s="82"/>
      <c r="Q2536" s="82"/>
      <c r="R2536" s="82"/>
      <c r="S2536" s="82"/>
      <c r="T2536" s="82"/>
      <c r="U2536" s="82"/>
      <c r="V2536" s="82"/>
      <c r="W2536" s="82"/>
      <c r="X2536" s="82"/>
      <c r="Y2536" s="82"/>
      <c r="Z2536" s="82"/>
      <c r="AA2536" s="82"/>
      <c r="AB2536" s="82"/>
      <c r="AC2536" s="82"/>
      <c r="AD2536" s="82"/>
      <c r="AE2536" s="82"/>
      <c r="AF2536" s="82"/>
      <c r="AG2536" s="82"/>
      <c r="AH2536" s="82"/>
      <c r="AI2536" s="82"/>
      <c r="AJ2536" s="82"/>
      <c r="AK2536" s="82"/>
      <c r="AL2536" s="82"/>
      <c r="AM2536" s="82"/>
      <c r="AN2536" s="82">
        <f>IFERROR(__xludf.DUMMYFUNCTION("""COMPUTED_VALUE"""),0.0)</f>
        <v>0</v>
      </c>
      <c r="AO2536" s="82">
        <f>IFERROR(__xludf.DUMMYFUNCTION("""COMPUTED_VALUE"""),0.0)</f>
        <v>0</v>
      </c>
      <c r="AP2536" s="82">
        <f>IFERROR(__xludf.DUMMYFUNCTION("""COMPUTED_VALUE"""),0.0)</f>
        <v>0</v>
      </c>
      <c r="AQ2536" s="82">
        <f>IFERROR(__xludf.DUMMYFUNCTION("""COMPUTED_VALUE"""),0.0)</f>
        <v>0</v>
      </c>
      <c r="AR2536" s="82">
        <f>IFERROR(__xludf.DUMMYFUNCTION("""COMPUTED_VALUE"""),0.0)</f>
        <v>0</v>
      </c>
      <c r="AS2536" s="82"/>
      <c r="AT2536" s="82">
        <f>IFERROR(__xludf.DUMMYFUNCTION("""COMPUTED_VALUE"""),0.0)</f>
        <v>0</v>
      </c>
      <c r="AU2536" s="82"/>
      <c r="AV2536" s="82"/>
      <c r="AW2536" s="82" t="str">
        <f t="shared" si="1"/>
        <v/>
      </c>
      <c r="AX2536" s="83" t="str">
        <f t="array" ref="AX2536">IFERROR(DGET('SBV Import'!A:G,"SBV",{"RSC ID","Tier";B2536,A2536}))</f>
        <v/>
      </c>
      <c r="AY2536" s="82" t="str">
        <f t="shared" si="2"/>
        <v/>
      </c>
      <c r="AZ2536" s="82"/>
      <c r="BA2536" s="84" t="s">
        <v>152</v>
      </c>
      <c r="BB2536" s="84" t="str">
        <f>IFERROR(__xludf.DUMMYFUNCTION("iferror(if(A2536="""",,E2536&gt;=FILTER(Constants!$F$2:$F$10,Constants!$A$2:$A$10=A2536)))"),"")</f>
        <v/>
      </c>
    </row>
    <row r="2537">
      <c r="A2537" s="89"/>
      <c r="B2537" s="87"/>
      <c r="C2537" s="73"/>
      <c r="D2537" s="73"/>
      <c r="E2537" s="82"/>
      <c r="F2537" s="82"/>
      <c r="G2537" s="86"/>
      <c r="H2537" s="86"/>
      <c r="I2537" s="86"/>
      <c r="J2537" s="82"/>
      <c r="K2537" s="82"/>
      <c r="L2537" s="82"/>
      <c r="M2537" s="82"/>
      <c r="N2537" s="82"/>
      <c r="O2537" s="82"/>
      <c r="P2537" s="82"/>
      <c r="Q2537" s="82"/>
      <c r="R2537" s="82"/>
      <c r="S2537" s="82"/>
      <c r="T2537" s="82"/>
      <c r="U2537" s="82"/>
      <c r="V2537" s="82"/>
      <c r="W2537" s="82"/>
      <c r="X2537" s="82"/>
      <c r="Y2537" s="82"/>
      <c r="Z2537" s="82"/>
      <c r="AA2537" s="82"/>
      <c r="AB2537" s="82"/>
      <c r="AC2537" s="82"/>
      <c r="AD2537" s="82"/>
      <c r="AE2537" s="82"/>
      <c r="AF2537" s="82"/>
      <c r="AG2537" s="82"/>
      <c r="AH2537" s="82"/>
      <c r="AI2537" s="82"/>
      <c r="AJ2537" s="82"/>
      <c r="AK2537" s="82"/>
      <c r="AL2537" s="82"/>
      <c r="AM2537" s="82"/>
      <c r="AN2537" s="82">
        <f>IFERROR(__xludf.DUMMYFUNCTION("""COMPUTED_VALUE"""),0.0)</f>
        <v>0</v>
      </c>
      <c r="AO2537" s="82">
        <f>IFERROR(__xludf.DUMMYFUNCTION("""COMPUTED_VALUE"""),0.0)</f>
        <v>0</v>
      </c>
      <c r="AP2537" s="82">
        <f>IFERROR(__xludf.DUMMYFUNCTION("""COMPUTED_VALUE"""),0.0)</f>
        <v>0</v>
      </c>
      <c r="AQ2537" s="82">
        <f>IFERROR(__xludf.DUMMYFUNCTION("""COMPUTED_VALUE"""),0.0)</f>
        <v>0</v>
      </c>
      <c r="AR2537" s="82">
        <f>IFERROR(__xludf.DUMMYFUNCTION("""COMPUTED_VALUE"""),0.0)</f>
        <v>0</v>
      </c>
      <c r="AS2537" s="82"/>
      <c r="AT2537" s="82">
        <f>IFERROR(__xludf.DUMMYFUNCTION("""COMPUTED_VALUE"""),0.0)</f>
        <v>0</v>
      </c>
      <c r="AU2537" s="82"/>
      <c r="AV2537" s="82"/>
      <c r="AW2537" s="82" t="str">
        <f t="shared" si="1"/>
        <v/>
      </c>
      <c r="AX2537" s="83" t="str">
        <f t="array" ref="AX2537">IFERROR(DGET('SBV Import'!A:G,"SBV",{"RSC ID","Tier";B2537,A2537}))</f>
        <v/>
      </c>
      <c r="AY2537" s="82" t="str">
        <f t="shared" si="2"/>
        <v/>
      </c>
      <c r="AZ2537" s="82"/>
      <c r="BA2537" s="84" t="s">
        <v>152</v>
      </c>
      <c r="BB2537" s="84" t="str">
        <f>IFERROR(__xludf.DUMMYFUNCTION("iferror(if(A2537="""",,E2537&gt;=FILTER(Constants!$F$2:$F$10,Constants!$A$2:$A$10=A2537)))"),"")</f>
        <v/>
      </c>
    </row>
    <row r="2538">
      <c r="A2538" s="89"/>
      <c r="B2538" s="87"/>
      <c r="C2538" s="73"/>
      <c r="D2538" s="73"/>
      <c r="E2538" s="82"/>
      <c r="F2538" s="82"/>
      <c r="G2538" s="86"/>
      <c r="H2538" s="86"/>
      <c r="I2538" s="86"/>
      <c r="J2538" s="82"/>
      <c r="K2538" s="82"/>
      <c r="L2538" s="82"/>
      <c r="M2538" s="82"/>
      <c r="N2538" s="82"/>
      <c r="O2538" s="82"/>
      <c r="P2538" s="82"/>
      <c r="Q2538" s="82"/>
      <c r="R2538" s="82"/>
      <c r="S2538" s="82"/>
      <c r="T2538" s="82"/>
      <c r="U2538" s="82"/>
      <c r="V2538" s="82"/>
      <c r="W2538" s="82"/>
      <c r="X2538" s="82"/>
      <c r="Y2538" s="82"/>
      <c r="Z2538" s="82"/>
      <c r="AA2538" s="82"/>
      <c r="AB2538" s="82"/>
      <c r="AC2538" s="82"/>
      <c r="AD2538" s="82"/>
      <c r="AE2538" s="82"/>
      <c r="AF2538" s="82"/>
      <c r="AG2538" s="82"/>
      <c r="AH2538" s="82"/>
      <c r="AI2538" s="82"/>
      <c r="AJ2538" s="82"/>
      <c r="AK2538" s="82"/>
      <c r="AL2538" s="82"/>
      <c r="AM2538" s="82"/>
      <c r="AN2538" s="82">
        <f>IFERROR(__xludf.DUMMYFUNCTION("""COMPUTED_VALUE"""),0.0)</f>
        <v>0</v>
      </c>
      <c r="AO2538" s="82">
        <f>IFERROR(__xludf.DUMMYFUNCTION("""COMPUTED_VALUE"""),0.0)</f>
        <v>0</v>
      </c>
      <c r="AP2538" s="82">
        <f>IFERROR(__xludf.DUMMYFUNCTION("""COMPUTED_VALUE"""),0.0)</f>
        <v>0</v>
      </c>
      <c r="AQ2538" s="82">
        <f>IFERROR(__xludf.DUMMYFUNCTION("""COMPUTED_VALUE"""),0.0)</f>
        <v>0</v>
      </c>
      <c r="AR2538" s="82">
        <f>IFERROR(__xludf.DUMMYFUNCTION("""COMPUTED_VALUE"""),0.0)</f>
        <v>0</v>
      </c>
      <c r="AS2538" s="82"/>
      <c r="AT2538" s="82">
        <f>IFERROR(__xludf.DUMMYFUNCTION("""COMPUTED_VALUE"""),0.0)</f>
        <v>0</v>
      </c>
      <c r="AU2538" s="82"/>
      <c r="AV2538" s="82"/>
      <c r="AW2538" s="82" t="str">
        <f t="shared" si="1"/>
        <v/>
      </c>
      <c r="AX2538" s="83" t="str">
        <f t="array" ref="AX2538">IFERROR(DGET('SBV Import'!A:G,"SBV",{"RSC ID","Tier";B2538,A2538}))</f>
        <v/>
      </c>
      <c r="AY2538" s="82" t="str">
        <f t="shared" si="2"/>
        <v/>
      </c>
      <c r="AZ2538" s="82"/>
      <c r="BA2538" s="84" t="s">
        <v>152</v>
      </c>
      <c r="BB2538" s="84" t="str">
        <f>IFERROR(__xludf.DUMMYFUNCTION("iferror(if(A2538="""",,E2538&gt;=FILTER(Constants!$F$2:$F$10,Constants!$A$2:$A$10=A2538)))"),"")</f>
        <v/>
      </c>
    </row>
    <row r="2539">
      <c r="A2539" s="89"/>
      <c r="B2539" s="87"/>
      <c r="C2539" s="73"/>
      <c r="D2539" s="73"/>
      <c r="E2539" s="82"/>
      <c r="F2539" s="82"/>
      <c r="G2539" s="86"/>
      <c r="H2539" s="86"/>
      <c r="I2539" s="86"/>
      <c r="J2539" s="82"/>
      <c r="K2539" s="82"/>
      <c r="L2539" s="82"/>
      <c r="M2539" s="82"/>
      <c r="N2539" s="82"/>
      <c r="O2539" s="82"/>
      <c r="P2539" s="82"/>
      <c r="Q2539" s="82"/>
      <c r="R2539" s="82"/>
      <c r="S2539" s="82"/>
      <c r="T2539" s="82"/>
      <c r="U2539" s="82"/>
      <c r="V2539" s="82"/>
      <c r="W2539" s="82"/>
      <c r="X2539" s="82"/>
      <c r="Y2539" s="82"/>
      <c r="Z2539" s="82"/>
      <c r="AA2539" s="82"/>
      <c r="AB2539" s="82"/>
      <c r="AC2539" s="82"/>
      <c r="AD2539" s="82"/>
      <c r="AE2539" s="82"/>
      <c r="AF2539" s="82"/>
      <c r="AG2539" s="82"/>
      <c r="AH2539" s="82"/>
      <c r="AI2539" s="82"/>
      <c r="AJ2539" s="82"/>
      <c r="AK2539" s="82"/>
      <c r="AL2539" s="82"/>
      <c r="AM2539" s="82"/>
      <c r="AN2539" s="82">
        <f>IFERROR(__xludf.DUMMYFUNCTION("""COMPUTED_VALUE"""),0.0)</f>
        <v>0</v>
      </c>
      <c r="AO2539" s="82">
        <f>IFERROR(__xludf.DUMMYFUNCTION("""COMPUTED_VALUE"""),0.0)</f>
        <v>0</v>
      </c>
      <c r="AP2539" s="82">
        <f>IFERROR(__xludf.DUMMYFUNCTION("""COMPUTED_VALUE"""),0.0)</f>
        <v>0</v>
      </c>
      <c r="AQ2539" s="82">
        <f>IFERROR(__xludf.DUMMYFUNCTION("""COMPUTED_VALUE"""),0.0)</f>
        <v>0</v>
      </c>
      <c r="AR2539" s="82">
        <f>IFERROR(__xludf.DUMMYFUNCTION("""COMPUTED_VALUE"""),0.0)</f>
        <v>0</v>
      </c>
      <c r="AS2539" s="82"/>
      <c r="AT2539" s="82">
        <f>IFERROR(__xludf.DUMMYFUNCTION("""COMPUTED_VALUE"""),0.0)</f>
        <v>0</v>
      </c>
      <c r="AU2539" s="82"/>
      <c r="AV2539" s="82"/>
      <c r="AW2539" s="82" t="str">
        <f t="shared" si="1"/>
        <v/>
      </c>
      <c r="AX2539" s="83" t="str">
        <f t="array" ref="AX2539">IFERROR(DGET('SBV Import'!A:G,"SBV",{"RSC ID","Tier";B2539,A2539}))</f>
        <v/>
      </c>
      <c r="AY2539" s="82" t="str">
        <f t="shared" si="2"/>
        <v/>
      </c>
      <c r="AZ2539" s="82"/>
      <c r="BA2539" s="84" t="s">
        <v>152</v>
      </c>
      <c r="BB2539" s="84" t="str">
        <f>IFERROR(__xludf.DUMMYFUNCTION("iferror(if(A2539="""",,E2539&gt;=FILTER(Constants!$F$2:$F$10,Constants!$A$2:$A$10=A2539)))"),"")</f>
        <v/>
      </c>
    </row>
    <row r="2540">
      <c r="A2540" s="89"/>
      <c r="B2540" s="87"/>
      <c r="C2540" s="73"/>
      <c r="D2540" s="73"/>
      <c r="E2540" s="82"/>
      <c r="F2540" s="82"/>
      <c r="G2540" s="86"/>
      <c r="H2540" s="86"/>
      <c r="I2540" s="86"/>
      <c r="J2540" s="82"/>
      <c r="K2540" s="82"/>
      <c r="L2540" s="82"/>
      <c r="M2540" s="82"/>
      <c r="N2540" s="82"/>
      <c r="O2540" s="82"/>
      <c r="P2540" s="82"/>
      <c r="Q2540" s="82"/>
      <c r="R2540" s="82"/>
      <c r="S2540" s="82"/>
      <c r="T2540" s="82"/>
      <c r="U2540" s="82"/>
      <c r="V2540" s="82"/>
      <c r="W2540" s="82"/>
      <c r="X2540" s="82"/>
      <c r="Y2540" s="82"/>
      <c r="Z2540" s="82"/>
      <c r="AA2540" s="82"/>
      <c r="AB2540" s="82"/>
      <c r="AC2540" s="82"/>
      <c r="AD2540" s="82"/>
      <c r="AE2540" s="82"/>
      <c r="AF2540" s="82"/>
      <c r="AG2540" s="82"/>
      <c r="AH2540" s="82"/>
      <c r="AI2540" s="82"/>
      <c r="AJ2540" s="82"/>
      <c r="AK2540" s="82"/>
      <c r="AL2540" s="82"/>
      <c r="AM2540" s="82"/>
      <c r="AN2540" s="82">
        <f>IFERROR(__xludf.DUMMYFUNCTION("""COMPUTED_VALUE"""),0.0)</f>
        <v>0</v>
      </c>
      <c r="AO2540" s="82">
        <f>IFERROR(__xludf.DUMMYFUNCTION("""COMPUTED_VALUE"""),0.0)</f>
        <v>0</v>
      </c>
      <c r="AP2540" s="82">
        <f>IFERROR(__xludf.DUMMYFUNCTION("""COMPUTED_VALUE"""),0.0)</f>
        <v>0</v>
      </c>
      <c r="AQ2540" s="82">
        <f>IFERROR(__xludf.DUMMYFUNCTION("""COMPUTED_VALUE"""),0.0)</f>
        <v>0</v>
      </c>
      <c r="AR2540" s="82">
        <f>IFERROR(__xludf.DUMMYFUNCTION("""COMPUTED_VALUE"""),0.0)</f>
        <v>0</v>
      </c>
      <c r="AS2540" s="82"/>
      <c r="AT2540" s="82">
        <f>IFERROR(__xludf.DUMMYFUNCTION("""COMPUTED_VALUE"""),0.0)</f>
        <v>0</v>
      </c>
      <c r="AU2540" s="82"/>
      <c r="AV2540" s="82"/>
      <c r="AW2540" s="82" t="str">
        <f t="shared" si="1"/>
        <v/>
      </c>
      <c r="AX2540" s="83" t="str">
        <f t="array" ref="AX2540">IFERROR(DGET('SBV Import'!A:G,"SBV",{"RSC ID","Tier";B2540,A2540}))</f>
        <v/>
      </c>
      <c r="AY2540" s="82" t="str">
        <f t="shared" si="2"/>
        <v/>
      </c>
      <c r="AZ2540" s="82"/>
      <c r="BA2540" s="84" t="s">
        <v>152</v>
      </c>
      <c r="BB2540" s="84" t="str">
        <f>IFERROR(__xludf.DUMMYFUNCTION("iferror(if(A2540="""",,E2540&gt;=FILTER(Constants!$F$2:$F$10,Constants!$A$2:$A$10=A2540)))"),"")</f>
        <v/>
      </c>
    </row>
    <row r="2541">
      <c r="A2541" s="89"/>
      <c r="B2541" s="87"/>
      <c r="C2541" s="73"/>
      <c r="D2541" s="73"/>
      <c r="E2541" s="82"/>
      <c r="F2541" s="82"/>
      <c r="G2541" s="86"/>
      <c r="H2541" s="86"/>
      <c r="I2541" s="86"/>
      <c r="J2541" s="82"/>
      <c r="K2541" s="82"/>
      <c r="L2541" s="82"/>
      <c r="M2541" s="82"/>
      <c r="N2541" s="82"/>
      <c r="O2541" s="82"/>
      <c r="P2541" s="82"/>
      <c r="Q2541" s="82"/>
      <c r="R2541" s="82"/>
      <c r="S2541" s="82"/>
      <c r="T2541" s="82"/>
      <c r="U2541" s="82"/>
      <c r="V2541" s="82"/>
      <c r="W2541" s="82"/>
      <c r="X2541" s="82"/>
      <c r="Y2541" s="82"/>
      <c r="Z2541" s="82"/>
      <c r="AA2541" s="82"/>
      <c r="AB2541" s="82"/>
      <c r="AC2541" s="82"/>
      <c r="AD2541" s="82"/>
      <c r="AE2541" s="82"/>
      <c r="AF2541" s="82"/>
      <c r="AG2541" s="82"/>
      <c r="AH2541" s="82"/>
      <c r="AI2541" s="82"/>
      <c r="AJ2541" s="82"/>
      <c r="AK2541" s="82"/>
      <c r="AL2541" s="82"/>
      <c r="AM2541" s="82"/>
      <c r="AN2541" s="82">
        <f>IFERROR(__xludf.DUMMYFUNCTION("""COMPUTED_VALUE"""),0.0)</f>
        <v>0</v>
      </c>
      <c r="AO2541" s="82">
        <f>IFERROR(__xludf.DUMMYFUNCTION("""COMPUTED_VALUE"""),0.0)</f>
        <v>0</v>
      </c>
      <c r="AP2541" s="82">
        <f>IFERROR(__xludf.DUMMYFUNCTION("""COMPUTED_VALUE"""),0.0)</f>
        <v>0</v>
      </c>
      <c r="AQ2541" s="82">
        <f>IFERROR(__xludf.DUMMYFUNCTION("""COMPUTED_VALUE"""),0.0)</f>
        <v>0</v>
      </c>
      <c r="AR2541" s="82">
        <f>IFERROR(__xludf.DUMMYFUNCTION("""COMPUTED_VALUE"""),0.0)</f>
        <v>0</v>
      </c>
      <c r="AS2541" s="82"/>
      <c r="AT2541" s="82">
        <f>IFERROR(__xludf.DUMMYFUNCTION("""COMPUTED_VALUE"""),0.0)</f>
        <v>0</v>
      </c>
      <c r="AU2541" s="82"/>
      <c r="AV2541" s="82"/>
      <c r="AW2541" s="82" t="str">
        <f t="shared" si="1"/>
        <v/>
      </c>
      <c r="AX2541" s="83" t="str">
        <f t="array" ref="AX2541">IFERROR(DGET('SBV Import'!A:G,"SBV",{"RSC ID","Tier";B2541,A2541}))</f>
        <v/>
      </c>
      <c r="AY2541" s="82" t="str">
        <f t="shared" si="2"/>
        <v/>
      </c>
      <c r="AZ2541" s="82"/>
      <c r="BA2541" s="84" t="s">
        <v>152</v>
      </c>
      <c r="BB2541" s="84" t="str">
        <f>IFERROR(__xludf.DUMMYFUNCTION("iferror(if(A2541="""",,E2541&gt;=FILTER(Constants!$F$2:$F$10,Constants!$A$2:$A$10=A2541)))"),"")</f>
        <v/>
      </c>
    </row>
    <row r="2542">
      <c r="A2542" s="89"/>
      <c r="B2542" s="87"/>
      <c r="C2542" s="73"/>
      <c r="D2542" s="73"/>
      <c r="E2542" s="82"/>
      <c r="F2542" s="82"/>
      <c r="G2542" s="86"/>
      <c r="H2542" s="86"/>
      <c r="I2542" s="86"/>
      <c r="J2542" s="82"/>
      <c r="K2542" s="82"/>
      <c r="L2542" s="82"/>
      <c r="M2542" s="82"/>
      <c r="N2542" s="82"/>
      <c r="O2542" s="82"/>
      <c r="P2542" s="82"/>
      <c r="Q2542" s="82"/>
      <c r="R2542" s="82"/>
      <c r="S2542" s="82"/>
      <c r="T2542" s="82"/>
      <c r="U2542" s="82"/>
      <c r="V2542" s="82"/>
      <c r="W2542" s="82"/>
      <c r="X2542" s="82"/>
      <c r="Y2542" s="82"/>
      <c r="Z2542" s="82"/>
      <c r="AA2542" s="82"/>
      <c r="AB2542" s="82"/>
      <c r="AC2542" s="82"/>
      <c r="AD2542" s="82"/>
      <c r="AE2542" s="82"/>
      <c r="AF2542" s="82"/>
      <c r="AG2542" s="82"/>
      <c r="AH2542" s="82"/>
      <c r="AI2542" s="82"/>
      <c r="AJ2542" s="82"/>
      <c r="AK2542" s="82"/>
      <c r="AL2542" s="82"/>
      <c r="AM2542" s="82"/>
      <c r="AN2542" s="82">
        <f>IFERROR(__xludf.DUMMYFUNCTION("""COMPUTED_VALUE"""),0.0)</f>
        <v>0</v>
      </c>
      <c r="AO2542" s="82">
        <f>IFERROR(__xludf.DUMMYFUNCTION("""COMPUTED_VALUE"""),0.0)</f>
        <v>0</v>
      </c>
      <c r="AP2542" s="82">
        <f>IFERROR(__xludf.DUMMYFUNCTION("""COMPUTED_VALUE"""),0.0)</f>
        <v>0</v>
      </c>
      <c r="AQ2542" s="82">
        <f>IFERROR(__xludf.DUMMYFUNCTION("""COMPUTED_VALUE"""),0.0)</f>
        <v>0</v>
      </c>
      <c r="AR2542" s="82">
        <f>IFERROR(__xludf.DUMMYFUNCTION("""COMPUTED_VALUE"""),0.0)</f>
        <v>0</v>
      </c>
      <c r="AS2542" s="82"/>
      <c r="AT2542" s="82">
        <f>IFERROR(__xludf.DUMMYFUNCTION("""COMPUTED_VALUE"""),0.0)</f>
        <v>0</v>
      </c>
      <c r="AU2542" s="82"/>
      <c r="AV2542" s="82"/>
      <c r="AW2542" s="82" t="str">
        <f t="shared" si="1"/>
        <v/>
      </c>
      <c r="AX2542" s="83" t="str">
        <f t="array" ref="AX2542">IFERROR(DGET('SBV Import'!A:G,"SBV",{"RSC ID","Tier";B2542,A2542}))</f>
        <v/>
      </c>
      <c r="AY2542" s="82" t="str">
        <f t="shared" si="2"/>
        <v/>
      </c>
      <c r="AZ2542" s="82"/>
      <c r="BA2542" s="84" t="s">
        <v>152</v>
      </c>
      <c r="BB2542" s="84" t="str">
        <f>IFERROR(__xludf.DUMMYFUNCTION("iferror(if(A2542="""",,E2542&gt;=FILTER(Constants!$F$2:$F$10,Constants!$A$2:$A$10=A2542)))"),"")</f>
        <v/>
      </c>
    </row>
    <row r="2543">
      <c r="A2543" s="89"/>
      <c r="B2543" s="87"/>
      <c r="C2543" s="73"/>
      <c r="D2543" s="73"/>
      <c r="E2543" s="82"/>
      <c r="F2543" s="82"/>
      <c r="G2543" s="86"/>
      <c r="H2543" s="86"/>
      <c r="I2543" s="86"/>
      <c r="J2543" s="82"/>
      <c r="K2543" s="82"/>
      <c r="L2543" s="82"/>
      <c r="M2543" s="82"/>
      <c r="N2543" s="82"/>
      <c r="O2543" s="82"/>
      <c r="P2543" s="82"/>
      <c r="Q2543" s="82"/>
      <c r="R2543" s="82"/>
      <c r="S2543" s="82"/>
      <c r="T2543" s="82"/>
      <c r="U2543" s="82"/>
      <c r="V2543" s="82"/>
      <c r="W2543" s="82"/>
      <c r="X2543" s="82"/>
      <c r="Y2543" s="82"/>
      <c r="Z2543" s="82"/>
      <c r="AA2543" s="82"/>
      <c r="AB2543" s="82"/>
      <c r="AC2543" s="82"/>
      <c r="AD2543" s="82"/>
      <c r="AE2543" s="82"/>
      <c r="AF2543" s="82"/>
      <c r="AG2543" s="82"/>
      <c r="AH2543" s="82"/>
      <c r="AI2543" s="82"/>
      <c r="AJ2543" s="82"/>
      <c r="AK2543" s="82"/>
      <c r="AL2543" s="82"/>
      <c r="AM2543" s="82"/>
      <c r="AN2543" s="82">
        <f>IFERROR(__xludf.DUMMYFUNCTION("""COMPUTED_VALUE"""),0.0)</f>
        <v>0</v>
      </c>
      <c r="AO2543" s="82">
        <f>IFERROR(__xludf.DUMMYFUNCTION("""COMPUTED_VALUE"""),0.0)</f>
        <v>0</v>
      </c>
      <c r="AP2543" s="82">
        <f>IFERROR(__xludf.DUMMYFUNCTION("""COMPUTED_VALUE"""),0.0)</f>
        <v>0</v>
      </c>
      <c r="AQ2543" s="82">
        <f>IFERROR(__xludf.DUMMYFUNCTION("""COMPUTED_VALUE"""),0.0)</f>
        <v>0</v>
      </c>
      <c r="AR2543" s="82">
        <f>IFERROR(__xludf.DUMMYFUNCTION("""COMPUTED_VALUE"""),0.0)</f>
        <v>0</v>
      </c>
      <c r="AS2543" s="82"/>
      <c r="AT2543" s="82">
        <f>IFERROR(__xludf.DUMMYFUNCTION("""COMPUTED_VALUE"""),0.0)</f>
        <v>0</v>
      </c>
      <c r="AU2543" s="82"/>
      <c r="AV2543" s="82"/>
      <c r="AW2543" s="82" t="str">
        <f t="shared" si="1"/>
        <v/>
      </c>
      <c r="AX2543" s="83" t="str">
        <f t="array" ref="AX2543">IFERROR(DGET('SBV Import'!A:G,"SBV",{"RSC ID","Tier";B2543,A2543}))</f>
        <v/>
      </c>
      <c r="AY2543" s="82" t="str">
        <f t="shared" si="2"/>
        <v/>
      </c>
      <c r="AZ2543" s="82"/>
      <c r="BA2543" s="84" t="s">
        <v>152</v>
      </c>
      <c r="BB2543" s="84" t="str">
        <f>IFERROR(__xludf.DUMMYFUNCTION("iferror(if(A2543="""",,E2543&gt;=FILTER(Constants!$F$2:$F$10,Constants!$A$2:$A$10=A2543)))"),"")</f>
        <v/>
      </c>
    </row>
    <row r="2544">
      <c r="A2544" s="89"/>
      <c r="B2544" s="87"/>
      <c r="C2544" s="73"/>
      <c r="D2544" s="73"/>
      <c r="E2544" s="82"/>
      <c r="F2544" s="82"/>
      <c r="G2544" s="86"/>
      <c r="H2544" s="86"/>
      <c r="I2544" s="86"/>
      <c r="J2544" s="82"/>
      <c r="K2544" s="82"/>
      <c r="L2544" s="82"/>
      <c r="M2544" s="82"/>
      <c r="N2544" s="82"/>
      <c r="O2544" s="82"/>
      <c r="P2544" s="82"/>
      <c r="Q2544" s="82"/>
      <c r="R2544" s="82"/>
      <c r="S2544" s="82"/>
      <c r="T2544" s="82"/>
      <c r="U2544" s="82"/>
      <c r="V2544" s="82"/>
      <c r="W2544" s="82"/>
      <c r="X2544" s="82"/>
      <c r="Y2544" s="82"/>
      <c r="Z2544" s="82"/>
      <c r="AA2544" s="82"/>
      <c r="AB2544" s="82"/>
      <c r="AC2544" s="82"/>
      <c r="AD2544" s="82"/>
      <c r="AE2544" s="82"/>
      <c r="AF2544" s="82"/>
      <c r="AG2544" s="82"/>
      <c r="AH2544" s="82"/>
      <c r="AI2544" s="82"/>
      <c r="AJ2544" s="82"/>
      <c r="AK2544" s="82"/>
      <c r="AL2544" s="82"/>
      <c r="AM2544" s="82"/>
      <c r="AN2544" s="82">
        <f>IFERROR(__xludf.DUMMYFUNCTION("""COMPUTED_VALUE"""),0.0)</f>
        <v>0</v>
      </c>
      <c r="AO2544" s="82">
        <f>IFERROR(__xludf.DUMMYFUNCTION("""COMPUTED_VALUE"""),0.0)</f>
        <v>0</v>
      </c>
      <c r="AP2544" s="82">
        <f>IFERROR(__xludf.DUMMYFUNCTION("""COMPUTED_VALUE"""),0.0)</f>
        <v>0</v>
      </c>
      <c r="AQ2544" s="82">
        <f>IFERROR(__xludf.DUMMYFUNCTION("""COMPUTED_VALUE"""),0.0)</f>
        <v>0</v>
      </c>
      <c r="AR2544" s="82">
        <f>IFERROR(__xludf.DUMMYFUNCTION("""COMPUTED_VALUE"""),0.0)</f>
        <v>0</v>
      </c>
      <c r="AS2544" s="82"/>
      <c r="AT2544" s="82">
        <f>IFERROR(__xludf.DUMMYFUNCTION("""COMPUTED_VALUE"""),0.0)</f>
        <v>0</v>
      </c>
      <c r="AU2544" s="82"/>
      <c r="AV2544" s="82"/>
      <c r="AW2544" s="82" t="str">
        <f t="shared" si="1"/>
        <v/>
      </c>
      <c r="AX2544" s="83" t="str">
        <f t="array" ref="AX2544">IFERROR(DGET('SBV Import'!A:G,"SBV",{"RSC ID","Tier";B2544,A2544}))</f>
        <v/>
      </c>
      <c r="AY2544" s="82" t="str">
        <f t="shared" si="2"/>
        <v/>
      </c>
      <c r="AZ2544" s="82"/>
      <c r="BA2544" s="84" t="s">
        <v>152</v>
      </c>
      <c r="BB2544" s="84" t="str">
        <f>IFERROR(__xludf.DUMMYFUNCTION("iferror(if(A2544="""",,E2544&gt;=FILTER(Constants!$F$2:$F$10,Constants!$A$2:$A$10=A2544)))"),"")</f>
        <v/>
      </c>
    </row>
    <row r="2545">
      <c r="A2545" s="89"/>
      <c r="B2545" s="87"/>
      <c r="C2545" s="73"/>
      <c r="D2545" s="73"/>
      <c r="E2545" s="82"/>
      <c r="F2545" s="82"/>
      <c r="G2545" s="86"/>
      <c r="H2545" s="86"/>
      <c r="I2545" s="86"/>
      <c r="J2545" s="82"/>
      <c r="K2545" s="82"/>
      <c r="L2545" s="82"/>
      <c r="M2545" s="82"/>
      <c r="N2545" s="82"/>
      <c r="O2545" s="82"/>
      <c r="P2545" s="82"/>
      <c r="Q2545" s="82"/>
      <c r="R2545" s="82"/>
      <c r="S2545" s="82"/>
      <c r="T2545" s="82"/>
      <c r="U2545" s="82"/>
      <c r="V2545" s="82"/>
      <c r="W2545" s="82"/>
      <c r="X2545" s="82"/>
      <c r="Y2545" s="82"/>
      <c r="Z2545" s="82"/>
      <c r="AA2545" s="82"/>
      <c r="AB2545" s="82"/>
      <c r="AC2545" s="82"/>
      <c r="AD2545" s="82"/>
      <c r="AE2545" s="82"/>
      <c r="AF2545" s="82"/>
      <c r="AG2545" s="82"/>
      <c r="AH2545" s="82"/>
      <c r="AI2545" s="82"/>
      <c r="AJ2545" s="82"/>
      <c r="AK2545" s="82"/>
      <c r="AL2545" s="82"/>
      <c r="AM2545" s="82"/>
      <c r="AN2545" s="82">
        <f>IFERROR(__xludf.DUMMYFUNCTION("""COMPUTED_VALUE"""),0.0)</f>
        <v>0</v>
      </c>
      <c r="AO2545" s="82">
        <f>IFERROR(__xludf.DUMMYFUNCTION("""COMPUTED_VALUE"""),0.0)</f>
        <v>0</v>
      </c>
      <c r="AP2545" s="82">
        <f>IFERROR(__xludf.DUMMYFUNCTION("""COMPUTED_VALUE"""),0.0)</f>
        <v>0</v>
      </c>
      <c r="AQ2545" s="82">
        <f>IFERROR(__xludf.DUMMYFUNCTION("""COMPUTED_VALUE"""),0.0)</f>
        <v>0</v>
      </c>
      <c r="AR2545" s="82">
        <f>IFERROR(__xludf.DUMMYFUNCTION("""COMPUTED_VALUE"""),0.0)</f>
        <v>0</v>
      </c>
      <c r="AS2545" s="82"/>
      <c r="AT2545" s="82">
        <f>IFERROR(__xludf.DUMMYFUNCTION("""COMPUTED_VALUE"""),0.0)</f>
        <v>0</v>
      </c>
      <c r="AU2545" s="82"/>
      <c r="AV2545" s="82"/>
      <c r="AW2545" s="82" t="str">
        <f t="shared" si="1"/>
        <v/>
      </c>
      <c r="AX2545" s="83" t="str">
        <f t="array" ref="AX2545">IFERROR(DGET('SBV Import'!A:G,"SBV",{"RSC ID","Tier";B2545,A2545}))</f>
        <v/>
      </c>
      <c r="AY2545" s="82" t="str">
        <f t="shared" si="2"/>
        <v/>
      </c>
      <c r="AZ2545" s="82"/>
      <c r="BA2545" s="84" t="s">
        <v>152</v>
      </c>
      <c r="BB2545" s="84" t="str">
        <f>IFERROR(__xludf.DUMMYFUNCTION("iferror(if(A2545="""",,E2545&gt;=FILTER(Constants!$F$2:$F$10,Constants!$A$2:$A$10=A2545)))"),"")</f>
        <v/>
      </c>
    </row>
    <row r="2546">
      <c r="A2546" s="89"/>
      <c r="B2546" s="87"/>
      <c r="C2546" s="73"/>
      <c r="D2546" s="73"/>
      <c r="E2546" s="82"/>
      <c r="F2546" s="82"/>
      <c r="G2546" s="86"/>
      <c r="H2546" s="86"/>
      <c r="I2546" s="86"/>
      <c r="J2546" s="82"/>
      <c r="K2546" s="82"/>
      <c r="L2546" s="82"/>
      <c r="M2546" s="82"/>
      <c r="N2546" s="82"/>
      <c r="O2546" s="82"/>
      <c r="P2546" s="82"/>
      <c r="Q2546" s="82"/>
      <c r="R2546" s="82"/>
      <c r="S2546" s="82"/>
      <c r="T2546" s="82"/>
      <c r="U2546" s="82"/>
      <c r="V2546" s="82"/>
      <c r="W2546" s="82"/>
      <c r="X2546" s="82"/>
      <c r="Y2546" s="82"/>
      <c r="Z2546" s="82"/>
      <c r="AA2546" s="82"/>
      <c r="AB2546" s="82"/>
      <c r="AC2546" s="82"/>
      <c r="AD2546" s="82"/>
      <c r="AE2546" s="82"/>
      <c r="AF2546" s="82"/>
      <c r="AG2546" s="82"/>
      <c r="AH2546" s="82"/>
      <c r="AI2546" s="82"/>
      <c r="AJ2546" s="82"/>
      <c r="AK2546" s="82"/>
      <c r="AL2546" s="82"/>
      <c r="AM2546" s="82"/>
      <c r="AN2546" s="82">
        <f>IFERROR(__xludf.DUMMYFUNCTION("""COMPUTED_VALUE"""),0.0)</f>
        <v>0</v>
      </c>
      <c r="AO2546" s="82">
        <f>IFERROR(__xludf.DUMMYFUNCTION("""COMPUTED_VALUE"""),0.0)</f>
        <v>0</v>
      </c>
      <c r="AP2546" s="82">
        <f>IFERROR(__xludf.DUMMYFUNCTION("""COMPUTED_VALUE"""),0.0)</f>
        <v>0</v>
      </c>
      <c r="AQ2546" s="82">
        <f>IFERROR(__xludf.DUMMYFUNCTION("""COMPUTED_VALUE"""),0.0)</f>
        <v>0</v>
      </c>
      <c r="AR2546" s="82">
        <f>IFERROR(__xludf.DUMMYFUNCTION("""COMPUTED_VALUE"""),0.0)</f>
        <v>0</v>
      </c>
      <c r="AS2546" s="82"/>
      <c r="AT2546" s="82">
        <f>IFERROR(__xludf.DUMMYFUNCTION("""COMPUTED_VALUE"""),0.0)</f>
        <v>0</v>
      </c>
      <c r="AU2546" s="82"/>
      <c r="AV2546" s="82"/>
      <c r="AW2546" s="82" t="str">
        <f t="shared" si="1"/>
        <v/>
      </c>
      <c r="AX2546" s="83" t="str">
        <f t="array" ref="AX2546">IFERROR(DGET('SBV Import'!A:G,"SBV",{"RSC ID","Tier";B2546,A2546}))</f>
        <v/>
      </c>
      <c r="AY2546" s="82" t="str">
        <f t="shared" si="2"/>
        <v/>
      </c>
      <c r="AZ2546" s="82"/>
      <c r="BA2546" s="84" t="s">
        <v>152</v>
      </c>
      <c r="BB2546" s="84" t="str">
        <f>IFERROR(__xludf.DUMMYFUNCTION("iferror(if(A2546="""",,E2546&gt;=FILTER(Constants!$F$2:$F$10,Constants!$A$2:$A$10=A2546)))"),"")</f>
        <v/>
      </c>
    </row>
    <row r="2547">
      <c r="A2547" s="89"/>
      <c r="B2547" s="87"/>
      <c r="C2547" s="73"/>
      <c r="D2547" s="73"/>
      <c r="E2547" s="82"/>
      <c r="F2547" s="82"/>
      <c r="G2547" s="86"/>
      <c r="H2547" s="86"/>
      <c r="I2547" s="86"/>
      <c r="J2547" s="82"/>
      <c r="K2547" s="82"/>
      <c r="L2547" s="82"/>
      <c r="M2547" s="82"/>
      <c r="N2547" s="82"/>
      <c r="O2547" s="82"/>
      <c r="P2547" s="82"/>
      <c r="Q2547" s="82"/>
      <c r="R2547" s="82"/>
      <c r="S2547" s="82"/>
      <c r="T2547" s="82"/>
      <c r="U2547" s="82"/>
      <c r="V2547" s="82"/>
      <c r="W2547" s="82"/>
      <c r="X2547" s="82"/>
      <c r="Y2547" s="82"/>
      <c r="Z2547" s="82"/>
      <c r="AA2547" s="82"/>
      <c r="AB2547" s="82"/>
      <c r="AC2547" s="82"/>
      <c r="AD2547" s="82"/>
      <c r="AE2547" s="82"/>
      <c r="AF2547" s="82"/>
      <c r="AG2547" s="82"/>
      <c r="AH2547" s="82"/>
      <c r="AI2547" s="82"/>
      <c r="AJ2547" s="82"/>
      <c r="AK2547" s="82"/>
      <c r="AL2547" s="82"/>
      <c r="AM2547" s="82"/>
      <c r="AN2547" s="82">
        <f>IFERROR(__xludf.DUMMYFUNCTION("""COMPUTED_VALUE"""),0.0)</f>
        <v>0</v>
      </c>
      <c r="AO2547" s="82">
        <f>IFERROR(__xludf.DUMMYFUNCTION("""COMPUTED_VALUE"""),0.0)</f>
        <v>0</v>
      </c>
      <c r="AP2547" s="82">
        <f>IFERROR(__xludf.DUMMYFUNCTION("""COMPUTED_VALUE"""),0.0)</f>
        <v>0</v>
      </c>
      <c r="AQ2547" s="82">
        <f>IFERROR(__xludf.DUMMYFUNCTION("""COMPUTED_VALUE"""),0.0)</f>
        <v>0</v>
      </c>
      <c r="AR2547" s="82">
        <f>IFERROR(__xludf.DUMMYFUNCTION("""COMPUTED_VALUE"""),0.0)</f>
        <v>0</v>
      </c>
      <c r="AS2547" s="82"/>
      <c r="AT2547" s="82">
        <f>IFERROR(__xludf.DUMMYFUNCTION("""COMPUTED_VALUE"""),0.0)</f>
        <v>0</v>
      </c>
      <c r="AU2547" s="82"/>
      <c r="AV2547" s="82"/>
      <c r="AW2547" s="82" t="str">
        <f t="shared" si="1"/>
        <v/>
      </c>
      <c r="AX2547" s="83" t="str">
        <f t="array" ref="AX2547">IFERROR(DGET('SBV Import'!A:G,"SBV",{"RSC ID","Tier";B2547,A2547}))</f>
        <v/>
      </c>
      <c r="AY2547" s="82" t="str">
        <f t="shared" si="2"/>
        <v/>
      </c>
      <c r="AZ2547" s="82"/>
      <c r="BA2547" s="84" t="s">
        <v>152</v>
      </c>
      <c r="BB2547" s="84" t="str">
        <f>IFERROR(__xludf.DUMMYFUNCTION("iferror(if(A2547="""",,E2547&gt;=FILTER(Constants!$F$2:$F$10,Constants!$A$2:$A$10=A2547)))"),"")</f>
        <v/>
      </c>
    </row>
    <row r="2548">
      <c r="A2548" s="89"/>
      <c r="B2548" s="87"/>
      <c r="C2548" s="73"/>
      <c r="D2548" s="73"/>
      <c r="E2548" s="82"/>
      <c r="F2548" s="82"/>
      <c r="G2548" s="86"/>
      <c r="H2548" s="86"/>
      <c r="I2548" s="86"/>
      <c r="J2548" s="82"/>
      <c r="K2548" s="82"/>
      <c r="L2548" s="82"/>
      <c r="M2548" s="82"/>
      <c r="N2548" s="82"/>
      <c r="O2548" s="82"/>
      <c r="P2548" s="82"/>
      <c r="Q2548" s="82"/>
      <c r="R2548" s="82"/>
      <c r="S2548" s="82"/>
      <c r="T2548" s="82"/>
      <c r="U2548" s="82"/>
      <c r="V2548" s="82"/>
      <c r="W2548" s="82"/>
      <c r="X2548" s="82"/>
      <c r="Y2548" s="82"/>
      <c r="Z2548" s="82"/>
      <c r="AA2548" s="82"/>
      <c r="AB2548" s="82"/>
      <c r="AC2548" s="82"/>
      <c r="AD2548" s="82"/>
      <c r="AE2548" s="82"/>
      <c r="AF2548" s="82"/>
      <c r="AG2548" s="82"/>
      <c r="AH2548" s="82"/>
      <c r="AI2548" s="82"/>
      <c r="AJ2548" s="82"/>
      <c r="AK2548" s="82"/>
      <c r="AL2548" s="82"/>
      <c r="AM2548" s="82"/>
      <c r="AN2548" s="82">
        <f>IFERROR(__xludf.DUMMYFUNCTION("""COMPUTED_VALUE"""),0.0)</f>
        <v>0</v>
      </c>
      <c r="AO2548" s="82">
        <f>IFERROR(__xludf.DUMMYFUNCTION("""COMPUTED_VALUE"""),0.0)</f>
        <v>0</v>
      </c>
      <c r="AP2548" s="82">
        <f>IFERROR(__xludf.DUMMYFUNCTION("""COMPUTED_VALUE"""),0.0)</f>
        <v>0</v>
      </c>
      <c r="AQ2548" s="82">
        <f>IFERROR(__xludf.DUMMYFUNCTION("""COMPUTED_VALUE"""),0.0)</f>
        <v>0</v>
      </c>
      <c r="AR2548" s="82">
        <f>IFERROR(__xludf.DUMMYFUNCTION("""COMPUTED_VALUE"""),0.0)</f>
        <v>0</v>
      </c>
      <c r="AS2548" s="82"/>
      <c r="AT2548" s="82">
        <f>IFERROR(__xludf.DUMMYFUNCTION("""COMPUTED_VALUE"""),0.0)</f>
        <v>0</v>
      </c>
      <c r="AU2548" s="82"/>
      <c r="AV2548" s="82"/>
      <c r="AW2548" s="82" t="str">
        <f t="shared" si="1"/>
        <v/>
      </c>
      <c r="AX2548" s="83" t="str">
        <f t="array" ref="AX2548">IFERROR(DGET('SBV Import'!A:G,"SBV",{"RSC ID","Tier";B2548,A2548}))</f>
        <v/>
      </c>
      <c r="AY2548" s="82" t="str">
        <f t="shared" si="2"/>
        <v/>
      </c>
      <c r="AZ2548" s="82"/>
      <c r="BA2548" s="84" t="s">
        <v>152</v>
      </c>
      <c r="BB2548" s="84" t="str">
        <f>IFERROR(__xludf.DUMMYFUNCTION("iferror(if(A2548="""",,E2548&gt;=FILTER(Constants!$F$2:$F$10,Constants!$A$2:$A$10=A2548)))"),"")</f>
        <v/>
      </c>
    </row>
    <row r="2549">
      <c r="A2549" s="89"/>
      <c r="B2549" s="87"/>
      <c r="C2549" s="73"/>
      <c r="D2549" s="73"/>
      <c r="E2549" s="82"/>
      <c r="F2549" s="82"/>
      <c r="G2549" s="86"/>
      <c r="H2549" s="86"/>
      <c r="I2549" s="86"/>
      <c r="J2549" s="82"/>
      <c r="K2549" s="82"/>
      <c r="L2549" s="82"/>
      <c r="M2549" s="82"/>
      <c r="N2549" s="82"/>
      <c r="O2549" s="82"/>
      <c r="P2549" s="82"/>
      <c r="Q2549" s="82"/>
      <c r="R2549" s="82"/>
      <c r="S2549" s="82"/>
      <c r="T2549" s="82"/>
      <c r="U2549" s="82"/>
      <c r="V2549" s="82"/>
      <c r="W2549" s="82"/>
      <c r="X2549" s="82"/>
      <c r="Y2549" s="82"/>
      <c r="Z2549" s="82"/>
      <c r="AA2549" s="82"/>
      <c r="AB2549" s="82"/>
      <c r="AC2549" s="82"/>
      <c r="AD2549" s="82"/>
      <c r="AE2549" s="82"/>
      <c r="AF2549" s="82"/>
      <c r="AG2549" s="82"/>
      <c r="AH2549" s="82"/>
      <c r="AI2549" s="82"/>
      <c r="AJ2549" s="82"/>
      <c r="AK2549" s="82"/>
      <c r="AL2549" s="82"/>
      <c r="AM2549" s="82"/>
      <c r="AN2549" s="82">
        <f>IFERROR(__xludf.DUMMYFUNCTION("""COMPUTED_VALUE"""),0.0)</f>
        <v>0</v>
      </c>
      <c r="AO2549" s="82">
        <f>IFERROR(__xludf.DUMMYFUNCTION("""COMPUTED_VALUE"""),0.0)</f>
        <v>0</v>
      </c>
      <c r="AP2549" s="82">
        <f>IFERROR(__xludf.DUMMYFUNCTION("""COMPUTED_VALUE"""),0.0)</f>
        <v>0</v>
      </c>
      <c r="AQ2549" s="82">
        <f>IFERROR(__xludf.DUMMYFUNCTION("""COMPUTED_VALUE"""),0.0)</f>
        <v>0</v>
      </c>
      <c r="AR2549" s="82">
        <f>IFERROR(__xludf.DUMMYFUNCTION("""COMPUTED_VALUE"""),0.0)</f>
        <v>0</v>
      </c>
      <c r="AS2549" s="82"/>
      <c r="AT2549" s="82">
        <f>IFERROR(__xludf.DUMMYFUNCTION("""COMPUTED_VALUE"""),0.0)</f>
        <v>0</v>
      </c>
      <c r="AU2549" s="82"/>
      <c r="AV2549" s="82"/>
      <c r="AW2549" s="82" t="str">
        <f t="shared" si="1"/>
        <v/>
      </c>
      <c r="AX2549" s="83" t="str">
        <f t="array" ref="AX2549">IFERROR(DGET('SBV Import'!A:G,"SBV",{"RSC ID","Tier";B2549,A2549}))</f>
        <v/>
      </c>
      <c r="AY2549" s="82" t="str">
        <f t="shared" si="2"/>
        <v/>
      </c>
      <c r="AZ2549" s="82"/>
      <c r="BA2549" s="84" t="s">
        <v>152</v>
      </c>
      <c r="BB2549" s="84" t="str">
        <f>IFERROR(__xludf.DUMMYFUNCTION("iferror(if(A2549="""",,E2549&gt;=FILTER(Constants!$F$2:$F$10,Constants!$A$2:$A$10=A2549)))"),"")</f>
        <v/>
      </c>
    </row>
    <row r="2550">
      <c r="A2550" s="89"/>
      <c r="B2550" s="87"/>
      <c r="C2550" s="73"/>
      <c r="D2550" s="73"/>
      <c r="E2550" s="82"/>
      <c r="F2550" s="82"/>
      <c r="G2550" s="86"/>
      <c r="H2550" s="86"/>
      <c r="I2550" s="86"/>
      <c r="J2550" s="82"/>
      <c r="K2550" s="82"/>
      <c r="L2550" s="82"/>
      <c r="M2550" s="82"/>
      <c r="N2550" s="82"/>
      <c r="O2550" s="82"/>
      <c r="P2550" s="82"/>
      <c r="Q2550" s="82"/>
      <c r="R2550" s="82"/>
      <c r="S2550" s="82"/>
      <c r="T2550" s="82"/>
      <c r="U2550" s="82"/>
      <c r="V2550" s="82"/>
      <c r="W2550" s="82"/>
      <c r="X2550" s="82"/>
      <c r="Y2550" s="82"/>
      <c r="Z2550" s="82"/>
      <c r="AA2550" s="82"/>
      <c r="AB2550" s="82"/>
      <c r="AC2550" s="82"/>
      <c r="AD2550" s="82"/>
      <c r="AE2550" s="82"/>
      <c r="AF2550" s="82"/>
      <c r="AG2550" s="82"/>
      <c r="AH2550" s="82"/>
      <c r="AI2550" s="82"/>
      <c r="AJ2550" s="82"/>
      <c r="AK2550" s="82"/>
      <c r="AL2550" s="82"/>
      <c r="AM2550" s="82"/>
      <c r="AN2550" s="82">
        <f>IFERROR(__xludf.DUMMYFUNCTION("""COMPUTED_VALUE"""),0.0)</f>
        <v>0</v>
      </c>
      <c r="AO2550" s="82">
        <f>IFERROR(__xludf.DUMMYFUNCTION("""COMPUTED_VALUE"""),0.0)</f>
        <v>0</v>
      </c>
      <c r="AP2550" s="82">
        <f>IFERROR(__xludf.DUMMYFUNCTION("""COMPUTED_VALUE"""),0.0)</f>
        <v>0</v>
      </c>
      <c r="AQ2550" s="82">
        <f>IFERROR(__xludf.DUMMYFUNCTION("""COMPUTED_VALUE"""),0.0)</f>
        <v>0</v>
      </c>
      <c r="AR2550" s="82">
        <f>IFERROR(__xludf.DUMMYFUNCTION("""COMPUTED_VALUE"""),0.0)</f>
        <v>0</v>
      </c>
      <c r="AS2550" s="82"/>
      <c r="AT2550" s="82">
        <f>IFERROR(__xludf.DUMMYFUNCTION("""COMPUTED_VALUE"""),0.0)</f>
        <v>0</v>
      </c>
      <c r="AU2550" s="82"/>
      <c r="AV2550" s="82"/>
      <c r="AW2550" s="82" t="str">
        <f t="shared" si="1"/>
        <v/>
      </c>
      <c r="AX2550" s="83" t="str">
        <f t="array" ref="AX2550">IFERROR(DGET('SBV Import'!A:G,"SBV",{"RSC ID","Tier";B2550,A2550}))</f>
        <v/>
      </c>
      <c r="AY2550" s="82" t="str">
        <f t="shared" si="2"/>
        <v/>
      </c>
      <c r="AZ2550" s="82"/>
      <c r="BA2550" s="84" t="s">
        <v>152</v>
      </c>
      <c r="BB2550" s="84" t="str">
        <f>IFERROR(__xludf.DUMMYFUNCTION("iferror(if(A2550="""",,E2550&gt;=FILTER(Constants!$F$2:$F$10,Constants!$A$2:$A$10=A2550)))"),"")</f>
        <v/>
      </c>
    </row>
    <row r="2551">
      <c r="A2551" s="89"/>
      <c r="B2551" s="87"/>
      <c r="C2551" s="73"/>
      <c r="D2551" s="73"/>
      <c r="E2551" s="82"/>
      <c r="F2551" s="82"/>
      <c r="G2551" s="86"/>
      <c r="H2551" s="86"/>
      <c r="I2551" s="86"/>
      <c r="J2551" s="82"/>
      <c r="K2551" s="82"/>
      <c r="L2551" s="82"/>
      <c r="M2551" s="82"/>
      <c r="N2551" s="82"/>
      <c r="O2551" s="82"/>
      <c r="P2551" s="82"/>
      <c r="Q2551" s="82"/>
      <c r="R2551" s="82"/>
      <c r="S2551" s="82"/>
      <c r="T2551" s="82"/>
      <c r="U2551" s="82"/>
      <c r="V2551" s="82"/>
      <c r="W2551" s="82"/>
      <c r="X2551" s="82"/>
      <c r="Y2551" s="82"/>
      <c r="Z2551" s="82"/>
      <c r="AA2551" s="82"/>
      <c r="AB2551" s="82"/>
      <c r="AC2551" s="82"/>
      <c r="AD2551" s="82"/>
      <c r="AE2551" s="82"/>
      <c r="AF2551" s="82"/>
      <c r="AG2551" s="82"/>
      <c r="AH2551" s="82"/>
      <c r="AI2551" s="82"/>
      <c r="AJ2551" s="82"/>
      <c r="AK2551" s="82"/>
      <c r="AL2551" s="82"/>
      <c r="AM2551" s="82"/>
      <c r="AN2551" s="82">
        <f>IFERROR(__xludf.DUMMYFUNCTION("""COMPUTED_VALUE"""),0.0)</f>
        <v>0</v>
      </c>
      <c r="AO2551" s="82">
        <f>IFERROR(__xludf.DUMMYFUNCTION("""COMPUTED_VALUE"""),0.0)</f>
        <v>0</v>
      </c>
      <c r="AP2551" s="82">
        <f>IFERROR(__xludf.DUMMYFUNCTION("""COMPUTED_VALUE"""),0.0)</f>
        <v>0</v>
      </c>
      <c r="AQ2551" s="82">
        <f>IFERROR(__xludf.DUMMYFUNCTION("""COMPUTED_VALUE"""),0.0)</f>
        <v>0</v>
      </c>
      <c r="AR2551" s="82">
        <f>IFERROR(__xludf.DUMMYFUNCTION("""COMPUTED_VALUE"""),0.0)</f>
        <v>0</v>
      </c>
      <c r="AS2551" s="82"/>
      <c r="AT2551" s="82">
        <f>IFERROR(__xludf.DUMMYFUNCTION("""COMPUTED_VALUE"""),0.0)</f>
        <v>0</v>
      </c>
      <c r="AU2551" s="82"/>
      <c r="AV2551" s="82"/>
      <c r="AW2551" s="82" t="str">
        <f t="shared" si="1"/>
        <v/>
      </c>
      <c r="AX2551" s="83" t="str">
        <f t="array" ref="AX2551">IFERROR(DGET('SBV Import'!A:G,"SBV",{"RSC ID","Tier";B2551,A2551}))</f>
        <v/>
      </c>
      <c r="AY2551" s="82" t="str">
        <f t="shared" si="2"/>
        <v/>
      </c>
      <c r="AZ2551" s="82"/>
      <c r="BA2551" s="84" t="s">
        <v>152</v>
      </c>
      <c r="BB2551" s="84" t="str">
        <f>IFERROR(__xludf.DUMMYFUNCTION("iferror(if(A2551="""",,E2551&gt;=FILTER(Constants!$F$2:$F$10,Constants!$A$2:$A$10=A2551)))"),"")</f>
        <v/>
      </c>
    </row>
    <row r="2552">
      <c r="A2552" s="89"/>
      <c r="B2552" s="87"/>
      <c r="C2552" s="73"/>
      <c r="D2552" s="73"/>
      <c r="E2552" s="82"/>
      <c r="F2552" s="82"/>
      <c r="G2552" s="86"/>
      <c r="H2552" s="86"/>
      <c r="I2552" s="86"/>
      <c r="J2552" s="82"/>
      <c r="K2552" s="82"/>
      <c r="L2552" s="82"/>
      <c r="M2552" s="82"/>
      <c r="N2552" s="82"/>
      <c r="O2552" s="82"/>
      <c r="P2552" s="82"/>
      <c r="Q2552" s="82"/>
      <c r="R2552" s="82"/>
      <c r="S2552" s="82"/>
      <c r="T2552" s="82"/>
      <c r="U2552" s="82"/>
      <c r="V2552" s="82"/>
      <c r="W2552" s="82"/>
      <c r="X2552" s="82"/>
      <c r="Y2552" s="82"/>
      <c r="Z2552" s="82"/>
      <c r="AA2552" s="82"/>
      <c r="AB2552" s="82"/>
      <c r="AC2552" s="82"/>
      <c r="AD2552" s="82"/>
      <c r="AE2552" s="82"/>
      <c r="AF2552" s="82"/>
      <c r="AG2552" s="82"/>
      <c r="AH2552" s="82"/>
      <c r="AI2552" s="82"/>
      <c r="AJ2552" s="82"/>
      <c r="AK2552" s="82"/>
      <c r="AL2552" s="82"/>
      <c r="AM2552" s="82"/>
      <c r="AN2552" s="82">
        <f>IFERROR(__xludf.DUMMYFUNCTION("""COMPUTED_VALUE"""),0.0)</f>
        <v>0</v>
      </c>
      <c r="AO2552" s="82">
        <f>IFERROR(__xludf.DUMMYFUNCTION("""COMPUTED_VALUE"""),0.0)</f>
        <v>0</v>
      </c>
      <c r="AP2552" s="82">
        <f>IFERROR(__xludf.DUMMYFUNCTION("""COMPUTED_VALUE"""),0.0)</f>
        <v>0</v>
      </c>
      <c r="AQ2552" s="82">
        <f>IFERROR(__xludf.DUMMYFUNCTION("""COMPUTED_VALUE"""),0.0)</f>
        <v>0</v>
      </c>
      <c r="AR2552" s="82">
        <f>IFERROR(__xludf.DUMMYFUNCTION("""COMPUTED_VALUE"""),0.0)</f>
        <v>0</v>
      </c>
      <c r="AS2552" s="82"/>
      <c r="AT2552" s="82">
        <f>IFERROR(__xludf.DUMMYFUNCTION("""COMPUTED_VALUE"""),0.0)</f>
        <v>0</v>
      </c>
      <c r="AU2552" s="82"/>
      <c r="AV2552" s="82"/>
      <c r="AW2552" s="82" t="str">
        <f t="shared" si="1"/>
        <v/>
      </c>
      <c r="AX2552" s="83" t="str">
        <f t="array" ref="AX2552">IFERROR(DGET('SBV Import'!A:G,"SBV",{"RSC ID","Tier";B2552,A2552}))</f>
        <v/>
      </c>
      <c r="AY2552" s="82" t="str">
        <f t="shared" si="2"/>
        <v/>
      </c>
      <c r="AZ2552" s="82"/>
      <c r="BA2552" s="84" t="s">
        <v>152</v>
      </c>
      <c r="BB2552" s="84" t="str">
        <f>IFERROR(__xludf.DUMMYFUNCTION("iferror(if(A2552="""",,E2552&gt;=FILTER(Constants!$F$2:$F$10,Constants!$A$2:$A$10=A2552)))"),"")</f>
        <v/>
      </c>
    </row>
    <row r="2553">
      <c r="A2553" s="89"/>
      <c r="B2553" s="87"/>
      <c r="C2553" s="73"/>
      <c r="D2553" s="73"/>
      <c r="E2553" s="82"/>
      <c r="F2553" s="82"/>
      <c r="G2553" s="86"/>
      <c r="H2553" s="86"/>
      <c r="I2553" s="86"/>
      <c r="J2553" s="82"/>
      <c r="K2553" s="82"/>
      <c r="L2553" s="82"/>
      <c r="M2553" s="82"/>
      <c r="N2553" s="82"/>
      <c r="O2553" s="82"/>
      <c r="P2553" s="82"/>
      <c r="Q2553" s="82"/>
      <c r="R2553" s="82"/>
      <c r="S2553" s="82"/>
      <c r="T2553" s="82"/>
      <c r="U2553" s="82"/>
      <c r="V2553" s="82"/>
      <c r="W2553" s="82"/>
      <c r="X2553" s="82"/>
      <c r="Y2553" s="82"/>
      <c r="Z2553" s="82"/>
      <c r="AA2553" s="82"/>
      <c r="AB2553" s="82"/>
      <c r="AC2553" s="82"/>
      <c r="AD2553" s="82"/>
      <c r="AE2553" s="82"/>
      <c r="AF2553" s="82"/>
      <c r="AG2553" s="82"/>
      <c r="AH2553" s="82"/>
      <c r="AI2553" s="82"/>
      <c r="AJ2553" s="82"/>
      <c r="AK2553" s="82"/>
      <c r="AL2553" s="82"/>
      <c r="AM2553" s="82"/>
      <c r="AN2553" s="82">
        <f>IFERROR(__xludf.DUMMYFUNCTION("""COMPUTED_VALUE"""),0.0)</f>
        <v>0</v>
      </c>
      <c r="AO2553" s="82">
        <f>IFERROR(__xludf.DUMMYFUNCTION("""COMPUTED_VALUE"""),0.0)</f>
        <v>0</v>
      </c>
      <c r="AP2553" s="82">
        <f>IFERROR(__xludf.DUMMYFUNCTION("""COMPUTED_VALUE"""),0.0)</f>
        <v>0</v>
      </c>
      <c r="AQ2553" s="82">
        <f>IFERROR(__xludf.DUMMYFUNCTION("""COMPUTED_VALUE"""),0.0)</f>
        <v>0</v>
      </c>
      <c r="AR2553" s="82">
        <f>IFERROR(__xludf.DUMMYFUNCTION("""COMPUTED_VALUE"""),0.0)</f>
        <v>0</v>
      </c>
      <c r="AS2553" s="82"/>
      <c r="AT2553" s="82">
        <f>IFERROR(__xludf.DUMMYFUNCTION("""COMPUTED_VALUE"""),0.0)</f>
        <v>0</v>
      </c>
      <c r="AU2553" s="82"/>
      <c r="AV2553" s="82"/>
      <c r="AW2553" s="82" t="str">
        <f t="shared" si="1"/>
        <v/>
      </c>
      <c r="AX2553" s="83" t="str">
        <f t="array" ref="AX2553">IFERROR(DGET('SBV Import'!A:G,"SBV",{"RSC ID","Tier";B2553,A2553}))</f>
        <v/>
      </c>
      <c r="AY2553" s="82" t="str">
        <f t="shared" si="2"/>
        <v/>
      </c>
      <c r="AZ2553" s="82"/>
      <c r="BA2553" s="84" t="s">
        <v>152</v>
      </c>
      <c r="BB2553" s="84" t="str">
        <f>IFERROR(__xludf.DUMMYFUNCTION("iferror(if(A2553="""",,E2553&gt;=FILTER(Constants!$F$2:$F$10,Constants!$A$2:$A$10=A2553)))"),"")</f>
        <v/>
      </c>
    </row>
    <row r="2554">
      <c r="A2554" s="89"/>
      <c r="B2554" s="87"/>
      <c r="C2554" s="73"/>
      <c r="D2554" s="73"/>
      <c r="E2554" s="82"/>
      <c r="F2554" s="82"/>
      <c r="G2554" s="86"/>
      <c r="H2554" s="86"/>
      <c r="I2554" s="86"/>
      <c r="J2554" s="82"/>
      <c r="K2554" s="82"/>
      <c r="L2554" s="82"/>
      <c r="M2554" s="82"/>
      <c r="N2554" s="82"/>
      <c r="O2554" s="82"/>
      <c r="P2554" s="82"/>
      <c r="Q2554" s="82"/>
      <c r="R2554" s="82"/>
      <c r="S2554" s="82"/>
      <c r="T2554" s="82"/>
      <c r="U2554" s="82"/>
      <c r="V2554" s="82"/>
      <c r="W2554" s="82"/>
      <c r="X2554" s="82"/>
      <c r="Y2554" s="82"/>
      <c r="Z2554" s="82"/>
      <c r="AA2554" s="82"/>
      <c r="AB2554" s="82"/>
      <c r="AC2554" s="82"/>
      <c r="AD2554" s="82"/>
      <c r="AE2554" s="82"/>
      <c r="AF2554" s="82"/>
      <c r="AG2554" s="82"/>
      <c r="AH2554" s="82"/>
      <c r="AI2554" s="82"/>
      <c r="AJ2554" s="82"/>
      <c r="AK2554" s="82"/>
      <c r="AL2554" s="82"/>
      <c r="AM2554" s="82"/>
      <c r="AN2554" s="82">
        <f>IFERROR(__xludf.DUMMYFUNCTION("""COMPUTED_VALUE"""),0.0)</f>
        <v>0</v>
      </c>
      <c r="AO2554" s="82">
        <f>IFERROR(__xludf.DUMMYFUNCTION("""COMPUTED_VALUE"""),0.0)</f>
        <v>0</v>
      </c>
      <c r="AP2554" s="82">
        <f>IFERROR(__xludf.DUMMYFUNCTION("""COMPUTED_VALUE"""),0.0)</f>
        <v>0</v>
      </c>
      <c r="AQ2554" s="82">
        <f>IFERROR(__xludf.DUMMYFUNCTION("""COMPUTED_VALUE"""),0.0)</f>
        <v>0</v>
      </c>
      <c r="AR2554" s="82">
        <f>IFERROR(__xludf.DUMMYFUNCTION("""COMPUTED_VALUE"""),0.0)</f>
        <v>0</v>
      </c>
      <c r="AS2554" s="82"/>
      <c r="AT2554" s="82">
        <f>IFERROR(__xludf.DUMMYFUNCTION("""COMPUTED_VALUE"""),0.0)</f>
        <v>0</v>
      </c>
      <c r="AU2554" s="82"/>
      <c r="AV2554" s="82"/>
      <c r="AW2554" s="82" t="str">
        <f t="shared" si="1"/>
        <v/>
      </c>
      <c r="AX2554" s="83" t="str">
        <f t="array" ref="AX2554">IFERROR(DGET('SBV Import'!A:G,"SBV",{"RSC ID","Tier";B2554,A2554}))</f>
        <v/>
      </c>
      <c r="AY2554" s="82" t="str">
        <f t="shared" si="2"/>
        <v/>
      </c>
      <c r="AZ2554" s="82"/>
      <c r="BA2554" s="84" t="s">
        <v>152</v>
      </c>
      <c r="BB2554" s="84" t="str">
        <f>IFERROR(__xludf.DUMMYFUNCTION("iferror(if(A2554="""",,E2554&gt;=FILTER(Constants!$F$2:$F$10,Constants!$A$2:$A$10=A2554)))"),"")</f>
        <v/>
      </c>
    </row>
    <row r="2555">
      <c r="A2555" s="89"/>
      <c r="B2555" s="87"/>
      <c r="C2555" s="73"/>
      <c r="D2555" s="73"/>
      <c r="E2555" s="82"/>
      <c r="F2555" s="82"/>
      <c r="G2555" s="86"/>
      <c r="H2555" s="86"/>
      <c r="I2555" s="86"/>
      <c r="J2555" s="82"/>
      <c r="K2555" s="82"/>
      <c r="L2555" s="82"/>
      <c r="M2555" s="82"/>
      <c r="N2555" s="82"/>
      <c r="O2555" s="82"/>
      <c r="P2555" s="82"/>
      <c r="Q2555" s="82"/>
      <c r="R2555" s="82"/>
      <c r="S2555" s="82"/>
      <c r="T2555" s="82"/>
      <c r="U2555" s="82"/>
      <c r="V2555" s="82"/>
      <c r="W2555" s="82"/>
      <c r="X2555" s="82"/>
      <c r="Y2555" s="82"/>
      <c r="Z2555" s="82"/>
      <c r="AA2555" s="82"/>
      <c r="AB2555" s="82"/>
      <c r="AC2555" s="82"/>
      <c r="AD2555" s="82"/>
      <c r="AE2555" s="82"/>
      <c r="AF2555" s="82"/>
      <c r="AG2555" s="82"/>
      <c r="AH2555" s="82"/>
      <c r="AI2555" s="82"/>
      <c r="AJ2555" s="82"/>
      <c r="AK2555" s="82"/>
      <c r="AL2555" s="82"/>
      <c r="AM2555" s="82"/>
      <c r="AN2555" s="82">
        <f>IFERROR(__xludf.DUMMYFUNCTION("""COMPUTED_VALUE"""),0.0)</f>
        <v>0</v>
      </c>
      <c r="AO2555" s="82">
        <f>IFERROR(__xludf.DUMMYFUNCTION("""COMPUTED_VALUE"""),0.0)</f>
        <v>0</v>
      </c>
      <c r="AP2555" s="82">
        <f>IFERROR(__xludf.DUMMYFUNCTION("""COMPUTED_VALUE"""),0.0)</f>
        <v>0</v>
      </c>
      <c r="AQ2555" s="82">
        <f>IFERROR(__xludf.DUMMYFUNCTION("""COMPUTED_VALUE"""),0.0)</f>
        <v>0</v>
      </c>
      <c r="AR2555" s="82">
        <f>IFERROR(__xludf.DUMMYFUNCTION("""COMPUTED_VALUE"""),0.0)</f>
        <v>0</v>
      </c>
      <c r="AS2555" s="82"/>
      <c r="AT2555" s="82">
        <f>IFERROR(__xludf.DUMMYFUNCTION("""COMPUTED_VALUE"""),0.0)</f>
        <v>0</v>
      </c>
      <c r="AU2555" s="82"/>
      <c r="AV2555" s="82"/>
      <c r="AW2555" s="82" t="str">
        <f t="shared" si="1"/>
        <v/>
      </c>
      <c r="AX2555" s="83" t="str">
        <f t="array" ref="AX2555">IFERROR(DGET('SBV Import'!A:G,"SBV",{"RSC ID","Tier";B2555,A2555}))</f>
        <v/>
      </c>
      <c r="AY2555" s="82" t="str">
        <f t="shared" si="2"/>
        <v/>
      </c>
      <c r="AZ2555" s="82"/>
      <c r="BA2555" s="84" t="s">
        <v>152</v>
      </c>
      <c r="BB2555" s="84" t="str">
        <f>IFERROR(__xludf.DUMMYFUNCTION("iferror(if(A2555="""",,E2555&gt;=FILTER(Constants!$F$2:$F$10,Constants!$A$2:$A$10=A2555)))"),"")</f>
        <v/>
      </c>
    </row>
    <row r="2556">
      <c r="A2556" s="89"/>
      <c r="B2556" s="87"/>
      <c r="C2556" s="73"/>
      <c r="D2556" s="73"/>
      <c r="E2556" s="82"/>
      <c r="F2556" s="82"/>
      <c r="G2556" s="86"/>
      <c r="H2556" s="86"/>
      <c r="I2556" s="86"/>
      <c r="J2556" s="82"/>
      <c r="K2556" s="82"/>
      <c r="L2556" s="82"/>
      <c r="M2556" s="82"/>
      <c r="N2556" s="82"/>
      <c r="O2556" s="82"/>
      <c r="P2556" s="82"/>
      <c r="Q2556" s="82"/>
      <c r="R2556" s="82"/>
      <c r="S2556" s="82"/>
      <c r="T2556" s="82"/>
      <c r="U2556" s="82"/>
      <c r="V2556" s="82"/>
      <c r="W2556" s="82"/>
      <c r="X2556" s="82"/>
      <c r="Y2556" s="82"/>
      <c r="Z2556" s="82"/>
      <c r="AA2556" s="82"/>
      <c r="AB2556" s="82"/>
      <c r="AC2556" s="82"/>
      <c r="AD2556" s="82"/>
      <c r="AE2556" s="82"/>
      <c r="AF2556" s="82"/>
      <c r="AG2556" s="82"/>
      <c r="AH2556" s="82"/>
      <c r="AI2556" s="82"/>
      <c r="AJ2556" s="82"/>
      <c r="AK2556" s="82"/>
      <c r="AL2556" s="82"/>
      <c r="AM2556" s="82"/>
      <c r="AN2556" s="82">
        <f>IFERROR(__xludf.DUMMYFUNCTION("""COMPUTED_VALUE"""),0.0)</f>
        <v>0</v>
      </c>
      <c r="AO2556" s="82">
        <f>IFERROR(__xludf.DUMMYFUNCTION("""COMPUTED_VALUE"""),0.0)</f>
        <v>0</v>
      </c>
      <c r="AP2556" s="82">
        <f>IFERROR(__xludf.DUMMYFUNCTION("""COMPUTED_VALUE"""),0.0)</f>
        <v>0</v>
      </c>
      <c r="AQ2556" s="82">
        <f>IFERROR(__xludf.DUMMYFUNCTION("""COMPUTED_VALUE"""),0.0)</f>
        <v>0</v>
      </c>
      <c r="AR2556" s="82">
        <f>IFERROR(__xludf.DUMMYFUNCTION("""COMPUTED_VALUE"""),0.0)</f>
        <v>0</v>
      </c>
      <c r="AS2556" s="82"/>
      <c r="AT2556" s="82">
        <f>IFERROR(__xludf.DUMMYFUNCTION("""COMPUTED_VALUE"""),0.0)</f>
        <v>0</v>
      </c>
      <c r="AU2556" s="82"/>
      <c r="AV2556" s="82"/>
      <c r="AW2556" s="82" t="str">
        <f t="shared" si="1"/>
        <v/>
      </c>
      <c r="AX2556" s="83" t="str">
        <f t="array" ref="AX2556">IFERROR(DGET('SBV Import'!A:G,"SBV",{"RSC ID","Tier";B2556,A2556}))</f>
        <v/>
      </c>
      <c r="AY2556" s="82" t="str">
        <f t="shared" si="2"/>
        <v/>
      </c>
      <c r="AZ2556" s="82"/>
      <c r="BA2556" s="84" t="s">
        <v>152</v>
      </c>
      <c r="BB2556" s="84" t="str">
        <f>IFERROR(__xludf.DUMMYFUNCTION("iferror(if(A2556="""",,E2556&gt;=FILTER(Constants!$F$2:$F$10,Constants!$A$2:$A$10=A2556)))"),"")</f>
        <v/>
      </c>
    </row>
    <row r="2557">
      <c r="A2557" s="89"/>
      <c r="B2557" s="87"/>
      <c r="C2557" s="73"/>
      <c r="D2557" s="73"/>
      <c r="E2557" s="82"/>
      <c r="F2557" s="82"/>
      <c r="G2557" s="86"/>
      <c r="H2557" s="86"/>
      <c r="I2557" s="86"/>
      <c r="J2557" s="82"/>
      <c r="K2557" s="82"/>
      <c r="L2557" s="82"/>
      <c r="M2557" s="82"/>
      <c r="N2557" s="82"/>
      <c r="O2557" s="82"/>
      <c r="P2557" s="82"/>
      <c r="Q2557" s="82"/>
      <c r="R2557" s="82"/>
      <c r="S2557" s="82"/>
      <c r="T2557" s="82"/>
      <c r="U2557" s="82"/>
      <c r="V2557" s="82"/>
      <c r="W2557" s="82"/>
      <c r="X2557" s="82"/>
      <c r="Y2557" s="82"/>
      <c r="Z2557" s="82"/>
      <c r="AA2557" s="82"/>
      <c r="AB2557" s="82"/>
      <c r="AC2557" s="82"/>
      <c r="AD2557" s="82"/>
      <c r="AE2557" s="82"/>
      <c r="AF2557" s="82"/>
      <c r="AG2557" s="82"/>
      <c r="AH2557" s="82"/>
      <c r="AI2557" s="82"/>
      <c r="AJ2557" s="82"/>
      <c r="AK2557" s="82"/>
      <c r="AL2557" s="82"/>
      <c r="AM2557" s="82"/>
      <c r="AN2557" s="82">
        <f>IFERROR(__xludf.DUMMYFUNCTION("""COMPUTED_VALUE"""),0.0)</f>
        <v>0</v>
      </c>
      <c r="AO2557" s="82">
        <f>IFERROR(__xludf.DUMMYFUNCTION("""COMPUTED_VALUE"""),0.0)</f>
        <v>0</v>
      </c>
      <c r="AP2557" s="82">
        <f>IFERROR(__xludf.DUMMYFUNCTION("""COMPUTED_VALUE"""),0.0)</f>
        <v>0</v>
      </c>
      <c r="AQ2557" s="82">
        <f>IFERROR(__xludf.DUMMYFUNCTION("""COMPUTED_VALUE"""),0.0)</f>
        <v>0</v>
      </c>
      <c r="AR2557" s="82">
        <f>IFERROR(__xludf.DUMMYFUNCTION("""COMPUTED_VALUE"""),0.0)</f>
        <v>0</v>
      </c>
      <c r="AS2557" s="82"/>
      <c r="AT2557" s="82">
        <f>IFERROR(__xludf.DUMMYFUNCTION("""COMPUTED_VALUE"""),0.0)</f>
        <v>0</v>
      </c>
      <c r="AU2557" s="82"/>
      <c r="AV2557" s="82"/>
      <c r="AW2557" s="82" t="str">
        <f t="shared" si="1"/>
        <v/>
      </c>
      <c r="AX2557" s="83" t="str">
        <f t="array" ref="AX2557">IFERROR(DGET('SBV Import'!A:G,"SBV",{"RSC ID","Tier";B2557,A2557}))</f>
        <v/>
      </c>
      <c r="AY2557" s="82" t="str">
        <f t="shared" si="2"/>
        <v/>
      </c>
      <c r="AZ2557" s="82"/>
      <c r="BA2557" s="84" t="s">
        <v>152</v>
      </c>
      <c r="BB2557" s="84" t="str">
        <f>IFERROR(__xludf.DUMMYFUNCTION("iferror(if(A2557="""",,E2557&gt;=FILTER(Constants!$F$2:$F$10,Constants!$A$2:$A$10=A2557)))"),"")</f>
        <v/>
      </c>
    </row>
    <row r="2558">
      <c r="A2558" s="89"/>
      <c r="B2558" s="87"/>
      <c r="C2558" s="73"/>
      <c r="D2558" s="73"/>
      <c r="E2558" s="82"/>
      <c r="F2558" s="82"/>
      <c r="G2558" s="86"/>
      <c r="H2558" s="86"/>
      <c r="I2558" s="86"/>
      <c r="J2558" s="82"/>
      <c r="K2558" s="82"/>
      <c r="L2558" s="82"/>
      <c r="M2558" s="82"/>
      <c r="N2558" s="82"/>
      <c r="O2558" s="82"/>
      <c r="P2558" s="82"/>
      <c r="Q2558" s="82"/>
      <c r="R2558" s="82"/>
      <c r="S2558" s="82"/>
      <c r="T2558" s="82"/>
      <c r="U2558" s="82"/>
      <c r="V2558" s="82"/>
      <c r="W2558" s="82"/>
      <c r="X2558" s="82"/>
      <c r="Y2558" s="82"/>
      <c r="Z2558" s="82"/>
      <c r="AA2558" s="82"/>
      <c r="AB2558" s="82"/>
      <c r="AC2558" s="82"/>
      <c r="AD2558" s="82"/>
      <c r="AE2558" s="82"/>
      <c r="AF2558" s="82"/>
      <c r="AG2558" s="82"/>
      <c r="AH2558" s="82"/>
      <c r="AI2558" s="82"/>
      <c r="AJ2558" s="82"/>
      <c r="AK2558" s="82"/>
      <c r="AL2558" s="82"/>
      <c r="AM2558" s="82"/>
      <c r="AN2558" s="82">
        <f>IFERROR(__xludf.DUMMYFUNCTION("""COMPUTED_VALUE"""),0.0)</f>
        <v>0</v>
      </c>
      <c r="AO2558" s="82">
        <f>IFERROR(__xludf.DUMMYFUNCTION("""COMPUTED_VALUE"""),0.0)</f>
        <v>0</v>
      </c>
      <c r="AP2558" s="82">
        <f>IFERROR(__xludf.DUMMYFUNCTION("""COMPUTED_VALUE"""),0.0)</f>
        <v>0</v>
      </c>
      <c r="AQ2558" s="82">
        <f>IFERROR(__xludf.DUMMYFUNCTION("""COMPUTED_VALUE"""),0.0)</f>
        <v>0</v>
      </c>
      <c r="AR2558" s="82">
        <f>IFERROR(__xludf.DUMMYFUNCTION("""COMPUTED_VALUE"""),0.0)</f>
        <v>0</v>
      </c>
      <c r="AS2558" s="82"/>
      <c r="AT2558" s="82">
        <f>IFERROR(__xludf.DUMMYFUNCTION("""COMPUTED_VALUE"""),0.0)</f>
        <v>0</v>
      </c>
      <c r="AU2558" s="82"/>
      <c r="AV2558" s="82"/>
      <c r="AW2558" s="82" t="str">
        <f t="shared" si="1"/>
        <v/>
      </c>
      <c r="AX2558" s="83" t="str">
        <f t="array" ref="AX2558">IFERROR(DGET('SBV Import'!A:G,"SBV",{"RSC ID","Tier";B2558,A2558}))</f>
        <v/>
      </c>
      <c r="AY2558" s="82" t="str">
        <f t="shared" si="2"/>
        <v/>
      </c>
      <c r="AZ2558" s="82"/>
      <c r="BA2558" s="84" t="s">
        <v>152</v>
      </c>
      <c r="BB2558" s="84" t="str">
        <f>IFERROR(__xludf.DUMMYFUNCTION("iferror(if(A2558="""",,E2558&gt;=FILTER(Constants!$F$2:$F$10,Constants!$A$2:$A$10=A2558)))"),"")</f>
        <v/>
      </c>
    </row>
    <row r="2559">
      <c r="A2559" s="89"/>
      <c r="B2559" s="87"/>
      <c r="C2559" s="73"/>
      <c r="D2559" s="73"/>
      <c r="E2559" s="82"/>
      <c r="F2559" s="82"/>
      <c r="G2559" s="86"/>
      <c r="H2559" s="86"/>
      <c r="I2559" s="86"/>
      <c r="J2559" s="82"/>
      <c r="K2559" s="82"/>
      <c r="L2559" s="82"/>
      <c r="M2559" s="82"/>
      <c r="N2559" s="82"/>
      <c r="O2559" s="82"/>
      <c r="P2559" s="82"/>
      <c r="Q2559" s="82"/>
      <c r="R2559" s="82"/>
      <c r="S2559" s="82"/>
      <c r="T2559" s="82"/>
      <c r="U2559" s="82"/>
      <c r="V2559" s="82"/>
      <c r="W2559" s="82"/>
      <c r="X2559" s="82"/>
      <c r="Y2559" s="82"/>
      <c r="Z2559" s="82"/>
      <c r="AA2559" s="82"/>
      <c r="AB2559" s="82"/>
      <c r="AC2559" s="82"/>
      <c r="AD2559" s="82"/>
      <c r="AE2559" s="82"/>
      <c r="AF2559" s="82"/>
      <c r="AG2559" s="82"/>
      <c r="AH2559" s="82"/>
      <c r="AI2559" s="82"/>
      <c r="AJ2559" s="82"/>
      <c r="AK2559" s="82"/>
      <c r="AL2559" s="82"/>
      <c r="AM2559" s="82"/>
      <c r="AN2559" s="82">
        <f>IFERROR(__xludf.DUMMYFUNCTION("""COMPUTED_VALUE"""),0.0)</f>
        <v>0</v>
      </c>
      <c r="AO2559" s="82">
        <f>IFERROR(__xludf.DUMMYFUNCTION("""COMPUTED_VALUE"""),0.0)</f>
        <v>0</v>
      </c>
      <c r="AP2559" s="82">
        <f>IFERROR(__xludf.DUMMYFUNCTION("""COMPUTED_VALUE"""),0.0)</f>
        <v>0</v>
      </c>
      <c r="AQ2559" s="82">
        <f>IFERROR(__xludf.DUMMYFUNCTION("""COMPUTED_VALUE"""),0.0)</f>
        <v>0</v>
      </c>
      <c r="AR2559" s="82">
        <f>IFERROR(__xludf.DUMMYFUNCTION("""COMPUTED_VALUE"""),0.0)</f>
        <v>0</v>
      </c>
      <c r="AS2559" s="82"/>
      <c r="AT2559" s="82">
        <f>IFERROR(__xludf.DUMMYFUNCTION("""COMPUTED_VALUE"""),0.0)</f>
        <v>0</v>
      </c>
      <c r="AU2559" s="82"/>
      <c r="AV2559" s="82"/>
      <c r="AW2559" s="82" t="str">
        <f t="shared" si="1"/>
        <v/>
      </c>
      <c r="AX2559" s="83" t="str">
        <f t="array" ref="AX2559">IFERROR(DGET('SBV Import'!A:G,"SBV",{"RSC ID","Tier";B2559,A2559}))</f>
        <v/>
      </c>
      <c r="AY2559" s="82" t="str">
        <f t="shared" si="2"/>
        <v/>
      </c>
      <c r="AZ2559" s="82"/>
      <c r="BA2559" s="84" t="s">
        <v>152</v>
      </c>
      <c r="BB2559" s="84" t="str">
        <f>IFERROR(__xludf.DUMMYFUNCTION("iferror(if(A2559="""",,E2559&gt;=FILTER(Constants!$F$2:$F$10,Constants!$A$2:$A$10=A2559)))"),"")</f>
        <v/>
      </c>
    </row>
    <row r="2560">
      <c r="A2560" s="89"/>
      <c r="B2560" s="87"/>
      <c r="C2560" s="73"/>
      <c r="D2560" s="73"/>
      <c r="E2560" s="82"/>
      <c r="F2560" s="82"/>
      <c r="G2560" s="86"/>
      <c r="H2560" s="86"/>
      <c r="I2560" s="86"/>
      <c r="J2560" s="82"/>
      <c r="K2560" s="82"/>
      <c r="L2560" s="82"/>
      <c r="M2560" s="82"/>
      <c r="N2560" s="82"/>
      <c r="O2560" s="82"/>
      <c r="P2560" s="82"/>
      <c r="Q2560" s="82"/>
      <c r="R2560" s="82"/>
      <c r="S2560" s="82"/>
      <c r="T2560" s="82"/>
      <c r="U2560" s="82"/>
      <c r="V2560" s="82"/>
      <c r="W2560" s="82"/>
      <c r="X2560" s="82"/>
      <c r="Y2560" s="82"/>
      <c r="Z2560" s="82"/>
      <c r="AA2560" s="82"/>
      <c r="AB2560" s="82"/>
      <c r="AC2560" s="82"/>
      <c r="AD2560" s="82"/>
      <c r="AE2560" s="82"/>
      <c r="AF2560" s="82"/>
      <c r="AG2560" s="82"/>
      <c r="AH2560" s="82"/>
      <c r="AI2560" s="82"/>
      <c r="AJ2560" s="82"/>
      <c r="AK2560" s="82"/>
      <c r="AL2560" s="82"/>
      <c r="AM2560" s="82"/>
      <c r="AN2560" s="82">
        <f>IFERROR(__xludf.DUMMYFUNCTION("""COMPUTED_VALUE"""),0.0)</f>
        <v>0</v>
      </c>
      <c r="AO2560" s="82">
        <f>IFERROR(__xludf.DUMMYFUNCTION("""COMPUTED_VALUE"""),0.0)</f>
        <v>0</v>
      </c>
      <c r="AP2560" s="82">
        <f>IFERROR(__xludf.DUMMYFUNCTION("""COMPUTED_VALUE"""),0.0)</f>
        <v>0</v>
      </c>
      <c r="AQ2560" s="82">
        <f>IFERROR(__xludf.DUMMYFUNCTION("""COMPUTED_VALUE"""),0.0)</f>
        <v>0</v>
      </c>
      <c r="AR2560" s="82">
        <f>IFERROR(__xludf.DUMMYFUNCTION("""COMPUTED_VALUE"""),0.0)</f>
        <v>0</v>
      </c>
      <c r="AS2560" s="82"/>
      <c r="AT2560" s="82">
        <f>IFERROR(__xludf.DUMMYFUNCTION("""COMPUTED_VALUE"""),0.0)</f>
        <v>0</v>
      </c>
      <c r="AU2560" s="82"/>
      <c r="AV2560" s="82"/>
      <c r="AW2560" s="82" t="str">
        <f t="shared" si="1"/>
        <v/>
      </c>
      <c r="AX2560" s="83" t="str">
        <f t="array" ref="AX2560">IFERROR(DGET('SBV Import'!A:G,"SBV",{"RSC ID","Tier";B2560,A2560}))</f>
        <v/>
      </c>
      <c r="AY2560" s="82" t="str">
        <f t="shared" si="2"/>
        <v/>
      </c>
      <c r="AZ2560" s="82"/>
      <c r="BA2560" s="84" t="s">
        <v>152</v>
      </c>
      <c r="BB2560" s="84" t="str">
        <f>IFERROR(__xludf.DUMMYFUNCTION("iferror(if(A2560="""",,E2560&gt;=FILTER(Constants!$F$2:$F$10,Constants!$A$2:$A$10=A2560)))"),"")</f>
        <v/>
      </c>
    </row>
    <row r="2561">
      <c r="A2561" s="89"/>
      <c r="B2561" s="87"/>
      <c r="C2561" s="73"/>
      <c r="D2561" s="73"/>
      <c r="E2561" s="82"/>
      <c r="F2561" s="82"/>
      <c r="G2561" s="86"/>
      <c r="H2561" s="86"/>
      <c r="I2561" s="86"/>
      <c r="J2561" s="82"/>
      <c r="K2561" s="82"/>
      <c r="L2561" s="82"/>
      <c r="M2561" s="82"/>
      <c r="N2561" s="82"/>
      <c r="O2561" s="82"/>
      <c r="P2561" s="82"/>
      <c r="Q2561" s="82"/>
      <c r="R2561" s="82"/>
      <c r="S2561" s="82"/>
      <c r="T2561" s="82"/>
      <c r="U2561" s="82"/>
      <c r="V2561" s="82"/>
      <c r="W2561" s="82"/>
      <c r="X2561" s="82"/>
      <c r="Y2561" s="82"/>
      <c r="Z2561" s="82"/>
      <c r="AA2561" s="82"/>
      <c r="AB2561" s="82"/>
      <c r="AC2561" s="82"/>
      <c r="AD2561" s="82"/>
      <c r="AE2561" s="82"/>
      <c r="AF2561" s="82"/>
      <c r="AG2561" s="82"/>
      <c r="AH2561" s="82"/>
      <c r="AI2561" s="82"/>
      <c r="AJ2561" s="82"/>
      <c r="AK2561" s="82"/>
      <c r="AL2561" s="82"/>
      <c r="AM2561" s="82"/>
      <c r="AN2561" s="82">
        <f>IFERROR(__xludf.DUMMYFUNCTION("""COMPUTED_VALUE"""),0.0)</f>
        <v>0</v>
      </c>
      <c r="AO2561" s="82">
        <f>IFERROR(__xludf.DUMMYFUNCTION("""COMPUTED_VALUE"""),0.0)</f>
        <v>0</v>
      </c>
      <c r="AP2561" s="82">
        <f>IFERROR(__xludf.DUMMYFUNCTION("""COMPUTED_VALUE"""),0.0)</f>
        <v>0</v>
      </c>
      <c r="AQ2561" s="82">
        <f>IFERROR(__xludf.DUMMYFUNCTION("""COMPUTED_VALUE"""),0.0)</f>
        <v>0</v>
      </c>
      <c r="AR2561" s="82">
        <f>IFERROR(__xludf.DUMMYFUNCTION("""COMPUTED_VALUE"""),0.0)</f>
        <v>0</v>
      </c>
      <c r="AS2561" s="82"/>
      <c r="AT2561" s="82">
        <f>IFERROR(__xludf.DUMMYFUNCTION("""COMPUTED_VALUE"""),0.0)</f>
        <v>0</v>
      </c>
      <c r="AU2561" s="82"/>
      <c r="AV2561" s="82"/>
      <c r="AW2561" s="82" t="str">
        <f t="shared" si="1"/>
        <v/>
      </c>
      <c r="AX2561" s="83" t="str">
        <f t="array" ref="AX2561">IFERROR(DGET('SBV Import'!A:G,"SBV",{"RSC ID","Tier";B2561,A2561}))</f>
        <v/>
      </c>
      <c r="AY2561" s="82" t="str">
        <f t="shared" si="2"/>
        <v/>
      </c>
      <c r="AZ2561" s="82"/>
      <c r="BA2561" s="84" t="s">
        <v>152</v>
      </c>
      <c r="BB2561" s="84" t="str">
        <f>IFERROR(__xludf.DUMMYFUNCTION("iferror(if(A2561="""",,E2561&gt;=FILTER(Constants!$F$2:$F$10,Constants!$A$2:$A$10=A2561)))"),"")</f>
        <v/>
      </c>
    </row>
    <row r="2562">
      <c r="A2562" s="89"/>
      <c r="B2562" s="87"/>
      <c r="C2562" s="73"/>
      <c r="D2562" s="73"/>
      <c r="E2562" s="82"/>
      <c r="F2562" s="82"/>
      <c r="G2562" s="86"/>
      <c r="H2562" s="86"/>
      <c r="I2562" s="86"/>
      <c r="J2562" s="82"/>
      <c r="K2562" s="82"/>
      <c r="L2562" s="82"/>
      <c r="M2562" s="82"/>
      <c r="N2562" s="82"/>
      <c r="O2562" s="82"/>
      <c r="P2562" s="82"/>
      <c r="Q2562" s="82"/>
      <c r="R2562" s="82"/>
      <c r="S2562" s="82"/>
      <c r="T2562" s="82"/>
      <c r="U2562" s="82"/>
      <c r="V2562" s="82"/>
      <c r="W2562" s="82"/>
      <c r="X2562" s="82"/>
      <c r="Y2562" s="82"/>
      <c r="Z2562" s="82"/>
      <c r="AA2562" s="82"/>
      <c r="AB2562" s="82"/>
      <c r="AC2562" s="82"/>
      <c r="AD2562" s="82"/>
      <c r="AE2562" s="82"/>
      <c r="AF2562" s="82"/>
      <c r="AG2562" s="82"/>
      <c r="AH2562" s="82"/>
      <c r="AI2562" s="82"/>
      <c r="AJ2562" s="82"/>
      <c r="AK2562" s="82"/>
      <c r="AL2562" s="82"/>
      <c r="AM2562" s="82"/>
      <c r="AN2562" s="82">
        <f>IFERROR(__xludf.DUMMYFUNCTION("""COMPUTED_VALUE"""),0.0)</f>
        <v>0</v>
      </c>
      <c r="AO2562" s="82">
        <f>IFERROR(__xludf.DUMMYFUNCTION("""COMPUTED_VALUE"""),0.0)</f>
        <v>0</v>
      </c>
      <c r="AP2562" s="82">
        <f>IFERROR(__xludf.DUMMYFUNCTION("""COMPUTED_VALUE"""),0.0)</f>
        <v>0</v>
      </c>
      <c r="AQ2562" s="82">
        <f>IFERROR(__xludf.DUMMYFUNCTION("""COMPUTED_VALUE"""),0.0)</f>
        <v>0</v>
      </c>
      <c r="AR2562" s="82">
        <f>IFERROR(__xludf.DUMMYFUNCTION("""COMPUTED_VALUE"""),0.0)</f>
        <v>0</v>
      </c>
      <c r="AS2562" s="82"/>
      <c r="AT2562" s="82">
        <f>IFERROR(__xludf.DUMMYFUNCTION("""COMPUTED_VALUE"""),0.0)</f>
        <v>0</v>
      </c>
      <c r="AU2562" s="82"/>
      <c r="AV2562" s="82"/>
      <c r="AW2562" s="82" t="str">
        <f t="shared" si="1"/>
        <v/>
      </c>
      <c r="AX2562" s="83" t="str">
        <f t="array" ref="AX2562">IFERROR(DGET('SBV Import'!A:G,"SBV",{"RSC ID","Tier";B2562,A2562}))</f>
        <v/>
      </c>
      <c r="AY2562" s="82" t="str">
        <f t="shared" si="2"/>
        <v/>
      </c>
      <c r="AZ2562" s="82"/>
      <c r="BA2562" s="84" t="s">
        <v>152</v>
      </c>
      <c r="BB2562" s="84" t="str">
        <f>IFERROR(__xludf.DUMMYFUNCTION("iferror(if(A2562="""",,E2562&gt;=FILTER(Constants!$F$2:$F$10,Constants!$A$2:$A$10=A2562)))"),"")</f>
        <v/>
      </c>
    </row>
    <row r="2563">
      <c r="A2563" s="89"/>
      <c r="B2563" s="87"/>
      <c r="C2563" s="73"/>
      <c r="D2563" s="73"/>
      <c r="E2563" s="82"/>
      <c r="F2563" s="82"/>
      <c r="G2563" s="86"/>
      <c r="H2563" s="86"/>
      <c r="I2563" s="86"/>
      <c r="J2563" s="82"/>
      <c r="K2563" s="82"/>
      <c r="L2563" s="82"/>
      <c r="M2563" s="82"/>
      <c r="N2563" s="82"/>
      <c r="O2563" s="82"/>
      <c r="P2563" s="82"/>
      <c r="Q2563" s="82"/>
      <c r="R2563" s="82"/>
      <c r="S2563" s="82"/>
      <c r="T2563" s="82"/>
      <c r="U2563" s="82"/>
      <c r="V2563" s="82"/>
      <c r="W2563" s="82"/>
      <c r="X2563" s="82"/>
      <c r="Y2563" s="82"/>
      <c r="Z2563" s="82"/>
      <c r="AA2563" s="82"/>
      <c r="AB2563" s="82"/>
      <c r="AC2563" s="82"/>
      <c r="AD2563" s="82"/>
      <c r="AE2563" s="82"/>
      <c r="AF2563" s="82"/>
      <c r="AG2563" s="82"/>
      <c r="AH2563" s="82"/>
      <c r="AI2563" s="82"/>
      <c r="AJ2563" s="82"/>
      <c r="AK2563" s="82"/>
      <c r="AL2563" s="82"/>
      <c r="AM2563" s="82"/>
      <c r="AN2563" s="82">
        <f>IFERROR(__xludf.DUMMYFUNCTION("""COMPUTED_VALUE"""),0.0)</f>
        <v>0</v>
      </c>
      <c r="AO2563" s="82">
        <f>IFERROR(__xludf.DUMMYFUNCTION("""COMPUTED_VALUE"""),0.0)</f>
        <v>0</v>
      </c>
      <c r="AP2563" s="82">
        <f>IFERROR(__xludf.DUMMYFUNCTION("""COMPUTED_VALUE"""),0.0)</f>
        <v>0</v>
      </c>
      <c r="AQ2563" s="82">
        <f>IFERROR(__xludf.DUMMYFUNCTION("""COMPUTED_VALUE"""),0.0)</f>
        <v>0</v>
      </c>
      <c r="AR2563" s="82">
        <f>IFERROR(__xludf.DUMMYFUNCTION("""COMPUTED_VALUE"""),0.0)</f>
        <v>0</v>
      </c>
      <c r="AS2563" s="82"/>
      <c r="AT2563" s="82">
        <f>IFERROR(__xludf.DUMMYFUNCTION("""COMPUTED_VALUE"""),0.0)</f>
        <v>0</v>
      </c>
      <c r="AU2563" s="82"/>
      <c r="AV2563" s="82"/>
      <c r="AW2563" s="82" t="str">
        <f t="shared" si="1"/>
        <v/>
      </c>
      <c r="AX2563" s="83" t="str">
        <f t="array" ref="AX2563">IFERROR(DGET('SBV Import'!A:G,"SBV",{"RSC ID","Tier";B2563,A2563}))</f>
        <v/>
      </c>
      <c r="AY2563" s="82" t="str">
        <f t="shared" si="2"/>
        <v/>
      </c>
      <c r="AZ2563" s="82"/>
      <c r="BA2563" s="84" t="s">
        <v>152</v>
      </c>
      <c r="BB2563" s="84" t="str">
        <f>IFERROR(__xludf.DUMMYFUNCTION("iferror(if(A2563="""",,E2563&gt;=FILTER(Constants!$F$2:$F$10,Constants!$A$2:$A$10=A2563)))"),"")</f>
        <v/>
      </c>
    </row>
    <row r="2564">
      <c r="A2564" s="89"/>
      <c r="B2564" s="87"/>
      <c r="C2564" s="73"/>
      <c r="D2564" s="73"/>
      <c r="E2564" s="82"/>
      <c r="F2564" s="82"/>
      <c r="G2564" s="86"/>
      <c r="H2564" s="86"/>
      <c r="I2564" s="86"/>
      <c r="J2564" s="82"/>
      <c r="K2564" s="82"/>
      <c r="L2564" s="82"/>
      <c r="M2564" s="82"/>
      <c r="N2564" s="82"/>
      <c r="O2564" s="82"/>
      <c r="P2564" s="82"/>
      <c r="Q2564" s="82"/>
      <c r="R2564" s="82"/>
      <c r="S2564" s="82"/>
      <c r="T2564" s="82"/>
      <c r="U2564" s="82"/>
      <c r="V2564" s="82"/>
      <c r="W2564" s="82"/>
      <c r="X2564" s="82"/>
      <c r="Y2564" s="82"/>
      <c r="Z2564" s="82"/>
      <c r="AA2564" s="82"/>
      <c r="AB2564" s="82"/>
      <c r="AC2564" s="82"/>
      <c r="AD2564" s="82"/>
      <c r="AE2564" s="82"/>
      <c r="AF2564" s="82"/>
      <c r="AG2564" s="82"/>
      <c r="AH2564" s="82"/>
      <c r="AI2564" s="82"/>
      <c r="AJ2564" s="82"/>
      <c r="AK2564" s="82"/>
      <c r="AL2564" s="82"/>
      <c r="AM2564" s="82"/>
      <c r="AN2564" s="82">
        <f>IFERROR(__xludf.DUMMYFUNCTION("""COMPUTED_VALUE"""),0.0)</f>
        <v>0</v>
      </c>
      <c r="AO2564" s="82">
        <f>IFERROR(__xludf.DUMMYFUNCTION("""COMPUTED_VALUE"""),0.0)</f>
        <v>0</v>
      </c>
      <c r="AP2564" s="82">
        <f>IFERROR(__xludf.DUMMYFUNCTION("""COMPUTED_VALUE"""),0.0)</f>
        <v>0</v>
      </c>
      <c r="AQ2564" s="82">
        <f>IFERROR(__xludf.DUMMYFUNCTION("""COMPUTED_VALUE"""),0.0)</f>
        <v>0</v>
      </c>
      <c r="AR2564" s="82">
        <f>IFERROR(__xludf.DUMMYFUNCTION("""COMPUTED_VALUE"""),0.0)</f>
        <v>0</v>
      </c>
      <c r="AS2564" s="82"/>
      <c r="AT2564" s="82">
        <f>IFERROR(__xludf.DUMMYFUNCTION("""COMPUTED_VALUE"""),0.0)</f>
        <v>0</v>
      </c>
      <c r="AU2564" s="82"/>
      <c r="AV2564" s="82"/>
      <c r="AW2564" s="82" t="str">
        <f t="shared" si="1"/>
        <v/>
      </c>
      <c r="AX2564" s="83" t="str">
        <f t="array" ref="AX2564">IFERROR(DGET('SBV Import'!A:G,"SBV",{"RSC ID","Tier";B2564,A2564}))</f>
        <v/>
      </c>
      <c r="AY2564" s="82" t="str">
        <f t="shared" si="2"/>
        <v/>
      </c>
      <c r="AZ2564" s="82"/>
      <c r="BA2564" s="84" t="s">
        <v>152</v>
      </c>
      <c r="BB2564" s="84" t="str">
        <f>IFERROR(__xludf.DUMMYFUNCTION("iferror(if(A2564="""",,E2564&gt;=FILTER(Constants!$F$2:$F$10,Constants!$A$2:$A$10=A2564)))"),"")</f>
        <v/>
      </c>
    </row>
    <row r="2565">
      <c r="A2565" s="89"/>
      <c r="B2565" s="87"/>
      <c r="C2565" s="73"/>
      <c r="D2565" s="73"/>
      <c r="E2565" s="82"/>
      <c r="F2565" s="82"/>
      <c r="G2565" s="86"/>
      <c r="H2565" s="86"/>
      <c r="I2565" s="86"/>
      <c r="J2565" s="82"/>
      <c r="K2565" s="82"/>
      <c r="L2565" s="82"/>
      <c r="M2565" s="82"/>
      <c r="N2565" s="82"/>
      <c r="O2565" s="82"/>
      <c r="P2565" s="82"/>
      <c r="Q2565" s="82"/>
      <c r="R2565" s="82"/>
      <c r="S2565" s="82"/>
      <c r="T2565" s="82"/>
      <c r="U2565" s="82"/>
      <c r="V2565" s="82"/>
      <c r="W2565" s="82"/>
      <c r="X2565" s="82"/>
      <c r="Y2565" s="82"/>
      <c r="Z2565" s="82"/>
      <c r="AA2565" s="82"/>
      <c r="AB2565" s="82"/>
      <c r="AC2565" s="82"/>
      <c r="AD2565" s="82"/>
      <c r="AE2565" s="82"/>
      <c r="AF2565" s="82"/>
      <c r="AG2565" s="82"/>
      <c r="AH2565" s="82"/>
      <c r="AI2565" s="82"/>
      <c r="AJ2565" s="82"/>
      <c r="AK2565" s="82"/>
      <c r="AL2565" s="82"/>
      <c r="AM2565" s="82"/>
      <c r="AN2565" s="82">
        <f>IFERROR(__xludf.DUMMYFUNCTION("""COMPUTED_VALUE"""),0.0)</f>
        <v>0</v>
      </c>
      <c r="AO2565" s="82">
        <f>IFERROR(__xludf.DUMMYFUNCTION("""COMPUTED_VALUE"""),0.0)</f>
        <v>0</v>
      </c>
      <c r="AP2565" s="82">
        <f>IFERROR(__xludf.DUMMYFUNCTION("""COMPUTED_VALUE"""),0.0)</f>
        <v>0</v>
      </c>
      <c r="AQ2565" s="82">
        <f>IFERROR(__xludf.DUMMYFUNCTION("""COMPUTED_VALUE"""),0.0)</f>
        <v>0</v>
      </c>
      <c r="AR2565" s="82">
        <f>IFERROR(__xludf.DUMMYFUNCTION("""COMPUTED_VALUE"""),0.0)</f>
        <v>0</v>
      </c>
      <c r="AS2565" s="82"/>
      <c r="AT2565" s="82">
        <f>IFERROR(__xludf.DUMMYFUNCTION("""COMPUTED_VALUE"""),0.0)</f>
        <v>0</v>
      </c>
      <c r="AU2565" s="82"/>
      <c r="AV2565" s="82"/>
      <c r="AW2565" s="82" t="str">
        <f t="shared" si="1"/>
        <v/>
      </c>
      <c r="AX2565" s="83" t="str">
        <f t="array" ref="AX2565">IFERROR(DGET('SBV Import'!A:G,"SBV",{"RSC ID","Tier";B2565,A2565}))</f>
        <v/>
      </c>
      <c r="AY2565" s="82" t="str">
        <f t="shared" si="2"/>
        <v/>
      </c>
      <c r="AZ2565" s="82"/>
      <c r="BA2565" s="84" t="s">
        <v>152</v>
      </c>
      <c r="BB2565" s="84" t="str">
        <f>IFERROR(__xludf.DUMMYFUNCTION("iferror(if(A2565="""",,E2565&gt;=FILTER(Constants!$F$2:$F$10,Constants!$A$2:$A$10=A2565)))"),"")</f>
        <v/>
      </c>
    </row>
    <row r="2566">
      <c r="A2566" s="89"/>
      <c r="B2566" s="87"/>
      <c r="C2566" s="73"/>
      <c r="D2566" s="73"/>
      <c r="E2566" s="82"/>
      <c r="F2566" s="82"/>
      <c r="G2566" s="86"/>
      <c r="H2566" s="86"/>
      <c r="I2566" s="86"/>
      <c r="J2566" s="82"/>
      <c r="K2566" s="82"/>
      <c r="L2566" s="82"/>
      <c r="M2566" s="82"/>
      <c r="N2566" s="82"/>
      <c r="O2566" s="82"/>
      <c r="P2566" s="82"/>
      <c r="Q2566" s="82"/>
      <c r="R2566" s="82"/>
      <c r="S2566" s="82"/>
      <c r="T2566" s="82"/>
      <c r="U2566" s="82"/>
      <c r="V2566" s="82"/>
      <c r="W2566" s="82"/>
      <c r="X2566" s="82"/>
      <c r="Y2566" s="82"/>
      <c r="Z2566" s="82"/>
      <c r="AA2566" s="82"/>
      <c r="AB2566" s="82"/>
      <c r="AC2566" s="82"/>
      <c r="AD2566" s="82"/>
      <c r="AE2566" s="82"/>
      <c r="AF2566" s="82"/>
      <c r="AG2566" s="82"/>
      <c r="AH2566" s="82"/>
      <c r="AI2566" s="82"/>
      <c r="AJ2566" s="82"/>
      <c r="AK2566" s="82"/>
      <c r="AL2566" s="82"/>
      <c r="AM2566" s="82"/>
      <c r="AN2566" s="82">
        <f>IFERROR(__xludf.DUMMYFUNCTION("""COMPUTED_VALUE"""),0.0)</f>
        <v>0</v>
      </c>
      <c r="AO2566" s="82">
        <f>IFERROR(__xludf.DUMMYFUNCTION("""COMPUTED_VALUE"""),0.0)</f>
        <v>0</v>
      </c>
      <c r="AP2566" s="82">
        <f>IFERROR(__xludf.DUMMYFUNCTION("""COMPUTED_VALUE"""),0.0)</f>
        <v>0</v>
      </c>
      <c r="AQ2566" s="82">
        <f>IFERROR(__xludf.DUMMYFUNCTION("""COMPUTED_VALUE"""),0.0)</f>
        <v>0</v>
      </c>
      <c r="AR2566" s="82">
        <f>IFERROR(__xludf.DUMMYFUNCTION("""COMPUTED_VALUE"""),0.0)</f>
        <v>0</v>
      </c>
      <c r="AS2566" s="82"/>
      <c r="AT2566" s="82">
        <f>IFERROR(__xludf.DUMMYFUNCTION("""COMPUTED_VALUE"""),0.0)</f>
        <v>0</v>
      </c>
      <c r="AU2566" s="82"/>
      <c r="AV2566" s="82"/>
      <c r="AW2566" s="82" t="str">
        <f t="shared" si="1"/>
        <v/>
      </c>
      <c r="AX2566" s="83" t="str">
        <f t="array" ref="AX2566">IFERROR(DGET('SBV Import'!A:G,"SBV",{"RSC ID","Tier";B2566,A2566}))</f>
        <v/>
      </c>
      <c r="AY2566" s="82" t="str">
        <f t="shared" si="2"/>
        <v/>
      </c>
      <c r="AZ2566" s="82"/>
      <c r="BA2566" s="84" t="s">
        <v>152</v>
      </c>
      <c r="BB2566" s="84" t="str">
        <f>IFERROR(__xludf.DUMMYFUNCTION("iferror(if(A2566="""",,E2566&gt;=FILTER(Constants!$F$2:$F$10,Constants!$A$2:$A$10=A2566)))"),"")</f>
        <v/>
      </c>
    </row>
    <row r="2567">
      <c r="A2567" s="89"/>
      <c r="B2567" s="87"/>
      <c r="C2567" s="73"/>
      <c r="D2567" s="73"/>
      <c r="E2567" s="82"/>
      <c r="F2567" s="82"/>
      <c r="G2567" s="86"/>
      <c r="H2567" s="86"/>
      <c r="I2567" s="86"/>
      <c r="J2567" s="82"/>
      <c r="K2567" s="82"/>
      <c r="L2567" s="82"/>
      <c r="M2567" s="82"/>
      <c r="N2567" s="82"/>
      <c r="O2567" s="82"/>
      <c r="P2567" s="82"/>
      <c r="Q2567" s="82"/>
      <c r="R2567" s="82"/>
      <c r="S2567" s="82"/>
      <c r="T2567" s="82"/>
      <c r="U2567" s="82"/>
      <c r="V2567" s="82"/>
      <c r="W2567" s="82"/>
      <c r="X2567" s="82"/>
      <c r="Y2567" s="82"/>
      <c r="Z2567" s="82"/>
      <c r="AA2567" s="82"/>
      <c r="AB2567" s="82"/>
      <c r="AC2567" s="82"/>
      <c r="AD2567" s="82"/>
      <c r="AE2567" s="82"/>
      <c r="AF2567" s="82"/>
      <c r="AG2567" s="82"/>
      <c r="AH2567" s="82"/>
      <c r="AI2567" s="82"/>
      <c r="AJ2567" s="82"/>
      <c r="AK2567" s="82"/>
      <c r="AL2567" s="82"/>
      <c r="AM2567" s="82"/>
      <c r="AN2567" s="82">
        <f>IFERROR(__xludf.DUMMYFUNCTION("""COMPUTED_VALUE"""),0.0)</f>
        <v>0</v>
      </c>
      <c r="AO2567" s="82">
        <f>IFERROR(__xludf.DUMMYFUNCTION("""COMPUTED_VALUE"""),0.0)</f>
        <v>0</v>
      </c>
      <c r="AP2567" s="82">
        <f>IFERROR(__xludf.DUMMYFUNCTION("""COMPUTED_VALUE"""),0.0)</f>
        <v>0</v>
      </c>
      <c r="AQ2567" s="82">
        <f>IFERROR(__xludf.DUMMYFUNCTION("""COMPUTED_VALUE"""),0.0)</f>
        <v>0</v>
      </c>
      <c r="AR2567" s="82">
        <f>IFERROR(__xludf.DUMMYFUNCTION("""COMPUTED_VALUE"""),0.0)</f>
        <v>0</v>
      </c>
      <c r="AS2567" s="82"/>
      <c r="AT2567" s="82">
        <f>IFERROR(__xludf.DUMMYFUNCTION("""COMPUTED_VALUE"""),0.0)</f>
        <v>0</v>
      </c>
      <c r="AU2567" s="82"/>
      <c r="AV2567" s="82"/>
      <c r="AW2567" s="82" t="str">
        <f t="shared" si="1"/>
        <v/>
      </c>
      <c r="AX2567" s="83" t="str">
        <f t="array" ref="AX2567">IFERROR(DGET('SBV Import'!A:G,"SBV",{"RSC ID","Tier";B2567,A2567}))</f>
        <v/>
      </c>
      <c r="AY2567" s="82" t="str">
        <f t="shared" si="2"/>
        <v/>
      </c>
      <c r="AZ2567" s="82"/>
      <c r="BA2567" s="84" t="s">
        <v>152</v>
      </c>
      <c r="BB2567" s="84" t="str">
        <f>IFERROR(__xludf.DUMMYFUNCTION("iferror(if(A2567="""",,E2567&gt;=FILTER(Constants!$F$2:$F$10,Constants!$A$2:$A$10=A2567)))"),"")</f>
        <v/>
      </c>
    </row>
    <row r="2568">
      <c r="A2568" s="89"/>
      <c r="B2568" s="87"/>
      <c r="C2568" s="73"/>
      <c r="D2568" s="73"/>
      <c r="E2568" s="82"/>
      <c r="F2568" s="82"/>
      <c r="G2568" s="86"/>
      <c r="H2568" s="86"/>
      <c r="I2568" s="86"/>
      <c r="J2568" s="82"/>
      <c r="K2568" s="82"/>
      <c r="L2568" s="82"/>
      <c r="M2568" s="82"/>
      <c r="N2568" s="82"/>
      <c r="O2568" s="82"/>
      <c r="P2568" s="82"/>
      <c r="Q2568" s="82"/>
      <c r="R2568" s="82"/>
      <c r="S2568" s="82"/>
      <c r="T2568" s="82"/>
      <c r="U2568" s="82"/>
      <c r="V2568" s="82"/>
      <c r="W2568" s="82"/>
      <c r="X2568" s="82"/>
      <c r="Y2568" s="82"/>
      <c r="Z2568" s="82"/>
      <c r="AA2568" s="82"/>
      <c r="AB2568" s="82"/>
      <c r="AC2568" s="82"/>
      <c r="AD2568" s="82"/>
      <c r="AE2568" s="82"/>
      <c r="AF2568" s="82"/>
      <c r="AG2568" s="82"/>
      <c r="AH2568" s="82"/>
      <c r="AI2568" s="82"/>
      <c r="AJ2568" s="82"/>
      <c r="AK2568" s="82"/>
      <c r="AL2568" s="82"/>
      <c r="AM2568" s="82"/>
      <c r="AN2568" s="82">
        <f>IFERROR(__xludf.DUMMYFUNCTION("""COMPUTED_VALUE"""),0.0)</f>
        <v>0</v>
      </c>
      <c r="AO2568" s="82">
        <f>IFERROR(__xludf.DUMMYFUNCTION("""COMPUTED_VALUE"""),0.0)</f>
        <v>0</v>
      </c>
      <c r="AP2568" s="82">
        <f>IFERROR(__xludf.DUMMYFUNCTION("""COMPUTED_VALUE"""),0.0)</f>
        <v>0</v>
      </c>
      <c r="AQ2568" s="82">
        <f>IFERROR(__xludf.DUMMYFUNCTION("""COMPUTED_VALUE"""),0.0)</f>
        <v>0</v>
      </c>
      <c r="AR2568" s="82">
        <f>IFERROR(__xludf.DUMMYFUNCTION("""COMPUTED_VALUE"""),0.0)</f>
        <v>0</v>
      </c>
      <c r="AS2568" s="82"/>
      <c r="AT2568" s="82">
        <f>IFERROR(__xludf.DUMMYFUNCTION("""COMPUTED_VALUE"""),0.0)</f>
        <v>0</v>
      </c>
      <c r="AU2568" s="82"/>
      <c r="AV2568" s="82"/>
      <c r="AW2568" s="82" t="str">
        <f t="shared" si="1"/>
        <v/>
      </c>
      <c r="AX2568" s="83" t="str">
        <f t="array" ref="AX2568">IFERROR(DGET('SBV Import'!A:G,"SBV",{"RSC ID","Tier";B2568,A2568}))</f>
        <v/>
      </c>
      <c r="AY2568" s="82" t="str">
        <f t="shared" si="2"/>
        <v/>
      </c>
      <c r="AZ2568" s="82"/>
      <c r="BA2568" s="84" t="s">
        <v>152</v>
      </c>
      <c r="BB2568" s="84" t="str">
        <f>IFERROR(__xludf.DUMMYFUNCTION("iferror(if(A2568="""",,E2568&gt;=FILTER(Constants!$F$2:$F$10,Constants!$A$2:$A$10=A2568)))"),"")</f>
        <v/>
      </c>
    </row>
    <row r="2569">
      <c r="A2569" s="89"/>
      <c r="B2569" s="87"/>
      <c r="C2569" s="73"/>
      <c r="D2569" s="73"/>
      <c r="E2569" s="82"/>
      <c r="F2569" s="82"/>
      <c r="G2569" s="86"/>
      <c r="H2569" s="86"/>
      <c r="I2569" s="86"/>
      <c r="J2569" s="82"/>
      <c r="K2569" s="82"/>
      <c r="L2569" s="82"/>
      <c r="M2569" s="82"/>
      <c r="N2569" s="82"/>
      <c r="O2569" s="82"/>
      <c r="P2569" s="82"/>
      <c r="Q2569" s="82"/>
      <c r="R2569" s="82"/>
      <c r="S2569" s="82"/>
      <c r="T2569" s="82"/>
      <c r="U2569" s="82"/>
      <c r="V2569" s="82"/>
      <c r="W2569" s="82"/>
      <c r="X2569" s="82"/>
      <c r="Y2569" s="82"/>
      <c r="Z2569" s="82"/>
      <c r="AA2569" s="82"/>
      <c r="AB2569" s="82"/>
      <c r="AC2569" s="82"/>
      <c r="AD2569" s="82"/>
      <c r="AE2569" s="82"/>
      <c r="AF2569" s="82"/>
      <c r="AG2569" s="82"/>
      <c r="AH2569" s="82"/>
      <c r="AI2569" s="82"/>
      <c r="AJ2569" s="82"/>
      <c r="AK2569" s="82"/>
      <c r="AL2569" s="82"/>
      <c r="AM2569" s="82"/>
      <c r="AN2569" s="82">
        <f>IFERROR(__xludf.DUMMYFUNCTION("""COMPUTED_VALUE"""),0.0)</f>
        <v>0</v>
      </c>
      <c r="AO2569" s="82">
        <f>IFERROR(__xludf.DUMMYFUNCTION("""COMPUTED_VALUE"""),0.0)</f>
        <v>0</v>
      </c>
      <c r="AP2569" s="82">
        <f>IFERROR(__xludf.DUMMYFUNCTION("""COMPUTED_VALUE"""),0.0)</f>
        <v>0</v>
      </c>
      <c r="AQ2569" s="82">
        <f>IFERROR(__xludf.DUMMYFUNCTION("""COMPUTED_VALUE"""),0.0)</f>
        <v>0</v>
      </c>
      <c r="AR2569" s="82">
        <f>IFERROR(__xludf.DUMMYFUNCTION("""COMPUTED_VALUE"""),0.0)</f>
        <v>0</v>
      </c>
      <c r="AS2569" s="82"/>
      <c r="AT2569" s="82">
        <f>IFERROR(__xludf.DUMMYFUNCTION("""COMPUTED_VALUE"""),0.0)</f>
        <v>0</v>
      </c>
      <c r="AU2569" s="82"/>
      <c r="AV2569" s="82"/>
      <c r="AW2569" s="82" t="str">
        <f t="shared" si="1"/>
        <v/>
      </c>
      <c r="AX2569" s="83" t="str">
        <f t="array" ref="AX2569">IFERROR(DGET('SBV Import'!A:G,"SBV",{"RSC ID","Tier";B2569,A2569}))</f>
        <v/>
      </c>
      <c r="AY2569" s="82" t="str">
        <f t="shared" si="2"/>
        <v/>
      </c>
      <c r="AZ2569" s="82"/>
      <c r="BA2569" s="84" t="s">
        <v>152</v>
      </c>
      <c r="BB2569" s="84" t="str">
        <f>IFERROR(__xludf.DUMMYFUNCTION("iferror(if(A2569="""",,E2569&gt;=FILTER(Constants!$F$2:$F$10,Constants!$A$2:$A$10=A2569)))"),"")</f>
        <v/>
      </c>
    </row>
    <row r="2570">
      <c r="A2570" s="89"/>
      <c r="B2570" s="87"/>
      <c r="C2570" s="73"/>
      <c r="D2570" s="73"/>
      <c r="E2570" s="82"/>
      <c r="F2570" s="82"/>
      <c r="G2570" s="86"/>
      <c r="H2570" s="86"/>
      <c r="I2570" s="86"/>
      <c r="J2570" s="82"/>
      <c r="K2570" s="82"/>
      <c r="L2570" s="82"/>
      <c r="M2570" s="82"/>
      <c r="N2570" s="82"/>
      <c r="O2570" s="82"/>
      <c r="P2570" s="82"/>
      <c r="Q2570" s="82"/>
      <c r="R2570" s="82"/>
      <c r="S2570" s="82"/>
      <c r="T2570" s="82"/>
      <c r="U2570" s="82"/>
      <c r="V2570" s="82"/>
      <c r="W2570" s="82"/>
      <c r="X2570" s="82"/>
      <c r="Y2570" s="82"/>
      <c r="Z2570" s="82"/>
      <c r="AA2570" s="82"/>
      <c r="AB2570" s="82"/>
      <c r="AC2570" s="82"/>
      <c r="AD2570" s="82"/>
      <c r="AE2570" s="82"/>
      <c r="AF2570" s="82"/>
      <c r="AG2570" s="82"/>
      <c r="AH2570" s="82"/>
      <c r="AI2570" s="82"/>
      <c r="AJ2570" s="82"/>
      <c r="AK2570" s="82"/>
      <c r="AL2570" s="82"/>
      <c r="AM2570" s="82"/>
      <c r="AN2570" s="82">
        <f>IFERROR(__xludf.DUMMYFUNCTION("""COMPUTED_VALUE"""),0.0)</f>
        <v>0</v>
      </c>
      <c r="AO2570" s="82">
        <f>IFERROR(__xludf.DUMMYFUNCTION("""COMPUTED_VALUE"""),0.0)</f>
        <v>0</v>
      </c>
      <c r="AP2570" s="82">
        <f>IFERROR(__xludf.DUMMYFUNCTION("""COMPUTED_VALUE"""),0.0)</f>
        <v>0</v>
      </c>
      <c r="AQ2570" s="82">
        <f>IFERROR(__xludf.DUMMYFUNCTION("""COMPUTED_VALUE"""),0.0)</f>
        <v>0</v>
      </c>
      <c r="AR2570" s="82">
        <f>IFERROR(__xludf.DUMMYFUNCTION("""COMPUTED_VALUE"""),0.0)</f>
        <v>0</v>
      </c>
      <c r="AS2570" s="82"/>
      <c r="AT2570" s="82">
        <f>IFERROR(__xludf.DUMMYFUNCTION("""COMPUTED_VALUE"""),0.0)</f>
        <v>0</v>
      </c>
      <c r="AU2570" s="82"/>
      <c r="AV2570" s="82"/>
      <c r="AW2570" s="82" t="str">
        <f t="shared" si="1"/>
        <v/>
      </c>
      <c r="AX2570" s="83" t="str">
        <f t="array" ref="AX2570">IFERROR(DGET('SBV Import'!A:G,"SBV",{"RSC ID","Tier";B2570,A2570}))</f>
        <v/>
      </c>
      <c r="AY2570" s="82" t="str">
        <f t="shared" si="2"/>
        <v/>
      </c>
      <c r="AZ2570" s="82"/>
      <c r="BA2570" s="84" t="s">
        <v>152</v>
      </c>
      <c r="BB2570" s="84" t="str">
        <f>IFERROR(__xludf.DUMMYFUNCTION("iferror(if(A2570="""",,E2570&gt;=FILTER(Constants!$F$2:$F$10,Constants!$A$2:$A$10=A2570)))"),"")</f>
        <v/>
      </c>
    </row>
    <row r="2571">
      <c r="A2571" s="89"/>
      <c r="B2571" s="87"/>
      <c r="C2571" s="73"/>
      <c r="D2571" s="73"/>
      <c r="E2571" s="82"/>
      <c r="F2571" s="82"/>
      <c r="G2571" s="86"/>
      <c r="H2571" s="86"/>
      <c r="I2571" s="86"/>
      <c r="J2571" s="82"/>
      <c r="K2571" s="82"/>
      <c r="L2571" s="82"/>
      <c r="M2571" s="82"/>
      <c r="N2571" s="82"/>
      <c r="O2571" s="82"/>
      <c r="P2571" s="82"/>
      <c r="Q2571" s="82"/>
      <c r="R2571" s="82"/>
      <c r="S2571" s="82"/>
      <c r="T2571" s="82"/>
      <c r="U2571" s="82"/>
      <c r="V2571" s="82"/>
      <c r="W2571" s="82"/>
      <c r="X2571" s="82"/>
      <c r="Y2571" s="82"/>
      <c r="Z2571" s="82"/>
      <c r="AA2571" s="82"/>
      <c r="AB2571" s="82"/>
      <c r="AC2571" s="82"/>
      <c r="AD2571" s="82"/>
      <c r="AE2571" s="82"/>
      <c r="AF2571" s="82"/>
      <c r="AG2571" s="82"/>
      <c r="AH2571" s="82"/>
      <c r="AI2571" s="82"/>
      <c r="AJ2571" s="82"/>
      <c r="AK2571" s="82"/>
      <c r="AL2571" s="82"/>
      <c r="AM2571" s="82"/>
      <c r="AN2571" s="82">
        <f>IFERROR(__xludf.DUMMYFUNCTION("""COMPUTED_VALUE"""),0.0)</f>
        <v>0</v>
      </c>
      <c r="AO2571" s="82">
        <f>IFERROR(__xludf.DUMMYFUNCTION("""COMPUTED_VALUE"""),0.0)</f>
        <v>0</v>
      </c>
      <c r="AP2571" s="82">
        <f>IFERROR(__xludf.DUMMYFUNCTION("""COMPUTED_VALUE"""),0.0)</f>
        <v>0</v>
      </c>
      <c r="AQ2571" s="82">
        <f>IFERROR(__xludf.DUMMYFUNCTION("""COMPUTED_VALUE"""),0.0)</f>
        <v>0</v>
      </c>
      <c r="AR2571" s="82">
        <f>IFERROR(__xludf.DUMMYFUNCTION("""COMPUTED_VALUE"""),0.0)</f>
        <v>0</v>
      </c>
      <c r="AS2571" s="82"/>
      <c r="AT2571" s="82">
        <f>IFERROR(__xludf.DUMMYFUNCTION("""COMPUTED_VALUE"""),0.0)</f>
        <v>0</v>
      </c>
      <c r="AU2571" s="82"/>
      <c r="AV2571" s="82"/>
      <c r="AW2571" s="82" t="str">
        <f t="shared" si="1"/>
        <v/>
      </c>
      <c r="AX2571" s="83" t="str">
        <f t="array" ref="AX2571">IFERROR(DGET('SBV Import'!A:G,"SBV",{"RSC ID","Tier";B2571,A2571}))</f>
        <v/>
      </c>
      <c r="AY2571" s="82" t="str">
        <f t="shared" si="2"/>
        <v/>
      </c>
      <c r="AZ2571" s="82"/>
      <c r="BA2571" s="84" t="s">
        <v>152</v>
      </c>
      <c r="BB2571" s="84" t="str">
        <f>IFERROR(__xludf.DUMMYFUNCTION("iferror(if(A2571="""",,E2571&gt;=FILTER(Constants!$F$2:$F$10,Constants!$A$2:$A$10=A2571)))"),"")</f>
        <v/>
      </c>
    </row>
    <row r="2572">
      <c r="A2572" s="89"/>
      <c r="B2572" s="87"/>
      <c r="C2572" s="73"/>
      <c r="D2572" s="73"/>
      <c r="E2572" s="82"/>
      <c r="F2572" s="82"/>
      <c r="G2572" s="86"/>
      <c r="H2572" s="86"/>
      <c r="I2572" s="86"/>
      <c r="J2572" s="82"/>
      <c r="K2572" s="82"/>
      <c r="L2572" s="82"/>
      <c r="M2572" s="82"/>
      <c r="N2572" s="82"/>
      <c r="O2572" s="82"/>
      <c r="P2572" s="82"/>
      <c r="Q2572" s="82"/>
      <c r="R2572" s="82"/>
      <c r="S2572" s="82"/>
      <c r="T2572" s="82"/>
      <c r="U2572" s="82"/>
      <c r="V2572" s="82"/>
      <c r="W2572" s="82"/>
      <c r="X2572" s="82"/>
      <c r="Y2572" s="82"/>
      <c r="Z2572" s="82"/>
      <c r="AA2572" s="82"/>
      <c r="AB2572" s="82"/>
      <c r="AC2572" s="82"/>
      <c r="AD2572" s="82"/>
      <c r="AE2572" s="82"/>
      <c r="AF2572" s="82"/>
      <c r="AG2572" s="82"/>
      <c r="AH2572" s="82"/>
      <c r="AI2572" s="82"/>
      <c r="AJ2572" s="82"/>
      <c r="AK2572" s="82"/>
      <c r="AL2572" s="82"/>
      <c r="AM2572" s="82"/>
      <c r="AN2572" s="82">
        <f>IFERROR(__xludf.DUMMYFUNCTION("""COMPUTED_VALUE"""),0.0)</f>
        <v>0</v>
      </c>
      <c r="AO2572" s="82">
        <f>IFERROR(__xludf.DUMMYFUNCTION("""COMPUTED_VALUE"""),0.0)</f>
        <v>0</v>
      </c>
      <c r="AP2572" s="82">
        <f>IFERROR(__xludf.DUMMYFUNCTION("""COMPUTED_VALUE"""),0.0)</f>
        <v>0</v>
      </c>
      <c r="AQ2572" s="82">
        <f>IFERROR(__xludf.DUMMYFUNCTION("""COMPUTED_VALUE"""),0.0)</f>
        <v>0</v>
      </c>
      <c r="AR2572" s="82">
        <f>IFERROR(__xludf.DUMMYFUNCTION("""COMPUTED_VALUE"""),0.0)</f>
        <v>0</v>
      </c>
      <c r="AS2572" s="82"/>
      <c r="AT2572" s="82">
        <f>IFERROR(__xludf.DUMMYFUNCTION("""COMPUTED_VALUE"""),0.0)</f>
        <v>0</v>
      </c>
      <c r="AU2572" s="82"/>
      <c r="AV2572" s="82"/>
      <c r="AW2572" s="82" t="str">
        <f t="shared" si="1"/>
        <v/>
      </c>
      <c r="AX2572" s="83" t="str">
        <f t="array" ref="AX2572">IFERROR(DGET('SBV Import'!A:G,"SBV",{"RSC ID","Tier";B2572,A2572}))</f>
        <v/>
      </c>
      <c r="AY2572" s="82" t="str">
        <f t="shared" si="2"/>
        <v/>
      </c>
      <c r="AZ2572" s="82"/>
      <c r="BA2572" s="84" t="s">
        <v>152</v>
      </c>
      <c r="BB2572" s="84" t="str">
        <f>IFERROR(__xludf.DUMMYFUNCTION("iferror(if(A2572="""",,E2572&gt;=FILTER(Constants!$F$2:$F$10,Constants!$A$2:$A$10=A2572)))"),"")</f>
        <v/>
      </c>
    </row>
    <row r="2573">
      <c r="A2573" s="89"/>
      <c r="B2573" s="87"/>
      <c r="C2573" s="73"/>
      <c r="D2573" s="73"/>
      <c r="E2573" s="82"/>
      <c r="F2573" s="82"/>
      <c r="G2573" s="86"/>
      <c r="H2573" s="86"/>
      <c r="I2573" s="86"/>
      <c r="J2573" s="82"/>
      <c r="K2573" s="82"/>
      <c r="L2573" s="82"/>
      <c r="M2573" s="82"/>
      <c r="N2573" s="82"/>
      <c r="O2573" s="82"/>
      <c r="P2573" s="82"/>
      <c r="Q2573" s="82"/>
      <c r="R2573" s="82"/>
      <c r="S2573" s="82"/>
      <c r="T2573" s="82"/>
      <c r="U2573" s="82"/>
      <c r="V2573" s="82"/>
      <c r="W2573" s="82"/>
      <c r="X2573" s="82"/>
      <c r="Y2573" s="82"/>
      <c r="Z2573" s="82"/>
      <c r="AA2573" s="82"/>
      <c r="AB2573" s="82"/>
      <c r="AC2573" s="82"/>
      <c r="AD2573" s="82"/>
      <c r="AE2573" s="82"/>
      <c r="AF2573" s="82"/>
      <c r="AG2573" s="82"/>
      <c r="AH2573" s="82"/>
      <c r="AI2573" s="82"/>
      <c r="AJ2573" s="82"/>
      <c r="AK2573" s="82"/>
      <c r="AL2573" s="82"/>
      <c r="AM2573" s="82"/>
      <c r="AN2573" s="82">
        <f>IFERROR(__xludf.DUMMYFUNCTION("""COMPUTED_VALUE"""),0.0)</f>
        <v>0</v>
      </c>
      <c r="AO2573" s="82">
        <f>IFERROR(__xludf.DUMMYFUNCTION("""COMPUTED_VALUE"""),0.0)</f>
        <v>0</v>
      </c>
      <c r="AP2573" s="82">
        <f>IFERROR(__xludf.DUMMYFUNCTION("""COMPUTED_VALUE"""),0.0)</f>
        <v>0</v>
      </c>
      <c r="AQ2573" s="82">
        <f>IFERROR(__xludf.DUMMYFUNCTION("""COMPUTED_VALUE"""),0.0)</f>
        <v>0</v>
      </c>
      <c r="AR2573" s="82">
        <f>IFERROR(__xludf.DUMMYFUNCTION("""COMPUTED_VALUE"""),0.0)</f>
        <v>0</v>
      </c>
      <c r="AS2573" s="82"/>
      <c r="AT2573" s="82">
        <f>IFERROR(__xludf.DUMMYFUNCTION("""COMPUTED_VALUE"""),0.0)</f>
        <v>0</v>
      </c>
      <c r="AU2573" s="82"/>
      <c r="AV2573" s="82"/>
      <c r="AW2573" s="82" t="str">
        <f t="shared" si="1"/>
        <v/>
      </c>
      <c r="AX2573" s="83" t="str">
        <f t="array" ref="AX2573">IFERROR(DGET('SBV Import'!A:G,"SBV",{"RSC ID","Tier";B2573,A2573}))</f>
        <v/>
      </c>
      <c r="AY2573" s="82" t="str">
        <f t="shared" si="2"/>
        <v/>
      </c>
      <c r="AZ2573" s="82"/>
      <c r="BA2573" s="84" t="s">
        <v>152</v>
      </c>
      <c r="BB2573" s="84" t="str">
        <f>IFERROR(__xludf.DUMMYFUNCTION("iferror(if(A2573="""",,E2573&gt;=FILTER(Constants!$F$2:$F$10,Constants!$A$2:$A$10=A2573)))"),"")</f>
        <v/>
      </c>
    </row>
    <row r="2574">
      <c r="A2574" s="89"/>
      <c r="B2574" s="87"/>
      <c r="C2574" s="73"/>
      <c r="D2574" s="73"/>
      <c r="E2574" s="82"/>
      <c r="F2574" s="82"/>
      <c r="G2574" s="86"/>
      <c r="H2574" s="86"/>
      <c r="I2574" s="86"/>
      <c r="J2574" s="82"/>
      <c r="K2574" s="82"/>
      <c r="L2574" s="82"/>
      <c r="M2574" s="82"/>
      <c r="N2574" s="82"/>
      <c r="O2574" s="82"/>
      <c r="P2574" s="82"/>
      <c r="Q2574" s="82"/>
      <c r="R2574" s="82"/>
      <c r="S2574" s="82"/>
      <c r="T2574" s="82"/>
      <c r="U2574" s="82"/>
      <c r="V2574" s="82"/>
      <c r="W2574" s="82"/>
      <c r="X2574" s="82"/>
      <c r="Y2574" s="82"/>
      <c r="Z2574" s="82"/>
      <c r="AA2574" s="82"/>
      <c r="AB2574" s="82"/>
      <c r="AC2574" s="82"/>
      <c r="AD2574" s="82"/>
      <c r="AE2574" s="82"/>
      <c r="AF2574" s="82"/>
      <c r="AG2574" s="82"/>
      <c r="AH2574" s="82"/>
      <c r="AI2574" s="82"/>
      <c r="AJ2574" s="82"/>
      <c r="AK2574" s="82"/>
      <c r="AL2574" s="82"/>
      <c r="AM2574" s="82"/>
      <c r="AN2574" s="82">
        <f>IFERROR(__xludf.DUMMYFUNCTION("""COMPUTED_VALUE"""),0.0)</f>
        <v>0</v>
      </c>
      <c r="AO2574" s="82">
        <f>IFERROR(__xludf.DUMMYFUNCTION("""COMPUTED_VALUE"""),0.0)</f>
        <v>0</v>
      </c>
      <c r="AP2574" s="82">
        <f>IFERROR(__xludf.DUMMYFUNCTION("""COMPUTED_VALUE"""),0.0)</f>
        <v>0</v>
      </c>
      <c r="AQ2574" s="82">
        <f>IFERROR(__xludf.DUMMYFUNCTION("""COMPUTED_VALUE"""),0.0)</f>
        <v>0</v>
      </c>
      <c r="AR2574" s="82">
        <f>IFERROR(__xludf.DUMMYFUNCTION("""COMPUTED_VALUE"""),0.0)</f>
        <v>0</v>
      </c>
      <c r="AS2574" s="82"/>
      <c r="AT2574" s="82">
        <f>IFERROR(__xludf.DUMMYFUNCTION("""COMPUTED_VALUE"""),0.0)</f>
        <v>0</v>
      </c>
      <c r="AU2574" s="82"/>
      <c r="AV2574" s="82"/>
      <c r="AW2574" s="82" t="str">
        <f t="shared" si="1"/>
        <v/>
      </c>
      <c r="AX2574" s="83" t="str">
        <f t="array" ref="AX2574">IFERROR(DGET('SBV Import'!A:G,"SBV",{"RSC ID","Tier";B2574,A2574}))</f>
        <v/>
      </c>
      <c r="AY2574" s="82" t="str">
        <f t="shared" si="2"/>
        <v/>
      </c>
      <c r="AZ2574" s="82"/>
      <c r="BA2574" s="84" t="s">
        <v>152</v>
      </c>
      <c r="BB2574" s="84" t="str">
        <f>IFERROR(__xludf.DUMMYFUNCTION("iferror(if(A2574="""",,E2574&gt;=FILTER(Constants!$F$2:$F$10,Constants!$A$2:$A$10=A2574)))"),"")</f>
        <v/>
      </c>
    </row>
    <row r="2575">
      <c r="A2575" s="89"/>
      <c r="B2575" s="87"/>
      <c r="C2575" s="73"/>
      <c r="D2575" s="73"/>
      <c r="E2575" s="82"/>
      <c r="F2575" s="82"/>
      <c r="G2575" s="86"/>
      <c r="H2575" s="86"/>
      <c r="I2575" s="86"/>
      <c r="J2575" s="82"/>
      <c r="K2575" s="82"/>
      <c r="L2575" s="82"/>
      <c r="M2575" s="82"/>
      <c r="N2575" s="82"/>
      <c r="O2575" s="82"/>
      <c r="P2575" s="82"/>
      <c r="Q2575" s="82"/>
      <c r="R2575" s="82"/>
      <c r="S2575" s="82"/>
      <c r="T2575" s="82"/>
      <c r="U2575" s="82"/>
      <c r="V2575" s="82"/>
      <c r="W2575" s="82"/>
      <c r="X2575" s="82"/>
      <c r="Y2575" s="82"/>
      <c r="Z2575" s="82"/>
      <c r="AA2575" s="82"/>
      <c r="AB2575" s="82"/>
      <c r="AC2575" s="82"/>
      <c r="AD2575" s="82"/>
      <c r="AE2575" s="82"/>
      <c r="AF2575" s="82"/>
      <c r="AG2575" s="82"/>
      <c r="AH2575" s="82"/>
      <c r="AI2575" s="82"/>
      <c r="AJ2575" s="82"/>
      <c r="AK2575" s="82"/>
      <c r="AL2575" s="82"/>
      <c r="AM2575" s="82"/>
      <c r="AN2575" s="82">
        <f>IFERROR(__xludf.DUMMYFUNCTION("""COMPUTED_VALUE"""),0.0)</f>
        <v>0</v>
      </c>
      <c r="AO2575" s="82">
        <f>IFERROR(__xludf.DUMMYFUNCTION("""COMPUTED_VALUE"""),0.0)</f>
        <v>0</v>
      </c>
      <c r="AP2575" s="82">
        <f>IFERROR(__xludf.DUMMYFUNCTION("""COMPUTED_VALUE"""),0.0)</f>
        <v>0</v>
      </c>
      <c r="AQ2575" s="82">
        <f>IFERROR(__xludf.DUMMYFUNCTION("""COMPUTED_VALUE"""),0.0)</f>
        <v>0</v>
      </c>
      <c r="AR2575" s="82">
        <f>IFERROR(__xludf.DUMMYFUNCTION("""COMPUTED_VALUE"""),0.0)</f>
        <v>0</v>
      </c>
      <c r="AS2575" s="82"/>
      <c r="AT2575" s="82">
        <f>IFERROR(__xludf.DUMMYFUNCTION("""COMPUTED_VALUE"""),0.0)</f>
        <v>0</v>
      </c>
      <c r="AU2575" s="82"/>
      <c r="AV2575" s="82"/>
      <c r="AW2575" s="82" t="str">
        <f t="shared" si="1"/>
        <v/>
      </c>
      <c r="AX2575" s="83" t="str">
        <f t="array" ref="AX2575">IFERROR(DGET('SBV Import'!A:G,"SBV",{"RSC ID","Tier";B2575,A2575}))</f>
        <v/>
      </c>
      <c r="AY2575" s="82" t="str">
        <f t="shared" si="2"/>
        <v/>
      </c>
      <c r="AZ2575" s="82"/>
      <c r="BA2575" s="84" t="s">
        <v>152</v>
      </c>
      <c r="BB2575" s="84" t="str">
        <f>IFERROR(__xludf.DUMMYFUNCTION("iferror(if(A2575="""",,E2575&gt;=FILTER(Constants!$F$2:$F$10,Constants!$A$2:$A$10=A2575)))"),"")</f>
        <v/>
      </c>
    </row>
    <row r="2576">
      <c r="A2576" s="89"/>
      <c r="B2576" s="87"/>
      <c r="C2576" s="73"/>
      <c r="D2576" s="73"/>
      <c r="E2576" s="82"/>
      <c r="F2576" s="82"/>
      <c r="G2576" s="86"/>
      <c r="H2576" s="86"/>
      <c r="I2576" s="86"/>
      <c r="J2576" s="82"/>
      <c r="K2576" s="82"/>
      <c r="L2576" s="82"/>
      <c r="M2576" s="82"/>
      <c r="N2576" s="82"/>
      <c r="O2576" s="82"/>
      <c r="P2576" s="82"/>
      <c r="Q2576" s="82"/>
      <c r="R2576" s="82"/>
      <c r="S2576" s="82"/>
      <c r="T2576" s="82"/>
      <c r="U2576" s="82"/>
      <c r="V2576" s="82"/>
      <c r="W2576" s="82"/>
      <c r="X2576" s="82"/>
      <c r="Y2576" s="82"/>
      <c r="Z2576" s="82"/>
      <c r="AA2576" s="82"/>
      <c r="AB2576" s="82"/>
      <c r="AC2576" s="82"/>
      <c r="AD2576" s="82"/>
      <c r="AE2576" s="82"/>
      <c r="AF2576" s="82"/>
      <c r="AG2576" s="82"/>
      <c r="AH2576" s="82"/>
      <c r="AI2576" s="82"/>
      <c r="AJ2576" s="82"/>
      <c r="AK2576" s="82"/>
      <c r="AL2576" s="82"/>
      <c r="AM2576" s="82"/>
      <c r="AN2576" s="82">
        <f>IFERROR(__xludf.DUMMYFUNCTION("""COMPUTED_VALUE"""),0.0)</f>
        <v>0</v>
      </c>
      <c r="AO2576" s="82">
        <f>IFERROR(__xludf.DUMMYFUNCTION("""COMPUTED_VALUE"""),0.0)</f>
        <v>0</v>
      </c>
      <c r="AP2576" s="82">
        <f>IFERROR(__xludf.DUMMYFUNCTION("""COMPUTED_VALUE"""),0.0)</f>
        <v>0</v>
      </c>
      <c r="AQ2576" s="82">
        <f>IFERROR(__xludf.DUMMYFUNCTION("""COMPUTED_VALUE"""),0.0)</f>
        <v>0</v>
      </c>
      <c r="AR2576" s="82">
        <f>IFERROR(__xludf.DUMMYFUNCTION("""COMPUTED_VALUE"""),0.0)</f>
        <v>0</v>
      </c>
      <c r="AS2576" s="82"/>
      <c r="AT2576" s="82">
        <f>IFERROR(__xludf.DUMMYFUNCTION("""COMPUTED_VALUE"""),0.0)</f>
        <v>0</v>
      </c>
      <c r="AU2576" s="82"/>
      <c r="AV2576" s="82"/>
      <c r="AW2576" s="82" t="str">
        <f t="shared" si="1"/>
        <v/>
      </c>
      <c r="AX2576" s="83" t="str">
        <f t="array" ref="AX2576">IFERROR(DGET('SBV Import'!A:G,"SBV",{"RSC ID","Tier";B2576,A2576}))</f>
        <v/>
      </c>
      <c r="AY2576" s="82" t="str">
        <f t="shared" si="2"/>
        <v/>
      </c>
      <c r="AZ2576" s="82"/>
      <c r="BA2576" s="84" t="s">
        <v>152</v>
      </c>
      <c r="BB2576" s="84" t="str">
        <f>IFERROR(__xludf.DUMMYFUNCTION("iferror(if(A2576="""",,E2576&gt;=FILTER(Constants!$F$2:$F$10,Constants!$A$2:$A$10=A2576)))"),"")</f>
        <v/>
      </c>
    </row>
    <row r="2577">
      <c r="A2577" s="89"/>
      <c r="B2577" s="87"/>
      <c r="C2577" s="73"/>
      <c r="D2577" s="73"/>
      <c r="E2577" s="82"/>
      <c r="F2577" s="82"/>
      <c r="G2577" s="86"/>
      <c r="H2577" s="86"/>
      <c r="I2577" s="86"/>
      <c r="J2577" s="82"/>
      <c r="K2577" s="82"/>
      <c r="L2577" s="82"/>
      <c r="M2577" s="82"/>
      <c r="N2577" s="82"/>
      <c r="O2577" s="82"/>
      <c r="P2577" s="82"/>
      <c r="Q2577" s="82"/>
      <c r="R2577" s="82"/>
      <c r="S2577" s="82"/>
      <c r="T2577" s="82"/>
      <c r="U2577" s="82"/>
      <c r="V2577" s="82"/>
      <c r="W2577" s="82"/>
      <c r="X2577" s="82"/>
      <c r="Y2577" s="82"/>
      <c r="Z2577" s="82"/>
      <c r="AA2577" s="82"/>
      <c r="AB2577" s="82"/>
      <c r="AC2577" s="82"/>
      <c r="AD2577" s="82"/>
      <c r="AE2577" s="82"/>
      <c r="AF2577" s="82"/>
      <c r="AG2577" s="82"/>
      <c r="AH2577" s="82"/>
      <c r="AI2577" s="82"/>
      <c r="AJ2577" s="82"/>
      <c r="AK2577" s="82"/>
      <c r="AL2577" s="82"/>
      <c r="AM2577" s="82"/>
      <c r="AN2577" s="82">
        <f>IFERROR(__xludf.DUMMYFUNCTION("""COMPUTED_VALUE"""),0.0)</f>
        <v>0</v>
      </c>
      <c r="AO2577" s="82">
        <f>IFERROR(__xludf.DUMMYFUNCTION("""COMPUTED_VALUE"""),0.0)</f>
        <v>0</v>
      </c>
      <c r="AP2577" s="82">
        <f>IFERROR(__xludf.DUMMYFUNCTION("""COMPUTED_VALUE"""),0.0)</f>
        <v>0</v>
      </c>
      <c r="AQ2577" s="82">
        <f>IFERROR(__xludf.DUMMYFUNCTION("""COMPUTED_VALUE"""),0.0)</f>
        <v>0</v>
      </c>
      <c r="AR2577" s="82">
        <f>IFERROR(__xludf.DUMMYFUNCTION("""COMPUTED_VALUE"""),0.0)</f>
        <v>0</v>
      </c>
      <c r="AS2577" s="82"/>
      <c r="AT2577" s="82">
        <f>IFERROR(__xludf.DUMMYFUNCTION("""COMPUTED_VALUE"""),0.0)</f>
        <v>0</v>
      </c>
      <c r="AU2577" s="82"/>
      <c r="AV2577" s="82"/>
      <c r="AW2577" s="82" t="str">
        <f t="shared" si="1"/>
        <v/>
      </c>
      <c r="AX2577" s="83" t="str">
        <f t="array" ref="AX2577">IFERROR(DGET('SBV Import'!A:G,"SBV",{"RSC ID","Tier";B2577,A2577}))</f>
        <v/>
      </c>
      <c r="AY2577" s="82" t="str">
        <f t="shared" si="2"/>
        <v/>
      </c>
      <c r="AZ2577" s="82"/>
      <c r="BA2577" s="84" t="s">
        <v>152</v>
      </c>
      <c r="BB2577" s="84" t="str">
        <f>IFERROR(__xludf.DUMMYFUNCTION("iferror(if(A2577="""",,E2577&gt;=FILTER(Constants!$F$2:$F$10,Constants!$A$2:$A$10=A2577)))"),"")</f>
        <v/>
      </c>
    </row>
    <row r="2578">
      <c r="A2578" s="89"/>
      <c r="B2578" s="87"/>
      <c r="C2578" s="73"/>
      <c r="D2578" s="73"/>
      <c r="E2578" s="82"/>
      <c r="F2578" s="82"/>
      <c r="G2578" s="86"/>
      <c r="H2578" s="86"/>
      <c r="I2578" s="86"/>
      <c r="J2578" s="82"/>
      <c r="K2578" s="82"/>
      <c r="L2578" s="82"/>
      <c r="M2578" s="82"/>
      <c r="N2578" s="82"/>
      <c r="O2578" s="82"/>
      <c r="P2578" s="82"/>
      <c r="Q2578" s="82"/>
      <c r="R2578" s="82"/>
      <c r="S2578" s="82"/>
      <c r="T2578" s="82"/>
      <c r="U2578" s="82"/>
      <c r="V2578" s="82"/>
      <c r="W2578" s="82"/>
      <c r="X2578" s="82"/>
      <c r="Y2578" s="82"/>
      <c r="Z2578" s="82"/>
      <c r="AA2578" s="82"/>
      <c r="AB2578" s="82"/>
      <c r="AC2578" s="82"/>
      <c r="AD2578" s="82"/>
      <c r="AE2578" s="82"/>
      <c r="AF2578" s="82"/>
      <c r="AG2578" s="82"/>
      <c r="AH2578" s="82"/>
      <c r="AI2578" s="82"/>
      <c r="AJ2578" s="82"/>
      <c r="AK2578" s="82"/>
      <c r="AL2578" s="82"/>
      <c r="AM2578" s="82"/>
      <c r="AN2578" s="82">
        <f>IFERROR(__xludf.DUMMYFUNCTION("""COMPUTED_VALUE"""),0.0)</f>
        <v>0</v>
      </c>
      <c r="AO2578" s="82">
        <f>IFERROR(__xludf.DUMMYFUNCTION("""COMPUTED_VALUE"""),0.0)</f>
        <v>0</v>
      </c>
      <c r="AP2578" s="82">
        <f>IFERROR(__xludf.DUMMYFUNCTION("""COMPUTED_VALUE"""),0.0)</f>
        <v>0</v>
      </c>
      <c r="AQ2578" s="82">
        <f>IFERROR(__xludf.DUMMYFUNCTION("""COMPUTED_VALUE"""),0.0)</f>
        <v>0</v>
      </c>
      <c r="AR2578" s="82">
        <f>IFERROR(__xludf.DUMMYFUNCTION("""COMPUTED_VALUE"""),0.0)</f>
        <v>0</v>
      </c>
      <c r="AS2578" s="82"/>
      <c r="AT2578" s="82">
        <f>IFERROR(__xludf.DUMMYFUNCTION("""COMPUTED_VALUE"""),0.0)</f>
        <v>0</v>
      </c>
      <c r="AU2578" s="82"/>
      <c r="AV2578" s="82"/>
      <c r="AW2578" s="82" t="str">
        <f t="shared" si="1"/>
        <v/>
      </c>
      <c r="AX2578" s="83" t="str">
        <f t="array" ref="AX2578">IFERROR(DGET('SBV Import'!A:G,"SBV",{"RSC ID","Tier";B2578,A2578}))</f>
        <v/>
      </c>
      <c r="AY2578" s="82" t="str">
        <f t="shared" si="2"/>
        <v/>
      </c>
      <c r="AZ2578" s="82"/>
      <c r="BA2578" s="84" t="s">
        <v>152</v>
      </c>
      <c r="BB2578" s="84" t="str">
        <f>IFERROR(__xludf.DUMMYFUNCTION("iferror(if(A2578="""",,E2578&gt;=FILTER(Constants!$F$2:$F$10,Constants!$A$2:$A$10=A2578)))"),"")</f>
        <v/>
      </c>
    </row>
    <row r="2579">
      <c r="A2579" s="89"/>
      <c r="B2579" s="87"/>
      <c r="C2579" s="73"/>
      <c r="D2579" s="73"/>
      <c r="E2579" s="82"/>
      <c r="F2579" s="82"/>
      <c r="G2579" s="86"/>
      <c r="H2579" s="86"/>
      <c r="I2579" s="86"/>
      <c r="J2579" s="82"/>
      <c r="K2579" s="82"/>
      <c r="L2579" s="82"/>
      <c r="M2579" s="82"/>
      <c r="N2579" s="82"/>
      <c r="O2579" s="82"/>
      <c r="P2579" s="82"/>
      <c r="Q2579" s="82"/>
      <c r="R2579" s="82"/>
      <c r="S2579" s="82"/>
      <c r="T2579" s="82"/>
      <c r="U2579" s="82"/>
      <c r="V2579" s="82"/>
      <c r="W2579" s="82"/>
      <c r="X2579" s="82"/>
      <c r="Y2579" s="82"/>
      <c r="Z2579" s="82"/>
      <c r="AA2579" s="82"/>
      <c r="AB2579" s="82"/>
      <c r="AC2579" s="82"/>
      <c r="AD2579" s="82"/>
      <c r="AE2579" s="82"/>
      <c r="AF2579" s="82"/>
      <c r="AG2579" s="82"/>
      <c r="AH2579" s="82"/>
      <c r="AI2579" s="82"/>
      <c r="AJ2579" s="82"/>
      <c r="AK2579" s="82"/>
      <c r="AL2579" s="82"/>
      <c r="AM2579" s="82"/>
      <c r="AN2579" s="82">
        <f>IFERROR(__xludf.DUMMYFUNCTION("""COMPUTED_VALUE"""),0.0)</f>
        <v>0</v>
      </c>
      <c r="AO2579" s="82">
        <f>IFERROR(__xludf.DUMMYFUNCTION("""COMPUTED_VALUE"""),0.0)</f>
        <v>0</v>
      </c>
      <c r="AP2579" s="82">
        <f>IFERROR(__xludf.DUMMYFUNCTION("""COMPUTED_VALUE"""),0.0)</f>
        <v>0</v>
      </c>
      <c r="AQ2579" s="82">
        <f>IFERROR(__xludf.DUMMYFUNCTION("""COMPUTED_VALUE"""),0.0)</f>
        <v>0</v>
      </c>
      <c r="AR2579" s="82">
        <f>IFERROR(__xludf.DUMMYFUNCTION("""COMPUTED_VALUE"""),0.0)</f>
        <v>0</v>
      </c>
      <c r="AS2579" s="82"/>
      <c r="AT2579" s="82">
        <f>IFERROR(__xludf.DUMMYFUNCTION("""COMPUTED_VALUE"""),0.0)</f>
        <v>0</v>
      </c>
      <c r="AU2579" s="82"/>
      <c r="AV2579" s="82"/>
      <c r="AW2579" s="82" t="str">
        <f t="shared" si="1"/>
        <v/>
      </c>
      <c r="AX2579" s="83" t="str">
        <f t="array" ref="AX2579">IFERROR(DGET('SBV Import'!A:G,"SBV",{"RSC ID","Tier";B2579,A2579}))</f>
        <v/>
      </c>
      <c r="AY2579" s="82" t="str">
        <f t="shared" si="2"/>
        <v/>
      </c>
      <c r="AZ2579" s="82"/>
      <c r="BA2579" s="84" t="s">
        <v>152</v>
      </c>
      <c r="BB2579" s="84" t="str">
        <f>IFERROR(__xludf.DUMMYFUNCTION("iferror(if(A2579="""",,E2579&gt;=FILTER(Constants!$F$2:$F$10,Constants!$A$2:$A$10=A2579)))"),"")</f>
        <v/>
      </c>
    </row>
    <row r="2580">
      <c r="A2580" s="89"/>
      <c r="B2580" s="87"/>
      <c r="C2580" s="73"/>
      <c r="D2580" s="73"/>
      <c r="E2580" s="82"/>
      <c r="F2580" s="82"/>
      <c r="G2580" s="86"/>
      <c r="H2580" s="86"/>
      <c r="I2580" s="86"/>
      <c r="J2580" s="82"/>
      <c r="K2580" s="82"/>
      <c r="L2580" s="82"/>
      <c r="M2580" s="82"/>
      <c r="N2580" s="82"/>
      <c r="O2580" s="82"/>
      <c r="P2580" s="82"/>
      <c r="Q2580" s="82"/>
      <c r="R2580" s="82"/>
      <c r="S2580" s="82"/>
      <c r="T2580" s="82"/>
      <c r="U2580" s="82"/>
      <c r="V2580" s="82"/>
      <c r="W2580" s="82"/>
      <c r="X2580" s="82"/>
      <c r="Y2580" s="82"/>
      <c r="Z2580" s="82"/>
      <c r="AA2580" s="82"/>
      <c r="AB2580" s="82"/>
      <c r="AC2580" s="82"/>
      <c r="AD2580" s="82"/>
      <c r="AE2580" s="82"/>
      <c r="AF2580" s="82"/>
      <c r="AG2580" s="82"/>
      <c r="AH2580" s="82"/>
      <c r="AI2580" s="82"/>
      <c r="AJ2580" s="82"/>
      <c r="AK2580" s="82"/>
      <c r="AL2580" s="82"/>
      <c r="AM2580" s="82"/>
      <c r="AN2580" s="82">
        <f>IFERROR(__xludf.DUMMYFUNCTION("""COMPUTED_VALUE"""),0.0)</f>
        <v>0</v>
      </c>
      <c r="AO2580" s="82">
        <f>IFERROR(__xludf.DUMMYFUNCTION("""COMPUTED_VALUE"""),0.0)</f>
        <v>0</v>
      </c>
      <c r="AP2580" s="82">
        <f>IFERROR(__xludf.DUMMYFUNCTION("""COMPUTED_VALUE"""),0.0)</f>
        <v>0</v>
      </c>
      <c r="AQ2580" s="82">
        <f>IFERROR(__xludf.DUMMYFUNCTION("""COMPUTED_VALUE"""),0.0)</f>
        <v>0</v>
      </c>
      <c r="AR2580" s="82">
        <f>IFERROR(__xludf.DUMMYFUNCTION("""COMPUTED_VALUE"""),0.0)</f>
        <v>0</v>
      </c>
      <c r="AS2580" s="82"/>
      <c r="AT2580" s="82">
        <f>IFERROR(__xludf.DUMMYFUNCTION("""COMPUTED_VALUE"""),0.0)</f>
        <v>0</v>
      </c>
      <c r="AU2580" s="82"/>
      <c r="AV2580" s="82"/>
      <c r="AW2580" s="82" t="str">
        <f t="shared" si="1"/>
        <v/>
      </c>
      <c r="AX2580" s="83" t="str">
        <f t="array" ref="AX2580">IFERROR(DGET('SBV Import'!A:G,"SBV",{"RSC ID","Tier";B2580,A2580}))</f>
        <v/>
      </c>
      <c r="AY2580" s="82" t="str">
        <f t="shared" si="2"/>
        <v/>
      </c>
      <c r="AZ2580" s="82"/>
      <c r="BA2580" s="84" t="s">
        <v>152</v>
      </c>
      <c r="BB2580" s="84" t="str">
        <f>IFERROR(__xludf.DUMMYFUNCTION("iferror(if(A2580="""",,E2580&gt;=FILTER(Constants!$F$2:$F$10,Constants!$A$2:$A$10=A2580)))"),"")</f>
        <v/>
      </c>
    </row>
    <row r="2581">
      <c r="A2581" s="89"/>
      <c r="B2581" s="87"/>
      <c r="C2581" s="73"/>
      <c r="D2581" s="73"/>
      <c r="E2581" s="82"/>
      <c r="F2581" s="82"/>
      <c r="G2581" s="86"/>
      <c r="H2581" s="86"/>
      <c r="I2581" s="86"/>
      <c r="J2581" s="82"/>
      <c r="K2581" s="82"/>
      <c r="L2581" s="82"/>
      <c r="M2581" s="82"/>
      <c r="N2581" s="82"/>
      <c r="O2581" s="82"/>
      <c r="P2581" s="82"/>
      <c r="Q2581" s="82"/>
      <c r="R2581" s="82"/>
      <c r="S2581" s="82"/>
      <c r="T2581" s="82"/>
      <c r="U2581" s="82"/>
      <c r="V2581" s="82"/>
      <c r="W2581" s="82"/>
      <c r="X2581" s="82"/>
      <c r="Y2581" s="82"/>
      <c r="Z2581" s="82"/>
      <c r="AA2581" s="82"/>
      <c r="AB2581" s="82"/>
      <c r="AC2581" s="82"/>
      <c r="AD2581" s="82"/>
      <c r="AE2581" s="82"/>
      <c r="AF2581" s="82"/>
      <c r="AG2581" s="82"/>
      <c r="AH2581" s="82"/>
      <c r="AI2581" s="82"/>
      <c r="AJ2581" s="82"/>
      <c r="AK2581" s="82"/>
      <c r="AL2581" s="82"/>
      <c r="AM2581" s="82"/>
      <c r="AN2581" s="82">
        <f>IFERROR(__xludf.DUMMYFUNCTION("""COMPUTED_VALUE"""),0.0)</f>
        <v>0</v>
      </c>
      <c r="AO2581" s="82">
        <f>IFERROR(__xludf.DUMMYFUNCTION("""COMPUTED_VALUE"""),0.0)</f>
        <v>0</v>
      </c>
      <c r="AP2581" s="82">
        <f>IFERROR(__xludf.DUMMYFUNCTION("""COMPUTED_VALUE"""),0.0)</f>
        <v>0</v>
      </c>
      <c r="AQ2581" s="82">
        <f>IFERROR(__xludf.DUMMYFUNCTION("""COMPUTED_VALUE"""),0.0)</f>
        <v>0</v>
      </c>
      <c r="AR2581" s="82">
        <f>IFERROR(__xludf.DUMMYFUNCTION("""COMPUTED_VALUE"""),0.0)</f>
        <v>0</v>
      </c>
      <c r="AS2581" s="82"/>
      <c r="AT2581" s="82">
        <f>IFERROR(__xludf.DUMMYFUNCTION("""COMPUTED_VALUE"""),0.0)</f>
        <v>0</v>
      </c>
      <c r="AU2581" s="82"/>
      <c r="AV2581" s="82"/>
      <c r="AW2581" s="82" t="str">
        <f t="shared" si="1"/>
        <v/>
      </c>
      <c r="AX2581" s="83" t="str">
        <f t="array" ref="AX2581">IFERROR(DGET('SBV Import'!A:G,"SBV",{"RSC ID","Tier";B2581,A2581}))</f>
        <v/>
      </c>
      <c r="AY2581" s="82" t="str">
        <f t="shared" si="2"/>
        <v/>
      </c>
      <c r="AZ2581" s="82"/>
      <c r="BA2581" s="84" t="s">
        <v>152</v>
      </c>
      <c r="BB2581" s="84" t="str">
        <f>IFERROR(__xludf.DUMMYFUNCTION("iferror(if(A2581="""",,E2581&gt;=FILTER(Constants!$F$2:$F$10,Constants!$A$2:$A$10=A2581)))"),"")</f>
        <v/>
      </c>
    </row>
    <row r="2582">
      <c r="A2582" s="89"/>
      <c r="B2582" s="87"/>
      <c r="C2582" s="73"/>
      <c r="D2582" s="73"/>
      <c r="E2582" s="82"/>
      <c r="F2582" s="82"/>
      <c r="G2582" s="86"/>
      <c r="H2582" s="86"/>
      <c r="I2582" s="86"/>
      <c r="J2582" s="82"/>
      <c r="K2582" s="82"/>
      <c r="L2582" s="82"/>
      <c r="M2582" s="82"/>
      <c r="N2582" s="82"/>
      <c r="O2582" s="82"/>
      <c r="P2582" s="82"/>
      <c r="Q2582" s="82"/>
      <c r="R2582" s="82"/>
      <c r="S2582" s="82"/>
      <c r="T2582" s="82"/>
      <c r="U2582" s="82"/>
      <c r="V2582" s="82"/>
      <c r="W2582" s="82"/>
      <c r="X2582" s="82"/>
      <c r="Y2582" s="82"/>
      <c r="Z2582" s="82"/>
      <c r="AA2582" s="82"/>
      <c r="AB2582" s="82"/>
      <c r="AC2582" s="82"/>
      <c r="AD2582" s="82"/>
      <c r="AE2582" s="82"/>
      <c r="AF2582" s="82"/>
      <c r="AG2582" s="82"/>
      <c r="AH2582" s="82"/>
      <c r="AI2582" s="82"/>
      <c r="AJ2582" s="82"/>
      <c r="AK2582" s="82"/>
      <c r="AL2582" s="82"/>
      <c r="AM2582" s="82"/>
      <c r="AN2582" s="82">
        <f>IFERROR(__xludf.DUMMYFUNCTION("""COMPUTED_VALUE"""),0.0)</f>
        <v>0</v>
      </c>
      <c r="AO2582" s="82">
        <f>IFERROR(__xludf.DUMMYFUNCTION("""COMPUTED_VALUE"""),0.0)</f>
        <v>0</v>
      </c>
      <c r="AP2582" s="82">
        <f>IFERROR(__xludf.DUMMYFUNCTION("""COMPUTED_VALUE"""),0.0)</f>
        <v>0</v>
      </c>
      <c r="AQ2582" s="82">
        <f>IFERROR(__xludf.DUMMYFUNCTION("""COMPUTED_VALUE"""),0.0)</f>
        <v>0</v>
      </c>
      <c r="AR2582" s="82">
        <f>IFERROR(__xludf.DUMMYFUNCTION("""COMPUTED_VALUE"""),0.0)</f>
        <v>0</v>
      </c>
      <c r="AS2582" s="82"/>
      <c r="AT2582" s="82">
        <f>IFERROR(__xludf.DUMMYFUNCTION("""COMPUTED_VALUE"""),0.0)</f>
        <v>0</v>
      </c>
      <c r="AU2582" s="82"/>
      <c r="AV2582" s="82"/>
      <c r="AW2582" s="82" t="str">
        <f t="shared" si="1"/>
        <v/>
      </c>
      <c r="AX2582" s="83" t="str">
        <f t="array" ref="AX2582">IFERROR(DGET('SBV Import'!A:G,"SBV",{"RSC ID","Tier";B2582,A2582}))</f>
        <v/>
      </c>
      <c r="AY2582" s="82" t="str">
        <f t="shared" si="2"/>
        <v/>
      </c>
      <c r="AZ2582" s="82"/>
      <c r="BA2582" s="84" t="s">
        <v>152</v>
      </c>
      <c r="BB2582" s="84" t="str">
        <f>IFERROR(__xludf.DUMMYFUNCTION("iferror(if(A2582="""",,E2582&gt;=FILTER(Constants!$F$2:$F$10,Constants!$A$2:$A$10=A2582)))"),"")</f>
        <v/>
      </c>
    </row>
    <row r="2583">
      <c r="A2583" s="89"/>
      <c r="B2583" s="87"/>
      <c r="C2583" s="73"/>
      <c r="D2583" s="73"/>
      <c r="E2583" s="82"/>
      <c r="F2583" s="82"/>
      <c r="G2583" s="86"/>
      <c r="H2583" s="86"/>
      <c r="I2583" s="86"/>
      <c r="J2583" s="82"/>
      <c r="K2583" s="82"/>
      <c r="L2583" s="82"/>
      <c r="M2583" s="82"/>
      <c r="N2583" s="82"/>
      <c r="O2583" s="82"/>
      <c r="P2583" s="82"/>
      <c r="Q2583" s="82"/>
      <c r="R2583" s="82"/>
      <c r="S2583" s="82"/>
      <c r="T2583" s="82"/>
      <c r="U2583" s="82"/>
      <c r="V2583" s="82"/>
      <c r="W2583" s="82"/>
      <c r="X2583" s="82"/>
      <c r="Y2583" s="82"/>
      <c r="Z2583" s="82"/>
      <c r="AA2583" s="82"/>
      <c r="AB2583" s="82"/>
      <c r="AC2583" s="82"/>
      <c r="AD2583" s="82"/>
      <c r="AE2583" s="82"/>
      <c r="AF2583" s="82"/>
      <c r="AG2583" s="82"/>
      <c r="AH2583" s="82"/>
      <c r="AI2583" s="82"/>
      <c r="AJ2583" s="82"/>
      <c r="AK2583" s="82"/>
      <c r="AL2583" s="82"/>
      <c r="AM2583" s="82"/>
      <c r="AN2583" s="82">
        <f>IFERROR(__xludf.DUMMYFUNCTION("""COMPUTED_VALUE"""),0.0)</f>
        <v>0</v>
      </c>
      <c r="AO2583" s="82">
        <f>IFERROR(__xludf.DUMMYFUNCTION("""COMPUTED_VALUE"""),0.0)</f>
        <v>0</v>
      </c>
      <c r="AP2583" s="82">
        <f>IFERROR(__xludf.DUMMYFUNCTION("""COMPUTED_VALUE"""),0.0)</f>
        <v>0</v>
      </c>
      <c r="AQ2583" s="82">
        <f>IFERROR(__xludf.DUMMYFUNCTION("""COMPUTED_VALUE"""),0.0)</f>
        <v>0</v>
      </c>
      <c r="AR2583" s="82">
        <f>IFERROR(__xludf.DUMMYFUNCTION("""COMPUTED_VALUE"""),0.0)</f>
        <v>0</v>
      </c>
      <c r="AS2583" s="82"/>
      <c r="AT2583" s="82">
        <f>IFERROR(__xludf.DUMMYFUNCTION("""COMPUTED_VALUE"""),0.0)</f>
        <v>0</v>
      </c>
      <c r="AU2583" s="82"/>
      <c r="AV2583" s="82"/>
      <c r="AW2583" s="82" t="str">
        <f t="shared" si="1"/>
        <v/>
      </c>
      <c r="AX2583" s="83" t="str">
        <f t="array" ref="AX2583">IFERROR(DGET('SBV Import'!A:G,"SBV",{"RSC ID","Tier";B2583,A2583}))</f>
        <v/>
      </c>
      <c r="AY2583" s="82" t="str">
        <f t="shared" si="2"/>
        <v/>
      </c>
      <c r="AZ2583" s="82"/>
      <c r="BA2583" s="84" t="s">
        <v>152</v>
      </c>
      <c r="BB2583" s="84" t="str">
        <f>IFERROR(__xludf.DUMMYFUNCTION("iferror(if(A2583="""",,E2583&gt;=FILTER(Constants!$F$2:$F$10,Constants!$A$2:$A$10=A2583)))"),"")</f>
        <v/>
      </c>
    </row>
    <row r="2584">
      <c r="A2584" s="89"/>
      <c r="B2584" s="87"/>
      <c r="C2584" s="73"/>
      <c r="D2584" s="73"/>
      <c r="E2584" s="82"/>
      <c r="F2584" s="82"/>
      <c r="G2584" s="86"/>
      <c r="H2584" s="86"/>
      <c r="I2584" s="86"/>
      <c r="J2584" s="82"/>
      <c r="K2584" s="82"/>
      <c r="L2584" s="82"/>
      <c r="M2584" s="82"/>
      <c r="N2584" s="82"/>
      <c r="O2584" s="82"/>
      <c r="P2584" s="82"/>
      <c r="Q2584" s="82"/>
      <c r="R2584" s="82"/>
      <c r="S2584" s="82"/>
      <c r="T2584" s="82"/>
      <c r="U2584" s="82"/>
      <c r="V2584" s="82"/>
      <c r="W2584" s="82"/>
      <c r="X2584" s="82"/>
      <c r="Y2584" s="82"/>
      <c r="Z2584" s="82"/>
      <c r="AA2584" s="82"/>
      <c r="AB2584" s="82"/>
      <c r="AC2584" s="82"/>
      <c r="AD2584" s="82"/>
      <c r="AE2584" s="82"/>
      <c r="AF2584" s="82"/>
      <c r="AG2584" s="82"/>
      <c r="AH2584" s="82"/>
      <c r="AI2584" s="82"/>
      <c r="AJ2584" s="82"/>
      <c r="AK2584" s="82"/>
      <c r="AL2584" s="82"/>
      <c r="AM2584" s="82"/>
      <c r="AN2584" s="82">
        <f>IFERROR(__xludf.DUMMYFUNCTION("""COMPUTED_VALUE"""),0.0)</f>
        <v>0</v>
      </c>
      <c r="AO2584" s="82">
        <f>IFERROR(__xludf.DUMMYFUNCTION("""COMPUTED_VALUE"""),0.0)</f>
        <v>0</v>
      </c>
      <c r="AP2584" s="82">
        <f>IFERROR(__xludf.DUMMYFUNCTION("""COMPUTED_VALUE"""),0.0)</f>
        <v>0</v>
      </c>
      <c r="AQ2584" s="82">
        <f>IFERROR(__xludf.DUMMYFUNCTION("""COMPUTED_VALUE"""),0.0)</f>
        <v>0</v>
      </c>
      <c r="AR2584" s="82">
        <f>IFERROR(__xludf.DUMMYFUNCTION("""COMPUTED_VALUE"""),0.0)</f>
        <v>0</v>
      </c>
      <c r="AS2584" s="82"/>
      <c r="AT2584" s="82">
        <f>IFERROR(__xludf.DUMMYFUNCTION("""COMPUTED_VALUE"""),0.0)</f>
        <v>0</v>
      </c>
      <c r="AU2584" s="82"/>
      <c r="AV2584" s="82"/>
      <c r="AW2584" s="82" t="str">
        <f t="shared" si="1"/>
        <v/>
      </c>
      <c r="AX2584" s="83" t="str">
        <f t="array" ref="AX2584">IFERROR(DGET('SBV Import'!A:G,"SBV",{"RSC ID","Tier";B2584,A2584}))</f>
        <v/>
      </c>
      <c r="AY2584" s="82" t="str">
        <f t="shared" si="2"/>
        <v/>
      </c>
      <c r="AZ2584" s="82"/>
      <c r="BA2584" s="84" t="s">
        <v>152</v>
      </c>
      <c r="BB2584" s="84" t="str">
        <f>IFERROR(__xludf.DUMMYFUNCTION("iferror(if(A2584="""",,E2584&gt;=FILTER(Constants!$F$2:$F$10,Constants!$A$2:$A$10=A2584)))"),"")</f>
        <v/>
      </c>
    </row>
    <row r="2585">
      <c r="A2585" s="89"/>
      <c r="B2585" s="87"/>
      <c r="C2585" s="73"/>
      <c r="D2585" s="73"/>
      <c r="E2585" s="82"/>
      <c r="F2585" s="82"/>
      <c r="G2585" s="86"/>
      <c r="H2585" s="86"/>
      <c r="I2585" s="86"/>
      <c r="J2585" s="82"/>
      <c r="K2585" s="82"/>
      <c r="L2585" s="82"/>
      <c r="M2585" s="82"/>
      <c r="N2585" s="82"/>
      <c r="O2585" s="82"/>
      <c r="P2585" s="82"/>
      <c r="Q2585" s="82"/>
      <c r="R2585" s="82"/>
      <c r="S2585" s="82"/>
      <c r="T2585" s="82"/>
      <c r="U2585" s="82"/>
      <c r="V2585" s="82"/>
      <c r="W2585" s="82"/>
      <c r="X2585" s="82"/>
      <c r="Y2585" s="82"/>
      <c r="Z2585" s="82"/>
      <c r="AA2585" s="82"/>
      <c r="AB2585" s="82"/>
      <c r="AC2585" s="82"/>
      <c r="AD2585" s="82"/>
      <c r="AE2585" s="82"/>
      <c r="AF2585" s="82"/>
      <c r="AG2585" s="82"/>
      <c r="AH2585" s="82"/>
      <c r="AI2585" s="82"/>
      <c r="AJ2585" s="82"/>
      <c r="AK2585" s="82"/>
      <c r="AL2585" s="82"/>
      <c r="AM2585" s="82"/>
      <c r="AN2585" s="82">
        <f>IFERROR(__xludf.DUMMYFUNCTION("""COMPUTED_VALUE"""),0.0)</f>
        <v>0</v>
      </c>
      <c r="AO2585" s="82">
        <f>IFERROR(__xludf.DUMMYFUNCTION("""COMPUTED_VALUE"""),0.0)</f>
        <v>0</v>
      </c>
      <c r="AP2585" s="82">
        <f>IFERROR(__xludf.DUMMYFUNCTION("""COMPUTED_VALUE"""),0.0)</f>
        <v>0</v>
      </c>
      <c r="AQ2585" s="82">
        <f>IFERROR(__xludf.DUMMYFUNCTION("""COMPUTED_VALUE"""),0.0)</f>
        <v>0</v>
      </c>
      <c r="AR2585" s="82">
        <f>IFERROR(__xludf.DUMMYFUNCTION("""COMPUTED_VALUE"""),0.0)</f>
        <v>0</v>
      </c>
      <c r="AS2585" s="82"/>
      <c r="AT2585" s="82">
        <f>IFERROR(__xludf.DUMMYFUNCTION("""COMPUTED_VALUE"""),0.0)</f>
        <v>0</v>
      </c>
      <c r="AU2585" s="82"/>
      <c r="AV2585" s="82"/>
      <c r="AW2585" s="82" t="str">
        <f t="shared" si="1"/>
        <v/>
      </c>
      <c r="AX2585" s="83" t="str">
        <f t="array" ref="AX2585">IFERROR(DGET('SBV Import'!A:G,"SBV",{"RSC ID","Tier";B2585,A2585}))</f>
        <v/>
      </c>
      <c r="AY2585" s="82" t="str">
        <f t="shared" si="2"/>
        <v/>
      </c>
      <c r="AZ2585" s="82"/>
      <c r="BA2585" s="84" t="s">
        <v>152</v>
      </c>
      <c r="BB2585" s="84" t="str">
        <f>IFERROR(__xludf.DUMMYFUNCTION("iferror(if(A2585="""",,E2585&gt;=FILTER(Constants!$F$2:$F$10,Constants!$A$2:$A$10=A2585)))"),"")</f>
        <v/>
      </c>
    </row>
    <row r="2586">
      <c r="A2586" s="89"/>
      <c r="B2586" s="87"/>
      <c r="C2586" s="73"/>
      <c r="D2586" s="73"/>
      <c r="E2586" s="82"/>
      <c r="F2586" s="82"/>
      <c r="G2586" s="86"/>
      <c r="H2586" s="86"/>
      <c r="I2586" s="86"/>
      <c r="J2586" s="82"/>
      <c r="K2586" s="82"/>
      <c r="L2586" s="82"/>
      <c r="M2586" s="82"/>
      <c r="N2586" s="82"/>
      <c r="O2586" s="82"/>
      <c r="P2586" s="82"/>
      <c r="Q2586" s="82"/>
      <c r="R2586" s="82"/>
      <c r="S2586" s="82"/>
      <c r="T2586" s="82"/>
      <c r="U2586" s="82"/>
      <c r="V2586" s="82"/>
      <c r="W2586" s="82"/>
      <c r="X2586" s="82"/>
      <c r="Y2586" s="82"/>
      <c r="Z2586" s="82"/>
      <c r="AA2586" s="82"/>
      <c r="AB2586" s="82"/>
      <c r="AC2586" s="82"/>
      <c r="AD2586" s="82"/>
      <c r="AE2586" s="82"/>
      <c r="AF2586" s="82"/>
      <c r="AG2586" s="82"/>
      <c r="AH2586" s="82"/>
      <c r="AI2586" s="82"/>
      <c r="AJ2586" s="82"/>
      <c r="AK2586" s="82"/>
      <c r="AL2586" s="82"/>
      <c r="AM2586" s="82"/>
      <c r="AN2586" s="82">
        <f>IFERROR(__xludf.DUMMYFUNCTION("""COMPUTED_VALUE"""),0.0)</f>
        <v>0</v>
      </c>
      <c r="AO2586" s="82">
        <f>IFERROR(__xludf.DUMMYFUNCTION("""COMPUTED_VALUE"""),0.0)</f>
        <v>0</v>
      </c>
      <c r="AP2586" s="82">
        <f>IFERROR(__xludf.DUMMYFUNCTION("""COMPUTED_VALUE"""),0.0)</f>
        <v>0</v>
      </c>
      <c r="AQ2586" s="82">
        <f>IFERROR(__xludf.DUMMYFUNCTION("""COMPUTED_VALUE"""),0.0)</f>
        <v>0</v>
      </c>
      <c r="AR2586" s="82">
        <f>IFERROR(__xludf.DUMMYFUNCTION("""COMPUTED_VALUE"""),0.0)</f>
        <v>0</v>
      </c>
      <c r="AS2586" s="82"/>
      <c r="AT2586" s="82">
        <f>IFERROR(__xludf.DUMMYFUNCTION("""COMPUTED_VALUE"""),0.0)</f>
        <v>0</v>
      </c>
      <c r="AU2586" s="82"/>
      <c r="AV2586" s="82"/>
      <c r="AW2586" s="82" t="str">
        <f t="shared" si="1"/>
        <v/>
      </c>
      <c r="AX2586" s="83" t="str">
        <f t="array" ref="AX2586">IFERROR(DGET('SBV Import'!A:G,"SBV",{"RSC ID","Tier";B2586,A2586}))</f>
        <v/>
      </c>
      <c r="AY2586" s="82" t="str">
        <f t="shared" si="2"/>
        <v/>
      </c>
      <c r="AZ2586" s="82"/>
      <c r="BA2586" s="84" t="s">
        <v>152</v>
      </c>
      <c r="BB2586" s="84" t="str">
        <f>IFERROR(__xludf.DUMMYFUNCTION("iferror(if(A2586="""",,E2586&gt;=FILTER(Constants!$F$2:$F$10,Constants!$A$2:$A$10=A2586)))"),"")</f>
        <v/>
      </c>
    </row>
    <row r="2587">
      <c r="A2587" s="89"/>
      <c r="B2587" s="87"/>
      <c r="C2587" s="73"/>
      <c r="D2587" s="73"/>
      <c r="E2587" s="82"/>
      <c r="F2587" s="82"/>
      <c r="G2587" s="86"/>
      <c r="H2587" s="86"/>
      <c r="I2587" s="86"/>
      <c r="J2587" s="82"/>
      <c r="K2587" s="82"/>
      <c r="L2587" s="82"/>
      <c r="M2587" s="82"/>
      <c r="N2587" s="82"/>
      <c r="O2587" s="82"/>
      <c r="P2587" s="82"/>
      <c r="Q2587" s="82"/>
      <c r="R2587" s="82"/>
      <c r="S2587" s="82"/>
      <c r="T2587" s="82"/>
      <c r="U2587" s="82"/>
      <c r="V2587" s="82"/>
      <c r="W2587" s="82"/>
      <c r="X2587" s="82"/>
      <c r="Y2587" s="82"/>
      <c r="Z2587" s="82"/>
      <c r="AA2587" s="82"/>
      <c r="AB2587" s="82"/>
      <c r="AC2587" s="82"/>
      <c r="AD2587" s="82"/>
      <c r="AE2587" s="82"/>
      <c r="AF2587" s="82"/>
      <c r="AG2587" s="82"/>
      <c r="AH2587" s="82"/>
      <c r="AI2587" s="82"/>
      <c r="AJ2587" s="82"/>
      <c r="AK2587" s="82"/>
      <c r="AL2587" s="82"/>
      <c r="AM2587" s="82"/>
      <c r="AN2587" s="82">
        <f>IFERROR(__xludf.DUMMYFUNCTION("""COMPUTED_VALUE"""),0.0)</f>
        <v>0</v>
      </c>
      <c r="AO2587" s="82">
        <f>IFERROR(__xludf.DUMMYFUNCTION("""COMPUTED_VALUE"""),0.0)</f>
        <v>0</v>
      </c>
      <c r="AP2587" s="82">
        <f>IFERROR(__xludf.DUMMYFUNCTION("""COMPUTED_VALUE"""),0.0)</f>
        <v>0</v>
      </c>
      <c r="AQ2587" s="82">
        <f>IFERROR(__xludf.DUMMYFUNCTION("""COMPUTED_VALUE"""),0.0)</f>
        <v>0</v>
      </c>
      <c r="AR2587" s="82">
        <f>IFERROR(__xludf.DUMMYFUNCTION("""COMPUTED_VALUE"""),0.0)</f>
        <v>0</v>
      </c>
      <c r="AS2587" s="82"/>
      <c r="AT2587" s="82">
        <f>IFERROR(__xludf.DUMMYFUNCTION("""COMPUTED_VALUE"""),0.0)</f>
        <v>0</v>
      </c>
      <c r="AU2587" s="82"/>
      <c r="AV2587" s="82"/>
      <c r="AW2587" s="82" t="str">
        <f t="shared" si="1"/>
        <v/>
      </c>
      <c r="AX2587" s="83" t="str">
        <f t="array" ref="AX2587">IFERROR(DGET('SBV Import'!A:G,"SBV",{"RSC ID","Tier";B2587,A2587}))</f>
        <v/>
      </c>
      <c r="AY2587" s="82" t="str">
        <f t="shared" si="2"/>
        <v/>
      </c>
      <c r="AZ2587" s="82"/>
      <c r="BA2587" s="84" t="s">
        <v>152</v>
      </c>
      <c r="BB2587" s="84" t="str">
        <f>IFERROR(__xludf.DUMMYFUNCTION("iferror(if(A2587="""",,E2587&gt;=FILTER(Constants!$F$2:$F$10,Constants!$A$2:$A$10=A2587)))"),"")</f>
        <v/>
      </c>
    </row>
    <row r="2588">
      <c r="A2588" s="89"/>
      <c r="B2588" s="87"/>
      <c r="C2588" s="73"/>
      <c r="D2588" s="73"/>
      <c r="E2588" s="82"/>
      <c r="F2588" s="82"/>
      <c r="G2588" s="86"/>
      <c r="H2588" s="86"/>
      <c r="I2588" s="86"/>
      <c r="J2588" s="82"/>
      <c r="K2588" s="82"/>
      <c r="L2588" s="82"/>
      <c r="M2588" s="82"/>
      <c r="N2588" s="82"/>
      <c r="O2588" s="82"/>
      <c r="P2588" s="82"/>
      <c r="Q2588" s="82"/>
      <c r="R2588" s="82"/>
      <c r="S2588" s="82"/>
      <c r="T2588" s="82"/>
      <c r="U2588" s="82"/>
      <c r="V2588" s="82"/>
      <c r="W2588" s="82"/>
      <c r="X2588" s="82"/>
      <c r="Y2588" s="82"/>
      <c r="Z2588" s="82"/>
      <c r="AA2588" s="82"/>
      <c r="AB2588" s="82"/>
      <c r="AC2588" s="82"/>
      <c r="AD2588" s="82"/>
      <c r="AE2588" s="82"/>
      <c r="AF2588" s="82"/>
      <c r="AG2588" s="82"/>
      <c r="AH2588" s="82"/>
      <c r="AI2588" s="82"/>
      <c r="AJ2588" s="82"/>
      <c r="AK2588" s="82"/>
      <c r="AL2588" s="82"/>
      <c r="AM2588" s="82"/>
      <c r="AN2588" s="82">
        <f>IFERROR(__xludf.DUMMYFUNCTION("""COMPUTED_VALUE"""),0.0)</f>
        <v>0</v>
      </c>
      <c r="AO2588" s="82">
        <f>IFERROR(__xludf.DUMMYFUNCTION("""COMPUTED_VALUE"""),0.0)</f>
        <v>0</v>
      </c>
      <c r="AP2588" s="82">
        <f>IFERROR(__xludf.DUMMYFUNCTION("""COMPUTED_VALUE"""),0.0)</f>
        <v>0</v>
      </c>
      <c r="AQ2588" s="82">
        <f>IFERROR(__xludf.DUMMYFUNCTION("""COMPUTED_VALUE"""),0.0)</f>
        <v>0</v>
      </c>
      <c r="AR2588" s="82">
        <f>IFERROR(__xludf.DUMMYFUNCTION("""COMPUTED_VALUE"""),0.0)</f>
        <v>0</v>
      </c>
      <c r="AS2588" s="82"/>
      <c r="AT2588" s="82">
        <f>IFERROR(__xludf.DUMMYFUNCTION("""COMPUTED_VALUE"""),0.0)</f>
        <v>0</v>
      </c>
      <c r="AU2588" s="82"/>
      <c r="AV2588" s="82"/>
      <c r="AW2588" s="82" t="str">
        <f t="shared" si="1"/>
        <v/>
      </c>
      <c r="AX2588" s="83" t="str">
        <f t="array" ref="AX2588">IFERROR(DGET('SBV Import'!A:G,"SBV",{"RSC ID","Tier";B2588,A2588}))</f>
        <v/>
      </c>
      <c r="AY2588" s="82" t="str">
        <f t="shared" si="2"/>
        <v/>
      </c>
      <c r="AZ2588" s="82"/>
      <c r="BA2588" s="84" t="s">
        <v>152</v>
      </c>
      <c r="BB2588" s="84" t="str">
        <f>IFERROR(__xludf.DUMMYFUNCTION("iferror(if(A2588="""",,E2588&gt;=FILTER(Constants!$F$2:$F$10,Constants!$A$2:$A$10=A2588)))"),"")</f>
        <v/>
      </c>
    </row>
    <row r="2589">
      <c r="A2589" s="89"/>
      <c r="B2589" s="87"/>
      <c r="C2589" s="73"/>
      <c r="D2589" s="73"/>
      <c r="E2589" s="82"/>
      <c r="F2589" s="82"/>
      <c r="G2589" s="86"/>
      <c r="H2589" s="86"/>
      <c r="I2589" s="86"/>
      <c r="J2589" s="82"/>
      <c r="K2589" s="82"/>
      <c r="L2589" s="82"/>
      <c r="M2589" s="82"/>
      <c r="N2589" s="82"/>
      <c r="O2589" s="82"/>
      <c r="P2589" s="82"/>
      <c r="Q2589" s="82"/>
      <c r="R2589" s="82"/>
      <c r="S2589" s="82"/>
      <c r="T2589" s="82"/>
      <c r="U2589" s="82"/>
      <c r="V2589" s="82"/>
      <c r="W2589" s="82"/>
      <c r="X2589" s="82"/>
      <c r="Y2589" s="82"/>
      <c r="Z2589" s="82"/>
      <c r="AA2589" s="82"/>
      <c r="AB2589" s="82"/>
      <c r="AC2589" s="82"/>
      <c r="AD2589" s="82"/>
      <c r="AE2589" s="82"/>
      <c r="AF2589" s="82"/>
      <c r="AG2589" s="82"/>
      <c r="AH2589" s="82"/>
      <c r="AI2589" s="82"/>
      <c r="AJ2589" s="82"/>
      <c r="AK2589" s="82"/>
      <c r="AL2589" s="82"/>
      <c r="AM2589" s="82"/>
      <c r="AN2589" s="82">
        <f>IFERROR(__xludf.DUMMYFUNCTION("""COMPUTED_VALUE"""),0.0)</f>
        <v>0</v>
      </c>
      <c r="AO2589" s="82">
        <f>IFERROR(__xludf.DUMMYFUNCTION("""COMPUTED_VALUE"""),0.0)</f>
        <v>0</v>
      </c>
      <c r="AP2589" s="82">
        <f>IFERROR(__xludf.DUMMYFUNCTION("""COMPUTED_VALUE"""),0.0)</f>
        <v>0</v>
      </c>
      <c r="AQ2589" s="82">
        <f>IFERROR(__xludf.DUMMYFUNCTION("""COMPUTED_VALUE"""),0.0)</f>
        <v>0</v>
      </c>
      <c r="AR2589" s="82">
        <f>IFERROR(__xludf.DUMMYFUNCTION("""COMPUTED_VALUE"""),0.0)</f>
        <v>0</v>
      </c>
      <c r="AS2589" s="82"/>
      <c r="AT2589" s="82">
        <f>IFERROR(__xludf.DUMMYFUNCTION("""COMPUTED_VALUE"""),0.0)</f>
        <v>0</v>
      </c>
      <c r="AU2589" s="82"/>
      <c r="AV2589" s="82"/>
      <c r="AW2589" s="82" t="str">
        <f t="shared" si="1"/>
        <v/>
      </c>
      <c r="AX2589" s="83" t="str">
        <f t="array" ref="AX2589">IFERROR(DGET('SBV Import'!A:G,"SBV",{"RSC ID","Tier";B2589,A2589}))</f>
        <v/>
      </c>
      <c r="AY2589" s="82" t="str">
        <f t="shared" si="2"/>
        <v/>
      </c>
      <c r="AZ2589" s="82"/>
      <c r="BA2589" s="84" t="s">
        <v>152</v>
      </c>
      <c r="BB2589" s="84" t="str">
        <f>IFERROR(__xludf.DUMMYFUNCTION("iferror(if(A2589="""",,E2589&gt;=FILTER(Constants!$F$2:$F$10,Constants!$A$2:$A$10=A2589)))"),"")</f>
        <v/>
      </c>
    </row>
    <row r="2590">
      <c r="A2590" s="89"/>
      <c r="B2590" s="87"/>
      <c r="C2590" s="73"/>
      <c r="D2590" s="73"/>
      <c r="E2590" s="82"/>
      <c r="F2590" s="82"/>
      <c r="G2590" s="86"/>
      <c r="H2590" s="86"/>
      <c r="I2590" s="86"/>
      <c r="J2590" s="82"/>
      <c r="K2590" s="82"/>
      <c r="L2590" s="82"/>
      <c r="M2590" s="82"/>
      <c r="N2590" s="82"/>
      <c r="O2590" s="82"/>
      <c r="P2590" s="82"/>
      <c r="Q2590" s="82"/>
      <c r="R2590" s="82"/>
      <c r="S2590" s="82"/>
      <c r="T2590" s="82"/>
      <c r="U2590" s="82"/>
      <c r="V2590" s="82"/>
      <c r="W2590" s="82"/>
      <c r="X2590" s="82"/>
      <c r="Y2590" s="82"/>
      <c r="Z2590" s="82"/>
      <c r="AA2590" s="82"/>
      <c r="AB2590" s="82"/>
      <c r="AC2590" s="82"/>
      <c r="AD2590" s="82"/>
      <c r="AE2590" s="82"/>
      <c r="AF2590" s="82"/>
      <c r="AG2590" s="82"/>
      <c r="AH2590" s="82"/>
      <c r="AI2590" s="82"/>
      <c r="AJ2590" s="82"/>
      <c r="AK2590" s="82"/>
      <c r="AL2590" s="82"/>
      <c r="AM2590" s="82"/>
      <c r="AN2590" s="82">
        <f>IFERROR(__xludf.DUMMYFUNCTION("""COMPUTED_VALUE"""),0.0)</f>
        <v>0</v>
      </c>
      <c r="AO2590" s="82">
        <f>IFERROR(__xludf.DUMMYFUNCTION("""COMPUTED_VALUE"""),0.0)</f>
        <v>0</v>
      </c>
      <c r="AP2590" s="82">
        <f>IFERROR(__xludf.DUMMYFUNCTION("""COMPUTED_VALUE"""),0.0)</f>
        <v>0</v>
      </c>
      <c r="AQ2590" s="82">
        <f>IFERROR(__xludf.DUMMYFUNCTION("""COMPUTED_VALUE"""),0.0)</f>
        <v>0</v>
      </c>
      <c r="AR2590" s="82">
        <f>IFERROR(__xludf.DUMMYFUNCTION("""COMPUTED_VALUE"""),0.0)</f>
        <v>0</v>
      </c>
      <c r="AS2590" s="82"/>
      <c r="AT2590" s="82">
        <f>IFERROR(__xludf.DUMMYFUNCTION("""COMPUTED_VALUE"""),0.0)</f>
        <v>0</v>
      </c>
      <c r="AU2590" s="82"/>
      <c r="AV2590" s="82"/>
      <c r="AW2590" s="82" t="str">
        <f t="shared" si="1"/>
        <v/>
      </c>
      <c r="AX2590" s="83" t="str">
        <f t="array" ref="AX2590">IFERROR(DGET('SBV Import'!A:G,"SBV",{"RSC ID","Tier";B2590,A2590}))</f>
        <v/>
      </c>
      <c r="AY2590" s="82" t="str">
        <f t="shared" si="2"/>
        <v/>
      </c>
      <c r="AZ2590" s="82"/>
      <c r="BA2590" s="84" t="s">
        <v>152</v>
      </c>
      <c r="BB2590" s="84" t="str">
        <f>IFERROR(__xludf.DUMMYFUNCTION("iferror(if(A2590="""",,E2590&gt;=FILTER(Constants!$F$2:$F$10,Constants!$A$2:$A$10=A2590)))"),"")</f>
        <v/>
      </c>
    </row>
    <row r="2591">
      <c r="A2591" s="89"/>
      <c r="B2591" s="87"/>
      <c r="C2591" s="73"/>
      <c r="D2591" s="73"/>
      <c r="E2591" s="82"/>
      <c r="F2591" s="82"/>
      <c r="G2591" s="86"/>
      <c r="H2591" s="86"/>
      <c r="I2591" s="86"/>
      <c r="J2591" s="82"/>
      <c r="K2591" s="82"/>
      <c r="L2591" s="82"/>
      <c r="M2591" s="82"/>
      <c r="N2591" s="82"/>
      <c r="O2591" s="82"/>
      <c r="P2591" s="82"/>
      <c r="Q2591" s="82"/>
      <c r="R2591" s="82"/>
      <c r="S2591" s="82"/>
      <c r="T2591" s="82"/>
      <c r="U2591" s="82"/>
      <c r="V2591" s="82"/>
      <c r="W2591" s="82"/>
      <c r="X2591" s="82"/>
      <c r="Y2591" s="82"/>
      <c r="Z2591" s="82"/>
      <c r="AA2591" s="82"/>
      <c r="AB2591" s="82"/>
      <c r="AC2591" s="82"/>
      <c r="AD2591" s="82"/>
      <c r="AE2591" s="82"/>
      <c r="AF2591" s="82"/>
      <c r="AG2591" s="82"/>
      <c r="AH2591" s="82"/>
      <c r="AI2591" s="82"/>
      <c r="AJ2591" s="82"/>
      <c r="AK2591" s="82"/>
      <c r="AL2591" s="82"/>
      <c r="AM2591" s="82"/>
      <c r="AN2591" s="82">
        <f>IFERROR(__xludf.DUMMYFUNCTION("""COMPUTED_VALUE"""),0.0)</f>
        <v>0</v>
      </c>
      <c r="AO2591" s="82">
        <f>IFERROR(__xludf.DUMMYFUNCTION("""COMPUTED_VALUE"""),0.0)</f>
        <v>0</v>
      </c>
      <c r="AP2591" s="82">
        <f>IFERROR(__xludf.DUMMYFUNCTION("""COMPUTED_VALUE"""),0.0)</f>
        <v>0</v>
      </c>
      <c r="AQ2591" s="82">
        <f>IFERROR(__xludf.DUMMYFUNCTION("""COMPUTED_VALUE"""),0.0)</f>
        <v>0</v>
      </c>
      <c r="AR2591" s="82">
        <f>IFERROR(__xludf.DUMMYFUNCTION("""COMPUTED_VALUE"""),0.0)</f>
        <v>0</v>
      </c>
      <c r="AS2591" s="82"/>
      <c r="AT2591" s="82">
        <f>IFERROR(__xludf.DUMMYFUNCTION("""COMPUTED_VALUE"""),0.0)</f>
        <v>0</v>
      </c>
      <c r="AU2591" s="82"/>
      <c r="AV2591" s="82"/>
      <c r="AW2591" s="82" t="str">
        <f t="shared" si="1"/>
        <v/>
      </c>
      <c r="AX2591" s="83" t="str">
        <f t="array" ref="AX2591">IFERROR(DGET('SBV Import'!A:G,"SBV",{"RSC ID","Tier";B2591,A2591}))</f>
        <v/>
      </c>
      <c r="AY2591" s="82" t="str">
        <f t="shared" si="2"/>
        <v/>
      </c>
      <c r="AZ2591" s="82"/>
      <c r="BA2591" s="84" t="s">
        <v>152</v>
      </c>
      <c r="BB2591" s="84" t="str">
        <f>IFERROR(__xludf.DUMMYFUNCTION("iferror(if(A2591="""",,E2591&gt;=FILTER(Constants!$F$2:$F$10,Constants!$A$2:$A$10=A2591)))"),"")</f>
        <v/>
      </c>
    </row>
    <row r="2592">
      <c r="A2592" s="89"/>
      <c r="B2592" s="87"/>
      <c r="C2592" s="73"/>
      <c r="D2592" s="73"/>
      <c r="E2592" s="82"/>
      <c r="F2592" s="82"/>
      <c r="G2592" s="86"/>
      <c r="H2592" s="86"/>
      <c r="I2592" s="86"/>
      <c r="J2592" s="82"/>
      <c r="K2592" s="82"/>
      <c r="L2592" s="82"/>
      <c r="M2592" s="82"/>
      <c r="N2592" s="82"/>
      <c r="O2592" s="82"/>
      <c r="P2592" s="82"/>
      <c r="Q2592" s="82"/>
      <c r="R2592" s="82"/>
      <c r="S2592" s="82"/>
      <c r="T2592" s="82"/>
      <c r="U2592" s="82"/>
      <c r="V2592" s="82"/>
      <c r="W2592" s="82"/>
      <c r="X2592" s="82"/>
      <c r="Y2592" s="82"/>
      <c r="Z2592" s="82"/>
      <c r="AA2592" s="82"/>
      <c r="AB2592" s="82"/>
      <c r="AC2592" s="82"/>
      <c r="AD2592" s="82"/>
      <c r="AE2592" s="82"/>
      <c r="AF2592" s="82"/>
      <c r="AG2592" s="82"/>
      <c r="AH2592" s="82"/>
      <c r="AI2592" s="82"/>
      <c r="AJ2592" s="82"/>
      <c r="AK2592" s="82"/>
      <c r="AL2592" s="82"/>
      <c r="AM2592" s="82"/>
      <c r="AN2592" s="82">
        <f>IFERROR(__xludf.DUMMYFUNCTION("""COMPUTED_VALUE"""),0.0)</f>
        <v>0</v>
      </c>
      <c r="AO2592" s="82">
        <f>IFERROR(__xludf.DUMMYFUNCTION("""COMPUTED_VALUE"""),0.0)</f>
        <v>0</v>
      </c>
      <c r="AP2592" s="82">
        <f>IFERROR(__xludf.DUMMYFUNCTION("""COMPUTED_VALUE"""),0.0)</f>
        <v>0</v>
      </c>
      <c r="AQ2592" s="82">
        <f>IFERROR(__xludf.DUMMYFUNCTION("""COMPUTED_VALUE"""),0.0)</f>
        <v>0</v>
      </c>
      <c r="AR2592" s="82">
        <f>IFERROR(__xludf.DUMMYFUNCTION("""COMPUTED_VALUE"""),0.0)</f>
        <v>0</v>
      </c>
      <c r="AS2592" s="82"/>
      <c r="AT2592" s="82">
        <f>IFERROR(__xludf.DUMMYFUNCTION("""COMPUTED_VALUE"""),0.0)</f>
        <v>0</v>
      </c>
      <c r="AU2592" s="82"/>
      <c r="AV2592" s="82"/>
      <c r="AW2592" s="82" t="str">
        <f t="shared" si="1"/>
        <v/>
      </c>
      <c r="AX2592" s="83" t="str">
        <f t="array" ref="AX2592">IFERROR(DGET('SBV Import'!A:G,"SBV",{"RSC ID","Tier";B2592,A2592}))</f>
        <v/>
      </c>
      <c r="AY2592" s="82" t="str">
        <f t="shared" si="2"/>
        <v/>
      </c>
      <c r="AZ2592" s="82"/>
      <c r="BA2592" s="84" t="s">
        <v>152</v>
      </c>
      <c r="BB2592" s="84" t="str">
        <f>IFERROR(__xludf.DUMMYFUNCTION("iferror(if(A2592="""",,E2592&gt;=FILTER(Constants!$F$2:$F$10,Constants!$A$2:$A$10=A2592)))"),"")</f>
        <v/>
      </c>
    </row>
    <row r="2593">
      <c r="A2593" s="89"/>
      <c r="B2593" s="87"/>
      <c r="C2593" s="73"/>
      <c r="D2593" s="73"/>
      <c r="E2593" s="82"/>
      <c r="F2593" s="82"/>
      <c r="G2593" s="86"/>
      <c r="H2593" s="86"/>
      <c r="I2593" s="86"/>
      <c r="J2593" s="82"/>
      <c r="K2593" s="82"/>
      <c r="L2593" s="82"/>
      <c r="M2593" s="82"/>
      <c r="N2593" s="82"/>
      <c r="O2593" s="82"/>
      <c r="P2593" s="82"/>
      <c r="Q2593" s="82"/>
      <c r="R2593" s="82"/>
      <c r="S2593" s="82"/>
      <c r="T2593" s="82"/>
      <c r="U2593" s="82"/>
      <c r="V2593" s="82"/>
      <c r="W2593" s="82"/>
      <c r="X2593" s="82"/>
      <c r="Y2593" s="82"/>
      <c r="Z2593" s="82"/>
      <c r="AA2593" s="82"/>
      <c r="AB2593" s="82"/>
      <c r="AC2593" s="82"/>
      <c r="AD2593" s="82"/>
      <c r="AE2593" s="82"/>
      <c r="AF2593" s="82"/>
      <c r="AG2593" s="82"/>
      <c r="AH2593" s="82"/>
      <c r="AI2593" s="82"/>
      <c r="AJ2593" s="82"/>
      <c r="AK2593" s="82"/>
      <c r="AL2593" s="82"/>
      <c r="AM2593" s="82"/>
      <c r="AN2593" s="82">
        <f>IFERROR(__xludf.DUMMYFUNCTION("""COMPUTED_VALUE"""),0.0)</f>
        <v>0</v>
      </c>
      <c r="AO2593" s="82">
        <f>IFERROR(__xludf.DUMMYFUNCTION("""COMPUTED_VALUE"""),0.0)</f>
        <v>0</v>
      </c>
      <c r="AP2593" s="82">
        <f>IFERROR(__xludf.DUMMYFUNCTION("""COMPUTED_VALUE"""),0.0)</f>
        <v>0</v>
      </c>
      <c r="AQ2593" s="82">
        <f>IFERROR(__xludf.DUMMYFUNCTION("""COMPUTED_VALUE"""),0.0)</f>
        <v>0</v>
      </c>
      <c r="AR2593" s="82">
        <f>IFERROR(__xludf.DUMMYFUNCTION("""COMPUTED_VALUE"""),0.0)</f>
        <v>0</v>
      </c>
      <c r="AS2593" s="82"/>
      <c r="AT2593" s="82">
        <f>IFERROR(__xludf.DUMMYFUNCTION("""COMPUTED_VALUE"""),0.0)</f>
        <v>0</v>
      </c>
      <c r="AU2593" s="82"/>
      <c r="AV2593" s="82"/>
      <c r="AW2593" s="82" t="str">
        <f t="shared" si="1"/>
        <v/>
      </c>
      <c r="AX2593" s="83" t="str">
        <f t="array" ref="AX2593">IFERROR(DGET('SBV Import'!A:G,"SBV",{"RSC ID","Tier";B2593,A2593}))</f>
        <v/>
      </c>
      <c r="AY2593" s="82" t="str">
        <f t="shared" si="2"/>
        <v/>
      </c>
      <c r="AZ2593" s="82"/>
      <c r="BA2593" s="84" t="s">
        <v>152</v>
      </c>
      <c r="BB2593" s="84" t="str">
        <f>IFERROR(__xludf.DUMMYFUNCTION("iferror(if(A2593="""",,E2593&gt;=FILTER(Constants!$F$2:$F$10,Constants!$A$2:$A$10=A2593)))"),"")</f>
        <v/>
      </c>
    </row>
    <row r="2594">
      <c r="A2594" s="89"/>
      <c r="B2594" s="87"/>
      <c r="C2594" s="73"/>
      <c r="D2594" s="73"/>
      <c r="E2594" s="82"/>
      <c r="F2594" s="82"/>
      <c r="G2594" s="86"/>
      <c r="H2594" s="86"/>
      <c r="I2594" s="86"/>
      <c r="J2594" s="82"/>
      <c r="K2594" s="82"/>
      <c r="L2594" s="82"/>
      <c r="M2594" s="82"/>
      <c r="N2594" s="82"/>
      <c r="O2594" s="82"/>
      <c r="P2594" s="82"/>
      <c r="Q2594" s="82"/>
      <c r="R2594" s="82"/>
      <c r="S2594" s="82"/>
      <c r="T2594" s="82"/>
      <c r="U2594" s="82"/>
      <c r="V2594" s="82"/>
      <c r="W2594" s="82"/>
      <c r="X2594" s="82"/>
      <c r="Y2594" s="82"/>
      <c r="Z2594" s="82"/>
      <c r="AA2594" s="82"/>
      <c r="AB2594" s="82"/>
      <c r="AC2594" s="82"/>
      <c r="AD2594" s="82"/>
      <c r="AE2594" s="82"/>
      <c r="AF2594" s="82"/>
      <c r="AG2594" s="82"/>
      <c r="AH2594" s="82"/>
      <c r="AI2594" s="82"/>
      <c r="AJ2594" s="82"/>
      <c r="AK2594" s="82"/>
      <c r="AL2594" s="82"/>
      <c r="AM2594" s="82"/>
      <c r="AN2594" s="82">
        <f>IFERROR(__xludf.DUMMYFUNCTION("""COMPUTED_VALUE"""),0.0)</f>
        <v>0</v>
      </c>
      <c r="AO2594" s="82">
        <f>IFERROR(__xludf.DUMMYFUNCTION("""COMPUTED_VALUE"""),0.0)</f>
        <v>0</v>
      </c>
      <c r="AP2594" s="82">
        <f>IFERROR(__xludf.DUMMYFUNCTION("""COMPUTED_VALUE"""),0.0)</f>
        <v>0</v>
      </c>
      <c r="AQ2594" s="82">
        <f>IFERROR(__xludf.DUMMYFUNCTION("""COMPUTED_VALUE"""),0.0)</f>
        <v>0</v>
      </c>
      <c r="AR2594" s="82">
        <f>IFERROR(__xludf.DUMMYFUNCTION("""COMPUTED_VALUE"""),0.0)</f>
        <v>0</v>
      </c>
      <c r="AS2594" s="82"/>
      <c r="AT2594" s="82">
        <f>IFERROR(__xludf.DUMMYFUNCTION("""COMPUTED_VALUE"""),0.0)</f>
        <v>0</v>
      </c>
      <c r="AU2594" s="82"/>
      <c r="AV2594" s="82"/>
      <c r="AW2594" s="82" t="str">
        <f t="shared" si="1"/>
        <v/>
      </c>
      <c r="AX2594" s="83" t="str">
        <f t="array" ref="AX2594">IFERROR(DGET('SBV Import'!A:G,"SBV",{"RSC ID","Tier";B2594,A2594}))</f>
        <v/>
      </c>
      <c r="AY2594" s="82" t="str">
        <f t="shared" si="2"/>
        <v/>
      </c>
      <c r="AZ2594" s="82"/>
      <c r="BA2594" s="84" t="s">
        <v>152</v>
      </c>
      <c r="BB2594" s="84" t="str">
        <f>IFERROR(__xludf.DUMMYFUNCTION("iferror(if(A2594="""",,E2594&gt;=FILTER(Constants!$F$2:$F$10,Constants!$A$2:$A$10=A2594)))"),"")</f>
        <v/>
      </c>
    </row>
    <row r="2595">
      <c r="A2595" s="89"/>
      <c r="B2595" s="87"/>
      <c r="C2595" s="73"/>
      <c r="D2595" s="73"/>
      <c r="E2595" s="82"/>
      <c r="F2595" s="82"/>
      <c r="G2595" s="86"/>
      <c r="H2595" s="86"/>
      <c r="I2595" s="86"/>
      <c r="J2595" s="82"/>
      <c r="K2595" s="82"/>
      <c r="L2595" s="82"/>
      <c r="M2595" s="82"/>
      <c r="N2595" s="82"/>
      <c r="O2595" s="82"/>
      <c r="P2595" s="82"/>
      <c r="Q2595" s="82"/>
      <c r="R2595" s="82"/>
      <c r="S2595" s="82"/>
      <c r="T2595" s="82"/>
      <c r="U2595" s="82"/>
      <c r="V2595" s="82"/>
      <c r="W2595" s="82"/>
      <c r="X2595" s="82"/>
      <c r="Y2595" s="82"/>
      <c r="Z2595" s="82"/>
      <c r="AA2595" s="82"/>
      <c r="AB2595" s="82"/>
      <c r="AC2595" s="82"/>
      <c r="AD2595" s="82"/>
      <c r="AE2595" s="82"/>
      <c r="AF2595" s="82"/>
      <c r="AG2595" s="82"/>
      <c r="AH2595" s="82"/>
      <c r="AI2595" s="82"/>
      <c r="AJ2595" s="82"/>
      <c r="AK2595" s="82"/>
      <c r="AL2595" s="82"/>
      <c r="AM2595" s="82"/>
      <c r="AN2595" s="82">
        <f>IFERROR(__xludf.DUMMYFUNCTION("""COMPUTED_VALUE"""),0.0)</f>
        <v>0</v>
      </c>
      <c r="AO2595" s="82">
        <f>IFERROR(__xludf.DUMMYFUNCTION("""COMPUTED_VALUE"""),0.0)</f>
        <v>0</v>
      </c>
      <c r="AP2595" s="82">
        <f>IFERROR(__xludf.DUMMYFUNCTION("""COMPUTED_VALUE"""),0.0)</f>
        <v>0</v>
      </c>
      <c r="AQ2595" s="82">
        <f>IFERROR(__xludf.DUMMYFUNCTION("""COMPUTED_VALUE"""),0.0)</f>
        <v>0</v>
      </c>
      <c r="AR2595" s="82">
        <f>IFERROR(__xludf.DUMMYFUNCTION("""COMPUTED_VALUE"""),0.0)</f>
        <v>0</v>
      </c>
      <c r="AS2595" s="82"/>
      <c r="AT2595" s="82">
        <f>IFERROR(__xludf.DUMMYFUNCTION("""COMPUTED_VALUE"""),0.0)</f>
        <v>0</v>
      </c>
      <c r="AU2595" s="82"/>
      <c r="AV2595" s="82"/>
      <c r="AW2595" s="82" t="str">
        <f t="shared" si="1"/>
        <v/>
      </c>
      <c r="AX2595" s="83" t="str">
        <f t="array" ref="AX2595">IFERROR(DGET('SBV Import'!A:G,"SBV",{"RSC ID","Tier";B2595,A2595}))</f>
        <v/>
      </c>
      <c r="AY2595" s="82" t="str">
        <f t="shared" si="2"/>
        <v/>
      </c>
      <c r="AZ2595" s="82"/>
      <c r="BA2595" s="84" t="s">
        <v>152</v>
      </c>
      <c r="BB2595" s="84" t="str">
        <f>IFERROR(__xludf.DUMMYFUNCTION("iferror(if(A2595="""",,E2595&gt;=FILTER(Constants!$F$2:$F$10,Constants!$A$2:$A$10=A2595)))"),"")</f>
        <v/>
      </c>
    </row>
    <row r="2596">
      <c r="A2596" s="89"/>
      <c r="B2596" s="87"/>
      <c r="C2596" s="73"/>
      <c r="D2596" s="73"/>
      <c r="E2596" s="82"/>
      <c r="F2596" s="82"/>
      <c r="G2596" s="86"/>
      <c r="H2596" s="86"/>
      <c r="I2596" s="86"/>
      <c r="J2596" s="82"/>
      <c r="K2596" s="82"/>
      <c r="L2596" s="82"/>
      <c r="M2596" s="82"/>
      <c r="N2596" s="82"/>
      <c r="O2596" s="82"/>
      <c r="P2596" s="82"/>
      <c r="Q2596" s="82"/>
      <c r="R2596" s="82"/>
      <c r="S2596" s="82"/>
      <c r="T2596" s="82"/>
      <c r="U2596" s="82"/>
      <c r="V2596" s="82"/>
      <c r="W2596" s="82"/>
      <c r="X2596" s="82"/>
      <c r="Y2596" s="82"/>
      <c r="Z2596" s="82"/>
      <c r="AA2596" s="82"/>
      <c r="AB2596" s="82"/>
      <c r="AC2596" s="82"/>
      <c r="AD2596" s="82"/>
      <c r="AE2596" s="82"/>
      <c r="AF2596" s="82"/>
      <c r="AG2596" s="82"/>
      <c r="AH2596" s="82"/>
      <c r="AI2596" s="82"/>
      <c r="AJ2596" s="82"/>
      <c r="AK2596" s="82"/>
      <c r="AL2596" s="82"/>
      <c r="AM2596" s="82"/>
      <c r="AN2596" s="82">
        <f>IFERROR(__xludf.DUMMYFUNCTION("""COMPUTED_VALUE"""),0.0)</f>
        <v>0</v>
      </c>
      <c r="AO2596" s="82">
        <f>IFERROR(__xludf.DUMMYFUNCTION("""COMPUTED_VALUE"""),0.0)</f>
        <v>0</v>
      </c>
      <c r="AP2596" s="82">
        <f>IFERROR(__xludf.DUMMYFUNCTION("""COMPUTED_VALUE"""),0.0)</f>
        <v>0</v>
      </c>
      <c r="AQ2596" s="82">
        <f>IFERROR(__xludf.DUMMYFUNCTION("""COMPUTED_VALUE"""),0.0)</f>
        <v>0</v>
      </c>
      <c r="AR2596" s="82">
        <f>IFERROR(__xludf.DUMMYFUNCTION("""COMPUTED_VALUE"""),0.0)</f>
        <v>0</v>
      </c>
      <c r="AS2596" s="82"/>
      <c r="AT2596" s="82">
        <f>IFERROR(__xludf.DUMMYFUNCTION("""COMPUTED_VALUE"""),0.0)</f>
        <v>0</v>
      </c>
      <c r="AU2596" s="82"/>
      <c r="AV2596" s="82"/>
      <c r="AW2596" s="82" t="str">
        <f t="shared" si="1"/>
        <v/>
      </c>
      <c r="AX2596" s="83" t="str">
        <f t="array" ref="AX2596">IFERROR(DGET('SBV Import'!A:G,"SBV",{"RSC ID","Tier";B2596,A2596}))</f>
        <v/>
      </c>
      <c r="AY2596" s="82" t="str">
        <f t="shared" si="2"/>
        <v/>
      </c>
      <c r="AZ2596" s="82"/>
      <c r="BA2596" s="84" t="s">
        <v>152</v>
      </c>
      <c r="BB2596" s="84" t="str">
        <f>IFERROR(__xludf.DUMMYFUNCTION("iferror(if(A2596="""",,E2596&gt;=FILTER(Constants!$F$2:$F$10,Constants!$A$2:$A$10=A2596)))"),"")</f>
        <v/>
      </c>
    </row>
    <row r="2597">
      <c r="A2597" s="89"/>
      <c r="B2597" s="87"/>
      <c r="C2597" s="73"/>
      <c r="D2597" s="73"/>
      <c r="E2597" s="82"/>
      <c r="F2597" s="82"/>
      <c r="G2597" s="86"/>
      <c r="H2597" s="86"/>
      <c r="I2597" s="86"/>
      <c r="J2597" s="82"/>
      <c r="K2597" s="82"/>
      <c r="L2597" s="82"/>
      <c r="M2597" s="82"/>
      <c r="N2597" s="82"/>
      <c r="O2597" s="82"/>
      <c r="P2597" s="82"/>
      <c r="Q2597" s="82"/>
      <c r="R2597" s="82"/>
      <c r="S2597" s="82"/>
      <c r="T2597" s="82"/>
      <c r="U2597" s="82"/>
      <c r="V2597" s="82"/>
      <c r="W2597" s="82"/>
      <c r="X2597" s="82"/>
      <c r="Y2597" s="82"/>
      <c r="Z2597" s="82"/>
      <c r="AA2597" s="82"/>
      <c r="AB2597" s="82"/>
      <c r="AC2597" s="82"/>
      <c r="AD2597" s="82"/>
      <c r="AE2597" s="82"/>
      <c r="AF2597" s="82"/>
      <c r="AG2597" s="82"/>
      <c r="AH2597" s="82"/>
      <c r="AI2597" s="82"/>
      <c r="AJ2597" s="82"/>
      <c r="AK2597" s="82"/>
      <c r="AL2597" s="82"/>
      <c r="AM2597" s="82"/>
      <c r="AN2597" s="82">
        <f>IFERROR(__xludf.DUMMYFUNCTION("""COMPUTED_VALUE"""),0.0)</f>
        <v>0</v>
      </c>
      <c r="AO2597" s="82">
        <f>IFERROR(__xludf.DUMMYFUNCTION("""COMPUTED_VALUE"""),0.0)</f>
        <v>0</v>
      </c>
      <c r="AP2597" s="82">
        <f>IFERROR(__xludf.DUMMYFUNCTION("""COMPUTED_VALUE"""),0.0)</f>
        <v>0</v>
      </c>
      <c r="AQ2597" s="82">
        <f>IFERROR(__xludf.DUMMYFUNCTION("""COMPUTED_VALUE"""),0.0)</f>
        <v>0</v>
      </c>
      <c r="AR2597" s="82">
        <f>IFERROR(__xludf.DUMMYFUNCTION("""COMPUTED_VALUE"""),0.0)</f>
        <v>0</v>
      </c>
      <c r="AS2597" s="82"/>
      <c r="AT2597" s="82">
        <f>IFERROR(__xludf.DUMMYFUNCTION("""COMPUTED_VALUE"""),0.0)</f>
        <v>0</v>
      </c>
      <c r="AU2597" s="82"/>
      <c r="AV2597" s="82"/>
      <c r="AW2597" s="82" t="str">
        <f t="shared" si="1"/>
        <v/>
      </c>
      <c r="AX2597" s="83" t="str">
        <f t="array" ref="AX2597">IFERROR(DGET('SBV Import'!A:G,"SBV",{"RSC ID","Tier";B2597,A2597}))</f>
        <v/>
      </c>
      <c r="AY2597" s="82" t="str">
        <f t="shared" si="2"/>
        <v/>
      </c>
      <c r="AZ2597" s="82"/>
      <c r="BA2597" s="84" t="s">
        <v>152</v>
      </c>
      <c r="BB2597" s="84" t="str">
        <f>IFERROR(__xludf.DUMMYFUNCTION("iferror(if(A2597="""",,E2597&gt;=FILTER(Constants!$F$2:$F$10,Constants!$A$2:$A$10=A2597)))"),"")</f>
        <v/>
      </c>
    </row>
    <row r="2598">
      <c r="A2598" s="89"/>
      <c r="B2598" s="87"/>
      <c r="C2598" s="73"/>
      <c r="D2598" s="73"/>
      <c r="E2598" s="82"/>
      <c r="F2598" s="82"/>
      <c r="G2598" s="86"/>
      <c r="H2598" s="86"/>
      <c r="I2598" s="86"/>
      <c r="J2598" s="82"/>
      <c r="K2598" s="82"/>
      <c r="L2598" s="82"/>
      <c r="M2598" s="82"/>
      <c r="N2598" s="82"/>
      <c r="O2598" s="82"/>
      <c r="P2598" s="82"/>
      <c r="Q2598" s="82"/>
      <c r="R2598" s="82"/>
      <c r="S2598" s="82"/>
      <c r="T2598" s="82"/>
      <c r="U2598" s="82"/>
      <c r="V2598" s="82"/>
      <c r="W2598" s="82"/>
      <c r="X2598" s="82"/>
      <c r="Y2598" s="82"/>
      <c r="Z2598" s="82"/>
      <c r="AA2598" s="82"/>
      <c r="AB2598" s="82"/>
      <c r="AC2598" s="82"/>
      <c r="AD2598" s="82"/>
      <c r="AE2598" s="82"/>
      <c r="AF2598" s="82"/>
      <c r="AG2598" s="82"/>
      <c r="AH2598" s="82"/>
      <c r="AI2598" s="82"/>
      <c r="AJ2598" s="82"/>
      <c r="AK2598" s="82"/>
      <c r="AL2598" s="82"/>
      <c r="AM2598" s="82"/>
      <c r="AN2598" s="82">
        <f>IFERROR(__xludf.DUMMYFUNCTION("""COMPUTED_VALUE"""),0.0)</f>
        <v>0</v>
      </c>
      <c r="AO2598" s="82">
        <f>IFERROR(__xludf.DUMMYFUNCTION("""COMPUTED_VALUE"""),0.0)</f>
        <v>0</v>
      </c>
      <c r="AP2598" s="82">
        <f>IFERROR(__xludf.DUMMYFUNCTION("""COMPUTED_VALUE"""),0.0)</f>
        <v>0</v>
      </c>
      <c r="AQ2598" s="82">
        <f>IFERROR(__xludf.DUMMYFUNCTION("""COMPUTED_VALUE"""),0.0)</f>
        <v>0</v>
      </c>
      <c r="AR2598" s="82">
        <f>IFERROR(__xludf.DUMMYFUNCTION("""COMPUTED_VALUE"""),0.0)</f>
        <v>0</v>
      </c>
      <c r="AS2598" s="82"/>
      <c r="AT2598" s="82">
        <f>IFERROR(__xludf.DUMMYFUNCTION("""COMPUTED_VALUE"""),0.0)</f>
        <v>0</v>
      </c>
      <c r="AU2598" s="82"/>
      <c r="AV2598" s="82"/>
      <c r="AW2598" s="82" t="str">
        <f t="shared" si="1"/>
        <v/>
      </c>
      <c r="AX2598" s="83" t="str">
        <f t="array" ref="AX2598">IFERROR(DGET('SBV Import'!A:G,"SBV",{"RSC ID","Tier";B2598,A2598}))</f>
        <v/>
      </c>
      <c r="AY2598" s="82" t="str">
        <f t="shared" si="2"/>
        <v/>
      </c>
      <c r="AZ2598" s="82"/>
      <c r="BA2598" s="84" t="s">
        <v>152</v>
      </c>
      <c r="BB2598" s="84" t="str">
        <f>IFERROR(__xludf.DUMMYFUNCTION("iferror(if(A2598="""",,E2598&gt;=FILTER(Constants!$F$2:$F$10,Constants!$A$2:$A$10=A2598)))"),"")</f>
        <v/>
      </c>
    </row>
    <row r="2599">
      <c r="A2599" s="89"/>
      <c r="B2599" s="87"/>
      <c r="C2599" s="73"/>
      <c r="D2599" s="73"/>
      <c r="E2599" s="82"/>
      <c r="F2599" s="82"/>
      <c r="G2599" s="86"/>
      <c r="H2599" s="86"/>
      <c r="I2599" s="86"/>
      <c r="J2599" s="82"/>
      <c r="K2599" s="82"/>
      <c r="L2599" s="82"/>
      <c r="M2599" s="82"/>
      <c r="N2599" s="82"/>
      <c r="O2599" s="82"/>
      <c r="P2599" s="82"/>
      <c r="Q2599" s="82"/>
      <c r="R2599" s="82"/>
      <c r="S2599" s="82"/>
      <c r="T2599" s="82"/>
      <c r="U2599" s="82"/>
      <c r="V2599" s="82"/>
      <c r="W2599" s="82"/>
      <c r="X2599" s="82"/>
      <c r="Y2599" s="82"/>
      <c r="Z2599" s="82"/>
      <c r="AA2599" s="82"/>
      <c r="AB2599" s="82"/>
      <c r="AC2599" s="82"/>
      <c r="AD2599" s="82"/>
      <c r="AE2599" s="82"/>
      <c r="AF2599" s="82"/>
      <c r="AG2599" s="82"/>
      <c r="AH2599" s="82"/>
      <c r="AI2599" s="82"/>
      <c r="AJ2599" s="82"/>
      <c r="AK2599" s="82"/>
      <c r="AL2599" s="82"/>
      <c r="AM2599" s="82"/>
      <c r="AN2599" s="82"/>
      <c r="AO2599" s="82"/>
      <c r="AP2599" s="82"/>
      <c r="AQ2599" s="82"/>
      <c r="AR2599" s="82"/>
      <c r="AS2599" s="82"/>
      <c r="AT2599" s="82"/>
      <c r="AU2599" s="82"/>
      <c r="AV2599" s="82"/>
      <c r="AW2599" s="82" t="str">
        <f t="shared" si="1"/>
        <v/>
      </c>
      <c r="AX2599" s="83" t="str">
        <f t="array" ref="AX2599">IFERROR(DGET('SBV Import'!A:G,"SBV",{"RSC ID","Tier";B2599,A2599}))</f>
        <v/>
      </c>
      <c r="AY2599" s="82" t="str">
        <f t="shared" si="2"/>
        <v/>
      </c>
      <c r="AZ2599" s="82"/>
      <c r="BA2599" s="84" t="s">
        <v>152</v>
      </c>
      <c r="BB2599" s="84" t="str">
        <f>IFERROR(__xludf.DUMMYFUNCTION("iferror(if(A2599="""",,E2599&gt;=FILTER(Constants!$F$2:$F$10,Constants!$A$2:$A$10=A2599)))"),"")</f>
        <v/>
      </c>
    </row>
    <row r="2600">
      <c r="A2600" s="89"/>
      <c r="B2600" s="87"/>
      <c r="C2600" s="73"/>
      <c r="D2600" s="73"/>
      <c r="E2600" s="82"/>
      <c r="F2600" s="82"/>
      <c r="G2600" s="86"/>
      <c r="H2600" s="86"/>
      <c r="I2600" s="86"/>
      <c r="J2600" s="82"/>
      <c r="K2600" s="82"/>
      <c r="L2600" s="82"/>
      <c r="M2600" s="82"/>
      <c r="N2600" s="82"/>
      <c r="O2600" s="82"/>
      <c r="P2600" s="82"/>
      <c r="Q2600" s="82"/>
      <c r="R2600" s="82"/>
      <c r="S2600" s="82"/>
      <c r="T2600" s="82"/>
      <c r="U2600" s="82"/>
      <c r="V2600" s="82"/>
      <c r="W2600" s="82"/>
      <c r="X2600" s="82"/>
      <c r="Y2600" s="82"/>
      <c r="Z2600" s="82"/>
      <c r="AA2600" s="82"/>
      <c r="AB2600" s="82"/>
      <c r="AC2600" s="82"/>
      <c r="AD2600" s="82"/>
      <c r="AE2600" s="82"/>
      <c r="AF2600" s="82"/>
      <c r="AG2600" s="82"/>
      <c r="AH2600" s="82"/>
      <c r="AI2600" s="82"/>
      <c r="AJ2600" s="82"/>
      <c r="AK2600" s="82"/>
      <c r="AL2600" s="82"/>
      <c r="AM2600" s="82"/>
      <c r="AN2600" s="82"/>
      <c r="AO2600" s="82"/>
      <c r="AP2600" s="82"/>
      <c r="AQ2600" s="82"/>
      <c r="AR2600" s="82"/>
      <c r="AS2600" s="82"/>
      <c r="AT2600" s="82"/>
      <c r="AU2600" s="82"/>
      <c r="AV2600" s="82"/>
      <c r="AW2600" s="82" t="str">
        <f t="shared" si="1"/>
        <v/>
      </c>
      <c r="AX2600" s="83" t="str">
        <f t="array" ref="AX2600">IFERROR(DGET('SBV Import'!A:G,"SBV",{"RSC ID","Tier";B2600,A2600}))</f>
        <v/>
      </c>
      <c r="AY2600" s="82" t="str">
        <f t="shared" si="2"/>
        <v/>
      </c>
      <c r="AZ2600" s="82"/>
      <c r="BA2600" s="84" t="s">
        <v>152</v>
      </c>
      <c r="BB2600" s="84" t="str">
        <f>IFERROR(__xludf.DUMMYFUNCTION("iferror(if(A2600="""",,E2600&gt;=FILTER(Constants!$F$2:$F$10,Constants!$A$2:$A$10=A2600)))"),"")</f>
        <v/>
      </c>
    </row>
    <row r="2601">
      <c r="A2601" s="89"/>
      <c r="B2601" s="87"/>
      <c r="C2601" s="73"/>
      <c r="D2601" s="73"/>
      <c r="E2601" s="82"/>
      <c r="F2601" s="82"/>
      <c r="G2601" s="86"/>
      <c r="H2601" s="86"/>
      <c r="I2601" s="86"/>
      <c r="J2601" s="82"/>
      <c r="K2601" s="82"/>
      <c r="L2601" s="82"/>
      <c r="M2601" s="82"/>
      <c r="N2601" s="82"/>
      <c r="O2601" s="82"/>
      <c r="P2601" s="82"/>
      <c r="Q2601" s="82"/>
      <c r="R2601" s="82"/>
      <c r="S2601" s="82"/>
      <c r="T2601" s="82"/>
      <c r="U2601" s="82"/>
      <c r="V2601" s="82"/>
      <c r="W2601" s="82"/>
      <c r="X2601" s="82"/>
      <c r="Y2601" s="82"/>
      <c r="Z2601" s="82"/>
      <c r="AA2601" s="82"/>
      <c r="AB2601" s="82"/>
      <c r="AC2601" s="82"/>
      <c r="AD2601" s="82"/>
      <c r="AE2601" s="82"/>
      <c r="AF2601" s="82"/>
      <c r="AG2601" s="82"/>
      <c r="AH2601" s="82"/>
      <c r="AI2601" s="82"/>
      <c r="AJ2601" s="82"/>
      <c r="AK2601" s="82"/>
      <c r="AL2601" s="82"/>
      <c r="AM2601" s="82"/>
      <c r="AN2601" s="82"/>
      <c r="AO2601" s="82"/>
      <c r="AP2601" s="82"/>
      <c r="AQ2601" s="82"/>
      <c r="AR2601" s="82"/>
      <c r="AS2601" s="82"/>
      <c r="AT2601" s="82"/>
      <c r="AU2601" s="82"/>
      <c r="AV2601" s="82"/>
      <c r="AW2601" s="82" t="str">
        <f t="shared" si="1"/>
        <v/>
      </c>
      <c r="AX2601" s="83" t="str">
        <f t="array" ref="AX2601">IFERROR(DGET('SBV Import'!A:G,"SBV",{"RSC ID","Tier";B2601,A2601}))</f>
        <v/>
      </c>
      <c r="AY2601" s="82" t="str">
        <f t="shared" si="2"/>
        <v/>
      </c>
      <c r="AZ2601" s="82"/>
      <c r="BA2601" s="84" t="s">
        <v>152</v>
      </c>
      <c r="BB2601" s="84" t="str">
        <f>IFERROR(__xludf.DUMMYFUNCTION("iferror(if(A2601="""",,E2601&gt;=FILTER(Constants!$F$2:$F$10,Constants!$A$2:$A$10=A2601)))"),"")</f>
        <v/>
      </c>
    </row>
    <row r="2602">
      <c r="A2602" s="89"/>
      <c r="B2602" s="87"/>
      <c r="C2602" s="73"/>
      <c r="D2602" s="73"/>
      <c r="E2602" s="82"/>
      <c r="F2602" s="82"/>
      <c r="G2602" s="86"/>
      <c r="H2602" s="86"/>
      <c r="I2602" s="86"/>
      <c r="J2602" s="82"/>
      <c r="K2602" s="82"/>
      <c r="L2602" s="82"/>
      <c r="M2602" s="82"/>
      <c r="N2602" s="82"/>
      <c r="O2602" s="82"/>
      <c r="P2602" s="82"/>
      <c r="Q2602" s="82"/>
      <c r="R2602" s="82"/>
      <c r="S2602" s="82"/>
      <c r="T2602" s="82"/>
      <c r="U2602" s="82"/>
      <c r="V2602" s="82"/>
      <c r="W2602" s="82"/>
      <c r="X2602" s="82"/>
      <c r="Y2602" s="82"/>
      <c r="Z2602" s="82"/>
      <c r="AA2602" s="82"/>
      <c r="AB2602" s="82"/>
      <c r="AC2602" s="82"/>
      <c r="AD2602" s="82"/>
      <c r="AE2602" s="82"/>
      <c r="AF2602" s="82"/>
      <c r="AG2602" s="82"/>
      <c r="AH2602" s="82"/>
      <c r="AI2602" s="82"/>
      <c r="AJ2602" s="82"/>
      <c r="AK2602" s="82"/>
      <c r="AL2602" s="82"/>
      <c r="AM2602" s="82"/>
      <c r="AN2602" s="82"/>
      <c r="AO2602" s="82"/>
      <c r="AP2602" s="82"/>
      <c r="AQ2602" s="82"/>
      <c r="AR2602" s="82"/>
      <c r="AS2602" s="82"/>
      <c r="AT2602" s="82"/>
      <c r="AU2602" s="82"/>
      <c r="AV2602" s="82"/>
      <c r="AW2602" s="82" t="str">
        <f t="shared" si="1"/>
        <v/>
      </c>
      <c r="AX2602" s="83" t="str">
        <f t="array" ref="AX2602">IFERROR(DGET('SBV Import'!A:G,"SBV",{"RSC ID","Tier";B2602,A2602}))</f>
        <v/>
      </c>
      <c r="AY2602" s="82" t="str">
        <f t="shared" si="2"/>
        <v/>
      </c>
      <c r="AZ2602" s="82"/>
      <c r="BA2602" s="84" t="s">
        <v>152</v>
      </c>
      <c r="BB2602" s="84" t="str">
        <f>IFERROR(__xludf.DUMMYFUNCTION("iferror(if(A2602="""",,E2602&gt;=FILTER(Constants!$F$2:$F$10,Constants!$A$2:$A$10=A2602)))"),"")</f>
        <v/>
      </c>
    </row>
    <row r="2603">
      <c r="A2603" s="89"/>
      <c r="B2603" s="87"/>
      <c r="C2603" s="73"/>
      <c r="D2603" s="73"/>
      <c r="E2603" s="82"/>
      <c r="F2603" s="82"/>
      <c r="G2603" s="86"/>
      <c r="H2603" s="86"/>
      <c r="I2603" s="86"/>
      <c r="J2603" s="82"/>
      <c r="K2603" s="82"/>
      <c r="L2603" s="82"/>
      <c r="M2603" s="82"/>
      <c r="N2603" s="82"/>
      <c r="O2603" s="82"/>
      <c r="P2603" s="82"/>
      <c r="Q2603" s="82"/>
      <c r="R2603" s="82"/>
      <c r="S2603" s="82"/>
      <c r="T2603" s="82"/>
      <c r="U2603" s="82"/>
      <c r="V2603" s="82"/>
      <c r="W2603" s="82"/>
      <c r="X2603" s="82"/>
      <c r="Y2603" s="82"/>
      <c r="Z2603" s="82"/>
      <c r="AA2603" s="82"/>
      <c r="AB2603" s="82"/>
      <c r="AC2603" s="82"/>
      <c r="AD2603" s="82"/>
      <c r="AE2603" s="82"/>
      <c r="AF2603" s="82"/>
      <c r="AG2603" s="82"/>
      <c r="AH2603" s="82"/>
      <c r="AI2603" s="82"/>
      <c r="AJ2603" s="82"/>
      <c r="AK2603" s="82"/>
      <c r="AL2603" s="82"/>
      <c r="AM2603" s="82"/>
      <c r="AN2603" s="82"/>
      <c r="AO2603" s="82"/>
      <c r="AP2603" s="82"/>
      <c r="AQ2603" s="82"/>
      <c r="AR2603" s="82"/>
      <c r="AS2603" s="82"/>
      <c r="AT2603" s="82"/>
      <c r="AU2603" s="82"/>
      <c r="AV2603" s="82"/>
      <c r="AW2603" s="82" t="str">
        <f t="shared" si="1"/>
        <v/>
      </c>
      <c r="AX2603" s="83" t="str">
        <f t="array" ref="AX2603">IFERROR(DGET('SBV Import'!A:G,"SBV",{"RSC ID","Tier";B2603,A2603}))</f>
        <v/>
      </c>
      <c r="AY2603" s="82" t="str">
        <f t="shared" si="2"/>
        <v/>
      </c>
      <c r="AZ2603" s="82"/>
      <c r="BA2603" s="84" t="s">
        <v>152</v>
      </c>
      <c r="BB2603" s="84" t="str">
        <f>IFERROR(__xludf.DUMMYFUNCTION("iferror(if(A2603="""",,E2603&gt;=FILTER(Constants!$F$2:$F$10,Constants!$A$2:$A$10=A2603)))"),"")</f>
        <v/>
      </c>
    </row>
    <row r="2604">
      <c r="A2604" s="89"/>
      <c r="B2604" s="87"/>
      <c r="C2604" s="73"/>
      <c r="D2604" s="73"/>
      <c r="E2604" s="82"/>
      <c r="F2604" s="82"/>
      <c r="G2604" s="86"/>
      <c r="H2604" s="86"/>
      <c r="I2604" s="86"/>
      <c r="J2604" s="82"/>
      <c r="K2604" s="82"/>
      <c r="L2604" s="82"/>
      <c r="M2604" s="82"/>
      <c r="N2604" s="82"/>
      <c r="O2604" s="82"/>
      <c r="P2604" s="82"/>
      <c r="Q2604" s="82"/>
      <c r="R2604" s="82"/>
      <c r="S2604" s="82"/>
      <c r="T2604" s="82"/>
      <c r="U2604" s="82"/>
      <c r="V2604" s="82"/>
      <c r="W2604" s="82"/>
      <c r="X2604" s="82"/>
      <c r="Y2604" s="82"/>
      <c r="Z2604" s="82"/>
      <c r="AA2604" s="82"/>
      <c r="AB2604" s="82"/>
      <c r="AC2604" s="82"/>
      <c r="AD2604" s="82"/>
      <c r="AE2604" s="82"/>
      <c r="AF2604" s="82"/>
      <c r="AG2604" s="82"/>
      <c r="AH2604" s="82"/>
      <c r="AI2604" s="82"/>
      <c r="AJ2604" s="82"/>
      <c r="AK2604" s="82"/>
      <c r="AL2604" s="82"/>
      <c r="AM2604" s="82"/>
      <c r="AN2604" s="82"/>
      <c r="AO2604" s="82"/>
      <c r="AP2604" s="82"/>
      <c r="AQ2604" s="82"/>
      <c r="AR2604" s="82"/>
      <c r="AS2604" s="82"/>
      <c r="AT2604" s="82"/>
      <c r="AU2604" s="82"/>
      <c r="AV2604" s="82"/>
      <c r="AW2604" s="82" t="str">
        <f t="shared" si="1"/>
        <v/>
      </c>
      <c r="AX2604" s="83" t="str">
        <f t="array" ref="AX2604">IFERROR(DGET('SBV Import'!A:G,"SBV",{"RSC ID","Tier";B2604,A2604}))</f>
        <v/>
      </c>
      <c r="AY2604" s="82" t="str">
        <f t="shared" si="2"/>
        <v/>
      </c>
      <c r="AZ2604" s="82"/>
      <c r="BA2604" s="84" t="s">
        <v>152</v>
      </c>
      <c r="BB2604" s="84" t="str">
        <f>IFERROR(__xludf.DUMMYFUNCTION("iferror(if(A2604="""",,E2604&gt;=FILTER(Constants!$F$2:$F$10,Constants!$A$2:$A$10=A2604)))"),"")</f>
        <v/>
      </c>
    </row>
    <row r="2605">
      <c r="A2605" s="89"/>
      <c r="B2605" s="87"/>
      <c r="C2605" s="73"/>
      <c r="D2605" s="73"/>
      <c r="E2605" s="82"/>
      <c r="F2605" s="82"/>
      <c r="G2605" s="86"/>
      <c r="H2605" s="86"/>
      <c r="I2605" s="86"/>
      <c r="J2605" s="82"/>
      <c r="K2605" s="82"/>
      <c r="L2605" s="82"/>
      <c r="M2605" s="82"/>
      <c r="N2605" s="82"/>
      <c r="O2605" s="82"/>
      <c r="P2605" s="82"/>
      <c r="Q2605" s="82"/>
      <c r="R2605" s="82"/>
      <c r="S2605" s="82"/>
      <c r="T2605" s="82"/>
      <c r="U2605" s="82"/>
      <c r="V2605" s="82"/>
      <c r="W2605" s="82"/>
      <c r="X2605" s="82"/>
      <c r="Y2605" s="82"/>
      <c r="Z2605" s="82"/>
      <c r="AA2605" s="82"/>
      <c r="AB2605" s="82"/>
      <c r="AC2605" s="82"/>
      <c r="AD2605" s="82"/>
      <c r="AE2605" s="82"/>
      <c r="AF2605" s="82"/>
      <c r="AG2605" s="82"/>
      <c r="AH2605" s="82"/>
      <c r="AI2605" s="82"/>
      <c r="AJ2605" s="82"/>
      <c r="AK2605" s="82"/>
      <c r="AL2605" s="82"/>
      <c r="AM2605" s="82"/>
      <c r="AN2605" s="82"/>
      <c r="AO2605" s="82"/>
      <c r="AP2605" s="82"/>
      <c r="AQ2605" s="82"/>
      <c r="AR2605" s="82"/>
      <c r="AS2605" s="82"/>
      <c r="AT2605" s="82"/>
      <c r="AU2605" s="82"/>
      <c r="AV2605" s="82"/>
      <c r="AW2605" s="82" t="str">
        <f t="shared" si="1"/>
        <v/>
      </c>
      <c r="AX2605" s="83" t="str">
        <f t="array" ref="AX2605">IFERROR(DGET('SBV Import'!A:G,"SBV",{"RSC ID","Tier";B2605,A2605}))</f>
        <v/>
      </c>
      <c r="AY2605" s="82" t="str">
        <f t="shared" si="2"/>
        <v/>
      </c>
      <c r="AZ2605" s="82"/>
      <c r="BA2605" s="84" t="s">
        <v>152</v>
      </c>
      <c r="BB2605" s="84" t="str">
        <f>IFERROR(__xludf.DUMMYFUNCTION("iferror(if(A2605="""",,E2605&gt;=FILTER(Constants!$F$2:$F$10,Constants!$A$2:$A$10=A2605)))"),"")</f>
        <v/>
      </c>
    </row>
    <row r="2606">
      <c r="A2606" s="89"/>
      <c r="B2606" s="87"/>
      <c r="C2606" s="73"/>
      <c r="D2606" s="73"/>
      <c r="E2606" s="82"/>
      <c r="F2606" s="82"/>
      <c r="G2606" s="86"/>
      <c r="H2606" s="86"/>
      <c r="I2606" s="86"/>
      <c r="J2606" s="82"/>
      <c r="K2606" s="82"/>
      <c r="L2606" s="82"/>
      <c r="M2606" s="82"/>
      <c r="N2606" s="82"/>
      <c r="O2606" s="82"/>
      <c r="P2606" s="82"/>
      <c r="Q2606" s="82"/>
      <c r="R2606" s="82"/>
      <c r="S2606" s="82"/>
      <c r="T2606" s="82"/>
      <c r="U2606" s="82"/>
      <c r="V2606" s="82"/>
      <c r="W2606" s="82"/>
      <c r="X2606" s="82"/>
      <c r="Y2606" s="82"/>
      <c r="Z2606" s="82"/>
      <c r="AA2606" s="82"/>
      <c r="AB2606" s="82"/>
      <c r="AC2606" s="82"/>
      <c r="AD2606" s="82"/>
      <c r="AE2606" s="82"/>
      <c r="AF2606" s="82"/>
      <c r="AG2606" s="82"/>
      <c r="AH2606" s="82"/>
      <c r="AI2606" s="82"/>
      <c r="AJ2606" s="82"/>
      <c r="AK2606" s="82"/>
      <c r="AL2606" s="82"/>
      <c r="AM2606" s="82"/>
      <c r="AN2606" s="82"/>
      <c r="AO2606" s="82"/>
      <c r="AP2606" s="82"/>
      <c r="AQ2606" s="82"/>
      <c r="AR2606" s="82"/>
      <c r="AS2606" s="82"/>
      <c r="AT2606" s="82"/>
      <c r="AU2606" s="82"/>
      <c r="AV2606" s="82"/>
      <c r="AW2606" s="82" t="str">
        <f t="shared" si="1"/>
        <v/>
      </c>
      <c r="AX2606" s="83" t="str">
        <f t="array" ref="AX2606">IFERROR(DGET('SBV Import'!A:G,"SBV",{"RSC ID","Tier";B2606,A2606}))</f>
        <v/>
      </c>
      <c r="AY2606" s="82" t="str">
        <f t="shared" si="2"/>
        <v/>
      </c>
      <c r="AZ2606" s="82"/>
      <c r="BA2606" s="84" t="s">
        <v>152</v>
      </c>
      <c r="BB2606" s="84" t="str">
        <f>IFERROR(__xludf.DUMMYFUNCTION("iferror(if(A2606="""",,E2606&gt;=FILTER(Constants!$F$2:$F$10,Constants!$A$2:$A$10=A2606)))"),"")</f>
        <v/>
      </c>
    </row>
    <row r="2607">
      <c r="A2607" s="89"/>
      <c r="B2607" s="87"/>
      <c r="C2607" s="73"/>
      <c r="D2607" s="73"/>
      <c r="E2607" s="82"/>
      <c r="F2607" s="82"/>
      <c r="G2607" s="86"/>
      <c r="H2607" s="86"/>
      <c r="I2607" s="86"/>
      <c r="J2607" s="82"/>
      <c r="K2607" s="82"/>
      <c r="L2607" s="82"/>
      <c r="M2607" s="82"/>
      <c r="N2607" s="82"/>
      <c r="O2607" s="82"/>
      <c r="P2607" s="82"/>
      <c r="Q2607" s="82"/>
      <c r="R2607" s="82"/>
      <c r="S2607" s="82"/>
      <c r="T2607" s="82"/>
      <c r="U2607" s="82"/>
      <c r="V2607" s="82"/>
      <c r="W2607" s="82"/>
      <c r="X2607" s="82"/>
      <c r="Y2607" s="82"/>
      <c r="Z2607" s="82"/>
      <c r="AA2607" s="82"/>
      <c r="AB2607" s="82"/>
      <c r="AC2607" s="82"/>
      <c r="AD2607" s="82"/>
      <c r="AE2607" s="82"/>
      <c r="AF2607" s="82"/>
      <c r="AG2607" s="82"/>
      <c r="AH2607" s="82"/>
      <c r="AI2607" s="82"/>
      <c r="AJ2607" s="82"/>
      <c r="AK2607" s="82"/>
      <c r="AL2607" s="82"/>
      <c r="AM2607" s="82"/>
      <c r="AN2607" s="82"/>
      <c r="AO2607" s="82"/>
      <c r="AP2607" s="82"/>
      <c r="AQ2607" s="82"/>
      <c r="AR2607" s="82"/>
      <c r="AS2607" s="82"/>
      <c r="AT2607" s="82"/>
      <c r="AU2607" s="82"/>
      <c r="AV2607" s="82"/>
      <c r="AW2607" s="82" t="str">
        <f t="shared" si="1"/>
        <v/>
      </c>
      <c r="AX2607" s="83" t="str">
        <f t="array" ref="AX2607">IFERROR(DGET('SBV Import'!A:G,"SBV",{"RSC ID","Tier";B2607,A2607}))</f>
        <v/>
      </c>
      <c r="AY2607" s="82" t="str">
        <f t="shared" si="2"/>
        <v/>
      </c>
      <c r="AZ2607" s="82"/>
      <c r="BA2607" s="84" t="s">
        <v>152</v>
      </c>
      <c r="BB2607" s="84" t="str">
        <f>IFERROR(__xludf.DUMMYFUNCTION("iferror(if(A2607="""",,E2607&gt;=FILTER(Constants!$F$2:$F$10,Constants!$A$2:$A$10=A2607)))"),"")</f>
        <v/>
      </c>
    </row>
    <row r="2608">
      <c r="A2608" s="89"/>
      <c r="B2608" s="87"/>
      <c r="C2608" s="73"/>
      <c r="D2608" s="73"/>
      <c r="E2608" s="82"/>
      <c r="F2608" s="82"/>
      <c r="G2608" s="86"/>
      <c r="H2608" s="86"/>
      <c r="I2608" s="86"/>
      <c r="J2608" s="82"/>
      <c r="K2608" s="82"/>
      <c r="L2608" s="82"/>
      <c r="M2608" s="82"/>
      <c r="N2608" s="82"/>
      <c r="O2608" s="82"/>
      <c r="P2608" s="82"/>
      <c r="Q2608" s="82"/>
      <c r="R2608" s="82"/>
      <c r="S2608" s="82"/>
      <c r="T2608" s="82"/>
      <c r="U2608" s="82"/>
      <c r="V2608" s="82"/>
      <c r="W2608" s="82"/>
      <c r="X2608" s="82"/>
      <c r="Y2608" s="82"/>
      <c r="Z2608" s="82"/>
      <c r="AA2608" s="82"/>
      <c r="AB2608" s="82"/>
      <c r="AC2608" s="82"/>
      <c r="AD2608" s="82"/>
      <c r="AE2608" s="82"/>
      <c r="AF2608" s="82"/>
      <c r="AG2608" s="82"/>
      <c r="AH2608" s="82"/>
      <c r="AI2608" s="82"/>
      <c r="AJ2608" s="82"/>
      <c r="AK2608" s="82"/>
      <c r="AL2608" s="82"/>
      <c r="AM2608" s="82"/>
      <c r="AN2608" s="82"/>
      <c r="AO2608" s="82"/>
      <c r="AP2608" s="82"/>
      <c r="AQ2608" s="82"/>
      <c r="AR2608" s="82"/>
      <c r="AS2608" s="82"/>
      <c r="AT2608" s="82"/>
      <c r="AU2608" s="82"/>
      <c r="AV2608" s="82"/>
      <c r="AW2608" s="82" t="str">
        <f t="shared" si="1"/>
        <v/>
      </c>
      <c r="AX2608" s="83" t="str">
        <f t="array" ref="AX2608">IFERROR(DGET('SBV Import'!A:G,"SBV",{"RSC ID","Tier";B2608,A2608}))</f>
        <v/>
      </c>
      <c r="AY2608" s="82" t="str">
        <f t="shared" si="2"/>
        <v/>
      </c>
      <c r="AZ2608" s="82"/>
      <c r="BA2608" s="84" t="s">
        <v>152</v>
      </c>
      <c r="BB2608" s="84" t="str">
        <f>IFERROR(__xludf.DUMMYFUNCTION("iferror(if(A2608="""",,E2608&gt;=FILTER(Constants!$F$2:$F$10,Constants!$A$2:$A$10=A2608)))"),"")</f>
        <v/>
      </c>
    </row>
    <row r="2609">
      <c r="A2609" s="89"/>
      <c r="B2609" s="87"/>
      <c r="C2609" s="73"/>
      <c r="D2609" s="73"/>
      <c r="E2609" s="82"/>
      <c r="F2609" s="82"/>
      <c r="G2609" s="86"/>
      <c r="H2609" s="86"/>
      <c r="I2609" s="86"/>
      <c r="J2609" s="82"/>
      <c r="K2609" s="82"/>
      <c r="L2609" s="82"/>
      <c r="M2609" s="82"/>
      <c r="N2609" s="82"/>
      <c r="O2609" s="82"/>
      <c r="P2609" s="82"/>
      <c r="Q2609" s="82"/>
      <c r="R2609" s="82"/>
      <c r="S2609" s="82"/>
      <c r="T2609" s="82"/>
      <c r="U2609" s="82"/>
      <c r="V2609" s="82"/>
      <c r="W2609" s="82"/>
      <c r="X2609" s="82"/>
      <c r="Y2609" s="82"/>
      <c r="Z2609" s="82"/>
      <c r="AA2609" s="82"/>
      <c r="AB2609" s="82"/>
      <c r="AC2609" s="82"/>
      <c r="AD2609" s="82"/>
      <c r="AE2609" s="82"/>
      <c r="AF2609" s="82"/>
      <c r="AG2609" s="82"/>
      <c r="AH2609" s="82"/>
      <c r="AI2609" s="82"/>
      <c r="AJ2609" s="82"/>
      <c r="AK2609" s="82"/>
      <c r="AL2609" s="82"/>
      <c r="AM2609" s="82"/>
      <c r="AN2609" s="82"/>
      <c r="AO2609" s="82"/>
      <c r="AP2609" s="82"/>
      <c r="AQ2609" s="82"/>
      <c r="AR2609" s="82"/>
      <c r="AS2609" s="82"/>
      <c r="AT2609" s="82"/>
      <c r="AU2609" s="82"/>
      <c r="AV2609" s="82"/>
      <c r="AW2609" s="82" t="str">
        <f t="shared" si="1"/>
        <v/>
      </c>
      <c r="AX2609" s="83" t="str">
        <f t="array" ref="AX2609">IFERROR(DGET('SBV Import'!A:G,"SBV",{"RSC ID","Tier";B2609,A2609}))</f>
        <v/>
      </c>
      <c r="AY2609" s="82" t="str">
        <f t="shared" si="2"/>
        <v/>
      </c>
      <c r="AZ2609" s="82"/>
      <c r="BA2609" s="84" t="s">
        <v>152</v>
      </c>
      <c r="BB2609" s="84" t="str">
        <f>IFERROR(__xludf.DUMMYFUNCTION("iferror(if(A2609="""",,E2609&gt;=FILTER(Constants!$F$2:$F$10,Constants!$A$2:$A$10=A2609)))"),"")</f>
        <v/>
      </c>
    </row>
    <row r="2610">
      <c r="A2610" s="89"/>
      <c r="B2610" s="87"/>
      <c r="C2610" s="73"/>
      <c r="D2610" s="73"/>
      <c r="E2610" s="82"/>
      <c r="F2610" s="82"/>
      <c r="G2610" s="86"/>
      <c r="H2610" s="86"/>
      <c r="I2610" s="86"/>
      <c r="J2610" s="82"/>
      <c r="K2610" s="82"/>
      <c r="L2610" s="82"/>
      <c r="M2610" s="82"/>
      <c r="N2610" s="82"/>
      <c r="O2610" s="82"/>
      <c r="P2610" s="82"/>
      <c r="Q2610" s="82"/>
      <c r="R2610" s="82"/>
      <c r="S2610" s="82"/>
      <c r="T2610" s="82"/>
      <c r="U2610" s="82"/>
      <c r="V2610" s="82"/>
      <c r="W2610" s="82"/>
      <c r="X2610" s="82"/>
      <c r="Y2610" s="82"/>
      <c r="Z2610" s="82"/>
      <c r="AA2610" s="82"/>
      <c r="AB2610" s="82"/>
      <c r="AC2610" s="82"/>
      <c r="AD2610" s="82"/>
      <c r="AE2610" s="82"/>
      <c r="AF2610" s="82"/>
      <c r="AG2610" s="82"/>
      <c r="AH2610" s="82"/>
      <c r="AI2610" s="82"/>
      <c r="AJ2610" s="82"/>
      <c r="AK2610" s="82"/>
      <c r="AL2610" s="82"/>
      <c r="AM2610" s="82"/>
      <c r="AN2610" s="82"/>
      <c r="AO2610" s="82"/>
      <c r="AP2610" s="82"/>
      <c r="AQ2610" s="82"/>
      <c r="AR2610" s="82"/>
      <c r="AS2610" s="82"/>
      <c r="AT2610" s="82"/>
      <c r="AU2610" s="82"/>
      <c r="AV2610" s="82"/>
      <c r="AW2610" s="82" t="str">
        <f t="shared" si="1"/>
        <v/>
      </c>
      <c r="AX2610" s="83" t="str">
        <f t="array" ref="AX2610">IFERROR(DGET('SBV Import'!A:G,"SBV",{"RSC ID","Tier";B2610,A2610}))</f>
        <v/>
      </c>
      <c r="AY2610" s="82" t="str">
        <f t="shared" si="2"/>
        <v/>
      </c>
      <c r="AZ2610" s="82"/>
      <c r="BA2610" s="84" t="s">
        <v>152</v>
      </c>
      <c r="BB2610" s="84" t="str">
        <f>IFERROR(__xludf.DUMMYFUNCTION("iferror(if(A2610="""",,E2610&gt;=FILTER(Constants!$F$2:$F$10,Constants!$A$2:$A$10=A2610)))"),"")</f>
        <v/>
      </c>
    </row>
    <row r="2611">
      <c r="A2611" s="89"/>
      <c r="B2611" s="87"/>
      <c r="C2611" s="73"/>
      <c r="D2611" s="73"/>
      <c r="E2611" s="82"/>
      <c r="F2611" s="82"/>
      <c r="G2611" s="86"/>
      <c r="H2611" s="86"/>
      <c r="I2611" s="86"/>
      <c r="J2611" s="82"/>
      <c r="K2611" s="82"/>
      <c r="L2611" s="82"/>
      <c r="M2611" s="82"/>
      <c r="N2611" s="82"/>
      <c r="O2611" s="82"/>
      <c r="P2611" s="82"/>
      <c r="Q2611" s="82"/>
      <c r="R2611" s="82"/>
      <c r="S2611" s="82"/>
      <c r="T2611" s="82"/>
      <c r="U2611" s="82"/>
      <c r="V2611" s="82"/>
      <c r="W2611" s="82"/>
      <c r="X2611" s="82"/>
      <c r="Y2611" s="82"/>
      <c r="Z2611" s="82"/>
      <c r="AA2611" s="82"/>
      <c r="AB2611" s="82"/>
      <c r="AC2611" s="82"/>
      <c r="AD2611" s="82"/>
      <c r="AE2611" s="82"/>
      <c r="AF2611" s="82"/>
      <c r="AG2611" s="82"/>
      <c r="AH2611" s="82"/>
      <c r="AI2611" s="82"/>
      <c r="AJ2611" s="82"/>
      <c r="AK2611" s="82"/>
      <c r="AL2611" s="82"/>
      <c r="AM2611" s="82"/>
      <c r="AN2611" s="82"/>
      <c r="AO2611" s="82"/>
      <c r="AP2611" s="82"/>
      <c r="AQ2611" s="82"/>
      <c r="AR2611" s="82"/>
      <c r="AS2611" s="82"/>
      <c r="AT2611" s="82"/>
      <c r="AU2611" s="82"/>
      <c r="AV2611" s="82"/>
      <c r="AW2611" s="82" t="str">
        <f t="shared" si="1"/>
        <v/>
      </c>
      <c r="AX2611" s="83" t="str">
        <f t="array" ref="AX2611">IFERROR(DGET('SBV Import'!A:G,"SBV",{"RSC ID","Tier";B2611,A2611}))</f>
        <v/>
      </c>
      <c r="AY2611" s="82" t="str">
        <f t="shared" si="2"/>
        <v/>
      </c>
      <c r="AZ2611" s="82"/>
      <c r="BA2611" s="84" t="s">
        <v>152</v>
      </c>
      <c r="BB2611" s="84" t="str">
        <f>IFERROR(__xludf.DUMMYFUNCTION("iferror(if(A2611="""",,E2611&gt;=FILTER(Constants!$F$2:$F$10,Constants!$A$2:$A$10=A2611)))"),"")</f>
        <v/>
      </c>
    </row>
    <row r="2612">
      <c r="A2612" s="89"/>
      <c r="B2612" s="87"/>
      <c r="C2612" s="73"/>
      <c r="D2612" s="73"/>
      <c r="E2612" s="82"/>
      <c r="F2612" s="82"/>
      <c r="G2612" s="86"/>
      <c r="H2612" s="86"/>
      <c r="I2612" s="86"/>
      <c r="J2612" s="82"/>
      <c r="K2612" s="82"/>
      <c r="L2612" s="82"/>
      <c r="M2612" s="82"/>
      <c r="N2612" s="82"/>
      <c r="O2612" s="82"/>
      <c r="P2612" s="82"/>
      <c r="Q2612" s="82"/>
      <c r="R2612" s="82"/>
      <c r="S2612" s="82"/>
      <c r="T2612" s="82"/>
      <c r="U2612" s="82"/>
      <c r="V2612" s="82"/>
      <c r="W2612" s="82"/>
      <c r="X2612" s="82"/>
      <c r="Y2612" s="82"/>
      <c r="Z2612" s="82"/>
      <c r="AA2612" s="82"/>
      <c r="AB2612" s="82"/>
      <c r="AC2612" s="82"/>
      <c r="AD2612" s="82"/>
      <c r="AE2612" s="82"/>
      <c r="AF2612" s="82"/>
      <c r="AG2612" s="82"/>
      <c r="AH2612" s="82"/>
      <c r="AI2612" s="82"/>
      <c r="AJ2612" s="82"/>
      <c r="AK2612" s="82"/>
      <c r="AL2612" s="82"/>
      <c r="AM2612" s="82"/>
      <c r="AN2612" s="82"/>
      <c r="AO2612" s="82"/>
      <c r="AP2612" s="82"/>
      <c r="AQ2612" s="82"/>
      <c r="AR2612" s="82"/>
      <c r="AS2612" s="82"/>
      <c r="AT2612" s="82"/>
      <c r="AU2612" s="82"/>
      <c r="AV2612" s="82"/>
      <c r="AW2612" s="82" t="str">
        <f t="shared" si="1"/>
        <v/>
      </c>
      <c r="AX2612" s="83" t="str">
        <f t="array" ref="AX2612">IFERROR(DGET('SBV Import'!A:G,"SBV",{"RSC ID","Tier";B2612,A2612}))</f>
        <v/>
      </c>
      <c r="AY2612" s="82" t="str">
        <f t="shared" si="2"/>
        <v/>
      </c>
      <c r="AZ2612" s="82"/>
      <c r="BA2612" s="84" t="s">
        <v>152</v>
      </c>
      <c r="BB2612" s="84" t="str">
        <f>IFERROR(__xludf.DUMMYFUNCTION("iferror(if(A2612="""",,E2612&gt;=FILTER(Constants!$F$2:$F$10,Constants!$A$2:$A$10=A2612)))"),"")</f>
        <v/>
      </c>
    </row>
    <row r="2613">
      <c r="A2613" s="89"/>
      <c r="B2613" s="87"/>
      <c r="C2613" s="73"/>
      <c r="D2613" s="73"/>
      <c r="E2613" s="82"/>
      <c r="F2613" s="82"/>
      <c r="G2613" s="86"/>
      <c r="H2613" s="86"/>
      <c r="I2613" s="86"/>
      <c r="J2613" s="82"/>
      <c r="K2613" s="82"/>
      <c r="L2613" s="82"/>
      <c r="M2613" s="82"/>
      <c r="N2613" s="82"/>
      <c r="O2613" s="82"/>
      <c r="P2613" s="82"/>
      <c r="Q2613" s="82"/>
      <c r="R2613" s="82"/>
      <c r="S2613" s="82"/>
      <c r="T2613" s="82"/>
      <c r="U2613" s="82"/>
      <c r="V2613" s="82"/>
      <c r="W2613" s="82"/>
      <c r="X2613" s="82"/>
      <c r="Y2613" s="82"/>
      <c r="Z2613" s="82"/>
      <c r="AA2613" s="82"/>
      <c r="AB2613" s="82"/>
      <c r="AC2613" s="82"/>
      <c r="AD2613" s="82"/>
      <c r="AE2613" s="82"/>
      <c r="AF2613" s="82"/>
      <c r="AG2613" s="82"/>
      <c r="AH2613" s="82"/>
      <c r="AI2613" s="82"/>
      <c r="AJ2613" s="82"/>
      <c r="AK2613" s="82"/>
      <c r="AL2613" s="82"/>
      <c r="AM2613" s="82"/>
      <c r="AN2613" s="82"/>
      <c r="AO2613" s="82"/>
      <c r="AP2613" s="82"/>
      <c r="AQ2613" s="82"/>
      <c r="AR2613" s="82"/>
      <c r="AS2613" s="82"/>
      <c r="AT2613" s="82"/>
      <c r="AU2613" s="82"/>
      <c r="AV2613" s="82"/>
      <c r="AW2613" s="82" t="str">
        <f t="shared" si="1"/>
        <v/>
      </c>
      <c r="AX2613" s="83" t="str">
        <f t="array" ref="AX2613">IFERROR(DGET('SBV Import'!A:G,"SBV",{"RSC ID","Tier";B2613,A2613}))</f>
        <v/>
      </c>
      <c r="AY2613" s="82" t="str">
        <f t="shared" si="2"/>
        <v/>
      </c>
      <c r="AZ2613" s="82"/>
      <c r="BA2613" s="84" t="s">
        <v>152</v>
      </c>
      <c r="BB2613" s="84" t="str">
        <f>IFERROR(__xludf.DUMMYFUNCTION("iferror(if(A2613="""",,E2613&gt;=FILTER(Constants!$F$2:$F$10,Constants!$A$2:$A$10=A2613)))"),"")</f>
        <v/>
      </c>
    </row>
    <row r="2614">
      <c r="A2614" s="89"/>
      <c r="B2614" s="87"/>
      <c r="C2614" s="73"/>
      <c r="D2614" s="73"/>
      <c r="E2614" s="82"/>
      <c r="F2614" s="82"/>
      <c r="G2614" s="86"/>
      <c r="H2614" s="86"/>
      <c r="I2614" s="86"/>
      <c r="J2614" s="82"/>
      <c r="K2614" s="82"/>
      <c r="L2614" s="82"/>
      <c r="M2614" s="82"/>
      <c r="N2614" s="82"/>
      <c r="O2614" s="82"/>
      <c r="P2614" s="82"/>
      <c r="Q2614" s="82"/>
      <c r="R2614" s="82"/>
      <c r="S2614" s="82"/>
      <c r="T2614" s="82"/>
      <c r="U2614" s="82"/>
      <c r="V2614" s="82"/>
      <c r="W2614" s="82"/>
      <c r="X2614" s="82"/>
      <c r="Y2614" s="82"/>
      <c r="Z2614" s="82"/>
      <c r="AA2614" s="82"/>
      <c r="AB2614" s="82"/>
      <c r="AC2614" s="82"/>
      <c r="AD2614" s="82"/>
      <c r="AE2614" s="82"/>
      <c r="AF2614" s="82"/>
      <c r="AG2614" s="82"/>
      <c r="AH2614" s="82"/>
      <c r="AI2614" s="82"/>
      <c r="AJ2614" s="82"/>
      <c r="AK2614" s="82"/>
      <c r="AL2614" s="82"/>
      <c r="AM2614" s="82"/>
      <c r="AN2614" s="82"/>
      <c r="AO2614" s="82"/>
      <c r="AP2614" s="82"/>
      <c r="AQ2614" s="82"/>
      <c r="AR2614" s="82"/>
      <c r="AS2614" s="82"/>
      <c r="AT2614" s="82"/>
      <c r="AU2614" s="82"/>
      <c r="AV2614" s="82"/>
      <c r="AW2614" s="82" t="str">
        <f t="shared" si="1"/>
        <v/>
      </c>
      <c r="AX2614" s="83" t="str">
        <f t="array" ref="AX2614">IFERROR(DGET('SBV Import'!A:G,"SBV",{"RSC ID","Tier";B2614,A2614}))</f>
        <v/>
      </c>
      <c r="AY2614" s="82" t="str">
        <f t="shared" si="2"/>
        <v/>
      </c>
      <c r="AZ2614" s="82"/>
      <c r="BA2614" s="84" t="s">
        <v>152</v>
      </c>
      <c r="BB2614" s="84" t="str">
        <f>IFERROR(__xludf.DUMMYFUNCTION("iferror(if(A2614="""",,E2614&gt;=FILTER(Constants!$F$2:$F$10,Constants!$A$2:$A$10=A2614)))"),"")</f>
        <v/>
      </c>
    </row>
    <row r="2615">
      <c r="A2615" s="89"/>
      <c r="B2615" s="87"/>
      <c r="C2615" s="73"/>
      <c r="D2615" s="73"/>
      <c r="E2615" s="82"/>
      <c r="F2615" s="82"/>
      <c r="G2615" s="86"/>
      <c r="H2615" s="86"/>
      <c r="I2615" s="86"/>
      <c r="J2615" s="82"/>
      <c r="K2615" s="82"/>
      <c r="L2615" s="82"/>
      <c r="M2615" s="82"/>
      <c r="N2615" s="82"/>
      <c r="O2615" s="82"/>
      <c r="P2615" s="82"/>
      <c r="Q2615" s="82"/>
      <c r="R2615" s="82"/>
      <c r="S2615" s="82"/>
      <c r="T2615" s="82"/>
      <c r="U2615" s="82"/>
      <c r="V2615" s="82"/>
      <c r="W2615" s="82"/>
      <c r="X2615" s="82"/>
      <c r="Y2615" s="82"/>
      <c r="Z2615" s="82"/>
      <c r="AA2615" s="82"/>
      <c r="AB2615" s="82"/>
      <c r="AC2615" s="82"/>
      <c r="AD2615" s="82"/>
      <c r="AE2615" s="82"/>
      <c r="AF2615" s="82"/>
      <c r="AG2615" s="82"/>
      <c r="AH2615" s="82"/>
      <c r="AI2615" s="82"/>
      <c r="AJ2615" s="82"/>
      <c r="AK2615" s="82"/>
      <c r="AL2615" s="82"/>
      <c r="AM2615" s="82"/>
      <c r="AN2615" s="82"/>
      <c r="AO2615" s="82"/>
      <c r="AP2615" s="82"/>
      <c r="AQ2615" s="82"/>
      <c r="AR2615" s="82"/>
      <c r="AS2615" s="82"/>
      <c r="AT2615" s="82"/>
      <c r="AU2615" s="82"/>
      <c r="AV2615" s="82"/>
      <c r="AW2615" s="82" t="str">
        <f t="shared" si="1"/>
        <v/>
      </c>
      <c r="AX2615" s="83" t="str">
        <f t="array" ref="AX2615">IFERROR(DGET('SBV Import'!A:G,"SBV",{"RSC ID","Tier";B2615,A2615}))</f>
        <v/>
      </c>
      <c r="AY2615" s="82" t="str">
        <f t="shared" si="2"/>
        <v/>
      </c>
      <c r="AZ2615" s="82"/>
      <c r="BA2615" s="84" t="s">
        <v>152</v>
      </c>
      <c r="BB2615" s="84" t="str">
        <f>IFERROR(__xludf.DUMMYFUNCTION("iferror(if(A2615="""",,E2615&gt;=FILTER(Constants!$F$2:$F$10,Constants!$A$2:$A$10=A2615)))"),"")</f>
        <v/>
      </c>
    </row>
    <row r="2616">
      <c r="A2616" s="89"/>
      <c r="B2616" s="87"/>
      <c r="C2616" s="73"/>
      <c r="D2616" s="73"/>
      <c r="E2616" s="82"/>
      <c r="F2616" s="82"/>
      <c r="G2616" s="86"/>
      <c r="H2616" s="86"/>
      <c r="I2616" s="86"/>
      <c r="J2616" s="82"/>
      <c r="K2616" s="82"/>
      <c r="L2616" s="82"/>
      <c r="M2616" s="82"/>
      <c r="N2616" s="82"/>
      <c r="O2616" s="82"/>
      <c r="P2616" s="82"/>
      <c r="Q2616" s="82"/>
      <c r="R2616" s="82"/>
      <c r="S2616" s="82"/>
      <c r="T2616" s="82"/>
      <c r="U2616" s="82"/>
      <c r="V2616" s="82"/>
      <c r="W2616" s="82"/>
      <c r="X2616" s="82"/>
      <c r="Y2616" s="82"/>
      <c r="Z2616" s="82"/>
      <c r="AA2616" s="82"/>
      <c r="AB2616" s="82"/>
      <c r="AC2616" s="82"/>
      <c r="AD2616" s="82"/>
      <c r="AE2616" s="82"/>
      <c r="AF2616" s="82"/>
      <c r="AG2616" s="82"/>
      <c r="AH2616" s="82"/>
      <c r="AI2616" s="82"/>
      <c r="AJ2616" s="82"/>
      <c r="AK2616" s="82"/>
      <c r="AL2616" s="82"/>
      <c r="AM2616" s="82"/>
      <c r="AN2616" s="82"/>
      <c r="AO2616" s="82"/>
      <c r="AP2616" s="82"/>
      <c r="AQ2616" s="82"/>
      <c r="AR2616" s="82"/>
      <c r="AS2616" s="82"/>
      <c r="AT2616" s="82"/>
      <c r="AU2616" s="82"/>
      <c r="AV2616" s="82"/>
      <c r="AW2616" s="82" t="str">
        <f t="shared" si="1"/>
        <v/>
      </c>
      <c r="AX2616" s="83" t="str">
        <f t="array" ref="AX2616">IFERROR(DGET('SBV Import'!A:G,"SBV",{"RSC ID","Tier";B2616,A2616}))</f>
        <v/>
      </c>
      <c r="AY2616" s="82" t="str">
        <f t="shared" si="2"/>
        <v/>
      </c>
      <c r="AZ2616" s="82"/>
      <c r="BA2616" s="84" t="s">
        <v>152</v>
      </c>
      <c r="BB2616" s="84" t="str">
        <f>IFERROR(__xludf.DUMMYFUNCTION("iferror(if(A2616="""",,E2616&gt;=FILTER(Constants!$F$2:$F$10,Constants!$A$2:$A$10=A2616)))"),"")</f>
        <v/>
      </c>
    </row>
    <row r="2617">
      <c r="A2617" s="89"/>
      <c r="B2617" s="87"/>
      <c r="C2617" s="73"/>
      <c r="D2617" s="73"/>
      <c r="E2617" s="82"/>
      <c r="F2617" s="82"/>
      <c r="G2617" s="86"/>
      <c r="H2617" s="86"/>
      <c r="I2617" s="86"/>
      <c r="J2617" s="82"/>
      <c r="K2617" s="82"/>
      <c r="L2617" s="82"/>
      <c r="M2617" s="82"/>
      <c r="N2617" s="82"/>
      <c r="O2617" s="82"/>
      <c r="P2617" s="82"/>
      <c r="Q2617" s="82"/>
      <c r="R2617" s="82"/>
      <c r="S2617" s="82"/>
      <c r="T2617" s="82"/>
      <c r="U2617" s="82"/>
      <c r="V2617" s="82"/>
      <c r="W2617" s="82"/>
      <c r="X2617" s="82"/>
      <c r="Y2617" s="82"/>
      <c r="Z2617" s="82"/>
      <c r="AA2617" s="82"/>
      <c r="AB2617" s="82"/>
      <c r="AC2617" s="82"/>
      <c r="AD2617" s="82"/>
      <c r="AE2617" s="82"/>
      <c r="AF2617" s="82"/>
      <c r="AG2617" s="82"/>
      <c r="AH2617" s="82"/>
      <c r="AI2617" s="82"/>
      <c r="AJ2617" s="82"/>
      <c r="AK2617" s="82"/>
      <c r="AL2617" s="82"/>
      <c r="AM2617" s="82"/>
      <c r="AN2617" s="82"/>
      <c r="AO2617" s="82"/>
      <c r="AP2617" s="82"/>
      <c r="AQ2617" s="82"/>
      <c r="AR2617" s="82"/>
      <c r="AS2617" s="82"/>
      <c r="AT2617" s="82"/>
      <c r="AU2617" s="82"/>
      <c r="AV2617" s="82"/>
      <c r="AW2617" s="82" t="str">
        <f t="shared" si="1"/>
        <v/>
      </c>
      <c r="AX2617" s="83" t="str">
        <f t="array" ref="AX2617">IFERROR(DGET('SBV Import'!A:G,"SBV",{"RSC ID","Tier";B2617,A2617}))</f>
        <v/>
      </c>
      <c r="AY2617" s="82" t="str">
        <f t="shared" si="2"/>
        <v/>
      </c>
      <c r="AZ2617" s="82"/>
      <c r="BA2617" s="84" t="s">
        <v>152</v>
      </c>
      <c r="BB2617" s="84" t="str">
        <f>IFERROR(__xludf.DUMMYFUNCTION("iferror(if(A2617="""",,E2617&gt;=FILTER(Constants!$F$2:$F$10,Constants!$A$2:$A$10=A2617)))"),"")</f>
        <v/>
      </c>
    </row>
    <row r="2618">
      <c r="A2618" s="89"/>
      <c r="B2618" s="87"/>
      <c r="C2618" s="73"/>
      <c r="D2618" s="73"/>
      <c r="E2618" s="82"/>
      <c r="F2618" s="82"/>
      <c r="G2618" s="86"/>
      <c r="H2618" s="86"/>
      <c r="I2618" s="86"/>
      <c r="J2618" s="82"/>
      <c r="K2618" s="82"/>
      <c r="L2618" s="82"/>
      <c r="M2618" s="82"/>
      <c r="N2618" s="82"/>
      <c r="O2618" s="82"/>
      <c r="P2618" s="82"/>
      <c r="Q2618" s="82"/>
      <c r="R2618" s="82"/>
      <c r="S2618" s="82"/>
      <c r="T2618" s="82"/>
      <c r="U2618" s="82"/>
      <c r="V2618" s="82"/>
      <c r="W2618" s="82"/>
      <c r="X2618" s="82"/>
      <c r="Y2618" s="82"/>
      <c r="Z2618" s="82"/>
      <c r="AA2618" s="82"/>
      <c r="AB2618" s="82"/>
      <c r="AC2618" s="82"/>
      <c r="AD2618" s="82"/>
      <c r="AE2618" s="82"/>
      <c r="AF2618" s="82"/>
      <c r="AG2618" s="82"/>
      <c r="AH2618" s="82"/>
      <c r="AI2618" s="82"/>
      <c r="AJ2618" s="82"/>
      <c r="AK2618" s="82"/>
      <c r="AL2618" s="82"/>
      <c r="AM2618" s="82"/>
      <c r="AN2618" s="82"/>
      <c r="AO2618" s="82"/>
      <c r="AP2618" s="82"/>
      <c r="AQ2618" s="82"/>
      <c r="AR2618" s="82"/>
      <c r="AS2618" s="82"/>
      <c r="AT2618" s="82"/>
      <c r="AU2618" s="82"/>
      <c r="AV2618" s="82"/>
      <c r="AW2618" s="82" t="str">
        <f t="shared" si="1"/>
        <v/>
      </c>
      <c r="AX2618" s="83" t="str">
        <f t="array" ref="AX2618">IFERROR(DGET('SBV Import'!A:G,"SBV",{"RSC ID","Tier";B2618,A2618}))</f>
        <v/>
      </c>
      <c r="AY2618" s="82" t="str">
        <f t="shared" si="2"/>
        <v/>
      </c>
      <c r="AZ2618" s="82"/>
      <c r="BA2618" s="84" t="s">
        <v>152</v>
      </c>
      <c r="BB2618" s="84" t="str">
        <f>IFERROR(__xludf.DUMMYFUNCTION("iferror(if(A2618="""",,E2618&gt;=FILTER(Constants!$F$2:$F$10,Constants!$A$2:$A$10=A2618)))"),"")</f>
        <v/>
      </c>
    </row>
    <row r="2619">
      <c r="A2619" s="89"/>
      <c r="B2619" s="87"/>
      <c r="C2619" s="73"/>
      <c r="D2619" s="73"/>
      <c r="E2619" s="82"/>
      <c r="F2619" s="82"/>
      <c r="G2619" s="86"/>
      <c r="H2619" s="86"/>
      <c r="I2619" s="86"/>
      <c r="J2619" s="82"/>
      <c r="K2619" s="82"/>
      <c r="L2619" s="82"/>
      <c r="M2619" s="82"/>
      <c r="N2619" s="82"/>
      <c r="O2619" s="82"/>
      <c r="P2619" s="82"/>
      <c r="Q2619" s="82"/>
      <c r="R2619" s="82"/>
      <c r="S2619" s="82"/>
      <c r="T2619" s="82"/>
      <c r="U2619" s="82"/>
      <c r="V2619" s="82"/>
      <c r="W2619" s="82"/>
      <c r="X2619" s="82"/>
      <c r="Y2619" s="82"/>
      <c r="Z2619" s="82"/>
      <c r="AA2619" s="82"/>
      <c r="AB2619" s="82"/>
      <c r="AC2619" s="82"/>
      <c r="AD2619" s="82"/>
      <c r="AE2619" s="82"/>
      <c r="AF2619" s="82"/>
      <c r="AG2619" s="82"/>
      <c r="AH2619" s="82"/>
      <c r="AI2619" s="82"/>
      <c r="AJ2619" s="82"/>
      <c r="AK2619" s="82"/>
      <c r="AL2619" s="82"/>
      <c r="AM2619" s="82"/>
      <c r="AN2619" s="82"/>
      <c r="AO2619" s="82"/>
      <c r="AP2619" s="82"/>
      <c r="AQ2619" s="82"/>
      <c r="AR2619" s="82"/>
      <c r="AS2619" s="82"/>
      <c r="AT2619" s="82"/>
      <c r="AU2619" s="82"/>
      <c r="AV2619" s="82"/>
      <c r="AW2619" s="82" t="str">
        <f t="shared" si="1"/>
        <v/>
      </c>
      <c r="AX2619" s="83" t="str">
        <f t="array" ref="AX2619">IFERROR(DGET('SBV Import'!A:G,"SBV",{"RSC ID","Tier";B2619,A2619}))</f>
        <v/>
      </c>
      <c r="AY2619" s="82" t="str">
        <f t="shared" si="2"/>
        <v/>
      </c>
      <c r="AZ2619" s="82"/>
      <c r="BA2619" s="84" t="s">
        <v>152</v>
      </c>
      <c r="BB2619" s="84" t="str">
        <f>IFERROR(__xludf.DUMMYFUNCTION("iferror(if(A2619="""",,E2619&gt;=FILTER(Constants!$F$2:$F$10,Constants!$A$2:$A$10=A2619)))"),"")</f>
        <v/>
      </c>
    </row>
    <row r="2620">
      <c r="A2620" s="89"/>
      <c r="B2620" s="87"/>
      <c r="C2620" s="73"/>
      <c r="D2620" s="73"/>
      <c r="E2620" s="82"/>
      <c r="F2620" s="82"/>
      <c r="G2620" s="86"/>
      <c r="H2620" s="86"/>
      <c r="I2620" s="86"/>
      <c r="J2620" s="82"/>
      <c r="K2620" s="82"/>
      <c r="L2620" s="82"/>
      <c r="M2620" s="82"/>
      <c r="N2620" s="82"/>
      <c r="O2620" s="82"/>
      <c r="P2620" s="82"/>
      <c r="Q2620" s="82"/>
      <c r="R2620" s="82"/>
      <c r="S2620" s="82"/>
      <c r="T2620" s="82"/>
      <c r="U2620" s="82"/>
      <c r="V2620" s="82"/>
      <c r="W2620" s="82"/>
      <c r="X2620" s="82"/>
      <c r="Y2620" s="82"/>
      <c r="Z2620" s="82"/>
      <c r="AA2620" s="82"/>
      <c r="AB2620" s="82"/>
      <c r="AC2620" s="82"/>
      <c r="AD2620" s="82"/>
      <c r="AE2620" s="82"/>
      <c r="AF2620" s="82"/>
      <c r="AG2620" s="82"/>
      <c r="AH2620" s="82"/>
      <c r="AI2620" s="82"/>
      <c r="AJ2620" s="82"/>
      <c r="AK2620" s="82"/>
      <c r="AL2620" s="82"/>
      <c r="AM2620" s="82"/>
      <c r="AN2620" s="82"/>
      <c r="AO2620" s="82"/>
      <c r="AP2620" s="82"/>
      <c r="AQ2620" s="82"/>
      <c r="AR2620" s="82"/>
      <c r="AS2620" s="82"/>
      <c r="AT2620" s="82"/>
      <c r="AU2620" s="82"/>
      <c r="AV2620" s="82"/>
      <c r="AW2620" s="82" t="str">
        <f t="shared" si="1"/>
        <v/>
      </c>
      <c r="AX2620" s="83" t="str">
        <f t="array" ref="AX2620">IFERROR(DGET('SBV Import'!A:G,"SBV",{"RSC ID","Tier";B2620,A2620}))</f>
        <v/>
      </c>
      <c r="AY2620" s="82" t="str">
        <f t="shared" si="2"/>
        <v/>
      </c>
      <c r="AZ2620" s="82"/>
      <c r="BA2620" s="84" t="s">
        <v>152</v>
      </c>
      <c r="BB2620" s="84" t="str">
        <f>IFERROR(__xludf.DUMMYFUNCTION("iferror(if(A2620="""",,E2620&gt;=FILTER(Constants!$F$2:$F$10,Constants!$A$2:$A$10=A2620)))"),"")</f>
        <v/>
      </c>
    </row>
    <row r="2621">
      <c r="A2621" s="89"/>
      <c r="B2621" s="87"/>
      <c r="C2621" s="73"/>
      <c r="D2621" s="73"/>
      <c r="E2621" s="82"/>
      <c r="F2621" s="82"/>
      <c r="G2621" s="86"/>
      <c r="H2621" s="86"/>
      <c r="I2621" s="86"/>
      <c r="J2621" s="82"/>
      <c r="K2621" s="82"/>
      <c r="L2621" s="82"/>
      <c r="M2621" s="82"/>
      <c r="N2621" s="82"/>
      <c r="O2621" s="82"/>
      <c r="P2621" s="82"/>
      <c r="Q2621" s="82"/>
      <c r="R2621" s="82"/>
      <c r="S2621" s="82"/>
      <c r="T2621" s="82"/>
      <c r="U2621" s="82"/>
      <c r="V2621" s="82"/>
      <c r="W2621" s="82"/>
      <c r="X2621" s="82"/>
      <c r="Y2621" s="82"/>
      <c r="Z2621" s="82"/>
      <c r="AA2621" s="82"/>
      <c r="AB2621" s="82"/>
      <c r="AC2621" s="82"/>
      <c r="AD2621" s="82"/>
      <c r="AE2621" s="82"/>
      <c r="AF2621" s="82"/>
      <c r="AG2621" s="82"/>
      <c r="AH2621" s="82"/>
      <c r="AI2621" s="82"/>
      <c r="AJ2621" s="82"/>
      <c r="AK2621" s="82"/>
      <c r="AL2621" s="82"/>
      <c r="AM2621" s="82"/>
      <c r="AN2621" s="82"/>
      <c r="AO2621" s="82"/>
      <c r="AP2621" s="82"/>
      <c r="AQ2621" s="82"/>
      <c r="AR2621" s="82"/>
      <c r="AS2621" s="82"/>
      <c r="AT2621" s="82"/>
      <c r="AU2621" s="82"/>
      <c r="AV2621" s="82"/>
      <c r="AW2621" s="82" t="str">
        <f t="shared" si="1"/>
        <v/>
      </c>
      <c r="AX2621" s="83" t="str">
        <f t="array" ref="AX2621">IFERROR(DGET('SBV Import'!A:G,"SBV",{"RSC ID","Tier";B2621,A2621}))</f>
        <v/>
      </c>
      <c r="AY2621" s="82" t="str">
        <f t="shared" si="2"/>
        <v/>
      </c>
      <c r="AZ2621" s="82"/>
      <c r="BA2621" s="84" t="s">
        <v>152</v>
      </c>
      <c r="BB2621" s="84" t="str">
        <f>IFERROR(__xludf.DUMMYFUNCTION("iferror(if(A2621="""",,E2621&gt;=FILTER(Constants!$F$2:$F$10,Constants!$A$2:$A$10=A2621)))"),"")</f>
        <v/>
      </c>
    </row>
    <row r="2622">
      <c r="A2622" s="89"/>
      <c r="B2622" s="87"/>
      <c r="C2622" s="73"/>
      <c r="D2622" s="73"/>
      <c r="E2622" s="82"/>
      <c r="F2622" s="82"/>
      <c r="G2622" s="86"/>
      <c r="H2622" s="86"/>
      <c r="I2622" s="86"/>
      <c r="J2622" s="82"/>
      <c r="K2622" s="82"/>
      <c r="L2622" s="82"/>
      <c r="M2622" s="82"/>
      <c r="N2622" s="82"/>
      <c r="O2622" s="82"/>
      <c r="P2622" s="82"/>
      <c r="Q2622" s="82"/>
      <c r="R2622" s="82"/>
      <c r="S2622" s="82"/>
      <c r="T2622" s="82"/>
      <c r="U2622" s="82"/>
      <c r="V2622" s="82"/>
      <c r="W2622" s="82"/>
      <c r="X2622" s="82"/>
      <c r="Y2622" s="82"/>
      <c r="Z2622" s="82"/>
      <c r="AA2622" s="82"/>
      <c r="AB2622" s="82"/>
      <c r="AC2622" s="82"/>
      <c r="AD2622" s="82"/>
      <c r="AE2622" s="82"/>
      <c r="AF2622" s="82"/>
      <c r="AG2622" s="82"/>
      <c r="AH2622" s="82"/>
      <c r="AI2622" s="82"/>
      <c r="AJ2622" s="82"/>
      <c r="AK2622" s="82"/>
      <c r="AL2622" s="82"/>
      <c r="AM2622" s="82"/>
      <c r="AN2622" s="82"/>
      <c r="AO2622" s="82"/>
      <c r="AP2622" s="82"/>
      <c r="AQ2622" s="82"/>
      <c r="AR2622" s="82"/>
      <c r="AS2622" s="82"/>
      <c r="AT2622" s="82"/>
      <c r="AU2622" s="82"/>
      <c r="AV2622" s="82"/>
      <c r="AW2622" s="82" t="str">
        <f t="shared" si="1"/>
        <v/>
      </c>
      <c r="AX2622" s="83" t="str">
        <f t="array" ref="AX2622">IFERROR(DGET('SBV Import'!A:G,"SBV",{"RSC ID","Tier";B2622,A2622}))</f>
        <v/>
      </c>
      <c r="AY2622" s="82" t="str">
        <f t="shared" si="2"/>
        <v/>
      </c>
      <c r="AZ2622" s="82"/>
      <c r="BA2622" s="84" t="s">
        <v>152</v>
      </c>
      <c r="BB2622" s="84" t="str">
        <f>IFERROR(__xludf.DUMMYFUNCTION("iferror(if(A2622="""",,E2622&gt;=FILTER(Constants!$F$2:$F$10,Constants!$A$2:$A$10=A2622)))"),"")</f>
        <v/>
      </c>
    </row>
    <row r="2623">
      <c r="A2623" s="89"/>
      <c r="B2623" s="87"/>
      <c r="C2623" s="73"/>
      <c r="D2623" s="73"/>
      <c r="E2623" s="82"/>
      <c r="F2623" s="82"/>
      <c r="G2623" s="86"/>
      <c r="H2623" s="86"/>
      <c r="I2623" s="86"/>
      <c r="J2623" s="82"/>
      <c r="K2623" s="82"/>
      <c r="L2623" s="82"/>
      <c r="M2623" s="82"/>
      <c r="N2623" s="82"/>
      <c r="O2623" s="82"/>
      <c r="P2623" s="82"/>
      <c r="Q2623" s="82"/>
      <c r="R2623" s="82"/>
      <c r="S2623" s="82"/>
      <c r="T2623" s="82"/>
      <c r="U2623" s="82"/>
      <c r="V2623" s="82"/>
      <c r="W2623" s="82"/>
      <c r="X2623" s="82"/>
      <c r="Y2623" s="82"/>
      <c r="Z2623" s="82"/>
      <c r="AA2623" s="82"/>
      <c r="AB2623" s="82"/>
      <c r="AC2623" s="82"/>
      <c r="AD2623" s="82"/>
      <c r="AE2623" s="82"/>
      <c r="AF2623" s="82"/>
      <c r="AG2623" s="82"/>
      <c r="AH2623" s="82"/>
      <c r="AI2623" s="82"/>
      <c r="AJ2623" s="82"/>
      <c r="AK2623" s="82"/>
      <c r="AL2623" s="82"/>
      <c r="AM2623" s="82"/>
      <c r="AN2623" s="82"/>
      <c r="AO2623" s="82"/>
      <c r="AP2623" s="82"/>
      <c r="AQ2623" s="82"/>
      <c r="AR2623" s="82"/>
      <c r="AS2623" s="82"/>
      <c r="AT2623" s="82"/>
      <c r="AU2623" s="82"/>
      <c r="AV2623" s="82"/>
      <c r="AW2623" s="82" t="str">
        <f t="shared" si="1"/>
        <v/>
      </c>
      <c r="AX2623" s="83" t="str">
        <f t="array" ref="AX2623">IFERROR(DGET('SBV Import'!A:G,"SBV",{"RSC ID","Tier";B2623,A2623}))</f>
        <v/>
      </c>
      <c r="AY2623" s="82" t="str">
        <f t="shared" si="2"/>
        <v/>
      </c>
      <c r="AZ2623" s="82"/>
      <c r="BA2623" s="84" t="s">
        <v>152</v>
      </c>
      <c r="BB2623" s="84" t="str">
        <f>IFERROR(__xludf.DUMMYFUNCTION("iferror(if(A2623="""",,E2623&gt;=FILTER(Constants!$F$2:$F$10,Constants!$A$2:$A$10=A2623)))"),"")</f>
        <v/>
      </c>
    </row>
    <row r="2624">
      <c r="A2624" s="89"/>
      <c r="B2624" s="87"/>
      <c r="C2624" s="73"/>
      <c r="D2624" s="73"/>
      <c r="E2624" s="82"/>
      <c r="F2624" s="82"/>
      <c r="G2624" s="86"/>
      <c r="H2624" s="86"/>
      <c r="I2624" s="86"/>
      <c r="J2624" s="82"/>
      <c r="K2624" s="82"/>
      <c r="L2624" s="82"/>
      <c r="M2624" s="82"/>
      <c r="N2624" s="82"/>
      <c r="O2624" s="82"/>
      <c r="P2624" s="82"/>
      <c r="Q2624" s="82"/>
      <c r="R2624" s="82"/>
      <c r="S2624" s="82"/>
      <c r="T2624" s="82"/>
      <c r="U2624" s="82"/>
      <c r="V2624" s="82"/>
      <c r="W2624" s="82"/>
      <c r="X2624" s="82"/>
      <c r="Y2624" s="82"/>
      <c r="Z2624" s="82"/>
      <c r="AA2624" s="82"/>
      <c r="AB2624" s="82"/>
      <c r="AC2624" s="82"/>
      <c r="AD2624" s="82"/>
      <c r="AE2624" s="82"/>
      <c r="AF2624" s="82"/>
      <c r="AG2624" s="82"/>
      <c r="AH2624" s="82"/>
      <c r="AI2624" s="82"/>
      <c r="AJ2624" s="82"/>
      <c r="AK2624" s="82"/>
      <c r="AL2624" s="82"/>
      <c r="AM2624" s="82"/>
      <c r="AN2624" s="82"/>
      <c r="AO2624" s="82"/>
      <c r="AP2624" s="82"/>
      <c r="AQ2624" s="82"/>
      <c r="AR2624" s="82"/>
      <c r="AS2624" s="82"/>
      <c r="AT2624" s="82"/>
      <c r="AU2624" s="82"/>
      <c r="AV2624" s="82"/>
      <c r="AW2624" s="82" t="str">
        <f t="shared" si="1"/>
        <v/>
      </c>
      <c r="AX2624" s="83" t="str">
        <f t="array" ref="AX2624">IFERROR(DGET('SBV Import'!A:G,"SBV",{"RSC ID","Tier";B2624,A2624}))</f>
        <v/>
      </c>
      <c r="AY2624" s="82" t="str">
        <f t="shared" si="2"/>
        <v/>
      </c>
      <c r="AZ2624" s="82"/>
      <c r="BA2624" s="84" t="s">
        <v>152</v>
      </c>
      <c r="BB2624" s="84" t="str">
        <f>IFERROR(__xludf.DUMMYFUNCTION("iferror(if(A2624="""",,E2624&gt;=FILTER(Constants!$F$2:$F$10,Constants!$A$2:$A$10=A2624)))"),"")</f>
        <v/>
      </c>
    </row>
    <row r="2625">
      <c r="A2625" s="89"/>
      <c r="B2625" s="87"/>
      <c r="C2625" s="73"/>
      <c r="D2625" s="73"/>
      <c r="E2625" s="82"/>
      <c r="F2625" s="82"/>
      <c r="G2625" s="86"/>
      <c r="H2625" s="86"/>
      <c r="I2625" s="86"/>
      <c r="J2625" s="82"/>
      <c r="K2625" s="82"/>
      <c r="L2625" s="82"/>
      <c r="M2625" s="82"/>
      <c r="N2625" s="82"/>
      <c r="O2625" s="82"/>
      <c r="P2625" s="82"/>
      <c r="Q2625" s="82"/>
      <c r="R2625" s="82"/>
      <c r="S2625" s="82"/>
      <c r="T2625" s="82"/>
      <c r="U2625" s="82"/>
      <c r="V2625" s="82"/>
      <c r="W2625" s="82"/>
      <c r="X2625" s="82"/>
      <c r="Y2625" s="82"/>
      <c r="Z2625" s="82"/>
      <c r="AA2625" s="82"/>
      <c r="AB2625" s="82"/>
      <c r="AC2625" s="82"/>
      <c r="AD2625" s="82"/>
      <c r="AE2625" s="82"/>
      <c r="AF2625" s="82"/>
      <c r="AG2625" s="82"/>
      <c r="AH2625" s="82"/>
      <c r="AI2625" s="82"/>
      <c r="AJ2625" s="82"/>
      <c r="AK2625" s="82"/>
      <c r="AL2625" s="82"/>
      <c r="AM2625" s="82"/>
      <c r="AN2625" s="82"/>
      <c r="AO2625" s="82"/>
      <c r="AP2625" s="82"/>
      <c r="AQ2625" s="82"/>
      <c r="AR2625" s="82"/>
      <c r="AS2625" s="82"/>
      <c r="AT2625" s="82"/>
      <c r="AU2625" s="82"/>
      <c r="AV2625" s="82"/>
      <c r="AW2625" s="82" t="str">
        <f t="shared" si="1"/>
        <v/>
      </c>
      <c r="AX2625" s="83" t="str">
        <f t="array" ref="AX2625">IFERROR(DGET('SBV Import'!A:G,"SBV",{"RSC ID","Tier";B2625,A2625}))</f>
        <v/>
      </c>
      <c r="AY2625" s="82" t="str">
        <f t="shared" si="2"/>
        <v/>
      </c>
      <c r="AZ2625" s="82"/>
      <c r="BA2625" s="84" t="s">
        <v>152</v>
      </c>
      <c r="BB2625" s="84" t="str">
        <f>IFERROR(__xludf.DUMMYFUNCTION("iferror(if(A2625="""",,E2625&gt;=FILTER(Constants!$F$2:$F$10,Constants!$A$2:$A$10=A2625)))"),"")</f>
        <v/>
      </c>
    </row>
    <row r="2626">
      <c r="A2626" s="89"/>
      <c r="B2626" s="87"/>
      <c r="C2626" s="73"/>
      <c r="D2626" s="73"/>
      <c r="E2626" s="82"/>
      <c r="F2626" s="82"/>
      <c r="G2626" s="86"/>
      <c r="H2626" s="86"/>
      <c r="I2626" s="86"/>
      <c r="J2626" s="82"/>
      <c r="K2626" s="82"/>
      <c r="L2626" s="82"/>
      <c r="M2626" s="82"/>
      <c r="N2626" s="82"/>
      <c r="O2626" s="82"/>
      <c r="P2626" s="82"/>
      <c r="Q2626" s="82"/>
      <c r="R2626" s="82"/>
      <c r="S2626" s="82"/>
      <c r="T2626" s="82"/>
      <c r="U2626" s="82"/>
      <c r="V2626" s="82"/>
      <c r="W2626" s="82"/>
      <c r="X2626" s="82"/>
      <c r="Y2626" s="82"/>
      <c r="Z2626" s="82"/>
      <c r="AA2626" s="82"/>
      <c r="AB2626" s="82"/>
      <c r="AC2626" s="82"/>
      <c r="AD2626" s="82"/>
      <c r="AE2626" s="82"/>
      <c r="AF2626" s="82"/>
      <c r="AG2626" s="82"/>
      <c r="AH2626" s="82"/>
      <c r="AI2626" s="82"/>
      <c r="AJ2626" s="82"/>
      <c r="AK2626" s="82"/>
      <c r="AL2626" s="82"/>
      <c r="AM2626" s="82"/>
      <c r="AN2626" s="82"/>
      <c r="AO2626" s="82"/>
      <c r="AP2626" s="82"/>
      <c r="AQ2626" s="82"/>
      <c r="AR2626" s="82"/>
      <c r="AS2626" s="82"/>
      <c r="AT2626" s="82"/>
      <c r="AU2626" s="82"/>
      <c r="AV2626" s="82"/>
      <c r="AW2626" s="82" t="str">
        <f t="shared" si="1"/>
        <v/>
      </c>
      <c r="AX2626" s="83" t="str">
        <f t="array" ref="AX2626">IFERROR(DGET('SBV Import'!A:G,"SBV",{"RSC ID","Tier";B2626,A2626}))</f>
        <v/>
      </c>
      <c r="AY2626" s="82" t="str">
        <f t="shared" si="2"/>
        <v/>
      </c>
      <c r="AZ2626" s="82"/>
      <c r="BA2626" s="84" t="s">
        <v>152</v>
      </c>
      <c r="BB2626" s="84" t="str">
        <f>IFERROR(__xludf.DUMMYFUNCTION("iferror(if(A2626="""",,E2626&gt;=FILTER(Constants!$F$2:$F$10,Constants!$A$2:$A$10=A2626)))"),"")</f>
        <v/>
      </c>
    </row>
    <row r="2627">
      <c r="A2627" s="89"/>
      <c r="B2627" s="87"/>
      <c r="C2627" s="73"/>
      <c r="D2627" s="73"/>
      <c r="E2627" s="82"/>
      <c r="F2627" s="82"/>
      <c r="G2627" s="86"/>
      <c r="H2627" s="86"/>
      <c r="I2627" s="86"/>
      <c r="J2627" s="82"/>
      <c r="K2627" s="82"/>
      <c r="L2627" s="82"/>
      <c r="M2627" s="82"/>
      <c r="N2627" s="82"/>
      <c r="O2627" s="82"/>
      <c r="P2627" s="82"/>
      <c r="Q2627" s="82"/>
      <c r="R2627" s="82"/>
      <c r="S2627" s="82"/>
      <c r="T2627" s="82"/>
      <c r="U2627" s="82"/>
      <c r="V2627" s="82"/>
      <c r="W2627" s="82"/>
      <c r="X2627" s="82"/>
      <c r="Y2627" s="82"/>
      <c r="Z2627" s="82"/>
      <c r="AA2627" s="82"/>
      <c r="AB2627" s="82"/>
      <c r="AC2627" s="82"/>
      <c r="AD2627" s="82"/>
      <c r="AE2627" s="82"/>
      <c r="AF2627" s="82"/>
      <c r="AG2627" s="82"/>
      <c r="AH2627" s="82"/>
      <c r="AI2627" s="82"/>
      <c r="AJ2627" s="82"/>
      <c r="AK2627" s="82"/>
      <c r="AL2627" s="82"/>
      <c r="AM2627" s="82"/>
      <c r="AN2627" s="82"/>
      <c r="AO2627" s="82"/>
      <c r="AP2627" s="82"/>
      <c r="AQ2627" s="82"/>
      <c r="AR2627" s="82"/>
      <c r="AS2627" s="82"/>
      <c r="AT2627" s="82"/>
      <c r="AU2627" s="82"/>
      <c r="AV2627" s="82"/>
      <c r="AW2627" s="82" t="str">
        <f t="shared" si="1"/>
        <v/>
      </c>
      <c r="AX2627" s="83" t="str">
        <f t="array" ref="AX2627">IFERROR(DGET('SBV Import'!A:G,"SBV",{"RSC ID","Tier";B2627,A2627}))</f>
        <v/>
      </c>
      <c r="AY2627" s="82" t="str">
        <f t="shared" si="2"/>
        <v/>
      </c>
      <c r="AZ2627" s="82"/>
      <c r="BA2627" s="84" t="s">
        <v>152</v>
      </c>
      <c r="BB2627" s="84" t="str">
        <f>IFERROR(__xludf.DUMMYFUNCTION("iferror(if(A2627="""",,E2627&gt;=FILTER(Constants!$F$2:$F$10,Constants!$A$2:$A$10=A2627)))"),"")</f>
        <v/>
      </c>
    </row>
    <row r="2628">
      <c r="A2628" s="89"/>
      <c r="B2628" s="87"/>
      <c r="C2628" s="73"/>
      <c r="D2628" s="73"/>
      <c r="E2628" s="82"/>
      <c r="F2628" s="82"/>
      <c r="G2628" s="86"/>
      <c r="H2628" s="86"/>
      <c r="I2628" s="86"/>
      <c r="J2628" s="82"/>
      <c r="K2628" s="82"/>
      <c r="L2628" s="82"/>
      <c r="M2628" s="82"/>
      <c r="N2628" s="82"/>
      <c r="O2628" s="82"/>
      <c r="P2628" s="82"/>
      <c r="Q2628" s="82"/>
      <c r="R2628" s="82"/>
      <c r="S2628" s="82"/>
      <c r="T2628" s="82"/>
      <c r="U2628" s="82"/>
      <c r="V2628" s="82"/>
      <c r="W2628" s="82"/>
      <c r="X2628" s="82"/>
      <c r="Y2628" s="82"/>
      <c r="Z2628" s="82"/>
      <c r="AA2628" s="82"/>
      <c r="AB2628" s="82"/>
      <c r="AC2628" s="82"/>
      <c r="AD2628" s="82"/>
      <c r="AE2628" s="82"/>
      <c r="AF2628" s="82"/>
      <c r="AG2628" s="82"/>
      <c r="AH2628" s="82"/>
      <c r="AI2628" s="82"/>
      <c r="AJ2628" s="82"/>
      <c r="AK2628" s="82"/>
      <c r="AL2628" s="82"/>
      <c r="AM2628" s="82"/>
      <c r="AN2628" s="82"/>
      <c r="AO2628" s="82"/>
      <c r="AP2628" s="82"/>
      <c r="AQ2628" s="82"/>
      <c r="AR2628" s="82"/>
      <c r="AS2628" s="82"/>
      <c r="AT2628" s="82"/>
      <c r="AU2628" s="82"/>
      <c r="AV2628" s="82"/>
      <c r="AW2628" s="82" t="str">
        <f t="shared" si="1"/>
        <v/>
      </c>
      <c r="AX2628" s="83" t="str">
        <f t="array" ref="AX2628">IFERROR(DGET('SBV Import'!A:G,"SBV",{"RSC ID","Tier";B2628,A2628}))</f>
        <v/>
      </c>
      <c r="AY2628" s="82" t="str">
        <f t="shared" si="2"/>
        <v/>
      </c>
      <c r="AZ2628" s="82"/>
      <c r="BA2628" s="84" t="s">
        <v>152</v>
      </c>
      <c r="BB2628" s="84" t="str">
        <f>IFERROR(__xludf.DUMMYFUNCTION("iferror(if(A2628="""",,E2628&gt;=FILTER(Constants!$F$2:$F$10,Constants!$A$2:$A$10=A2628)))"),"")</f>
        <v/>
      </c>
    </row>
    <row r="2629">
      <c r="A2629" s="89"/>
      <c r="B2629" s="87"/>
      <c r="C2629" s="73"/>
      <c r="D2629" s="73"/>
      <c r="E2629" s="82"/>
      <c r="F2629" s="82"/>
      <c r="G2629" s="86"/>
      <c r="H2629" s="86"/>
      <c r="I2629" s="86"/>
      <c r="J2629" s="82"/>
      <c r="K2629" s="82"/>
      <c r="L2629" s="82"/>
      <c r="M2629" s="82"/>
      <c r="N2629" s="82"/>
      <c r="O2629" s="82"/>
      <c r="P2629" s="82"/>
      <c r="Q2629" s="82"/>
      <c r="R2629" s="82"/>
      <c r="S2629" s="82"/>
      <c r="T2629" s="82"/>
      <c r="U2629" s="82"/>
      <c r="V2629" s="82"/>
      <c r="W2629" s="82"/>
      <c r="X2629" s="82"/>
      <c r="Y2629" s="82"/>
      <c r="Z2629" s="82"/>
      <c r="AA2629" s="82"/>
      <c r="AB2629" s="82"/>
      <c r="AC2629" s="82"/>
      <c r="AD2629" s="82"/>
      <c r="AE2629" s="82"/>
      <c r="AF2629" s="82"/>
      <c r="AG2629" s="82"/>
      <c r="AH2629" s="82"/>
      <c r="AI2629" s="82"/>
      <c r="AJ2629" s="82"/>
      <c r="AK2629" s="82"/>
      <c r="AL2629" s="82"/>
      <c r="AM2629" s="82"/>
      <c r="AN2629" s="82"/>
      <c r="AO2629" s="82"/>
      <c r="AP2629" s="82"/>
      <c r="AQ2629" s="82"/>
      <c r="AR2629" s="82"/>
      <c r="AS2629" s="82"/>
      <c r="AT2629" s="82"/>
      <c r="AU2629" s="82"/>
      <c r="AV2629" s="82"/>
      <c r="AW2629" s="82" t="str">
        <f t="shared" si="1"/>
        <v/>
      </c>
      <c r="AX2629" s="83" t="str">
        <f t="array" ref="AX2629">IFERROR(DGET('SBV Import'!A:G,"SBV",{"RSC ID","Tier";B2629,A2629}))</f>
        <v/>
      </c>
      <c r="AY2629" s="82" t="str">
        <f t="shared" si="2"/>
        <v/>
      </c>
      <c r="AZ2629" s="82"/>
      <c r="BA2629" s="84" t="s">
        <v>152</v>
      </c>
      <c r="BB2629" s="84" t="str">
        <f>IFERROR(__xludf.DUMMYFUNCTION("iferror(if(A2629="""",,E2629&gt;=FILTER(Constants!$F$2:$F$10,Constants!$A$2:$A$10=A2629)))"),"")</f>
        <v/>
      </c>
    </row>
    <row r="2630">
      <c r="A2630" s="89"/>
      <c r="B2630" s="87"/>
      <c r="C2630" s="73"/>
      <c r="D2630" s="73"/>
      <c r="E2630" s="82"/>
      <c r="F2630" s="82"/>
      <c r="G2630" s="86"/>
      <c r="H2630" s="86"/>
      <c r="I2630" s="86"/>
      <c r="J2630" s="82"/>
      <c r="K2630" s="82"/>
      <c r="L2630" s="82"/>
      <c r="M2630" s="82"/>
      <c r="N2630" s="82"/>
      <c r="O2630" s="82"/>
      <c r="P2630" s="82"/>
      <c r="Q2630" s="82"/>
      <c r="R2630" s="82"/>
      <c r="S2630" s="82"/>
      <c r="T2630" s="82"/>
      <c r="U2630" s="82"/>
      <c r="V2630" s="82"/>
      <c r="W2630" s="82"/>
      <c r="X2630" s="82"/>
      <c r="Y2630" s="82"/>
      <c r="Z2630" s="82"/>
      <c r="AA2630" s="82"/>
      <c r="AB2630" s="82"/>
      <c r="AC2630" s="82"/>
      <c r="AD2630" s="82"/>
      <c r="AE2630" s="82"/>
      <c r="AF2630" s="82"/>
      <c r="AG2630" s="82"/>
      <c r="AH2630" s="82"/>
      <c r="AI2630" s="82"/>
      <c r="AJ2630" s="82"/>
      <c r="AK2630" s="82"/>
      <c r="AL2630" s="82"/>
      <c r="AM2630" s="82"/>
      <c r="AN2630" s="82"/>
      <c r="AO2630" s="82"/>
      <c r="AP2630" s="82"/>
      <c r="AQ2630" s="82"/>
      <c r="AR2630" s="82"/>
      <c r="AS2630" s="82"/>
      <c r="AT2630" s="82"/>
      <c r="AU2630" s="82"/>
      <c r="AV2630" s="82"/>
      <c r="AW2630" s="82" t="str">
        <f t="shared" si="1"/>
        <v/>
      </c>
      <c r="AX2630" s="83" t="str">
        <f t="array" ref="AX2630">IFERROR(DGET('SBV Import'!A:G,"SBV",{"RSC ID","Tier";B2630,A2630}))</f>
        <v/>
      </c>
      <c r="AY2630" s="82" t="str">
        <f t="shared" si="2"/>
        <v/>
      </c>
      <c r="AZ2630" s="82"/>
      <c r="BA2630" s="84" t="s">
        <v>152</v>
      </c>
      <c r="BB2630" s="84" t="str">
        <f>IFERROR(__xludf.DUMMYFUNCTION("iferror(if(A2630="""",,E2630&gt;=FILTER(Constants!$F$2:$F$10,Constants!$A$2:$A$10=A2630)))"),"")</f>
        <v/>
      </c>
    </row>
    <row r="2631">
      <c r="A2631" s="89"/>
      <c r="B2631" s="87"/>
      <c r="C2631" s="73"/>
      <c r="D2631" s="73"/>
      <c r="E2631" s="82"/>
      <c r="F2631" s="82"/>
      <c r="G2631" s="86"/>
      <c r="H2631" s="86"/>
      <c r="I2631" s="86"/>
      <c r="J2631" s="82"/>
      <c r="K2631" s="82"/>
      <c r="L2631" s="82"/>
      <c r="M2631" s="82"/>
      <c r="N2631" s="82"/>
      <c r="O2631" s="82"/>
      <c r="P2631" s="82"/>
      <c r="Q2631" s="82"/>
      <c r="R2631" s="82"/>
      <c r="S2631" s="82"/>
      <c r="T2631" s="82"/>
      <c r="U2631" s="82"/>
      <c r="V2631" s="82"/>
      <c r="W2631" s="82"/>
      <c r="X2631" s="82"/>
      <c r="Y2631" s="82"/>
      <c r="Z2631" s="82"/>
      <c r="AA2631" s="82"/>
      <c r="AB2631" s="82"/>
      <c r="AC2631" s="82"/>
      <c r="AD2631" s="82"/>
      <c r="AE2631" s="82"/>
      <c r="AF2631" s="82"/>
      <c r="AG2631" s="82"/>
      <c r="AH2631" s="82"/>
      <c r="AI2631" s="82"/>
      <c r="AJ2631" s="82"/>
      <c r="AK2631" s="82"/>
      <c r="AL2631" s="82"/>
      <c r="AM2631" s="82"/>
      <c r="AN2631" s="82"/>
      <c r="AO2631" s="82"/>
      <c r="AP2631" s="82"/>
      <c r="AQ2631" s="82"/>
      <c r="AR2631" s="82"/>
      <c r="AS2631" s="82"/>
      <c r="AT2631" s="82"/>
      <c r="AU2631" s="82"/>
      <c r="AV2631" s="82"/>
      <c r="AW2631" s="82" t="str">
        <f t="shared" si="1"/>
        <v/>
      </c>
      <c r="AX2631" s="83" t="str">
        <f t="array" ref="AX2631">IFERROR(DGET('SBV Import'!A:G,"SBV",{"RSC ID","Tier";B2631,A2631}))</f>
        <v/>
      </c>
      <c r="AY2631" s="82" t="str">
        <f t="shared" si="2"/>
        <v/>
      </c>
      <c r="AZ2631" s="82"/>
      <c r="BA2631" s="84" t="s">
        <v>152</v>
      </c>
      <c r="BB2631" s="84" t="str">
        <f>IFERROR(__xludf.DUMMYFUNCTION("iferror(if(A2631="""",,E2631&gt;=FILTER(Constants!$F$2:$F$10,Constants!$A$2:$A$10=A2631)))"),"")</f>
        <v/>
      </c>
    </row>
    <row r="2632">
      <c r="A2632" s="89"/>
      <c r="B2632" s="87"/>
      <c r="C2632" s="73"/>
      <c r="D2632" s="73"/>
      <c r="E2632" s="82"/>
      <c r="F2632" s="82"/>
      <c r="G2632" s="86"/>
      <c r="H2632" s="86"/>
      <c r="I2632" s="86"/>
      <c r="J2632" s="82"/>
      <c r="K2632" s="82"/>
      <c r="L2632" s="82"/>
      <c r="M2632" s="82"/>
      <c r="N2632" s="82"/>
      <c r="O2632" s="82"/>
      <c r="P2632" s="82"/>
      <c r="Q2632" s="82"/>
      <c r="R2632" s="82"/>
      <c r="S2632" s="82"/>
      <c r="T2632" s="82"/>
      <c r="U2632" s="82"/>
      <c r="V2632" s="82"/>
      <c r="W2632" s="82"/>
      <c r="X2632" s="82"/>
      <c r="Y2632" s="82"/>
      <c r="Z2632" s="82"/>
      <c r="AA2632" s="82"/>
      <c r="AB2632" s="82"/>
      <c r="AC2632" s="82"/>
      <c r="AD2632" s="82"/>
      <c r="AE2632" s="82"/>
      <c r="AF2632" s="82"/>
      <c r="AG2632" s="82"/>
      <c r="AH2632" s="82"/>
      <c r="AI2632" s="82"/>
      <c r="AJ2632" s="82"/>
      <c r="AK2632" s="82"/>
      <c r="AL2632" s="82"/>
      <c r="AM2632" s="82"/>
      <c r="AN2632" s="82"/>
      <c r="AO2632" s="82"/>
      <c r="AP2632" s="82"/>
      <c r="AQ2632" s="82"/>
      <c r="AR2632" s="82"/>
      <c r="AS2632" s="82"/>
      <c r="AT2632" s="82"/>
      <c r="AU2632" s="82"/>
      <c r="AV2632" s="82"/>
      <c r="AW2632" s="82" t="str">
        <f t="shared" si="1"/>
        <v/>
      </c>
      <c r="AX2632" s="83" t="str">
        <f t="array" ref="AX2632">IFERROR(DGET('SBV Import'!A:G,"SBV",{"RSC ID","Tier";B2632,A2632}))</f>
        <v/>
      </c>
      <c r="AY2632" s="82" t="str">
        <f t="shared" si="2"/>
        <v/>
      </c>
      <c r="AZ2632" s="82"/>
      <c r="BA2632" s="84" t="s">
        <v>152</v>
      </c>
      <c r="BB2632" s="84" t="str">
        <f>IFERROR(__xludf.DUMMYFUNCTION("iferror(if(A2632="""",,E2632&gt;=FILTER(Constants!$F$2:$F$10,Constants!$A$2:$A$10=A2632)))"),"")</f>
        <v/>
      </c>
    </row>
    <row r="2633">
      <c r="A2633" s="89"/>
      <c r="B2633" s="87"/>
      <c r="C2633" s="73"/>
      <c r="D2633" s="73"/>
      <c r="E2633" s="82"/>
      <c r="F2633" s="82"/>
      <c r="G2633" s="86"/>
      <c r="H2633" s="86"/>
      <c r="I2633" s="86"/>
      <c r="J2633" s="82"/>
      <c r="K2633" s="82"/>
      <c r="L2633" s="82"/>
      <c r="M2633" s="82"/>
      <c r="N2633" s="82"/>
      <c r="O2633" s="82"/>
      <c r="P2633" s="82"/>
      <c r="Q2633" s="82"/>
      <c r="R2633" s="82"/>
      <c r="S2633" s="82"/>
      <c r="T2633" s="82"/>
      <c r="U2633" s="82"/>
      <c r="V2633" s="82"/>
      <c r="W2633" s="82"/>
      <c r="X2633" s="82"/>
      <c r="Y2633" s="82"/>
      <c r="Z2633" s="82"/>
      <c r="AA2633" s="82"/>
      <c r="AB2633" s="82"/>
      <c r="AC2633" s="82"/>
      <c r="AD2633" s="82"/>
      <c r="AE2633" s="82"/>
      <c r="AF2633" s="82"/>
      <c r="AG2633" s="82"/>
      <c r="AH2633" s="82"/>
      <c r="AI2633" s="82"/>
      <c r="AJ2633" s="82"/>
      <c r="AK2633" s="82"/>
      <c r="AL2633" s="82"/>
      <c r="AM2633" s="82"/>
      <c r="AN2633" s="82"/>
      <c r="AO2633" s="82"/>
      <c r="AP2633" s="82"/>
      <c r="AQ2633" s="82"/>
      <c r="AR2633" s="82"/>
      <c r="AS2633" s="82"/>
      <c r="AT2633" s="82"/>
      <c r="AU2633" s="82"/>
      <c r="AV2633" s="82"/>
      <c r="AW2633" s="82" t="str">
        <f t="shared" si="1"/>
        <v/>
      </c>
      <c r="AX2633" s="83" t="str">
        <f t="array" ref="AX2633">IFERROR(DGET('SBV Import'!A:G,"SBV",{"RSC ID","Tier";B2633,A2633}))</f>
        <v/>
      </c>
      <c r="AY2633" s="82" t="str">
        <f t="shared" si="2"/>
        <v/>
      </c>
      <c r="AZ2633" s="82"/>
      <c r="BA2633" s="84" t="s">
        <v>152</v>
      </c>
      <c r="BB2633" s="84" t="str">
        <f>IFERROR(__xludf.DUMMYFUNCTION("iferror(if(A2633="""",,E2633&gt;=FILTER(Constants!$F$2:$F$10,Constants!$A$2:$A$10=A2633)))"),"")</f>
        <v/>
      </c>
    </row>
    <row r="2634">
      <c r="A2634" s="89"/>
      <c r="B2634" s="87"/>
      <c r="C2634" s="73"/>
      <c r="D2634" s="73"/>
      <c r="E2634" s="82"/>
      <c r="F2634" s="82"/>
      <c r="G2634" s="86"/>
      <c r="H2634" s="86"/>
      <c r="I2634" s="86"/>
      <c r="J2634" s="82"/>
      <c r="K2634" s="82"/>
      <c r="L2634" s="82"/>
      <c r="M2634" s="82"/>
      <c r="N2634" s="82"/>
      <c r="O2634" s="82"/>
      <c r="P2634" s="82"/>
      <c r="Q2634" s="82"/>
      <c r="R2634" s="82"/>
      <c r="S2634" s="82"/>
      <c r="T2634" s="82"/>
      <c r="U2634" s="82"/>
      <c r="V2634" s="82"/>
      <c r="W2634" s="82"/>
      <c r="X2634" s="82"/>
      <c r="Y2634" s="82"/>
      <c r="Z2634" s="82"/>
      <c r="AA2634" s="82"/>
      <c r="AB2634" s="82"/>
      <c r="AC2634" s="82"/>
      <c r="AD2634" s="82"/>
      <c r="AE2634" s="82"/>
      <c r="AF2634" s="82"/>
      <c r="AG2634" s="82"/>
      <c r="AH2634" s="82"/>
      <c r="AI2634" s="82"/>
      <c r="AJ2634" s="82"/>
      <c r="AK2634" s="82"/>
      <c r="AL2634" s="82"/>
      <c r="AM2634" s="82"/>
      <c r="AN2634" s="82"/>
      <c r="AO2634" s="82"/>
      <c r="AP2634" s="82"/>
      <c r="AQ2634" s="82"/>
      <c r="AR2634" s="82"/>
      <c r="AS2634" s="82"/>
      <c r="AT2634" s="82"/>
      <c r="AU2634" s="82"/>
      <c r="AV2634" s="82"/>
      <c r="AW2634" s="82" t="str">
        <f t="shared" si="1"/>
        <v/>
      </c>
      <c r="AX2634" s="83" t="str">
        <f t="array" ref="AX2634">IFERROR(DGET('SBV Import'!A:G,"SBV",{"RSC ID","Tier";B2634,A2634}))</f>
        <v/>
      </c>
      <c r="AY2634" s="82" t="str">
        <f t="shared" si="2"/>
        <v/>
      </c>
      <c r="AZ2634" s="82"/>
      <c r="BA2634" s="84" t="s">
        <v>152</v>
      </c>
      <c r="BB2634" s="84" t="str">
        <f>IFERROR(__xludf.DUMMYFUNCTION("iferror(if(A2634="""",,E2634&gt;=FILTER(Constants!$F$2:$F$10,Constants!$A$2:$A$10=A2634)))"),"")</f>
        <v/>
      </c>
    </row>
    <row r="2635">
      <c r="A2635" s="89"/>
      <c r="B2635" s="87"/>
      <c r="C2635" s="73"/>
      <c r="D2635" s="73"/>
      <c r="E2635" s="82"/>
      <c r="F2635" s="82"/>
      <c r="G2635" s="86"/>
      <c r="H2635" s="86"/>
      <c r="I2635" s="86"/>
      <c r="J2635" s="82"/>
      <c r="K2635" s="82"/>
      <c r="L2635" s="82"/>
      <c r="M2635" s="82"/>
      <c r="N2635" s="82"/>
      <c r="O2635" s="82"/>
      <c r="P2635" s="82"/>
      <c r="Q2635" s="82"/>
      <c r="R2635" s="82"/>
      <c r="S2635" s="82"/>
      <c r="T2635" s="82"/>
      <c r="U2635" s="82"/>
      <c r="V2635" s="82"/>
      <c r="W2635" s="82"/>
      <c r="X2635" s="82"/>
      <c r="Y2635" s="82"/>
      <c r="Z2635" s="82"/>
      <c r="AA2635" s="82"/>
      <c r="AB2635" s="82"/>
      <c r="AC2635" s="82"/>
      <c r="AD2635" s="82"/>
      <c r="AE2635" s="82"/>
      <c r="AF2635" s="82"/>
      <c r="AG2635" s="82"/>
      <c r="AH2635" s="82"/>
      <c r="AI2635" s="82"/>
      <c r="AJ2635" s="82"/>
      <c r="AK2635" s="82"/>
      <c r="AL2635" s="82"/>
      <c r="AM2635" s="82"/>
      <c r="AN2635" s="82"/>
      <c r="AO2635" s="82"/>
      <c r="AP2635" s="82"/>
      <c r="AQ2635" s="82"/>
      <c r="AR2635" s="82"/>
      <c r="AS2635" s="82"/>
      <c r="AT2635" s="82"/>
      <c r="AU2635" s="82"/>
      <c r="AV2635" s="82"/>
      <c r="AW2635" s="82" t="str">
        <f t="shared" si="1"/>
        <v/>
      </c>
      <c r="AX2635" s="83" t="str">
        <f t="array" ref="AX2635">IFERROR(DGET('SBV Import'!A:G,"SBV",{"RSC ID","Tier";B2635,A2635}))</f>
        <v/>
      </c>
      <c r="AY2635" s="82" t="str">
        <f t="shared" si="2"/>
        <v/>
      </c>
      <c r="AZ2635" s="82"/>
      <c r="BA2635" s="84" t="s">
        <v>152</v>
      </c>
      <c r="BB2635" s="84" t="str">
        <f>IFERROR(__xludf.DUMMYFUNCTION("iferror(if(A2635="""",,E2635&gt;=FILTER(Constants!$F$2:$F$10,Constants!$A$2:$A$10=A2635)))"),"")</f>
        <v/>
      </c>
    </row>
    <row r="2636">
      <c r="A2636" s="89"/>
      <c r="B2636" s="87"/>
      <c r="C2636" s="73"/>
      <c r="D2636" s="73"/>
      <c r="E2636" s="82"/>
      <c r="F2636" s="82"/>
      <c r="G2636" s="86"/>
      <c r="H2636" s="86"/>
      <c r="I2636" s="86"/>
      <c r="J2636" s="82"/>
      <c r="K2636" s="82"/>
      <c r="L2636" s="82"/>
      <c r="M2636" s="82"/>
      <c r="N2636" s="82"/>
      <c r="O2636" s="82"/>
      <c r="P2636" s="82"/>
      <c r="Q2636" s="82"/>
      <c r="R2636" s="82"/>
      <c r="S2636" s="82"/>
      <c r="T2636" s="82"/>
      <c r="U2636" s="82"/>
      <c r="V2636" s="82"/>
      <c r="W2636" s="82"/>
      <c r="X2636" s="82"/>
      <c r="Y2636" s="82"/>
      <c r="Z2636" s="82"/>
      <c r="AA2636" s="82"/>
      <c r="AB2636" s="82"/>
      <c r="AC2636" s="82"/>
      <c r="AD2636" s="82"/>
      <c r="AE2636" s="82"/>
      <c r="AF2636" s="82"/>
      <c r="AG2636" s="82"/>
      <c r="AH2636" s="82"/>
      <c r="AI2636" s="82"/>
      <c r="AJ2636" s="82"/>
      <c r="AK2636" s="82"/>
      <c r="AL2636" s="82"/>
      <c r="AM2636" s="82"/>
      <c r="AN2636" s="82"/>
      <c r="AO2636" s="82"/>
      <c r="AP2636" s="82"/>
      <c r="AQ2636" s="82"/>
      <c r="AR2636" s="82"/>
      <c r="AS2636" s="82"/>
      <c r="AT2636" s="82"/>
      <c r="AU2636" s="82"/>
      <c r="AV2636" s="82"/>
      <c r="AW2636" s="82" t="str">
        <f t="shared" si="1"/>
        <v/>
      </c>
      <c r="AX2636" s="83" t="str">
        <f t="array" ref="AX2636">IFERROR(DGET('SBV Import'!A:G,"SBV",{"RSC ID","Tier";B2636,A2636}))</f>
        <v/>
      </c>
      <c r="AY2636" s="82" t="str">
        <f t="shared" si="2"/>
        <v/>
      </c>
      <c r="AZ2636" s="82"/>
      <c r="BA2636" s="84" t="s">
        <v>152</v>
      </c>
      <c r="BB2636" s="84" t="str">
        <f>IFERROR(__xludf.DUMMYFUNCTION("iferror(if(A2636="""",,E2636&gt;=FILTER(Constants!$F$2:$F$10,Constants!$A$2:$A$10=A2636)))"),"")</f>
        <v/>
      </c>
    </row>
    <row r="2637">
      <c r="A2637" s="89"/>
      <c r="B2637" s="87"/>
      <c r="C2637" s="73"/>
      <c r="D2637" s="73"/>
      <c r="E2637" s="82"/>
      <c r="F2637" s="82"/>
      <c r="G2637" s="86"/>
      <c r="H2637" s="86"/>
      <c r="I2637" s="86"/>
      <c r="J2637" s="82"/>
      <c r="K2637" s="82"/>
      <c r="L2637" s="82"/>
      <c r="M2637" s="82"/>
      <c r="N2637" s="82"/>
      <c r="O2637" s="82"/>
      <c r="P2637" s="82"/>
      <c r="Q2637" s="82"/>
      <c r="R2637" s="82"/>
      <c r="S2637" s="82"/>
      <c r="T2637" s="82"/>
      <c r="U2637" s="82"/>
      <c r="V2637" s="82"/>
      <c r="W2637" s="82"/>
      <c r="X2637" s="82"/>
      <c r="Y2637" s="82"/>
      <c r="Z2637" s="82"/>
      <c r="AA2637" s="82"/>
      <c r="AB2637" s="82"/>
      <c r="AC2637" s="82"/>
      <c r="AD2637" s="82"/>
      <c r="AE2637" s="82"/>
      <c r="AF2637" s="82"/>
      <c r="AG2637" s="82"/>
      <c r="AH2637" s="82"/>
      <c r="AI2637" s="82"/>
      <c r="AJ2637" s="82"/>
      <c r="AK2637" s="82"/>
      <c r="AL2637" s="82"/>
      <c r="AM2637" s="82"/>
      <c r="AN2637" s="82"/>
      <c r="AO2637" s="82"/>
      <c r="AP2637" s="82"/>
      <c r="AQ2637" s="82"/>
      <c r="AR2637" s="82"/>
      <c r="AS2637" s="82"/>
      <c r="AT2637" s="82"/>
      <c r="AU2637" s="82"/>
      <c r="AV2637" s="82"/>
      <c r="AW2637" s="82" t="str">
        <f t="shared" si="1"/>
        <v/>
      </c>
      <c r="AX2637" s="83" t="str">
        <f t="array" ref="AX2637">IFERROR(DGET('SBV Import'!A:G,"SBV",{"RSC ID","Tier";B2637,A2637}))</f>
        <v/>
      </c>
      <c r="AY2637" s="82" t="str">
        <f t="shared" si="2"/>
        <v/>
      </c>
      <c r="AZ2637" s="82"/>
      <c r="BA2637" s="84" t="s">
        <v>152</v>
      </c>
      <c r="BB2637" s="84" t="str">
        <f>IFERROR(__xludf.DUMMYFUNCTION("iferror(if(A2637="""",,E2637&gt;=FILTER(Constants!$F$2:$F$10,Constants!$A$2:$A$10=A2637)))"),"")</f>
        <v/>
      </c>
    </row>
    <row r="2638">
      <c r="A2638" s="89"/>
      <c r="B2638" s="87"/>
      <c r="C2638" s="73"/>
      <c r="D2638" s="73"/>
      <c r="E2638" s="82"/>
      <c r="F2638" s="82"/>
      <c r="G2638" s="86"/>
      <c r="H2638" s="86"/>
      <c r="I2638" s="86"/>
      <c r="J2638" s="82"/>
      <c r="K2638" s="82"/>
      <c r="L2638" s="82"/>
      <c r="M2638" s="82"/>
      <c r="N2638" s="82"/>
      <c r="O2638" s="82"/>
      <c r="P2638" s="82"/>
      <c r="Q2638" s="82"/>
      <c r="R2638" s="82"/>
      <c r="S2638" s="82"/>
      <c r="T2638" s="82"/>
      <c r="U2638" s="82"/>
      <c r="V2638" s="82"/>
      <c r="W2638" s="82"/>
      <c r="X2638" s="82"/>
      <c r="Y2638" s="82"/>
      <c r="Z2638" s="82"/>
      <c r="AA2638" s="82"/>
      <c r="AB2638" s="82"/>
      <c r="AC2638" s="82"/>
      <c r="AD2638" s="82"/>
      <c r="AE2638" s="82"/>
      <c r="AF2638" s="82"/>
      <c r="AG2638" s="82"/>
      <c r="AH2638" s="82"/>
      <c r="AI2638" s="82"/>
      <c r="AJ2638" s="82"/>
      <c r="AK2638" s="82"/>
      <c r="AL2638" s="82"/>
      <c r="AM2638" s="82"/>
      <c r="AN2638" s="82"/>
      <c r="AO2638" s="82"/>
      <c r="AP2638" s="82"/>
      <c r="AQ2638" s="82"/>
      <c r="AR2638" s="82"/>
      <c r="AS2638" s="82"/>
      <c r="AT2638" s="82"/>
      <c r="AU2638" s="82"/>
      <c r="AV2638" s="82"/>
      <c r="AW2638" s="82" t="str">
        <f t="shared" si="1"/>
        <v/>
      </c>
      <c r="AX2638" s="83" t="str">
        <f t="array" ref="AX2638">IFERROR(DGET('SBV Import'!A:G,"SBV",{"RSC ID","Tier";B2638,A2638}))</f>
        <v/>
      </c>
      <c r="AY2638" s="82" t="str">
        <f t="shared" si="2"/>
        <v/>
      </c>
      <c r="AZ2638" s="82"/>
      <c r="BA2638" s="84" t="s">
        <v>152</v>
      </c>
      <c r="BB2638" s="84" t="str">
        <f>IFERROR(__xludf.DUMMYFUNCTION("iferror(if(A2638="""",,E2638&gt;=FILTER(Constants!$F$2:$F$10,Constants!$A$2:$A$10=A2638)))"),"")</f>
        <v/>
      </c>
    </row>
    <row r="2639">
      <c r="A2639" s="89"/>
      <c r="B2639" s="87"/>
      <c r="C2639" s="73"/>
      <c r="D2639" s="73"/>
      <c r="E2639" s="82"/>
      <c r="F2639" s="82"/>
      <c r="G2639" s="86"/>
      <c r="H2639" s="86"/>
      <c r="I2639" s="86"/>
      <c r="J2639" s="82"/>
      <c r="K2639" s="82"/>
      <c r="L2639" s="82"/>
      <c r="M2639" s="82"/>
      <c r="N2639" s="82"/>
      <c r="O2639" s="82"/>
      <c r="P2639" s="82"/>
      <c r="Q2639" s="82"/>
      <c r="R2639" s="82"/>
      <c r="S2639" s="82"/>
      <c r="T2639" s="82"/>
      <c r="U2639" s="82"/>
      <c r="V2639" s="82"/>
      <c r="W2639" s="82"/>
      <c r="X2639" s="82"/>
      <c r="Y2639" s="82"/>
      <c r="Z2639" s="82"/>
      <c r="AA2639" s="82"/>
      <c r="AB2639" s="82"/>
      <c r="AC2639" s="82"/>
      <c r="AD2639" s="82"/>
      <c r="AE2639" s="82"/>
      <c r="AF2639" s="82"/>
      <c r="AG2639" s="82"/>
      <c r="AH2639" s="82"/>
      <c r="AI2639" s="82"/>
      <c r="AJ2639" s="82"/>
      <c r="AK2639" s="82"/>
      <c r="AL2639" s="82"/>
      <c r="AM2639" s="82"/>
      <c r="AN2639" s="82"/>
      <c r="AO2639" s="82"/>
      <c r="AP2639" s="82"/>
      <c r="AQ2639" s="82"/>
      <c r="AR2639" s="82"/>
      <c r="AS2639" s="82"/>
      <c r="AT2639" s="82"/>
      <c r="AU2639" s="82"/>
      <c r="AV2639" s="82"/>
      <c r="AW2639" s="82" t="str">
        <f t="shared" si="1"/>
        <v/>
      </c>
      <c r="AX2639" s="83" t="str">
        <f t="array" ref="AX2639">IFERROR(DGET('SBV Import'!A:G,"SBV",{"RSC ID","Tier";B2639,A2639}))</f>
        <v/>
      </c>
      <c r="AY2639" s="82" t="str">
        <f t="shared" si="2"/>
        <v/>
      </c>
      <c r="AZ2639" s="82"/>
      <c r="BA2639" s="84" t="s">
        <v>152</v>
      </c>
      <c r="BB2639" s="84" t="str">
        <f>IFERROR(__xludf.DUMMYFUNCTION("iferror(if(A2639="""",,E2639&gt;=FILTER(Constants!$F$2:$F$10,Constants!$A$2:$A$10=A2639)))"),"")</f>
        <v/>
      </c>
    </row>
    <row r="2640">
      <c r="A2640" s="89"/>
      <c r="B2640" s="87"/>
      <c r="C2640" s="73"/>
      <c r="D2640" s="73"/>
      <c r="E2640" s="82"/>
      <c r="F2640" s="82"/>
      <c r="G2640" s="86"/>
      <c r="H2640" s="86"/>
      <c r="I2640" s="86"/>
      <c r="J2640" s="82"/>
      <c r="K2640" s="82"/>
      <c r="L2640" s="82"/>
      <c r="M2640" s="82"/>
      <c r="N2640" s="82"/>
      <c r="O2640" s="82"/>
      <c r="P2640" s="82"/>
      <c r="Q2640" s="82"/>
      <c r="R2640" s="82"/>
      <c r="S2640" s="82"/>
      <c r="T2640" s="82"/>
      <c r="U2640" s="82"/>
      <c r="V2640" s="82"/>
      <c r="W2640" s="82"/>
      <c r="X2640" s="82"/>
      <c r="Y2640" s="82"/>
      <c r="Z2640" s="82"/>
      <c r="AA2640" s="82"/>
      <c r="AB2640" s="82"/>
      <c r="AC2640" s="82"/>
      <c r="AD2640" s="82"/>
      <c r="AE2640" s="82"/>
      <c r="AF2640" s="82"/>
      <c r="AG2640" s="82"/>
      <c r="AH2640" s="82"/>
      <c r="AI2640" s="82"/>
      <c r="AJ2640" s="82"/>
      <c r="AK2640" s="82"/>
      <c r="AL2640" s="82"/>
      <c r="AM2640" s="82"/>
      <c r="AN2640" s="82"/>
      <c r="AO2640" s="82"/>
      <c r="AP2640" s="82"/>
      <c r="AQ2640" s="82"/>
      <c r="AR2640" s="82"/>
      <c r="AS2640" s="82"/>
      <c r="AT2640" s="82"/>
      <c r="AU2640" s="82"/>
      <c r="AV2640" s="82"/>
      <c r="AW2640" s="82" t="str">
        <f t="shared" si="1"/>
        <v/>
      </c>
      <c r="AX2640" s="83" t="str">
        <f t="array" ref="AX2640">IFERROR(DGET('SBV Import'!A:G,"SBV",{"RSC ID","Tier";B2640,A2640}))</f>
        <v/>
      </c>
      <c r="AY2640" s="82" t="str">
        <f t="shared" si="2"/>
        <v/>
      </c>
      <c r="AZ2640" s="82"/>
      <c r="BA2640" s="84" t="s">
        <v>152</v>
      </c>
      <c r="BB2640" s="84" t="str">
        <f>IFERROR(__xludf.DUMMYFUNCTION("iferror(if(A2640="""",,E2640&gt;=FILTER(Constants!$F$2:$F$10,Constants!$A$2:$A$10=A2640)))"),"")</f>
        <v/>
      </c>
    </row>
    <row r="2641">
      <c r="A2641" s="89"/>
      <c r="B2641" s="87"/>
      <c r="C2641" s="73"/>
      <c r="D2641" s="73"/>
      <c r="E2641" s="82"/>
      <c r="F2641" s="82"/>
      <c r="G2641" s="86"/>
      <c r="H2641" s="86"/>
      <c r="I2641" s="86"/>
      <c r="J2641" s="82"/>
      <c r="K2641" s="82"/>
      <c r="L2641" s="82"/>
      <c r="M2641" s="82"/>
      <c r="N2641" s="82"/>
      <c r="O2641" s="82"/>
      <c r="P2641" s="82"/>
      <c r="Q2641" s="82"/>
      <c r="R2641" s="82"/>
      <c r="S2641" s="82"/>
      <c r="T2641" s="82"/>
      <c r="U2641" s="82"/>
      <c r="V2641" s="82"/>
      <c r="W2641" s="82"/>
      <c r="X2641" s="82"/>
      <c r="Y2641" s="82"/>
      <c r="Z2641" s="82"/>
      <c r="AA2641" s="82"/>
      <c r="AB2641" s="82"/>
      <c r="AC2641" s="82"/>
      <c r="AD2641" s="82"/>
      <c r="AE2641" s="82"/>
      <c r="AF2641" s="82"/>
      <c r="AG2641" s="82"/>
      <c r="AH2641" s="82"/>
      <c r="AI2641" s="82"/>
      <c r="AJ2641" s="82"/>
      <c r="AK2641" s="82"/>
      <c r="AL2641" s="82"/>
      <c r="AM2641" s="82"/>
      <c r="AN2641" s="82"/>
      <c r="AO2641" s="82"/>
      <c r="AP2641" s="82"/>
      <c r="AQ2641" s="82"/>
      <c r="AR2641" s="82"/>
      <c r="AS2641" s="82"/>
      <c r="AT2641" s="82"/>
      <c r="AU2641" s="82"/>
      <c r="AV2641" s="82"/>
      <c r="AW2641" s="82" t="str">
        <f t="shared" si="1"/>
        <v/>
      </c>
      <c r="AX2641" s="83" t="str">
        <f t="array" ref="AX2641">IFERROR(DGET('SBV Import'!A:G,"SBV",{"RSC ID","Tier";B2641,A2641}))</f>
        <v/>
      </c>
      <c r="AY2641" s="82" t="str">
        <f t="shared" si="2"/>
        <v/>
      </c>
      <c r="AZ2641" s="82"/>
      <c r="BA2641" s="84" t="s">
        <v>152</v>
      </c>
      <c r="BB2641" s="84" t="str">
        <f>IFERROR(__xludf.DUMMYFUNCTION("iferror(if(A2641="""",,E2641&gt;=FILTER(Constants!$F$2:$F$10,Constants!$A$2:$A$10=A2641)))"),"")</f>
        <v/>
      </c>
    </row>
    <row r="2642">
      <c r="A2642" s="89"/>
      <c r="B2642" s="87"/>
      <c r="C2642" s="73"/>
      <c r="D2642" s="73"/>
      <c r="E2642" s="82"/>
      <c r="F2642" s="82"/>
      <c r="G2642" s="86"/>
      <c r="H2642" s="86"/>
      <c r="I2642" s="86"/>
      <c r="J2642" s="82"/>
      <c r="K2642" s="82"/>
      <c r="L2642" s="82"/>
      <c r="M2642" s="82"/>
      <c r="N2642" s="82"/>
      <c r="O2642" s="82"/>
      <c r="P2642" s="82"/>
      <c r="Q2642" s="82"/>
      <c r="R2642" s="82"/>
      <c r="S2642" s="82"/>
      <c r="T2642" s="82"/>
      <c r="U2642" s="82"/>
      <c r="V2642" s="82"/>
      <c r="W2642" s="82"/>
      <c r="X2642" s="82"/>
      <c r="Y2642" s="82"/>
      <c r="Z2642" s="82"/>
      <c r="AA2642" s="82"/>
      <c r="AB2642" s="82"/>
      <c r="AC2642" s="82"/>
      <c r="AD2642" s="82"/>
      <c r="AE2642" s="82"/>
      <c r="AF2642" s="82"/>
      <c r="AG2642" s="82"/>
      <c r="AH2642" s="82"/>
      <c r="AI2642" s="82"/>
      <c r="AJ2642" s="82"/>
      <c r="AK2642" s="82"/>
      <c r="AL2642" s="82"/>
      <c r="AM2642" s="82"/>
      <c r="AN2642" s="82"/>
      <c r="AO2642" s="82"/>
      <c r="AP2642" s="82"/>
      <c r="AQ2642" s="82"/>
      <c r="AR2642" s="82"/>
      <c r="AS2642" s="82"/>
      <c r="AT2642" s="82"/>
      <c r="AU2642" s="82"/>
      <c r="AV2642" s="82"/>
      <c r="AW2642" s="82" t="str">
        <f t="shared" si="1"/>
        <v/>
      </c>
      <c r="AX2642" s="83" t="str">
        <f t="array" ref="AX2642">IFERROR(DGET('SBV Import'!A:G,"SBV",{"RSC ID","Tier";B2642,A2642}))</f>
        <v/>
      </c>
      <c r="AY2642" s="82" t="str">
        <f t="shared" si="2"/>
        <v/>
      </c>
      <c r="AZ2642" s="82"/>
      <c r="BA2642" s="84" t="s">
        <v>152</v>
      </c>
      <c r="BB2642" s="84" t="str">
        <f>IFERROR(__xludf.DUMMYFUNCTION("iferror(if(A2642="""",,E2642&gt;=FILTER(Constants!$F$2:$F$10,Constants!$A$2:$A$10=A2642)))"),"")</f>
        <v/>
      </c>
    </row>
    <row r="2643">
      <c r="A2643" s="89"/>
      <c r="B2643" s="87"/>
      <c r="C2643" s="73"/>
      <c r="D2643" s="73"/>
      <c r="E2643" s="82"/>
      <c r="F2643" s="82"/>
      <c r="G2643" s="86"/>
      <c r="H2643" s="86"/>
      <c r="I2643" s="86"/>
      <c r="J2643" s="82"/>
      <c r="K2643" s="82"/>
      <c r="L2643" s="82"/>
      <c r="M2643" s="82"/>
      <c r="N2643" s="82"/>
      <c r="O2643" s="82"/>
      <c r="P2643" s="82"/>
      <c r="Q2643" s="82"/>
      <c r="R2643" s="82"/>
      <c r="S2643" s="82"/>
      <c r="T2643" s="82"/>
      <c r="U2643" s="82"/>
      <c r="V2643" s="82"/>
      <c r="W2643" s="82"/>
      <c r="X2643" s="82"/>
      <c r="Y2643" s="82"/>
      <c r="Z2643" s="82"/>
      <c r="AA2643" s="82"/>
      <c r="AB2643" s="82"/>
      <c r="AC2643" s="82"/>
      <c r="AD2643" s="82"/>
      <c r="AE2643" s="82"/>
      <c r="AF2643" s="82"/>
      <c r="AG2643" s="82"/>
      <c r="AH2643" s="82"/>
      <c r="AI2643" s="82"/>
      <c r="AJ2643" s="82"/>
      <c r="AK2643" s="82"/>
      <c r="AL2643" s="82"/>
      <c r="AM2643" s="82"/>
      <c r="AN2643" s="82"/>
      <c r="AO2643" s="82"/>
      <c r="AP2643" s="82"/>
      <c r="AQ2643" s="82"/>
      <c r="AR2643" s="82"/>
      <c r="AS2643" s="82"/>
      <c r="AT2643" s="82"/>
      <c r="AU2643" s="82"/>
      <c r="AV2643" s="82"/>
      <c r="AW2643" s="82" t="str">
        <f t="shared" si="1"/>
        <v/>
      </c>
      <c r="AX2643" s="83" t="str">
        <f t="array" ref="AX2643">IFERROR(DGET('SBV Import'!A:G,"SBV",{"RSC ID","Tier";B2643,A2643}))</f>
        <v/>
      </c>
      <c r="AY2643" s="82" t="str">
        <f t="shared" si="2"/>
        <v/>
      </c>
      <c r="AZ2643" s="82"/>
      <c r="BA2643" s="84" t="s">
        <v>152</v>
      </c>
      <c r="BB2643" s="84" t="str">
        <f>IFERROR(__xludf.DUMMYFUNCTION("iferror(if(A2643="""",,E2643&gt;=FILTER(Constants!$F$2:$F$10,Constants!$A$2:$A$10=A2643)))"),"")</f>
        <v/>
      </c>
    </row>
    <row r="2644">
      <c r="A2644" s="89"/>
      <c r="B2644" s="87"/>
      <c r="C2644" s="73"/>
      <c r="D2644" s="73"/>
      <c r="E2644" s="82"/>
      <c r="F2644" s="82"/>
      <c r="G2644" s="86"/>
      <c r="H2644" s="86"/>
      <c r="I2644" s="86"/>
      <c r="J2644" s="82"/>
      <c r="K2644" s="82"/>
      <c r="L2644" s="82"/>
      <c r="M2644" s="82"/>
      <c r="N2644" s="82"/>
      <c r="O2644" s="82"/>
      <c r="P2644" s="82"/>
      <c r="Q2644" s="82"/>
      <c r="R2644" s="82"/>
      <c r="S2644" s="82"/>
      <c r="T2644" s="82"/>
      <c r="U2644" s="82"/>
      <c r="V2644" s="82"/>
      <c r="W2644" s="82"/>
      <c r="X2644" s="82"/>
      <c r="Y2644" s="82"/>
      <c r="Z2644" s="82"/>
      <c r="AA2644" s="82"/>
      <c r="AB2644" s="82"/>
      <c r="AC2644" s="82"/>
      <c r="AD2644" s="82"/>
      <c r="AE2644" s="82"/>
      <c r="AF2644" s="82"/>
      <c r="AG2644" s="82"/>
      <c r="AH2644" s="82"/>
      <c r="AI2644" s="82"/>
      <c r="AJ2644" s="82"/>
      <c r="AK2644" s="82"/>
      <c r="AL2644" s="82"/>
      <c r="AM2644" s="82"/>
      <c r="AN2644" s="82"/>
      <c r="AO2644" s="82"/>
      <c r="AP2644" s="82"/>
      <c r="AQ2644" s="82"/>
      <c r="AR2644" s="82"/>
      <c r="AS2644" s="82"/>
      <c r="AT2644" s="82"/>
      <c r="AU2644" s="82"/>
      <c r="AV2644" s="82"/>
      <c r="AW2644" s="82" t="str">
        <f t="shared" si="1"/>
        <v/>
      </c>
      <c r="AX2644" s="83" t="str">
        <f t="array" ref="AX2644">IFERROR(DGET('SBV Import'!A:G,"SBV",{"RSC ID","Tier";B2644,A2644}))</f>
        <v/>
      </c>
      <c r="AY2644" s="82" t="str">
        <f t="shared" si="2"/>
        <v/>
      </c>
      <c r="AZ2644" s="82"/>
      <c r="BA2644" s="84" t="s">
        <v>152</v>
      </c>
      <c r="BB2644" s="84" t="str">
        <f>IFERROR(__xludf.DUMMYFUNCTION("iferror(if(A2644="""",,E2644&gt;=FILTER(Constants!$F$2:$F$10,Constants!$A$2:$A$10=A2644)))"),"")</f>
        <v/>
      </c>
    </row>
    <row r="2645">
      <c r="A2645" s="89"/>
      <c r="B2645" s="87"/>
      <c r="C2645" s="73"/>
      <c r="D2645" s="73"/>
      <c r="E2645" s="82"/>
      <c r="F2645" s="82"/>
      <c r="G2645" s="86"/>
      <c r="H2645" s="86"/>
      <c r="I2645" s="86"/>
      <c r="J2645" s="82"/>
      <c r="K2645" s="82"/>
      <c r="L2645" s="82"/>
      <c r="M2645" s="82"/>
      <c r="N2645" s="82"/>
      <c r="O2645" s="82"/>
      <c r="P2645" s="82"/>
      <c r="Q2645" s="82"/>
      <c r="R2645" s="82"/>
      <c r="S2645" s="82"/>
      <c r="T2645" s="82"/>
      <c r="U2645" s="82"/>
      <c r="V2645" s="82"/>
      <c r="W2645" s="82"/>
      <c r="X2645" s="82"/>
      <c r="Y2645" s="82"/>
      <c r="Z2645" s="82"/>
      <c r="AA2645" s="82"/>
      <c r="AB2645" s="82"/>
      <c r="AC2645" s="82"/>
      <c r="AD2645" s="82"/>
      <c r="AE2645" s="82"/>
      <c r="AF2645" s="82"/>
      <c r="AG2645" s="82"/>
      <c r="AH2645" s="82"/>
      <c r="AI2645" s="82"/>
      <c r="AJ2645" s="82"/>
      <c r="AK2645" s="82"/>
      <c r="AL2645" s="82"/>
      <c r="AM2645" s="82"/>
      <c r="AN2645" s="82"/>
      <c r="AO2645" s="82"/>
      <c r="AP2645" s="82"/>
      <c r="AQ2645" s="82"/>
      <c r="AR2645" s="82"/>
      <c r="AS2645" s="82"/>
      <c r="AT2645" s="82"/>
      <c r="AU2645" s="82"/>
      <c r="AV2645" s="82"/>
      <c r="AW2645" s="82" t="str">
        <f t="shared" si="1"/>
        <v/>
      </c>
      <c r="AX2645" s="83" t="str">
        <f t="array" ref="AX2645">IFERROR(DGET('SBV Import'!A:G,"SBV",{"RSC ID","Tier";B2645,A2645}))</f>
        <v/>
      </c>
      <c r="AY2645" s="82" t="str">
        <f t="shared" si="2"/>
        <v/>
      </c>
      <c r="AZ2645" s="82"/>
      <c r="BA2645" s="84" t="s">
        <v>152</v>
      </c>
      <c r="BB2645" s="84" t="str">
        <f>IFERROR(__xludf.DUMMYFUNCTION("iferror(if(A2645="""",,E2645&gt;=FILTER(Constants!$F$2:$F$10,Constants!$A$2:$A$10=A2645)))"),"")</f>
        <v/>
      </c>
    </row>
    <row r="2646">
      <c r="A2646" s="89"/>
      <c r="B2646" s="87"/>
      <c r="C2646" s="73"/>
      <c r="D2646" s="73"/>
      <c r="E2646" s="82"/>
      <c r="F2646" s="82"/>
      <c r="G2646" s="86"/>
      <c r="H2646" s="86"/>
      <c r="I2646" s="86"/>
      <c r="J2646" s="82"/>
      <c r="K2646" s="82"/>
      <c r="L2646" s="82"/>
      <c r="M2646" s="82"/>
      <c r="N2646" s="82"/>
      <c r="O2646" s="82"/>
      <c r="P2646" s="82"/>
      <c r="Q2646" s="82"/>
      <c r="R2646" s="82"/>
      <c r="S2646" s="82"/>
      <c r="T2646" s="82"/>
      <c r="U2646" s="82"/>
      <c r="V2646" s="82"/>
      <c r="W2646" s="82"/>
      <c r="X2646" s="82"/>
      <c r="Y2646" s="82"/>
      <c r="Z2646" s="82"/>
      <c r="AA2646" s="82"/>
      <c r="AB2646" s="82"/>
      <c r="AC2646" s="82"/>
      <c r="AD2646" s="82"/>
      <c r="AE2646" s="82"/>
      <c r="AF2646" s="82"/>
      <c r="AG2646" s="82"/>
      <c r="AH2646" s="82"/>
      <c r="AI2646" s="82"/>
      <c r="AJ2646" s="82"/>
      <c r="AK2646" s="82"/>
      <c r="AL2646" s="82"/>
      <c r="AM2646" s="82"/>
      <c r="AN2646" s="82"/>
      <c r="AO2646" s="82"/>
      <c r="AP2646" s="82"/>
      <c r="AQ2646" s="82"/>
      <c r="AR2646" s="82"/>
      <c r="AS2646" s="82"/>
      <c r="AT2646" s="82"/>
      <c r="AU2646" s="82"/>
      <c r="AV2646" s="82"/>
      <c r="AW2646" s="82" t="str">
        <f t="shared" si="1"/>
        <v/>
      </c>
      <c r="AX2646" s="83" t="str">
        <f t="array" ref="AX2646">IFERROR(DGET('SBV Import'!A:G,"SBV",{"RSC ID","Tier";B2646,A2646}))</f>
        <v/>
      </c>
      <c r="AY2646" s="82" t="str">
        <f t="shared" si="2"/>
        <v/>
      </c>
      <c r="AZ2646" s="82"/>
      <c r="BA2646" s="84" t="s">
        <v>152</v>
      </c>
      <c r="BB2646" s="84" t="str">
        <f>IFERROR(__xludf.DUMMYFUNCTION("iferror(if(A2646="""",,E2646&gt;=FILTER(Constants!$F$2:$F$10,Constants!$A$2:$A$10=A2646)))"),"")</f>
        <v/>
      </c>
    </row>
    <row r="2647">
      <c r="A2647" s="89"/>
      <c r="B2647" s="87"/>
      <c r="C2647" s="73"/>
      <c r="D2647" s="73"/>
      <c r="E2647" s="82"/>
      <c r="F2647" s="82"/>
      <c r="G2647" s="86"/>
      <c r="H2647" s="86"/>
      <c r="I2647" s="86"/>
      <c r="J2647" s="82"/>
      <c r="K2647" s="82"/>
      <c r="L2647" s="82"/>
      <c r="M2647" s="82"/>
      <c r="N2647" s="82"/>
      <c r="O2647" s="82"/>
      <c r="P2647" s="82"/>
      <c r="Q2647" s="82"/>
      <c r="R2647" s="82"/>
      <c r="S2647" s="82"/>
      <c r="T2647" s="82"/>
      <c r="U2647" s="82"/>
      <c r="V2647" s="82"/>
      <c r="W2647" s="82"/>
      <c r="X2647" s="82"/>
      <c r="Y2647" s="82"/>
      <c r="Z2647" s="82"/>
      <c r="AA2647" s="82"/>
      <c r="AB2647" s="82"/>
      <c r="AC2647" s="82"/>
      <c r="AD2647" s="82"/>
      <c r="AE2647" s="82"/>
      <c r="AF2647" s="82"/>
      <c r="AG2647" s="82"/>
      <c r="AH2647" s="82"/>
      <c r="AI2647" s="82"/>
      <c r="AJ2647" s="82"/>
      <c r="AK2647" s="82"/>
      <c r="AL2647" s="82"/>
      <c r="AM2647" s="82"/>
      <c r="AN2647" s="82"/>
      <c r="AO2647" s="82"/>
      <c r="AP2647" s="82"/>
      <c r="AQ2647" s="82"/>
      <c r="AR2647" s="82"/>
      <c r="AS2647" s="82"/>
      <c r="AT2647" s="82"/>
      <c r="AU2647" s="82"/>
      <c r="AV2647" s="82"/>
      <c r="AW2647" s="82" t="str">
        <f t="shared" si="1"/>
        <v/>
      </c>
      <c r="AX2647" s="83" t="str">
        <f t="array" ref="AX2647">IFERROR(DGET('SBV Import'!A:G,"SBV",{"RSC ID","Tier";B2647,A2647}))</f>
        <v/>
      </c>
      <c r="AY2647" s="82" t="str">
        <f t="shared" si="2"/>
        <v/>
      </c>
      <c r="AZ2647" s="82"/>
      <c r="BA2647" s="84" t="s">
        <v>152</v>
      </c>
      <c r="BB2647" s="84" t="str">
        <f>IFERROR(__xludf.DUMMYFUNCTION("iferror(if(A2647="""",,E2647&gt;=FILTER(Constants!$F$2:$F$10,Constants!$A$2:$A$10=A2647)))"),"")</f>
        <v/>
      </c>
    </row>
    <row r="2648">
      <c r="A2648" s="89"/>
      <c r="B2648" s="87"/>
      <c r="C2648" s="73"/>
      <c r="D2648" s="73"/>
      <c r="E2648" s="82"/>
      <c r="F2648" s="82"/>
      <c r="G2648" s="86"/>
      <c r="H2648" s="86"/>
      <c r="I2648" s="86"/>
      <c r="J2648" s="82"/>
      <c r="K2648" s="82"/>
      <c r="L2648" s="82"/>
      <c r="M2648" s="82"/>
      <c r="N2648" s="82"/>
      <c r="O2648" s="82"/>
      <c r="P2648" s="82"/>
      <c r="Q2648" s="82"/>
      <c r="R2648" s="82"/>
      <c r="S2648" s="82"/>
      <c r="T2648" s="82"/>
      <c r="U2648" s="82"/>
      <c r="V2648" s="82"/>
      <c r="W2648" s="82"/>
      <c r="X2648" s="82"/>
      <c r="Y2648" s="82"/>
      <c r="Z2648" s="82"/>
      <c r="AA2648" s="82"/>
      <c r="AB2648" s="82"/>
      <c r="AC2648" s="82"/>
      <c r="AD2648" s="82"/>
      <c r="AE2648" s="82"/>
      <c r="AF2648" s="82"/>
      <c r="AG2648" s="82"/>
      <c r="AH2648" s="82"/>
      <c r="AI2648" s="82"/>
      <c r="AJ2648" s="82"/>
      <c r="AK2648" s="82"/>
      <c r="AL2648" s="82"/>
      <c r="AM2648" s="82"/>
      <c r="AN2648" s="82"/>
      <c r="AO2648" s="82"/>
      <c r="AP2648" s="82"/>
      <c r="AQ2648" s="82"/>
      <c r="AR2648" s="82"/>
      <c r="AS2648" s="82"/>
      <c r="AT2648" s="82"/>
      <c r="AU2648" s="82"/>
      <c r="AV2648" s="82"/>
      <c r="AW2648" s="82" t="str">
        <f t="shared" si="1"/>
        <v/>
      </c>
      <c r="AX2648" s="83" t="str">
        <f t="array" ref="AX2648">IFERROR(DGET('SBV Import'!A:G,"SBV",{"RSC ID","Tier";B2648,A2648}))</f>
        <v/>
      </c>
      <c r="AY2648" s="82" t="str">
        <f t="shared" si="2"/>
        <v/>
      </c>
      <c r="AZ2648" s="82"/>
      <c r="BA2648" s="84" t="s">
        <v>152</v>
      </c>
      <c r="BB2648" s="84" t="str">
        <f>IFERROR(__xludf.DUMMYFUNCTION("iferror(if(A2648="""",,E2648&gt;=FILTER(Constants!$F$2:$F$10,Constants!$A$2:$A$10=A2648)))"),"")</f>
        <v/>
      </c>
    </row>
    <row r="2649">
      <c r="A2649" s="89"/>
      <c r="B2649" s="87"/>
      <c r="C2649" s="73"/>
      <c r="D2649" s="73"/>
      <c r="E2649" s="82"/>
      <c r="F2649" s="82"/>
      <c r="G2649" s="86"/>
      <c r="H2649" s="86"/>
      <c r="I2649" s="86"/>
      <c r="J2649" s="82"/>
      <c r="K2649" s="82"/>
      <c r="L2649" s="82"/>
      <c r="M2649" s="82"/>
      <c r="N2649" s="82"/>
      <c r="O2649" s="82"/>
      <c r="P2649" s="82"/>
      <c r="Q2649" s="82"/>
      <c r="R2649" s="82"/>
      <c r="S2649" s="82"/>
      <c r="T2649" s="82"/>
      <c r="U2649" s="82"/>
      <c r="V2649" s="82"/>
      <c r="W2649" s="82"/>
      <c r="X2649" s="82"/>
      <c r="Y2649" s="82"/>
      <c r="Z2649" s="82"/>
      <c r="AA2649" s="82"/>
      <c r="AB2649" s="82"/>
      <c r="AC2649" s="82"/>
      <c r="AD2649" s="82"/>
      <c r="AE2649" s="82"/>
      <c r="AF2649" s="82"/>
      <c r="AG2649" s="82"/>
      <c r="AH2649" s="82"/>
      <c r="AI2649" s="82"/>
      <c r="AJ2649" s="82"/>
      <c r="AK2649" s="82"/>
      <c r="AL2649" s="82"/>
      <c r="AM2649" s="82"/>
      <c r="AN2649" s="82"/>
      <c r="AO2649" s="82"/>
      <c r="AP2649" s="82"/>
      <c r="AQ2649" s="82"/>
      <c r="AR2649" s="82"/>
      <c r="AS2649" s="82"/>
      <c r="AT2649" s="82"/>
      <c r="AU2649" s="82"/>
      <c r="AV2649" s="82"/>
      <c r="AW2649" s="82" t="str">
        <f t="shared" si="1"/>
        <v/>
      </c>
      <c r="AX2649" s="83" t="str">
        <f t="array" ref="AX2649">IFERROR(DGET('SBV Import'!A:G,"SBV",{"RSC ID","Tier";B2649,A2649}))</f>
        <v/>
      </c>
      <c r="AY2649" s="82" t="str">
        <f t="shared" si="2"/>
        <v/>
      </c>
      <c r="AZ2649" s="82"/>
      <c r="BA2649" s="84" t="s">
        <v>152</v>
      </c>
      <c r="BB2649" s="84" t="str">
        <f>IFERROR(__xludf.DUMMYFUNCTION("iferror(if(A2649="""",,E2649&gt;=FILTER(Constants!$F$2:$F$10,Constants!$A$2:$A$10=A2649)))"),"")</f>
        <v/>
      </c>
    </row>
    <row r="2650">
      <c r="A2650" s="89"/>
      <c r="B2650" s="87"/>
      <c r="C2650" s="73"/>
      <c r="D2650" s="73"/>
      <c r="E2650" s="82"/>
      <c r="F2650" s="82"/>
      <c r="G2650" s="86"/>
      <c r="H2650" s="86"/>
      <c r="I2650" s="86"/>
      <c r="J2650" s="82"/>
      <c r="K2650" s="82"/>
      <c r="L2650" s="82"/>
      <c r="M2650" s="82"/>
      <c r="N2650" s="82"/>
      <c r="O2650" s="82"/>
      <c r="P2650" s="82"/>
      <c r="Q2650" s="82"/>
      <c r="R2650" s="82"/>
      <c r="S2650" s="82"/>
      <c r="T2650" s="82"/>
      <c r="U2650" s="82"/>
      <c r="V2650" s="82"/>
      <c r="W2650" s="82"/>
      <c r="X2650" s="82"/>
      <c r="Y2650" s="82"/>
      <c r="Z2650" s="82"/>
      <c r="AA2650" s="82"/>
      <c r="AB2650" s="82"/>
      <c r="AC2650" s="82"/>
      <c r="AD2650" s="82"/>
      <c r="AE2650" s="82"/>
      <c r="AF2650" s="82"/>
      <c r="AG2650" s="82"/>
      <c r="AH2650" s="82"/>
      <c r="AI2650" s="82"/>
      <c r="AJ2650" s="82"/>
      <c r="AK2650" s="82"/>
      <c r="AL2650" s="82"/>
      <c r="AM2650" s="82"/>
      <c r="AN2650" s="82"/>
      <c r="AO2650" s="82"/>
      <c r="AP2650" s="82"/>
      <c r="AQ2650" s="82"/>
      <c r="AR2650" s="82"/>
      <c r="AS2650" s="82"/>
      <c r="AT2650" s="82"/>
      <c r="AU2650" s="82"/>
      <c r="AV2650" s="82"/>
      <c r="AW2650" s="82" t="str">
        <f t="shared" si="1"/>
        <v/>
      </c>
      <c r="AX2650" s="83" t="str">
        <f t="array" ref="AX2650">IFERROR(DGET('SBV Import'!A:G,"SBV",{"RSC ID","Tier";B2650,A2650}))</f>
        <v/>
      </c>
      <c r="AY2650" s="82" t="str">
        <f t="shared" si="2"/>
        <v/>
      </c>
      <c r="AZ2650" s="82"/>
      <c r="BA2650" s="84" t="s">
        <v>152</v>
      </c>
      <c r="BB2650" s="84" t="str">
        <f>IFERROR(__xludf.DUMMYFUNCTION("iferror(if(A2650="""",,E2650&gt;=FILTER(Constants!$F$2:$F$10,Constants!$A$2:$A$10=A2650)))"),"")</f>
        <v/>
      </c>
    </row>
    <row r="2651">
      <c r="A2651" s="89"/>
      <c r="B2651" s="87"/>
      <c r="C2651" s="73"/>
      <c r="D2651" s="73"/>
      <c r="E2651" s="82"/>
      <c r="F2651" s="82"/>
      <c r="G2651" s="86"/>
      <c r="H2651" s="86"/>
      <c r="I2651" s="86"/>
      <c r="J2651" s="82"/>
      <c r="K2651" s="82"/>
      <c r="L2651" s="82"/>
      <c r="M2651" s="82"/>
      <c r="N2651" s="82"/>
      <c r="O2651" s="82"/>
      <c r="P2651" s="82"/>
      <c r="Q2651" s="82"/>
      <c r="R2651" s="82"/>
      <c r="S2651" s="82"/>
      <c r="T2651" s="82"/>
      <c r="U2651" s="82"/>
      <c r="V2651" s="82"/>
      <c r="W2651" s="82"/>
      <c r="X2651" s="82"/>
      <c r="Y2651" s="82"/>
      <c r="Z2651" s="82"/>
      <c r="AA2651" s="82"/>
      <c r="AB2651" s="82"/>
      <c r="AC2651" s="82"/>
      <c r="AD2651" s="82"/>
      <c r="AE2651" s="82"/>
      <c r="AF2651" s="82"/>
      <c r="AG2651" s="82"/>
      <c r="AH2651" s="82"/>
      <c r="AI2651" s="82"/>
      <c r="AJ2651" s="82"/>
      <c r="AK2651" s="82"/>
      <c r="AL2651" s="82"/>
      <c r="AM2651" s="82"/>
      <c r="AN2651" s="82"/>
      <c r="AO2651" s="82"/>
      <c r="AP2651" s="82"/>
      <c r="AQ2651" s="82"/>
      <c r="AR2651" s="82"/>
      <c r="AS2651" s="82"/>
      <c r="AT2651" s="82"/>
      <c r="AU2651" s="82"/>
      <c r="AV2651" s="82"/>
      <c r="AW2651" s="82" t="str">
        <f t="shared" si="1"/>
        <v/>
      </c>
      <c r="AX2651" s="83" t="str">
        <f t="array" ref="AX2651">IFERROR(DGET('SBV Import'!A:G,"SBV",{"RSC ID","Tier";B2651,A2651}))</f>
        <v/>
      </c>
      <c r="AY2651" s="82" t="str">
        <f t="shared" si="2"/>
        <v/>
      </c>
      <c r="AZ2651" s="82"/>
      <c r="BA2651" s="84" t="s">
        <v>152</v>
      </c>
      <c r="BB2651" s="84" t="str">
        <f>IFERROR(__xludf.DUMMYFUNCTION("iferror(if(A2651="""",,E2651&gt;=FILTER(Constants!$F$2:$F$10,Constants!$A$2:$A$10=A2651)))"),"")</f>
        <v/>
      </c>
    </row>
    <row r="2652">
      <c r="A2652" s="89"/>
      <c r="B2652" s="87"/>
      <c r="C2652" s="73"/>
      <c r="D2652" s="73"/>
      <c r="E2652" s="82"/>
      <c r="F2652" s="82"/>
      <c r="G2652" s="86"/>
      <c r="H2652" s="86"/>
      <c r="I2652" s="86"/>
      <c r="J2652" s="82"/>
      <c r="K2652" s="82"/>
      <c r="L2652" s="82"/>
      <c r="M2652" s="82"/>
      <c r="N2652" s="82"/>
      <c r="O2652" s="82"/>
      <c r="P2652" s="82"/>
      <c r="Q2652" s="82"/>
      <c r="R2652" s="82"/>
      <c r="S2652" s="82"/>
      <c r="T2652" s="82"/>
      <c r="U2652" s="82"/>
      <c r="V2652" s="82"/>
      <c r="W2652" s="82"/>
      <c r="X2652" s="82"/>
      <c r="Y2652" s="82"/>
      <c r="Z2652" s="82"/>
      <c r="AA2652" s="82"/>
      <c r="AB2652" s="82"/>
      <c r="AC2652" s="82"/>
      <c r="AD2652" s="82"/>
      <c r="AE2652" s="82"/>
      <c r="AF2652" s="82"/>
      <c r="AG2652" s="82"/>
      <c r="AH2652" s="82"/>
      <c r="AI2652" s="82"/>
      <c r="AJ2652" s="82"/>
      <c r="AK2652" s="82"/>
      <c r="AL2652" s="82"/>
      <c r="AM2652" s="82"/>
      <c r="AN2652" s="82"/>
      <c r="AO2652" s="82"/>
      <c r="AP2652" s="82"/>
      <c r="AQ2652" s="82"/>
      <c r="AR2652" s="82"/>
      <c r="AS2652" s="82"/>
      <c r="AT2652" s="82"/>
      <c r="AU2652" s="82"/>
      <c r="AV2652" s="82"/>
      <c r="AW2652" s="82" t="str">
        <f t="shared" si="1"/>
        <v/>
      </c>
      <c r="AX2652" s="83" t="str">
        <f t="array" ref="AX2652">IFERROR(DGET('SBV Import'!A:G,"SBV",{"RSC ID","Tier";B2652,A2652}))</f>
        <v/>
      </c>
      <c r="AY2652" s="82" t="str">
        <f t="shared" si="2"/>
        <v/>
      </c>
      <c r="AZ2652" s="82"/>
      <c r="BA2652" s="84" t="s">
        <v>152</v>
      </c>
      <c r="BB2652" s="84" t="str">
        <f>IFERROR(__xludf.DUMMYFUNCTION("iferror(if(A2652="""",,E2652&gt;=FILTER(Constants!$F$2:$F$10,Constants!$A$2:$A$10=A2652)))"),"")</f>
        <v/>
      </c>
    </row>
    <row r="2653">
      <c r="A2653" s="89"/>
      <c r="B2653" s="87"/>
      <c r="C2653" s="73"/>
      <c r="D2653" s="73"/>
      <c r="E2653" s="82"/>
      <c r="F2653" s="82"/>
      <c r="G2653" s="86"/>
      <c r="H2653" s="86"/>
      <c r="I2653" s="86"/>
      <c r="J2653" s="82"/>
      <c r="K2653" s="82"/>
      <c r="L2653" s="82"/>
      <c r="M2653" s="82"/>
      <c r="N2653" s="82"/>
      <c r="O2653" s="82"/>
      <c r="P2653" s="82"/>
      <c r="Q2653" s="82"/>
      <c r="R2653" s="82"/>
      <c r="S2653" s="82"/>
      <c r="T2653" s="82"/>
      <c r="U2653" s="82"/>
      <c r="V2653" s="82"/>
      <c r="W2653" s="82"/>
      <c r="X2653" s="82"/>
      <c r="Y2653" s="82"/>
      <c r="Z2653" s="82"/>
      <c r="AA2653" s="82"/>
      <c r="AB2653" s="82"/>
      <c r="AC2653" s="82"/>
      <c r="AD2653" s="82"/>
      <c r="AE2653" s="82"/>
      <c r="AF2653" s="82"/>
      <c r="AG2653" s="82"/>
      <c r="AH2653" s="82"/>
      <c r="AI2653" s="82"/>
      <c r="AJ2653" s="82"/>
      <c r="AK2653" s="82"/>
      <c r="AL2653" s="82"/>
      <c r="AM2653" s="82"/>
      <c r="AN2653" s="82"/>
      <c r="AO2653" s="82"/>
      <c r="AP2653" s="82"/>
      <c r="AQ2653" s="82"/>
      <c r="AR2653" s="82"/>
      <c r="AS2653" s="82"/>
      <c r="AT2653" s="82"/>
      <c r="AU2653" s="82"/>
      <c r="AV2653" s="82"/>
      <c r="AW2653" s="82" t="str">
        <f t="shared" si="1"/>
        <v/>
      </c>
      <c r="AX2653" s="83" t="str">
        <f t="array" ref="AX2653">IFERROR(DGET('SBV Import'!A:G,"SBV",{"RSC ID","Tier";B2653,A2653}))</f>
        <v/>
      </c>
      <c r="AY2653" s="82" t="str">
        <f t="shared" si="2"/>
        <v/>
      </c>
      <c r="AZ2653" s="82"/>
      <c r="BA2653" s="84" t="s">
        <v>152</v>
      </c>
      <c r="BB2653" s="84" t="str">
        <f>IFERROR(__xludf.DUMMYFUNCTION("iferror(if(A2653="""",,E2653&gt;=FILTER(Constants!$F$2:$F$10,Constants!$A$2:$A$10=A2653)))"),"")</f>
        <v/>
      </c>
    </row>
    <row r="2654">
      <c r="A2654" s="89"/>
      <c r="B2654" s="87"/>
      <c r="C2654" s="73"/>
      <c r="D2654" s="73"/>
      <c r="E2654" s="82"/>
      <c r="F2654" s="82"/>
      <c r="G2654" s="86"/>
      <c r="H2654" s="86"/>
      <c r="I2654" s="86"/>
      <c r="J2654" s="82"/>
      <c r="K2654" s="82"/>
      <c r="L2654" s="82"/>
      <c r="M2654" s="82"/>
      <c r="N2654" s="82"/>
      <c r="O2654" s="82"/>
      <c r="P2654" s="82"/>
      <c r="Q2654" s="82"/>
      <c r="R2654" s="82"/>
      <c r="S2654" s="82"/>
      <c r="T2654" s="82"/>
      <c r="U2654" s="82"/>
      <c r="V2654" s="82"/>
      <c r="W2654" s="82"/>
      <c r="X2654" s="82"/>
      <c r="Y2654" s="82"/>
      <c r="Z2654" s="82"/>
      <c r="AA2654" s="82"/>
      <c r="AB2654" s="82"/>
      <c r="AC2654" s="82"/>
      <c r="AD2654" s="82"/>
      <c r="AE2654" s="82"/>
      <c r="AF2654" s="82"/>
      <c r="AG2654" s="82"/>
      <c r="AH2654" s="82"/>
      <c r="AI2654" s="82"/>
      <c r="AJ2654" s="82"/>
      <c r="AK2654" s="82"/>
      <c r="AL2654" s="82"/>
      <c r="AM2654" s="82"/>
      <c r="AN2654" s="82"/>
      <c r="AO2654" s="82"/>
      <c r="AP2654" s="82"/>
      <c r="AQ2654" s="82"/>
      <c r="AR2654" s="82"/>
      <c r="AS2654" s="82"/>
      <c r="AT2654" s="82"/>
      <c r="AU2654" s="82"/>
      <c r="AV2654" s="82"/>
      <c r="AW2654" s="82" t="str">
        <f t="shared" si="1"/>
        <v/>
      </c>
      <c r="AX2654" s="83" t="str">
        <f t="array" ref="AX2654">IFERROR(DGET('SBV Import'!A:G,"SBV",{"RSC ID","Tier";B2654,A2654}))</f>
        <v/>
      </c>
      <c r="AY2654" s="82" t="str">
        <f t="shared" si="2"/>
        <v/>
      </c>
      <c r="AZ2654" s="82"/>
      <c r="BA2654" s="84" t="s">
        <v>152</v>
      </c>
      <c r="BB2654" s="84" t="str">
        <f>IFERROR(__xludf.DUMMYFUNCTION("iferror(if(A2654="""",,E2654&gt;=FILTER(Constants!$F$2:$F$10,Constants!$A$2:$A$10=A2654)))"),"")</f>
        <v/>
      </c>
    </row>
    <row r="2655">
      <c r="A2655" s="89"/>
      <c r="B2655" s="87"/>
      <c r="C2655" s="73"/>
      <c r="D2655" s="73"/>
      <c r="E2655" s="82"/>
      <c r="F2655" s="82"/>
      <c r="G2655" s="86"/>
      <c r="H2655" s="86"/>
      <c r="I2655" s="86"/>
      <c r="J2655" s="82"/>
      <c r="K2655" s="82"/>
      <c r="L2655" s="82"/>
      <c r="M2655" s="82"/>
      <c r="N2655" s="82"/>
      <c r="O2655" s="82"/>
      <c r="P2655" s="82"/>
      <c r="Q2655" s="82"/>
      <c r="R2655" s="82"/>
      <c r="S2655" s="82"/>
      <c r="T2655" s="82"/>
      <c r="U2655" s="82"/>
      <c r="V2655" s="82"/>
      <c r="W2655" s="82"/>
      <c r="X2655" s="82"/>
      <c r="Y2655" s="82"/>
      <c r="Z2655" s="82"/>
      <c r="AA2655" s="82"/>
      <c r="AB2655" s="82"/>
      <c r="AC2655" s="82"/>
      <c r="AD2655" s="82"/>
      <c r="AE2655" s="82"/>
      <c r="AF2655" s="82"/>
      <c r="AG2655" s="82"/>
      <c r="AH2655" s="82"/>
      <c r="AI2655" s="82"/>
      <c r="AJ2655" s="82"/>
      <c r="AK2655" s="82"/>
      <c r="AL2655" s="82"/>
      <c r="AM2655" s="82"/>
      <c r="AN2655" s="82"/>
      <c r="AO2655" s="82"/>
      <c r="AP2655" s="82"/>
      <c r="AQ2655" s="82"/>
      <c r="AR2655" s="82"/>
      <c r="AS2655" s="82"/>
      <c r="AT2655" s="82"/>
      <c r="AU2655" s="82"/>
      <c r="AV2655" s="82"/>
      <c r="AW2655" s="82" t="str">
        <f t="shared" si="1"/>
        <v/>
      </c>
      <c r="AX2655" s="83" t="str">
        <f t="array" ref="AX2655">IFERROR(DGET('SBV Import'!A:G,"SBV",{"RSC ID","Tier";B2655,A2655}))</f>
        <v/>
      </c>
      <c r="AY2655" s="82" t="str">
        <f t="shared" si="2"/>
        <v/>
      </c>
      <c r="AZ2655" s="82"/>
      <c r="BA2655" s="84" t="s">
        <v>152</v>
      </c>
      <c r="BB2655" s="84" t="str">
        <f>IFERROR(__xludf.DUMMYFUNCTION("iferror(if(A2655="""",,E2655&gt;=FILTER(Constants!$F$2:$F$10,Constants!$A$2:$A$10=A2655)))"),"")</f>
        <v/>
      </c>
    </row>
    <row r="2656">
      <c r="A2656" s="89"/>
      <c r="B2656" s="87"/>
      <c r="C2656" s="73"/>
      <c r="D2656" s="73"/>
      <c r="E2656" s="82"/>
      <c r="F2656" s="82"/>
      <c r="G2656" s="86"/>
      <c r="H2656" s="86"/>
      <c r="I2656" s="86"/>
      <c r="J2656" s="82"/>
      <c r="K2656" s="82"/>
      <c r="L2656" s="82"/>
      <c r="M2656" s="82"/>
      <c r="N2656" s="82"/>
      <c r="O2656" s="82"/>
      <c r="P2656" s="82"/>
      <c r="Q2656" s="82"/>
      <c r="R2656" s="82"/>
      <c r="S2656" s="82"/>
      <c r="T2656" s="82"/>
      <c r="U2656" s="82"/>
      <c r="V2656" s="82"/>
      <c r="W2656" s="82"/>
      <c r="X2656" s="82"/>
      <c r="Y2656" s="82"/>
      <c r="Z2656" s="82"/>
      <c r="AA2656" s="82"/>
      <c r="AB2656" s="82"/>
      <c r="AC2656" s="82"/>
      <c r="AD2656" s="82"/>
      <c r="AE2656" s="82"/>
      <c r="AF2656" s="82"/>
      <c r="AG2656" s="82"/>
      <c r="AH2656" s="82"/>
      <c r="AI2656" s="82"/>
      <c r="AJ2656" s="82"/>
      <c r="AK2656" s="82"/>
      <c r="AL2656" s="82"/>
      <c r="AM2656" s="82"/>
      <c r="AN2656" s="82"/>
      <c r="AO2656" s="82"/>
      <c r="AP2656" s="82"/>
      <c r="AQ2656" s="82"/>
      <c r="AR2656" s="82"/>
      <c r="AS2656" s="82"/>
      <c r="AT2656" s="82"/>
      <c r="AU2656" s="82"/>
      <c r="AV2656" s="82"/>
      <c r="AW2656" s="82" t="str">
        <f t="shared" si="1"/>
        <v/>
      </c>
      <c r="AX2656" s="83" t="str">
        <f t="array" ref="AX2656">IFERROR(DGET('SBV Import'!A:G,"SBV",{"RSC ID","Tier";B2656,A2656}))</f>
        <v/>
      </c>
      <c r="AY2656" s="82" t="str">
        <f t="shared" si="2"/>
        <v/>
      </c>
      <c r="AZ2656" s="82"/>
      <c r="BA2656" s="84" t="s">
        <v>152</v>
      </c>
      <c r="BB2656" s="84" t="str">
        <f>IFERROR(__xludf.DUMMYFUNCTION("iferror(if(A2656="""",,E2656&gt;=FILTER(Constants!$F$2:$F$10,Constants!$A$2:$A$10=A2656)))"),"")</f>
        <v/>
      </c>
    </row>
    <row r="2657">
      <c r="A2657" s="89"/>
      <c r="B2657" s="87"/>
      <c r="C2657" s="73"/>
      <c r="D2657" s="73"/>
      <c r="E2657" s="82"/>
      <c r="F2657" s="82"/>
      <c r="G2657" s="86"/>
      <c r="H2657" s="86"/>
      <c r="I2657" s="86"/>
      <c r="J2657" s="82"/>
      <c r="K2657" s="82"/>
      <c r="L2657" s="82"/>
      <c r="M2657" s="82"/>
      <c r="N2657" s="82"/>
      <c r="O2657" s="82"/>
      <c r="P2657" s="82"/>
      <c r="Q2657" s="82"/>
      <c r="R2657" s="82"/>
      <c r="S2657" s="82"/>
      <c r="T2657" s="82"/>
      <c r="U2657" s="82"/>
      <c r="V2657" s="82"/>
      <c r="W2657" s="82"/>
      <c r="X2657" s="82"/>
      <c r="Y2657" s="82"/>
      <c r="Z2657" s="82"/>
      <c r="AA2657" s="82"/>
      <c r="AB2657" s="82"/>
      <c r="AC2657" s="82"/>
      <c r="AD2657" s="82"/>
      <c r="AE2657" s="82"/>
      <c r="AF2657" s="82"/>
      <c r="AG2657" s="82"/>
      <c r="AH2657" s="82"/>
      <c r="AI2657" s="82"/>
      <c r="AJ2657" s="82"/>
      <c r="AK2657" s="82"/>
      <c r="AL2657" s="82"/>
      <c r="AM2657" s="82"/>
      <c r="AN2657" s="82"/>
      <c r="AO2657" s="82"/>
      <c r="AP2657" s="82"/>
      <c r="AQ2657" s="82"/>
      <c r="AR2657" s="82"/>
      <c r="AS2657" s="82"/>
      <c r="AT2657" s="82"/>
      <c r="AU2657" s="82"/>
      <c r="AV2657" s="82"/>
      <c r="AW2657" s="82" t="str">
        <f t="shared" si="1"/>
        <v/>
      </c>
      <c r="AX2657" s="83" t="str">
        <f t="array" ref="AX2657">IFERROR(DGET('SBV Import'!A:G,"SBV",{"RSC ID","Tier";B2657,A2657}))</f>
        <v/>
      </c>
      <c r="AY2657" s="82" t="str">
        <f t="shared" si="2"/>
        <v/>
      </c>
      <c r="AZ2657" s="82"/>
      <c r="BA2657" s="84" t="s">
        <v>152</v>
      </c>
      <c r="BB2657" s="84" t="str">
        <f>IFERROR(__xludf.DUMMYFUNCTION("iferror(if(A2657="""",,E2657&gt;=FILTER(Constants!$F$2:$F$10,Constants!$A$2:$A$10=A2657)))"),"")</f>
        <v/>
      </c>
    </row>
    <row r="2658">
      <c r="A2658" s="89"/>
      <c r="B2658" s="87"/>
      <c r="C2658" s="73"/>
      <c r="D2658" s="73"/>
      <c r="E2658" s="82"/>
      <c r="F2658" s="82"/>
      <c r="G2658" s="86"/>
      <c r="H2658" s="86"/>
      <c r="I2658" s="86"/>
      <c r="J2658" s="82"/>
      <c r="K2658" s="82"/>
      <c r="L2658" s="82"/>
      <c r="M2658" s="82"/>
      <c r="N2658" s="82"/>
      <c r="O2658" s="82"/>
      <c r="P2658" s="82"/>
      <c r="Q2658" s="82"/>
      <c r="R2658" s="82"/>
      <c r="S2658" s="82"/>
      <c r="T2658" s="82"/>
      <c r="U2658" s="82"/>
      <c r="V2658" s="82"/>
      <c r="W2658" s="82"/>
      <c r="X2658" s="82"/>
      <c r="Y2658" s="82"/>
      <c r="Z2658" s="82"/>
      <c r="AA2658" s="82"/>
      <c r="AB2658" s="82"/>
      <c r="AC2658" s="82"/>
      <c r="AD2658" s="82"/>
      <c r="AE2658" s="82"/>
      <c r="AF2658" s="82"/>
      <c r="AG2658" s="82"/>
      <c r="AH2658" s="82"/>
      <c r="AI2658" s="82"/>
      <c r="AJ2658" s="82"/>
      <c r="AK2658" s="82"/>
      <c r="AL2658" s="82"/>
      <c r="AM2658" s="82"/>
      <c r="AN2658" s="82"/>
      <c r="AO2658" s="82"/>
      <c r="AP2658" s="82"/>
      <c r="AQ2658" s="82"/>
      <c r="AR2658" s="82"/>
      <c r="AS2658" s="82"/>
      <c r="AT2658" s="82"/>
      <c r="AU2658" s="82"/>
      <c r="AV2658" s="82"/>
      <c r="AW2658" s="82" t="str">
        <f t="shared" si="1"/>
        <v/>
      </c>
      <c r="AX2658" s="83" t="str">
        <f t="array" ref="AX2658">IFERROR(DGET('SBV Import'!A:G,"SBV",{"RSC ID","Tier";B2658,A2658}))</f>
        <v/>
      </c>
      <c r="AY2658" s="82" t="str">
        <f t="shared" si="2"/>
        <v/>
      </c>
      <c r="AZ2658" s="82"/>
      <c r="BA2658" s="84" t="s">
        <v>152</v>
      </c>
      <c r="BB2658" s="84" t="str">
        <f>IFERROR(__xludf.DUMMYFUNCTION("iferror(if(A2658="""",,E2658&gt;=FILTER(Constants!$F$2:$F$10,Constants!$A$2:$A$10=A2658)))"),"")</f>
        <v/>
      </c>
    </row>
    <row r="2659">
      <c r="A2659" s="89"/>
      <c r="B2659" s="87"/>
      <c r="C2659" s="73"/>
      <c r="D2659" s="73"/>
      <c r="E2659" s="82"/>
      <c r="F2659" s="82"/>
      <c r="G2659" s="86"/>
      <c r="H2659" s="86"/>
      <c r="I2659" s="86"/>
      <c r="J2659" s="82"/>
      <c r="K2659" s="82"/>
      <c r="L2659" s="82"/>
      <c r="M2659" s="82"/>
      <c r="N2659" s="82"/>
      <c r="O2659" s="82"/>
      <c r="P2659" s="82"/>
      <c r="Q2659" s="82"/>
      <c r="R2659" s="82"/>
      <c r="S2659" s="82"/>
      <c r="T2659" s="82"/>
      <c r="U2659" s="82"/>
      <c r="V2659" s="82"/>
      <c r="W2659" s="82"/>
      <c r="X2659" s="82"/>
      <c r="Y2659" s="82"/>
      <c r="Z2659" s="82"/>
      <c r="AA2659" s="82"/>
      <c r="AB2659" s="82"/>
      <c r="AC2659" s="82"/>
      <c r="AD2659" s="82"/>
      <c r="AE2659" s="82"/>
      <c r="AF2659" s="82"/>
      <c r="AG2659" s="82"/>
      <c r="AH2659" s="82"/>
      <c r="AI2659" s="82"/>
      <c r="AJ2659" s="82"/>
      <c r="AK2659" s="82"/>
      <c r="AL2659" s="82"/>
      <c r="AM2659" s="82"/>
      <c r="AN2659" s="82"/>
      <c r="AO2659" s="82"/>
      <c r="AP2659" s="82"/>
      <c r="AQ2659" s="82"/>
      <c r="AR2659" s="82"/>
      <c r="AS2659" s="82"/>
      <c r="AT2659" s="82"/>
      <c r="AU2659" s="82"/>
      <c r="AV2659" s="82"/>
      <c r="AW2659" s="82" t="str">
        <f t="shared" si="1"/>
        <v/>
      </c>
      <c r="AX2659" s="83" t="str">
        <f t="array" ref="AX2659">IFERROR(DGET('SBV Import'!A:G,"SBV",{"RSC ID","Tier";B2659,A2659}))</f>
        <v/>
      </c>
      <c r="AY2659" s="82" t="str">
        <f t="shared" si="2"/>
        <v/>
      </c>
      <c r="AZ2659" s="82"/>
      <c r="BA2659" s="84" t="s">
        <v>152</v>
      </c>
      <c r="BB2659" s="84" t="str">
        <f>IFERROR(__xludf.DUMMYFUNCTION("iferror(if(A2659="""",,E2659&gt;=FILTER(Constants!$F$2:$F$10,Constants!$A$2:$A$10=A2659)))"),"")</f>
        <v/>
      </c>
    </row>
    <row r="2660">
      <c r="A2660" s="89"/>
      <c r="B2660" s="87"/>
      <c r="C2660" s="73"/>
      <c r="D2660" s="73"/>
      <c r="E2660" s="82"/>
      <c r="F2660" s="82"/>
      <c r="G2660" s="86"/>
      <c r="H2660" s="86"/>
      <c r="I2660" s="86"/>
      <c r="J2660" s="82"/>
      <c r="K2660" s="82"/>
      <c r="L2660" s="82"/>
      <c r="M2660" s="82"/>
      <c r="N2660" s="82"/>
      <c r="O2660" s="82"/>
      <c r="P2660" s="82"/>
      <c r="Q2660" s="82"/>
      <c r="R2660" s="82"/>
      <c r="S2660" s="82"/>
      <c r="T2660" s="82"/>
      <c r="U2660" s="82"/>
      <c r="V2660" s="82"/>
      <c r="W2660" s="82"/>
      <c r="X2660" s="82"/>
      <c r="Y2660" s="82"/>
      <c r="Z2660" s="82"/>
      <c r="AA2660" s="82"/>
      <c r="AB2660" s="82"/>
      <c r="AC2660" s="82"/>
      <c r="AD2660" s="82"/>
      <c r="AE2660" s="82"/>
      <c r="AF2660" s="82"/>
      <c r="AG2660" s="82"/>
      <c r="AH2660" s="82"/>
      <c r="AI2660" s="82"/>
      <c r="AJ2660" s="82"/>
      <c r="AK2660" s="82"/>
      <c r="AL2660" s="82"/>
      <c r="AM2660" s="82"/>
      <c r="AN2660" s="82"/>
      <c r="AO2660" s="82"/>
      <c r="AP2660" s="82"/>
      <c r="AQ2660" s="82"/>
      <c r="AR2660" s="82"/>
      <c r="AS2660" s="82"/>
      <c r="AT2660" s="82"/>
      <c r="AU2660" s="82"/>
      <c r="AV2660" s="82"/>
      <c r="AW2660" s="82" t="str">
        <f t="shared" si="1"/>
        <v/>
      </c>
      <c r="AX2660" s="83" t="str">
        <f t="array" ref="AX2660">IFERROR(DGET('SBV Import'!A:G,"SBV",{"RSC ID","Tier";B2660,A2660}))</f>
        <v/>
      </c>
      <c r="AY2660" s="82" t="str">
        <f t="shared" si="2"/>
        <v/>
      </c>
      <c r="AZ2660" s="82"/>
      <c r="BA2660" s="84" t="s">
        <v>152</v>
      </c>
      <c r="BB2660" s="84" t="str">
        <f>IFERROR(__xludf.DUMMYFUNCTION("iferror(if(A2660="""",,E2660&gt;=FILTER(Constants!$F$2:$F$10,Constants!$A$2:$A$10=A2660)))"),"")</f>
        <v/>
      </c>
    </row>
    <row r="2661">
      <c r="A2661" s="89"/>
      <c r="B2661" s="87"/>
      <c r="C2661" s="73"/>
      <c r="D2661" s="73"/>
      <c r="E2661" s="82"/>
      <c r="F2661" s="82"/>
      <c r="G2661" s="86"/>
      <c r="H2661" s="86"/>
      <c r="I2661" s="86"/>
      <c r="J2661" s="82"/>
      <c r="K2661" s="82"/>
      <c r="L2661" s="82"/>
      <c r="M2661" s="82"/>
      <c r="N2661" s="82"/>
      <c r="O2661" s="82"/>
      <c r="P2661" s="82"/>
      <c r="Q2661" s="82"/>
      <c r="R2661" s="82"/>
      <c r="S2661" s="82"/>
      <c r="T2661" s="82"/>
      <c r="U2661" s="82"/>
      <c r="V2661" s="82"/>
      <c r="W2661" s="82"/>
      <c r="X2661" s="82"/>
      <c r="Y2661" s="82"/>
      <c r="Z2661" s="82"/>
      <c r="AA2661" s="82"/>
      <c r="AB2661" s="82"/>
      <c r="AC2661" s="82"/>
      <c r="AD2661" s="82"/>
      <c r="AE2661" s="82"/>
      <c r="AF2661" s="82"/>
      <c r="AG2661" s="82"/>
      <c r="AH2661" s="82"/>
      <c r="AI2661" s="82"/>
      <c r="AJ2661" s="82"/>
      <c r="AK2661" s="82"/>
      <c r="AL2661" s="82"/>
      <c r="AM2661" s="82"/>
      <c r="AN2661" s="82"/>
      <c r="AO2661" s="82"/>
      <c r="AP2661" s="82"/>
      <c r="AQ2661" s="82"/>
      <c r="AR2661" s="82"/>
      <c r="AS2661" s="82"/>
      <c r="AT2661" s="82"/>
      <c r="AU2661" s="82"/>
      <c r="AV2661" s="82"/>
      <c r="AW2661" s="82" t="str">
        <f t="shared" si="1"/>
        <v/>
      </c>
      <c r="AX2661" s="83" t="str">
        <f t="array" ref="AX2661">IFERROR(DGET('SBV Import'!A:G,"SBV",{"RSC ID","Tier";B2661,A2661}))</f>
        <v/>
      </c>
      <c r="AY2661" s="82" t="str">
        <f t="shared" si="2"/>
        <v/>
      </c>
      <c r="AZ2661" s="82"/>
      <c r="BA2661" s="84" t="s">
        <v>152</v>
      </c>
      <c r="BB2661" s="84" t="str">
        <f>IFERROR(__xludf.DUMMYFUNCTION("iferror(if(A2661="""",,E2661&gt;=FILTER(Constants!$F$2:$F$10,Constants!$A$2:$A$10=A2661)))"),"")</f>
        <v/>
      </c>
    </row>
    <row r="2662">
      <c r="A2662" s="89"/>
      <c r="B2662" s="87"/>
      <c r="C2662" s="73"/>
      <c r="D2662" s="73"/>
      <c r="E2662" s="82"/>
      <c r="F2662" s="82"/>
      <c r="G2662" s="86"/>
      <c r="H2662" s="86"/>
      <c r="I2662" s="86"/>
      <c r="J2662" s="82"/>
      <c r="K2662" s="82"/>
      <c r="L2662" s="82"/>
      <c r="M2662" s="82"/>
      <c r="N2662" s="82"/>
      <c r="O2662" s="82"/>
      <c r="P2662" s="82"/>
      <c r="Q2662" s="82"/>
      <c r="R2662" s="82"/>
      <c r="S2662" s="82"/>
      <c r="T2662" s="82"/>
      <c r="U2662" s="82"/>
      <c r="V2662" s="82"/>
      <c r="W2662" s="82"/>
      <c r="X2662" s="82"/>
      <c r="Y2662" s="82"/>
      <c r="Z2662" s="82"/>
      <c r="AA2662" s="82"/>
      <c r="AB2662" s="82"/>
      <c r="AC2662" s="82"/>
      <c r="AD2662" s="82"/>
      <c r="AE2662" s="82"/>
      <c r="AF2662" s="82"/>
      <c r="AG2662" s="82"/>
      <c r="AH2662" s="82"/>
      <c r="AI2662" s="82"/>
      <c r="AJ2662" s="82"/>
      <c r="AK2662" s="82"/>
      <c r="AL2662" s="82"/>
      <c r="AM2662" s="82"/>
      <c r="AN2662" s="82"/>
      <c r="AO2662" s="82"/>
      <c r="AP2662" s="82"/>
      <c r="AQ2662" s="82"/>
      <c r="AR2662" s="82"/>
      <c r="AS2662" s="82"/>
      <c r="AT2662" s="82"/>
      <c r="AU2662" s="82"/>
      <c r="AV2662" s="82"/>
      <c r="AW2662" s="82" t="str">
        <f t="shared" si="1"/>
        <v/>
      </c>
      <c r="AX2662" s="83" t="str">
        <f t="array" ref="AX2662">IFERROR(DGET('SBV Import'!A:G,"SBV",{"RSC ID","Tier";B2662,A2662}))</f>
        <v/>
      </c>
      <c r="AY2662" s="82" t="str">
        <f t="shared" si="2"/>
        <v/>
      </c>
      <c r="AZ2662" s="82"/>
      <c r="BA2662" s="84" t="s">
        <v>152</v>
      </c>
      <c r="BB2662" s="84" t="str">
        <f>IFERROR(__xludf.DUMMYFUNCTION("iferror(if(A2662="""",,E2662&gt;=FILTER(Constants!$F$2:$F$10,Constants!$A$2:$A$10=A2662)))"),"")</f>
        <v/>
      </c>
    </row>
    <row r="2663">
      <c r="A2663" s="89"/>
      <c r="B2663" s="87"/>
      <c r="C2663" s="73"/>
      <c r="D2663" s="73"/>
      <c r="E2663" s="82"/>
      <c r="F2663" s="82"/>
      <c r="G2663" s="86"/>
      <c r="H2663" s="86"/>
      <c r="I2663" s="86"/>
      <c r="J2663" s="82"/>
      <c r="K2663" s="82"/>
      <c r="L2663" s="82"/>
      <c r="M2663" s="82"/>
      <c r="N2663" s="82"/>
      <c r="O2663" s="82"/>
      <c r="P2663" s="82"/>
      <c r="Q2663" s="82"/>
      <c r="R2663" s="82"/>
      <c r="S2663" s="82"/>
      <c r="T2663" s="82"/>
      <c r="U2663" s="82"/>
      <c r="V2663" s="82"/>
      <c r="W2663" s="82"/>
      <c r="X2663" s="82"/>
      <c r="Y2663" s="82"/>
      <c r="Z2663" s="82"/>
      <c r="AA2663" s="82"/>
      <c r="AB2663" s="82"/>
      <c r="AC2663" s="82"/>
      <c r="AD2663" s="82"/>
      <c r="AE2663" s="82"/>
      <c r="AF2663" s="82"/>
      <c r="AG2663" s="82"/>
      <c r="AH2663" s="82"/>
      <c r="AI2663" s="82"/>
      <c r="AJ2663" s="82"/>
      <c r="AK2663" s="82"/>
      <c r="AL2663" s="82"/>
      <c r="AM2663" s="82"/>
      <c r="AN2663" s="82"/>
      <c r="AO2663" s="82"/>
      <c r="AP2663" s="82"/>
      <c r="AQ2663" s="82"/>
      <c r="AR2663" s="82"/>
      <c r="AS2663" s="82"/>
      <c r="AT2663" s="82"/>
      <c r="AU2663" s="82"/>
      <c r="AV2663" s="82"/>
      <c r="AW2663" s="82" t="str">
        <f t="shared" si="1"/>
        <v/>
      </c>
      <c r="AX2663" s="83" t="str">
        <f t="array" ref="AX2663">IFERROR(DGET('SBV Import'!A:G,"SBV",{"RSC ID","Tier";B2663,A2663}))</f>
        <v/>
      </c>
      <c r="AY2663" s="82" t="str">
        <f t="shared" si="2"/>
        <v/>
      </c>
      <c r="AZ2663" s="82"/>
      <c r="BA2663" s="84" t="s">
        <v>152</v>
      </c>
      <c r="BB2663" s="84" t="str">
        <f>IFERROR(__xludf.DUMMYFUNCTION("iferror(if(A2663="""",,E2663&gt;=FILTER(Constants!$F$2:$F$10,Constants!$A$2:$A$10=A2663)))"),"")</f>
        <v/>
      </c>
    </row>
    <row r="2664">
      <c r="A2664" s="89"/>
      <c r="B2664" s="87"/>
      <c r="C2664" s="73"/>
      <c r="D2664" s="73"/>
      <c r="E2664" s="82"/>
      <c r="F2664" s="82"/>
      <c r="G2664" s="86"/>
      <c r="H2664" s="86"/>
      <c r="I2664" s="86"/>
      <c r="J2664" s="82"/>
      <c r="K2664" s="82"/>
      <c r="L2664" s="82"/>
      <c r="M2664" s="82"/>
      <c r="N2664" s="82"/>
      <c r="O2664" s="82"/>
      <c r="P2664" s="82"/>
      <c r="Q2664" s="82"/>
      <c r="R2664" s="82"/>
      <c r="S2664" s="82"/>
      <c r="T2664" s="82"/>
      <c r="U2664" s="82"/>
      <c r="V2664" s="82"/>
      <c r="W2664" s="82"/>
      <c r="X2664" s="82"/>
      <c r="Y2664" s="82"/>
      <c r="Z2664" s="82"/>
      <c r="AA2664" s="82"/>
      <c r="AB2664" s="82"/>
      <c r="AC2664" s="82"/>
      <c r="AD2664" s="82"/>
      <c r="AE2664" s="82"/>
      <c r="AF2664" s="82"/>
      <c r="AG2664" s="82"/>
      <c r="AH2664" s="82"/>
      <c r="AI2664" s="82"/>
      <c r="AJ2664" s="82"/>
      <c r="AK2664" s="82"/>
      <c r="AL2664" s="82"/>
      <c r="AM2664" s="82"/>
      <c r="AN2664" s="82"/>
      <c r="AO2664" s="82"/>
      <c r="AP2664" s="82"/>
      <c r="AQ2664" s="82"/>
      <c r="AR2664" s="82"/>
      <c r="AS2664" s="82"/>
      <c r="AT2664" s="82"/>
      <c r="AU2664" s="82"/>
      <c r="AV2664" s="82"/>
      <c r="AW2664" s="82" t="str">
        <f t="shared" si="1"/>
        <v/>
      </c>
      <c r="AX2664" s="83" t="str">
        <f t="array" ref="AX2664">IFERROR(DGET('SBV Import'!A:G,"SBV",{"RSC ID","Tier";B2664,A2664}))</f>
        <v/>
      </c>
      <c r="AY2664" s="82" t="str">
        <f t="shared" si="2"/>
        <v/>
      </c>
      <c r="AZ2664" s="82"/>
      <c r="BA2664" s="84" t="s">
        <v>152</v>
      </c>
      <c r="BB2664" s="84" t="str">
        <f>IFERROR(__xludf.DUMMYFUNCTION("iferror(if(A2664="""",,E2664&gt;=FILTER(Constants!$F$2:$F$10,Constants!$A$2:$A$10=A2664)))"),"")</f>
        <v/>
      </c>
    </row>
    <row r="2665">
      <c r="A2665" s="89"/>
      <c r="B2665" s="87"/>
      <c r="C2665" s="73"/>
      <c r="D2665" s="73"/>
      <c r="E2665" s="82"/>
      <c r="F2665" s="82"/>
      <c r="G2665" s="86"/>
      <c r="H2665" s="86"/>
      <c r="I2665" s="86"/>
      <c r="J2665" s="82"/>
      <c r="K2665" s="82"/>
      <c r="L2665" s="82"/>
      <c r="M2665" s="82"/>
      <c r="N2665" s="82"/>
      <c r="O2665" s="82"/>
      <c r="P2665" s="82"/>
      <c r="Q2665" s="82"/>
      <c r="R2665" s="82"/>
      <c r="S2665" s="82"/>
      <c r="T2665" s="82"/>
      <c r="U2665" s="82"/>
      <c r="V2665" s="82"/>
      <c r="W2665" s="82"/>
      <c r="X2665" s="82"/>
      <c r="Y2665" s="82"/>
      <c r="Z2665" s="82"/>
      <c r="AA2665" s="82"/>
      <c r="AB2665" s="82"/>
      <c r="AC2665" s="82"/>
      <c r="AD2665" s="82"/>
      <c r="AE2665" s="82"/>
      <c r="AF2665" s="82"/>
      <c r="AG2665" s="82"/>
      <c r="AH2665" s="82"/>
      <c r="AI2665" s="82"/>
      <c r="AJ2665" s="82"/>
      <c r="AK2665" s="82"/>
      <c r="AL2665" s="82"/>
      <c r="AM2665" s="82"/>
      <c r="AN2665" s="82"/>
      <c r="AO2665" s="82"/>
      <c r="AP2665" s="82"/>
      <c r="AQ2665" s="82"/>
      <c r="AR2665" s="82"/>
      <c r="AS2665" s="82"/>
      <c r="AT2665" s="82"/>
      <c r="AU2665" s="82"/>
      <c r="AV2665" s="82"/>
      <c r="AW2665" s="82" t="str">
        <f t="shared" si="1"/>
        <v/>
      </c>
      <c r="AX2665" s="83" t="str">
        <f t="array" ref="AX2665">IFERROR(DGET('SBV Import'!A:G,"SBV",{"RSC ID","Tier";B2665,A2665}))</f>
        <v/>
      </c>
      <c r="AY2665" s="82" t="str">
        <f t="shared" si="2"/>
        <v/>
      </c>
      <c r="AZ2665" s="82"/>
      <c r="BA2665" s="84" t="s">
        <v>152</v>
      </c>
      <c r="BB2665" s="84" t="str">
        <f>IFERROR(__xludf.DUMMYFUNCTION("iferror(if(A2665="""",,E2665&gt;=FILTER(Constants!$F$2:$F$10,Constants!$A$2:$A$10=A2665)))"),"")</f>
        <v/>
      </c>
    </row>
    <row r="2666">
      <c r="A2666" s="89"/>
      <c r="B2666" s="87"/>
      <c r="C2666" s="73"/>
      <c r="D2666" s="73"/>
      <c r="E2666" s="82"/>
      <c r="F2666" s="82"/>
      <c r="G2666" s="86"/>
      <c r="H2666" s="86"/>
      <c r="I2666" s="86"/>
      <c r="J2666" s="82"/>
      <c r="K2666" s="82"/>
      <c r="L2666" s="82"/>
      <c r="M2666" s="82"/>
      <c r="N2666" s="82"/>
      <c r="O2666" s="82"/>
      <c r="P2666" s="82"/>
      <c r="Q2666" s="82"/>
      <c r="R2666" s="82"/>
      <c r="S2666" s="82"/>
      <c r="T2666" s="82"/>
      <c r="U2666" s="82"/>
      <c r="V2666" s="82"/>
      <c r="W2666" s="82"/>
      <c r="X2666" s="82"/>
      <c r="Y2666" s="82"/>
      <c r="Z2666" s="82"/>
      <c r="AA2666" s="82"/>
      <c r="AB2666" s="82"/>
      <c r="AC2666" s="82"/>
      <c r="AD2666" s="82"/>
      <c r="AE2666" s="82"/>
      <c r="AF2666" s="82"/>
      <c r="AG2666" s="82"/>
      <c r="AH2666" s="82"/>
      <c r="AI2666" s="82"/>
      <c r="AJ2666" s="82"/>
      <c r="AK2666" s="82"/>
      <c r="AL2666" s="82"/>
      <c r="AM2666" s="82"/>
      <c r="AN2666" s="82"/>
      <c r="AO2666" s="82"/>
      <c r="AP2666" s="82"/>
      <c r="AQ2666" s="82"/>
      <c r="AR2666" s="82"/>
      <c r="AS2666" s="82"/>
      <c r="AT2666" s="82"/>
      <c r="AU2666" s="82"/>
      <c r="AV2666" s="82"/>
      <c r="AW2666" s="82" t="str">
        <f t="shared" si="1"/>
        <v/>
      </c>
      <c r="AX2666" s="83" t="str">
        <f t="array" ref="AX2666">IFERROR(DGET('SBV Import'!A:G,"SBV",{"RSC ID","Tier";B2666,A2666}))</f>
        <v/>
      </c>
      <c r="AY2666" s="82" t="str">
        <f t="shared" si="2"/>
        <v/>
      </c>
      <c r="AZ2666" s="82"/>
      <c r="BA2666" s="84" t="s">
        <v>152</v>
      </c>
      <c r="BB2666" s="84" t="str">
        <f>IFERROR(__xludf.DUMMYFUNCTION("iferror(if(A2666="""",,E2666&gt;=FILTER(Constants!$F$2:$F$10,Constants!$A$2:$A$10=A2666)))"),"")</f>
        <v/>
      </c>
    </row>
    <row r="2667">
      <c r="A2667" s="89"/>
      <c r="B2667" s="87"/>
      <c r="C2667" s="73"/>
      <c r="D2667" s="73"/>
      <c r="E2667" s="82"/>
      <c r="F2667" s="82"/>
      <c r="G2667" s="86"/>
      <c r="H2667" s="86"/>
      <c r="I2667" s="86"/>
      <c r="J2667" s="82"/>
      <c r="K2667" s="82"/>
      <c r="L2667" s="82"/>
      <c r="M2667" s="82"/>
      <c r="N2667" s="82"/>
      <c r="O2667" s="82"/>
      <c r="P2667" s="82"/>
      <c r="Q2667" s="82"/>
      <c r="R2667" s="82"/>
      <c r="S2667" s="82"/>
      <c r="T2667" s="82"/>
      <c r="U2667" s="82"/>
      <c r="V2667" s="82"/>
      <c r="W2667" s="82"/>
      <c r="X2667" s="82"/>
      <c r="Y2667" s="82"/>
      <c r="Z2667" s="82"/>
      <c r="AA2667" s="82"/>
      <c r="AB2667" s="82"/>
      <c r="AC2667" s="82"/>
      <c r="AD2667" s="82"/>
      <c r="AE2667" s="82"/>
      <c r="AF2667" s="82"/>
      <c r="AG2667" s="82"/>
      <c r="AH2667" s="82"/>
      <c r="AI2667" s="82"/>
      <c r="AJ2667" s="82"/>
      <c r="AK2667" s="82"/>
      <c r="AL2667" s="82"/>
      <c r="AM2667" s="82"/>
      <c r="AN2667" s="82"/>
      <c r="AO2667" s="82"/>
      <c r="AP2667" s="82"/>
      <c r="AQ2667" s="82"/>
      <c r="AR2667" s="82"/>
      <c r="AS2667" s="82"/>
      <c r="AT2667" s="82"/>
      <c r="AU2667" s="82"/>
      <c r="AV2667" s="82"/>
      <c r="AW2667" s="82" t="str">
        <f t="shared" si="1"/>
        <v/>
      </c>
      <c r="AX2667" s="83" t="str">
        <f t="array" ref="AX2667">IFERROR(DGET('SBV Import'!A:G,"SBV",{"RSC ID","Tier";B2667,A2667}))</f>
        <v/>
      </c>
      <c r="AY2667" s="82" t="str">
        <f t="shared" si="2"/>
        <v/>
      </c>
      <c r="AZ2667" s="82"/>
      <c r="BA2667" s="84" t="s">
        <v>152</v>
      </c>
      <c r="BB2667" s="84" t="str">
        <f>IFERROR(__xludf.DUMMYFUNCTION("iferror(if(A2667="""",,E2667&gt;=FILTER(Constants!$F$2:$F$10,Constants!$A$2:$A$10=A2667)))"),"")</f>
        <v/>
      </c>
    </row>
    <row r="2668">
      <c r="A2668" s="89"/>
      <c r="B2668" s="87"/>
      <c r="C2668" s="73"/>
      <c r="D2668" s="73"/>
      <c r="E2668" s="82"/>
      <c r="F2668" s="82"/>
      <c r="G2668" s="86"/>
      <c r="H2668" s="86"/>
      <c r="I2668" s="86"/>
      <c r="J2668" s="82"/>
      <c r="K2668" s="82"/>
      <c r="L2668" s="82"/>
      <c r="M2668" s="82"/>
      <c r="N2668" s="82"/>
      <c r="O2668" s="82"/>
      <c r="P2668" s="82"/>
      <c r="Q2668" s="82"/>
      <c r="R2668" s="82"/>
      <c r="S2668" s="82"/>
      <c r="T2668" s="82"/>
      <c r="U2668" s="82"/>
      <c r="V2668" s="82"/>
      <c r="W2668" s="82"/>
      <c r="X2668" s="82"/>
      <c r="Y2668" s="82"/>
      <c r="Z2668" s="82"/>
      <c r="AA2668" s="82"/>
      <c r="AB2668" s="82"/>
      <c r="AC2668" s="82"/>
      <c r="AD2668" s="82"/>
      <c r="AE2668" s="82"/>
      <c r="AF2668" s="82"/>
      <c r="AG2668" s="82"/>
      <c r="AH2668" s="82"/>
      <c r="AI2668" s="82"/>
      <c r="AJ2668" s="82"/>
      <c r="AK2668" s="82"/>
      <c r="AL2668" s="82"/>
      <c r="AM2668" s="82"/>
      <c r="AN2668" s="82"/>
      <c r="AO2668" s="82"/>
      <c r="AP2668" s="82"/>
      <c r="AQ2668" s="82"/>
      <c r="AR2668" s="82"/>
      <c r="AS2668" s="82"/>
      <c r="AT2668" s="82"/>
      <c r="AU2668" s="82"/>
      <c r="AV2668" s="82"/>
      <c r="AW2668" s="82" t="str">
        <f t="shared" si="1"/>
        <v/>
      </c>
      <c r="AX2668" s="83" t="str">
        <f t="array" ref="AX2668">IFERROR(DGET('SBV Import'!A:G,"SBV",{"RSC ID","Tier";B2668,A2668}))</f>
        <v/>
      </c>
      <c r="AY2668" s="82" t="str">
        <f t="shared" si="2"/>
        <v/>
      </c>
      <c r="AZ2668" s="82"/>
      <c r="BA2668" s="84" t="s">
        <v>152</v>
      </c>
      <c r="BB2668" s="84" t="str">
        <f>IFERROR(__xludf.DUMMYFUNCTION("iferror(if(A2668="""",,E2668&gt;=FILTER(Constants!$F$2:$F$10,Constants!$A$2:$A$10=A2668)))"),"")</f>
        <v/>
      </c>
    </row>
    <row r="2669">
      <c r="A2669" s="89"/>
      <c r="B2669" s="87"/>
      <c r="C2669" s="73"/>
      <c r="D2669" s="73"/>
      <c r="E2669" s="82"/>
      <c r="F2669" s="82"/>
      <c r="G2669" s="86"/>
      <c r="H2669" s="86"/>
      <c r="I2669" s="86"/>
      <c r="J2669" s="82"/>
      <c r="K2669" s="82"/>
      <c r="L2669" s="82"/>
      <c r="M2669" s="82"/>
      <c r="N2669" s="82"/>
      <c r="O2669" s="82"/>
      <c r="P2669" s="82"/>
      <c r="Q2669" s="82"/>
      <c r="R2669" s="82"/>
      <c r="S2669" s="82"/>
      <c r="T2669" s="82"/>
      <c r="U2669" s="82"/>
      <c r="V2669" s="82"/>
      <c r="W2669" s="82"/>
      <c r="X2669" s="82"/>
      <c r="Y2669" s="82"/>
      <c r="Z2669" s="82"/>
      <c r="AA2669" s="82"/>
      <c r="AB2669" s="82"/>
      <c r="AC2669" s="82"/>
      <c r="AD2669" s="82"/>
      <c r="AE2669" s="82"/>
      <c r="AF2669" s="82"/>
      <c r="AG2669" s="82"/>
      <c r="AH2669" s="82"/>
      <c r="AI2669" s="82"/>
      <c r="AJ2669" s="82"/>
      <c r="AK2669" s="82"/>
      <c r="AL2669" s="82"/>
      <c r="AM2669" s="82"/>
      <c r="AN2669" s="82"/>
      <c r="AO2669" s="82"/>
      <c r="AP2669" s="82"/>
      <c r="AQ2669" s="82"/>
      <c r="AR2669" s="82"/>
      <c r="AS2669" s="82"/>
      <c r="AT2669" s="82"/>
      <c r="AU2669" s="82"/>
      <c r="AV2669" s="82"/>
      <c r="AW2669" s="82" t="str">
        <f t="shared" si="1"/>
        <v/>
      </c>
      <c r="AX2669" s="83" t="str">
        <f t="array" ref="AX2669">IFERROR(DGET('SBV Import'!A:G,"SBV",{"RSC ID","Tier";B2669,A2669}))</f>
        <v/>
      </c>
      <c r="AY2669" s="82" t="str">
        <f t="shared" si="2"/>
        <v/>
      </c>
      <c r="AZ2669" s="82"/>
      <c r="BA2669" s="84" t="s">
        <v>152</v>
      </c>
      <c r="BB2669" s="84" t="str">
        <f>IFERROR(__xludf.DUMMYFUNCTION("iferror(if(A2669="""",,E2669&gt;=FILTER(Constants!$F$2:$F$10,Constants!$A$2:$A$10=A2669)))"),"")</f>
        <v/>
      </c>
    </row>
    <row r="2670">
      <c r="A2670" s="89"/>
      <c r="B2670" s="87"/>
      <c r="C2670" s="73"/>
      <c r="D2670" s="73"/>
      <c r="E2670" s="82"/>
      <c r="F2670" s="82"/>
      <c r="G2670" s="86"/>
      <c r="H2670" s="86"/>
      <c r="I2670" s="86"/>
      <c r="J2670" s="82"/>
      <c r="K2670" s="82"/>
      <c r="L2670" s="82"/>
      <c r="M2670" s="82"/>
      <c r="N2670" s="82"/>
      <c r="O2670" s="82"/>
      <c r="P2670" s="82"/>
      <c r="Q2670" s="82"/>
      <c r="R2670" s="82"/>
      <c r="S2670" s="82"/>
      <c r="T2670" s="82"/>
      <c r="U2670" s="82"/>
      <c r="V2670" s="82"/>
      <c r="W2670" s="82"/>
      <c r="X2670" s="82"/>
      <c r="Y2670" s="82"/>
      <c r="Z2670" s="82"/>
      <c r="AA2670" s="82"/>
      <c r="AB2670" s="82"/>
      <c r="AC2670" s="82"/>
      <c r="AD2670" s="82"/>
      <c r="AE2670" s="82"/>
      <c r="AF2670" s="82"/>
      <c r="AG2670" s="82"/>
      <c r="AH2670" s="82"/>
      <c r="AI2670" s="82"/>
      <c r="AJ2670" s="82"/>
      <c r="AK2670" s="82"/>
      <c r="AL2670" s="82"/>
      <c r="AM2670" s="82"/>
      <c r="AN2670" s="82"/>
      <c r="AO2670" s="82"/>
      <c r="AP2670" s="82"/>
      <c r="AQ2670" s="82"/>
      <c r="AR2670" s="82"/>
      <c r="AS2670" s="82"/>
      <c r="AT2670" s="82"/>
      <c r="AU2670" s="82"/>
      <c r="AV2670" s="82"/>
      <c r="AW2670" s="82" t="str">
        <f t="shared" si="1"/>
        <v/>
      </c>
      <c r="AX2670" s="83" t="str">
        <f t="array" ref="AX2670">IFERROR(DGET('SBV Import'!A:G,"SBV",{"RSC ID","Tier";B2670,A2670}))</f>
        <v/>
      </c>
      <c r="AY2670" s="82" t="str">
        <f t="shared" si="2"/>
        <v/>
      </c>
      <c r="AZ2670" s="82"/>
      <c r="BA2670" s="84" t="s">
        <v>152</v>
      </c>
      <c r="BB2670" s="84" t="str">
        <f>IFERROR(__xludf.DUMMYFUNCTION("iferror(if(A2670="""",,E2670&gt;=FILTER(Constants!$F$2:$F$10,Constants!$A$2:$A$10=A2670)))"),"")</f>
        <v/>
      </c>
    </row>
    <row r="2671">
      <c r="A2671" s="89"/>
      <c r="B2671" s="87"/>
      <c r="C2671" s="73"/>
      <c r="D2671" s="73"/>
      <c r="E2671" s="82"/>
      <c r="F2671" s="82"/>
      <c r="G2671" s="86"/>
      <c r="H2671" s="86"/>
      <c r="I2671" s="86"/>
      <c r="J2671" s="82"/>
      <c r="K2671" s="82"/>
      <c r="L2671" s="82"/>
      <c r="M2671" s="82"/>
      <c r="N2671" s="82"/>
      <c r="O2671" s="82"/>
      <c r="P2671" s="82"/>
      <c r="Q2671" s="82"/>
      <c r="R2671" s="82"/>
      <c r="S2671" s="82"/>
      <c r="T2671" s="82"/>
      <c r="U2671" s="82"/>
      <c r="V2671" s="82"/>
      <c r="W2671" s="82"/>
      <c r="X2671" s="82"/>
      <c r="Y2671" s="82"/>
      <c r="Z2671" s="82"/>
      <c r="AA2671" s="82"/>
      <c r="AB2671" s="82"/>
      <c r="AC2671" s="82"/>
      <c r="AD2671" s="82"/>
      <c r="AE2671" s="82"/>
      <c r="AF2671" s="82"/>
      <c r="AG2671" s="82"/>
      <c r="AH2671" s="82"/>
      <c r="AI2671" s="82"/>
      <c r="AJ2671" s="82"/>
      <c r="AK2671" s="82"/>
      <c r="AL2671" s="82"/>
      <c r="AM2671" s="82"/>
      <c r="AN2671" s="82"/>
      <c r="AO2671" s="82"/>
      <c r="AP2671" s="82"/>
      <c r="AQ2671" s="82"/>
      <c r="AR2671" s="82"/>
      <c r="AS2671" s="82"/>
      <c r="AT2671" s="82"/>
      <c r="AU2671" s="82"/>
      <c r="AV2671" s="82"/>
      <c r="AW2671" s="82" t="str">
        <f t="shared" si="1"/>
        <v/>
      </c>
      <c r="AX2671" s="83" t="str">
        <f t="array" ref="AX2671">IFERROR(DGET('SBV Import'!A:G,"SBV",{"RSC ID","Tier";B2671,A2671}))</f>
        <v/>
      </c>
      <c r="AY2671" s="82" t="str">
        <f t="shared" si="2"/>
        <v/>
      </c>
      <c r="AZ2671" s="82"/>
      <c r="BA2671" s="84" t="s">
        <v>152</v>
      </c>
      <c r="BB2671" s="84" t="str">
        <f>IFERROR(__xludf.DUMMYFUNCTION("iferror(if(A2671="""",,E2671&gt;=FILTER(Constants!$F$2:$F$10,Constants!$A$2:$A$10=A2671)))"),"")</f>
        <v/>
      </c>
    </row>
    <row r="2672">
      <c r="A2672" s="89"/>
      <c r="B2672" s="87"/>
      <c r="C2672" s="73"/>
      <c r="D2672" s="73"/>
      <c r="E2672" s="82"/>
      <c r="F2672" s="82"/>
      <c r="G2672" s="86"/>
      <c r="H2672" s="86"/>
      <c r="I2672" s="86"/>
      <c r="J2672" s="82"/>
      <c r="K2672" s="82"/>
      <c r="L2672" s="82"/>
      <c r="M2672" s="82"/>
      <c r="N2672" s="82"/>
      <c r="O2672" s="82"/>
      <c r="P2672" s="82"/>
      <c r="Q2672" s="82"/>
      <c r="R2672" s="82"/>
      <c r="S2672" s="82"/>
      <c r="T2672" s="82"/>
      <c r="U2672" s="82"/>
      <c r="V2672" s="82"/>
      <c r="W2672" s="82"/>
      <c r="X2672" s="82"/>
      <c r="Y2672" s="82"/>
      <c r="Z2672" s="82"/>
      <c r="AA2672" s="82"/>
      <c r="AB2672" s="82"/>
      <c r="AC2672" s="82"/>
      <c r="AD2672" s="82"/>
      <c r="AE2672" s="82"/>
      <c r="AF2672" s="82"/>
      <c r="AG2672" s="82"/>
      <c r="AH2672" s="82"/>
      <c r="AI2672" s="82"/>
      <c r="AJ2672" s="82"/>
      <c r="AK2672" s="82"/>
      <c r="AL2672" s="82"/>
      <c r="AM2672" s="82"/>
      <c r="AN2672" s="82"/>
      <c r="AO2672" s="82"/>
      <c r="AP2672" s="82"/>
      <c r="AQ2672" s="82"/>
      <c r="AR2672" s="82"/>
      <c r="AS2672" s="82"/>
      <c r="AT2672" s="82"/>
      <c r="AU2672" s="82"/>
      <c r="AV2672" s="82"/>
      <c r="AW2672" s="82" t="str">
        <f t="shared" si="1"/>
        <v/>
      </c>
      <c r="AX2672" s="83" t="str">
        <f t="array" ref="AX2672">IFERROR(DGET('SBV Import'!A:G,"SBV",{"RSC ID","Tier";B2672,A2672}))</f>
        <v/>
      </c>
      <c r="AY2672" s="82" t="str">
        <f t="shared" si="2"/>
        <v/>
      </c>
      <c r="AZ2672" s="82"/>
      <c r="BA2672" s="84" t="s">
        <v>152</v>
      </c>
      <c r="BB2672" s="84" t="str">
        <f>IFERROR(__xludf.DUMMYFUNCTION("iferror(if(A2672="""",,E2672&gt;=FILTER(Constants!$F$2:$F$10,Constants!$A$2:$A$10=A2672)))"),"")</f>
        <v/>
      </c>
    </row>
    <row r="2673">
      <c r="A2673" s="89"/>
      <c r="B2673" s="87"/>
      <c r="C2673" s="73"/>
      <c r="D2673" s="73"/>
      <c r="E2673" s="82"/>
      <c r="F2673" s="82"/>
      <c r="G2673" s="86"/>
      <c r="H2673" s="86"/>
      <c r="I2673" s="86"/>
      <c r="J2673" s="82"/>
      <c r="K2673" s="82"/>
      <c r="L2673" s="82"/>
      <c r="M2673" s="82"/>
      <c r="N2673" s="82"/>
      <c r="O2673" s="82"/>
      <c r="P2673" s="82"/>
      <c r="Q2673" s="82"/>
      <c r="R2673" s="82"/>
      <c r="S2673" s="82"/>
      <c r="T2673" s="82"/>
      <c r="U2673" s="82"/>
      <c r="V2673" s="82"/>
      <c r="W2673" s="82"/>
      <c r="X2673" s="82"/>
      <c r="Y2673" s="82"/>
      <c r="Z2673" s="82"/>
      <c r="AA2673" s="82"/>
      <c r="AB2673" s="82"/>
      <c r="AC2673" s="82"/>
      <c r="AD2673" s="82"/>
      <c r="AE2673" s="82"/>
      <c r="AF2673" s="82"/>
      <c r="AG2673" s="82"/>
      <c r="AH2673" s="82"/>
      <c r="AI2673" s="82"/>
      <c r="AJ2673" s="82"/>
      <c r="AK2673" s="82"/>
      <c r="AL2673" s="82"/>
      <c r="AM2673" s="82"/>
      <c r="AN2673" s="82"/>
      <c r="AO2673" s="82"/>
      <c r="AP2673" s="82"/>
      <c r="AQ2673" s="82"/>
      <c r="AR2673" s="82"/>
      <c r="AS2673" s="82"/>
      <c r="AT2673" s="82"/>
      <c r="AU2673" s="82"/>
      <c r="AV2673" s="82"/>
      <c r="AW2673" s="82" t="str">
        <f t="shared" si="1"/>
        <v/>
      </c>
      <c r="AX2673" s="83" t="str">
        <f t="array" ref="AX2673">IFERROR(DGET('SBV Import'!A:G,"SBV",{"RSC ID","Tier";B2673,A2673}))</f>
        <v/>
      </c>
      <c r="AY2673" s="82" t="str">
        <f t="shared" si="2"/>
        <v/>
      </c>
      <c r="AZ2673" s="82"/>
      <c r="BA2673" s="84" t="s">
        <v>152</v>
      </c>
      <c r="BB2673" s="84" t="str">
        <f>IFERROR(__xludf.DUMMYFUNCTION("iferror(if(A2673="""",,E2673&gt;=FILTER(Constants!$F$2:$F$10,Constants!$A$2:$A$10=A2673)))"),"")</f>
        <v/>
      </c>
    </row>
    <row r="2674">
      <c r="A2674" s="89"/>
      <c r="B2674" s="87"/>
      <c r="C2674" s="73"/>
      <c r="D2674" s="73"/>
      <c r="E2674" s="82"/>
      <c r="F2674" s="82"/>
      <c r="G2674" s="86"/>
      <c r="H2674" s="86"/>
      <c r="I2674" s="86"/>
      <c r="J2674" s="82"/>
      <c r="K2674" s="82"/>
      <c r="L2674" s="82"/>
      <c r="M2674" s="82"/>
      <c r="N2674" s="82"/>
      <c r="O2674" s="82"/>
      <c r="P2674" s="82"/>
      <c r="Q2674" s="82"/>
      <c r="R2674" s="82"/>
      <c r="S2674" s="82"/>
      <c r="T2674" s="82"/>
      <c r="U2674" s="82"/>
      <c r="V2674" s="82"/>
      <c r="W2674" s="82"/>
      <c r="X2674" s="82"/>
      <c r="Y2674" s="82"/>
      <c r="Z2674" s="82"/>
      <c r="AA2674" s="82"/>
      <c r="AB2674" s="82"/>
      <c r="AC2674" s="82"/>
      <c r="AD2674" s="82"/>
      <c r="AE2674" s="82"/>
      <c r="AF2674" s="82"/>
      <c r="AG2674" s="82"/>
      <c r="AH2674" s="82"/>
      <c r="AI2674" s="82"/>
      <c r="AJ2674" s="82"/>
      <c r="AK2674" s="82"/>
      <c r="AL2674" s="82"/>
      <c r="AM2674" s="82"/>
      <c r="AN2674" s="82"/>
      <c r="AO2674" s="82"/>
      <c r="AP2674" s="82"/>
      <c r="AQ2674" s="82"/>
      <c r="AR2674" s="82"/>
      <c r="AS2674" s="82"/>
      <c r="AT2674" s="82"/>
      <c r="AU2674" s="82"/>
      <c r="AV2674" s="82"/>
      <c r="AW2674" s="82" t="str">
        <f t="shared" si="1"/>
        <v/>
      </c>
      <c r="AX2674" s="83" t="str">
        <f t="array" ref="AX2674">IFERROR(DGET('SBV Import'!A:G,"SBV",{"RSC ID","Tier";B2674,A2674}))</f>
        <v/>
      </c>
      <c r="AY2674" s="82" t="str">
        <f t="shared" si="2"/>
        <v/>
      </c>
      <c r="AZ2674" s="82"/>
      <c r="BA2674" s="84" t="s">
        <v>152</v>
      </c>
      <c r="BB2674" s="84" t="str">
        <f>IFERROR(__xludf.DUMMYFUNCTION("iferror(if(A2674="""",,E2674&gt;=FILTER(Constants!$F$2:$F$10,Constants!$A$2:$A$10=A2674)))"),"")</f>
        <v/>
      </c>
    </row>
    <row r="2675">
      <c r="A2675" s="89"/>
      <c r="B2675" s="87"/>
      <c r="C2675" s="73"/>
      <c r="D2675" s="73"/>
      <c r="E2675" s="82"/>
      <c r="F2675" s="82"/>
      <c r="G2675" s="86"/>
      <c r="H2675" s="86"/>
      <c r="I2675" s="86"/>
      <c r="J2675" s="82"/>
      <c r="K2675" s="82"/>
      <c r="L2675" s="82"/>
      <c r="M2675" s="82"/>
      <c r="N2675" s="82"/>
      <c r="O2675" s="82"/>
      <c r="P2675" s="82"/>
      <c r="Q2675" s="82"/>
      <c r="R2675" s="82"/>
      <c r="S2675" s="82"/>
      <c r="T2675" s="82"/>
      <c r="U2675" s="82"/>
      <c r="V2675" s="82"/>
      <c r="W2675" s="82"/>
      <c r="X2675" s="82"/>
      <c r="Y2675" s="82"/>
      <c r="Z2675" s="82"/>
      <c r="AA2675" s="82"/>
      <c r="AB2675" s="82"/>
      <c r="AC2675" s="82"/>
      <c r="AD2675" s="82"/>
      <c r="AE2675" s="82"/>
      <c r="AF2675" s="82"/>
      <c r="AG2675" s="82"/>
      <c r="AH2675" s="82"/>
      <c r="AI2675" s="82"/>
      <c r="AJ2675" s="82"/>
      <c r="AK2675" s="82"/>
      <c r="AL2675" s="82"/>
      <c r="AM2675" s="82"/>
      <c r="AN2675" s="82"/>
      <c r="AO2675" s="82"/>
      <c r="AP2675" s="82"/>
      <c r="AQ2675" s="82"/>
      <c r="AR2675" s="82"/>
      <c r="AS2675" s="82"/>
      <c r="AT2675" s="82"/>
      <c r="AU2675" s="82"/>
      <c r="AV2675" s="82"/>
      <c r="AW2675" s="82" t="str">
        <f t="shared" si="1"/>
        <v/>
      </c>
      <c r="AX2675" s="83" t="str">
        <f t="array" ref="AX2675">IFERROR(DGET('SBV Import'!A:G,"SBV",{"RSC ID","Tier";B2675,A2675}))</f>
        <v/>
      </c>
      <c r="AY2675" s="82" t="str">
        <f t="shared" si="2"/>
        <v/>
      </c>
      <c r="AZ2675" s="82"/>
      <c r="BA2675" s="84" t="s">
        <v>152</v>
      </c>
      <c r="BB2675" s="84" t="str">
        <f>IFERROR(__xludf.DUMMYFUNCTION("iferror(if(A2675="""",,E2675&gt;=FILTER(Constants!$F$2:$F$10,Constants!$A$2:$A$10=A2675)))"),"")</f>
        <v/>
      </c>
    </row>
    <row r="2676">
      <c r="A2676" s="89"/>
      <c r="B2676" s="87"/>
      <c r="C2676" s="73"/>
      <c r="D2676" s="73"/>
      <c r="E2676" s="82"/>
      <c r="F2676" s="82"/>
      <c r="G2676" s="86"/>
      <c r="H2676" s="86"/>
      <c r="I2676" s="86"/>
      <c r="J2676" s="82"/>
      <c r="K2676" s="82"/>
      <c r="L2676" s="82"/>
      <c r="M2676" s="82"/>
      <c r="N2676" s="82"/>
      <c r="O2676" s="82"/>
      <c r="P2676" s="82"/>
      <c r="Q2676" s="82"/>
      <c r="R2676" s="82"/>
      <c r="S2676" s="82"/>
      <c r="T2676" s="82"/>
      <c r="U2676" s="82"/>
      <c r="V2676" s="82"/>
      <c r="W2676" s="82"/>
      <c r="X2676" s="82"/>
      <c r="Y2676" s="82"/>
      <c r="Z2676" s="82"/>
      <c r="AA2676" s="82"/>
      <c r="AB2676" s="82"/>
      <c r="AC2676" s="82"/>
      <c r="AD2676" s="82"/>
      <c r="AE2676" s="82"/>
      <c r="AF2676" s="82"/>
      <c r="AG2676" s="82"/>
      <c r="AH2676" s="82"/>
      <c r="AI2676" s="82"/>
      <c r="AJ2676" s="82"/>
      <c r="AK2676" s="82"/>
      <c r="AL2676" s="82"/>
      <c r="AM2676" s="82"/>
      <c r="AN2676" s="82"/>
      <c r="AO2676" s="82"/>
      <c r="AP2676" s="82"/>
      <c r="AQ2676" s="82"/>
      <c r="AR2676" s="82"/>
      <c r="AS2676" s="82"/>
      <c r="AT2676" s="82"/>
      <c r="AU2676" s="82"/>
      <c r="AV2676" s="82"/>
      <c r="AW2676" s="82" t="str">
        <f t="shared" si="1"/>
        <v/>
      </c>
      <c r="AX2676" s="83" t="str">
        <f t="array" ref="AX2676">IFERROR(DGET('SBV Import'!A:G,"SBV",{"RSC ID","Tier";B2676,A2676}))</f>
        <v/>
      </c>
      <c r="AY2676" s="82" t="str">
        <f t="shared" si="2"/>
        <v/>
      </c>
      <c r="AZ2676" s="82"/>
      <c r="BA2676" s="84" t="s">
        <v>152</v>
      </c>
      <c r="BB2676" s="84" t="str">
        <f>IFERROR(__xludf.DUMMYFUNCTION("iferror(if(A2676="""",,E2676&gt;=FILTER(Constants!$F$2:$F$10,Constants!$A$2:$A$10=A2676)))"),"")</f>
        <v/>
      </c>
    </row>
    <row r="2677">
      <c r="A2677" s="89"/>
      <c r="B2677" s="87"/>
      <c r="C2677" s="73"/>
      <c r="D2677" s="73"/>
      <c r="E2677" s="82"/>
      <c r="F2677" s="82"/>
      <c r="G2677" s="86"/>
      <c r="H2677" s="86"/>
      <c r="I2677" s="86"/>
      <c r="J2677" s="82"/>
      <c r="K2677" s="82"/>
      <c r="L2677" s="82"/>
      <c r="M2677" s="82"/>
      <c r="N2677" s="82"/>
      <c r="O2677" s="82"/>
      <c r="P2677" s="82"/>
      <c r="Q2677" s="82"/>
      <c r="R2677" s="82"/>
      <c r="S2677" s="82"/>
      <c r="T2677" s="82"/>
      <c r="U2677" s="82"/>
      <c r="V2677" s="82"/>
      <c r="W2677" s="82"/>
      <c r="X2677" s="82"/>
      <c r="Y2677" s="82"/>
      <c r="Z2677" s="82"/>
      <c r="AA2677" s="82"/>
      <c r="AB2677" s="82"/>
      <c r="AC2677" s="82"/>
      <c r="AD2677" s="82"/>
      <c r="AE2677" s="82"/>
      <c r="AF2677" s="82"/>
      <c r="AG2677" s="82"/>
      <c r="AH2677" s="82"/>
      <c r="AI2677" s="82"/>
      <c r="AJ2677" s="82"/>
      <c r="AK2677" s="82"/>
      <c r="AL2677" s="82"/>
      <c r="AM2677" s="82"/>
      <c r="AN2677" s="82"/>
      <c r="AO2677" s="82"/>
      <c r="AP2677" s="82"/>
      <c r="AQ2677" s="82"/>
      <c r="AR2677" s="82"/>
      <c r="AS2677" s="82"/>
      <c r="AT2677" s="82"/>
      <c r="AU2677" s="82"/>
      <c r="AV2677" s="82"/>
      <c r="AW2677" s="82" t="str">
        <f t="shared" si="1"/>
        <v/>
      </c>
      <c r="AX2677" s="83" t="str">
        <f t="array" ref="AX2677">IFERROR(DGET('SBV Import'!A:G,"SBV",{"RSC ID","Tier";B2677,A2677}))</f>
        <v/>
      </c>
      <c r="AY2677" s="82" t="str">
        <f t="shared" si="2"/>
        <v/>
      </c>
      <c r="AZ2677" s="82"/>
      <c r="BA2677" s="84" t="s">
        <v>152</v>
      </c>
      <c r="BB2677" s="84" t="str">
        <f>IFERROR(__xludf.DUMMYFUNCTION("iferror(if(A2677="""",,E2677&gt;=FILTER(Constants!$F$2:$F$10,Constants!$A$2:$A$10=A2677)))"),"")</f>
        <v/>
      </c>
    </row>
    <row r="2678">
      <c r="A2678" s="89"/>
      <c r="B2678" s="87"/>
      <c r="C2678" s="73"/>
      <c r="D2678" s="73"/>
      <c r="E2678" s="82"/>
      <c r="F2678" s="82"/>
      <c r="G2678" s="86"/>
      <c r="H2678" s="86"/>
      <c r="I2678" s="86"/>
      <c r="J2678" s="82"/>
      <c r="K2678" s="82"/>
      <c r="L2678" s="82"/>
      <c r="M2678" s="82"/>
      <c r="N2678" s="82"/>
      <c r="O2678" s="82"/>
      <c r="P2678" s="82"/>
      <c r="Q2678" s="82"/>
      <c r="R2678" s="82"/>
      <c r="S2678" s="82"/>
      <c r="T2678" s="82"/>
      <c r="U2678" s="82"/>
      <c r="V2678" s="82"/>
      <c r="W2678" s="82"/>
      <c r="X2678" s="82"/>
      <c r="Y2678" s="82"/>
      <c r="Z2678" s="82"/>
      <c r="AA2678" s="82"/>
      <c r="AB2678" s="82"/>
      <c r="AC2678" s="82"/>
      <c r="AD2678" s="82"/>
      <c r="AE2678" s="82"/>
      <c r="AF2678" s="82"/>
      <c r="AG2678" s="82"/>
      <c r="AH2678" s="82"/>
      <c r="AI2678" s="82"/>
      <c r="AJ2678" s="82"/>
      <c r="AK2678" s="82"/>
      <c r="AL2678" s="82"/>
      <c r="AM2678" s="82"/>
      <c r="AN2678" s="82"/>
      <c r="AO2678" s="82"/>
      <c r="AP2678" s="82"/>
      <c r="AQ2678" s="82"/>
      <c r="AR2678" s="82"/>
      <c r="AS2678" s="82"/>
      <c r="AT2678" s="82"/>
      <c r="AU2678" s="82"/>
      <c r="AV2678" s="82"/>
      <c r="AW2678" s="82" t="str">
        <f t="shared" si="1"/>
        <v/>
      </c>
      <c r="AX2678" s="83" t="str">
        <f t="array" ref="AX2678">IFERROR(DGET('SBV Import'!A:G,"SBV",{"RSC ID","Tier";B2678,A2678}))</f>
        <v/>
      </c>
      <c r="AY2678" s="82" t="str">
        <f t="shared" si="2"/>
        <v/>
      </c>
      <c r="AZ2678" s="82"/>
      <c r="BA2678" s="84" t="s">
        <v>152</v>
      </c>
      <c r="BB2678" s="84" t="str">
        <f>IFERROR(__xludf.DUMMYFUNCTION("iferror(if(A2678="""",,E2678&gt;=FILTER(Constants!$F$2:$F$10,Constants!$A$2:$A$10=A2678)))"),"")</f>
        <v/>
      </c>
    </row>
    <row r="2679">
      <c r="A2679" s="89"/>
      <c r="B2679" s="87"/>
      <c r="C2679" s="73"/>
      <c r="D2679" s="73"/>
      <c r="E2679" s="82"/>
      <c r="F2679" s="82"/>
      <c r="G2679" s="86"/>
      <c r="H2679" s="86"/>
      <c r="I2679" s="86"/>
      <c r="J2679" s="82"/>
      <c r="K2679" s="82"/>
      <c r="L2679" s="82"/>
      <c r="M2679" s="82"/>
      <c r="N2679" s="82"/>
      <c r="O2679" s="82"/>
      <c r="P2679" s="82"/>
      <c r="Q2679" s="82"/>
      <c r="R2679" s="82"/>
      <c r="S2679" s="82"/>
      <c r="T2679" s="82"/>
      <c r="U2679" s="82"/>
      <c r="V2679" s="82"/>
      <c r="W2679" s="82"/>
      <c r="X2679" s="82"/>
      <c r="Y2679" s="82"/>
      <c r="Z2679" s="82"/>
      <c r="AA2679" s="82"/>
      <c r="AB2679" s="82"/>
      <c r="AC2679" s="82"/>
      <c r="AD2679" s="82"/>
      <c r="AE2679" s="82"/>
      <c r="AF2679" s="82"/>
      <c r="AG2679" s="82"/>
      <c r="AH2679" s="82"/>
      <c r="AI2679" s="82"/>
      <c r="AJ2679" s="82"/>
      <c r="AK2679" s="82"/>
      <c r="AL2679" s="82"/>
      <c r="AM2679" s="82"/>
      <c r="AN2679" s="82"/>
      <c r="AO2679" s="82"/>
      <c r="AP2679" s="82"/>
      <c r="AQ2679" s="82"/>
      <c r="AR2679" s="82"/>
      <c r="AS2679" s="82"/>
      <c r="AT2679" s="82"/>
      <c r="AU2679" s="82"/>
      <c r="AV2679" s="82"/>
      <c r="AW2679" s="82" t="str">
        <f t="shared" si="1"/>
        <v/>
      </c>
      <c r="AX2679" s="83" t="str">
        <f t="array" ref="AX2679">IFERROR(DGET('SBV Import'!A:G,"SBV",{"RSC ID","Tier";B2679,A2679}))</f>
        <v/>
      </c>
      <c r="AY2679" s="82" t="str">
        <f t="shared" si="2"/>
        <v/>
      </c>
      <c r="AZ2679" s="82"/>
      <c r="BA2679" s="84" t="s">
        <v>152</v>
      </c>
      <c r="BB2679" s="84" t="str">
        <f>IFERROR(__xludf.DUMMYFUNCTION("iferror(if(A2679="""",,E2679&gt;=FILTER(Constants!$F$2:$F$10,Constants!$A$2:$A$10=A2679)))"),"")</f>
        <v/>
      </c>
    </row>
    <row r="2680">
      <c r="A2680" s="89"/>
      <c r="B2680" s="87"/>
      <c r="C2680" s="73"/>
      <c r="D2680" s="73"/>
      <c r="E2680" s="82"/>
      <c r="F2680" s="82"/>
      <c r="G2680" s="86"/>
      <c r="H2680" s="86"/>
      <c r="I2680" s="86"/>
      <c r="J2680" s="82"/>
      <c r="K2680" s="82"/>
      <c r="L2680" s="82"/>
      <c r="M2680" s="82"/>
      <c r="N2680" s="82"/>
      <c r="O2680" s="82"/>
      <c r="P2680" s="82"/>
      <c r="Q2680" s="82"/>
      <c r="R2680" s="82"/>
      <c r="S2680" s="82"/>
      <c r="T2680" s="82"/>
      <c r="U2680" s="82"/>
      <c r="V2680" s="82"/>
      <c r="W2680" s="82"/>
      <c r="X2680" s="82"/>
      <c r="Y2680" s="82"/>
      <c r="Z2680" s="82"/>
      <c r="AA2680" s="82"/>
      <c r="AB2680" s="82"/>
      <c r="AC2680" s="82"/>
      <c r="AD2680" s="82"/>
      <c r="AE2680" s="82"/>
      <c r="AF2680" s="82"/>
      <c r="AG2680" s="82"/>
      <c r="AH2680" s="82"/>
      <c r="AI2680" s="82"/>
      <c r="AJ2680" s="82"/>
      <c r="AK2680" s="82"/>
      <c r="AL2680" s="82"/>
      <c r="AM2680" s="82"/>
      <c r="AN2680" s="82"/>
      <c r="AO2680" s="82"/>
      <c r="AP2680" s="82"/>
      <c r="AQ2680" s="82"/>
      <c r="AR2680" s="82"/>
      <c r="AS2680" s="82"/>
      <c r="AT2680" s="82"/>
      <c r="AU2680" s="82"/>
      <c r="AV2680" s="82"/>
      <c r="AW2680" s="82" t="str">
        <f t="shared" si="1"/>
        <v/>
      </c>
      <c r="AX2680" s="83" t="str">
        <f t="array" ref="AX2680">IFERROR(DGET('SBV Import'!A:G,"SBV",{"RSC ID","Tier";B2680,A2680}))</f>
        <v/>
      </c>
      <c r="AY2680" s="82" t="str">
        <f t="shared" si="2"/>
        <v/>
      </c>
      <c r="AZ2680" s="82"/>
      <c r="BA2680" s="84" t="s">
        <v>152</v>
      </c>
      <c r="BB2680" s="84" t="str">
        <f>IFERROR(__xludf.DUMMYFUNCTION("iferror(if(A2680="""",,E2680&gt;=FILTER(Constants!$F$2:$F$10,Constants!$A$2:$A$10=A2680)))"),"")</f>
        <v/>
      </c>
    </row>
    <row r="2681">
      <c r="A2681" s="89"/>
      <c r="B2681" s="87"/>
      <c r="C2681" s="73"/>
      <c r="D2681" s="73"/>
      <c r="E2681" s="82"/>
      <c r="F2681" s="82"/>
      <c r="G2681" s="86"/>
      <c r="H2681" s="86"/>
      <c r="I2681" s="86"/>
      <c r="J2681" s="82"/>
      <c r="K2681" s="82"/>
      <c r="L2681" s="82"/>
      <c r="M2681" s="82"/>
      <c r="N2681" s="82"/>
      <c r="O2681" s="82"/>
      <c r="P2681" s="82"/>
      <c r="Q2681" s="82"/>
      <c r="R2681" s="82"/>
      <c r="S2681" s="82"/>
      <c r="T2681" s="82"/>
      <c r="U2681" s="82"/>
      <c r="V2681" s="82"/>
      <c r="W2681" s="82"/>
      <c r="X2681" s="82"/>
      <c r="Y2681" s="82"/>
      <c r="Z2681" s="82"/>
      <c r="AA2681" s="82"/>
      <c r="AB2681" s="82"/>
      <c r="AC2681" s="82"/>
      <c r="AD2681" s="82"/>
      <c r="AE2681" s="82"/>
      <c r="AF2681" s="82"/>
      <c r="AG2681" s="82"/>
      <c r="AH2681" s="82"/>
      <c r="AI2681" s="82"/>
      <c r="AJ2681" s="82"/>
      <c r="AK2681" s="82"/>
      <c r="AL2681" s="82"/>
      <c r="AM2681" s="82"/>
      <c r="AN2681" s="82"/>
      <c r="AO2681" s="82"/>
      <c r="AP2681" s="82"/>
      <c r="AQ2681" s="82"/>
      <c r="AR2681" s="82"/>
      <c r="AS2681" s="82"/>
      <c r="AT2681" s="82"/>
      <c r="AU2681" s="82"/>
      <c r="AV2681" s="82"/>
      <c r="AW2681" s="82" t="str">
        <f t="shared" si="1"/>
        <v/>
      </c>
      <c r="AX2681" s="83" t="str">
        <f t="array" ref="AX2681">IFERROR(DGET('SBV Import'!A:G,"SBV",{"RSC ID","Tier";B2681,A2681}))</f>
        <v/>
      </c>
      <c r="AY2681" s="82" t="str">
        <f t="shared" si="2"/>
        <v/>
      </c>
      <c r="AZ2681" s="82"/>
      <c r="BA2681" s="84" t="s">
        <v>152</v>
      </c>
      <c r="BB2681" s="84" t="str">
        <f>IFERROR(__xludf.DUMMYFUNCTION("iferror(if(A2681="""",,E2681&gt;=FILTER(Constants!$F$2:$F$10,Constants!$A$2:$A$10=A2681)))"),"")</f>
        <v/>
      </c>
    </row>
    <row r="2682">
      <c r="A2682" s="89"/>
      <c r="B2682" s="87"/>
      <c r="C2682" s="73"/>
      <c r="D2682" s="73"/>
      <c r="E2682" s="82"/>
      <c r="F2682" s="82"/>
      <c r="G2682" s="86"/>
      <c r="H2682" s="86"/>
      <c r="I2682" s="86"/>
      <c r="J2682" s="82"/>
      <c r="K2682" s="82"/>
      <c r="L2682" s="82"/>
      <c r="M2682" s="82"/>
      <c r="N2682" s="82"/>
      <c r="O2682" s="82"/>
      <c r="P2682" s="82"/>
      <c r="Q2682" s="82"/>
      <c r="R2682" s="82"/>
      <c r="S2682" s="82"/>
      <c r="T2682" s="82"/>
      <c r="U2682" s="82"/>
      <c r="V2682" s="82"/>
      <c r="W2682" s="82"/>
      <c r="X2682" s="82"/>
      <c r="Y2682" s="82"/>
      <c r="Z2682" s="82"/>
      <c r="AA2682" s="82"/>
      <c r="AB2682" s="82"/>
      <c r="AC2682" s="82"/>
      <c r="AD2682" s="82"/>
      <c r="AE2682" s="82"/>
      <c r="AF2682" s="82"/>
      <c r="AG2682" s="82"/>
      <c r="AH2682" s="82"/>
      <c r="AI2682" s="82"/>
      <c r="AJ2682" s="82"/>
      <c r="AK2682" s="82"/>
      <c r="AL2682" s="82"/>
      <c r="AM2682" s="82"/>
      <c r="AN2682" s="82"/>
      <c r="AO2682" s="82"/>
      <c r="AP2682" s="82"/>
      <c r="AQ2682" s="82"/>
      <c r="AR2682" s="82"/>
      <c r="AS2682" s="82"/>
      <c r="AT2682" s="82"/>
      <c r="AU2682" s="82"/>
      <c r="AV2682" s="82"/>
      <c r="AW2682" s="82" t="str">
        <f t="shared" si="1"/>
        <v/>
      </c>
      <c r="AX2682" s="83" t="str">
        <f t="array" ref="AX2682">IFERROR(DGET('SBV Import'!A:G,"SBV",{"RSC ID","Tier";B2682,A2682}))</f>
        <v/>
      </c>
      <c r="AY2682" s="82" t="str">
        <f t="shared" si="2"/>
        <v/>
      </c>
      <c r="AZ2682" s="82"/>
      <c r="BA2682" s="84" t="s">
        <v>152</v>
      </c>
      <c r="BB2682" s="84" t="str">
        <f>IFERROR(__xludf.DUMMYFUNCTION("iferror(if(A2682="""",,E2682&gt;=FILTER(Constants!$F$2:$F$10,Constants!$A$2:$A$10=A2682)))"),"")</f>
        <v/>
      </c>
    </row>
    <row r="2683">
      <c r="A2683" s="89"/>
      <c r="B2683" s="87"/>
      <c r="C2683" s="73"/>
      <c r="D2683" s="73"/>
      <c r="E2683" s="82"/>
      <c r="F2683" s="82"/>
      <c r="G2683" s="86"/>
      <c r="H2683" s="86"/>
      <c r="I2683" s="86"/>
      <c r="J2683" s="82"/>
      <c r="K2683" s="82"/>
      <c r="L2683" s="82"/>
      <c r="M2683" s="82"/>
      <c r="N2683" s="82"/>
      <c r="O2683" s="82"/>
      <c r="P2683" s="82"/>
      <c r="Q2683" s="82"/>
      <c r="R2683" s="82"/>
      <c r="S2683" s="82"/>
      <c r="T2683" s="82"/>
      <c r="U2683" s="82"/>
      <c r="V2683" s="82"/>
      <c r="W2683" s="82"/>
      <c r="X2683" s="82"/>
      <c r="Y2683" s="82"/>
      <c r="Z2683" s="82"/>
      <c r="AA2683" s="82"/>
      <c r="AB2683" s="82"/>
      <c r="AC2683" s="82"/>
      <c r="AD2683" s="82"/>
      <c r="AE2683" s="82"/>
      <c r="AF2683" s="82"/>
      <c r="AG2683" s="82"/>
      <c r="AH2683" s="82"/>
      <c r="AI2683" s="82"/>
      <c r="AJ2683" s="82"/>
      <c r="AK2683" s="82"/>
      <c r="AL2683" s="82"/>
      <c r="AM2683" s="82"/>
      <c r="AN2683" s="82"/>
      <c r="AO2683" s="82"/>
      <c r="AP2683" s="82"/>
      <c r="AQ2683" s="82"/>
      <c r="AR2683" s="82"/>
      <c r="AS2683" s="82"/>
      <c r="AT2683" s="82"/>
      <c r="AU2683" s="82"/>
      <c r="AV2683" s="82"/>
      <c r="AW2683" s="82" t="str">
        <f t="shared" si="1"/>
        <v/>
      </c>
      <c r="AX2683" s="83" t="str">
        <f t="array" ref="AX2683">IFERROR(DGET('SBV Import'!A:G,"SBV",{"RSC ID","Tier";B2683,A2683}))</f>
        <v/>
      </c>
      <c r="AY2683" s="82" t="str">
        <f t="shared" si="2"/>
        <v/>
      </c>
      <c r="AZ2683" s="82"/>
      <c r="BA2683" s="84" t="s">
        <v>152</v>
      </c>
      <c r="BB2683" s="84" t="str">
        <f>IFERROR(__xludf.DUMMYFUNCTION("iferror(if(A2683="""",,E2683&gt;=FILTER(Constants!$F$2:$F$10,Constants!$A$2:$A$10=A2683)))"),"")</f>
        <v/>
      </c>
    </row>
    <row r="2684">
      <c r="A2684" s="89"/>
      <c r="B2684" s="87"/>
      <c r="C2684" s="73"/>
      <c r="D2684" s="73"/>
      <c r="E2684" s="82"/>
      <c r="F2684" s="82"/>
      <c r="G2684" s="86"/>
      <c r="H2684" s="86"/>
      <c r="I2684" s="86"/>
      <c r="J2684" s="82"/>
      <c r="K2684" s="82"/>
      <c r="L2684" s="82"/>
      <c r="M2684" s="82"/>
      <c r="N2684" s="82"/>
      <c r="O2684" s="82"/>
      <c r="P2684" s="82"/>
      <c r="Q2684" s="82"/>
      <c r="R2684" s="82"/>
      <c r="S2684" s="82"/>
      <c r="T2684" s="82"/>
      <c r="U2684" s="82"/>
      <c r="V2684" s="82"/>
      <c r="W2684" s="82"/>
      <c r="X2684" s="82"/>
      <c r="Y2684" s="82"/>
      <c r="Z2684" s="82"/>
      <c r="AA2684" s="82"/>
      <c r="AB2684" s="82"/>
      <c r="AC2684" s="82"/>
      <c r="AD2684" s="82"/>
      <c r="AE2684" s="82"/>
      <c r="AF2684" s="82"/>
      <c r="AG2684" s="82"/>
      <c r="AH2684" s="82"/>
      <c r="AI2684" s="82"/>
      <c r="AJ2684" s="82"/>
      <c r="AK2684" s="82"/>
      <c r="AL2684" s="82"/>
      <c r="AM2684" s="82"/>
      <c r="AN2684" s="82"/>
      <c r="AO2684" s="82"/>
      <c r="AP2684" s="82"/>
      <c r="AQ2684" s="82"/>
      <c r="AR2684" s="82"/>
      <c r="AS2684" s="82"/>
      <c r="AT2684" s="82"/>
      <c r="AU2684" s="82"/>
      <c r="AV2684" s="82"/>
      <c r="AW2684" s="82" t="str">
        <f t="shared" si="1"/>
        <v/>
      </c>
      <c r="AX2684" s="83" t="str">
        <f t="array" ref="AX2684">IFERROR(DGET('SBV Import'!A:G,"SBV",{"RSC ID","Tier";B2684,A2684}))</f>
        <v/>
      </c>
      <c r="AY2684" s="82" t="str">
        <f t="shared" si="2"/>
        <v/>
      </c>
      <c r="AZ2684" s="82"/>
      <c r="BA2684" s="84" t="s">
        <v>152</v>
      </c>
      <c r="BB2684" s="84" t="str">
        <f>IFERROR(__xludf.DUMMYFUNCTION("iferror(if(A2684="""",,E2684&gt;=FILTER(Constants!$F$2:$F$10,Constants!$A$2:$A$10=A2684)))"),"")</f>
        <v/>
      </c>
    </row>
    <row r="2685">
      <c r="A2685" s="89"/>
      <c r="B2685" s="87"/>
      <c r="C2685" s="73"/>
      <c r="D2685" s="73"/>
      <c r="E2685" s="82"/>
      <c r="F2685" s="82"/>
      <c r="G2685" s="86"/>
      <c r="H2685" s="86"/>
      <c r="I2685" s="86"/>
      <c r="J2685" s="82"/>
      <c r="K2685" s="82"/>
      <c r="L2685" s="82"/>
      <c r="M2685" s="82"/>
      <c r="N2685" s="82"/>
      <c r="O2685" s="82"/>
      <c r="P2685" s="82"/>
      <c r="Q2685" s="82"/>
      <c r="R2685" s="82"/>
      <c r="S2685" s="82"/>
      <c r="T2685" s="82"/>
      <c r="U2685" s="82"/>
      <c r="V2685" s="82"/>
      <c r="W2685" s="82"/>
      <c r="X2685" s="82"/>
      <c r="Y2685" s="82"/>
      <c r="Z2685" s="82"/>
      <c r="AA2685" s="82"/>
      <c r="AB2685" s="82"/>
      <c r="AC2685" s="82"/>
      <c r="AD2685" s="82"/>
      <c r="AE2685" s="82"/>
      <c r="AF2685" s="82"/>
      <c r="AG2685" s="82"/>
      <c r="AH2685" s="82"/>
      <c r="AI2685" s="82"/>
      <c r="AJ2685" s="82"/>
      <c r="AK2685" s="82"/>
      <c r="AL2685" s="82"/>
      <c r="AM2685" s="82"/>
      <c r="AN2685" s="82"/>
      <c r="AO2685" s="82"/>
      <c r="AP2685" s="82"/>
      <c r="AQ2685" s="82"/>
      <c r="AR2685" s="82"/>
      <c r="AS2685" s="82"/>
      <c r="AT2685" s="82"/>
      <c r="AU2685" s="82"/>
      <c r="AV2685" s="82"/>
      <c r="AW2685" s="82" t="str">
        <f t="shared" si="1"/>
        <v/>
      </c>
      <c r="AX2685" s="83" t="str">
        <f t="array" ref="AX2685">IFERROR(DGET('SBV Import'!A:G,"SBV",{"RSC ID","Tier";B2685,A2685}))</f>
        <v/>
      </c>
      <c r="AY2685" s="82" t="str">
        <f t="shared" si="2"/>
        <v/>
      </c>
      <c r="AZ2685" s="82"/>
      <c r="BA2685" s="84" t="s">
        <v>152</v>
      </c>
      <c r="BB2685" s="84" t="str">
        <f>IFERROR(__xludf.DUMMYFUNCTION("iferror(if(A2685="""",,E2685&gt;=FILTER(Constants!$F$2:$F$10,Constants!$A$2:$A$10=A2685)))"),"")</f>
        <v/>
      </c>
    </row>
    <row r="2686">
      <c r="A2686" s="89"/>
      <c r="B2686" s="87"/>
      <c r="C2686" s="73"/>
      <c r="D2686" s="73"/>
      <c r="E2686" s="82"/>
      <c r="F2686" s="82"/>
      <c r="G2686" s="86"/>
      <c r="H2686" s="86"/>
      <c r="I2686" s="86"/>
      <c r="J2686" s="82"/>
      <c r="K2686" s="82"/>
      <c r="L2686" s="82"/>
      <c r="M2686" s="82"/>
      <c r="N2686" s="82"/>
      <c r="O2686" s="82"/>
      <c r="P2686" s="82"/>
      <c r="Q2686" s="82"/>
      <c r="R2686" s="82"/>
      <c r="S2686" s="82"/>
      <c r="T2686" s="82"/>
      <c r="U2686" s="82"/>
      <c r="V2686" s="82"/>
      <c r="W2686" s="82"/>
      <c r="X2686" s="82"/>
      <c r="Y2686" s="82"/>
      <c r="Z2686" s="82"/>
      <c r="AA2686" s="82"/>
      <c r="AB2686" s="82"/>
      <c r="AC2686" s="82"/>
      <c r="AD2686" s="82"/>
      <c r="AE2686" s="82"/>
      <c r="AF2686" s="82"/>
      <c r="AG2686" s="82"/>
      <c r="AH2686" s="82"/>
      <c r="AI2686" s="82"/>
      <c r="AJ2686" s="82"/>
      <c r="AK2686" s="82"/>
      <c r="AL2686" s="82"/>
      <c r="AM2686" s="82"/>
      <c r="AN2686" s="82"/>
      <c r="AO2686" s="82"/>
      <c r="AP2686" s="82"/>
      <c r="AQ2686" s="82"/>
      <c r="AR2686" s="82"/>
      <c r="AS2686" s="82"/>
      <c r="AT2686" s="82"/>
      <c r="AU2686" s="82"/>
      <c r="AV2686" s="82"/>
      <c r="AW2686" s="82" t="str">
        <f t="shared" si="1"/>
        <v/>
      </c>
      <c r="AX2686" s="83" t="str">
        <f t="array" ref="AX2686">IFERROR(DGET('SBV Import'!A:G,"SBV",{"RSC ID","Tier";B2686,A2686}))</f>
        <v/>
      </c>
      <c r="AY2686" s="82" t="str">
        <f t="shared" si="2"/>
        <v/>
      </c>
      <c r="AZ2686" s="82"/>
      <c r="BA2686" s="84" t="s">
        <v>152</v>
      </c>
      <c r="BB2686" s="84" t="str">
        <f>IFERROR(__xludf.DUMMYFUNCTION("iferror(if(A2686="""",,E2686&gt;=FILTER(Constants!$F$2:$F$10,Constants!$A$2:$A$10=A2686)))"),"")</f>
        <v/>
      </c>
    </row>
    <row r="2687">
      <c r="A2687" s="89"/>
      <c r="B2687" s="87"/>
      <c r="C2687" s="73"/>
      <c r="D2687" s="73"/>
      <c r="E2687" s="82"/>
      <c r="F2687" s="82"/>
      <c r="G2687" s="86"/>
      <c r="H2687" s="86"/>
      <c r="I2687" s="86"/>
      <c r="J2687" s="82"/>
      <c r="K2687" s="82"/>
      <c r="L2687" s="82"/>
      <c r="M2687" s="82"/>
      <c r="N2687" s="82"/>
      <c r="O2687" s="82"/>
      <c r="P2687" s="82"/>
      <c r="Q2687" s="82"/>
      <c r="R2687" s="82"/>
      <c r="S2687" s="82"/>
      <c r="T2687" s="82"/>
      <c r="U2687" s="82"/>
      <c r="V2687" s="82"/>
      <c r="W2687" s="82"/>
      <c r="X2687" s="82"/>
      <c r="Y2687" s="82"/>
      <c r="Z2687" s="82"/>
      <c r="AA2687" s="82"/>
      <c r="AB2687" s="82"/>
      <c r="AC2687" s="82"/>
      <c r="AD2687" s="82"/>
      <c r="AE2687" s="82"/>
      <c r="AF2687" s="82"/>
      <c r="AG2687" s="82"/>
      <c r="AH2687" s="82"/>
      <c r="AI2687" s="82"/>
      <c r="AJ2687" s="82"/>
      <c r="AK2687" s="82"/>
      <c r="AL2687" s="82"/>
      <c r="AM2687" s="82"/>
      <c r="AN2687" s="82"/>
      <c r="AO2687" s="82"/>
      <c r="AP2687" s="82"/>
      <c r="AQ2687" s="82"/>
      <c r="AR2687" s="82"/>
      <c r="AS2687" s="82"/>
      <c r="AT2687" s="82"/>
      <c r="AU2687" s="82"/>
      <c r="AV2687" s="82"/>
      <c r="AW2687" s="82" t="str">
        <f t="shared" si="1"/>
        <v/>
      </c>
      <c r="AX2687" s="83" t="str">
        <f t="array" ref="AX2687">IFERROR(DGET('SBV Import'!A:G,"SBV",{"RSC ID","Tier";B2687,A2687}))</f>
        <v/>
      </c>
      <c r="AY2687" s="82" t="str">
        <f t="shared" si="2"/>
        <v/>
      </c>
      <c r="AZ2687" s="82"/>
      <c r="BA2687" s="84" t="s">
        <v>152</v>
      </c>
      <c r="BB2687" s="84" t="str">
        <f>IFERROR(__xludf.DUMMYFUNCTION("iferror(if(A2687="""",,E2687&gt;=FILTER(Constants!$F$2:$F$10,Constants!$A$2:$A$10=A2687)))"),"")</f>
        <v/>
      </c>
    </row>
    <row r="2688">
      <c r="A2688" s="89"/>
      <c r="B2688" s="87"/>
      <c r="C2688" s="73"/>
      <c r="D2688" s="73"/>
      <c r="E2688" s="82"/>
      <c r="F2688" s="82"/>
      <c r="G2688" s="86"/>
      <c r="H2688" s="86"/>
      <c r="I2688" s="86"/>
      <c r="J2688" s="82"/>
      <c r="K2688" s="82"/>
      <c r="L2688" s="82"/>
      <c r="M2688" s="82"/>
      <c r="N2688" s="82"/>
      <c r="O2688" s="82"/>
      <c r="P2688" s="82"/>
      <c r="Q2688" s="82"/>
      <c r="R2688" s="82"/>
      <c r="S2688" s="82"/>
      <c r="T2688" s="82"/>
      <c r="U2688" s="82"/>
      <c r="V2688" s="82"/>
      <c r="W2688" s="82"/>
      <c r="X2688" s="82"/>
      <c r="Y2688" s="82"/>
      <c r="Z2688" s="82"/>
      <c r="AA2688" s="82"/>
      <c r="AB2688" s="82"/>
      <c r="AC2688" s="82"/>
      <c r="AD2688" s="82"/>
      <c r="AE2688" s="82"/>
      <c r="AF2688" s="82"/>
      <c r="AG2688" s="82"/>
      <c r="AH2688" s="82"/>
      <c r="AI2688" s="82"/>
      <c r="AJ2688" s="82"/>
      <c r="AK2688" s="82"/>
      <c r="AL2688" s="82"/>
      <c r="AM2688" s="82"/>
      <c r="AN2688" s="82"/>
      <c r="AO2688" s="82"/>
      <c r="AP2688" s="82"/>
      <c r="AQ2688" s="82"/>
      <c r="AR2688" s="82"/>
      <c r="AS2688" s="82"/>
      <c r="AT2688" s="82"/>
      <c r="AU2688" s="82"/>
      <c r="AV2688" s="82"/>
      <c r="AW2688" s="82" t="str">
        <f t="shared" si="1"/>
        <v/>
      </c>
      <c r="AX2688" s="83" t="str">
        <f t="array" ref="AX2688">IFERROR(DGET('SBV Import'!A:G,"SBV",{"RSC ID","Tier";B2688,A2688}))</f>
        <v/>
      </c>
      <c r="AY2688" s="82" t="str">
        <f t="shared" si="2"/>
        <v/>
      </c>
      <c r="AZ2688" s="82"/>
      <c r="BA2688" s="84" t="s">
        <v>152</v>
      </c>
      <c r="BB2688" s="84" t="str">
        <f>IFERROR(__xludf.DUMMYFUNCTION("iferror(if(A2688="""",,E2688&gt;=FILTER(Constants!$F$2:$F$10,Constants!$A$2:$A$10=A2688)))"),"")</f>
        <v/>
      </c>
    </row>
    <row r="2689">
      <c r="A2689" s="89"/>
      <c r="B2689" s="87"/>
      <c r="C2689" s="73"/>
      <c r="D2689" s="73"/>
      <c r="E2689" s="82"/>
      <c r="F2689" s="82"/>
      <c r="G2689" s="86"/>
      <c r="H2689" s="86"/>
      <c r="I2689" s="86"/>
      <c r="J2689" s="82"/>
      <c r="K2689" s="82"/>
      <c r="L2689" s="82"/>
      <c r="M2689" s="82"/>
      <c r="N2689" s="82"/>
      <c r="O2689" s="82"/>
      <c r="P2689" s="82"/>
      <c r="Q2689" s="82"/>
      <c r="R2689" s="82"/>
      <c r="S2689" s="82"/>
      <c r="T2689" s="82"/>
      <c r="U2689" s="82"/>
      <c r="V2689" s="82"/>
      <c r="W2689" s="82"/>
      <c r="X2689" s="82"/>
      <c r="Y2689" s="82"/>
      <c r="Z2689" s="82"/>
      <c r="AA2689" s="82"/>
      <c r="AB2689" s="82"/>
      <c r="AC2689" s="82"/>
      <c r="AD2689" s="82"/>
      <c r="AE2689" s="82"/>
      <c r="AF2689" s="82"/>
      <c r="AG2689" s="82"/>
      <c r="AH2689" s="82"/>
      <c r="AI2689" s="82"/>
      <c r="AJ2689" s="82"/>
      <c r="AK2689" s="82"/>
      <c r="AL2689" s="82"/>
      <c r="AM2689" s="82"/>
      <c r="AN2689" s="82"/>
      <c r="AO2689" s="82"/>
      <c r="AP2689" s="82"/>
      <c r="AQ2689" s="82"/>
      <c r="AR2689" s="82"/>
      <c r="AS2689" s="82"/>
      <c r="AT2689" s="82"/>
      <c r="AU2689" s="82"/>
      <c r="AV2689" s="82"/>
      <c r="AW2689" s="82" t="str">
        <f t="shared" si="1"/>
        <v/>
      </c>
      <c r="AX2689" s="83" t="str">
        <f t="array" ref="AX2689">IFERROR(DGET('SBV Import'!A:G,"SBV",{"RSC ID","Tier";B2689,A2689}))</f>
        <v/>
      </c>
      <c r="AY2689" s="82" t="str">
        <f t="shared" si="2"/>
        <v/>
      </c>
      <c r="AZ2689" s="82"/>
      <c r="BA2689" s="84" t="s">
        <v>152</v>
      </c>
      <c r="BB2689" s="84" t="str">
        <f>IFERROR(__xludf.DUMMYFUNCTION("iferror(if(A2689="""",,E2689&gt;=FILTER(Constants!$F$2:$F$10,Constants!$A$2:$A$10=A2689)))"),"")</f>
        <v/>
      </c>
    </row>
    <row r="2690">
      <c r="A2690" s="89"/>
      <c r="B2690" s="87"/>
      <c r="C2690" s="73"/>
      <c r="D2690" s="73"/>
      <c r="E2690" s="82"/>
      <c r="F2690" s="82"/>
      <c r="G2690" s="86"/>
      <c r="H2690" s="86"/>
      <c r="I2690" s="86"/>
      <c r="J2690" s="82"/>
      <c r="K2690" s="82"/>
      <c r="L2690" s="82"/>
      <c r="M2690" s="82"/>
      <c r="N2690" s="82"/>
      <c r="O2690" s="82"/>
      <c r="P2690" s="82"/>
      <c r="Q2690" s="82"/>
      <c r="R2690" s="82"/>
      <c r="S2690" s="82"/>
      <c r="T2690" s="82"/>
      <c r="U2690" s="82"/>
      <c r="V2690" s="82"/>
      <c r="W2690" s="82"/>
      <c r="X2690" s="82"/>
      <c r="Y2690" s="82"/>
      <c r="Z2690" s="82"/>
      <c r="AA2690" s="82"/>
      <c r="AB2690" s="82"/>
      <c r="AC2690" s="82"/>
      <c r="AD2690" s="82"/>
      <c r="AE2690" s="82"/>
      <c r="AF2690" s="82"/>
      <c r="AG2690" s="82"/>
      <c r="AH2690" s="82"/>
      <c r="AI2690" s="82"/>
      <c r="AJ2690" s="82"/>
      <c r="AK2690" s="82"/>
      <c r="AL2690" s="82"/>
      <c r="AM2690" s="82"/>
      <c r="AN2690" s="82"/>
      <c r="AO2690" s="82"/>
      <c r="AP2690" s="82"/>
      <c r="AQ2690" s="82"/>
      <c r="AR2690" s="82"/>
      <c r="AS2690" s="82"/>
      <c r="AT2690" s="82"/>
      <c r="AU2690" s="82"/>
      <c r="AV2690" s="82"/>
      <c r="AW2690" s="82" t="str">
        <f t="shared" si="1"/>
        <v/>
      </c>
      <c r="AX2690" s="83" t="str">
        <f t="array" ref="AX2690">IFERROR(DGET('SBV Import'!A:G,"SBV",{"RSC ID","Tier";B2690,A2690}))</f>
        <v/>
      </c>
      <c r="AY2690" s="82" t="str">
        <f t="shared" si="2"/>
        <v/>
      </c>
      <c r="AZ2690" s="82"/>
      <c r="BA2690" s="84" t="s">
        <v>152</v>
      </c>
      <c r="BB2690" s="84" t="str">
        <f>IFERROR(__xludf.DUMMYFUNCTION("iferror(if(A2690="""",,E2690&gt;=FILTER(Constants!$F$2:$F$10,Constants!$A$2:$A$10=A2690)))"),"")</f>
        <v/>
      </c>
    </row>
    <row r="2691">
      <c r="A2691" s="89"/>
      <c r="B2691" s="87"/>
      <c r="C2691" s="73"/>
      <c r="D2691" s="73"/>
      <c r="E2691" s="82"/>
      <c r="F2691" s="82"/>
      <c r="G2691" s="86"/>
      <c r="H2691" s="86"/>
      <c r="I2691" s="86"/>
      <c r="J2691" s="82"/>
      <c r="K2691" s="82"/>
      <c r="L2691" s="82"/>
      <c r="M2691" s="82"/>
      <c r="N2691" s="82"/>
      <c r="O2691" s="82"/>
      <c r="P2691" s="82"/>
      <c r="Q2691" s="82"/>
      <c r="R2691" s="82"/>
      <c r="S2691" s="82"/>
      <c r="T2691" s="82"/>
      <c r="U2691" s="82"/>
      <c r="V2691" s="82"/>
      <c r="W2691" s="82"/>
      <c r="X2691" s="82"/>
      <c r="Y2691" s="82"/>
      <c r="Z2691" s="82"/>
      <c r="AA2691" s="82"/>
      <c r="AB2691" s="82"/>
      <c r="AC2691" s="82"/>
      <c r="AD2691" s="82"/>
      <c r="AE2691" s="82"/>
      <c r="AF2691" s="82"/>
      <c r="AG2691" s="82"/>
      <c r="AH2691" s="82"/>
      <c r="AI2691" s="82"/>
      <c r="AJ2691" s="82"/>
      <c r="AK2691" s="82"/>
      <c r="AL2691" s="82"/>
      <c r="AM2691" s="82"/>
      <c r="AN2691" s="82"/>
      <c r="AO2691" s="82"/>
      <c r="AP2691" s="82"/>
      <c r="AQ2691" s="82"/>
      <c r="AR2691" s="82"/>
      <c r="AS2691" s="82"/>
      <c r="AT2691" s="82"/>
      <c r="AU2691" s="82"/>
      <c r="AV2691" s="82"/>
      <c r="AW2691" s="82" t="str">
        <f t="shared" si="1"/>
        <v/>
      </c>
      <c r="AX2691" s="83" t="str">
        <f t="array" ref="AX2691">IFERROR(DGET('SBV Import'!A:G,"SBV",{"RSC ID","Tier";B2691,A2691}))</f>
        <v/>
      </c>
      <c r="AY2691" s="82" t="str">
        <f t="shared" si="2"/>
        <v/>
      </c>
      <c r="AZ2691" s="82"/>
      <c r="BA2691" s="84" t="s">
        <v>152</v>
      </c>
      <c r="BB2691" s="84" t="str">
        <f>IFERROR(__xludf.DUMMYFUNCTION("iferror(if(A2691="""",,E2691&gt;=FILTER(Constants!$F$2:$F$10,Constants!$A$2:$A$10=A2691)))"),"")</f>
        <v/>
      </c>
    </row>
    <row r="2692">
      <c r="A2692" s="89"/>
      <c r="B2692" s="87"/>
      <c r="C2692" s="73"/>
      <c r="D2692" s="73"/>
      <c r="E2692" s="82"/>
      <c r="F2692" s="82"/>
      <c r="G2692" s="86"/>
      <c r="H2692" s="86"/>
      <c r="I2692" s="86"/>
      <c r="J2692" s="82"/>
      <c r="K2692" s="82"/>
      <c r="L2692" s="82"/>
      <c r="M2692" s="82"/>
      <c r="N2692" s="82"/>
      <c r="O2692" s="82"/>
      <c r="P2692" s="82"/>
      <c r="Q2692" s="82"/>
      <c r="R2692" s="82"/>
      <c r="S2692" s="82"/>
      <c r="T2692" s="82"/>
      <c r="U2692" s="82"/>
      <c r="V2692" s="82"/>
      <c r="W2692" s="82"/>
      <c r="X2692" s="82"/>
      <c r="Y2692" s="82"/>
      <c r="Z2692" s="82"/>
      <c r="AA2692" s="82"/>
      <c r="AB2692" s="82"/>
      <c r="AC2692" s="82"/>
      <c r="AD2692" s="82"/>
      <c r="AE2692" s="82"/>
      <c r="AF2692" s="82"/>
      <c r="AG2692" s="82"/>
      <c r="AH2692" s="82"/>
      <c r="AI2692" s="82"/>
      <c r="AJ2692" s="82"/>
      <c r="AK2692" s="82"/>
      <c r="AL2692" s="82"/>
      <c r="AM2692" s="82"/>
      <c r="AN2692" s="82"/>
      <c r="AO2692" s="82"/>
      <c r="AP2692" s="82"/>
      <c r="AQ2692" s="82"/>
      <c r="AR2692" s="82"/>
      <c r="AS2692" s="82"/>
      <c r="AT2692" s="82"/>
      <c r="AU2692" s="82"/>
      <c r="AV2692" s="82"/>
      <c r="AW2692" s="82" t="str">
        <f t="shared" si="1"/>
        <v/>
      </c>
      <c r="AX2692" s="83" t="str">
        <f t="array" ref="AX2692">IFERROR(DGET('SBV Import'!A:G,"SBV",{"RSC ID","Tier";B2692,A2692}))</f>
        <v/>
      </c>
      <c r="AY2692" s="82" t="str">
        <f t="shared" si="2"/>
        <v/>
      </c>
      <c r="AZ2692" s="82"/>
      <c r="BA2692" s="84" t="s">
        <v>152</v>
      </c>
      <c r="BB2692" s="84" t="str">
        <f>IFERROR(__xludf.DUMMYFUNCTION("iferror(if(A2692="""",,E2692&gt;=FILTER(Constants!$F$2:$F$10,Constants!$A$2:$A$10=A2692)))"),"")</f>
        <v/>
      </c>
    </row>
    <row r="2693">
      <c r="A2693" s="89"/>
      <c r="B2693" s="87"/>
      <c r="C2693" s="73"/>
      <c r="D2693" s="73"/>
      <c r="E2693" s="82"/>
      <c r="F2693" s="82"/>
      <c r="G2693" s="86"/>
      <c r="H2693" s="86"/>
      <c r="I2693" s="86"/>
      <c r="J2693" s="82"/>
      <c r="K2693" s="82"/>
      <c r="L2693" s="82"/>
      <c r="M2693" s="82"/>
      <c r="N2693" s="82"/>
      <c r="O2693" s="82"/>
      <c r="P2693" s="82"/>
      <c r="Q2693" s="82"/>
      <c r="R2693" s="82"/>
      <c r="S2693" s="82"/>
      <c r="T2693" s="82"/>
      <c r="U2693" s="82"/>
      <c r="V2693" s="82"/>
      <c r="W2693" s="82"/>
      <c r="X2693" s="82"/>
      <c r="Y2693" s="82"/>
      <c r="Z2693" s="82"/>
      <c r="AA2693" s="82"/>
      <c r="AB2693" s="82"/>
      <c r="AC2693" s="82"/>
      <c r="AD2693" s="82"/>
      <c r="AE2693" s="82"/>
      <c r="AF2693" s="82"/>
      <c r="AG2693" s="82"/>
      <c r="AH2693" s="82"/>
      <c r="AI2693" s="82"/>
      <c r="AJ2693" s="82"/>
      <c r="AK2693" s="82"/>
      <c r="AL2693" s="82"/>
      <c r="AM2693" s="82"/>
      <c r="AN2693" s="82"/>
      <c r="AO2693" s="82"/>
      <c r="AP2693" s="82"/>
      <c r="AQ2693" s="82"/>
      <c r="AR2693" s="82"/>
      <c r="AS2693" s="82"/>
      <c r="AT2693" s="82"/>
      <c r="AU2693" s="82"/>
      <c r="AV2693" s="82"/>
      <c r="AW2693" s="82" t="str">
        <f t="shared" si="1"/>
        <v/>
      </c>
      <c r="AX2693" s="83" t="str">
        <f t="array" ref="AX2693">IFERROR(DGET('SBV Import'!A:G,"SBV",{"RSC ID","Tier";B2693,A2693}))</f>
        <v/>
      </c>
      <c r="AY2693" s="82" t="str">
        <f t="shared" si="2"/>
        <v/>
      </c>
      <c r="AZ2693" s="82"/>
      <c r="BA2693" s="84" t="s">
        <v>152</v>
      </c>
      <c r="BB2693" s="84" t="str">
        <f>IFERROR(__xludf.DUMMYFUNCTION("iferror(if(A2693="""",,E2693&gt;=FILTER(Constants!$F$2:$F$10,Constants!$A$2:$A$10=A2693)))"),"")</f>
        <v/>
      </c>
    </row>
    <row r="2694">
      <c r="A2694" s="89"/>
      <c r="B2694" s="87"/>
      <c r="C2694" s="73"/>
      <c r="D2694" s="73"/>
      <c r="E2694" s="82"/>
      <c r="F2694" s="82"/>
      <c r="G2694" s="86"/>
      <c r="H2694" s="86"/>
      <c r="I2694" s="86"/>
      <c r="J2694" s="82"/>
      <c r="K2694" s="82"/>
      <c r="L2694" s="82"/>
      <c r="M2694" s="82"/>
      <c r="N2694" s="82"/>
      <c r="O2694" s="82"/>
      <c r="P2694" s="82"/>
      <c r="Q2694" s="82"/>
      <c r="R2694" s="82"/>
      <c r="S2694" s="82"/>
      <c r="T2694" s="82"/>
      <c r="U2694" s="82"/>
      <c r="V2694" s="82"/>
      <c r="W2694" s="82"/>
      <c r="X2694" s="82"/>
      <c r="Y2694" s="82"/>
      <c r="Z2694" s="82"/>
      <c r="AA2694" s="82"/>
      <c r="AB2694" s="82"/>
      <c r="AC2694" s="82"/>
      <c r="AD2694" s="82"/>
      <c r="AE2694" s="82"/>
      <c r="AF2694" s="82"/>
      <c r="AG2694" s="82"/>
      <c r="AH2694" s="82"/>
      <c r="AI2694" s="82"/>
      <c r="AJ2694" s="82"/>
      <c r="AK2694" s="82"/>
      <c r="AL2694" s="82"/>
      <c r="AM2694" s="82"/>
      <c r="AN2694" s="82"/>
      <c r="AO2694" s="82"/>
      <c r="AP2694" s="82"/>
      <c r="AQ2694" s="82"/>
      <c r="AR2694" s="82"/>
      <c r="AS2694" s="82"/>
      <c r="AT2694" s="82"/>
      <c r="AU2694" s="82"/>
      <c r="AV2694" s="82"/>
      <c r="AW2694" s="82" t="str">
        <f t="shared" si="1"/>
        <v/>
      </c>
      <c r="AX2694" s="83" t="str">
        <f t="array" ref="AX2694">IFERROR(DGET('SBV Import'!A:G,"SBV",{"RSC ID","Tier";B2694,A2694}))</f>
        <v/>
      </c>
      <c r="AY2694" s="82" t="str">
        <f t="shared" si="2"/>
        <v/>
      </c>
      <c r="AZ2694" s="82"/>
      <c r="BA2694" s="84" t="s">
        <v>152</v>
      </c>
      <c r="BB2694" s="84" t="str">
        <f>IFERROR(__xludf.DUMMYFUNCTION("iferror(if(A2694="""",,E2694&gt;=FILTER(Constants!$F$2:$F$10,Constants!$A$2:$A$10=A2694)))"),"")</f>
        <v/>
      </c>
    </row>
    <row r="2695">
      <c r="A2695" s="89"/>
      <c r="B2695" s="87"/>
      <c r="C2695" s="73"/>
      <c r="D2695" s="73"/>
      <c r="E2695" s="82"/>
      <c r="F2695" s="82"/>
      <c r="G2695" s="86"/>
      <c r="H2695" s="86"/>
      <c r="I2695" s="86"/>
      <c r="J2695" s="82"/>
      <c r="K2695" s="82"/>
      <c r="L2695" s="82"/>
      <c r="M2695" s="82"/>
      <c r="N2695" s="82"/>
      <c r="O2695" s="82"/>
      <c r="P2695" s="82"/>
      <c r="Q2695" s="82"/>
      <c r="R2695" s="82"/>
      <c r="S2695" s="82"/>
      <c r="T2695" s="82"/>
      <c r="U2695" s="82"/>
      <c r="V2695" s="82"/>
      <c r="W2695" s="82"/>
      <c r="X2695" s="82"/>
      <c r="Y2695" s="82"/>
      <c r="Z2695" s="82"/>
      <c r="AA2695" s="82"/>
      <c r="AB2695" s="82"/>
      <c r="AC2695" s="82"/>
      <c r="AD2695" s="82"/>
      <c r="AE2695" s="82"/>
      <c r="AF2695" s="82"/>
      <c r="AG2695" s="82"/>
      <c r="AH2695" s="82"/>
      <c r="AI2695" s="82"/>
      <c r="AJ2695" s="82"/>
      <c r="AK2695" s="82"/>
      <c r="AL2695" s="82"/>
      <c r="AM2695" s="82"/>
      <c r="AN2695" s="82"/>
      <c r="AO2695" s="82"/>
      <c r="AP2695" s="82"/>
      <c r="AQ2695" s="82"/>
      <c r="AR2695" s="82"/>
      <c r="AS2695" s="82"/>
      <c r="AT2695" s="82"/>
      <c r="AU2695" s="82"/>
      <c r="AV2695" s="82"/>
      <c r="AW2695" s="82" t="str">
        <f t="shared" si="1"/>
        <v/>
      </c>
      <c r="AX2695" s="83" t="str">
        <f t="array" ref="AX2695">IFERROR(DGET('SBV Import'!A:G,"SBV",{"RSC ID","Tier";B2695,A2695}))</f>
        <v/>
      </c>
      <c r="AY2695" s="82" t="str">
        <f t="shared" si="2"/>
        <v/>
      </c>
      <c r="AZ2695" s="82"/>
      <c r="BA2695" s="84" t="s">
        <v>152</v>
      </c>
      <c r="BB2695" s="84" t="str">
        <f>IFERROR(__xludf.DUMMYFUNCTION("iferror(if(A2695="""",,E2695&gt;=FILTER(Constants!$F$2:$F$10,Constants!$A$2:$A$10=A2695)))"),"")</f>
        <v/>
      </c>
    </row>
    <row r="2696">
      <c r="A2696" s="89"/>
      <c r="B2696" s="87"/>
      <c r="C2696" s="73"/>
      <c r="D2696" s="73"/>
      <c r="E2696" s="82"/>
      <c r="F2696" s="82"/>
      <c r="G2696" s="86"/>
      <c r="H2696" s="86"/>
      <c r="I2696" s="86"/>
      <c r="J2696" s="82"/>
      <c r="K2696" s="82"/>
      <c r="L2696" s="82"/>
      <c r="M2696" s="82"/>
      <c r="N2696" s="82"/>
      <c r="O2696" s="82"/>
      <c r="P2696" s="82"/>
      <c r="Q2696" s="82"/>
      <c r="R2696" s="82"/>
      <c r="S2696" s="82"/>
      <c r="T2696" s="82"/>
      <c r="U2696" s="82"/>
      <c r="V2696" s="82"/>
      <c r="W2696" s="82"/>
      <c r="X2696" s="82"/>
      <c r="Y2696" s="82"/>
      <c r="Z2696" s="82"/>
      <c r="AA2696" s="82"/>
      <c r="AB2696" s="82"/>
      <c r="AC2696" s="82"/>
      <c r="AD2696" s="82"/>
      <c r="AE2696" s="82"/>
      <c r="AF2696" s="82"/>
      <c r="AG2696" s="82"/>
      <c r="AH2696" s="82"/>
      <c r="AI2696" s="82"/>
      <c r="AJ2696" s="82"/>
      <c r="AK2696" s="82"/>
      <c r="AL2696" s="82"/>
      <c r="AM2696" s="82"/>
      <c r="AN2696" s="82"/>
      <c r="AO2696" s="82"/>
      <c r="AP2696" s="82"/>
      <c r="AQ2696" s="82"/>
      <c r="AR2696" s="82"/>
      <c r="AS2696" s="82"/>
      <c r="AT2696" s="82"/>
      <c r="AU2696" s="82"/>
      <c r="AV2696" s="82"/>
      <c r="AW2696" s="82" t="str">
        <f t="shared" si="1"/>
        <v/>
      </c>
      <c r="AX2696" s="83" t="str">
        <f t="array" ref="AX2696">IFERROR(DGET('SBV Import'!A:G,"SBV",{"RSC ID","Tier";B2696,A2696}))</f>
        <v/>
      </c>
      <c r="AY2696" s="82" t="str">
        <f t="shared" si="2"/>
        <v/>
      </c>
      <c r="AZ2696" s="82"/>
      <c r="BA2696" s="84" t="s">
        <v>152</v>
      </c>
      <c r="BB2696" s="84" t="str">
        <f>IFERROR(__xludf.DUMMYFUNCTION("iferror(if(A2696="""",,E2696&gt;=FILTER(Constants!$F$2:$F$10,Constants!$A$2:$A$10=A2696)))"),"")</f>
        <v/>
      </c>
    </row>
    <row r="2697">
      <c r="A2697" s="89"/>
      <c r="B2697" s="87"/>
      <c r="C2697" s="73"/>
      <c r="D2697" s="73"/>
      <c r="E2697" s="82"/>
      <c r="F2697" s="82"/>
      <c r="G2697" s="86"/>
      <c r="H2697" s="86"/>
      <c r="I2697" s="86"/>
      <c r="J2697" s="82"/>
      <c r="K2697" s="82"/>
      <c r="L2697" s="82"/>
      <c r="M2697" s="82"/>
      <c r="N2697" s="82"/>
      <c r="O2697" s="82"/>
      <c r="P2697" s="82"/>
      <c r="Q2697" s="82"/>
      <c r="R2697" s="82"/>
      <c r="S2697" s="82"/>
      <c r="T2697" s="82"/>
      <c r="U2697" s="82"/>
      <c r="V2697" s="82"/>
      <c r="W2697" s="82"/>
      <c r="X2697" s="82"/>
      <c r="Y2697" s="82"/>
      <c r="Z2697" s="82"/>
      <c r="AA2697" s="82"/>
      <c r="AB2697" s="82"/>
      <c r="AC2697" s="82"/>
      <c r="AD2697" s="82"/>
      <c r="AE2697" s="82"/>
      <c r="AF2697" s="82"/>
      <c r="AG2697" s="82"/>
      <c r="AH2697" s="82"/>
      <c r="AI2697" s="82"/>
      <c r="AJ2697" s="82"/>
      <c r="AK2697" s="82"/>
      <c r="AL2697" s="82"/>
      <c r="AM2697" s="82"/>
      <c r="AN2697" s="82"/>
      <c r="AO2697" s="82"/>
      <c r="AP2697" s="82"/>
      <c r="AQ2697" s="82"/>
      <c r="AR2697" s="82"/>
      <c r="AS2697" s="82"/>
      <c r="AT2697" s="82"/>
      <c r="AU2697" s="82"/>
      <c r="AV2697" s="82"/>
      <c r="AW2697" s="82" t="str">
        <f t="shared" si="1"/>
        <v/>
      </c>
      <c r="AX2697" s="83" t="str">
        <f t="array" ref="AX2697">IFERROR(DGET('SBV Import'!A:G,"SBV",{"RSC ID","Tier";B2697,A2697}))</f>
        <v/>
      </c>
      <c r="AY2697" s="82" t="str">
        <f t="shared" si="2"/>
        <v/>
      </c>
      <c r="AZ2697" s="82"/>
      <c r="BA2697" s="84" t="s">
        <v>152</v>
      </c>
      <c r="BB2697" s="84" t="str">
        <f>IFERROR(__xludf.DUMMYFUNCTION("iferror(if(A2697="""",,E2697&gt;=FILTER(Constants!$F$2:$F$10,Constants!$A$2:$A$10=A2697)))"),"")</f>
        <v/>
      </c>
    </row>
    <row r="2698">
      <c r="A2698" s="89"/>
      <c r="B2698" s="87"/>
      <c r="C2698" s="73"/>
      <c r="D2698" s="73"/>
      <c r="E2698" s="82"/>
      <c r="F2698" s="82"/>
      <c r="G2698" s="86"/>
      <c r="H2698" s="86"/>
      <c r="I2698" s="86"/>
      <c r="J2698" s="82"/>
      <c r="K2698" s="82"/>
      <c r="L2698" s="82"/>
      <c r="M2698" s="82"/>
      <c r="N2698" s="82"/>
      <c r="O2698" s="82"/>
      <c r="P2698" s="82"/>
      <c r="Q2698" s="82"/>
      <c r="R2698" s="82"/>
      <c r="S2698" s="82"/>
      <c r="T2698" s="82"/>
      <c r="U2698" s="82"/>
      <c r="V2698" s="82"/>
      <c r="W2698" s="82"/>
      <c r="X2698" s="82"/>
      <c r="Y2698" s="82"/>
      <c r="Z2698" s="82"/>
      <c r="AA2698" s="82"/>
      <c r="AB2698" s="82"/>
      <c r="AC2698" s="82"/>
      <c r="AD2698" s="82"/>
      <c r="AE2698" s="82"/>
      <c r="AF2698" s="82"/>
      <c r="AG2698" s="82"/>
      <c r="AH2698" s="82"/>
      <c r="AI2698" s="82"/>
      <c r="AJ2698" s="82"/>
      <c r="AK2698" s="82"/>
      <c r="AL2698" s="82"/>
      <c r="AM2698" s="82"/>
      <c r="AN2698" s="82"/>
      <c r="AO2698" s="82"/>
      <c r="AP2698" s="82"/>
      <c r="AQ2698" s="82"/>
      <c r="AR2698" s="82"/>
      <c r="AS2698" s="82"/>
      <c r="AT2698" s="82"/>
      <c r="AU2698" s="82"/>
      <c r="AV2698" s="82"/>
      <c r="AW2698" s="82" t="str">
        <f t="shared" si="1"/>
        <v/>
      </c>
      <c r="AX2698" s="83" t="str">
        <f t="array" ref="AX2698">IFERROR(DGET('SBV Import'!A:G,"SBV",{"RSC ID","Tier";B2698,A2698}))</f>
        <v/>
      </c>
      <c r="AY2698" s="82" t="str">
        <f t="shared" si="2"/>
        <v/>
      </c>
      <c r="AZ2698" s="82"/>
      <c r="BA2698" s="84" t="s">
        <v>152</v>
      </c>
      <c r="BB2698" s="84" t="str">
        <f>IFERROR(__xludf.DUMMYFUNCTION("iferror(if(A2698="""",,E2698&gt;=FILTER(Constants!$F$2:$F$10,Constants!$A$2:$A$10=A2698)))"),"")</f>
        <v/>
      </c>
    </row>
    <row r="2699">
      <c r="A2699" s="89"/>
      <c r="B2699" s="87"/>
      <c r="C2699" s="73"/>
      <c r="D2699" s="73"/>
      <c r="E2699" s="82"/>
      <c r="F2699" s="82"/>
      <c r="G2699" s="86"/>
      <c r="H2699" s="86"/>
      <c r="I2699" s="86"/>
      <c r="J2699" s="82"/>
      <c r="K2699" s="82"/>
      <c r="L2699" s="82"/>
      <c r="M2699" s="82"/>
      <c r="N2699" s="82"/>
      <c r="O2699" s="82"/>
      <c r="P2699" s="82"/>
      <c r="Q2699" s="82"/>
      <c r="R2699" s="82"/>
      <c r="S2699" s="82"/>
      <c r="T2699" s="82"/>
      <c r="U2699" s="82"/>
      <c r="V2699" s="82"/>
      <c r="W2699" s="82"/>
      <c r="X2699" s="82"/>
      <c r="Y2699" s="82"/>
      <c r="Z2699" s="82"/>
      <c r="AA2699" s="82"/>
      <c r="AB2699" s="82"/>
      <c r="AC2699" s="82"/>
      <c r="AD2699" s="82"/>
      <c r="AE2699" s="82"/>
      <c r="AF2699" s="82"/>
      <c r="AG2699" s="82"/>
      <c r="AH2699" s="82"/>
      <c r="AI2699" s="82"/>
      <c r="AJ2699" s="82"/>
      <c r="AK2699" s="82"/>
      <c r="AL2699" s="82"/>
      <c r="AM2699" s="82"/>
      <c r="AN2699" s="82"/>
      <c r="AO2699" s="82"/>
      <c r="AP2699" s="82"/>
      <c r="AQ2699" s="82"/>
      <c r="AR2699" s="82"/>
      <c r="AS2699" s="82"/>
      <c r="AT2699" s="82"/>
      <c r="AU2699" s="82"/>
      <c r="AV2699" s="82"/>
      <c r="AW2699" s="82" t="str">
        <f t="shared" si="1"/>
        <v/>
      </c>
      <c r="AX2699" s="83" t="str">
        <f t="array" ref="AX2699">IFERROR(DGET('SBV Import'!A:G,"SBV",{"RSC ID","Tier";B2699,A2699}))</f>
        <v/>
      </c>
      <c r="AY2699" s="82" t="str">
        <f t="shared" si="2"/>
        <v/>
      </c>
      <c r="AZ2699" s="82"/>
      <c r="BA2699" s="84" t="s">
        <v>152</v>
      </c>
      <c r="BB2699" s="84" t="str">
        <f>IFERROR(__xludf.DUMMYFUNCTION("iferror(if(A2699="""",,E2699&gt;=FILTER(Constants!$F$2:$F$10,Constants!$A$2:$A$10=A2699)))"),"")</f>
        <v/>
      </c>
    </row>
    <row r="2700">
      <c r="A2700" s="90" t="str">
        <f>IFERROR(__xludf.DUMMYFUNCTION("QUERY(IMPORTRANGE(Constants!$B8, ""'Player Stats'!A2:AV""), ""Select * order by Col48 desc"")"),"Prospect")</f>
        <v>Prospect</v>
      </c>
      <c r="B2700" s="87" t="str">
        <f>IFERROR(__xludf.DUMMYFUNCTION("""COMPUTED_VALUE"""),"RSC007904")</f>
        <v>RSC007904</v>
      </c>
      <c r="C2700" s="73" t="str">
        <f>IFERROR(__xludf.DUMMYFUNCTION("""COMPUTED_VALUE"""),"Branthedan")</f>
        <v>Branthedan</v>
      </c>
      <c r="D2700" s="73" t="str">
        <f>IFERROR(__xludf.DUMMYFUNCTION("""COMPUTED_VALUE"""),"Dime")</f>
        <v>Dime</v>
      </c>
      <c r="E2700" s="82">
        <f>IFERROR(__xludf.DUMMYFUNCTION("""COMPUTED_VALUE"""),48.0)</f>
        <v>48</v>
      </c>
      <c r="F2700" s="82">
        <f>IFERROR(__xludf.DUMMYFUNCTION("""COMPUTED_VALUE"""),29.0)</f>
        <v>29</v>
      </c>
      <c r="G2700" s="86">
        <f>IFERROR(__xludf.DUMMYFUNCTION("""COMPUTED_VALUE"""),19.0)</f>
        <v>19</v>
      </c>
      <c r="H2700" s="86">
        <f>IFERROR(__xludf.DUMMYFUNCTION("""COMPUTED_VALUE"""),0.6041666666666666)</f>
        <v>0.6041666667</v>
      </c>
      <c r="I2700" s="86">
        <f>IFERROR(__xludf.DUMMYFUNCTION("""COMPUTED_VALUE"""),0.39622641509433965)</f>
        <v>0.3962264151</v>
      </c>
      <c r="J2700" s="82">
        <f>IFERROR(__xludf.DUMMYFUNCTION("""COMPUTED_VALUE"""),407.3333333333333)</f>
        <v>407.3333333</v>
      </c>
      <c r="K2700" s="82">
        <f>IFERROR(__xludf.DUMMYFUNCTION("""COMPUTED_VALUE"""),1.3125)</f>
        <v>1.3125</v>
      </c>
      <c r="L2700" s="82">
        <f>IFERROR(__xludf.DUMMYFUNCTION("""COMPUTED_VALUE"""),0.6458333333333334)</f>
        <v>0.6458333333</v>
      </c>
      <c r="M2700" s="82">
        <f>IFERROR(__xludf.DUMMYFUNCTION("""COMPUTED_VALUE"""),1.1041666666666667)</f>
        <v>1.104166667</v>
      </c>
      <c r="N2700" s="82">
        <f>IFERROR(__xludf.DUMMYFUNCTION("""COMPUTED_VALUE"""),3.3125)</f>
        <v>3.3125</v>
      </c>
      <c r="O2700" s="82">
        <f>IFERROR(__xludf.DUMMYFUNCTION("""COMPUTED_VALUE"""),314.6319444444444)</f>
        <v>314.6319444</v>
      </c>
      <c r="P2700" s="82">
        <f>IFERROR(__xludf.DUMMYFUNCTION("""COMPUTED_VALUE"""),0.673611111111111)</f>
        <v>0.6736111111</v>
      </c>
      <c r="Q2700" s="82">
        <f>IFERROR(__xludf.DUMMYFUNCTION("""COMPUTED_VALUE"""),0.46527777777777785)</f>
        <v>0.4652777778</v>
      </c>
      <c r="R2700" s="82">
        <f>IFERROR(__xludf.DUMMYFUNCTION("""COMPUTED_VALUE"""),1.3333333333333333)</f>
        <v>1.333333333</v>
      </c>
      <c r="S2700" s="82">
        <f>IFERROR(__xludf.DUMMYFUNCTION("""COMPUTED_VALUE"""),1.9722222222222225)</f>
        <v>1.972222222</v>
      </c>
      <c r="T2700" s="82">
        <f>IFERROR(__xludf.DUMMYFUNCTION("""COMPUTED_VALUE"""),331.7679221655415)</f>
        <v>331.7679222</v>
      </c>
      <c r="U2700" s="82">
        <f>IFERROR(__xludf.DUMMYFUNCTION("""COMPUTED_VALUE"""),0.7689432195633527)</f>
        <v>0.7689432196</v>
      </c>
      <c r="V2700" s="82">
        <f>IFERROR(__xludf.DUMMYFUNCTION("""COMPUTED_VALUE"""),0.508793551835426)</f>
        <v>0.5087935518</v>
      </c>
      <c r="W2700" s="82">
        <f>IFERROR(__xludf.DUMMYFUNCTION("""COMPUTED_VALUE"""),1.2103500019558762)</f>
        <v>1.210350002</v>
      </c>
      <c r="X2700" s="82">
        <f>IFERROR(__xludf.DUMMYFUNCTION("""COMPUTED_VALUE"""),2.398450660286533)</f>
        <v>2.39845066</v>
      </c>
      <c r="Y2700" s="82">
        <f>IFERROR(__xludf.DUMMYFUNCTION("""COMPUTED_VALUE"""),337.90947009576513)</f>
        <v>337.9094701</v>
      </c>
      <c r="Z2700" s="82">
        <f>IFERROR(__xludf.DUMMYFUNCTION("""COMPUTED_VALUE"""),0.8110684118398753)</f>
        <v>0.8110684118</v>
      </c>
      <c r="AA2700" s="82">
        <f>IFERROR(__xludf.DUMMYFUNCTION("""COMPUTED_VALUE"""),0.5427506065589153)</f>
        <v>0.5427506066</v>
      </c>
      <c r="AB2700" s="82">
        <f>IFERROR(__xludf.DUMMYFUNCTION("""COMPUTED_VALUE"""),1.1798152823307584)</f>
        <v>1.179815282</v>
      </c>
      <c r="AC2700" s="82">
        <f>IFERROR(__xludf.DUMMYFUNCTION("""COMPUTED_VALUE"""),2.4836630009173586)</f>
        <v>2.483663001</v>
      </c>
      <c r="AD2700" s="82">
        <f>IFERROR(__xludf.DUMMYFUNCTION("""COMPUTED_VALUE"""),1.2054510730873957)</f>
        <v>1.205451073</v>
      </c>
      <c r="AE2700" s="82">
        <f>IFERROR(__xludf.DUMMYFUNCTION("""COMPUTED_VALUE"""),1.6182358736208795)</f>
        <v>1.618235874</v>
      </c>
      <c r="AF2700" s="82">
        <f>IFERROR(__xludf.DUMMYFUNCTION("""COMPUTED_VALUE"""),1.1899265068130855)</f>
        <v>1.189926507</v>
      </c>
      <c r="AG2700" s="82">
        <f>IFERROR(__xludf.DUMMYFUNCTION("""COMPUTED_VALUE"""),0.9358809664554898)</f>
        <v>0.9358809665</v>
      </c>
      <c r="AH2700" s="82">
        <f>IFERROR(__xludf.DUMMYFUNCTION("""COMPUTED_VALUE"""),1.3337155639780858)</f>
        <v>1.333715564</v>
      </c>
      <c r="AI2700" s="82">
        <f>IFERROR(__xludf.DUMMYFUNCTION("""COMPUTED_VALUE"""),0.9483495040471489)</f>
        <v>0.948349504</v>
      </c>
      <c r="AJ2700" s="82">
        <f>IFERROR(__xludf.DUMMYFUNCTION("""COMPUTED_VALUE"""),0.8760219141975446)</f>
        <v>0.8760219142</v>
      </c>
      <c r="AK2700" s="82">
        <f>IFERROR(__xludf.DUMMYFUNCTION("""COMPUTED_VALUE"""),0.914472630597088)</f>
        <v>0.9144726306</v>
      </c>
      <c r="AL2700" s="82">
        <f>IFERROR(__xludf.DUMMYFUNCTION("""COMPUTED_VALUE"""),1.101609725433735)</f>
        <v>1.101609725</v>
      </c>
      <c r="AM2700" s="82">
        <f>IFERROR(__xludf.DUMMYFUNCTION("""COMPUTED_VALUE"""),0.8222900953845802)</f>
        <v>0.8222900954</v>
      </c>
      <c r="AN2700" s="82">
        <f>IFERROR(__xludf.DUMMYFUNCTION("""COMPUTED_VALUE"""),1.2668539050749619)</f>
        <v>1.266853905</v>
      </c>
      <c r="AO2700" s="82">
        <f>IFERROR(__xludf.DUMMYFUNCTION("""COMPUTED_VALUE"""),1.7883757933269413)</f>
        <v>1.788375793</v>
      </c>
      <c r="AP2700" s="82">
        <f>IFERROR(__xludf.DUMMYFUNCTION("""COMPUTED_VALUE"""),1.291888260204294)</f>
        <v>1.29188826</v>
      </c>
      <c r="AQ2700" s="82">
        <f>IFERROR(__xludf.DUMMYFUNCTION("""COMPUTED_VALUE"""),0.9483748522928411)</f>
        <v>0.9483748523</v>
      </c>
      <c r="AR2700" s="82">
        <f>IFERROR(__xludf.DUMMYFUNCTION("""COMPUTED_VALUE"""),1.4313243802473812)</f>
        <v>1.43132438</v>
      </c>
      <c r="AS2700" s="82">
        <f>IFERROR(__xludf.DUMMYFUNCTION("""COMPUTED_VALUE"""),138.0)</f>
        <v>138</v>
      </c>
      <c r="AT2700" s="82">
        <f>IFERROR(__xludf.DUMMYFUNCTION("""COMPUTED_VALUE"""),0.6355612676104205)</f>
        <v>0.6355612676</v>
      </c>
      <c r="AU2700" s="82">
        <f>IFERROR(__xludf.DUMMYFUNCTION("""COMPUTED_VALUE"""),3.9804986890285807)</f>
        <v>3.980498689</v>
      </c>
      <c r="AV2700" s="82">
        <f>IFERROR(__xludf.DUMMYFUNCTION("""COMPUTED_VALUE"""),100.51827312641062)</f>
        <v>100.5182731</v>
      </c>
      <c r="AW2700" s="82">
        <f t="shared" si="1"/>
        <v>46.18124224</v>
      </c>
      <c r="AX2700" s="83">
        <f t="array" ref="AX2700">IFERROR(DGET('SBV Import'!A:G,"SBV",{"RSC ID","Tier";B2700,A2700}))</f>
        <v>86.49506484</v>
      </c>
      <c r="AY2700" s="82">
        <f t="shared" si="2"/>
        <v>13.85575674</v>
      </c>
      <c r="AZ2700" s="82">
        <v>32.32548550151062</v>
      </c>
      <c r="BA2700" s="84">
        <v>2700.0</v>
      </c>
      <c r="BB2700" s="84" t="b">
        <f>IFERROR(__xludf.DUMMYFUNCTION("iferror(if(A2700="""",,E2700&gt;=FILTER(Constants!$F$2:$F$10,Constants!$A$2:$A$10=A2700)))"),TRUE)</f>
        <v>1</v>
      </c>
    </row>
    <row r="2701">
      <c r="A2701" s="89" t="str">
        <f>IFERROR(__xludf.DUMMYFUNCTION("""COMPUTED_VALUE"""),"Prospect")</f>
        <v>Prospect</v>
      </c>
      <c r="B2701" s="87" t="str">
        <f>IFERROR(__xludf.DUMMYFUNCTION("""COMPUTED_VALUE"""),"RSC006832")</f>
        <v>RSC006832</v>
      </c>
      <c r="C2701" s="73" t="str">
        <f>IFERROR(__xludf.DUMMYFUNCTION("""COMPUTED_VALUE"""),"Pandaliciously")</f>
        <v>Pandaliciously</v>
      </c>
      <c r="D2701" s="73" t="str">
        <f>IFERROR(__xludf.DUMMYFUNCTION("""COMPUTED_VALUE"""),"Horizon Highball")</f>
        <v>Horizon Highball</v>
      </c>
      <c r="E2701" s="82">
        <f>IFERROR(__xludf.DUMMYFUNCTION("""COMPUTED_VALUE"""),33.0)</f>
        <v>33</v>
      </c>
      <c r="F2701" s="82">
        <f>IFERROR(__xludf.DUMMYFUNCTION("""COMPUTED_VALUE"""),23.0)</f>
        <v>23</v>
      </c>
      <c r="G2701" s="86">
        <f>IFERROR(__xludf.DUMMYFUNCTION("""COMPUTED_VALUE"""),10.0)</f>
        <v>10</v>
      </c>
      <c r="H2701" s="86">
        <f>IFERROR(__xludf.DUMMYFUNCTION("""COMPUTED_VALUE"""),0.696969696969697)</f>
        <v>0.696969697</v>
      </c>
      <c r="I2701" s="86">
        <f>IFERROR(__xludf.DUMMYFUNCTION("""COMPUTED_VALUE"""),0.41000000000000003)</f>
        <v>0.41</v>
      </c>
      <c r="J2701" s="82">
        <f>IFERROR(__xludf.DUMMYFUNCTION("""COMPUTED_VALUE"""),415.030303030303)</f>
        <v>415.030303</v>
      </c>
      <c r="K2701" s="82">
        <f>IFERROR(__xludf.DUMMYFUNCTION("""COMPUTED_VALUE"""),1.2424242424242424)</f>
        <v>1.242424242</v>
      </c>
      <c r="L2701" s="82">
        <f>IFERROR(__xludf.DUMMYFUNCTION("""COMPUTED_VALUE"""),0.5151515151515151)</f>
        <v>0.5151515152</v>
      </c>
      <c r="M2701" s="82">
        <f>IFERROR(__xludf.DUMMYFUNCTION("""COMPUTED_VALUE"""),1.303030303030303)</f>
        <v>1.303030303</v>
      </c>
      <c r="N2701" s="82">
        <f>IFERROR(__xludf.DUMMYFUNCTION("""COMPUTED_VALUE"""),3.0303030303030303)</f>
        <v>3.03030303</v>
      </c>
      <c r="O2701" s="82">
        <f>IFERROR(__xludf.DUMMYFUNCTION("""COMPUTED_VALUE"""),314.7272727272727)</f>
        <v>314.7272727</v>
      </c>
      <c r="P2701" s="82">
        <f>IFERROR(__xludf.DUMMYFUNCTION("""COMPUTED_VALUE"""),0.6161616161616161)</f>
        <v>0.6161616162</v>
      </c>
      <c r="Q2701" s="82">
        <f>IFERROR(__xludf.DUMMYFUNCTION("""COMPUTED_VALUE"""),0.4444444444444445)</f>
        <v>0.4444444444</v>
      </c>
      <c r="R2701" s="82">
        <f>IFERROR(__xludf.DUMMYFUNCTION("""COMPUTED_VALUE"""),1.262626262626263)</f>
        <v>1.262626263</v>
      </c>
      <c r="S2701" s="82">
        <f>IFERROR(__xludf.DUMMYFUNCTION("""COMPUTED_VALUE"""),2.1313131313131315)</f>
        <v>2.131313131</v>
      </c>
      <c r="T2701" s="82">
        <f>IFERROR(__xludf.DUMMYFUNCTION("""COMPUTED_VALUE"""),339.5621283279351)</f>
        <v>339.5621283</v>
      </c>
      <c r="U2701" s="82">
        <f>IFERROR(__xludf.DUMMYFUNCTION("""COMPUTED_VALUE"""),0.7987061500931656)</f>
        <v>0.7987061501</v>
      </c>
      <c r="V2701" s="82">
        <f>IFERROR(__xludf.DUMMYFUNCTION("""COMPUTED_VALUE"""),0.5401566040128939)</f>
        <v>0.540156604</v>
      </c>
      <c r="W2701" s="82">
        <f>IFERROR(__xludf.DUMMYFUNCTION("""COMPUTED_VALUE"""),1.2339149062731924)</f>
        <v>1.233914906</v>
      </c>
      <c r="X2701" s="82">
        <f>IFERROR(__xludf.DUMMYFUNCTION("""COMPUTED_VALUE"""),2.4896994739246)</f>
        <v>2.489699474</v>
      </c>
      <c r="Y2701" s="82">
        <f>IFERROR(__xludf.DUMMYFUNCTION("""COMPUTED_VALUE"""),336.0228449533775)</f>
        <v>336.022845</v>
      </c>
      <c r="Z2701" s="82">
        <f>IFERROR(__xludf.DUMMYFUNCTION("""COMPUTED_VALUE"""),0.7835933672369881)</f>
        <v>0.7835933672</v>
      </c>
      <c r="AA2701" s="82">
        <f>IFERROR(__xludf.DUMMYFUNCTION("""COMPUTED_VALUE"""),0.5236052240327341)</f>
        <v>0.523605224</v>
      </c>
      <c r="AB2701" s="82">
        <f>IFERROR(__xludf.DUMMYFUNCTION("""COMPUTED_VALUE"""),1.2072693939193007)</f>
        <v>1.207269394</v>
      </c>
      <c r="AC2701" s="82">
        <f>IFERROR(__xludf.DUMMYFUNCTION("""COMPUTED_VALUE"""),2.4648069414938596)</f>
        <v>2.464806941</v>
      </c>
      <c r="AD2701" s="82">
        <f>IFERROR(__xludf.DUMMYFUNCTION("""COMPUTED_VALUE"""),1.2351252578909855)</f>
        <v>1.235125258</v>
      </c>
      <c r="AE2701" s="82">
        <f>IFERROR(__xludf.DUMMYFUNCTION("""COMPUTED_VALUE"""),1.5855471656238338)</f>
        <v>1.585547166</v>
      </c>
      <c r="AF2701" s="82">
        <f>IFERROR(__xludf.DUMMYFUNCTION("""COMPUTED_VALUE"""),0.9838548041669453)</f>
        <v>0.9838548042</v>
      </c>
      <c r="AG2701" s="82">
        <f>IFERROR(__xludf.DUMMYFUNCTION("""COMPUTED_VALUE"""),1.0793202491451577)</f>
        <v>1.079320249</v>
      </c>
      <c r="AH2701" s="82">
        <f>IFERROR(__xludf.DUMMYFUNCTION("""COMPUTED_VALUE"""),1.2294281468009973)</f>
        <v>1.229428147</v>
      </c>
      <c r="AI2701" s="82">
        <f>IFERROR(__xludf.DUMMYFUNCTION("""COMPUTED_VALUE"""),0.9268621158579913)</f>
        <v>0.9268621159</v>
      </c>
      <c r="AJ2701" s="82">
        <f>IFERROR(__xludf.DUMMYFUNCTION("""COMPUTED_VALUE"""),0.7714496953475863)</f>
        <v>0.7714496953</v>
      </c>
      <c r="AK2701" s="82">
        <f>IFERROR(__xludf.DUMMYFUNCTION("""COMPUTED_VALUE"""),0.8228066474474416)</f>
        <v>0.8228066474</v>
      </c>
      <c r="AL2701" s="82">
        <f>IFERROR(__xludf.DUMMYFUNCTION("""COMPUTED_VALUE"""),1.0232685059618802)</f>
        <v>1.023268506</v>
      </c>
      <c r="AM2701" s="82">
        <f>IFERROR(__xludf.DUMMYFUNCTION("""COMPUTED_VALUE"""),0.8560523684223897)</f>
        <v>0.8560523684</v>
      </c>
      <c r="AN2701" s="82">
        <f>IFERROR(__xludf.DUMMYFUNCTION("""COMPUTED_VALUE"""),1.2907923734493885)</f>
        <v>1.290792373</v>
      </c>
      <c r="AO2701" s="82">
        <f>IFERROR(__xludf.DUMMYFUNCTION("""COMPUTED_VALUE"""),1.692892525862155)</f>
        <v>1.692892526</v>
      </c>
      <c r="AP2701" s="82">
        <f>IFERROR(__xludf.DUMMYFUNCTION("""COMPUTED_VALUE"""),1.0304797852655951)</f>
        <v>1.030479785</v>
      </c>
      <c r="AQ2701" s="82">
        <f>IFERROR(__xludf.DUMMYFUNCTION("""COMPUTED_VALUE"""),1.1191799286063029)</f>
        <v>1.119179929</v>
      </c>
      <c r="AR2701" s="82">
        <f>IFERROR(__xludf.DUMMYFUNCTION("""COMPUTED_VALUE"""),1.3093876548861119)</f>
        <v>1.309387655</v>
      </c>
      <c r="AS2701" s="82">
        <f>IFERROR(__xludf.DUMMYFUNCTION("""COMPUTED_VALUE"""),95.0)</f>
        <v>95</v>
      </c>
      <c r="AT2701" s="82">
        <f>IFERROR(__xludf.DUMMYFUNCTION("""COMPUTED_VALUE"""),0.6663811781287818)</f>
        <v>0.6663811781</v>
      </c>
      <c r="AU2701" s="82">
        <f>IFERROR(__xludf.DUMMYFUNCTION("""COMPUTED_VALUE"""),3.748832871383259)</f>
        <v>3.748832871</v>
      </c>
      <c r="AV2701" s="82">
        <f>IFERROR(__xludf.DUMMYFUNCTION("""COMPUTED_VALUE"""),94.24991677704946)</f>
        <v>94.24991678</v>
      </c>
      <c r="AW2701" s="82">
        <f t="shared" si="1"/>
        <v>26.06620716</v>
      </c>
      <c r="AX2701" s="83">
        <f t="array" ref="AX2701">IFERROR(DGET('SBV Import'!A:G,"SBV",{"RSC ID","Tier";B2701,A2701}))</f>
        <v>77.52537452</v>
      </c>
      <c r="AY2701" s="82">
        <f t="shared" si="2"/>
        <v>7.383066878</v>
      </c>
      <c r="AZ2701" s="82">
        <v>18.683140280685404</v>
      </c>
      <c r="BA2701" s="84">
        <v>2700.0</v>
      </c>
      <c r="BB2701" s="84" t="b">
        <f>IFERROR(__xludf.DUMMYFUNCTION("iferror(if(A2701="""",,E2701&gt;=FILTER(Constants!$F$2:$F$10,Constants!$A$2:$A$10=A2701)))"),TRUE)</f>
        <v>1</v>
      </c>
    </row>
    <row r="2702">
      <c r="A2702" s="89" t="str">
        <f>IFERROR(__xludf.DUMMYFUNCTION("""COMPUTED_VALUE"""),"Prospect")</f>
        <v>Prospect</v>
      </c>
      <c r="B2702" s="87" t="str">
        <f>IFERROR(__xludf.DUMMYFUNCTION("""COMPUTED_VALUE"""),"RSC005603")</f>
        <v>RSC005603</v>
      </c>
      <c r="C2702" s="73" t="str">
        <f>IFERROR(__xludf.DUMMYFUNCTION("""COMPUTED_VALUE"""),"Aiden_23-")</f>
        <v>Aiden_23-</v>
      </c>
      <c r="D2702" s="73" t="str">
        <f>IFERROR(__xludf.DUMMYFUNCTION("""COMPUTED_VALUE"""),"Emus")</f>
        <v>Emus</v>
      </c>
      <c r="E2702" s="82">
        <f>IFERROR(__xludf.DUMMYFUNCTION("""COMPUTED_VALUE"""),38.0)</f>
        <v>38</v>
      </c>
      <c r="F2702" s="82">
        <f>IFERROR(__xludf.DUMMYFUNCTION("""COMPUTED_VALUE"""),21.0)</f>
        <v>21</v>
      </c>
      <c r="G2702" s="86">
        <f>IFERROR(__xludf.DUMMYFUNCTION("""COMPUTED_VALUE"""),17.0)</f>
        <v>17</v>
      </c>
      <c r="H2702" s="86">
        <f>IFERROR(__xludf.DUMMYFUNCTION("""COMPUTED_VALUE"""),0.5526315789473685)</f>
        <v>0.5526315789</v>
      </c>
      <c r="I2702" s="86">
        <f>IFERROR(__xludf.DUMMYFUNCTION("""COMPUTED_VALUE"""),0.328)</f>
        <v>0.328</v>
      </c>
      <c r="J2702" s="82">
        <f>IFERROR(__xludf.DUMMYFUNCTION("""COMPUTED_VALUE"""),374.2368421052632)</f>
        <v>374.2368421</v>
      </c>
      <c r="K2702" s="82">
        <f>IFERROR(__xludf.DUMMYFUNCTION("""COMPUTED_VALUE"""),1.0789473684210527)</f>
        <v>1.078947368</v>
      </c>
      <c r="L2702" s="82">
        <f>IFERROR(__xludf.DUMMYFUNCTION("""COMPUTED_VALUE"""),0.631578947368421)</f>
        <v>0.6315789474</v>
      </c>
      <c r="M2702" s="82">
        <f>IFERROR(__xludf.DUMMYFUNCTION("""COMPUTED_VALUE"""),1.0)</f>
        <v>1</v>
      </c>
      <c r="N2702" s="82">
        <f>IFERROR(__xludf.DUMMYFUNCTION("""COMPUTED_VALUE"""),3.289473684210526)</f>
        <v>3.289473684</v>
      </c>
      <c r="O2702" s="82">
        <f>IFERROR(__xludf.DUMMYFUNCTION("""COMPUTED_VALUE"""),338.9035087719298)</f>
        <v>338.9035088</v>
      </c>
      <c r="P2702" s="82">
        <f>IFERROR(__xludf.DUMMYFUNCTION("""COMPUTED_VALUE"""),0.7807017543859649)</f>
        <v>0.7807017544</v>
      </c>
      <c r="Q2702" s="82">
        <f>IFERROR(__xludf.DUMMYFUNCTION("""COMPUTED_VALUE"""),0.4736842105263157)</f>
        <v>0.4736842105</v>
      </c>
      <c r="R2702" s="82">
        <f>IFERROR(__xludf.DUMMYFUNCTION("""COMPUTED_VALUE"""),1.3859649122807016)</f>
        <v>1.385964912</v>
      </c>
      <c r="S2702" s="82">
        <f>IFERROR(__xludf.DUMMYFUNCTION("""COMPUTED_VALUE"""),2.385964912280703)</f>
        <v>2.385964912</v>
      </c>
      <c r="T2702" s="82">
        <f>IFERROR(__xludf.DUMMYFUNCTION("""COMPUTED_VALUE"""),339.3849562118209)</f>
        <v>339.3849562</v>
      </c>
      <c r="U2702" s="82">
        <f>IFERROR(__xludf.DUMMYFUNCTION("""COMPUTED_VALUE"""),0.8175663076350876)</f>
        <v>0.8175663076</v>
      </c>
      <c r="V2702" s="82">
        <f>IFERROR(__xludf.DUMMYFUNCTION("""COMPUTED_VALUE"""),0.5276652056185904)</f>
        <v>0.5276652056</v>
      </c>
      <c r="W2702" s="82">
        <f>IFERROR(__xludf.DUMMYFUNCTION("""COMPUTED_VALUE"""),1.1840206172097345)</f>
        <v>1.184020617</v>
      </c>
      <c r="X2702" s="82">
        <f>IFERROR(__xludf.DUMMYFUNCTION("""COMPUTED_VALUE"""),2.489869069156554)</f>
        <v>2.489869069</v>
      </c>
      <c r="Y2702" s="82">
        <f>IFERROR(__xludf.DUMMYFUNCTION("""COMPUTED_VALUE"""),334.1886333381012)</f>
        <v>334.1886333</v>
      </c>
      <c r="Z2702" s="82">
        <f>IFERROR(__xludf.DUMMYFUNCTION("""COMPUTED_VALUE"""),0.7872031146451183)</f>
        <v>0.7872031146</v>
      </c>
      <c r="AA2702" s="82">
        <f>IFERROR(__xludf.DUMMYFUNCTION("""COMPUTED_VALUE"""),0.5294166347514164)</f>
        <v>0.5294166348</v>
      </c>
      <c r="AB2702" s="82">
        <f>IFERROR(__xludf.DUMMYFUNCTION("""COMPUTED_VALUE"""),1.2046149273324303)</f>
        <v>1.204614927</v>
      </c>
      <c r="AC2702" s="82">
        <f>IFERROR(__xludf.DUMMYFUNCTION("""COMPUTED_VALUE"""),2.386797783814686)</f>
        <v>2.386797784</v>
      </c>
      <c r="AD2702" s="82">
        <f>IFERROR(__xludf.DUMMYFUNCTION("""COMPUTED_VALUE"""),1.1198371361920167)</f>
        <v>1.119837136</v>
      </c>
      <c r="AE2702" s="82">
        <f>IFERROR(__xludf.DUMMYFUNCTION("""COMPUTED_VALUE"""),1.3706086121209728)</f>
        <v>1.370608612</v>
      </c>
      <c r="AF2702" s="82">
        <f>IFERROR(__xludf.DUMMYFUNCTION("""COMPUTED_VALUE"""),1.192971482025634)</f>
        <v>1.192971482</v>
      </c>
      <c r="AG2702" s="82">
        <f>IFERROR(__xludf.DUMMYFUNCTION("""COMPUTED_VALUE"""),0.830140800441896)</f>
        <v>0.8301408004</v>
      </c>
      <c r="AH2702" s="82">
        <f>IFERROR(__xludf.DUMMYFUNCTION("""COMPUTED_VALUE"""),1.3781953823306905)</f>
        <v>1.378195382</v>
      </c>
      <c r="AI2702" s="82">
        <f>IFERROR(__xludf.DUMMYFUNCTION("""COMPUTED_VALUE"""),0.9985814119598436)</f>
        <v>0.998581412</v>
      </c>
      <c r="AJ2702" s="82">
        <f>IFERROR(__xludf.DUMMYFUNCTION("""COMPUTED_VALUE"""),0.9549094025709571)</f>
        <v>0.9549094026</v>
      </c>
      <c r="AK2702" s="82">
        <f>IFERROR(__xludf.DUMMYFUNCTION("""COMPUTED_VALUE"""),0.897698399444413)</f>
        <v>0.8976983994</v>
      </c>
      <c r="AL2702" s="82">
        <f>IFERROR(__xludf.DUMMYFUNCTION("""COMPUTED_VALUE"""),1.1705580900667671)</f>
        <v>1.17055809</v>
      </c>
      <c r="AM2702" s="82">
        <f>IFERROR(__xludf.DUMMYFUNCTION("""COMPUTED_VALUE"""),0.9582692286261266)</f>
        <v>0.9582692286</v>
      </c>
      <c r="AN2702" s="82">
        <f>IFERROR(__xludf.DUMMYFUNCTION("""COMPUTED_VALUE"""),1.1639199791586938)</f>
        <v>1.163919979</v>
      </c>
      <c r="AO2702" s="82">
        <f>IFERROR(__xludf.DUMMYFUNCTION("""COMPUTED_VALUE"""),1.4701435093013453)</f>
        <v>1.470143509</v>
      </c>
      <c r="AP2702" s="82">
        <f>IFERROR(__xludf.DUMMYFUNCTION("""COMPUTED_VALUE"""),1.2633745974154047)</f>
        <v>1.263374597</v>
      </c>
      <c r="AQ2702" s="82">
        <f>IFERROR(__xludf.DUMMYFUNCTION("""COMPUTED_VALUE"""),0.8589055266048372)</f>
        <v>0.8589055266</v>
      </c>
      <c r="AR2702" s="82">
        <f>IFERROR(__xludf.DUMMYFUNCTION("""COMPUTED_VALUE"""),1.4213747569487398)</f>
        <v>1.421374757</v>
      </c>
      <c r="AS2702" s="82">
        <f>IFERROR(__xludf.DUMMYFUNCTION("""COMPUTED_VALUE"""),103.0)</f>
        <v>103</v>
      </c>
      <c r="AT2702" s="82">
        <f>IFERROR(__xludf.DUMMYFUNCTION("""COMPUTED_VALUE"""),0.5578797435584592)</f>
        <v>0.5578797436</v>
      </c>
      <c r="AU2702" s="82">
        <f>IFERROR(__xludf.DUMMYFUNCTION("""COMPUTED_VALUE"""),3.485616698915587)</f>
        <v>3.485616699</v>
      </c>
      <c r="AV2702" s="82">
        <f>IFERROR(__xludf.DUMMYFUNCTION("""COMPUTED_VALUE"""),87.127878736598)</f>
        <v>87.12787874</v>
      </c>
      <c r="AW2702" s="82">
        <f t="shared" si="1"/>
        <v>14.54404524</v>
      </c>
      <c r="AX2702" s="83">
        <f t="array" ref="AX2702">IFERROR(DGET('SBV Import'!A:G,"SBV",{"RSC ID","Tier";B2702,A2702}))</f>
        <v>64.2246375</v>
      </c>
      <c r="AY2702" s="82">
        <f t="shared" si="2"/>
        <v>3.512679137</v>
      </c>
      <c r="AZ2702" s="82">
        <v>11.031366100670875</v>
      </c>
      <c r="BA2702" s="84">
        <v>2700.0</v>
      </c>
      <c r="BB2702" s="84" t="b">
        <f>IFERROR(__xludf.DUMMYFUNCTION("iferror(if(A2702="""",,E2702&gt;=FILTER(Constants!$F$2:$F$10,Constants!$A$2:$A$10=A2702)))"),TRUE)</f>
        <v>1</v>
      </c>
    </row>
    <row r="2703">
      <c r="A2703" s="89" t="str">
        <f>IFERROR(__xludf.DUMMYFUNCTION("""COMPUTED_VALUE"""),"Prospect")</f>
        <v>Prospect</v>
      </c>
      <c r="B2703" s="87" t="str">
        <f>IFERROR(__xludf.DUMMYFUNCTION("""COMPUTED_VALUE"""),"RSC002736")</f>
        <v>RSC002736</v>
      </c>
      <c r="C2703" s="73" t="str">
        <f>IFERROR(__xludf.DUMMYFUNCTION("""COMPUTED_VALUE"""),"chulainn")</f>
        <v>chulainn</v>
      </c>
      <c r="D2703" s="73" t="str">
        <f>IFERROR(__xludf.DUMMYFUNCTION("""COMPUTED_VALUE"""),"Earth")</f>
        <v>Earth</v>
      </c>
      <c r="E2703" s="82">
        <f>IFERROR(__xludf.DUMMYFUNCTION("""COMPUTED_VALUE"""),47.0)</f>
        <v>47</v>
      </c>
      <c r="F2703" s="82">
        <f>IFERROR(__xludf.DUMMYFUNCTION("""COMPUTED_VALUE"""),24.0)</f>
        <v>24</v>
      </c>
      <c r="G2703" s="86">
        <f>IFERROR(__xludf.DUMMYFUNCTION("""COMPUTED_VALUE"""),23.0)</f>
        <v>23</v>
      </c>
      <c r="H2703" s="86">
        <f>IFERROR(__xludf.DUMMYFUNCTION("""COMPUTED_VALUE"""),0.5106382978723404)</f>
        <v>0.5106382979</v>
      </c>
      <c r="I2703" s="86">
        <f>IFERROR(__xludf.DUMMYFUNCTION("""COMPUTED_VALUE"""),0.3416149068322981)</f>
        <v>0.3416149068</v>
      </c>
      <c r="J2703" s="82">
        <f>IFERROR(__xludf.DUMMYFUNCTION("""COMPUTED_VALUE"""),410.0851063829787)</f>
        <v>410.0851064</v>
      </c>
      <c r="K2703" s="82">
        <f>IFERROR(__xludf.DUMMYFUNCTION("""COMPUTED_VALUE"""),1.1702127659574468)</f>
        <v>1.170212766</v>
      </c>
      <c r="L2703" s="82">
        <f>IFERROR(__xludf.DUMMYFUNCTION("""COMPUTED_VALUE"""),0.6808510638297872)</f>
        <v>0.6808510638</v>
      </c>
      <c r="M2703" s="82">
        <f>IFERROR(__xludf.DUMMYFUNCTION("""COMPUTED_VALUE"""),0.9148936170212766)</f>
        <v>0.914893617</v>
      </c>
      <c r="N2703" s="82">
        <f>IFERROR(__xludf.DUMMYFUNCTION("""COMPUTED_VALUE"""),3.425531914893617)</f>
        <v>3.425531915</v>
      </c>
      <c r="O2703" s="82">
        <f>IFERROR(__xludf.DUMMYFUNCTION("""COMPUTED_VALUE"""),365.9432624113474)</f>
        <v>365.9432624</v>
      </c>
      <c r="P2703" s="82">
        <f>IFERROR(__xludf.DUMMYFUNCTION("""COMPUTED_VALUE"""),0.9361702127659576)</f>
        <v>0.9361702128</v>
      </c>
      <c r="Q2703" s="82">
        <f>IFERROR(__xludf.DUMMYFUNCTION("""COMPUTED_VALUE"""),0.5886524822695035)</f>
        <v>0.5886524823</v>
      </c>
      <c r="R2703" s="82">
        <f>IFERROR(__xludf.DUMMYFUNCTION("""COMPUTED_VALUE"""),1.3687943262411346)</f>
        <v>1.368794326</v>
      </c>
      <c r="S2703" s="82">
        <f>IFERROR(__xludf.DUMMYFUNCTION("""COMPUTED_VALUE"""),2.340425531914893)</f>
        <v>2.340425532</v>
      </c>
      <c r="T2703" s="82">
        <f>IFERROR(__xludf.DUMMYFUNCTION("""COMPUTED_VALUE"""),328.4472241613236)</f>
        <v>328.4472242</v>
      </c>
      <c r="U2703" s="82">
        <f>IFERROR(__xludf.DUMMYFUNCTION("""COMPUTED_VALUE"""),0.768232295687578)</f>
        <v>0.7682322957</v>
      </c>
      <c r="V2703" s="82">
        <f>IFERROR(__xludf.DUMMYFUNCTION("""COMPUTED_VALUE"""),0.4797681442102481)</f>
        <v>0.4797681442</v>
      </c>
      <c r="W2703" s="82">
        <f>IFERROR(__xludf.DUMMYFUNCTION("""COMPUTED_VALUE"""),1.2025507166739475)</f>
        <v>1.202550717</v>
      </c>
      <c r="X2703" s="82">
        <f>IFERROR(__xludf.DUMMYFUNCTION("""COMPUTED_VALUE"""),2.2948527993850387)</f>
        <v>2.294852799</v>
      </c>
      <c r="Y2703" s="82">
        <f>IFERROR(__xludf.DUMMYFUNCTION("""COMPUTED_VALUE"""),338.78853413690814)</f>
        <v>338.7885341</v>
      </c>
      <c r="Z2703" s="82">
        <f>IFERROR(__xludf.DUMMYFUNCTION("""COMPUTED_VALUE"""),0.8216338634825805)</f>
        <v>0.8216338635</v>
      </c>
      <c r="AA2703" s="82">
        <f>IFERROR(__xludf.DUMMYFUNCTION("""COMPUTED_VALUE"""),0.5516381418672671)</f>
        <v>0.5516381419</v>
      </c>
      <c r="AB2703" s="82">
        <f>IFERROR(__xludf.DUMMYFUNCTION("""COMPUTED_VALUE"""),1.1358241217956586)</f>
        <v>1.135824122</v>
      </c>
      <c r="AC2703" s="82">
        <f>IFERROR(__xludf.DUMMYFUNCTION("""COMPUTED_VALUE"""),2.571653878015198)</f>
        <v>2.571653878</v>
      </c>
      <c r="AD2703" s="82">
        <f>IFERROR(__xludf.DUMMYFUNCTION("""COMPUTED_VALUE"""),1.2104456469511418)</f>
        <v>1.210445647</v>
      </c>
      <c r="AE2703" s="82">
        <f>IFERROR(__xludf.DUMMYFUNCTION("""COMPUTED_VALUE"""),1.4242508956451458)</f>
        <v>1.424250896</v>
      </c>
      <c r="AF2703" s="82">
        <f>IFERROR(__xludf.DUMMYFUNCTION("""COMPUTED_VALUE"""),1.2342349307557685)</f>
        <v>1.234234931</v>
      </c>
      <c r="AG2703" s="82">
        <f>IFERROR(__xludf.DUMMYFUNCTION("""COMPUTED_VALUE"""),0.8054888071710378)</f>
        <v>0.8054888072</v>
      </c>
      <c r="AH2703" s="82">
        <f>IFERROR(__xludf.DUMMYFUNCTION("""COMPUTED_VALUE"""),1.3320345883939257)</f>
        <v>1.332034588</v>
      </c>
      <c r="AI2703" s="82">
        <f>IFERROR(__xludf.DUMMYFUNCTION("""COMPUTED_VALUE"""),1.1141615318740121)</f>
        <v>1.114161532</v>
      </c>
      <c r="AJ2703" s="82">
        <f>IFERROR(__xludf.DUMMYFUNCTION("""COMPUTED_VALUE"""),1.2186030423624314)</f>
        <v>1.218603042</v>
      </c>
      <c r="AK2703" s="82">
        <f>IFERROR(__xludf.DUMMYFUNCTION("""COMPUTED_VALUE"""),1.2269519962366222)</f>
        <v>1.226951996</v>
      </c>
      <c r="AL2703" s="82">
        <f>IFERROR(__xludf.DUMMYFUNCTION("""COMPUTED_VALUE"""),1.1382424934450905)</f>
        <v>1.138242493</v>
      </c>
      <c r="AM2703" s="82">
        <f>IFERROR(__xludf.DUMMYFUNCTION("""COMPUTED_VALUE"""),1.0198586735245359)</f>
        <v>1.019858674</v>
      </c>
      <c r="AN2703" s="82">
        <f>IFERROR(__xludf.DUMMYFUNCTION("""COMPUTED_VALUE"""),1.2754122383822204)</f>
        <v>1.275412238</v>
      </c>
      <c r="AO2703" s="82">
        <f>IFERROR(__xludf.DUMMYFUNCTION("""COMPUTED_VALUE"""),1.5944991875660672)</f>
        <v>1.594499188</v>
      </c>
      <c r="AP2703" s="82">
        <f>IFERROR(__xludf.DUMMYFUNCTION("""COMPUTED_VALUE"""),1.3619357362208617)</f>
        <v>1.361935736</v>
      </c>
      <c r="AQ2703" s="82">
        <f>IFERROR(__xludf.DUMMYFUNCTION("""COMPUTED_VALUE"""),0.7858071839150638)</f>
        <v>0.7858071839</v>
      </c>
      <c r="AR2703" s="82">
        <f>IFERROR(__xludf.DUMMYFUNCTION("""COMPUTED_VALUE"""),1.4801652362574285)</f>
        <v>1.480165236</v>
      </c>
      <c r="AS2703" s="82">
        <f>IFERROR(__xludf.DUMMYFUNCTION("""COMPUTED_VALUE"""),131.0)</f>
        <v>131</v>
      </c>
      <c r="AT2703" s="82">
        <f>IFERROR(__xludf.DUMMYFUNCTION("""COMPUTED_VALUE"""),0.49688365206710394)</f>
        <v>0.4968836521</v>
      </c>
      <c r="AU2703" s="82">
        <f>IFERROR(__xludf.DUMMYFUNCTION("""COMPUTED_VALUE"""),3.4532515180084546)</f>
        <v>3.453251518</v>
      </c>
      <c r="AV2703" s="82">
        <f>IFERROR(__xludf.DUMMYFUNCTION("""COMPUTED_VALUE"""),86.25214968300043)</f>
        <v>86.25214968</v>
      </c>
      <c r="AW2703" s="82">
        <f t="shared" si="1"/>
        <v>13.60224591</v>
      </c>
      <c r="AX2703" s="83">
        <f t="array" ref="AX2703">IFERROR(DGET('SBV Import'!A:G,"SBV",{"RSC ID","Tier";B2703,A2703}))</f>
        <v>78.82927174</v>
      </c>
      <c r="AY2703" s="82">
        <f t="shared" si="2"/>
        <v>8.037284719</v>
      </c>
      <c r="AZ2703" s="82">
        <v>5.5649611903491465</v>
      </c>
      <c r="BA2703" s="84">
        <v>2700.0</v>
      </c>
      <c r="BB2703" s="84" t="b">
        <f>IFERROR(__xludf.DUMMYFUNCTION("iferror(if(A2703="""",,E2703&gt;=FILTER(Constants!$F$2:$F$10,Constants!$A$2:$A$10=A2703)))"),TRUE)</f>
        <v>1</v>
      </c>
    </row>
    <row r="2704">
      <c r="A2704" s="89" t="str">
        <f>IFERROR(__xludf.DUMMYFUNCTION("""COMPUTED_VALUE"""),"Prospect")</f>
        <v>Prospect</v>
      </c>
      <c r="B2704" s="87" t="str">
        <f>IFERROR(__xludf.DUMMYFUNCTION("""COMPUTED_VALUE"""),"RSC000962")</f>
        <v>RSC000962</v>
      </c>
      <c r="C2704" s="73" t="str">
        <f>IFERROR(__xludf.DUMMYFUNCTION("""COMPUTED_VALUE"""),"pythagorjags")</f>
        <v>pythagorjags</v>
      </c>
      <c r="D2704" s="73" t="str">
        <f>IFERROR(__xludf.DUMMYFUNCTION("""COMPUTED_VALUE"""),"Hawaiian Pizza")</f>
        <v>Hawaiian Pizza</v>
      </c>
      <c r="E2704" s="82">
        <f>IFERROR(__xludf.DUMMYFUNCTION("""COMPUTED_VALUE"""),32.0)</f>
        <v>32</v>
      </c>
      <c r="F2704" s="82">
        <f>IFERROR(__xludf.DUMMYFUNCTION("""COMPUTED_VALUE"""),21.0)</f>
        <v>21</v>
      </c>
      <c r="G2704" s="86">
        <f>IFERROR(__xludf.DUMMYFUNCTION("""COMPUTED_VALUE"""),11.0)</f>
        <v>11</v>
      </c>
      <c r="H2704" s="86">
        <f>IFERROR(__xludf.DUMMYFUNCTION("""COMPUTED_VALUE"""),0.65625)</f>
        <v>0.65625</v>
      </c>
      <c r="I2704" s="86">
        <f>IFERROR(__xludf.DUMMYFUNCTION("""COMPUTED_VALUE"""),0.4367816091954023)</f>
        <v>0.4367816092</v>
      </c>
      <c r="J2704" s="82">
        <f>IFERROR(__xludf.DUMMYFUNCTION("""COMPUTED_VALUE"""),389.84375)</f>
        <v>389.84375</v>
      </c>
      <c r="K2704" s="82">
        <f>IFERROR(__xludf.DUMMYFUNCTION("""COMPUTED_VALUE"""),1.1875)</f>
        <v>1.1875</v>
      </c>
      <c r="L2704" s="82">
        <f>IFERROR(__xludf.DUMMYFUNCTION("""COMPUTED_VALUE"""),0.5625)</f>
        <v>0.5625</v>
      </c>
      <c r="M2704" s="82">
        <f>IFERROR(__xludf.DUMMYFUNCTION("""COMPUTED_VALUE"""),1.1875)</f>
        <v>1.1875</v>
      </c>
      <c r="N2704" s="82">
        <f>IFERROR(__xludf.DUMMYFUNCTION("""COMPUTED_VALUE"""),2.71875)</f>
        <v>2.71875</v>
      </c>
      <c r="O2704" s="82">
        <f>IFERROR(__xludf.DUMMYFUNCTION("""COMPUTED_VALUE"""),313.09375000000006)</f>
        <v>313.09375</v>
      </c>
      <c r="P2704" s="82">
        <f>IFERROR(__xludf.DUMMYFUNCTION("""COMPUTED_VALUE"""),0.6354166666666666)</f>
        <v>0.6354166667</v>
      </c>
      <c r="Q2704" s="82">
        <f>IFERROR(__xludf.DUMMYFUNCTION("""COMPUTED_VALUE"""),0.4583333333333333)</f>
        <v>0.4583333333</v>
      </c>
      <c r="R2704" s="82">
        <f>IFERROR(__xludf.DUMMYFUNCTION("""COMPUTED_VALUE"""),1.135416666666667)</f>
        <v>1.135416667</v>
      </c>
      <c r="S2704" s="82">
        <f>IFERROR(__xludf.DUMMYFUNCTION("""COMPUTED_VALUE"""),2.354166666666668)</f>
        <v>2.354166667</v>
      </c>
      <c r="T2704" s="82">
        <f>IFERROR(__xludf.DUMMYFUNCTION("""COMPUTED_VALUE"""),333.9527776834997)</f>
        <v>333.9527777</v>
      </c>
      <c r="U2704" s="82">
        <f>IFERROR(__xludf.DUMMYFUNCTION("""COMPUTED_VALUE"""),0.7792276490793036)</f>
        <v>0.7792276491</v>
      </c>
      <c r="V2704" s="82">
        <f>IFERROR(__xludf.DUMMYFUNCTION("""COMPUTED_VALUE"""),0.5582419724910884)</f>
        <v>0.5582419725</v>
      </c>
      <c r="W2704" s="82">
        <f>IFERROR(__xludf.DUMMYFUNCTION("""COMPUTED_VALUE"""),1.1410888310626706)</f>
        <v>1.141088831</v>
      </c>
      <c r="X2704" s="82">
        <f>IFERROR(__xludf.DUMMYFUNCTION("""COMPUTED_VALUE"""),2.483887949943373)</f>
        <v>2.48388795</v>
      </c>
      <c r="Y2704" s="82">
        <f>IFERROR(__xludf.DUMMYFUNCTION("""COMPUTED_VALUE"""),336.7046761153048)</f>
        <v>336.7046761</v>
      </c>
      <c r="Z2704" s="82">
        <f>IFERROR(__xludf.DUMMYFUNCTION("""COMPUTED_VALUE"""),0.8094011102032831)</f>
        <v>0.8094011102</v>
      </c>
      <c r="AA2704" s="82">
        <f>IFERROR(__xludf.DUMMYFUNCTION("""COMPUTED_VALUE"""),0.5290195343530762)</f>
        <v>0.5290195344</v>
      </c>
      <c r="AB2704" s="82">
        <f>IFERROR(__xludf.DUMMYFUNCTION("""COMPUTED_VALUE"""),1.247895776722622)</f>
        <v>1.247895777</v>
      </c>
      <c r="AC2704" s="82">
        <f>IFERROR(__xludf.DUMMYFUNCTION("""COMPUTED_VALUE"""),2.3529955117587535)</f>
        <v>2.352995512</v>
      </c>
      <c r="AD2704" s="82">
        <f>IFERROR(__xludf.DUMMYFUNCTION("""COMPUTED_VALUE"""),1.1578210154304411)</f>
        <v>1.157821015</v>
      </c>
      <c r="AE2704" s="82">
        <f>IFERROR(__xludf.DUMMYFUNCTION("""COMPUTED_VALUE"""),1.467134137858739)</f>
        <v>1.467134138</v>
      </c>
      <c r="AF2704" s="82">
        <f>IFERROR(__xludf.DUMMYFUNCTION("""COMPUTED_VALUE"""),1.0632877681688373)</f>
        <v>1.063287768</v>
      </c>
      <c r="AG2704" s="82">
        <f>IFERROR(__xludf.DUMMYFUNCTION("""COMPUTED_VALUE"""),0.9516019063056365)</f>
        <v>0.9516019063</v>
      </c>
      <c r="AH2704" s="82">
        <f>IFERROR(__xludf.DUMMYFUNCTION("""COMPUTED_VALUE"""),1.1554420679569686)</f>
        <v>1.155442068</v>
      </c>
      <c r="AI2704" s="82">
        <f>IFERROR(__xludf.DUMMYFUNCTION("""COMPUTED_VALUE"""),0.937538990308179)</f>
        <v>0.9375389903</v>
      </c>
      <c r="AJ2704" s="82">
        <f>IFERROR(__xludf.DUMMYFUNCTION("""COMPUTED_VALUE"""),0.8154441996731547)</f>
        <v>0.8154441997</v>
      </c>
      <c r="AK2704" s="82">
        <f>IFERROR(__xludf.DUMMYFUNCTION("""COMPUTED_VALUE"""),0.8210298686214427)</f>
        <v>0.8210298686</v>
      </c>
      <c r="AL2704" s="82">
        <f>IFERROR(__xludf.DUMMYFUNCTION("""COMPUTED_VALUE"""),0.9950291649154771)</f>
        <v>0.9950291649</v>
      </c>
      <c r="AM2704" s="82">
        <f>IFERROR(__xludf.DUMMYFUNCTION("""COMPUTED_VALUE"""),0.9477749053536564)</f>
        <v>0.9477749054</v>
      </c>
      <c r="AN2704" s="82">
        <f>IFERROR(__xludf.DUMMYFUNCTION("""COMPUTED_VALUE"""),1.2124592726429637)</f>
        <v>1.212459273</v>
      </c>
      <c r="AO2704" s="82">
        <f>IFERROR(__xludf.DUMMYFUNCTION("""COMPUTED_VALUE"""),1.6180542892005658)</f>
        <v>1.618054289</v>
      </c>
      <c r="AP2704" s="82">
        <f>IFERROR(__xludf.DUMMYFUNCTION("""COMPUTED_VALUE"""),1.1251930008230948)</f>
        <v>1.125193001</v>
      </c>
      <c r="AQ2704" s="82">
        <f>IFERROR(__xludf.DUMMYFUNCTION("""COMPUTED_VALUE"""),1.0199503128432441)</f>
        <v>1.019950313</v>
      </c>
      <c r="AR2704" s="82">
        <f>IFERROR(__xludf.DUMMYFUNCTION("""COMPUTED_VALUE"""),1.1747662366181335)</f>
        <v>1.174766237</v>
      </c>
      <c r="AS2704" s="82">
        <f>IFERROR(__xludf.DUMMYFUNCTION("""COMPUTED_VALUE"""),89.0)</f>
        <v>89</v>
      </c>
      <c r="AT2704" s="82">
        <f>IFERROR(__xludf.DUMMYFUNCTION("""COMPUTED_VALUE"""),0.643031021047631)</f>
        <v>0.643031021</v>
      </c>
      <c r="AU2704" s="82">
        <f>IFERROR(__xludf.DUMMYFUNCTION("""COMPUTED_VALUE"""),3.4530801237790962)</f>
        <v>3.453080124</v>
      </c>
      <c r="AV2704" s="82">
        <f>IFERROR(__xludf.DUMMYFUNCTION("""COMPUTED_VALUE"""),86.24751214036785)</f>
        <v>86.24751214</v>
      </c>
      <c r="AW2704" s="82">
        <f t="shared" si="1"/>
        <v>13.59746205</v>
      </c>
      <c r="AX2704" s="83">
        <f t="array" ref="AX2704">IFERROR(DGET('SBV Import'!A:G,"SBV",{"RSC ID","Tier";B2704,A2704}))</f>
        <v>67.49257899</v>
      </c>
      <c r="AY2704" s="82">
        <f t="shared" si="2"/>
        <v>4.13126941</v>
      </c>
      <c r="AZ2704" s="82">
        <v>9.466192637226971</v>
      </c>
      <c r="BA2704" s="84">
        <v>2700.0</v>
      </c>
      <c r="BB2704" s="84" t="b">
        <f>IFERROR(__xludf.DUMMYFUNCTION("iferror(if(A2704="""",,E2704&gt;=FILTER(Constants!$F$2:$F$10,Constants!$A$2:$A$10=A2704)))"),TRUE)</f>
        <v>1</v>
      </c>
    </row>
    <row r="2705">
      <c r="A2705" s="89" t="str">
        <f>IFERROR(__xludf.DUMMYFUNCTION("""COMPUTED_VALUE"""),"Prospect")</f>
        <v>Prospect</v>
      </c>
      <c r="B2705" s="87" t="str">
        <f>IFERROR(__xludf.DUMMYFUNCTION("""COMPUTED_VALUE"""),"RSC007045")</f>
        <v>RSC007045</v>
      </c>
      <c r="C2705" s="73" t="str">
        <f>IFERROR(__xludf.DUMMYFUNCTION("""COMPUTED_VALUE"""),"fetty_steve98")</f>
        <v>fetty_steve98</v>
      </c>
      <c r="D2705" s="73" t="str">
        <f>IFERROR(__xludf.DUMMYFUNCTION("""COMPUTED_VALUE"""),"Blacktips")</f>
        <v>Blacktips</v>
      </c>
      <c r="E2705" s="82">
        <f>IFERROR(__xludf.DUMMYFUNCTION("""COMPUTED_VALUE"""),44.0)</f>
        <v>44</v>
      </c>
      <c r="F2705" s="82">
        <f>IFERROR(__xludf.DUMMYFUNCTION("""COMPUTED_VALUE"""),30.0)</f>
        <v>30</v>
      </c>
      <c r="G2705" s="86">
        <f>IFERROR(__xludf.DUMMYFUNCTION("""COMPUTED_VALUE"""),14.0)</f>
        <v>14</v>
      </c>
      <c r="H2705" s="86">
        <f>IFERROR(__xludf.DUMMYFUNCTION("""COMPUTED_VALUE"""),0.6818181818181818)</f>
        <v>0.6818181818</v>
      </c>
      <c r="I2705" s="86">
        <f>IFERROR(__xludf.DUMMYFUNCTION("""COMPUTED_VALUE"""),0.376)</f>
        <v>0.376</v>
      </c>
      <c r="J2705" s="82">
        <f>IFERROR(__xludf.DUMMYFUNCTION("""COMPUTED_VALUE"""),399.52272727272725)</f>
        <v>399.5227273</v>
      </c>
      <c r="K2705" s="82">
        <f>IFERROR(__xludf.DUMMYFUNCTION("""COMPUTED_VALUE"""),1.0681818181818181)</f>
        <v>1.068181818</v>
      </c>
      <c r="L2705" s="82">
        <f>IFERROR(__xludf.DUMMYFUNCTION("""COMPUTED_VALUE"""),0.75)</f>
        <v>0.75</v>
      </c>
      <c r="M2705" s="82">
        <f>IFERROR(__xludf.DUMMYFUNCTION("""COMPUTED_VALUE"""),1.1136363636363635)</f>
        <v>1.113636364</v>
      </c>
      <c r="N2705" s="82">
        <f>IFERROR(__xludf.DUMMYFUNCTION("""COMPUTED_VALUE"""),2.840909090909091)</f>
        <v>2.840909091</v>
      </c>
      <c r="O2705" s="82">
        <f>IFERROR(__xludf.DUMMYFUNCTION("""COMPUTED_VALUE"""),315.65909090909093)</f>
        <v>315.6590909</v>
      </c>
      <c r="P2705" s="82">
        <f>IFERROR(__xludf.DUMMYFUNCTION("""COMPUTED_VALUE"""),0.6818181818181819)</f>
        <v>0.6818181818</v>
      </c>
      <c r="Q2705" s="82">
        <f>IFERROR(__xludf.DUMMYFUNCTION("""COMPUTED_VALUE"""),0.4469696969696969)</f>
        <v>0.446969697</v>
      </c>
      <c r="R2705" s="82">
        <f>IFERROR(__xludf.DUMMYFUNCTION("""COMPUTED_VALUE"""),1.1893939393939392)</f>
        <v>1.189393939</v>
      </c>
      <c r="S2705" s="82">
        <f>IFERROR(__xludf.DUMMYFUNCTION("""COMPUTED_VALUE"""),2.181818181818182)</f>
        <v>2.181818182</v>
      </c>
      <c r="T2705" s="82">
        <f>IFERROR(__xludf.DUMMYFUNCTION("""COMPUTED_VALUE"""),327.25837057689137)</f>
        <v>327.2583706</v>
      </c>
      <c r="U2705" s="82">
        <f>IFERROR(__xludf.DUMMYFUNCTION("""COMPUTED_VALUE"""),0.7364987532601746)</f>
        <v>0.7364987533</v>
      </c>
      <c r="V2705" s="82">
        <f>IFERROR(__xludf.DUMMYFUNCTION("""COMPUTED_VALUE"""),0.5102157217228449)</f>
        <v>0.5102157217</v>
      </c>
      <c r="W2705" s="82">
        <f>IFERROR(__xludf.DUMMYFUNCTION("""COMPUTED_VALUE"""),1.2086882827816907)</f>
        <v>1.208688283</v>
      </c>
      <c r="X2705" s="82">
        <f>IFERROR(__xludf.DUMMYFUNCTION("""COMPUTED_VALUE"""),2.3851213977347485)</f>
        <v>2.385121398</v>
      </c>
      <c r="Y2705" s="82">
        <f>IFERROR(__xludf.DUMMYFUNCTION("""COMPUTED_VALUE"""),338.5050010340484)</f>
        <v>338.505001</v>
      </c>
      <c r="Z2705" s="82">
        <f>IFERROR(__xludf.DUMMYFUNCTION("""COMPUTED_VALUE"""),0.8084258892553419)</f>
        <v>0.8084258893</v>
      </c>
      <c r="AA2705" s="82">
        <f>IFERROR(__xludf.DUMMYFUNCTION("""COMPUTED_VALUE"""),0.536687057643965)</f>
        <v>0.5366870576</v>
      </c>
      <c r="AB2705" s="82">
        <f>IFERROR(__xludf.DUMMYFUNCTION("""COMPUTED_VALUE"""),1.1868771246718843)</f>
        <v>1.186877125</v>
      </c>
      <c r="AC2705" s="82">
        <f>IFERROR(__xludf.DUMMYFUNCTION("""COMPUTED_VALUE"""),2.511231089474866)</f>
        <v>2.511231089</v>
      </c>
      <c r="AD2705" s="82">
        <f>IFERROR(__xludf.DUMMYFUNCTION("""COMPUTED_VALUE"""),1.1802564985813648)</f>
        <v>1.180256499</v>
      </c>
      <c r="AE2705" s="82">
        <f>IFERROR(__xludf.DUMMYFUNCTION("""COMPUTED_VALUE"""),1.3213107501613326)</f>
        <v>1.32131075</v>
      </c>
      <c r="AF2705" s="82">
        <f>IFERROR(__xludf.DUMMYFUNCTION("""COMPUTED_VALUE"""),1.3974624305129892)</f>
        <v>1.397462431</v>
      </c>
      <c r="AG2705" s="82">
        <f>IFERROR(__xludf.DUMMYFUNCTION("""COMPUTED_VALUE"""),0.9382912017486491)</f>
        <v>0.9382912017</v>
      </c>
      <c r="AH2705" s="82">
        <f>IFERROR(__xludf.DUMMYFUNCTION("""COMPUTED_VALUE"""),1.131281427191619)</f>
        <v>1.131281427</v>
      </c>
      <c r="AI2705" s="82">
        <f>IFERROR(__xludf.DUMMYFUNCTION("""COMPUTED_VALUE"""),0.9645562017333484)</f>
        <v>0.9645562017</v>
      </c>
      <c r="AJ2705" s="82">
        <f>IFERROR(__xludf.DUMMYFUNCTION("""COMPUTED_VALUE"""),0.9257560570198599)</f>
        <v>0.925756057</v>
      </c>
      <c r="AK2705" s="82">
        <f>IFERROR(__xludf.DUMMYFUNCTION("""COMPUTED_VALUE"""),0.876040619564632)</f>
        <v>0.8760406196</v>
      </c>
      <c r="AL2705" s="82">
        <f>IFERROR(__xludf.DUMMYFUNCTION("""COMPUTED_VALUE"""),0.9840369567053738)</f>
        <v>0.9840369567</v>
      </c>
      <c r="AM2705" s="82">
        <f>IFERROR(__xludf.DUMMYFUNCTION("""COMPUTED_VALUE"""),0.9147619001239718)</f>
        <v>0.9147619001</v>
      </c>
      <c r="AN2705" s="82">
        <f>IFERROR(__xludf.DUMMYFUNCTION("""COMPUTED_VALUE"""),1.242562014431228)</f>
        <v>1.242562014</v>
      </c>
      <c r="AO2705" s="82">
        <f>IFERROR(__xludf.DUMMYFUNCTION("""COMPUTED_VALUE"""),1.4554746716253892)</f>
        <v>1.455474672</v>
      </c>
      <c r="AP2705" s="82">
        <f>IFERROR(__xludf.DUMMYFUNCTION("""COMPUTED_VALUE"""),1.500257334430793)</f>
        <v>1.500257334</v>
      </c>
      <c r="AQ2705" s="82">
        <f>IFERROR(__xludf.DUMMYFUNCTION("""COMPUTED_VALUE"""),0.9565084273553868)</f>
        <v>0.9565084274</v>
      </c>
      <c r="AR2705" s="82">
        <f>IFERROR(__xludf.DUMMYFUNCTION("""COMPUTED_VALUE"""),1.22755092645573)</f>
        <v>1.227550926</v>
      </c>
      <c r="AS2705" s="82">
        <f>IFERROR(__xludf.DUMMYFUNCTION("""COMPUTED_VALUE"""),125.0)</f>
        <v>125</v>
      </c>
      <c r="AT2705" s="82">
        <f>IFERROR(__xludf.DUMMYFUNCTION("""COMPUTED_VALUE"""),0.6266660042125319)</f>
        <v>0.6266660042</v>
      </c>
      <c r="AU2705" s="82">
        <f>IFERROR(__xludf.DUMMYFUNCTION("""COMPUTED_VALUE"""),3.4166188370825763)</f>
        <v>3.416618837</v>
      </c>
      <c r="AV2705" s="82">
        <f>IFERROR(__xludf.DUMMYFUNCTION("""COMPUTED_VALUE"""),85.26095167023445)</f>
        <v>85.26095167</v>
      </c>
      <c r="AW2705" s="82">
        <f t="shared" si="1"/>
        <v>12.62543593</v>
      </c>
      <c r="AX2705" s="83">
        <f t="array" ref="AX2705">IFERROR(DGET('SBV Import'!A:G,"SBV",{"RSC ID","Tier";B2705,A2705}))</f>
        <v>83.92854214</v>
      </c>
      <c r="AY2705" s="82">
        <f t="shared" si="2"/>
        <v>11.4458255</v>
      </c>
      <c r="AZ2705" s="82">
        <v>1.1796104346262002</v>
      </c>
      <c r="BA2705" s="84">
        <v>2700.0</v>
      </c>
      <c r="BB2705" s="84" t="b">
        <f>IFERROR(__xludf.DUMMYFUNCTION("iferror(if(A2705="""",,E2705&gt;=FILTER(Constants!$F$2:$F$10,Constants!$A$2:$A$10=A2705)))"),TRUE)</f>
        <v>1</v>
      </c>
    </row>
    <row r="2706">
      <c r="A2706" s="89" t="str">
        <f>IFERROR(__xludf.DUMMYFUNCTION("""COMPUTED_VALUE"""),"Prospect")</f>
        <v>Prospect</v>
      </c>
      <c r="B2706" s="87" t="str">
        <f>IFERROR(__xludf.DUMMYFUNCTION("""COMPUTED_VALUE"""),"RSC007297")</f>
        <v>RSC007297</v>
      </c>
      <c r="C2706" s="73" t="str">
        <f>IFERROR(__xludf.DUMMYFUNCTION("""COMPUTED_VALUE"""),"Marc_Byy_8")</f>
        <v>Marc_Byy_8</v>
      </c>
      <c r="D2706" s="73" t="str">
        <f>IFERROR(__xludf.DUMMYFUNCTION("""COMPUTED_VALUE"""),"Tic Tacs")</f>
        <v>Tic Tacs</v>
      </c>
      <c r="E2706" s="82">
        <f>IFERROR(__xludf.DUMMYFUNCTION("""COMPUTED_VALUE"""),39.0)</f>
        <v>39</v>
      </c>
      <c r="F2706" s="82">
        <f>IFERROR(__xludf.DUMMYFUNCTION("""COMPUTED_VALUE"""),23.0)</f>
        <v>23</v>
      </c>
      <c r="G2706" s="86">
        <f>IFERROR(__xludf.DUMMYFUNCTION("""COMPUTED_VALUE"""),16.0)</f>
        <v>16</v>
      </c>
      <c r="H2706" s="86">
        <f>IFERROR(__xludf.DUMMYFUNCTION("""COMPUTED_VALUE"""),0.5897435897435898)</f>
        <v>0.5897435897</v>
      </c>
      <c r="I2706" s="86">
        <f>IFERROR(__xludf.DUMMYFUNCTION("""COMPUTED_VALUE"""),0.4426229508196721)</f>
        <v>0.4426229508</v>
      </c>
      <c r="J2706" s="82">
        <f>IFERROR(__xludf.DUMMYFUNCTION("""COMPUTED_VALUE"""),389.6923076923077)</f>
        <v>389.6923077</v>
      </c>
      <c r="K2706" s="82">
        <f>IFERROR(__xludf.DUMMYFUNCTION("""COMPUTED_VALUE"""),1.3846153846153846)</f>
        <v>1.384615385</v>
      </c>
      <c r="L2706" s="82">
        <f>IFERROR(__xludf.DUMMYFUNCTION("""COMPUTED_VALUE"""),0.2564102564102564)</f>
        <v>0.2564102564</v>
      </c>
      <c r="M2706" s="82">
        <f>IFERROR(__xludf.DUMMYFUNCTION("""COMPUTED_VALUE"""),0.9743589743589743)</f>
        <v>0.9743589744</v>
      </c>
      <c r="N2706" s="82">
        <f>IFERROR(__xludf.DUMMYFUNCTION("""COMPUTED_VALUE"""),3.128205128205128)</f>
        <v>3.128205128</v>
      </c>
      <c r="O2706" s="82">
        <f>IFERROR(__xludf.DUMMYFUNCTION("""COMPUTED_VALUE"""),312.6837606837606)</f>
        <v>312.6837607</v>
      </c>
      <c r="P2706" s="82">
        <f>IFERROR(__xludf.DUMMYFUNCTION("""COMPUTED_VALUE"""),0.7692307692307692)</f>
        <v>0.7692307692</v>
      </c>
      <c r="Q2706" s="82">
        <f>IFERROR(__xludf.DUMMYFUNCTION("""COMPUTED_VALUE"""),0.5128205128205128)</f>
        <v>0.5128205128</v>
      </c>
      <c r="R2706" s="82">
        <f>IFERROR(__xludf.DUMMYFUNCTION("""COMPUTED_VALUE"""),0.9145299145299143)</f>
        <v>0.9145299145</v>
      </c>
      <c r="S2706" s="82">
        <f>IFERROR(__xludf.DUMMYFUNCTION("""COMPUTED_VALUE"""),2.4871794871794877)</f>
        <v>2.487179487</v>
      </c>
      <c r="T2706" s="82">
        <f>IFERROR(__xludf.DUMMYFUNCTION("""COMPUTED_VALUE"""),325.9444317475517)</f>
        <v>325.9444317</v>
      </c>
      <c r="U2706" s="82">
        <f>IFERROR(__xludf.DUMMYFUNCTION("""COMPUTED_VALUE"""),0.735221230370663)</f>
        <v>0.7352212304</v>
      </c>
      <c r="V2706" s="82">
        <f>IFERROR(__xludf.DUMMYFUNCTION("""COMPUTED_VALUE"""),0.4853686366158767)</f>
        <v>0.4853686366</v>
      </c>
      <c r="W2706" s="82">
        <f>IFERROR(__xludf.DUMMYFUNCTION("""COMPUTED_VALUE"""),1.2512897151541849)</f>
        <v>1.251289715</v>
      </c>
      <c r="X2706" s="82">
        <f>IFERROR(__xludf.DUMMYFUNCTION("""COMPUTED_VALUE"""),2.342703571197546)</f>
        <v>2.342703571</v>
      </c>
      <c r="Y2706" s="82">
        <f>IFERROR(__xludf.DUMMYFUNCTION("""COMPUTED_VALUE"""),338.9673928621594)</f>
        <v>338.9673929</v>
      </c>
      <c r="Z2706" s="82">
        <f>IFERROR(__xludf.DUMMYFUNCTION("""COMPUTED_VALUE"""),0.8092719669464062)</f>
        <v>0.8092719669</v>
      </c>
      <c r="AA2706" s="82">
        <f>IFERROR(__xludf.DUMMYFUNCTION("""COMPUTED_VALUE"""),0.541560690994806)</f>
        <v>0.541560691</v>
      </c>
      <c r="AB2706" s="82">
        <f>IFERROR(__xludf.DUMMYFUNCTION("""COMPUTED_VALUE"""),1.1872133559678981)</f>
        <v>1.187213356</v>
      </c>
      <c r="AC2706" s="82">
        <f>IFERROR(__xludf.DUMMYFUNCTION("""COMPUTED_VALUE"""),2.538552001890979)</f>
        <v>2.538552002</v>
      </c>
      <c r="AD2706" s="82">
        <f>IFERROR(__xludf.DUMMYFUNCTION("""COMPUTED_VALUE"""),1.1496454110285927)</f>
        <v>1.149645411</v>
      </c>
      <c r="AE2706" s="82">
        <f>IFERROR(__xludf.DUMMYFUNCTION("""COMPUTED_VALUE"""),1.710939512510113)</f>
        <v>1.710939513</v>
      </c>
      <c r="AF2706" s="82">
        <f>IFERROR(__xludf.DUMMYFUNCTION("""COMPUTED_VALUE"""),0.47346541333945447)</f>
        <v>0.4734654133</v>
      </c>
      <c r="AG2706" s="82">
        <f>IFERROR(__xludf.DUMMYFUNCTION("""COMPUTED_VALUE"""),0.820710927367061)</f>
        <v>0.8207109274</v>
      </c>
      <c r="AH2706" s="82">
        <f>IFERROR(__xludf.DUMMYFUNCTION("""COMPUTED_VALUE"""),1.2322793174514108)</f>
        <v>1.232279317</v>
      </c>
      <c r="AI2706" s="82">
        <f>IFERROR(__xludf.DUMMYFUNCTION("""COMPUTED_VALUE"""),0.9593161601421017)</f>
        <v>0.9593161601</v>
      </c>
      <c r="AJ2706" s="82">
        <f>IFERROR(__xludf.DUMMYFUNCTION("""COMPUTED_VALUE"""),1.04625755820865)</f>
        <v>1.046257558</v>
      </c>
      <c r="AK2706" s="82">
        <f>IFERROR(__xludf.DUMMYFUNCTION("""COMPUTED_VALUE"""),1.0565588176360923)</f>
        <v>1.056558818</v>
      </c>
      <c r="AL2706" s="82">
        <f>IFERROR(__xludf.DUMMYFUNCTION("""COMPUTED_VALUE"""),0.7308698404967112)</f>
        <v>0.7308698405</v>
      </c>
      <c r="AM2706" s="82">
        <f>IFERROR(__xludf.DUMMYFUNCTION("""COMPUTED_VALUE"""),1.0616705919426623)</f>
        <v>1.061670592</v>
      </c>
      <c r="AN2706" s="82">
        <f>IFERROR(__xludf.DUMMYFUNCTION("""COMPUTED_VALUE"""),1.2119882695032904)</f>
        <v>1.21198827</v>
      </c>
      <c r="AO2706" s="82">
        <f>IFERROR(__xludf.DUMMYFUNCTION("""COMPUTED_VALUE"""),1.8866381995536963)</f>
        <v>1.8866382</v>
      </c>
      <c r="AP2706" s="82">
        <f>IFERROR(__xludf.DUMMYFUNCTION("""COMPUTED_VALUE"""),0.5129084904036899)</f>
        <v>0.5129084904</v>
      </c>
      <c r="AQ2706" s="82">
        <f>IFERROR(__xludf.DUMMYFUNCTION("""COMPUTED_VALUE"""),0.8368823079739439)</f>
        <v>0.836882308</v>
      </c>
      <c r="AR2706" s="82">
        <f>IFERROR(__xludf.DUMMYFUNCTION("""COMPUTED_VALUE"""),1.3516909483516633)</f>
        <v>1.351690948</v>
      </c>
      <c r="AS2706" s="82">
        <f>IFERROR(__xludf.DUMMYFUNCTION("""COMPUTED_VALUE"""),102.0)</f>
        <v>102</v>
      </c>
      <c r="AT2706" s="82">
        <f>IFERROR(__xludf.DUMMYFUNCTION("""COMPUTED_VALUE"""),0.549280616533966)</f>
        <v>0.5492806165</v>
      </c>
      <c r="AU2706" s="82">
        <f>IFERROR(__xludf.DUMMYFUNCTION("""COMPUTED_VALUE"""),3.4030530850424654)</f>
        <v>3.403053085</v>
      </c>
      <c r="AV2706" s="82">
        <f>IFERROR(__xludf.DUMMYFUNCTION("""COMPUTED_VALUE"""),84.89389290947814)</f>
        <v>84.89389291</v>
      </c>
      <c r="AW2706" s="82">
        <f t="shared" si="1"/>
        <v>12.28591261</v>
      </c>
      <c r="AX2706" s="83">
        <f t="array" ref="AX2706">IFERROR(DGET('SBV Import'!A:G,"SBV",{"RSC ID","Tier";B2706,A2706}))</f>
        <v>65.79842486</v>
      </c>
      <c r="AY2706" s="82">
        <f t="shared" si="2"/>
        <v>3.791986426</v>
      </c>
      <c r="AZ2706" s="82">
        <v>8.493926184044748</v>
      </c>
      <c r="BA2706" s="84">
        <v>2700.0</v>
      </c>
      <c r="BB2706" s="84" t="b">
        <f>IFERROR(__xludf.DUMMYFUNCTION("iferror(if(A2706="""",,E2706&gt;=FILTER(Constants!$F$2:$F$10,Constants!$A$2:$A$10=A2706)))"),TRUE)</f>
        <v>1</v>
      </c>
    </row>
    <row r="2707">
      <c r="A2707" s="89" t="str">
        <f>IFERROR(__xludf.DUMMYFUNCTION("""COMPUTED_VALUE"""),"Prospect")</f>
        <v>Prospect</v>
      </c>
      <c r="B2707" s="87" t="str">
        <f>IFERROR(__xludf.DUMMYFUNCTION("""COMPUTED_VALUE"""),"RSC007453")</f>
        <v>RSC007453</v>
      </c>
      <c r="C2707" s="73" t="str">
        <f>IFERROR(__xludf.DUMMYFUNCTION("""COMPUTED_VALUE"""),"TheDoy420")</f>
        <v>TheDoy420</v>
      </c>
      <c r="D2707" s="73" t="str">
        <f>IFERROR(__xludf.DUMMYFUNCTION("""COMPUTED_VALUE"""),"Emus")</f>
        <v>Emus</v>
      </c>
      <c r="E2707" s="82">
        <f>IFERROR(__xludf.DUMMYFUNCTION("""COMPUTED_VALUE"""),45.0)</f>
        <v>45</v>
      </c>
      <c r="F2707" s="82">
        <f>IFERROR(__xludf.DUMMYFUNCTION("""COMPUTED_VALUE"""),28.0)</f>
        <v>28</v>
      </c>
      <c r="G2707" s="86">
        <f>IFERROR(__xludf.DUMMYFUNCTION("""COMPUTED_VALUE"""),17.0)</f>
        <v>17</v>
      </c>
      <c r="H2707" s="86">
        <f>IFERROR(__xludf.DUMMYFUNCTION("""COMPUTED_VALUE"""),0.6222222222222222)</f>
        <v>0.6222222222</v>
      </c>
      <c r="I2707" s="86">
        <f>IFERROR(__xludf.DUMMYFUNCTION("""COMPUTED_VALUE"""),0.32608695652173914)</f>
        <v>0.3260869565</v>
      </c>
      <c r="J2707" s="82">
        <f>IFERROR(__xludf.DUMMYFUNCTION("""COMPUTED_VALUE"""),399.97777777777776)</f>
        <v>399.9777778</v>
      </c>
      <c r="K2707" s="82">
        <f>IFERROR(__xludf.DUMMYFUNCTION("""COMPUTED_VALUE"""),1.0)</f>
        <v>1</v>
      </c>
      <c r="L2707" s="82">
        <f>IFERROR(__xludf.DUMMYFUNCTION("""COMPUTED_VALUE"""),0.7111111111111111)</f>
        <v>0.7111111111</v>
      </c>
      <c r="M2707" s="82">
        <f>IFERROR(__xludf.DUMMYFUNCTION("""COMPUTED_VALUE"""),1.4222222222222223)</f>
        <v>1.422222222</v>
      </c>
      <c r="N2707" s="82">
        <f>IFERROR(__xludf.DUMMYFUNCTION("""COMPUTED_VALUE"""),3.066666666666667)</f>
        <v>3.066666667</v>
      </c>
      <c r="O2707" s="82">
        <f>IFERROR(__xludf.DUMMYFUNCTION("""COMPUTED_VALUE"""),329.7481481481481)</f>
        <v>329.7481481</v>
      </c>
      <c r="P2707" s="82">
        <f>IFERROR(__xludf.DUMMYFUNCTION("""COMPUTED_VALUE"""),0.6592592592592591)</f>
        <v>0.6592592593</v>
      </c>
      <c r="Q2707" s="82">
        <f>IFERROR(__xludf.DUMMYFUNCTION("""COMPUTED_VALUE"""),0.437037037037037)</f>
        <v>0.437037037</v>
      </c>
      <c r="R2707" s="82">
        <f>IFERROR(__xludf.DUMMYFUNCTION("""COMPUTED_VALUE"""),1.4518518518518517)</f>
        <v>1.451851852</v>
      </c>
      <c r="S2707" s="82">
        <f>IFERROR(__xludf.DUMMYFUNCTION("""COMPUTED_VALUE"""),2.1925925925925935)</f>
        <v>2.192592593</v>
      </c>
      <c r="T2707" s="82">
        <f>IFERROR(__xludf.DUMMYFUNCTION("""COMPUTED_VALUE"""),335.6909857155267)</f>
        <v>335.6909857</v>
      </c>
      <c r="U2707" s="82">
        <f>IFERROR(__xludf.DUMMYFUNCTION("""COMPUTED_VALUE"""),0.7895512266621734)</f>
        <v>0.7895512267</v>
      </c>
      <c r="V2707" s="82">
        <f>IFERROR(__xludf.DUMMYFUNCTION("""COMPUTED_VALUE"""),0.5093997276590461)</f>
        <v>0.5093997277</v>
      </c>
      <c r="W2707" s="82">
        <f>IFERROR(__xludf.DUMMYFUNCTION("""COMPUTED_VALUE"""),1.217842016775885)</f>
        <v>1.217842017</v>
      </c>
      <c r="X2707" s="82">
        <f>IFERROR(__xludf.DUMMYFUNCTION("""COMPUTED_VALUE"""),2.412097689927149)</f>
        <v>2.41209769</v>
      </c>
      <c r="Y2707" s="82">
        <f>IFERROR(__xludf.DUMMYFUNCTION("""COMPUTED_VALUE"""),339.0770113943793)</f>
        <v>339.0770114</v>
      </c>
      <c r="Z2707" s="82">
        <f>IFERROR(__xludf.DUMMYFUNCTION("""COMPUTED_VALUE"""),0.8168846405971498)</f>
        <v>0.8168846406</v>
      </c>
      <c r="AA2707" s="82">
        <f>IFERROR(__xludf.DUMMYFUNCTION("""COMPUTED_VALUE"""),0.5485437100466313)</f>
        <v>0.54854371</v>
      </c>
      <c r="AB2707" s="82">
        <f>IFERROR(__xludf.DUMMYFUNCTION("""COMPUTED_VALUE"""),1.1862715007135454)</f>
        <v>1.186271501</v>
      </c>
      <c r="AC2707" s="82">
        <f>IFERROR(__xludf.DUMMYFUNCTION("""COMPUTED_VALUE"""),2.4849003429462795)</f>
        <v>2.484900343</v>
      </c>
      <c r="AD2707" s="82">
        <f>IFERROR(__xludf.DUMMYFUNCTION("""COMPUTED_VALUE"""),1.1796074765816693)</f>
        <v>1.179607477</v>
      </c>
      <c r="AE2707" s="82">
        <f>IFERROR(__xludf.DUMMYFUNCTION("""COMPUTED_VALUE"""),1.2241630584080896)</f>
        <v>1.224163058</v>
      </c>
      <c r="AF2707" s="82">
        <f>IFERROR(__xludf.DUMMYFUNCTION("""COMPUTED_VALUE"""),1.2963617995923427)</f>
        <v>1.2963618</v>
      </c>
      <c r="AG2707" s="82">
        <f>IFERROR(__xludf.DUMMYFUNCTION("""COMPUTED_VALUE"""),1.1989011127442175)</f>
        <v>1.198901113</v>
      </c>
      <c r="AH2707" s="82">
        <f>IFERROR(__xludf.DUMMYFUNCTION("""COMPUTED_VALUE"""),1.234120585709527)</f>
        <v>1.234120586</v>
      </c>
      <c r="AI2707" s="82">
        <f>IFERROR(__xludf.DUMMYFUNCTION("""COMPUTED_VALUE"""),0.9822967019662103)</f>
        <v>0.982296702</v>
      </c>
      <c r="AJ2707" s="82">
        <f>IFERROR(__xludf.DUMMYFUNCTION("""COMPUTED_VALUE"""),0.8349797163209747)</f>
        <v>0.8349797163</v>
      </c>
      <c r="AK2707" s="82">
        <f>IFERROR(__xludf.DUMMYFUNCTION("""COMPUTED_VALUE"""),0.8579451721449619)</f>
        <v>0.8579451721</v>
      </c>
      <c r="AL2707" s="82">
        <f>IFERROR(__xludf.DUMMYFUNCTION("""COMPUTED_VALUE"""),1.1921512247503863)</f>
        <v>1.192151225</v>
      </c>
      <c r="AM2707" s="82">
        <f>IFERROR(__xludf.DUMMYFUNCTION("""COMPUTED_VALUE"""),0.9089982556464432)</f>
        <v>0.9089982556</v>
      </c>
      <c r="AN2707" s="82">
        <f>IFERROR(__xludf.DUMMYFUNCTION("""COMPUTED_VALUE"""),1.2439772742740993)</f>
        <v>1.243977274</v>
      </c>
      <c r="AO2707" s="82">
        <f>IFERROR(__xludf.DUMMYFUNCTION("""COMPUTED_VALUE"""),1.362572033011003)</f>
        <v>1.362572033</v>
      </c>
      <c r="AP2707" s="82">
        <f>IFERROR(__xludf.DUMMYFUNCTION("""COMPUTED_VALUE"""),1.4224662133862336)</f>
        <v>1.422466213</v>
      </c>
      <c r="AQ2707" s="82">
        <f>IFERROR(__xludf.DUMMYFUNCTION("""COMPUTED_VALUE"""),1.2215545267268797)</f>
        <v>1.221554527</v>
      </c>
      <c r="AR2707" s="82">
        <f>IFERROR(__xludf.DUMMYFUNCTION("""COMPUTED_VALUE"""),1.3251003067447453)</f>
        <v>1.325100307</v>
      </c>
      <c r="AS2707" s="82">
        <f>IFERROR(__xludf.DUMMYFUNCTION("""COMPUTED_VALUE"""),126.0)</f>
        <v>126</v>
      </c>
      <c r="AT2707" s="82">
        <f>IFERROR(__xludf.DUMMYFUNCTION("""COMPUTED_VALUE"""),0.6328809321904973)</f>
        <v>0.6328809322</v>
      </c>
      <c r="AU2707" s="82">
        <f>IFERROR(__xludf.DUMMYFUNCTION("""COMPUTED_VALUE"""),3.401748048571868)</f>
        <v>3.401748049</v>
      </c>
      <c r="AV2707" s="82">
        <f>IFERROR(__xludf.DUMMYFUNCTION("""COMPUTED_VALUE"""),84.85858155569377)</f>
        <v>84.85858156</v>
      </c>
      <c r="AW2707" s="82">
        <f t="shared" si="1"/>
        <v>12.25385283</v>
      </c>
      <c r="AX2707" s="83">
        <f t="array" ref="AX2707">IFERROR(DGET('SBV Import'!A:G,"SBV",{"RSC ID","Tier";B2707,A2707}))</f>
        <v>73.02290394</v>
      </c>
      <c r="AY2707" s="82">
        <f t="shared" si="2"/>
        <v>5.600763014</v>
      </c>
      <c r="AZ2707" s="82">
        <v>6.653089811723576</v>
      </c>
      <c r="BA2707" s="84">
        <v>2700.0</v>
      </c>
      <c r="BB2707" s="84" t="b">
        <f>IFERROR(__xludf.DUMMYFUNCTION("iferror(if(A2707="""",,E2707&gt;=FILTER(Constants!$F$2:$F$10,Constants!$A$2:$A$10=A2707)))"),TRUE)</f>
        <v>1</v>
      </c>
    </row>
    <row r="2708">
      <c r="A2708" s="89" t="str">
        <f>IFERROR(__xludf.DUMMYFUNCTION("""COMPUTED_VALUE"""),"Prospect")</f>
        <v>Prospect</v>
      </c>
      <c r="B2708" s="87" t="str">
        <f>IFERROR(__xludf.DUMMYFUNCTION("""COMPUTED_VALUE"""),"RSC005915")</f>
        <v>RSC005915</v>
      </c>
      <c r="C2708" s="73" t="str">
        <f>IFERROR(__xludf.DUMMYFUNCTION("""COMPUTED_VALUE"""),"BromzaTheOldMan")</f>
        <v>BromzaTheOldMan</v>
      </c>
      <c r="D2708" s="73" t="str">
        <f>IFERROR(__xludf.DUMMYFUNCTION("""COMPUTED_VALUE"""),"Honey Badgers")</f>
        <v>Honey Badgers</v>
      </c>
      <c r="E2708" s="82">
        <f>IFERROR(__xludf.DUMMYFUNCTION("""COMPUTED_VALUE"""),48.0)</f>
        <v>48</v>
      </c>
      <c r="F2708" s="82">
        <f>IFERROR(__xludf.DUMMYFUNCTION("""COMPUTED_VALUE"""),26.0)</f>
        <v>26</v>
      </c>
      <c r="G2708" s="86">
        <f>IFERROR(__xludf.DUMMYFUNCTION("""COMPUTED_VALUE"""),22.0)</f>
        <v>22</v>
      </c>
      <c r="H2708" s="86">
        <f>IFERROR(__xludf.DUMMYFUNCTION("""COMPUTED_VALUE"""),0.5416666666666666)</f>
        <v>0.5416666667</v>
      </c>
      <c r="I2708" s="86">
        <f>IFERROR(__xludf.DUMMYFUNCTION("""COMPUTED_VALUE"""),0.41481481481481486)</f>
        <v>0.4148148148</v>
      </c>
      <c r="J2708" s="82">
        <f>IFERROR(__xludf.DUMMYFUNCTION("""COMPUTED_VALUE"""),388.625)</f>
        <v>388.625</v>
      </c>
      <c r="K2708" s="82">
        <f>IFERROR(__xludf.DUMMYFUNCTION("""COMPUTED_VALUE"""),1.1666666666666667)</f>
        <v>1.166666667</v>
      </c>
      <c r="L2708" s="82">
        <f>IFERROR(__xludf.DUMMYFUNCTION("""COMPUTED_VALUE"""),0.4375)</f>
        <v>0.4375</v>
      </c>
      <c r="M2708" s="82">
        <f>IFERROR(__xludf.DUMMYFUNCTION("""COMPUTED_VALUE"""),1.3541666666666667)</f>
        <v>1.354166667</v>
      </c>
      <c r="N2708" s="82">
        <f>IFERROR(__xludf.DUMMYFUNCTION("""COMPUTED_VALUE"""),2.8125)</f>
        <v>2.8125</v>
      </c>
      <c r="O2708" s="82">
        <f>IFERROR(__xludf.DUMMYFUNCTION("""COMPUTED_VALUE"""),335.4305555555555)</f>
        <v>335.4305556</v>
      </c>
      <c r="P2708" s="82">
        <f>IFERROR(__xludf.DUMMYFUNCTION("""COMPUTED_VALUE"""),0.7430555555555555)</f>
        <v>0.7430555556</v>
      </c>
      <c r="Q2708" s="82">
        <f>IFERROR(__xludf.DUMMYFUNCTION("""COMPUTED_VALUE"""),0.5208333333333334)</f>
        <v>0.5208333333</v>
      </c>
      <c r="R2708" s="82">
        <f>IFERROR(__xludf.DUMMYFUNCTION("""COMPUTED_VALUE"""),1.173611111111111)</f>
        <v>1.173611111</v>
      </c>
      <c r="S2708" s="82">
        <f>IFERROR(__xludf.DUMMYFUNCTION("""COMPUTED_VALUE"""),2.5416666666666665)</f>
        <v>2.541666667</v>
      </c>
      <c r="T2708" s="82">
        <f>IFERROR(__xludf.DUMMYFUNCTION("""COMPUTED_VALUE"""),337.20257147216824)</f>
        <v>337.2025715</v>
      </c>
      <c r="U2708" s="82">
        <f>IFERROR(__xludf.DUMMYFUNCTION("""COMPUTED_VALUE"""),0.8074596957762799)</f>
        <v>0.8074596958</v>
      </c>
      <c r="V2708" s="82">
        <f>IFERROR(__xludf.DUMMYFUNCTION("""COMPUTED_VALUE"""),0.5412155296440695)</f>
        <v>0.5412155296</v>
      </c>
      <c r="W2708" s="82">
        <f>IFERROR(__xludf.DUMMYFUNCTION("""COMPUTED_VALUE"""),1.1786230558618151)</f>
        <v>1.178623056</v>
      </c>
      <c r="X2708" s="82">
        <f>IFERROR(__xludf.DUMMYFUNCTION("""COMPUTED_VALUE"""),2.4401916422987386)</f>
        <v>2.440191642</v>
      </c>
      <c r="Y2708" s="82">
        <f>IFERROR(__xludf.DUMMYFUNCTION("""COMPUTED_VALUE"""),334.2319898395694)</f>
        <v>334.2319898</v>
      </c>
      <c r="Z2708" s="82">
        <f>IFERROR(__xludf.DUMMYFUNCTION("""COMPUTED_VALUE"""),0.7992644730507807)</f>
        <v>0.7992644731</v>
      </c>
      <c r="AA2708" s="82">
        <f>IFERROR(__xludf.DUMMYFUNCTION("""COMPUTED_VALUE"""),0.5174335084015285)</f>
        <v>0.5174335084</v>
      </c>
      <c r="AB2708" s="82">
        <f>IFERROR(__xludf.DUMMYFUNCTION("""COMPUTED_VALUE"""),1.2026361825094423)</f>
        <v>1.202636183</v>
      </c>
      <c r="AC2708" s="82">
        <f>IFERROR(__xludf.DUMMYFUNCTION("""COMPUTED_VALUE"""),2.39502349992356)</f>
        <v>2.3950235</v>
      </c>
      <c r="AD2708" s="82">
        <f>IFERROR(__xludf.DUMMYFUNCTION("""COMPUTED_VALUE"""),1.1627402876263853)</f>
        <v>1.162740288</v>
      </c>
      <c r="AE2708" s="82">
        <f>IFERROR(__xludf.DUMMYFUNCTION("""COMPUTED_VALUE"""),1.4596753715494413)</f>
        <v>1.459675372</v>
      </c>
      <c r="AF2708" s="82">
        <f>IFERROR(__xludf.DUMMYFUNCTION("""COMPUTED_VALUE"""),0.8455192655603972)</f>
        <v>0.8455192656</v>
      </c>
      <c r="AG2708" s="82">
        <f>IFERROR(__xludf.DUMMYFUNCTION("""COMPUTED_VALUE"""),1.1259986073602395)</f>
        <v>1.125998607</v>
      </c>
      <c r="AH2708" s="82">
        <f>IFERROR(__xludf.DUMMYFUNCTION("""COMPUTED_VALUE"""),1.1743099807119906)</f>
        <v>1.174309981</v>
      </c>
      <c r="AI2708" s="82">
        <f>IFERROR(__xludf.DUMMYFUNCTION("""COMPUTED_VALUE"""),0.9947449513540884)</f>
        <v>0.9947449514</v>
      </c>
      <c r="AJ2708" s="82">
        <f>IFERROR(__xludf.DUMMYFUNCTION("""COMPUTED_VALUE"""),0.9202385697297161)</f>
        <v>0.9202385697</v>
      </c>
      <c r="AK2708" s="82">
        <f>IFERROR(__xludf.DUMMYFUNCTION("""COMPUTED_VALUE"""),0.9623399640358796)</f>
        <v>0.962339964</v>
      </c>
      <c r="AL2708" s="82">
        <f>IFERROR(__xludf.DUMMYFUNCTION("""COMPUTED_VALUE"""),0.9957476270926675)</f>
        <v>0.9957476271</v>
      </c>
      <c r="AM2708" s="82">
        <f>IFERROR(__xludf.DUMMYFUNCTION("""COMPUTED_VALUE"""),1.0415848585860803)</f>
        <v>1.041584859</v>
      </c>
      <c r="AN2708" s="82">
        <f>IFERROR(__xludf.DUMMYFUNCTION("""COMPUTED_VALUE"""),1.208668818804641)</f>
        <v>1.208668819</v>
      </c>
      <c r="AO2708" s="82">
        <f>IFERROR(__xludf.DUMMYFUNCTION("""COMPUTED_VALUE"""),1.58966737184617)</f>
        <v>1.589667372</v>
      </c>
      <c r="AP2708" s="82">
        <f>IFERROR(__xludf.DUMMYFUNCTION("""COMPUTED_VALUE"""),0.875150111751296)</f>
        <v>0.8751501118</v>
      </c>
      <c r="AQ2708" s="82">
        <f>IFERROR(__xludf.DUMMYFUNCTION("""COMPUTED_VALUE"""),1.1631012339440505)</f>
        <v>1.163101234</v>
      </c>
      <c r="AR2708" s="82">
        <f>IFERROR(__xludf.DUMMYFUNCTION("""COMPUTED_VALUE"""),1.2152754171911726)</f>
        <v>1.215275417</v>
      </c>
      <c r="AS2708" s="82">
        <f>IFERROR(__xludf.DUMMYFUNCTION("""COMPUTED_VALUE"""),122.0)</f>
        <v>122</v>
      </c>
      <c r="AT2708" s="82">
        <f>IFERROR(__xludf.DUMMYFUNCTION("""COMPUTED_VALUE"""),0.5511777309611208)</f>
        <v>0.551177731</v>
      </c>
      <c r="AU2708" s="82">
        <f>IFERROR(__xludf.DUMMYFUNCTION("""COMPUTED_VALUE"""),3.212392165432478)</f>
        <v>3.212392165</v>
      </c>
      <c r="AV2708" s="82">
        <f>IFERROR(__xludf.DUMMYFUNCTION("""COMPUTED_VALUE"""),79.73503694117109)</f>
        <v>79.73503694</v>
      </c>
      <c r="AW2708" s="82">
        <f t="shared" si="1"/>
        <v>8.536730919</v>
      </c>
      <c r="AX2708" s="83">
        <f t="array" ref="AX2708">IFERROR(DGET('SBV Import'!A:G,"SBV",{"RSC ID","Tier";B2708,A2708}))</f>
        <v>64.24424899</v>
      </c>
      <c r="AY2708" s="82">
        <f t="shared" si="2"/>
        <v>3.515965886</v>
      </c>
      <c r="AZ2708" s="82">
        <v>5.020765033215413</v>
      </c>
      <c r="BA2708" s="84">
        <v>2700.0</v>
      </c>
      <c r="BB2708" s="84" t="b">
        <f>IFERROR(__xludf.DUMMYFUNCTION("iferror(if(A2708="""",,E2708&gt;=FILTER(Constants!$F$2:$F$10,Constants!$A$2:$A$10=A2708)))"),TRUE)</f>
        <v>1</v>
      </c>
    </row>
    <row r="2709">
      <c r="A2709" s="89" t="str">
        <f>IFERROR(__xludf.DUMMYFUNCTION("""COMPUTED_VALUE"""),"Prospect")</f>
        <v>Prospect</v>
      </c>
      <c r="B2709" s="87" t="str">
        <f>IFERROR(__xludf.DUMMYFUNCTION("""COMPUTED_VALUE"""),"RSC000221")</f>
        <v>RSC000221</v>
      </c>
      <c r="C2709" s="73" t="str">
        <f>IFERROR(__xludf.DUMMYFUNCTION("""COMPUTED_VALUE"""),"Treefrog")</f>
        <v>Treefrog</v>
      </c>
      <c r="D2709" s="73" t="str">
        <f>IFERROR(__xludf.DUMMYFUNCTION("""COMPUTED_VALUE"""),"Dime")</f>
        <v>Dime</v>
      </c>
      <c r="E2709" s="82">
        <f>IFERROR(__xludf.DUMMYFUNCTION("""COMPUTED_VALUE"""),43.0)</f>
        <v>43</v>
      </c>
      <c r="F2709" s="82">
        <f>IFERROR(__xludf.DUMMYFUNCTION("""COMPUTED_VALUE"""),26.0)</f>
        <v>26</v>
      </c>
      <c r="G2709" s="86">
        <f>IFERROR(__xludf.DUMMYFUNCTION("""COMPUTED_VALUE"""),17.0)</f>
        <v>17</v>
      </c>
      <c r="H2709" s="86">
        <f>IFERROR(__xludf.DUMMYFUNCTION("""COMPUTED_VALUE"""),0.6046511627906976)</f>
        <v>0.6046511628</v>
      </c>
      <c r="I2709" s="86">
        <f>IFERROR(__xludf.DUMMYFUNCTION("""COMPUTED_VALUE"""),0.35)</f>
        <v>0.35</v>
      </c>
      <c r="J2709" s="82">
        <f>IFERROR(__xludf.DUMMYFUNCTION("""COMPUTED_VALUE"""),341.86046511627904)</f>
        <v>341.8604651</v>
      </c>
      <c r="K2709" s="82">
        <f>IFERROR(__xludf.DUMMYFUNCTION("""COMPUTED_VALUE"""),0.9767441860465116)</f>
        <v>0.976744186</v>
      </c>
      <c r="L2709" s="82">
        <f>IFERROR(__xludf.DUMMYFUNCTION("""COMPUTED_VALUE"""),0.6976744186046512)</f>
        <v>0.6976744186</v>
      </c>
      <c r="M2709" s="82">
        <f>IFERROR(__xludf.DUMMYFUNCTION("""COMPUTED_VALUE"""),0.9069767441860465)</f>
        <v>0.9069767442</v>
      </c>
      <c r="N2709" s="82">
        <f>IFERROR(__xludf.DUMMYFUNCTION("""COMPUTED_VALUE"""),2.7906976744186047)</f>
        <v>2.790697674</v>
      </c>
      <c r="O2709" s="82">
        <f>IFERROR(__xludf.DUMMYFUNCTION("""COMPUTED_VALUE"""),317.7441860465117)</f>
        <v>317.744186</v>
      </c>
      <c r="P2709" s="82">
        <f>IFERROR(__xludf.DUMMYFUNCTION("""COMPUTED_VALUE"""),0.6976744186046511)</f>
        <v>0.6976744186</v>
      </c>
      <c r="Q2709" s="82">
        <f>IFERROR(__xludf.DUMMYFUNCTION("""COMPUTED_VALUE"""),0.47286821705426363)</f>
        <v>0.4728682171</v>
      </c>
      <c r="R2709" s="82">
        <f>IFERROR(__xludf.DUMMYFUNCTION("""COMPUTED_VALUE"""),1.3255813953488371)</f>
        <v>1.325581395</v>
      </c>
      <c r="S2709" s="82">
        <f>IFERROR(__xludf.DUMMYFUNCTION("""COMPUTED_VALUE"""),1.9922480620155043)</f>
        <v>1.992248062</v>
      </c>
      <c r="T2709" s="82">
        <f>IFERROR(__xludf.DUMMYFUNCTION("""COMPUTED_VALUE"""),331.5573836014628)</f>
        <v>331.5573836</v>
      </c>
      <c r="U2709" s="82">
        <f>IFERROR(__xludf.DUMMYFUNCTION("""COMPUTED_VALUE"""),0.7893463463968264)</f>
        <v>0.7893463464</v>
      </c>
      <c r="V2709" s="82">
        <f>IFERROR(__xludf.DUMMYFUNCTION("""COMPUTED_VALUE"""),0.5123705719932677)</f>
        <v>0.512370572</v>
      </c>
      <c r="W2709" s="82">
        <f>IFERROR(__xludf.DUMMYFUNCTION("""COMPUTED_VALUE"""),1.1742235871245532)</f>
        <v>1.174223587</v>
      </c>
      <c r="X2709" s="82">
        <f>IFERROR(__xludf.DUMMYFUNCTION("""COMPUTED_VALUE"""),2.4295024712574094)</f>
        <v>2.429502471</v>
      </c>
      <c r="Y2709" s="82">
        <f>IFERROR(__xludf.DUMMYFUNCTION("""COMPUTED_VALUE"""),337.61643388382294)</f>
        <v>337.6164339</v>
      </c>
      <c r="Z2709" s="82">
        <f>IFERROR(__xludf.DUMMYFUNCTION("""COMPUTED_VALUE"""),0.806745939451904)</f>
        <v>0.8067459395</v>
      </c>
      <c r="AA2709" s="82">
        <f>IFERROR(__xludf.DUMMYFUNCTION("""COMPUTED_VALUE"""),0.5436489043663105)</f>
        <v>0.5436489044</v>
      </c>
      <c r="AB2709" s="82">
        <f>IFERROR(__xludf.DUMMYFUNCTION("""COMPUTED_VALUE"""),1.1908815682038083)</f>
        <v>1.190881568</v>
      </c>
      <c r="AC2709" s="82">
        <f>IFERROR(__xludf.DUMMYFUNCTION("""COMPUTED_VALUE"""),2.4428791114297455)</f>
        <v>2.442879111</v>
      </c>
      <c r="AD2709" s="82">
        <f>IFERROR(__xludf.DUMMYFUNCTION("""COMPUTED_VALUE"""),1.0125705706432422)</f>
        <v>1.012570571</v>
      </c>
      <c r="AE2709" s="82">
        <f>IFERROR(__xludf.DUMMYFUNCTION("""COMPUTED_VALUE"""),1.210720920033515)</f>
        <v>1.21072092</v>
      </c>
      <c r="AF2709" s="82">
        <f>IFERROR(__xludf.DUMMYFUNCTION("""COMPUTED_VALUE"""),1.2833179888734922)</f>
        <v>1.283317989</v>
      </c>
      <c r="AG2709" s="82">
        <f>IFERROR(__xludf.DUMMYFUNCTION("""COMPUTED_VALUE"""),0.7616011267636194)</f>
        <v>0.7616011268</v>
      </c>
      <c r="AH2709" s="82">
        <f>IFERROR(__xludf.DUMMYFUNCTION("""COMPUTED_VALUE"""),1.1423805874639827)</f>
        <v>1.142380587</v>
      </c>
      <c r="AI2709" s="82">
        <f>IFERROR(__xludf.DUMMYFUNCTION("""COMPUTED_VALUE"""),0.9583384408306382)</f>
        <v>0.9583384408</v>
      </c>
      <c r="AJ2709" s="82">
        <f>IFERROR(__xludf.DUMMYFUNCTION("""COMPUTED_VALUE"""),0.8838634926092515)</f>
        <v>0.8838634926</v>
      </c>
      <c r="AK2709" s="82">
        <f>IFERROR(__xludf.DUMMYFUNCTION("""COMPUTED_VALUE"""),0.9229027639403086)</f>
        <v>0.9229027639</v>
      </c>
      <c r="AL2709" s="82">
        <f>IFERROR(__xludf.DUMMYFUNCTION("""COMPUTED_VALUE"""),1.128900330298193)</f>
        <v>1.12890033</v>
      </c>
      <c r="AM2709" s="82">
        <f>IFERROR(__xludf.DUMMYFUNCTION("""COMPUTED_VALUE"""),0.8200230646336406)</f>
        <v>0.8200230646</v>
      </c>
      <c r="AN2709" s="82">
        <f>IFERROR(__xludf.DUMMYFUNCTION("""COMPUTED_VALUE"""),1.0632256920375636)</f>
        <v>1.063225692</v>
      </c>
      <c r="AO2709" s="82">
        <f>IFERROR(__xludf.DUMMYFUNCTION("""COMPUTED_VALUE"""),1.3308843113130724)</f>
        <v>1.330884311</v>
      </c>
      <c r="AP2709" s="82">
        <f>IFERROR(__xludf.DUMMYFUNCTION("""COMPUTED_VALUE"""),1.3955882180751564)</f>
        <v>1.395588218</v>
      </c>
      <c r="AQ2709" s="82">
        <f>IFERROR(__xludf.DUMMYFUNCTION("""COMPUTED_VALUE"""),0.7790073380834569)</f>
        <v>0.7790073381</v>
      </c>
      <c r="AR2709" s="82">
        <f>IFERROR(__xludf.DUMMYFUNCTION("""COMPUTED_VALUE"""),1.205854677523024)</f>
        <v>1.205854678</v>
      </c>
      <c r="AS2709" s="82">
        <f>IFERROR(__xludf.DUMMYFUNCTION("""COMPUTED_VALUE"""),121.0)</f>
        <v>121</v>
      </c>
      <c r="AT2709" s="82">
        <f>IFERROR(__xludf.DUMMYFUNCTION("""COMPUTED_VALUE"""),0.6147270457304821)</f>
        <v>0.6147270457</v>
      </c>
      <c r="AU2709" s="82">
        <f>IFERROR(__xludf.DUMMYFUNCTION("""COMPUTED_VALUE"""),3.1046246800308337)</f>
        <v>3.10462468</v>
      </c>
      <c r="AV2709" s="82">
        <f>IFERROR(__xludf.DUMMYFUNCTION("""COMPUTED_VALUE"""),76.81909099697356)</f>
        <v>76.819091</v>
      </c>
      <c r="AW2709" s="82">
        <f t="shared" si="1"/>
        <v>7.057731362</v>
      </c>
      <c r="AX2709" s="83">
        <f t="array" ref="AX2709">IFERROR(DGET('SBV Import'!A:G,"SBV",{"RSC ID","Tier";B2709,A2709}))</f>
        <v>63.5925019</v>
      </c>
      <c r="AY2709" s="82">
        <f t="shared" si="2"/>
        <v>3.409200081</v>
      </c>
      <c r="AZ2709" s="82">
        <v>3.648531280929317</v>
      </c>
      <c r="BA2709" s="84">
        <v>2700.0</v>
      </c>
      <c r="BB2709" s="84" t="b">
        <f>IFERROR(__xludf.DUMMYFUNCTION("iferror(if(A2709="""",,E2709&gt;=FILTER(Constants!$F$2:$F$10,Constants!$A$2:$A$10=A2709)))"),TRUE)</f>
        <v>1</v>
      </c>
    </row>
    <row r="2710">
      <c r="A2710" s="89" t="str">
        <f>IFERROR(__xludf.DUMMYFUNCTION("""COMPUTED_VALUE"""),"Prospect")</f>
        <v>Prospect</v>
      </c>
      <c r="B2710" s="87" t="str">
        <f>IFERROR(__xludf.DUMMYFUNCTION("""COMPUTED_VALUE"""),"RSC007518")</f>
        <v>RSC007518</v>
      </c>
      <c r="C2710" s="73" t="str">
        <f>IFERROR(__xludf.DUMMYFUNCTION("""COMPUTED_VALUE"""),"LoneDrifter.")</f>
        <v>LoneDrifter.</v>
      </c>
      <c r="D2710" s="73" t="str">
        <f>IFERROR(__xludf.DUMMYFUNCTION("""COMPUTED_VALUE"""),"Blacktips")</f>
        <v>Blacktips</v>
      </c>
      <c r="E2710" s="82">
        <f>IFERROR(__xludf.DUMMYFUNCTION("""COMPUTED_VALUE"""),48.0)</f>
        <v>48</v>
      </c>
      <c r="F2710" s="82">
        <f>IFERROR(__xludf.DUMMYFUNCTION("""COMPUTED_VALUE"""),30.0)</f>
        <v>30</v>
      </c>
      <c r="G2710" s="86">
        <f>IFERROR(__xludf.DUMMYFUNCTION("""COMPUTED_VALUE"""),18.0)</f>
        <v>18</v>
      </c>
      <c r="H2710" s="86">
        <f>IFERROR(__xludf.DUMMYFUNCTION("""COMPUTED_VALUE"""),0.625)</f>
        <v>0.625</v>
      </c>
      <c r="I2710" s="86">
        <f>IFERROR(__xludf.DUMMYFUNCTION("""COMPUTED_VALUE"""),0.3923076923076923)</f>
        <v>0.3923076923</v>
      </c>
      <c r="J2710" s="82">
        <f>IFERROR(__xludf.DUMMYFUNCTION("""COMPUTED_VALUE"""),377.4375)</f>
        <v>377.4375</v>
      </c>
      <c r="K2710" s="82">
        <f>IFERROR(__xludf.DUMMYFUNCTION("""COMPUTED_VALUE"""),1.0625)</f>
        <v>1.0625</v>
      </c>
      <c r="L2710" s="82">
        <f>IFERROR(__xludf.DUMMYFUNCTION("""COMPUTED_VALUE"""),0.5208333333333334)</f>
        <v>0.5208333333</v>
      </c>
      <c r="M2710" s="82">
        <f>IFERROR(__xludf.DUMMYFUNCTION("""COMPUTED_VALUE"""),1.3541666666666667)</f>
        <v>1.354166667</v>
      </c>
      <c r="N2710" s="82">
        <f>IFERROR(__xludf.DUMMYFUNCTION("""COMPUTED_VALUE"""),2.7083333333333335)</f>
        <v>2.708333333</v>
      </c>
      <c r="O2710" s="82">
        <f>IFERROR(__xludf.DUMMYFUNCTION("""COMPUTED_VALUE"""),320.0138888888889)</f>
        <v>320.0138889</v>
      </c>
      <c r="P2710" s="82">
        <f>IFERROR(__xludf.DUMMYFUNCTION("""COMPUTED_VALUE"""),0.7152777777777778)</f>
        <v>0.7152777778</v>
      </c>
      <c r="Q2710" s="82">
        <f>IFERROR(__xludf.DUMMYFUNCTION("""COMPUTED_VALUE"""),0.4861111111111111)</f>
        <v>0.4861111111</v>
      </c>
      <c r="R2710" s="82">
        <f>IFERROR(__xludf.DUMMYFUNCTION("""COMPUTED_VALUE"""),1.1388888888888886)</f>
        <v>1.138888889</v>
      </c>
      <c r="S2710" s="82">
        <f>IFERROR(__xludf.DUMMYFUNCTION("""COMPUTED_VALUE"""),2.2708333333333335)</f>
        <v>2.270833333</v>
      </c>
      <c r="T2710" s="82">
        <f>IFERROR(__xludf.DUMMYFUNCTION("""COMPUTED_VALUE"""),328.91177524377713)</f>
        <v>328.9117752</v>
      </c>
      <c r="U2710" s="82">
        <f>IFERROR(__xludf.DUMMYFUNCTION("""COMPUTED_VALUE"""),0.7433972776344633)</f>
        <v>0.7433972776</v>
      </c>
      <c r="V2710" s="82">
        <f>IFERROR(__xludf.DUMMYFUNCTION("""COMPUTED_VALUE"""),0.5183885582749898)</f>
        <v>0.5183885583</v>
      </c>
      <c r="W2710" s="82">
        <f>IFERROR(__xludf.DUMMYFUNCTION("""COMPUTED_VALUE"""),1.2151656027169129)</f>
        <v>1.215165603</v>
      </c>
      <c r="X2710" s="82">
        <f>IFERROR(__xludf.DUMMYFUNCTION("""COMPUTED_VALUE"""),2.391674462084739)</f>
        <v>2.391674462</v>
      </c>
      <c r="Y2710" s="82">
        <f>IFERROR(__xludf.DUMMYFUNCTION("""COMPUTED_VALUE"""),338.21950742330733)</f>
        <v>338.2195074</v>
      </c>
      <c r="Z2710" s="82">
        <f>IFERROR(__xludf.DUMMYFUNCTION("""COMPUTED_VALUE"""),0.7997232476731221)</f>
        <v>0.7997232477</v>
      </c>
      <c r="AA2710" s="82">
        <f>IFERROR(__xludf.DUMMYFUNCTION("""COMPUTED_VALUE"""),0.5333226738158519)</f>
        <v>0.5333226738</v>
      </c>
      <c r="AB2710" s="82">
        <f>IFERROR(__xludf.DUMMYFUNCTION("""COMPUTED_VALUE"""),1.195595667356877)</f>
        <v>1.195595667</v>
      </c>
      <c r="AC2710" s="82">
        <f>IFERROR(__xludf.DUMMYFUNCTION("""COMPUTED_VALUE"""),2.4953686947637252)</f>
        <v>2.495368695</v>
      </c>
      <c r="AD2710" s="82">
        <f>IFERROR(__xludf.DUMMYFUNCTION("""COMPUTED_VALUE"""),1.115954259632956)</f>
        <v>1.11595426</v>
      </c>
      <c r="AE2710" s="82">
        <f>IFERROR(__xludf.DUMMYFUNCTION("""COMPUTED_VALUE"""),1.3285846111032213)</f>
        <v>1.328584611</v>
      </c>
      <c r="AF2710" s="82">
        <f>IFERROR(__xludf.DUMMYFUNCTION("""COMPUTED_VALUE"""),0.9765820185495604)</f>
        <v>0.9765820185</v>
      </c>
      <c r="AG2710" s="82">
        <f>IFERROR(__xludf.DUMMYFUNCTION("""COMPUTED_VALUE"""),1.132629285668411)</f>
        <v>1.132629286</v>
      </c>
      <c r="AH2710" s="82">
        <f>IFERROR(__xludf.DUMMYFUNCTION("""COMPUTED_VALUE"""),1.0853439569938073)</f>
        <v>1.085343957</v>
      </c>
      <c r="AI2710" s="82">
        <f>IFERROR(__xludf.DUMMYFUNCTION("""COMPUTED_VALUE"""),0.9729474983122953)</f>
        <v>0.9729474983</v>
      </c>
      <c r="AJ2710" s="82">
        <f>IFERROR(__xludf.DUMMYFUNCTION("""COMPUTED_VALUE"""),0.9621743303309322)</f>
        <v>0.9621743303</v>
      </c>
      <c r="AK2710" s="82">
        <f>IFERROR(__xludf.DUMMYFUNCTION("""COMPUTED_VALUE"""),0.9377350316695138)</f>
        <v>0.9377350317</v>
      </c>
      <c r="AL2710" s="82">
        <f>IFERROR(__xludf.DUMMYFUNCTION("""COMPUTED_VALUE"""),0.9372293672093072)</f>
        <v>0.9372293672</v>
      </c>
      <c r="AM2710" s="82">
        <f>IFERROR(__xludf.DUMMYFUNCTION("""COMPUTED_VALUE"""),0.9494742571921463)</f>
        <v>0.9494742572</v>
      </c>
      <c r="AN2710" s="82">
        <f>IFERROR(__xludf.DUMMYFUNCTION("""COMPUTED_VALUE"""),1.1738743963913199)</f>
        <v>1.173874396</v>
      </c>
      <c r="AO2710" s="82">
        <f>IFERROR(__xludf.DUMMYFUNCTION("""COMPUTED_VALUE"""),1.4477327850741906)</f>
        <v>1.447732785</v>
      </c>
      <c r="AP2710" s="82">
        <f>IFERROR(__xludf.DUMMYFUNCTION("""COMPUTED_VALUE"""),1.0418453711324953)</f>
        <v>1.041845371</v>
      </c>
      <c r="AQ2710" s="82">
        <f>IFERROR(__xludf.DUMMYFUNCTION("""COMPUTED_VALUE"""),1.1631012339440505)</f>
        <v>1.163101234</v>
      </c>
      <c r="AR2710" s="82">
        <f>IFERROR(__xludf.DUMMYFUNCTION("""COMPUTED_VALUE"""),1.1702652165544627)</f>
        <v>1.170265217</v>
      </c>
      <c r="AS2710" s="82">
        <f>IFERROR(__xludf.DUMMYFUNCTION("""COMPUTED_VALUE"""),132.0)</f>
        <v>132</v>
      </c>
      <c r="AT2710" s="82">
        <f>IFERROR(__xludf.DUMMYFUNCTION("""COMPUTED_VALUE"""),0.5966064030549648)</f>
        <v>0.5966064031</v>
      </c>
      <c r="AU2710" s="82">
        <f>IFERROR(__xludf.DUMMYFUNCTION("""COMPUTED_VALUE"""),3.042940830201029)</f>
        <v>3.04294083</v>
      </c>
      <c r="AV2710" s="82">
        <f>IFERROR(__xludf.DUMMYFUNCTION("""COMPUTED_VALUE"""),75.15006465694758)</f>
        <v>75.15006466</v>
      </c>
      <c r="AW2710" s="82">
        <f t="shared" si="1"/>
        <v>6.361033308</v>
      </c>
      <c r="AX2710" s="83">
        <f t="array" ref="AX2710">IFERROR(DGET('SBV Import'!A:G,"SBV",{"RSC ID","Tier";B2710,A2710}))</f>
        <v>68.07421579</v>
      </c>
      <c r="AY2710" s="82">
        <f t="shared" si="2"/>
        <v>4.258044695</v>
      </c>
      <c r="AZ2710" s="82">
        <v>2.102988613347156</v>
      </c>
      <c r="BA2710" s="84">
        <v>2700.0</v>
      </c>
      <c r="BB2710" s="84" t="b">
        <f>IFERROR(__xludf.DUMMYFUNCTION("iferror(if(A2710="""",,E2710&gt;=FILTER(Constants!$F$2:$F$10,Constants!$A$2:$A$10=A2710)))"),TRUE)</f>
        <v>1</v>
      </c>
    </row>
    <row r="2711">
      <c r="A2711" s="89" t="str">
        <f>IFERROR(__xludf.DUMMYFUNCTION("""COMPUTED_VALUE"""),"Prospect")</f>
        <v>Prospect</v>
      </c>
      <c r="B2711" s="87" t="str">
        <f>IFERROR(__xludf.DUMMYFUNCTION("""COMPUTED_VALUE"""),"RSC007572")</f>
        <v>RSC007572</v>
      </c>
      <c r="C2711" s="73" t="str">
        <f>IFERROR(__xludf.DUMMYFUNCTION("""COMPUTED_VALUE"""),"Mexalato")</f>
        <v>Mexalato</v>
      </c>
      <c r="D2711" s="73" t="str">
        <f>IFERROR(__xludf.DUMMYFUNCTION("""COMPUTED_VALUE"""),"Horizon Highball")</f>
        <v>Horizon Highball</v>
      </c>
      <c r="E2711" s="82">
        <f>IFERROR(__xludf.DUMMYFUNCTION("""COMPUTED_VALUE"""),48.0)</f>
        <v>48</v>
      </c>
      <c r="F2711" s="82">
        <f>IFERROR(__xludf.DUMMYFUNCTION("""COMPUTED_VALUE"""),34.0)</f>
        <v>34</v>
      </c>
      <c r="G2711" s="86">
        <f>IFERROR(__xludf.DUMMYFUNCTION("""COMPUTED_VALUE"""),14.0)</f>
        <v>14</v>
      </c>
      <c r="H2711" s="86">
        <f>IFERROR(__xludf.DUMMYFUNCTION("""COMPUTED_VALUE"""),0.7083333333333334)</f>
        <v>0.7083333333</v>
      </c>
      <c r="I2711" s="86">
        <f>IFERROR(__xludf.DUMMYFUNCTION("""COMPUTED_VALUE"""),0.328125)</f>
        <v>0.328125</v>
      </c>
      <c r="J2711" s="82">
        <f>IFERROR(__xludf.DUMMYFUNCTION("""COMPUTED_VALUE"""),338.5625)</f>
        <v>338.5625</v>
      </c>
      <c r="K2711" s="82">
        <f>IFERROR(__xludf.DUMMYFUNCTION("""COMPUTED_VALUE"""),0.875)</f>
        <v>0.875</v>
      </c>
      <c r="L2711" s="82">
        <f>IFERROR(__xludf.DUMMYFUNCTION("""COMPUTED_VALUE"""),0.625)</f>
        <v>0.625</v>
      </c>
      <c r="M2711" s="82">
        <f>IFERROR(__xludf.DUMMYFUNCTION("""COMPUTED_VALUE"""),0.9375)</f>
        <v>0.9375</v>
      </c>
      <c r="N2711" s="82">
        <f>IFERROR(__xludf.DUMMYFUNCTION("""COMPUTED_VALUE"""),2.6666666666666665)</f>
        <v>2.666666667</v>
      </c>
      <c r="O2711" s="82">
        <f>IFERROR(__xludf.DUMMYFUNCTION("""COMPUTED_VALUE"""),317.51388888888886)</f>
        <v>317.5138889</v>
      </c>
      <c r="P2711" s="82">
        <f>IFERROR(__xludf.DUMMYFUNCTION("""COMPUTED_VALUE"""),0.6249999999999999)</f>
        <v>0.625</v>
      </c>
      <c r="Q2711" s="82">
        <f>IFERROR(__xludf.DUMMYFUNCTION("""COMPUTED_VALUE"""),0.4513888888888887)</f>
        <v>0.4513888889</v>
      </c>
      <c r="R2711" s="82">
        <f>IFERROR(__xludf.DUMMYFUNCTION("""COMPUTED_VALUE"""),1.3125000000000002)</f>
        <v>1.3125</v>
      </c>
      <c r="S2711" s="82">
        <f>IFERROR(__xludf.DUMMYFUNCTION("""COMPUTED_VALUE"""),1.9583333333333328)</f>
        <v>1.958333333</v>
      </c>
      <c r="T2711" s="82">
        <f>IFERROR(__xludf.DUMMYFUNCTION("""COMPUTED_VALUE"""),335.06767233367526)</f>
        <v>335.0676723</v>
      </c>
      <c r="U2711" s="82">
        <f>IFERROR(__xludf.DUMMYFUNCTION("""COMPUTED_VALUE"""),0.7801805614186365)</f>
        <v>0.7801805614</v>
      </c>
      <c r="V2711" s="82">
        <f>IFERROR(__xludf.DUMMYFUNCTION("""COMPUTED_VALUE"""),0.5199230084309839)</f>
        <v>0.5199230084</v>
      </c>
      <c r="W2711" s="82">
        <f>IFERROR(__xludf.DUMMYFUNCTION("""COMPUTED_VALUE"""),1.2298784831844738)</f>
        <v>1.229878483</v>
      </c>
      <c r="X2711" s="82">
        <f>IFERROR(__xludf.DUMMYFUNCTION("""COMPUTED_VALUE"""),2.401204979231391)</f>
        <v>2.401204979</v>
      </c>
      <c r="Y2711" s="82">
        <f>IFERROR(__xludf.DUMMYFUNCTION("""COMPUTED_VALUE"""),335.02497665223945)</f>
        <v>335.0249767</v>
      </c>
      <c r="Z2711" s="82">
        <f>IFERROR(__xludf.DUMMYFUNCTION("""COMPUTED_VALUE"""),0.7975379086303135)</f>
        <v>0.7975379086</v>
      </c>
      <c r="AA2711" s="82">
        <f>IFERROR(__xludf.DUMMYFUNCTION("""COMPUTED_VALUE"""),0.5319651326382108)</f>
        <v>0.5319651326</v>
      </c>
      <c r="AB2711" s="82">
        <f>IFERROR(__xludf.DUMMYFUNCTION("""COMPUTED_VALUE"""),1.1695272092604065)</f>
        <v>1.169527209</v>
      </c>
      <c r="AC2711" s="82">
        <f>IFERROR(__xludf.DUMMYFUNCTION("""COMPUTED_VALUE"""),2.4784648704110093)</f>
        <v>2.47846487</v>
      </c>
      <c r="AD2711" s="82">
        <f>IFERROR(__xludf.DUMMYFUNCTION("""COMPUTED_VALUE"""),1.0105589839393752)</f>
        <v>1.010558984</v>
      </c>
      <c r="AE2711" s="82">
        <f>IFERROR(__xludf.DUMMYFUNCTION("""COMPUTED_VALUE"""),1.0971265322080044)</f>
        <v>1.097126532</v>
      </c>
      <c r="AF2711" s="82">
        <f>IFERROR(__xludf.DUMMYFUNCTION("""COMPUTED_VALUE"""),1.1748890324830032)</f>
        <v>1.174889032</v>
      </c>
      <c r="AG2711" s="82">
        <f>IFERROR(__xludf.DUMMYFUNCTION("""COMPUTED_VALUE"""),0.8016059759677268)</f>
        <v>0.801605976</v>
      </c>
      <c r="AH2711" s="82">
        <f>IFERROR(__xludf.DUMMYFUNCTION("""COMPUTED_VALUE"""),1.0759348250211218)</f>
        <v>1.075934825</v>
      </c>
      <c r="AI2711" s="82">
        <f>IFERROR(__xludf.DUMMYFUNCTION("""COMPUTED_VALUE"""),0.9476112293300991)</f>
        <v>0.9476112293</v>
      </c>
      <c r="AJ2711" s="82">
        <f>IFERROR(__xludf.DUMMYFUNCTION("""COMPUTED_VALUE"""),0.8010966062311717)</f>
        <v>0.8010966062</v>
      </c>
      <c r="AK2711" s="82">
        <f>IFERROR(__xludf.DUMMYFUNCTION("""COMPUTED_VALUE"""),0.8681840995094321)</f>
        <v>0.8681840995</v>
      </c>
      <c r="AL2711" s="82">
        <f>IFERROR(__xludf.DUMMYFUNCTION("""COMPUTED_VALUE"""),1.0671786017441316)</f>
        <v>1.067178602</v>
      </c>
      <c r="AM2711" s="82">
        <f>IFERROR(__xludf.DUMMYFUNCTION("""COMPUTED_VALUE"""),0.8155627488162971)</f>
        <v>0.8155627488</v>
      </c>
      <c r="AN2711" s="82">
        <f>IFERROR(__xludf.DUMMYFUNCTION("""COMPUTED_VALUE"""),1.052968638061232)</f>
        <v>1.052968638</v>
      </c>
      <c r="AO2711" s="82">
        <f>IFERROR(__xludf.DUMMYFUNCTION("""COMPUTED_VALUE"""),1.1922505288846275)</f>
        <v>1.192250529</v>
      </c>
      <c r="AP2711" s="82">
        <f>IFERROR(__xludf.DUMMYFUNCTION("""COMPUTED_VALUE"""),1.2502144453589943)</f>
        <v>1.250214445</v>
      </c>
      <c r="AQ2711" s="82">
        <f>IFERROR(__xludf.DUMMYFUNCTION("""COMPUTED_VALUE"""),0.8052239311920348)</f>
        <v>0.8052239312</v>
      </c>
      <c r="AR2711" s="82">
        <f>IFERROR(__xludf.DUMMYFUNCTION("""COMPUTED_VALUE"""),1.1522611362997786)</f>
        <v>1.152261136</v>
      </c>
      <c r="AS2711" s="82">
        <f>IFERROR(__xludf.DUMMYFUNCTION("""COMPUTED_VALUE"""),134.0)</f>
        <v>134</v>
      </c>
      <c r="AT2711" s="82">
        <f>IFERROR(__xludf.DUMMYFUNCTION("""COMPUTED_VALUE"""),0.650065755352992)</f>
        <v>0.6500657554</v>
      </c>
      <c r="AU2711" s="82">
        <f>IFERROR(__xludf.DUMMYFUNCTION("""COMPUTED_VALUE"""),2.870055293337169)</f>
        <v>2.870055293</v>
      </c>
      <c r="AV2711" s="82">
        <f>IFERROR(__xludf.DUMMYFUNCTION("""COMPUTED_VALUE"""),70.47217059502586)</f>
        <v>70.4721706</v>
      </c>
      <c r="AW2711" s="82">
        <f t="shared" si="1"/>
        <v>4.844362875</v>
      </c>
      <c r="AX2711" s="83">
        <f t="array" ref="AX2711">IFERROR(DGET('SBV Import'!A:G,"SBV",{"RSC ID","Tier";B2711,A2711}))</f>
        <v>63.24442382</v>
      </c>
      <c r="AY2711" s="82">
        <f t="shared" si="2"/>
        <v>3.354204386</v>
      </c>
      <c r="AZ2711" s="82">
        <v>1.4901584889351622</v>
      </c>
      <c r="BA2711" s="84">
        <v>2700.0</v>
      </c>
      <c r="BB2711" s="84" t="b">
        <f>IFERROR(__xludf.DUMMYFUNCTION("iferror(if(A2711="""",,E2711&gt;=FILTER(Constants!$F$2:$F$10,Constants!$A$2:$A$10=A2711)))"),TRUE)</f>
        <v>1</v>
      </c>
    </row>
    <row r="2712">
      <c r="A2712" s="89" t="str">
        <f>IFERROR(__xludf.DUMMYFUNCTION("""COMPUTED_VALUE"""),"Prospect")</f>
        <v>Prospect</v>
      </c>
      <c r="B2712" s="87" t="str">
        <f>IFERROR(__xludf.DUMMYFUNCTION("""COMPUTED_VALUE"""),"RSC007262")</f>
        <v>RSC007262</v>
      </c>
      <c r="C2712" s="73" t="str">
        <f>IFERROR(__xludf.DUMMYFUNCTION("""COMPUTED_VALUE"""),"Vvreze")</f>
        <v>Vvreze</v>
      </c>
      <c r="D2712" s="73" t="str">
        <f>IFERROR(__xludf.DUMMYFUNCTION("""COMPUTED_VALUE"""),"Hawaiian Pizza")</f>
        <v>Hawaiian Pizza</v>
      </c>
      <c r="E2712" s="82">
        <f>IFERROR(__xludf.DUMMYFUNCTION("""COMPUTED_VALUE"""),45.0)</f>
        <v>45</v>
      </c>
      <c r="F2712" s="82">
        <f>IFERROR(__xludf.DUMMYFUNCTION("""COMPUTED_VALUE"""),21.0)</f>
        <v>21</v>
      </c>
      <c r="G2712" s="86">
        <f>IFERROR(__xludf.DUMMYFUNCTION("""COMPUTED_VALUE"""),24.0)</f>
        <v>24</v>
      </c>
      <c r="H2712" s="86">
        <f>IFERROR(__xludf.DUMMYFUNCTION("""COMPUTED_VALUE"""),0.4666666666666667)</f>
        <v>0.4666666667</v>
      </c>
      <c r="I2712" s="86">
        <f>IFERROR(__xludf.DUMMYFUNCTION("""COMPUTED_VALUE"""),0.34108527131782945)</f>
        <v>0.3410852713</v>
      </c>
      <c r="J2712" s="82">
        <f>IFERROR(__xludf.DUMMYFUNCTION("""COMPUTED_VALUE"""),377.06666666666666)</f>
        <v>377.0666667</v>
      </c>
      <c r="K2712" s="82">
        <f>IFERROR(__xludf.DUMMYFUNCTION("""COMPUTED_VALUE"""),0.9777777777777777)</f>
        <v>0.9777777778</v>
      </c>
      <c r="L2712" s="82">
        <f>IFERROR(__xludf.DUMMYFUNCTION("""COMPUTED_VALUE"""),0.4666666666666667)</f>
        <v>0.4666666667</v>
      </c>
      <c r="M2712" s="82">
        <f>IFERROR(__xludf.DUMMYFUNCTION("""COMPUTED_VALUE"""),1.3555555555555556)</f>
        <v>1.355555556</v>
      </c>
      <c r="N2712" s="82">
        <f>IFERROR(__xludf.DUMMYFUNCTION("""COMPUTED_VALUE"""),2.8666666666666667)</f>
        <v>2.866666667</v>
      </c>
      <c r="O2712" s="82">
        <f>IFERROR(__xludf.DUMMYFUNCTION("""COMPUTED_VALUE"""),350.61481481481485)</f>
        <v>350.6148148</v>
      </c>
      <c r="P2712" s="82">
        <f>IFERROR(__xludf.DUMMYFUNCTION("""COMPUTED_VALUE"""),0.8148148148148149)</f>
        <v>0.8148148148</v>
      </c>
      <c r="Q2712" s="82">
        <f>IFERROR(__xludf.DUMMYFUNCTION("""COMPUTED_VALUE"""),0.6)</f>
        <v>0.6</v>
      </c>
      <c r="R2712" s="82">
        <f>IFERROR(__xludf.DUMMYFUNCTION("""COMPUTED_VALUE"""),1.2740740740740741)</f>
        <v>1.274074074</v>
      </c>
      <c r="S2712" s="82">
        <f>IFERROR(__xludf.DUMMYFUNCTION("""COMPUTED_VALUE"""),2.644444444444444)</f>
        <v>2.644444444</v>
      </c>
      <c r="T2712" s="82">
        <f>IFERROR(__xludf.DUMMYFUNCTION("""COMPUTED_VALUE"""),335.90316098897466)</f>
        <v>335.903161</v>
      </c>
      <c r="U2712" s="82">
        <f>IFERROR(__xludf.DUMMYFUNCTION("""COMPUTED_VALUE"""),0.799047411605923)</f>
        <v>0.7990474116</v>
      </c>
      <c r="V2712" s="82">
        <f>IFERROR(__xludf.DUMMYFUNCTION("""COMPUTED_VALUE"""),0.5312414889106359)</f>
        <v>0.5312414889</v>
      </c>
      <c r="W2712" s="82">
        <f>IFERROR(__xludf.DUMMYFUNCTION("""COMPUTED_VALUE"""),1.1729661049433926)</f>
        <v>1.172966105</v>
      </c>
      <c r="X2712" s="82">
        <f>IFERROR(__xludf.DUMMYFUNCTION("""COMPUTED_VALUE"""),2.5048596251306394)</f>
        <v>2.504859625</v>
      </c>
      <c r="Y2712" s="82">
        <f>IFERROR(__xludf.DUMMYFUNCTION("""COMPUTED_VALUE"""),336.4937890362277)</f>
        <v>336.493789</v>
      </c>
      <c r="Z2712" s="82">
        <f>IFERROR(__xludf.DUMMYFUNCTION("""COMPUTED_VALUE"""),0.8036009248600346)</f>
        <v>0.8036009249</v>
      </c>
      <c r="AA2712" s="82">
        <f>IFERROR(__xludf.DUMMYFUNCTION("""COMPUTED_VALUE"""),0.5236324425113593)</f>
        <v>0.5236324425</v>
      </c>
      <c r="AB2712" s="82">
        <f>IFERROR(__xludf.DUMMYFUNCTION("""COMPUTED_VALUE"""),1.2156753782841014)</f>
        <v>1.215675378</v>
      </c>
      <c r="AC2712" s="82">
        <f>IFERROR(__xludf.DUMMYFUNCTION("""COMPUTED_VALUE"""),2.4074144390624594)</f>
        <v>2.407414439</v>
      </c>
      <c r="AD2712" s="82">
        <f>IFERROR(__xludf.DUMMYFUNCTION("""COMPUTED_VALUE"""),1.1205754131351018)</f>
        <v>1.120575413</v>
      </c>
      <c r="AE2712" s="82">
        <f>IFERROR(__xludf.DUMMYFUNCTION("""COMPUTED_VALUE"""),1.2167454609986668)</f>
        <v>1.216745461</v>
      </c>
      <c r="AF2712" s="82">
        <f>IFERROR(__xludf.DUMMYFUNCTION("""COMPUTED_VALUE"""),0.8912103773183289)</f>
        <v>0.8912103773</v>
      </c>
      <c r="AG2712" s="82">
        <f>IFERROR(__xludf.DUMMYFUNCTION("""COMPUTED_VALUE"""),1.1150637577844933)</f>
        <v>1.115063758</v>
      </c>
      <c r="AH2712" s="82">
        <f>IFERROR(__xludf.DUMMYFUNCTION("""COMPUTED_VALUE"""),1.1907657527314066)</f>
        <v>1.190765753</v>
      </c>
      <c r="AI2712" s="82">
        <f>IFERROR(__xludf.DUMMYFUNCTION("""COMPUTED_VALUE"""),1.043797306886085)</f>
        <v>1.043797307</v>
      </c>
      <c r="AJ2712" s="82">
        <f>IFERROR(__xludf.DUMMYFUNCTION("""COMPUTED_VALUE"""),1.019732750497499)</f>
        <v>1.01973275</v>
      </c>
      <c r="AK2712" s="82">
        <f>IFERROR(__xludf.DUMMYFUNCTION("""COMPUTED_VALUE"""),1.1294298591594574)</f>
        <v>1.129429859</v>
      </c>
      <c r="AL2712" s="82">
        <f>IFERROR(__xludf.DUMMYFUNCTION("""COMPUTED_VALUE"""),1.086198542911486)</f>
        <v>1.086198543</v>
      </c>
      <c r="AM2712" s="82">
        <f>IFERROR(__xludf.DUMMYFUNCTION("""COMPUTED_VALUE"""),1.0557256055043502)</f>
        <v>1.055725606</v>
      </c>
      <c r="AN2712" s="82">
        <f>IFERROR(__xludf.DUMMYFUNCTION("""COMPUTED_VALUE"""),1.1727210617191466)</f>
        <v>1.172721062</v>
      </c>
      <c r="AO2712" s="82">
        <f>IFERROR(__xludf.DUMMYFUNCTION("""COMPUTED_VALUE"""),1.3322926544996472)</f>
        <v>1.332292654</v>
      </c>
      <c r="AP2712" s="82">
        <f>IFERROR(__xludf.DUMMYFUNCTION("""COMPUTED_VALUE"""),0.9334934525347157)</f>
        <v>0.9334934525</v>
      </c>
      <c r="AQ2712" s="82">
        <f>IFERROR(__xludf.DUMMYFUNCTION("""COMPUTED_VALUE"""),1.1642941582865571)</f>
        <v>1.164294158</v>
      </c>
      <c r="AR2712" s="82">
        <f>IFERROR(__xludf.DUMMYFUNCTION("""COMPUTED_VALUE"""),1.238680721522262)</f>
        <v>1.238680722</v>
      </c>
      <c r="AS2712" s="82">
        <f>IFERROR(__xludf.DUMMYFUNCTION("""COMPUTED_VALUE"""),109.0)</f>
        <v>109</v>
      </c>
      <c r="AT2712" s="82">
        <f>IFERROR(__xludf.DUMMYFUNCTION("""COMPUTED_VALUE"""),0.4964045198828079)</f>
        <v>0.4964045199</v>
      </c>
      <c r="AU2712" s="82">
        <f>IFERROR(__xludf.DUMMYFUNCTION("""COMPUTED_VALUE"""),2.8043452978585033)</f>
        <v>2.804345298</v>
      </c>
      <c r="AV2712" s="82">
        <f>IFERROR(__xludf.DUMMYFUNCTION("""COMPUTED_VALUE"""),68.69420580262911)</f>
        <v>68.6942058</v>
      </c>
      <c r="AW2712" s="82">
        <f t="shared" si="1"/>
        <v>4.399472384</v>
      </c>
      <c r="AX2712" s="83">
        <f t="array" ref="AX2712">IFERROR(DGET('SBV Import'!A:G,"SBV",{"RSC ID","Tier";B2712,A2712}))</f>
        <v>52.86405641</v>
      </c>
      <c r="AY2712" s="82">
        <f t="shared" si="2"/>
        <v>2.200723361</v>
      </c>
      <c r="AZ2712" s="82">
        <v>2.198749022458178</v>
      </c>
      <c r="BA2712" s="84">
        <v>2700.0</v>
      </c>
      <c r="BB2712" s="84" t="b">
        <f>IFERROR(__xludf.DUMMYFUNCTION("iferror(if(A2712="""",,E2712&gt;=FILTER(Constants!$F$2:$F$10,Constants!$A$2:$A$10=A2712)))"),TRUE)</f>
        <v>1</v>
      </c>
    </row>
    <row r="2713">
      <c r="A2713" s="89" t="str">
        <f>IFERROR(__xludf.DUMMYFUNCTION("""COMPUTED_VALUE"""),"Prospect")</f>
        <v>Prospect</v>
      </c>
      <c r="B2713" s="87" t="str">
        <f>IFERROR(__xludf.DUMMYFUNCTION("""COMPUTED_VALUE"""),"RSC006308")</f>
        <v>RSC006308</v>
      </c>
      <c r="C2713" s="73" t="str">
        <f>IFERROR(__xludf.DUMMYFUNCTION("""COMPUTED_VALUE"""),"SqueezySponge_")</f>
        <v>SqueezySponge_</v>
      </c>
      <c r="D2713" s="73" t="str">
        <f>IFERROR(__xludf.DUMMYFUNCTION("""COMPUTED_VALUE"""),"Hawaiian Pizza")</f>
        <v>Hawaiian Pizza</v>
      </c>
      <c r="E2713" s="82">
        <f>IFERROR(__xludf.DUMMYFUNCTION("""COMPUTED_VALUE"""),43.0)</f>
        <v>43</v>
      </c>
      <c r="F2713" s="82">
        <f>IFERROR(__xludf.DUMMYFUNCTION("""COMPUTED_VALUE"""),25.0)</f>
        <v>25</v>
      </c>
      <c r="G2713" s="86">
        <f>IFERROR(__xludf.DUMMYFUNCTION("""COMPUTED_VALUE"""),18.0)</f>
        <v>18</v>
      </c>
      <c r="H2713" s="86">
        <f>IFERROR(__xludf.DUMMYFUNCTION("""COMPUTED_VALUE"""),0.5813953488372093)</f>
        <v>0.5813953488</v>
      </c>
      <c r="I2713" s="86">
        <f>IFERROR(__xludf.DUMMYFUNCTION("""COMPUTED_VALUE"""),0.3305084745762712)</f>
        <v>0.3305084746</v>
      </c>
      <c r="J2713" s="82">
        <f>IFERROR(__xludf.DUMMYFUNCTION("""COMPUTED_VALUE"""),346.3255813953488)</f>
        <v>346.3255814</v>
      </c>
      <c r="K2713" s="82">
        <f>IFERROR(__xludf.DUMMYFUNCTION("""COMPUTED_VALUE"""),0.9069767441860465)</f>
        <v>0.9069767442</v>
      </c>
      <c r="L2713" s="82">
        <f>IFERROR(__xludf.DUMMYFUNCTION("""COMPUTED_VALUE"""),0.5581395348837209)</f>
        <v>0.5581395349</v>
      </c>
      <c r="M2713" s="82">
        <f>IFERROR(__xludf.DUMMYFUNCTION("""COMPUTED_VALUE"""),1.1395348837209303)</f>
        <v>1.139534884</v>
      </c>
      <c r="N2713" s="82">
        <f>IFERROR(__xludf.DUMMYFUNCTION("""COMPUTED_VALUE"""),2.744186046511628)</f>
        <v>2.744186047</v>
      </c>
      <c r="O2713" s="82">
        <f>IFERROR(__xludf.DUMMYFUNCTION("""COMPUTED_VALUE"""),307.7054263565892)</f>
        <v>307.7054264</v>
      </c>
      <c r="P2713" s="82">
        <f>IFERROR(__xludf.DUMMYFUNCTION("""COMPUTED_VALUE"""),0.6744186046511627)</f>
        <v>0.6744186047</v>
      </c>
      <c r="Q2713" s="82">
        <f>IFERROR(__xludf.DUMMYFUNCTION("""COMPUTED_VALUE"""),0.4883720930232558)</f>
        <v>0.488372093</v>
      </c>
      <c r="R2713" s="82">
        <f>IFERROR(__xludf.DUMMYFUNCTION("""COMPUTED_VALUE"""),1.046511627906977)</f>
        <v>1.046511628</v>
      </c>
      <c r="S2713" s="82">
        <f>IFERROR(__xludf.DUMMYFUNCTION("""COMPUTED_VALUE"""),2.2325581395348837)</f>
        <v>2.23255814</v>
      </c>
      <c r="T2713" s="82">
        <f>IFERROR(__xludf.DUMMYFUNCTION("""COMPUTED_VALUE"""),331.0952360486815)</f>
        <v>331.095236</v>
      </c>
      <c r="U2713" s="82">
        <f>IFERROR(__xludf.DUMMYFUNCTION("""COMPUTED_VALUE"""),0.766326137609344)</f>
        <v>0.7663261376</v>
      </c>
      <c r="V2713" s="82">
        <f>IFERROR(__xludf.DUMMYFUNCTION("""COMPUTED_VALUE"""),0.5234055835151787)</f>
        <v>0.5234055835</v>
      </c>
      <c r="W2713" s="82">
        <f>IFERROR(__xludf.DUMMYFUNCTION("""COMPUTED_VALUE"""),1.1637027605116097)</f>
        <v>1.163702761</v>
      </c>
      <c r="X2713" s="82">
        <f>IFERROR(__xludf.DUMMYFUNCTION("""COMPUTED_VALUE"""),2.35767213665264)</f>
        <v>2.357672137</v>
      </c>
      <c r="Y2713" s="82">
        <f>IFERROR(__xludf.DUMMYFUNCTION("""COMPUTED_VALUE"""),337.57673238214994)</f>
        <v>337.5767324</v>
      </c>
      <c r="Z2713" s="82">
        <f>IFERROR(__xludf.DUMMYFUNCTION("""COMPUTED_VALUE"""),0.8353719749992289)</f>
        <v>0.835371975</v>
      </c>
      <c r="AA2713" s="82">
        <f>IFERROR(__xludf.DUMMYFUNCTION("""COMPUTED_VALUE"""),0.5496882853632431)</f>
        <v>0.5496882854</v>
      </c>
      <c r="AB2713" s="82">
        <f>IFERROR(__xludf.DUMMYFUNCTION("""COMPUTED_VALUE"""),1.162971293759556)</f>
        <v>1.162971294</v>
      </c>
      <c r="AC2713" s="82">
        <f>IFERROR(__xludf.DUMMYFUNCTION("""COMPUTED_VALUE"""),2.457449177544903)</f>
        <v>2.457449178</v>
      </c>
      <c r="AD2713" s="82">
        <f>IFERROR(__xludf.DUMMYFUNCTION("""COMPUTED_VALUE"""),1.025916623315421)</f>
        <v>1.025916623</v>
      </c>
      <c r="AE2713" s="82">
        <f>IFERROR(__xludf.DUMMYFUNCTION("""COMPUTED_VALUE"""),1.0857160299001936)</f>
        <v>1.08571603</v>
      </c>
      <c r="AF2713" s="82">
        <f>IFERROR(__xludf.DUMMYFUNCTION("""COMPUTED_VALUE"""),1.0153746218457123)</f>
        <v>1.015374622</v>
      </c>
      <c r="AG2713" s="82">
        <f>IFERROR(__xludf.DUMMYFUNCTION("""COMPUTED_VALUE"""),0.9798478172553491)</f>
        <v>0.9798478173</v>
      </c>
      <c r="AH2713" s="82">
        <f>IFERROR(__xludf.DUMMYFUNCTION("""COMPUTED_VALUE"""),1.1166806913391336)</f>
        <v>1.116680691</v>
      </c>
      <c r="AI2713" s="82">
        <f>IFERROR(__xludf.DUMMYFUNCTION("""COMPUTED_VALUE"""),0.9293562481561853)</f>
        <v>0.9293562482</v>
      </c>
      <c r="AJ2713" s="82">
        <f>IFERROR(__xludf.DUMMYFUNCTION("""COMPUTED_VALUE"""),0.8800673388945089)</f>
        <v>0.8800673389</v>
      </c>
      <c r="AK2713" s="82">
        <f>IFERROR(__xludf.DUMMYFUNCTION("""COMPUTED_VALUE"""),0.9330662652533454)</f>
        <v>0.9330662653</v>
      </c>
      <c r="AL2713" s="82">
        <f>IFERROR(__xludf.DUMMYFUNCTION("""COMPUTED_VALUE"""),0.8992946166484036)</f>
        <v>0.8992946166</v>
      </c>
      <c r="AM2713" s="82">
        <f>IFERROR(__xludf.DUMMYFUNCTION("""COMPUTED_VALUE"""),0.94693325031385)</f>
        <v>0.9469332503</v>
      </c>
      <c r="AN2713" s="82">
        <f>IFERROR(__xludf.DUMMYFUNCTION("""COMPUTED_VALUE"""),1.0771127214845848)</f>
        <v>1.077112721</v>
      </c>
      <c r="AO2713" s="82">
        <f>IFERROR(__xludf.DUMMYFUNCTION("""COMPUTED_VALUE"""),1.2358211462192816)</f>
        <v>1.235821146</v>
      </c>
      <c r="AP2713" s="82">
        <f>IFERROR(__xludf.DUMMYFUNCTION("""COMPUTED_VALUE"""),1.116470574460125)</f>
        <v>1.116470574</v>
      </c>
      <c r="AQ2713" s="82">
        <f>IFERROR(__xludf.DUMMYFUNCTION("""COMPUTED_VALUE"""),0.9787528093869075)</f>
        <v>0.9787528094</v>
      </c>
      <c r="AR2713" s="82">
        <f>IFERROR(__xludf.DUMMYFUNCTION("""COMPUTED_VALUE"""),1.185757099564307)</f>
        <v>1.1857571</v>
      </c>
      <c r="AS2713" s="82">
        <f>IFERROR(__xludf.DUMMYFUNCTION("""COMPUTED_VALUE"""),115.0)</f>
        <v>115</v>
      </c>
      <c r="AT2713" s="82">
        <f>IFERROR(__xludf.DUMMYFUNCTION("""COMPUTED_VALUE"""),0.607062858286702)</f>
        <v>0.6070628583</v>
      </c>
      <c r="AU2713" s="82">
        <f>IFERROR(__xludf.DUMMYFUNCTION("""COMPUTED_VALUE"""),2.7920011114394883)</f>
        <v>2.792001111</v>
      </c>
      <c r="AV2713" s="82">
        <f>IFERROR(__xludf.DUMMYFUNCTION("""COMPUTED_VALUE"""),68.36019986207299)</f>
        <v>68.36019986</v>
      </c>
      <c r="AW2713" s="82">
        <f t="shared" si="1"/>
        <v>4.322454072</v>
      </c>
      <c r="AX2713" s="83">
        <f t="array" ref="AX2713">IFERROR(DGET('SBV Import'!A:G,"SBV",{"RSC ID","Tier";B2713,A2713}))</f>
        <v>62.5964588</v>
      </c>
      <c r="AY2713" s="82">
        <f t="shared" si="2"/>
        <v>3.255415404</v>
      </c>
      <c r="AZ2713" s="82">
        <v>1.0670386684060822</v>
      </c>
      <c r="BA2713" s="84">
        <v>2700.0</v>
      </c>
      <c r="BB2713" s="84" t="b">
        <f>IFERROR(__xludf.DUMMYFUNCTION("iferror(if(A2713="""",,E2713&gt;=FILTER(Constants!$F$2:$F$10,Constants!$A$2:$A$10=A2713)))"),TRUE)</f>
        <v>1</v>
      </c>
    </row>
    <row r="2714">
      <c r="A2714" s="89" t="str">
        <f>IFERROR(__xludf.DUMMYFUNCTION("""COMPUTED_VALUE"""),"Prospect")</f>
        <v>Prospect</v>
      </c>
      <c r="B2714" s="87" t="str">
        <f>IFERROR(__xludf.DUMMYFUNCTION("""COMPUTED_VALUE"""),"RSC007202")</f>
        <v>RSC007202</v>
      </c>
      <c r="C2714" s="73" t="str">
        <f>IFERROR(__xludf.DUMMYFUNCTION("""COMPUTED_VALUE"""),"GreatHonda")</f>
        <v>GreatHonda</v>
      </c>
      <c r="D2714" s="73" t="str">
        <f>IFERROR(__xludf.DUMMYFUNCTION("""COMPUTED_VALUE"""),"Horizon Highball")</f>
        <v>Horizon Highball</v>
      </c>
      <c r="E2714" s="82">
        <f>IFERROR(__xludf.DUMMYFUNCTION("""COMPUTED_VALUE"""),30.0)</f>
        <v>30</v>
      </c>
      <c r="F2714" s="82">
        <f>IFERROR(__xludf.DUMMYFUNCTION("""COMPUTED_VALUE"""),22.0)</f>
        <v>22</v>
      </c>
      <c r="G2714" s="86">
        <f>IFERROR(__xludf.DUMMYFUNCTION("""COMPUTED_VALUE"""),8.0)</f>
        <v>8</v>
      </c>
      <c r="H2714" s="86">
        <f>IFERROR(__xludf.DUMMYFUNCTION("""COMPUTED_VALUE"""),0.7333333333333333)</f>
        <v>0.7333333333</v>
      </c>
      <c r="I2714" s="86">
        <f>IFERROR(__xludf.DUMMYFUNCTION("""COMPUTED_VALUE"""),0.32432432432432434)</f>
        <v>0.3243243243</v>
      </c>
      <c r="J2714" s="82">
        <f>IFERROR(__xludf.DUMMYFUNCTION("""COMPUTED_VALUE"""),340.46666666666664)</f>
        <v>340.4666667</v>
      </c>
      <c r="K2714" s="82">
        <f>IFERROR(__xludf.DUMMYFUNCTION("""COMPUTED_VALUE"""),0.8)</f>
        <v>0.8</v>
      </c>
      <c r="L2714" s="82">
        <f>IFERROR(__xludf.DUMMYFUNCTION("""COMPUTED_VALUE"""),0.7)</f>
        <v>0.7</v>
      </c>
      <c r="M2714" s="82">
        <f>IFERROR(__xludf.DUMMYFUNCTION("""COMPUTED_VALUE"""),0.9666666666666667)</f>
        <v>0.9666666667</v>
      </c>
      <c r="N2714" s="82">
        <f>IFERROR(__xludf.DUMMYFUNCTION("""COMPUTED_VALUE"""),2.466666666666667)</f>
        <v>2.466666667</v>
      </c>
      <c r="O2714" s="82">
        <f>IFERROR(__xludf.DUMMYFUNCTION("""COMPUTED_VALUE"""),313.6555555555555)</f>
        <v>313.6555556</v>
      </c>
      <c r="P2714" s="82">
        <f>IFERROR(__xludf.DUMMYFUNCTION("""COMPUTED_VALUE"""),0.5777777777777777)</f>
        <v>0.5777777778</v>
      </c>
      <c r="Q2714" s="82">
        <f>IFERROR(__xludf.DUMMYFUNCTION("""COMPUTED_VALUE"""),0.4333333333333334)</f>
        <v>0.4333333333</v>
      </c>
      <c r="R2714" s="82">
        <f>IFERROR(__xludf.DUMMYFUNCTION("""COMPUTED_VALUE"""),1.2666666666666666)</f>
        <v>1.266666667</v>
      </c>
      <c r="S2714" s="82">
        <f>IFERROR(__xludf.DUMMYFUNCTION("""COMPUTED_VALUE"""),1.888888888888889)</f>
        <v>1.888888889</v>
      </c>
      <c r="T2714" s="82">
        <f>IFERROR(__xludf.DUMMYFUNCTION("""COMPUTED_VALUE"""),334.6673362332643)</f>
        <v>334.6673362</v>
      </c>
      <c r="U2714" s="82">
        <f>IFERROR(__xludf.DUMMYFUNCTION("""COMPUTED_VALUE"""),0.7796630574901556)</f>
        <v>0.7796630575</v>
      </c>
      <c r="V2714" s="82">
        <f>IFERROR(__xludf.DUMMYFUNCTION("""COMPUTED_VALUE"""),0.5168262628952033)</f>
        <v>0.5168262629</v>
      </c>
      <c r="W2714" s="82">
        <f>IFERROR(__xludf.DUMMYFUNCTION("""COMPUTED_VALUE"""),1.220215669093056)</f>
        <v>1.220215669</v>
      </c>
      <c r="X2714" s="82">
        <f>IFERROR(__xludf.DUMMYFUNCTION("""COMPUTED_VALUE"""),2.4019413605284416)</f>
        <v>2.401941361</v>
      </c>
      <c r="Y2714" s="82">
        <f>IFERROR(__xludf.DUMMYFUNCTION("""COMPUTED_VALUE"""),336.6336413660082)</f>
        <v>336.6336414</v>
      </c>
      <c r="Z2714" s="82">
        <f>IFERROR(__xludf.DUMMYFUNCTION("""COMPUTED_VALUE"""),0.8066887225302288)</f>
        <v>0.8066887225</v>
      </c>
      <c r="AA2714" s="82">
        <f>IFERROR(__xludf.DUMMYFUNCTION("""COMPUTED_VALUE"""),0.5373822413851367)</f>
        <v>0.5373822414</v>
      </c>
      <c r="AB2714" s="82">
        <f>IFERROR(__xludf.DUMMYFUNCTION("""COMPUTED_VALUE"""),1.1741392007854183)</f>
        <v>1.174139201</v>
      </c>
      <c r="AC2714" s="82">
        <f>IFERROR(__xludf.DUMMYFUNCTION("""COMPUTED_VALUE"""),2.468594386460343)</f>
        <v>2.468594386</v>
      </c>
      <c r="AD2714" s="82">
        <f>IFERROR(__xludf.DUMMYFUNCTION("""COMPUTED_VALUE"""),1.0113863406078627)</f>
        <v>1.011386341</v>
      </c>
      <c r="AE2714" s="82">
        <f>IFERROR(__xludf.DUMMYFUNCTION("""COMPUTED_VALUE"""),0.9917084219186191)</f>
        <v>0.9917084219</v>
      </c>
      <c r="AF2714" s="82">
        <f>IFERROR(__xludf.DUMMYFUNCTION("""COMPUTED_VALUE"""),1.3026109649543047)</f>
        <v>1.302610965</v>
      </c>
      <c r="AG2714" s="82">
        <f>IFERROR(__xludf.DUMMYFUNCTION("""COMPUTED_VALUE"""),0.8232981796536843)</f>
        <v>0.8232981797</v>
      </c>
      <c r="AH2714" s="82">
        <f>IFERROR(__xludf.DUMMYFUNCTION("""COMPUTED_VALUE"""),0.999219102253392)</f>
        <v>0.9992191023</v>
      </c>
      <c r="AI2714" s="82">
        <f>IFERROR(__xludf.DUMMYFUNCTION("""COMPUTED_VALUE"""),0.9372159203996429)</f>
        <v>0.9372159204</v>
      </c>
      <c r="AJ2714" s="82">
        <f>IFERROR(__xludf.DUMMYFUNCTION("""COMPUTED_VALUE"""),0.7410608624162919)</f>
        <v>0.7410608624</v>
      </c>
      <c r="AK2714" s="82">
        <f>IFERROR(__xludf.DUMMYFUNCTION("""COMPUTED_VALUE"""),0.8384506834189274)</f>
        <v>0.8384506834</v>
      </c>
      <c r="AL2714" s="82">
        <f>IFERROR(__xludf.DUMMYFUNCTION("""COMPUTED_VALUE"""),1.038067858617269)</f>
        <v>1.038067859</v>
      </c>
      <c r="AM2714" s="82">
        <f>IFERROR(__xludf.DUMMYFUNCTION("""COMPUTED_VALUE"""),0.7864009171619919)</f>
        <v>0.7864009172</v>
      </c>
      <c r="AN2714" s="82">
        <f>IFERROR(__xludf.DUMMYFUNCTION("""COMPUTED_VALUE"""),1.0588908172205942)</f>
        <v>1.058890817</v>
      </c>
      <c r="AO2714" s="82">
        <f>IFERROR(__xludf.DUMMYFUNCTION("""COMPUTED_VALUE"""),1.0900576264088024)</f>
        <v>1.090057626</v>
      </c>
      <c r="AP2714" s="82">
        <f>IFERROR(__xludf.DUMMYFUNCTION("""COMPUTED_VALUE"""),1.4002401788020735)</f>
        <v>1.400240179</v>
      </c>
      <c r="AQ2714" s="82">
        <f>IFERROR(__xludf.DUMMYFUNCTION("""COMPUTED_VALUE"""),0.8302753423846759)</f>
        <v>0.8302753424</v>
      </c>
      <c r="AR2714" s="82">
        <f>IFERROR(__xludf.DUMMYFUNCTION("""COMPUTED_VALUE"""),1.0658415510772952)</f>
        <v>1.065841551</v>
      </c>
      <c r="AS2714" s="82">
        <f>IFERROR(__xludf.DUMMYFUNCTION("""COMPUTED_VALUE"""),84.0)</f>
        <v>84</v>
      </c>
      <c r="AT2714" s="82">
        <f>IFERROR(__xludf.DUMMYFUNCTION("""COMPUTED_VALUE"""),0.6770014243706508)</f>
        <v>0.6770014244</v>
      </c>
      <c r="AU2714" s="82">
        <f>IFERROR(__xludf.DUMMYFUNCTION("""COMPUTED_VALUE"""),2.7698604379061504)</f>
        <v>2.769860438</v>
      </c>
      <c r="AV2714" s="82">
        <f>IFERROR(__xludf.DUMMYFUNCTION("""COMPUTED_VALUE"""),67.76112299811237)</f>
        <v>67.761123</v>
      </c>
      <c r="AW2714" s="82">
        <f t="shared" si="1"/>
        <v>4.189110913</v>
      </c>
      <c r="AX2714" s="83">
        <f t="array" ref="AX2714">IFERROR(DGET('SBV Import'!A:G,"SBV",{"RSC ID","Tier";B2714,A2714}))</f>
        <v>67.50462745</v>
      </c>
      <c r="AY2714" s="82">
        <f t="shared" si="2"/>
        <v>4.133839531</v>
      </c>
      <c r="AZ2714" s="82">
        <v>0.055271381989443924</v>
      </c>
      <c r="BA2714" s="84">
        <v>2700.0</v>
      </c>
      <c r="BB2714" s="84" t="b">
        <f>IFERROR(__xludf.DUMMYFUNCTION("iferror(if(A2714="""",,E2714&gt;=FILTER(Constants!$F$2:$F$10,Constants!$A$2:$A$10=A2714)))"),TRUE)</f>
        <v>1</v>
      </c>
    </row>
    <row r="2715">
      <c r="A2715" s="89" t="str">
        <f>IFERROR(__xludf.DUMMYFUNCTION("""COMPUTED_VALUE"""),"Prospect")</f>
        <v>Prospect</v>
      </c>
      <c r="B2715" s="87" t="str">
        <f>IFERROR(__xludf.DUMMYFUNCTION("""COMPUTED_VALUE"""),"RSC007092")</f>
        <v>RSC007092</v>
      </c>
      <c r="C2715" s="73" t="str">
        <f>IFERROR(__xludf.DUMMYFUNCTION("""COMPUTED_VALUE"""),"Minjaaa")</f>
        <v>Minjaaa</v>
      </c>
      <c r="D2715" s="73" t="str">
        <f>IFERROR(__xludf.DUMMYFUNCTION("""COMPUTED_VALUE"""),"Horizon Highball")</f>
        <v>Horizon Highball</v>
      </c>
      <c r="E2715" s="82">
        <f>IFERROR(__xludf.DUMMYFUNCTION("""COMPUTED_VALUE"""),33.0)</f>
        <v>33</v>
      </c>
      <c r="F2715" s="82">
        <f>IFERROR(__xludf.DUMMYFUNCTION("""COMPUTED_VALUE"""),23.0)</f>
        <v>23</v>
      </c>
      <c r="G2715" s="86">
        <f>IFERROR(__xludf.DUMMYFUNCTION("""COMPUTED_VALUE"""),10.0)</f>
        <v>10</v>
      </c>
      <c r="H2715" s="86">
        <f>IFERROR(__xludf.DUMMYFUNCTION("""COMPUTED_VALUE"""),0.696969696969697)</f>
        <v>0.696969697</v>
      </c>
      <c r="I2715" s="86">
        <f>IFERROR(__xludf.DUMMYFUNCTION("""COMPUTED_VALUE"""),0.30000000000000004)</f>
        <v>0.3</v>
      </c>
      <c r="J2715" s="82">
        <f>IFERROR(__xludf.DUMMYFUNCTION("""COMPUTED_VALUE"""),322.54545454545456)</f>
        <v>322.5454545</v>
      </c>
      <c r="K2715" s="82">
        <f>IFERROR(__xludf.DUMMYFUNCTION("""COMPUTED_VALUE"""),0.8181818181818182)</f>
        <v>0.8181818182</v>
      </c>
      <c r="L2715" s="82">
        <f>IFERROR(__xludf.DUMMYFUNCTION("""COMPUTED_VALUE"""),0.696969696969697)</f>
        <v>0.696969697</v>
      </c>
      <c r="M2715" s="82">
        <f>IFERROR(__xludf.DUMMYFUNCTION("""COMPUTED_VALUE"""),0.9393939393939394)</f>
        <v>0.9393939394</v>
      </c>
      <c r="N2715" s="82">
        <f>IFERROR(__xludf.DUMMYFUNCTION("""COMPUTED_VALUE"""),2.727272727272727)</f>
        <v>2.727272727</v>
      </c>
      <c r="O2715" s="82">
        <f>IFERROR(__xludf.DUMMYFUNCTION("""COMPUTED_VALUE"""),323.80808080808083)</f>
        <v>323.8080808</v>
      </c>
      <c r="P2715" s="82">
        <f>IFERROR(__xludf.DUMMYFUNCTION("""COMPUTED_VALUE"""),0.6767676767676766)</f>
        <v>0.6767676768</v>
      </c>
      <c r="Q2715" s="82">
        <f>IFERROR(__xludf.DUMMYFUNCTION("""COMPUTED_VALUE"""),0.4747474747474748)</f>
        <v>0.4747474747</v>
      </c>
      <c r="R2715" s="82">
        <f>IFERROR(__xludf.DUMMYFUNCTION("""COMPUTED_VALUE"""),1.4040404040404044)</f>
        <v>1.404040404</v>
      </c>
      <c r="S2715" s="82">
        <f>IFERROR(__xludf.DUMMYFUNCTION("""COMPUTED_VALUE"""),1.8484848484848484)</f>
        <v>1.848484848</v>
      </c>
      <c r="T2715" s="82">
        <f>IFERROR(__xludf.DUMMYFUNCTION("""COMPUTED_VALUE"""),330.9371582488798)</f>
        <v>330.9371582</v>
      </c>
      <c r="U2715" s="82">
        <f>IFERROR(__xludf.DUMMYFUNCTION("""COMPUTED_VALUE"""),0.7621254308609081)</f>
        <v>0.7621254309</v>
      </c>
      <c r="V2715" s="82">
        <f>IFERROR(__xludf.DUMMYFUNCTION("""COMPUTED_VALUE"""),0.5025046360634196)</f>
        <v>0.5025046361</v>
      </c>
      <c r="W2715" s="82">
        <f>IFERROR(__xludf.DUMMYFUNCTION("""COMPUTED_VALUE"""),1.2346264365424982)</f>
        <v>1.234626437</v>
      </c>
      <c r="X2715" s="82">
        <f>IFERROR(__xludf.DUMMYFUNCTION("""COMPUTED_VALUE"""),2.3120410469954074)</f>
        <v>2.312041047</v>
      </c>
      <c r="Y2715" s="82">
        <f>IFERROR(__xludf.DUMMYFUNCTION("""COMPUTED_VALUE"""),332.564685884039)</f>
        <v>332.5646859</v>
      </c>
      <c r="Z2715" s="82">
        <f>IFERROR(__xludf.DUMMYFUNCTION("""COMPUTED_VALUE"""),0.8031635282964431)</f>
        <v>0.8031635283</v>
      </c>
      <c r="AA2715" s="82">
        <f>IFERROR(__xludf.DUMMYFUNCTION("""COMPUTED_VALUE"""),0.5354003969283003)</f>
        <v>0.5354003969</v>
      </c>
      <c r="AB2715" s="82">
        <f>IFERROR(__xludf.DUMMYFUNCTION("""COMPUTED_VALUE"""),1.1275923050333203)</f>
        <v>1.127592305</v>
      </c>
      <c r="AC2715" s="82">
        <f>IFERROR(__xludf.DUMMYFUNCTION("""COMPUTED_VALUE"""),2.501095966556038)</f>
        <v>2.501095967</v>
      </c>
      <c r="AD2715" s="82">
        <f>IFERROR(__xludf.DUMMYFUNCTION("""COMPUTED_VALUE"""),0.9698728344774464)</f>
        <v>0.9698728345</v>
      </c>
      <c r="AE2715" s="82">
        <f>IFERROR(__xludf.DUMMYFUNCTION("""COMPUTED_VALUE"""),1.0186989191568867)</f>
        <v>1.018698919</v>
      </c>
      <c r="AF2715" s="82">
        <f>IFERROR(__xludf.DUMMYFUNCTION("""COMPUTED_VALUE"""),1.301772843218556)</f>
        <v>1.301772843</v>
      </c>
      <c r="AG2715" s="82">
        <f>IFERROR(__xludf.DUMMYFUNCTION("""COMPUTED_VALUE"""),0.8330971532890874)</f>
        <v>0.8330971533</v>
      </c>
      <c r="AH2715" s="82">
        <f>IFERROR(__xludf.DUMMYFUNCTION("""COMPUTED_VALUE"""),1.090431060519493)</f>
        <v>1.090431061</v>
      </c>
      <c r="AI2715" s="82">
        <f>IFERROR(__xludf.DUMMYFUNCTION("""COMPUTED_VALUE"""),0.978457911832803)</f>
        <v>0.9784579118</v>
      </c>
      <c r="AJ2715" s="82">
        <f>IFERROR(__xludf.DUMMYFUNCTION("""COMPUTED_VALUE"""),0.8880003859773973)</f>
        <v>0.888000386</v>
      </c>
      <c r="AK2715" s="82">
        <f>IFERROR(__xludf.DUMMYFUNCTION("""COMPUTED_VALUE"""),0.9447623776501007)</f>
        <v>0.9447623777</v>
      </c>
      <c r="AL2715" s="82">
        <f>IFERROR(__xludf.DUMMYFUNCTION("""COMPUTED_VALUE"""),1.1372188076357255)</f>
        <v>1.137218808</v>
      </c>
      <c r="AM2715" s="82">
        <f>IFERROR(__xludf.DUMMYFUNCTION("""COMPUTED_VALUE"""),0.7995034737324541)</f>
        <v>0.7995034737</v>
      </c>
      <c r="AN2715" s="82">
        <f>IFERROR(__xludf.DUMMYFUNCTION("""COMPUTED_VALUE"""),1.0031537692023431)</f>
        <v>1.003153769</v>
      </c>
      <c r="AO2715" s="82">
        <f>IFERROR(__xludf.DUMMYFUNCTION("""COMPUTED_VALUE"""),1.1148316633726387)</f>
        <v>1.114831663</v>
      </c>
      <c r="AP2715" s="82">
        <f>IFERROR(__xludf.DUMMYFUNCTION("""COMPUTED_VALUE"""),1.3941785330063936)</f>
        <v>1.394178533</v>
      </c>
      <c r="AQ2715" s="82">
        <f>IFERROR(__xludf.DUMMYFUNCTION("""COMPUTED_VALUE"""),0.806850646204544)</f>
        <v>0.8068506462</v>
      </c>
      <c r="AR2715" s="82">
        <f>IFERROR(__xludf.DUMMYFUNCTION("""COMPUTED_VALUE"""),1.1784488893975007)</f>
        <v>1.178448889</v>
      </c>
      <c r="AS2715" s="82">
        <f>IFERROR(__xludf.DUMMYFUNCTION("""COMPUTED_VALUE"""),89.0)</f>
        <v>89</v>
      </c>
      <c r="AT2715" s="82">
        <f>IFERROR(__xludf.DUMMYFUNCTION("""COMPUTED_VALUE"""),0.6090810111529947)</f>
        <v>0.6090810112</v>
      </c>
      <c r="AU2715" s="82">
        <f>IFERROR(__xludf.DUMMYFUNCTION("""COMPUTED_VALUE"""),2.763083602878575)</f>
        <v>2.763083603</v>
      </c>
      <c r="AV2715" s="82">
        <f>IFERROR(__xludf.DUMMYFUNCTION("""COMPUTED_VALUE"""),67.57775707341341)</f>
        <v>67.57775707</v>
      </c>
      <c r="AW2715" s="82">
        <f t="shared" si="1"/>
        <v>4.149489299</v>
      </c>
      <c r="AX2715" s="83">
        <f t="array" ref="AX2715">IFERROR(DGET('SBV Import'!A:G,"SBV",{"RSC ID","Tier";B2715,A2715}))</f>
        <v>65.15357809</v>
      </c>
      <c r="AY2715" s="82">
        <f t="shared" si="2"/>
        <v>3.673636235</v>
      </c>
      <c r="AZ2715" s="82">
        <v>0.4758530644597512</v>
      </c>
      <c r="BA2715" s="84">
        <v>2700.0</v>
      </c>
      <c r="BB2715" s="84" t="b">
        <f>IFERROR(__xludf.DUMMYFUNCTION("iferror(if(A2715="""",,E2715&gt;=FILTER(Constants!$F$2:$F$10,Constants!$A$2:$A$10=A2715)))"),TRUE)</f>
        <v>1</v>
      </c>
    </row>
    <row r="2716">
      <c r="A2716" s="89" t="str">
        <f>IFERROR(__xludf.DUMMYFUNCTION("""COMPUTED_VALUE"""),"Prospect")</f>
        <v>Prospect</v>
      </c>
      <c r="B2716" s="87" t="str">
        <f>IFERROR(__xludf.DUMMYFUNCTION("""COMPUTED_VALUE"""),"RSC003295")</f>
        <v>RSC003295</v>
      </c>
      <c r="C2716" s="73" t="str">
        <f>IFERROR(__xludf.DUMMYFUNCTION("""COMPUTED_VALUE"""),"ConfuciusDragon")</f>
        <v>ConfuciusDragon</v>
      </c>
      <c r="D2716" s="73" t="str">
        <f>IFERROR(__xludf.DUMMYFUNCTION("""COMPUTED_VALUE"""),"Mop Tops")</f>
        <v>Mop Tops</v>
      </c>
      <c r="E2716" s="82">
        <f>IFERROR(__xludf.DUMMYFUNCTION("""COMPUTED_VALUE"""),45.0)</f>
        <v>45</v>
      </c>
      <c r="F2716" s="82">
        <f>IFERROR(__xludf.DUMMYFUNCTION("""COMPUTED_VALUE"""),24.0)</f>
        <v>24</v>
      </c>
      <c r="G2716" s="86">
        <f>IFERROR(__xludf.DUMMYFUNCTION("""COMPUTED_VALUE"""),21.0)</f>
        <v>21</v>
      </c>
      <c r="H2716" s="86">
        <f>IFERROR(__xludf.DUMMYFUNCTION("""COMPUTED_VALUE"""),0.5333333333333333)</f>
        <v>0.5333333333</v>
      </c>
      <c r="I2716" s="86">
        <f>IFERROR(__xludf.DUMMYFUNCTION("""COMPUTED_VALUE"""),0.34210526315789475)</f>
        <v>0.3421052632</v>
      </c>
      <c r="J2716" s="82">
        <f>IFERROR(__xludf.DUMMYFUNCTION("""COMPUTED_VALUE"""),370.44444444444446)</f>
        <v>370.4444444</v>
      </c>
      <c r="K2716" s="82">
        <f>IFERROR(__xludf.DUMMYFUNCTION("""COMPUTED_VALUE"""),0.8666666666666667)</f>
        <v>0.8666666667</v>
      </c>
      <c r="L2716" s="82">
        <f>IFERROR(__xludf.DUMMYFUNCTION("""COMPUTED_VALUE"""),0.6222222222222222)</f>
        <v>0.6222222222</v>
      </c>
      <c r="M2716" s="82">
        <f>IFERROR(__xludf.DUMMYFUNCTION("""COMPUTED_VALUE"""),1.3777777777777778)</f>
        <v>1.377777778</v>
      </c>
      <c r="N2716" s="82">
        <f>IFERROR(__xludf.DUMMYFUNCTION("""COMPUTED_VALUE"""),2.533333333333333)</f>
        <v>2.533333333</v>
      </c>
      <c r="O2716" s="82">
        <f>IFERROR(__xludf.DUMMYFUNCTION("""COMPUTED_VALUE"""),334.43703703703704)</f>
        <v>334.437037</v>
      </c>
      <c r="P2716" s="82">
        <f>IFERROR(__xludf.DUMMYFUNCTION("""COMPUTED_VALUE"""),0.6962962962962963)</f>
        <v>0.6962962963</v>
      </c>
      <c r="Q2716" s="82">
        <f>IFERROR(__xludf.DUMMYFUNCTION("""COMPUTED_VALUE"""),0.4962962962962961)</f>
        <v>0.4962962963</v>
      </c>
      <c r="R2716" s="82">
        <f>IFERROR(__xludf.DUMMYFUNCTION("""COMPUTED_VALUE"""),1.251851851851852)</f>
        <v>1.251851852</v>
      </c>
      <c r="S2716" s="82">
        <f>IFERROR(__xludf.DUMMYFUNCTION("""COMPUTED_VALUE"""),2.2666666666666666)</f>
        <v>2.266666667</v>
      </c>
      <c r="T2716" s="82">
        <f>IFERROR(__xludf.DUMMYFUNCTION("""COMPUTED_VALUE"""),335.00629860618915)</f>
        <v>335.0062986</v>
      </c>
      <c r="U2716" s="82">
        <f>IFERROR(__xludf.DUMMYFUNCTION("""COMPUTED_VALUE"""),0.7947943139370406)</f>
        <v>0.7947943139</v>
      </c>
      <c r="V2716" s="82">
        <f>IFERROR(__xludf.DUMMYFUNCTION("""COMPUTED_VALUE"""),0.5123050211360424)</f>
        <v>0.5123050211</v>
      </c>
      <c r="W2716" s="82">
        <f>IFERROR(__xludf.DUMMYFUNCTION("""COMPUTED_VALUE"""),1.1854765162265952)</f>
        <v>1.185476516</v>
      </c>
      <c r="X2716" s="82">
        <f>IFERROR(__xludf.DUMMYFUNCTION("""COMPUTED_VALUE"""),2.438519222135466)</f>
        <v>2.438519222</v>
      </c>
      <c r="Y2716" s="82">
        <f>IFERROR(__xludf.DUMMYFUNCTION("""COMPUTED_VALUE"""),336.68001221660376)</f>
        <v>336.6800122</v>
      </c>
      <c r="Z2716" s="82">
        <f>IFERROR(__xludf.DUMMYFUNCTION("""COMPUTED_VALUE"""),0.7966936438377693)</f>
        <v>0.7966936438</v>
      </c>
      <c r="AA2716" s="82">
        <f>IFERROR(__xludf.DUMMYFUNCTION("""COMPUTED_VALUE"""),0.5347629764347229)</f>
        <v>0.5347629764</v>
      </c>
      <c r="AB2716" s="82">
        <f>IFERROR(__xludf.DUMMYFUNCTION("""COMPUTED_VALUE"""),1.201378780006406)</f>
        <v>1.20137878</v>
      </c>
      <c r="AC2716" s="82">
        <f>IFERROR(__xludf.DUMMYFUNCTION("""COMPUTED_VALUE"""),2.4538966217737492)</f>
        <v>2.453896622</v>
      </c>
      <c r="AD2716" s="82">
        <f>IFERROR(__xludf.DUMMYFUNCTION("""COMPUTED_VALUE"""),1.100286417377573)</f>
        <v>1.100286417</v>
      </c>
      <c r="AE2716" s="82">
        <f>IFERROR(__xludf.DUMMYFUNCTION("""COMPUTED_VALUE"""),1.0878292721049323)</f>
        <v>1.087829272</v>
      </c>
      <c r="AF2716" s="82">
        <f>IFERROR(__xludf.DUMMYFUNCTION("""COMPUTED_VALUE"""),1.163547683069969)</f>
        <v>1.163547683</v>
      </c>
      <c r="AG2716" s="82">
        <f>IFERROR(__xludf.DUMMYFUNCTION("""COMPUTED_VALUE"""),1.1468304590584089)</f>
        <v>1.146830459</v>
      </c>
      <c r="AH2716" s="82">
        <f>IFERROR(__xludf.DUMMYFUNCTION("""COMPUTED_VALUE"""),1.0323716618111503)</f>
        <v>1.032371662</v>
      </c>
      <c r="AI2716" s="82">
        <f>IFERROR(__xludf.DUMMYFUNCTION("""COMPUTED_VALUE"""),0.998300743682968)</f>
        <v>0.9983007437</v>
      </c>
      <c r="AJ2716" s="82">
        <f>IFERROR(__xludf.DUMMYFUNCTION("""COMPUTED_VALUE"""),0.8760710589978544)</f>
        <v>0.876071059</v>
      </c>
      <c r="AK2716" s="82">
        <f>IFERROR(__xludf.DUMMYFUNCTION("""COMPUTED_VALUE"""),0.9687515753715498)</f>
        <v>0.9687515754</v>
      </c>
      <c r="AL2716" s="82">
        <f>IFERROR(__xludf.DUMMYFUNCTION("""COMPUTED_VALUE"""),1.055990426395397)</f>
        <v>1.055990426</v>
      </c>
      <c r="AM2716" s="82">
        <f>IFERROR(__xludf.DUMMYFUNCTION("""COMPUTED_VALUE"""),0.9295258557288287)</f>
        <v>0.9295258557</v>
      </c>
      <c r="AN2716" s="82">
        <f>IFERROR(__xludf.DUMMYFUNCTION("""COMPUTED_VALUE"""),1.1521251826295482)</f>
        <v>1.152125183</v>
      </c>
      <c r="AO2716" s="82">
        <f>IFERROR(__xludf.DUMMYFUNCTION("""COMPUTED_VALUE"""),1.1808957619428693)</f>
        <v>1.180895762</v>
      </c>
      <c r="AP2716" s="82">
        <f>IFERROR(__xludf.DUMMYFUNCTION("""COMPUTED_VALUE"""),1.2446579367129542)</f>
        <v>1.244657937</v>
      </c>
      <c r="AQ2716" s="82">
        <f>IFERROR(__xludf.DUMMYFUNCTION("""COMPUTED_VALUE"""),1.1833809477666646)</f>
        <v>1.183380948</v>
      </c>
      <c r="AR2716" s="82">
        <f>IFERROR(__xludf.DUMMYFUNCTION("""COMPUTED_VALUE"""),1.0946480794847895)</f>
        <v>1.094648079</v>
      </c>
      <c r="AS2716" s="82">
        <f>IFERROR(__xludf.DUMMYFUNCTION("""COMPUTED_VALUE"""),112.0)</f>
        <v>112</v>
      </c>
      <c r="AT2716" s="82">
        <f>IFERROR(__xludf.DUMMYFUNCTION("""COMPUTED_VALUE"""),0.5673663995983452)</f>
        <v>0.5673663996</v>
      </c>
      <c r="AU2716" s="82">
        <f>IFERROR(__xludf.DUMMYFUNCTION("""COMPUTED_VALUE"""),2.758276694761139)</f>
        <v>2.758276695</v>
      </c>
      <c r="AV2716" s="82">
        <f>IFERROR(__xludf.DUMMYFUNCTION("""COMPUTED_VALUE"""),67.4476929434309)</f>
        <v>67.44769294</v>
      </c>
      <c r="AW2716" s="82">
        <f t="shared" si="1"/>
        <v>4.121715006</v>
      </c>
      <c r="AX2716" s="83">
        <f t="array" ref="AX2716">IFERROR(DGET('SBV Import'!A:G,"SBV",{"RSC ID","Tier";B2716,A2716}))</f>
        <v>68.22566716</v>
      </c>
      <c r="AY2716" s="82">
        <f t="shared" si="2"/>
        <v>4.291980529</v>
      </c>
      <c r="AZ2716" s="82">
        <v>0.17026552224369684</v>
      </c>
      <c r="BA2716" s="84">
        <v>2700.0</v>
      </c>
      <c r="BB2716" s="84" t="b">
        <f>IFERROR(__xludf.DUMMYFUNCTION("iferror(if(A2716="""",,E2716&gt;=FILTER(Constants!$F$2:$F$10,Constants!$A$2:$A$10=A2716)))"),TRUE)</f>
        <v>1</v>
      </c>
    </row>
    <row r="2717">
      <c r="A2717" s="89" t="str">
        <f>IFERROR(__xludf.DUMMYFUNCTION("""COMPUTED_VALUE"""),"Prospect")</f>
        <v>Prospect</v>
      </c>
      <c r="B2717" s="87" t="str">
        <f>IFERROR(__xludf.DUMMYFUNCTION("""COMPUTED_VALUE"""),"RSC007865")</f>
        <v>RSC007865</v>
      </c>
      <c r="C2717" s="73" t="str">
        <f>IFERROR(__xludf.DUMMYFUNCTION("""COMPUTED_VALUE"""),"StoveMessiah")</f>
        <v>StoveMessiah</v>
      </c>
      <c r="D2717" s="73" t="str">
        <f>IFERROR(__xludf.DUMMYFUNCTION("""COMPUTED_VALUE"""),"Emus")</f>
        <v>Emus</v>
      </c>
      <c r="E2717" s="82">
        <f>IFERROR(__xludf.DUMMYFUNCTION("""COMPUTED_VALUE"""),33.0)</f>
        <v>33</v>
      </c>
      <c r="F2717" s="82">
        <f>IFERROR(__xludf.DUMMYFUNCTION("""COMPUTED_VALUE"""),21.0)</f>
        <v>21</v>
      </c>
      <c r="G2717" s="86">
        <f>IFERROR(__xludf.DUMMYFUNCTION("""COMPUTED_VALUE"""),12.0)</f>
        <v>12</v>
      </c>
      <c r="H2717" s="86">
        <f>IFERROR(__xludf.DUMMYFUNCTION("""COMPUTED_VALUE"""),0.6363636363636364)</f>
        <v>0.6363636364</v>
      </c>
      <c r="I2717" s="86">
        <f>IFERROR(__xludf.DUMMYFUNCTION("""COMPUTED_VALUE"""),0.2873563218390805)</f>
        <v>0.2873563218</v>
      </c>
      <c r="J2717" s="82">
        <f>IFERROR(__xludf.DUMMYFUNCTION("""COMPUTED_VALUE"""),339.8484848484849)</f>
        <v>339.8484848</v>
      </c>
      <c r="K2717" s="82">
        <f>IFERROR(__xludf.DUMMYFUNCTION("""COMPUTED_VALUE"""),0.7575757575757576)</f>
        <v>0.7575757576</v>
      </c>
      <c r="L2717" s="82">
        <f>IFERROR(__xludf.DUMMYFUNCTION("""COMPUTED_VALUE"""),0.7575757575757576)</f>
        <v>0.7575757576</v>
      </c>
      <c r="M2717" s="82">
        <f>IFERROR(__xludf.DUMMYFUNCTION("""COMPUTED_VALUE"""),0.9090909090909091)</f>
        <v>0.9090909091</v>
      </c>
      <c r="N2717" s="82">
        <f>IFERROR(__xludf.DUMMYFUNCTION("""COMPUTED_VALUE"""),2.6363636363636362)</f>
        <v>2.636363636</v>
      </c>
      <c r="O2717" s="82">
        <f>IFERROR(__xludf.DUMMYFUNCTION("""COMPUTED_VALUE"""),332.9292929292929)</f>
        <v>332.9292929</v>
      </c>
      <c r="P2717" s="82">
        <f>IFERROR(__xludf.DUMMYFUNCTION("""COMPUTED_VALUE"""),0.6565656565656565)</f>
        <v>0.6565656566</v>
      </c>
      <c r="Q2717" s="82">
        <f>IFERROR(__xludf.DUMMYFUNCTION("""COMPUTED_VALUE"""),0.4343434343434344)</f>
        <v>0.4343434343</v>
      </c>
      <c r="R2717" s="82">
        <f>IFERROR(__xludf.DUMMYFUNCTION("""COMPUTED_VALUE"""),1.484848484848485)</f>
        <v>1.484848485</v>
      </c>
      <c r="S2717" s="82">
        <f>IFERROR(__xludf.DUMMYFUNCTION("""COMPUTED_VALUE"""),2.05050505050505)</f>
        <v>2.050505051</v>
      </c>
      <c r="T2717" s="82">
        <f>IFERROR(__xludf.DUMMYFUNCTION("""COMPUTED_VALUE"""),334.25757094141306)</f>
        <v>334.2575709</v>
      </c>
      <c r="U2717" s="82">
        <f>IFERROR(__xludf.DUMMYFUNCTION("""COMPUTED_VALUE"""),0.7920535051044849)</f>
        <v>0.7920535051</v>
      </c>
      <c r="V2717" s="82">
        <f>IFERROR(__xludf.DUMMYFUNCTION("""COMPUTED_VALUE"""),0.5245867195513817)</f>
        <v>0.5245867196</v>
      </c>
      <c r="W2717" s="82">
        <f>IFERROR(__xludf.DUMMYFUNCTION("""COMPUTED_VALUE"""),1.179870615223784)</f>
        <v>1.179870615</v>
      </c>
      <c r="X2717" s="82">
        <f>IFERROR(__xludf.DUMMYFUNCTION("""COMPUTED_VALUE"""),2.412238811897274)</f>
        <v>2.412238812</v>
      </c>
      <c r="Y2717" s="82">
        <f>IFERROR(__xludf.DUMMYFUNCTION("""COMPUTED_VALUE"""),339.5813694068843)</f>
        <v>339.5813694</v>
      </c>
      <c r="Z2717" s="82">
        <f>IFERROR(__xludf.DUMMYFUNCTION("""COMPUTED_VALUE"""),0.8227384673812526)</f>
        <v>0.8227384674</v>
      </c>
      <c r="AA2717" s="82">
        <f>IFERROR(__xludf.DUMMYFUNCTION("""COMPUTED_VALUE"""),0.5493651425423902)</f>
        <v>0.5493651425</v>
      </c>
      <c r="AB2717" s="82">
        <f>IFERROR(__xludf.DUMMYFUNCTION("""COMPUTED_VALUE"""),1.1942553588546976)</f>
        <v>1.194255359</v>
      </c>
      <c r="AC2717" s="82">
        <f>IFERROR(__xludf.DUMMYFUNCTION("""COMPUTED_VALUE"""),2.455604121274253)</f>
        <v>2.455604121</v>
      </c>
      <c r="AD2717" s="82">
        <f>IFERROR(__xludf.DUMMYFUNCTION("""COMPUTED_VALUE"""),1.0007866021686265)</f>
        <v>1.000786602</v>
      </c>
      <c r="AE2717" s="82">
        <f>IFERROR(__xludf.DUMMYFUNCTION("""COMPUTED_VALUE"""),0.9207977839994457)</f>
        <v>0.920797784</v>
      </c>
      <c r="AF2717" s="82">
        <f>IFERROR(__xludf.DUMMYFUNCTION("""COMPUTED_VALUE"""),1.379002231684733)</f>
        <v>1.379002232</v>
      </c>
      <c r="AG2717" s="82">
        <f>IFERROR(__xludf.DUMMYFUNCTION("""COMPUTED_VALUE"""),0.7612198700642516)</f>
        <v>0.7612198701</v>
      </c>
      <c r="AH2717" s="82">
        <f>IFERROR(__xludf.DUMMYFUNCTION("""COMPUTED_VALUE"""),1.0736110163374315)</f>
        <v>1.073611016</v>
      </c>
      <c r="AI2717" s="82">
        <f>IFERROR(__xludf.DUMMYFUNCTION("""COMPUTED_VALUE"""),0.9960261842136315)</f>
        <v>0.9960261842</v>
      </c>
      <c r="AJ2717" s="82">
        <f>IFERROR(__xludf.DUMMYFUNCTION("""COMPUTED_VALUE"""),0.8289410403897457)</f>
        <v>0.8289410404</v>
      </c>
      <c r="AK2717" s="82">
        <f>IFERROR(__xludf.DUMMYFUNCTION("""COMPUTED_VALUE"""),0.8279726080654083)</f>
        <v>0.8279726081</v>
      </c>
      <c r="AL2717" s="82">
        <f>IFERROR(__xludf.DUMMYFUNCTION("""COMPUTED_VALUE"""),1.2584841640173035)</f>
        <v>1.258484164</v>
      </c>
      <c r="AM2717" s="82">
        <f>IFERROR(__xludf.DUMMYFUNCTION("""COMPUTED_VALUE"""),0.8500423094064583)</f>
        <v>0.8500423094</v>
      </c>
      <c r="AN2717" s="82">
        <f>IFERROR(__xludf.DUMMYFUNCTION("""COMPUTED_VALUE"""),1.0569682000755616)</f>
        <v>1.0569682</v>
      </c>
      <c r="AO2717" s="82">
        <f>IFERROR(__xludf.DUMMYFUNCTION("""COMPUTED_VALUE"""),1.0322515401598507)</f>
        <v>1.03225154</v>
      </c>
      <c r="AP2717" s="82">
        <f>IFERROR(__xludf.DUMMYFUNCTION("""COMPUTED_VALUE"""),1.515411448919993)</f>
        <v>1.515411449</v>
      </c>
      <c r="AQ2717" s="82">
        <f>IFERROR(__xludf.DUMMYFUNCTION("""COMPUTED_VALUE"""),0.7808232060043974)</f>
        <v>0.780823206</v>
      </c>
      <c r="AR2717" s="82">
        <f>IFERROR(__xludf.DUMMYFUNCTION("""COMPUTED_VALUE"""),1.1391672597509173)</f>
        <v>1.13916726</v>
      </c>
      <c r="AS2717" s="82">
        <f>IFERROR(__xludf.DUMMYFUNCTION("""COMPUTED_VALUE"""),101.0)</f>
        <v>101</v>
      </c>
      <c r="AT2717" s="82">
        <f>IFERROR(__xludf.DUMMYFUNCTION("""COMPUTED_VALUE"""),0.668343387787575)</f>
        <v>0.6683433878</v>
      </c>
      <c r="AU2717" s="82">
        <f>IFERROR(__xludf.DUMMYFUNCTION("""COMPUTED_VALUE"""),2.748606329565533)</f>
        <v>2.74860633</v>
      </c>
      <c r="AV2717" s="82">
        <f>IFERROR(__xludf.DUMMYFUNCTION("""COMPUTED_VALUE"""),67.18603459568396)</f>
        <v>67.1860346</v>
      </c>
      <c r="AW2717" s="82">
        <f t="shared" si="1"/>
        <v>4.066655521</v>
      </c>
      <c r="AX2717" s="83">
        <f t="array" ref="AX2717">IFERROR(DGET('SBV Import'!A:G,"SBV",{"RSC ID","Tier";B2717,A2717}))</f>
        <v>56.10911481</v>
      </c>
      <c r="AY2717" s="82">
        <f t="shared" si="2"/>
        <v>2.478473031</v>
      </c>
      <c r="AZ2717" s="82">
        <v>1.5881824903369628</v>
      </c>
      <c r="BA2717" s="84">
        <v>2700.0</v>
      </c>
      <c r="BB2717" s="84" t="b">
        <f>IFERROR(__xludf.DUMMYFUNCTION("iferror(if(A2717="""",,E2717&gt;=FILTER(Constants!$F$2:$F$10,Constants!$A$2:$A$10=A2717)))"),TRUE)</f>
        <v>1</v>
      </c>
    </row>
    <row r="2718">
      <c r="A2718" s="89" t="str">
        <f>IFERROR(__xludf.DUMMYFUNCTION("""COMPUTED_VALUE"""),"Prospect")</f>
        <v>Prospect</v>
      </c>
      <c r="B2718" s="87" t="str">
        <f>IFERROR(__xludf.DUMMYFUNCTION("""COMPUTED_VALUE"""),"RSC007897")</f>
        <v>RSC007897</v>
      </c>
      <c r="C2718" s="73" t="str">
        <f>IFERROR(__xludf.DUMMYFUNCTION("""COMPUTED_VALUE"""),"Synnicall")</f>
        <v>Synnicall</v>
      </c>
      <c r="D2718" s="73" t="str">
        <f>IFERROR(__xludf.DUMMYFUNCTION("""COMPUTED_VALUE"""),"Poppy")</f>
        <v>Poppy</v>
      </c>
      <c r="E2718" s="82">
        <f>IFERROR(__xludf.DUMMYFUNCTION("""COMPUTED_VALUE"""),46.0)</f>
        <v>46</v>
      </c>
      <c r="F2718" s="82">
        <f>IFERROR(__xludf.DUMMYFUNCTION("""COMPUTED_VALUE"""),22.0)</f>
        <v>22</v>
      </c>
      <c r="G2718" s="86">
        <f>IFERROR(__xludf.DUMMYFUNCTION("""COMPUTED_VALUE"""),24.0)</f>
        <v>24</v>
      </c>
      <c r="H2718" s="86">
        <f>IFERROR(__xludf.DUMMYFUNCTION("""COMPUTED_VALUE"""),0.4782608695652174)</f>
        <v>0.4782608696</v>
      </c>
      <c r="I2718" s="86">
        <f>IFERROR(__xludf.DUMMYFUNCTION("""COMPUTED_VALUE"""),0.2835820895522388)</f>
        <v>0.2835820896</v>
      </c>
      <c r="J2718" s="82">
        <f>IFERROR(__xludf.DUMMYFUNCTION("""COMPUTED_VALUE"""),376.4130434782609)</f>
        <v>376.4130435</v>
      </c>
      <c r="K2718" s="82">
        <f>IFERROR(__xludf.DUMMYFUNCTION("""COMPUTED_VALUE"""),0.8260869565217391)</f>
        <v>0.8260869565</v>
      </c>
      <c r="L2718" s="82">
        <f>IFERROR(__xludf.DUMMYFUNCTION("""COMPUTED_VALUE"""),0.6086956521739131)</f>
        <v>0.6086956522</v>
      </c>
      <c r="M2718" s="82">
        <f>IFERROR(__xludf.DUMMYFUNCTION("""COMPUTED_VALUE"""),1.5217391304347827)</f>
        <v>1.52173913</v>
      </c>
      <c r="N2718" s="82">
        <f>IFERROR(__xludf.DUMMYFUNCTION("""COMPUTED_VALUE"""),2.9130434782608696)</f>
        <v>2.913043478</v>
      </c>
      <c r="O2718" s="82">
        <f>IFERROR(__xludf.DUMMYFUNCTION("""COMPUTED_VALUE"""),358.57971014492756)</f>
        <v>358.5797101</v>
      </c>
      <c r="P2718" s="82">
        <f>IFERROR(__xludf.DUMMYFUNCTION("""COMPUTED_VALUE"""),0.8260869565217392)</f>
        <v>0.8260869565</v>
      </c>
      <c r="Q2718" s="82">
        <f>IFERROR(__xludf.DUMMYFUNCTION("""COMPUTED_VALUE"""),0.6014492753623188)</f>
        <v>0.6014492754</v>
      </c>
      <c r="R2718" s="82">
        <f>IFERROR(__xludf.DUMMYFUNCTION("""COMPUTED_VALUE"""),1.2826086956521738)</f>
        <v>1.282608696</v>
      </c>
      <c r="S2718" s="82">
        <f>IFERROR(__xludf.DUMMYFUNCTION("""COMPUTED_VALUE"""),2.72463768115942)</f>
        <v>2.724637681</v>
      </c>
      <c r="T2718" s="82">
        <f>IFERROR(__xludf.DUMMYFUNCTION("""COMPUTED_VALUE"""),335.8247295306295)</f>
        <v>335.8247295</v>
      </c>
      <c r="U2718" s="82">
        <f>IFERROR(__xludf.DUMMYFUNCTION("""COMPUTED_VALUE"""),0.8013886177620195)</f>
        <v>0.8013886178</v>
      </c>
      <c r="V2718" s="82">
        <f>IFERROR(__xludf.DUMMYFUNCTION("""COMPUTED_VALUE"""),0.5272481736919991)</f>
        <v>0.5272481737</v>
      </c>
      <c r="W2718" s="82">
        <f>IFERROR(__xludf.DUMMYFUNCTION("""COMPUTED_VALUE"""),1.1697051807132077)</f>
        <v>1.169705181</v>
      </c>
      <c r="X2718" s="82">
        <f>IFERROR(__xludf.DUMMYFUNCTION("""COMPUTED_VALUE"""),2.495848152635015)</f>
        <v>2.495848153</v>
      </c>
      <c r="Y2718" s="82">
        <f>IFERROR(__xludf.DUMMYFUNCTION("""COMPUTED_VALUE"""),336.3325625045449)</f>
        <v>336.3325625</v>
      </c>
      <c r="Z2718" s="82">
        <f>IFERROR(__xludf.DUMMYFUNCTION("""COMPUTED_VALUE"""),0.8091977145724896)</f>
        <v>0.8091977146</v>
      </c>
      <c r="AA2718" s="82">
        <f>IFERROR(__xludf.DUMMYFUNCTION("""COMPUTED_VALUE"""),0.5277063532952119)</f>
        <v>0.5277063533</v>
      </c>
      <c r="AB2718" s="82">
        <f>IFERROR(__xludf.DUMMYFUNCTION("""COMPUTED_VALUE"""),1.1997974374313645)</f>
        <v>1.199797437</v>
      </c>
      <c r="AC2718" s="82">
        <f>IFERROR(__xludf.DUMMYFUNCTION("""COMPUTED_VALUE"""),2.4107624829638388)</f>
        <v>2.410762483</v>
      </c>
      <c r="AD2718" s="82">
        <f>IFERROR(__xludf.DUMMYFUNCTION("""COMPUTED_VALUE"""),1.1191691957366583)</f>
        <v>1.119169196</v>
      </c>
      <c r="AE2718" s="82">
        <f>IFERROR(__xludf.DUMMYFUNCTION("""COMPUTED_VALUE"""),1.0208715887910933)</f>
        <v>1.020871589</v>
      </c>
      <c r="AF2718" s="82">
        <f>IFERROR(__xludf.DUMMYFUNCTION("""COMPUTED_VALUE"""),1.1534741781541407)</f>
        <v>1.153474178</v>
      </c>
      <c r="AG2718" s="82">
        <f>IFERROR(__xludf.DUMMYFUNCTION("""COMPUTED_VALUE"""),1.2683300388544423)</f>
        <v>1.268330039</v>
      </c>
      <c r="AH2718" s="82">
        <f>IFERROR(__xludf.DUMMYFUNCTION("""COMPUTED_VALUE"""),1.2083494325328628)</f>
        <v>1.208349433</v>
      </c>
      <c r="AI2718" s="82">
        <f>IFERROR(__xludf.DUMMYFUNCTION("""COMPUTED_VALUE"""),1.0677585020200921)</f>
        <v>1.067758502</v>
      </c>
      <c r="AJ2718" s="82">
        <f>IFERROR(__xludf.DUMMYFUNCTION("""COMPUTED_VALUE"""),1.0308194279433278)</f>
        <v>1.030819428</v>
      </c>
      <c r="AK2718" s="82">
        <f>IFERROR(__xludf.DUMMYFUNCTION("""COMPUTED_VALUE"""),1.1407327808283043)</f>
        <v>1.140732781</v>
      </c>
      <c r="AL2718" s="82">
        <f>IFERROR(__xludf.DUMMYFUNCTION("""COMPUTED_VALUE"""),1.09652305281757)</f>
        <v>1.096523053</v>
      </c>
      <c r="AM2718" s="82">
        <f>IFERROR(__xludf.DUMMYFUNCTION("""COMPUTED_VALUE"""),1.091668048107357)</f>
        <v>1.091668048</v>
      </c>
      <c r="AN2718" s="82">
        <f>IFERROR(__xludf.DUMMYFUNCTION("""COMPUTED_VALUE"""),1.1706882178025848)</f>
        <v>1.170688218</v>
      </c>
      <c r="AO2718" s="82">
        <f>IFERROR(__xludf.DUMMYFUNCTION("""COMPUTED_VALUE"""),1.125602983791698)</f>
        <v>1.125602984</v>
      </c>
      <c r="AP2718" s="82">
        <f>IFERROR(__xludf.DUMMYFUNCTION("""COMPUTED_VALUE"""),1.217600155480064)</f>
        <v>1.217600155</v>
      </c>
      <c r="AQ2718" s="82">
        <f>IFERROR(__xludf.DUMMYFUNCTION("""COMPUTED_VALUE"""),1.3070301491812741)</f>
        <v>1.307030149</v>
      </c>
      <c r="AR2718" s="82">
        <f>IFERROR(__xludf.DUMMYFUNCTION("""COMPUTED_VALUE"""),1.2587200456318233)</f>
        <v>1.258720046</v>
      </c>
      <c r="AS2718" s="82">
        <f>IFERROR(__xludf.DUMMYFUNCTION("""COMPUTED_VALUE"""),117.0)</f>
        <v>117</v>
      </c>
      <c r="AT2718" s="82">
        <f>IFERROR(__xludf.DUMMYFUNCTION("""COMPUTED_VALUE"""),0.5103178018128008)</f>
        <v>0.5103178018</v>
      </c>
      <c r="AU2718" s="82">
        <f>IFERROR(__xludf.DUMMYFUNCTION("""COMPUTED_VALUE"""),2.6829449904645797)</f>
        <v>2.68294499</v>
      </c>
      <c r="AV2718" s="82">
        <f>IFERROR(__xludf.DUMMYFUNCTION("""COMPUTED_VALUE"""),65.40938633551139)</f>
        <v>65.40938634</v>
      </c>
      <c r="AW2718" s="82">
        <f t="shared" si="1"/>
        <v>3.719914608</v>
      </c>
      <c r="AX2718" s="83">
        <f t="array" ref="AX2718">IFERROR(DGET('SBV Import'!A:G,"SBV",{"RSC ID","Tier";B2718,A2718}))</f>
        <v>53.29586624</v>
      </c>
      <c r="AY2718" s="82">
        <f t="shared" si="2"/>
        <v>2.234349578</v>
      </c>
      <c r="AZ2718" s="82">
        <v>1.4855650302544525</v>
      </c>
      <c r="BA2718" s="84">
        <v>2700.0</v>
      </c>
      <c r="BB2718" s="84" t="b">
        <f>IFERROR(__xludf.DUMMYFUNCTION("iferror(if(A2718="""",,E2718&gt;=FILTER(Constants!$F$2:$F$10,Constants!$A$2:$A$10=A2718)))"),TRUE)</f>
        <v>1</v>
      </c>
    </row>
    <row r="2719">
      <c r="A2719" s="89" t="str">
        <f>IFERROR(__xludf.DUMMYFUNCTION("""COMPUTED_VALUE"""),"Prospect")</f>
        <v>Prospect</v>
      </c>
      <c r="B2719" s="87" t="str">
        <f>IFERROR(__xludf.DUMMYFUNCTION("""COMPUTED_VALUE"""),"RSC007866")</f>
        <v>RSC007866</v>
      </c>
      <c r="C2719" s="73" t="str">
        <f>IFERROR(__xludf.DUMMYFUNCTION("""COMPUTED_VALUE"""),"Swzyy GN")</f>
        <v>Swzyy GN</v>
      </c>
      <c r="D2719" s="73" t="str">
        <f>IFERROR(__xludf.DUMMYFUNCTION("""COMPUTED_VALUE"""),"Prism Proteges")</f>
        <v>Prism Proteges</v>
      </c>
      <c r="E2719" s="82">
        <f>IFERROR(__xludf.DUMMYFUNCTION("""COMPUTED_VALUE"""),20.0)</f>
        <v>20</v>
      </c>
      <c r="F2719" s="82">
        <f>IFERROR(__xludf.DUMMYFUNCTION("""COMPUTED_VALUE"""),9.0)</f>
        <v>9</v>
      </c>
      <c r="G2719" s="86">
        <f>IFERROR(__xludf.DUMMYFUNCTION("""COMPUTED_VALUE"""),11.0)</f>
        <v>11</v>
      </c>
      <c r="H2719" s="86">
        <f>IFERROR(__xludf.DUMMYFUNCTION("""COMPUTED_VALUE"""),0.45)</f>
        <v>0.45</v>
      </c>
      <c r="I2719" s="86">
        <f>IFERROR(__xludf.DUMMYFUNCTION("""COMPUTED_VALUE"""),0.3035714285714286)</f>
        <v>0.3035714286</v>
      </c>
      <c r="J2719" s="82">
        <f>IFERROR(__xludf.DUMMYFUNCTION("""COMPUTED_VALUE"""),346.6)</f>
        <v>346.6</v>
      </c>
      <c r="K2719" s="82">
        <f>IFERROR(__xludf.DUMMYFUNCTION("""COMPUTED_VALUE"""),0.85)</f>
        <v>0.85</v>
      </c>
      <c r="L2719" s="82">
        <f>IFERROR(__xludf.DUMMYFUNCTION("""COMPUTED_VALUE"""),0.5)</f>
        <v>0.5</v>
      </c>
      <c r="M2719" s="82">
        <f>IFERROR(__xludf.DUMMYFUNCTION("""COMPUTED_VALUE"""),1.25)</f>
        <v>1.25</v>
      </c>
      <c r="N2719" s="82">
        <f>IFERROR(__xludf.DUMMYFUNCTION("""COMPUTED_VALUE"""),2.8)</f>
        <v>2.8</v>
      </c>
      <c r="O2719" s="82">
        <f>IFERROR(__xludf.DUMMYFUNCTION("""COMPUTED_VALUE"""),323.7)</f>
        <v>323.7</v>
      </c>
      <c r="P2719" s="82">
        <f>IFERROR(__xludf.DUMMYFUNCTION("""COMPUTED_VALUE"""),0.7166666666666669)</f>
        <v>0.7166666667</v>
      </c>
      <c r="Q2719" s="82">
        <f>IFERROR(__xludf.DUMMYFUNCTION("""COMPUTED_VALUE"""),0.39999999999999997)</f>
        <v>0.4</v>
      </c>
      <c r="R2719" s="82">
        <f>IFERROR(__xludf.DUMMYFUNCTION("""COMPUTED_VALUE"""),1.3166666666666669)</f>
        <v>1.316666667</v>
      </c>
      <c r="S2719" s="82">
        <f>IFERROR(__xludf.DUMMYFUNCTION("""COMPUTED_VALUE"""),2.4166666666666665)</f>
        <v>2.416666667</v>
      </c>
      <c r="T2719" s="82">
        <f>IFERROR(__xludf.DUMMYFUNCTION("""COMPUTED_VALUE"""),336.2032702224395)</f>
        <v>336.2032702</v>
      </c>
      <c r="U2719" s="82">
        <f>IFERROR(__xludf.DUMMYFUNCTION("""COMPUTED_VALUE"""),0.7800551957957105)</f>
        <v>0.7800551958</v>
      </c>
      <c r="V2719" s="82">
        <f>IFERROR(__xludf.DUMMYFUNCTION("""COMPUTED_VALUE"""),0.4604202796034739)</f>
        <v>0.4604202796</v>
      </c>
      <c r="W2719" s="82">
        <f>IFERROR(__xludf.DUMMYFUNCTION("""COMPUTED_VALUE"""),1.2826090449129033)</f>
        <v>1.282609045</v>
      </c>
      <c r="X2719" s="82">
        <f>IFERROR(__xludf.DUMMYFUNCTION("""COMPUTED_VALUE"""),2.2682986286286306)</f>
        <v>2.268298629</v>
      </c>
      <c r="Y2719" s="82">
        <f>IFERROR(__xludf.DUMMYFUNCTION("""COMPUTED_VALUE"""),329.557404366914)</f>
        <v>329.5574044</v>
      </c>
      <c r="Z2719" s="82">
        <f>IFERROR(__xludf.DUMMYFUNCTION("""COMPUTED_VALUE"""),0.7893415591043317)</f>
        <v>0.7893415591</v>
      </c>
      <c r="AA2719" s="82">
        <f>IFERROR(__xludf.DUMMYFUNCTION("""COMPUTED_VALUE"""),0.516977764969642)</f>
        <v>0.516977765</v>
      </c>
      <c r="AB2719" s="82">
        <f>IFERROR(__xludf.DUMMYFUNCTION("""COMPUTED_VALUE"""),1.0942134748767995)</f>
        <v>1.094213475</v>
      </c>
      <c r="AC2719" s="82">
        <f>IFERROR(__xludf.DUMMYFUNCTION("""COMPUTED_VALUE"""),2.5926007987842126)</f>
        <v>2.592600799</v>
      </c>
      <c r="AD2719" s="82">
        <f>IFERROR(__xludf.DUMMYFUNCTION("""COMPUTED_VALUE"""),1.0517135873970884)</f>
        <v>1.051713587</v>
      </c>
      <c r="AE2719" s="82">
        <f>IFERROR(__xludf.DUMMYFUNCTION("""COMPUTED_VALUE"""),1.0768468861116316)</f>
        <v>1.076846886</v>
      </c>
      <c r="AF2719" s="82">
        <f>IFERROR(__xludf.DUMMYFUNCTION("""COMPUTED_VALUE"""),0.967159583796338)</f>
        <v>0.9671595838</v>
      </c>
      <c r="AG2719" s="82">
        <f>IFERROR(__xludf.DUMMYFUNCTION("""COMPUTED_VALUE"""),1.1423730640318983)</f>
        <v>1.142373064</v>
      </c>
      <c r="AH2719" s="82">
        <f>IFERROR(__xludf.DUMMYFUNCTION("""COMPUTED_VALUE"""),1.0799965815458539)</f>
        <v>1.079996582</v>
      </c>
      <c r="AI2719" s="82">
        <f>IFERROR(__xludf.DUMMYFUNCTION("""COMPUTED_VALUE"""),0.962810384877675)</f>
        <v>0.9628103849</v>
      </c>
      <c r="AJ2719" s="82">
        <f>IFERROR(__xludf.DUMMYFUNCTION("""COMPUTED_VALUE"""),0.9187384053453002)</f>
        <v>0.9187384053</v>
      </c>
      <c r="AK2719" s="82">
        <f>IFERROR(__xludf.DUMMYFUNCTION("""COMPUTED_VALUE"""),0.8687714632042066)</f>
        <v>0.8687714632</v>
      </c>
      <c r="AL2719" s="82">
        <f>IFERROR(__xludf.DUMMYFUNCTION("""COMPUTED_VALUE"""),1.026553392780788)</f>
        <v>1.026553393</v>
      </c>
      <c r="AM2719" s="82">
        <f>IFERROR(__xludf.DUMMYFUNCTION("""COMPUTED_VALUE"""),1.0654093937039217)</f>
        <v>1.065409394</v>
      </c>
      <c r="AN2719" s="82">
        <f>IFERROR(__xludf.DUMMYFUNCTION("""COMPUTED_VALUE"""),1.07796619516935)</f>
        <v>1.077966195</v>
      </c>
      <c r="AO2719" s="82">
        <f>IFERROR(__xludf.DUMMYFUNCTION("""COMPUTED_VALUE"""),1.1581862280593525)</f>
        <v>1.158186228</v>
      </c>
      <c r="AP2719" s="82">
        <f>IFERROR(__xludf.DUMMYFUNCTION("""COMPUTED_VALUE"""),1.0001715562871953)</f>
        <v>1.000171556</v>
      </c>
      <c r="AQ2719" s="82">
        <f>IFERROR(__xludf.DUMMYFUNCTION("""COMPUTED_VALUE"""),1.0736319082560464)</f>
        <v>1.073631908</v>
      </c>
      <c r="AR2719" s="82">
        <f>IFERROR(__xludf.DUMMYFUNCTION("""COMPUTED_VALUE"""),1.2098741931147674)</f>
        <v>1.209874193</v>
      </c>
      <c r="AS2719" s="82">
        <f>IFERROR(__xludf.DUMMYFUNCTION("""COMPUTED_VALUE"""),46.0)</f>
        <v>46</v>
      </c>
      <c r="AT2719" s="82">
        <f>IFERROR(__xludf.DUMMYFUNCTION("""COMPUTED_VALUE"""),0.5258557761181006)</f>
        <v>0.5258557761</v>
      </c>
      <c r="AU2719" s="82">
        <f>IFERROR(__xludf.DUMMYFUNCTION("""COMPUTED_VALUE"""),2.661501104496726)</f>
        <v>2.661501104</v>
      </c>
      <c r="AV2719" s="82">
        <f>IFERROR(__xludf.DUMMYFUNCTION("""COMPUTED_VALUE"""),64.82916297702107)</f>
        <v>64.82916298</v>
      </c>
      <c r="AW2719" s="82">
        <f t="shared" si="1"/>
        <v>3.616180635</v>
      </c>
      <c r="AX2719" s="83">
        <f t="array" ref="AX2719">IFERROR(DGET('SBV Import'!A:G,"SBV",{"RSC ID","Tier";B2719,A2719}))</f>
        <v>53.77489562</v>
      </c>
      <c r="AY2719" s="82">
        <f t="shared" si="2"/>
        <v>2.272781485</v>
      </c>
      <c r="AZ2719" s="82">
        <v>1.3433991501725062</v>
      </c>
      <c r="BA2719" s="84">
        <v>2700.0</v>
      </c>
      <c r="BB2719" s="84" t="b">
        <f>IFERROR(__xludf.DUMMYFUNCTION("iferror(if(A2719="""",,E2719&gt;=FILTER(Constants!$F$2:$F$10,Constants!$A$2:$A$10=A2719)))"),TRUE)</f>
        <v>1</v>
      </c>
    </row>
    <row r="2720">
      <c r="A2720" s="89" t="str">
        <f>IFERROR(__xludf.DUMMYFUNCTION("""COMPUTED_VALUE"""),"Prospect")</f>
        <v>Prospect</v>
      </c>
      <c r="B2720" s="87" t="str">
        <f>IFERROR(__xludf.DUMMYFUNCTION("""COMPUTED_VALUE"""),"RSC007442")</f>
        <v>RSC007442</v>
      </c>
      <c r="C2720" s="73" t="str">
        <f>IFERROR(__xludf.DUMMYFUNCTION("""COMPUTED_VALUE"""),"willbong")</f>
        <v>willbong</v>
      </c>
      <c r="D2720" s="73" t="str">
        <f>IFERROR(__xludf.DUMMYFUNCTION("""COMPUTED_VALUE"""),"Mop Tops")</f>
        <v>Mop Tops</v>
      </c>
      <c r="E2720" s="82">
        <f>IFERROR(__xludf.DUMMYFUNCTION("""COMPUTED_VALUE"""),40.0)</f>
        <v>40</v>
      </c>
      <c r="F2720" s="82">
        <f>IFERROR(__xludf.DUMMYFUNCTION("""COMPUTED_VALUE"""),20.0)</f>
        <v>20</v>
      </c>
      <c r="G2720" s="86">
        <f>IFERROR(__xludf.DUMMYFUNCTION("""COMPUTED_VALUE"""),20.0)</f>
        <v>20</v>
      </c>
      <c r="H2720" s="86">
        <f>IFERROR(__xludf.DUMMYFUNCTION("""COMPUTED_VALUE"""),0.5)</f>
        <v>0.5</v>
      </c>
      <c r="I2720" s="86">
        <f>IFERROR(__xludf.DUMMYFUNCTION("""COMPUTED_VALUE"""),0.3298969072164949)</f>
        <v>0.3298969072</v>
      </c>
      <c r="J2720" s="82">
        <f>IFERROR(__xludf.DUMMYFUNCTION("""COMPUTED_VALUE"""),332.975)</f>
        <v>332.975</v>
      </c>
      <c r="K2720" s="82">
        <f>IFERROR(__xludf.DUMMYFUNCTION("""COMPUTED_VALUE"""),0.8)</f>
        <v>0.8</v>
      </c>
      <c r="L2720" s="82">
        <f>IFERROR(__xludf.DUMMYFUNCTION("""COMPUTED_VALUE"""),0.725)</f>
        <v>0.725</v>
      </c>
      <c r="M2720" s="82">
        <f>IFERROR(__xludf.DUMMYFUNCTION("""COMPUTED_VALUE"""),1.1)</f>
        <v>1.1</v>
      </c>
      <c r="N2720" s="82">
        <f>IFERROR(__xludf.DUMMYFUNCTION("""COMPUTED_VALUE"""),2.425)</f>
        <v>2.425</v>
      </c>
      <c r="O2720" s="82">
        <f>IFERROR(__xludf.DUMMYFUNCTION("""COMPUTED_VALUE"""),338.1916666666667)</f>
        <v>338.1916667</v>
      </c>
      <c r="P2720" s="82">
        <f>IFERROR(__xludf.DUMMYFUNCTION("""COMPUTED_VALUE"""),0.7416666666666666)</f>
        <v>0.7416666667</v>
      </c>
      <c r="Q2720" s="82">
        <f>IFERROR(__xludf.DUMMYFUNCTION("""COMPUTED_VALUE"""),0.5249999999999998)</f>
        <v>0.525</v>
      </c>
      <c r="R2720" s="82">
        <f>IFERROR(__xludf.DUMMYFUNCTION("""COMPUTED_VALUE"""),1.2666666666666668)</f>
        <v>1.266666667</v>
      </c>
      <c r="S2720" s="82">
        <f>IFERROR(__xludf.DUMMYFUNCTION("""COMPUTED_VALUE"""),2.2583333333333337)</f>
        <v>2.258333333</v>
      </c>
      <c r="T2720" s="82">
        <f>IFERROR(__xludf.DUMMYFUNCTION("""COMPUTED_VALUE"""),334.924339854763)</f>
        <v>334.9243399</v>
      </c>
      <c r="U2720" s="82">
        <f>IFERROR(__xludf.DUMMYFUNCTION("""COMPUTED_VALUE"""),0.8084778661420182)</f>
        <v>0.8084778661</v>
      </c>
      <c r="V2720" s="82">
        <f>IFERROR(__xludf.DUMMYFUNCTION("""COMPUTED_VALUE"""),0.5279982328854329)</f>
        <v>0.5279982329</v>
      </c>
      <c r="W2720" s="82">
        <f>IFERROR(__xludf.DUMMYFUNCTION("""COMPUTED_VALUE"""),1.1545464900627969)</f>
        <v>1.15454649</v>
      </c>
      <c r="X2720" s="82">
        <f>IFERROR(__xludf.DUMMYFUNCTION("""COMPUTED_VALUE"""),2.4653171997130063)</f>
        <v>2.4653172</v>
      </c>
      <c r="Y2720" s="82">
        <f>IFERROR(__xludf.DUMMYFUNCTION("""COMPUTED_VALUE"""),336.0739473420672)</f>
        <v>336.0739473</v>
      </c>
      <c r="Z2720" s="82">
        <f>IFERROR(__xludf.DUMMYFUNCTION("""COMPUTED_VALUE"""),0.7923161766743363)</f>
        <v>0.7923161767</v>
      </c>
      <c r="AA2720" s="82">
        <f>IFERROR(__xludf.DUMMYFUNCTION("""COMPUTED_VALUE"""),0.5341977456900276)</f>
        <v>0.5341977457</v>
      </c>
      <c r="AB2720" s="82">
        <f>IFERROR(__xludf.DUMMYFUNCTION("""COMPUTED_VALUE"""),1.2065243054609391)</f>
        <v>1.206524305</v>
      </c>
      <c r="AC2720" s="82">
        <f>IFERROR(__xludf.DUMMYFUNCTION("""COMPUTED_VALUE"""),2.407770218720138)</f>
        <v>2.407770219</v>
      </c>
      <c r="AD2720" s="82">
        <f>IFERROR(__xludf.DUMMYFUNCTION("""COMPUTED_VALUE"""),0.9907789718108886)</f>
        <v>0.9907789718</v>
      </c>
      <c r="AE2720" s="82">
        <f>IFERROR(__xludf.DUMMYFUNCTION("""COMPUTED_VALUE"""),1.0096979255906597)</f>
        <v>1.009697926</v>
      </c>
      <c r="AF2720" s="82">
        <f>IFERROR(__xludf.DUMMYFUNCTION("""COMPUTED_VALUE"""),1.3571753266452136)</f>
        <v>1.357175327</v>
      </c>
      <c r="AG2720" s="82">
        <f>IFERROR(__xludf.DUMMYFUNCTION("""COMPUTED_VALUE"""),0.9117097724606198)</f>
        <v>0.9117097725</v>
      </c>
      <c r="AH2720" s="82">
        <f>IFERROR(__xludf.DUMMYFUNCTION("""COMPUTED_VALUE"""),1.0071559076301808)</f>
        <v>1.007155908</v>
      </c>
      <c r="AI2720" s="82">
        <f>IFERROR(__xludf.DUMMYFUNCTION("""COMPUTED_VALUE"""),1.0097554176364745)</f>
        <v>1.009755418</v>
      </c>
      <c r="AJ2720" s="82">
        <f>IFERROR(__xludf.DUMMYFUNCTION("""COMPUTED_VALUE"""),0.9173617457282183)</f>
        <v>0.9173617457</v>
      </c>
      <c r="AK2720" s="82">
        <f>IFERROR(__xludf.DUMMYFUNCTION("""COMPUTED_VALUE"""),0.9943215096212572)</f>
        <v>0.9943215096</v>
      </c>
      <c r="AL2720" s="82">
        <f>IFERROR(__xludf.DUMMYFUNCTION("""COMPUTED_VALUE"""),1.0971118768874968)</f>
        <v>1.097111877</v>
      </c>
      <c r="AM2720" s="82">
        <f>IFERROR(__xludf.DUMMYFUNCTION("""COMPUTED_VALUE"""),0.9160416897250512)</f>
        <v>0.9160416897</v>
      </c>
      <c r="AN2720" s="82">
        <f>IFERROR(__xludf.DUMMYFUNCTION("""COMPUTED_VALUE"""),1.0355908650793835)</f>
        <v>1.035590865</v>
      </c>
      <c r="AO2720" s="82">
        <f>IFERROR(__xludf.DUMMYFUNCTION("""COMPUTED_VALUE"""),1.0900576264088024)</f>
        <v>1.090057626</v>
      </c>
      <c r="AP2720" s="82">
        <f>IFERROR(__xludf.DUMMYFUNCTION("""COMPUTED_VALUE"""),1.4502487566164333)</f>
        <v>1.450248757</v>
      </c>
      <c r="AQ2720" s="82">
        <f>IFERROR(__xludf.DUMMYFUNCTION("""COMPUTED_VALUE"""),0.9447960792653209)</f>
        <v>0.9447960793</v>
      </c>
      <c r="AR2720" s="82">
        <f>IFERROR(__xludf.DUMMYFUNCTION("""COMPUTED_VALUE"""),1.047837470822611)</f>
        <v>1.047837471</v>
      </c>
      <c r="AS2720" s="82">
        <f>IFERROR(__xludf.DUMMYFUNCTION("""COMPUTED_VALUE"""),99.0)</f>
        <v>99</v>
      </c>
      <c r="AT2720" s="82">
        <f>IFERROR(__xludf.DUMMYFUNCTION("""COMPUTED_VALUE"""),0.5414112503230509)</f>
        <v>0.5414112503</v>
      </c>
      <c r="AU2720" s="82">
        <f>IFERROR(__xludf.DUMMYFUNCTION("""COMPUTED_VALUE"""),2.59984663905738)</f>
        <v>2.599846639</v>
      </c>
      <c r="AV2720" s="82">
        <f>IFERROR(__xludf.DUMMYFUNCTION("""COMPUTED_VALUE"""),63.16093171255858)</f>
        <v>63.16093171</v>
      </c>
      <c r="AW2720" s="82">
        <f t="shared" si="1"/>
        <v>3.341216225</v>
      </c>
      <c r="AX2720" s="83">
        <f t="array" ref="AX2720">IFERROR(DGET('SBV Import'!A:G,"SBV",{"RSC ID","Tier";B2720,A2720}))</f>
        <v>59.38021879</v>
      </c>
      <c r="AY2720" s="82">
        <f t="shared" si="2"/>
        <v>2.826834258</v>
      </c>
      <c r="AZ2720" s="82">
        <v>0.5143819664419458</v>
      </c>
      <c r="BA2720" s="84">
        <v>2700.0</v>
      </c>
      <c r="BB2720" s="84" t="b">
        <f>IFERROR(__xludf.DUMMYFUNCTION("iferror(if(A2720="""",,E2720&gt;=FILTER(Constants!$F$2:$F$10,Constants!$A$2:$A$10=A2720)))"),TRUE)</f>
        <v>1</v>
      </c>
    </row>
    <row r="2721">
      <c r="A2721" s="89" t="str">
        <f>IFERROR(__xludf.DUMMYFUNCTION("""COMPUTED_VALUE"""),"Prospect")</f>
        <v>Prospect</v>
      </c>
      <c r="B2721" s="87" t="str">
        <f>IFERROR(__xludf.DUMMYFUNCTION("""COMPUTED_VALUE"""),"RSC007189")</f>
        <v>RSC007189</v>
      </c>
      <c r="C2721" s="73" t="str">
        <f>IFERROR(__xludf.DUMMYFUNCTION("""COMPUTED_VALUE"""),"RU_Fluffy")</f>
        <v>RU_Fluffy</v>
      </c>
      <c r="D2721" s="73"/>
      <c r="E2721" s="82">
        <f>IFERROR(__xludf.DUMMYFUNCTION("""COMPUTED_VALUE"""),1.0)</f>
        <v>1</v>
      </c>
      <c r="F2721" s="82">
        <f>IFERROR(__xludf.DUMMYFUNCTION("""COMPUTED_VALUE"""),1.0)</f>
        <v>1</v>
      </c>
      <c r="G2721" s="86">
        <f>IFERROR(__xludf.DUMMYFUNCTION("""COMPUTED_VALUE"""),0.0)</f>
        <v>0</v>
      </c>
      <c r="H2721" s="86">
        <f>IFERROR(__xludf.DUMMYFUNCTION("""COMPUTED_VALUE"""),1.0)</f>
        <v>1</v>
      </c>
      <c r="I2721" s="86">
        <f>IFERROR(__xludf.DUMMYFUNCTION("""COMPUTED_VALUE"""),0.3333333333333333)</f>
        <v>0.3333333333</v>
      </c>
      <c r="J2721" s="82">
        <f>IFERROR(__xludf.DUMMYFUNCTION("""COMPUTED_VALUE"""),225.0)</f>
        <v>225</v>
      </c>
      <c r="K2721" s="82">
        <f>IFERROR(__xludf.DUMMYFUNCTION("""COMPUTED_VALUE"""),1.0)</f>
        <v>1</v>
      </c>
      <c r="L2721" s="82">
        <f>IFERROR(__xludf.DUMMYFUNCTION("""COMPUTED_VALUE"""),0.0)</f>
        <v>0</v>
      </c>
      <c r="M2721" s="82">
        <f>IFERROR(__xludf.DUMMYFUNCTION("""COMPUTED_VALUE"""),0.0)</f>
        <v>0</v>
      </c>
      <c r="N2721" s="82">
        <f>IFERROR(__xludf.DUMMYFUNCTION("""COMPUTED_VALUE"""),3.0)</f>
        <v>3</v>
      </c>
      <c r="O2721" s="82">
        <f>IFERROR(__xludf.DUMMYFUNCTION("""COMPUTED_VALUE"""),186.66666666666666)</f>
        <v>186.6666667</v>
      </c>
      <c r="P2721" s="82">
        <f>IFERROR(__xludf.DUMMYFUNCTION("""COMPUTED_VALUE"""),0.3333333333333333)</f>
        <v>0.3333333333</v>
      </c>
      <c r="Q2721" s="82">
        <f>IFERROR(__xludf.DUMMYFUNCTION("""COMPUTED_VALUE"""),0.0)</f>
        <v>0</v>
      </c>
      <c r="R2721" s="82">
        <f>IFERROR(__xludf.DUMMYFUNCTION("""COMPUTED_VALUE"""),0.3333333333333333)</f>
        <v>0.3333333333</v>
      </c>
      <c r="S2721" s="82">
        <f>IFERROR(__xludf.DUMMYFUNCTION("""COMPUTED_VALUE"""),2.0)</f>
        <v>2</v>
      </c>
      <c r="T2721" s="82">
        <f>IFERROR(__xludf.DUMMYFUNCTION("""COMPUTED_VALUE"""),278.9557926829268)</f>
        <v>278.9557927</v>
      </c>
      <c r="U2721" s="82">
        <f>IFERROR(__xludf.DUMMYFUNCTION("""COMPUTED_VALUE"""),0.5724085365853658)</f>
        <v>0.5724085366</v>
      </c>
      <c r="V2721" s="82">
        <f>IFERROR(__xludf.DUMMYFUNCTION("""COMPUTED_VALUE"""),0.3742378048780488)</f>
        <v>0.3742378049</v>
      </c>
      <c r="W2721" s="82">
        <f>IFERROR(__xludf.DUMMYFUNCTION("""COMPUTED_VALUE"""),1.0683434959349594)</f>
        <v>1.068343496</v>
      </c>
      <c r="X2721" s="82">
        <f>IFERROR(__xludf.DUMMYFUNCTION("""COMPUTED_VALUE"""),1.9408028455284552)</f>
        <v>1.940802846</v>
      </c>
      <c r="Y2721" s="82">
        <f>IFERROR(__xludf.DUMMYFUNCTION("""COMPUTED_VALUE"""),355.21417682926835)</f>
        <v>355.2141768</v>
      </c>
      <c r="Z2721" s="82">
        <f>IFERROR(__xludf.DUMMYFUNCTION("""COMPUTED_VALUE"""),0.9841632791327912)</f>
        <v>0.9841632791</v>
      </c>
      <c r="AA2721" s="82">
        <f>IFERROR(__xludf.DUMMYFUNCTION("""COMPUTED_VALUE"""),0.6431233062330625)</f>
        <v>0.6431233062</v>
      </c>
      <c r="AB2721" s="82">
        <f>IFERROR(__xludf.DUMMYFUNCTION("""COMPUTED_VALUE"""),1.027777777777778)</f>
        <v>1.027777778</v>
      </c>
      <c r="AC2721" s="82">
        <f>IFERROR(__xludf.DUMMYFUNCTION("""COMPUTED_VALUE"""),2.6909722222222228)</f>
        <v>2.690972222</v>
      </c>
      <c r="AD2721" s="82">
        <f>IFERROR(__xludf.DUMMYFUNCTION("""COMPUTED_VALUE"""),0.6334206647054658)</f>
        <v>0.6334206647</v>
      </c>
      <c r="AE2721" s="82">
        <f>IFERROR(__xludf.DUMMYFUNCTION("""COMPUTED_VALUE"""),1.016091558385681)</f>
        <v>1.016091558</v>
      </c>
      <c r="AF2721" s="82">
        <f>IFERROR(__xludf.DUMMYFUNCTION("""COMPUTED_VALUE"""),0.0)</f>
        <v>0</v>
      </c>
      <c r="AG2721" s="82">
        <f>IFERROR(__xludf.DUMMYFUNCTION("""COMPUTED_VALUE"""),0.0)</f>
        <v>0</v>
      </c>
      <c r="AH2721" s="82">
        <f>IFERROR(__xludf.DUMMYFUNCTION("""COMPUTED_VALUE"""),1.114838709677419)</f>
        <v>1.11483871</v>
      </c>
      <c r="AI2721" s="82">
        <f>IFERROR(__xludf.DUMMYFUNCTION("""COMPUTED_VALUE"""),0.6691621811160596)</f>
        <v>0.6691621811</v>
      </c>
      <c r="AJ2721" s="82">
        <f>IFERROR(__xludf.DUMMYFUNCTION("""COMPUTED_VALUE"""),0.5823346648912561)</f>
        <v>0.5823346649</v>
      </c>
      <c r="AK2721" s="82">
        <f>IFERROR(__xludf.DUMMYFUNCTION("""COMPUTED_VALUE"""),0.0)</f>
        <v>0</v>
      </c>
      <c r="AL2721" s="82">
        <f>IFERROR(__xludf.DUMMYFUNCTION("""COMPUTED_VALUE"""),0.3120095124851367)</f>
        <v>0.3120095125</v>
      </c>
      <c r="AM2721" s="82">
        <f>IFERROR(__xludf.DUMMYFUNCTION("""COMPUTED_VALUE"""),1.0305013745254614)</f>
        <v>1.030501375</v>
      </c>
      <c r="AN2721" s="82">
        <f>IFERROR(__xludf.DUMMYFUNCTION("""COMPUTED_VALUE"""),0.6997760932288047)</f>
        <v>0.6997760932</v>
      </c>
      <c r="AO2721" s="82">
        <f>IFERROR(__xludf.DUMMYFUNCTION("""COMPUTED_VALUE"""),1.362572033011003)</f>
        <v>1.362572033</v>
      </c>
      <c r="AP2721" s="82">
        <f>IFERROR(__xludf.DUMMYFUNCTION("""COMPUTED_VALUE"""),0.0)</f>
        <v>0</v>
      </c>
      <c r="AQ2721" s="82">
        <f>IFERROR(__xludf.DUMMYFUNCTION("""COMPUTED_VALUE"""),0.0)</f>
        <v>0</v>
      </c>
      <c r="AR2721" s="82">
        <f>IFERROR(__xludf.DUMMYFUNCTION("""COMPUTED_VALUE"""),1.2962937783372508)</f>
        <v>1.296293778</v>
      </c>
      <c r="AS2721" s="82">
        <f>IFERROR(__xludf.DUMMYFUNCTION("""COMPUTED_VALUE"""),2.0)</f>
        <v>2</v>
      </c>
      <c r="AT2721" s="82">
        <f>IFERROR(__xludf.DUMMYFUNCTION("""COMPUTED_VALUE"""),0.7211308639456647)</f>
        <v>0.7211308639</v>
      </c>
      <c r="AU2721" s="82">
        <f>IFERROR(__xludf.DUMMYFUNCTION("""COMPUTED_VALUE"""),2.577994089537443)</f>
        <v>2.57799409</v>
      </c>
      <c r="AV2721" s="82">
        <f>IFERROR(__xludf.DUMMYFUNCTION("""COMPUTED_VALUE"""),62.569650836832935)</f>
        <v>62.56965084</v>
      </c>
      <c r="AW2721" s="82">
        <f t="shared" si="1"/>
        <v>3.251426041</v>
      </c>
      <c r="AX2721" s="83">
        <f t="array" ref="AX2721">IFERROR(DGET('SBV Import'!A:G,"SBV",{"RSC ID","Tier";B2721,A2721}))</f>
        <v>24.54262389</v>
      </c>
      <c r="AY2721" s="82">
        <f t="shared" si="2"/>
        <v>-6.482188704</v>
      </c>
      <c r="AZ2721" s="82">
        <v>9.733614745169046</v>
      </c>
      <c r="BA2721" s="84">
        <v>2700.0</v>
      </c>
      <c r="BB2721" s="84" t="b">
        <f>IFERROR(__xludf.DUMMYFUNCTION("iferror(if(A2721="""",,E2721&gt;=FILTER(Constants!$F$2:$F$10,Constants!$A$2:$A$10=A2721)))"),TRUE)</f>
        <v>1</v>
      </c>
    </row>
    <row r="2722">
      <c r="A2722" s="89" t="str">
        <f>IFERROR(__xludf.DUMMYFUNCTION("""COMPUTED_VALUE"""),"Prospect")</f>
        <v>Prospect</v>
      </c>
      <c r="B2722" s="87" t="str">
        <f>IFERROR(__xludf.DUMMYFUNCTION("""COMPUTED_VALUE"""),"RSC007431")</f>
        <v>RSC007431</v>
      </c>
      <c r="C2722" s="73" t="str">
        <f>IFERROR(__xludf.DUMMYFUNCTION("""COMPUTED_VALUE"""),"xPotatodactylx")</f>
        <v>xPotatodactylx</v>
      </c>
      <c r="D2722" s="73" t="str">
        <f>IFERROR(__xludf.DUMMYFUNCTION("""COMPUTED_VALUE"""),"Hawaiian Pizza")</f>
        <v>Hawaiian Pizza</v>
      </c>
      <c r="E2722" s="82">
        <f>IFERROR(__xludf.DUMMYFUNCTION("""COMPUTED_VALUE"""),43.0)</f>
        <v>43</v>
      </c>
      <c r="F2722" s="82">
        <f>IFERROR(__xludf.DUMMYFUNCTION("""COMPUTED_VALUE"""),27.0)</f>
        <v>27</v>
      </c>
      <c r="G2722" s="86">
        <f>IFERROR(__xludf.DUMMYFUNCTION("""COMPUTED_VALUE"""),16.0)</f>
        <v>16</v>
      </c>
      <c r="H2722" s="86">
        <f>IFERROR(__xludf.DUMMYFUNCTION("""COMPUTED_VALUE"""),0.627906976744186)</f>
        <v>0.6279069767</v>
      </c>
      <c r="I2722" s="86">
        <f>IFERROR(__xludf.DUMMYFUNCTION("""COMPUTED_VALUE"""),0.3047619047619048)</f>
        <v>0.3047619048</v>
      </c>
      <c r="J2722" s="82">
        <f>IFERROR(__xludf.DUMMYFUNCTION("""COMPUTED_VALUE"""),321.7906976744186)</f>
        <v>321.7906977</v>
      </c>
      <c r="K2722" s="82">
        <f>IFERROR(__xludf.DUMMYFUNCTION("""COMPUTED_VALUE"""),0.7441860465116279)</f>
        <v>0.7441860465</v>
      </c>
      <c r="L2722" s="82">
        <f>IFERROR(__xludf.DUMMYFUNCTION("""COMPUTED_VALUE"""),0.6976744186046512)</f>
        <v>0.6976744186</v>
      </c>
      <c r="M2722" s="82">
        <f>IFERROR(__xludf.DUMMYFUNCTION("""COMPUTED_VALUE"""),1.1162790697674418)</f>
        <v>1.11627907</v>
      </c>
      <c r="N2722" s="82">
        <f>IFERROR(__xludf.DUMMYFUNCTION("""COMPUTED_VALUE"""),2.441860465116279)</f>
        <v>2.441860465</v>
      </c>
      <c r="O2722" s="82">
        <f>IFERROR(__xludf.DUMMYFUNCTION("""COMPUTED_VALUE"""),304.21705426356596)</f>
        <v>304.2170543</v>
      </c>
      <c r="P2722" s="82">
        <f>IFERROR(__xludf.DUMMYFUNCTION("""COMPUTED_VALUE"""),0.6046511627906976)</f>
        <v>0.6046511628</v>
      </c>
      <c r="Q2722" s="82">
        <f>IFERROR(__xludf.DUMMYFUNCTION("""COMPUTED_VALUE"""),0.43410852713178305)</f>
        <v>0.4341085271</v>
      </c>
      <c r="R2722" s="82">
        <f>IFERROR(__xludf.DUMMYFUNCTION("""COMPUTED_VALUE"""),1.1395348837209305)</f>
        <v>1.139534884</v>
      </c>
      <c r="S2722" s="82">
        <f>IFERROR(__xludf.DUMMYFUNCTION("""COMPUTED_VALUE"""),2.147286821705426)</f>
        <v>2.147286822</v>
      </c>
      <c r="T2722" s="82">
        <f>IFERROR(__xludf.DUMMYFUNCTION("""COMPUTED_VALUE"""),328.8666627379299)</f>
        <v>328.8666627</v>
      </c>
      <c r="U2722" s="82">
        <f>IFERROR(__xludf.DUMMYFUNCTION("""COMPUTED_VALUE"""),0.7537623598468741)</f>
        <v>0.7537623598</v>
      </c>
      <c r="V2722" s="82">
        <f>IFERROR(__xludf.DUMMYFUNCTION("""COMPUTED_VALUE"""),0.5112139253607374)</f>
        <v>0.5112139254</v>
      </c>
      <c r="W2722" s="82">
        <f>IFERROR(__xludf.DUMMYFUNCTION("""COMPUTED_VALUE"""),1.1790957308966996)</f>
        <v>1.179095731</v>
      </c>
      <c r="X2722" s="82">
        <f>IFERROR(__xludf.DUMMYFUNCTION("""COMPUTED_VALUE"""),2.344764559432218)</f>
        <v>2.344764559</v>
      </c>
      <c r="Y2722" s="82">
        <f>IFERROR(__xludf.DUMMYFUNCTION("""COMPUTED_VALUE"""),336.038839723794)</f>
        <v>336.0388397</v>
      </c>
      <c r="Z2722" s="82">
        <f>IFERROR(__xludf.DUMMYFUNCTION("""COMPUTED_VALUE"""),0.8350458739373444)</f>
        <v>0.8350458739</v>
      </c>
      <c r="AA2722" s="82">
        <f>IFERROR(__xludf.DUMMYFUNCTION("""COMPUTED_VALUE"""),0.5475770040359874)</f>
        <v>0.547577004</v>
      </c>
      <c r="AB2722" s="82">
        <f>IFERROR(__xludf.DUMMYFUNCTION("""COMPUTED_VALUE"""),1.1600760067833236)</f>
        <v>1.160076007</v>
      </c>
      <c r="AC2722" s="82">
        <f>IFERROR(__xludf.DUMMYFUNCTION("""COMPUTED_VALUE"""),2.463214903615253)</f>
        <v>2.463214904</v>
      </c>
      <c r="AD2722" s="82">
        <f>IFERROR(__xludf.DUMMYFUNCTION("""COMPUTED_VALUE"""),0.957599716565244)</f>
        <v>0.9575997166</v>
      </c>
      <c r="AE2722" s="82">
        <f>IFERROR(__xludf.DUMMYFUNCTION("""COMPUTED_VALUE"""),0.8911918132146427)</f>
        <v>0.8911918132</v>
      </c>
      <c r="AF2722" s="82">
        <f>IFERROR(__xludf.DUMMYFUNCTION("""COMPUTED_VALUE"""),1.2741119759638393)</f>
        <v>1.274111976</v>
      </c>
      <c r="AG2722" s="82">
        <f>IFERROR(__xludf.DUMMYFUNCTION("""COMPUTED_VALUE"""),0.9622464935402616)</f>
        <v>0.9622464935</v>
      </c>
      <c r="AH2722" s="82">
        <f>IFERROR(__xludf.DUMMYFUNCTION("""COMPUTED_VALUE"""),0.9913306636511364)</f>
        <v>0.9913306637</v>
      </c>
      <c r="AI2722" s="82">
        <f>IFERROR(__xludf.DUMMYFUNCTION("""COMPUTED_VALUE"""),0.9250468008245428)</f>
        <v>0.9250468008</v>
      </c>
      <c r="AJ2722" s="82">
        <f>IFERROR(__xludf.DUMMYFUNCTION("""COMPUTED_VALUE"""),0.8021774434498583)</f>
        <v>0.8021774434</v>
      </c>
      <c r="AK2722" s="82">
        <f>IFERROR(__xludf.DUMMYFUNCTION("""COMPUTED_VALUE"""),0.8491719524765585)</f>
        <v>0.8491719525</v>
      </c>
      <c r="AL2722" s="82">
        <f>IFERROR(__xludf.DUMMYFUNCTION("""COMPUTED_VALUE"""),0.9664481465421954)</f>
        <v>0.9664481465</v>
      </c>
      <c r="AM2722" s="82">
        <f>IFERROR(__xludf.DUMMYFUNCTION("""COMPUTED_VALUE"""),0.9157792892542649)</f>
        <v>0.9157792893</v>
      </c>
      <c r="AN2722" s="82">
        <f>IFERROR(__xludf.DUMMYFUNCTION("""COMPUTED_VALUE"""),1.000806387804338)</f>
        <v>1.000806388</v>
      </c>
      <c r="AO2722" s="82">
        <f>IFERROR(__xludf.DUMMYFUNCTION("""COMPUTED_VALUE"""),1.0140070943337696)</f>
        <v>1.014007094</v>
      </c>
      <c r="AP2722" s="82">
        <f>IFERROR(__xludf.DUMMYFUNCTION("""COMPUTED_VALUE"""),1.3955882180751564)</f>
        <v>1.395588218</v>
      </c>
      <c r="AQ2722" s="82">
        <f>IFERROR(__xludf.DUMMYFUNCTION("""COMPUTED_VALUE"""),0.9587782622565624)</f>
        <v>0.9587782623</v>
      </c>
      <c r="AR2722" s="82">
        <f>IFERROR(__xludf.DUMMYFUNCTION("""COMPUTED_VALUE"""),1.055122842832646)</f>
        <v>1.055122843</v>
      </c>
      <c r="AS2722" s="82">
        <f>IFERROR(__xludf.DUMMYFUNCTION("""COMPUTED_VALUE"""),112.0)</f>
        <v>112</v>
      </c>
      <c r="AT2722" s="82">
        <f>IFERROR(__xludf.DUMMYFUNCTION("""COMPUTED_VALUE"""),0.6351056071507227)</f>
        <v>0.6351056072</v>
      </c>
      <c r="AU2722" s="82">
        <f>IFERROR(__xludf.DUMMYFUNCTION("""COMPUTED_VALUE"""),2.5410152104130037)</f>
        <v>2.54101521</v>
      </c>
      <c r="AV2722" s="82">
        <f>IFERROR(__xludf.DUMMYFUNCTION("""COMPUTED_VALUE"""),61.56908547890509)</f>
        <v>61.56908548</v>
      </c>
      <c r="AW2722" s="82">
        <f t="shared" si="1"/>
        <v>3.107839121</v>
      </c>
      <c r="AX2722" s="83">
        <f t="array" ref="AX2722">IFERROR(DGET('SBV Import'!A:G,"SBV",{"RSC ID","Tier";B2722,A2722}))</f>
        <v>57.33657519</v>
      </c>
      <c r="AY2722" s="82">
        <f t="shared" si="2"/>
        <v>2.600211262</v>
      </c>
      <c r="AZ2722" s="82">
        <v>0.5076278598153245</v>
      </c>
      <c r="BA2722" s="84">
        <v>2700.0</v>
      </c>
      <c r="BB2722" s="84" t="b">
        <f>IFERROR(__xludf.DUMMYFUNCTION("iferror(if(A2722="""",,E2722&gt;=FILTER(Constants!$F$2:$F$10,Constants!$A$2:$A$10=A2722)))"),TRUE)</f>
        <v>1</v>
      </c>
    </row>
    <row r="2723">
      <c r="A2723" s="89" t="str">
        <f>IFERROR(__xludf.DUMMYFUNCTION("""COMPUTED_VALUE"""),"Prospect")</f>
        <v>Prospect</v>
      </c>
      <c r="B2723" s="87" t="str">
        <f>IFERROR(__xludf.DUMMYFUNCTION("""COMPUTED_VALUE"""),"RSC007600")</f>
        <v>RSC007600</v>
      </c>
      <c r="C2723" s="73" t="str">
        <f>IFERROR(__xludf.DUMMYFUNCTION("""COMPUTED_VALUE"""),"CN Tyson")</f>
        <v>CN Tyson</v>
      </c>
      <c r="D2723" s="73" t="str">
        <f>IFERROR(__xludf.DUMMYFUNCTION("""COMPUTED_VALUE"""),"Mop Tops")</f>
        <v>Mop Tops</v>
      </c>
      <c r="E2723" s="82">
        <f>IFERROR(__xludf.DUMMYFUNCTION("""COMPUTED_VALUE"""),42.0)</f>
        <v>42</v>
      </c>
      <c r="F2723" s="82">
        <f>IFERROR(__xludf.DUMMYFUNCTION("""COMPUTED_VALUE"""),17.0)</f>
        <v>17</v>
      </c>
      <c r="G2723" s="86">
        <f>IFERROR(__xludf.DUMMYFUNCTION("""COMPUTED_VALUE"""),25.0)</f>
        <v>25</v>
      </c>
      <c r="H2723" s="86">
        <f>IFERROR(__xludf.DUMMYFUNCTION("""COMPUTED_VALUE"""),0.40476190476190477)</f>
        <v>0.4047619048</v>
      </c>
      <c r="I2723" s="86">
        <f>IFERROR(__xludf.DUMMYFUNCTION("""COMPUTED_VALUE"""),0.2661290322580645)</f>
        <v>0.2661290323</v>
      </c>
      <c r="J2723" s="82">
        <f>IFERROR(__xludf.DUMMYFUNCTION("""COMPUTED_VALUE"""),333.07142857142856)</f>
        <v>333.0714286</v>
      </c>
      <c r="K2723" s="82">
        <f>IFERROR(__xludf.DUMMYFUNCTION("""COMPUTED_VALUE"""),0.7857142857142857)</f>
        <v>0.7857142857</v>
      </c>
      <c r="L2723" s="82">
        <f>IFERROR(__xludf.DUMMYFUNCTION("""COMPUTED_VALUE"""),0.42857142857142855)</f>
        <v>0.4285714286</v>
      </c>
      <c r="M2723" s="82">
        <f>IFERROR(__xludf.DUMMYFUNCTION("""COMPUTED_VALUE"""),1.2142857142857142)</f>
        <v>1.214285714</v>
      </c>
      <c r="N2723" s="82">
        <f>IFERROR(__xludf.DUMMYFUNCTION("""COMPUTED_VALUE"""),2.9523809523809526)</f>
        <v>2.952380952</v>
      </c>
      <c r="O2723" s="82">
        <f>IFERROR(__xludf.DUMMYFUNCTION("""COMPUTED_VALUE"""),339.44444444444446)</f>
        <v>339.4444444</v>
      </c>
      <c r="P2723" s="82">
        <f>IFERROR(__xludf.DUMMYFUNCTION("""COMPUTED_VALUE"""),0.8492063492063492)</f>
        <v>0.8492063492</v>
      </c>
      <c r="Q2723" s="82">
        <f>IFERROR(__xludf.DUMMYFUNCTION("""COMPUTED_VALUE"""),0.5238095238095237)</f>
        <v>0.5238095238</v>
      </c>
      <c r="R2723" s="82">
        <f>IFERROR(__xludf.DUMMYFUNCTION("""COMPUTED_VALUE"""),1.2142857142857142)</f>
        <v>1.214285714</v>
      </c>
      <c r="S2723" s="82">
        <f>IFERROR(__xludf.DUMMYFUNCTION("""COMPUTED_VALUE"""),2.4523809523809526)</f>
        <v>2.452380952</v>
      </c>
      <c r="T2723" s="82">
        <f>IFERROR(__xludf.DUMMYFUNCTION("""COMPUTED_VALUE"""),338.4827051240783)</f>
        <v>338.4827051</v>
      </c>
      <c r="U2723" s="82">
        <f>IFERROR(__xludf.DUMMYFUNCTION("""COMPUTED_VALUE"""),0.7973914645050917)</f>
        <v>0.7973914645</v>
      </c>
      <c r="V2723" s="82">
        <f>IFERROR(__xludf.DUMMYFUNCTION("""COMPUTED_VALUE"""),0.5317995086452507)</f>
        <v>0.5317995086</v>
      </c>
      <c r="W2723" s="82">
        <f>IFERROR(__xludf.DUMMYFUNCTION("""COMPUTED_VALUE"""),1.2248755377351728)</f>
        <v>1.224875538</v>
      </c>
      <c r="X2723" s="82">
        <f>IFERROR(__xludf.DUMMYFUNCTION("""COMPUTED_VALUE"""),2.46295960877091)</f>
        <v>2.462959609</v>
      </c>
      <c r="Y2723" s="82">
        <f>IFERROR(__xludf.DUMMYFUNCTION("""COMPUTED_VALUE"""),333.91579567495137)</f>
        <v>333.9157957</v>
      </c>
      <c r="Z2723" s="82">
        <f>IFERROR(__xludf.DUMMYFUNCTION("""COMPUTED_VALUE"""),0.7682545296044917)</f>
        <v>0.7682545296</v>
      </c>
      <c r="AA2723" s="82">
        <f>IFERROR(__xludf.DUMMYFUNCTION("""COMPUTED_VALUE"""),0.5220108604385437)</f>
        <v>0.5220108604</v>
      </c>
      <c r="AB2723" s="82">
        <f>IFERROR(__xludf.DUMMYFUNCTION("""COMPUTED_VALUE"""),1.208696876662012)</f>
        <v>1.208696877</v>
      </c>
      <c r="AC2723" s="82">
        <f>IFERROR(__xludf.DUMMYFUNCTION("""COMPUTED_VALUE"""),2.4563985519112492)</f>
        <v>2.456398552</v>
      </c>
      <c r="AD2723" s="82">
        <f>IFERROR(__xludf.DUMMYFUNCTION("""COMPUTED_VALUE"""),0.997471317276812)</f>
        <v>0.9974713173</v>
      </c>
      <c r="AE2723" s="82">
        <f>IFERROR(__xludf.DUMMYFUNCTION("""COMPUTED_VALUE"""),1.0227265254378421)</f>
        <v>1.022726525</v>
      </c>
      <c r="AF2723" s="82">
        <f>IFERROR(__xludf.DUMMYFUNCTION("""COMPUTED_VALUE"""),0.8210009811125074)</f>
        <v>0.8210009811</v>
      </c>
      <c r="AG2723" s="82">
        <f>IFERROR(__xludf.DUMMYFUNCTION("""COMPUTED_VALUE"""),1.0046238537813852)</f>
        <v>1.004623854</v>
      </c>
      <c r="AH2723" s="82">
        <f>IFERROR(__xludf.DUMMYFUNCTION("""COMPUTED_VALUE"""),1.2019144654208473)</f>
        <v>1.201914465</v>
      </c>
      <c r="AI2723" s="82">
        <f>IFERROR(__xludf.DUMMYFUNCTION("""COMPUTED_VALUE"""),1.0028413248470514)</f>
        <v>1.002841325</v>
      </c>
      <c r="AJ2723" s="82">
        <f>IFERROR(__xludf.DUMMYFUNCTION("""COMPUTED_VALUE"""),1.0649804857560357)</f>
        <v>1.064980486</v>
      </c>
      <c r="AK2723" s="82">
        <f>IFERROR(__xludf.DUMMYFUNCTION("""COMPUTED_VALUE"""),0.9849755693530419)</f>
        <v>0.9849755694</v>
      </c>
      <c r="AL2723" s="82">
        <f>IFERROR(__xludf.DUMMYFUNCTION("""COMPUTED_VALUE"""),0.9913543677514864)</f>
        <v>0.9913543678</v>
      </c>
      <c r="AM2723" s="82">
        <f>IFERROR(__xludf.DUMMYFUNCTION("""COMPUTED_VALUE"""),0.9957049005788462)</f>
        <v>0.9957049006</v>
      </c>
      <c r="AN2723" s="82">
        <f>IFERROR(__xludf.DUMMYFUNCTION("""COMPUTED_VALUE"""),1.0358907691193384)</f>
        <v>1.035890769</v>
      </c>
      <c r="AO2723" s="82">
        <f>IFERROR(__xludf.DUMMYFUNCTION("""COMPUTED_VALUE"""),1.0705923116515021)</f>
        <v>1.070592312</v>
      </c>
      <c r="AP2723" s="82">
        <f>IFERROR(__xludf.DUMMYFUNCTION("""COMPUTED_VALUE"""),0.8572899053890246)</f>
        <v>0.8572899054</v>
      </c>
      <c r="AQ2723" s="82">
        <f>IFERROR(__xludf.DUMMYFUNCTION("""COMPUTED_VALUE"""),1.0429567108773021)</f>
        <v>1.042956711</v>
      </c>
      <c r="AR2723" s="82">
        <f>IFERROR(__xludf.DUMMYFUNCTION("""COMPUTED_VALUE"""),1.275717686617612)</f>
        <v>1.275717687</v>
      </c>
      <c r="AS2723" s="82">
        <f>IFERROR(__xludf.DUMMYFUNCTION("""COMPUTED_VALUE"""),92.0)</f>
        <v>92</v>
      </c>
      <c r="AT2723" s="82">
        <f>IFERROR(__xludf.DUMMYFUNCTION("""COMPUTED_VALUE"""),0.44126173672114527)</f>
        <v>0.4412617367</v>
      </c>
      <c r="AU2723" s="82">
        <f>IFERROR(__xludf.DUMMYFUNCTION("""COMPUTED_VALUE"""),2.4765821316898036)</f>
        <v>2.476582132</v>
      </c>
      <c r="AV2723" s="82">
        <f>IFERROR(__xludf.DUMMYFUNCTION("""COMPUTED_VALUE"""),59.825671184001166)</f>
        <v>59.82567118</v>
      </c>
      <c r="AW2723" s="82">
        <f t="shared" si="1"/>
        <v>2.880600607</v>
      </c>
      <c r="AX2723" s="83">
        <f t="array" ref="AX2723">IFERROR(DGET('SBV Import'!A:G,"SBV",{"RSC ID","Tier";B2723,A2723}))</f>
        <v>52.65990138</v>
      </c>
      <c r="AY2723" s="82">
        <f t="shared" si="2"/>
        <v>2.185152034</v>
      </c>
      <c r="AZ2723" s="82">
        <v>0.6954485732560935</v>
      </c>
      <c r="BA2723" s="84">
        <v>2700.0</v>
      </c>
      <c r="BB2723" s="84" t="b">
        <f>IFERROR(__xludf.DUMMYFUNCTION("iferror(if(A2723="""",,E2723&gt;=FILTER(Constants!$F$2:$F$10,Constants!$A$2:$A$10=A2723)))"),TRUE)</f>
        <v>1</v>
      </c>
    </row>
    <row r="2724">
      <c r="A2724" s="89" t="str">
        <f>IFERROR(__xludf.DUMMYFUNCTION("""COMPUTED_VALUE"""),"Prospect")</f>
        <v>Prospect</v>
      </c>
      <c r="B2724" s="87" t="str">
        <f>IFERROR(__xludf.DUMMYFUNCTION("""COMPUTED_VALUE"""),"RSC005884")</f>
        <v>RSC005884</v>
      </c>
      <c r="C2724" s="73" t="str">
        <f>IFERROR(__xludf.DUMMYFUNCTION("""COMPUTED_VALUE"""),"Zachthebull36")</f>
        <v>Zachthebull36</v>
      </c>
      <c r="D2724" s="73" t="str">
        <f>IFERROR(__xludf.DUMMYFUNCTION("""COMPUTED_VALUE"""),"Earth")</f>
        <v>Earth</v>
      </c>
      <c r="E2724" s="82">
        <f>IFERROR(__xludf.DUMMYFUNCTION("""COMPUTED_VALUE"""),34.0)</f>
        <v>34</v>
      </c>
      <c r="F2724" s="82">
        <f>IFERROR(__xludf.DUMMYFUNCTION("""COMPUTED_VALUE"""),20.0)</f>
        <v>20</v>
      </c>
      <c r="G2724" s="86">
        <f>IFERROR(__xludf.DUMMYFUNCTION("""COMPUTED_VALUE"""),14.0)</f>
        <v>14</v>
      </c>
      <c r="H2724" s="86">
        <f>IFERROR(__xludf.DUMMYFUNCTION("""COMPUTED_VALUE"""),0.5882352941176471)</f>
        <v>0.5882352941</v>
      </c>
      <c r="I2724" s="86">
        <f>IFERROR(__xludf.DUMMYFUNCTION("""COMPUTED_VALUE"""),0.3163265306122449)</f>
        <v>0.3163265306</v>
      </c>
      <c r="J2724" s="82">
        <f>IFERROR(__xludf.DUMMYFUNCTION("""COMPUTED_VALUE"""),326.61764705882354)</f>
        <v>326.6176471</v>
      </c>
      <c r="K2724" s="82">
        <f>IFERROR(__xludf.DUMMYFUNCTION("""COMPUTED_VALUE"""),0.9117647058823529)</f>
        <v>0.9117647059</v>
      </c>
      <c r="L2724" s="82">
        <f>IFERROR(__xludf.DUMMYFUNCTION("""COMPUTED_VALUE"""),0.5588235294117647)</f>
        <v>0.5588235294</v>
      </c>
      <c r="M2724" s="82">
        <f>IFERROR(__xludf.DUMMYFUNCTION("""COMPUTED_VALUE"""),0.7647058823529411)</f>
        <v>0.7647058824</v>
      </c>
      <c r="N2724" s="82">
        <f>IFERROR(__xludf.DUMMYFUNCTION("""COMPUTED_VALUE"""),2.8823529411764706)</f>
        <v>2.882352941</v>
      </c>
      <c r="O2724" s="82">
        <f>IFERROR(__xludf.DUMMYFUNCTION("""COMPUTED_VALUE"""),355.8921568627451)</f>
        <v>355.8921569</v>
      </c>
      <c r="P2724" s="82">
        <f>IFERROR(__xludf.DUMMYFUNCTION("""COMPUTED_VALUE"""),0.8823529411764706)</f>
        <v>0.8823529412</v>
      </c>
      <c r="Q2724" s="82">
        <f>IFERROR(__xludf.DUMMYFUNCTION("""COMPUTED_VALUE"""),0.5588235294117646)</f>
        <v>0.5588235294</v>
      </c>
      <c r="R2724" s="82">
        <f>IFERROR(__xludf.DUMMYFUNCTION("""COMPUTED_VALUE"""),1.352941176470588)</f>
        <v>1.352941176</v>
      </c>
      <c r="S2724" s="82">
        <f>IFERROR(__xludf.DUMMYFUNCTION("""COMPUTED_VALUE"""),2.205882352941177)</f>
        <v>2.205882353</v>
      </c>
      <c r="T2724" s="82">
        <f>IFERROR(__xludf.DUMMYFUNCTION("""COMPUTED_VALUE"""),323.61337053949245)</f>
        <v>323.6133705</v>
      </c>
      <c r="U2724" s="82">
        <f>IFERROR(__xludf.DUMMYFUNCTION("""COMPUTED_VALUE"""),0.7344039978101581)</f>
        <v>0.7344039978</v>
      </c>
      <c r="V2724" s="82">
        <f>IFERROR(__xludf.DUMMYFUNCTION("""COMPUTED_VALUE"""),0.46375139101791246)</f>
        <v>0.463751391</v>
      </c>
      <c r="W2724" s="82">
        <f>IFERROR(__xludf.DUMMYFUNCTION("""COMPUTED_VALUE"""),1.2092318141485618)</f>
        <v>1.209231814</v>
      </c>
      <c r="X2724" s="82">
        <f>IFERROR(__xludf.DUMMYFUNCTION("""COMPUTED_VALUE"""),2.2278700127530895)</f>
        <v>2.227870013</v>
      </c>
      <c r="Y2724" s="82">
        <f>IFERROR(__xludf.DUMMYFUNCTION("""COMPUTED_VALUE"""),342.9397352460659)</f>
        <v>342.9397352</v>
      </c>
      <c r="Z2724" s="82">
        <f>IFERROR(__xludf.DUMMYFUNCTION("""COMPUTED_VALUE"""),0.8518844999869642)</f>
        <v>0.8518845</v>
      </c>
      <c r="AA2724" s="82">
        <f>IFERROR(__xludf.DUMMYFUNCTION("""COMPUTED_VALUE"""),0.5694329279015096)</f>
        <v>0.5694329279</v>
      </c>
      <c r="AB2724" s="82">
        <f>IFERROR(__xludf.DUMMYFUNCTION("""COMPUTED_VALUE"""),1.127223040932547)</f>
        <v>1.127223041</v>
      </c>
      <c r="AC2724" s="82">
        <f>IFERROR(__xludf.DUMMYFUNCTION("""COMPUTED_VALUE"""),2.641674327856873)</f>
        <v>2.641674328</v>
      </c>
      <c r="AD2724" s="82">
        <f>IFERROR(__xludf.DUMMYFUNCTION("""COMPUTED_VALUE"""),0.9524053747357946)</f>
        <v>0.9524053747</v>
      </c>
      <c r="AE2724" s="82">
        <f>IFERROR(__xludf.DUMMYFUNCTION("""COMPUTED_VALUE"""),1.0702914607511993)</f>
        <v>1.070291461</v>
      </c>
      <c r="AF2724" s="82">
        <f>IFERROR(__xludf.DUMMYFUNCTION("""COMPUTED_VALUE"""),0.9813684843817464)</f>
        <v>0.9813684844</v>
      </c>
      <c r="AG2724" s="82">
        <f>IFERROR(__xludf.DUMMYFUNCTION("""COMPUTED_VALUE"""),0.6783980229150596)</f>
        <v>0.6783980229</v>
      </c>
      <c r="AH2724" s="82">
        <f>IFERROR(__xludf.DUMMYFUNCTION("""COMPUTED_VALUE"""),1.0911083591120994)</f>
        <v>1.091108359</v>
      </c>
      <c r="AI2724" s="82">
        <f>IFERROR(__xludf.DUMMYFUNCTION("""COMPUTED_VALUE"""),1.0997449093943215)</f>
        <v>1.099744909</v>
      </c>
      <c r="AJ2724" s="82">
        <f>IFERROR(__xludf.DUMMYFUNCTION("""COMPUTED_VALUE"""),1.201454436260513)</f>
        <v>1.201454436</v>
      </c>
      <c r="AK2724" s="82">
        <f>IFERROR(__xludf.DUMMYFUNCTION("""COMPUTED_VALUE"""),1.2050066915921767)</f>
        <v>1.205006692</v>
      </c>
      <c r="AL2724" s="82">
        <f>IFERROR(__xludf.DUMMYFUNCTION("""COMPUTED_VALUE"""),1.1188435175460663)</f>
        <v>1.118843518</v>
      </c>
      <c r="AM2724" s="82">
        <f>IFERROR(__xludf.DUMMYFUNCTION("""COMPUTED_VALUE"""),0.9901306361295553)</f>
        <v>0.9901306361</v>
      </c>
      <c r="AN2724" s="82">
        <f>IFERROR(__xludf.DUMMYFUNCTION("""COMPUTED_VALUE"""),1.0158187601707027)</f>
        <v>1.01581876</v>
      </c>
      <c r="AO2724" s="82">
        <f>IFERROR(__xludf.DUMMYFUNCTION("""COMPUTED_VALUE"""),1.2423450889217966)</f>
        <v>1.242345089</v>
      </c>
      <c r="AP2724" s="82">
        <f>IFERROR(__xludf.DUMMYFUNCTION("""COMPUTED_VALUE"""),1.117838798203336)</f>
        <v>1.117838798</v>
      </c>
      <c r="AQ2724" s="82">
        <f>IFERROR(__xludf.DUMMYFUNCTION("""COMPUTED_VALUE"""),0.6568101085801695)</f>
        <v>0.6568101086</v>
      </c>
      <c r="AR2724" s="82">
        <f>IFERROR(__xludf.DUMMYFUNCTION("""COMPUTED_VALUE"""),1.2454587282063783)</f>
        <v>1.245458728</v>
      </c>
      <c r="AS2724" s="82">
        <f>IFERROR(__xludf.DUMMYFUNCTION("""COMPUTED_VALUE"""),101.0)</f>
        <v>101</v>
      </c>
      <c r="AT2724" s="82">
        <f>IFERROR(__xludf.DUMMYFUNCTION("""COMPUTED_VALUE"""),0.5471670862232765)</f>
        <v>0.5471670862</v>
      </c>
      <c r="AU2724" s="82">
        <f>IFERROR(__xludf.DUMMYFUNCTION("""COMPUTED_VALUE"""),2.4665115865073766)</f>
        <v>2.466511587</v>
      </c>
      <c r="AV2724" s="82">
        <f>IFERROR(__xludf.DUMMYFUNCTION("""COMPUTED_VALUE"""),59.553184865227806)</f>
        <v>59.55318487</v>
      </c>
      <c r="AW2724" s="82">
        <f t="shared" si="1"/>
        <v>2.847514706</v>
      </c>
      <c r="AX2724" s="83">
        <f t="array" ref="AX2724">IFERROR(DGET('SBV Import'!A:G,"SBV",{"RSC ID","Tier";B2724,A2724}))</f>
        <v>48.04744179</v>
      </c>
      <c r="AY2724" s="82">
        <f t="shared" si="2"/>
        <v>-2.132772204</v>
      </c>
      <c r="AZ2724" s="82">
        <v>4.980286910125294</v>
      </c>
      <c r="BA2724" s="84">
        <v>2700.0</v>
      </c>
      <c r="BB2724" s="84" t="b">
        <f>IFERROR(__xludf.DUMMYFUNCTION("iferror(if(A2724="""",,E2724&gt;=FILTER(Constants!$F$2:$F$10,Constants!$A$2:$A$10=A2724)))"),TRUE)</f>
        <v>1</v>
      </c>
    </row>
    <row r="2725">
      <c r="A2725" s="89" t="str">
        <f>IFERROR(__xludf.DUMMYFUNCTION("""COMPUTED_VALUE"""),"Prospect")</f>
        <v>Prospect</v>
      </c>
      <c r="B2725" s="87" t="str">
        <f>IFERROR(__xludf.DUMMYFUNCTION("""COMPUTED_VALUE"""),"RSC006369")</f>
        <v>RSC006369</v>
      </c>
      <c r="C2725" s="73" t="str">
        <f>IFERROR(__xludf.DUMMYFUNCTION("""COMPUTED_VALUE"""),"nate")</f>
        <v>nate</v>
      </c>
      <c r="D2725" s="73" t="str">
        <f>IFERROR(__xludf.DUMMYFUNCTION("""COMPUTED_VALUE"""),"Emus")</f>
        <v>Emus</v>
      </c>
      <c r="E2725" s="82">
        <f>IFERROR(__xludf.DUMMYFUNCTION("""COMPUTED_VALUE"""),28.0)</f>
        <v>28</v>
      </c>
      <c r="F2725" s="82">
        <f>IFERROR(__xludf.DUMMYFUNCTION("""COMPUTED_VALUE"""),17.0)</f>
        <v>17</v>
      </c>
      <c r="G2725" s="86">
        <f>IFERROR(__xludf.DUMMYFUNCTION("""COMPUTED_VALUE"""),11.0)</f>
        <v>11</v>
      </c>
      <c r="H2725" s="86">
        <f>IFERROR(__xludf.DUMMYFUNCTION("""COMPUTED_VALUE"""),0.6071428571428571)</f>
        <v>0.6071428571</v>
      </c>
      <c r="I2725" s="86">
        <f>IFERROR(__xludf.DUMMYFUNCTION("""COMPUTED_VALUE"""),0.3538461538461538)</f>
        <v>0.3538461538</v>
      </c>
      <c r="J2725" s="82">
        <f>IFERROR(__xludf.DUMMYFUNCTION("""COMPUTED_VALUE"""),317.07142857142856)</f>
        <v>317.0714286</v>
      </c>
      <c r="K2725" s="82">
        <f>IFERROR(__xludf.DUMMYFUNCTION("""COMPUTED_VALUE"""),0.8214285714285714)</f>
        <v>0.8214285714</v>
      </c>
      <c r="L2725" s="82">
        <f>IFERROR(__xludf.DUMMYFUNCTION("""COMPUTED_VALUE"""),0.5714285714285714)</f>
        <v>0.5714285714</v>
      </c>
      <c r="M2725" s="82">
        <f>IFERROR(__xludf.DUMMYFUNCTION("""COMPUTED_VALUE"""),1.1071428571428572)</f>
        <v>1.107142857</v>
      </c>
      <c r="N2725" s="82">
        <f>IFERROR(__xludf.DUMMYFUNCTION("""COMPUTED_VALUE"""),2.3214285714285716)</f>
        <v>2.321428571</v>
      </c>
      <c r="O2725" s="82">
        <f>IFERROR(__xludf.DUMMYFUNCTION("""COMPUTED_VALUE"""),328.58333333333337)</f>
        <v>328.5833333</v>
      </c>
      <c r="P2725" s="82">
        <f>IFERROR(__xludf.DUMMYFUNCTION("""COMPUTED_VALUE"""),0.6785714285714285)</f>
        <v>0.6785714286</v>
      </c>
      <c r="Q2725" s="82">
        <f>IFERROR(__xludf.DUMMYFUNCTION("""COMPUTED_VALUE"""),0.42857142857142866)</f>
        <v>0.4285714286</v>
      </c>
      <c r="R2725" s="82">
        <f>IFERROR(__xludf.DUMMYFUNCTION("""COMPUTED_VALUE"""),1.392857142857143)</f>
        <v>1.392857143</v>
      </c>
      <c r="S2725" s="82">
        <f>IFERROR(__xludf.DUMMYFUNCTION("""COMPUTED_VALUE"""),2.2857142857142856)</f>
        <v>2.285714286</v>
      </c>
      <c r="T2725" s="82">
        <f>IFERROR(__xludf.DUMMYFUNCTION("""COMPUTED_VALUE"""),337.447542537467)</f>
        <v>337.4475425</v>
      </c>
      <c r="U2725" s="82">
        <f>IFERROR(__xludf.DUMMYFUNCTION("""COMPUTED_VALUE"""),0.7854416435180223)</f>
        <v>0.7854416435</v>
      </c>
      <c r="V2725" s="82">
        <f>IFERROR(__xludf.DUMMYFUNCTION("""COMPUTED_VALUE"""),0.5061835353054025)</f>
        <v>0.5061835353</v>
      </c>
      <c r="W2725" s="82">
        <f>IFERROR(__xludf.DUMMYFUNCTION("""COMPUTED_VALUE"""),1.2756881523122694)</f>
        <v>1.275688152</v>
      </c>
      <c r="X2725" s="82">
        <f>IFERROR(__xludf.DUMMYFUNCTION("""COMPUTED_VALUE"""),2.387684002981725)</f>
        <v>2.387684003</v>
      </c>
      <c r="Y2725" s="82">
        <f>IFERROR(__xludf.DUMMYFUNCTION("""COMPUTED_VALUE"""),338.8910949805274)</f>
        <v>338.891095</v>
      </c>
      <c r="Z2725" s="82">
        <f>IFERROR(__xludf.DUMMYFUNCTION("""COMPUTED_VALUE"""),0.7965998639870818)</f>
        <v>0.796599864</v>
      </c>
      <c r="AA2725" s="82">
        <f>IFERROR(__xludf.DUMMYFUNCTION("""COMPUTED_VALUE"""),0.5456596962519803)</f>
        <v>0.5456596963</v>
      </c>
      <c r="AB2725" s="82">
        <f>IFERROR(__xludf.DUMMYFUNCTION("""COMPUTED_VALUE"""),1.187603565700497)</f>
        <v>1.187603566</v>
      </c>
      <c r="AC2725" s="82">
        <f>IFERROR(__xludf.DUMMYFUNCTION("""COMPUTED_VALUE"""),2.5326680815913294)</f>
        <v>2.532668082</v>
      </c>
      <c r="AD2725" s="82">
        <f>IFERROR(__xludf.DUMMYFUNCTION("""COMPUTED_VALUE"""),0.9356145182559236)</f>
        <v>0.9356145183</v>
      </c>
      <c r="AE2725" s="82">
        <f>IFERROR(__xludf.DUMMYFUNCTION("""COMPUTED_VALUE"""),1.031168355110204)</f>
        <v>1.031168355</v>
      </c>
      <c r="AF2725" s="82">
        <f>IFERROR(__xludf.DUMMYFUNCTION("""COMPUTED_VALUE"""),1.0472251759724824)</f>
        <v>1.047225176</v>
      </c>
      <c r="AG2725" s="82">
        <f>IFERROR(__xludf.DUMMYFUNCTION("""COMPUTED_VALUE"""),0.9322495225835897)</f>
        <v>0.9322495226</v>
      </c>
      <c r="AH2725" s="82">
        <f>IFERROR(__xludf.DUMMYFUNCTION("""COMPUTED_VALUE"""),0.9165940804884186)</f>
        <v>0.9165940805</v>
      </c>
      <c r="AI2725" s="82">
        <f>IFERROR(__xludf.DUMMYFUNCTION("""COMPUTED_VALUE"""),0.9737315935464268)</f>
        <v>0.9737315935</v>
      </c>
      <c r="AJ2725" s="82">
        <f>IFERROR(__xludf.DUMMYFUNCTION("""COMPUTED_VALUE"""),0.8639361487533076)</f>
        <v>0.8639361488</v>
      </c>
      <c r="AK2725" s="82">
        <f>IFERROR(__xludf.DUMMYFUNCTION("""COMPUTED_VALUE"""),0.8466720046768271)</f>
        <v>0.8466720047</v>
      </c>
      <c r="AL2725" s="82">
        <f>IFERROR(__xludf.DUMMYFUNCTION("""COMPUTED_VALUE"""),1.091847674788307)</f>
        <v>1.091847675</v>
      </c>
      <c r="AM2725" s="82">
        <f>IFERROR(__xludf.DUMMYFUNCTION("""COMPUTED_VALUE"""),0.9572934621415146)</f>
        <v>0.9572934621</v>
      </c>
      <c r="AN2725" s="82">
        <f>IFERROR(__xludf.DUMMYFUNCTION("""COMPUTED_VALUE"""),0.9861289136008456)</f>
        <v>0.9861289136</v>
      </c>
      <c r="AO2725" s="82">
        <f>IFERROR(__xludf.DUMMYFUNCTION("""COMPUTED_VALUE"""),1.1192555985447523)</f>
        <v>1.119255599</v>
      </c>
      <c r="AP2725" s="82">
        <f>IFERROR(__xludf.DUMMYFUNCTION("""COMPUTED_VALUE"""),1.143053207185366)</f>
        <v>1.143053207</v>
      </c>
      <c r="AQ2725" s="82">
        <f>IFERROR(__xludf.DUMMYFUNCTION("""COMPUTED_VALUE"""),0.9509311187410698)</f>
        <v>0.9509311187</v>
      </c>
      <c r="AR2725" s="82">
        <f>IFERROR(__xludf.DUMMYFUNCTION("""COMPUTED_VALUE"""),1.0030844713323965)</f>
        <v>1.003084471</v>
      </c>
      <c r="AS2725" s="82">
        <f>IFERROR(__xludf.DUMMYFUNCTION("""COMPUTED_VALUE"""),72.0)</f>
        <v>72</v>
      </c>
      <c r="AT2725" s="82">
        <f>IFERROR(__xludf.DUMMYFUNCTION("""COMPUTED_VALUE"""),0.5895641887525881)</f>
        <v>0.5895641888</v>
      </c>
      <c r="AU2725" s="82">
        <f>IFERROR(__xludf.DUMMYFUNCTION("""COMPUTED_VALUE"""),2.441258509921829)</f>
        <v>2.44125851</v>
      </c>
      <c r="AV2725" s="82">
        <f>IFERROR(__xludf.DUMMYFUNCTION("""COMPUTED_VALUE"""),58.86989336989694)</f>
        <v>58.86989337</v>
      </c>
      <c r="AW2725" s="82">
        <f t="shared" si="1"/>
        <v>2.76723682</v>
      </c>
      <c r="AX2725" s="83">
        <f t="array" ref="AX2725">IFERROR(DGET('SBV Import'!A:G,"SBV",{"RSC ID","Tier";B2725,A2725}))</f>
        <v>40.94614323</v>
      </c>
      <c r="AY2725" s="82">
        <f t="shared" si="2"/>
        <v>-2.788479536</v>
      </c>
      <c r="AZ2725" s="82">
        <v>5.555716355978271</v>
      </c>
      <c r="BA2725" s="84">
        <v>2700.0</v>
      </c>
      <c r="BB2725" s="84" t="b">
        <f>IFERROR(__xludf.DUMMYFUNCTION("iferror(if(A2725="""",,E2725&gt;=FILTER(Constants!$F$2:$F$10,Constants!$A$2:$A$10=A2725)))"),TRUE)</f>
        <v>1</v>
      </c>
    </row>
    <row r="2726">
      <c r="A2726" s="89" t="str">
        <f>IFERROR(__xludf.DUMMYFUNCTION("""COMPUTED_VALUE"""),"Prospect")</f>
        <v>Prospect</v>
      </c>
      <c r="B2726" s="87" t="str">
        <f>IFERROR(__xludf.DUMMYFUNCTION("""COMPUTED_VALUE"""),"RSC007138")</f>
        <v>RSC007138</v>
      </c>
      <c r="C2726" s="73" t="str">
        <f>IFERROR(__xludf.DUMMYFUNCTION("""COMPUTED_VALUE"""),"GFC-RAIDER")</f>
        <v>GFC-RAIDER</v>
      </c>
      <c r="D2726" s="73" t="str">
        <f>IFERROR(__xludf.DUMMYFUNCTION("""COMPUTED_VALUE"""),"Mop Tops")</f>
        <v>Mop Tops</v>
      </c>
      <c r="E2726" s="82">
        <f>IFERROR(__xludf.DUMMYFUNCTION("""COMPUTED_VALUE"""),25.0)</f>
        <v>25</v>
      </c>
      <c r="F2726" s="82">
        <f>IFERROR(__xludf.DUMMYFUNCTION("""COMPUTED_VALUE"""),16.0)</f>
        <v>16</v>
      </c>
      <c r="G2726" s="86">
        <f>IFERROR(__xludf.DUMMYFUNCTION("""COMPUTED_VALUE"""),9.0)</f>
        <v>9</v>
      </c>
      <c r="H2726" s="86">
        <f>IFERROR(__xludf.DUMMYFUNCTION("""COMPUTED_VALUE"""),0.64)</f>
        <v>0.64</v>
      </c>
      <c r="I2726" s="86">
        <f>IFERROR(__xludf.DUMMYFUNCTION("""COMPUTED_VALUE"""),0.3278688524590164)</f>
        <v>0.3278688525</v>
      </c>
      <c r="J2726" s="82">
        <f>IFERROR(__xludf.DUMMYFUNCTION("""COMPUTED_VALUE"""),345.72)</f>
        <v>345.72</v>
      </c>
      <c r="K2726" s="82">
        <f>IFERROR(__xludf.DUMMYFUNCTION("""COMPUTED_VALUE"""),0.8)</f>
        <v>0.8</v>
      </c>
      <c r="L2726" s="82">
        <f>IFERROR(__xludf.DUMMYFUNCTION("""COMPUTED_VALUE"""),0.48)</f>
        <v>0.48</v>
      </c>
      <c r="M2726" s="82">
        <f>IFERROR(__xludf.DUMMYFUNCTION("""COMPUTED_VALUE"""),1.44)</f>
        <v>1.44</v>
      </c>
      <c r="N2726" s="82">
        <f>IFERROR(__xludf.DUMMYFUNCTION("""COMPUTED_VALUE"""),2.44)</f>
        <v>2.44</v>
      </c>
      <c r="O2726" s="82">
        <f>IFERROR(__xludf.DUMMYFUNCTION("""COMPUTED_VALUE"""),332.54666666666674)</f>
        <v>332.5466667</v>
      </c>
      <c r="P2726" s="82">
        <f>IFERROR(__xludf.DUMMYFUNCTION("""COMPUTED_VALUE"""),0.6666666666666665)</f>
        <v>0.6666666667</v>
      </c>
      <c r="Q2726" s="82">
        <f>IFERROR(__xludf.DUMMYFUNCTION("""COMPUTED_VALUE"""),0.46666666666666673)</f>
        <v>0.4666666667</v>
      </c>
      <c r="R2726" s="82">
        <f>IFERROR(__xludf.DUMMYFUNCTION("""COMPUTED_VALUE"""),1.373333333333333)</f>
        <v>1.373333333</v>
      </c>
      <c r="S2726" s="82">
        <f>IFERROR(__xludf.DUMMYFUNCTION("""COMPUTED_VALUE"""),2.426666666666667)</f>
        <v>2.426666667</v>
      </c>
      <c r="T2726" s="82">
        <f>IFERROR(__xludf.DUMMYFUNCTION("""COMPUTED_VALUE"""),335.2833959721183)</f>
        <v>335.283396</v>
      </c>
      <c r="U2726" s="82">
        <f>IFERROR(__xludf.DUMMYFUNCTION("""COMPUTED_VALUE"""),0.785570428712937)</f>
        <v>0.7855704287</v>
      </c>
      <c r="V2726" s="82">
        <f>IFERROR(__xludf.DUMMYFUNCTION("""COMPUTED_VALUE"""),0.5099888504145744)</f>
        <v>0.5099888504</v>
      </c>
      <c r="W2726" s="82">
        <f>IFERROR(__xludf.DUMMYFUNCTION("""COMPUTED_VALUE"""),1.217741756073426)</f>
        <v>1.217741756</v>
      </c>
      <c r="X2726" s="82">
        <f>IFERROR(__xludf.DUMMYFUNCTION("""COMPUTED_VALUE"""),2.4347411195494577)</f>
        <v>2.43474112</v>
      </c>
      <c r="Y2726" s="82">
        <f>IFERROR(__xludf.DUMMYFUNCTION("""COMPUTED_VALUE"""),333.97148287781476)</f>
        <v>333.9714829</v>
      </c>
      <c r="Z2726" s="82">
        <f>IFERROR(__xludf.DUMMYFUNCTION("""COMPUTED_VALUE"""),0.7829114344920824)</f>
        <v>0.7829114345</v>
      </c>
      <c r="AA2726" s="82">
        <f>IFERROR(__xludf.DUMMYFUNCTION("""COMPUTED_VALUE"""),0.5246555924249308)</f>
        <v>0.5246555924</v>
      </c>
      <c r="AB2726" s="82">
        <f>IFERROR(__xludf.DUMMYFUNCTION("""COMPUTED_VALUE"""),1.207226298755434)</f>
        <v>1.207226299</v>
      </c>
      <c r="AC2726" s="82">
        <f>IFERROR(__xludf.DUMMYFUNCTION("""COMPUTED_VALUE"""),2.479331887089921)</f>
        <v>2.479331887</v>
      </c>
      <c r="AD2726" s="82">
        <f>IFERROR(__xludf.DUMMYFUNCTION("""COMPUTED_VALUE"""),1.0351782045010218)</f>
        <v>1.035178205</v>
      </c>
      <c r="AE2726" s="82">
        <f>IFERROR(__xludf.DUMMYFUNCTION("""COMPUTED_VALUE"""),1.0218269458779892)</f>
        <v>1.021826946</v>
      </c>
      <c r="AF2726" s="82">
        <f>IFERROR(__xludf.DUMMYFUNCTION("""COMPUTED_VALUE"""),0.9148858926318979)</f>
        <v>0.9148858926</v>
      </c>
      <c r="AG2726" s="82">
        <f>IFERROR(__xludf.DUMMYFUNCTION("""COMPUTED_VALUE"""),1.1928169569239333)</f>
        <v>1.192816957</v>
      </c>
      <c r="AH2726" s="82">
        <f>IFERROR(__xludf.DUMMYFUNCTION("""COMPUTED_VALUE"""),0.9841360943669037)</f>
        <v>0.9841360944</v>
      </c>
      <c r="AI2726" s="82">
        <f>IFERROR(__xludf.DUMMYFUNCTION("""COMPUTED_VALUE"""),0.9918375638688677)</f>
        <v>0.9918375639</v>
      </c>
      <c r="AJ2726" s="82">
        <f>IFERROR(__xludf.DUMMYFUNCTION("""COMPUTED_VALUE"""),0.8486402266425939)</f>
        <v>0.8486402266</v>
      </c>
      <c r="AK2726" s="82">
        <f>IFERROR(__xludf.DUMMYFUNCTION("""COMPUTED_VALUE"""),0.9150526845583179)</f>
        <v>0.9150526846</v>
      </c>
      <c r="AL2726" s="82">
        <f>IFERROR(__xludf.DUMMYFUNCTION("""COMPUTED_VALUE"""),1.1277705855809754)</f>
        <v>1.127770586</v>
      </c>
      <c r="AM2726" s="82">
        <f>IFERROR(__xludf.DUMMYFUNCTION("""COMPUTED_VALUE"""),0.9966836503404992)</f>
        <v>0.9966836503</v>
      </c>
      <c r="AN2726" s="82">
        <f>IFERROR(__xludf.DUMMYFUNCTION("""COMPUTED_VALUE"""),1.0752292931158327)</f>
        <v>1.075229293</v>
      </c>
      <c r="AO2726" s="82">
        <f>IFERROR(__xludf.DUMMYFUNCTION("""COMPUTED_VALUE"""),1.0900576264088024)</f>
        <v>1.090057626</v>
      </c>
      <c r="AP2726" s="82">
        <f>IFERROR(__xludf.DUMMYFUNCTION("""COMPUTED_VALUE"""),0.9601646940357075)</f>
        <v>0.960164694</v>
      </c>
      <c r="AQ2726" s="82">
        <f>IFERROR(__xludf.DUMMYFUNCTION("""COMPUTED_VALUE"""),1.2368239583109655)</f>
        <v>1.236823958</v>
      </c>
      <c r="AR2726" s="82">
        <f>IFERROR(__xludf.DUMMYFUNCTION("""COMPUTED_VALUE"""),1.0543189397142974)</f>
        <v>1.05431894</v>
      </c>
      <c r="AS2726" s="82">
        <f>IFERROR(__xludf.DUMMYFUNCTION("""COMPUTED_VALUE"""),60.0)</f>
        <v>60</v>
      </c>
      <c r="AT2726" s="82">
        <f>IFERROR(__xludf.DUMMYFUNCTION("""COMPUTED_VALUE"""),0.5692860390863643)</f>
        <v>0.5692860391</v>
      </c>
      <c r="AU2726" s="82">
        <f>IFERROR(__xludf.DUMMYFUNCTION("""COMPUTED_VALUE"""),2.437803533134863)</f>
        <v>2.437803533</v>
      </c>
      <c r="AV2726" s="82">
        <f>IFERROR(__xludf.DUMMYFUNCTION("""COMPUTED_VALUE"""),58.77640946320929)</f>
        <v>58.77640946</v>
      </c>
      <c r="AW2726" s="82">
        <f t="shared" si="1"/>
        <v>2.756544526</v>
      </c>
      <c r="AX2726" s="83">
        <f t="array" ref="AX2726">IFERROR(DGET('SBV Import'!A:G,"SBV",{"RSC ID","Tier";B2726,A2726}))</f>
        <v>46.97734323</v>
      </c>
      <c r="AY2726" s="82">
        <f t="shared" si="2"/>
        <v>-2.21296398</v>
      </c>
      <c r="AZ2726" s="82">
        <v>4.9695085060404764</v>
      </c>
      <c r="BA2726" s="84">
        <v>2700.0</v>
      </c>
      <c r="BB2726" s="84" t="b">
        <f>IFERROR(__xludf.DUMMYFUNCTION("iferror(if(A2726="""",,E2726&gt;=FILTER(Constants!$F$2:$F$10,Constants!$A$2:$A$10=A2726)))"),TRUE)</f>
        <v>1</v>
      </c>
    </row>
    <row r="2727">
      <c r="A2727" s="89" t="str">
        <f>IFERROR(__xludf.DUMMYFUNCTION("""COMPUTED_VALUE"""),"Prospect")</f>
        <v>Prospect</v>
      </c>
      <c r="B2727" s="87" t="str">
        <f>IFERROR(__xludf.DUMMYFUNCTION("""COMPUTED_VALUE"""),"RSC000989")</f>
        <v>RSC000989</v>
      </c>
      <c r="C2727" s="73" t="str">
        <f>IFERROR(__xludf.DUMMYFUNCTION("""COMPUTED_VALUE"""),"Piky Life88")</f>
        <v>Piky Life88</v>
      </c>
      <c r="D2727" s="73" t="str">
        <f>IFERROR(__xludf.DUMMYFUNCTION("""COMPUTED_VALUE"""),"Devoured")</f>
        <v>Devoured</v>
      </c>
      <c r="E2727" s="82">
        <f>IFERROR(__xludf.DUMMYFUNCTION("""COMPUTED_VALUE"""),1.0)</f>
        <v>1</v>
      </c>
      <c r="F2727" s="82">
        <f>IFERROR(__xludf.DUMMYFUNCTION("""COMPUTED_VALUE"""),0.0)</f>
        <v>0</v>
      </c>
      <c r="G2727" s="86">
        <f>IFERROR(__xludf.DUMMYFUNCTION("""COMPUTED_VALUE"""),1.0)</f>
        <v>1</v>
      </c>
      <c r="H2727" s="86">
        <f>IFERROR(__xludf.DUMMYFUNCTION("""COMPUTED_VALUE"""),0.0)</f>
        <v>0</v>
      </c>
      <c r="I2727" s="86">
        <f>IFERROR(__xludf.DUMMYFUNCTION("""COMPUTED_VALUE"""),0.25)</f>
        <v>0.25</v>
      </c>
      <c r="J2727" s="82">
        <f>IFERROR(__xludf.DUMMYFUNCTION("""COMPUTED_VALUE"""),454.0)</f>
        <v>454</v>
      </c>
      <c r="K2727" s="82">
        <f>IFERROR(__xludf.DUMMYFUNCTION("""COMPUTED_VALUE"""),1.0)</f>
        <v>1</v>
      </c>
      <c r="L2727" s="82">
        <f>IFERROR(__xludf.DUMMYFUNCTION("""COMPUTED_VALUE"""),0.0)</f>
        <v>0</v>
      </c>
      <c r="M2727" s="82">
        <f>IFERROR(__xludf.DUMMYFUNCTION("""COMPUTED_VALUE"""),3.0)</f>
        <v>3</v>
      </c>
      <c r="N2727" s="82">
        <f>IFERROR(__xludf.DUMMYFUNCTION("""COMPUTED_VALUE"""),4.0)</f>
        <v>4</v>
      </c>
      <c r="O2727" s="82">
        <f>IFERROR(__xludf.DUMMYFUNCTION("""COMPUTED_VALUE"""),507.0)</f>
        <v>507</v>
      </c>
      <c r="P2727" s="82">
        <f>IFERROR(__xludf.DUMMYFUNCTION("""COMPUTED_VALUE"""),1.6666666666666667)</f>
        <v>1.666666667</v>
      </c>
      <c r="Q2727" s="82">
        <f>IFERROR(__xludf.DUMMYFUNCTION("""COMPUTED_VALUE"""),1.3333333333333333)</f>
        <v>1.333333333</v>
      </c>
      <c r="R2727" s="82">
        <f>IFERROR(__xludf.DUMMYFUNCTION("""COMPUTED_VALUE"""),1.3333333333333333)</f>
        <v>1.333333333</v>
      </c>
      <c r="S2727" s="82">
        <f>IFERROR(__xludf.DUMMYFUNCTION("""COMPUTED_VALUE"""),4.0)</f>
        <v>4</v>
      </c>
      <c r="T2727" s="82">
        <f>IFERROR(__xludf.DUMMYFUNCTION("""COMPUTED_VALUE"""),363.76201615148983)</f>
        <v>363.7620162</v>
      </c>
      <c r="U2727" s="82">
        <f>IFERROR(__xludf.DUMMYFUNCTION("""COMPUTED_VALUE"""),0.9667919799498748)</f>
        <v>0.9667919799</v>
      </c>
      <c r="V2727" s="82">
        <f>IFERROR(__xludf.DUMMYFUNCTION("""COMPUTED_VALUE"""),0.6380395433027012)</f>
        <v>0.6380395433</v>
      </c>
      <c r="W2727" s="82">
        <f>IFERROR(__xludf.DUMMYFUNCTION("""COMPUTED_VALUE"""),1.1764550264550264)</f>
        <v>1.176455026</v>
      </c>
      <c r="X2727" s="82">
        <f>IFERROR(__xludf.DUMMYFUNCTION("""COMPUTED_VALUE"""),2.892522974101922)</f>
        <v>2.892522974</v>
      </c>
      <c r="Y2727" s="82">
        <f>IFERROR(__xludf.DUMMYFUNCTION("""COMPUTED_VALUE"""),332.41166341780377)</f>
        <v>332.4116634</v>
      </c>
      <c r="Z2727" s="82">
        <f>IFERROR(__xludf.DUMMYFUNCTION("""COMPUTED_VALUE"""),0.7061774807388841)</f>
        <v>0.7061774807</v>
      </c>
      <c r="AA2727" s="82">
        <f>IFERROR(__xludf.DUMMYFUNCTION("""COMPUTED_VALUE"""),0.44643089204492714)</f>
        <v>0.446430892</v>
      </c>
      <c r="AB2727" s="82">
        <f>IFERROR(__xludf.DUMMYFUNCTION("""COMPUTED_VALUE"""),1.410224635663232)</f>
        <v>1.410224636</v>
      </c>
      <c r="AC2727" s="82">
        <f>IFERROR(__xludf.DUMMYFUNCTION("""COMPUTED_VALUE"""),2.2880905968625274)</f>
        <v>2.288090597</v>
      </c>
      <c r="AD2727" s="82">
        <f>IFERROR(__xludf.DUMMYFUNCTION("""COMPUTED_VALUE"""),1.3657763850162306)</f>
        <v>1.365776385</v>
      </c>
      <c r="AE2727" s="82">
        <f>IFERROR(__xludf.DUMMYFUNCTION("""COMPUTED_VALUE"""),1.4160746091105667)</f>
        <v>1.416074609</v>
      </c>
      <c r="AF2727" s="82">
        <f>IFERROR(__xludf.DUMMYFUNCTION("""COMPUTED_VALUE"""),0.0)</f>
        <v>0</v>
      </c>
      <c r="AG2727" s="82">
        <f>IFERROR(__xludf.DUMMYFUNCTION("""COMPUTED_VALUE"""),2.12732065809437)</f>
        <v>2.127320658</v>
      </c>
      <c r="AH2727" s="82">
        <f>IFERROR(__xludf.DUMMYFUNCTION("""COMPUTED_VALUE"""),1.7481825262884585)</f>
        <v>1.748182526</v>
      </c>
      <c r="AI2727" s="82">
        <f>IFERROR(__xludf.DUMMYFUNCTION("""COMPUTED_VALUE"""),1.393768391114421)</f>
        <v>1.393768391</v>
      </c>
      <c r="AJ2727" s="82">
        <f>IFERROR(__xludf.DUMMYFUNCTION("""COMPUTED_VALUE"""),1.7239144523655217)</f>
        <v>1.723914452</v>
      </c>
      <c r="AK2727" s="82">
        <f>IFERROR(__xludf.DUMMYFUNCTION("""COMPUTED_VALUE"""),2.0897346368715084)</f>
        <v>2.089734637</v>
      </c>
      <c r="AL2727" s="82">
        <f>IFERROR(__xludf.DUMMYFUNCTION("""COMPUTED_VALUE"""),1.1333483247132898)</f>
        <v>1.133348325</v>
      </c>
      <c r="AM2727" s="82">
        <f>IFERROR(__xludf.DUMMYFUNCTION("""COMPUTED_VALUE"""),1.3828757924531025)</f>
        <v>1.382875792</v>
      </c>
      <c r="AN2727" s="82">
        <f>IFERROR(__xludf.DUMMYFUNCTION("""COMPUTED_VALUE"""),1.4119926503372326)</f>
        <v>1.41199265</v>
      </c>
      <c r="AO2727" s="82">
        <f>IFERROR(__xludf.DUMMYFUNCTION("""COMPUTED_VALUE"""),1.362572033011003)</f>
        <v>1.362572033</v>
      </c>
      <c r="AP2727" s="82">
        <f>IFERROR(__xludf.DUMMYFUNCTION("""COMPUTED_VALUE"""),0.0)</f>
        <v>0</v>
      </c>
      <c r="AQ2727" s="82">
        <f>IFERROR(__xludf.DUMMYFUNCTION("""COMPUTED_VALUE"""),2.5767165798145117)</f>
        <v>2.57671658</v>
      </c>
      <c r="AR2727" s="82">
        <f>IFERROR(__xludf.DUMMYFUNCTION("""COMPUTED_VALUE"""),1.7283917044496677)</f>
        <v>1.728391704</v>
      </c>
      <c r="AS2727" s="82">
        <f>IFERROR(__xludf.DUMMYFUNCTION("""COMPUTED_VALUE"""),4.0)</f>
        <v>4</v>
      </c>
      <c r="AT2727" s="82">
        <f>IFERROR(__xludf.DUMMYFUNCTION("""COMPUTED_VALUE"""),0.3967011143046406)</f>
        <v>0.3967011143</v>
      </c>
      <c r="AU2727" s="82">
        <f>IFERROR(__xludf.DUMMYFUNCTION("""COMPUTED_VALUE"""),2.4313244718270877)</f>
        <v>2.431324472</v>
      </c>
      <c r="AV2727" s="82">
        <f>IFERROR(__xludf.DUMMYFUNCTION("""COMPUTED_VALUE"""),58.60110062611243)</f>
        <v>58.60110063</v>
      </c>
      <c r="AW2727" s="82">
        <f t="shared" si="1"/>
        <v>2.736677528</v>
      </c>
      <c r="AX2727" s="83">
        <f t="array" ref="AX2727">IFERROR(DGET('SBV Import'!A:G,"SBV",{"RSC ID","Tier";B2727,A2727}))</f>
        <v>19.80820188</v>
      </c>
      <c r="AY2727" s="82">
        <f t="shared" si="2"/>
        <v>-8.803844483</v>
      </c>
      <c r="AZ2727" s="82">
        <v>11.540522011019487</v>
      </c>
      <c r="BA2727" s="84">
        <v>2700.0</v>
      </c>
      <c r="BB2727" s="84" t="b">
        <f>IFERROR(__xludf.DUMMYFUNCTION("iferror(if(A2727="""",,E2727&gt;=FILTER(Constants!$F$2:$F$10,Constants!$A$2:$A$10=A2727)))"),TRUE)</f>
        <v>1</v>
      </c>
    </row>
    <row r="2728">
      <c r="A2728" s="89" t="str">
        <f>IFERROR(__xludf.DUMMYFUNCTION("""COMPUTED_VALUE"""),"Prospect")</f>
        <v>Prospect</v>
      </c>
      <c r="B2728" s="87" t="str">
        <f>IFERROR(__xludf.DUMMYFUNCTION("""COMPUTED_VALUE"""),"RSC007141")</f>
        <v>RSC007141</v>
      </c>
      <c r="C2728" s="73" t="str">
        <f>IFERROR(__xludf.DUMMYFUNCTION("""COMPUTED_VALUE"""),"Cuddlingus")</f>
        <v>Cuddlingus</v>
      </c>
      <c r="D2728" s="73" t="str">
        <f>IFERROR(__xludf.DUMMYFUNCTION("""COMPUTED_VALUE"""),"Skeletons")</f>
        <v>Skeletons</v>
      </c>
      <c r="E2728" s="82">
        <f>IFERROR(__xludf.DUMMYFUNCTION("""COMPUTED_VALUE"""),28.0)</f>
        <v>28</v>
      </c>
      <c r="F2728" s="82">
        <f>IFERROR(__xludf.DUMMYFUNCTION("""COMPUTED_VALUE"""),13.0)</f>
        <v>13</v>
      </c>
      <c r="G2728" s="86">
        <f>IFERROR(__xludf.DUMMYFUNCTION("""COMPUTED_VALUE"""),15.0)</f>
        <v>15</v>
      </c>
      <c r="H2728" s="86">
        <f>IFERROR(__xludf.DUMMYFUNCTION("""COMPUTED_VALUE"""),0.4642857142857143)</f>
        <v>0.4642857143</v>
      </c>
      <c r="I2728" s="86">
        <f>IFERROR(__xludf.DUMMYFUNCTION("""COMPUTED_VALUE"""),0.3194444444444444)</f>
        <v>0.3194444444</v>
      </c>
      <c r="J2728" s="82">
        <f>IFERROR(__xludf.DUMMYFUNCTION("""COMPUTED_VALUE"""),323.10714285714283)</f>
        <v>323.1071429</v>
      </c>
      <c r="K2728" s="82">
        <f>IFERROR(__xludf.DUMMYFUNCTION("""COMPUTED_VALUE"""),0.8214285714285714)</f>
        <v>0.8214285714</v>
      </c>
      <c r="L2728" s="82">
        <f>IFERROR(__xludf.DUMMYFUNCTION("""COMPUTED_VALUE"""),0.39285714285714285)</f>
        <v>0.3928571429</v>
      </c>
      <c r="M2728" s="82">
        <f>IFERROR(__xludf.DUMMYFUNCTION("""COMPUTED_VALUE"""),1.0)</f>
        <v>1</v>
      </c>
      <c r="N2728" s="82">
        <f>IFERROR(__xludf.DUMMYFUNCTION("""COMPUTED_VALUE"""),2.5714285714285716)</f>
        <v>2.571428571</v>
      </c>
      <c r="O2728" s="82">
        <f>IFERROR(__xludf.DUMMYFUNCTION("""COMPUTED_VALUE"""),346.7619047619047)</f>
        <v>346.7619048</v>
      </c>
      <c r="P2728" s="82">
        <f>IFERROR(__xludf.DUMMYFUNCTION("""COMPUTED_VALUE"""),0.8690476190476192)</f>
        <v>0.869047619</v>
      </c>
      <c r="Q2728" s="82">
        <f>IFERROR(__xludf.DUMMYFUNCTION("""COMPUTED_VALUE"""),0.5595238095238095)</f>
        <v>0.5595238095</v>
      </c>
      <c r="R2728" s="82">
        <f>IFERROR(__xludf.DUMMYFUNCTION("""COMPUTED_VALUE"""),1.2499999999999998)</f>
        <v>1.25</v>
      </c>
      <c r="S2728" s="82">
        <f>IFERROR(__xludf.DUMMYFUNCTION("""COMPUTED_VALUE"""),2.3928571428571423)</f>
        <v>2.392857143</v>
      </c>
      <c r="T2728" s="82">
        <f>IFERROR(__xludf.DUMMYFUNCTION("""COMPUTED_VALUE"""),342.9290025787203)</f>
        <v>342.9290026</v>
      </c>
      <c r="U2728" s="82">
        <f>IFERROR(__xludf.DUMMYFUNCTION("""COMPUTED_VALUE"""),0.8697151040502108)</f>
        <v>0.8697151041</v>
      </c>
      <c r="V2728" s="82">
        <f>IFERROR(__xludf.DUMMYFUNCTION("""COMPUTED_VALUE"""),0.5747890059754764)</f>
        <v>0.574789006</v>
      </c>
      <c r="W2728" s="82">
        <f>IFERROR(__xludf.DUMMYFUNCTION("""COMPUTED_VALUE"""),1.1500185079306822)</f>
        <v>1.150018508</v>
      </c>
      <c r="X2728" s="82">
        <f>IFERROR(__xludf.DUMMYFUNCTION("""COMPUTED_VALUE"""),2.5270023288052186)</f>
        <v>2.527002329</v>
      </c>
      <c r="Y2728" s="82">
        <f>IFERROR(__xludf.DUMMYFUNCTION("""COMPUTED_VALUE"""),332.50244901774266)</f>
        <v>332.502449</v>
      </c>
      <c r="Z2728" s="82">
        <f>IFERROR(__xludf.DUMMYFUNCTION("""COMPUTED_VALUE"""),0.7663482866192519)</f>
        <v>0.7663482866</v>
      </c>
      <c r="AA2728" s="82">
        <f>IFERROR(__xludf.DUMMYFUNCTION("""COMPUTED_VALUE"""),0.513422330342858)</f>
        <v>0.5134223303</v>
      </c>
      <c r="AB2728" s="82">
        <f>IFERROR(__xludf.DUMMYFUNCTION("""COMPUTED_VALUE"""),1.2189224698848895)</f>
        <v>1.21892247</v>
      </c>
      <c r="AC2728" s="82">
        <f>IFERROR(__xludf.DUMMYFUNCTION("""COMPUTED_VALUE"""),2.3619787443539835)</f>
        <v>2.361978744</v>
      </c>
      <c r="AD2728" s="82">
        <f>IFERROR(__xludf.DUMMYFUNCTION("""COMPUTED_VALUE"""),0.9717436482397203)</f>
        <v>0.9717436482</v>
      </c>
      <c r="AE2728" s="82">
        <f>IFERROR(__xludf.DUMMYFUNCTION("""COMPUTED_VALUE"""),1.071873697339765)</f>
        <v>1.071873697</v>
      </c>
      <c r="AF2728" s="82">
        <f>IFERROR(__xludf.DUMMYFUNCTION("""COMPUTED_VALUE"""),0.7651734637151387)</f>
        <v>0.7651734637</v>
      </c>
      <c r="AG2728" s="82">
        <f>IFERROR(__xludf.DUMMYFUNCTION("""COMPUTED_VALUE"""),0.8203967230946495)</f>
        <v>0.8203967231</v>
      </c>
      <c r="AH2728" s="82">
        <f>IFERROR(__xludf.DUMMYFUNCTION("""COMPUTED_VALUE"""),1.08867557660087)</f>
        <v>1.088675577</v>
      </c>
      <c r="AI2728" s="82">
        <f>IFERROR(__xludf.DUMMYFUNCTION("""COMPUTED_VALUE"""),1.0111769554466439)</f>
        <v>1.011176955</v>
      </c>
      <c r="AJ2728" s="82">
        <f>IFERROR(__xludf.DUMMYFUNCTION("""COMPUTED_VALUE"""),0.9992325245365026)</f>
        <v>0.9992325245</v>
      </c>
      <c r="AK2728" s="82">
        <f>IFERROR(__xludf.DUMMYFUNCTION("""COMPUTED_VALUE"""),0.9734420869345608)</f>
        <v>0.9734420869</v>
      </c>
      <c r="AL2728" s="82">
        <f>IFERROR(__xludf.DUMMYFUNCTION("""COMPUTED_VALUE"""),1.0869390287024354)</f>
        <v>1.086939029</v>
      </c>
      <c r="AM2728" s="82">
        <f>IFERROR(__xludf.DUMMYFUNCTION("""COMPUTED_VALUE"""),0.9469152899390082)</f>
        <v>0.9469152899</v>
      </c>
      <c r="AN2728" s="82">
        <f>IFERROR(__xludf.DUMMYFUNCTION("""COMPUTED_VALUE"""),1.0049006849906343)</f>
        <v>1.004900685</v>
      </c>
      <c r="AO2728" s="82">
        <f>IFERROR(__xludf.DUMMYFUNCTION("""COMPUTED_VALUE"""),1.1192555985447523)</f>
        <v>1.119255599</v>
      </c>
      <c r="AP2728" s="82">
        <f>IFERROR(__xludf.DUMMYFUNCTION("""COMPUTED_VALUE"""),0.7858490799399392)</f>
        <v>0.7858490799</v>
      </c>
      <c r="AQ2728" s="82">
        <f>IFERROR(__xludf.DUMMYFUNCTION("""COMPUTED_VALUE"""),0.8589055266048372)</f>
        <v>0.8589055266</v>
      </c>
      <c r="AR2728" s="82">
        <f>IFERROR(__xludf.DUMMYFUNCTION("""COMPUTED_VALUE"""),1.1111089528605007)</f>
        <v>1.111108953</v>
      </c>
      <c r="AS2728" s="82">
        <f>IFERROR(__xludf.DUMMYFUNCTION("""COMPUTED_VALUE"""),70.0)</f>
        <v>70</v>
      </c>
      <c r="AT2728" s="82">
        <f>IFERROR(__xludf.DUMMYFUNCTION("""COMPUTED_VALUE"""),0.48325428956390115)</f>
        <v>0.4832542896</v>
      </c>
      <c r="AU2728" s="82">
        <f>IFERROR(__xludf.DUMMYFUNCTION("""COMPUTED_VALUE"""),2.3706427609410317)</f>
        <v>2.370642761</v>
      </c>
      <c r="AV2728" s="82">
        <f>IFERROR(__xludf.DUMMYFUNCTION("""COMPUTED_VALUE"""),56.959189913565886)</f>
        <v>56.95918991</v>
      </c>
      <c r="AW2728" s="82">
        <f t="shared" si="1"/>
        <v>2.561704444</v>
      </c>
      <c r="AX2728" s="83">
        <f t="array" ref="AX2728">IFERROR(DGET('SBV Import'!A:G,"SBV",{"RSC ID","Tier";B2728,A2728}))</f>
        <v>44.61135331</v>
      </c>
      <c r="AY2728" s="82">
        <f t="shared" si="2"/>
        <v>-2.411551074</v>
      </c>
      <c r="AZ2728" s="82">
        <v>4.973255517638457</v>
      </c>
      <c r="BA2728" s="84">
        <v>2700.0</v>
      </c>
      <c r="BB2728" s="84" t="b">
        <f>IFERROR(__xludf.DUMMYFUNCTION("iferror(if(A2728="""",,E2728&gt;=FILTER(Constants!$F$2:$F$10,Constants!$A$2:$A$10=A2728)))"),TRUE)</f>
        <v>1</v>
      </c>
    </row>
    <row r="2729">
      <c r="A2729" s="89" t="str">
        <f>IFERROR(__xludf.DUMMYFUNCTION("""COMPUTED_VALUE"""),"Prospect")</f>
        <v>Prospect</v>
      </c>
      <c r="B2729" s="87" t="str">
        <f>IFERROR(__xludf.DUMMYFUNCTION("""COMPUTED_VALUE"""),"RSC007487")</f>
        <v>RSC007487</v>
      </c>
      <c r="C2729" s="73" t="str">
        <f>IFERROR(__xludf.DUMMYFUNCTION("""COMPUTED_VALUE"""),"YoloOnTinder")</f>
        <v>YoloOnTinder</v>
      </c>
      <c r="D2729" s="73" t="str">
        <f>IFERROR(__xludf.DUMMYFUNCTION("""COMPUTED_VALUE"""),"Dime")</f>
        <v>Dime</v>
      </c>
      <c r="E2729" s="82">
        <f>IFERROR(__xludf.DUMMYFUNCTION("""COMPUTED_VALUE"""),30.0)</f>
        <v>30</v>
      </c>
      <c r="F2729" s="82">
        <f>IFERROR(__xludf.DUMMYFUNCTION("""COMPUTED_VALUE"""),21.0)</f>
        <v>21</v>
      </c>
      <c r="G2729" s="86">
        <f>IFERROR(__xludf.DUMMYFUNCTION("""COMPUTED_VALUE"""),9.0)</f>
        <v>9</v>
      </c>
      <c r="H2729" s="86">
        <f>IFERROR(__xludf.DUMMYFUNCTION("""COMPUTED_VALUE"""),0.7)</f>
        <v>0.7</v>
      </c>
      <c r="I2729" s="86">
        <f>IFERROR(__xludf.DUMMYFUNCTION("""COMPUTED_VALUE"""),0.21428571428571427)</f>
        <v>0.2142857143</v>
      </c>
      <c r="J2729" s="82">
        <f>IFERROR(__xludf.DUMMYFUNCTION("""COMPUTED_VALUE"""),289.7)</f>
        <v>289.7</v>
      </c>
      <c r="K2729" s="82">
        <f>IFERROR(__xludf.DUMMYFUNCTION("""COMPUTED_VALUE"""),0.5)</f>
        <v>0.5</v>
      </c>
      <c r="L2729" s="82">
        <f>IFERROR(__xludf.DUMMYFUNCTION("""COMPUTED_VALUE"""),0.9333333333333333)</f>
        <v>0.9333333333</v>
      </c>
      <c r="M2729" s="82">
        <f>IFERROR(__xludf.DUMMYFUNCTION("""COMPUTED_VALUE"""),0.8)</f>
        <v>0.8</v>
      </c>
      <c r="N2729" s="82">
        <f>IFERROR(__xludf.DUMMYFUNCTION("""COMPUTED_VALUE"""),2.3333333333333335)</f>
        <v>2.333333333</v>
      </c>
      <c r="O2729" s="82">
        <f>IFERROR(__xludf.DUMMYFUNCTION("""COMPUTED_VALUE"""),299.32222222222225)</f>
        <v>299.3222222</v>
      </c>
      <c r="P2729" s="82">
        <f>IFERROR(__xludf.DUMMYFUNCTION("""COMPUTED_VALUE"""),0.6)</f>
        <v>0.6</v>
      </c>
      <c r="Q2729" s="82">
        <f>IFERROR(__xludf.DUMMYFUNCTION("""COMPUTED_VALUE"""),0.4555555555555555)</f>
        <v>0.4555555556</v>
      </c>
      <c r="R2729" s="82">
        <f>IFERROR(__xludf.DUMMYFUNCTION("""COMPUTED_VALUE"""),1.2444444444444445)</f>
        <v>1.244444444</v>
      </c>
      <c r="S2729" s="82">
        <f>IFERROR(__xludf.DUMMYFUNCTION("""COMPUTED_VALUE"""),1.9000000000000001)</f>
        <v>1.9</v>
      </c>
      <c r="T2729" s="82">
        <f>IFERROR(__xludf.DUMMYFUNCTION("""COMPUTED_VALUE"""),336.63401729361954)</f>
        <v>336.6340173</v>
      </c>
      <c r="U2729" s="82">
        <f>IFERROR(__xludf.DUMMYFUNCTION("""COMPUTED_VALUE"""),0.7878944697301409)</f>
        <v>0.7878944697</v>
      </c>
      <c r="V2729" s="82">
        <f>IFERROR(__xludf.DUMMYFUNCTION("""COMPUTED_VALUE"""),0.5297863251741869)</f>
        <v>0.5297863252</v>
      </c>
      <c r="W2729" s="82">
        <f>IFERROR(__xludf.DUMMYFUNCTION("""COMPUTED_VALUE"""),1.2187050383301334)</f>
        <v>1.218705038</v>
      </c>
      <c r="X2729" s="82">
        <f>IFERROR(__xludf.DUMMYFUNCTION("""COMPUTED_VALUE"""),2.457343574016228)</f>
        <v>2.457343574</v>
      </c>
      <c r="Y2729" s="82">
        <f>IFERROR(__xludf.DUMMYFUNCTION("""COMPUTED_VALUE"""),334.3677708175608)</f>
        <v>334.3677708</v>
      </c>
      <c r="Z2729" s="82">
        <f>IFERROR(__xludf.DUMMYFUNCTION("""COMPUTED_VALUE"""),0.7817712376397999)</f>
        <v>0.7817712376</v>
      </c>
      <c r="AA2729" s="82">
        <f>IFERROR(__xludf.DUMMYFUNCTION("""COMPUTED_VALUE"""),0.526247596559606)</f>
        <v>0.5262475966</v>
      </c>
      <c r="AB2729" s="82">
        <f>IFERROR(__xludf.DUMMYFUNCTION("""COMPUTED_VALUE"""),1.187512123152239)</f>
        <v>1.187512123</v>
      </c>
      <c r="AC2729" s="82">
        <f>IFERROR(__xludf.DUMMYFUNCTION("""COMPUTED_VALUE"""),2.442033893744843)</f>
        <v>2.442033894</v>
      </c>
      <c r="AD2729" s="82">
        <f>IFERROR(__xludf.DUMMYFUNCTION("""COMPUTED_VALUE"""),0.8664112551627092)</f>
        <v>0.8664112552</v>
      </c>
      <c r="AE2729" s="82">
        <f>IFERROR(__xludf.DUMMYFUNCTION("""COMPUTED_VALUE"""),0.6395732868217574)</f>
        <v>0.6395732868</v>
      </c>
      <c r="AF2729" s="82">
        <f>IFERROR(__xludf.DUMMYFUNCTION("""COMPUTED_VALUE"""),1.773563127765503)</f>
        <v>1.773563128</v>
      </c>
      <c r="AG2729" s="82">
        <f>IFERROR(__xludf.DUMMYFUNCTION("""COMPUTED_VALUE"""),0.6736773329744273)</f>
        <v>0.673677333</v>
      </c>
      <c r="AH2729" s="82">
        <f>IFERROR(__xludf.DUMMYFUNCTION("""COMPUTED_VALUE"""),0.9554876938072232)</f>
        <v>0.9554876938</v>
      </c>
      <c r="AI2729" s="82">
        <f>IFERROR(__xludf.DUMMYFUNCTION("""COMPUTED_VALUE"""),0.8891621370550525)</f>
        <v>0.8891621371</v>
      </c>
      <c r="AJ2729" s="82">
        <f>IFERROR(__xludf.DUMMYFUNCTION("""COMPUTED_VALUE"""),0.7615233042637093)</f>
        <v>0.7615233043</v>
      </c>
      <c r="AK2729" s="82">
        <f>IFERROR(__xludf.DUMMYFUNCTION("""COMPUTED_VALUE"""),0.8598854555292168)</f>
        <v>0.8598854555</v>
      </c>
      <c r="AL2729" s="82">
        <f>IFERROR(__xludf.DUMMYFUNCTION("""COMPUTED_VALUE"""),1.0211202918710989)</f>
        <v>1.021120292</v>
      </c>
      <c r="AM2729" s="82">
        <f>IFERROR(__xludf.DUMMYFUNCTION("""COMPUTED_VALUE"""),0.7731926540881225)</f>
        <v>0.7731926541</v>
      </c>
      <c r="AN2729" s="82">
        <f>IFERROR(__xludf.DUMMYFUNCTION("""COMPUTED_VALUE"""),0.9010005964817098)</f>
        <v>0.9010005965</v>
      </c>
      <c r="AO2729" s="82">
        <f>IFERROR(__xludf.DUMMYFUNCTION("""COMPUTED_VALUE"""),0.6812860165055015)</f>
        <v>0.6812860165</v>
      </c>
      <c r="AP2729" s="82">
        <f>IFERROR(__xludf.DUMMYFUNCTION("""COMPUTED_VALUE"""),1.8669869050694314)</f>
        <v>1.866986905</v>
      </c>
      <c r="AQ2729" s="82">
        <f>IFERROR(__xludf.DUMMYFUNCTION("""COMPUTED_VALUE"""),0.6871244212838697)</f>
        <v>0.6871244213</v>
      </c>
      <c r="AR2729" s="82">
        <f>IFERROR(__xludf.DUMMYFUNCTION("""COMPUTED_VALUE"""),1.0082284942623063)</f>
        <v>1.008228494</v>
      </c>
      <c r="AS2729" s="82">
        <f>IFERROR(__xludf.DUMMYFUNCTION("""COMPUTED_VALUE"""),91.0)</f>
        <v>91</v>
      </c>
      <c r="AT2729" s="82">
        <f>IFERROR(__xludf.DUMMYFUNCTION("""COMPUTED_VALUE"""),0.6942891863395608)</f>
        <v>0.6942891863</v>
      </c>
      <c r="AU2729" s="82">
        <f>IFERROR(__xludf.DUMMYFUNCTION("""COMPUTED_VALUE"""),2.358355849571516)</f>
        <v>2.35835585</v>
      </c>
      <c r="AV2729" s="82">
        <f>IFERROR(__xludf.DUMMYFUNCTION("""COMPUTED_VALUE"""),56.62673370712175)</f>
        <v>56.62673371</v>
      </c>
      <c r="AW2729" s="82">
        <f t="shared" si="1"/>
        <v>2.528585535</v>
      </c>
      <c r="AX2729" s="83">
        <f t="array" ref="AX2729">IFERROR(DGET('SBV Import'!A:G,"SBV",{"RSC ID","Tier";B2729,A2729}))</f>
        <v>55.4162436</v>
      </c>
      <c r="AY2729" s="82">
        <f t="shared" si="2"/>
        <v>2.414055647</v>
      </c>
      <c r="AZ2729" s="82">
        <v>0.11452988737281489</v>
      </c>
      <c r="BA2729" s="84">
        <v>2700.0</v>
      </c>
      <c r="BB2729" s="84" t="b">
        <f>IFERROR(__xludf.DUMMYFUNCTION("iferror(if(A2729="""",,E2729&gt;=FILTER(Constants!$F$2:$F$10,Constants!$A$2:$A$10=A2729)))"),TRUE)</f>
        <v>1</v>
      </c>
    </row>
    <row r="2730">
      <c r="A2730" s="89" t="str">
        <f>IFERROR(__xludf.DUMMYFUNCTION("""COMPUTED_VALUE"""),"Prospect")</f>
        <v>Prospect</v>
      </c>
      <c r="B2730" s="87" t="str">
        <f>IFERROR(__xludf.DUMMYFUNCTION("""COMPUTED_VALUE"""),"RSC006586")</f>
        <v>RSC006586</v>
      </c>
      <c r="C2730" s="73" t="str">
        <f>IFERROR(__xludf.DUMMYFUNCTION("""COMPUTED_VALUE"""),"dino_chick3n")</f>
        <v>dino_chick3n</v>
      </c>
      <c r="D2730" s="73"/>
      <c r="E2730" s="82">
        <f>IFERROR(__xludf.DUMMYFUNCTION("""COMPUTED_VALUE"""),14.0)</f>
        <v>14</v>
      </c>
      <c r="F2730" s="82">
        <f>IFERROR(__xludf.DUMMYFUNCTION("""COMPUTED_VALUE"""),4.0)</f>
        <v>4</v>
      </c>
      <c r="G2730" s="86">
        <f>IFERROR(__xludf.DUMMYFUNCTION("""COMPUTED_VALUE"""),10.0)</f>
        <v>10</v>
      </c>
      <c r="H2730" s="86">
        <f>IFERROR(__xludf.DUMMYFUNCTION("""COMPUTED_VALUE"""),0.2857142857142857)</f>
        <v>0.2857142857</v>
      </c>
      <c r="I2730" s="86">
        <f>IFERROR(__xludf.DUMMYFUNCTION("""COMPUTED_VALUE"""),0.2857142857142857)</f>
        <v>0.2857142857</v>
      </c>
      <c r="J2730" s="82">
        <f>IFERROR(__xludf.DUMMYFUNCTION("""COMPUTED_VALUE"""),342.0)</f>
        <v>342</v>
      </c>
      <c r="K2730" s="82">
        <f>IFERROR(__xludf.DUMMYFUNCTION("""COMPUTED_VALUE"""),0.7142857142857143)</f>
        <v>0.7142857143</v>
      </c>
      <c r="L2730" s="82">
        <f>IFERROR(__xludf.DUMMYFUNCTION("""COMPUTED_VALUE"""),0.5714285714285714)</f>
        <v>0.5714285714</v>
      </c>
      <c r="M2730" s="82">
        <f>IFERROR(__xludf.DUMMYFUNCTION("""COMPUTED_VALUE"""),1.1428571428571428)</f>
        <v>1.142857143</v>
      </c>
      <c r="N2730" s="82">
        <f>IFERROR(__xludf.DUMMYFUNCTION("""COMPUTED_VALUE"""),2.5)</f>
        <v>2.5</v>
      </c>
      <c r="O2730" s="82">
        <f>IFERROR(__xludf.DUMMYFUNCTION("""COMPUTED_VALUE"""),358.4047619047619)</f>
        <v>358.4047619</v>
      </c>
      <c r="P2730" s="82">
        <f>IFERROR(__xludf.DUMMYFUNCTION("""COMPUTED_VALUE"""),0.9285714285714287)</f>
        <v>0.9285714286</v>
      </c>
      <c r="Q2730" s="82">
        <f>IFERROR(__xludf.DUMMYFUNCTION("""COMPUTED_VALUE"""),0.6904761904761905)</f>
        <v>0.6904761905</v>
      </c>
      <c r="R2730" s="82">
        <f>IFERROR(__xludf.DUMMYFUNCTION("""COMPUTED_VALUE"""),1.4047619047619047)</f>
        <v>1.404761905</v>
      </c>
      <c r="S2730" s="82">
        <f>IFERROR(__xludf.DUMMYFUNCTION("""COMPUTED_VALUE"""),2.3095238095238098)</f>
        <v>2.30952381</v>
      </c>
      <c r="T2730" s="82">
        <f>IFERROR(__xludf.DUMMYFUNCTION("""COMPUTED_VALUE"""),339.23801406470693)</f>
        <v>339.2380141</v>
      </c>
      <c r="U2730" s="82">
        <f>IFERROR(__xludf.DUMMYFUNCTION("""COMPUTED_VALUE"""),0.8551570383750814)</f>
        <v>0.8551570384</v>
      </c>
      <c r="V2730" s="82">
        <f>IFERROR(__xludf.DUMMYFUNCTION("""COMPUTED_VALUE"""),0.6130845047356218)</f>
        <v>0.6130845047</v>
      </c>
      <c r="W2730" s="82">
        <f>IFERROR(__xludf.DUMMYFUNCTION("""COMPUTED_VALUE"""),1.0853329139988186)</f>
        <v>1.085332914</v>
      </c>
      <c r="X2730" s="82">
        <f>IFERROR(__xludf.DUMMYFUNCTION("""COMPUTED_VALUE"""),2.5200574021770348)</f>
        <v>2.520057402</v>
      </c>
      <c r="Y2730" s="82">
        <f>IFERROR(__xludf.DUMMYFUNCTION("""COMPUTED_VALUE"""),325.1770902938738)</f>
        <v>325.1770903</v>
      </c>
      <c r="Z2730" s="82">
        <f>IFERROR(__xludf.DUMMYFUNCTION("""COMPUTED_VALUE"""),0.7544581454747552)</f>
        <v>0.7544581455</v>
      </c>
      <c r="AA2730" s="82">
        <f>IFERROR(__xludf.DUMMYFUNCTION("""COMPUTED_VALUE"""),0.49748999912615727)</f>
        <v>0.4974899991</v>
      </c>
      <c r="AB2730" s="82">
        <f>IFERROR(__xludf.DUMMYFUNCTION("""COMPUTED_VALUE"""),1.2103753652174536)</f>
        <v>1.210375365</v>
      </c>
      <c r="AC2730" s="82">
        <f>IFERROR(__xludf.DUMMYFUNCTION("""COMPUTED_VALUE"""),2.239568590667786)</f>
        <v>2.239568591</v>
      </c>
      <c r="AD2730" s="82">
        <f>IFERROR(__xludf.DUMMYFUNCTION("""COMPUTED_VALUE"""),1.0517346092583668)</f>
        <v>1.051734609</v>
      </c>
      <c r="AE2730" s="82">
        <f>IFERROR(__xludf.DUMMYFUNCTION("""COMPUTED_VALUE"""),0.9467532673217257)</f>
        <v>0.9467532673</v>
      </c>
      <c r="AF2730" s="82">
        <f>IFERROR(__xludf.DUMMYFUNCTION("""COMPUTED_VALUE"""),1.1486232334967286)</f>
        <v>1.148623233</v>
      </c>
      <c r="AG2730" s="82">
        <f>IFERROR(__xludf.DUMMYFUNCTION("""COMPUTED_VALUE"""),0.9442171211505279)</f>
        <v>0.9442171212</v>
      </c>
      <c r="AH2730" s="82">
        <f>IFERROR(__xludf.DUMMYFUNCTION("""COMPUTED_VALUE"""),1.1162864180259644)</f>
        <v>1.116286418</v>
      </c>
      <c r="AI2730" s="82">
        <f>IFERROR(__xludf.DUMMYFUNCTION("""COMPUTED_VALUE"""),1.0564994105772565)</f>
        <v>1.056499411</v>
      </c>
      <c r="AJ2730" s="82">
        <f>IFERROR(__xludf.DUMMYFUNCTION("""COMPUTED_VALUE"""),1.0858490159139016)</f>
        <v>1.085849016</v>
      </c>
      <c r="AK2730" s="82">
        <f>IFERROR(__xludf.DUMMYFUNCTION("""COMPUTED_VALUE"""),1.126233309018211)</f>
        <v>1.126233309</v>
      </c>
      <c r="AL2730" s="82">
        <f>IFERROR(__xludf.DUMMYFUNCTION("""COMPUTED_VALUE"""),1.2943142943911805)</f>
        <v>1.294314294</v>
      </c>
      <c r="AM2730" s="82">
        <f>IFERROR(__xludf.DUMMYFUNCTION("""COMPUTED_VALUE"""),0.9164568265503203)</f>
        <v>0.9164568266</v>
      </c>
      <c r="AN2730" s="82">
        <f>IFERROR(__xludf.DUMMYFUNCTION("""COMPUTED_VALUE"""),1.0636596617077831)</f>
        <v>1.063659662</v>
      </c>
      <c r="AO2730" s="82">
        <f>IFERROR(__xludf.DUMMYFUNCTION("""COMPUTED_VALUE"""),0.973265737865002)</f>
        <v>0.9732657379</v>
      </c>
      <c r="AP2730" s="82">
        <f>IFERROR(__xludf.DUMMYFUNCTION("""COMPUTED_VALUE"""),1.143053207185366)</f>
        <v>1.143053207</v>
      </c>
      <c r="AQ2730" s="82">
        <f>IFERROR(__xludf.DUMMYFUNCTION("""COMPUTED_VALUE"""),0.9816063161198139)</f>
        <v>0.9816063161</v>
      </c>
      <c r="AR2730" s="82">
        <f>IFERROR(__xludf.DUMMYFUNCTION("""COMPUTED_VALUE"""),1.0802448152810424)</f>
        <v>1.080244815</v>
      </c>
      <c r="AS2730" s="82">
        <f>IFERROR(__xludf.DUMMYFUNCTION("""COMPUTED_VALUE"""),29.0)</f>
        <v>29</v>
      </c>
      <c r="AT2730" s="82">
        <f>IFERROR(__xludf.DUMMYFUNCTION("""COMPUTED_VALUE"""),0.38549046449711494)</f>
        <v>0.3854904645</v>
      </c>
      <c r="AU2730" s="82">
        <f>IFERROR(__xludf.DUMMYFUNCTION("""COMPUTED_VALUE"""),2.3388901420626045)</f>
        <v>2.338890142</v>
      </c>
      <c r="AV2730" s="82">
        <f>IFERROR(__xludf.DUMMYFUNCTION("""COMPUTED_VALUE"""),56.100035411712895)</f>
        <v>56.10003541</v>
      </c>
      <c r="AW2730" s="82">
        <f t="shared" si="1"/>
        <v>2.477609463</v>
      </c>
      <c r="AX2730" s="83">
        <f t="array" ref="AX2730">IFERROR(DGET('SBV Import'!A:G,"SBV",{"RSC ID","Tier";B2730,A2730}))</f>
        <v>54.77474084</v>
      </c>
      <c r="AY2730" s="82">
        <f t="shared" si="2"/>
        <v>2.357007111</v>
      </c>
      <c r="AZ2730" s="82">
        <v>0.12060235177472656</v>
      </c>
      <c r="BA2730" s="84">
        <v>2700.0</v>
      </c>
      <c r="BB2730" s="84" t="b">
        <f>IFERROR(__xludf.DUMMYFUNCTION("iferror(if(A2730="""",,E2730&gt;=FILTER(Constants!$F$2:$F$10,Constants!$A$2:$A$10=A2730)))"),TRUE)</f>
        <v>1</v>
      </c>
    </row>
    <row r="2731">
      <c r="A2731" s="89" t="str">
        <f>IFERROR(__xludf.DUMMYFUNCTION("""COMPUTED_VALUE"""),"Prospect")</f>
        <v>Prospect</v>
      </c>
      <c r="B2731" s="87" t="str">
        <f>IFERROR(__xludf.DUMMYFUNCTION("""COMPUTED_VALUE"""),"RSC003374")</f>
        <v>RSC003374</v>
      </c>
      <c r="C2731" s="73" t="str">
        <f>IFERROR(__xludf.DUMMYFUNCTION("""COMPUTED_VALUE"""),"Raisonbran")</f>
        <v>Raisonbran</v>
      </c>
      <c r="D2731" s="73" t="str">
        <f>IFERROR(__xludf.DUMMYFUNCTION("""COMPUTED_VALUE"""),"Skeletons")</f>
        <v>Skeletons</v>
      </c>
      <c r="E2731" s="82">
        <f>IFERROR(__xludf.DUMMYFUNCTION("""COMPUTED_VALUE"""),38.0)</f>
        <v>38</v>
      </c>
      <c r="F2731" s="82">
        <f>IFERROR(__xludf.DUMMYFUNCTION("""COMPUTED_VALUE"""),17.0)</f>
        <v>17</v>
      </c>
      <c r="G2731" s="86">
        <f>IFERROR(__xludf.DUMMYFUNCTION("""COMPUTED_VALUE"""),21.0)</f>
        <v>21</v>
      </c>
      <c r="H2731" s="86">
        <f>IFERROR(__xludf.DUMMYFUNCTION("""COMPUTED_VALUE"""),0.4473684210526316)</f>
        <v>0.4473684211</v>
      </c>
      <c r="I2731" s="86">
        <f>IFERROR(__xludf.DUMMYFUNCTION("""COMPUTED_VALUE"""),0.3626373626373626)</f>
        <v>0.3626373626</v>
      </c>
      <c r="J2731" s="82">
        <f>IFERROR(__xludf.DUMMYFUNCTION("""COMPUTED_VALUE"""),332.4736842105263)</f>
        <v>332.4736842</v>
      </c>
      <c r="K2731" s="82">
        <f>IFERROR(__xludf.DUMMYFUNCTION("""COMPUTED_VALUE"""),0.868421052631579)</f>
        <v>0.8684210526</v>
      </c>
      <c r="L2731" s="82">
        <f>IFERROR(__xludf.DUMMYFUNCTION("""COMPUTED_VALUE"""),0.3157894736842105)</f>
        <v>0.3157894737</v>
      </c>
      <c r="M2731" s="82">
        <f>IFERROR(__xludf.DUMMYFUNCTION("""COMPUTED_VALUE"""),1.2894736842105263)</f>
        <v>1.289473684</v>
      </c>
      <c r="N2731" s="82">
        <f>IFERROR(__xludf.DUMMYFUNCTION("""COMPUTED_VALUE"""),2.3947368421052633)</f>
        <v>2.394736842</v>
      </c>
      <c r="O2731" s="82">
        <f>IFERROR(__xludf.DUMMYFUNCTION("""COMPUTED_VALUE"""),321.83333333333337)</f>
        <v>321.8333333</v>
      </c>
      <c r="P2731" s="82">
        <f>IFERROR(__xludf.DUMMYFUNCTION("""COMPUTED_VALUE"""),0.7982456140350876)</f>
        <v>0.798245614</v>
      </c>
      <c r="Q2731" s="82">
        <f>IFERROR(__xludf.DUMMYFUNCTION("""COMPUTED_VALUE"""),0.48245614035087736)</f>
        <v>0.4824561404</v>
      </c>
      <c r="R2731" s="82">
        <f>IFERROR(__xludf.DUMMYFUNCTION("""COMPUTED_VALUE"""),1.0877192982456139)</f>
        <v>1.087719298</v>
      </c>
      <c r="S2731" s="82">
        <f>IFERROR(__xludf.DUMMYFUNCTION("""COMPUTED_VALUE"""),2.5614035087719302)</f>
        <v>2.561403509</v>
      </c>
      <c r="T2731" s="82">
        <f>IFERROR(__xludf.DUMMYFUNCTION("""COMPUTED_VALUE"""),329.59903850540866)</f>
        <v>329.5990385</v>
      </c>
      <c r="U2731" s="82">
        <f>IFERROR(__xludf.DUMMYFUNCTION("""COMPUTED_VALUE"""),0.7969843683507623)</f>
        <v>0.7969843684</v>
      </c>
      <c r="V2731" s="82">
        <f>IFERROR(__xludf.DUMMYFUNCTION("""COMPUTED_VALUE"""),0.5323429906926953)</f>
        <v>0.5323429907</v>
      </c>
      <c r="W2731" s="82">
        <f>IFERROR(__xludf.DUMMYFUNCTION("""COMPUTED_VALUE"""),1.143488144570025)</f>
        <v>1.143488145</v>
      </c>
      <c r="X2731" s="82">
        <f>IFERROR(__xludf.DUMMYFUNCTION("""COMPUTED_VALUE"""),2.3839399322293557)</f>
        <v>2.383939932</v>
      </c>
      <c r="Y2731" s="82">
        <f>IFERROR(__xludf.DUMMYFUNCTION("""COMPUTED_VALUE"""),333.6239513967076)</f>
        <v>333.6239514</v>
      </c>
      <c r="Z2731" s="82">
        <f>IFERROR(__xludf.DUMMYFUNCTION("""COMPUTED_VALUE"""),0.8015910260724886)</f>
        <v>0.8015910261</v>
      </c>
      <c r="AA2731" s="82">
        <f>IFERROR(__xludf.DUMMYFUNCTION("""COMPUTED_VALUE"""),0.5316669196974497)</f>
        <v>0.5316669197</v>
      </c>
      <c r="AB2731" s="82">
        <f>IFERROR(__xludf.DUMMYFUNCTION("""COMPUTED_VALUE"""),1.178233836024162)</f>
        <v>1.178233836</v>
      </c>
      <c r="AC2731" s="82">
        <f>IFERROR(__xludf.DUMMYFUNCTION("""COMPUTED_VALUE"""),2.3801377795986363)</f>
        <v>2.38013778</v>
      </c>
      <c r="AD2731" s="82">
        <f>IFERROR(__xludf.DUMMYFUNCTION("""COMPUTED_VALUE"""),0.9965522044164823)</f>
        <v>0.9965522044</v>
      </c>
      <c r="AE2731" s="82">
        <f>IFERROR(__xludf.DUMMYFUNCTION("""COMPUTED_VALUE"""),1.083371724963706)</f>
        <v>1.083371725</v>
      </c>
      <c r="AF2731" s="82">
        <f>IFERROR(__xludf.DUMMYFUNCTION("""COMPUTED_VALUE"""),0.5939611098315344)</f>
        <v>0.5939611098</v>
      </c>
      <c r="AG2731" s="82">
        <f>IFERROR(__xludf.DUMMYFUNCTION("""COMPUTED_VALUE"""),1.0944123694170358)</f>
        <v>1.094412369</v>
      </c>
      <c r="AH2731" s="82">
        <f>IFERROR(__xludf.DUMMYFUNCTION("""COMPUTED_VALUE"""),1.006133704792959)</f>
        <v>1.006133705</v>
      </c>
      <c r="AI2731" s="82">
        <f>IFERROR(__xludf.DUMMYFUNCTION("""COMPUTED_VALUE"""),0.9764389325670079)</f>
        <v>0.9764389326</v>
      </c>
      <c r="AJ2731" s="82">
        <f>IFERROR(__xludf.DUMMYFUNCTION("""COMPUTED_VALUE"""),1.0015825224865267)</f>
        <v>1.001582522</v>
      </c>
      <c r="AK2731" s="82">
        <f>IFERROR(__xludf.DUMMYFUNCTION("""COMPUTED_VALUE"""),0.9062881427688112)</f>
        <v>0.9062881428</v>
      </c>
      <c r="AL2731" s="82">
        <f>IFERROR(__xludf.DUMMYFUNCTION("""COMPUTED_VALUE"""),0.9512291871242956)</f>
        <v>0.9512291871</v>
      </c>
      <c r="AM2731" s="82">
        <f>IFERROR(__xludf.DUMMYFUNCTION("""COMPUTED_VALUE"""),1.0744412953293745)</f>
        <v>1.074441295</v>
      </c>
      <c r="AN2731" s="82">
        <f>IFERROR(__xludf.DUMMYFUNCTION("""COMPUTED_VALUE"""),1.0340317148365752)</f>
        <v>1.034031715</v>
      </c>
      <c r="AO2731" s="82">
        <f>IFERROR(__xludf.DUMMYFUNCTION("""COMPUTED_VALUE"""),1.1832862391937657)</f>
        <v>1.183286239</v>
      </c>
      <c r="AP2731" s="82">
        <f>IFERROR(__xludf.DUMMYFUNCTION("""COMPUTED_VALUE"""),0.6316872987077023)</f>
        <v>0.6316872987</v>
      </c>
      <c r="AQ2731" s="82">
        <f>IFERROR(__xludf.DUMMYFUNCTION("""COMPUTED_VALUE"""),1.1075360737799216)</f>
        <v>1.107536074</v>
      </c>
      <c r="AR2731" s="82">
        <f>IFERROR(__xludf.DUMMYFUNCTION("""COMPUTED_VALUE"""),1.0347608230586827)</f>
        <v>1.034760823</v>
      </c>
      <c r="AS2731" s="82">
        <f>IFERROR(__xludf.DUMMYFUNCTION("""COMPUTED_VALUE"""),83.0)</f>
        <v>83</v>
      </c>
      <c r="AT2731" s="82">
        <f>IFERROR(__xludf.DUMMYFUNCTION("""COMPUTED_VALUE"""),0.4644594823208234)</f>
        <v>0.4644594823</v>
      </c>
      <c r="AU2731" s="82">
        <f>IFERROR(__xludf.DUMMYFUNCTION("""COMPUTED_VALUE"""),2.272970380767317)</f>
        <v>2.272970381</v>
      </c>
      <c r="AV2731" s="82">
        <f>IFERROR(__xludf.DUMMYFUNCTION("""COMPUTED_VALUE"""),54.31639482777355)</f>
        <v>54.31639483</v>
      </c>
      <c r="AW2731" s="82">
        <f t="shared" si="1"/>
        <v>2.3177066</v>
      </c>
      <c r="AX2731" s="83">
        <f t="array" ref="AX2731">IFERROR(DGET('SBV Import'!A:G,"SBV",{"RSC ID","Tier";B2731,A2731}))</f>
        <v>42.02094509</v>
      </c>
      <c r="AY2731" s="82">
        <f t="shared" si="2"/>
        <v>-2.668077112</v>
      </c>
      <c r="AZ2731" s="82">
        <v>4.985783711462953</v>
      </c>
      <c r="BA2731" s="84">
        <v>2700.0</v>
      </c>
      <c r="BB2731" s="84" t="b">
        <f>IFERROR(__xludf.DUMMYFUNCTION("iferror(if(A2731="""",,E2731&gt;=FILTER(Constants!$F$2:$F$10,Constants!$A$2:$A$10=A2731)))"),TRUE)</f>
        <v>1</v>
      </c>
    </row>
    <row r="2732">
      <c r="A2732" s="89" t="str">
        <f>IFERROR(__xludf.DUMMYFUNCTION("""COMPUTED_VALUE"""),"Prospect")</f>
        <v>Prospect</v>
      </c>
      <c r="B2732" s="87" t="str">
        <f>IFERROR(__xludf.DUMMYFUNCTION("""COMPUTED_VALUE"""),"RSC006966")</f>
        <v>RSC006966</v>
      </c>
      <c r="C2732" s="73" t="str">
        <f>IFERROR(__xludf.DUMMYFUNCTION("""COMPUTED_VALUE"""),"Pivot97")</f>
        <v>Pivot97</v>
      </c>
      <c r="D2732" s="73" t="str">
        <f>IFERROR(__xludf.DUMMYFUNCTION("""COMPUTED_VALUE"""),"Prism Proteges")</f>
        <v>Prism Proteges</v>
      </c>
      <c r="E2732" s="82">
        <f>IFERROR(__xludf.DUMMYFUNCTION("""COMPUTED_VALUE"""),34.0)</f>
        <v>34</v>
      </c>
      <c r="F2732" s="82">
        <f>IFERROR(__xludf.DUMMYFUNCTION("""COMPUTED_VALUE"""),17.0)</f>
        <v>17</v>
      </c>
      <c r="G2732" s="86">
        <f>IFERROR(__xludf.DUMMYFUNCTION("""COMPUTED_VALUE"""),17.0)</f>
        <v>17</v>
      </c>
      <c r="H2732" s="86">
        <f>IFERROR(__xludf.DUMMYFUNCTION("""COMPUTED_VALUE"""),0.5)</f>
        <v>0.5</v>
      </c>
      <c r="I2732" s="86">
        <f>IFERROR(__xludf.DUMMYFUNCTION("""COMPUTED_VALUE"""),0.3170731707317073)</f>
        <v>0.3170731707</v>
      </c>
      <c r="J2732" s="82">
        <f>IFERROR(__xludf.DUMMYFUNCTION("""COMPUTED_VALUE"""),314.3529411764706)</f>
        <v>314.3529412</v>
      </c>
      <c r="K2732" s="82">
        <f>IFERROR(__xludf.DUMMYFUNCTION("""COMPUTED_VALUE"""),0.7647058823529411)</f>
        <v>0.7647058824</v>
      </c>
      <c r="L2732" s="82">
        <f>IFERROR(__xludf.DUMMYFUNCTION("""COMPUTED_VALUE"""),0.47058823529411764)</f>
        <v>0.4705882353</v>
      </c>
      <c r="M2732" s="82">
        <f>IFERROR(__xludf.DUMMYFUNCTION("""COMPUTED_VALUE"""),1.2058823529411764)</f>
        <v>1.205882353</v>
      </c>
      <c r="N2732" s="82">
        <f>IFERROR(__xludf.DUMMYFUNCTION("""COMPUTED_VALUE"""),2.411764705882353)</f>
        <v>2.411764706</v>
      </c>
      <c r="O2732" s="82">
        <f>IFERROR(__xludf.DUMMYFUNCTION("""COMPUTED_VALUE"""),332.7941176470589)</f>
        <v>332.7941176</v>
      </c>
      <c r="P2732" s="82">
        <f>IFERROR(__xludf.DUMMYFUNCTION("""COMPUTED_VALUE"""),0.6960784313725489)</f>
        <v>0.6960784314</v>
      </c>
      <c r="Q2732" s="82">
        <f>IFERROR(__xludf.DUMMYFUNCTION("""COMPUTED_VALUE"""),0.47058823529411775)</f>
        <v>0.4705882353</v>
      </c>
      <c r="R2732" s="82">
        <f>IFERROR(__xludf.DUMMYFUNCTION("""COMPUTED_VALUE"""),1.3039215686274506)</f>
        <v>1.303921569</v>
      </c>
      <c r="S2732" s="82">
        <f>IFERROR(__xludf.DUMMYFUNCTION("""COMPUTED_VALUE"""),2.4705882352941186)</f>
        <v>2.470588235</v>
      </c>
      <c r="T2732" s="82">
        <f>IFERROR(__xludf.DUMMYFUNCTION("""COMPUTED_VALUE"""),340.6148246669525)</f>
        <v>340.6148247</v>
      </c>
      <c r="U2732" s="82">
        <f>IFERROR(__xludf.DUMMYFUNCTION("""COMPUTED_VALUE"""),0.8123567936448544)</f>
        <v>0.8123567936</v>
      </c>
      <c r="V2732" s="82">
        <f>IFERROR(__xludf.DUMMYFUNCTION("""COMPUTED_VALUE"""),0.5080236751653889)</f>
        <v>0.5080236752</v>
      </c>
      <c r="W2732" s="82">
        <f>IFERROR(__xludf.DUMMYFUNCTION("""COMPUTED_VALUE"""),1.2252141127350715)</f>
        <v>1.225214113</v>
      </c>
      <c r="X2732" s="82">
        <f>IFERROR(__xludf.DUMMYFUNCTION("""COMPUTED_VALUE"""),2.4177449554065564)</f>
        <v>2.417744955</v>
      </c>
      <c r="Y2732" s="82">
        <f>IFERROR(__xludf.DUMMYFUNCTION("""COMPUTED_VALUE"""),333.41225793112676)</f>
        <v>333.4122579</v>
      </c>
      <c r="Z2732" s="82">
        <f>IFERROR(__xludf.DUMMYFUNCTION("""COMPUTED_VALUE"""),0.7850718841457563)</f>
        <v>0.7850718841</v>
      </c>
      <c r="AA2732" s="82">
        <f>IFERROR(__xludf.DUMMYFUNCTION("""COMPUTED_VALUE"""),0.5154279278599965)</f>
        <v>0.5154279279</v>
      </c>
      <c r="AB2732" s="82">
        <f>IFERROR(__xludf.DUMMYFUNCTION("""COMPUTED_VALUE"""),1.1736399313828185)</f>
        <v>1.173639931</v>
      </c>
      <c r="AC2732" s="82">
        <f>IFERROR(__xludf.DUMMYFUNCTION("""COMPUTED_VALUE"""),2.5022265548044946)</f>
        <v>2.502226555</v>
      </c>
      <c r="AD2732" s="82">
        <f>IFERROR(__xludf.DUMMYFUNCTION("""COMPUTED_VALUE"""),0.9428355847714716)</f>
        <v>0.9428355848</v>
      </c>
      <c r="AE2732" s="82">
        <f>IFERROR(__xludf.DUMMYFUNCTION("""COMPUTED_VALUE"""),0.9740584241977082)</f>
        <v>0.9740584242</v>
      </c>
      <c r="AF2732" s="82">
        <f>IFERROR(__xludf.DUMMYFUNCTION("""COMPUTED_VALUE"""),0.9130049224300891)</f>
        <v>0.9130049224</v>
      </c>
      <c r="AG2732" s="82">
        <f>IFERROR(__xludf.DUMMYFUNCTION("""COMPUTED_VALUE"""),1.027472157938908)</f>
        <v>1.027472158</v>
      </c>
      <c r="AH2732" s="82">
        <f>IFERROR(__xludf.DUMMYFUNCTION("""COMPUTED_VALUE"""),0.9638474586769743)</f>
        <v>0.9638474587</v>
      </c>
      <c r="AI2732" s="82">
        <f>IFERROR(__xludf.DUMMYFUNCTION("""COMPUTED_VALUE"""),0.9770394402899506)</f>
        <v>0.9770394403</v>
      </c>
      <c r="AJ2732" s="82">
        <f>IFERROR(__xludf.DUMMYFUNCTION("""COMPUTED_VALUE"""),0.8568629410353156)</f>
        <v>0.856862941</v>
      </c>
      <c r="AK2732" s="82">
        <f>IFERROR(__xludf.DUMMYFUNCTION("""COMPUTED_VALUE"""),0.9263116234512419)</f>
        <v>0.9263116235</v>
      </c>
      <c r="AL2732" s="82">
        <f>IFERROR(__xludf.DUMMYFUNCTION("""COMPUTED_VALUE"""),1.0642397561979422)</f>
        <v>1.064239756</v>
      </c>
      <c r="AM2732" s="82">
        <f>IFERROR(__xludf.DUMMYFUNCTION("""COMPUTED_VALUE"""),1.0218564326933635)</f>
        <v>1.021856433</v>
      </c>
      <c r="AN2732" s="82">
        <f>IFERROR(__xludf.DUMMYFUNCTION("""COMPUTED_VALUE"""),0.9776741025397994)</f>
        <v>0.9776741025</v>
      </c>
      <c r="AO2732" s="82">
        <f>IFERROR(__xludf.DUMMYFUNCTION("""COMPUTED_VALUE"""),1.0419668487731197)</f>
        <v>1.041966849</v>
      </c>
      <c r="AP2732" s="82">
        <f>IFERROR(__xludf.DUMMYFUNCTION("""COMPUTED_VALUE"""),0.941337935329125)</f>
        <v>0.9413379353</v>
      </c>
      <c r="AQ2732" s="82">
        <f>IFERROR(__xludf.DUMMYFUNCTION("""COMPUTED_VALUE"""),1.0357390173764212)</f>
        <v>1.035739017</v>
      </c>
      <c r="AR2732" s="82">
        <f>IFERROR(__xludf.DUMMYFUNCTION("""COMPUTED_VALUE"""),1.042118527682888)</f>
        <v>1.042118528</v>
      </c>
      <c r="AS2732" s="82">
        <f>IFERROR(__xludf.DUMMYFUNCTION("""COMPUTED_VALUE"""),78.0)</f>
        <v>78</v>
      </c>
      <c r="AT2732" s="82">
        <f>IFERROR(__xludf.DUMMYFUNCTION("""COMPUTED_VALUE"""),0.5358612357963864)</f>
        <v>0.5358612358</v>
      </c>
      <c r="AU2732" s="82">
        <f>IFERROR(__xludf.DUMMYFUNCTION("""COMPUTED_VALUE"""),2.2721200767234144)</f>
        <v>2.272120077</v>
      </c>
      <c r="AV2732" s="82">
        <f>IFERROR(__xludf.DUMMYFUNCTION("""COMPUTED_VALUE"""),54.293387511430296)</f>
        <v>54.29338751</v>
      </c>
      <c r="AW2732" s="82">
        <f t="shared" si="1"/>
        <v>2.315765042</v>
      </c>
      <c r="AX2732" s="83">
        <f t="array" ref="AX2732">IFERROR(DGET('SBV Import'!A:G,"SBV",{"RSC ID","Tier";B2732,A2732}))</f>
        <v>40.84341182</v>
      </c>
      <c r="AY2732" s="82">
        <f t="shared" si="2"/>
        <v>-2.800459781</v>
      </c>
      <c r="AZ2732" s="82">
        <v>5.116224823158037</v>
      </c>
      <c r="BA2732" s="84">
        <v>2700.0</v>
      </c>
      <c r="BB2732" s="84" t="b">
        <f>IFERROR(__xludf.DUMMYFUNCTION("iferror(if(A2732="""",,E2732&gt;=FILTER(Constants!$F$2:$F$10,Constants!$A$2:$A$10=A2732)))"),TRUE)</f>
        <v>1</v>
      </c>
    </row>
    <row r="2733">
      <c r="A2733" s="89" t="str">
        <f>IFERROR(__xludf.DUMMYFUNCTION("""COMPUTED_VALUE"""),"Prospect")</f>
        <v>Prospect</v>
      </c>
      <c r="B2733" s="87" t="str">
        <f>IFERROR(__xludf.DUMMYFUNCTION("""COMPUTED_VALUE"""),"RSC005139")</f>
        <v>RSC005139</v>
      </c>
      <c r="C2733" s="73" t="str">
        <f>IFERROR(__xludf.DUMMYFUNCTION("""COMPUTED_VALUE"""),"brillo_padd")</f>
        <v>brillo_padd</v>
      </c>
      <c r="D2733" s="73" t="str">
        <f>IFERROR(__xludf.DUMMYFUNCTION("""COMPUTED_VALUE"""),"Principales")</f>
        <v>Principales</v>
      </c>
      <c r="E2733" s="82">
        <f>IFERROR(__xludf.DUMMYFUNCTION("""COMPUTED_VALUE"""),46.0)</f>
        <v>46</v>
      </c>
      <c r="F2733" s="82">
        <f>IFERROR(__xludf.DUMMYFUNCTION("""COMPUTED_VALUE"""),17.0)</f>
        <v>17</v>
      </c>
      <c r="G2733" s="86">
        <f>IFERROR(__xludf.DUMMYFUNCTION("""COMPUTED_VALUE"""),29.0)</f>
        <v>29</v>
      </c>
      <c r="H2733" s="86">
        <f>IFERROR(__xludf.DUMMYFUNCTION("""COMPUTED_VALUE"""),0.3695652173913043)</f>
        <v>0.3695652174</v>
      </c>
      <c r="I2733" s="86">
        <f>IFERROR(__xludf.DUMMYFUNCTION("""COMPUTED_VALUE"""),0.3391304347826087)</f>
        <v>0.3391304348</v>
      </c>
      <c r="J2733" s="82">
        <f>IFERROR(__xludf.DUMMYFUNCTION("""COMPUTED_VALUE"""),319.2608695652174)</f>
        <v>319.2608696</v>
      </c>
      <c r="K2733" s="82">
        <f>IFERROR(__xludf.DUMMYFUNCTION("""COMPUTED_VALUE"""),0.8478260869565217)</f>
        <v>0.847826087</v>
      </c>
      <c r="L2733" s="82">
        <f>IFERROR(__xludf.DUMMYFUNCTION("""COMPUTED_VALUE"""),0.43478260869565216)</f>
        <v>0.4347826087</v>
      </c>
      <c r="M2733" s="82">
        <f>IFERROR(__xludf.DUMMYFUNCTION("""COMPUTED_VALUE"""),1.1304347826086956)</f>
        <v>1.130434783</v>
      </c>
      <c r="N2733" s="82">
        <f>IFERROR(__xludf.DUMMYFUNCTION("""COMPUTED_VALUE"""),2.5)</f>
        <v>2.5</v>
      </c>
      <c r="O2733" s="82">
        <f>IFERROR(__xludf.DUMMYFUNCTION("""COMPUTED_VALUE"""),345.42753623188406)</f>
        <v>345.4275362</v>
      </c>
      <c r="P2733" s="82">
        <f>IFERROR(__xludf.DUMMYFUNCTION("""COMPUTED_VALUE"""),0.9710144927536233)</f>
        <v>0.9710144928</v>
      </c>
      <c r="Q2733" s="82">
        <f>IFERROR(__xludf.DUMMYFUNCTION("""COMPUTED_VALUE"""),0.6231884057971014)</f>
        <v>0.6231884058</v>
      </c>
      <c r="R2733" s="82">
        <f>IFERROR(__xludf.DUMMYFUNCTION("""COMPUTED_VALUE"""),0.9782608695652174)</f>
        <v>0.9782608696</v>
      </c>
      <c r="S2733" s="82">
        <f>IFERROR(__xludf.DUMMYFUNCTION("""COMPUTED_VALUE"""),2.4782608695652173)</f>
        <v>2.47826087</v>
      </c>
      <c r="T2733" s="82">
        <f>IFERROR(__xludf.DUMMYFUNCTION("""COMPUTED_VALUE"""),337.5130867434752)</f>
        <v>337.5130867</v>
      </c>
      <c r="U2733" s="82">
        <f>IFERROR(__xludf.DUMMYFUNCTION("""COMPUTED_VALUE"""),0.799960098930196)</f>
        <v>0.7999600989</v>
      </c>
      <c r="V2733" s="82">
        <f>IFERROR(__xludf.DUMMYFUNCTION("""COMPUTED_VALUE"""),0.5904915193502908)</f>
        <v>0.5904915194</v>
      </c>
      <c r="W2733" s="82">
        <f>IFERROR(__xludf.DUMMYFUNCTION("""COMPUTED_VALUE"""),1.1499947216554083)</f>
        <v>1.149994722</v>
      </c>
      <c r="X2733" s="82">
        <f>IFERROR(__xludf.DUMMYFUNCTION("""COMPUTED_VALUE"""),2.4716204560042687)</f>
        <v>2.471620456</v>
      </c>
      <c r="Y2733" s="82">
        <f>IFERROR(__xludf.DUMMYFUNCTION("""COMPUTED_VALUE"""),333.04033547733906)</f>
        <v>333.0403355</v>
      </c>
      <c r="Z2733" s="82">
        <f>IFERROR(__xludf.DUMMYFUNCTION("""COMPUTED_VALUE"""),0.7805019924738015)</f>
        <v>0.7805019925</v>
      </c>
      <c r="AA2733" s="82">
        <f>IFERROR(__xludf.DUMMYFUNCTION("""COMPUTED_VALUE"""),0.518729049252478)</f>
        <v>0.5187290493</v>
      </c>
      <c r="AB2733" s="82">
        <f>IFERROR(__xludf.DUMMYFUNCTION("""COMPUTED_VALUE"""),1.21323518273306)</f>
        <v>1.213235183</v>
      </c>
      <c r="AC2733" s="82">
        <f>IFERROR(__xludf.DUMMYFUNCTION("""COMPUTED_VALUE"""),2.3664308535080356)</f>
        <v>2.366430854</v>
      </c>
      <c r="AD2733" s="82">
        <f>IFERROR(__xludf.DUMMYFUNCTION("""COMPUTED_VALUE"""),0.9586252341105413)</f>
        <v>0.9586252341</v>
      </c>
      <c r="AE2733" s="82">
        <f>IFERROR(__xludf.DUMMYFUNCTION("""COMPUTED_VALUE"""),1.0862574280807875)</f>
        <v>1.086257428</v>
      </c>
      <c r="AF2733" s="82">
        <f>IFERROR(__xludf.DUMMYFUNCTION("""COMPUTED_VALUE"""),0.8381690004101408)</f>
        <v>0.8381690004</v>
      </c>
      <c r="AG2733" s="82">
        <f>IFERROR(__xludf.DUMMYFUNCTION("""COMPUTED_VALUE"""),0.9317523912075812)</f>
        <v>0.9317523912</v>
      </c>
      <c r="AH2733" s="82">
        <f>IFERROR(__xludf.DUMMYFUNCTION("""COMPUTED_VALUE"""),1.056443291505416)</f>
        <v>1.056443292</v>
      </c>
      <c r="AI2733" s="82">
        <f>IFERROR(__xludf.DUMMYFUNCTION("""COMPUTED_VALUE"""),1.0234493114467713)</f>
        <v>1.023449311</v>
      </c>
      <c r="AJ2733" s="82">
        <f>IFERROR(__xludf.DUMMYFUNCTION("""COMPUTED_VALUE"""),1.2138286572695087)</f>
        <v>1.213828657</v>
      </c>
      <c r="AK2733" s="82">
        <f>IFERROR(__xludf.DUMMYFUNCTION("""COMPUTED_VALUE"""),1.0553723218290867)</f>
        <v>1.055372322</v>
      </c>
      <c r="AL2733" s="82">
        <f>IFERROR(__xludf.DUMMYFUNCTION("""COMPUTED_VALUE"""),0.8506655301487112)</f>
        <v>0.8506655301</v>
      </c>
      <c r="AM2733" s="82">
        <f>IFERROR(__xludf.DUMMYFUNCTION("""COMPUTED_VALUE"""),1.0026866639434129)</f>
        <v>1.002686664</v>
      </c>
      <c r="AN2733" s="82">
        <f>IFERROR(__xludf.DUMMYFUNCTION("""COMPUTED_VALUE"""),0.9929383290007947)</f>
        <v>0.992938329</v>
      </c>
      <c r="AO2733" s="82">
        <f>IFERROR(__xludf.DUMMYFUNCTION("""COMPUTED_VALUE"""),1.1552241149441111)</f>
        <v>1.155224115</v>
      </c>
      <c r="AP2733" s="82">
        <f>IFERROR(__xludf.DUMMYFUNCTION("""COMPUTED_VALUE"""),0.8697143967714742)</f>
        <v>0.8697143968</v>
      </c>
      <c r="AQ2733" s="82">
        <f>IFERROR(__xludf.DUMMYFUNCTION("""COMPUTED_VALUE"""),0.9709366822489462)</f>
        <v>0.9709366822</v>
      </c>
      <c r="AR2733" s="82">
        <f>IFERROR(__xludf.DUMMYFUNCTION("""COMPUTED_VALUE"""),1.0802448152810424)</f>
        <v>1.080244815</v>
      </c>
      <c r="AS2733" s="82">
        <f>IFERROR(__xludf.DUMMYFUNCTION("""COMPUTED_VALUE"""),98.0)</f>
        <v>98</v>
      </c>
      <c r="AT2733" s="82">
        <f>IFERROR(__xludf.DUMMYFUNCTION("""COMPUTED_VALUE"""),0.37805894640344795)</f>
        <v>0.3780589464</v>
      </c>
      <c r="AU2733" s="82">
        <f>IFERROR(__xludf.DUMMYFUNCTION("""COMPUTED_VALUE"""),2.268320561421916)</f>
        <v>2.268320561</v>
      </c>
      <c r="AV2733" s="82">
        <f>IFERROR(__xludf.DUMMYFUNCTION("""COMPUTED_VALUE"""),54.190581166900415)</f>
        <v>54.19058117</v>
      </c>
      <c r="AW2733" s="82">
        <f t="shared" si="1"/>
        <v>2.307125247</v>
      </c>
      <c r="AX2733" s="83">
        <f t="array" ref="AX2733">IFERROR(DGET('SBV Import'!A:G,"SBV",{"RSC ID","Tier";B2733,A2733}))</f>
        <v>51.49492592</v>
      </c>
      <c r="AY2733" s="82">
        <f t="shared" si="2"/>
        <v>2.100140395</v>
      </c>
      <c r="AZ2733" s="82">
        <v>0.20698485259916444</v>
      </c>
      <c r="BA2733" s="84">
        <v>2700.0</v>
      </c>
      <c r="BB2733" s="84" t="b">
        <f>IFERROR(__xludf.DUMMYFUNCTION("iferror(if(A2733="""",,E2733&gt;=FILTER(Constants!$F$2:$F$10,Constants!$A$2:$A$10=A2733)))"),TRUE)</f>
        <v>1</v>
      </c>
    </row>
    <row r="2734">
      <c r="A2734" s="89" t="str">
        <f>IFERROR(__xludf.DUMMYFUNCTION("""COMPUTED_VALUE"""),"Prospect")</f>
        <v>Prospect</v>
      </c>
      <c r="B2734" s="87" t="str">
        <f>IFERROR(__xludf.DUMMYFUNCTION("""COMPUTED_VALUE"""),"RSC006934")</f>
        <v>RSC006934</v>
      </c>
      <c r="C2734" s="73" t="str">
        <f>IFERROR(__xludf.DUMMYFUNCTION("""COMPUTED_VALUE"""),"TPM_CheezeTV")</f>
        <v>TPM_CheezeTV</v>
      </c>
      <c r="D2734" s="73" t="str">
        <f>IFERROR(__xludf.DUMMYFUNCTION("""COMPUTED_VALUE"""),"Gloom")</f>
        <v>Gloom</v>
      </c>
      <c r="E2734" s="82">
        <f>IFERROR(__xludf.DUMMYFUNCTION("""COMPUTED_VALUE"""),13.0)</f>
        <v>13</v>
      </c>
      <c r="F2734" s="82">
        <f>IFERROR(__xludf.DUMMYFUNCTION("""COMPUTED_VALUE"""),8.0)</f>
        <v>8</v>
      </c>
      <c r="G2734" s="86">
        <f>IFERROR(__xludf.DUMMYFUNCTION("""COMPUTED_VALUE"""),5.0)</f>
        <v>5</v>
      </c>
      <c r="H2734" s="86">
        <f>IFERROR(__xludf.DUMMYFUNCTION("""COMPUTED_VALUE"""),0.6153846153846154)</f>
        <v>0.6153846154</v>
      </c>
      <c r="I2734" s="86">
        <f>IFERROR(__xludf.DUMMYFUNCTION("""COMPUTED_VALUE"""),0.46153846153846156)</f>
        <v>0.4615384615</v>
      </c>
      <c r="J2734" s="82">
        <f>IFERROR(__xludf.DUMMYFUNCTION("""COMPUTED_VALUE"""),312.3076923076923)</f>
        <v>312.3076923</v>
      </c>
      <c r="K2734" s="82">
        <f>IFERROR(__xludf.DUMMYFUNCTION("""COMPUTED_VALUE"""),0.9230769230769231)</f>
        <v>0.9230769231</v>
      </c>
      <c r="L2734" s="82">
        <f>IFERROR(__xludf.DUMMYFUNCTION("""COMPUTED_VALUE"""),0.23076923076923078)</f>
        <v>0.2307692308</v>
      </c>
      <c r="M2734" s="82">
        <f>IFERROR(__xludf.DUMMYFUNCTION("""COMPUTED_VALUE"""),1.0769230769230769)</f>
        <v>1.076923077</v>
      </c>
      <c r="N2734" s="82">
        <f>IFERROR(__xludf.DUMMYFUNCTION("""COMPUTED_VALUE"""),2.0)</f>
        <v>2</v>
      </c>
      <c r="O2734" s="82">
        <f>IFERROR(__xludf.DUMMYFUNCTION("""COMPUTED_VALUE"""),316.1794871794872)</f>
        <v>316.1794872</v>
      </c>
      <c r="P2734" s="82">
        <f>IFERROR(__xludf.DUMMYFUNCTION("""COMPUTED_VALUE"""),0.6923076923076923)</f>
        <v>0.6923076923</v>
      </c>
      <c r="Q2734" s="82">
        <f>IFERROR(__xludf.DUMMYFUNCTION("""COMPUTED_VALUE"""),0.41025641025641024)</f>
        <v>0.4102564103</v>
      </c>
      <c r="R2734" s="82">
        <f>IFERROR(__xludf.DUMMYFUNCTION("""COMPUTED_VALUE"""),1.2564102564102564)</f>
        <v>1.256410256</v>
      </c>
      <c r="S2734" s="82">
        <f>IFERROR(__xludf.DUMMYFUNCTION("""COMPUTED_VALUE"""),2.6153846153846154)</f>
        <v>2.615384615</v>
      </c>
      <c r="T2734" s="82">
        <f>IFERROR(__xludf.DUMMYFUNCTION("""COMPUTED_VALUE"""),343.7712284906622)</f>
        <v>343.7712285</v>
      </c>
      <c r="U2734" s="82">
        <f>IFERROR(__xludf.DUMMYFUNCTION("""COMPUTED_VALUE"""),0.8393996750832863)</f>
        <v>0.8393996751</v>
      </c>
      <c r="V2734" s="82">
        <f>IFERROR(__xludf.DUMMYFUNCTION("""COMPUTED_VALUE"""),0.5172974257432539)</f>
        <v>0.5172974257</v>
      </c>
      <c r="W2734" s="82">
        <f>IFERROR(__xludf.DUMMYFUNCTION("""COMPUTED_VALUE"""),1.2570297625683702)</f>
        <v>1.257029763</v>
      </c>
      <c r="X2734" s="82">
        <f>IFERROR(__xludf.DUMMYFUNCTION("""COMPUTED_VALUE"""),2.570123775335308)</f>
        <v>2.570123775</v>
      </c>
      <c r="Y2734" s="82">
        <f>IFERROR(__xludf.DUMMYFUNCTION("""COMPUTED_VALUE"""),330.6455752592575)</f>
        <v>330.6455753</v>
      </c>
      <c r="Z2734" s="82">
        <f>IFERROR(__xludf.DUMMYFUNCTION("""COMPUTED_VALUE"""),0.7423214694106126)</f>
        <v>0.7423214694</v>
      </c>
      <c r="AA2734" s="82">
        <f>IFERROR(__xludf.DUMMYFUNCTION("""COMPUTED_VALUE"""),0.4745603259363576)</f>
        <v>0.4745603259</v>
      </c>
      <c r="AB2734" s="82">
        <f>IFERROR(__xludf.DUMMYFUNCTION("""COMPUTED_VALUE"""),1.2534722958503837)</f>
        <v>1.253472296</v>
      </c>
      <c r="AC2734" s="82">
        <f>IFERROR(__xludf.DUMMYFUNCTION("""COMPUTED_VALUE"""),2.4158174257759155)</f>
        <v>2.415817426</v>
      </c>
      <c r="AD2734" s="82">
        <f>IFERROR(__xludf.DUMMYFUNCTION("""COMPUTED_VALUE"""),0.9445391551446393)</f>
        <v>0.9445391551</v>
      </c>
      <c r="AE2734" s="82">
        <f>IFERROR(__xludf.DUMMYFUNCTION("""COMPUTED_VALUE"""),1.2435002369119492)</f>
        <v>1.243500237</v>
      </c>
      <c r="AF2734" s="82">
        <f>IFERROR(__xludf.DUMMYFUNCTION("""COMPUTED_VALUE"""),0.48628007474897683)</f>
        <v>0.4862800747</v>
      </c>
      <c r="AG2734" s="82">
        <f>IFERROR(__xludf.DUMMYFUNCTION("""COMPUTED_VALUE"""),0.8591518779379708)</f>
        <v>0.8591518779</v>
      </c>
      <c r="AH2734" s="82">
        <f>IFERROR(__xludf.DUMMYFUNCTION("""COMPUTED_VALUE"""),0.8278771312189029)</f>
        <v>0.8278771312</v>
      </c>
      <c r="AI2734" s="82">
        <f>IFERROR(__xludf.DUMMYFUNCTION("""COMPUTED_VALUE"""),0.9197380728098817)</f>
        <v>0.9197380728</v>
      </c>
      <c r="AJ2734" s="82">
        <f>IFERROR(__xludf.DUMMYFUNCTION("""COMPUTED_VALUE"""),0.8247652612434008)</f>
        <v>0.8247652612</v>
      </c>
      <c r="AK2734" s="82">
        <f>IFERROR(__xludf.DUMMYFUNCTION("""COMPUTED_VALUE"""),0.7930764582231452)</f>
        <v>0.7930764582</v>
      </c>
      <c r="AL2734" s="82">
        <f>IFERROR(__xludf.DUMMYFUNCTION("""COMPUTED_VALUE"""),0.9995071666745201)</f>
        <v>0.9995071667</v>
      </c>
      <c r="AM2734" s="82">
        <f>IFERROR(__xludf.DUMMYFUNCTION("""COMPUTED_VALUE"""),1.017610373665137)</f>
        <v>1.017610374</v>
      </c>
      <c r="AN2734" s="82">
        <f>IFERROR(__xludf.DUMMYFUNCTION("""COMPUTED_VALUE"""),0.9713131413705802)</f>
        <v>0.9713131414</v>
      </c>
      <c r="AO2734" s="82">
        <f>IFERROR(__xludf.DUMMYFUNCTION("""COMPUTED_VALUE"""),1.2577587997024642)</f>
        <v>1.2577588</v>
      </c>
      <c r="AP2734" s="82">
        <f>IFERROR(__xludf.DUMMYFUNCTION("""COMPUTED_VALUE"""),0.46161764136332095)</f>
        <v>0.4616176414</v>
      </c>
      <c r="AQ2734" s="82">
        <f>IFERROR(__xludf.DUMMYFUNCTION("""COMPUTED_VALUE"""),0.9249751824975169)</f>
        <v>0.9249751825</v>
      </c>
      <c r="AR2734" s="82">
        <f>IFERROR(__xludf.DUMMYFUNCTION("""COMPUTED_VALUE"""),0.8641958522248339)</f>
        <v>0.8641958522</v>
      </c>
      <c r="AS2734" s="82">
        <f>IFERROR(__xludf.DUMMYFUNCTION("""COMPUTED_VALUE"""),30.0)</f>
        <v>30</v>
      </c>
      <c r="AT2734" s="82">
        <f>IFERROR(__xludf.DUMMYFUNCTION("""COMPUTED_VALUE"""),0.5401712336707952)</f>
        <v>0.5401712337</v>
      </c>
      <c r="AU2734" s="82">
        <f>IFERROR(__xludf.DUMMYFUNCTION("""COMPUTED_VALUE"""),2.2516344135356596)</f>
        <v>2.251634414</v>
      </c>
      <c r="AV2734" s="82">
        <f>IFERROR(__xludf.DUMMYFUNCTION("""COMPUTED_VALUE"""),53.739091507733995)</f>
        <v>53.73909151</v>
      </c>
      <c r="AW2734" s="82">
        <f t="shared" si="1"/>
        <v>2.269867033</v>
      </c>
      <c r="AX2734" s="83">
        <f t="array" ref="AX2734">IFERROR(DGET('SBV Import'!A:G,"SBV",{"RSC ID","Tier";B2734,A2734}))</f>
        <v>27.97681278</v>
      </c>
      <c r="AY2734" s="82">
        <f t="shared" si="2"/>
        <v>-5.286011995</v>
      </c>
      <c r="AZ2734" s="82">
        <v>7.555879027757668</v>
      </c>
      <c r="BA2734" s="84">
        <v>2700.0</v>
      </c>
      <c r="BB2734" s="84" t="b">
        <f>IFERROR(__xludf.DUMMYFUNCTION("iferror(if(A2734="""",,E2734&gt;=FILTER(Constants!$F$2:$F$10,Constants!$A$2:$A$10=A2734)))"),TRUE)</f>
        <v>1</v>
      </c>
    </row>
    <row r="2735">
      <c r="A2735" s="89" t="str">
        <f>IFERROR(__xludf.DUMMYFUNCTION("""COMPUTED_VALUE"""),"Prospect")</f>
        <v>Prospect</v>
      </c>
      <c r="B2735" s="87" t="str">
        <f>IFERROR(__xludf.DUMMYFUNCTION("""COMPUTED_VALUE"""),"RSC005018")</f>
        <v>RSC005018</v>
      </c>
      <c r="C2735" s="73" t="str">
        <f>IFERROR(__xludf.DUMMYFUNCTION("""COMPUTED_VALUE"""),"Smitty")</f>
        <v>Smitty</v>
      </c>
      <c r="D2735" s="73" t="str">
        <f>IFERROR(__xludf.DUMMYFUNCTION("""COMPUTED_VALUE"""),"Hawaiian Pizza")</f>
        <v>Hawaiian Pizza</v>
      </c>
      <c r="E2735" s="82">
        <f>IFERROR(__xludf.DUMMYFUNCTION("""COMPUTED_VALUE"""),17.0)</f>
        <v>17</v>
      </c>
      <c r="F2735" s="82">
        <f>IFERROR(__xludf.DUMMYFUNCTION("""COMPUTED_VALUE"""),10.0)</f>
        <v>10</v>
      </c>
      <c r="G2735" s="86">
        <f>IFERROR(__xludf.DUMMYFUNCTION("""COMPUTED_VALUE"""),7.0)</f>
        <v>7</v>
      </c>
      <c r="H2735" s="86">
        <f>IFERROR(__xludf.DUMMYFUNCTION("""COMPUTED_VALUE"""),0.5882352941176471)</f>
        <v>0.5882352941</v>
      </c>
      <c r="I2735" s="86">
        <f>IFERROR(__xludf.DUMMYFUNCTION("""COMPUTED_VALUE"""),0.3055555555555556)</f>
        <v>0.3055555556</v>
      </c>
      <c r="J2735" s="82">
        <f>IFERROR(__xludf.DUMMYFUNCTION("""COMPUTED_VALUE"""),293.52941176470586)</f>
        <v>293.5294118</v>
      </c>
      <c r="K2735" s="82">
        <f>IFERROR(__xludf.DUMMYFUNCTION("""COMPUTED_VALUE"""),0.6470588235294118)</f>
        <v>0.6470588235</v>
      </c>
      <c r="L2735" s="82">
        <f>IFERROR(__xludf.DUMMYFUNCTION("""COMPUTED_VALUE"""),0.5882352941176471)</f>
        <v>0.5882352941</v>
      </c>
      <c r="M2735" s="82">
        <f>IFERROR(__xludf.DUMMYFUNCTION("""COMPUTED_VALUE"""),1.0588235294117647)</f>
        <v>1.058823529</v>
      </c>
      <c r="N2735" s="82">
        <f>IFERROR(__xludf.DUMMYFUNCTION("""COMPUTED_VALUE"""),2.1176470588235294)</f>
        <v>2.117647059</v>
      </c>
      <c r="O2735" s="82">
        <f>IFERROR(__xludf.DUMMYFUNCTION("""COMPUTED_VALUE"""),270.6078431372549)</f>
        <v>270.6078431</v>
      </c>
      <c r="P2735" s="82">
        <f>IFERROR(__xludf.DUMMYFUNCTION("""COMPUTED_VALUE"""),0.4901960784313725)</f>
        <v>0.4901960784</v>
      </c>
      <c r="Q2735" s="82">
        <f>IFERROR(__xludf.DUMMYFUNCTION("""COMPUTED_VALUE"""),0.3529411764705882)</f>
        <v>0.3529411765</v>
      </c>
      <c r="R2735" s="82">
        <f>IFERROR(__xludf.DUMMYFUNCTION("""COMPUTED_VALUE"""),1.0)</f>
        <v>1</v>
      </c>
      <c r="S2735" s="82">
        <f>IFERROR(__xludf.DUMMYFUNCTION("""COMPUTED_VALUE"""),1.9411764705882353)</f>
        <v>1.941176471</v>
      </c>
      <c r="T2735" s="82">
        <f>IFERROR(__xludf.DUMMYFUNCTION("""COMPUTED_VALUE"""),324.6537927811954)</f>
        <v>324.6537928</v>
      </c>
      <c r="U2735" s="82">
        <f>IFERROR(__xludf.DUMMYFUNCTION("""COMPUTED_VALUE"""),0.7430464947137376)</f>
        <v>0.7430464947</v>
      </c>
      <c r="V2735" s="82">
        <f>IFERROR(__xludf.DUMMYFUNCTION("""COMPUTED_VALUE"""),0.5334789829717755)</f>
        <v>0.533478983</v>
      </c>
      <c r="W2735" s="82">
        <f>IFERROR(__xludf.DUMMYFUNCTION("""COMPUTED_VALUE"""),1.1256773345349453)</f>
        <v>1.125677335</v>
      </c>
      <c r="X2735" s="82">
        <f>IFERROR(__xludf.DUMMYFUNCTION("""COMPUTED_VALUE"""),2.3650598018122277)</f>
        <v>2.365059802</v>
      </c>
      <c r="Y2735" s="82">
        <f>IFERROR(__xludf.DUMMYFUNCTION("""COMPUTED_VALUE"""),337.69343693731804)</f>
        <v>337.6934369</v>
      </c>
      <c r="Z2735" s="82">
        <f>IFERROR(__xludf.DUMMYFUNCTION("""COMPUTED_VALUE"""),0.8316860430550231)</f>
        <v>0.8316860431</v>
      </c>
      <c r="AA2735" s="82">
        <f>IFERROR(__xludf.DUMMYFUNCTION("""COMPUTED_VALUE"""),0.5518249163786326)</f>
        <v>0.5518249164</v>
      </c>
      <c r="AB2735" s="82">
        <f>IFERROR(__xludf.DUMMYFUNCTION("""COMPUTED_VALUE"""),1.2111823126049206)</f>
        <v>1.211182313</v>
      </c>
      <c r="AC2735" s="82">
        <f>IFERROR(__xludf.DUMMYFUNCTION("""COMPUTED_VALUE"""),2.4319378147574957)</f>
        <v>2.431937815</v>
      </c>
      <c r="AD2735" s="82">
        <f>IFERROR(__xludf.DUMMYFUNCTION("""COMPUTED_VALUE"""),0.8692185860253784)</f>
        <v>0.869218586</v>
      </c>
      <c r="AE2735" s="82">
        <f>IFERROR(__xludf.DUMMYFUNCTION("""COMPUTED_VALUE"""),0.7780085152716737)</f>
        <v>0.7780085153</v>
      </c>
      <c r="AF2735" s="82">
        <f>IFERROR(__xludf.DUMMYFUNCTION("""COMPUTED_VALUE"""),1.065981757362387)</f>
        <v>1.065981757</v>
      </c>
      <c r="AG2735" s="82">
        <f>IFERROR(__xludf.DUMMYFUNCTION("""COMPUTED_VALUE"""),0.8742065652647503)</f>
        <v>0.8742065653</v>
      </c>
      <c r="AH2735" s="82">
        <f>IFERROR(__xludf.DUMMYFUNCTION("""COMPUTED_VALUE"""),0.870765299167279)</f>
        <v>0.8707652992</v>
      </c>
      <c r="AI2735" s="82">
        <f>IFERROR(__xludf.DUMMYFUNCTION("""COMPUTED_VALUE"""),0.833527434930152)</f>
        <v>0.8335274349</v>
      </c>
      <c r="AJ2735" s="82">
        <f>IFERROR(__xludf.DUMMYFUNCTION("""COMPUTED_VALUE"""),0.6597111781278545)</f>
        <v>0.6597111781</v>
      </c>
      <c r="AK2735" s="82">
        <f>IFERROR(__xludf.DUMMYFUNCTION("""COMPUTED_VALUE"""),0.6615840318666519)</f>
        <v>0.6615840319</v>
      </c>
      <c r="AL2735" s="82">
        <f>IFERROR(__xludf.DUMMYFUNCTION("""COMPUTED_VALUE"""),0.888354033008165)</f>
        <v>0.888354033</v>
      </c>
      <c r="AM2735" s="82">
        <f>IFERROR(__xludf.DUMMYFUNCTION("""COMPUTED_VALUE"""),0.8207726794480242)</f>
        <v>0.8207726794</v>
      </c>
      <c r="AN2735" s="82">
        <f>IFERROR(__xludf.DUMMYFUNCTION("""COMPUTED_VALUE"""),0.9129105111664667)</f>
        <v>0.9129105112</v>
      </c>
      <c r="AO2735" s="82">
        <f>IFERROR(__xludf.DUMMYFUNCTION("""COMPUTED_VALUE"""),0.8816642566541784)</f>
        <v>0.8816642567</v>
      </c>
      <c r="AP2735" s="82">
        <f>IFERROR(__xludf.DUMMYFUNCTION("""COMPUTED_VALUE"""),1.1766724191614064)</f>
        <v>1.176672419</v>
      </c>
      <c r="AQ2735" s="82">
        <f>IFERROR(__xludf.DUMMYFUNCTION("""COMPUTED_VALUE"""),0.9094293811110041)</f>
        <v>0.9094293811</v>
      </c>
      <c r="AR2735" s="82">
        <f>IFERROR(__xludf.DUMMYFUNCTION("""COMPUTED_VALUE"""),0.9150309023557065)</f>
        <v>0.9150309024</v>
      </c>
      <c r="AS2735" s="82">
        <f>IFERROR(__xludf.DUMMYFUNCTION("""COMPUTED_VALUE"""),39.0)</f>
        <v>39</v>
      </c>
      <c r="AT2735" s="82">
        <f>IFERROR(__xludf.DUMMYFUNCTION("""COMPUTED_VALUE"""),0.6571368951707722)</f>
        <v>0.6571368952</v>
      </c>
      <c r="AU2735" s="82">
        <f>IFERROR(__xludf.DUMMYFUNCTION("""COMPUTED_VALUE"""),2.251248543071224)</f>
        <v>2.251248543</v>
      </c>
      <c r="AV2735" s="82">
        <f>IFERROR(__xludf.DUMMYFUNCTION("""COMPUTED_VALUE"""),53.72865072022222)</f>
        <v>53.72865072</v>
      </c>
      <c r="AW2735" s="82">
        <f t="shared" si="1"/>
        <v>2.269018443</v>
      </c>
      <c r="AX2735" s="83">
        <f t="array" ref="AX2735">IFERROR(DGET('SBV Import'!A:G,"SBV",{"RSC ID","Tier";B2735,A2735}))</f>
        <v>52.25332362</v>
      </c>
      <c r="AY2735" s="82">
        <f t="shared" si="2"/>
        <v>2.154750822</v>
      </c>
      <c r="AZ2735" s="82">
        <v>0.11426762040802041</v>
      </c>
      <c r="BA2735" s="84">
        <v>2700.0</v>
      </c>
      <c r="BB2735" s="84" t="b">
        <f>IFERROR(__xludf.DUMMYFUNCTION("iferror(if(A2735="""",,E2735&gt;=FILTER(Constants!$F$2:$F$10,Constants!$A$2:$A$10=A2735)))"),TRUE)</f>
        <v>1</v>
      </c>
    </row>
    <row r="2736">
      <c r="A2736" s="89" t="str">
        <f>IFERROR(__xludf.DUMMYFUNCTION("""COMPUTED_VALUE"""),"Prospect")</f>
        <v>Prospect</v>
      </c>
      <c r="B2736" s="87" t="str">
        <f>IFERROR(__xludf.DUMMYFUNCTION("""COMPUTED_VALUE"""),"RSC003335")</f>
        <v>RSC003335</v>
      </c>
      <c r="C2736" s="73" t="str">
        <f>IFERROR(__xludf.DUMMYFUNCTION("""COMPUTED_VALUE"""),"xEaglex20x")</f>
        <v>xEaglex20x</v>
      </c>
      <c r="D2736" s="73" t="str">
        <f>IFERROR(__xludf.DUMMYFUNCTION("""COMPUTED_VALUE"""),"Earth")</f>
        <v>Earth</v>
      </c>
      <c r="E2736" s="82">
        <f>IFERROR(__xludf.DUMMYFUNCTION("""COMPUTED_VALUE"""),45.0)</f>
        <v>45</v>
      </c>
      <c r="F2736" s="82">
        <f>IFERROR(__xludf.DUMMYFUNCTION("""COMPUTED_VALUE"""),24.0)</f>
        <v>24</v>
      </c>
      <c r="G2736" s="86">
        <f>IFERROR(__xludf.DUMMYFUNCTION("""COMPUTED_VALUE"""),21.0)</f>
        <v>21</v>
      </c>
      <c r="H2736" s="86">
        <f>IFERROR(__xludf.DUMMYFUNCTION("""COMPUTED_VALUE"""),0.5333333333333333)</f>
        <v>0.5333333333</v>
      </c>
      <c r="I2736" s="86">
        <f>IFERROR(__xludf.DUMMYFUNCTION("""COMPUTED_VALUE"""),0.32727272727272727)</f>
        <v>0.3272727273</v>
      </c>
      <c r="J2736" s="82">
        <f>IFERROR(__xludf.DUMMYFUNCTION("""COMPUTED_VALUE"""),331.5777777777778)</f>
        <v>331.5777778</v>
      </c>
      <c r="K2736" s="82">
        <f>IFERROR(__xludf.DUMMYFUNCTION("""COMPUTED_VALUE"""),0.8)</f>
        <v>0.8</v>
      </c>
      <c r="L2736" s="82">
        <f>IFERROR(__xludf.DUMMYFUNCTION("""COMPUTED_VALUE"""),0.6888888888888889)</f>
        <v>0.6888888889</v>
      </c>
      <c r="M2736" s="82">
        <f>IFERROR(__xludf.DUMMYFUNCTION("""COMPUTED_VALUE"""),1.2666666666666666)</f>
        <v>1.266666667</v>
      </c>
      <c r="N2736" s="82">
        <f>IFERROR(__xludf.DUMMYFUNCTION("""COMPUTED_VALUE"""),2.4444444444444446)</f>
        <v>2.444444444</v>
      </c>
      <c r="O2736" s="82">
        <f>IFERROR(__xludf.DUMMYFUNCTION("""COMPUTED_VALUE"""),363.55555555555554)</f>
        <v>363.5555556</v>
      </c>
      <c r="P2736" s="82">
        <f>IFERROR(__xludf.DUMMYFUNCTION("""COMPUTED_VALUE"""),0.9259259259259258)</f>
        <v>0.9259259259</v>
      </c>
      <c r="Q2736" s="82">
        <f>IFERROR(__xludf.DUMMYFUNCTION("""COMPUTED_VALUE"""),0.5777777777777776)</f>
        <v>0.5777777778</v>
      </c>
      <c r="R2736" s="82">
        <f>IFERROR(__xludf.DUMMYFUNCTION("""COMPUTED_VALUE"""),1.3777777777777775)</f>
        <v>1.377777778</v>
      </c>
      <c r="S2736" s="82">
        <f>IFERROR(__xludf.DUMMYFUNCTION("""COMPUTED_VALUE"""),2.348148148148148)</f>
        <v>2.348148148</v>
      </c>
      <c r="T2736" s="82">
        <f>IFERROR(__xludf.DUMMYFUNCTION("""COMPUTED_VALUE"""),327.5598507977134)</f>
        <v>327.5598508</v>
      </c>
      <c r="U2736" s="82">
        <f>IFERROR(__xludf.DUMMYFUNCTION("""COMPUTED_VALUE"""),0.7634142003367913)</f>
        <v>0.7634142003</v>
      </c>
      <c r="V2736" s="82">
        <f>IFERROR(__xludf.DUMMYFUNCTION("""COMPUTED_VALUE"""),0.4780889175436178)</f>
        <v>0.4780889175</v>
      </c>
      <c r="W2736" s="82">
        <f>IFERROR(__xludf.DUMMYFUNCTION("""COMPUTED_VALUE"""),1.2032403302720023)</f>
        <v>1.20324033</v>
      </c>
      <c r="X2736" s="82">
        <f>IFERROR(__xludf.DUMMYFUNCTION("""COMPUTED_VALUE"""),2.2917914362997704)</f>
        <v>2.291791436</v>
      </c>
      <c r="Y2736" s="82">
        <f>IFERROR(__xludf.DUMMYFUNCTION("""COMPUTED_VALUE"""),339.8491436671091)</f>
        <v>339.8491437</v>
      </c>
      <c r="Z2736" s="82">
        <f>IFERROR(__xludf.DUMMYFUNCTION("""COMPUTED_VALUE"""),0.8251123686906897)</f>
        <v>0.8251123687</v>
      </c>
      <c r="AA2736" s="82">
        <f>IFERROR(__xludf.DUMMYFUNCTION("""COMPUTED_VALUE"""),0.5547396677344862)</f>
        <v>0.5547396677</v>
      </c>
      <c r="AB2736" s="82">
        <f>IFERROR(__xludf.DUMMYFUNCTION("""COMPUTED_VALUE"""),1.1400566336023576)</f>
        <v>1.140056634</v>
      </c>
      <c r="AC2736" s="82">
        <f>IFERROR(__xludf.DUMMYFUNCTION("""COMPUTED_VALUE"""),2.580627806864495)</f>
        <v>2.580627807</v>
      </c>
      <c r="AD2736" s="82">
        <f>IFERROR(__xludf.DUMMYFUNCTION("""COMPUTED_VALUE"""),0.9756616544620947)</f>
        <v>0.9756616545</v>
      </c>
      <c r="AE2736" s="82">
        <f>IFERROR(__xludf.DUMMYFUNCTION("""COMPUTED_VALUE"""),0.9695649106187335)</f>
        <v>0.9695649106</v>
      </c>
      <c r="AF2736" s="82">
        <f>IFERROR(__xludf.DUMMYFUNCTION("""COMPUTED_VALUE"""),1.241823739957623)</f>
        <v>1.24182374</v>
      </c>
      <c r="AG2736" s="82">
        <f>IFERROR(__xludf.DUMMYFUNCTION("""COMPUTED_VALUE"""),1.1110559154103123)</f>
        <v>1.111055915</v>
      </c>
      <c r="AH2736" s="82">
        <f>IFERROR(__xludf.DUMMYFUNCTION("""COMPUTED_VALUE"""),0.947228592182956)</f>
        <v>0.9472285922</v>
      </c>
      <c r="AI2736" s="82">
        <f>IFERROR(__xludf.DUMMYFUNCTION("""COMPUTED_VALUE"""),1.1098904663382312)</f>
        <v>1.109890466</v>
      </c>
      <c r="AJ2736" s="82">
        <f>IFERROR(__xludf.DUMMYFUNCTION("""COMPUTED_VALUE"""),1.2128749052839731)</f>
        <v>1.212874905</v>
      </c>
      <c r="AK2736" s="82">
        <f>IFERROR(__xludf.DUMMYFUNCTION("""COMPUTED_VALUE"""),1.2085153128969253)</f>
        <v>1.208515313</v>
      </c>
      <c r="AL2736" s="82">
        <f>IFERROR(__xludf.DUMMYFUNCTION("""COMPUTED_VALUE"""),1.1450561813086166)</f>
        <v>1.145056181</v>
      </c>
      <c r="AM2736" s="82">
        <f>IFERROR(__xludf.DUMMYFUNCTION("""COMPUTED_VALUE"""),1.0245906808777367)</f>
        <v>1.024590681</v>
      </c>
      <c r="AN2736" s="82">
        <f>IFERROR(__xludf.DUMMYFUNCTION("""COMPUTED_VALUE"""),1.0312453419325427)</f>
        <v>1.031245342</v>
      </c>
      <c r="AO2736" s="82">
        <f>IFERROR(__xludf.DUMMYFUNCTION("""COMPUTED_VALUE"""),1.0900576264088024)</f>
        <v>1.090057626</v>
      </c>
      <c r="AP2736" s="82">
        <f>IFERROR(__xludf.DUMMYFUNCTION("""COMPUTED_VALUE"""),1.3780141442179137)</f>
        <v>1.378014144</v>
      </c>
      <c r="AQ2736" s="82">
        <f>IFERROR(__xludf.DUMMYFUNCTION("""COMPUTED_VALUE"""),1.0879470003661271)</f>
        <v>1.087947</v>
      </c>
      <c r="AR2736" s="82">
        <f>IFERROR(__xludf.DUMMYFUNCTION("""COMPUTED_VALUE"""),1.0562393749414638)</f>
        <v>1.056239375</v>
      </c>
      <c r="AS2736" s="82">
        <f>IFERROR(__xludf.DUMMYFUNCTION("""COMPUTED_VALUE"""),130.0)</f>
        <v>130</v>
      </c>
      <c r="AT2736" s="82">
        <f>IFERROR(__xludf.DUMMYFUNCTION("""COMPUTED_VALUE"""),0.5161253777003066)</f>
        <v>0.5161253777</v>
      </c>
      <c r="AU2736" s="82">
        <f>IFERROR(__xludf.DUMMYFUNCTION("""COMPUTED_VALUE"""),2.2498862076315786)</f>
        <v>2.249886208</v>
      </c>
      <c r="AV2736" s="82">
        <f>IFERROR(__xludf.DUMMYFUNCTION("""COMPUTED_VALUE"""),53.69178898511664)</f>
        <v>53.69178899</v>
      </c>
      <c r="AW2736" s="82">
        <f t="shared" si="1"/>
        <v>2.2660271</v>
      </c>
      <c r="AX2736" s="83">
        <f t="array" ref="AX2736">IFERROR(DGET('SBV Import'!A:G,"SBV",{"RSC ID","Tier";B2736,A2736}))</f>
        <v>45.41630706</v>
      </c>
      <c r="AY2736" s="82">
        <f t="shared" si="2"/>
        <v>-2.340481018</v>
      </c>
      <c r="AZ2736" s="82">
        <v>4.6065081177403915</v>
      </c>
      <c r="BA2736" s="84">
        <v>2700.0</v>
      </c>
      <c r="BB2736" s="84" t="b">
        <f>IFERROR(__xludf.DUMMYFUNCTION("iferror(if(A2736="""",,E2736&gt;=FILTER(Constants!$F$2:$F$10,Constants!$A$2:$A$10=A2736)))"),TRUE)</f>
        <v>1</v>
      </c>
    </row>
    <row r="2737">
      <c r="A2737" s="89" t="str">
        <f>IFERROR(__xludf.DUMMYFUNCTION("""COMPUTED_VALUE"""),"Prospect")</f>
        <v>Prospect</v>
      </c>
      <c r="B2737" s="87" t="str">
        <f>IFERROR(__xludf.DUMMYFUNCTION("""COMPUTED_VALUE"""),"RSC006344")</f>
        <v>RSC006344</v>
      </c>
      <c r="C2737" s="73" t="str">
        <f>IFERROR(__xludf.DUMMYFUNCTION("""COMPUTED_VALUE"""),"FerrisCrueller")</f>
        <v>FerrisCrueller</v>
      </c>
      <c r="D2737" s="73" t="str">
        <f>IFERROR(__xludf.DUMMYFUNCTION("""COMPUTED_VALUE"""),"Poppy")</f>
        <v>Poppy</v>
      </c>
      <c r="E2737" s="82">
        <f>IFERROR(__xludf.DUMMYFUNCTION("""COMPUTED_VALUE"""),20.0)</f>
        <v>20</v>
      </c>
      <c r="F2737" s="82">
        <f>IFERROR(__xludf.DUMMYFUNCTION("""COMPUTED_VALUE"""),9.0)</f>
        <v>9</v>
      </c>
      <c r="G2737" s="86">
        <f>IFERROR(__xludf.DUMMYFUNCTION("""COMPUTED_VALUE"""),11.0)</f>
        <v>11</v>
      </c>
      <c r="H2737" s="86">
        <f>IFERROR(__xludf.DUMMYFUNCTION("""COMPUTED_VALUE"""),0.45)</f>
        <v>0.45</v>
      </c>
      <c r="I2737" s="86">
        <f>IFERROR(__xludf.DUMMYFUNCTION("""COMPUTED_VALUE"""),0.3695652173913044)</f>
        <v>0.3695652174</v>
      </c>
      <c r="J2737" s="82">
        <f>IFERROR(__xludf.DUMMYFUNCTION("""COMPUTED_VALUE"""),331.25)</f>
        <v>331.25</v>
      </c>
      <c r="K2737" s="82">
        <f>IFERROR(__xludf.DUMMYFUNCTION("""COMPUTED_VALUE"""),0.85)</f>
        <v>0.85</v>
      </c>
      <c r="L2737" s="82">
        <f>IFERROR(__xludf.DUMMYFUNCTION("""COMPUTED_VALUE"""),0.45)</f>
        <v>0.45</v>
      </c>
      <c r="M2737" s="82">
        <f>IFERROR(__xludf.DUMMYFUNCTION("""COMPUTED_VALUE"""),1.1)</f>
        <v>1.1</v>
      </c>
      <c r="N2737" s="82">
        <f>IFERROR(__xludf.DUMMYFUNCTION("""COMPUTED_VALUE"""),2.3)</f>
        <v>2.3</v>
      </c>
      <c r="O2737" s="82">
        <f>IFERROR(__xludf.DUMMYFUNCTION("""COMPUTED_VALUE"""),360.6166666666666)</f>
        <v>360.6166667</v>
      </c>
      <c r="P2737" s="82">
        <f>IFERROR(__xludf.DUMMYFUNCTION("""COMPUTED_VALUE"""),0.8166666666666667)</f>
        <v>0.8166666667</v>
      </c>
      <c r="Q2737" s="82">
        <f>IFERROR(__xludf.DUMMYFUNCTION("""COMPUTED_VALUE"""),0.5666666666666665)</f>
        <v>0.5666666667</v>
      </c>
      <c r="R2737" s="82">
        <f>IFERROR(__xludf.DUMMYFUNCTION("""COMPUTED_VALUE"""),1.2333333333333334)</f>
        <v>1.233333333</v>
      </c>
      <c r="S2737" s="82">
        <f>IFERROR(__xludf.DUMMYFUNCTION("""COMPUTED_VALUE"""),2.7166666666666672)</f>
        <v>2.716666667</v>
      </c>
      <c r="T2737" s="82">
        <f>IFERROR(__xludf.DUMMYFUNCTION("""COMPUTED_VALUE"""),337.6286229280762)</f>
        <v>337.6286229</v>
      </c>
      <c r="U2737" s="82">
        <f>IFERROR(__xludf.DUMMYFUNCTION("""COMPUTED_VALUE"""),0.8270442842014856)</f>
        <v>0.8270442842</v>
      </c>
      <c r="V2737" s="82">
        <f>IFERROR(__xludf.DUMMYFUNCTION("""COMPUTED_VALUE"""),0.5653604472649332)</f>
        <v>0.5653604473</v>
      </c>
      <c r="W2737" s="82">
        <f>IFERROR(__xludf.DUMMYFUNCTION("""COMPUTED_VALUE"""),1.1064172515871482)</f>
        <v>1.106417252</v>
      </c>
      <c r="X2737" s="82">
        <f>IFERROR(__xludf.DUMMYFUNCTION("""COMPUTED_VALUE"""),2.541351103418127)</f>
        <v>2.541351103</v>
      </c>
      <c r="Y2737" s="82">
        <f>IFERROR(__xludf.DUMMYFUNCTION("""COMPUTED_VALUE"""),342.911059820015)</f>
        <v>342.9110598</v>
      </c>
      <c r="Z2737" s="82">
        <f>IFERROR(__xludf.DUMMYFUNCTION("""COMPUTED_VALUE"""),0.8291238811925495)</f>
        <v>0.8291238812</v>
      </c>
      <c r="AA2737" s="82">
        <f>IFERROR(__xludf.DUMMYFUNCTION("""COMPUTED_VALUE"""),0.5401740270096091)</f>
        <v>0.540174027</v>
      </c>
      <c r="AB2737" s="82">
        <f>IFERROR(__xludf.DUMMYFUNCTION("""COMPUTED_VALUE"""),1.2384596800066454)</f>
        <v>1.23845968</v>
      </c>
      <c r="AC2737" s="82">
        <f>IFERROR(__xludf.DUMMYFUNCTION("""COMPUTED_VALUE"""),2.3545766192950497)</f>
        <v>2.354576619</v>
      </c>
      <c r="AD2737" s="82">
        <f>IFERROR(__xludf.DUMMYFUNCTION("""COMPUTED_VALUE"""),0.965993923246058)</f>
        <v>0.9659939232</v>
      </c>
      <c r="AE2737" s="82">
        <f>IFERROR(__xludf.DUMMYFUNCTION("""COMPUTED_VALUE"""),1.0251785279389418)</f>
        <v>1.025178528</v>
      </c>
      <c r="AF2737" s="82">
        <f>IFERROR(__xludf.DUMMYFUNCTION("""COMPUTED_VALUE"""),0.8330648596549329)</f>
        <v>0.8330648597</v>
      </c>
      <c r="AG2737" s="82">
        <f>IFERROR(__xludf.DUMMYFUNCTION("""COMPUTED_VALUE"""),0.8882000906110222)</f>
        <v>0.8882000906</v>
      </c>
      <c r="AH2737" s="82">
        <f>IFERROR(__xludf.DUMMYFUNCTION("""COMPUTED_VALUE"""),0.9768210476364154)</f>
        <v>0.9768210476</v>
      </c>
      <c r="AI2737" s="82">
        <f>IFERROR(__xludf.DUMMYFUNCTION("""COMPUTED_VALUE"""),1.0680867739803195)</f>
        <v>1.068086774</v>
      </c>
      <c r="AJ2737" s="82">
        <f>IFERROR(__xludf.DUMMYFUNCTION("""COMPUTED_VALUE"""),0.9874521621960806)</f>
        <v>0.9874521622</v>
      </c>
      <c r="AK2737" s="82">
        <f>IFERROR(__xludf.DUMMYFUNCTION("""COMPUTED_VALUE"""),1.0023104187922103)</f>
        <v>1.002310419</v>
      </c>
      <c r="AL2737" s="82">
        <f>IFERROR(__xludf.DUMMYFUNCTION("""COMPUTED_VALUE"""),1.1147090589595605)</f>
        <v>1.114709059</v>
      </c>
      <c r="AM2737" s="82">
        <f>IFERROR(__xludf.DUMMYFUNCTION("""COMPUTED_VALUE"""),1.068985179974833)</f>
        <v>1.06898518</v>
      </c>
      <c r="AN2737" s="82">
        <f>IFERROR(__xludf.DUMMYFUNCTION("""COMPUTED_VALUE"""),1.0302259150312958)</f>
        <v>1.030225915</v>
      </c>
      <c r="AO2737" s="82">
        <f>IFERROR(__xludf.DUMMYFUNCTION("""COMPUTED_VALUE"""),1.1581862280593525)</f>
        <v>1.158186228</v>
      </c>
      <c r="AP2737" s="82">
        <f>IFERROR(__xludf.DUMMYFUNCTION("""COMPUTED_VALUE"""),0.9001544006584759)</f>
        <v>0.9001544007</v>
      </c>
      <c r="AQ2737" s="82">
        <f>IFERROR(__xludf.DUMMYFUNCTION("""COMPUTED_VALUE"""),0.9447960792653209)</f>
        <v>0.9447960793</v>
      </c>
      <c r="AR2737" s="82">
        <f>IFERROR(__xludf.DUMMYFUNCTION("""COMPUTED_VALUE"""),0.9938252300585589)</f>
        <v>0.9938252301</v>
      </c>
      <c r="AS2737" s="82">
        <f>IFERROR(__xludf.DUMMYFUNCTION("""COMPUTED_VALUE"""),48.0)</f>
        <v>48</v>
      </c>
      <c r="AT2737" s="82">
        <f>IFERROR(__xludf.DUMMYFUNCTION("""COMPUTED_VALUE"""),0.49189069842103483)</f>
        <v>0.4918906984</v>
      </c>
      <c r="AU2737" s="82">
        <f>IFERROR(__xludf.DUMMYFUNCTION("""COMPUTED_VALUE"""),2.2398555008060494)</f>
        <v>2.239855501</v>
      </c>
      <c r="AV2737" s="82">
        <f>IFERROR(__xludf.DUMMYFUNCTION("""COMPUTED_VALUE"""),53.42038060274299)</f>
        <v>53.4203806</v>
      </c>
      <c r="AW2737" s="82">
        <f t="shared" si="1"/>
        <v>2.244223468</v>
      </c>
      <c r="AX2737" s="83">
        <f t="array" ref="AX2737">IFERROR(DGET('SBV Import'!A:G,"SBV",{"RSC ID","Tier";B2737,A2737}))</f>
        <v>35.28470761</v>
      </c>
      <c r="AY2737" s="82">
        <f t="shared" si="2"/>
        <v>-3.59633456</v>
      </c>
      <c r="AZ2737" s="82">
        <v>5.840558027986525</v>
      </c>
      <c r="BA2737" s="84">
        <v>2700.0</v>
      </c>
      <c r="BB2737" s="84" t="b">
        <f>IFERROR(__xludf.DUMMYFUNCTION("iferror(if(A2737="""",,E2737&gt;=FILTER(Constants!$F$2:$F$10,Constants!$A$2:$A$10=A2737)))"),TRUE)</f>
        <v>1</v>
      </c>
    </row>
    <row r="2738">
      <c r="A2738" s="89" t="str">
        <f>IFERROR(__xludf.DUMMYFUNCTION("""COMPUTED_VALUE"""),"Prospect")</f>
        <v>Prospect</v>
      </c>
      <c r="B2738" s="87" t="str">
        <f>IFERROR(__xludf.DUMMYFUNCTION("""COMPUTED_VALUE"""),"RSC002596")</f>
        <v>RSC002596</v>
      </c>
      <c r="C2738" s="73" t="str">
        <f>IFERROR(__xludf.DUMMYFUNCTION("""COMPUTED_VALUE"""),"Jeff Wadowski")</f>
        <v>Jeff Wadowski</v>
      </c>
      <c r="D2738" s="73" t="str">
        <f>IFERROR(__xludf.DUMMYFUNCTION("""COMPUTED_VALUE"""),"Tic Tacs")</f>
        <v>Tic Tacs</v>
      </c>
      <c r="E2738" s="82">
        <f>IFERROR(__xludf.DUMMYFUNCTION("""COMPUTED_VALUE"""),48.0)</f>
        <v>48</v>
      </c>
      <c r="F2738" s="82">
        <f>IFERROR(__xludf.DUMMYFUNCTION("""COMPUTED_VALUE"""),26.0)</f>
        <v>26</v>
      </c>
      <c r="G2738" s="86">
        <f>IFERROR(__xludf.DUMMYFUNCTION("""COMPUTED_VALUE"""),22.0)</f>
        <v>22</v>
      </c>
      <c r="H2738" s="86">
        <f>IFERROR(__xludf.DUMMYFUNCTION("""COMPUTED_VALUE"""),0.5416666666666666)</f>
        <v>0.5416666667</v>
      </c>
      <c r="I2738" s="86">
        <f>IFERROR(__xludf.DUMMYFUNCTION("""COMPUTED_VALUE"""),0.31775700934579443)</f>
        <v>0.3177570093</v>
      </c>
      <c r="J2738" s="82">
        <f>IFERROR(__xludf.DUMMYFUNCTION("""COMPUTED_VALUE"""),372.4375)</f>
        <v>372.4375</v>
      </c>
      <c r="K2738" s="82">
        <f>IFERROR(__xludf.DUMMYFUNCTION("""COMPUTED_VALUE"""),0.7083333333333334)</f>
        <v>0.7083333333</v>
      </c>
      <c r="L2738" s="82">
        <f>IFERROR(__xludf.DUMMYFUNCTION("""COMPUTED_VALUE"""),0.625)</f>
        <v>0.625</v>
      </c>
      <c r="M2738" s="82">
        <f>IFERROR(__xludf.DUMMYFUNCTION("""COMPUTED_VALUE"""),1.625)</f>
        <v>1.625</v>
      </c>
      <c r="N2738" s="82">
        <f>IFERROR(__xludf.DUMMYFUNCTION("""COMPUTED_VALUE"""),2.2291666666666665)</f>
        <v>2.229166667</v>
      </c>
      <c r="O2738" s="82">
        <f>IFERROR(__xludf.DUMMYFUNCTION("""COMPUTED_VALUE"""),322.5208333333333)</f>
        <v>322.5208333</v>
      </c>
      <c r="P2738" s="82">
        <f>IFERROR(__xludf.DUMMYFUNCTION("""COMPUTED_VALUE"""),0.826388888888889)</f>
        <v>0.8263888889</v>
      </c>
      <c r="Q2738" s="82">
        <f>IFERROR(__xludf.DUMMYFUNCTION("""COMPUTED_VALUE"""),0.5069444444444443)</f>
        <v>0.5069444444</v>
      </c>
      <c r="R2738" s="82">
        <f>IFERROR(__xludf.DUMMYFUNCTION("""COMPUTED_VALUE"""),0.9791666666666666)</f>
        <v>0.9791666667</v>
      </c>
      <c r="S2738" s="82">
        <f>IFERROR(__xludf.DUMMYFUNCTION("""COMPUTED_VALUE"""),2.5694444444444433)</f>
        <v>2.569444444</v>
      </c>
      <c r="T2738" s="82">
        <f>IFERROR(__xludf.DUMMYFUNCTION("""COMPUTED_VALUE"""),327.2816856517104)</f>
        <v>327.2816857</v>
      </c>
      <c r="U2738" s="82">
        <f>IFERROR(__xludf.DUMMYFUNCTION("""COMPUTED_VALUE"""),0.7479460672211453)</f>
        <v>0.7479460672</v>
      </c>
      <c r="V2738" s="82">
        <f>IFERROR(__xludf.DUMMYFUNCTION("""COMPUTED_VALUE"""),0.49161493708944337)</f>
        <v>0.4916149371</v>
      </c>
      <c r="W2738" s="82">
        <f>IFERROR(__xludf.DUMMYFUNCTION("""COMPUTED_VALUE"""),1.2352514491252455)</f>
        <v>1.235251449</v>
      </c>
      <c r="X2738" s="82">
        <f>IFERROR(__xludf.DUMMYFUNCTION("""COMPUTED_VALUE"""),2.316592763568408)</f>
        <v>2.316592764</v>
      </c>
      <c r="Y2738" s="82">
        <f>IFERROR(__xludf.DUMMYFUNCTION("""COMPUTED_VALUE"""),337.65326304636875)</f>
        <v>337.653263</v>
      </c>
      <c r="Z2738" s="82">
        <f>IFERROR(__xludf.DUMMYFUNCTION("""COMPUTED_VALUE"""),0.8135246239030317)</f>
        <v>0.8135246239</v>
      </c>
      <c r="AA2738" s="82">
        <f>IFERROR(__xludf.DUMMYFUNCTION("""COMPUTED_VALUE"""),0.5421822099519603)</f>
        <v>0.54218221</v>
      </c>
      <c r="AB2738" s="82">
        <f>IFERROR(__xludf.DUMMYFUNCTION("""COMPUTED_VALUE"""),1.1645744873412613)</f>
        <v>1.164574487</v>
      </c>
      <c r="AC2738" s="82">
        <f>IFERROR(__xludf.DUMMYFUNCTION("""COMPUTED_VALUE"""),2.514872901047572)</f>
        <v>2.514872901</v>
      </c>
      <c r="AD2738" s="82">
        <f>IFERROR(__xludf.DUMMYFUNCTION("""COMPUTED_VALUE"""),1.103017624173987)</f>
        <v>1.103017624</v>
      </c>
      <c r="AE2738" s="82">
        <f>IFERROR(__xludf.DUMMYFUNCTION("""COMPUTED_VALUE"""),0.8706968572567305)</f>
        <v>0.8706968573</v>
      </c>
      <c r="AF2738" s="82">
        <f>IFERROR(__xludf.DUMMYFUNCTION("""COMPUTED_VALUE"""),1.1527489993730664)</f>
        <v>1.152748999</v>
      </c>
      <c r="AG2738" s="82">
        <f>IFERROR(__xludf.DUMMYFUNCTION("""COMPUTED_VALUE"""),1.3953594361404018)</f>
        <v>1.395359436</v>
      </c>
      <c r="AH2738" s="82">
        <f>IFERROR(__xludf.DUMMYFUNCTION("""COMPUTED_VALUE"""),0.886393370312315)</f>
        <v>0.8863933703</v>
      </c>
      <c r="AI2738" s="82">
        <f>IFERROR(__xludf.DUMMYFUNCTION("""COMPUTED_VALUE"""),0.9854533494323189)</f>
        <v>0.9854533494</v>
      </c>
      <c r="AJ2738" s="82">
        <f>IFERROR(__xludf.DUMMYFUNCTION("""COMPUTED_VALUE"""),1.1048776443991255)</f>
        <v>1.104877644</v>
      </c>
      <c r="AK2738" s="82">
        <f>IFERROR(__xludf.DUMMYFUNCTION("""COMPUTED_VALUE"""),1.0311819397631767)</f>
        <v>1.03118194</v>
      </c>
      <c r="AL2738" s="82">
        <f>IFERROR(__xludf.DUMMYFUNCTION("""COMPUTED_VALUE"""),0.792686110475784)</f>
        <v>0.7926861105</v>
      </c>
      <c r="AM2738" s="82">
        <f>IFERROR(__xludf.DUMMYFUNCTION("""COMPUTED_VALUE"""),1.1091480923416812)</f>
        <v>1.109148092</v>
      </c>
      <c r="AN2738" s="82">
        <f>IFERROR(__xludf.DUMMYFUNCTION("""COMPUTED_VALUE"""),1.1583238165417908)</f>
        <v>1.158323817</v>
      </c>
      <c r="AO2738" s="82">
        <f>IFERROR(__xludf.DUMMYFUNCTION("""COMPUTED_VALUE"""),0.9651551900494604)</f>
        <v>0.96515519</v>
      </c>
      <c r="AP2738" s="82">
        <f>IFERROR(__xludf.DUMMYFUNCTION("""COMPUTED_VALUE"""),1.2502144453589943)</f>
        <v>1.250214445</v>
      </c>
      <c r="AQ2738" s="82">
        <f>IFERROR(__xludf.DUMMYFUNCTION("""COMPUTED_VALUE"""),1.3957214807328604)</f>
        <v>1.395721481</v>
      </c>
      <c r="AR2738" s="82">
        <f>IFERROR(__xludf.DUMMYFUNCTION("""COMPUTED_VALUE"""),0.9632182936255961)</f>
        <v>0.9632182936</v>
      </c>
      <c r="AS2738" s="82">
        <f>IFERROR(__xludf.DUMMYFUNCTION("""COMPUTED_VALUE"""),118.0)</f>
        <v>118</v>
      </c>
      <c r="AT2738" s="82">
        <f>IFERROR(__xludf.DUMMYFUNCTION("""COMPUTED_VALUE"""),0.4966637826961055)</f>
        <v>0.4966637827</v>
      </c>
      <c r="AU2738" s="82">
        <f>IFERROR(__xludf.DUMMYFUNCTION("""COMPUTED_VALUE"""),2.189515242247176)</f>
        <v>2.189515242</v>
      </c>
      <c r="AV2738" s="82">
        <f>IFERROR(__xludf.DUMMYFUNCTION("""COMPUTED_VALUE"""),52.058286347434674)</f>
        <v>52.05828635</v>
      </c>
      <c r="AW2738" s="82">
        <f t="shared" si="1"/>
        <v>2.140449574</v>
      </c>
      <c r="AX2738" s="83">
        <f t="array" ref="AX2738">IFERROR(DGET('SBV Import'!A:G,"SBV",{"RSC ID","Tier";B2738,A2738}))</f>
        <v>58.81579003</v>
      </c>
      <c r="AY2738" s="82">
        <f t="shared" si="2"/>
        <v>2.761040338</v>
      </c>
      <c r="AZ2738" s="82">
        <v>0.6205907641368578</v>
      </c>
      <c r="BA2738" s="84">
        <v>2700.0</v>
      </c>
      <c r="BB2738" s="84" t="b">
        <f>IFERROR(__xludf.DUMMYFUNCTION("iferror(if(A2738="""",,E2738&gt;=FILTER(Constants!$F$2:$F$10,Constants!$A$2:$A$10=A2738)))"),TRUE)</f>
        <v>1</v>
      </c>
    </row>
    <row r="2739">
      <c r="A2739" s="89" t="str">
        <f>IFERROR(__xludf.DUMMYFUNCTION("""COMPUTED_VALUE"""),"Prospect")</f>
        <v>Prospect</v>
      </c>
      <c r="B2739" s="87" t="str">
        <f>IFERROR(__xludf.DUMMYFUNCTION("""COMPUTED_VALUE"""),"RSC006495")</f>
        <v>RSC006495</v>
      </c>
      <c r="C2739" s="73" t="str">
        <f>IFERROR(__xludf.DUMMYFUNCTION("""COMPUTED_VALUE"""),"Hype.56")</f>
        <v>Hype.56</v>
      </c>
      <c r="D2739" s="73" t="str">
        <f>IFERROR(__xludf.DUMMYFUNCTION("""COMPUTED_VALUE"""),"Prism Proteges")</f>
        <v>Prism Proteges</v>
      </c>
      <c r="E2739" s="82">
        <f>IFERROR(__xludf.DUMMYFUNCTION("""COMPUTED_VALUE"""),33.0)</f>
        <v>33</v>
      </c>
      <c r="F2739" s="82">
        <f>IFERROR(__xludf.DUMMYFUNCTION("""COMPUTED_VALUE"""),14.0)</f>
        <v>14</v>
      </c>
      <c r="G2739" s="86">
        <f>IFERROR(__xludf.DUMMYFUNCTION("""COMPUTED_VALUE"""),19.0)</f>
        <v>19</v>
      </c>
      <c r="H2739" s="86">
        <f>IFERROR(__xludf.DUMMYFUNCTION("""COMPUTED_VALUE"""),0.42424242424242425)</f>
        <v>0.4242424242</v>
      </c>
      <c r="I2739" s="86">
        <f>IFERROR(__xludf.DUMMYFUNCTION("""COMPUTED_VALUE"""),0.2692307692307692)</f>
        <v>0.2692307692</v>
      </c>
      <c r="J2739" s="82">
        <f>IFERROR(__xludf.DUMMYFUNCTION("""COMPUTED_VALUE"""),297.1212121212121)</f>
        <v>297.1212121</v>
      </c>
      <c r="K2739" s="82">
        <f>IFERROR(__xludf.DUMMYFUNCTION("""COMPUTED_VALUE"""),0.6363636363636364)</f>
        <v>0.6363636364</v>
      </c>
      <c r="L2739" s="82">
        <f>IFERROR(__xludf.DUMMYFUNCTION("""COMPUTED_VALUE"""),0.5454545454545454)</f>
        <v>0.5454545455</v>
      </c>
      <c r="M2739" s="82">
        <f>IFERROR(__xludf.DUMMYFUNCTION("""COMPUTED_VALUE"""),1.121212121212121)</f>
        <v>1.121212121</v>
      </c>
      <c r="N2739" s="82">
        <f>IFERROR(__xludf.DUMMYFUNCTION("""COMPUTED_VALUE"""),2.3636363636363638)</f>
        <v>2.363636364</v>
      </c>
      <c r="O2739" s="82">
        <f>IFERROR(__xludf.DUMMYFUNCTION("""COMPUTED_VALUE"""),326.00000000000006)</f>
        <v>326</v>
      </c>
      <c r="P2739" s="82">
        <f>IFERROR(__xludf.DUMMYFUNCTION("""COMPUTED_VALUE"""),0.7373737373737373)</f>
        <v>0.7373737374</v>
      </c>
      <c r="Q2739" s="82">
        <f>IFERROR(__xludf.DUMMYFUNCTION("""COMPUTED_VALUE"""),0.4747474747474749)</f>
        <v>0.4747474747</v>
      </c>
      <c r="R2739" s="82">
        <f>IFERROR(__xludf.DUMMYFUNCTION("""COMPUTED_VALUE"""),1.4444444444444442)</f>
        <v>1.444444444</v>
      </c>
      <c r="S2739" s="82">
        <f>IFERROR(__xludf.DUMMYFUNCTION("""COMPUTED_VALUE"""),2.1919191919191916)</f>
        <v>2.191919192</v>
      </c>
      <c r="T2739" s="82">
        <f>IFERROR(__xludf.DUMMYFUNCTION("""COMPUTED_VALUE"""),338.7183065610535)</f>
        <v>338.7183066</v>
      </c>
      <c r="U2739" s="82">
        <f>IFERROR(__xludf.DUMMYFUNCTION("""COMPUTED_VALUE"""),0.8158307860074867)</f>
        <v>0.815830786</v>
      </c>
      <c r="V2739" s="82">
        <f>IFERROR(__xludf.DUMMYFUNCTION("""COMPUTED_VALUE"""),0.5538755010778507)</f>
        <v>0.5538755011</v>
      </c>
      <c r="W2739" s="82">
        <f>IFERROR(__xludf.DUMMYFUNCTION("""COMPUTED_VALUE"""),1.200356773255267)</f>
        <v>1.200356773</v>
      </c>
      <c r="X2739" s="82">
        <f>IFERROR(__xludf.DUMMYFUNCTION("""COMPUTED_VALUE"""),2.401874042708232)</f>
        <v>2.401874043</v>
      </c>
      <c r="Y2739" s="82">
        <f>IFERROR(__xludf.DUMMYFUNCTION("""COMPUTED_VALUE"""),327.46760087981045)</f>
        <v>327.4676009</v>
      </c>
      <c r="Z2739" s="82">
        <f>IFERROR(__xludf.DUMMYFUNCTION("""COMPUTED_VALUE"""),0.7704310516746777)</f>
        <v>0.7704310517</v>
      </c>
      <c r="AA2739" s="82">
        <f>IFERROR(__xludf.DUMMYFUNCTION("""COMPUTED_VALUE"""),0.5172599008393788)</f>
        <v>0.5172599008</v>
      </c>
      <c r="AB2739" s="82">
        <f>IFERROR(__xludf.DUMMYFUNCTION("""COMPUTED_VALUE"""),1.1382035257633587)</f>
        <v>1.138203526</v>
      </c>
      <c r="AC2739" s="82">
        <f>IFERROR(__xludf.DUMMYFUNCTION("""COMPUTED_VALUE"""),2.4032413557993304)</f>
        <v>2.403241356</v>
      </c>
      <c r="AD2739" s="82">
        <f>IFERROR(__xludf.DUMMYFUNCTION("""COMPUTED_VALUE"""),0.9073301032619215)</f>
        <v>0.9073301033</v>
      </c>
      <c r="AE2739" s="82">
        <f>IFERROR(__xludf.DUMMYFUNCTION("""COMPUTED_VALUE"""),0.8259838891233414)</f>
        <v>0.8259838891</v>
      </c>
      <c r="AF2739" s="82">
        <f>IFERROR(__xludf.DUMMYFUNCTION("""COMPUTED_VALUE"""),1.0545076944286886)</f>
        <v>1.054507694</v>
      </c>
      <c r="AG2739" s="82">
        <f>IFERROR(__xludf.DUMMYFUNCTION("""COMPUTED_VALUE"""),0.9850717343896453)</f>
        <v>0.9850717344</v>
      </c>
      <c r="AH2739" s="82">
        <f>IFERROR(__xludf.DUMMYFUNCTION("""COMPUTED_VALUE"""),0.9835201770028654)</f>
        <v>0.983520177</v>
      </c>
      <c r="AI2739" s="82">
        <f>IFERROR(__xludf.DUMMYFUNCTION("""COMPUTED_VALUE"""),0.9624516705631292)</f>
        <v>0.9624516706</v>
      </c>
      <c r="AJ2739" s="82">
        <f>IFERROR(__xludf.DUMMYFUNCTION("""COMPUTED_VALUE"""),0.9038317136600073)</f>
        <v>0.9038317137</v>
      </c>
      <c r="AK2739" s="82">
        <f>IFERROR(__xludf.DUMMYFUNCTION("""COMPUTED_VALUE"""),0.8571375224641795)</f>
        <v>0.8571375225</v>
      </c>
      <c r="AL2739" s="82">
        <f>IFERROR(__xludf.DUMMYFUNCTION("""COMPUTED_VALUE"""),1.203345935664804)</f>
        <v>1.203345936</v>
      </c>
      <c r="AM2739" s="82">
        <f>IFERROR(__xludf.DUMMYFUNCTION("""COMPUTED_VALUE"""),0.9125870686573115)</f>
        <v>0.9125870687</v>
      </c>
      <c r="AN2739" s="82">
        <f>IFERROR(__xludf.DUMMYFUNCTION("""COMPUTED_VALUE"""),0.9240814268159502)</f>
        <v>0.9240814268</v>
      </c>
      <c r="AO2739" s="82">
        <f>IFERROR(__xludf.DUMMYFUNCTION("""COMPUTED_VALUE"""),0.8670912937342745)</f>
        <v>0.8670912937</v>
      </c>
      <c r="AP2739" s="82">
        <f>IFERROR(__xludf.DUMMYFUNCTION("""COMPUTED_VALUE"""),1.091096243222395)</f>
        <v>1.091096243</v>
      </c>
      <c r="AQ2739" s="82">
        <f>IFERROR(__xludf.DUMMYFUNCTION("""COMPUTED_VALUE"""),0.9630152874054234)</f>
        <v>0.9630152874</v>
      </c>
      <c r="AR2739" s="82">
        <f>IFERROR(__xludf.DUMMYFUNCTION("""COMPUTED_VALUE"""),1.0213223708111674)</f>
        <v>1.021322371</v>
      </c>
      <c r="AS2739" s="82">
        <f>IFERROR(__xludf.DUMMYFUNCTION("""COMPUTED_VALUE"""),72.0)</f>
        <v>72</v>
      </c>
      <c r="AT2739" s="82">
        <f>IFERROR(__xludf.DUMMYFUNCTION("""COMPUTED_VALUE"""),0.49472658561273297)</f>
        <v>0.4947265856</v>
      </c>
      <c r="AU2739" s="82">
        <f>IFERROR(__xludf.DUMMYFUNCTION("""COMPUTED_VALUE"""),2.150275769487523)</f>
        <v>2.150275769</v>
      </c>
      <c r="AV2739" s="82">
        <f>IFERROR(__xludf.DUMMYFUNCTION("""COMPUTED_VALUE"""),50.996554406492365)</f>
        <v>50.99655441</v>
      </c>
      <c r="AW2739" s="82">
        <f t="shared" si="1"/>
        <v>2.065682494</v>
      </c>
      <c r="AX2739" s="83">
        <f t="array" ref="AX2739">IFERROR(DGET('SBV Import'!A:G,"SBV",{"RSC ID","Tier";B2739,A2739}))</f>
        <v>40.65717051</v>
      </c>
      <c r="AY2739" s="82">
        <f t="shared" si="2"/>
        <v>-2.822396261</v>
      </c>
      <c r="AZ2739" s="82">
        <v>4.88807875441803</v>
      </c>
      <c r="BA2739" s="84">
        <v>2700.0</v>
      </c>
      <c r="BB2739" s="84" t="b">
        <f>IFERROR(__xludf.DUMMYFUNCTION("iferror(if(A2739="""",,E2739&gt;=FILTER(Constants!$F$2:$F$10,Constants!$A$2:$A$10=A2739)))"),TRUE)</f>
        <v>1</v>
      </c>
    </row>
    <row r="2740">
      <c r="A2740" s="89" t="str">
        <f>IFERROR(__xludf.DUMMYFUNCTION("""COMPUTED_VALUE"""),"Prospect")</f>
        <v>Prospect</v>
      </c>
      <c r="B2740" s="87" t="str">
        <f>IFERROR(__xludf.DUMMYFUNCTION("""COMPUTED_VALUE"""),"RSC006115")</f>
        <v>RSC006115</v>
      </c>
      <c r="C2740" s="73" t="str">
        <f>IFERROR(__xludf.DUMMYFUNCTION("""COMPUTED_VALUE"""),"Shame")</f>
        <v>Shame</v>
      </c>
      <c r="D2740" s="73" t="str">
        <f>IFERROR(__xludf.DUMMYFUNCTION("""COMPUTED_VALUE"""),"Gloom")</f>
        <v>Gloom</v>
      </c>
      <c r="E2740" s="82">
        <f>IFERROR(__xludf.DUMMYFUNCTION("""COMPUTED_VALUE"""),47.0)</f>
        <v>47</v>
      </c>
      <c r="F2740" s="82">
        <f>IFERROR(__xludf.DUMMYFUNCTION("""COMPUTED_VALUE"""),20.0)</f>
        <v>20</v>
      </c>
      <c r="G2740" s="86">
        <f>IFERROR(__xludf.DUMMYFUNCTION("""COMPUTED_VALUE"""),27.0)</f>
        <v>27</v>
      </c>
      <c r="H2740" s="86">
        <f>IFERROR(__xludf.DUMMYFUNCTION("""COMPUTED_VALUE"""),0.425531914893617)</f>
        <v>0.4255319149</v>
      </c>
      <c r="I2740" s="86">
        <f>IFERROR(__xludf.DUMMYFUNCTION("""COMPUTED_VALUE"""),0.3235294117647059)</f>
        <v>0.3235294118</v>
      </c>
      <c r="J2740" s="82">
        <f>IFERROR(__xludf.DUMMYFUNCTION("""COMPUTED_VALUE"""),369.3404255319149)</f>
        <v>369.3404255</v>
      </c>
      <c r="K2740" s="82">
        <f>IFERROR(__xludf.DUMMYFUNCTION("""COMPUTED_VALUE"""),0.7021276595744681)</f>
        <v>0.7021276596</v>
      </c>
      <c r="L2740" s="82">
        <f>IFERROR(__xludf.DUMMYFUNCTION("""COMPUTED_VALUE"""),0.3829787234042553)</f>
        <v>0.3829787234</v>
      </c>
      <c r="M2740" s="82">
        <f>IFERROR(__xludf.DUMMYFUNCTION("""COMPUTED_VALUE"""),1.8297872340425532)</f>
        <v>1.829787234</v>
      </c>
      <c r="N2740" s="82">
        <f>IFERROR(__xludf.DUMMYFUNCTION("""COMPUTED_VALUE"""),2.1702127659574466)</f>
        <v>2.170212766</v>
      </c>
      <c r="O2740" s="82">
        <f>IFERROR(__xludf.DUMMYFUNCTION("""COMPUTED_VALUE"""),332.6170212765957)</f>
        <v>332.6170213</v>
      </c>
      <c r="P2740" s="82">
        <f>IFERROR(__xludf.DUMMYFUNCTION("""COMPUTED_VALUE"""),0.8297872340425531)</f>
        <v>0.829787234</v>
      </c>
      <c r="Q2740" s="82">
        <f>IFERROR(__xludf.DUMMYFUNCTION("""COMPUTED_VALUE"""),0.524822695035461)</f>
        <v>0.524822695</v>
      </c>
      <c r="R2740" s="82">
        <f>IFERROR(__xludf.DUMMYFUNCTION("""COMPUTED_VALUE"""),1.0567375886524821)</f>
        <v>1.056737589</v>
      </c>
      <c r="S2740" s="82">
        <f>IFERROR(__xludf.DUMMYFUNCTION("""COMPUTED_VALUE"""),2.900709219858156)</f>
        <v>2.90070922</v>
      </c>
      <c r="T2740" s="82">
        <f>IFERROR(__xludf.DUMMYFUNCTION("""COMPUTED_VALUE"""),343.37896071237594)</f>
        <v>343.3789607</v>
      </c>
      <c r="U2740" s="82">
        <f>IFERROR(__xludf.DUMMYFUNCTION("""COMPUTED_VALUE"""),0.8627848559528425)</f>
        <v>0.862784856</v>
      </c>
      <c r="V2740" s="82">
        <f>IFERROR(__xludf.DUMMYFUNCTION("""COMPUTED_VALUE"""),0.5513701367486968)</f>
        <v>0.5513701367</v>
      </c>
      <c r="W2740" s="82">
        <f>IFERROR(__xludf.DUMMYFUNCTION("""COMPUTED_VALUE"""),1.1625211231209898)</f>
        <v>1.162521123</v>
      </c>
      <c r="X2740" s="82">
        <f>IFERROR(__xludf.DUMMYFUNCTION("""COMPUTED_VALUE"""),2.587754599895622)</f>
        <v>2.5877546</v>
      </c>
      <c r="Y2740" s="82">
        <f>IFERROR(__xludf.DUMMYFUNCTION("""COMPUTED_VALUE"""),331.6970677652911)</f>
        <v>331.6970678</v>
      </c>
      <c r="Z2740" s="82">
        <f>IFERROR(__xludf.DUMMYFUNCTION("""COMPUTED_VALUE"""),0.756165374955114)</f>
        <v>0.756165375</v>
      </c>
      <c r="AA2740" s="82">
        <f>IFERROR(__xludf.DUMMYFUNCTION("""COMPUTED_VALUE"""),0.5042094654133115)</f>
        <v>0.5042094654</v>
      </c>
      <c r="AB2740" s="82">
        <f>IFERROR(__xludf.DUMMYFUNCTION("""COMPUTED_VALUE"""),1.2330560332384723)</f>
        <v>1.233056033</v>
      </c>
      <c r="AC2740" s="82">
        <f>IFERROR(__xludf.DUMMYFUNCTION("""COMPUTED_VALUE"""),2.3452269701901405)</f>
        <v>2.34522697</v>
      </c>
      <c r="AD2740" s="82">
        <f>IFERROR(__xludf.DUMMYFUNCTION("""COMPUTED_VALUE"""),1.1134871586904116)</f>
        <v>1.113487159</v>
      </c>
      <c r="AE2740" s="82">
        <f>IFERROR(__xludf.DUMMYFUNCTION("""COMPUTED_VALUE"""),0.9285371729909564)</f>
        <v>0.928537173</v>
      </c>
      <c r="AF2740" s="82">
        <f>IFERROR(__xludf.DUMMYFUNCTION("""COMPUTED_VALUE"""),0.7595627406366109)</f>
        <v>0.7595627406</v>
      </c>
      <c r="AG2740" s="82">
        <f>IFERROR(__xludf.DUMMYFUNCTION("""COMPUTED_VALUE"""),1.483944917926267)</f>
        <v>1.483944918</v>
      </c>
      <c r="AH2740" s="82">
        <f>IFERROR(__xludf.DUMMYFUNCTION("""COMPUTED_VALUE"""),0.9253743000326725)</f>
        <v>0.9253743</v>
      </c>
      <c r="AI2740" s="82">
        <f>IFERROR(__xludf.DUMMYFUNCTION("""COMPUTED_VALUE"""),0.9686587104420916)</f>
        <v>0.9686587104</v>
      </c>
      <c r="AJ2740" s="82">
        <f>IFERROR(__xludf.DUMMYFUNCTION("""COMPUTED_VALUE"""),0.9617545188900569)</f>
        <v>0.9617545189</v>
      </c>
      <c r="AK2740" s="82">
        <f>IFERROR(__xludf.DUMMYFUNCTION("""COMPUTED_VALUE"""),0.9518518687468639)</f>
        <v>0.9518518687</v>
      </c>
      <c r="AL2740" s="82">
        <f>IFERROR(__xludf.DUMMYFUNCTION("""COMPUTED_VALUE"""),0.9090050646266853)</f>
        <v>0.9090050646</v>
      </c>
      <c r="AM2740" s="82">
        <f>IFERROR(__xludf.DUMMYFUNCTION("""COMPUTED_VALUE"""),1.1209367456926391)</f>
        <v>1.120936746</v>
      </c>
      <c r="AN2740" s="82">
        <f>IFERROR(__xludf.DUMMYFUNCTION("""COMPUTED_VALUE"""),1.148691555778612)</f>
        <v>1.148691556</v>
      </c>
      <c r="AO2740" s="82">
        <f>IFERROR(__xludf.DUMMYFUNCTION("""COMPUTED_VALUE"""),0.9566995125396404)</f>
        <v>0.9566995125</v>
      </c>
      <c r="AP2740" s="82">
        <f>IFERROR(__xludf.DUMMYFUNCTION("""COMPUTED_VALUE"""),0.7660888516242348)</f>
        <v>0.7660888516</v>
      </c>
      <c r="AQ2740" s="82">
        <f>IFERROR(__xludf.DUMMYFUNCTION("""COMPUTED_VALUE"""),1.5716143678301275)</f>
        <v>1.571614368</v>
      </c>
      <c r="AR2740" s="82">
        <f>IFERROR(__xludf.DUMMYFUNCTION("""COMPUTED_VALUE"""),0.9377444353929048)</f>
        <v>0.9377444354</v>
      </c>
      <c r="AS2740" s="82">
        <f>IFERROR(__xludf.DUMMYFUNCTION("""COMPUTED_VALUE"""),84.0)</f>
        <v>84</v>
      </c>
      <c r="AT2740" s="82">
        <f>IFERROR(__xludf.DUMMYFUNCTION("""COMPUTED_VALUE"""),0.3768757493455714)</f>
        <v>0.3768757493</v>
      </c>
      <c r="AU2740" s="82">
        <f>IFERROR(__xludf.DUMMYFUNCTION("""COMPUTED_VALUE"""),2.0873791455459445)</f>
        <v>2.087379146</v>
      </c>
      <c r="AV2740" s="82">
        <f>IFERROR(__xludf.DUMMYFUNCTION("""COMPUTED_VALUE"""),49.29471312474927)</f>
        <v>49.29471312</v>
      </c>
      <c r="AW2740" s="82">
        <f t="shared" si="1"/>
        <v>-2.046049442</v>
      </c>
      <c r="AX2740" s="83">
        <f t="array" ref="AX2740">IFERROR(DGET('SBV Import'!A:G,"SBV",{"RSC ID","Tier";B2740,A2740}))</f>
        <v>48.00230655</v>
      </c>
      <c r="AY2740" s="82">
        <f t="shared" si="2"/>
        <v>-2.136043237</v>
      </c>
      <c r="AZ2740" s="82">
        <v>0.08999379446623568</v>
      </c>
      <c r="BA2740" s="84">
        <v>2700.0</v>
      </c>
      <c r="BB2740" s="84" t="b">
        <f>IFERROR(__xludf.DUMMYFUNCTION("iferror(if(A2740="""",,E2740&gt;=FILTER(Constants!$F$2:$F$10,Constants!$A$2:$A$10=A2740)))"),TRUE)</f>
        <v>1</v>
      </c>
    </row>
    <row r="2741">
      <c r="A2741" s="89" t="str">
        <f>IFERROR(__xludf.DUMMYFUNCTION("""COMPUTED_VALUE"""),"Prospect")</f>
        <v>Prospect</v>
      </c>
      <c r="B2741" s="87" t="str">
        <f>IFERROR(__xludf.DUMMYFUNCTION("""COMPUTED_VALUE"""),"RSC007423")</f>
        <v>RSC007423</v>
      </c>
      <c r="C2741" s="73" t="str">
        <f>IFERROR(__xludf.DUMMYFUNCTION("""COMPUTED_VALUE"""),"Valuedsquash465")</f>
        <v>Valuedsquash465</v>
      </c>
      <c r="D2741" s="73" t="str">
        <f>IFERROR(__xludf.DUMMYFUNCTION("""COMPUTED_VALUE"""),"Tic Tacs")</f>
        <v>Tic Tacs</v>
      </c>
      <c r="E2741" s="82">
        <f>IFERROR(__xludf.DUMMYFUNCTION("""COMPUTED_VALUE"""),26.0)</f>
        <v>26</v>
      </c>
      <c r="F2741" s="82">
        <f>IFERROR(__xludf.DUMMYFUNCTION("""COMPUTED_VALUE"""),14.0)</f>
        <v>14</v>
      </c>
      <c r="G2741" s="86">
        <f>IFERROR(__xludf.DUMMYFUNCTION("""COMPUTED_VALUE"""),12.0)</f>
        <v>12</v>
      </c>
      <c r="H2741" s="86">
        <f>IFERROR(__xludf.DUMMYFUNCTION("""COMPUTED_VALUE"""),0.5384615384615384)</f>
        <v>0.5384615385</v>
      </c>
      <c r="I2741" s="86">
        <f>IFERROR(__xludf.DUMMYFUNCTION("""COMPUTED_VALUE"""),0.2711864406779661)</f>
        <v>0.2711864407</v>
      </c>
      <c r="J2741" s="82">
        <f>IFERROR(__xludf.DUMMYFUNCTION("""COMPUTED_VALUE"""),337.15384615384613)</f>
        <v>337.1538462</v>
      </c>
      <c r="K2741" s="82">
        <f>IFERROR(__xludf.DUMMYFUNCTION("""COMPUTED_VALUE"""),0.6153846153846154)</f>
        <v>0.6153846154</v>
      </c>
      <c r="L2741" s="82">
        <f>IFERROR(__xludf.DUMMYFUNCTION("""COMPUTED_VALUE"""),0.8076923076923077)</f>
        <v>0.8076923077</v>
      </c>
      <c r="M2741" s="82">
        <f>IFERROR(__xludf.DUMMYFUNCTION("""COMPUTED_VALUE"""),1.4230769230769231)</f>
        <v>1.423076923</v>
      </c>
      <c r="N2741" s="82">
        <f>IFERROR(__xludf.DUMMYFUNCTION("""COMPUTED_VALUE"""),2.269230769230769)</f>
        <v>2.269230769</v>
      </c>
      <c r="O2741" s="82">
        <f>IFERROR(__xludf.DUMMYFUNCTION("""COMPUTED_VALUE"""),322.5897435897436)</f>
        <v>322.5897436</v>
      </c>
      <c r="P2741" s="82">
        <f>IFERROR(__xludf.DUMMYFUNCTION("""COMPUTED_VALUE"""),0.8333333333333333)</f>
        <v>0.8333333333</v>
      </c>
      <c r="Q2741" s="82">
        <f>IFERROR(__xludf.DUMMYFUNCTION("""COMPUTED_VALUE"""),0.435897435897436)</f>
        <v>0.4358974359</v>
      </c>
      <c r="R2741" s="82">
        <f>IFERROR(__xludf.DUMMYFUNCTION("""COMPUTED_VALUE"""),1.0256410256410253)</f>
        <v>1.025641026</v>
      </c>
      <c r="S2741" s="82">
        <f>IFERROR(__xludf.DUMMYFUNCTION("""COMPUTED_VALUE"""),2.589743589743589)</f>
        <v>2.58974359</v>
      </c>
      <c r="T2741" s="82">
        <f>IFERROR(__xludf.DUMMYFUNCTION("""COMPUTED_VALUE"""),323.73008257579755)</f>
        <v>323.7300826</v>
      </c>
      <c r="U2741" s="82">
        <f>IFERROR(__xludf.DUMMYFUNCTION("""COMPUTED_VALUE"""),0.7206685246168517)</f>
        <v>0.7206685246</v>
      </c>
      <c r="V2741" s="82">
        <f>IFERROR(__xludf.DUMMYFUNCTION("""COMPUTED_VALUE"""),0.4533156734934694)</f>
        <v>0.4533156735</v>
      </c>
      <c r="W2741" s="82">
        <f>IFERROR(__xludf.DUMMYFUNCTION("""COMPUTED_VALUE"""),1.2623051525911322)</f>
        <v>1.262305153</v>
      </c>
      <c r="X2741" s="82">
        <f>IFERROR(__xludf.DUMMYFUNCTION("""COMPUTED_VALUE"""),2.205000538130606)</f>
        <v>2.205000538</v>
      </c>
      <c r="Y2741" s="82">
        <f>IFERROR(__xludf.DUMMYFUNCTION("""COMPUTED_VALUE"""),341.10837501760994)</f>
        <v>341.108375</v>
      </c>
      <c r="Z2741" s="82">
        <f>IFERROR(__xludf.DUMMYFUNCTION("""COMPUTED_VALUE"""),0.8513025617441824)</f>
        <v>0.8513025617</v>
      </c>
      <c r="AA2741" s="82">
        <f>IFERROR(__xludf.DUMMYFUNCTION("""COMPUTED_VALUE"""),0.5665680339785986)</f>
        <v>0.566568034</v>
      </c>
      <c r="AB2741" s="82">
        <f>IFERROR(__xludf.DUMMYFUNCTION("""COMPUTED_VALUE"""),1.1181008677359765)</f>
        <v>1.118100868</v>
      </c>
      <c r="AC2741" s="82">
        <f>IFERROR(__xludf.DUMMYFUNCTION("""COMPUTED_VALUE"""),2.60414420932171)</f>
        <v>2.604144209</v>
      </c>
      <c r="AD2741" s="82">
        <f>IFERROR(__xludf.DUMMYFUNCTION("""COMPUTED_VALUE"""),0.9884068256501775)</f>
        <v>0.9884068257</v>
      </c>
      <c r="AE2741" s="82">
        <f>IFERROR(__xludf.DUMMYFUNCTION("""COMPUTED_VALUE"""),0.7228741496134947)</f>
        <v>0.7228741496</v>
      </c>
      <c r="AF2741" s="82">
        <f>IFERROR(__xludf.DUMMYFUNCTION("""COMPUTED_VALUE"""),1.425587500975774)</f>
        <v>1.425587501</v>
      </c>
      <c r="AG2741" s="82">
        <f>IFERROR(__xludf.DUMMYFUNCTION("""COMPUTED_VALUE"""),1.2727625602853592)</f>
        <v>1.27276256</v>
      </c>
      <c r="AH2741" s="82">
        <f>IFERROR(__xludf.DUMMYFUNCTION("""COMPUTED_VALUE"""),0.8713921299396187)</f>
        <v>0.8713921299</v>
      </c>
      <c r="AI2741" s="82">
        <f>IFERROR(__xludf.DUMMYFUNCTION("""COMPUTED_VALUE"""),0.9964775007099101)</f>
        <v>0.9964775007</v>
      </c>
      <c r="AJ2741" s="82">
        <f>IFERROR(__xludf.DUMMYFUNCTION("""COMPUTED_VALUE"""),1.156333744111248)</f>
        <v>1.156333744</v>
      </c>
      <c r="AK2741" s="82">
        <f>IFERROR(__xludf.DUMMYFUNCTION("""COMPUTED_VALUE"""),0.9615759202372156)</f>
        <v>0.9615759202</v>
      </c>
      <c r="AL2741" s="82">
        <f>IFERROR(__xludf.DUMMYFUNCTION("""COMPUTED_VALUE"""),0.8125143302597579)</f>
        <v>0.8125143303</v>
      </c>
      <c r="AM2741" s="82">
        <f>IFERROR(__xludf.DUMMYFUNCTION("""COMPUTED_VALUE"""),1.174486602138958)</f>
        <v>1.174486602</v>
      </c>
      <c r="AN2741" s="82">
        <f>IFERROR(__xludf.DUMMYFUNCTION("""COMPUTED_VALUE"""),1.0485875612382396)</f>
        <v>1.048587561</v>
      </c>
      <c r="AO2741" s="82">
        <f>IFERROR(__xludf.DUMMYFUNCTION("""COMPUTED_VALUE"""),0.8385058664683095)</f>
        <v>0.8385058665</v>
      </c>
      <c r="AP2741" s="82">
        <f>IFERROR(__xludf.DUMMYFUNCTION("""COMPUTED_VALUE"""),1.6156617447716233)</f>
        <v>1.615661745</v>
      </c>
      <c r="AQ2741" s="82">
        <f>IFERROR(__xludf.DUMMYFUNCTION("""COMPUTED_VALUE"""),1.222288634014576)</f>
        <v>1.222288634</v>
      </c>
      <c r="AR2741" s="82">
        <f>IFERROR(__xludf.DUMMYFUNCTION("""COMPUTED_VALUE"""),0.9805299092551)</f>
        <v>0.9805299093</v>
      </c>
      <c r="AS2741" s="82">
        <f>IFERROR(__xludf.DUMMYFUNCTION("""COMPUTED_VALUE"""),59.0)</f>
        <v>59</v>
      </c>
      <c r="AT2741" s="82">
        <f>IFERROR(__xludf.DUMMYFUNCTION("""COMPUTED_VALUE"""),0.46216249981324603)</f>
        <v>0.4621624998</v>
      </c>
      <c r="AU2741" s="82">
        <f>IFERROR(__xludf.DUMMYFUNCTION("""COMPUTED_VALUE"""),2.0802626335700065)</f>
        <v>2.080262634</v>
      </c>
      <c r="AV2741" s="82">
        <f>IFERROR(__xludf.DUMMYFUNCTION("""COMPUTED_VALUE"""),49.10215630526211)</f>
        <v>49.10215631</v>
      </c>
      <c r="AW2741" s="82">
        <f t="shared" si="1"/>
        <v>-2.058987662</v>
      </c>
      <c r="AX2741" s="83">
        <f t="array" ref="AX2741">IFERROR(DGET('SBV Import'!A:G,"SBV",{"RSC ID","Tier";B2741,A2741}))</f>
        <v>57.79214828</v>
      </c>
      <c r="AY2741" s="82">
        <f t="shared" si="2"/>
        <v>2.648027305</v>
      </c>
      <c r="AZ2741" s="82">
        <v>4.707014966860189</v>
      </c>
      <c r="BA2741" s="84">
        <v>2700.0</v>
      </c>
      <c r="BB2741" s="84" t="b">
        <f>IFERROR(__xludf.DUMMYFUNCTION("iferror(if(A2741="""",,E2741&gt;=FILTER(Constants!$F$2:$F$10,Constants!$A$2:$A$10=A2741)))"),TRUE)</f>
        <v>1</v>
      </c>
    </row>
    <row r="2742">
      <c r="A2742" s="89" t="str">
        <f>IFERROR(__xludf.DUMMYFUNCTION("""COMPUTED_VALUE"""),"Prospect")</f>
        <v>Prospect</v>
      </c>
      <c r="B2742" s="87" t="str">
        <f>IFERROR(__xludf.DUMMYFUNCTION("""COMPUTED_VALUE"""),"RSC006402")</f>
        <v>RSC006402</v>
      </c>
      <c r="C2742" s="73" t="str">
        <f>IFERROR(__xludf.DUMMYFUNCTION("""COMPUTED_VALUE"""),"DEADLYFEET1001")</f>
        <v>DEADLYFEET1001</v>
      </c>
      <c r="D2742" s="73" t="str">
        <f>IFERROR(__xludf.DUMMYFUNCTION("""COMPUTED_VALUE"""),"Principales")</f>
        <v>Principales</v>
      </c>
      <c r="E2742" s="82">
        <f>IFERROR(__xludf.DUMMYFUNCTION("""COMPUTED_VALUE"""),28.0)</f>
        <v>28</v>
      </c>
      <c r="F2742" s="82">
        <f>IFERROR(__xludf.DUMMYFUNCTION("""COMPUTED_VALUE"""),8.0)</f>
        <v>8</v>
      </c>
      <c r="G2742" s="86">
        <f>IFERROR(__xludf.DUMMYFUNCTION("""COMPUTED_VALUE"""),20.0)</f>
        <v>20</v>
      </c>
      <c r="H2742" s="86">
        <f>IFERROR(__xludf.DUMMYFUNCTION("""COMPUTED_VALUE"""),0.2857142857142857)</f>
        <v>0.2857142857</v>
      </c>
      <c r="I2742" s="86">
        <f>IFERROR(__xludf.DUMMYFUNCTION("""COMPUTED_VALUE"""),0.3384615384615384)</f>
        <v>0.3384615385</v>
      </c>
      <c r="J2742" s="82">
        <f>IFERROR(__xludf.DUMMYFUNCTION("""COMPUTED_VALUE"""),331.75)</f>
        <v>331.75</v>
      </c>
      <c r="K2742" s="82">
        <f>IFERROR(__xludf.DUMMYFUNCTION("""COMPUTED_VALUE"""),0.7857142857142857)</f>
        <v>0.7857142857</v>
      </c>
      <c r="L2742" s="82">
        <f>IFERROR(__xludf.DUMMYFUNCTION("""COMPUTED_VALUE"""),0.32142857142857145)</f>
        <v>0.3214285714</v>
      </c>
      <c r="M2742" s="82">
        <f>IFERROR(__xludf.DUMMYFUNCTION("""COMPUTED_VALUE"""),1.0714285714285714)</f>
        <v>1.071428571</v>
      </c>
      <c r="N2742" s="82">
        <f>IFERROR(__xludf.DUMMYFUNCTION("""COMPUTED_VALUE"""),2.3214285714285716)</f>
        <v>2.321428571</v>
      </c>
      <c r="O2742" s="82">
        <f>IFERROR(__xludf.DUMMYFUNCTION("""COMPUTED_VALUE"""),357.86904761904765)</f>
        <v>357.8690476</v>
      </c>
      <c r="P2742" s="82">
        <f>IFERROR(__xludf.DUMMYFUNCTION("""COMPUTED_VALUE"""),1.0595238095238095)</f>
        <v>1.05952381</v>
      </c>
      <c r="Q2742" s="82">
        <f>IFERROR(__xludf.DUMMYFUNCTION("""COMPUTED_VALUE"""),0.6547619047619049)</f>
        <v>0.6547619048</v>
      </c>
      <c r="R2742" s="82">
        <f>IFERROR(__xludf.DUMMYFUNCTION("""COMPUTED_VALUE"""),0.9523809523809524)</f>
        <v>0.9523809524</v>
      </c>
      <c r="S2742" s="82">
        <f>IFERROR(__xludf.DUMMYFUNCTION("""COMPUTED_VALUE"""),2.5833333333333326)</f>
        <v>2.583333333</v>
      </c>
      <c r="T2742" s="82">
        <f>IFERROR(__xludf.DUMMYFUNCTION("""COMPUTED_VALUE"""),352.9192502956603)</f>
        <v>352.9192503</v>
      </c>
      <c r="U2742" s="82">
        <f>IFERROR(__xludf.DUMMYFUNCTION("""COMPUTED_VALUE"""),0.8969742035283055)</f>
        <v>0.8969742035</v>
      </c>
      <c r="V2742" s="82">
        <f>IFERROR(__xludf.DUMMYFUNCTION("""COMPUTED_VALUE"""),0.6299300478624295)</f>
        <v>0.6299300479</v>
      </c>
      <c r="W2742" s="82">
        <f>IFERROR(__xludf.DUMMYFUNCTION("""COMPUTED_VALUE"""),1.126271428635203)</f>
        <v>1.126271429</v>
      </c>
      <c r="X2742" s="82">
        <f>IFERROR(__xludf.DUMMYFUNCTION("""COMPUTED_VALUE"""),2.659294112127323)</f>
        <v>2.659294112</v>
      </c>
      <c r="Y2742" s="82">
        <f>IFERROR(__xludf.DUMMYFUNCTION("""COMPUTED_VALUE"""),332.35397648238256)</f>
        <v>332.3539765</v>
      </c>
      <c r="Z2742" s="82">
        <f>IFERROR(__xludf.DUMMYFUNCTION("""COMPUTED_VALUE"""),0.744971749118981)</f>
        <v>0.7449717491</v>
      </c>
      <c r="AA2742" s="82">
        <f>IFERROR(__xludf.DUMMYFUNCTION("""COMPUTED_VALUE"""),0.5052100826430336)</f>
        <v>0.5052100826</v>
      </c>
      <c r="AB2742" s="82">
        <f>IFERROR(__xludf.DUMMYFUNCTION("""COMPUTED_VALUE"""),1.2482925707488879)</f>
        <v>1.248292571</v>
      </c>
      <c r="AC2742" s="82">
        <f>IFERROR(__xludf.DUMMYFUNCTION("""COMPUTED_VALUE"""),2.3306350396463023)</f>
        <v>2.33063504</v>
      </c>
      <c r="AD2742" s="82">
        <f>IFERROR(__xludf.DUMMYFUNCTION("""COMPUTED_VALUE"""),0.9981827312891663)</f>
        <v>0.9981827313</v>
      </c>
      <c r="AE2742" s="82">
        <f>IFERROR(__xludf.DUMMYFUNCTION("""COMPUTED_VALUE"""),1.0546900424660233)</f>
        <v>1.054690042</v>
      </c>
      <c r="AF2742" s="82">
        <f>IFERROR(__xludf.DUMMYFUNCTION("""COMPUTED_VALUE"""),0.6362275466613823)</f>
        <v>0.6362275467</v>
      </c>
      <c r="AG2742" s="82">
        <f>IFERROR(__xludf.DUMMYFUNCTION("""COMPUTED_VALUE"""),0.8583152672179964)</f>
        <v>0.8583152672</v>
      </c>
      <c r="AH2742" s="82">
        <f>IFERROR(__xludf.DUMMYFUNCTION("""COMPUTED_VALUE"""),0.9960498027099396)</f>
        <v>0.9960498027</v>
      </c>
      <c r="AI2742" s="82">
        <f>IFERROR(__xludf.DUMMYFUNCTION("""COMPUTED_VALUE"""),1.0140252970594283)</f>
        <v>1.014025297</v>
      </c>
      <c r="AJ2742" s="82">
        <f>IFERROR(__xludf.DUMMYFUNCTION("""COMPUTED_VALUE"""),1.1812199340361236)</f>
        <v>1.181219934</v>
      </c>
      <c r="AK2742" s="82">
        <f>IFERROR(__xludf.DUMMYFUNCTION("""COMPUTED_VALUE"""),1.039420022879903)</f>
        <v>1.039420023</v>
      </c>
      <c r="AL2742" s="82">
        <f>IFERROR(__xludf.DUMMYFUNCTION("""COMPUTED_VALUE"""),0.8456051784382312)</f>
        <v>0.8456051784</v>
      </c>
      <c r="AM2742" s="82">
        <f>IFERROR(__xludf.DUMMYFUNCTION("""COMPUTED_VALUE"""),0.971435736104712)</f>
        <v>0.9714357361</v>
      </c>
      <c r="AN2742" s="82">
        <f>IFERROR(__xludf.DUMMYFUNCTION("""COMPUTED_VALUE"""),1.0317809730162486)</f>
        <v>1.031780973</v>
      </c>
      <c r="AO2742" s="82">
        <f>IFERROR(__xludf.DUMMYFUNCTION("""COMPUTED_VALUE"""),1.0705923116515021)</f>
        <v>1.070592312</v>
      </c>
      <c r="AP2742" s="82">
        <f>IFERROR(__xludf.DUMMYFUNCTION("""COMPUTED_VALUE"""),0.6429674290417685)</f>
        <v>0.642967429</v>
      </c>
      <c r="AQ2742" s="82">
        <f>IFERROR(__xludf.DUMMYFUNCTION("""COMPUTED_VALUE"""),0.9202559213623255)</f>
        <v>0.9202559214</v>
      </c>
      <c r="AR2742" s="82">
        <f>IFERROR(__xludf.DUMMYFUNCTION("""COMPUTED_VALUE"""),1.0030844713323965)</f>
        <v>1.003084471</v>
      </c>
      <c r="AS2742" s="82">
        <f>IFERROR(__xludf.DUMMYFUNCTION("""COMPUTED_VALUE"""),61.0)</f>
        <v>61</v>
      </c>
      <c r="AT2742" s="82">
        <f>IFERROR(__xludf.DUMMYFUNCTION("""COMPUTED_VALUE"""),0.3517086838458955)</f>
        <v>0.3517086838</v>
      </c>
      <c r="AU2742" s="82">
        <f>IFERROR(__xludf.DUMMYFUNCTION("""COMPUTED_VALUE"""),2.074247950272226)</f>
        <v>2.07424795</v>
      </c>
      <c r="AV2742" s="82">
        <f>IFERROR(__xludf.DUMMYFUNCTION("""COMPUTED_VALUE"""),48.939412493411716)</f>
        <v>48.93941249</v>
      </c>
      <c r="AW2742" s="82">
        <f t="shared" si="1"/>
        <v>-2.070048164</v>
      </c>
      <c r="AX2742" s="83">
        <f t="array" ref="AX2742">IFERROR(DGET('SBV Import'!A:G,"SBV",{"RSC ID","Tier";B2742,A2742}))</f>
        <v>42.23983396</v>
      </c>
      <c r="AY2742" s="82">
        <f t="shared" si="2"/>
        <v>-2.644622</v>
      </c>
      <c r="AZ2742" s="82">
        <v>0.5745738362906572</v>
      </c>
      <c r="BA2742" s="84">
        <v>2700.0</v>
      </c>
      <c r="BB2742" s="84" t="b">
        <f>IFERROR(__xludf.DUMMYFUNCTION("iferror(if(A2742="""",,E2742&gt;=FILTER(Constants!$F$2:$F$10,Constants!$A$2:$A$10=A2742)))"),TRUE)</f>
        <v>1</v>
      </c>
    </row>
    <row r="2743">
      <c r="A2743" s="89" t="str">
        <f>IFERROR(__xludf.DUMMYFUNCTION("""COMPUTED_VALUE"""),"Prospect")</f>
        <v>Prospect</v>
      </c>
      <c r="B2743" s="87" t="str">
        <f>IFERROR(__xludf.DUMMYFUNCTION("""COMPUTED_VALUE"""),"RSC006667")</f>
        <v>RSC006667</v>
      </c>
      <c r="C2743" s="73" t="str">
        <f>IFERROR(__xludf.DUMMYFUNCTION("""COMPUTED_VALUE"""),"GET2DACHOPPA5")</f>
        <v>GET2DACHOPPA5</v>
      </c>
      <c r="D2743" s="73" t="str">
        <f>IFERROR(__xludf.DUMMYFUNCTION("""COMPUTED_VALUE"""),"Honey Badgers")</f>
        <v>Honey Badgers</v>
      </c>
      <c r="E2743" s="82">
        <f>IFERROR(__xludf.DUMMYFUNCTION("""COMPUTED_VALUE"""),23.0)</f>
        <v>23</v>
      </c>
      <c r="F2743" s="82">
        <f>IFERROR(__xludf.DUMMYFUNCTION("""COMPUTED_VALUE"""),12.0)</f>
        <v>12</v>
      </c>
      <c r="G2743" s="86">
        <f>IFERROR(__xludf.DUMMYFUNCTION("""COMPUTED_VALUE"""),11.0)</f>
        <v>11</v>
      </c>
      <c r="H2743" s="86">
        <f>IFERROR(__xludf.DUMMYFUNCTION("""COMPUTED_VALUE"""),0.5217391304347826)</f>
        <v>0.5217391304</v>
      </c>
      <c r="I2743" s="86">
        <f>IFERROR(__xludf.DUMMYFUNCTION("""COMPUTED_VALUE"""),0.2954545454545454)</f>
        <v>0.2954545455</v>
      </c>
      <c r="J2743" s="82">
        <f>IFERROR(__xludf.DUMMYFUNCTION("""COMPUTED_VALUE"""),311.2173913043478)</f>
        <v>311.2173913</v>
      </c>
      <c r="K2743" s="82">
        <f>IFERROR(__xludf.DUMMYFUNCTION("""COMPUTED_VALUE"""),0.5652173913043478)</f>
        <v>0.5652173913</v>
      </c>
      <c r="L2743" s="82">
        <f>IFERROR(__xludf.DUMMYFUNCTION("""COMPUTED_VALUE"""),0.8260869565217391)</f>
        <v>0.8260869565</v>
      </c>
      <c r="M2743" s="82">
        <f>IFERROR(__xludf.DUMMYFUNCTION("""COMPUTED_VALUE"""),0.9565217391304348)</f>
        <v>0.9565217391</v>
      </c>
      <c r="N2743" s="82">
        <f>IFERROR(__xludf.DUMMYFUNCTION("""COMPUTED_VALUE"""),1.9130434782608696)</f>
        <v>1.913043478</v>
      </c>
      <c r="O2743" s="82">
        <f>IFERROR(__xludf.DUMMYFUNCTION("""COMPUTED_VALUE"""),331.36231884057975)</f>
        <v>331.3623188</v>
      </c>
      <c r="P2743" s="82">
        <f>IFERROR(__xludf.DUMMYFUNCTION("""COMPUTED_VALUE"""),0.7681159420289854)</f>
        <v>0.768115942</v>
      </c>
      <c r="Q2743" s="82">
        <f>IFERROR(__xludf.DUMMYFUNCTION("""COMPUTED_VALUE"""),0.5072463768115941)</f>
        <v>0.5072463768</v>
      </c>
      <c r="R2743" s="82">
        <f>IFERROR(__xludf.DUMMYFUNCTION("""COMPUTED_VALUE"""),1.1014492753623188)</f>
        <v>1.101449275</v>
      </c>
      <c r="S2743" s="82">
        <f>IFERROR(__xludf.DUMMYFUNCTION("""COMPUTED_VALUE"""),2.579710144927536)</f>
        <v>2.579710145</v>
      </c>
      <c r="T2743" s="82">
        <f>IFERROR(__xludf.DUMMYFUNCTION("""COMPUTED_VALUE"""),338.15635498703745)</f>
        <v>338.156355</v>
      </c>
      <c r="U2743" s="82">
        <f>IFERROR(__xludf.DUMMYFUNCTION("""COMPUTED_VALUE"""),0.841868273518697)</f>
        <v>0.8418682735</v>
      </c>
      <c r="V2743" s="82">
        <f>IFERROR(__xludf.DUMMYFUNCTION("""COMPUTED_VALUE"""),0.550844430650089)</f>
        <v>0.5508444307</v>
      </c>
      <c r="W2743" s="82">
        <f>IFERROR(__xludf.DUMMYFUNCTION("""COMPUTED_VALUE"""),1.135013674183325)</f>
        <v>1.135013674</v>
      </c>
      <c r="X2743" s="82">
        <f>IFERROR(__xludf.DUMMYFUNCTION("""COMPUTED_VALUE"""),2.488670943380666)</f>
        <v>2.488670943</v>
      </c>
      <c r="Y2743" s="82">
        <f>IFERROR(__xludf.DUMMYFUNCTION("""COMPUTED_VALUE"""),333.11884905997607)</f>
        <v>333.1188491</v>
      </c>
      <c r="Z2743" s="82">
        <f>IFERROR(__xludf.DUMMYFUNCTION("""COMPUTED_VALUE"""),0.7879349548187224)</f>
        <v>0.7879349548</v>
      </c>
      <c r="AA2743" s="82">
        <f>IFERROR(__xludf.DUMMYFUNCTION("""COMPUTED_VALUE"""),0.5130051105584164)</f>
        <v>0.5130051106</v>
      </c>
      <c r="AB2743" s="82">
        <f>IFERROR(__xludf.DUMMYFUNCTION("""COMPUTED_VALUE"""),1.216452928995905)</f>
        <v>1.216452929</v>
      </c>
      <c r="AC2743" s="82">
        <f>IFERROR(__xludf.DUMMYFUNCTION("""COMPUTED_VALUE"""),2.330038502772246)</f>
        <v>2.330038503</v>
      </c>
      <c r="AD2743" s="82">
        <f>IFERROR(__xludf.DUMMYFUNCTION("""COMPUTED_VALUE"""),0.9342533218476478)</f>
        <v>0.9342533218</v>
      </c>
      <c r="AE2743" s="82">
        <f>IFERROR(__xludf.DUMMYFUNCTION("""COMPUTED_VALUE"""),0.7173401660221883)</f>
        <v>0.717340166</v>
      </c>
      <c r="AF2743" s="82">
        <f>IFERROR(__xludf.DUMMYFUNCTION("""COMPUTED_VALUE"""),1.6102899162593662)</f>
        <v>1.610289916</v>
      </c>
      <c r="AG2743" s="82">
        <f>IFERROR(__xludf.DUMMYFUNCTION("""COMPUTED_VALUE"""),0.7863203880153219)</f>
        <v>0.786320388</v>
      </c>
      <c r="AH2743" s="82">
        <f>IFERROR(__xludf.DUMMYFUNCTION("""COMPUTED_VALUE"""),0.8210351356789848)</f>
        <v>0.8210351357</v>
      </c>
      <c r="AI2743" s="82">
        <f>IFERROR(__xludf.DUMMYFUNCTION("""COMPUTED_VALUE"""),0.9799085953989594)</f>
        <v>0.9799085954</v>
      </c>
      <c r="AJ2743" s="82">
        <f>IFERROR(__xludf.DUMMYFUNCTION("""COMPUTED_VALUE"""),0.9123944519473881)</f>
        <v>0.9123944519</v>
      </c>
      <c r="AK2743" s="82">
        <f>IFERROR(__xludf.DUMMYFUNCTION("""COMPUTED_VALUE"""),0.9208523288743395)</f>
        <v>0.9208523289</v>
      </c>
      <c r="AL2743" s="82">
        <f>IFERROR(__xludf.DUMMYFUNCTION("""COMPUTED_VALUE"""),0.9704281987217849)</f>
        <v>0.9704281987</v>
      </c>
      <c r="AM2743" s="82">
        <f>IFERROR(__xludf.DUMMYFUNCTION("""COMPUTED_VALUE"""),1.0365814539640184)</f>
        <v>1.036581454</v>
      </c>
      <c r="AN2743" s="82">
        <f>IFERROR(__xludf.DUMMYFUNCTION("""COMPUTED_VALUE"""),0.9679221788080742)</f>
        <v>0.9679221788</v>
      </c>
      <c r="AO2743" s="82">
        <f>IFERROR(__xludf.DUMMYFUNCTION("""COMPUTED_VALUE"""),0.7701494099627407)</f>
        <v>0.77014941</v>
      </c>
      <c r="AP2743" s="82">
        <f>IFERROR(__xludf.DUMMYFUNCTION("""COMPUTED_VALUE"""),1.6524573538658012)</f>
        <v>1.652457354</v>
      </c>
      <c r="AQ2743" s="82">
        <f>IFERROR(__xludf.DUMMYFUNCTION("""COMPUTED_VALUE"""),0.8215618080568008)</f>
        <v>0.8215618081</v>
      </c>
      <c r="AR2743" s="82">
        <f>IFERROR(__xludf.DUMMYFUNCTION("""COMPUTED_VALUE"""),0.8266221195194063)</f>
        <v>0.8266221195</v>
      </c>
      <c r="AS2743" s="82">
        <f>IFERROR(__xludf.DUMMYFUNCTION("""COMPUTED_VALUE"""),56.0)</f>
        <v>56</v>
      </c>
      <c r="AT2743" s="82">
        <f>IFERROR(__xludf.DUMMYFUNCTION("""COMPUTED_VALUE"""),0.5214996850110868)</f>
        <v>0.521499685</v>
      </c>
      <c r="AU2743" s="82">
        <f>IFERROR(__xludf.DUMMYFUNCTION("""COMPUTED_VALUE"""),2.0625726112904226)</f>
        <v>2.062572611</v>
      </c>
      <c r="AV2743" s="82">
        <f>IFERROR(__xludf.DUMMYFUNCTION("""COMPUTED_VALUE"""),48.62350406125114)</f>
        <v>48.62350406</v>
      </c>
      <c r="AW2743" s="82">
        <f t="shared" si="1"/>
        <v>-2.091851543</v>
      </c>
      <c r="AX2743" s="83">
        <f t="array" ref="AX2743">IFERROR(DGET('SBV Import'!A:G,"SBV",{"RSC ID","Tier";B2743,A2743}))</f>
        <v>47.16793707</v>
      </c>
      <c r="AY2743" s="82">
        <f t="shared" si="2"/>
        <v>-2.198269445</v>
      </c>
      <c r="AZ2743" s="82">
        <v>0.10641790202681856</v>
      </c>
      <c r="BA2743" s="84">
        <v>2700.0</v>
      </c>
      <c r="BB2743" s="84" t="b">
        <f>IFERROR(__xludf.DUMMYFUNCTION("iferror(if(A2743="""",,E2743&gt;=FILTER(Constants!$F$2:$F$10,Constants!$A$2:$A$10=A2743)))"),TRUE)</f>
        <v>1</v>
      </c>
    </row>
    <row r="2744">
      <c r="A2744" s="89" t="str">
        <f>IFERROR(__xludf.DUMMYFUNCTION("""COMPUTED_VALUE"""),"Prospect")</f>
        <v>Prospect</v>
      </c>
      <c r="B2744" s="87" t="str">
        <f>IFERROR(__xludf.DUMMYFUNCTION("""COMPUTED_VALUE"""),"RSC006758")</f>
        <v>RSC006758</v>
      </c>
      <c r="C2744" s="73" t="str">
        <f>IFERROR(__xludf.DUMMYFUNCTION("""COMPUTED_VALUE"""),"El Booger Sugar")</f>
        <v>El Booger Sugar</v>
      </c>
      <c r="D2744" s="73" t="str">
        <f>IFERROR(__xludf.DUMMYFUNCTION("""COMPUTED_VALUE"""),"Principales")</f>
        <v>Principales</v>
      </c>
      <c r="E2744" s="82">
        <f>IFERROR(__xludf.DUMMYFUNCTION("""COMPUTED_VALUE"""),20.0)</f>
        <v>20</v>
      </c>
      <c r="F2744" s="82">
        <f>IFERROR(__xludf.DUMMYFUNCTION("""COMPUTED_VALUE"""),9.0)</f>
        <v>9</v>
      </c>
      <c r="G2744" s="86">
        <f>IFERROR(__xludf.DUMMYFUNCTION("""COMPUTED_VALUE"""),11.0)</f>
        <v>11</v>
      </c>
      <c r="H2744" s="86">
        <f>IFERROR(__xludf.DUMMYFUNCTION("""COMPUTED_VALUE"""),0.45)</f>
        <v>0.45</v>
      </c>
      <c r="I2744" s="86">
        <f>IFERROR(__xludf.DUMMYFUNCTION("""COMPUTED_VALUE"""),0.27083333333333337)</f>
        <v>0.2708333333</v>
      </c>
      <c r="J2744" s="82">
        <f>IFERROR(__xludf.DUMMYFUNCTION("""COMPUTED_VALUE"""),303.25)</f>
        <v>303.25</v>
      </c>
      <c r="K2744" s="82">
        <f>IFERROR(__xludf.DUMMYFUNCTION("""COMPUTED_VALUE"""),0.65)</f>
        <v>0.65</v>
      </c>
      <c r="L2744" s="82">
        <f>IFERROR(__xludf.DUMMYFUNCTION("""COMPUTED_VALUE"""),0.7)</f>
        <v>0.7</v>
      </c>
      <c r="M2744" s="82">
        <f>IFERROR(__xludf.DUMMYFUNCTION("""COMPUTED_VALUE"""),0.85)</f>
        <v>0.85</v>
      </c>
      <c r="N2744" s="82">
        <f>IFERROR(__xludf.DUMMYFUNCTION("""COMPUTED_VALUE"""),2.4)</f>
        <v>2.4</v>
      </c>
      <c r="O2744" s="82">
        <f>IFERROR(__xludf.DUMMYFUNCTION("""COMPUTED_VALUE"""),355.0833333333333)</f>
        <v>355.0833333</v>
      </c>
      <c r="P2744" s="82">
        <f>IFERROR(__xludf.DUMMYFUNCTION("""COMPUTED_VALUE"""),0.9166666666666667)</f>
        <v>0.9166666667</v>
      </c>
      <c r="Q2744" s="82">
        <f>IFERROR(__xludf.DUMMYFUNCTION("""COMPUTED_VALUE"""),0.6166666666666665)</f>
        <v>0.6166666667</v>
      </c>
      <c r="R2744" s="82">
        <f>IFERROR(__xludf.DUMMYFUNCTION("""COMPUTED_VALUE"""),1.2499999999999998)</f>
        <v>1.25</v>
      </c>
      <c r="S2744" s="82">
        <f>IFERROR(__xludf.DUMMYFUNCTION("""COMPUTED_VALUE"""),2.233333333333333)</f>
        <v>2.233333333</v>
      </c>
      <c r="T2744" s="82">
        <f>IFERROR(__xludf.DUMMYFUNCTION("""COMPUTED_VALUE"""),333.17125263234055)</f>
        <v>333.1712526</v>
      </c>
      <c r="U2744" s="82">
        <f>IFERROR(__xludf.DUMMYFUNCTION("""COMPUTED_VALUE"""),0.7783120468256215)</f>
        <v>0.7783120468</v>
      </c>
      <c r="V2744" s="82">
        <f>IFERROR(__xludf.DUMMYFUNCTION("""COMPUTED_VALUE"""),0.5490165260258356)</f>
        <v>0.549016526</v>
      </c>
      <c r="W2744" s="82">
        <f>IFERROR(__xludf.DUMMYFUNCTION("""COMPUTED_VALUE"""),1.1877976528815222)</f>
        <v>1.187797653</v>
      </c>
      <c r="X2744" s="82">
        <f>IFERROR(__xludf.DUMMYFUNCTION("""COMPUTED_VALUE"""),2.4317050169718586)</f>
        <v>2.431705017</v>
      </c>
      <c r="Y2744" s="82">
        <f>IFERROR(__xludf.DUMMYFUNCTION("""COMPUTED_VALUE"""),336.41590501742354)</f>
        <v>336.415905</v>
      </c>
      <c r="Z2744" s="82">
        <f>IFERROR(__xludf.DUMMYFUNCTION("""COMPUTED_VALUE"""),0.8079303299424293)</f>
        <v>0.8079303299</v>
      </c>
      <c r="AA2744" s="82">
        <f>IFERROR(__xludf.DUMMYFUNCTION("""COMPUTED_VALUE"""),0.5429957889642903)</f>
        <v>0.542995789</v>
      </c>
      <c r="AB2744" s="82">
        <f>IFERROR(__xludf.DUMMYFUNCTION("""COMPUTED_VALUE"""),1.1713624926845299)</f>
        <v>1.171362493</v>
      </c>
      <c r="AC2744" s="82">
        <f>IFERROR(__xludf.DUMMYFUNCTION("""COMPUTED_VALUE"""),2.484650736655343)</f>
        <v>2.484650737</v>
      </c>
      <c r="AD2744" s="82">
        <f>IFERROR(__xludf.DUMMYFUNCTION("""COMPUTED_VALUE"""),0.9014139803654473)</f>
        <v>0.9014139804</v>
      </c>
      <c r="AE2744" s="82">
        <f>IFERROR(__xludf.DUMMYFUNCTION("""COMPUTED_VALUE"""),0.804524815953273)</f>
        <v>0.804524816</v>
      </c>
      <c r="AF2744" s="82">
        <f>IFERROR(__xludf.DUMMYFUNCTION("""COMPUTED_VALUE"""),1.2891444357886814)</f>
        <v>1.289144436</v>
      </c>
      <c r="AG2744" s="82">
        <f>IFERROR(__xludf.DUMMYFUNCTION("""COMPUTED_VALUE"""),0.7256506890979316)</f>
        <v>0.7256506891</v>
      </c>
      <c r="AH2744" s="82">
        <f>IFERROR(__xludf.DUMMYFUNCTION("""COMPUTED_VALUE"""),0.9659305288238241)</f>
        <v>0.9659305288</v>
      </c>
      <c r="AI2744" s="82">
        <f>IFERROR(__xludf.DUMMYFUNCTION("""COMPUTED_VALUE"""),1.0657682213812518)</f>
        <v>1.065768221</v>
      </c>
      <c r="AJ2744" s="82">
        <f>IFERROR(__xludf.DUMMYFUNCTION("""COMPUTED_VALUE"""),1.1777624031457954)</f>
        <v>1.177762403</v>
      </c>
      <c r="AK2744" s="82">
        <f>IFERROR(__xludf.DUMMYFUNCTION("""COMPUTED_VALUE"""),1.123220590699755)</f>
        <v>1.123220591</v>
      </c>
      <c r="AL2744" s="82">
        <f>IFERROR(__xludf.DUMMYFUNCTION("""COMPUTED_VALUE"""),1.052367797635884)</f>
        <v>1.052367798</v>
      </c>
      <c r="AM2744" s="82">
        <f>IFERROR(__xludf.DUMMYFUNCTION("""COMPUTED_VALUE"""),0.9184228011810607)</f>
        <v>0.9184228012</v>
      </c>
      <c r="AN2744" s="82">
        <f>IFERROR(__xludf.DUMMYFUNCTION("""COMPUTED_VALUE"""),0.9431426678739334)</f>
        <v>0.9431426679</v>
      </c>
      <c r="AO2744" s="82">
        <f>IFERROR(__xludf.DUMMYFUNCTION("""COMPUTED_VALUE"""),0.8856718214571518)</f>
        <v>0.8856718215</v>
      </c>
      <c r="AP2744" s="82">
        <f>IFERROR(__xludf.DUMMYFUNCTION("""COMPUTED_VALUE"""),1.4002401788020735)</f>
        <v>1.400240179</v>
      </c>
      <c r="AQ2744" s="82">
        <f>IFERROR(__xludf.DUMMYFUNCTION("""COMPUTED_VALUE"""),0.7300696976141116)</f>
        <v>0.7300696976</v>
      </c>
      <c r="AR2744" s="82">
        <f>IFERROR(__xludf.DUMMYFUNCTION("""COMPUTED_VALUE"""),1.0370350226698006)</f>
        <v>1.037035023</v>
      </c>
      <c r="AS2744" s="82">
        <f>IFERROR(__xludf.DUMMYFUNCTION("""COMPUTED_VALUE"""),48.0)</f>
        <v>48</v>
      </c>
      <c r="AT2744" s="82">
        <f>IFERROR(__xludf.DUMMYFUNCTION("""COMPUTED_VALUE"""),0.4457404864384003)</f>
        <v>0.4457404864</v>
      </c>
      <c r="AU2744" s="82">
        <f>IFERROR(__xludf.DUMMYFUNCTION("""COMPUTED_VALUE"""),2.060194222580765)</f>
        <v>2.060194223</v>
      </c>
      <c r="AV2744" s="82">
        <f>IFERROR(__xludf.DUMMYFUNCTION("""COMPUTED_VALUE"""),48.55915020827031)</f>
        <v>48.55915021</v>
      </c>
      <c r="AW2744" s="82">
        <f t="shared" si="1"/>
        <v>-2.096347781</v>
      </c>
      <c r="AX2744" s="83">
        <f t="array" ref="AX2744">IFERROR(DGET('SBV Import'!A:G,"SBV",{"RSC ID","Tier";B2744,A2744}))</f>
        <v>47.91032403</v>
      </c>
      <c r="AY2744" s="82">
        <f t="shared" si="2"/>
        <v>-2.142739049</v>
      </c>
      <c r="AZ2744" s="82">
        <v>0.046391268405602926</v>
      </c>
      <c r="BA2744" s="84">
        <v>2700.0</v>
      </c>
      <c r="BB2744" s="84" t="b">
        <f>IFERROR(__xludf.DUMMYFUNCTION("iferror(if(A2744="""",,E2744&gt;=FILTER(Constants!$F$2:$F$10,Constants!$A$2:$A$10=A2744)))"),TRUE)</f>
        <v>1</v>
      </c>
    </row>
    <row r="2745">
      <c r="A2745" s="89" t="str">
        <f>IFERROR(__xludf.DUMMYFUNCTION("""COMPUTED_VALUE"""),"Prospect")</f>
        <v>Prospect</v>
      </c>
      <c r="B2745" s="87" t="str">
        <f>IFERROR(__xludf.DUMMYFUNCTION("""COMPUTED_VALUE"""),"RSC007886")</f>
        <v>RSC007886</v>
      </c>
      <c r="C2745" s="73" t="str">
        <f>IFERROR(__xludf.DUMMYFUNCTION("""COMPUTED_VALUE"""),"BabyDino8453")</f>
        <v>BabyDino8453</v>
      </c>
      <c r="D2745" s="73" t="str">
        <f>IFERROR(__xludf.DUMMYFUNCTION("""COMPUTED_VALUE"""),"Dime")</f>
        <v>Dime</v>
      </c>
      <c r="E2745" s="82">
        <f>IFERROR(__xludf.DUMMYFUNCTION("""COMPUTED_VALUE"""),23.0)</f>
        <v>23</v>
      </c>
      <c r="F2745" s="82">
        <f>IFERROR(__xludf.DUMMYFUNCTION("""COMPUTED_VALUE"""),11.0)</f>
        <v>11</v>
      </c>
      <c r="G2745" s="86">
        <f>IFERROR(__xludf.DUMMYFUNCTION("""COMPUTED_VALUE"""),12.0)</f>
        <v>12</v>
      </c>
      <c r="H2745" s="86">
        <f>IFERROR(__xludf.DUMMYFUNCTION("""COMPUTED_VALUE"""),0.4782608695652174)</f>
        <v>0.4782608696</v>
      </c>
      <c r="I2745" s="86">
        <f>IFERROR(__xludf.DUMMYFUNCTION("""COMPUTED_VALUE"""),0.3103448275862069)</f>
        <v>0.3103448276</v>
      </c>
      <c r="J2745" s="82">
        <f>IFERROR(__xludf.DUMMYFUNCTION("""COMPUTED_VALUE"""),285.8695652173913)</f>
        <v>285.8695652</v>
      </c>
      <c r="K2745" s="82">
        <f>IFERROR(__xludf.DUMMYFUNCTION("""COMPUTED_VALUE"""),0.782608695652174)</f>
        <v>0.7826086957</v>
      </c>
      <c r="L2745" s="82">
        <f>IFERROR(__xludf.DUMMYFUNCTION("""COMPUTED_VALUE"""),0.391304347826087)</f>
        <v>0.3913043478</v>
      </c>
      <c r="M2745" s="82">
        <f>IFERROR(__xludf.DUMMYFUNCTION("""COMPUTED_VALUE"""),0.8695652173913043)</f>
        <v>0.8695652174</v>
      </c>
      <c r="N2745" s="82">
        <f>IFERROR(__xludf.DUMMYFUNCTION("""COMPUTED_VALUE"""),2.5217391304347827)</f>
        <v>2.52173913</v>
      </c>
      <c r="O2745" s="82">
        <f>IFERROR(__xludf.DUMMYFUNCTION("""COMPUTED_VALUE"""),328.78260869565213)</f>
        <v>328.7826087</v>
      </c>
      <c r="P2745" s="82">
        <f>IFERROR(__xludf.DUMMYFUNCTION("""COMPUTED_VALUE"""),0.7246376811594203)</f>
        <v>0.7246376812</v>
      </c>
      <c r="Q2745" s="82">
        <f>IFERROR(__xludf.DUMMYFUNCTION("""COMPUTED_VALUE"""),0.46376811594202894)</f>
        <v>0.4637681159</v>
      </c>
      <c r="R2745" s="82">
        <f>IFERROR(__xludf.DUMMYFUNCTION("""COMPUTED_VALUE"""),1.4637681159420293)</f>
        <v>1.463768116</v>
      </c>
      <c r="S2745" s="82">
        <f>IFERROR(__xludf.DUMMYFUNCTION("""COMPUTED_VALUE"""),2.0289855072463765)</f>
        <v>2.028985507</v>
      </c>
      <c r="T2745" s="82">
        <f>IFERROR(__xludf.DUMMYFUNCTION("""COMPUTED_VALUE"""),325.8144571400215)</f>
        <v>325.8144571</v>
      </c>
      <c r="U2745" s="82">
        <f>IFERROR(__xludf.DUMMYFUNCTION("""COMPUTED_VALUE"""),0.7060792213527869)</f>
        <v>0.7060792214</v>
      </c>
      <c r="V2745" s="82">
        <f>IFERROR(__xludf.DUMMYFUNCTION("""COMPUTED_VALUE"""),0.47472420109846863)</f>
        <v>0.4747242011</v>
      </c>
      <c r="W2745" s="82">
        <f>IFERROR(__xludf.DUMMYFUNCTION("""COMPUTED_VALUE"""),1.2669928170219282)</f>
        <v>1.266992817</v>
      </c>
      <c r="X2745" s="82">
        <f>IFERROR(__xludf.DUMMYFUNCTION("""COMPUTED_VALUE"""),2.2635804305631213)</f>
        <v>2.263580431</v>
      </c>
      <c r="Y2745" s="82">
        <f>IFERROR(__xludf.DUMMYFUNCTION("""COMPUTED_VALUE"""),343.0769281592278)</f>
        <v>343.0769282</v>
      </c>
      <c r="Z2745" s="82">
        <f>IFERROR(__xludf.DUMMYFUNCTION("""COMPUTED_VALUE"""),0.857363261347919)</f>
        <v>0.8573632613</v>
      </c>
      <c r="AA2745" s="82">
        <f>IFERROR(__xludf.DUMMYFUNCTION("""COMPUTED_VALUE"""),0.5625968454398411)</f>
        <v>0.5625968454</v>
      </c>
      <c r="AB2745" s="82">
        <f>IFERROR(__xludf.DUMMYFUNCTION("""COMPUTED_VALUE"""),1.1490867815835606)</f>
        <v>1.149086782</v>
      </c>
      <c r="AC2745" s="82">
        <f>IFERROR(__xludf.DUMMYFUNCTION("""COMPUTED_VALUE"""),2.614209977575745)</f>
        <v>2.614209978</v>
      </c>
      <c r="AD2745" s="82">
        <f>IFERROR(__xludf.DUMMYFUNCTION("""COMPUTED_VALUE"""),0.8332520835814247)</f>
        <v>0.8332520836</v>
      </c>
      <c r="AE2745" s="82">
        <f>IFERROR(__xludf.DUMMYFUNCTION("""COMPUTED_VALUE"""),0.912808760223504)</f>
        <v>0.9128087602</v>
      </c>
      <c r="AF2745" s="82">
        <f>IFERROR(__xludf.DUMMYFUNCTION("""COMPUTED_VALUE"""),0.6955324243244969)</f>
        <v>0.6955324243</v>
      </c>
      <c r="AG2745" s="82">
        <f>IFERROR(__xludf.DUMMYFUNCTION("""COMPUTED_VALUE"""),0.7567446004321392)</f>
        <v>0.7567446004</v>
      </c>
      <c r="AH2745" s="82">
        <f>IFERROR(__xludf.DUMMYFUNCTION("""COMPUTED_VALUE"""),0.964627612956051)</f>
        <v>0.964627613</v>
      </c>
      <c r="AI2745" s="82">
        <f>IFERROR(__xludf.DUMMYFUNCTION("""COMPUTED_VALUE"""),1.0091099442967784)</f>
        <v>1.009109944</v>
      </c>
      <c r="AJ2745" s="82">
        <f>IFERROR(__xludf.DUMMYFUNCTION("""COMPUTED_VALUE"""),1.0262838209161247)</f>
        <v>1.026283821</v>
      </c>
      <c r="AK2745" s="82">
        <f>IFERROR(__xludf.DUMMYFUNCTION("""COMPUTED_VALUE"""),0.9769211573138923)</f>
        <v>0.9769211573</v>
      </c>
      <c r="AL2745" s="82">
        <f>IFERROR(__xludf.DUMMYFUNCTION("""COMPUTED_VALUE"""),1.155308930150545)</f>
        <v>1.15530893</v>
      </c>
      <c r="AM2745" s="82">
        <f>IFERROR(__xludf.DUMMYFUNCTION("""COMPUTED_VALUE"""),0.8963611276413167)</f>
        <v>0.8963611276</v>
      </c>
      <c r="AN2745" s="82">
        <f>IFERROR(__xludf.DUMMYFUNCTION("""COMPUTED_VALUE"""),0.8890875000926359)</f>
        <v>0.8890875001</v>
      </c>
      <c r="AO2745" s="82">
        <f>IFERROR(__xludf.DUMMYFUNCTION("""COMPUTED_VALUE"""),1.0663607214868718)</f>
        <v>1.066360721</v>
      </c>
      <c r="AP2745" s="82">
        <f>IFERROR(__xludf.DUMMYFUNCTION("""COMPUTED_VALUE"""),0.7827429570943268)</f>
        <v>0.7827429571</v>
      </c>
      <c r="AQ2745" s="82">
        <f>IFERROR(__xludf.DUMMYFUNCTION("""COMPUTED_VALUE"""),0.746874370960728)</f>
        <v>0.746874371</v>
      </c>
      <c r="AR2745" s="82">
        <f>IFERROR(__xludf.DUMMYFUNCTION("""COMPUTED_VALUE"""),1.0896382484573992)</f>
        <v>1.089638248</v>
      </c>
      <c r="AS2745" s="82">
        <f>IFERROR(__xludf.DUMMYFUNCTION("""COMPUTED_VALUE"""),64.0)</f>
        <v>64</v>
      </c>
      <c r="AT2745" s="82">
        <f>IFERROR(__xludf.DUMMYFUNCTION("""COMPUTED_VALUE"""),0.5964778910958196)</f>
        <v>0.5964778911</v>
      </c>
      <c r="AU2745" s="82">
        <f>IFERROR(__xludf.DUMMYFUNCTION("""COMPUTED_VALUE"""),2.060046858726893)</f>
        <v>2.060046859</v>
      </c>
      <c r="AV2745" s="82">
        <f>IFERROR(__xludf.DUMMYFUNCTION("""COMPUTED_VALUE"""),48.555162873589374)</f>
        <v>48.55516287</v>
      </c>
      <c r="AW2745" s="82">
        <f t="shared" si="1"/>
        <v>-2.09662698</v>
      </c>
      <c r="AX2745" s="83">
        <f t="array" ref="AX2745">IFERROR(DGET('SBV Import'!A:G,"SBV",{"RSC ID","Tier";B2745,A2745}))</f>
        <v>33.61840245</v>
      </c>
      <c r="AY2745" s="82">
        <f t="shared" si="2"/>
        <v>-3.903978846</v>
      </c>
      <c r="AZ2745" s="82">
        <v>1.8073518658071053</v>
      </c>
      <c r="BA2745" s="84">
        <v>2700.0</v>
      </c>
      <c r="BB2745" s="84" t="b">
        <f>IFERROR(__xludf.DUMMYFUNCTION("iferror(if(A2745="""",,E2745&gt;=FILTER(Constants!$F$2:$F$10,Constants!$A$2:$A$10=A2745)))"),TRUE)</f>
        <v>1</v>
      </c>
    </row>
    <row r="2746">
      <c r="A2746" s="89" t="str">
        <f>IFERROR(__xludf.DUMMYFUNCTION("""COMPUTED_VALUE"""),"Prospect")</f>
        <v>Prospect</v>
      </c>
      <c r="B2746" s="87" t="str">
        <f>IFERROR(__xludf.DUMMYFUNCTION("""COMPUTED_VALUE"""),"RSC008010")</f>
        <v>RSC008010</v>
      </c>
      <c r="C2746" s="73" t="str">
        <f>IFERROR(__xludf.DUMMYFUNCTION("""COMPUTED_VALUE"""),"WamBamTYMan-")</f>
        <v>WamBamTYMan-</v>
      </c>
      <c r="D2746" s="73" t="str">
        <f>IFERROR(__xludf.DUMMYFUNCTION("""COMPUTED_VALUE"""),"Khans")</f>
        <v>Khans</v>
      </c>
      <c r="E2746" s="82">
        <f>IFERROR(__xludf.DUMMYFUNCTION("""COMPUTED_VALUE"""),47.0)</f>
        <v>47</v>
      </c>
      <c r="F2746" s="82">
        <f>IFERROR(__xludf.DUMMYFUNCTION("""COMPUTED_VALUE"""),18.0)</f>
        <v>18</v>
      </c>
      <c r="G2746" s="86">
        <f>IFERROR(__xludf.DUMMYFUNCTION("""COMPUTED_VALUE"""),29.0)</f>
        <v>29</v>
      </c>
      <c r="H2746" s="86">
        <f>IFERROR(__xludf.DUMMYFUNCTION("""COMPUTED_VALUE"""),0.3829787234042553)</f>
        <v>0.3829787234</v>
      </c>
      <c r="I2746" s="86">
        <f>IFERROR(__xludf.DUMMYFUNCTION("""COMPUTED_VALUE"""),0.3113207547169812)</f>
        <v>0.3113207547</v>
      </c>
      <c r="J2746" s="82">
        <f>IFERROR(__xludf.DUMMYFUNCTION("""COMPUTED_VALUE"""),339.93617021276594)</f>
        <v>339.9361702</v>
      </c>
      <c r="K2746" s="82">
        <f>IFERROR(__xludf.DUMMYFUNCTION("""COMPUTED_VALUE"""),0.7021276595744681)</f>
        <v>0.7021276596</v>
      </c>
      <c r="L2746" s="82">
        <f>IFERROR(__xludf.DUMMYFUNCTION("""COMPUTED_VALUE"""),0.40425531914893614)</f>
        <v>0.4042553191</v>
      </c>
      <c r="M2746" s="82">
        <f>IFERROR(__xludf.DUMMYFUNCTION("""COMPUTED_VALUE"""),1.4680851063829787)</f>
        <v>1.468085106</v>
      </c>
      <c r="N2746" s="82">
        <f>IFERROR(__xludf.DUMMYFUNCTION("""COMPUTED_VALUE"""),2.25531914893617)</f>
        <v>2.255319149</v>
      </c>
      <c r="O2746" s="82">
        <f>IFERROR(__xludf.DUMMYFUNCTION("""COMPUTED_VALUE"""),344.19858156028374)</f>
        <v>344.1985816</v>
      </c>
      <c r="P2746" s="82">
        <f>IFERROR(__xludf.DUMMYFUNCTION("""COMPUTED_VALUE"""),0.8581560283687942)</f>
        <v>0.8581560284</v>
      </c>
      <c r="Q2746" s="82">
        <f>IFERROR(__xludf.DUMMYFUNCTION("""COMPUTED_VALUE"""),0.5744680851063829)</f>
        <v>0.5744680851</v>
      </c>
      <c r="R2746" s="82">
        <f>IFERROR(__xludf.DUMMYFUNCTION("""COMPUTED_VALUE"""),1.1276595744680857)</f>
        <v>1.127659574</v>
      </c>
      <c r="S2746" s="82">
        <f>IFERROR(__xludf.DUMMYFUNCTION("""COMPUTED_VALUE"""),2.794326241134752)</f>
        <v>2.794326241</v>
      </c>
      <c r="T2746" s="82">
        <f>IFERROR(__xludf.DUMMYFUNCTION("""COMPUTED_VALUE"""),339.21100524022444)</f>
        <v>339.2110052</v>
      </c>
      <c r="U2746" s="82">
        <f>IFERROR(__xludf.DUMMYFUNCTION("""COMPUTED_VALUE"""),0.827454341386027)</f>
        <v>0.8274543414</v>
      </c>
      <c r="V2746" s="82">
        <f>IFERROR(__xludf.DUMMYFUNCTION("""COMPUTED_VALUE"""),0.5665386014153772)</f>
        <v>0.5665386014</v>
      </c>
      <c r="W2746" s="82">
        <f>IFERROR(__xludf.DUMMYFUNCTION("""COMPUTED_VALUE"""),1.1556873679380684)</f>
        <v>1.155687368</v>
      </c>
      <c r="X2746" s="82">
        <f>IFERROR(__xludf.DUMMYFUNCTION("""COMPUTED_VALUE"""),2.5446659996137115)</f>
        <v>2.544666</v>
      </c>
      <c r="Y2746" s="82">
        <f>IFERROR(__xludf.DUMMYFUNCTION("""COMPUTED_VALUE"""),330.50111453628625)</f>
        <v>330.5011145</v>
      </c>
      <c r="Z2746" s="82">
        <f>IFERROR(__xludf.DUMMYFUNCTION("""COMPUTED_VALUE"""),0.7592765854024042)</f>
        <v>0.7592765854</v>
      </c>
      <c r="AA2746" s="82">
        <f>IFERROR(__xludf.DUMMYFUNCTION("""COMPUTED_VALUE"""),0.5015531105325434)</f>
        <v>0.5015531105</v>
      </c>
      <c r="AB2746" s="82">
        <f>IFERROR(__xludf.DUMMYFUNCTION("""COMPUTED_VALUE"""),1.2258776989489393)</f>
        <v>1.225877699</v>
      </c>
      <c r="AC2746" s="82">
        <f>IFERROR(__xludf.DUMMYFUNCTION("""COMPUTED_VALUE"""),2.321177187219427)</f>
        <v>2.321177187</v>
      </c>
      <c r="AD2746" s="82">
        <f>IFERROR(__xludf.DUMMYFUNCTION("""COMPUTED_VALUE"""),1.0285477272587042)</f>
        <v>1.028547727</v>
      </c>
      <c r="AE2746" s="82">
        <f>IFERROR(__xludf.DUMMYFUNCTION("""COMPUTED_VALUE"""),0.924732400647324)</f>
        <v>0.9247324006</v>
      </c>
      <c r="AF2746" s="82">
        <f>IFERROR(__xludf.DUMMYFUNCTION("""COMPUTED_VALUE"""),0.8060070023685079)</f>
        <v>0.8060070024</v>
      </c>
      <c r="AG2746" s="82">
        <f>IFERROR(__xludf.DUMMYFUNCTION("""COMPUTED_VALUE"""),1.1975787695964342)</f>
        <v>1.19757877</v>
      </c>
      <c r="AH2746" s="82">
        <f>IFERROR(__xludf.DUMMYFUNCTION("""COMPUTED_VALUE"""),0.9716273110704877)</f>
        <v>0.9716273111</v>
      </c>
      <c r="AI2746" s="82">
        <f>IFERROR(__xludf.DUMMYFUNCTION("""COMPUTED_VALUE"""),1.0147034625734717)</f>
        <v>1.014703463</v>
      </c>
      <c r="AJ2746" s="82">
        <f>IFERROR(__xludf.DUMMYFUNCTION("""COMPUTED_VALUE"""),1.037103783794693)</f>
        <v>1.037103784</v>
      </c>
      <c r="AK2746" s="82">
        <f>IFERROR(__xludf.DUMMYFUNCTION("""COMPUTED_VALUE"""),1.0139963696581233)</f>
        <v>1.01399637</v>
      </c>
      <c r="AL2746" s="82">
        <f>IFERROR(__xludf.DUMMYFUNCTION("""COMPUTED_VALUE"""),0.975747945121189)</f>
        <v>0.9757479451</v>
      </c>
      <c r="AM2746" s="82">
        <f>IFERROR(__xludf.DUMMYFUNCTION("""COMPUTED_VALUE"""),1.0981112026328563)</f>
        <v>1.098111203</v>
      </c>
      <c r="AN2746" s="82">
        <f>IFERROR(__xludf.DUMMYFUNCTION("""COMPUTED_VALUE"""),1.0572409117273391)</f>
        <v>1.057240912</v>
      </c>
      <c r="AO2746" s="82">
        <f>IFERROR(__xludf.DUMMYFUNCTION("""COMPUTED_VALUE"""),0.9566995125396404)</f>
        <v>0.9566995125</v>
      </c>
      <c r="AP2746" s="82">
        <f>IFERROR(__xludf.DUMMYFUNCTION("""COMPUTED_VALUE"""),0.8086493433811366)</f>
        <v>0.8086493434</v>
      </c>
      <c r="AQ2746" s="82">
        <f>IFERROR(__xludf.DUMMYFUNCTION("""COMPUTED_VALUE"""),1.2609464113985906)</f>
        <v>1.260946411</v>
      </c>
      <c r="AR2746" s="82">
        <f>IFERROR(__xludf.DUMMYFUNCTION("""COMPUTED_VALUE"""),0.9745187269769403)</f>
        <v>0.974518727</v>
      </c>
      <c r="AS2746" s="82">
        <f>IFERROR(__xludf.DUMMYFUNCTION("""COMPUTED_VALUE"""),81.0)</f>
        <v>81</v>
      </c>
      <c r="AT2746" s="82">
        <f>IFERROR(__xludf.DUMMYFUNCTION("""COMPUTED_VALUE"""),0.35208230564850207)</f>
        <v>0.3520823056</v>
      </c>
      <c r="AU2746" s="82">
        <f>IFERROR(__xludf.DUMMYFUNCTION("""COMPUTED_VALUE"""),2.02430336822343)</f>
        <v>2.024303368</v>
      </c>
      <c r="AV2746" s="82">
        <f>IFERROR(__xludf.DUMMYFUNCTION("""COMPUTED_VALUE"""),47.58802435517085)</f>
        <v>47.58802436</v>
      </c>
      <c r="AW2746" s="82">
        <f t="shared" si="1"/>
        <v>-2.166518313</v>
      </c>
      <c r="AX2746" s="83">
        <f t="array" ref="AX2746">IFERROR(DGET('SBV Import'!A:G,"SBV",{"RSC ID","Tier";B2746,A2746}))</f>
        <v>45.58855375</v>
      </c>
      <c r="AY2746" s="82">
        <f t="shared" si="2"/>
        <v>-2.325759181</v>
      </c>
      <c r="AZ2746" s="82">
        <v>0.15924086774708268</v>
      </c>
      <c r="BA2746" s="84">
        <v>2700.0</v>
      </c>
      <c r="BB2746" s="84" t="b">
        <f>IFERROR(__xludf.DUMMYFUNCTION("iferror(if(A2746="""",,E2746&gt;=FILTER(Constants!$F$2:$F$10,Constants!$A$2:$A$10=A2746)))"),TRUE)</f>
        <v>1</v>
      </c>
    </row>
    <row r="2747">
      <c r="A2747" s="89" t="str">
        <f>IFERROR(__xludf.DUMMYFUNCTION("""COMPUTED_VALUE"""),"Prospect")</f>
        <v>Prospect</v>
      </c>
      <c r="B2747" s="87" t="str">
        <f>IFERROR(__xludf.DUMMYFUNCTION("""COMPUTED_VALUE"""),"RSC004303")</f>
        <v>RSC004303</v>
      </c>
      <c r="C2747" s="73" t="str">
        <f>IFERROR(__xludf.DUMMYFUNCTION("""COMPUTED_VALUE"""),"Shogun")</f>
        <v>Shogun</v>
      </c>
      <c r="D2747" s="73" t="str">
        <f>IFERROR(__xludf.DUMMYFUNCTION("""COMPUTED_VALUE"""),"Honey Badgers")</f>
        <v>Honey Badgers</v>
      </c>
      <c r="E2747" s="82">
        <f>IFERROR(__xludf.DUMMYFUNCTION("""COMPUTED_VALUE"""),42.0)</f>
        <v>42</v>
      </c>
      <c r="F2747" s="82">
        <f>IFERROR(__xludf.DUMMYFUNCTION("""COMPUTED_VALUE"""),24.0)</f>
        <v>24</v>
      </c>
      <c r="G2747" s="86">
        <f>IFERROR(__xludf.DUMMYFUNCTION("""COMPUTED_VALUE"""),18.0)</f>
        <v>18</v>
      </c>
      <c r="H2747" s="86">
        <f>IFERROR(__xludf.DUMMYFUNCTION("""COMPUTED_VALUE"""),0.5714285714285714)</f>
        <v>0.5714285714</v>
      </c>
      <c r="I2747" s="86">
        <f>IFERROR(__xludf.DUMMYFUNCTION("""COMPUTED_VALUE"""),0.2903225806451613)</f>
        <v>0.2903225806</v>
      </c>
      <c r="J2747" s="82">
        <f>IFERROR(__xludf.DUMMYFUNCTION("""COMPUTED_VALUE"""),325.4047619047619)</f>
        <v>325.4047619</v>
      </c>
      <c r="K2747" s="82">
        <f>IFERROR(__xludf.DUMMYFUNCTION("""COMPUTED_VALUE"""),0.6428571428571429)</f>
        <v>0.6428571429</v>
      </c>
      <c r="L2747" s="82">
        <f>IFERROR(__xludf.DUMMYFUNCTION("""COMPUTED_VALUE"""),0.4523809523809524)</f>
        <v>0.4523809524</v>
      </c>
      <c r="M2747" s="82">
        <f>IFERROR(__xludf.DUMMYFUNCTION("""COMPUTED_VALUE"""),1.380952380952381)</f>
        <v>1.380952381</v>
      </c>
      <c r="N2747" s="82">
        <f>IFERROR(__xludf.DUMMYFUNCTION("""COMPUTED_VALUE"""),2.2142857142857144)</f>
        <v>2.214285714</v>
      </c>
      <c r="O2747" s="82">
        <f>IFERROR(__xludf.DUMMYFUNCTION("""COMPUTED_VALUE"""),326.6587301587302)</f>
        <v>326.6587302</v>
      </c>
      <c r="P2747" s="82">
        <f>IFERROR(__xludf.DUMMYFUNCTION("""COMPUTED_VALUE"""),0.6984126984126984)</f>
        <v>0.6984126984</v>
      </c>
      <c r="Q2747" s="82">
        <f>IFERROR(__xludf.DUMMYFUNCTION("""COMPUTED_VALUE"""),0.492063492063492)</f>
        <v>0.4920634921</v>
      </c>
      <c r="R2747" s="82">
        <f>IFERROR(__xludf.DUMMYFUNCTION("""COMPUTED_VALUE"""),1.1587301587301586)</f>
        <v>1.158730159</v>
      </c>
      <c r="S2747" s="82">
        <f>IFERROR(__xludf.DUMMYFUNCTION("""COMPUTED_VALUE"""),2.436507936507936)</f>
        <v>2.436507937</v>
      </c>
      <c r="T2747" s="82">
        <f>IFERROR(__xludf.DUMMYFUNCTION("""COMPUTED_VALUE"""),336.76817591698193)</f>
        <v>336.7681759</v>
      </c>
      <c r="U2747" s="82">
        <f>IFERROR(__xludf.DUMMYFUNCTION("""COMPUTED_VALUE"""),0.8031176825283649)</f>
        <v>0.8031176825</v>
      </c>
      <c r="V2747" s="82">
        <f>IFERROR(__xludf.DUMMYFUNCTION("""COMPUTED_VALUE"""),0.5503402701984511)</f>
        <v>0.5503402702</v>
      </c>
      <c r="W2747" s="82">
        <f>IFERROR(__xludf.DUMMYFUNCTION("""COMPUTED_VALUE"""),1.1748692244202876)</f>
        <v>1.174869224</v>
      </c>
      <c r="X2747" s="82">
        <f>IFERROR(__xludf.DUMMYFUNCTION("""COMPUTED_VALUE"""),2.4434840908170123)</f>
        <v>2.443484091</v>
      </c>
      <c r="Y2747" s="82">
        <f>IFERROR(__xludf.DUMMYFUNCTION("""COMPUTED_VALUE"""),334.82672221157503)</f>
        <v>334.8267222</v>
      </c>
      <c r="Z2747" s="82">
        <f>IFERROR(__xludf.DUMMYFUNCTION("""COMPUTED_VALUE"""),0.7990873983895445)</f>
        <v>0.7990873984</v>
      </c>
      <c r="AA2747" s="82">
        <f>IFERROR(__xludf.DUMMYFUNCTION("""COMPUTED_VALUE"""),0.5184309792866616)</f>
        <v>0.5184309793</v>
      </c>
      <c r="AB2747" s="82">
        <f>IFERROR(__xludf.DUMMYFUNCTION("""COMPUTED_VALUE"""),1.2086375321267717)</f>
        <v>1.208637532</v>
      </c>
      <c r="AC2747" s="82">
        <f>IFERROR(__xludf.DUMMYFUNCTION("""COMPUTED_VALUE"""),2.3916400350220584)</f>
        <v>2.391640035</v>
      </c>
      <c r="AD2747" s="82">
        <f>IFERROR(__xludf.DUMMYFUNCTION("""COMPUTED_VALUE"""),0.9718601901169064)</f>
        <v>0.9718601901</v>
      </c>
      <c r="AE2747" s="82">
        <f>IFERROR(__xludf.DUMMYFUNCTION("""COMPUTED_VALUE"""),0.8044891511901413)</f>
        <v>0.8044891512</v>
      </c>
      <c r="AF2747" s="82">
        <f>IFERROR(__xludf.DUMMYFUNCTION("""COMPUTED_VALUE"""),0.8725962962387179)</f>
        <v>0.8725962962</v>
      </c>
      <c r="AG2747" s="82">
        <f>IFERROR(__xludf.DUMMYFUNCTION("""COMPUTED_VALUE"""),1.1425695001564253)</f>
        <v>1.1425695</v>
      </c>
      <c r="AH2747" s="82">
        <f>IFERROR(__xludf.DUMMYFUNCTION("""COMPUTED_VALUE"""),0.9258440575758684)</f>
        <v>0.9258440576</v>
      </c>
      <c r="AI2747" s="82">
        <f>IFERROR(__xludf.DUMMYFUNCTION("""COMPUTED_VALUE"""),0.9699809944014904)</f>
        <v>0.9699809944</v>
      </c>
      <c r="AJ2747" s="82">
        <f>IFERROR(__xludf.DUMMYFUNCTION("""COMPUTED_VALUE"""),0.8696268474801406)</f>
        <v>0.8696268475</v>
      </c>
      <c r="AK2747" s="82">
        <f>IFERROR(__xludf.DUMMYFUNCTION("""COMPUTED_VALUE"""),0.8941077342678473)</f>
        <v>0.8941077343</v>
      </c>
      <c r="AL2747" s="82">
        <f>IFERROR(__xludf.DUMMYFUNCTION("""COMPUTED_VALUE"""),0.9862630960496114)</f>
        <v>0.986263096</v>
      </c>
      <c r="AM2747" s="82">
        <f>IFERROR(__xludf.DUMMYFUNCTION("""COMPUTED_VALUE"""),0.9971449970411946)</f>
        <v>0.997144997</v>
      </c>
      <c r="AN2747" s="82">
        <f>IFERROR(__xludf.DUMMYFUNCTION("""COMPUTED_VALUE"""),1.012046546683394)</f>
        <v>1.012046547</v>
      </c>
      <c r="AO2747" s="82">
        <f>IFERROR(__xludf.DUMMYFUNCTION("""COMPUTED_VALUE"""),0.8759391640785019)</f>
        <v>0.8759391641</v>
      </c>
      <c r="AP2747" s="82">
        <f>IFERROR(__xludf.DUMMYFUNCTION("""COMPUTED_VALUE"""),0.9049171223550815)</f>
        <v>0.9049171224</v>
      </c>
      <c r="AQ2747" s="82">
        <f>IFERROR(__xludf.DUMMYFUNCTION("""COMPUTED_VALUE"""),1.1861076319781085)</f>
        <v>1.186107632</v>
      </c>
      <c r="AR2747" s="82">
        <f>IFERROR(__xludf.DUMMYFUNCTION("""COMPUTED_VALUE"""),0.956788264963209)</f>
        <v>0.956788265</v>
      </c>
      <c r="AS2747" s="82">
        <f>IFERROR(__xludf.DUMMYFUNCTION("""COMPUTED_VALUE"""),109.0)</f>
        <v>109</v>
      </c>
      <c r="AT2747" s="82">
        <f>IFERROR(__xludf.DUMMYFUNCTION("""COMPUTED_VALUE"""),0.5826069373861748)</f>
        <v>0.5826069374</v>
      </c>
      <c r="AU2747" s="82">
        <f>IFERROR(__xludf.DUMMYFUNCTION("""COMPUTED_VALUE"""),2.019180064410545)</f>
        <v>2.019180064</v>
      </c>
      <c r="AV2747" s="82">
        <f>IFERROR(__xludf.DUMMYFUNCTION("""COMPUTED_VALUE"""),47.44939926877864)</f>
        <v>47.44939927</v>
      </c>
      <c r="AW2747" s="82">
        <f t="shared" si="1"/>
        <v>-2.176900124</v>
      </c>
      <c r="AX2747" s="83">
        <f t="array" ref="AX2747">IFERROR(DGET('SBV Import'!A:G,"SBV",{"RSC ID","Tier";B2747,A2747}))</f>
        <v>43.81275343</v>
      </c>
      <c r="AY2747" s="82">
        <f t="shared" si="2"/>
        <v>-2.485926129</v>
      </c>
      <c r="AZ2747" s="82">
        <v>0.30902600454873674</v>
      </c>
      <c r="BA2747" s="84">
        <v>2700.0</v>
      </c>
      <c r="BB2747" s="84" t="b">
        <f>IFERROR(__xludf.DUMMYFUNCTION("iferror(if(A2747="""",,E2747&gt;=FILTER(Constants!$F$2:$F$10,Constants!$A$2:$A$10=A2747)))"),TRUE)</f>
        <v>1</v>
      </c>
    </row>
    <row r="2748">
      <c r="A2748" s="89" t="str">
        <f>IFERROR(__xludf.DUMMYFUNCTION("""COMPUTED_VALUE"""),"Prospect")</f>
        <v>Prospect</v>
      </c>
      <c r="B2748" s="87" t="str">
        <f>IFERROR(__xludf.DUMMYFUNCTION("""COMPUTED_VALUE"""),"RSC006587")</f>
        <v>RSC006587</v>
      </c>
      <c r="C2748" s="73" t="str">
        <f>IFERROR(__xludf.DUMMYFUNCTION("""COMPUTED_VALUE"""),"Enterprise15")</f>
        <v>Enterprise15</v>
      </c>
      <c r="D2748" s="73" t="str">
        <f>IFERROR(__xludf.DUMMYFUNCTION("""COMPUTED_VALUE"""),"Skeletons")</f>
        <v>Skeletons</v>
      </c>
      <c r="E2748" s="82">
        <f>IFERROR(__xludf.DUMMYFUNCTION("""COMPUTED_VALUE"""),44.0)</f>
        <v>44</v>
      </c>
      <c r="F2748" s="82">
        <f>IFERROR(__xludf.DUMMYFUNCTION("""COMPUTED_VALUE"""),17.0)</f>
        <v>17</v>
      </c>
      <c r="G2748" s="86">
        <f>IFERROR(__xludf.DUMMYFUNCTION("""COMPUTED_VALUE"""),27.0)</f>
        <v>27</v>
      </c>
      <c r="H2748" s="86">
        <f>IFERROR(__xludf.DUMMYFUNCTION("""COMPUTED_VALUE"""),0.38636363636363635)</f>
        <v>0.3863636364</v>
      </c>
      <c r="I2748" s="86">
        <f>IFERROR(__xludf.DUMMYFUNCTION("""COMPUTED_VALUE"""),0.3191489361702128)</f>
        <v>0.3191489362</v>
      </c>
      <c r="J2748" s="82">
        <f>IFERROR(__xludf.DUMMYFUNCTION("""COMPUTED_VALUE"""),336.40909090909093)</f>
        <v>336.4090909</v>
      </c>
      <c r="K2748" s="82">
        <f>IFERROR(__xludf.DUMMYFUNCTION("""COMPUTED_VALUE"""),0.6818181818181818)</f>
        <v>0.6818181818</v>
      </c>
      <c r="L2748" s="82">
        <f>IFERROR(__xludf.DUMMYFUNCTION("""COMPUTED_VALUE"""),0.5227272727272727)</f>
        <v>0.5227272727</v>
      </c>
      <c r="M2748" s="82">
        <f>IFERROR(__xludf.DUMMYFUNCTION("""COMPUTED_VALUE"""),1.4090909090909092)</f>
        <v>1.409090909</v>
      </c>
      <c r="N2748" s="82">
        <f>IFERROR(__xludf.DUMMYFUNCTION("""COMPUTED_VALUE"""),2.1363636363636362)</f>
        <v>2.136363636</v>
      </c>
      <c r="O2748" s="82">
        <f>IFERROR(__xludf.DUMMYFUNCTION("""COMPUTED_VALUE"""),338.8712121212122)</f>
        <v>338.8712121</v>
      </c>
      <c r="P2748" s="82">
        <f>IFERROR(__xludf.DUMMYFUNCTION("""COMPUTED_VALUE"""),0.8787878787878789)</f>
        <v>0.8787878788</v>
      </c>
      <c r="Q2748" s="82">
        <f>IFERROR(__xludf.DUMMYFUNCTION("""COMPUTED_VALUE"""),0.5454545454545454)</f>
        <v>0.5454545455</v>
      </c>
      <c r="R2748" s="82">
        <f>IFERROR(__xludf.DUMMYFUNCTION("""COMPUTED_VALUE"""),1.1515151515151514)</f>
        <v>1.151515152</v>
      </c>
      <c r="S2748" s="82">
        <f>IFERROR(__xludf.DUMMYFUNCTION("""COMPUTED_VALUE"""),2.568181818181818)</f>
        <v>2.568181818</v>
      </c>
      <c r="T2748" s="82">
        <f>IFERROR(__xludf.DUMMYFUNCTION("""COMPUTED_VALUE"""),334.1806185013539)</f>
        <v>334.1806185</v>
      </c>
      <c r="U2748" s="82">
        <f>IFERROR(__xludf.DUMMYFUNCTION("""COMPUTED_VALUE"""),0.8104762629614283)</f>
        <v>0.810476263</v>
      </c>
      <c r="V2748" s="82">
        <f>IFERROR(__xludf.DUMMYFUNCTION("""COMPUTED_VALUE"""),0.542770409478509)</f>
        <v>0.5427704095</v>
      </c>
      <c r="W2748" s="82">
        <f>IFERROR(__xludf.DUMMYFUNCTION("""COMPUTED_VALUE"""),1.1565878800622167)</f>
        <v>1.15658788</v>
      </c>
      <c r="X2748" s="82">
        <f>IFERROR(__xludf.DUMMYFUNCTION("""COMPUTED_VALUE"""),2.421089099216154)</f>
        <v>2.421089099</v>
      </c>
      <c r="Y2748" s="82">
        <f>IFERROR(__xludf.DUMMYFUNCTION("""COMPUTED_VALUE"""),332.52590790655194)</f>
        <v>332.5259079</v>
      </c>
      <c r="Z2748" s="82">
        <f>IFERROR(__xludf.DUMMYFUNCTION("""COMPUTED_VALUE"""),0.7907060173724099)</f>
        <v>0.7907060174</v>
      </c>
      <c r="AA2748" s="82">
        <f>IFERROR(__xludf.DUMMYFUNCTION("""COMPUTED_VALUE"""),0.5230510593046787)</f>
        <v>0.5230510593</v>
      </c>
      <c r="AB2748" s="82">
        <f>IFERROR(__xludf.DUMMYFUNCTION("""COMPUTED_VALUE"""),1.1792025294914716)</f>
        <v>1.179202529</v>
      </c>
      <c r="AC2748" s="82">
        <f>IFERROR(__xludf.DUMMYFUNCTION("""COMPUTED_VALUE"""),2.3879213938724164)</f>
        <v>2.387921394</v>
      </c>
      <c r="AD2748" s="82">
        <f>IFERROR(__xludf.DUMMYFUNCTION("""COMPUTED_VALUE"""),1.0116778359526508)</f>
        <v>1.011677836</v>
      </c>
      <c r="AE2748" s="82">
        <f>IFERROR(__xludf.DUMMYFUNCTION("""COMPUTED_VALUE"""),0.8622903668849359)</f>
        <v>0.8622903669</v>
      </c>
      <c r="AF2748" s="82">
        <f>IFERROR(__xludf.DUMMYFUNCTION("""COMPUTED_VALUE"""),0.9993809656406463)</f>
        <v>0.9993809656</v>
      </c>
      <c r="AG2748" s="82">
        <f>IFERROR(__xludf.DUMMYFUNCTION("""COMPUTED_VALUE"""),1.1949524138983796)</f>
        <v>1.194952414</v>
      </c>
      <c r="AH2748" s="82">
        <f>IFERROR(__xludf.DUMMYFUNCTION("""COMPUTED_VALUE"""),0.8946540877960656)</f>
        <v>0.8946540878</v>
      </c>
      <c r="AI2748" s="82">
        <f>IFERROR(__xludf.DUMMYFUNCTION("""COMPUTED_VALUE"""),1.01403610311362)</f>
        <v>1.014036103</v>
      </c>
      <c r="AJ2748" s="82">
        <f>IFERROR(__xludf.DUMMYFUNCTION("""COMPUTED_VALUE"""),1.084285769921064)</f>
        <v>1.08428577</v>
      </c>
      <c r="AK2748" s="82">
        <f>IFERROR(__xludf.DUMMYFUNCTION("""COMPUTED_VALUE"""),1.004945251121216)</f>
        <v>1.004945251</v>
      </c>
      <c r="AL2748" s="82">
        <f>IFERROR(__xludf.DUMMYFUNCTION("""COMPUTED_VALUE"""),0.9956140569735242)</f>
        <v>0.995614057</v>
      </c>
      <c r="AM2748" s="82">
        <f>IFERROR(__xludf.DUMMYFUNCTION("""COMPUTED_VALUE"""),1.0607547731363074)</f>
        <v>1.060754773</v>
      </c>
      <c r="AN2748" s="82">
        <f>IFERROR(__xludf.DUMMYFUNCTION("""COMPUTED_VALUE"""),1.0462712860578554)</f>
        <v>1.046271286</v>
      </c>
      <c r="AO2748" s="82">
        <f>IFERROR(__xludf.DUMMYFUNCTION("""COMPUTED_VALUE"""),0.9290263861438655)</f>
        <v>0.9290263861</v>
      </c>
      <c r="AP2748" s="82">
        <f>IFERROR(__xludf.DUMMYFUNCTION("""COMPUTED_VALUE"""),1.0456338997547951)</f>
        <v>1.0456339</v>
      </c>
      <c r="AQ2748" s="82">
        <f>IFERROR(__xludf.DUMMYFUNCTION("""COMPUTED_VALUE"""),1.2102759693068161)</f>
        <v>1.210275969</v>
      </c>
      <c r="AR2748" s="82">
        <f>IFERROR(__xludf.DUMMYFUNCTION("""COMPUTED_VALUE"""),0.9231182966947089)</f>
        <v>0.9231182967</v>
      </c>
      <c r="AS2748" s="82">
        <f>IFERROR(__xludf.DUMMYFUNCTION("""COMPUTED_VALUE"""),94.0)</f>
        <v>94</v>
      </c>
      <c r="AT2748" s="82">
        <f>IFERROR(__xludf.DUMMYFUNCTION("""COMPUTED_VALUE"""),0.4184028199624495)</f>
        <v>0.41840282</v>
      </c>
      <c r="AU2748" s="82">
        <f>IFERROR(__xludf.DUMMYFUNCTION("""COMPUTED_VALUE"""),1.9947152411548688)</f>
        <v>1.994715241</v>
      </c>
      <c r="AV2748" s="82">
        <f>IFERROR(__xludf.DUMMYFUNCTION("""COMPUTED_VALUE"""),46.787436136930246)</f>
        <v>46.78743614</v>
      </c>
      <c r="AW2748" s="82">
        <f t="shared" si="1"/>
        <v>-2.227788533</v>
      </c>
      <c r="AX2748" s="83">
        <f t="array" ref="AX2748">IFERROR(DGET('SBV Import'!A:G,"SBV",{"RSC ID","Tier";B2748,A2748}))</f>
        <v>47.42906538</v>
      </c>
      <c r="AY2748" s="82">
        <f t="shared" si="2"/>
        <v>-2.17843084</v>
      </c>
      <c r="AZ2748" s="82">
        <v>0.04935769351236052</v>
      </c>
      <c r="BA2748" s="84">
        <v>2700.0</v>
      </c>
      <c r="BB2748" s="84" t="b">
        <f>IFERROR(__xludf.DUMMYFUNCTION("iferror(if(A2748="""",,E2748&gt;=FILTER(Constants!$F$2:$F$10,Constants!$A$2:$A$10=A2748)))"),TRUE)</f>
        <v>1</v>
      </c>
    </row>
    <row r="2749">
      <c r="A2749" s="89" t="str">
        <f>IFERROR(__xludf.DUMMYFUNCTION("""COMPUTED_VALUE"""),"Prospect")</f>
        <v>Prospect</v>
      </c>
      <c r="B2749" s="87" t="str">
        <f>IFERROR(__xludf.DUMMYFUNCTION("""COMPUTED_VALUE"""),"RSC003737")</f>
        <v>RSC003737</v>
      </c>
      <c r="C2749" s="73" t="str">
        <f>IFERROR(__xludf.DUMMYFUNCTION("""COMPUTED_VALUE"""),"MeOnDisplay")</f>
        <v>MeOnDisplay</v>
      </c>
      <c r="D2749" s="73" t="str">
        <f>IFERROR(__xludf.DUMMYFUNCTION("""COMPUTED_VALUE"""),"Honey Badgers")</f>
        <v>Honey Badgers</v>
      </c>
      <c r="E2749" s="82">
        <f>IFERROR(__xludf.DUMMYFUNCTION("""COMPUTED_VALUE"""),31.0)</f>
        <v>31</v>
      </c>
      <c r="F2749" s="82">
        <f>IFERROR(__xludf.DUMMYFUNCTION("""COMPUTED_VALUE"""),16.0)</f>
        <v>16</v>
      </c>
      <c r="G2749" s="86">
        <f>IFERROR(__xludf.DUMMYFUNCTION("""COMPUTED_VALUE"""),15.0)</f>
        <v>15</v>
      </c>
      <c r="H2749" s="86">
        <f>IFERROR(__xludf.DUMMYFUNCTION("""COMPUTED_VALUE"""),0.5161290322580645)</f>
        <v>0.5161290323</v>
      </c>
      <c r="I2749" s="86">
        <f>IFERROR(__xludf.DUMMYFUNCTION("""COMPUTED_VALUE"""),0.3714285714285714)</f>
        <v>0.3714285714</v>
      </c>
      <c r="J2749" s="82">
        <f>IFERROR(__xludf.DUMMYFUNCTION("""COMPUTED_VALUE"""),290.96774193548384)</f>
        <v>290.9677419</v>
      </c>
      <c r="K2749" s="82">
        <f>IFERROR(__xludf.DUMMYFUNCTION("""COMPUTED_VALUE"""),0.8387096774193549)</f>
        <v>0.8387096774</v>
      </c>
      <c r="L2749" s="82">
        <f>IFERROR(__xludf.DUMMYFUNCTION("""COMPUTED_VALUE"""),0.3225806451612903)</f>
        <v>0.3225806452</v>
      </c>
      <c r="M2749" s="82">
        <f>IFERROR(__xludf.DUMMYFUNCTION("""COMPUTED_VALUE"""),1.1290322580645162)</f>
        <v>1.129032258</v>
      </c>
      <c r="N2749" s="82">
        <f>IFERROR(__xludf.DUMMYFUNCTION("""COMPUTED_VALUE"""),2.2580645161290325)</f>
        <v>2.258064516</v>
      </c>
      <c r="O2749" s="82">
        <f>IFERROR(__xludf.DUMMYFUNCTION("""COMPUTED_VALUE"""),350.3333333333333)</f>
        <v>350.3333333</v>
      </c>
      <c r="P2749" s="82">
        <f>IFERROR(__xludf.DUMMYFUNCTION("""COMPUTED_VALUE"""),0.7849462365591399)</f>
        <v>0.7849462366</v>
      </c>
      <c r="Q2749" s="82">
        <f>IFERROR(__xludf.DUMMYFUNCTION("""COMPUTED_VALUE"""),0.5698924731182794)</f>
        <v>0.5698924731</v>
      </c>
      <c r="R2749" s="82">
        <f>IFERROR(__xludf.DUMMYFUNCTION("""COMPUTED_VALUE"""),1.2473118279569892)</f>
        <v>1.247311828</v>
      </c>
      <c r="S2749" s="82">
        <f>IFERROR(__xludf.DUMMYFUNCTION("""COMPUTED_VALUE"""),2.655913978494624)</f>
        <v>2.655913978</v>
      </c>
      <c r="T2749" s="82">
        <f>IFERROR(__xludf.DUMMYFUNCTION("""COMPUTED_VALUE"""),337.08346155203355)</f>
        <v>337.0834616</v>
      </c>
      <c r="U2749" s="82">
        <f>IFERROR(__xludf.DUMMYFUNCTION("""COMPUTED_VALUE"""),0.7878134786258545)</f>
        <v>0.7878134786</v>
      </c>
      <c r="V2749" s="82">
        <f>IFERROR(__xludf.DUMMYFUNCTION("""COMPUTED_VALUE"""),0.5217089545981831)</f>
        <v>0.5217089546</v>
      </c>
      <c r="W2749" s="82">
        <f>IFERROR(__xludf.DUMMYFUNCTION("""COMPUTED_VALUE"""),1.216064239705345)</f>
        <v>1.21606424</v>
      </c>
      <c r="X2749" s="82">
        <f>IFERROR(__xludf.DUMMYFUNCTION("""COMPUTED_VALUE"""),2.3997623918906137)</f>
        <v>2.399762392</v>
      </c>
      <c r="Y2749" s="82">
        <f>IFERROR(__xludf.DUMMYFUNCTION("""COMPUTED_VALUE"""),334.2521020430019)</f>
        <v>334.252102</v>
      </c>
      <c r="Z2749" s="82">
        <f>IFERROR(__xludf.DUMMYFUNCTION("""COMPUTED_VALUE"""),0.8079101522478533)</f>
        <v>0.8079101522</v>
      </c>
      <c r="AA2749" s="82">
        <f>IFERROR(__xludf.DUMMYFUNCTION("""COMPUTED_VALUE"""),0.5193676817310771)</f>
        <v>0.5193676817</v>
      </c>
      <c r="AB2749" s="82">
        <f>IFERROR(__xludf.DUMMYFUNCTION("""COMPUTED_VALUE"""),1.1842541872476215)</f>
        <v>1.184254187</v>
      </c>
      <c r="AC2749" s="82">
        <f>IFERROR(__xludf.DUMMYFUNCTION("""COMPUTED_VALUE"""),2.447822224450763)</f>
        <v>2.447822224</v>
      </c>
      <c r="AD2749" s="82">
        <f>IFERROR(__xludf.DUMMYFUNCTION("""COMPUTED_VALUE"""),0.8705038507074235)</f>
        <v>0.8705038507</v>
      </c>
      <c r="AE2749" s="82">
        <f>IFERROR(__xludf.DUMMYFUNCTION("""COMPUTED_VALUE"""),1.038122463352896)</f>
        <v>1.038122463</v>
      </c>
      <c r="AF2749" s="82">
        <f>IFERROR(__xludf.DUMMYFUNCTION("""COMPUTED_VALUE"""),0.6211026532997082)</f>
        <v>0.6211026533</v>
      </c>
      <c r="AG2749" s="82">
        <f>IFERROR(__xludf.DUMMYFUNCTION("""COMPUTED_VALUE"""),0.953369867906949)</f>
        <v>0.9533698679</v>
      </c>
      <c r="AH2749" s="82">
        <f>IFERROR(__xludf.DUMMYFUNCTION("""COMPUTED_VALUE"""),0.9224789666397004)</f>
        <v>0.9224789666</v>
      </c>
      <c r="AI2749" s="82">
        <f>IFERROR(__xludf.DUMMYFUNCTION("""COMPUTED_VALUE"""),1.0393073920633584)</f>
        <v>1.039307392</v>
      </c>
      <c r="AJ2749" s="82">
        <f>IFERROR(__xludf.DUMMYFUNCTION("""COMPUTED_VALUE"""),0.9963605064593261)</f>
        <v>0.9963605065</v>
      </c>
      <c r="AK2749" s="82">
        <f>IFERROR(__xludf.DUMMYFUNCTION("""COMPUTED_VALUE"""),1.092357085488799)</f>
        <v>1.092357085</v>
      </c>
      <c r="AL2749" s="82">
        <f>IFERROR(__xludf.DUMMYFUNCTION("""COMPUTED_VALUE"""),1.025695672343112)</f>
        <v>1.025695672</v>
      </c>
      <c r="AM2749" s="82">
        <f>IFERROR(__xludf.DUMMYFUNCTION("""COMPUTED_VALUE"""),1.106740395411483)</f>
        <v>1.106740395</v>
      </c>
      <c r="AN2749" s="82">
        <f>IFERROR(__xludf.DUMMYFUNCTION("""COMPUTED_VALUE"""),0.9049434209209775)</f>
        <v>0.9049434209</v>
      </c>
      <c r="AO2749" s="82">
        <f>IFERROR(__xludf.DUMMYFUNCTION("""COMPUTED_VALUE"""),1.1428023502672928)</f>
        <v>1.14280235</v>
      </c>
      <c r="AP2749" s="82">
        <f>IFERROR(__xludf.DUMMYFUNCTION("""COMPUTED_VALUE"""),0.6452719717981905)</f>
        <v>0.6452719718</v>
      </c>
      <c r="AQ2749" s="82">
        <f>IFERROR(__xludf.DUMMYFUNCTION("""COMPUTED_VALUE"""),0.9697320461667518)</f>
        <v>0.9697320462</v>
      </c>
      <c r="AR2749" s="82">
        <f>IFERROR(__xludf.DUMMYFUNCTION("""COMPUTED_VALUE"""),0.9757049944473932)</f>
        <v>0.9757049944</v>
      </c>
      <c r="AS2749" s="82">
        <f>IFERROR(__xludf.DUMMYFUNCTION("""COMPUTED_VALUE"""),79.0)</f>
        <v>79</v>
      </c>
      <c r="AT2749" s="82">
        <f>IFERROR(__xludf.DUMMYFUNCTION("""COMPUTED_VALUE"""),0.5311250296093183)</f>
        <v>0.5311250296</v>
      </c>
      <c r="AU2749" s="82">
        <f>IFERROR(__xludf.DUMMYFUNCTION("""COMPUTED_VALUE"""),1.9597652698848789)</f>
        <v>1.95976527</v>
      </c>
      <c r="AV2749" s="82">
        <f>IFERROR(__xludf.DUMMYFUNCTION("""COMPUTED_VALUE"""),45.84176846551038)</f>
        <v>45.84176847</v>
      </c>
      <c r="AW2749" s="82">
        <f t="shared" si="1"/>
        <v>-2.304418687</v>
      </c>
      <c r="AX2749" s="83">
        <f t="array" ref="AX2749">IFERROR(DGET('SBV Import'!A:G,"SBV",{"RSC ID","Tier";B2749,A2749}))</f>
        <v>24.14274103</v>
      </c>
      <c r="AY2749" s="82">
        <f t="shared" si="2"/>
        <v>-6.644508501</v>
      </c>
      <c r="AZ2749" s="82">
        <v>4.3400898137748385</v>
      </c>
      <c r="BA2749" s="84">
        <v>2700.0</v>
      </c>
      <c r="BB2749" s="84" t="b">
        <f>IFERROR(__xludf.DUMMYFUNCTION("iferror(if(A2749="""",,E2749&gt;=FILTER(Constants!$F$2:$F$10,Constants!$A$2:$A$10=A2749)))"),TRUE)</f>
        <v>1</v>
      </c>
    </row>
    <row r="2750">
      <c r="A2750" s="89" t="str">
        <f>IFERROR(__xludf.DUMMYFUNCTION("""COMPUTED_VALUE"""),"Prospect")</f>
        <v>Prospect</v>
      </c>
      <c r="B2750" s="87" t="str">
        <f>IFERROR(__xludf.DUMMYFUNCTION("""COMPUTED_VALUE"""),"RSC004106")</f>
        <v>RSC004106</v>
      </c>
      <c r="C2750" s="73" t="str">
        <f>IFERROR(__xludf.DUMMYFUNCTION("""COMPUTED_VALUE"""),"K.Doughboy")</f>
        <v>K.Doughboy</v>
      </c>
      <c r="D2750" s="73" t="str">
        <f>IFERROR(__xludf.DUMMYFUNCTION("""COMPUTED_VALUE"""),"Blacktips")</f>
        <v>Blacktips</v>
      </c>
      <c r="E2750" s="82">
        <f>IFERROR(__xludf.DUMMYFUNCTION("""COMPUTED_VALUE"""),48.0)</f>
        <v>48</v>
      </c>
      <c r="F2750" s="82">
        <f>IFERROR(__xludf.DUMMYFUNCTION("""COMPUTED_VALUE"""),30.0)</f>
        <v>30</v>
      </c>
      <c r="G2750" s="86">
        <f>IFERROR(__xludf.DUMMYFUNCTION("""COMPUTED_VALUE"""),18.0)</f>
        <v>18</v>
      </c>
      <c r="H2750" s="86">
        <f>IFERROR(__xludf.DUMMYFUNCTION("""COMPUTED_VALUE"""),0.625)</f>
        <v>0.625</v>
      </c>
      <c r="I2750" s="86">
        <f>IFERROR(__xludf.DUMMYFUNCTION("""COMPUTED_VALUE"""),0.3333333333333333)</f>
        <v>0.3333333333</v>
      </c>
      <c r="J2750" s="82">
        <f>IFERROR(__xludf.DUMMYFUNCTION("""COMPUTED_VALUE"""),301.25)</f>
        <v>301.25</v>
      </c>
      <c r="K2750" s="82">
        <f>IFERROR(__xludf.DUMMYFUNCTION("""COMPUTED_VALUE"""),0.6666666666666666)</f>
        <v>0.6666666667</v>
      </c>
      <c r="L2750" s="82">
        <f>IFERROR(__xludf.DUMMYFUNCTION("""COMPUTED_VALUE"""),0.5625)</f>
        <v>0.5625</v>
      </c>
      <c r="M2750" s="82">
        <f>IFERROR(__xludf.DUMMYFUNCTION("""COMPUTED_VALUE"""),0.9791666666666666)</f>
        <v>0.9791666667</v>
      </c>
      <c r="N2750" s="82">
        <f>IFERROR(__xludf.DUMMYFUNCTION("""COMPUTED_VALUE"""),2.0)</f>
        <v>2</v>
      </c>
      <c r="O2750" s="82">
        <f>IFERROR(__xludf.DUMMYFUNCTION("""COMPUTED_VALUE"""),320.0138888888889)</f>
        <v>320.0138889</v>
      </c>
      <c r="P2750" s="82">
        <f>IFERROR(__xludf.DUMMYFUNCTION("""COMPUTED_VALUE"""),0.7152777777777778)</f>
        <v>0.7152777778</v>
      </c>
      <c r="Q2750" s="82">
        <f>IFERROR(__xludf.DUMMYFUNCTION("""COMPUTED_VALUE"""),0.4861111111111111)</f>
        <v>0.4861111111</v>
      </c>
      <c r="R2750" s="82">
        <f>IFERROR(__xludf.DUMMYFUNCTION("""COMPUTED_VALUE"""),1.1388888888888886)</f>
        <v>1.138888889</v>
      </c>
      <c r="S2750" s="82">
        <f>IFERROR(__xludf.DUMMYFUNCTION("""COMPUTED_VALUE"""),2.2708333333333335)</f>
        <v>2.270833333</v>
      </c>
      <c r="T2750" s="82">
        <f>IFERROR(__xludf.DUMMYFUNCTION("""COMPUTED_VALUE"""),328.91177524377713)</f>
        <v>328.9117752</v>
      </c>
      <c r="U2750" s="82">
        <f>IFERROR(__xludf.DUMMYFUNCTION("""COMPUTED_VALUE"""),0.7433972776344633)</f>
        <v>0.7433972776</v>
      </c>
      <c r="V2750" s="82">
        <f>IFERROR(__xludf.DUMMYFUNCTION("""COMPUTED_VALUE"""),0.5183885582749898)</f>
        <v>0.5183885583</v>
      </c>
      <c r="W2750" s="82">
        <f>IFERROR(__xludf.DUMMYFUNCTION("""COMPUTED_VALUE"""),1.2151656027169129)</f>
        <v>1.215165603</v>
      </c>
      <c r="X2750" s="82">
        <f>IFERROR(__xludf.DUMMYFUNCTION("""COMPUTED_VALUE"""),2.391674462084739)</f>
        <v>2.391674462</v>
      </c>
      <c r="Y2750" s="82">
        <f>IFERROR(__xludf.DUMMYFUNCTION("""COMPUTED_VALUE"""),338.21950742330733)</f>
        <v>338.2195074</v>
      </c>
      <c r="Z2750" s="82">
        <f>IFERROR(__xludf.DUMMYFUNCTION("""COMPUTED_VALUE"""),0.7997232476731221)</f>
        <v>0.7997232477</v>
      </c>
      <c r="AA2750" s="82">
        <f>IFERROR(__xludf.DUMMYFUNCTION("""COMPUTED_VALUE"""),0.5333226738158519)</f>
        <v>0.5333226738</v>
      </c>
      <c r="AB2750" s="82">
        <f>IFERROR(__xludf.DUMMYFUNCTION("""COMPUTED_VALUE"""),1.195595667356877)</f>
        <v>1.195595667</v>
      </c>
      <c r="AC2750" s="82">
        <f>IFERROR(__xludf.DUMMYFUNCTION("""COMPUTED_VALUE"""),2.4953686947637252)</f>
        <v>2.495368695</v>
      </c>
      <c r="AD2750" s="82">
        <f>IFERROR(__xludf.DUMMYFUNCTION("""COMPUTED_VALUE"""),0.8906937458901885)</f>
        <v>0.8906937459</v>
      </c>
      <c r="AE2750" s="82">
        <f>IFERROR(__xludf.DUMMYFUNCTION("""COMPUTED_VALUE"""),0.8336217167706486)</f>
        <v>0.8336217168</v>
      </c>
      <c r="AF2750" s="82">
        <f>IFERROR(__xludf.DUMMYFUNCTION("""COMPUTED_VALUE"""),1.0547085800335252)</f>
        <v>1.05470858</v>
      </c>
      <c r="AG2750" s="82">
        <f>IFERROR(__xludf.DUMMYFUNCTION("""COMPUTED_VALUE"""),0.8189780988679278)</f>
        <v>0.8189780989</v>
      </c>
      <c r="AH2750" s="82">
        <f>IFERROR(__xludf.DUMMYFUNCTION("""COMPUTED_VALUE"""),0.8014847682415807)</f>
        <v>0.8014847682</v>
      </c>
      <c r="AI2750" s="82">
        <f>IFERROR(__xludf.DUMMYFUNCTION("""COMPUTED_VALUE"""),0.9729474983122953)</f>
        <v>0.9729474983</v>
      </c>
      <c r="AJ2750" s="82">
        <f>IFERROR(__xludf.DUMMYFUNCTION("""COMPUTED_VALUE"""),0.9621743303309322)</f>
        <v>0.9621743303</v>
      </c>
      <c r="AK2750" s="82">
        <f>IFERROR(__xludf.DUMMYFUNCTION("""COMPUTED_VALUE"""),0.9377350316695138)</f>
        <v>0.9377350317</v>
      </c>
      <c r="AL2750" s="82">
        <f>IFERROR(__xludf.DUMMYFUNCTION("""COMPUTED_VALUE"""),0.9372293672093072)</f>
        <v>0.9372293672</v>
      </c>
      <c r="AM2750" s="82">
        <f>IFERROR(__xludf.DUMMYFUNCTION("""COMPUTED_VALUE"""),0.9494742571921463)</f>
        <v>0.9494742572</v>
      </c>
      <c r="AN2750" s="82">
        <f>IFERROR(__xludf.DUMMYFUNCTION("""COMPUTED_VALUE"""),0.9369224359341218)</f>
        <v>0.9369224359</v>
      </c>
      <c r="AO2750" s="82">
        <f>IFERROR(__xludf.DUMMYFUNCTION("""COMPUTED_VALUE"""),0.9083813553406686)</f>
        <v>0.9083813553</v>
      </c>
      <c r="AP2750" s="82">
        <f>IFERROR(__xludf.DUMMYFUNCTION("""COMPUTED_VALUE"""),1.1251930008230948)</f>
        <v>1.125193001</v>
      </c>
      <c r="AQ2750" s="82">
        <f>IFERROR(__xludf.DUMMYFUNCTION("""COMPUTED_VALUE"""),0.8410116614672364)</f>
        <v>0.8410116615</v>
      </c>
      <c r="AR2750" s="82">
        <f>IFERROR(__xludf.DUMMYFUNCTION("""COMPUTED_VALUE"""),0.8641958522248339)</f>
        <v>0.8641958522</v>
      </c>
      <c r="AS2750" s="82">
        <f>IFERROR(__xludf.DUMMYFUNCTION("""COMPUTED_VALUE"""),132.0)</f>
        <v>132</v>
      </c>
      <c r="AT2750" s="82">
        <f>IFERROR(__xludf.DUMMYFUNCTION("""COMPUTED_VALUE"""),0.5966064030549648)</f>
        <v>0.5966064031</v>
      </c>
      <c r="AU2750" s="82">
        <f>IFERROR(__xludf.DUMMYFUNCTION("""COMPUTED_VALUE"""),1.9436133761928938)</f>
        <v>1.943613376</v>
      </c>
      <c r="AV2750" s="82">
        <f>IFERROR(__xludf.DUMMYFUNCTION("""COMPUTED_VALUE"""),45.40473452408805)</f>
        <v>45.40473452</v>
      </c>
      <c r="AW2750" s="82">
        <f t="shared" si="1"/>
        <v>-2.341476138</v>
      </c>
      <c r="AX2750" s="83">
        <f t="array" ref="AX2750">IFERROR(DGET('SBV Import'!A:G,"SBV",{"RSC ID","Tier";B2750,A2750}))</f>
        <v>40.53397222</v>
      </c>
      <c r="AY2750" s="82">
        <f t="shared" si="2"/>
        <v>-2.837062981</v>
      </c>
      <c r="AZ2750" s="82">
        <v>0.49558684300072553</v>
      </c>
      <c r="BA2750" s="84">
        <v>2700.0</v>
      </c>
      <c r="BB2750" s="84" t="b">
        <f>IFERROR(__xludf.DUMMYFUNCTION("iferror(if(A2750="""",,E2750&gt;=FILTER(Constants!$F$2:$F$10,Constants!$A$2:$A$10=A2750)))"),TRUE)</f>
        <v>1</v>
      </c>
    </row>
    <row r="2751">
      <c r="A2751" s="89" t="str">
        <f>IFERROR(__xludf.DUMMYFUNCTION("""COMPUTED_VALUE"""),"Prospect")</f>
        <v>Prospect</v>
      </c>
      <c r="B2751" s="87" t="str">
        <f>IFERROR(__xludf.DUMMYFUNCTION("""COMPUTED_VALUE"""),"RSC007502")</f>
        <v>RSC007502</v>
      </c>
      <c r="C2751" s="73" t="str">
        <f>IFERROR(__xludf.DUMMYFUNCTION("""COMPUTED_VALUE"""),"Cr1m5on_RL")</f>
        <v>Cr1m5on_RL</v>
      </c>
      <c r="D2751" s="73"/>
      <c r="E2751" s="82">
        <f>IFERROR(__xludf.DUMMYFUNCTION("""COMPUTED_VALUE"""),26.0)</f>
        <v>26</v>
      </c>
      <c r="F2751" s="82">
        <f>IFERROR(__xludf.DUMMYFUNCTION("""COMPUTED_VALUE"""),10.0)</f>
        <v>10</v>
      </c>
      <c r="G2751" s="86">
        <f>IFERROR(__xludf.DUMMYFUNCTION("""COMPUTED_VALUE"""),16.0)</f>
        <v>16</v>
      </c>
      <c r="H2751" s="86">
        <f>IFERROR(__xludf.DUMMYFUNCTION("""COMPUTED_VALUE"""),0.38461538461538464)</f>
        <v>0.3846153846</v>
      </c>
      <c r="I2751" s="86">
        <f>IFERROR(__xludf.DUMMYFUNCTION("""COMPUTED_VALUE"""),0.2205882352941176)</f>
        <v>0.2205882353</v>
      </c>
      <c r="J2751" s="82">
        <f>IFERROR(__xludf.DUMMYFUNCTION("""COMPUTED_VALUE"""),337.96153846153845)</f>
        <v>337.9615385</v>
      </c>
      <c r="K2751" s="82">
        <f>IFERROR(__xludf.DUMMYFUNCTION("""COMPUTED_VALUE"""),0.5769230769230769)</f>
        <v>0.5769230769</v>
      </c>
      <c r="L2751" s="82">
        <f>IFERROR(__xludf.DUMMYFUNCTION("""COMPUTED_VALUE"""),0.46153846153846156)</f>
        <v>0.4615384615</v>
      </c>
      <c r="M2751" s="82">
        <f>IFERROR(__xludf.DUMMYFUNCTION("""COMPUTED_VALUE"""),1.5384615384615385)</f>
        <v>1.538461538</v>
      </c>
      <c r="N2751" s="82">
        <f>IFERROR(__xludf.DUMMYFUNCTION("""COMPUTED_VALUE"""),2.6153846153846154)</f>
        <v>2.615384615</v>
      </c>
      <c r="O2751" s="82">
        <f>IFERROR(__xludf.DUMMYFUNCTION("""COMPUTED_VALUE"""),355.38461538461536)</f>
        <v>355.3846154</v>
      </c>
      <c r="P2751" s="82">
        <f>IFERROR(__xludf.DUMMYFUNCTION("""COMPUTED_VALUE"""),0.8076923076923076)</f>
        <v>0.8076923077</v>
      </c>
      <c r="Q2751" s="82">
        <f>IFERROR(__xludf.DUMMYFUNCTION("""COMPUTED_VALUE"""),0.5769230769230769)</f>
        <v>0.5769230769</v>
      </c>
      <c r="R2751" s="82">
        <f>IFERROR(__xludf.DUMMYFUNCTION("""COMPUTED_VALUE"""),1.3846153846153848)</f>
        <v>1.384615385</v>
      </c>
      <c r="S2751" s="82">
        <f>IFERROR(__xludf.DUMMYFUNCTION("""COMPUTED_VALUE"""),2.7435897435897427)</f>
        <v>2.743589744</v>
      </c>
      <c r="T2751" s="82">
        <f>IFERROR(__xludf.DUMMYFUNCTION("""COMPUTED_VALUE"""),331.2019845178777)</f>
        <v>331.2019845</v>
      </c>
      <c r="U2751" s="82">
        <f>IFERROR(__xludf.DUMMYFUNCTION("""COMPUTED_VALUE"""),0.7741104817801063)</f>
        <v>0.7741104818</v>
      </c>
      <c r="V2751" s="82">
        <f>IFERROR(__xludf.DUMMYFUNCTION("""COMPUTED_VALUE"""),0.5335261772880577)</f>
        <v>0.5335261773</v>
      </c>
      <c r="W2751" s="82">
        <f>IFERROR(__xludf.DUMMYFUNCTION("""COMPUTED_VALUE"""),1.1648044652173366)</f>
        <v>1.164804465</v>
      </c>
      <c r="X2751" s="82">
        <f>IFERROR(__xludf.DUMMYFUNCTION("""COMPUTED_VALUE"""),2.4223077318207578)</f>
        <v>2.422307732</v>
      </c>
      <c r="Y2751" s="82">
        <f>IFERROR(__xludf.DUMMYFUNCTION("""COMPUTED_VALUE"""),342.58857863842)</f>
        <v>342.5885786</v>
      </c>
      <c r="Z2751" s="82">
        <f>IFERROR(__xludf.DUMMYFUNCTION("""COMPUTED_VALUE"""),0.8170290471186505)</f>
        <v>0.8170290471</v>
      </c>
      <c r="AA2751" s="82">
        <f>IFERROR(__xludf.DUMMYFUNCTION("""COMPUTED_VALUE"""),0.5522937224243694)</f>
        <v>0.5522937224</v>
      </c>
      <c r="AB2751" s="82">
        <f>IFERROR(__xludf.DUMMYFUNCTION("""COMPUTED_VALUE"""),1.208241489737903)</f>
        <v>1.20824149</v>
      </c>
      <c r="AC2751" s="82">
        <f>IFERROR(__xludf.DUMMYFUNCTION("""COMPUTED_VALUE"""),2.4251050417665696)</f>
        <v>2.425105042</v>
      </c>
      <c r="AD2751" s="82">
        <f>IFERROR(__xludf.DUMMYFUNCTION("""COMPUTED_VALUE"""),0.9864938866459845)</f>
        <v>0.9864938866</v>
      </c>
      <c r="AE2751" s="82">
        <f>IFERROR(__xludf.DUMMYFUNCTION("""COMPUTED_VALUE"""),0.7061230918994426)</f>
        <v>0.7061230919</v>
      </c>
      <c r="AF2751" s="82">
        <f>IFERROR(__xludf.DUMMYFUNCTION("""COMPUTED_VALUE"""),0.8356757333986613)</f>
        <v>0.8356757334</v>
      </c>
      <c r="AG2751" s="82">
        <f>IFERROR(__xludf.DUMMYFUNCTION("""COMPUTED_VALUE"""),1.2733063311666846)</f>
        <v>1.273306331</v>
      </c>
      <c r="AH2751" s="82">
        <f>IFERROR(__xludf.DUMMYFUNCTION("""COMPUTED_VALUE"""),1.0784624048612081)</f>
        <v>1.078462405</v>
      </c>
      <c r="AI2751" s="82">
        <f>IFERROR(__xludf.DUMMYFUNCTION("""COMPUTED_VALUE"""),1.073014752317803)</f>
        <v>1.073014752</v>
      </c>
      <c r="AJ2751" s="82">
        <f>IFERROR(__xludf.DUMMYFUNCTION("""COMPUTED_VALUE"""),1.0433811796928238)</f>
        <v>1.04338118</v>
      </c>
      <c r="AK2751" s="82">
        <f>IFERROR(__xludf.DUMMYFUNCTION("""COMPUTED_VALUE"""),1.081339775783089)</f>
        <v>1.081339776</v>
      </c>
      <c r="AL2751" s="82">
        <f>IFERROR(__xludf.DUMMYFUNCTION("""COMPUTED_VALUE"""),1.188710574145193)</f>
        <v>1.188710574</v>
      </c>
      <c r="AM2751" s="82">
        <f>IFERROR(__xludf.DUMMYFUNCTION("""COMPUTED_VALUE"""),1.1326346803704785)</f>
        <v>1.13263468</v>
      </c>
      <c r="AN2751" s="82">
        <f>IFERROR(__xludf.DUMMYFUNCTION("""COMPUTED_VALUE"""),1.0510995779831636)</f>
        <v>1.051099578</v>
      </c>
      <c r="AO2751" s="82">
        <f>IFERROR(__xludf.DUMMYFUNCTION("""COMPUTED_VALUE"""),0.78609924981404)</f>
        <v>0.7860992498</v>
      </c>
      <c r="AP2751" s="82">
        <f>IFERROR(__xludf.DUMMYFUNCTION("""COMPUTED_VALUE"""),0.9232352827266419)</f>
        <v>0.9232352827</v>
      </c>
      <c r="AQ2751" s="82">
        <f>IFERROR(__xludf.DUMMYFUNCTION("""COMPUTED_VALUE"""),1.3213931178535958)</f>
        <v>1.321393118</v>
      </c>
      <c r="AR2751" s="82">
        <f>IFERROR(__xludf.DUMMYFUNCTION("""COMPUTED_VALUE"""),1.1301022682940136)</f>
        <v>1.130102268</v>
      </c>
      <c r="AS2751" s="82">
        <f>IFERROR(__xludf.DUMMYFUNCTION("""COMPUTED_VALUE"""),47.0)</f>
        <v>47</v>
      </c>
      <c r="AT2751" s="82">
        <f>IFERROR(__xludf.DUMMYFUNCTION("""COMPUTED_VALUE"""),0.39097117236321244)</f>
        <v>0.3909711724</v>
      </c>
      <c r="AU2751" s="82">
        <f>IFERROR(__xludf.DUMMYFUNCTION("""COMPUTED_VALUE"""),1.8960507953404349)</f>
        <v>1.896050795</v>
      </c>
      <c r="AV2751" s="82">
        <f>IFERROR(__xludf.DUMMYFUNCTION("""COMPUTED_VALUE"""),44.11779798459838)</f>
        <v>44.11779798</v>
      </c>
      <c r="AW2751" s="82">
        <f t="shared" si="1"/>
        <v>-2.457047294</v>
      </c>
      <c r="AX2751" s="83">
        <f t="array" ref="AX2751">IFERROR(DGET('SBV Import'!A:G,"SBV",{"RSC ID","Tier";B2751,A2751}))</f>
        <v>42.5103145</v>
      </c>
      <c r="AY2751" s="82">
        <f t="shared" si="2"/>
        <v>-2.61611673</v>
      </c>
      <c r="AZ2751" s="82">
        <v>0.1590694355248079</v>
      </c>
      <c r="BA2751" s="84">
        <v>2700.0</v>
      </c>
      <c r="BB2751" s="84" t="b">
        <f>IFERROR(__xludf.DUMMYFUNCTION("iferror(if(A2751="""",,E2751&gt;=FILTER(Constants!$F$2:$F$10,Constants!$A$2:$A$10=A2751)))"),TRUE)</f>
        <v>1</v>
      </c>
    </row>
    <row r="2752">
      <c r="A2752" s="89" t="str">
        <f>IFERROR(__xludf.DUMMYFUNCTION("""COMPUTED_VALUE"""),"Prospect")</f>
        <v>Prospect</v>
      </c>
      <c r="B2752" s="87" t="str">
        <f>IFERROR(__xludf.DUMMYFUNCTION("""COMPUTED_VALUE"""),"RSC005608")</f>
        <v>RSC005608</v>
      </c>
      <c r="C2752" s="73" t="str">
        <f>IFERROR(__xludf.DUMMYFUNCTION("""COMPUTED_VALUE"""),"wolverine36535")</f>
        <v>wolverine36535</v>
      </c>
      <c r="D2752" s="73" t="str">
        <f>IFERROR(__xludf.DUMMYFUNCTION("""COMPUTED_VALUE"""),"Prism Proteges")</f>
        <v>Prism Proteges</v>
      </c>
      <c r="E2752" s="82">
        <f>IFERROR(__xludf.DUMMYFUNCTION("""COMPUTED_VALUE"""),34.0)</f>
        <v>34</v>
      </c>
      <c r="F2752" s="82">
        <f>IFERROR(__xludf.DUMMYFUNCTION("""COMPUTED_VALUE"""),14.0)</f>
        <v>14</v>
      </c>
      <c r="G2752" s="86">
        <f>IFERROR(__xludf.DUMMYFUNCTION("""COMPUTED_VALUE"""),20.0)</f>
        <v>20</v>
      </c>
      <c r="H2752" s="86">
        <f>IFERROR(__xludf.DUMMYFUNCTION("""COMPUTED_VALUE"""),0.4117647058823529)</f>
        <v>0.4117647059</v>
      </c>
      <c r="I2752" s="86">
        <f>IFERROR(__xludf.DUMMYFUNCTION("""COMPUTED_VALUE"""),0.30434782608695654)</f>
        <v>0.3043478261</v>
      </c>
      <c r="J2752" s="82">
        <f>IFERROR(__xludf.DUMMYFUNCTION("""COMPUTED_VALUE"""),300.4117647058824)</f>
        <v>300.4117647</v>
      </c>
      <c r="K2752" s="82">
        <f>IFERROR(__xludf.DUMMYFUNCTION("""COMPUTED_VALUE"""),0.6176470588235294)</f>
        <v>0.6176470588</v>
      </c>
      <c r="L2752" s="82">
        <f>IFERROR(__xludf.DUMMYFUNCTION("""COMPUTED_VALUE"""),0.47058823529411764)</f>
        <v>0.4705882353</v>
      </c>
      <c r="M2752" s="82">
        <f>IFERROR(__xludf.DUMMYFUNCTION("""COMPUTED_VALUE"""),1.1176470588235294)</f>
        <v>1.117647059</v>
      </c>
      <c r="N2752" s="82">
        <f>IFERROR(__xludf.DUMMYFUNCTION("""COMPUTED_VALUE"""),2.0294117647058822)</f>
        <v>2.029411765</v>
      </c>
      <c r="O2752" s="82">
        <f>IFERROR(__xludf.DUMMYFUNCTION("""COMPUTED_VALUE"""),327.66666666666674)</f>
        <v>327.6666667</v>
      </c>
      <c r="P2752" s="82">
        <f>IFERROR(__xludf.DUMMYFUNCTION("""COMPUTED_VALUE"""),0.784313725490196)</f>
        <v>0.7843137255</v>
      </c>
      <c r="Q2752" s="82">
        <f>IFERROR(__xludf.DUMMYFUNCTION("""COMPUTED_VALUE"""),0.45098039215686275)</f>
        <v>0.4509803922</v>
      </c>
      <c r="R2752" s="82">
        <f>IFERROR(__xludf.DUMMYFUNCTION("""COMPUTED_VALUE"""),1.3333333333333333)</f>
        <v>1.333333333</v>
      </c>
      <c r="S2752" s="82">
        <f>IFERROR(__xludf.DUMMYFUNCTION("""COMPUTED_VALUE"""),2.2941176470588234)</f>
        <v>2.294117647</v>
      </c>
      <c r="T2752" s="82">
        <f>IFERROR(__xludf.DUMMYFUNCTION("""COMPUTED_VALUE"""),332.3163122508447)</f>
        <v>332.3163123</v>
      </c>
      <c r="U2752" s="82">
        <f>IFERROR(__xludf.DUMMYFUNCTION("""COMPUTED_VALUE"""),0.7561454535477453)</f>
        <v>0.7561454535</v>
      </c>
      <c r="V2752" s="82">
        <f>IFERROR(__xludf.DUMMYFUNCTION("""COMPUTED_VALUE"""),0.4978066167627225)</f>
        <v>0.4978066168</v>
      </c>
      <c r="W2752" s="82">
        <f>IFERROR(__xludf.DUMMYFUNCTION("""COMPUTED_VALUE"""),1.2688267738263859)</f>
        <v>1.268826774</v>
      </c>
      <c r="X2752" s="82">
        <f>IFERROR(__xludf.DUMMYFUNCTION("""COMPUTED_VALUE"""),2.3122238248196014)</f>
        <v>2.312223825</v>
      </c>
      <c r="Y2752" s="82">
        <f>IFERROR(__xludf.DUMMYFUNCTION("""COMPUTED_VALUE"""),334.81477847873583)</f>
        <v>334.8147785</v>
      </c>
      <c r="Z2752" s="82">
        <f>IFERROR(__xludf.DUMMYFUNCTION("""COMPUTED_VALUE"""),0.7943458470678785)</f>
        <v>0.7943458471</v>
      </c>
      <c r="AA2752" s="82">
        <f>IFERROR(__xludf.DUMMYFUNCTION("""COMPUTED_VALUE"""),0.5301404520097326)</f>
        <v>0.530140452</v>
      </c>
      <c r="AB2752" s="82">
        <f>IFERROR(__xludf.DUMMYFUNCTION("""COMPUTED_VALUE"""),1.1555622163929489)</f>
        <v>1.155562216</v>
      </c>
      <c r="AC2752" s="82">
        <f>IFERROR(__xludf.DUMMYFUNCTION("""COMPUTED_VALUE"""),2.54670207586705)</f>
        <v>2.546702076</v>
      </c>
      <c r="AD2752" s="82">
        <f>IFERROR(__xludf.DUMMYFUNCTION("""COMPUTED_VALUE"""),0.8972476247041216)</f>
        <v>0.8972476247</v>
      </c>
      <c r="AE2752" s="82">
        <f>IFERROR(__xludf.DUMMYFUNCTION("""COMPUTED_VALUE"""),0.7775543374506372)</f>
        <v>0.7775543375</v>
      </c>
      <c r="AF2752" s="82">
        <f>IFERROR(__xludf.DUMMYFUNCTION("""COMPUTED_VALUE"""),0.8876670955972972)</f>
        <v>0.8876670956</v>
      </c>
      <c r="AG2752" s="82">
        <f>IFERROR(__xludf.DUMMYFUNCTION("""COMPUTED_VALUE"""),0.9671889950782828)</f>
        <v>0.9671889951</v>
      </c>
      <c r="AH2752" s="82">
        <f>IFERROR(__xludf.DUMMYFUNCTION("""COMPUTED_VALUE"""),0.796878356497569)</f>
        <v>0.7968783565</v>
      </c>
      <c r="AI2752" s="82">
        <f>IFERROR(__xludf.DUMMYFUNCTION("""COMPUTED_VALUE"""),0.9860083739113347)</f>
        <v>0.9860083739</v>
      </c>
      <c r="AJ2752" s="82">
        <f>IFERROR(__xludf.DUMMYFUNCTION("""COMPUTED_VALUE"""),1.0372524516417951)</f>
        <v>1.037252452</v>
      </c>
      <c r="AK2752" s="82">
        <f>IFERROR(__xludf.DUMMYFUNCTION("""COMPUTED_VALUE"""),0.9059349092015399)</f>
        <v>0.9059349092</v>
      </c>
      <c r="AL2752" s="82">
        <f>IFERROR(__xludf.DUMMYFUNCTION("""COMPUTED_VALUE"""),1.0508395321076145)</f>
        <v>1.050839532</v>
      </c>
      <c r="AM2752" s="82">
        <f>IFERROR(__xludf.DUMMYFUNCTION("""COMPUTED_VALUE"""),0.9921693663189416)</f>
        <v>0.9921693663</v>
      </c>
      <c r="AN2752" s="82">
        <f>IFERROR(__xludf.DUMMYFUNCTION("""COMPUTED_VALUE"""),0.934315426959348)</f>
        <v>0.934315427</v>
      </c>
      <c r="AO2752" s="82">
        <f>IFERROR(__xludf.DUMMYFUNCTION("""COMPUTED_VALUE"""),0.841588608624443)</f>
        <v>0.8415886086</v>
      </c>
      <c r="AP2752" s="82">
        <f>IFERROR(__xludf.DUMMYFUNCTION("""COMPUTED_VALUE"""),0.941337935329125)</f>
        <v>0.9413379353</v>
      </c>
      <c r="AQ2752" s="82">
        <f>IFERROR(__xludf.DUMMYFUNCTION("""COMPUTED_VALUE"""),0.9599532356171709)</f>
        <v>0.9599532356</v>
      </c>
      <c r="AR2752" s="82">
        <f>IFERROR(__xludf.DUMMYFUNCTION("""COMPUTED_VALUE"""),0.876904614757552)</f>
        <v>0.8769046148</v>
      </c>
      <c r="AS2752" s="82">
        <f>IFERROR(__xludf.DUMMYFUNCTION("""COMPUTED_VALUE"""),68.0)</f>
        <v>68</v>
      </c>
      <c r="AT2752" s="82">
        <f>IFERROR(__xludf.DUMMYFUNCTION("""COMPUTED_VALUE"""),0.4383463375308527)</f>
        <v>0.4383463375</v>
      </c>
      <c r="AU2752" s="82">
        <f>IFERROR(__xludf.DUMMYFUNCTION("""COMPUTED_VALUE"""),1.7542516658300467)</f>
        <v>1.754251666</v>
      </c>
      <c r="AV2752" s="82">
        <f>IFERROR(__xludf.DUMMYFUNCTION("""COMPUTED_VALUE"""),40.281032237995475)</f>
        <v>40.28103224</v>
      </c>
      <c r="AW2752" s="82">
        <f t="shared" si="1"/>
        <v>-2.867569968</v>
      </c>
      <c r="AX2752" s="83">
        <f t="array" ref="AX2752">IFERROR(DGET('SBV Import'!A:G,"SBV",{"RSC ID","Tier";B2752,A2752}))</f>
        <v>37.29440241</v>
      </c>
      <c r="AY2752" s="82">
        <f t="shared" si="2"/>
        <v>-3.271735661</v>
      </c>
      <c r="AZ2752" s="82">
        <v>0.40416569320574336</v>
      </c>
      <c r="BA2752" s="84">
        <v>2700.0</v>
      </c>
      <c r="BB2752" s="84" t="b">
        <f>IFERROR(__xludf.DUMMYFUNCTION("iferror(if(A2752="""",,E2752&gt;=FILTER(Constants!$F$2:$F$10,Constants!$A$2:$A$10=A2752)))"),TRUE)</f>
        <v>1</v>
      </c>
    </row>
    <row r="2753">
      <c r="A2753" s="89" t="str">
        <f>IFERROR(__xludf.DUMMYFUNCTION("""COMPUTED_VALUE"""),"Prospect")</f>
        <v>Prospect</v>
      </c>
      <c r="B2753" s="87" t="str">
        <f>IFERROR(__xludf.DUMMYFUNCTION("""COMPUTED_VALUE"""),"RSC007102")</f>
        <v>RSC007102</v>
      </c>
      <c r="C2753" s="73" t="str">
        <f>IFERROR(__xludf.DUMMYFUNCTION("""COMPUTED_VALUE"""),"tepochtli_13")</f>
        <v>tepochtli_13</v>
      </c>
      <c r="D2753" s="73" t="str">
        <f>IFERROR(__xludf.DUMMYFUNCTION("""COMPUTED_VALUE"""),"Poppy")</f>
        <v>Poppy</v>
      </c>
      <c r="E2753" s="82">
        <f>IFERROR(__xludf.DUMMYFUNCTION("""COMPUTED_VALUE"""),37.0)</f>
        <v>37</v>
      </c>
      <c r="F2753" s="82">
        <f>IFERROR(__xludf.DUMMYFUNCTION("""COMPUTED_VALUE"""),18.0)</f>
        <v>18</v>
      </c>
      <c r="G2753" s="86">
        <f>IFERROR(__xludf.DUMMYFUNCTION("""COMPUTED_VALUE"""),19.0)</f>
        <v>19</v>
      </c>
      <c r="H2753" s="86">
        <f>IFERROR(__xludf.DUMMYFUNCTION("""COMPUTED_VALUE"""),0.4864864864864865)</f>
        <v>0.4864864865</v>
      </c>
      <c r="I2753" s="86">
        <f>IFERROR(__xludf.DUMMYFUNCTION("""COMPUTED_VALUE"""),0.2784810126582279)</f>
        <v>0.2784810127</v>
      </c>
      <c r="J2753" s="82">
        <f>IFERROR(__xludf.DUMMYFUNCTION("""COMPUTED_VALUE"""),286.5945945945946)</f>
        <v>286.5945946</v>
      </c>
      <c r="K2753" s="82">
        <f>IFERROR(__xludf.DUMMYFUNCTION("""COMPUTED_VALUE"""),0.5945945945945946)</f>
        <v>0.5945945946</v>
      </c>
      <c r="L2753" s="82">
        <f>IFERROR(__xludf.DUMMYFUNCTION("""COMPUTED_VALUE"""),0.4864864864864865)</f>
        <v>0.4864864865</v>
      </c>
      <c r="M2753" s="82">
        <f>IFERROR(__xludf.DUMMYFUNCTION("""COMPUTED_VALUE"""),1.0810810810810811)</f>
        <v>1.081081081</v>
      </c>
      <c r="N2753" s="82">
        <f>IFERROR(__xludf.DUMMYFUNCTION("""COMPUTED_VALUE"""),2.135135135135135)</f>
        <v>2.135135135</v>
      </c>
      <c r="O2753" s="82">
        <f>IFERROR(__xludf.DUMMYFUNCTION("""COMPUTED_VALUE"""),353.29729729729735)</f>
        <v>353.2972973</v>
      </c>
      <c r="P2753" s="82">
        <f>IFERROR(__xludf.DUMMYFUNCTION("""COMPUTED_VALUE"""),0.837837837837838)</f>
        <v>0.8378378378</v>
      </c>
      <c r="Q2753" s="82">
        <f>IFERROR(__xludf.DUMMYFUNCTION("""COMPUTED_VALUE"""),0.5855855855855855)</f>
        <v>0.5855855856</v>
      </c>
      <c r="R2753" s="82">
        <f>IFERROR(__xludf.DUMMYFUNCTION("""COMPUTED_VALUE"""),1.234234234234234)</f>
        <v>1.234234234</v>
      </c>
      <c r="S2753" s="82">
        <f>IFERROR(__xludf.DUMMYFUNCTION("""COMPUTED_VALUE"""),2.7207207207207196)</f>
        <v>2.720720721</v>
      </c>
      <c r="T2753" s="82">
        <f>IFERROR(__xludf.DUMMYFUNCTION("""COMPUTED_VALUE"""),342.59218094684456)</f>
        <v>342.5921809</v>
      </c>
      <c r="U2753" s="82">
        <f>IFERROR(__xludf.DUMMYFUNCTION("""COMPUTED_VALUE"""),0.8271795075035339)</f>
        <v>0.8271795075</v>
      </c>
      <c r="V2753" s="82">
        <f>IFERROR(__xludf.DUMMYFUNCTION("""COMPUTED_VALUE"""),0.5387024699733319)</f>
        <v>0.53870247</v>
      </c>
      <c r="W2753" s="82">
        <f>IFERROR(__xludf.DUMMYFUNCTION("""COMPUTED_VALUE"""),1.2011623913132017)</f>
        <v>1.201162391</v>
      </c>
      <c r="X2753" s="82">
        <f>IFERROR(__xludf.DUMMYFUNCTION("""COMPUTED_VALUE"""),2.4888819124185404)</f>
        <v>2.488881912</v>
      </c>
      <c r="Y2753" s="82">
        <f>IFERROR(__xludf.DUMMYFUNCTION("""COMPUTED_VALUE"""),327.2093725669574)</f>
        <v>327.2093726</v>
      </c>
      <c r="Z2753" s="82">
        <f>IFERROR(__xludf.DUMMYFUNCTION("""COMPUTED_VALUE"""),0.7575421336309595)</f>
        <v>0.7575421336</v>
      </c>
      <c r="AA2753" s="82">
        <f>IFERROR(__xludf.DUMMYFUNCTION("""COMPUTED_VALUE"""),0.4982904607996397)</f>
        <v>0.4982904608</v>
      </c>
      <c r="AB2753" s="82">
        <f>IFERROR(__xludf.DUMMYFUNCTION("""COMPUTED_VALUE"""),1.1839158186848244)</f>
        <v>1.183915819</v>
      </c>
      <c r="AC2753" s="82">
        <f>IFERROR(__xludf.DUMMYFUNCTION("""COMPUTED_VALUE"""),2.382055588266192)</f>
        <v>2.382055588</v>
      </c>
      <c r="AD2753" s="82">
        <f>IFERROR(__xludf.DUMMYFUNCTION("""COMPUTED_VALUE"""),0.8758752609873613)</f>
        <v>0.875875261</v>
      </c>
      <c r="AE2753" s="82">
        <f>IFERROR(__xludf.DUMMYFUNCTION("""COMPUTED_VALUE"""),0.7848997015448574)</f>
        <v>0.7848997015</v>
      </c>
      <c r="AF2753" s="82">
        <f>IFERROR(__xludf.DUMMYFUNCTION("""COMPUTED_VALUE"""),0.9763110570204163)</f>
        <v>0.976311057</v>
      </c>
      <c r="AG2753" s="82">
        <f>IFERROR(__xludf.DUMMYFUNCTION("""COMPUTED_VALUE"""),0.913140160828344)</f>
        <v>0.9131401608</v>
      </c>
      <c r="AH2753" s="82">
        <f>IFERROR(__xludf.DUMMYFUNCTION("""COMPUTED_VALUE"""),0.8963414395753959)</f>
        <v>0.8963414396</v>
      </c>
      <c r="AI2753" s="82">
        <f>IFERROR(__xludf.DUMMYFUNCTION("""COMPUTED_VALUE"""),1.0312474041902133)</f>
        <v>1.031247404</v>
      </c>
      <c r="AJ2753" s="82">
        <f>IFERROR(__xludf.DUMMYFUNCTION("""COMPUTED_VALUE"""),1.012885147948686)</f>
        <v>1.012885148</v>
      </c>
      <c r="AK2753" s="82">
        <f>IFERROR(__xludf.DUMMYFUNCTION("""COMPUTED_VALUE"""),1.0870297023412097)</f>
        <v>1.087029702</v>
      </c>
      <c r="AL2753" s="82">
        <f>IFERROR(__xludf.DUMMYFUNCTION("""COMPUTED_VALUE"""),1.0275331988082608)</f>
        <v>1.027533199</v>
      </c>
      <c r="AM2753" s="82">
        <f>IFERROR(__xludf.DUMMYFUNCTION("""COMPUTED_VALUE"""),1.093149782295976)</f>
        <v>1.093149782</v>
      </c>
      <c r="AN2753" s="82">
        <f>IFERROR(__xludf.DUMMYFUNCTION("""COMPUTED_VALUE"""),0.8913424255373267)</f>
        <v>0.8913424255</v>
      </c>
      <c r="AO2753" s="82">
        <f>IFERROR(__xludf.DUMMYFUNCTION("""COMPUTED_VALUE"""),0.8101779655741098)</f>
        <v>0.8101779656</v>
      </c>
      <c r="AP2753" s="82">
        <f>IFERROR(__xludf.DUMMYFUNCTION("""COMPUTED_VALUE"""),0.9731398926037577)</f>
        <v>0.9731398926</v>
      </c>
      <c r="AQ2753" s="82">
        <f>IFERROR(__xludf.DUMMYFUNCTION("""COMPUTED_VALUE"""),0.9285465152484726)</f>
        <v>0.9285465152</v>
      </c>
      <c r="AR2753" s="82">
        <f>IFERROR(__xludf.DUMMYFUNCTION("""COMPUTED_VALUE"""),0.922587463861647)</f>
        <v>0.9225874639</v>
      </c>
      <c r="AS2753" s="82">
        <f>IFERROR(__xludf.DUMMYFUNCTION("""COMPUTED_VALUE"""),92.0)</f>
        <v>92</v>
      </c>
      <c r="AT2753" s="82">
        <f>IFERROR(__xludf.DUMMYFUNCTION("""COMPUTED_VALUE"""),0.495710603010721)</f>
        <v>0.495710603</v>
      </c>
      <c r="AU2753" s="82">
        <f>IFERROR(__xludf.DUMMYFUNCTION("""COMPUTED_VALUE"""),1.7159777083331031)</f>
        <v>1.715977708</v>
      </c>
      <c r="AV2753" s="82">
        <f>IFERROR(__xludf.DUMMYFUNCTION("""COMPUTED_VALUE"""),39.24542497003654)</f>
        <v>39.24542497</v>
      </c>
      <c r="AW2753" s="82">
        <f t="shared" si="1"/>
        <v>-2.998219688</v>
      </c>
      <c r="AX2753" s="83">
        <f t="array" ref="AX2753">IFERROR(DGET('SBV Import'!A:G,"SBV",{"RSC ID","Tier";B2753,A2753}))</f>
        <v>22.57544126</v>
      </c>
      <c r="AY2753" s="82">
        <f t="shared" si="2"/>
        <v>-7.3354357</v>
      </c>
      <c r="AZ2753" s="82">
        <v>4.337216011555229</v>
      </c>
      <c r="BA2753" s="84">
        <v>2700.0</v>
      </c>
      <c r="BB2753" s="84" t="b">
        <f>IFERROR(__xludf.DUMMYFUNCTION("iferror(if(A2753="""",,E2753&gt;=FILTER(Constants!$F$2:$F$10,Constants!$A$2:$A$10=A2753)))"),TRUE)</f>
        <v>1</v>
      </c>
    </row>
    <row r="2754">
      <c r="A2754" s="89" t="str">
        <f>IFERROR(__xludf.DUMMYFUNCTION("""COMPUTED_VALUE"""),"Prospect")</f>
        <v>Prospect</v>
      </c>
      <c r="B2754" s="87" t="str">
        <f>IFERROR(__xludf.DUMMYFUNCTION("""COMPUTED_VALUE"""),"RSC003127")</f>
        <v>RSC003127</v>
      </c>
      <c r="C2754" s="73" t="str">
        <f>IFERROR(__xludf.DUMMYFUNCTION("""COMPUTED_VALUE"""),"Lim")</f>
        <v>Lim</v>
      </c>
      <c r="D2754" s="73"/>
      <c r="E2754" s="82">
        <f>IFERROR(__xludf.DUMMYFUNCTION("""COMPUTED_VALUE"""),26.0)</f>
        <v>26</v>
      </c>
      <c r="F2754" s="82">
        <f>IFERROR(__xludf.DUMMYFUNCTION("""COMPUTED_VALUE"""),10.0)</f>
        <v>10</v>
      </c>
      <c r="G2754" s="86">
        <f>IFERROR(__xludf.DUMMYFUNCTION("""COMPUTED_VALUE"""),16.0)</f>
        <v>16</v>
      </c>
      <c r="H2754" s="86">
        <f>IFERROR(__xludf.DUMMYFUNCTION("""COMPUTED_VALUE"""),0.38461538461538464)</f>
        <v>0.3846153846</v>
      </c>
      <c r="I2754" s="86">
        <f>IFERROR(__xludf.DUMMYFUNCTION("""COMPUTED_VALUE"""),0.25)</f>
        <v>0.25</v>
      </c>
      <c r="J2754" s="82">
        <f>IFERROR(__xludf.DUMMYFUNCTION("""COMPUTED_VALUE"""),319.5)</f>
        <v>319.5</v>
      </c>
      <c r="K2754" s="82">
        <f>IFERROR(__xludf.DUMMYFUNCTION("""COMPUTED_VALUE"""),0.5384615384615384)</f>
        <v>0.5384615385</v>
      </c>
      <c r="L2754" s="82">
        <f>IFERROR(__xludf.DUMMYFUNCTION("""COMPUTED_VALUE"""),0.5769230769230769)</f>
        <v>0.5769230769</v>
      </c>
      <c r="M2754" s="82">
        <f>IFERROR(__xludf.DUMMYFUNCTION("""COMPUTED_VALUE"""),1.3846153846153846)</f>
        <v>1.384615385</v>
      </c>
      <c r="N2754" s="82">
        <f>IFERROR(__xludf.DUMMYFUNCTION("""COMPUTED_VALUE"""),2.1538461538461537)</f>
        <v>2.153846154</v>
      </c>
      <c r="O2754" s="82">
        <f>IFERROR(__xludf.DUMMYFUNCTION("""COMPUTED_VALUE"""),338.6923076923077)</f>
        <v>338.6923077</v>
      </c>
      <c r="P2754" s="82">
        <f>IFERROR(__xludf.DUMMYFUNCTION("""COMPUTED_VALUE"""),0.8846153846153845)</f>
        <v>0.8846153846</v>
      </c>
      <c r="Q2754" s="82">
        <f>IFERROR(__xludf.DUMMYFUNCTION("""COMPUTED_VALUE"""),0.6025641025641025)</f>
        <v>0.6025641026</v>
      </c>
      <c r="R2754" s="82">
        <f>IFERROR(__xludf.DUMMYFUNCTION("""COMPUTED_VALUE"""),1.0384615384615385)</f>
        <v>1.038461538</v>
      </c>
      <c r="S2754" s="82">
        <f>IFERROR(__xludf.DUMMYFUNCTION("""COMPUTED_VALUE"""),2.7564102564102564)</f>
        <v>2.756410256</v>
      </c>
      <c r="T2754" s="82">
        <f>IFERROR(__xludf.DUMMYFUNCTION("""COMPUTED_VALUE"""),333.97492907566027)</f>
        <v>333.9749291</v>
      </c>
      <c r="U2754" s="82">
        <f>IFERROR(__xludf.DUMMYFUNCTION("""COMPUTED_VALUE"""),0.7943731717524282)</f>
        <v>0.7943731718</v>
      </c>
      <c r="V2754" s="82">
        <f>IFERROR(__xludf.DUMMYFUNCTION("""COMPUTED_VALUE"""),0.533958484938565)</f>
        <v>0.5339584849</v>
      </c>
      <c r="W2754" s="82">
        <f>IFERROR(__xludf.DUMMYFUNCTION("""COMPUTED_VALUE"""),1.1542813689466)</f>
        <v>1.154281369</v>
      </c>
      <c r="X2754" s="82">
        <f>IFERROR(__xludf.DUMMYFUNCTION("""COMPUTED_VALUE"""),2.434419314230969)</f>
        <v>2.434419314</v>
      </c>
      <c r="Y2754" s="82">
        <f>IFERROR(__xludf.DUMMYFUNCTION("""COMPUTED_VALUE"""),332.26414023906625)</f>
        <v>332.2641402</v>
      </c>
      <c r="Z2754" s="82">
        <f>IFERROR(__xludf.DUMMYFUNCTION("""COMPUTED_VALUE"""),0.8034935912759281)</f>
        <v>0.8034935913</v>
      </c>
      <c r="AA2754" s="82">
        <f>IFERROR(__xludf.DUMMYFUNCTION("""COMPUTED_VALUE"""),0.5205424469563086)</f>
        <v>0.520542447</v>
      </c>
      <c r="AB2754" s="82">
        <f>IFERROR(__xludf.DUMMYFUNCTION("""COMPUTED_VALUE"""),1.1672527597293696)</f>
        <v>1.16725276</v>
      </c>
      <c r="AC2754" s="82">
        <f>IFERROR(__xludf.DUMMYFUNCTION("""COMPUTED_VALUE"""),2.3903224388630155)</f>
        <v>2.390322439</v>
      </c>
      <c r="AD2754" s="82">
        <f>IFERROR(__xludf.DUMMYFUNCTION("""COMPUTED_VALUE"""),0.961584358065597)</f>
        <v>0.9615843581</v>
      </c>
      <c r="AE2754" s="82">
        <f>IFERROR(__xludf.DUMMYFUNCTION("""COMPUTED_VALUE"""),0.6701503836595321)</f>
        <v>0.6701503837</v>
      </c>
      <c r="AF2754" s="82">
        <f>IFERROR(__xludf.DUMMYFUNCTION("""COMPUTED_VALUE"""),1.1083113015978514)</f>
        <v>1.108311302</v>
      </c>
      <c r="AG2754" s="82">
        <f>IFERROR(__xludf.DUMMYFUNCTION("""COMPUTED_VALUE"""),1.186217272201105)</f>
        <v>1.186217272</v>
      </c>
      <c r="AH2754" s="82">
        <f>IFERROR(__xludf.DUMMYFUNCTION("""COMPUTED_VALUE"""),0.901069294597199)</f>
        <v>0.9010692946</v>
      </c>
      <c r="AI2754" s="82">
        <f>IFERROR(__xludf.DUMMYFUNCTION("""COMPUTED_VALUE"""),1.0141249483298151)</f>
        <v>1.014124948</v>
      </c>
      <c r="AJ2754" s="82">
        <f>IFERROR(__xludf.DUMMYFUNCTION("""COMPUTED_VALUE"""),1.1136017882676945)</f>
        <v>1.113601788</v>
      </c>
      <c r="AK2754" s="82">
        <f>IFERROR(__xludf.DUMMYFUNCTION("""COMPUTED_VALUE"""),1.1284849282494893)</f>
        <v>1.128484928</v>
      </c>
      <c r="AL2754" s="82">
        <f>IFERROR(__xludf.DUMMYFUNCTION("""COMPUTED_VALUE"""),0.8996606602160104)</f>
        <v>0.8996606602</v>
      </c>
      <c r="AM2754" s="82">
        <f>IFERROR(__xludf.DUMMYFUNCTION("""COMPUTED_VALUE"""),1.1322660152657407)</f>
        <v>1.132266015</v>
      </c>
      <c r="AN2754" s="82">
        <f>IFERROR(__xludf.DUMMYFUNCTION("""COMPUTED_VALUE"""),0.9936820523849027)</f>
        <v>0.9936820524</v>
      </c>
      <c r="AO2754" s="82">
        <f>IFERROR(__xludf.DUMMYFUNCTION("""COMPUTED_VALUE"""),0.7336926331597707)</f>
        <v>0.7336926332</v>
      </c>
      <c r="AP2754" s="82">
        <f>IFERROR(__xludf.DUMMYFUNCTION("""COMPUTED_VALUE"""),1.1540441034083022)</f>
        <v>1.154044103</v>
      </c>
      <c r="AQ2754" s="82">
        <f>IFERROR(__xludf.DUMMYFUNCTION("""COMPUTED_VALUE"""),1.189253806068236)</f>
        <v>1.189253806</v>
      </c>
      <c r="AR2754" s="82">
        <f>IFERROR(__xludf.DUMMYFUNCTION("""COMPUTED_VALUE"""),0.9306724562421288)</f>
        <v>0.9306724562</v>
      </c>
      <c r="AS2754" s="82">
        <f>IFERROR(__xludf.DUMMYFUNCTION("""COMPUTED_VALUE"""),54.0)</f>
        <v>54</v>
      </c>
      <c r="AT2754" s="82">
        <f>IFERROR(__xludf.DUMMYFUNCTION("""COMPUTED_VALUE"""),0.40542697312318876)</f>
        <v>0.4054269731</v>
      </c>
      <c r="AU2754" s="82">
        <f>IFERROR(__xludf.DUMMYFUNCTION("""COMPUTED_VALUE"""),1.700417833682069)</f>
        <v>1.700417834</v>
      </c>
      <c r="AV2754" s="82">
        <f>IFERROR(__xludf.DUMMYFUNCTION("""COMPUTED_VALUE"""),38.82440973328116)</f>
        <v>38.82440973</v>
      </c>
      <c r="AW2754" s="82">
        <f t="shared" si="1"/>
        <v>-3.054097166</v>
      </c>
      <c r="AX2754" s="83">
        <f t="array" ref="AX2754">IFERROR(DGET('SBV Import'!A:G,"SBV",{"RSC ID","Tier";B2754,A2754}))</f>
        <v>45.37672031</v>
      </c>
      <c r="AY2754" s="82">
        <f t="shared" si="2"/>
        <v>-2.343888228</v>
      </c>
      <c r="AZ2754" s="82">
        <v>0.7102089373508416</v>
      </c>
      <c r="BA2754" s="84">
        <v>2700.0</v>
      </c>
      <c r="BB2754" s="84" t="b">
        <f>IFERROR(__xludf.DUMMYFUNCTION("iferror(if(A2754="""",,E2754&gt;=FILTER(Constants!$F$2:$F$10,Constants!$A$2:$A$10=A2754)))"),TRUE)</f>
        <v>1</v>
      </c>
    </row>
    <row r="2755">
      <c r="A2755" s="89" t="str">
        <f>IFERROR(__xludf.DUMMYFUNCTION("""COMPUTED_VALUE"""),"Prospect")</f>
        <v>Prospect</v>
      </c>
      <c r="B2755" s="87" t="str">
        <f>IFERROR(__xludf.DUMMYFUNCTION("""COMPUTED_VALUE"""),"RSC006569")</f>
        <v>RSC006569</v>
      </c>
      <c r="C2755" s="73" t="str">
        <f>IFERROR(__xludf.DUMMYFUNCTION("""COMPUTED_VALUE"""),"mulliganisoup")</f>
        <v>mulliganisoup</v>
      </c>
      <c r="D2755" s="73" t="str">
        <f>IFERROR(__xludf.DUMMYFUNCTION("""COMPUTED_VALUE"""),"Poppy")</f>
        <v>Poppy</v>
      </c>
      <c r="E2755" s="82">
        <f>IFERROR(__xludf.DUMMYFUNCTION("""COMPUTED_VALUE"""),13.0)</f>
        <v>13</v>
      </c>
      <c r="F2755" s="82">
        <f>IFERROR(__xludf.DUMMYFUNCTION("""COMPUTED_VALUE"""),4.0)</f>
        <v>4</v>
      </c>
      <c r="G2755" s="86">
        <f>IFERROR(__xludf.DUMMYFUNCTION("""COMPUTED_VALUE"""),9.0)</f>
        <v>9</v>
      </c>
      <c r="H2755" s="86">
        <f>IFERROR(__xludf.DUMMYFUNCTION("""COMPUTED_VALUE"""),0.3076923076923077)</f>
        <v>0.3076923077</v>
      </c>
      <c r="I2755" s="86">
        <f>IFERROR(__xludf.DUMMYFUNCTION("""COMPUTED_VALUE"""),0.2692307692307692)</f>
        <v>0.2692307692</v>
      </c>
      <c r="J2755" s="82">
        <f>IFERROR(__xludf.DUMMYFUNCTION("""COMPUTED_VALUE"""),313.53846153846155)</f>
        <v>313.5384615</v>
      </c>
      <c r="K2755" s="82">
        <f>IFERROR(__xludf.DUMMYFUNCTION("""COMPUTED_VALUE"""),0.5384615384615384)</f>
        <v>0.5384615385</v>
      </c>
      <c r="L2755" s="82">
        <f>IFERROR(__xludf.DUMMYFUNCTION("""COMPUTED_VALUE"""),0.5384615384615384)</f>
        <v>0.5384615385</v>
      </c>
      <c r="M2755" s="82">
        <f>IFERROR(__xludf.DUMMYFUNCTION("""COMPUTED_VALUE"""),1.4615384615384615)</f>
        <v>1.461538462</v>
      </c>
      <c r="N2755" s="82">
        <f>IFERROR(__xludf.DUMMYFUNCTION("""COMPUTED_VALUE"""),2.0)</f>
        <v>2</v>
      </c>
      <c r="O2755" s="82">
        <f>IFERROR(__xludf.DUMMYFUNCTION("""COMPUTED_VALUE"""),358.7435897435897)</f>
        <v>358.7435897</v>
      </c>
      <c r="P2755" s="82">
        <f>IFERROR(__xludf.DUMMYFUNCTION("""COMPUTED_VALUE"""),0.9743589743589743)</f>
        <v>0.9743589744</v>
      </c>
      <c r="Q2755" s="82">
        <f>IFERROR(__xludf.DUMMYFUNCTION("""COMPUTED_VALUE"""),0.5641025641025641)</f>
        <v>0.5641025641</v>
      </c>
      <c r="R2755" s="82">
        <f>IFERROR(__xludf.DUMMYFUNCTION("""COMPUTED_VALUE"""),0.9743589743589742)</f>
        <v>0.9743589744</v>
      </c>
      <c r="S2755" s="82">
        <f>IFERROR(__xludf.DUMMYFUNCTION("""COMPUTED_VALUE"""),3.17948717948718)</f>
        <v>3.179487179</v>
      </c>
      <c r="T2755" s="82">
        <f>IFERROR(__xludf.DUMMYFUNCTION("""COMPUTED_VALUE"""),341.5298334390725)</f>
        <v>341.5298334</v>
      </c>
      <c r="U2755" s="82">
        <f>IFERROR(__xludf.DUMMYFUNCTION("""COMPUTED_VALUE"""),0.8592977348412132)</f>
        <v>0.8592977348</v>
      </c>
      <c r="V2755" s="82">
        <f>IFERROR(__xludf.DUMMYFUNCTION("""COMPUTED_VALUE"""),0.592332726571857)</f>
        <v>0.5923327266</v>
      </c>
      <c r="W2755" s="82">
        <f>IFERROR(__xludf.DUMMYFUNCTION("""COMPUTED_VALUE"""),1.0953008811704465)</f>
        <v>1.095300881</v>
      </c>
      <c r="X2755" s="82">
        <f>IFERROR(__xludf.DUMMYFUNCTION("""COMPUTED_VALUE"""),2.666968087076783)</f>
        <v>2.666968087</v>
      </c>
      <c r="Y2755" s="82">
        <f>IFERROR(__xludf.DUMMYFUNCTION("""COMPUTED_VALUE"""),332.9003821364329)</f>
        <v>332.9003821</v>
      </c>
      <c r="Z2755" s="82">
        <f>IFERROR(__xludf.DUMMYFUNCTION("""COMPUTED_VALUE"""),0.7453321976872702)</f>
        <v>0.7453321977</v>
      </c>
      <c r="AA2755" s="82">
        <f>IFERROR(__xludf.DUMMYFUNCTION("""COMPUTED_VALUE"""),0.5132253617760865)</f>
        <v>0.5132253618</v>
      </c>
      <c r="AB2755" s="82">
        <f>IFERROR(__xludf.DUMMYFUNCTION("""COMPUTED_VALUE"""),1.2937253152832864)</f>
        <v>1.293725315</v>
      </c>
      <c r="AC2755" s="82">
        <f>IFERROR(__xludf.DUMMYFUNCTION("""COMPUTED_VALUE"""),2.2419206306887465)</f>
        <v>2.241920631</v>
      </c>
      <c r="AD2755" s="82">
        <f>IFERROR(__xludf.DUMMYFUNCTION("""COMPUTED_VALUE"""),0.9418386951864891)</f>
        <v>0.9418386952</v>
      </c>
      <c r="AE2755" s="82">
        <f>IFERROR(__xludf.DUMMYFUNCTION("""COMPUTED_VALUE"""),0.7224450253623265)</f>
        <v>0.7224450254</v>
      </c>
      <c r="AF2755" s="82">
        <f>IFERROR(__xludf.DUMMYFUNCTION("""COMPUTED_VALUE"""),1.0491717256491744)</f>
        <v>1.049171726</v>
      </c>
      <c r="AG2755" s="82">
        <f>IFERROR(__xludf.DUMMYFUNCTION("""COMPUTED_VALUE"""),1.1297131193714247)</f>
        <v>1.129713119</v>
      </c>
      <c r="AH2755" s="82">
        <f>IFERROR(__xludf.DUMMYFUNCTION("""COMPUTED_VALUE"""),0.8920922411894548)</f>
        <v>0.8920922412</v>
      </c>
      <c r="AI2755" s="82">
        <f>IFERROR(__xludf.DUMMYFUNCTION("""COMPUTED_VALUE"""),1.0504019111044602)</f>
        <v>1.050401911</v>
      </c>
      <c r="AJ2755" s="82">
        <f>IFERROR(__xludf.DUMMYFUNCTION("""COMPUTED_VALUE"""),1.1339014812357475)</f>
        <v>1.133901481</v>
      </c>
      <c r="AK2755" s="82">
        <f>IFERROR(__xludf.DUMMYFUNCTION("""COMPUTED_VALUE"""),0.9523407010909632)</f>
        <v>0.9523407011</v>
      </c>
      <c r="AL2755" s="82">
        <f>IFERROR(__xludf.DUMMYFUNCTION("""COMPUTED_VALUE"""),0.8895811106421891)</f>
        <v>0.8895811106</v>
      </c>
      <c r="AM2755" s="82">
        <f>IFERROR(__xludf.DUMMYFUNCTION("""COMPUTED_VALUE"""),1.192172937836748)</f>
        <v>1.192172938</v>
      </c>
      <c r="AN2755" s="82">
        <f>IFERROR(__xludf.DUMMYFUNCTION("""COMPUTED_VALUE"""),0.9751409764104643)</f>
        <v>0.9751409764</v>
      </c>
      <c r="AO2755" s="82">
        <f>IFERROR(__xludf.DUMMYFUNCTION("""COMPUTED_VALUE"""),0.7336926331597707)</f>
        <v>0.7336926332</v>
      </c>
      <c r="AP2755" s="82">
        <f>IFERROR(__xludf.DUMMYFUNCTION("""COMPUTED_VALUE"""),1.0771078298477488)</f>
        <v>1.07710783</v>
      </c>
      <c r="AQ2755" s="82">
        <f>IFERROR(__xludf.DUMMYFUNCTION("""COMPUTED_VALUE"""),1.2553234619609157)</f>
        <v>1.255323462</v>
      </c>
      <c r="AR2755" s="82">
        <f>IFERROR(__xludf.DUMMYFUNCTION("""COMPUTED_VALUE"""),0.8641958522248339)</f>
        <v>0.8641958522</v>
      </c>
      <c r="AS2755" s="82">
        <f>IFERROR(__xludf.DUMMYFUNCTION("""COMPUTED_VALUE"""),20.0)</f>
        <v>20</v>
      </c>
      <c r="AT2755" s="82">
        <f>IFERROR(__xludf.DUMMYFUNCTION("""COMPUTED_VALUE"""),0.2717202385663006)</f>
        <v>0.2717202386</v>
      </c>
      <c r="AU2755" s="82">
        <f>IFERROR(__xludf.DUMMYFUNCTION("""COMPUTED_VALUE"""),1.6656478657795928)</f>
        <v>1.665647866</v>
      </c>
      <c r="AV2755" s="82">
        <f>IFERROR(__xludf.DUMMYFUNCTION("""COMPUTED_VALUE"""),37.88361254842305)</f>
        <v>37.88361255</v>
      </c>
      <c r="AW2755" s="82">
        <f t="shared" si="1"/>
        <v>-3.185115375</v>
      </c>
      <c r="AX2755" s="83">
        <f t="array" ref="AX2755">IFERROR(DGET('SBV Import'!A:G,"SBV",{"RSC ID","Tier";B2755,A2755}))</f>
        <v>32.53170148</v>
      </c>
      <c r="AY2755" s="82">
        <f t="shared" si="2"/>
        <v>-4.126097086</v>
      </c>
      <c r="AZ2755" s="82">
        <v>0.9409817109477432</v>
      </c>
      <c r="BA2755" s="84">
        <v>2700.0</v>
      </c>
      <c r="BB2755" s="84" t="b">
        <f>IFERROR(__xludf.DUMMYFUNCTION("iferror(if(A2755="""",,E2755&gt;=FILTER(Constants!$F$2:$F$10,Constants!$A$2:$A$10=A2755)))"),TRUE)</f>
        <v>1</v>
      </c>
    </row>
    <row r="2756">
      <c r="A2756" s="89" t="str">
        <f>IFERROR(__xludf.DUMMYFUNCTION("""COMPUTED_VALUE"""),"Prospect")</f>
        <v>Prospect</v>
      </c>
      <c r="B2756" s="87" t="str">
        <f>IFERROR(__xludf.DUMMYFUNCTION("""COMPUTED_VALUE"""),"RSC001619")</f>
        <v>RSC001619</v>
      </c>
      <c r="C2756" s="73" t="str">
        <f>IFERROR(__xludf.DUMMYFUNCTION("""COMPUTED_VALUE"""),"Rob")</f>
        <v>Rob</v>
      </c>
      <c r="D2756" s="73" t="str">
        <f>IFERROR(__xludf.DUMMYFUNCTION("""COMPUTED_VALUE"""),"Gloom")</f>
        <v>Gloom</v>
      </c>
      <c r="E2756" s="82">
        <f>IFERROR(__xludf.DUMMYFUNCTION("""COMPUTED_VALUE"""),28.0)</f>
        <v>28</v>
      </c>
      <c r="F2756" s="82">
        <f>IFERROR(__xludf.DUMMYFUNCTION("""COMPUTED_VALUE"""),11.0)</f>
        <v>11</v>
      </c>
      <c r="G2756" s="86">
        <f>IFERROR(__xludf.DUMMYFUNCTION("""COMPUTED_VALUE"""),17.0)</f>
        <v>17</v>
      </c>
      <c r="H2756" s="86">
        <f>IFERROR(__xludf.DUMMYFUNCTION("""COMPUTED_VALUE"""),0.39285714285714285)</f>
        <v>0.3928571429</v>
      </c>
      <c r="I2756" s="86">
        <f>IFERROR(__xludf.DUMMYFUNCTION("""COMPUTED_VALUE"""),0.35714285714285715)</f>
        <v>0.3571428571</v>
      </c>
      <c r="J2756" s="82">
        <f>IFERROR(__xludf.DUMMYFUNCTION("""COMPUTED_VALUE"""),301.64285714285717)</f>
        <v>301.6428571</v>
      </c>
      <c r="K2756" s="82">
        <f>IFERROR(__xludf.DUMMYFUNCTION("""COMPUTED_VALUE"""),0.7142857142857143)</f>
        <v>0.7142857143</v>
      </c>
      <c r="L2756" s="82">
        <f>IFERROR(__xludf.DUMMYFUNCTION("""COMPUTED_VALUE"""),0.25)</f>
        <v>0.25</v>
      </c>
      <c r="M2756" s="82">
        <f>IFERROR(__xludf.DUMMYFUNCTION("""COMPUTED_VALUE"""),1.4642857142857142)</f>
        <v>1.464285714</v>
      </c>
      <c r="N2756" s="82">
        <f>IFERROR(__xludf.DUMMYFUNCTION("""COMPUTED_VALUE"""),2.0)</f>
        <v>2</v>
      </c>
      <c r="O2756" s="82">
        <f>IFERROR(__xludf.DUMMYFUNCTION("""COMPUTED_VALUE"""),338.78571428571433)</f>
        <v>338.7857143</v>
      </c>
      <c r="P2756" s="82">
        <f>IFERROR(__xludf.DUMMYFUNCTION("""COMPUTED_VALUE"""),0.8452380952380951)</f>
        <v>0.8452380952</v>
      </c>
      <c r="Q2756" s="82">
        <f>IFERROR(__xludf.DUMMYFUNCTION("""COMPUTED_VALUE"""),0.5476190476190477)</f>
        <v>0.5476190476</v>
      </c>
      <c r="R2756" s="82">
        <f>IFERROR(__xludf.DUMMYFUNCTION("""COMPUTED_VALUE"""),1.0476190476190477)</f>
        <v>1.047619048</v>
      </c>
      <c r="S2756" s="82">
        <f>IFERROR(__xludf.DUMMYFUNCTION("""COMPUTED_VALUE"""),3.035714285714285)</f>
        <v>3.035714286</v>
      </c>
      <c r="T2756" s="82">
        <f>IFERROR(__xludf.DUMMYFUNCTION("""COMPUTED_VALUE"""),343.46706592626424)</f>
        <v>343.4670659</v>
      </c>
      <c r="U2756" s="82">
        <f>IFERROR(__xludf.DUMMYFUNCTION("""COMPUTED_VALUE"""),0.8615854228163141)</f>
        <v>0.8615854228</v>
      </c>
      <c r="V2756" s="82">
        <f>IFERROR(__xludf.DUMMYFUNCTION("""COMPUTED_VALUE"""),0.5476829774677924)</f>
        <v>0.5476829775</v>
      </c>
      <c r="W2756" s="82">
        <f>IFERROR(__xludf.DUMMYFUNCTION("""COMPUTED_VALUE"""),1.1587948807900865)</f>
        <v>1.158794881</v>
      </c>
      <c r="X2756" s="82">
        <f>IFERROR(__xludf.DUMMYFUNCTION("""COMPUTED_VALUE"""),2.5692319859885044)</f>
        <v>2.569231986</v>
      </c>
      <c r="Y2756" s="82">
        <f>IFERROR(__xludf.DUMMYFUNCTION("""COMPUTED_VALUE"""),335.4788203463412)</f>
        <v>335.4788203</v>
      </c>
      <c r="Z2756" s="82">
        <f>IFERROR(__xludf.DUMMYFUNCTION("""COMPUTED_VALUE"""),0.7862188228058634)</f>
        <v>0.7862188228</v>
      </c>
      <c r="AA2756" s="82">
        <f>IFERROR(__xludf.DUMMYFUNCTION("""COMPUTED_VALUE"""),0.5274761250303557)</f>
        <v>0.527476125</v>
      </c>
      <c r="AB2756" s="82">
        <f>IFERROR(__xludf.DUMMYFUNCTION("""COMPUTED_VALUE"""),1.2009226703150122)</f>
        <v>1.20092267</v>
      </c>
      <c r="AC2756" s="82">
        <f>IFERROR(__xludf.DUMMYFUNCTION("""COMPUTED_VALUE"""),2.393805180967599)</f>
        <v>2.393805181</v>
      </c>
      <c r="AD2756" s="82">
        <f>IFERROR(__xludf.DUMMYFUNCTION("""COMPUTED_VALUE"""),0.8991412835881786)</f>
        <v>0.8991412836</v>
      </c>
      <c r="AE2756" s="82">
        <f>IFERROR(__xludf.DUMMYFUNCTION("""COMPUTED_VALUE"""),0.9085075217819973)</f>
        <v>0.9085075218</v>
      </c>
      <c r="AF2756" s="82">
        <f>IFERROR(__xludf.DUMMYFUNCTION("""COMPUTED_VALUE"""),0.4739551007841592)</f>
        <v>0.4739551008</v>
      </c>
      <c r="AG2756" s="82">
        <f>IFERROR(__xludf.DUMMYFUNCTION("""COMPUTED_VALUE"""),1.2193005848591563)</f>
        <v>1.219300585</v>
      </c>
      <c r="AH2756" s="82">
        <f>IFERROR(__xludf.DUMMYFUNCTION("""COMPUTED_VALUE"""),0.8354898785838456)</f>
        <v>0.8354898786</v>
      </c>
      <c r="AI2756" s="82">
        <f>IFERROR(__xludf.DUMMYFUNCTION("""COMPUTED_VALUE"""),0.9863703041573282)</f>
        <v>0.9863703042</v>
      </c>
      <c r="AJ2756" s="82">
        <f>IFERROR(__xludf.DUMMYFUNCTION("""COMPUTED_VALUE"""),0.9810264575684399)</f>
        <v>0.9810264576</v>
      </c>
      <c r="AK2756" s="82">
        <f>IFERROR(__xludf.DUMMYFUNCTION("""COMPUTED_VALUE"""),0.9998832721640533)</f>
        <v>0.9998832722</v>
      </c>
      <c r="AL2756" s="82">
        <f>IFERROR(__xludf.DUMMYFUNCTION("""COMPUTED_VALUE"""),0.9040590918944712)</f>
        <v>0.9040590919</v>
      </c>
      <c r="AM2756" s="82">
        <f>IFERROR(__xludf.DUMMYFUNCTION("""COMPUTED_VALUE"""),1.1815648809721255)</f>
        <v>1.181564881</v>
      </c>
      <c r="AN2756" s="82">
        <f>IFERROR(__xludf.DUMMYFUNCTION("""COMPUTED_VALUE"""),0.9381442672080135)</f>
        <v>0.9381442672</v>
      </c>
      <c r="AO2756" s="82">
        <f>IFERROR(__xludf.DUMMYFUNCTION("""COMPUTED_VALUE"""),0.973265737865002)</f>
        <v>0.9732657379</v>
      </c>
      <c r="AP2756" s="82">
        <f>IFERROR(__xludf.DUMMYFUNCTION("""COMPUTED_VALUE"""),0.5000857781435977)</f>
        <v>0.5000857781</v>
      </c>
      <c r="AQ2756" s="82">
        <f>IFERROR(__xludf.DUMMYFUNCTION("""COMPUTED_VALUE"""),1.2576830925285114)</f>
        <v>1.257683093</v>
      </c>
      <c r="AR2756" s="82">
        <f>IFERROR(__xludf.DUMMYFUNCTION("""COMPUTED_VALUE"""),0.8641958522248339)</f>
        <v>0.8641958522</v>
      </c>
      <c r="AS2756" s="82">
        <f>IFERROR(__xludf.DUMMYFUNCTION("""COMPUTED_VALUE"""),51.0)</f>
        <v>51</v>
      </c>
      <c r="AT2756" s="82">
        <f>IFERROR(__xludf.DUMMYFUNCTION("""COMPUTED_VALUE"""),0.3764219696636013)</f>
        <v>0.3764219697</v>
      </c>
      <c r="AU2756" s="82">
        <f>IFERROR(__xludf.DUMMYFUNCTION("""COMPUTED_VALUE"""),1.652589827375111)</f>
        <v>1.652589827</v>
      </c>
      <c r="AV2756" s="82">
        <f>IFERROR(__xludf.DUMMYFUNCTION("""COMPUTED_VALUE"""),37.5302913775447)</f>
        <v>37.53029138</v>
      </c>
      <c r="AW2756" s="82">
        <f t="shared" si="1"/>
        <v>-3.236620422</v>
      </c>
      <c r="AX2756" s="83">
        <f t="array" ref="AX2756">IFERROR(DGET('SBV Import'!A:G,"SBV",{"RSC ID","Tier";B2756,A2756}))</f>
        <v>19.67483555</v>
      </c>
      <c r="AY2756" s="82">
        <f t="shared" si="2"/>
        <v>-8.883862379</v>
      </c>
      <c r="AZ2756" s="82">
        <v>5.647241957221372</v>
      </c>
      <c r="BA2756" s="84">
        <v>2700.0</v>
      </c>
      <c r="BB2756" s="84" t="b">
        <f>IFERROR(__xludf.DUMMYFUNCTION("iferror(if(A2756="""",,E2756&gt;=FILTER(Constants!$F$2:$F$10,Constants!$A$2:$A$10=A2756)))"),TRUE)</f>
        <v>1</v>
      </c>
    </row>
    <row r="2757">
      <c r="A2757" s="89" t="str">
        <f>IFERROR(__xludf.DUMMYFUNCTION("""COMPUTED_VALUE"""),"Prospect")</f>
        <v>Prospect</v>
      </c>
      <c r="B2757" s="87" t="str">
        <f>IFERROR(__xludf.DUMMYFUNCTION("""COMPUTED_VALUE"""),"RSC006755")</f>
        <v>RSC006755</v>
      </c>
      <c r="C2757" s="73" t="str">
        <f>IFERROR(__xludf.DUMMYFUNCTION("""COMPUTED_VALUE"""),"Fox_gt_400")</f>
        <v>Fox_gt_400</v>
      </c>
      <c r="D2757" s="73" t="str">
        <f>IFERROR(__xludf.DUMMYFUNCTION("""COMPUTED_VALUE"""),"Undead")</f>
        <v>Undead</v>
      </c>
      <c r="E2757" s="82">
        <f>IFERROR(__xludf.DUMMYFUNCTION("""COMPUTED_VALUE"""),32.0)</f>
        <v>32</v>
      </c>
      <c r="F2757" s="82">
        <f>IFERROR(__xludf.DUMMYFUNCTION("""COMPUTED_VALUE"""),11.0)</f>
        <v>11</v>
      </c>
      <c r="G2757" s="86">
        <f>IFERROR(__xludf.DUMMYFUNCTION("""COMPUTED_VALUE"""),21.0)</f>
        <v>21</v>
      </c>
      <c r="H2757" s="86">
        <f>IFERROR(__xludf.DUMMYFUNCTION("""COMPUTED_VALUE"""),0.34375)</f>
        <v>0.34375</v>
      </c>
      <c r="I2757" s="86">
        <f>IFERROR(__xludf.DUMMYFUNCTION("""COMPUTED_VALUE"""),0.2535211267605634)</f>
        <v>0.2535211268</v>
      </c>
      <c r="J2757" s="82">
        <f>IFERROR(__xludf.DUMMYFUNCTION("""COMPUTED_VALUE"""),312.28125)</f>
        <v>312.28125</v>
      </c>
      <c r="K2757" s="82">
        <f>IFERROR(__xludf.DUMMYFUNCTION("""COMPUTED_VALUE"""),0.5625)</f>
        <v>0.5625</v>
      </c>
      <c r="L2757" s="82">
        <f>IFERROR(__xludf.DUMMYFUNCTION("""COMPUTED_VALUE"""),0.4375)</f>
        <v>0.4375</v>
      </c>
      <c r="M2757" s="82">
        <f>IFERROR(__xludf.DUMMYFUNCTION("""COMPUTED_VALUE"""),1.40625)</f>
        <v>1.40625</v>
      </c>
      <c r="N2757" s="82">
        <f>IFERROR(__xludf.DUMMYFUNCTION("""COMPUTED_VALUE"""),2.21875)</f>
        <v>2.21875</v>
      </c>
      <c r="O2757" s="82">
        <f>IFERROR(__xludf.DUMMYFUNCTION("""COMPUTED_VALUE"""),351.0520833333333)</f>
        <v>351.0520833</v>
      </c>
      <c r="P2757" s="82">
        <f>IFERROR(__xludf.DUMMYFUNCTION("""COMPUTED_VALUE"""),0.8958333333333333)</f>
        <v>0.8958333333</v>
      </c>
      <c r="Q2757" s="82">
        <f>IFERROR(__xludf.DUMMYFUNCTION("""COMPUTED_VALUE"""),0.5625000000000001)</f>
        <v>0.5625</v>
      </c>
      <c r="R2757" s="82">
        <f>IFERROR(__xludf.DUMMYFUNCTION("""COMPUTED_VALUE"""),1.1250000000000002)</f>
        <v>1.125</v>
      </c>
      <c r="S2757" s="82">
        <f>IFERROR(__xludf.DUMMYFUNCTION("""COMPUTED_VALUE"""),2.5937500000000004)</f>
        <v>2.59375</v>
      </c>
      <c r="T2757" s="82">
        <f>IFERROR(__xludf.DUMMYFUNCTION("""COMPUTED_VALUE"""),337.5984293201468)</f>
        <v>337.5984293</v>
      </c>
      <c r="U2757" s="82">
        <f>IFERROR(__xludf.DUMMYFUNCTION("""COMPUTED_VALUE"""),0.7863947122751368)</f>
        <v>0.7863947123</v>
      </c>
      <c r="V2757" s="82">
        <f>IFERROR(__xludf.DUMMYFUNCTION("""COMPUTED_VALUE"""),0.4900713998075438)</f>
        <v>0.4900713998</v>
      </c>
      <c r="W2757" s="82">
        <f>IFERROR(__xludf.DUMMYFUNCTION("""COMPUTED_VALUE"""),1.2627234645190903)</f>
        <v>1.262723465</v>
      </c>
      <c r="X2757" s="82">
        <f>IFERROR(__xludf.DUMMYFUNCTION("""COMPUTED_VALUE"""),2.446199458943933)</f>
        <v>2.446199459</v>
      </c>
      <c r="Y2757" s="82">
        <f>IFERROR(__xludf.DUMMYFUNCTION("""COMPUTED_VALUE"""),333.7173487507703)</f>
        <v>333.7173488</v>
      </c>
      <c r="Z2757" s="82">
        <f>IFERROR(__xludf.DUMMYFUNCTION("""COMPUTED_VALUE"""),0.7922035435144457)</f>
        <v>0.7922035435</v>
      </c>
      <c r="AA2757" s="82">
        <f>IFERROR(__xludf.DUMMYFUNCTION("""COMPUTED_VALUE"""),0.5297629780204091)</f>
        <v>0.529762978</v>
      </c>
      <c r="AB2757" s="82">
        <f>IFERROR(__xludf.DUMMYFUNCTION("""COMPUTED_VALUE"""),1.1517216679954134)</f>
        <v>1.151721668</v>
      </c>
      <c r="AC2757" s="82">
        <f>IFERROR(__xludf.DUMMYFUNCTION("""COMPUTED_VALUE"""),2.4980914741473703)</f>
        <v>2.498091474</v>
      </c>
      <c r="AD2757" s="82">
        <f>IFERROR(__xludf.DUMMYFUNCTION("""COMPUTED_VALUE"""),0.9357657046269434)</f>
        <v>0.9357657046</v>
      </c>
      <c r="AE2757" s="82">
        <f>IFERROR(__xludf.DUMMYFUNCTION("""COMPUTED_VALUE"""),0.7100447916511281)</f>
        <v>0.7100447917</v>
      </c>
      <c r="AF2757" s="82">
        <f>IFERROR(__xludf.DUMMYFUNCTION("""COMPUTED_VALUE"""),0.8258410235362754)</f>
        <v>0.8258410235</v>
      </c>
      <c r="AG2757" s="82">
        <f>IFERROR(__xludf.DUMMYFUNCTION("""COMPUTED_VALUE"""),1.2209981274795294)</f>
        <v>1.220998127</v>
      </c>
      <c r="AH2757" s="82">
        <f>IFERROR(__xludf.DUMMYFUNCTION("""COMPUTED_VALUE"""),0.8881780443037167)</f>
        <v>0.8881780443</v>
      </c>
      <c r="AI2757" s="82">
        <f>IFERROR(__xludf.DUMMYFUNCTION("""COMPUTED_VALUE"""),1.03985105629869)</f>
        <v>1.039851056</v>
      </c>
      <c r="AJ2757" s="82">
        <f>IFERROR(__xludf.DUMMYFUNCTION("""COMPUTED_VALUE"""),1.1391650011755254)</f>
        <v>1.139165001</v>
      </c>
      <c r="AK2757" s="82">
        <f>IFERROR(__xludf.DUMMYFUNCTION("""COMPUTED_VALUE"""),1.1477919344424095)</f>
        <v>1.147791934</v>
      </c>
      <c r="AL2757" s="82">
        <f>IFERROR(__xludf.DUMMYFUNCTION("""COMPUTED_VALUE"""),0.8909314126260082)</f>
        <v>0.8909314126</v>
      </c>
      <c r="AM2757" s="82">
        <f>IFERROR(__xludf.DUMMYFUNCTION("""COMPUTED_VALUE"""),1.0603182788372325)</f>
        <v>1.060318279</v>
      </c>
      <c r="AN2757" s="82">
        <f>IFERROR(__xludf.DUMMYFUNCTION("""COMPUTED_VALUE"""),0.9712309027271452)</f>
        <v>0.9712309027</v>
      </c>
      <c r="AO2757" s="82">
        <f>IFERROR(__xludf.DUMMYFUNCTION("""COMPUTED_VALUE"""),0.7664467685686891)</f>
        <v>0.7664467686</v>
      </c>
      <c r="AP2757" s="82">
        <f>IFERROR(__xludf.DUMMYFUNCTION("""COMPUTED_VALUE"""),0.875150111751296)</f>
        <v>0.8751501118</v>
      </c>
      <c r="AQ2757" s="82">
        <f>IFERROR(__xludf.DUMMYFUNCTION("""COMPUTED_VALUE"""),1.2078358967880523)</f>
        <v>1.207835897</v>
      </c>
      <c r="AR2757" s="82">
        <f>IFERROR(__xludf.DUMMYFUNCTION("""COMPUTED_VALUE"""),0.9587172735619252)</f>
        <v>0.9587172736</v>
      </c>
      <c r="AS2757" s="82">
        <f>IFERROR(__xludf.DUMMYFUNCTION("""COMPUTED_VALUE"""),58.0)</f>
        <v>58</v>
      </c>
      <c r="AT2757" s="82">
        <f>IFERROR(__xludf.DUMMYFUNCTION("""COMPUTED_VALUE"""),0.35284783749459525)</f>
        <v>0.3528478375</v>
      </c>
      <c r="AU2757" s="82">
        <f>IFERROR(__xludf.DUMMYFUNCTION("""COMPUTED_VALUE"""),1.5954048522344653)</f>
        <v>1.595404852</v>
      </c>
      <c r="AV2757" s="82">
        <f>IFERROR(__xludf.DUMMYFUNCTION("""COMPUTED_VALUE"""),35.98299447524676)</f>
        <v>35.98299448</v>
      </c>
      <c r="AW2757" s="82">
        <f t="shared" si="1"/>
        <v>-3.478166789</v>
      </c>
      <c r="AX2757" s="83">
        <f t="array" ref="AX2757">IFERROR(DGET('SBV Import'!A:G,"SBV",{"RSC ID","Tier";B2757,A2757}))</f>
        <v>40.52407248</v>
      </c>
      <c r="AY2757" s="82">
        <f t="shared" si="2"/>
        <v>-2.838246971</v>
      </c>
      <c r="AZ2757" s="82">
        <v>0.6399198182820816</v>
      </c>
      <c r="BA2757" s="84">
        <v>2700.0</v>
      </c>
      <c r="BB2757" s="84" t="b">
        <f>IFERROR(__xludf.DUMMYFUNCTION("iferror(if(A2757="""",,E2757&gt;=FILTER(Constants!$F$2:$F$10,Constants!$A$2:$A$10=A2757)))"),TRUE)</f>
        <v>1</v>
      </c>
    </row>
    <row r="2758">
      <c r="A2758" s="89" t="str">
        <f>IFERROR(__xludf.DUMMYFUNCTION("""COMPUTED_VALUE"""),"Prospect")</f>
        <v>Prospect</v>
      </c>
      <c r="B2758" s="87" t="str">
        <f>IFERROR(__xludf.DUMMYFUNCTION("""COMPUTED_VALUE"""),"RSC007851")</f>
        <v>RSC007851</v>
      </c>
      <c r="C2758" s="73" t="str">
        <f>IFERROR(__xludf.DUMMYFUNCTION("""COMPUTED_VALUE"""),"Carridripdrip")</f>
        <v>Carridripdrip</v>
      </c>
      <c r="D2758" s="73" t="str">
        <f>IFERROR(__xludf.DUMMYFUNCTION("""COMPUTED_VALUE"""),"Undead")</f>
        <v>Undead</v>
      </c>
      <c r="E2758" s="82">
        <f>IFERROR(__xludf.DUMMYFUNCTION("""COMPUTED_VALUE"""),39.0)</f>
        <v>39</v>
      </c>
      <c r="F2758" s="82">
        <f>IFERROR(__xludf.DUMMYFUNCTION("""COMPUTED_VALUE"""),14.0)</f>
        <v>14</v>
      </c>
      <c r="G2758" s="86">
        <f>IFERROR(__xludf.DUMMYFUNCTION("""COMPUTED_VALUE"""),25.0)</f>
        <v>25</v>
      </c>
      <c r="H2758" s="86">
        <f>IFERROR(__xludf.DUMMYFUNCTION("""COMPUTED_VALUE"""),0.358974358974359)</f>
        <v>0.358974359</v>
      </c>
      <c r="I2758" s="86">
        <f>IFERROR(__xludf.DUMMYFUNCTION("""COMPUTED_VALUE"""),0.28750000000000003)</f>
        <v>0.2875</v>
      </c>
      <c r="J2758" s="82">
        <f>IFERROR(__xludf.DUMMYFUNCTION("""COMPUTED_VALUE"""),326.3076923076923)</f>
        <v>326.3076923</v>
      </c>
      <c r="K2758" s="82">
        <f>IFERROR(__xludf.DUMMYFUNCTION("""COMPUTED_VALUE"""),0.5897435897435898)</f>
        <v>0.5897435897</v>
      </c>
      <c r="L2758" s="82">
        <f>IFERROR(__xludf.DUMMYFUNCTION("""COMPUTED_VALUE"""),0.41025641025641024)</f>
        <v>0.4102564103</v>
      </c>
      <c r="M2758" s="82">
        <f>IFERROR(__xludf.DUMMYFUNCTION("""COMPUTED_VALUE"""),1.3846153846153846)</f>
        <v>1.384615385</v>
      </c>
      <c r="N2758" s="82">
        <f>IFERROR(__xludf.DUMMYFUNCTION("""COMPUTED_VALUE"""),2.051282051282051)</f>
        <v>2.051282051</v>
      </c>
      <c r="O2758" s="82">
        <f>IFERROR(__xludf.DUMMYFUNCTION("""COMPUTED_VALUE"""),355.0512820512821)</f>
        <v>355.0512821</v>
      </c>
      <c r="P2758" s="82">
        <f>IFERROR(__xludf.DUMMYFUNCTION("""COMPUTED_VALUE"""),0.9401709401709399)</f>
        <v>0.9401709402</v>
      </c>
      <c r="Q2758" s="82">
        <f>IFERROR(__xludf.DUMMYFUNCTION("""COMPUTED_VALUE"""),0.623931623931624)</f>
        <v>0.6239316239</v>
      </c>
      <c r="R2758" s="82">
        <f>IFERROR(__xludf.DUMMYFUNCTION("""COMPUTED_VALUE"""),1.1111111111111112)</f>
        <v>1.111111111</v>
      </c>
      <c r="S2758" s="82">
        <f>IFERROR(__xludf.DUMMYFUNCTION("""COMPUTED_VALUE"""),2.6324786324786325)</f>
        <v>2.632478632</v>
      </c>
      <c r="T2758" s="82">
        <f>IFERROR(__xludf.DUMMYFUNCTION("""COMPUTED_VALUE"""),341.32549814184864)</f>
        <v>341.3254981</v>
      </c>
      <c r="U2758" s="82">
        <f>IFERROR(__xludf.DUMMYFUNCTION("""COMPUTED_VALUE"""),0.8320439246632207)</f>
        <v>0.8320439247</v>
      </c>
      <c r="V2758" s="82">
        <f>IFERROR(__xludf.DUMMYFUNCTION("""COMPUTED_VALUE"""),0.5151822778958101)</f>
        <v>0.5151822779</v>
      </c>
      <c r="W2758" s="82">
        <f>IFERROR(__xludf.DUMMYFUNCTION("""COMPUTED_VALUE"""),1.228354244961691)</f>
        <v>1.228354245</v>
      </c>
      <c r="X2758" s="82">
        <f>IFERROR(__xludf.DUMMYFUNCTION("""COMPUTED_VALUE"""),2.541375047284394)</f>
        <v>2.541375047</v>
      </c>
      <c r="Y2758" s="82">
        <f>IFERROR(__xludf.DUMMYFUNCTION("""COMPUTED_VALUE"""),332.95793404161367)</f>
        <v>332.957934</v>
      </c>
      <c r="Z2758" s="82">
        <f>IFERROR(__xludf.DUMMYFUNCTION("""COMPUTED_VALUE"""),0.7740536141874924)</f>
        <v>0.7740536142</v>
      </c>
      <c r="AA2758" s="82">
        <f>IFERROR(__xludf.DUMMYFUNCTION("""COMPUTED_VALUE"""),0.5215998699837382)</f>
        <v>0.52159987</v>
      </c>
      <c r="AB2758" s="82">
        <f>IFERROR(__xludf.DUMMYFUNCTION("""COMPUTED_VALUE"""),1.204170060501831)</f>
        <v>1.204170061</v>
      </c>
      <c r="AC2758" s="82">
        <f>IFERROR(__xludf.DUMMYFUNCTION("""COMPUTED_VALUE"""),2.4068403024321996)</f>
        <v>2.406840302</v>
      </c>
      <c r="AD2758" s="82">
        <f>IFERROR(__xludf.DUMMYFUNCTION("""COMPUTED_VALUE"""),0.9800267810014397)</f>
        <v>0.980026781</v>
      </c>
      <c r="AE2758" s="82">
        <f>IFERROR(__xludf.DUMMYFUNCTION("""COMPUTED_VALUE"""),0.7618898470781394)</f>
        <v>0.7618898471</v>
      </c>
      <c r="AF2758" s="82">
        <f>IFERROR(__xludf.DUMMYFUNCTION("""COMPUTED_VALUE"""),0.7865347249208492)</f>
        <v>0.7865347249</v>
      </c>
      <c r="AG2758" s="82">
        <f>IFERROR(__xludf.DUMMYFUNCTION("""COMPUTED_VALUE"""),1.149850365851443)</f>
        <v>1.149850366</v>
      </c>
      <c r="AH2758" s="82">
        <f>IFERROR(__xludf.DUMMYFUNCTION("""COMPUTED_VALUE"""),0.8522717727508369)</f>
        <v>0.8522717728</v>
      </c>
      <c r="AI2758" s="82">
        <f>IFERROR(__xludf.DUMMYFUNCTION("""COMPUTED_VALUE"""),1.0402131806271597)</f>
        <v>1.040213181</v>
      </c>
      <c r="AJ2758" s="82">
        <f>IFERROR(__xludf.DUMMYFUNCTION("""COMPUTED_VALUE"""),1.1299534944041383)</f>
        <v>1.129953494</v>
      </c>
      <c r="AK2758" s="82">
        <f>IFERROR(__xludf.DUMMYFUNCTION("""COMPUTED_VALUE"""),1.2110890663397536)</f>
        <v>1.211089066</v>
      </c>
      <c r="AL2758" s="82">
        <f>IFERROR(__xludf.DUMMYFUNCTION("""COMPUTED_VALUE"""),0.9045526692878109)</f>
        <v>0.9045526693</v>
      </c>
      <c r="AM2758" s="82">
        <f>IFERROR(__xludf.DUMMYFUNCTION("""COMPUTED_VALUE"""),1.0358481465738745)</f>
        <v>1.035848147</v>
      </c>
      <c r="AN2758" s="82">
        <f>IFERROR(__xludf.DUMMYFUNCTION("""COMPUTED_VALUE"""),1.0148547649492614)</f>
        <v>1.014854765</v>
      </c>
      <c r="AO2758" s="82">
        <f>IFERROR(__xludf.DUMMYFUNCTION("""COMPUTED_VALUE"""),0.8035681220321299)</f>
        <v>0.803568122</v>
      </c>
      <c r="AP2758" s="82">
        <f>IFERROR(__xludf.DUMMYFUNCTION("""COMPUTED_VALUE"""),0.8206535846459039)</f>
        <v>0.8206535846</v>
      </c>
      <c r="AQ2758" s="82">
        <f>IFERROR(__xludf.DUMMYFUNCTION("""COMPUTED_VALUE"""),1.189253806068236)</f>
        <v>1.189253806</v>
      </c>
      <c r="AR2758" s="82">
        <f>IFERROR(__xludf.DUMMYFUNCTION("""COMPUTED_VALUE"""),0.8863547202305988)</f>
        <v>0.8863547202</v>
      </c>
      <c r="AS2758" s="82">
        <f>IFERROR(__xludf.DUMMYFUNCTION("""COMPUTED_VALUE"""),72.0)</f>
        <v>72</v>
      </c>
      <c r="AT2758" s="82">
        <f>IFERROR(__xludf.DUMMYFUNCTION("""COMPUTED_VALUE"""),0.3408636412472593)</f>
        <v>0.3408636412</v>
      </c>
      <c r="AU2758" s="82">
        <f>IFERROR(__xludf.DUMMYFUNCTION("""COMPUTED_VALUE"""),1.587944410520822)</f>
        <v>1.587944411</v>
      </c>
      <c r="AV2758" s="82">
        <f>IFERROR(__xludf.DUMMYFUNCTION("""COMPUTED_VALUE"""),35.78113169005006)</f>
        <v>35.78113169</v>
      </c>
      <c r="AW2758" s="82">
        <f t="shared" si="1"/>
        <v>-3.511713151</v>
      </c>
      <c r="AX2758" s="83">
        <f t="array" ref="AX2758">IFERROR(DGET('SBV Import'!A:G,"SBV",{"RSC ID","Tier";B2758,A2758}))</f>
        <v>44.43992609</v>
      </c>
      <c r="AY2758" s="82">
        <f t="shared" si="2"/>
        <v>-2.427183846</v>
      </c>
      <c r="AZ2758" s="82">
        <v>1.0845293053128997</v>
      </c>
      <c r="BA2758" s="84">
        <v>2700.0</v>
      </c>
      <c r="BB2758" s="84" t="b">
        <f>IFERROR(__xludf.DUMMYFUNCTION("iferror(if(A2758="""",,E2758&gt;=FILTER(Constants!$F$2:$F$10,Constants!$A$2:$A$10=A2758)))"),TRUE)</f>
        <v>1</v>
      </c>
    </row>
    <row r="2759">
      <c r="A2759" s="89" t="str">
        <f>IFERROR(__xludf.DUMMYFUNCTION("""COMPUTED_VALUE"""),"Prospect")</f>
        <v>Prospect</v>
      </c>
      <c r="B2759" s="87" t="str">
        <f>IFERROR(__xludf.DUMMYFUNCTION("""COMPUTED_VALUE"""),"RSC007864")</f>
        <v>RSC007864</v>
      </c>
      <c r="C2759" s="73" t="str">
        <f>IFERROR(__xludf.DUMMYFUNCTION("""COMPUTED_VALUE"""),"z . a . c")</f>
        <v>z . a . c</v>
      </c>
      <c r="D2759" s="73" t="str">
        <f>IFERROR(__xludf.DUMMYFUNCTION("""COMPUTED_VALUE"""),"Khans")</f>
        <v>Khans</v>
      </c>
      <c r="E2759" s="82">
        <f>IFERROR(__xludf.DUMMYFUNCTION("""COMPUTED_VALUE"""),22.0)</f>
        <v>22</v>
      </c>
      <c r="F2759" s="82">
        <f>IFERROR(__xludf.DUMMYFUNCTION("""COMPUTED_VALUE"""),9.0)</f>
        <v>9</v>
      </c>
      <c r="G2759" s="86">
        <f>IFERROR(__xludf.DUMMYFUNCTION("""COMPUTED_VALUE"""),13.0)</f>
        <v>13</v>
      </c>
      <c r="H2759" s="86">
        <f>IFERROR(__xludf.DUMMYFUNCTION("""COMPUTED_VALUE"""),0.4090909090909091)</f>
        <v>0.4090909091</v>
      </c>
      <c r="I2759" s="86">
        <f>IFERROR(__xludf.DUMMYFUNCTION("""COMPUTED_VALUE"""),0.35135135135135137)</f>
        <v>0.3513513514</v>
      </c>
      <c r="J2759" s="82">
        <f>IFERROR(__xludf.DUMMYFUNCTION("""COMPUTED_VALUE"""),297.5)</f>
        <v>297.5</v>
      </c>
      <c r="K2759" s="82">
        <f>IFERROR(__xludf.DUMMYFUNCTION("""COMPUTED_VALUE"""),0.5909090909090909)</f>
        <v>0.5909090909</v>
      </c>
      <c r="L2759" s="82">
        <f>IFERROR(__xludf.DUMMYFUNCTION("""COMPUTED_VALUE"""),0.4090909090909091)</f>
        <v>0.4090909091</v>
      </c>
      <c r="M2759" s="82">
        <f>IFERROR(__xludf.DUMMYFUNCTION("""COMPUTED_VALUE"""),1.4545454545454546)</f>
        <v>1.454545455</v>
      </c>
      <c r="N2759" s="82">
        <f>IFERROR(__xludf.DUMMYFUNCTION("""COMPUTED_VALUE"""),1.6818181818181819)</f>
        <v>1.681818182</v>
      </c>
      <c r="O2759" s="82">
        <f>IFERROR(__xludf.DUMMYFUNCTION("""COMPUTED_VALUE"""),335.78787878787875)</f>
        <v>335.7878788</v>
      </c>
      <c r="P2759" s="82">
        <f>IFERROR(__xludf.DUMMYFUNCTION("""COMPUTED_VALUE"""),0.9242424242424243)</f>
        <v>0.9242424242</v>
      </c>
      <c r="Q2759" s="82">
        <f>IFERROR(__xludf.DUMMYFUNCTION("""COMPUTED_VALUE"""),0.5909090909090908)</f>
        <v>0.5909090909</v>
      </c>
      <c r="R2759" s="82">
        <f>IFERROR(__xludf.DUMMYFUNCTION("""COMPUTED_VALUE"""),0.8787878787878789)</f>
        <v>0.8787878788</v>
      </c>
      <c r="S2759" s="82">
        <f>IFERROR(__xludf.DUMMYFUNCTION("""COMPUTED_VALUE"""),2.9090909090909083)</f>
        <v>2.909090909</v>
      </c>
      <c r="T2759" s="82">
        <f>IFERROR(__xludf.DUMMYFUNCTION("""COMPUTED_VALUE"""),337.46965740333735)</f>
        <v>337.4696574</v>
      </c>
      <c r="U2759" s="82">
        <f>IFERROR(__xludf.DUMMYFUNCTION("""COMPUTED_VALUE"""),0.8333110685969193)</f>
        <v>0.8333110686</v>
      </c>
      <c r="V2759" s="82">
        <f>IFERROR(__xludf.DUMMYFUNCTION("""COMPUTED_VALUE"""),0.5693513269482053)</f>
        <v>0.5693513269</v>
      </c>
      <c r="W2759" s="82">
        <f>IFERROR(__xludf.DUMMYFUNCTION("""COMPUTED_VALUE"""),1.143482812591801)</f>
        <v>1.143482813</v>
      </c>
      <c r="X2759" s="82">
        <f>IFERROR(__xludf.DUMMYFUNCTION("""COMPUTED_VALUE"""),2.5702620153371165)</f>
        <v>2.570262015</v>
      </c>
      <c r="Y2759" s="82">
        <f>IFERROR(__xludf.DUMMYFUNCTION("""COMPUTED_VALUE"""),320.8505007962392)</f>
        <v>320.8505008</v>
      </c>
      <c r="Z2759" s="82">
        <f>IFERROR(__xludf.DUMMYFUNCTION("""COMPUTED_VALUE"""),0.7200031973677086)</f>
        <v>0.7200031974</v>
      </c>
      <c r="AA2759" s="82">
        <f>IFERROR(__xludf.DUMMYFUNCTION("""COMPUTED_VALUE"""),0.46369524986482824)</f>
        <v>0.4636952499</v>
      </c>
      <c r="AB2759" s="82">
        <f>IFERROR(__xludf.DUMMYFUNCTION("""COMPUTED_VALUE"""),1.2363244636403488)</f>
        <v>1.236324464</v>
      </c>
      <c r="AC2759" s="82">
        <f>IFERROR(__xludf.DUMMYFUNCTION("""COMPUTED_VALUE"""),2.2559074215143666)</f>
        <v>2.255907422</v>
      </c>
      <c r="AD2759" s="82">
        <f>IFERROR(__xludf.DUMMYFUNCTION("""COMPUTED_VALUE"""),0.9272231125141105)</f>
        <v>0.9272231125</v>
      </c>
      <c r="AE2759" s="82">
        <f>IFERROR(__xludf.DUMMYFUNCTION("""COMPUTED_VALUE"""),0.8207034261367471)</f>
        <v>0.8207034261</v>
      </c>
      <c r="AF2759" s="82">
        <f>IFERROR(__xludf.DUMMYFUNCTION("""COMPUTED_VALUE"""),0.8822408881914645)</f>
        <v>0.8822408882</v>
      </c>
      <c r="AG2759" s="82">
        <f>IFERROR(__xludf.DUMMYFUNCTION("""COMPUTED_VALUE"""),1.1765078644990616)</f>
        <v>1.176507864</v>
      </c>
      <c r="AH2759" s="82">
        <f>IFERROR(__xludf.DUMMYFUNCTION("""COMPUTED_VALUE"""),0.7455173761914375)</f>
        <v>0.7455173762</v>
      </c>
      <c r="AI2759" s="82">
        <f>IFERROR(__xludf.DUMMYFUNCTION("""COMPUTED_VALUE"""),0.9950165042143372)</f>
        <v>0.9950165042</v>
      </c>
      <c r="AJ2759" s="82">
        <f>IFERROR(__xludf.DUMMYFUNCTION("""COMPUTED_VALUE"""),1.109120542222738)</f>
        <v>1.109120542</v>
      </c>
      <c r="AK2759" s="82">
        <f>IFERROR(__xludf.DUMMYFUNCTION("""COMPUTED_VALUE"""),1.0378637283176941)</f>
        <v>1.037863728</v>
      </c>
      <c r="AL2759" s="82">
        <f>IFERROR(__xludf.DUMMYFUNCTION("""COMPUTED_VALUE"""),0.7685186599316096)</f>
        <v>0.7685186599</v>
      </c>
      <c r="AM2759" s="82">
        <f>IFERROR(__xludf.DUMMYFUNCTION("""COMPUTED_VALUE"""),1.1318265965617327)</f>
        <v>1.131826597</v>
      </c>
      <c r="AN2759" s="82">
        <f>IFERROR(__xludf.DUMMYFUNCTION("""COMPUTED_VALUE"""),0.9252595010469751)</f>
        <v>0.925259501</v>
      </c>
      <c r="AO2759" s="82">
        <f>IFERROR(__xludf.DUMMYFUNCTION("""COMPUTED_VALUE"""),0.8051562013246836)</f>
        <v>0.8051562013</v>
      </c>
      <c r="AP2759" s="82">
        <f>IFERROR(__xludf.DUMMYFUNCTION("""COMPUTED_VALUE"""),0.8183221824167962)</f>
        <v>0.8183221824</v>
      </c>
      <c r="AQ2759" s="82">
        <f>IFERROR(__xludf.DUMMYFUNCTION("""COMPUTED_VALUE"""),1.249317129607036)</f>
        <v>1.24931713</v>
      </c>
      <c r="AR2759" s="82">
        <f>IFERROR(__xludf.DUMMYFUNCTION("""COMPUTED_VALUE"""),0.7267101484617922)</f>
        <v>0.7267101485</v>
      </c>
      <c r="AS2759" s="82">
        <f>IFERROR(__xludf.DUMMYFUNCTION("""COMPUTED_VALUE"""),42.0)</f>
        <v>42</v>
      </c>
      <c r="AT2759" s="82">
        <f>IFERROR(__xludf.DUMMYFUNCTION("""COMPUTED_VALUE"""),0.3586473023794482)</f>
        <v>0.3586473024</v>
      </c>
      <c r="AU2759" s="82">
        <f>IFERROR(__xludf.DUMMYFUNCTION("""COMPUTED_VALUE"""),1.4955138761607298)</f>
        <v>1.495513876</v>
      </c>
      <c r="AV2759" s="82">
        <f>IFERROR(__xludf.DUMMYFUNCTION("""COMPUTED_VALUE"""),33.28016917076306)</f>
        <v>33.28016917</v>
      </c>
      <c r="AW2759" s="82">
        <f t="shared" si="1"/>
        <v>-3.971189939</v>
      </c>
      <c r="AX2759" s="83">
        <f t="array" ref="AX2759">IFERROR(DGET('SBV Import'!A:G,"SBV",{"RSC ID","Tier";B2759,A2759}))</f>
        <v>30.77916059</v>
      </c>
      <c r="AY2759" s="82">
        <f t="shared" si="2"/>
        <v>-4.524967616</v>
      </c>
      <c r="AZ2759" s="82">
        <v>0.5537776765611135</v>
      </c>
      <c r="BA2759" s="84">
        <v>2700.0</v>
      </c>
      <c r="BB2759" s="84" t="b">
        <f>IFERROR(__xludf.DUMMYFUNCTION("iferror(if(A2759="""",,E2759&gt;=FILTER(Constants!$F$2:$F$10,Constants!$A$2:$A$10=A2759)))"),TRUE)</f>
        <v>1</v>
      </c>
    </row>
    <row r="2760">
      <c r="A2760" s="89" t="str">
        <f>IFERROR(__xludf.DUMMYFUNCTION("""COMPUTED_VALUE"""),"Prospect")</f>
        <v>Prospect</v>
      </c>
      <c r="B2760" s="87" t="str">
        <f>IFERROR(__xludf.DUMMYFUNCTION("""COMPUTED_VALUE"""),"RSC005561")</f>
        <v>RSC005561</v>
      </c>
      <c r="C2760" s="73" t="str">
        <f>IFERROR(__xludf.DUMMYFUNCTION("""COMPUTED_VALUE"""),"Angelofthebronx")</f>
        <v>Angelofthebronx</v>
      </c>
      <c r="D2760" s="73" t="str">
        <f>IFERROR(__xludf.DUMMYFUNCTION("""COMPUTED_VALUE"""),"Earth")</f>
        <v>Earth</v>
      </c>
      <c r="E2760" s="82">
        <f>IFERROR(__xludf.DUMMYFUNCTION("""COMPUTED_VALUE"""),13.0)</f>
        <v>13</v>
      </c>
      <c r="F2760" s="82">
        <f>IFERROR(__xludf.DUMMYFUNCTION("""COMPUTED_VALUE"""),4.0)</f>
        <v>4</v>
      </c>
      <c r="G2760" s="86">
        <f>IFERROR(__xludf.DUMMYFUNCTION("""COMPUTED_VALUE"""),9.0)</f>
        <v>9</v>
      </c>
      <c r="H2760" s="86">
        <f>IFERROR(__xludf.DUMMYFUNCTION("""COMPUTED_VALUE"""),0.3076923076923077)</f>
        <v>0.3076923077</v>
      </c>
      <c r="I2760" s="86">
        <f>IFERROR(__xludf.DUMMYFUNCTION("""COMPUTED_VALUE"""),0.3333333333333333)</f>
        <v>0.3333333333</v>
      </c>
      <c r="J2760" s="82">
        <f>IFERROR(__xludf.DUMMYFUNCTION("""COMPUTED_VALUE"""),255.07692307692307)</f>
        <v>255.0769231</v>
      </c>
      <c r="K2760" s="82">
        <f>IFERROR(__xludf.DUMMYFUNCTION("""COMPUTED_VALUE"""),0.6153846153846154)</f>
        <v>0.6153846154</v>
      </c>
      <c r="L2760" s="82">
        <f>IFERROR(__xludf.DUMMYFUNCTION("""COMPUTED_VALUE"""),0.5384615384615384)</f>
        <v>0.5384615385</v>
      </c>
      <c r="M2760" s="82">
        <f>IFERROR(__xludf.DUMMYFUNCTION("""COMPUTED_VALUE"""),0.5384615384615384)</f>
        <v>0.5384615385</v>
      </c>
      <c r="N2760" s="82">
        <f>IFERROR(__xludf.DUMMYFUNCTION("""COMPUTED_VALUE"""),1.8461538461538463)</f>
        <v>1.846153846</v>
      </c>
      <c r="O2760" s="82">
        <f>IFERROR(__xludf.DUMMYFUNCTION("""COMPUTED_VALUE"""),386.3589743589745)</f>
        <v>386.3589744</v>
      </c>
      <c r="P2760" s="82">
        <f>IFERROR(__xludf.DUMMYFUNCTION("""COMPUTED_VALUE"""),0.9999999999999999)</f>
        <v>1</v>
      </c>
      <c r="Q2760" s="82">
        <f>IFERROR(__xludf.DUMMYFUNCTION("""COMPUTED_VALUE"""),0.6923076923076924)</f>
        <v>0.6923076923</v>
      </c>
      <c r="R2760" s="82">
        <f>IFERROR(__xludf.DUMMYFUNCTION("""COMPUTED_VALUE"""),1.3846153846153846)</f>
        <v>1.384615385</v>
      </c>
      <c r="S2760" s="82">
        <f>IFERROR(__xludf.DUMMYFUNCTION("""COMPUTED_VALUE"""),2.6153846153846154)</f>
        <v>2.615384615</v>
      </c>
      <c r="T2760" s="82">
        <f>IFERROR(__xludf.DUMMYFUNCTION("""COMPUTED_VALUE"""),343.8779445898192)</f>
        <v>343.8779446</v>
      </c>
      <c r="U2760" s="82">
        <f>IFERROR(__xludf.DUMMYFUNCTION("""COMPUTED_VALUE"""),0.8582575079715363)</f>
        <v>0.858257508</v>
      </c>
      <c r="V2760" s="82">
        <f>IFERROR(__xludf.DUMMYFUNCTION("""COMPUTED_VALUE"""),0.5419099190891543)</f>
        <v>0.5419099191</v>
      </c>
      <c r="W2760" s="82">
        <f>IFERROR(__xludf.DUMMYFUNCTION("""COMPUTED_VALUE"""),1.1710093692607242)</f>
        <v>1.171009369</v>
      </c>
      <c r="X2760" s="82">
        <f>IFERROR(__xludf.DUMMYFUNCTION("""COMPUTED_VALUE"""),2.4684209530964116)</f>
        <v>2.468420953</v>
      </c>
      <c r="Y2760" s="82">
        <f>IFERROR(__xludf.DUMMYFUNCTION("""COMPUTED_VALUE"""),325.32418485847995)</f>
        <v>325.3241849</v>
      </c>
      <c r="Z2760" s="82">
        <f>IFERROR(__xludf.DUMMYFUNCTION("""COMPUTED_VALUE"""),0.7456406880379174)</f>
        <v>0.745640688</v>
      </c>
      <c r="AA2760" s="82">
        <f>IFERROR(__xludf.DUMMYFUNCTION("""COMPUTED_VALUE"""),0.5001418197459149)</f>
        <v>0.5001418197</v>
      </c>
      <c r="AB2760" s="82">
        <f>IFERROR(__xludf.DUMMYFUNCTION("""COMPUTED_VALUE"""),1.1384162903349262)</f>
        <v>1.13841629</v>
      </c>
      <c r="AC2760" s="82">
        <f>IFERROR(__xludf.DUMMYFUNCTION("""COMPUTED_VALUE"""),2.366892087691198)</f>
        <v>2.366892088</v>
      </c>
      <c r="AD2760" s="82">
        <f>IFERROR(__xludf.DUMMYFUNCTION("""COMPUTED_VALUE"""),0.7840699675859779)</f>
        <v>0.7840699676</v>
      </c>
      <c r="AE2760" s="82">
        <f>IFERROR(__xludf.DUMMYFUNCTION("""COMPUTED_VALUE"""),0.8253098647338325)</f>
        <v>0.8253098647</v>
      </c>
      <c r="AF2760" s="82">
        <f>IFERROR(__xludf.DUMMYFUNCTION("""COMPUTED_VALUE"""),1.0766177056241588)</f>
        <v>1.076617706</v>
      </c>
      <c r="AG2760" s="82">
        <f>IFERROR(__xludf.DUMMYFUNCTION("""COMPUTED_VALUE"""),0.4729917720196371)</f>
        <v>0.472991772</v>
      </c>
      <c r="AH2760" s="82">
        <f>IFERROR(__xludf.DUMMYFUNCTION("""COMPUTED_VALUE"""),0.7799907126119512)</f>
        <v>0.7799907126</v>
      </c>
      <c r="AI2760" s="82">
        <f>IFERROR(__xludf.DUMMYFUNCTION("""COMPUTED_VALUE"""),1.1235351974079846)</f>
        <v>1.123535197</v>
      </c>
      <c r="AJ2760" s="82">
        <f>IFERROR(__xludf.DUMMYFUNCTION("""COMPUTED_VALUE"""),1.1651514734353647)</f>
        <v>1.165151473</v>
      </c>
      <c r="AK2760" s="82">
        <f>IFERROR(__xludf.DUMMYFUNCTION("""COMPUTED_VALUE"""),1.2775327926665887)</f>
        <v>1.277532793</v>
      </c>
      <c r="AL2760" s="82">
        <f>IFERROR(__xludf.DUMMYFUNCTION("""COMPUTED_VALUE"""),1.1824118755680948)</f>
        <v>1.182411876</v>
      </c>
      <c r="AM2760" s="82">
        <f>IFERROR(__xludf.DUMMYFUNCTION("""COMPUTED_VALUE"""),1.0595375201720967)</f>
        <v>1.05953752</v>
      </c>
      <c r="AN2760" s="82">
        <f>IFERROR(__xludf.DUMMYFUNCTION("""COMPUTED_VALUE"""),0.7933188120159714)</f>
        <v>0.793318812</v>
      </c>
      <c r="AO2760" s="82">
        <f>IFERROR(__xludf.DUMMYFUNCTION("""COMPUTED_VALUE"""),0.8385058664683095)</f>
        <v>0.8385058665</v>
      </c>
      <c r="AP2760" s="82">
        <f>IFERROR(__xludf.DUMMYFUNCTION("""COMPUTED_VALUE"""),1.0771078298477488)</f>
        <v>1.07710783</v>
      </c>
      <c r="AQ2760" s="82">
        <f>IFERROR(__xludf.DUMMYFUNCTION("""COMPUTED_VALUE"""),0.46248759124875843)</f>
        <v>0.4624875912</v>
      </c>
      <c r="AR2760" s="82">
        <f>IFERROR(__xludf.DUMMYFUNCTION("""COMPUTED_VALUE"""),0.797719248207539)</f>
        <v>0.7977192482</v>
      </c>
      <c r="AS2760" s="82">
        <f>IFERROR(__xludf.DUMMYFUNCTION("""COMPUTED_VALUE"""),28.0)</f>
        <v>28</v>
      </c>
      <c r="AT2760" s="82">
        <f>IFERROR(__xludf.DUMMYFUNCTION("""COMPUTED_VALUE"""),0.3704023677483531)</f>
        <v>0.3704023677</v>
      </c>
      <c r="AU2760" s="82">
        <f>IFERROR(__xludf.DUMMYFUNCTION("""COMPUTED_VALUE"""),1.4586135728365868)</f>
        <v>1.458613573</v>
      </c>
      <c r="AV2760" s="82">
        <f>IFERROR(__xludf.DUMMYFUNCTION("""COMPUTED_VALUE"""),32.28172989738968)</f>
        <v>32.2817299</v>
      </c>
      <c r="AW2760" s="82">
        <f t="shared" si="1"/>
        <v>-4.179802172</v>
      </c>
      <c r="AX2760" s="83">
        <f t="array" ref="AX2760">IFERROR(DGET('SBV Import'!A:G,"SBV",{"RSC ID","Tier";B2760,A2760}))</f>
        <v>17.13140365</v>
      </c>
      <c r="AY2760" s="82">
        <f t="shared" si="2"/>
        <v>-10.60467863</v>
      </c>
      <c r="AZ2760" s="82">
        <v>6.424876462064751</v>
      </c>
      <c r="BA2760" s="84">
        <v>2700.0</v>
      </c>
      <c r="BB2760" s="84" t="b">
        <f>IFERROR(__xludf.DUMMYFUNCTION("iferror(if(A2760="""",,E2760&gt;=FILTER(Constants!$F$2:$F$10,Constants!$A$2:$A$10=A2760)))"),TRUE)</f>
        <v>1</v>
      </c>
    </row>
    <row r="2761">
      <c r="A2761" s="89" t="str">
        <f>IFERROR(__xludf.DUMMYFUNCTION("""COMPUTED_VALUE"""),"Prospect")</f>
        <v>Prospect</v>
      </c>
      <c r="B2761" s="87" t="str">
        <f>IFERROR(__xludf.DUMMYFUNCTION("""COMPUTED_VALUE"""),"RSC005136")</f>
        <v>RSC005136</v>
      </c>
      <c r="C2761" s="73" t="str">
        <f>IFERROR(__xludf.DUMMYFUNCTION("""COMPUTED_VALUE"""),"tdogplayz")</f>
        <v>tdogplayz</v>
      </c>
      <c r="D2761" s="73" t="str">
        <f>IFERROR(__xludf.DUMMYFUNCTION("""COMPUTED_VALUE"""),"Principales")</f>
        <v>Principales</v>
      </c>
      <c r="E2761" s="82">
        <f>IFERROR(__xludf.DUMMYFUNCTION("""COMPUTED_VALUE"""),31.0)</f>
        <v>31</v>
      </c>
      <c r="F2761" s="82">
        <f>IFERROR(__xludf.DUMMYFUNCTION("""COMPUTED_VALUE"""),11.0)</f>
        <v>11</v>
      </c>
      <c r="G2761" s="86">
        <f>IFERROR(__xludf.DUMMYFUNCTION("""COMPUTED_VALUE"""),20.0)</f>
        <v>20</v>
      </c>
      <c r="H2761" s="86">
        <f>IFERROR(__xludf.DUMMYFUNCTION("""COMPUTED_VALUE"""),0.3548387096774194)</f>
        <v>0.3548387097</v>
      </c>
      <c r="I2761" s="86">
        <f>IFERROR(__xludf.DUMMYFUNCTION("""COMPUTED_VALUE"""),0.31481481481481477)</f>
        <v>0.3148148148</v>
      </c>
      <c r="J2761" s="82">
        <f>IFERROR(__xludf.DUMMYFUNCTION("""COMPUTED_VALUE"""),306.80645161290323)</f>
        <v>306.8064516</v>
      </c>
      <c r="K2761" s="82">
        <f>IFERROR(__xludf.DUMMYFUNCTION("""COMPUTED_VALUE"""),0.5483870967741935)</f>
        <v>0.5483870968</v>
      </c>
      <c r="L2761" s="82">
        <f>IFERROR(__xludf.DUMMYFUNCTION("""COMPUTED_VALUE"""),0.45161290322580644)</f>
        <v>0.4516129032</v>
      </c>
      <c r="M2761" s="82">
        <f>IFERROR(__xludf.DUMMYFUNCTION("""COMPUTED_VALUE"""),1.064516129032258)</f>
        <v>1.064516129</v>
      </c>
      <c r="N2761" s="82">
        <f>IFERROR(__xludf.DUMMYFUNCTION("""COMPUTED_VALUE"""),1.7419354838709677)</f>
        <v>1.741935484</v>
      </c>
      <c r="O2761" s="82">
        <f>IFERROR(__xludf.DUMMYFUNCTION("""COMPUTED_VALUE"""),339.2258064516129)</f>
        <v>339.2258065</v>
      </c>
      <c r="P2761" s="82">
        <f>IFERROR(__xludf.DUMMYFUNCTION("""COMPUTED_VALUE"""),0.903225806451613)</f>
        <v>0.9032258065</v>
      </c>
      <c r="Q2761" s="82">
        <f>IFERROR(__xludf.DUMMYFUNCTION("""COMPUTED_VALUE"""),0.6021505376344084)</f>
        <v>0.6021505376</v>
      </c>
      <c r="R2761" s="82">
        <f>IFERROR(__xludf.DUMMYFUNCTION("""COMPUTED_VALUE"""),1.032258064516129)</f>
        <v>1.032258065</v>
      </c>
      <c r="S2761" s="82">
        <f>IFERROR(__xludf.DUMMYFUNCTION("""COMPUTED_VALUE"""),2.462365591397849)</f>
        <v>2.462365591</v>
      </c>
      <c r="T2761" s="82">
        <f>IFERROR(__xludf.DUMMYFUNCTION("""COMPUTED_VALUE"""),331.5169073844588)</f>
        <v>331.5169074</v>
      </c>
      <c r="U2761" s="82">
        <f>IFERROR(__xludf.DUMMYFUNCTION("""COMPUTED_VALUE"""),0.7640554351103046)</f>
        <v>0.7640554351</v>
      </c>
      <c r="V2761" s="82">
        <f>IFERROR(__xludf.DUMMYFUNCTION("""COMPUTED_VALUE"""),0.5797792951200174)</f>
        <v>0.5797792951</v>
      </c>
      <c r="W2761" s="82">
        <f>IFERROR(__xludf.DUMMYFUNCTION("""COMPUTED_VALUE"""),1.1408945791747345)</f>
        <v>1.140894579</v>
      </c>
      <c r="X2761" s="82">
        <f>IFERROR(__xludf.DUMMYFUNCTION("""COMPUTED_VALUE"""),2.4328663998445306)</f>
        <v>2.4328664</v>
      </c>
      <c r="Y2761" s="82">
        <f>IFERROR(__xludf.DUMMYFUNCTION("""COMPUTED_VALUE"""),335.706826358343)</f>
        <v>335.7068264</v>
      </c>
      <c r="Z2761" s="82">
        <f>IFERROR(__xludf.DUMMYFUNCTION("""COMPUTED_VALUE"""),0.8040904873321276)</f>
        <v>0.8040904873</v>
      </c>
      <c r="AA2761" s="82">
        <f>IFERROR(__xludf.DUMMYFUNCTION("""COMPUTED_VALUE"""),0.5236866001146524)</f>
        <v>0.5236866001</v>
      </c>
      <c r="AB2761" s="82">
        <f>IFERROR(__xludf.DUMMYFUNCTION("""COMPUTED_VALUE"""),1.22626652836017)</f>
        <v>1.226266528</v>
      </c>
      <c r="AC2761" s="82">
        <f>IFERROR(__xludf.DUMMYFUNCTION("""COMPUTED_VALUE"""),2.3666255432197656)</f>
        <v>2.366625543</v>
      </c>
      <c r="AD2761" s="82">
        <f>IFERROR(__xludf.DUMMYFUNCTION("""COMPUTED_VALUE"""),0.9139118645308967)</f>
        <v>0.9139118645</v>
      </c>
      <c r="AE2761" s="82">
        <f>IFERROR(__xludf.DUMMYFUNCTION("""COMPUTED_VALUE"""),0.6819967471492839)</f>
        <v>0.6819967471</v>
      </c>
      <c r="AF2761" s="82">
        <f>IFERROR(__xludf.DUMMYFUNCTION("""COMPUTED_VALUE"""),0.8623724630856191)</f>
        <v>0.8623724631</v>
      </c>
      <c r="AG2761" s="82">
        <f>IFERROR(__xludf.DUMMYFUNCTION("""COMPUTED_VALUE"""),0.868095234121563)</f>
        <v>0.8680952341</v>
      </c>
      <c r="AH2761" s="82">
        <f>IFERROR(__xludf.DUMMYFUNCTION("""COMPUTED_VALUE"""),0.7360418672322303)</f>
        <v>0.7360418672</v>
      </c>
      <c r="AI2761" s="82">
        <f>IFERROR(__xludf.DUMMYFUNCTION("""COMPUTED_VALUE"""),1.0232534115016165)</f>
        <v>1.023253412</v>
      </c>
      <c r="AJ2761" s="82">
        <f>IFERROR(__xludf.DUMMYFUNCTION("""COMPUTED_VALUE"""),1.1821469555035844)</f>
        <v>1.182146956</v>
      </c>
      <c r="AK2761" s="82">
        <f>IFERROR(__xludf.DUMMYFUNCTION("""COMPUTED_VALUE"""),1.0385857906667055)</f>
        <v>1.038585791</v>
      </c>
      <c r="AL2761" s="82">
        <f>IFERROR(__xludf.DUMMYFUNCTION("""COMPUTED_VALUE"""),0.9047795329721107)</f>
        <v>0.904779533</v>
      </c>
      <c r="AM2761" s="82">
        <f>IFERROR(__xludf.DUMMYFUNCTION("""COMPUTED_VALUE"""),1.0121252821590219)</f>
        <v>1.012125282</v>
      </c>
      <c r="AN2761" s="82">
        <f>IFERROR(__xludf.DUMMYFUNCTION("""COMPUTED_VALUE"""),0.9542036448314211)</f>
        <v>0.9542036448</v>
      </c>
      <c r="AO2761" s="82">
        <f>IFERROR(__xludf.DUMMYFUNCTION("""COMPUTED_VALUE"""),0.7472169213286144)</f>
        <v>0.7472169213</v>
      </c>
      <c r="AP2761" s="82">
        <f>IFERROR(__xludf.DUMMYFUNCTION("""COMPUTED_VALUE"""),0.9033807605174667)</f>
        <v>0.9033807605</v>
      </c>
      <c r="AQ2761" s="82">
        <f>IFERROR(__xludf.DUMMYFUNCTION("""COMPUTED_VALUE"""),0.9143187863857943)</f>
        <v>0.9143187864</v>
      </c>
      <c r="AR2761" s="82">
        <f>IFERROR(__xludf.DUMMYFUNCTION("""COMPUTED_VALUE"""),0.7526867100022747)</f>
        <v>0.75268671</v>
      </c>
      <c r="AS2761" s="82">
        <f>IFERROR(__xludf.DUMMYFUNCTION("""COMPUTED_VALUE"""),59.0)</f>
        <v>59</v>
      </c>
      <c r="AT2761" s="82">
        <f>IFERROR(__xludf.DUMMYFUNCTION("""COMPUTED_VALUE"""),0.36635832360279674)</f>
        <v>0.3663583236</v>
      </c>
      <c r="AU2761" s="82">
        <f>IFERROR(__xludf.DUMMYFUNCTION("""COMPUTED_VALUE"""),1.4137263411059786)</f>
        <v>1.413726341</v>
      </c>
      <c r="AV2761" s="82">
        <f>IFERROR(__xludf.DUMMYFUNCTION("""COMPUTED_VALUE"""),31.06718229220704)</f>
        <v>31.06718229</v>
      </c>
      <c r="AW2761" s="82">
        <f t="shared" si="1"/>
        <v>-4.455707095</v>
      </c>
      <c r="AX2761" s="83">
        <f t="array" ref="AX2761">IFERROR(DGET('SBV Import'!A:G,"SBV",{"RSC ID","Tier";B2761,A2761}))</f>
        <v>41.62699241</v>
      </c>
      <c r="AY2761" s="82">
        <f t="shared" si="2"/>
        <v>-2.711183557</v>
      </c>
      <c r="AZ2761" s="82">
        <v>1.7445235379081936</v>
      </c>
      <c r="BA2761" s="84">
        <v>2700.0</v>
      </c>
      <c r="BB2761" s="84" t="b">
        <f>IFERROR(__xludf.DUMMYFUNCTION("iferror(if(A2761="""",,E2761&gt;=FILTER(Constants!$F$2:$F$10,Constants!$A$2:$A$10=A2761)))"),TRUE)</f>
        <v>1</v>
      </c>
    </row>
    <row r="2762">
      <c r="A2762" s="89" t="str">
        <f>IFERROR(__xludf.DUMMYFUNCTION("""COMPUTED_VALUE"""),"Prospect")</f>
        <v>Prospect</v>
      </c>
      <c r="B2762" s="87" t="str">
        <f>IFERROR(__xludf.DUMMYFUNCTION("""COMPUTED_VALUE"""),"RSC000253")</f>
        <v>RSC000253</v>
      </c>
      <c r="C2762" s="73" t="str">
        <f>IFERROR(__xludf.DUMMYFUNCTION("""COMPUTED_VALUE"""),"musah")</f>
        <v>musah</v>
      </c>
      <c r="D2762" s="73" t="str">
        <f>IFERROR(__xludf.DUMMYFUNCTION("""COMPUTED_VALUE"""),"Khans")</f>
        <v>Khans</v>
      </c>
      <c r="E2762" s="82">
        <f>IFERROR(__xludf.DUMMYFUNCTION("""COMPUTED_VALUE"""),38.0)</f>
        <v>38</v>
      </c>
      <c r="F2762" s="82">
        <f>IFERROR(__xludf.DUMMYFUNCTION("""COMPUTED_VALUE"""),16.0)</f>
        <v>16</v>
      </c>
      <c r="G2762" s="86">
        <f>IFERROR(__xludf.DUMMYFUNCTION("""COMPUTED_VALUE"""),22.0)</f>
        <v>22</v>
      </c>
      <c r="H2762" s="86">
        <f>IFERROR(__xludf.DUMMYFUNCTION("""COMPUTED_VALUE"""),0.42105263157894735)</f>
        <v>0.4210526316</v>
      </c>
      <c r="I2762" s="86">
        <f>IFERROR(__xludf.DUMMYFUNCTION("""COMPUTED_VALUE"""),0.25609756097560976)</f>
        <v>0.256097561</v>
      </c>
      <c r="J2762" s="82">
        <f>IFERROR(__xludf.DUMMYFUNCTION("""COMPUTED_VALUE"""),266.6842105263158)</f>
        <v>266.6842105</v>
      </c>
      <c r="K2762" s="82">
        <f>IFERROR(__xludf.DUMMYFUNCTION("""COMPUTED_VALUE"""),0.5526315789473685)</f>
        <v>0.5526315789</v>
      </c>
      <c r="L2762" s="82">
        <f>IFERROR(__xludf.DUMMYFUNCTION("""COMPUTED_VALUE"""),0.23684210526315788)</f>
        <v>0.2368421053</v>
      </c>
      <c r="M2762" s="82">
        <f>IFERROR(__xludf.DUMMYFUNCTION("""COMPUTED_VALUE"""),0.9473684210526315)</f>
        <v>0.9473684211</v>
      </c>
      <c r="N2762" s="82">
        <f>IFERROR(__xludf.DUMMYFUNCTION("""COMPUTED_VALUE"""),2.1578947368421053)</f>
        <v>2.157894737</v>
      </c>
      <c r="O2762" s="82">
        <f>IFERROR(__xludf.DUMMYFUNCTION("""COMPUTED_VALUE"""),351.9561403508772)</f>
        <v>351.9561404</v>
      </c>
      <c r="P2762" s="82">
        <f>IFERROR(__xludf.DUMMYFUNCTION("""COMPUTED_VALUE"""),0.8684210526315788)</f>
        <v>0.8684210526</v>
      </c>
      <c r="Q2762" s="82">
        <f>IFERROR(__xludf.DUMMYFUNCTION("""COMPUTED_VALUE"""),0.6052631578947368)</f>
        <v>0.6052631579</v>
      </c>
      <c r="R2762" s="82">
        <f>IFERROR(__xludf.DUMMYFUNCTION("""COMPUTED_VALUE"""),1.1578947368421058)</f>
        <v>1.157894737</v>
      </c>
      <c r="S2762" s="82">
        <f>IFERROR(__xludf.DUMMYFUNCTION("""COMPUTED_VALUE"""),2.81578947368421)</f>
        <v>2.815789474</v>
      </c>
      <c r="T2762" s="82">
        <f>IFERROR(__xludf.DUMMYFUNCTION("""COMPUTED_VALUE"""),341.5397031092276)</f>
        <v>341.5397031</v>
      </c>
      <c r="U2762" s="82">
        <f>IFERROR(__xludf.DUMMYFUNCTION("""COMPUTED_VALUE"""),0.8352173690255034)</f>
        <v>0.835217369</v>
      </c>
      <c r="V2762" s="82">
        <f>IFERROR(__xludf.DUMMYFUNCTION("""COMPUTED_VALUE"""),0.5789389119389294)</f>
        <v>0.5789389119</v>
      </c>
      <c r="W2762" s="82">
        <f>IFERROR(__xludf.DUMMYFUNCTION("""COMPUTED_VALUE"""),1.1614886822350823)</f>
        <v>1.161488682</v>
      </c>
      <c r="X2762" s="82">
        <f>IFERROR(__xludf.DUMMYFUNCTION("""COMPUTED_VALUE"""),2.5668797666958523)</f>
        <v>2.566879767</v>
      </c>
      <c r="Y2762" s="82">
        <f>IFERROR(__xludf.DUMMYFUNCTION("""COMPUTED_VALUE"""),329.74551947379297)</f>
        <v>329.7455195</v>
      </c>
      <c r="Z2762" s="82">
        <f>IFERROR(__xludf.DUMMYFUNCTION("""COMPUTED_VALUE"""),0.7502941011594286)</f>
        <v>0.7502941012</v>
      </c>
      <c r="AA2762" s="82">
        <f>IFERROR(__xludf.DUMMYFUNCTION("""COMPUTED_VALUE"""),0.4980682763339145)</f>
        <v>0.4980682763</v>
      </c>
      <c r="AB2762" s="82">
        <f>IFERROR(__xludf.DUMMYFUNCTION("""COMPUTED_VALUE"""),1.2299136848863346)</f>
        <v>1.229913685</v>
      </c>
      <c r="AC2762" s="82">
        <f>IFERROR(__xludf.DUMMYFUNCTION("""COMPUTED_VALUE"""),2.313011406909449)</f>
        <v>2.313011407</v>
      </c>
      <c r="AD2762" s="82">
        <f>IFERROR(__xludf.DUMMYFUNCTION("""COMPUTED_VALUE"""),0.8087576472665641)</f>
        <v>0.8087576473</v>
      </c>
      <c r="AE2762" s="82">
        <f>IFERROR(__xludf.DUMMYFUNCTION("""COMPUTED_VALUE"""),0.7365532770328163)</f>
        <v>0.736553277</v>
      </c>
      <c r="AF2762" s="82">
        <f>IFERROR(__xludf.DUMMYFUNCTION("""COMPUTED_VALUE"""),0.47552136226474784)</f>
        <v>0.4755213623</v>
      </c>
      <c r="AG2762" s="82">
        <f>IFERROR(__xludf.DUMMYFUNCTION("""COMPUTED_VALUE"""),0.7702722822701049)</f>
        <v>0.7702722823</v>
      </c>
      <c r="AH2762" s="82">
        <f>IFERROR(__xludf.DUMMYFUNCTION("""COMPUTED_VALUE"""),0.9329373518850889)</f>
        <v>0.9329373519</v>
      </c>
      <c r="AI2762" s="82">
        <f>IFERROR(__xludf.DUMMYFUNCTION("""COMPUTED_VALUE"""),1.030498466640402)</f>
        <v>1.030498467</v>
      </c>
      <c r="AJ2762" s="82">
        <f>IFERROR(__xludf.DUMMYFUNCTION("""COMPUTED_VALUE"""),1.0397545415570273)</f>
        <v>1.039754542</v>
      </c>
      <c r="AK2762" s="82">
        <f>IFERROR(__xludf.DUMMYFUNCTION("""COMPUTED_VALUE"""),1.04546981626722)</f>
        <v>1.045469816</v>
      </c>
      <c r="AL2762" s="82">
        <f>IFERROR(__xludf.DUMMYFUNCTION("""COMPUTED_VALUE"""),0.9969057422186322)</f>
        <v>0.9969057422</v>
      </c>
      <c r="AM2762" s="82">
        <f>IFERROR(__xludf.DUMMYFUNCTION("""COMPUTED_VALUE"""),1.096969756907921)</f>
        <v>1.096969757</v>
      </c>
      <c r="AN2762" s="82">
        <f>IFERROR(__xludf.DUMMYFUNCTION("""COMPUTED_VALUE"""),0.8294188220796148)</f>
        <v>0.8294188221</v>
      </c>
      <c r="AO2762" s="82">
        <f>IFERROR(__xludf.DUMMYFUNCTION("""COMPUTED_VALUE"""),0.7530003340323964)</f>
        <v>0.753000334</v>
      </c>
      <c r="AP2762" s="82">
        <f>IFERROR(__xludf.DUMMYFUNCTION("""COMPUTED_VALUE"""),0.47376547403077673)</f>
        <v>0.473765474</v>
      </c>
      <c r="AQ2762" s="82">
        <f>IFERROR(__xludf.DUMMYFUNCTION("""COMPUTED_VALUE"""),0.8136999725730036)</f>
        <v>0.8136999726</v>
      </c>
      <c r="AR2762" s="82">
        <f>IFERROR(__xludf.DUMMYFUNCTION("""COMPUTED_VALUE"""),0.9324218405583734)</f>
        <v>0.9324218406</v>
      </c>
      <c r="AS2762" s="82">
        <f>IFERROR(__xludf.DUMMYFUNCTION("""COMPUTED_VALUE"""),63.0)</f>
        <v>63</v>
      </c>
      <c r="AT2762" s="82">
        <f>IFERROR(__xludf.DUMMYFUNCTION("""COMPUTED_VALUE"""),0.3350877487993967)</f>
        <v>0.3350877488</v>
      </c>
      <c r="AU2762" s="82">
        <f>IFERROR(__xludf.DUMMYFUNCTION("""COMPUTED_VALUE"""),1.3848320385617883)</f>
        <v>1.384832039</v>
      </c>
      <c r="AV2762" s="82">
        <f>IFERROR(__xludf.DUMMYFUNCTION("""COMPUTED_VALUE"""),30.285367406203743)</f>
        <v>30.28536741</v>
      </c>
      <c r="AW2762" s="82">
        <f t="shared" si="1"/>
        <v>-4.647332273</v>
      </c>
      <c r="AX2762" s="83">
        <f t="array" ref="AX2762">IFERROR(DGET('SBV Import'!A:G,"SBV",{"RSC ID","Tier";B2762,A2762}))</f>
        <v>18.94767594</v>
      </c>
      <c r="AY2762" s="82">
        <f t="shared" si="2"/>
        <v>-9.336969439</v>
      </c>
      <c r="AZ2762" s="82">
        <v>4.6896371654626545</v>
      </c>
      <c r="BA2762" s="84">
        <v>2700.0</v>
      </c>
      <c r="BB2762" s="84" t="b">
        <f>IFERROR(__xludf.DUMMYFUNCTION("iferror(if(A2762="""",,E2762&gt;=FILTER(Constants!$F$2:$F$10,Constants!$A$2:$A$10=A2762)))"),TRUE)</f>
        <v>1</v>
      </c>
    </row>
    <row r="2763">
      <c r="A2763" s="89" t="str">
        <f>IFERROR(__xludf.DUMMYFUNCTION("""COMPUTED_VALUE"""),"Prospect")</f>
        <v>Prospect</v>
      </c>
      <c r="B2763" s="87" t="str">
        <f>IFERROR(__xludf.DUMMYFUNCTION("""COMPUTED_VALUE"""),"RSC006793")</f>
        <v>RSC006793</v>
      </c>
      <c r="C2763" s="73" t="str">
        <f>IFERROR(__xludf.DUMMYFUNCTION("""COMPUTED_VALUE"""),"Yogibear8003")</f>
        <v>Yogibear8003</v>
      </c>
      <c r="D2763" s="73"/>
      <c r="E2763" s="82">
        <f>IFERROR(__xludf.DUMMYFUNCTION("""COMPUTED_VALUE"""),5.0)</f>
        <v>5</v>
      </c>
      <c r="F2763" s="82">
        <f>IFERROR(__xludf.DUMMYFUNCTION("""COMPUTED_VALUE"""),0.0)</f>
        <v>0</v>
      </c>
      <c r="G2763" s="86">
        <f>IFERROR(__xludf.DUMMYFUNCTION("""COMPUTED_VALUE"""),5.0)</f>
        <v>5</v>
      </c>
      <c r="H2763" s="86">
        <f>IFERROR(__xludf.DUMMYFUNCTION("""COMPUTED_VALUE"""),0.0)</f>
        <v>0</v>
      </c>
      <c r="I2763" s="86">
        <f>IFERROR(__xludf.DUMMYFUNCTION("""COMPUTED_VALUE"""),0.22222222222222224)</f>
        <v>0.2222222222</v>
      </c>
      <c r="J2763" s="82">
        <f>IFERROR(__xludf.DUMMYFUNCTION("""COMPUTED_VALUE"""),320.2)</f>
        <v>320.2</v>
      </c>
      <c r="K2763" s="82">
        <f>IFERROR(__xludf.DUMMYFUNCTION("""COMPUTED_VALUE"""),0.4)</f>
        <v>0.4</v>
      </c>
      <c r="L2763" s="82">
        <f>IFERROR(__xludf.DUMMYFUNCTION("""COMPUTED_VALUE"""),0.6)</f>
        <v>0.6</v>
      </c>
      <c r="M2763" s="82">
        <f>IFERROR(__xludf.DUMMYFUNCTION("""COMPUTED_VALUE"""),1.4)</f>
        <v>1.4</v>
      </c>
      <c r="N2763" s="82">
        <f>IFERROR(__xludf.DUMMYFUNCTION("""COMPUTED_VALUE"""),1.8)</f>
        <v>1.8</v>
      </c>
      <c r="O2763" s="82">
        <f>IFERROR(__xludf.DUMMYFUNCTION("""COMPUTED_VALUE"""),372.5333333333333)</f>
        <v>372.5333333</v>
      </c>
      <c r="P2763" s="82">
        <f>IFERROR(__xludf.DUMMYFUNCTION("""COMPUTED_VALUE"""),1.0666666666666667)</f>
        <v>1.066666667</v>
      </c>
      <c r="Q2763" s="82">
        <f>IFERROR(__xludf.DUMMYFUNCTION("""COMPUTED_VALUE"""),0.6666666666666667)</f>
        <v>0.6666666667</v>
      </c>
      <c r="R2763" s="82">
        <f>IFERROR(__xludf.DUMMYFUNCTION("""COMPUTED_VALUE"""),1.3333333333333335)</f>
        <v>1.333333333</v>
      </c>
      <c r="S2763" s="82">
        <f>IFERROR(__xludf.DUMMYFUNCTION("""COMPUTED_VALUE"""),2.4666666666666663)</f>
        <v>2.466666667</v>
      </c>
      <c r="T2763" s="82">
        <f>IFERROR(__xludf.DUMMYFUNCTION("""COMPUTED_VALUE"""),343.70758726533876)</f>
        <v>343.7075873</v>
      </c>
      <c r="U2763" s="82">
        <f>IFERROR(__xludf.DUMMYFUNCTION("""COMPUTED_VALUE"""),0.9143552081998092)</f>
        <v>0.9143552082</v>
      </c>
      <c r="V2763" s="82">
        <f>IFERROR(__xludf.DUMMYFUNCTION("""COMPUTED_VALUE"""),0.5180283954041732)</f>
        <v>0.5180283954</v>
      </c>
      <c r="W2763" s="82">
        <f>IFERROR(__xludf.DUMMYFUNCTION("""COMPUTED_VALUE"""),1.2000525954317711)</f>
        <v>1.200052595</v>
      </c>
      <c r="X2763" s="82">
        <f>IFERROR(__xludf.DUMMYFUNCTION("""COMPUTED_VALUE"""),2.530658439294698)</f>
        <v>2.530658439</v>
      </c>
      <c r="Y2763" s="82">
        <f>IFERROR(__xludf.DUMMYFUNCTION("""COMPUTED_VALUE"""),317.7523145886262)</f>
        <v>317.7523146</v>
      </c>
      <c r="Z2763" s="82">
        <f>IFERROR(__xludf.DUMMYFUNCTION("""COMPUTED_VALUE"""),0.6721222132680695)</f>
        <v>0.6721222133</v>
      </c>
      <c r="AA2763" s="82">
        <f>IFERROR(__xludf.DUMMYFUNCTION("""COMPUTED_VALUE"""),0.4817902071222754)</f>
        <v>0.4817902071</v>
      </c>
      <c r="AB2763" s="82">
        <f>IFERROR(__xludf.DUMMYFUNCTION("""COMPUTED_VALUE"""),1.1322773897839542)</f>
        <v>1.13227739</v>
      </c>
      <c r="AC2763" s="82">
        <f>IFERROR(__xludf.DUMMYFUNCTION("""COMPUTED_VALUE"""),2.350940113062813)</f>
        <v>2.350940113</v>
      </c>
      <c r="AD2763" s="82">
        <f>IFERROR(__xludf.DUMMYFUNCTION("""COMPUTED_VALUE"""),1.0077031237822538)</f>
        <v>1.007703124</v>
      </c>
      <c r="AE2763" s="82">
        <f>IFERROR(__xludf.DUMMYFUNCTION("""COMPUTED_VALUE"""),0.5951298619563163)</f>
        <v>0.595129862</v>
      </c>
      <c r="AF2763" s="82">
        <f>IFERROR(__xludf.DUMMYFUNCTION("""COMPUTED_VALUE"""),1.2453553250569156)</f>
        <v>1.245355325</v>
      </c>
      <c r="AG2763" s="82">
        <f>IFERROR(__xludf.DUMMYFUNCTION("""COMPUTED_VALUE"""),1.2364461329278411)</f>
        <v>1.236446133</v>
      </c>
      <c r="AH2763" s="82">
        <f>IFERROR(__xludf.DUMMYFUNCTION("""COMPUTED_VALUE"""),0.7656511495118239)</f>
        <v>0.7656511495</v>
      </c>
      <c r="AI2763" s="82">
        <f>IFERROR(__xludf.DUMMYFUNCTION("""COMPUTED_VALUE"""),1.0838670635622056)</f>
        <v>1.083867064</v>
      </c>
      <c r="AJ2763" s="82">
        <f>IFERROR(__xludf.DUMMYFUNCTION("""COMPUTED_VALUE"""),1.1665779962764466)</f>
        <v>1.166577996</v>
      </c>
      <c r="AK2763" s="82">
        <f>IFERROR(__xludf.DUMMYFUNCTION("""COMPUTED_VALUE"""),1.2869307408265214)</f>
        <v>1.286930741</v>
      </c>
      <c r="AL2763" s="82">
        <f>IFERROR(__xludf.DUMMYFUNCTION("""COMPUTED_VALUE"""),1.1110624137716305)</f>
        <v>1.111062414</v>
      </c>
      <c r="AM2763" s="82">
        <f>IFERROR(__xludf.DUMMYFUNCTION("""COMPUTED_VALUE"""),0.9747133901460577)</f>
        <v>0.9747133901</v>
      </c>
      <c r="AN2763" s="82">
        <f>IFERROR(__xludf.DUMMYFUNCTION("""COMPUTED_VALUE"""),0.9958591335638367)</f>
        <v>0.9958591336</v>
      </c>
      <c r="AO2763" s="82">
        <f>IFERROR(__xludf.DUMMYFUNCTION("""COMPUTED_VALUE"""),0.5450288132044012)</f>
        <v>0.5450288132</v>
      </c>
      <c r="AP2763" s="82">
        <f>IFERROR(__xludf.DUMMYFUNCTION("""COMPUTED_VALUE"""),1.2002058675446343)</f>
        <v>1.200205868</v>
      </c>
      <c r="AQ2763" s="82">
        <f>IFERROR(__xludf.DUMMYFUNCTION("""COMPUTED_VALUE"""),1.202467737246772)</f>
        <v>1.202467737</v>
      </c>
      <c r="AR2763" s="82">
        <f>IFERROR(__xludf.DUMMYFUNCTION("""COMPUTED_VALUE"""),0.7777762670023506)</f>
        <v>0.777776267</v>
      </c>
      <c r="AS2763" s="82">
        <f>IFERROR(__xludf.DUMMYFUNCTION("""COMPUTED_VALUE"""),6.0)</f>
        <v>6</v>
      </c>
      <c r="AT2763" s="82">
        <f>IFERROR(__xludf.DUMMYFUNCTION("""COMPUTED_VALUE"""),0.18233636921178786)</f>
        <v>0.1823363692</v>
      </c>
      <c r="AU2763" s="82">
        <f>IFERROR(__xludf.DUMMYFUNCTION("""COMPUTED_VALUE"""),1.3819454874846415)</f>
        <v>1.381945487</v>
      </c>
      <c r="AV2763" s="82">
        <f>IFERROR(__xludf.DUMMYFUNCTION("""COMPUTED_VALUE"""),30.20726382166936)</f>
        <v>30.20726382</v>
      </c>
      <c r="AW2763" s="82">
        <f t="shared" si="1"/>
        <v>-4.667116595</v>
      </c>
      <c r="AX2763" s="83">
        <f t="array" ref="AX2763">IFERROR(DGET('SBV Import'!A:G,"SBV",{"RSC ID","Tier";B2763,A2763}))</f>
        <v>51.88142731</v>
      </c>
      <c r="AY2763" s="82">
        <f t="shared" si="2"/>
        <v>2.127636578</v>
      </c>
      <c r="AZ2763" s="82">
        <v>6.794753173576913</v>
      </c>
      <c r="BA2763" s="84">
        <v>2700.0</v>
      </c>
      <c r="BB2763" s="84" t="b">
        <f>IFERROR(__xludf.DUMMYFUNCTION("iferror(if(A2763="""",,E2763&gt;=FILTER(Constants!$F$2:$F$10,Constants!$A$2:$A$10=A2763)))"),TRUE)</f>
        <v>1</v>
      </c>
    </row>
    <row r="2764">
      <c r="A2764" s="89" t="str">
        <f>IFERROR(__xludf.DUMMYFUNCTION("""COMPUTED_VALUE"""),"Prospect")</f>
        <v>Prospect</v>
      </c>
      <c r="B2764" s="87" t="str">
        <f>IFERROR(__xludf.DUMMYFUNCTION("""COMPUTED_VALUE"""),"RSC007834")</f>
        <v>RSC007834</v>
      </c>
      <c r="C2764" s="73" t="str">
        <f>IFERROR(__xludf.DUMMYFUNCTION("""COMPUTED_VALUE"""),"Kyyrbes")</f>
        <v>Kyyrbes</v>
      </c>
      <c r="D2764" s="73" t="str">
        <f>IFERROR(__xludf.DUMMYFUNCTION("""COMPUTED_VALUE"""),"Gloom")</f>
        <v>Gloom</v>
      </c>
      <c r="E2764" s="82">
        <f>IFERROR(__xludf.DUMMYFUNCTION("""COMPUTED_VALUE"""),37.0)</f>
        <v>37</v>
      </c>
      <c r="F2764" s="82">
        <f>IFERROR(__xludf.DUMMYFUNCTION("""COMPUTED_VALUE"""),13.0)</f>
        <v>13</v>
      </c>
      <c r="G2764" s="86">
        <f>IFERROR(__xludf.DUMMYFUNCTION("""COMPUTED_VALUE"""),24.0)</f>
        <v>24</v>
      </c>
      <c r="H2764" s="86">
        <f>IFERROR(__xludf.DUMMYFUNCTION("""COMPUTED_VALUE"""),0.35135135135135137)</f>
        <v>0.3513513514</v>
      </c>
      <c r="I2764" s="86">
        <f>IFERROR(__xludf.DUMMYFUNCTION("""COMPUTED_VALUE"""),0.1643835616438356)</f>
        <v>0.1643835616</v>
      </c>
      <c r="J2764" s="82">
        <f>IFERROR(__xludf.DUMMYFUNCTION("""COMPUTED_VALUE"""),308.72972972972974)</f>
        <v>308.7297297</v>
      </c>
      <c r="K2764" s="82">
        <f>IFERROR(__xludf.DUMMYFUNCTION("""COMPUTED_VALUE"""),0.32432432432432434)</f>
        <v>0.3243243243</v>
      </c>
      <c r="L2764" s="82">
        <f>IFERROR(__xludf.DUMMYFUNCTION("""COMPUTED_VALUE"""),0.4864864864864865)</f>
        <v>0.4864864865</v>
      </c>
      <c r="M2764" s="82">
        <f>IFERROR(__xludf.DUMMYFUNCTION("""COMPUTED_VALUE"""),1.4324324324324325)</f>
        <v>1.432432432</v>
      </c>
      <c r="N2764" s="82">
        <f>IFERROR(__xludf.DUMMYFUNCTION("""COMPUTED_VALUE"""),1.972972972972973)</f>
        <v>1.972972973</v>
      </c>
      <c r="O2764" s="82">
        <f>IFERROR(__xludf.DUMMYFUNCTION("""COMPUTED_VALUE"""),338.9459459459459)</f>
        <v>338.9459459</v>
      </c>
      <c r="P2764" s="82">
        <f>IFERROR(__xludf.DUMMYFUNCTION("""COMPUTED_VALUE"""),0.8828828828828829)</f>
        <v>0.8828828829</v>
      </c>
      <c r="Q2764" s="82">
        <f>IFERROR(__xludf.DUMMYFUNCTION("""COMPUTED_VALUE"""),0.5495495495495497)</f>
        <v>0.5495495495</v>
      </c>
      <c r="R2764" s="82">
        <f>IFERROR(__xludf.DUMMYFUNCTION("""COMPUTED_VALUE"""),1.0450450450450453)</f>
        <v>1.045045045</v>
      </c>
      <c r="S2764" s="82">
        <f>IFERROR(__xludf.DUMMYFUNCTION("""COMPUTED_VALUE"""),2.8468468468468466)</f>
        <v>2.846846847</v>
      </c>
      <c r="T2764" s="82">
        <f>IFERROR(__xludf.DUMMYFUNCTION("""COMPUTED_VALUE"""),346.65192984752576)</f>
        <v>346.6519298</v>
      </c>
      <c r="U2764" s="82">
        <f>IFERROR(__xludf.DUMMYFUNCTION("""COMPUTED_VALUE"""),0.8789180883743526)</f>
        <v>0.8789180884</v>
      </c>
      <c r="V2764" s="82">
        <f>IFERROR(__xludf.DUMMYFUNCTION("""COMPUTED_VALUE"""),0.5576919108301716)</f>
        <v>0.5576919108</v>
      </c>
      <c r="W2764" s="82">
        <f>IFERROR(__xludf.DUMMYFUNCTION("""COMPUTED_VALUE"""),1.181613657106082)</f>
        <v>1.181613657</v>
      </c>
      <c r="X2764" s="82">
        <f>IFERROR(__xludf.DUMMYFUNCTION("""COMPUTED_VALUE"""),2.6143438255070026)</f>
        <v>2.614343826</v>
      </c>
      <c r="Y2764" s="82">
        <f>IFERROR(__xludf.DUMMYFUNCTION("""COMPUTED_VALUE"""),326.59277151296493)</f>
        <v>326.5927715</v>
      </c>
      <c r="Z2764" s="82">
        <f>IFERROR(__xludf.DUMMYFUNCTION("""COMPUTED_VALUE"""),0.7172671795685356)</f>
        <v>0.7172671796</v>
      </c>
      <c r="AA2764" s="82">
        <f>IFERROR(__xludf.DUMMYFUNCTION("""COMPUTED_VALUE"""),0.4838411859126588)</f>
        <v>0.4838411859</v>
      </c>
      <c r="AB2764" s="82">
        <f>IFERROR(__xludf.DUMMYFUNCTION("""COMPUTED_VALUE"""),1.243072161782243)</f>
        <v>1.243072162</v>
      </c>
      <c r="AC2764" s="82">
        <f>IFERROR(__xludf.DUMMYFUNCTION("""COMPUTED_VALUE"""),2.3189053507464696)</f>
        <v>2.318905351</v>
      </c>
      <c r="AD2764" s="82">
        <f>IFERROR(__xludf.DUMMYFUNCTION("""COMPUTED_VALUE"""),0.9453048464591444)</f>
        <v>0.9453048465</v>
      </c>
      <c r="AE2764" s="82">
        <f>IFERROR(__xludf.DUMMYFUNCTION("""COMPUTED_VALUE"""),0.45216668706271795)</f>
        <v>0.4521666871</v>
      </c>
      <c r="AF2764" s="82">
        <f>IFERROR(__xludf.DUMMYFUNCTION("""COMPUTED_VALUE"""),1.0054672910261617)</f>
        <v>1.005467291</v>
      </c>
      <c r="AG2764" s="82">
        <f>IFERROR(__xludf.DUMMYFUNCTION("""COMPUTED_VALUE"""),1.1523324843657476)</f>
        <v>1.152332484</v>
      </c>
      <c r="AH2764" s="82">
        <f>IFERROR(__xludf.DUMMYFUNCTION("""COMPUTED_VALUE"""),0.8508208290337771)</f>
        <v>0.850820829</v>
      </c>
      <c r="AI2764" s="82">
        <f>IFERROR(__xludf.DUMMYFUNCTION("""COMPUTED_VALUE"""),0.9777702552962294)</f>
        <v>0.9777702553</v>
      </c>
      <c r="AJ2764" s="82">
        <f>IFERROR(__xludf.DUMMYFUNCTION("""COMPUTED_VALUE"""),1.004510994324697)</f>
        <v>1.004510994</v>
      </c>
      <c r="AK2764" s="82">
        <f>IFERROR(__xludf.DUMMYFUNCTION("""COMPUTED_VALUE"""),0.9853998935209564)</f>
        <v>0.9853998935</v>
      </c>
      <c r="AL2764" s="82">
        <f>IFERROR(__xludf.DUMMYFUNCTION("""COMPUTED_VALUE"""),0.8844219417745135)</f>
        <v>0.8844219418</v>
      </c>
      <c r="AM2764" s="82">
        <f>IFERROR(__xludf.DUMMYFUNCTION("""COMPUTED_VALUE"""),1.088933605087217)</f>
        <v>1.088933605</v>
      </c>
      <c r="AN2764" s="82">
        <f>IFERROR(__xludf.DUMMYFUNCTION("""COMPUTED_VALUE"""),0.9601852628171335)</f>
        <v>0.9601852628</v>
      </c>
      <c r="AO2764" s="82">
        <f>IFERROR(__xludf.DUMMYFUNCTION("""COMPUTED_VALUE"""),0.4419152539495145)</f>
        <v>0.4419152539</v>
      </c>
      <c r="AP2764" s="82">
        <f>IFERROR(__xludf.DUMMYFUNCTION("""COMPUTED_VALUE"""),0.9731398926037577)</f>
        <v>0.9731398926</v>
      </c>
      <c r="AQ2764" s="82">
        <f>IFERROR(__xludf.DUMMYFUNCTION("""COMPUTED_VALUE"""),1.2303241327042262)</f>
        <v>1.230324133</v>
      </c>
      <c r="AR2764" s="82">
        <f>IFERROR(__xludf.DUMMYFUNCTION("""COMPUTED_VALUE"""),0.8525175298974713)</f>
        <v>0.8525175299</v>
      </c>
      <c r="AS2764" s="82">
        <f>IFERROR(__xludf.DUMMYFUNCTION("""COMPUTED_VALUE"""),58.0)</f>
        <v>58</v>
      </c>
      <c r="AT2764" s="82">
        <f>IFERROR(__xludf.DUMMYFUNCTION("""COMPUTED_VALUE"""),0.3115854004805458)</f>
        <v>0.3115854005</v>
      </c>
      <c r="AU2764" s="82">
        <f>IFERROR(__xludf.DUMMYFUNCTION("""COMPUTED_VALUE"""),1.336280504696329)</f>
        <v>1.336280505</v>
      </c>
      <c r="AV2764" s="82">
        <f>IFERROR(__xludf.DUMMYFUNCTION("""COMPUTED_VALUE"""),28.971672020884906)</f>
        <v>28.97167202</v>
      </c>
      <c r="AW2764" s="82">
        <f t="shared" si="1"/>
        <v>-4.996585296</v>
      </c>
      <c r="AX2764" s="83">
        <f t="array" ref="AX2764">IFERROR(DGET('SBV Import'!A:G,"SBV",{"RSC ID","Tier";B2764,A2764}))</f>
        <v>38.50077865</v>
      </c>
      <c r="AY2764" s="82">
        <f t="shared" si="2"/>
        <v>-3.098188199</v>
      </c>
      <c r="AZ2764" s="82">
        <v>1.898397096937423</v>
      </c>
      <c r="BA2764" s="84">
        <v>2700.0</v>
      </c>
      <c r="BB2764" s="84" t="b">
        <f>IFERROR(__xludf.DUMMYFUNCTION("iferror(if(A2764="""",,E2764&gt;=FILTER(Constants!$F$2:$F$10,Constants!$A$2:$A$10=A2764)))"),TRUE)</f>
        <v>1</v>
      </c>
    </row>
    <row r="2765">
      <c r="A2765" s="89" t="str">
        <f>IFERROR(__xludf.DUMMYFUNCTION("""COMPUTED_VALUE"""),"Prospect")</f>
        <v>Prospect</v>
      </c>
      <c r="B2765" s="87" t="str">
        <f>IFERROR(__xludf.DUMMYFUNCTION("""COMPUTED_VALUE"""),"RSC001820")</f>
        <v>RSC001820</v>
      </c>
      <c r="C2765" s="73" t="str">
        <f>IFERROR(__xludf.DUMMYFUNCTION("""COMPUTED_VALUE"""),"YourEvilTwin")</f>
        <v>YourEvilTwin</v>
      </c>
      <c r="D2765" s="73" t="str">
        <f>IFERROR(__xludf.DUMMYFUNCTION("""COMPUTED_VALUE"""),"Tic Tacs")</f>
        <v>Tic Tacs</v>
      </c>
      <c r="E2765" s="82">
        <f>IFERROR(__xludf.DUMMYFUNCTION("""COMPUTED_VALUE"""),30.0)</f>
        <v>30</v>
      </c>
      <c r="F2765" s="82">
        <f>IFERROR(__xludf.DUMMYFUNCTION("""COMPUTED_VALUE"""),15.0)</f>
        <v>15</v>
      </c>
      <c r="G2765" s="86">
        <f>IFERROR(__xludf.DUMMYFUNCTION("""COMPUTED_VALUE"""),15.0)</f>
        <v>15</v>
      </c>
      <c r="H2765" s="86">
        <f>IFERROR(__xludf.DUMMYFUNCTION("""COMPUTED_VALUE"""),0.5)</f>
        <v>0.5</v>
      </c>
      <c r="I2765" s="86">
        <f>IFERROR(__xludf.DUMMYFUNCTION("""COMPUTED_VALUE"""),0.29166666666666663)</f>
        <v>0.2916666667</v>
      </c>
      <c r="J2765" s="82">
        <f>IFERROR(__xludf.DUMMYFUNCTION("""COMPUTED_VALUE"""),278.4)</f>
        <v>278.4</v>
      </c>
      <c r="K2765" s="82">
        <f>IFERROR(__xludf.DUMMYFUNCTION("""COMPUTED_VALUE"""),0.4666666666666667)</f>
        <v>0.4666666667</v>
      </c>
      <c r="L2765" s="82">
        <f>IFERROR(__xludf.DUMMYFUNCTION("""COMPUTED_VALUE"""),0.5)</f>
        <v>0.5</v>
      </c>
      <c r="M2765" s="82">
        <f>IFERROR(__xludf.DUMMYFUNCTION("""COMPUTED_VALUE"""),1.1333333333333333)</f>
        <v>1.133333333</v>
      </c>
      <c r="N2765" s="82">
        <f>IFERROR(__xludf.DUMMYFUNCTION("""COMPUTED_VALUE"""),1.6)</f>
        <v>1.6</v>
      </c>
      <c r="O2765" s="82">
        <f>IFERROR(__xludf.DUMMYFUNCTION("""COMPUTED_VALUE"""),332.2666666666666)</f>
        <v>332.2666667</v>
      </c>
      <c r="P2765" s="82">
        <f>IFERROR(__xludf.DUMMYFUNCTION("""COMPUTED_VALUE"""),0.8666666666666667)</f>
        <v>0.8666666667</v>
      </c>
      <c r="Q2765" s="82">
        <f>IFERROR(__xludf.DUMMYFUNCTION("""COMPUTED_VALUE"""),0.5333333333333334)</f>
        <v>0.5333333333</v>
      </c>
      <c r="R2765" s="82">
        <f>IFERROR(__xludf.DUMMYFUNCTION("""COMPUTED_VALUE"""),1.022222222222222)</f>
        <v>1.022222222</v>
      </c>
      <c r="S2765" s="82">
        <f>IFERROR(__xludf.DUMMYFUNCTION("""COMPUTED_VALUE"""),2.6444444444444444)</f>
        <v>2.644444444</v>
      </c>
      <c r="T2765" s="82">
        <f>IFERROR(__xludf.DUMMYFUNCTION("""COMPUTED_VALUE"""),332.3226091275821)</f>
        <v>332.3226091</v>
      </c>
      <c r="U2765" s="82">
        <f>IFERROR(__xludf.DUMMYFUNCTION("""COMPUTED_VALUE"""),0.7875246319108976)</f>
        <v>0.7875246319</v>
      </c>
      <c r="V2765" s="82">
        <f>IFERROR(__xludf.DUMMYFUNCTION("""COMPUTED_VALUE"""),0.5288255513067279)</f>
        <v>0.5288255513</v>
      </c>
      <c r="W2765" s="82">
        <f>IFERROR(__xludf.DUMMYFUNCTION("""COMPUTED_VALUE"""),1.195300903222474)</f>
        <v>1.195300903</v>
      </c>
      <c r="X2765" s="82">
        <f>IFERROR(__xludf.DUMMYFUNCTION("""COMPUTED_VALUE"""),2.3754295836994435)</f>
        <v>2.375429584</v>
      </c>
      <c r="Y2765" s="82">
        <f>IFERROR(__xludf.DUMMYFUNCTION("""COMPUTED_VALUE"""),334.39968019278405)</f>
        <v>334.3996802</v>
      </c>
      <c r="Z2765" s="82">
        <f>IFERROR(__xludf.DUMMYFUNCTION("""COMPUTED_VALUE"""),0.7937711765491575)</f>
        <v>0.7937711765</v>
      </c>
      <c r="AA2765" s="82">
        <f>IFERROR(__xludf.DUMMYFUNCTION("""COMPUTED_VALUE"""),0.525757190809066)</f>
        <v>0.5257571908</v>
      </c>
      <c r="AB2765" s="82">
        <f>IFERROR(__xludf.DUMMYFUNCTION("""COMPUTED_VALUE"""),1.1788397279000549)</f>
        <v>1.178839728</v>
      </c>
      <c r="AC2765" s="82">
        <f>IFERROR(__xludf.DUMMYFUNCTION("""COMPUTED_VALUE"""),2.4203171280170483)</f>
        <v>2.420317128</v>
      </c>
      <c r="AD2765" s="82">
        <f>IFERROR(__xludf.DUMMYFUNCTION("""COMPUTED_VALUE"""),0.83253668137332)</f>
        <v>0.8325366814</v>
      </c>
      <c r="AE2765" s="82">
        <f>IFERROR(__xludf.DUMMYFUNCTION("""COMPUTED_VALUE"""),0.5879108242446575)</f>
        <v>0.5879108242</v>
      </c>
      <c r="AF2765" s="82">
        <f>IFERROR(__xludf.DUMMYFUNCTION("""COMPUTED_VALUE"""),0.9510093418419454)</f>
        <v>0.9510093418</v>
      </c>
      <c r="AG2765" s="82">
        <f>IFERROR(__xludf.DUMMYFUNCTION("""COMPUTED_VALUE"""),0.9613973015247924)</f>
        <v>0.9613973015</v>
      </c>
      <c r="AH2765" s="82">
        <f>IFERROR(__xludf.DUMMYFUNCTION("""COMPUTED_VALUE"""),0.6610703950646628)</f>
        <v>0.6610703951</v>
      </c>
      <c r="AI2765" s="82">
        <f>IFERROR(__xludf.DUMMYFUNCTION("""COMPUTED_VALUE"""),0.9998316621879494)</f>
        <v>0.9998316622</v>
      </c>
      <c r="AJ2765" s="82">
        <f>IFERROR(__xludf.DUMMYFUNCTION("""COMPUTED_VALUE"""),1.1004946785775247)</f>
        <v>1.100494679</v>
      </c>
      <c r="AK2765" s="82">
        <f>IFERROR(__xludf.DUMMYFUNCTION("""COMPUTED_VALUE"""),1.0085241380933028)</f>
        <v>1.008524138</v>
      </c>
      <c r="AL2765" s="82">
        <f>IFERROR(__xludf.DUMMYFUNCTION("""COMPUTED_VALUE"""),0.8552007444036559)</f>
        <v>0.8552007444</v>
      </c>
      <c r="AM2765" s="82">
        <f>IFERROR(__xludf.DUMMYFUNCTION("""COMPUTED_VALUE"""),1.1132489308843425)</f>
        <v>1.113248931</v>
      </c>
      <c r="AN2765" s="82">
        <f>IFERROR(__xludf.DUMMYFUNCTION("""COMPUTED_VALUE"""),0.8658562860217743)</f>
        <v>0.865856286</v>
      </c>
      <c r="AO2765" s="82">
        <f>IFERROR(__xludf.DUMMYFUNCTION("""COMPUTED_VALUE"""),0.635866948738468)</f>
        <v>0.6358669487</v>
      </c>
      <c r="AP2765" s="82">
        <f>IFERROR(__xludf.DUMMYFUNCTION("""COMPUTED_VALUE"""),1.0001715562871953)</f>
        <v>1.000171556</v>
      </c>
      <c r="AQ2765" s="82">
        <f>IFERROR(__xludf.DUMMYFUNCTION("""COMPUTED_VALUE"""),0.9734262634854821)</f>
        <v>0.9734262635</v>
      </c>
      <c r="AR2765" s="82">
        <f>IFERROR(__xludf.DUMMYFUNCTION("""COMPUTED_VALUE"""),0.6913566817798672)</f>
        <v>0.6913566818</v>
      </c>
      <c r="AS2765" s="82">
        <f>IFERROR(__xludf.DUMMYFUNCTION("""COMPUTED_VALUE"""),74.0)</f>
        <v>74</v>
      </c>
      <c r="AT2765" s="82">
        <f>IFERROR(__xludf.DUMMYFUNCTION("""COMPUTED_VALUE"""),0.47904500629967595)</f>
        <v>0.4790450063</v>
      </c>
      <c r="AU2765" s="82">
        <f>IFERROR(__xludf.DUMMYFUNCTION("""COMPUTED_VALUE"""),1.2121049036738893)</f>
        <v>1.212104904</v>
      </c>
      <c r="AV2765" s="82">
        <f>IFERROR(__xludf.DUMMYFUNCTION("""COMPUTED_VALUE"""),25.611759345738175)</f>
        <v>25.61175935</v>
      </c>
      <c r="AW2765" s="82">
        <f t="shared" si="1"/>
        <v>-6.073533238</v>
      </c>
      <c r="AX2765" s="83">
        <f t="array" ref="AX2765">IFERROR(DGET('SBV Import'!A:G,"SBV",{"RSC ID","Tier";B2765,A2765}))</f>
        <v>19.73319813</v>
      </c>
      <c r="AY2765" s="82">
        <f t="shared" si="2"/>
        <v>-8.848731026</v>
      </c>
      <c r="AZ2765" s="82">
        <v>2.775197788061079</v>
      </c>
      <c r="BA2765" s="84">
        <v>2700.0</v>
      </c>
      <c r="BB2765" s="84" t="b">
        <f>IFERROR(__xludf.DUMMYFUNCTION("iferror(if(A2765="""",,E2765&gt;=FILTER(Constants!$F$2:$F$10,Constants!$A$2:$A$10=A2765)))"),TRUE)</f>
        <v>1</v>
      </c>
    </row>
    <row r="2766">
      <c r="A2766" s="89" t="str">
        <f>IFERROR(__xludf.DUMMYFUNCTION("""COMPUTED_VALUE"""),"Prospect")</f>
        <v>Prospect</v>
      </c>
      <c r="B2766" s="87" t="str">
        <f>IFERROR(__xludf.DUMMYFUNCTION("""COMPUTED_VALUE"""),"RSC002796")</f>
        <v>RSC002796</v>
      </c>
      <c r="C2766" s="73" t="str">
        <f>IFERROR(__xludf.DUMMYFUNCTION("""COMPUTED_VALUE"""),"Carno")</f>
        <v>Carno</v>
      </c>
      <c r="D2766" s="73" t="str">
        <f>IFERROR(__xludf.DUMMYFUNCTION("""COMPUTED_VALUE"""),"Undead")</f>
        <v>Undead</v>
      </c>
      <c r="E2766" s="82">
        <f>IFERROR(__xludf.DUMMYFUNCTION("""COMPUTED_VALUE"""),41.0)</f>
        <v>41</v>
      </c>
      <c r="F2766" s="82">
        <f>IFERROR(__xludf.DUMMYFUNCTION("""COMPUTED_VALUE"""),12.0)</f>
        <v>12</v>
      </c>
      <c r="G2766" s="86">
        <f>IFERROR(__xludf.DUMMYFUNCTION("""COMPUTED_VALUE"""),29.0)</f>
        <v>29</v>
      </c>
      <c r="H2766" s="86">
        <f>IFERROR(__xludf.DUMMYFUNCTION("""COMPUTED_VALUE"""),0.2926829268292683)</f>
        <v>0.2926829268</v>
      </c>
      <c r="I2766" s="86">
        <f>IFERROR(__xludf.DUMMYFUNCTION("""COMPUTED_VALUE"""),0.3026315789473684)</f>
        <v>0.3026315789</v>
      </c>
      <c r="J2766" s="82">
        <f>IFERROR(__xludf.DUMMYFUNCTION("""COMPUTED_VALUE"""),272.8048780487805)</f>
        <v>272.804878</v>
      </c>
      <c r="K2766" s="82">
        <f>IFERROR(__xludf.DUMMYFUNCTION("""COMPUTED_VALUE"""),0.5609756097560976)</f>
        <v>0.5609756098</v>
      </c>
      <c r="L2766" s="82">
        <f>IFERROR(__xludf.DUMMYFUNCTION("""COMPUTED_VALUE"""),0.34146341463414637)</f>
        <v>0.3414634146</v>
      </c>
      <c r="M2766" s="82">
        <f>IFERROR(__xludf.DUMMYFUNCTION("""COMPUTED_VALUE"""),1.048780487804878)</f>
        <v>1.048780488</v>
      </c>
      <c r="N2766" s="82">
        <f>IFERROR(__xludf.DUMMYFUNCTION("""COMPUTED_VALUE"""),1.853658536585366)</f>
        <v>1.853658537</v>
      </c>
      <c r="O2766" s="82">
        <f>IFERROR(__xludf.DUMMYFUNCTION("""COMPUTED_VALUE"""),356.04878048780495)</f>
        <v>356.0487805</v>
      </c>
      <c r="P2766" s="82">
        <f>IFERROR(__xludf.DUMMYFUNCTION("""COMPUTED_VALUE"""),0.983739837398374)</f>
        <v>0.9837398374</v>
      </c>
      <c r="Q2766" s="82">
        <f>IFERROR(__xludf.DUMMYFUNCTION("""COMPUTED_VALUE"""),0.6585365853658536)</f>
        <v>0.6585365854</v>
      </c>
      <c r="R2766" s="82">
        <f>IFERROR(__xludf.DUMMYFUNCTION("""COMPUTED_VALUE"""),1.0000000000000002)</f>
        <v>1</v>
      </c>
      <c r="S2766" s="82">
        <f>IFERROR(__xludf.DUMMYFUNCTION("""COMPUTED_VALUE"""),2.6666666666666665)</f>
        <v>2.666666667</v>
      </c>
      <c r="T2766" s="82">
        <f>IFERROR(__xludf.DUMMYFUNCTION("""COMPUTED_VALUE"""),338.9077694199556)</f>
        <v>338.9077694</v>
      </c>
      <c r="U2766" s="82">
        <f>IFERROR(__xludf.DUMMYFUNCTION("""COMPUTED_VALUE"""),0.818993275424978)</f>
        <v>0.8189932754</v>
      </c>
      <c r="V2766" s="82">
        <f>IFERROR(__xludf.DUMMYFUNCTION("""COMPUTED_VALUE"""),0.5091621998557337)</f>
        <v>0.5091621999</v>
      </c>
      <c r="W2766" s="82">
        <f>IFERROR(__xludf.DUMMYFUNCTION("""COMPUTED_VALUE"""),1.2170892118299288)</f>
        <v>1.217089212</v>
      </c>
      <c r="X2766" s="82">
        <f>IFERROR(__xludf.DUMMYFUNCTION("""COMPUTED_VALUE"""),2.5310502466295297)</f>
        <v>2.531050247</v>
      </c>
      <c r="Y2766" s="82">
        <f>IFERROR(__xludf.DUMMYFUNCTION("""COMPUTED_VALUE"""),334.43217628201734)</f>
        <v>334.4321763</v>
      </c>
      <c r="Z2766" s="82">
        <f>IFERROR(__xludf.DUMMYFUNCTION("""COMPUTED_VALUE"""),0.7844480370908263)</f>
        <v>0.7844480371</v>
      </c>
      <c r="AA2766" s="82">
        <f>IFERROR(__xludf.DUMMYFUNCTION("""COMPUTED_VALUE"""),0.5283722484115678)</f>
        <v>0.5283722484</v>
      </c>
      <c r="AB2766" s="82">
        <f>IFERROR(__xludf.DUMMYFUNCTION("""COMPUTED_VALUE"""),1.1980196591391088)</f>
        <v>1.198019659</v>
      </c>
      <c r="AC2766" s="82">
        <f>IFERROR(__xludf.DUMMYFUNCTION("""COMPUTED_VALUE"""),2.426333830294778)</f>
        <v>2.42633383</v>
      </c>
      <c r="AD2766" s="82">
        <f>IFERROR(__xludf.DUMMYFUNCTION("""COMPUTED_VALUE"""),0.8157255712701871)</f>
        <v>0.8157255713</v>
      </c>
      <c r="AE2766" s="82">
        <f>IFERROR(__xludf.DUMMYFUNCTION("""COMPUTED_VALUE"""),0.7151214398298581)</f>
        <v>0.7151214398</v>
      </c>
      <c r="AF2766" s="82">
        <f>IFERROR(__xludf.DUMMYFUNCTION("""COMPUTED_VALUE"""),0.6462553922176633)</f>
        <v>0.6462553922</v>
      </c>
      <c r="AG2766" s="82">
        <f>IFERROR(__xludf.DUMMYFUNCTION("""COMPUTED_VALUE"""),0.875428445438472)</f>
        <v>0.8754284454</v>
      </c>
      <c r="AH2766" s="82">
        <f>IFERROR(__xludf.DUMMYFUNCTION("""COMPUTED_VALUE"""),0.763975061238858)</f>
        <v>0.7639750612</v>
      </c>
      <c r="AI2766" s="82">
        <f>IFERROR(__xludf.DUMMYFUNCTION("""COMPUTED_VALUE"""),1.0505772148487076)</f>
        <v>1.050577215</v>
      </c>
      <c r="AJ2766" s="82">
        <f>IFERROR(__xludf.DUMMYFUNCTION("""COMPUTED_VALUE"""),1.201157404971254)</f>
        <v>1.201157405</v>
      </c>
      <c r="AK2766" s="82">
        <f>IFERROR(__xludf.DUMMYFUNCTION("""COMPUTED_VALUE"""),1.2933728889388167)</f>
        <v>1.293372889</v>
      </c>
      <c r="AL2766" s="82">
        <f>IFERROR(__xludf.DUMMYFUNCTION("""COMPUTED_VALUE"""),0.8216324574075152)</f>
        <v>0.8216324574</v>
      </c>
      <c r="AM2766" s="82">
        <f>IFERROR(__xludf.DUMMYFUNCTION("""COMPUTED_VALUE"""),1.0535810856452692)</f>
        <v>1.053581086</v>
      </c>
      <c r="AN2766" s="82">
        <f>IFERROR(__xludf.DUMMYFUNCTION("""COMPUTED_VALUE"""),0.8484548078877161)</f>
        <v>0.8484548079</v>
      </c>
      <c r="AO2766" s="82">
        <f>IFERROR(__xludf.DUMMYFUNCTION("""COMPUTED_VALUE"""),0.7643696770549528)</f>
        <v>0.7643696771</v>
      </c>
      <c r="AP2766" s="82">
        <f>IFERROR(__xludf.DUMMYFUNCTION("""COMPUTED_VALUE"""),0.6830439896595482)</f>
        <v>0.6830439897</v>
      </c>
      <c r="AQ2766" s="82">
        <f>IFERROR(__xludf.DUMMYFUNCTION("""COMPUTED_VALUE"""),0.9008033571709269)</f>
        <v>0.9008033572</v>
      </c>
      <c r="AR2766" s="82">
        <f>IFERROR(__xludf.DUMMYFUNCTION("""COMPUTED_VALUE"""),0.8009620093791144)</f>
        <v>0.8009620094</v>
      </c>
      <c r="AS2766" s="82">
        <f>IFERROR(__xludf.DUMMYFUNCTION("""COMPUTED_VALUE"""),69.0)</f>
        <v>69</v>
      </c>
      <c r="AT2766" s="82">
        <f>IFERROR(__xludf.DUMMYFUNCTION("""COMPUTED_VALUE"""),0.2947928433201848)</f>
        <v>0.2947928433</v>
      </c>
      <c r="AU2766" s="82">
        <f>IFERROR(__xludf.DUMMYFUNCTION("""COMPUTED_VALUE"""),1.1808964401713928)</f>
        <v>1.18089644</v>
      </c>
      <c r="AV2766" s="82">
        <f>IFERROR(__xludf.DUMMYFUNCTION("""COMPUTED_VALUE"""),24.767328465351753)</f>
        <v>24.76732847</v>
      </c>
      <c r="AW2766" s="82">
        <f t="shared" si="1"/>
        <v>-6.393300016</v>
      </c>
      <c r="AX2766" s="83">
        <f t="array" ref="AX2766">IFERROR(DGET('SBV Import'!A:G,"SBV",{"RSC ID","Tier";B2766,A2766}))</f>
        <v>26.8832202</v>
      </c>
      <c r="AY2766" s="82">
        <f t="shared" si="2"/>
        <v>-5.63162998</v>
      </c>
      <c r="AZ2766" s="82">
        <v>0.7616700359987094</v>
      </c>
      <c r="BA2766" s="84">
        <v>2700.0</v>
      </c>
      <c r="BB2766" s="84" t="b">
        <f>IFERROR(__xludf.DUMMYFUNCTION("iferror(if(A2766="""",,E2766&gt;=FILTER(Constants!$F$2:$F$10,Constants!$A$2:$A$10=A2766)))"),TRUE)</f>
        <v>1</v>
      </c>
    </row>
    <row r="2767">
      <c r="A2767" s="89" t="str">
        <f>IFERROR(__xludf.DUMMYFUNCTION("""COMPUTED_VALUE"""),"Prospect")</f>
        <v>Prospect</v>
      </c>
      <c r="B2767" s="87" t="str">
        <f>IFERROR(__xludf.DUMMYFUNCTION("""COMPUTED_VALUE"""),"RSC006416")</f>
        <v>RSC006416</v>
      </c>
      <c r="C2767" s="73" t="str">
        <f>IFERROR(__xludf.DUMMYFUNCTION("""COMPUTED_VALUE"""),"StaRazor")</f>
        <v>StaRazor</v>
      </c>
      <c r="D2767" s="73" t="str">
        <f>IFERROR(__xludf.DUMMYFUNCTION("""COMPUTED_VALUE"""),"Skeletons")</f>
        <v>Skeletons</v>
      </c>
      <c r="E2767" s="82">
        <f>IFERROR(__xludf.DUMMYFUNCTION("""COMPUTED_VALUE"""),23.0)</f>
        <v>23</v>
      </c>
      <c r="F2767" s="82">
        <f>IFERROR(__xludf.DUMMYFUNCTION("""COMPUTED_VALUE"""),7.0)</f>
        <v>7</v>
      </c>
      <c r="G2767" s="86">
        <f>IFERROR(__xludf.DUMMYFUNCTION("""COMPUTED_VALUE"""),16.0)</f>
        <v>16</v>
      </c>
      <c r="H2767" s="86">
        <f>IFERROR(__xludf.DUMMYFUNCTION("""COMPUTED_VALUE"""),0.30434782608695654)</f>
        <v>0.3043478261</v>
      </c>
      <c r="I2767" s="86">
        <f>IFERROR(__xludf.DUMMYFUNCTION("""COMPUTED_VALUE"""),0.44827586206896547)</f>
        <v>0.4482758621</v>
      </c>
      <c r="J2767" s="82">
        <f>IFERROR(__xludf.DUMMYFUNCTION("""COMPUTED_VALUE"""),292.7391304347826)</f>
        <v>292.7391304</v>
      </c>
      <c r="K2767" s="82">
        <f>IFERROR(__xludf.DUMMYFUNCTION("""COMPUTED_VALUE"""),0.5652173913043478)</f>
        <v>0.5652173913</v>
      </c>
      <c r="L2767" s="82">
        <f>IFERROR(__xludf.DUMMYFUNCTION("""COMPUTED_VALUE"""),0.4782608695652174)</f>
        <v>0.4782608696</v>
      </c>
      <c r="M2767" s="82">
        <f>IFERROR(__xludf.DUMMYFUNCTION("""COMPUTED_VALUE"""),1.2608695652173914)</f>
        <v>1.260869565</v>
      </c>
      <c r="N2767" s="82">
        <f>IFERROR(__xludf.DUMMYFUNCTION("""COMPUTED_VALUE"""),1.2608695652173914)</f>
        <v>1.260869565</v>
      </c>
      <c r="O2767" s="82">
        <f>IFERROR(__xludf.DUMMYFUNCTION("""COMPUTED_VALUE"""),347.27536231884056)</f>
        <v>347.2753623</v>
      </c>
      <c r="P2767" s="82">
        <f>IFERROR(__xludf.DUMMYFUNCTION("""COMPUTED_VALUE"""),1.0724637681159421)</f>
        <v>1.072463768</v>
      </c>
      <c r="Q2767" s="82">
        <f>IFERROR(__xludf.DUMMYFUNCTION("""COMPUTED_VALUE"""),0.6376811594202898)</f>
        <v>0.6376811594</v>
      </c>
      <c r="R2767" s="82">
        <f>IFERROR(__xludf.DUMMYFUNCTION("""COMPUTED_VALUE"""),0.826086956521739)</f>
        <v>0.8260869565</v>
      </c>
      <c r="S2767" s="82">
        <f>IFERROR(__xludf.DUMMYFUNCTION("""COMPUTED_VALUE"""),2.7101449275362315)</f>
        <v>2.710144928</v>
      </c>
      <c r="T2767" s="82">
        <f>IFERROR(__xludf.DUMMYFUNCTION("""COMPUTED_VALUE"""),336.31177994124516)</f>
        <v>336.3117799</v>
      </c>
      <c r="U2767" s="82">
        <f>IFERROR(__xludf.DUMMYFUNCTION("""COMPUTED_VALUE"""),0.8108260346202272)</f>
        <v>0.8108260346</v>
      </c>
      <c r="V2767" s="82">
        <f>IFERROR(__xludf.DUMMYFUNCTION("""COMPUTED_VALUE"""),0.6082599924875808)</f>
        <v>0.6082599925</v>
      </c>
      <c r="W2767" s="82">
        <f>IFERROR(__xludf.DUMMYFUNCTION("""COMPUTED_VALUE"""),1.1015879750556914)</f>
        <v>1.101587975</v>
      </c>
      <c r="X2767" s="82">
        <f>IFERROR(__xludf.DUMMYFUNCTION("""COMPUTED_VALUE"""),2.5179240362100637)</f>
        <v>2.517924036</v>
      </c>
      <c r="Y2767" s="82">
        <f>IFERROR(__xludf.DUMMYFUNCTION("""COMPUTED_VALUE"""),332.52548491861455)</f>
        <v>332.5254849</v>
      </c>
      <c r="Z2767" s="82">
        <f>IFERROR(__xludf.DUMMYFUNCTION("""COMPUTED_VALUE"""),0.7741306476876043)</f>
        <v>0.7741306477</v>
      </c>
      <c r="AA2767" s="82">
        <f>IFERROR(__xludf.DUMMYFUNCTION("""COMPUTED_VALUE"""),0.5054564794153548)</f>
        <v>0.5054564794</v>
      </c>
      <c r="AB2767" s="82">
        <f>IFERROR(__xludf.DUMMYFUNCTION("""COMPUTED_VALUE"""),1.2748009102488733)</f>
        <v>1.27480091</v>
      </c>
      <c r="AC2767" s="82">
        <f>IFERROR(__xludf.DUMMYFUNCTION("""COMPUTED_VALUE"""),2.252244961356887)</f>
        <v>2.252244961</v>
      </c>
      <c r="AD2767" s="82">
        <f>IFERROR(__xludf.DUMMYFUNCTION("""COMPUTED_VALUE"""),0.8803509616907419)</f>
        <v>0.8803509617</v>
      </c>
      <c r="AE2767" s="82">
        <f>IFERROR(__xludf.DUMMYFUNCTION("""COMPUTED_VALUE"""),0.7301317845930805)</f>
        <v>0.7301317846</v>
      </c>
      <c r="AF2767" s="82">
        <f>IFERROR(__xludf.DUMMYFUNCTION("""COMPUTED_VALUE"""),0.9461959417720915)</f>
        <v>0.9461959418</v>
      </c>
      <c r="AG2767" s="82">
        <f>IFERROR(__xludf.DUMMYFUNCTION("""COMPUTED_VALUE"""),0.9890717484436357)</f>
        <v>0.9890717484</v>
      </c>
      <c r="AH2767" s="82">
        <f>IFERROR(__xludf.DUMMYFUNCTION("""COMPUTED_VALUE"""),0.559827899207628)</f>
        <v>0.5598278992</v>
      </c>
      <c r="AI2767" s="82">
        <f>IFERROR(__xludf.DUMMYFUNCTION("""COMPUTED_VALUE"""),1.032599459880682)</f>
        <v>1.03259946</v>
      </c>
      <c r="AJ2767" s="82">
        <f>IFERROR(__xludf.DUMMYFUNCTION("""COMPUTED_VALUE"""),1.3226804793191678)</f>
        <v>1.322680479</v>
      </c>
      <c r="AK2767" s="82">
        <f>IFERROR(__xludf.DUMMYFUNCTION("""COMPUTED_VALUE"""),1.0483693935094864)</f>
        <v>1.048369394</v>
      </c>
      <c r="AL2767" s="82">
        <f>IFERROR(__xludf.DUMMYFUNCTION("""COMPUTED_VALUE"""),0.7499055683500682)</f>
        <v>0.7499055684</v>
      </c>
      <c r="AM2767" s="82">
        <f>IFERROR(__xludf.DUMMYFUNCTION("""COMPUTED_VALUE"""),1.076341020841715)</f>
        <v>1.076341021</v>
      </c>
      <c r="AN2767" s="82">
        <f>IFERROR(__xludf.DUMMYFUNCTION("""COMPUTED_VALUE"""),0.9104526445815541)</f>
        <v>0.9104526446</v>
      </c>
      <c r="AO2767" s="82">
        <f>IFERROR(__xludf.DUMMYFUNCTION("""COMPUTED_VALUE"""),0.7701494099627407)</f>
        <v>0.77014941</v>
      </c>
      <c r="AP2767" s="82">
        <f>IFERROR(__xludf.DUMMYFUNCTION("""COMPUTED_VALUE"""),0.9566858364486217)</f>
        <v>0.9566858364</v>
      </c>
      <c r="AQ2767" s="82">
        <f>IFERROR(__xludf.DUMMYFUNCTION("""COMPUTED_VALUE"""),1.0829678378930556)</f>
        <v>1.082967838</v>
      </c>
      <c r="AR2767" s="82">
        <f>IFERROR(__xludf.DUMMYFUNCTION("""COMPUTED_VALUE"""),0.5448191242286996)</f>
        <v>0.5448191242</v>
      </c>
      <c r="AS2767" s="82">
        <f>IFERROR(__xludf.DUMMYFUNCTION("""COMPUTED_VALUE"""),45.0)</f>
        <v>45</v>
      </c>
      <c r="AT2767" s="82">
        <f>IFERROR(__xludf.DUMMYFUNCTION("""COMPUTED_VALUE"""),0.3106220906375145)</f>
        <v>0.3106220906</v>
      </c>
      <c r="AU2767" s="82">
        <f>IFERROR(__xludf.DUMMYFUNCTION("""COMPUTED_VALUE"""),1.1721097353161873)</f>
        <v>1.172109735</v>
      </c>
      <c r="AV2767" s="82">
        <f>IFERROR(__xludf.DUMMYFUNCTION("""COMPUTED_VALUE"""),24.529579980361987)</f>
        <v>24.52957998</v>
      </c>
      <c r="AW2767" s="82">
        <f t="shared" si="1"/>
        <v>-6.487399322</v>
      </c>
      <c r="AX2767" s="83">
        <f t="array" ref="AX2767">IFERROR(DGET('SBV Import'!A:G,"SBV",{"RSC ID","Tier";B2767,A2767}))</f>
        <v>32.11018167</v>
      </c>
      <c r="AY2767" s="82">
        <f t="shared" si="2"/>
        <v>-4.217248505</v>
      </c>
      <c r="AZ2767" s="82">
        <v>2.270150817619543</v>
      </c>
      <c r="BA2767" s="84">
        <v>2700.0</v>
      </c>
      <c r="BB2767" s="84" t="b">
        <f>IFERROR(__xludf.DUMMYFUNCTION("iferror(if(A2767="""",,E2767&gt;=FILTER(Constants!$F$2:$F$10,Constants!$A$2:$A$10=A2767)))"),TRUE)</f>
        <v>1</v>
      </c>
    </row>
    <row r="2768">
      <c r="A2768" s="89" t="str">
        <f>IFERROR(__xludf.DUMMYFUNCTION("""COMPUTED_VALUE"""),"Prospect")</f>
        <v>Prospect</v>
      </c>
      <c r="B2768" s="87" t="str">
        <f>IFERROR(__xludf.DUMMYFUNCTION("""COMPUTED_VALUE"""),"RSC004012")</f>
        <v>RSC004012</v>
      </c>
      <c r="C2768" s="73" t="str">
        <f>IFERROR(__xludf.DUMMYFUNCTION("""COMPUTED_VALUE"""),"kgfan3")</f>
        <v>kgfan3</v>
      </c>
      <c r="D2768" s="73" t="str">
        <f>IFERROR(__xludf.DUMMYFUNCTION("""COMPUTED_VALUE"""),"Undead")</f>
        <v>Undead</v>
      </c>
      <c r="E2768" s="82">
        <f>IFERROR(__xludf.DUMMYFUNCTION("""COMPUTED_VALUE"""),32.0)</f>
        <v>32</v>
      </c>
      <c r="F2768" s="82">
        <f>IFERROR(__xludf.DUMMYFUNCTION("""COMPUTED_VALUE"""),8.0)</f>
        <v>8</v>
      </c>
      <c r="G2768" s="86">
        <f>IFERROR(__xludf.DUMMYFUNCTION("""COMPUTED_VALUE"""),24.0)</f>
        <v>24</v>
      </c>
      <c r="H2768" s="86">
        <f>IFERROR(__xludf.DUMMYFUNCTION("""COMPUTED_VALUE"""),0.25)</f>
        <v>0.25</v>
      </c>
      <c r="I2768" s="86">
        <f>IFERROR(__xludf.DUMMYFUNCTION("""COMPUTED_VALUE"""),0.3392857142857143)</f>
        <v>0.3392857143</v>
      </c>
      <c r="J2768" s="82">
        <f>IFERROR(__xludf.DUMMYFUNCTION("""COMPUTED_VALUE"""),251.78125)</f>
        <v>251.78125</v>
      </c>
      <c r="K2768" s="82">
        <f>IFERROR(__xludf.DUMMYFUNCTION("""COMPUTED_VALUE"""),0.59375)</f>
        <v>0.59375</v>
      </c>
      <c r="L2768" s="82">
        <f>IFERROR(__xludf.DUMMYFUNCTION("""COMPUTED_VALUE"""),0.34375)</f>
        <v>0.34375</v>
      </c>
      <c r="M2768" s="82">
        <f>IFERROR(__xludf.DUMMYFUNCTION("""COMPUTED_VALUE"""),0.75)</f>
        <v>0.75</v>
      </c>
      <c r="N2768" s="82">
        <f>IFERROR(__xludf.DUMMYFUNCTION("""COMPUTED_VALUE"""),1.75)</f>
        <v>1.75</v>
      </c>
      <c r="O2768" s="82">
        <f>IFERROR(__xludf.DUMMYFUNCTION("""COMPUTED_VALUE"""),358.54166666666674)</f>
        <v>358.5416667</v>
      </c>
      <c r="P2768" s="82">
        <f>IFERROR(__xludf.DUMMYFUNCTION("""COMPUTED_VALUE"""),1.0729166666666665)</f>
        <v>1.072916667</v>
      </c>
      <c r="Q2768" s="82">
        <f>IFERROR(__xludf.DUMMYFUNCTION("""COMPUTED_VALUE"""),0.7083333333333335)</f>
        <v>0.7083333333</v>
      </c>
      <c r="R2768" s="82">
        <f>IFERROR(__xludf.DUMMYFUNCTION("""COMPUTED_VALUE"""),0.9583333333333331)</f>
        <v>0.9583333333</v>
      </c>
      <c r="S2768" s="82">
        <f>IFERROR(__xludf.DUMMYFUNCTION("""COMPUTED_VALUE"""),2.8125000000000004)</f>
        <v>2.8125</v>
      </c>
      <c r="T2768" s="82">
        <f>IFERROR(__xludf.DUMMYFUNCTION("""COMPUTED_VALUE"""),338.09837913661363)</f>
        <v>338.0983791</v>
      </c>
      <c r="U2768" s="82">
        <f>IFERROR(__xludf.DUMMYFUNCTION("""COMPUTED_VALUE"""),0.8254971553395933)</f>
        <v>0.8254971553</v>
      </c>
      <c r="V2768" s="82">
        <f>IFERROR(__xludf.DUMMYFUNCTION("""COMPUTED_VALUE"""),0.5183668219109552)</f>
        <v>0.5183668219</v>
      </c>
      <c r="W2768" s="82">
        <f>IFERROR(__xludf.DUMMYFUNCTION("""COMPUTED_VALUE"""),1.193987164559128)</f>
        <v>1.193987165</v>
      </c>
      <c r="X2768" s="82">
        <f>IFERROR(__xludf.DUMMYFUNCTION("""COMPUTED_VALUE"""),2.5472812404789473)</f>
        <v>2.54728124</v>
      </c>
      <c r="Y2768" s="82">
        <f>IFERROR(__xludf.DUMMYFUNCTION("""COMPUTED_VALUE"""),336.355752962978)</f>
        <v>336.355753</v>
      </c>
      <c r="Z2768" s="82">
        <f>IFERROR(__xludf.DUMMYFUNCTION("""COMPUTED_VALUE"""),0.7963085707198587)</f>
        <v>0.7963085707</v>
      </c>
      <c r="AA2768" s="82">
        <f>IFERROR(__xludf.DUMMYFUNCTION("""COMPUTED_VALUE"""),0.534615552551222)</f>
        <v>0.5346155526</v>
      </c>
      <c r="AB2768" s="82">
        <f>IFERROR(__xludf.DUMMYFUNCTION("""COMPUTED_VALUE"""),1.2080635894149871)</f>
        <v>1.208063589</v>
      </c>
      <c r="AC2768" s="82">
        <f>IFERROR(__xludf.DUMMYFUNCTION("""COMPUTED_VALUE"""),2.409050378499117)</f>
        <v>2.409050378</v>
      </c>
      <c r="AD2768" s="82">
        <f>IFERROR(__xludf.DUMMYFUNCTION("""COMPUTED_VALUE"""),0.7485563953702111)</f>
        <v>0.7485563954</v>
      </c>
      <c r="AE2768" s="82">
        <f>IFERROR(__xludf.DUMMYFUNCTION("""COMPUTED_VALUE"""),0.7456280414805195)</f>
        <v>0.7456280415</v>
      </c>
      <c r="AF2768" s="82">
        <f>IFERROR(__xludf.DUMMYFUNCTION("""COMPUTED_VALUE"""),0.6429854095332647)</f>
        <v>0.6429854095</v>
      </c>
      <c r="AG2768" s="82">
        <f>IFERROR(__xludf.DUMMYFUNCTION("""COMPUTED_VALUE"""),0.6208282466018138)</f>
        <v>0.6208282466</v>
      </c>
      <c r="AH2768" s="82">
        <f>IFERROR(__xludf.DUMMYFUNCTION("""COMPUTED_VALUE"""),0.7264273157667556)</f>
        <v>0.7264273158</v>
      </c>
      <c r="AI2768" s="82">
        <f>IFERROR(__xludf.DUMMYFUNCTION("""COMPUTED_VALUE"""),1.060465499959681)</f>
        <v>1.0604655</v>
      </c>
      <c r="AJ2768" s="82">
        <f>IFERROR(__xludf.DUMMYFUNCTION("""COMPUTED_VALUE"""),1.2997218218459998)</f>
        <v>1.299721822</v>
      </c>
      <c r="AK2768" s="82">
        <f>IFERROR(__xludf.DUMMYFUNCTION("""COMPUTED_VALUE"""),1.3664712003018793)</f>
        <v>1.3664712</v>
      </c>
      <c r="AL2768" s="82">
        <f>IFERROR(__xludf.DUMMYFUNCTION("""COMPUTED_VALUE"""),0.8026328605359769)</f>
        <v>0.8026328605</v>
      </c>
      <c r="AM2768" s="82">
        <f>IFERROR(__xludf.DUMMYFUNCTION("""COMPUTED_VALUE"""),1.1041183656152493)</f>
        <v>1.104118366</v>
      </c>
      <c r="AN2768" s="82">
        <f>IFERROR(__xludf.DUMMYFUNCTION("""COMPUTED_VALUE"""),0.7830688865478443)</f>
        <v>0.7830688865</v>
      </c>
      <c r="AO2768" s="82">
        <f>IFERROR(__xludf.DUMMYFUNCTION("""COMPUTED_VALUE"""),0.8090271446002829)</f>
        <v>0.8090271446</v>
      </c>
      <c r="AP2768" s="82">
        <f>IFERROR(__xludf.DUMMYFUNCTION("""COMPUTED_VALUE"""),0.6876179449474468)</f>
        <v>0.6876179449</v>
      </c>
      <c r="AQ2768" s="82">
        <f>IFERROR(__xludf.DUMMYFUNCTION("""COMPUTED_VALUE"""),0.6441791449536279)</f>
        <v>0.644179145</v>
      </c>
      <c r="AR2768" s="82">
        <f>IFERROR(__xludf.DUMMYFUNCTION("""COMPUTED_VALUE"""),0.7561713706967297)</f>
        <v>0.7561713707</v>
      </c>
      <c r="AS2768" s="82">
        <f>IFERROR(__xludf.DUMMYFUNCTION("""COMPUTED_VALUE"""),50.0)</f>
        <v>50</v>
      </c>
      <c r="AT2768" s="82">
        <f>IFERROR(__xludf.DUMMYFUNCTION("""COMPUTED_VALUE"""),0.24372317796409254)</f>
        <v>0.243723178</v>
      </c>
      <c r="AU2768" s="82">
        <f>IFERROR(__xludf.DUMMYFUNCTION("""COMPUTED_VALUE"""),1.051616729522255)</f>
        <v>1.05161673</v>
      </c>
      <c r="AV2768" s="82">
        <f>IFERROR(__xludf.DUMMYFUNCTION("""COMPUTED_VALUE"""),21.269310055351497)</f>
        <v>21.26931006</v>
      </c>
      <c r="AW2768" s="82">
        <f t="shared" si="1"/>
        <v>-7.985238685</v>
      </c>
      <c r="AX2768" s="83">
        <f t="array" ref="AX2768">IFERROR(DGET('SBV Import'!A:G,"SBV",{"RSC ID","Tier";B2768,A2768}))</f>
        <v>21.70290504</v>
      </c>
      <c r="AY2768" s="82">
        <f t="shared" si="2"/>
        <v>-7.761465604</v>
      </c>
      <c r="AZ2768" s="82">
        <v>0.22377308104913762</v>
      </c>
      <c r="BA2768" s="84">
        <v>2700.0</v>
      </c>
      <c r="BB2768" s="84" t="b">
        <f>IFERROR(__xludf.DUMMYFUNCTION("iferror(if(A2768="""",,E2768&gt;=FILTER(Constants!$F$2:$F$10,Constants!$A$2:$A$10=A2768)))"),TRUE)</f>
        <v>1</v>
      </c>
    </row>
    <row r="2769">
      <c r="A2769" s="89" t="str">
        <f>IFERROR(__xludf.DUMMYFUNCTION("""COMPUTED_VALUE"""),"Prospect")</f>
        <v>Prospect</v>
      </c>
      <c r="B2769" s="87" t="str">
        <f>IFERROR(__xludf.DUMMYFUNCTION("""COMPUTED_VALUE"""),"RSC005909")</f>
        <v>RSC005909</v>
      </c>
      <c r="C2769" s="73" t="str">
        <f>IFERROR(__xludf.DUMMYFUNCTION("""COMPUTED_VALUE"""),"YadiCraft")</f>
        <v>YadiCraft</v>
      </c>
      <c r="D2769" s="73"/>
      <c r="E2769" s="82">
        <f>IFERROR(__xludf.DUMMYFUNCTION("""COMPUTED_VALUE"""),5.0)</f>
        <v>5</v>
      </c>
      <c r="F2769" s="82">
        <f>IFERROR(__xludf.DUMMYFUNCTION("""COMPUTED_VALUE"""),2.0)</f>
        <v>2</v>
      </c>
      <c r="G2769" s="86">
        <f>IFERROR(__xludf.DUMMYFUNCTION("""COMPUTED_VALUE"""),3.0)</f>
        <v>3</v>
      </c>
      <c r="H2769" s="86">
        <f>IFERROR(__xludf.DUMMYFUNCTION("""COMPUTED_VALUE"""),0.4)</f>
        <v>0.4</v>
      </c>
      <c r="I2769" s="86">
        <f>IFERROR(__xludf.DUMMYFUNCTION("""COMPUTED_VALUE"""),0.25)</f>
        <v>0.25</v>
      </c>
      <c r="J2769" s="82">
        <f>IFERROR(__xludf.DUMMYFUNCTION("""COMPUTED_VALUE"""),275.6)</f>
        <v>275.6</v>
      </c>
      <c r="K2769" s="82">
        <f>IFERROR(__xludf.DUMMYFUNCTION("""COMPUTED_VALUE"""),0.4)</f>
        <v>0.4</v>
      </c>
      <c r="L2769" s="82">
        <f>IFERROR(__xludf.DUMMYFUNCTION("""COMPUTED_VALUE"""),0.2)</f>
        <v>0.2</v>
      </c>
      <c r="M2769" s="82">
        <f>IFERROR(__xludf.DUMMYFUNCTION("""COMPUTED_VALUE"""),1.6)</f>
        <v>1.6</v>
      </c>
      <c r="N2769" s="82">
        <f>IFERROR(__xludf.DUMMYFUNCTION("""COMPUTED_VALUE"""),1.6)</f>
        <v>1.6</v>
      </c>
      <c r="O2769" s="82">
        <f>IFERROR(__xludf.DUMMYFUNCTION("""COMPUTED_VALUE"""),299.0)</f>
        <v>299</v>
      </c>
      <c r="P2769" s="82">
        <f>IFERROR(__xludf.DUMMYFUNCTION("""COMPUTED_VALUE"""),0.6666666666666667)</f>
        <v>0.6666666667</v>
      </c>
      <c r="Q2769" s="82">
        <f>IFERROR(__xludf.DUMMYFUNCTION("""COMPUTED_VALUE"""),0.5333333333333333)</f>
        <v>0.5333333333</v>
      </c>
      <c r="R2769" s="82">
        <f>IFERROR(__xludf.DUMMYFUNCTION("""COMPUTED_VALUE"""),1.0666666666666667)</f>
        <v>1.066666667</v>
      </c>
      <c r="S2769" s="82">
        <f>IFERROR(__xludf.DUMMYFUNCTION("""COMPUTED_VALUE"""),2.1333333333333337)</f>
        <v>2.133333333</v>
      </c>
      <c r="T2769" s="82">
        <f>IFERROR(__xludf.DUMMYFUNCTION("""COMPUTED_VALUE"""),300.3070059412133)</f>
        <v>300.3070059</v>
      </c>
      <c r="U2769" s="82">
        <f>IFERROR(__xludf.DUMMYFUNCTION("""COMPUTED_VALUE"""),0.6337494788409423)</f>
        <v>0.6337494788</v>
      </c>
      <c r="V2769" s="82">
        <f>IFERROR(__xludf.DUMMYFUNCTION("""COMPUTED_VALUE"""),0.39046930373149885)</f>
        <v>0.3904693037</v>
      </c>
      <c r="W2769" s="82">
        <f>IFERROR(__xludf.DUMMYFUNCTION("""COMPUTED_VALUE"""),1.1415017198248905)</f>
        <v>1.14150172</v>
      </c>
      <c r="X2769" s="82">
        <f>IFERROR(__xludf.DUMMYFUNCTION("""COMPUTED_VALUE"""),2.0030589430894308)</f>
        <v>2.003058943</v>
      </c>
      <c r="Y2769" s="82">
        <f>IFERROR(__xludf.DUMMYFUNCTION("""COMPUTED_VALUE"""),349.2365729448961)</f>
        <v>349.2365729</v>
      </c>
      <c r="Z2769" s="82">
        <f>IFERROR(__xludf.DUMMYFUNCTION("""COMPUTED_VALUE"""),0.9515008512264609)</f>
        <v>0.9515008512</v>
      </c>
      <c r="AA2769" s="82">
        <f>IFERROR(__xludf.DUMMYFUNCTION("""COMPUTED_VALUE"""),0.6246980751858802)</f>
        <v>0.6246980752</v>
      </c>
      <c r="AB2769" s="82">
        <f>IFERROR(__xludf.DUMMYFUNCTION("""COMPUTED_VALUE"""),1.0240242165242166)</f>
        <v>1.024024217</v>
      </c>
      <c r="AC2769" s="82">
        <f>IFERROR(__xludf.DUMMYFUNCTION("""COMPUTED_VALUE"""),2.6619266381766384)</f>
        <v>2.661926638</v>
      </c>
      <c r="AD2769" s="82">
        <f>IFERROR(__xludf.DUMMYFUNCTION("""COMPUTED_VALUE"""),0.7891498810563727)</f>
        <v>0.7891498811</v>
      </c>
      <c r="AE2769" s="82">
        <f>IFERROR(__xludf.DUMMYFUNCTION("""COMPUTED_VALUE"""),0.4203884836092474)</f>
        <v>0.4203884836</v>
      </c>
      <c r="AF2769" s="82">
        <f>IFERROR(__xludf.DUMMYFUNCTION("""COMPUTED_VALUE"""),0.3201546602180415)</f>
        <v>0.3201546602</v>
      </c>
      <c r="AG2769" s="82">
        <f>IFERROR(__xludf.DUMMYFUNCTION("""COMPUTED_VALUE"""),1.5624630493903584)</f>
        <v>1.562463049</v>
      </c>
      <c r="AH2769" s="82">
        <f>IFERROR(__xludf.DUMMYFUNCTION("""COMPUTED_VALUE"""),0.6010684055124694)</f>
        <v>0.6010684055</v>
      </c>
      <c r="AI2769" s="82">
        <f>IFERROR(__xludf.DUMMYFUNCTION("""COMPUTED_VALUE"""),0.9956477674001747)</f>
        <v>0.9956477674</v>
      </c>
      <c r="AJ2769" s="82">
        <f>IFERROR(__xludf.DUMMYFUNCTION("""COMPUTED_VALUE"""),1.051940378532423)</f>
        <v>1.051940379</v>
      </c>
      <c r="AK2769" s="82">
        <f>IFERROR(__xludf.DUMMYFUNCTION("""COMPUTED_VALUE"""),1.365877748229021)</f>
        <v>1.365877748</v>
      </c>
      <c r="AL2769" s="82">
        <f>IFERROR(__xludf.DUMMYFUNCTION("""COMPUTED_VALUE"""),0.934441576514047)</f>
        <v>0.9344415765</v>
      </c>
      <c r="AM2769" s="82">
        <f>IFERROR(__xludf.DUMMYFUNCTION("""COMPUTED_VALUE"""),1.0650377217771603)</f>
        <v>1.065037722</v>
      </c>
      <c r="AN2769" s="82">
        <f>IFERROR(__xludf.DUMMYFUNCTION("""COMPUTED_VALUE"""),0.8571479613060382)</f>
        <v>0.8571479613</v>
      </c>
      <c r="AO2769" s="82">
        <f>IFERROR(__xludf.DUMMYFUNCTION("""COMPUTED_VALUE"""),0.5450288132044012)</f>
        <v>0.5450288132</v>
      </c>
      <c r="AP2769" s="82">
        <f>IFERROR(__xludf.DUMMYFUNCTION("""COMPUTED_VALUE"""),0.4000686225148782)</f>
        <v>0.4000686225</v>
      </c>
      <c r="AQ2769" s="82">
        <f>IFERROR(__xludf.DUMMYFUNCTION("""COMPUTED_VALUE"""),1.3742488425677395)</f>
        <v>1.374248843</v>
      </c>
      <c r="AR2769" s="82">
        <f>IFERROR(__xludf.DUMMYFUNCTION("""COMPUTED_VALUE"""),0.6913566817798672)</f>
        <v>0.6913566818</v>
      </c>
      <c r="AS2769" s="82">
        <f>IFERROR(__xludf.DUMMYFUNCTION("""COMPUTED_VALUE"""),9.0)</f>
        <v>9</v>
      </c>
      <c r="AT2769" s="82">
        <f>IFERROR(__xludf.DUMMYFUNCTION("""COMPUTED_VALUE"""),0.4614386249795285)</f>
        <v>0.461438625</v>
      </c>
      <c r="AU2769" s="82">
        <f>IFERROR(__xludf.DUMMYFUNCTION("""COMPUTED_VALUE"""),0.6119188380000855)</f>
        <v>0.611918838</v>
      </c>
      <c r="AV2769" s="82">
        <f>IFERROR(__xludf.DUMMYFUNCTION("""COMPUTED_VALUE"""),9.372073345430856)</f>
        <v>9.372073345</v>
      </c>
      <c r="AW2769" s="82">
        <f t="shared" si="1"/>
        <v>-19.2053559</v>
      </c>
      <c r="AX2769" s="83">
        <f t="array" ref="AX2769">IFERROR(DGET('SBV Import'!A:G,"SBV",{"RSC ID","Tier";B2769,A2769}))</f>
        <v>31.71867632</v>
      </c>
      <c r="AY2769" s="82">
        <f t="shared" si="2"/>
        <v>-4.304549782</v>
      </c>
      <c r="AZ2769" s="82">
        <v>14.900806119695755</v>
      </c>
      <c r="BA2769" s="84">
        <v>2700.0</v>
      </c>
      <c r="BB2769" s="84" t="b">
        <f>IFERROR(__xludf.DUMMYFUNCTION("iferror(if(A2769="""",,E2769&gt;=FILTER(Constants!$F$2:$F$10,Constants!$A$2:$A$10=A2769)))"),TRUE)</f>
        <v>1</v>
      </c>
    </row>
    <row r="2770">
      <c r="A2770" s="89" t="str">
        <f>IFERROR(__xludf.DUMMYFUNCTION("""COMPUTED_VALUE"""),"Prospect")</f>
        <v>Prospect</v>
      </c>
      <c r="B2770" s="87" t="str">
        <f>IFERROR(__xludf.DUMMYFUNCTION("""COMPUTED_VALUE"""),"RSC007929")</f>
        <v>RSC007929</v>
      </c>
      <c r="C2770" s="73" t="str">
        <f>IFERROR(__xludf.DUMMYFUNCTION("""COMPUTED_VALUE"""),"Leaux Mane")</f>
        <v>Leaux Mane</v>
      </c>
      <c r="D2770" s="73" t="str">
        <f>IFERROR(__xludf.DUMMYFUNCTION("""COMPUTED_VALUE"""),"Blacktips")</f>
        <v>Blacktips</v>
      </c>
      <c r="E2770" s="82">
        <f>IFERROR(__xludf.DUMMYFUNCTION("""COMPUTED_VALUE"""),4.0)</f>
        <v>4</v>
      </c>
      <c r="F2770" s="82">
        <f>IFERROR(__xludf.DUMMYFUNCTION("""COMPUTED_VALUE"""),0.0)</f>
        <v>0</v>
      </c>
      <c r="G2770" s="86">
        <f>IFERROR(__xludf.DUMMYFUNCTION("""COMPUTED_VALUE"""),4.0)</f>
        <v>4</v>
      </c>
      <c r="H2770" s="86">
        <f>IFERROR(__xludf.DUMMYFUNCTION("""COMPUTED_VALUE"""),0.0)</f>
        <v>0</v>
      </c>
      <c r="I2770" s="86">
        <f>IFERROR(__xludf.DUMMYFUNCTION("""COMPUTED_VALUE"""),0.4)</f>
        <v>0.4</v>
      </c>
      <c r="J2770" s="82">
        <f>IFERROR(__xludf.DUMMYFUNCTION("""COMPUTED_VALUE"""),281.75)</f>
        <v>281.75</v>
      </c>
      <c r="K2770" s="82">
        <f>IFERROR(__xludf.DUMMYFUNCTION("""COMPUTED_VALUE"""),0.5)</f>
        <v>0.5</v>
      </c>
      <c r="L2770" s="82">
        <f>IFERROR(__xludf.DUMMYFUNCTION("""COMPUTED_VALUE"""),0.25)</f>
        <v>0.25</v>
      </c>
      <c r="M2770" s="82">
        <f>IFERROR(__xludf.DUMMYFUNCTION("""COMPUTED_VALUE"""),1.5)</f>
        <v>1.5</v>
      </c>
      <c r="N2770" s="82">
        <f>IFERROR(__xludf.DUMMYFUNCTION("""COMPUTED_VALUE"""),1.25)</f>
        <v>1.25</v>
      </c>
      <c r="O2770" s="82">
        <f>IFERROR(__xludf.DUMMYFUNCTION("""COMPUTED_VALUE"""),367.9166666666667)</f>
        <v>367.9166667</v>
      </c>
      <c r="P2770" s="82">
        <f>IFERROR(__xludf.DUMMYFUNCTION("""COMPUTED_VALUE"""),1.0833333333333333)</f>
        <v>1.083333333</v>
      </c>
      <c r="Q2770" s="82">
        <f>IFERROR(__xludf.DUMMYFUNCTION("""COMPUTED_VALUE"""),0.9166666666666666)</f>
        <v>0.9166666667</v>
      </c>
      <c r="R2770" s="82">
        <f>IFERROR(__xludf.DUMMYFUNCTION("""COMPUTED_VALUE"""),0.5833333333333334)</f>
        <v>0.5833333333</v>
      </c>
      <c r="S2770" s="82">
        <f>IFERROR(__xludf.DUMMYFUNCTION("""COMPUTED_VALUE"""),3.25)</f>
        <v>3.25</v>
      </c>
      <c r="T2770" s="82">
        <f>IFERROR(__xludf.DUMMYFUNCTION("""COMPUTED_VALUE"""),347.0992265795207)</f>
        <v>347.0992266</v>
      </c>
      <c r="U2770" s="82">
        <f>IFERROR(__xludf.DUMMYFUNCTION("""COMPUTED_VALUE"""),0.8192810457516341)</f>
        <v>0.8192810458</v>
      </c>
      <c r="V2770" s="82">
        <f>IFERROR(__xludf.DUMMYFUNCTION("""COMPUTED_VALUE"""),0.608289760348584)</f>
        <v>0.6082897603</v>
      </c>
      <c r="W2770" s="82">
        <f>IFERROR(__xludf.DUMMYFUNCTION("""COMPUTED_VALUE"""),1.2864161220043573)</f>
        <v>1.286416122</v>
      </c>
      <c r="X2770" s="82">
        <f>IFERROR(__xludf.DUMMYFUNCTION("""COMPUTED_VALUE"""),2.4637581699346405)</f>
        <v>2.46375817</v>
      </c>
      <c r="Y2770" s="82">
        <f>IFERROR(__xludf.DUMMYFUNCTION("""COMPUTED_VALUE"""),335.0790777051562)</f>
        <v>335.0790777</v>
      </c>
      <c r="Z2770" s="82">
        <f>IFERROR(__xludf.DUMMYFUNCTION("""COMPUTED_VALUE"""),0.7039941902687)</f>
        <v>0.7039941903</v>
      </c>
      <c r="AA2770" s="82">
        <f>IFERROR(__xludf.DUMMYFUNCTION("""COMPUTED_VALUE"""),0.4963144517066085)</f>
        <v>0.4963144517</v>
      </c>
      <c r="AB2770" s="82">
        <f>IFERROR(__xludf.DUMMYFUNCTION("""COMPUTED_VALUE"""),1.2914996368917937)</f>
        <v>1.291499637</v>
      </c>
      <c r="AC2770" s="82">
        <f>IFERROR(__xludf.DUMMYFUNCTION("""COMPUTED_VALUE"""),2.320882352941177)</f>
        <v>2.320882353</v>
      </c>
      <c r="AD2770" s="82">
        <f>IFERROR(__xludf.DUMMYFUNCTION("""COMPUTED_VALUE"""),0.8408462919547556)</f>
        <v>0.840846292</v>
      </c>
      <c r="AE2770" s="82">
        <f>IFERROR(__xludf.DUMMYFUNCTION("""COMPUTED_VALUE"""),0.7102331338972561)</f>
        <v>0.7102331339</v>
      </c>
      <c r="AF2770" s="82">
        <f>IFERROR(__xludf.DUMMYFUNCTION("""COMPUTED_VALUE"""),0.5037129165599737)</f>
        <v>0.5037129166</v>
      </c>
      <c r="AG2770" s="82">
        <f>IFERROR(__xludf.DUMMYFUNCTION("""COMPUTED_VALUE"""),1.1614405123721108)</f>
        <v>1.161440512</v>
      </c>
      <c r="AH2770" s="82">
        <f>IFERROR(__xludf.DUMMYFUNCTION("""COMPUTED_VALUE"""),0.538588265112153)</f>
        <v>0.5385882651</v>
      </c>
      <c r="AI2770" s="82">
        <f>IFERROR(__xludf.DUMMYFUNCTION("""COMPUTED_VALUE"""),1.0599754724096935)</f>
        <v>1.059975472</v>
      </c>
      <c r="AJ2770" s="82">
        <f>IFERROR(__xludf.DUMMYFUNCTION("""COMPUTED_VALUE"""),1.3222975668129235)</f>
        <v>1.322297567</v>
      </c>
      <c r="AK2770" s="82">
        <f>IFERROR(__xludf.DUMMYFUNCTION("""COMPUTED_VALUE"""),1.5069572536308444)</f>
        <v>1.506957254</v>
      </c>
      <c r="AL2770" s="82">
        <f>IFERROR(__xludf.DUMMYFUNCTION("""COMPUTED_VALUE"""),0.45345617437104657)</f>
        <v>0.4534561744</v>
      </c>
      <c r="AM2770" s="82">
        <f>IFERROR(__xludf.DUMMYFUNCTION("""COMPUTED_VALUE"""),1.3191229722380655)</f>
        <v>1.319122972</v>
      </c>
      <c r="AN2770" s="82">
        <f>IFERROR(__xludf.DUMMYFUNCTION("""COMPUTED_VALUE"""),0.8762751745209588)</f>
        <v>0.8762751745</v>
      </c>
      <c r="AO2770" s="82">
        <f>IFERROR(__xludf.DUMMYFUNCTION("""COMPUTED_VALUE"""),0.6812860165055015)</f>
        <v>0.6812860165</v>
      </c>
      <c r="AP2770" s="82">
        <f>IFERROR(__xludf.DUMMYFUNCTION("""COMPUTED_VALUE"""),0.5000857781435977)</f>
        <v>0.5000857781</v>
      </c>
      <c r="AQ2770" s="82">
        <f>IFERROR(__xludf.DUMMYFUNCTION("""COMPUTED_VALUE"""),1.2883582899072559)</f>
        <v>1.28835829</v>
      </c>
      <c r="AR2770" s="82">
        <f>IFERROR(__xludf.DUMMYFUNCTION("""COMPUTED_VALUE"""),0.5401224076405212)</f>
        <v>0.5401224076</v>
      </c>
      <c r="AS2770" s="82">
        <f>IFERROR(__xludf.DUMMYFUNCTION("""COMPUTED_VALUE"""),7.0)</f>
        <v>7</v>
      </c>
      <c r="AT2770" s="82">
        <f>IFERROR(__xludf.DUMMYFUNCTION("""COMPUTED_VALUE"""),0.2724004993386534)</f>
        <v>0.2724004993</v>
      </c>
      <c r="AU2770" s="82">
        <f>IFERROR(__xludf.DUMMYFUNCTION("""COMPUTED_VALUE"""),0.5970006074495056)</f>
        <v>0.5970006074</v>
      </c>
      <c r="AV2770" s="82">
        <f>IFERROR(__xludf.DUMMYFUNCTION("""COMPUTED_VALUE"""),8.968419555918722)</f>
        <v>8.968419556</v>
      </c>
      <c r="AW2770" s="82">
        <f t="shared" si="1"/>
        <v>-19.85253775</v>
      </c>
      <c r="AX2770" s="83">
        <f t="array" ref="AX2770">IFERROR(DGET('SBV Import'!A:G,"SBV",{"RSC ID","Tier";B2770,A2770}))</f>
        <v>15.91098306</v>
      </c>
      <c r="AY2770" s="82">
        <f t="shared" si="2"/>
        <v>-11.58038195</v>
      </c>
      <c r="AZ2770" s="82">
        <v>8.272155801164136</v>
      </c>
      <c r="BA2770" s="84">
        <v>2700.0</v>
      </c>
      <c r="BB2770" s="84" t="b">
        <f>IFERROR(__xludf.DUMMYFUNCTION("iferror(if(A2770="""",,E2770&gt;=FILTER(Constants!$F$2:$F$10,Constants!$A$2:$A$10=A2770)))"),TRUE)</f>
        <v>1</v>
      </c>
    </row>
    <row r="2771">
      <c r="A2771" s="89" t="str">
        <f>IFERROR(__xludf.DUMMYFUNCTION("""COMPUTED_VALUE"""),"Prospect")</f>
        <v>Prospect</v>
      </c>
      <c r="B2771" s="87" t="str">
        <f>IFERROR(__xludf.DUMMYFUNCTION("""COMPUTED_VALUE"""),"RSC004879")</f>
        <v>RSC004879</v>
      </c>
      <c r="C2771" s="73" t="str">
        <f>IFERROR(__xludf.DUMMYFUNCTION("""COMPUTED_VALUE"""),"DefNotMongo.")</f>
        <v>DefNotMongo.</v>
      </c>
      <c r="D2771" s="73" t="str">
        <f>IFERROR(__xludf.DUMMYFUNCTION("""COMPUTED_VALUE"""),"Khans")</f>
        <v>Khans</v>
      </c>
      <c r="E2771" s="82">
        <f>IFERROR(__xludf.DUMMYFUNCTION("""COMPUTED_VALUE"""),14.0)</f>
        <v>14</v>
      </c>
      <c r="F2771" s="82">
        <f>IFERROR(__xludf.DUMMYFUNCTION("""COMPUTED_VALUE"""),3.0)</f>
        <v>3</v>
      </c>
      <c r="G2771" s="86">
        <f>IFERROR(__xludf.DUMMYFUNCTION("""COMPUTED_VALUE"""),11.0)</f>
        <v>11</v>
      </c>
      <c r="H2771" s="86">
        <f>IFERROR(__xludf.DUMMYFUNCTION("""COMPUTED_VALUE"""),0.21428571428571427)</f>
        <v>0.2142857143</v>
      </c>
      <c r="I2771" s="86">
        <f>IFERROR(__xludf.DUMMYFUNCTION("""COMPUTED_VALUE"""),0.36363636363636365)</f>
        <v>0.3636363636</v>
      </c>
      <c r="J2771" s="82">
        <f>IFERROR(__xludf.DUMMYFUNCTION("""COMPUTED_VALUE"""),263.2142857142857)</f>
        <v>263.2142857</v>
      </c>
      <c r="K2771" s="82">
        <f>IFERROR(__xludf.DUMMYFUNCTION("""COMPUTED_VALUE"""),0.2857142857142857)</f>
        <v>0.2857142857</v>
      </c>
      <c r="L2771" s="82">
        <f>IFERROR(__xludf.DUMMYFUNCTION("""COMPUTED_VALUE"""),0.42857142857142855)</f>
        <v>0.4285714286</v>
      </c>
      <c r="M2771" s="82">
        <f>IFERROR(__xludf.DUMMYFUNCTION("""COMPUTED_VALUE"""),1.6428571428571428)</f>
        <v>1.642857143</v>
      </c>
      <c r="N2771" s="82">
        <f>IFERROR(__xludf.DUMMYFUNCTION("""COMPUTED_VALUE"""),0.7857142857142857)</f>
        <v>0.7857142857</v>
      </c>
      <c r="O2771" s="82">
        <f>IFERROR(__xludf.DUMMYFUNCTION("""COMPUTED_VALUE"""),358.33333333333337)</f>
        <v>358.3333333</v>
      </c>
      <c r="P2771" s="82">
        <f>IFERROR(__xludf.DUMMYFUNCTION("""COMPUTED_VALUE"""),1.0952380952380953)</f>
        <v>1.095238095</v>
      </c>
      <c r="Q2771" s="82">
        <f>IFERROR(__xludf.DUMMYFUNCTION("""COMPUTED_VALUE"""),0.738095238095238)</f>
        <v>0.7380952381</v>
      </c>
      <c r="R2771" s="82">
        <f>IFERROR(__xludf.DUMMYFUNCTION("""COMPUTED_VALUE"""),0.9047619047619049)</f>
        <v>0.9047619048</v>
      </c>
      <c r="S2771" s="82">
        <f>IFERROR(__xludf.DUMMYFUNCTION("""COMPUTED_VALUE"""),3.0714285714285716)</f>
        <v>3.071428571</v>
      </c>
      <c r="T2771" s="82">
        <f>IFERROR(__xludf.DUMMYFUNCTION("""COMPUTED_VALUE"""),343.7756202116738)</f>
        <v>343.7756202</v>
      </c>
      <c r="U2771" s="82">
        <f>IFERROR(__xludf.DUMMYFUNCTION("""COMPUTED_VALUE"""),0.8497355017015076)</f>
        <v>0.8497355017</v>
      </c>
      <c r="V2771" s="82">
        <f>IFERROR(__xludf.DUMMYFUNCTION("""COMPUTED_VALUE"""),0.5754562526531488)</f>
        <v>0.5754562527</v>
      </c>
      <c r="W2771" s="82">
        <f>IFERROR(__xludf.DUMMYFUNCTION("""COMPUTED_VALUE"""),1.1440187895368719)</f>
        <v>1.14401879</v>
      </c>
      <c r="X2771" s="82">
        <f>IFERROR(__xludf.DUMMYFUNCTION("""COMPUTED_VALUE"""),2.577768148663435)</f>
        <v>2.577768149</v>
      </c>
      <c r="Y2771" s="82">
        <f>IFERROR(__xludf.DUMMYFUNCTION("""COMPUTED_VALUE"""),330.53581245794186)</f>
        <v>330.5358125</v>
      </c>
      <c r="Z2771" s="82">
        <f>IFERROR(__xludf.DUMMYFUNCTION("""COMPUTED_VALUE"""),0.7629208185304336)</f>
        <v>0.7629208185</v>
      </c>
      <c r="AA2771" s="82">
        <f>IFERROR(__xludf.DUMMYFUNCTION("""COMPUTED_VALUE"""),0.4906139818328697)</f>
        <v>0.4906139818</v>
      </c>
      <c r="AB2771" s="82">
        <f>IFERROR(__xludf.DUMMYFUNCTION("""COMPUTED_VALUE"""),1.2413279206050423)</f>
        <v>1.241327921</v>
      </c>
      <c r="AC2771" s="82">
        <f>IFERROR(__xludf.DUMMYFUNCTION("""COMPUTED_VALUE"""),2.2969116273253696)</f>
        <v>2.296911627</v>
      </c>
      <c r="AD2771" s="82">
        <f>IFERROR(__xludf.DUMMYFUNCTION("""COMPUTED_VALUE"""),0.7963260735862856)</f>
        <v>0.7963260736</v>
      </c>
      <c r="AE2771" s="82">
        <f>IFERROR(__xludf.DUMMYFUNCTION("""COMPUTED_VALUE"""),0.374500575649042)</f>
        <v>0.3745005756</v>
      </c>
      <c r="AF2771" s="82">
        <f>IFERROR(__xludf.DUMMYFUNCTION("""COMPUTED_VALUE"""),0.8735410005445456)</f>
        <v>0.8735410005</v>
      </c>
      <c r="AG2771" s="82">
        <f>IFERROR(__xludf.DUMMYFUNCTION("""COMPUTED_VALUE"""),1.323467486380544)</f>
        <v>1.323467486</v>
      </c>
      <c r="AH2771" s="82">
        <f>IFERROR(__xludf.DUMMYFUNCTION("""COMPUTED_VALUE"""),0.3420742341006858)</f>
        <v>0.3420742341</v>
      </c>
      <c r="AI2771" s="82">
        <f>IFERROR(__xludf.DUMMYFUNCTION("""COMPUTED_VALUE"""),1.042346554746075)</f>
        <v>1.042346555</v>
      </c>
      <c r="AJ2771" s="82">
        <f>IFERROR(__xludf.DUMMYFUNCTION("""COMPUTED_VALUE"""),1.2889164840647405)</f>
        <v>1.288916484</v>
      </c>
      <c r="AK2771" s="82">
        <f>IFERROR(__xludf.DUMMYFUNCTION("""COMPUTED_VALUE"""),1.2826261504540788)</f>
        <v>1.28262615</v>
      </c>
      <c r="AL2771" s="82">
        <f>IFERROR(__xludf.DUMMYFUNCTION("""COMPUTED_VALUE"""),0.7908628014127073)</f>
        <v>0.7908628014</v>
      </c>
      <c r="AM2771" s="82">
        <f>IFERROR(__xludf.DUMMYFUNCTION("""COMPUTED_VALUE"""),1.1915069138475847)</f>
        <v>1.191506914</v>
      </c>
      <c r="AN2771" s="82">
        <f>IFERROR(__xludf.DUMMYFUNCTION("""COMPUTED_VALUE"""),0.8186269535073477)</f>
        <v>0.8186269535</v>
      </c>
      <c r="AO2771" s="82">
        <f>IFERROR(__xludf.DUMMYFUNCTION("""COMPUTED_VALUE"""),0.3893062951460008)</f>
        <v>0.3893062951</v>
      </c>
      <c r="AP2771" s="82">
        <f>IFERROR(__xludf.DUMMYFUNCTION("""COMPUTED_VALUE"""),0.8572899053890246)</f>
        <v>0.8572899054</v>
      </c>
      <c r="AQ2771" s="82">
        <f>IFERROR(__xludf.DUMMYFUNCTION("""COMPUTED_VALUE"""),1.4110590794222324)</f>
        <v>1.411059079</v>
      </c>
      <c r="AR2771" s="82">
        <f>IFERROR(__xludf.DUMMYFUNCTION("""COMPUTED_VALUE"""),0.3395055133740419)</f>
        <v>0.3395055134</v>
      </c>
      <c r="AS2771" s="82">
        <f>IFERROR(__xludf.DUMMYFUNCTION("""COMPUTED_VALUE"""),25.0)</f>
        <v>25</v>
      </c>
      <c r="AT2771" s="82">
        <f>IFERROR(__xludf.DUMMYFUNCTION("""COMPUTED_VALUE"""),0.27454040582780337)</f>
        <v>0.2745404058</v>
      </c>
      <c r="AU2771" s="82">
        <f>IFERROR(__xludf.DUMMYFUNCTION("""COMPUTED_VALUE"""),0.2687155816976038)</f>
        <v>0.2687155817</v>
      </c>
      <c r="AV2771" s="82">
        <f>IFERROR(__xludf.DUMMYFUNCTION("""COMPUTED_VALUE"""),0.08576458986495084)</f>
        <v>0.08576458986</v>
      </c>
      <c r="AW2771" s="82">
        <f t="shared" si="1"/>
        <v>-43.5996024</v>
      </c>
      <c r="AX2771" s="83">
        <f t="array" ref="AX2771">IFERROR(DGET('SBV Import'!A:G,"SBV",{"RSC ID","Tier";B2771,A2771}))</f>
        <v>9.999331078</v>
      </c>
      <c r="AY2771" s="82">
        <f t="shared" si="2"/>
        <v>-18.2493994</v>
      </c>
      <c r="AZ2771" s="82">
        <v>25.35020299667716</v>
      </c>
      <c r="BA2771" s="84">
        <v>2700.0</v>
      </c>
      <c r="BB2771" s="84" t="b">
        <f>IFERROR(__xludf.DUMMYFUNCTION("iferror(if(A2771="""",,E2771&gt;=FILTER(Constants!$F$2:$F$10,Constants!$A$2:$A$10=A2771)))"),TRUE)</f>
        <v>1</v>
      </c>
    </row>
    <row r="2772">
      <c r="A2772" s="89" t="str">
        <f>IFERROR(__xludf.DUMMYFUNCTION("""COMPUTED_VALUE"""),"Prospect")</f>
        <v>Prospect</v>
      </c>
      <c r="B2772" s="87" t="str">
        <f>IFERROR(__xludf.DUMMYFUNCTION("""COMPUTED_VALUE"""),"RSC006461")</f>
        <v>RSC006461</v>
      </c>
      <c r="C2772" s="73" t="str">
        <f>IFERROR(__xludf.DUMMYFUNCTION("""COMPUTED_VALUE"""),"Cynical89")</f>
        <v>Cynical89</v>
      </c>
      <c r="D2772" s="73"/>
      <c r="E2772" s="82">
        <f>IFERROR(__xludf.DUMMYFUNCTION("""COMPUTED_VALUE"""),1.0)</f>
        <v>1</v>
      </c>
      <c r="F2772" s="82">
        <f>IFERROR(__xludf.DUMMYFUNCTION("""COMPUTED_VALUE"""),0.0)</f>
        <v>0</v>
      </c>
      <c r="G2772" s="86">
        <f>IFERROR(__xludf.DUMMYFUNCTION("""COMPUTED_VALUE"""),1.0)</f>
        <v>1</v>
      </c>
      <c r="H2772" s="86">
        <f>IFERROR(__xludf.DUMMYFUNCTION("""COMPUTED_VALUE"""),0.0)</f>
        <v>0</v>
      </c>
      <c r="I2772" s="86">
        <f>IFERROR(__xludf.DUMMYFUNCTION("""COMPUTED_VALUE"""),0.0)</f>
        <v>0</v>
      </c>
      <c r="J2772" s="82">
        <f>IFERROR(__xludf.DUMMYFUNCTION("""COMPUTED_VALUE"""),190.0)</f>
        <v>190</v>
      </c>
      <c r="K2772" s="82">
        <f>IFERROR(__xludf.DUMMYFUNCTION("""COMPUTED_VALUE"""),0.0)</f>
        <v>0</v>
      </c>
      <c r="L2772" s="82">
        <f>IFERROR(__xludf.DUMMYFUNCTION("""COMPUTED_VALUE"""),1.0)</f>
        <v>1</v>
      </c>
      <c r="M2772" s="82">
        <f>IFERROR(__xludf.DUMMYFUNCTION("""COMPUTED_VALUE"""),0.0)</f>
        <v>0</v>
      </c>
      <c r="N2772" s="82">
        <f>IFERROR(__xludf.DUMMYFUNCTION("""COMPUTED_VALUE"""),1.0)</f>
        <v>1</v>
      </c>
      <c r="O2772" s="82">
        <f>IFERROR(__xludf.DUMMYFUNCTION("""COMPUTED_VALUE"""),412.0)</f>
        <v>412</v>
      </c>
      <c r="P2772" s="82">
        <f>IFERROR(__xludf.DUMMYFUNCTION("""COMPUTED_VALUE"""),1.6666666666666667)</f>
        <v>1.666666667</v>
      </c>
      <c r="Q2772" s="82">
        <f>IFERROR(__xludf.DUMMYFUNCTION("""COMPUTED_VALUE"""),1.3333333333333333)</f>
        <v>1.333333333</v>
      </c>
      <c r="R2772" s="82">
        <f>IFERROR(__xludf.DUMMYFUNCTION("""COMPUTED_VALUE"""),1.0)</f>
        <v>1</v>
      </c>
      <c r="S2772" s="82">
        <f>IFERROR(__xludf.DUMMYFUNCTION("""COMPUTED_VALUE"""),3.0)</f>
        <v>3</v>
      </c>
      <c r="T2772" s="82">
        <f>IFERROR(__xludf.DUMMYFUNCTION("""COMPUTED_VALUE"""),320.5485636114911)</f>
        <v>320.5485636</v>
      </c>
      <c r="U2772" s="82">
        <f>IFERROR(__xludf.DUMMYFUNCTION("""COMPUTED_VALUE"""),0.7660738714090286)</f>
        <v>0.7660738714</v>
      </c>
      <c r="V2772" s="82">
        <f>IFERROR(__xludf.DUMMYFUNCTION("""COMPUTED_VALUE"""),0.6146830825353398)</f>
        <v>0.6146830825</v>
      </c>
      <c r="W2772" s="82">
        <f>IFERROR(__xludf.DUMMYFUNCTION("""COMPUTED_VALUE"""),1.1048791609667123)</f>
        <v>1.104879161</v>
      </c>
      <c r="X2772" s="82">
        <f>IFERROR(__xludf.DUMMYFUNCTION("""COMPUTED_VALUE"""),2.4345645234838122)</f>
        <v>2.434564523</v>
      </c>
      <c r="Y2772" s="82">
        <f>IFERROR(__xludf.DUMMYFUNCTION("""COMPUTED_VALUE"""),294.17677458580334)</f>
        <v>294.1767746</v>
      </c>
      <c r="Z2772" s="82">
        <f>IFERROR(__xludf.DUMMYFUNCTION("""COMPUTED_VALUE"""),0.5897552819577442)</f>
        <v>0.589755282</v>
      </c>
      <c r="AA2772" s="82">
        <f>IFERROR(__xludf.DUMMYFUNCTION("""COMPUTED_VALUE"""),0.425140598875209)</f>
        <v>0.4251405989</v>
      </c>
      <c r="AB2772" s="82">
        <f>IFERROR(__xludf.DUMMYFUNCTION("""COMPUTED_VALUE"""),1.062015503875969)</f>
        <v>1.062015504</v>
      </c>
      <c r="AC2772" s="82">
        <f>IFERROR(__xludf.DUMMYFUNCTION("""COMPUTED_VALUE"""),2.1070071439428486)</f>
        <v>2.107007144</v>
      </c>
      <c r="AD2772" s="82">
        <f>IFERROR(__xludf.DUMMYFUNCTION("""COMPUTED_VALUE"""),0.6458701584022642)</f>
        <v>0.6458701584</v>
      </c>
      <c r="AE2772" s="82">
        <f>IFERROR(__xludf.DUMMYFUNCTION("""COMPUTED_VALUE"""),0.0)</f>
        <v>0</v>
      </c>
      <c r="AF2772" s="82">
        <f>IFERROR(__xludf.DUMMYFUNCTION("""COMPUTED_VALUE"""),2.352163031819807)</f>
        <v>2.352163032</v>
      </c>
      <c r="AG2772" s="82">
        <f>IFERROR(__xludf.DUMMYFUNCTION("""COMPUTED_VALUE"""),0.0)</f>
        <v>0</v>
      </c>
      <c r="AH2772" s="82">
        <f>IFERROR(__xludf.DUMMYFUNCTION("""COMPUTED_VALUE"""),0.4746068388399942)</f>
        <v>0.4746068388</v>
      </c>
      <c r="AI2772" s="82">
        <f>IFERROR(__xludf.DUMMYFUNCTION("""COMPUTED_VALUE"""),1.2852966656851073)</f>
        <v>1.285296666</v>
      </c>
      <c r="AJ2772" s="82">
        <f>IFERROR(__xludf.DUMMYFUNCTION("""COMPUTED_VALUE"""),2.1755952380952386)</f>
        <v>2.175595238</v>
      </c>
      <c r="AK2772" s="82">
        <f>IFERROR(__xludf.DUMMYFUNCTION("""COMPUTED_VALUE"""),2.1691394658753707)</f>
        <v>2.169139466</v>
      </c>
      <c r="AL2772" s="82">
        <f>IFERROR(__xludf.DUMMYFUNCTION("""COMPUTED_VALUE"""),0.9050763516302104)</f>
        <v>0.9050763516</v>
      </c>
      <c r="AM2772" s="82">
        <f>IFERROR(__xludf.DUMMYFUNCTION("""COMPUTED_VALUE"""),1.232253230942124)</f>
        <v>1.232253231</v>
      </c>
      <c r="AN2772" s="82">
        <f>IFERROR(__xludf.DUMMYFUNCTION("""COMPUTED_VALUE"""),0.5909220342821018)</f>
        <v>0.5909220343</v>
      </c>
      <c r="AO2772" s="82">
        <f>IFERROR(__xludf.DUMMYFUNCTION("""COMPUTED_VALUE"""),0.0)</f>
        <v>0</v>
      </c>
      <c r="AP2772" s="82">
        <f>IFERROR(__xludf.DUMMYFUNCTION("""COMPUTED_VALUE"""),2.0003431125743907)</f>
        <v>2.000343113</v>
      </c>
      <c r="AQ2772" s="82">
        <f>IFERROR(__xludf.DUMMYFUNCTION("""COMPUTED_VALUE"""),0.0)</f>
        <v>0</v>
      </c>
      <c r="AR2772" s="82">
        <f>IFERROR(__xludf.DUMMYFUNCTION("""COMPUTED_VALUE"""),0.43209792611241693)</f>
        <v>0.4320979261</v>
      </c>
      <c r="AS2772" s="82">
        <f>IFERROR(__xludf.DUMMYFUNCTION("""COMPUTED_VALUE"""),1.0)</f>
        <v>1</v>
      </c>
      <c r="AT2772" s="82">
        <f>IFERROR(__xludf.DUMMYFUNCTION("""COMPUTED_VALUE"""),0.06347338004736058)</f>
        <v>0.06347338005</v>
      </c>
      <c r="AU2772" s="82">
        <f>IFERROR(__xludf.DUMMYFUNCTION("""COMPUTED_VALUE"""),-0.3444054258878499)</f>
        <v>-0.3444054259</v>
      </c>
      <c r="AV2772" s="82">
        <f>IFERROR(__xludf.DUMMYFUNCTION("""COMPUTED_VALUE"""),-16.503911866887876)</f>
        <v>-16.50391187</v>
      </c>
      <c r="AW2772" s="82">
        <f t="shared" si="1"/>
        <v>-256.0676625</v>
      </c>
      <c r="AX2772" s="83">
        <f t="array" ref="AX2772">IFERROR(DGET('SBV Import'!A:G,"SBV",{"RSC ID","Tier";B2772,A2772}))</f>
        <v>15.98457729</v>
      </c>
      <c r="AY2772" s="82">
        <f t="shared" si="2"/>
        <v>-11.5184293</v>
      </c>
      <c r="AZ2772" s="82">
        <v>244.54923318743514</v>
      </c>
      <c r="BA2772" s="84">
        <v>2700.0</v>
      </c>
      <c r="BB2772" s="84" t="b">
        <f>IFERROR(__xludf.DUMMYFUNCTION("iferror(if(A2772="""",,E2772&gt;=FILTER(Constants!$F$2:$F$10,Constants!$A$2:$A$10=A2772)))"),TRUE)</f>
        <v>1</v>
      </c>
    </row>
    <row r="2773">
      <c r="A2773" s="89" t="str">
        <f>IFERROR(__xludf.DUMMYFUNCTION("""COMPUTED_VALUE"""),"Prospect")</f>
        <v>Prospect</v>
      </c>
      <c r="B2773" s="87" t="str">
        <f>IFERROR(__xludf.DUMMYFUNCTION("""COMPUTED_VALUE"""),"RSC005252")</f>
        <v>RSC005252</v>
      </c>
      <c r="C2773" s="73" t="str">
        <f>IFERROR(__xludf.DUMMYFUNCTION("""COMPUTED_VALUE"""),"MysticMax07")</f>
        <v>MysticMax07</v>
      </c>
      <c r="D2773" s="73"/>
      <c r="E2773" s="82">
        <f>IFERROR(__xludf.DUMMYFUNCTION("""COMPUTED_VALUE"""),2.0)</f>
        <v>2</v>
      </c>
      <c r="F2773" s="82">
        <f>IFERROR(__xludf.DUMMYFUNCTION("""COMPUTED_VALUE"""),0.0)</f>
        <v>0</v>
      </c>
      <c r="G2773" s="86">
        <f>IFERROR(__xludf.DUMMYFUNCTION("""COMPUTED_VALUE"""),2.0)</f>
        <v>2</v>
      </c>
      <c r="H2773" s="86">
        <f>IFERROR(__xludf.DUMMYFUNCTION("""COMPUTED_VALUE"""),0.0)</f>
        <v>0</v>
      </c>
      <c r="I2773" s="86">
        <f>IFERROR(__xludf.DUMMYFUNCTION("""COMPUTED_VALUE"""),0.0)</f>
        <v>0</v>
      </c>
      <c r="J2773" s="82">
        <f>IFERROR(__xludf.DUMMYFUNCTION("""COMPUTED_VALUE"""),151.0)</f>
        <v>151</v>
      </c>
      <c r="K2773" s="82">
        <f>IFERROR(__xludf.DUMMYFUNCTION("""COMPUTED_VALUE"""),0.0)</f>
        <v>0</v>
      </c>
      <c r="L2773" s="82">
        <f>IFERROR(__xludf.DUMMYFUNCTION("""COMPUTED_VALUE"""),0.0)</f>
        <v>0</v>
      </c>
      <c r="M2773" s="82">
        <f>IFERROR(__xludf.DUMMYFUNCTION("""COMPUTED_VALUE"""),0.5)</f>
        <v>0.5</v>
      </c>
      <c r="N2773" s="82">
        <f>IFERROR(__xludf.DUMMYFUNCTION("""COMPUTED_VALUE"""),1.0)</f>
        <v>1</v>
      </c>
      <c r="O2773" s="82">
        <f>IFERROR(__xludf.DUMMYFUNCTION("""COMPUTED_VALUE"""),347.33333333333337)</f>
        <v>347.3333333</v>
      </c>
      <c r="P2773" s="82">
        <f>IFERROR(__xludf.DUMMYFUNCTION("""COMPUTED_VALUE"""),0.8333333333333333)</f>
        <v>0.8333333333</v>
      </c>
      <c r="Q2773" s="82">
        <f>IFERROR(__xludf.DUMMYFUNCTION("""COMPUTED_VALUE"""),0.6666666666666666)</f>
        <v>0.6666666667</v>
      </c>
      <c r="R2773" s="82">
        <f>IFERROR(__xludf.DUMMYFUNCTION("""COMPUTED_VALUE"""),1.1666666666666665)</f>
        <v>1.166666667</v>
      </c>
      <c r="S2773" s="82">
        <f>IFERROR(__xludf.DUMMYFUNCTION("""COMPUTED_VALUE"""),2.0)</f>
        <v>2</v>
      </c>
      <c r="T2773" s="82">
        <f>IFERROR(__xludf.DUMMYFUNCTION("""COMPUTED_VALUE"""),359.40340909090907)</f>
        <v>359.4034091</v>
      </c>
      <c r="U2773" s="82">
        <f>IFERROR(__xludf.DUMMYFUNCTION("""COMPUTED_VALUE"""),0.9324494949494948)</f>
        <v>0.9324494949</v>
      </c>
      <c r="V2773" s="82">
        <f>IFERROR(__xludf.DUMMYFUNCTION("""COMPUTED_VALUE"""),0.6111111111111112)</f>
        <v>0.6111111111</v>
      </c>
      <c r="W2773" s="82">
        <f>IFERROR(__xludf.DUMMYFUNCTION("""COMPUTED_VALUE"""),1.148989898989899)</f>
        <v>1.148989899</v>
      </c>
      <c r="X2773" s="82">
        <f>IFERROR(__xludf.DUMMYFUNCTION("""COMPUTED_VALUE"""),2.5164141414141414)</f>
        <v>2.516414141</v>
      </c>
      <c r="Y2773" s="82">
        <f>IFERROR(__xludf.DUMMYFUNCTION("""COMPUTED_VALUE"""),318.5622895622896)</f>
        <v>318.5622896</v>
      </c>
      <c r="Z2773" s="82">
        <f>IFERROR(__xludf.DUMMYFUNCTION("""COMPUTED_VALUE"""),0.7041245791245792)</f>
        <v>0.7041245791</v>
      </c>
      <c r="AA2773" s="82">
        <f>IFERROR(__xludf.DUMMYFUNCTION("""COMPUTED_VALUE"""),0.473063973063973)</f>
        <v>0.4730639731</v>
      </c>
      <c r="AB2773" s="82">
        <f>IFERROR(__xludf.DUMMYFUNCTION("""COMPUTED_VALUE"""),1.1557239057239055)</f>
        <v>1.155723906</v>
      </c>
      <c r="AC2773" s="82">
        <f>IFERROR(__xludf.DUMMYFUNCTION("""COMPUTED_VALUE"""),2.2411616161616164)</f>
        <v>2.241161616</v>
      </c>
      <c r="AD2773" s="82">
        <f>IFERROR(__xludf.DUMMYFUNCTION("""COMPUTED_VALUE"""),0.4740046293849682)</f>
        <v>0.4740046294</v>
      </c>
      <c r="AE2773" s="82">
        <f>IFERROR(__xludf.DUMMYFUNCTION("""COMPUTED_VALUE"""),0.0)</f>
        <v>0</v>
      </c>
      <c r="AF2773" s="82">
        <f>IFERROR(__xludf.DUMMYFUNCTION("""COMPUTED_VALUE"""),0.0)</f>
        <v>0</v>
      </c>
      <c r="AG2773" s="82">
        <f>IFERROR(__xludf.DUMMYFUNCTION("""COMPUTED_VALUE"""),0.43262927895120185)</f>
        <v>0.432629279</v>
      </c>
      <c r="AH2773" s="82">
        <f>IFERROR(__xludf.DUMMYFUNCTION("""COMPUTED_VALUE"""),0.4461971830985915)</f>
        <v>0.4461971831</v>
      </c>
      <c r="AI2773" s="82">
        <f>IFERROR(__xludf.DUMMYFUNCTION("""COMPUTED_VALUE"""),0.9664163570732223)</f>
        <v>0.9664163571</v>
      </c>
      <c r="AJ2773" s="82">
        <f>IFERROR(__xludf.DUMMYFUNCTION("""COMPUTED_VALUE"""),0.8937034529451592)</f>
        <v>0.8937034529</v>
      </c>
      <c r="AK2773" s="82">
        <f>IFERROR(__xludf.DUMMYFUNCTION("""COMPUTED_VALUE"""),1.0909090909090908)</f>
        <v>1.090909091</v>
      </c>
      <c r="AL2773" s="82">
        <f>IFERROR(__xludf.DUMMYFUNCTION("""COMPUTED_VALUE"""),1.0153846153846153)</f>
        <v>1.015384615</v>
      </c>
      <c r="AM2773" s="82">
        <f>IFERROR(__xludf.DUMMYFUNCTION("""COMPUTED_VALUE"""),0.7947817360762669)</f>
        <v>0.7947817361</v>
      </c>
      <c r="AN2773" s="82">
        <f>IFERROR(__xludf.DUMMYFUNCTION("""COMPUTED_VALUE"""),0.4696275114557756)</f>
        <v>0.4696275115</v>
      </c>
      <c r="AO2773" s="82">
        <f>IFERROR(__xludf.DUMMYFUNCTION("""COMPUTED_VALUE"""),0.0)</f>
        <v>0</v>
      </c>
      <c r="AP2773" s="82">
        <f>IFERROR(__xludf.DUMMYFUNCTION("""COMPUTED_VALUE"""),0.0)</f>
        <v>0</v>
      </c>
      <c r="AQ2773" s="82">
        <f>IFERROR(__xludf.DUMMYFUNCTION("""COMPUTED_VALUE"""),0.4294527633024186)</f>
        <v>0.4294527633</v>
      </c>
      <c r="AR2773" s="82">
        <f>IFERROR(__xludf.DUMMYFUNCTION("""COMPUTED_VALUE"""),0.43209792611241693)</f>
        <v>0.4320979261</v>
      </c>
      <c r="AS2773" s="82">
        <f>IFERROR(__xludf.DUMMYFUNCTION("""COMPUTED_VALUE"""),2.0)</f>
        <v>2</v>
      </c>
      <c r="AT2773" s="82">
        <f>IFERROR(__xludf.DUMMYFUNCTION("""COMPUTED_VALUE"""),0.212027641721307)</f>
        <v>0.2120276417</v>
      </c>
      <c r="AU2773" s="82">
        <f>IFERROR(__xludf.DUMMYFUNCTION("""COMPUTED_VALUE"""),-0.4244784082221403)</f>
        <v>-0.4244784082</v>
      </c>
      <c r="AV2773" s="82">
        <f>IFERROR(__xludf.DUMMYFUNCTION("""COMPUTED_VALUE"""),-18.67050680233872)</f>
        <v>-18.6705068</v>
      </c>
      <c r="AW2773" s="82">
        <f t="shared" si="1"/>
        <v>-332.3578597</v>
      </c>
      <c r="AX2773" s="83">
        <f t="array" ref="AX2773">IFERROR(DGET('SBV Import'!A:G,"SBV",{"RSC ID","Tier";B2773,A2773}))</f>
        <v>-14.81276555</v>
      </c>
      <c r="AY2773" s="82">
        <f t="shared" si="2"/>
        <v>-209.9115202</v>
      </c>
      <c r="AZ2773" s="82">
        <v>122.44633945901975</v>
      </c>
      <c r="BA2773" s="84">
        <v>2700.0</v>
      </c>
      <c r="BB2773" s="84" t="b">
        <f>IFERROR(__xludf.DUMMYFUNCTION("iferror(if(A2773="""",,E2773&gt;=FILTER(Constants!$F$2:$F$10,Constants!$A$2:$A$10=A2773)))"),TRUE)</f>
        <v>1</v>
      </c>
    </row>
    <row r="2774">
      <c r="A2774" s="89" t="str">
        <f>IFERROR(__xludf.DUMMYFUNCTION("""COMPUTED_VALUE"""),"Prospect")</f>
        <v>Prospect</v>
      </c>
      <c r="B2774" s="87" t="str">
        <f>IFERROR(__xludf.DUMMYFUNCTION("""COMPUTED_VALUE"""),"RSC008002")</f>
        <v>RSC008002</v>
      </c>
      <c r="C2774" s="73" t="str">
        <f>IFERROR(__xludf.DUMMYFUNCTION("""COMPUTED_VALUE"""),"majorpilots")</f>
        <v>majorpilots</v>
      </c>
      <c r="D2774" s="73"/>
      <c r="E2774" s="82">
        <f>IFERROR(__xludf.DUMMYFUNCTION("""COMPUTED_VALUE"""),4.0)</f>
        <v>4</v>
      </c>
      <c r="F2774" s="82">
        <f>IFERROR(__xludf.DUMMYFUNCTION("""COMPUTED_VALUE"""),1.0)</f>
        <v>1</v>
      </c>
      <c r="G2774" s="86">
        <f>IFERROR(__xludf.DUMMYFUNCTION("""COMPUTED_VALUE"""),3.0)</f>
        <v>3</v>
      </c>
      <c r="H2774" s="86">
        <f>IFERROR(__xludf.DUMMYFUNCTION("""COMPUTED_VALUE"""),0.25)</f>
        <v>0.25</v>
      </c>
      <c r="I2774" s="86">
        <f>IFERROR(__xludf.DUMMYFUNCTION("""COMPUTED_VALUE"""),0.0)</f>
        <v>0</v>
      </c>
      <c r="J2774" s="82">
        <f>IFERROR(__xludf.DUMMYFUNCTION("""COMPUTED_VALUE"""),104.5)</f>
        <v>104.5</v>
      </c>
      <c r="K2774" s="82">
        <f>IFERROR(__xludf.DUMMYFUNCTION("""COMPUTED_VALUE"""),0.0)</f>
        <v>0</v>
      </c>
      <c r="L2774" s="82">
        <f>IFERROR(__xludf.DUMMYFUNCTION("""COMPUTED_VALUE"""),0.25)</f>
        <v>0.25</v>
      </c>
      <c r="M2774" s="82">
        <f>IFERROR(__xludf.DUMMYFUNCTION("""COMPUTED_VALUE"""),0.25)</f>
        <v>0.25</v>
      </c>
      <c r="N2774" s="82">
        <f>IFERROR(__xludf.DUMMYFUNCTION("""COMPUTED_VALUE"""),0.5)</f>
        <v>0.5</v>
      </c>
      <c r="O2774" s="82">
        <f>IFERROR(__xludf.DUMMYFUNCTION("""COMPUTED_VALUE"""),398.50000000000006)</f>
        <v>398.5</v>
      </c>
      <c r="P2774" s="82">
        <f>IFERROR(__xludf.DUMMYFUNCTION("""COMPUTED_VALUE"""),1.0833333333333333)</f>
        <v>1.083333333</v>
      </c>
      <c r="Q2774" s="82">
        <f>IFERROR(__xludf.DUMMYFUNCTION("""COMPUTED_VALUE"""),0.8333333333333333)</f>
        <v>0.8333333333</v>
      </c>
      <c r="R2774" s="82">
        <f>IFERROR(__xludf.DUMMYFUNCTION("""COMPUTED_VALUE"""),0.9166666666666665)</f>
        <v>0.9166666667</v>
      </c>
      <c r="S2774" s="82">
        <f>IFERROR(__xludf.DUMMYFUNCTION("""COMPUTED_VALUE"""),4.25)</f>
        <v>4.25</v>
      </c>
      <c r="T2774" s="82">
        <f>IFERROR(__xludf.DUMMYFUNCTION("""COMPUTED_VALUE"""),356.0935104065267)</f>
        <v>356.0935104</v>
      </c>
      <c r="U2774" s="82">
        <f>IFERROR(__xludf.DUMMYFUNCTION("""COMPUTED_VALUE"""),0.9606591572799333)</f>
        <v>0.9606591573</v>
      </c>
      <c r="V2774" s="82">
        <f>IFERROR(__xludf.DUMMYFUNCTION("""COMPUTED_VALUE"""),0.6428544940434803)</f>
        <v>0.642854494</v>
      </c>
      <c r="W2774" s="82">
        <f>IFERROR(__xludf.DUMMYFUNCTION("""COMPUTED_VALUE"""),0.9820887220136281)</f>
        <v>0.982088722</v>
      </c>
      <c r="X2774" s="82">
        <f>IFERROR(__xludf.DUMMYFUNCTION("""COMPUTED_VALUE"""),2.9174431001715107)</f>
        <v>2.9174431</v>
      </c>
      <c r="Y2774" s="82">
        <f>IFERROR(__xludf.DUMMYFUNCTION("""COMPUTED_VALUE"""),361.7969916098827)</f>
        <v>361.7969916</v>
      </c>
      <c r="Z2774" s="82">
        <f>IFERROR(__xludf.DUMMYFUNCTION("""COMPUTED_VALUE"""),0.914816359956118)</f>
        <v>0.91481636</v>
      </c>
      <c r="AA2774" s="82">
        <f>IFERROR(__xludf.DUMMYFUNCTION("""COMPUTED_VALUE"""),0.5750845964863486)</f>
        <v>0.5750845965</v>
      </c>
      <c r="AB2774" s="82">
        <f>IFERROR(__xludf.DUMMYFUNCTION("""COMPUTED_VALUE"""),1.3665044268298334)</f>
        <v>1.366504427</v>
      </c>
      <c r="AC2774" s="82">
        <f>IFERROR(__xludf.DUMMYFUNCTION("""COMPUTED_VALUE"""),2.298152011001406)</f>
        <v>2.298152011</v>
      </c>
      <c r="AD2774" s="82">
        <f>IFERROR(__xludf.DUMMYFUNCTION("""COMPUTED_VALUE"""),0.2888360114190223)</f>
        <v>0.2888360114</v>
      </c>
      <c r="AE2774" s="82">
        <f>IFERROR(__xludf.DUMMYFUNCTION("""COMPUTED_VALUE"""),0.0)</f>
        <v>0</v>
      </c>
      <c r="AF2774" s="82">
        <f>IFERROR(__xludf.DUMMYFUNCTION("""COMPUTED_VALUE"""),0.4347186510079557)</f>
        <v>0.434718651</v>
      </c>
      <c r="AG2774" s="82">
        <f>IFERROR(__xludf.DUMMYFUNCTION("""COMPUTED_VALUE"""),0.18294854747011494)</f>
        <v>0.1829485475</v>
      </c>
      <c r="AH2774" s="82">
        <f>IFERROR(__xludf.DUMMYFUNCTION("""COMPUTED_VALUE"""),0.2175661129492161)</f>
        <v>0.2175661129</v>
      </c>
      <c r="AI2774" s="82">
        <f>IFERROR(__xludf.DUMMYFUNCTION("""COMPUTED_VALUE"""),1.1190880719647511)</f>
        <v>1.119088072</v>
      </c>
      <c r="AJ2774" s="82">
        <f>IFERROR(__xludf.DUMMYFUNCTION("""COMPUTED_VALUE"""),1.127697919833239)</f>
        <v>1.12769792</v>
      </c>
      <c r="AK2774" s="82">
        <f>IFERROR(__xludf.DUMMYFUNCTION("""COMPUTED_VALUE"""),1.2963016375475003)</f>
        <v>1.296301638</v>
      </c>
      <c r="AL2774" s="82">
        <f>IFERROR(__xludf.DUMMYFUNCTION("""COMPUTED_VALUE"""),0.9333847809464472)</f>
        <v>0.9333847809</v>
      </c>
      <c r="AM2774" s="82">
        <f>IFERROR(__xludf.DUMMYFUNCTION("""COMPUTED_VALUE"""),1.4567550605357653)</f>
        <v>1.456755061</v>
      </c>
      <c r="AN2774" s="82">
        <f>IFERROR(__xludf.DUMMYFUNCTION("""COMPUTED_VALUE"""),0.325007118855156)</f>
        <v>0.3250071189</v>
      </c>
      <c r="AO2774" s="82">
        <f>IFERROR(__xludf.DUMMYFUNCTION("""COMPUTED_VALUE"""),0.0)</f>
        <v>0</v>
      </c>
      <c r="AP2774" s="82">
        <f>IFERROR(__xludf.DUMMYFUNCTION("""COMPUTED_VALUE"""),0.5000857781435977)</f>
        <v>0.5000857781</v>
      </c>
      <c r="AQ2774" s="82">
        <f>IFERROR(__xludf.DUMMYFUNCTION("""COMPUTED_VALUE"""),0.2147263816512093)</f>
        <v>0.2147263817</v>
      </c>
      <c r="AR2774" s="82">
        <f>IFERROR(__xludf.DUMMYFUNCTION("""COMPUTED_VALUE"""),0.21604896305620847)</f>
        <v>0.2160489631</v>
      </c>
      <c r="AS2774" s="82">
        <f>IFERROR(__xludf.DUMMYFUNCTION("""COMPUTED_VALUE"""),7.0)</f>
        <v>7</v>
      </c>
      <c r="AT2774" s="82">
        <f>IFERROR(__xludf.DUMMYFUNCTION("""COMPUTED_VALUE"""),0.2724004993386534)</f>
        <v>0.2724004993</v>
      </c>
      <c r="AU2774" s="82">
        <f>IFERROR(__xludf.DUMMYFUNCTION("""COMPUTED_VALUE"""),-0.9619560257098413)</f>
        <v>-0.9619560257</v>
      </c>
      <c r="AV2774" s="82">
        <f>IFERROR(__xludf.DUMMYFUNCTION("""COMPUTED_VALUE"""),-33.21344313391526)</f>
        <v>-33.21344313</v>
      </c>
      <c r="AW2774" s="82">
        <f t="shared" si="1"/>
        <v>-2290.86729</v>
      </c>
      <c r="AX2774" s="83">
        <f t="array" ref="AX2774">IFERROR(DGET('SBV Import'!A:G,"SBV",{"RSC ID","Tier";B2774,A2774}))</f>
        <v>-52.76179763</v>
      </c>
      <c r="AY2774" s="82">
        <f t="shared" si="2"/>
        <v>-50651.9767</v>
      </c>
      <c r="AZ2774" s="82">
        <v>48361.10941255293</v>
      </c>
      <c r="BA2774" s="84">
        <v>2700.0</v>
      </c>
      <c r="BB2774" s="84" t="b">
        <f>IFERROR(__xludf.DUMMYFUNCTION("iferror(if(A2774="""",,E2774&gt;=FILTER(Constants!$F$2:$F$10,Constants!$A$2:$A$10=A2774)))"),TRUE)</f>
        <v>1</v>
      </c>
    </row>
    <row r="2775">
      <c r="A2775" s="89"/>
      <c r="B2775" s="87"/>
      <c r="C2775" s="73"/>
      <c r="D2775" s="73"/>
      <c r="E2775" s="82"/>
      <c r="F2775" s="82"/>
      <c r="G2775" s="86"/>
      <c r="H2775" s="86"/>
      <c r="I2775" s="86"/>
      <c r="J2775" s="82"/>
      <c r="K2775" s="82"/>
      <c r="L2775" s="82"/>
      <c r="M2775" s="82"/>
      <c r="N2775" s="82"/>
      <c r="O2775" s="82"/>
      <c r="P2775" s="82"/>
      <c r="Q2775" s="82"/>
      <c r="R2775" s="82"/>
      <c r="S2775" s="82"/>
      <c r="T2775" s="82"/>
      <c r="U2775" s="82"/>
      <c r="V2775" s="82"/>
      <c r="W2775" s="82"/>
      <c r="X2775" s="82"/>
      <c r="Y2775" s="82"/>
      <c r="Z2775" s="82"/>
      <c r="AA2775" s="82"/>
      <c r="AB2775" s="82"/>
      <c r="AC2775" s="82"/>
      <c r="AD2775" s="82"/>
      <c r="AE2775" s="82"/>
      <c r="AF2775" s="82"/>
      <c r="AG2775" s="82"/>
      <c r="AH2775" s="82"/>
      <c r="AI2775" s="82"/>
      <c r="AJ2775" s="82"/>
      <c r="AK2775" s="82"/>
      <c r="AL2775" s="82"/>
      <c r="AM2775" s="82"/>
      <c r="AN2775" s="82">
        <f>IFERROR(__xludf.DUMMYFUNCTION("""COMPUTED_VALUE"""),0.0)</f>
        <v>0</v>
      </c>
      <c r="AO2775" s="82">
        <f>IFERROR(__xludf.DUMMYFUNCTION("""COMPUTED_VALUE"""),0.0)</f>
        <v>0</v>
      </c>
      <c r="AP2775" s="82">
        <f>IFERROR(__xludf.DUMMYFUNCTION("""COMPUTED_VALUE"""),0.0)</f>
        <v>0</v>
      </c>
      <c r="AQ2775" s="82">
        <f>IFERROR(__xludf.DUMMYFUNCTION("""COMPUTED_VALUE"""),0.0)</f>
        <v>0</v>
      </c>
      <c r="AR2775" s="82">
        <f>IFERROR(__xludf.DUMMYFUNCTION("""COMPUTED_VALUE"""),0.0)</f>
        <v>0</v>
      </c>
      <c r="AS2775" s="82"/>
      <c r="AT2775" s="82">
        <f>IFERROR(__xludf.DUMMYFUNCTION("""COMPUTED_VALUE"""),0.0)</f>
        <v>0</v>
      </c>
      <c r="AU2775" s="82"/>
      <c r="AV2775" s="82"/>
      <c r="AW2775" s="82" t="str">
        <f t="shared" si="1"/>
        <v/>
      </c>
      <c r="AX2775" s="83" t="str">
        <f t="array" ref="AX2775">IFERROR(DGET('SBV Import'!A:G,"SBV",{"RSC ID","Tier";B2775,A2775}))</f>
        <v/>
      </c>
      <c r="AY2775" s="82" t="str">
        <f t="shared" si="2"/>
        <v/>
      </c>
      <c r="AZ2775" s="82"/>
      <c r="BA2775" s="84" t="s">
        <v>152</v>
      </c>
      <c r="BB2775" s="84" t="str">
        <f>IFERROR(__xludf.DUMMYFUNCTION("iferror(if(A2775="""",,E2775&gt;=FILTER(Constants!$F$2:$F$10,Constants!$A$2:$A$10=A2775)))"),"")</f>
        <v/>
      </c>
    </row>
    <row r="2776">
      <c r="A2776" s="89"/>
      <c r="B2776" s="87"/>
      <c r="C2776" s="73"/>
      <c r="D2776" s="73"/>
      <c r="E2776" s="82"/>
      <c r="F2776" s="82"/>
      <c r="G2776" s="86"/>
      <c r="H2776" s="86"/>
      <c r="I2776" s="86"/>
      <c r="J2776" s="82"/>
      <c r="K2776" s="82"/>
      <c r="L2776" s="82"/>
      <c r="M2776" s="82"/>
      <c r="N2776" s="82"/>
      <c r="O2776" s="82"/>
      <c r="P2776" s="82"/>
      <c r="Q2776" s="82"/>
      <c r="R2776" s="82"/>
      <c r="S2776" s="82"/>
      <c r="T2776" s="82"/>
      <c r="U2776" s="82"/>
      <c r="V2776" s="82"/>
      <c r="W2776" s="82"/>
      <c r="X2776" s="82"/>
      <c r="Y2776" s="82"/>
      <c r="Z2776" s="82"/>
      <c r="AA2776" s="82"/>
      <c r="AB2776" s="82"/>
      <c r="AC2776" s="82"/>
      <c r="AD2776" s="82"/>
      <c r="AE2776" s="82"/>
      <c r="AF2776" s="82"/>
      <c r="AG2776" s="82"/>
      <c r="AH2776" s="82"/>
      <c r="AI2776" s="82"/>
      <c r="AJ2776" s="82"/>
      <c r="AK2776" s="82"/>
      <c r="AL2776" s="82"/>
      <c r="AM2776" s="82"/>
      <c r="AN2776" s="82">
        <f>IFERROR(__xludf.DUMMYFUNCTION("""COMPUTED_VALUE"""),0.0)</f>
        <v>0</v>
      </c>
      <c r="AO2776" s="82">
        <f>IFERROR(__xludf.DUMMYFUNCTION("""COMPUTED_VALUE"""),0.0)</f>
        <v>0</v>
      </c>
      <c r="AP2776" s="82">
        <f>IFERROR(__xludf.DUMMYFUNCTION("""COMPUTED_VALUE"""),0.0)</f>
        <v>0</v>
      </c>
      <c r="AQ2776" s="82">
        <f>IFERROR(__xludf.DUMMYFUNCTION("""COMPUTED_VALUE"""),0.0)</f>
        <v>0</v>
      </c>
      <c r="AR2776" s="82">
        <f>IFERROR(__xludf.DUMMYFUNCTION("""COMPUTED_VALUE"""),0.0)</f>
        <v>0</v>
      </c>
      <c r="AS2776" s="82"/>
      <c r="AT2776" s="82">
        <f>IFERROR(__xludf.DUMMYFUNCTION("""COMPUTED_VALUE"""),0.0)</f>
        <v>0</v>
      </c>
      <c r="AU2776" s="82"/>
      <c r="AV2776" s="82"/>
      <c r="AW2776" s="82" t="str">
        <f t="shared" si="1"/>
        <v/>
      </c>
      <c r="AX2776" s="83" t="str">
        <f t="array" ref="AX2776">IFERROR(DGET('SBV Import'!A:G,"SBV",{"RSC ID","Tier";B2776,A2776}))</f>
        <v/>
      </c>
      <c r="AY2776" s="82" t="str">
        <f t="shared" si="2"/>
        <v/>
      </c>
      <c r="AZ2776" s="82"/>
      <c r="BA2776" s="84" t="s">
        <v>152</v>
      </c>
      <c r="BB2776" s="84" t="str">
        <f>IFERROR(__xludf.DUMMYFUNCTION("iferror(if(A2776="""",,E2776&gt;=FILTER(Constants!$F$2:$F$10,Constants!$A$2:$A$10=A2776)))"),"")</f>
        <v/>
      </c>
    </row>
    <row r="2777">
      <c r="A2777" s="89"/>
      <c r="B2777" s="87"/>
      <c r="C2777" s="73"/>
      <c r="D2777" s="73"/>
      <c r="E2777" s="82"/>
      <c r="F2777" s="82"/>
      <c r="G2777" s="86"/>
      <c r="H2777" s="86"/>
      <c r="I2777" s="86"/>
      <c r="J2777" s="82"/>
      <c r="K2777" s="82"/>
      <c r="L2777" s="82"/>
      <c r="M2777" s="82"/>
      <c r="N2777" s="82"/>
      <c r="O2777" s="82"/>
      <c r="P2777" s="82"/>
      <c r="Q2777" s="82"/>
      <c r="R2777" s="82"/>
      <c r="S2777" s="82"/>
      <c r="T2777" s="82"/>
      <c r="U2777" s="82"/>
      <c r="V2777" s="82"/>
      <c r="W2777" s="82"/>
      <c r="X2777" s="82"/>
      <c r="Y2777" s="82"/>
      <c r="Z2777" s="82"/>
      <c r="AA2777" s="82"/>
      <c r="AB2777" s="82"/>
      <c r="AC2777" s="82"/>
      <c r="AD2777" s="82"/>
      <c r="AE2777" s="82"/>
      <c r="AF2777" s="82"/>
      <c r="AG2777" s="82"/>
      <c r="AH2777" s="82"/>
      <c r="AI2777" s="82"/>
      <c r="AJ2777" s="82"/>
      <c r="AK2777" s="82"/>
      <c r="AL2777" s="82"/>
      <c r="AM2777" s="82"/>
      <c r="AN2777" s="82">
        <f>IFERROR(__xludf.DUMMYFUNCTION("""COMPUTED_VALUE"""),0.0)</f>
        <v>0</v>
      </c>
      <c r="AO2777" s="82">
        <f>IFERROR(__xludf.DUMMYFUNCTION("""COMPUTED_VALUE"""),0.0)</f>
        <v>0</v>
      </c>
      <c r="AP2777" s="82">
        <f>IFERROR(__xludf.DUMMYFUNCTION("""COMPUTED_VALUE"""),0.0)</f>
        <v>0</v>
      </c>
      <c r="AQ2777" s="82">
        <f>IFERROR(__xludf.DUMMYFUNCTION("""COMPUTED_VALUE"""),0.0)</f>
        <v>0</v>
      </c>
      <c r="AR2777" s="82">
        <f>IFERROR(__xludf.DUMMYFUNCTION("""COMPUTED_VALUE"""),0.0)</f>
        <v>0</v>
      </c>
      <c r="AS2777" s="82"/>
      <c r="AT2777" s="82">
        <f>IFERROR(__xludf.DUMMYFUNCTION("""COMPUTED_VALUE"""),0.0)</f>
        <v>0</v>
      </c>
      <c r="AU2777" s="82"/>
      <c r="AV2777" s="82"/>
      <c r="AW2777" s="82" t="str">
        <f t="shared" si="1"/>
        <v/>
      </c>
      <c r="AX2777" s="83" t="str">
        <f t="array" ref="AX2777">IFERROR(DGET('SBV Import'!A:G,"SBV",{"RSC ID","Tier";B2777,A2777}))</f>
        <v/>
      </c>
      <c r="AY2777" s="82" t="str">
        <f t="shared" si="2"/>
        <v/>
      </c>
      <c r="AZ2777" s="82"/>
      <c r="BA2777" s="84" t="s">
        <v>152</v>
      </c>
      <c r="BB2777" s="84" t="str">
        <f>IFERROR(__xludf.DUMMYFUNCTION("iferror(if(A2777="""",,E2777&gt;=FILTER(Constants!$F$2:$F$10,Constants!$A$2:$A$10=A2777)))"),"")</f>
        <v/>
      </c>
    </row>
    <row r="2778">
      <c r="A2778" s="89"/>
      <c r="B2778" s="87"/>
      <c r="C2778" s="73"/>
      <c r="D2778" s="73"/>
      <c r="E2778" s="82"/>
      <c r="F2778" s="82"/>
      <c r="G2778" s="86"/>
      <c r="H2778" s="86"/>
      <c r="I2778" s="86"/>
      <c r="J2778" s="82"/>
      <c r="K2778" s="82"/>
      <c r="L2778" s="82"/>
      <c r="M2778" s="82"/>
      <c r="N2778" s="82"/>
      <c r="O2778" s="82"/>
      <c r="P2778" s="82"/>
      <c r="Q2778" s="82"/>
      <c r="R2778" s="82"/>
      <c r="S2778" s="82"/>
      <c r="T2778" s="82"/>
      <c r="U2778" s="82"/>
      <c r="V2778" s="82"/>
      <c r="W2778" s="82"/>
      <c r="X2778" s="82"/>
      <c r="Y2778" s="82"/>
      <c r="Z2778" s="82"/>
      <c r="AA2778" s="82"/>
      <c r="AB2778" s="82"/>
      <c r="AC2778" s="82"/>
      <c r="AD2778" s="82"/>
      <c r="AE2778" s="82"/>
      <c r="AF2778" s="82"/>
      <c r="AG2778" s="82"/>
      <c r="AH2778" s="82"/>
      <c r="AI2778" s="82"/>
      <c r="AJ2778" s="82"/>
      <c r="AK2778" s="82"/>
      <c r="AL2778" s="82"/>
      <c r="AM2778" s="82"/>
      <c r="AN2778" s="82">
        <f>IFERROR(__xludf.DUMMYFUNCTION("""COMPUTED_VALUE"""),0.0)</f>
        <v>0</v>
      </c>
      <c r="AO2778" s="82">
        <f>IFERROR(__xludf.DUMMYFUNCTION("""COMPUTED_VALUE"""),0.0)</f>
        <v>0</v>
      </c>
      <c r="AP2778" s="82">
        <f>IFERROR(__xludf.DUMMYFUNCTION("""COMPUTED_VALUE"""),0.0)</f>
        <v>0</v>
      </c>
      <c r="AQ2778" s="82">
        <f>IFERROR(__xludf.DUMMYFUNCTION("""COMPUTED_VALUE"""),0.0)</f>
        <v>0</v>
      </c>
      <c r="AR2778" s="82">
        <f>IFERROR(__xludf.DUMMYFUNCTION("""COMPUTED_VALUE"""),0.0)</f>
        <v>0</v>
      </c>
      <c r="AS2778" s="82"/>
      <c r="AT2778" s="82">
        <f>IFERROR(__xludf.DUMMYFUNCTION("""COMPUTED_VALUE"""),0.0)</f>
        <v>0</v>
      </c>
      <c r="AU2778" s="82"/>
      <c r="AV2778" s="82"/>
      <c r="AW2778" s="82" t="str">
        <f t="shared" si="1"/>
        <v/>
      </c>
      <c r="AX2778" s="83" t="str">
        <f t="array" ref="AX2778">IFERROR(DGET('SBV Import'!A:G,"SBV",{"RSC ID","Tier";B2778,A2778}))</f>
        <v/>
      </c>
      <c r="AY2778" s="82" t="str">
        <f t="shared" si="2"/>
        <v/>
      </c>
      <c r="AZ2778" s="82"/>
      <c r="BA2778" s="84" t="s">
        <v>152</v>
      </c>
      <c r="BB2778" s="84" t="str">
        <f>IFERROR(__xludf.DUMMYFUNCTION("iferror(if(A2778="""",,E2778&gt;=FILTER(Constants!$F$2:$F$10,Constants!$A$2:$A$10=A2778)))"),"")</f>
        <v/>
      </c>
    </row>
    <row r="2779">
      <c r="A2779" s="89"/>
      <c r="B2779" s="87"/>
      <c r="C2779" s="73"/>
      <c r="D2779" s="73"/>
      <c r="E2779" s="82"/>
      <c r="F2779" s="82"/>
      <c r="G2779" s="86"/>
      <c r="H2779" s="86"/>
      <c r="I2779" s="86"/>
      <c r="J2779" s="82"/>
      <c r="K2779" s="82"/>
      <c r="L2779" s="82"/>
      <c r="M2779" s="82"/>
      <c r="N2779" s="82"/>
      <c r="O2779" s="82"/>
      <c r="P2779" s="82"/>
      <c r="Q2779" s="82"/>
      <c r="R2779" s="82"/>
      <c r="S2779" s="82"/>
      <c r="T2779" s="82"/>
      <c r="U2779" s="82"/>
      <c r="V2779" s="82"/>
      <c r="W2779" s="82"/>
      <c r="X2779" s="82"/>
      <c r="Y2779" s="82"/>
      <c r="Z2779" s="82"/>
      <c r="AA2779" s="82"/>
      <c r="AB2779" s="82"/>
      <c r="AC2779" s="82"/>
      <c r="AD2779" s="82"/>
      <c r="AE2779" s="82"/>
      <c r="AF2779" s="82"/>
      <c r="AG2779" s="82"/>
      <c r="AH2779" s="82"/>
      <c r="AI2779" s="82"/>
      <c r="AJ2779" s="82"/>
      <c r="AK2779" s="82"/>
      <c r="AL2779" s="82"/>
      <c r="AM2779" s="82"/>
      <c r="AN2779" s="82">
        <f>IFERROR(__xludf.DUMMYFUNCTION("""COMPUTED_VALUE"""),0.0)</f>
        <v>0</v>
      </c>
      <c r="AO2779" s="82">
        <f>IFERROR(__xludf.DUMMYFUNCTION("""COMPUTED_VALUE"""),0.0)</f>
        <v>0</v>
      </c>
      <c r="AP2779" s="82">
        <f>IFERROR(__xludf.DUMMYFUNCTION("""COMPUTED_VALUE"""),0.0)</f>
        <v>0</v>
      </c>
      <c r="AQ2779" s="82">
        <f>IFERROR(__xludf.DUMMYFUNCTION("""COMPUTED_VALUE"""),0.0)</f>
        <v>0</v>
      </c>
      <c r="AR2779" s="82">
        <f>IFERROR(__xludf.DUMMYFUNCTION("""COMPUTED_VALUE"""),0.0)</f>
        <v>0</v>
      </c>
      <c r="AS2779" s="82"/>
      <c r="AT2779" s="82">
        <f>IFERROR(__xludf.DUMMYFUNCTION("""COMPUTED_VALUE"""),0.0)</f>
        <v>0</v>
      </c>
      <c r="AU2779" s="82"/>
      <c r="AV2779" s="82"/>
      <c r="AW2779" s="82" t="str">
        <f t="shared" si="1"/>
        <v/>
      </c>
      <c r="AX2779" s="83" t="str">
        <f t="array" ref="AX2779">IFERROR(DGET('SBV Import'!A:G,"SBV",{"RSC ID","Tier";B2779,A2779}))</f>
        <v/>
      </c>
      <c r="AY2779" s="82" t="str">
        <f t="shared" si="2"/>
        <v/>
      </c>
      <c r="AZ2779" s="82"/>
      <c r="BA2779" s="84" t="s">
        <v>152</v>
      </c>
      <c r="BB2779" s="84" t="str">
        <f>IFERROR(__xludf.DUMMYFUNCTION("iferror(if(A2779="""",,E2779&gt;=FILTER(Constants!$F$2:$F$10,Constants!$A$2:$A$10=A2779)))"),"")</f>
        <v/>
      </c>
    </row>
    <row r="2780">
      <c r="A2780" s="89"/>
      <c r="B2780" s="87"/>
      <c r="C2780" s="73"/>
      <c r="D2780" s="73"/>
      <c r="E2780" s="82"/>
      <c r="F2780" s="82"/>
      <c r="G2780" s="86"/>
      <c r="H2780" s="86"/>
      <c r="I2780" s="86"/>
      <c r="J2780" s="82"/>
      <c r="K2780" s="82"/>
      <c r="L2780" s="82"/>
      <c r="M2780" s="82"/>
      <c r="N2780" s="82"/>
      <c r="O2780" s="82"/>
      <c r="P2780" s="82"/>
      <c r="Q2780" s="82"/>
      <c r="R2780" s="82"/>
      <c r="S2780" s="82"/>
      <c r="T2780" s="82"/>
      <c r="U2780" s="82"/>
      <c r="V2780" s="82"/>
      <c r="W2780" s="82"/>
      <c r="X2780" s="82"/>
      <c r="Y2780" s="82"/>
      <c r="Z2780" s="82"/>
      <c r="AA2780" s="82"/>
      <c r="AB2780" s="82"/>
      <c r="AC2780" s="82"/>
      <c r="AD2780" s="82"/>
      <c r="AE2780" s="82"/>
      <c r="AF2780" s="82"/>
      <c r="AG2780" s="82"/>
      <c r="AH2780" s="82"/>
      <c r="AI2780" s="82"/>
      <c r="AJ2780" s="82"/>
      <c r="AK2780" s="82"/>
      <c r="AL2780" s="82"/>
      <c r="AM2780" s="82"/>
      <c r="AN2780" s="82">
        <f>IFERROR(__xludf.DUMMYFUNCTION("""COMPUTED_VALUE"""),0.0)</f>
        <v>0</v>
      </c>
      <c r="AO2780" s="82">
        <f>IFERROR(__xludf.DUMMYFUNCTION("""COMPUTED_VALUE"""),0.0)</f>
        <v>0</v>
      </c>
      <c r="AP2780" s="82">
        <f>IFERROR(__xludf.DUMMYFUNCTION("""COMPUTED_VALUE"""),0.0)</f>
        <v>0</v>
      </c>
      <c r="AQ2780" s="82">
        <f>IFERROR(__xludf.DUMMYFUNCTION("""COMPUTED_VALUE"""),0.0)</f>
        <v>0</v>
      </c>
      <c r="AR2780" s="82">
        <f>IFERROR(__xludf.DUMMYFUNCTION("""COMPUTED_VALUE"""),0.0)</f>
        <v>0</v>
      </c>
      <c r="AS2780" s="82"/>
      <c r="AT2780" s="82">
        <f>IFERROR(__xludf.DUMMYFUNCTION("""COMPUTED_VALUE"""),0.0)</f>
        <v>0</v>
      </c>
      <c r="AU2780" s="82"/>
      <c r="AV2780" s="82"/>
      <c r="AW2780" s="82" t="str">
        <f t="shared" si="1"/>
        <v/>
      </c>
      <c r="AX2780" s="83" t="str">
        <f t="array" ref="AX2780">IFERROR(DGET('SBV Import'!A:G,"SBV",{"RSC ID","Tier";B2780,A2780}))</f>
        <v/>
      </c>
      <c r="AY2780" s="82" t="str">
        <f t="shared" si="2"/>
        <v/>
      </c>
      <c r="AZ2780" s="82"/>
      <c r="BA2780" s="84" t="s">
        <v>152</v>
      </c>
      <c r="BB2780" s="84" t="str">
        <f>IFERROR(__xludf.DUMMYFUNCTION("iferror(if(A2780="""",,E2780&gt;=FILTER(Constants!$F$2:$F$10,Constants!$A$2:$A$10=A2780)))"),"")</f>
        <v/>
      </c>
    </row>
    <row r="2781">
      <c r="A2781" s="89"/>
      <c r="B2781" s="87"/>
      <c r="C2781" s="73"/>
      <c r="D2781" s="73"/>
      <c r="E2781" s="82"/>
      <c r="F2781" s="82"/>
      <c r="G2781" s="86"/>
      <c r="H2781" s="86"/>
      <c r="I2781" s="86"/>
      <c r="J2781" s="82"/>
      <c r="K2781" s="82"/>
      <c r="L2781" s="82"/>
      <c r="M2781" s="82"/>
      <c r="N2781" s="82"/>
      <c r="O2781" s="82"/>
      <c r="P2781" s="82"/>
      <c r="Q2781" s="82"/>
      <c r="R2781" s="82"/>
      <c r="S2781" s="82"/>
      <c r="T2781" s="82"/>
      <c r="U2781" s="82"/>
      <c r="V2781" s="82"/>
      <c r="W2781" s="82"/>
      <c r="X2781" s="82"/>
      <c r="Y2781" s="82"/>
      <c r="Z2781" s="82"/>
      <c r="AA2781" s="82"/>
      <c r="AB2781" s="82"/>
      <c r="AC2781" s="82"/>
      <c r="AD2781" s="82"/>
      <c r="AE2781" s="82"/>
      <c r="AF2781" s="82"/>
      <c r="AG2781" s="82"/>
      <c r="AH2781" s="82"/>
      <c r="AI2781" s="82"/>
      <c r="AJ2781" s="82"/>
      <c r="AK2781" s="82"/>
      <c r="AL2781" s="82"/>
      <c r="AM2781" s="82"/>
      <c r="AN2781" s="82">
        <f>IFERROR(__xludf.DUMMYFUNCTION("""COMPUTED_VALUE"""),0.0)</f>
        <v>0</v>
      </c>
      <c r="AO2781" s="82">
        <f>IFERROR(__xludf.DUMMYFUNCTION("""COMPUTED_VALUE"""),0.0)</f>
        <v>0</v>
      </c>
      <c r="AP2781" s="82">
        <f>IFERROR(__xludf.DUMMYFUNCTION("""COMPUTED_VALUE"""),0.0)</f>
        <v>0</v>
      </c>
      <c r="AQ2781" s="82">
        <f>IFERROR(__xludf.DUMMYFUNCTION("""COMPUTED_VALUE"""),0.0)</f>
        <v>0</v>
      </c>
      <c r="AR2781" s="82">
        <f>IFERROR(__xludf.DUMMYFUNCTION("""COMPUTED_VALUE"""),0.0)</f>
        <v>0</v>
      </c>
      <c r="AS2781" s="82"/>
      <c r="AT2781" s="82">
        <f>IFERROR(__xludf.DUMMYFUNCTION("""COMPUTED_VALUE"""),0.0)</f>
        <v>0</v>
      </c>
      <c r="AU2781" s="82"/>
      <c r="AV2781" s="82"/>
      <c r="AW2781" s="82" t="str">
        <f t="shared" si="1"/>
        <v/>
      </c>
      <c r="AX2781" s="83" t="str">
        <f t="array" ref="AX2781">IFERROR(DGET('SBV Import'!A:G,"SBV",{"RSC ID","Tier";B2781,A2781}))</f>
        <v/>
      </c>
      <c r="AY2781" s="82" t="str">
        <f t="shared" si="2"/>
        <v/>
      </c>
      <c r="AZ2781" s="82"/>
      <c r="BA2781" s="84" t="s">
        <v>152</v>
      </c>
      <c r="BB2781" s="84" t="str">
        <f>IFERROR(__xludf.DUMMYFUNCTION("iferror(if(A2781="""",,E2781&gt;=FILTER(Constants!$F$2:$F$10,Constants!$A$2:$A$10=A2781)))"),"")</f>
        <v/>
      </c>
    </row>
    <row r="2782">
      <c r="A2782" s="89"/>
      <c r="B2782" s="87"/>
      <c r="C2782" s="73"/>
      <c r="D2782" s="73"/>
      <c r="E2782" s="82"/>
      <c r="F2782" s="82"/>
      <c r="G2782" s="86"/>
      <c r="H2782" s="86"/>
      <c r="I2782" s="86"/>
      <c r="J2782" s="82"/>
      <c r="K2782" s="82"/>
      <c r="L2782" s="82"/>
      <c r="M2782" s="82"/>
      <c r="N2782" s="82"/>
      <c r="O2782" s="82"/>
      <c r="P2782" s="82"/>
      <c r="Q2782" s="82"/>
      <c r="R2782" s="82"/>
      <c r="S2782" s="82"/>
      <c r="T2782" s="82"/>
      <c r="U2782" s="82"/>
      <c r="V2782" s="82"/>
      <c r="W2782" s="82"/>
      <c r="X2782" s="82"/>
      <c r="Y2782" s="82"/>
      <c r="Z2782" s="82"/>
      <c r="AA2782" s="82"/>
      <c r="AB2782" s="82"/>
      <c r="AC2782" s="82"/>
      <c r="AD2782" s="82"/>
      <c r="AE2782" s="82"/>
      <c r="AF2782" s="82"/>
      <c r="AG2782" s="82"/>
      <c r="AH2782" s="82"/>
      <c r="AI2782" s="82"/>
      <c r="AJ2782" s="82"/>
      <c r="AK2782" s="82"/>
      <c r="AL2782" s="82"/>
      <c r="AM2782" s="82"/>
      <c r="AN2782" s="82">
        <f>IFERROR(__xludf.DUMMYFUNCTION("""COMPUTED_VALUE"""),0.0)</f>
        <v>0</v>
      </c>
      <c r="AO2782" s="82">
        <f>IFERROR(__xludf.DUMMYFUNCTION("""COMPUTED_VALUE"""),0.0)</f>
        <v>0</v>
      </c>
      <c r="AP2782" s="82">
        <f>IFERROR(__xludf.DUMMYFUNCTION("""COMPUTED_VALUE"""),0.0)</f>
        <v>0</v>
      </c>
      <c r="AQ2782" s="82">
        <f>IFERROR(__xludf.DUMMYFUNCTION("""COMPUTED_VALUE"""),0.0)</f>
        <v>0</v>
      </c>
      <c r="AR2782" s="82">
        <f>IFERROR(__xludf.DUMMYFUNCTION("""COMPUTED_VALUE"""),0.0)</f>
        <v>0</v>
      </c>
      <c r="AS2782" s="82"/>
      <c r="AT2782" s="82">
        <f>IFERROR(__xludf.DUMMYFUNCTION("""COMPUTED_VALUE"""),0.0)</f>
        <v>0</v>
      </c>
      <c r="AU2782" s="82"/>
      <c r="AV2782" s="82"/>
      <c r="AW2782" s="82" t="str">
        <f t="shared" si="1"/>
        <v/>
      </c>
      <c r="AX2782" s="83" t="str">
        <f t="array" ref="AX2782">IFERROR(DGET('SBV Import'!A:G,"SBV",{"RSC ID","Tier";B2782,A2782}))</f>
        <v/>
      </c>
      <c r="AY2782" s="82" t="str">
        <f t="shared" si="2"/>
        <v/>
      </c>
      <c r="AZ2782" s="82"/>
      <c r="BA2782" s="84" t="s">
        <v>152</v>
      </c>
      <c r="BB2782" s="84" t="str">
        <f>IFERROR(__xludf.DUMMYFUNCTION("iferror(if(A2782="""",,E2782&gt;=FILTER(Constants!$F$2:$F$10,Constants!$A$2:$A$10=A2782)))"),"")</f>
        <v/>
      </c>
    </row>
    <row r="2783">
      <c r="A2783" s="89"/>
      <c r="B2783" s="87"/>
      <c r="C2783" s="73"/>
      <c r="D2783" s="73"/>
      <c r="E2783" s="82"/>
      <c r="F2783" s="82"/>
      <c r="G2783" s="86"/>
      <c r="H2783" s="86"/>
      <c r="I2783" s="86"/>
      <c r="J2783" s="82"/>
      <c r="K2783" s="82"/>
      <c r="L2783" s="82"/>
      <c r="M2783" s="82"/>
      <c r="N2783" s="82"/>
      <c r="O2783" s="82"/>
      <c r="P2783" s="82"/>
      <c r="Q2783" s="82"/>
      <c r="R2783" s="82"/>
      <c r="S2783" s="82"/>
      <c r="T2783" s="82"/>
      <c r="U2783" s="82"/>
      <c r="V2783" s="82"/>
      <c r="W2783" s="82"/>
      <c r="X2783" s="82"/>
      <c r="Y2783" s="82"/>
      <c r="Z2783" s="82"/>
      <c r="AA2783" s="82"/>
      <c r="AB2783" s="82"/>
      <c r="AC2783" s="82"/>
      <c r="AD2783" s="82"/>
      <c r="AE2783" s="82"/>
      <c r="AF2783" s="82"/>
      <c r="AG2783" s="82"/>
      <c r="AH2783" s="82"/>
      <c r="AI2783" s="82"/>
      <c r="AJ2783" s="82"/>
      <c r="AK2783" s="82"/>
      <c r="AL2783" s="82"/>
      <c r="AM2783" s="82"/>
      <c r="AN2783" s="82">
        <f>IFERROR(__xludf.DUMMYFUNCTION("""COMPUTED_VALUE"""),0.0)</f>
        <v>0</v>
      </c>
      <c r="AO2783" s="82">
        <f>IFERROR(__xludf.DUMMYFUNCTION("""COMPUTED_VALUE"""),0.0)</f>
        <v>0</v>
      </c>
      <c r="AP2783" s="82">
        <f>IFERROR(__xludf.DUMMYFUNCTION("""COMPUTED_VALUE"""),0.0)</f>
        <v>0</v>
      </c>
      <c r="AQ2783" s="82">
        <f>IFERROR(__xludf.DUMMYFUNCTION("""COMPUTED_VALUE"""),0.0)</f>
        <v>0</v>
      </c>
      <c r="AR2783" s="82">
        <f>IFERROR(__xludf.DUMMYFUNCTION("""COMPUTED_VALUE"""),0.0)</f>
        <v>0</v>
      </c>
      <c r="AS2783" s="82"/>
      <c r="AT2783" s="82">
        <f>IFERROR(__xludf.DUMMYFUNCTION("""COMPUTED_VALUE"""),0.0)</f>
        <v>0</v>
      </c>
      <c r="AU2783" s="82"/>
      <c r="AV2783" s="82"/>
      <c r="AW2783" s="82" t="str">
        <f t="shared" si="1"/>
        <v/>
      </c>
      <c r="AX2783" s="83" t="str">
        <f t="array" ref="AX2783">IFERROR(DGET('SBV Import'!A:G,"SBV",{"RSC ID","Tier";B2783,A2783}))</f>
        <v/>
      </c>
      <c r="AY2783" s="82" t="str">
        <f t="shared" si="2"/>
        <v/>
      </c>
      <c r="AZ2783" s="82"/>
      <c r="BA2783" s="84" t="s">
        <v>152</v>
      </c>
      <c r="BB2783" s="84" t="str">
        <f>IFERROR(__xludf.DUMMYFUNCTION("iferror(if(A2783="""",,E2783&gt;=FILTER(Constants!$F$2:$F$10,Constants!$A$2:$A$10=A2783)))"),"")</f>
        <v/>
      </c>
    </row>
    <row r="2784">
      <c r="A2784" s="89"/>
      <c r="B2784" s="87"/>
      <c r="C2784" s="73"/>
      <c r="D2784" s="73"/>
      <c r="E2784" s="82"/>
      <c r="F2784" s="82"/>
      <c r="G2784" s="86"/>
      <c r="H2784" s="86"/>
      <c r="I2784" s="86"/>
      <c r="J2784" s="82"/>
      <c r="K2784" s="82"/>
      <c r="L2784" s="82"/>
      <c r="M2784" s="82"/>
      <c r="N2784" s="82"/>
      <c r="O2784" s="82"/>
      <c r="P2784" s="82"/>
      <c r="Q2784" s="82"/>
      <c r="R2784" s="82"/>
      <c r="S2784" s="82"/>
      <c r="T2784" s="82"/>
      <c r="U2784" s="82"/>
      <c r="V2784" s="82"/>
      <c r="W2784" s="82"/>
      <c r="X2784" s="82"/>
      <c r="Y2784" s="82"/>
      <c r="Z2784" s="82"/>
      <c r="AA2784" s="82"/>
      <c r="AB2784" s="82"/>
      <c r="AC2784" s="82"/>
      <c r="AD2784" s="82"/>
      <c r="AE2784" s="82"/>
      <c r="AF2784" s="82"/>
      <c r="AG2784" s="82"/>
      <c r="AH2784" s="82"/>
      <c r="AI2784" s="82"/>
      <c r="AJ2784" s="82"/>
      <c r="AK2784" s="82"/>
      <c r="AL2784" s="82"/>
      <c r="AM2784" s="82"/>
      <c r="AN2784" s="82">
        <f>IFERROR(__xludf.DUMMYFUNCTION("""COMPUTED_VALUE"""),0.0)</f>
        <v>0</v>
      </c>
      <c r="AO2784" s="82">
        <f>IFERROR(__xludf.DUMMYFUNCTION("""COMPUTED_VALUE"""),0.0)</f>
        <v>0</v>
      </c>
      <c r="AP2784" s="82">
        <f>IFERROR(__xludf.DUMMYFUNCTION("""COMPUTED_VALUE"""),0.0)</f>
        <v>0</v>
      </c>
      <c r="AQ2784" s="82">
        <f>IFERROR(__xludf.DUMMYFUNCTION("""COMPUTED_VALUE"""),0.0)</f>
        <v>0</v>
      </c>
      <c r="AR2784" s="82">
        <f>IFERROR(__xludf.DUMMYFUNCTION("""COMPUTED_VALUE"""),0.0)</f>
        <v>0</v>
      </c>
      <c r="AS2784" s="82"/>
      <c r="AT2784" s="82">
        <f>IFERROR(__xludf.DUMMYFUNCTION("""COMPUTED_VALUE"""),0.0)</f>
        <v>0</v>
      </c>
      <c r="AU2784" s="82"/>
      <c r="AV2784" s="82"/>
      <c r="AW2784" s="82" t="str">
        <f t="shared" si="1"/>
        <v/>
      </c>
      <c r="AX2784" s="83" t="str">
        <f t="array" ref="AX2784">IFERROR(DGET('SBV Import'!A:G,"SBV",{"RSC ID","Tier";B2784,A2784}))</f>
        <v/>
      </c>
      <c r="AY2784" s="82" t="str">
        <f t="shared" si="2"/>
        <v/>
      </c>
      <c r="AZ2784" s="82"/>
      <c r="BA2784" s="84" t="s">
        <v>152</v>
      </c>
      <c r="BB2784" s="84" t="str">
        <f>IFERROR(__xludf.DUMMYFUNCTION("iferror(if(A2784="""",,E2784&gt;=FILTER(Constants!$F$2:$F$10,Constants!$A$2:$A$10=A2784)))"),"")</f>
        <v/>
      </c>
    </row>
    <row r="2785">
      <c r="A2785" s="89"/>
      <c r="B2785" s="87"/>
      <c r="C2785" s="73"/>
      <c r="D2785" s="73"/>
      <c r="E2785" s="82"/>
      <c r="F2785" s="82"/>
      <c r="G2785" s="86"/>
      <c r="H2785" s="86"/>
      <c r="I2785" s="86"/>
      <c r="J2785" s="82"/>
      <c r="K2785" s="82"/>
      <c r="L2785" s="82"/>
      <c r="M2785" s="82"/>
      <c r="N2785" s="82"/>
      <c r="O2785" s="82"/>
      <c r="P2785" s="82"/>
      <c r="Q2785" s="82"/>
      <c r="R2785" s="82"/>
      <c r="S2785" s="82"/>
      <c r="T2785" s="82"/>
      <c r="U2785" s="82"/>
      <c r="V2785" s="82"/>
      <c r="W2785" s="82"/>
      <c r="X2785" s="82"/>
      <c r="Y2785" s="82"/>
      <c r="Z2785" s="82"/>
      <c r="AA2785" s="82"/>
      <c r="AB2785" s="82"/>
      <c r="AC2785" s="82"/>
      <c r="AD2785" s="82"/>
      <c r="AE2785" s="82"/>
      <c r="AF2785" s="82"/>
      <c r="AG2785" s="82"/>
      <c r="AH2785" s="82"/>
      <c r="AI2785" s="82"/>
      <c r="AJ2785" s="82"/>
      <c r="AK2785" s="82"/>
      <c r="AL2785" s="82"/>
      <c r="AM2785" s="82"/>
      <c r="AN2785" s="82">
        <f>IFERROR(__xludf.DUMMYFUNCTION("""COMPUTED_VALUE"""),0.0)</f>
        <v>0</v>
      </c>
      <c r="AO2785" s="82">
        <f>IFERROR(__xludf.DUMMYFUNCTION("""COMPUTED_VALUE"""),0.0)</f>
        <v>0</v>
      </c>
      <c r="AP2785" s="82">
        <f>IFERROR(__xludf.DUMMYFUNCTION("""COMPUTED_VALUE"""),0.0)</f>
        <v>0</v>
      </c>
      <c r="AQ2785" s="82">
        <f>IFERROR(__xludf.DUMMYFUNCTION("""COMPUTED_VALUE"""),0.0)</f>
        <v>0</v>
      </c>
      <c r="AR2785" s="82">
        <f>IFERROR(__xludf.DUMMYFUNCTION("""COMPUTED_VALUE"""),0.0)</f>
        <v>0</v>
      </c>
      <c r="AS2785" s="82"/>
      <c r="AT2785" s="82">
        <f>IFERROR(__xludf.DUMMYFUNCTION("""COMPUTED_VALUE"""),0.0)</f>
        <v>0</v>
      </c>
      <c r="AU2785" s="82"/>
      <c r="AV2785" s="82"/>
      <c r="AW2785" s="82" t="str">
        <f t="shared" si="1"/>
        <v/>
      </c>
      <c r="AX2785" s="83" t="str">
        <f t="array" ref="AX2785">IFERROR(DGET('SBV Import'!A:G,"SBV",{"RSC ID","Tier";B2785,A2785}))</f>
        <v/>
      </c>
      <c r="AY2785" s="82" t="str">
        <f t="shared" si="2"/>
        <v/>
      </c>
      <c r="AZ2785" s="82"/>
      <c r="BA2785" s="84" t="s">
        <v>152</v>
      </c>
      <c r="BB2785" s="84" t="str">
        <f>IFERROR(__xludf.DUMMYFUNCTION("iferror(if(A2785="""",,E2785&gt;=FILTER(Constants!$F$2:$F$10,Constants!$A$2:$A$10=A2785)))"),"")</f>
        <v/>
      </c>
    </row>
    <row r="2786">
      <c r="A2786" s="89"/>
      <c r="B2786" s="87"/>
      <c r="C2786" s="73"/>
      <c r="D2786" s="73"/>
      <c r="E2786" s="82"/>
      <c r="F2786" s="82"/>
      <c r="G2786" s="86"/>
      <c r="H2786" s="86"/>
      <c r="I2786" s="86"/>
      <c r="J2786" s="82"/>
      <c r="K2786" s="82"/>
      <c r="L2786" s="82"/>
      <c r="M2786" s="82"/>
      <c r="N2786" s="82"/>
      <c r="O2786" s="82"/>
      <c r="P2786" s="82"/>
      <c r="Q2786" s="82"/>
      <c r="R2786" s="82"/>
      <c r="S2786" s="82"/>
      <c r="T2786" s="82"/>
      <c r="U2786" s="82"/>
      <c r="V2786" s="82"/>
      <c r="W2786" s="82"/>
      <c r="X2786" s="82"/>
      <c r="Y2786" s="82"/>
      <c r="Z2786" s="82"/>
      <c r="AA2786" s="82"/>
      <c r="AB2786" s="82"/>
      <c r="AC2786" s="82"/>
      <c r="AD2786" s="82"/>
      <c r="AE2786" s="82"/>
      <c r="AF2786" s="82"/>
      <c r="AG2786" s="82"/>
      <c r="AH2786" s="82"/>
      <c r="AI2786" s="82"/>
      <c r="AJ2786" s="82"/>
      <c r="AK2786" s="82"/>
      <c r="AL2786" s="82"/>
      <c r="AM2786" s="82"/>
      <c r="AN2786" s="82">
        <f>IFERROR(__xludf.DUMMYFUNCTION("""COMPUTED_VALUE"""),0.0)</f>
        <v>0</v>
      </c>
      <c r="AO2786" s="82">
        <f>IFERROR(__xludf.DUMMYFUNCTION("""COMPUTED_VALUE"""),0.0)</f>
        <v>0</v>
      </c>
      <c r="AP2786" s="82">
        <f>IFERROR(__xludf.DUMMYFUNCTION("""COMPUTED_VALUE"""),0.0)</f>
        <v>0</v>
      </c>
      <c r="AQ2786" s="82">
        <f>IFERROR(__xludf.DUMMYFUNCTION("""COMPUTED_VALUE"""),0.0)</f>
        <v>0</v>
      </c>
      <c r="AR2786" s="82">
        <f>IFERROR(__xludf.DUMMYFUNCTION("""COMPUTED_VALUE"""),0.0)</f>
        <v>0</v>
      </c>
      <c r="AS2786" s="82"/>
      <c r="AT2786" s="82">
        <f>IFERROR(__xludf.DUMMYFUNCTION("""COMPUTED_VALUE"""),0.0)</f>
        <v>0</v>
      </c>
      <c r="AU2786" s="82"/>
      <c r="AV2786" s="82"/>
      <c r="AW2786" s="82" t="str">
        <f t="shared" si="1"/>
        <v/>
      </c>
      <c r="AX2786" s="83" t="str">
        <f t="array" ref="AX2786">IFERROR(DGET('SBV Import'!A:G,"SBV",{"RSC ID","Tier";B2786,A2786}))</f>
        <v/>
      </c>
      <c r="AY2786" s="82" t="str">
        <f t="shared" si="2"/>
        <v/>
      </c>
      <c r="AZ2786" s="82"/>
      <c r="BA2786" s="84" t="s">
        <v>152</v>
      </c>
      <c r="BB2786" s="84" t="str">
        <f>IFERROR(__xludf.DUMMYFUNCTION("iferror(if(A2786="""",,E2786&gt;=FILTER(Constants!$F$2:$F$10,Constants!$A$2:$A$10=A2786)))"),"")</f>
        <v/>
      </c>
    </row>
    <row r="2787">
      <c r="A2787" s="89"/>
      <c r="B2787" s="87"/>
      <c r="C2787" s="73"/>
      <c r="D2787" s="73"/>
      <c r="E2787" s="82"/>
      <c r="F2787" s="82"/>
      <c r="G2787" s="86"/>
      <c r="H2787" s="86"/>
      <c r="I2787" s="86"/>
      <c r="J2787" s="82"/>
      <c r="K2787" s="82"/>
      <c r="L2787" s="82"/>
      <c r="M2787" s="82"/>
      <c r="N2787" s="82"/>
      <c r="O2787" s="82"/>
      <c r="P2787" s="82"/>
      <c r="Q2787" s="82"/>
      <c r="R2787" s="82"/>
      <c r="S2787" s="82"/>
      <c r="T2787" s="82"/>
      <c r="U2787" s="82"/>
      <c r="V2787" s="82"/>
      <c r="W2787" s="82"/>
      <c r="X2787" s="82"/>
      <c r="Y2787" s="82"/>
      <c r="Z2787" s="82"/>
      <c r="AA2787" s="82"/>
      <c r="AB2787" s="82"/>
      <c r="AC2787" s="82"/>
      <c r="AD2787" s="82"/>
      <c r="AE2787" s="82"/>
      <c r="AF2787" s="82"/>
      <c r="AG2787" s="82"/>
      <c r="AH2787" s="82"/>
      <c r="AI2787" s="82"/>
      <c r="AJ2787" s="82"/>
      <c r="AK2787" s="82"/>
      <c r="AL2787" s="82"/>
      <c r="AM2787" s="82"/>
      <c r="AN2787" s="82">
        <f>IFERROR(__xludf.DUMMYFUNCTION("""COMPUTED_VALUE"""),0.0)</f>
        <v>0</v>
      </c>
      <c r="AO2787" s="82">
        <f>IFERROR(__xludf.DUMMYFUNCTION("""COMPUTED_VALUE"""),0.0)</f>
        <v>0</v>
      </c>
      <c r="AP2787" s="82">
        <f>IFERROR(__xludf.DUMMYFUNCTION("""COMPUTED_VALUE"""),0.0)</f>
        <v>0</v>
      </c>
      <c r="AQ2787" s="82">
        <f>IFERROR(__xludf.DUMMYFUNCTION("""COMPUTED_VALUE"""),0.0)</f>
        <v>0</v>
      </c>
      <c r="AR2787" s="82">
        <f>IFERROR(__xludf.DUMMYFUNCTION("""COMPUTED_VALUE"""),0.0)</f>
        <v>0</v>
      </c>
      <c r="AS2787" s="82"/>
      <c r="AT2787" s="82">
        <f>IFERROR(__xludf.DUMMYFUNCTION("""COMPUTED_VALUE"""),0.0)</f>
        <v>0</v>
      </c>
      <c r="AU2787" s="82"/>
      <c r="AV2787" s="82"/>
      <c r="AW2787" s="82" t="str">
        <f t="shared" si="1"/>
        <v/>
      </c>
      <c r="AX2787" s="83" t="str">
        <f t="array" ref="AX2787">IFERROR(DGET('SBV Import'!A:G,"SBV",{"RSC ID","Tier";B2787,A2787}))</f>
        <v/>
      </c>
      <c r="AY2787" s="82" t="str">
        <f t="shared" si="2"/>
        <v/>
      </c>
      <c r="AZ2787" s="82"/>
      <c r="BA2787" s="84" t="s">
        <v>152</v>
      </c>
      <c r="BB2787" s="84" t="str">
        <f>IFERROR(__xludf.DUMMYFUNCTION("iferror(if(A2787="""",,E2787&gt;=FILTER(Constants!$F$2:$F$10,Constants!$A$2:$A$10=A2787)))"),"")</f>
        <v/>
      </c>
    </row>
    <row r="2788">
      <c r="A2788" s="89"/>
      <c r="B2788" s="87"/>
      <c r="C2788" s="73"/>
      <c r="D2788" s="73"/>
      <c r="E2788" s="82"/>
      <c r="F2788" s="82"/>
      <c r="G2788" s="86"/>
      <c r="H2788" s="86"/>
      <c r="I2788" s="86"/>
      <c r="J2788" s="82"/>
      <c r="K2788" s="82"/>
      <c r="L2788" s="82"/>
      <c r="M2788" s="82"/>
      <c r="N2788" s="82"/>
      <c r="O2788" s="82"/>
      <c r="P2788" s="82"/>
      <c r="Q2788" s="82"/>
      <c r="R2788" s="82"/>
      <c r="S2788" s="82"/>
      <c r="T2788" s="82"/>
      <c r="U2788" s="82"/>
      <c r="V2788" s="82"/>
      <c r="W2788" s="82"/>
      <c r="X2788" s="82"/>
      <c r="Y2788" s="82"/>
      <c r="Z2788" s="82"/>
      <c r="AA2788" s="82"/>
      <c r="AB2788" s="82"/>
      <c r="AC2788" s="82"/>
      <c r="AD2788" s="82"/>
      <c r="AE2788" s="82"/>
      <c r="AF2788" s="82"/>
      <c r="AG2788" s="82"/>
      <c r="AH2788" s="82"/>
      <c r="AI2788" s="82"/>
      <c r="AJ2788" s="82"/>
      <c r="AK2788" s="82"/>
      <c r="AL2788" s="82"/>
      <c r="AM2788" s="82"/>
      <c r="AN2788" s="82">
        <f>IFERROR(__xludf.DUMMYFUNCTION("""COMPUTED_VALUE"""),0.0)</f>
        <v>0</v>
      </c>
      <c r="AO2788" s="82">
        <f>IFERROR(__xludf.DUMMYFUNCTION("""COMPUTED_VALUE"""),0.0)</f>
        <v>0</v>
      </c>
      <c r="AP2788" s="82">
        <f>IFERROR(__xludf.DUMMYFUNCTION("""COMPUTED_VALUE"""),0.0)</f>
        <v>0</v>
      </c>
      <c r="AQ2788" s="82">
        <f>IFERROR(__xludf.DUMMYFUNCTION("""COMPUTED_VALUE"""),0.0)</f>
        <v>0</v>
      </c>
      <c r="AR2788" s="82">
        <f>IFERROR(__xludf.DUMMYFUNCTION("""COMPUTED_VALUE"""),0.0)</f>
        <v>0</v>
      </c>
      <c r="AS2788" s="82"/>
      <c r="AT2788" s="82">
        <f>IFERROR(__xludf.DUMMYFUNCTION("""COMPUTED_VALUE"""),0.0)</f>
        <v>0</v>
      </c>
      <c r="AU2788" s="82"/>
      <c r="AV2788" s="82"/>
      <c r="AW2788" s="82" t="str">
        <f t="shared" si="1"/>
        <v/>
      </c>
      <c r="AX2788" s="83" t="str">
        <f t="array" ref="AX2788">IFERROR(DGET('SBV Import'!A:G,"SBV",{"RSC ID","Tier";B2788,A2788}))</f>
        <v/>
      </c>
      <c r="AY2788" s="82" t="str">
        <f t="shared" si="2"/>
        <v/>
      </c>
      <c r="AZ2788" s="82"/>
      <c r="BA2788" s="84" t="s">
        <v>152</v>
      </c>
      <c r="BB2788" s="84" t="str">
        <f>IFERROR(__xludf.DUMMYFUNCTION("iferror(if(A2788="""",,E2788&gt;=FILTER(Constants!$F$2:$F$10,Constants!$A$2:$A$10=A2788)))"),"")</f>
        <v/>
      </c>
    </row>
    <row r="2789">
      <c r="A2789" s="89"/>
      <c r="B2789" s="87"/>
      <c r="C2789" s="73"/>
      <c r="D2789" s="73"/>
      <c r="E2789" s="82"/>
      <c r="F2789" s="82"/>
      <c r="G2789" s="86"/>
      <c r="H2789" s="86"/>
      <c r="I2789" s="86"/>
      <c r="J2789" s="82"/>
      <c r="K2789" s="82"/>
      <c r="L2789" s="82"/>
      <c r="M2789" s="82"/>
      <c r="N2789" s="82"/>
      <c r="O2789" s="82"/>
      <c r="P2789" s="82"/>
      <c r="Q2789" s="82"/>
      <c r="R2789" s="82"/>
      <c r="S2789" s="82"/>
      <c r="T2789" s="82"/>
      <c r="U2789" s="82"/>
      <c r="V2789" s="82"/>
      <c r="W2789" s="82"/>
      <c r="X2789" s="82"/>
      <c r="Y2789" s="82"/>
      <c r="Z2789" s="82"/>
      <c r="AA2789" s="82"/>
      <c r="AB2789" s="82"/>
      <c r="AC2789" s="82"/>
      <c r="AD2789" s="82"/>
      <c r="AE2789" s="82"/>
      <c r="AF2789" s="82"/>
      <c r="AG2789" s="82"/>
      <c r="AH2789" s="82"/>
      <c r="AI2789" s="82"/>
      <c r="AJ2789" s="82"/>
      <c r="AK2789" s="82"/>
      <c r="AL2789" s="82"/>
      <c r="AM2789" s="82"/>
      <c r="AN2789" s="82">
        <f>IFERROR(__xludf.DUMMYFUNCTION("""COMPUTED_VALUE"""),0.0)</f>
        <v>0</v>
      </c>
      <c r="AO2789" s="82">
        <f>IFERROR(__xludf.DUMMYFUNCTION("""COMPUTED_VALUE"""),0.0)</f>
        <v>0</v>
      </c>
      <c r="AP2789" s="82">
        <f>IFERROR(__xludf.DUMMYFUNCTION("""COMPUTED_VALUE"""),0.0)</f>
        <v>0</v>
      </c>
      <c r="AQ2789" s="82">
        <f>IFERROR(__xludf.DUMMYFUNCTION("""COMPUTED_VALUE"""),0.0)</f>
        <v>0</v>
      </c>
      <c r="AR2789" s="82">
        <f>IFERROR(__xludf.DUMMYFUNCTION("""COMPUTED_VALUE"""),0.0)</f>
        <v>0</v>
      </c>
      <c r="AS2789" s="82"/>
      <c r="AT2789" s="82">
        <f>IFERROR(__xludf.DUMMYFUNCTION("""COMPUTED_VALUE"""),0.0)</f>
        <v>0</v>
      </c>
      <c r="AU2789" s="82"/>
      <c r="AV2789" s="82"/>
      <c r="AW2789" s="82" t="str">
        <f t="shared" si="1"/>
        <v/>
      </c>
      <c r="AX2789" s="83" t="str">
        <f t="array" ref="AX2789">IFERROR(DGET('SBV Import'!A:G,"SBV",{"RSC ID","Tier";B2789,A2789}))</f>
        <v/>
      </c>
      <c r="AY2789" s="82" t="str">
        <f t="shared" si="2"/>
        <v/>
      </c>
      <c r="AZ2789" s="82"/>
      <c r="BA2789" s="84" t="s">
        <v>152</v>
      </c>
      <c r="BB2789" s="84" t="str">
        <f>IFERROR(__xludf.DUMMYFUNCTION("iferror(if(A2789="""",,E2789&gt;=FILTER(Constants!$F$2:$F$10,Constants!$A$2:$A$10=A2789)))"),"")</f>
        <v/>
      </c>
    </row>
    <row r="2790">
      <c r="A2790" s="89"/>
      <c r="B2790" s="87"/>
      <c r="C2790" s="73"/>
      <c r="D2790" s="73"/>
      <c r="E2790" s="82"/>
      <c r="F2790" s="82"/>
      <c r="G2790" s="86"/>
      <c r="H2790" s="86"/>
      <c r="I2790" s="86"/>
      <c r="J2790" s="82"/>
      <c r="K2790" s="82"/>
      <c r="L2790" s="82"/>
      <c r="M2790" s="82"/>
      <c r="N2790" s="82"/>
      <c r="O2790" s="82"/>
      <c r="P2790" s="82"/>
      <c r="Q2790" s="82"/>
      <c r="R2790" s="82"/>
      <c r="S2790" s="82"/>
      <c r="T2790" s="82"/>
      <c r="U2790" s="82"/>
      <c r="V2790" s="82"/>
      <c r="W2790" s="82"/>
      <c r="X2790" s="82"/>
      <c r="Y2790" s="82"/>
      <c r="Z2790" s="82"/>
      <c r="AA2790" s="82"/>
      <c r="AB2790" s="82"/>
      <c r="AC2790" s="82"/>
      <c r="AD2790" s="82"/>
      <c r="AE2790" s="82"/>
      <c r="AF2790" s="82"/>
      <c r="AG2790" s="82"/>
      <c r="AH2790" s="82"/>
      <c r="AI2790" s="82"/>
      <c r="AJ2790" s="82"/>
      <c r="AK2790" s="82"/>
      <c r="AL2790" s="82"/>
      <c r="AM2790" s="82"/>
      <c r="AN2790" s="82">
        <f>IFERROR(__xludf.DUMMYFUNCTION("""COMPUTED_VALUE"""),0.0)</f>
        <v>0</v>
      </c>
      <c r="AO2790" s="82">
        <f>IFERROR(__xludf.DUMMYFUNCTION("""COMPUTED_VALUE"""),0.0)</f>
        <v>0</v>
      </c>
      <c r="AP2790" s="82">
        <f>IFERROR(__xludf.DUMMYFUNCTION("""COMPUTED_VALUE"""),0.0)</f>
        <v>0</v>
      </c>
      <c r="AQ2790" s="82">
        <f>IFERROR(__xludf.DUMMYFUNCTION("""COMPUTED_VALUE"""),0.0)</f>
        <v>0</v>
      </c>
      <c r="AR2790" s="82">
        <f>IFERROR(__xludf.DUMMYFUNCTION("""COMPUTED_VALUE"""),0.0)</f>
        <v>0</v>
      </c>
      <c r="AS2790" s="82"/>
      <c r="AT2790" s="82">
        <f>IFERROR(__xludf.DUMMYFUNCTION("""COMPUTED_VALUE"""),0.0)</f>
        <v>0</v>
      </c>
      <c r="AU2790" s="82"/>
      <c r="AV2790" s="82"/>
      <c r="AW2790" s="82" t="str">
        <f t="shared" si="1"/>
        <v/>
      </c>
      <c r="AX2790" s="83" t="str">
        <f t="array" ref="AX2790">IFERROR(DGET('SBV Import'!A:G,"SBV",{"RSC ID","Tier";B2790,A2790}))</f>
        <v/>
      </c>
      <c r="AY2790" s="82" t="str">
        <f t="shared" si="2"/>
        <v/>
      </c>
      <c r="AZ2790" s="82"/>
      <c r="BA2790" s="84" t="s">
        <v>152</v>
      </c>
      <c r="BB2790" s="84" t="str">
        <f>IFERROR(__xludf.DUMMYFUNCTION("iferror(if(A2790="""",,E2790&gt;=FILTER(Constants!$F$2:$F$10,Constants!$A$2:$A$10=A2790)))"),"")</f>
        <v/>
      </c>
    </row>
    <row r="2791">
      <c r="A2791" s="89"/>
      <c r="B2791" s="87"/>
      <c r="C2791" s="73"/>
      <c r="D2791" s="73"/>
      <c r="E2791" s="82"/>
      <c r="F2791" s="82"/>
      <c r="G2791" s="86"/>
      <c r="H2791" s="86"/>
      <c r="I2791" s="86"/>
      <c r="J2791" s="82"/>
      <c r="K2791" s="82"/>
      <c r="L2791" s="82"/>
      <c r="M2791" s="82"/>
      <c r="N2791" s="82"/>
      <c r="O2791" s="82"/>
      <c r="P2791" s="82"/>
      <c r="Q2791" s="82"/>
      <c r="R2791" s="82"/>
      <c r="S2791" s="82"/>
      <c r="T2791" s="82"/>
      <c r="U2791" s="82"/>
      <c r="V2791" s="82"/>
      <c r="W2791" s="82"/>
      <c r="X2791" s="82"/>
      <c r="Y2791" s="82"/>
      <c r="Z2791" s="82"/>
      <c r="AA2791" s="82"/>
      <c r="AB2791" s="82"/>
      <c r="AC2791" s="82"/>
      <c r="AD2791" s="82"/>
      <c r="AE2791" s="82"/>
      <c r="AF2791" s="82"/>
      <c r="AG2791" s="82"/>
      <c r="AH2791" s="82"/>
      <c r="AI2791" s="82"/>
      <c r="AJ2791" s="82"/>
      <c r="AK2791" s="82"/>
      <c r="AL2791" s="82"/>
      <c r="AM2791" s="82"/>
      <c r="AN2791" s="82">
        <f>IFERROR(__xludf.DUMMYFUNCTION("""COMPUTED_VALUE"""),0.0)</f>
        <v>0</v>
      </c>
      <c r="AO2791" s="82">
        <f>IFERROR(__xludf.DUMMYFUNCTION("""COMPUTED_VALUE"""),0.0)</f>
        <v>0</v>
      </c>
      <c r="AP2791" s="82">
        <f>IFERROR(__xludf.DUMMYFUNCTION("""COMPUTED_VALUE"""),0.0)</f>
        <v>0</v>
      </c>
      <c r="AQ2791" s="82">
        <f>IFERROR(__xludf.DUMMYFUNCTION("""COMPUTED_VALUE"""),0.0)</f>
        <v>0</v>
      </c>
      <c r="AR2791" s="82">
        <f>IFERROR(__xludf.DUMMYFUNCTION("""COMPUTED_VALUE"""),0.0)</f>
        <v>0</v>
      </c>
      <c r="AS2791" s="82"/>
      <c r="AT2791" s="82">
        <f>IFERROR(__xludf.DUMMYFUNCTION("""COMPUTED_VALUE"""),0.0)</f>
        <v>0</v>
      </c>
      <c r="AU2791" s="82"/>
      <c r="AV2791" s="82"/>
      <c r="AW2791" s="82" t="str">
        <f t="shared" si="1"/>
        <v/>
      </c>
      <c r="AX2791" s="83" t="str">
        <f t="array" ref="AX2791">IFERROR(DGET('SBV Import'!A:G,"SBV",{"RSC ID","Tier";B2791,A2791}))</f>
        <v/>
      </c>
      <c r="AY2791" s="82" t="str">
        <f t="shared" si="2"/>
        <v/>
      </c>
      <c r="AZ2791" s="82"/>
      <c r="BA2791" s="84" t="s">
        <v>152</v>
      </c>
      <c r="BB2791" s="84" t="str">
        <f>IFERROR(__xludf.DUMMYFUNCTION("iferror(if(A2791="""",,E2791&gt;=FILTER(Constants!$F$2:$F$10,Constants!$A$2:$A$10=A2791)))"),"")</f>
        <v/>
      </c>
    </row>
    <row r="2792">
      <c r="A2792" s="89"/>
      <c r="B2792" s="87"/>
      <c r="C2792" s="73"/>
      <c r="D2792" s="73"/>
      <c r="E2792" s="82"/>
      <c r="F2792" s="82"/>
      <c r="G2792" s="86"/>
      <c r="H2792" s="86"/>
      <c r="I2792" s="86"/>
      <c r="J2792" s="82"/>
      <c r="K2792" s="82"/>
      <c r="L2792" s="82"/>
      <c r="M2792" s="82"/>
      <c r="N2792" s="82"/>
      <c r="O2792" s="82"/>
      <c r="P2792" s="82"/>
      <c r="Q2792" s="82"/>
      <c r="R2792" s="82"/>
      <c r="S2792" s="82"/>
      <c r="T2792" s="82"/>
      <c r="U2792" s="82"/>
      <c r="V2792" s="82"/>
      <c r="W2792" s="82"/>
      <c r="X2792" s="82"/>
      <c r="Y2792" s="82"/>
      <c r="Z2792" s="82"/>
      <c r="AA2792" s="82"/>
      <c r="AB2792" s="82"/>
      <c r="AC2792" s="82"/>
      <c r="AD2792" s="82"/>
      <c r="AE2792" s="82"/>
      <c r="AF2792" s="82"/>
      <c r="AG2792" s="82"/>
      <c r="AH2792" s="82"/>
      <c r="AI2792" s="82"/>
      <c r="AJ2792" s="82"/>
      <c r="AK2792" s="82"/>
      <c r="AL2792" s="82"/>
      <c r="AM2792" s="82"/>
      <c r="AN2792" s="82">
        <f>IFERROR(__xludf.DUMMYFUNCTION("""COMPUTED_VALUE"""),0.0)</f>
        <v>0</v>
      </c>
      <c r="AO2792" s="82">
        <f>IFERROR(__xludf.DUMMYFUNCTION("""COMPUTED_VALUE"""),0.0)</f>
        <v>0</v>
      </c>
      <c r="AP2792" s="82">
        <f>IFERROR(__xludf.DUMMYFUNCTION("""COMPUTED_VALUE"""),0.0)</f>
        <v>0</v>
      </c>
      <c r="AQ2792" s="82">
        <f>IFERROR(__xludf.DUMMYFUNCTION("""COMPUTED_VALUE"""),0.0)</f>
        <v>0</v>
      </c>
      <c r="AR2792" s="82">
        <f>IFERROR(__xludf.DUMMYFUNCTION("""COMPUTED_VALUE"""),0.0)</f>
        <v>0</v>
      </c>
      <c r="AS2792" s="82"/>
      <c r="AT2792" s="82">
        <f>IFERROR(__xludf.DUMMYFUNCTION("""COMPUTED_VALUE"""),0.0)</f>
        <v>0</v>
      </c>
      <c r="AU2792" s="82"/>
      <c r="AV2792" s="82"/>
      <c r="AW2792" s="82" t="str">
        <f t="shared" si="1"/>
        <v/>
      </c>
      <c r="AX2792" s="83" t="str">
        <f t="array" ref="AX2792">IFERROR(DGET('SBV Import'!A:G,"SBV",{"RSC ID","Tier";B2792,A2792}))</f>
        <v/>
      </c>
      <c r="AY2792" s="82" t="str">
        <f t="shared" si="2"/>
        <v/>
      </c>
      <c r="AZ2792" s="82"/>
      <c r="BA2792" s="84" t="s">
        <v>152</v>
      </c>
      <c r="BB2792" s="84" t="str">
        <f>IFERROR(__xludf.DUMMYFUNCTION("iferror(if(A2792="""",,E2792&gt;=FILTER(Constants!$F$2:$F$10,Constants!$A$2:$A$10=A2792)))"),"")</f>
        <v/>
      </c>
    </row>
    <row r="2793">
      <c r="A2793" s="89"/>
      <c r="B2793" s="87"/>
      <c r="C2793" s="73"/>
      <c r="D2793" s="73"/>
      <c r="E2793" s="82"/>
      <c r="F2793" s="82"/>
      <c r="G2793" s="86"/>
      <c r="H2793" s="86"/>
      <c r="I2793" s="86"/>
      <c r="J2793" s="82"/>
      <c r="K2793" s="82"/>
      <c r="L2793" s="82"/>
      <c r="M2793" s="82"/>
      <c r="N2793" s="82"/>
      <c r="O2793" s="82"/>
      <c r="P2793" s="82"/>
      <c r="Q2793" s="82"/>
      <c r="R2793" s="82"/>
      <c r="S2793" s="82"/>
      <c r="T2793" s="82"/>
      <c r="U2793" s="82"/>
      <c r="V2793" s="82"/>
      <c r="W2793" s="82"/>
      <c r="X2793" s="82"/>
      <c r="Y2793" s="82"/>
      <c r="Z2793" s="82"/>
      <c r="AA2793" s="82"/>
      <c r="AB2793" s="82"/>
      <c r="AC2793" s="82"/>
      <c r="AD2793" s="82"/>
      <c r="AE2793" s="82"/>
      <c r="AF2793" s="82"/>
      <c r="AG2793" s="82"/>
      <c r="AH2793" s="82"/>
      <c r="AI2793" s="82"/>
      <c r="AJ2793" s="82"/>
      <c r="AK2793" s="82"/>
      <c r="AL2793" s="82"/>
      <c r="AM2793" s="82"/>
      <c r="AN2793" s="82">
        <f>IFERROR(__xludf.DUMMYFUNCTION("""COMPUTED_VALUE"""),0.0)</f>
        <v>0</v>
      </c>
      <c r="AO2793" s="82">
        <f>IFERROR(__xludf.DUMMYFUNCTION("""COMPUTED_VALUE"""),0.0)</f>
        <v>0</v>
      </c>
      <c r="AP2793" s="82">
        <f>IFERROR(__xludf.DUMMYFUNCTION("""COMPUTED_VALUE"""),0.0)</f>
        <v>0</v>
      </c>
      <c r="AQ2793" s="82">
        <f>IFERROR(__xludf.DUMMYFUNCTION("""COMPUTED_VALUE"""),0.0)</f>
        <v>0</v>
      </c>
      <c r="AR2793" s="82">
        <f>IFERROR(__xludf.DUMMYFUNCTION("""COMPUTED_VALUE"""),0.0)</f>
        <v>0</v>
      </c>
      <c r="AS2793" s="82"/>
      <c r="AT2793" s="82">
        <f>IFERROR(__xludf.DUMMYFUNCTION("""COMPUTED_VALUE"""),0.0)</f>
        <v>0</v>
      </c>
      <c r="AU2793" s="82"/>
      <c r="AV2793" s="82"/>
      <c r="AW2793" s="82" t="str">
        <f t="shared" si="1"/>
        <v/>
      </c>
      <c r="AX2793" s="83" t="str">
        <f t="array" ref="AX2793">IFERROR(DGET('SBV Import'!A:G,"SBV",{"RSC ID","Tier";B2793,A2793}))</f>
        <v/>
      </c>
      <c r="AY2793" s="82" t="str">
        <f t="shared" si="2"/>
        <v/>
      </c>
      <c r="AZ2793" s="82"/>
      <c r="BA2793" s="84" t="s">
        <v>152</v>
      </c>
      <c r="BB2793" s="84" t="str">
        <f>IFERROR(__xludf.DUMMYFUNCTION("iferror(if(A2793="""",,E2793&gt;=FILTER(Constants!$F$2:$F$10,Constants!$A$2:$A$10=A2793)))"),"")</f>
        <v/>
      </c>
    </row>
    <row r="2794">
      <c r="A2794" s="89"/>
      <c r="B2794" s="87"/>
      <c r="C2794" s="73"/>
      <c r="D2794" s="73"/>
      <c r="E2794" s="82"/>
      <c r="F2794" s="82"/>
      <c r="G2794" s="86"/>
      <c r="H2794" s="86"/>
      <c r="I2794" s="86"/>
      <c r="J2794" s="82"/>
      <c r="K2794" s="82"/>
      <c r="L2794" s="82"/>
      <c r="M2794" s="82"/>
      <c r="N2794" s="82"/>
      <c r="O2794" s="82"/>
      <c r="P2794" s="82"/>
      <c r="Q2794" s="82"/>
      <c r="R2794" s="82"/>
      <c r="S2794" s="82"/>
      <c r="T2794" s="82"/>
      <c r="U2794" s="82"/>
      <c r="V2794" s="82"/>
      <c r="W2794" s="82"/>
      <c r="X2794" s="82"/>
      <c r="Y2794" s="82"/>
      <c r="Z2794" s="82"/>
      <c r="AA2794" s="82"/>
      <c r="AB2794" s="82"/>
      <c r="AC2794" s="82"/>
      <c r="AD2794" s="82"/>
      <c r="AE2794" s="82"/>
      <c r="AF2794" s="82"/>
      <c r="AG2794" s="82"/>
      <c r="AH2794" s="82"/>
      <c r="AI2794" s="82"/>
      <c r="AJ2794" s="82"/>
      <c r="AK2794" s="82"/>
      <c r="AL2794" s="82"/>
      <c r="AM2794" s="82"/>
      <c r="AN2794" s="82">
        <f>IFERROR(__xludf.DUMMYFUNCTION("""COMPUTED_VALUE"""),0.0)</f>
        <v>0</v>
      </c>
      <c r="AO2794" s="82">
        <f>IFERROR(__xludf.DUMMYFUNCTION("""COMPUTED_VALUE"""),0.0)</f>
        <v>0</v>
      </c>
      <c r="AP2794" s="82">
        <f>IFERROR(__xludf.DUMMYFUNCTION("""COMPUTED_VALUE"""),0.0)</f>
        <v>0</v>
      </c>
      <c r="AQ2794" s="82">
        <f>IFERROR(__xludf.DUMMYFUNCTION("""COMPUTED_VALUE"""),0.0)</f>
        <v>0</v>
      </c>
      <c r="AR2794" s="82">
        <f>IFERROR(__xludf.DUMMYFUNCTION("""COMPUTED_VALUE"""),0.0)</f>
        <v>0</v>
      </c>
      <c r="AS2794" s="82"/>
      <c r="AT2794" s="82">
        <f>IFERROR(__xludf.DUMMYFUNCTION("""COMPUTED_VALUE"""),0.0)</f>
        <v>0</v>
      </c>
      <c r="AU2794" s="82"/>
      <c r="AV2794" s="82"/>
      <c r="AW2794" s="82" t="str">
        <f t="shared" si="1"/>
        <v/>
      </c>
      <c r="AX2794" s="83" t="str">
        <f t="array" ref="AX2794">IFERROR(DGET('SBV Import'!A:G,"SBV",{"RSC ID","Tier";B2794,A2794}))</f>
        <v/>
      </c>
      <c r="AY2794" s="82" t="str">
        <f t="shared" si="2"/>
        <v/>
      </c>
      <c r="AZ2794" s="82"/>
      <c r="BA2794" s="84" t="s">
        <v>152</v>
      </c>
      <c r="BB2794" s="84" t="str">
        <f>IFERROR(__xludf.DUMMYFUNCTION("iferror(if(A2794="""",,E2794&gt;=FILTER(Constants!$F$2:$F$10,Constants!$A$2:$A$10=A2794)))"),"")</f>
        <v/>
      </c>
    </row>
    <row r="2795">
      <c r="A2795" s="89"/>
      <c r="B2795" s="87"/>
      <c r="C2795" s="73"/>
      <c r="D2795" s="73"/>
      <c r="E2795" s="82"/>
      <c r="F2795" s="82"/>
      <c r="G2795" s="86"/>
      <c r="H2795" s="86"/>
      <c r="I2795" s="86"/>
      <c r="J2795" s="82"/>
      <c r="K2795" s="82"/>
      <c r="L2795" s="82"/>
      <c r="M2795" s="82"/>
      <c r="N2795" s="82"/>
      <c r="O2795" s="82"/>
      <c r="P2795" s="82"/>
      <c r="Q2795" s="82"/>
      <c r="R2795" s="82"/>
      <c r="S2795" s="82"/>
      <c r="T2795" s="82"/>
      <c r="U2795" s="82"/>
      <c r="V2795" s="82"/>
      <c r="W2795" s="82"/>
      <c r="X2795" s="82"/>
      <c r="Y2795" s="82"/>
      <c r="Z2795" s="82"/>
      <c r="AA2795" s="82"/>
      <c r="AB2795" s="82"/>
      <c r="AC2795" s="82"/>
      <c r="AD2795" s="82"/>
      <c r="AE2795" s="82"/>
      <c r="AF2795" s="82"/>
      <c r="AG2795" s="82"/>
      <c r="AH2795" s="82"/>
      <c r="AI2795" s="82"/>
      <c r="AJ2795" s="82"/>
      <c r="AK2795" s="82"/>
      <c r="AL2795" s="82"/>
      <c r="AM2795" s="82"/>
      <c r="AN2795" s="82">
        <f>IFERROR(__xludf.DUMMYFUNCTION("""COMPUTED_VALUE"""),0.0)</f>
        <v>0</v>
      </c>
      <c r="AO2795" s="82">
        <f>IFERROR(__xludf.DUMMYFUNCTION("""COMPUTED_VALUE"""),0.0)</f>
        <v>0</v>
      </c>
      <c r="AP2795" s="82">
        <f>IFERROR(__xludf.DUMMYFUNCTION("""COMPUTED_VALUE"""),0.0)</f>
        <v>0</v>
      </c>
      <c r="AQ2795" s="82">
        <f>IFERROR(__xludf.DUMMYFUNCTION("""COMPUTED_VALUE"""),0.0)</f>
        <v>0</v>
      </c>
      <c r="AR2795" s="82">
        <f>IFERROR(__xludf.DUMMYFUNCTION("""COMPUTED_VALUE"""),0.0)</f>
        <v>0</v>
      </c>
      <c r="AS2795" s="82"/>
      <c r="AT2795" s="82">
        <f>IFERROR(__xludf.DUMMYFUNCTION("""COMPUTED_VALUE"""),0.0)</f>
        <v>0</v>
      </c>
      <c r="AU2795" s="82"/>
      <c r="AV2795" s="82"/>
      <c r="AW2795" s="82" t="str">
        <f t="shared" si="1"/>
        <v/>
      </c>
      <c r="AX2795" s="83" t="str">
        <f t="array" ref="AX2795">IFERROR(DGET('SBV Import'!A:G,"SBV",{"RSC ID","Tier";B2795,A2795}))</f>
        <v/>
      </c>
      <c r="AY2795" s="82" t="str">
        <f t="shared" si="2"/>
        <v/>
      </c>
      <c r="AZ2795" s="82"/>
      <c r="BA2795" s="84" t="s">
        <v>152</v>
      </c>
      <c r="BB2795" s="84" t="str">
        <f>IFERROR(__xludf.DUMMYFUNCTION("iferror(if(A2795="""",,E2795&gt;=FILTER(Constants!$F$2:$F$10,Constants!$A$2:$A$10=A2795)))"),"")</f>
        <v/>
      </c>
    </row>
    <row r="2796">
      <c r="A2796" s="89"/>
      <c r="B2796" s="87"/>
      <c r="C2796" s="73"/>
      <c r="D2796" s="73"/>
      <c r="E2796" s="82"/>
      <c r="F2796" s="82"/>
      <c r="G2796" s="86"/>
      <c r="H2796" s="86"/>
      <c r="I2796" s="86"/>
      <c r="J2796" s="82"/>
      <c r="K2796" s="82"/>
      <c r="L2796" s="82"/>
      <c r="M2796" s="82"/>
      <c r="N2796" s="82"/>
      <c r="O2796" s="82"/>
      <c r="P2796" s="82"/>
      <c r="Q2796" s="82"/>
      <c r="R2796" s="82"/>
      <c r="S2796" s="82"/>
      <c r="T2796" s="82"/>
      <c r="U2796" s="82"/>
      <c r="V2796" s="82"/>
      <c r="W2796" s="82"/>
      <c r="X2796" s="82"/>
      <c r="Y2796" s="82"/>
      <c r="Z2796" s="82"/>
      <c r="AA2796" s="82"/>
      <c r="AB2796" s="82"/>
      <c r="AC2796" s="82"/>
      <c r="AD2796" s="82"/>
      <c r="AE2796" s="82"/>
      <c r="AF2796" s="82"/>
      <c r="AG2796" s="82"/>
      <c r="AH2796" s="82"/>
      <c r="AI2796" s="82"/>
      <c r="AJ2796" s="82"/>
      <c r="AK2796" s="82"/>
      <c r="AL2796" s="82"/>
      <c r="AM2796" s="82"/>
      <c r="AN2796" s="82">
        <f>IFERROR(__xludf.DUMMYFUNCTION("""COMPUTED_VALUE"""),0.0)</f>
        <v>0</v>
      </c>
      <c r="AO2796" s="82">
        <f>IFERROR(__xludf.DUMMYFUNCTION("""COMPUTED_VALUE"""),0.0)</f>
        <v>0</v>
      </c>
      <c r="AP2796" s="82">
        <f>IFERROR(__xludf.DUMMYFUNCTION("""COMPUTED_VALUE"""),0.0)</f>
        <v>0</v>
      </c>
      <c r="AQ2796" s="82">
        <f>IFERROR(__xludf.DUMMYFUNCTION("""COMPUTED_VALUE"""),0.0)</f>
        <v>0</v>
      </c>
      <c r="AR2796" s="82">
        <f>IFERROR(__xludf.DUMMYFUNCTION("""COMPUTED_VALUE"""),0.0)</f>
        <v>0</v>
      </c>
      <c r="AS2796" s="82"/>
      <c r="AT2796" s="82">
        <f>IFERROR(__xludf.DUMMYFUNCTION("""COMPUTED_VALUE"""),0.0)</f>
        <v>0</v>
      </c>
      <c r="AU2796" s="82"/>
      <c r="AV2796" s="82"/>
      <c r="AW2796" s="82" t="str">
        <f t="shared" si="1"/>
        <v/>
      </c>
      <c r="AX2796" s="83" t="str">
        <f t="array" ref="AX2796">IFERROR(DGET('SBV Import'!A:G,"SBV",{"RSC ID","Tier";B2796,A2796}))</f>
        <v/>
      </c>
      <c r="AY2796" s="82" t="str">
        <f t="shared" si="2"/>
        <v/>
      </c>
      <c r="AZ2796" s="82"/>
      <c r="BA2796" s="84" t="s">
        <v>152</v>
      </c>
      <c r="BB2796" s="84" t="str">
        <f>IFERROR(__xludf.DUMMYFUNCTION("iferror(if(A2796="""",,E2796&gt;=FILTER(Constants!$F$2:$F$10,Constants!$A$2:$A$10=A2796)))"),"")</f>
        <v/>
      </c>
    </row>
    <row r="2797">
      <c r="A2797" s="89"/>
      <c r="B2797" s="87"/>
      <c r="C2797" s="73"/>
      <c r="D2797" s="73"/>
      <c r="E2797" s="82"/>
      <c r="F2797" s="82"/>
      <c r="G2797" s="86"/>
      <c r="H2797" s="86"/>
      <c r="I2797" s="86"/>
      <c r="J2797" s="82"/>
      <c r="K2797" s="82"/>
      <c r="L2797" s="82"/>
      <c r="M2797" s="82"/>
      <c r="N2797" s="82"/>
      <c r="O2797" s="82"/>
      <c r="P2797" s="82"/>
      <c r="Q2797" s="82"/>
      <c r="R2797" s="82"/>
      <c r="S2797" s="82"/>
      <c r="T2797" s="82"/>
      <c r="U2797" s="82"/>
      <c r="V2797" s="82"/>
      <c r="W2797" s="82"/>
      <c r="X2797" s="82"/>
      <c r="Y2797" s="82"/>
      <c r="Z2797" s="82"/>
      <c r="AA2797" s="82"/>
      <c r="AB2797" s="82"/>
      <c r="AC2797" s="82"/>
      <c r="AD2797" s="82"/>
      <c r="AE2797" s="82"/>
      <c r="AF2797" s="82"/>
      <c r="AG2797" s="82"/>
      <c r="AH2797" s="82"/>
      <c r="AI2797" s="82"/>
      <c r="AJ2797" s="82"/>
      <c r="AK2797" s="82"/>
      <c r="AL2797" s="82"/>
      <c r="AM2797" s="82"/>
      <c r="AN2797" s="82">
        <f>IFERROR(__xludf.DUMMYFUNCTION("""COMPUTED_VALUE"""),0.0)</f>
        <v>0</v>
      </c>
      <c r="AO2797" s="82">
        <f>IFERROR(__xludf.DUMMYFUNCTION("""COMPUTED_VALUE"""),0.0)</f>
        <v>0</v>
      </c>
      <c r="AP2797" s="82">
        <f>IFERROR(__xludf.DUMMYFUNCTION("""COMPUTED_VALUE"""),0.0)</f>
        <v>0</v>
      </c>
      <c r="AQ2797" s="82">
        <f>IFERROR(__xludf.DUMMYFUNCTION("""COMPUTED_VALUE"""),0.0)</f>
        <v>0</v>
      </c>
      <c r="AR2797" s="82">
        <f>IFERROR(__xludf.DUMMYFUNCTION("""COMPUTED_VALUE"""),0.0)</f>
        <v>0</v>
      </c>
      <c r="AS2797" s="82"/>
      <c r="AT2797" s="82">
        <f>IFERROR(__xludf.DUMMYFUNCTION("""COMPUTED_VALUE"""),0.0)</f>
        <v>0</v>
      </c>
      <c r="AU2797" s="82"/>
      <c r="AV2797" s="82"/>
      <c r="AW2797" s="82" t="str">
        <f t="shared" si="1"/>
        <v/>
      </c>
      <c r="AX2797" s="83" t="str">
        <f t="array" ref="AX2797">IFERROR(DGET('SBV Import'!A:G,"SBV",{"RSC ID","Tier";B2797,A2797}))</f>
        <v/>
      </c>
      <c r="AY2797" s="82" t="str">
        <f t="shared" si="2"/>
        <v/>
      </c>
      <c r="AZ2797" s="82"/>
      <c r="BA2797" s="84" t="s">
        <v>152</v>
      </c>
      <c r="BB2797" s="84" t="str">
        <f>IFERROR(__xludf.DUMMYFUNCTION("iferror(if(A2797="""",,E2797&gt;=FILTER(Constants!$F$2:$F$10,Constants!$A$2:$A$10=A2797)))"),"")</f>
        <v/>
      </c>
    </row>
    <row r="2798">
      <c r="A2798" s="89"/>
      <c r="B2798" s="87"/>
      <c r="C2798" s="73"/>
      <c r="D2798" s="73"/>
      <c r="E2798" s="82"/>
      <c r="F2798" s="82"/>
      <c r="G2798" s="86"/>
      <c r="H2798" s="86"/>
      <c r="I2798" s="86"/>
      <c r="J2798" s="82"/>
      <c r="K2798" s="82"/>
      <c r="L2798" s="82"/>
      <c r="M2798" s="82"/>
      <c r="N2798" s="82"/>
      <c r="O2798" s="82"/>
      <c r="P2798" s="82"/>
      <c r="Q2798" s="82"/>
      <c r="R2798" s="82"/>
      <c r="S2798" s="82"/>
      <c r="T2798" s="82"/>
      <c r="U2798" s="82"/>
      <c r="V2798" s="82"/>
      <c r="W2798" s="82"/>
      <c r="X2798" s="82"/>
      <c r="Y2798" s="82"/>
      <c r="Z2798" s="82"/>
      <c r="AA2798" s="82"/>
      <c r="AB2798" s="82"/>
      <c r="AC2798" s="82"/>
      <c r="AD2798" s="82"/>
      <c r="AE2798" s="82"/>
      <c r="AF2798" s="82"/>
      <c r="AG2798" s="82"/>
      <c r="AH2798" s="82"/>
      <c r="AI2798" s="82"/>
      <c r="AJ2798" s="82"/>
      <c r="AK2798" s="82"/>
      <c r="AL2798" s="82"/>
      <c r="AM2798" s="82"/>
      <c r="AN2798" s="82">
        <f>IFERROR(__xludf.DUMMYFUNCTION("""COMPUTED_VALUE"""),0.0)</f>
        <v>0</v>
      </c>
      <c r="AO2798" s="82">
        <f>IFERROR(__xludf.DUMMYFUNCTION("""COMPUTED_VALUE"""),0.0)</f>
        <v>0</v>
      </c>
      <c r="AP2798" s="82">
        <f>IFERROR(__xludf.DUMMYFUNCTION("""COMPUTED_VALUE"""),0.0)</f>
        <v>0</v>
      </c>
      <c r="AQ2798" s="82">
        <f>IFERROR(__xludf.DUMMYFUNCTION("""COMPUTED_VALUE"""),0.0)</f>
        <v>0</v>
      </c>
      <c r="AR2798" s="82">
        <f>IFERROR(__xludf.DUMMYFUNCTION("""COMPUTED_VALUE"""),0.0)</f>
        <v>0</v>
      </c>
      <c r="AS2798" s="82"/>
      <c r="AT2798" s="82">
        <f>IFERROR(__xludf.DUMMYFUNCTION("""COMPUTED_VALUE"""),0.0)</f>
        <v>0</v>
      </c>
      <c r="AU2798" s="82"/>
      <c r="AV2798" s="82"/>
      <c r="AW2798" s="82" t="str">
        <f t="shared" si="1"/>
        <v/>
      </c>
      <c r="AX2798" s="83" t="str">
        <f t="array" ref="AX2798">IFERROR(DGET('SBV Import'!A:G,"SBV",{"RSC ID","Tier";B2798,A2798}))</f>
        <v/>
      </c>
      <c r="AY2798" s="82" t="str">
        <f t="shared" si="2"/>
        <v/>
      </c>
      <c r="AZ2798" s="82"/>
      <c r="BA2798" s="84" t="s">
        <v>152</v>
      </c>
      <c r="BB2798" s="84" t="str">
        <f>IFERROR(__xludf.DUMMYFUNCTION("iferror(if(A2798="""",,E2798&gt;=FILTER(Constants!$F$2:$F$10,Constants!$A$2:$A$10=A2798)))"),"")</f>
        <v/>
      </c>
    </row>
    <row r="2799">
      <c r="A2799" s="89"/>
      <c r="B2799" s="87"/>
      <c r="C2799" s="73"/>
      <c r="D2799" s="73"/>
      <c r="E2799" s="82"/>
      <c r="F2799" s="82"/>
      <c r="G2799" s="86"/>
      <c r="H2799" s="86"/>
      <c r="I2799" s="86"/>
      <c r="J2799" s="82"/>
      <c r="K2799" s="82"/>
      <c r="L2799" s="82"/>
      <c r="M2799" s="82"/>
      <c r="N2799" s="82"/>
      <c r="O2799" s="82"/>
      <c r="P2799" s="82"/>
      <c r="Q2799" s="82"/>
      <c r="R2799" s="82"/>
      <c r="S2799" s="82"/>
      <c r="T2799" s="82"/>
      <c r="U2799" s="82"/>
      <c r="V2799" s="82"/>
      <c r="W2799" s="82"/>
      <c r="X2799" s="82"/>
      <c r="Y2799" s="82"/>
      <c r="Z2799" s="82"/>
      <c r="AA2799" s="82"/>
      <c r="AB2799" s="82"/>
      <c r="AC2799" s="82"/>
      <c r="AD2799" s="82"/>
      <c r="AE2799" s="82"/>
      <c r="AF2799" s="82"/>
      <c r="AG2799" s="82"/>
      <c r="AH2799" s="82"/>
      <c r="AI2799" s="82"/>
      <c r="AJ2799" s="82"/>
      <c r="AK2799" s="82"/>
      <c r="AL2799" s="82"/>
      <c r="AM2799" s="82"/>
      <c r="AN2799" s="82"/>
      <c r="AO2799" s="82"/>
      <c r="AP2799" s="82"/>
      <c r="AQ2799" s="82"/>
      <c r="AR2799" s="82"/>
      <c r="AS2799" s="82"/>
      <c r="AT2799" s="82"/>
      <c r="AU2799" s="82"/>
      <c r="AV2799" s="82"/>
      <c r="AW2799" s="82" t="str">
        <f t="shared" si="1"/>
        <v/>
      </c>
      <c r="AX2799" s="83" t="str">
        <f t="array" ref="AX2799">IFERROR(DGET('SBV Import'!A:G,"SBV",{"RSC ID","Tier";B2799,A2799}))</f>
        <v/>
      </c>
      <c r="AY2799" s="82" t="str">
        <f t="shared" si="2"/>
        <v/>
      </c>
      <c r="AZ2799" s="82"/>
      <c r="BA2799" s="84" t="s">
        <v>152</v>
      </c>
      <c r="BB2799" s="84" t="str">
        <f>IFERROR(__xludf.DUMMYFUNCTION("iferror(if(A2799="""",,E2799&gt;=FILTER(Constants!$F$2:$F$10,Constants!$A$2:$A$10=A2799)))"),"")</f>
        <v/>
      </c>
    </row>
    <row r="2800">
      <c r="A2800" s="89"/>
      <c r="B2800" s="87"/>
      <c r="C2800" s="73"/>
      <c r="D2800" s="73"/>
      <c r="E2800" s="82"/>
      <c r="F2800" s="82"/>
      <c r="G2800" s="86"/>
      <c r="H2800" s="86"/>
      <c r="I2800" s="86"/>
      <c r="J2800" s="82"/>
      <c r="K2800" s="82"/>
      <c r="L2800" s="82"/>
      <c r="M2800" s="82"/>
      <c r="N2800" s="82"/>
      <c r="O2800" s="82"/>
      <c r="P2800" s="82"/>
      <c r="Q2800" s="82"/>
      <c r="R2800" s="82"/>
      <c r="S2800" s="82"/>
      <c r="T2800" s="82"/>
      <c r="U2800" s="82"/>
      <c r="V2800" s="82"/>
      <c r="W2800" s="82"/>
      <c r="X2800" s="82"/>
      <c r="Y2800" s="82"/>
      <c r="Z2800" s="82"/>
      <c r="AA2800" s="82"/>
      <c r="AB2800" s="82"/>
      <c r="AC2800" s="82"/>
      <c r="AD2800" s="82"/>
      <c r="AE2800" s="82"/>
      <c r="AF2800" s="82"/>
      <c r="AG2800" s="82"/>
      <c r="AH2800" s="82"/>
      <c r="AI2800" s="82"/>
      <c r="AJ2800" s="82"/>
      <c r="AK2800" s="82"/>
      <c r="AL2800" s="82"/>
      <c r="AM2800" s="82"/>
      <c r="AN2800" s="82"/>
      <c r="AO2800" s="82"/>
      <c r="AP2800" s="82"/>
      <c r="AQ2800" s="82"/>
      <c r="AR2800" s="82"/>
      <c r="AS2800" s="82"/>
      <c r="AT2800" s="82"/>
      <c r="AU2800" s="82"/>
      <c r="AV2800" s="82"/>
      <c r="AW2800" s="82" t="str">
        <f t="shared" si="1"/>
        <v/>
      </c>
      <c r="AX2800" s="83" t="str">
        <f t="array" ref="AX2800">IFERROR(DGET('SBV Import'!A:G,"SBV",{"RSC ID","Tier";B2800,A2800}))</f>
        <v/>
      </c>
      <c r="AY2800" s="82" t="str">
        <f t="shared" si="2"/>
        <v/>
      </c>
      <c r="AZ2800" s="82"/>
      <c r="BA2800" s="84" t="s">
        <v>152</v>
      </c>
      <c r="BB2800" s="84" t="str">
        <f>IFERROR(__xludf.DUMMYFUNCTION("iferror(if(A2800="""",,E2800&gt;=FILTER(Constants!$F$2:$F$10,Constants!$A$2:$A$10=A2800)))"),"")</f>
        <v/>
      </c>
    </row>
    <row r="2801">
      <c r="A2801" s="89"/>
      <c r="B2801" s="87"/>
      <c r="C2801" s="73"/>
      <c r="D2801" s="73"/>
      <c r="E2801" s="82"/>
      <c r="F2801" s="82"/>
      <c r="G2801" s="86"/>
      <c r="H2801" s="86"/>
      <c r="I2801" s="86"/>
      <c r="J2801" s="82"/>
      <c r="K2801" s="82"/>
      <c r="L2801" s="82"/>
      <c r="M2801" s="82"/>
      <c r="N2801" s="82"/>
      <c r="O2801" s="82"/>
      <c r="P2801" s="82"/>
      <c r="Q2801" s="82"/>
      <c r="R2801" s="82"/>
      <c r="S2801" s="82"/>
      <c r="T2801" s="82"/>
      <c r="U2801" s="82"/>
      <c r="V2801" s="82"/>
      <c r="W2801" s="82"/>
      <c r="X2801" s="82"/>
      <c r="Y2801" s="82"/>
      <c r="Z2801" s="82"/>
      <c r="AA2801" s="82"/>
      <c r="AB2801" s="82"/>
      <c r="AC2801" s="82"/>
      <c r="AD2801" s="82"/>
      <c r="AE2801" s="82"/>
      <c r="AF2801" s="82"/>
      <c r="AG2801" s="82"/>
      <c r="AH2801" s="82"/>
      <c r="AI2801" s="82"/>
      <c r="AJ2801" s="82"/>
      <c r="AK2801" s="82"/>
      <c r="AL2801" s="82"/>
      <c r="AM2801" s="82"/>
      <c r="AN2801" s="82"/>
      <c r="AO2801" s="82"/>
      <c r="AP2801" s="82"/>
      <c r="AQ2801" s="82"/>
      <c r="AR2801" s="82"/>
      <c r="AS2801" s="82"/>
      <c r="AT2801" s="82"/>
      <c r="AU2801" s="82"/>
      <c r="AV2801" s="82"/>
      <c r="AW2801" s="82" t="str">
        <f t="shared" si="1"/>
        <v/>
      </c>
      <c r="AX2801" s="83" t="str">
        <f t="array" ref="AX2801">IFERROR(DGET('SBV Import'!A:G,"SBV",{"RSC ID","Tier";B2801,A2801}))</f>
        <v/>
      </c>
      <c r="AY2801" s="82" t="str">
        <f t="shared" si="2"/>
        <v/>
      </c>
      <c r="AZ2801" s="82"/>
      <c r="BA2801" s="84" t="s">
        <v>152</v>
      </c>
      <c r="BB2801" s="84" t="str">
        <f>IFERROR(__xludf.DUMMYFUNCTION("iferror(if(A2801="""",,E2801&gt;=FILTER(Constants!$F$2:$F$10,Constants!$A$2:$A$10=A2801)))"),"")</f>
        <v/>
      </c>
    </row>
    <row r="2802">
      <c r="A2802" s="89"/>
      <c r="B2802" s="87"/>
      <c r="C2802" s="73"/>
      <c r="D2802" s="73"/>
      <c r="E2802" s="82"/>
      <c r="F2802" s="82"/>
      <c r="G2802" s="86"/>
      <c r="H2802" s="86"/>
      <c r="I2802" s="86"/>
      <c r="J2802" s="82"/>
      <c r="K2802" s="82"/>
      <c r="L2802" s="82"/>
      <c r="M2802" s="82"/>
      <c r="N2802" s="82"/>
      <c r="O2802" s="82"/>
      <c r="P2802" s="82"/>
      <c r="Q2802" s="82"/>
      <c r="R2802" s="82"/>
      <c r="S2802" s="82"/>
      <c r="T2802" s="82"/>
      <c r="U2802" s="82"/>
      <c r="V2802" s="82"/>
      <c r="W2802" s="82"/>
      <c r="X2802" s="82"/>
      <c r="Y2802" s="82"/>
      <c r="Z2802" s="82"/>
      <c r="AA2802" s="82"/>
      <c r="AB2802" s="82"/>
      <c r="AC2802" s="82"/>
      <c r="AD2802" s="82"/>
      <c r="AE2802" s="82"/>
      <c r="AF2802" s="82"/>
      <c r="AG2802" s="82"/>
      <c r="AH2802" s="82"/>
      <c r="AI2802" s="82"/>
      <c r="AJ2802" s="82"/>
      <c r="AK2802" s="82"/>
      <c r="AL2802" s="82"/>
      <c r="AM2802" s="82"/>
      <c r="AN2802" s="82"/>
      <c r="AO2802" s="82"/>
      <c r="AP2802" s="82"/>
      <c r="AQ2802" s="82"/>
      <c r="AR2802" s="82"/>
      <c r="AS2802" s="82"/>
      <c r="AT2802" s="82"/>
      <c r="AU2802" s="82"/>
      <c r="AV2802" s="82"/>
      <c r="AW2802" s="82" t="str">
        <f t="shared" si="1"/>
        <v/>
      </c>
      <c r="AX2802" s="83" t="str">
        <f t="array" ref="AX2802">IFERROR(DGET('SBV Import'!A:G,"SBV",{"RSC ID","Tier";B2802,A2802}))</f>
        <v/>
      </c>
      <c r="AY2802" s="82" t="str">
        <f t="shared" si="2"/>
        <v/>
      </c>
      <c r="AZ2802" s="82"/>
      <c r="BA2802" s="84" t="s">
        <v>152</v>
      </c>
      <c r="BB2802" s="84" t="str">
        <f>IFERROR(__xludf.DUMMYFUNCTION("iferror(if(A2802="""",,E2802&gt;=FILTER(Constants!$F$2:$F$10,Constants!$A$2:$A$10=A2802)))"),"")</f>
        <v/>
      </c>
    </row>
    <row r="2803">
      <c r="A2803" s="89"/>
      <c r="B2803" s="87"/>
      <c r="C2803" s="73"/>
      <c r="D2803" s="73"/>
      <c r="E2803" s="82"/>
      <c r="F2803" s="82"/>
      <c r="G2803" s="86"/>
      <c r="H2803" s="86"/>
      <c r="I2803" s="86"/>
      <c r="J2803" s="82"/>
      <c r="K2803" s="82"/>
      <c r="L2803" s="82"/>
      <c r="M2803" s="82"/>
      <c r="N2803" s="82"/>
      <c r="O2803" s="82"/>
      <c r="P2803" s="82"/>
      <c r="Q2803" s="82"/>
      <c r="R2803" s="82"/>
      <c r="S2803" s="82"/>
      <c r="T2803" s="82"/>
      <c r="U2803" s="82"/>
      <c r="V2803" s="82"/>
      <c r="W2803" s="82"/>
      <c r="X2803" s="82"/>
      <c r="Y2803" s="82"/>
      <c r="Z2803" s="82"/>
      <c r="AA2803" s="82"/>
      <c r="AB2803" s="82"/>
      <c r="AC2803" s="82"/>
      <c r="AD2803" s="82"/>
      <c r="AE2803" s="82"/>
      <c r="AF2803" s="82"/>
      <c r="AG2803" s="82"/>
      <c r="AH2803" s="82"/>
      <c r="AI2803" s="82"/>
      <c r="AJ2803" s="82"/>
      <c r="AK2803" s="82"/>
      <c r="AL2803" s="82"/>
      <c r="AM2803" s="82"/>
      <c r="AN2803" s="82"/>
      <c r="AO2803" s="82"/>
      <c r="AP2803" s="82"/>
      <c r="AQ2803" s="82"/>
      <c r="AR2803" s="82"/>
      <c r="AS2803" s="82"/>
      <c r="AT2803" s="82"/>
      <c r="AU2803" s="82"/>
      <c r="AV2803" s="82"/>
      <c r="AW2803" s="82" t="str">
        <f t="shared" si="1"/>
        <v/>
      </c>
      <c r="AX2803" s="83" t="str">
        <f t="array" ref="AX2803">IFERROR(DGET('SBV Import'!A:G,"SBV",{"RSC ID","Tier";B2803,A2803}))</f>
        <v/>
      </c>
      <c r="AY2803" s="82" t="str">
        <f t="shared" si="2"/>
        <v/>
      </c>
      <c r="AZ2803" s="82"/>
      <c r="BA2803" s="84" t="s">
        <v>152</v>
      </c>
      <c r="BB2803" s="84" t="str">
        <f>IFERROR(__xludf.DUMMYFUNCTION("iferror(if(A2803="""",,E2803&gt;=FILTER(Constants!$F$2:$F$10,Constants!$A$2:$A$10=A2803)))"),"")</f>
        <v/>
      </c>
    </row>
    <row r="2804">
      <c r="A2804" s="89"/>
      <c r="B2804" s="87"/>
      <c r="C2804" s="73"/>
      <c r="D2804" s="73"/>
      <c r="E2804" s="82"/>
      <c r="F2804" s="82"/>
      <c r="G2804" s="86"/>
      <c r="H2804" s="86"/>
      <c r="I2804" s="86"/>
      <c r="J2804" s="82"/>
      <c r="K2804" s="82"/>
      <c r="L2804" s="82"/>
      <c r="M2804" s="82"/>
      <c r="N2804" s="82"/>
      <c r="O2804" s="82"/>
      <c r="P2804" s="82"/>
      <c r="Q2804" s="82"/>
      <c r="R2804" s="82"/>
      <c r="S2804" s="82"/>
      <c r="T2804" s="82"/>
      <c r="U2804" s="82"/>
      <c r="V2804" s="82"/>
      <c r="W2804" s="82"/>
      <c r="X2804" s="82"/>
      <c r="Y2804" s="82"/>
      <c r="Z2804" s="82"/>
      <c r="AA2804" s="82"/>
      <c r="AB2804" s="82"/>
      <c r="AC2804" s="82"/>
      <c r="AD2804" s="82"/>
      <c r="AE2804" s="82"/>
      <c r="AF2804" s="82"/>
      <c r="AG2804" s="82"/>
      <c r="AH2804" s="82"/>
      <c r="AI2804" s="82"/>
      <c r="AJ2804" s="82"/>
      <c r="AK2804" s="82"/>
      <c r="AL2804" s="82"/>
      <c r="AM2804" s="82"/>
      <c r="AN2804" s="82"/>
      <c r="AO2804" s="82"/>
      <c r="AP2804" s="82"/>
      <c r="AQ2804" s="82"/>
      <c r="AR2804" s="82"/>
      <c r="AS2804" s="82"/>
      <c r="AT2804" s="82"/>
      <c r="AU2804" s="82"/>
      <c r="AV2804" s="82"/>
      <c r="AW2804" s="82" t="str">
        <f t="shared" si="1"/>
        <v/>
      </c>
      <c r="AX2804" s="83" t="str">
        <f t="array" ref="AX2804">IFERROR(DGET('SBV Import'!A:G,"SBV",{"RSC ID","Tier";B2804,A2804}))</f>
        <v/>
      </c>
      <c r="AY2804" s="82" t="str">
        <f t="shared" si="2"/>
        <v/>
      </c>
      <c r="AZ2804" s="82"/>
      <c r="BA2804" s="84" t="s">
        <v>152</v>
      </c>
      <c r="BB2804" s="84" t="str">
        <f>IFERROR(__xludf.DUMMYFUNCTION("iferror(if(A2804="""",,E2804&gt;=FILTER(Constants!$F$2:$F$10,Constants!$A$2:$A$10=A2804)))"),"")</f>
        <v/>
      </c>
    </row>
    <row r="2805">
      <c r="A2805" s="89"/>
      <c r="B2805" s="87"/>
      <c r="C2805" s="73"/>
      <c r="D2805" s="73"/>
      <c r="E2805" s="82"/>
      <c r="F2805" s="82"/>
      <c r="G2805" s="86"/>
      <c r="H2805" s="86"/>
      <c r="I2805" s="86"/>
      <c r="J2805" s="82"/>
      <c r="K2805" s="82"/>
      <c r="L2805" s="82"/>
      <c r="M2805" s="82"/>
      <c r="N2805" s="82"/>
      <c r="O2805" s="82"/>
      <c r="P2805" s="82"/>
      <c r="Q2805" s="82"/>
      <c r="R2805" s="82"/>
      <c r="S2805" s="82"/>
      <c r="T2805" s="82"/>
      <c r="U2805" s="82"/>
      <c r="V2805" s="82"/>
      <c r="W2805" s="82"/>
      <c r="X2805" s="82"/>
      <c r="Y2805" s="82"/>
      <c r="Z2805" s="82"/>
      <c r="AA2805" s="82"/>
      <c r="AB2805" s="82"/>
      <c r="AC2805" s="82"/>
      <c r="AD2805" s="82"/>
      <c r="AE2805" s="82"/>
      <c r="AF2805" s="82"/>
      <c r="AG2805" s="82"/>
      <c r="AH2805" s="82"/>
      <c r="AI2805" s="82"/>
      <c r="AJ2805" s="82"/>
      <c r="AK2805" s="82"/>
      <c r="AL2805" s="82"/>
      <c r="AM2805" s="82"/>
      <c r="AN2805" s="82"/>
      <c r="AO2805" s="82"/>
      <c r="AP2805" s="82"/>
      <c r="AQ2805" s="82"/>
      <c r="AR2805" s="82"/>
      <c r="AS2805" s="82"/>
      <c r="AT2805" s="82"/>
      <c r="AU2805" s="82"/>
      <c r="AV2805" s="82"/>
      <c r="AW2805" s="82" t="str">
        <f t="shared" si="1"/>
        <v/>
      </c>
      <c r="AX2805" s="83" t="str">
        <f t="array" ref="AX2805">IFERROR(DGET('SBV Import'!A:G,"SBV",{"RSC ID","Tier";B2805,A2805}))</f>
        <v/>
      </c>
      <c r="AY2805" s="82" t="str">
        <f t="shared" si="2"/>
        <v/>
      </c>
      <c r="AZ2805" s="82"/>
      <c r="BA2805" s="84" t="s">
        <v>152</v>
      </c>
      <c r="BB2805" s="84" t="str">
        <f>IFERROR(__xludf.DUMMYFUNCTION("iferror(if(A2805="""",,E2805&gt;=FILTER(Constants!$F$2:$F$10,Constants!$A$2:$A$10=A2805)))"),"")</f>
        <v/>
      </c>
    </row>
    <row r="2806">
      <c r="A2806" s="89"/>
      <c r="B2806" s="87"/>
      <c r="C2806" s="73"/>
      <c r="D2806" s="73"/>
      <c r="E2806" s="82"/>
      <c r="F2806" s="82"/>
      <c r="G2806" s="86"/>
      <c r="H2806" s="86"/>
      <c r="I2806" s="86"/>
      <c r="J2806" s="82"/>
      <c r="K2806" s="82"/>
      <c r="L2806" s="82"/>
      <c r="M2806" s="82"/>
      <c r="N2806" s="82"/>
      <c r="O2806" s="82"/>
      <c r="P2806" s="82"/>
      <c r="Q2806" s="82"/>
      <c r="R2806" s="82"/>
      <c r="S2806" s="82"/>
      <c r="T2806" s="82"/>
      <c r="U2806" s="82"/>
      <c r="V2806" s="82"/>
      <c r="W2806" s="82"/>
      <c r="X2806" s="82"/>
      <c r="Y2806" s="82"/>
      <c r="Z2806" s="82"/>
      <c r="AA2806" s="82"/>
      <c r="AB2806" s="82"/>
      <c r="AC2806" s="82"/>
      <c r="AD2806" s="82"/>
      <c r="AE2806" s="82"/>
      <c r="AF2806" s="82"/>
      <c r="AG2806" s="82"/>
      <c r="AH2806" s="82"/>
      <c r="AI2806" s="82"/>
      <c r="AJ2806" s="82"/>
      <c r="AK2806" s="82"/>
      <c r="AL2806" s="82"/>
      <c r="AM2806" s="82"/>
      <c r="AN2806" s="82"/>
      <c r="AO2806" s="82"/>
      <c r="AP2806" s="82"/>
      <c r="AQ2806" s="82"/>
      <c r="AR2806" s="82"/>
      <c r="AS2806" s="82"/>
      <c r="AT2806" s="82"/>
      <c r="AU2806" s="82"/>
      <c r="AV2806" s="82"/>
      <c r="AW2806" s="82" t="str">
        <f t="shared" si="1"/>
        <v/>
      </c>
      <c r="AX2806" s="83" t="str">
        <f t="array" ref="AX2806">IFERROR(DGET('SBV Import'!A:G,"SBV",{"RSC ID","Tier";B2806,A2806}))</f>
        <v/>
      </c>
      <c r="AY2806" s="82" t="str">
        <f t="shared" si="2"/>
        <v/>
      </c>
      <c r="AZ2806" s="82"/>
      <c r="BA2806" s="84" t="s">
        <v>152</v>
      </c>
      <c r="BB2806" s="84" t="str">
        <f>IFERROR(__xludf.DUMMYFUNCTION("iferror(if(A2806="""",,E2806&gt;=FILTER(Constants!$F$2:$F$10,Constants!$A$2:$A$10=A2806)))"),"")</f>
        <v/>
      </c>
    </row>
    <row r="2807">
      <c r="A2807" s="89"/>
      <c r="B2807" s="87"/>
      <c r="C2807" s="73"/>
      <c r="D2807" s="73"/>
      <c r="E2807" s="82"/>
      <c r="F2807" s="82"/>
      <c r="G2807" s="86"/>
      <c r="H2807" s="86"/>
      <c r="I2807" s="86"/>
      <c r="J2807" s="82"/>
      <c r="K2807" s="82"/>
      <c r="L2807" s="82"/>
      <c r="M2807" s="82"/>
      <c r="N2807" s="82"/>
      <c r="O2807" s="82"/>
      <c r="P2807" s="82"/>
      <c r="Q2807" s="82"/>
      <c r="R2807" s="82"/>
      <c r="S2807" s="82"/>
      <c r="T2807" s="82"/>
      <c r="U2807" s="82"/>
      <c r="V2807" s="82"/>
      <c r="W2807" s="82"/>
      <c r="X2807" s="82"/>
      <c r="Y2807" s="82"/>
      <c r="Z2807" s="82"/>
      <c r="AA2807" s="82"/>
      <c r="AB2807" s="82"/>
      <c r="AC2807" s="82"/>
      <c r="AD2807" s="82"/>
      <c r="AE2807" s="82"/>
      <c r="AF2807" s="82"/>
      <c r="AG2807" s="82"/>
      <c r="AH2807" s="82"/>
      <c r="AI2807" s="82"/>
      <c r="AJ2807" s="82"/>
      <c r="AK2807" s="82"/>
      <c r="AL2807" s="82"/>
      <c r="AM2807" s="82"/>
      <c r="AN2807" s="82"/>
      <c r="AO2807" s="82"/>
      <c r="AP2807" s="82"/>
      <c r="AQ2807" s="82"/>
      <c r="AR2807" s="82"/>
      <c r="AS2807" s="82"/>
      <c r="AT2807" s="82"/>
      <c r="AU2807" s="82"/>
      <c r="AV2807" s="82"/>
      <c r="AW2807" s="82" t="str">
        <f t="shared" si="1"/>
        <v/>
      </c>
      <c r="AX2807" s="83" t="str">
        <f t="array" ref="AX2807">IFERROR(DGET('SBV Import'!A:G,"SBV",{"RSC ID","Tier";B2807,A2807}))</f>
        <v/>
      </c>
      <c r="AY2807" s="82" t="str">
        <f t="shared" si="2"/>
        <v/>
      </c>
      <c r="AZ2807" s="82"/>
      <c r="BA2807" s="84" t="s">
        <v>152</v>
      </c>
      <c r="BB2807" s="84" t="str">
        <f>IFERROR(__xludf.DUMMYFUNCTION("iferror(if(A2807="""",,E2807&gt;=FILTER(Constants!$F$2:$F$10,Constants!$A$2:$A$10=A2807)))"),"")</f>
        <v/>
      </c>
    </row>
    <row r="2808">
      <c r="A2808" s="89"/>
      <c r="B2808" s="87"/>
      <c r="C2808" s="73"/>
      <c r="D2808" s="73"/>
      <c r="E2808" s="82"/>
      <c r="F2808" s="82"/>
      <c r="G2808" s="86"/>
      <c r="H2808" s="86"/>
      <c r="I2808" s="86"/>
      <c r="J2808" s="82"/>
      <c r="K2808" s="82"/>
      <c r="L2808" s="82"/>
      <c r="M2808" s="82"/>
      <c r="N2808" s="82"/>
      <c r="O2808" s="82"/>
      <c r="P2808" s="82"/>
      <c r="Q2808" s="82"/>
      <c r="R2808" s="82"/>
      <c r="S2808" s="82"/>
      <c r="T2808" s="82"/>
      <c r="U2808" s="82"/>
      <c r="V2808" s="82"/>
      <c r="W2808" s="82"/>
      <c r="X2808" s="82"/>
      <c r="Y2808" s="82"/>
      <c r="Z2808" s="82"/>
      <c r="AA2808" s="82"/>
      <c r="AB2808" s="82"/>
      <c r="AC2808" s="82"/>
      <c r="AD2808" s="82"/>
      <c r="AE2808" s="82"/>
      <c r="AF2808" s="82"/>
      <c r="AG2808" s="82"/>
      <c r="AH2808" s="82"/>
      <c r="AI2808" s="82"/>
      <c r="AJ2808" s="82"/>
      <c r="AK2808" s="82"/>
      <c r="AL2808" s="82"/>
      <c r="AM2808" s="82"/>
      <c r="AN2808" s="82"/>
      <c r="AO2808" s="82"/>
      <c r="AP2808" s="82"/>
      <c r="AQ2808" s="82"/>
      <c r="AR2808" s="82"/>
      <c r="AS2808" s="82"/>
      <c r="AT2808" s="82"/>
      <c r="AU2808" s="82"/>
      <c r="AV2808" s="82"/>
      <c r="AW2808" s="82" t="str">
        <f t="shared" si="1"/>
        <v/>
      </c>
      <c r="AX2808" s="83" t="str">
        <f t="array" ref="AX2808">IFERROR(DGET('SBV Import'!A:G,"SBV",{"RSC ID","Tier";B2808,A2808}))</f>
        <v/>
      </c>
      <c r="AY2808" s="82" t="str">
        <f t="shared" si="2"/>
        <v/>
      </c>
      <c r="AZ2808" s="82"/>
      <c r="BA2808" s="84" t="s">
        <v>152</v>
      </c>
      <c r="BB2808" s="84" t="str">
        <f>IFERROR(__xludf.DUMMYFUNCTION("iferror(if(A2808="""",,E2808&gt;=FILTER(Constants!$F$2:$F$10,Constants!$A$2:$A$10=A2808)))"),"")</f>
        <v/>
      </c>
    </row>
    <row r="2809">
      <c r="A2809" s="89"/>
      <c r="B2809" s="87"/>
      <c r="C2809" s="73"/>
      <c r="D2809" s="73"/>
      <c r="E2809" s="82"/>
      <c r="F2809" s="82"/>
      <c r="G2809" s="86"/>
      <c r="H2809" s="86"/>
      <c r="I2809" s="86"/>
      <c r="J2809" s="82"/>
      <c r="K2809" s="82"/>
      <c r="L2809" s="82"/>
      <c r="M2809" s="82"/>
      <c r="N2809" s="82"/>
      <c r="O2809" s="82"/>
      <c r="P2809" s="82"/>
      <c r="Q2809" s="82"/>
      <c r="R2809" s="82"/>
      <c r="S2809" s="82"/>
      <c r="T2809" s="82"/>
      <c r="U2809" s="82"/>
      <c r="V2809" s="82"/>
      <c r="W2809" s="82"/>
      <c r="X2809" s="82"/>
      <c r="Y2809" s="82"/>
      <c r="Z2809" s="82"/>
      <c r="AA2809" s="82"/>
      <c r="AB2809" s="82"/>
      <c r="AC2809" s="82"/>
      <c r="AD2809" s="82"/>
      <c r="AE2809" s="82"/>
      <c r="AF2809" s="82"/>
      <c r="AG2809" s="82"/>
      <c r="AH2809" s="82"/>
      <c r="AI2809" s="82"/>
      <c r="AJ2809" s="82"/>
      <c r="AK2809" s="82"/>
      <c r="AL2809" s="82"/>
      <c r="AM2809" s="82"/>
      <c r="AN2809" s="82"/>
      <c r="AO2809" s="82"/>
      <c r="AP2809" s="82"/>
      <c r="AQ2809" s="82"/>
      <c r="AR2809" s="82"/>
      <c r="AS2809" s="82"/>
      <c r="AT2809" s="82"/>
      <c r="AU2809" s="82"/>
      <c r="AV2809" s="82"/>
      <c r="AW2809" s="82" t="str">
        <f t="shared" si="1"/>
        <v/>
      </c>
      <c r="AX2809" s="83" t="str">
        <f t="array" ref="AX2809">IFERROR(DGET('SBV Import'!A:G,"SBV",{"RSC ID","Tier";B2809,A2809}))</f>
        <v/>
      </c>
      <c r="AY2809" s="82" t="str">
        <f t="shared" si="2"/>
        <v/>
      </c>
      <c r="AZ2809" s="82"/>
      <c r="BA2809" s="84" t="s">
        <v>152</v>
      </c>
      <c r="BB2809" s="84" t="str">
        <f>IFERROR(__xludf.DUMMYFUNCTION("iferror(if(A2809="""",,E2809&gt;=FILTER(Constants!$F$2:$F$10,Constants!$A$2:$A$10=A2809)))"),"")</f>
        <v/>
      </c>
    </row>
    <row r="2810">
      <c r="A2810" s="89"/>
      <c r="B2810" s="87"/>
      <c r="C2810" s="73"/>
      <c r="D2810" s="73"/>
      <c r="E2810" s="82"/>
      <c r="F2810" s="82"/>
      <c r="G2810" s="86"/>
      <c r="H2810" s="86"/>
      <c r="I2810" s="86"/>
      <c r="J2810" s="82"/>
      <c r="K2810" s="82"/>
      <c r="L2810" s="82"/>
      <c r="M2810" s="82"/>
      <c r="N2810" s="82"/>
      <c r="O2810" s="82"/>
      <c r="P2810" s="82"/>
      <c r="Q2810" s="82"/>
      <c r="R2810" s="82"/>
      <c r="S2810" s="82"/>
      <c r="T2810" s="82"/>
      <c r="U2810" s="82"/>
      <c r="V2810" s="82"/>
      <c r="W2810" s="82"/>
      <c r="X2810" s="82"/>
      <c r="Y2810" s="82"/>
      <c r="Z2810" s="82"/>
      <c r="AA2810" s="82"/>
      <c r="AB2810" s="82"/>
      <c r="AC2810" s="82"/>
      <c r="AD2810" s="82"/>
      <c r="AE2810" s="82"/>
      <c r="AF2810" s="82"/>
      <c r="AG2810" s="82"/>
      <c r="AH2810" s="82"/>
      <c r="AI2810" s="82"/>
      <c r="AJ2810" s="82"/>
      <c r="AK2810" s="82"/>
      <c r="AL2810" s="82"/>
      <c r="AM2810" s="82"/>
      <c r="AN2810" s="82"/>
      <c r="AO2810" s="82"/>
      <c r="AP2810" s="82"/>
      <c r="AQ2810" s="82"/>
      <c r="AR2810" s="82"/>
      <c r="AS2810" s="82"/>
      <c r="AT2810" s="82"/>
      <c r="AU2810" s="82"/>
      <c r="AV2810" s="82"/>
      <c r="AW2810" s="82" t="str">
        <f t="shared" si="1"/>
        <v/>
      </c>
      <c r="AX2810" s="83" t="str">
        <f t="array" ref="AX2810">IFERROR(DGET('SBV Import'!A:G,"SBV",{"RSC ID","Tier";B2810,A2810}))</f>
        <v/>
      </c>
      <c r="AY2810" s="82" t="str">
        <f t="shared" si="2"/>
        <v/>
      </c>
      <c r="AZ2810" s="82"/>
      <c r="BA2810" s="84" t="s">
        <v>152</v>
      </c>
      <c r="BB2810" s="84" t="str">
        <f>IFERROR(__xludf.DUMMYFUNCTION("iferror(if(A2810="""",,E2810&gt;=FILTER(Constants!$F$2:$F$10,Constants!$A$2:$A$10=A2810)))"),"")</f>
        <v/>
      </c>
    </row>
    <row r="2811">
      <c r="A2811" s="89"/>
      <c r="B2811" s="87"/>
      <c r="C2811" s="73"/>
      <c r="D2811" s="73"/>
      <c r="E2811" s="82"/>
      <c r="F2811" s="82"/>
      <c r="G2811" s="86"/>
      <c r="H2811" s="86"/>
      <c r="I2811" s="86"/>
      <c r="J2811" s="82"/>
      <c r="K2811" s="82"/>
      <c r="L2811" s="82"/>
      <c r="M2811" s="82"/>
      <c r="N2811" s="82"/>
      <c r="O2811" s="82"/>
      <c r="P2811" s="82"/>
      <c r="Q2811" s="82"/>
      <c r="R2811" s="82"/>
      <c r="S2811" s="82"/>
      <c r="T2811" s="82"/>
      <c r="U2811" s="82"/>
      <c r="V2811" s="82"/>
      <c r="W2811" s="82"/>
      <c r="X2811" s="82"/>
      <c r="Y2811" s="82"/>
      <c r="Z2811" s="82"/>
      <c r="AA2811" s="82"/>
      <c r="AB2811" s="82"/>
      <c r="AC2811" s="82"/>
      <c r="AD2811" s="82"/>
      <c r="AE2811" s="82"/>
      <c r="AF2811" s="82"/>
      <c r="AG2811" s="82"/>
      <c r="AH2811" s="82"/>
      <c r="AI2811" s="82"/>
      <c r="AJ2811" s="82"/>
      <c r="AK2811" s="82"/>
      <c r="AL2811" s="82"/>
      <c r="AM2811" s="82"/>
      <c r="AN2811" s="82"/>
      <c r="AO2811" s="82"/>
      <c r="AP2811" s="82"/>
      <c r="AQ2811" s="82"/>
      <c r="AR2811" s="82"/>
      <c r="AS2811" s="82"/>
      <c r="AT2811" s="82"/>
      <c r="AU2811" s="82"/>
      <c r="AV2811" s="82"/>
      <c r="AW2811" s="82" t="str">
        <f t="shared" si="1"/>
        <v/>
      </c>
      <c r="AX2811" s="83" t="str">
        <f t="array" ref="AX2811">IFERROR(DGET('SBV Import'!A:G,"SBV",{"RSC ID","Tier";B2811,A2811}))</f>
        <v/>
      </c>
      <c r="AY2811" s="82" t="str">
        <f t="shared" si="2"/>
        <v/>
      </c>
      <c r="AZ2811" s="82"/>
      <c r="BA2811" s="84" t="s">
        <v>152</v>
      </c>
      <c r="BB2811" s="84" t="str">
        <f>IFERROR(__xludf.DUMMYFUNCTION("iferror(if(A2811="""",,E2811&gt;=FILTER(Constants!$F$2:$F$10,Constants!$A$2:$A$10=A2811)))"),"")</f>
        <v/>
      </c>
    </row>
    <row r="2812">
      <c r="A2812" s="89"/>
      <c r="B2812" s="87"/>
      <c r="C2812" s="73"/>
      <c r="D2812" s="73"/>
      <c r="E2812" s="82"/>
      <c r="F2812" s="82"/>
      <c r="G2812" s="86"/>
      <c r="H2812" s="86"/>
      <c r="I2812" s="86"/>
      <c r="J2812" s="82"/>
      <c r="K2812" s="82"/>
      <c r="L2812" s="82"/>
      <c r="M2812" s="82"/>
      <c r="N2812" s="82"/>
      <c r="O2812" s="82"/>
      <c r="P2812" s="82"/>
      <c r="Q2812" s="82"/>
      <c r="R2812" s="82"/>
      <c r="S2812" s="82"/>
      <c r="T2812" s="82"/>
      <c r="U2812" s="82"/>
      <c r="V2812" s="82"/>
      <c r="W2812" s="82"/>
      <c r="X2812" s="82"/>
      <c r="Y2812" s="82"/>
      <c r="Z2812" s="82"/>
      <c r="AA2812" s="82"/>
      <c r="AB2812" s="82"/>
      <c r="AC2812" s="82"/>
      <c r="AD2812" s="82"/>
      <c r="AE2812" s="82"/>
      <c r="AF2812" s="82"/>
      <c r="AG2812" s="82"/>
      <c r="AH2812" s="82"/>
      <c r="AI2812" s="82"/>
      <c r="AJ2812" s="82"/>
      <c r="AK2812" s="82"/>
      <c r="AL2812" s="82"/>
      <c r="AM2812" s="82"/>
      <c r="AN2812" s="82"/>
      <c r="AO2812" s="82"/>
      <c r="AP2812" s="82"/>
      <c r="AQ2812" s="82"/>
      <c r="AR2812" s="82"/>
      <c r="AS2812" s="82"/>
      <c r="AT2812" s="82"/>
      <c r="AU2812" s="82"/>
      <c r="AV2812" s="82"/>
      <c r="AW2812" s="82" t="str">
        <f t="shared" si="1"/>
        <v/>
      </c>
      <c r="AX2812" s="83" t="str">
        <f t="array" ref="AX2812">IFERROR(DGET('SBV Import'!A:G,"SBV",{"RSC ID","Tier";B2812,A2812}))</f>
        <v/>
      </c>
      <c r="AY2812" s="82" t="str">
        <f t="shared" si="2"/>
        <v/>
      </c>
      <c r="AZ2812" s="82"/>
      <c r="BA2812" s="84" t="s">
        <v>152</v>
      </c>
      <c r="BB2812" s="84" t="str">
        <f>IFERROR(__xludf.DUMMYFUNCTION("iferror(if(A2812="""",,E2812&gt;=FILTER(Constants!$F$2:$F$10,Constants!$A$2:$A$10=A2812)))"),"")</f>
        <v/>
      </c>
    </row>
    <row r="2813">
      <c r="A2813" s="89"/>
      <c r="B2813" s="87"/>
      <c r="C2813" s="73"/>
      <c r="D2813" s="73"/>
      <c r="E2813" s="82"/>
      <c r="F2813" s="82"/>
      <c r="G2813" s="86"/>
      <c r="H2813" s="86"/>
      <c r="I2813" s="86"/>
      <c r="J2813" s="82"/>
      <c r="K2813" s="82"/>
      <c r="L2813" s="82"/>
      <c r="M2813" s="82"/>
      <c r="N2813" s="82"/>
      <c r="O2813" s="82"/>
      <c r="P2813" s="82"/>
      <c r="Q2813" s="82"/>
      <c r="R2813" s="82"/>
      <c r="S2813" s="82"/>
      <c r="T2813" s="82"/>
      <c r="U2813" s="82"/>
      <c r="V2813" s="82"/>
      <c r="W2813" s="82"/>
      <c r="X2813" s="82"/>
      <c r="Y2813" s="82"/>
      <c r="Z2813" s="82"/>
      <c r="AA2813" s="82"/>
      <c r="AB2813" s="82"/>
      <c r="AC2813" s="82"/>
      <c r="AD2813" s="82"/>
      <c r="AE2813" s="82"/>
      <c r="AF2813" s="82"/>
      <c r="AG2813" s="82"/>
      <c r="AH2813" s="82"/>
      <c r="AI2813" s="82"/>
      <c r="AJ2813" s="82"/>
      <c r="AK2813" s="82"/>
      <c r="AL2813" s="82"/>
      <c r="AM2813" s="82"/>
      <c r="AN2813" s="82"/>
      <c r="AO2813" s="82"/>
      <c r="AP2813" s="82"/>
      <c r="AQ2813" s="82"/>
      <c r="AR2813" s="82"/>
      <c r="AS2813" s="82"/>
      <c r="AT2813" s="82"/>
      <c r="AU2813" s="82"/>
      <c r="AV2813" s="82"/>
      <c r="AW2813" s="82" t="str">
        <f t="shared" si="1"/>
        <v/>
      </c>
      <c r="AX2813" s="83" t="str">
        <f t="array" ref="AX2813">IFERROR(DGET('SBV Import'!A:G,"SBV",{"RSC ID","Tier";B2813,A2813}))</f>
        <v/>
      </c>
      <c r="AY2813" s="82" t="str">
        <f t="shared" si="2"/>
        <v/>
      </c>
      <c r="AZ2813" s="82"/>
      <c r="BA2813" s="84" t="s">
        <v>152</v>
      </c>
      <c r="BB2813" s="84" t="str">
        <f>IFERROR(__xludf.DUMMYFUNCTION("iferror(if(A2813="""",,E2813&gt;=FILTER(Constants!$F$2:$F$10,Constants!$A$2:$A$10=A2813)))"),"")</f>
        <v/>
      </c>
    </row>
    <row r="2814">
      <c r="A2814" s="89"/>
      <c r="B2814" s="87"/>
      <c r="C2814" s="73"/>
      <c r="D2814" s="73"/>
      <c r="E2814" s="82"/>
      <c r="F2814" s="82"/>
      <c r="G2814" s="86"/>
      <c r="H2814" s="86"/>
      <c r="I2814" s="86"/>
      <c r="J2814" s="82"/>
      <c r="K2814" s="82"/>
      <c r="L2814" s="82"/>
      <c r="M2814" s="82"/>
      <c r="N2814" s="82"/>
      <c r="O2814" s="82"/>
      <c r="P2814" s="82"/>
      <c r="Q2814" s="82"/>
      <c r="R2814" s="82"/>
      <c r="S2814" s="82"/>
      <c r="T2814" s="82"/>
      <c r="U2814" s="82"/>
      <c r="V2814" s="82"/>
      <c r="W2814" s="82"/>
      <c r="X2814" s="82"/>
      <c r="Y2814" s="82"/>
      <c r="Z2814" s="82"/>
      <c r="AA2814" s="82"/>
      <c r="AB2814" s="82"/>
      <c r="AC2814" s="82"/>
      <c r="AD2814" s="82"/>
      <c r="AE2814" s="82"/>
      <c r="AF2814" s="82"/>
      <c r="AG2814" s="82"/>
      <c r="AH2814" s="82"/>
      <c r="AI2814" s="82"/>
      <c r="AJ2814" s="82"/>
      <c r="AK2814" s="82"/>
      <c r="AL2814" s="82"/>
      <c r="AM2814" s="82"/>
      <c r="AN2814" s="82"/>
      <c r="AO2814" s="82"/>
      <c r="AP2814" s="82"/>
      <c r="AQ2814" s="82"/>
      <c r="AR2814" s="82"/>
      <c r="AS2814" s="82"/>
      <c r="AT2814" s="82"/>
      <c r="AU2814" s="82"/>
      <c r="AV2814" s="82"/>
      <c r="AW2814" s="82" t="str">
        <f t="shared" si="1"/>
        <v/>
      </c>
      <c r="AX2814" s="83" t="str">
        <f t="array" ref="AX2814">IFERROR(DGET('SBV Import'!A:G,"SBV",{"RSC ID","Tier";B2814,A2814}))</f>
        <v/>
      </c>
      <c r="AY2814" s="82" t="str">
        <f t="shared" si="2"/>
        <v/>
      </c>
      <c r="AZ2814" s="82"/>
      <c r="BA2814" s="84" t="s">
        <v>152</v>
      </c>
      <c r="BB2814" s="84" t="str">
        <f>IFERROR(__xludf.DUMMYFUNCTION("iferror(if(A2814="""",,E2814&gt;=FILTER(Constants!$F$2:$F$10,Constants!$A$2:$A$10=A2814)))"),"")</f>
        <v/>
      </c>
    </row>
    <row r="2815">
      <c r="A2815" s="89"/>
      <c r="B2815" s="87"/>
      <c r="C2815" s="73"/>
      <c r="D2815" s="73"/>
      <c r="E2815" s="82"/>
      <c r="F2815" s="82"/>
      <c r="G2815" s="86"/>
      <c r="H2815" s="86"/>
      <c r="I2815" s="86"/>
      <c r="J2815" s="82"/>
      <c r="K2815" s="82"/>
      <c r="L2815" s="82"/>
      <c r="M2815" s="82"/>
      <c r="N2815" s="82"/>
      <c r="O2815" s="82"/>
      <c r="P2815" s="82"/>
      <c r="Q2815" s="82"/>
      <c r="R2815" s="82"/>
      <c r="S2815" s="82"/>
      <c r="T2815" s="82"/>
      <c r="U2815" s="82"/>
      <c r="V2815" s="82"/>
      <c r="W2815" s="82"/>
      <c r="X2815" s="82"/>
      <c r="Y2815" s="82"/>
      <c r="Z2815" s="82"/>
      <c r="AA2815" s="82"/>
      <c r="AB2815" s="82"/>
      <c r="AC2815" s="82"/>
      <c r="AD2815" s="82"/>
      <c r="AE2815" s="82"/>
      <c r="AF2815" s="82"/>
      <c r="AG2815" s="82"/>
      <c r="AH2815" s="82"/>
      <c r="AI2815" s="82"/>
      <c r="AJ2815" s="82"/>
      <c r="AK2815" s="82"/>
      <c r="AL2815" s="82"/>
      <c r="AM2815" s="82"/>
      <c r="AN2815" s="82"/>
      <c r="AO2815" s="82"/>
      <c r="AP2815" s="82"/>
      <c r="AQ2815" s="82"/>
      <c r="AR2815" s="82"/>
      <c r="AS2815" s="82"/>
      <c r="AT2815" s="82"/>
      <c r="AU2815" s="82"/>
      <c r="AV2815" s="82"/>
      <c r="AW2815" s="82" t="str">
        <f t="shared" si="1"/>
        <v/>
      </c>
      <c r="AX2815" s="83" t="str">
        <f t="array" ref="AX2815">IFERROR(DGET('SBV Import'!A:G,"SBV",{"RSC ID","Tier";B2815,A2815}))</f>
        <v/>
      </c>
      <c r="AY2815" s="82" t="str">
        <f t="shared" si="2"/>
        <v/>
      </c>
      <c r="AZ2815" s="82"/>
      <c r="BA2815" s="84" t="s">
        <v>152</v>
      </c>
      <c r="BB2815" s="84" t="str">
        <f>IFERROR(__xludf.DUMMYFUNCTION("iferror(if(A2815="""",,E2815&gt;=FILTER(Constants!$F$2:$F$10,Constants!$A$2:$A$10=A2815)))"),"")</f>
        <v/>
      </c>
    </row>
    <row r="2816">
      <c r="A2816" s="89"/>
      <c r="B2816" s="87"/>
      <c r="C2816" s="73"/>
      <c r="D2816" s="73"/>
      <c r="E2816" s="82"/>
      <c r="F2816" s="82"/>
      <c r="G2816" s="86"/>
      <c r="H2816" s="86"/>
      <c r="I2816" s="86"/>
      <c r="J2816" s="82"/>
      <c r="K2816" s="82"/>
      <c r="L2816" s="82"/>
      <c r="M2816" s="82"/>
      <c r="N2816" s="82"/>
      <c r="O2816" s="82"/>
      <c r="P2816" s="82"/>
      <c r="Q2816" s="82"/>
      <c r="R2816" s="82"/>
      <c r="S2816" s="82"/>
      <c r="T2816" s="82"/>
      <c r="U2816" s="82"/>
      <c r="V2816" s="82"/>
      <c r="W2816" s="82"/>
      <c r="X2816" s="82"/>
      <c r="Y2816" s="82"/>
      <c r="Z2816" s="82"/>
      <c r="AA2816" s="82"/>
      <c r="AB2816" s="82"/>
      <c r="AC2816" s="82"/>
      <c r="AD2816" s="82"/>
      <c r="AE2816" s="82"/>
      <c r="AF2816" s="82"/>
      <c r="AG2816" s="82"/>
      <c r="AH2816" s="82"/>
      <c r="AI2816" s="82"/>
      <c r="AJ2816" s="82"/>
      <c r="AK2816" s="82"/>
      <c r="AL2816" s="82"/>
      <c r="AM2816" s="82"/>
      <c r="AN2816" s="82"/>
      <c r="AO2816" s="82"/>
      <c r="AP2816" s="82"/>
      <c r="AQ2816" s="82"/>
      <c r="AR2816" s="82"/>
      <c r="AS2816" s="82"/>
      <c r="AT2816" s="82"/>
      <c r="AU2816" s="82"/>
      <c r="AV2816" s="82"/>
      <c r="AW2816" s="82" t="str">
        <f t="shared" si="1"/>
        <v/>
      </c>
      <c r="AX2816" s="83" t="str">
        <f t="array" ref="AX2816">IFERROR(DGET('SBV Import'!A:G,"SBV",{"RSC ID","Tier";B2816,A2816}))</f>
        <v/>
      </c>
      <c r="AY2816" s="82" t="str">
        <f t="shared" si="2"/>
        <v/>
      </c>
      <c r="AZ2816" s="82"/>
      <c r="BA2816" s="84" t="s">
        <v>152</v>
      </c>
      <c r="BB2816" s="84" t="str">
        <f>IFERROR(__xludf.DUMMYFUNCTION("iferror(if(A2816="""",,E2816&gt;=FILTER(Constants!$F$2:$F$10,Constants!$A$2:$A$10=A2816)))"),"")</f>
        <v/>
      </c>
    </row>
    <row r="2817">
      <c r="A2817" s="89"/>
      <c r="B2817" s="87"/>
      <c r="C2817" s="73"/>
      <c r="D2817" s="73"/>
      <c r="E2817" s="82"/>
      <c r="F2817" s="82"/>
      <c r="G2817" s="86"/>
      <c r="H2817" s="86"/>
      <c r="I2817" s="86"/>
      <c r="J2817" s="82"/>
      <c r="K2817" s="82"/>
      <c r="L2817" s="82"/>
      <c r="M2817" s="82"/>
      <c r="N2817" s="82"/>
      <c r="O2817" s="82"/>
      <c r="P2817" s="82"/>
      <c r="Q2817" s="82"/>
      <c r="R2817" s="82"/>
      <c r="S2817" s="82"/>
      <c r="T2817" s="82"/>
      <c r="U2817" s="82"/>
      <c r="V2817" s="82"/>
      <c r="W2817" s="82"/>
      <c r="X2817" s="82"/>
      <c r="Y2817" s="82"/>
      <c r="Z2817" s="82"/>
      <c r="AA2817" s="82"/>
      <c r="AB2817" s="82"/>
      <c r="AC2817" s="82"/>
      <c r="AD2817" s="82"/>
      <c r="AE2817" s="82"/>
      <c r="AF2817" s="82"/>
      <c r="AG2817" s="82"/>
      <c r="AH2817" s="82"/>
      <c r="AI2817" s="82"/>
      <c r="AJ2817" s="82"/>
      <c r="AK2817" s="82"/>
      <c r="AL2817" s="82"/>
      <c r="AM2817" s="82"/>
      <c r="AN2817" s="82"/>
      <c r="AO2817" s="82"/>
      <c r="AP2817" s="82"/>
      <c r="AQ2817" s="82"/>
      <c r="AR2817" s="82"/>
      <c r="AS2817" s="82"/>
      <c r="AT2817" s="82"/>
      <c r="AU2817" s="82"/>
      <c r="AV2817" s="82"/>
      <c r="AW2817" s="82" t="str">
        <f t="shared" si="1"/>
        <v/>
      </c>
      <c r="AX2817" s="83" t="str">
        <f t="array" ref="AX2817">IFERROR(DGET('SBV Import'!A:G,"SBV",{"RSC ID","Tier";B2817,A2817}))</f>
        <v/>
      </c>
      <c r="AY2817" s="82" t="str">
        <f t="shared" si="2"/>
        <v/>
      </c>
      <c r="AZ2817" s="82"/>
      <c r="BA2817" s="84" t="s">
        <v>152</v>
      </c>
      <c r="BB2817" s="84" t="str">
        <f>IFERROR(__xludf.DUMMYFUNCTION("iferror(if(A2817="""",,E2817&gt;=FILTER(Constants!$F$2:$F$10,Constants!$A$2:$A$10=A2817)))"),"")</f>
        <v/>
      </c>
    </row>
    <row r="2818">
      <c r="A2818" s="89"/>
      <c r="B2818" s="87"/>
      <c r="C2818" s="73"/>
      <c r="D2818" s="73"/>
      <c r="E2818" s="82"/>
      <c r="F2818" s="82"/>
      <c r="G2818" s="86"/>
      <c r="H2818" s="86"/>
      <c r="I2818" s="86"/>
      <c r="J2818" s="82"/>
      <c r="K2818" s="82"/>
      <c r="L2818" s="82"/>
      <c r="M2818" s="82"/>
      <c r="N2818" s="82"/>
      <c r="O2818" s="82"/>
      <c r="P2818" s="82"/>
      <c r="Q2818" s="82"/>
      <c r="R2818" s="82"/>
      <c r="S2818" s="82"/>
      <c r="T2818" s="82"/>
      <c r="U2818" s="82"/>
      <c r="V2818" s="82"/>
      <c r="W2818" s="82"/>
      <c r="X2818" s="82"/>
      <c r="Y2818" s="82"/>
      <c r="Z2818" s="82"/>
      <c r="AA2818" s="82"/>
      <c r="AB2818" s="82"/>
      <c r="AC2818" s="82"/>
      <c r="AD2818" s="82"/>
      <c r="AE2818" s="82"/>
      <c r="AF2818" s="82"/>
      <c r="AG2818" s="82"/>
      <c r="AH2818" s="82"/>
      <c r="AI2818" s="82"/>
      <c r="AJ2818" s="82"/>
      <c r="AK2818" s="82"/>
      <c r="AL2818" s="82"/>
      <c r="AM2818" s="82"/>
      <c r="AN2818" s="82"/>
      <c r="AO2818" s="82"/>
      <c r="AP2818" s="82"/>
      <c r="AQ2818" s="82"/>
      <c r="AR2818" s="82"/>
      <c r="AS2818" s="82"/>
      <c r="AT2818" s="82"/>
      <c r="AU2818" s="82"/>
      <c r="AV2818" s="82"/>
      <c r="AW2818" s="82" t="str">
        <f t="shared" si="1"/>
        <v/>
      </c>
      <c r="AX2818" s="83" t="str">
        <f t="array" ref="AX2818">IFERROR(DGET('SBV Import'!A:G,"SBV",{"RSC ID","Tier";B2818,A2818}))</f>
        <v/>
      </c>
      <c r="AY2818" s="82" t="str">
        <f t="shared" si="2"/>
        <v/>
      </c>
      <c r="AZ2818" s="82"/>
      <c r="BA2818" s="84" t="s">
        <v>152</v>
      </c>
      <c r="BB2818" s="84" t="str">
        <f>IFERROR(__xludf.DUMMYFUNCTION("iferror(if(A2818="""",,E2818&gt;=FILTER(Constants!$F$2:$F$10,Constants!$A$2:$A$10=A2818)))"),"")</f>
        <v/>
      </c>
    </row>
    <row r="2819">
      <c r="A2819" s="89"/>
      <c r="B2819" s="87"/>
      <c r="C2819" s="73"/>
      <c r="D2819" s="73"/>
      <c r="E2819" s="82"/>
      <c r="F2819" s="82"/>
      <c r="G2819" s="86"/>
      <c r="H2819" s="86"/>
      <c r="I2819" s="86"/>
      <c r="J2819" s="82"/>
      <c r="K2819" s="82"/>
      <c r="L2819" s="82"/>
      <c r="M2819" s="82"/>
      <c r="N2819" s="82"/>
      <c r="O2819" s="82"/>
      <c r="P2819" s="82"/>
      <c r="Q2819" s="82"/>
      <c r="R2819" s="82"/>
      <c r="S2819" s="82"/>
      <c r="T2819" s="82"/>
      <c r="U2819" s="82"/>
      <c r="V2819" s="82"/>
      <c r="W2819" s="82"/>
      <c r="X2819" s="82"/>
      <c r="Y2819" s="82"/>
      <c r="Z2819" s="82"/>
      <c r="AA2819" s="82"/>
      <c r="AB2819" s="82"/>
      <c r="AC2819" s="82"/>
      <c r="AD2819" s="82"/>
      <c r="AE2819" s="82"/>
      <c r="AF2819" s="82"/>
      <c r="AG2819" s="82"/>
      <c r="AH2819" s="82"/>
      <c r="AI2819" s="82"/>
      <c r="AJ2819" s="82"/>
      <c r="AK2819" s="82"/>
      <c r="AL2819" s="82"/>
      <c r="AM2819" s="82"/>
      <c r="AN2819" s="82"/>
      <c r="AO2819" s="82"/>
      <c r="AP2819" s="82"/>
      <c r="AQ2819" s="82"/>
      <c r="AR2819" s="82"/>
      <c r="AS2819" s="82"/>
      <c r="AT2819" s="82"/>
      <c r="AU2819" s="82"/>
      <c r="AV2819" s="82"/>
      <c r="AW2819" s="82" t="str">
        <f t="shared" si="1"/>
        <v/>
      </c>
      <c r="AX2819" s="83" t="str">
        <f t="array" ref="AX2819">IFERROR(DGET('SBV Import'!A:G,"SBV",{"RSC ID","Tier";B2819,A2819}))</f>
        <v/>
      </c>
      <c r="AY2819" s="82" t="str">
        <f t="shared" si="2"/>
        <v/>
      </c>
      <c r="AZ2819" s="82"/>
      <c r="BA2819" s="84" t="s">
        <v>152</v>
      </c>
      <c r="BB2819" s="84" t="str">
        <f>IFERROR(__xludf.DUMMYFUNCTION("iferror(if(A2819="""",,E2819&gt;=FILTER(Constants!$F$2:$F$10,Constants!$A$2:$A$10=A2819)))"),"")</f>
        <v/>
      </c>
    </row>
    <row r="2820">
      <c r="A2820" s="89"/>
      <c r="B2820" s="87"/>
      <c r="C2820" s="73"/>
      <c r="D2820" s="73"/>
      <c r="E2820" s="82"/>
      <c r="F2820" s="82"/>
      <c r="G2820" s="86"/>
      <c r="H2820" s="86"/>
      <c r="I2820" s="86"/>
      <c r="J2820" s="82"/>
      <c r="K2820" s="82"/>
      <c r="L2820" s="82"/>
      <c r="M2820" s="82"/>
      <c r="N2820" s="82"/>
      <c r="O2820" s="82"/>
      <c r="P2820" s="82"/>
      <c r="Q2820" s="82"/>
      <c r="R2820" s="82"/>
      <c r="S2820" s="82"/>
      <c r="T2820" s="82"/>
      <c r="U2820" s="82"/>
      <c r="V2820" s="82"/>
      <c r="W2820" s="82"/>
      <c r="X2820" s="82"/>
      <c r="Y2820" s="82"/>
      <c r="Z2820" s="82"/>
      <c r="AA2820" s="82"/>
      <c r="AB2820" s="82"/>
      <c r="AC2820" s="82"/>
      <c r="AD2820" s="82"/>
      <c r="AE2820" s="82"/>
      <c r="AF2820" s="82"/>
      <c r="AG2820" s="82"/>
      <c r="AH2820" s="82"/>
      <c r="AI2820" s="82"/>
      <c r="AJ2820" s="82"/>
      <c r="AK2820" s="82"/>
      <c r="AL2820" s="82"/>
      <c r="AM2820" s="82"/>
      <c r="AN2820" s="82"/>
      <c r="AO2820" s="82"/>
      <c r="AP2820" s="82"/>
      <c r="AQ2820" s="82"/>
      <c r="AR2820" s="82"/>
      <c r="AS2820" s="82"/>
      <c r="AT2820" s="82"/>
      <c r="AU2820" s="82"/>
      <c r="AV2820" s="82"/>
      <c r="AW2820" s="82" t="str">
        <f t="shared" si="1"/>
        <v/>
      </c>
      <c r="AX2820" s="83" t="str">
        <f t="array" ref="AX2820">IFERROR(DGET('SBV Import'!A:G,"SBV",{"RSC ID","Tier";B2820,A2820}))</f>
        <v/>
      </c>
      <c r="AY2820" s="82" t="str">
        <f t="shared" si="2"/>
        <v/>
      </c>
      <c r="AZ2820" s="82"/>
      <c r="BA2820" s="84" t="s">
        <v>152</v>
      </c>
      <c r="BB2820" s="84" t="str">
        <f>IFERROR(__xludf.DUMMYFUNCTION("iferror(if(A2820="""",,E2820&gt;=FILTER(Constants!$F$2:$F$10,Constants!$A$2:$A$10=A2820)))"),"")</f>
        <v/>
      </c>
    </row>
    <row r="2821">
      <c r="A2821" s="89"/>
      <c r="B2821" s="87"/>
      <c r="C2821" s="73"/>
      <c r="D2821" s="73"/>
      <c r="E2821" s="82"/>
      <c r="F2821" s="82"/>
      <c r="G2821" s="86"/>
      <c r="H2821" s="86"/>
      <c r="I2821" s="86"/>
      <c r="J2821" s="82"/>
      <c r="K2821" s="82"/>
      <c r="L2821" s="82"/>
      <c r="M2821" s="82"/>
      <c r="N2821" s="82"/>
      <c r="O2821" s="82"/>
      <c r="P2821" s="82"/>
      <c r="Q2821" s="82"/>
      <c r="R2821" s="82"/>
      <c r="S2821" s="82"/>
      <c r="T2821" s="82"/>
      <c r="U2821" s="82"/>
      <c r="V2821" s="82"/>
      <c r="W2821" s="82"/>
      <c r="X2821" s="82"/>
      <c r="Y2821" s="82"/>
      <c r="Z2821" s="82"/>
      <c r="AA2821" s="82"/>
      <c r="AB2821" s="82"/>
      <c r="AC2821" s="82"/>
      <c r="AD2821" s="82"/>
      <c r="AE2821" s="82"/>
      <c r="AF2821" s="82"/>
      <c r="AG2821" s="82"/>
      <c r="AH2821" s="82"/>
      <c r="AI2821" s="82"/>
      <c r="AJ2821" s="82"/>
      <c r="AK2821" s="82"/>
      <c r="AL2821" s="82"/>
      <c r="AM2821" s="82"/>
      <c r="AN2821" s="82"/>
      <c r="AO2821" s="82"/>
      <c r="AP2821" s="82"/>
      <c r="AQ2821" s="82"/>
      <c r="AR2821" s="82"/>
      <c r="AS2821" s="82"/>
      <c r="AT2821" s="82"/>
      <c r="AU2821" s="82"/>
      <c r="AV2821" s="82"/>
      <c r="AW2821" s="82" t="str">
        <f t="shared" si="1"/>
        <v/>
      </c>
      <c r="AX2821" s="83" t="str">
        <f t="array" ref="AX2821">IFERROR(DGET('SBV Import'!A:G,"SBV",{"RSC ID","Tier";B2821,A2821}))</f>
        <v/>
      </c>
      <c r="AY2821" s="82" t="str">
        <f t="shared" si="2"/>
        <v/>
      </c>
      <c r="AZ2821" s="82"/>
      <c r="BA2821" s="84" t="s">
        <v>152</v>
      </c>
      <c r="BB2821" s="84" t="str">
        <f>IFERROR(__xludf.DUMMYFUNCTION("iferror(if(A2821="""",,E2821&gt;=FILTER(Constants!$F$2:$F$10,Constants!$A$2:$A$10=A2821)))"),"")</f>
        <v/>
      </c>
    </row>
    <row r="2822">
      <c r="A2822" s="89"/>
      <c r="B2822" s="87"/>
      <c r="C2822" s="73"/>
      <c r="D2822" s="73"/>
      <c r="E2822" s="82"/>
      <c r="F2822" s="82"/>
      <c r="G2822" s="86"/>
      <c r="H2822" s="86"/>
      <c r="I2822" s="86"/>
      <c r="J2822" s="82"/>
      <c r="K2822" s="82"/>
      <c r="L2822" s="82"/>
      <c r="M2822" s="82"/>
      <c r="N2822" s="82"/>
      <c r="O2822" s="82"/>
      <c r="P2822" s="82"/>
      <c r="Q2822" s="82"/>
      <c r="R2822" s="82"/>
      <c r="S2822" s="82"/>
      <c r="T2822" s="82"/>
      <c r="U2822" s="82"/>
      <c r="V2822" s="82"/>
      <c r="W2822" s="82"/>
      <c r="X2822" s="82"/>
      <c r="Y2822" s="82"/>
      <c r="Z2822" s="82"/>
      <c r="AA2822" s="82"/>
      <c r="AB2822" s="82"/>
      <c r="AC2822" s="82"/>
      <c r="AD2822" s="82"/>
      <c r="AE2822" s="82"/>
      <c r="AF2822" s="82"/>
      <c r="AG2822" s="82"/>
      <c r="AH2822" s="82"/>
      <c r="AI2822" s="82"/>
      <c r="AJ2822" s="82"/>
      <c r="AK2822" s="82"/>
      <c r="AL2822" s="82"/>
      <c r="AM2822" s="82"/>
      <c r="AN2822" s="82"/>
      <c r="AO2822" s="82"/>
      <c r="AP2822" s="82"/>
      <c r="AQ2822" s="82"/>
      <c r="AR2822" s="82"/>
      <c r="AS2822" s="82"/>
      <c r="AT2822" s="82"/>
      <c r="AU2822" s="82"/>
      <c r="AV2822" s="82"/>
      <c r="AW2822" s="82" t="str">
        <f t="shared" si="1"/>
        <v/>
      </c>
      <c r="AX2822" s="83" t="str">
        <f t="array" ref="AX2822">IFERROR(DGET('SBV Import'!A:G,"SBV",{"RSC ID","Tier";B2822,A2822}))</f>
        <v/>
      </c>
      <c r="AY2822" s="82" t="str">
        <f t="shared" si="2"/>
        <v/>
      </c>
      <c r="AZ2822" s="82"/>
      <c r="BA2822" s="84" t="s">
        <v>152</v>
      </c>
      <c r="BB2822" s="84" t="str">
        <f>IFERROR(__xludf.DUMMYFUNCTION("iferror(if(A2822="""",,E2822&gt;=FILTER(Constants!$F$2:$F$10,Constants!$A$2:$A$10=A2822)))"),"")</f>
        <v/>
      </c>
    </row>
    <row r="2823">
      <c r="A2823" s="89"/>
      <c r="B2823" s="87"/>
      <c r="C2823" s="73"/>
      <c r="D2823" s="73"/>
      <c r="E2823" s="82"/>
      <c r="F2823" s="82"/>
      <c r="G2823" s="86"/>
      <c r="H2823" s="86"/>
      <c r="I2823" s="86"/>
      <c r="J2823" s="82"/>
      <c r="K2823" s="82"/>
      <c r="L2823" s="82"/>
      <c r="M2823" s="82"/>
      <c r="N2823" s="82"/>
      <c r="O2823" s="82"/>
      <c r="P2823" s="82"/>
      <c r="Q2823" s="82"/>
      <c r="R2823" s="82"/>
      <c r="S2823" s="82"/>
      <c r="T2823" s="82"/>
      <c r="U2823" s="82"/>
      <c r="V2823" s="82"/>
      <c r="W2823" s="82"/>
      <c r="X2823" s="82"/>
      <c r="Y2823" s="82"/>
      <c r="Z2823" s="82"/>
      <c r="AA2823" s="82"/>
      <c r="AB2823" s="82"/>
      <c r="AC2823" s="82"/>
      <c r="AD2823" s="82"/>
      <c r="AE2823" s="82"/>
      <c r="AF2823" s="82"/>
      <c r="AG2823" s="82"/>
      <c r="AH2823" s="82"/>
      <c r="AI2823" s="82"/>
      <c r="AJ2823" s="82"/>
      <c r="AK2823" s="82"/>
      <c r="AL2823" s="82"/>
      <c r="AM2823" s="82"/>
      <c r="AN2823" s="82"/>
      <c r="AO2823" s="82"/>
      <c r="AP2823" s="82"/>
      <c r="AQ2823" s="82"/>
      <c r="AR2823" s="82"/>
      <c r="AS2823" s="82"/>
      <c r="AT2823" s="82"/>
      <c r="AU2823" s="82"/>
      <c r="AV2823" s="82"/>
      <c r="AW2823" s="82" t="str">
        <f t="shared" si="1"/>
        <v/>
      </c>
      <c r="AX2823" s="83" t="str">
        <f t="array" ref="AX2823">IFERROR(DGET('SBV Import'!A:G,"SBV",{"RSC ID","Tier";B2823,A2823}))</f>
        <v/>
      </c>
      <c r="AY2823" s="82" t="str">
        <f t="shared" si="2"/>
        <v/>
      </c>
      <c r="AZ2823" s="82"/>
      <c r="BA2823" s="84" t="s">
        <v>152</v>
      </c>
      <c r="BB2823" s="84" t="str">
        <f>IFERROR(__xludf.DUMMYFUNCTION("iferror(if(A2823="""",,E2823&gt;=FILTER(Constants!$F$2:$F$10,Constants!$A$2:$A$10=A2823)))"),"")</f>
        <v/>
      </c>
    </row>
    <row r="2824">
      <c r="A2824" s="89"/>
      <c r="B2824" s="87"/>
      <c r="C2824" s="73"/>
      <c r="D2824" s="73"/>
      <c r="E2824" s="82"/>
      <c r="F2824" s="82"/>
      <c r="G2824" s="86"/>
      <c r="H2824" s="86"/>
      <c r="I2824" s="86"/>
      <c r="J2824" s="82"/>
      <c r="K2824" s="82"/>
      <c r="L2824" s="82"/>
      <c r="M2824" s="82"/>
      <c r="N2824" s="82"/>
      <c r="O2824" s="82"/>
      <c r="P2824" s="82"/>
      <c r="Q2824" s="82"/>
      <c r="R2824" s="82"/>
      <c r="S2824" s="82"/>
      <c r="T2824" s="82"/>
      <c r="U2824" s="82"/>
      <c r="V2824" s="82"/>
      <c r="W2824" s="82"/>
      <c r="X2824" s="82"/>
      <c r="Y2824" s="82"/>
      <c r="Z2824" s="82"/>
      <c r="AA2824" s="82"/>
      <c r="AB2824" s="82"/>
      <c r="AC2824" s="82"/>
      <c r="AD2824" s="82"/>
      <c r="AE2824" s="82"/>
      <c r="AF2824" s="82"/>
      <c r="AG2824" s="82"/>
      <c r="AH2824" s="82"/>
      <c r="AI2824" s="82"/>
      <c r="AJ2824" s="82"/>
      <c r="AK2824" s="82"/>
      <c r="AL2824" s="82"/>
      <c r="AM2824" s="82"/>
      <c r="AN2824" s="82"/>
      <c r="AO2824" s="82"/>
      <c r="AP2824" s="82"/>
      <c r="AQ2824" s="82"/>
      <c r="AR2824" s="82"/>
      <c r="AS2824" s="82"/>
      <c r="AT2824" s="82"/>
      <c r="AU2824" s="82"/>
      <c r="AV2824" s="82"/>
      <c r="AW2824" s="82" t="str">
        <f t="shared" si="1"/>
        <v/>
      </c>
      <c r="AX2824" s="83" t="str">
        <f t="array" ref="AX2824">IFERROR(DGET('SBV Import'!A:G,"SBV",{"RSC ID","Tier";B2824,A2824}))</f>
        <v/>
      </c>
      <c r="AY2824" s="82" t="str">
        <f t="shared" si="2"/>
        <v/>
      </c>
      <c r="AZ2824" s="82"/>
      <c r="BA2824" s="84" t="s">
        <v>152</v>
      </c>
      <c r="BB2824" s="84" t="str">
        <f>IFERROR(__xludf.DUMMYFUNCTION("iferror(if(A2824="""",,E2824&gt;=FILTER(Constants!$F$2:$F$10,Constants!$A$2:$A$10=A2824)))"),"")</f>
        <v/>
      </c>
    </row>
    <row r="2825">
      <c r="A2825" s="89"/>
      <c r="B2825" s="87"/>
      <c r="C2825" s="73"/>
      <c r="D2825" s="73"/>
      <c r="E2825" s="82"/>
      <c r="F2825" s="82"/>
      <c r="G2825" s="86"/>
      <c r="H2825" s="86"/>
      <c r="I2825" s="86"/>
      <c r="J2825" s="82"/>
      <c r="K2825" s="82"/>
      <c r="L2825" s="82"/>
      <c r="M2825" s="82"/>
      <c r="N2825" s="82"/>
      <c r="O2825" s="82"/>
      <c r="P2825" s="82"/>
      <c r="Q2825" s="82"/>
      <c r="R2825" s="82"/>
      <c r="S2825" s="82"/>
      <c r="T2825" s="82"/>
      <c r="U2825" s="82"/>
      <c r="V2825" s="82"/>
      <c r="W2825" s="82"/>
      <c r="X2825" s="82"/>
      <c r="Y2825" s="82"/>
      <c r="Z2825" s="82"/>
      <c r="AA2825" s="82"/>
      <c r="AB2825" s="82"/>
      <c r="AC2825" s="82"/>
      <c r="AD2825" s="82"/>
      <c r="AE2825" s="82"/>
      <c r="AF2825" s="82"/>
      <c r="AG2825" s="82"/>
      <c r="AH2825" s="82"/>
      <c r="AI2825" s="82"/>
      <c r="AJ2825" s="82"/>
      <c r="AK2825" s="82"/>
      <c r="AL2825" s="82"/>
      <c r="AM2825" s="82"/>
      <c r="AN2825" s="82"/>
      <c r="AO2825" s="82"/>
      <c r="AP2825" s="82"/>
      <c r="AQ2825" s="82"/>
      <c r="AR2825" s="82"/>
      <c r="AS2825" s="82"/>
      <c r="AT2825" s="82"/>
      <c r="AU2825" s="82"/>
      <c r="AV2825" s="82"/>
      <c r="AW2825" s="82" t="str">
        <f t="shared" si="1"/>
        <v/>
      </c>
      <c r="AX2825" s="83" t="str">
        <f t="array" ref="AX2825">IFERROR(DGET('SBV Import'!A:G,"SBV",{"RSC ID","Tier";B2825,A2825}))</f>
        <v/>
      </c>
      <c r="AY2825" s="82" t="str">
        <f t="shared" si="2"/>
        <v/>
      </c>
      <c r="AZ2825" s="82"/>
      <c r="BA2825" s="84" t="s">
        <v>152</v>
      </c>
      <c r="BB2825" s="84" t="str">
        <f>IFERROR(__xludf.DUMMYFUNCTION("iferror(if(A2825="""",,E2825&gt;=FILTER(Constants!$F$2:$F$10,Constants!$A$2:$A$10=A2825)))"),"")</f>
        <v/>
      </c>
    </row>
    <row r="2826">
      <c r="A2826" s="89"/>
      <c r="B2826" s="87"/>
      <c r="C2826" s="73"/>
      <c r="D2826" s="73"/>
      <c r="E2826" s="82"/>
      <c r="F2826" s="82"/>
      <c r="G2826" s="86"/>
      <c r="H2826" s="86"/>
      <c r="I2826" s="86"/>
      <c r="J2826" s="82"/>
      <c r="K2826" s="82"/>
      <c r="L2826" s="82"/>
      <c r="M2826" s="82"/>
      <c r="N2826" s="82"/>
      <c r="O2826" s="82"/>
      <c r="P2826" s="82"/>
      <c r="Q2826" s="82"/>
      <c r="R2826" s="82"/>
      <c r="S2826" s="82"/>
      <c r="T2826" s="82"/>
      <c r="U2826" s="82"/>
      <c r="V2826" s="82"/>
      <c r="W2826" s="82"/>
      <c r="X2826" s="82"/>
      <c r="Y2826" s="82"/>
      <c r="Z2826" s="82"/>
      <c r="AA2826" s="82"/>
      <c r="AB2826" s="82"/>
      <c r="AC2826" s="82"/>
      <c r="AD2826" s="82"/>
      <c r="AE2826" s="82"/>
      <c r="AF2826" s="82"/>
      <c r="AG2826" s="82"/>
      <c r="AH2826" s="82"/>
      <c r="AI2826" s="82"/>
      <c r="AJ2826" s="82"/>
      <c r="AK2826" s="82"/>
      <c r="AL2826" s="82"/>
      <c r="AM2826" s="82"/>
      <c r="AN2826" s="82"/>
      <c r="AO2826" s="82"/>
      <c r="AP2826" s="82"/>
      <c r="AQ2826" s="82"/>
      <c r="AR2826" s="82"/>
      <c r="AS2826" s="82"/>
      <c r="AT2826" s="82"/>
      <c r="AU2826" s="82"/>
      <c r="AV2826" s="82"/>
      <c r="AW2826" s="82" t="str">
        <f t="shared" si="1"/>
        <v/>
      </c>
      <c r="AX2826" s="83" t="str">
        <f t="array" ref="AX2826">IFERROR(DGET('SBV Import'!A:G,"SBV",{"RSC ID","Tier";B2826,A2826}))</f>
        <v/>
      </c>
      <c r="AY2826" s="82" t="str">
        <f t="shared" si="2"/>
        <v/>
      </c>
      <c r="AZ2826" s="82"/>
      <c r="BA2826" s="84" t="s">
        <v>152</v>
      </c>
      <c r="BB2826" s="84" t="str">
        <f>IFERROR(__xludf.DUMMYFUNCTION("iferror(if(A2826="""",,E2826&gt;=FILTER(Constants!$F$2:$F$10,Constants!$A$2:$A$10=A2826)))"),"")</f>
        <v/>
      </c>
    </row>
    <row r="2827">
      <c r="A2827" s="89"/>
      <c r="B2827" s="87"/>
      <c r="C2827" s="73"/>
      <c r="D2827" s="73"/>
      <c r="E2827" s="82"/>
      <c r="F2827" s="82"/>
      <c r="G2827" s="86"/>
      <c r="H2827" s="86"/>
      <c r="I2827" s="86"/>
      <c r="J2827" s="82"/>
      <c r="K2827" s="82"/>
      <c r="L2827" s="82"/>
      <c r="M2827" s="82"/>
      <c r="N2827" s="82"/>
      <c r="O2827" s="82"/>
      <c r="P2827" s="82"/>
      <c r="Q2827" s="82"/>
      <c r="R2827" s="82"/>
      <c r="S2827" s="82"/>
      <c r="T2827" s="82"/>
      <c r="U2827" s="82"/>
      <c r="V2827" s="82"/>
      <c r="W2827" s="82"/>
      <c r="X2827" s="82"/>
      <c r="Y2827" s="82"/>
      <c r="Z2827" s="82"/>
      <c r="AA2827" s="82"/>
      <c r="AB2827" s="82"/>
      <c r="AC2827" s="82"/>
      <c r="AD2827" s="82"/>
      <c r="AE2827" s="82"/>
      <c r="AF2827" s="82"/>
      <c r="AG2827" s="82"/>
      <c r="AH2827" s="82"/>
      <c r="AI2827" s="82"/>
      <c r="AJ2827" s="82"/>
      <c r="AK2827" s="82"/>
      <c r="AL2827" s="82"/>
      <c r="AM2827" s="82"/>
      <c r="AN2827" s="82"/>
      <c r="AO2827" s="82"/>
      <c r="AP2827" s="82"/>
      <c r="AQ2827" s="82"/>
      <c r="AR2827" s="82"/>
      <c r="AS2827" s="82"/>
      <c r="AT2827" s="82"/>
      <c r="AU2827" s="82"/>
      <c r="AV2827" s="82"/>
      <c r="AW2827" s="82" t="str">
        <f t="shared" si="1"/>
        <v/>
      </c>
      <c r="AX2827" s="83" t="str">
        <f t="array" ref="AX2827">IFERROR(DGET('SBV Import'!A:G,"SBV",{"RSC ID","Tier";B2827,A2827}))</f>
        <v/>
      </c>
      <c r="AY2827" s="82" t="str">
        <f t="shared" si="2"/>
        <v/>
      </c>
      <c r="AZ2827" s="82"/>
      <c r="BA2827" s="84" t="s">
        <v>152</v>
      </c>
      <c r="BB2827" s="84" t="str">
        <f>IFERROR(__xludf.DUMMYFUNCTION("iferror(if(A2827="""",,E2827&gt;=FILTER(Constants!$F$2:$F$10,Constants!$A$2:$A$10=A2827)))"),"")</f>
        <v/>
      </c>
    </row>
    <row r="2828">
      <c r="A2828" s="89"/>
      <c r="B2828" s="87"/>
      <c r="C2828" s="73"/>
      <c r="D2828" s="73"/>
      <c r="E2828" s="82"/>
      <c r="F2828" s="82"/>
      <c r="G2828" s="86"/>
      <c r="H2828" s="86"/>
      <c r="I2828" s="86"/>
      <c r="J2828" s="82"/>
      <c r="K2828" s="82"/>
      <c r="L2828" s="82"/>
      <c r="M2828" s="82"/>
      <c r="N2828" s="82"/>
      <c r="O2828" s="82"/>
      <c r="P2828" s="82"/>
      <c r="Q2828" s="82"/>
      <c r="R2828" s="82"/>
      <c r="S2828" s="82"/>
      <c r="T2828" s="82"/>
      <c r="U2828" s="82"/>
      <c r="V2828" s="82"/>
      <c r="W2828" s="82"/>
      <c r="X2828" s="82"/>
      <c r="Y2828" s="82"/>
      <c r="Z2828" s="82"/>
      <c r="AA2828" s="82"/>
      <c r="AB2828" s="82"/>
      <c r="AC2828" s="82"/>
      <c r="AD2828" s="82"/>
      <c r="AE2828" s="82"/>
      <c r="AF2828" s="82"/>
      <c r="AG2828" s="82"/>
      <c r="AH2828" s="82"/>
      <c r="AI2828" s="82"/>
      <c r="AJ2828" s="82"/>
      <c r="AK2828" s="82"/>
      <c r="AL2828" s="82"/>
      <c r="AM2828" s="82"/>
      <c r="AN2828" s="82"/>
      <c r="AO2828" s="82"/>
      <c r="AP2828" s="82"/>
      <c r="AQ2828" s="82"/>
      <c r="AR2828" s="82"/>
      <c r="AS2828" s="82"/>
      <c r="AT2828" s="82"/>
      <c r="AU2828" s="82"/>
      <c r="AV2828" s="82"/>
      <c r="AW2828" s="82" t="str">
        <f t="shared" si="1"/>
        <v/>
      </c>
      <c r="AX2828" s="83" t="str">
        <f t="array" ref="AX2828">IFERROR(DGET('SBV Import'!A:G,"SBV",{"RSC ID","Tier";B2828,A2828}))</f>
        <v/>
      </c>
      <c r="AY2828" s="82" t="str">
        <f t="shared" si="2"/>
        <v/>
      </c>
      <c r="AZ2828" s="82"/>
      <c r="BA2828" s="84" t="s">
        <v>152</v>
      </c>
      <c r="BB2828" s="84" t="str">
        <f>IFERROR(__xludf.DUMMYFUNCTION("iferror(if(A2828="""",,E2828&gt;=FILTER(Constants!$F$2:$F$10,Constants!$A$2:$A$10=A2828)))"),"")</f>
        <v/>
      </c>
    </row>
    <row r="2829">
      <c r="A2829" s="89"/>
      <c r="B2829" s="87"/>
      <c r="C2829" s="73"/>
      <c r="D2829" s="73"/>
      <c r="E2829" s="82"/>
      <c r="F2829" s="82"/>
      <c r="G2829" s="86"/>
      <c r="H2829" s="86"/>
      <c r="I2829" s="86"/>
      <c r="J2829" s="82"/>
      <c r="K2829" s="82"/>
      <c r="L2829" s="82"/>
      <c r="M2829" s="82"/>
      <c r="N2829" s="82"/>
      <c r="O2829" s="82"/>
      <c r="P2829" s="82"/>
      <c r="Q2829" s="82"/>
      <c r="R2829" s="82"/>
      <c r="S2829" s="82"/>
      <c r="T2829" s="82"/>
      <c r="U2829" s="82"/>
      <c r="V2829" s="82"/>
      <c r="W2829" s="82"/>
      <c r="X2829" s="82"/>
      <c r="Y2829" s="82"/>
      <c r="Z2829" s="82"/>
      <c r="AA2829" s="82"/>
      <c r="AB2829" s="82"/>
      <c r="AC2829" s="82"/>
      <c r="AD2829" s="82"/>
      <c r="AE2829" s="82"/>
      <c r="AF2829" s="82"/>
      <c r="AG2829" s="82"/>
      <c r="AH2829" s="82"/>
      <c r="AI2829" s="82"/>
      <c r="AJ2829" s="82"/>
      <c r="AK2829" s="82"/>
      <c r="AL2829" s="82"/>
      <c r="AM2829" s="82"/>
      <c r="AN2829" s="82"/>
      <c r="AO2829" s="82"/>
      <c r="AP2829" s="82"/>
      <c r="AQ2829" s="82"/>
      <c r="AR2829" s="82"/>
      <c r="AS2829" s="82"/>
      <c r="AT2829" s="82"/>
      <c r="AU2829" s="82"/>
      <c r="AV2829" s="82"/>
      <c r="AW2829" s="82" t="str">
        <f t="shared" si="1"/>
        <v/>
      </c>
      <c r="AX2829" s="83" t="str">
        <f t="array" ref="AX2829">IFERROR(DGET('SBV Import'!A:G,"SBV",{"RSC ID","Tier";B2829,A2829}))</f>
        <v/>
      </c>
      <c r="AY2829" s="82" t="str">
        <f t="shared" si="2"/>
        <v/>
      </c>
      <c r="AZ2829" s="82"/>
      <c r="BA2829" s="84" t="s">
        <v>152</v>
      </c>
      <c r="BB2829" s="84" t="str">
        <f>IFERROR(__xludf.DUMMYFUNCTION("iferror(if(A2829="""",,E2829&gt;=FILTER(Constants!$F$2:$F$10,Constants!$A$2:$A$10=A2829)))"),"")</f>
        <v/>
      </c>
    </row>
    <row r="2830">
      <c r="A2830" s="89"/>
      <c r="B2830" s="87"/>
      <c r="C2830" s="73"/>
      <c r="D2830" s="73"/>
      <c r="E2830" s="82"/>
      <c r="F2830" s="82"/>
      <c r="G2830" s="86"/>
      <c r="H2830" s="86"/>
      <c r="I2830" s="86"/>
      <c r="J2830" s="82"/>
      <c r="K2830" s="82"/>
      <c r="L2830" s="82"/>
      <c r="M2830" s="82"/>
      <c r="N2830" s="82"/>
      <c r="O2830" s="82"/>
      <c r="P2830" s="82"/>
      <c r="Q2830" s="82"/>
      <c r="R2830" s="82"/>
      <c r="S2830" s="82"/>
      <c r="T2830" s="82"/>
      <c r="U2830" s="82"/>
      <c r="V2830" s="82"/>
      <c r="W2830" s="82"/>
      <c r="X2830" s="82"/>
      <c r="Y2830" s="82"/>
      <c r="Z2830" s="82"/>
      <c r="AA2830" s="82"/>
      <c r="AB2830" s="82"/>
      <c r="AC2830" s="82"/>
      <c r="AD2830" s="82"/>
      <c r="AE2830" s="82"/>
      <c r="AF2830" s="82"/>
      <c r="AG2830" s="82"/>
      <c r="AH2830" s="82"/>
      <c r="AI2830" s="82"/>
      <c r="AJ2830" s="82"/>
      <c r="AK2830" s="82"/>
      <c r="AL2830" s="82"/>
      <c r="AM2830" s="82"/>
      <c r="AN2830" s="82"/>
      <c r="AO2830" s="82"/>
      <c r="AP2830" s="82"/>
      <c r="AQ2830" s="82"/>
      <c r="AR2830" s="82"/>
      <c r="AS2830" s="82"/>
      <c r="AT2830" s="82"/>
      <c r="AU2830" s="82"/>
      <c r="AV2830" s="82"/>
      <c r="AW2830" s="82" t="str">
        <f t="shared" si="1"/>
        <v/>
      </c>
      <c r="AX2830" s="83" t="str">
        <f t="array" ref="AX2830">IFERROR(DGET('SBV Import'!A:G,"SBV",{"RSC ID","Tier";B2830,A2830}))</f>
        <v/>
      </c>
      <c r="AY2830" s="82" t="str">
        <f t="shared" si="2"/>
        <v/>
      </c>
      <c r="AZ2830" s="82"/>
      <c r="BA2830" s="84" t="s">
        <v>152</v>
      </c>
      <c r="BB2830" s="84" t="str">
        <f>IFERROR(__xludf.DUMMYFUNCTION("iferror(if(A2830="""",,E2830&gt;=FILTER(Constants!$F$2:$F$10,Constants!$A$2:$A$10=A2830)))"),"")</f>
        <v/>
      </c>
    </row>
    <row r="2831">
      <c r="A2831" s="89"/>
      <c r="B2831" s="87"/>
      <c r="C2831" s="73"/>
      <c r="D2831" s="73"/>
      <c r="E2831" s="82"/>
      <c r="F2831" s="82"/>
      <c r="G2831" s="86"/>
      <c r="H2831" s="86"/>
      <c r="I2831" s="86"/>
      <c r="J2831" s="82"/>
      <c r="K2831" s="82"/>
      <c r="L2831" s="82"/>
      <c r="M2831" s="82"/>
      <c r="N2831" s="82"/>
      <c r="O2831" s="82"/>
      <c r="P2831" s="82"/>
      <c r="Q2831" s="82"/>
      <c r="R2831" s="82"/>
      <c r="S2831" s="82"/>
      <c r="T2831" s="82"/>
      <c r="U2831" s="82"/>
      <c r="V2831" s="82"/>
      <c r="W2831" s="82"/>
      <c r="X2831" s="82"/>
      <c r="Y2831" s="82"/>
      <c r="Z2831" s="82"/>
      <c r="AA2831" s="82"/>
      <c r="AB2831" s="82"/>
      <c r="AC2831" s="82"/>
      <c r="AD2831" s="82"/>
      <c r="AE2831" s="82"/>
      <c r="AF2831" s="82"/>
      <c r="AG2831" s="82"/>
      <c r="AH2831" s="82"/>
      <c r="AI2831" s="82"/>
      <c r="AJ2831" s="82"/>
      <c r="AK2831" s="82"/>
      <c r="AL2831" s="82"/>
      <c r="AM2831" s="82"/>
      <c r="AN2831" s="82"/>
      <c r="AO2831" s="82"/>
      <c r="AP2831" s="82"/>
      <c r="AQ2831" s="82"/>
      <c r="AR2831" s="82"/>
      <c r="AS2831" s="82"/>
      <c r="AT2831" s="82"/>
      <c r="AU2831" s="82"/>
      <c r="AV2831" s="82"/>
      <c r="AW2831" s="82" t="str">
        <f t="shared" si="1"/>
        <v/>
      </c>
      <c r="AX2831" s="83" t="str">
        <f t="array" ref="AX2831">IFERROR(DGET('SBV Import'!A:G,"SBV",{"RSC ID","Tier";B2831,A2831}))</f>
        <v/>
      </c>
      <c r="AY2831" s="82" t="str">
        <f t="shared" si="2"/>
        <v/>
      </c>
      <c r="AZ2831" s="82"/>
      <c r="BA2831" s="84" t="s">
        <v>152</v>
      </c>
      <c r="BB2831" s="84" t="str">
        <f>IFERROR(__xludf.DUMMYFUNCTION("iferror(if(A2831="""",,E2831&gt;=FILTER(Constants!$F$2:$F$10,Constants!$A$2:$A$10=A2831)))"),"")</f>
        <v/>
      </c>
    </row>
    <row r="2832">
      <c r="A2832" s="89"/>
      <c r="B2832" s="87"/>
      <c r="C2832" s="73"/>
      <c r="D2832" s="73"/>
      <c r="E2832" s="82"/>
      <c r="F2832" s="82"/>
      <c r="G2832" s="86"/>
      <c r="H2832" s="86"/>
      <c r="I2832" s="86"/>
      <c r="J2832" s="82"/>
      <c r="K2832" s="82"/>
      <c r="L2832" s="82"/>
      <c r="M2832" s="82"/>
      <c r="N2832" s="82"/>
      <c r="O2832" s="82"/>
      <c r="P2832" s="82"/>
      <c r="Q2832" s="82"/>
      <c r="R2832" s="82"/>
      <c r="S2832" s="82"/>
      <c r="T2832" s="82"/>
      <c r="U2832" s="82"/>
      <c r="V2832" s="82"/>
      <c r="W2832" s="82"/>
      <c r="X2832" s="82"/>
      <c r="Y2832" s="82"/>
      <c r="Z2832" s="82"/>
      <c r="AA2832" s="82"/>
      <c r="AB2832" s="82"/>
      <c r="AC2832" s="82"/>
      <c r="AD2832" s="82"/>
      <c r="AE2832" s="82"/>
      <c r="AF2832" s="82"/>
      <c r="AG2832" s="82"/>
      <c r="AH2832" s="82"/>
      <c r="AI2832" s="82"/>
      <c r="AJ2832" s="82"/>
      <c r="AK2832" s="82"/>
      <c r="AL2832" s="82"/>
      <c r="AM2832" s="82"/>
      <c r="AN2832" s="82"/>
      <c r="AO2832" s="82"/>
      <c r="AP2832" s="82"/>
      <c r="AQ2832" s="82"/>
      <c r="AR2832" s="82"/>
      <c r="AS2832" s="82"/>
      <c r="AT2832" s="82"/>
      <c r="AU2832" s="82"/>
      <c r="AV2832" s="82"/>
      <c r="AW2832" s="82" t="str">
        <f t="shared" si="1"/>
        <v/>
      </c>
      <c r="AX2832" s="83" t="str">
        <f t="array" ref="AX2832">IFERROR(DGET('SBV Import'!A:G,"SBV",{"RSC ID","Tier";B2832,A2832}))</f>
        <v/>
      </c>
      <c r="AY2832" s="82" t="str">
        <f t="shared" si="2"/>
        <v/>
      </c>
      <c r="AZ2832" s="82"/>
      <c r="BA2832" s="84" t="s">
        <v>152</v>
      </c>
      <c r="BB2832" s="84" t="str">
        <f>IFERROR(__xludf.DUMMYFUNCTION("iferror(if(A2832="""",,E2832&gt;=FILTER(Constants!$F$2:$F$10,Constants!$A$2:$A$10=A2832)))"),"")</f>
        <v/>
      </c>
    </row>
    <row r="2833">
      <c r="A2833" s="89"/>
      <c r="B2833" s="87"/>
      <c r="C2833" s="73"/>
      <c r="D2833" s="73"/>
      <c r="E2833" s="82"/>
      <c r="F2833" s="82"/>
      <c r="G2833" s="86"/>
      <c r="H2833" s="86"/>
      <c r="I2833" s="86"/>
      <c r="J2833" s="82"/>
      <c r="K2833" s="82"/>
      <c r="L2833" s="82"/>
      <c r="M2833" s="82"/>
      <c r="N2833" s="82"/>
      <c r="O2833" s="82"/>
      <c r="P2833" s="82"/>
      <c r="Q2833" s="82"/>
      <c r="R2833" s="82"/>
      <c r="S2833" s="82"/>
      <c r="T2833" s="82"/>
      <c r="U2833" s="82"/>
      <c r="V2833" s="82"/>
      <c r="W2833" s="82"/>
      <c r="X2833" s="82"/>
      <c r="Y2833" s="82"/>
      <c r="Z2833" s="82"/>
      <c r="AA2833" s="82"/>
      <c r="AB2833" s="82"/>
      <c r="AC2833" s="82"/>
      <c r="AD2833" s="82"/>
      <c r="AE2833" s="82"/>
      <c r="AF2833" s="82"/>
      <c r="AG2833" s="82"/>
      <c r="AH2833" s="82"/>
      <c r="AI2833" s="82"/>
      <c r="AJ2833" s="82"/>
      <c r="AK2833" s="82"/>
      <c r="AL2833" s="82"/>
      <c r="AM2833" s="82"/>
      <c r="AN2833" s="82"/>
      <c r="AO2833" s="82"/>
      <c r="AP2833" s="82"/>
      <c r="AQ2833" s="82"/>
      <c r="AR2833" s="82"/>
      <c r="AS2833" s="82"/>
      <c r="AT2833" s="82"/>
      <c r="AU2833" s="82"/>
      <c r="AV2833" s="82"/>
      <c r="AW2833" s="82" t="str">
        <f t="shared" si="1"/>
        <v/>
      </c>
      <c r="AX2833" s="83" t="str">
        <f t="array" ref="AX2833">IFERROR(DGET('SBV Import'!A:G,"SBV",{"RSC ID","Tier";B2833,A2833}))</f>
        <v/>
      </c>
      <c r="AY2833" s="82" t="str">
        <f t="shared" si="2"/>
        <v/>
      </c>
      <c r="AZ2833" s="82"/>
      <c r="BA2833" s="84" t="s">
        <v>152</v>
      </c>
      <c r="BB2833" s="84" t="str">
        <f>IFERROR(__xludf.DUMMYFUNCTION("iferror(if(A2833="""",,E2833&gt;=FILTER(Constants!$F$2:$F$10,Constants!$A$2:$A$10=A2833)))"),"")</f>
        <v/>
      </c>
    </row>
    <row r="2834">
      <c r="A2834" s="89"/>
      <c r="B2834" s="87"/>
      <c r="C2834" s="73"/>
      <c r="D2834" s="73"/>
      <c r="E2834" s="82"/>
      <c r="F2834" s="82"/>
      <c r="G2834" s="86"/>
      <c r="H2834" s="86"/>
      <c r="I2834" s="86"/>
      <c r="J2834" s="82"/>
      <c r="K2834" s="82"/>
      <c r="L2834" s="82"/>
      <c r="M2834" s="82"/>
      <c r="N2834" s="82"/>
      <c r="O2834" s="82"/>
      <c r="P2834" s="82"/>
      <c r="Q2834" s="82"/>
      <c r="R2834" s="82"/>
      <c r="S2834" s="82"/>
      <c r="T2834" s="82"/>
      <c r="U2834" s="82"/>
      <c r="V2834" s="82"/>
      <c r="W2834" s="82"/>
      <c r="X2834" s="82"/>
      <c r="Y2834" s="82"/>
      <c r="Z2834" s="82"/>
      <c r="AA2834" s="82"/>
      <c r="AB2834" s="82"/>
      <c r="AC2834" s="82"/>
      <c r="AD2834" s="82"/>
      <c r="AE2834" s="82"/>
      <c r="AF2834" s="82"/>
      <c r="AG2834" s="82"/>
      <c r="AH2834" s="82"/>
      <c r="AI2834" s="82"/>
      <c r="AJ2834" s="82"/>
      <c r="AK2834" s="82"/>
      <c r="AL2834" s="82"/>
      <c r="AM2834" s="82"/>
      <c r="AN2834" s="82"/>
      <c r="AO2834" s="82"/>
      <c r="AP2834" s="82"/>
      <c r="AQ2834" s="82"/>
      <c r="AR2834" s="82"/>
      <c r="AS2834" s="82"/>
      <c r="AT2834" s="82"/>
      <c r="AU2834" s="82"/>
      <c r="AV2834" s="82"/>
      <c r="AW2834" s="82" t="str">
        <f t="shared" si="1"/>
        <v/>
      </c>
      <c r="AX2834" s="83" t="str">
        <f t="array" ref="AX2834">IFERROR(DGET('SBV Import'!A:G,"SBV",{"RSC ID","Tier";B2834,A2834}))</f>
        <v/>
      </c>
      <c r="AY2834" s="82" t="str">
        <f t="shared" si="2"/>
        <v/>
      </c>
      <c r="AZ2834" s="82"/>
      <c r="BA2834" s="84" t="s">
        <v>152</v>
      </c>
      <c r="BB2834" s="84" t="str">
        <f>IFERROR(__xludf.DUMMYFUNCTION("iferror(if(A2834="""",,E2834&gt;=FILTER(Constants!$F$2:$F$10,Constants!$A$2:$A$10=A2834)))"),"")</f>
        <v/>
      </c>
    </row>
    <row r="2835">
      <c r="A2835" s="89"/>
      <c r="B2835" s="87"/>
      <c r="C2835" s="73"/>
      <c r="D2835" s="73"/>
      <c r="E2835" s="82"/>
      <c r="F2835" s="82"/>
      <c r="G2835" s="86"/>
      <c r="H2835" s="86"/>
      <c r="I2835" s="86"/>
      <c r="J2835" s="82"/>
      <c r="K2835" s="82"/>
      <c r="L2835" s="82"/>
      <c r="M2835" s="82"/>
      <c r="N2835" s="82"/>
      <c r="O2835" s="82"/>
      <c r="P2835" s="82"/>
      <c r="Q2835" s="82"/>
      <c r="R2835" s="82"/>
      <c r="S2835" s="82"/>
      <c r="T2835" s="82"/>
      <c r="U2835" s="82"/>
      <c r="V2835" s="82"/>
      <c r="W2835" s="82"/>
      <c r="X2835" s="82"/>
      <c r="Y2835" s="82"/>
      <c r="Z2835" s="82"/>
      <c r="AA2835" s="82"/>
      <c r="AB2835" s="82"/>
      <c r="AC2835" s="82"/>
      <c r="AD2835" s="82"/>
      <c r="AE2835" s="82"/>
      <c r="AF2835" s="82"/>
      <c r="AG2835" s="82"/>
      <c r="AH2835" s="82"/>
      <c r="AI2835" s="82"/>
      <c r="AJ2835" s="82"/>
      <c r="AK2835" s="82"/>
      <c r="AL2835" s="82"/>
      <c r="AM2835" s="82"/>
      <c r="AN2835" s="82"/>
      <c r="AO2835" s="82"/>
      <c r="AP2835" s="82"/>
      <c r="AQ2835" s="82"/>
      <c r="AR2835" s="82"/>
      <c r="AS2835" s="82"/>
      <c r="AT2835" s="82"/>
      <c r="AU2835" s="82"/>
      <c r="AV2835" s="82"/>
      <c r="AW2835" s="82" t="str">
        <f t="shared" si="1"/>
        <v/>
      </c>
      <c r="AX2835" s="83" t="str">
        <f t="array" ref="AX2835">IFERROR(DGET('SBV Import'!A:G,"SBV",{"RSC ID","Tier";B2835,A2835}))</f>
        <v/>
      </c>
      <c r="AY2835" s="82" t="str">
        <f t="shared" si="2"/>
        <v/>
      </c>
      <c r="AZ2835" s="82"/>
      <c r="BA2835" s="84" t="s">
        <v>152</v>
      </c>
      <c r="BB2835" s="84" t="str">
        <f>IFERROR(__xludf.DUMMYFUNCTION("iferror(if(A2835="""",,E2835&gt;=FILTER(Constants!$F$2:$F$10,Constants!$A$2:$A$10=A2835)))"),"")</f>
        <v/>
      </c>
    </row>
    <row r="2836">
      <c r="A2836" s="89"/>
      <c r="B2836" s="87"/>
      <c r="C2836" s="73"/>
      <c r="D2836" s="73"/>
      <c r="E2836" s="82"/>
      <c r="F2836" s="82"/>
      <c r="G2836" s="86"/>
      <c r="H2836" s="86"/>
      <c r="I2836" s="86"/>
      <c r="J2836" s="82"/>
      <c r="K2836" s="82"/>
      <c r="L2836" s="82"/>
      <c r="M2836" s="82"/>
      <c r="N2836" s="82"/>
      <c r="O2836" s="82"/>
      <c r="P2836" s="82"/>
      <c r="Q2836" s="82"/>
      <c r="R2836" s="82"/>
      <c r="S2836" s="82"/>
      <c r="T2836" s="82"/>
      <c r="U2836" s="82"/>
      <c r="V2836" s="82"/>
      <c r="W2836" s="82"/>
      <c r="X2836" s="82"/>
      <c r="Y2836" s="82"/>
      <c r="Z2836" s="82"/>
      <c r="AA2836" s="82"/>
      <c r="AB2836" s="82"/>
      <c r="AC2836" s="82"/>
      <c r="AD2836" s="82"/>
      <c r="AE2836" s="82"/>
      <c r="AF2836" s="82"/>
      <c r="AG2836" s="82"/>
      <c r="AH2836" s="82"/>
      <c r="AI2836" s="82"/>
      <c r="AJ2836" s="82"/>
      <c r="AK2836" s="82"/>
      <c r="AL2836" s="82"/>
      <c r="AM2836" s="82"/>
      <c r="AN2836" s="82"/>
      <c r="AO2836" s="82"/>
      <c r="AP2836" s="82"/>
      <c r="AQ2836" s="82"/>
      <c r="AR2836" s="82"/>
      <c r="AS2836" s="82"/>
      <c r="AT2836" s="82"/>
      <c r="AU2836" s="82"/>
      <c r="AV2836" s="82"/>
      <c r="AW2836" s="82" t="str">
        <f t="shared" si="1"/>
        <v/>
      </c>
      <c r="AX2836" s="83" t="str">
        <f t="array" ref="AX2836">IFERROR(DGET('SBV Import'!A:G,"SBV",{"RSC ID","Tier";B2836,A2836}))</f>
        <v/>
      </c>
      <c r="AY2836" s="82" t="str">
        <f t="shared" si="2"/>
        <v/>
      </c>
      <c r="AZ2836" s="82"/>
      <c r="BA2836" s="84" t="s">
        <v>152</v>
      </c>
      <c r="BB2836" s="84" t="str">
        <f>IFERROR(__xludf.DUMMYFUNCTION("iferror(if(A2836="""",,E2836&gt;=FILTER(Constants!$F$2:$F$10,Constants!$A$2:$A$10=A2836)))"),"")</f>
        <v/>
      </c>
    </row>
    <row r="2837">
      <c r="A2837" s="89"/>
      <c r="B2837" s="87"/>
      <c r="C2837" s="73"/>
      <c r="D2837" s="73"/>
      <c r="E2837" s="82"/>
      <c r="F2837" s="82"/>
      <c r="G2837" s="86"/>
      <c r="H2837" s="86"/>
      <c r="I2837" s="86"/>
      <c r="J2837" s="82"/>
      <c r="K2837" s="82"/>
      <c r="L2837" s="82"/>
      <c r="M2837" s="82"/>
      <c r="N2837" s="82"/>
      <c r="O2837" s="82"/>
      <c r="P2837" s="82"/>
      <c r="Q2837" s="82"/>
      <c r="R2837" s="82"/>
      <c r="S2837" s="82"/>
      <c r="T2837" s="82"/>
      <c r="U2837" s="82"/>
      <c r="V2837" s="82"/>
      <c r="W2837" s="82"/>
      <c r="X2837" s="82"/>
      <c r="Y2837" s="82"/>
      <c r="Z2837" s="82"/>
      <c r="AA2837" s="82"/>
      <c r="AB2837" s="82"/>
      <c r="AC2837" s="82"/>
      <c r="AD2837" s="82"/>
      <c r="AE2837" s="82"/>
      <c r="AF2837" s="82"/>
      <c r="AG2837" s="82"/>
      <c r="AH2837" s="82"/>
      <c r="AI2837" s="82"/>
      <c r="AJ2837" s="82"/>
      <c r="AK2837" s="82"/>
      <c r="AL2837" s="82"/>
      <c r="AM2837" s="82"/>
      <c r="AN2837" s="82"/>
      <c r="AO2837" s="82"/>
      <c r="AP2837" s="82"/>
      <c r="AQ2837" s="82"/>
      <c r="AR2837" s="82"/>
      <c r="AS2837" s="82"/>
      <c r="AT2837" s="82"/>
      <c r="AU2837" s="82"/>
      <c r="AV2837" s="82"/>
      <c r="AW2837" s="82" t="str">
        <f t="shared" si="1"/>
        <v/>
      </c>
      <c r="AX2837" s="83" t="str">
        <f t="array" ref="AX2837">IFERROR(DGET('SBV Import'!A:G,"SBV",{"RSC ID","Tier";B2837,A2837}))</f>
        <v/>
      </c>
      <c r="AY2837" s="82" t="str">
        <f t="shared" si="2"/>
        <v/>
      </c>
      <c r="AZ2837" s="82"/>
      <c r="BA2837" s="84" t="s">
        <v>152</v>
      </c>
      <c r="BB2837" s="84" t="str">
        <f>IFERROR(__xludf.DUMMYFUNCTION("iferror(if(A2837="""",,E2837&gt;=FILTER(Constants!$F$2:$F$10,Constants!$A$2:$A$10=A2837)))"),"")</f>
        <v/>
      </c>
    </row>
    <row r="2838">
      <c r="A2838" s="89"/>
      <c r="B2838" s="87"/>
      <c r="C2838" s="73"/>
      <c r="D2838" s="73"/>
      <c r="E2838" s="82"/>
      <c r="F2838" s="82"/>
      <c r="G2838" s="86"/>
      <c r="H2838" s="86"/>
      <c r="I2838" s="86"/>
      <c r="J2838" s="82"/>
      <c r="K2838" s="82"/>
      <c r="L2838" s="82"/>
      <c r="M2838" s="82"/>
      <c r="N2838" s="82"/>
      <c r="O2838" s="82"/>
      <c r="P2838" s="82"/>
      <c r="Q2838" s="82"/>
      <c r="R2838" s="82"/>
      <c r="S2838" s="82"/>
      <c r="T2838" s="82"/>
      <c r="U2838" s="82"/>
      <c r="V2838" s="82"/>
      <c r="W2838" s="82"/>
      <c r="X2838" s="82"/>
      <c r="Y2838" s="82"/>
      <c r="Z2838" s="82"/>
      <c r="AA2838" s="82"/>
      <c r="AB2838" s="82"/>
      <c r="AC2838" s="82"/>
      <c r="AD2838" s="82"/>
      <c r="AE2838" s="82"/>
      <c r="AF2838" s="82"/>
      <c r="AG2838" s="82"/>
      <c r="AH2838" s="82"/>
      <c r="AI2838" s="82"/>
      <c r="AJ2838" s="82"/>
      <c r="AK2838" s="82"/>
      <c r="AL2838" s="82"/>
      <c r="AM2838" s="82"/>
      <c r="AN2838" s="82"/>
      <c r="AO2838" s="82"/>
      <c r="AP2838" s="82"/>
      <c r="AQ2838" s="82"/>
      <c r="AR2838" s="82"/>
      <c r="AS2838" s="82"/>
      <c r="AT2838" s="82"/>
      <c r="AU2838" s="82"/>
      <c r="AV2838" s="82"/>
      <c r="AW2838" s="82" t="str">
        <f t="shared" si="1"/>
        <v/>
      </c>
      <c r="AX2838" s="83" t="str">
        <f t="array" ref="AX2838">IFERROR(DGET('SBV Import'!A:G,"SBV",{"RSC ID","Tier";B2838,A2838}))</f>
        <v/>
      </c>
      <c r="AY2838" s="82" t="str">
        <f t="shared" si="2"/>
        <v/>
      </c>
      <c r="AZ2838" s="82"/>
      <c r="BA2838" s="84" t="s">
        <v>152</v>
      </c>
      <c r="BB2838" s="84" t="str">
        <f>IFERROR(__xludf.DUMMYFUNCTION("iferror(if(A2838="""",,E2838&gt;=FILTER(Constants!$F$2:$F$10,Constants!$A$2:$A$10=A2838)))"),"")</f>
        <v/>
      </c>
    </row>
    <row r="2839">
      <c r="A2839" s="89"/>
      <c r="B2839" s="87"/>
      <c r="C2839" s="73"/>
      <c r="D2839" s="73"/>
      <c r="E2839" s="82"/>
      <c r="F2839" s="82"/>
      <c r="G2839" s="86"/>
      <c r="H2839" s="86"/>
      <c r="I2839" s="86"/>
      <c r="J2839" s="82"/>
      <c r="K2839" s="82"/>
      <c r="L2839" s="82"/>
      <c r="M2839" s="82"/>
      <c r="N2839" s="82"/>
      <c r="O2839" s="82"/>
      <c r="P2839" s="82"/>
      <c r="Q2839" s="82"/>
      <c r="R2839" s="82"/>
      <c r="S2839" s="82"/>
      <c r="T2839" s="82"/>
      <c r="U2839" s="82"/>
      <c r="V2839" s="82"/>
      <c r="W2839" s="82"/>
      <c r="X2839" s="82"/>
      <c r="Y2839" s="82"/>
      <c r="Z2839" s="82"/>
      <c r="AA2839" s="82"/>
      <c r="AB2839" s="82"/>
      <c r="AC2839" s="82"/>
      <c r="AD2839" s="82"/>
      <c r="AE2839" s="82"/>
      <c r="AF2839" s="82"/>
      <c r="AG2839" s="82"/>
      <c r="AH2839" s="82"/>
      <c r="AI2839" s="82"/>
      <c r="AJ2839" s="82"/>
      <c r="AK2839" s="82"/>
      <c r="AL2839" s="82"/>
      <c r="AM2839" s="82"/>
      <c r="AN2839" s="82"/>
      <c r="AO2839" s="82"/>
      <c r="AP2839" s="82"/>
      <c r="AQ2839" s="82"/>
      <c r="AR2839" s="82"/>
      <c r="AS2839" s="82"/>
      <c r="AT2839" s="82"/>
      <c r="AU2839" s="82"/>
      <c r="AV2839" s="82"/>
      <c r="AW2839" s="82" t="str">
        <f t="shared" si="1"/>
        <v/>
      </c>
      <c r="AX2839" s="83" t="str">
        <f t="array" ref="AX2839">IFERROR(DGET('SBV Import'!A:G,"SBV",{"RSC ID","Tier";B2839,A2839}))</f>
        <v/>
      </c>
      <c r="AY2839" s="82" t="str">
        <f t="shared" si="2"/>
        <v/>
      </c>
      <c r="AZ2839" s="82"/>
      <c r="BA2839" s="84" t="s">
        <v>152</v>
      </c>
      <c r="BB2839" s="84" t="str">
        <f>IFERROR(__xludf.DUMMYFUNCTION("iferror(if(A2839="""",,E2839&gt;=FILTER(Constants!$F$2:$F$10,Constants!$A$2:$A$10=A2839)))"),"")</f>
        <v/>
      </c>
    </row>
    <row r="2840">
      <c r="A2840" s="89"/>
      <c r="B2840" s="87"/>
      <c r="C2840" s="73"/>
      <c r="D2840" s="73"/>
      <c r="E2840" s="82"/>
      <c r="F2840" s="82"/>
      <c r="G2840" s="86"/>
      <c r="H2840" s="86"/>
      <c r="I2840" s="86"/>
      <c r="J2840" s="82"/>
      <c r="K2840" s="82"/>
      <c r="L2840" s="82"/>
      <c r="M2840" s="82"/>
      <c r="N2840" s="82"/>
      <c r="O2840" s="82"/>
      <c r="P2840" s="82"/>
      <c r="Q2840" s="82"/>
      <c r="R2840" s="82"/>
      <c r="S2840" s="82"/>
      <c r="T2840" s="82"/>
      <c r="U2840" s="82"/>
      <c r="V2840" s="82"/>
      <c r="W2840" s="82"/>
      <c r="X2840" s="82"/>
      <c r="Y2840" s="82"/>
      <c r="Z2840" s="82"/>
      <c r="AA2840" s="82"/>
      <c r="AB2840" s="82"/>
      <c r="AC2840" s="82"/>
      <c r="AD2840" s="82"/>
      <c r="AE2840" s="82"/>
      <c r="AF2840" s="82"/>
      <c r="AG2840" s="82"/>
      <c r="AH2840" s="82"/>
      <c r="AI2840" s="82"/>
      <c r="AJ2840" s="82"/>
      <c r="AK2840" s="82"/>
      <c r="AL2840" s="82"/>
      <c r="AM2840" s="82"/>
      <c r="AN2840" s="82"/>
      <c r="AO2840" s="82"/>
      <c r="AP2840" s="82"/>
      <c r="AQ2840" s="82"/>
      <c r="AR2840" s="82"/>
      <c r="AS2840" s="82"/>
      <c r="AT2840" s="82"/>
      <c r="AU2840" s="82"/>
      <c r="AV2840" s="82"/>
      <c r="AW2840" s="82" t="str">
        <f t="shared" si="1"/>
        <v/>
      </c>
      <c r="AX2840" s="83" t="str">
        <f t="array" ref="AX2840">IFERROR(DGET('SBV Import'!A:G,"SBV",{"RSC ID","Tier";B2840,A2840}))</f>
        <v/>
      </c>
      <c r="AY2840" s="82" t="str">
        <f t="shared" si="2"/>
        <v/>
      </c>
      <c r="AZ2840" s="82"/>
      <c r="BA2840" s="84" t="s">
        <v>152</v>
      </c>
      <c r="BB2840" s="84" t="str">
        <f>IFERROR(__xludf.DUMMYFUNCTION("iferror(if(A2840="""",,E2840&gt;=FILTER(Constants!$F$2:$F$10,Constants!$A$2:$A$10=A2840)))"),"")</f>
        <v/>
      </c>
    </row>
    <row r="2841">
      <c r="A2841" s="89"/>
      <c r="B2841" s="87"/>
      <c r="C2841" s="73"/>
      <c r="D2841" s="73"/>
      <c r="E2841" s="82"/>
      <c r="F2841" s="82"/>
      <c r="G2841" s="86"/>
      <c r="H2841" s="86"/>
      <c r="I2841" s="86"/>
      <c r="J2841" s="82"/>
      <c r="K2841" s="82"/>
      <c r="L2841" s="82"/>
      <c r="M2841" s="82"/>
      <c r="N2841" s="82"/>
      <c r="O2841" s="82"/>
      <c r="P2841" s="82"/>
      <c r="Q2841" s="82"/>
      <c r="R2841" s="82"/>
      <c r="S2841" s="82"/>
      <c r="T2841" s="82"/>
      <c r="U2841" s="82"/>
      <c r="V2841" s="82"/>
      <c r="W2841" s="82"/>
      <c r="X2841" s="82"/>
      <c r="Y2841" s="82"/>
      <c r="Z2841" s="82"/>
      <c r="AA2841" s="82"/>
      <c r="AB2841" s="82"/>
      <c r="AC2841" s="82"/>
      <c r="AD2841" s="82"/>
      <c r="AE2841" s="82"/>
      <c r="AF2841" s="82"/>
      <c r="AG2841" s="82"/>
      <c r="AH2841" s="82"/>
      <c r="AI2841" s="82"/>
      <c r="AJ2841" s="82"/>
      <c r="AK2841" s="82"/>
      <c r="AL2841" s="82"/>
      <c r="AM2841" s="82"/>
      <c r="AN2841" s="82"/>
      <c r="AO2841" s="82"/>
      <c r="AP2841" s="82"/>
      <c r="AQ2841" s="82"/>
      <c r="AR2841" s="82"/>
      <c r="AS2841" s="82"/>
      <c r="AT2841" s="82"/>
      <c r="AU2841" s="82"/>
      <c r="AV2841" s="82"/>
      <c r="AW2841" s="82" t="str">
        <f t="shared" si="1"/>
        <v/>
      </c>
      <c r="AX2841" s="83" t="str">
        <f t="array" ref="AX2841">IFERROR(DGET('SBV Import'!A:G,"SBV",{"RSC ID","Tier";B2841,A2841}))</f>
        <v/>
      </c>
      <c r="AY2841" s="82" t="str">
        <f t="shared" si="2"/>
        <v/>
      </c>
      <c r="AZ2841" s="82"/>
      <c r="BA2841" s="84" t="s">
        <v>152</v>
      </c>
      <c r="BB2841" s="84" t="str">
        <f>IFERROR(__xludf.DUMMYFUNCTION("iferror(if(A2841="""",,E2841&gt;=FILTER(Constants!$F$2:$F$10,Constants!$A$2:$A$10=A2841)))"),"")</f>
        <v/>
      </c>
    </row>
    <row r="2842">
      <c r="A2842" s="89"/>
      <c r="B2842" s="87"/>
      <c r="C2842" s="73"/>
      <c r="D2842" s="73"/>
      <c r="E2842" s="82"/>
      <c r="F2842" s="82"/>
      <c r="G2842" s="86"/>
      <c r="H2842" s="86"/>
      <c r="I2842" s="86"/>
      <c r="J2842" s="82"/>
      <c r="K2842" s="82"/>
      <c r="L2842" s="82"/>
      <c r="M2842" s="82"/>
      <c r="N2842" s="82"/>
      <c r="O2842" s="82"/>
      <c r="P2842" s="82"/>
      <c r="Q2842" s="82"/>
      <c r="R2842" s="82"/>
      <c r="S2842" s="82"/>
      <c r="T2842" s="82"/>
      <c r="U2842" s="82"/>
      <c r="V2842" s="82"/>
      <c r="W2842" s="82"/>
      <c r="X2842" s="82"/>
      <c r="Y2842" s="82"/>
      <c r="Z2842" s="82"/>
      <c r="AA2842" s="82"/>
      <c r="AB2842" s="82"/>
      <c r="AC2842" s="82"/>
      <c r="AD2842" s="82"/>
      <c r="AE2842" s="82"/>
      <c r="AF2842" s="82"/>
      <c r="AG2842" s="82"/>
      <c r="AH2842" s="82"/>
      <c r="AI2842" s="82"/>
      <c r="AJ2842" s="82"/>
      <c r="AK2842" s="82"/>
      <c r="AL2842" s="82"/>
      <c r="AM2842" s="82"/>
      <c r="AN2842" s="82"/>
      <c r="AO2842" s="82"/>
      <c r="AP2842" s="82"/>
      <c r="AQ2842" s="82"/>
      <c r="AR2842" s="82"/>
      <c r="AS2842" s="82"/>
      <c r="AT2842" s="82"/>
      <c r="AU2842" s="82"/>
      <c r="AV2842" s="82"/>
      <c r="AW2842" s="82" t="str">
        <f t="shared" si="1"/>
        <v/>
      </c>
      <c r="AX2842" s="83" t="str">
        <f t="array" ref="AX2842">IFERROR(DGET('SBV Import'!A:G,"SBV",{"RSC ID","Tier";B2842,A2842}))</f>
        <v/>
      </c>
      <c r="AY2842" s="82" t="str">
        <f t="shared" si="2"/>
        <v/>
      </c>
      <c r="AZ2842" s="82"/>
      <c r="BA2842" s="84" t="s">
        <v>152</v>
      </c>
      <c r="BB2842" s="84" t="str">
        <f>IFERROR(__xludf.DUMMYFUNCTION("iferror(if(A2842="""",,E2842&gt;=FILTER(Constants!$F$2:$F$10,Constants!$A$2:$A$10=A2842)))"),"")</f>
        <v/>
      </c>
    </row>
    <row r="2843">
      <c r="A2843" s="89"/>
      <c r="B2843" s="87"/>
      <c r="C2843" s="73"/>
      <c r="D2843" s="73"/>
      <c r="E2843" s="82"/>
      <c r="F2843" s="82"/>
      <c r="G2843" s="86"/>
      <c r="H2843" s="86"/>
      <c r="I2843" s="86"/>
      <c r="J2843" s="82"/>
      <c r="K2843" s="82"/>
      <c r="L2843" s="82"/>
      <c r="M2843" s="82"/>
      <c r="N2843" s="82"/>
      <c r="O2843" s="82"/>
      <c r="P2843" s="82"/>
      <c r="Q2843" s="82"/>
      <c r="R2843" s="82"/>
      <c r="S2843" s="82"/>
      <c r="T2843" s="82"/>
      <c r="U2843" s="82"/>
      <c r="V2843" s="82"/>
      <c r="W2843" s="82"/>
      <c r="X2843" s="82"/>
      <c r="Y2843" s="82"/>
      <c r="Z2843" s="82"/>
      <c r="AA2843" s="82"/>
      <c r="AB2843" s="82"/>
      <c r="AC2843" s="82"/>
      <c r="AD2843" s="82"/>
      <c r="AE2843" s="82"/>
      <c r="AF2843" s="82"/>
      <c r="AG2843" s="82"/>
      <c r="AH2843" s="82"/>
      <c r="AI2843" s="82"/>
      <c r="AJ2843" s="82"/>
      <c r="AK2843" s="82"/>
      <c r="AL2843" s="82"/>
      <c r="AM2843" s="82"/>
      <c r="AN2843" s="82"/>
      <c r="AO2843" s="82"/>
      <c r="AP2843" s="82"/>
      <c r="AQ2843" s="82"/>
      <c r="AR2843" s="82"/>
      <c r="AS2843" s="82"/>
      <c r="AT2843" s="82"/>
      <c r="AU2843" s="82"/>
      <c r="AV2843" s="82"/>
      <c r="AW2843" s="82" t="str">
        <f t="shared" si="1"/>
        <v/>
      </c>
      <c r="AX2843" s="83" t="str">
        <f t="array" ref="AX2843">IFERROR(DGET('SBV Import'!A:G,"SBV",{"RSC ID","Tier";B2843,A2843}))</f>
        <v/>
      </c>
      <c r="AY2843" s="82" t="str">
        <f t="shared" si="2"/>
        <v/>
      </c>
      <c r="AZ2843" s="82"/>
      <c r="BA2843" s="84" t="s">
        <v>152</v>
      </c>
      <c r="BB2843" s="84" t="str">
        <f>IFERROR(__xludf.DUMMYFUNCTION("iferror(if(A2843="""",,E2843&gt;=FILTER(Constants!$F$2:$F$10,Constants!$A$2:$A$10=A2843)))"),"")</f>
        <v/>
      </c>
    </row>
    <row r="2844">
      <c r="A2844" s="89"/>
      <c r="B2844" s="87"/>
      <c r="C2844" s="73"/>
      <c r="D2844" s="73"/>
      <c r="E2844" s="82"/>
      <c r="F2844" s="82"/>
      <c r="G2844" s="86"/>
      <c r="H2844" s="86"/>
      <c r="I2844" s="86"/>
      <c r="J2844" s="82"/>
      <c r="K2844" s="82"/>
      <c r="L2844" s="82"/>
      <c r="M2844" s="82"/>
      <c r="N2844" s="82"/>
      <c r="O2844" s="82"/>
      <c r="P2844" s="82"/>
      <c r="Q2844" s="82"/>
      <c r="R2844" s="82"/>
      <c r="S2844" s="82"/>
      <c r="T2844" s="82"/>
      <c r="U2844" s="82"/>
      <c r="V2844" s="82"/>
      <c r="W2844" s="82"/>
      <c r="X2844" s="82"/>
      <c r="Y2844" s="82"/>
      <c r="Z2844" s="82"/>
      <c r="AA2844" s="82"/>
      <c r="AB2844" s="82"/>
      <c r="AC2844" s="82"/>
      <c r="AD2844" s="82"/>
      <c r="AE2844" s="82"/>
      <c r="AF2844" s="82"/>
      <c r="AG2844" s="82"/>
      <c r="AH2844" s="82"/>
      <c r="AI2844" s="82"/>
      <c r="AJ2844" s="82"/>
      <c r="AK2844" s="82"/>
      <c r="AL2844" s="82"/>
      <c r="AM2844" s="82"/>
      <c r="AN2844" s="82"/>
      <c r="AO2844" s="82"/>
      <c r="AP2844" s="82"/>
      <c r="AQ2844" s="82"/>
      <c r="AR2844" s="82"/>
      <c r="AS2844" s="82"/>
      <c r="AT2844" s="82"/>
      <c r="AU2844" s="82"/>
      <c r="AV2844" s="82"/>
      <c r="AW2844" s="82" t="str">
        <f t="shared" si="1"/>
        <v/>
      </c>
      <c r="AX2844" s="83" t="str">
        <f t="array" ref="AX2844">IFERROR(DGET('SBV Import'!A:G,"SBV",{"RSC ID","Tier";B2844,A2844}))</f>
        <v/>
      </c>
      <c r="AY2844" s="82" t="str">
        <f t="shared" si="2"/>
        <v/>
      </c>
      <c r="AZ2844" s="82"/>
      <c r="BA2844" s="84" t="s">
        <v>152</v>
      </c>
      <c r="BB2844" s="84" t="str">
        <f>IFERROR(__xludf.DUMMYFUNCTION("iferror(if(A2844="""",,E2844&gt;=FILTER(Constants!$F$2:$F$10,Constants!$A$2:$A$10=A2844)))"),"")</f>
        <v/>
      </c>
    </row>
    <row r="2845">
      <c r="A2845" s="89"/>
      <c r="B2845" s="87"/>
      <c r="C2845" s="73"/>
      <c r="D2845" s="73"/>
      <c r="E2845" s="82"/>
      <c r="F2845" s="82"/>
      <c r="G2845" s="86"/>
      <c r="H2845" s="86"/>
      <c r="I2845" s="86"/>
      <c r="J2845" s="82"/>
      <c r="K2845" s="82"/>
      <c r="L2845" s="82"/>
      <c r="M2845" s="82"/>
      <c r="N2845" s="82"/>
      <c r="O2845" s="82"/>
      <c r="P2845" s="82"/>
      <c r="Q2845" s="82"/>
      <c r="R2845" s="82"/>
      <c r="S2845" s="82"/>
      <c r="T2845" s="82"/>
      <c r="U2845" s="82"/>
      <c r="V2845" s="82"/>
      <c r="W2845" s="82"/>
      <c r="X2845" s="82"/>
      <c r="Y2845" s="82"/>
      <c r="Z2845" s="82"/>
      <c r="AA2845" s="82"/>
      <c r="AB2845" s="82"/>
      <c r="AC2845" s="82"/>
      <c r="AD2845" s="82"/>
      <c r="AE2845" s="82"/>
      <c r="AF2845" s="82"/>
      <c r="AG2845" s="82"/>
      <c r="AH2845" s="82"/>
      <c r="AI2845" s="82"/>
      <c r="AJ2845" s="82"/>
      <c r="AK2845" s="82"/>
      <c r="AL2845" s="82"/>
      <c r="AM2845" s="82"/>
      <c r="AN2845" s="82"/>
      <c r="AO2845" s="82"/>
      <c r="AP2845" s="82"/>
      <c r="AQ2845" s="82"/>
      <c r="AR2845" s="82"/>
      <c r="AS2845" s="82"/>
      <c r="AT2845" s="82"/>
      <c r="AU2845" s="82"/>
      <c r="AV2845" s="82"/>
      <c r="AW2845" s="82" t="str">
        <f t="shared" si="1"/>
        <v/>
      </c>
      <c r="AX2845" s="83" t="str">
        <f t="array" ref="AX2845">IFERROR(DGET('SBV Import'!A:G,"SBV",{"RSC ID","Tier";B2845,A2845}))</f>
        <v/>
      </c>
      <c r="AY2845" s="82" t="str">
        <f t="shared" si="2"/>
        <v/>
      </c>
      <c r="AZ2845" s="82"/>
      <c r="BA2845" s="84" t="s">
        <v>152</v>
      </c>
      <c r="BB2845" s="84" t="str">
        <f>IFERROR(__xludf.DUMMYFUNCTION("iferror(if(A2845="""",,E2845&gt;=FILTER(Constants!$F$2:$F$10,Constants!$A$2:$A$10=A2845)))"),"")</f>
        <v/>
      </c>
    </row>
    <row r="2846">
      <c r="A2846" s="89"/>
      <c r="B2846" s="87"/>
      <c r="C2846" s="73"/>
      <c r="D2846" s="73"/>
      <c r="E2846" s="82"/>
      <c r="F2846" s="82"/>
      <c r="G2846" s="86"/>
      <c r="H2846" s="86"/>
      <c r="I2846" s="86"/>
      <c r="J2846" s="82"/>
      <c r="K2846" s="82"/>
      <c r="L2846" s="82"/>
      <c r="M2846" s="82"/>
      <c r="N2846" s="82"/>
      <c r="O2846" s="82"/>
      <c r="P2846" s="82"/>
      <c r="Q2846" s="82"/>
      <c r="R2846" s="82"/>
      <c r="S2846" s="82"/>
      <c r="T2846" s="82"/>
      <c r="U2846" s="82"/>
      <c r="V2846" s="82"/>
      <c r="W2846" s="82"/>
      <c r="X2846" s="82"/>
      <c r="Y2846" s="82"/>
      <c r="Z2846" s="82"/>
      <c r="AA2846" s="82"/>
      <c r="AB2846" s="82"/>
      <c r="AC2846" s="82"/>
      <c r="AD2846" s="82"/>
      <c r="AE2846" s="82"/>
      <c r="AF2846" s="82"/>
      <c r="AG2846" s="82"/>
      <c r="AH2846" s="82"/>
      <c r="AI2846" s="82"/>
      <c r="AJ2846" s="82"/>
      <c r="AK2846" s="82"/>
      <c r="AL2846" s="82"/>
      <c r="AM2846" s="82"/>
      <c r="AN2846" s="82"/>
      <c r="AO2846" s="82"/>
      <c r="AP2846" s="82"/>
      <c r="AQ2846" s="82"/>
      <c r="AR2846" s="82"/>
      <c r="AS2846" s="82"/>
      <c r="AT2846" s="82"/>
      <c r="AU2846" s="82"/>
      <c r="AV2846" s="82"/>
      <c r="AW2846" s="82" t="str">
        <f t="shared" si="1"/>
        <v/>
      </c>
      <c r="AX2846" s="83" t="str">
        <f t="array" ref="AX2846">IFERROR(DGET('SBV Import'!A:G,"SBV",{"RSC ID","Tier";B2846,A2846}))</f>
        <v/>
      </c>
      <c r="AY2846" s="82" t="str">
        <f t="shared" si="2"/>
        <v/>
      </c>
      <c r="AZ2846" s="82"/>
      <c r="BA2846" s="84" t="s">
        <v>152</v>
      </c>
      <c r="BB2846" s="84" t="str">
        <f>IFERROR(__xludf.DUMMYFUNCTION("iferror(if(A2846="""",,E2846&gt;=FILTER(Constants!$F$2:$F$10,Constants!$A$2:$A$10=A2846)))"),"")</f>
        <v/>
      </c>
    </row>
    <row r="2847">
      <c r="A2847" s="89"/>
      <c r="B2847" s="87"/>
      <c r="C2847" s="73"/>
      <c r="D2847" s="73"/>
      <c r="E2847" s="82"/>
      <c r="F2847" s="82"/>
      <c r="G2847" s="86"/>
      <c r="H2847" s="86"/>
      <c r="I2847" s="86"/>
      <c r="J2847" s="82"/>
      <c r="K2847" s="82"/>
      <c r="L2847" s="82"/>
      <c r="M2847" s="82"/>
      <c r="N2847" s="82"/>
      <c r="O2847" s="82"/>
      <c r="P2847" s="82"/>
      <c r="Q2847" s="82"/>
      <c r="R2847" s="82"/>
      <c r="S2847" s="82"/>
      <c r="T2847" s="82"/>
      <c r="U2847" s="82"/>
      <c r="V2847" s="82"/>
      <c r="W2847" s="82"/>
      <c r="X2847" s="82"/>
      <c r="Y2847" s="82"/>
      <c r="Z2847" s="82"/>
      <c r="AA2847" s="82"/>
      <c r="AB2847" s="82"/>
      <c r="AC2847" s="82"/>
      <c r="AD2847" s="82"/>
      <c r="AE2847" s="82"/>
      <c r="AF2847" s="82"/>
      <c r="AG2847" s="82"/>
      <c r="AH2847" s="82"/>
      <c r="AI2847" s="82"/>
      <c r="AJ2847" s="82"/>
      <c r="AK2847" s="82"/>
      <c r="AL2847" s="82"/>
      <c r="AM2847" s="82"/>
      <c r="AN2847" s="82"/>
      <c r="AO2847" s="82"/>
      <c r="AP2847" s="82"/>
      <c r="AQ2847" s="82"/>
      <c r="AR2847" s="82"/>
      <c r="AS2847" s="82"/>
      <c r="AT2847" s="82"/>
      <c r="AU2847" s="82"/>
      <c r="AV2847" s="82"/>
      <c r="AW2847" s="82" t="str">
        <f t="shared" si="1"/>
        <v/>
      </c>
      <c r="AX2847" s="83" t="str">
        <f t="array" ref="AX2847">IFERROR(DGET('SBV Import'!A:G,"SBV",{"RSC ID","Tier";B2847,A2847}))</f>
        <v/>
      </c>
      <c r="AY2847" s="82" t="str">
        <f t="shared" si="2"/>
        <v/>
      </c>
      <c r="AZ2847" s="82"/>
      <c r="BA2847" s="84" t="s">
        <v>152</v>
      </c>
      <c r="BB2847" s="84" t="str">
        <f>IFERROR(__xludf.DUMMYFUNCTION("iferror(if(A2847="""",,E2847&gt;=FILTER(Constants!$F$2:$F$10,Constants!$A$2:$A$10=A2847)))"),"")</f>
        <v/>
      </c>
    </row>
    <row r="2848">
      <c r="A2848" s="89"/>
      <c r="B2848" s="87"/>
      <c r="C2848" s="73"/>
      <c r="D2848" s="73"/>
      <c r="E2848" s="82"/>
      <c r="F2848" s="82"/>
      <c r="G2848" s="86"/>
      <c r="H2848" s="86"/>
      <c r="I2848" s="86"/>
      <c r="J2848" s="82"/>
      <c r="K2848" s="82"/>
      <c r="L2848" s="82"/>
      <c r="M2848" s="82"/>
      <c r="N2848" s="82"/>
      <c r="O2848" s="82"/>
      <c r="P2848" s="82"/>
      <c r="Q2848" s="82"/>
      <c r="R2848" s="82"/>
      <c r="S2848" s="82"/>
      <c r="T2848" s="82"/>
      <c r="U2848" s="82"/>
      <c r="V2848" s="82"/>
      <c r="W2848" s="82"/>
      <c r="X2848" s="82"/>
      <c r="Y2848" s="82"/>
      <c r="Z2848" s="82"/>
      <c r="AA2848" s="82"/>
      <c r="AB2848" s="82"/>
      <c r="AC2848" s="82"/>
      <c r="AD2848" s="82"/>
      <c r="AE2848" s="82"/>
      <c r="AF2848" s="82"/>
      <c r="AG2848" s="82"/>
      <c r="AH2848" s="82"/>
      <c r="AI2848" s="82"/>
      <c r="AJ2848" s="82"/>
      <c r="AK2848" s="82"/>
      <c r="AL2848" s="82"/>
      <c r="AM2848" s="82"/>
      <c r="AN2848" s="82"/>
      <c r="AO2848" s="82"/>
      <c r="AP2848" s="82"/>
      <c r="AQ2848" s="82"/>
      <c r="AR2848" s="82"/>
      <c r="AS2848" s="82"/>
      <c r="AT2848" s="82"/>
      <c r="AU2848" s="82"/>
      <c r="AV2848" s="82"/>
      <c r="AW2848" s="82" t="str">
        <f t="shared" si="1"/>
        <v/>
      </c>
      <c r="AX2848" s="83" t="str">
        <f t="array" ref="AX2848">IFERROR(DGET('SBV Import'!A:G,"SBV",{"RSC ID","Tier";B2848,A2848}))</f>
        <v/>
      </c>
      <c r="AY2848" s="82" t="str">
        <f t="shared" si="2"/>
        <v/>
      </c>
      <c r="AZ2848" s="82"/>
      <c r="BA2848" s="84" t="s">
        <v>152</v>
      </c>
      <c r="BB2848" s="84" t="str">
        <f>IFERROR(__xludf.DUMMYFUNCTION("iferror(if(A2848="""",,E2848&gt;=FILTER(Constants!$F$2:$F$10,Constants!$A$2:$A$10=A2848)))"),"")</f>
        <v/>
      </c>
    </row>
    <row r="2849">
      <c r="A2849" s="89"/>
      <c r="B2849" s="87"/>
      <c r="C2849" s="73"/>
      <c r="D2849" s="73"/>
      <c r="E2849" s="82"/>
      <c r="F2849" s="82"/>
      <c r="G2849" s="86"/>
      <c r="H2849" s="86"/>
      <c r="I2849" s="86"/>
      <c r="J2849" s="82"/>
      <c r="K2849" s="82"/>
      <c r="L2849" s="82"/>
      <c r="M2849" s="82"/>
      <c r="N2849" s="82"/>
      <c r="O2849" s="82"/>
      <c r="P2849" s="82"/>
      <c r="Q2849" s="82"/>
      <c r="R2849" s="82"/>
      <c r="S2849" s="82"/>
      <c r="T2849" s="82"/>
      <c r="U2849" s="82"/>
      <c r="V2849" s="82"/>
      <c r="W2849" s="82"/>
      <c r="X2849" s="82"/>
      <c r="Y2849" s="82"/>
      <c r="Z2849" s="82"/>
      <c r="AA2849" s="82"/>
      <c r="AB2849" s="82"/>
      <c r="AC2849" s="82"/>
      <c r="AD2849" s="82"/>
      <c r="AE2849" s="82"/>
      <c r="AF2849" s="82"/>
      <c r="AG2849" s="82"/>
      <c r="AH2849" s="82"/>
      <c r="AI2849" s="82"/>
      <c r="AJ2849" s="82"/>
      <c r="AK2849" s="82"/>
      <c r="AL2849" s="82"/>
      <c r="AM2849" s="82"/>
      <c r="AN2849" s="82"/>
      <c r="AO2849" s="82"/>
      <c r="AP2849" s="82"/>
      <c r="AQ2849" s="82"/>
      <c r="AR2849" s="82"/>
      <c r="AS2849" s="82"/>
      <c r="AT2849" s="82"/>
      <c r="AU2849" s="82"/>
      <c r="AV2849" s="82"/>
      <c r="AW2849" s="82" t="str">
        <f t="shared" si="1"/>
        <v/>
      </c>
      <c r="AX2849" s="83" t="str">
        <f t="array" ref="AX2849">IFERROR(DGET('SBV Import'!A:G,"SBV",{"RSC ID","Tier";B2849,A2849}))</f>
        <v/>
      </c>
      <c r="AY2849" s="82" t="str">
        <f t="shared" si="2"/>
        <v/>
      </c>
      <c r="AZ2849" s="82"/>
      <c r="BA2849" s="84" t="s">
        <v>152</v>
      </c>
      <c r="BB2849" s="84" t="str">
        <f>IFERROR(__xludf.DUMMYFUNCTION("iferror(if(A2849="""",,E2849&gt;=FILTER(Constants!$F$2:$F$10,Constants!$A$2:$A$10=A2849)))"),"")</f>
        <v/>
      </c>
    </row>
    <row r="2850">
      <c r="A2850" s="89"/>
      <c r="B2850" s="87"/>
      <c r="C2850" s="73"/>
      <c r="D2850" s="73"/>
      <c r="E2850" s="82"/>
      <c r="F2850" s="82"/>
      <c r="G2850" s="86"/>
      <c r="H2850" s="86"/>
      <c r="I2850" s="86"/>
      <c r="J2850" s="82"/>
      <c r="K2850" s="82"/>
      <c r="L2850" s="82"/>
      <c r="M2850" s="82"/>
      <c r="N2850" s="82"/>
      <c r="O2850" s="82"/>
      <c r="P2850" s="82"/>
      <c r="Q2850" s="82"/>
      <c r="R2850" s="82"/>
      <c r="S2850" s="82"/>
      <c r="T2850" s="82"/>
      <c r="U2850" s="82"/>
      <c r="V2850" s="82"/>
      <c r="W2850" s="82"/>
      <c r="X2850" s="82"/>
      <c r="Y2850" s="82"/>
      <c r="Z2850" s="82"/>
      <c r="AA2850" s="82"/>
      <c r="AB2850" s="82"/>
      <c r="AC2850" s="82"/>
      <c r="AD2850" s="82"/>
      <c r="AE2850" s="82"/>
      <c r="AF2850" s="82"/>
      <c r="AG2850" s="82"/>
      <c r="AH2850" s="82"/>
      <c r="AI2850" s="82"/>
      <c r="AJ2850" s="82"/>
      <c r="AK2850" s="82"/>
      <c r="AL2850" s="82"/>
      <c r="AM2850" s="82"/>
      <c r="AN2850" s="82"/>
      <c r="AO2850" s="82"/>
      <c r="AP2850" s="82"/>
      <c r="AQ2850" s="82"/>
      <c r="AR2850" s="82"/>
      <c r="AS2850" s="82"/>
      <c r="AT2850" s="82"/>
      <c r="AU2850" s="82"/>
      <c r="AV2850" s="82"/>
      <c r="AW2850" s="82" t="str">
        <f t="shared" si="1"/>
        <v/>
      </c>
      <c r="AX2850" s="83" t="str">
        <f t="array" ref="AX2850">IFERROR(DGET('SBV Import'!A:G,"SBV",{"RSC ID","Tier";B2850,A2850}))</f>
        <v/>
      </c>
      <c r="AY2850" s="82" t="str">
        <f t="shared" si="2"/>
        <v/>
      </c>
      <c r="AZ2850" s="82"/>
      <c r="BA2850" s="84" t="s">
        <v>152</v>
      </c>
      <c r="BB2850" s="84" t="str">
        <f>IFERROR(__xludf.DUMMYFUNCTION("iferror(if(A2850="""",,E2850&gt;=FILTER(Constants!$F$2:$F$10,Constants!$A$2:$A$10=A2850)))"),"")</f>
        <v/>
      </c>
    </row>
    <row r="2851">
      <c r="A2851" s="89"/>
      <c r="B2851" s="87"/>
      <c r="C2851" s="73"/>
      <c r="D2851" s="73"/>
      <c r="E2851" s="82"/>
      <c r="F2851" s="82"/>
      <c r="G2851" s="86"/>
      <c r="H2851" s="86"/>
      <c r="I2851" s="86"/>
      <c r="J2851" s="82"/>
      <c r="K2851" s="82"/>
      <c r="L2851" s="82"/>
      <c r="M2851" s="82"/>
      <c r="N2851" s="82"/>
      <c r="O2851" s="82"/>
      <c r="P2851" s="82"/>
      <c r="Q2851" s="82"/>
      <c r="R2851" s="82"/>
      <c r="S2851" s="82"/>
      <c r="T2851" s="82"/>
      <c r="U2851" s="82"/>
      <c r="V2851" s="82"/>
      <c r="W2851" s="82"/>
      <c r="X2851" s="82"/>
      <c r="Y2851" s="82"/>
      <c r="Z2851" s="82"/>
      <c r="AA2851" s="82"/>
      <c r="AB2851" s="82"/>
      <c r="AC2851" s="82"/>
      <c r="AD2851" s="82"/>
      <c r="AE2851" s="82"/>
      <c r="AF2851" s="82"/>
      <c r="AG2851" s="82"/>
      <c r="AH2851" s="82"/>
      <c r="AI2851" s="82"/>
      <c r="AJ2851" s="82"/>
      <c r="AK2851" s="82"/>
      <c r="AL2851" s="82"/>
      <c r="AM2851" s="82"/>
      <c r="AN2851" s="82"/>
      <c r="AO2851" s="82"/>
      <c r="AP2851" s="82"/>
      <c r="AQ2851" s="82"/>
      <c r="AR2851" s="82"/>
      <c r="AS2851" s="82"/>
      <c r="AT2851" s="82"/>
      <c r="AU2851" s="82"/>
      <c r="AV2851" s="82"/>
      <c r="AW2851" s="82" t="str">
        <f t="shared" si="1"/>
        <v/>
      </c>
      <c r="AX2851" s="83" t="str">
        <f t="array" ref="AX2851">IFERROR(DGET('SBV Import'!A:G,"SBV",{"RSC ID","Tier";B2851,A2851}))</f>
        <v/>
      </c>
      <c r="AY2851" s="82" t="str">
        <f t="shared" si="2"/>
        <v/>
      </c>
      <c r="AZ2851" s="82"/>
      <c r="BA2851" s="84" t="s">
        <v>152</v>
      </c>
      <c r="BB2851" s="84" t="str">
        <f>IFERROR(__xludf.DUMMYFUNCTION("iferror(if(A2851="""",,E2851&gt;=FILTER(Constants!$F$2:$F$10,Constants!$A$2:$A$10=A2851)))"),"")</f>
        <v/>
      </c>
    </row>
    <row r="2852">
      <c r="A2852" s="89"/>
      <c r="B2852" s="87"/>
      <c r="C2852" s="73"/>
      <c r="D2852" s="73"/>
      <c r="E2852" s="82"/>
      <c r="F2852" s="82"/>
      <c r="G2852" s="86"/>
      <c r="H2852" s="86"/>
      <c r="I2852" s="86"/>
      <c r="J2852" s="82"/>
      <c r="K2852" s="82"/>
      <c r="L2852" s="82"/>
      <c r="M2852" s="82"/>
      <c r="N2852" s="82"/>
      <c r="O2852" s="82"/>
      <c r="P2852" s="82"/>
      <c r="Q2852" s="82"/>
      <c r="R2852" s="82"/>
      <c r="S2852" s="82"/>
      <c r="T2852" s="82"/>
      <c r="U2852" s="82"/>
      <c r="V2852" s="82"/>
      <c r="W2852" s="82"/>
      <c r="X2852" s="82"/>
      <c r="Y2852" s="82"/>
      <c r="Z2852" s="82"/>
      <c r="AA2852" s="82"/>
      <c r="AB2852" s="82"/>
      <c r="AC2852" s="82"/>
      <c r="AD2852" s="82"/>
      <c r="AE2852" s="82"/>
      <c r="AF2852" s="82"/>
      <c r="AG2852" s="82"/>
      <c r="AH2852" s="82"/>
      <c r="AI2852" s="82"/>
      <c r="AJ2852" s="82"/>
      <c r="AK2852" s="82"/>
      <c r="AL2852" s="82"/>
      <c r="AM2852" s="82"/>
      <c r="AN2852" s="82"/>
      <c r="AO2852" s="82"/>
      <c r="AP2852" s="82"/>
      <c r="AQ2852" s="82"/>
      <c r="AR2852" s="82"/>
      <c r="AS2852" s="82"/>
      <c r="AT2852" s="82"/>
      <c r="AU2852" s="82"/>
      <c r="AV2852" s="82"/>
      <c r="AW2852" s="82" t="str">
        <f t="shared" si="1"/>
        <v/>
      </c>
      <c r="AX2852" s="83" t="str">
        <f t="array" ref="AX2852">IFERROR(DGET('SBV Import'!A:G,"SBV",{"RSC ID","Tier";B2852,A2852}))</f>
        <v/>
      </c>
      <c r="AY2852" s="82" t="str">
        <f t="shared" si="2"/>
        <v/>
      </c>
      <c r="AZ2852" s="82"/>
      <c r="BA2852" s="84" t="s">
        <v>152</v>
      </c>
      <c r="BB2852" s="84" t="str">
        <f>IFERROR(__xludf.DUMMYFUNCTION("iferror(if(A2852="""",,E2852&gt;=FILTER(Constants!$F$2:$F$10,Constants!$A$2:$A$10=A2852)))"),"")</f>
        <v/>
      </c>
    </row>
    <row r="2853">
      <c r="A2853" s="89"/>
      <c r="B2853" s="87"/>
      <c r="C2853" s="73"/>
      <c r="D2853" s="73"/>
      <c r="E2853" s="82"/>
      <c r="F2853" s="82"/>
      <c r="G2853" s="86"/>
      <c r="H2853" s="86"/>
      <c r="I2853" s="86"/>
      <c r="J2853" s="82"/>
      <c r="K2853" s="82"/>
      <c r="L2853" s="82"/>
      <c r="M2853" s="82"/>
      <c r="N2853" s="82"/>
      <c r="O2853" s="82"/>
      <c r="P2853" s="82"/>
      <c r="Q2853" s="82"/>
      <c r="R2853" s="82"/>
      <c r="S2853" s="82"/>
      <c r="T2853" s="82"/>
      <c r="U2853" s="82"/>
      <c r="V2853" s="82"/>
      <c r="W2853" s="82"/>
      <c r="X2853" s="82"/>
      <c r="Y2853" s="82"/>
      <c r="Z2853" s="82"/>
      <c r="AA2853" s="82"/>
      <c r="AB2853" s="82"/>
      <c r="AC2853" s="82"/>
      <c r="AD2853" s="82"/>
      <c r="AE2853" s="82"/>
      <c r="AF2853" s="82"/>
      <c r="AG2853" s="82"/>
      <c r="AH2853" s="82"/>
      <c r="AI2853" s="82"/>
      <c r="AJ2853" s="82"/>
      <c r="AK2853" s="82"/>
      <c r="AL2853" s="82"/>
      <c r="AM2853" s="82"/>
      <c r="AN2853" s="82"/>
      <c r="AO2853" s="82"/>
      <c r="AP2853" s="82"/>
      <c r="AQ2853" s="82"/>
      <c r="AR2853" s="82"/>
      <c r="AS2853" s="82"/>
      <c r="AT2853" s="82"/>
      <c r="AU2853" s="82"/>
      <c r="AV2853" s="82"/>
      <c r="AW2853" s="82" t="str">
        <f t="shared" si="1"/>
        <v/>
      </c>
      <c r="AX2853" s="83" t="str">
        <f t="array" ref="AX2853">IFERROR(DGET('SBV Import'!A:G,"SBV",{"RSC ID","Tier";B2853,A2853}))</f>
        <v/>
      </c>
      <c r="AY2853" s="82" t="str">
        <f t="shared" si="2"/>
        <v/>
      </c>
      <c r="AZ2853" s="82"/>
      <c r="BA2853" s="84" t="s">
        <v>152</v>
      </c>
      <c r="BB2853" s="84" t="str">
        <f>IFERROR(__xludf.DUMMYFUNCTION("iferror(if(A2853="""",,E2853&gt;=FILTER(Constants!$F$2:$F$10,Constants!$A$2:$A$10=A2853)))"),"")</f>
        <v/>
      </c>
    </row>
    <row r="2854">
      <c r="A2854" s="89"/>
      <c r="B2854" s="87"/>
      <c r="C2854" s="73"/>
      <c r="D2854" s="73"/>
      <c r="E2854" s="82"/>
      <c r="F2854" s="82"/>
      <c r="G2854" s="86"/>
      <c r="H2854" s="86"/>
      <c r="I2854" s="86"/>
      <c r="J2854" s="82"/>
      <c r="K2854" s="82"/>
      <c r="L2854" s="82"/>
      <c r="M2854" s="82"/>
      <c r="N2854" s="82"/>
      <c r="O2854" s="82"/>
      <c r="P2854" s="82"/>
      <c r="Q2854" s="82"/>
      <c r="R2854" s="82"/>
      <c r="S2854" s="82"/>
      <c r="T2854" s="82"/>
      <c r="U2854" s="82"/>
      <c r="V2854" s="82"/>
      <c r="W2854" s="82"/>
      <c r="X2854" s="82"/>
      <c r="Y2854" s="82"/>
      <c r="Z2854" s="82"/>
      <c r="AA2854" s="82"/>
      <c r="AB2854" s="82"/>
      <c r="AC2854" s="82"/>
      <c r="AD2854" s="82"/>
      <c r="AE2854" s="82"/>
      <c r="AF2854" s="82"/>
      <c r="AG2854" s="82"/>
      <c r="AH2854" s="82"/>
      <c r="AI2854" s="82"/>
      <c r="AJ2854" s="82"/>
      <c r="AK2854" s="82"/>
      <c r="AL2854" s="82"/>
      <c r="AM2854" s="82"/>
      <c r="AN2854" s="82"/>
      <c r="AO2854" s="82"/>
      <c r="AP2854" s="82"/>
      <c r="AQ2854" s="82"/>
      <c r="AR2854" s="82"/>
      <c r="AS2854" s="82"/>
      <c r="AT2854" s="82"/>
      <c r="AU2854" s="82"/>
      <c r="AV2854" s="82"/>
      <c r="AW2854" s="82" t="str">
        <f t="shared" si="1"/>
        <v/>
      </c>
      <c r="AX2854" s="83" t="str">
        <f t="array" ref="AX2854">IFERROR(DGET('SBV Import'!A:G,"SBV",{"RSC ID","Tier";B2854,A2854}))</f>
        <v/>
      </c>
      <c r="AY2854" s="82" t="str">
        <f t="shared" si="2"/>
        <v/>
      </c>
      <c r="AZ2854" s="82"/>
      <c r="BA2854" s="84" t="s">
        <v>152</v>
      </c>
      <c r="BB2854" s="84" t="str">
        <f>IFERROR(__xludf.DUMMYFUNCTION("iferror(if(A2854="""",,E2854&gt;=FILTER(Constants!$F$2:$F$10,Constants!$A$2:$A$10=A2854)))"),"")</f>
        <v/>
      </c>
    </row>
    <row r="2855">
      <c r="A2855" s="89"/>
      <c r="B2855" s="87"/>
      <c r="C2855" s="73"/>
      <c r="D2855" s="73"/>
      <c r="E2855" s="82"/>
      <c r="F2855" s="82"/>
      <c r="G2855" s="86"/>
      <c r="H2855" s="86"/>
      <c r="I2855" s="86"/>
      <c r="J2855" s="82"/>
      <c r="K2855" s="82"/>
      <c r="L2855" s="82"/>
      <c r="M2855" s="82"/>
      <c r="N2855" s="82"/>
      <c r="O2855" s="82"/>
      <c r="P2855" s="82"/>
      <c r="Q2855" s="82"/>
      <c r="R2855" s="82"/>
      <c r="S2855" s="82"/>
      <c r="T2855" s="82"/>
      <c r="U2855" s="82"/>
      <c r="V2855" s="82"/>
      <c r="W2855" s="82"/>
      <c r="X2855" s="82"/>
      <c r="Y2855" s="82"/>
      <c r="Z2855" s="82"/>
      <c r="AA2855" s="82"/>
      <c r="AB2855" s="82"/>
      <c r="AC2855" s="82"/>
      <c r="AD2855" s="82"/>
      <c r="AE2855" s="82"/>
      <c r="AF2855" s="82"/>
      <c r="AG2855" s="82"/>
      <c r="AH2855" s="82"/>
      <c r="AI2855" s="82"/>
      <c r="AJ2855" s="82"/>
      <c r="AK2855" s="82"/>
      <c r="AL2855" s="82"/>
      <c r="AM2855" s="82"/>
      <c r="AN2855" s="82"/>
      <c r="AO2855" s="82"/>
      <c r="AP2855" s="82"/>
      <c r="AQ2855" s="82"/>
      <c r="AR2855" s="82"/>
      <c r="AS2855" s="82"/>
      <c r="AT2855" s="82"/>
      <c r="AU2855" s="82"/>
      <c r="AV2855" s="82"/>
      <c r="AW2855" s="82" t="str">
        <f t="shared" si="1"/>
        <v/>
      </c>
      <c r="AX2855" s="83" t="str">
        <f t="array" ref="AX2855">IFERROR(DGET('SBV Import'!A:G,"SBV",{"RSC ID","Tier";B2855,A2855}))</f>
        <v/>
      </c>
      <c r="AY2855" s="82" t="str">
        <f t="shared" si="2"/>
        <v/>
      </c>
      <c r="AZ2855" s="82"/>
      <c r="BA2855" s="84" t="s">
        <v>152</v>
      </c>
      <c r="BB2855" s="84" t="str">
        <f>IFERROR(__xludf.DUMMYFUNCTION("iferror(if(A2855="""",,E2855&gt;=FILTER(Constants!$F$2:$F$10,Constants!$A$2:$A$10=A2855)))"),"")</f>
        <v/>
      </c>
    </row>
    <row r="2856">
      <c r="A2856" s="89"/>
      <c r="B2856" s="87"/>
      <c r="C2856" s="73"/>
      <c r="D2856" s="73"/>
      <c r="E2856" s="82"/>
      <c r="F2856" s="82"/>
      <c r="G2856" s="86"/>
      <c r="H2856" s="86"/>
      <c r="I2856" s="86"/>
      <c r="J2856" s="82"/>
      <c r="K2856" s="82"/>
      <c r="L2856" s="82"/>
      <c r="M2856" s="82"/>
      <c r="N2856" s="82"/>
      <c r="O2856" s="82"/>
      <c r="P2856" s="82"/>
      <c r="Q2856" s="82"/>
      <c r="R2856" s="82"/>
      <c r="S2856" s="82"/>
      <c r="T2856" s="82"/>
      <c r="U2856" s="82"/>
      <c r="V2856" s="82"/>
      <c r="W2856" s="82"/>
      <c r="X2856" s="82"/>
      <c r="Y2856" s="82"/>
      <c r="Z2856" s="82"/>
      <c r="AA2856" s="82"/>
      <c r="AB2856" s="82"/>
      <c r="AC2856" s="82"/>
      <c r="AD2856" s="82"/>
      <c r="AE2856" s="82"/>
      <c r="AF2856" s="82"/>
      <c r="AG2856" s="82"/>
      <c r="AH2856" s="82"/>
      <c r="AI2856" s="82"/>
      <c r="AJ2856" s="82"/>
      <c r="AK2856" s="82"/>
      <c r="AL2856" s="82"/>
      <c r="AM2856" s="82"/>
      <c r="AN2856" s="82"/>
      <c r="AO2856" s="82"/>
      <c r="AP2856" s="82"/>
      <c r="AQ2856" s="82"/>
      <c r="AR2856" s="82"/>
      <c r="AS2856" s="82"/>
      <c r="AT2856" s="82"/>
      <c r="AU2856" s="82"/>
      <c r="AV2856" s="82"/>
      <c r="AW2856" s="82" t="str">
        <f t="shared" si="1"/>
        <v/>
      </c>
      <c r="AX2856" s="83" t="str">
        <f t="array" ref="AX2856">IFERROR(DGET('SBV Import'!A:G,"SBV",{"RSC ID","Tier";B2856,A2856}))</f>
        <v/>
      </c>
      <c r="AY2856" s="82" t="str">
        <f t="shared" si="2"/>
        <v/>
      </c>
      <c r="AZ2856" s="82"/>
      <c r="BA2856" s="84" t="s">
        <v>152</v>
      </c>
      <c r="BB2856" s="84" t="str">
        <f>IFERROR(__xludf.DUMMYFUNCTION("iferror(if(A2856="""",,E2856&gt;=FILTER(Constants!$F$2:$F$10,Constants!$A$2:$A$10=A2856)))"),"")</f>
        <v/>
      </c>
    </row>
    <row r="2857">
      <c r="A2857" s="89"/>
      <c r="B2857" s="87"/>
      <c r="C2857" s="73"/>
      <c r="D2857" s="73"/>
      <c r="E2857" s="82"/>
      <c r="F2857" s="82"/>
      <c r="G2857" s="86"/>
      <c r="H2857" s="86"/>
      <c r="I2857" s="86"/>
      <c r="J2857" s="82"/>
      <c r="K2857" s="82"/>
      <c r="L2857" s="82"/>
      <c r="M2857" s="82"/>
      <c r="N2857" s="82"/>
      <c r="O2857" s="82"/>
      <c r="P2857" s="82"/>
      <c r="Q2857" s="82"/>
      <c r="R2857" s="82"/>
      <c r="S2857" s="82"/>
      <c r="T2857" s="82"/>
      <c r="U2857" s="82"/>
      <c r="V2857" s="82"/>
      <c r="W2857" s="82"/>
      <c r="X2857" s="82"/>
      <c r="Y2857" s="82"/>
      <c r="Z2857" s="82"/>
      <c r="AA2857" s="82"/>
      <c r="AB2857" s="82"/>
      <c r="AC2857" s="82"/>
      <c r="AD2857" s="82"/>
      <c r="AE2857" s="82"/>
      <c r="AF2857" s="82"/>
      <c r="AG2857" s="82"/>
      <c r="AH2857" s="82"/>
      <c r="AI2857" s="82"/>
      <c r="AJ2857" s="82"/>
      <c r="AK2857" s="82"/>
      <c r="AL2857" s="82"/>
      <c r="AM2857" s="82"/>
      <c r="AN2857" s="82"/>
      <c r="AO2857" s="82"/>
      <c r="AP2857" s="82"/>
      <c r="AQ2857" s="82"/>
      <c r="AR2857" s="82"/>
      <c r="AS2857" s="82"/>
      <c r="AT2857" s="82"/>
      <c r="AU2857" s="82"/>
      <c r="AV2857" s="82"/>
      <c r="AW2857" s="82" t="str">
        <f t="shared" si="1"/>
        <v/>
      </c>
      <c r="AX2857" s="83" t="str">
        <f t="array" ref="AX2857">IFERROR(DGET('SBV Import'!A:G,"SBV",{"RSC ID","Tier";B2857,A2857}))</f>
        <v/>
      </c>
      <c r="AY2857" s="82" t="str">
        <f t="shared" si="2"/>
        <v/>
      </c>
      <c r="AZ2857" s="82"/>
      <c r="BA2857" s="84" t="s">
        <v>152</v>
      </c>
      <c r="BB2857" s="84" t="str">
        <f>IFERROR(__xludf.DUMMYFUNCTION("iferror(if(A2857="""",,E2857&gt;=FILTER(Constants!$F$2:$F$10,Constants!$A$2:$A$10=A2857)))"),"")</f>
        <v/>
      </c>
    </row>
    <row r="2858">
      <c r="A2858" s="89"/>
      <c r="B2858" s="87"/>
      <c r="C2858" s="73"/>
      <c r="D2858" s="73"/>
      <c r="E2858" s="82"/>
      <c r="F2858" s="82"/>
      <c r="G2858" s="86"/>
      <c r="H2858" s="86"/>
      <c r="I2858" s="86"/>
      <c r="J2858" s="82"/>
      <c r="K2858" s="82"/>
      <c r="L2858" s="82"/>
      <c r="M2858" s="82"/>
      <c r="N2858" s="82"/>
      <c r="O2858" s="82"/>
      <c r="P2858" s="82"/>
      <c r="Q2858" s="82"/>
      <c r="R2858" s="82"/>
      <c r="S2858" s="82"/>
      <c r="T2858" s="82"/>
      <c r="U2858" s="82"/>
      <c r="V2858" s="82"/>
      <c r="W2858" s="82"/>
      <c r="X2858" s="82"/>
      <c r="Y2858" s="82"/>
      <c r="Z2858" s="82"/>
      <c r="AA2858" s="82"/>
      <c r="AB2858" s="82"/>
      <c r="AC2858" s="82"/>
      <c r="AD2858" s="82"/>
      <c r="AE2858" s="82"/>
      <c r="AF2858" s="82"/>
      <c r="AG2858" s="82"/>
      <c r="AH2858" s="82"/>
      <c r="AI2858" s="82"/>
      <c r="AJ2858" s="82"/>
      <c r="AK2858" s="82"/>
      <c r="AL2858" s="82"/>
      <c r="AM2858" s="82"/>
      <c r="AN2858" s="82"/>
      <c r="AO2858" s="82"/>
      <c r="AP2858" s="82"/>
      <c r="AQ2858" s="82"/>
      <c r="AR2858" s="82"/>
      <c r="AS2858" s="82"/>
      <c r="AT2858" s="82"/>
      <c r="AU2858" s="82"/>
      <c r="AV2858" s="82"/>
      <c r="AW2858" s="82" t="str">
        <f t="shared" si="1"/>
        <v/>
      </c>
      <c r="AX2858" s="83" t="str">
        <f t="array" ref="AX2858">IFERROR(DGET('SBV Import'!A:G,"SBV",{"RSC ID","Tier";B2858,A2858}))</f>
        <v/>
      </c>
      <c r="AY2858" s="82" t="str">
        <f t="shared" si="2"/>
        <v/>
      </c>
      <c r="AZ2858" s="82"/>
      <c r="BA2858" s="84" t="s">
        <v>152</v>
      </c>
      <c r="BB2858" s="84" t="str">
        <f>IFERROR(__xludf.DUMMYFUNCTION("iferror(if(A2858="""",,E2858&gt;=FILTER(Constants!$F$2:$F$10,Constants!$A$2:$A$10=A2858)))"),"")</f>
        <v/>
      </c>
    </row>
    <row r="2859">
      <c r="A2859" s="89"/>
      <c r="B2859" s="87"/>
      <c r="C2859" s="73"/>
      <c r="D2859" s="73"/>
      <c r="E2859" s="82"/>
      <c r="F2859" s="82"/>
      <c r="G2859" s="86"/>
      <c r="H2859" s="86"/>
      <c r="I2859" s="86"/>
      <c r="J2859" s="82"/>
      <c r="K2859" s="82"/>
      <c r="L2859" s="82"/>
      <c r="M2859" s="82"/>
      <c r="N2859" s="82"/>
      <c r="O2859" s="82"/>
      <c r="P2859" s="82"/>
      <c r="Q2859" s="82"/>
      <c r="R2859" s="82"/>
      <c r="S2859" s="82"/>
      <c r="T2859" s="82"/>
      <c r="U2859" s="82"/>
      <c r="V2859" s="82"/>
      <c r="W2859" s="82"/>
      <c r="X2859" s="82"/>
      <c r="Y2859" s="82"/>
      <c r="Z2859" s="82"/>
      <c r="AA2859" s="82"/>
      <c r="AB2859" s="82"/>
      <c r="AC2859" s="82"/>
      <c r="AD2859" s="82"/>
      <c r="AE2859" s="82"/>
      <c r="AF2859" s="82"/>
      <c r="AG2859" s="82"/>
      <c r="AH2859" s="82"/>
      <c r="AI2859" s="82"/>
      <c r="AJ2859" s="82"/>
      <c r="AK2859" s="82"/>
      <c r="AL2859" s="82"/>
      <c r="AM2859" s="82"/>
      <c r="AN2859" s="82"/>
      <c r="AO2859" s="82"/>
      <c r="AP2859" s="82"/>
      <c r="AQ2859" s="82"/>
      <c r="AR2859" s="82"/>
      <c r="AS2859" s="82"/>
      <c r="AT2859" s="82"/>
      <c r="AU2859" s="82"/>
      <c r="AV2859" s="82"/>
      <c r="AW2859" s="82" t="str">
        <f t="shared" si="1"/>
        <v/>
      </c>
      <c r="AX2859" s="83" t="str">
        <f t="array" ref="AX2859">IFERROR(DGET('SBV Import'!A:G,"SBV",{"RSC ID","Tier";B2859,A2859}))</f>
        <v/>
      </c>
      <c r="AY2859" s="82" t="str">
        <f t="shared" si="2"/>
        <v/>
      </c>
      <c r="AZ2859" s="82"/>
      <c r="BA2859" s="84" t="s">
        <v>152</v>
      </c>
      <c r="BB2859" s="84" t="str">
        <f>IFERROR(__xludf.DUMMYFUNCTION("iferror(if(A2859="""",,E2859&gt;=FILTER(Constants!$F$2:$F$10,Constants!$A$2:$A$10=A2859)))"),"")</f>
        <v/>
      </c>
    </row>
    <row r="2860">
      <c r="A2860" s="89"/>
      <c r="B2860" s="87"/>
      <c r="C2860" s="73"/>
      <c r="D2860" s="73"/>
      <c r="E2860" s="82"/>
      <c r="F2860" s="82"/>
      <c r="G2860" s="86"/>
      <c r="H2860" s="86"/>
      <c r="I2860" s="86"/>
      <c r="J2860" s="82"/>
      <c r="K2860" s="82"/>
      <c r="L2860" s="82"/>
      <c r="M2860" s="82"/>
      <c r="N2860" s="82"/>
      <c r="O2860" s="82"/>
      <c r="P2860" s="82"/>
      <c r="Q2860" s="82"/>
      <c r="R2860" s="82"/>
      <c r="S2860" s="82"/>
      <c r="T2860" s="82"/>
      <c r="U2860" s="82"/>
      <c r="V2860" s="82"/>
      <c r="W2860" s="82"/>
      <c r="X2860" s="82"/>
      <c r="Y2860" s="82"/>
      <c r="Z2860" s="82"/>
      <c r="AA2860" s="82"/>
      <c r="AB2860" s="82"/>
      <c r="AC2860" s="82"/>
      <c r="AD2860" s="82"/>
      <c r="AE2860" s="82"/>
      <c r="AF2860" s="82"/>
      <c r="AG2860" s="82"/>
      <c r="AH2860" s="82"/>
      <c r="AI2860" s="82"/>
      <c r="AJ2860" s="82"/>
      <c r="AK2860" s="82"/>
      <c r="AL2860" s="82"/>
      <c r="AM2860" s="82"/>
      <c r="AN2860" s="82"/>
      <c r="AO2860" s="82"/>
      <c r="AP2860" s="82"/>
      <c r="AQ2860" s="82"/>
      <c r="AR2860" s="82"/>
      <c r="AS2860" s="82"/>
      <c r="AT2860" s="82"/>
      <c r="AU2860" s="82"/>
      <c r="AV2860" s="82"/>
      <c r="AW2860" s="82" t="str">
        <f t="shared" si="1"/>
        <v/>
      </c>
      <c r="AX2860" s="83" t="str">
        <f t="array" ref="AX2860">IFERROR(DGET('SBV Import'!A:G,"SBV",{"RSC ID","Tier";B2860,A2860}))</f>
        <v/>
      </c>
      <c r="AY2860" s="82" t="str">
        <f t="shared" si="2"/>
        <v/>
      </c>
      <c r="AZ2860" s="82"/>
      <c r="BA2860" s="84" t="s">
        <v>152</v>
      </c>
      <c r="BB2860" s="84" t="str">
        <f>IFERROR(__xludf.DUMMYFUNCTION("iferror(if(A2860="""",,E2860&gt;=FILTER(Constants!$F$2:$F$10,Constants!$A$2:$A$10=A2860)))"),"")</f>
        <v/>
      </c>
    </row>
    <row r="2861">
      <c r="A2861" s="89"/>
      <c r="B2861" s="87"/>
      <c r="C2861" s="73"/>
      <c r="D2861" s="73"/>
      <c r="E2861" s="82"/>
      <c r="F2861" s="82"/>
      <c r="G2861" s="86"/>
      <c r="H2861" s="86"/>
      <c r="I2861" s="86"/>
      <c r="J2861" s="82"/>
      <c r="K2861" s="82"/>
      <c r="L2861" s="82"/>
      <c r="M2861" s="82"/>
      <c r="N2861" s="82"/>
      <c r="O2861" s="82"/>
      <c r="P2861" s="82"/>
      <c r="Q2861" s="82"/>
      <c r="R2861" s="82"/>
      <c r="S2861" s="82"/>
      <c r="T2861" s="82"/>
      <c r="U2861" s="82"/>
      <c r="V2861" s="82"/>
      <c r="W2861" s="82"/>
      <c r="X2861" s="82"/>
      <c r="Y2861" s="82"/>
      <c r="Z2861" s="82"/>
      <c r="AA2861" s="82"/>
      <c r="AB2861" s="82"/>
      <c r="AC2861" s="82"/>
      <c r="AD2861" s="82"/>
      <c r="AE2861" s="82"/>
      <c r="AF2861" s="82"/>
      <c r="AG2861" s="82"/>
      <c r="AH2861" s="82"/>
      <c r="AI2861" s="82"/>
      <c r="AJ2861" s="82"/>
      <c r="AK2861" s="82"/>
      <c r="AL2861" s="82"/>
      <c r="AM2861" s="82"/>
      <c r="AN2861" s="82"/>
      <c r="AO2861" s="82"/>
      <c r="AP2861" s="82"/>
      <c r="AQ2861" s="82"/>
      <c r="AR2861" s="82"/>
      <c r="AS2861" s="82"/>
      <c r="AT2861" s="82"/>
      <c r="AU2861" s="82"/>
      <c r="AV2861" s="82"/>
      <c r="AW2861" s="82" t="str">
        <f t="shared" si="1"/>
        <v/>
      </c>
      <c r="AX2861" s="83" t="str">
        <f t="array" ref="AX2861">IFERROR(DGET('SBV Import'!A:G,"SBV",{"RSC ID","Tier";B2861,A2861}))</f>
        <v/>
      </c>
      <c r="AY2861" s="82" t="str">
        <f t="shared" si="2"/>
        <v/>
      </c>
      <c r="AZ2861" s="82"/>
      <c r="BA2861" s="84" t="s">
        <v>152</v>
      </c>
      <c r="BB2861" s="84" t="str">
        <f>IFERROR(__xludf.DUMMYFUNCTION("iferror(if(A2861="""",,E2861&gt;=FILTER(Constants!$F$2:$F$10,Constants!$A$2:$A$10=A2861)))"),"")</f>
        <v/>
      </c>
    </row>
    <row r="2862">
      <c r="A2862" s="89"/>
      <c r="B2862" s="87"/>
      <c r="C2862" s="73"/>
      <c r="D2862" s="73"/>
      <c r="E2862" s="82"/>
      <c r="F2862" s="82"/>
      <c r="G2862" s="86"/>
      <c r="H2862" s="86"/>
      <c r="I2862" s="86"/>
      <c r="J2862" s="82"/>
      <c r="K2862" s="82"/>
      <c r="L2862" s="82"/>
      <c r="M2862" s="82"/>
      <c r="N2862" s="82"/>
      <c r="O2862" s="82"/>
      <c r="P2862" s="82"/>
      <c r="Q2862" s="82"/>
      <c r="R2862" s="82"/>
      <c r="S2862" s="82"/>
      <c r="T2862" s="82"/>
      <c r="U2862" s="82"/>
      <c r="V2862" s="82"/>
      <c r="W2862" s="82"/>
      <c r="X2862" s="82"/>
      <c r="Y2862" s="82"/>
      <c r="Z2862" s="82"/>
      <c r="AA2862" s="82"/>
      <c r="AB2862" s="82"/>
      <c r="AC2862" s="82"/>
      <c r="AD2862" s="82"/>
      <c r="AE2862" s="82"/>
      <c r="AF2862" s="82"/>
      <c r="AG2862" s="82"/>
      <c r="AH2862" s="82"/>
      <c r="AI2862" s="82"/>
      <c r="AJ2862" s="82"/>
      <c r="AK2862" s="82"/>
      <c r="AL2862" s="82"/>
      <c r="AM2862" s="82"/>
      <c r="AN2862" s="82"/>
      <c r="AO2862" s="82"/>
      <c r="AP2862" s="82"/>
      <c r="AQ2862" s="82"/>
      <c r="AR2862" s="82"/>
      <c r="AS2862" s="82"/>
      <c r="AT2862" s="82"/>
      <c r="AU2862" s="82"/>
      <c r="AV2862" s="82"/>
      <c r="AW2862" s="82" t="str">
        <f t="shared" si="1"/>
        <v/>
      </c>
      <c r="AX2862" s="83" t="str">
        <f t="array" ref="AX2862">IFERROR(DGET('SBV Import'!A:G,"SBV",{"RSC ID","Tier";B2862,A2862}))</f>
        <v/>
      </c>
      <c r="AY2862" s="82" t="str">
        <f t="shared" si="2"/>
        <v/>
      </c>
      <c r="AZ2862" s="82"/>
      <c r="BA2862" s="84" t="s">
        <v>152</v>
      </c>
      <c r="BB2862" s="84" t="str">
        <f>IFERROR(__xludf.DUMMYFUNCTION("iferror(if(A2862="""",,E2862&gt;=FILTER(Constants!$F$2:$F$10,Constants!$A$2:$A$10=A2862)))"),"")</f>
        <v/>
      </c>
    </row>
    <row r="2863">
      <c r="A2863" s="89"/>
      <c r="B2863" s="87"/>
      <c r="C2863" s="73"/>
      <c r="D2863" s="73"/>
      <c r="E2863" s="82"/>
      <c r="F2863" s="82"/>
      <c r="G2863" s="86"/>
      <c r="H2863" s="86"/>
      <c r="I2863" s="86"/>
      <c r="J2863" s="82"/>
      <c r="K2863" s="82"/>
      <c r="L2863" s="82"/>
      <c r="M2863" s="82"/>
      <c r="N2863" s="82"/>
      <c r="O2863" s="82"/>
      <c r="P2863" s="82"/>
      <c r="Q2863" s="82"/>
      <c r="R2863" s="82"/>
      <c r="S2863" s="82"/>
      <c r="T2863" s="82"/>
      <c r="U2863" s="82"/>
      <c r="V2863" s="82"/>
      <c r="W2863" s="82"/>
      <c r="X2863" s="82"/>
      <c r="Y2863" s="82"/>
      <c r="Z2863" s="82"/>
      <c r="AA2863" s="82"/>
      <c r="AB2863" s="82"/>
      <c r="AC2863" s="82"/>
      <c r="AD2863" s="82"/>
      <c r="AE2863" s="82"/>
      <c r="AF2863" s="82"/>
      <c r="AG2863" s="82"/>
      <c r="AH2863" s="82"/>
      <c r="AI2863" s="82"/>
      <c r="AJ2863" s="82"/>
      <c r="AK2863" s="82"/>
      <c r="AL2863" s="82"/>
      <c r="AM2863" s="82"/>
      <c r="AN2863" s="82"/>
      <c r="AO2863" s="82"/>
      <c r="AP2863" s="82"/>
      <c r="AQ2863" s="82"/>
      <c r="AR2863" s="82"/>
      <c r="AS2863" s="82"/>
      <c r="AT2863" s="82"/>
      <c r="AU2863" s="82"/>
      <c r="AV2863" s="82"/>
      <c r="AW2863" s="82" t="str">
        <f t="shared" si="1"/>
        <v/>
      </c>
      <c r="AX2863" s="83" t="str">
        <f t="array" ref="AX2863">IFERROR(DGET('SBV Import'!A:G,"SBV",{"RSC ID","Tier";B2863,A2863}))</f>
        <v/>
      </c>
      <c r="AY2863" s="82" t="str">
        <f t="shared" si="2"/>
        <v/>
      </c>
      <c r="AZ2863" s="82"/>
      <c r="BA2863" s="84" t="s">
        <v>152</v>
      </c>
      <c r="BB2863" s="84" t="str">
        <f>IFERROR(__xludf.DUMMYFUNCTION("iferror(if(A2863="""",,E2863&gt;=FILTER(Constants!$F$2:$F$10,Constants!$A$2:$A$10=A2863)))"),"")</f>
        <v/>
      </c>
    </row>
    <row r="2864">
      <c r="A2864" s="89"/>
      <c r="B2864" s="87"/>
      <c r="C2864" s="73"/>
      <c r="D2864" s="73"/>
      <c r="E2864" s="82"/>
      <c r="F2864" s="82"/>
      <c r="G2864" s="86"/>
      <c r="H2864" s="86"/>
      <c r="I2864" s="86"/>
      <c r="J2864" s="82"/>
      <c r="K2864" s="82"/>
      <c r="L2864" s="82"/>
      <c r="M2864" s="82"/>
      <c r="N2864" s="82"/>
      <c r="O2864" s="82"/>
      <c r="P2864" s="82"/>
      <c r="Q2864" s="82"/>
      <c r="R2864" s="82"/>
      <c r="S2864" s="82"/>
      <c r="T2864" s="82"/>
      <c r="U2864" s="82"/>
      <c r="V2864" s="82"/>
      <c r="W2864" s="82"/>
      <c r="X2864" s="82"/>
      <c r="Y2864" s="82"/>
      <c r="Z2864" s="82"/>
      <c r="AA2864" s="82"/>
      <c r="AB2864" s="82"/>
      <c r="AC2864" s="82"/>
      <c r="AD2864" s="82"/>
      <c r="AE2864" s="82"/>
      <c r="AF2864" s="82"/>
      <c r="AG2864" s="82"/>
      <c r="AH2864" s="82"/>
      <c r="AI2864" s="82"/>
      <c r="AJ2864" s="82"/>
      <c r="AK2864" s="82"/>
      <c r="AL2864" s="82"/>
      <c r="AM2864" s="82"/>
      <c r="AN2864" s="82"/>
      <c r="AO2864" s="82"/>
      <c r="AP2864" s="82"/>
      <c r="AQ2864" s="82"/>
      <c r="AR2864" s="82"/>
      <c r="AS2864" s="82"/>
      <c r="AT2864" s="82"/>
      <c r="AU2864" s="82"/>
      <c r="AV2864" s="82"/>
      <c r="AW2864" s="82" t="str">
        <f t="shared" si="1"/>
        <v/>
      </c>
      <c r="AX2864" s="83" t="str">
        <f t="array" ref="AX2864">IFERROR(DGET('SBV Import'!A:G,"SBV",{"RSC ID","Tier";B2864,A2864}))</f>
        <v/>
      </c>
      <c r="AY2864" s="82" t="str">
        <f t="shared" si="2"/>
        <v/>
      </c>
      <c r="AZ2864" s="82"/>
      <c r="BA2864" s="84" t="s">
        <v>152</v>
      </c>
      <c r="BB2864" s="84" t="str">
        <f>IFERROR(__xludf.DUMMYFUNCTION("iferror(if(A2864="""",,E2864&gt;=FILTER(Constants!$F$2:$F$10,Constants!$A$2:$A$10=A2864)))"),"")</f>
        <v/>
      </c>
    </row>
    <row r="2865">
      <c r="A2865" s="89"/>
      <c r="B2865" s="87"/>
      <c r="C2865" s="73"/>
      <c r="D2865" s="73"/>
      <c r="E2865" s="82"/>
      <c r="F2865" s="82"/>
      <c r="G2865" s="86"/>
      <c r="H2865" s="86"/>
      <c r="I2865" s="86"/>
      <c r="J2865" s="82"/>
      <c r="K2865" s="82"/>
      <c r="L2865" s="82"/>
      <c r="M2865" s="82"/>
      <c r="N2865" s="82"/>
      <c r="O2865" s="82"/>
      <c r="P2865" s="82"/>
      <c r="Q2865" s="82"/>
      <c r="R2865" s="82"/>
      <c r="S2865" s="82"/>
      <c r="T2865" s="82"/>
      <c r="U2865" s="82"/>
      <c r="V2865" s="82"/>
      <c r="W2865" s="82"/>
      <c r="X2865" s="82"/>
      <c r="Y2865" s="82"/>
      <c r="Z2865" s="82"/>
      <c r="AA2865" s="82"/>
      <c r="AB2865" s="82"/>
      <c r="AC2865" s="82"/>
      <c r="AD2865" s="82"/>
      <c r="AE2865" s="82"/>
      <c r="AF2865" s="82"/>
      <c r="AG2865" s="82"/>
      <c r="AH2865" s="82"/>
      <c r="AI2865" s="82"/>
      <c r="AJ2865" s="82"/>
      <c r="AK2865" s="82"/>
      <c r="AL2865" s="82"/>
      <c r="AM2865" s="82"/>
      <c r="AN2865" s="82"/>
      <c r="AO2865" s="82"/>
      <c r="AP2865" s="82"/>
      <c r="AQ2865" s="82"/>
      <c r="AR2865" s="82"/>
      <c r="AS2865" s="82"/>
      <c r="AT2865" s="82"/>
      <c r="AU2865" s="82"/>
      <c r="AV2865" s="82"/>
      <c r="AW2865" s="82" t="str">
        <f t="shared" si="1"/>
        <v/>
      </c>
      <c r="AX2865" s="83" t="str">
        <f t="array" ref="AX2865">IFERROR(DGET('SBV Import'!A:G,"SBV",{"RSC ID","Tier";B2865,A2865}))</f>
        <v/>
      </c>
      <c r="AY2865" s="82" t="str">
        <f t="shared" si="2"/>
        <v/>
      </c>
      <c r="AZ2865" s="82"/>
      <c r="BA2865" s="84" t="s">
        <v>152</v>
      </c>
      <c r="BB2865" s="84" t="str">
        <f>IFERROR(__xludf.DUMMYFUNCTION("iferror(if(A2865="""",,E2865&gt;=FILTER(Constants!$F$2:$F$10,Constants!$A$2:$A$10=A2865)))"),"")</f>
        <v/>
      </c>
    </row>
    <row r="2866">
      <c r="A2866" s="89"/>
      <c r="B2866" s="87"/>
      <c r="C2866" s="73"/>
      <c r="D2866" s="73"/>
      <c r="E2866" s="82"/>
      <c r="F2866" s="82"/>
      <c r="G2866" s="86"/>
      <c r="H2866" s="86"/>
      <c r="I2866" s="86"/>
      <c r="J2866" s="82"/>
      <c r="K2866" s="82"/>
      <c r="L2866" s="82"/>
      <c r="M2866" s="82"/>
      <c r="N2866" s="82"/>
      <c r="O2866" s="82"/>
      <c r="P2866" s="82"/>
      <c r="Q2866" s="82"/>
      <c r="R2866" s="82"/>
      <c r="S2866" s="82"/>
      <c r="T2866" s="82"/>
      <c r="U2866" s="82"/>
      <c r="V2866" s="82"/>
      <c r="W2866" s="82"/>
      <c r="X2866" s="82"/>
      <c r="Y2866" s="82"/>
      <c r="Z2866" s="82"/>
      <c r="AA2866" s="82"/>
      <c r="AB2866" s="82"/>
      <c r="AC2866" s="82"/>
      <c r="AD2866" s="82"/>
      <c r="AE2866" s="82"/>
      <c r="AF2866" s="82"/>
      <c r="AG2866" s="82"/>
      <c r="AH2866" s="82"/>
      <c r="AI2866" s="82"/>
      <c r="AJ2866" s="82"/>
      <c r="AK2866" s="82"/>
      <c r="AL2866" s="82"/>
      <c r="AM2866" s="82"/>
      <c r="AN2866" s="82"/>
      <c r="AO2866" s="82"/>
      <c r="AP2866" s="82"/>
      <c r="AQ2866" s="82"/>
      <c r="AR2866" s="82"/>
      <c r="AS2866" s="82"/>
      <c r="AT2866" s="82"/>
      <c r="AU2866" s="82"/>
      <c r="AV2866" s="82"/>
      <c r="AW2866" s="82" t="str">
        <f t="shared" si="1"/>
        <v/>
      </c>
      <c r="AX2866" s="83" t="str">
        <f t="array" ref="AX2866">IFERROR(DGET('SBV Import'!A:G,"SBV",{"RSC ID","Tier";B2866,A2866}))</f>
        <v/>
      </c>
      <c r="AY2866" s="82" t="str">
        <f t="shared" si="2"/>
        <v/>
      </c>
      <c r="AZ2866" s="82"/>
      <c r="BA2866" s="84" t="s">
        <v>152</v>
      </c>
      <c r="BB2866" s="84" t="str">
        <f>IFERROR(__xludf.DUMMYFUNCTION("iferror(if(A2866="""",,E2866&gt;=FILTER(Constants!$F$2:$F$10,Constants!$A$2:$A$10=A2866)))"),"")</f>
        <v/>
      </c>
    </row>
    <row r="2867">
      <c r="A2867" s="89"/>
      <c r="B2867" s="87"/>
      <c r="C2867" s="73"/>
      <c r="D2867" s="73"/>
      <c r="E2867" s="82"/>
      <c r="F2867" s="82"/>
      <c r="G2867" s="86"/>
      <c r="H2867" s="86"/>
      <c r="I2867" s="86"/>
      <c r="J2867" s="82"/>
      <c r="K2867" s="82"/>
      <c r="L2867" s="82"/>
      <c r="M2867" s="82"/>
      <c r="N2867" s="82"/>
      <c r="O2867" s="82"/>
      <c r="P2867" s="82"/>
      <c r="Q2867" s="82"/>
      <c r="R2867" s="82"/>
      <c r="S2867" s="82"/>
      <c r="T2867" s="82"/>
      <c r="U2867" s="82"/>
      <c r="V2867" s="82"/>
      <c r="W2867" s="82"/>
      <c r="X2867" s="82"/>
      <c r="Y2867" s="82"/>
      <c r="Z2867" s="82"/>
      <c r="AA2867" s="82"/>
      <c r="AB2867" s="82"/>
      <c r="AC2867" s="82"/>
      <c r="AD2867" s="82"/>
      <c r="AE2867" s="82"/>
      <c r="AF2867" s="82"/>
      <c r="AG2867" s="82"/>
      <c r="AH2867" s="82"/>
      <c r="AI2867" s="82"/>
      <c r="AJ2867" s="82"/>
      <c r="AK2867" s="82"/>
      <c r="AL2867" s="82"/>
      <c r="AM2867" s="82"/>
      <c r="AN2867" s="82"/>
      <c r="AO2867" s="82"/>
      <c r="AP2867" s="82"/>
      <c r="AQ2867" s="82"/>
      <c r="AR2867" s="82"/>
      <c r="AS2867" s="82"/>
      <c r="AT2867" s="82"/>
      <c r="AU2867" s="82"/>
      <c r="AV2867" s="82"/>
      <c r="AW2867" s="82" t="str">
        <f t="shared" si="1"/>
        <v/>
      </c>
      <c r="AX2867" s="83" t="str">
        <f t="array" ref="AX2867">IFERROR(DGET('SBV Import'!A:G,"SBV",{"RSC ID","Tier";B2867,A2867}))</f>
        <v/>
      </c>
      <c r="AY2867" s="82" t="str">
        <f t="shared" si="2"/>
        <v/>
      </c>
      <c r="AZ2867" s="82"/>
      <c r="BA2867" s="84" t="s">
        <v>152</v>
      </c>
      <c r="BB2867" s="84" t="str">
        <f>IFERROR(__xludf.DUMMYFUNCTION("iferror(if(A2867="""",,E2867&gt;=FILTER(Constants!$F$2:$F$10,Constants!$A$2:$A$10=A2867)))"),"")</f>
        <v/>
      </c>
    </row>
    <row r="2868">
      <c r="A2868" s="89"/>
      <c r="B2868" s="87"/>
      <c r="C2868" s="73"/>
      <c r="D2868" s="73"/>
      <c r="E2868" s="82"/>
      <c r="F2868" s="82"/>
      <c r="G2868" s="86"/>
      <c r="H2868" s="86"/>
      <c r="I2868" s="86"/>
      <c r="J2868" s="82"/>
      <c r="K2868" s="82"/>
      <c r="L2868" s="82"/>
      <c r="M2868" s="82"/>
      <c r="N2868" s="82"/>
      <c r="O2868" s="82"/>
      <c r="P2868" s="82"/>
      <c r="Q2868" s="82"/>
      <c r="R2868" s="82"/>
      <c r="S2868" s="82"/>
      <c r="T2868" s="82"/>
      <c r="U2868" s="82"/>
      <c r="V2868" s="82"/>
      <c r="W2868" s="82"/>
      <c r="X2868" s="82"/>
      <c r="Y2868" s="82"/>
      <c r="Z2868" s="82"/>
      <c r="AA2868" s="82"/>
      <c r="AB2868" s="82"/>
      <c r="AC2868" s="82"/>
      <c r="AD2868" s="82"/>
      <c r="AE2868" s="82"/>
      <c r="AF2868" s="82"/>
      <c r="AG2868" s="82"/>
      <c r="AH2868" s="82"/>
      <c r="AI2868" s="82"/>
      <c r="AJ2868" s="82"/>
      <c r="AK2868" s="82"/>
      <c r="AL2868" s="82"/>
      <c r="AM2868" s="82"/>
      <c r="AN2868" s="82"/>
      <c r="AO2868" s="82"/>
      <c r="AP2868" s="82"/>
      <c r="AQ2868" s="82"/>
      <c r="AR2868" s="82"/>
      <c r="AS2868" s="82"/>
      <c r="AT2868" s="82"/>
      <c r="AU2868" s="82"/>
      <c r="AV2868" s="82"/>
      <c r="AW2868" s="82" t="str">
        <f t="shared" si="1"/>
        <v/>
      </c>
      <c r="AX2868" s="83" t="str">
        <f t="array" ref="AX2868">IFERROR(DGET('SBV Import'!A:G,"SBV",{"RSC ID","Tier";B2868,A2868}))</f>
        <v/>
      </c>
      <c r="AY2868" s="82" t="str">
        <f t="shared" si="2"/>
        <v/>
      </c>
      <c r="AZ2868" s="82"/>
      <c r="BA2868" s="84" t="s">
        <v>152</v>
      </c>
      <c r="BB2868" s="84" t="str">
        <f>IFERROR(__xludf.DUMMYFUNCTION("iferror(if(A2868="""",,E2868&gt;=FILTER(Constants!$F$2:$F$10,Constants!$A$2:$A$10=A2868)))"),"")</f>
        <v/>
      </c>
    </row>
    <row r="2869">
      <c r="A2869" s="89"/>
      <c r="B2869" s="87"/>
      <c r="C2869" s="73"/>
      <c r="D2869" s="73"/>
      <c r="E2869" s="82"/>
      <c r="F2869" s="82"/>
      <c r="G2869" s="86"/>
      <c r="H2869" s="86"/>
      <c r="I2869" s="86"/>
      <c r="J2869" s="82"/>
      <c r="K2869" s="82"/>
      <c r="L2869" s="82"/>
      <c r="M2869" s="82"/>
      <c r="N2869" s="82"/>
      <c r="O2869" s="82"/>
      <c r="P2869" s="82"/>
      <c r="Q2869" s="82"/>
      <c r="R2869" s="82"/>
      <c r="S2869" s="82"/>
      <c r="T2869" s="82"/>
      <c r="U2869" s="82"/>
      <c r="V2869" s="82"/>
      <c r="W2869" s="82"/>
      <c r="X2869" s="82"/>
      <c r="Y2869" s="82"/>
      <c r="Z2869" s="82"/>
      <c r="AA2869" s="82"/>
      <c r="AB2869" s="82"/>
      <c r="AC2869" s="82"/>
      <c r="AD2869" s="82"/>
      <c r="AE2869" s="82"/>
      <c r="AF2869" s="82"/>
      <c r="AG2869" s="82"/>
      <c r="AH2869" s="82"/>
      <c r="AI2869" s="82"/>
      <c r="AJ2869" s="82"/>
      <c r="AK2869" s="82"/>
      <c r="AL2869" s="82"/>
      <c r="AM2869" s="82"/>
      <c r="AN2869" s="82"/>
      <c r="AO2869" s="82"/>
      <c r="AP2869" s="82"/>
      <c r="AQ2869" s="82"/>
      <c r="AR2869" s="82"/>
      <c r="AS2869" s="82"/>
      <c r="AT2869" s="82"/>
      <c r="AU2869" s="82"/>
      <c r="AV2869" s="82"/>
      <c r="AW2869" s="82" t="str">
        <f t="shared" si="1"/>
        <v/>
      </c>
      <c r="AX2869" s="83" t="str">
        <f t="array" ref="AX2869">IFERROR(DGET('SBV Import'!A:G,"SBV",{"RSC ID","Tier";B2869,A2869}))</f>
        <v/>
      </c>
      <c r="AY2869" s="82" t="str">
        <f t="shared" si="2"/>
        <v/>
      </c>
      <c r="AZ2869" s="82"/>
      <c r="BA2869" s="84" t="s">
        <v>152</v>
      </c>
      <c r="BB2869" s="84" t="str">
        <f>IFERROR(__xludf.DUMMYFUNCTION("iferror(if(A2869="""",,E2869&gt;=FILTER(Constants!$F$2:$F$10,Constants!$A$2:$A$10=A2869)))"),"")</f>
        <v/>
      </c>
    </row>
    <row r="2870">
      <c r="A2870" s="89"/>
      <c r="B2870" s="87"/>
      <c r="C2870" s="73"/>
      <c r="D2870" s="73"/>
      <c r="E2870" s="82"/>
      <c r="F2870" s="82"/>
      <c r="G2870" s="86"/>
      <c r="H2870" s="86"/>
      <c r="I2870" s="86"/>
      <c r="J2870" s="82"/>
      <c r="K2870" s="82"/>
      <c r="L2870" s="82"/>
      <c r="M2870" s="82"/>
      <c r="N2870" s="82"/>
      <c r="O2870" s="82"/>
      <c r="P2870" s="82"/>
      <c r="Q2870" s="82"/>
      <c r="R2870" s="82"/>
      <c r="S2870" s="82"/>
      <c r="T2870" s="82"/>
      <c r="U2870" s="82"/>
      <c r="V2870" s="82"/>
      <c r="W2870" s="82"/>
      <c r="X2870" s="82"/>
      <c r="Y2870" s="82"/>
      <c r="Z2870" s="82"/>
      <c r="AA2870" s="82"/>
      <c r="AB2870" s="82"/>
      <c r="AC2870" s="82"/>
      <c r="AD2870" s="82"/>
      <c r="AE2870" s="82"/>
      <c r="AF2870" s="82"/>
      <c r="AG2870" s="82"/>
      <c r="AH2870" s="82"/>
      <c r="AI2870" s="82"/>
      <c r="AJ2870" s="82"/>
      <c r="AK2870" s="82"/>
      <c r="AL2870" s="82"/>
      <c r="AM2870" s="82"/>
      <c r="AN2870" s="82"/>
      <c r="AO2870" s="82"/>
      <c r="AP2870" s="82"/>
      <c r="AQ2870" s="82"/>
      <c r="AR2870" s="82"/>
      <c r="AS2870" s="82"/>
      <c r="AT2870" s="82"/>
      <c r="AU2870" s="82"/>
      <c r="AV2870" s="82"/>
      <c r="AW2870" s="82" t="str">
        <f t="shared" si="1"/>
        <v/>
      </c>
      <c r="AX2870" s="83" t="str">
        <f t="array" ref="AX2870">IFERROR(DGET('SBV Import'!A:G,"SBV",{"RSC ID","Tier";B2870,A2870}))</f>
        <v/>
      </c>
      <c r="AY2870" s="82" t="str">
        <f t="shared" si="2"/>
        <v/>
      </c>
      <c r="AZ2870" s="82"/>
      <c r="BA2870" s="84" t="s">
        <v>152</v>
      </c>
      <c r="BB2870" s="84" t="str">
        <f>IFERROR(__xludf.DUMMYFUNCTION("iferror(if(A2870="""",,E2870&gt;=FILTER(Constants!$F$2:$F$10,Constants!$A$2:$A$10=A2870)))"),"")</f>
        <v/>
      </c>
    </row>
    <row r="2871">
      <c r="A2871" s="89"/>
      <c r="B2871" s="87"/>
      <c r="C2871" s="73"/>
      <c r="D2871" s="73"/>
      <c r="E2871" s="82"/>
      <c r="F2871" s="82"/>
      <c r="G2871" s="86"/>
      <c r="H2871" s="86"/>
      <c r="I2871" s="86"/>
      <c r="J2871" s="82"/>
      <c r="K2871" s="82"/>
      <c r="L2871" s="82"/>
      <c r="M2871" s="82"/>
      <c r="N2871" s="82"/>
      <c r="O2871" s="82"/>
      <c r="P2871" s="82"/>
      <c r="Q2871" s="82"/>
      <c r="R2871" s="82"/>
      <c r="S2871" s="82"/>
      <c r="T2871" s="82"/>
      <c r="U2871" s="82"/>
      <c r="V2871" s="82"/>
      <c r="W2871" s="82"/>
      <c r="X2871" s="82"/>
      <c r="Y2871" s="82"/>
      <c r="Z2871" s="82"/>
      <c r="AA2871" s="82"/>
      <c r="AB2871" s="82"/>
      <c r="AC2871" s="82"/>
      <c r="AD2871" s="82"/>
      <c r="AE2871" s="82"/>
      <c r="AF2871" s="82"/>
      <c r="AG2871" s="82"/>
      <c r="AH2871" s="82"/>
      <c r="AI2871" s="82"/>
      <c r="AJ2871" s="82"/>
      <c r="AK2871" s="82"/>
      <c r="AL2871" s="82"/>
      <c r="AM2871" s="82"/>
      <c r="AN2871" s="82"/>
      <c r="AO2871" s="82"/>
      <c r="AP2871" s="82"/>
      <c r="AQ2871" s="82"/>
      <c r="AR2871" s="82"/>
      <c r="AS2871" s="82"/>
      <c r="AT2871" s="82"/>
      <c r="AU2871" s="82"/>
      <c r="AV2871" s="82"/>
      <c r="AW2871" s="82" t="str">
        <f t="shared" si="1"/>
        <v/>
      </c>
      <c r="AX2871" s="83" t="str">
        <f t="array" ref="AX2871">IFERROR(DGET('SBV Import'!A:G,"SBV",{"RSC ID","Tier";B2871,A2871}))</f>
        <v/>
      </c>
      <c r="AY2871" s="82" t="str">
        <f t="shared" si="2"/>
        <v/>
      </c>
      <c r="AZ2871" s="82"/>
      <c r="BA2871" s="84" t="s">
        <v>152</v>
      </c>
      <c r="BB2871" s="84" t="str">
        <f>IFERROR(__xludf.DUMMYFUNCTION("iferror(if(A2871="""",,E2871&gt;=FILTER(Constants!$F$2:$F$10,Constants!$A$2:$A$10=A2871)))"),"")</f>
        <v/>
      </c>
    </row>
    <row r="2872">
      <c r="A2872" s="89"/>
      <c r="B2872" s="87"/>
      <c r="C2872" s="73"/>
      <c r="D2872" s="73"/>
      <c r="E2872" s="82"/>
      <c r="F2872" s="82"/>
      <c r="G2872" s="86"/>
      <c r="H2872" s="86"/>
      <c r="I2872" s="86"/>
      <c r="J2872" s="82"/>
      <c r="K2872" s="82"/>
      <c r="L2872" s="82"/>
      <c r="M2872" s="82"/>
      <c r="N2872" s="82"/>
      <c r="O2872" s="82"/>
      <c r="P2872" s="82"/>
      <c r="Q2872" s="82"/>
      <c r="R2872" s="82"/>
      <c r="S2872" s="82"/>
      <c r="T2872" s="82"/>
      <c r="U2872" s="82"/>
      <c r="V2872" s="82"/>
      <c r="W2872" s="82"/>
      <c r="X2872" s="82"/>
      <c r="Y2872" s="82"/>
      <c r="Z2872" s="82"/>
      <c r="AA2872" s="82"/>
      <c r="AB2872" s="82"/>
      <c r="AC2872" s="82"/>
      <c r="AD2872" s="82"/>
      <c r="AE2872" s="82"/>
      <c r="AF2872" s="82"/>
      <c r="AG2872" s="82"/>
      <c r="AH2872" s="82"/>
      <c r="AI2872" s="82"/>
      <c r="AJ2872" s="82"/>
      <c r="AK2872" s="82"/>
      <c r="AL2872" s="82"/>
      <c r="AM2872" s="82"/>
      <c r="AN2872" s="82"/>
      <c r="AO2872" s="82"/>
      <c r="AP2872" s="82"/>
      <c r="AQ2872" s="82"/>
      <c r="AR2872" s="82"/>
      <c r="AS2872" s="82"/>
      <c r="AT2872" s="82"/>
      <c r="AU2872" s="82"/>
      <c r="AV2872" s="82"/>
      <c r="AW2872" s="82" t="str">
        <f t="shared" si="1"/>
        <v/>
      </c>
      <c r="AX2872" s="83" t="str">
        <f t="array" ref="AX2872">IFERROR(DGET('SBV Import'!A:G,"SBV",{"RSC ID","Tier";B2872,A2872}))</f>
        <v/>
      </c>
      <c r="AY2872" s="82" t="str">
        <f t="shared" si="2"/>
        <v/>
      </c>
      <c r="AZ2872" s="82"/>
      <c r="BA2872" s="84" t="s">
        <v>152</v>
      </c>
      <c r="BB2872" s="84" t="str">
        <f>IFERROR(__xludf.DUMMYFUNCTION("iferror(if(A2872="""",,E2872&gt;=FILTER(Constants!$F$2:$F$10,Constants!$A$2:$A$10=A2872)))"),"")</f>
        <v/>
      </c>
    </row>
    <row r="2873">
      <c r="A2873" s="89"/>
      <c r="B2873" s="87"/>
      <c r="C2873" s="73"/>
      <c r="D2873" s="73"/>
      <c r="E2873" s="82"/>
      <c r="F2873" s="82"/>
      <c r="G2873" s="86"/>
      <c r="H2873" s="86"/>
      <c r="I2873" s="86"/>
      <c r="J2873" s="82"/>
      <c r="K2873" s="82"/>
      <c r="L2873" s="82"/>
      <c r="M2873" s="82"/>
      <c r="N2873" s="82"/>
      <c r="O2873" s="82"/>
      <c r="P2873" s="82"/>
      <c r="Q2873" s="82"/>
      <c r="R2873" s="82"/>
      <c r="S2873" s="82"/>
      <c r="T2873" s="82"/>
      <c r="U2873" s="82"/>
      <c r="V2873" s="82"/>
      <c r="W2873" s="82"/>
      <c r="X2873" s="82"/>
      <c r="Y2873" s="82"/>
      <c r="Z2873" s="82"/>
      <c r="AA2873" s="82"/>
      <c r="AB2873" s="82"/>
      <c r="AC2873" s="82"/>
      <c r="AD2873" s="82"/>
      <c r="AE2873" s="82"/>
      <c r="AF2873" s="82"/>
      <c r="AG2873" s="82"/>
      <c r="AH2873" s="82"/>
      <c r="AI2873" s="82"/>
      <c r="AJ2873" s="82"/>
      <c r="AK2873" s="82"/>
      <c r="AL2873" s="82"/>
      <c r="AM2873" s="82"/>
      <c r="AN2873" s="82"/>
      <c r="AO2873" s="82"/>
      <c r="AP2873" s="82"/>
      <c r="AQ2873" s="82"/>
      <c r="AR2873" s="82"/>
      <c r="AS2873" s="82"/>
      <c r="AT2873" s="82"/>
      <c r="AU2873" s="82"/>
      <c r="AV2873" s="82"/>
      <c r="AW2873" s="82" t="str">
        <f t="shared" si="1"/>
        <v/>
      </c>
      <c r="AX2873" s="83" t="str">
        <f t="array" ref="AX2873">IFERROR(DGET('SBV Import'!A:G,"SBV",{"RSC ID","Tier";B2873,A2873}))</f>
        <v/>
      </c>
      <c r="AY2873" s="82" t="str">
        <f t="shared" si="2"/>
        <v/>
      </c>
      <c r="AZ2873" s="82"/>
      <c r="BA2873" s="84" t="s">
        <v>152</v>
      </c>
      <c r="BB2873" s="84" t="str">
        <f>IFERROR(__xludf.DUMMYFUNCTION("iferror(if(A2873="""",,E2873&gt;=FILTER(Constants!$F$2:$F$10,Constants!$A$2:$A$10=A2873)))"),"")</f>
        <v/>
      </c>
    </row>
    <row r="2874">
      <c r="A2874" s="89"/>
      <c r="B2874" s="87"/>
      <c r="C2874" s="73"/>
      <c r="D2874" s="73"/>
      <c r="E2874" s="82"/>
      <c r="F2874" s="82"/>
      <c r="G2874" s="86"/>
      <c r="H2874" s="86"/>
      <c r="I2874" s="86"/>
      <c r="J2874" s="82"/>
      <c r="K2874" s="82"/>
      <c r="L2874" s="82"/>
      <c r="M2874" s="82"/>
      <c r="N2874" s="82"/>
      <c r="O2874" s="82"/>
      <c r="P2874" s="82"/>
      <c r="Q2874" s="82"/>
      <c r="R2874" s="82"/>
      <c r="S2874" s="82"/>
      <c r="T2874" s="82"/>
      <c r="U2874" s="82"/>
      <c r="V2874" s="82"/>
      <c r="W2874" s="82"/>
      <c r="X2874" s="82"/>
      <c r="Y2874" s="82"/>
      <c r="Z2874" s="82"/>
      <c r="AA2874" s="82"/>
      <c r="AB2874" s="82"/>
      <c r="AC2874" s="82"/>
      <c r="AD2874" s="82"/>
      <c r="AE2874" s="82"/>
      <c r="AF2874" s="82"/>
      <c r="AG2874" s="82"/>
      <c r="AH2874" s="82"/>
      <c r="AI2874" s="82"/>
      <c r="AJ2874" s="82"/>
      <c r="AK2874" s="82"/>
      <c r="AL2874" s="82"/>
      <c r="AM2874" s="82"/>
      <c r="AN2874" s="82"/>
      <c r="AO2874" s="82"/>
      <c r="AP2874" s="82"/>
      <c r="AQ2874" s="82"/>
      <c r="AR2874" s="82"/>
      <c r="AS2874" s="82"/>
      <c r="AT2874" s="82"/>
      <c r="AU2874" s="82"/>
      <c r="AV2874" s="82"/>
      <c r="AW2874" s="82" t="str">
        <f t="shared" si="1"/>
        <v/>
      </c>
      <c r="AX2874" s="83" t="str">
        <f t="array" ref="AX2874">IFERROR(DGET('SBV Import'!A:G,"SBV",{"RSC ID","Tier";B2874,A2874}))</f>
        <v/>
      </c>
      <c r="AY2874" s="82" t="str">
        <f t="shared" si="2"/>
        <v/>
      </c>
      <c r="AZ2874" s="82"/>
      <c r="BA2874" s="84" t="s">
        <v>152</v>
      </c>
      <c r="BB2874" s="84" t="str">
        <f>IFERROR(__xludf.DUMMYFUNCTION("iferror(if(A2874="""",,E2874&gt;=FILTER(Constants!$F$2:$F$10,Constants!$A$2:$A$10=A2874)))"),"")</f>
        <v/>
      </c>
    </row>
    <row r="2875">
      <c r="A2875" s="89"/>
      <c r="B2875" s="87"/>
      <c r="C2875" s="73"/>
      <c r="D2875" s="73"/>
      <c r="E2875" s="82"/>
      <c r="F2875" s="82"/>
      <c r="G2875" s="86"/>
      <c r="H2875" s="86"/>
      <c r="I2875" s="86"/>
      <c r="J2875" s="82"/>
      <c r="K2875" s="82"/>
      <c r="L2875" s="82"/>
      <c r="M2875" s="82"/>
      <c r="N2875" s="82"/>
      <c r="O2875" s="82"/>
      <c r="P2875" s="82"/>
      <c r="Q2875" s="82"/>
      <c r="R2875" s="82"/>
      <c r="S2875" s="82"/>
      <c r="T2875" s="82"/>
      <c r="U2875" s="82"/>
      <c r="V2875" s="82"/>
      <c r="W2875" s="82"/>
      <c r="X2875" s="82"/>
      <c r="Y2875" s="82"/>
      <c r="Z2875" s="82"/>
      <c r="AA2875" s="82"/>
      <c r="AB2875" s="82"/>
      <c r="AC2875" s="82"/>
      <c r="AD2875" s="82"/>
      <c r="AE2875" s="82"/>
      <c r="AF2875" s="82"/>
      <c r="AG2875" s="82"/>
      <c r="AH2875" s="82"/>
      <c r="AI2875" s="82"/>
      <c r="AJ2875" s="82"/>
      <c r="AK2875" s="82"/>
      <c r="AL2875" s="82"/>
      <c r="AM2875" s="82"/>
      <c r="AN2875" s="82"/>
      <c r="AO2875" s="82"/>
      <c r="AP2875" s="82"/>
      <c r="AQ2875" s="82"/>
      <c r="AR2875" s="82"/>
      <c r="AS2875" s="82"/>
      <c r="AT2875" s="82"/>
      <c r="AU2875" s="82"/>
      <c r="AV2875" s="82"/>
      <c r="AW2875" s="82" t="str">
        <f t="shared" si="1"/>
        <v/>
      </c>
      <c r="AX2875" s="83" t="str">
        <f t="array" ref="AX2875">IFERROR(DGET('SBV Import'!A:G,"SBV",{"RSC ID","Tier";B2875,A2875}))</f>
        <v/>
      </c>
      <c r="AY2875" s="82" t="str">
        <f t="shared" si="2"/>
        <v/>
      </c>
      <c r="AZ2875" s="82"/>
      <c r="BA2875" s="84" t="s">
        <v>152</v>
      </c>
      <c r="BB2875" s="84" t="str">
        <f>IFERROR(__xludf.DUMMYFUNCTION("iferror(if(A2875="""",,E2875&gt;=FILTER(Constants!$F$2:$F$10,Constants!$A$2:$A$10=A2875)))"),"")</f>
        <v/>
      </c>
    </row>
    <row r="2876">
      <c r="A2876" s="89"/>
      <c r="B2876" s="87"/>
      <c r="C2876" s="73"/>
      <c r="D2876" s="73"/>
      <c r="E2876" s="82"/>
      <c r="F2876" s="82"/>
      <c r="G2876" s="86"/>
      <c r="H2876" s="86"/>
      <c r="I2876" s="86"/>
      <c r="J2876" s="82"/>
      <c r="K2876" s="82"/>
      <c r="L2876" s="82"/>
      <c r="M2876" s="82"/>
      <c r="N2876" s="82"/>
      <c r="O2876" s="82"/>
      <c r="P2876" s="82"/>
      <c r="Q2876" s="82"/>
      <c r="R2876" s="82"/>
      <c r="S2876" s="82"/>
      <c r="T2876" s="82"/>
      <c r="U2876" s="82"/>
      <c r="V2876" s="82"/>
      <c r="W2876" s="82"/>
      <c r="X2876" s="82"/>
      <c r="Y2876" s="82"/>
      <c r="Z2876" s="82"/>
      <c r="AA2876" s="82"/>
      <c r="AB2876" s="82"/>
      <c r="AC2876" s="82"/>
      <c r="AD2876" s="82"/>
      <c r="AE2876" s="82"/>
      <c r="AF2876" s="82"/>
      <c r="AG2876" s="82"/>
      <c r="AH2876" s="82"/>
      <c r="AI2876" s="82"/>
      <c r="AJ2876" s="82"/>
      <c r="AK2876" s="82"/>
      <c r="AL2876" s="82"/>
      <c r="AM2876" s="82"/>
      <c r="AN2876" s="82"/>
      <c r="AO2876" s="82"/>
      <c r="AP2876" s="82"/>
      <c r="AQ2876" s="82"/>
      <c r="AR2876" s="82"/>
      <c r="AS2876" s="82"/>
      <c r="AT2876" s="82"/>
      <c r="AU2876" s="82"/>
      <c r="AV2876" s="82"/>
      <c r="AW2876" s="82" t="str">
        <f t="shared" si="1"/>
        <v/>
      </c>
      <c r="AX2876" s="83" t="str">
        <f t="array" ref="AX2876">IFERROR(DGET('SBV Import'!A:G,"SBV",{"RSC ID","Tier";B2876,A2876}))</f>
        <v/>
      </c>
      <c r="AY2876" s="82" t="str">
        <f t="shared" si="2"/>
        <v/>
      </c>
      <c r="AZ2876" s="82"/>
      <c r="BA2876" s="84" t="s">
        <v>152</v>
      </c>
      <c r="BB2876" s="84" t="str">
        <f>IFERROR(__xludf.DUMMYFUNCTION("iferror(if(A2876="""",,E2876&gt;=FILTER(Constants!$F$2:$F$10,Constants!$A$2:$A$10=A2876)))"),"")</f>
        <v/>
      </c>
    </row>
    <row r="2877">
      <c r="A2877" s="89"/>
      <c r="B2877" s="87"/>
      <c r="C2877" s="73"/>
      <c r="D2877" s="73"/>
      <c r="E2877" s="82"/>
      <c r="F2877" s="82"/>
      <c r="G2877" s="86"/>
      <c r="H2877" s="86"/>
      <c r="I2877" s="86"/>
      <c r="J2877" s="82"/>
      <c r="K2877" s="82"/>
      <c r="L2877" s="82"/>
      <c r="M2877" s="82"/>
      <c r="N2877" s="82"/>
      <c r="O2877" s="82"/>
      <c r="P2877" s="82"/>
      <c r="Q2877" s="82"/>
      <c r="R2877" s="82"/>
      <c r="S2877" s="82"/>
      <c r="T2877" s="82"/>
      <c r="U2877" s="82"/>
      <c r="V2877" s="82"/>
      <c r="W2877" s="82"/>
      <c r="X2877" s="82"/>
      <c r="Y2877" s="82"/>
      <c r="Z2877" s="82"/>
      <c r="AA2877" s="82"/>
      <c r="AB2877" s="82"/>
      <c r="AC2877" s="82"/>
      <c r="AD2877" s="82"/>
      <c r="AE2877" s="82"/>
      <c r="AF2877" s="82"/>
      <c r="AG2877" s="82"/>
      <c r="AH2877" s="82"/>
      <c r="AI2877" s="82"/>
      <c r="AJ2877" s="82"/>
      <c r="AK2877" s="82"/>
      <c r="AL2877" s="82"/>
      <c r="AM2877" s="82"/>
      <c r="AN2877" s="82"/>
      <c r="AO2877" s="82"/>
      <c r="AP2877" s="82"/>
      <c r="AQ2877" s="82"/>
      <c r="AR2877" s="82"/>
      <c r="AS2877" s="82"/>
      <c r="AT2877" s="82"/>
      <c r="AU2877" s="82"/>
      <c r="AV2877" s="82"/>
      <c r="AW2877" s="82" t="str">
        <f t="shared" si="1"/>
        <v/>
      </c>
      <c r="AX2877" s="83" t="str">
        <f t="array" ref="AX2877">IFERROR(DGET('SBV Import'!A:G,"SBV",{"RSC ID","Tier";B2877,A2877}))</f>
        <v/>
      </c>
      <c r="AY2877" s="82" t="str">
        <f t="shared" si="2"/>
        <v/>
      </c>
      <c r="AZ2877" s="82"/>
      <c r="BA2877" s="84" t="s">
        <v>152</v>
      </c>
      <c r="BB2877" s="84" t="str">
        <f>IFERROR(__xludf.DUMMYFUNCTION("iferror(if(A2877="""",,E2877&gt;=FILTER(Constants!$F$2:$F$10,Constants!$A$2:$A$10=A2877)))"),"")</f>
        <v/>
      </c>
    </row>
    <row r="2878">
      <c r="A2878" s="89"/>
      <c r="B2878" s="87"/>
      <c r="C2878" s="73"/>
      <c r="D2878" s="73"/>
      <c r="E2878" s="82"/>
      <c r="F2878" s="82"/>
      <c r="G2878" s="86"/>
      <c r="H2878" s="86"/>
      <c r="I2878" s="86"/>
      <c r="J2878" s="82"/>
      <c r="K2878" s="82"/>
      <c r="L2878" s="82"/>
      <c r="M2878" s="82"/>
      <c r="N2878" s="82"/>
      <c r="O2878" s="82"/>
      <c r="P2878" s="82"/>
      <c r="Q2878" s="82"/>
      <c r="R2878" s="82"/>
      <c r="S2878" s="82"/>
      <c r="T2878" s="82"/>
      <c r="U2878" s="82"/>
      <c r="V2878" s="82"/>
      <c r="W2878" s="82"/>
      <c r="X2878" s="82"/>
      <c r="Y2878" s="82"/>
      <c r="Z2878" s="82"/>
      <c r="AA2878" s="82"/>
      <c r="AB2878" s="82"/>
      <c r="AC2878" s="82"/>
      <c r="AD2878" s="82"/>
      <c r="AE2878" s="82"/>
      <c r="AF2878" s="82"/>
      <c r="AG2878" s="82"/>
      <c r="AH2878" s="82"/>
      <c r="AI2878" s="82"/>
      <c r="AJ2878" s="82"/>
      <c r="AK2878" s="82"/>
      <c r="AL2878" s="82"/>
      <c r="AM2878" s="82"/>
      <c r="AN2878" s="82"/>
      <c r="AO2878" s="82"/>
      <c r="AP2878" s="82"/>
      <c r="AQ2878" s="82"/>
      <c r="AR2878" s="82"/>
      <c r="AS2878" s="82"/>
      <c r="AT2878" s="82"/>
      <c r="AU2878" s="82"/>
      <c r="AV2878" s="82"/>
      <c r="AW2878" s="82" t="str">
        <f t="shared" si="1"/>
        <v/>
      </c>
      <c r="AX2878" s="83" t="str">
        <f t="array" ref="AX2878">IFERROR(DGET('SBV Import'!A:G,"SBV",{"RSC ID","Tier";B2878,A2878}))</f>
        <v/>
      </c>
      <c r="AY2878" s="82" t="str">
        <f t="shared" si="2"/>
        <v/>
      </c>
      <c r="AZ2878" s="82"/>
      <c r="BA2878" s="84" t="s">
        <v>152</v>
      </c>
      <c r="BB2878" s="84" t="str">
        <f>IFERROR(__xludf.DUMMYFUNCTION("iferror(if(A2878="""",,E2878&gt;=FILTER(Constants!$F$2:$F$10,Constants!$A$2:$A$10=A2878)))"),"")</f>
        <v/>
      </c>
    </row>
    <row r="2879">
      <c r="A2879" s="89"/>
      <c r="B2879" s="87"/>
      <c r="C2879" s="73"/>
      <c r="D2879" s="73"/>
      <c r="E2879" s="82"/>
      <c r="F2879" s="82"/>
      <c r="G2879" s="86"/>
      <c r="H2879" s="86"/>
      <c r="I2879" s="86"/>
      <c r="J2879" s="82"/>
      <c r="K2879" s="82"/>
      <c r="L2879" s="82"/>
      <c r="M2879" s="82"/>
      <c r="N2879" s="82"/>
      <c r="O2879" s="82"/>
      <c r="P2879" s="82"/>
      <c r="Q2879" s="82"/>
      <c r="R2879" s="82"/>
      <c r="S2879" s="82"/>
      <c r="T2879" s="82"/>
      <c r="U2879" s="82"/>
      <c r="V2879" s="82"/>
      <c r="W2879" s="82"/>
      <c r="X2879" s="82"/>
      <c r="Y2879" s="82"/>
      <c r="Z2879" s="82"/>
      <c r="AA2879" s="82"/>
      <c r="AB2879" s="82"/>
      <c r="AC2879" s="82"/>
      <c r="AD2879" s="82"/>
      <c r="AE2879" s="82"/>
      <c r="AF2879" s="82"/>
      <c r="AG2879" s="82"/>
      <c r="AH2879" s="82"/>
      <c r="AI2879" s="82"/>
      <c r="AJ2879" s="82"/>
      <c r="AK2879" s="82"/>
      <c r="AL2879" s="82"/>
      <c r="AM2879" s="82"/>
      <c r="AN2879" s="82"/>
      <c r="AO2879" s="82"/>
      <c r="AP2879" s="82"/>
      <c r="AQ2879" s="82"/>
      <c r="AR2879" s="82"/>
      <c r="AS2879" s="82"/>
      <c r="AT2879" s="82"/>
      <c r="AU2879" s="82"/>
      <c r="AV2879" s="82"/>
      <c r="AW2879" s="82" t="str">
        <f t="shared" si="1"/>
        <v/>
      </c>
      <c r="AX2879" s="83" t="str">
        <f t="array" ref="AX2879">IFERROR(DGET('SBV Import'!A:G,"SBV",{"RSC ID","Tier";B2879,A2879}))</f>
        <v/>
      </c>
      <c r="AY2879" s="82" t="str">
        <f t="shared" si="2"/>
        <v/>
      </c>
      <c r="AZ2879" s="82"/>
      <c r="BA2879" s="84" t="s">
        <v>152</v>
      </c>
      <c r="BB2879" s="84" t="str">
        <f>IFERROR(__xludf.DUMMYFUNCTION("iferror(if(A2879="""",,E2879&gt;=FILTER(Constants!$F$2:$F$10,Constants!$A$2:$A$10=A2879)))"),"")</f>
        <v/>
      </c>
    </row>
    <row r="2880">
      <c r="A2880" s="89"/>
      <c r="B2880" s="87"/>
      <c r="C2880" s="73"/>
      <c r="D2880" s="73"/>
      <c r="E2880" s="82"/>
      <c r="F2880" s="82"/>
      <c r="G2880" s="86"/>
      <c r="H2880" s="86"/>
      <c r="I2880" s="86"/>
      <c r="J2880" s="82"/>
      <c r="K2880" s="82"/>
      <c r="L2880" s="82"/>
      <c r="M2880" s="82"/>
      <c r="N2880" s="82"/>
      <c r="O2880" s="82"/>
      <c r="P2880" s="82"/>
      <c r="Q2880" s="82"/>
      <c r="R2880" s="82"/>
      <c r="S2880" s="82"/>
      <c r="T2880" s="82"/>
      <c r="U2880" s="82"/>
      <c r="V2880" s="82"/>
      <c r="W2880" s="82"/>
      <c r="X2880" s="82"/>
      <c r="Y2880" s="82"/>
      <c r="Z2880" s="82"/>
      <c r="AA2880" s="82"/>
      <c r="AB2880" s="82"/>
      <c r="AC2880" s="82"/>
      <c r="AD2880" s="82"/>
      <c r="AE2880" s="82"/>
      <c r="AF2880" s="82"/>
      <c r="AG2880" s="82"/>
      <c r="AH2880" s="82"/>
      <c r="AI2880" s="82"/>
      <c r="AJ2880" s="82"/>
      <c r="AK2880" s="82"/>
      <c r="AL2880" s="82"/>
      <c r="AM2880" s="82"/>
      <c r="AN2880" s="82"/>
      <c r="AO2880" s="82"/>
      <c r="AP2880" s="82"/>
      <c r="AQ2880" s="82"/>
      <c r="AR2880" s="82"/>
      <c r="AS2880" s="82"/>
      <c r="AT2880" s="82"/>
      <c r="AU2880" s="82"/>
      <c r="AV2880" s="82"/>
      <c r="AW2880" s="82" t="str">
        <f t="shared" si="1"/>
        <v/>
      </c>
      <c r="AX2880" s="83" t="str">
        <f t="array" ref="AX2880">IFERROR(DGET('SBV Import'!A:G,"SBV",{"RSC ID","Tier";B2880,A2880}))</f>
        <v/>
      </c>
      <c r="AY2880" s="82" t="str">
        <f t="shared" si="2"/>
        <v/>
      </c>
      <c r="AZ2880" s="82"/>
      <c r="BA2880" s="84" t="s">
        <v>152</v>
      </c>
      <c r="BB2880" s="84" t="str">
        <f>IFERROR(__xludf.DUMMYFUNCTION("iferror(if(A2880="""",,E2880&gt;=FILTER(Constants!$F$2:$F$10,Constants!$A$2:$A$10=A2880)))"),"")</f>
        <v/>
      </c>
    </row>
    <row r="2881">
      <c r="A2881" s="89"/>
      <c r="B2881" s="87"/>
      <c r="C2881" s="73"/>
      <c r="D2881" s="73"/>
      <c r="E2881" s="82"/>
      <c r="F2881" s="82"/>
      <c r="G2881" s="86"/>
      <c r="H2881" s="86"/>
      <c r="I2881" s="86"/>
      <c r="J2881" s="82"/>
      <c r="K2881" s="82"/>
      <c r="L2881" s="82"/>
      <c r="M2881" s="82"/>
      <c r="N2881" s="82"/>
      <c r="O2881" s="82"/>
      <c r="P2881" s="82"/>
      <c r="Q2881" s="82"/>
      <c r="R2881" s="82"/>
      <c r="S2881" s="82"/>
      <c r="T2881" s="82"/>
      <c r="U2881" s="82"/>
      <c r="V2881" s="82"/>
      <c r="W2881" s="82"/>
      <c r="X2881" s="82"/>
      <c r="Y2881" s="82"/>
      <c r="Z2881" s="82"/>
      <c r="AA2881" s="82"/>
      <c r="AB2881" s="82"/>
      <c r="AC2881" s="82"/>
      <c r="AD2881" s="82"/>
      <c r="AE2881" s="82"/>
      <c r="AF2881" s="82"/>
      <c r="AG2881" s="82"/>
      <c r="AH2881" s="82"/>
      <c r="AI2881" s="82"/>
      <c r="AJ2881" s="82"/>
      <c r="AK2881" s="82"/>
      <c r="AL2881" s="82"/>
      <c r="AM2881" s="82"/>
      <c r="AN2881" s="82"/>
      <c r="AO2881" s="82"/>
      <c r="AP2881" s="82"/>
      <c r="AQ2881" s="82"/>
      <c r="AR2881" s="82"/>
      <c r="AS2881" s="82"/>
      <c r="AT2881" s="82"/>
      <c r="AU2881" s="82"/>
      <c r="AV2881" s="82"/>
      <c r="AW2881" s="82" t="str">
        <f t="shared" si="1"/>
        <v/>
      </c>
      <c r="AX2881" s="83" t="str">
        <f t="array" ref="AX2881">IFERROR(DGET('SBV Import'!A:G,"SBV",{"RSC ID","Tier";B2881,A2881}))</f>
        <v/>
      </c>
      <c r="AY2881" s="82" t="str">
        <f t="shared" si="2"/>
        <v/>
      </c>
      <c r="AZ2881" s="82"/>
      <c r="BA2881" s="84" t="s">
        <v>152</v>
      </c>
      <c r="BB2881" s="84" t="str">
        <f>IFERROR(__xludf.DUMMYFUNCTION("iferror(if(A2881="""",,E2881&gt;=FILTER(Constants!$F$2:$F$10,Constants!$A$2:$A$10=A2881)))"),"")</f>
        <v/>
      </c>
    </row>
    <row r="2882">
      <c r="A2882" s="89"/>
      <c r="B2882" s="87"/>
      <c r="C2882" s="73"/>
      <c r="D2882" s="73"/>
      <c r="E2882" s="82"/>
      <c r="F2882" s="82"/>
      <c r="G2882" s="86"/>
      <c r="H2882" s="86"/>
      <c r="I2882" s="86"/>
      <c r="J2882" s="82"/>
      <c r="K2882" s="82"/>
      <c r="L2882" s="82"/>
      <c r="M2882" s="82"/>
      <c r="N2882" s="82"/>
      <c r="O2882" s="82"/>
      <c r="P2882" s="82"/>
      <c r="Q2882" s="82"/>
      <c r="R2882" s="82"/>
      <c r="S2882" s="82"/>
      <c r="T2882" s="82"/>
      <c r="U2882" s="82"/>
      <c r="V2882" s="82"/>
      <c r="W2882" s="82"/>
      <c r="X2882" s="82"/>
      <c r="Y2882" s="82"/>
      <c r="Z2882" s="82"/>
      <c r="AA2882" s="82"/>
      <c r="AB2882" s="82"/>
      <c r="AC2882" s="82"/>
      <c r="AD2882" s="82"/>
      <c r="AE2882" s="82"/>
      <c r="AF2882" s="82"/>
      <c r="AG2882" s="82"/>
      <c r="AH2882" s="82"/>
      <c r="AI2882" s="82"/>
      <c r="AJ2882" s="82"/>
      <c r="AK2882" s="82"/>
      <c r="AL2882" s="82"/>
      <c r="AM2882" s="82"/>
      <c r="AN2882" s="82"/>
      <c r="AO2882" s="82"/>
      <c r="AP2882" s="82"/>
      <c r="AQ2882" s="82"/>
      <c r="AR2882" s="82"/>
      <c r="AS2882" s="82"/>
      <c r="AT2882" s="82"/>
      <c r="AU2882" s="82"/>
      <c r="AV2882" s="82"/>
      <c r="AW2882" s="82" t="str">
        <f t="shared" si="1"/>
        <v/>
      </c>
      <c r="AX2882" s="83" t="str">
        <f t="array" ref="AX2882">IFERROR(DGET('SBV Import'!A:G,"SBV",{"RSC ID","Tier";B2882,A2882}))</f>
        <v/>
      </c>
      <c r="AY2882" s="82" t="str">
        <f t="shared" si="2"/>
        <v/>
      </c>
      <c r="AZ2882" s="82"/>
      <c r="BA2882" s="84" t="s">
        <v>152</v>
      </c>
      <c r="BB2882" s="84" t="str">
        <f>IFERROR(__xludf.DUMMYFUNCTION("iferror(if(A2882="""",,E2882&gt;=FILTER(Constants!$F$2:$F$10,Constants!$A$2:$A$10=A2882)))"),"")</f>
        <v/>
      </c>
    </row>
    <row r="2883">
      <c r="A2883" s="89"/>
      <c r="B2883" s="87"/>
      <c r="C2883" s="73"/>
      <c r="D2883" s="73"/>
      <c r="E2883" s="82"/>
      <c r="F2883" s="82"/>
      <c r="G2883" s="86"/>
      <c r="H2883" s="86"/>
      <c r="I2883" s="86"/>
      <c r="J2883" s="82"/>
      <c r="K2883" s="82"/>
      <c r="L2883" s="82"/>
      <c r="M2883" s="82"/>
      <c r="N2883" s="82"/>
      <c r="O2883" s="82"/>
      <c r="P2883" s="82"/>
      <c r="Q2883" s="82"/>
      <c r="R2883" s="82"/>
      <c r="S2883" s="82"/>
      <c r="T2883" s="82"/>
      <c r="U2883" s="82"/>
      <c r="V2883" s="82"/>
      <c r="W2883" s="82"/>
      <c r="X2883" s="82"/>
      <c r="Y2883" s="82"/>
      <c r="Z2883" s="82"/>
      <c r="AA2883" s="82"/>
      <c r="AB2883" s="82"/>
      <c r="AC2883" s="82"/>
      <c r="AD2883" s="82"/>
      <c r="AE2883" s="82"/>
      <c r="AF2883" s="82"/>
      <c r="AG2883" s="82"/>
      <c r="AH2883" s="82"/>
      <c r="AI2883" s="82"/>
      <c r="AJ2883" s="82"/>
      <c r="AK2883" s="82"/>
      <c r="AL2883" s="82"/>
      <c r="AM2883" s="82"/>
      <c r="AN2883" s="82"/>
      <c r="AO2883" s="82"/>
      <c r="AP2883" s="82"/>
      <c r="AQ2883" s="82"/>
      <c r="AR2883" s="82"/>
      <c r="AS2883" s="82"/>
      <c r="AT2883" s="82"/>
      <c r="AU2883" s="82"/>
      <c r="AV2883" s="82"/>
      <c r="AW2883" s="82" t="str">
        <f t="shared" si="1"/>
        <v/>
      </c>
      <c r="AX2883" s="83" t="str">
        <f t="array" ref="AX2883">IFERROR(DGET('SBV Import'!A:G,"SBV",{"RSC ID","Tier";B2883,A2883}))</f>
        <v/>
      </c>
      <c r="AY2883" s="82" t="str">
        <f t="shared" si="2"/>
        <v/>
      </c>
      <c r="AZ2883" s="82"/>
      <c r="BA2883" s="84" t="s">
        <v>152</v>
      </c>
      <c r="BB2883" s="84" t="str">
        <f>IFERROR(__xludf.DUMMYFUNCTION("iferror(if(A2883="""",,E2883&gt;=FILTER(Constants!$F$2:$F$10,Constants!$A$2:$A$10=A2883)))"),"")</f>
        <v/>
      </c>
    </row>
    <row r="2884">
      <c r="A2884" s="89"/>
      <c r="B2884" s="87"/>
      <c r="C2884" s="73"/>
      <c r="D2884" s="73"/>
      <c r="E2884" s="82"/>
      <c r="F2884" s="82"/>
      <c r="G2884" s="86"/>
      <c r="H2884" s="86"/>
      <c r="I2884" s="86"/>
      <c r="J2884" s="82"/>
      <c r="K2884" s="82"/>
      <c r="L2884" s="82"/>
      <c r="M2884" s="82"/>
      <c r="N2884" s="82"/>
      <c r="O2884" s="82"/>
      <c r="P2884" s="82"/>
      <c r="Q2884" s="82"/>
      <c r="R2884" s="82"/>
      <c r="S2884" s="82"/>
      <c r="T2884" s="82"/>
      <c r="U2884" s="82"/>
      <c r="V2884" s="82"/>
      <c r="W2884" s="82"/>
      <c r="X2884" s="82"/>
      <c r="Y2884" s="82"/>
      <c r="Z2884" s="82"/>
      <c r="AA2884" s="82"/>
      <c r="AB2884" s="82"/>
      <c r="AC2884" s="82"/>
      <c r="AD2884" s="82"/>
      <c r="AE2884" s="82"/>
      <c r="AF2884" s="82"/>
      <c r="AG2884" s="82"/>
      <c r="AH2884" s="82"/>
      <c r="AI2884" s="82"/>
      <c r="AJ2884" s="82"/>
      <c r="AK2884" s="82"/>
      <c r="AL2884" s="82"/>
      <c r="AM2884" s="82"/>
      <c r="AN2884" s="82"/>
      <c r="AO2884" s="82"/>
      <c r="AP2884" s="82"/>
      <c r="AQ2884" s="82"/>
      <c r="AR2884" s="82"/>
      <c r="AS2884" s="82"/>
      <c r="AT2884" s="82"/>
      <c r="AU2884" s="82"/>
      <c r="AV2884" s="82"/>
      <c r="AW2884" s="82" t="str">
        <f t="shared" si="1"/>
        <v/>
      </c>
      <c r="AX2884" s="83" t="str">
        <f t="array" ref="AX2884">IFERROR(DGET('SBV Import'!A:G,"SBV",{"RSC ID","Tier";B2884,A2884}))</f>
        <v/>
      </c>
      <c r="AY2884" s="82" t="str">
        <f t="shared" si="2"/>
        <v/>
      </c>
      <c r="AZ2884" s="82"/>
      <c r="BA2884" s="84" t="s">
        <v>152</v>
      </c>
      <c r="BB2884" s="84" t="str">
        <f>IFERROR(__xludf.DUMMYFUNCTION("iferror(if(A2884="""",,E2884&gt;=FILTER(Constants!$F$2:$F$10,Constants!$A$2:$A$10=A2884)))"),"")</f>
        <v/>
      </c>
    </row>
    <row r="2885">
      <c r="A2885" s="89"/>
      <c r="B2885" s="87"/>
      <c r="C2885" s="73"/>
      <c r="D2885" s="73"/>
      <c r="E2885" s="82"/>
      <c r="F2885" s="82"/>
      <c r="G2885" s="86"/>
      <c r="H2885" s="86"/>
      <c r="I2885" s="86"/>
      <c r="J2885" s="82"/>
      <c r="K2885" s="82"/>
      <c r="L2885" s="82"/>
      <c r="M2885" s="82"/>
      <c r="N2885" s="82"/>
      <c r="O2885" s="82"/>
      <c r="P2885" s="82"/>
      <c r="Q2885" s="82"/>
      <c r="R2885" s="82"/>
      <c r="S2885" s="82"/>
      <c r="T2885" s="82"/>
      <c r="U2885" s="82"/>
      <c r="V2885" s="82"/>
      <c r="W2885" s="82"/>
      <c r="X2885" s="82"/>
      <c r="Y2885" s="82"/>
      <c r="Z2885" s="82"/>
      <c r="AA2885" s="82"/>
      <c r="AB2885" s="82"/>
      <c r="AC2885" s="82"/>
      <c r="AD2885" s="82"/>
      <c r="AE2885" s="82"/>
      <c r="AF2885" s="82"/>
      <c r="AG2885" s="82"/>
      <c r="AH2885" s="82"/>
      <c r="AI2885" s="82"/>
      <c r="AJ2885" s="82"/>
      <c r="AK2885" s="82"/>
      <c r="AL2885" s="82"/>
      <c r="AM2885" s="82"/>
      <c r="AN2885" s="82"/>
      <c r="AO2885" s="82"/>
      <c r="AP2885" s="82"/>
      <c r="AQ2885" s="82"/>
      <c r="AR2885" s="82"/>
      <c r="AS2885" s="82"/>
      <c r="AT2885" s="82"/>
      <c r="AU2885" s="82"/>
      <c r="AV2885" s="82"/>
      <c r="AW2885" s="82" t="str">
        <f t="shared" si="1"/>
        <v/>
      </c>
      <c r="AX2885" s="83" t="str">
        <f t="array" ref="AX2885">IFERROR(DGET('SBV Import'!A:G,"SBV",{"RSC ID","Tier";B2885,A2885}))</f>
        <v/>
      </c>
      <c r="AY2885" s="82" t="str">
        <f t="shared" si="2"/>
        <v/>
      </c>
      <c r="AZ2885" s="82"/>
      <c r="BA2885" s="84" t="s">
        <v>152</v>
      </c>
      <c r="BB2885" s="84" t="str">
        <f>IFERROR(__xludf.DUMMYFUNCTION("iferror(if(A2885="""",,E2885&gt;=FILTER(Constants!$F$2:$F$10,Constants!$A$2:$A$10=A2885)))"),"")</f>
        <v/>
      </c>
    </row>
    <row r="2886">
      <c r="A2886" s="89"/>
      <c r="B2886" s="87"/>
      <c r="C2886" s="73"/>
      <c r="D2886" s="73"/>
      <c r="E2886" s="82"/>
      <c r="F2886" s="82"/>
      <c r="G2886" s="86"/>
      <c r="H2886" s="86"/>
      <c r="I2886" s="86"/>
      <c r="J2886" s="82"/>
      <c r="K2886" s="82"/>
      <c r="L2886" s="82"/>
      <c r="M2886" s="82"/>
      <c r="N2886" s="82"/>
      <c r="O2886" s="82"/>
      <c r="P2886" s="82"/>
      <c r="Q2886" s="82"/>
      <c r="R2886" s="82"/>
      <c r="S2886" s="82"/>
      <c r="T2886" s="82"/>
      <c r="U2886" s="82"/>
      <c r="V2886" s="82"/>
      <c r="W2886" s="82"/>
      <c r="X2886" s="82"/>
      <c r="Y2886" s="82"/>
      <c r="Z2886" s="82"/>
      <c r="AA2886" s="82"/>
      <c r="AB2886" s="82"/>
      <c r="AC2886" s="82"/>
      <c r="AD2886" s="82"/>
      <c r="AE2886" s="82"/>
      <c r="AF2886" s="82"/>
      <c r="AG2886" s="82"/>
      <c r="AH2886" s="82"/>
      <c r="AI2886" s="82"/>
      <c r="AJ2886" s="82"/>
      <c r="AK2886" s="82"/>
      <c r="AL2886" s="82"/>
      <c r="AM2886" s="82"/>
      <c r="AN2886" s="82"/>
      <c r="AO2886" s="82"/>
      <c r="AP2886" s="82"/>
      <c r="AQ2886" s="82"/>
      <c r="AR2886" s="82"/>
      <c r="AS2886" s="82"/>
      <c r="AT2886" s="82"/>
      <c r="AU2886" s="82"/>
      <c r="AV2886" s="82"/>
      <c r="AW2886" s="82" t="str">
        <f t="shared" si="1"/>
        <v/>
      </c>
      <c r="AX2886" s="83" t="str">
        <f t="array" ref="AX2886">IFERROR(DGET('SBV Import'!A:G,"SBV",{"RSC ID","Tier";B2886,A2886}))</f>
        <v/>
      </c>
      <c r="AY2886" s="82" t="str">
        <f t="shared" si="2"/>
        <v/>
      </c>
      <c r="AZ2886" s="82"/>
      <c r="BA2886" s="84" t="s">
        <v>152</v>
      </c>
      <c r="BB2886" s="84" t="str">
        <f>IFERROR(__xludf.DUMMYFUNCTION("iferror(if(A2886="""",,E2886&gt;=FILTER(Constants!$F$2:$F$10,Constants!$A$2:$A$10=A2886)))"),"")</f>
        <v/>
      </c>
    </row>
    <row r="2887">
      <c r="A2887" s="89"/>
      <c r="B2887" s="87"/>
      <c r="C2887" s="73"/>
      <c r="D2887" s="73"/>
      <c r="E2887" s="82"/>
      <c r="F2887" s="82"/>
      <c r="G2887" s="86"/>
      <c r="H2887" s="86"/>
      <c r="I2887" s="86"/>
      <c r="J2887" s="82"/>
      <c r="K2887" s="82"/>
      <c r="L2887" s="82"/>
      <c r="M2887" s="82"/>
      <c r="N2887" s="82"/>
      <c r="O2887" s="82"/>
      <c r="P2887" s="82"/>
      <c r="Q2887" s="82"/>
      <c r="R2887" s="82"/>
      <c r="S2887" s="82"/>
      <c r="T2887" s="82"/>
      <c r="U2887" s="82"/>
      <c r="V2887" s="82"/>
      <c r="W2887" s="82"/>
      <c r="X2887" s="82"/>
      <c r="Y2887" s="82"/>
      <c r="Z2887" s="82"/>
      <c r="AA2887" s="82"/>
      <c r="AB2887" s="82"/>
      <c r="AC2887" s="82"/>
      <c r="AD2887" s="82"/>
      <c r="AE2887" s="82"/>
      <c r="AF2887" s="82"/>
      <c r="AG2887" s="82"/>
      <c r="AH2887" s="82"/>
      <c r="AI2887" s="82"/>
      <c r="AJ2887" s="82"/>
      <c r="AK2887" s="82"/>
      <c r="AL2887" s="82"/>
      <c r="AM2887" s="82"/>
      <c r="AN2887" s="82"/>
      <c r="AO2887" s="82"/>
      <c r="AP2887" s="82"/>
      <c r="AQ2887" s="82"/>
      <c r="AR2887" s="82"/>
      <c r="AS2887" s="82"/>
      <c r="AT2887" s="82"/>
      <c r="AU2887" s="82"/>
      <c r="AV2887" s="82"/>
      <c r="AW2887" s="82" t="str">
        <f t="shared" si="1"/>
        <v/>
      </c>
      <c r="AX2887" s="83" t="str">
        <f t="array" ref="AX2887">IFERROR(DGET('SBV Import'!A:G,"SBV",{"RSC ID","Tier";B2887,A2887}))</f>
        <v/>
      </c>
      <c r="AY2887" s="82" t="str">
        <f t="shared" si="2"/>
        <v/>
      </c>
      <c r="AZ2887" s="82"/>
      <c r="BA2887" s="84" t="s">
        <v>152</v>
      </c>
      <c r="BB2887" s="84" t="str">
        <f>IFERROR(__xludf.DUMMYFUNCTION("iferror(if(A2887="""",,E2887&gt;=FILTER(Constants!$F$2:$F$10,Constants!$A$2:$A$10=A2887)))"),"")</f>
        <v/>
      </c>
    </row>
    <row r="2888">
      <c r="A2888" s="89"/>
      <c r="B2888" s="87"/>
      <c r="C2888" s="73"/>
      <c r="D2888" s="73"/>
      <c r="E2888" s="82"/>
      <c r="F2888" s="82"/>
      <c r="G2888" s="86"/>
      <c r="H2888" s="86"/>
      <c r="I2888" s="86"/>
      <c r="J2888" s="82"/>
      <c r="K2888" s="82"/>
      <c r="L2888" s="82"/>
      <c r="M2888" s="82"/>
      <c r="N2888" s="82"/>
      <c r="O2888" s="82"/>
      <c r="P2888" s="82"/>
      <c r="Q2888" s="82"/>
      <c r="R2888" s="82"/>
      <c r="S2888" s="82"/>
      <c r="T2888" s="82"/>
      <c r="U2888" s="82"/>
      <c r="V2888" s="82"/>
      <c r="W2888" s="82"/>
      <c r="X2888" s="82"/>
      <c r="Y2888" s="82"/>
      <c r="Z2888" s="82"/>
      <c r="AA2888" s="82"/>
      <c r="AB2888" s="82"/>
      <c r="AC2888" s="82"/>
      <c r="AD2888" s="82"/>
      <c r="AE2888" s="82"/>
      <c r="AF2888" s="82"/>
      <c r="AG2888" s="82"/>
      <c r="AH2888" s="82"/>
      <c r="AI2888" s="82"/>
      <c r="AJ2888" s="82"/>
      <c r="AK2888" s="82"/>
      <c r="AL2888" s="82"/>
      <c r="AM2888" s="82"/>
      <c r="AN2888" s="82"/>
      <c r="AO2888" s="82"/>
      <c r="AP2888" s="82"/>
      <c r="AQ2888" s="82"/>
      <c r="AR2888" s="82"/>
      <c r="AS2888" s="82"/>
      <c r="AT2888" s="82"/>
      <c r="AU2888" s="82"/>
      <c r="AV2888" s="82"/>
      <c r="AW2888" s="82" t="str">
        <f t="shared" si="1"/>
        <v/>
      </c>
      <c r="AX2888" s="83" t="str">
        <f t="array" ref="AX2888">IFERROR(DGET('SBV Import'!A:G,"SBV",{"RSC ID","Tier";B2888,A2888}))</f>
        <v/>
      </c>
      <c r="AY2888" s="82" t="str">
        <f t="shared" si="2"/>
        <v/>
      </c>
      <c r="AZ2888" s="82"/>
      <c r="BA2888" s="84" t="s">
        <v>152</v>
      </c>
      <c r="BB2888" s="84" t="str">
        <f>IFERROR(__xludf.DUMMYFUNCTION("iferror(if(A2888="""",,E2888&gt;=FILTER(Constants!$F$2:$F$10,Constants!$A$2:$A$10=A2888)))"),"")</f>
        <v/>
      </c>
    </row>
    <row r="2889">
      <c r="A2889" s="89"/>
      <c r="B2889" s="87"/>
      <c r="C2889" s="73"/>
      <c r="D2889" s="73"/>
      <c r="E2889" s="82"/>
      <c r="F2889" s="82"/>
      <c r="G2889" s="86"/>
      <c r="H2889" s="86"/>
      <c r="I2889" s="86"/>
      <c r="J2889" s="82"/>
      <c r="K2889" s="82"/>
      <c r="L2889" s="82"/>
      <c r="M2889" s="82"/>
      <c r="N2889" s="82"/>
      <c r="O2889" s="82"/>
      <c r="P2889" s="82"/>
      <c r="Q2889" s="82"/>
      <c r="R2889" s="82"/>
      <c r="S2889" s="82"/>
      <c r="T2889" s="82"/>
      <c r="U2889" s="82"/>
      <c r="V2889" s="82"/>
      <c r="W2889" s="82"/>
      <c r="X2889" s="82"/>
      <c r="Y2889" s="82"/>
      <c r="Z2889" s="82"/>
      <c r="AA2889" s="82"/>
      <c r="AB2889" s="82"/>
      <c r="AC2889" s="82"/>
      <c r="AD2889" s="82"/>
      <c r="AE2889" s="82"/>
      <c r="AF2889" s="82"/>
      <c r="AG2889" s="82"/>
      <c r="AH2889" s="82"/>
      <c r="AI2889" s="82"/>
      <c r="AJ2889" s="82"/>
      <c r="AK2889" s="82"/>
      <c r="AL2889" s="82"/>
      <c r="AM2889" s="82"/>
      <c r="AN2889" s="82"/>
      <c r="AO2889" s="82"/>
      <c r="AP2889" s="82"/>
      <c r="AQ2889" s="82"/>
      <c r="AR2889" s="82"/>
      <c r="AS2889" s="82"/>
      <c r="AT2889" s="82"/>
      <c r="AU2889" s="82"/>
      <c r="AV2889" s="82"/>
      <c r="AW2889" s="82" t="str">
        <f t="shared" si="1"/>
        <v/>
      </c>
      <c r="AX2889" s="83" t="str">
        <f t="array" ref="AX2889">IFERROR(DGET('SBV Import'!A:G,"SBV",{"RSC ID","Tier";B2889,A2889}))</f>
        <v/>
      </c>
      <c r="AY2889" s="82" t="str">
        <f t="shared" si="2"/>
        <v/>
      </c>
      <c r="AZ2889" s="82"/>
      <c r="BA2889" s="84" t="s">
        <v>152</v>
      </c>
      <c r="BB2889" s="84" t="str">
        <f>IFERROR(__xludf.DUMMYFUNCTION("iferror(if(A2889="""",,E2889&gt;=FILTER(Constants!$F$2:$F$10,Constants!$A$2:$A$10=A2889)))"),"")</f>
        <v/>
      </c>
    </row>
    <row r="2890">
      <c r="A2890" s="89"/>
      <c r="B2890" s="87"/>
      <c r="C2890" s="73"/>
      <c r="D2890" s="73"/>
      <c r="E2890" s="82"/>
      <c r="F2890" s="82"/>
      <c r="G2890" s="86"/>
      <c r="H2890" s="86"/>
      <c r="I2890" s="86"/>
      <c r="J2890" s="82"/>
      <c r="K2890" s="82"/>
      <c r="L2890" s="82"/>
      <c r="M2890" s="82"/>
      <c r="N2890" s="82"/>
      <c r="O2890" s="82"/>
      <c r="P2890" s="82"/>
      <c r="Q2890" s="82"/>
      <c r="R2890" s="82"/>
      <c r="S2890" s="82"/>
      <c r="T2890" s="82"/>
      <c r="U2890" s="82"/>
      <c r="V2890" s="82"/>
      <c r="W2890" s="82"/>
      <c r="X2890" s="82"/>
      <c r="Y2890" s="82"/>
      <c r="Z2890" s="82"/>
      <c r="AA2890" s="82"/>
      <c r="AB2890" s="82"/>
      <c r="AC2890" s="82"/>
      <c r="AD2890" s="82"/>
      <c r="AE2890" s="82"/>
      <c r="AF2890" s="82"/>
      <c r="AG2890" s="82"/>
      <c r="AH2890" s="82"/>
      <c r="AI2890" s="82"/>
      <c r="AJ2890" s="82"/>
      <c r="AK2890" s="82"/>
      <c r="AL2890" s="82"/>
      <c r="AM2890" s="82"/>
      <c r="AN2890" s="82"/>
      <c r="AO2890" s="82"/>
      <c r="AP2890" s="82"/>
      <c r="AQ2890" s="82"/>
      <c r="AR2890" s="82"/>
      <c r="AS2890" s="82"/>
      <c r="AT2890" s="82"/>
      <c r="AU2890" s="82"/>
      <c r="AV2890" s="82"/>
      <c r="AW2890" s="82" t="str">
        <f t="shared" si="1"/>
        <v/>
      </c>
      <c r="AX2890" s="83" t="str">
        <f t="array" ref="AX2890">IFERROR(DGET('SBV Import'!A:G,"SBV",{"RSC ID","Tier";B2890,A2890}))</f>
        <v/>
      </c>
      <c r="AY2890" s="82" t="str">
        <f t="shared" si="2"/>
        <v/>
      </c>
      <c r="AZ2890" s="82"/>
      <c r="BA2890" s="84" t="s">
        <v>152</v>
      </c>
      <c r="BB2890" s="84" t="str">
        <f>IFERROR(__xludf.DUMMYFUNCTION("iferror(if(A2890="""",,E2890&gt;=FILTER(Constants!$F$2:$F$10,Constants!$A$2:$A$10=A2890)))"),"")</f>
        <v/>
      </c>
    </row>
    <row r="2891">
      <c r="A2891" s="89"/>
      <c r="B2891" s="87"/>
      <c r="C2891" s="73"/>
      <c r="D2891" s="73"/>
      <c r="E2891" s="82"/>
      <c r="F2891" s="82"/>
      <c r="G2891" s="86"/>
      <c r="H2891" s="86"/>
      <c r="I2891" s="86"/>
      <c r="J2891" s="82"/>
      <c r="K2891" s="82"/>
      <c r="L2891" s="82"/>
      <c r="M2891" s="82"/>
      <c r="N2891" s="82"/>
      <c r="O2891" s="82"/>
      <c r="P2891" s="82"/>
      <c r="Q2891" s="82"/>
      <c r="R2891" s="82"/>
      <c r="S2891" s="82"/>
      <c r="T2891" s="82"/>
      <c r="U2891" s="82"/>
      <c r="V2891" s="82"/>
      <c r="W2891" s="82"/>
      <c r="X2891" s="82"/>
      <c r="Y2891" s="82"/>
      <c r="Z2891" s="82"/>
      <c r="AA2891" s="82"/>
      <c r="AB2891" s="82"/>
      <c r="AC2891" s="82"/>
      <c r="AD2891" s="82"/>
      <c r="AE2891" s="82"/>
      <c r="AF2891" s="82"/>
      <c r="AG2891" s="82"/>
      <c r="AH2891" s="82"/>
      <c r="AI2891" s="82"/>
      <c r="AJ2891" s="82"/>
      <c r="AK2891" s="82"/>
      <c r="AL2891" s="82"/>
      <c r="AM2891" s="82"/>
      <c r="AN2891" s="82"/>
      <c r="AO2891" s="82"/>
      <c r="AP2891" s="82"/>
      <c r="AQ2891" s="82"/>
      <c r="AR2891" s="82"/>
      <c r="AS2891" s="82"/>
      <c r="AT2891" s="82"/>
      <c r="AU2891" s="82"/>
      <c r="AV2891" s="82"/>
      <c r="AW2891" s="82" t="str">
        <f t="shared" si="1"/>
        <v/>
      </c>
      <c r="AX2891" s="83" t="str">
        <f t="array" ref="AX2891">IFERROR(DGET('SBV Import'!A:G,"SBV",{"RSC ID","Tier";B2891,A2891}))</f>
        <v/>
      </c>
      <c r="AY2891" s="82" t="str">
        <f t="shared" si="2"/>
        <v/>
      </c>
      <c r="AZ2891" s="82"/>
      <c r="BA2891" s="84" t="s">
        <v>152</v>
      </c>
      <c r="BB2891" s="84" t="str">
        <f>IFERROR(__xludf.DUMMYFUNCTION("iferror(if(A2891="""",,E2891&gt;=FILTER(Constants!$F$2:$F$10,Constants!$A$2:$A$10=A2891)))"),"")</f>
        <v/>
      </c>
    </row>
    <row r="2892">
      <c r="A2892" s="89"/>
      <c r="B2892" s="87"/>
      <c r="C2892" s="73"/>
      <c r="D2892" s="73"/>
      <c r="E2892" s="82"/>
      <c r="F2892" s="82"/>
      <c r="G2892" s="86"/>
      <c r="H2892" s="86"/>
      <c r="I2892" s="86"/>
      <c r="J2892" s="82"/>
      <c r="K2892" s="82"/>
      <c r="L2892" s="82"/>
      <c r="M2892" s="82"/>
      <c r="N2892" s="82"/>
      <c r="O2892" s="82"/>
      <c r="P2892" s="82"/>
      <c r="Q2892" s="82"/>
      <c r="R2892" s="82"/>
      <c r="S2892" s="82"/>
      <c r="T2892" s="82"/>
      <c r="U2892" s="82"/>
      <c r="V2892" s="82"/>
      <c r="W2892" s="82"/>
      <c r="X2892" s="82"/>
      <c r="Y2892" s="82"/>
      <c r="Z2892" s="82"/>
      <c r="AA2892" s="82"/>
      <c r="AB2892" s="82"/>
      <c r="AC2892" s="82"/>
      <c r="AD2892" s="82"/>
      <c r="AE2892" s="82"/>
      <c r="AF2892" s="82"/>
      <c r="AG2892" s="82"/>
      <c r="AH2892" s="82"/>
      <c r="AI2892" s="82"/>
      <c r="AJ2892" s="82"/>
      <c r="AK2892" s="82"/>
      <c r="AL2892" s="82"/>
      <c r="AM2892" s="82"/>
      <c r="AN2892" s="82"/>
      <c r="AO2892" s="82"/>
      <c r="AP2892" s="82"/>
      <c r="AQ2892" s="82"/>
      <c r="AR2892" s="82"/>
      <c r="AS2892" s="82"/>
      <c r="AT2892" s="82"/>
      <c r="AU2892" s="82"/>
      <c r="AV2892" s="82"/>
      <c r="AW2892" s="82" t="str">
        <f t="shared" si="1"/>
        <v/>
      </c>
      <c r="AX2892" s="83" t="str">
        <f t="array" ref="AX2892">IFERROR(DGET('SBV Import'!A:G,"SBV",{"RSC ID","Tier";B2892,A2892}))</f>
        <v/>
      </c>
      <c r="AY2892" s="82" t="str">
        <f t="shared" si="2"/>
        <v/>
      </c>
      <c r="AZ2892" s="82"/>
      <c r="BA2892" s="84" t="s">
        <v>152</v>
      </c>
      <c r="BB2892" s="84" t="str">
        <f>IFERROR(__xludf.DUMMYFUNCTION("iferror(if(A2892="""",,E2892&gt;=FILTER(Constants!$F$2:$F$10,Constants!$A$2:$A$10=A2892)))"),"")</f>
        <v/>
      </c>
    </row>
    <row r="2893">
      <c r="A2893" s="89"/>
      <c r="B2893" s="87"/>
      <c r="C2893" s="73"/>
      <c r="D2893" s="73"/>
      <c r="E2893" s="82"/>
      <c r="F2893" s="82"/>
      <c r="G2893" s="86"/>
      <c r="H2893" s="86"/>
      <c r="I2893" s="86"/>
      <c r="J2893" s="82"/>
      <c r="K2893" s="82"/>
      <c r="L2893" s="82"/>
      <c r="M2893" s="82"/>
      <c r="N2893" s="82"/>
      <c r="O2893" s="82"/>
      <c r="P2893" s="82"/>
      <c r="Q2893" s="82"/>
      <c r="R2893" s="82"/>
      <c r="S2893" s="82"/>
      <c r="T2893" s="82"/>
      <c r="U2893" s="82"/>
      <c r="V2893" s="82"/>
      <c r="W2893" s="82"/>
      <c r="X2893" s="82"/>
      <c r="Y2893" s="82"/>
      <c r="Z2893" s="82"/>
      <c r="AA2893" s="82"/>
      <c r="AB2893" s="82"/>
      <c r="AC2893" s="82"/>
      <c r="AD2893" s="82"/>
      <c r="AE2893" s="82"/>
      <c r="AF2893" s="82"/>
      <c r="AG2893" s="82"/>
      <c r="AH2893" s="82"/>
      <c r="AI2893" s="82"/>
      <c r="AJ2893" s="82"/>
      <c r="AK2893" s="82"/>
      <c r="AL2893" s="82"/>
      <c r="AM2893" s="82"/>
      <c r="AN2893" s="82"/>
      <c r="AO2893" s="82"/>
      <c r="AP2893" s="82"/>
      <c r="AQ2893" s="82"/>
      <c r="AR2893" s="82"/>
      <c r="AS2893" s="82"/>
      <c r="AT2893" s="82"/>
      <c r="AU2893" s="82"/>
      <c r="AV2893" s="82"/>
      <c r="AW2893" s="82" t="str">
        <f t="shared" si="1"/>
        <v/>
      </c>
      <c r="AX2893" s="83" t="str">
        <f t="array" ref="AX2893">IFERROR(DGET('SBV Import'!A:G,"SBV",{"RSC ID","Tier";B2893,A2893}))</f>
        <v/>
      </c>
      <c r="AY2893" s="82" t="str">
        <f t="shared" si="2"/>
        <v/>
      </c>
      <c r="AZ2893" s="82"/>
      <c r="BA2893" s="84" t="s">
        <v>152</v>
      </c>
      <c r="BB2893" s="84" t="str">
        <f>IFERROR(__xludf.DUMMYFUNCTION("iferror(if(A2893="""",,E2893&gt;=FILTER(Constants!$F$2:$F$10,Constants!$A$2:$A$10=A2893)))"),"")</f>
        <v/>
      </c>
    </row>
    <row r="2894">
      <c r="A2894" s="89"/>
      <c r="B2894" s="87"/>
      <c r="C2894" s="73"/>
      <c r="D2894" s="73"/>
      <c r="E2894" s="82"/>
      <c r="F2894" s="82"/>
      <c r="G2894" s="86"/>
      <c r="H2894" s="86"/>
      <c r="I2894" s="86"/>
      <c r="J2894" s="82"/>
      <c r="K2894" s="82"/>
      <c r="L2894" s="82"/>
      <c r="M2894" s="82"/>
      <c r="N2894" s="82"/>
      <c r="O2894" s="82"/>
      <c r="P2894" s="82"/>
      <c r="Q2894" s="82"/>
      <c r="R2894" s="82"/>
      <c r="S2894" s="82"/>
      <c r="T2894" s="82"/>
      <c r="U2894" s="82"/>
      <c r="V2894" s="82"/>
      <c r="W2894" s="82"/>
      <c r="X2894" s="82"/>
      <c r="Y2894" s="82"/>
      <c r="Z2894" s="82"/>
      <c r="AA2894" s="82"/>
      <c r="AB2894" s="82"/>
      <c r="AC2894" s="82"/>
      <c r="AD2894" s="82"/>
      <c r="AE2894" s="82"/>
      <c r="AF2894" s="82"/>
      <c r="AG2894" s="82"/>
      <c r="AH2894" s="82"/>
      <c r="AI2894" s="82"/>
      <c r="AJ2894" s="82"/>
      <c r="AK2894" s="82"/>
      <c r="AL2894" s="82"/>
      <c r="AM2894" s="82"/>
      <c r="AN2894" s="82"/>
      <c r="AO2894" s="82"/>
      <c r="AP2894" s="82"/>
      <c r="AQ2894" s="82"/>
      <c r="AR2894" s="82"/>
      <c r="AS2894" s="82"/>
      <c r="AT2894" s="82"/>
      <c r="AU2894" s="82"/>
      <c r="AV2894" s="82"/>
      <c r="AW2894" s="82" t="str">
        <f t="shared" si="1"/>
        <v/>
      </c>
      <c r="AX2894" s="83" t="str">
        <f t="array" ref="AX2894">IFERROR(DGET('SBV Import'!A:G,"SBV",{"RSC ID","Tier";B2894,A2894}))</f>
        <v/>
      </c>
      <c r="AY2894" s="82" t="str">
        <f t="shared" si="2"/>
        <v/>
      </c>
      <c r="AZ2894" s="82"/>
      <c r="BA2894" s="84" t="s">
        <v>152</v>
      </c>
      <c r="BB2894" s="84" t="str">
        <f>IFERROR(__xludf.DUMMYFUNCTION("iferror(if(A2894="""",,E2894&gt;=FILTER(Constants!$F$2:$F$10,Constants!$A$2:$A$10=A2894)))"),"")</f>
        <v/>
      </c>
    </row>
    <row r="2895">
      <c r="A2895" s="89"/>
      <c r="B2895" s="87"/>
      <c r="C2895" s="73"/>
      <c r="D2895" s="73"/>
      <c r="E2895" s="82"/>
      <c r="F2895" s="82"/>
      <c r="G2895" s="86"/>
      <c r="H2895" s="86"/>
      <c r="I2895" s="86"/>
      <c r="J2895" s="82"/>
      <c r="K2895" s="82"/>
      <c r="L2895" s="82"/>
      <c r="M2895" s="82"/>
      <c r="N2895" s="82"/>
      <c r="O2895" s="82"/>
      <c r="P2895" s="82"/>
      <c r="Q2895" s="82"/>
      <c r="R2895" s="82"/>
      <c r="S2895" s="82"/>
      <c r="T2895" s="82"/>
      <c r="U2895" s="82"/>
      <c r="V2895" s="82"/>
      <c r="W2895" s="82"/>
      <c r="X2895" s="82"/>
      <c r="Y2895" s="82"/>
      <c r="Z2895" s="82"/>
      <c r="AA2895" s="82"/>
      <c r="AB2895" s="82"/>
      <c r="AC2895" s="82"/>
      <c r="AD2895" s="82"/>
      <c r="AE2895" s="82"/>
      <c r="AF2895" s="82"/>
      <c r="AG2895" s="82"/>
      <c r="AH2895" s="82"/>
      <c r="AI2895" s="82"/>
      <c r="AJ2895" s="82"/>
      <c r="AK2895" s="82"/>
      <c r="AL2895" s="82"/>
      <c r="AM2895" s="82"/>
      <c r="AN2895" s="82"/>
      <c r="AO2895" s="82"/>
      <c r="AP2895" s="82"/>
      <c r="AQ2895" s="82"/>
      <c r="AR2895" s="82"/>
      <c r="AS2895" s="82"/>
      <c r="AT2895" s="82"/>
      <c r="AU2895" s="82"/>
      <c r="AV2895" s="82"/>
      <c r="AW2895" s="82" t="str">
        <f t="shared" si="1"/>
        <v/>
      </c>
      <c r="AX2895" s="83" t="str">
        <f t="array" ref="AX2895">IFERROR(DGET('SBV Import'!A:G,"SBV",{"RSC ID","Tier";B2895,A2895}))</f>
        <v/>
      </c>
      <c r="AY2895" s="82" t="str">
        <f t="shared" si="2"/>
        <v/>
      </c>
      <c r="AZ2895" s="82"/>
      <c r="BA2895" s="84" t="s">
        <v>152</v>
      </c>
      <c r="BB2895" s="84" t="str">
        <f>IFERROR(__xludf.DUMMYFUNCTION("iferror(if(A2895="""",,E2895&gt;=FILTER(Constants!$F$2:$F$10,Constants!$A$2:$A$10=A2895)))"),"")</f>
        <v/>
      </c>
    </row>
    <row r="2896">
      <c r="A2896" s="89"/>
      <c r="B2896" s="87"/>
      <c r="C2896" s="73"/>
      <c r="D2896" s="73"/>
      <c r="E2896" s="82"/>
      <c r="F2896" s="82"/>
      <c r="G2896" s="86"/>
      <c r="H2896" s="86"/>
      <c r="I2896" s="86"/>
      <c r="J2896" s="82"/>
      <c r="K2896" s="82"/>
      <c r="L2896" s="82"/>
      <c r="M2896" s="82"/>
      <c r="N2896" s="82"/>
      <c r="O2896" s="82"/>
      <c r="P2896" s="82"/>
      <c r="Q2896" s="82"/>
      <c r="R2896" s="82"/>
      <c r="S2896" s="82"/>
      <c r="T2896" s="82"/>
      <c r="U2896" s="82"/>
      <c r="V2896" s="82"/>
      <c r="W2896" s="82"/>
      <c r="X2896" s="82"/>
      <c r="Y2896" s="82"/>
      <c r="Z2896" s="82"/>
      <c r="AA2896" s="82"/>
      <c r="AB2896" s="82"/>
      <c r="AC2896" s="82"/>
      <c r="AD2896" s="82"/>
      <c r="AE2896" s="82"/>
      <c r="AF2896" s="82"/>
      <c r="AG2896" s="82"/>
      <c r="AH2896" s="82"/>
      <c r="AI2896" s="82"/>
      <c r="AJ2896" s="82"/>
      <c r="AK2896" s="82"/>
      <c r="AL2896" s="82"/>
      <c r="AM2896" s="82"/>
      <c r="AN2896" s="82"/>
      <c r="AO2896" s="82"/>
      <c r="AP2896" s="82"/>
      <c r="AQ2896" s="82"/>
      <c r="AR2896" s="82"/>
      <c r="AS2896" s="82"/>
      <c r="AT2896" s="82"/>
      <c r="AU2896" s="82"/>
      <c r="AV2896" s="82"/>
      <c r="AW2896" s="82" t="str">
        <f t="shared" si="1"/>
        <v/>
      </c>
      <c r="AX2896" s="83" t="str">
        <f t="array" ref="AX2896">IFERROR(DGET('SBV Import'!A:G,"SBV",{"RSC ID","Tier";B2896,A2896}))</f>
        <v/>
      </c>
      <c r="AY2896" s="82" t="str">
        <f t="shared" si="2"/>
        <v/>
      </c>
      <c r="AZ2896" s="82"/>
      <c r="BA2896" s="84" t="s">
        <v>152</v>
      </c>
      <c r="BB2896" s="84" t="str">
        <f>IFERROR(__xludf.DUMMYFUNCTION("iferror(if(A2896="""",,E2896&gt;=FILTER(Constants!$F$2:$F$10,Constants!$A$2:$A$10=A2896)))"),"")</f>
        <v/>
      </c>
    </row>
    <row r="2897">
      <c r="A2897" s="89"/>
      <c r="B2897" s="87"/>
      <c r="C2897" s="73"/>
      <c r="D2897" s="73"/>
      <c r="E2897" s="82"/>
      <c r="F2897" s="82"/>
      <c r="G2897" s="86"/>
      <c r="H2897" s="86"/>
      <c r="I2897" s="86"/>
      <c r="J2897" s="82"/>
      <c r="K2897" s="82"/>
      <c r="L2897" s="82"/>
      <c r="M2897" s="82"/>
      <c r="N2897" s="82"/>
      <c r="O2897" s="82"/>
      <c r="P2897" s="82"/>
      <c r="Q2897" s="82"/>
      <c r="R2897" s="82"/>
      <c r="S2897" s="82"/>
      <c r="T2897" s="82"/>
      <c r="U2897" s="82"/>
      <c r="V2897" s="82"/>
      <c r="W2897" s="82"/>
      <c r="X2897" s="82"/>
      <c r="Y2897" s="82"/>
      <c r="Z2897" s="82"/>
      <c r="AA2897" s="82"/>
      <c r="AB2897" s="82"/>
      <c r="AC2897" s="82"/>
      <c r="AD2897" s="82"/>
      <c r="AE2897" s="82"/>
      <c r="AF2897" s="82"/>
      <c r="AG2897" s="82"/>
      <c r="AH2897" s="82"/>
      <c r="AI2897" s="82"/>
      <c r="AJ2897" s="82"/>
      <c r="AK2897" s="82"/>
      <c r="AL2897" s="82"/>
      <c r="AM2897" s="82"/>
      <c r="AN2897" s="82"/>
      <c r="AO2897" s="82"/>
      <c r="AP2897" s="82"/>
      <c r="AQ2897" s="82"/>
      <c r="AR2897" s="82"/>
      <c r="AS2897" s="82"/>
      <c r="AT2897" s="82"/>
      <c r="AU2897" s="82"/>
      <c r="AV2897" s="82"/>
      <c r="AW2897" s="82" t="str">
        <f t="shared" si="1"/>
        <v/>
      </c>
      <c r="AX2897" s="83" t="str">
        <f t="array" ref="AX2897">IFERROR(DGET('SBV Import'!A:G,"SBV",{"RSC ID","Tier";B2897,A2897}))</f>
        <v/>
      </c>
      <c r="AY2897" s="82" t="str">
        <f t="shared" si="2"/>
        <v/>
      </c>
      <c r="AZ2897" s="82"/>
      <c r="BA2897" s="84" t="s">
        <v>152</v>
      </c>
      <c r="BB2897" s="84" t="str">
        <f>IFERROR(__xludf.DUMMYFUNCTION("iferror(if(A2897="""",,E2897&gt;=FILTER(Constants!$F$2:$F$10,Constants!$A$2:$A$10=A2897)))"),"")</f>
        <v/>
      </c>
    </row>
    <row r="2898">
      <c r="A2898" s="89"/>
      <c r="B2898" s="87"/>
      <c r="C2898" s="73"/>
      <c r="D2898" s="73"/>
      <c r="E2898" s="82"/>
      <c r="F2898" s="82"/>
      <c r="G2898" s="86"/>
      <c r="H2898" s="86"/>
      <c r="I2898" s="86"/>
      <c r="J2898" s="82"/>
      <c r="K2898" s="82"/>
      <c r="L2898" s="82"/>
      <c r="M2898" s="82"/>
      <c r="N2898" s="82"/>
      <c r="O2898" s="82"/>
      <c r="P2898" s="82"/>
      <c r="Q2898" s="82"/>
      <c r="R2898" s="82"/>
      <c r="S2898" s="82"/>
      <c r="T2898" s="82"/>
      <c r="U2898" s="82"/>
      <c r="V2898" s="82"/>
      <c r="W2898" s="82"/>
      <c r="X2898" s="82"/>
      <c r="Y2898" s="82"/>
      <c r="Z2898" s="82"/>
      <c r="AA2898" s="82"/>
      <c r="AB2898" s="82"/>
      <c r="AC2898" s="82"/>
      <c r="AD2898" s="82"/>
      <c r="AE2898" s="82"/>
      <c r="AF2898" s="82"/>
      <c r="AG2898" s="82"/>
      <c r="AH2898" s="82"/>
      <c r="AI2898" s="82"/>
      <c r="AJ2898" s="82"/>
      <c r="AK2898" s="82"/>
      <c r="AL2898" s="82"/>
      <c r="AM2898" s="82"/>
      <c r="AN2898" s="82"/>
      <c r="AO2898" s="82"/>
      <c r="AP2898" s="82"/>
      <c r="AQ2898" s="82"/>
      <c r="AR2898" s="82"/>
      <c r="AS2898" s="82"/>
      <c r="AT2898" s="82"/>
      <c r="AU2898" s="82"/>
      <c r="AV2898" s="82"/>
      <c r="AW2898" s="82" t="str">
        <f t="shared" si="1"/>
        <v/>
      </c>
      <c r="AX2898" s="83" t="str">
        <f t="array" ref="AX2898">IFERROR(DGET('SBV Import'!A:G,"SBV",{"RSC ID","Tier";B2898,A2898}))</f>
        <v/>
      </c>
      <c r="AY2898" s="82" t="str">
        <f t="shared" si="2"/>
        <v/>
      </c>
      <c r="AZ2898" s="82"/>
      <c r="BA2898" s="84" t="s">
        <v>152</v>
      </c>
      <c r="BB2898" s="84" t="str">
        <f>IFERROR(__xludf.DUMMYFUNCTION("iferror(if(A2898="""",,E2898&gt;=FILTER(Constants!$F$2:$F$10,Constants!$A$2:$A$10=A2898)))"),"")</f>
        <v/>
      </c>
    </row>
    <row r="2899">
      <c r="A2899" s="89"/>
      <c r="B2899" s="87"/>
      <c r="C2899" s="73"/>
      <c r="D2899" s="73"/>
      <c r="E2899" s="82"/>
      <c r="F2899" s="82"/>
      <c r="G2899" s="86"/>
      <c r="H2899" s="86"/>
      <c r="I2899" s="86"/>
      <c r="J2899" s="82"/>
      <c r="K2899" s="82"/>
      <c r="L2899" s="82"/>
      <c r="M2899" s="82"/>
      <c r="N2899" s="82"/>
      <c r="O2899" s="82"/>
      <c r="P2899" s="82"/>
      <c r="Q2899" s="82"/>
      <c r="R2899" s="82"/>
      <c r="S2899" s="82"/>
      <c r="T2899" s="82"/>
      <c r="U2899" s="82"/>
      <c r="V2899" s="82"/>
      <c r="W2899" s="82"/>
      <c r="X2899" s="82"/>
      <c r="Y2899" s="82"/>
      <c r="Z2899" s="82"/>
      <c r="AA2899" s="82"/>
      <c r="AB2899" s="82"/>
      <c r="AC2899" s="82"/>
      <c r="AD2899" s="82"/>
      <c r="AE2899" s="82"/>
      <c r="AF2899" s="82"/>
      <c r="AG2899" s="82"/>
      <c r="AH2899" s="82"/>
      <c r="AI2899" s="82"/>
      <c r="AJ2899" s="82"/>
      <c r="AK2899" s="82"/>
      <c r="AL2899" s="82"/>
      <c r="AM2899" s="82"/>
      <c r="AN2899" s="82"/>
      <c r="AO2899" s="82"/>
      <c r="AP2899" s="82"/>
      <c r="AQ2899" s="82"/>
      <c r="AR2899" s="82"/>
      <c r="AS2899" s="82"/>
      <c r="AT2899" s="82"/>
      <c r="AU2899" s="82"/>
      <c r="AV2899" s="82"/>
      <c r="AW2899" s="82" t="str">
        <f t="shared" si="1"/>
        <v/>
      </c>
      <c r="AX2899" s="83" t="str">
        <f t="array" ref="AX2899">IFERROR(DGET('SBV Import'!A:G,"SBV",{"RSC ID","Tier";B2899,A2899}))</f>
        <v/>
      </c>
      <c r="AY2899" s="82" t="str">
        <f t="shared" si="2"/>
        <v/>
      </c>
      <c r="AZ2899" s="82"/>
      <c r="BA2899" s="84" t="s">
        <v>152</v>
      </c>
      <c r="BB2899" s="84" t="str">
        <f>IFERROR(__xludf.DUMMYFUNCTION("iferror(if(A2899="""",,E2899&gt;=FILTER(Constants!$F$2:$F$10,Constants!$A$2:$A$10=A2899)))"),"")</f>
        <v/>
      </c>
    </row>
    <row r="2900">
      <c r="A2900" s="89"/>
      <c r="B2900" s="87"/>
      <c r="C2900" s="73"/>
      <c r="D2900" s="73"/>
      <c r="E2900" s="82"/>
      <c r="F2900" s="82"/>
      <c r="G2900" s="86"/>
      <c r="H2900" s="86"/>
      <c r="I2900" s="86"/>
      <c r="J2900" s="82"/>
      <c r="K2900" s="82"/>
      <c r="L2900" s="82"/>
      <c r="M2900" s="82"/>
      <c r="N2900" s="82"/>
      <c r="O2900" s="82"/>
      <c r="P2900" s="82"/>
      <c r="Q2900" s="82"/>
      <c r="R2900" s="82"/>
      <c r="S2900" s="82"/>
      <c r="T2900" s="82"/>
      <c r="U2900" s="82"/>
      <c r="V2900" s="82"/>
      <c r="W2900" s="82"/>
      <c r="X2900" s="82"/>
      <c r="Y2900" s="82"/>
      <c r="Z2900" s="82"/>
      <c r="AA2900" s="82"/>
      <c r="AB2900" s="82"/>
      <c r="AC2900" s="82"/>
      <c r="AD2900" s="82"/>
      <c r="AE2900" s="82"/>
      <c r="AF2900" s="82"/>
      <c r="AG2900" s="82"/>
      <c r="AH2900" s="82"/>
      <c r="AI2900" s="82"/>
      <c r="AJ2900" s="82"/>
      <c r="AK2900" s="82"/>
      <c r="AL2900" s="82"/>
      <c r="AM2900" s="82"/>
      <c r="AN2900" s="82"/>
      <c r="AO2900" s="82"/>
      <c r="AP2900" s="82"/>
      <c r="AQ2900" s="82"/>
      <c r="AR2900" s="82"/>
      <c r="AS2900" s="82"/>
      <c r="AT2900" s="82"/>
      <c r="AU2900" s="82"/>
      <c r="AV2900" s="82"/>
      <c r="AW2900" s="82" t="str">
        <f t="shared" si="1"/>
        <v/>
      </c>
      <c r="AX2900" s="83" t="str">
        <f t="array" ref="AX2900">IFERROR(DGET('SBV Import'!A:G,"SBV",{"RSC ID","Tier";B2900,A2900}))</f>
        <v/>
      </c>
      <c r="AY2900" s="82" t="str">
        <f t="shared" si="2"/>
        <v/>
      </c>
      <c r="AZ2900" s="82"/>
      <c r="BA2900" s="84" t="s">
        <v>152</v>
      </c>
      <c r="BB2900" s="84" t="str">
        <f>IFERROR(__xludf.DUMMYFUNCTION("iferror(if(A2900="""",,E2900&gt;=FILTER(Constants!$F$2:$F$10,Constants!$A$2:$A$10=A2900)))"),"")</f>
        <v/>
      </c>
    </row>
    <row r="2901">
      <c r="A2901" s="89"/>
      <c r="B2901" s="87"/>
      <c r="C2901" s="73"/>
      <c r="D2901" s="73"/>
      <c r="E2901" s="82"/>
      <c r="F2901" s="82"/>
      <c r="G2901" s="86"/>
      <c r="H2901" s="86"/>
      <c r="I2901" s="86"/>
      <c r="J2901" s="82"/>
      <c r="K2901" s="82"/>
      <c r="L2901" s="82"/>
      <c r="M2901" s="82"/>
      <c r="N2901" s="82"/>
      <c r="O2901" s="82"/>
      <c r="P2901" s="82"/>
      <c r="Q2901" s="82"/>
      <c r="R2901" s="82"/>
      <c r="S2901" s="82"/>
      <c r="T2901" s="82"/>
      <c r="U2901" s="82"/>
      <c r="V2901" s="82"/>
      <c r="W2901" s="82"/>
      <c r="X2901" s="82"/>
      <c r="Y2901" s="82"/>
      <c r="Z2901" s="82"/>
      <c r="AA2901" s="82"/>
      <c r="AB2901" s="82"/>
      <c r="AC2901" s="82"/>
      <c r="AD2901" s="82"/>
      <c r="AE2901" s="82"/>
      <c r="AF2901" s="82"/>
      <c r="AG2901" s="82"/>
      <c r="AH2901" s="82"/>
      <c r="AI2901" s="82"/>
      <c r="AJ2901" s="82"/>
      <c r="AK2901" s="82"/>
      <c r="AL2901" s="82"/>
      <c r="AM2901" s="82"/>
      <c r="AN2901" s="82"/>
      <c r="AO2901" s="82"/>
      <c r="AP2901" s="82"/>
      <c r="AQ2901" s="82"/>
      <c r="AR2901" s="82"/>
      <c r="AS2901" s="82"/>
      <c r="AT2901" s="82"/>
      <c r="AU2901" s="82"/>
      <c r="AV2901" s="82"/>
      <c r="AW2901" s="82" t="str">
        <f t="shared" si="1"/>
        <v/>
      </c>
      <c r="AX2901" s="83" t="str">
        <f t="array" ref="AX2901">IFERROR(DGET('SBV Import'!A:G,"SBV",{"RSC ID","Tier";B2901,A2901}))</f>
        <v/>
      </c>
      <c r="AY2901" s="82" t="str">
        <f t="shared" si="2"/>
        <v/>
      </c>
      <c r="AZ2901" s="82"/>
      <c r="BA2901" s="84" t="s">
        <v>152</v>
      </c>
      <c r="BB2901" s="84" t="str">
        <f>IFERROR(__xludf.DUMMYFUNCTION("iferror(if(A2901="""",,E2901&gt;=FILTER(Constants!$F$2:$F$10,Constants!$A$2:$A$10=A2901)))"),"")</f>
        <v/>
      </c>
    </row>
    <row r="2902">
      <c r="A2902" s="89"/>
      <c r="B2902" s="87"/>
      <c r="C2902" s="73"/>
      <c r="D2902" s="73"/>
      <c r="E2902" s="82"/>
      <c r="F2902" s="82"/>
      <c r="G2902" s="86"/>
      <c r="H2902" s="86"/>
      <c r="I2902" s="86"/>
      <c r="J2902" s="82"/>
      <c r="K2902" s="82"/>
      <c r="L2902" s="82"/>
      <c r="M2902" s="82"/>
      <c r="N2902" s="82"/>
      <c r="O2902" s="82"/>
      <c r="P2902" s="82"/>
      <c r="Q2902" s="82"/>
      <c r="R2902" s="82"/>
      <c r="S2902" s="82"/>
      <c r="T2902" s="82"/>
      <c r="U2902" s="82"/>
      <c r="V2902" s="82"/>
      <c r="W2902" s="82"/>
      <c r="X2902" s="82"/>
      <c r="Y2902" s="82"/>
      <c r="Z2902" s="82"/>
      <c r="AA2902" s="82"/>
      <c r="AB2902" s="82"/>
      <c r="AC2902" s="82"/>
      <c r="AD2902" s="82"/>
      <c r="AE2902" s="82"/>
      <c r="AF2902" s="82"/>
      <c r="AG2902" s="82"/>
      <c r="AH2902" s="82"/>
      <c r="AI2902" s="82"/>
      <c r="AJ2902" s="82"/>
      <c r="AK2902" s="82"/>
      <c r="AL2902" s="82"/>
      <c r="AM2902" s="82"/>
      <c r="AN2902" s="82"/>
      <c r="AO2902" s="82"/>
      <c r="AP2902" s="82"/>
      <c r="AQ2902" s="82"/>
      <c r="AR2902" s="82"/>
      <c r="AS2902" s="82"/>
      <c r="AT2902" s="82"/>
      <c r="AU2902" s="82"/>
      <c r="AV2902" s="82"/>
      <c r="AW2902" s="82" t="str">
        <f t="shared" si="1"/>
        <v/>
      </c>
      <c r="AX2902" s="83" t="str">
        <f t="array" ref="AX2902">IFERROR(DGET('SBV Import'!A:G,"SBV",{"RSC ID","Tier";B2902,A2902}))</f>
        <v/>
      </c>
      <c r="AY2902" s="82" t="str">
        <f t="shared" si="2"/>
        <v/>
      </c>
      <c r="AZ2902" s="82"/>
      <c r="BA2902" s="84" t="s">
        <v>152</v>
      </c>
      <c r="BB2902" s="84" t="str">
        <f>IFERROR(__xludf.DUMMYFUNCTION("iferror(if(A2902="""",,E2902&gt;=FILTER(Constants!$F$2:$F$10,Constants!$A$2:$A$10=A2902)))"),"")</f>
        <v/>
      </c>
    </row>
    <row r="2903">
      <c r="A2903" s="89"/>
      <c r="B2903" s="87"/>
      <c r="C2903" s="73"/>
      <c r="D2903" s="73"/>
      <c r="E2903" s="82"/>
      <c r="F2903" s="82"/>
      <c r="G2903" s="86"/>
      <c r="H2903" s="86"/>
      <c r="I2903" s="86"/>
      <c r="J2903" s="82"/>
      <c r="K2903" s="82"/>
      <c r="L2903" s="82"/>
      <c r="M2903" s="82"/>
      <c r="N2903" s="82"/>
      <c r="O2903" s="82"/>
      <c r="P2903" s="82"/>
      <c r="Q2903" s="82"/>
      <c r="R2903" s="82"/>
      <c r="S2903" s="82"/>
      <c r="T2903" s="82"/>
      <c r="U2903" s="82"/>
      <c r="V2903" s="82"/>
      <c r="W2903" s="82"/>
      <c r="X2903" s="82"/>
      <c r="Y2903" s="82"/>
      <c r="Z2903" s="82"/>
      <c r="AA2903" s="82"/>
      <c r="AB2903" s="82"/>
      <c r="AC2903" s="82"/>
      <c r="AD2903" s="82"/>
      <c r="AE2903" s="82"/>
      <c r="AF2903" s="82"/>
      <c r="AG2903" s="82"/>
      <c r="AH2903" s="82"/>
      <c r="AI2903" s="82"/>
      <c r="AJ2903" s="82"/>
      <c r="AK2903" s="82"/>
      <c r="AL2903" s="82"/>
      <c r="AM2903" s="82"/>
      <c r="AN2903" s="82"/>
      <c r="AO2903" s="82"/>
      <c r="AP2903" s="82"/>
      <c r="AQ2903" s="82"/>
      <c r="AR2903" s="82"/>
      <c r="AS2903" s="82"/>
      <c r="AT2903" s="82"/>
      <c r="AU2903" s="82"/>
      <c r="AV2903" s="82"/>
      <c r="AW2903" s="82" t="str">
        <f t="shared" si="1"/>
        <v/>
      </c>
      <c r="AX2903" s="83" t="str">
        <f t="array" ref="AX2903">IFERROR(DGET('SBV Import'!A:G,"SBV",{"RSC ID","Tier";B2903,A2903}))</f>
        <v/>
      </c>
      <c r="AY2903" s="82" t="str">
        <f t="shared" si="2"/>
        <v/>
      </c>
      <c r="AZ2903" s="82"/>
      <c r="BA2903" s="84" t="s">
        <v>152</v>
      </c>
      <c r="BB2903" s="84" t="str">
        <f>IFERROR(__xludf.DUMMYFUNCTION("iferror(if(A2903="""",,E2903&gt;=FILTER(Constants!$F$2:$F$10,Constants!$A$2:$A$10=A2903)))"),"")</f>
        <v/>
      </c>
    </row>
    <row r="2904">
      <c r="A2904" s="89"/>
      <c r="B2904" s="87"/>
      <c r="C2904" s="73"/>
      <c r="D2904" s="73"/>
      <c r="E2904" s="82"/>
      <c r="F2904" s="82"/>
      <c r="G2904" s="86"/>
      <c r="H2904" s="86"/>
      <c r="I2904" s="86"/>
      <c r="J2904" s="82"/>
      <c r="K2904" s="82"/>
      <c r="L2904" s="82"/>
      <c r="M2904" s="82"/>
      <c r="N2904" s="82"/>
      <c r="O2904" s="82"/>
      <c r="P2904" s="82"/>
      <c r="Q2904" s="82"/>
      <c r="R2904" s="82"/>
      <c r="S2904" s="82"/>
      <c r="T2904" s="82"/>
      <c r="U2904" s="82"/>
      <c r="V2904" s="82"/>
      <c r="W2904" s="82"/>
      <c r="X2904" s="82"/>
      <c r="Y2904" s="82"/>
      <c r="Z2904" s="82"/>
      <c r="AA2904" s="82"/>
      <c r="AB2904" s="82"/>
      <c r="AC2904" s="82"/>
      <c r="AD2904" s="82"/>
      <c r="AE2904" s="82"/>
      <c r="AF2904" s="82"/>
      <c r="AG2904" s="82"/>
      <c r="AH2904" s="82"/>
      <c r="AI2904" s="82"/>
      <c r="AJ2904" s="82"/>
      <c r="AK2904" s="82"/>
      <c r="AL2904" s="82"/>
      <c r="AM2904" s="82"/>
      <c r="AN2904" s="82"/>
      <c r="AO2904" s="82"/>
      <c r="AP2904" s="82"/>
      <c r="AQ2904" s="82"/>
      <c r="AR2904" s="82"/>
      <c r="AS2904" s="82"/>
      <c r="AT2904" s="82"/>
      <c r="AU2904" s="82"/>
      <c r="AV2904" s="82"/>
      <c r="AW2904" s="82" t="str">
        <f t="shared" si="1"/>
        <v/>
      </c>
      <c r="AX2904" s="83" t="str">
        <f t="array" ref="AX2904">IFERROR(DGET('SBV Import'!A:G,"SBV",{"RSC ID","Tier";B2904,A2904}))</f>
        <v/>
      </c>
      <c r="AY2904" s="82" t="str">
        <f t="shared" si="2"/>
        <v/>
      </c>
      <c r="AZ2904" s="82"/>
      <c r="BA2904" s="84" t="s">
        <v>152</v>
      </c>
      <c r="BB2904" s="84" t="str">
        <f>IFERROR(__xludf.DUMMYFUNCTION("iferror(if(A2904="""",,E2904&gt;=FILTER(Constants!$F$2:$F$10,Constants!$A$2:$A$10=A2904)))"),"")</f>
        <v/>
      </c>
    </row>
    <row r="2905">
      <c r="A2905" s="89"/>
      <c r="B2905" s="87"/>
      <c r="C2905" s="73"/>
      <c r="D2905" s="73"/>
      <c r="E2905" s="82"/>
      <c r="F2905" s="82"/>
      <c r="G2905" s="86"/>
      <c r="H2905" s="86"/>
      <c r="I2905" s="86"/>
      <c r="J2905" s="82"/>
      <c r="K2905" s="82"/>
      <c r="L2905" s="82"/>
      <c r="M2905" s="82"/>
      <c r="N2905" s="82"/>
      <c r="O2905" s="82"/>
      <c r="P2905" s="82"/>
      <c r="Q2905" s="82"/>
      <c r="R2905" s="82"/>
      <c r="S2905" s="82"/>
      <c r="T2905" s="82"/>
      <c r="U2905" s="82"/>
      <c r="V2905" s="82"/>
      <c r="W2905" s="82"/>
      <c r="X2905" s="82"/>
      <c r="Y2905" s="82"/>
      <c r="Z2905" s="82"/>
      <c r="AA2905" s="82"/>
      <c r="AB2905" s="82"/>
      <c r="AC2905" s="82"/>
      <c r="AD2905" s="82"/>
      <c r="AE2905" s="82"/>
      <c r="AF2905" s="82"/>
      <c r="AG2905" s="82"/>
      <c r="AH2905" s="82"/>
      <c r="AI2905" s="82"/>
      <c r="AJ2905" s="82"/>
      <c r="AK2905" s="82"/>
      <c r="AL2905" s="82"/>
      <c r="AM2905" s="82"/>
      <c r="AN2905" s="82"/>
      <c r="AO2905" s="82"/>
      <c r="AP2905" s="82"/>
      <c r="AQ2905" s="82"/>
      <c r="AR2905" s="82"/>
      <c r="AS2905" s="82"/>
      <c r="AT2905" s="82"/>
      <c r="AU2905" s="82"/>
      <c r="AV2905" s="82"/>
      <c r="AW2905" s="82" t="str">
        <f t="shared" si="1"/>
        <v/>
      </c>
      <c r="AX2905" s="83" t="str">
        <f t="array" ref="AX2905">IFERROR(DGET('SBV Import'!A:G,"SBV",{"RSC ID","Tier";B2905,A2905}))</f>
        <v/>
      </c>
      <c r="AY2905" s="82" t="str">
        <f t="shared" si="2"/>
        <v/>
      </c>
      <c r="AZ2905" s="82"/>
      <c r="BA2905" s="84" t="s">
        <v>152</v>
      </c>
      <c r="BB2905" s="84" t="str">
        <f>IFERROR(__xludf.DUMMYFUNCTION("iferror(if(A2905="""",,E2905&gt;=FILTER(Constants!$F$2:$F$10,Constants!$A$2:$A$10=A2905)))"),"")</f>
        <v/>
      </c>
    </row>
    <row r="2906">
      <c r="A2906" s="89"/>
      <c r="B2906" s="87"/>
      <c r="C2906" s="73"/>
      <c r="D2906" s="73"/>
      <c r="E2906" s="82"/>
      <c r="F2906" s="82"/>
      <c r="G2906" s="86"/>
      <c r="H2906" s="86"/>
      <c r="I2906" s="86"/>
      <c r="J2906" s="82"/>
      <c r="K2906" s="82"/>
      <c r="L2906" s="82"/>
      <c r="M2906" s="82"/>
      <c r="N2906" s="82"/>
      <c r="O2906" s="82"/>
      <c r="P2906" s="82"/>
      <c r="Q2906" s="82"/>
      <c r="R2906" s="82"/>
      <c r="S2906" s="82"/>
      <c r="T2906" s="82"/>
      <c r="U2906" s="82"/>
      <c r="V2906" s="82"/>
      <c r="W2906" s="82"/>
      <c r="X2906" s="82"/>
      <c r="Y2906" s="82"/>
      <c r="Z2906" s="82"/>
      <c r="AA2906" s="82"/>
      <c r="AB2906" s="82"/>
      <c r="AC2906" s="82"/>
      <c r="AD2906" s="82"/>
      <c r="AE2906" s="82"/>
      <c r="AF2906" s="82"/>
      <c r="AG2906" s="82"/>
      <c r="AH2906" s="82"/>
      <c r="AI2906" s="82"/>
      <c r="AJ2906" s="82"/>
      <c r="AK2906" s="82"/>
      <c r="AL2906" s="82"/>
      <c r="AM2906" s="82"/>
      <c r="AN2906" s="82"/>
      <c r="AO2906" s="82"/>
      <c r="AP2906" s="82"/>
      <c r="AQ2906" s="82"/>
      <c r="AR2906" s="82"/>
      <c r="AS2906" s="82"/>
      <c r="AT2906" s="82"/>
      <c r="AU2906" s="82"/>
      <c r="AV2906" s="82"/>
      <c r="AW2906" s="82" t="str">
        <f t="shared" si="1"/>
        <v/>
      </c>
      <c r="AX2906" s="83" t="str">
        <f t="array" ref="AX2906">IFERROR(DGET('SBV Import'!A:G,"SBV",{"RSC ID","Tier";B2906,A2906}))</f>
        <v/>
      </c>
      <c r="AY2906" s="82" t="str">
        <f t="shared" si="2"/>
        <v/>
      </c>
      <c r="AZ2906" s="82"/>
      <c r="BA2906" s="84" t="s">
        <v>152</v>
      </c>
      <c r="BB2906" s="84" t="str">
        <f>IFERROR(__xludf.DUMMYFUNCTION("iferror(if(A2906="""",,E2906&gt;=FILTER(Constants!$F$2:$F$10,Constants!$A$2:$A$10=A2906)))"),"")</f>
        <v/>
      </c>
    </row>
    <row r="2907">
      <c r="A2907" s="89"/>
      <c r="B2907" s="87"/>
      <c r="C2907" s="73"/>
      <c r="D2907" s="73"/>
      <c r="E2907" s="82"/>
      <c r="F2907" s="82"/>
      <c r="G2907" s="86"/>
      <c r="H2907" s="86"/>
      <c r="I2907" s="86"/>
      <c r="J2907" s="82"/>
      <c r="K2907" s="82"/>
      <c r="L2907" s="82"/>
      <c r="M2907" s="82"/>
      <c r="N2907" s="82"/>
      <c r="O2907" s="82"/>
      <c r="P2907" s="82"/>
      <c r="Q2907" s="82"/>
      <c r="R2907" s="82"/>
      <c r="S2907" s="82"/>
      <c r="T2907" s="82"/>
      <c r="U2907" s="82"/>
      <c r="V2907" s="82"/>
      <c r="W2907" s="82"/>
      <c r="X2907" s="82"/>
      <c r="Y2907" s="82"/>
      <c r="Z2907" s="82"/>
      <c r="AA2907" s="82"/>
      <c r="AB2907" s="82"/>
      <c r="AC2907" s="82"/>
      <c r="AD2907" s="82"/>
      <c r="AE2907" s="82"/>
      <c r="AF2907" s="82"/>
      <c r="AG2907" s="82"/>
      <c r="AH2907" s="82"/>
      <c r="AI2907" s="82"/>
      <c r="AJ2907" s="82"/>
      <c r="AK2907" s="82"/>
      <c r="AL2907" s="82"/>
      <c r="AM2907" s="82"/>
      <c r="AN2907" s="82"/>
      <c r="AO2907" s="82"/>
      <c r="AP2907" s="82"/>
      <c r="AQ2907" s="82"/>
      <c r="AR2907" s="82"/>
      <c r="AS2907" s="82"/>
      <c r="AT2907" s="82"/>
      <c r="AU2907" s="82"/>
      <c r="AV2907" s="82"/>
      <c r="AW2907" s="82" t="str">
        <f t="shared" si="1"/>
        <v/>
      </c>
      <c r="AX2907" s="83" t="str">
        <f t="array" ref="AX2907">IFERROR(DGET('SBV Import'!A:G,"SBV",{"RSC ID","Tier";B2907,A2907}))</f>
        <v/>
      </c>
      <c r="AY2907" s="82" t="str">
        <f t="shared" si="2"/>
        <v/>
      </c>
      <c r="AZ2907" s="82"/>
      <c r="BA2907" s="84" t="s">
        <v>152</v>
      </c>
      <c r="BB2907" s="84" t="str">
        <f>IFERROR(__xludf.DUMMYFUNCTION("iferror(if(A2907="""",,E2907&gt;=FILTER(Constants!$F$2:$F$10,Constants!$A$2:$A$10=A2907)))"),"")</f>
        <v/>
      </c>
    </row>
    <row r="2908">
      <c r="A2908" s="89"/>
      <c r="B2908" s="87"/>
      <c r="C2908" s="73"/>
      <c r="D2908" s="73"/>
      <c r="E2908" s="82"/>
      <c r="F2908" s="82"/>
      <c r="G2908" s="86"/>
      <c r="H2908" s="86"/>
      <c r="I2908" s="86"/>
      <c r="J2908" s="82"/>
      <c r="K2908" s="82"/>
      <c r="L2908" s="82"/>
      <c r="M2908" s="82"/>
      <c r="N2908" s="82"/>
      <c r="O2908" s="82"/>
      <c r="P2908" s="82"/>
      <c r="Q2908" s="82"/>
      <c r="R2908" s="82"/>
      <c r="S2908" s="82"/>
      <c r="T2908" s="82"/>
      <c r="U2908" s="82"/>
      <c r="V2908" s="82"/>
      <c r="W2908" s="82"/>
      <c r="X2908" s="82"/>
      <c r="Y2908" s="82"/>
      <c r="Z2908" s="82"/>
      <c r="AA2908" s="82"/>
      <c r="AB2908" s="82"/>
      <c r="AC2908" s="82"/>
      <c r="AD2908" s="82"/>
      <c r="AE2908" s="82"/>
      <c r="AF2908" s="82"/>
      <c r="AG2908" s="82"/>
      <c r="AH2908" s="82"/>
      <c r="AI2908" s="82"/>
      <c r="AJ2908" s="82"/>
      <c r="AK2908" s="82"/>
      <c r="AL2908" s="82"/>
      <c r="AM2908" s="82"/>
      <c r="AN2908" s="82"/>
      <c r="AO2908" s="82"/>
      <c r="AP2908" s="82"/>
      <c r="AQ2908" s="82"/>
      <c r="AR2908" s="82"/>
      <c r="AS2908" s="82"/>
      <c r="AT2908" s="82"/>
      <c r="AU2908" s="82"/>
      <c r="AV2908" s="82"/>
      <c r="AW2908" s="82" t="str">
        <f t="shared" si="1"/>
        <v/>
      </c>
      <c r="AX2908" s="83" t="str">
        <f t="array" ref="AX2908">IFERROR(DGET('SBV Import'!A:G,"SBV",{"RSC ID","Tier";B2908,A2908}))</f>
        <v/>
      </c>
      <c r="AY2908" s="82" t="str">
        <f t="shared" si="2"/>
        <v/>
      </c>
      <c r="AZ2908" s="82"/>
      <c r="BA2908" s="84" t="s">
        <v>152</v>
      </c>
      <c r="BB2908" s="84" t="str">
        <f>IFERROR(__xludf.DUMMYFUNCTION("iferror(if(A2908="""",,E2908&gt;=FILTER(Constants!$F$2:$F$10,Constants!$A$2:$A$10=A2908)))"),"")</f>
        <v/>
      </c>
    </row>
    <row r="2909">
      <c r="A2909" s="89"/>
      <c r="B2909" s="87"/>
      <c r="C2909" s="73"/>
      <c r="D2909" s="73"/>
      <c r="E2909" s="82"/>
      <c r="F2909" s="82"/>
      <c r="G2909" s="86"/>
      <c r="H2909" s="86"/>
      <c r="I2909" s="86"/>
      <c r="J2909" s="82"/>
      <c r="K2909" s="82"/>
      <c r="L2909" s="82"/>
      <c r="M2909" s="82"/>
      <c r="N2909" s="82"/>
      <c r="O2909" s="82"/>
      <c r="P2909" s="82"/>
      <c r="Q2909" s="82"/>
      <c r="R2909" s="82"/>
      <c r="S2909" s="82"/>
      <c r="T2909" s="82"/>
      <c r="U2909" s="82"/>
      <c r="V2909" s="82"/>
      <c r="W2909" s="82"/>
      <c r="X2909" s="82"/>
      <c r="Y2909" s="82"/>
      <c r="Z2909" s="82"/>
      <c r="AA2909" s="82"/>
      <c r="AB2909" s="82"/>
      <c r="AC2909" s="82"/>
      <c r="AD2909" s="82"/>
      <c r="AE2909" s="82"/>
      <c r="AF2909" s="82"/>
      <c r="AG2909" s="82"/>
      <c r="AH2909" s="82"/>
      <c r="AI2909" s="82"/>
      <c r="AJ2909" s="82"/>
      <c r="AK2909" s="82"/>
      <c r="AL2909" s="82"/>
      <c r="AM2909" s="82"/>
      <c r="AN2909" s="82"/>
      <c r="AO2909" s="82"/>
      <c r="AP2909" s="82"/>
      <c r="AQ2909" s="82"/>
      <c r="AR2909" s="82"/>
      <c r="AS2909" s="82"/>
      <c r="AT2909" s="82"/>
      <c r="AU2909" s="82"/>
      <c r="AV2909" s="82"/>
      <c r="AW2909" s="82" t="str">
        <f t="shared" si="1"/>
        <v/>
      </c>
      <c r="AX2909" s="83" t="str">
        <f t="array" ref="AX2909">IFERROR(DGET('SBV Import'!A:G,"SBV",{"RSC ID","Tier";B2909,A2909}))</f>
        <v/>
      </c>
      <c r="AY2909" s="82" t="str">
        <f t="shared" si="2"/>
        <v/>
      </c>
      <c r="AZ2909" s="82"/>
      <c r="BA2909" s="84" t="s">
        <v>152</v>
      </c>
      <c r="BB2909" s="84" t="str">
        <f>IFERROR(__xludf.DUMMYFUNCTION("iferror(if(A2909="""",,E2909&gt;=FILTER(Constants!$F$2:$F$10,Constants!$A$2:$A$10=A2909)))"),"")</f>
        <v/>
      </c>
    </row>
    <row r="2910">
      <c r="A2910" s="89"/>
      <c r="B2910" s="87"/>
      <c r="C2910" s="73"/>
      <c r="D2910" s="73"/>
      <c r="E2910" s="82"/>
      <c r="F2910" s="82"/>
      <c r="G2910" s="86"/>
      <c r="H2910" s="86"/>
      <c r="I2910" s="86"/>
      <c r="J2910" s="82"/>
      <c r="K2910" s="82"/>
      <c r="L2910" s="82"/>
      <c r="M2910" s="82"/>
      <c r="N2910" s="82"/>
      <c r="O2910" s="82"/>
      <c r="P2910" s="82"/>
      <c r="Q2910" s="82"/>
      <c r="R2910" s="82"/>
      <c r="S2910" s="82"/>
      <c r="T2910" s="82"/>
      <c r="U2910" s="82"/>
      <c r="V2910" s="82"/>
      <c r="W2910" s="82"/>
      <c r="X2910" s="82"/>
      <c r="Y2910" s="82"/>
      <c r="Z2910" s="82"/>
      <c r="AA2910" s="82"/>
      <c r="AB2910" s="82"/>
      <c r="AC2910" s="82"/>
      <c r="AD2910" s="82"/>
      <c r="AE2910" s="82"/>
      <c r="AF2910" s="82"/>
      <c r="AG2910" s="82"/>
      <c r="AH2910" s="82"/>
      <c r="AI2910" s="82"/>
      <c r="AJ2910" s="82"/>
      <c r="AK2910" s="82"/>
      <c r="AL2910" s="82"/>
      <c r="AM2910" s="82"/>
      <c r="AN2910" s="82"/>
      <c r="AO2910" s="82"/>
      <c r="AP2910" s="82"/>
      <c r="AQ2910" s="82"/>
      <c r="AR2910" s="82"/>
      <c r="AS2910" s="82"/>
      <c r="AT2910" s="82"/>
      <c r="AU2910" s="82"/>
      <c r="AV2910" s="82"/>
      <c r="AW2910" s="82" t="str">
        <f t="shared" si="1"/>
        <v/>
      </c>
      <c r="AX2910" s="83" t="str">
        <f t="array" ref="AX2910">IFERROR(DGET('SBV Import'!A:G,"SBV",{"RSC ID","Tier";B2910,A2910}))</f>
        <v/>
      </c>
      <c r="AY2910" s="82" t="str">
        <f t="shared" si="2"/>
        <v/>
      </c>
      <c r="AZ2910" s="82"/>
      <c r="BA2910" s="84" t="s">
        <v>152</v>
      </c>
      <c r="BB2910" s="84" t="str">
        <f>IFERROR(__xludf.DUMMYFUNCTION("iferror(if(A2910="""",,E2910&gt;=FILTER(Constants!$F$2:$F$10,Constants!$A$2:$A$10=A2910)))"),"")</f>
        <v/>
      </c>
    </row>
    <row r="2911">
      <c r="A2911" s="89"/>
      <c r="B2911" s="87"/>
      <c r="C2911" s="73"/>
      <c r="D2911" s="73"/>
      <c r="E2911" s="82"/>
      <c r="F2911" s="82"/>
      <c r="G2911" s="86"/>
      <c r="H2911" s="86"/>
      <c r="I2911" s="86"/>
      <c r="J2911" s="82"/>
      <c r="K2911" s="82"/>
      <c r="L2911" s="82"/>
      <c r="M2911" s="82"/>
      <c r="N2911" s="82"/>
      <c r="O2911" s="82"/>
      <c r="P2911" s="82"/>
      <c r="Q2911" s="82"/>
      <c r="R2911" s="82"/>
      <c r="S2911" s="82"/>
      <c r="T2911" s="82"/>
      <c r="U2911" s="82"/>
      <c r="V2911" s="82"/>
      <c r="W2911" s="82"/>
      <c r="X2911" s="82"/>
      <c r="Y2911" s="82"/>
      <c r="Z2911" s="82"/>
      <c r="AA2911" s="82"/>
      <c r="AB2911" s="82"/>
      <c r="AC2911" s="82"/>
      <c r="AD2911" s="82"/>
      <c r="AE2911" s="82"/>
      <c r="AF2911" s="82"/>
      <c r="AG2911" s="82"/>
      <c r="AH2911" s="82"/>
      <c r="AI2911" s="82"/>
      <c r="AJ2911" s="82"/>
      <c r="AK2911" s="82"/>
      <c r="AL2911" s="82"/>
      <c r="AM2911" s="82"/>
      <c r="AN2911" s="82"/>
      <c r="AO2911" s="82"/>
      <c r="AP2911" s="82"/>
      <c r="AQ2911" s="82"/>
      <c r="AR2911" s="82"/>
      <c r="AS2911" s="82"/>
      <c r="AT2911" s="82"/>
      <c r="AU2911" s="82"/>
      <c r="AV2911" s="82"/>
      <c r="AW2911" s="82" t="str">
        <f t="shared" si="1"/>
        <v/>
      </c>
      <c r="AX2911" s="83" t="str">
        <f t="array" ref="AX2911">IFERROR(DGET('SBV Import'!A:G,"SBV",{"RSC ID","Tier";B2911,A2911}))</f>
        <v/>
      </c>
      <c r="AY2911" s="82" t="str">
        <f t="shared" si="2"/>
        <v/>
      </c>
      <c r="AZ2911" s="82"/>
      <c r="BA2911" s="84" t="s">
        <v>152</v>
      </c>
      <c r="BB2911" s="84" t="str">
        <f>IFERROR(__xludf.DUMMYFUNCTION("iferror(if(A2911="""",,E2911&gt;=FILTER(Constants!$F$2:$F$10,Constants!$A$2:$A$10=A2911)))"),"")</f>
        <v/>
      </c>
    </row>
    <row r="2912">
      <c r="A2912" s="89"/>
      <c r="B2912" s="87"/>
      <c r="C2912" s="73"/>
      <c r="D2912" s="73"/>
      <c r="E2912" s="82"/>
      <c r="F2912" s="82"/>
      <c r="G2912" s="86"/>
      <c r="H2912" s="86"/>
      <c r="I2912" s="86"/>
      <c r="J2912" s="82"/>
      <c r="K2912" s="82"/>
      <c r="L2912" s="82"/>
      <c r="M2912" s="82"/>
      <c r="N2912" s="82"/>
      <c r="O2912" s="82"/>
      <c r="P2912" s="82"/>
      <c r="Q2912" s="82"/>
      <c r="R2912" s="82"/>
      <c r="S2912" s="82"/>
      <c r="T2912" s="82"/>
      <c r="U2912" s="82"/>
      <c r="V2912" s="82"/>
      <c r="W2912" s="82"/>
      <c r="X2912" s="82"/>
      <c r="Y2912" s="82"/>
      <c r="Z2912" s="82"/>
      <c r="AA2912" s="82"/>
      <c r="AB2912" s="82"/>
      <c r="AC2912" s="82"/>
      <c r="AD2912" s="82"/>
      <c r="AE2912" s="82"/>
      <c r="AF2912" s="82"/>
      <c r="AG2912" s="82"/>
      <c r="AH2912" s="82"/>
      <c r="AI2912" s="82"/>
      <c r="AJ2912" s="82"/>
      <c r="AK2912" s="82"/>
      <c r="AL2912" s="82"/>
      <c r="AM2912" s="82"/>
      <c r="AN2912" s="82"/>
      <c r="AO2912" s="82"/>
      <c r="AP2912" s="82"/>
      <c r="AQ2912" s="82"/>
      <c r="AR2912" s="82"/>
      <c r="AS2912" s="82"/>
      <c r="AT2912" s="82"/>
      <c r="AU2912" s="82"/>
      <c r="AV2912" s="82"/>
      <c r="AW2912" s="82" t="str">
        <f t="shared" si="1"/>
        <v/>
      </c>
      <c r="AX2912" s="83" t="str">
        <f t="array" ref="AX2912">IFERROR(DGET('SBV Import'!A:G,"SBV",{"RSC ID","Tier";B2912,A2912}))</f>
        <v/>
      </c>
      <c r="AY2912" s="82" t="str">
        <f t="shared" si="2"/>
        <v/>
      </c>
      <c r="AZ2912" s="82"/>
      <c r="BA2912" s="84" t="s">
        <v>152</v>
      </c>
      <c r="BB2912" s="84" t="str">
        <f>IFERROR(__xludf.DUMMYFUNCTION("iferror(if(A2912="""",,E2912&gt;=FILTER(Constants!$F$2:$F$10,Constants!$A$2:$A$10=A2912)))"),"")</f>
        <v/>
      </c>
    </row>
    <row r="2913">
      <c r="A2913" s="89"/>
      <c r="B2913" s="87"/>
      <c r="C2913" s="73"/>
      <c r="D2913" s="73"/>
      <c r="E2913" s="82"/>
      <c r="F2913" s="82"/>
      <c r="G2913" s="86"/>
      <c r="H2913" s="86"/>
      <c r="I2913" s="86"/>
      <c r="J2913" s="82"/>
      <c r="K2913" s="82"/>
      <c r="L2913" s="82"/>
      <c r="M2913" s="82"/>
      <c r="N2913" s="82"/>
      <c r="O2913" s="82"/>
      <c r="P2913" s="82"/>
      <c r="Q2913" s="82"/>
      <c r="R2913" s="82"/>
      <c r="S2913" s="82"/>
      <c r="T2913" s="82"/>
      <c r="U2913" s="82"/>
      <c r="V2913" s="82"/>
      <c r="W2913" s="82"/>
      <c r="X2913" s="82"/>
      <c r="Y2913" s="82"/>
      <c r="Z2913" s="82"/>
      <c r="AA2913" s="82"/>
      <c r="AB2913" s="82"/>
      <c r="AC2913" s="82"/>
      <c r="AD2913" s="82"/>
      <c r="AE2913" s="82"/>
      <c r="AF2913" s="82"/>
      <c r="AG2913" s="82"/>
      <c r="AH2913" s="82"/>
      <c r="AI2913" s="82"/>
      <c r="AJ2913" s="82"/>
      <c r="AK2913" s="82"/>
      <c r="AL2913" s="82"/>
      <c r="AM2913" s="82"/>
      <c r="AN2913" s="82"/>
      <c r="AO2913" s="82"/>
      <c r="AP2913" s="82"/>
      <c r="AQ2913" s="82"/>
      <c r="AR2913" s="82"/>
      <c r="AS2913" s="82"/>
      <c r="AT2913" s="82"/>
      <c r="AU2913" s="82"/>
      <c r="AV2913" s="82"/>
      <c r="AW2913" s="82" t="str">
        <f t="shared" si="1"/>
        <v/>
      </c>
      <c r="AX2913" s="83" t="str">
        <f t="array" ref="AX2913">IFERROR(DGET('SBV Import'!A:G,"SBV",{"RSC ID","Tier";B2913,A2913}))</f>
        <v/>
      </c>
      <c r="AY2913" s="82" t="str">
        <f t="shared" si="2"/>
        <v/>
      </c>
      <c r="AZ2913" s="82"/>
      <c r="BA2913" s="84" t="s">
        <v>152</v>
      </c>
      <c r="BB2913" s="84" t="str">
        <f>IFERROR(__xludf.DUMMYFUNCTION("iferror(if(A2913="""",,E2913&gt;=FILTER(Constants!$F$2:$F$10,Constants!$A$2:$A$10=A2913)))"),"")</f>
        <v/>
      </c>
    </row>
    <row r="2914">
      <c r="A2914" s="89"/>
      <c r="B2914" s="87"/>
      <c r="C2914" s="73"/>
      <c r="D2914" s="73"/>
      <c r="E2914" s="82"/>
      <c r="F2914" s="82"/>
      <c r="G2914" s="86"/>
      <c r="H2914" s="86"/>
      <c r="I2914" s="86"/>
      <c r="J2914" s="82"/>
      <c r="K2914" s="82"/>
      <c r="L2914" s="82"/>
      <c r="M2914" s="82"/>
      <c r="N2914" s="82"/>
      <c r="O2914" s="82"/>
      <c r="P2914" s="82"/>
      <c r="Q2914" s="82"/>
      <c r="R2914" s="82"/>
      <c r="S2914" s="82"/>
      <c r="T2914" s="82"/>
      <c r="U2914" s="82"/>
      <c r="V2914" s="82"/>
      <c r="W2914" s="82"/>
      <c r="X2914" s="82"/>
      <c r="Y2914" s="82"/>
      <c r="Z2914" s="82"/>
      <c r="AA2914" s="82"/>
      <c r="AB2914" s="82"/>
      <c r="AC2914" s="82"/>
      <c r="AD2914" s="82"/>
      <c r="AE2914" s="82"/>
      <c r="AF2914" s="82"/>
      <c r="AG2914" s="82"/>
      <c r="AH2914" s="82"/>
      <c r="AI2914" s="82"/>
      <c r="AJ2914" s="82"/>
      <c r="AK2914" s="82"/>
      <c r="AL2914" s="82"/>
      <c r="AM2914" s="82"/>
      <c r="AN2914" s="82"/>
      <c r="AO2914" s="82"/>
      <c r="AP2914" s="82"/>
      <c r="AQ2914" s="82"/>
      <c r="AR2914" s="82"/>
      <c r="AS2914" s="82"/>
      <c r="AT2914" s="82"/>
      <c r="AU2914" s="82"/>
      <c r="AV2914" s="82"/>
      <c r="AW2914" s="82" t="str">
        <f t="shared" si="1"/>
        <v/>
      </c>
      <c r="AX2914" s="83" t="str">
        <f t="array" ref="AX2914">IFERROR(DGET('SBV Import'!A:G,"SBV",{"RSC ID","Tier";B2914,A2914}))</f>
        <v/>
      </c>
      <c r="AY2914" s="82" t="str">
        <f t="shared" si="2"/>
        <v/>
      </c>
      <c r="AZ2914" s="82"/>
      <c r="BA2914" s="84" t="s">
        <v>152</v>
      </c>
      <c r="BB2914" s="84" t="str">
        <f>IFERROR(__xludf.DUMMYFUNCTION("iferror(if(A2914="""",,E2914&gt;=FILTER(Constants!$F$2:$F$10,Constants!$A$2:$A$10=A2914)))"),"")</f>
        <v/>
      </c>
    </row>
    <row r="2915">
      <c r="A2915" s="89"/>
      <c r="B2915" s="87"/>
      <c r="C2915" s="73"/>
      <c r="D2915" s="73"/>
      <c r="E2915" s="82"/>
      <c r="F2915" s="82"/>
      <c r="G2915" s="86"/>
      <c r="H2915" s="86"/>
      <c r="I2915" s="86"/>
      <c r="J2915" s="82"/>
      <c r="K2915" s="82"/>
      <c r="L2915" s="82"/>
      <c r="M2915" s="82"/>
      <c r="N2915" s="82"/>
      <c r="O2915" s="82"/>
      <c r="P2915" s="82"/>
      <c r="Q2915" s="82"/>
      <c r="R2915" s="82"/>
      <c r="S2915" s="82"/>
      <c r="T2915" s="82"/>
      <c r="U2915" s="82"/>
      <c r="V2915" s="82"/>
      <c r="W2915" s="82"/>
      <c r="X2915" s="82"/>
      <c r="Y2915" s="82"/>
      <c r="Z2915" s="82"/>
      <c r="AA2915" s="82"/>
      <c r="AB2915" s="82"/>
      <c r="AC2915" s="82"/>
      <c r="AD2915" s="82"/>
      <c r="AE2915" s="82"/>
      <c r="AF2915" s="82"/>
      <c r="AG2915" s="82"/>
      <c r="AH2915" s="82"/>
      <c r="AI2915" s="82"/>
      <c r="AJ2915" s="82"/>
      <c r="AK2915" s="82"/>
      <c r="AL2915" s="82"/>
      <c r="AM2915" s="82"/>
      <c r="AN2915" s="82"/>
      <c r="AO2915" s="82"/>
      <c r="AP2915" s="82"/>
      <c r="AQ2915" s="82"/>
      <c r="AR2915" s="82"/>
      <c r="AS2915" s="82"/>
      <c r="AT2915" s="82"/>
      <c r="AU2915" s="82"/>
      <c r="AV2915" s="82"/>
      <c r="AW2915" s="82" t="str">
        <f t="shared" si="1"/>
        <v/>
      </c>
      <c r="AX2915" s="83" t="str">
        <f t="array" ref="AX2915">IFERROR(DGET('SBV Import'!A:G,"SBV",{"RSC ID","Tier";B2915,A2915}))</f>
        <v/>
      </c>
      <c r="AY2915" s="82" t="str">
        <f t="shared" si="2"/>
        <v/>
      </c>
      <c r="AZ2915" s="82"/>
      <c r="BA2915" s="84" t="s">
        <v>152</v>
      </c>
      <c r="BB2915" s="84" t="str">
        <f>IFERROR(__xludf.DUMMYFUNCTION("iferror(if(A2915="""",,E2915&gt;=FILTER(Constants!$F$2:$F$10,Constants!$A$2:$A$10=A2915)))"),"")</f>
        <v/>
      </c>
    </row>
    <row r="2916">
      <c r="A2916" s="89"/>
      <c r="B2916" s="87"/>
      <c r="C2916" s="73"/>
      <c r="D2916" s="73"/>
      <c r="E2916" s="82"/>
      <c r="F2916" s="82"/>
      <c r="G2916" s="86"/>
      <c r="H2916" s="86"/>
      <c r="I2916" s="86"/>
      <c r="J2916" s="82"/>
      <c r="K2916" s="82"/>
      <c r="L2916" s="82"/>
      <c r="M2916" s="82"/>
      <c r="N2916" s="82"/>
      <c r="O2916" s="82"/>
      <c r="P2916" s="82"/>
      <c r="Q2916" s="82"/>
      <c r="R2916" s="82"/>
      <c r="S2916" s="82"/>
      <c r="T2916" s="82"/>
      <c r="U2916" s="82"/>
      <c r="V2916" s="82"/>
      <c r="W2916" s="82"/>
      <c r="X2916" s="82"/>
      <c r="Y2916" s="82"/>
      <c r="Z2916" s="82"/>
      <c r="AA2916" s="82"/>
      <c r="AB2916" s="82"/>
      <c r="AC2916" s="82"/>
      <c r="AD2916" s="82"/>
      <c r="AE2916" s="82"/>
      <c r="AF2916" s="82"/>
      <c r="AG2916" s="82"/>
      <c r="AH2916" s="82"/>
      <c r="AI2916" s="82"/>
      <c r="AJ2916" s="82"/>
      <c r="AK2916" s="82"/>
      <c r="AL2916" s="82"/>
      <c r="AM2916" s="82"/>
      <c r="AN2916" s="82"/>
      <c r="AO2916" s="82"/>
      <c r="AP2916" s="82"/>
      <c r="AQ2916" s="82"/>
      <c r="AR2916" s="82"/>
      <c r="AS2916" s="82"/>
      <c r="AT2916" s="82"/>
      <c r="AU2916" s="82"/>
      <c r="AV2916" s="82"/>
      <c r="AW2916" s="82" t="str">
        <f t="shared" si="1"/>
        <v/>
      </c>
      <c r="AX2916" s="83" t="str">
        <f t="array" ref="AX2916">IFERROR(DGET('SBV Import'!A:G,"SBV",{"RSC ID","Tier";B2916,A2916}))</f>
        <v/>
      </c>
      <c r="AY2916" s="82" t="str">
        <f t="shared" si="2"/>
        <v/>
      </c>
      <c r="AZ2916" s="82"/>
      <c r="BA2916" s="84" t="s">
        <v>152</v>
      </c>
      <c r="BB2916" s="84" t="str">
        <f>IFERROR(__xludf.DUMMYFUNCTION("iferror(if(A2916="""",,E2916&gt;=FILTER(Constants!$F$2:$F$10,Constants!$A$2:$A$10=A2916)))"),"")</f>
        <v/>
      </c>
    </row>
    <row r="2917">
      <c r="A2917" s="89"/>
      <c r="B2917" s="87"/>
      <c r="C2917" s="73"/>
      <c r="D2917" s="73"/>
      <c r="E2917" s="82"/>
      <c r="F2917" s="82"/>
      <c r="G2917" s="86"/>
      <c r="H2917" s="86"/>
      <c r="I2917" s="86"/>
      <c r="J2917" s="82"/>
      <c r="K2917" s="82"/>
      <c r="L2917" s="82"/>
      <c r="M2917" s="82"/>
      <c r="N2917" s="82"/>
      <c r="O2917" s="82"/>
      <c r="P2917" s="82"/>
      <c r="Q2917" s="82"/>
      <c r="R2917" s="82"/>
      <c r="S2917" s="82"/>
      <c r="T2917" s="82"/>
      <c r="U2917" s="82"/>
      <c r="V2917" s="82"/>
      <c r="W2917" s="82"/>
      <c r="X2917" s="82"/>
      <c r="Y2917" s="82"/>
      <c r="Z2917" s="82"/>
      <c r="AA2917" s="82"/>
      <c r="AB2917" s="82"/>
      <c r="AC2917" s="82"/>
      <c r="AD2917" s="82"/>
      <c r="AE2917" s="82"/>
      <c r="AF2917" s="82"/>
      <c r="AG2917" s="82"/>
      <c r="AH2917" s="82"/>
      <c r="AI2917" s="82"/>
      <c r="AJ2917" s="82"/>
      <c r="AK2917" s="82"/>
      <c r="AL2917" s="82"/>
      <c r="AM2917" s="82"/>
      <c r="AN2917" s="82"/>
      <c r="AO2917" s="82"/>
      <c r="AP2917" s="82"/>
      <c r="AQ2917" s="82"/>
      <c r="AR2917" s="82"/>
      <c r="AS2917" s="82"/>
      <c r="AT2917" s="82"/>
      <c r="AU2917" s="82"/>
      <c r="AV2917" s="82"/>
      <c r="AW2917" s="82" t="str">
        <f t="shared" si="1"/>
        <v/>
      </c>
      <c r="AX2917" s="83" t="str">
        <f t="array" ref="AX2917">IFERROR(DGET('SBV Import'!A:G,"SBV",{"RSC ID","Tier";B2917,A2917}))</f>
        <v/>
      </c>
      <c r="AY2917" s="82" t="str">
        <f t="shared" si="2"/>
        <v/>
      </c>
      <c r="AZ2917" s="82"/>
      <c r="BA2917" s="84" t="s">
        <v>152</v>
      </c>
      <c r="BB2917" s="84" t="str">
        <f>IFERROR(__xludf.DUMMYFUNCTION("iferror(if(A2917="""",,E2917&gt;=FILTER(Constants!$F$2:$F$10,Constants!$A$2:$A$10=A2917)))"),"")</f>
        <v/>
      </c>
    </row>
    <row r="2918">
      <c r="A2918" s="89"/>
      <c r="B2918" s="87"/>
      <c r="C2918" s="73"/>
      <c r="D2918" s="73"/>
      <c r="E2918" s="82"/>
      <c r="F2918" s="82"/>
      <c r="G2918" s="86"/>
      <c r="H2918" s="86"/>
      <c r="I2918" s="86"/>
      <c r="J2918" s="82"/>
      <c r="K2918" s="82"/>
      <c r="L2918" s="82"/>
      <c r="M2918" s="82"/>
      <c r="N2918" s="82"/>
      <c r="O2918" s="82"/>
      <c r="P2918" s="82"/>
      <c r="Q2918" s="82"/>
      <c r="R2918" s="82"/>
      <c r="S2918" s="82"/>
      <c r="T2918" s="82"/>
      <c r="U2918" s="82"/>
      <c r="V2918" s="82"/>
      <c r="W2918" s="82"/>
      <c r="X2918" s="82"/>
      <c r="Y2918" s="82"/>
      <c r="Z2918" s="82"/>
      <c r="AA2918" s="82"/>
      <c r="AB2918" s="82"/>
      <c r="AC2918" s="82"/>
      <c r="AD2918" s="82"/>
      <c r="AE2918" s="82"/>
      <c r="AF2918" s="82"/>
      <c r="AG2918" s="82"/>
      <c r="AH2918" s="82"/>
      <c r="AI2918" s="82"/>
      <c r="AJ2918" s="82"/>
      <c r="AK2918" s="82"/>
      <c r="AL2918" s="82"/>
      <c r="AM2918" s="82"/>
      <c r="AN2918" s="82"/>
      <c r="AO2918" s="82"/>
      <c r="AP2918" s="82"/>
      <c r="AQ2918" s="82"/>
      <c r="AR2918" s="82"/>
      <c r="AS2918" s="82"/>
      <c r="AT2918" s="82"/>
      <c r="AU2918" s="82"/>
      <c r="AV2918" s="82"/>
      <c r="AW2918" s="82" t="str">
        <f t="shared" si="1"/>
        <v/>
      </c>
      <c r="AX2918" s="83" t="str">
        <f t="array" ref="AX2918">IFERROR(DGET('SBV Import'!A:G,"SBV",{"RSC ID","Tier";B2918,A2918}))</f>
        <v/>
      </c>
      <c r="AY2918" s="82" t="str">
        <f t="shared" si="2"/>
        <v/>
      </c>
      <c r="AZ2918" s="82"/>
      <c r="BA2918" s="84" t="s">
        <v>152</v>
      </c>
      <c r="BB2918" s="84" t="str">
        <f>IFERROR(__xludf.DUMMYFUNCTION("iferror(if(A2918="""",,E2918&gt;=FILTER(Constants!$F$2:$F$10,Constants!$A$2:$A$10=A2918)))"),"")</f>
        <v/>
      </c>
    </row>
    <row r="2919">
      <c r="A2919" s="89"/>
      <c r="B2919" s="87"/>
      <c r="C2919" s="73"/>
      <c r="D2919" s="73"/>
      <c r="E2919" s="82"/>
      <c r="F2919" s="82"/>
      <c r="G2919" s="86"/>
      <c r="H2919" s="86"/>
      <c r="I2919" s="86"/>
      <c r="J2919" s="82"/>
      <c r="K2919" s="82"/>
      <c r="L2919" s="82"/>
      <c r="M2919" s="82"/>
      <c r="N2919" s="82"/>
      <c r="O2919" s="82"/>
      <c r="P2919" s="82"/>
      <c r="Q2919" s="82"/>
      <c r="R2919" s="82"/>
      <c r="S2919" s="82"/>
      <c r="T2919" s="82"/>
      <c r="U2919" s="82"/>
      <c r="V2919" s="82"/>
      <c r="W2919" s="82"/>
      <c r="X2919" s="82"/>
      <c r="Y2919" s="82"/>
      <c r="Z2919" s="82"/>
      <c r="AA2919" s="82"/>
      <c r="AB2919" s="82"/>
      <c r="AC2919" s="82"/>
      <c r="AD2919" s="82"/>
      <c r="AE2919" s="82"/>
      <c r="AF2919" s="82"/>
      <c r="AG2919" s="82"/>
      <c r="AH2919" s="82"/>
      <c r="AI2919" s="82"/>
      <c r="AJ2919" s="82"/>
      <c r="AK2919" s="82"/>
      <c r="AL2919" s="82"/>
      <c r="AM2919" s="82"/>
      <c r="AN2919" s="82"/>
      <c r="AO2919" s="82"/>
      <c r="AP2919" s="82"/>
      <c r="AQ2919" s="82"/>
      <c r="AR2919" s="82"/>
      <c r="AS2919" s="82"/>
      <c r="AT2919" s="82"/>
      <c r="AU2919" s="82"/>
      <c r="AV2919" s="82"/>
      <c r="AW2919" s="82" t="str">
        <f t="shared" si="1"/>
        <v/>
      </c>
      <c r="AX2919" s="83" t="str">
        <f t="array" ref="AX2919">IFERROR(DGET('SBV Import'!A:G,"SBV",{"RSC ID","Tier";B2919,A2919}))</f>
        <v/>
      </c>
      <c r="AY2919" s="82" t="str">
        <f t="shared" si="2"/>
        <v/>
      </c>
      <c r="AZ2919" s="82"/>
      <c r="BA2919" s="84" t="s">
        <v>152</v>
      </c>
      <c r="BB2919" s="84" t="str">
        <f>IFERROR(__xludf.DUMMYFUNCTION("iferror(if(A2919="""",,E2919&gt;=FILTER(Constants!$F$2:$F$10,Constants!$A$2:$A$10=A2919)))"),"")</f>
        <v/>
      </c>
    </row>
    <row r="2920">
      <c r="A2920" s="89"/>
      <c r="B2920" s="87"/>
      <c r="C2920" s="73"/>
      <c r="D2920" s="73"/>
      <c r="E2920" s="82"/>
      <c r="F2920" s="82"/>
      <c r="G2920" s="86"/>
      <c r="H2920" s="86"/>
      <c r="I2920" s="86"/>
      <c r="J2920" s="82"/>
      <c r="K2920" s="82"/>
      <c r="L2920" s="82"/>
      <c r="M2920" s="82"/>
      <c r="N2920" s="82"/>
      <c r="O2920" s="82"/>
      <c r="P2920" s="82"/>
      <c r="Q2920" s="82"/>
      <c r="R2920" s="82"/>
      <c r="S2920" s="82"/>
      <c r="T2920" s="82"/>
      <c r="U2920" s="82"/>
      <c r="V2920" s="82"/>
      <c r="W2920" s="82"/>
      <c r="X2920" s="82"/>
      <c r="Y2920" s="82"/>
      <c r="Z2920" s="82"/>
      <c r="AA2920" s="82"/>
      <c r="AB2920" s="82"/>
      <c r="AC2920" s="82"/>
      <c r="AD2920" s="82"/>
      <c r="AE2920" s="82"/>
      <c r="AF2920" s="82"/>
      <c r="AG2920" s="82"/>
      <c r="AH2920" s="82"/>
      <c r="AI2920" s="82"/>
      <c r="AJ2920" s="82"/>
      <c r="AK2920" s="82"/>
      <c r="AL2920" s="82"/>
      <c r="AM2920" s="82"/>
      <c r="AN2920" s="82"/>
      <c r="AO2920" s="82"/>
      <c r="AP2920" s="82"/>
      <c r="AQ2920" s="82"/>
      <c r="AR2920" s="82"/>
      <c r="AS2920" s="82"/>
      <c r="AT2920" s="82"/>
      <c r="AU2920" s="82"/>
      <c r="AV2920" s="82"/>
      <c r="AW2920" s="82" t="str">
        <f t="shared" si="1"/>
        <v/>
      </c>
      <c r="AX2920" s="83" t="str">
        <f t="array" ref="AX2920">IFERROR(DGET('SBV Import'!A:G,"SBV",{"RSC ID","Tier";B2920,A2920}))</f>
        <v/>
      </c>
      <c r="AY2920" s="82" t="str">
        <f t="shared" si="2"/>
        <v/>
      </c>
      <c r="AZ2920" s="82"/>
      <c r="BA2920" s="84" t="s">
        <v>152</v>
      </c>
      <c r="BB2920" s="84" t="str">
        <f>IFERROR(__xludf.DUMMYFUNCTION("iferror(if(A2920="""",,E2920&gt;=FILTER(Constants!$F$2:$F$10,Constants!$A$2:$A$10=A2920)))"),"")</f>
        <v/>
      </c>
    </row>
    <row r="2921">
      <c r="A2921" s="89"/>
      <c r="B2921" s="87"/>
      <c r="C2921" s="73"/>
      <c r="D2921" s="73"/>
      <c r="E2921" s="82"/>
      <c r="F2921" s="82"/>
      <c r="G2921" s="86"/>
      <c r="H2921" s="86"/>
      <c r="I2921" s="86"/>
      <c r="J2921" s="82"/>
      <c r="K2921" s="82"/>
      <c r="L2921" s="82"/>
      <c r="M2921" s="82"/>
      <c r="N2921" s="82"/>
      <c r="O2921" s="82"/>
      <c r="P2921" s="82"/>
      <c r="Q2921" s="82"/>
      <c r="R2921" s="82"/>
      <c r="S2921" s="82"/>
      <c r="T2921" s="82"/>
      <c r="U2921" s="82"/>
      <c r="V2921" s="82"/>
      <c r="W2921" s="82"/>
      <c r="X2921" s="82"/>
      <c r="Y2921" s="82"/>
      <c r="Z2921" s="82"/>
      <c r="AA2921" s="82"/>
      <c r="AB2921" s="82"/>
      <c r="AC2921" s="82"/>
      <c r="AD2921" s="82"/>
      <c r="AE2921" s="82"/>
      <c r="AF2921" s="82"/>
      <c r="AG2921" s="82"/>
      <c r="AH2921" s="82"/>
      <c r="AI2921" s="82"/>
      <c r="AJ2921" s="82"/>
      <c r="AK2921" s="82"/>
      <c r="AL2921" s="82"/>
      <c r="AM2921" s="82"/>
      <c r="AN2921" s="82"/>
      <c r="AO2921" s="82"/>
      <c r="AP2921" s="82"/>
      <c r="AQ2921" s="82"/>
      <c r="AR2921" s="82"/>
      <c r="AS2921" s="82"/>
      <c r="AT2921" s="82"/>
      <c r="AU2921" s="82"/>
      <c r="AV2921" s="82"/>
      <c r="AW2921" s="82" t="str">
        <f t="shared" si="1"/>
        <v/>
      </c>
      <c r="AX2921" s="83" t="str">
        <f t="array" ref="AX2921">IFERROR(DGET('SBV Import'!A:G,"SBV",{"RSC ID","Tier";B2921,A2921}))</f>
        <v/>
      </c>
      <c r="AY2921" s="82" t="str">
        <f t="shared" si="2"/>
        <v/>
      </c>
      <c r="AZ2921" s="82"/>
      <c r="BA2921" s="84" t="s">
        <v>152</v>
      </c>
      <c r="BB2921" s="84" t="str">
        <f>IFERROR(__xludf.DUMMYFUNCTION("iferror(if(A2921="""",,E2921&gt;=FILTER(Constants!$F$2:$F$10,Constants!$A$2:$A$10=A2921)))"),"")</f>
        <v/>
      </c>
    </row>
    <row r="2922">
      <c r="A2922" s="89"/>
      <c r="B2922" s="87"/>
      <c r="C2922" s="73"/>
      <c r="D2922" s="73"/>
      <c r="E2922" s="82"/>
      <c r="F2922" s="82"/>
      <c r="G2922" s="86"/>
      <c r="H2922" s="86"/>
      <c r="I2922" s="86"/>
      <c r="J2922" s="82"/>
      <c r="K2922" s="82"/>
      <c r="L2922" s="82"/>
      <c r="M2922" s="82"/>
      <c r="N2922" s="82"/>
      <c r="O2922" s="82"/>
      <c r="P2922" s="82"/>
      <c r="Q2922" s="82"/>
      <c r="R2922" s="82"/>
      <c r="S2922" s="82"/>
      <c r="T2922" s="82"/>
      <c r="U2922" s="82"/>
      <c r="V2922" s="82"/>
      <c r="W2922" s="82"/>
      <c r="X2922" s="82"/>
      <c r="Y2922" s="82"/>
      <c r="Z2922" s="82"/>
      <c r="AA2922" s="82"/>
      <c r="AB2922" s="82"/>
      <c r="AC2922" s="82"/>
      <c r="AD2922" s="82"/>
      <c r="AE2922" s="82"/>
      <c r="AF2922" s="82"/>
      <c r="AG2922" s="82"/>
      <c r="AH2922" s="82"/>
      <c r="AI2922" s="82"/>
      <c r="AJ2922" s="82"/>
      <c r="AK2922" s="82"/>
      <c r="AL2922" s="82"/>
      <c r="AM2922" s="82"/>
      <c r="AN2922" s="82"/>
      <c r="AO2922" s="82"/>
      <c r="AP2922" s="82"/>
      <c r="AQ2922" s="82"/>
      <c r="AR2922" s="82"/>
      <c r="AS2922" s="82"/>
      <c r="AT2922" s="82"/>
      <c r="AU2922" s="82"/>
      <c r="AV2922" s="82"/>
      <c r="AW2922" s="82" t="str">
        <f t="shared" si="1"/>
        <v/>
      </c>
      <c r="AX2922" s="83" t="str">
        <f t="array" ref="AX2922">IFERROR(DGET('SBV Import'!A:G,"SBV",{"RSC ID","Tier";B2922,A2922}))</f>
        <v/>
      </c>
      <c r="AY2922" s="82" t="str">
        <f t="shared" si="2"/>
        <v/>
      </c>
      <c r="AZ2922" s="82"/>
      <c r="BA2922" s="84" t="s">
        <v>152</v>
      </c>
      <c r="BB2922" s="84" t="str">
        <f>IFERROR(__xludf.DUMMYFUNCTION("iferror(if(A2922="""",,E2922&gt;=FILTER(Constants!$F$2:$F$10,Constants!$A$2:$A$10=A2922)))"),"")</f>
        <v/>
      </c>
    </row>
    <row r="2923">
      <c r="A2923" s="89"/>
      <c r="B2923" s="87"/>
      <c r="C2923" s="73"/>
      <c r="D2923" s="73"/>
      <c r="E2923" s="82"/>
      <c r="F2923" s="82"/>
      <c r="G2923" s="86"/>
      <c r="H2923" s="86"/>
      <c r="I2923" s="86"/>
      <c r="J2923" s="82"/>
      <c r="K2923" s="82"/>
      <c r="L2923" s="82"/>
      <c r="M2923" s="82"/>
      <c r="N2923" s="82"/>
      <c r="O2923" s="82"/>
      <c r="P2923" s="82"/>
      <c r="Q2923" s="82"/>
      <c r="R2923" s="82"/>
      <c r="S2923" s="82"/>
      <c r="T2923" s="82"/>
      <c r="U2923" s="82"/>
      <c r="V2923" s="82"/>
      <c r="W2923" s="82"/>
      <c r="X2923" s="82"/>
      <c r="Y2923" s="82"/>
      <c r="Z2923" s="82"/>
      <c r="AA2923" s="82"/>
      <c r="AB2923" s="82"/>
      <c r="AC2923" s="82"/>
      <c r="AD2923" s="82"/>
      <c r="AE2923" s="82"/>
      <c r="AF2923" s="82"/>
      <c r="AG2923" s="82"/>
      <c r="AH2923" s="82"/>
      <c r="AI2923" s="82"/>
      <c r="AJ2923" s="82"/>
      <c r="AK2923" s="82"/>
      <c r="AL2923" s="82"/>
      <c r="AM2923" s="82"/>
      <c r="AN2923" s="82"/>
      <c r="AO2923" s="82"/>
      <c r="AP2923" s="82"/>
      <c r="AQ2923" s="82"/>
      <c r="AR2923" s="82"/>
      <c r="AS2923" s="82"/>
      <c r="AT2923" s="82"/>
      <c r="AU2923" s="82"/>
      <c r="AV2923" s="82"/>
      <c r="AW2923" s="82" t="str">
        <f t="shared" si="1"/>
        <v/>
      </c>
      <c r="AX2923" s="83" t="str">
        <f t="array" ref="AX2923">IFERROR(DGET('SBV Import'!A:G,"SBV",{"RSC ID","Tier";B2923,A2923}))</f>
        <v/>
      </c>
      <c r="AY2923" s="82" t="str">
        <f t="shared" si="2"/>
        <v/>
      </c>
      <c r="AZ2923" s="82"/>
      <c r="BA2923" s="84" t="s">
        <v>152</v>
      </c>
      <c r="BB2923" s="84" t="str">
        <f>IFERROR(__xludf.DUMMYFUNCTION("iferror(if(A2923="""",,E2923&gt;=FILTER(Constants!$F$2:$F$10,Constants!$A$2:$A$10=A2923)))"),"")</f>
        <v/>
      </c>
    </row>
    <row r="2924">
      <c r="A2924" s="89"/>
      <c r="B2924" s="87"/>
      <c r="C2924" s="73"/>
      <c r="D2924" s="73"/>
      <c r="E2924" s="82"/>
      <c r="F2924" s="82"/>
      <c r="G2924" s="86"/>
      <c r="H2924" s="86"/>
      <c r="I2924" s="86"/>
      <c r="J2924" s="82"/>
      <c r="K2924" s="82"/>
      <c r="L2924" s="82"/>
      <c r="M2924" s="82"/>
      <c r="N2924" s="82"/>
      <c r="O2924" s="82"/>
      <c r="P2924" s="82"/>
      <c r="Q2924" s="82"/>
      <c r="R2924" s="82"/>
      <c r="S2924" s="82"/>
      <c r="T2924" s="82"/>
      <c r="U2924" s="82"/>
      <c r="V2924" s="82"/>
      <c r="W2924" s="82"/>
      <c r="X2924" s="82"/>
      <c r="Y2924" s="82"/>
      <c r="Z2924" s="82"/>
      <c r="AA2924" s="82"/>
      <c r="AB2924" s="82"/>
      <c r="AC2924" s="82"/>
      <c r="AD2924" s="82"/>
      <c r="AE2924" s="82"/>
      <c r="AF2924" s="82"/>
      <c r="AG2924" s="82"/>
      <c r="AH2924" s="82"/>
      <c r="AI2924" s="82"/>
      <c r="AJ2924" s="82"/>
      <c r="AK2924" s="82"/>
      <c r="AL2924" s="82"/>
      <c r="AM2924" s="82"/>
      <c r="AN2924" s="82"/>
      <c r="AO2924" s="82"/>
      <c r="AP2924" s="82"/>
      <c r="AQ2924" s="82"/>
      <c r="AR2924" s="82"/>
      <c r="AS2924" s="82"/>
      <c r="AT2924" s="82"/>
      <c r="AU2924" s="82"/>
      <c r="AV2924" s="82"/>
      <c r="AW2924" s="82" t="str">
        <f t="shared" si="1"/>
        <v/>
      </c>
      <c r="AX2924" s="83" t="str">
        <f t="array" ref="AX2924">IFERROR(DGET('SBV Import'!A:G,"SBV",{"RSC ID","Tier";B2924,A2924}))</f>
        <v/>
      </c>
      <c r="AY2924" s="82" t="str">
        <f t="shared" si="2"/>
        <v/>
      </c>
      <c r="AZ2924" s="82"/>
      <c r="BA2924" s="84" t="s">
        <v>152</v>
      </c>
      <c r="BB2924" s="84" t="str">
        <f>IFERROR(__xludf.DUMMYFUNCTION("iferror(if(A2924="""",,E2924&gt;=FILTER(Constants!$F$2:$F$10,Constants!$A$2:$A$10=A2924)))"),"")</f>
        <v/>
      </c>
    </row>
    <row r="2925">
      <c r="A2925" s="89"/>
      <c r="B2925" s="87"/>
      <c r="C2925" s="73"/>
      <c r="D2925" s="73"/>
      <c r="E2925" s="82"/>
      <c r="F2925" s="82"/>
      <c r="G2925" s="86"/>
      <c r="H2925" s="86"/>
      <c r="I2925" s="86"/>
      <c r="J2925" s="82"/>
      <c r="K2925" s="82"/>
      <c r="L2925" s="82"/>
      <c r="M2925" s="82"/>
      <c r="N2925" s="82"/>
      <c r="O2925" s="82"/>
      <c r="P2925" s="82"/>
      <c r="Q2925" s="82"/>
      <c r="R2925" s="82"/>
      <c r="S2925" s="82"/>
      <c r="T2925" s="82"/>
      <c r="U2925" s="82"/>
      <c r="V2925" s="82"/>
      <c r="W2925" s="82"/>
      <c r="X2925" s="82"/>
      <c r="Y2925" s="82"/>
      <c r="Z2925" s="82"/>
      <c r="AA2925" s="82"/>
      <c r="AB2925" s="82"/>
      <c r="AC2925" s="82"/>
      <c r="AD2925" s="82"/>
      <c r="AE2925" s="82"/>
      <c r="AF2925" s="82"/>
      <c r="AG2925" s="82"/>
      <c r="AH2925" s="82"/>
      <c r="AI2925" s="82"/>
      <c r="AJ2925" s="82"/>
      <c r="AK2925" s="82"/>
      <c r="AL2925" s="82"/>
      <c r="AM2925" s="82"/>
      <c r="AN2925" s="82"/>
      <c r="AO2925" s="82"/>
      <c r="AP2925" s="82"/>
      <c r="AQ2925" s="82"/>
      <c r="AR2925" s="82"/>
      <c r="AS2925" s="82"/>
      <c r="AT2925" s="82"/>
      <c r="AU2925" s="82"/>
      <c r="AV2925" s="82"/>
      <c r="AW2925" s="82" t="str">
        <f t="shared" si="1"/>
        <v/>
      </c>
      <c r="AX2925" s="83" t="str">
        <f t="array" ref="AX2925">IFERROR(DGET('SBV Import'!A:G,"SBV",{"RSC ID","Tier";B2925,A2925}))</f>
        <v/>
      </c>
      <c r="AY2925" s="82" t="str">
        <f t="shared" si="2"/>
        <v/>
      </c>
      <c r="AZ2925" s="82"/>
      <c r="BA2925" s="84" t="s">
        <v>152</v>
      </c>
      <c r="BB2925" s="84" t="str">
        <f>IFERROR(__xludf.DUMMYFUNCTION("iferror(if(A2925="""",,E2925&gt;=FILTER(Constants!$F$2:$F$10,Constants!$A$2:$A$10=A2925)))"),"")</f>
        <v/>
      </c>
    </row>
    <row r="2926">
      <c r="A2926" s="89"/>
      <c r="B2926" s="87"/>
      <c r="C2926" s="73"/>
      <c r="D2926" s="73"/>
      <c r="E2926" s="82"/>
      <c r="F2926" s="82"/>
      <c r="G2926" s="86"/>
      <c r="H2926" s="86"/>
      <c r="I2926" s="86"/>
      <c r="J2926" s="82"/>
      <c r="K2926" s="82"/>
      <c r="L2926" s="82"/>
      <c r="M2926" s="82"/>
      <c r="N2926" s="82"/>
      <c r="O2926" s="82"/>
      <c r="P2926" s="82"/>
      <c r="Q2926" s="82"/>
      <c r="R2926" s="82"/>
      <c r="S2926" s="82"/>
      <c r="T2926" s="82"/>
      <c r="U2926" s="82"/>
      <c r="V2926" s="82"/>
      <c r="W2926" s="82"/>
      <c r="X2926" s="82"/>
      <c r="Y2926" s="82"/>
      <c r="Z2926" s="82"/>
      <c r="AA2926" s="82"/>
      <c r="AB2926" s="82"/>
      <c r="AC2926" s="82"/>
      <c r="AD2926" s="82"/>
      <c r="AE2926" s="82"/>
      <c r="AF2926" s="82"/>
      <c r="AG2926" s="82"/>
      <c r="AH2926" s="82"/>
      <c r="AI2926" s="82"/>
      <c r="AJ2926" s="82"/>
      <c r="AK2926" s="82"/>
      <c r="AL2926" s="82"/>
      <c r="AM2926" s="82"/>
      <c r="AN2926" s="82"/>
      <c r="AO2926" s="82"/>
      <c r="AP2926" s="82"/>
      <c r="AQ2926" s="82"/>
      <c r="AR2926" s="82"/>
      <c r="AS2926" s="82"/>
      <c r="AT2926" s="82"/>
      <c r="AU2926" s="82"/>
      <c r="AV2926" s="82"/>
      <c r="AW2926" s="82" t="str">
        <f t="shared" si="1"/>
        <v/>
      </c>
      <c r="AX2926" s="83" t="str">
        <f t="array" ref="AX2926">IFERROR(DGET('SBV Import'!A:G,"SBV",{"RSC ID","Tier";B2926,A2926}))</f>
        <v/>
      </c>
      <c r="AY2926" s="82" t="str">
        <f t="shared" si="2"/>
        <v/>
      </c>
      <c r="AZ2926" s="82"/>
      <c r="BA2926" s="84" t="s">
        <v>152</v>
      </c>
      <c r="BB2926" s="84" t="str">
        <f>IFERROR(__xludf.DUMMYFUNCTION("iferror(if(A2926="""",,E2926&gt;=FILTER(Constants!$F$2:$F$10,Constants!$A$2:$A$10=A2926)))"),"")</f>
        <v/>
      </c>
    </row>
    <row r="2927">
      <c r="A2927" s="89"/>
      <c r="B2927" s="87"/>
      <c r="C2927" s="73"/>
      <c r="D2927" s="73"/>
      <c r="E2927" s="82"/>
      <c r="F2927" s="82"/>
      <c r="G2927" s="86"/>
      <c r="H2927" s="86"/>
      <c r="I2927" s="86"/>
      <c r="J2927" s="82"/>
      <c r="K2927" s="82"/>
      <c r="L2927" s="82"/>
      <c r="M2927" s="82"/>
      <c r="N2927" s="82"/>
      <c r="O2927" s="82"/>
      <c r="P2927" s="82"/>
      <c r="Q2927" s="82"/>
      <c r="R2927" s="82"/>
      <c r="S2927" s="82"/>
      <c r="T2927" s="82"/>
      <c r="U2927" s="82"/>
      <c r="V2927" s="82"/>
      <c r="W2927" s="82"/>
      <c r="X2927" s="82"/>
      <c r="Y2927" s="82"/>
      <c r="Z2927" s="82"/>
      <c r="AA2927" s="82"/>
      <c r="AB2927" s="82"/>
      <c r="AC2927" s="82"/>
      <c r="AD2927" s="82"/>
      <c r="AE2927" s="82"/>
      <c r="AF2927" s="82"/>
      <c r="AG2927" s="82"/>
      <c r="AH2927" s="82"/>
      <c r="AI2927" s="82"/>
      <c r="AJ2927" s="82"/>
      <c r="AK2927" s="82"/>
      <c r="AL2927" s="82"/>
      <c r="AM2927" s="82"/>
      <c r="AN2927" s="82"/>
      <c r="AO2927" s="82"/>
      <c r="AP2927" s="82"/>
      <c r="AQ2927" s="82"/>
      <c r="AR2927" s="82"/>
      <c r="AS2927" s="82"/>
      <c r="AT2927" s="82"/>
      <c r="AU2927" s="82"/>
      <c r="AV2927" s="82"/>
      <c r="AW2927" s="82" t="str">
        <f t="shared" si="1"/>
        <v/>
      </c>
      <c r="AX2927" s="83" t="str">
        <f t="array" ref="AX2927">IFERROR(DGET('SBV Import'!A:G,"SBV",{"RSC ID","Tier";B2927,A2927}))</f>
        <v/>
      </c>
      <c r="AY2927" s="82" t="str">
        <f t="shared" si="2"/>
        <v/>
      </c>
      <c r="AZ2927" s="82"/>
      <c r="BA2927" s="84" t="s">
        <v>152</v>
      </c>
      <c r="BB2927" s="84" t="str">
        <f>IFERROR(__xludf.DUMMYFUNCTION("iferror(if(A2927="""",,E2927&gt;=FILTER(Constants!$F$2:$F$10,Constants!$A$2:$A$10=A2927)))"),"")</f>
        <v/>
      </c>
    </row>
    <row r="2928">
      <c r="A2928" s="89"/>
      <c r="B2928" s="87"/>
      <c r="C2928" s="73"/>
      <c r="D2928" s="73"/>
      <c r="E2928" s="82"/>
      <c r="F2928" s="82"/>
      <c r="G2928" s="86"/>
      <c r="H2928" s="86"/>
      <c r="I2928" s="86"/>
      <c r="J2928" s="82"/>
      <c r="K2928" s="82"/>
      <c r="L2928" s="82"/>
      <c r="M2928" s="82"/>
      <c r="N2928" s="82"/>
      <c r="O2928" s="82"/>
      <c r="P2928" s="82"/>
      <c r="Q2928" s="82"/>
      <c r="R2928" s="82"/>
      <c r="S2928" s="82"/>
      <c r="T2928" s="82"/>
      <c r="U2928" s="82"/>
      <c r="V2928" s="82"/>
      <c r="W2928" s="82"/>
      <c r="X2928" s="82"/>
      <c r="Y2928" s="82"/>
      <c r="Z2928" s="82"/>
      <c r="AA2928" s="82"/>
      <c r="AB2928" s="82"/>
      <c r="AC2928" s="82"/>
      <c r="AD2928" s="82"/>
      <c r="AE2928" s="82"/>
      <c r="AF2928" s="82"/>
      <c r="AG2928" s="82"/>
      <c r="AH2928" s="82"/>
      <c r="AI2928" s="82"/>
      <c r="AJ2928" s="82"/>
      <c r="AK2928" s="82"/>
      <c r="AL2928" s="82"/>
      <c r="AM2928" s="82"/>
      <c r="AN2928" s="82"/>
      <c r="AO2928" s="82"/>
      <c r="AP2928" s="82"/>
      <c r="AQ2928" s="82"/>
      <c r="AR2928" s="82"/>
      <c r="AS2928" s="82"/>
      <c r="AT2928" s="82"/>
      <c r="AU2928" s="82"/>
      <c r="AV2928" s="82"/>
      <c r="AW2928" s="82" t="str">
        <f t="shared" si="1"/>
        <v/>
      </c>
      <c r="AX2928" s="83" t="str">
        <f t="array" ref="AX2928">IFERROR(DGET('SBV Import'!A:G,"SBV",{"RSC ID","Tier";B2928,A2928}))</f>
        <v/>
      </c>
      <c r="AY2928" s="82" t="str">
        <f t="shared" si="2"/>
        <v/>
      </c>
      <c r="AZ2928" s="82"/>
      <c r="BA2928" s="84" t="s">
        <v>152</v>
      </c>
      <c r="BB2928" s="84" t="str">
        <f>IFERROR(__xludf.DUMMYFUNCTION("iferror(if(A2928="""",,E2928&gt;=FILTER(Constants!$F$2:$F$10,Constants!$A$2:$A$10=A2928)))"),"")</f>
        <v/>
      </c>
    </row>
    <row r="2929">
      <c r="A2929" s="89"/>
      <c r="B2929" s="87"/>
      <c r="C2929" s="73"/>
      <c r="D2929" s="73"/>
      <c r="E2929" s="82"/>
      <c r="F2929" s="82"/>
      <c r="G2929" s="86"/>
      <c r="H2929" s="86"/>
      <c r="I2929" s="86"/>
      <c r="J2929" s="82"/>
      <c r="K2929" s="82"/>
      <c r="L2929" s="82"/>
      <c r="M2929" s="82"/>
      <c r="N2929" s="82"/>
      <c r="O2929" s="82"/>
      <c r="P2929" s="82"/>
      <c r="Q2929" s="82"/>
      <c r="R2929" s="82"/>
      <c r="S2929" s="82"/>
      <c r="T2929" s="82"/>
      <c r="U2929" s="82"/>
      <c r="V2929" s="82"/>
      <c r="W2929" s="82"/>
      <c r="X2929" s="82"/>
      <c r="Y2929" s="82"/>
      <c r="Z2929" s="82"/>
      <c r="AA2929" s="82"/>
      <c r="AB2929" s="82"/>
      <c r="AC2929" s="82"/>
      <c r="AD2929" s="82"/>
      <c r="AE2929" s="82"/>
      <c r="AF2929" s="82"/>
      <c r="AG2929" s="82"/>
      <c r="AH2929" s="82"/>
      <c r="AI2929" s="82"/>
      <c r="AJ2929" s="82"/>
      <c r="AK2929" s="82"/>
      <c r="AL2929" s="82"/>
      <c r="AM2929" s="82"/>
      <c r="AN2929" s="82"/>
      <c r="AO2929" s="82"/>
      <c r="AP2929" s="82"/>
      <c r="AQ2929" s="82"/>
      <c r="AR2929" s="82"/>
      <c r="AS2929" s="82"/>
      <c r="AT2929" s="82"/>
      <c r="AU2929" s="82"/>
      <c r="AV2929" s="82"/>
      <c r="AW2929" s="82" t="str">
        <f t="shared" si="1"/>
        <v/>
      </c>
      <c r="AX2929" s="83" t="str">
        <f t="array" ref="AX2929">IFERROR(DGET('SBV Import'!A:G,"SBV",{"RSC ID","Tier";B2929,A2929}))</f>
        <v/>
      </c>
      <c r="AY2929" s="82" t="str">
        <f t="shared" si="2"/>
        <v/>
      </c>
      <c r="AZ2929" s="82"/>
      <c r="BA2929" s="84" t="s">
        <v>152</v>
      </c>
      <c r="BB2929" s="84" t="str">
        <f>IFERROR(__xludf.DUMMYFUNCTION("iferror(if(A2929="""",,E2929&gt;=FILTER(Constants!$F$2:$F$10,Constants!$A$2:$A$10=A2929)))"),"")</f>
        <v/>
      </c>
    </row>
    <row r="2930">
      <c r="A2930" s="89"/>
      <c r="B2930" s="87"/>
      <c r="C2930" s="73"/>
      <c r="D2930" s="73"/>
      <c r="E2930" s="82"/>
      <c r="F2930" s="82"/>
      <c r="G2930" s="86"/>
      <c r="H2930" s="86"/>
      <c r="I2930" s="86"/>
      <c r="J2930" s="82"/>
      <c r="K2930" s="82"/>
      <c r="L2930" s="82"/>
      <c r="M2930" s="82"/>
      <c r="N2930" s="82"/>
      <c r="O2930" s="82"/>
      <c r="P2930" s="82"/>
      <c r="Q2930" s="82"/>
      <c r="R2930" s="82"/>
      <c r="S2930" s="82"/>
      <c r="T2930" s="82"/>
      <c r="U2930" s="82"/>
      <c r="V2930" s="82"/>
      <c r="W2930" s="82"/>
      <c r="X2930" s="82"/>
      <c r="Y2930" s="82"/>
      <c r="Z2930" s="82"/>
      <c r="AA2930" s="82"/>
      <c r="AB2930" s="82"/>
      <c r="AC2930" s="82"/>
      <c r="AD2930" s="82"/>
      <c r="AE2930" s="82"/>
      <c r="AF2930" s="82"/>
      <c r="AG2930" s="82"/>
      <c r="AH2930" s="82"/>
      <c r="AI2930" s="82"/>
      <c r="AJ2930" s="82"/>
      <c r="AK2930" s="82"/>
      <c r="AL2930" s="82"/>
      <c r="AM2930" s="82"/>
      <c r="AN2930" s="82"/>
      <c r="AO2930" s="82"/>
      <c r="AP2930" s="82"/>
      <c r="AQ2930" s="82"/>
      <c r="AR2930" s="82"/>
      <c r="AS2930" s="82"/>
      <c r="AT2930" s="82"/>
      <c r="AU2930" s="82"/>
      <c r="AV2930" s="82"/>
      <c r="AW2930" s="82" t="str">
        <f t="shared" si="1"/>
        <v/>
      </c>
      <c r="AX2930" s="83" t="str">
        <f t="array" ref="AX2930">IFERROR(DGET('SBV Import'!A:G,"SBV",{"RSC ID","Tier";B2930,A2930}))</f>
        <v/>
      </c>
      <c r="AY2930" s="82" t="str">
        <f t="shared" si="2"/>
        <v/>
      </c>
      <c r="AZ2930" s="82"/>
      <c r="BA2930" s="84" t="s">
        <v>152</v>
      </c>
      <c r="BB2930" s="84" t="str">
        <f>IFERROR(__xludf.DUMMYFUNCTION("iferror(if(A2930="""",,E2930&gt;=FILTER(Constants!$F$2:$F$10,Constants!$A$2:$A$10=A2930)))"),"")</f>
        <v/>
      </c>
    </row>
    <row r="2931">
      <c r="A2931" s="89"/>
      <c r="B2931" s="87"/>
      <c r="C2931" s="73"/>
      <c r="D2931" s="73"/>
      <c r="E2931" s="82"/>
      <c r="F2931" s="82"/>
      <c r="G2931" s="86"/>
      <c r="H2931" s="86"/>
      <c r="I2931" s="86"/>
      <c r="J2931" s="82"/>
      <c r="K2931" s="82"/>
      <c r="L2931" s="82"/>
      <c r="M2931" s="82"/>
      <c r="N2931" s="82"/>
      <c r="O2931" s="82"/>
      <c r="P2931" s="82"/>
      <c r="Q2931" s="82"/>
      <c r="R2931" s="82"/>
      <c r="S2931" s="82"/>
      <c r="T2931" s="82"/>
      <c r="U2931" s="82"/>
      <c r="V2931" s="82"/>
      <c r="W2931" s="82"/>
      <c r="X2931" s="82"/>
      <c r="Y2931" s="82"/>
      <c r="Z2931" s="82"/>
      <c r="AA2931" s="82"/>
      <c r="AB2931" s="82"/>
      <c r="AC2931" s="82"/>
      <c r="AD2931" s="82"/>
      <c r="AE2931" s="82"/>
      <c r="AF2931" s="82"/>
      <c r="AG2931" s="82"/>
      <c r="AH2931" s="82"/>
      <c r="AI2931" s="82"/>
      <c r="AJ2931" s="82"/>
      <c r="AK2931" s="82"/>
      <c r="AL2931" s="82"/>
      <c r="AM2931" s="82"/>
      <c r="AN2931" s="82"/>
      <c r="AO2931" s="82"/>
      <c r="AP2931" s="82"/>
      <c r="AQ2931" s="82"/>
      <c r="AR2931" s="82"/>
      <c r="AS2931" s="82"/>
      <c r="AT2931" s="82"/>
      <c r="AU2931" s="82"/>
      <c r="AV2931" s="82"/>
      <c r="AW2931" s="82" t="str">
        <f t="shared" si="1"/>
        <v/>
      </c>
      <c r="AX2931" s="83" t="str">
        <f t="array" ref="AX2931">IFERROR(DGET('SBV Import'!A:G,"SBV",{"RSC ID","Tier";B2931,A2931}))</f>
        <v/>
      </c>
      <c r="AY2931" s="82" t="str">
        <f t="shared" si="2"/>
        <v/>
      </c>
      <c r="AZ2931" s="82"/>
      <c r="BA2931" s="84" t="s">
        <v>152</v>
      </c>
      <c r="BB2931" s="84" t="str">
        <f>IFERROR(__xludf.DUMMYFUNCTION("iferror(if(A2931="""",,E2931&gt;=FILTER(Constants!$F$2:$F$10,Constants!$A$2:$A$10=A2931)))"),"")</f>
        <v/>
      </c>
    </row>
    <row r="2932">
      <c r="A2932" s="89"/>
      <c r="B2932" s="87"/>
      <c r="C2932" s="73"/>
      <c r="D2932" s="73"/>
      <c r="E2932" s="82"/>
      <c r="F2932" s="82"/>
      <c r="G2932" s="86"/>
      <c r="H2932" s="86"/>
      <c r="I2932" s="86"/>
      <c r="J2932" s="82"/>
      <c r="K2932" s="82"/>
      <c r="L2932" s="82"/>
      <c r="M2932" s="82"/>
      <c r="N2932" s="82"/>
      <c r="O2932" s="82"/>
      <c r="P2932" s="82"/>
      <c r="Q2932" s="82"/>
      <c r="R2932" s="82"/>
      <c r="S2932" s="82"/>
      <c r="T2932" s="82"/>
      <c r="U2932" s="82"/>
      <c r="V2932" s="82"/>
      <c r="W2932" s="82"/>
      <c r="X2932" s="82"/>
      <c r="Y2932" s="82"/>
      <c r="Z2932" s="82"/>
      <c r="AA2932" s="82"/>
      <c r="AB2932" s="82"/>
      <c r="AC2932" s="82"/>
      <c r="AD2932" s="82"/>
      <c r="AE2932" s="82"/>
      <c r="AF2932" s="82"/>
      <c r="AG2932" s="82"/>
      <c r="AH2932" s="82"/>
      <c r="AI2932" s="82"/>
      <c r="AJ2932" s="82"/>
      <c r="AK2932" s="82"/>
      <c r="AL2932" s="82"/>
      <c r="AM2932" s="82"/>
      <c r="AN2932" s="82"/>
      <c r="AO2932" s="82"/>
      <c r="AP2932" s="82"/>
      <c r="AQ2932" s="82"/>
      <c r="AR2932" s="82"/>
      <c r="AS2932" s="82"/>
      <c r="AT2932" s="82"/>
      <c r="AU2932" s="82"/>
      <c r="AV2932" s="82"/>
      <c r="AW2932" s="82" t="str">
        <f t="shared" si="1"/>
        <v/>
      </c>
      <c r="AX2932" s="83" t="str">
        <f t="array" ref="AX2932">IFERROR(DGET('SBV Import'!A:G,"SBV",{"RSC ID","Tier";B2932,A2932}))</f>
        <v/>
      </c>
      <c r="AY2932" s="82" t="str">
        <f t="shared" si="2"/>
        <v/>
      </c>
      <c r="AZ2932" s="82"/>
      <c r="BA2932" s="84" t="s">
        <v>152</v>
      </c>
      <c r="BB2932" s="84" t="str">
        <f>IFERROR(__xludf.DUMMYFUNCTION("iferror(if(A2932="""",,E2932&gt;=FILTER(Constants!$F$2:$F$10,Constants!$A$2:$A$10=A2932)))"),"")</f>
        <v/>
      </c>
    </row>
    <row r="2933">
      <c r="A2933" s="89"/>
      <c r="B2933" s="87"/>
      <c r="C2933" s="73"/>
      <c r="D2933" s="73"/>
      <c r="E2933" s="82"/>
      <c r="F2933" s="82"/>
      <c r="G2933" s="86"/>
      <c r="H2933" s="86"/>
      <c r="I2933" s="86"/>
      <c r="J2933" s="82"/>
      <c r="K2933" s="82"/>
      <c r="L2933" s="82"/>
      <c r="M2933" s="82"/>
      <c r="N2933" s="82"/>
      <c r="O2933" s="82"/>
      <c r="P2933" s="82"/>
      <c r="Q2933" s="82"/>
      <c r="R2933" s="82"/>
      <c r="S2933" s="82"/>
      <c r="T2933" s="82"/>
      <c r="U2933" s="82"/>
      <c r="V2933" s="82"/>
      <c r="W2933" s="82"/>
      <c r="X2933" s="82"/>
      <c r="Y2933" s="82"/>
      <c r="Z2933" s="82"/>
      <c r="AA2933" s="82"/>
      <c r="AB2933" s="82"/>
      <c r="AC2933" s="82"/>
      <c r="AD2933" s="82"/>
      <c r="AE2933" s="82"/>
      <c r="AF2933" s="82"/>
      <c r="AG2933" s="82"/>
      <c r="AH2933" s="82"/>
      <c r="AI2933" s="82"/>
      <c r="AJ2933" s="82"/>
      <c r="AK2933" s="82"/>
      <c r="AL2933" s="82"/>
      <c r="AM2933" s="82"/>
      <c r="AN2933" s="82"/>
      <c r="AO2933" s="82"/>
      <c r="AP2933" s="82"/>
      <c r="AQ2933" s="82"/>
      <c r="AR2933" s="82"/>
      <c r="AS2933" s="82"/>
      <c r="AT2933" s="82"/>
      <c r="AU2933" s="82"/>
      <c r="AV2933" s="82"/>
      <c r="AW2933" s="82" t="str">
        <f t="shared" si="1"/>
        <v/>
      </c>
      <c r="AX2933" s="83" t="str">
        <f t="array" ref="AX2933">IFERROR(DGET('SBV Import'!A:G,"SBV",{"RSC ID","Tier";B2933,A2933}))</f>
        <v/>
      </c>
      <c r="AY2933" s="82" t="str">
        <f t="shared" si="2"/>
        <v/>
      </c>
      <c r="AZ2933" s="82"/>
      <c r="BA2933" s="84" t="s">
        <v>152</v>
      </c>
      <c r="BB2933" s="84" t="str">
        <f>IFERROR(__xludf.DUMMYFUNCTION("iferror(if(A2933="""",,E2933&gt;=FILTER(Constants!$F$2:$F$10,Constants!$A$2:$A$10=A2933)))"),"")</f>
        <v/>
      </c>
    </row>
    <row r="2934">
      <c r="A2934" s="89"/>
      <c r="B2934" s="87"/>
      <c r="C2934" s="73"/>
      <c r="D2934" s="73"/>
      <c r="E2934" s="82"/>
      <c r="F2934" s="82"/>
      <c r="G2934" s="86"/>
      <c r="H2934" s="86"/>
      <c r="I2934" s="86"/>
      <c r="J2934" s="82"/>
      <c r="K2934" s="82"/>
      <c r="L2934" s="82"/>
      <c r="M2934" s="82"/>
      <c r="N2934" s="82"/>
      <c r="O2934" s="82"/>
      <c r="P2934" s="82"/>
      <c r="Q2934" s="82"/>
      <c r="R2934" s="82"/>
      <c r="S2934" s="82"/>
      <c r="T2934" s="82"/>
      <c r="U2934" s="82"/>
      <c r="V2934" s="82"/>
      <c r="W2934" s="82"/>
      <c r="X2934" s="82"/>
      <c r="Y2934" s="82"/>
      <c r="Z2934" s="82"/>
      <c r="AA2934" s="82"/>
      <c r="AB2934" s="82"/>
      <c r="AC2934" s="82"/>
      <c r="AD2934" s="82"/>
      <c r="AE2934" s="82"/>
      <c r="AF2934" s="82"/>
      <c r="AG2934" s="82"/>
      <c r="AH2934" s="82"/>
      <c r="AI2934" s="82"/>
      <c r="AJ2934" s="82"/>
      <c r="AK2934" s="82"/>
      <c r="AL2934" s="82"/>
      <c r="AM2934" s="82"/>
      <c r="AN2934" s="82"/>
      <c r="AO2934" s="82"/>
      <c r="AP2934" s="82"/>
      <c r="AQ2934" s="82"/>
      <c r="AR2934" s="82"/>
      <c r="AS2934" s="82"/>
      <c r="AT2934" s="82"/>
      <c r="AU2934" s="82"/>
      <c r="AV2934" s="82"/>
      <c r="AW2934" s="82" t="str">
        <f t="shared" si="1"/>
        <v/>
      </c>
      <c r="AX2934" s="83" t="str">
        <f t="array" ref="AX2934">IFERROR(DGET('SBV Import'!A:G,"SBV",{"RSC ID","Tier";B2934,A2934}))</f>
        <v/>
      </c>
      <c r="AY2934" s="82" t="str">
        <f t="shared" si="2"/>
        <v/>
      </c>
      <c r="AZ2934" s="82"/>
      <c r="BA2934" s="84" t="s">
        <v>152</v>
      </c>
      <c r="BB2934" s="84" t="str">
        <f>IFERROR(__xludf.DUMMYFUNCTION("iferror(if(A2934="""",,E2934&gt;=FILTER(Constants!$F$2:$F$10,Constants!$A$2:$A$10=A2934)))"),"")</f>
        <v/>
      </c>
    </row>
    <row r="2935">
      <c r="A2935" s="89"/>
      <c r="B2935" s="87"/>
      <c r="C2935" s="73"/>
      <c r="D2935" s="73"/>
      <c r="E2935" s="82"/>
      <c r="F2935" s="82"/>
      <c r="G2935" s="86"/>
      <c r="H2935" s="86"/>
      <c r="I2935" s="86"/>
      <c r="J2935" s="82"/>
      <c r="K2935" s="82"/>
      <c r="L2935" s="82"/>
      <c r="M2935" s="82"/>
      <c r="N2935" s="82"/>
      <c r="O2935" s="82"/>
      <c r="P2935" s="82"/>
      <c r="Q2935" s="82"/>
      <c r="R2935" s="82"/>
      <c r="S2935" s="82"/>
      <c r="T2935" s="82"/>
      <c r="U2935" s="82"/>
      <c r="V2935" s="82"/>
      <c r="W2935" s="82"/>
      <c r="X2935" s="82"/>
      <c r="Y2935" s="82"/>
      <c r="Z2935" s="82"/>
      <c r="AA2935" s="82"/>
      <c r="AB2935" s="82"/>
      <c r="AC2935" s="82"/>
      <c r="AD2935" s="82"/>
      <c r="AE2935" s="82"/>
      <c r="AF2935" s="82"/>
      <c r="AG2935" s="82"/>
      <c r="AH2935" s="82"/>
      <c r="AI2935" s="82"/>
      <c r="AJ2935" s="82"/>
      <c r="AK2935" s="82"/>
      <c r="AL2935" s="82"/>
      <c r="AM2935" s="82"/>
      <c r="AN2935" s="82"/>
      <c r="AO2935" s="82"/>
      <c r="AP2935" s="82"/>
      <c r="AQ2935" s="82"/>
      <c r="AR2935" s="82"/>
      <c r="AS2935" s="82"/>
      <c r="AT2935" s="82"/>
      <c r="AU2935" s="82"/>
      <c r="AV2935" s="82"/>
      <c r="AW2935" s="82" t="str">
        <f t="shared" si="1"/>
        <v/>
      </c>
      <c r="AX2935" s="83" t="str">
        <f t="array" ref="AX2935">IFERROR(DGET('SBV Import'!A:G,"SBV",{"RSC ID","Tier";B2935,A2935}))</f>
        <v/>
      </c>
      <c r="AY2935" s="82" t="str">
        <f t="shared" si="2"/>
        <v/>
      </c>
      <c r="AZ2935" s="82"/>
      <c r="BA2935" s="84" t="s">
        <v>152</v>
      </c>
      <c r="BB2935" s="84" t="str">
        <f>IFERROR(__xludf.DUMMYFUNCTION("iferror(if(A2935="""",,E2935&gt;=FILTER(Constants!$F$2:$F$10,Constants!$A$2:$A$10=A2935)))"),"")</f>
        <v/>
      </c>
    </row>
    <row r="2936">
      <c r="A2936" s="89"/>
      <c r="B2936" s="87"/>
      <c r="C2936" s="73"/>
      <c r="D2936" s="73"/>
      <c r="E2936" s="82"/>
      <c r="F2936" s="82"/>
      <c r="G2936" s="86"/>
      <c r="H2936" s="86"/>
      <c r="I2936" s="86"/>
      <c r="J2936" s="82"/>
      <c r="K2936" s="82"/>
      <c r="L2936" s="82"/>
      <c r="M2936" s="82"/>
      <c r="N2936" s="82"/>
      <c r="O2936" s="82"/>
      <c r="P2936" s="82"/>
      <c r="Q2936" s="82"/>
      <c r="R2936" s="82"/>
      <c r="S2936" s="82"/>
      <c r="T2936" s="82"/>
      <c r="U2936" s="82"/>
      <c r="V2936" s="82"/>
      <c r="W2936" s="82"/>
      <c r="X2936" s="82"/>
      <c r="Y2936" s="82"/>
      <c r="Z2936" s="82"/>
      <c r="AA2936" s="82"/>
      <c r="AB2936" s="82"/>
      <c r="AC2936" s="82"/>
      <c r="AD2936" s="82"/>
      <c r="AE2936" s="82"/>
      <c r="AF2936" s="82"/>
      <c r="AG2936" s="82"/>
      <c r="AH2936" s="82"/>
      <c r="AI2936" s="82"/>
      <c r="AJ2936" s="82"/>
      <c r="AK2936" s="82"/>
      <c r="AL2936" s="82"/>
      <c r="AM2936" s="82"/>
      <c r="AN2936" s="82"/>
      <c r="AO2936" s="82"/>
      <c r="AP2936" s="82"/>
      <c r="AQ2936" s="82"/>
      <c r="AR2936" s="82"/>
      <c r="AS2936" s="82"/>
      <c r="AT2936" s="82"/>
      <c r="AU2936" s="82"/>
      <c r="AV2936" s="82"/>
      <c r="AW2936" s="82" t="str">
        <f t="shared" si="1"/>
        <v/>
      </c>
      <c r="AX2936" s="83" t="str">
        <f t="array" ref="AX2936">IFERROR(DGET('SBV Import'!A:G,"SBV",{"RSC ID","Tier";B2936,A2936}))</f>
        <v/>
      </c>
      <c r="AY2936" s="82" t="str">
        <f t="shared" si="2"/>
        <v/>
      </c>
      <c r="AZ2936" s="82"/>
      <c r="BA2936" s="84" t="s">
        <v>152</v>
      </c>
      <c r="BB2936" s="84" t="str">
        <f>IFERROR(__xludf.DUMMYFUNCTION("iferror(if(A2936="""",,E2936&gt;=FILTER(Constants!$F$2:$F$10,Constants!$A$2:$A$10=A2936)))"),"")</f>
        <v/>
      </c>
    </row>
    <row r="2937">
      <c r="A2937" s="89"/>
      <c r="B2937" s="87"/>
      <c r="C2937" s="73"/>
      <c r="D2937" s="73"/>
      <c r="E2937" s="82"/>
      <c r="F2937" s="82"/>
      <c r="G2937" s="86"/>
      <c r="H2937" s="86"/>
      <c r="I2937" s="86"/>
      <c r="J2937" s="82"/>
      <c r="K2937" s="82"/>
      <c r="L2937" s="82"/>
      <c r="M2937" s="82"/>
      <c r="N2937" s="82"/>
      <c r="O2937" s="82"/>
      <c r="P2937" s="82"/>
      <c r="Q2937" s="82"/>
      <c r="R2937" s="82"/>
      <c r="S2937" s="82"/>
      <c r="T2937" s="82"/>
      <c r="U2937" s="82"/>
      <c r="V2937" s="82"/>
      <c r="W2937" s="82"/>
      <c r="X2937" s="82"/>
      <c r="Y2937" s="82"/>
      <c r="Z2937" s="82"/>
      <c r="AA2937" s="82"/>
      <c r="AB2937" s="82"/>
      <c r="AC2937" s="82"/>
      <c r="AD2937" s="82"/>
      <c r="AE2937" s="82"/>
      <c r="AF2937" s="82"/>
      <c r="AG2937" s="82"/>
      <c r="AH2937" s="82"/>
      <c r="AI2937" s="82"/>
      <c r="AJ2937" s="82"/>
      <c r="AK2937" s="82"/>
      <c r="AL2937" s="82"/>
      <c r="AM2937" s="82"/>
      <c r="AN2937" s="82"/>
      <c r="AO2937" s="82"/>
      <c r="AP2937" s="82"/>
      <c r="AQ2937" s="82"/>
      <c r="AR2937" s="82"/>
      <c r="AS2937" s="82"/>
      <c r="AT2937" s="82"/>
      <c r="AU2937" s="82"/>
      <c r="AV2937" s="82"/>
      <c r="AW2937" s="82" t="str">
        <f t="shared" si="1"/>
        <v/>
      </c>
      <c r="AX2937" s="83" t="str">
        <f t="array" ref="AX2937">IFERROR(DGET('SBV Import'!A:G,"SBV",{"RSC ID","Tier";B2937,A2937}))</f>
        <v/>
      </c>
      <c r="AY2937" s="82" t="str">
        <f t="shared" si="2"/>
        <v/>
      </c>
      <c r="AZ2937" s="82"/>
      <c r="BA2937" s="84" t="s">
        <v>152</v>
      </c>
      <c r="BB2937" s="84" t="str">
        <f>IFERROR(__xludf.DUMMYFUNCTION("iferror(if(A2937="""",,E2937&gt;=FILTER(Constants!$F$2:$F$10,Constants!$A$2:$A$10=A2937)))"),"")</f>
        <v/>
      </c>
    </row>
    <row r="2938">
      <c r="A2938" s="89"/>
      <c r="B2938" s="87"/>
      <c r="C2938" s="73"/>
      <c r="D2938" s="73"/>
      <c r="E2938" s="82"/>
      <c r="F2938" s="82"/>
      <c r="G2938" s="86"/>
      <c r="H2938" s="86"/>
      <c r="I2938" s="86"/>
      <c r="J2938" s="82"/>
      <c r="K2938" s="82"/>
      <c r="L2938" s="82"/>
      <c r="M2938" s="82"/>
      <c r="N2938" s="82"/>
      <c r="O2938" s="82"/>
      <c r="P2938" s="82"/>
      <c r="Q2938" s="82"/>
      <c r="R2938" s="82"/>
      <c r="S2938" s="82"/>
      <c r="T2938" s="82"/>
      <c r="U2938" s="82"/>
      <c r="V2938" s="82"/>
      <c r="W2938" s="82"/>
      <c r="X2938" s="82"/>
      <c r="Y2938" s="82"/>
      <c r="Z2938" s="82"/>
      <c r="AA2938" s="82"/>
      <c r="AB2938" s="82"/>
      <c r="AC2938" s="82"/>
      <c r="AD2938" s="82"/>
      <c r="AE2938" s="82"/>
      <c r="AF2938" s="82"/>
      <c r="AG2938" s="82"/>
      <c r="AH2938" s="82"/>
      <c r="AI2938" s="82"/>
      <c r="AJ2938" s="82"/>
      <c r="AK2938" s="82"/>
      <c r="AL2938" s="82"/>
      <c r="AM2938" s="82"/>
      <c r="AN2938" s="82"/>
      <c r="AO2938" s="82"/>
      <c r="AP2938" s="82"/>
      <c r="AQ2938" s="82"/>
      <c r="AR2938" s="82"/>
      <c r="AS2938" s="82"/>
      <c r="AT2938" s="82"/>
      <c r="AU2938" s="82"/>
      <c r="AV2938" s="82"/>
      <c r="AW2938" s="82" t="str">
        <f t="shared" si="1"/>
        <v/>
      </c>
      <c r="AX2938" s="83" t="str">
        <f t="array" ref="AX2938">IFERROR(DGET('SBV Import'!A:G,"SBV",{"RSC ID","Tier";B2938,A2938}))</f>
        <v/>
      </c>
      <c r="AY2938" s="82" t="str">
        <f t="shared" si="2"/>
        <v/>
      </c>
      <c r="AZ2938" s="82"/>
      <c r="BA2938" s="84" t="s">
        <v>152</v>
      </c>
      <c r="BB2938" s="84" t="str">
        <f>IFERROR(__xludf.DUMMYFUNCTION("iferror(if(A2938="""",,E2938&gt;=FILTER(Constants!$F$2:$F$10,Constants!$A$2:$A$10=A2938)))"),"")</f>
        <v/>
      </c>
    </row>
    <row r="2939">
      <c r="A2939" s="89"/>
      <c r="B2939" s="87"/>
      <c r="C2939" s="73"/>
      <c r="D2939" s="73"/>
      <c r="E2939" s="82"/>
      <c r="F2939" s="82"/>
      <c r="G2939" s="86"/>
      <c r="H2939" s="86"/>
      <c r="I2939" s="86"/>
      <c r="J2939" s="82"/>
      <c r="K2939" s="82"/>
      <c r="L2939" s="82"/>
      <c r="M2939" s="82"/>
      <c r="N2939" s="82"/>
      <c r="O2939" s="82"/>
      <c r="P2939" s="82"/>
      <c r="Q2939" s="82"/>
      <c r="R2939" s="82"/>
      <c r="S2939" s="82"/>
      <c r="T2939" s="82"/>
      <c r="U2939" s="82"/>
      <c r="V2939" s="82"/>
      <c r="W2939" s="82"/>
      <c r="X2939" s="82"/>
      <c r="Y2939" s="82"/>
      <c r="Z2939" s="82"/>
      <c r="AA2939" s="82"/>
      <c r="AB2939" s="82"/>
      <c r="AC2939" s="82"/>
      <c r="AD2939" s="82"/>
      <c r="AE2939" s="82"/>
      <c r="AF2939" s="82"/>
      <c r="AG2939" s="82"/>
      <c r="AH2939" s="82"/>
      <c r="AI2939" s="82"/>
      <c r="AJ2939" s="82"/>
      <c r="AK2939" s="82"/>
      <c r="AL2939" s="82"/>
      <c r="AM2939" s="82"/>
      <c r="AN2939" s="82"/>
      <c r="AO2939" s="82"/>
      <c r="AP2939" s="82"/>
      <c r="AQ2939" s="82"/>
      <c r="AR2939" s="82"/>
      <c r="AS2939" s="82"/>
      <c r="AT2939" s="82"/>
      <c r="AU2939" s="82"/>
      <c r="AV2939" s="82"/>
      <c r="AW2939" s="82" t="str">
        <f t="shared" si="1"/>
        <v/>
      </c>
      <c r="AX2939" s="83" t="str">
        <f t="array" ref="AX2939">IFERROR(DGET('SBV Import'!A:G,"SBV",{"RSC ID","Tier";B2939,A2939}))</f>
        <v/>
      </c>
      <c r="AY2939" s="82" t="str">
        <f t="shared" si="2"/>
        <v/>
      </c>
      <c r="AZ2939" s="82"/>
      <c r="BA2939" s="84" t="s">
        <v>152</v>
      </c>
      <c r="BB2939" s="84" t="str">
        <f>IFERROR(__xludf.DUMMYFUNCTION("iferror(if(A2939="""",,E2939&gt;=FILTER(Constants!$F$2:$F$10,Constants!$A$2:$A$10=A2939)))"),"")</f>
        <v/>
      </c>
    </row>
    <row r="2940">
      <c r="A2940" s="89"/>
      <c r="B2940" s="87"/>
      <c r="C2940" s="73"/>
      <c r="D2940" s="73"/>
      <c r="E2940" s="82"/>
      <c r="F2940" s="82"/>
      <c r="G2940" s="86"/>
      <c r="H2940" s="86"/>
      <c r="I2940" s="86"/>
      <c r="J2940" s="82"/>
      <c r="K2940" s="82"/>
      <c r="L2940" s="82"/>
      <c r="M2940" s="82"/>
      <c r="N2940" s="82"/>
      <c r="O2940" s="82"/>
      <c r="P2940" s="82"/>
      <c r="Q2940" s="82"/>
      <c r="R2940" s="82"/>
      <c r="S2940" s="82"/>
      <c r="T2940" s="82"/>
      <c r="U2940" s="82"/>
      <c r="V2940" s="82"/>
      <c r="W2940" s="82"/>
      <c r="X2940" s="82"/>
      <c r="Y2940" s="82"/>
      <c r="Z2940" s="82"/>
      <c r="AA2940" s="82"/>
      <c r="AB2940" s="82"/>
      <c r="AC2940" s="82"/>
      <c r="AD2940" s="82"/>
      <c r="AE2940" s="82"/>
      <c r="AF2940" s="82"/>
      <c r="AG2940" s="82"/>
      <c r="AH2940" s="82"/>
      <c r="AI2940" s="82"/>
      <c r="AJ2940" s="82"/>
      <c r="AK2940" s="82"/>
      <c r="AL2940" s="82"/>
      <c r="AM2940" s="82"/>
      <c r="AN2940" s="82"/>
      <c r="AO2940" s="82"/>
      <c r="AP2940" s="82"/>
      <c r="AQ2940" s="82"/>
      <c r="AR2940" s="82"/>
      <c r="AS2940" s="82"/>
      <c r="AT2940" s="82"/>
      <c r="AU2940" s="82"/>
      <c r="AV2940" s="82"/>
      <c r="AW2940" s="82" t="str">
        <f t="shared" si="1"/>
        <v/>
      </c>
      <c r="AX2940" s="83" t="str">
        <f t="array" ref="AX2940">IFERROR(DGET('SBV Import'!A:G,"SBV",{"RSC ID","Tier";B2940,A2940}))</f>
        <v/>
      </c>
      <c r="AY2940" s="82" t="str">
        <f t="shared" si="2"/>
        <v/>
      </c>
      <c r="AZ2940" s="82"/>
      <c r="BA2940" s="84" t="s">
        <v>152</v>
      </c>
      <c r="BB2940" s="84" t="str">
        <f>IFERROR(__xludf.DUMMYFUNCTION("iferror(if(A2940="""",,E2940&gt;=FILTER(Constants!$F$2:$F$10,Constants!$A$2:$A$10=A2940)))"),"")</f>
        <v/>
      </c>
    </row>
    <row r="2941">
      <c r="A2941" s="89"/>
      <c r="B2941" s="87"/>
      <c r="C2941" s="73"/>
      <c r="D2941" s="73"/>
      <c r="E2941" s="82"/>
      <c r="F2941" s="82"/>
      <c r="G2941" s="86"/>
      <c r="H2941" s="86"/>
      <c r="I2941" s="86"/>
      <c r="J2941" s="82"/>
      <c r="K2941" s="82"/>
      <c r="L2941" s="82"/>
      <c r="M2941" s="82"/>
      <c r="N2941" s="82"/>
      <c r="O2941" s="82"/>
      <c r="P2941" s="82"/>
      <c r="Q2941" s="82"/>
      <c r="R2941" s="82"/>
      <c r="S2941" s="82"/>
      <c r="T2941" s="82"/>
      <c r="U2941" s="82"/>
      <c r="V2941" s="82"/>
      <c r="W2941" s="82"/>
      <c r="X2941" s="82"/>
      <c r="Y2941" s="82"/>
      <c r="Z2941" s="82"/>
      <c r="AA2941" s="82"/>
      <c r="AB2941" s="82"/>
      <c r="AC2941" s="82"/>
      <c r="AD2941" s="82"/>
      <c r="AE2941" s="82"/>
      <c r="AF2941" s="82"/>
      <c r="AG2941" s="82"/>
      <c r="AH2941" s="82"/>
      <c r="AI2941" s="82"/>
      <c r="AJ2941" s="82"/>
      <c r="AK2941" s="82"/>
      <c r="AL2941" s="82"/>
      <c r="AM2941" s="82"/>
      <c r="AN2941" s="82"/>
      <c r="AO2941" s="82"/>
      <c r="AP2941" s="82"/>
      <c r="AQ2941" s="82"/>
      <c r="AR2941" s="82"/>
      <c r="AS2941" s="82"/>
      <c r="AT2941" s="82"/>
      <c r="AU2941" s="82"/>
      <c r="AV2941" s="82"/>
      <c r="AW2941" s="82" t="str">
        <f t="shared" si="1"/>
        <v/>
      </c>
      <c r="AX2941" s="83" t="str">
        <f t="array" ref="AX2941">IFERROR(DGET('SBV Import'!A:G,"SBV",{"RSC ID","Tier";B2941,A2941}))</f>
        <v/>
      </c>
      <c r="AY2941" s="82" t="str">
        <f t="shared" si="2"/>
        <v/>
      </c>
      <c r="AZ2941" s="82"/>
      <c r="BA2941" s="84" t="s">
        <v>152</v>
      </c>
      <c r="BB2941" s="84" t="str">
        <f>IFERROR(__xludf.DUMMYFUNCTION("iferror(if(A2941="""",,E2941&gt;=FILTER(Constants!$F$2:$F$10,Constants!$A$2:$A$10=A2941)))"),"")</f>
        <v/>
      </c>
    </row>
    <row r="2942">
      <c r="A2942" s="89"/>
      <c r="B2942" s="87"/>
      <c r="C2942" s="73"/>
      <c r="D2942" s="73"/>
      <c r="E2942" s="82"/>
      <c r="F2942" s="82"/>
      <c r="G2942" s="86"/>
      <c r="H2942" s="86"/>
      <c r="I2942" s="86"/>
      <c r="J2942" s="82"/>
      <c r="K2942" s="82"/>
      <c r="L2942" s="82"/>
      <c r="M2942" s="82"/>
      <c r="N2942" s="82"/>
      <c r="O2942" s="82"/>
      <c r="P2942" s="82"/>
      <c r="Q2942" s="82"/>
      <c r="R2942" s="82"/>
      <c r="S2942" s="82"/>
      <c r="T2942" s="82"/>
      <c r="U2942" s="82"/>
      <c r="V2942" s="82"/>
      <c r="W2942" s="82"/>
      <c r="X2942" s="82"/>
      <c r="Y2942" s="82"/>
      <c r="Z2942" s="82"/>
      <c r="AA2942" s="82"/>
      <c r="AB2942" s="82"/>
      <c r="AC2942" s="82"/>
      <c r="AD2942" s="82"/>
      <c r="AE2942" s="82"/>
      <c r="AF2942" s="82"/>
      <c r="AG2942" s="82"/>
      <c r="AH2942" s="82"/>
      <c r="AI2942" s="82"/>
      <c r="AJ2942" s="82"/>
      <c r="AK2942" s="82"/>
      <c r="AL2942" s="82"/>
      <c r="AM2942" s="82"/>
      <c r="AN2942" s="82"/>
      <c r="AO2942" s="82"/>
      <c r="AP2942" s="82"/>
      <c r="AQ2942" s="82"/>
      <c r="AR2942" s="82"/>
      <c r="AS2942" s="82"/>
      <c r="AT2942" s="82"/>
      <c r="AU2942" s="82"/>
      <c r="AV2942" s="82"/>
      <c r="AW2942" s="82" t="str">
        <f t="shared" si="1"/>
        <v/>
      </c>
      <c r="AX2942" s="83" t="str">
        <f t="array" ref="AX2942">IFERROR(DGET('SBV Import'!A:G,"SBV",{"RSC ID","Tier";B2942,A2942}))</f>
        <v/>
      </c>
      <c r="AY2942" s="82" t="str">
        <f t="shared" si="2"/>
        <v/>
      </c>
      <c r="AZ2942" s="82"/>
      <c r="BA2942" s="84" t="s">
        <v>152</v>
      </c>
      <c r="BB2942" s="84" t="str">
        <f>IFERROR(__xludf.DUMMYFUNCTION("iferror(if(A2942="""",,E2942&gt;=FILTER(Constants!$F$2:$F$10,Constants!$A$2:$A$10=A2942)))"),"")</f>
        <v/>
      </c>
    </row>
    <row r="2943">
      <c r="A2943" s="89"/>
      <c r="B2943" s="87"/>
      <c r="C2943" s="73"/>
      <c r="D2943" s="73"/>
      <c r="E2943" s="82"/>
      <c r="F2943" s="82"/>
      <c r="G2943" s="86"/>
      <c r="H2943" s="86"/>
      <c r="I2943" s="86"/>
      <c r="J2943" s="82"/>
      <c r="K2943" s="82"/>
      <c r="L2943" s="82"/>
      <c r="M2943" s="82"/>
      <c r="N2943" s="82"/>
      <c r="O2943" s="82"/>
      <c r="P2943" s="82"/>
      <c r="Q2943" s="82"/>
      <c r="R2943" s="82"/>
      <c r="S2943" s="82"/>
      <c r="T2943" s="82"/>
      <c r="U2943" s="82"/>
      <c r="V2943" s="82"/>
      <c r="W2943" s="82"/>
      <c r="X2943" s="82"/>
      <c r="Y2943" s="82"/>
      <c r="Z2943" s="82"/>
      <c r="AA2943" s="82"/>
      <c r="AB2943" s="82"/>
      <c r="AC2943" s="82"/>
      <c r="AD2943" s="82"/>
      <c r="AE2943" s="82"/>
      <c r="AF2943" s="82"/>
      <c r="AG2943" s="82"/>
      <c r="AH2943" s="82"/>
      <c r="AI2943" s="82"/>
      <c r="AJ2943" s="82"/>
      <c r="AK2943" s="82"/>
      <c r="AL2943" s="82"/>
      <c r="AM2943" s="82"/>
      <c r="AN2943" s="82"/>
      <c r="AO2943" s="82"/>
      <c r="AP2943" s="82"/>
      <c r="AQ2943" s="82"/>
      <c r="AR2943" s="82"/>
      <c r="AS2943" s="82"/>
      <c r="AT2943" s="82"/>
      <c r="AU2943" s="82"/>
      <c r="AV2943" s="82"/>
      <c r="AW2943" s="82" t="str">
        <f t="shared" si="1"/>
        <v/>
      </c>
      <c r="AX2943" s="83" t="str">
        <f t="array" ref="AX2943">IFERROR(DGET('SBV Import'!A:G,"SBV",{"RSC ID","Tier";B2943,A2943}))</f>
        <v/>
      </c>
      <c r="AY2943" s="82" t="str">
        <f t="shared" si="2"/>
        <v/>
      </c>
      <c r="AZ2943" s="82"/>
      <c r="BA2943" s="84" t="s">
        <v>152</v>
      </c>
      <c r="BB2943" s="84" t="str">
        <f>IFERROR(__xludf.DUMMYFUNCTION("iferror(if(A2943="""",,E2943&gt;=FILTER(Constants!$F$2:$F$10,Constants!$A$2:$A$10=A2943)))"),"")</f>
        <v/>
      </c>
    </row>
    <row r="2944">
      <c r="A2944" s="89"/>
      <c r="B2944" s="87"/>
      <c r="C2944" s="73"/>
      <c r="D2944" s="73"/>
      <c r="E2944" s="82"/>
      <c r="F2944" s="82"/>
      <c r="G2944" s="86"/>
      <c r="H2944" s="86"/>
      <c r="I2944" s="86"/>
      <c r="J2944" s="82"/>
      <c r="K2944" s="82"/>
      <c r="L2944" s="82"/>
      <c r="M2944" s="82"/>
      <c r="N2944" s="82"/>
      <c r="O2944" s="82"/>
      <c r="P2944" s="82"/>
      <c r="Q2944" s="82"/>
      <c r="R2944" s="82"/>
      <c r="S2944" s="82"/>
      <c r="T2944" s="82"/>
      <c r="U2944" s="82"/>
      <c r="V2944" s="82"/>
      <c r="W2944" s="82"/>
      <c r="X2944" s="82"/>
      <c r="Y2944" s="82"/>
      <c r="Z2944" s="82"/>
      <c r="AA2944" s="82"/>
      <c r="AB2944" s="82"/>
      <c r="AC2944" s="82"/>
      <c r="AD2944" s="82"/>
      <c r="AE2944" s="82"/>
      <c r="AF2944" s="82"/>
      <c r="AG2944" s="82"/>
      <c r="AH2944" s="82"/>
      <c r="AI2944" s="82"/>
      <c r="AJ2944" s="82"/>
      <c r="AK2944" s="82"/>
      <c r="AL2944" s="82"/>
      <c r="AM2944" s="82"/>
      <c r="AN2944" s="82"/>
      <c r="AO2944" s="82"/>
      <c r="AP2944" s="82"/>
      <c r="AQ2944" s="82"/>
      <c r="AR2944" s="82"/>
      <c r="AS2944" s="82"/>
      <c r="AT2944" s="82"/>
      <c r="AU2944" s="82"/>
      <c r="AV2944" s="82"/>
      <c r="AW2944" s="82" t="str">
        <f t="shared" si="1"/>
        <v/>
      </c>
      <c r="AX2944" s="83" t="str">
        <f t="array" ref="AX2944">IFERROR(DGET('SBV Import'!A:G,"SBV",{"RSC ID","Tier";B2944,A2944}))</f>
        <v/>
      </c>
      <c r="AY2944" s="82" t="str">
        <f t="shared" si="2"/>
        <v/>
      </c>
      <c r="AZ2944" s="82"/>
      <c r="BA2944" s="84" t="s">
        <v>152</v>
      </c>
      <c r="BB2944" s="84" t="str">
        <f>IFERROR(__xludf.DUMMYFUNCTION("iferror(if(A2944="""",,E2944&gt;=FILTER(Constants!$F$2:$F$10,Constants!$A$2:$A$10=A2944)))"),"")</f>
        <v/>
      </c>
    </row>
    <row r="2945">
      <c r="A2945" s="89"/>
      <c r="B2945" s="87"/>
      <c r="C2945" s="73"/>
      <c r="D2945" s="73"/>
      <c r="E2945" s="82"/>
      <c r="F2945" s="82"/>
      <c r="G2945" s="86"/>
      <c r="H2945" s="86"/>
      <c r="I2945" s="86"/>
      <c r="J2945" s="82"/>
      <c r="K2945" s="82"/>
      <c r="L2945" s="82"/>
      <c r="M2945" s="82"/>
      <c r="N2945" s="82"/>
      <c r="O2945" s="82"/>
      <c r="P2945" s="82"/>
      <c r="Q2945" s="82"/>
      <c r="R2945" s="82"/>
      <c r="S2945" s="82"/>
      <c r="T2945" s="82"/>
      <c r="U2945" s="82"/>
      <c r="V2945" s="82"/>
      <c r="W2945" s="82"/>
      <c r="X2945" s="82"/>
      <c r="Y2945" s="82"/>
      <c r="Z2945" s="82"/>
      <c r="AA2945" s="82"/>
      <c r="AB2945" s="82"/>
      <c r="AC2945" s="82"/>
      <c r="AD2945" s="82"/>
      <c r="AE2945" s="82"/>
      <c r="AF2945" s="82"/>
      <c r="AG2945" s="82"/>
      <c r="AH2945" s="82"/>
      <c r="AI2945" s="82"/>
      <c r="AJ2945" s="82"/>
      <c r="AK2945" s="82"/>
      <c r="AL2945" s="82"/>
      <c r="AM2945" s="82"/>
      <c r="AN2945" s="82"/>
      <c r="AO2945" s="82"/>
      <c r="AP2945" s="82"/>
      <c r="AQ2945" s="82"/>
      <c r="AR2945" s="82"/>
      <c r="AS2945" s="82"/>
      <c r="AT2945" s="82"/>
      <c r="AU2945" s="82"/>
      <c r="AV2945" s="82"/>
      <c r="AW2945" s="82" t="str">
        <f t="shared" si="1"/>
        <v/>
      </c>
      <c r="AX2945" s="83" t="str">
        <f t="array" ref="AX2945">IFERROR(DGET('SBV Import'!A:G,"SBV",{"RSC ID","Tier";B2945,A2945}))</f>
        <v/>
      </c>
      <c r="AY2945" s="82" t="str">
        <f t="shared" si="2"/>
        <v/>
      </c>
      <c r="AZ2945" s="82"/>
      <c r="BA2945" s="84" t="s">
        <v>152</v>
      </c>
      <c r="BB2945" s="84" t="str">
        <f>IFERROR(__xludf.DUMMYFUNCTION("iferror(if(A2945="""",,E2945&gt;=FILTER(Constants!$F$2:$F$10,Constants!$A$2:$A$10=A2945)))"),"")</f>
        <v/>
      </c>
    </row>
    <row r="2946">
      <c r="A2946" s="89"/>
      <c r="B2946" s="87"/>
      <c r="C2946" s="73"/>
      <c r="D2946" s="73"/>
      <c r="E2946" s="82"/>
      <c r="F2946" s="82"/>
      <c r="G2946" s="86"/>
      <c r="H2946" s="86"/>
      <c r="I2946" s="86"/>
      <c r="J2946" s="82"/>
      <c r="K2946" s="82"/>
      <c r="L2946" s="82"/>
      <c r="M2946" s="82"/>
      <c r="N2946" s="82"/>
      <c r="O2946" s="82"/>
      <c r="P2946" s="82"/>
      <c r="Q2946" s="82"/>
      <c r="R2946" s="82"/>
      <c r="S2946" s="82"/>
      <c r="T2946" s="82"/>
      <c r="U2946" s="82"/>
      <c r="V2946" s="82"/>
      <c r="W2946" s="82"/>
      <c r="X2946" s="82"/>
      <c r="Y2946" s="82"/>
      <c r="Z2946" s="82"/>
      <c r="AA2946" s="82"/>
      <c r="AB2946" s="82"/>
      <c r="AC2946" s="82"/>
      <c r="AD2946" s="82"/>
      <c r="AE2946" s="82"/>
      <c r="AF2946" s="82"/>
      <c r="AG2946" s="82"/>
      <c r="AH2946" s="82"/>
      <c r="AI2946" s="82"/>
      <c r="AJ2946" s="82"/>
      <c r="AK2946" s="82"/>
      <c r="AL2946" s="82"/>
      <c r="AM2946" s="82"/>
      <c r="AN2946" s="82"/>
      <c r="AO2946" s="82"/>
      <c r="AP2946" s="82"/>
      <c r="AQ2946" s="82"/>
      <c r="AR2946" s="82"/>
      <c r="AS2946" s="82"/>
      <c r="AT2946" s="82"/>
      <c r="AU2946" s="82"/>
      <c r="AV2946" s="82"/>
      <c r="AW2946" s="82" t="str">
        <f t="shared" si="1"/>
        <v/>
      </c>
      <c r="AX2946" s="83" t="str">
        <f t="array" ref="AX2946">IFERROR(DGET('SBV Import'!A:G,"SBV",{"RSC ID","Tier";B2946,A2946}))</f>
        <v/>
      </c>
      <c r="AY2946" s="82" t="str">
        <f t="shared" si="2"/>
        <v/>
      </c>
      <c r="AZ2946" s="82"/>
      <c r="BA2946" s="84" t="s">
        <v>152</v>
      </c>
      <c r="BB2946" s="84" t="str">
        <f>IFERROR(__xludf.DUMMYFUNCTION("iferror(if(A2946="""",,E2946&gt;=FILTER(Constants!$F$2:$F$10,Constants!$A$2:$A$10=A2946)))"),"")</f>
        <v/>
      </c>
    </row>
    <row r="2947">
      <c r="A2947" s="89"/>
      <c r="B2947" s="87"/>
      <c r="C2947" s="73"/>
      <c r="D2947" s="73"/>
      <c r="E2947" s="82"/>
      <c r="F2947" s="82"/>
      <c r="G2947" s="86"/>
      <c r="H2947" s="86"/>
      <c r="I2947" s="86"/>
      <c r="J2947" s="82"/>
      <c r="K2947" s="82"/>
      <c r="L2947" s="82"/>
      <c r="M2947" s="82"/>
      <c r="N2947" s="82"/>
      <c r="O2947" s="82"/>
      <c r="P2947" s="82"/>
      <c r="Q2947" s="82"/>
      <c r="R2947" s="82"/>
      <c r="S2947" s="82"/>
      <c r="T2947" s="82"/>
      <c r="U2947" s="82"/>
      <c r="V2947" s="82"/>
      <c r="W2947" s="82"/>
      <c r="X2947" s="82"/>
      <c r="Y2947" s="82"/>
      <c r="Z2947" s="82"/>
      <c r="AA2947" s="82"/>
      <c r="AB2947" s="82"/>
      <c r="AC2947" s="82"/>
      <c r="AD2947" s="82"/>
      <c r="AE2947" s="82"/>
      <c r="AF2947" s="82"/>
      <c r="AG2947" s="82"/>
      <c r="AH2947" s="82"/>
      <c r="AI2947" s="82"/>
      <c r="AJ2947" s="82"/>
      <c r="AK2947" s="82"/>
      <c r="AL2947" s="82"/>
      <c r="AM2947" s="82"/>
      <c r="AN2947" s="82"/>
      <c r="AO2947" s="82"/>
      <c r="AP2947" s="82"/>
      <c r="AQ2947" s="82"/>
      <c r="AR2947" s="82"/>
      <c r="AS2947" s="82"/>
      <c r="AT2947" s="82"/>
      <c r="AU2947" s="82"/>
      <c r="AV2947" s="82"/>
      <c r="AW2947" s="82" t="str">
        <f t="shared" si="1"/>
        <v/>
      </c>
      <c r="AX2947" s="83" t="str">
        <f t="array" ref="AX2947">IFERROR(DGET('SBV Import'!A:G,"SBV",{"RSC ID","Tier";B2947,A2947}))</f>
        <v/>
      </c>
      <c r="AY2947" s="82" t="str">
        <f t="shared" si="2"/>
        <v/>
      </c>
      <c r="AZ2947" s="82"/>
      <c r="BA2947" s="84" t="s">
        <v>152</v>
      </c>
      <c r="BB2947" s="84" t="str">
        <f>IFERROR(__xludf.DUMMYFUNCTION("iferror(if(A2947="""",,E2947&gt;=FILTER(Constants!$F$2:$F$10,Constants!$A$2:$A$10=A2947)))"),"")</f>
        <v/>
      </c>
    </row>
    <row r="2948">
      <c r="A2948" s="89"/>
      <c r="B2948" s="87"/>
      <c r="C2948" s="73"/>
      <c r="D2948" s="73"/>
      <c r="E2948" s="82"/>
      <c r="F2948" s="82"/>
      <c r="G2948" s="86"/>
      <c r="H2948" s="86"/>
      <c r="I2948" s="86"/>
      <c r="J2948" s="82"/>
      <c r="K2948" s="82"/>
      <c r="L2948" s="82"/>
      <c r="M2948" s="82"/>
      <c r="N2948" s="82"/>
      <c r="O2948" s="82"/>
      <c r="P2948" s="82"/>
      <c r="Q2948" s="82"/>
      <c r="R2948" s="82"/>
      <c r="S2948" s="82"/>
      <c r="T2948" s="82"/>
      <c r="U2948" s="82"/>
      <c r="V2948" s="82"/>
      <c r="W2948" s="82"/>
      <c r="X2948" s="82"/>
      <c r="Y2948" s="82"/>
      <c r="Z2948" s="82"/>
      <c r="AA2948" s="82"/>
      <c r="AB2948" s="82"/>
      <c r="AC2948" s="82"/>
      <c r="AD2948" s="82"/>
      <c r="AE2948" s="82"/>
      <c r="AF2948" s="82"/>
      <c r="AG2948" s="82"/>
      <c r="AH2948" s="82"/>
      <c r="AI2948" s="82"/>
      <c r="AJ2948" s="82"/>
      <c r="AK2948" s="82"/>
      <c r="AL2948" s="82"/>
      <c r="AM2948" s="82"/>
      <c r="AN2948" s="82"/>
      <c r="AO2948" s="82"/>
      <c r="AP2948" s="82"/>
      <c r="AQ2948" s="82"/>
      <c r="AR2948" s="82"/>
      <c r="AS2948" s="82"/>
      <c r="AT2948" s="82"/>
      <c r="AU2948" s="82"/>
      <c r="AV2948" s="82"/>
      <c r="AW2948" s="82" t="str">
        <f t="shared" si="1"/>
        <v/>
      </c>
      <c r="AX2948" s="83" t="str">
        <f t="array" ref="AX2948">IFERROR(DGET('SBV Import'!A:G,"SBV",{"RSC ID","Tier";B2948,A2948}))</f>
        <v/>
      </c>
      <c r="AY2948" s="82" t="str">
        <f t="shared" si="2"/>
        <v/>
      </c>
      <c r="AZ2948" s="82"/>
      <c r="BA2948" s="84" t="s">
        <v>152</v>
      </c>
      <c r="BB2948" s="84" t="str">
        <f>IFERROR(__xludf.DUMMYFUNCTION("iferror(if(A2948="""",,E2948&gt;=FILTER(Constants!$F$2:$F$10,Constants!$A$2:$A$10=A2948)))"),"")</f>
        <v/>
      </c>
    </row>
    <row r="2949">
      <c r="A2949" s="89"/>
      <c r="B2949" s="87"/>
      <c r="C2949" s="73"/>
      <c r="D2949" s="73"/>
      <c r="E2949" s="82"/>
      <c r="F2949" s="82"/>
      <c r="G2949" s="86"/>
      <c r="H2949" s="86"/>
      <c r="I2949" s="86"/>
      <c r="J2949" s="82"/>
      <c r="K2949" s="82"/>
      <c r="L2949" s="82"/>
      <c r="M2949" s="82"/>
      <c r="N2949" s="82"/>
      <c r="O2949" s="82"/>
      <c r="P2949" s="82"/>
      <c r="Q2949" s="82"/>
      <c r="R2949" s="82"/>
      <c r="S2949" s="82"/>
      <c r="T2949" s="82"/>
      <c r="U2949" s="82"/>
      <c r="V2949" s="82"/>
      <c r="W2949" s="82"/>
      <c r="X2949" s="82"/>
      <c r="Y2949" s="82"/>
      <c r="Z2949" s="82"/>
      <c r="AA2949" s="82"/>
      <c r="AB2949" s="82"/>
      <c r="AC2949" s="82"/>
      <c r="AD2949" s="82"/>
      <c r="AE2949" s="82"/>
      <c r="AF2949" s="82"/>
      <c r="AG2949" s="82"/>
      <c r="AH2949" s="82"/>
      <c r="AI2949" s="82"/>
      <c r="AJ2949" s="82"/>
      <c r="AK2949" s="82"/>
      <c r="AL2949" s="82"/>
      <c r="AM2949" s="82"/>
      <c r="AN2949" s="82"/>
      <c r="AO2949" s="82"/>
      <c r="AP2949" s="82"/>
      <c r="AQ2949" s="82"/>
      <c r="AR2949" s="82"/>
      <c r="AS2949" s="82"/>
      <c r="AT2949" s="82"/>
      <c r="AU2949" s="82"/>
      <c r="AV2949" s="82"/>
      <c r="AW2949" s="82" t="str">
        <f t="shared" si="1"/>
        <v/>
      </c>
      <c r="AX2949" s="83" t="str">
        <f t="array" ref="AX2949">IFERROR(DGET('SBV Import'!A:G,"SBV",{"RSC ID","Tier";B2949,A2949}))</f>
        <v/>
      </c>
      <c r="AY2949" s="82" t="str">
        <f t="shared" si="2"/>
        <v/>
      </c>
      <c r="AZ2949" s="82"/>
      <c r="BA2949" s="84" t="s">
        <v>152</v>
      </c>
      <c r="BB2949" s="84" t="str">
        <f>IFERROR(__xludf.DUMMYFUNCTION("iferror(if(A2949="""",,E2949&gt;=FILTER(Constants!$F$2:$F$10,Constants!$A$2:$A$10=A2949)))"),"")</f>
        <v/>
      </c>
    </row>
    <row r="2950">
      <c r="A2950" s="89"/>
      <c r="B2950" s="87"/>
      <c r="C2950" s="73"/>
      <c r="D2950" s="73"/>
      <c r="E2950" s="82"/>
      <c r="F2950" s="82"/>
      <c r="G2950" s="86"/>
      <c r="H2950" s="86"/>
      <c r="I2950" s="86"/>
      <c r="J2950" s="82"/>
      <c r="K2950" s="82"/>
      <c r="L2950" s="82"/>
      <c r="M2950" s="82"/>
      <c r="N2950" s="82"/>
      <c r="O2950" s="82"/>
      <c r="P2950" s="82"/>
      <c r="Q2950" s="82"/>
      <c r="R2950" s="82"/>
      <c r="S2950" s="82"/>
      <c r="T2950" s="82"/>
      <c r="U2950" s="82"/>
      <c r="V2950" s="82"/>
      <c r="W2950" s="82"/>
      <c r="X2950" s="82"/>
      <c r="Y2950" s="82"/>
      <c r="Z2950" s="82"/>
      <c r="AA2950" s="82"/>
      <c r="AB2950" s="82"/>
      <c r="AC2950" s="82"/>
      <c r="AD2950" s="82"/>
      <c r="AE2950" s="82"/>
      <c r="AF2950" s="82"/>
      <c r="AG2950" s="82"/>
      <c r="AH2950" s="82"/>
      <c r="AI2950" s="82"/>
      <c r="AJ2950" s="82"/>
      <c r="AK2950" s="82"/>
      <c r="AL2950" s="82"/>
      <c r="AM2950" s="82"/>
      <c r="AN2950" s="82"/>
      <c r="AO2950" s="82"/>
      <c r="AP2950" s="82"/>
      <c r="AQ2950" s="82"/>
      <c r="AR2950" s="82"/>
      <c r="AS2950" s="82"/>
      <c r="AT2950" s="82"/>
      <c r="AU2950" s="82"/>
      <c r="AV2950" s="82"/>
      <c r="AW2950" s="82" t="str">
        <f t="shared" si="1"/>
        <v/>
      </c>
      <c r="AX2950" s="83" t="str">
        <f t="array" ref="AX2950">IFERROR(DGET('SBV Import'!A:G,"SBV",{"RSC ID","Tier";B2950,A2950}))</f>
        <v/>
      </c>
      <c r="AY2950" s="82" t="str">
        <f t="shared" si="2"/>
        <v/>
      </c>
      <c r="AZ2950" s="82"/>
      <c r="BA2950" s="84" t="s">
        <v>152</v>
      </c>
      <c r="BB2950" s="84" t="str">
        <f>IFERROR(__xludf.DUMMYFUNCTION("iferror(if(A2950="""",,E2950&gt;=FILTER(Constants!$F$2:$F$10,Constants!$A$2:$A$10=A2950)))"),"")</f>
        <v/>
      </c>
    </row>
    <row r="2951">
      <c r="A2951" s="89"/>
      <c r="B2951" s="87"/>
      <c r="C2951" s="73"/>
      <c r="D2951" s="73"/>
      <c r="E2951" s="82"/>
      <c r="F2951" s="82"/>
      <c r="G2951" s="86"/>
      <c r="H2951" s="86"/>
      <c r="I2951" s="86"/>
      <c r="J2951" s="82"/>
      <c r="K2951" s="82"/>
      <c r="L2951" s="82"/>
      <c r="M2951" s="82"/>
      <c r="N2951" s="82"/>
      <c r="O2951" s="82"/>
      <c r="P2951" s="82"/>
      <c r="Q2951" s="82"/>
      <c r="R2951" s="82"/>
      <c r="S2951" s="82"/>
      <c r="T2951" s="82"/>
      <c r="U2951" s="82"/>
      <c r="V2951" s="82"/>
      <c r="W2951" s="82"/>
      <c r="X2951" s="82"/>
      <c r="Y2951" s="82"/>
      <c r="Z2951" s="82"/>
      <c r="AA2951" s="82"/>
      <c r="AB2951" s="82"/>
      <c r="AC2951" s="82"/>
      <c r="AD2951" s="82"/>
      <c r="AE2951" s="82"/>
      <c r="AF2951" s="82"/>
      <c r="AG2951" s="82"/>
      <c r="AH2951" s="82"/>
      <c r="AI2951" s="82"/>
      <c r="AJ2951" s="82"/>
      <c r="AK2951" s="82"/>
      <c r="AL2951" s="82"/>
      <c r="AM2951" s="82"/>
      <c r="AN2951" s="82"/>
      <c r="AO2951" s="82"/>
      <c r="AP2951" s="82"/>
      <c r="AQ2951" s="82"/>
      <c r="AR2951" s="82"/>
      <c r="AS2951" s="82"/>
      <c r="AT2951" s="82"/>
      <c r="AU2951" s="82"/>
      <c r="AV2951" s="82"/>
      <c r="AW2951" s="82" t="str">
        <f t="shared" si="1"/>
        <v/>
      </c>
      <c r="AX2951" s="83" t="str">
        <f t="array" ref="AX2951">IFERROR(DGET('SBV Import'!A:G,"SBV",{"RSC ID","Tier";B2951,A2951}))</f>
        <v/>
      </c>
      <c r="AY2951" s="82" t="str">
        <f t="shared" si="2"/>
        <v/>
      </c>
      <c r="AZ2951" s="82"/>
      <c r="BA2951" s="84" t="s">
        <v>152</v>
      </c>
      <c r="BB2951" s="84" t="str">
        <f>IFERROR(__xludf.DUMMYFUNCTION("iferror(if(A2951="""",,E2951&gt;=FILTER(Constants!$F$2:$F$10,Constants!$A$2:$A$10=A2951)))"),"")</f>
        <v/>
      </c>
    </row>
    <row r="2952">
      <c r="A2952" s="89"/>
      <c r="B2952" s="87"/>
      <c r="C2952" s="73"/>
      <c r="D2952" s="73"/>
      <c r="E2952" s="82"/>
      <c r="F2952" s="82"/>
      <c r="G2952" s="86"/>
      <c r="H2952" s="86"/>
      <c r="I2952" s="86"/>
      <c r="J2952" s="82"/>
      <c r="K2952" s="82"/>
      <c r="L2952" s="82"/>
      <c r="M2952" s="82"/>
      <c r="N2952" s="82"/>
      <c r="O2952" s="82"/>
      <c r="P2952" s="82"/>
      <c r="Q2952" s="82"/>
      <c r="R2952" s="82"/>
      <c r="S2952" s="82"/>
      <c r="T2952" s="82"/>
      <c r="U2952" s="82"/>
      <c r="V2952" s="82"/>
      <c r="W2952" s="82"/>
      <c r="X2952" s="82"/>
      <c r="Y2952" s="82"/>
      <c r="Z2952" s="82"/>
      <c r="AA2952" s="82"/>
      <c r="AB2952" s="82"/>
      <c r="AC2952" s="82"/>
      <c r="AD2952" s="82"/>
      <c r="AE2952" s="82"/>
      <c r="AF2952" s="82"/>
      <c r="AG2952" s="82"/>
      <c r="AH2952" s="82"/>
      <c r="AI2952" s="82"/>
      <c r="AJ2952" s="82"/>
      <c r="AK2952" s="82"/>
      <c r="AL2952" s="82"/>
      <c r="AM2952" s="82"/>
      <c r="AN2952" s="82"/>
      <c r="AO2952" s="82"/>
      <c r="AP2952" s="82"/>
      <c r="AQ2952" s="82"/>
      <c r="AR2952" s="82"/>
      <c r="AS2952" s="82"/>
      <c r="AT2952" s="82"/>
      <c r="AU2952" s="82"/>
      <c r="AV2952" s="82"/>
      <c r="AW2952" s="82" t="str">
        <f t="shared" si="1"/>
        <v/>
      </c>
      <c r="AX2952" s="83" t="str">
        <f t="array" ref="AX2952">IFERROR(DGET('SBV Import'!A:G,"SBV",{"RSC ID","Tier";B2952,A2952}))</f>
        <v/>
      </c>
      <c r="AY2952" s="82" t="str">
        <f t="shared" si="2"/>
        <v/>
      </c>
      <c r="AZ2952" s="82"/>
      <c r="BA2952" s="84" t="s">
        <v>152</v>
      </c>
      <c r="BB2952" s="84" t="str">
        <f>IFERROR(__xludf.DUMMYFUNCTION("iferror(if(A2952="""",,E2952&gt;=FILTER(Constants!$F$2:$F$10,Constants!$A$2:$A$10=A2952)))"),"")</f>
        <v/>
      </c>
    </row>
    <row r="2953">
      <c r="A2953" s="89"/>
      <c r="B2953" s="87"/>
      <c r="C2953" s="73"/>
      <c r="D2953" s="73"/>
      <c r="E2953" s="82"/>
      <c r="F2953" s="82"/>
      <c r="G2953" s="86"/>
      <c r="H2953" s="86"/>
      <c r="I2953" s="86"/>
      <c r="J2953" s="82"/>
      <c r="K2953" s="82"/>
      <c r="L2953" s="82"/>
      <c r="M2953" s="82"/>
      <c r="N2953" s="82"/>
      <c r="O2953" s="82"/>
      <c r="P2953" s="82"/>
      <c r="Q2953" s="82"/>
      <c r="R2953" s="82"/>
      <c r="S2953" s="82"/>
      <c r="T2953" s="82"/>
      <c r="U2953" s="82"/>
      <c r="V2953" s="82"/>
      <c r="W2953" s="82"/>
      <c r="X2953" s="82"/>
      <c r="Y2953" s="82"/>
      <c r="Z2953" s="82"/>
      <c r="AA2953" s="82"/>
      <c r="AB2953" s="82"/>
      <c r="AC2953" s="82"/>
      <c r="AD2953" s="82"/>
      <c r="AE2953" s="82"/>
      <c r="AF2953" s="82"/>
      <c r="AG2953" s="82"/>
      <c r="AH2953" s="82"/>
      <c r="AI2953" s="82"/>
      <c r="AJ2953" s="82"/>
      <c r="AK2953" s="82"/>
      <c r="AL2953" s="82"/>
      <c r="AM2953" s="82"/>
      <c r="AN2953" s="82"/>
      <c r="AO2953" s="82"/>
      <c r="AP2953" s="82"/>
      <c r="AQ2953" s="82"/>
      <c r="AR2953" s="82"/>
      <c r="AS2953" s="82"/>
      <c r="AT2953" s="82"/>
      <c r="AU2953" s="82"/>
      <c r="AV2953" s="82"/>
      <c r="AW2953" s="82" t="str">
        <f t="shared" si="1"/>
        <v/>
      </c>
      <c r="AX2953" s="83" t="str">
        <f t="array" ref="AX2953">IFERROR(DGET('SBV Import'!A:G,"SBV",{"RSC ID","Tier";B2953,A2953}))</f>
        <v/>
      </c>
      <c r="AY2953" s="82" t="str">
        <f t="shared" si="2"/>
        <v/>
      </c>
      <c r="AZ2953" s="82"/>
      <c r="BA2953" s="84" t="s">
        <v>152</v>
      </c>
      <c r="BB2953" s="84" t="str">
        <f>IFERROR(__xludf.DUMMYFUNCTION("iferror(if(A2953="""",,E2953&gt;=FILTER(Constants!$F$2:$F$10,Constants!$A$2:$A$10=A2953)))"),"")</f>
        <v/>
      </c>
    </row>
    <row r="2954">
      <c r="A2954" s="89"/>
      <c r="B2954" s="87"/>
      <c r="C2954" s="73"/>
      <c r="D2954" s="73"/>
      <c r="E2954" s="82"/>
      <c r="F2954" s="82"/>
      <c r="G2954" s="86"/>
      <c r="H2954" s="86"/>
      <c r="I2954" s="86"/>
      <c r="J2954" s="82"/>
      <c r="K2954" s="82"/>
      <c r="L2954" s="82"/>
      <c r="M2954" s="82"/>
      <c r="N2954" s="82"/>
      <c r="O2954" s="82"/>
      <c r="P2954" s="82"/>
      <c r="Q2954" s="82"/>
      <c r="R2954" s="82"/>
      <c r="S2954" s="82"/>
      <c r="T2954" s="82"/>
      <c r="U2954" s="82"/>
      <c r="V2954" s="82"/>
      <c r="W2954" s="82"/>
      <c r="X2954" s="82"/>
      <c r="Y2954" s="82"/>
      <c r="Z2954" s="82"/>
      <c r="AA2954" s="82"/>
      <c r="AB2954" s="82"/>
      <c r="AC2954" s="82"/>
      <c r="AD2954" s="82"/>
      <c r="AE2954" s="82"/>
      <c r="AF2954" s="82"/>
      <c r="AG2954" s="82"/>
      <c r="AH2954" s="82"/>
      <c r="AI2954" s="82"/>
      <c r="AJ2954" s="82"/>
      <c r="AK2954" s="82"/>
      <c r="AL2954" s="82"/>
      <c r="AM2954" s="82"/>
      <c r="AN2954" s="82"/>
      <c r="AO2954" s="82"/>
      <c r="AP2954" s="82"/>
      <c r="AQ2954" s="82"/>
      <c r="AR2954" s="82"/>
      <c r="AS2954" s="82"/>
      <c r="AT2954" s="82"/>
      <c r="AU2954" s="82"/>
      <c r="AV2954" s="82"/>
      <c r="AW2954" s="82" t="str">
        <f t="shared" si="1"/>
        <v/>
      </c>
      <c r="AX2954" s="83" t="str">
        <f t="array" ref="AX2954">IFERROR(DGET('SBV Import'!A:G,"SBV",{"RSC ID","Tier";B2954,A2954}))</f>
        <v/>
      </c>
      <c r="AY2954" s="82" t="str">
        <f t="shared" si="2"/>
        <v/>
      </c>
      <c r="AZ2954" s="82"/>
      <c r="BA2954" s="84" t="s">
        <v>152</v>
      </c>
      <c r="BB2954" s="84" t="str">
        <f>IFERROR(__xludf.DUMMYFUNCTION("iferror(if(A2954="""",,E2954&gt;=FILTER(Constants!$F$2:$F$10,Constants!$A$2:$A$10=A2954)))"),"")</f>
        <v/>
      </c>
    </row>
    <row r="2955">
      <c r="A2955" s="89"/>
      <c r="B2955" s="87"/>
      <c r="C2955" s="73"/>
      <c r="D2955" s="73"/>
      <c r="E2955" s="82"/>
      <c r="F2955" s="82"/>
      <c r="G2955" s="86"/>
      <c r="H2955" s="86"/>
      <c r="I2955" s="86"/>
      <c r="J2955" s="82"/>
      <c r="K2955" s="82"/>
      <c r="L2955" s="82"/>
      <c r="M2955" s="82"/>
      <c r="N2955" s="82"/>
      <c r="O2955" s="82"/>
      <c r="P2955" s="82"/>
      <c r="Q2955" s="82"/>
      <c r="R2955" s="82"/>
      <c r="S2955" s="82"/>
      <c r="T2955" s="82"/>
      <c r="U2955" s="82"/>
      <c r="V2955" s="82"/>
      <c r="W2955" s="82"/>
      <c r="X2955" s="82"/>
      <c r="Y2955" s="82"/>
      <c r="Z2955" s="82"/>
      <c r="AA2955" s="82"/>
      <c r="AB2955" s="82"/>
      <c r="AC2955" s="82"/>
      <c r="AD2955" s="82"/>
      <c r="AE2955" s="82"/>
      <c r="AF2955" s="82"/>
      <c r="AG2955" s="82"/>
      <c r="AH2955" s="82"/>
      <c r="AI2955" s="82"/>
      <c r="AJ2955" s="82"/>
      <c r="AK2955" s="82"/>
      <c r="AL2955" s="82"/>
      <c r="AM2955" s="82"/>
      <c r="AN2955" s="82"/>
      <c r="AO2955" s="82"/>
      <c r="AP2955" s="82"/>
      <c r="AQ2955" s="82"/>
      <c r="AR2955" s="82"/>
      <c r="AS2955" s="82"/>
      <c r="AT2955" s="82"/>
      <c r="AU2955" s="82"/>
      <c r="AV2955" s="82"/>
      <c r="AW2955" s="82" t="str">
        <f t="shared" si="1"/>
        <v/>
      </c>
      <c r="AX2955" s="83" t="str">
        <f t="array" ref="AX2955">IFERROR(DGET('SBV Import'!A:G,"SBV",{"RSC ID","Tier";B2955,A2955}))</f>
        <v/>
      </c>
      <c r="AY2955" s="82" t="str">
        <f t="shared" si="2"/>
        <v/>
      </c>
      <c r="AZ2955" s="82"/>
      <c r="BA2955" s="84" t="s">
        <v>152</v>
      </c>
      <c r="BB2955" s="84" t="str">
        <f>IFERROR(__xludf.DUMMYFUNCTION("iferror(if(A2955="""",,E2955&gt;=FILTER(Constants!$F$2:$F$10,Constants!$A$2:$A$10=A2955)))"),"")</f>
        <v/>
      </c>
    </row>
    <row r="2956">
      <c r="A2956" s="89"/>
      <c r="B2956" s="87"/>
      <c r="C2956" s="73"/>
      <c r="D2956" s="73"/>
      <c r="E2956" s="82"/>
      <c r="F2956" s="82"/>
      <c r="G2956" s="86"/>
      <c r="H2956" s="86"/>
      <c r="I2956" s="86"/>
      <c r="J2956" s="82"/>
      <c r="K2956" s="82"/>
      <c r="L2956" s="82"/>
      <c r="M2956" s="82"/>
      <c r="N2956" s="82"/>
      <c r="O2956" s="82"/>
      <c r="P2956" s="82"/>
      <c r="Q2956" s="82"/>
      <c r="R2956" s="82"/>
      <c r="S2956" s="82"/>
      <c r="T2956" s="82"/>
      <c r="U2956" s="82"/>
      <c r="V2956" s="82"/>
      <c r="W2956" s="82"/>
      <c r="X2956" s="82"/>
      <c r="Y2956" s="82"/>
      <c r="Z2956" s="82"/>
      <c r="AA2956" s="82"/>
      <c r="AB2956" s="82"/>
      <c r="AC2956" s="82"/>
      <c r="AD2956" s="82"/>
      <c r="AE2956" s="82"/>
      <c r="AF2956" s="82"/>
      <c r="AG2956" s="82"/>
      <c r="AH2956" s="82"/>
      <c r="AI2956" s="82"/>
      <c r="AJ2956" s="82"/>
      <c r="AK2956" s="82"/>
      <c r="AL2956" s="82"/>
      <c r="AM2956" s="82"/>
      <c r="AN2956" s="82"/>
      <c r="AO2956" s="82"/>
      <c r="AP2956" s="82"/>
      <c r="AQ2956" s="82"/>
      <c r="AR2956" s="82"/>
      <c r="AS2956" s="82"/>
      <c r="AT2956" s="82"/>
      <c r="AU2956" s="82"/>
      <c r="AV2956" s="82"/>
      <c r="AW2956" s="82" t="str">
        <f t="shared" si="1"/>
        <v/>
      </c>
      <c r="AX2956" s="83" t="str">
        <f t="array" ref="AX2956">IFERROR(DGET('SBV Import'!A:G,"SBV",{"RSC ID","Tier";B2956,A2956}))</f>
        <v/>
      </c>
      <c r="AY2956" s="82" t="str">
        <f t="shared" si="2"/>
        <v/>
      </c>
      <c r="AZ2956" s="82"/>
      <c r="BA2956" s="84" t="s">
        <v>152</v>
      </c>
      <c r="BB2956" s="84" t="str">
        <f>IFERROR(__xludf.DUMMYFUNCTION("iferror(if(A2956="""",,E2956&gt;=FILTER(Constants!$F$2:$F$10,Constants!$A$2:$A$10=A2956)))"),"")</f>
        <v/>
      </c>
    </row>
    <row r="2957">
      <c r="A2957" s="89"/>
      <c r="B2957" s="87"/>
      <c r="C2957" s="73"/>
      <c r="D2957" s="73"/>
      <c r="E2957" s="82"/>
      <c r="F2957" s="82"/>
      <c r="G2957" s="86"/>
      <c r="H2957" s="86"/>
      <c r="I2957" s="86"/>
      <c r="J2957" s="82"/>
      <c r="K2957" s="82"/>
      <c r="L2957" s="82"/>
      <c r="M2957" s="82"/>
      <c r="N2957" s="82"/>
      <c r="O2957" s="82"/>
      <c r="P2957" s="82"/>
      <c r="Q2957" s="82"/>
      <c r="R2957" s="82"/>
      <c r="S2957" s="82"/>
      <c r="T2957" s="82"/>
      <c r="U2957" s="82"/>
      <c r="V2957" s="82"/>
      <c r="W2957" s="82"/>
      <c r="X2957" s="82"/>
      <c r="Y2957" s="82"/>
      <c r="Z2957" s="82"/>
      <c r="AA2957" s="82"/>
      <c r="AB2957" s="82"/>
      <c r="AC2957" s="82"/>
      <c r="AD2957" s="82"/>
      <c r="AE2957" s="82"/>
      <c r="AF2957" s="82"/>
      <c r="AG2957" s="82"/>
      <c r="AH2957" s="82"/>
      <c r="AI2957" s="82"/>
      <c r="AJ2957" s="82"/>
      <c r="AK2957" s="82"/>
      <c r="AL2957" s="82"/>
      <c r="AM2957" s="82"/>
      <c r="AN2957" s="82"/>
      <c r="AO2957" s="82"/>
      <c r="AP2957" s="82"/>
      <c r="AQ2957" s="82"/>
      <c r="AR2957" s="82"/>
      <c r="AS2957" s="82"/>
      <c r="AT2957" s="82"/>
      <c r="AU2957" s="82"/>
      <c r="AV2957" s="82"/>
      <c r="AW2957" s="82" t="str">
        <f t="shared" si="1"/>
        <v/>
      </c>
      <c r="AX2957" s="83" t="str">
        <f t="array" ref="AX2957">IFERROR(DGET('SBV Import'!A:G,"SBV",{"RSC ID","Tier";B2957,A2957}))</f>
        <v/>
      </c>
      <c r="AY2957" s="82" t="str">
        <f t="shared" si="2"/>
        <v/>
      </c>
      <c r="AZ2957" s="82"/>
      <c r="BA2957" s="84" t="s">
        <v>152</v>
      </c>
      <c r="BB2957" s="84" t="str">
        <f>IFERROR(__xludf.DUMMYFUNCTION("iferror(if(A2957="""",,E2957&gt;=FILTER(Constants!$F$2:$F$10,Constants!$A$2:$A$10=A2957)))"),"")</f>
        <v/>
      </c>
    </row>
    <row r="2958">
      <c r="A2958" s="89"/>
      <c r="B2958" s="87"/>
      <c r="C2958" s="73"/>
      <c r="D2958" s="73"/>
      <c r="E2958" s="82"/>
      <c r="F2958" s="82"/>
      <c r="G2958" s="86"/>
      <c r="H2958" s="86"/>
      <c r="I2958" s="86"/>
      <c r="J2958" s="82"/>
      <c r="K2958" s="82"/>
      <c r="L2958" s="82"/>
      <c r="M2958" s="82"/>
      <c r="N2958" s="82"/>
      <c r="O2958" s="82"/>
      <c r="P2958" s="82"/>
      <c r="Q2958" s="82"/>
      <c r="R2958" s="82"/>
      <c r="S2958" s="82"/>
      <c r="T2958" s="82"/>
      <c r="U2958" s="82"/>
      <c r="V2958" s="82"/>
      <c r="W2958" s="82"/>
      <c r="X2958" s="82"/>
      <c r="Y2958" s="82"/>
      <c r="Z2958" s="82"/>
      <c r="AA2958" s="82"/>
      <c r="AB2958" s="82"/>
      <c r="AC2958" s="82"/>
      <c r="AD2958" s="82"/>
      <c r="AE2958" s="82"/>
      <c r="AF2958" s="82"/>
      <c r="AG2958" s="82"/>
      <c r="AH2958" s="82"/>
      <c r="AI2958" s="82"/>
      <c r="AJ2958" s="82"/>
      <c r="AK2958" s="82"/>
      <c r="AL2958" s="82"/>
      <c r="AM2958" s="82"/>
      <c r="AN2958" s="82"/>
      <c r="AO2958" s="82"/>
      <c r="AP2958" s="82"/>
      <c r="AQ2958" s="82"/>
      <c r="AR2958" s="82"/>
      <c r="AS2958" s="82"/>
      <c r="AT2958" s="82"/>
      <c r="AU2958" s="82"/>
      <c r="AV2958" s="82"/>
      <c r="AW2958" s="82" t="str">
        <f t="shared" si="1"/>
        <v/>
      </c>
      <c r="AX2958" s="83" t="str">
        <f t="array" ref="AX2958">IFERROR(DGET('SBV Import'!A:G,"SBV",{"RSC ID","Tier";B2958,A2958}))</f>
        <v/>
      </c>
      <c r="AY2958" s="82" t="str">
        <f t="shared" si="2"/>
        <v/>
      </c>
      <c r="AZ2958" s="82"/>
      <c r="BA2958" s="84" t="s">
        <v>152</v>
      </c>
      <c r="BB2958" s="84" t="str">
        <f>IFERROR(__xludf.DUMMYFUNCTION("iferror(if(A2958="""",,E2958&gt;=FILTER(Constants!$F$2:$F$10,Constants!$A$2:$A$10=A2958)))"),"")</f>
        <v/>
      </c>
    </row>
    <row r="2959">
      <c r="A2959" s="89"/>
      <c r="B2959" s="87"/>
      <c r="C2959" s="73"/>
      <c r="D2959" s="73"/>
      <c r="E2959" s="82"/>
      <c r="F2959" s="82"/>
      <c r="G2959" s="86"/>
      <c r="H2959" s="86"/>
      <c r="I2959" s="86"/>
      <c r="J2959" s="82"/>
      <c r="K2959" s="82"/>
      <c r="L2959" s="82"/>
      <c r="M2959" s="82"/>
      <c r="N2959" s="82"/>
      <c r="O2959" s="82"/>
      <c r="P2959" s="82"/>
      <c r="Q2959" s="82"/>
      <c r="R2959" s="82"/>
      <c r="S2959" s="82"/>
      <c r="T2959" s="82"/>
      <c r="U2959" s="82"/>
      <c r="V2959" s="82"/>
      <c r="W2959" s="82"/>
      <c r="X2959" s="82"/>
      <c r="Y2959" s="82"/>
      <c r="Z2959" s="82"/>
      <c r="AA2959" s="82"/>
      <c r="AB2959" s="82"/>
      <c r="AC2959" s="82"/>
      <c r="AD2959" s="82"/>
      <c r="AE2959" s="82"/>
      <c r="AF2959" s="82"/>
      <c r="AG2959" s="82"/>
      <c r="AH2959" s="82"/>
      <c r="AI2959" s="82"/>
      <c r="AJ2959" s="82"/>
      <c r="AK2959" s="82"/>
      <c r="AL2959" s="82"/>
      <c r="AM2959" s="82"/>
      <c r="AN2959" s="82"/>
      <c r="AO2959" s="82"/>
      <c r="AP2959" s="82"/>
      <c r="AQ2959" s="82"/>
      <c r="AR2959" s="82"/>
      <c r="AS2959" s="82"/>
      <c r="AT2959" s="82"/>
      <c r="AU2959" s="82"/>
      <c r="AV2959" s="82"/>
      <c r="AW2959" s="82" t="str">
        <f t="shared" si="1"/>
        <v/>
      </c>
      <c r="AX2959" s="83" t="str">
        <f t="array" ref="AX2959">IFERROR(DGET('SBV Import'!A:G,"SBV",{"RSC ID","Tier";B2959,A2959}))</f>
        <v/>
      </c>
      <c r="AY2959" s="82" t="str">
        <f t="shared" si="2"/>
        <v/>
      </c>
      <c r="AZ2959" s="82"/>
      <c r="BA2959" s="84" t="s">
        <v>152</v>
      </c>
      <c r="BB2959" s="84" t="str">
        <f>IFERROR(__xludf.DUMMYFUNCTION("iferror(if(A2959="""",,E2959&gt;=FILTER(Constants!$F$2:$F$10,Constants!$A$2:$A$10=A2959)))"),"")</f>
        <v/>
      </c>
    </row>
    <row r="2960">
      <c r="A2960" s="89"/>
      <c r="B2960" s="87"/>
      <c r="C2960" s="73"/>
      <c r="D2960" s="73"/>
      <c r="E2960" s="82"/>
      <c r="F2960" s="82"/>
      <c r="G2960" s="86"/>
      <c r="H2960" s="86"/>
      <c r="I2960" s="86"/>
      <c r="J2960" s="82"/>
      <c r="K2960" s="82"/>
      <c r="L2960" s="82"/>
      <c r="M2960" s="82"/>
      <c r="N2960" s="82"/>
      <c r="O2960" s="82"/>
      <c r="P2960" s="82"/>
      <c r="Q2960" s="82"/>
      <c r="R2960" s="82"/>
      <c r="S2960" s="82"/>
      <c r="T2960" s="82"/>
      <c r="U2960" s="82"/>
      <c r="V2960" s="82"/>
      <c r="W2960" s="82"/>
      <c r="X2960" s="82"/>
      <c r="Y2960" s="82"/>
      <c r="Z2960" s="82"/>
      <c r="AA2960" s="82"/>
      <c r="AB2960" s="82"/>
      <c r="AC2960" s="82"/>
      <c r="AD2960" s="82"/>
      <c r="AE2960" s="82"/>
      <c r="AF2960" s="82"/>
      <c r="AG2960" s="82"/>
      <c r="AH2960" s="82"/>
      <c r="AI2960" s="82"/>
      <c r="AJ2960" s="82"/>
      <c r="AK2960" s="82"/>
      <c r="AL2960" s="82"/>
      <c r="AM2960" s="82"/>
      <c r="AN2960" s="82"/>
      <c r="AO2960" s="82"/>
      <c r="AP2960" s="82"/>
      <c r="AQ2960" s="82"/>
      <c r="AR2960" s="82"/>
      <c r="AS2960" s="82"/>
      <c r="AT2960" s="82"/>
      <c r="AU2960" s="82"/>
      <c r="AV2960" s="82"/>
      <c r="AW2960" s="82" t="str">
        <f t="shared" si="1"/>
        <v/>
      </c>
      <c r="AX2960" s="83" t="str">
        <f t="array" ref="AX2960">IFERROR(DGET('SBV Import'!A:G,"SBV",{"RSC ID","Tier";B2960,A2960}))</f>
        <v/>
      </c>
      <c r="AY2960" s="82" t="str">
        <f t="shared" si="2"/>
        <v/>
      </c>
      <c r="AZ2960" s="82"/>
      <c r="BA2960" s="84" t="s">
        <v>152</v>
      </c>
      <c r="BB2960" s="84" t="str">
        <f>IFERROR(__xludf.DUMMYFUNCTION("iferror(if(A2960="""",,E2960&gt;=FILTER(Constants!$F$2:$F$10,Constants!$A$2:$A$10=A2960)))"),"")</f>
        <v/>
      </c>
    </row>
    <row r="2961">
      <c r="A2961" s="89"/>
      <c r="B2961" s="87"/>
      <c r="C2961" s="73"/>
      <c r="D2961" s="73"/>
      <c r="E2961" s="82"/>
      <c r="F2961" s="82"/>
      <c r="G2961" s="86"/>
      <c r="H2961" s="86"/>
      <c r="I2961" s="86"/>
      <c r="J2961" s="82"/>
      <c r="K2961" s="82"/>
      <c r="L2961" s="82"/>
      <c r="M2961" s="82"/>
      <c r="N2961" s="82"/>
      <c r="O2961" s="82"/>
      <c r="P2961" s="82"/>
      <c r="Q2961" s="82"/>
      <c r="R2961" s="82"/>
      <c r="S2961" s="82"/>
      <c r="T2961" s="82"/>
      <c r="U2961" s="82"/>
      <c r="V2961" s="82"/>
      <c r="W2961" s="82"/>
      <c r="X2961" s="82"/>
      <c r="Y2961" s="82"/>
      <c r="Z2961" s="82"/>
      <c r="AA2961" s="82"/>
      <c r="AB2961" s="82"/>
      <c r="AC2961" s="82"/>
      <c r="AD2961" s="82"/>
      <c r="AE2961" s="82"/>
      <c r="AF2961" s="82"/>
      <c r="AG2961" s="82"/>
      <c r="AH2961" s="82"/>
      <c r="AI2961" s="82"/>
      <c r="AJ2961" s="82"/>
      <c r="AK2961" s="82"/>
      <c r="AL2961" s="82"/>
      <c r="AM2961" s="82"/>
      <c r="AN2961" s="82"/>
      <c r="AO2961" s="82"/>
      <c r="AP2961" s="82"/>
      <c r="AQ2961" s="82"/>
      <c r="AR2961" s="82"/>
      <c r="AS2961" s="82"/>
      <c r="AT2961" s="82"/>
      <c r="AU2961" s="82"/>
      <c r="AV2961" s="82"/>
      <c r="AW2961" s="82" t="str">
        <f t="shared" si="1"/>
        <v/>
      </c>
      <c r="AX2961" s="83" t="str">
        <f t="array" ref="AX2961">IFERROR(DGET('SBV Import'!A:G,"SBV",{"RSC ID","Tier";B2961,A2961}))</f>
        <v/>
      </c>
      <c r="AY2961" s="82" t="str">
        <f t="shared" si="2"/>
        <v/>
      </c>
      <c r="AZ2961" s="82"/>
      <c r="BA2961" s="84" t="s">
        <v>152</v>
      </c>
      <c r="BB2961" s="84" t="str">
        <f>IFERROR(__xludf.DUMMYFUNCTION("iferror(if(A2961="""",,E2961&gt;=FILTER(Constants!$F$2:$F$10,Constants!$A$2:$A$10=A2961)))"),"")</f>
        <v/>
      </c>
    </row>
    <row r="2962">
      <c r="A2962" s="89"/>
      <c r="B2962" s="87"/>
      <c r="C2962" s="73"/>
      <c r="D2962" s="73"/>
      <c r="E2962" s="82"/>
      <c r="F2962" s="82"/>
      <c r="G2962" s="86"/>
      <c r="H2962" s="86"/>
      <c r="I2962" s="86"/>
      <c r="J2962" s="82"/>
      <c r="K2962" s="82"/>
      <c r="L2962" s="82"/>
      <c r="M2962" s="82"/>
      <c r="N2962" s="82"/>
      <c r="O2962" s="82"/>
      <c r="P2962" s="82"/>
      <c r="Q2962" s="82"/>
      <c r="R2962" s="82"/>
      <c r="S2962" s="82"/>
      <c r="T2962" s="82"/>
      <c r="U2962" s="82"/>
      <c r="V2962" s="82"/>
      <c r="W2962" s="82"/>
      <c r="X2962" s="82"/>
      <c r="Y2962" s="82"/>
      <c r="Z2962" s="82"/>
      <c r="AA2962" s="82"/>
      <c r="AB2962" s="82"/>
      <c r="AC2962" s="82"/>
      <c r="AD2962" s="82"/>
      <c r="AE2962" s="82"/>
      <c r="AF2962" s="82"/>
      <c r="AG2962" s="82"/>
      <c r="AH2962" s="82"/>
      <c r="AI2962" s="82"/>
      <c r="AJ2962" s="82"/>
      <c r="AK2962" s="82"/>
      <c r="AL2962" s="82"/>
      <c r="AM2962" s="82"/>
      <c r="AN2962" s="82"/>
      <c r="AO2962" s="82"/>
      <c r="AP2962" s="82"/>
      <c r="AQ2962" s="82"/>
      <c r="AR2962" s="82"/>
      <c r="AS2962" s="82"/>
      <c r="AT2962" s="82"/>
      <c r="AU2962" s="82"/>
      <c r="AV2962" s="82"/>
      <c r="AW2962" s="82" t="str">
        <f t="shared" si="1"/>
        <v/>
      </c>
      <c r="AX2962" s="83" t="str">
        <f t="array" ref="AX2962">IFERROR(DGET('SBV Import'!A:G,"SBV",{"RSC ID","Tier";B2962,A2962}))</f>
        <v/>
      </c>
      <c r="AY2962" s="82" t="str">
        <f t="shared" si="2"/>
        <v/>
      </c>
      <c r="AZ2962" s="82"/>
      <c r="BA2962" s="84" t="s">
        <v>152</v>
      </c>
      <c r="BB2962" s="84" t="str">
        <f>IFERROR(__xludf.DUMMYFUNCTION("iferror(if(A2962="""",,E2962&gt;=FILTER(Constants!$F$2:$F$10,Constants!$A$2:$A$10=A2962)))"),"")</f>
        <v/>
      </c>
    </row>
    <row r="2963">
      <c r="A2963" s="89"/>
      <c r="B2963" s="87"/>
      <c r="C2963" s="73"/>
      <c r="D2963" s="73"/>
      <c r="E2963" s="82"/>
      <c r="F2963" s="82"/>
      <c r="G2963" s="86"/>
      <c r="H2963" s="86"/>
      <c r="I2963" s="86"/>
      <c r="J2963" s="82"/>
      <c r="K2963" s="82"/>
      <c r="L2963" s="82"/>
      <c r="M2963" s="82"/>
      <c r="N2963" s="82"/>
      <c r="O2963" s="82"/>
      <c r="P2963" s="82"/>
      <c r="Q2963" s="82"/>
      <c r="R2963" s="82"/>
      <c r="S2963" s="82"/>
      <c r="T2963" s="82"/>
      <c r="U2963" s="82"/>
      <c r="V2963" s="82"/>
      <c r="W2963" s="82"/>
      <c r="X2963" s="82"/>
      <c r="Y2963" s="82"/>
      <c r="Z2963" s="82"/>
      <c r="AA2963" s="82"/>
      <c r="AB2963" s="82"/>
      <c r="AC2963" s="82"/>
      <c r="AD2963" s="82"/>
      <c r="AE2963" s="82"/>
      <c r="AF2963" s="82"/>
      <c r="AG2963" s="82"/>
      <c r="AH2963" s="82"/>
      <c r="AI2963" s="82"/>
      <c r="AJ2963" s="82"/>
      <c r="AK2963" s="82"/>
      <c r="AL2963" s="82"/>
      <c r="AM2963" s="82"/>
      <c r="AN2963" s="82"/>
      <c r="AO2963" s="82"/>
      <c r="AP2963" s="82"/>
      <c r="AQ2963" s="82"/>
      <c r="AR2963" s="82"/>
      <c r="AS2963" s="82"/>
      <c r="AT2963" s="82"/>
      <c r="AU2963" s="82"/>
      <c r="AV2963" s="82"/>
      <c r="AW2963" s="82" t="str">
        <f t="shared" si="1"/>
        <v/>
      </c>
      <c r="AX2963" s="83" t="str">
        <f t="array" ref="AX2963">IFERROR(DGET('SBV Import'!A:G,"SBV",{"RSC ID","Tier";B2963,A2963}))</f>
        <v/>
      </c>
      <c r="AY2963" s="82" t="str">
        <f t="shared" si="2"/>
        <v/>
      </c>
      <c r="AZ2963" s="82"/>
      <c r="BA2963" s="84" t="s">
        <v>152</v>
      </c>
      <c r="BB2963" s="84" t="str">
        <f>IFERROR(__xludf.DUMMYFUNCTION("iferror(if(A2963="""",,E2963&gt;=FILTER(Constants!$F$2:$F$10,Constants!$A$2:$A$10=A2963)))"),"")</f>
        <v/>
      </c>
    </row>
    <row r="2964">
      <c r="A2964" s="89"/>
      <c r="B2964" s="87"/>
      <c r="C2964" s="73"/>
      <c r="D2964" s="73"/>
      <c r="E2964" s="82"/>
      <c r="F2964" s="82"/>
      <c r="G2964" s="86"/>
      <c r="H2964" s="86"/>
      <c r="I2964" s="86"/>
      <c r="J2964" s="82"/>
      <c r="K2964" s="82"/>
      <c r="L2964" s="82"/>
      <c r="M2964" s="82"/>
      <c r="N2964" s="82"/>
      <c r="O2964" s="82"/>
      <c r="P2964" s="82"/>
      <c r="Q2964" s="82"/>
      <c r="R2964" s="82"/>
      <c r="S2964" s="82"/>
      <c r="T2964" s="82"/>
      <c r="U2964" s="82"/>
      <c r="V2964" s="82"/>
      <c r="W2964" s="82"/>
      <c r="X2964" s="82"/>
      <c r="Y2964" s="82"/>
      <c r="Z2964" s="82"/>
      <c r="AA2964" s="82"/>
      <c r="AB2964" s="82"/>
      <c r="AC2964" s="82"/>
      <c r="AD2964" s="82"/>
      <c r="AE2964" s="82"/>
      <c r="AF2964" s="82"/>
      <c r="AG2964" s="82"/>
      <c r="AH2964" s="82"/>
      <c r="AI2964" s="82"/>
      <c r="AJ2964" s="82"/>
      <c r="AK2964" s="82"/>
      <c r="AL2964" s="82"/>
      <c r="AM2964" s="82"/>
      <c r="AN2964" s="82"/>
      <c r="AO2964" s="82"/>
      <c r="AP2964" s="82"/>
      <c r="AQ2964" s="82"/>
      <c r="AR2964" s="82"/>
      <c r="AS2964" s="82"/>
      <c r="AT2964" s="82"/>
      <c r="AU2964" s="82"/>
      <c r="AV2964" s="82"/>
      <c r="AW2964" s="82" t="str">
        <f t="shared" si="1"/>
        <v/>
      </c>
      <c r="AX2964" s="83" t="str">
        <f t="array" ref="AX2964">IFERROR(DGET('SBV Import'!A:G,"SBV",{"RSC ID","Tier";B2964,A2964}))</f>
        <v/>
      </c>
      <c r="AY2964" s="82" t="str">
        <f t="shared" si="2"/>
        <v/>
      </c>
      <c r="AZ2964" s="82"/>
      <c r="BA2964" s="84" t="s">
        <v>152</v>
      </c>
      <c r="BB2964" s="84" t="str">
        <f>IFERROR(__xludf.DUMMYFUNCTION("iferror(if(A2964="""",,E2964&gt;=FILTER(Constants!$F$2:$F$10,Constants!$A$2:$A$10=A2964)))"),"")</f>
        <v/>
      </c>
    </row>
    <row r="2965">
      <c r="A2965" s="89"/>
      <c r="B2965" s="87"/>
      <c r="C2965" s="73"/>
      <c r="D2965" s="73"/>
      <c r="E2965" s="82"/>
      <c r="F2965" s="82"/>
      <c r="G2965" s="86"/>
      <c r="H2965" s="86"/>
      <c r="I2965" s="86"/>
      <c r="J2965" s="82"/>
      <c r="K2965" s="82"/>
      <c r="L2965" s="82"/>
      <c r="M2965" s="82"/>
      <c r="N2965" s="82"/>
      <c r="O2965" s="82"/>
      <c r="P2965" s="82"/>
      <c r="Q2965" s="82"/>
      <c r="R2965" s="82"/>
      <c r="S2965" s="82"/>
      <c r="T2965" s="82"/>
      <c r="U2965" s="82"/>
      <c r="V2965" s="82"/>
      <c r="W2965" s="82"/>
      <c r="X2965" s="82"/>
      <c r="Y2965" s="82"/>
      <c r="Z2965" s="82"/>
      <c r="AA2965" s="82"/>
      <c r="AB2965" s="82"/>
      <c r="AC2965" s="82"/>
      <c r="AD2965" s="82"/>
      <c r="AE2965" s="82"/>
      <c r="AF2965" s="82"/>
      <c r="AG2965" s="82"/>
      <c r="AH2965" s="82"/>
      <c r="AI2965" s="82"/>
      <c r="AJ2965" s="82"/>
      <c r="AK2965" s="82"/>
      <c r="AL2965" s="82"/>
      <c r="AM2965" s="82"/>
      <c r="AN2965" s="82"/>
      <c r="AO2965" s="82"/>
      <c r="AP2965" s="82"/>
      <c r="AQ2965" s="82"/>
      <c r="AR2965" s="82"/>
      <c r="AS2965" s="82"/>
      <c r="AT2965" s="82"/>
      <c r="AU2965" s="82"/>
      <c r="AV2965" s="82"/>
      <c r="AW2965" s="82" t="str">
        <f t="shared" si="1"/>
        <v/>
      </c>
      <c r="AX2965" s="83" t="str">
        <f t="array" ref="AX2965">IFERROR(DGET('SBV Import'!A:G,"SBV",{"RSC ID","Tier";B2965,A2965}))</f>
        <v/>
      </c>
      <c r="AY2965" s="82" t="str">
        <f t="shared" si="2"/>
        <v/>
      </c>
      <c r="AZ2965" s="82"/>
      <c r="BA2965" s="84" t="s">
        <v>152</v>
      </c>
      <c r="BB2965" s="84" t="str">
        <f>IFERROR(__xludf.DUMMYFUNCTION("iferror(if(A2965="""",,E2965&gt;=FILTER(Constants!$F$2:$F$10,Constants!$A$2:$A$10=A2965)))"),"")</f>
        <v/>
      </c>
    </row>
    <row r="2966">
      <c r="A2966" s="89"/>
      <c r="B2966" s="87"/>
      <c r="C2966" s="73"/>
      <c r="D2966" s="73"/>
      <c r="E2966" s="82"/>
      <c r="F2966" s="82"/>
      <c r="G2966" s="86"/>
      <c r="H2966" s="86"/>
      <c r="I2966" s="86"/>
      <c r="J2966" s="82"/>
      <c r="K2966" s="82"/>
      <c r="L2966" s="82"/>
      <c r="M2966" s="82"/>
      <c r="N2966" s="82"/>
      <c r="O2966" s="82"/>
      <c r="P2966" s="82"/>
      <c r="Q2966" s="82"/>
      <c r="R2966" s="82"/>
      <c r="S2966" s="82"/>
      <c r="T2966" s="82"/>
      <c r="U2966" s="82"/>
      <c r="V2966" s="82"/>
      <c r="W2966" s="82"/>
      <c r="X2966" s="82"/>
      <c r="Y2966" s="82"/>
      <c r="Z2966" s="82"/>
      <c r="AA2966" s="82"/>
      <c r="AB2966" s="82"/>
      <c r="AC2966" s="82"/>
      <c r="AD2966" s="82"/>
      <c r="AE2966" s="82"/>
      <c r="AF2966" s="82"/>
      <c r="AG2966" s="82"/>
      <c r="AH2966" s="82"/>
      <c r="AI2966" s="82"/>
      <c r="AJ2966" s="82"/>
      <c r="AK2966" s="82"/>
      <c r="AL2966" s="82"/>
      <c r="AM2966" s="82"/>
      <c r="AN2966" s="82"/>
      <c r="AO2966" s="82"/>
      <c r="AP2966" s="82"/>
      <c r="AQ2966" s="82"/>
      <c r="AR2966" s="82"/>
      <c r="AS2966" s="82"/>
      <c r="AT2966" s="82"/>
      <c r="AU2966" s="82"/>
      <c r="AV2966" s="82"/>
      <c r="AW2966" s="82" t="str">
        <f t="shared" si="1"/>
        <v/>
      </c>
      <c r="AX2966" s="83" t="str">
        <f t="array" ref="AX2966">IFERROR(DGET('SBV Import'!A:G,"SBV",{"RSC ID","Tier";B2966,A2966}))</f>
        <v/>
      </c>
      <c r="AY2966" s="82" t="str">
        <f t="shared" si="2"/>
        <v/>
      </c>
      <c r="AZ2966" s="82"/>
      <c r="BA2966" s="84" t="s">
        <v>152</v>
      </c>
      <c r="BB2966" s="84" t="str">
        <f>IFERROR(__xludf.DUMMYFUNCTION("iferror(if(A2966="""",,E2966&gt;=FILTER(Constants!$F$2:$F$10,Constants!$A$2:$A$10=A2966)))"),"")</f>
        <v/>
      </c>
    </row>
    <row r="2967">
      <c r="A2967" s="89"/>
      <c r="B2967" s="87"/>
      <c r="C2967" s="73"/>
      <c r="D2967" s="73"/>
      <c r="E2967" s="82"/>
      <c r="F2967" s="82"/>
      <c r="G2967" s="86"/>
      <c r="H2967" s="86"/>
      <c r="I2967" s="86"/>
      <c r="J2967" s="82"/>
      <c r="K2967" s="82"/>
      <c r="L2967" s="82"/>
      <c r="M2967" s="82"/>
      <c r="N2967" s="82"/>
      <c r="O2967" s="82"/>
      <c r="P2967" s="82"/>
      <c r="Q2967" s="82"/>
      <c r="R2967" s="82"/>
      <c r="S2967" s="82"/>
      <c r="T2967" s="82"/>
      <c r="U2967" s="82"/>
      <c r="V2967" s="82"/>
      <c r="W2967" s="82"/>
      <c r="X2967" s="82"/>
      <c r="Y2967" s="82"/>
      <c r="Z2967" s="82"/>
      <c r="AA2967" s="82"/>
      <c r="AB2967" s="82"/>
      <c r="AC2967" s="82"/>
      <c r="AD2967" s="82"/>
      <c r="AE2967" s="82"/>
      <c r="AF2967" s="82"/>
      <c r="AG2967" s="82"/>
      <c r="AH2967" s="82"/>
      <c r="AI2967" s="82"/>
      <c r="AJ2967" s="82"/>
      <c r="AK2967" s="82"/>
      <c r="AL2967" s="82"/>
      <c r="AM2967" s="82"/>
      <c r="AN2967" s="82"/>
      <c r="AO2967" s="82"/>
      <c r="AP2967" s="82"/>
      <c r="AQ2967" s="82"/>
      <c r="AR2967" s="82"/>
      <c r="AS2967" s="82"/>
      <c r="AT2967" s="82"/>
      <c r="AU2967" s="82"/>
      <c r="AV2967" s="82"/>
      <c r="AW2967" s="82" t="str">
        <f t="shared" si="1"/>
        <v/>
      </c>
      <c r="AX2967" s="83" t="str">
        <f t="array" ref="AX2967">IFERROR(DGET('SBV Import'!A:G,"SBV",{"RSC ID","Tier";B2967,A2967}))</f>
        <v/>
      </c>
      <c r="AY2967" s="82" t="str">
        <f t="shared" si="2"/>
        <v/>
      </c>
      <c r="AZ2967" s="82"/>
      <c r="BA2967" s="84" t="s">
        <v>152</v>
      </c>
      <c r="BB2967" s="84" t="str">
        <f>IFERROR(__xludf.DUMMYFUNCTION("iferror(if(A2967="""",,E2967&gt;=FILTER(Constants!$F$2:$F$10,Constants!$A$2:$A$10=A2967)))"),"")</f>
        <v/>
      </c>
    </row>
    <row r="2968">
      <c r="A2968" s="89"/>
      <c r="B2968" s="87"/>
      <c r="C2968" s="73"/>
      <c r="D2968" s="73"/>
      <c r="E2968" s="82"/>
      <c r="F2968" s="82"/>
      <c r="G2968" s="86"/>
      <c r="H2968" s="86"/>
      <c r="I2968" s="86"/>
      <c r="J2968" s="82"/>
      <c r="K2968" s="82"/>
      <c r="L2968" s="82"/>
      <c r="M2968" s="82"/>
      <c r="N2968" s="82"/>
      <c r="O2968" s="82"/>
      <c r="P2968" s="82"/>
      <c r="Q2968" s="82"/>
      <c r="R2968" s="82"/>
      <c r="S2968" s="82"/>
      <c r="T2968" s="82"/>
      <c r="U2968" s="82"/>
      <c r="V2968" s="82"/>
      <c r="W2968" s="82"/>
      <c r="X2968" s="82"/>
      <c r="Y2968" s="82"/>
      <c r="Z2968" s="82"/>
      <c r="AA2968" s="82"/>
      <c r="AB2968" s="82"/>
      <c r="AC2968" s="82"/>
      <c r="AD2968" s="82"/>
      <c r="AE2968" s="82"/>
      <c r="AF2968" s="82"/>
      <c r="AG2968" s="82"/>
      <c r="AH2968" s="82"/>
      <c r="AI2968" s="82"/>
      <c r="AJ2968" s="82"/>
      <c r="AK2968" s="82"/>
      <c r="AL2968" s="82"/>
      <c r="AM2968" s="82"/>
      <c r="AN2968" s="82"/>
      <c r="AO2968" s="82"/>
      <c r="AP2968" s="82"/>
      <c r="AQ2968" s="82"/>
      <c r="AR2968" s="82"/>
      <c r="AS2968" s="82"/>
      <c r="AT2968" s="82"/>
      <c r="AU2968" s="82"/>
      <c r="AV2968" s="82"/>
      <c r="AW2968" s="82" t="str">
        <f t="shared" si="1"/>
        <v/>
      </c>
      <c r="AX2968" s="83" t="str">
        <f t="array" ref="AX2968">IFERROR(DGET('SBV Import'!A:G,"SBV",{"RSC ID","Tier";B2968,A2968}))</f>
        <v/>
      </c>
      <c r="AY2968" s="82" t="str">
        <f t="shared" si="2"/>
        <v/>
      </c>
      <c r="AZ2968" s="82"/>
      <c r="BA2968" s="84" t="s">
        <v>152</v>
      </c>
      <c r="BB2968" s="84" t="str">
        <f>IFERROR(__xludf.DUMMYFUNCTION("iferror(if(A2968="""",,E2968&gt;=FILTER(Constants!$F$2:$F$10,Constants!$A$2:$A$10=A2968)))"),"")</f>
        <v/>
      </c>
    </row>
    <row r="2969">
      <c r="A2969" s="89"/>
      <c r="B2969" s="87"/>
      <c r="C2969" s="73"/>
      <c r="D2969" s="73"/>
      <c r="E2969" s="82"/>
      <c r="F2969" s="82"/>
      <c r="G2969" s="86"/>
      <c r="H2969" s="86"/>
      <c r="I2969" s="86"/>
      <c r="J2969" s="82"/>
      <c r="K2969" s="82"/>
      <c r="L2969" s="82"/>
      <c r="M2969" s="82"/>
      <c r="N2969" s="82"/>
      <c r="O2969" s="82"/>
      <c r="P2969" s="82"/>
      <c r="Q2969" s="82"/>
      <c r="R2969" s="82"/>
      <c r="S2969" s="82"/>
      <c r="T2969" s="82"/>
      <c r="U2969" s="82"/>
      <c r="V2969" s="82"/>
      <c r="W2969" s="82"/>
      <c r="X2969" s="82"/>
      <c r="Y2969" s="82"/>
      <c r="Z2969" s="82"/>
      <c r="AA2969" s="82"/>
      <c r="AB2969" s="82"/>
      <c r="AC2969" s="82"/>
      <c r="AD2969" s="82"/>
      <c r="AE2969" s="82"/>
      <c r="AF2969" s="82"/>
      <c r="AG2969" s="82"/>
      <c r="AH2969" s="82"/>
      <c r="AI2969" s="82"/>
      <c r="AJ2969" s="82"/>
      <c r="AK2969" s="82"/>
      <c r="AL2969" s="82"/>
      <c r="AM2969" s="82"/>
      <c r="AN2969" s="82"/>
      <c r="AO2969" s="82"/>
      <c r="AP2969" s="82"/>
      <c r="AQ2969" s="82"/>
      <c r="AR2969" s="82"/>
      <c r="AS2969" s="82"/>
      <c r="AT2969" s="82"/>
      <c r="AU2969" s="82"/>
      <c r="AV2969" s="82"/>
      <c r="AW2969" s="82" t="str">
        <f t="shared" si="1"/>
        <v/>
      </c>
      <c r="AX2969" s="83" t="str">
        <f t="array" ref="AX2969">IFERROR(DGET('SBV Import'!A:G,"SBV",{"RSC ID","Tier";B2969,A2969}))</f>
        <v/>
      </c>
      <c r="AY2969" s="82" t="str">
        <f t="shared" si="2"/>
        <v/>
      </c>
      <c r="AZ2969" s="82"/>
      <c r="BA2969" s="84" t="s">
        <v>152</v>
      </c>
      <c r="BB2969" s="84" t="str">
        <f>IFERROR(__xludf.DUMMYFUNCTION("iferror(if(A2969="""",,E2969&gt;=FILTER(Constants!$F$2:$F$10,Constants!$A$2:$A$10=A2969)))"),"")</f>
        <v/>
      </c>
    </row>
    <row r="2970">
      <c r="A2970" s="89"/>
      <c r="B2970" s="87"/>
      <c r="C2970" s="73"/>
      <c r="D2970" s="73"/>
      <c r="E2970" s="82"/>
      <c r="F2970" s="82"/>
      <c r="G2970" s="86"/>
      <c r="H2970" s="86"/>
      <c r="I2970" s="86"/>
      <c r="J2970" s="82"/>
      <c r="K2970" s="82"/>
      <c r="L2970" s="82"/>
      <c r="M2970" s="82"/>
      <c r="N2970" s="82"/>
      <c r="O2970" s="82"/>
      <c r="P2970" s="82"/>
      <c r="Q2970" s="82"/>
      <c r="R2970" s="82"/>
      <c r="S2970" s="82"/>
      <c r="T2970" s="82"/>
      <c r="U2970" s="82"/>
      <c r="V2970" s="82"/>
      <c r="W2970" s="82"/>
      <c r="X2970" s="82"/>
      <c r="Y2970" s="82"/>
      <c r="Z2970" s="82"/>
      <c r="AA2970" s="82"/>
      <c r="AB2970" s="82"/>
      <c r="AC2970" s="82"/>
      <c r="AD2970" s="82"/>
      <c r="AE2970" s="82"/>
      <c r="AF2970" s="82"/>
      <c r="AG2970" s="82"/>
      <c r="AH2970" s="82"/>
      <c r="AI2970" s="82"/>
      <c r="AJ2970" s="82"/>
      <c r="AK2970" s="82"/>
      <c r="AL2970" s="82"/>
      <c r="AM2970" s="82"/>
      <c r="AN2970" s="82"/>
      <c r="AO2970" s="82"/>
      <c r="AP2970" s="82"/>
      <c r="AQ2970" s="82"/>
      <c r="AR2970" s="82"/>
      <c r="AS2970" s="82"/>
      <c r="AT2970" s="82"/>
      <c r="AU2970" s="82"/>
      <c r="AV2970" s="82"/>
      <c r="AW2970" s="82" t="str">
        <f t="shared" si="1"/>
        <v/>
      </c>
      <c r="AX2970" s="83" t="str">
        <f t="array" ref="AX2970">IFERROR(DGET('SBV Import'!A:G,"SBV",{"RSC ID","Tier";B2970,A2970}))</f>
        <v/>
      </c>
      <c r="AY2970" s="82" t="str">
        <f t="shared" si="2"/>
        <v/>
      </c>
      <c r="AZ2970" s="82"/>
      <c r="BA2970" s="84" t="s">
        <v>152</v>
      </c>
      <c r="BB2970" s="84" t="str">
        <f>IFERROR(__xludf.DUMMYFUNCTION("iferror(if(A2970="""",,E2970&gt;=FILTER(Constants!$F$2:$F$10,Constants!$A$2:$A$10=A2970)))"),"")</f>
        <v/>
      </c>
    </row>
    <row r="2971">
      <c r="A2971" s="89"/>
      <c r="B2971" s="87"/>
      <c r="C2971" s="73"/>
      <c r="D2971" s="73"/>
      <c r="E2971" s="82"/>
      <c r="F2971" s="82"/>
      <c r="G2971" s="86"/>
      <c r="H2971" s="86"/>
      <c r="I2971" s="86"/>
      <c r="J2971" s="82"/>
      <c r="K2971" s="82"/>
      <c r="L2971" s="82"/>
      <c r="M2971" s="82"/>
      <c r="N2971" s="82"/>
      <c r="O2971" s="82"/>
      <c r="P2971" s="82"/>
      <c r="Q2971" s="82"/>
      <c r="R2971" s="82"/>
      <c r="S2971" s="82"/>
      <c r="T2971" s="82"/>
      <c r="U2971" s="82"/>
      <c r="V2971" s="82"/>
      <c r="W2971" s="82"/>
      <c r="X2971" s="82"/>
      <c r="Y2971" s="82"/>
      <c r="Z2971" s="82"/>
      <c r="AA2971" s="82"/>
      <c r="AB2971" s="82"/>
      <c r="AC2971" s="82"/>
      <c r="AD2971" s="82"/>
      <c r="AE2971" s="82"/>
      <c r="AF2971" s="82"/>
      <c r="AG2971" s="82"/>
      <c r="AH2971" s="82"/>
      <c r="AI2971" s="82"/>
      <c r="AJ2971" s="82"/>
      <c r="AK2971" s="82"/>
      <c r="AL2971" s="82"/>
      <c r="AM2971" s="82"/>
      <c r="AN2971" s="82"/>
      <c r="AO2971" s="82"/>
      <c r="AP2971" s="82"/>
      <c r="AQ2971" s="82"/>
      <c r="AR2971" s="82"/>
      <c r="AS2971" s="82"/>
      <c r="AT2971" s="82"/>
      <c r="AU2971" s="82"/>
      <c r="AV2971" s="82"/>
      <c r="AW2971" s="82" t="str">
        <f t="shared" si="1"/>
        <v/>
      </c>
      <c r="AX2971" s="83" t="str">
        <f t="array" ref="AX2971">IFERROR(DGET('SBV Import'!A:G,"SBV",{"RSC ID","Tier";B2971,A2971}))</f>
        <v/>
      </c>
      <c r="AY2971" s="82" t="str">
        <f t="shared" si="2"/>
        <v/>
      </c>
      <c r="AZ2971" s="82"/>
      <c r="BA2971" s="84" t="s">
        <v>152</v>
      </c>
      <c r="BB2971" s="84" t="str">
        <f>IFERROR(__xludf.DUMMYFUNCTION("iferror(if(A2971="""",,E2971&gt;=FILTER(Constants!$F$2:$F$10,Constants!$A$2:$A$10=A2971)))"),"")</f>
        <v/>
      </c>
    </row>
    <row r="2972">
      <c r="A2972" s="89"/>
      <c r="B2972" s="87"/>
      <c r="C2972" s="73"/>
      <c r="D2972" s="73"/>
      <c r="E2972" s="82"/>
      <c r="F2972" s="82"/>
      <c r="G2972" s="86"/>
      <c r="H2972" s="86"/>
      <c r="I2972" s="86"/>
      <c r="J2972" s="82"/>
      <c r="K2972" s="82"/>
      <c r="L2972" s="82"/>
      <c r="M2972" s="82"/>
      <c r="N2972" s="82"/>
      <c r="O2972" s="82"/>
      <c r="P2972" s="82"/>
      <c r="Q2972" s="82"/>
      <c r="R2972" s="82"/>
      <c r="S2972" s="82"/>
      <c r="T2972" s="82"/>
      <c r="U2972" s="82"/>
      <c r="V2972" s="82"/>
      <c r="W2972" s="82"/>
      <c r="X2972" s="82"/>
      <c r="Y2972" s="82"/>
      <c r="Z2972" s="82"/>
      <c r="AA2972" s="82"/>
      <c r="AB2972" s="82"/>
      <c r="AC2972" s="82"/>
      <c r="AD2972" s="82"/>
      <c r="AE2972" s="82"/>
      <c r="AF2972" s="82"/>
      <c r="AG2972" s="82"/>
      <c r="AH2972" s="82"/>
      <c r="AI2972" s="82"/>
      <c r="AJ2972" s="82"/>
      <c r="AK2972" s="82"/>
      <c r="AL2972" s="82"/>
      <c r="AM2972" s="82"/>
      <c r="AN2972" s="82"/>
      <c r="AO2972" s="82"/>
      <c r="AP2972" s="82"/>
      <c r="AQ2972" s="82"/>
      <c r="AR2972" s="82"/>
      <c r="AS2972" s="82"/>
      <c r="AT2972" s="82"/>
      <c r="AU2972" s="82"/>
      <c r="AV2972" s="82"/>
      <c r="AW2972" s="82" t="str">
        <f t="shared" si="1"/>
        <v/>
      </c>
      <c r="AX2972" s="83" t="str">
        <f t="array" ref="AX2972">IFERROR(DGET('SBV Import'!A:G,"SBV",{"RSC ID","Tier";B2972,A2972}))</f>
        <v/>
      </c>
      <c r="AY2972" s="82" t="str">
        <f t="shared" si="2"/>
        <v/>
      </c>
      <c r="AZ2972" s="82"/>
      <c r="BA2972" s="84" t="s">
        <v>152</v>
      </c>
      <c r="BB2972" s="84" t="str">
        <f>IFERROR(__xludf.DUMMYFUNCTION("iferror(if(A2972="""",,E2972&gt;=FILTER(Constants!$F$2:$F$10,Constants!$A$2:$A$10=A2972)))"),"")</f>
        <v/>
      </c>
    </row>
    <row r="2973">
      <c r="A2973" s="89"/>
      <c r="B2973" s="87"/>
      <c r="C2973" s="73"/>
      <c r="D2973" s="73"/>
      <c r="E2973" s="82"/>
      <c r="F2973" s="82"/>
      <c r="G2973" s="86"/>
      <c r="H2973" s="86"/>
      <c r="I2973" s="86"/>
      <c r="J2973" s="82"/>
      <c r="K2973" s="82"/>
      <c r="L2973" s="82"/>
      <c r="M2973" s="82"/>
      <c r="N2973" s="82"/>
      <c r="O2973" s="82"/>
      <c r="P2973" s="82"/>
      <c r="Q2973" s="82"/>
      <c r="R2973" s="82"/>
      <c r="S2973" s="82"/>
      <c r="T2973" s="82"/>
      <c r="U2973" s="82"/>
      <c r="V2973" s="82"/>
      <c r="W2973" s="82"/>
      <c r="X2973" s="82"/>
      <c r="Y2973" s="82"/>
      <c r="Z2973" s="82"/>
      <c r="AA2973" s="82"/>
      <c r="AB2973" s="82"/>
      <c r="AC2973" s="82"/>
      <c r="AD2973" s="82"/>
      <c r="AE2973" s="82"/>
      <c r="AF2973" s="82"/>
      <c r="AG2973" s="82"/>
      <c r="AH2973" s="82"/>
      <c r="AI2973" s="82"/>
      <c r="AJ2973" s="82"/>
      <c r="AK2973" s="82"/>
      <c r="AL2973" s="82"/>
      <c r="AM2973" s="82"/>
      <c r="AN2973" s="82"/>
      <c r="AO2973" s="82"/>
      <c r="AP2973" s="82"/>
      <c r="AQ2973" s="82"/>
      <c r="AR2973" s="82"/>
      <c r="AS2973" s="82"/>
      <c r="AT2973" s="82"/>
      <c r="AU2973" s="82"/>
      <c r="AV2973" s="82"/>
      <c r="AW2973" s="82" t="str">
        <f t="shared" si="1"/>
        <v/>
      </c>
      <c r="AX2973" s="83" t="str">
        <f t="array" ref="AX2973">IFERROR(DGET('SBV Import'!A:G,"SBV",{"RSC ID","Tier";B2973,A2973}))</f>
        <v/>
      </c>
      <c r="AY2973" s="82" t="str">
        <f t="shared" si="2"/>
        <v/>
      </c>
      <c r="AZ2973" s="82"/>
      <c r="BA2973" s="84" t="s">
        <v>152</v>
      </c>
      <c r="BB2973" s="84" t="str">
        <f>IFERROR(__xludf.DUMMYFUNCTION("iferror(if(A2973="""",,E2973&gt;=FILTER(Constants!$F$2:$F$10,Constants!$A$2:$A$10=A2973)))"),"")</f>
        <v/>
      </c>
    </row>
    <row r="2974">
      <c r="A2974" s="89"/>
      <c r="B2974" s="87"/>
      <c r="C2974" s="73"/>
      <c r="D2974" s="73"/>
      <c r="E2974" s="82"/>
      <c r="F2974" s="82"/>
      <c r="G2974" s="86"/>
      <c r="H2974" s="86"/>
      <c r="I2974" s="86"/>
      <c r="J2974" s="82"/>
      <c r="K2974" s="82"/>
      <c r="L2974" s="82"/>
      <c r="M2974" s="82"/>
      <c r="N2974" s="82"/>
      <c r="O2974" s="82"/>
      <c r="P2974" s="82"/>
      <c r="Q2974" s="82"/>
      <c r="R2974" s="82"/>
      <c r="S2974" s="82"/>
      <c r="T2974" s="82"/>
      <c r="U2974" s="82"/>
      <c r="V2974" s="82"/>
      <c r="W2974" s="82"/>
      <c r="X2974" s="82"/>
      <c r="Y2974" s="82"/>
      <c r="Z2974" s="82"/>
      <c r="AA2974" s="82"/>
      <c r="AB2974" s="82"/>
      <c r="AC2974" s="82"/>
      <c r="AD2974" s="82"/>
      <c r="AE2974" s="82"/>
      <c r="AF2974" s="82"/>
      <c r="AG2974" s="82"/>
      <c r="AH2974" s="82"/>
      <c r="AI2974" s="82"/>
      <c r="AJ2974" s="82"/>
      <c r="AK2974" s="82"/>
      <c r="AL2974" s="82"/>
      <c r="AM2974" s="82"/>
      <c r="AN2974" s="82"/>
      <c r="AO2974" s="82"/>
      <c r="AP2974" s="82"/>
      <c r="AQ2974" s="82"/>
      <c r="AR2974" s="82"/>
      <c r="AS2974" s="82"/>
      <c r="AT2974" s="82"/>
      <c r="AU2974" s="82"/>
      <c r="AV2974" s="82"/>
      <c r="AW2974" s="82" t="str">
        <f t="shared" si="1"/>
        <v/>
      </c>
      <c r="AX2974" s="83" t="str">
        <f t="array" ref="AX2974">IFERROR(DGET('SBV Import'!A:G,"SBV",{"RSC ID","Tier";B2974,A2974}))</f>
        <v/>
      </c>
      <c r="AY2974" s="82" t="str">
        <f t="shared" si="2"/>
        <v/>
      </c>
      <c r="AZ2974" s="82"/>
      <c r="BA2974" s="84" t="s">
        <v>152</v>
      </c>
      <c r="BB2974" s="84" t="str">
        <f>IFERROR(__xludf.DUMMYFUNCTION("iferror(if(A2974="""",,E2974&gt;=FILTER(Constants!$F$2:$F$10,Constants!$A$2:$A$10=A2974)))"),"")</f>
        <v/>
      </c>
    </row>
    <row r="2975">
      <c r="A2975" s="89"/>
      <c r="B2975" s="87"/>
      <c r="C2975" s="73"/>
      <c r="D2975" s="73"/>
      <c r="E2975" s="82"/>
      <c r="F2975" s="82"/>
      <c r="G2975" s="86"/>
      <c r="H2975" s="86"/>
      <c r="I2975" s="86"/>
      <c r="J2975" s="82"/>
      <c r="K2975" s="82"/>
      <c r="L2975" s="82"/>
      <c r="M2975" s="82"/>
      <c r="N2975" s="82"/>
      <c r="O2975" s="82"/>
      <c r="P2975" s="82"/>
      <c r="Q2975" s="82"/>
      <c r="R2975" s="82"/>
      <c r="S2975" s="82"/>
      <c r="T2975" s="82"/>
      <c r="U2975" s="82"/>
      <c r="V2975" s="82"/>
      <c r="W2975" s="82"/>
      <c r="X2975" s="82"/>
      <c r="Y2975" s="82"/>
      <c r="Z2975" s="82"/>
      <c r="AA2975" s="82"/>
      <c r="AB2975" s="82"/>
      <c r="AC2975" s="82"/>
      <c r="AD2975" s="82"/>
      <c r="AE2975" s="82"/>
      <c r="AF2975" s="82"/>
      <c r="AG2975" s="82"/>
      <c r="AH2975" s="82"/>
      <c r="AI2975" s="82"/>
      <c r="AJ2975" s="82"/>
      <c r="AK2975" s="82"/>
      <c r="AL2975" s="82"/>
      <c r="AM2975" s="82"/>
      <c r="AN2975" s="82"/>
      <c r="AO2975" s="82"/>
      <c r="AP2975" s="82"/>
      <c r="AQ2975" s="82"/>
      <c r="AR2975" s="82"/>
      <c r="AS2975" s="82"/>
      <c r="AT2975" s="82"/>
      <c r="AU2975" s="82"/>
      <c r="AV2975" s="82"/>
      <c r="AW2975" s="82" t="str">
        <f t="shared" si="1"/>
        <v/>
      </c>
      <c r="AX2975" s="83" t="str">
        <f t="array" ref="AX2975">IFERROR(DGET('SBV Import'!A:G,"SBV",{"RSC ID","Tier";B2975,A2975}))</f>
        <v/>
      </c>
      <c r="AY2975" s="82" t="str">
        <f t="shared" si="2"/>
        <v/>
      </c>
      <c r="AZ2975" s="82"/>
      <c r="BA2975" s="84" t="s">
        <v>152</v>
      </c>
      <c r="BB2975" s="84" t="str">
        <f>IFERROR(__xludf.DUMMYFUNCTION("iferror(if(A2975="""",,E2975&gt;=FILTER(Constants!$F$2:$F$10,Constants!$A$2:$A$10=A2975)))"),"")</f>
        <v/>
      </c>
    </row>
    <row r="2976">
      <c r="A2976" s="89"/>
      <c r="B2976" s="87"/>
      <c r="C2976" s="73"/>
      <c r="D2976" s="73"/>
      <c r="E2976" s="82"/>
      <c r="F2976" s="82"/>
      <c r="G2976" s="86"/>
      <c r="H2976" s="86"/>
      <c r="I2976" s="86"/>
      <c r="J2976" s="82"/>
      <c r="K2976" s="82"/>
      <c r="L2976" s="82"/>
      <c r="M2976" s="82"/>
      <c r="N2976" s="82"/>
      <c r="O2976" s="82"/>
      <c r="P2976" s="82"/>
      <c r="Q2976" s="82"/>
      <c r="R2976" s="82"/>
      <c r="S2976" s="82"/>
      <c r="T2976" s="82"/>
      <c r="U2976" s="82"/>
      <c r="V2976" s="82"/>
      <c r="W2976" s="82"/>
      <c r="X2976" s="82"/>
      <c r="Y2976" s="82"/>
      <c r="Z2976" s="82"/>
      <c r="AA2976" s="82"/>
      <c r="AB2976" s="82"/>
      <c r="AC2976" s="82"/>
      <c r="AD2976" s="82"/>
      <c r="AE2976" s="82"/>
      <c r="AF2976" s="82"/>
      <c r="AG2976" s="82"/>
      <c r="AH2976" s="82"/>
      <c r="AI2976" s="82"/>
      <c r="AJ2976" s="82"/>
      <c r="AK2976" s="82"/>
      <c r="AL2976" s="82"/>
      <c r="AM2976" s="82"/>
      <c r="AN2976" s="82"/>
      <c r="AO2976" s="82"/>
      <c r="AP2976" s="82"/>
      <c r="AQ2976" s="82"/>
      <c r="AR2976" s="82"/>
      <c r="AS2976" s="82"/>
      <c r="AT2976" s="82"/>
      <c r="AU2976" s="82"/>
      <c r="AV2976" s="82"/>
      <c r="AW2976" s="82" t="str">
        <f t="shared" si="1"/>
        <v/>
      </c>
      <c r="AX2976" s="83" t="str">
        <f t="array" ref="AX2976">IFERROR(DGET('SBV Import'!A:G,"SBV",{"RSC ID","Tier";B2976,A2976}))</f>
        <v/>
      </c>
      <c r="AY2976" s="82" t="str">
        <f t="shared" si="2"/>
        <v/>
      </c>
      <c r="AZ2976" s="82"/>
      <c r="BA2976" s="84" t="s">
        <v>152</v>
      </c>
      <c r="BB2976" s="84" t="str">
        <f>IFERROR(__xludf.DUMMYFUNCTION("iferror(if(A2976="""",,E2976&gt;=FILTER(Constants!$F$2:$F$10,Constants!$A$2:$A$10=A2976)))"),"")</f>
        <v/>
      </c>
    </row>
    <row r="2977">
      <c r="A2977" s="89"/>
      <c r="B2977" s="87"/>
      <c r="C2977" s="73"/>
      <c r="D2977" s="73"/>
      <c r="E2977" s="82"/>
      <c r="F2977" s="82"/>
      <c r="G2977" s="86"/>
      <c r="H2977" s="86"/>
      <c r="I2977" s="86"/>
      <c r="J2977" s="82"/>
      <c r="K2977" s="82"/>
      <c r="L2977" s="82"/>
      <c r="M2977" s="82"/>
      <c r="N2977" s="82"/>
      <c r="O2977" s="82"/>
      <c r="P2977" s="82"/>
      <c r="Q2977" s="82"/>
      <c r="R2977" s="82"/>
      <c r="S2977" s="82"/>
      <c r="T2977" s="82"/>
      <c r="U2977" s="82"/>
      <c r="V2977" s="82"/>
      <c r="W2977" s="82"/>
      <c r="X2977" s="82"/>
      <c r="Y2977" s="82"/>
      <c r="Z2977" s="82"/>
      <c r="AA2977" s="82"/>
      <c r="AB2977" s="82"/>
      <c r="AC2977" s="82"/>
      <c r="AD2977" s="82"/>
      <c r="AE2977" s="82"/>
      <c r="AF2977" s="82"/>
      <c r="AG2977" s="82"/>
      <c r="AH2977" s="82"/>
      <c r="AI2977" s="82"/>
      <c r="AJ2977" s="82"/>
      <c r="AK2977" s="82"/>
      <c r="AL2977" s="82"/>
      <c r="AM2977" s="82"/>
      <c r="AN2977" s="82"/>
      <c r="AO2977" s="82"/>
      <c r="AP2977" s="82"/>
      <c r="AQ2977" s="82"/>
      <c r="AR2977" s="82"/>
      <c r="AS2977" s="82"/>
      <c r="AT2977" s="82"/>
      <c r="AU2977" s="82"/>
      <c r="AV2977" s="82"/>
      <c r="AW2977" s="82" t="str">
        <f t="shared" si="1"/>
        <v/>
      </c>
      <c r="AX2977" s="83" t="str">
        <f t="array" ref="AX2977">IFERROR(DGET('SBV Import'!A:G,"SBV",{"RSC ID","Tier";B2977,A2977}))</f>
        <v/>
      </c>
      <c r="AY2977" s="82" t="str">
        <f t="shared" si="2"/>
        <v/>
      </c>
      <c r="AZ2977" s="82"/>
      <c r="BA2977" s="84" t="s">
        <v>152</v>
      </c>
      <c r="BB2977" s="84" t="str">
        <f>IFERROR(__xludf.DUMMYFUNCTION("iferror(if(A2977="""",,E2977&gt;=FILTER(Constants!$F$2:$F$10,Constants!$A$2:$A$10=A2977)))"),"")</f>
        <v/>
      </c>
    </row>
    <row r="2978">
      <c r="A2978" s="89"/>
      <c r="B2978" s="87"/>
      <c r="C2978" s="73"/>
      <c r="D2978" s="73"/>
      <c r="E2978" s="82"/>
      <c r="F2978" s="82"/>
      <c r="G2978" s="86"/>
      <c r="H2978" s="86"/>
      <c r="I2978" s="86"/>
      <c r="J2978" s="82"/>
      <c r="K2978" s="82"/>
      <c r="L2978" s="82"/>
      <c r="M2978" s="82"/>
      <c r="N2978" s="82"/>
      <c r="O2978" s="82"/>
      <c r="P2978" s="82"/>
      <c r="Q2978" s="82"/>
      <c r="R2978" s="82"/>
      <c r="S2978" s="82"/>
      <c r="T2978" s="82"/>
      <c r="U2978" s="82"/>
      <c r="V2978" s="82"/>
      <c r="W2978" s="82"/>
      <c r="X2978" s="82"/>
      <c r="Y2978" s="82"/>
      <c r="Z2978" s="82"/>
      <c r="AA2978" s="82"/>
      <c r="AB2978" s="82"/>
      <c r="AC2978" s="82"/>
      <c r="AD2978" s="82"/>
      <c r="AE2978" s="82"/>
      <c r="AF2978" s="82"/>
      <c r="AG2978" s="82"/>
      <c r="AH2978" s="82"/>
      <c r="AI2978" s="82"/>
      <c r="AJ2978" s="82"/>
      <c r="AK2978" s="82"/>
      <c r="AL2978" s="82"/>
      <c r="AM2978" s="82"/>
      <c r="AN2978" s="82"/>
      <c r="AO2978" s="82"/>
      <c r="AP2978" s="82"/>
      <c r="AQ2978" s="82"/>
      <c r="AR2978" s="82"/>
      <c r="AS2978" s="82"/>
      <c r="AT2978" s="82"/>
      <c r="AU2978" s="82"/>
      <c r="AV2978" s="82"/>
      <c r="AW2978" s="82" t="str">
        <f t="shared" si="1"/>
        <v/>
      </c>
      <c r="AX2978" s="83" t="str">
        <f t="array" ref="AX2978">IFERROR(DGET('SBV Import'!A:G,"SBV",{"RSC ID","Tier";B2978,A2978}))</f>
        <v/>
      </c>
      <c r="AY2978" s="82" t="str">
        <f t="shared" si="2"/>
        <v/>
      </c>
      <c r="AZ2978" s="82"/>
      <c r="BA2978" s="84" t="s">
        <v>152</v>
      </c>
      <c r="BB2978" s="84" t="str">
        <f>IFERROR(__xludf.DUMMYFUNCTION("iferror(if(A2978="""",,E2978&gt;=FILTER(Constants!$F$2:$F$10,Constants!$A$2:$A$10=A2978)))"),"")</f>
        <v/>
      </c>
    </row>
    <row r="2979">
      <c r="A2979" s="89"/>
      <c r="B2979" s="87"/>
      <c r="C2979" s="73"/>
      <c r="D2979" s="73"/>
      <c r="E2979" s="82"/>
      <c r="F2979" s="82"/>
      <c r="G2979" s="86"/>
      <c r="H2979" s="86"/>
      <c r="I2979" s="86"/>
      <c r="J2979" s="82"/>
      <c r="K2979" s="82"/>
      <c r="L2979" s="82"/>
      <c r="M2979" s="82"/>
      <c r="N2979" s="82"/>
      <c r="O2979" s="82"/>
      <c r="P2979" s="82"/>
      <c r="Q2979" s="82"/>
      <c r="R2979" s="82"/>
      <c r="S2979" s="82"/>
      <c r="T2979" s="82"/>
      <c r="U2979" s="82"/>
      <c r="V2979" s="82"/>
      <c r="W2979" s="82"/>
      <c r="X2979" s="82"/>
      <c r="Y2979" s="82"/>
      <c r="Z2979" s="82"/>
      <c r="AA2979" s="82"/>
      <c r="AB2979" s="82"/>
      <c r="AC2979" s="82"/>
      <c r="AD2979" s="82"/>
      <c r="AE2979" s="82"/>
      <c r="AF2979" s="82"/>
      <c r="AG2979" s="82"/>
      <c r="AH2979" s="82"/>
      <c r="AI2979" s="82"/>
      <c r="AJ2979" s="82"/>
      <c r="AK2979" s="82"/>
      <c r="AL2979" s="82"/>
      <c r="AM2979" s="82"/>
      <c r="AN2979" s="82"/>
      <c r="AO2979" s="82"/>
      <c r="AP2979" s="82"/>
      <c r="AQ2979" s="82"/>
      <c r="AR2979" s="82"/>
      <c r="AS2979" s="82"/>
      <c r="AT2979" s="82"/>
      <c r="AU2979" s="82"/>
      <c r="AV2979" s="82"/>
      <c r="AW2979" s="82" t="str">
        <f t="shared" si="1"/>
        <v/>
      </c>
      <c r="AX2979" s="83" t="str">
        <f t="array" ref="AX2979">IFERROR(DGET('SBV Import'!A:G,"SBV",{"RSC ID","Tier";B2979,A2979}))</f>
        <v/>
      </c>
      <c r="AY2979" s="82" t="str">
        <f t="shared" si="2"/>
        <v/>
      </c>
      <c r="AZ2979" s="82"/>
      <c r="BA2979" s="84" t="s">
        <v>152</v>
      </c>
      <c r="BB2979" s="84" t="str">
        <f>IFERROR(__xludf.DUMMYFUNCTION("iferror(if(A2979="""",,E2979&gt;=FILTER(Constants!$F$2:$F$10,Constants!$A$2:$A$10=A2979)))"),"")</f>
        <v/>
      </c>
    </row>
    <row r="2980">
      <c r="A2980" s="89"/>
      <c r="B2980" s="87"/>
      <c r="C2980" s="73"/>
      <c r="D2980" s="73"/>
      <c r="E2980" s="82"/>
      <c r="F2980" s="82"/>
      <c r="G2980" s="86"/>
      <c r="H2980" s="86"/>
      <c r="I2980" s="86"/>
      <c r="J2980" s="82"/>
      <c r="K2980" s="82"/>
      <c r="L2980" s="82"/>
      <c r="M2980" s="82"/>
      <c r="N2980" s="82"/>
      <c r="O2980" s="82"/>
      <c r="P2980" s="82"/>
      <c r="Q2980" s="82"/>
      <c r="R2980" s="82"/>
      <c r="S2980" s="82"/>
      <c r="T2980" s="82"/>
      <c r="U2980" s="82"/>
      <c r="V2980" s="82"/>
      <c r="W2980" s="82"/>
      <c r="X2980" s="82"/>
      <c r="Y2980" s="82"/>
      <c r="Z2980" s="82"/>
      <c r="AA2980" s="82"/>
      <c r="AB2980" s="82"/>
      <c r="AC2980" s="82"/>
      <c r="AD2980" s="82"/>
      <c r="AE2980" s="82"/>
      <c r="AF2980" s="82"/>
      <c r="AG2980" s="82"/>
      <c r="AH2980" s="82"/>
      <c r="AI2980" s="82"/>
      <c r="AJ2980" s="82"/>
      <c r="AK2980" s="82"/>
      <c r="AL2980" s="82"/>
      <c r="AM2980" s="82"/>
      <c r="AN2980" s="82"/>
      <c r="AO2980" s="82"/>
      <c r="AP2980" s="82"/>
      <c r="AQ2980" s="82"/>
      <c r="AR2980" s="82"/>
      <c r="AS2980" s="82"/>
      <c r="AT2980" s="82"/>
      <c r="AU2980" s="82"/>
      <c r="AV2980" s="82"/>
      <c r="AW2980" s="82" t="str">
        <f t="shared" si="1"/>
        <v/>
      </c>
      <c r="AX2980" s="83" t="str">
        <f t="array" ref="AX2980">IFERROR(DGET('SBV Import'!A:G,"SBV",{"RSC ID","Tier";B2980,A2980}))</f>
        <v/>
      </c>
      <c r="AY2980" s="82" t="str">
        <f t="shared" si="2"/>
        <v/>
      </c>
      <c r="AZ2980" s="82"/>
      <c r="BA2980" s="84" t="s">
        <v>152</v>
      </c>
      <c r="BB2980" s="84" t="str">
        <f>IFERROR(__xludf.DUMMYFUNCTION("iferror(if(A2980="""",,E2980&gt;=FILTER(Constants!$F$2:$F$10,Constants!$A$2:$A$10=A2980)))"),"")</f>
        <v/>
      </c>
    </row>
    <row r="2981">
      <c r="A2981" s="89"/>
      <c r="B2981" s="87"/>
      <c r="C2981" s="73"/>
      <c r="D2981" s="73"/>
      <c r="E2981" s="82"/>
      <c r="F2981" s="82"/>
      <c r="G2981" s="86"/>
      <c r="H2981" s="86"/>
      <c r="I2981" s="86"/>
      <c r="J2981" s="82"/>
      <c r="K2981" s="82"/>
      <c r="L2981" s="82"/>
      <c r="M2981" s="82"/>
      <c r="N2981" s="82"/>
      <c r="O2981" s="82"/>
      <c r="P2981" s="82"/>
      <c r="Q2981" s="82"/>
      <c r="R2981" s="82"/>
      <c r="S2981" s="82"/>
      <c r="T2981" s="82"/>
      <c r="U2981" s="82"/>
      <c r="V2981" s="82"/>
      <c r="W2981" s="82"/>
      <c r="X2981" s="82"/>
      <c r="Y2981" s="82"/>
      <c r="Z2981" s="82"/>
      <c r="AA2981" s="82"/>
      <c r="AB2981" s="82"/>
      <c r="AC2981" s="82"/>
      <c r="AD2981" s="82"/>
      <c r="AE2981" s="82"/>
      <c r="AF2981" s="82"/>
      <c r="AG2981" s="82"/>
      <c r="AH2981" s="82"/>
      <c r="AI2981" s="82"/>
      <c r="AJ2981" s="82"/>
      <c r="AK2981" s="82"/>
      <c r="AL2981" s="82"/>
      <c r="AM2981" s="82"/>
      <c r="AN2981" s="82"/>
      <c r="AO2981" s="82"/>
      <c r="AP2981" s="82"/>
      <c r="AQ2981" s="82"/>
      <c r="AR2981" s="82"/>
      <c r="AS2981" s="82"/>
      <c r="AT2981" s="82"/>
      <c r="AU2981" s="82"/>
      <c r="AV2981" s="82"/>
      <c r="AW2981" s="82" t="str">
        <f t="shared" si="1"/>
        <v/>
      </c>
      <c r="AX2981" s="83" t="str">
        <f t="array" ref="AX2981">IFERROR(DGET('SBV Import'!A:G,"SBV",{"RSC ID","Tier";B2981,A2981}))</f>
        <v/>
      </c>
      <c r="AY2981" s="82" t="str">
        <f t="shared" si="2"/>
        <v/>
      </c>
      <c r="AZ2981" s="82"/>
      <c r="BA2981" s="84" t="s">
        <v>152</v>
      </c>
      <c r="BB2981" s="84" t="str">
        <f>IFERROR(__xludf.DUMMYFUNCTION("iferror(if(A2981="""",,E2981&gt;=FILTER(Constants!$F$2:$F$10,Constants!$A$2:$A$10=A2981)))"),"")</f>
        <v/>
      </c>
    </row>
    <row r="2982">
      <c r="A2982" s="89"/>
      <c r="B2982" s="87"/>
      <c r="C2982" s="73"/>
      <c r="D2982" s="73"/>
      <c r="E2982" s="82"/>
      <c r="F2982" s="82"/>
      <c r="G2982" s="86"/>
      <c r="H2982" s="86"/>
      <c r="I2982" s="86"/>
      <c r="J2982" s="82"/>
      <c r="K2982" s="82"/>
      <c r="L2982" s="82"/>
      <c r="M2982" s="82"/>
      <c r="N2982" s="82"/>
      <c r="O2982" s="82"/>
      <c r="P2982" s="82"/>
      <c r="Q2982" s="82"/>
      <c r="R2982" s="82"/>
      <c r="S2982" s="82"/>
      <c r="T2982" s="82"/>
      <c r="U2982" s="82"/>
      <c r="V2982" s="82"/>
      <c r="W2982" s="82"/>
      <c r="X2982" s="82"/>
      <c r="Y2982" s="82"/>
      <c r="Z2982" s="82"/>
      <c r="AA2982" s="82"/>
      <c r="AB2982" s="82"/>
      <c r="AC2982" s="82"/>
      <c r="AD2982" s="82"/>
      <c r="AE2982" s="82"/>
      <c r="AF2982" s="82"/>
      <c r="AG2982" s="82"/>
      <c r="AH2982" s="82"/>
      <c r="AI2982" s="82"/>
      <c r="AJ2982" s="82"/>
      <c r="AK2982" s="82"/>
      <c r="AL2982" s="82"/>
      <c r="AM2982" s="82"/>
      <c r="AN2982" s="82"/>
      <c r="AO2982" s="82"/>
      <c r="AP2982" s="82"/>
      <c r="AQ2982" s="82"/>
      <c r="AR2982" s="82"/>
      <c r="AS2982" s="82"/>
      <c r="AT2982" s="82"/>
      <c r="AU2982" s="82"/>
      <c r="AV2982" s="82"/>
      <c r="AW2982" s="82" t="str">
        <f t="shared" si="1"/>
        <v/>
      </c>
      <c r="AX2982" s="83" t="str">
        <f t="array" ref="AX2982">IFERROR(DGET('SBV Import'!A:G,"SBV",{"RSC ID","Tier";B2982,A2982}))</f>
        <v/>
      </c>
      <c r="AY2982" s="82" t="str">
        <f t="shared" si="2"/>
        <v/>
      </c>
      <c r="AZ2982" s="82"/>
      <c r="BA2982" s="84" t="s">
        <v>152</v>
      </c>
      <c r="BB2982" s="84" t="str">
        <f>IFERROR(__xludf.DUMMYFUNCTION("iferror(if(A2982="""",,E2982&gt;=FILTER(Constants!$F$2:$F$10,Constants!$A$2:$A$10=A2982)))"),"")</f>
        <v/>
      </c>
    </row>
    <row r="2983">
      <c r="A2983" s="89"/>
      <c r="B2983" s="87"/>
      <c r="C2983" s="73"/>
      <c r="D2983" s="73"/>
      <c r="E2983" s="82"/>
      <c r="F2983" s="82"/>
      <c r="G2983" s="86"/>
      <c r="H2983" s="86"/>
      <c r="I2983" s="86"/>
      <c r="J2983" s="82"/>
      <c r="K2983" s="82"/>
      <c r="L2983" s="82"/>
      <c r="M2983" s="82"/>
      <c r="N2983" s="82"/>
      <c r="O2983" s="82"/>
      <c r="P2983" s="82"/>
      <c r="Q2983" s="82"/>
      <c r="R2983" s="82"/>
      <c r="S2983" s="82"/>
      <c r="T2983" s="82"/>
      <c r="U2983" s="82"/>
      <c r="V2983" s="82"/>
      <c r="W2983" s="82"/>
      <c r="X2983" s="82"/>
      <c r="Y2983" s="82"/>
      <c r="Z2983" s="82"/>
      <c r="AA2983" s="82"/>
      <c r="AB2983" s="82"/>
      <c r="AC2983" s="82"/>
      <c r="AD2983" s="82"/>
      <c r="AE2983" s="82"/>
      <c r="AF2983" s="82"/>
      <c r="AG2983" s="82"/>
      <c r="AH2983" s="82"/>
      <c r="AI2983" s="82"/>
      <c r="AJ2983" s="82"/>
      <c r="AK2983" s="82"/>
      <c r="AL2983" s="82"/>
      <c r="AM2983" s="82"/>
      <c r="AN2983" s="82"/>
      <c r="AO2983" s="82"/>
      <c r="AP2983" s="82"/>
      <c r="AQ2983" s="82"/>
      <c r="AR2983" s="82"/>
      <c r="AS2983" s="82"/>
      <c r="AT2983" s="82"/>
      <c r="AU2983" s="82"/>
      <c r="AV2983" s="82"/>
      <c r="AW2983" s="82" t="str">
        <f t="shared" si="1"/>
        <v/>
      </c>
      <c r="AX2983" s="83" t="str">
        <f t="array" ref="AX2983">IFERROR(DGET('SBV Import'!A:G,"SBV",{"RSC ID","Tier";B2983,A2983}))</f>
        <v/>
      </c>
      <c r="AY2983" s="82" t="str">
        <f t="shared" si="2"/>
        <v/>
      </c>
      <c r="AZ2983" s="82"/>
      <c r="BA2983" s="84" t="s">
        <v>152</v>
      </c>
      <c r="BB2983" s="84" t="str">
        <f>IFERROR(__xludf.DUMMYFUNCTION("iferror(if(A2983="""",,E2983&gt;=FILTER(Constants!$F$2:$F$10,Constants!$A$2:$A$10=A2983)))"),"")</f>
        <v/>
      </c>
    </row>
    <row r="2984">
      <c r="A2984" s="89"/>
      <c r="B2984" s="87"/>
      <c r="C2984" s="73"/>
      <c r="D2984" s="73"/>
      <c r="E2984" s="82"/>
      <c r="F2984" s="82"/>
      <c r="G2984" s="86"/>
      <c r="H2984" s="86"/>
      <c r="I2984" s="86"/>
      <c r="J2984" s="82"/>
      <c r="K2984" s="82"/>
      <c r="L2984" s="82"/>
      <c r="M2984" s="82"/>
      <c r="N2984" s="82"/>
      <c r="O2984" s="82"/>
      <c r="P2984" s="82"/>
      <c r="Q2984" s="82"/>
      <c r="R2984" s="82"/>
      <c r="S2984" s="82"/>
      <c r="T2984" s="82"/>
      <c r="U2984" s="82"/>
      <c r="V2984" s="82"/>
      <c r="W2984" s="82"/>
      <c r="X2984" s="82"/>
      <c r="Y2984" s="82"/>
      <c r="Z2984" s="82"/>
      <c r="AA2984" s="82"/>
      <c r="AB2984" s="82"/>
      <c r="AC2984" s="82"/>
      <c r="AD2984" s="82"/>
      <c r="AE2984" s="82"/>
      <c r="AF2984" s="82"/>
      <c r="AG2984" s="82"/>
      <c r="AH2984" s="82"/>
      <c r="AI2984" s="82"/>
      <c r="AJ2984" s="82"/>
      <c r="AK2984" s="82"/>
      <c r="AL2984" s="82"/>
      <c r="AM2984" s="82"/>
      <c r="AN2984" s="82"/>
      <c r="AO2984" s="82"/>
      <c r="AP2984" s="82"/>
      <c r="AQ2984" s="82"/>
      <c r="AR2984" s="82"/>
      <c r="AS2984" s="82"/>
      <c r="AT2984" s="82"/>
      <c r="AU2984" s="82"/>
      <c r="AV2984" s="82"/>
      <c r="AW2984" s="82" t="str">
        <f t="shared" si="1"/>
        <v/>
      </c>
      <c r="AX2984" s="83" t="str">
        <f t="array" ref="AX2984">IFERROR(DGET('SBV Import'!A:G,"SBV",{"RSC ID","Tier";B2984,A2984}))</f>
        <v/>
      </c>
      <c r="AY2984" s="82" t="str">
        <f t="shared" si="2"/>
        <v/>
      </c>
      <c r="AZ2984" s="82"/>
      <c r="BA2984" s="84" t="s">
        <v>152</v>
      </c>
      <c r="BB2984" s="84" t="str">
        <f>IFERROR(__xludf.DUMMYFUNCTION("iferror(if(A2984="""",,E2984&gt;=FILTER(Constants!$F$2:$F$10,Constants!$A$2:$A$10=A2984)))"),"")</f>
        <v/>
      </c>
    </row>
    <row r="2985">
      <c r="A2985" s="89"/>
      <c r="B2985" s="87"/>
      <c r="C2985" s="73"/>
      <c r="D2985" s="73"/>
      <c r="E2985" s="82"/>
      <c r="F2985" s="82"/>
      <c r="G2985" s="86"/>
      <c r="H2985" s="86"/>
      <c r="I2985" s="86"/>
      <c r="J2985" s="82"/>
      <c r="K2985" s="82"/>
      <c r="L2985" s="82"/>
      <c r="M2985" s="82"/>
      <c r="N2985" s="82"/>
      <c r="O2985" s="82"/>
      <c r="P2985" s="82"/>
      <c r="Q2985" s="82"/>
      <c r="R2985" s="82"/>
      <c r="S2985" s="82"/>
      <c r="T2985" s="82"/>
      <c r="U2985" s="82"/>
      <c r="V2985" s="82"/>
      <c r="W2985" s="82"/>
      <c r="X2985" s="82"/>
      <c r="Y2985" s="82"/>
      <c r="Z2985" s="82"/>
      <c r="AA2985" s="82"/>
      <c r="AB2985" s="82"/>
      <c r="AC2985" s="82"/>
      <c r="AD2985" s="82"/>
      <c r="AE2985" s="82"/>
      <c r="AF2985" s="82"/>
      <c r="AG2985" s="82"/>
      <c r="AH2985" s="82"/>
      <c r="AI2985" s="82"/>
      <c r="AJ2985" s="82"/>
      <c r="AK2985" s="82"/>
      <c r="AL2985" s="82"/>
      <c r="AM2985" s="82"/>
      <c r="AN2985" s="82"/>
      <c r="AO2985" s="82"/>
      <c r="AP2985" s="82"/>
      <c r="AQ2985" s="82"/>
      <c r="AR2985" s="82"/>
      <c r="AS2985" s="82"/>
      <c r="AT2985" s="82"/>
      <c r="AU2985" s="82"/>
      <c r="AV2985" s="82"/>
      <c r="AW2985" s="82" t="str">
        <f t="shared" si="1"/>
        <v/>
      </c>
      <c r="AX2985" s="83" t="str">
        <f t="array" ref="AX2985">IFERROR(DGET('SBV Import'!A:G,"SBV",{"RSC ID","Tier";B2985,A2985}))</f>
        <v/>
      </c>
      <c r="AY2985" s="82" t="str">
        <f t="shared" si="2"/>
        <v/>
      </c>
      <c r="AZ2985" s="82"/>
      <c r="BA2985" s="84" t="s">
        <v>152</v>
      </c>
      <c r="BB2985" s="84" t="str">
        <f>IFERROR(__xludf.DUMMYFUNCTION("iferror(if(A2985="""",,E2985&gt;=FILTER(Constants!$F$2:$F$10,Constants!$A$2:$A$10=A2985)))"),"")</f>
        <v/>
      </c>
    </row>
    <row r="2986">
      <c r="A2986" s="89"/>
      <c r="B2986" s="87"/>
      <c r="C2986" s="73"/>
      <c r="D2986" s="73"/>
      <c r="E2986" s="82"/>
      <c r="F2986" s="82"/>
      <c r="G2986" s="86"/>
      <c r="H2986" s="86"/>
      <c r="I2986" s="86"/>
      <c r="J2986" s="82"/>
      <c r="K2986" s="82"/>
      <c r="L2986" s="82"/>
      <c r="M2986" s="82"/>
      <c r="N2986" s="82"/>
      <c r="O2986" s="82"/>
      <c r="P2986" s="82"/>
      <c r="Q2986" s="82"/>
      <c r="R2986" s="82"/>
      <c r="S2986" s="82"/>
      <c r="T2986" s="82"/>
      <c r="U2986" s="82"/>
      <c r="V2986" s="82"/>
      <c r="W2986" s="82"/>
      <c r="X2986" s="82"/>
      <c r="Y2986" s="82"/>
      <c r="Z2986" s="82"/>
      <c r="AA2986" s="82"/>
      <c r="AB2986" s="82"/>
      <c r="AC2986" s="82"/>
      <c r="AD2986" s="82"/>
      <c r="AE2986" s="82"/>
      <c r="AF2986" s="82"/>
      <c r="AG2986" s="82"/>
      <c r="AH2986" s="82"/>
      <c r="AI2986" s="82"/>
      <c r="AJ2986" s="82"/>
      <c r="AK2986" s="82"/>
      <c r="AL2986" s="82"/>
      <c r="AM2986" s="82"/>
      <c r="AN2986" s="82"/>
      <c r="AO2986" s="82"/>
      <c r="AP2986" s="82"/>
      <c r="AQ2986" s="82"/>
      <c r="AR2986" s="82"/>
      <c r="AS2986" s="82"/>
      <c r="AT2986" s="82"/>
      <c r="AU2986" s="82"/>
      <c r="AV2986" s="82"/>
      <c r="AW2986" s="82" t="str">
        <f t="shared" si="1"/>
        <v/>
      </c>
      <c r="AX2986" s="83" t="str">
        <f t="array" ref="AX2986">IFERROR(DGET('SBV Import'!A:G,"SBV",{"RSC ID","Tier";B2986,A2986}))</f>
        <v/>
      </c>
      <c r="AY2986" s="82" t="str">
        <f t="shared" si="2"/>
        <v/>
      </c>
      <c r="AZ2986" s="82"/>
      <c r="BA2986" s="84" t="s">
        <v>152</v>
      </c>
      <c r="BB2986" s="84" t="str">
        <f>IFERROR(__xludf.DUMMYFUNCTION("iferror(if(A2986="""",,E2986&gt;=FILTER(Constants!$F$2:$F$10,Constants!$A$2:$A$10=A2986)))"),"")</f>
        <v/>
      </c>
    </row>
    <row r="2987">
      <c r="A2987" s="89"/>
      <c r="B2987" s="87"/>
      <c r="C2987" s="73"/>
      <c r="D2987" s="73"/>
      <c r="E2987" s="82"/>
      <c r="F2987" s="82"/>
      <c r="G2987" s="86"/>
      <c r="H2987" s="86"/>
      <c r="I2987" s="86"/>
      <c r="J2987" s="82"/>
      <c r="K2987" s="82"/>
      <c r="L2987" s="82"/>
      <c r="M2987" s="82"/>
      <c r="N2987" s="82"/>
      <c r="O2987" s="82"/>
      <c r="P2987" s="82"/>
      <c r="Q2987" s="82"/>
      <c r="R2987" s="82"/>
      <c r="S2987" s="82"/>
      <c r="T2987" s="82"/>
      <c r="U2987" s="82"/>
      <c r="V2987" s="82"/>
      <c r="W2987" s="82"/>
      <c r="X2987" s="82"/>
      <c r="Y2987" s="82"/>
      <c r="Z2987" s="82"/>
      <c r="AA2987" s="82"/>
      <c r="AB2987" s="82"/>
      <c r="AC2987" s="82"/>
      <c r="AD2987" s="82"/>
      <c r="AE2987" s="82"/>
      <c r="AF2987" s="82"/>
      <c r="AG2987" s="82"/>
      <c r="AH2987" s="82"/>
      <c r="AI2987" s="82"/>
      <c r="AJ2987" s="82"/>
      <c r="AK2987" s="82"/>
      <c r="AL2987" s="82"/>
      <c r="AM2987" s="82"/>
      <c r="AN2987" s="82"/>
      <c r="AO2987" s="82"/>
      <c r="AP2987" s="82"/>
      <c r="AQ2987" s="82"/>
      <c r="AR2987" s="82"/>
      <c r="AS2987" s="82"/>
      <c r="AT2987" s="82"/>
      <c r="AU2987" s="82"/>
      <c r="AV2987" s="82"/>
      <c r="AW2987" s="82" t="str">
        <f t="shared" si="1"/>
        <v/>
      </c>
      <c r="AX2987" s="83" t="str">
        <f t="array" ref="AX2987">IFERROR(DGET('SBV Import'!A:G,"SBV",{"RSC ID","Tier";B2987,A2987}))</f>
        <v/>
      </c>
      <c r="AY2987" s="82" t="str">
        <f t="shared" si="2"/>
        <v/>
      </c>
      <c r="AZ2987" s="82"/>
      <c r="BA2987" s="84" t="s">
        <v>152</v>
      </c>
      <c r="BB2987" s="84" t="str">
        <f>IFERROR(__xludf.DUMMYFUNCTION("iferror(if(A2987="""",,E2987&gt;=FILTER(Constants!$F$2:$F$10,Constants!$A$2:$A$10=A2987)))"),"")</f>
        <v/>
      </c>
    </row>
    <row r="2988">
      <c r="A2988" s="89"/>
      <c r="B2988" s="87"/>
      <c r="C2988" s="73"/>
      <c r="D2988" s="73"/>
      <c r="E2988" s="82"/>
      <c r="F2988" s="82"/>
      <c r="G2988" s="86"/>
      <c r="H2988" s="86"/>
      <c r="I2988" s="86"/>
      <c r="J2988" s="82"/>
      <c r="K2988" s="82"/>
      <c r="L2988" s="82"/>
      <c r="M2988" s="82"/>
      <c r="N2988" s="82"/>
      <c r="O2988" s="82"/>
      <c r="P2988" s="82"/>
      <c r="Q2988" s="82"/>
      <c r="R2988" s="82"/>
      <c r="S2988" s="82"/>
      <c r="T2988" s="82"/>
      <c r="U2988" s="82"/>
      <c r="V2988" s="82"/>
      <c r="W2988" s="82"/>
      <c r="X2988" s="82"/>
      <c r="Y2988" s="82"/>
      <c r="Z2988" s="82"/>
      <c r="AA2988" s="82"/>
      <c r="AB2988" s="82"/>
      <c r="AC2988" s="82"/>
      <c r="AD2988" s="82"/>
      <c r="AE2988" s="82"/>
      <c r="AF2988" s="82"/>
      <c r="AG2988" s="82"/>
      <c r="AH2988" s="82"/>
      <c r="AI2988" s="82"/>
      <c r="AJ2988" s="82"/>
      <c r="AK2988" s="82"/>
      <c r="AL2988" s="82"/>
      <c r="AM2988" s="82"/>
      <c r="AN2988" s="82"/>
      <c r="AO2988" s="82"/>
      <c r="AP2988" s="82"/>
      <c r="AQ2988" s="82"/>
      <c r="AR2988" s="82"/>
      <c r="AS2988" s="82"/>
      <c r="AT2988" s="82"/>
      <c r="AU2988" s="82"/>
      <c r="AV2988" s="82"/>
      <c r="AW2988" s="82" t="str">
        <f t="shared" si="1"/>
        <v/>
      </c>
      <c r="AX2988" s="83" t="str">
        <f t="array" ref="AX2988">IFERROR(DGET('SBV Import'!A:G,"SBV",{"RSC ID","Tier";B2988,A2988}))</f>
        <v/>
      </c>
      <c r="AY2988" s="82" t="str">
        <f t="shared" si="2"/>
        <v/>
      </c>
      <c r="AZ2988" s="82"/>
      <c r="BA2988" s="84" t="s">
        <v>152</v>
      </c>
      <c r="BB2988" s="84" t="str">
        <f>IFERROR(__xludf.DUMMYFUNCTION("iferror(if(A2988="""",,E2988&gt;=FILTER(Constants!$F$2:$F$10,Constants!$A$2:$A$10=A2988)))"),"")</f>
        <v/>
      </c>
    </row>
    <row r="2989">
      <c r="A2989" s="89"/>
      <c r="B2989" s="87"/>
      <c r="C2989" s="73"/>
      <c r="D2989" s="73"/>
      <c r="E2989" s="82"/>
      <c r="F2989" s="82"/>
      <c r="G2989" s="86"/>
      <c r="H2989" s="86"/>
      <c r="I2989" s="86"/>
      <c r="J2989" s="82"/>
      <c r="K2989" s="82"/>
      <c r="L2989" s="82"/>
      <c r="M2989" s="82"/>
      <c r="N2989" s="82"/>
      <c r="O2989" s="82"/>
      <c r="P2989" s="82"/>
      <c r="Q2989" s="82"/>
      <c r="R2989" s="82"/>
      <c r="S2989" s="82"/>
      <c r="T2989" s="82"/>
      <c r="U2989" s="82"/>
      <c r="V2989" s="82"/>
      <c r="W2989" s="82"/>
      <c r="X2989" s="82"/>
      <c r="Y2989" s="82"/>
      <c r="Z2989" s="82"/>
      <c r="AA2989" s="82"/>
      <c r="AB2989" s="82"/>
      <c r="AC2989" s="82"/>
      <c r="AD2989" s="82"/>
      <c r="AE2989" s="82"/>
      <c r="AF2989" s="82"/>
      <c r="AG2989" s="82"/>
      <c r="AH2989" s="82"/>
      <c r="AI2989" s="82"/>
      <c r="AJ2989" s="82"/>
      <c r="AK2989" s="82"/>
      <c r="AL2989" s="82"/>
      <c r="AM2989" s="82"/>
      <c r="AN2989" s="82"/>
      <c r="AO2989" s="82"/>
      <c r="AP2989" s="82"/>
      <c r="AQ2989" s="82"/>
      <c r="AR2989" s="82"/>
      <c r="AS2989" s="82"/>
      <c r="AT2989" s="82"/>
      <c r="AU2989" s="82"/>
      <c r="AV2989" s="82"/>
      <c r="AW2989" s="82" t="str">
        <f t="shared" si="1"/>
        <v/>
      </c>
      <c r="AX2989" s="83" t="str">
        <f t="array" ref="AX2989">IFERROR(DGET('SBV Import'!A:G,"SBV",{"RSC ID","Tier";B2989,A2989}))</f>
        <v/>
      </c>
      <c r="AY2989" s="82" t="str">
        <f t="shared" si="2"/>
        <v/>
      </c>
      <c r="AZ2989" s="82"/>
      <c r="BA2989" s="84" t="s">
        <v>152</v>
      </c>
      <c r="BB2989" s="84" t="str">
        <f>IFERROR(__xludf.DUMMYFUNCTION("iferror(if(A2989="""",,E2989&gt;=FILTER(Constants!$F$2:$F$10,Constants!$A$2:$A$10=A2989)))"),"")</f>
        <v/>
      </c>
    </row>
    <row r="2990">
      <c r="A2990" s="89"/>
      <c r="B2990" s="87"/>
      <c r="C2990" s="73"/>
      <c r="D2990" s="73"/>
      <c r="E2990" s="82"/>
      <c r="F2990" s="82"/>
      <c r="G2990" s="86"/>
      <c r="H2990" s="86"/>
      <c r="I2990" s="86"/>
      <c r="J2990" s="82"/>
      <c r="K2990" s="82"/>
      <c r="L2990" s="82"/>
      <c r="M2990" s="82"/>
      <c r="N2990" s="82"/>
      <c r="O2990" s="82"/>
      <c r="P2990" s="82"/>
      <c r="Q2990" s="82"/>
      <c r="R2990" s="82"/>
      <c r="S2990" s="82"/>
      <c r="T2990" s="82"/>
      <c r="U2990" s="82"/>
      <c r="V2990" s="82"/>
      <c r="W2990" s="82"/>
      <c r="X2990" s="82"/>
      <c r="Y2990" s="82"/>
      <c r="Z2990" s="82"/>
      <c r="AA2990" s="82"/>
      <c r="AB2990" s="82"/>
      <c r="AC2990" s="82"/>
      <c r="AD2990" s="82"/>
      <c r="AE2990" s="82"/>
      <c r="AF2990" s="82"/>
      <c r="AG2990" s="82"/>
      <c r="AH2990" s="82"/>
      <c r="AI2990" s="82"/>
      <c r="AJ2990" s="82"/>
      <c r="AK2990" s="82"/>
      <c r="AL2990" s="82"/>
      <c r="AM2990" s="82"/>
      <c r="AN2990" s="82"/>
      <c r="AO2990" s="82"/>
      <c r="AP2990" s="82"/>
      <c r="AQ2990" s="82"/>
      <c r="AR2990" s="82"/>
      <c r="AS2990" s="82"/>
      <c r="AT2990" s="82"/>
      <c r="AU2990" s="82"/>
      <c r="AV2990" s="82"/>
      <c r="AW2990" s="82" t="str">
        <f t="shared" si="1"/>
        <v/>
      </c>
      <c r="AX2990" s="83" t="str">
        <f t="array" ref="AX2990">IFERROR(DGET('SBV Import'!A:G,"SBV",{"RSC ID","Tier";B2990,A2990}))</f>
        <v/>
      </c>
      <c r="AY2990" s="82" t="str">
        <f t="shared" si="2"/>
        <v/>
      </c>
      <c r="AZ2990" s="82"/>
      <c r="BA2990" s="84" t="s">
        <v>152</v>
      </c>
      <c r="BB2990" s="84" t="str">
        <f>IFERROR(__xludf.DUMMYFUNCTION("iferror(if(A2990="""",,E2990&gt;=FILTER(Constants!$F$2:$F$10,Constants!$A$2:$A$10=A2990)))"),"")</f>
        <v/>
      </c>
    </row>
    <row r="2991">
      <c r="A2991" s="89"/>
      <c r="B2991" s="87"/>
      <c r="C2991" s="73"/>
      <c r="D2991" s="73"/>
      <c r="E2991" s="82"/>
      <c r="F2991" s="82"/>
      <c r="G2991" s="86"/>
      <c r="H2991" s="86"/>
      <c r="I2991" s="86"/>
      <c r="J2991" s="82"/>
      <c r="K2991" s="82"/>
      <c r="L2991" s="82"/>
      <c r="M2991" s="82"/>
      <c r="N2991" s="82"/>
      <c r="O2991" s="82"/>
      <c r="P2991" s="82"/>
      <c r="Q2991" s="82"/>
      <c r="R2991" s="82"/>
      <c r="S2991" s="82"/>
      <c r="T2991" s="82"/>
      <c r="U2991" s="82"/>
      <c r="V2991" s="82"/>
      <c r="W2991" s="82"/>
      <c r="X2991" s="82"/>
      <c r="Y2991" s="82"/>
      <c r="Z2991" s="82"/>
      <c r="AA2991" s="82"/>
      <c r="AB2991" s="82"/>
      <c r="AC2991" s="82"/>
      <c r="AD2991" s="82"/>
      <c r="AE2991" s="82"/>
      <c r="AF2991" s="82"/>
      <c r="AG2991" s="82"/>
      <c r="AH2991" s="82"/>
      <c r="AI2991" s="82"/>
      <c r="AJ2991" s="82"/>
      <c r="AK2991" s="82"/>
      <c r="AL2991" s="82"/>
      <c r="AM2991" s="82"/>
      <c r="AN2991" s="82"/>
      <c r="AO2991" s="82"/>
      <c r="AP2991" s="82"/>
      <c r="AQ2991" s="82"/>
      <c r="AR2991" s="82"/>
      <c r="AS2991" s="82"/>
      <c r="AT2991" s="82"/>
      <c r="AU2991" s="82"/>
      <c r="AV2991" s="82"/>
      <c r="AW2991" s="82" t="str">
        <f t="shared" si="1"/>
        <v/>
      </c>
      <c r="AX2991" s="83" t="str">
        <f t="array" ref="AX2991">IFERROR(DGET('SBV Import'!A:G,"SBV",{"RSC ID","Tier";B2991,A2991}))</f>
        <v/>
      </c>
      <c r="AY2991" s="82" t="str">
        <f t="shared" si="2"/>
        <v/>
      </c>
      <c r="AZ2991" s="82"/>
      <c r="BA2991" s="84" t="s">
        <v>152</v>
      </c>
      <c r="BB2991" s="84" t="str">
        <f>IFERROR(__xludf.DUMMYFUNCTION("iferror(if(A2991="""",,E2991&gt;=FILTER(Constants!$F$2:$F$10,Constants!$A$2:$A$10=A2991)))"),"")</f>
        <v/>
      </c>
    </row>
    <row r="2992">
      <c r="A2992" s="89"/>
      <c r="B2992" s="87"/>
      <c r="C2992" s="73"/>
      <c r="D2992" s="73"/>
      <c r="E2992" s="82"/>
      <c r="F2992" s="82"/>
      <c r="G2992" s="86"/>
      <c r="H2992" s="86"/>
      <c r="I2992" s="86"/>
      <c r="J2992" s="82"/>
      <c r="K2992" s="82"/>
      <c r="L2992" s="82"/>
      <c r="M2992" s="82"/>
      <c r="N2992" s="82"/>
      <c r="O2992" s="82"/>
      <c r="P2992" s="82"/>
      <c r="Q2992" s="82"/>
      <c r="R2992" s="82"/>
      <c r="S2992" s="82"/>
      <c r="T2992" s="82"/>
      <c r="U2992" s="82"/>
      <c r="V2992" s="82"/>
      <c r="W2992" s="82"/>
      <c r="X2992" s="82"/>
      <c r="Y2992" s="82"/>
      <c r="Z2992" s="82"/>
      <c r="AA2992" s="82"/>
      <c r="AB2992" s="82"/>
      <c r="AC2992" s="82"/>
      <c r="AD2992" s="82"/>
      <c r="AE2992" s="82"/>
      <c r="AF2992" s="82"/>
      <c r="AG2992" s="82"/>
      <c r="AH2992" s="82"/>
      <c r="AI2992" s="82"/>
      <c r="AJ2992" s="82"/>
      <c r="AK2992" s="82"/>
      <c r="AL2992" s="82"/>
      <c r="AM2992" s="82"/>
      <c r="AN2992" s="82"/>
      <c r="AO2992" s="82"/>
      <c r="AP2992" s="82"/>
      <c r="AQ2992" s="82"/>
      <c r="AR2992" s="82"/>
      <c r="AS2992" s="82"/>
      <c r="AT2992" s="82"/>
      <c r="AU2992" s="82"/>
      <c r="AV2992" s="82"/>
      <c r="AW2992" s="82" t="str">
        <f t="shared" si="1"/>
        <v/>
      </c>
      <c r="AX2992" s="83" t="str">
        <f t="array" ref="AX2992">IFERROR(DGET('SBV Import'!A:G,"SBV",{"RSC ID","Tier";B2992,A2992}))</f>
        <v/>
      </c>
      <c r="AY2992" s="82" t="str">
        <f t="shared" si="2"/>
        <v/>
      </c>
      <c r="AZ2992" s="82"/>
      <c r="BA2992" s="84" t="s">
        <v>152</v>
      </c>
      <c r="BB2992" s="84" t="str">
        <f>IFERROR(__xludf.DUMMYFUNCTION("iferror(if(A2992="""",,E2992&gt;=FILTER(Constants!$F$2:$F$10,Constants!$A$2:$A$10=A2992)))"),"")</f>
        <v/>
      </c>
    </row>
    <row r="2993">
      <c r="A2993" s="89"/>
      <c r="B2993" s="87"/>
      <c r="C2993" s="73"/>
      <c r="D2993" s="73"/>
      <c r="E2993" s="82"/>
      <c r="F2993" s="82"/>
      <c r="G2993" s="86"/>
      <c r="H2993" s="86"/>
      <c r="I2993" s="86"/>
      <c r="J2993" s="82"/>
      <c r="K2993" s="82"/>
      <c r="L2993" s="82"/>
      <c r="M2993" s="82"/>
      <c r="N2993" s="82"/>
      <c r="O2993" s="82"/>
      <c r="P2993" s="82"/>
      <c r="Q2993" s="82"/>
      <c r="R2993" s="82"/>
      <c r="S2993" s="82"/>
      <c r="T2993" s="82"/>
      <c r="U2993" s="82"/>
      <c r="V2993" s="82"/>
      <c r="W2993" s="82"/>
      <c r="X2993" s="82"/>
      <c r="Y2993" s="82"/>
      <c r="Z2993" s="82"/>
      <c r="AA2993" s="82"/>
      <c r="AB2993" s="82"/>
      <c r="AC2993" s="82"/>
      <c r="AD2993" s="82"/>
      <c r="AE2993" s="82"/>
      <c r="AF2993" s="82"/>
      <c r="AG2993" s="82"/>
      <c r="AH2993" s="82"/>
      <c r="AI2993" s="82"/>
      <c r="AJ2993" s="82"/>
      <c r="AK2993" s="82"/>
      <c r="AL2993" s="82"/>
      <c r="AM2993" s="82"/>
      <c r="AN2993" s="82"/>
      <c r="AO2993" s="82"/>
      <c r="AP2993" s="82"/>
      <c r="AQ2993" s="82"/>
      <c r="AR2993" s="82"/>
      <c r="AS2993" s="82"/>
      <c r="AT2993" s="82"/>
      <c r="AU2993" s="82"/>
      <c r="AV2993" s="82"/>
      <c r="AW2993" s="82" t="str">
        <f t="shared" si="1"/>
        <v/>
      </c>
      <c r="AX2993" s="83" t="str">
        <f t="array" ref="AX2993">IFERROR(DGET('SBV Import'!A:G,"SBV",{"RSC ID","Tier";B2993,A2993}))</f>
        <v/>
      </c>
      <c r="AY2993" s="82" t="str">
        <f t="shared" si="2"/>
        <v/>
      </c>
      <c r="AZ2993" s="82"/>
      <c r="BA2993" s="84" t="s">
        <v>152</v>
      </c>
      <c r="BB2993" s="84" t="str">
        <f>IFERROR(__xludf.DUMMYFUNCTION("iferror(if(A2993="""",,E2993&gt;=FILTER(Constants!$F$2:$F$10,Constants!$A$2:$A$10=A2993)))"),"")</f>
        <v/>
      </c>
    </row>
    <row r="2994">
      <c r="A2994" s="89"/>
      <c r="B2994" s="87"/>
      <c r="C2994" s="73"/>
      <c r="D2994" s="73"/>
      <c r="E2994" s="82"/>
      <c r="F2994" s="82"/>
      <c r="G2994" s="86"/>
      <c r="H2994" s="86"/>
      <c r="I2994" s="86"/>
      <c r="J2994" s="82"/>
      <c r="K2994" s="82"/>
      <c r="L2994" s="82"/>
      <c r="M2994" s="82"/>
      <c r="N2994" s="82"/>
      <c r="O2994" s="82"/>
      <c r="P2994" s="82"/>
      <c r="Q2994" s="82"/>
      <c r="R2994" s="82"/>
      <c r="S2994" s="82"/>
      <c r="T2994" s="82"/>
      <c r="U2994" s="82"/>
      <c r="V2994" s="82"/>
      <c r="W2994" s="82"/>
      <c r="X2994" s="82"/>
      <c r="Y2994" s="82"/>
      <c r="Z2994" s="82"/>
      <c r="AA2994" s="82"/>
      <c r="AB2994" s="82"/>
      <c r="AC2994" s="82"/>
      <c r="AD2994" s="82"/>
      <c r="AE2994" s="82"/>
      <c r="AF2994" s="82"/>
      <c r="AG2994" s="82"/>
      <c r="AH2994" s="82"/>
      <c r="AI2994" s="82"/>
      <c r="AJ2994" s="82"/>
      <c r="AK2994" s="82"/>
      <c r="AL2994" s="82"/>
      <c r="AM2994" s="82"/>
      <c r="AN2994" s="82"/>
      <c r="AO2994" s="82"/>
      <c r="AP2994" s="82"/>
      <c r="AQ2994" s="82"/>
      <c r="AR2994" s="82"/>
      <c r="AS2994" s="82"/>
      <c r="AT2994" s="82"/>
      <c r="AU2994" s="82"/>
      <c r="AV2994" s="82"/>
      <c r="AW2994" s="82" t="str">
        <f t="shared" si="1"/>
        <v/>
      </c>
      <c r="AX2994" s="83" t="str">
        <f t="array" ref="AX2994">IFERROR(DGET('SBV Import'!A:G,"SBV",{"RSC ID","Tier";B2994,A2994}))</f>
        <v/>
      </c>
      <c r="AY2994" s="82" t="str">
        <f t="shared" si="2"/>
        <v/>
      </c>
      <c r="AZ2994" s="82"/>
      <c r="BA2994" s="84" t="s">
        <v>152</v>
      </c>
      <c r="BB2994" s="84" t="str">
        <f>IFERROR(__xludf.DUMMYFUNCTION("iferror(if(A2994="""",,E2994&gt;=FILTER(Constants!$F$2:$F$10,Constants!$A$2:$A$10=A2994)))"),"")</f>
        <v/>
      </c>
    </row>
    <row r="2995">
      <c r="A2995" s="89"/>
      <c r="B2995" s="87"/>
      <c r="C2995" s="73"/>
      <c r="D2995" s="73"/>
      <c r="E2995" s="82"/>
      <c r="F2995" s="82"/>
      <c r="G2995" s="86"/>
      <c r="H2995" s="86"/>
      <c r="I2995" s="86"/>
      <c r="J2995" s="82"/>
      <c r="K2995" s="82"/>
      <c r="L2995" s="82"/>
      <c r="M2995" s="82"/>
      <c r="N2995" s="82"/>
      <c r="O2995" s="82"/>
      <c r="P2995" s="82"/>
      <c r="Q2995" s="82"/>
      <c r="R2995" s="82"/>
      <c r="S2995" s="82"/>
      <c r="T2995" s="82"/>
      <c r="U2995" s="82"/>
      <c r="V2995" s="82"/>
      <c r="W2995" s="82"/>
      <c r="X2995" s="82"/>
      <c r="Y2995" s="82"/>
      <c r="Z2995" s="82"/>
      <c r="AA2995" s="82"/>
      <c r="AB2995" s="82"/>
      <c r="AC2995" s="82"/>
      <c r="AD2995" s="82"/>
      <c r="AE2995" s="82"/>
      <c r="AF2995" s="82"/>
      <c r="AG2995" s="82"/>
      <c r="AH2995" s="82"/>
      <c r="AI2995" s="82"/>
      <c r="AJ2995" s="82"/>
      <c r="AK2995" s="82"/>
      <c r="AL2995" s="82"/>
      <c r="AM2995" s="82"/>
      <c r="AN2995" s="82"/>
      <c r="AO2995" s="82"/>
      <c r="AP2995" s="82"/>
      <c r="AQ2995" s="82"/>
      <c r="AR2995" s="82"/>
      <c r="AS2995" s="82"/>
      <c r="AT2995" s="82"/>
      <c r="AU2995" s="82"/>
      <c r="AV2995" s="82"/>
      <c r="AW2995" s="82" t="str">
        <f t="shared" si="1"/>
        <v/>
      </c>
      <c r="AX2995" s="83" t="str">
        <f t="array" ref="AX2995">IFERROR(DGET('SBV Import'!A:G,"SBV",{"RSC ID","Tier";B2995,A2995}))</f>
        <v/>
      </c>
      <c r="AY2995" s="82" t="str">
        <f t="shared" si="2"/>
        <v/>
      </c>
      <c r="AZ2995" s="82"/>
      <c r="BA2995" s="84" t="s">
        <v>152</v>
      </c>
      <c r="BB2995" s="84" t="str">
        <f>IFERROR(__xludf.DUMMYFUNCTION("iferror(if(A2995="""",,E2995&gt;=FILTER(Constants!$F$2:$F$10,Constants!$A$2:$A$10=A2995)))"),"")</f>
        <v/>
      </c>
    </row>
    <row r="2996">
      <c r="A2996" s="87"/>
      <c r="B2996" s="87"/>
      <c r="C2996" s="73"/>
      <c r="D2996" s="73"/>
      <c r="E2996" s="82"/>
      <c r="F2996" s="82"/>
      <c r="G2996" s="86"/>
      <c r="H2996" s="86"/>
      <c r="I2996" s="86"/>
      <c r="J2996" s="82"/>
      <c r="K2996" s="82"/>
      <c r="L2996" s="82"/>
      <c r="M2996" s="82"/>
      <c r="N2996" s="82"/>
      <c r="O2996" s="82"/>
      <c r="P2996" s="82"/>
      <c r="Q2996" s="82"/>
      <c r="R2996" s="82"/>
      <c r="S2996" s="82"/>
      <c r="T2996" s="82"/>
      <c r="U2996" s="82"/>
      <c r="V2996" s="82"/>
      <c r="W2996" s="82"/>
      <c r="X2996" s="82"/>
      <c r="Y2996" s="82"/>
      <c r="Z2996" s="82"/>
      <c r="AA2996" s="82"/>
      <c r="AB2996" s="82"/>
      <c r="AC2996" s="82"/>
      <c r="AD2996" s="82"/>
      <c r="AE2996" s="82"/>
      <c r="AF2996" s="82"/>
      <c r="AG2996" s="82"/>
      <c r="AH2996" s="82"/>
      <c r="AI2996" s="82"/>
      <c r="AJ2996" s="82"/>
      <c r="AK2996" s="82"/>
      <c r="AL2996" s="82"/>
      <c r="AM2996" s="82"/>
      <c r="AN2996" s="82"/>
      <c r="AO2996" s="82"/>
      <c r="AP2996" s="82"/>
      <c r="AQ2996" s="82"/>
      <c r="AR2996" s="82"/>
      <c r="AS2996" s="82"/>
      <c r="AT2996" s="82"/>
      <c r="AU2996" s="82"/>
      <c r="AV2996" s="82"/>
      <c r="AW2996" s="82" t="str">
        <f t="shared" si="1"/>
        <v/>
      </c>
      <c r="AX2996" s="83" t="str">
        <f t="array" ref="AX2996">IFERROR(DGET('SBV Import'!A:G,"SBV",{"RSC ID","Tier";B2996,A2996}))</f>
        <v/>
      </c>
      <c r="AY2996" s="82" t="str">
        <f t="shared" si="2"/>
        <v/>
      </c>
      <c r="AZ2996" s="82"/>
      <c r="BA2996" s="84" t="s">
        <v>152</v>
      </c>
      <c r="BB2996" s="84" t="str">
        <f>IFERROR(__xludf.DUMMYFUNCTION("iferror(if(A2996="""",,E2996&gt;=FILTER(Constants!$F$2:$F$10,Constants!$A$2:$A$10=A2996)))"),"")</f>
        <v/>
      </c>
    </row>
    <row r="2997">
      <c r="A2997" s="87"/>
      <c r="B2997" s="87"/>
      <c r="C2997" s="73"/>
      <c r="D2997" s="73"/>
      <c r="E2997" s="82"/>
      <c r="F2997" s="82"/>
      <c r="G2997" s="86"/>
      <c r="H2997" s="86"/>
      <c r="I2997" s="86"/>
      <c r="J2997" s="82"/>
      <c r="K2997" s="82"/>
      <c r="L2997" s="82"/>
      <c r="M2997" s="82"/>
      <c r="N2997" s="82"/>
      <c r="O2997" s="82"/>
      <c r="P2997" s="82"/>
      <c r="Q2997" s="82"/>
      <c r="R2997" s="82"/>
      <c r="S2997" s="82"/>
      <c r="T2997" s="82"/>
      <c r="U2997" s="82"/>
      <c r="V2997" s="82"/>
      <c r="W2997" s="82"/>
      <c r="X2997" s="82"/>
      <c r="Y2997" s="82"/>
      <c r="Z2997" s="82"/>
      <c r="AA2997" s="82"/>
      <c r="AB2997" s="82"/>
      <c r="AC2997" s="82"/>
      <c r="AD2997" s="82"/>
      <c r="AE2997" s="82"/>
      <c r="AF2997" s="82"/>
      <c r="AG2997" s="82"/>
      <c r="AH2997" s="82"/>
      <c r="AI2997" s="82"/>
      <c r="AJ2997" s="82"/>
      <c r="AK2997" s="82"/>
      <c r="AL2997" s="82"/>
      <c r="AM2997" s="82"/>
      <c r="AN2997" s="82"/>
      <c r="AO2997" s="82"/>
      <c r="AP2997" s="82"/>
      <c r="AQ2997" s="82"/>
      <c r="AR2997" s="82"/>
      <c r="AS2997" s="82"/>
      <c r="AT2997" s="82"/>
      <c r="AU2997" s="82"/>
      <c r="AV2997" s="82"/>
      <c r="AW2997" s="82" t="str">
        <f t="shared" si="1"/>
        <v/>
      </c>
      <c r="AX2997" s="83" t="str">
        <f t="array" ref="AX2997">IFERROR(DGET('SBV Import'!A:G,"SBV",{"RSC ID","Tier";B2997,A2997}))</f>
        <v/>
      </c>
      <c r="AY2997" s="82" t="str">
        <f t="shared" si="2"/>
        <v/>
      </c>
      <c r="AZ2997" s="82"/>
      <c r="BA2997" s="84" t="s">
        <v>152</v>
      </c>
      <c r="BB2997" s="84" t="str">
        <f>IFERROR(__xludf.DUMMYFUNCTION("iferror(if(A2997="""",,E2997&gt;=FILTER(Constants!$F$2:$F$10,Constants!$A$2:$A$10=A2997)))"),"")</f>
        <v/>
      </c>
    </row>
    <row r="2998">
      <c r="A2998" s="87"/>
      <c r="B2998" s="87"/>
      <c r="C2998" s="73"/>
      <c r="D2998" s="73"/>
      <c r="E2998" s="82"/>
      <c r="F2998" s="82"/>
      <c r="G2998" s="86"/>
      <c r="H2998" s="86"/>
      <c r="I2998" s="86"/>
      <c r="J2998" s="82"/>
      <c r="K2998" s="82"/>
      <c r="L2998" s="82"/>
      <c r="M2998" s="82"/>
      <c r="N2998" s="82"/>
      <c r="O2998" s="82"/>
      <c r="P2998" s="82"/>
      <c r="Q2998" s="82"/>
      <c r="R2998" s="82"/>
      <c r="S2998" s="82"/>
      <c r="T2998" s="82"/>
      <c r="U2998" s="82"/>
      <c r="V2998" s="82"/>
      <c r="W2998" s="82"/>
      <c r="X2998" s="82"/>
      <c r="Y2998" s="82"/>
      <c r="Z2998" s="82"/>
      <c r="AA2998" s="82"/>
      <c r="AB2998" s="82"/>
      <c r="AC2998" s="82"/>
      <c r="AD2998" s="82"/>
      <c r="AE2998" s="82"/>
      <c r="AF2998" s="82"/>
      <c r="AG2998" s="82"/>
      <c r="AH2998" s="82"/>
      <c r="AI2998" s="82"/>
      <c r="AJ2998" s="82"/>
      <c r="AK2998" s="82"/>
      <c r="AL2998" s="82"/>
      <c r="AM2998" s="82"/>
      <c r="AN2998" s="82"/>
      <c r="AO2998" s="82"/>
      <c r="AP2998" s="82"/>
      <c r="AQ2998" s="82"/>
      <c r="AR2998" s="82"/>
      <c r="AS2998" s="82"/>
      <c r="AT2998" s="82"/>
      <c r="AU2998" s="82"/>
      <c r="AV2998" s="82"/>
      <c r="AW2998" s="82" t="str">
        <f t="shared" si="1"/>
        <v/>
      </c>
      <c r="AX2998" s="83" t="str">
        <f t="array" ref="AX2998">IFERROR(DGET('SBV Import'!A:G,"SBV",{"RSC ID","Tier";B2998,A2998}))</f>
        <v/>
      </c>
      <c r="AY2998" s="82" t="str">
        <f t="shared" si="2"/>
        <v/>
      </c>
      <c r="AZ2998" s="82"/>
      <c r="BA2998" s="84" t="s">
        <v>152</v>
      </c>
      <c r="BB2998" s="84" t="str">
        <f>IFERROR(__xludf.DUMMYFUNCTION("iferror(if(A2998="""",,E2998&gt;=FILTER(Constants!$F$2:$F$10,Constants!$A$2:$A$10=A2998)))"),"")</f>
        <v/>
      </c>
    </row>
    <row r="2999">
      <c r="A2999" s="87"/>
      <c r="B2999" s="87"/>
      <c r="C2999" s="73"/>
      <c r="D2999" s="73"/>
      <c r="E2999" s="82"/>
      <c r="F2999" s="82"/>
      <c r="G2999" s="86"/>
      <c r="H2999" s="86"/>
      <c r="I2999" s="86"/>
      <c r="J2999" s="82"/>
      <c r="K2999" s="82"/>
      <c r="L2999" s="82"/>
      <c r="M2999" s="82"/>
      <c r="N2999" s="82"/>
      <c r="O2999" s="82"/>
      <c r="P2999" s="82"/>
      <c r="Q2999" s="82"/>
      <c r="R2999" s="82"/>
      <c r="S2999" s="82"/>
      <c r="T2999" s="82"/>
      <c r="U2999" s="82"/>
      <c r="V2999" s="82"/>
      <c r="W2999" s="82"/>
      <c r="X2999" s="82"/>
      <c r="Y2999" s="82"/>
      <c r="Z2999" s="82"/>
      <c r="AA2999" s="82"/>
      <c r="AB2999" s="82"/>
      <c r="AC2999" s="82"/>
      <c r="AD2999" s="82"/>
      <c r="AE2999" s="82"/>
      <c r="AF2999" s="82"/>
      <c r="AG2999" s="82"/>
      <c r="AH2999" s="82"/>
      <c r="AI2999" s="82"/>
      <c r="AJ2999" s="82"/>
      <c r="AK2999" s="82"/>
      <c r="AL2999" s="82"/>
      <c r="AM2999" s="82"/>
      <c r="AN2999" s="82"/>
      <c r="AO2999" s="82"/>
      <c r="AP2999" s="82"/>
      <c r="AQ2999" s="82"/>
      <c r="AR2999" s="82"/>
      <c r="AS2999" s="82"/>
      <c r="AT2999" s="82"/>
      <c r="AU2999" s="82"/>
      <c r="AV2999" s="82"/>
      <c r="AW2999" s="82" t="str">
        <f t="shared" si="1"/>
        <v/>
      </c>
      <c r="AX2999" s="83" t="str">
        <f t="array" ref="AX2999">IFERROR(DGET('SBV Import'!A:G,"SBV",{"RSC ID","Tier";B2999,A2999}))</f>
        <v/>
      </c>
      <c r="AY2999" s="82" t="str">
        <f t="shared" si="2"/>
        <v/>
      </c>
      <c r="AZ2999" s="82"/>
      <c r="BA2999" s="84" t="s">
        <v>152</v>
      </c>
      <c r="BB2999" s="84" t="str">
        <f>IFERROR(__xludf.DUMMYFUNCTION("iferror(if(A2999="""",,E2999&gt;=FILTER(Constants!$F$2:$F$10,Constants!$A$2:$A$10=A2999)))"),"")</f>
        <v/>
      </c>
    </row>
    <row r="3000">
      <c r="A3000" s="87"/>
      <c r="B3000" s="87"/>
      <c r="C3000" s="73"/>
      <c r="D3000" s="73"/>
      <c r="E3000" s="82"/>
      <c r="F3000" s="82"/>
      <c r="G3000" s="86"/>
      <c r="H3000" s="86"/>
      <c r="I3000" s="86"/>
      <c r="J3000" s="82"/>
      <c r="K3000" s="82"/>
      <c r="L3000" s="82"/>
      <c r="M3000" s="82"/>
      <c r="N3000" s="82"/>
      <c r="O3000" s="82"/>
      <c r="P3000" s="82"/>
      <c r="Q3000" s="82"/>
      <c r="R3000" s="82"/>
      <c r="S3000" s="82"/>
      <c r="T3000" s="82"/>
      <c r="U3000" s="82"/>
      <c r="V3000" s="82"/>
      <c r="W3000" s="82"/>
      <c r="X3000" s="82"/>
      <c r="Y3000" s="82"/>
      <c r="Z3000" s="82"/>
      <c r="AA3000" s="82"/>
      <c r="AB3000" s="82"/>
      <c r="AC3000" s="82"/>
      <c r="AD3000" s="82"/>
      <c r="AE3000" s="82"/>
      <c r="AF3000" s="82"/>
      <c r="AG3000" s="82"/>
      <c r="AH3000" s="82"/>
      <c r="AI3000" s="82"/>
      <c r="AJ3000" s="82"/>
      <c r="AK3000" s="82"/>
      <c r="AL3000" s="82"/>
      <c r="AM3000" s="82"/>
      <c r="AN3000" s="82"/>
      <c r="AO3000" s="82"/>
      <c r="AP3000" s="82"/>
      <c r="AQ3000" s="82"/>
      <c r="AR3000" s="82"/>
      <c r="AS3000" s="82"/>
      <c r="AT3000" s="82"/>
      <c r="AU3000" s="82"/>
      <c r="AV3000" s="82"/>
      <c r="AW3000" s="82" t="str">
        <f t="shared" si="1"/>
        <v/>
      </c>
      <c r="AX3000" s="83" t="str">
        <f t="array" ref="AX3000">IFERROR(DGET('SBV Import'!A:G,"SBV",{"RSC ID","Tier";B3000,A3000}))</f>
        <v/>
      </c>
      <c r="AY3000" s="82" t="str">
        <f t="shared" si="2"/>
        <v/>
      </c>
      <c r="AZ3000" s="82"/>
      <c r="BA3000" s="84" t="s">
        <v>152</v>
      </c>
      <c r="BB3000" s="84" t="str">
        <f>IFERROR(__xludf.DUMMYFUNCTION("iferror(if(A3000="""",,E3000&gt;=FILTER(Constants!$F$2:$F$10,Constants!$A$2:$A$10=A3000)))"),"")</f>
        <v/>
      </c>
    </row>
    <row r="3001">
      <c r="A3001" s="87"/>
      <c r="B3001" s="87"/>
      <c r="C3001" s="73"/>
      <c r="D3001" s="73"/>
      <c r="E3001" s="82"/>
      <c r="F3001" s="82"/>
      <c r="G3001" s="86"/>
      <c r="H3001" s="86"/>
      <c r="I3001" s="86"/>
      <c r="J3001" s="82"/>
      <c r="K3001" s="82"/>
      <c r="L3001" s="82"/>
      <c r="M3001" s="82"/>
      <c r="N3001" s="82"/>
      <c r="O3001" s="82"/>
      <c r="P3001" s="82"/>
      <c r="Q3001" s="82"/>
      <c r="R3001" s="82"/>
      <c r="S3001" s="82"/>
      <c r="T3001" s="82"/>
      <c r="U3001" s="82"/>
      <c r="V3001" s="82"/>
      <c r="W3001" s="82"/>
      <c r="X3001" s="82"/>
      <c r="Y3001" s="82"/>
      <c r="Z3001" s="82"/>
      <c r="AA3001" s="82"/>
      <c r="AB3001" s="82"/>
      <c r="AC3001" s="82"/>
      <c r="AD3001" s="82"/>
      <c r="AE3001" s="82"/>
      <c r="AF3001" s="82"/>
      <c r="AG3001" s="82"/>
      <c r="AH3001" s="82"/>
      <c r="AI3001" s="82"/>
      <c r="AJ3001" s="82"/>
      <c r="AK3001" s="82"/>
      <c r="AL3001" s="82"/>
      <c r="AM3001" s="82"/>
      <c r="AN3001" s="82"/>
      <c r="AO3001" s="82"/>
      <c r="AP3001" s="82"/>
      <c r="AQ3001" s="82"/>
      <c r="AR3001" s="82"/>
      <c r="AS3001" s="82"/>
      <c r="AT3001" s="82"/>
      <c r="AU3001" s="82"/>
      <c r="AV3001" s="82"/>
      <c r="AW3001" s="82" t="str">
        <f t="shared" si="1"/>
        <v/>
      </c>
      <c r="AX3001" s="83" t="str">
        <f t="array" ref="AX3001">IFERROR(DGET('SBV Import'!A:G,"SBV",{"RSC ID","Tier";B3001,A3001}))</f>
        <v/>
      </c>
      <c r="AY3001" s="82" t="str">
        <f t="shared" si="2"/>
        <v/>
      </c>
      <c r="AZ3001" s="82"/>
      <c r="BA3001" s="84" t="s">
        <v>152</v>
      </c>
      <c r="BB3001" s="84" t="str">
        <f>IFERROR(__xludf.DUMMYFUNCTION("iferror(if(A3001="""",,E3001&gt;=FILTER(Constants!$F$2:$F$10,Constants!$A$2:$A$10=A3001)))"),"")</f>
        <v/>
      </c>
    </row>
    <row r="3002">
      <c r="A3002" s="87"/>
      <c r="B3002" s="87"/>
      <c r="C3002" s="73"/>
      <c r="D3002" s="73"/>
      <c r="E3002" s="82"/>
      <c r="F3002" s="82"/>
      <c r="G3002" s="86"/>
      <c r="H3002" s="86"/>
      <c r="I3002" s="86"/>
      <c r="J3002" s="82"/>
      <c r="K3002" s="82"/>
      <c r="L3002" s="82"/>
      <c r="M3002" s="82"/>
      <c r="N3002" s="82"/>
      <c r="O3002" s="82"/>
      <c r="P3002" s="82"/>
      <c r="Q3002" s="82"/>
      <c r="R3002" s="82"/>
      <c r="S3002" s="82"/>
      <c r="T3002" s="82"/>
      <c r="U3002" s="82"/>
      <c r="V3002" s="82"/>
      <c r="W3002" s="82"/>
      <c r="X3002" s="82"/>
      <c r="Y3002" s="82"/>
      <c r="Z3002" s="82"/>
      <c r="AA3002" s="82"/>
      <c r="AB3002" s="82"/>
      <c r="AC3002" s="82"/>
      <c r="AD3002" s="82"/>
      <c r="AE3002" s="82"/>
      <c r="AF3002" s="82"/>
      <c r="AG3002" s="82"/>
      <c r="AH3002" s="82"/>
      <c r="AI3002" s="82"/>
      <c r="AJ3002" s="82"/>
      <c r="AK3002" s="82"/>
      <c r="AL3002" s="82"/>
      <c r="AM3002" s="82"/>
      <c r="AN3002" s="82"/>
      <c r="AO3002" s="82"/>
      <c r="AP3002" s="82"/>
      <c r="AQ3002" s="82"/>
      <c r="AR3002" s="82"/>
      <c r="AS3002" s="82"/>
      <c r="AT3002" s="82"/>
      <c r="AU3002" s="82"/>
      <c r="AV3002" s="82"/>
      <c r="AW3002" s="82" t="str">
        <f t="shared" si="1"/>
        <v/>
      </c>
      <c r="AX3002" s="83" t="str">
        <f t="array" ref="AX3002">IFERROR(DGET('SBV Import'!A:G,"SBV",{"RSC ID","Tier";B3002,A3002}))</f>
        <v/>
      </c>
      <c r="AY3002" s="82" t="str">
        <f t="shared" si="2"/>
        <v/>
      </c>
      <c r="AZ3002" s="82"/>
      <c r="BA3002" s="84" t="s">
        <v>152</v>
      </c>
      <c r="BB3002" s="84" t="str">
        <f>IFERROR(__xludf.DUMMYFUNCTION("iferror(if(A3002="""",,E3002&gt;=FILTER(Constants!$F$2:$F$10,Constants!$A$2:$A$10=A3002)))"),"")</f>
        <v/>
      </c>
    </row>
    <row r="3003">
      <c r="A3003" s="87"/>
      <c r="B3003" s="87"/>
      <c r="C3003" s="73"/>
      <c r="D3003" s="73"/>
      <c r="E3003" s="82"/>
      <c r="F3003" s="82"/>
      <c r="G3003" s="86"/>
      <c r="H3003" s="86"/>
      <c r="I3003" s="86"/>
      <c r="J3003" s="82"/>
      <c r="K3003" s="82"/>
      <c r="L3003" s="82"/>
      <c r="M3003" s="82"/>
      <c r="N3003" s="82"/>
      <c r="O3003" s="82"/>
      <c r="P3003" s="82"/>
      <c r="Q3003" s="82"/>
      <c r="R3003" s="82"/>
      <c r="S3003" s="82"/>
      <c r="T3003" s="82"/>
      <c r="U3003" s="82"/>
      <c r="V3003" s="82"/>
      <c r="W3003" s="82"/>
      <c r="X3003" s="82"/>
      <c r="Y3003" s="82"/>
      <c r="Z3003" s="82"/>
      <c r="AA3003" s="82"/>
      <c r="AB3003" s="82"/>
      <c r="AC3003" s="82"/>
      <c r="AD3003" s="82"/>
      <c r="AE3003" s="82"/>
      <c r="AF3003" s="82"/>
      <c r="AG3003" s="82"/>
      <c r="AH3003" s="82"/>
      <c r="AI3003" s="82"/>
      <c r="AJ3003" s="82"/>
      <c r="AK3003" s="82"/>
      <c r="AL3003" s="82"/>
      <c r="AM3003" s="82"/>
      <c r="AN3003" s="82"/>
      <c r="AO3003" s="82"/>
      <c r="AP3003" s="82"/>
      <c r="AQ3003" s="82"/>
      <c r="AR3003" s="82"/>
      <c r="AS3003" s="82"/>
      <c r="AT3003" s="82"/>
      <c r="AU3003" s="82"/>
      <c r="AV3003" s="82"/>
      <c r="AW3003" s="82" t="str">
        <f t="shared" si="1"/>
        <v/>
      </c>
      <c r="AX3003" s="83" t="str">
        <f t="array" ref="AX3003">IFERROR(DGET('SBV Import'!A:G,"SBV",{"RSC ID","Tier";B3003,A3003}))</f>
        <v/>
      </c>
      <c r="AY3003" s="82" t="str">
        <f t="shared" si="2"/>
        <v/>
      </c>
      <c r="AZ3003" s="82"/>
      <c r="BA3003" s="84" t="s">
        <v>152</v>
      </c>
      <c r="BB3003" s="84" t="str">
        <f>IFERROR(__xludf.DUMMYFUNCTION("iferror(if(A3003="""",,E3003&gt;=FILTER(Constants!$F$2:$F$10,Constants!$A$2:$A$10=A3003)))"),"")</f>
        <v/>
      </c>
    </row>
    <row r="3004">
      <c r="A3004" s="87"/>
      <c r="B3004" s="87"/>
      <c r="C3004" s="73"/>
      <c r="D3004" s="73"/>
      <c r="E3004" s="82"/>
      <c r="F3004" s="82"/>
      <c r="G3004" s="86"/>
      <c r="H3004" s="86"/>
      <c r="I3004" s="86"/>
      <c r="J3004" s="82"/>
      <c r="K3004" s="82"/>
      <c r="L3004" s="82"/>
      <c r="M3004" s="82"/>
      <c r="N3004" s="82"/>
      <c r="O3004" s="82"/>
      <c r="P3004" s="82"/>
      <c r="Q3004" s="82"/>
      <c r="R3004" s="82"/>
      <c r="S3004" s="82"/>
      <c r="T3004" s="82"/>
      <c r="U3004" s="82"/>
      <c r="V3004" s="82"/>
      <c r="W3004" s="82"/>
      <c r="X3004" s="82"/>
      <c r="Y3004" s="82"/>
      <c r="Z3004" s="82"/>
      <c r="AA3004" s="82"/>
      <c r="AB3004" s="82"/>
      <c r="AC3004" s="82"/>
      <c r="AD3004" s="82"/>
      <c r="AE3004" s="82"/>
      <c r="AF3004" s="82"/>
      <c r="AG3004" s="82"/>
      <c r="AH3004" s="82"/>
      <c r="AI3004" s="82"/>
      <c r="AJ3004" s="82"/>
      <c r="AK3004" s="82"/>
      <c r="AL3004" s="82"/>
      <c r="AM3004" s="82"/>
      <c r="AN3004" s="82"/>
      <c r="AO3004" s="82"/>
      <c r="AP3004" s="82"/>
      <c r="AQ3004" s="82"/>
      <c r="AR3004" s="82"/>
      <c r="AS3004" s="82"/>
      <c r="AT3004" s="82"/>
      <c r="AU3004" s="82"/>
      <c r="AV3004" s="82"/>
      <c r="AW3004" s="82" t="str">
        <f t="shared" si="1"/>
        <v/>
      </c>
      <c r="AX3004" s="83" t="str">
        <f t="array" ref="AX3004">IFERROR(DGET('SBV Import'!A:G,"SBV",{"RSC ID","Tier";B3004,A3004}))</f>
        <v/>
      </c>
      <c r="AY3004" s="82" t="str">
        <f t="shared" si="2"/>
        <v/>
      </c>
      <c r="AZ3004" s="82"/>
      <c r="BA3004" s="84" t="s">
        <v>152</v>
      </c>
      <c r="BB3004" s="84" t="str">
        <f>IFERROR(__xludf.DUMMYFUNCTION("iferror(if(A3004="""",,E3004&gt;=FILTER(Constants!$F$2:$F$10,Constants!$A$2:$A$10=A3004)))"),"")</f>
        <v/>
      </c>
    </row>
    <row r="3005">
      <c r="A3005" s="87"/>
      <c r="B3005" s="87"/>
      <c r="C3005" s="73"/>
      <c r="D3005" s="73"/>
      <c r="E3005" s="82"/>
      <c r="F3005" s="82"/>
      <c r="G3005" s="86"/>
      <c r="H3005" s="86"/>
      <c r="I3005" s="86"/>
      <c r="J3005" s="82"/>
      <c r="K3005" s="82"/>
      <c r="L3005" s="82"/>
      <c r="M3005" s="82"/>
      <c r="N3005" s="82"/>
      <c r="O3005" s="82"/>
      <c r="P3005" s="82"/>
      <c r="Q3005" s="82"/>
      <c r="R3005" s="82"/>
      <c r="S3005" s="82"/>
      <c r="T3005" s="82"/>
      <c r="U3005" s="82"/>
      <c r="V3005" s="82"/>
      <c r="W3005" s="82"/>
      <c r="X3005" s="82"/>
      <c r="Y3005" s="82"/>
      <c r="Z3005" s="82"/>
      <c r="AA3005" s="82"/>
      <c r="AB3005" s="82"/>
      <c r="AC3005" s="82"/>
      <c r="AD3005" s="82"/>
      <c r="AE3005" s="82"/>
      <c r="AF3005" s="82"/>
      <c r="AG3005" s="82"/>
      <c r="AH3005" s="82"/>
      <c r="AI3005" s="82"/>
      <c r="AJ3005" s="82"/>
      <c r="AK3005" s="82"/>
      <c r="AL3005" s="82"/>
      <c r="AM3005" s="82"/>
      <c r="AN3005" s="82"/>
      <c r="AO3005" s="82"/>
      <c r="AP3005" s="82"/>
      <c r="AQ3005" s="82"/>
      <c r="AR3005" s="82"/>
      <c r="AS3005" s="82"/>
      <c r="AT3005" s="82"/>
      <c r="AU3005" s="82"/>
      <c r="AV3005" s="82"/>
      <c r="AW3005" s="82" t="str">
        <f t="shared" si="1"/>
        <v/>
      </c>
      <c r="AX3005" s="83" t="str">
        <f t="array" ref="AX3005">IFERROR(DGET('SBV Import'!A:G,"SBV",{"RSC ID","Tier";B3005,A3005}))</f>
        <v/>
      </c>
      <c r="AY3005" s="82" t="str">
        <f t="shared" si="2"/>
        <v/>
      </c>
      <c r="AZ3005" s="82"/>
      <c r="BA3005" s="84" t="s">
        <v>152</v>
      </c>
      <c r="BB3005" s="84" t="str">
        <f>IFERROR(__xludf.DUMMYFUNCTION("iferror(if(A3005="""",,E3005&gt;=FILTER(Constants!$F$2:$F$10,Constants!$A$2:$A$10=A3005)))"),"")</f>
        <v/>
      </c>
    </row>
    <row r="3006">
      <c r="A3006" s="87"/>
      <c r="B3006" s="87"/>
      <c r="C3006" s="73"/>
      <c r="D3006" s="73"/>
      <c r="E3006" s="82"/>
      <c r="F3006" s="82"/>
      <c r="G3006" s="86"/>
      <c r="H3006" s="86"/>
      <c r="I3006" s="86"/>
      <c r="J3006" s="82"/>
      <c r="K3006" s="82"/>
      <c r="L3006" s="82"/>
      <c r="M3006" s="82"/>
      <c r="N3006" s="82"/>
      <c r="O3006" s="82"/>
      <c r="P3006" s="82"/>
      <c r="Q3006" s="82"/>
      <c r="R3006" s="82"/>
      <c r="S3006" s="82"/>
      <c r="T3006" s="82"/>
      <c r="U3006" s="82"/>
      <c r="V3006" s="82"/>
      <c r="W3006" s="82"/>
      <c r="X3006" s="82"/>
      <c r="Y3006" s="82"/>
      <c r="Z3006" s="82"/>
      <c r="AA3006" s="82"/>
      <c r="AB3006" s="82"/>
      <c r="AC3006" s="82"/>
      <c r="AD3006" s="82"/>
      <c r="AE3006" s="82"/>
      <c r="AF3006" s="82"/>
      <c r="AG3006" s="82"/>
      <c r="AH3006" s="82"/>
      <c r="AI3006" s="82"/>
      <c r="AJ3006" s="82"/>
      <c r="AK3006" s="82"/>
      <c r="AL3006" s="82"/>
      <c r="AM3006" s="82"/>
      <c r="AN3006" s="82"/>
      <c r="AO3006" s="82"/>
      <c r="AP3006" s="82"/>
      <c r="AQ3006" s="82"/>
      <c r="AR3006" s="82"/>
      <c r="AS3006" s="82"/>
      <c r="AT3006" s="82"/>
      <c r="AU3006" s="82"/>
      <c r="AV3006" s="82"/>
      <c r="AW3006" s="82" t="str">
        <f t="shared" si="1"/>
        <v/>
      </c>
      <c r="AX3006" s="83" t="str">
        <f t="array" ref="AX3006">IFERROR(DGET('SBV Import'!A:G,"SBV",{"RSC ID","Tier";B3006,A3006}))</f>
        <v/>
      </c>
      <c r="AY3006" s="82" t="str">
        <f t="shared" si="2"/>
        <v/>
      </c>
      <c r="AZ3006" s="82"/>
      <c r="BA3006" s="84" t="s">
        <v>152</v>
      </c>
      <c r="BB3006" s="84" t="str">
        <f>IFERROR(__xludf.DUMMYFUNCTION("iferror(if(A3006="""",,E3006&gt;=FILTER(Constants!$F$2:$F$10,Constants!$A$2:$A$10=A3006)))"),"")</f>
        <v/>
      </c>
    </row>
    <row r="3007">
      <c r="A3007" s="87"/>
      <c r="B3007" s="87"/>
      <c r="C3007" s="73"/>
      <c r="D3007" s="73"/>
      <c r="E3007" s="82"/>
      <c r="F3007" s="82"/>
      <c r="G3007" s="86"/>
      <c r="H3007" s="86"/>
      <c r="I3007" s="86"/>
      <c r="J3007" s="82"/>
      <c r="K3007" s="82"/>
      <c r="L3007" s="82"/>
      <c r="M3007" s="82"/>
      <c r="N3007" s="82"/>
      <c r="O3007" s="82"/>
      <c r="P3007" s="82"/>
      <c r="Q3007" s="82"/>
      <c r="R3007" s="82"/>
      <c r="S3007" s="82"/>
      <c r="T3007" s="82"/>
      <c r="U3007" s="82"/>
      <c r="V3007" s="82"/>
      <c r="W3007" s="82"/>
      <c r="X3007" s="82"/>
      <c r="Y3007" s="82"/>
      <c r="Z3007" s="82"/>
      <c r="AA3007" s="82"/>
      <c r="AB3007" s="82"/>
      <c r="AC3007" s="82"/>
      <c r="AD3007" s="82"/>
      <c r="AE3007" s="82"/>
      <c r="AF3007" s="82"/>
      <c r="AG3007" s="82"/>
      <c r="AH3007" s="82"/>
      <c r="AI3007" s="82"/>
      <c r="AJ3007" s="82"/>
      <c r="AK3007" s="82"/>
      <c r="AL3007" s="82"/>
      <c r="AM3007" s="82"/>
      <c r="AN3007" s="82"/>
      <c r="AO3007" s="82"/>
      <c r="AP3007" s="82"/>
      <c r="AQ3007" s="82"/>
      <c r="AR3007" s="82"/>
      <c r="AS3007" s="82"/>
      <c r="AT3007" s="82"/>
      <c r="AU3007" s="82"/>
      <c r="AV3007" s="82"/>
      <c r="AW3007" s="82" t="str">
        <f t="shared" si="1"/>
        <v/>
      </c>
      <c r="AX3007" s="83" t="str">
        <f t="array" ref="AX3007">IFERROR(DGET('SBV Import'!A:G,"SBV",{"RSC ID","Tier";B3007,A3007}))</f>
        <v/>
      </c>
      <c r="AY3007" s="82" t="str">
        <f t="shared" si="2"/>
        <v/>
      </c>
      <c r="AZ3007" s="82"/>
      <c r="BA3007" s="84" t="s">
        <v>152</v>
      </c>
      <c r="BB3007" s="84" t="str">
        <f>IFERROR(__xludf.DUMMYFUNCTION("iferror(if(A3007="""",,E3007&gt;=FILTER(Constants!$F$2:$F$10,Constants!$A$2:$A$10=A3007)))"),"")</f>
        <v/>
      </c>
    </row>
    <row r="3008">
      <c r="A3008" s="87"/>
      <c r="B3008" s="87"/>
      <c r="C3008" s="73"/>
      <c r="D3008" s="73"/>
      <c r="E3008" s="82"/>
      <c r="F3008" s="82"/>
      <c r="G3008" s="86"/>
      <c r="H3008" s="86"/>
      <c r="I3008" s="86"/>
      <c r="J3008" s="82"/>
      <c r="K3008" s="82"/>
      <c r="L3008" s="82"/>
      <c r="M3008" s="82"/>
      <c r="N3008" s="82"/>
      <c r="O3008" s="82"/>
      <c r="P3008" s="82"/>
      <c r="Q3008" s="82"/>
      <c r="R3008" s="82"/>
      <c r="S3008" s="82"/>
      <c r="T3008" s="82"/>
      <c r="U3008" s="82"/>
      <c r="V3008" s="82"/>
      <c r="W3008" s="82"/>
      <c r="X3008" s="82"/>
      <c r="Y3008" s="82"/>
      <c r="Z3008" s="82"/>
      <c r="AA3008" s="82"/>
      <c r="AB3008" s="82"/>
      <c r="AC3008" s="82"/>
      <c r="AD3008" s="82"/>
      <c r="AE3008" s="82"/>
      <c r="AF3008" s="82"/>
      <c r="AG3008" s="82"/>
      <c r="AH3008" s="82"/>
      <c r="AI3008" s="82"/>
      <c r="AJ3008" s="82"/>
      <c r="AK3008" s="82"/>
      <c r="AL3008" s="82"/>
      <c r="AM3008" s="82"/>
      <c r="AN3008" s="82"/>
      <c r="AO3008" s="82"/>
      <c r="AP3008" s="82"/>
      <c r="AQ3008" s="82"/>
      <c r="AR3008" s="82"/>
      <c r="AS3008" s="82"/>
      <c r="AT3008" s="82"/>
      <c r="AU3008" s="82"/>
      <c r="AV3008" s="82"/>
      <c r="AW3008" s="82" t="str">
        <f t="shared" si="1"/>
        <v/>
      </c>
      <c r="AX3008" s="83" t="str">
        <f t="array" ref="AX3008">IFERROR(DGET('SBV Import'!A:G,"SBV",{"RSC ID","Tier";B3008,A3008}))</f>
        <v/>
      </c>
      <c r="AY3008" s="82" t="str">
        <f t="shared" si="2"/>
        <v/>
      </c>
      <c r="AZ3008" s="82"/>
      <c r="BA3008" s="84" t="s">
        <v>152</v>
      </c>
      <c r="BB3008" s="84" t="str">
        <f>IFERROR(__xludf.DUMMYFUNCTION("iferror(if(A3008="""",,E3008&gt;=FILTER(Constants!$F$2:$F$10,Constants!$A$2:$A$10=A3008)))"),"")</f>
        <v/>
      </c>
    </row>
    <row r="3009">
      <c r="A3009" s="87"/>
      <c r="B3009" s="87"/>
      <c r="C3009" s="73"/>
      <c r="D3009" s="73"/>
      <c r="E3009" s="82"/>
      <c r="F3009" s="82"/>
      <c r="G3009" s="86"/>
      <c r="H3009" s="86"/>
      <c r="I3009" s="86"/>
      <c r="J3009" s="82"/>
      <c r="K3009" s="82"/>
      <c r="L3009" s="82"/>
      <c r="M3009" s="82"/>
      <c r="N3009" s="82"/>
      <c r="O3009" s="82"/>
      <c r="P3009" s="82"/>
      <c r="Q3009" s="82"/>
      <c r="R3009" s="82"/>
      <c r="S3009" s="82"/>
      <c r="T3009" s="82"/>
      <c r="U3009" s="82"/>
      <c r="V3009" s="82"/>
      <c r="W3009" s="82"/>
      <c r="X3009" s="82"/>
      <c r="Y3009" s="82"/>
      <c r="Z3009" s="82"/>
      <c r="AA3009" s="82"/>
      <c r="AB3009" s="82"/>
      <c r="AC3009" s="82"/>
      <c r="AD3009" s="82"/>
      <c r="AE3009" s="82"/>
      <c r="AF3009" s="82"/>
      <c r="AG3009" s="82"/>
      <c r="AH3009" s="82"/>
      <c r="AI3009" s="82"/>
      <c r="AJ3009" s="82"/>
      <c r="AK3009" s="82"/>
      <c r="AL3009" s="82"/>
      <c r="AM3009" s="82"/>
      <c r="AN3009" s="82"/>
      <c r="AO3009" s="82"/>
      <c r="AP3009" s="82"/>
      <c r="AQ3009" s="82"/>
      <c r="AR3009" s="82"/>
      <c r="AS3009" s="82"/>
      <c r="AT3009" s="82"/>
      <c r="AU3009" s="82"/>
      <c r="AV3009" s="82"/>
      <c r="AW3009" s="82" t="str">
        <f t="shared" si="1"/>
        <v/>
      </c>
      <c r="AX3009" s="83" t="str">
        <f t="array" ref="AX3009">IFERROR(DGET('SBV Import'!A:G,"SBV",{"RSC ID","Tier";B3009,A3009}))</f>
        <v/>
      </c>
      <c r="AY3009" s="82" t="str">
        <f t="shared" si="2"/>
        <v/>
      </c>
      <c r="AZ3009" s="82"/>
      <c r="BA3009" s="84" t="s">
        <v>152</v>
      </c>
      <c r="BB3009" s="84" t="str">
        <f>IFERROR(__xludf.DUMMYFUNCTION("iferror(if(A3009="""",,E3009&gt;=FILTER(Constants!$F$2:$F$10,Constants!$A$2:$A$10=A3009)))"),"")</f>
        <v/>
      </c>
    </row>
    <row r="3010">
      <c r="A3010" s="87"/>
      <c r="B3010" s="87"/>
      <c r="C3010" s="73"/>
      <c r="D3010" s="73"/>
      <c r="E3010" s="82"/>
      <c r="F3010" s="82"/>
      <c r="G3010" s="86"/>
      <c r="H3010" s="86"/>
      <c r="I3010" s="86"/>
      <c r="J3010" s="82"/>
      <c r="K3010" s="82"/>
      <c r="L3010" s="82"/>
      <c r="M3010" s="82"/>
      <c r="N3010" s="82"/>
      <c r="O3010" s="82"/>
      <c r="P3010" s="82"/>
      <c r="Q3010" s="82"/>
      <c r="R3010" s="82"/>
      <c r="S3010" s="82"/>
      <c r="T3010" s="82"/>
      <c r="U3010" s="82"/>
      <c r="V3010" s="82"/>
      <c r="W3010" s="82"/>
      <c r="X3010" s="82"/>
      <c r="Y3010" s="82"/>
      <c r="Z3010" s="82"/>
      <c r="AA3010" s="82"/>
      <c r="AB3010" s="82"/>
      <c r="AC3010" s="82"/>
      <c r="AD3010" s="82"/>
      <c r="AE3010" s="82"/>
      <c r="AF3010" s="82"/>
      <c r="AG3010" s="82"/>
      <c r="AH3010" s="82"/>
      <c r="AI3010" s="82"/>
      <c r="AJ3010" s="82"/>
      <c r="AK3010" s="82"/>
      <c r="AL3010" s="82"/>
      <c r="AM3010" s="82"/>
      <c r="AN3010" s="82"/>
      <c r="AO3010" s="82"/>
      <c r="AP3010" s="82"/>
      <c r="AQ3010" s="82"/>
      <c r="AR3010" s="82"/>
      <c r="AS3010" s="82"/>
      <c r="AT3010" s="82"/>
      <c r="AU3010" s="82"/>
      <c r="AV3010" s="82"/>
      <c r="AW3010" s="82" t="str">
        <f t="shared" si="1"/>
        <v/>
      </c>
      <c r="AX3010" s="83" t="str">
        <f t="array" ref="AX3010">IFERROR(DGET('SBV Import'!A:G,"SBV",{"RSC ID","Tier";B3010,A3010}))</f>
        <v/>
      </c>
      <c r="AY3010" s="82" t="str">
        <f t="shared" si="2"/>
        <v/>
      </c>
      <c r="AZ3010" s="82"/>
      <c r="BA3010" s="84" t="s">
        <v>152</v>
      </c>
      <c r="BB3010" s="84" t="str">
        <f>IFERROR(__xludf.DUMMYFUNCTION("iferror(if(A3010="""",,E3010&gt;=FILTER(Constants!$F$2:$F$10,Constants!$A$2:$A$10=A3010)))"),"")</f>
        <v/>
      </c>
    </row>
    <row r="3011">
      <c r="A3011" s="87"/>
      <c r="B3011" s="87"/>
      <c r="C3011" s="73"/>
      <c r="D3011" s="73"/>
      <c r="E3011" s="82"/>
      <c r="F3011" s="82"/>
      <c r="G3011" s="86"/>
      <c r="H3011" s="86"/>
      <c r="I3011" s="86"/>
      <c r="J3011" s="82"/>
      <c r="K3011" s="82"/>
      <c r="L3011" s="82"/>
      <c r="M3011" s="82"/>
      <c r="N3011" s="82"/>
      <c r="O3011" s="82"/>
      <c r="P3011" s="82"/>
      <c r="Q3011" s="82"/>
      <c r="R3011" s="82"/>
      <c r="S3011" s="82"/>
      <c r="T3011" s="82"/>
      <c r="U3011" s="82"/>
      <c r="V3011" s="82"/>
      <c r="W3011" s="82"/>
      <c r="X3011" s="82"/>
      <c r="Y3011" s="82"/>
      <c r="Z3011" s="82"/>
      <c r="AA3011" s="82"/>
      <c r="AB3011" s="82"/>
      <c r="AC3011" s="82"/>
      <c r="AD3011" s="82"/>
      <c r="AE3011" s="82"/>
      <c r="AF3011" s="82"/>
      <c r="AG3011" s="82"/>
      <c r="AH3011" s="82"/>
      <c r="AI3011" s="82"/>
      <c r="AJ3011" s="82"/>
      <c r="AK3011" s="82"/>
      <c r="AL3011" s="82"/>
      <c r="AM3011" s="82"/>
      <c r="AN3011" s="82"/>
      <c r="AO3011" s="82"/>
      <c r="AP3011" s="82"/>
      <c r="AQ3011" s="82"/>
      <c r="AR3011" s="82"/>
      <c r="AS3011" s="82"/>
      <c r="AT3011" s="82"/>
      <c r="AU3011" s="82"/>
      <c r="AV3011" s="82"/>
      <c r="AW3011" s="82" t="str">
        <f t="shared" si="1"/>
        <v/>
      </c>
      <c r="AX3011" s="83" t="str">
        <f t="array" ref="AX3011">IFERROR(DGET('SBV Import'!A:G,"SBV",{"RSC ID","Tier";B3011,A3011}))</f>
        <v/>
      </c>
      <c r="AY3011" s="82" t="str">
        <f t="shared" si="2"/>
        <v/>
      </c>
      <c r="AZ3011" s="82"/>
      <c r="BA3011" s="84" t="s">
        <v>152</v>
      </c>
      <c r="BB3011" s="84" t="str">
        <f>IFERROR(__xludf.DUMMYFUNCTION("iferror(if(A3011="""",,E3011&gt;=FILTER(Constants!$F$2:$F$10,Constants!$A$2:$A$10=A3011)))"),"")</f>
        <v/>
      </c>
    </row>
    <row r="3012">
      <c r="A3012" s="87"/>
      <c r="B3012" s="87"/>
      <c r="C3012" s="73"/>
      <c r="D3012" s="73"/>
      <c r="E3012" s="82"/>
      <c r="F3012" s="82"/>
      <c r="G3012" s="86"/>
      <c r="H3012" s="86"/>
      <c r="I3012" s="86"/>
      <c r="J3012" s="82"/>
      <c r="K3012" s="82"/>
      <c r="L3012" s="82"/>
      <c r="M3012" s="82"/>
      <c r="N3012" s="82"/>
      <c r="O3012" s="82"/>
      <c r="P3012" s="82"/>
      <c r="Q3012" s="82"/>
      <c r="R3012" s="82"/>
      <c r="S3012" s="82"/>
      <c r="T3012" s="82"/>
      <c r="U3012" s="82"/>
      <c r="V3012" s="82"/>
      <c r="W3012" s="82"/>
      <c r="X3012" s="82"/>
      <c r="Y3012" s="82"/>
      <c r="Z3012" s="82"/>
      <c r="AA3012" s="82"/>
      <c r="AB3012" s="82"/>
      <c r="AC3012" s="82"/>
      <c r="AD3012" s="82"/>
      <c r="AE3012" s="82"/>
      <c r="AF3012" s="82"/>
      <c r="AG3012" s="82"/>
      <c r="AH3012" s="82"/>
      <c r="AI3012" s="82"/>
      <c r="AJ3012" s="82"/>
      <c r="AK3012" s="82"/>
      <c r="AL3012" s="82"/>
      <c r="AM3012" s="82"/>
      <c r="AN3012" s="82"/>
      <c r="AO3012" s="82"/>
      <c r="AP3012" s="82"/>
      <c r="AQ3012" s="82"/>
      <c r="AR3012" s="82"/>
      <c r="AS3012" s="82"/>
      <c r="AT3012" s="82"/>
      <c r="AU3012" s="82"/>
      <c r="AV3012" s="82"/>
      <c r="AW3012" s="82" t="str">
        <f t="shared" si="1"/>
        <v/>
      </c>
      <c r="AX3012" s="83" t="str">
        <f t="array" ref="AX3012">IFERROR(DGET('SBV Import'!A:G,"SBV",{"RSC ID","Tier";B3012,A3012}))</f>
        <v/>
      </c>
      <c r="AY3012" s="82" t="str">
        <f t="shared" si="2"/>
        <v/>
      </c>
      <c r="AZ3012" s="82"/>
      <c r="BA3012" s="84" t="s">
        <v>152</v>
      </c>
      <c r="BB3012" s="84" t="str">
        <f>IFERROR(__xludf.DUMMYFUNCTION("iferror(if(A3012="""",,E3012&gt;=FILTER(Constants!$F$2:$F$10,Constants!$A$2:$A$10=A3012)))"),"")</f>
        <v/>
      </c>
    </row>
    <row r="3013">
      <c r="A3013" s="87"/>
      <c r="B3013" s="87"/>
      <c r="C3013" s="73"/>
      <c r="D3013" s="73"/>
      <c r="E3013" s="82"/>
      <c r="F3013" s="82"/>
      <c r="G3013" s="86"/>
      <c r="H3013" s="86"/>
      <c r="I3013" s="86"/>
      <c r="J3013" s="82"/>
      <c r="K3013" s="82"/>
      <c r="L3013" s="82"/>
      <c r="M3013" s="82"/>
      <c r="N3013" s="82"/>
      <c r="O3013" s="82"/>
      <c r="P3013" s="82"/>
      <c r="Q3013" s="82"/>
      <c r="R3013" s="82"/>
      <c r="S3013" s="82"/>
      <c r="T3013" s="82"/>
      <c r="U3013" s="82"/>
      <c r="V3013" s="82"/>
      <c r="W3013" s="82"/>
      <c r="X3013" s="82"/>
      <c r="Y3013" s="82"/>
      <c r="Z3013" s="82"/>
      <c r="AA3013" s="82"/>
      <c r="AB3013" s="82"/>
      <c r="AC3013" s="82"/>
      <c r="AD3013" s="82"/>
      <c r="AE3013" s="82"/>
      <c r="AF3013" s="82"/>
      <c r="AG3013" s="82"/>
      <c r="AH3013" s="82"/>
      <c r="AI3013" s="82"/>
      <c r="AJ3013" s="82"/>
      <c r="AK3013" s="82"/>
      <c r="AL3013" s="82"/>
      <c r="AM3013" s="82"/>
      <c r="AN3013" s="82"/>
      <c r="AO3013" s="82"/>
      <c r="AP3013" s="82"/>
      <c r="AQ3013" s="82"/>
      <c r="AR3013" s="82"/>
      <c r="AS3013" s="82"/>
      <c r="AT3013" s="82"/>
      <c r="AU3013" s="82"/>
      <c r="AV3013" s="82"/>
      <c r="AW3013" s="82" t="str">
        <f t="shared" si="1"/>
        <v/>
      </c>
      <c r="AX3013" s="83" t="str">
        <f t="array" ref="AX3013">IFERROR(DGET('SBV Import'!A:G,"SBV",{"RSC ID","Tier";B3013,A3013}))</f>
        <v/>
      </c>
      <c r="AY3013" s="82" t="str">
        <f t="shared" si="2"/>
        <v/>
      </c>
      <c r="AZ3013" s="82"/>
      <c r="BA3013" s="84" t="s">
        <v>152</v>
      </c>
      <c r="BB3013" s="84" t="str">
        <f>IFERROR(__xludf.DUMMYFUNCTION("iferror(if(A3013="""",,E3013&gt;=FILTER(Constants!$F$2:$F$10,Constants!$A$2:$A$10=A3013)))"),"")</f>
        <v/>
      </c>
    </row>
    <row r="3014">
      <c r="A3014" s="87"/>
      <c r="B3014" s="87"/>
      <c r="C3014" s="73"/>
      <c r="D3014" s="73"/>
      <c r="E3014" s="82"/>
      <c r="F3014" s="82"/>
      <c r="G3014" s="86"/>
      <c r="H3014" s="86"/>
      <c r="I3014" s="86"/>
      <c r="J3014" s="82"/>
      <c r="K3014" s="82"/>
      <c r="L3014" s="82"/>
      <c r="M3014" s="82"/>
      <c r="N3014" s="82"/>
      <c r="O3014" s="82"/>
      <c r="P3014" s="82"/>
      <c r="Q3014" s="82"/>
      <c r="R3014" s="82"/>
      <c r="S3014" s="82"/>
      <c r="T3014" s="82"/>
      <c r="U3014" s="82"/>
      <c r="V3014" s="82"/>
      <c r="W3014" s="82"/>
      <c r="X3014" s="82"/>
      <c r="Y3014" s="82"/>
      <c r="Z3014" s="82"/>
      <c r="AA3014" s="82"/>
      <c r="AB3014" s="82"/>
      <c r="AC3014" s="82"/>
      <c r="AD3014" s="82"/>
      <c r="AE3014" s="82"/>
      <c r="AF3014" s="82"/>
      <c r="AG3014" s="82"/>
      <c r="AH3014" s="82"/>
      <c r="AI3014" s="82"/>
      <c r="AJ3014" s="82"/>
      <c r="AK3014" s="82"/>
      <c r="AL3014" s="82"/>
      <c r="AM3014" s="82"/>
      <c r="AN3014" s="82"/>
      <c r="AO3014" s="82"/>
      <c r="AP3014" s="82"/>
      <c r="AQ3014" s="82"/>
      <c r="AR3014" s="82"/>
      <c r="AS3014" s="82"/>
      <c r="AT3014" s="82"/>
      <c r="AU3014" s="82"/>
      <c r="AV3014" s="82"/>
      <c r="AW3014" s="82" t="str">
        <f t="shared" si="1"/>
        <v/>
      </c>
      <c r="AX3014" s="83" t="str">
        <f t="array" ref="AX3014">IFERROR(DGET('SBV Import'!A:G,"SBV",{"RSC ID","Tier";B3014,A3014}))</f>
        <v/>
      </c>
      <c r="AY3014" s="82" t="str">
        <f t="shared" si="2"/>
        <v/>
      </c>
      <c r="AZ3014" s="82"/>
      <c r="BA3014" s="84" t="s">
        <v>152</v>
      </c>
      <c r="BB3014" s="84" t="str">
        <f>IFERROR(__xludf.DUMMYFUNCTION("iferror(if(A3014="""",,E3014&gt;=FILTER(Constants!$F$2:$F$10,Constants!$A$2:$A$10=A3014)))"),"")</f>
        <v/>
      </c>
    </row>
    <row r="3015">
      <c r="A3015" s="87"/>
      <c r="B3015" s="87"/>
      <c r="C3015" s="73"/>
      <c r="D3015" s="73"/>
      <c r="E3015" s="82"/>
      <c r="F3015" s="82"/>
      <c r="G3015" s="86"/>
      <c r="H3015" s="86"/>
      <c r="I3015" s="86"/>
      <c r="J3015" s="82"/>
      <c r="K3015" s="82"/>
      <c r="L3015" s="82"/>
      <c r="M3015" s="82"/>
      <c r="N3015" s="82"/>
      <c r="O3015" s="82"/>
      <c r="P3015" s="82"/>
      <c r="Q3015" s="82"/>
      <c r="R3015" s="82"/>
      <c r="S3015" s="82"/>
      <c r="T3015" s="82"/>
      <c r="U3015" s="82"/>
      <c r="V3015" s="82"/>
      <c r="W3015" s="82"/>
      <c r="X3015" s="82"/>
      <c r="Y3015" s="82"/>
      <c r="Z3015" s="82"/>
      <c r="AA3015" s="82"/>
      <c r="AB3015" s="82"/>
      <c r="AC3015" s="82"/>
      <c r="AD3015" s="82"/>
      <c r="AE3015" s="82"/>
      <c r="AF3015" s="82"/>
      <c r="AG3015" s="82"/>
      <c r="AH3015" s="82"/>
      <c r="AI3015" s="82"/>
      <c r="AJ3015" s="82"/>
      <c r="AK3015" s="82"/>
      <c r="AL3015" s="82"/>
      <c r="AM3015" s="82"/>
      <c r="AN3015" s="82"/>
      <c r="AO3015" s="82"/>
      <c r="AP3015" s="82"/>
      <c r="AQ3015" s="82"/>
      <c r="AR3015" s="82"/>
      <c r="AS3015" s="82"/>
      <c r="AT3015" s="82"/>
      <c r="AU3015" s="82"/>
      <c r="AV3015" s="82"/>
      <c r="AW3015" s="82" t="str">
        <f t="shared" si="1"/>
        <v/>
      </c>
      <c r="AX3015" s="83" t="str">
        <f t="array" ref="AX3015">IFERROR(DGET('SBV Import'!A:G,"SBV",{"RSC ID","Tier";B3015,A3015}))</f>
        <v/>
      </c>
      <c r="AY3015" s="82" t="str">
        <f t="shared" si="2"/>
        <v/>
      </c>
      <c r="AZ3015" s="82"/>
      <c r="BA3015" s="84" t="s">
        <v>152</v>
      </c>
      <c r="BB3015" s="84" t="str">
        <f>IFERROR(__xludf.DUMMYFUNCTION("iferror(if(A3015="""",,E3015&gt;=FILTER(Constants!$F$2:$F$10,Constants!$A$2:$A$10=A3015)))"),"")</f>
        <v/>
      </c>
    </row>
    <row r="3016">
      <c r="A3016" s="87"/>
      <c r="B3016" s="87"/>
      <c r="C3016" s="73"/>
      <c r="D3016" s="73"/>
      <c r="E3016" s="82"/>
      <c r="F3016" s="82"/>
      <c r="G3016" s="86"/>
      <c r="H3016" s="86"/>
      <c r="I3016" s="86"/>
      <c r="J3016" s="82"/>
      <c r="K3016" s="82"/>
      <c r="L3016" s="82"/>
      <c r="M3016" s="82"/>
      <c r="N3016" s="82"/>
      <c r="O3016" s="82"/>
      <c r="P3016" s="82"/>
      <c r="Q3016" s="82"/>
      <c r="R3016" s="82"/>
      <c r="S3016" s="82"/>
      <c r="T3016" s="82"/>
      <c r="U3016" s="82"/>
      <c r="V3016" s="82"/>
      <c r="W3016" s="82"/>
      <c r="X3016" s="82"/>
      <c r="Y3016" s="82"/>
      <c r="Z3016" s="82"/>
      <c r="AA3016" s="82"/>
      <c r="AB3016" s="82"/>
      <c r="AC3016" s="82"/>
      <c r="AD3016" s="82"/>
      <c r="AE3016" s="82"/>
      <c r="AF3016" s="82"/>
      <c r="AG3016" s="82"/>
      <c r="AH3016" s="82"/>
      <c r="AI3016" s="82"/>
      <c r="AJ3016" s="82"/>
      <c r="AK3016" s="82"/>
      <c r="AL3016" s="82"/>
      <c r="AM3016" s="82"/>
      <c r="AN3016" s="82"/>
      <c r="AO3016" s="82"/>
      <c r="AP3016" s="82"/>
      <c r="AQ3016" s="82"/>
      <c r="AR3016" s="82"/>
      <c r="AS3016" s="82"/>
      <c r="AT3016" s="82"/>
      <c r="AU3016" s="82"/>
      <c r="AV3016" s="82"/>
      <c r="AW3016" s="82" t="str">
        <f t="shared" si="1"/>
        <v/>
      </c>
      <c r="AX3016" s="83" t="str">
        <f t="array" ref="AX3016">IFERROR(DGET('SBV Import'!A:G,"SBV",{"RSC ID","Tier";B3016,A3016}))</f>
        <v/>
      </c>
      <c r="AY3016" s="82" t="str">
        <f t="shared" si="2"/>
        <v/>
      </c>
      <c r="AZ3016" s="82"/>
      <c r="BA3016" s="84" t="s">
        <v>152</v>
      </c>
      <c r="BB3016" s="84" t="str">
        <f>IFERROR(__xludf.DUMMYFUNCTION("iferror(if(A3016="""",,E3016&gt;=FILTER(Constants!$F$2:$F$10,Constants!$A$2:$A$10=A3016)))"),"")</f>
        <v/>
      </c>
    </row>
    <row r="3017">
      <c r="A3017" s="87"/>
      <c r="B3017" s="87"/>
      <c r="C3017" s="73"/>
      <c r="D3017" s="73"/>
      <c r="E3017" s="82"/>
      <c r="F3017" s="82"/>
      <c r="G3017" s="86"/>
      <c r="H3017" s="86"/>
      <c r="I3017" s="86"/>
      <c r="J3017" s="82"/>
      <c r="K3017" s="82"/>
      <c r="L3017" s="82"/>
      <c r="M3017" s="82"/>
      <c r="N3017" s="82"/>
      <c r="O3017" s="82"/>
      <c r="P3017" s="82"/>
      <c r="Q3017" s="82"/>
      <c r="R3017" s="82"/>
      <c r="S3017" s="82"/>
      <c r="T3017" s="82"/>
      <c r="U3017" s="82"/>
      <c r="V3017" s="82"/>
      <c r="W3017" s="82"/>
      <c r="X3017" s="82"/>
      <c r="Y3017" s="82"/>
      <c r="Z3017" s="82"/>
      <c r="AA3017" s="82"/>
      <c r="AB3017" s="82"/>
      <c r="AC3017" s="82"/>
      <c r="AD3017" s="82"/>
      <c r="AE3017" s="82"/>
      <c r="AF3017" s="82"/>
      <c r="AG3017" s="82"/>
      <c r="AH3017" s="82"/>
      <c r="AI3017" s="82"/>
      <c r="AJ3017" s="82"/>
      <c r="AK3017" s="82"/>
      <c r="AL3017" s="82"/>
      <c r="AM3017" s="82"/>
      <c r="AN3017" s="82"/>
      <c r="AO3017" s="82"/>
      <c r="AP3017" s="82"/>
      <c r="AQ3017" s="82"/>
      <c r="AR3017" s="82"/>
      <c r="AS3017" s="82"/>
      <c r="AT3017" s="82"/>
      <c r="AU3017" s="82"/>
      <c r="AV3017" s="82"/>
      <c r="AW3017" s="82" t="str">
        <f t="shared" si="1"/>
        <v/>
      </c>
      <c r="AX3017" s="83" t="str">
        <f t="array" ref="AX3017">IFERROR(DGET('SBV Import'!A:G,"SBV",{"RSC ID","Tier";B3017,A3017}))</f>
        <v/>
      </c>
      <c r="AY3017" s="82" t="str">
        <f t="shared" si="2"/>
        <v/>
      </c>
      <c r="AZ3017" s="82"/>
      <c r="BA3017" s="84" t="s">
        <v>152</v>
      </c>
      <c r="BB3017" s="84" t="str">
        <f>IFERROR(__xludf.DUMMYFUNCTION("iferror(if(A3017="""",,E3017&gt;=FILTER(Constants!$F$2:$F$10,Constants!$A$2:$A$10=A3017)))"),"")</f>
        <v/>
      </c>
    </row>
    <row r="3018">
      <c r="A3018" s="87"/>
      <c r="B3018" s="87"/>
      <c r="C3018" s="73"/>
      <c r="D3018" s="73"/>
      <c r="E3018" s="82"/>
      <c r="F3018" s="82"/>
      <c r="G3018" s="86"/>
      <c r="H3018" s="86"/>
      <c r="I3018" s="86"/>
      <c r="J3018" s="82"/>
      <c r="K3018" s="82"/>
      <c r="L3018" s="82"/>
      <c r="M3018" s="82"/>
      <c r="N3018" s="82"/>
      <c r="O3018" s="82"/>
      <c r="P3018" s="82"/>
      <c r="Q3018" s="82"/>
      <c r="R3018" s="82"/>
      <c r="S3018" s="82"/>
      <c r="T3018" s="82"/>
      <c r="U3018" s="82"/>
      <c r="V3018" s="82"/>
      <c r="W3018" s="82"/>
      <c r="X3018" s="82"/>
      <c r="Y3018" s="82"/>
      <c r="Z3018" s="82"/>
      <c r="AA3018" s="82"/>
      <c r="AB3018" s="82"/>
      <c r="AC3018" s="82"/>
      <c r="AD3018" s="82"/>
      <c r="AE3018" s="82"/>
      <c r="AF3018" s="82"/>
      <c r="AG3018" s="82"/>
      <c r="AH3018" s="82"/>
      <c r="AI3018" s="82"/>
      <c r="AJ3018" s="82"/>
      <c r="AK3018" s="82"/>
      <c r="AL3018" s="82"/>
      <c r="AM3018" s="82"/>
      <c r="AN3018" s="82"/>
      <c r="AO3018" s="82"/>
      <c r="AP3018" s="82"/>
      <c r="AQ3018" s="82"/>
      <c r="AR3018" s="82"/>
      <c r="AS3018" s="82"/>
      <c r="AT3018" s="82"/>
      <c r="AU3018" s="82"/>
      <c r="AV3018" s="82"/>
      <c r="AW3018" s="82" t="str">
        <f t="shared" si="1"/>
        <v/>
      </c>
      <c r="AX3018" s="83" t="str">
        <f t="array" ref="AX3018">IFERROR(DGET('SBV Import'!A:G,"SBV",{"RSC ID","Tier";B3018,A3018}))</f>
        <v/>
      </c>
      <c r="AY3018" s="82" t="str">
        <f t="shared" si="2"/>
        <v/>
      </c>
      <c r="AZ3018" s="82"/>
      <c r="BA3018" s="84" t="s">
        <v>152</v>
      </c>
      <c r="BB3018" s="84" t="str">
        <f>IFERROR(__xludf.DUMMYFUNCTION("iferror(if(A3018="""",,E3018&gt;=FILTER(Constants!$F$2:$F$10,Constants!$A$2:$A$10=A3018)))"),"")</f>
        <v/>
      </c>
    </row>
    <row r="3019">
      <c r="A3019" s="87"/>
      <c r="B3019" s="87"/>
      <c r="C3019" s="73"/>
      <c r="D3019" s="73"/>
      <c r="E3019" s="82"/>
      <c r="F3019" s="82"/>
      <c r="G3019" s="86"/>
      <c r="H3019" s="86"/>
      <c r="I3019" s="86"/>
      <c r="J3019" s="82"/>
      <c r="K3019" s="82"/>
      <c r="L3019" s="82"/>
      <c r="M3019" s="82"/>
      <c r="N3019" s="82"/>
      <c r="O3019" s="82"/>
      <c r="P3019" s="82"/>
      <c r="Q3019" s="82"/>
      <c r="R3019" s="82"/>
      <c r="S3019" s="82"/>
      <c r="T3019" s="82"/>
      <c r="U3019" s="82"/>
      <c r="V3019" s="82"/>
      <c r="W3019" s="82"/>
      <c r="X3019" s="82"/>
      <c r="Y3019" s="82"/>
      <c r="Z3019" s="82"/>
      <c r="AA3019" s="82"/>
      <c r="AB3019" s="82"/>
      <c r="AC3019" s="82"/>
      <c r="AD3019" s="82"/>
      <c r="AE3019" s="82"/>
      <c r="AF3019" s="82"/>
      <c r="AG3019" s="82"/>
      <c r="AH3019" s="82"/>
      <c r="AI3019" s="82"/>
      <c r="AJ3019" s="82"/>
      <c r="AK3019" s="82"/>
      <c r="AL3019" s="82"/>
      <c r="AM3019" s="82"/>
      <c r="AN3019" s="82"/>
      <c r="AO3019" s="82"/>
      <c r="AP3019" s="82"/>
      <c r="AQ3019" s="82"/>
      <c r="AR3019" s="82"/>
      <c r="AS3019" s="82"/>
      <c r="AT3019" s="82"/>
      <c r="AU3019" s="82"/>
      <c r="AV3019" s="82"/>
      <c r="AW3019" s="82" t="str">
        <f t="shared" si="1"/>
        <v/>
      </c>
      <c r="AX3019" s="83" t="str">
        <f t="array" ref="AX3019">IFERROR(DGET('SBV Import'!A:G,"SBV",{"RSC ID","Tier";B3019,A3019}))</f>
        <v/>
      </c>
      <c r="AY3019" s="82" t="str">
        <f t="shared" si="2"/>
        <v/>
      </c>
      <c r="AZ3019" s="82"/>
      <c r="BA3019" s="84" t="s">
        <v>152</v>
      </c>
      <c r="BB3019" s="84" t="str">
        <f>IFERROR(__xludf.DUMMYFUNCTION("iferror(if(A3019="""",,E3019&gt;=FILTER(Constants!$F$2:$F$10,Constants!$A$2:$A$10=A3019)))"),"")</f>
        <v/>
      </c>
    </row>
    <row r="3020">
      <c r="A3020" s="87"/>
      <c r="B3020" s="87"/>
      <c r="C3020" s="73"/>
      <c r="D3020" s="73"/>
      <c r="E3020" s="82"/>
      <c r="F3020" s="82"/>
      <c r="G3020" s="86"/>
      <c r="H3020" s="86"/>
      <c r="I3020" s="86"/>
      <c r="J3020" s="82"/>
      <c r="K3020" s="82"/>
      <c r="L3020" s="82"/>
      <c r="M3020" s="82"/>
      <c r="N3020" s="82"/>
      <c r="O3020" s="82"/>
      <c r="P3020" s="82"/>
      <c r="Q3020" s="82"/>
      <c r="R3020" s="82"/>
      <c r="S3020" s="82"/>
      <c r="T3020" s="82"/>
      <c r="U3020" s="82"/>
      <c r="V3020" s="82"/>
      <c r="W3020" s="82"/>
      <c r="X3020" s="82"/>
      <c r="Y3020" s="82"/>
      <c r="Z3020" s="82"/>
      <c r="AA3020" s="82"/>
      <c r="AB3020" s="82"/>
      <c r="AC3020" s="82"/>
      <c r="AD3020" s="82"/>
      <c r="AE3020" s="82"/>
      <c r="AF3020" s="82"/>
      <c r="AG3020" s="82"/>
      <c r="AH3020" s="82"/>
      <c r="AI3020" s="82"/>
      <c r="AJ3020" s="82"/>
      <c r="AK3020" s="82"/>
      <c r="AL3020" s="82"/>
      <c r="AM3020" s="82"/>
      <c r="AN3020" s="82"/>
      <c r="AO3020" s="82"/>
      <c r="AP3020" s="82"/>
      <c r="AQ3020" s="82"/>
      <c r="AR3020" s="82"/>
      <c r="AS3020" s="82"/>
      <c r="AT3020" s="82"/>
      <c r="AU3020" s="82"/>
      <c r="AV3020" s="82"/>
      <c r="AW3020" s="82" t="str">
        <f t="shared" si="1"/>
        <v/>
      </c>
      <c r="AX3020" s="83" t="str">
        <f t="array" ref="AX3020">IFERROR(DGET('SBV Import'!A:G,"SBV",{"RSC ID","Tier";B3020,A3020}))</f>
        <v/>
      </c>
      <c r="AY3020" s="82" t="str">
        <f t="shared" si="2"/>
        <v/>
      </c>
      <c r="AZ3020" s="82"/>
      <c r="BA3020" s="84" t="s">
        <v>152</v>
      </c>
      <c r="BB3020" s="84" t="str">
        <f>IFERROR(__xludf.DUMMYFUNCTION("iferror(if(A3020="""",,E3020&gt;=FILTER(Constants!$F$2:$F$10,Constants!$A$2:$A$10=A3020)))"),"")</f>
        <v/>
      </c>
    </row>
    <row r="3021">
      <c r="A3021" s="87"/>
      <c r="B3021" s="87"/>
      <c r="C3021" s="73"/>
      <c r="D3021" s="73"/>
      <c r="E3021" s="82"/>
      <c r="F3021" s="82"/>
      <c r="G3021" s="86"/>
      <c r="H3021" s="86"/>
      <c r="I3021" s="86"/>
      <c r="J3021" s="82"/>
      <c r="K3021" s="82"/>
      <c r="L3021" s="82"/>
      <c r="M3021" s="82"/>
      <c r="N3021" s="82"/>
      <c r="O3021" s="82"/>
      <c r="P3021" s="82"/>
      <c r="Q3021" s="82"/>
      <c r="R3021" s="82"/>
      <c r="S3021" s="82"/>
      <c r="T3021" s="82"/>
      <c r="U3021" s="82"/>
      <c r="V3021" s="82"/>
      <c r="W3021" s="82"/>
      <c r="X3021" s="82"/>
      <c r="Y3021" s="82"/>
      <c r="Z3021" s="82"/>
      <c r="AA3021" s="82"/>
      <c r="AB3021" s="82"/>
      <c r="AC3021" s="82"/>
      <c r="AD3021" s="82"/>
      <c r="AE3021" s="82"/>
      <c r="AF3021" s="82"/>
      <c r="AG3021" s="82"/>
      <c r="AH3021" s="82"/>
      <c r="AI3021" s="82"/>
      <c r="AJ3021" s="82"/>
      <c r="AK3021" s="82"/>
      <c r="AL3021" s="82"/>
      <c r="AM3021" s="82"/>
      <c r="AN3021" s="82"/>
      <c r="AO3021" s="82"/>
      <c r="AP3021" s="82"/>
      <c r="AQ3021" s="82"/>
      <c r="AR3021" s="82"/>
      <c r="AS3021" s="82"/>
      <c r="AT3021" s="82"/>
      <c r="AU3021" s="82"/>
      <c r="AV3021" s="82"/>
      <c r="AW3021" s="82" t="str">
        <f t="shared" si="1"/>
        <v/>
      </c>
      <c r="AX3021" s="83" t="str">
        <f t="array" ref="AX3021">IFERROR(DGET('SBV Import'!A:G,"SBV",{"RSC ID","Tier";B3021,A3021}))</f>
        <v/>
      </c>
      <c r="AY3021" s="82" t="str">
        <f t="shared" si="2"/>
        <v/>
      </c>
      <c r="AZ3021" s="82"/>
      <c r="BA3021" s="84" t="s">
        <v>152</v>
      </c>
      <c r="BB3021" s="84" t="str">
        <f>IFERROR(__xludf.DUMMYFUNCTION("iferror(if(A3021="""",,E3021&gt;=FILTER(Constants!$F$2:$F$10,Constants!$A$2:$A$10=A3021)))"),"")</f>
        <v/>
      </c>
    </row>
    <row r="3022">
      <c r="A3022" s="87"/>
      <c r="B3022" s="87"/>
      <c r="C3022" s="73"/>
      <c r="D3022" s="73"/>
      <c r="E3022" s="82"/>
      <c r="F3022" s="82"/>
      <c r="G3022" s="86"/>
      <c r="H3022" s="86"/>
      <c r="I3022" s="86"/>
      <c r="J3022" s="82"/>
      <c r="K3022" s="82"/>
      <c r="L3022" s="82"/>
      <c r="M3022" s="82"/>
      <c r="N3022" s="82"/>
      <c r="O3022" s="82"/>
      <c r="P3022" s="82"/>
      <c r="Q3022" s="82"/>
      <c r="R3022" s="82"/>
      <c r="S3022" s="82"/>
      <c r="T3022" s="82"/>
      <c r="U3022" s="82"/>
      <c r="V3022" s="82"/>
      <c r="W3022" s="82"/>
      <c r="X3022" s="82"/>
      <c r="Y3022" s="82"/>
      <c r="Z3022" s="82"/>
      <c r="AA3022" s="82"/>
      <c r="AB3022" s="82"/>
      <c r="AC3022" s="82"/>
      <c r="AD3022" s="82"/>
      <c r="AE3022" s="82"/>
      <c r="AF3022" s="82"/>
      <c r="AG3022" s="82"/>
      <c r="AH3022" s="82"/>
      <c r="AI3022" s="82"/>
      <c r="AJ3022" s="82"/>
      <c r="AK3022" s="82"/>
      <c r="AL3022" s="82"/>
      <c r="AM3022" s="82"/>
      <c r="AN3022" s="82"/>
      <c r="AO3022" s="82"/>
      <c r="AP3022" s="82"/>
      <c r="AQ3022" s="82"/>
      <c r="AR3022" s="82"/>
      <c r="AS3022" s="82"/>
      <c r="AT3022" s="82"/>
      <c r="AU3022" s="82"/>
      <c r="AV3022" s="82"/>
      <c r="AW3022" s="82" t="str">
        <f t="shared" si="1"/>
        <v/>
      </c>
      <c r="AX3022" s="83" t="str">
        <f t="array" ref="AX3022">IFERROR(DGET('SBV Import'!A:G,"SBV",{"RSC ID","Tier";B3022,A3022}))</f>
        <v/>
      </c>
      <c r="AY3022" s="82" t="str">
        <f t="shared" si="2"/>
        <v/>
      </c>
      <c r="AZ3022" s="82"/>
      <c r="BA3022" s="84" t="s">
        <v>152</v>
      </c>
      <c r="BB3022" s="84" t="str">
        <f>IFERROR(__xludf.DUMMYFUNCTION("iferror(if(A3022="""",,E3022&gt;=FILTER(Constants!$F$2:$F$10,Constants!$A$2:$A$10=A3022)))"),"")</f>
        <v/>
      </c>
    </row>
    <row r="3023">
      <c r="A3023" s="87"/>
      <c r="B3023" s="87"/>
      <c r="C3023" s="73"/>
      <c r="D3023" s="73"/>
      <c r="E3023" s="82"/>
      <c r="F3023" s="82"/>
      <c r="G3023" s="86"/>
      <c r="H3023" s="86"/>
      <c r="I3023" s="86"/>
      <c r="J3023" s="82"/>
      <c r="K3023" s="82"/>
      <c r="L3023" s="82"/>
      <c r="M3023" s="82"/>
      <c r="N3023" s="82"/>
      <c r="O3023" s="82"/>
      <c r="P3023" s="82"/>
      <c r="Q3023" s="82"/>
      <c r="R3023" s="82"/>
      <c r="S3023" s="82"/>
      <c r="T3023" s="82"/>
      <c r="U3023" s="82"/>
      <c r="V3023" s="82"/>
      <c r="W3023" s="82"/>
      <c r="X3023" s="82"/>
      <c r="Y3023" s="82"/>
      <c r="Z3023" s="82"/>
      <c r="AA3023" s="82"/>
      <c r="AB3023" s="82"/>
      <c r="AC3023" s="82"/>
      <c r="AD3023" s="82"/>
      <c r="AE3023" s="82"/>
      <c r="AF3023" s="82"/>
      <c r="AG3023" s="82"/>
      <c r="AH3023" s="82"/>
      <c r="AI3023" s="82"/>
      <c r="AJ3023" s="82"/>
      <c r="AK3023" s="82"/>
      <c r="AL3023" s="82"/>
      <c r="AM3023" s="82"/>
      <c r="AN3023" s="82"/>
      <c r="AO3023" s="82"/>
      <c r="AP3023" s="82"/>
      <c r="AQ3023" s="82"/>
      <c r="AR3023" s="82"/>
      <c r="AS3023" s="82"/>
      <c r="AT3023" s="82"/>
      <c r="AU3023" s="82"/>
      <c r="AV3023" s="82"/>
      <c r="AW3023" s="82" t="str">
        <f t="shared" si="1"/>
        <v/>
      </c>
      <c r="AX3023" s="83" t="str">
        <f t="array" ref="AX3023">IFERROR(DGET('SBV Import'!A:G,"SBV",{"RSC ID","Tier";B3023,A3023}))</f>
        <v/>
      </c>
      <c r="AY3023" s="82" t="str">
        <f t="shared" si="2"/>
        <v/>
      </c>
      <c r="AZ3023" s="82"/>
      <c r="BA3023" s="84" t="s">
        <v>152</v>
      </c>
      <c r="BB3023" s="84" t="str">
        <f>IFERROR(__xludf.DUMMYFUNCTION("iferror(if(A3023="""",,E3023&gt;=FILTER(Constants!$F$2:$F$10,Constants!$A$2:$A$10=A3023)))"),"")</f>
        <v/>
      </c>
    </row>
    <row r="3024">
      <c r="A3024" s="87"/>
      <c r="B3024" s="87"/>
      <c r="C3024" s="73"/>
      <c r="D3024" s="73"/>
      <c r="E3024" s="82"/>
      <c r="F3024" s="82"/>
      <c r="G3024" s="86"/>
      <c r="H3024" s="86"/>
      <c r="I3024" s="86"/>
      <c r="J3024" s="82"/>
      <c r="K3024" s="82"/>
      <c r="L3024" s="82"/>
      <c r="M3024" s="82"/>
      <c r="N3024" s="82"/>
      <c r="O3024" s="82"/>
      <c r="P3024" s="82"/>
      <c r="Q3024" s="82"/>
      <c r="R3024" s="82"/>
      <c r="S3024" s="82"/>
      <c r="T3024" s="82"/>
      <c r="U3024" s="82"/>
      <c r="V3024" s="82"/>
      <c r="W3024" s="82"/>
      <c r="X3024" s="82"/>
      <c r="Y3024" s="82"/>
      <c r="Z3024" s="82"/>
      <c r="AA3024" s="82"/>
      <c r="AB3024" s="82"/>
      <c r="AC3024" s="82"/>
      <c r="AD3024" s="82"/>
      <c r="AE3024" s="82"/>
      <c r="AF3024" s="82"/>
      <c r="AG3024" s="82"/>
      <c r="AH3024" s="82"/>
      <c r="AI3024" s="82"/>
      <c r="AJ3024" s="82"/>
      <c r="AK3024" s="82"/>
      <c r="AL3024" s="82"/>
      <c r="AM3024" s="82"/>
      <c r="AN3024" s="82"/>
      <c r="AO3024" s="82"/>
      <c r="AP3024" s="82"/>
      <c r="AQ3024" s="82"/>
      <c r="AR3024" s="82"/>
      <c r="AS3024" s="82"/>
      <c r="AT3024" s="82"/>
      <c r="AU3024" s="82"/>
      <c r="AV3024" s="82"/>
      <c r="AW3024" s="82" t="str">
        <f t="shared" si="1"/>
        <v/>
      </c>
      <c r="AX3024" s="83" t="str">
        <f t="array" ref="AX3024">IFERROR(DGET('SBV Import'!A:G,"SBV",{"RSC ID","Tier";B3024,A3024}))</f>
        <v/>
      </c>
      <c r="AY3024" s="82" t="str">
        <f t="shared" si="2"/>
        <v/>
      </c>
      <c r="AZ3024" s="82"/>
      <c r="BA3024" s="84" t="s">
        <v>152</v>
      </c>
      <c r="BB3024" s="84" t="str">
        <f>IFERROR(__xludf.DUMMYFUNCTION("iferror(if(A3024="""",,E3024&gt;=FILTER(Constants!$F$2:$F$10,Constants!$A$2:$A$10=A3024)))"),"")</f>
        <v/>
      </c>
    </row>
    <row r="3025">
      <c r="A3025" s="87"/>
      <c r="B3025" s="87"/>
      <c r="C3025" s="73"/>
      <c r="D3025" s="73"/>
      <c r="E3025" s="82"/>
      <c r="F3025" s="82"/>
      <c r="G3025" s="86"/>
      <c r="H3025" s="86"/>
      <c r="I3025" s="86"/>
      <c r="J3025" s="82"/>
      <c r="K3025" s="82"/>
      <c r="L3025" s="82"/>
      <c r="M3025" s="82"/>
      <c r="N3025" s="82"/>
      <c r="O3025" s="82"/>
      <c r="P3025" s="82"/>
      <c r="Q3025" s="82"/>
      <c r="R3025" s="82"/>
      <c r="S3025" s="82"/>
      <c r="T3025" s="82"/>
      <c r="U3025" s="82"/>
      <c r="V3025" s="82"/>
      <c r="W3025" s="82"/>
      <c r="X3025" s="82"/>
      <c r="Y3025" s="82"/>
      <c r="Z3025" s="82"/>
      <c r="AA3025" s="82"/>
      <c r="AB3025" s="82"/>
      <c r="AC3025" s="82"/>
      <c r="AD3025" s="82"/>
      <c r="AE3025" s="82"/>
      <c r="AF3025" s="82"/>
      <c r="AG3025" s="82"/>
      <c r="AH3025" s="82"/>
      <c r="AI3025" s="82"/>
      <c r="AJ3025" s="82"/>
      <c r="AK3025" s="82"/>
      <c r="AL3025" s="82"/>
      <c r="AM3025" s="82"/>
      <c r="AN3025" s="82"/>
      <c r="AO3025" s="82"/>
      <c r="AP3025" s="82"/>
      <c r="AQ3025" s="82"/>
      <c r="AR3025" s="82"/>
      <c r="AS3025" s="82"/>
      <c r="AT3025" s="82"/>
      <c r="AU3025" s="82"/>
      <c r="AV3025" s="82"/>
      <c r="AW3025" s="82" t="str">
        <f t="shared" si="1"/>
        <v/>
      </c>
      <c r="AX3025" s="83" t="str">
        <f t="array" ref="AX3025">IFERROR(DGET('SBV Import'!A:G,"SBV",{"RSC ID","Tier";B3025,A3025}))</f>
        <v/>
      </c>
      <c r="AY3025" s="82" t="str">
        <f t="shared" si="2"/>
        <v/>
      </c>
      <c r="AZ3025" s="82"/>
      <c r="BA3025" s="84" t="s">
        <v>152</v>
      </c>
      <c r="BB3025" s="84" t="str">
        <f>IFERROR(__xludf.DUMMYFUNCTION("iferror(if(A3025="""",,E3025&gt;=FILTER(Constants!$F$2:$F$10,Constants!$A$2:$A$10=A3025)))"),"")</f>
        <v/>
      </c>
    </row>
    <row r="3026">
      <c r="A3026" s="87"/>
      <c r="B3026" s="87"/>
      <c r="C3026" s="73"/>
      <c r="D3026" s="73"/>
      <c r="E3026" s="82"/>
      <c r="F3026" s="82"/>
      <c r="G3026" s="86"/>
      <c r="H3026" s="86"/>
      <c r="I3026" s="86"/>
      <c r="J3026" s="82"/>
      <c r="K3026" s="82"/>
      <c r="L3026" s="82"/>
      <c r="M3026" s="82"/>
      <c r="N3026" s="82"/>
      <c r="O3026" s="82"/>
      <c r="P3026" s="82"/>
      <c r="Q3026" s="82"/>
      <c r="R3026" s="82"/>
      <c r="S3026" s="82"/>
      <c r="T3026" s="82"/>
      <c r="U3026" s="82"/>
      <c r="V3026" s="82"/>
      <c r="W3026" s="82"/>
      <c r="X3026" s="82"/>
      <c r="Y3026" s="82"/>
      <c r="Z3026" s="82"/>
      <c r="AA3026" s="82"/>
      <c r="AB3026" s="82"/>
      <c r="AC3026" s="82"/>
      <c r="AD3026" s="82"/>
      <c r="AE3026" s="82"/>
      <c r="AF3026" s="82"/>
      <c r="AG3026" s="82"/>
      <c r="AH3026" s="82"/>
      <c r="AI3026" s="82"/>
      <c r="AJ3026" s="82"/>
      <c r="AK3026" s="82"/>
      <c r="AL3026" s="82"/>
      <c r="AM3026" s="82"/>
      <c r="AN3026" s="82"/>
      <c r="AO3026" s="82"/>
      <c r="AP3026" s="82"/>
      <c r="AQ3026" s="82"/>
      <c r="AR3026" s="82"/>
      <c r="AS3026" s="82"/>
      <c r="AT3026" s="82"/>
      <c r="AU3026" s="82"/>
      <c r="AV3026" s="82"/>
      <c r="AW3026" s="82" t="str">
        <f t="shared" si="1"/>
        <v/>
      </c>
      <c r="AX3026" s="83" t="str">
        <f t="array" ref="AX3026">IFERROR(DGET('SBV Import'!A:G,"SBV",{"RSC ID","Tier";B3026,A3026}))</f>
        <v/>
      </c>
      <c r="AY3026" s="82" t="str">
        <f t="shared" si="2"/>
        <v/>
      </c>
      <c r="AZ3026" s="82"/>
      <c r="BA3026" s="84" t="s">
        <v>152</v>
      </c>
      <c r="BB3026" s="84" t="str">
        <f>IFERROR(__xludf.DUMMYFUNCTION("iferror(if(A3026="""",,E3026&gt;=FILTER(Constants!$F$2:$F$10,Constants!$A$2:$A$10=A3026)))"),"")</f>
        <v/>
      </c>
    </row>
    <row r="3027">
      <c r="A3027" s="87"/>
      <c r="B3027" s="87"/>
      <c r="C3027" s="73"/>
      <c r="D3027" s="73"/>
      <c r="E3027" s="82"/>
      <c r="F3027" s="82"/>
      <c r="G3027" s="86"/>
      <c r="H3027" s="86"/>
      <c r="I3027" s="86"/>
      <c r="J3027" s="82"/>
      <c r="K3027" s="82"/>
      <c r="L3027" s="82"/>
      <c r="M3027" s="82"/>
      <c r="N3027" s="82"/>
      <c r="O3027" s="82"/>
      <c r="P3027" s="82"/>
      <c r="Q3027" s="82"/>
      <c r="R3027" s="82"/>
      <c r="S3027" s="82"/>
      <c r="T3027" s="82"/>
      <c r="U3027" s="82"/>
      <c r="V3027" s="82"/>
      <c r="W3027" s="82"/>
      <c r="X3027" s="82"/>
      <c r="Y3027" s="82"/>
      <c r="Z3027" s="82"/>
      <c r="AA3027" s="82"/>
      <c r="AB3027" s="82"/>
      <c r="AC3027" s="82"/>
      <c r="AD3027" s="82"/>
      <c r="AE3027" s="82"/>
      <c r="AF3027" s="82"/>
      <c r="AG3027" s="82"/>
      <c r="AH3027" s="82"/>
      <c r="AI3027" s="82"/>
      <c r="AJ3027" s="82"/>
      <c r="AK3027" s="82"/>
      <c r="AL3027" s="82"/>
      <c r="AM3027" s="82"/>
      <c r="AN3027" s="82"/>
      <c r="AO3027" s="82"/>
      <c r="AP3027" s="82"/>
      <c r="AQ3027" s="82"/>
      <c r="AR3027" s="82"/>
      <c r="AS3027" s="82"/>
      <c r="AT3027" s="82"/>
      <c r="AU3027" s="82"/>
      <c r="AV3027" s="82"/>
      <c r="AW3027" s="82" t="str">
        <f t="shared" si="1"/>
        <v/>
      </c>
      <c r="AX3027" s="83" t="str">
        <f t="array" ref="AX3027">IFERROR(DGET('SBV Import'!A:G,"SBV",{"RSC ID","Tier";B3027,A3027}))</f>
        <v/>
      </c>
      <c r="AY3027" s="82" t="str">
        <f t="shared" si="2"/>
        <v/>
      </c>
      <c r="AZ3027" s="82"/>
      <c r="BA3027" s="84" t="s">
        <v>152</v>
      </c>
      <c r="BB3027" s="84" t="str">
        <f>IFERROR(__xludf.DUMMYFUNCTION("iferror(if(A3027="""",,E3027&gt;=FILTER(Constants!$F$2:$F$10,Constants!$A$2:$A$10=A3027)))"),"")</f>
        <v/>
      </c>
    </row>
    <row r="3028">
      <c r="A3028" s="87"/>
      <c r="B3028" s="87"/>
      <c r="C3028" s="73"/>
      <c r="D3028" s="73"/>
      <c r="E3028" s="82"/>
      <c r="F3028" s="82"/>
      <c r="G3028" s="86"/>
      <c r="H3028" s="86"/>
      <c r="I3028" s="86"/>
      <c r="J3028" s="82"/>
      <c r="K3028" s="82"/>
      <c r="L3028" s="82"/>
      <c r="M3028" s="82"/>
      <c r="N3028" s="82"/>
      <c r="O3028" s="82"/>
      <c r="P3028" s="82"/>
      <c r="Q3028" s="82"/>
      <c r="R3028" s="82"/>
      <c r="S3028" s="82"/>
      <c r="T3028" s="82"/>
      <c r="U3028" s="82"/>
      <c r="V3028" s="82"/>
      <c r="W3028" s="82"/>
      <c r="X3028" s="82"/>
      <c r="Y3028" s="82"/>
      <c r="Z3028" s="82"/>
      <c r="AA3028" s="82"/>
      <c r="AB3028" s="82"/>
      <c r="AC3028" s="82"/>
      <c r="AD3028" s="82"/>
      <c r="AE3028" s="82"/>
      <c r="AF3028" s="82"/>
      <c r="AG3028" s="82"/>
      <c r="AH3028" s="82"/>
      <c r="AI3028" s="82"/>
      <c r="AJ3028" s="82"/>
      <c r="AK3028" s="82"/>
      <c r="AL3028" s="82"/>
      <c r="AM3028" s="82"/>
      <c r="AN3028" s="82"/>
      <c r="AO3028" s="82"/>
      <c r="AP3028" s="82"/>
      <c r="AQ3028" s="82"/>
      <c r="AR3028" s="82"/>
      <c r="AS3028" s="82"/>
      <c r="AT3028" s="82"/>
      <c r="AU3028" s="82"/>
      <c r="AV3028" s="82"/>
      <c r="AW3028" s="82" t="str">
        <f t="shared" si="1"/>
        <v/>
      </c>
      <c r="AX3028" s="83" t="str">
        <f t="array" ref="AX3028">IFERROR(DGET('SBV Import'!A:G,"SBV",{"RSC ID","Tier";B3028,A3028}))</f>
        <v/>
      </c>
      <c r="AY3028" s="82" t="str">
        <f t="shared" si="2"/>
        <v/>
      </c>
      <c r="AZ3028" s="82"/>
      <c r="BA3028" s="84" t="s">
        <v>152</v>
      </c>
      <c r="BB3028" s="84" t="str">
        <f>IFERROR(__xludf.DUMMYFUNCTION("iferror(if(A3028="""",,E3028&gt;=FILTER(Constants!$F$2:$F$10,Constants!$A$2:$A$10=A3028)))"),"")</f>
        <v/>
      </c>
    </row>
    <row r="3029">
      <c r="A3029" s="87"/>
      <c r="B3029" s="87"/>
      <c r="C3029" s="73"/>
      <c r="D3029" s="73"/>
      <c r="E3029" s="82"/>
      <c r="F3029" s="82"/>
      <c r="G3029" s="86"/>
      <c r="H3029" s="86"/>
      <c r="I3029" s="86"/>
      <c r="J3029" s="82"/>
      <c r="K3029" s="82"/>
      <c r="L3029" s="82"/>
      <c r="M3029" s="82"/>
      <c r="N3029" s="82"/>
      <c r="O3029" s="82"/>
      <c r="P3029" s="82"/>
      <c r="Q3029" s="82"/>
      <c r="R3029" s="82"/>
      <c r="S3029" s="82"/>
      <c r="T3029" s="82"/>
      <c r="U3029" s="82"/>
      <c r="V3029" s="82"/>
      <c r="W3029" s="82"/>
      <c r="X3029" s="82"/>
      <c r="Y3029" s="82"/>
      <c r="Z3029" s="82"/>
      <c r="AA3029" s="82"/>
      <c r="AB3029" s="82"/>
      <c r="AC3029" s="82"/>
      <c r="AD3029" s="82"/>
      <c r="AE3029" s="82"/>
      <c r="AF3029" s="82"/>
      <c r="AG3029" s="82"/>
      <c r="AH3029" s="82"/>
      <c r="AI3029" s="82"/>
      <c r="AJ3029" s="82"/>
      <c r="AK3029" s="82"/>
      <c r="AL3029" s="82"/>
      <c r="AM3029" s="82"/>
      <c r="AN3029" s="82"/>
      <c r="AO3029" s="82"/>
      <c r="AP3029" s="82"/>
      <c r="AQ3029" s="82"/>
      <c r="AR3029" s="82"/>
      <c r="AS3029" s="82"/>
      <c r="AT3029" s="82"/>
      <c r="AU3029" s="82"/>
      <c r="AV3029" s="82"/>
      <c r="AW3029" s="82" t="str">
        <f t="shared" si="1"/>
        <v/>
      </c>
      <c r="AX3029" s="83" t="str">
        <f t="array" ref="AX3029">IFERROR(DGET('SBV Import'!A:G,"SBV",{"RSC ID","Tier";B3029,A3029}))</f>
        <v/>
      </c>
      <c r="AY3029" s="82" t="str">
        <f t="shared" si="2"/>
        <v/>
      </c>
      <c r="AZ3029" s="82"/>
      <c r="BA3029" s="84" t="s">
        <v>152</v>
      </c>
      <c r="BB3029" s="84" t="str">
        <f>IFERROR(__xludf.DUMMYFUNCTION("iferror(if(A3029="""",,E3029&gt;=FILTER(Constants!$F$2:$F$10,Constants!$A$2:$A$10=A3029)))"),"")</f>
        <v/>
      </c>
    </row>
    <row r="3030">
      <c r="A3030" s="87"/>
      <c r="B3030" s="87"/>
      <c r="C3030" s="73"/>
      <c r="D3030" s="73"/>
      <c r="E3030" s="82"/>
      <c r="F3030" s="82"/>
      <c r="G3030" s="86"/>
      <c r="H3030" s="86"/>
      <c r="I3030" s="86"/>
      <c r="J3030" s="82"/>
      <c r="K3030" s="82"/>
      <c r="L3030" s="82"/>
      <c r="M3030" s="82"/>
      <c r="N3030" s="82"/>
      <c r="O3030" s="82"/>
      <c r="P3030" s="82"/>
      <c r="Q3030" s="82"/>
      <c r="R3030" s="82"/>
      <c r="S3030" s="82"/>
      <c r="T3030" s="82"/>
      <c r="U3030" s="82"/>
      <c r="V3030" s="82"/>
      <c r="W3030" s="82"/>
      <c r="X3030" s="82"/>
      <c r="Y3030" s="82"/>
      <c r="Z3030" s="82"/>
      <c r="AA3030" s="82"/>
      <c r="AB3030" s="82"/>
      <c r="AC3030" s="82"/>
      <c r="AD3030" s="82"/>
      <c r="AE3030" s="82"/>
      <c r="AF3030" s="82"/>
      <c r="AG3030" s="82"/>
      <c r="AH3030" s="82"/>
      <c r="AI3030" s="82"/>
      <c r="AJ3030" s="82"/>
      <c r="AK3030" s="82"/>
      <c r="AL3030" s="82"/>
      <c r="AM3030" s="82"/>
      <c r="AN3030" s="82"/>
      <c r="AO3030" s="82"/>
      <c r="AP3030" s="82"/>
      <c r="AQ3030" s="82"/>
      <c r="AR3030" s="82"/>
      <c r="AS3030" s="82"/>
      <c r="AT3030" s="82"/>
      <c r="AU3030" s="82"/>
      <c r="AV3030" s="82"/>
      <c r="AW3030" s="82" t="str">
        <f t="shared" si="1"/>
        <v/>
      </c>
      <c r="AX3030" s="83" t="str">
        <f t="array" ref="AX3030">IFERROR(DGET('SBV Import'!A:G,"SBV",{"RSC ID","Tier";B3030,A3030}))</f>
        <v/>
      </c>
      <c r="AY3030" s="82" t="str">
        <f t="shared" si="2"/>
        <v/>
      </c>
      <c r="AZ3030" s="82"/>
      <c r="BA3030" s="84" t="s">
        <v>152</v>
      </c>
      <c r="BB3030" s="84" t="str">
        <f>IFERROR(__xludf.DUMMYFUNCTION("iferror(if(A3030="""",,E3030&gt;=FILTER(Constants!$F$2:$F$10,Constants!$A$2:$A$10=A3030)))"),"")</f>
        <v/>
      </c>
    </row>
    <row r="3031">
      <c r="A3031" s="87"/>
      <c r="B3031" s="87"/>
      <c r="C3031" s="73"/>
      <c r="D3031" s="73"/>
      <c r="E3031" s="82"/>
      <c r="F3031" s="82"/>
      <c r="G3031" s="86"/>
      <c r="H3031" s="86"/>
      <c r="I3031" s="86"/>
      <c r="J3031" s="82"/>
      <c r="K3031" s="82"/>
      <c r="L3031" s="82"/>
      <c r="M3031" s="82"/>
      <c r="N3031" s="82"/>
      <c r="O3031" s="82"/>
      <c r="P3031" s="82"/>
      <c r="Q3031" s="82"/>
      <c r="R3031" s="82"/>
      <c r="S3031" s="82"/>
      <c r="T3031" s="82"/>
      <c r="U3031" s="82"/>
      <c r="V3031" s="82"/>
      <c r="W3031" s="82"/>
      <c r="X3031" s="82"/>
      <c r="Y3031" s="82"/>
      <c r="Z3031" s="82"/>
      <c r="AA3031" s="82"/>
      <c r="AB3031" s="82"/>
      <c r="AC3031" s="82"/>
      <c r="AD3031" s="82"/>
      <c r="AE3031" s="82"/>
      <c r="AF3031" s="82"/>
      <c r="AG3031" s="82"/>
      <c r="AH3031" s="82"/>
      <c r="AI3031" s="82"/>
      <c r="AJ3031" s="82"/>
      <c r="AK3031" s="82"/>
      <c r="AL3031" s="82"/>
      <c r="AM3031" s="82"/>
      <c r="AN3031" s="82"/>
      <c r="AO3031" s="82"/>
      <c r="AP3031" s="82"/>
      <c r="AQ3031" s="82"/>
      <c r="AR3031" s="82"/>
      <c r="AS3031" s="82"/>
      <c r="AT3031" s="82"/>
      <c r="AU3031" s="82"/>
      <c r="AV3031" s="82"/>
      <c r="AW3031" s="82" t="str">
        <f t="shared" si="1"/>
        <v/>
      </c>
      <c r="AX3031" s="83" t="str">
        <f t="array" ref="AX3031">IFERROR(DGET('SBV Import'!A:G,"SBV",{"RSC ID","Tier";B3031,A3031}))</f>
        <v/>
      </c>
      <c r="AY3031" s="82" t="str">
        <f t="shared" si="2"/>
        <v/>
      </c>
      <c r="AZ3031" s="82"/>
      <c r="BA3031" s="84" t="s">
        <v>152</v>
      </c>
      <c r="BB3031" s="84" t="str">
        <f>IFERROR(__xludf.DUMMYFUNCTION("iferror(if(A3031="""",,E3031&gt;=FILTER(Constants!$F$2:$F$10,Constants!$A$2:$A$10=A3031)))"),"")</f>
        <v/>
      </c>
    </row>
    <row r="3032">
      <c r="A3032" s="87"/>
      <c r="B3032" s="87"/>
      <c r="C3032" s="73"/>
      <c r="D3032" s="73"/>
      <c r="E3032" s="82"/>
      <c r="F3032" s="82"/>
      <c r="G3032" s="86"/>
      <c r="H3032" s="86"/>
      <c r="I3032" s="86"/>
      <c r="J3032" s="82"/>
      <c r="K3032" s="82"/>
      <c r="L3032" s="82"/>
      <c r="M3032" s="82"/>
      <c r="N3032" s="82"/>
      <c r="O3032" s="82"/>
      <c r="P3032" s="82"/>
      <c r="Q3032" s="82"/>
      <c r="R3032" s="82"/>
      <c r="S3032" s="82"/>
      <c r="T3032" s="82"/>
      <c r="U3032" s="82"/>
      <c r="V3032" s="82"/>
      <c r="W3032" s="82"/>
      <c r="X3032" s="82"/>
      <c r="Y3032" s="82"/>
      <c r="Z3032" s="82"/>
      <c r="AA3032" s="82"/>
      <c r="AB3032" s="82"/>
      <c r="AC3032" s="82"/>
      <c r="AD3032" s="82"/>
      <c r="AE3032" s="82"/>
      <c r="AF3032" s="82"/>
      <c r="AG3032" s="82"/>
      <c r="AH3032" s="82"/>
      <c r="AI3032" s="82"/>
      <c r="AJ3032" s="82"/>
      <c r="AK3032" s="82"/>
      <c r="AL3032" s="82"/>
      <c r="AM3032" s="82"/>
      <c r="AN3032" s="82"/>
      <c r="AO3032" s="82"/>
      <c r="AP3032" s="82"/>
      <c r="AQ3032" s="82"/>
      <c r="AR3032" s="82"/>
      <c r="AS3032" s="82"/>
      <c r="AT3032" s="82"/>
      <c r="AU3032" s="82"/>
      <c r="AV3032" s="82"/>
      <c r="AW3032" s="82" t="str">
        <f t="shared" si="1"/>
        <v/>
      </c>
      <c r="AX3032" s="83" t="str">
        <f t="array" ref="AX3032">IFERROR(DGET('SBV Import'!A:G,"SBV",{"RSC ID","Tier";B3032,A3032}))</f>
        <v/>
      </c>
      <c r="AY3032" s="82" t="str">
        <f t="shared" si="2"/>
        <v/>
      </c>
      <c r="AZ3032" s="82"/>
      <c r="BA3032" s="84" t="s">
        <v>152</v>
      </c>
      <c r="BB3032" s="84" t="str">
        <f>IFERROR(__xludf.DUMMYFUNCTION("iferror(if(A3032="""",,E3032&gt;=FILTER(Constants!$F$2:$F$10,Constants!$A$2:$A$10=A3032)))"),"")</f>
        <v/>
      </c>
    </row>
    <row r="3033">
      <c r="A3033" s="87"/>
      <c r="B3033" s="87"/>
      <c r="C3033" s="73"/>
      <c r="D3033" s="73"/>
      <c r="E3033" s="82"/>
      <c r="F3033" s="82"/>
      <c r="G3033" s="86"/>
      <c r="H3033" s="86"/>
      <c r="I3033" s="86"/>
      <c r="J3033" s="82"/>
      <c r="K3033" s="82"/>
      <c r="L3033" s="82"/>
      <c r="M3033" s="82"/>
      <c r="N3033" s="82"/>
      <c r="O3033" s="82"/>
      <c r="P3033" s="82"/>
      <c r="Q3033" s="82"/>
      <c r="R3033" s="82"/>
      <c r="S3033" s="82"/>
      <c r="T3033" s="82"/>
      <c r="U3033" s="82"/>
      <c r="V3033" s="82"/>
      <c r="W3033" s="82"/>
      <c r="X3033" s="82"/>
      <c r="Y3033" s="82"/>
      <c r="Z3033" s="82"/>
      <c r="AA3033" s="82"/>
      <c r="AB3033" s="82"/>
      <c r="AC3033" s="82"/>
      <c r="AD3033" s="82"/>
      <c r="AE3033" s="82"/>
      <c r="AF3033" s="82"/>
      <c r="AG3033" s="82"/>
      <c r="AH3033" s="82"/>
      <c r="AI3033" s="82"/>
      <c r="AJ3033" s="82"/>
      <c r="AK3033" s="82"/>
      <c r="AL3033" s="82"/>
      <c r="AM3033" s="82"/>
      <c r="AN3033" s="82"/>
      <c r="AO3033" s="82"/>
      <c r="AP3033" s="82"/>
      <c r="AQ3033" s="82"/>
      <c r="AR3033" s="82"/>
      <c r="AS3033" s="82"/>
      <c r="AT3033" s="82"/>
      <c r="AU3033" s="82"/>
      <c r="AV3033" s="82"/>
      <c r="AW3033" s="82" t="str">
        <f t="shared" si="1"/>
        <v/>
      </c>
      <c r="AX3033" s="83" t="str">
        <f t="array" ref="AX3033">IFERROR(DGET('SBV Import'!A:G,"SBV",{"RSC ID","Tier";B3033,A3033}))</f>
        <v/>
      </c>
      <c r="AY3033" s="82" t="str">
        <f t="shared" si="2"/>
        <v/>
      </c>
      <c r="AZ3033" s="82"/>
      <c r="BA3033" s="84" t="s">
        <v>152</v>
      </c>
      <c r="BB3033" s="84" t="str">
        <f>IFERROR(__xludf.DUMMYFUNCTION("iferror(if(A3033="""",,E3033&gt;=FILTER(Constants!$F$2:$F$10,Constants!$A$2:$A$10=A3033)))"),"")</f>
        <v/>
      </c>
    </row>
    <row r="3034">
      <c r="A3034" s="87"/>
      <c r="B3034" s="87"/>
      <c r="C3034" s="73"/>
      <c r="D3034" s="73"/>
      <c r="E3034" s="82"/>
      <c r="F3034" s="82"/>
      <c r="G3034" s="86"/>
      <c r="H3034" s="86"/>
      <c r="I3034" s="86"/>
      <c r="J3034" s="82"/>
      <c r="K3034" s="82"/>
      <c r="L3034" s="82"/>
      <c r="M3034" s="82"/>
      <c r="N3034" s="82"/>
      <c r="O3034" s="82"/>
      <c r="P3034" s="82"/>
      <c r="Q3034" s="82"/>
      <c r="R3034" s="82"/>
      <c r="S3034" s="82"/>
      <c r="T3034" s="82"/>
      <c r="U3034" s="82"/>
      <c r="V3034" s="82"/>
      <c r="W3034" s="82"/>
      <c r="X3034" s="82"/>
      <c r="Y3034" s="82"/>
      <c r="Z3034" s="82"/>
      <c r="AA3034" s="82"/>
      <c r="AB3034" s="82"/>
      <c r="AC3034" s="82"/>
      <c r="AD3034" s="82"/>
      <c r="AE3034" s="82"/>
      <c r="AF3034" s="82"/>
      <c r="AG3034" s="82"/>
      <c r="AH3034" s="82"/>
      <c r="AI3034" s="82"/>
      <c r="AJ3034" s="82"/>
      <c r="AK3034" s="82"/>
      <c r="AL3034" s="82"/>
      <c r="AM3034" s="82"/>
      <c r="AN3034" s="82"/>
      <c r="AO3034" s="82"/>
      <c r="AP3034" s="82"/>
      <c r="AQ3034" s="82"/>
      <c r="AR3034" s="82"/>
      <c r="AS3034" s="82"/>
      <c r="AT3034" s="82"/>
      <c r="AU3034" s="82"/>
      <c r="AV3034" s="82"/>
      <c r="AW3034" s="82" t="str">
        <f t="shared" si="1"/>
        <v/>
      </c>
      <c r="AX3034" s="83" t="str">
        <f t="array" ref="AX3034">IFERROR(DGET('SBV Import'!A:G,"SBV",{"RSC ID","Tier";B3034,A3034}))</f>
        <v/>
      </c>
      <c r="AY3034" s="82" t="str">
        <f t="shared" si="2"/>
        <v/>
      </c>
      <c r="AZ3034" s="82"/>
      <c r="BA3034" s="84" t="s">
        <v>152</v>
      </c>
      <c r="BB3034" s="84" t="str">
        <f>IFERROR(__xludf.DUMMYFUNCTION("iferror(if(A3034="""",,E3034&gt;=FILTER(Constants!$F$2:$F$10,Constants!$A$2:$A$10=A3034)))"),"")</f>
        <v/>
      </c>
    </row>
    <row r="3035">
      <c r="A3035" s="87"/>
      <c r="B3035" s="87"/>
      <c r="C3035" s="73"/>
      <c r="D3035" s="73"/>
      <c r="E3035" s="82"/>
      <c r="F3035" s="82"/>
      <c r="G3035" s="86"/>
      <c r="H3035" s="86"/>
      <c r="I3035" s="86"/>
      <c r="J3035" s="82"/>
      <c r="K3035" s="82"/>
      <c r="L3035" s="82"/>
      <c r="M3035" s="82"/>
      <c r="N3035" s="82"/>
      <c r="O3035" s="82"/>
      <c r="P3035" s="82"/>
      <c r="Q3035" s="82"/>
      <c r="R3035" s="82"/>
      <c r="S3035" s="82"/>
      <c r="T3035" s="82"/>
      <c r="U3035" s="82"/>
      <c r="V3035" s="82"/>
      <c r="W3035" s="82"/>
      <c r="X3035" s="82"/>
      <c r="Y3035" s="82"/>
      <c r="Z3035" s="82"/>
      <c r="AA3035" s="82"/>
      <c r="AB3035" s="82"/>
      <c r="AC3035" s="82"/>
      <c r="AD3035" s="82"/>
      <c r="AE3035" s="82"/>
      <c r="AF3035" s="82"/>
      <c r="AG3035" s="82"/>
      <c r="AH3035" s="82"/>
      <c r="AI3035" s="82"/>
      <c r="AJ3035" s="82"/>
      <c r="AK3035" s="82"/>
      <c r="AL3035" s="82"/>
      <c r="AM3035" s="82"/>
      <c r="AN3035" s="82"/>
      <c r="AO3035" s="82"/>
      <c r="AP3035" s="82"/>
      <c r="AQ3035" s="82"/>
      <c r="AR3035" s="82"/>
      <c r="AS3035" s="82"/>
      <c r="AT3035" s="82"/>
      <c r="AU3035" s="82"/>
      <c r="AV3035" s="82"/>
      <c r="AW3035" s="82" t="str">
        <f t="shared" si="1"/>
        <v/>
      </c>
      <c r="AX3035" s="83" t="str">
        <f t="array" ref="AX3035">IFERROR(DGET('SBV Import'!A:G,"SBV",{"RSC ID","Tier";B3035,A3035}))</f>
        <v/>
      </c>
      <c r="AY3035" s="82" t="str">
        <f t="shared" si="2"/>
        <v/>
      </c>
      <c r="AZ3035" s="82"/>
      <c r="BA3035" s="84" t="s">
        <v>152</v>
      </c>
      <c r="BB3035" s="84" t="str">
        <f>IFERROR(__xludf.DUMMYFUNCTION("iferror(if(A3035="""",,E3035&gt;=FILTER(Constants!$F$2:$F$10,Constants!$A$2:$A$10=A3035)))"),"")</f>
        <v/>
      </c>
    </row>
    <row r="3036">
      <c r="A3036" s="87"/>
      <c r="B3036" s="87"/>
      <c r="C3036" s="73"/>
      <c r="D3036" s="73"/>
      <c r="E3036" s="82"/>
      <c r="F3036" s="82"/>
      <c r="G3036" s="86"/>
      <c r="H3036" s="86"/>
      <c r="I3036" s="86"/>
      <c r="J3036" s="82"/>
      <c r="K3036" s="82"/>
      <c r="L3036" s="82"/>
      <c r="M3036" s="82"/>
      <c r="N3036" s="82"/>
      <c r="O3036" s="82"/>
      <c r="P3036" s="82"/>
      <c r="Q3036" s="82"/>
      <c r="R3036" s="82"/>
      <c r="S3036" s="82"/>
      <c r="T3036" s="82"/>
      <c r="U3036" s="82"/>
      <c r="V3036" s="82"/>
      <c r="W3036" s="82"/>
      <c r="X3036" s="82"/>
      <c r="Y3036" s="82"/>
      <c r="Z3036" s="82"/>
      <c r="AA3036" s="82"/>
      <c r="AB3036" s="82"/>
      <c r="AC3036" s="82"/>
      <c r="AD3036" s="82"/>
      <c r="AE3036" s="82"/>
      <c r="AF3036" s="82"/>
      <c r="AG3036" s="82"/>
      <c r="AH3036" s="82"/>
      <c r="AI3036" s="82"/>
      <c r="AJ3036" s="82"/>
      <c r="AK3036" s="82"/>
      <c r="AL3036" s="82"/>
      <c r="AM3036" s="82"/>
      <c r="AN3036" s="82"/>
      <c r="AO3036" s="82"/>
      <c r="AP3036" s="82"/>
      <c r="AQ3036" s="82"/>
      <c r="AR3036" s="82"/>
      <c r="AS3036" s="82"/>
      <c r="AT3036" s="82"/>
      <c r="AU3036" s="82"/>
      <c r="AV3036" s="82"/>
      <c r="AW3036" s="82" t="str">
        <f t="shared" si="1"/>
        <v/>
      </c>
      <c r="AX3036" s="83" t="str">
        <f t="array" ref="AX3036">IFERROR(DGET('SBV Import'!A:G,"SBV",{"RSC ID","Tier";B3036,A3036}))</f>
        <v/>
      </c>
      <c r="AY3036" s="82" t="str">
        <f t="shared" si="2"/>
        <v/>
      </c>
      <c r="AZ3036" s="82"/>
      <c r="BA3036" s="84" t="s">
        <v>152</v>
      </c>
      <c r="BB3036" s="84" t="str">
        <f>IFERROR(__xludf.DUMMYFUNCTION("iferror(if(A3036="""",,E3036&gt;=FILTER(Constants!$F$2:$F$10,Constants!$A$2:$A$10=A3036)))"),"")</f>
        <v/>
      </c>
    </row>
    <row r="3037">
      <c r="A3037" s="87"/>
      <c r="B3037" s="87"/>
      <c r="C3037" s="73"/>
      <c r="D3037" s="73"/>
      <c r="E3037" s="82"/>
      <c r="F3037" s="82"/>
      <c r="G3037" s="86"/>
      <c r="H3037" s="86"/>
      <c r="I3037" s="86"/>
      <c r="J3037" s="82"/>
      <c r="K3037" s="82"/>
      <c r="L3037" s="82"/>
      <c r="M3037" s="82"/>
      <c r="N3037" s="82"/>
      <c r="O3037" s="82"/>
      <c r="P3037" s="82"/>
      <c r="Q3037" s="82"/>
      <c r="R3037" s="82"/>
      <c r="S3037" s="82"/>
      <c r="T3037" s="82"/>
      <c r="U3037" s="82"/>
      <c r="V3037" s="82"/>
      <c r="W3037" s="82"/>
      <c r="X3037" s="82"/>
      <c r="Y3037" s="82"/>
      <c r="Z3037" s="82"/>
      <c r="AA3037" s="82"/>
      <c r="AB3037" s="82"/>
      <c r="AC3037" s="82"/>
      <c r="AD3037" s="82"/>
      <c r="AE3037" s="82"/>
      <c r="AF3037" s="82"/>
      <c r="AG3037" s="82"/>
      <c r="AH3037" s="82"/>
      <c r="AI3037" s="82"/>
      <c r="AJ3037" s="82"/>
      <c r="AK3037" s="82"/>
      <c r="AL3037" s="82"/>
      <c r="AM3037" s="82"/>
      <c r="AN3037" s="82"/>
      <c r="AO3037" s="82"/>
      <c r="AP3037" s="82"/>
      <c r="AQ3037" s="82"/>
      <c r="AR3037" s="82"/>
      <c r="AS3037" s="82"/>
      <c r="AT3037" s="82"/>
      <c r="AU3037" s="82"/>
      <c r="AV3037" s="82"/>
      <c r="AW3037" s="82" t="str">
        <f t="shared" si="1"/>
        <v/>
      </c>
      <c r="AX3037" s="83" t="str">
        <f t="array" ref="AX3037">IFERROR(DGET('SBV Import'!A:G,"SBV",{"RSC ID","Tier";B3037,A3037}))</f>
        <v/>
      </c>
      <c r="AY3037" s="82" t="str">
        <f t="shared" si="2"/>
        <v/>
      </c>
      <c r="AZ3037" s="82"/>
      <c r="BA3037" s="84" t="s">
        <v>152</v>
      </c>
      <c r="BB3037" s="84" t="str">
        <f>IFERROR(__xludf.DUMMYFUNCTION("iferror(if(A3037="""",,E3037&gt;=FILTER(Constants!$F$2:$F$10,Constants!$A$2:$A$10=A3037)))"),"")</f>
        <v/>
      </c>
    </row>
    <row r="3038">
      <c r="A3038" s="87"/>
      <c r="B3038" s="87"/>
      <c r="C3038" s="73"/>
      <c r="D3038" s="73"/>
      <c r="E3038" s="82"/>
      <c r="F3038" s="82"/>
      <c r="G3038" s="86"/>
      <c r="H3038" s="86"/>
      <c r="I3038" s="86"/>
      <c r="J3038" s="82"/>
      <c r="K3038" s="82"/>
      <c r="L3038" s="82"/>
      <c r="M3038" s="82"/>
      <c r="N3038" s="82"/>
      <c r="O3038" s="82"/>
      <c r="P3038" s="82"/>
      <c r="Q3038" s="82"/>
      <c r="R3038" s="82"/>
      <c r="S3038" s="82"/>
      <c r="T3038" s="82"/>
      <c r="U3038" s="82"/>
      <c r="V3038" s="82"/>
      <c r="W3038" s="82"/>
      <c r="X3038" s="82"/>
      <c r="Y3038" s="82"/>
      <c r="Z3038" s="82"/>
      <c r="AA3038" s="82"/>
      <c r="AB3038" s="82"/>
      <c r="AC3038" s="82"/>
      <c r="AD3038" s="82"/>
      <c r="AE3038" s="82"/>
      <c r="AF3038" s="82"/>
      <c r="AG3038" s="82"/>
      <c r="AH3038" s="82"/>
      <c r="AI3038" s="82"/>
      <c r="AJ3038" s="82"/>
      <c r="AK3038" s="82"/>
      <c r="AL3038" s="82"/>
      <c r="AM3038" s="82"/>
      <c r="AN3038" s="82"/>
      <c r="AO3038" s="82"/>
      <c r="AP3038" s="82"/>
      <c r="AQ3038" s="82"/>
      <c r="AR3038" s="82"/>
      <c r="AS3038" s="82"/>
      <c r="AT3038" s="82"/>
      <c r="AU3038" s="82"/>
      <c r="AV3038" s="82"/>
      <c r="AW3038" s="82" t="str">
        <f t="shared" si="1"/>
        <v/>
      </c>
      <c r="AX3038" s="83" t="str">
        <f t="array" ref="AX3038">IFERROR(DGET('SBV Import'!A:G,"SBV",{"RSC ID","Tier";B3038,A3038}))</f>
        <v/>
      </c>
      <c r="AY3038" s="82" t="str">
        <f t="shared" si="2"/>
        <v/>
      </c>
      <c r="AZ3038" s="82"/>
      <c r="BA3038" s="84" t="s">
        <v>152</v>
      </c>
      <c r="BB3038" s="84" t="str">
        <f>IFERROR(__xludf.DUMMYFUNCTION("iferror(if(A3038="""",,E3038&gt;=FILTER(Constants!$F$2:$F$10,Constants!$A$2:$A$10=A3038)))"),"")</f>
        <v/>
      </c>
    </row>
    <row r="3039">
      <c r="A3039" s="87"/>
      <c r="B3039" s="87"/>
      <c r="C3039" s="73"/>
      <c r="D3039" s="73"/>
      <c r="E3039" s="82"/>
      <c r="F3039" s="82"/>
      <c r="G3039" s="86"/>
      <c r="H3039" s="86"/>
      <c r="I3039" s="86"/>
      <c r="J3039" s="82"/>
      <c r="K3039" s="82"/>
      <c r="L3039" s="82"/>
      <c r="M3039" s="82"/>
      <c r="N3039" s="82"/>
      <c r="O3039" s="82"/>
      <c r="P3039" s="82"/>
      <c r="Q3039" s="82"/>
      <c r="R3039" s="82"/>
      <c r="S3039" s="82"/>
      <c r="T3039" s="82"/>
      <c r="U3039" s="82"/>
      <c r="V3039" s="82"/>
      <c r="W3039" s="82"/>
      <c r="X3039" s="82"/>
      <c r="Y3039" s="82"/>
      <c r="Z3039" s="82"/>
      <c r="AA3039" s="82"/>
      <c r="AB3039" s="82"/>
      <c r="AC3039" s="82"/>
      <c r="AD3039" s="82"/>
      <c r="AE3039" s="82"/>
      <c r="AF3039" s="82"/>
      <c r="AG3039" s="82"/>
      <c r="AH3039" s="82"/>
      <c r="AI3039" s="82"/>
      <c r="AJ3039" s="82"/>
      <c r="AK3039" s="82"/>
      <c r="AL3039" s="82"/>
      <c r="AM3039" s="82"/>
      <c r="AN3039" s="82"/>
      <c r="AO3039" s="82"/>
      <c r="AP3039" s="82"/>
      <c r="AQ3039" s="82"/>
      <c r="AR3039" s="82"/>
      <c r="AS3039" s="82"/>
      <c r="AT3039" s="82"/>
      <c r="AU3039" s="82"/>
      <c r="AV3039" s="82"/>
      <c r="AW3039" s="82" t="str">
        <f t="shared" si="1"/>
        <v/>
      </c>
      <c r="AX3039" s="83" t="str">
        <f t="array" ref="AX3039">IFERROR(DGET('SBV Import'!A:G,"SBV",{"RSC ID","Tier";B3039,A3039}))</f>
        <v/>
      </c>
      <c r="AY3039" s="82" t="str">
        <f t="shared" si="2"/>
        <v/>
      </c>
      <c r="AZ3039" s="82"/>
      <c r="BA3039" s="84" t="s">
        <v>152</v>
      </c>
      <c r="BB3039" s="84" t="str">
        <f>IFERROR(__xludf.DUMMYFUNCTION("iferror(if(A3039="""",,E3039&gt;=FILTER(Constants!$F$2:$F$10,Constants!$A$2:$A$10=A3039)))"),"")</f>
        <v/>
      </c>
    </row>
    <row r="3040">
      <c r="A3040" s="87"/>
      <c r="B3040" s="87"/>
      <c r="C3040" s="73"/>
      <c r="D3040" s="73"/>
      <c r="E3040" s="82"/>
      <c r="F3040" s="82"/>
      <c r="G3040" s="86"/>
      <c r="H3040" s="86"/>
      <c r="I3040" s="86"/>
      <c r="J3040" s="82"/>
      <c r="K3040" s="82"/>
      <c r="L3040" s="82"/>
      <c r="M3040" s="82"/>
      <c r="N3040" s="82"/>
      <c r="O3040" s="82"/>
      <c r="P3040" s="82"/>
      <c r="Q3040" s="82"/>
      <c r="R3040" s="82"/>
      <c r="S3040" s="82"/>
      <c r="T3040" s="82"/>
      <c r="U3040" s="82"/>
      <c r="V3040" s="82"/>
      <c r="W3040" s="82"/>
      <c r="X3040" s="82"/>
      <c r="Y3040" s="82"/>
      <c r="Z3040" s="82"/>
      <c r="AA3040" s="82"/>
      <c r="AB3040" s="82"/>
      <c r="AC3040" s="82"/>
      <c r="AD3040" s="82"/>
      <c r="AE3040" s="82"/>
      <c r="AF3040" s="82"/>
      <c r="AG3040" s="82"/>
      <c r="AH3040" s="82"/>
      <c r="AI3040" s="82"/>
      <c r="AJ3040" s="82"/>
      <c r="AK3040" s="82"/>
      <c r="AL3040" s="82"/>
      <c r="AM3040" s="82"/>
      <c r="AN3040" s="82"/>
      <c r="AO3040" s="82"/>
      <c r="AP3040" s="82"/>
      <c r="AQ3040" s="82"/>
      <c r="AR3040" s="82"/>
      <c r="AS3040" s="82"/>
      <c r="AT3040" s="82"/>
      <c r="AU3040" s="82"/>
      <c r="AV3040" s="82"/>
      <c r="AW3040" s="82" t="str">
        <f t="shared" si="1"/>
        <v/>
      </c>
      <c r="AX3040" s="83" t="str">
        <f t="array" ref="AX3040">IFERROR(DGET('SBV Import'!A:G,"SBV",{"RSC ID","Tier";B3040,A3040}))</f>
        <v/>
      </c>
      <c r="AY3040" s="82" t="str">
        <f t="shared" si="2"/>
        <v/>
      </c>
      <c r="AZ3040" s="82"/>
      <c r="BA3040" s="84" t="s">
        <v>152</v>
      </c>
      <c r="BB3040" s="84" t="str">
        <f>IFERROR(__xludf.DUMMYFUNCTION("iferror(if(A3040="""",,E3040&gt;=FILTER(Constants!$F$2:$F$10,Constants!$A$2:$A$10=A3040)))"),"")</f>
        <v/>
      </c>
    </row>
    <row r="3041">
      <c r="A3041" s="87"/>
      <c r="B3041" s="87"/>
      <c r="C3041" s="73"/>
      <c r="D3041" s="73"/>
      <c r="E3041" s="82"/>
      <c r="F3041" s="82"/>
      <c r="G3041" s="86"/>
      <c r="H3041" s="86"/>
      <c r="I3041" s="86"/>
      <c r="J3041" s="82"/>
      <c r="K3041" s="82"/>
      <c r="L3041" s="82"/>
      <c r="M3041" s="82"/>
      <c r="N3041" s="82"/>
      <c r="O3041" s="82"/>
      <c r="P3041" s="82"/>
      <c r="Q3041" s="82"/>
      <c r="R3041" s="82"/>
      <c r="S3041" s="82"/>
      <c r="T3041" s="82"/>
      <c r="U3041" s="82"/>
      <c r="V3041" s="82"/>
      <c r="W3041" s="82"/>
      <c r="X3041" s="82"/>
      <c r="Y3041" s="82"/>
      <c r="Z3041" s="82"/>
      <c r="AA3041" s="82"/>
      <c r="AB3041" s="82"/>
      <c r="AC3041" s="82"/>
      <c r="AD3041" s="82"/>
      <c r="AE3041" s="82"/>
      <c r="AF3041" s="82"/>
      <c r="AG3041" s="82"/>
      <c r="AH3041" s="82"/>
      <c r="AI3041" s="82"/>
      <c r="AJ3041" s="82"/>
      <c r="AK3041" s="82"/>
      <c r="AL3041" s="82"/>
      <c r="AM3041" s="82"/>
      <c r="AN3041" s="82"/>
      <c r="AO3041" s="82"/>
      <c r="AP3041" s="82"/>
      <c r="AQ3041" s="82"/>
      <c r="AR3041" s="82"/>
      <c r="AS3041" s="82"/>
      <c r="AT3041" s="82"/>
      <c r="AU3041" s="82"/>
      <c r="AV3041" s="82"/>
      <c r="AW3041" s="82" t="str">
        <f t="shared" si="1"/>
        <v/>
      </c>
      <c r="AX3041" s="83" t="str">
        <f t="array" ref="AX3041">IFERROR(DGET('SBV Import'!A:G,"SBV",{"RSC ID","Tier";B3041,A3041}))</f>
        <v/>
      </c>
      <c r="AY3041" s="82" t="str">
        <f t="shared" si="2"/>
        <v/>
      </c>
      <c r="AZ3041" s="82"/>
      <c r="BA3041" s="84" t="s">
        <v>152</v>
      </c>
      <c r="BB3041" s="84" t="str">
        <f>IFERROR(__xludf.DUMMYFUNCTION("iferror(if(A3041="""",,E3041&gt;=FILTER(Constants!$F$2:$F$10,Constants!$A$2:$A$10=A3041)))"),"")</f>
        <v/>
      </c>
    </row>
    <row r="3042">
      <c r="A3042" s="87"/>
      <c r="B3042" s="87"/>
      <c r="C3042" s="73"/>
      <c r="D3042" s="73"/>
      <c r="E3042" s="82"/>
      <c r="F3042" s="82"/>
      <c r="G3042" s="86"/>
      <c r="H3042" s="86"/>
      <c r="I3042" s="86"/>
      <c r="J3042" s="82"/>
      <c r="K3042" s="82"/>
      <c r="L3042" s="82"/>
      <c r="M3042" s="82"/>
      <c r="N3042" s="82"/>
      <c r="O3042" s="82"/>
      <c r="P3042" s="82"/>
      <c r="Q3042" s="82"/>
      <c r="R3042" s="82"/>
      <c r="S3042" s="82"/>
      <c r="T3042" s="82"/>
      <c r="U3042" s="82"/>
      <c r="V3042" s="82"/>
      <c r="W3042" s="82"/>
      <c r="X3042" s="82"/>
      <c r="Y3042" s="82"/>
      <c r="Z3042" s="82"/>
      <c r="AA3042" s="82"/>
      <c r="AB3042" s="82"/>
      <c r="AC3042" s="82"/>
      <c r="AD3042" s="82"/>
      <c r="AE3042" s="82"/>
      <c r="AF3042" s="82"/>
      <c r="AG3042" s="82"/>
      <c r="AH3042" s="82"/>
      <c r="AI3042" s="82"/>
      <c r="AJ3042" s="82"/>
      <c r="AK3042" s="82"/>
      <c r="AL3042" s="82"/>
      <c r="AM3042" s="82"/>
      <c r="AN3042" s="82"/>
      <c r="AO3042" s="82"/>
      <c r="AP3042" s="82"/>
      <c r="AQ3042" s="82"/>
      <c r="AR3042" s="82"/>
      <c r="AS3042" s="82"/>
      <c r="AT3042" s="82"/>
      <c r="AU3042" s="82"/>
      <c r="AV3042" s="82"/>
      <c r="AW3042" s="82" t="str">
        <f t="shared" si="1"/>
        <v/>
      </c>
      <c r="AX3042" s="83" t="str">
        <f t="array" ref="AX3042">IFERROR(DGET('SBV Import'!A:G,"SBV",{"RSC ID","Tier";B3042,A3042}))</f>
        <v/>
      </c>
      <c r="AY3042" s="82" t="str">
        <f t="shared" si="2"/>
        <v/>
      </c>
      <c r="AZ3042" s="82"/>
      <c r="BA3042" s="84" t="s">
        <v>152</v>
      </c>
      <c r="BB3042" s="84" t="str">
        <f>IFERROR(__xludf.DUMMYFUNCTION("iferror(if(A3042="""",,E3042&gt;=FILTER(Constants!$F$2:$F$10,Constants!$A$2:$A$10=A3042)))"),"")</f>
        <v/>
      </c>
    </row>
    <row r="3043">
      <c r="A3043" s="87"/>
      <c r="B3043" s="87"/>
      <c r="C3043" s="73"/>
      <c r="D3043" s="73"/>
      <c r="E3043" s="82"/>
      <c r="F3043" s="82"/>
      <c r="G3043" s="86"/>
      <c r="H3043" s="86"/>
      <c r="I3043" s="86"/>
      <c r="J3043" s="82"/>
      <c r="K3043" s="82"/>
      <c r="L3043" s="82"/>
      <c r="M3043" s="82"/>
      <c r="N3043" s="82"/>
      <c r="O3043" s="82"/>
      <c r="P3043" s="82"/>
      <c r="Q3043" s="82"/>
      <c r="R3043" s="82"/>
      <c r="S3043" s="82"/>
      <c r="T3043" s="82"/>
      <c r="U3043" s="82"/>
      <c r="V3043" s="82"/>
      <c r="W3043" s="82"/>
      <c r="X3043" s="82"/>
      <c r="Y3043" s="82"/>
      <c r="Z3043" s="82"/>
      <c r="AA3043" s="82"/>
      <c r="AB3043" s="82"/>
      <c r="AC3043" s="82"/>
      <c r="AD3043" s="82"/>
      <c r="AE3043" s="82"/>
      <c r="AF3043" s="82"/>
      <c r="AG3043" s="82"/>
      <c r="AH3043" s="82"/>
      <c r="AI3043" s="82"/>
      <c r="AJ3043" s="82"/>
      <c r="AK3043" s="82"/>
      <c r="AL3043" s="82"/>
      <c r="AM3043" s="82"/>
      <c r="AN3043" s="82"/>
      <c r="AO3043" s="82"/>
      <c r="AP3043" s="82"/>
      <c r="AQ3043" s="82"/>
      <c r="AR3043" s="82"/>
      <c r="AS3043" s="82"/>
      <c r="AT3043" s="82"/>
      <c r="AU3043" s="82"/>
      <c r="AV3043" s="82"/>
      <c r="AW3043" s="82" t="str">
        <f t="shared" si="1"/>
        <v/>
      </c>
      <c r="AX3043" s="83" t="str">
        <f t="array" ref="AX3043">IFERROR(DGET('SBV Import'!A:G,"SBV",{"RSC ID","Tier";B3043,A3043}))</f>
        <v/>
      </c>
      <c r="AY3043" s="82" t="str">
        <f t="shared" si="2"/>
        <v/>
      </c>
      <c r="AZ3043" s="82"/>
      <c r="BA3043" s="84" t="s">
        <v>152</v>
      </c>
      <c r="BB3043" s="84" t="str">
        <f>IFERROR(__xludf.DUMMYFUNCTION("iferror(if(A3043="""",,E3043&gt;=FILTER(Constants!$F$2:$F$10,Constants!$A$2:$A$10=A3043)))"),"")</f>
        <v/>
      </c>
    </row>
    <row r="3044">
      <c r="A3044" s="87"/>
      <c r="B3044" s="87"/>
      <c r="C3044" s="73"/>
      <c r="D3044" s="73"/>
      <c r="E3044" s="82"/>
      <c r="F3044" s="82"/>
      <c r="G3044" s="86"/>
      <c r="H3044" s="86"/>
      <c r="I3044" s="86"/>
      <c r="J3044" s="82"/>
      <c r="K3044" s="82"/>
      <c r="L3044" s="82"/>
      <c r="M3044" s="82"/>
      <c r="N3044" s="82"/>
      <c r="O3044" s="82"/>
      <c r="P3044" s="82"/>
      <c r="Q3044" s="82"/>
      <c r="R3044" s="82"/>
      <c r="S3044" s="82"/>
      <c r="T3044" s="82"/>
      <c r="U3044" s="82"/>
      <c r="V3044" s="82"/>
      <c r="W3044" s="82"/>
      <c r="X3044" s="82"/>
      <c r="Y3044" s="82"/>
      <c r="Z3044" s="82"/>
      <c r="AA3044" s="82"/>
      <c r="AB3044" s="82"/>
      <c r="AC3044" s="82"/>
      <c r="AD3044" s="82"/>
      <c r="AE3044" s="82"/>
      <c r="AF3044" s="82"/>
      <c r="AG3044" s="82"/>
      <c r="AH3044" s="82"/>
      <c r="AI3044" s="82"/>
      <c r="AJ3044" s="82"/>
      <c r="AK3044" s="82"/>
      <c r="AL3044" s="82"/>
      <c r="AM3044" s="82"/>
      <c r="AN3044" s="82"/>
      <c r="AO3044" s="82"/>
      <c r="AP3044" s="82"/>
      <c r="AQ3044" s="82"/>
      <c r="AR3044" s="82"/>
      <c r="AS3044" s="82"/>
      <c r="AT3044" s="82"/>
      <c r="AU3044" s="82"/>
      <c r="AV3044" s="82"/>
      <c r="AW3044" s="82" t="str">
        <f t="shared" si="1"/>
        <v/>
      </c>
      <c r="AX3044" s="83" t="str">
        <f t="array" ref="AX3044">IFERROR(DGET('SBV Import'!A:G,"SBV",{"RSC ID","Tier";B3044,A3044}))</f>
        <v/>
      </c>
      <c r="AY3044" s="82" t="str">
        <f t="shared" si="2"/>
        <v/>
      </c>
      <c r="AZ3044" s="82"/>
      <c r="BA3044" s="84" t="s">
        <v>152</v>
      </c>
      <c r="BB3044" s="84" t="str">
        <f>IFERROR(__xludf.DUMMYFUNCTION("iferror(if(A3044="""",,E3044&gt;=FILTER(Constants!$F$2:$F$10,Constants!$A$2:$A$10=A3044)))"),"")</f>
        <v/>
      </c>
    </row>
    <row r="3045">
      <c r="A3045" s="87"/>
      <c r="B3045" s="87"/>
      <c r="C3045" s="73"/>
      <c r="D3045" s="73"/>
      <c r="E3045" s="82"/>
      <c r="F3045" s="82"/>
      <c r="G3045" s="86"/>
      <c r="H3045" s="86"/>
      <c r="I3045" s="86"/>
      <c r="J3045" s="82"/>
      <c r="K3045" s="82"/>
      <c r="L3045" s="82"/>
      <c r="M3045" s="82"/>
      <c r="N3045" s="82"/>
      <c r="O3045" s="82"/>
      <c r="P3045" s="82"/>
      <c r="Q3045" s="82"/>
      <c r="R3045" s="82"/>
      <c r="S3045" s="82"/>
      <c r="T3045" s="82"/>
      <c r="U3045" s="82"/>
      <c r="V3045" s="82"/>
      <c r="W3045" s="82"/>
      <c r="X3045" s="82"/>
      <c r="Y3045" s="82"/>
      <c r="Z3045" s="82"/>
      <c r="AA3045" s="82"/>
      <c r="AB3045" s="82"/>
      <c r="AC3045" s="82"/>
      <c r="AD3045" s="82"/>
      <c r="AE3045" s="82"/>
      <c r="AF3045" s="82"/>
      <c r="AG3045" s="82"/>
      <c r="AH3045" s="82"/>
      <c r="AI3045" s="82"/>
      <c r="AJ3045" s="82"/>
      <c r="AK3045" s="82"/>
      <c r="AL3045" s="82"/>
      <c r="AM3045" s="82"/>
      <c r="AN3045" s="82"/>
      <c r="AO3045" s="82"/>
      <c r="AP3045" s="82"/>
      <c r="AQ3045" s="82"/>
      <c r="AR3045" s="82"/>
      <c r="AS3045" s="82"/>
      <c r="AT3045" s="82"/>
      <c r="AU3045" s="82"/>
      <c r="AV3045" s="82"/>
      <c r="AW3045" s="82" t="str">
        <f t="shared" si="1"/>
        <v/>
      </c>
      <c r="AX3045" s="83" t="str">
        <f t="array" ref="AX3045">IFERROR(DGET('SBV Import'!A:G,"SBV",{"RSC ID","Tier";B3045,A3045}))</f>
        <v/>
      </c>
      <c r="AY3045" s="82" t="str">
        <f t="shared" si="2"/>
        <v/>
      </c>
      <c r="AZ3045" s="82"/>
      <c r="BA3045" s="84" t="s">
        <v>152</v>
      </c>
      <c r="BB3045" s="84" t="str">
        <f>IFERROR(__xludf.DUMMYFUNCTION("iferror(if(A3045="""",,E3045&gt;=FILTER(Constants!$F$2:$F$10,Constants!$A$2:$A$10=A3045)))"),"")</f>
        <v/>
      </c>
    </row>
    <row r="3046">
      <c r="A3046" s="87"/>
      <c r="B3046" s="87"/>
      <c r="C3046" s="73"/>
      <c r="D3046" s="73"/>
      <c r="E3046" s="82"/>
      <c r="F3046" s="82"/>
      <c r="G3046" s="86"/>
      <c r="H3046" s="86"/>
      <c r="I3046" s="86"/>
      <c r="J3046" s="82"/>
      <c r="K3046" s="82"/>
      <c r="L3046" s="82"/>
      <c r="M3046" s="82"/>
      <c r="N3046" s="82"/>
      <c r="O3046" s="82"/>
      <c r="P3046" s="82"/>
      <c r="Q3046" s="82"/>
      <c r="R3046" s="82"/>
      <c r="S3046" s="82"/>
      <c r="T3046" s="82"/>
      <c r="U3046" s="82"/>
      <c r="V3046" s="82"/>
      <c r="W3046" s="82"/>
      <c r="X3046" s="82"/>
      <c r="Y3046" s="82"/>
      <c r="Z3046" s="82"/>
      <c r="AA3046" s="82"/>
      <c r="AB3046" s="82"/>
      <c r="AC3046" s="82"/>
      <c r="AD3046" s="82"/>
      <c r="AE3046" s="82"/>
      <c r="AF3046" s="82"/>
      <c r="AG3046" s="82"/>
      <c r="AH3046" s="82"/>
      <c r="AI3046" s="82"/>
      <c r="AJ3046" s="82"/>
      <c r="AK3046" s="82"/>
      <c r="AL3046" s="82"/>
      <c r="AM3046" s="82"/>
      <c r="AN3046" s="82"/>
      <c r="AO3046" s="82"/>
      <c r="AP3046" s="82"/>
      <c r="AQ3046" s="82"/>
      <c r="AR3046" s="82"/>
      <c r="AS3046" s="82"/>
      <c r="AT3046" s="82"/>
      <c r="AU3046" s="82"/>
      <c r="AV3046" s="82"/>
      <c r="AW3046" s="82" t="str">
        <f t="shared" si="1"/>
        <v/>
      </c>
      <c r="AX3046" s="83" t="str">
        <f t="array" ref="AX3046">IFERROR(DGET('SBV Import'!A:G,"SBV",{"RSC ID","Tier";B3046,A3046}))</f>
        <v/>
      </c>
      <c r="AY3046" s="82" t="str">
        <f t="shared" si="2"/>
        <v/>
      </c>
      <c r="AZ3046" s="82"/>
      <c r="BA3046" s="84" t="s">
        <v>152</v>
      </c>
      <c r="BB3046" s="84" t="str">
        <f>IFERROR(__xludf.DUMMYFUNCTION("iferror(if(A3046="""",,E3046&gt;=FILTER(Constants!$F$2:$F$10,Constants!$A$2:$A$10=A3046)))"),"")</f>
        <v/>
      </c>
    </row>
    <row r="3047">
      <c r="A3047" s="87"/>
      <c r="B3047" s="87"/>
      <c r="C3047" s="73"/>
      <c r="D3047" s="73"/>
      <c r="E3047" s="82"/>
      <c r="F3047" s="82"/>
      <c r="G3047" s="86"/>
      <c r="H3047" s="86"/>
      <c r="I3047" s="86"/>
      <c r="J3047" s="82"/>
      <c r="K3047" s="82"/>
      <c r="L3047" s="82"/>
      <c r="M3047" s="82"/>
      <c r="N3047" s="82"/>
      <c r="O3047" s="82"/>
      <c r="P3047" s="82"/>
      <c r="Q3047" s="82"/>
      <c r="R3047" s="82"/>
      <c r="S3047" s="82"/>
      <c r="T3047" s="82"/>
      <c r="U3047" s="82"/>
      <c r="V3047" s="82"/>
      <c r="W3047" s="82"/>
      <c r="X3047" s="82"/>
      <c r="Y3047" s="82"/>
      <c r="Z3047" s="82"/>
      <c r="AA3047" s="82"/>
      <c r="AB3047" s="82"/>
      <c r="AC3047" s="82"/>
      <c r="AD3047" s="82"/>
      <c r="AE3047" s="82"/>
      <c r="AF3047" s="82"/>
      <c r="AG3047" s="82"/>
      <c r="AH3047" s="82"/>
      <c r="AI3047" s="82"/>
      <c r="AJ3047" s="82"/>
      <c r="AK3047" s="82"/>
      <c r="AL3047" s="82"/>
      <c r="AM3047" s="82"/>
      <c r="AN3047" s="82"/>
      <c r="AO3047" s="82"/>
      <c r="AP3047" s="82"/>
      <c r="AQ3047" s="82"/>
      <c r="AR3047" s="82"/>
      <c r="AS3047" s="82"/>
      <c r="AT3047" s="82"/>
      <c r="AU3047" s="82"/>
      <c r="AV3047" s="82"/>
      <c r="AW3047" s="82" t="str">
        <f t="shared" si="1"/>
        <v/>
      </c>
      <c r="AX3047" s="83" t="str">
        <f t="array" ref="AX3047">IFERROR(DGET('SBV Import'!A:G,"SBV",{"RSC ID","Tier";B3047,A3047}))</f>
        <v/>
      </c>
      <c r="AY3047" s="82" t="str">
        <f t="shared" si="2"/>
        <v/>
      </c>
      <c r="AZ3047" s="82"/>
      <c r="BA3047" s="84" t="s">
        <v>152</v>
      </c>
      <c r="BB3047" s="84" t="str">
        <f>IFERROR(__xludf.DUMMYFUNCTION("iferror(if(A3047="""",,E3047&gt;=FILTER(Constants!$F$2:$F$10,Constants!$A$2:$A$10=A3047)))"),"")</f>
        <v/>
      </c>
    </row>
    <row r="3048">
      <c r="A3048" s="87"/>
      <c r="B3048" s="87"/>
      <c r="C3048" s="73"/>
      <c r="D3048" s="73"/>
      <c r="E3048" s="82"/>
      <c r="F3048" s="82"/>
      <c r="G3048" s="86"/>
      <c r="H3048" s="86"/>
      <c r="I3048" s="86"/>
      <c r="J3048" s="82"/>
      <c r="K3048" s="82"/>
      <c r="L3048" s="82"/>
      <c r="M3048" s="82"/>
      <c r="N3048" s="82"/>
      <c r="O3048" s="82"/>
      <c r="P3048" s="82"/>
      <c r="Q3048" s="82"/>
      <c r="R3048" s="82"/>
      <c r="S3048" s="82"/>
      <c r="T3048" s="82"/>
      <c r="U3048" s="82"/>
      <c r="V3048" s="82"/>
      <c r="W3048" s="82"/>
      <c r="X3048" s="82"/>
      <c r="Y3048" s="82"/>
      <c r="Z3048" s="82"/>
      <c r="AA3048" s="82"/>
      <c r="AB3048" s="82"/>
      <c r="AC3048" s="82"/>
      <c r="AD3048" s="82"/>
      <c r="AE3048" s="82"/>
      <c r="AF3048" s="82"/>
      <c r="AG3048" s="82"/>
      <c r="AH3048" s="82"/>
      <c r="AI3048" s="82"/>
      <c r="AJ3048" s="82"/>
      <c r="AK3048" s="82"/>
      <c r="AL3048" s="82"/>
      <c r="AM3048" s="82"/>
      <c r="AN3048" s="82"/>
      <c r="AO3048" s="82"/>
      <c r="AP3048" s="82"/>
      <c r="AQ3048" s="82"/>
      <c r="AR3048" s="82"/>
      <c r="AS3048" s="82"/>
      <c r="AT3048" s="82"/>
      <c r="AU3048" s="82"/>
      <c r="AV3048" s="82"/>
      <c r="AW3048" s="82" t="str">
        <f t="shared" si="1"/>
        <v/>
      </c>
      <c r="AX3048" s="83" t="str">
        <f t="array" ref="AX3048">IFERROR(DGET('SBV Import'!A:G,"SBV",{"RSC ID","Tier";B3048,A3048}))</f>
        <v/>
      </c>
      <c r="AY3048" s="82" t="str">
        <f t="shared" si="2"/>
        <v/>
      </c>
      <c r="AZ3048" s="82"/>
      <c r="BA3048" s="84" t="s">
        <v>152</v>
      </c>
      <c r="BB3048" s="84" t="str">
        <f>IFERROR(__xludf.DUMMYFUNCTION("iferror(if(A3048="""",,E3048&gt;=FILTER(Constants!$F$2:$F$10,Constants!$A$2:$A$10=A3048)))"),"")</f>
        <v/>
      </c>
    </row>
    <row r="3049">
      <c r="A3049" s="87"/>
      <c r="B3049" s="87"/>
      <c r="C3049" s="73"/>
      <c r="D3049" s="73"/>
      <c r="E3049" s="82"/>
      <c r="F3049" s="82"/>
      <c r="G3049" s="86"/>
      <c r="H3049" s="86"/>
      <c r="I3049" s="86"/>
      <c r="J3049" s="82"/>
      <c r="K3049" s="82"/>
      <c r="L3049" s="82"/>
      <c r="M3049" s="82"/>
      <c r="N3049" s="82"/>
      <c r="O3049" s="82"/>
      <c r="P3049" s="82"/>
      <c r="Q3049" s="82"/>
      <c r="R3049" s="82"/>
      <c r="S3049" s="82"/>
      <c r="T3049" s="82"/>
      <c r="U3049" s="82"/>
      <c r="V3049" s="82"/>
      <c r="W3049" s="82"/>
      <c r="X3049" s="82"/>
      <c r="Y3049" s="82"/>
      <c r="Z3049" s="82"/>
      <c r="AA3049" s="82"/>
      <c r="AB3049" s="82"/>
      <c r="AC3049" s="82"/>
      <c r="AD3049" s="82"/>
      <c r="AE3049" s="82"/>
      <c r="AF3049" s="82"/>
      <c r="AG3049" s="82"/>
      <c r="AH3049" s="82"/>
      <c r="AI3049" s="82"/>
      <c r="AJ3049" s="82"/>
      <c r="AK3049" s="82"/>
      <c r="AL3049" s="82"/>
      <c r="AM3049" s="82"/>
      <c r="AN3049" s="82"/>
      <c r="AO3049" s="82"/>
      <c r="AP3049" s="82"/>
      <c r="AQ3049" s="82"/>
      <c r="AR3049" s="82"/>
      <c r="AS3049" s="82"/>
      <c r="AT3049" s="82"/>
      <c r="AU3049" s="82"/>
      <c r="AV3049" s="82"/>
      <c r="AW3049" s="82" t="str">
        <f t="shared" si="1"/>
        <v/>
      </c>
      <c r="AX3049" s="83" t="str">
        <f t="array" ref="AX3049">IFERROR(DGET('SBV Import'!A:G,"SBV",{"RSC ID","Tier";B3049,A3049}))</f>
        <v/>
      </c>
      <c r="AY3049" s="82" t="str">
        <f t="shared" si="2"/>
        <v/>
      </c>
      <c r="AZ3049" s="82"/>
      <c r="BA3049" s="84" t="s">
        <v>152</v>
      </c>
      <c r="BB3049" s="84" t="str">
        <f>IFERROR(__xludf.DUMMYFUNCTION("iferror(if(A3049="""",,E3049&gt;=FILTER(Constants!$F$2:$F$10,Constants!$A$2:$A$10=A3049)))"),"")</f>
        <v/>
      </c>
    </row>
    <row r="3050">
      <c r="A3050" s="87"/>
      <c r="B3050" s="87"/>
      <c r="C3050" s="73"/>
      <c r="D3050" s="73"/>
      <c r="E3050" s="82"/>
      <c r="F3050" s="82"/>
      <c r="G3050" s="86"/>
      <c r="H3050" s="86"/>
      <c r="I3050" s="86"/>
      <c r="J3050" s="82"/>
      <c r="K3050" s="82"/>
      <c r="L3050" s="82"/>
      <c r="M3050" s="82"/>
      <c r="N3050" s="82"/>
      <c r="O3050" s="82"/>
      <c r="P3050" s="82"/>
      <c r="Q3050" s="82"/>
      <c r="R3050" s="82"/>
      <c r="S3050" s="82"/>
      <c r="T3050" s="82"/>
      <c r="U3050" s="82"/>
      <c r="V3050" s="82"/>
      <c r="W3050" s="82"/>
      <c r="X3050" s="82"/>
      <c r="Y3050" s="82"/>
      <c r="Z3050" s="82"/>
      <c r="AA3050" s="82"/>
      <c r="AB3050" s="82"/>
      <c r="AC3050" s="82"/>
      <c r="AD3050" s="82"/>
      <c r="AE3050" s="82"/>
      <c r="AF3050" s="82"/>
      <c r="AG3050" s="82"/>
      <c r="AH3050" s="82"/>
      <c r="AI3050" s="82"/>
      <c r="AJ3050" s="82"/>
      <c r="AK3050" s="82"/>
      <c r="AL3050" s="82"/>
      <c r="AM3050" s="82"/>
      <c r="AN3050" s="82"/>
      <c r="AO3050" s="82"/>
      <c r="AP3050" s="82"/>
      <c r="AQ3050" s="82"/>
      <c r="AR3050" s="82"/>
      <c r="AS3050" s="82"/>
      <c r="AT3050" s="82"/>
      <c r="AU3050" s="82"/>
      <c r="AV3050" s="82"/>
      <c r="AW3050" s="82" t="str">
        <f t="shared" si="1"/>
        <v/>
      </c>
      <c r="AX3050" s="83" t="str">
        <f t="array" ref="AX3050">IFERROR(DGET('SBV Import'!A:G,"SBV",{"RSC ID","Tier";B3050,A3050}))</f>
        <v/>
      </c>
      <c r="AY3050" s="82" t="str">
        <f t="shared" si="2"/>
        <v/>
      </c>
      <c r="AZ3050" s="82"/>
      <c r="BA3050" s="84" t="s">
        <v>152</v>
      </c>
      <c r="BB3050" s="84" t="str">
        <f>IFERROR(__xludf.DUMMYFUNCTION("iferror(if(A3050="""",,E3050&gt;=FILTER(Constants!$F$2:$F$10,Constants!$A$2:$A$10=A3050)))"),"")</f>
        <v/>
      </c>
    </row>
    <row r="3051">
      <c r="A3051" s="87"/>
      <c r="B3051" s="87"/>
      <c r="C3051" s="73"/>
      <c r="D3051" s="73"/>
      <c r="E3051" s="82"/>
      <c r="F3051" s="82"/>
      <c r="G3051" s="86"/>
      <c r="H3051" s="86"/>
      <c r="I3051" s="86"/>
      <c r="J3051" s="82"/>
      <c r="K3051" s="82"/>
      <c r="L3051" s="82"/>
      <c r="M3051" s="82"/>
      <c r="N3051" s="82"/>
      <c r="O3051" s="82"/>
      <c r="P3051" s="82"/>
      <c r="Q3051" s="82"/>
      <c r="R3051" s="82"/>
      <c r="S3051" s="82"/>
      <c r="T3051" s="82"/>
      <c r="U3051" s="82"/>
      <c r="V3051" s="82"/>
      <c r="W3051" s="82"/>
      <c r="X3051" s="82"/>
      <c r="Y3051" s="82"/>
      <c r="Z3051" s="82"/>
      <c r="AA3051" s="82"/>
      <c r="AB3051" s="82"/>
      <c r="AC3051" s="82"/>
      <c r="AD3051" s="82"/>
      <c r="AE3051" s="82"/>
      <c r="AF3051" s="82"/>
      <c r="AG3051" s="82"/>
      <c r="AH3051" s="82"/>
      <c r="AI3051" s="82"/>
      <c r="AJ3051" s="82"/>
      <c r="AK3051" s="82"/>
      <c r="AL3051" s="82"/>
      <c r="AM3051" s="82"/>
      <c r="AN3051" s="82"/>
      <c r="AO3051" s="82"/>
      <c r="AP3051" s="82"/>
      <c r="AQ3051" s="82"/>
      <c r="AR3051" s="82"/>
      <c r="AS3051" s="82"/>
      <c r="AT3051" s="82"/>
      <c r="AU3051" s="82"/>
      <c r="AV3051" s="82"/>
      <c r="AW3051" s="82" t="str">
        <f t="shared" si="1"/>
        <v/>
      </c>
      <c r="AX3051" s="83" t="str">
        <f t="array" ref="AX3051">IFERROR(DGET('SBV Import'!A:G,"SBV",{"RSC ID","Tier";B3051,A3051}))</f>
        <v/>
      </c>
      <c r="AY3051" s="82" t="str">
        <f t="shared" si="2"/>
        <v/>
      </c>
      <c r="AZ3051" s="82"/>
      <c r="BA3051" s="84" t="s">
        <v>152</v>
      </c>
      <c r="BB3051" s="84" t="str">
        <f>IFERROR(__xludf.DUMMYFUNCTION("iferror(if(A3051="""",,E3051&gt;=FILTER(Constants!$F$2:$F$10,Constants!$A$2:$A$10=A3051)))"),"")</f>
        <v/>
      </c>
    </row>
    <row r="3052">
      <c r="A3052" s="87"/>
      <c r="B3052" s="87"/>
      <c r="C3052" s="73"/>
      <c r="D3052" s="73"/>
      <c r="E3052" s="82"/>
      <c r="F3052" s="82"/>
      <c r="G3052" s="86"/>
      <c r="H3052" s="86"/>
      <c r="I3052" s="86"/>
      <c r="J3052" s="82"/>
      <c r="K3052" s="82"/>
      <c r="L3052" s="82"/>
      <c r="M3052" s="82"/>
      <c r="N3052" s="82"/>
      <c r="O3052" s="82"/>
      <c r="P3052" s="82"/>
      <c r="Q3052" s="82"/>
      <c r="R3052" s="82"/>
      <c r="S3052" s="82"/>
      <c r="T3052" s="82"/>
      <c r="U3052" s="82"/>
      <c r="V3052" s="82"/>
      <c r="W3052" s="82"/>
      <c r="X3052" s="82"/>
      <c r="Y3052" s="82"/>
      <c r="Z3052" s="82"/>
      <c r="AA3052" s="82"/>
      <c r="AB3052" s="82"/>
      <c r="AC3052" s="82"/>
      <c r="AD3052" s="82"/>
      <c r="AE3052" s="82"/>
      <c r="AF3052" s="82"/>
      <c r="AG3052" s="82"/>
      <c r="AH3052" s="82"/>
      <c r="AI3052" s="82"/>
      <c r="AJ3052" s="82"/>
      <c r="AK3052" s="82"/>
      <c r="AL3052" s="82"/>
      <c r="AM3052" s="82"/>
      <c r="AN3052" s="82"/>
      <c r="AO3052" s="82"/>
      <c r="AP3052" s="82"/>
      <c r="AQ3052" s="82"/>
      <c r="AR3052" s="82"/>
      <c r="AS3052" s="82"/>
      <c r="AT3052" s="82"/>
      <c r="AU3052" s="82"/>
      <c r="AV3052" s="82"/>
      <c r="AW3052" s="82" t="str">
        <f t="shared" si="1"/>
        <v/>
      </c>
      <c r="AX3052" s="83" t="str">
        <f t="array" ref="AX3052">IFERROR(DGET('SBV Import'!A:G,"SBV",{"RSC ID","Tier";B3052,A3052}))</f>
        <v/>
      </c>
      <c r="AY3052" s="82" t="str">
        <f t="shared" si="2"/>
        <v/>
      </c>
      <c r="AZ3052" s="82"/>
      <c r="BA3052" s="84" t="s">
        <v>152</v>
      </c>
      <c r="BB3052" s="84" t="str">
        <f>IFERROR(__xludf.DUMMYFUNCTION("iferror(if(A3052="""",,E3052&gt;=FILTER(Constants!$F$2:$F$10,Constants!$A$2:$A$10=A3052)))"),"")</f>
        <v/>
      </c>
    </row>
    <row r="3053">
      <c r="A3053" s="87"/>
      <c r="B3053" s="87"/>
      <c r="C3053" s="73"/>
      <c r="D3053" s="73"/>
      <c r="E3053" s="82"/>
      <c r="F3053" s="82"/>
      <c r="G3053" s="86"/>
      <c r="H3053" s="86"/>
      <c r="I3053" s="86"/>
      <c r="J3053" s="82"/>
      <c r="K3053" s="82"/>
      <c r="L3053" s="82"/>
      <c r="M3053" s="82"/>
      <c r="N3053" s="82"/>
      <c r="O3053" s="82"/>
      <c r="P3053" s="82"/>
      <c r="Q3053" s="82"/>
      <c r="R3053" s="82"/>
      <c r="S3053" s="82"/>
      <c r="T3053" s="82"/>
      <c r="U3053" s="82"/>
      <c r="V3053" s="82"/>
      <c r="W3053" s="82"/>
      <c r="X3053" s="82"/>
      <c r="Y3053" s="82"/>
      <c r="Z3053" s="82"/>
      <c r="AA3053" s="82"/>
      <c r="AB3053" s="82"/>
      <c r="AC3053" s="82"/>
      <c r="AD3053" s="82"/>
      <c r="AE3053" s="82"/>
      <c r="AF3053" s="82"/>
      <c r="AG3053" s="82"/>
      <c r="AH3053" s="82"/>
      <c r="AI3053" s="82"/>
      <c r="AJ3053" s="82"/>
      <c r="AK3053" s="82"/>
      <c r="AL3053" s="82"/>
      <c r="AM3053" s="82"/>
      <c r="AN3053" s="82"/>
      <c r="AO3053" s="82"/>
      <c r="AP3053" s="82"/>
      <c r="AQ3053" s="82"/>
      <c r="AR3053" s="82"/>
      <c r="AS3053" s="82"/>
      <c r="AT3053" s="82"/>
      <c r="AU3053" s="82"/>
      <c r="AV3053" s="82"/>
      <c r="AW3053" s="82" t="str">
        <f t="shared" si="1"/>
        <v/>
      </c>
      <c r="AX3053" s="83" t="str">
        <f t="array" ref="AX3053">IFERROR(DGET('SBV Import'!A:G,"SBV",{"RSC ID","Tier";B3053,A3053}))</f>
        <v/>
      </c>
      <c r="AY3053" s="82" t="str">
        <f t="shared" si="2"/>
        <v/>
      </c>
      <c r="AZ3053" s="82"/>
      <c r="BA3053" s="84" t="s">
        <v>152</v>
      </c>
      <c r="BB3053" s="84" t="str">
        <f>IFERROR(__xludf.DUMMYFUNCTION("iferror(if(A3053="""",,E3053&gt;=FILTER(Constants!$F$2:$F$10,Constants!$A$2:$A$10=A3053)))"),"")</f>
        <v/>
      </c>
    </row>
    <row r="3054">
      <c r="A3054" s="87"/>
      <c r="B3054" s="87"/>
      <c r="C3054" s="73"/>
      <c r="D3054" s="73"/>
      <c r="E3054" s="82"/>
      <c r="F3054" s="82"/>
      <c r="G3054" s="86"/>
      <c r="H3054" s="86"/>
      <c r="I3054" s="86"/>
      <c r="J3054" s="82"/>
      <c r="K3054" s="82"/>
      <c r="L3054" s="82"/>
      <c r="M3054" s="82"/>
      <c r="N3054" s="82"/>
      <c r="O3054" s="82"/>
      <c r="P3054" s="82"/>
      <c r="Q3054" s="82"/>
      <c r="R3054" s="82"/>
      <c r="S3054" s="82"/>
      <c r="T3054" s="82"/>
      <c r="U3054" s="82"/>
      <c r="V3054" s="82"/>
      <c r="W3054" s="82"/>
      <c r="X3054" s="82"/>
      <c r="Y3054" s="82"/>
      <c r="Z3054" s="82"/>
      <c r="AA3054" s="82"/>
      <c r="AB3054" s="82"/>
      <c r="AC3054" s="82"/>
      <c r="AD3054" s="82"/>
      <c r="AE3054" s="82"/>
      <c r="AF3054" s="82"/>
      <c r="AG3054" s="82"/>
      <c r="AH3054" s="82"/>
      <c r="AI3054" s="82"/>
      <c r="AJ3054" s="82"/>
      <c r="AK3054" s="82"/>
      <c r="AL3054" s="82"/>
      <c r="AM3054" s="82"/>
      <c r="AN3054" s="82"/>
      <c r="AO3054" s="82"/>
      <c r="AP3054" s="82"/>
      <c r="AQ3054" s="82"/>
      <c r="AR3054" s="82"/>
      <c r="AS3054" s="82"/>
      <c r="AT3054" s="82"/>
      <c r="AU3054" s="82"/>
      <c r="AV3054" s="82"/>
      <c r="AW3054" s="82" t="str">
        <f t="shared" si="1"/>
        <v/>
      </c>
      <c r="AX3054" s="83" t="str">
        <f t="array" ref="AX3054">IFERROR(DGET('SBV Import'!A:G,"SBV",{"RSC ID","Tier";B3054,A3054}))</f>
        <v/>
      </c>
      <c r="AY3054" s="82" t="str">
        <f t="shared" si="2"/>
        <v/>
      </c>
      <c r="AZ3054" s="82"/>
      <c r="BA3054" s="84" t="s">
        <v>152</v>
      </c>
      <c r="BB3054" s="84" t="str">
        <f>IFERROR(__xludf.DUMMYFUNCTION("iferror(if(A3054="""",,E3054&gt;=FILTER(Constants!$F$2:$F$10,Constants!$A$2:$A$10=A3054)))"),"")</f>
        <v/>
      </c>
    </row>
    <row r="3055">
      <c r="A3055" s="87"/>
      <c r="B3055" s="87"/>
      <c r="C3055" s="73"/>
      <c r="D3055" s="73"/>
      <c r="E3055" s="82"/>
      <c r="F3055" s="82"/>
      <c r="G3055" s="86"/>
      <c r="H3055" s="86"/>
      <c r="I3055" s="86"/>
      <c r="J3055" s="82"/>
      <c r="K3055" s="82"/>
      <c r="L3055" s="82"/>
      <c r="M3055" s="82"/>
      <c r="N3055" s="82"/>
      <c r="O3055" s="82"/>
      <c r="P3055" s="82"/>
      <c r="Q3055" s="82"/>
      <c r="R3055" s="82"/>
      <c r="S3055" s="82"/>
      <c r="T3055" s="82"/>
      <c r="U3055" s="82"/>
      <c r="V3055" s="82"/>
      <c r="W3055" s="82"/>
      <c r="X3055" s="82"/>
      <c r="Y3055" s="82"/>
      <c r="Z3055" s="82"/>
      <c r="AA3055" s="82"/>
      <c r="AB3055" s="82"/>
      <c r="AC3055" s="82"/>
      <c r="AD3055" s="82"/>
      <c r="AE3055" s="82"/>
      <c r="AF3055" s="82"/>
      <c r="AG3055" s="82"/>
      <c r="AH3055" s="82"/>
      <c r="AI3055" s="82"/>
      <c r="AJ3055" s="82"/>
      <c r="AK3055" s="82"/>
      <c r="AL3055" s="82"/>
      <c r="AM3055" s="82"/>
      <c r="AN3055" s="82"/>
      <c r="AO3055" s="82"/>
      <c r="AP3055" s="82"/>
      <c r="AQ3055" s="82"/>
      <c r="AR3055" s="82"/>
      <c r="AS3055" s="82"/>
      <c r="AT3055" s="82"/>
      <c r="AU3055" s="82"/>
      <c r="AV3055" s="82"/>
      <c r="AW3055" s="82" t="str">
        <f t="shared" si="1"/>
        <v/>
      </c>
      <c r="AX3055" s="83" t="str">
        <f t="array" ref="AX3055">IFERROR(DGET('SBV Import'!A:G,"SBV",{"RSC ID","Tier";B3055,A3055}))</f>
        <v/>
      </c>
      <c r="AY3055" s="82" t="str">
        <f t="shared" si="2"/>
        <v/>
      </c>
      <c r="AZ3055" s="82"/>
      <c r="BA3055" s="84" t="s">
        <v>152</v>
      </c>
      <c r="BB3055" s="84" t="str">
        <f>IFERROR(__xludf.DUMMYFUNCTION("iferror(if(A3055="""",,E3055&gt;=FILTER(Constants!$F$2:$F$10,Constants!$A$2:$A$10=A3055)))"),"")</f>
        <v/>
      </c>
    </row>
    <row r="3056">
      <c r="A3056" s="87"/>
      <c r="B3056" s="87"/>
      <c r="C3056" s="73"/>
      <c r="D3056" s="73"/>
      <c r="E3056" s="82"/>
      <c r="F3056" s="82"/>
      <c r="G3056" s="86"/>
      <c r="H3056" s="86"/>
      <c r="I3056" s="86"/>
      <c r="J3056" s="82"/>
      <c r="K3056" s="82"/>
      <c r="L3056" s="82"/>
      <c r="M3056" s="82"/>
      <c r="N3056" s="82"/>
      <c r="O3056" s="82"/>
      <c r="P3056" s="82"/>
      <c r="Q3056" s="82"/>
      <c r="R3056" s="82"/>
      <c r="S3056" s="82"/>
      <c r="T3056" s="82"/>
      <c r="U3056" s="82"/>
      <c r="V3056" s="82"/>
      <c r="W3056" s="82"/>
      <c r="X3056" s="82"/>
      <c r="Y3056" s="82"/>
      <c r="Z3056" s="82"/>
      <c r="AA3056" s="82"/>
      <c r="AB3056" s="82"/>
      <c r="AC3056" s="82"/>
      <c r="AD3056" s="82"/>
      <c r="AE3056" s="82"/>
      <c r="AF3056" s="82"/>
      <c r="AG3056" s="82"/>
      <c r="AH3056" s="82"/>
      <c r="AI3056" s="82"/>
      <c r="AJ3056" s="82"/>
      <c r="AK3056" s="82"/>
      <c r="AL3056" s="82"/>
      <c r="AM3056" s="82"/>
      <c r="AN3056" s="82"/>
      <c r="AO3056" s="82"/>
      <c r="AP3056" s="82"/>
      <c r="AQ3056" s="82"/>
      <c r="AR3056" s="82"/>
      <c r="AS3056" s="82"/>
      <c r="AT3056" s="82"/>
      <c r="AU3056" s="82"/>
      <c r="AV3056" s="82"/>
      <c r="AW3056" s="82" t="str">
        <f t="shared" si="1"/>
        <v/>
      </c>
      <c r="AX3056" s="83" t="str">
        <f t="array" ref="AX3056">IFERROR(DGET('SBV Import'!A:G,"SBV",{"RSC ID","Tier";B3056,A3056}))</f>
        <v/>
      </c>
      <c r="AY3056" s="82" t="str">
        <f t="shared" si="2"/>
        <v/>
      </c>
      <c r="AZ3056" s="82"/>
      <c r="BA3056" s="84" t="s">
        <v>152</v>
      </c>
      <c r="BB3056" s="84" t="str">
        <f>IFERROR(__xludf.DUMMYFUNCTION("iferror(if(A3056="""",,E3056&gt;=FILTER(Constants!$F$2:$F$10,Constants!$A$2:$A$10=A3056)))"),"")</f>
        <v/>
      </c>
    </row>
    <row r="3057">
      <c r="A3057" s="87"/>
      <c r="B3057" s="87"/>
      <c r="C3057" s="73"/>
      <c r="D3057" s="73"/>
      <c r="E3057" s="82"/>
      <c r="F3057" s="82"/>
      <c r="G3057" s="86"/>
      <c r="H3057" s="86"/>
      <c r="I3057" s="86"/>
      <c r="J3057" s="82"/>
      <c r="K3057" s="82"/>
      <c r="L3057" s="82"/>
      <c r="M3057" s="82"/>
      <c r="N3057" s="82"/>
      <c r="O3057" s="82"/>
      <c r="P3057" s="82"/>
      <c r="Q3057" s="82"/>
      <c r="R3057" s="82"/>
      <c r="S3057" s="82"/>
      <c r="T3057" s="82"/>
      <c r="U3057" s="82"/>
      <c r="V3057" s="82"/>
      <c r="W3057" s="82"/>
      <c r="X3057" s="82"/>
      <c r="Y3057" s="82"/>
      <c r="Z3057" s="82"/>
      <c r="AA3057" s="82"/>
      <c r="AB3057" s="82"/>
      <c r="AC3057" s="82"/>
      <c r="AD3057" s="82"/>
      <c r="AE3057" s="82"/>
      <c r="AF3057" s="82"/>
      <c r="AG3057" s="82"/>
      <c r="AH3057" s="82"/>
      <c r="AI3057" s="82"/>
      <c r="AJ3057" s="82"/>
      <c r="AK3057" s="82"/>
      <c r="AL3057" s="82"/>
      <c r="AM3057" s="82"/>
      <c r="AN3057" s="82"/>
      <c r="AO3057" s="82"/>
      <c r="AP3057" s="82"/>
      <c r="AQ3057" s="82"/>
      <c r="AR3057" s="82"/>
      <c r="AS3057" s="82"/>
      <c r="AT3057" s="82"/>
      <c r="AU3057" s="82"/>
      <c r="AV3057" s="82"/>
      <c r="AW3057" s="82" t="str">
        <f t="shared" si="1"/>
        <v/>
      </c>
      <c r="AX3057" s="83" t="str">
        <f t="array" ref="AX3057">IFERROR(DGET('SBV Import'!A:G,"SBV",{"RSC ID","Tier";B3057,A3057}))</f>
        <v/>
      </c>
      <c r="AY3057" s="82" t="str">
        <f t="shared" si="2"/>
        <v/>
      </c>
      <c r="AZ3057" s="82"/>
      <c r="BA3057" s="84" t="s">
        <v>152</v>
      </c>
      <c r="BB3057" s="84" t="str">
        <f>IFERROR(__xludf.DUMMYFUNCTION("iferror(if(A3057="""",,E3057&gt;=FILTER(Constants!$F$2:$F$10,Constants!$A$2:$A$10=A3057)))"),"")</f>
        <v/>
      </c>
    </row>
    <row r="3058">
      <c r="A3058" s="87"/>
      <c r="B3058" s="87"/>
      <c r="C3058" s="73"/>
      <c r="D3058" s="73"/>
      <c r="E3058" s="82"/>
      <c r="F3058" s="82"/>
      <c r="G3058" s="86"/>
      <c r="H3058" s="86"/>
      <c r="I3058" s="86"/>
      <c r="J3058" s="82"/>
      <c r="K3058" s="82"/>
      <c r="L3058" s="82"/>
      <c r="M3058" s="82"/>
      <c r="N3058" s="82"/>
      <c r="O3058" s="82"/>
      <c r="P3058" s="82"/>
      <c r="Q3058" s="82"/>
      <c r="R3058" s="82"/>
      <c r="S3058" s="82"/>
      <c r="T3058" s="82"/>
      <c r="U3058" s="82"/>
      <c r="V3058" s="82"/>
      <c r="W3058" s="82"/>
      <c r="X3058" s="82"/>
      <c r="Y3058" s="82"/>
      <c r="Z3058" s="82"/>
      <c r="AA3058" s="82"/>
      <c r="AB3058" s="82"/>
      <c r="AC3058" s="82"/>
      <c r="AD3058" s="82"/>
      <c r="AE3058" s="82"/>
      <c r="AF3058" s="82"/>
      <c r="AG3058" s="82"/>
      <c r="AH3058" s="82"/>
      <c r="AI3058" s="82"/>
      <c r="AJ3058" s="82"/>
      <c r="AK3058" s="82"/>
      <c r="AL3058" s="82"/>
      <c r="AM3058" s="82"/>
      <c r="AN3058" s="82"/>
      <c r="AO3058" s="82"/>
      <c r="AP3058" s="82"/>
      <c r="AQ3058" s="82"/>
      <c r="AR3058" s="82"/>
      <c r="AS3058" s="82"/>
      <c r="AT3058" s="82"/>
      <c r="AU3058" s="82"/>
      <c r="AV3058" s="82"/>
      <c r="AW3058" s="82" t="str">
        <f t="shared" si="1"/>
        <v/>
      </c>
      <c r="AX3058" s="83" t="str">
        <f t="array" ref="AX3058">IFERROR(DGET('SBV Import'!A:G,"SBV",{"RSC ID","Tier";B3058,A3058}))</f>
        <v/>
      </c>
      <c r="AY3058" s="82" t="str">
        <f t="shared" si="2"/>
        <v/>
      </c>
      <c r="AZ3058" s="82"/>
      <c r="BA3058" s="84" t="s">
        <v>152</v>
      </c>
      <c r="BB3058" s="84" t="str">
        <f>IFERROR(__xludf.DUMMYFUNCTION("iferror(if(A3058="""",,E3058&gt;=FILTER(Constants!$F$2:$F$10,Constants!$A$2:$A$10=A3058)))"),"")</f>
        <v/>
      </c>
    </row>
    <row r="3059">
      <c r="A3059" s="87"/>
      <c r="B3059" s="87"/>
      <c r="C3059" s="73"/>
      <c r="D3059" s="73"/>
      <c r="E3059" s="82"/>
      <c r="F3059" s="82"/>
      <c r="G3059" s="86"/>
      <c r="H3059" s="86"/>
      <c r="I3059" s="86"/>
      <c r="J3059" s="82"/>
      <c r="K3059" s="82"/>
      <c r="L3059" s="82"/>
      <c r="M3059" s="82"/>
      <c r="N3059" s="82"/>
      <c r="O3059" s="82"/>
      <c r="P3059" s="82"/>
      <c r="Q3059" s="82"/>
      <c r="R3059" s="82"/>
      <c r="S3059" s="82"/>
      <c r="T3059" s="82"/>
      <c r="U3059" s="82"/>
      <c r="V3059" s="82"/>
      <c r="W3059" s="82"/>
      <c r="X3059" s="82"/>
      <c r="Y3059" s="82"/>
      <c r="Z3059" s="82"/>
      <c r="AA3059" s="82"/>
      <c r="AB3059" s="82"/>
      <c r="AC3059" s="82"/>
      <c r="AD3059" s="82"/>
      <c r="AE3059" s="82"/>
      <c r="AF3059" s="82"/>
      <c r="AG3059" s="82"/>
      <c r="AH3059" s="82"/>
      <c r="AI3059" s="82"/>
      <c r="AJ3059" s="82"/>
      <c r="AK3059" s="82"/>
      <c r="AL3059" s="82"/>
      <c r="AM3059" s="82"/>
      <c r="AN3059" s="82"/>
      <c r="AO3059" s="82"/>
      <c r="AP3059" s="82"/>
      <c r="AQ3059" s="82"/>
      <c r="AR3059" s="82"/>
      <c r="AS3059" s="82"/>
      <c r="AT3059" s="82"/>
      <c r="AU3059" s="82"/>
      <c r="AV3059" s="82"/>
      <c r="AW3059" s="82" t="str">
        <f t="shared" si="1"/>
        <v/>
      </c>
      <c r="AX3059" s="83" t="str">
        <f t="array" ref="AX3059">IFERROR(DGET('SBV Import'!A:G,"SBV",{"RSC ID","Tier";B3059,A3059}))</f>
        <v/>
      </c>
      <c r="AY3059" s="82" t="str">
        <f t="shared" si="2"/>
        <v/>
      </c>
      <c r="AZ3059" s="82"/>
      <c r="BA3059" s="84" t="s">
        <v>152</v>
      </c>
      <c r="BB3059" s="84" t="str">
        <f>IFERROR(__xludf.DUMMYFUNCTION("iferror(if(A3059="""",,E3059&gt;=FILTER(Constants!$F$2:$F$10,Constants!$A$2:$A$10=A3059)))"),"")</f>
        <v/>
      </c>
    </row>
    <row r="3060">
      <c r="A3060" s="87"/>
      <c r="B3060" s="87"/>
      <c r="C3060" s="73"/>
      <c r="D3060" s="73"/>
      <c r="E3060" s="82"/>
      <c r="F3060" s="82"/>
      <c r="G3060" s="86"/>
      <c r="H3060" s="86"/>
      <c r="I3060" s="86"/>
      <c r="J3060" s="82"/>
      <c r="K3060" s="82"/>
      <c r="L3060" s="82"/>
      <c r="M3060" s="82"/>
      <c r="N3060" s="82"/>
      <c r="O3060" s="82"/>
      <c r="P3060" s="82"/>
      <c r="Q3060" s="82"/>
      <c r="R3060" s="82"/>
      <c r="S3060" s="82"/>
      <c r="T3060" s="82"/>
      <c r="U3060" s="82"/>
      <c r="V3060" s="82"/>
      <c r="W3060" s="82"/>
      <c r="X3060" s="82"/>
      <c r="Y3060" s="82"/>
      <c r="Z3060" s="82"/>
      <c r="AA3060" s="82"/>
      <c r="AB3060" s="82"/>
      <c r="AC3060" s="82"/>
      <c r="AD3060" s="82"/>
      <c r="AE3060" s="82"/>
      <c r="AF3060" s="82"/>
      <c r="AG3060" s="82"/>
      <c r="AH3060" s="82"/>
      <c r="AI3060" s="82"/>
      <c r="AJ3060" s="82"/>
      <c r="AK3060" s="82"/>
      <c r="AL3060" s="82"/>
      <c r="AM3060" s="82"/>
      <c r="AN3060" s="82"/>
      <c r="AO3060" s="82"/>
      <c r="AP3060" s="82"/>
      <c r="AQ3060" s="82"/>
      <c r="AR3060" s="82"/>
      <c r="AS3060" s="82"/>
      <c r="AT3060" s="82"/>
      <c r="AU3060" s="82"/>
      <c r="AV3060" s="82"/>
      <c r="AW3060" s="82" t="str">
        <f t="shared" si="1"/>
        <v/>
      </c>
      <c r="AX3060" s="83" t="str">
        <f t="array" ref="AX3060">IFERROR(DGET('SBV Import'!A:G,"SBV",{"RSC ID","Tier";B3060,A3060}))</f>
        <v/>
      </c>
      <c r="AY3060" s="82" t="str">
        <f t="shared" si="2"/>
        <v/>
      </c>
      <c r="AZ3060" s="82"/>
      <c r="BA3060" s="84" t="s">
        <v>152</v>
      </c>
      <c r="BB3060" s="84" t="str">
        <f>IFERROR(__xludf.DUMMYFUNCTION("iferror(if(A3060="""",,E3060&gt;=FILTER(Constants!$F$2:$F$10,Constants!$A$2:$A$10=A3060)))"),"")</f>
        <v/>
      </c>
    </row>
    <row r="3061">
      <c r="A3061" s="87"/>
      <c r="B3061" s="87"/>
      <c r="C3061" s="73"/>
      <c r="D3061" s="73"/>
      <c r="E3061" s="82"/>
      <c r="F3061" s="82"/>
      <c r="G3061" s="86"/>
      <c r="H3061" s="86"/>
      <c r="I3061" s="86"/>
      <c r="J3061" s="82"/>
      <c r="K3061" s="82"/>
      <c r="L3061" s="82"/>
      <c r="M3061" s="82"/>
      <c r="N3061" s="82"/>
      <c r="O3061" s="82"/>
      <c r="P3061" s="82"/>
      <c r="Q3061" s="82"/>
      <c r="R3061" s="82"/>
      <c r="S3061" s="82"/>
      <c r="T3061" s="82"/>
      <c r="U3061" s="82"/>
      <c r="V3061" s="82"/>
      <c r="W3061" s="82"/>
      <c r="X3061" s="82"/>
      <c r="Y3061" s="82"/>
      <c r="Z3061" s="82"/>
      <c r="AA3061" s="82"/>
      <c r="AB3061" s="82"/>
      <c r="AC3061" s="82"/>
      <c r="AD3061" s="82"/>
      <c r="AE3061" s="82"/>
      <c r="AF3061" s="82"/>
      <c r="AG3061" s="82"/>
      <c r="AH3061" s="82"/>
      <c r="AI3061" s="82"/>
      <c r="AJ3061" s="82"/>
      <c r="AK3061" s="82"/>
      <c r="AL3061" s="82"/>
      <c r="AM3061" s="82"/>
      <c r="AN3061" s="82"/>
      <c r="AO3061" s="82"/>
      <c r="AP3061" s="82"/>
      <c r="AQ3061" s="82"/>
      <c r="AR3061" s="82"/>
      <c r="AS3061" s="82"/>
      <c r="AT3061" s="82"/>
      <c r="AU3061" s="82"/>
      <c r="AV3061" s="82"/>
      <c r="AW3061" s="82" t="str">
        <f t="shared" si="1"/>
        <v/>
      </c>
      <c r="AX3061" s="83" t="str">
        <f t="array" ref="AX3061">IFERROR(DGET('SBV Import'!A:G,"SBV",{"RSC ID","Tier";B3061,A3061}))</f>
        <v/>
      </c>
      <c r="AY3061" s="82" t="str">
        <f t="shared" si="2"/>
        <v/>
      </c>
      <c r="AZ3061" s="82"/>
      <c r="BA3061" s="84" t="s">
        <v>152</v>
      </c>
      <c r="BB3061" s="84" t="str">
        <f>IFERROR(__xludf.DUMMYFUNCTION("iferror(if(A3061="""",,E3061&gt;=FILTER(Constants!$F$2:$F$10,Constants!$A$2:$A$10=A3061)))"),"")</f>
        <v/>
      </c>
    </row>
    <row r="3062">
      <c r="A3062" s="87"/>
      <c r="B3062" s="87"/>
      <c r="C3062" s="73"/>
      <c r="D3062" s="73"/>
      <c r="E3062" s="82"/>
      <c r="F3062" s="82"/>
      <c r="G3062" s="86"/>
      <c r="H3062" s="86"/>
      <c r="I3062" s="86"/>
      <c r="J3062" s="82"/>
      <c r="K3062" s="82"/>
      <c r="L3062" s="82"/>
      <c r="M3062" s="82"/>
      <c r="N3062" s="82"/>
      <c r="O3062" s="82"/>
      <c r="P3062" s="82"/>
      <c r="Q3062" s="82"/>
      <c r="R3062" s="82"/>
      <c r="S3062" s="82"/>
      <c r="T3062" s="82"/>
      <c r="U3062" s="82"/>
      <c r="V3062" s="82"/>
      <c r="W3062" s="82"/>
      <c r="X3062" s="82"/>
      <c r="Y3062" s="82"/>
      <c r="Z3062" s="82"/>
      <c r="AA3062" s="82"/>
      <c r="AB3062" s="82"/>
      <c r="AC3062" s="82"/>
      <c r="AD3062" s="82"/>
      <c r="AE3062" s="82"/>
      <c r="AF3062" s="82"/>
      <c r="AG3062" s="82"/>
      <c r="AH3062" s="82"/>
      <c r="AI3062" s="82"/>
      <c r="AJ3062" s="82"/>
      <c r="AK3062" s="82"/>
      <c r="AL3062" s="82"/>
      <c r="AM3062" s="82"/>
      <c r="AN3062" s="82"/>
      <c r="AO3062" s="82"/>
      <c r="AP3062" s="82"/>
      <c r="AQ3062" s="82"/>
      <c r="AR3062" s="82"/>
      <c r="AS3062" s="82"/>
      <c r="AT3062" s="82"/>
      <c r="AU3062" s="82"/>
      <c r="AV3062" s="82"/>
      <c r="AW3062" s="82" t="str">
        <f t="shared" si="1"/>
        <v/>
      </c>
      <c r="AX3062" s="83" t="str">
        <f t="array" ref="AX3062">IFERROR(DGET('SBV Import'!A:G,"SBV",{"RSC ID","Tier";B3062,A3062}))</f>
        <v/>
      </c>
      <c r="AY3062" s="82" t="str">
        <f t="shared" si="2"/>
        <v/>
      </c>
      <c r="AZ3062" s="82"/>
      <c r="BA3062" s="84" t="s">
        <v>152</v>
      </c>
      <c r="BB3062" s="84" t="str">
        <f>IFERROR(__xludf.DUMMYFUNCTION("iferror(if(A3062="""",,E3062&gt;=FILTER(Constants!$F$2:$F$10,Constants!$A$2:$A$10=A3062)))"),"")</f>
        <v/>
      </c>
    </row>
    <row r="3063">
      <c r="A3063" s="87"/>
      <c r="B3063" s="87"/>
      <c r="C3063" s="73"/>
      <c r="D3063" s="73"/>
      <c r="E3063" s="82"/>
      <c r="F3063" s="82"/>
      <c r="G3063" s="86"/>
      <c r="H3063" s="86"/>
      <c r="I3063" s="86"/>
      <c r="J3063" s="82"/>
      <c r="K3063" s="82"/>
      <c r="L3063" s="82"/>
      <c r="M3063" s="82"/>
      <c r="N3063" s="82"/>
      <c r="O3063" s="82"/>
      <c r="P3063" s="82"/>
      <c r="Q3063" s="82"/>
      <c r="R3063" s="82"/>
      <c r="S3063" s="82"/>
      <c r="T3063" s="82"/>
      <c r="U3063" s="82"/>
      <c r="V3063" s="82"/>
      <c r="W3063" s="82"/>
      <c r="X3063" s="82"/>
      <c r="Y3063" s="82"/>
      <c r="Z3063" s="82"/>
      <c r="AA3063" s="82"/>
      <c r="AB3063" s="82"/>
      <c r="AC3063" s="82"/>
      <c r="AD3063" s="82"/>
      <c r="AE3063" s="82"/>
      <c r="AF3063" s="82"/>
      <c r="AG3063" s="82"/>
      <c r="AH3063" s="82"/>
      <c r="AI3063" s="82"/>
      <c r="AJ3063" s="82"/>
      <c r="AK3063" s="82"/>
      <c r="AL3063" s="82"/>
      <c r="AM3063" s="82"/>
      <c r="AN3063" s="82"/>
      <c r="AO3063" s="82"/>
      <c r="AP3063" s="82"/>
      <c r="AQ3063" s="82"/>
      <c r="AR3063" s="82"/>
      <c r="AS3063" s="82"/>
      <c r="AT3063" s="82"/>
      <c r="AU3063" s="82"/>
      <c r="AV3063" s="82"/>
      <c r="AW3063" s="82" t="str">
        <f t="shared" si="1"/>
        <v/>
      </c>
      <c r="AX3063" s="83" t="str">
        <f t="array" ref="AX3063">IFERROR(DGET('SBV Import'!A:G,"SBV",{"RSC ID","Tier";B3063,A3063}))</f>
        <v/>
      </c>
      <c r="AY3063" s="82" t="str">
        <f t="shared" si="2"/>
        <v/>
      </c>
      <c r="AZ3063" s="82"/>
      <c r="BA3063" s="84" t="s">
        <v>152</v>
      </c>
      <c r="BB3063" s="84" t="str">
        <f>IFERROR(__xludf.DUMMYFUNCTION("iferror(if(A3063="""",,E3063&gt;=FILTER(Constants!$F$2:$F$10,Constants!$A$2:$A$10=A3063)))"),"")</f>
        <v/>
      </c>
    </row>
    <row r="3064">
      <c r="A3064" s="87"/>
      <c r="B3064" s="87"/>
      <c r="C3064" s="73"/>
      <c r="D3064" s="73"/>
      <c r="E3064" s="82"/>
      <c r="F3064" s="82"/>
      <c r="G3064" s="86"/>
      <c r="H3064" s="86"/>
      <c r="I3064" s="86"/>
      <c r="J3064" s="82"/>
      <c r="K3064" s="82"/>
      <c r="L3064" s="82"/>
      <c r="M3064" s="82"/>
      <c r="N3064" s="82"/>
      <c r="O3064" s="82"/>
      <c r="P3064" s="82"/>
      <c r="Q3064" s="82"/>
      <c r="R3064" s="82"/>
      <c r="S3064" s="82"/>
      <c r="T3064" s="82"/>
      <c r="U3064" s="82"/>
      <c r="V3064" s="82"/>
      <c r="W3064" s="82"/>
      <c r="X3064" s="82"/>
      <c r="Y3064" s="82"/>
      <c r="Z3064" s="82"/>
      <c r="AA3064" s="82"/>
      <c r="AB3064" s="82"/>
      <c r="AC3064" s="82"/>
      <c r="AD3064" s="82"/>
      <c r="AE3064" s="82"/>
      <c r="AF3064" s="82"/>
      <c r="AG3064" s="82"/>
      <c r="AH3064" s="82"/>
      <c r="AI3064" s="82"/>
      <c r="AJ3064" s="82"/>
      <c r="AK3064" s="82"/>
      <c r="AL3064" s="82"/>
      <c r="AM3064" s="82"/>
      <c r="AN3064" s="82"/>
      <c r="AO3064" s="82"/>
      <c r="AP3064" s="82"/>
      <c r="AQ3064" s="82"/>
      <c r="AR3064" s="82"/>
      <c r="AS3064" s="82"/>
      <c r="AT3064" s="82"/>
      <c r="AU3064" s="82"/>
      <c r="AV3064" s="82"/>
      <c r="AW3064" s="82" t="str">
        <f t="shared" si="1"/>
        <v/>
      </c>
      <c r="AX3064" s="83" t="str">
        <f t="array" ref="AX3064">IFERROR(DGET('SBV Import'!A:G,"SBV",{"RSC ID","Tier";B3064,A3064}))</f>
        <v/>
      </c>
      <c r="AY3064" s="82" t="str">
        <f t="shared" si="2"/>
        <v/>
      </c>
      <c r="AZ3064" s="82"/>
      <c r="BA3064" s="84" t="s">
        <v>152</v>
      </c>
      <c r="BB3064" s="84" t="str">
        <f>IFERROR(__xludf.DUMMYFUNCTION("iferror(if(A3064="""",,E3064&gt;=FILTER(Constants!$F$2:$F$10,Constants!$A$2:$A$10=A3064)))"),"")</f>
        <v/>
      </c>
    </row>
    <row r="3065">
      <c r="A3065" s="87"/>
      <c r="B3065" s="87"/>
      <c r="C3065" s="73"/>
      <c r="D3065" s="73"/>
      <c r="E3065" s="82"/>
      <c r="F3065" s="82"/>
      <c r="G3065" s="86"/>
      <c r="H3065" s="86"/>
      <c r="I3065" s="86"/>
      <c r="J3065" s="82"/>
      <c r="K3065" s="82"/>
      <c r="L3065" s="82"/>
      <c r="M3065" s="82"/>
      <c r="N3065" s="82"/>
      <c r="O3065" s="82"/>
      <c r="P3065" s="82"/>
      <c r="Q3065" s="82"/>
      <c r="R3065" s="82"/>
      <c r="S3065" s="82"/>
      <c r="T3065" s="82"/>
      <c r="U3065" s="82"/>
      <c r="V3065" s="82"/>
      <c r="W3065" s="82"/>
      <c r="X3065" s="82"/>
      <c r="Y3065" s="82"/>
      <c r="Z3065" s="82"/>
      <c r="AA3065" s="82"/>
      <c r="AB3065" s="82"/>
      <c r="AC3065" s="82"/>
      <c r="AD3065" s="82"/>
      <c r="AE3065" s="82"/>
      <c r="AF3065" s="82"/>
      <c r="AG3065" s="82"/>
      <c r="AH3065" s="82"/>
      <c r="AI3065" s="82"/>
      <c r="AJ3065" s="82"/>
      <c r="AK3065" s="82"/>
      <c r="AL3065" s="82"/>
      <c r="AM3065" s="82"/>
      <c r="AN3065" s="82"/>
      <c r="AO3065" s="82"/>
      <c r="AP3065" s="82"/>
      <c r="AQ3065" s="82"/>
      <c r="AR3065" s="82"/>
      <c r="AS3065" s="82"/>
      <c r="AT3065" s="82"/>
      <c r="AU3065" s="82"/>
      <c r="AV3065" s="82"/>
      <c r="AW3065" s="82" t="str">
        <f t="shared" si="1"/>
        <v/>
      </c>
      <c r="AX3065" s="83" t="str">
        <f t="array" ref="AX3065">IFERROR(DGET('SBV Import'!A:G,"SBV",{"RSC ID","Tier";B3065,A3065}))</f>
        <v/>
      </c>
      <c r="AY3065" s="82" t="str">
        <f t="shared" si="2"/>
        <v/>
      </c>
      <c r="AZ3065" s="82"/>
      <c r="BA3065" s="84" t="s">
        <v>152</v>
      </c>
      <c r="BB3065" s="84" t="str">
        <f>IFERROR(__xludf.DUMMYFUNCTION("iferror(if(A3065="""",,E3065&gt;=FILTER(Constants!$F$2:$F$10,Constants!$A$2:$A$10=A3065)))"),"")</f>
        <v/>
      </c>
    </row>
    <row r="3066">
      <c r="A3066" s="87"/>
      <c r="B3066" s="87"/>
      <c r="C3066" s="73"/>
      <c r="D3066" s="73"/>
      <c r="E3066" s="82"/>
      <c r="F3066" s="82"/>
      <c r="G3066" s="86"/>
      <c r="H3066" s="86"/>
      <c r="I3066" s="86"/>
      <c r="J3066" s="82"/>
      <c r="K3066" s="82"/>
      <c r="L3066" s="82"/>
      <c r="M3066" s="82"/>
      <c r="N3066" s="82"/>
      <c r="O3066" s="82"/>
      <c r="P3066" s="82"/>
      <c r="Q3066" s="82"/>
      <c r="R3066" s="82"/>
      <c r="S3066" s="82"/>
      <c r="T3066" s="82"/>
      <c r="U3066" s="82"/>
      <c r="V3066" s="82"/>
      <c r="W3066" s="82"/>
      <c r="X3066" s="82"/>
      <c r="Y3066" s="82"/>
      <c r="Z3066" s="82"/>
      <c r="AA3066" s="82"/>
      <c r="AB3066" s="82"/>
      <c r="AC3066" s="82"/>
      <c r="AD3066" s="82"/>
      <c r="AE3066" s="82"/>
      <c r="AF3066" s="82"/>
      <c r="AG3066" s="82"/>
      <c r="AH3066" s="82"/>
      <c r="AI3066" s="82"/>
      <c r="AJ3066" s="82"/>
      <c r="AK3066" s="82"/>
      <c r="AL3066" s="82"/>
      <c r="AM3066" s="82"/>
      <c r="AN3066" s="82"/>
      <c r="AO3066" s="82"/>
      <c r="AP3066" s="82"/>
      <c r="AQ3066" s="82"/>
      <c r="AR3066" s="82"/>
      <c r="AS3066" s="82"/>
      <c r="AT3066" s="82"/>
      <c r="AU3066" s="82"/>
      <c r="AV3066" s="82"/>
      <c r="AW3066" s="82" t="str">
        <f t="shared" si="1"/>
        <v/>
      </c>
      <c r="AX3066" s="83" t="str">
        <f t="array" ref="AX3066">IFERROR(DGET('SBV Import'!A:G,"SBV",{"RSC ID","Tier";B3066,A3066}))</f>
        <v/>
      </c>
      <c r="AY3066" s="82" t="str">
        <f t="shared" si="2"/>
        <v/>
      </c>
      <c r="AZ3066" s="82"/>
      <c r="BA3066" s="84" t="s">
        <v>152</v>
      </c>
      <c r="BB3066" s="84" t="str">
        <f>IFERROR(__xludf.DUMMYFUNCTION("iferror(if(A3066="""",,E3066&gt;=FILTER(Constants!$F$2:$F$10,Constants!$A$2:$A$10=A3066)))"),"")</f>
        <v/>
      </c>
    </row>
    <row r="3067">
      <c r="A3067" s="87"/>
      <c r="B3067" s="87"/>
      <c r="C3067" s="73"/>
      <c r="D3067" s="73"/>
      <c r="E3067" s="82"/>
      <c r="F3067" s="82"/>
      <c r="G3067" s="86"/>
      <c r="H3067" s="86"/>
      <c r="I3067" s="86"/>
      <c r="J3067" s="82"/>
      <c r="K3067" s="82"/>
      <c r="L3067" s="82"/>
      <c r="M3067" s="82"/>
      <c r="N3067" s="82"/>
      <c r="O3067" s="82"/>
      <c r="P3067" s="82"/>
      <c r="Q3067" s="82"/>
      <c r="R3067" s="82"/>
      <c r="S3067" s="82"/>
      <c r="T3067" s="82"/>
      <c r="U3067" s="82"/>
      <c r="V3067" s="82"/>
      <c r="W3067" s="82"/>
      <c r="X3067" s="82"/>
      <c r="Y3067" s="82"/>
      <c r="Z3067" s="82"/>
      <c r="AA3067" s="82"/>
      <c r="AB3067" s="82"/>
      <c r="AC3067" s="82"/>
      <c r="AD3067" s="82"/>
      <c r="AE3067" s="82"/>
      <c r="AF3067" s="82"/>
      <c r="AG3067" s="82"/>
      <c r="AH3067" s="82"/>
      <c r="AI3067" s="82"/>
      <c r="AJ3067" s="82"/>
      <c r="AK3067" s="82"/>
      <c r="AL3067" s="82"/>
      <c r="AM3067" s="82"/>
      <c r="AN3067" s="82"/>
      <c r="AO3067" s="82"/>
      <c r="AP3067" s="82"/>
      <c r="AQ3067" s="82"/>
      <c r="AR3067" s="82"/>
      <c r="AS3067" s="82"/>
      <c r="AT3067" s="82"/>
      <c r="AU3067" s="82"/>
      <c r="AV3067" s="82"/>
      <c r="AW3067" s="82" t="str">
        <f t="shared" si="1"/>
        <v/>
      </c>
      <c r="AX3067" s="83" t="str">
        <f t="array" ref="AX3067">IFERROR(DGET('SBV Import'!A:G,"SBV",{"RSC ID","Tier";B3067,A3067}))</f>
        <v/>
      </c>
      <c r="AY3067" s="82" t="str">
        <f t="shared" si="2"/>
        <v/>
      </c>
      <c r="AZ3067" s="82"/>
      <c r="BA3067" s="84" t="s">
        <v>152</v>
      </c>
      <c r="BB3067" s="84" t="str">
        <f>IFERROR(__xludf.DUMMYFUNCTION("iferror(if(A3067="""",,E3067&gt;=FILTER(Constants!$F$2:$F$10,Constants!$A$2:$A$10=A3067)))"),"")</f>
        <v/>
      </c>
    </row>
    <row r="3068">
      <c r="A3068" s="87"/>
      <c r="B3068" s="87"/>
      <c r="C3068" s="73"/>
      <c r="D3068" s="73"/>
      <c r="E3068" s="82"/>
      <c r="F3068" s="82"/>
      <c r="G3068" s="86"/>
      <c r="H3068" s="86"/>
      <c r="I3068" s="86"/>
      <c r="J3068" s="82"/>
      <c r="K3068" s="82"/>
      <c r="L3068" s="82"/>
      <c r="M3068" s="82"/>
      <c r="N3068" s="82"/>
      <c r="O3068" s="82"/>
      <c r="P3068" s="82"/>
      <c r="Q3068" s="82"/>
      <c r="R3068" s="82"/>
      <c r="S3068" s="82"/>
      <c r="T3068" s="82"/>
      <c r="U3068" s="82"/>
      <c r="V3068" s="82"/>
      <c r="W3068" s="82"/>
      <c r="X3068" s="82"/>
      <c r="Y3068" s="82"/>
      <c r="Z3068" s="82"/>
      <c r="AA3068" s="82"/>
      <c r="AB3068" s="82"/>
      <c r="AC3068" s="82"/>
      <c r="AD3068" s="82"/>
      <c r="AE3068" s="82"/>
      <c r="AF3068" s="82"/>
      <c r="AG3068" s="82"/>
      <c r="AH3068" s="82"/>
      <c r="AI3068" s="82"/>
      <c r="AJ3068" s="82"/>
      <c r="AK3068" s="82"/>
      <c r="AL3068" s="82"/>
      <c r="AM3068" s="82"/>
      <c r="AN3068" s="82"/>
      <c r="AO3068" s="82"/>
      <c r="AP3068" s="82"/>
      <c r="AQ3068" s="82"/>
      <c r="AR3068" s="82"/>
      <c r="AS3068" s="82"/>
      <c r="AT3068" s="82"/>
      <c r="AU3068" s="82"/>
      <c r="AV3068" s="82"/>
      <c r="AW3068" s="82" t="str">
        <f t="shared" si="1"/>
        <v/>
      </c>
      <c r="AX3068" s="83" t="str">
        <f t="array" ref="AX3068">IFERROR(DGET('SBV Import'!A:G,"SBV",{"RSC ID","Tier";B3068,A3068}))</f>
        <v/>
      </c>
      <c r="AY3068" s="82" t="str">
        <f t="shared" si="2"/>
        <v/>
      </c>
      <c r="AZ3068" s="82"/>
      <c r="BA3068" s="84" t="s">
        <v>152</v>
      </c>
      <c r="BB3068" s="84" t="str">
        <f>IFERROR(__xludf.DUMMYFUNCTION("iferror(if(A3068="""",,E3068&gt;=FILTER(Constants!$F$2:$F$10,Constants!$A$2:$A$10=A3068)))"),"")</f>
        <v/>
      </c>
    </row>
    <row r="3069">
      <c r="A3069" s="87"/>
      <c r="B3069" s="87"/>
      <c r="C3069" s="73"/>
      <c r="D3069" s="73"/>
      <c r="E3069" s="82"/>
      <c r="F3069" s="82"/>
      <c r="G3069" s="86"/>
      <c r="H3069" s="86"/>
      <c r="I3069" s="86"/>
      <c r="J3069" s="82"/>
      <c r="K3069" s="82"/>
      <c r="L3069" s="82"/>
      <c r="M3069" s="82"/>
      <c r="N3069" s="82"/>
      <c r="O3069" s="82"/>
      <c r="P3069" s="82"/>
      <c r="Q3069" s="82"/>
      <c r="R3069" s="82"/>
      <c r="S3069" s="82"/>
      <c r="T3069" s="82"/>
      <c r="U3069" s="82"/>
      <c r="V3069" s="82"/>
      <c r="W3069" s="82"/>
      <c r="X3069" s="82"/>
      <c r="Y3069" s="82"/>
      <c r="Z3069" s="82"/>
      <c r="AA3069" s="82"/>
      <c r="AB3069" s="82"/>
      <c r="AC3069" s="82"/>
      <c r="AD3069" s="82"/>
      <c r="AE3069" s="82"/>
      <c r="AF3069" s="82"/>
      <c r="AG3069" s="82"/>
      <c r="AH3069" s="82"/>
      <c r="AI3069" s="82"/>
      <c r="AJ3069" s="82"/>
      <c r="AK3069" s="82"/>
      <c r="AL3069" s="82"/>
      <c r="AM3069" s="82"/>
      <c r="AN3069" s="82"/>
      <c r="AO3069" s="82"/>
      <c r="AP3069" s="82"/>
      <c r="AQ3069" s="82"/>
      <c r="AR3069" s="82"/>
      <c r="AS3069" s="82"/>
      <c r="AT3069" s="82"/>
      <c r="AU3069" s="82"/>
      <c r="AV3069" s="82"/>
      <c r="AW3069" s="82" t="str">
        <f t="shared" si="1"/>
        <v/>
      </c>
      <c r="AX3069" s="83" t="str">
        <f t="array" ref="AX3069">IFERROR(DGET('SBV Import'!A:G,"SBV",{"RSC ID","Tier";B3069,A3069}))</f>
        <v/>
      </c>
      <c r="AY3069" s="82" t="str">
        <f t="shared" si="2"/>
        <v/>
      </c>
      <c r="AZ3069" s="82"/>
      <c r="BA3069" s="84" t="s">
        <v>152</v>
      </c>
      <c r="BB3069" s="84" t="str">
        <f>IFERROR(__xludf.DUMMYFUNCTION("iferror(if(A3069="""",,E3069&gt;=FILTER(Constants!$F$2:$F$10,Constants!$A$2:$A$10=A3069)))"),"")</f>
        <v/>
      </c>
    </row>
    <row r="3070">
      <c r="A3070" s="87"/>
      <c r="B3070" s="87"/>
      <c r="C3070" s="73"/>
      <c r="D3070" s="73"/>
      <c r="E3070" s="82"/>
      <c r="F3070" s="82"/>
      <c r="G3070" s="86"/>
      <c r="H3070" s="86"/>
      <c r="I3070" s="86"/>
      <c r="J3070" s="82"/>
      <c r="K3070" s="82"/>
      <c r="L3070" s="82"/>
      <c r="M3070" s="82"/>
      <c r="N3070" s="82"/>
      <c r="O3070" s="82"/>
      <c r="P3070" s="82"/>
      <c r="Q3070" s="82"/>
      <c r="R3070" s="82"/>
      <c r="S3070" s="82"/>
      <c r="T3070" s="82"/>
      <c r="U3070" s="82"/>
      <c r="V3070" s="82"/>
      <c r="W3070" s="82"/>
      <c r="X3070" s="82"/>
      <c r="Y3070" s="82"/>
      <c r="Z3070" s="82"/>
      <c r="AA3070" s="82"/>
      <c r="AB3070" s="82"/>
      <c r="AC3070" s="82"/>
      <c r="AD3070" s="82"/>
      <c r="AE3070" s="82"/>
      <c r="AF3070" s="82"/>
      <c r="AG3070" s="82"/>
      <c r="AH3070" s="82"/>
      <c r="AI3070" s="82"/>
      <c r="AJ3070" s="82"/>
      <c r="AK3070" s="82"/>
      <c r="AL3070" s="82"/>
      <c r="AM3070" s="82"/>
      <c r="AN3070" s="82"/>
      <c r="AO3070" s="82"/>
      <c r="AP3070" s="82"/>
      <c r="AQ3070" s="82"/>
      <c r="AR3070" s="82"/>
      <c r="AS3070" s="82"/>
      <c r="AT3070" s="82"/>
      <c r="AU3070" s="82"/>
      <c r="AV3070" s="82"/>
      <c r="AW3070" s="82" t="str">
        <f t="shared" si="1"/>
        <v/>
      </c>
      <c r="AX3070" s="83" t="str">
        <f t="array" ref="AX3070">IFERROR(DGET('SBV Import'!A:G,"SBV",{"RSC ID","Tier";B3070,A3070}))</f>
        <v/>
      </c>
      <c r="AY3070" s="82" t="str">
        <f t="shared" si="2"/>
        <v/>
      </c>
      <c r="AZ3070" s="82"/>
      <c r="BA3070" s="84" t="s">
        <v>152</v>
      </c>
      <c r="BB3070" s="84" t="str">
        <f>IFERROR(__xludf.DUMMYFUNCTION("iferror(if(A3070="""",,E3070&gt;=FILTER(Constants!$F$2:$F$10,Constants!$A$2:$A$10=A3070)))"),"")</f>
        <v/>
      </c>
    </row>
    <row r="3071">
      <c r="A3071" s="87"/>
      <c r="B3071" s="87"/>
      <c r="C3071" s="73"/>
      <c r="D3071" s="73"/>
      <c r="E3071" s="82"/>
      <c r="F3071" s="82"/>
      <c r="G3071" s="86"/>
      <c r="H3071" s="86"/>
      <c r="I3071" s="86"/>
      <c r="J3071" s="82"/>
      <c r="K3071" s="82"/>
      <c r="L3071" s="82"/>
      <c r="M3071" s="82"/>
      <c r="N3071" s="82"/>
      <c r="O3071" s="82"/>
      <c r="P3071" s="82"/>
      <c r="Q3071" s="82"/>
      <c r="R3071" s="82"/>
      <c r="S3071" s="82"/>
      <c r="T3071" s="82"/>
      <c r="U3071" s="82"/>
      <c r="V3071" s="82"/>
      <c r="W3071" s="82"/>
      <c r="X3071" s="82"/>
      <c r="Y3071" s="82"/>
      <c r="Z3071" s="82"/>
      <c r="AA3071" s="82"/>
      <c r="AB3071" s="82"/>
      <c r="AC3071" s="82"/>
      <c r="AD3071" s="82"/>
      <c r="AE3071" s="82"/>
      <c r="AF3071" s="82"/>
      <c r="AG3071" s="82"/>
      <c r="AH3071" s="82"/>
      <c r="AI3071" s="82"/>
      <c r="AJ3071" s="82"/>
      <c r="AK3071" s="82"/>
      <c r="AL3071" s="82"/>
      <c r="AM3071" s="82"/>
      <c r="AN3071" s="82"/>
      <c r="AO3071" s="82"/>
      <c r="AP3071" s="82"/>
      <c r="AQ3071" s="82"/>
      <c r="AR3071" s="82"/>
      <c r="AS3071" s="82"/>
      <c r="AT3071" s="82"/>
      <c r="AU3071" s="82"/>
      <c r="AV3071" s="82"/>
      <c r="AW3071" s="82" t="str">
        <f t="shared" si="1"/>
        <v/>
      </c>
      <c r="AX3071" s="83" t="str">
        <f t="array" ref="AX3071">IFERROR(DGET('SBV Import'!A:G,"SBV",{"RSC ID","Tier";B3071,A3071}))</f>
        <v/>
      </c>
      <c r="AY3071" s="82" t="str">
        <f t="shared" si="2"/>
        <v/>
      </c>
      <c r="AZ3071" s="82"/>
      <c r="BA3071" s="84" t="s">
        <v>152</v>
      </c>
      <c r="BB3071" s="84" t="str">
        <f>IFERROR(__xludf.DUMMYFUNCTION("iferror(if(A3071="""",,E3071&gt;=FILTER(Constants!$F$2:$F$10,Constants!$A$2:$A$10=A3071)))"),"")</f>
        <v/>
      </c>
    </row>
    <row r="3072">
      <c r="A3072" s="87"/>
      <c r="B3072" s="87"/>
      <c r="C3072" s="73"/>
      <c r="D3072" s="73"/>
      <c r="E3072" s="82"/>
      <c r="F3072" s="82"/>
      <c r="G3072" s="86"/>
      <c r="H3072" s="86"/>
      <c r="I3072" s="86"/>
      <c r="J3072" s="82"/>
      <c r="K3072" s="82"/>
      <c r="L3072" s="82"/>
      <c r="M3072" s="82"/>
      <c r="N3072" s="82"/>
      <c r="O3072" s="82"/>
      <c r="P3072" s="82"/>
      <c r="Q3072" s="82"/>
      <c r="R3072" s="82"/>
      <c r="S3072" s="82"/>
      <c r="T3072" s="82"/>
      <c r="U3072" s="82"/>
      <c r="V3072" s="82"/>
      <c r="W3072" s="82"/>
      <c r="X3072" s="82"/>
      <c r="Y3072" s="82"/>
      <c r="Z3072" s="82"/>
      <c r="AA3072" s="82"/>
      <c r="AB3072" s="82"/>
      <c r="AC3072" s="82"/>
      <c r="AD3072" s="82"/>
      <c r="AE3072" s="82"/>
      <c r="AF3072" s="82"/>
      <c r="AG3072" s="82"/>
      <c r="AH3072" s="82"/>
      <c r="AI3072" s="82"/>
      <c r="AJ3072" s="82"/>
      <c r="AK3072" s="82"/>
      <c r="AL3072" s="82"/>
      <c r="AM3072" s="82"/>
      <c r="AN3072" s="82"/>
      <c r="AO3072" s="82"/>
      <c r="AP3072" s="82"/>
      <c r="AQ3072" s="82"/>
      <c r="AR3072" s="82"/>
      <c r="AS3072" s="82"/>
      <c r="AT3072" s="82"/>
      <c r="AU3072" s="82"/>
      <c r="AV3072" s="82"/>
      <c r="AW3072" s="82" t="str">
        <f t="shared" si="1"/>
        <v/>
      </c>
      <c r="AX3072" s="83" t="str">
        <f t="array" ref="AX3072">IFERROR(DGET('SBV Import'!A:G,"SBV",{"RSC ID","Tier";B3072,A3072}))</f>
        <v/>
      </c>
      <c r="AY3072" s="82" t="str">
        <f t="shared" si="2"/>
        <v/>
      </c>
      <c r="AZ3072" s="82"/>
      <c r="BA3072" s="84" t="s">
        <v>152</v>
      </c>
      <c r="BB3072" s="84" t="str">
        <f>IFERROR(__xludf.DUMMYFUNCTION("iferror(if(A3072="""",,E3072&gt;=FILTER(Constants!$F$2:$F$10,Constants!$A$2:$A$10=A3072)))"),"")</f>
        <v/>
      </c>
    </row>
    <row r="3073">
      <c r="A3073" s="87"/>
      <c r="B3073" s="87"/>
      <c r="C3073" s="73"/>
      <c r="D3073" s="73"/>
      <c r="E3073" s="82"/>
      <c r="F3073" s="82"/>
      <c r="G3073" s="86"/>
      <c r="H3073" s="86"/>
      <c r="I3073" s="86"/>
      <c r="J3073" s="82"/>
      <c r="K3073" s="82"/>
      <c r="L3073" s="82"/>
      <c r="M3073" s="82"/>
      <c r="N3073" s="82"/>
      <c r="O3073" s="82"/>
      <c r="P3073" s="82"/>
      <c r="Q3073" s="82"/>
      <c r="R3073" s="82"/>
      <c r="S3073" s="82"/>
      <c r="T3073" s="82"/>
      <c r="U3073" s="82"/>
      <c r="V3073" s="82"/>
      <c r="W3073" s="82"/>
      <c r="X3073" s="82"/>
      <c r="Y3073" s="82"/>
      <c r="Z3073" s="82"/>
      <c r="AA3073" s="82"/>
      <c r="AB3073" s="82"/>
      <c r="AC3073" s="82"/>
      <c r="AD3073" s="82"/>
      <c r="AE3073" s="82"/>
      <c r="AF3073" s="82"/>
      <c r="AG3073" s="82"/>
      <c r="AH3073" s="82"/>
      <c r="AI3073" s="82"/>
      <c r="AJ3073" s="82"/>
      <c r="AK3073" s="82"/>
      <c r="AL3073" s="82"/>
      <c r="AM3073" s="82"/>
      <c r="AN3073" s="82"/>
      <c r="AO3073" s="82"/>
      <c r="AP3073" s="82"/>
      <c r="AQ3073" s="82"/>
      <c r="AR3073" s="82"/>
      <c r="AS3073" s="82"/>
      <c r="AT3073" s="82"/>
      <c r="AU3073" s="82"/>
      <c r="AV3073" s="82"/>
      <c r="AW3073" s="82" t="str">
        <f t="shared" si="1"/>
        <v/>
      </c>
      <c r="AX3073" s="83" t="str">
        <f t="array" ref="AX3073">IFERROR(DGET('SBV Import'!A:G,"SBV",{"RSC ID","Tier";B3073,A3073}))</f>
        <v/>
      </c>
      <c r="AY3073" s="82" t="str">
        <f t="shared" si="2"/>
        <v/>
      </c>
      <c r="AZ3073" s="82"/>
      <c r="BA3073" s="84" t="s">
        <v>152</v>
      </c>
      <c r="BB3073" s="84" t="str">
        <f>IFERROR(__xludf.DUMMYFUNCTION("iferror(if(A3073="""",,E3073&gt;=FILTER(Constants!$F$2:$F$10,Constants!$A$2:$A$10=A3073)))"),"")</f>
        <v/>
      </c>
    </row>
    <row r="3074">
      <c r="A3074" s="87"/>
      <c r="B3074" s="87"/>
      <c r="C3074" s="73"/>
      <c r="D3074" s="73"/>
      <c r="E3074" s="82"/>
      <c r="F3074" s="82"/>
      <c r="G3074" s="86"/>
      <c r="H3074" s="86"/>
      <c r="I3074" s="86"/>
      <c r="J3074" s="82"/>
      <c r="K3074" s="82"/>
      <c r="L3074" s="82"/>
      <c r="M3074" s="82"/>
      <c r="N3074" s="82"/>
      <c r="O3074" s="82"/>
      <c r="P3074" s="82"/>
      <c r="Q3074" s="82"/>
      <c r="R3074" s="82"/>
      <c r="S3074" s="82"/>
      <c r="T3074" s="82"/>
      <c r="U3074" s="82"/>
      <c r="V3074" s="82"/>
      <c r="W3074" s="82"/>
      <c r="X3074" s="82"/>
      <c r="Y3074" s="82"/>
      <c r="Z3074" s="82"/>
      <c r="AA3074" s="82"/>
      <c r="AB3074" s="82"/>
      <c r="AC3074" s="82"/>
      <c r="AD3074" s="82"/>
      <c r="AE3074" s="82"/>
      <c r="AF3074" s="82"/>
      <c r="AG3074" s="82"/>
      <c r="AH3074" s="82"/>
      <c r="AI3074" s="82"/>
      <c r="AJ3074" s="82"/>
      <c r="AK3074" s="82"/>
      <c r="AL3074" s="82"/>
      <c r="AM3074" s="82"/>
      <c r="AN3074" s="82"/>
      <c r="AO3074" s="82"/>
      <c r="AP3074" s="82"/>
      <c r="AQ3074" s="82"/>
      <c r="AR3074" s="82"/>
      <c r="AS3074" s="82"/>
      <c r="AT3074" s="82"/>
      <c r="AU3074" s="82"/>
      <c r="AV3074" s="82"/>
      <c r="AW3074" s="82" t="str">
        <f t="shared" si="1"/>
        <v/>
      </c>
      <c r="AX3074" s="83" t="str">
        <f t="array" ref="AX3074">IFERROR(DGET('SBV Import'!A:G,"SBV",{"RSC ID","Tier";B3074,A3074}))</f>
        <v/>
      </c>
      <c r="AY3074" s="82" t="str">
        <f t="shared" si="2"/>
        <v/>
      </c>
      <c r="AZ3074" s="82"/>
      <c r="BA3074" s="84" t="s">
        <v>152</v>
      </c>
      <c r="BB3074" s="84" t="str">
        <f>IFERROR(__xludf.DUMMYFUNCTION("iferror(if(A3074="""",,E3074&gt;=FILTER(Constants!$F$2:$F$10,Constants!$A$2:$A$10=A3074)))"),"")</f>
        <v/>
      </c>
    </row>
    <row r="3075">
      <c r="A3075" s="87"/>
      <c r="B3075" s="87"/>
      <c r="C3075" s="73"/>
      <c r="D3075" s="73"/>
      <c r="E3075" s="82"/>
      <c r="F3075" s="82"/>
      <c r="G3075" s="86"/>
      <c r="H3075" s="86"/>
      <c r="I3075" s="86"/>
      <c r="J3075" s="82"/>
      <c r="K3075" s="82"/>
      <c r="L3075" s="82"/>
      <c r="M3075" s="82"/>
      <c r="N3075" s="82"/>
      <c r="O3075" s="82"/>
      <c r="P3075" s="82"/>
      <c r="Q3075" s="82"/>
      <c r="R3075" s="82"/>
      <c r="S3075" s="82"/>
      <c r="T3075" s="82"/>
      <c r="U3075" s="82"/>
      <c r="V3075" s="82"/>
      <c r="W3075" s="82"/>
      <c r="X3075" s="82"/>
      <c r="Y3075" s="82"/>
      <c r="Z3075" s="82"/>
      <c r="AA3075" s="82"/>
      <c r="AB3075" s="82"/>
      <c r="AC3075" s="82"/>
      <c r="AD3075" s="82"/>
      <c r="AE3075" s="82"/>
      <c r="AF3075" s="82"/>
      <c r="AG3075" s="82"/>
      <c r="AH3075" s="82"/>
      <c r="AI3075" s="82"/>
      <c r="AJ3075" s="82"/>
      <c r="AK3075" s="82"/>
      <c r="AL3075" s="82"/>
      <c r="AM3075" s="82"/>
      <c r="AN3075" s="82"/>
      <c r="AO3075" s="82"/>
      <c r="AP3075" s="82"/>
      <c r="AQ3075" s="82"/>
      <c r="AR3075" s="82"/>
      <c r="AS3075" s="82"/>
      <c r="AT3075" s="82"/>
      <c r="AU3075" s="82"/>
      <c r="AV3075" s="82"/>
      <c r="AW3075" s="82" t="str">
        <f t="shared" si="1"/>
        <v/>
      </c>
      <c r="AX3075" s="83" t="str">
        <f t="array" ref="AX3075">IFERROR(DGET('SBV Import'!A:G,"SBV",{"RSC ID","Tier";B3075,A3075}))</f>
        <v/>
      </c>
      <c r="AY3075" s="82" t="str">
        <f t="shared" si="2"/>
        <v/>
      </c>
      <c r="AZ3075" s="82"/>
      <c r="BA3075" s="84" t="s">
        <v>152</v>
      </c>
      <c r="BB3075" s="84" t="str">
        <f>IFERROR(__xludf.DUMMYFUNCTION("iferror(if(A3075="""",,E3075&gt;=FILTER(Constants!$F$2:$F$10,Constants!$A$2:$A$10=A3075)))"),"")</f>
        <v/>
      </c>
    </row>
    <row r="3076">
      <c r="A3076" s="87"/>
      <c r="B3076" s="87"/>
      <c r="C3076" s="73"/>
      <c r="D3076" s="73"/>
      <c r="E3076" s="82"/>
      <c r="F3076" s="82"/>
      <c r="G3076" s="86"/>
      <c r="H3076" s="86"/>
      <c r="I3076" s="86"/>
      <c r="J3076" s="82"/>
      <c r="K3076" s="82"/>
      <c r="L3076" s="82"/>
      <c r="M3076" s="82"/>
      <c r="N3076" s="82"/>
      <c r="O3076" s="82"/>
      <c r="P3076" s="82"/>
      <c r="Q3076" s="82"/>
      <c r="R3076" s="82"/>
      <c r="S3076" s="82"/>
      <c r="T3076" s="82"/>
      <c r="U3076" s="82"/>
      <c r="V3076" s="82"/>
      <c r="W3076" s="82"/>
      <c r="X3076" s="82"/>
      <c r="Y3076" s="82"/>
      <c r="Z3076" s="82"/>
      <c r="AA3076" s="82"/>
      <c r="AB3076" s="82"/>
      <c r="AC3076" s="82"/>
      <c r="AD3076" s="82"/>
      <c r="AE3076" s="82"/>
      <c r="AF3076" s="82"/>
      <c r="AG3076" s="82"/>
      <c r="AH3076" s="82"/>
      <c r="AI3076" s="82"/>
      <c r="AJ3076" s="82"/>
      <c r="AK3076" s="82"/>
      <c r="AL3076" s="82"/>
      <c r="AM3076" s="82"/>
      <c r="AN3076" s="82"/>
      <c r="AO3076" s="82"/>
      <c r="AP3076" s="82"/>
      <c r="AQ3076" s="82"/>
      <c r="AR3076" s="82"/>
      <c r="AS3076" s="82"/>
      <c r="AT3076" s="82"/>
      <c r="AU3076" s="82"/>
      <c r="AV3076" s="82"/>
      <c r="AW3076" s="82" t="str">
        <f t="shared" si="1"/>
        <v/>
      </c>
      <c r="AX3076" s="83" t="str">
        <f t="array" ref="AX3076">IFERROR(DGET('SBV Import'!A:G,"SBV",{"RSC ID","Tier";B3076,A3076}))</f>
        <v/>
      </c>
      <c r="AY3076" s="82" t="str">
        <f t="shared" si="2"/>
        <v/>
      </c>
      <c r="AZ3076" s="82"/>
      <c r="BA3076" s="84" t="s">
        <v>152</v>
      </c>
      <c r="BB3076" s="84" t="str">
        <f>IFERROR(__xludf.DUMMYFUNCTION("iferror(if(A3076="""",,E3076&gt;=FILTER(Constants!$F$2:$F$10,Constants!$A$2:$A$10=A3076)))"),"")</f>
        <v/>
      </c>
    </row>
    <row r="3077">
      <c r="A3077" s="87"/>
      <c r="B3077" s="87"/>
      <c r="C3077" s="73"/>
      <c r="D3077" s="73"/>
      <c r="E3077" s="82"/>
      <c r="F3077" s="82"/>
      <c r="G3077" s="86"/>
      <c r="H3077" s="86"/>
      <c r="I3077" s="86"/>
      <c r="J3077" s="82"/>
      <c r="K3077" s="82"/>
      <c r="L3077" s="82"/>
      <c r="M3077" s="82"/>
      <c r="N3077" s="82"/>
      <c r="O3077" s="82"/>
      <c r="P3077" s="82"/>
      <c r="Q3077" s="82"/>
      <c r="R3077" s="82"/>
      <c r="S3077" s="82"/>
      <c r="T3077" s="82"/>
      <c r="U3077" s="82"/>
      <c r="V3077" s="82"/>
      <c r="W3077" s="82"/>
      <c r="X3077" s="82"/>
      <c r="Y3077" s="82"/>
      <c r="Z3077" s="82"/>
      <c r="AA3077" s="82"/>
      <c r="AB3077" s="82"/>
      <c r="AC3077" s="82"/>
      <c r="AD3077" s="82"/>
      <c r="AE3077" s="82"/>
      <c r="AF3077" s="82"/>
      <c r="AG3077" s="82"/>
      <c r="AH3077" s="82"/>
      <c r="AI3077" s="82"/>
      <c r="AJ3077" s="82"/>
      <c r="AK3077" s="82"/>
      <c r="AL3077" s="82"/>
      <c r="AM3077" s="82"/>
      <c r="AN3077" s="82"/>
      <c r="AO3077" s="82"/>
      <c r="AP3077" s="82"/>
      <c r="AQ3077" s="82"/>
      <c r="AR3077" s="82"/>
      <c r="AS3077" s="82"/>
      <c r="AT3077" s="82"/>
      <c r="AU3077" s="82"/>
      <c r="AV3077" s="82"/>
      <c r="AW3077" s="82" t="str">
        <f t="shared" si="1"/>
        <v/>
      </c>
      <c r="AX3077" s="83" t="str">
        <f t="array" ref="AX3077">IFERROR(DGET('SBV Import'!A:G,"SBV",{"RSC ID","Tier";B3077,A3077}))</f>
        <v/>
      </c>
      <c r="AY3077" s="82" t="str">
        <f t="shared" si="2"/>
        <v/>
      </c>
      <c r="AZ3077" s="82"/>
      <c r="BA3077" s="84" t="s">
        <v>152</v>
      </c>
      <c r="BB3077" s="84" t="str">
        <f>IFERROR(__xludf.DUMMYFUNCTION("iferror(if(A3077="""",,E3077&gt;=FILTER(Constants!$F$2:$F$10,Constants!$A$2:$A$10=A3077)))"),"")</f>
        <v/>
      </c>
    </row>
    <row r="3078">
      <c r="A3078" s="87"/>
      <c r="B3078" s="87"/>
      <c r="C3078" s="73"/>
      <c r="D3078" s="73"/>
      <c r="E3078" s="82"/>
      <c r="F3078" s="82"/>
      <c r="G3078" s="86"/>
      <c r="H3078" s="86"/>
      <c r="I3078" s="86"/>
      <c r="J3078" s="82"/>
      <c r="K3078" s="82"/>
      <c r="L3078" s="82"/>
      <c r="M3078" s="82"/>
      <c r="N3078" s="82"/>
      <c r="O3078" s="82"/>
      <c r="P3078" s="82"/>
      <c r="Q3078" s="82"/>
      <c r="R3078" s="82"/>
      <c r="S3078" s="82"/>
      <c r="T3078" s="82"/>
      <c r="U3078" s="82"/>
      <c r="V3078" s="82"/>
      <c r="W3078" s="82"/>
      <c r="X3078" s="82"/>
      <c r="Y3078" s="82"/>
      <c r="Z3078" s="82"/>
      <c r="AA3078" s="82"/>
      <c r="AB3078" s="82"/>
      <c r="AC3078" s="82"/>
      <c r="AD3078" s="82"/>
      <c r="AE3078" s="82"/>
      <c r="AF3078" s="82"/>
      <c r="AG3078" s="82"/>
      <c r="AH3078" s="82"/>
      <c r="AI3078" s="82"/>
      <c r="AJ3078" s="82"/>
      <c r="AK3078" s="82"/>
      <c r="AL3078" s="82"/>
      <c r="AM3078" s="82"/>
      <c r="AN3078" s="82"/>
      <c r="AO3078" s="82"/>
      <c r="AP3078" s="82"/>
      <c r="AQ3078" s="82"/>
      <c r="AR3078" s="82"/>
      <c r="AS3078" s="82"/>
      <c r="AT3078" s="82"/>
      <c r="AU3078" s="82"/>
      <c r="AV3078" s="82"/>
      <c r="AW3078" s="82" t="str">
        <f t="shared" si="1"/>
        <v/>
      </c>
      <c r="AX3078" s="83" t="str">
        <f t="array" ref="AX3078">IFERROR(DGET('SBV Import'!A:G,"SBV",{"RSC ID","Tier";B3078,A3078}))</f>
        <v/>
      </c>
      <c r="AY3078" s="82" t="str">
        <f t="shared" si="2"/>
        <v/>
      </c>
      <c r="AZ3078" s="82"/>
      <c r="BA3078" s="84" t="s">
        <v>152</v>
      </c>
      <c r="BB3078" s="84" t="str">
        <f>IFERROR(__xludf.DUMMYFUNCTION("iferror(if(A3078="""",,E3078&gt;=FILTER(Constants!$F$2:$F$10,Constants!$A$2:$A$10=A3078)))"),"")</f>
        <v/>
      </c>
    </row>
    <row r="3079">
      <c r="A3079" s="87"/>
      <c r="B3079" s="87"/>
      <c r="C3079" s="73"/>
      <c r="D3079" s="73"/>
      <c r="E3079" s="82"/>
      <c r="F3079" s="82"/>
      <c r="G3079" s="86"/>
      <c r="H3079" s="86"/>
      <c r="I3079" s="86"/>
      <c r="J3079" s="82"/>
      <c r="K3079" s="82"/>
      <c r="L3079" s="82"/>
      <c r="M3079" s="82"/>
      <c r="N3079" s="82"/>
      <c r="O3079" s="82"/>
      <c r="P3079" s="82"/>
      <c r="Q3079" s="82"/>
      <c r="R3079" s="82"/>
      <c r="S3079" s="82"/>
      <c r="T3079" s="82"/>
      <c r="U3079" s="82"/>
      <c r="V3079" s="82"/>
      <c r="W3079" s="82"/>
      <c r="X3079" s="82"/>
      <c r="Y3079" s="82"/>
      <c r="Z3079" s="82"/>
      <c r="AA3079" s="82"/>
      <c r="AB3079" s="82"/>
      <c r="AC3079" s="82"/>
      <c r="AD3079" s="82"/>
      <c r="AE3079" s="82"/>
      <c r="AF3079" s="82"/>
      <c r="AG3079" s="82"/>
      <c r="AH3079" s="82"/>
      <c r="AI3079" s="82"/>
      <c r="AJ3079" s="82"/>
      <c r="AK3079" s="82"/>
      <c r="AL3079" s="82"/>
      <c r="AM3079" s="82"/>
      <c r="AN3079" s="82"/>
      <c r="AO3079" s="82"/>
      <c r="AP3079" s="82"/>
      <c r="AQ3079" s="82"/>
      <c r="AR3079" s="82"/>
      <c r="AS3079" s="82"/>
      <c r="AT3079" s="82"/>
      <c r="AU3079" s="82"/>
      <c r="AV3079" s="82"/>
      <c r="AW3079" s="82" t="str">
        <f t="shared" si="1"/>
        <v/>
      </c>
      <c r="AX3079" s="83" t="str">
        <f t="array" ref="AX3079">IFERROR(DGET('SBV Import'!A:G,"SBV",{"RSC ID","Tier";B3079,A3079}))</f>
        <v/>
      </c>
      <c r="AY3079" s="82" t="str">
        <f t="shared" si="2"/>
        <v/>
      </c>
      <c r="AZ3079" s="82"/>
      <c r="BA3079" s="84" t="s">
        <v>152</v>
      </c>
      <c r="BB3079" s="84" t="str">
        <f>IFERROR(__xludf.DUMMYFUNCTION("iferror(if(A3079="""",,E3079&gt;=FILTER(Constants!$F$2:$F$10,Constants!$A$2:$A$10=A3079)))"),"")</f>
        <v/>
      </c>
    </row>
    <row r="3080">
      <c r="A3080" s="87"/>
      <c r="B3080" s="87"/>
      <c r="C3080" s="73"/>
      <c r="D3080" s="73"/>
      <c r="E3080" s="82"/>
      <c r="F3080" s="82"/>
      <c r="G3080" s="86"/>
      <c r="H3080" s="86"/>
      <c r="I3080" s="86"/>
      <c r="J3080" s="82"/>
      <c r="K3080" s="82"/>
      <c r="L3080" s="82"/>
      <c r="M3080" s="82"/>
      <c r="N3080" s="82"/>
      <c r="O3080" s="82"/>
      <c r="P3080" s="82"/>
      <c r="Q3080" s="82"/>
      <c r="R3080" s="82"/>
      <c r="S3080" s="82"/>
      <c r="T3080" s="82"/>
      <c r="U3080" s="82"/>
      <c r="V3080" s="82"/>
      <c r="W3080" s="82"/>
      <c r="X3080" s="82"/>
      <c r="Y3080" s="82"/>
      <c r="Z3080" s="82"/>
      <c r="AA3080" s="82"/>
      <c r="AB3080" s="82"/>
      <c r="AC3080" s="82"/>
      <c r="AD3080" s="82"/>
      <c r="AE3080" s="82"/>
      <c r="AF3080" s="82"/>
      <c r="AG3080" s="82"/>
      <c r="AH3080" s="82"/>
      <c r="AI3080" s="82"/>
      <c r="AJ3080" s="82"/>
      <c r="AK3080" s="82"/>
      <c r="AL3080" s="82"/>
      <c r="AM3080" s="82"/>
      <c r="AN3080" s="82"/>
      <c r="AO3080" s="82"/>
      <c r="AP3080" s="82"/>
      <c r="AQ3080" s="82"/>
      <c r="AR3080" s="82"/>
      <c r="AS3080" s="82"/>
      <c r="AT3080" s="82"/>
      <c r="AU3080" s="82"/>
      <c r="AV3080" s="82"/>
      <c r="AW3080" s="82" t="str">
        <f t="shared" si="1"/>
        <v/>
      </c>
      <c r="AX3080" s="83" t="str">
        <f t="array" ref="AX3080">IFERROR(DGET('SBV Import'!A:G,"SBV",{"RSC ID","Tier";B3080,A3080}))</f>
        <v/>
      </c>
      <c r="AY3080" s="82" t="str">
        <f t="shared" si="2"/>
        <v/>
      </c>
      <c r="AZ3080" s="82"/>
      <c r="BA3080" s="84" t="s">
        <v>152</v>
      </c>
      <c r="BB3080" s="84" t="str">
        <f>IFERROR(__xludf.DUMMYFUNCTION("iferror(if(A3080="""",,E3080&gt;=FILTER(Constants!$F$2:$F$10,Constants!$A$2:$A$10=A3080)))"),"")</f>
        <v/>
      </c>
    </row>
    <row r="3081">
      <c r="A3081" s="87"/>
      <c r="B3081" s="87"/>
      <c r="C3081" s="73"/>
      <c r="D3081" s="73"/>
      <c r="E3081" s="82"/>
      <c r="F3081" s="82"/>
      <c r="G3081" s="86"/>
      <c r="H3081" s="86"/>
      <c r="I3081" s="86"/>
      <c r="J3081" s="82"/>
      <c r="K3081" s="82"/>
      <c r="L3081" s="82"/>
      <c r="M3081" s="82"/>
      <c r="N3081" s="82"/>
      <c r="O3081" s="82"/>
      <c r="P3081" s="82"/>
      <c r="Q3081" s="82"/>
      <c r="R3081" s="82"/>
      <c r="S3081" s="82"/>
      <c r="T3081" s="82"/>
      <c r="U3081" s="82"/>
      <c r="V3081" s="82"/>
      <c r="W3081" s="82"/>
      <c r="X3081" s="82"/>
      <c r="Y3081" s="82"/>
      <c r="Z3081" s="82"/>
      <c r="AA3081" s="82"/>
      <c r="AB3081" s="82"/>
      <c r="AC3081" s="82"/>
      <c r="AD3081" s="82"/>
      <c r="AE3081" s="82"/>
      <c r="AF3081" s="82"/>
      <c r="AG3081" s="82"/>
      <c r="AH3081" s="82"/>
      <c r="AI3081" s="82"/>
      <c r="AJ3081" s="82"/>
      <c r="AK3081" s="82"/>
      <c r="AL3081" s="82"/>
      <c r="AM3081" s="82"/>
      <c r="AN3081" s="82"/>
      <c r="AO3081" s="82"/>
      <c r="AP3081" s="82"/>
      <c r="AQ3081" s="82"/>
      <c r="AR3081" s="82"/>
      <c r="AS3081" s="82"/>
      <c r="AT3081" s="82"/>
      <c r="AU3081" s="82"/>
      <c r="AV3081" s="82"/>
      <c r="AW3081" s="82" t="str">
        <f t="shared" si="1"/>
        <v/>
      </c>
      <c r="AX3081" s="83" t="str">
        <f t="array" ref="AX3081">IFERROR(DGET('SBV Import'!A:G,"SBV",{"RSC ID","Tier";B3081,A3081}))</f>
        <v/>
      </c>
      <c r="AY3081" s="82" t="str">
        <f t="shared" si="2"/>
        <v/>
      </c>
      <c r="AZ3081" s="82"/>
      <c r="BA3081" s="84" t="s">
        <v>152</v>
      </c>
      <c r="BB3081" s="84" t="str">
        <f>IFERROR(__xludf.DUMMYFUNCTION("iferror(if(A3081="""",,E3081&gt;=FILTER(Constants!$F$2:$F$10,Constants!$A$2:$A$10=A3081)))"),"")</f>
        <v/>
      </c>
    </row>
    <row r="3082">
      <c r="A3082" s="87"/>
      <c r="B3082" s="87"/>
      <c r="C3082" s="73"/>
      <c r="D3082" s="73"/>
      <c r="E3082" s="82"/>
      <c r="F3082" s="82"/>
      <c r="G3082" s="86"/>
      <c r="H3082" s="86"/>
      <c r="I3082" s="86"/>
      <c r="J3082" s="82"/>
      <c r="K3082" s="82"/>
      <c r="L3082" s="82"/>
      <c r="M3082" s="82"/>
      <c r="N3082" s="82"/>
      <c r="O3082" s="82"/>
      <c r="P3082" s="82"/>
      <c r="Q3082" s="82"/>
      <c r="R3082" s="82"/>
      <c r="S3082" s="82"/>
      <c r="T3082" s="82"/>
      <c r="U3082" s="82"/>
      <c r="V3082" s="82"/>
      <c r="W3082" s="82"/>
      <c r="X3082" s="82"/>
      <c r="Y3082" s="82"/>
      <c r="Z3082" s="82"/>
      <c r="AA3082" s="82"/>
      <c r="AB3082" s="82"/>
      <c r="AC3082" s="82"/>
      <c r="AD3082" s="82"/>
      <c r="AE3082" s="82"/>
      <c r="AF3082" s="82"/>
      <c r="AG3082" s="82"/>
      <c r="AH3082" s="82"/>
      <c r="AI3082" s="82"/>
      <c r="AJ3082" s="82"/>
      <c r="AK3082" s="82"/>
      <c r="AL3082" s="82"/>
      <c r="AM3082" s="82"/>
      <c r="AN3082" s="82"/>
      <c r="AO3082" s="82"/>
      <c r="AP3082" s="82"/>
      <c r="AQ3082" s="82"/>
      <c r="AR3082" s="82"/>
      <c r="AS3082" s="82"/>
      <c r="AT3082" s="82"/>
      <c r="AU3082" s="82"/>
      <c r="AV3082" s="82"/>
      <c r="AW3082" s="82" t="str">
        <f t="shared" si="1"/>
        <v/>
      </c>
      <c r="AX3082" s="83" t="str">
        <f t="array" ref="AX3082">IFERROR(DGET('SBV Import'!A:G,"SBV",{"RSC ID","Tier";B3082,A3082}))</f>
        <v/>
      </c>
      <c r="AY3082" s="82" t="str">
        <f t="shared" si="2"/>
        <v/>
      </c>
      <c r="AZ3082" s="82"/>
      <c r="BA3082" s="84" t="s">
        <v>152</v>
      </c>
      <c r="BB3082" s="84" t="str">
        <f>IFERROR(__xludf.DUMMYFUNCTION("iferror(if(A3082="""",,E3082&gt;=FILTER(Constants!$F$2:$F$10,Constants!$A$2:$A$10=A3082)))"),"")</f>
        <v/>
      </c>
    </row>
    <row r="3083">
      <c r="A3083" s="87"/>
      <c r="B3083" s="87"/>
      <c r="C3083" s="73"/>
      <c r="D3083" s="73"/>
      <c r="E3083" s="82"/>
      <c r="F3083" s="82"/>
      <c r="G3083" s="86"/>
      <c r="H3083" s="86"/>
      <c r="I3083" s="86"/>
      <c r="J3083" s="82"/>
      <c r="K3083" s="82"/>
      <c r="L3083" s="82"/>
      <c r="M3083" s="82"/>
      <c r="N3083" s="82"/>
      <c r="O3083" s="82"/>
      <c r="P3083" s="82"/>
      <c r="Q3083" s="82"/>
      <c r="R3083" s="82"/>
      <c r="S3083" s="82"/>
      <c r="T3083" s="82"/>
      <c r="U3083" s="82"/>
      <c r="V3083" s="82"/>
      <c r="W3083" s="82"/>
      <c r="X3083" s="82"/>
      <c r="Y3083" s="82"/>
      <c r="Z3083" s="82"/>
      <c r="AA3083" s="82"/>
      <c r="AB3083" s="82"/>
      <c r="AC3083" s="82"/>
      <c r="AD3083" s="82"/>
      <c r="AE3083" s="82"/>
      <c r="AF3083" s="82"/>
      <c r="AG3083" s="82"/>
      <c r="AH3083" s="82"/>
      <c r="AI3083" s="82"/>
      <c r="AJ3083" s="82"/>
      <c r="AK3083" s="82"/>
      <c r="AL3083" s="82"/>
      <c r="AM3083" s="82"/>
      <c r="AN3083" s="82"/>
      <c r="AO3083" s="82"/>
      <c r="AP3083" s="82"/>
      <c r="AQ3083" s="82"/>
      <c r="AR3083" s="82"/>
      <c r="AS3083" s="82"/>
      <c r="AT3083" s="82"/>
      <c r="AU3083" s="82"/>
      <c r="AV3083" s="82"/>
      <c r="AW3083" s="82" t="str">
        <f t="shared" si="1"/>
        <v/>
      </c>
      <c r="AX3083" s="83" t="str">
        <f t="array" ref="AX3083">IFERROR(DGET('SBV Import'!A:G,"SBV",{"RSC ID","Tier";B3083,A3083}))</f>
        <v/>
      </c>
      <c r="AY3083" s="82" t="str">
        <f t="shared" si="2"/>
        <v/>
      </c>
      <c r="AZ3083" s="82"/>
      <c r="BA3083" s="84" t="s">
        <v>152</v>
      </c>
      <c r="BB3083" s="84" t="str">
        <f>IFERROR(__xludf.DUMMYFUNCTION("iferror(if(A3083="""",,E3083&gt;=FILTER(Constants!$F$2:$F$10,Constants!$A$2:$A$10=A3083)))"),"")</f>
        <v/>
      </c>
    </row>
    <row r="3084">
      <c r="A3084" s="87"/>
      <c r="B3084" s="87"/>
      <c r="C3084" s="73"/>
      <c r="D3084" s="73"/>
      <c r="E3084" s="82"/>
      <c r="F3084" s="82"/>
      <c r="G3084" s="86"/>
      <c r="H3084" s="86"/>
      <c r="I3084" s="86"/>
      <c r="J3084" s="82"/>
      <c r="K3084" s="82"/>
      <c r="L3084" s="82"/>
      <c r="M3084" s="82"/>
      <c r="N3084" s="82"/>
      <c r="O3084" s="82"/>
      <c r="P3084" s="82"/>
      <c r="Q3084" s="82"/>
      <c r="R3084" s="82"/>
      <c r="S3084" s="82"/>
      <c r="T3084" s="82"/>
      <c r="U3084" s="82"/>
      <c r="V3084" s="82"/>
      <c r="W3084" s="82"/>
      <c r="X3084" s="82"/>
      <c r="Y3084" s="82"/>
      <c r="Z3084" s="82"/>
      <c r="AA3084" s="82"/>
      <c r="AB3084" s="82"/>
      <c r="AC3084" s="82"/>
      <c r="AD3084" s="82"/>
      <c r="AE3084" s="82"/>
      <c r="AF3084" s="82"/>
      <c r="AG3084" s="82"/>
      <c r="AH3084" s="82"/>
      <c r="AI3084" s="82"/>
      <c r="AJ3084" s="82"/>
      <c r="AK3084" s="82"/>
      <c r="AL3084" s="82"/>
      <c r="AM3084" s="82"/>
      <c r="AN3084" s="82"/>
      <c r="AO3084" s="82"/>
      <c r="AP3084" s="82"/>
      <c r="AQ3084" s="82"/>
      <c r="AR3084" s="82"/>
      <c r="AS3084" s="82"/>
      <c r="AT3084" s="82"/>
      <c r="AU3084" s="82"/>
      <c r="AV3084" s="82"/>
      <c r="AW3084" s="82" t="str">
        <f t="shared" si="1"/>
        <v/>
      </c>
      <c r="AX3084" s="83" t="str">
        <f t="array" ref="AX3084">IFERROR(DGET('SBV Import'!A:G,"SBV",{"RSC ID","Tier";B3084,A3084}))</f>
        <v/>
      </c>
      <c r="AY3084" s="82" t="str">
        <f t="shared" si="2"/>
        <v/>
      </c>
      <c r="AZ3084" s="82"/>
      <c r="BA3084" s="84" t="s">
        <v>152</v>
      </c>
      <c r="BB3084" s="84" t="str">
        <f>IFERROR(__xludf.DUMMYFUNCTION("iferror(if(A3084="""",,E3084&gt;=FILTER(Constants!$F$2:$F$10,Constants!$A$2:$A$10=A3084)))"),"")</f>
        <v/>
      </c>
    </row>
    <row r="3085">
      <c r="A3085" s="87"/>
      <c r="B3085" s="87"/>
      <c r="C3085" s="73"/>
      <c r="D3085" s="73"/>
      <c r="E3085" s="82"/>
      <c r="F3085" s="82"/>
      <c r="G3085" s="86"/>
      <c r="H3085" s="86"/>
      <c r="I3085" s="86"/>
      <c r="J3085" s="82"/>
      <c r="K3085" s="82"/>
      <c r="L3085" s="82"/>
      <c r="M3085" s="82"/>
      <c r="N3085" s="82"/>
      <c r="O3085" s="82"/>
      <c r="P3085" s="82"/>
      <c r="Q3085" s="82"/>
      <c r="R3085" s="82"/>
      <c r="S3085" s="82"/>
      <c r="T3085" s="82"/>
      <c r="U3085" s="82"/>
      <c r="V3085" s="82"/>
      <c r="W3085" s="82"/>
      <c r="X3085" s="82"/>
      <c r="Y3085" s="82"/>
      <c r="Z3085" s="82"/>
      <c r="AA3085" s="82"/>
      <c r="AB3085" s="82"/>
      <c r="AC3085" s="82"/>
      <c r="AD3085" s="82"/>
      <c r="AE3085" s="82"/>
      <c r="AF3085" s="82"/>
      <c r="AG3085" s="82"/>
      <c r="AH3085" s="82"/>
      <c r="AI3085" s="82"/>
      <c r="AJ3085" s="82"/>
      <c r="AK3085" s="82"/>
      <c r="AL3085" s="82"/>
      <c r="AM3085" s="82"/>
      <c r="AN3085" s="82"/>
      <c r="AO3085" s="82"/>
      <c r="AP3085" s="82"/>
      <c r="AQ3085" s="82"/>
      <c r="AR3085" s="82"/>
      <c r="AS3085" s="82"/>
      <c r="AT3085" s="82"/>
      <c r="AU3085" s="82"/>
      <c r="AV3085" s="82"/>
      <c r="AW3085" s="82" t="str">
        <f t="shared" si="1"/>
        <v/>
      </c>
      <c r="AX3085" s="83" t="str">
        <f t="array" ref="AX3085">IFERROR(DGET('SBV Import'!A:G,"SBV",{"RSC ID","Tier";B3085,A3085}))</f>
        <v/>
      </c>
      <c r="AY3085" s="82" t="str">
        <f t="shared" si="2"/>
        <v/>
      </c>
      <c r="AZ3085" s="82"/>
      <c r="BA3085" s="84" t="s">
        <v>152</v>
      </c>
      <c r="BB3085" s="84" t="str">
        <f>IFERROR(__xludf.DUMMYFUNCTION("iferror(if(A3085="""",,E3085&gt;=FILTER(Constants!$F$2:$F$10,Constants!$A$2:$A$10=A3085)))"),"")</f>
        <v/>
      </c>
    </row>
    <row r="3086">
      <c r="A3086" s="87"/>
      <c r="B3086" s="87"/>
      <c r="C3086" s="73"/>
      <c r="D3086" s="73"/>
      <c r="E3086" s="82"/>
      <c r="F3086" s="82"/>
      <c r="G3086" s="86"/>
      <c r="H3086" s="86"/>
      <c r="I3086" s="86"/>
      <c r="J3086" s="82"/>
      <c r="K3086" s="82"/>
      <c r="L3086" s="82"/>
      <c r="M3086" s="82"/>
      <c r="N3086" s="82"/>
      <c r="O3086" s="82"/>
      <c r="P3086" s="82"/>
      <c r="Q3086" s="82"/>
      <c r="R3086" s="82"/>
      <c r="S3086" s="82"/>
      <c r="T3086" s="82"/>
      <c r="U3086" s="82"/>
      <c r="V3086" s="82"/>
      <c r="W3086" s="82"/>
      <c r="X3086" s="82"/>
      <c r="Y3086" s="82"/>
      <c r="Z3086" s="82"/>
      <c r="AA3086" s="82"/>
      <c r="AB3086" s="82"/>
      <c r="AC3086" s="82"/>
      <c r="AD3086" s="82"/>
      <c r="AE3086" s="82"/>
      <c r="AF3086" s="82"/>
      <c r="AG3086" s="82"/>
      <c r="AH3086" s="82"/>
      <c r="AI3086" s="82"/>
      <c r="AJ3086" s="82"/>
      <c r="AK3086" s="82"/>
      <c r="AL3086" s="82"/>
      <c r="AM3086" s="82"/>
      <c r="AN3086" s="82"/>
      <c r="AO3086" s="82"/>
      <c r="AP3086" s="82"/>
      <c r="AQ3086" s="82"/>
      <c r="AR3086" s="82"/>
      <c r="AS3086" s="82"/>
      <c r="AT3086" s="82"/>
      <c r="AU3086" s="82"/>
      <c r="AV3086" s="82"/>
      <c r="AW3086" s="82" t="str">
        <f t="shared" si="1"/>
        <v/>
      </c>
      <c r="AX3086" s="83" t="str">
        <f t="array" ref="AX3086">IFERROR(DGET('SBV Import'!A:G,"SBV",{"RSC ID","Tier";B3086,A3086}))</f>
        <v/>
      </c>
      <c r="AY3086" s="82" t="str">
        <f t="shared" si="2"/>
        <v/>
      </c>
      <c r="AZ3086" s="82"/>
      <c r="BA3086" s="84" t="s">
        <v>152</v>
      </c>
      <c r="BB3086" s="84" t="str">
        <f>IFERROR(__xludf.DUMMYFUNCTION("iferror(if(A3086="""",,E3086&gt;=FILTER(Constants!$F$2:$F$10,Constants!$A$2:$A$10=A3086)))"),"")</f>
        <v/>
      </c>
    </row>
    <row r="3087">
      <c r="A3087" s="87"/>
      <c r="B3087" s="87"/>
      <c r="C3087" s="73"/>
      <c r="D3087" s="73"/>
      <c r="E3087" s="82"/>
      <c r="F3087" s="82"/>
      <c r="G3087" s="86"/>
      <c r="H3087" s="86"/>
      <c r="I3087" s="86"/>
      <c r="J3087" s="82"/>
      <c r="K3087" s="82"/>
      <c r="L3087" s="82"/>
      <c r="M3087" s="82"/>
      <c r="N3087" s="82"/>
      <c r="O3087" s="82"/>
      <c r="P3087" s="82"/>
      <c r="Q3087" s="82"/>
      <c r="R3087" s="82"/>
      <c r="S3087" s="82"/>
      <c r="T3087" s="82"/>
      <c r="U3087" s="82"/>
      <c r="V3087" s="82"/>
      <c r="W3087" s="82"/>
      <c r="X3087" s="82"/>
      <c r="Y3087" s="82"/>
      <c r="Z3087" s="82"/>
      <c r="AA3087" s="82"/>
      <c r="AB3087" s="82"/>
      <c r="AC3087" s="82"/>
      <c r="AD3087" s="82"/>
      <c r="AE3087" s="82"/>
      <c r="AF3087" s="82"/>
      <c r="AG3087" s="82"/>
      <c r="AH3087" s="82"/>
      <c r="AI3087" s="82"/>
      <c r="AJ3087" s="82"/>
      <c r="AK3087" s="82"/>
      <c r="AL3087" s="82"/>
      <c r="AM3087" s="82"/>
      <c r="AN3087" s="82"/>
      <c r="AO3087" s="82"/>
      <c r="AP3087" s="82"/>
      <c r="AQ3087" s="82"/>
      <c r="AR3087" s="82"/>
      <c r="AS3087" s="82"/>
      <c r="AT3087" s="82"/>
      <c r="AU3087" s="82"/>
      <c r="AV3087" s="82"/>
      <c r="AW3087" s="82" t="str">
        <f t="shared" si="1"/>
        <v/>
      </c>
      <c r="AX3087" s="83" t="str">
        <f t="array" ref="AX3087">IFERROR(DGET('SBV Import'!A:G,"SBV",{"RSC ID","Tier";B3087,A3087}))</f>
        <v/>
      </c>
      <c r="AY3087" s="82" t="str">
        <f t="shared" si="2"/>
        <v/>
      </c>
      <c r="AZ3087" s="82"/>
      <c r="BA3087" s="84" t="s">
        <v>152</v>
      </c>
      <c r="BB3087" s="84" t="str">
        <f>IFERROR(__xludf.DUMMYFUNCTION("iferror(if(A3087="""",,E3087&gt;=FILTER(Constants!$F$2:$F$10,Constants!$A$2:$A$10=A3087)))"),"")</f>
        <v/>
      </c>
    </row>
    <row r="3088">
      <c r="A3088" s="87"/>
      <c r="B3088" s="87"/>
      <c r="C3088" s="73"/>
      <c r="D3088" s="73"/>
      <c r="E3088" s="82"/>
      <c r="F3088" s="82"/>
      <c r="G3088" s="86"/>
      <c r="H3088" s="86"/>
      <c r="I3088" s="86"/>
      <c r="J3088" s="82"/>
      <c r="K3088" s="82"/>
      <c r="L3088" s="82"/>
      <c r="M3088" s="82"/>
      <c r="N3088" s="82"/>
      <c r="O3088" s="82"/>
      <c r="P3088" s="82"/>
      <c r="Q3088" s="82"/>
      <c r="R3088" s="82"/>
      <c r="S3088" s="82"/>
      <c r="T3088" s="82"/>
      <c r="U3088" s="82"/>
      <c r="V3088" s="82"/>
      <c r="W3088" s="82"/>
      <c r="X3088" s="82"/>
      <c r="Y3088" s="82"/>
      <c r="Z3088" s="82"/>
      <c r="AA3088" s="82"/>
      <c r="AB3088" s="82"/>
      <c r="AC3088" s="82"/>
      <c r="AD3088" s="82"/>
      <c r="AE3088" s="82"/>
      <c r="AF3088" s="82"/>
      <c r="AG3088" s="82"/>
      <c r="AH3088" s="82"/>
      <c r="AI3088" s="82"/>
      <c r="AJ3088" s="82"/>
      <c r="AK3088" s="82"/>
      <c r="AL3088" s="82"/>
      <c r="AM3088" s="82"/>
      <c r="AN3088" s="82"/>
      <c r="AO3088" s="82"/>
      <c r="AP3088" s="82"/>
      <c r="AQ3088" s="82"/>
      <c r="AR3088" s="82"/>
      <c r="AS3088" s="82"/>
      <c r="AT3088" s="82"/>
      <c r="AU3088" s="82"/>
      <c r="AV3088" s="82"/>
      <c r="AW3088" s="82" t="str">
        <f t="shared" si="1"/>
        <v/>
      </c>
      <c r="AX3088" s="83" t="str">
        <f t="array" ref="AX3088">IFERROR(DGET('SBV Import'!A:G,"SBV",{"RSC ID","Tier";B3088,A3088}))</f>
        <v/>
      </c>
      <c r="AY3088" s="82" t="str">
        <f t="shared" si="2"/>
        <v/>
      </c>
      <c r="AZ3088" s="82"/>
      <c r="BA3088" s="84" t="s">
        <v>152</v>
      </c>
      <c r="BB3088" s="84" t="str">
        <f>IFERROR(__xludf.DUMMYFUNCTION("iferror(if(A3088="""",,E3088&gt;=FILTER(Constants!$F$2:$F$10,Constants!$A$2:$A$10=A3088)))"),"")</f>
        <v/>
      </c>
    </row>
    <row r="3089">
      <c r="A3089" s="87"/>
      <c r="B3089" s="87"/>
      <c r="C3089" s="73"/>
      <c r="D3089" s="73"/>
      <c r="E3089" s="82"/>
      <c r="F3089" s="82"/>
      <c r="G3089" s="86"/>
      <c r="H3089" s="86"/>
      <c r="I3089" s="86"/>
      <c r="J3089" s="82"/>
      <c r="K3089" s="82"/>
      <c r="L3089" s="82"/>
      <c r="M3089" s="82"/>
      <c r="N3089" s="82"/>
      <c r="O3089" s="82"/>
      <c r="P3089" s="82"/>
      <c r="Q3089" s="82"/>
      <c r="R3089" s="82"/>
      <c r="S3089" s="82"/>
      <c r="T3089" s="82"/>
      <c r="U3089" s="82"/>
      <c r="V3089" s="82"/>
      <c r="W3089" s="82"/>
      <c r="X3089" s="82"/>
      <c r="Y3089" s="82"/>
      <c r="Z3089" s="82"/>
      <c r="AA3089" s="82"/>
      <c r="AB3089" s="82"/>
      <c r="AC3089" s="82"/>
      <c r="AD3089" s="82"/>
      <c r="AE3089" s="82"/>
      <c r="AF3089" s="82"/>
      <c r="AG3089" s="82"/>
      <c r="AH3089" s="82"/>
      <c r="AI3089" s="82"/>
      <c r="AJ3089" s="82"/>
      <c r="AK3089" s="82"/>
      <c r="AL3089" s="82"/>
      <c r="AM3089" s="82"/>
      <c r="AN3089" s="82"/>
      <c r="AO3089" s="82"/>
      <c r="AP3089" s="82"/>
      <c r="AQ3089" s="82"/>
      <c r="AR3089" s="82"/>
      <c r="AS3089" s="82"/>
      <c r="AT3089" s="82"/>
      <c r="AU3089" s="82"/>
      <c r="AV3089" s="82"/>
      <c r="AW3089" s="82" t="str">
        <f t="shared" si="1"/>
        <v/>
      </c>
      <c r="AX3089" s="83" t="str">
        <f t="array" ref="AX3089">IFERROR(DGET('SBV Import'!A:G,"SBV",{"RSC ID","Tier";B3089,A3089}))</f>
        <v/>
      </c>
      <c r="AY3089" s="82" t="str">
        <f t="shared" si="2"/>
        <v/>
      </c>
      <c r="AZ3089" s="82"/>
      <c r="BA3089" s="84" t="s">
        <v>152</v>
      </c>
      <c r="BB3089" s="84" t="str">
        <f>IFERROR(__xludf.DUMMYFUNCTION("iferror(if(A3089="""",,E3089&gt;=FILTER(Constants!$F$2:$F$10,Constants!$A$2:$A$10=A3089)))"),"")</f>
        <v/>
      </c>
    </row>
    <row r="3090">
      <c r="A3090" s="87"/>
      <c r="B3090" s="87"/>
      <c r="C3090" s="73"/>
      <c r="D3090" s="73"/>
      <c r="E3090" s="82"/>
      <c r="F3090" s="82"/>
      <c r="G3090" s="86"/>
      <c r="H3090" s="86"/>
      <c r="I3090" s="86"/>
      <c r="J3090" s="82"/>
      <c r="K3090" s="82"/>
      <c r="L3090" s="82"/>
      <c r="M3090" s="82"/>
      <c r="N3090" s="82"/>
      <c r="O3090" s="82"/>
      <c r="P3090" s="82"/>
      <c r="Q3090" s="82"/>
      <c r="R3090" s="82"/>
      <c r="S3090" s="82"/>
      <c r="T3090" s="82"/>
      <c r="U3090" s="82"/>
      <c r="V3090" s="82"/>
      <c r="W3090" s="82"/>
      <c r="X3090" s="82"/>
      <c r="Y3090" s="82"/>
      <c r="Z3090" s="82"/>
      <c r="AA3090" s="82"/>
      <c r="AB3090" s="82"/>
      <c r="AC3090" s="82"/>
      <c r="AD3090" s="82"/>
      <c r="AE3090" s="82"/>
      <c r="AF3090" s="82"/>
      <c r="AG3090" s="82"/>
      <c r="AH3090" s="82"/>
      <c r="AI3090" s="82"/>
      <c r="AJ3090" s="82"/>
      <c r="AK3090" s="82"/>
      <c r="AL3090" s="82"/>
      <c r="AM3090" s="82"/>
      <c r="AN3090" s="82"/>
      <c r="AO3090" s="82"/>
      <c r="AP3090" s="82"/>
      <c r="AQ3090" s="82"/>
      <c r="AR3090" s="82"/>
      <c r="AS3090" s="82"/>
      <c r="AT3090" s="82"/>
      <c r="AU3090" s="82"/>
      <c r="AV3090" s="82"/>
      <c r="AW3090" s="82" t="str">
        <f t="shared" si="1"/>
        <v/>
      </c>
      <c r="AX3090" s="83" t="str">
        <f t="array" ref="AX3090">IFERROR(DGET('SBV Import'!A:G,"SBV",{"RSC ID","Tier";B3090,A3090}))</f>
        <v/>
      </c>
      <c r="AY3090" s="82" t="str">
        <f t="shared" si="2"/>
        <v/>
      </c>
      <c r="AZ3090" s="82"/>
      <c r="BA3090" s="84" t="s">
        <v>152</v>
      </c>
      <c r="BB3090" s="84" t="str">
        <f>IFERROR(__xludf.DUMMYFUNCTION("iferror(if(A3090="""",,E3090&gt;=FILTER(Constants!$F$2:$F$10,Constants!$A$2:$A$10=A3090)))"),"")</f>
        <v/>
      </c>
    </row>
    <row r="3091">
      <c r="A3091" s="87"/>
      <c r="B3091" s="87"/>
      <c r="C3091" s="73"/>
      <c r="D3091" s="73"/>
      <c r="E3091" s="82"/>
      <c r="F3091" s="82"/>
      <c r="G3091" s="86"/>
      <c r="H3091" s="86"/>
      <c r="I3091" s="86"/>
      <c r="J3091" s="82"/>
      <c r="K3091" s="82"/>
      <c r="L3091" s="82"/>
      <c r="M3091" s="82"/>
      <c r="N3091" s="82"/>
      <c r="O3091" s="82"/>
      <c r="P3091" s="82"/>
      <c r="Q3091" s="82"/>
      <c r="R3091" s="82"/>
      <c r="S3091" s="82"/>
      <c r="T3091" s="82"/>
      <c r="U3091" s="82"/>
      <c r="V3091" s="82"/>
      <c r="W3091" s="82"/>
      <c r="X3091" s="82"/>
      <c r="Y3091" s="82"/>
      <c r="Z3091" s="82"/>
      <c r="AA3091" s="82"/>
      <c r="AB3091" s="82"/>
      <c r="AC3091" s="82"/>
      <c r="AD3091" s="82"/>
      <c r="AE3091" s="82"/>
      <c r="AF3091" s="82"/>
      <c r="AG3091" s="82"/>
      <c r="AH3091" s="82"/>
      <c r="AI3091" s="82"/>
      <c r="AJ3091" s="82"/>
      <c r="AK3091" s="82"/>
      <c r="AL3091" s="82"/>
      <c r="AM3091" s="82"/>
      <c r="AN3091" s="82"/>
      <c r="AO3091" s="82"/>
      <c r="AP3091" s="82"/>
      <c r="AQ3091" s="82"/>
      <c r="AR3091" s="82"/>
      <c r="AS3091" s="82"/>
      <c r="AT3091" s="82"/>
      <c r="AU3091" s="82"/>
      <c r="AV3091" s="82"/>
      <c r="AW3091" s="82" t="str">
        <f t="shared" si="1"/>
        <v/>
      </c>
      <c r="AX3091" s="83" t="str">
        <f t="array" ref="AX3091">IFERROR(DGET('SBV Import'!A:G,"SBV",{"RSC ID","Tier";B3091,A3091}))</f>
        <v/>
      </c>
      <c r="AY3091" s="82" t="str">
        <f t="shared" si="2"/>
        <v/>
      </c>
      <c r="AZ3091" s="82"/>
      <c r="BA3091" s="84" t="s">
        <v>152</v>
      </c>
      <c r="BB3091" s="84" t="str">
        <f>IFERROR(__xludf.DUMMYFUNCTION("iferror(if(A3091="""",,E3091&gt;=FILTER(Constants!$F$2:$F$10,Constants!$A$2:$A$10=A3091)))"),"")</f>
        <v/>
      </c>
    </row>
    <row r="3092">
      <c r="A3092" s="87"/>
      <c r="B3092" s="87"/>
      <c r="C3092" s="73"/>
      <c r="D3092" s="73"/>
      <c r="E3092" s="82"/>
      <c r="F3092" s="82"/>
      <c r="G3092" s="86"/>
      <c r="H3092" s="86"/>
      <c r="I3092" s="86"/>
      <c r="J3092" s="82"/>
      <c r="K3092" s="82"/>
      <c r="L3092" s="82"/>
      <c r="M3092" s="82"/>
      <c r="N3092" s="82"/>
      <c r="O3092" s="82"/>
      <c r="P3092" s="82"/>
      <c r="Q3092" s="82"/>
      <c r="R3092" s="82"/>
      <c r="S3092" s="82"/>
      <c r="T3092" s="82"/>
      <c r="U3092" s="82"/>
      <c r="V3092" s="82"/>
      <c r="W3092" s="82"/>
      <c r="X3092" s="82"/>
      <c r="Y3092" s="82"/>
      <c r="Z3092" s="82"/>
      <c r="AA3092" s="82"/>
      <c r="AB3092" s="82"/>
      <c r="AC3092" s="82"/>
      <c r="AD3092" s="82"/>
      <c r="AE3092" s="82"/>
      <c r="AF3092" s="82"/>
      <c r="AG3092" s="82"/>
      <c r="AH3092" s="82"/>
      <c r="AI3092" s="82"/>
      <c r="AJ3092" s="82"/>
      <c r="AK3092" s="82"/>
      <c r="AL3092" s="82"/>
      <c r="AM3092" s="82"/>
      <c r="AN3092" s="82"/>
      <c r="AO3092" s="82"/>
      <c r="AP3092" s="82"/>
      <c r="AQ3092" s="82"/>
      <c r="AR3092" s="82"/>
      <c r="AS3092" s="82"/>
      <c r="AT3092" s="82"/>
      <c r="AU3092" s="82"/>
      <c r="AV3092" s="82"/>
      <c r="AW3092" s="82" t="str">
        <f t="shared" si="1"/>
        <v/>
      </c>
      <c r="AX3092" s="83" t="str">
        <f t="array" ref="AX3092">IFERROR(DGET('SBV Import'!A:G,"SBV",{"RSC ID","Tier";B3092,A3092}))</f>
        <v/>
      </c>
      <c r="AY3092" s="82" t="str">
        <f t="shared" si="2"/>
        <v/>
      </c>
      <c r="AZ3092" s="82"/>
      <c r="BA3092" s="84" t="s">
        <v>152</v>
      </c>
      <c r="BB3092" s="84" t="str">
        <f>IFERROR(__xludf.DUMMYFUNCTION("iferror(if(A3092="""",,E3092&gt;=FILTER(Constants!$F$2:$F$10,Constants!$A$2:$A$10=A3092)))"),"")</f>
        <v/>
      </c>
    </row>
    <row r="3093">
      <c r="A3093" s="87"/>
      <c r="B3093" s="87"/>
      <c r="C3093" s="73"/>
      <c r="D3093" s="73"/>
      <c r="E3093" s="82"/>
      <c r="F3093" s="82"/>
      <c r="G3093" s="86"/>
      <c r="H3093" s="86"/>
      <c r="I3093" s="86"/>
      <c r="J3093" s="82"/>
      <c r="K3093" s="82"/>
      <c r="L3093" s="82"/>
      <c r="M3093" s="82"/>
      <c r="N3093" s="82"/>
      <c r="O3093" s="82"/>
      <c r="P3093" s="82"/>
      <c r="Q3093" s="82"/>
      <c r="R3093" s="82"/>
      <c r="S3093" s="82"/>
      <c r="T3093" s="82"/>
      <c r="U3093" s="82"/>
      <c r="V3093" s="82"/>
      <c r="W3093" s="82"/>
      <c r="X3093" s="82"/>
      <c r="Y3093" s="82"/>
      <c r="Z3093" s="82"/>
      <c r="AA3093" s="82"/>
      <c r="AB3093" s="82"/>
      <c r="AC3093" s="82"/>
      <c r="AD3093" s="82"/>
      <c r="AE3093" s="82"/>
      <c r="AF3093" s="82"/>
      <c r="AG3093" s="82"/>
      <c r="AH3093" s="82"/>
      <c r="AI3093" s="82"/>
      <c r="AJ3093" s="82"/>
      <c r="AK3093" s="82"/>
      <c r="AL3093" s="82"/>
      <c r="AM3093" s="82"/>
      <c r="AN3093" s="82"/>
      <c r="AO3093" s="82"/>
      <c r="AP3093" s="82"/>
      <c r="AQ3093" s="82"/>
      <c r="AR3093" s="82"/>
      <c r="AS3093" s="82"/>
      <c r="AT3093" s="82"/>
      <c r="AU3093" s="82"/>
      <c r="AV3093" s="82"/>
      <c r="AW3093" s="82" t="str">
        <f t="shared" si="1"/>
        <v/>
      </c>
      <c r="AX3093" s="83" t="str">
        <f t="array" ref="AX3093">IFERROR(DGET('SBV Import'!A:G,"SBV",{"RSC ID","Tier";B3093,A3093}))</f>
        <v/>
      </c>
      <c r="AY3093" s="82" t="str">
        <f t="shared" si="2"/>
        <v/>
      </c>
      <c r="AZ3093" s="82"/>
      <c r="BA3093" s="84" t="s">
        <v>152</v>
      </c>
      <c r="BB3093" s="84" t="str">
        <f>IFERROR(__xludf.DUMMYFUNCTION("iferror(if(A3093="""",,E3093&gt;=FILTER(Constants!$F$2:$F$10,Constants!$A$2:$A$10=A3093)))"),"")</f>
        <v/>
      </c>
    </row>
    <row r="3094">
      <c r="A3094" s="87"/>
      <c r="B3094" s="87"/>
      <c r="C3094" s="73"/>
      <c r="D3094" s="73"/>
      <c r="E3094" s="82"/>
      <c r="F3094" s="82"/>
      <c r="G3094" s="86"/>
      <c r="H3094" s="86"/>
      <c r="I3094" s="86"/>
      <c r="J3094" s="82"/>
      <c r="K3094" s="82"/>
      <c r="L3094" s="82"/>
      <c r="M3094" s="82"/>
      <c r="N3094" s="82"/>
      <c r="O3094" s="82"/>
      <c r="P3094" s="82"/>
      <c r="Q3094" s="82"/>
      <c r="R3094" s="82"/>
      <c r="S3094" s="82"/>
      <c r="T3094" s="82"/>
      <c r="U3094" s="82"/>
      <c r="V3094" s="82"/>
      <c r="W3094" s="82"/>
      <c r="X3094" s="82"/>
      <c r="Y3094" s="82"/>
      <c r="Z3094" s="82"/>
      <c r="AA3094" s="82"/>
      <c r="AB3094" s="82"/>
      <c r="AC3094" s="82"/>
      <c r="AD3094" s="82"/>
      <c r="AE3094" s="82"/>
      <c r="AF3094" s="82"/>
      <c r="AG3094" s="82"/>
      <c r="AH3094" s="82"/>
      <c r="AI3094" s="82"/>
      <c r="AJ3094" s="82"/>
      <c r="AK3094" s="82"/>
      <c r="AL3094" s="82"/>
      <c r="AM3094" s="82"/>
      <c r="AN3094" s="82"/>
      <c r="AO3094" s="82"/>
      <c r="AP3094" s="82"/>
      <c r="AQ3094" s="82"/>
      <c r="AR3094" s="82"/>
      <c r="AS3094" s="82"/>
      <c r="AT3094" s="82"/>
      <c r="AU3094" s="82"/>
      <c r="AV3094" s="82"/>
      <c r="AW3094" s="82" t="str">
        <f t="shared" si="1"/>
        <v/>
      </c>
      <c r="AX3094" s="83" t="str">
        <f t="array" ref="AX3094">IFERROR(DGET('SBV Import'!A:G,"SBV",{"RSC ID","Tier";B3094,A3094}))</f>
        <v/>
      </c>
      <c r="AY3094" s="82" t="str">
        <f t="shared" si="2"/>
        <v/>
      </c>
      <c r="AZ3094" s="82"/>
      <c r="BA3094" s="84" t="s">
        <v>152</v>
      </c>
      <c r="BB3094" s="84" t="str">
        <f>IFERROR(__xludf.DUMMYFUNCTION("iferror(if(A3094="""",,E3094&gt;=FILTER(Constants!$F$2:$F$10,Constants!$A$2:$A$10=A3094)))"),"")</f>
        <v/>
      </c>
    </row>
    <row r="3095">
      <c r="A3095" s="87"/>
      <c r="B3095" s="87"/>
      <c r="C3095" s="73"/>
      <c r="D3095" s="73"/>
      <c r="E3095" s="82"/>
      <c r="F3095" s="82"/>
      <c r="G3095" s="86"/>
      <c r="H3095" s="86"/>
      <c r="I3095" s="86"/>
      <c r="J3095" s="82"/>
      <c r="K3095" s="82"/>
      <c r="L3095" s="82"/>
      <c r="M3095" s="82"/>
      <c r="N3095" s="82"/>
      <c r="O3095" s="82"/>
      <c r="P3095" s="82"/>
      <c r="Q3095" s="82"/>
      <c r="R3095" s="82"/>
      <c r="S3095" s="82"/>
      <c r="T3095" s="82"/>
      <c r="U3095" s="82"/>
      <c r="V3095" s="82"/>
      <c r="W3095" s="82"/>
      <c r="X3095" s="82"/>
      <c r="Y3095" s="82"/>
      <c r="Z3095" s="82"/>
      <c r="AA3095" s="82"/>
      <c r="AB3095" s="82"/>
      <c r="AC3095" s="82"/>
      <c r="AD3095" s="82"/>
      <c r="AE3095" s="82"/>
      <c r="AF3095" s="82"/>
      <c r="AG3095" s="82"/>
      <c r="AH3095" s="82"/>
      <c r="AI3095" s="82"/>
      <c r="AJ3095" s="82"/>
      <c r="AK3095" s="82"/>
      <c r="AL3095" s="82"/>
      <c r="AM3095" s="82"/>
      <c r="AN3095" s="82"/>
      <c r="AO3095" s="82"/>
      <c r="AP3095" s="82"/>
      <c r="AQ3095" s="82"/>
      <c r="AR3095" s="82"/>
      <c r="AS3095" s="82"/>
      <c r="AT3095" s="82"/>
      <c r="AU3095" s="82"/>
      <c r="AV3095" s="82"/>
      <c r="AW3095" s="82" t="str">
        <f t="shared" si="1"/>
        <v/>
      </c>
      <c r="AX3095" s="83" t="str">
        <f t="array" ref="AX3095">IFERROR(DGET('SBV Import'!A:G,"SBV",{"RSC ID","Tier";B3095,A3095}))</f>
        <v/>
      </c>
      <c r="AY3095" s="82" t="str">
        <f t="shared" si="2"/>
        <v/>
      </c>
      <c r="AZ3095" s="82"/>
      <c r="BA3095" s="84" t="s">
        <v>152</v>
      </c>
      <c r="BB3095" s="84" t="str">
        <f>IFERROR(__xludf.DUMMYFUNCTION("iferror(if(A3095="""",,E3095&gt;=FILTER(Constants!$F$2:$F$10,Constants!$A$2:$A$10=A3095)))"),"")</f>
        <v/>
      </c>
    </row>
    <row r="3096">
      <c r="A3096" s="87"/>
      <c r="B3096" s="87"/>
      <c r="C3096" s="73"/>
      <c r="D3096" s="73"/>
      <c r="E3096" s="82"/>
      <c r="F3096" s="82"/>
      <c r="G3096" s="86"/>
      <c r="H3096" s="86"/>
      <c r="I3096" s="86"/>
      <c r="J3096" s="82"/>
      <c r="K3096" s="82"/>
      <c r="L3096" s="82"/>
      <c r="M3096" s="82"/>
      <c r="N3096" s="82"/>
      <c r="O3096" s="82"/>
      <c r="P3096" s="82"/>
      <c r="Q3096" s="82"/>
      <c r="R3096" s="82"/>
      <c r="S3096" s="82"/>
      <c r="T3096" s="82"/>
      <c r="U3096" s="82"/>
      <c r="V3096" s="82"/>
      <c r="W3096" s="82"/>
      <c r="X3096" s="82"/>
      <c r="Y3096" s="82"/>
      <c r="Z3096" s="82"/>
      <c r="AA3096" s="82"/>
      <c r="AB3096" s="82"/>
      <c r="AC3096" s="82"/>
      <c r="AD3096" s="82"/>
      <c r="AE3096" s="82"/>
      <c r="AF3096" s="82"/>
      <c r="AG3096" s="82"/>
      <c r="AH3096" s="82"/>
      <c r="AI3096" s="82"/>
      <c r="AJ3096" s="82"/>
      <c r="AK3096" s="82"/>
      <c r="AL3096" s="82"/>
      <c r="AM3096" s="82"/>
      <c r="AN3096" s="82"/>
      <c r="AO3096" s="82"/>
      <c r="AP3096" s="82"/>
      <c r="AQ3096" s="82"/>
      <c r="AR3096" s="82"/>
      <c r="AS3096" s="82"/>
      <c r="AT3096" s="82"/>
      <c r="AU3096" s="82"/>
      <c r="AV3096" s="82"/>
      <c r="AW3096" s="82" t="str">
        <f t="shared" si="1"/>
        <v/>
      </c>
      <c r="AX3096" s="83" t="str">
        <f t="array" ref="AX3096">IFERROR(DGET('SBV Import'!A:G,"SBV",{"RSC ID","Tier";B3096,A3096}))</f>
        <v/>
      </c>
      <c r="AY3096" s="82" t="str">
        <f t="shared" si="2"/>
        <v/>
      </c>
      <c r="AZ3096" s="82"/>
      <c r="BA3096" s="84" t="s">
        <v>152</v>
      </c>
      <c r="BB3096" s="84" t="str">
        <f>IFERROR(__xludf.DUMMYFUNCTION("iferror(if(A3096="""",,E3096&gt;=FILTER(Constants!$F$2:$F$10,Constants!$A$2:$A$10=A3096)))"),"")</f>
        <v/>
      </c>
    </row>
    <row r="3097">
      <c r="A3097" s="87"/>
      <c r="B3097" s="87"/>
      <c r="C3097" s="73"/>
      <c r="D3097" s="73"/>
      <c r="E3097" s="82"/>
      <c r="F3097" s="82"/>
      <c r="G3097" s="86"/>
      <c r="H3097" s="86"/>
      <c r="I3097" s="86"/>
      <c r="J3097" s="82"/>
      <c r="K3097" s="82"/>
      <c r="L3097" s="82"/>
      <c r="M3097" s="82"/>
      <c r="N3097" s="82"/>
      <c r="O3097" s="82"/>
      <c r="P3097" s="82"/>
      <c r="Q3097" s="82"/>
      <c r="R3097" s="82"/>
      <c r="S3097" s="82"/>
      <c r="T3097" s="82"/>
      <c r="U3097" s="82"/>
      <c r="V3097" s="82"/>
      <c r="W3097" s="82"/>
      <c r="X3097" s="82"/>
      <c r="Y3097" s="82"/>
      <c r="Z3097" s="82"/>
      <c r="AA3097" s="82"/>
      <c r="AB3097" s="82"/>
      <c r="AC3097" s="82"/>
      <c r="AD3097" s="82"/>
      <c r="AE3097" s="82"/>
      <c r="AF3097" s="82"/>
      <c r="AG3097" s="82"/>
      <c r="AH3097" s="82"/>
      <c r="AI3097" s="82"/>
      <c r="AJ3097" s="82"/>
      <c r="AK3097" s="82"/>
      <c r="AL3097" s="82"/>
      <c r="AM3097" s="82"/>
      <c r="AN3097" s="82"/>
      <c r="AO3097" s="82"/>
      <c r="AP3097" s="82"/>
      <c r="AQ3097" s="82"/>
      <c r="AR3097" s="82"/>
      <c r="AS3097" s="82"/>
      <c r="AT3097" s="82"/>
      <c r="AU3097" s="82"/>
      <c r="AV3097" s="82"/>
      <c r="AW3097" s="82" t="str">
        <f t="shared" si="1"/>
        <v/>
      </c>
      <c r="AX3097" s="83" t="str">
        <f t="array" ref="AX3097">IFERROR(DGET('SBV Import'!A:G,"SBV",{"RSC ID","Tier";B3097,A3097}))</f>
        <v/>
      </c>
      <c r="AY3097" s="82" t="str">
        <f t="shared" si="2"/>
        <v/>
      </c>
      <c r="AZ3097" s="82"/>
      <c r="BA3097" s="84" t="s">
        <v>152</v>
      </c>
      <c r="BB3097" s="84" t="str">
        <f>IFERROR(__xludf.DUMMYFUNCTION("iferror(if(A3097="""",,E3097&gt;=FILTER(Constants!$F$2:$F$10,Constants!$A$2:$A$10=A3097)))"),"")</f>
        <v/>
      </c>
    </row>
    <row r="3098">
      <c r="A3098" s="87"/>
      <c r="B3098" s="87"/>
      <c r="C3098" s="73"/>
      <c r="D3098" s="73"/>
      <c r="E3098" s="82"/>
      <c r="F3098" s="82"/>
      <c r="G3098" s="86"/>
      <c r="H3098" s="86"/>
      <c r="I3098" s="86"/>
      <c r="J3098" s="82"/>
      <c r="K3098" s="82"/>
      <c r="L3098" s="82"/>
      <c r="M3098" s="82"/>
      <c r="N3098" s="82"/>
      <c r="O3098" s="82"/>
      <c r="P3098" s="82"/>
      <c r="Q3098" s="82"/>
      <c r="R3098" s="82"/>
      <c r="S3098" s="82"/>
      <c r="T3098" s="82"/>
      <c r="U3098" s="82"/>
      <c r="V3098" s="82"/>
      <c r="W3098" s="82"/>
      <c r="X3098" s="82"/>
      <c r="Y3098" s="82"/>
      <c r="Z3098" s="82"/>
      <c r="AA3098" s="82"/>
      <c r="AB3098" s="82"/>
      <c r="AC3098" s="82"/>
      <c r="AD3098" s="82"/>
      <c r="AE3098" s="82"/>
      <c r="AF3098" s="82"/>
      <c r="AG3098" s="82"/>
      <c r="AH3098" s="82"/>
      <c r="AI3098" s="82"/>
      <c r="AJ3098" s="82"/>
      <c r="AK3098" s="82"/>
      <c r="AL3098" s="82"/>
      <c r="AM3098" s="82"/>
      <c r="AN3098" s="82"/>
      <c r="AO3098" s="82"/>
      <c r="AP3098" s="82"/>
      <c r="AQ3098" s="82"/>
      <c r="AR3098" s="82"/>
      <c r="AS3098" s="82"/>
      <c r="AT3098" s="82"/>
      <c r="AU3098" s="82"/>
      <c r="AV3098" s="82"/>
      <c r="AW3098" s="82" t="str">
        <f t="shared" si="1"/>
        <v/>
      </c>
      <c r="AX3098" s="83" t="str">
        <f t="array" ref="AX3098">IFERROR(DGET('SBV Import'!A:G,"SBV",{"RSC ID","Tier";B3098,A3098}))</f>
        <v/>
      </c>
      <c r="AY3098" s="82" t="str">
        <f t="shared" si="2"/>
        <v/>
      </c>
      <c r="AZ3098" s="82"/>
      <c r="BA3098" s="84" t="s">
        <v>152</v>
      </c>
      <c r="BB3098" s="84" t="str">
        <f>IFERROR(__xludf.DUMMYFUNCTION("iferror(if(A3098="""",,E3098&gt;=FILTER(Constants!$F$2:$F$10,Constants!$A$2:$A$10=A3098)))"),"")</f>
        <v/>
      </c>
    </row>
    <row r="3099">
      <c r="A3099" s="87"/>
      <c r="B3099" s="87"/>
      <c r="C3099" s="73"/>
      <c r="D3099" s="73"/>
      <c r="E3099" s="82"/>
      <c r="F3099" s="82"/>
      <c r="G3099" s="86"/>
      <c r="H3099" s="86"/>
      <c r="I3099" s="86"/>
      <c r="J3099" s="82"/>
      <c r="K3099" s="82"/>
      <c r="L3099" s="82"/>
      <c r="M3099" s="82"/>
      <c r="N3099" s="82"/>
      <c r="O3099" s="82"/>
      <c r="P3099" s="82"/>
      <c r="Q3099" s="82"/>
      <c r="R3099" s="82"/>
      <c r="S3099" s="82"/>
      <c r="T3099" s="82"/>
      <c r="U3099" s="82"/>
      <c r="V3099" s="82"/>
      <c r="W3099" s="82"/>
      <c r="X3099" s="82"/>
      <c r="Y3099" s="82"/>
      <c r="Z3099" s="82"/>
      <c r="AA3099" s="82"/>
      <c r="AB3099" s="82"/>
      <c r="AC3099" s="82"/>
      <c r="AD3099" s="82"/>
      <c r="AE3099" s="82"/>
      <c r="AF3099" s="82"/>
      <c r="AG3099" s="82"/>
      <c r="AH3099" s="82"/>
      <c r="AI3099" s="82"/>
      <c r="AJ3099" s="82"/>
      <c r="AK3099" s="82"/>
      <c r="AL3099" s="82"/>
      <c r="AM3099" s="82"/>
      <c r="AN3099" s="82"/>
      <c r="AO3099" s="82"/>
      <c r="AP3099" s="82"/>
      <c r="AQ3099" s="82"/>
      <c r="AR3099" s="82"/>
      <c r="AS3099" s="82"/>
      <c r="AT3099" s="82"/>
      <c r="AU3099" s="82"/>
      <c r="AV3099" s="82"/>
      <c r="AW3099" s="82" t="str">
        <f t="shared" si="1"/>
        <v/>
      </c>
      <c r="AX3099" s="83" t="str">
        <f t="array" ref="AX3099">IFERROR(DGET('SBV Import'!A:G,"SBV",{"RSC ID","Tier";B3099,A3099}))</f>
        <v/>
      </c>
      <c r="AY3099" s="82" t="str">
        <f t="shared" si="2"/>
        <v/>
      </c>
      <c r="AZ3099" s="82"/>
      <c r="BA3099" s="84" t="s">
        <v>152</v>
      </c>
      <c r="BB3099" s="84" t="str">
        <f>IFERROR(__xludf.DUMMYFUNCTION("iferror(if(A3099="""",,E3099&gt;=FILTER(Constants!$F$2:$F$10,Constants!$A$2:$A$10=A3099)))"),"")</f>
        <v/>
      </c>
    </row>
    <row r="3100">
      <c r="A3100" s="87"/>
      <c r="B3100" s="87"/>
      <c r="C3100" s="73"/>
      <c r="D3100" s="73"/>
      <c r="E3100" s="82"/>
      <c r="F3100" s="82"/>
      <c r="G3100" s="86"/>
      <c r="H3100" s="86"/>
      <c r="I3100" s="86"/>
      <c r="J3100" s="82"/>
      <c r="K3100" s="82"/>
      <c r="L3100" s="82"/>
      <c r="M3100" s="82"/>
      <c r="N3100" s="82"/>
      <c r="O3100" s="82"/>
      <c r="P3100" s="82"/>
      <c r="Q3100" s="82"/>
      <c r="R3100" s="82"/>
      <c r="S3100" s="82"/>
      <c r="T3100" s="82"/>
      <c r="U3100" s="82"/>
      <c r="V3100" s="82"/>
      <c r="W3100" s="82"/>
      <c r="X3100" s="82"/>
      <c r="Y3100" s="82"/>
      <c r="Z3100" s="82"/>
      <c r="AA3100" s="82"/>
      <c r="AB3100" s="82"/>
      <c r="AC3100" s="82"/>
      <c r="AD3100" s="82"/>
      <c r="AE3100" s="82"/>
      <c r="AF3100" s="82"/>
      <c r="AG3100" s="82"/>
      <c r="AH3100" s="82"/>
      <c r="AI3100" s="82"/>
      <c r="AJ3100" s="82"/>
      <c r="AK3100" s="82"/>
      <c r="AL3100" s="82"/>
      <c r="AM3100" s="82"/>
      <c r="AN3100" s="82"/>
      <c r="AO3100" s="82"/>
      <c r="AP3100" s="82"/>
      <c r="AQ3100" s="82"/>
      <c r="AR3100" s="82"/>
      <c r="AS3100" s="82"/>
      <c r="AT3100" s="82"/>
      <c r="AU3100" s="82"/>
      <c r="AV3100" s="82"/>
      <c r="AW3100" s="82" t="str">
        <f t="shared" si="1"/>
        <v/>
      </c>
      <c r="AX3100" s="83" t="str">
        <f t="array" ref="AX3100">IFERROR(DGET('SBV Import'!A:G,"SBV",{"RSC ID","Tier";B3100,A3100}))</f>
        <v/>
      </c>
      <c r="AY3100" s="82" t="str">
        <f t="shared" si="2"/>
        <v/>
      </c>
      <c r="AZ3100" s="82"/>
      <c r="BA3100" s="84" t="s">
        <v>152</v>
      </c>
      <c r="BB3100" s="84" t="str">
        <f>IFERROR(__xludf.DUMMYFUNCTION("iferror(if(A3100="""",,E3100&gt;=FILTER(Constants!$F$2:$F$10,Constants!$A$2:$A$10=A3100)))"),"")</f>
        <v/>
      </c>
    </row>
    <row r="3101">
      <c r="A3101" s="87"/>
      <c r="B3101" s="87"/>
      <c r="C3101" s="73"/>
      <c r="D3101" s="73"/>
      <c r="E3101" s="82"/>
      <c r="F3101" s="82"/>
      <c r="G3101" s="86"/>
      <c r="H3101" s="86"/>
      <c r="I3101" s="86"/>
      <c r="J3101" s="82"/>
      <c r="K3101" s="82"/>
      <c r="L3101" s="82"/>
      <c r="M3101" s="82"/>
      <c r="N3101" s="82"/>
      <c r="O3101" s="82"/>
      <c r="P3101" s="82"/>
      <c r="Q3101" s="82"/>
      <c r="R3101" s="82"/>
      <c r="S3101" s="82"/>
      <c r="T3101" s="82"/>
      <c r="U3101" s="82"/>
      <c r="V3101" s="82"/>
      <c r="W3101" s="82"/>
      <c r="X3101" s="82"/>
      <c r="Y3101" s="82"/>
      <c r="Z3101" s="82"/>
      <c r="AA3101" s="82"/>
      <c r="AB3101" s="82"/>
      <c r="AC3101" s="82"/>
      <c r="AD3101" s="82"/>
      <c r="AE3101" s="82"/>
      <c r="AF3101" s="82"/>
      <c r="AG3101" s="82"/>
      <c r="AH3101" s="82"/>
      <c r="AI3101" s="82"/>
      <c r="AJ3101" s="82"/>
      <c r="AK3101" s="82"/>
      <c r="AL3101" s="82"/>
      <c r="AM3101" s="82"/>
      <c r="AN3101" s="82"/>
      <c r="AO3101" s="82"/>
      <c r="AP3101" s="82"/>
      <c r="AQ3101" s="82"/>
      <c r="AR3101" s="82"/>
      <c r="AS3101" s="82"/>
      <c r="AT3101" s="82"/>
      <c r="AU3101" s="82"/>
      <c r="AV3101" s="82"/>
      <c r="AW3101" s="82" t="str">
        <f t="shared" si="1"/>
        <v/>
      </c>
      <c r="AX3101" s="83" t="str">
        <f t="array" ref="AX3101">IFERROR(DGET('SBV Import'!A:G,"SBV",{"RSC ID","Tier";B3101,A3101}))</f>
        <v/>
      </c>
      <c r="AY3101" s="82" t="str">
        <f t="shared" si="2"/>
        <v/>
      </c>
      <c r="AZ3101" s="82"/>
      <c r="BA3101" s="84" t="s">
        <v>152</v>
      </c>
      <c r="BB3101" s="84" t="str">
        <f>IFERROR(__xludf.DUMMYFUNCTION("iferror(if(A3101="""",,E3101&gt;=FILTER(Constants!$F$2:$F$10,Constants!$A$2:$A$10=A3101)))"),"")</f>
        <v/>
      </c>
    </row>
    <row r="3102">
      <c r="A3102" s="87"/>
      <c r="B3102" s="87"/>
      <c r="C3102" s="73"/>
      <c r="D3102" s="73"/>
      <c r="E3102" s="82"/>
      <c r="F3102" s="82"/>
      <c r="G3102" s="86"/>
      <c r="H3102" s="86"/>
      <c r="I3102" s="86"/>
      <c r="J3102" s="82"/>
      <c r="K3102" s="82"/>
      <c r="L3102" s="82"/>
      <c r="M3102" s="82"/>
      <c r="N3102" s="82"/>
      <c r="O3102" s="82"/>
      <c r="P3102" s="82"/>
      <c r="Q3102" s="82"/>
      <c r="R3102" s="82"/>
      <c r="S3102" s="82"/>
      <c r="T3102" s="82"/>
      <c r="U3102" s="82"/>
      <c r="V3102" s="82"/>
      <c r="W3102" s="82"/>
      <c r="X3102" s="82"/>
      <c r="Y3102" s="82"/>
      <c r="Z3102" s="82"/>
      <c r="AA3102" s="82"/>
      <c r="AB3102" s="82"/>
      <c r="AC3102" s="82"/>
      <c r="AD3102" s="82"/>
      <c r="AE3102" s="82"/>
      <c r="AF3102" s="82"/>
      <c r="AG3102" s="82"/>
      <c r="AH3102" s="82"/>
      <c r="AI3102" s="82"/>
      <c r="AJ3102" s="82"/>
      <c r="AK3102" s="82"/>
      <c r="AL3102" s="82"/>
      <c r="AM3102" s="82"/>
      <c r="AN3102" s="82"/>
      <c r="AO3102" s="82"/>
      <c r="AP3102" s="82"/>
      <c r="AQ3102" s="82"/>
      <c r="AR3102" s="82"/>
      <c r="AS3102" s="82"/>
      <c r="AT3102" s="82"/>
      <c r="AU3102" s="82"/>
      <c r="AV3102" s="82"/>
      <c r="AW3102" s="82" t="str">
        <f t="shared" si="1"/>
        <v/>
      </c>
      <c r="AX3102" s="83" t="str">
        <f t="array" ref="AX3102">IFERROR(DGET('SBV Import'!A:G,"SBV",{"RSC ID","Tier";B3102,A3102}))</f>
        <v/>
      </c>
      <c r="AY3102" s="82" t="str">
        <f t="shared" si="2"/>
        <v/>
      </c>
      <c r="AZ3102" s="82"/>
      <c r="BA3102" s="84" t="s">
        <v>152</v>
      </c>
      <c r="BB3102" s="84" t="str">
        <f>IFERROR(__xludf.DUMMYFUNCTION("iferror(if(A3102="""",,E3102&gt;=FILTER(Constants!$F$2:$F$10,Constants!$A$2:$A$10=A3102)))"),"")</f>
        <v/>
      </c>
    </row>
    <row r="3103">
      <c r="A3103" s="87"/>
      <c r="B3103" s="87"/>
      <c r="C3103" s="73"/>
      <c r="D3103" s="73"/>
      <c r="E3103" s="82"/>
      <c r="F3103" s="82"/>
      <c r="G3103" s="86"/>
      <c r="H3103" s="86"/>
      <c r="I3103" s="86"/>
      <c r="J3103" s="82"/>
      <c r="K3103" s="82"/>
      <c r="L3103" s="82"/>
      <c r="M3103" s="82"/>
      <c r="N3103" s="82"/>
      <c r="O3103" s="82"/>
      <c r="P3103" s="82"/>
      <c r="Q3103" s="82"/>
      <c r="R3103" s="82"/>
      <c r="S3103" s="82"/>
      <c r="T3103" s="82"/>
      <c r="U3103" s="82"/>
      <c r="V3103" s="82"/>
      <c r="W3103" s="82"/>
      <c r="X3103" s="82"/>
      <c r="Y3103" s="82"/>
      <c r="Z3103" s="82"/>
      <c r="AA3103" s="82"/>
      <c r="AB3103" s="82"/>
      <c r="AC3103" s="82"/>
      <c r="AD3103" s="82"/>
      <c r="AE3103" s="82"/>
      <c r="AF3103" s="82"/>
      <c r="AG3103" s="82"/>
      <c r="AH3103" s="82"/>
      <c r="AI3103" s="82"/>
      <c r="AJ3103" s="82"/>
      <c r="AK3103" s="82"/>
      <c r="AL3103" s="82"/>
      <c r="AM3103" s="82"/>
      <c r="AN3103" s="82"/>
      <c r="AO3103" s="82"/>
      <c r="AP3103" s="82"/>
      <c r="AQ3103" s="82"/>
      <c r="AR3103" s="82"/>
      <c r="AS3103" s="82"/>
      <c r="AT3103" s="82"/>
      <c r="AU3103" s="82"/>
      <c r="AV3103" s="82"/>
      <c r="AW3103" s="82" t="str">
        <f t="shared" si="1"/>
        <v/>
      </c>
      <c r="AX3103" s="83" t="str">
        <f t="array" ref="AX3103">IFERROR(DGET('SBV Import'!A:G,"SBV",{"RSC ID","Tier";B3103,A3103}))</f>
        <v/>
      </c>
      <c r="AY3103" s="82" t="str">
        <f t="shared" si="2"/>
        <v/>
      </c>
      <c r="AZ3103" s="82"/>
      <c r="BA3103" s="84" t="s">
        <v>152</v>
      </c>
      <c r="BB3103" s="84" t="str">
        <f>IFERROR(__xludf.DUMMYFUNCTION("iferror(if(A3103="""",,E3103&gt;=FILTER(Constants!$F$2:$F$10,Constants!$A$2:$A$10=A3103)))"),"")</f>
        <v/>
      </c>
    </row>
    <row r="3104">
      <c r="A3104" s="87"/>
      <c r="B3104" s="87"/>
      <c r="C3104" s="73"/>
      <c r="D3104" s="73"/>
      <c r="E3104" s="82"/>
      <c r="F3104" s="82"/>
      <c r="G3104" s="86"/>
      <c r="H3104" s="86"/>
      <c r="I3104" s="86"/>
      <c r="J3104" s="82"/>
      <c r="K3104" s="82"/>
      <c r="L3104" s="82"/>
      <c r="M3104" s="82"/>
      <c r="N3104" s="82"/>
      <c r="O3104" s="82"/>
      <c r="P3104" s="82"/>
      <c r="Q3104" s="82"/>
      <c r="R3104" s="82"/>
      <c r="S3104" s="82"/>
      <c r="T3104" s="82"/>
      <c r="U3104" s="82"/>
      <c r="V3104" s="82"/>
      <c r="W3104" s="82"/>
      <c r="X3104" s="82"/>
      <c r="Y3104" s="82"/>
      <c r="Z3104" s="82"/>
      <c r="AA3104" s="82"/>
      <c r="AB3104" s="82"/>
      <c r="AC3104" s="82"/>
      <c r="AD3104" s="82"/>
      <c r="AE3104" s="82"/>
      <c r="AF3104" s="82"/>
      <c r="AG3104" s="82"/>
      <c r="AH3104" s="82"/>
      <c r="AI3104" s="82"/>
      <c r="AJ3104" s="82"/>
      <c r="AK3104" s="82"/>
      <c r="AL3104" s="82"/>
      <c r="AM3104" s="82"/>
      <c r="AN3104" s="82"/>
      <c r="AO3104" s="82"/>
      <c r="AP3104" s="82"/>
      <c r="AQ3104" s="82"/>
      <c r="AR3104" s="82"/>
      <c r="AS3104" s="82"/>
      <c r="AT3104" s="82"/>
      <c r="AU3104" s="82"/>
      <c r="AV3104" s="82"/>
      <c r="AW3104" s="82" t="str">
        <f t="shared" si="1"/>
        <v/>
      </c>
      <c r="AX3104" s="83" t="str">
        <f t="array" ref="AX3104">IFERROR(DGET('SBV Import'!A:G,"SBV",{"RSC ID","Tier";B3104,A3104}))</f>
        <v/>
      </c>
      <c r="AY3104" s="82" t="str">
        <f t="shared" si="2"/>
        <v/>
      </c>
      <c r="AZ3104" s="82"/>
      <c r="BA3104" s="84" t="s">
        <v>152</v>
      </c>
      <c r="BB3104" s="84" t="str">
        <f>IFERROR(__xludf.DUMMYFUNCTION("iferror(if(A3104="""",,E3104&gt;=FILTER(Constants!$F$2:$F$10,Constants!$A$2:$A$10=A3104)))"),"")</f>
        <v/>
      </c>
    </row>
    <row r="3105">
      <c r="A3105" s="87"/>
      <c r="B3105" s="87"/>
      <c r="C3105" s="73"/>
      <c r="D3105" s="73"/>
      <c r="E3105" s="82"/>
      <c r="F3105" s="82"/>
      <c r="G3105" s="86"/>
      <c r="H3105" s="86"/>
      <c r="I3105" s="86"/>
      <c r="J3105" s="82"/>
      <c r="K3105" s="82"/>
      <c r="L3105" s="82"/>
      <c r="M3105" s="82"/>
      <c r="N3105" s="82"/>
      <c r="O3105" s="82"/>
      <c r="P3105" s="82"/>
      <c r="Q3105" s="82"/>
      <c r="R3105" s="82"/>
      <c r="S3105" s="82"/>
      <c r="T3105" s="82"/>
      <c r="U3105" s="82"/>
      <c r="V3105" s="82"/>
      <c r="W3105" s="82"/>
      <c r="X3105" s="82"/>
      <c r="Y3105" s="82"/>
      <c r="Z3105" s="82"/>
      <c r="AA3105" s="82"/>
      <c r="AB3105" s="82"/>
      <c r="AC3105" s="82"/>
      <c r="AD3105" s="82"/>
      <c r="AE3105" s="82"/>
      <c r="AF3105" s="82"/>
      <c r="AG3105" s="82"/>
      <c r="AH3105" s="82"/>
      <c r="AI3105" s="82"/>
      <c r="AJ3105" s="82"/>
      <c r="AK3105" s="82"/>
      <c r="AL3105" s="82"/>
      <c r="AM3105" s="82"/>
      <c r="AN3105" s="82"/>
      <c r="AO3105" s="82"/>
      <c r="AP3105" s="82"/>
      <c r="AQ3105" s="82"/>
      <c r="AR3105" s="82"/>
      <c r="AS3105" s="82"/>
      <c r="AT3105" s="82"/>
      <c r="AU3105" s="82"/>
      <c r="AV3105" s="82"/>
      <c r="AW3105" s="82" t="str">
        <f t="shared" si="1"/>
        <v/>
      </c>
      <c r="AX3105" s="83" t="str">
        <f t="array" ref="AX3105">IFERROR(DGET('SBV Import'!A:G,"SBV",{"RSC ID","Tier";B3105,A3105}))</f>
        <v/>
      </c>
      <c r="AY3105" s="82" t="str">
        <f t="shared" si="2"/>
        <v/>
      </c>
      <c r="AZ3105" s="82"/>
      <c r="BA3105" s="84" t="s">
        <v>152</v>
      </c>
      <c r="BB3105" s="84" t="str">
        <f>IFERROR(__xludf.DUMMYFUNCTION("iferror(if(A3105="""",,E3105&gt;=FILTER(Constants!$F$2:$F$10,Constants!$A$2:$A$10=A3105)))"),"")</f>
        <v/>
      </c>
    </row>
    <row r="3106">
      <c r="A3106" s="87"/>
      <c r="B3106" s="87"/>
      <c r="C3106" s="73"/>
      <c r="D3106" s="73"/>
      <c r="E3106" s="82"/>
      <c r="F3106" s="82"/>
      <c r="G3106" s="86"/>
      <c r="H3106" s="86"/>
      <c r="I3106" s="86"/>
      <c r="J3106" s="82"/>
      <c r="K3106" s="82"/>
      <c r="L3106" s="82"/>
      <c r="M3106" s="82"/>
      <c r="N3106" s="82"/>
      <c r="O3106" s="82"/>
      <c r="P3106" s="82"/>
      <c r="Q3106" s="82"/>
      <c r="R3106" s="82"/>
      <c r="S3106" s="82"/>
      <c r="T3106" s="82"/>
      <c r="U3106" s="82"/>
      <c r="V3106" s="82"/>
      <c r="W3106" s="82"/>
      <c r="X3106" s="82"/>
      <c r="Y3106" s="82"/>
      <c r="Z3106" s="82"/>
      <c r="AA3106" s="82"/>
      <c r="AB3106" s="82"/>
      <c r="AC3106" s="82"/>
      <c r="AD3106" s="82"/>
      <c r="AE3106" s="82"/>
      <c r="AF3106" s="82"/>
      <c r="AG3106" s="82"/>
      <c r="AH3106" s="82"/>
      <c r="AI3106" s="82"/>
      <c r="AJ3106" s="82"/>
      <c r="AK3106" s="82"/>
      <c r="AL3106" s="82"/>
      <c r="AM3106" s="82"/>
      <c r="AN3106" s="82"/>
      <c r="AO3106" s="82"/>
      <c r="AP3106" s="82"/>
      <c r="AQ3106" s="82"/>
      <c r="AR3106" s="82"/>
      <c r="AS3106" s="82"/>
      <c r="AT3106" s="82"/>
      <c r="AU3106" s="82"/>
      <c r="AV3106" s="82"/>
      <c r="AW3106" s="82" t="str">
        <f t="shared" si="1"/>
        <v/>
      </c>
      <c r="AX3106" s="83" t="str">
        <f t="array" ref="AX3106">IFERROR(DGET('SBV Import'!A:G,"SBV",{"RSC ID","Tier";B3106,A3106}))</f>
        <v/>
      </c>
      <c r="AY3106" s="82" t="str">
        <f t="shared" si="2"/>
        <v/>
      </c>
      <c r="AZ3106" s="82"/>
      <c r="BA3106" s="84" t="s">
        <v>152</v>
      </c>
      <c r="BB3106" s="84" t="str">
        <f>IFERROR(__xludf.DUMMYFUNCTION("iferror(if(A3106="""",,E3106&gt;=FILTER(Constants!$F$2:$F$10,Constants!$A$2:$A$10=A3106)))"),"")</f>
        <v/>
      </c>
    </row>
    <row r="3107">
      <c r="A3107" s="87"/>
      <c r="B3107" s="87"/>
      <c r="C3107" s="73"/>
      <c r="D3107" s="73"/>
      <c r="E3107" s="82"/>
      <c r="F3107" s="82"/>
      <c r="G3107" s="86"/>
      <c r="H3107" s="86"/>
      <c r="I3107" s="86"/>
      <c r="J3107" s="82"/>
      <c r="K3107" s="82"/>
      <c r="L3107" s="82"/>
      <c r="M3107" s="82"/>
      <c r="N3107" s="82"/>
      <c r="O3107" s="82"/>
      <c r="P3107" s="82"/>
      <c r="Q3107" s="82"/>
      <c r="R3107" s="82"/>
      <c r="S3107" s="82"/>
      <c r="T3107" s="82"/>
      <c r="U3107" s="82"/>
      <c r="V3107" s="82"/>
      <c r="W3107" s="82"/>
      <c r="X3107" s="82"/>
      <c r="Y3107" s="82"/>
      <c r="Z3107" s="82"/>
      <c r="AA3107" s="82"/>
      <c r="AB3107" s="82"/>
      <c r="AC3107" s="82"/>
      <c r="AD3107" s="82"/>
      <c r="AE3107" s="82"/>
      <c r="AF3107" s="82"/>
      <c r="AG3107" s="82"/>
      <c r="AH3107" s="82"/>
      <c r="AI3107" s="82"/>
      <c r="AJ3107" s="82"/>
      <c r="AK3107" s="82"/>
      <c r="AL3107" s="82"/>
      <c r="AM3107" s="82"/>
      <c r="AN3107" s="82"/>
      <c r="AO3107" s="82"/>
      <c r="AP3107" s="82"/>
      <c r="AQ3107" s="82"/>
      <c r="AR3107" s="82"/>
      <c r="AS3107" s="82"/>
      <c r="AT3107" s="82"/>
      <c r="AU3107" s="82"/>
      <c r="AV3107" s="82"/>
      <c r="AW3107" s="82" t="str">
        <f t="shared" si="1"/>
        <v/>
      </c>
      <c r="AX3107" s="83" t="str">
        <f t="array" ref="AX3107">IFERROR(DGET('SBV Import'!A:G,"SBV",{"RSC ID","Tier";B3107,A3107}))</f>
        <v/>
      </c>
      <c r="AY3107" s="82" t="str">
        <f t="shared" si="2"/>
        <v/>
      </c>
      <c r="AZ3107" s="82"/>
      <c r="BA3107" s="84" t="s">
        <v>152</v>
      </c>
      <c r="BB3107" s="84" t="str">
        <f>IFERROR(__xludf.DUMMYFUNCTION("iferror(if(A3107="""",,E3107&gt;=FILTER(Constants!$F$2:$F$10,Constants!$A$2:$A$10=A3107)))"),"")</f>
        <v/>
      </c>
    </row>
    <row r="3108">
      <c r="A3108" s="87"/>
      <c r="B3108" s="87"/>
      <c r="C3108" s="73"/>
      <c r="D3108" s="73"/>
      <c r="E3108" s="82"/>
      <c r="F3108" s="82"/>
      <c r="G3108" s="86"/>
      <c r="H3108" s="86"/>
      <c r="I3108" s="86"/>
      <c r="J3108" s="82"/>
      <c r="K3108" s="82"/>
      <c r="L3108" s="82"/>
      <c r="M3108" s="82"/>
      <c r="N3108" s="82"/>
      <c r="O3108" s="82"/>
      <c r="P3108" s="82"/>
      <c r="Q3108" s="82"/>
      <c r="R3108" s="82"/>
      <c r="S3108" s="82"/>
      <c r="T3108" s="82"/>
      <c r="U3108" s="82"/>
      <c r="V3108" s="82"/>
      <c r="W3108" s="82"/>
      <c r="X3108" s="82"/>
      <c r="Y3108" s="82"/>
      <c r="Z3108" s="82"/>
      <c r="AA3108" s="82"/>
      <c r="AB3108" s="82"/>
      <c r="AC3108" s="82"/>
      <c r="AD3108" s="82"/>
      <c r="AE3108" s="82"/>
      <c r="AF3108" s="82"/>
      <c r="AG3108" s="82"/>
      <c r="AH3108" s="82"/>
      <c r="AI3108" s="82"/>
      <c r="AJ3108" s="82"/>
      <c r="AK3108" s="82"/>
      <c r="AL3108" s="82"/>
      <c r="AM3108" s="82"/>
      <c r="AN3108" s="82"/>
      <c r="AO3108" s="82"/>
      <c r="AP3108" s="82"/>
      <c r="AQ3108" s="82"/>
      <c r="AR3108" s="82"/>
      <c r="AS3108" s="82"/>
      <c r="AT3108" s="82"/>
      <c r="AU3108" s="82"/>
      <c r="AV3108" s="82"/>
      <c r="AW3108" s="82" t="str">
        <f t="shared" si="1"/>
        <v/>
      </c>
      <c r="AX3108" s="83" t="str">
        <f t="array" ref="AX3108">IFERROR(DGET('SBV Import'!A:G,"SBV",{"RSC ID","Tier";B3108,A3108}))</f>
        <v/>
      </c>
      <c r="AY3108" s="82" t="str">
        <f t="shared" si="2"/>
        <v/>
      </c>
      <c r="AZ3108" s="82"/>
      <c r="BA3108" s="84" t="s">
        <v>152</v>
      </c>
      <c r="BB3108" s="84" t="str">
        <f>IFERROR(__xludf.DUMMYFUNCTION("iferror(if(A3108="""",,E3108&gt;=FILTER(Constants!$F$2:$F$10,Constants!$A$2:$A$10=A3108)))"),"")</f>
        <v/>
      </c>
    </row>
    <row r="3109">
      <c r="A3109" s="89"/>
      <c r="B3109" s="87"/>
      <c r="C3109" s="73"/>
      <c r="D3109" s="73"/>
      <c r="E3109" s="82"/>
      <c r="F3109" s="82"/>
      <c r="G3109" s="86"/>
      <c r="H3109" s="86"/>
      <c r="I3109" s="86"/>
      <c r="J3109" s="82"/>
      <c r="K3109" s="82"/>
      <c r="L3109" s="82"/>
      <c r="M3109" s="82"/>
      <c r="N3109" s="82"/>
      <c r="O3109" s="82"/>
      <c r="P3109" s="82"/>
      <c r="Q3109" s="82"/>
      <c r="R3109" s="82"/>
      <c r="S3109" s="82"/>
      <c r="T3109" s="82"/>
      <c r="U3109" s="82"/>
      <c r="V3109" s="82"/>
      <c r="W3109" s="82"/>
      <c r="X3109" s="82"/>
      <c r="Y3109" s="82"/>
      <c r="Z3109" s="82"/>
      <c r="AA3109" s="82"/>
      <c r="AB3109" s="82"/>
      <c r="AC3109" s="82"/>
      <c r="AD3109" s="82"/>
      <c r="AE3109" s="82"/>
      <c r="AF3109" s="82"/>
      <c r="AG3109" s="82"/>
      <c r="AH3109" s="82"/>
      <c r="AI3109" s="82"/>
      <c r="AJ3109" s="82"/>
      <c r="AK3109" s="82"/>
      <c r="AL3109" s="82"/>
      <c r="AM3109" s="82"/>
      <c r="AN3109" s="82"/>
      <c r="AO3109" s="82"/>
      <c r="AP3109" s="82"/>
      <c r="AQ3109" s="82"/>
      <c r="AR3109" s="82"/>
      <c r="AS3109" s="82"/>
      <c r="AT3109" s="82"/>
      <c r="AU3109" s="82"/>
      <c r="AV3109" s="82"/>
      <c r="AW3109" s="82" t="str">
        <f t="shared" si="1"/>
        <v/>
      </c>
      <c r="AX3109" s="83" t="str">
        <f t="array" ref="AX3109">IFERROR(DGET('SBV Import'!A:G,"SBV",{"RSC ID","Tier";B3109,A3109}))</f>
        <v/>
      </c>
      <c r="AY3109" s="82" t="str">
        <f t="shared" si="2"/>
        <v/>
      </c>
      <c r="AZ3109" s="82"/>
      <c r="BA3109" s="84" t="s">
        <v>152</v>
      </c>
      <c r="BB3109" s="84" t="str">
        <f>IFERROR(__xludf.DUMMYFUNCTION("iferror(if(A3109="""",,E3109&gt;=FILTER(Constants!$F$2:$F$10,Constants!$A$2:$A$10=A3109)))"),"")</f>
        <v/>
      </c>
    </row>
    <row r="3110">
      <c r="A3110" s="89"/>
      <c r="B3110" s="87"/>
      <c r="C3110" s="73"/>
      <c r="D3110" s="73"/>
      <c r="E3110" s="82"/>
      <c r="F3110" s="82"/>
      <c r="G3110" s="86"/>
      <c r="H3110" s="86"/>
      <c r="I3110" s="86"/>
      <c r="J3110" s="82"/>
      <c r="K3110" s="82"/>
      <c r="L3110" s="82"/>
      <c r="M3110" s="82"/>
      <c r="N3110" s="82"/>
      <c r="O3110" s="82"/>
      <c r="P3110" s="82"/>
      <c r="Q3110" s="82"/>
      <c r="R3110" s="82"/>
      <c r="S3110" s="82"/>
      <c r="T3110" s="82"/>
      <c r="U3110" s="82"/>
      <c r="V3110" s="82"/>
      <c r="W3110" s="82"/>
      <c r="X3110" s="82"/>
      <c r="Y3110" s="82"/>
      <c r="Z3110" s="82"/>
      <c r="AA3110" s="82"/>
      <c r="AB3110" s="82"/>
      <c r="AC3110" s="82"/>
      <c r="AD3110" s="82"/>
      <c r="AE3110" s="82"/>
      <c r="AF3110" s="82"/>
      <c r="AG3110" s="82"/>
      <c r="AH3110" s="82"/>
      <c r="AI3110" s="82"/>
      <c r="AJ3110" s="82"/>
      <c r="AK3110" s="82"/>
      <c r="AL3110" s="82"/>
      <c r="AM3110" s="82"/>
      <c r="AN3110" s="82"/>
      <c r="AO3110" s="82"/>
      <c r="AP3110" s="82"/>
      <c r="AQ3110" s="82"/>
      <c r="AR3110" s="82"/>
      <c r="AS3110" s="82"/>
      <c r="AT3110" s="82"/>
      <c r="AU3110" s="82"/>
      <c r="AV3110" s="82"/>
      <c r="AW3110" s="82" t="str">
        <f t="shared" si="1"/>
        <v/>
      </c>
      <c r="AX3110" s="83" t="str">
        <f t="array" ref="AX3110">IFERROR(DGET('SBV Import'!A:G,"SBV",{"RSC ID","Tier";B3110,A3110}))</f>
        <v/>
      </c>
      <c r="AY3110" s="82" t="str">
        <f t="shared" si="2"/>
        <v/>
      </c>
      <c r="AZ3110" s="82"/>
      <c r="BA3110" s="84" t="s">
        <v>152</v>
      </c>
      <c r="BB3110" s="84" t="str">
        <f>IFERROR(__xludf.DUMMYFUNCTION("iferror(if(A3110="""",,E3110&gt;=FILTER(Constants!$F$2:$F$10,Constants!$A$2:$A$10=A3110)))"),"")</f>
        <v/>
      </c>
    </row>
    <row r="3111">
      <c r="A3111" s="89"/>
      <c r="B3111" s="87"/>
      <c r="C3111" s="73"/>
      <c r="D3111" s="73"/>
      <c r="E3111" s="82"/>
      <c r="F3111" s="82"/>
      <c r="G3111" s="86"/>
      <c r="H3111" s="86"/>
      <c r="I3111" s="86"/>
      <c r="J3111" s="82"/>
      <c r="K3111" s="82"/>
      <c r="L3111" s="82"/>
      <c r="M3111" s="82"/>
      <c r="N3111" s="82"/>
      <c r="O3111" s="82"/>
      <c r="P3111" s="82"/>
      <c r="Q3111" s="82"/>
      <c r="R3111" s="82"/>
      <c r="S3111" s="82"/>
      <c r="T3111" s="82"/>
      <c r="U3111" s="82"/>
      <c r="V3111" s="82"/>
      <c r="W3111" s="82"/>
      <c r="X3111" s="82"/>
      <c r="Y3111" s="82"/>
      <c r="Z3111" s="82"/>
      <c r="AA3111" s="82"/>
      <c r="AB3111" s="82"/>
      <c r="AC3111" s="82"/>
      <c r="AD3111" s="82"/>
      <c r="AE3111" s="82"/>
      <c r="AF3111" s="82"/>
      <c r="AG3111" s="82"/>
      <c r="AH3111" s="82"/>
      <c r="AI3111" s="82"/>
      <c r="AJ3111" s="82"/>
      <c r="AK3111" s="82"/>
      <c r="AL3111" s="82"/>
      <c r="AM3111" s="82"/>
      <c r="AN3111" s="82"/>
      <c r="AO3111" s="82"/>
      <c r="AP3111" s="82"/>
      <c r="AQ3111" s="82"/>
      <c r="AR3111" s="82"/>
      <c r="AS3111" s="82"/>
      <c r="AT3111" s="82"/>
      <c r="AU3111" s="82"/>
      <c r="AV3111" s="82"/>
      <c r="AW3111" s="82" t="str">
        <f t="shared" si="1"/>
        <v/>
      </c>
      <c r="AX3111" s="83" t="str">
        <f t="array" ref="AX3111">IFERROR(DGET('SBV Import'!A:G,"SBV",{"RSC ID","Tier";B3111,A3111}))</f>
        <v/>
      </c>
      <c r="AY3111" s="82" t="str">
        <f t="shared" si="2"/>
        <v/>
      </c>
      <c r="AZ3111" s="82"/>
      <c r="BA3111" s="84" t="s">
        <v>152</v>
      </c>
      <c r="BB3111" s="84" t="str">
        <f>IFERROR(__xludf.DUMMYFUNCTION("iferror(if(A3111="""",,E3111&gt;=FILTER(Constants!$F$2:$F$10,Constants!$A$2:$A$10=A3111)))"),"")</f>
        <v/>
      </c>
    </row>
    <row r="3112">
      <c r="A3112" s="89"/>
      <c r="B3112" s="87"/>
      <c r="C3112" s="73"/>
      <c r="D3112" s="73"/>
      <c r="E3112" s="82"/>
      <c r="F3112" s="82"/>
      <c r="G3112" s="86"/>
      <c r="H3112" s="86"/>
      <c r="I3112" s="86"/>
      <c r="J3112" s="82"/>
      <c r="K3112" s="82"/>
      <c r="L3112" s="82"/>
      <c r="M3112" s="82"/>
      <c r="N3112" s="82"/>
      <c r="O3112" s="82"/>
      <c r="P3112" s="82"/>
      <c r="Q3112" s="82"/>
      <c r="R3112" s="82"/>
      <c r="S3112" s="82"/>
      <c r="T3112" s="82"/>
      <c r="U3112" s="82"/>
      <c r="V3112" s="82"/>
      <c r="W3112" s="82"/>
      <c r="X3112" s="82"/>
      <c r="Y3112" s="82"/>
      <c r="Z3112" s="82"/>
      <c r="AA3112" s="82"/>
      <c r="AB3112" s="82"/>
      <c r="AC3112" s="82"/>
      <c r="AD3112" s="82"/>
      <c r="AE3112" s="82"/>
      <c r="AF3112" s="82"/>
      <c r="AG3112" s="82"/>
      <c r="AH3112" s="82"/>
      <c r="AI3112" s="82"/>
      <c r="AJ3112" s="82"/>
      <c r="AK3112" s="82"/>
      <c r="AL3112" s="82"/>
      <c r="AM3112" s="82"/>
      <c r="AN3112" s="82"/>
      <c r="AO3112" s="82"/>
      <c r="AP3112" s="82"/>
      <c r="AQ3112" s="82"/>
      <c r="AR3112" s="82"/>
      <c r="AS3112" s="82"/>
      <c r="AT3112" s="82"/>
      <c r="AU3112" s="82"/>
      <c r="AV3112" s="82"/>
      <c r="AW3112" s="82" t="str">
        <f t="shared" si="1"/>
        <v/>
      </c>
      <c r="AX3112" s="83" t="str">
        <f t="array" ref="AX3112">IFERROR(DGET('SBV Import'!A:G,"SBV",{"RSC ID","Tier";B3112,A3112}))</f>
        <v/>
      </c>
      <c r="AY3112" s="82" t="str">
        <f t="shared" si="2"/>
        <v/>
      </c>
      <c r="AZ3112" s="82"/>
      <c r="BA3112" s="84" t="s">
        <v>152</v>
      </c>
      <c r="BB3112" s="84" t="str">
        <f>IFERROR(__xludf.DUMMYFUNCTION("iferror(if(A3112="""",,E3112&gt;=FILTER(Constants!$F$2:$F$10,Constants!$A$2:$A$10=A3112)))"),"")</f>
        <v/>
      </c>
    </row>
    <row r="3113">
      <c r="A3113" s="89"/>
      <c r="B3113" s="87"/>
      <c r="C3113" s="73"/>
      <c r="D3113" s="73"/>
      <c r="E3113" s="82"/>
      <c r="F3113" s="82"/>
      <c r="G3113" s="86"/>
      <c r="H3113" s="86"/>
      <c r="I3113" s="86"/>
      <c r="J3113" s="82"/>
      <c r="K3113" s="82"/>
      <c r="L3113" s="82"/>
      <c r="M3113" s="82"/>
      <c r="N3113" s="82"/>
      <c r="O3113" s="82"/>
      <c r="P3113" s="82"/>
      <c r="Q3113" s="82"/>
      <c r="R3113" s="82"/>
      <c r="S3113" s="82"/>
      <c r="T3113" s="82"/>
      <c r="U3113" s="82"/>
      <c r="V3113" s="82"/>
      <c r="W3113" s="82"/>
      <c r="X3113" s="82"/>
      <c r="Y3113" s="82"/>
      <c r="Z3113" s="82"/>
      <c r="AA3113" s="82"/>
      <c r="AB3113" s="82"/>
      <c r="AC3113" s="82"/>
      <c r="AD3113" s="82"/>
      <c r="AE3113" s="82"/>
      <c r="AF3113" s="82"/>
      <c r="AG3113" s="82"/>
      <c r="AH3113" s="82"/>
      <c r="AI3113" s="82"/>
      <c r="AJ3113" s="82"/>
      <c r="AK3113" s="82"/>
      <c r="AL3113" s="82"/>
      <c r="AM3113" s="82"/>
      <c r="AN3113" s="82"/>
      <c r="AO3113" s="82"/>
      <c r="AP3113" s="82"/>
      <c r="AQ3113" s="82"/>
      <c r="AR3113" s="82"/>
      <c r="AS3113" s="82"/>
      <c r="AT3113" s="82"/>
      <c r="AU3113" s="82"/>
      <c r="AV3113" s="82"/>
      <c r="AW3113" s="82" t="str">
        <f t="shared" si="1"/>
        <v/>
      </c>
      <c r="AX3113" s="83" t="str">
        <f t="array" ref="AX3113">IFERROR(DGET('SBV Import'!A:G,"SBV",{"RSC ID","Tier";B3113,A3113}))</f>
        <v/>
      </c>
      <c r="AY3113" s="82" t="str">
        <f t="shared" si="2"/>
        <v/>
      </c>
      <c r="AZ3113" s="82"/>
      <c r="BA3113" s="84" t="s">
        <v>152</v>
      </c>
      <c r="BB3113" s="84" t="str">
        <f>IFERROR(__xludf.DUMMYFUNCTION("iferror(if(A3113="""",,E3113&gt;=FILTER(Constants!$F$2:$F$10,Constants!$A$2:$A$10=A3113)))"),"")</f>
        <v/>
      </c>
    </row>
    <row r="3114">
      <c r="A3114" s="89"/>
      <c r="B3114" s="87"/>
      <c r="C3114" s="73"/>
      <c r="D3114" s="73"/>
      <c r="E3114" s="82"/>
      <c r="F3114" s="82"/>
      <c r="G3114" s="86"/>
      <c r="H3114" s="86"/>
      <c r="I3114" s="86"/>
      <c r="J3114" s="82"/>
      <c r="K3114" s="82"/>
      <c r="L3114" s="82"/>
      <c r="M3114" s="82"/>
      <c r="N3114" s="82"/>
      <c r="O3114" s="82"/>
      <c r="P3114" s="82"/>
      <c r="Q3114" s="82"/>
      <c r="R3114" s="82"/>
      <c r="S3114" s="82"/>
      <c r="T3114" s="82"/>
      <c r="U3114" s="82"/>
      <c r="V3114" s="82"/>
      <c r="W3114" s="82"/>
      <c r="X3114" s="82"/>
      <c r="Y3114" s="82"/>
      <c r="Z3114" s="82"/>
      <c r="AA3114" s="82"/>
      <c r="AB3114" s="82"/>
      <c r="AC3114" s="82"/>
      <c r="AD3114" s="82"/>
      <c r="AE3114" s="82"/>
      <c r="AF3114" s="82"/>
      <c r="AG3114" s="82"/>
      <c r="AH3114" s="82"/>
      <c r="AI3114" s="82"/>
      <c r="AJ3114" s="82"/>
      <c r="AK3114" s="82"/>
      <c r="AL3114" s="82"/>
      <c r="AM3114" s="82"/>
      <c r="AN3114" s="82"/>
      <c r="AO3114" s="82"/>
      <c r="AP3114" s="82"/>
      <c r="AQ3114" s="82"/>
      <c r="AR3114" s="82"/>
      <c r="AS3114" s="82"/>
      <c r="AT3114" s="82"/>
      <c r="AU3114" s="82"/>
      <c r="AV3114" s="82"/>
      <c r="AW3114" s="82" t="str">
        <f t="shared" si="1"/>
        <v/>
      </c>
      <c r="AX3114" s="83" t="str">
        <f t="array" ref="AX3114">IFERROR(DGET('SBV Import'!A:G,"SBV",{"RSC ID","Tier";B3114,A3114}))</f>
        <v/>
      </c>
      <c r="AY3114" s="82" t="str">
        <f t="shared" si="2"/>
        <v/>
      </c>
      <c r="AZ3114" s="82"/>
      <c r="BA3114" s="84" t="s">
        <v>152</v>
      </c>
      <c r="BB3114" s="84" t="str">
        <f>IFERROR(__xludf.DUMMYFUNCTION("iferror(if(A3114="""",,E3114&gt;=FILTER(Constants!$F$2:$F$10,Constants!$A$2:$A$10=A3114)))"),"")</f>
        <v/>
      </c>
    </row>
    <row r="3115">
      <c r="A3115" s="89"/>
      <c r="B3115" s="87"/>
      <c r="C3115" s="73"/>
      <c r="D3115" s="73"/>
      <c r="E3115" s="82"/>
      <c r="F3115" s="82"/>
      <c r="G3115" s="86"/>
      <c r="H3115" s="86"/>
      <c r="I3115" s="86"/>
      <c r="J3115" s="82"/>
      <c r="K3115" s="82"/>
      <c r="L3115" s="82"/>
      <c r="M3115" s="82"/>
      <c r="N3115" s="82"/>
      <c r="O3115" s="82"/>
      <c r="P3115" s="82"/>
      <c r="Q3115" s="82"/>
      <c r="R3115" s="82"/>
      <c r="S3115" s="82"/>
      <c r="T3115" s="82"/>
      <c r="U3115" s="82"/>
      <c r="V3115" s="82"/>
      <c r="W3115" s="82"/>
      <c r="X3115" s="82"/>
      <c r="Y3115" s="82"/>
      <c r="Z3115" s="82"/>
      <c r="AA3115" s="82"/>
      <c r="AB3115" s="82"/>
      <c r="AC3115" s="82"/>
      <c r="AD3115" s="82"/>
      <c r="AE3115" s="82"/>
      <c r="AF3115" s="82"/>
      <c r="AG3115" s="82"/>
      <c r="AH3115" s="82"/>
      <c r="AI3115" s="82"/>
      <c r="AJ3115" s="82"/>
      <c r="AK3115" s="82"/>
      <c r="AL3115" s="82"/>
      <c r="AM3115" s="82"/>
      <c r="AN3115" s="82"/>
      <c r="AO3115" s="82"/>
      <c r="AP3115" s="82"/>
      <c r="AQ3115" s="82"/>
      <c r="AR3115" s="82"/>
      <c r="AS3115" s="82"/>
      <c r="AT3115" s="82"/>
      <c r="AU3115" s="82"/>
      <c r="AV3115" s="82"/>
      <c r="AW3115" s="82" t="str">
        <f t="shared" si="1"/>
        <v/>
      </c>
      <c r="AX3115" s="83" t="str">
        <f t="array" ref="AX3115">IFERROR(DGET('SBV Import'!A:G,"SBV",{"RSC ID","Tier";B3115,A3115}))</f>
        <v/>
      </c>
      <c r="AY3115" s="82" t="str">
        <f t="shared" si="2"/>
        <v/>
      </c>
      <c r="AZ3115" s="82"/>
      <c r="BA3115" s="84" t="s">
        <v>152</v>
      </c>
      <c r="BB3115" s="84" t="str">
        <f>IFERROR(__xludf.DUMMYFUNCTION("iferror(if(A3115="""",,E3115&gt;=FILTER(Constants!$F$2:$F$10,Constants!$A$2:$A$10=A3115)))"),"")</f>
        <v/>
      </c>
    </row>
    <row r="3116">
      <c r="A3116" s="89"/>
      <c r="B3116" s="87"/>
      <c r="C3116" s="73"/>
      <c r="D3116" s="73"/>
      <c r="E3116" s="82"/>
      <c r="F3116" s="82"/>
      <c r="G3116" s="86"/>
      <c r="H3116" s="86"/>
      <c r="I3116" s="86"/>
      <c r="J3116" s="82"/>
      <c r="K3116" s="82"/>
      <c r="L3116" s="82"/>
      <c r="M3116" s="82"/>
      <c r="N3116" s="82"/>
      <c r="O3116" s="82"/>
      <c r="P3116" s="82"/>
      <c r="Q3116" s="82"/>
      <c r="R3116" s="82"/>
      <c r="S3116" s="82"/>
      <c r="T3116" s="82"/>
      <c r="U3116" s="82"/>
      <c r="V3116" s="82"/>
      <c r="W3116" s="82"/>
      <c r="X3116" s="82"/>
      <c r="Y3116" s="82"/>
      <c r="Z3116" s="82"/>
      <c r="AA3116" s="82"/>
      <c r="AB3116" s="82"/>
      <c r="AC3116" s="82"/>
      <c r="AD3116" s="82"/>
      <c r="AE3116" s="82"/>
      <c r="AF3116" s="82"/>
      <c r="AG3116" s="82"/>
      <c r="AH3116" s="82"/>
      <c r="AI3116" s="82"/>
      <c r="AJ3116" s="82"/>
      <c r="AK3116" s="82"/>
      <c r="AL3116" s="82"/>
      <c r="AM3116" s="82"/>
      <c r="AN3116" s="82"/>
      <c r="AO3116" s="82"/>
      <c r="AP3116" s="82"/>
      <c r="AQ3116" s="82"/>
      <c r="AR3116" s="82"/>
      <c r="AS3116" s="82"/>
      <c r="AT3116" s="82"/>
      <c r="AU3116" s="82"/>
      <c r="AV3116" s="82"/>
      <c r="AW3116" s="82" t="str">
        <f t="shared" si="1"/>
        <v/>
      </c>
      <c r="AX3116" s="83" t="str">
        <f t="array" ref="AX3116">IFERROR(DGET('SBV Import'!A:G,"SBV",{"RSC ID","Tier";B3116,A3116}))</f>
        <v/>
      </c>
      <c r="AY3116" s="82" t="str">
        <f t="shared" si="2"/>
        <v/>
      </c>
      <c r="AZ3116" s="82"/>
      <c r="BA3116" s="84" t="s">
        <v>152</v>
      </c>
      <c r="BB3116" s="84" t="str">
        <f>IFERROR(__xludf.DUMMYFUNCTION("iferror(if(A3116="""",,E3116&gt;=FILTER(Constants!$F$2:$F$10,Constants!$A$2:$A$10=A3116)))"),"")</f>
        <v/>
      </c>
    </row>
    <row r="3117">
      <c r="A3117" s="89"/>
      <c r="B3117" s="87"/>
      <c r="C3117" s="73"/>
      <c r="D3117" s="73"/>
      <c r="E3117" s="82"/>
      <c r="F3117" s="82"/>
      <c r="G3117" s="86"/>
      <c r="H3117" s="86"/>
      <c r="I3117" s="86"/>
      <c r="J3117" s="82"/>
      <c r="K3117" s="82"/>
      <c r="L3117" s="82"/>
      <c r="M3117" s="82"/>
      <c r="N3117" s="82"/>
      <c r="O3117" s="82"/>
      <c r="P3117" s="82"/>
      <c r="Q3117" s="82"/>
      <c r="R3117" s="82"/>
      <c r="S3117" s="82"/>
      <c r="T3117" s="82"/>
      <c r="U3117" s="82"/>
      <c r="V3117" s="82"/>
      <c r="W3117" s="82"/>
      <c r="X3117" s="82"/>
      <c r="Y3117" s="82"/>
      <c r="Z3117" s="82"/>
      <c r="AA3117" s="82"/>
      <c r="AB3117" s="82"/>
      <c r="AC3117" s="82"/>
      <c r="AD3117" s="82"/>
      <c r="AE3117" s="82"/>
      <c r="AF3117" s="82"/>
      <c r="AG3117" s="82"/>
      <c r="AH3117" s="82"/>
      <c r="AI3117" s="82"/>
      <c r="AJ3117" s="82"/>
      <c r="AK3117" s="82"/>
      <c r="AL3117" s="82"/>
      <c r="AM3117" s="82"/>
      <c r="AN3117" s="82"/>
      <c r="AO3117" s="82"/>
      <c r="AP3117" s="82"/>
      <c r="AQ3117" s="82"/>
      <c r="AR3117" s="82"/>
      <c r="AS3117" s="82"/>
      <c r="AT3117" s="82"/>
      <c r="AU3117" s="82"/>
      <c r="AV3117" s="82"/>
      <c r="AW3117" s="82" t="str">
        <f t="shared" si="1"/>
        <v/>
      </c>
      <c r="AX3117" s="83" t="str">
        <f t="array" ref="AX3117">IFERROR(DGET('SBV Import'!A:G,"SBV",{"RSC ID","Tier";B3117,A3117}))</f>
        <v/>
      </c>
      <c r="AY3117" s="82" t="str">
        <f t="shared" si="2"/>
        <v/>
      </c>
      <c r="AZ3117" s="82"/>
      <c r="BA3117" s="84" t="s">
        <v>152</v>
      </c>
      <c r="BB3117" s="84" t="str">
        <f>IFERROR(__xludf.DUMMYFUNCTION("iferror(if(A3117="""",,E3117&gt;=FILTER(Constants!$F$2:$F$10,Constants!$A$2:$A$10=A3117)))"),"")</f>
        <v/>
      </c>
    </row>
    <row r="3118">
      <c r="A3118" s="89"/>
      <c r="B3118" s="87"/>
      <c r="C3118" s="73"/>
      <c r="D3118" s="73"/>
      <c r="E3118" s="82"/>
      <c r="F3118" s="82"/>
      <c r="G3118" s="86"/>
      <c r="H3118" s="86"/>
      <c r="I3118" s="86"/>
      <c r="J3118" s="82"/>
      <c r="K3118" s="82"/>
      <c r="L3118" s="82"/>
      <c r="M3118" s="82"/>
      <c r="N3118" s="82"/>
      <c r="O3118" s="82"/>
      <c r="P3118" s="82"/>
      <c r="Q3118" s="82"/>
      <c r="R3118" s="82"/>
      <c r="S3118" s="82"/>
      <c r="T3118" s="82"/>
      <c r="U3118" s="82"/>
      <c r="V3118" s="82"/>
      <c r="W3118" s="82"/>
      <c r="X3118" s="82"/>
      <c r="Y3118" s="82"/>
      <c r="Z3118" s="82"/>
      <c r="AA3118" s="82"/>
      <c r="AB3118" s="82"/>
      <c r="AC3118" s="82"/>
      <c r="AD3118" s="82"/>
      <c r="AE3118" s="82"/>
      <c r="AF3118" s="82"/>
      <c r="AG3118" s="82"/>
      <c r="AH3118" s="82"/>
      <c r="AI3118" s="82"/>
      <c r="AJ3118" s="82"/>
      <c r="AK3118" s="82"/>
      <c r="AL3118" s="82"/>
      <c r="AM3118" s="82"/>
      <c r="AN3118" s="82"/>
      <c r="AO3118" s="82"/>
      <c r="AP3118" s="82"/>
      <c r="AQ3118" s="82"/>
      <c r="AR3118" s="82"/>
      <c r="AS3118" s="82"/>
      <c r="AT3118" s="82"/>
      <c r="AU3118" s="82"/>
      <c r="AV3118" s="82"/>
      <c r="AW3118" s="82" t="str">
        <f t="shared" si="1"/>
        <v/>
      </c>
      <c r="AX3118" s="83" t="str">
        <f t="array" ref="AX3118">IFERROR(DGET('SBV Import'!A:G,"SBV",{"RSC ID","Tier";B3118,A3118}))</f>
        <v/>
      </c>
      <c r="AY3118" s="82" t="str">
        <f t="shared" si="2"/>
        <v/>
      </c>
      <c r="AZ3118" s="82"/>
      <c r="BA3118" s="84" t="s">
        <v>152</v>
      </c>
      <c r="BB3118" s="84" t="str">
        <f>IFERROR(__xludf.DUMMYFUNCTION("iferror(if(A3118="""",,E3118&gt;=FILTER(Constants!$F$2:$F$10,Constants!$A$2:$A$10=A3118)))"),"")</f>
        <v/>
      </c>
    </row>
    <row r="3119">
      <c r="A3119" s="89"/>
      <c r="B3119" s="87"/>
      <c r="C3119" s="73"/>
      <c r="D3119" s="73"/>
      <c r="E3119" s="82"/>
      <c r="F3119" s="82"/>
      <c r="G3119" s="86"/>
      <c r="H3119" s="86"/>
      <c r="I3119" s="86"/>
      <c r="J3119" s="82"/>
      <c r="K3119" s="82"/>
      <c r="L3119" s="82"/>
      <c r="M3119" s="82"/>
      <c r="N3119" s="82"/>
      <c r="O3119" s="82"/>
      <c r="P3119" s="82"/>
      <c r="Q3119" s="82"/>
      <c r="R3119" s="82"/>
      <c r="S3119" s="82"/>
      <c r="T3119" s="82"/>
      <c r="U3119" s="82"/>
      <c r="V3119" s="82"/>
      <c r="W3119" s="82"/>
      <c r="X3119" s="82"/>
      <c r="Y3119" s="82"/>
      <c r="Z3119" s="82"/>
      <c r="AA3119" s="82"/>
      <c r="AB3119" s="82"/>
      <c r="AC3119" s="82"/>
      <c r="AD3119" s="82"/>
      <c r="AE3119" s="82"/>
      <c r="AF3119" s="82"/>
      <c r="AG3119" s="82"/>
      <c r="AH3119" s="82"/>
      <c r="AI3119" s="82"/>
      <c r="AJ3119" s="82"/>
      <c r="AK3119" s="82"/>
      <c r="AL3119" s="82"/>
      <c r="AM3119" s="82"/>
      <c r="AN3119" s="82"/>
      <c r="AO3119" s="82"/>
      <c r="AP3119" s="82"/>
      <c r="AQ3119" s="82"/>
      <c r="AR3119" s="82"/>
      <c r="AS3119" s="82"/>
      <c r="AT3119" s="82"/>
      <c r="AU3119" s="82"/>
      <c r="AV3119" s="82"/>
      <c r="AW3119" s="82" t="str">
        <f t="shared" si="1"/>
        <v/>
      </c>
      <c r="AX3119" s="83" t="str">
        <f t="array" ref="AX3119">IFERROR(DGET('SBV Import'!A:G,"SBV",{"RSC ID","Tier";B3119,A3119}))</f>
        <v/>
      </c>
      <c r="AY3119" s="82" t="str">
        <f t="shared" si="2"/>
        <v/>
      </c>
      <c r="AZ3119" s="82"/>
      <c r="BA3119" s="84" t="s">
        <v>152</v>
      </c>
      <c r="BB3119" s="84" t="str">
        <f>IFERROR(__xludf.DUMMYFUNCTION("iferror(if(A3119="""",,E3119&gt;=FILTER(Constants!$F$2:$F$10,Constants!$A$2:$A$10=A3119)))"),"")</f>
        <v/>
      </c>
    </row>
    <row r="3120">
      <c r="A3120" s="89"/>
      <c r="B3120" s="87"/>
      <c r="C3120" s="73"/>
      <c r="D3120" s="73"/>
      <c r="E3120" s="82"/>
      <c r="F3120" s="82"/>
      <c r="G3120" s="86"/>
      <c r="H3120" s="86"/>
      <c r="I3120" s="86"/>
      <c r="J3120" s="82"/>
      <c r="K3120" s="82"/>
      <c r="L3120" s="82"/>
      <c r="M3120" s="82"/>
      <c r="N3120" s="82"/>
      <c r="O3120" s="82"/>
      <c r="P3120" s="82"/>
      <c r="Q3120" s="82"/>
      <c r="R3120" s="82"/>
      <c r="S3120" s="82"/>
      <c r="T3120" s="82"/>
      <c r="U3120" s="82"/>
      <c r="V3120" s="82"/>
      <c r="W3120" s="82"/>
      <c r="X3120" s="82"/>
      <c r="Y3120" s="82"/>
      <c r="Z3120" s="82"/>
      <c r="AA3120" s="82"/>
      <c r="AB3120" s="82"/>
      <c r="AC3120" s="82"/>
      <c r="AD3120" s="82"/>
      <c r="AE3120" s="82"/>
      <c r="AF3120" s="82"/>
      <c r="AG3120" s="82"/>
      <c r="AH3120" s="82"/>
      <c r="AI3120" s="82"/>
      <c r="AJ3120" s="82"/>
      <c r="AK3120" s="82"/>
      <c r="AL3120" s="82"/>
      <c r="AM3120" s="82"/>
      <c r="AN3120" s="82"/>
      <c r="AO3120" s="82"/>
      <c r="AP3120" s="82"/>
      <c r="AQ3120" s="82"/>
      <c r="AR3120" s="82"/>
      <c r="AS3120" s="82"/>
      <c r="AT3120" s="82"/>
      <c r="AU3120" s="82"/>
      <c r="AV3120" s="82"/>
      <c r="AW3120" s="82" t="str">
        <f t="shared" si="1"/>
        <v/>
      </c>
      <c r="AX3120" s="83" t="str">
        <f t="array" ref="AX3120">IFERROR(DGET('SBV Import'!A:G,"SBV",{"RSC ID","Tier";B3120,A3120}))</f>
        <v/>
      </c>
      <c r="AY3120" s="82" t="str">
        <f t="shared" si="2"/>
        <v/>
      </c>
      <c r="AZ3120" s="82"/>
      <c r="BA3120" s="84" t="s">
        <v>152</v>
      </c>
      <c r="BB3120" s="84" t="str">
        <f>IFERROR(__xludf.DUMMYFUNCTION("iferror(if(A3120="""",,E3120&gt;=FILTER(Constants!$F$2:$F$10,Constants!$A$2:$A$10=A3120)))"),"")</f>
        <v/>
      </c>
    </row>
    <row r="3121">
      <c r="A3121" s="89"/>
      <c r="B3121" s="87"/>
      <c r="C3121" s="73"/>
      <c r="D3121" s="73"/>
      <c r="E3121" s="82"/>
      <c r="F3121" s="82"/>
      <c r="G3121" s="86"/>
      <c r="H3121" s="86"/>
      <c r="I3121" s="86"/>
      <c r="J3121" s="82"/>
      <c r="K3121" s="82"/>
      <c r="L3121" s="82"/>
      <c r="M3121" s="82"/>
      <c r="N3121" s="82"/>
      <c r="O3121" s="82"/>
      <c r="P3121" s="82"/>
      <c r="Q3121" s="82"/>
      <c r="R3121" s="82"/>
      <c r="S3121" s="82"/>
      <c r="T3121" s="82"/>
      <c r="U3121" s="82"/>
      <c r="V3121" s="82"/>
      <c r="W3121" s="82"/>
      <c r="X3121" s="82"/>
      <c r="Y3121" s="82"/>
      <c r="Z3121" s="82"/>
      <c r="AA3121" s="82"/>
      <c r="AB3121" s="82"/>
      <c r="AC3121" s="82"/>
      <c r="AD3121" s="82"/>
      <c r="AE3121" s="82"/>
      <c r="AF3121" s="82"/>
      <c r="AG3121" s="82"/>
      <c r="AH3121" s="82"/>
      <c r="AI3121" s="82"/>
      <c r="AJ3121" s="82"/>
      <c r="AK3121" s="82"/>
      <c r="AL3121" s="82"/>
      <c r="AM3121" s="82"/>
      <c r="AN3121" s="82"/>
      <c r="AO3121" s="82"/>
      <c r="AP3121" s="82"/>
      <c r="AQ3121" s="82"/>
      <c r="AR3121" s="82"/>
      <c r="AS3121" s="82"/>
      <c r="AT3121" s="82"/>
      <c r="AU3121" s="82"/>
      <c r="AV3121" s="82"/>
      <c r="AW3121" s="82" t="str">
        <f t="shared" si="1"/>
        <v/>
      </c>
      <c r="AX3121" s="83" t="str">
        <f t="array" ref="AX3121">IFERROR(DGET('SBV Import'!A:G,"SBV",{"RSC ID","Tier";B3121,A3121}))</f>
        <v/>
      </c>
      <c r="AY3121" s="82" t="str">
        <f t="shared" si="2"/>
        <v/>
      </c>
      <c r="AZ3121" s="82"/>
      <c r="BA3121" s="84" t="s">
        <v>152</v>
      </c>
      <c r="BB3121" s="84" t="str">
        <f>IFERROR(__xludf.DUMMYFUNCTION("iferror(if(A3121="""",,E3121&gt;=FILTER(Constants!$F$2:$F$10,Constants!$A$2:$A$10=A3121)))"),"")</f>
        <v/>
      </c>
    </row>
    <row r="3122">
      <c r="A3122" s="89"/>
      <c r="B3122" s="87"/>
      <c r="C3122" s="73"/>
      <c r="D3122" s="73"/>
      <c r="E3122" s="82"/>
      <c r="F3122" s="82"/>
      <c r="G3122" s="86"/>
      <c r="H3122" s="86"/>
      <c r="I3122" s="86"/>
      <c r="J3122" s="82"/>
      <c r="K3122" s="82"/>
      <c r="L3122" s="82"/>
      <c r="M3122" s="82"/>
      <c r="N3122" s="82"/>
      <c r="O3122" s="82"/>
      <c r="P3122" s="82"/>
      <c r="Q3122" s="82"/>
      <c r="R3122" s="82"/>
      <c r="S3122" s="82"/>
      <c r="T3122" s="82"/>
      <c r="U3122" s="82"/>
      <c r="V3122" s="82"/>
      <c r="W3122" s="82"/>
      <c r="X3122" s="82"/>
      <c r="Y3122" s="82"/>
      <c r="Z3122" s="82"/>
      <c r="AA3122" s="82"/>
      <c r="AB3122" s="82"/>
      <c r="AC3122" s="82"/>
      <c r="AD3122" s="82"/>
      <c r="AE3122" s="82"/>
      <c r="AF3122" s="82"/>
      <c r="AG3122" s="82"/>
      <c r="AH3122" s="82"/>
      <c r="AI3122" s="82"/>
      <c r="AJ3122" s="82"/>
      <c r="AK3122" s="82"/>
      <c r="AL3122" s="82"/>
      <c r="AM3122" s="82"/>
      <c r="AN3122" s="82"/>
      <c r="AO3122" s="82"/>
      <c r="AP3122" s="82"/>
      <c r="AQ3122" s="82"/>
      <c r="AR3122" s="82"/>
      <c r="AS3122" s="82"/>
      <c r="AT3122" s="82"/>
      <c r="AU3122" s="82"/>
      <c r="AV3122" s="82"/>
      <c r="AW3122" s="82" t="str">
        <f t="shared" si="1"/>
        <v/>
      </c>
      <c r="AX3122" s="83" t="str">
        <f t="array" ref="AX3122">IFERROR(DGET('SBV Import'!A:G,"SBV",{"RSC ID","Tier";B3122,A3122}))</f>
        <v/>
      </c>
      <c r="AY3122" s="82" t="str">
        <f t="shared" si="2"/>
        <v/>
      </c>
      <c r="AZ3122" s="82"/>
      <c r="BA3122" s="84" t="s">
        <v>152</v>
      </c>
      <c r="BB3122" s="84" t="str">
        <f>IFERROR(__xludf.DUMMYFUNCTION("iferror(if(A3122="""",,E3122&gt;=FILTER(Constants!$F$2:$F$10,Constants!$A$2:$A$10=A3122)))"),"")</f>
        <v/>
      </c>
    </row>
    <row r="3123">
      <c r="A3123" s="89"/>
      <c r="B3123" s="87"/>
      <c r="C3123" s="73"/>
      <c r="D3123" s="73"/>
      <c r="E3123" s="82"/>
      <c r="F3123" s="82"/>
      <c r="G3123" s="86"/>
      <c r="H3123" s="86"/>
      <c r="I3123" s="86"/>
      <c r="J3123" s="82"/>
      <c r="K3123" s="82"/>
      <c r="L3123" s="82"/>
      <c r="M3123" s="82"/>
      <c r="N3123" s="82"/>
      <c r="O3123" s="82"/>
      <c r="P3123" s="82"/>
      <c r="Q3123" s="82"/>
      <c r="R3123" s="82"/>
      <c r="S3123" s="82"/>
      <c r="T3123" s="82"/>
      <c r="U3123" s="82"/>
      <c r="V3123" s="82"/>
      <c r="W3123" s="82"/>
      <c r="X3123" s="82"/>
      <c r="Y3123" s="82"/>
      <c r="Z3123" s="82"/>
      <c r="AA3123" s="82"/>
      <c r="AB3123" s="82"/>
      <c r="AC3123" s="82"/>
      <c r="AD3123" s="82"/>
      <c r="AE3123" s="82"/>
      <c r="AF3123" s="82"/>
      <c r="AG3123" s="82"/>
      <c r="AH3123" s="82"/>
      <c r="AI3123" s="82"/>
      <c r="AJ3123" s="82"/>
      <c r="AK3123" s="82"/>
      <c r="AL3123" s="82"/>
      <c r="AM3123" s="82"/>
      <c r="AN3123" s="82"/>
      <c r="AO3123" s="82"/>
      <c r="AP3123" s="82"/>
      <c r="AQ3123" s="82"/>
      <c r="AR3123" s="82"/>
      <c r="AS3123" s="82"/>
      <c r="AT3123" s="82"/>
      <c r="AU3123" s="82"/>
      <c r="AV3123" s="82"/>
      <c r="AW3123" s="82" t="str">
        <f t="shared" si="1"/>
        <v/>
      </c>
      <c r="AX3123" s="83" t="str">
        <f t="array" ref="AX3123">IFERROR(DGET('SBV Import'!A:G,"SBV",{"RSC ID","Tier";B3123,A3123}))</f>
        <v/>
      </c>
      <c r="AY3123" s="82" t="str">
        <f t="shared" si="2"/>
        <v/>
      </c>
      <c r="AZ3123" s="82"/>
      <c r="BA3123" s="84" t="s">
        <v>152</v>
      </c>
      <c r="BB3123" s="84" t="str">
        <f>IFERROR(__xludf.DUMMYFUNCTION("iferror(if(A3123="""",,E3123&gt;=FILTER(Constants!$F$2:$F$10,Constants!$A$2:$A$10=A3123)))"),"")</f>
        <v/>
      </c>
    </row>
    <row r="3124">
      <c r="A3124" s="89"/>
      <c r="B3124" s="87"/>
      <c r="C3124" s="73"/>
      <c r="D3124" s="73"/>
      <c r="E3124" s="82"/>
      <c r="F3124" s="82"/>
      <c r="G3124" s="86"/>
      <c r="H3124" s="86"/>
      <c r="I3124" s="86"/>
      <c r="J3124" s="82"/>
      <c r="K3124" s="82"/>
      <c r="L3124" s="82"/>
      <c r="M3124" s="82"/>
      <c r="N3124" s="82"/>
      <c r="O3124" s="82"/>
      <c r="P3124" s="82"/>
      <c r="Q3124" s="82"/>
      <c r="R3124" s="82"/>
      <c r="S3124" s="82"/>
      <c r="T3124" s="82"/>
      <c r="U3124" s="82"/>
      <c r="V3124" s="82"/>
      <c r="W3124" s="82"/>
      <c r="X3124" s="82"/>
      <c r="Y3124" s="82"/>
      <c r="Z3124" s="82"/>
      <c r="AA3124" s="82"/>
      <c r="AB3124" s="82"/>
      <c r="AC3124" s="82"/>
      <c r="AD3124" s="82"/>
      <c r="AE3124" s="82"/>
      <c r="AF3124" s="82"/>
      <c r="AG3124" s="82"/>
      <c r="AH3124" s="82"/>
      <c r="AI3124" s="82"/>
      <c r="AJ3124" s="82"/>
      <c r="AK3124" s="82"/>
      <c r="AL3124" s="82"/>
      <c r="AM3124" s="82"/>
      <c r="AN3124" s="82"/>
      <c r="AO3124" s="82"/>
      <c r="AP3124" s="82"/>
      <c r="AQ3124" s="82"/>
      <c r="AR3124" s="82"/>
      <c r="AS3124" s="82"/>
      <c r="AT3124" s="82"/>
      <c r="AU3124" s="82"/>
      <c r="AV3124" s="82"/>
      <c r="AW3124" s="82" t="str">
        <f t="shared" si="1"/>
        <v/>
      </c>
      <c r="AX3124" s="83" t="str">
        <f t="array" ref="AX3124">IFERROR(DGET('SBV Import'!A:G,"SBV",{"RSC ID","Tier";B3124,A3124}))</f>
        <v/>
      </c>
      <c r="AY3124" s="82" t="str">
        <f t="shared" si="2"/>
        <v/>
      </c>
      <c r="AZ3124" s="82"/>
      <c r="BA3124" s="84" t="s">
        <v>152</v>
      </c>
      <c r="BB3124" s="84" t="str">
        <f>IFERROR(__xludf.DUMMYFUNCTION("iferror(if(A3124="""",,E3124&gt;=FILTER(Constants!$F$2:$F$10,Constants!$A$2:$A$10=A3124)))"),"")</f>
        <v/>
      </c>
    </row>
    <row r="3125">
      <c r="A3125" s="89"/>
      <c r="B3125" s="87"/>
      <c r="C3125" s="73"/>
      <c r="D3125" s="73"/>
      <c r="E3125" s="82"/>
      <c r="F3125" s="82"/>
      <c r="G3125" s="86"/>
      <c r="H3125" s="86"/>
      <c r="I3125" s="86"/>
      <c r="J3125" s="82"/>
      <c r="K3125" s="82"/>
      <c r="L3125" s="82"/>
      <c r="M3125" s="82"/>
      <c r="N3125" s="82"/>
      <c r="O3125" s="82"/>
      <c r="P3125" s="82"/>
      <c r="Q3125" s="82"/>
      <c r="R3125" s="82"/>
      <c r="S3125" s="82"/>
      <c r="T3125" s="82"/>
      <c r="U3125" s="82"/>
      <c r="V3125" s="82"/>
      <c r="W3125" s="82"/>
      <c r="X3125" s="82"/>
      <c r="Y3125" s="82"/>
      <c r="Z3125" s="82"/>
      <c r="AA3125" s="82"/>
      <c r="AB3125" s="82"/>
      <c r="AC3125" s="82"/>
      <c r="AD3125" s="82"/>
      <c r="AE3125" s="82"/>
      <c r="AF3125" s="82"/>
      <c r="AG3125" s="82"/>
      <c r="AH3125" s="82"/>
      <c r="AI3125" s="82"/>
      <c r="AJ3125" s="82"/>
      <c r="AK3125" s="82"/>
      <c r="AL3125" s="82"/>
      <c r="AM3125" s="82"/>
      <c r="AN3125" s="82"/>
      <c r="AO3125" s="82"/>
      <c r="AP3125" s="82"/>
      <c r="AQ3125" s="82"/>
      <c r="AR3125" s="82"/>
      <c r="AS3125" s="82"/>
      <c r="AT3125" s="82"/>
      <c r="AU3125" s="82"/>
      <c r="AV3125" s="82"/>
      <c r="AW3125" s="82" t="str">
        <f t="shared" si="1"/>
        <v/>
      </c>
      <c r="AX3125" s="83" t="str">
        <f t="array" ref="AX3125">IFERROR(DGET('SBV Import'!A:G,"SBV",{"RSC ID","Tier";B3125,A3125}))</f>
        <v/>
      </c>
      <c r="AY3125" s="82" t="str">
        <f t="shared" si="2"/>
        <v/>
      </c>
      <c r="AZ3125" s="82"/>
      <c r="BA3125" s="84" t="s">
        <v>152</v>
      </c>
      <c r="BB3125" s="84" t="str">
        <f>IFERROR(__xludf.DUMMYFUNCTION("iferror(if(A3125="""",,E3125&gt;=FILTER(Constants!$F$2:$F$10,Constants!$A$2:$A$10=A3125)))"),"")</f>
        <v/>
      </c>
    </row>
    <row r="3126">
      <c r="A3126" s="89"/>
      <c r="B3126" s="87"/>
      <c r="C3126" s="73"/>
      <c r="D3126" s="73"/>
      <c r="E3126" s="82"/>
      <c r="F3126" s="82"/>
      <c r="G3126" s="86"/>
      <c r="H3126" s="86"/>
      <c r="I3126" s="86"/>
      <c r="J3126" s="82"/>
      <c r="K3126" s="82"/>
      <c r="L3126" s="82"/>
      <c r="M3126" s="82"/>
      <c r="N3126" s="82"/>
      <c r="O3126" s="82"/>
      <c r="P3126" s="82"/>
      <c r="Q3126" s="82"/>
      <c r="R3126" s="82"/>
      <c r="S3126" s="82"/>
      <c r="T3126" s="82"/>
      <c r="U3126" s="82"/>
      <c r="V3126" s="82"/>
      <c r="W3126" s="82"/>
      <c r="X3126" s="82"/>
      <c r="Y3126" s="82"/>
      <c r="Z3126" s="82"/>
      <c r="AA3126" s="82"/>
      <c r="AB3126" s="82"/>
      <c r="AC3126" s="82"/>
      <c r="AD3126" s="82"/>
      <c r="AE3126" s="82"/>
      <c r="AF3126" s="82"/>
      <c r="AG3126" s="82"/>
      <c r="AH3126" s="82"/>
      <c r="AI3126" s="82"/>
      <c r="AJ3126" s="82"/>
      <c r="AK3126" s="82"/>
      <c r="AL3126" s="82"/>
      <c r="AM3126" s="82"/>
      <c r="AN3126" s="82"/>
      <c r="AO3126" s="82"/>
      <c r="AP3126" s="82"/>
      <c r="AQ3126" s="82"/>
      <c r="AR3126" s="82"/>
      <c r="AS3126" s="82"/>
      <c r="AT3126" s="82"/>
      <c r="AU3126" s="82"/>
      <c r="AV3126" s="82"/>
      <c r="AW3126" s="82" t="str">
        <f t="shared" si="1"/>
        <v/>
      </c>
      <c r="AX3126" s="83" t="str">
        <f t="array" ref="AX3126">IFERROR(DGET('SBV Import'!A:G,"SBV",{"RSC ID","Tier";B3126,A3126}))</f>
        <v/>
      </c>
      <c r="AY3126" s="82" t="str">
        <f t="shared" si="2"/>
        <v/>
      </c>
      <c r="AZ3126" s="82"/>
      <c r="BA3126" s="84" t="s">
        <v>152</v>
      </c>
      <c r="BB3126" s="84" t="str">
        <f>IFERROR(__xludf.DUMMYFUNCTION("iferror(if(A3126="""",,E3126&gt;=FILTER(Constants!$F$2:$F$10,Constants!$A$2:$A$10=A3126)))"),"")</f>
        <v/>
      </c>
    </row>
    <row r="3127">
      <c r="A3127" s="89"/>
      <c r="B3127" s="87"/>
      <c r="C3127" s="73"/>
      <c r="D3127" s="73"/>
      <c r="E3127" s="82"/>
      <c r="F3127" s="82"/>
      <c r="G3127" s="86"/>
      <c r="H3127" s="86"/>
      <c r="I3127" s="86"/>
      <c r="J3127" s="82"/>
      <c r="K3127" s="82"/>
      <c r="L3127" s="82"/>
      <c r="M3127" s="82"/>
      <c r="N3127" s="82"/>
      <c r="O3127" s="82"/>
      <c r="P3127" s="82"/>
      <c r="Q3127" s="82"/>
      <c r="R3127" s="82"/>
      <c r="S3127" s="82"/>
      <c r="T3127" s="82"/>
      <c r="U3127" s="82"/>
      <c r="V3127" s="82"/>
      <c r="W3127" s="82"/>
      <c r="X3127" s="82"/>
      <c r="Y3127" s="82"/>
      <c r="Z3127" s="82"/>
      <c r="AA3127" s="82"/>
      <c r="AB3127" s="82"/>
      <c r="AC3127" s="82"/>
      <c r="AD3127" s="82"/>
      <c r="AE3127" s="82"/>
      <c r="AF3127" s="82"/>
      <c r="AG3127" s="82"/>
      <c r="AH3127" s="82"/>
      <c r="AI3127" s="82"/>
      <c r="AJ3127" s="82"/>
      <c r="AK3127" s="82"/>
      <c r="AL3127" s="82"/>
      <c r="AM3127" s="82"/>
      <c r="AN3127" s="82"/>
      <c r="AO3127" s="82"/>
      <c r="AP3127" s="82"/>
      <c r="AQ3127" s="82"/>
      <c r="AR3127" s="82"/>
      <c r="AS3127" s="82"/>
      <c r="AT3127" s="82"/>
      <c r="AU3127" s="82"/>
      <c r="AV3127" s="82"/>
      <c r="AW3127" s="82" t="str">
        <f t="shared" si="1"/>
        <v/>
      </c>
      <c r="AX3127" s="83" t="str">
        <f t="array" ref="AX3127">IFERROR(DGET('SBV Import'!A:G,"SBV",{"RSC ID","Tier";B3127,A3127}))</f>
        <v/>
      </c>
      <c r="AY3127" s="82" t="str">
        <f t="shared" si="2"/>
        <v/>
      </c>
      <c r="AZ3127" s="82"/>
      <c r="BA3127" s="84" t="s">
        <v>152</v>
      </c>
      <c r="BB3127" s="84" t="str">
        <f>IFERROR(__xludf.DUMMYFUNCTION("iferror(if(A3127="""",,E3127&gt;=FILTER(Constants!$F$2:$F$10,Constants!$A$2:$A$10=A3127)))"),"")</f>
        <v/>
      </c>
    </row>
    <row r="3128">
      <c r="A3128" s="89"/>
      <c r="B3128" s="87"/>
      <c r="C3128" s="73"/>
      <c r="D3128" s="73"/>
      <c r="E3128" s="82"/>
      <c r="F3128" s="82"/>
      <c r="G3128" s="86"/>
      <c r="H3128" s="86"/>
      <c r="I3128" s="86"/>
      <c r="J3128" s="82"/>
      <c r="K3128" s="82"/>
      <c r="L3128" s="82"/>
      <c r="M3128" s="82"/>
      <c r="N3128" s="82"/>
      <c r="O3128" s="82"/>
      <c r="P3128" s="82"/>
      <c r="Q3128" s="82"/>
      <c r="R3128" s="82"/>
      <c r="S3128" s="82"/>
      <c r="T3128" s="82"/>
      <c r="U3128" s="82"/>
      <c r="V3128" s="82"/>
      <c r="W3128" s="82"/>
      <c r="X3128" s="82"/>
      <c r="Y3128" s="82"/>
      <c r="Z3128" s="82"/>
      <c r="AA3128" s="82"/>
      <c r="AB3128" s="82"/>
      <c r="AC3128" s="82"/>
      <c r="AD3128" s="82"/>
      <c r="AE3128" s="82"/>
      <c r="AF3128" s="82"/>
      <c r="AG3128" s="82"/>
      <c r="AH3128" s="82"/>
      <c r="AI3128" s="82"/>
      <c r="AJ3128" s="82"/>
      <c r="AK3128" s="82"/>
      <c r="AL3128" s="82"/>
      <c r="AM3128" s="82"/>
      <c r="AN3128" s="82"/>
      <c r="AO3128" s="82"/>
      <c r="AP3128" s="82"/>
      <c r="AQ3128" s="82"/>
      <c r="AR3128" s="82"/>
      <c r="AS3128" s="82"/>
      <c r="AT3128" s="82"/>
      <c r="AU3128" s="82"/>
      <c r="AV3128" s="82"/>
      <c r="AW3128" s="82" t="str">
        <f t="shared" si="1"/>
        <v/>
      </c>
      <c r="AX3128" s="83" t="str">
        <f t="array" ref="AX3128">IFERROR(DGET('SBV Import'!A:G,"SBV",{"RSC ID","Tier";B3128,A3128}))</f>
        <v/>
      </c>
      <c r="AY3128" s="82" t="str">
        <f t="shared" si="2"/>
        <v/>
      </c>
      <c r="AZ3128" s="82"/>
      <c r="BA3128" s="84" t="s">
        <v>152</v>
      </c>
      <c r="BB3128" s="84" t="str">
        <f>IFERROR(__xludf.DUMMYFUNCTION("iferror(if(A3128="""",,E3128&gt;=FILTER(Constants!$F$2:$F$10,Constants!$A$2:$A$10=A3128)))"),"")</f>
        <v/>
      </c>
    </row>
    <row r="3129">
      <c r="A3129" s="89"/>
      <c r="B3129" s="87"/>
      <c r="C3129" s="73"/>
      <c r="D3129" s="73"/>
      <c r="E3129" s="82"/>
      <c r="F3129" s="82"/>
      <c r="G3129" s="86"/>
      <c r="H3129" s="86"/>
      <c r="I3129" s="86"/>
      <c r="J3129" s="82"/>
      <c r="K3129" s="82"/>
      <c r="L3129" s="82"/>
      <c r="M3129" s="82"/>
      <c r="N3129" s="82"/>
      <c r="O3129" s="82"/>
      <c r="P3129" s="82"/>
      <c r="Q3129" s="82"/>
      <c r="R3129" s="82"/>
      <c r="S3129" s="82"/>
      <c r="T3129" s="82"/>
      <c r="U3129" s="82"/>
      <c r="V3129" s="82"/>
      <c r="W3129" s="82"/>
      <c r="X3129" s="82"/>
      <c r="Y3129" s="82"/>
      <c r="Z3129" s="82"/>
      <c r="AA3129" s="82"/>
      <c r="AB3129" s="82"/>
      <c r="AC3129" s="82"/>
      <c r="AD3129" s="82"/>
      <c r="AE3129" s="82"/>
      <c r="AF3129" s="82"/>
      <c r="AG3129" s="82"/>
      <c r="AH3129" s="82"/>
      <c r="AI3129" s="82"/>
      <c r="AJ3129" s="82"/>
      <c r="AK3129" s="82"/>
      <c r="AL3129" s="82"/>
      <c r="AM3129" s="82"/>
      <c r="AN3129" s="82"/>
      <c r="AO3129" s="82"/>
      <c r="AP3129" s="82"/>
      <c r="AQ3129" s="82"/>
      <c r="AR3129" s="82"/>
      <c r="AS3129" s="82"/>
      <c r="AT3129" s="82"/>
      <c r="AU3129" s="82"/>
      <c r="AV3129" s="82"/>
      <c r="AW3129" s="82" t="str">
        <f t="shared" si="1"/>
        <v/>
      </c>
      <c r="AX3129" s="83" t="str">
        <f t="array" ref="AX3129">IFERROR(DGET('SBV Import'!A:G,"SBV",{"RSC ID","Tier";B3129,A3129}))</f>
        <v/>
      </c>
      <c r="AY3129" s="82" t="str">
        <f t="shared" si="2"/>
        <v/>
      </c>
      <c r="AZ3129" s="82"/>
      <c r="BA3129" s="84" t="s">
        <v>152</v>
      </c>
      <c r="BB3129" s="84" t="str">
        <f>IFERROR(__xludf.DUMMYFUNCTION("iferror(if(A3129="""",,E3129&gt;=FILTER(Constants!$F$2:$F$10,Constants!$A$2:$A$10=A3129)))"),"")</f>
        <v/>
      </c>
    </row>
    <row r="3130">
      <c r="A3130" s="89"/>
      <c r="B3130" s="87"/>
      <c r="C3130" s="73"/>
      <c r="D3130" s="73"/>
      <c r="E3130" s="82"/>
      <c r="F3130" s="82"/>
      <c r="G3130" s="86"/>
      <c r="H3130" s="86"/>
      <c r="I3130" s="86"/>
      <c r="J3130" s="82"/>
      <c r="K3130" s="82"/>
      <c r="L3130" s="82"/>
      <c r="M3130" s="82"/>
      <c r="N3130" s="82"/>
      <c r="O3130" s="82"/>
      <c r="P3130" s="82"/>
      <c r="Q3130" s="82"/>
      <c r="R3130" s="82"/>
      <c r="S3130" s="82"/>
      <c r="T3130" s="82"/>
      <c r="U3130" s="82"/>
      <c r="V3130" s="82"/>
      <c r="W3130" s="82"/>
      <c r="X3130" s="82"/>
      <c r="Y3130" s="82"/>
      <c r="Z3130" s="82"/>
      <c r="AA3130" s="82"/>
      <c r="AB3130" s="82"/>
      <c r="AC3130" s="82"/>
      <c r="AD3130" s="82"/>
      <c r="AE3130" s="82"/>
      <c r="AF3130" s="82"/>
      <c r="AG3130" s="82"/>
      <c r="AH3130" s="82"/>
      <c r="AI3130" s="82"/>
      <c r="AJ3130" s="82"/>
      <c r="AK3130" s="82"/>
      <c r="AL3130" s="82"/>
      <c r="AM3130" s="82"/>
      <c r="AN3130" s="82"/>
      <c r="AO3130" s="82"/>
      <c r="AP3130" s="82"/>
      <c r="AQ3130" s="82"/>
      <c r="AR3130" s="82"/>
      <c r="AS3130" s="82"/>
      <c r="AT3130" s="82"/>
      <c r="AU3130" s="82"/>
      <c r="AV3130" s="82"/>
      <c r="AW3130" s="82" t="str">
        <f t="shared" si="1"/>
        <v/>
      </c>
      <c r="AX3130" s="83" t="str">
        <f t="array" ref="AX3130">IFERROR(DGET('SBV Import'!A:G,"SBV",{"RSC ID","Tier";B3130,A3130}))</f>
        <v/>
      </c>
      <c r="AY3130" s="82" t="str">
        <f t="shared" si="2"/>
        <v/>
      </c>
      <c r="AZ3130" s="82"/>
      <c r="BA3130" s="84" t="s">
        <v>152</v>
      </c>
      <c r="BB3130" s="84" t="str">
        <f>IFERROR(__xludf.DUMMYFUNCTION("iferror(if(A3130="""",,E3130&gt;=FILTER(Constants!$F$2:$F$10,Constants!$A$2:$A$10=A3130)))"),"")</f>
        <v/>
      </c>
    </row>
    <row r="3131">
      <c r="A3131" s="89"/>
      <c r="B3131" s="87"/>
      <c r="C3131" s="73"/>
      <c r="D3131" s="73"/>
      <c r="E3131" s="82"/>
      <c r="F3131" s="82"/>
      <c r="G3131" s="86"/>
      <c r="H3131" s="86"/>
      <c r="I3131" s="86"/>
      <c r="J3131" s="82"/>
      <c r="K3131" s="82"/>
      <c r="L3131" s="82"/>
      <c r="M3131" s="82"/>
      <c r="N3131" s="82"/>
      <c r="O3131" s="82"/>
      <c r="P3131" s="82"/>
      <c r="Q3131" s="82"/>
      <c r="R3131" s="82"/>
      <c r="S3131" s="82"/>
      <c r="T3131" s="82"/>
      <c r="U3131" s="82"/>
      <c r="V3131" s="82"/>
      <c r="W3131" s="82"/>
      <c r="X3131" s="82"/>
      <c r="Y3131" s="82"/>
      <c r="Z3131" s="82"/>
      <c r="AA3131" s="82"/>
      <c r="AB3131" s="82"/>
      <c r="AC3131" s="82"/>
      <c r="AD3131" s="82"/>
      <c r="AE3131" s="82"/>
      <c r="AF3131" s="82"/>
      <c r="AG3131" s="82"/>
      <c r="AH3131" s="82"/>
      <c r="AI3131" s="82"/>
      <c r="AJ3131" s="82"/>
      <c r="AK3131" s="82"/>
      <c r="AL3131" s="82"/>
      <c r="AM3131" s="82"/>
      <c r="AN3131" s="82"/>
      <c r="AO3131" s="82"/>
      <c r="AP3131" s="82"/>
      <c r="AQ3131" s="82"/>
      <c r="AR3131" s="82"/>
      <c r="AS3131" s="82"/>
      <c r="AT3131" s="82"/>
      <c r="AU3131" s="82"/>
      <c r="AV3131" s="82"/>
      <c r="AW3131" s="82" t="str">
        <f t="shared" si="1"/>
        <v/>
      </c>
      <c r="AX3131" s="83" t="str">
        <f t="array" ref="AX3131">IFERROR(DGET('SBV Import'!A:G,"SBV",{"RSC ID","Tier";B3131,A3131}))</f>
        <v/>
      </c>
      <c r="AY3131" s="82" t="str">
        <f t="shared" si="2"/>
        <v/>
      </c>
      <c r="AZ3131" s="82"/>
      <c r="BA3131" s="84" t="s">
        <v>152</v>
      </c>
      <c r="BB3131" s="84" t="str">
        <f>IFERROR(__xludf.DUMMYFUNCTION("iferror(if(A3131="""",,E3131&gt;=FILTER(Constants!$F$2:$F$10,Constants!$A$2:$A$10=A3131)))"),"")</f>
        <v/>
      </c>
    </row>
    <row r="3132">
      <c r="A3132" s="89"/>
      <c r="B3132" s="87"/>
      <c r="C3132" s="73"/>
      <c r="D3132" s="73"/>
      <c r="E3132" s="82"/>
      <c r="F3132" s="82"/>
      <c r="G3132" s="86"/>
      <c r="H3132" s="86"/>
      <c r="I3132" s="86"/>
      <c r="J3132" s="82"/>
      <c r="K3132" s="82"/>
      <c r="L3132" s="82"/>
      <c r="M3132" s="82"/>
      <c r="N3132" s="82"/>
      <c r="O3132" s="82"/>
      <c r="P3132" s="82"/>
      <c r="Q3132" s="82"/>
      <c r="R3132" s="82"/>
      <c r="S3132" s="82"/>
      <c r="T3132" s="82"/>
      <c r="U3132" s="82"/>
      <c r="V3132" s="82"/>
      <c r="W3132" s="82"/>
      <c r="X3132" s="82"/>
      <c r="Y3132" s="82"/>
      <c r="Z3132" s="82"/>
      <c r="AA3132" s="82"/>
      <c r="AB3132" s="82"/>
      <c r="AC3132" s="82"/>
      <c r="AD3132" s="82"/>
      <c r="AE3132" s="82"/>
      <c r="AF3132" s="82"/>
      <c r="AG3132" s="82"/>
      <c r="AH3132" s="82"/>
      <c r="AI3132" s="82"/>
      <c r="AJ3132" s="82"/>
      <c r="AK3132" s="82"/>
      <c r="AL3132" s="82"/>
      <c r="AM3132" s="82"/>
      <c r="AN3132" s="82"/>
      <c r="AO3132" s="82"/>
      <c r="AP3132" s="82"/>
      <c r="AQ3132" s="82"/>
      <c r="AR3132" s="82"/>
      <c r="AS3132" s="82"/>
      <c r="AT3132" s="82"/>
      <c r="AU3132" s="82"/>
      <c r="AV3132" s="82"/>
      <c r="AW3132" s="82" t="str">
        <f t="shared" si="1"/>
        <v/>
      </c>
      <c r="AX3132" s="83" t="str">
        <f t="array" ref="AX3132">IFERROR(DGET('SBV Import'!A:G,"SBV",{"RSC ID","Tier";B3132,A3132}))</f>
        <v/>
      </c>
      <c r="AY3132" s="82" t="str">
        <f t="shared" si="2"/>
        <v/>
      </c>
      <c r="AZ3132" s="82"/>
      <c r="BA3132" s="84" t="s">
        <v>152</v>
      </c>
      <c r="BB3132" s="84" t="str">
        <f>IFERROR(__xludf.DUMMYFUNCTION("iferror(if(A3132="""",,E3132&gt;=FILTER(Constants!$F$2:$F$10,Constants!$A$2:$A$10=A3132)))"),"")</f>
        <v/>
      </c>
    </row>
    <row r="3133">
      <c r="A3133" s="89"/>
      <c r="B3133" s="87"/>
      <c r="C3133" s="73"/>
      <c r="D3133" s="73"/>
      <c r="E3133" s="82"/>
      <c r="F3133" s="82"/>
      <c r="G3133" s="86"/>
      <c r="H3133" s="86"/>
      <c r="I3133" s="86"/>
      <c r="J3133" s="82"/>
      <c r="K3133" s="82"/>
      <c r="L3133" s="82"/>
      <c r="M3133" s="82"/>
      <c r="N3133" s="82"/>
      <c r="O3133" s="82"/>
      <c r="P3133" s="82"/>
      <c r="Q3133" s="82"/>
      <c r="R3133" s="82"/>
      <c r="S3133" s="82"/>
      <c r="T3133" s="82"/>
      <c r="U3133" s="82"/>
      <c r="V3133" s="82"/>
      <c r="W3133" s="82"/>
      <c r="X3133" s="82"/>
      <c r="Y3133" s="82"/>
      <c r="Z3133" s="82"/>
      <c r="AA3133" s="82"/>
      <c r="AB3133" s="82"/>
      <c r="AC3133" s="82"/>
      <c r="AD3133" s="82"/>
      <c r="AE3133" s="82"/>
      <c r="AF3133" s="82"/>
      <c r="AG3133" s="82"/>
      <c r="AH3133" s="82"/>
      <c r="AI3133" s="82"/>
      <c r="AJ3133" s="82"/>
      <c r="AK3133" s="82"/>
      <c r="AL3133" s="82"/>
      <c r="AM3133" s="82"/>
      <c r="AN3133" s="82"/>
      <c r="AO3133" s="82"/>
      <c r="AP3133" s="82"/>
      <c r="AQ3133" s="82"/>
      <c r="AR3133" s="82"/>
      <c r="AS3133" s="82"/>
      <c r="AT3133" s="82"/>
      <c r="AU3133" s="82"/>
      <c r="AV3133" s="82"/>
      <c r="AW3133" s="82" t="str">
        <f t="shared" si="1"/>
        <v/>
      </c>
      <c r="AX3133" s="83" t="str">
        <f t="array" ref="AX3133">IFERROR(DGET('SBV Import'!A:G,"SBV",{"RSC ID","Tier";B3133,A3133}))</f>
        <v/>
      </c>
      <c r="AY3133" s="82" t="str">
        <f t="shared" si="2"/>
        <v/>
      </c>
      <c r="AZ3133" s="82"/>
      <c r="BA3133" s="84" t="s">
        <v>152</v>
      </c>
      <c r="BB3133" s="84" t="str">
        <f>IFERROR(__xludf.DUMMYFUNCTION("iferror(if(A3133="""",,E3133&gt;=FILTER(Constants!$F$2:$F$10,Constants!$A$2:$A$10=A3133)))"),"")</f>
        <v/>
      </c>
    </row>
    <row r="3134">
      <c r="A3134" s="89"/>
      <c r="B3134" s="87"/>
      <c r="C3134" s="73"/>
      <c r="D3134" s="73"/>
      <c r="E3134" s="82"/>
      <c r="F3134" s="82"/>
      <c r="G3134" s="86"/>
      <c r="H3134" s="86"/>
      <c r="I3134" s="86"/>
      <c r="J3134" s="82"/>
      <c r="K3134" s="82"/>
      <c r="L3134" s="82"/>
      <c r="M3134" s="82"/>
      <c r="N3134" s="82"/>
      <c r="O3134" s="82"/>
      <c r="P3134" s="82"/>
      <c r="Q3134" s="82"/>
      <c r="R3134" s="82"/>
      <c r="S3134" s="82"/>
      <c r="T3134" s="82"/>
      <c r="U3134" s="82"/>
      <c r="V3134" s="82"/>
      <c r="W3134" s="82"/>
      <c r="X3134" s="82"/>
      <c r="Y3134" s="82"/>
      <c r="Z3134" s="82"/>
      <c r="AA3134" s="82"/>
      <c r="AB3134" s="82"/>
      <c r="AC3134" s="82"/>
      <c r="AD3134" s="82"/>
      <c r="AE3134" s="82"/>
      <c r="AF3134" s="82"/>
      <c r="AG3134" s="82"/>
      <c r="AH3134" s="82"/>
      <c r="AI3134" s="82"/>
      <c r="AJ3134" s="82"/>
      <c r="AK3134" s="82"/>
      <c r="AL3134" s="82"/>
      <c r="AM3134" s="82"/>
      <c r="AN3134" s="82"/>
      <c r="AO3134" s="82"/>
      <c r="AP3134" s="82"/>
      <c r="AQ3134" s="82"/>
      <c r="AR3134" s="82"/>
      <c r="AS3134" s="82"/>
      <c r="AT3134" s="82"/>
      <c r="AU3134" s="82"/>
      <c r="AV3134" s="82"/>
      <c r="AW3134" s="82" t="str">
        <f t="shared" si="1"/>
        <v/>
      </c>
      <c r="AX3134" s="83" t="str">
        <f t="array" ref="AX3134">IFERROR(DGET('SBV Import'!A:G,"SBV",{"RSC ID","Tier";B3134,A3134}))</f>
        <v/>
      </c>
      <c r="AY3134" s="82" t="str">
        <f t="shared" si="2"/>
        <v/>
      </c>
      <c r="AZ3134" s="82"/>
      <c r="BA3134" s="84" t="s">
        <v>152</v>
      </c>
      <c r="BB3134" s="84" t="str">
        <f>IFERROR(__xludf.DUMMYFUNCTION("iferror(if(A3134="""",,E3134&gt;=FILTER(Constants!$F$2:$F$10,Constants!$A$2:$A$10=A3134)))"),"")</f>
        <v/>
      </c>
    </row>
    <row r="3135">
      <c r="A3135" s="89"/>
      <c r="B3135" s="87"/>
      <c r="C3135" s="73"/>
      <c r="D3135" s="73"/>
      <c r="E3135" s="82"/>
      <c r="F3135" s="82"/>
      <c r="G3135" s="86"/>
      <c r="H3135" s="86"/>
      <c r="I3135" s="86"/>
      <c r="J3135" s="82"/>
      <c r="K3135" s="82"/>
      <c r="L3135" s="82"/>
      <c r="M3135" s="82"/>
      <c r="N3135" s="82"/>
      <c r="O3135" s="82"/>
      <c r="P3135" s="82"/>
      <c r="Q3135" s="82"/>
      <c r="R3135" s="82"/>
      <c r="S3135" s="82"/>
      <c r="T3135" s="82"/>
      <c r="U3135" s="82"/>
      <c r="V3135" s="82"/>
      <c r="W3135" s="82"/>
      <c r="X3135" s="82"/>
      <c r="Y3135" s="82"/>
      <c r="Z3135" s="82"/>
      <c r="AA3135" s="82"/>
      <c r="AB3135" s="82"/>
      <c r="AC3135" s="82"/>
      <c r="AD3135" s="82"/>
      <c r="AE3135" s="82"/>
      <c r="AF3135" s="82"/>
      <c r="AG3135" s="82"/>
      <c r="AH3135" s="82"/>
      <c r="AI3135" s="82"/>
      <c r="AJ3135" s="82"/>
      <c r="AK3135" s="82"/>
      <c r="AL3135" s="82"/>
      <c r="AM3135" s="82"/>
      <c r="AN3135" s="82"/>
      <c r="AO3135" s="82"/>
      <c r="AP3135" s="82"/>
      <c r="AQ3135" s="82"/>
      <c r="AR3135" s="82"/>
      <c r="AS3135" s="82"/>
      <c r="AT3135" s="82"/>
      <c r="AU3135" s="82"/>
      <c r="AV3135" s="82"/>
      <c r="AW3135" s="82" t="str">
        <f t="shared" si="1"/>
        <v/>
      </c>
      <c r="AX3135" s="83" t="str">
        <f t="array" ref="AX3135">IFERROR(DGET('SBV Import'!A:G,"SBV",{"RSC ID","Tier";B3135,A3135}))</f>
        <v/>
      </c>
      <c r="AY3135" s="82" t="str">
        <f t="shared" si="2"/>
        <v/>
      </c>
      <c r="AZ3135" s="82"/>
      <c r="BA3135" s="84" t="s">
        <v>152</v>
      </c>
      <c r="BB3135" s="84" t="str">
        <f>IFERROR(__xludf.DUMMYFUNCTION("iferror(if(A3135="""",,E3135&gt;=FILTER(Constants!$F$2:$F$10,Constants!$A$2:$A$10=A3135)))"),"")</f>
        <v/>
      </c>
    </row>
    <row r="3136">
      <c r="A3136" s="89"/>
      <c r="B3136" s="87"/>
      <c r="C3136" s="73"/>
      <c r="D3136" s="73"/>
      <c r="E3136" s="82"/>
      <c r="F3136" s="82"/>
      <c r="G3136" s="86"/>
      <c r="H3136" s="86"/>
      <c r="I3136" s="86"/>
      <c r="J3136" s="82"/>
      <c r="K3136" s="82"/>
      <c r="L3136" s="82"/>
      <c r="M3136" s="82"/>
      <c r="N3136" s="82"/>
      <c r="O3136" s="82"/>
      <c r="P3136" s="82"/>
      <c r="Q3136" s="82"/>
      <c r="R3136" s="82"/>
      <c r="S3136" s="82"/>
      <c r="T3136" s="82"/>
      <c r="U3136" s="82"/>
      <c r="V3136" s="82"/>
      <c r="W3136" s="82"/>
      <c r="X3136" s="82"/>
      <c r="Y3136" s="82"/>
      <c r="Z3136" s="82"/>
      <c r="AA3136" s="82"/>
      <c r="AB3136" s="82"/>
      <c r="AC3136" s="82"/>
      <c r="AD3136" s="82"/>
      <c r="AE3136" s="82"/>
      <c r="AF3136" s="82"/>
      <c r="AG3136" s="82"/>
      <c r="AH3136" s="82"/>
      <c r="AI3136" s="82"/>
      <c r="AJ3136" s="82"/>
      <c r="AK3136" s="82"/>
      <c r="AL3136" s="82"/>
      <c r="AM3136" s="82"/>
      <c r="AN3136" s="82"/>
      <c r="AO3136" s="82"/>
      <c r="AP3136" s="82"/>
      <c r="AQ3136" s="82"/>
      <c r="AR3136" s="82"/>
      <c r="AS3136" s="82"/>
      <c r="AT3136" s="82"/>
      <c r="AU3136" s="82"/>
      <c r="AV3136" s="82"/>
      <c r="AW3136" s="82" t="str">
        <f t="shared" si="1"/>
        <v/>
      </c>
      <c r="AX3136" s="83" t="str">
        <f t="array" ref="AX3136">IFERROR(DGET('SBV Import'!A:G,"SBV",{"RSC ID","Tier";B3136,A3136}))</f>
        <v/>
      </c>
      <c r="AY3136" s="82" t="str">
        <f t="shared" si="2"/>
        <v/>
      </c>
      <c r="AZ3136" s="82"/>
      <c r="BA3136" s="84" t="s">
        <v>152</v>
      </c>
      <c r="BB3136" s="84" t="str">
        <f>IFERROR(__xludf.DUMMYFUNCTION("iferror(if(A3136="""",,E3136&gt;=FILTER(Constants!$F$2:$F$10,Constants!$A$2:$A$10=A3136)))"),"")</f>
        <v/>
      </c>
    </row>
    <row r="3137">
      <c r="A3137" s="89"/>
      <c r="B3137" s="87"/>
      <c r="C3137" s="73"/>
      <c r="D3137" s="73"/>
      <c r="E3137" s="82"/>
      <c r="F3137" s="82"/>
      <c r="G3137" s="86"/>
      <c r="H3137" s="86"/>
      <c r="I3137" s="86"/>
      <c r="J3137" s="82"/>
      <c r="K3137" s="82"/>
      <c r="L3137" s="82"/>
      <c r="M3137" s="82"/>
      <c r="N3137" s="82"/>
      <c r="O3137" s="82"/>
      <c r="P3137" s="82"/>
      <c r="Q3137" s="82"/>
      <c r="R3137" s="82"/>
      <c r="S3137" s="82"/>
      <c r="T3137" s="82"/>
      <c r="U3137" s="82"/>
      <c r="V3137" s="82"/>
      <c r="W3137" s="82"/>
      <c r="X3137" s="82"/>
      <c r="Y3137" s="82"/>
      <c r="Z3137" s="82"/>
      <c r="AA3137" s="82"/>
      <c r="AB3137" s="82"/>
      <c r="AC3137" s="82"/>
      <c r="AD3137" s="82"/>
      <c r="AE3137" s="82"/>
      <c r="AF3137" s="82"/>
      <c r="AG3137" s="82"/>
      <c r="AH3137" s="82"/>
      <c r="AI3137" s="82"/>
      <c r="AJ3137" s="82"/>
      <c r="AK3137" s="82"/>
      <c r="AL3137" s="82"/>
      <c r="AM3137" s="82"/>
      <c r="AN3137" s="82"/>
      <c r="AO3137" s="82"/>
      <c r="AP3137" s="82"/>
      <c r="AQ3137" s="82"/>
      <c r="AR3137" s="82"/>
      <c r="AS3137" s="82"/>
      <c r="AT3137" s="82"/>
      <c r="AU3137" s="82"/>
      <c r="AV3137" s="82"/>
      <c r="AW3137" s="82" t="str">
        <f t="shared" si="1"/>
        <v/>
      </c>
      <c r="AX3137" s="83" t="str">
        <f t="array" ref="AX3137">IFERROR(DGET('SBV Import'!A:G,"SBV",{"RSC ID","Tier";B3137,A3137}))</f>
        <v/>
      </c>
      <c r="AY3137" s="82" t="str">
        <f t="shared" si="2"/>
        <v/>
      </c>
      <c r="AZ3137" s="82"/>
      <c r="BA3137" s="84" t="s">
        <v>152</v>
      </c>
      <c r="BB3137" s="84" t="str">
        <f>IFERROR(__xludf.DUMMYFUNCTION("iferror(if(A3137="""",,E3137&gt;=FILTER(Constants!$F$2:$F$10,Constants!$A$2:$A$10=A3137)))"),"")</f>
        <v/>
      </c>
    </row>
    <row r="3138">
      <c r="A3138" s="89"/>
      <c r="B3138" s="87"/>
      <c r="C3138" s="73"/>
      <c r="D3138" s="73"/>
      <c r="E3138" s="82"/>
      <c r="F3138" s="82"/>
      <c r="G3138" s="86"/>
      <c r="H3138" s="86"/>
      <c r="I3138" s="86"/>
      <c r="J3138" s="82"/>
      <c r="K3138" s="82"/>
      <c r="L3138" s="82"/>
      <c r="M3138" s="82"/>
      <c r="N3138" s="82"/>
      <c r="O3138" s="82"/>
      <c r="P3138" s="82"/>
      <c r="Q3138" s="82"/>
      <c r="R3138" s="82"/>
      <c r="S3138" s="82"/>
      <c r="T3138" s="82"/>
      <c r="U3138" s="82"/>
      <c r="V3138" s="82"/>
      <c r="W3138" s="82"/>
      <c r="X3138" s="82"/>
      <c r="Y3138" s="82"/>
      <c r="Z3138" s="82"/>
      <c r="AA3138" s="82"/>
      <c r="AB3138" s="82"/>
      <c r="AC3138" s="82"/>
      <c r="AD3138" s="82"/>
      <c r="AE3138" s="82"/>
      <c r="AF3138" s="82"/>
      <c r="AG3138" s="82"/>
      <c r="AH3138" s="82"/>
      <c r="AI3138" s="82"/>
      <c r="AJ3138" s="82"/>
      <c r="AK3138" s="82"/>
      <c r="AL3138" s="82"/>
      <c r="AM3138" s="82"/>
      <c r="AN3138" s="82"/>
      <c r="AO3138" s="82"/>
      <c r="AP3138" s="82"/>
      <c r="AQ3138" s="82"/>
      <c r="AR3138" s="82"/>
      <c r="AS3138" s="82"/>
      <c r="AT3138" s="82"/>
      <c r="AU3138" s="82"/>
      <c r="AV3138" s="82"/>
      <c r="AW3138" s="82" t="str">
        <f t="shared" si="1"/>
        <v/>
      </c>
      <c r="AX3138" s="83" t="str">
        <f t="array" ref="AX3138">IFERROR(DGET('SBV Import'!A:G,"SBV",{"RSC ID","Tier";B3138,A3138}))</f>
        <v/>
      </c>
      <c r="AY3138" s="82" t="str">
        <f t="shared" si="2"/>
        <v/>
      </c>
      <c r="AZ3138" s="82"/>
      <c r="BA3138" s="84" t="s">
        <v>152</v>
      </c>
      <c r="BB3138" s="84" t="str">
        <f>IFERROR(__xludf.DUMMYFUNCTION("iferror(if(A3138="""",,E3138&gt;=FILTER(Constants!$F$2:$F$10,Constants!$A$2:$A$10=A3138)))"),"")</f>
        <v/>
      </c>
    </row>
    <row r="3139">
      <c r="A3139" s="89"/>
      <c r="B3139" s="87"/>
      <c r="C3139" s="73"/>
      <c r="D3139" s="73"/>
      <c r="E3139" s="82"/>
      <c r="F3139" s="82"/>
      <c r="G3139" s="86"/>
      <c r="H3139" s="86"/>
      <c r="I3139" s="86"/>
      <c r="J3139" s="82"/>
      <c r="K3139" s="82"/>
      <c r="L3139" s="82"/>
      <c r="M3139" s="82"/>
      <c r="N3139" s="82"/>
      <c r="O3139" s="82"/>
      <c r="P3139" s="82"/>
      <c r="Q3139" s="82"/>
      <c r="R3139" s="82"/>
      <c r="S3139" s="82"/>
      <c r="T3139" s="82"/>
      <c r="U3139" s="82"/>
      <c r="V3139" s="82"/>
      <c r="W3139" s="82"/>
      <c r="X3139" s="82"/>
      <c r="Y3139" s="82"/>
      <c r="Z3139" s="82"/>
      <c r="AA3139" s="82"/>
      <c r="AB3139" s="82"/>
      <c r="AC3139" s="82"/>
      <c r="AD3139" s="82"/>
      <c r="AE3139" s="82"/>
      <c r="AF3139" s="82"/>
      <c r="AG3139" s="82"/>
      <c r="AH3139" s="82"/>
      <c r="AI3139" s="82"/>
      <c r="AJ3139" s="82"/>
      <c r="AK3139" s="82"/>
      <c r="AL3139" s="82"/>
      <c r="AM3139" s="82"/>
      <c r="AN3139" s="82"/>
      <c r="AO3139" s="82"/>
      <c r="AP3139" s="82"/>
      <c r="AQ3139" s="82"/>
      <c r="AR3139" s="82"/>
      <c r="AS3139" s="82"/>
      <c r="AT3139" s="82"/>
      <c r="AU3139" s="82"/>
      <c r="AV3139" s="82"/>
      <c r="AW3139" s="82" t="str">
        <f t="shared" si="1"/>
        <v/>
      </c>
      <c r="AX3139" s="83" t="str">
        <f t="array" ref="AX3139">IFERROR(DGET('SBV Import'!A:G,"SBV",{"RSC ID","Tier";B3139,A3139}))</f>
        <v/>
      </c>
      <c r="AY3139" s="82" t="str">
        <f t="shared" si="2"/>
        <v/>
      </c>
      <c r="AZ3139" s="82"/>
      <c r="BA3139" s="84" t="s">
        <v>152</v>
      </c>
      <c r="BB3139" s="84" t="str">
        <f>IFERROR(__xludf.DUMMYFUNCTION("iferror(if(A3139="""",,E3139&gt;=FILTER(Constants!$F$2:$F$10,Constants!$A$2:$A$10=A3139)))"),"")</f>
        <v/>
      </c>
    </row>
    <row r="3140">
      <c r="A3140" s="89"/>
      <c r="B3140" s="87"/>
      <c r="C3140" s="73"/>
      <c r="D3140" s="73"/>
      <c r="E3140" s="82"/>
      <c r="F3140" s="82"/>
      <c r="G3140" s="86"/>
      <c r="H3140" s="86"/>
      <c r="I3140" s="86"/>
      <c r="J3140" s="82"/>
      <c r="K3140" s="82"/>
      <c r="L3140" s="82"/>
      <c r="M3140" s="82"/>
      <c r="N3140" s="82"/>
      <c r="O3140" s="82"/>
      <c r="P3140" s="82"/>
      <c r="Q3140" s="82"/>
      <c r="R3140" s="82"/>
      <c r="S3140" s="82"/>
      <c r="T3140" s="82"/>
      <c r="U3140" s="82"/>
      <c r="V3140" s="82"/>
      <c r="W3140" s="82"/>
      <c r="X3140" s="82"/>
      <c r="Y3140" s="82"/>
      <c r="Z3140" s="82"/>
      <c r="AA3140" s="82"/>
      <c r="AB3140" s="82"/>
      <c r="AC3140" s="82"/>
      <c r="AD3140" s="82"/>
      <c r="AE3140" s="82"/>
      <c r="AF3140" s="82"/>
      <c r="AG3140" s="82"/>
      <c r="AH3140" s="82"/>
      <c r="AI3140" s="82"/>
      <c r="AJ3140" s="82"/>
      <c r="AK3140" s="82"/>
      <c r="AL3140" s="82"/>
      <c r="AM3140" s="82"/>
      <c r="AN3140" s="82"/>
      <c r="AO3140" s="82"/>
      <c r="AP3140" s="82"/>
      <c r="AQ3140" s="82"/>
      <c r="AR3140" s="82"/>
      <c r="AS3140" s="82"/>
      <c r="AT3140" s="82"/>
      <c r="AU3140" s="82"/>
      <c r="AV3140" s="82"/>
      <c r="AW3140" s="82" t="str">
        <f t="shared" si="1"/>
        <v/>
      </c>
      <c r="AX3140" s="83" t="str">
        <f t="array" ref="AX3140">IFERROR(DGET('SBV Import'!A:G,"SBV",{"RSC ID","Tier";B3140,A3140}))</f>
        <v/>
      </c>
      <c r="AY3140" s="82" t="str">
        <f t="shared" si="2"/>
        <v/>
      </c>
      <c r="AZ3140" s="82"/>
      <c r="BA3140" s="84" t="s">
        <v>152</v>
      </c>
      <c r="BB3140" s="84" t="str">
        <f>IFERROR(__xludf.DUMMYFUNCTION("iferror(if(A3140="""",,E3140&gt;=FILTER(Constants!$F$2:$F$10,Constants!$A$2:$A$10=A3140)))"),"")</f>
        <v/>
      </c>
    </row>
    <row r="3141">
      <c r="A3141" s="89"/>
      <c r="B3141" s="87"/>
      <c r="C3141" s="73"/>
      <c r="D3141" s="73"/>
      <c r="E3141" s="82"/>
      <c r="F3141" s="82"/>
      <c r="G3141" s="86"/>
      <c r="H3141" s="86"/>
      <c r="I3141" s="86"/>
      <c r="J3141" s="82"/>
      <c r="K3141" s="82"/>
      <c r="L3141" s="82"/>
      <c r="M3141" s="82"/>
      <c r="N3141" s="82"/>
      <c r="O3141" s="82"/>
      <c r="P3141" s="82"/>
      <c r="Q3141" s="82"/>
      <c r="R3141" s="82"/>
      <c r="S3141" s="82"/>
      <c r="T3141" s="82"/>
      <c r="U3141" s="82"/>
      <c r="V3141" s="82"/>
      <c r="W3141" s="82"/>
      <c r="X3141" s="82"/>
      <c r="Y3141" s="82"/>
      <c r="Z3141" s="82"/>
      <c r="AA3141" s="82"/>
      <c r="AB3141" s="82"/>
      <c r="AC3141" s="82"/>
      <c r="AD3141" s="82"/>
      <c r="AE3141" s="82"/>
      <c r="AF3141" s="82"/>
      <c r="AG3141" s="82"/>
      <c r="AH3141" s="82"/>
      <c r="AI3141" s="82"/>
      <c r="AJ3141" s="82"/>
      <c r="AK3141" s="82"/>
      <c r="AL3141" s="82"/>
      <c r="AM3141" s="82"/>
      <c r="AN3141" s="82"/>
      <c r="AO3141" s="82"/>
      <c r="AP3141" s="82"/>
      <c r="AQ3141" s="82"/>
      <c r="AR3141" s="82"/>
      <c r="AS3141" s="82"/>
      <c r="AT3141" s="82"/>
      <c r="AU3141" s="82"/>
      <c r="AV3141" s="82"/>
      <c r="AW3141" s="82" t="str">
        <f t="shared" si="1"/>
        <v/>
      </c>
      <c r="AX3141" s="83" t="str">
        <f t="array" ref="AX3141">IFERROR(DGET('SBV Import'!A:G,"SBV",{"RSC ID","Tier";B3141,A3141}))</f>
        <v/>
      </c>
      <c r="AY3141" s="82" t="str">
        <f t="shared" si="2"/>
        <v/>
      </c>
      <c r="AZ3141" s="82"/>
      <c r="BA3141" s="84" t="s">
        <v>152</v>
      </c>
      <c r="BB3141" s="84" t="str">
        <f>IFERROR(__xludf.DUMMYFUNCTION("iferror(if(A3141="""",,E3141&gt;=FILTER(Constants!$F$2:$F$10,Constants!$A$2:$A$10=A3141)))"),"")</f>
        <v/>
      </c>
    </row>
    <row r="3142">
      <c r="A3142" s="89"/>
      <c r="B3142" s="87"/>
      <c r="C3142" s="73"/>
      <c r="D3142" s="73"/>
      <c r="E3142" s="82"/>
      <c r="F3142" s="82"/>
      <c r="G3142" s="86"/>
      <c r="H3142" s="86"/>
      <c r="I3142" s="86"/>
      <c r="J3142" s="82"/>
      <c r="K3142" s="82"/>
      <c r="L3142" s="82"/>
      <c r="M3142" s="82"/>
      <c r="N3142" s="82"/>
      <c r="O3142" s="82"/>
      <c r="P3142" s="82"/>
      <c r="Q3142" s="82"/>
      <c r="R3142" s="82"/>
      <c r="S3142" s="82"/>
      <c r="T3142" s="82"/>
      <c r="U3142" s="82"/>
      <c r="V3142" s="82"/>
      <c r="W3142" s="82"/>
      <c r="X3142" s="82"/>
      <c r="Y3142" s="82"/>
      <c r="Z3142" s="82"/>
      <c r="AA3142" s="82"/>
      <c r="AB3142" s="82"/>
      <c r="AC3142" s="82"/>
      <c r="AD3142" s="82"/>
      <c r="AE3142" s="82"/>
      <c r="AF3142" s="82"/>
      <c r="AG3142" s="82"/>
      <c r="AH3142" s="82"/>
      <c r="AI3142" s="82"/>
      <c r="AJ3142" s="82"/>
      <c r="AK3142" s="82"/>
      <c r="AL3142" s="82"/>
      <c r="AM3142" s="82"/>
      <c r="AN3142" s="82"/>
      <c r="AO3142" s="82"/>
      <c r="AP3142" s="82"/>
      <c r="AQ3142" s="82"/>
      <c r="AR3142" s="82"/>
      <c r="AS3142" s="82"/>
      <c r="AT3142" s="82"/>
      <c r="AU3142" s="82"/>
      <c r="AV3142" s="82"/>
      <c r="AW3142" s="82" t="str">
        <f t="shared" si="1"/>
        <v/>
      </c>
      <c r="AX3142" s="83" t="str">
        <f t="array" ref="AX3142">IFERROR(DGET('SBV Import'!A:G,"SBV",{"RSC ID","Tier";B3142,A3142}))</f>
        <v/>
      </c>
      <c r="AY3142" s="82" t="str">
        <f t="shared" si="2"/>
        <v/>
      </c>
      <c r="AZ3142" s="82"/>
      <c r="BA3142" s="84" t="s">
        <v>152</v>
      </c>
      <c r="BB3142" s="84" t="str">
        <f>IFERROR(__xludf.DUMMYFUNCTION("iferror(if(A3142="""",,E3142&gt;=FILTER(Constants!$F$2:$F$10,Constants!$A$2:$A$10=A3142)))"),"")</f>
        <v/>
      </c>
    </row>
    <row r="3143">
      <c r="A3143" s="89"/>
      <c r="B3143" s="87"/>
      <c r="C3143" s="73"/>
      <c r="D3143" s="73"/>
      <c r="E3143" s="82"/>
      <c r="F3143" s="82"/>
      <c r="G3143" s="86"/>
      <c r="H3143" s="86"/>
      <c r="I3143" s="86"/>
      <c r="J3143" s="82"/>
      <c r="K3143" s="82"/>
      <c r="L3143" s="82"/>
      <c r="M3143" s="82"/>
      <c r="N3143" s="82"/>
      <c r="O3143" s="82"/>
      <c r="P3143" s="82"/>
      <c r="Q3143" s="82"/>
      <c r="R3143" s="82"/>
      <c r="S3143" s="82"/>
      <c r="T3143" s="82"/>
      <c r="U3143" s="82"/>
      <c r="V3143" s="82"/>
      <c r="W3143" s="82"/>
      <c r="X3143" s="82"/>
      <c r="Y3143" s="82"/>
      <c r="Z3143" s="82"/>
      <c r="AA3143" s="82"/>
      <c r="AB3143" s="82"/>
      <c r="AC3143" s="82"/>
      <c r="AD3143" s="82"/>
      <c r="AE3143" s="82"/>
      <c r="AF3143" s="82"/>
      <c r="AG3143" s="82"/>
      <c r="AH3143" s="82"/>
      <c r="AI3143" s="82"/>
      <c r="AJ3143" s="82"/>
      <c r="AK3143" s="82"/>
      <c r="AL3143" s="82"/>
      <c r="AM3143" s="82"/>
      <c r="AN3143" s="82"/>
      <c r="AO3143" s="82"/>
      <c r="AP3143" s="82"/>
      <c r="AQ3143" s="82"/>
      <c r="AR3143" s="82"/>
      <c r="AS3143" s="82"/>
      <c r="AT3143" s="82"/>
      <c r="AU3143" s="82"/>
      <c r="AV3143" s="82"/>
      <c r="AW3143" s="82" t="str">
        <f t="shared" si="1"/>
        <v/>
      </c>
      <c r="AX3143" s="83" t="str">
        <f t="array" ref="AX3143">IFERROR(DGET('SBV Import'!A:G,"SBV",{"RSC ID","Tier";B3143,A3143}))</f>
        <v/>
      </c>
      <c r="AY3143" s="82" t="str">
        <f t="shared" si="2"/>
        <v/>
      </c>
      <c r="AZ3143" s="82"/>
      <c r="BA3143" s="84" t="s">
        <v>152</v>
      </c>
      <c r="BB3143" s="84" t="str">
        <f>IFERROR(__xludf.DUMMYFUNCTION("iferror(if(A3143="""",,E3143&gt;=FILTER(Constants!$F$2:$F$10,Constants!$A$2:$A$10=A3143)))"),"")</f>
        <v/>
      </c>
    </row>
    <row r="3144">
      <c r="A3144" s="89"/>
      <c r="B3144" s="87"/>
      <c r="C3144" s="73"/>
      <c r="D3144" s="73"/>
      <c r="E3144" s="82"/>
      <c r="F3144" s="82"/>
      <c r="G3144" s="86"/>
      <c r="H3144" s="86"/>
      <c r="I3144" s="86"/>
      <c r="J3144" s="82"/>
      <c r="K3144" s="82"/>
      <c r="L3144" s="82"/>
      <c r="M3144" s="82"/>
      <c r="N3144" s="82"/>
      <c r="O3144" s="82"/>
      <c r="P3144" s="82"/>
      <c r="Q3144" s="82"/>
      <c r="R3144" s="82"/>
      <c r="S3144" s="82"/>
      <c r="T3144" s="82"/>
      <c r="U3144" s="82"/>
      <c r="V3144" s="82"/>
      <c r="W3144" s="82"/>
      <c r="X3144" s="82"/>
      <c r="Y3144" s="82"/>
      <c r="Z3144" s="82"/>
      <c r="AA3144" s="82"/>
      <c r="AB3144" s="82"/>
      <c r="AC3144" s="82"/>
      <c r="AD3144" s="82"/>
      <c r="AE3144" s="82"/>
      <c r="AF3144" s="82"/>
      <c r="AG3144" s="82"/>
      <c r="AH3144" s="82"/>
      <c r="AI3144" s="82"/>
      <c r="AJ3144" s="82"/>
      <c r="AK3144" s="82"/>
      <c r="AL3144" s="82"/>
      <c r="AM3144" s="82"/>
      <c r="AN3144" s="82"/>
      <c r="AO3144" s="82"/>
      <c r="AP3144" s="82"/>
      <c r="AQ3144" s="82"/>
      <c r="AR3144" s="82"/>
      <c r="AS3144" s="82"/>
      <c r="AT3144" s="82"/>
      <c r="AU3144" s="82"/>
      <c r="AV3144" s="82"/>
      <c r="AW3144" s="82" t="str">
        <f t="shared" si="1"/>
        <v/>
      </c>
      <c r="AX3144" s="83" t="str">
        <f t="array" ref="AX3144">IFERROR(DGET('SBV Import'!A:G,"SBV",{"RSC ID","Tier";B3144,A3144}))</f>
        <v/>
      </c>
      <c r="AY3144" s="82" t="str">
        <f t="shared" si="2"/>
        <v/>
      </c>
      <c r="AZ3144" s="82"/>
      <c r="BA3144" s="84" t="s">
        <v>152</v>
      </c>
      <c r="BB3144" s="84" t="str">
        <f>IFERROR(__xludf.DUMMYFUNCTION("iferror(if(A3144="""",,E3144&gt;=FILTER(Constants!$F$2:$F$10,Constants!$A$2:$A$10=A3144)))"),"")</f>
        <v/>
      </c>
    </row>
    <row r="3145">
      <c r="A3145" s="89"/>
      <c r="B3145" s="87"/>
      <c r="C3145" s="73"/>
      <c r="D3145" s="73"/>
      <c r="E3145" s="82"/>
      <c r="F3145" s="82"/>
      <c r="G3145" s="86"/>
      <c r="H3145" s="86"/>
      <c r="I3145" s="86"/>
      <c r="J3145" s="82"/>
      <c r="K3145" s="82"/>
      <c r="L3145" s="82"/>
      <c r="M3145" s="82"/>
      <c r="N3145" s="82"/>
      <c r="O3145" s="82"/>
      <c r="P3145" s="82"/>
      <c r="Q3145" s="82"/>
      <c r="R3145" s="82"/>
      <c r="S3145" s="82"/>
      <c r="T3145" s="82"/>
      <c r="U3145" s="82"/>
      <c r="V3145" s="82"/>
      <c r="W3145" s="82"/>
      <c r="X3145" s="82"/>
      <c r="Y3145" s="82"/>
      <c r="Z3145" s="82"/>
      <c r="AA3145" s="82"/>
      <c r="AB3145" s="82"/>
      <c r="AC3145" s="82"/>
      <c r="AD3145" s="82"/>
      <c r="AE3145" s="82"/>
      <c r="AF3145" s="82"/>
      <c r="AG3145" s="82"/>
      <c r="AH3145" s="82"/>
      <c r="AI3145" s="82"/>
      <c r="AJ3145" s="82"/>
      <c r="AK3145" s="82"/>
      <c r="AL3145" s="82"/>
      <c r="AM3145" s="82"/>
      <c r="AN3145" s="82"/>
      <c r="AO3145" s="82"/>
      <c r="AP3145" s="82"/>
      <c r="AQ3145" s="82"/>
      <c r="AR3145" s="82"/>
      <c r="AS3145" s="82"/>
      <c r="AT3145" s="82"/>
      <c r="AU3145" s="82"/>
      <c r="AV3145" s="82"/>
      <c r="AW3145" s="82" t="str">
        <f t="shared" si="1"/>
        <v/>
      </c>
      <c r="AX3145" s="83" t="str">
        <f t="array" ref="AX3145">IFERROR(DGET('SBV Import'!A:G,"SBV",{"RSC ID","Tier";B3145,A3145}))</f>
        <v/>
      </c>
      <c r="AY3145" s="82" t="str">
        <f t="shared" si="2"/>
        <v/>
      </c>
      <c r="AZ3145" s="82"/>
      <c r="BA3145" s="84" t="s">
        <v>152</v>
      </c>
      <c r="BB3145" s="84" t="str">
        <f>IFERROR(__xludf.DUMMYFUNCTION("iferror(if(A3145="""",,E3145&gt;=FILTER(Constants!$F$2:$F$10,Constants!$A$2:$A$10=A3145)))"),"")</f>
        <v/>
      </c>
    </row>
    <row r="3146">
      <c r="A3146" s="89"/>
      <c r="B3146" s="87"/>
      <c r="C3146" s="73"/>
      <c r="D3146" s="73"/>
      <c r="E3146" s="82"/>
      <c r="F3146" s="82"/>
      <c r="G3146" s="86"/>
      <c r="H3146" s="86"/>
      <c r="I3146" s="86"/>
      <c r="J3146" s="82"/>
      <c r="K3146" s="82"/>
      <c r="L3146" s="82"/>
      <c r="M3146" s="82"/>
      <c r="N3146" s="82"/>
      <c r="O3146" s="82"/>
      <c r="P3146" s="82"/>
      <c r="Q3146" s="82"/>
      <c r="R3146" s="82"/>
      <c r="S3146" s="82"/>
      <c r="T3146" s="82"/>
      <c r="U3146" s="82"/>
      <c r="V3146" s="82"/>
      <c r="W3146" s="82"/>
      <c r="X3146" s="82"/>
      <c r="Y3146" s="82"/>
      <c r="Z3146" s="82"/>
      <c r="AA3146" s="82"/>
      <c r="AB3146" s="82"/>
      <c r="AC3146" s="82"/>
      <c r="AD3146" s="82"/>
      <c r="AE3146" s="82"/>
      <c r="AF3146" s="82"/>
      <c r="AG3146" s="82"/>
      <c r="AH3146" s="82"/>
      <c r="AI3146" s="82"/>
      <c r="AJ3146" s="82"/>
      <c r="AK3146" s="82"/>
      <c r="AL3146" s="82"/>
      <c r="AM3146" s="82"/>
      <c r="AN3146" s="82"/>
      <c r="AO3146" s="82"/>
      <c r="AP3146" s="82"/>
      <c r="AQ3146" s="82"/>
      <c r="AR3146" s="82"/>
      <c r="AS3146" s="82"/>
      <c r="AT3146" s="82"/>
      <c r="AU3146" s="82"/>
      <c r="AV3146" s="82"/>
      <c r="AW3146" s="82" t="str">
        <f t="shared" si="1"/>
        <v/>
      </c>
      <c r="AX3146" s="83" t="str">
        <f t="array" ref="AX3146">IFERROR(DGET('SBV Import'!A:G,"SBV",{"RSC ID","Tier";B3146,A3146}))</f>
        <v/>
      </c>
      <c r="AY3146" s="82" t="str">
        <f t="shared" si="2"/>
        <v/>
      </c>
      <c r="AZ3146" s="82"/>
      <c r="BA3146" s="84" t="s">
        <v>152</v>
      </c>
      <c r="BB3146" s="84" t="str">
        <f>IFERROR(__xludf.DUMMYFUNCTION("iferror(if(A3146="""",,E3146&gt;=FILTER(Constants!$F$2:$F$10,Constants!$A$2:$A$10=A3146)))"),"")</f>
        <v/>
      </c>
    </row>
    <row r="3147">
      <c r="A3147" s="89"/>
      <c r="B3147" s="87"/>
      <c r="C3147" s="73"/>
      <c r="D3147" s="73"/>
      <c r="E3147" s="82"/>
      <c r="F3147" s="82"/>
      <c r="G3147" s="86"/>
      <c r="H3147" s="86"/>
      <c r="I3147" s="86"/>
      <c r="J3147" s="82"/>
      <c r="K3147" s="82"/>
      <c r="L3147" s="82"/>
      <c r="M3147" s="82"/>
      <c r="N3147" s="82"/>
      <c r="O3147" s="82"/>
      <c r="P3147" s="82"/>
      <c r="Q3147" s="82"/>
      <c r="R3147" s="82"/>
      <c r="S3147" s="82"/>
      <c r="T3147" s="82"/>
      <c r="U3147" s="82"/>
      <c r="V3147" s="82"/>
      <c r="W3147" s="82"/>
      <c r="X3147" s="82"/>
      <c r="Y3147" s="82"/>
      <c r="Z3147" s="82"/>
      <c r="AA3147" s="82"/>
      <c r="AB3147" s="82"/>
      <c r="AC3147" s="82"/>
      <c r="AD3147" s="82"/>
      <c r="AE3147" s="82"/>
      <c r="AF3147" s="82"/>
      <c r="AG3147" s="82"/>
      <c r="AH3147" s="82"/>
      <c r="AI3147" s="82"/>
      <c r="AJ3147" s="82"/>
      <c r="AK3147" s="82"/>
      <c r="AL3147" s="82"/>
      <c r="AM3147" s="82"/>
      <c r="AN3147" s="82"/>
      <c r="AO3147" s="82"/>
      <c r="AP3147" s="82"/>
      <c r="AQ3147" s="82"/>
      <c r="AR3147" s="82"/>
      <c r="AS3147" s="82"/>
      <c r="AT3147" s="82"/>
      <c r="AU3147" s="82"/>
      <c r="AV3147" s="82"/>
      <c r="AW3147" s="82" t="str">
        <f t="shared" si="1"/>
        <v/>
      </c>
      <c r="AX3147" s="83" t="str">
        <f t="array" ref="AX3147">IFERROR(DGET('SBV Import'!A:G,"SBV",{"RSC ID","Tier";B3147,A3147}))</f>
        <v/>
      </c>
      <c r="AY3147" s="82" t="str">
        <f t="shared" si="2"/>
        <v/>
      </c>
      <c r="AZ3147" s="82"/>
      <c r="BA3147" s="84" t="s">
        <v>152</v>
      </c>
      <c r="BB3147" s="84" t="str">
        <f>IFERROR(__xludf.DUMMYFUNCTION("iferror(if(A3147="""",,E3147&gt;=FILTER(Constants!$F$2:$F$10,Constants!$A$2:$A$10=A3147)))"),"")</f>
        <v/>
      </c>
    </row>
    <row r="3148">
      <c r="A3148" s="89"/>
      <c r="B3148" s="87"/>
      <c r="C3148" s="73"/>
      <c r="D3148" s="73"/>
      <c r="E3148" s="82"/>
      <c r="F3148" s="82"/>
      <c r="G3148" s="86"/>
      <c r="H3148" s="86"/>
      <c r="I3148" s="86"/>
      <c r="J3148" s="82"/>
      <c r="K3148" s="82"/>
      <c r="L3148" s="82"/>
      <c r="M3148" s="82"/>
      <c r="N3148" s="82"/>
      <c r="O3148" s="82"/>
      <c r="P3148" s="82"/>
      <c r="Q3148" s="82"/>
      <c r="R3148" s="82"/>
      <c r="S3148" s="82"/>
      <c r="T3148" s="82"/>
      <c r="U3148" s="82"/>
      <c r="V3148" s="82"/>
      <c r="W3148" s="82"/>
      <c r="X3148" s="82"/>
      <c r="Y3148" s="82"/>
      <c r="Z3148" s="82"/>
      <c r="AA3148" s="82"/>
      <c r="AB3148" s="82"/>
      <c r="AC3148" s="82"/>
      <c r="AD3148" s="82"/>
      <c r="AE3148" s="82"/>
      <c r="AF3148" s="82"/>
      <c r="AG3148" s="82"/>
      <c r="AH3148" s="82"/>
      <c r="AI3148" s="82"/>
      <c r="AJ3148" s="82"/>
      <c r="AK3148" s="82"/>
      <c r="AL3148" s="82"/>
      <c r="AM3148" s="82"/>
      <c r="AN3148" s="82"/>
      <c r="AO3148" s="82"/>
      <c r="AP3148" s="82"/>
      <c r="AQ3148" s="82"/>
      <c r="AR3148" s="82"/>
      <c r="AS3148" s="82"/>
      <c r="AT3148" s="82"/>
      <c r="AU3148" s="82"/>
      <c r="AV3148" s="82"/>
      <c r="AW3148" s="82" t="str">
        <f t="shared" si="1"/>
        <v/>
      </c>
      <c r="AX3148" s="83" t="str">
        <f t="array" ref="AX3148">IFERROR(DGET('SBV Import'!A:G,"SBV",{"RSC ID","Tier";B3148,A3148}))</f>
        <v/>
      </c>
      <c r="AY3148" s="82" t="str">
        <f t="shared" si="2"/>
        <v/>
      </c>
      <c r="AZ3148" s="82"/>
      <c r="BA3148" s="84" t="s">
        <v>152</v>
      </c>
      <c r="BB3148" s="84" t="str">
        <f>IFERROR(__xludf.DUMMYFUNCTION("iferror(if(A3148="""",,E3148&gt;=FILTER(Constants!$F$2:$F$10,Constants!$A$2:$A$10=A3148)))"),"")</f>
        <v/>
      </c>
    </row>
    <row r="3149">
      <c r="A3149" s="89"/>
      <c r="B3149" s="87"/>
      <c r="C3149" s="73"/>
      <c r="D3149" s="73"/>
      <c r="E3149" s="82"/>
      <c r="F3149" s="82"/>
      <c r="G3149" s="86"/>
      <c r="H3149" s="86"/>
      <c r="I3149" s="86"/>
      <c r="J3149" s="82"/>
      <c r="K3149" s="82"/>
      <c r="L3149" s="82"/>
      <c r="M3149" s="82"/>
      <c r="N3149" s="82"/>
      <c r="O3149" s="82"/>
      <c r="P3149" s="82"/>
      <c r="Q3149" s="82"/>
      <c r="R3149" s="82"/>
      <c r="S3149" s="82"/>
      <c r="T3149" s="82"/>
      <c r="U3149" s="82"/>
      <c r="V3149" s="82"/>
      <c r="W3149" s="82"/>
      <c r="X3149" s="82"/>
      <c r="Y3149" s="82"/>
      <c r="Z3149" s="82"/>
      <c r="AA3149" s="82"/>
      <c r="AB3149" s="82"/>
      <c r="AC3149" s="82"/>
      <c r="AD3149" s="82"/>
      <c r="AE3149" s="82"/>
      <c r="AF3149" s="82"/>
      <c r="AG3149" s="82"/>
      <c r="AH3149" s="82"/>
      <c r="AI3149" s="82"/>
      <c r="AJ3149" s="82"/>
      <c r="AK3149" s="82"/>
      <c r="AL3149" s="82"/>
      <c r="AM3149" s="82"/>
      <c r="AN3149" s="82"/>
      <c r="AO3149" s="82"/>
      <c r="AP3149" s="82"/>
      <c r="AQ3149" s="82"/>
      <c r="AR3149" s="82"/>
      <c r="AS3149" s="82"/>
      <c r="AT3149" s="82"/>
      <c r="AU3149" s="82"/>
      <c r="AV3149" s="82"/>
      <c r="AW3149" s="82" t="str">
        <f t="shared" si="1"/>
        <v/>
      </c>
      <c r="AX3149" s="83" t="str">
        <f t="array" ref="AX3149">IFERROR(DGET('SBV Import'!A:G,"SBV",{"RSC ID","Tier";B3149,A3149}))</f>
        <v/>
      </c>
      <c r="AY3149" s="82" t="str">
        <f t="shared" si="2"/>
        <v/>
      </c>
      <c r="AZ3149" s="82"/>
      <c r="BA3149" s="84" t="s">
        <v>152</v>
      </c>
      <c r="BB3149" s="84" t="str">
        <f>IFERROR(__xludf.DUMMYFUNCTION("iferror(if(A3149="""",,E3149&gt;=FILTER(Constants!$F$2:$F$10,Constants!$A$2:$A$10=A3149)))"),"")</f>
        <v/>
      </c>
    </row>
    <row r="3150">
      <c r="A3150" s="89"/>
      <c r="B3150" s="87"/>
      <c r="C3150" s="73"/>
      <c r="D3150" s="73"/>
      <c r="E3150" s="82"/>
      <c r="F3150" s="82"/>
      <c r="G3150" s="86"/>
      <c r="H3150" s="86"/>
      <c r="I3150" s="86"/>
      <c r="J3150" s="82"/>
      <c r="K3150" s="82"/>
      <c r="L3150" s="82"/>
      <c r="M3150" s="82"/>
      <c r="N3150" s="82"/>
      <c r="O3150" s="82"/>
      <c r="P3150" s="82"/>
      <c r="Q3150" s="82"/>
      <c r="R3150" s="82"/>
      <c r="S3150" s="82"/>
      <c r="T3150" s="82"/>
      <c r="U3150" s="82"/>
      <c r="V3150" s="82"/>
      <c r="W3150" s="82"/>
      <c r="X3150" s="82"/>
      <c r="Y3150" s="82"/>
      <c r="Z3150" s="82"/>
      <c r="AA3150" s="82"/>
      <c r="AB3150" s="82"/>
      <c r="AC3150" s="82"/>
      <c r="AD3150" s="82"/>
      <c r="AE3150" s="82"/>
      <c r="AF3150" s="82"/>
      <c r="AG3150" s="82"/>
      <c r="AH3150" s="82"/>
      <c r="AI3150" s="82"/>
      <c r="AJ3150" s="82"/>
      <c r="AK3150" s="82"/>
      <c r="AL3150" s="82"/>
      <c r="AM3150" s="82"/>
      <c r="AN3150" s="82"/>
      <c r="AO3150" s="82"/>
      <c r="AP3150" s="82"/>
      <c r="AQ3150" s="82"/>
      <c r="AR3150" s="82"/>
      <c r="AS3150" s="82"/>
      <c r="AT3150" s="82"/>
      <c r="AU3150" s="82"/>
      <c r="AV3150" s="82"/>
      <c r="AW3150" s="82" t="str">
        <f t="shared" si="1"/>
        <v/>
      </c>
      <c r="AX3150" s="83" t="str">
        <f t="array" ref="AX3150">IFERROR(DGET('SBV Import'!A:G,"SBV",{"RSC ID","Tier";B3150,A3150}))</f>
        <v/>
      </c>
      <c r="AY3150" s="82" t="str">
        <f t="shared" si="2"/>
        <v/>
      </c>
      <c r="AZ3150" s="82"/>
      <c r="BA3150" s="84" t="s">
        <v>152</v>
      </c>
      <c r="BB3150" s="84" t="str">
        <f>IFERROR(__xludf.DUMMYFUNCTION("iferror(if(A3150="""",,E3150&gt;=FILTER(Constants!$F$2:$F$10,Constants!$A$2:$A$10=A3150)))"),"")</f>
        <v/>
      </c>
    </row>
    <row r="3151">
      <c r="A3151" s="89"/>
      <c r="B3151" s="87"/>
      <c r="C3151" s="73"/>
      <c r="D3151" s="73"/>
      <c r="E3151" s="82"/>
      <c r="F3151" s="82"/>
      <c r="G3151" s="86"/>
      <c r="H3151" s="86"/>
      <c r="I3151" s="86"/>
      <c r="J3151" s="82"/>
      <c r="K3151" s="82"/>
      <c r="L3151" s="82"/>
      <c r="M3151" s="82"/>
      <c r="N3151" s="82"/>
      <c r="O3151" s="82"/>
      <c r="P3151" s="82"/>
      <c r="Q3151" s="82"/>
      <c r="R3151" s="82"/>
      <c r="S3151" s="82"/>
      <c r="T3151" s="82"/>
      <c r="U3151" s="82"/>
      <c r="V3151" s="82"/>
      <c r="W3151" s="82"/>
      <c r="X3151" s="82"/>
      <c r="Y3151" s="82"/>
      <c r="Z3151" s="82"/>
      <c r="AA3151" s="82"/>
      <c r="AB3151" s="82"/>
      <c r="AC3151" s="82"/>
      <c r="AD3151" s="82"/>
      <c r="AE3151" s="82"/>
      <c r="AF3151" s="82"/>
      <c r="AG3151" s="82"/>
      <c r="AH3151" s="82"/>
      <c r="AI3151" s="82"/>
      <c r="AJ3151" s="82"/>
      <c r="AK3151" s="82"/>
      <c r="AL3151" s="82"/>
      <c r="AM3151" s="82"/>
      <c r="AN3151" s="82"/>
      <c r="AO3151" s="82"/>
      <c r="AP3151" s="82"/>
      <c r="AQ3151" s="82"/>
      <c r="AR3151" s="82"/>
      <c r="AS3151" s="82"/>
      <c r="AT3151" s="82"/>
      <c r="AU3151" s="82"/>
      <c r="AV3151" s="82"/>
      <c r="AW3151" s="82" t="str">
        <f t="shared" si="1"/>
        <v/>
      </c>
      <c r="AX3151" s="83" t="str">
        <f t="array" ref="AX3151">IFERROR(DGET('SBV Import'!A:G,"SBV",{"RSC ID","Tier";B3151,A3151}))</f>
        <v/>
      </c>
      <c r="AY3151" s="82" t="str">
        <f t="shared" si="2"/>
        <v/>
      </c>
      <c r="AZ3151" s="82"/>
      <c r="BA3151" s="84" t="s">
        <v>152</v>
      </c>
      <c r="BB3151" s="84" t="str">
        <f>IFERROR(__xludf.DUMMYFUNCTION("iferror(if(A3151="""",,E3151&gt;=FILTER(Constants!$F$2:$F$10,Constants!$A$2:$A$10=A3151)))"),"")</f>
        <v/>
      </c>
    </row>
    <row r="3152">
      <c r="A3152" s="89"/>
      <c r="B3152" s="87"/>
      <c r="C3152" s="73"/>
      <c r="D3152" s="73"/>
      <c r="E3152" s="82"/>
      <c r="F3152" s="82"/>
      <c r="G3152" s="86"/>
      <c r="H3152" s="86"/>
      <c r="I3152" s="86"/>
      <c r="J3152" s="82"/>
      <c r="K3152" s="82"/>
      <c r="L3152" s="82"/>
      <c r="M3152" s="82"/>
      <c r="N3152" s="82"/>
      <c r="O3152" s="82"/>
      <c r="P3152" s="82"/>
      <c r="Q3152" s="82"/>
      <c r="R3152" s="82"/>
      <c r="S3152" s="82"/>
      <c r="T3152" s="82"/>
      <c r="U3152" s="82"/>
      <c r="V3152" s="82"/>
      <c r="W3152" s="82"/>
      <c r="X3152" s="82"/>
      <c r="Y3152" s="82"/>
      <c r="Z3152" s="82"/>
      <c r="AA3152" s="82"/>
      <c r="AB3152" s="82"/>
      <c r="AC3152" s="82"/>
      <c r="AD3152" s="82"/>
      <c r="AE3152" s="82"/>
      <c r="AF3152" s="82"/>
      <c r="AG3152" s="82"/>
      <c r="AH3152" s="82"/>
      <c r="AI3152" s="82"/>
      <c r="AJ3152" s="82"/>
      <c r="AK3152" s="82"/>
      <c r="AL3152" s="82"/>
      <c r="AM3152" s="82"/>
      <c r="AN3152" s="82"/>
      <c r="AO3152" s="82"/>
      <c r="AP3152" s="82"/>
      <c r="AQ3152" s="82"/>
      <c r="AR3152" s="82"/>
      <c r="AS3152" s="82"/>
      <c r="AT3152" s="82"/>
      <c r="AU3152" s="82"/>
      <c r="AV3152" s="82"/>
      <c r="AW3152" s="82" t="str">
        <f t="shared" si="1"/>
        <v/>
      </c>
      <c r="AX3152" s="83" t="str">
        <f t="array" ref="AX3152">IFERROR(DGET('SBV Import'!A:G,"SBV",{"RSC ID","Tier";B3152,A3152}))</f>
        <v/>
      </c>
      <c r="AY3152" s="82" t="str">
        <f t="shared" si="2"/>
        <v/>
      </c>
      <c r="AZ3152" s="82"/>
      <c r="BA3152" s="84" t="s">
        <v>152</v>
      </c>
      <c r="BB3152" s="84" t="str">
        <f>IFERROR(__xludf.DUMMYFUNCTION("iferror(if(A3152="""",,E3152&gt;=FILTER(Constants!$F$2:$F$10,Constants!$A$2:$A$10=A3152)))"),"")</f>
        <v/>
      </c>
    </row>
    <row r="3153">
      <c r="A3153" s="89"/>
      <c r="B3153" s="87"/>
      <c r="C3153" s="73"/>
      <c r="D3153" s="73"/>
      <c r="E3153" s="82"/>
      <c r="F3153" s="82"/>
      <c r="G3153" s="86"/>
      <c r="H3153" s="86"/>
      <c r="I3153" s="86"/>
      <c r="J3153" s="82"/>
      <c r="K3153" s="82"/>
      <c r="L3153" s="82"/>
      <c r="M3153" s="82"/>
      <c r="N3153" s="82"/>
      <c r="O3153" s="82"/>
      <c r="P3153" s="82"/>
      <c r="Q3153" s="82"/>
      <c r="R3153" s="82"/>
      <c r="S3153" s="82"/>
      <c r="T3153" s="82"/>
      <c r="U3153" s="82"/>
      <c r="V3153" s="82"/>
      <c r="W3153" s="82"/>
      <c r="X3153" s="82"/>
      <c r="Y3153" s="82"/>
      <c r="Z3153" s="82"/>
      <c r="AA3153" s="82"/>
      <c r="AB3153" s="82"/>
      <c r="AC3153" s="82"/>
      <c r="AD3153" s="82"/>
      <c r="AE3153" s="82"/>
      <c r="AF3153" s="82"/>
      <c r="AG3153" s="82"/>
      <c r="AH3153" s="82"/>
      <c r="AI3153" s="82"/>
      <c r="AJ3153" s="82"/>
      <c r="AK3153" s="82"/>
      <c r="AL3153" s="82"/>
      <c r="AM3153" s="82"/>
      <c r="AN3153" s="82"/>
      <c r="AO3153" s="82"/>
      <c r="AP3153" s="82"/>
      <c r="AQ3153" s="82"/>
      <c r="AR3153" s="82"/>
      <c r="AS3153" s="82"/>
      <c r="AT3153" s="82"/>
      <c r="AU3153" s="82"/>
      <c r="AV3153" s="82"/>
      <c r="AW3153" s="82" t="str">
        <f t="shared" si="1"/>
        <v/>
      </c>
      <c r="AX3153" s="83" t="str">
        <f t="array" ref="AX3153">IFERROR(DGET('SBV Import'!A:G,"SBV",{"RSC ID","Tier";B3153,A3153}))</f>
        <v/>
      </c>
      <c r="AY3153" s="82" t="str">
        <f t="shared" si="2"/>
        <v/>
      </c>
      <c r="AZ3153" s="82"/>
      <c r="BA3153" s="84" t="s">
        <v>152</v>
      </c>
      <c r="BB3153" s="84" t="str">
        <f>IFERROR(__xludf.DUMMYFUNCTION("iferror(if(A3153="""",,E3153&gt;=FILTER(Constants!$F$2:$F$10,Constants!$A$2:$A$10=A3153)))"),"")</f>
        <v/>
      </c>
    </row>
    <row r="3154">
      <c r="A3154" s="89"/>
      <c r="B3154" s="87"/>
      <c r="C3154" s="73"/>
      <c r="D3154" s="73"/>
      <c r="E3154" s="82"/>
      <c r="F3154" s="82"/>
      <c r="G3154" s="86"/>
      <c r="H3154" s="86"/>
      <c r="I3154" s="86"/>
      <c r="J3154" s="82"/>
      <c r="K3154" s="82"/>
      <c r="L3154" s="82"/>
      <c r="M3154" s="82"/>
      <c r="N3154" s="82"/>
      <c r="O3154" s="82"/>
      <c r="P3154" s="82"/>
      <c r="Q3154" s="82"/>
      <c r="R3154" s="82"/>
      <c r="S3154" s="82"/>
      <c r="T3154" s="82"/>
      <c r="U3154" s="82"/>
      <c r="V3154" s="82"/>
      <c r="W3154" s="82"/>
      <c r="X3154" s="82"/>
      <c r="Y3154" s="82"/>
      <c r="Z3154" s="82"/>
      <c r="AA3154" s="82"/>
      <c r="AB3154" s="82"/>
      <c r="AC3154" s="82"/>
      <c r="AD3154" s="82"/>
      <c r="AE3154" s="82"/>
      <c r="AF3154" s="82"/>
      <c r="AG3154" s="82"/>
      <c r="AH3154" s="82"/>
      <c r="AI3154" s="82"/>
      <c r="AJ3154" s="82"/>
      <c r="AK3154" s="82"/>
      <c r="AL3154" s="82"/>
      <c r="AM3154" s="82"/>
      <c r="AN3154" s="82"/>
      <c r="AO3154" s="82"/>
      <c r="AP3154" s="82"/>
      <c r="AQ3154" s="82"/>
      <c r="AR3154" s="82"/>
      <c r="AS3154" s="82"/>
      <c r="AT3154" s="82"/>
      <c r="AU3154" s="82"/>
      <c r="AV3154" s="82"/>
      <c r="AW3154" s="82" t="str">
        <f t="shared" si="1"/>
        <v/>
      </c>
      <c r="AX3154" s="83" t="str">
        <f t="array" ref="AX3154">IFERROR(DGET('SBV Import'!A:G,"SBV",{"RSC ID","Tier";B3154,A3154}))</f>
        <v/>
      </c>
      <c r="AY3154" s="82" t="str">
        <f t="shared" si="2"/>
        <v/>
      </c>
      <c r="AZ3154" s="82"/>
      <c r="BA3154" s="84" t="s">
        <v>152</v>
      </c>
      <c r="BB3154" s="84" t="str">
        <f>IFERROR(__xludf.DUMMYFUNCTION("iferror(if(A3154="""",,E3154&gt;=FILTER(Constants!$F$2:$F$10,Constants!$A$2:$A$10=A3154)))"),"")</f>
        <v/>
      </c>
    </row>
    <row r="3155">
      <c r="A3155" s="89"/>
      <c r="B3155" s="87"/>
      <c r="C3155" s="73"/>
      <c r="D3155" s="73"/>
      <c r="E3155" s="82"/>
      <c r="F3155" s="82"/>
      <c r="G3155" s="86"/>
      <c r="H3155" s="86"/>
      <c r="I3155" s="86"/>
      <c r="J3155" s="82"/>
      <c r="K3155" s="82"/>
      <c r="L3155" s="82"/>
      <c r="M3155" s="82"/>
      <c r="N3155" s="82"/>
      <c r="O3155" s="82"/>
      <c r="P3155" s="82"/>
      <c r="Q3155" s="82"/>
      <c r="R3155" s="82"/>
      <c r="S3155" s="82"/>
      <c r="T3155" s="82"/>
      <c r="U3155" s="82"/>
      <c r="V3155" s="82"/>
      <c r="W3155" s="82"/>
      <c r="X3155" s="82"/>
      <c r="Y3155" s="82"/>
      <c r="Z3155" s="82"/>
      <c r="AA3155" s="82"/>
      <c r="AB3155" s="82"/>
      <c r="AC3155" s="82"/>
      <c r="AD3155" s="82"/>
      <c r="AE3155" s="82"/>
      <c r="AF3155" s="82"/>
      <c r="AG3155" s="82"/>
      <c r="AH3155" s="82"/>
      <c r="AI3155" s="82"/>
      <c r="AJ3155" s="82"/>
      <c r="AK3155" s="82"/>
      <c r="AL3155" s="82"/>
      <c r="AM3155" s="82"/>
      <c r="AN3155" s="82"/>
      <c r="AO3155" s="82"/>
      <c r="AP3155" s="82"/>
      <c r="AQ3155" s="82"/>
      <c r="AR3155" s="82"/>
      <c r="AS3155" s="82"/>
      <c r="AT3155" s="82"/>
      <c r="AU3155" s="82"/>
      <c r="AV3155" s="82"/>
      <c r="AW3155" s="82" t="str">
        <f t="shared" si="1"/>
        <v/>
      </c>
      <c r="AX3155" s="83" t="str">
        <f t="array" ref="AX3155">IFERROR(DGET('SBV Import'!A:G,"SBV",{"RSC ID","Tier";B3155,A3155}))</f>
        <v/>
      </c>
      <c r="AY3155" s="82" t="str">
        <f t="shared" si="2"/>
        <v/>
      </c>
      <c r="AZ3155" s="82"/>
      <c r="BA3155" s="84" t="s">
        <v>152</v>
      </c>
      <c r="BB3155" s="84" t="str">
        <f>IFERROR(__xludf.DUMMYFUNCTION("iferror(if(A3155="""",,E3155&gt;=FILTER(Constants!$F$2:$F$10,Constants!$A$2:$A$10=A3155)))"),"")</f>
        <v/>
      </c>
    </row>
    <row r="3156">
      <c r="A3156" s="89"/>
      <c r="B3156" s="87"/>
      <c r="C3156" s="73"/>
      <c r="D3156" s="73"/>
      <c r="E3156" s="82"/>
      <c r="F3156" s="82"/>
      <c r="G3156" s="86"/>
      <c r="H3156" s="86"/>
      <c r="I3156" s="86"/>
      <c r="J3156" s="82"/>
      <c r="K3156" s="82"/>
      <c r="L3156" s="82"/>
      <c r="M3156" s="82"/>
      <c r="N3156" s="82"/>
      <c r="O3156" s="82"/>
      <c r="P3156" s="82"/>
      <c r="Q3156" s="82"/>
      <c r="R3156" s="82"/>
      <c r="S3156" s="82"/>
      <c r="T3156" s="82"/>
      <c r="U3156" s="82"/>
      <c r="V3156" s="82"/>
      <c r="W3156" s="82"/>
      <c r="X3156" s="82"/>
      <c r="Y3156" s="82"/>
      <c r="Z3156" s="82"/>
      <c r="AA3156" s="82"/>
      <c r="AB3156" s="82"/>
      <c r="AC3156" s="82"/>
      <c r="AD3156" s="82"/>
      <c r="AE3156" s="82"/>
      <c r="AF3156" s="82"/>
      <c r="AG3156" s="82"/>
      <c r="AH3156" s="82"/>
      <c r="AI3156" s="82"/>
      <c r="AJ3156" s="82"/>
      <c r="AK3156" s="82"/>
      <c r="AL3156" s="82"/>
      <c r="AM3156" s="82"/>
      <c r="AN3156" s="82"/>
      <c r="AO3156" s="82"/>
      <c r="AP3156" s="82"/>
      <c r="AQ3156" s="82"/>
      <c r="AR3156" s="82"/>
      <c r="AS3156" s="82"/>
      <c r="AT3156" s="82"/>
      <c r="AU3156" s="82"/>
      <c r="AV3156" s="82"/>
      <c r="AW3156" s="82" t="str">
        <f t="shared" si="1"/>
        <v/>
      </c>
      <c r="AX3156" s="83" t="str">
        <f t="array" ref="AX3156">IFERROR(DGET('SBV Import'!A:G,"SBV",{"RSC ID","Tier";B3156,A3156}))</f>
        <v/>
      </c>
      <c r="AY3156" s="82" t="str">
        <f t="shared" si="2"/>
        <v/>
      </c>
      <c r="AZ3156" s="82"/>
      <c r="BA3156" s="84" t="s">
        <v>152</v>
      </c>
      <c r="BB3156" s="84" t="str">
        <f>IFERROR(__xludf.DUMMYFUNCTION("iferror(if(A3156="""",,E3156&gt;=FILTER(Constants!$F$2:$F$10,Constants!$A$2:$A$10=A3156)))"),"")</f>
        <v/>
      </c>
    </row>
    <row r="3157">
      <c r="A3157" s="89"/>
      <c r="B3157" s="87"/>
      <c r="C3157" s="73"/>
      <c r="D3157" s="73"/>
      <c r="E3157" s="82"/>
      <c r="F3157" s="82"/>
      <c r="G3157" s="86"/>
      <c r="H3157" s="86"/>
      <c r="I3157" s="86"/>
      <c r="J3157" s="82"/>
      <c r="K3157" s="82"/>
      <c r="L3157" s="82"/>
      <c r="M3157" s="82"/>
      <c r="N3157" s="82"/>
      <c r="O3157" s="82"/>
      <c r="P3157" s="82"/>
      <c r="Q3157" s="82"/>
      <c r="R3157" s="82"/>
      <c r="S3157" s="82"/>
      <c r="T3157" s="82"/>
      <c r="U3157" s="82"/>
      <c r="V3157" s="82"/>
      <c r="W3157" s="82"/>
      <c r="X3157" s="82"/>
      <c r="Y3157" s="82"/>
      <c r="Z3157" s="82"/>
      <c r="AA3157" s="82"/>
      <c r="AB3157" s="82"/>
      <c r="AC3157" s="82"/>
      <c r="AD3157" s="82"/>
      <c r="AE3157" s="82"/>
      <c r="AF3157" s="82"/>
      <c r="AG3157" s="82"/>
      <c r="AH3157" s="82"/>
      <c r="AI3157" s="82"/>
      <c r="AJ3157" s="82"/>
      <c r="AK3157" s="82"/>
      <c r="AL3157" s="82"/>
      <c r="AM3157" s="82"/>
      <c r="AN3157" s="82"/>
      <c r="AO3157" s="82"/>
      <c r="AP3157" s="82"/>
      <c r="AQ3157" s="82"/>
      <c r="AR3157" s="82"/>
      <c r="AS3157" s="82"/>
      <c r="AT3157" s="82"/>
      <c r="AU3157" s="82"/>
      <c r="AV3157" s="82"/>
      <c r="AW3157" s="82" t="str">
        <f t="shared" si="1"/>
        <v/>
      </c>
      <c r="AX3157" s="83" t="str">
        <f t="array" ref="AX3157">IFERROR(DGET('SBV Import'!A:G,"SBV",{"RSC ID","Tier";B3157,A3157}))</f>
        <v/>
      </c>
      <c r="AY3157" s="82" t="str">
        <f t="shared" si="2"/>
        <v/>
      </c>
      <c r="AZ3157" s="82"/>
      <c r="BA3157" s="84" t="s">
        <v>152</v>
      </c>
      <c r="BB3157" s="84" t="str">
        <f>IFERROR(__xludf.DUMMYFUNCTION("iferror(if(A3157="""",,E3157&gt;=FILTER(Constants!$F$2:$F$10,Constants!$A$2:$A$10=A3157)))"),"")</f>
        <v/>
      </c>
    </row>
    <row r="3158">
      <c r="A3158" s="89"/>
      <c r="B3158" s="87"/>
      <c r="C3158" s="73"/>
      <c r="D3158" s="73"/>
      <c r="E3158" s="82"/>
      <c r="F3158" s="82"/>
      <c r="G3158" s="86"/>
      <c r="H3158" s="86"/>
      <c r="I3158" s="86"/>
      <c r="J3158" s="82"/>
      <c r="K3158" s="82"/>
      <c r="L3158" s="82"/>
      <c r="M3158" s="82"/>
      <c r="N3158" s="82"/>
      <c r="O3158" s="82"/>
      <c r="P3158" s="82"/>
      <c r="Q3158" s="82"/>
      <c r="R3158" s="82"/>
      <c r="S3158" s="82"/>
      <c r="T3158" s="82"/>
      <c r="U3158" s="82"/>
      <c r="V3158" s="82"/>
      <c r="W3158" s="82"/>
      <c r="X3158" s="82"/>
      <c r="Y3158" s="82"/>
      <c r="Z3158" s="82"/>
      <c r="AA3158" s="82"/>
      <c r="AB3158" s="82"/>
      <c r="AC3158" s="82"/>
      <c r="AD3158" s="82"/>
      <c r="AE3158" s="82"/>
      <c r="AF3158" s="82"/>
      <c r="AG3158" s="82"/>
      <c r="AH3158" s="82"/>
      <c r="AI3158" s="82"/>
      <c r="AJ3158" s="82"/>
      <c r="AK3158" s="82"/>
      <c r="AL3158" s="82"/>
      <c r="AM3158" s="82"/>
      <c r="AN3158" s="82"/>
      <c r="AO3158" s="82"/>
      <c r="AP3158" s="82"/>
      <c r="AQ3158" s="82"/>
      <c r="AR3158" s="82"/>
      <c r="AS3158" s="82"/>
      <c r="AT3158" s="82"/>
      <c r="AU3158" s="82"/>
      <c r="AV3158" s="82"/>
      <c r="AW3158" s="82" t="str">
        <f t="shared" si="1"/>
        <v/>
      </c>
      <c r="AX3158" s="83" t="str">
        <f t="array" ref="AX3158">IFERROR(DGET('SBV Import'!A:G,"SBV",{"RSC ID","Tier";B3158,A3158}))</f>
        <v/>
      </c>
      <c r="AY3158" s="82" t="str">
        <f t="shared" si="2"/>
        <v/>
      </c>
      <c r="AZ3158" s="82"/>
      <c r="BA3158" s="84" t="s">
        <v>152</v>
      </c>
      <c r="BB3158" s="84" t="str">
        <f>IFERROR(__xludf.DUMMYFUNCTION("iferror(if(A3158="""",,E3158&gt;=FILTER(Constants!$F$2:$F$10,Constants!$A$2:$A$10=A3158)))"),"")</f>
        <v/>
      </c>
    </row>
    <row r="3159">
      <c r="A3159" s="89"/>
      <c r="B3159" s="87"/>
      <c r="C3159" s="73"/>
      <c r="D3159" s="73"/>
      <c r="E3159" s="82"/>
      <c r="F3159" s="82"/>
      <c r="G3159" s="86"/>
      <c r="H3159" s="86"/>
      <c r="I3159" s="86"/>
      <c r="J3159" s="82"/>
      <c r="K3159" s="82"/>
      <c r="L3159" s="82"/>
      <c r="M3159" s="82"/>
      <c r="N3159" s="82"/>
      <c r="O3159" s="82"/>
      <c r="P3159" s="82"/>
      <c r="Q3159" s="82"/>
      <c r="R3159" s="82"/>
      <c r="S3159" s="82"/>
      <c r="T3159" s="82"/>
      <c r="U3159" s="82"/>
      <c r="V3159" s="82"/>
      <c r="W3159" s="82"/>
      <c r="X3159" s="82"/>
      <c r="Y3159" s="82"/>
      <c r="Z3159" s="82"/>
      <c r="AA3159" s="82"/>
      <c r="AB3159" s="82"/>
      <c r="AC3159" s="82"/>
      <c r="AD3159" s="82"/>
      <c r="AE3159" s="82"/>
      <c r="AF3159" s="82"/>
      <c r="AG3159" s="82"/>
      <c r="AH3159" s="82"/>
      <c r="AI3159" s="82"/>
      <c r="AJ3159" s="82"/>
      <c r="AK3159" s="82"/>
      <c r="AL3159" s="82"/>
      <c r="AM3159" s="82"/>
      <c r="AN3159" s="82"/>
      <c r="AO3159" s="82"/>
      <c r="AP3159" s="82"/>
      <c r="AQ3159" s="82"/>
      <c r="AR3159" s="82"/>
      <c r="AS3159" s="82"/>
      <c r="AT3159" s="82"/>
      <c r="AU3159" s="82"/>
      <c r="AV3159" s="82"/>
      <c r="AW3159" s="82" t="str">
        <f t="shared" si="1"/>
        <v/>
      </c>
      <c r="AX3159" s="83" t="str">
        <f t="array" ref="AX3159">IFERROR(DGET('SBV Import'!A:G,"SBV",{"RSC ID","Tier";B3159,A3159}))</f>
        <v/>
      </c>
      <c r="AY3159" s="82" t="str">
        <f t="shared" si="2"/>
        <v/>
      </c>
      <c r="AZ3159" s="82"/>
      <c r="BA3159" s="84" t="s">
        <v>152</v>
      </c>
      <c r="BB3159" s="84" t="str">
        <f>IFERROR(__xludf.DUMMYFUNCTION("iferror(if(A3159="""",,E3159&gt;=FILTER(Constants!$F$2:$F$10,Constants!$A$2:$A$10=A3159)))"),"")</f>
        <v/>
      </c>
    </row>
    <row r="3160">
      <c r="A3160" s="89"/>
      <c r="B3160" s="87"/>
      <c r="C3160" s="73"/>
      <c r="D3160" s="73"/>
      <c r="E3160" s="82"/>
      <c r="F3160" s="82"/>
      <c r="G3160" s="86"/>
      <c r="H3160" s="86"/>
      <c r="I3160" s="86"/>
      <c r="J3160" s="82"/>
      <c r="K3160" s="82"/>
      <c r="L3160" s="82"/>
      <c r="M3160" s="82"/>
      <c r="N3160" s="82"/>
      <c r="O3160" s="82"/>
      <c r="P3160" s="82"/>
      <c r="Q3160" s="82"/>
      <c r="R3160" s="82"/>
      <c r="S3160" s="82"/>
      <c r="T3160" s="82"/>
      <c r="U3160" s="82"/>
      <c r="V3160" s="82"/>
      <c r="W3160" s="82"/>
      <c r="X3160" s="82"/>
      <c r="Y3160" s="82"/>
      <c r="Z3160" s="82"/>
      <c r="AA3160" s="82"/>
      <c r="AB3160" s="82"/>
      <c r="AC3160" s="82"/>
      <c r="AD3160" s="82"/>
      <c r="AE3160" s="82"/>
      <c r="AF3160" s="82"/>
      <c r="AG3160" s="82"/>
      <c r="AH3160" s="82"/>
      <c r="AI3160" s="82"/>
      <c r="AJ3160" s="82"/>
      <c r="AK3160" s="82"/>
      <c r="AL3160" s="82"/>
      <c r="AM3160" s="82"/>
      <c r="AN3160" s="82"/>
      <c r="AO3160" s="82"/>
      <c r="AP3160" s="82"/>
      <c r="AQ3160" s="82"/>
      <c r="AR3160" s="82"/>
      <c r="AS3160" s="82"/>
      <c r="AT3160" s="82"/>
      <c r="AU3160" s="82"/>
      <c r="AV3160" s="82"/>
      <c r="AW3160" s="82" t="str">
        <f t="shared" si="1"/>
        <v/>
      </c>
      <c r="AX3160" s="83" t="str">
        <f t="array" ref="AX3160">IFERROR(DGET('SBV Import'!A:G,"SBV",{"RSC ID","Tier";B3160,A3160}))</f>
        <v/>
      </c>
      <c r="AY3160" s="82" t="str">
        <f t="shared" si="2"/>
        <v/>
      </c>
      <c r="AZ3160" s="82"/>
      <c r="BA3160" s="84" t="s">
        <v>152</v>
      </c>
      <c r="BB3160" s="84" t="str">
        <f>IFERROR(__xludf.DUMMYFUNCTION("iferror(if(A3160="""",,E3160&gt;=FILTER(Constants!$F$2:$F$10,Constants!$A$2:$A$10=A3160)))"),"")</f>
        <v/>
      </c>
    </row>
    <row r="3161">
      <c r="A3161" s="89"/>
      <c r="B3161" s="87"/>
      <c r="C3161" s="73"/>
      <c r="D3161" s="73"/>
      <c r="E3161" s="82"/>
      <c r="F3161" s="82"/>
      <c r="G3161" s="86"/>
      <c r="H3161" s="86"/>
      <c r="I3161" s="86"/>
      <c r="J3161" s="82"/>
      <c r="K3161" s="82"/>
      <c r="L3161" s="82"/>
      <c r="M3161" s="82"/>
      <c r="N3161" s="82"/>
      <c r="O3161" s="82"/>
      <c r="P3161" s="82"/>
      <c r="Q3161" s="82"/>
      <c r="R3161" s="82"/>
      <c r="S3161" s="82"/>
      <c r="T3161" s="82"/>
      <c r="U3161" s="82"/>
      <c r="V3161" s="82"/>
      <c r="W3161" s="82"/>
      <c r="X3161" s="82"/>
      <c r="Y3161" s="82"/>
      <c r="Z3161" s="82"/>
      <c r="AA3161" s="82"/>
      <c r="AB3161" s="82"/>
      <c r="AC3161" s="82"/>
      <c r="AD3161" s="82"/>
      <c r="AE3161" s="82"/>
      <c r="AF3161" s="82"/>
      <c r="AG3161" s="82"/>
      <c r="AH3161" s="82"/>
      <c r="AI3161" s="82"/>
      <c r="AJ3161" s="82"/>
      <c r="AK3161" s="82"/>
      <c r="AL3161" s="82"/>
      <c r="AM3161" s="82"/>
      <c r="AN3161" s="82"/>
      <c r="AO3161" s="82"/>
      <c r="AP3161" s="82"/>
      <c r="AQ3161" s="82"/>
      <c r="AR3161" s="82"/>
      <c r="AS3161" s="82"/>
      <c r="AT3161" s="82"/>
      <c r="AU3161" s="82"/>
      <c r="AV3161" s="82"/>
      <c r="AW3161" s="82" t="str">
        <f t="shared" si="1"/>
        <v/>
      </c>
      <c r="AX3161" s="83" t="str">
        <f t="array" ref="AX3161">IFERROR(DGET('SBV Import'!A:G,"SBV",{"RSC ID","Tier";B3161,A3161}))</f>
        <v/>
      </c>
      <c r="AY3161" s="82" t="str">
        <f t="shared" si="2"/>
        <v/>
      </c>
      <c r="AZ3161" s="82"/>
      <c r="BA3161" s="84" t="s">
        <v>152</v>
      </c>
      <c r="BB3161" s="84" t="str">
        <f>IFERROR(__xludf.DUMMYFUNCTION("iferror(if(A3161="""",,E3161&gt;=FILTER(Constants!$F$2:$F$10,Constants!$A$2:$A$10=A3161)))"),"")</f>
        <v/>
      </c>
    </row>
    <row r="3162">
      <c r="A3162" s="89"/>
      <c r="B3162" s="87"/>
      <c r="C3162" s="73"/>
      <c r="D3162" s="73"/>
      <c r="E3162" s="82"/>
      <c r="F3162" s="82"/>
      <c r="G3162" s="86"/>
      <c r="H3162" s="86"/>
      <c r="I3162" s="86"/>
      <c r="J3162" s="82"/>
      <c r="K3162" s="82"/>
      <c r="L3162" s="82"/>
      <c r="M3162" s="82"/>
      <c r="N3162" s="82"/>
      <c r="O3162" s="82"/>
      <c r="P3162" s="82"/>
      <c r="Q3162" s="82"/>
      <c r="R3162" s="82"/>
      <c r="S3162" s="82"/>
      <c r="T3162" s="82"/>
      <c r="U3162" s="82"/>
      <c r="V3162" s="82"/>
      <c r="W3162" s="82"/>
      <c r="X3162" s="82"/>
      <c r="Y3162" s="82"/>
      <c r="Z3162" s="82"/>
      <c r="AA3162" s="82"/>
      <c r="AB3162" s="82"/>
      <c r="AC3162" s="82"/>
      <c r="AD3162" s="82"/>
      <c r="AE3162" s="82"/>
      <c r="AF3162" s="82"/>
      <c r="AG3162" s="82"/>
      <c r="AH3162" s="82"/>
      <c r="AI3162" s="82"/>
      <c r="AJ3162" s="82"/>
      <c r="AK3162" s="82"/>
      <c r="AL3162" s="82"/>
      <c r="AM3162" s="82"/>
      <c r="AN3162" s="82"/>
      <c r="AO3162" s="82"/>
      <c r="AP3162" s="82"/>
      <c r="AQ3162" s="82"/>
      <c r="AR3162" s="82"/>
      <c r="AS3162" s="82"/>
      <c r="AT3162" s="82"/>
      <c r="AU3162" s="82"/>
      <c r="AV3162" s="82"/>
      <c r="AW3162" s="82" t="str">
        <f t="shared" si="1"/>
        <v/>
      </c>
      <c r="AX3162" s="83" t="str">
        <f t="array" ref="AX3162">IFERROR(DGET('SBV Import'!A:G,"SBV",{"RSC ID","Tier";B3162,A3162}))</f>
        <v/>
      </c>
      <c r="AY3162" s="82" t="str">
        <f t="shared" si="2"/>
        <v/>
      </c>
      <c r="AZ3162" s="82"/>
      <c r="BA3162" s="84" t="s">
        <v>152</v>
      </c>
      <c r="BB3162" s="84" t="str">
        <f>IFERROR(__xludf.DUMMYFUNCTION("iferror(if(A3162="""",,E3162&gt;=FILTER(Constants!$F$2:$F$10,Constants!$A$2:$A$10=A3162)))"),"")</f>
        <v/>
      </c>
    </row>
    <row r="3163">
      <c r="A3163" s="89"/>
      <c r="B3163" s="87"/>
      <c r="C3163" s="73"/>
      <c r="D3163" s="73"/>
      <c r="E3163" s="82"/>
      <c r="F3163" s="82"/>
      <c r="G3163" s="86"/>
      <c r="H3163" s="86"/>
      <c r="I3163" s="86"/>
      <c r="J3163" s="82"/>
      <c r="K3163" s="82"/>
      <c r="L3163" s="82"/>
      <c r="M3163" s="82"/>
      <c r="N3163" s="82"/>
      <c r="O3163" s="82"/>
      <c r="P3163" s="82"/>
      <c r="Q3163" s="82"/>
      <c r="R3163" s="82"/>
      <c r="S3163" s="82"/>
      <c r="T3163" s="82"/>
      <c r="U3163" s="82"/>
      <c r="V3163" s="82"/>
      <c r="W3163" s="82"/>
      <c r="X3163" s="82"/>
      <c r="Y3163" s="82"/>
      <c r="Z3163" s="82"/>
      <c r="AA3163" s="82"/>
      <c r="AB3163" s="82"/>
      <c r="AC3163" s="82"/>
      <c r="AD3163" s="82"/>
      <c r="AE3163" s="82"/>
      <c r="AF3163" s="82"/>
      <c r="AG3163" s="82"/>
      <c r="AH3163" s="82"/>
      <c r="AI3163" s="82"/>
      <c r="AJ3163" s="82"/>
      <c r="AK3163" s="82"/>
      <c r="AL3163" s="82"/>
      <c r="AM3163" s="82"/>
      <c r="AN3163" s="82"/>
      <c r="AO3163" s="82"/>
      <c r="AP3163" s="82"/>
      <c r="AQ3163" s="82"/>
      <c r="AR3163" s="82"/>
      <c r="AS3163" s="82"/>
      <c r="AT3163" s="82"/>
      <c r="AU3163" s="82"/>
      <c r="AV3163" s="82"/>
      <c r="AW3163" s="82" t="str">
        <f t="shared" si="1"/>
        <v/>
      </c>
      <c r="AX3163" s="83" t="str">
        <f t="array" ref="AX3163">IFERROR(DGET('SBV Import'!A:G,"SBV",{"RSC ID","Tier";B3163,A3163}))</f>
        <v/>
      </c>
      <c r="AY3163" s="82" t="str">
        <f t="shared" si="2"/>
        <v/>
      </c>
      <c r="AZ3163" s="82"/>
      <c r="BA3163" s="84" t="s">
        <v>152</v>
      </c>
      <c r="BB3163" s="84" t="str">
        <f>IFERROR(__xludf.DUMMYFUNCTION("iferror(if(A3163="""",,E3163&gt;=FILTER(Constants!$F$2:$F$10,Constants!$A$2:$A$10=A3163)))"),"")</f>
        <v/>
      </c>
    </row>
    <row r="3164">
      <c r="A3164" s="89"/>
      <c r="B3164" s="87"/>
      <c r="C3164" s="73"/>
      <c r="D3164" s="73"/>
      <c r="E3164" s="82"/>
      <c r="F3164" s="82"/>
      <c r="G3164" s="86"/>
      <c r="H3164" s="86"/>
      <c r="I3164" s="86"/>
      <c r="J3164" s="82"/>
      <c r="K3164" s="82"/>
      <c r="L3164" s="82"/>
      <c r="M3164" s="82"/>
      <c r="N3164" s="82"/>
      <c r="O3164" s="82"/>
      <c r="P3164" s="82"/>
      <c r="Q3164" s="82"/>
      <c r="R3164" s="82"/>
      <c r="S3164" s="82"/>
      <c r="T3164" s="82"/>
      <c r="U3164" s="82"/>
      <c r="V3164" s="82"/>
      <c r="W3164" s="82"/>
      <c r="X3164" s="82"/>
      <c r="Y3164" s="82"/>
      <c r="Z3164" s="82"/>
      <c r="AA3164" s="82"/>
      <c r="AB3164" s="82"/>
      <c r="AC3164" s="82"/>
      <c r="AD3164" s="82"/>
      <c r="AE3164" s="82"/>
      <c r="AF3164" s="82"/>
      <c r="AG3164" s="82"/>
      <c r="AH3164" s="82"/>
      <c r="AI3164" s="82"/>
      <c r="AJ3164" s="82"/>
      <c r="AK3164" s="82"/>
      <c r="AL3164" s="82"/>
      <c r="AM3164" s="82"/>
      <c r="AN3164" s="82"/>
      <c r="AO3164" s="82"/>
      <c r="AP3164" s="82"/>
      <c r="AQ3164" s="82"/>
      <c r="AR3164" s="82"/>
      <c r="AS3164" s="82"/>
      <c r="AT3164" s="82"/>
      <c r="AU3164" s="82"/>
      <c r="AV3164" s="82"/>
      <c r="AW3164" s="82" t="str">
        <f t="shared" si="1"/>
        <v/>
      </c>
      <c r="AX3164" s="83" t="str">
        <f t="array" ref="AX3164">IFERROR(DGET('SBV Import'!A:G,"SBV",{"RSC ID","Tier";B3164,A3164}))</f>
        <v/>
      </c>
      <c r="AY3164" s="82" t="str">
        <f t="shared" si="2"/>
        <v/>
      </c>
      <c r="AZ3164" s="82"/>
      <c r="BA3164" s="84" t="s">
        <v>152</v>
      </c>
      <c r="BB3164" s="84" t="str">
        <f>IFERROR(__xludf.DUMMYFUNCTION("iferror(if(A3164="""",,E3164&gt;=FILTER(Constants!$F$2:$F$10,Constants!$A$2:$A$10=A3164)))"),"")</f>
        <v/>
      </c>
    </row>
    <row r="3165">
      <c r="A3165" s="89"/>
      <c r="B3165" s="87"/>
      <c r="C3165" s="73"/>
      <c r="D3165" s="73"/>
      <c r="E3165" s="82"/>
      <c r="F3165" s="82"/>
      <c r="G3165" s="86"/>
      <c r="H3165" s="86"/>
      <c r="I3165" s="86"/>
      <c r="J3165" s="82"/>
      <c r="K3165" s="82"/>
      <c r="L3165" s="82"/>
      <c r="M3165" s="82"/>
      <c r="N3165" s="82"/>
      <c r="O3165" s="82"/>
      <c r="P3165" s="82"/>
      <c r="Q3165" s="82"/>
      <c r="R3165" s="82"/>
      <c r="S3165" s="82"/>
      <c r="T3165" s="82"/>
      <c r="U3165" s="82"/>
      <c r="V3165" s="82"/>
      <c r="W3165" s="82"/>
      <c r="X3165" s="82"/>
      <c r="Y3165" s="82"/>
      <c r="Z3165" s="82"/>
      <c r="AA3165" s="82"/>
      <c r="AB3165" s="82"/>
      <c r="AC3165" s="82"/>
      <c r="AD3165" s="82"/>
      <c r="AE3165" s="82"/>
      <c r="AF3165" s="82"/>
      <c r="AG3165" s="82"/>
      <c r="AH3165" s="82"/>
      <c r="AI3165" s="82"/>
      <c r="AJ3165" s="82"/>
      <c r="AK3165" s="82"/>
      <c r="AL3165" s="82"/>
      <c r="AM3165" s="82"/>
      <c r="AN3165" s="82"/>
      <c r="AO3165" s="82"/>
      <c r="AP3165" s="82"/>
      <c r="AQ3165" s="82"/>
      <c r="AR3165" s="82"/>
      <c r="AS3165" s="82"/>
      <c r="AT3165" s="82"/>
      <c r="AU3165" s="82"/>
      <c r="AV3165" s="82"/>
      <c r="AW3165" s="82" t="str">
        <f t="shared" si="1"/>
        <v/>
      </c>
      <c r="AX3165" s="83" t="str">
        <f t="array" ref="AX3165">IFERROR(DGET('SBV Import'!A:G,"SBV",{"RSC ID","Tier";B3165,A3165}))</f>
        <v/>
      </c>
      <c r="AY3165" s="82" t="str">
        <f t="shared" si="2"/>
        <v/>
      </c>
      <c r="AZ3165" s="82"/>
      <c r="BA3165" s="84" t="s">
        <v>152</v>
      </c>
      <c r="BB3165" s="84" t="str">
        <f>IFERROR(__xludf.DUMMYFUNCTION("iferror(if(A3165="""",,E3165&gt;=FILTER(Constants!$F$2:$F$10,Constants!$A$2:$A$10=A3165)))"),"")</f>
        <v/>
      </c>
    </row>
    <row r="3166">
      <c r="A3166" s="89"/>
      <c r="B3166" s="87"/>
      <c r="C3166" s="73"/>
      <c r="D3166" s="73"/>
      <c r="E3166" s="82"/>
      <c r="F3166" s="82"/>
      <c r="G3166" s="86"/>
      <c r="H3166" s="86"/>
      <c r="I3166" s="86"/>
      <c r="J3166" s="82"/>
      <c r="K3166" s="82"/>
      <c r="L3166" s="82"/>
      <c r="M3166" s="82"/>
      <c r="N3166" s="82"/>
      <c r="O3166" s="82"/>
      <c r="P3166" s="82"/>
      <c r="Q3166" s="82"/>
      <c r="R3166" s="82"/>
      <c r="S3166" s="82"/>
      <c r="T3166" s="82"/>
      <c r="U3166" s="82"/>
      <c r="V3166" s="82"/>
      <c r="W3166" s="82"/>
      <c r="X3166" s="82"/>
      <c r="Y3166" s="82"/>
      <c r="Z3166" s="82"/>
      <c r="AA3166" s="82"/>
      <c r="AB3166" s="82"/>
      <c r="AC3166" s="82"/>
      <c r="AD3166" s="82"/>
      <c r="AE3166" s="82"/>
      <c r="AF3166" s="82"/>
      <c r="AG3166" s="82"/>
      <c r="AH3166" s="82"/>
      <c r="AI3166" s="82"/>
      <c r="AJ3166" s="82"/>
      <c r="AK3166" s="82"/>
      <c r="AL3166" s="82"/>
      <c r="AM3166" s="82"/>
      <c r="AN3166" s="82"/>
      <c r="AO3166" s="82"/>
      <c r="AP3166" s="82"/>
      <c r="AQ3166" s="82"/>
      <c r="AR3166" s="82"/>
      <c r="AS3166" s="82"/>
      <c r="AT3166" s="82"/>
      <c r="AU3166" s="82"/>
      <c r="AV3166" s="82"/>
      <c r="AW3166" s="82" t="str">
        <f t="shared" si="1"/>
        <v/>
      </c>
      <c r="AX3166" s="83" t="str">
        <f t="array" ref="AX3166">IFERROR(DGET('SBV Import'!A:G,"SBV",{"RSC ID","Tier";B3166,A3166}))</f>
        <v/>
      </c>
      <c r="AY3166" s="82" t="str">
        <f t="shared" si="2"/>
        <v/>
      </c>
      <c r="AZ3166" s="82"/>
      <c r="BA3166" s="84" t="s">
        <v>152</v>
      </c>
      <c r="BB3166" s="84" t="str">
        <f>IFERROR(__xludf.DUMMYFUNCTION("iferror(if(A3166="""",,E3166&gt;=FILTER(Constants!$F$2:$F$10,Constants!$A$2:$A$10=A3166)))"),"")</f>
        <v/>
      </c>
    </row>
    <row r="3167">
      <c r="A3167" s="89"/>
      <c r="B3167" s="87"/>
      <c r="C3167" s="73"/>
      <c r="D3167" s="73"/>
      <c r="E3167" s="82"/>
      <c r="F3167" s="82"/>
      <c r="G3167" s="86"/>
      <c r="H3167" s="86"/>
      <c r="I3167" s="86"/>
      <c r="J3167" s="82"/>
      <c r="K3167" s="82"/>
      <c r="L3167" s="82"/>
      <c r="M3167" s="82"/>
      <c r="N3167" s="82"/>
      <c r="O3167" s="82"/>
      <c r="P3167" s="82"/>
      <c r="Q3167" s="82"/>
      <c r="R3167" s="82"/>
      <c r="S3167" s="82"/>
      <c r="T3167" s="82"/>
      <c r="U3167" s="82"/>
      <c r="V3167" s="82"/>
      <c r="W3167" s="82"/>
      <c r="X3167" s="82"/>
      <c r="Y3167" s="82"/>
      <c r="Z3167" s="82"/>
      <c r="AA3167" s="82"/>
      <c r="AB3167" s="82"/>
      <c r="AC3167" s="82"/>
      <c r="AD3167" s="82"/>
      <c r="AE3167" s="82"/>
      <c r="AF3167" s="82"/>
      <c r="AG3167" s="82"/>
      <c r="AH3167" s="82"/>
      <c r="AI3167" s="82"/>
      <c r="AJ3167" s="82"/>
      <c r="AK3167" s="82"/>
      <c r="AL3167" s="82"/>
      <c r="AM3167" s="82"/>
      <c r="AN3167" s="82"/>
      <c r="AO3167" s="82"/>
      <c r="AP3167" s="82"/>
      <c r="AQ3167" s="82"/>
      <c r="AR3167" s="82"/>
      <c r="AS3167" s="82"/>
      <c r="AT3167" s="82"/>
      <c r="AU3167" s="82"/>
      <c r="AV3167" s="82"/>
      <c r="AW3167" s="82" t="str">
        <f t="shared" si="1"/>
        <v/>
      </c>
      <c r="AX3167" s="83" t="str">
        <f t="array" ref="AX3167">IFERROR(DGET('SBV Import'!A:G,"SBV",{"RSC ID","Tier";B3167,A3167}))</f>
        <v/>
      </c>
      <c r="AY3167" s="82" t="str">
        <f t="shared" si="2"/>
        <v/>
      </c>
      <c r="AZ3167" s="82"/>
      <c r="BA3167" s="84" t="s">
        <v>152</v>
      </c>
      <c r="BB3167" s="84" t="str">
        <f>IFERROR(__xludf.DUMMYFUNCTION("iferror(if(A3167="""",,E3167&gt;=FILTER(Constants!$F$2:$F$10,Constants!$A$2:$A$10=A3167)))"),"")</f>
        <v/>
      </c>
    </row>
    <row r="3168">
      <c r="A3168" s="89"/>
      <c r="B3168" s="87"/>
      <c r="C3168" s="73"/>
      <c r="D3168" s="73"/>
      <c r="E3168" s="82"/>
      <c r="F3168" s="82"/>
      <c r="G3168" s="86"/>
      <c r="H3168" s="86"/>
      <c r="I3168" s="86"/>
      <c r="J3168" s="82"/>
      <c r="K3168" s="82"/>
      <c r="L3168" s="82"/>
      <c r="M3168" s="82"/>
      <c r="N3168" s="82"/>
      <c r="O3168" s="82"/>
      <c r="P3168" s="82"/>
      <c r="Q3168" s="82"/>
      <c r="R3168" s="82"/>
      <c r="S3168" s="82"/>
      <c r="T3168" s="82"/>
      <c r="U3168" s="82"/>
      <c r="V3168" s="82"/>
      <c r="W3168" s="82"/>
      <c r="X3168" s="82"/>
      <c r="Y3168" s="82"/>
      <c r="Z3168" s="82"/>
      <c r="AA3168" s="82"/>
      <c r="AB3168" s="82"/>
      <c r="AC3168" s="82"/>
      <c r="AD3168" s="82"/>
      <c r="AE3168" s="82"/>
      <c r="AF3168" s="82"/>
      <c r="AG3168" s="82"/>
      <c r="AH3168" s="82"/>
      <c r="AI3168" s="82"/>
      <c r="AJ3168" s="82"/>
      <c r="AK3168" s="82"/>
      <c r="AL3168" s="82"/>
      <c r="AM3168" s="82"/>
      <c r="AN3168" s="82"/>
      <c r="AO3168" s="82"/>
      <c r="AP3168" s="82"/>
      <c r="AQ3168" s="82"/>
      <c r="AR3168" s="82"/>
      <c r="AS3168" s="82"/>
      <c r="AT3168" s="82"/>
      <c r="AU3168" s="82"/>
      <c r="AV3168" s="82"/>
      <c r="AW3168" s="82" t="str">
        <f t="shared" si="1"/>
        <v/>
      </c>
      <c r="AX3168" s="83" t="str">
        <f t="array" ref="AX3168">IFERROR(DGET('SBV Import'!A:G,"SBV",{"RSC ID","Tier";B3168,A3168}))</f>
        <v/>
      </c>
      <c r="AY3168" s="82" t="str">
        <f t="shared" si="2"/>
        <v/>
      </c>
      <c r="AZ3168" s="82"/>
      <c r="BA3168" s="84" t="s">
        <v>152</v>
      </c>
      <c r="BB3168" s="84" t="str">
        <f>IFERROR(__xludf.DUMMYFUNCTION("iferror(if(A3168="""",,E3168&gt;=FILTER(Constants!$F$2:$F$10,Constants!$A$2:$A$10=A3168)))"),"")</f>
        <v/>
      </c>
    </row>
    <row r="3169">
      <c r="A3169" s="89"/>
      <c r="B3169" s="87"/>
      <c r="C3169" s="73"/>
      <c r="D3169" s="73"/>
      <c r="E3169" s="82"/>
      <c r="F3169" s="82"/>
      <c r="G3169" s="86"/>
      <c r="H3169" s="86"/>
      <c r="I3169" s="86"/>
      <c r="J3169" s="82"/>
      <c r="K3169" s="82"/>
      <c r="L3169" s="82"/>
      <c r="M3169" s="82"/>
      <c r="N3169" s="82"/>
      <c r="O3169" s="82"/>
      <c r="P3169" s="82"/>
      <c r="Q3169" s="82"/>
      <c r="R3169" s="82"/>
      <c r="S3169" s="82"/>
      <c r="T3169" s="82"/>
      <c r="U3169" s="82"/>
      <c r="V3169" s="82"/>
      <c r="W3169" s="82"/>
      <c r="X3169" s="82"/>
      <c r="Y3169" s="82"/>
      <c r="Z3169" s="82"/>
      <c r="AA3169" s="82"/>
      <c r="AB3169" s="82"/>
      <c r="AC3169" s="82"/>
      <c r="AD3169" s="82"/>
      <c r="AE3169" s="82"/>
      <c r="AF3169" s="82"/>
      <c r="AG3169" s="82"/>
      <c r="AH3169" s="82"/>
      <c r="AI3169" s="82"/>
      <c r="AJ3169" s="82"/>
      <c r="AK3169" s="82"/>
      <c r="AL3169" s="82"/>
      <c r="AM3169" s="82"/>
      <c r="AN3169" s="82"/>
      <c r="AO3169" s="82"/>
      <c r="AP3169" s="82"/>
      <c r="AQ3169" s="82"/>
      <c r="AR3169" s="82"/>
      <c r="AS3169" s="82"/>
      <c r="AT3169" s="82"/>
      <c r="AU3169" s="82"/>
      <c r="AV3169" s="82"/>
      <c r="AW3169" s="82" t="str">
        <f t="shared" si="1"/>
        <v/>
      </c>
      <c r="AX3169" s="83" t="str">
        <f t="array" ref="AX3169">IFERROR(DGET('SBV Import'!A:G,"SBV",{"RSC ID","Tier";B3169,A3169}))</f>
        <v/>
      </c>
      <c r="AY3169" s="82" t="str">
        <f t="shared" si="2"/>
        <v/>
      </c>
      <c r="AZ3169" s="82"/>
      <c r="BA3169" s="84" t="s">
        <v>152</v>
      </c>
      <c r="BB3169" s="84" t="str">
        <f>IFERROR(__xludf.DUMMYFUNCTION("iferror(if(A3169="""",,E3169&gt;=FILTER(Constants!$F$2:$F$10,Constants!$A$2:$A$10=A3169)))"),"")</f>
        <v/>
      </c>
    </row>
    <row r="3170">
      <c r="A3170" s="89"/>
      <c r="B3170" s="87"/>
      <c r="C3170" s="73"/>
      <c r="D3170" s="73"/>
      <c r="E3170" s="82"/>
      <c r="F3170" s="82"/>
      <c r="G3170" s="86"/>
      <c r="H3170" s="86"/>
      <c r="I3170" s="86"/>
      <c r="J3170" s="82"/>
      <c r="K3170" s="82"/>
      <c r="L3170" s="82"/>
      <c r="M3170" s="82"/>
      <c r="N3170" s="82"/>
      <c r="O3170" s="82"/>
      <c r="P3170" s="82"/>
      <c r="Q3170" s="82"/>
      <c r="R3170" s="82"/>
      <c r="S3170" s="82"/>
      <c r="T3170" s="82"/>
      <c r="U3170" s="82"/>
      <c r="V3170" s="82"/>
      <c r="W3170" s="82"/>
      <c r="X3170" s="82"/>
      <c r="Y3170" s="82"/>
      <c r="Z3170" s="82"/>
      <c r="AA3170" s="82"/>
      <c r="AB3170" s="82"/>
      <c r="AC3170" s="82"/>
      <c r="AD3170" s="82"/>
      <c r="AE3170" s="82"/>
      <c r="AF3170" s="82"/>
      <c r="AG3170" s="82"/>
      <c r="AH3170" s="82"/>
      <c r="AI3170" s="82"/>
      <c r="AJ3170" s="82"/>
      <c r="AK3170" s="82"/>
      <c r="AL3170" s="82"/>
      <c r="AM3170" s="82"/>
      <c r="AN3170" s="82"/>
      <c r="AO3170" s="82"/>
      <c r="AP3170" s="82"/>
      <c r="AQ3170" s="82"/>
      <c r="AR3170" s="82"/>
      <c r="AS3170" s="82"/>
      <c r="AT3170" s="82"/>
      <c r="AU3170" s="82"/>
      <c r="AV3170" s="82"/>
      <c r="AW3170" s="82" t="str">
        <f t="shared" si="1"/>
        <v/>
      </c>
      <c r="AX3170" s="83" t="str">
        <f t="array" ref="AX3170">IFERROR(DGET('SBV Import'!A:G,"SBV",{"RSC ID","Tier";B3170,A3170}))</f>
        <v/>
      </c>
      <c r="AY3170" s="82" t="str">
        <f t="shared" si="2"/>
        <v/>
      </c>
      <c r="AZ3170" s="82"/>
      <c r="BA3170" s="84" t="s">
        <v>152</v>
      </c>
      <c r="BB3170" s="84" t="str">
        <f>IFERROR(__xludf.DUMMYFUNCTION("iferror(if(A3170="""",,E3170&gt;=FILTER(Constants!$F$2:$F$10,Constants!$A$2:$A$10=A3170)))"),"")</f>
        <v/>
      </c>
    </row>
    <row r="3171">
      <c r="A3171" s="89"/>
      <c r="B3171" s="87"/>
      <c r="C3171" s="73"/>
      <c r="D3171" s="73"/>
      <c r="E3171" s="82"/>
      <c r="F3171" s="82"/>
      <c r="G3171" s="86"/>
      <c r="H3171" s="86"/>
      <c r="I3171" s="86"/>
      <c r="J3171" s="82"/>
      <c r="K3171" s="82"/>
      <c r="L3171" s="82"/>
      <c r="M3171" s="82"/>
      <c r="N3171" s="82"/>
      <c r="O3171" s="82"/>
      <c r="P3171" s="82"/>
      <c r="Q3171" s="82"/>
      <c r="R3171" s="82"/>
      <c r="S3171" s="82"/>
      <c r="T3171" s="82"/>
      <c r="U3171" s="82"/>
      <c r="V3171" s="82"/>
      <c r="W3171" s="82"/>
      <c r="X3171" s="82"/>
      <c r="Y3171" s="82"/>
      <c r="Z3171" s="82"/>
      <c r="AA3171" s="82"/>
      <c r="AB3171" s="82"/>
      <c r="AC3171" s="82"/>
      <c r="AD3171" s="82"/>
      <c r="AE3171" s="82"/>
      <c r="AF3171" s="82"/>
      <c r="AG3171" s="82"/>
      <c r="AH3171" s="82"/>
      <c r="AI3171" s="82"/>
      <c r="AJ3171" s="82"/>
      <c r="AK3171" s="82"/>
      <c r="AL3171" s="82"/>
      <c r="AM3171" s="82"/>
      <c r="AN3171" s="82"/>
      <c r="AO3171" s="82"/>
      <c r="AP3171" s="82"/>
      <c r="AQ3171" s="82"/>
      <c r="AR3171" s="82"/>
      <c r="AS3171" s="82"/>
      <c r="AT3171" s="82"/>
      <c r="AU3171" s="82"/>
      <c r="AV3171" s="82"/>
      <c r="AW3171" s="82" t="str">
        <f t="shared" si="1"/>
        <v/>
      </c>
      <c r="AX3171" s="83" t="str">
        <f t="array" ref="AX3171">IFERROR(DGET('SBV Import'!A:G,"SBV",{"RSC ID","Tier";B3171,A3171}))</f>
        <v/>
      </c>
      <c r="AY3171" s="82" t="str">
        <f t="shared" si="2"/>
        <v/>
      </c>
      <c r="AZ3171" s="82"/>
      <c r="BA3171" s="84" t="s">
        <v>152</v>
      </c>
      <c r="BB3171" s="84" t="str">
        <f>IFERROR(__xludf.DUMMYFUNCTION("iferror(if(A3171="""",,E3171&gt;=FILTER(Constants!$F$2:$F$10,Constants!$A$2:$A$10=A3171)))"),"")</f>
        <v/>
      </c>
    </row>
    <row r="3172">
      <c r="A3172" s="89"/>
      <c r="B3172" s="87"/>
      <c r="C3172" s="73"/>
      <c r="D3172" s="73"/>
      <c r="E3172" s="82"/>
      <c r="F3172" s="82"/>
      <c r="G3172" s="86"/>
      <c r="H3172" s="86"/>
      <c r="I3172" s="86"/>
      <c r="J3172" s="82"/>
      <c r="K3172" s="82"/>
      <c r="L3172" s="82"/>
      <c r="M3172" s="82"/>
      <c r="N3172" s="82"/>
      <c r="O3172" s="82"/>
      <c r="P3172" s="82"/>
      <c r="Q3172" s="82"/>
      <c r="R3172" s="82"/>
      <c r="S3172" s="82"/>
      <c r="T3172" s="82"/>
      <c r="U3172" s="82"/>
      <c r="V3172" s="82"/>
      <c r="W3172" s="82"/>
      <c r="X3172" s="82"/>
      <c r="Y3172" s="82"/>
      <c r="Z3172" s="82"/>
      <c r="AA3172" s="82"/>
      <c r="AB3172" s="82"/>
      <c r="AC3172" s="82"/>
      <c r="AD3172" s="82"/>
      <c r="AE3172" s="82"/>
      <c r="AF3172" s="82"/>
      <c r="AG3172" s="82"/>
      <c r="AH3172" s="82"/>
      <c r="AI3172" s="82"/>
      <c r="AJ3172" s="82"/>
      <c r="AK3172" s="82"/>
      <c r="AL3172" s="82"/>
      <c r="AM3172" s="82"/>
      <c r="AN3172" s="82"/>
      <c r="AO3172" s="82"/>
      <c r="AP3172" s="82"/>
      <c r="AQ3172" s="82"/>
      <c r="AR3172" s="82"/>
      <c r="AS3172" s="82"/>
      <c r="AT3172" s="82"/>
      <c r="AU3172" s="82"/>
      <c r="AV3172" s="82"/>
      <c r="AW3172" s="82" t="str">
        <f t="shared" si="1"/>
        <v/>
      </c>
      <c r="AX3172" s="83" t="str">
        <f t="array" ref="AX3172">IFERROR(DGET('SBV Import'!A:G,"SBV",{"RSC ID","Tier";B3172,A3172}))</f>
        <v/>
      </c>
      <c r="AY3172" s="82" t="str">
        <f t="shared" si="2"/>
        <v/>
      </c>
      <c r="AZ3172" s="82"/>
      <c r="BA3172" s="84" t="s">
        <v>152</v>
      </c>
      <c r="BB3172" s="84" t="str">
        <f>IFERROR(__xludf.DUMMYFUNCTION("iferror(if(A3172="""",,E3172&gt;=FILTER(Constants!$F$2:$F$10,Constants!$A$2:$A$10=A3172)))"),"")</f>
        <v/>
      </c>
    </row>
    <row r="3173">
      <c r="A3173" s="89"/>
      <c r="B3173" s="87"/>
      <c r="C3173" s="73"/>
      <c r="D3173" s="73"/>
      <c r="E3173" s="82"/>
      <c r="F3173" s="82"/>
      <c r="G3173" s="86"/>
      <c r="H3173" s="86"/>
      <c r="I3173" s="86"/>
      <c r="J3173" s="82"/>
      <c r="K3173" s="82"/>
      <c r="L3173" s="82"/>
      <c r="M3173" s="82"/>
      <c r="N3173" s="82"/>
      <c r="O3173" s="82"/>
      <c r="P3173" s="82"/>
      <c r="Q3173" s="82"/>
      <c r="R3173" s="82"/>
      <c r="S3173" s="82"/>
      <c r="T3173" s="82"/>
      <c r="U3173" s="82"/>
      <c r="V3173" s="82"/>
      <c r="W3173" s="82"/>
      <c r="X3173" s="82"/>
      <c r="Y3173" s="82"/>
      <c r="Z3173" s="82"/>
      <c r="AA3173" s="82"/>
      <c r="AB3173" s="82"/>
      <c r="AC3173" s="82"/>
      <c r="AD3173" s="82"/>
      <c r="AE3173" s="82"/>
      <c r="AF3173" s="82"/>
      <c r="AG3173" s="82"/>
      <c r="AH3173" s="82"/>
      <c r="AI3173" s="82"/>
      <c r="AJ3173" s="82"/>
      <c r="AK3173" s="82"/>
      <c r="AL3173" s="82"/>
      <c r="AM3173" s="82"/>
      <c r="AN3173" s="82"/>
      <c r="AO3173" s="82"/>
      <c r="AP3173" s="82"/>
      <c r="AQ3173" s="82"/>
      <c r="AR3173" s="82"/>
      <c r="AS3173" s="82"/>
      <c r="AT3173" s="82"/>
      <c r="AU3173" s="82"/>
      <c r="AV3173" s="82"/>
      <c r="AW3173" s="82" t="str">
        <f t="shared" si="1"/>
        <v/>
      </c>
      <c r="AX3173" s="83" t="str">
        <f t="array" ref="AX3173">IFERROR(DGET('SBV Import'!A:G,"SBV",{"RSC ID","Tier";B3173,A3173}))</f>
        <v/>
      </c>
      <c r="AY3173" s="82" t="str">
        <f t="shared" si="2"/>
        <v/>
      </c>
      <c r="AZ3173" s="82"/>
      <c r="BA3173" s="84" t="s">
        <v>152</v>
      </c>
      <c r="BB3173" s="84" t="str">
        <f>IFERROR(__xludf.DUMMYFUNCTION("iferror(if(A3173="""",,E3173&gt;=FILTER(Constants!$F$2:$F$10,Constants!$A$2:$A$10=A3173)))"),"")</f>
        <v/>
      </c>
    </row>
    <row r="3174">
      <c r="A3174" s="89"/>
      <c r="B3174" s="87"/>
      <c r="C3174" s="73"/>
      <c r="D3174" s="73"/>
      <c r="E3174" s="82"/>
      <c r="F3174" s="82"/>
      <c r="G3174" s="86"/>
      <c r="H3174" s="86"/>
      <c r="I3174" s="86"/>
      <c r="J3174" s="82"/>
      <c r="K3174" s="82"/>
      <c r="L3174" s="82"/>
      <c r="M3174" s="82"/>
      <c r="N3174" s="82"/>
      <c r="O3174" s="82"/>
      <c r="P3174" s="82"/>
      <c r="Q3174" s="82"/>
      <c r="R3174" s="82"/>
      <c r="S3174" s="82"/>
      <c r="T3174" s="82"/>
      <c r="U3174" s="82"/>
      <c r="V3174" s="82"/>
      <c r="W3174" s="82"/>
      <c r="X3174" s="82"/>
      <c r="Y3174" s="82"/>
      <c r="Z3174" s="82"/>
      <c r="AA3174" s="82"/>
      <c r="AB3174" s="82"/>
      <c r="AC3174" s="82"/>
      <c r="AD3174" s="82"/>
      <c r="AE3174" s="82"/>
      <c r="AF3174" s="82"/>
      <c r="AG3174" s="82"/>
      <c r="AH3174" s="82"/>
      <c r="AI3174" s="82"/>
      <c r="AJ3174" s="82"/>
      <c r="AK3174" s="82"/>
      <c r="AL3174" s="82"/>
      <c r="AM3174" s="82"/>
      <c r="AN3174" s="82"/>
      <c r="AO3174" s="82"/>
      <c r="AP3174" s="82"/>
      <c r="AQ3174" s="82"/>
      <c r="AR3174" s="82"/>
      <c r="AS3174" s="82"/>
      <c r="AT3174" s="82"/>
      <c r="AU3174" s="82"/>
      <c r="AV3174" s="82"/>
      <c r="AW3174" s="82" t="str">
        <f t="shared" si="1"/>
        <v/>
      </c>
      <c r="AX3174" s="83" t="str">
        <f t="array" ref="AX3174">IFERROR(DGET('SBV Import'!A:G,"SBV",{"RSC ID","Tier";B3174,A3174}))</f>
        <v/>
      </c>
      <c r="AY3174" s="82" t="str">
        <f t="shared" si="2"/>
        <v/>
      </c>
      <c r="AZ3174" s="82"/>
      <c r="BA3174" s="84" t="s">
        <v>152</v>
      </c>
      <c r="BB3174" s="84" t="str">
        <f>IFERROR(__xludf.DUMMYFUNCTION("iferror(if(A3174="""",,E3174&gt;=FILTER(Constants!$F$2:$F$10,Constants!$A$2:$A$10=A3174)))"),"")</f>
        <v/>
      </c>
    </row>
    <row r="3175">
      <c r="A3175" s="89"/>
      <c r="B3175" s="87"/>
      <c r="C3175" s="73"/>
      <c r="D3175" s="73"/>
      <c r="E3175" s="82"/>
      <c r="F3175" s="82"/>
      <c r="G3175" s="86"/>
      <c r="H3175" s="86"/>
      <c r="I3175" s="86"/>
      <c r="J3175" s="82"/>
      <c r="K3175" s="82"/>
      <c r="L3175" s="82"/>
      <c r="M3175" s="82"/>
      <c r="N3175" s="82"/>
      <c r="O3175" s="82"/>
      <c r="P3175" s="82"/>
      <c r="Q3175" s="82"/>
      <c r="R3175" s="82"/>
      <c r="S3175" s="82"/>
      <c r="T3175" s="82"/>
      <c r="U3175" s="82"/>
      <c r="V3175" s="82"/>
      <c r="W3175" s="82"/>
      <c r="X3175" s="82"/>
      <c r="Y3175" s="82"/>
      <c r="Z3175" s="82"/>
      <c r="AA3175" s="82"/>
      <c r="AB3175" s="82"/>
      <c r="AC3175" s="82"/>
      <c r="AD3175" s="82"/>
      <c r="AE3175" s="82"/>
      <c r="AF3175" s="82"/>
      <c r="AG3175" s="82"/>
      <c r="AH3175" s="82"/>
      <c r="AI3175" s="82"/>
      <c r="AJ3175" s="82"/>
      <c r="AK3175" s="82"/>
      <c r="AL3175" s="82"/>
      <c r="AM3175" s="82"/>
      <c r="AN3175" s="82"/>
      <c r="AO3175" s="82"/>
      <c r="AP3175" s="82"/>
      <c r="AQ3175" s="82"/>
      <c r="AR3175" s="82"/>
      <c r="AS3175" s="82"/>
      <c r="AT3175" s="82"/>
      <c r="AU3175" s="82"/>
      <c r="AV3175" s="82"/>
      <c r="AW3175" s="82" t="str">
        <f t="shared" si="1"/>
        <v/>
      </c>
      <c r="AX3175" s="83" t="str">
        <f t="array" ref="AX3175">IFERROR(DGET('SBV Import'!A:G,"SBV",{"RSC ID","Tier";B3175,A3175}))</f>
        <v/>
      </c>
      <c r="AY3175" s="82" t="str">
        <f t="shared" si="2"/>
        <v/>
      </c>
      <c r="AZ3175" s="82"/>
      <c r="BA3175" s="84" t="s">
        <v>152</v>
      </c>
      <c r="BB3175" s="84" t="str">
        <f>IFERROR(__xludf.DUMMYFUNCTION("iferror(if(A3175="""",,E3175&gt;=FILTER(Constants!$F$2:$F$10,Constants!$A$2:$A$10=A3175)))"),"")</f>
        <v/>
      </c>
    </row>
    <row r="3176">
      <c r="A3176" s="89"/>
      <c r="B3176" s="87"/>
      <c r="C3176" s="73"/>
      <c r="D3176" s="73"/>
      <c r="E3176" s="82"/>
      <c r="F3176" s="82"/>
      <c r="G3176" s="86"/>
      <c r="H3176" s="86"/>
      <c r="I3176" s="86"/>
      <c r="J3176" s="82"/>
      <c r="K3176" s="82"/>
      <c r="L3176" s="82"/>
      <c r="M3176" s="82"/>
      <c r="N3176" s="82"/>
      <c r="O3176" s="82"/>
      <c r="P3176" s="82"/>
      <c r="Q3176" s="82"/>
      <c r="R3176" s="82"/>
      <c r="S3176" s="82"/>
      <c r="T3176" s="82"/>
      <c r="U3176" s="82"/>
      <c r="V3176" s="82"/>
      <c r="W3176" s="82"/>
      <c r="X3176" s="82"/>
      <c r="Y3176" s="82"/>
      <c r="Z3176" s="82"/>
      <c r="AA3176" s="82"/>
      <c r="AB3176" s="82"/>
      <c r="AC3176" s="82"/>
      <c r="AD3176" s="82"/>
      <c r="AE3176" s="82"/>
      <c r="AF3176" s="82"/>
      <c r="AG3176" s="82"/>
      <c r="AH3176" s="82"/>
      <c r="AI3176" s="82"/>
      <c r="AJ3176" s="82"/>
      <c r="AK3176" s="82"/>
      <c r="AL3176" s="82"/>
      <c r="AM3176" s="82"/>
      <c r="AN3176" s="82"/>
      <c r="AO3176" s="82"/>
      <c r="AP3176" s="82"/>
      <c r="AQ3176" s="82"/>
      <c r="AR3176" s="82"/>
      <c r="AS3176" s="82"/>
      <c r="AT3176" s="82"/>
      <c r="AU3176" s="82"/>
      <c r="AV3176" s="82"/>
      <c r="AW3176" s="82" t="str">
        <f t="shared" si="1"/>
        <v/>
      </c>
      <c r="AX3176" s="83" t="str">
        <f t="array" ref="AX3176">IFERROR(DGET('SBV Import'!A:G,"SBV",{"RSC ID","Tier";B3176,A3176}))</f>
        <v/>
      </c>
      <c r="AY3176" s="82" t="str">
        <f t="shared" si="2"/>
        <v/>
      </c>
      <c r="AZ3176" s="82"/>
      <c r="BA3176" s="84" t="s">
        <v>152</v>
      </c>
      <c r="BB3176" s="84" t="str">
        <f>IFERROR(__xludf.DUMMYFUNCTION("iferror(if(A3176="""",,E3176&gt;=FILTER(Constants!$F$2:$F$10,Constants!$A$2:$A$10=A3176)))"),"")</f>
        <v/>
      </c>
    </row>
    <row r="3177">
      <c r="A3177" s="89"/>
      <c r="B3177" s="87"/>
      <c r="C3177" s="73"/>
      <c r="D3177" s="73"/>
      <c r="E3177" s="82"/>
      <c r="F3177" s="82"/>
      <c r="G3177" s="86"/>
      <c r="H3177" s="86"/>
      <c r="I3177" s="86"/>
      <c r="J3177" s="82"/>
      <c r="K3177" s="82"/>
      <c r="L3177" s="82"/>
      <c r="M3177" s="82"/>
      <c r="N3177" s="82"/>
      <c r="O3177" s="82"/>
      <c r="P3177" s="82"/>
      <c r="Q3177" s="82"/>
      <c r="R3177" s="82"/>
      <c r="S3177" s="82"/>
      <c r="T3177" s="82"/>
      <c r="U3177" s="82"/>
      <c r="V3177" s="82"/>
      <c r="W3177" s="82"/>
      <c r="X3177" s="82"/>
      <c r="Y3177" s="82"/>
      <c r="Z3177" s="82"/>
      <c r="AA3177" s="82"/>
      <c r="AB3177" s="82"/>
      <c r="AC3177" s="82"/>
      <c r="AD3177" s="82"/>
      <c r="AE3177" s="82"/>
      <c r="AF3177" s="82"/>
      <c r="AG3177" s="82"/>
      <c r="AH3177" s="82"/>
      <c r="AI3177" s="82"/>
      <c r="AJ3177" s="82"/>
      <c r="AK3177" s="82"/>
      <c r="AL3177" s="82"/>
      <c r="AM3177" s="82"/>
      <c r="AN3177" s="82"/>
      <c r="AO3177" s="82"/>
      <c r="AP3177" s="82"/>
      <c r="AQ3177" s="82"/>
      <c r="AR3177" s="82"/>
      <c r="AS3177" s="82"/>
      <c r="AT3177" s="82"/>
      <c r="AU3177" s="82"/>
      <c r="AV3177" s="82"/>
      <c r="AW3177" s="82" t="str">
        <f t="shared" si="1"/>
        <v/>
      </c>
      <c r="AX3177" s="83" t="str">
        <f t="array" ref="AX3177">IFERROR(DGET('SBV Import'!A:G,"SBV",{"RSC ID","Tier";B3177,A3177}))</f>
        <v/>
      </c>
      <c r="AY3177" s="82" t="str">
        <f t="shared" si="2"/>
        <v/>
      </c>
      <c r="AZ3177" s="82"/>
      <c r="BA3177" s="84" t="s">
        <v>152</v>
      </c>
      <c r="BB3177" s="84" t="str">
        <f>IFERROR(__xludf.DUMMYFUNCTION("iferror(if(A3177="""",,E3177&gt;=FILTER(Constants!$F$2:$F$10,Constants!$A$2:$A$10=A3177)))"),"")</f>
        <v/>
      </c>
    </row>
    <row r="3178">
      <c r="A3178" s="89"/>
      <c r="B3178" s="87"/>
      <c r="C3178" s="73"/>
      <c r="D3178" s="73"/>
      <c r="E3178" s="82"/>
      <c r="F3178" s="82"/>
      <c r="G3178" s="86"/>
      <c r="H3178" s="86"/>
      <c r="I3178" s="86"/>
      <c r="J3178" s="82"/>
      <c r="K3178" s="82"/>
      <c r="L3178" s="82"/>
      <c r="M3178" s="82"/>
      <c r="N3178" s="82"/>
      <c r="O3178" s="82"/>
      <c r="P3178" s="82"/>
      <c r="Q3178" s="82"/>
      <c r="R3178" s="82"/>
      <c r="S3178" s="82"/>
      <c r="T3178" s="82"/>
      <c r="U3178" s="82"/>
      <c r="V3178" s="82"/>
      <c r="W3178" s="82"/>
      <c r="X3178" s="82"/>
      <c r="Y3178" s="82"/>
      <c r="Z3178" s="82"/>
      <c r="AA3178" s="82"/>
      <c r="AB3178" s="82"/>
      <c r="AC3178" s="82"/>
      <c r="AD3178" s="82"/>
      <c r="AE3178" s="82"/>
      <c r="AF3178" s="82"/>
      <c r="AG3178" s="82"/>
      <c r="AH3178" s="82"/>
      <c r="AI3178" s="82"/>
      <c r="AJ3178" s="82"/>
      <c r="AK3178" s="82"/>
      <c r="AL3178" s="82"/>
      <c r="AM3178" s="82"/>
      <c r="AN3178" s="82"/>
      <c r="AO3178" s="82"/>
      <c r="AP3178" s="82"/>
      <c r="AQ3178" s="82"/>
      <c r="AR3178" s="82"/>
      <c r="AS3178" s="82"/>
      <c r="AT3178" s="82"/>
      <c r="AU3178" s="82"/>
      <c r="AV3178" s="82"/>
      <c r="AW3178" s="82" t="str">
        <f t="shared" si="1"/>
        <v/>
      </c>
      <c r="AX3178" s="83" t="str">
        <f t="array" ref="AX3178">IFERROR(DGET('SBV Import'!A:G,"SBV",{"RSC ID","Tier";B3178,A3178}))</f>
        <v/>
      </c>
      <c r="AY3178" s="82" t="str">
        <f t="shared" si="2"/>
        <v/>
      </c>
      <c r="AZ3178" s="82"/>
      <c r="BA3178" s="84" t="s">
        <v>152</v>
      </c>
      <c r="BB3178" s="84" t="str">
        <f>IFERROR(__xludf.DUMMYFUNCTION("iferror(if(A3178="""",,E3178&gt;=FILTER(Constants!$F$2:$F$10,Constants!$A$2:$A$10=A3178)))"),"")</f>
        <v/>
      </c>
    </row>
    <row r="3179">
      <c r="A3179" s="89"/>
      <c r="B3179" s="87"/>
      <c r="C3179" s="73"/>
      <c r="D3179" s="73"/>
      <c r="E3179" s="82"/>
      <c r="F3179" s="82"/>
      <c r="G3179" s="86"/>
      <c r="H3179" s="86"/>
      <c r="I3179" s="86"/>
      <c r="J3179" s="82"/>
      <c r="K3179" s="82"/>
      <c r="L3179" s="82"/>
      <c r="M3179" s="82"/>
      <c r="N3179" s="82"/>
      <c r="O3179" s="82"/>
      <c r="P3179" s="82"/>
      <c r="Q3179" s="82"/>
      <c r="R3179" s="82"/>
      <c r="S3179" s="82"/>
      <c r="T3179" s="82"/>
      <c r="U3179" s="82"/>
      <c r="V3179" s="82"/>
      <c r="W3179" s="82"/>
      <c r="X3179" s="82"/>
      <c r="Y3179" s="82"/>
      <c r="Z3179" s="82"/>
      <c r="AA3179" s="82"/>
      <c r="AB3179" s="82"/>
      <c r="AC3179" s="82"/>
      <c r="AD3179" s="82"/>
      <c r="AE3179" s="82"/>
      <c r="AF3179" s="82"/>
      <c r="AG3179" s="82"/>
      <c r="AH3179" s="82"/>
      <c r="AI3179" s="82"/>
      <c r="AJ3179" s="82"/>
      <c r="AK3179" s="82"/>
      <c r="AL3179" s="82"/>
      <c r="AM3179" s="82"/>
      <c r="AN3179" s="82"/>
      <c r="AO3179" s="82"/>
      <c r="AP3179" s="82"/>
      <c r="AQ3179" s="82"/>
      <c r="AR3179" s="82"/>
      <c r="AS3179" s="82"/>
      <c r="AT3179" s="82"/>
      <c r="AU3179" s="82"/>
      <c r="AV3179" s="82"/>
      <c r="AW3179" s="82" t="str">
        <f t="shared" si="1"/>
        <v/>
      </c>
      <c r="AX3179" s="83" t="str">
        <f t="array" ref="AX3179">IFERROR(DGET('SBV Import'!A:G,"SBV",{"RSC ID","Tier";B3179,A3179}))</f>
        <v/>
      </c>
      <c r="AY3179" s="82" t="str">
        <f t="shared" si="2"/>
        <v/>
      </c>
      <c r="AZ3179" s="82"/>
      <c r="BA3179" s="84" t="s">
        <v>152</v>
      </c>
      <c r="BB3179" s="84" t="str">
        <f>IFERROR(__xludf.DUMMYFUNCTION("iferror(if(A3179="""",,E3179&gt;=FILTER(Constants!$F$2:$F$10,Constants!$A$2:$A$10=A3179)))"),"")</f>
        <v/>
      </c>
    </row>
    <row r="3180">
      <c r="A3180" s="89"/>
      <c r="B3180" s="87"/>
      <c r="C3180" s="73"/>
      <c r="D3180" s="73"/>
      <c r="E3180" s="82"/>
      <c r="F3180" s="82"/>
      <c r="G3180" s="86"/>
      <c r="H3180" s="86"/>
      <c r="I3180" s="86"/>
      <c r="J3180" s="82"/>
      <c r="K3180" s="82"/>
      <c r="L3180" s="82"/>
      <c r="M3180" s="82"/>
      <c r="N3180" s="82"/>
      <c r="O3180" s="82"/>
      <c r="P3180" s="82"/>
      <c r="Q3180" s="82"/>
      <c r="R3180" s="82"/>
      <c r="S3180" s="82"/>
      <c r="T3180" s="82"/>
      <c r="U3180" s="82"/>
      <c r="V3180" s="82"/>
      <c r="W3180" s="82"/>
      <c r="X3180" s="82"/>
      <c r="Y3180" s="82"/>
      <c r="Z3180" s="82"/>
      <c r="AA3180" s="82"/>
      <c r="AB3180" s="82"/>
      <c r="AC3180" s="82"/>
      <c r="AD3180" s="82"/>
      <c r="AE3180" s="82"/>
      <c r="AF3180" s="82"/>
      <c r="AG3180" s="82"/>
      <c r="AH3180" s="82"/>
      <c r="AI3180" s="82"/>
      <c r="AJ3180" s="82"/>
      <c r="AK3180" s="82"/>
      <c r="AL3180" s="82"/>
      <c r="AM3180" s="82"/>
      <c r="AN3180" s="82"/>
      <c r="AO3180" s="82"/>
      <c r="AP3180" s="82"/>
      <c r="AQ3180" s="82"/>
      <c r="AR3180" s="82"/>
      <c r="AS3180" s="82"/>
      <c r="AT3180" s="82"/>
      <c r="AU3180" s="82"/>
      <c r="AV3180" s="82"/>
      <c r="AW3180" s="82" t="str">
        <f t="shared" si="1"/>
        <v/>
      </c>
      <c r="AX3180" s="83" t="str">
        <f t="array" ref="AX3180">IFERROR(DGET('SBV Import'!A:G,"SBV",{"RSC ID","Tier";B3180,A3180}))</f>
        <v/>
      </c>
      <c r="AY3180" s="82" t="str">
        <f t="shared" si="2"/>
        <v/>
      </c>
      <c r="AZ3180" s="82"/>
      <c r="BA3180" s="84" t="s">
        <v>152</v>
      </c>
      <c r="BB3180" s="84" t="str">
        <f>IFERROR(__xludf.DUMMYFUNCTION("iferror(if(A3180="""",,E3180&gt;=FILTER(Constants!$F$2:$F$10,Constants!$A$2:$A$10=A3180)))"),"")</f>
        <v/>
      </c>
    </row>
    <row r="3181">
      <c r="A3181" s="89"/>
      <c r="B3181" s="87"/>
      <c r="C3181" s="73"/>
      <c r="D3181" s="73"/>
      <c r="E3181" s="82"/>
      <c r="F3181" s="82"/>
      <c r="G3181" s="86"/>
      <c r="H3181" s="86"/>
      <c r="I3181" s="86"/>
      <c r="J3181" s="82"/>
      <c r="K3181" s="82"/>
      <c r="L3181" s="82"/>
      <c r="M3181" s="82"/>
      <c r="N3181" s="82"/>
      <c r="O3181" s="82"/>
      <c r="P3181" s="82"/>
      <c r="Q3181" s="82"/>
      <c r="R3181" s="82"/>
      <c r="S3181" s="82"/>
      <c r="T3181" s="82"/>
      <c r="U3181" s="82"/>
      <c r="V3181" s="82"/>
      <c r="W3181" s="82"/>
      <c r="X3181" s="82"/>
      <c r="Y3181" s="82"/>
      <c r="Z3181" s="82"/>
      <c r="AA3181" s="82"/>
      <c r="AB3181" s="82"/>
      <c r="AC3181" s="82"/>
      <c r="AD3181" s="82"/>
      <c r="AE3181" s="82"/>
      <c r="AF3181" s="82"/>
      <c r="AG3181" s="82"/>
      <c r="AH3181" s="82"/>
      <c r="AI3181" s="82"/>
      <c r="AJ3181" s="82"/>
      <c r="AK3181" s="82"/>
      <c r="AL3181" s="82"/>
      <c r="AM3181" s="82"/>
      <c r="AN3181" s="82"/>
      <c r="AO3181" s="82"/>
      <c r="AP3181" s="82"/>
      <c r="AQ3181" s="82"/>
      <c r="AR3181" s="82"/>
      <c r="AS3181" s="82"/>
      <c r="AT3181" s="82"/>
      <c r="AU3181" s="82"/>
      <c r="AV3181" s="82"/>
      <c r="AW3181" s="82" t="str">
        <f t="shared" si="1"/>
        <v/>
      </c>
      <c r="AX3181" s="83" t="str">
        <f t="array" ref="AX3181">IFERROR(DGET('SBV Import'!A:G,"SBV",{"RSC ID","Tier";B3181,A3181}))</f>
        <v/>
      </c>
      <c r="AY3181" s="82" t="str">
        <f t="shared" si="2"/>
        <v/>
      </c>
      <c r="AZ3181" s="82"/>
      <c r="BA3181" s="84" t="s">
        <v>152</v>
      </c>
      <c r="BB3181" s="84" t="str">
        <f>IFERROR(__xludf.DUMMYFUNCTION("iferror(if(A3181="""",,E3181&gt;=FILTER(Constants!$F$2:$F$10,Constants!$A$2:$A$10=A3181)))"),"")</f>
        <v/>
      </c>
    </row>
    <row r="3182">
      <c r="A3182" s="89"/>
      <c r="B3182" s="87"/>
      <c r="C3182" s="73"/>
      <c r="D3182" s="73"/>
      <c r="E3182" s="82"/>
      <c r="F3182" s="82"/>
      <c r="G3182" s="86"/>
      <c r="H3182" s="86"/>
      <c r="I3182" s="86"/>
      <c r="J3182" s="82"/>
      <c r="K3182" s="82"/>
      <c r="L3182" s="82"/>
      <c r="M3182" s="82"/>
      <c r="N3182" s="82"/>
      <c r="O3182" s="82"/>
      <c r="P3182" s="82"/>
      <c r="Q3182" s="82"/>
      <c r="R3182" s="82"/>
      <c r="S3182" s="82"/>
      <c r="T3182" s="82"/>
      <c r="U3182" s="82"/>
      <c r="V3182" s="82"/>
      <c r="W3182" s="82"/>
      <c r="X3182" s="82"/>
      <c r="Y3182" s="82"/>
      <c r="Z3182" s="82"/>
      <c r="AA3182" s="82"/>
      <c r="AB3182" s="82"/>
      <c r="AC3182" s="82"/>
      <c r="AD3182" s="82"/>
      <c r="AE3182" s="82"/>
      <c r="AF3182" s="82"/>
      <c r="AG3182" s="82"/>
      <c r="AH3182" s="82"/>
      <c r="AI3182" s="82"/>
      <c r="AJ3182" s="82"/>
      <c r="AK3182" s="82"/>
      <c r="AL3182" s="82"/>
      <c r="AM3182" s="82"/>
      <c r="AN3182" s="82"/>
      <c r="AO3182" s="82"/>
      <c r="AP3182" s="82"/>
      <c r="AQ3182" s="82"/>
      <c r="AR3182" s="82"/>
      <c r="AS3182" s="82"/>
      <c r="AT3182" s="82"/>
      <c r="AU3182" s="82"/>
      <c r="AV3182" s="82"/>
      <c r="AW3182" s="82" t="str">
        <f t="shared" si="1"/>
        <v/>
      </c>
      <c r="AX3182" s="83" t="str">
        <f t="array" ref="AX3182">IFERROR(DGET('SBV Import'!A:G,"SBV",{"RSC ID","Tier";B3182,A3182}))</f>
        <v/>
      </c>
      <c r="AY3182" s="82" t="str">
        <f t="shared" si="2"/>
        <v/>
      </c>
      <c r="AZ3182" s="82"/>
      <c r="BA3182" s="84" t="s">
        <v>152</v>
      </c>
      <c r="BB3182" s="84" t="str">
        <f>IFERROR(__xludf.DUMMYFUNCTION("iferror(if(A3182="""",,E3182&gt;=FILTER(Constants!$F$2:$F$10,Constants!$A$2:$A$10=A3182)))"),"")</f>
        <v/>
      </c>
    </row>
    <row r="3183">
      <c r="A3183" s="89"/>
      <c r="B3183" s="87"/>
      <c r="C3183" s="73"/>
      <c r="D3183" s="73"/>
      <c r="E3183" s="82"/>
      <c r="F3183" s="82"/>
      <c r="G3183" s="86"/>
      <c r="H3183" s="86"/>
      <c r="I3183" s="86"/>
      <c r="J3183" s="82"/>
      <c r="K3183" s="82"/>
      <c r="L3183" s="82"/>
      <c r="M3183" s="82"/>
      <c r="N3183" s="82"/>
      <c r="O3183" s="82"/>
      <c r="P3183" s="82"/>
      <c r="Q3183" s="82"/>
      <c r="R3183" s="82"/>
      <c r="S3183" s="82"/>
      <c r="T3183" s="82"/>
      <c r="U3183" s="82"/>
      <c r="V3183" s="82"/>
      <c r="W3183" s="82"/>
      <c r="X3183" s="82"/>
      <c r="Y3183" s="82"/>
      <c r="Z3183" s="82"/>
      <c r="AA3183" s="82"/>
      <c r="AB3183" s="82"/>
      <c r="AC3183" s="82"/>
      <c r="AD3183" s="82"/>
      <c r="AE3183" s="82"/>
      <c r="AF3183" s="82"/>
      <c r="AG3183" s="82"/>
      <c r="AH3183" s="82"/>
      <c r="AI3183" s="82"/>
      <c r="AJ3183" s="82"/>
      <c r="AK3183" s="82"/>
      <c r="AL3183" s="82"/>
      <c r="AM3183" s="82"/>
      <c r="AN3183" s="82"/>
      <c r="AO3183" s="82"/>
      <c r="AP3183" s="82"/>
      <c r="AQ3183" s="82"/>
      <c r="AR3183" s="82"/>
      <c r="AS3183" s="82"/>
      <c r="AT3183" s="82"/>
      <c r="AU3183" s="82"/>
      <c r="AV3183" s="82"/>
      <c r="AW3183" s="82" t="str">
        <f t="shared" si="1"/>
        <v/>
      </c>
      <c r="AX3183" s="83" t="str">
        <f t="array" ref="AX3183">IFERROR(DGET('SBV Import'!A:G,"SBV",{"RSC ID","Tier";B3183,A3183}))</f>
        <v/>
      </c>
      <c r="AY3183" s="82" t="str">
        <f t="shared" si="2"/>
        <v/>
      </c>
      <c r="AZ3183" s="82"/>
      <c r="BA3183" s="84" t="s">
        <v>152</v>
      </c>
      <c r="BB3183" s="84" t="str">
        <f>IFERROR(__xludf.DUMMYFUNCTION("iferror(if(A3183="""",,E3183&gt;=FILTER(Constants!$F$2:$F$10,Constants!$A$2:$A$10=A3183)))"),"")</f>
        <v/>
      </c>
    </row>
    <row r="3184">
      <c r="A3184" s="89"/>
      <c r="B3184" s="87"/>
      <c r="C3184" s="73"/>
      <c r="D3184" s="73"/>
      <c r="E3184" s="82"/>
      <c r="F3184" s="82"/>
      <c r="G3184" s="86"/>
      <c r="H3184" s="86"/>
      <c r="I3184" s="86"/>
      <c r="J3184" s="82"/>
      <c r="K3184" s="82"/>
      <c r="L3184" s="82"/>
      <c r="M3184" s="82"/>
      <c r="N3184" s="82"/>
      <c r="O3184" s="82"/>
      <c r="P3184" s="82"/>
      <c r="Q3184" s="82"/>
      <c r="R3184" s="82"/>
      <c r="S3184" s="82"/>
      <c r="T3184" s="82"/>
      <c r="U3184" s="82"/>
      <c r="V3184" s="82"/>
      <c r="W3184" s="82"/>
      <c r="X3184" s="82"/>
      <c r="Y3184" s="82"/>
      <c r="Z3184" s="82"/>
      <c r="AA3184" s="82"/>
      <c r="AB3184" s="82"/>
      <c r="AC3184" s="82"/>
      <c r="AD3184" s="82"/>
      <c r="AE3184" s="82"/>
      <c r="AF3184" s="82"/>
      <c r="AG3184" s="82"/>
      <c r="AH3184" s="82"/>
      <c r="AI3184" s="82"/>
      <c r="AJ3184" s="82"/>
      <c r="AK3184" s="82"/>
      <c r="AL3184" s="82"/>
      <c r="AM3184" s="82"/>
      <c r="AN3184" s="82"/>
      <c r="AO3184" s="82"/>
      <c r="AP3184" s="82"/>
      <c r="AQ3184" s="82"/>
      <c r="AR3184" s="82"/>
      <c r="AS3184" s="82"/>
      <c r="AT3184" s="82"/>
      <c r="AU3184" s="82"/>
      <c r="AV3184" s="82"/>
      <c r="AW3184" s="82" t="str">
        <f t="shared" si="1"/>
        <v/>
      </c>
      <c r="AX3184" s="83" t="str">
        <f t="array" ref="AX3184">IFERROR(DGET('SBV Import'!A:G,"SBV",{"RSC ID","Tier";B3184,A3184}))</f>
        <v/>
      </c>
      <c r="AY3184" s="82" t="str">
        <f t="shared" si="2"/>
        <v/>
      </c>
      <c r="AZ3184" s="82"/>
      <c r="BA3184" s="84" t="s">
        <v>152</v>
      </c>
      <c r="BB3184" s="84" t="str">
        <f>IFERROR(__xludf.DUMMYFUNCTION("iferror(if(A3184="""",,E3184&gt;=FILTER(Constants!$F$2:$F$10,Constants!$A$2:$A$10=A3184)))"),"")</f>
        <v/>
      </c>
    </row>
    <row r="3185">
      <c r="A3185" s="89"/>
      <c r="B3185" s="87"/>
      <c r="C3185" s="73"/>
      <c r="D3185" s="73"/>
      <c r="E3185" s="82"/>
      <c r="F3185" s="82"/>
      <c r="G3185" s="86"/>
      <c r="H3185" s="86"/>
      <c r="I3185" s="86"/>
      <c r="J3185" s="82"/>
      <c r="K3185" s="82"/>
      <c r="L3185" s="82"/>
      <c r="M3185" s="82"/>
      <c r="N3185" s="82"/>
      <c r="O3185" s="82"/>
      <c r="P3185" s="82"/>
      <c r="Q3185" s="82"/>
      <c r="R3185" s="82"/>
      <c r="S3185" s="82"/>
      <c r="T3185" s="82"/>
      <c r="U3185" s="82"/>
      <c r="V3185" s="82"/>
      <c r="W3185" s="82"/>
      <c r="X3185" s="82"/>
      <c r="Y3185" s="82"/>
      <c r="Z3185" s="82"/>
      <c r="AA3185" s="82"/>
      <c r="AB3185" s="82"/>
      <c r="AC3185" s="82"/>
      <c r="AD3185" s="82"/>
      <c r="AE3185" s="82"/>
      <c r="AF3185" s="82"/>
      <c r="AG3185" s="82"/>
      <c r="AH3185" s="82"/>
      <c r="AI3185" s="82"/>
      <c r="AJ3185" s="82"/>
      <c r="AK3185" s="82"/>
      <c r="AL3185" s="82"/>
      <c r="AM3185" s="82"/>
      <c r="AN3185" s="82"/>
      <c r="AO3185" s="82"/>
      <c r="AP3185" s="82"/>
      <c r="AQ3185" s="82"/>
      <c r="AR3185" s="82"/>
      <c r="AS3185" s="82"/>
      <c r="AT3185" s="82"/>
      <c r="AU3185" s="82"/>
      <c r="AV3185" s="82"/>
      <c r="AW3185" s="82" t="str">
        <f t="shared" si="1"/>
        <v/>
      </c>
      <c r="AX3185" s="83" t="str">
        <f t="array" ref="AX3185">IFERROR(DGET('SBV Import'!A:G,"SBV",{"RSC ID","Tier";B3185,A3185}))</f>
        <v/>
      </c>
      <c r="AY3185" s="82" t="str">
        <f t="shared" si="2"/>
        <v/>
      </c>
      <c r="AZ3185" s="82"/>
      <c r="BA3185" s="84" t="s">
        <v>152</v>
      </c>
      <c r="BB3185" s="84" t="str">
        <f>IFERROR(__xludf.DUMMYFUNCTION("iferror(if(A3185="""",,E3185&gt;=FILTER(Constants!$F$2:$F$10,Constants!$A$2:$A$10=A3185)))"),"")</f>
        <v/>
      </c>
    </row>
    <row r="3186">
      <c r="A3186" s="89"/>
      <c r="B3186" s="87"/>
      <c r="C3186" s="73"/>
      <c r="D3186" s="73"/>
      <c r="E3186" s="82"/>
      <c r="F3186" s="82"/>
      <c r="G3186" s="86"/>
      <c r="H3186" s="86"/>
      <c r="I3186" s="86"/>
      <c r="J3186" s="82"/>
      <c r="K3186" s="82"/>
      <c r="L3186" s="82"/>
      <c r="M3186" s="82"/>
      <c r="N3186" s="82"/>
      <c r="O3186" s="82"/>
      <c r="P3186" s="82"/>
      <c r="Q3186" s="82"/>
      <c r="R3186" s="82"/>
      <c r="S3186" s="82"/>
      <c r="T3186" s="82"/>
      <c r="U3186" s="82"/>
      <c r="V3186" s="82"/>
      <c r="W3186" s="82"/>
      <c r="X3186" s="82"/>
      <c r="Y3186" s="82"/>
      <c r="Z3186" s="82"/>
      <c r="AA3186" s="82"/>
      <c r="AB3186" s="82"/>
      <c r="AC3186" s="82"/>
      <c r="AD3186" s="82"/>
      <c r="AE3186" s="82"/>
      <c r="AF3186" s="82"/>
      <c r="AG3186" s="82"/>
      <c r="AH3186" s="82"/>
      <c r="AI3186" s="82"/>
      <c r="AJ3186" s="82"/>
      <c r="AK3186" s="82"/>
      <c r="AL3186" s="82"/>
      <c r="AM3186" s="82"/>
      <c r="AN3186" s="82"/>
      <c r="AO3186" s="82"/>
      <c r="AP3186" s="82"/>
      <c r="AQ3186" s="82"/>
      <c r="AR3186" s="82"/>
      <c r="AS3186" s="82"/>
      <c r="AT3186" s="82"/>
      <c r="AU3186" s="82"/>
      <c r="AV3186" s="82"/>
      <c r="AW3186" s="82" t="str">
        <f t="shared" si="1"/>
        <v/>
      </c>
      <c r="AX3186" s="83" t="str">
        <f t="array" ref="AX3186">IFERROR(DGET('SBV Import'!A:G,"SBV",{"RSC ID","Tier";B3186,A3186}))</f>
        <v/>
      </c>
      <c r="AY3186" s="82" t="str">
        <f t="shared" si="2"/>
        <v/>
      </c>
      <c r="AZ3186" s="82"/>
      <c r="BA3186" s="84" t="s">
        <v>152</v>
      </c>
      <c r="BB3186" s="84" t="str">
        <f>IFERROR(__xludf.DUMMYFUNCTION("iferror(if(A3186="""",,E3186&gt;=FILTER(Constants!$F$2:$F$10,Constants!$A$2:$A$10=A3186)))"),"")</f>
        <v/>
      </c>
    </row>
    <row r="3187">
      <c r="A3187" s="89"/>
      <c r="B3187" s="87"/>
      <c r="C3187" s="73"/>
      <c r="D3187" s="73"/>
      <c r="E3187" s="82"/>
      <c r="F3187" s="82"/>
      <c r="G3187" s="86"/>
      <c r="H3187" s="86"/>
      <c r="I3187" s="86"/>
      <c r="J3187" s="82"/>
      <c r="K3187" s="82"/>
      <c r="L3187" s="82"/>
      <c r="M3187" s="82"/>
      <c r="N3187" s="82"/>
      <c r="O3187" s="82"/>
      <c r="P3187" s="82"/>
      <c r="Q3187" s="82"/>
      <c r="R3187" s="82"/>
      <c r="S3187" s="82"/>
      <c r="T3187" s="82"/>
      <c r="U3187" s="82"/>
      <c r="V3187" s="82"/>
      <c r="W3187" s="82"/>
      <c r="X3187" s="82"/>
      <c r="Y3187" s="82"/>
      <c r="Z3187" s="82"/>
      <c r="AA3187" s="82"/>
      <c r="AB3187" s="82"/>
      <c r="AC3187" s="82"/>
      <c r="AD3187" s="82"/>
      <c r="AE3187" s="82"/>
      <c r="AF3187" s="82"/>
      <c r="AG3187" s="82"/>
      <c r="AH3187" s="82"/>
      <c r="AI3187" s="82"/>
      <c r="AJ3187" s="82"/>
      <c r="AK3187" s="82"/>
      <c r="AL3187" s="82"/>
      <c r="AM3187" s="82"/>
      <c r="AN3187" s="82"/>
      <c r="AO3187" s="82"/>
      <c r="AP3187" s="82"/>
      <c r="AQ3187" s="82"/>
      <c r="AR3187" s="82"/>
      <c r="AS3187" s="82"/>
      <c r="AT3187" s="82"/>
      <c r="AU3187" s="82"/>
      <c r="AV3187" s="82"/>
      <c r="AW3187" s="82" t="str">
        <f t="shared" si="1"/>
        <v/>
      </c>
      <c r="AX3187" s="83" t="str">
        <f t="array" ref="AX3187">IFERROR(DGET('SBV Import'!A:G,"SBV",{"RSC ID","Tier";B3187,A3187}))</f>
        <v/>
      </c>
      <c r="AY3187" s="82" t="str">
        <f t="shared" si="2"/>
        <v/>
      </c>
      <c r="AZ3187" s="82"/>
      <c r="BA3187" s="84" t="s">
        <v>152</v>
      </c>
      <c r="BB3187" s="84" t="str">
        <f>IFERROR(__xludf.DUMMYFUNCTION("iferror(if(A3187="""",,E3187&gt;=FILTER(Constants!$F$2:$F$10,Constants!$A$2:$A$10=A3187)))"),"")</f>
        <v/>
      </c>
    </row>
    <row r="3188">
      <c r="A3188" s="89"/>
      <c r="B3188" s="87"/>
      <c r="C3188" s="73"/>
      <c r="D3188" s="73"/>
      <c r="E3188" s="82"/>
      <c r="F3188" s="82"/>
      <c r="G3188" s="86"/>
      <c r="H3188" s="86"/>
      <c r="I3188" s="86"/>
      <c r="J3188" s="82"/>
      <c r="K3188" s="82"/>
      <c r="L3188" s="82"/>
      <c r="M3188" s="82"/>
      <c r="N3188" s="82"/>
      <c r="O3188" s="82"/>
      <c r="P3188" s="82"/>
      <c r="Q3188" s="82"/>
      <c r="R3188" s="82"/>
      <c r="S3188" s="82"/>
      <c r="T3188" s="82"/>
      <c r="U3188" s="82"/>
      <c r="V3188" s="82"/>
      <c r="W3188" s="82"/>
      <c r="X3188" s="82"/>
      <c r="Y3188" s="82"/>
      <c r="Z3188" s="82"/>
      <c r="AA3188" s="82"/>
      <c r="AB3188" s="82"/>
      <c r="AC3188" s="82"/>
      <c r="AD3188" s="82"/>
      <c r="AE3188" s="82"/>
      <c r="AF3188" s="82"/>
      <c r="AG3188" s="82"/>
      <c r="AH3188" s="82"/>
      <c r="AI3188" s="82"/>
      <c r="AJ3188" s="82"/>
      <c r="AK3188" s="82"/>
      <c r="AL3188" s="82"/>
      <c r="AM3188" s="82"/>
      <c r="AN3188" s="82"/>
      <c r="AO3188" s="82"/>
      <c r="AP3188" s="82"/>
      <c r="AQ3188" s="82"/>
      <c r="AR3188" s="82"/>
      <c r="AS3188" s="82"/>
      <c r="AT3188" s="82"/>
      <c r="AU3188" s="82"/>
      <c r="AV3188" s="82"/>
      <c r="AW3188" s="82" t="str">
        <f t="shared" si="1"/>
        <v/>
      </c>
      <c r="AX3188" s="83" t="str">
        <f t="array" ref="AX3188">IFERROR(DGET('SBV Import'!A:G,"SBV",{"RSC ID","Tier";B3188,A3188}))</f>
        <v/>
      </c>
      <c r="AY3188" s="82" t="str">
        <f t="shared" si="2"/>
        <v/>
      </c>
      <c r="AZ3188" s="82"/>
      <c r="BA3188" s="84" t="s">
        <v>152</v>
      </c>
      <c r="BB3188" s="84" t="str">
        <f>IFERROR(__xludf.DUMMYFUNCTION("iferror(if(A3188="""",,E3188&gt;=FILTER(Constants!$F$2:$F$10,Constants!$A$2:$A$10=A3188)))"),"")</f>
        <v/>
      </c>
    </row>
    <row r="3189">
      <c r="A3189" s="89"/>
      <c r="B3189" s="87"/>
      <c r="C3189" s="73"/>
      <c r="D3189" s="73"/>
      <c r="E3189" s="82"/>
      <c r="F3189" s="82"/>
      <c r="G3189" s="86"/>
      <c r="H3189" s="86"/>
      <c r="I3189" s="86"/>
      <c r="J3189" s="82"/>
      <c r="K3189" s="82"/>
      <c r="L3189" s="82"/>
      <c r="M3189" s="82"/>
      <c r="N3189" s="82"/>
      <c r="O3189" s="82"/>
      <c r="P3189" s="82"/>
      <c r="Q3189" s="82"/>
      <c r="R3189" s="82"/>
      <c r="S3189" s="82"/>
      <c r="T3189" s="82"/>
      <c r="U3189" s="82"/>
      <c r="V3189" s="82"/>
      <c r="W3189" s="82"/>
      <c r="X3189" s="82"/>
      <c r="Y3189" s="82"/>
      <c r="Z3189" s="82"/>
      <c r="AA3189" s="82"/>
      <c r="AB3189" s="82"/>
      <c r="AC3189" s="82"/>
      <c r="AD3189" s="82"/>
      <c r="AE3189" s="82"/>
      <c r="AF3189" s="82"/>
      <c r="AG3189" s="82"/>
      <c r="AH3189" s="82"/>
      <c r="AI3189" s="82"/>
      <c r="AJ3189" s="82"/>
      <c r="AK3189" s="82"/>
      <c r="AL3189" s="82"/>
      <c r="AM3189" s="82"/>
      <c r="AN3189" s="82"/>
      <c r="AO3189" s="82"/>
      <c r="AP3189" s="82"/>
      <c r="AQ3189" s="82"/>
      <c r="AR3189" s="82"/>
      <c r="AS3189" s="82"/>
      <c r="AT3189" s="82"/>
      <c r="AU3189" s="82"/>
      <c r="AV3189" s="82"/>
      <c r="AW3189" s="82" t="str">
        <f t="shared" si="1"/>
        <v/>
      </c>
      <c r="AX3189" s="83" t="str">
        <f t="array" ref="AX3189">IFERROR(DGET('SBV Import'!A:G,"SBV",{"RSC ID","Tier";B3189,A3189}))</f>
        <v/>
      </c>
      <c r="AY3189" s="82" t="str">
        <f t="shared" si="2"/>
        <v/>
      </c>
      <c r="AZ3189" s="82"/>
      <c r="BA3189" s="84" t="s">
        <v>152</v>
      </c>
      <c r="BB3189" s="84" t="str">
        <f>IFERROR(__xludf.DUMMYFUNCTION("iferror(if(A3189="""",,E3189&gt;=FILTER(Constants!$F$2:$F$10,Constants!$A$2:$A$10=A3189)))"),"")</f>
        <v/>
      </c>
    </row>
    <row r="3190">
      <c r="A3190" s="89"/>
      <c r="B3190" s="87"/>
      <c r="C3190" s="73"/>
      <c r="D3190" s="73"/>
      <c r="E3190" s="82"/>
      <c r="F3190" s="82"/>
      <c r="G3190" s="86"/>
      <c r="H3190" s="86"/>
      <c r="I3190" s="86"/>
      <c r="J3190" s="82"/>
      <c r="K3190" s="82"/>
      <c r="L3190" s="82"/>
      <c r="M3190" s="82"/>
      <c r="N3190" s="82"/>
      <c r="O3190" s="82"/>
      <c r="P3190" s="82"/>
      <c r="Q3190" s="82"/>
      <c r="R3190" s="82"/>
      <c r="S3190" s="82"/>
      <c r="T3190" s="82"/>
      <c r="U3190" s="82"/>
      <c r="V3190" s="82"/>
      <c r="W3190" s="82"/>
      <c r="X3190" s="82"/>
      <c r="Y3190" s="82"/>
      <c r="Z3190" s="82"/>
      <c r="AA3190" s="82"/>
      <c r="AB3190" s="82"/>
      <c r="AC3190" s="82"/>
      <c r="AD3190" s="82"/>
      <c r="AE3190" s="82"/>
      <c r="AF3190" s="82"/>
      <c r="AG3190" s="82"/>
      <c r="AH3190" s="82"/>
      <c r="AI3190" s="82"/>
      <c r="AJ3190" s="82"/>
      <c r="AK3190" s="82"/>
      <c r="AL3190" s="82"/>
      <c r="AM3190" s="82"/>
      <c r="AN3190" s="82"/>
      <c r="AO3190" s="82"/>
      <c r="AP3190" s="82"/>
      <c r="AQ3190" s="82"/>
      <c r="AR3190" s="82"/>
      <c r="AS3190" s="82"/>
      <c r="AT3190" s="82"/>
      <c r="AU3190" s="82"/>
      <c r="AV3190" s="82"/>
      <c r="AW3190" s="82" t="str">
        <f t="shared" si="1"/>
        <v/>
      </c>
      <c r="AX3190" s="83" t="str">
        <f t="array" ref="AX3190">IFERROR(DGET('SBV Import'!A:G,"SBV",{"RSC ID","Tier";B3190,A3190}))</f>
        <v/>
      </c>
      <c r="AY3190" s="82" t="str">
        <f t="shared" si="2"/>
        <v/>
      </c>
      <c r="AZ3190" s="82"/>
      <c r="BA3190" s="84" t="s">
        <v>152</v>
      </c>
      <c r="BB3190" s="84" t="str">
        <f>IFERROR(__xludf.DUMMYFUNCTION("iferror(if(A3190="""",,E3190&gt;=FILTER(Constants!$F$2:$F$10,Constants!$A$2:$A$10=A3190)))"),"")</f>
        <v/>
      </c>
    </row>
    <row r="3191">
      <c r="A3191" s="89"/>
      <c r="B3191" s="87"/>
      <c r="C3191" s="73"/>
      <c r="D3191" s="73"/>
      <c r="E3191" s="82"/>
      <c r="F3191" s="82"/>
      <c r="G3191" s="86"/>
      <c r="H3191" s="86"/>
      <c r="I3191" s="86"/>
      <c r="J3191" s="82"/>
      <c r="K3191" s="82"/>
      <c r="L3191" s="82"/>
      <c r="M3191" s="82"/>
      <c r="N3191" s="82"/>
      <c r="O3191" s="82"/>
      <c r="P3191" s="82"/>
      <c r="Q3191" s="82"/>
      <c r="R3191" s="82"/>
      <c r="S3191" s="82"/>
      <c r="T3191" s="82"/>
      <c r="U3191" s="82"/>
      <c r="V3191" s="82"/>
      <c r="W3191" s="82"/>
      <c r="X3191" s="82"/>
      <c r="Y3191" s="82"/>
      <c r="Z3191" s="82"/>
      <c r="AA3191" s="82"/>
      <c r="AB3191" s="82"/>
      <c r="AC3191" s="82"/>
      <c r="AD3191" s="82"/>
      <c r="AE3191" s="82"/>
      <c r="AF3191" s="82"/>
      <c r="AG3191" s="82"/>
      <c r="AH3191" s="82"/>
      <c r="AI3191" s="82"/>
      <c r="AJ3191" s="82"/>
      <c r="AK3191" s="82"/>
      <c r="AL3191" s="82"/>
      <c r="AM3191" s="82"/>
      <c r="AN3191" s="82"/>
      <c r="AO3191" s="82"/>
      <c r="AP3191" s="82"/>
      <c r="AQ3191" s="82"/>
      <c r="AR3191" s="82"/>
      <c r="AS3191" s="82"/>
      <c r="AT3191" s="82"/>
      <c r="AU3191" s="82"/>
      <c r="AV3191" s="82"/>
      <c r="AW3191" s="82" t="str">
        <f t="shared" si="1"/>
        <v/>
      </c>
      <c r="AX3191" s="83" t="str">
        <f t="array" ref="AX3191">IFERROR(DGET('SBV Import'!A:G,"SBV",{"RSC ID","Tier";B3191,A3191}))</f>
        <v/>
      </c>
      <c r="AY3191" s="82" t="str">
        <f t="shared" si="2"/>
        <v/>
      </c>
      <c r="AZ3191" s="82"/>
      <c r="BA3191" s="84" t="s">
        <v>152</v>
      </c>
      <c r="BB3191" s="84" t="str">
        <f>IFERROR(__xludf.DUMMYFUNCTION("iferror(if(A3191="""",,E3191&gt;=FILTER(Constants!$F$2:$F$10,Constants!$A$2:$A$10=A3191)))"),"")</f>
        <v/>
      </c>
    </row>
    <row r="3192">
      <c r="A3192" s="89"/>
      <c r="B3192" s="87"/>
      <c r="C3192" s="73"/>
      <c r="D3192" s="73"/>
      <c r="E3192" s="82"/>
      <c r="F3192" s="82"/>
      <c r="G3192" s="86"/>
      <c r="H3192" s="86"/>
      <c r="I3192" s="86"/>
      <c r="J3192" s="82"/>
      <c r="K3192" s="82"/>
      <c r="L3192" s="82"/>
      <c r="M3192" s="82"/>
      <c r="N3192" s="82"/>
      <c r="O3192" s="82"/>
      <c r="P3192" s="82"/>
      <c r="Q3192" s="82"/>
      <c r="R3192" s="82"/>
      <c r="S3192" s="82"/>
      <c r="T3192" s="82"/>
      <c r="U3192" s="82"/>
      <c r="V3192" s="82"/>
      <c r="W3192" s="82"/>
      <c r="X3192" s="82"/>
      <c r="Y3192" s="82"/>
      <c r="Z3192" s="82"/>
      <c r="AA3192" s="82"/>
      <c r="AB3192" s="82"/>
      <c r="AC3192" s="82"/>
      <c r="AD3192" s="82"/>
      <c r="AE3192" s="82"/>
      <c r="AF3192" s="82"/>
      <c r="AG3192" s="82"/>
      <c r="AH3192" s="82"/>
      <c r="AI3192" s="82"/>
      <c r="AJ3192" s="82"/>
      <c r="AK3192" s="82"/>
      <c r="AL3192" s="82"/>
      <c r="AM3192" s="82"/>
      <c r="AN3192" s="82"/>
      <c r="AO3192" s="82"/>
      <c r="AP3192" s="82"/>
      <c r="AQ3192" s="82"/>
      <c r="AR3192" s="82"/>
      <c r="AS3192" s="82"/>
      <c r="AT3192" s="82"/>
      <c r="AU3192" s="82"/>
      <c r="AV3192" s="82"/>
      <c r="AW3192" s="82" t="str">
        <f t="shared" si="1"/>
        <v/>
      </c>
      <c r="AX3192" s="83" t="str">
        <f t="array" ref="AX3192">IFERROR(DGET('SBV Import'!A:G,"SBV",{"RSC ID","Tier";B3192,A3192}))</f>
        <v/>
      </c>
      <c r="AY3192" s="82" t="str">
        <f t="shared" si="2"/>
        <v/>
      </c>
      <c r="AZ3192" s="82"/>
      <c r="BA3192" s="84" t="s">
        <v>152</v>
      </c>
      <c r="BB3192" s="84" t="str">
        <f>IFERROR(__xludf.DUMMYFUNCTION("iferror(if(A3192="""",,E3192&gt;=FILTER(Constants!$F$2:$F$10,Constants!$A$2:$A$10=A3192)))"),"")</f>
        <v/>
      </c>
    </row>
    <row r="3193">
      <c r="A3193" s="89"/>
      <c r="B3193" s="87"/>
      <c r="C3193" s="73"/>
      <c r="D3193" s="73"/>
      <c r="E3193" s="82"/>
      <c r="F3193" s="82"/>
      <c r="G3193" s="86"/>
      <c r="H3193" s="86"/>
      <c r="I3193" s="86"/>
      <c r="J3193" s="82"/>
      <c r="K3193" s="82"/>
      <c r="L3193" s="82"/>
      <c r="M3193" s="82"/>
      <c r="N3193" s="82"/>
      <c r="O3193" s="82"/>
      <c r="P3193" s="82"/>
      <c r="Q3193" s="82"/>
      <c r="R3193" s="82"/>
      <c r="S3193" s="82"/>
      <c r="T3193" s="82"/>
      <c r="U3193" s="82"/>
      <c r="V3193" s="82"/>
      <c r="W3193" s="82"/>
      <c r="X3193" s="82"/>
      <c r="Y3193" s="82"/>
      <c r="Z3193" s="82"/>
      <c r="AA3193" s="82"/>
      <c r="AB3193" s="82"/>
      <c r="AC3193" s="82"/>
      <c r="AD3193" s="82"/>
      <c r="AE3193" s="82"/>
      <c r="AF3193" s="82"/>
      <c r="AG3193" s="82"/>
      <c r="AH3193" s="82"/>
      <c r="AI3193" s="82"/>
      <c r="AJ3193" s="82"/>
      <c r="AK3193" s="82"/>
      <c r="AL3193" s="82"/>
      <c r="AM3193" s="82"/>
      <c r="AN3193" s="82"/>
      <c r="AO3193" s="82"/>
      <c r="AP3193" s="82"/>
      <c r="AQ3193" s="82"/>
      <c r="AR3193" s="82"/>
      <c r="AS3193" s="82"/>
      <c r="AT3193" s="82"/>
      <c r="AU3193" s="82"/>
      <c r="AV3193" s="82"/>
      <c r="AW3193" s="82" t="str">
        <f t="shared" si="1"/>
        <v/>
      </c>
      <c r="AX3193" s="83" t="str">
        <f t="array" ref="AX3193">IFERROR(DGET('SBV Import'!A:G,"SBV",{"RSC ID","Tier";B3193,A3193}))</f>
        <v/>
      </c>
      <c r="AY3193" s="82" t="str">
        <f t="shared" si="2"/>
        <v/>
      </c>
      <c r="AZ3193" s="82"/>
      <c r="BA3193" s="84" t="s">
        <v>152</v>
      </c>
      <c r="BB3193" s="84" t="str">
        <f>IFERROR(__xludf.DUMMYFUNCTION("iferror(if(A3193="""",,E3193&gt;=FILTER(Constants!$F$2:$F$10,Constants!$A$2:$A$10=A3193)))"),"")</f>
        <v/>
      </c>
    </row>
    <row r="3194">
      <c r="A3194" s="89"/>
      <c r="B3194" s="87"/>
      <c r="C3194" s="73"/>
      <c r="D3194" s="73"/>
      <c r="E3194" s="82"/>
      <c r="F3194" s="82"/>
      <c r="G3194" s="86"/>
      <c r="H3194" s="86"/>
      <c r="I3194" s="86"/>
      <c r="J3194" s="82"/>
      <c r="K3194" s="82"/>
      <c r="L3194" s="82"/>
      <c r="M3194" s="82"/>
      <c r="N3194" s="82"/>
      <c r="O3194" s="82"/>
      <c r="P3194" s="82"/>
      <c r="Q3194" s="82"/>
      <c r="R3194" s="82"/>
      <c r="S3194" s="82"/>
      <c r="T3194" s="82"/>
      <c r="U3194" s="82"/>
      <c r="V3194" s="82"/>
      <c r="W3194" s="82"/>
      <c r="X3194" s="82"/>
      <c r="Y3194" s="82"/>
      <c r="Z3194" s="82"/>
      <c r="AA3194" s="82"/>
      <c r="AB3194" s="82"/>
      <c r="AC3194" s="82"/>
      <c r="AD3194" s="82"/>
      <c r="AE3194" s="82"/>
      <c r="AF3194" s="82"/>
      <c r="AG3194" s="82"/>
      <c r="AH3194" s="82"/>
      <c r="AI3194" s="82"/>
      <c r="AJ3194" s="82"/>
      <c r="AK3194" s="82"/>
      <c r="AL3194" s="82"/>
      <c r="AM3194" s="82"/>
      <c r="AN3194" s="82"/>
      <c r="AO3194" s="82"/>
      <c r="AP3194" s="82"/>
      <c r="AQ3194" s="82"/>
      <c r="AR3194" s="82"/>
      <c r="AS3194" s="82"/>
      <c r="AT3194" s="82"/>
      <c r="AU3194" s="82"/>
      <c r="AV3194" s="82"/>
      <c r="AW3194" s="82" t="str">
        <f t="shared" si="1"/>
        <v/>
      </c>
      <c r="AX3194" s="83" t="str">
        <f t="array" ref="AX3194">IFERROR(DGET('SBV Import'!A:G,"SBV",{"RSC ID","Tier";B3194,A3194}))</f>
        <v/>
      </c>
      <c r="AY3194" s="82" t="str">
        <f t="shared" si="2"/>
        <v/>
      </c>
      <c r="AZ3194" s="82"/>
      <c r="BA3194" s="84" t="s">
        <v>152</v>
      </c>
      <c r="BB3194" s="84" t="str">
        <f>IFERROR(__xludf.DUMMYFUNCTION("iferror(if(A3194="""",,E3194&gt;=FILTER(Constants!$F$2:$F$10,Constants!$A$2:$A$10=A3194)))"),"")</f>
        <v/>
      </c>
    </row>
    <row r="3195">
      <c r="A3195" s="89"/>
      <c r="B3195" s="87"/>
      <c r="C3195" s="73"/>
      <c r="D3195" s="73"/>
      <c r="E3195" s="82"/>
      <c r="F3195" s="82"/>
      <c r="G3195" s="86"/>
      <c r="H3195" s="86"/>
      <c r="I3195" s="86"/>
      <c r="J3195" s="82"/>
      <c r="K3195" s="82"/>
      <c r="L3195" s="82"/>
      <c r="M3195" s="82"/>
      <c r="N3195" s="82"/>
      <c r="O3195" s="82"/>
      <c r="P3195" s="82"/>
      <c r="Q3195" s="82"/>
      <c r="R3195" s="82"/>
      <c r="S3195" s="82"/>
      <c r="T3195" s="82"/>
      <c r="U3195" s="82"/>
      <c r="V3195" s="82"/>
      <c r="W3195" s="82"/>
      <c r="X3195" s="82"/>
      <c r="Y3195" s="82"/>
      <c r="Z3195" s="82"/>
      <c r="AA3195" s="82"/>
      <c r="AB3195" s="82"/>
      <c r="AC3195" s="82"/>
      <c r="AD3195" s="82"/>
      <c r="AE3195" s="82"/>
      <c r="AF3195" s="82"/>
      <c r="AG3195" s="82"/>
      <c r="AH3195" s="82"/>
      <c r="AI3195" s="82"/>
      <c r="AJ3195" s="82"/>
      <c r="AK3195" s="82"/>
      <c r="AL3195" s="82"/>
      <c r="AM3195" s="82"/>
      <c r="AN3195" s="82"/>
      <c r="AO3195" s="82"/>
      <c r="AP3195" s="82"/>
      <c r="AQ3195" s="82"/>
      <c r="AR3195" s="82"/>
      <c r="AS3195" s="82"/>
      <c r="AT3195" s="82"/>
      <c r="AU3195" s="82"/>
      <c r="AV3195" s="82"/>
      <c r="AW3195" s="82" t="str">
        <f t="shared" si="1"/>
        <v/>
      </c>
      <c r="AX3195" s="83" t="str">
        <f t="array" ref="AX3195">IFERROR(DGET('SBV Import'!A:G,"SBV",{"RSC ID","Tier";B3195,A3195}))</f>
        <v/>
      </c>
      <c r="AY3195" s="82" t="str">
        <f t="shared" si="2"/>
        <v/>
      </c>
      <c r="AZ3195" s="82"/>
      <c r="BA3195" s="84" t="s">
        <v>152</v>
      </c>
      <c r="BB3195" s="84" t="str">
        <f>IFERROR(__xludf.DUMMYFUNCTION("iferror(if(A3195="""",,E3195&gt;=FILTER(Constants!$F$2:$F$10,Constants!$A$2:$A$10=A3195)))"),"")</f>
        <v/>
      </c>
    </row>
    <row r="3196">
      <c r="A3196" s="89"/>
      <c r="B3196" s="87"/>
      <c r="C3196" s="73"/>
      <c r="D3196" s="73"/>
      <c r="E3196" s="82"/>
      <c r="F3196" s="82"/>
      <c r="G3196" s="86"/>
      <c r="H3196" s="86"/>
      <c r="I3196" s="86"/>
      <c r="J3196" s="82"/>
      <c r="K3196" s="82"/>
      <c r="L3196" s="82"/>
      <c r="M3196" s="82"/>
      <c r="N3196" s="82"/>
      <c r="O3196" s="82"/>
      <c r="P3196" s="82"/>
      <c r="Q3196" s="82"/>
      <c r="R3196" s="82"/>
      <c r="S3196" s="82"/>
      <c r="T3196" s="82"/>
      <c r="U3196" s="82"/>
      <c r="V3196" s="82"/>
      <c r="W3196" s="82"/>
      <c r="X3196" s="82"/>
      <c r="Y3196" s="82"/>
      <c r="Z3196" s="82"/>
      <c r="AA3196" s="82"/>
      <c r="AB3196" s="82"/>
      <c r="AC3196" s="82"/>
      <c r="AD3196" s="82"/>
      <c r="AE3196" s="82"/>
      <c r="AF3196" s="82"/>
      <c r="AG3196" s="82"/>
      <c r="AH3196" s="82"/>
      <c r="AI3196" s="82"/>
      <c r="AJ3196" s="82"/>
      <c r="AK3196" s="82"/>
      <c r="AL3196" s="82"/>
      <c r="AM3196" s="82"/>
      <c r="AN3196" s="82"/>
      <c r="AO3196" s="82"/>
      <c r="AP3196" s="82"/>
      <c r="AQ3196" s="82"/>
      <c r="AR3196" s="82"/>
      <c r="AS3196" s="82"/>
      <c r="AT3196" s="82"/>
      <c r="AU3196" s="82"/>
      <c r="AV3196" s="82"/>
      <c r="AW3196" s="82" t="str">
        <f t="shared" si="1"/>
        <v/>
      </c>
      <c r="AX3196" s="83" t="str">
        <f t="array" ref="AX3196">IFERROR(DGET('SBV Import'!A:G,"SBV",{"RSC ID","Tier";B3196,A3196}))</f>
        <v/>
      </c>
      <c r="AY3196" s="82" t="str">
        <f t="shared" si="2"/>
        <v/>
      </c>
      <c r="AZ3196" s="82"/>
      <c r="BA3196" s="84" t="s">
        <v>152</v>
      </c>
      <c r="BB3196" s="84" t="str">
        <f>IFERROR(__xludf.DUMMYFUNCTION("iferror(if(A3196="""",,E3196&gt;=FILTER(Constants!$F$2:$F$10,Constants!$A$2:$A$10=A3196)))"),"")</f>
        <v/>
      </c>
    </row>
    <row r="3197">
      <c r="A3197" s="89"/>
      <c r="B3197" s="87"/>
      <c r="C3197" s="73"/>
      <c r="D3197" s="73"/>
      <c r="E3197" s="82"/>
      <c r="F3197" s="82"/>
      <c r="G3197" s="86"/>
      <c r="H3197" s="86"/>
      <c r="I3197" s="86"/>
      <c r="J3197" s="82"/>
      <c r="K3197" s="82"/>
      <c r="L3197" s="82"/>
      <c r="M3197" s="82"/>
      <c r="N3197" s="82"/>
      <c r="O3197" s="82"/>
      <c r="P3197" s="82"/>
      <c r="Q3197" s="82"/>
      <c r="R3197" s="82"/>
      <c r="S3197" s="82"/>
      <c r="T3197" s="82"/>
      <c r="U3197" s="82"/>
      <c r="V3197" s="82"/>
      <c r="W3197" s="82"/>
      <c r="X3197" s="82"/>
      <c r="Y3197" s="82"/>
      <c r="Z3197" s="82"/>
      <c r="AA3197" s="82"/>
      <c r="AB3197" s="82"/>
      <c r="AC3197" s="82"/>
      <c r="AD3197" s="82"/>
      <c r="AE3197" s="82"/>
      <c r="AF3197" s="82"/>
      <c r="AG3197" s="82"/>
      <c r="AH3197" s="82"/>
      <c r="AI3197" s="82"/>
      <c r="AJ3197" s="82"/>
      <c r="AK3197" s="82"/>
      <c r="AL3197" s="82"/>
      <c r="AM3197" s="82"/>
      <c r="AN3197" s="82"/>
      <c r="AO3197" s="82"/>
      <c r="AP3197" s="82"/>
      <c r="AQ3197" s="82"/>
      <c r="AR3197" s="82"/>
      <c r="AS3197" s="82"/>
      <c r="AT3197" s="82"/>
      <c r="AU3197" s="82"/>
      <c r="AV3197" s="82"/>
      <c r="AW3197" s="82" t="str">
        <f t="shared" si="1"/>
        <v/>
      </c>
      <c r="AX3197" s="83" t="str">
        <f t="array" ref="AX3197">IFERROR(DGET('SBV Import'!A:G,"SBV",{"RSC ID","Tier";B3197,A3197}))</f>
        <v/>
      </c>
      <c r="AY3197" s="82" t="str">
        <f t="shared" si="2"/>
        <v/>
      </c>
      <c r="AZ3197" s="82"/>
      <c r="BA3197" s="84" t="s">
        <v>152</v>
      </c>
      <c r="BB3197" s="84" t="str">
        <f>IFERROR(__xludf.DUMMYFUNCTION("iferror(if(A3197="""",,E3197&gt;=FILTER(Constants!$F$2:$F$10,Constants!$A$2:$A$10=A3197)))"),"")</f>
        <v/>
      </c>
    </row>
    <row r="3198">
      <c r="A3198" s="89"/>
      <c r="B3198" s="87"/>
      <c r="C3198" s="73"/>
      <c r="D3198" s="73"/>
      <c r="E3198" s="82"/>
      <c r="F3198" s="82"/>
      <c r="G3198" s="86"/>
      <c r="H3198" s="86"/>
      <c r="I3198" s="86"/>
      <c r="J3198" s="82"/>
      <c r="K3198" s="82"/>
      <c r="L3198" s="82"/>
      <c r="M3198" s="82"/>
      <c r="N3198" s="82"/>
      <c r="O3198" s="82"/>
      <c r="P3198" s="82"/>
      <c r="Q3198" s="82"/>
      <c r="R3198" s="82"/>
      <c r="S3198" s="82"/>
      <c r="T3198" s="82"/>
      <c r="U3198" s="82"/>
      <c r="V3198" s="82"/>
      <c r="W3198" s="82"/>
      <c r="X3198" s="82"/>
      <c r="Y3198" s="82"/>
      <c r="Z3198" s="82"/>
      <c r="AA3198" s="82"/>
      <c r="AB3198" s="82"/>
      <c r="AC3198" s="82"/>
      <c r="AD3198" s="82"/>
      <c r="AE3198" s="82"/>
      <c r="AF3198" s="82"/>
      <c r="AG3198" s="82"/>
      <c r="AH3198" s="82"/>
      <c r="AI3198" s="82"/>
      <c r="AJ3198" s="82"/>
      <c r="AK3198" s="82"/>
      <c r="AL3198" s="82"/>
      <c r="AM3198" s="82"/>
      <c r="AN3198" s="82"/>
      <c r="AO3198" s="82"/>
      <c r="AP3198" s="82"/>
      <c r="AQ3198" s="82"/>
      <c r="AR3198" s="82"/>
      <c r="AS3198" s="82"/>
      <c r="AT3198" s="82"/>
      <c r="AU3198" s="82"/>
      <c r="AV3198" s="82"/>
      <c r="AW3198" s="82" t="str">
        <f t="shared" si="1"/>
        <v/>
      </c>
      <c r="AX3198" s="83" t="str">
        <f t="array" ref="AX3198">IFERROR(DGET('SBV Import'!A:G,"SBV",{"RSC ID","Tier";B3198,A3198}))</f>
        <v/>
      </c>
      <c r="AY3198" s="82" t="str">
        <f t="shared" si="2"/>
        <v/>
      </c>
      <c r="AZ3198" s="82"/>
      <c r="BA3198" s="84" t="s">
        <v>152</v>
      </c>
      <c r="BB3198" s="84" t="str">
        <f>IFERROR(__xludf.DUMMYFUNCTION("iferror(if(A3198="""",,E3198&gt;=FILTER(Constants!$F$2:$F$10,Constants!$A$2:$A$10=A3198)))"),"")</f>
        <v/>
      </c>
    </row>
    <row r="3199">
      <c r="A3199" s="89"/>
      <c r="B3199" s="87"/>
      <c r="C3199" s="73"/>
      <c r="D3199" s="73"/>
      <c r="E3199" s="82"/>
      <c r="F3199" s="82"/>
      <c r="G3199" s="86"/>
      <c r="H3199" s="86"/>
      <c r="I3199" s="86"/>
      <c r="J3199" s="82"/>
      <c r="K3199" s="82"/>
      <c r="L3199" s="82"/>
      <c r="M3199" s="82"/>
      <c r="N3199" s="82"/>
      <c r="O3199" s="82"/>
      <c r="P3199" s="82"/>
      <c r="Q3199" s="82"/>
      <c r="R3199" s="82"/>
      <c r="S3199" s="82"/>
      <c r="T3199" s="82"/>
      <c r="U3199" s="82"/>
      <c r="V3199" s="82"/>
      <c r="W3199" s="82"/>
      <c r="X3199" s="82"/>
      <c r="Y3199" s="82"/>
      <c r="Z3199" s="82"/>
      <c r="AA3199" s="82"/>
      <c r="AB3199" s="82"/>
      <c r="AC3199" s="82"/>
      <c r="AD3199" s="82"/>
      <c r="AE3199" s="82"/>
      <c r="AF3199" s="82"/>
      <c r="AG3199" s="82"/>
      <c r="AH3199" s="82"/>
      <c r="AI3199" s="82"/>
      <c r="AJ3199" s="82"/>
      <c r="AK3199" s="82"/>
      <c r="AL3199" s="82"/>
      <c r="AM3199" s="82"/>
      <c r="AN3199" s="82"/>
      <c r="AO3199" s="82"/>
      <c r="AP3199" s="82"/>
      <c r="AQ3199" s="82"/>
      <c r="AR3199" s="82"/>
      <c r="AS3199" s="82"/>
      <c r="AT3199" s="82"/>
      <c r="AU3199" s="82"/>
      <c r="AV3199" s="82"/>
      <c r="AW3199" s="82" t="str">
        <f t="shared" si="1"/>
        <v/>
      </c>
      <c r="AX3199" s="83" t="str">
        <f t="array" ref="AX3199">IFERROR(DGET('SBV Import'!A:G,"SBV",{"RSC ID","Tier";B3199,A3199}))</f>
        <v/>
      </c>
      <c r="AY3199" s="82" t="str">
        <f t="shared" si="2"/>
        <v/>
      </c>
      <c r="AZ3199" s="82"/>
      <c r="BA3199" s="84" t="s">
        <v>152</v>
      </c>
      <c r="BB3199" s="84" t="str">
        <f>IFERROR(__xludf.DUMMYFUNCTION("iferror(if(A3199="""",,E3199&gt;=FILTER(Constants!$F$2:$F$10,Constants!$A$2:$A$10=A3199)))"),"")</f>
        <v/>
      </c>
    </row>
    <row r="3200">
      <c r="A3200" s="90" t="str">
        <f>IFERROR(__xludf.DUMMYFUNCTION("QUERY(IMPORTRANGE(Constants!$B9, ""'Player Stats'!A2:AV""), ""Select * order by Col48 desc"")"),"Contender")</f>
        <v>Contender</v>
      </c>
      <c r="B3200" s="87" t="str">
        <f>IFERROR(__xludf.DUMMYFUNCTION("""COMPUTED_VALUE"""),"RSC006439")</f>
        <v>RSC006439</v>
      </c>
      <c r="C3200" s="73" t="str">
        <f>IFERROR(__xludf.DUMMYFUNCTION("""COMPUTED_VALUE"""),"sel_en_ium")</f>
        <v>sel_en_ium</v>
      </c>
      <c r="D3200" s="73"/>
      <c r="E3200" s="82">
        <f>IFERROR(__xludf.DUMMYFUNCTION("""COMPUTED_VALUE"""),1.0)</f>
        <v>1</v>
      </c>
      <c r="F3200" s="82">
        <f>IFERROR(__xludf.DUMMYFUNCTION("""COMPUTED_VALUE"""),1.0)</f>
        <v>1</v>
      </c>
      <c r="G3200" s="86">
        <f>IFERROR(__xludf.DUMMYFUNCTION("""COMPUTED_VALUE"""),0.0)</f>
        <v>0</v>
      </c>
      <c r="H3200" s="86">
        <f>IFERROR(__xludf.DUMMYFUNCTION("""COMPUTED_VALUE"""),1.0)</f>
        <v>1</v>
      </c>
      <c r="I3200" s="86">
        <f>IFERROR(__xludf.DUMMYFUNCTION("""COMPUTED_VALUE"""),0.3333333333333333)</f>
        <v>0.3333333333</v>
      </c>
      <c r="J3200" s="82">
        <f>IFERROR(__xludf.DUMMYFUNCTION("""COMPUTED_VALUE"""),378.0)</f>
        <v>378</v>
      </c>
      <c r="K3200" s="82">
        <f>IFERROR(__xludf.DUMMYFUNCTION("""COMPUTED_VALUE"""),1.0)</f>
        <v>1</v>
      </c>
      <c r="L3200" s="82">
        <f>IFERROR(__xludf.DUMMYFUNCTION("""COMPUTED_VALUE"""),2.0)</f>
        <v>2</v>
      </c>
      <c r="M3200" s="82">
        <f>IFERROR(__xludf.DUMMYFUNCTION("""COMPUTED_VALUE"""),1.0)</f>
        <v>1</v>
      </c>
      <c r="N3200" s="82">
        <f>IFERROR(__xludf.DUMMYFUNCTION("""COMPUTED_VALUE"""),3.0)</f>
        <v>3</v>
      </c>
      <c r="O3200" s="82">
        <f>IFERROR(__xludf.DUMMYFUNCTION("""COMPUTED_VALUE"""),167.33333333333334)</f>
        <v>167.3333333</v>
      </c>
      <c r="P3200" s="82">
        <f>IFERROR(__xludf.DUMMYFUNCTION("""COMPUTED_VALUE"""),0.3333333333333333)</f>
        <v>0.3333333333</v>
      </c>
      <c r="Q3200" s="82">
        <f>IFERROR(__xludf.DUMMYFUNCTION("""COMPUTED_VALUE"""),0.0)</f>
        <v>0</v>
      </c>
      <c r="R3200" s="82">
        <f>IFERROR(__xludf.DUMMYFUNCTION("""COMPUTED_VALUE"""),0.6666666666666666)</f>
        <v>0.6666666667</v>
      </c>
      <c r="S3200" s="82">
        <f>IFERROR(__xludf.DUMMYFUNCTION("""COMPUTED_VALUE"""),1.3333333333333333)</f>
        <v>1.333333333</v>
      </c>
      <c r="T3200" s="82">
        <f>IFERROR(__xludf.DUMMYFUNCTION("""COMPUTED_VALUE"""),347.75910150645626)</f>
        <v>347.7591015</v>
      </c>
      <c r="U3200" s="82">
        <f>IFERROR(__xludf.DUMMYFUNCTION("""COMPUTED_VALUE"""),0.9193268770923003)</f>
        <v>0.9193268771</v>
      </c>
      <c r="V3200" s="82">
        <f>IFERROR(__xludf.DUMMYFUNCTION("""COMPUTED_VALUE"""),0.7133847441415591)</f>
        <v>0.7133847441</v>
      </c>
      <c r="W3200" s="82">
        <f>IFERROR(__xludf.DUMMYFUNCTION("""COMPUTED_VALUE"""),0.9794506217120995)</f>
        <v>0.9794506217</v>
      </c>
      <c r="X3200" s="82">
        <f>IFERROR(__xludf.DUMMYFUNCTION("""COMPUTED_VALUE"""),2.326219512195122)</f>
        <v>2.326219512</v>
      </c>
      <c r="Y3200" s="82">
        <f>IFERROR(__xludf.DUMMYFUNCTION("""COMPUTED_VALUE"""),325.0937151283278)</f>
        <v>325.0937151</v>
      </c>
      <c r="Z3200" s="82">
        <f>IFERROR(__xludf.DUMMYFUNCTION("""COMPUTED_VALUE"""),0.8427486848397896)</f>
        <v>0.8427486848</v>
      </c>
      <c r="AA3200" s="82">
        <f>IFERROR(__xludf.DUMMYFUNCTION("""COMPUTED_VALUE"""),0.5626295233540571)</f>
        <v>0.5626295234</v>
      </c>
      <c r="AB3200" s="82">
        <f>IFERROR(__xludf.DUMMYFUNCTION("""COMPUTED_VALUE"""),1.0006426351028217)</f>
        <v>1.000642635</v>
      </c>
      <c r="AC3200" s="82">
        <f>IFERROR(__xludf.DUMMYFUNCTION("""COMPUTED_VALUE"""),2.0951000318826716)</f>
        <v>2.095100032</v>
      </c>
      <c r="AD3200" s="82">
        <f>IFERROR(__xludf.DUMMYFUNCTION("""COMPUTED_VALUE"""),1.1627416415933722)</f>
        <v>1.162741642</v>
      </c>
      <c r="AE3200" s="82">
        <f>IFERROR(__xludf.DUMMYFUNCTION("""COMPUTED_VALUE"""),1.186593367618372)</f>
        <v>1.186593368</v>
      </c>
      <c r="AF3200" s="82">
        <f>IFERROR(__xludf.DUMMYFUNCTION("""COMPUTED_VALUE"""),3.554737028510713)</f>
        <v>3.554737029</v>
      </c>
      <c r="AG3200" s="82">
        <f>IFERROR(__xludf.DUMMYFUNCTION("""COMPUTED_VALUE"""),0.9993577776118288)</f>
        <v>0.9993577776</v>
      </c>
      <c r="AH3200" s="82">
        <f>IFERROR(__xludf.DUMMYFUNCTION("""COMPUTED_VALUE"""),1.4319125360826706)</f>
        <v>1.431912536</v>
      </c>
      <c r="AI3200" s="82">
        <f>IFERROR(__xludf.DUMMYFUNCTION("""COMPUTED_VALUE"""),0.48117599973217884)</f>
        <v>0.4811759997</v>
      </c>
      <c r="AJ3200" s="82">
        <f>IFERROR(__xludf.DUMMYFUNCTION("""COMPUTED_VALUE"""),0.3625841271905582)</f>
        <v>0.3625841272</v>
      </c>
      <c r="AK3200" s="82">
        <f>IFERROR(__xludf.DUMMYFUNCTION("""COMPUTED_VALUE"""),0.0)</f>
        <v>0</v>
      </c>
      <c r="AL3200" s="82">
        <f>IFERROR(__xludf.DUMMYFUNCTION("""COMPUTED_VALUE"""),0.6806536765491249)</f>
        <v>0.6806536765</v>
      </c>
      <c r="AM3200" s="82">
        <f>IFERROR(__xludf.DUMMYFUNCTION("""COMPUTED_VALUE"""),0.5731760594145915)</f>
        <v>0.5731760594</v>
      </c>
      <c r="AN3200" s="82">
        <f>IFERROR(__xludf.DUMMYFUNCTION("""COMPUTED_VALUE"""),1.1885940941846578)</f>
        <v>1.188594094</v>
      </c>
      <c r="AO3200" s="82">
        <f>IFERROR(__xludf.DUMMYFUNCTION("""COMPUTED_VALUE"""),1.2455104045626721)</f>
        <v>1.245510405</v>
      </c>
      <c r="AP3200" s="82">
        <f>IFERROR(__xludf.DUMMYFUNCTION("""COMPUTED_VALUE"""),3.7167815722697024)</f>
        <v>3.716781572</v>
      </c>
      <c r="AQ3200" s="82">
        <f>IFERROR(__xludf.DUMMYFUNCTION("""COMPUTED_VALUE"""),0.9548419796607814)</f>
        <v>0.9548419797</v>
      </c>
      <c r="AR3200" s="82">
        <f>IFERROR(__xludf.DUMMYFUNCTION("""COMPUTED_VALUE"""),1.3619137563495576)</f>
        <v>1.361913756</v>
      </c>
      <c r="AS3200" s="82">
        <f>IFERROR(__xludf.DUMMYFUNCTION("""COMPUTED_VALUE"""),5.0)</f>
        <v>5</v>
      </c>
      <c r="AT3200" s="82">
        <f>IFERROR(__xludf.DUMMYFUNCTION("""COMPUTED_VALUE"""),0.9365266199526395)</f>
        <v>0.93652662</v>
      </c>
      <c r="AU3200" s="82">
        <f>IFERROR(__xludf.DUMMYFUNCTION("""COMPUTED_VALUE"""),9.608225647493368)</f>
        <v>9.608225647</v>
      </c>
      <c r="AV3200" s="82">
        <f>IFERROR(__xludf.DUMMYFUNCTION("""COMPUTED_VALUE"""),134.30394175395634)</f>
        <v>134.3039418</v>
      </c>
      <c r="AW3200" s="82">
        <f t="shared" si="1"/>
        <v>2681.621581</v>
      </c>
      <c r="AX3200" s="83">
        <f t="array" ref="AX3200">IFERROR(DGET('SBV Import'!A:G,"SBV",{"RSC ID","Tier";B3200,A3200}))</f>
        <v>98.33068682</v>
      </c>
      <c r="AY3200" s="82">
        <f t="shared" si="2"/>
        <v>37.58820414</v>
      </c>
      <c r="AZ3200" s="82">
        <v>2644.0333767180828</v>
      </c>
      <c r="BA3200" s="84">
        <v>3200.0</v>
      </c>
      <c r="BB3200" s="84" t="b">
        <f>IFERROR(__xludf.DUMMYFUNCTION("iferror(if(A3200="""",,E3200&gt;=FILTER(Constants!$F$2:$F$10,Constants!$A$2:$A$10=A3200)))"),TRUE)</f>
        <v>1</v>
      </c>
    </row>
    <row r="3201">
      <c r="A3201" s="89" t="str">
        <f>IFERROR(__xludf.DUMMYFUNCTION("""COMPUTED_VALUE"""),"Contender")</f>
        <v>Contender</v>
      </c>
      <c r="B3201" s="87" t="str">
        <f>IFERROR(__xludf.DUMMYFUNCTION("""COMPUTED_VALUE"""),"RSC007284")</f>
        <v>RSC007284</v>
      </c>
      <c r="C3201" s="73" t="str">
        <f>IFERROR(__xludf.DUMMYFUNCTION("""COMPUTED_VALUE"""),"7aco104")</f>
        <v>7aco104</v>
      </c>
      <c r="D3201" s="73" t="str">
        <f>IFERROR(__xludf.DUMMYFUNCTION("""COMPUTED_VALUE"""),"Cheese Pizza")</f>
        <v>Cheese Pizza</v>
      </c>
      <c r="E3201" s="82">
        <f>IFERROR(__xludf.DUMMYFUNCTION("""COMPUTED_VALUE"""),47.0)</f>
        <v>47</v>
      </c>
      <c r="F3201" s="82">
        <f>IFERROR(__xludf.DUMMYFUNCTION("""COMPUTED_VALUE"""),36.0)</f>
        <v>36</v>
      </c>
      <c r="G3201" s="86">
        <f>IFERROR(__xludf.DUMMYFUNCTION("""COMPUTED_VALUE"""),11.0)</f>
        <v>11</v>
      </c>
      <c r="H3201" s="86">
        <f>IFERROR(__xludf.DUMMYFUNCTION("""COMPUTED_VALUE"""),0.7659574468085106)</f>
        <v>0.7659574468</v>
      </c>
      <c r="I3201" s="86">
        <f>IFERROR(__xludf.DUMMYFUNCTION("""COMPUTED_VALUE"""),0.4556213017751479)</f>
        <v>0.4556213018</v>
      </c>
      <c r="J3201" s="82">
        <f>IFERROR(__xludf.DUMMYFUNCTION("""COMPUTED_VALUE"""),442.3191489361702)</f>
        <v>442.3191489</v>
      </c>
      <c r="K3201" s="82">
        <f>IFERROR(__xludf.DUMMYFUNCTION("""COMPUTED_VALUE"""),1.6382978723404256)</f>
        <v>1.638297872</v>
      </c>
      <c r="L3201" s="82">
        <f>IFERROR(__xludf.DUMMYFUNCTION("""COMPUTED_VALUE"""),0.8085106382978723)</f>
        <v>0.8085106383</v>
      </c>
      <c r="M3201" s="82">
        <f>IFERROR(__xludf.DUMMYFUNCTION("""COMPUTED_VALUE"""),1.0425531914893618)</f>
        <v>1.042553191</v>
      </c>
      <c r="N3201" s="82">
        <f>IFERROR(__xludf.DUMMYFUNCTION("""COMPUTED_VALUE"""),3.595744680851064)</f>
        <v>3.595744681</v>
      </c>
      <c r="O3201" s="82">
        <f>IFERROR(__xludf.DUMMYFUNCTION("""COMPUTED_VALUE"""),309.15602836879435)</f>
        <v>309.1560284</v>
      </c>
      <c r="P3201" s="82">
        <f>IFERROR(__xludf.DUMMYFUNCTION("""COMPUTED_VALUE"""),0.5886524822695034)</f>
        <v>0.5886524823</v>
      </c>
      <c r="Q3201" s="82">
        <f>IFERROR(__xludf.DUMMYFUNCTION("""COMPUTED_VALUE"""),0.37588652482269513)</f>
        <v>0.3758865248</v>
      </c>
      <c r="R3201" s="82">
        <f>IFERROR(__xludf.DUMMYFUNCTION("""COMPUTED_VALUE"""),1.4184397163120572)</f>
        <v>1.418439716</v>
      </c>
      <c r="S3201" s="82">
        <f>IFERROR(__xludf.DUMMYFUNCTION("""COMPUTED_VALUE"""),1.8014184397163124)</f>
        <v>1.80141844</v>
      </c>
      <c r="T3201" s="82">
        <f>IFERROR(__xludf.DUMMYFUNCTION("""COMPUTED_VALUE"""),323.454290791459)</f>
        <v>323.4542908</v>
      </c>
      <c r="U3201" s="82">
        <f>IFERROR(__xludf.DUMMYFUNCTION("""COMPUTED_VALUE"""),0.7805489916407775)</f>
        <v>0.7805489916</v>
      </c>
      <c r="V3201" s="82">
        <f>IFERROR(__xludf.DUMMYFUNCTION("""COMPUTED_VALUE"""),0.5268471596468896)</f>
        <v>0.5268471596</v>
      </c>
      <c r="W3201" s="82">
        <f>IFERROR(__xludf.DUMMYFUNCTION("""COMPUTED_VALUE"""),1.114349445541043)</f>
        <v>1.114349446</v>
      </c>
      <c r="X3201" s="82">
        <f>IFERROR(__xludf.DUMMYFUNCTION("""COMPUTED_VALUE"""),2.1959070542570576)</f>
        <v>2.195907054</v>
      </c>
      <c r="Y3201" s="82">
        <f>IFERROR(__xludf.DUMMYFUNCTION("""COMPUTED_VALUE"""),334.1721079516128)</f>
        <v>334.172108</v>
      </c>
      <c r="Z3201" s="82">
        <f>IFERROR(__xludf.DUMMYFUNCTION("""COMPUTED_VALUE"""),0.8684311550969672)</f>
        <v>0.8684311551</v>
      </c>
      <c r="AA3201" s="82">
        <f>IFERROR(__xludf.DUMMYFUNCTION("""COMPUTED_VALUE"""),0.5849991810395068)</f>
        <v>0.584999181</v>
      </c>
      <c r="AB3201" s="82">
        <f>IFERROR(__xludf.DUMMYFUNCTION("""COMPUTED_VALUE"""),1.0476836898840485)</f>
        <v>1.04768369</v>
      </c>
      <c r="AC3201" s="82">
        <f>IFERROR(__xludf.DUMMYFUNCTION("""COMPUTED_VALUE"""),2.4010799823785978)</f>
        <v>2.401079982</v>
      </c>
      <c r="AD3201" s="82">
        <f>IFERROR(__xludf.DUMMYFUNCTION("""COMPUTED_VALUE"""),1.3236267731842444)</f>
        <v>1.323626773</v>
      </c>
      <c r="AE3201" s="82">
        <f>IFERROR(__xludf.DUMMYFUNCTION("""COMPUTED_VALUE"""),1.8865028767392582)</f>
        <v>1.886502877</v>
      </c>
      <c r="AF3201" s="82">
        <f>IFERROR(__xludf.DUMMYFUNCTION("""COMPUTED_VALUE"""),1.3820714019824776)</f>
        <v>1.382071402</v>
      </c>
      <c r="AG3201" s="82">
        <f>IFERROR(__xludf.DUMMYFUNCTION("""COMPUTED_VALUE"""),0.9951030082416816)</f>
        <v>0.9951030082</v>
      </c>
      <c r="AH3201" s="82">
        <f>IFERROR(__xludf.DUMMYFUNCTION("""COMPUTED_VALUE"""),1.497553062471908)</f>
        <v>1.497553062</v>
      </c>
      <c r="AI3201" s="82">
        <f>IFERROR(__xludf.DUMMYFUNCTION("""COMPUTED_VALUE"""),0.9557951066666072)</f>
        <v>0.9557951067</v>
      </c>
      <c r="AJ3201" s="82">
        <f>IFERROR(__xludf.DUMMYFUNCTION("""COMPUTED_VALUE"""),0.754151870764842)</f>
        <v>0.7541518708</v>
      </c>
      <c r="AK3201" s="82">
        <f>IFERROR(__xludf.DUMMYFUNCTION("""COMPUTED_VALUE"""),0.7134640814513012)</f>
        <v>0.7134640815</v>
      </c>
      <c r="AL3201" s="82">
        <f>IFERROR(__xludf.DUMMYFUNCTION("""COMPUTED_VALUE"""),1.2728859174182756)</f>
        <v>1.272885917</v>
      </c>
      <c r="AM3201" s="82">
        <f>IFERROR(__xludf.DUMMYFUNCTION("""COMPUTED_VALUE"""),0.820352772319768)</f>
        <v>0.8203527723</v>
      </c>
      <c r="AN3201" s="82">
        <f>IFERROR(__xludf.DUMMYFUNCTION("""COMPUTED_VALUE"""),1.390841079815651)</f>
        <v>1.39084108</v>
      </c>
      <c r="AO3201" s="82">
        <f>IFERROR(__xludf.DUMMYFUNCTION("""COMPUTED_VALUE"""),2.0405170457728885)</f>
        <v>2.040517046</v>
      </c>
      <c r="AP3201" s="82">
        <f>IFERROR(__xludf.DUMMYFUNCTION("""COMPUTED_VALUE"""),1.5025287207047733)</f>
        <v>1.502528721</v>
      </c>
      <c r="AQ3201" s="82">
        <f>IFERROR(__xludf.DUMMYFUNCTION("""COMPUTED_VALUE"""),0.995473553263368)</f>
        <v>0.9954735533</v>
      </c>
      <c r="AR3201" s="82">
        <f>IFERROR(__xludf.DUMMYFUNCTION("""COMPUTED_VALUE"""),1.6323647150572713)</f>
        <v>1.632364715</v>
      </c>
      <c r="AS3201" s="82">
        <f>IFERROR(__xludf.DUMMYFUNCTION("""COMPUTED_VALUE"""),168.0)</f>
        <v>168</v>
      </c>
      <c r="AT3201" s="82">
        <f>IFERROR(__xludf.DUMMYFUNCTION("""COMPUTED_VALUE"""),0.7577637601806961)</f>
        <v>0.7577637602</v>
      </c>
      <c r="AU3201" s="82">
        <f>IFERROR(__xludf.DUMMYFUNCTION("""COMPUTED_VALUE"""),7.322729425330579)</f>
        <v>7.322729425</v>
      </c>
      <c r="AV3201" s="82">
        <f>IFERROR(__xludf.DUMMYFUNCTION("""COMPUTED_VALUE"""),101.25124038038958)</f>
        <v>101.2512404</v>
      </c>
      <c r="AW3201" s="82">
        <f t="shared" si="1"/>
        <v>49.55451801</v>
      </c>
      <c r="AX3201" s="83">
        <f t="array" ref="AX3201">IFERROR(DGET('SBV Import'!A:G,"SBV",{"RSC ID","Tier";B3201,A3201}))</f>
        <v>86.29144424</v>
      </c>
      <c r="AY3201" s="82">
        <f t="shared" si="2"/>
        <v>13.64286381</v>
      </c>
      <c r="AZ3201" s="82">
        <v>35.91165420303757</v>
      </c>
      <c r="BA3201" s="84">
        <v>3200.0</v>
      </c>
      <c r="BB3201" s="84" t="b">
        <f>IFERROR(__xludf.DUMMYFUNCTION("iferror(if(A3201="""",,E3201&gt;=FILTER(Constants!$F$2:$F$10,Constants!$A$2:$A$10=A3201)))"),TRUE)</f>
        <v>1</v>
      </c>
    </row>
    <row r="3202">
      <c r="A3202" s="89" t="str">
        <f>IFERROR(__xludf.DUMMYFUNCTION("""COMPUTED_VALUE"""),"Contender")</f>
        <v>Contender</v>
      </c>
      <c r="B3202" s="87" t="str">
        <f>IFERROR(__xludf.DUMMYFUNCTION("""COMPUTED_VALUE"""),"RSC006640")</f>
        <v>RSC006640</v>
      </c>
      <c r="C3202" s="73" t="str">
        <f>IFERROR(__xludf.DUMMYFUNCTION("""COMPUTED_VALUE"""),"VeryBadKittyCat")</f>
        <v>VeryBadKittyCat</v>
      </c>
      <c r="D3202" s="73" t="str">
        <f>IFERROR(__xludf.DUMMYFUNCTION("""COMPUTED_VALUE"""),"Cheese Pizza")</f>
        <v>Cheese Pizza</v>
      </c>
      <c r="E3202" s="82">
        <f>IFERROR(__xludf.DUMMYFUNCTION("""COMPUTED_VALUE"""),36.0)</f>
        <v>36</v>
      </c>
      <c r="F3202" s="82">
        <f>IFERROR(__xludf.DUMMYFUNCTION("""COMPUTED_VALUE"""),29.0)</f>
        <v>29</v>
      </c>
      <c r="G3202" s="86">
        <f>IFERROR(__xludf.DUMMYFUNCTION("""COMPUTED_VALUE"""),7.0)</f>
        <v>7</v>
      </c>
      <c r="H3202" s="86">
        <f>IFERROR(__xludf.DUMMYFUNCTION("""COMPUTED_VALUE"""),0.8055555555555556)</f>
        <v>0.8055555556</v>
      </c>
      <c r="I3202" s="86">
        <f>IFERROR(__xludf.DUMMYFUNCTION("""COMPUTED_VALUE"""),0.31092436974789917)</f>
        <v>0.3109243697</v>
      </c>
      <c r="J3202" s="82">
        <f>IFERROR(__xludf.DUMMYFUNCTION("""COMPUTED_VALUE"""),394.0833333333333)</f>
        <v>394.0833333</v>
      </c>
      <c r="K3202" s="82">
        <f>IFERROR(__xludf.DUMMYFUNCTION("""COMPUTED_VALUE"""),1.0277777777777777)</f>
        <v>1.027777778</v>
      </c>
      <c r="L3202" s="82">
        <f>IFERROR(__xludf.DUMMYFUNCTION("""COMPUTED_VALUE"""),1.1666666666666667)</f>
        <v>1.166666667</v>
      </c>
      <c r="M3202" s="82">
        <f>IFERROR(__xludf.DUMMYFUNCTION("""COMPUTED_VALUE"""),0.9166666666666666)</f>
        <v>0.9166666667</v>
      </c>
      <c r="N3202" s="82">
        <f>IFERROR(__xludf.DUMMYFUNCTION("""COMPUTED_VALUE"""),3.3055555555555554)</f>
        <v>3.305555556</v>
      </c>
      <c r="O3202" s="82">
        <f>IFERROR(__xludf.DUMMYFUNCTION("""COMPUTED_VALUE"""),308.8703703703704)</f>
        <v>308.8703704</v>
      </c>
      <c r="P3202" s="82">
        <f>IFERROR(__xludf.DUMMYFUNCTION("""COMPUTED_VALUE"""),0.5462962962962963)</f>
        <v>0.5462962963</v>
      </c>
      <c r="Q3202" s="82">
        <f>IFERROR(__xludf.DUMMYFUNCTION("""COMPUTED_VALUE"""),0.3333333333333333)</f>
        <v>0.3333333333</v>
      </c>
      <c r="R3202" s="82">
        <f>IFERROR(__xludf.DUMMYFUNCTION("""COMPUTED_VALUE"""),1.5740740740740742)</f>
        <v>1.574074074</v>
      </c>
      <c r="S3202" s="82">
        <f>IFERROR(__xludf.DUMMYFUNCTION("""COMPUTED_VALUE"""),1.7314814814814814)</f>
        <v>1.731481481</v>
      </c>
      <c r="T3202" s="82">
        <f>IFERROR(__xludf.DUMMYFUNCTION("""COMPUTED_VALUE"""),323.0345338116609)</f>
        <v>323.0345338</v>
      </c>
      <c r="U3202" s="82">
        <f>IFERROR(__xludf.DUMMYFUNCTION("""COMPUTED_VALUE"""),0.7848770232637068)</f>
        <v>0.7848770233</v>
      </c>
      <c r="V3202" s="82">
        <f>IFERROR(__xludf.DUMMYFUNCTION("""COMPUTED_VALUE"""),0.5284745140074422)</f>
        <v>0.528474514</v>
      </c>
      <c r="W3202" s="82">
        <f>IFERROR(__xludf.DUMMYFUNCTION("""COMPUTED_VALUE"""),1.1126642748322684)</f>
        <v>1.112664275</v>
      </c>
      <c r="X3202" s="82">
        <f>IFERROR(__xludf.DUMMYFUNCTION("""COMPUTED_VALUE"""),2.203011383166522)</f>
        <v>2.203011383</v>
      </c>
      <c r="Y3202" s="82">
        <f>IFERROR(__xludf.DUMMYFUNCTION("""COMPUTED_VALUE"""),334.6564909210481)</f>
        <v>334.6564909</v>
      </c>
      <c r="Z3202" s="82">
        <f>IFERROR(__xludf.DUMMYFUNCTION("""COMPUTED_VALUE"""),0.8695826198388447)</f>
        <v>0.8695826198</v>
      </c>
      <c r="AA3202" s="82">
        <f>IFERROR(__xludf.DUMMYFUNCTION("""COMPUTED_VALUE"""),0.5812823093941161)</f>
        <v>0.5812823094</v>
      </c>
      <c r="AB3202" s="82">
        <f>IFERROR(__xludf.DUMMYFUNCTION("""COMPUTED_VALUE"""),1.0530466386706112)</f>
        <v>1.053046639</v>
      </c>
      <c r="AC3202" s="82">
        <f>IFERROR(__xludf.DUMMYFUNCTION("""COMPUTED_VALUE"""),2.4139443208699314)</f>
        <v>2.413944321</v>
      </c>
      <c r="AD3202" s="82">
        <f>IFERROR(__xludf.DUMMYFUNCTION("""COMPUTED_VALUE"""),1.1775756455484534)</f>
        <v>1.177575646</v>
      </c>
      <c r="AE3202" s="82">
        <f>IFERROR(__xludf.DUMMYFUNCTION("""COMPUTED_VALUE"""),1.1819207908827)</f>
        <v>1.181920791</v>
      </c>
      <c r="AF3202" s="82">
        <f>IFERROR(__xludf.DUMMYFUNCTION("""COMPUTED_VALUE"""),2.0070568944076594)</f>
        <v>2.007056894</v>
      </c>
      <c r="AG3202" s="82">
        <f>IFERROR(__xludf.DUMMYFUNCTION("""COMPUTED_VALUE"""),0.8704900932250127)</f>
        <v>0.8704900932</v>
      </c>
      <c r="AH3202" s="82">
        <f>IFERROR(__xludf.DUMMYFUNCTION("""COMPUTED_VALUE"""),1.3693586579347063)</f>
        <v>1.369358658</v>
      </c>
      <c r="AI3202" s="82">
        <f>IFERROR(__xludf.DUMMYFUNCTION("""COMPUTED_VALUE"""),0.9561527887617469)</f>
        <v>0.9561527888</v>
      </c>
      <c r="AJ3202" s="82">
        <f>IFERROR(__xludf.DUMMYFUNCTION("""COMPUTED_VALUE"""),0.696027887304772)</f>
        <v>0.6960278873</v>
      </c>
      <c r="AK3202" s="82">
        <f>IFERROR(__xludf.DUMMYFUNCTION("""COMPUTED_VALUE"""),0.6307462791453349)</f>
        <v>0.6307462791</v>
      </c>
      <c r="AL3202" s="82">
        <f>IFERROR(__xludf.DUMMYFUNCTION("""COMPUTED_VALUE"""),1.4146891471925458)</f>
        <v>1.414689147</v>
      </c>
      <c r="AM3202" s="82">
        <f>IFERROR(__xludf.DUMMYFUNCTION("""COMPUTED_VALUE"""),0.7859612050631885)</f>
        <v>0.7859612051</v>
      </c>
      <c r="AN3202" s="82">
        <f>IFERROR(__xludf.DUMMYFUNCTION("""COMPUTED_VALUE"""),1.2391669910492167)</f>
        <v>1.239166991</v>
      </c>
      <c r="AO3202" s="82">
        <f>IFERROR(__xludf.DUMMYFUNCTION("""COMPUTED_VALUE"""),1.280107915800524)</f>
        <v>1.280107916</v>
      </c>
      <c r="AP3202" s="82">
        <f>IFERROR(__xludf.DUMMYFUNCTION("""COMPUTED_VALUE"""),2.1681225838239935)</f>
        <v>2.168122584</v>
      </c>
      <c r="AQ3202" s="82">
        <f>IFERROR(__xludf.DUMMYFUNCTION("""COMPUTED_VALUE"""),0.8752718146890496)</f>
        <v>0.8752718147</v>
      </c>
      <c r="AR3202" s="82">
        <f>IFERROR(__xludf.DUMMYFUNCTION("""COMPUTED_VALUE"""),1.500627194496272)</f>
        <v>1.500627194</v>
      </c>
      <c r="AS3202" s="82">
        <f>IFERROR(__xludf.DUMMYFUNCTION("""COMPUTED_VALUE"""),136.0)</f>
        <v>136</v>
      </c>
      <c r="AT3202" s="82">
        <f>IFERROR(__xludf.DUMMYFUNCTION("""COMPUTED_VALUE"""),0.7951439117236273)</f>
        <v>0.7951439117</v>
      </c>
      <c r="AU3202" s="82">
        <f>IFERROR(__xludf.DUMMYFUNCTION("""COMPUTED_VALUE"""),6.950923050913312)</f>
        <v>6.950923051</v>
      </c>
      <c r="AV3202" s="82">
        <f>IFERROR(__xludf.DUMMYFUNCTION("""COMPUTED_VALUE"""),95.87420018087742)</f>
        <v>95.87420018</v>
      </c>
      <c r="AW3202" s="82">
        <f t="shared" si="1"/>
        <v>30.07047169</v>
      </c>
      <c r="AX3202" s="83">
        <f t="array" ref="AX3202">IFERROR(DGET('SBV Import'!A:G,"SBV",{"RSC ID","Tier";B3202,A3202}))</f>
        <v>75.53817264</v>
      </c>
      <c r="AY3202" s="82">
        <f t="shared" si="2"/>
        <v>6.514554673</v>
      </c>
      <c r="AZ3202" s="82">
        <v>23.55591701640527</v>
      </c>
      <c r="BA3202" s="84">
        <v>3200.0</v>
      </c>
      <c r="BB3202" s="84" t="b">
        <f>IFERROR(__xludf.DUMMYFUNCTION("iferror(if(A3202="""",,E3202&gt;=FILTER(Constants!$F$2:$F$10,Constants!$A$2:$A$10=A3202)))"),TRUE)</f>
        <v>1</v>
      </c>
    </row>
    <row r="3203">
      <c r="A3203" s="89" t="str">
        <f>IFERROR(__xludf.DUMMYFUNCTION("""COMPUTED_VALUE"""),"Contender")</f>
        <v>Contender</v>
      </c>
      <c r="B3203" s="87" t="str">
        <f>IFERROR(__xludf.DUMMYFUNCTION("""COMPUTED_VALUE"""),"RSC007537")</f>
        <v>RSC007537</v>
      </c>
      <c r="C3203" s="73" t="str">
        <f>IFERROR(__xludf.DUMMYFUNCTION("""COMPUTED_VALUE"""),"yoshawatt")</f>
        <v>yoshawatt</v>
      </c>
      <c r="D3203" s="73" t="str">
        <f>IFERROR(__xludf.DUMMYFUNCTION("""COMPUTED_VALUE"""),"Rheas")</f>
        <v>Rheas</v>
      </c>
      <c r="E3203" s="82">
        <f>IFERROR(__xludf.DUMMYFUNCTION("""COMPUTED_VALUE"""),39.0)</f>
        <v>39</v>
      </c>
      <c r="F3203" s="82">
        <f>IFERROR(__xludf.DUMMYFUNCTION("""COMPUTED_VALUE"""),29.0)</f>
        <v>29</v>
      </c>
      <c r="G3203" s="86">
        <f>IFERROR(__xludf.DUMMYFUNCTION("""COMPUTED_VALUE"""),10.0)</f>
        <v>10</v>
      </c>
      <c r="H3203" s="86">
        <f>IFERROR(__xludf.DUMMYFUNCTION("""COMPUTED_VALUE"""),0.7435897435897436)</f>
        <v>0.7435897436</v>
      </c>
      <c r="I3203" s="86">
        <f>IFERROR(__xludf.DUMMYFUNCTION("""COMPUTED_VALUE"""),0.3680555555555555)</f>
        <v>0.3680555556</v>
      </c>
      <c r="J3203" s="82">
        <f>IFERROR(__xludf.DUMMYFUNCTION("""COMPUTED_VALUE"""),388.43589743589746)</f>
        <v>388.4358974</v>
      </c>
      <c r="K3203" s="82">
        <f>IFERROR(__xludf.DUMMYFUNCTION("""COMPUTED_VALUE"""),1.358974358974359)</f>
        <v>1.358974359</v>
      </c>
      <c r="L3203" s="82">
        <f>IFERROR(__xludf.DUMMYFUNCTION("""COMPUTED_VALUE"""),0.7692307692307693)</f>
        <v>0.7692307692</v>
      </c>
      <c r="M3203" s="82">
        <f>IFERROR(__xludf.DUMMYFUNCTION("""COMPUTED_VALUE"""),0.6923076923076923)</f>
        <v>0.6923076923</v>
      </c>
      <c r="N3203" s="82">
        <f>IFERROR(__xludf.DUMMYFUNCTION("""COMPUTED_VALUE"""),3.6923076923076925)</f>
        <v>3.692307692</v>
      </c>
      <c r="O3203" s="82">
        <f>IFERROR(__xludf.DUMMYFUNCTION("""COMPUTED_VALUE"""),291.3418803418804)</f>
        <v>291.3418803</v>
      </c>
      <c r="P3203" s="82">
        <f>IFERROR(__xludf.DUMMYFUNCTION("""COMPUTED_VALUE"""),0.5811965811965811)</f>
        <v>0.5811965812</v>
      </c>
      <c r="Q3203" s="82">
        <f>IFERROR(__xludf.DUMMYFUNCTION("""COMPUTED_VALUE"""),0.3931623931623932)</f>
        <v>0.3931623932</v>
      </c>
      <c r="R3203" s="82">
        <f>IFERROR(__xludf.DUMMYFUNCTION("""COMPUTED_VALUE"""),1.1880341880341883)</f>
        <v>1.188034188</v>
      </c>
      <c r="S3203" s="82">
        <f>IFERROR(__xludf.DUMMYFUNCTION("""COMPUTED_VALUE"""),1.8803418803418805)</f>
        <v>1.88034188</v>
      </c>
      <c r="T3203" s="82">
        <f>IFERROR(__xludf.DUMMYFUNCTION("""COMPUTED_VALUE"""),330.92291653578997)</f>
        <v>330.9229165</v>
      </c>
      <c r="U3203" s="82">
        <f>IFERROR(__xludf.DUMMYFUNCTION("""COMPUTED_VALUE"""),0.8414799362951411)</f>
        <v>0.8414799363</v>
      </c>
      <c r="V3203" s="82">
        <f>IFERROR(__xludf.DUMMYFUNCTION("""COMPUTED_VALUE"""),0.5359025773710306)</f>
        <v>0.5359025774</v>
      </c>
      <c r="W3203" s="82">
        <f>IFERROR(__xludf.DUMMYFUNCTION("""COMPUTED_VALUE"""),1.086463400694407)</f>
        <v>1.086463401</v>
      </c>
      <c r="X3203" s="82">
        <f>IFERROR(__xludf.DUMMYFUNCTION("""COMPUTED_VALUE"""),2.3152378869127594)</f>
        <v>2.315237887</v>
      </c>
      <c r="Y3203" s="82">
        <f>IFERROR(__xludf.DUMMYFUNCTION("""COMPUTED_VALUE"""),331.91115999600396)</f>
        <v>331.91116</v>
      </c>
      <c r="Z3203" s="82">
        <f>IFERROR(__xludf.DUMMYFUNCTION("""COMPUTED_VALUE"""),0.8447287750677831)</f>
        <v>0.8447287751</v>
      </c>
      <c r="AA3203" s="82">
        <f>IFERROR(__xludf.DUMMYFUNCTION("""COMPUTED_VALUE"""),0.5698720652932353)</f>
        <v>0.5698720653</v>
      </c>
      <c r="AB3203" s="82">
        <f>IFERROR(__xludf.DUMMYFUNCTION("""COMPUTED_VALUE"""),1.074755707482332)</f>
        <v>1.074755707</v>
      </c>
      <c r="AC3203" s="82">
        <f>IFERROR(__xludf.DUMMYFUNCTION("""COMPUTED_VALUE"""),2.326883614664836)</f>
        <v>2.326883615</v>
      </c>
      <c r="AD3203" s="82">
        <f>IFERROR(__xludf.DUMMYFUNCTION("""COMPUTED_VALUE"""),1.170300804108467)</f>
        <v>1.170300804</v>
      </c>
      <c r="AE3203" s="82">
        <f>IFERROR(__xludf.DUMMYFUNCTION("""COMPUTED_VALUE"""),1.608770056241202)</f>
        <v>1.608770056</v>
      </c>
      <c r="AF3203" s="82">
        <f>IFERROR(__xludf.DUMMYFUNCTION("""COMPUTED_VALUE"""),1.3498306305555638)</f>
        <v>1.349830631</v>
      </c>
      <c r="AG3203" s="82">
        <f>IFERROR(__xludf.DUMMYFUNCTION("""COMPUTED_VALUE"""),0.6441535387883234)</f>
        <v>0.6441535388</v>
      </c>
      <c r="AH3203" s="82">
        <f>IFERROR(__xludf.DUMMYFUNCTION("""COMPUTED_VALUE"""),1.5868037700886608)</f>
        <v>1.58680377</v>
      </c>
      <c r="AI3203" s="82">
        <f>IFERROR(__xludf.DUMMYFUNCTION("""COMPUTED_VALUE"""),0.8803919758466507)</f>
        <v>0.8803919758</v>
      </c>
      <c r="AJ3203" s="82">
        <f>IFERROR(__xludf.DUMMYFUNCTION("""COMPUTED_VALUE"""),0.690683825161022)</f>
        <v>0.6906838252</v>
      </c>
      <c r="AK3203" s="82">
        <f>IFERROR(__xludf.DUMMYFUNCTION("""COMPUTED_VALUE"""),0.7336452739061718)</f>
        <v>0.7336452739</v>
      </c>
      <c r="AL3203" s="82">
        <f>IFERROR(__xludf.DUMMYFUNCTION("""COMPUTED_VALUE"""),1.0934875369707464)</f>
        <v>1.093487537</v>
      </c>
      <c r="AM3203" s="82">
        <f>IFERROR(__xludf.DUMMYFUNCTION("""COMPUTED_VALUE"""),0.8121592562780715)</f>
        <v>0.8121592563</v>
      </c>
      <c r="AN3203" s="82">
        <f>IFERROR(__xludf.DUMMYFUNCTION("""COMPUTED_VALUE"""),1.2214090308508603)</f>
        <v>1.221409031</v>
      </c>
      <c r="AO3203" s="82">
        <f>IFERROR(__xludf.DUMMYFUNCTION("""COMPUTED_VALUE"""),1.692616703636452)</f>
        <v>1.692616704</v>
      </c>
      <c r="AP3203" s="82">
        <f>IFERROR(__xludf.DUMMYFUNCTION("""COMPUTED_VALUE"""),1.4295313739498856)</f>
        <v>1.429531374</v>
      </c>
      <c r="AQ3203" s="82">
        <f>IFERROR(__xludf.DUMMYFUNCTION("""COMPUTED_VALUE"""),0.661044447457464)</f>
        <v>0.6610444475</v>
      </c>
      <c r="AR3203" s="82">
        <f>IFERROR(__xludf.DUMMYFUNCTION("""COMPUTED_VALUE"""),1.6762015462763789)</f>
        <v>1.676201546</v>
      </c>
      <c r="AS3203" s="82">
        <f>IFERROR(__xludf.DUMMYFUNCTION("""COMPUTED_VALUE"""),121.0)</f>
        <v>121</v>
      </c>
      <c r="AT3203" s="82">
        <f>IFERROR(__xludf.DUMMYFUNCTION("""COMPUTED_VALUE"""),0.7122735291834201)</f>
        <v>0.7122735292</v>
      </c>
      <c r="AU3203" s="82">
        <f>IFERROR(__xludf.DUMMYFUNCTION("""COMPUTED_VALUE"""),6.770024865676087)</f>
        <v>6.770024866</v>
      </c>
      <c r="AV3203" s="82">
        <f>IFERROR(__xludf.DUMMYFUNCTION("""COMPUTED_VALUE"""),93.25806210211567)</f>
        <v>93.2580621</v>
      </c>
      <c r="AW3203" s="82">
        <f t="shared" si="1"/>
        <v>23.93126712</v>
      </c>
      <c r="AX3203" s="83">
        <f t="array" ref="AX3203">IFERROR(DGET('SBV Import'!A:G,"SBV",{"RSC ID","Tier";B3203,A3203}))</f>
        <v>83.29808871</v>
      </c>
      <c r="AY3203" s="82">
        <f t="shared" si="2"/>
        <v>10.93581533</v>
      </c>
      <c r="AZ3203" s="82">
        <v>12.995451788230374</v>
      </c>
      <c r="BA3203" s="84">
        <v>3200.0</v>
      </c>
      <c r="BB3203" s="84" t="b">
        <f>IFERROR(__xludf.DUMMYFUNCTION("iferror(if(A3203="""",,E3203&gt;=FILTER(Constants!$F$2:$F$10,Constants!$A$2:$A$10=A3203)))"),TRUE)</f>
        <v>1</v>
      </c>
    </row>
    <row r="3204">
      <c r="A3204" s="89" t="str">
        <f>IFERROR(__xludf.DUMMYFUNCTION("""COMPUTED_VALUE"""),"Contender")</f>
        <v>Contender</v>
      </c>
      <c r="B3204" s="87" t="str">
        <f>IFERROR(__xludf.DUMMYFUNCTION("""COMPUTED_VALUE"""),"RSC007894")</f>
        <v>RSC007894</v>
      </c>
      <c r="C3204" s="73" t="str">
        <f>IFERROR(__xludf.DUMMYFUNCTION("""COMPUTED_VALUE"""),"BlackCoop03")</f>
        <v>BlackCoop03</v>
      </c>
      <c r="D3204" s="73" t="str">
        <f>IFERROR(__xludf.DUMMYFUNCTION("""COMPUTED_VALUE"""),"Clover")</f>
        <v>Clover</v>
      </c>
      <c r="E3204" s="82">
        <f>IFERROR(__xludf.DUMMYFUNCTION("""COMPUTED_VALUE"""),24.0)</f>
        <v>24</v>
      </c>
      <c r="F3204" s="82">
        <f>IFERROR(__xludf.DUMMYFUNCTION("""COMPUTED_VALUE"""),13.0)</f>
        <v>13</v>
      </c>
      <c r="G3204" s="86">
        <f>IFERROR(__xludf.DUMMYFUNCTION("""COMPUTED_VALUE"""),11.0)</f>
        <v>11</v>
      </c>
      <c r="H3204" s="86">
        <f>IFERROR(__xludf.DUMMYFUNCTION("""COMPUTED_VALUE"""),0.5416666666666666)</f>
        <v>0.5416666667</v>
      </c>
      <c r="I3204" s="86">
        <f>IFERROR(__xludf.DUMMYFUNCTION("""COMPUTED_VALUE"""),0.4117647058823529)</f>
        <v>0.4117647059</v>
      </c>
      <c r="J3204" s="82">
        <f>IFERROR(__xludf.DUMMYFUNCTION("""COMPUTED_VALUE"""),407.5416666666667)</f>
        <v>407.5416667</v>
      </c>
      <c r="K3204" s="82">
        <f>IFERROR(__xludf.DUMMYFUNCTION("""COMPUTED_VALUE"""),1.1666666666666667)</f>
        <v>1.166666667</v>
      </c>
      <c r="L3204" s="82">
        <f>IFERROR(__xludf.DUMMYFUNCTION("""COMPUTED_VALUE"""),0.7083333333333334)</f>
        <v>0.7083333333</v>
      </c>
      <c r="M3204" s="82">
        <f>IFERROR(__xludf.DUMMYFUNCTION("""COMPUTED_VALUE"""),1.25)</f>
        <v>1.25</v>
      </c>
      <c r="N3204" s="82">
        <f>IFERROR(__xludf.DUMMYFUNCTION("""COMPUTED_VALUE"""),2.8333333333333335)</f>
        <v>2.833333333</v>
      </c>
      <c r="O3204" s="82">
        <f>IFERROR(__xludf.DUMMYFUNCTION("""COMPUTED_VALUE"""),316.30555555555554)</f>
        <v>316.3055556</v>
      </c>
      <c r="P3204" s="82">
        <f>IFERROR(__xludf.DUMMYFUNCTION("""COMPUTED_VALUE"""),0.6527777777777777)</f>
        <v>0.6527777778</v>
      </c>
      <c r="Q3204" s="82">
        <f>IFERROR(__xludf.DUMMYFUNCTION("""COMPUTED_VALUE"""),0.4722222222222224)</f>
        <v>0.4722222222</v>
      </c>
      <c r="R3204" s="82">
        <f>IFERROR(__xludf.DUMMYFUNCTION("""COMPUTED_VALUE"""),1.1111111111111112)</f>
        <v>1.111111111</v>
      </c>
      <c r="S3204" s="82">
        <f>IFERROR(__xludf.DUMMYFUNCTION("""COMPUTED_VALUE"""),2.402777777777778)</f>
        <v>2.402777778</v>
      </c>
      <c r="T3204" s="82">
        <f>IFERROR(__xludf.DUMMYFUNCTION("""COMPUTED_VALUE"""),333.73379636757704)</f>
        <v>333.7337964</v>
      </c>
      <c r="U3204" s="82">
        <f>IFERROR(__xludf.DUMMYFUNCTION("""COMPUTED_VALUE"""),0.8484356555189793)</f>
        <v>0.8484356555</v>
      </c>
      <c r="V3204" s="82">
        <f>IFERROR(__xludf.DUMMYFUNCTION("""COMPUTED_VALUE"""),0.5832261797822281)</f>
        <v>0.5832261798</v>
      </c>
      <c r="W3204" s="82">
        <f>IFERROR(__xludf.DUMMYFUNCTION("""COMPUTED_VALUE"""),1.078640939304884)</f>
        <v>1.078640939</v>
      </c>
      <c r="X3204" s="82">
        <f>IFERROR(__xludf.DUMMYFUNCTION("""COMPUTED_VALUE"""),2.3442691523168415)</f>
        <v>2.344269152</v>
      </c>
      <c r="Y3204" s="82">
        <f>IFERROR(__xludf.DUMMYFUNCTION("""COMPUTED_VALUE"""),326.2442161643665)</f>
        <v>326.2442162</v>
      </c>
      <c r="Z3204" s="82">
        <f>IFERROR(__xludf.DUMMYFUNCTION("""COMPUTED_VALUE"""),0.8066519214820155)</f>
        <v>0.8066519215</v>
      </c>
      <c r="AA3204" s="82">
        <f>IFERROR(__xludf.DUMMYFUNCTION("""COMPUTED_VALUE"""),0.5344463753320555)</f>
        <v>0.5344463753</v>
      </c>
      <c r="AB3204" s="82">
        <f>IFERROR(__xludf.DUMMYFUNCTION("""COMPUTED_VALUE"""),1.1061231723785447)</f>
        <v>1.106123172</v>
      </c>
      <c r="AC3204" s="82">
        <f>IFERROR(__xludf.DUMMYFUNCTION("""COMPUTED_VALUE"""),2.2559195200560667)</f>
        <v>2.25591952</v>
      </c>
      <c r="AD3204" s="82">
        <f>IFERROR(__xludf.DUMMYFUNCTION("""COMPUTED_VALUE"""),1.2491920054801566)</f>
        <v>1.249192005</v>
      </c>
      <c r="AE3204" s="82">
        <f>IFERROR(__xludf.DUMMYFUNCTION("""COMPUTED_VALUE"""),1.4463074290125246)</f>
        <v>1.446307429</v>
      </c>
      <c r="AF3204" s="82">
        <f>IFERROR(__xludf.DUMMYFUNCTION("""COMPUTED_VALUE"""),1.325359036990831)</f>
        <v>1.325359037</v>
      </c>
      <c r="AG3204" s="82">
        <f>IFERROR(__xludf.DUMMYFUNCTION("""COMPUTED_VALUE"""),1.1300730616754648)</f>
        <v>1.130073062</v>
      </c>
      <c r="AH3204" s="82">
        <f>IFERROR(__xludf.DUMMYFUNCTION("""COMPUTED_VALUE"""),1.255954970088169)</f>
        <v>1.25595497</v>
      </c>
      <c r="AI3204" s="82">
        <f>IFERROR(__xludf.DUMMYFUNCTION("""COMPUTED_VALUE"""),0.9477780164858524)</f>
        <v>0.9477780165</v>
      </c>
      <c r="AJ3204" s="82">
        <f>IFERROR(__xludf.DUMMYFUNCTION("""COMPUTED_VALUE"""),0.7693898453365686)</f>
        <v>0.7693898453</v>
      </c>
      <c r="AK3204" s="82">
        <f>IFERROR(__xludf.DUMMYFUNCTION("""COMPUTED_VALUE"""),0.8096725397315777)</f>
        <v>0.8096725397</v>
      </c>
      <c r="AL3204" s="82">
        <f>IFERROR(__xludf.DUMMYFUNCTION("""COMPUTED_VALUE"""),1.0301028550123013)</f>
        <v>1.030102855</v>
      </c>
      <c r="AM3204" s="82">
        <f>IFERROR(__xludf.DUMMYFUNCTION("""COMPUTED_VALUE"""),1.0249581518415292)</f>
        <v>1.024958152</v>
      </c>
      <c r="AN3204" s="82">
        <f>IFERROR(__xludf.DUMMYFUNCTION("""COMPUTED_VALUE"""),1.2814857622597156)</f>
        <v>1.281485762</v>
      </c>
      <c r="AO3204" s="82">
        <f>IFERROR(__xludf.DUMMYFUNCTION("""COMPUTED_VALUE"""),1.4530954719897842)</f>
        <v>1.453095472</v>
      </c>
      <c r="AP3204" s="82">
        <f>IFERROR(__xludf.DUMMYFUNCTION("""COMPUTED_VALUE"""),1.3163601401788532)</f>
        <v>1.31636014</v>
      </c>
      <c r="AQ3204" s="82">
        <f>IFERROR(__xludf.DUMMYFUNCTION("""COMPUTED_VALUE"""),1.1935524745759767)</f>
        <v>1.193552475</v>
      </c>
      <c r="AR3204" s="82">
        <f>IFERROR(__xludf.DUMMYFUNCTION("""COMPUTED_VALUE"""),1.2862518809968047)</f>
        <v>1.286251881</v>
      </c>
      <c r="AS3204" s="82">
        <f>IFERROR(__xludf.DUMMYFUNCTION("""COMPUTED_VALUE"""),68.0)</f>
        <v>68</v>
      </c>
      <c r="AT3204" s="82">
        <f>IFERROR(__xludf.DUMMYFUNCTION("""COMPUTED_VALUE"""),0.6408590845919069)</f>
        <v>0.6408590846</v>
      </c>
      <c r="AU3204" s="82">
        <f>IFERROR(__xludf.DUMMYFUNCTION("""COMPUTED_VALUE"""),5.826825314803143)</f>
        <v>5.826825315</v>
      </c>
      <c r="AV3204" s="82">
        <f>IFERROR(__xludf.DUMMYFUNCTION("""COMPUTED_VALUE"""),79.61757003375243)</f>
        <v>79.61757003</v>
      </c>
      <c r="AW3204" s="82">
        <f t="shared" si="1"/>
        <v>8.469732213</v>
      </c>
      <c r="AX3204" s="83">
        <f t="array" ref="AX3204">IFERROR(DGET('SBV Import'!A:G,"SBV",{"RSC ID","Tier";B3204,A3204}))</f>
        <v>67.94951203</v>
      </c>
      <c r="AY3204" s="82">
        <f t="shared" si="2"/>
        <v>4.230392936</v>
      </c>
      <c r="AZ3204" s="82">
        <v>4.23933927669775</v>
      </c>
      <c r="BA3204" s="84">
        <v>3200.0</v>
      </c>
      <c r="BB3204" s="84" t="b">
        <f>IFERROR(__xludf.DUMMYFUNCTION("iferror(if(A3204="""",,E3204&gt;=FILTER(Constants!$F$2:$F$10,Constants!$A$2:$A$10=A3204)))"),TRUE)</f>
        <v>1</v>
      </c>
    </row>
    <row r="3205">
      <c r="A3205" s="89" t="str">
        <f>IFERROR(__xludf.DUMMYFUNCTION("""COMPUTED_VALUE"""),"Contender")</f>
        <v>Contender</v>
      </c>
      <c r="B3205" s="87" t="str">
        <f>IFERROR(__xludf.DUMMYFUNCTION("""COMPUTED_VALUE"""),"RSC007885")</f>
        <v>RSC007885</v>
      </c>
      <c r="C3205" s="73" t="str">
        <f>IFERROR(__xludf.DUMMYFUNCTION("""COMPUTED_VALUE"""),"Larkspur")</f>
        <v>Larkspur</v>
      </c>
      <c r="D3205" s="73" t="str">
        <f>IFERROR(__xludf.DUMMYFUNCTION("""COMPUTED_VALUE"""),"Rheas")</f>
        <v>Rheas</v>
      </c>
      <c r="E3205" s="82">
        <f>IFERROR(__xludf.DUMMYFUNCTION("""COMPUTED_VALUE"""),48.0)</f>
        <v>48</v>
      </c>
      <c r="F3205" s="82">
        <f>IFERROR(__xludf.DUMMYFUNCTION("""COMPUTED_VALUE"""),34.0)</f>
        <v>34</v>
      </c>
      <c r="G3205" s="86">
        <f>IFERROR(__xludf.DUMMYFUNCTION("""COMPUTED_VALUE"""),14.0)</f>
        <v>14</v>
      </c>
      <c r="H3205" s="86">
        <f>IFERROR(__xludf.DUMMYFUNCTION("""COMPUTED_VALUE"""),0.7083333333333334)</f>
        <v>0.7083333333</v>
      </c>
      <c r="I3205" s="86">
        <f>IFERROR(__xludf.DUMMYFUNCTION("""COMPUTED_VALUE"""),0.366412213740458)</f>
        <v>0.3664122137</v>
      </c>
      <c r="J3205" s="82">
        <f>IFERROR(__xludf.DUMMYFUNCTION("""COMPUTED_VALUE"""),380.2708333333333)</f>
        <v>380.2708333</v>
      </c>
      <c r="K3205" s="82">
        <f>IFERROR(__xludf.DUMMYFUNCTION("""COMPUTED_VALUE"""),1.0)</f>
        <v>1</v>
      </c>
      <c r="L3205" s="82">
        <f>IFERROR(__xludf.DUMMYFUNCTION("""COMPUTED_VALUE"""),0.8333333333333334)</f>
        <v>0.8333333333</v>
      </c>
      <c r="M3205" s="82">
        <f>IFERROR(__xludf.DUMMYFUNCTION("""COMPUTED_VALUE"""),1.2291666666666667)</f>
        <v>1.229166667</v>
      </c>
      <c r="N3205" s="82">
        <f>IFERROR(__xludf.DUMMYFUNCTION("""COMPUTED_VALUE"""),2.7291666666666665)</f>
        <v>2.729166667</v>
      </c>
      <c r="O3205" s="82">
        <f>IFERROR(__xludf.DUMMYFUNCTION("""COMPUTED_VALUE"""),291.6666666666667)</f>
        <v>291.6666667</v>
      </c>
      <c r="P3205" s="82">
        <f>IFERROR(__xludf.DUMMYFUNCTION("""COMPUTED_VALUE"""),0.5833333333333333)</f>
        <v>0.5833333333</v>
      </c>
      <c r="Q3205" s="82">
        <f>IFERROR(__xludf.DUMMYFUNCTION("""COMPUTED_VALUE"""),0.3819444444444444)</f>
        <v>0.3819444444</v>
      </c>
      <c r="R3205" s="82">
        <f>IFERROR(__xludf.DUMMYFUNCTION("""COMPUTED_VALUE"""),1.173611111111111)</f>
        <v>1.173611111</v>
      </c>
      <c r="S3205" s="82">
        <f>IFERROR(__xludf.DUMMYFUNCTION("""COMPUTED_VALUE"""),1.8819444444444444)</f>
        <v>1.881944444</v>
      </c>
      <c r="T3205" s="82">
        <f>IFERROR(__xludf.DUMMYFUNCTION("""COMPUTED_VALUE"""),327.50273362060267)</f>
        <v>327.5027336</v>
      </c>
      <c r="U3205" s="82">
        <f>IFERROR(__xludf.DUMMYFUNCTION("""COMPUTED_VALUE"""),0.8198242714771716)</f>
        <v>0.8198242715</v>
      </c>
      <c r="V3205" s="82">
        <f>IFERROR(__xludf.DUMMYFUNCTION("""COMPUTED_VALUE"""),0.5255934807581611)</f>
        <v>0.5255934808</v>
      </c>
      <c r="W3205" s="82">
        <f>IFERROR(__xludf.DUMMYFUNCTION("""COMPUTED_VALUE"""),1.087064672423234)</f>
        <v>1.087064672</v>
      </c>
      <c r="X3205" s="82">
        <f>IFERROR(__xludf.DUMMYFUNCTION("""COMPUTED_VALUE"""),2.2693015286060647)</f>
        <v>2.269301529</v>
      </c>
      <c r="Y3205" s="82">
        <f>IFERROR(__xludf.DUMMYFUNCTION("""COMPUTED_VALUE"""),332.44102178652963)</f>
        <v>332.4410218</v>
      </c>
      <c r="Z3205" s="82">
        <f>IFERROR(__xludf.DUMMYFUNCTION("""COMPUTED_VALUE"""),0.8547896887744396)</f>
        <v>0.8547896888</v>
      </c>
      <c r="AA3205" s="82">
        <f>IFERROR(__xludf.DUMMYFUNCTION("""COMPUTED_VALUE"""),0.5723731245885444)</f>
        <v>0.5723731246</v>
      </c>
      <c r="AB3205" s="82">
        <f>IFERROR(__xludf.DUMMYFUNCTION("""COMPUTED_VALUE"""),1.0614955700901643)</f>
        <v>1.06149557</v>
      </c>
      <c r="AC3205" s="82">
        <f>IFERROR(__xludf.DUMMYFUNCTION("""COMPUTED_VALUE"""),2.3383068880276907)</f>
        <v>2.338306888</v>
      </c>
      <c r="AD3205" s="82">
        <f>IFERROR(__xludf.DUMMYFUNCTION("""COMPUTED_VALUE"""),1.1438745774807437)</f>
        <v>1.143874577</v>
      </c>
      <c r="AE3205" s="82">
        <f>IFERROR(__xludf.DUMMYFUNCTION("""COMPUTED_VALUE"""),1.1698784076744733)</f>
        <v>1.169878408</v>
      </c>
      <c r="AF3205" s="82">
        <f>IFERROR(__xludf.DUMMYFUNCTION("""COMPUTED_VALUE"""),1.4559267329897478)</f>
        <v>1.455926733</v>
      </c>
      <c r="AG3205" s="82">
        <f>IFERROR(__xludf.DUMMYFUNCTION("""COMPUTED_VALUE"""),1.157957415274244)</f>
        <v>1.157957415</v>
      </c>
      <c r="AH3205" s="82">
        <f>IFERROR(__xludf.DUMMYFUNCTION("""COMPUTED_VALUE"""),1.167155038818988)</f>
        <v>1.167155039</v>
      </c>
      <c r="AI3205" s="82">
        <f>IFERROR(__xludf.DUMMYFUNCTION("""COMPUTED_VALUE"""),0.8905778081368613)</f>
        <v>0.8905778081</v>
      </c>
      <c r="AJ3205" s="82">
        <f>IFERROR(__xludf.DUMMYFUNCTION("""COMPUTED_VALUE"""),0.7115345978745842)</f>
        <v>0.7115345979</v>
      </c>
      <c r="AK3205" s="82">
        <f>IFERROR(__xludf.DUMMYFUNCTION("""COMPUTED_VALUE"""),0.7266917464301402)</f>
        <v>0.7266917464</v>
      </c>
      <c r="AL3205" s="82">
        <f>IFERROR(__xludf.DUMMYFUNCTION("""COMPUTED_VALUE"""),1.079614802029167)</f>
        <v>1.079614802</v>
      </c>
      <c r="AM3205" s="82">
        <f>IFERROR(__xludf.DUMMYFUNCTION("""COMPUTED_VALUE"""),0.8293055906063055)</f>
        <v>0.8293055906</v>
      </c>
      <c r="AN3205" s="82">
        <f>IFERROR(__xludf.DUMMYFUNCTION("""COMPUTED_VALUE"""),1.1957345679647575)</f>
        <v>1.195734568</v>
      </c>
      <c r="AO3205" s="82">
        <f>IFERROR(__xludf.DUMMYFUNCTION("""COMPUTED_VALUE"""),1.2455104045626721)</f>
        <v>1.245510405</v>
      </c>
      <c r="AP3205" s="82">
        <f>IFERROR(__xludf.DUMMYFUNCTION("""COMPUTED_VALUE"""),1.5486589884457094)</f>
        <v>1.548658988</v>
      </c>
      <c r="AQ3205" s="82">
        <f>IFERROR(__xludf.DUMMYFUNCTION("""COMPUTED_VALUE"""),1.173659933333044)</f>
        <v>1.173659933</v>
      </c>
      <c r="AR3205" s="82">
        <f>IFERROR(__xludf.DUMMYFUNCTION("""COMPUTED_VALUE"""),1.2389632089013336)</f>
        <v>1.238963209</v>
      </c>
      <c r="AS3205" s="82">
        <f>IFERROR(__xludf.DUMMYFUNCTION("""COMPUTED_VALUE"""),141.0)</f>
        <v>141</v>
      </c>
      <c r="AT3205" s="82">
        <f>IFERROR(__xludf.DUMMYFUNCTION("""COMPUTED_VALUE"""),0.6914574297265217)</f>
        <v>0.6914574297</v>
      </c>
      <c r="AU3205" s="82">
        <f>IFERROR(__xludf.DUMMYFUNCTION("""COMPUTED_VALUE"""),5.694111920176192)</f>
        <v>5.69411192</v>
      </c>
      <c r="AV3205" s="82">
        <f>IFERROR(__xludf.DUMMYFUNCTION("""COMPUTED_VALUE"""),77.6982773399645)</f>
        <v>77.69827734</v>
      </c>
      <c r="AW3205" s="82">
        <f t="shared" si="1"/>
        <v>7.465706951</v>
      </c>
      <c r="AX3205" s="83">
        <f t="array" ref="AX3205">IFERROR(DGET('SBV Import'!A:G,"SBV",{"RSC ID","Tier";B3205,A3205}))</f>
        <v>74.96986684</v>
      </c>
      <c r="AY3205" s="82">
        <f t="shared" si="2"/>
        <v>6.291402011</v>
      </c>
      <c r="AZ3205" s="82">
        <v>1.1743049397156504</v>
      </c>
      <c r="BA3205" s="84">
        <v>3200.0</v>
      </c>
      <c r="BB3205" s="84" t="b">
        <f>IFERROR(__xludf.DUMMYFUNCTION("iferror(if(A3205="""",,E3205&gt;=FILTER(Constants!$F$2:$F$10,Constants!$A$2:$A$10=A3205)))"),TRUE)</f>
        <v>1</v>
      </c>
    </row>
    <row r="3206">
      <c r="A3206" s="89" t="str">
        <f>IFERROR(__xludf.DUMMYFUNCTION("""COMPUTED_VALUE"""),"Contender")</f>
        <v>Contender</v>
      </c>
      <c r="B3206" s="87" t="str">
        <f>IFERROR(__xludf.DUMMYFUNCTION("""COMPUTED_VALUE"""),"RSC003223")</f>
        <v>RSC003223</v>
      </c>
      <c r="C3206" s="73" t="str">
        <f>IFERROR(__xludf.DUMMYFUNCTION("""COMPUTED_VALUE"""),"AZoroARK")</f>
        <v>AZoroARK</v>
      </c>
      <c r="D3206" s="73" t="str">
        <f>IFERROR(__xludf.DUMMYFUNCTION("""COMPUTED_VALUE"""),"Cheese Pizza")</f>
        <v>Cheese Pizza</v>
      </c>
      <c r="E3206" s="82">
        <f>IFERROR(__xludf.DUMMYFUNCTION("""COMPUTED_VALUE"""),45.0)</f>
        <v>45</v>
      </c>
      <c r="F3206" s="82">
        <f>IFERROR(__xludf.DUMMYFUNCTION("""COMPUTED_VALUE"""),35.0)</f>
        <v>35</v>
      </c>
      <c r="G3206" s="86">
        <f>IFERROR(__xludf.DUMMYFUNCTION("""COMPUTED_VALUE"""),10.0)</f>
        <v>10</v>
      </c>
      <c r="H3206" s="86">
        <f>IFERROR(__xludf.DUMMYFUNCTION("""COMPUTED_VALUE"""),0.7777777777777778)</f>
        <v>0.7777777778</v>
      </c>
      <c r="I3206" s="86">
        <f>IFERROR(__xludf.DUMMYFUNCTION("""COMPUTED_VALUE"""),0.33587786259541985)</f>
        <v>0.3358778626</v>
      </c>
      <c r="J3206" s="82">
        <f>IFERROR(__xludf.DUMMYFUNCTION("""COMPUTED_VALUE"""),348.06666666666666)</f>
        <v>348.0666667</v>
      </c>
      <c r="K3206" s="82">
        <f>IFERROR(__xludf.DUMMYFUNCTION("""COMPUTED_VALUE"""),0.9777777777777777)</f>
        <v>0.9777777778</v>
      </c>
      <c r="L3206" s="82">
        <f>IFERROR(__xludf.DUMMYFUNCTION("""COMPUTED_VALUE"""),0.7333333333333333)</f>
        <v>0.7333333333</v>
      </c>
      <c r="M3206" s="82">
        <f>IFERROR(__xludf.DUMMYFUNCTION("""COMPUTED_VALUE"""),0.8666666666666667)</f>
        <v>0.8666666667</v>
      </c>
      <c r="N3206" s="82">
        <f>IFERROR(__xludf.DUMMYFUNCTION("""COMPUTED_VALUE"""),2.911111111111111)</f>
        <v>2.911111111</v>
      </c>
      <c r="O3206" s="82">
        <f>IFERROR(__xludf.DUMMYFUNCTION("""COMPUTED_VALUE"""),308.9555555555556)</f>
        <v>308.9555556</v>
      </c>
      <c r="P3206" s="82">
        <f>IFERROR(__xludf.DUMMYFUNCTION("""COMPUTED_VALUE"""),0.585185185185185)</f>
        <v>0.5851851852</v>
      </c>
      <c r="Q3206" s="82">
        <f>IFERROR(__xludf.DUMMYFUNCTION("""COMPUTED_VALUE"""),0.37037037037037046)</f>
        <v>0.3703703704</v>
      </c>
      <c r="R3206" s="82">
        <f>IFERROR(__xludf.DUMMYFUNCTION("""COMPUTED_VALUE"""),1.4296296296296298)</f>
        <v>1.42962963</v>
      </c>
      <c r="S3206" s="82">
        <f>IFERROR(__xludf.DUMMYFUNCTION("""COMPUTED_VALUE"""),1.7851851851851857)</f>
        <v>1.785185185</v>
      </c>
      <c r="T3206" s="82">
        <f>IFERROR(__xludf.DUMMYFUNCTION("""COMPUTED_VALUE"""),322.1943417381619)</f>
        <v>322.1943417</v>
      </c>
      <c r="U3206" s="82">
        <f>IFERROR(__xludf.DUMMYFUNCTION("""COMPUTED_VALUE"""),0.772684682047214)</f>
        <v>0.772684682</v>
      </c>
      <c r="V3206" s="82">
        <f>IFERROR(__xludf.DUMMYFUNCTION("""COMPUTED_VALUE"""),0.5173116893469628)</f>
        <v>0.5173116893</v>
      </c>
      <c r="W3206" s="82">
        <f>IFERROR(__xludf.DUMMYFUNCTION("""COMPUTED_VALUE"""),1.1193937847494533)</f>
        <v>1.119393785</v>
      </c>
      <c r="X3206" s="82">
        <f>IFERROR(__xludf.DUMMYFUNCTION("""COMPUTED_VALUE"""),2.172744344243237)</f>
        <v>2.172744344</v>
      </c>
      <c r="Y3206" s="82">
        <f>IFERROR(__xludf.DUMMYFUNCTION("""COMPUTED_VALUE"""),336.23635396161455)</f>
        <v>336.236354</v>
      </c>
      <c r="Z3206" s="82">
        <f>IFERROR(__xludf.DUMMYFUNCTION("""COMPUTED_VALUE"""),0.8819012590855517)</f>
        <v>0.8819012591</v>
      </c>
      <c r="AA3206" s="82">
        <f>IFERROR(__xludf.DUMMYFUNCTION("""COMPUTED_VALUE"""),0.5948447423757492)</f>
        <v>0.5948447424</v>
      </c>
      <c r="AB3206" s="82">
        <f>IFERROR(__xludf.DUMMYFUNCTION("""COMPUTED_VALUE"""),1.0429771220530524)</f>
        <v>1.042977122</v>
      </c>
      <c r="AC3206" s="82">
        <f>IFERROR(__xludf.DUMMYFUNCTION("""COMPUTED_VALUE"""),2.424562912252577)</f>
        <v>2.424562912</v>
      </c>
      <c r="AD3206" s="82">
        <f>IFERROR(__xludf.DUMMYFUNCTION("""COMPUTED_VALUE"""),1.035184514005296)</f>
        <v>1.035184514</v>
      </c>
      <c r="AE3206" s="82">
        <f>IFERROR(__xludf.DUMMYFUNCTION("""COMPUTED_VALUE"""),1.1087157067806446)</f>
        <v>1.108715707</v>
      </c>
      <c r="AF3206" s="82">
        <f>IFERROR(__xludf.DUMMYFUNCTION("""COMPUTED_VALUE"""),1.2328146843905432)</f>
        <v>1.232814684</v>
      </c>
      <c r="AG3206" s="82">
        <f>IFERROR(__xludf.DUMMYFUNCTION("""COMPUTED_VALUE"""),0.83095462819038)</f>
        <v>0.8309546282</v>
      </c>
      <c r="AH3206" s="82">
        <f>IFERROR(__xludf.DUMMYFUNCTION("""COMPUTED_VALUE"""),1.2006746025849662)</f>
        <v>1.200674603</v>
      </c>
      <c r="AI3206" s="82">
        <f>IFERROR(__xludf.DUMMYFUNCTION("""COMPUTED_VALUE"""),0.958910556556685)</f>
        <v>0.9589105566</v>
      </c>
      <c r="AJ3206" s="82">
        <f>IFERROR(__xludf.DUMMYFUNCTION("""COMPUTED_VALUE"""),0.7573402175318754)</f>
        <v>0.7573402175</v>
      </c>
      <c r="AK3206" s="82">
        <f>IFERROR(__xludf.DUMMYFUNCTION("""COMPUTED_VALUE"""),0.7159520613924534)</f>
        <v>0.7159520614</v>
      </c>
      <c r="AL3206" s="82">
        <f>IFERROR(__xludf.DUMMYFUNCTION("""COMPUTED_VALUE"""),1.2771462992798506)</f>
        <v>1.277146299</v>
      </c>
      <c r="AM3206" s="82">
        <f>IFERROR(__xludf.DUMMYFUNCTION("""COMPUTED_VALUE"""),0.821626893157079)</f>
        <v>0.8216268932</v>
      </c>
      <c r="AN3206" s="82">
        <f>IFERROR(__xludf.DUMMYFUNCTION("""COMPUTED_VALUE"""),1.0944708581548674)</f>
        <v>1.094470858</v>
      </c>
      <c r="AO3206" s="82">
        <f>IFERROR(__xludf.DUMMYFUNCTION("""COMPUTED_VALUE"""),1.2178323955723904)</f>
        <v>1.217832396</v>
      </c>
      <c r="AP3206" s="82">
        <f>IFERROR(__xludf.DUMMYFUNCTION("""COMPUTED_VALUE"""),1.3628199098322242)</f>
        <v>1.36281991</v>
      </c>
      <c r="AQ3206" s="82">
        <f>IFERROR(__xludf.DUMMYFUNCTION("""COMPUTED_VALUE"""),0.8275297157060105)</f>
        <v>0.8275297157</v>
      </c>
      <c r="AR3206" s="82">
        <f>IFERROR(__xludf.DUMMYFUNCTION("""COMPUTED_VALUE"""),1.3215607561614227)</f>
        <v>1.321560756</v>
      </c>
      <c r="AS3206" s="82">
        <f>IFERROR(__xludf.DUMMYFUNCTION("""COMPUTED_VALUE"""),165.0)</f>
        <v>165</v>
      </c>
      <c r="AT3206" s="82">
        <f>IFERROR(__xludf.DUMMYFUNCTION("""COMPUTED_VALUE"""),0.7678856265490959)</f>
        <v>0.7678856265</v>
      </c>
      <c r="AU3206" s="82">
        <f>IFERROR(__xludf.DUMMYFUNCTION("""COMPUTED_VALUE"""),5.260201288809979)</f>
        <v>5.260201289</v>
      </c>
      <c r="AV3206" s="82">
        <f>IFERROR(__xludf.DUMMYFUNCTION("""COMPUTED_VALUE"""),71.42308931633639)</f>
        <v>71.42308932</v>
      </c>
      <c r="AW3206" s="82">
        <f t="shared" si="1"/>
        <v>5.10872485</v>
      </c>
      <c r="AX3206" s="83">
        <f t="array" ref="AX3206">IFERROR(DGET('SBV Import'!A:G,"SBV",{"RSC ID","Tier";B3206,A3206}))</f>
        <v>55.97394012</v>
      </c>
      <c r="AY3206" s="82">
        <f t="shared" si="2"/>
        <v>2.465670297</v>
      </c>
      <c r="AZ3206" s="82">
        <v>2.643054553690668</v>
      </c>
      <c r="BA3206" s="84">
        <v>3200.0</v>
      </c>
      <c r="BB3206" s="84" t="b">
        <f>IFERROR(__xludf.DUMMYFUNCTION("iferror(if(A3206="""",,E3206&gt;=FILTER(Constants!$F$2:$F$10,Constants!$A$2:$A$10=A3206)))"),TRUE)</f>
        <v>1</v>
      </c>
    </row>
    <row r="3207">
      <c r="A3207" s="89" t="str">
        <f>IFERROR(__xludf.DUMMYFUNCTION("""COMPUTED_VALUE"""),"Contender")</f>
        <v>Contender</v>
      </c>
      <c r="B3207" s="87" t="str">
        <f>IFERROR(__xludf.DUMMYFUNCTION("""COMPUTED_VALUE"""),"RSC006251")</f>
        <v>RSC006251</v>
      </c>
      <c r="C3207" s="73" t="str">
        <f>IFERROR(__xludf.DUMMYFUNCTION("""COMPUTED_VALUE"""),"MiniTechniks")</f>
        <v>MiniTechniks</v>
      </c>
      <c r="D3207" s="73" t="str">
        <f>IFERROR(__xludf.DUMMYFUNCTION("""COMPUTED_VALUE"""),"Rad Lads")</f>
        <v>Rad Lads</v>
      </c>
      <c r="E3207" s="82">
        <f>IFERROR(__xludf.DUMMYFUNCTION("""COMPUTED_VALUE"""),41.0)</f>
        <v>41</v>
      </c>
      <c r="F3207" s="82">
        <f>IFERROR(__xludf.DUMMYFUNCTION("""COMPUTED_VALUE"""),20.0)</f>
        <v>20</v>
      </c>
      <c r="G3207" s="86">
        <f>IFERROR(__xludf.DUMMYFUNCTION("""COMPUTED_VALUE"""),21.0)</f>
        <v>21</v>
      </c>
      <c r="H3207" s="86">
        <f>IFERROR(__xludf.DUMMYFUNCTION("""COMPUTED_VALUE"""),0.4878048780487805)</f>
        <v>0.487804878</v>
      </c>
      <c r="I3207" s="86">
        <f>IFERROR(__xludf.DUMMYFUNCTION("""COMPUTED_VALUE"""),0.3931623931623932)</f>
        <v>0.3931623932</v>
      </c>
      <c r="J3207" s="82">
        <f>IFERROR(__xludf.DUMMYFUNCTION("""COMPUTED_VALUE"""),376.8048780487805)</f>
        <v>376.804878</v>
      </c>
      <c r="K3207" s="82">
        <f>IFERROR(__xludf.DUMMYFUNCTION("""COMPUTED_VALUE"""),1.1219512195121952)</f>
        <v>1.12195122</v>
      </c>
      <c r="L3207" s="82">
        <f>IFERROR(__xludf.DUMMYFUNCTION("""COMPUTED_VALUE"""),0.6585365853658537)</f>
        <v>0.6585365854</v>
      </c>
      <c r="M3207" s="82">
        <f>IFERROR(__xludf.DUMMYFUNCTION("""COMPUTED_VALUE"""),0.9512195121951219)</f>
        <v>0.9512195122</v>
      </c>
      <c r="N3207" s="82">
        <f>IFERROR(__xludf.DUMMYFUNCTION("""COMPUTED_VALUE"""),2.8536585365853657)</f>
        <v>2.853658537</v>
      </c>
      <c r="O3207" s="82">
        <f>IFERROR(__xludf.DUMMYFUNCTION("""COMPUTED_VALUE"""),322.81300813008136)</f>
        <v>322.8130081</v>
      </c>
      <c r="P3207" s="82">
        <f>IFERROR(__xludf.DUMMYFUNCTION("""COMPUTED_VALUE"""),0.821138211382114)</f>
        <v>0.8211382114</v>
      </c>
      <c r="Q3207" s="82">
        <f>IFERROR(__xludf.DUMMYFUNCTION("""COMPUTED_VALUE"""),0.5040650406504065)</f>
        <v>0.5040650407</v>
      </c>
      <c r="R3207" s="82">
        <f>IFERROR(__xludf.DUMMYFUNCTION("""COMPUTED_VALUE"""),1.0650406504065042)</f>
        <v>1.06504065</v>
      </c>
      <c r="S3207" s="82">
        <f>IFERROR(__xludf.DUMMYFUNCTION("""COMPUTED_VALUE"""),2.048780487804878)</f>
        <v>2.048780488</v>
      </c>
      <c r="T3207" s="82">
        <f>IFERROR(__xludf.DUMMYFUNCTION("""COMPUTED_VALUE"""),324.36168764298)</f>
        <v>324.3616876</v>
      </c>
      <c r="U3207" s="82">
        <f>IFERROR(__xludf.DUMMYFUNCTION("""COMPUTED_VALUE"""),0.7858052196557794)</f>
        <v>0.7858052197</v>
      </c>
      <c r="V3207" s="82">
        <f>IFERROR(__xludf.DUMMYFUNCTION("""COMPUTED_VALUE"""),0.5274327926059693)</f>
        <v>0.5274327926</v>
      </c>
      <c r="W3207" s="82">
        <f>IFERROR(__xludf.DUMMYFUNCTION("""COMPUTED_VALUE"""),1.126794303393306)</f>
        <v>1.126794303</v>
      </c>
      <c r="X3207" s="82">
        <f>IFERROR(__xludf.DUMMYFUNCTION("""COMPUTED_VALUE"""),2.248651710180861)</f>
        <v>2.24865171</v>
      </c>
      <c r="Y3207" s="82">
        <f>IFERROR(__xludf.DUMMYFUNCTION("""COMPUTED_VALUE"""),333.0400252550013)</f>
        <v>333.0400253</v>
      </c>
      <c r="Z3207" s="82">
        <f>IFERROR(__xludf.DUMMYFUNCTION("""COMPUTED_VALUE"""),0.8510032212832012)</f>
        <v>0.8510032213</v>
      </c>
      <c r="AA3207" s="82">
        <f>IFERROR(__xludf.DUMMYFUNCTION("""COMPUTED_VALUE"""),0.5604785789151618)</f>
        <v>0.5604785789</v>
      </c>
      <c r="AB3207" s="82">
        <f>IFERROR(__xludf.DUMMYFUNCTION("""COMPUTED_VALUE"""),1.0795476613487573)</f>
        <v>1.079547661</v>
      </c>
      <c r="AC3207" s="82">
        <f>IFERROR(__xludf.DUMMYFUNCTION("""COMPUTED_VALUE"""),2.3840431306636325)</f>
        <v>2.384043131</v>
      </c>
      <c r="AD3207" s="82">
        <f>IFERROR(__xludf.DUMMYFUNCTION("""COMPUTED_VALUE"""),1.1314101893917088)</f>
        <v>1.131410189</v>
      </c>
      <c r="AE3207" s="82">
        <f>IFERROR(__xludf.DUMMYFUNCTION("""COMPUTED_VALUE"""),1.3183865718163088)</f>
        <v>1.318386572</v>
      </c>
      <c r="AF3207" s="82">
        <f>IFERROR(__xludf.DUMMYFUNCTION("""COMPUTED_VALUE"""),1.174954066291862)</f>
        <v>1.174954066</v>
      </c>
      <c r="AG3207" s="82">
        <f>IFERROR(__xludf.DUMMYFUNCTION("""COMPUTED_VALUE"""),0.881127852203111)</f>
        <v>0.8811278522</v>
      </c>
      <c r="AH3207" s="82">
        <f>IFERROR(__xludf.DUMMYFUNCTION("""COMPUTED_VALUE"""),1.1969827642300284)</f>
        <v>1.196982764</v>
      </c>
      <c r="AI3207" s="82">
        <f>IFERROR(__xludf.DUMMYFUNCTION("""COMPUTED_VALUE"""),0.9952254548798525)</f>
        <v>0.9952254549</v>
      </c>
      <c r="AJ3207" s="82">
        <f>IFERROR(__xludf.DUMMYFUNCTION("""COMPUTED_VALUE"""),1.0449640583220001)</f>
        <v>1.044964058</v>
      </c>
      <c r="AK3207" s="82">
        <f>IFERROR(__xludf.DUMMYFUNCTION("""COMPUTED_VALUE"""),0.9556952994141563)</f>
        <v>0.9556952994</v>
      </c>
      <c r="AL3207" s="82">
        <f>IFERROR(__xludf.DUMMYFUNCTION("""COMPUTED_VALUE"""),0.9451952740612615)</f>
        <v>0.9451952741</v>
      </c>
      <c r="AM3207" s="82">
        <f>IFERROR(__xludf.DUMMYFUNCTION("""COMPUTED_VALUE"""),0.9111150822196884)</f>
        <v>0.9111150822</v>
      </c>
      <c r="AN3207" s="82">
        <f>IFERROR(__xludf.DUMMYFUNCTION("""COMPUTED_VALUE"""),1.1848361182771183)</f>
        <v>1.184836118</v>
      </c>
      <c r="AO3207" s="82">
        <f>IFERROR(__xludf.DUMMYFUNCTION("""COMPUTED_VALUE"""),1.3974019173142176)</f>
        <v>1.397401917</v>
      </c>
      <c r="AP3207" s="82">
        <f>IFERROR(__xludf.DUMMYFUNCTION("""COMPUTED_VALUE"""),1.2238183225766095)</f>
        <v>1.223818323</v>
      </c>
      <c r="AQ3207" s="82">
        <f>IFERROR(__xludf.DUMMYFUNCTION("""COMPUTED_VALUE"""),0.908264322116353)</f>
        <v>0.9082643221</v>
      </c>
      <c r="AR3207" s="82">
        <f>IFERROR(__xludf.DUMMYFUNCTION("""COMPUTED_VALUE"""),1.2954789389666523)</f>
        <v>1.295478939</v>
      </c>
      <c r="AS3207" s="82">
        <f>IFERROR(__xludf.DUMMYFUNCTION("""COMPUTED_VALUE"""),119.0)</f>
        <v>119</v>
      </c>
      <c r="AT3207" s="82">
        <f>IFERROR(__xludf.DUMMYFUNCTION("""COMPUTED_VALUE"""),0.566016901303025)</f>
        <v>0.5660169013</v>
      </c>
      <c r="AU3207" s="82">
        <f>IFERROR(__xludf.DUMMYFUNCTION("""COMPUTED_VALUE"""),5.218606765484747)</f>
        <v>5.218606765</v>
      </c>
      <c r="AV3207" s="82">
        <f>IFERROR(__xludf.DUMMYFUNCTION("""COMPUTED_VALUE"""),70.82155195875382)</f>
        <v>70.82155196</v>
      </c>
      <c r="AW3207" s="82">
        <f t="shared" si="1"/>
        <v>4.939216534</v>
      </c>
      <c r="AX3207" s="83">
        <f t="array" ref="AX3207">IFERROR(DGET('SBV Import'!A:G,"SBV",{"RSC ID","Tier";B3207,A3207}))</f>
        <v>72.65139918</v>
      </c>
      <c r="AY3207" s="82">
        <f t="shared" si="2"/>
        <v>5.48086011</v>
      </c>
      <c r="AZ3207" s="82">
        <v>0.5416435758383304</v>
      </c>
      <c r="BA3207" s="84">
        <v>3200.0</v>
      </c>
      <c r="BB3207" s="84" t="b">
        <f>IFERROR(__xludf.DUMMYFUNCTION("iferror(if(A3207="""",,E3207&gt;=FILTER(Constants!$F$2:$F$10,Constants!$A$2:$A$10=A3207)))"),TRUE)</f>
        <v>1</v>
      </c>
    </row>
    <row r="3208">
      <c r="A3208" s="89" t="str">
        <f>IFERROR(__xludf.DUMMYFUNCTION("""COMPUTED_VALUE"""),"Contender")</f>
        <v>Contender</v>
      </c>
      <c r="B3208" s="87" t="str">
        <f>IFERROR(__xludf.DUMMYFUNCTION("""COMPUTED_VALUE"""),"RSC007515")</f>
        <v>RSC007515</v>
      </c>
      <c r="C3208" s="73" t="str">
        <f>IFERROR(__xludf.DUMMYFUNCTION("""COMPUTED_VALUE"""),"superstrikzz")</f>
        <v>superstrikzz</v>
      </c>
      <c r="D3208" s="73" t="str">
        <f>IFERROR(__xludf.DUMMYFUNCTION("""COMPUTED_VALUE"""),"Clover")</f>
        <v>Clover</v>
      </c>
      <c r="E3208" s="82">
        <f>IFERROR(__xludf.DUMMYFUNCTION("""COMPUTED_VALUE"""),45.0)</f>
        <v>45</v>
      </c>
      <c r="F3208" s="82">
        <f>IFERROR(__xludf.DUMMYFUNCTION("""COMPUTED_VALUE"""),23.0)</f>
        <v>23</v>
      </c>
      <c r="G3208" s="86">
        <f>IFERROR(__xludf.DUMMYFUNCTION("""COMPUTED_VALUE"""),22.0)</f>
        <v>22</v>
      </c>
      <c r="H3208" s="86">
        <f>IFERROR(__xludf.DUMMYFUNCTION("""COMPUTED_VALUE"""),0.5111111111111111)</f>
        <v>0.5111111111</v>
      </c>
      <c r="I3208" s="86">
        <f>IFERROR(__xludf.DUMMYFUNCTION("""COMPUTED_VALUE"""),0.3228346456692913)</f>
        <v>0.3228346457</v>
      </c>
      <c r="J3208" s="82">
        <f>IFERROR(__xludf.DUMMYFUNCTION("""COMPUTED_VALUE"""),381.75555555555553)</f>
        <v>381.7555556</v>
      </c>
      <c r="K3208" s="82">
        <f>IFERROR(__xludf.DUMMYFUNCTION("""COMPUTED_VALUE"""),0.9111111111111111)</f>
        <v>0.9111111111</v>
      </c>
      <c r="L3208" s="82">
        <f>IFERROR(__xludf.DUMMYFUNCTION("""COMPUTED_VALUE"""),0.7333333333333333)</f>
        <v>0.7333333333</v>
      </c>
      <c r="M3208" s="82">
        <f>IFERROR(__xludf.DUMMYFUNCTION("""COMPUTED_VALUE"""),1.2666666666666666)</f>
        <v>1.266666667</v>
      </c>
      <c r="N3208" s="82">
        <f>IFERROR(__xludf.DUMMYFUNCTION("""COMPUTED_VALUE"""),2.8222222222222224)</f>
        <v>2.822222222</v>
      </c>
      <c r="O3208" s="82">
        <f>IFERROR(__xludf.DUMMYFUNCTION("""COMPUTED_VALUE"""),330.3555555555555)</f>
        <v>330.3555556</v>
      </c>
      <c r="P3208" s="82">
        <f>IFERROR(__xludf.DUMMYFUNCTION("""COMPUTED_VALUE"""),0.7703703703703705)</f>
        <v>0.7703703704</v>
      </c>
      <c r="Q3208" s="82">
        <f>IFERROR(__xludf.DUMMYFUNCTION("""COMPUTED_VALUE"""),0.5629629629629632)</f>
        <v>0.562962963</v>
      </c>
      <c r="R3208" s="82">
        <f>IFERROR(__xludf.DUMMYFUNCTION("""COMPUTED_VALUE"""),1.1555555555555554)</f>
        <v>1.155555556</v>
      </c>
      <c r="S3208" s="82">
        <f>IFERROR(__xludf.DUMMYFUNCTION("""COMPUTED_VALUE"""),2.422222222222222)</f>
        <v>2.422222222</v>
      </c>
      <c r="T3208" s="82">
        <f>IFERROR(__xludf.DUMMYFUNCTION("""COMPUTED_VALUE"""),327.9372208715772)</f>
        <v>327.9372209</v>
      </c>
      <c r="U3208" s="82">
        <f>IFERROR(__xludf.DUMMYFUNCTION("""COMPUTED_VALUE"""),0.8151451453054768)</f>
        <v>0.8151451453</v>
      </c>
      <c r="V3208" s="82">
        <f>IFERROR(__xludf.DUMMYFUNCTION("""COMPUTED_VALUE"""),0.5602528967411666)</f>
        <v>0.5602528967</v>
      </c>
      <c r="W3208" s="82">
        <f>IFERROR(__xludf.DUMMYFUNCTION("""COMPUTED_VALUE"""),1.0762071895968595)</f>
        <v>1.07620719</v>
      </c>
      <c r="X3208" s="82">
        <f>IFERROR(__xludf.DUMMYFUNCTION("""COMPUTED_VALUE"""),2.2932673455724473)</f>
        <v>2.293267346</v>
      </c>
      <c r="Y3208" s="82">
        <f>IFERROR(__xludf.DUMMYFUNCTION("""COMPUTED_VALUE"""),330.7201736975587)</f>
        <v>330.7201737</v>
      </c>
      <c r="Z3208" s="82">
        <f>IFERROR(__xludf.DUMMYFUNCTION("""COMPUTED_VALUE"""),0.8413571025653318)</f>
        <v>0.8413571026</v>
      </c>
      <c r="AA3208" s="82">
        <f>IFERROR(__xludf.DUMMYFUNCTION("""COMPUTED_VALUE"""),0.5499273090188969)</f>
        <v>0.549927309</v>
      </c>
      <c r="AB3208" s="82">
        <f>IFERROR(__xludf.DUMMYFUNCTION("""COMPUTED_VALUE"""),1.093291358310288)</f>
        <v>1.093291358</v>
      </c>
      <c r="AC3208" s="82">
        <f>IFERROR(__xludf.DUMMYFUNCTION("""COMPUTED_VALUE"""),2.286743063299467)</f>
        <v>2.286743063</v>
      </c>
      <c r="AD3208" s="82">
        <f>IFERROR(__xludf.DUMMYFUNCTION("""COMPUTED_VALUE"""),1.1543159018314628)</f>
        <v>1.154315902</v>
      </c>
      <c r="AE3208" s="82">
        <f>IFERROR(__xludf.DUMMYFUNCTION("""COMPUTED_VALUE"""),1.0829065426952438)</f>
        <v>1.082906543</v>
      </c>
      <c r="AF3208" s="82">
        <f>IFERROR(__xludf.DUMMYFUNCTION("""COMPUTED_VALUE"""),1.3335095771869263)</f>
        <v>1.333509577</v>
      </c>
      <c r="AG3208" s="82">
        <f>IFERROR(__xludf.DUMMYFUNCTION("""COMPUTED_VALUE"""),1.1585810653660842)</f>
        <v>1.158581065</v>
      </c>
      <c r="AH3208" s="82">
        <f>IFERROR(__xludf.DUMMYFUNCTION("""COMPUTED_VALUE"""),1.2341667358772392)</f>
        <v>1.234166736</v>
      </c>
      <c r="AI3208" s="82">
        <f>IFERROR(__xludf.DUMMYFUNCTION("""COMPUTED_VALUE"""),1.007374383052802)</f>
        <v>1.007374383</v>
      </c>
      <c r="AJ3208" s="82">
        <f>IFERROR(__xludf.DUMMYFUNCTION("""COMPUTED_VALUE"""),0.9450714082112004)</f>
        <v>0.9450714082</v>
      </c>
      <c r="AK3208" s="82">
        <f>IFERROR(__xludf.DUMMYFUNCTION("""COMPUTED_VALUE"""),1.004837219472778)</f>
        <v>1.004837219</v>
      </c>
      <c r="AL3208" s="82">
        <f>IFERROR(__xludf.DUMMYFUNCTION("""COMPUTED_VALUE"""),1.0737296374951921)</f>
        <v>1.073729637</v>
      </c>
      <c r="AM3208" s="82">
        <f>IFERROR(__xludf.DUMMYFUNCTION("""COMPUTED_VALUE"""),1.056231942123427)</f>
        <v>1.056231942</v>
      </c>
      <c r="AN3208" s="82">
        <f>IFERROR(__xludf.DUMMYFUNCTION("""COMPUTED_VALUE"""),1.2004031713108898)</f>
        <v>1.200403171</v>
      </c>
      <c r="AO3208" s="82">
        <f>IFERROR(__xludf.DUMMYFUNCTION("""COMPUTED_VALUE"""),1.1347983686015457)</f>
        <v>1.134798369</v>
      </c>
      <c r="AP3208" s="82">
        <f>IFERROR(__xludf.DUMMYFUNCTION("""COMPUTED_VALUE"""),1.3628199098322242)</f>
        <v>1.36281991</v>
      </c>
      <c r="AQ3208" s="82">
        <f>IFERROR(__xludf.DUMMYFUNCTION("""COMPUTED_VALUE"""),1.209466507570323)</f>
        <v>1.209466508</v>
      </c>
      <c r="AR3208" s="82">
        <f>IFERROR(__xludf.DUMMYFUNCTION("""COMPUTED_VALUE"""),1.2812077559732877)</f>
        <v>1.281207756</v>
      </c>
      <c r="AS3208" s="82">
        <f>IFERROR(__xludf.DUMMYFUNCTION("""COMPUTED_VALUE"""),115.0)</f>
        <v>115</v>
      </c>
      <c r="AT3208" s="82">
        <f>IFERROR(__xludf.DUMMYFUNCTION("""COMPUTED_VALUE"""),0.5395015074486266)</f>
        <v>0.5395015074</v>
      </c>
      <c r="AU3208" s="82">
        <f>IFERROR(__xludf.DUMMYFUNCTION("""COMPUTED_VALUE"""),5.105818308818322)</f>
        <v>5.105818309</v>
      </c>
      <c r="AV3208" s="82">
        <f>IFERROR(__xludf.DUMMYFUNCTION("""COMPUTED_VALUE"""),69.19041245371757)</f>
        <v>69.19041245</v>
      </c>
      <c r="AW3208" s="82">
        <f t="shared" si="1"/>
        <v>4.517578439</v>
      </c>
      <c r="AX3208" s="83">
        <f t="array" ref="AX3208">IFERROR(DGET('SBV Import'!A:G,"SBV",{"RSC ID","Tier";B3208,A3208}))</f>
        <v>66.09327867</v>
      </c>
      <c r="AY3208" s="82">
        <f t="shared" si="2"/>
        <v>3.848005411</v>
      </c>
      <c r="AZ3208" s="82">
        <v>0.6695730281469645</v>
      </c>
      <c r="BA3208" s="84">
        <v>3200.0</v>
      </c>
      <c r="BB3208" s="84" t="b">
        <f>IFERROR(__xludf.DUMMYFUNCTION("iferror(if(A3208="""",,E3208&gt;=FILTER(Constants!$F$2:$F$10,Constants!$A$2:$A$10=A3208)))"),TRUE)</f>
        <v>1</v>
      </c>
    </row>
    <row r="3209">
      <c r="A3209" s="89" t="str">
        <f>IFERROR(__xludf.DUMMYFUNCTION("""COMPUTED_VALUE"""),"Contender")</f>
        <v>Contender</v>
      </c>
      <c r="B3209" s="87" t="str">
        <f>IFERROR(__xludf.DUMMYFUNCTION("""COMPUTED_VALUE"""),"RSC007520")</f>
        <v>RSC007520</v>
      </c>
      <c r="C3209" s="73" t="str">
        <f>IFERROR(__xludf.DUMMYFUNCTION("""COMPUTED_VALUE"""),"Blitzzzzz.")</f>
        <v>Blitzzzzz.</v>
      </c>
      <c r="D3209" s="73" t="str">
        <f>IFERROR(__xludf.DUMMYFUNCTION("""COMPUTED_VALUE"""),"Devoured")</f>
        <v>Devoured</v>
      </c>
      <c r="E3209" s="82">
        <f>IFERROR(__xludf.DUMMYFUNCTION("""COMPUTED_VALUE"""),46.0)</f>
        <v>46</v>
      </c>
      <c r="F3209" s="82">
        <f>IFERROR(__xludf.DUMMYFUNCTION("""COMPUTED_VALUE"""),25.0)</f>
        <v>25</v>
      </c>
      <c r="G3209" s="86">
        <f>IFERROR(__xludf.DUMMYFUNCTION("""COMPUTED_VALUE"""),21.0)</f>
        <v>21</v>
      </c>
      <c r="H3209" s="86">
        <f>IFERROR(__xludf.DUMMYFUNCTION("""COMPUTED_VALUE"""),0.5434782608695652)</f>
        <v>0.5434782609</v>
      </c>
      <c r="I3209" s="86">
        <f>IFERROR(__xludf.DUMMYFUNCTION("""COMPUTED_VALUE"""),0.4476190476190477)</f>
        <v>0.4476190476</v>
      </c>
      <c r="J3209" s="82">
        <f>IFERROR(__xludf.DUMMYFUNCTION("""COMPUTED_VALUE"""),363.89130434782606)</f>
        <v>363.8913043</v>
      </c>
      <c r="K3209" s="82">
        <f>IFERROR(__xludf.DUMMYFUNCTION("""COMPUTED_VALUE"""),1.0217391304347827)</f>
        <v>1.02173913</v>
      </c>
      <c r="L3209" s="82">
        <f>IFERROR(__xludf.DUMMYFUNCTION("""COMPUTED_VALUE"""),0.8260869565217391)</f>
        <v>0.8260869565</v>
      </c>
      <c r="M3209" s="82">
        <f>IFERROR(__xludf.DUMMYFUNCTION("""COMPUTED_VALUE"""),0.9565217391304348)</f>
        <v>0.9565217391</v>
      </c>
      <c r="N3209" s="82">
        <f>IFERROR(__xludf.DUMMYFUNCTION("""COMPUTED_VALUE"""),2.282608695652174)</f>
        <v>2.282608696</v>
      </c>
      <c r="O3209" s="82">
        <f>IFERROR(__xludf.DUMMYFUNCTION("""COMPUTED_VALUE"""),333.65217391304344)</f>
        <v>333.6521739</v>
      </c>
      <c r="P3209" s="82">
        <f>IFERROR(__xludf.DUMMYFUNCTION("""COMPUTED_VALUE"""),0.8478260869565216)</f>
        <v>0.847826087</v>
      </c>
      <c r="Q3209" s="82">
        <f>IFERROR(__xludf.DUMMYFUNCTION("""COMPUTED_VALUE"""),0.5652173913043478)</f>
        <v>0.5652173913</v>
      </c>
      <c r="R3209" s="82">
        <f>IFERROR(__xludf.DUMMYFUNCTION("""COMPUTED_VALUE"""),1.1449275362318836)</f>
        <v>1.144927536</v>
      </c>
      <c r="S3209" s="82">
        <f>IFERROR(__xludf.DUMMYFUNCTION("""COMPUTED_VALUE"""),2.1594202898550723)</f>
        <v>2.15942029</v>
      </c>
      <c r="T3209" s="82">
        <f>IFERROR(__xludf.DUMMYFUNCTION("""COMPUTED_VALUE"""),323.99082379325387)</f>
        <v>323.9908238</v>
      </c>
      <c r="U3209" s="82">
        <f>IFERROR(__xludf.DUMMYFUNCTION("""COMPUTED_VALUE"""),0.803418199686617)</f>
        <v>0.8034181997</v>
      </c>
      <c r="V3209" s="82">
        <f>IFERROR(__xludf.DUMMYFUNCTION("""COMPUTED_VALUE"""),0.535827852555783)</f>
        <v>0.5358278526</v>
      </c>
      <c r="W3209" s="82">
        <f>IFERROR(__xludf.DUMMYFUNCTION("""COMPUTED_VALUE"""),1.0738307372536744)</f>
        <v>1.073830737</v>
      </c>
      <c r="X3209" s="82">
        <f>IFERROR(__xludf.DUMMYFUNCTION("""COMPUTED_VALUE"""),2.254295118384919)</f>
        <v>2.254295118</v>
      </c>
      <c r="Y3209" s="82">
        <f>IFERROR(__xludf.DUMMYFUNCTION("""COMPUTED_VALUE"""),330.4480268750498)</f>
        <v>330.4480269</v>
      </c>
      <c r="Z3209" s="82">
        <f>IFERROR(__xludf.DUMMYFUNCTION("""COMPUTED_VALUE"""),0.8517509868762244)</f>
        <v>0.8517509869</v>
      </c>
      <c r="AA3209" s="82">
        <f>IFERROR(__xludf.DUMMYFUNCTION("""COMPUTED_VALUE"""),0.5550885885000825)</f>
        <v>0.5550885885</v>
      </c>
      <c r="AB3209" s="82">
        <f>IFERROR(__xludf.DUMMYFUNCTION("""COMPUTED_VALUE"""),1.0504209629961663)</f>
        <v>1.050420963</v>
      </c>
      <c r="AC3209" s="82">
        <f>IFERROR(__xludf.DUMMYFUNCTION("""COMPUTED_VALUE"""),2.314647787117718)</f>
        <v>2.314647787</v>
      </c>
      <c r="AD3209" s="82">
        <f>IFERROR(__xludf.DUMMYFUNCTION("""COMPUTED_VALUE"""),1.10120586220181)</f>
        <v>1.101205862</v>
      </c>
      <c r="AE3209" s="82">
        <f>IFERROR(__xludf.DUMMYFUNCTION("""COMPUTED_VALUE"""),1.1995749299710066)</f>
        <v>1.19957493</v>
      </c>
      <c r="AF3209" s="82">
        <f>IFERROR(__xludf.DUMMYFUNCTION("""COMPUTED_VALUE"""),1.4882074206460045)</f>
        <v>1.488207421</v>
      </c>
      <c r="AG3209" s="82">
        <f>IFERROR(__xludf.DUMMYFUNCTION("""COMPUTED_VALUE"""),0.9106080065292127)</f>
        <v>0.9106080065</v>
      </c>
      <c r="AH3209" s="82">
        <f>IFERROR(__xludf.DUMMYFUNCTION("""COMPUTED_VALUE"""),0.9861581137122204)</f>
        <v>0.9861581137</v>
      </c>
      <c r="AI3209" s="82">
        <f>IFERROR(__xludf.DUMMYFUNCTION("""COMPUTED_VALUE"""),1.0298198263971658)</f>
        <v>1.029819826</v>
      </c>
      <c r="AJ3209" s="82">
        <f>IFERROR(__xludf.DUMMYFUNCTION("""COMPUTED_VALUE"""),1.0552736884566798)</f>
        <v>1.055273688</v>
      </c>
      <c r="AK3209" s="82">
        <f>IFERROR(__xludf.DUMMYFUNCTION("""COMPUTED_VALUE"""),1.0548488448451925)</f>
        <v>1.054848845</v>
      </c>
      <c r="AL3209" s="82">
        <f>IFERROR(__xludf.DUMMYFUNCTION("""COMPUTED_VALUE"""),1.0662085713434126)</f>
        <v>1.066208571</v>
      </c>
      <c r="AM3209" s="82">
        <f>IFERROR(__xludf.DUMMYFUNCTION("""COMPUTED_VALUE"""),0.9579137497321915)</f>
        <v>0.9579137497</v>
      </c>
      <c r="AN3209" s="82">
        <f>IFERROR(__xludf.DUMMYFUNCTION("""COMPUTED_VALUE"""),1.1442303049549682)</f>
        <v>1.144230305</v>
      </c>
      <c r="AO3209" s="82">
        <f>IFERROR(__xludf.DUMMYFUNCTION("""COMPUTED_VALUE"""),1.272586717705339)</f>
        <v>1.272586718</v>
      </c>
      <c r="AP3209" s="82">
        <f>IFERROR(__xludf.DUMMYFUNCTION("""COMPUTED_VALUE"""),1.5351923885461816)</f>
        <v>1.535192389</v>
      </c>
      <c r="AQ3209" s="82">
        <f>IFERROR(__xludf.DUMMYFUNCTION("""COMPUTED_VALUE"""),0.9133271109798778)</f>
        <v>0.913327111</v>
      </c>
      <c r="AR3209" s="82">
        <f>IFERROR(__xludf.DUMMYFUNCTION("""COMPUTED_VALUE"""),1.0362387276572722)</f>
        <v>1.036238728</v>
      </c>
      <c r="AS3209" s="82">
        <f>IFERROR(__xludf.DUMMYFUNCTION("""COMPUTED_VALUE"""),133.0)</f>
        <v>133</v>
      </c>
      <c r="AT3209" s="82">
        <f>IFERROR(__xludf.DUMMYFUNCTION("""COMPUTED_VALUE"""),0.5519008099050726)</f>
        <v>0.5519008099</v>
      </c>
      <c r="AU3209" s="82">
        <f>IFERROR(__xludf.DUMMYFUNCTION("""COMPUTED_VALUE"""),5.04087118165827)</f>
        <v>5.040871182</v>
      </c>
      <c r="AV3209" s="82">
        <f>IFERROR(__xludf.DUMMYFUNCTION("""COMPUTED_VALUE"""),68.25115122095961)</f>
        <v>68.25115122</v>
      </c>
      <c r="AW3209" s="82">
        <f t="shared" si="1"/>
        <v>4.297729163</v>
      </c>
      <c r="AX3209" s="83">
        <f t="array" ref="AX3209">IFERROR(DGET('SBV Import'!A:G,"SBV",{"RSC ID","Tier";B3209,A3209}))</f>
        <v>66.68071482</v>
      </c>
      <c r="AY3209" s="82">
        <f t="shared" si="2"/>
        <v>3.963330237</v>
      </c>
      <c r="AZ3209" s="82">
        <v>0.33439892571941776</v>
      </c>
      <c r="BA3209" s="84">
        <v>3200.0</v>
      </c>
      <c r="BB3209" s="84" t="b">
        <f>IFERROR(__xludf.DUMMYFUNCTION("iferror(if(A3209="""",,E3209&gt;=FILTER(Constants!$F$2:$F$10,Constants!$A$2:$A$10=A3209)))"),TRUE)</f>
        <v>1</v>
      </c>
    </row>
    <row r="3210">
      <c r="A3210" s="89" t="str">
        <f>IFERROR(__xludf.DUMMYFUNCTION("""COMPUTED_VALUE"""),"Contender")</f>
        <v>Contender</v>
      </c>
      <c r="B3210" s="87" t="str">
        <f>IFERROR(__xludf.DUMMYFUNCTION("""COMPUTED_VALUE"""),"RSC004708")</f>
        <v>RSC004708</v>
      </c>
      <c r="C3210" s="73" t="str">
        <f>IFERROR(__xludf.DUMMYFUNCTION("""COMPUTED_VALUE"""),"loganskito")</f>
        <v>loganskito</v>
      </c>
      <c r="D3210" s="73"/>
      <c r="E3210" s="82">
        <f>IFERROR(__xludf.DUMMYFUNCTION("""COMPUTED_VALUE"""),14.0)</f>
        <v>14</v>
      </c>
      <c r="F3210" s="82">
        <f>IFERROR(__xludf.DUMMYFUNCTION("""COMPUTED_VALUE"""),5.0)</f>
        <v>5</v>
      </c>
      <c r="G3210" s="86">
        <f>IFERROR(__xludf.DUMMYFUNCTION("""COMPUTED_VALUE"""),9.0)</f>
        <v>9</v>
      </c>
      <c r="H3210" s="86">
        <f>IFERROR(__xludf.DUMMYFUNCTION("""COMPUTED_VALUE"""),0.35714285714285715)</f>
        <v>0.3571428571</v>
      </c>
      <c r="I3210" s="86">
        <f>IFERROR(__xludf.DUMMYFUNCTION("""COMPUTED_VALUE"""),0.30952380952380953)</f>
        <v>0.3095238095</v>
      </c>
      <c r="J3210" s="82">
        <f>IFERROR(__xludf.DUMMYFUNCTION("""COMPUTED_VALUE"""),354.0)</f>
        <v>354</v>
      </c>
      <c r="K3210" s="82">
        <f>IFERROR(__xludf.DUMMYFUNCTION("""COMPUTED_VALUE"""),0.9285714285714286)</f>
        <v>0.9285714286</v>
      </c>
      <c r="L3210" s="82">
        <f>IFERROR(__xludf.DUMMYFUNCTION("""COMPUTED_VALUE"""),0.5714285714285714)</f>
        <v>0.5714285714</v>
      </c>
      <c r="M3210" s="82">
        <f>IFERROR(__xludf.DUMMYFUNCTION("""COMPUTED_VALUE"""),1.3571428571428572)</f>
        <v>1.357142857</v>
      </c>
      <c r="N3210" s="82">
        <f>IFERROR(__xludf.DUMMYFUNCTION("""COMPUTED_VALUE"""),3.0)</f>
        <v>3</v>
      </c>
      <c r="O3210" s="82">
        <f>IFERROR(__xludf.DUMMYFUNCTION("""COMPUTED_VALUE"""),362.4047619047619)</f>
        <v>362.4047619</v>
      </c>
      <c r="P3210" s="82">
        <f>IFERROR(__xludf.DUMMYFUNCTION("""COMPUTED_VALUE"""),0.9047619047619048)</f>
        <v>0.9047619048</v>
      </c>
      <c r="Q3210" s="82">
        <f>IFERROR(__xludf.DUMMYFUNCTION("""COMPUTED_VALUE"""),0.5952380952380952)</f>
        <v>0.5952380952</v>
      </c>
      <c r="R3210" s="82">
        <f>IFERROR(__xludf.DUMMYFUNCTION("""COMPUTED_VALUE"""),1.2142857142857142)</f>
        <v>1.214285714</v>
      </c>
      <c r="S3210" s="82">
        <f>IFERROR(__xludf.DUMMYFUNCTION("""COMPUTED_VALUE"""),2.880952380952381)</f>
        <v>2.880952381</v>
      </c>
      <c r="T3210" s="82">
        <f>IFERROR(__xludf.DUMMYFUNCTION("""COMPUTED_VALUE"""),347.77100059908446)</f>
        <v>347.7710006</v>
      </c>
      <c r="U3210" s="82">
        <f>IFERROR(__xludf.DUMMYFUNCTION("""COMPUTED_VALUE"""),0.9548550376523083)</f>
        <v>0.9548550377</v>
      </c>
      <c r="V3210" s="82">
        <f>IFERROR(__xludf.DUMMYFUNCTION("""COMPUTED_VALUE"""),0.6559052678593051)</f>
        <v>0.6559052679</v>
      </c>
      <c r="W3210" s="82">
        <f>IFERROR(__xludf.DUMMYFUNCTION("""COMPUTED_VALUE"""),1.0031771046891202)</f>
        <v>1.003177105</v>
      </c>
      <c r="X3210" s="82">
        <f>IFERROR(__xludf.DUMMYFUNCTION("""COMPUTED_VALUE"""),2.5983334953403636)</f>
        <v>2.598333495</v>
      </c>
      <c r="Y3210" s="82">
        <f>IFERROR(__xludf.DUMMYFUNCTION("""COMPUTED_VALUE"""),316.78713944081255)</f>
        <v>316.7871394</v>
      </c>
      <c r="Z3210" s="82">
        <f>IFERROR(__xludf.DUMMYFUNCTION("""COMPUTED_VALUE"""),0.7449549841473928)</f>
        <v>0.7449549841</v>
      </c>
      <c r="AA3210" s="82">
        <f>IFERROR(__xludf.DUMMYFUNCTION("""COMPUTED_VALUE"""),0.4824250914554659)</f>
        <v>0.4824250915</v>
      </c>
      <c r="AB3210" s="82">
        <f>IFERROR(__xludf.DUMMYFUNCTION("""COMPUTED_VALUE"""),1.1412772178896653)</f>
        <v>1.141277218</v>
      </c>
      <c r="AC3210" s="82">
        <f>IFERROR(__xludf.DUMMYFUNCTION("""COMPUTED_VALUE"""),2.0861641480079074)</f>
        <v>2.086164148</v>
      </c>
      <c r="AD3210" s="82">
        <f>IFERROR(__xludf.DUMMYFUNCTION("""COMPUTED_VALUE"""),1.1174696063257965)</f>
        <v>1.117469606</v>
      </c>
      <c r="AE3210" s="82">
        <f>IFERROR(__xludf.DUMMYFUNCTION("""COMPUTED_VALUE"""),1.2464799193661162)</f>
        <v>1.246479919</v>
      </c>
      <c r="AF3210" s="82">
        <f>IFERROR(__xludf.DUMMYFUNCTION("""COMPUTED_VALUE"""),1.1844918134431688)</f>
        <v>1.184491813</v>
      </c>
      <c r="AG3210" s="82">
        <f>IFERROR(__xludf.DUMMYFUNCTION("""COMPUTED_VALUE"""),1.1891439133888513)</f>
        <v>1.189143913</v>
      </c>
      <c r="AH3210" s="82">
        <f>IFERROR(__xludf.DUMMYFUNCTION("""COMPUTED_VALUE"""),1.4380459959800962)</f>
        <v>1.438045996</v>
      </c>
      <c r="AI3210" s="82">
        <f>IFERROR(__xludf.DUMMYFUNCTION("""COMPUTED_VALUE"""),1.0420787278998789)</f>
        <v>1.042078728</v>
      </c>
      <c r="AJ3210" s="82">
        <f>IFERROR(__xludf.DUMMYFUNCTION("""COMPUTED_VALUE"""),0.9475384944152707)</f>
        <v>0.9475384944</v>
      </c>
      <c r="AK3210" s="82">
        <f>IFERROR(__xludf.DUMMYFUNCTION("""COMPUTED_VALUE"""),0.9075061970165129)</f>
        <v>0.907506197</v>
      </c>
      <c r="AL3210" s="82">
        <f>IFERROR(__xludf.DUMMYFUNCTION("""COMPUTED_VALUE"""),1.2104400196234697)</f>
        <v>1.21044002</v>
      </c>
      <c r="AM3210" s="82">
        <f>IFERROR(__xludf.DUMMYFUNCTION("""COMPUTED_VALUE"""),1.108769288514674)</f>
        <v>1.108769289</v>
      </c>
      <c r="AN3210" s="82">
        <f>IFERROR(__xludf.DUMMYFUNCTION("""COMPUTED_VALUE"""),1.113127802490394)</f>
        <v>1.113127802</v>
      </c>
      <c r="AO3210" s="82">
        <f>IFERROR(__xludf.DUMMYFUNCTION("""COMPUTED_VALUE"""),1.1565453756653383)</f>
        <v>1.156545376</v>
      </c>
      <c r="AP3210" s="82">
        <f>IFERROR(__xludf.DUMMYFUNCTION("""COMPUTED_VALUE"""),1.0619375920770577)</f>
        <v>1.061937592</v>
      </c>
      <c r="AQ3210" s="82">
        <f>IFERROR(__xludf.DUMMYFUNCTION("""COMPUTED_VALUE"""),1.2958569723967748)</f>
        <v>1.295856972</v>
      </c>
      <c r="AR3210" s="82">
        <f>IFERROR(__xludf.DUMMYFUNCTION("""COMPUTED_VALUE"""),1.3619137563495576)</f>
        <v>1.361913756</v>
      </c>
      <c r="AS3210" s="82">
        <f>IFERROR(__xludf.DUMMYFUNCTION("""COMPUTED_VALUE"""),36.0)</f>
        <v>36</v>
      </c>
      <c r="AT3210" s="82">
        <f>IFERROR(__xludf.DUMMYFUNCTION("""COMPUTED_VALUE"""),0.4782163920949985)</f>
        <v>0.4782163921</v>
      </c>
      <c r="AU3210" s="82">
        <f>IFERROR(__xludf.DUMMYFUNCTION("""COMPUTED_VALUE"""),5.0305770562738985)</f>
        <v>5.030577056</v>
      </c>
      <c r="AV3210" s="82">
        <f>IFERROR(__xludf.DUMMYFUNCTION("""COMPUTED_VALUE"""),68.10227823270776)</f>
        <v>68.10227823</v>
      </c>
      <c r="AW3210" s="82">
        <f t="shared" si="1"/>
        <v>4.264303309</v>
      </c>
      <c r="AX3210" s="83">
        <f t="array" ref="AX3210">IFERROR(DGET('SBV Import'!A:G,"SBV",{"RSC ID","Tier";B3210,A3210}))</f>
        <v>46.55679306</v>
      </c>
      <c r="AY3210" s="82">
        <f t="shared" si="2"/>
        <v>-2.246042325</v>
      </c>
      <c r="AZ3210" s="82">
        <v>6.510345633195093</v>
      </c>
      <c r="BA3210" s="84">
        <v>3200.0</v>
      </c>
      <c r="BB3210" s="84" t="b">
        <f>IFERROR(__xludf.DUMMYFUNCTION("iferror(if(A3210="""",,E3210&gt;=FILTER(Constants!$F$2:$F$10,Constants!$A$2:$A$10=A3210)))"),TRUE)</f>
        <v>1</v>
      </c>
    </row>
    <row r="3211">
      <c r="A3211" s="89" t="str">
        <f>IFERROR(__xludf.DUMMYFUNCTION("""COMPUTED_VALUE"""),"Contender")</f>
        <v>Contender</v>
      </c>
      <c r="B3211" s="87" t="str">
        <f>IFERROR(__xludf.DUMMYFUNCTION("""COMPUTED_VALUE"""),"RSC007630")</f>
        <v>RSC007630</v>
      </c>
      <c r="C3211" s="73" t="str">
        <f>IFERROR(__xludf.DUMMYFUNCTION("""COMPUTED_VALUE"""),"Grey")</f>
        <v>Grey</v>
      </c>
      <c r="D3211" s="73" t="str">
        <f>IFERROR(__xludf.DUMMYFUNCTION("""COMPUTED_VALUE"""),"Rad Lads")</f>
        <v>Rad Lads</v>
      </c>
      <c r="E3211" s="82">
        <f>IFERROR(__xludf.DUMMYFUNCTION("""COMPUTED_VALUE"""),30.0)</f>
        <v>30</v>
      </c>
      <c r="F3211" s="82">
        <f>IFERROR(__xludf.DUMMYFUNCTION("""COMPUTED_VALUE"""),18.0)</f>
        <v>18</v>
      </c>
      <c r="G3211" s="86">
        <f>IFERROR(__xludf.DUMMYFUNCTION("""COMPUTED_VALUE"""),12.0)</f>
        <v>12</v>
      </c>
      <c r="H3211" s="86">
        <f>IFERROR(__xludf.DUMMYFUNCTION("""COMPUTED_VALUE"""),0.6)</f>
        <v>0.6</v>
      </c>
      <c r="I3211" s="86">
        <f>IFERROR(__xludf.DUMMYFUNCTION("""COMPUTED_VALUE"""),0.4268292682926829)</f>
        <v>0.4268292683</v>
      </c>
      <c r="J3211" s="82">
        <f>IFERROR(__xludf.DUMMYFUNCTION("""COMPUTED_VALUE"""),343.6)</f>
        <v>343.6</v>
      </c>
      <c r="K3211" s="82">
        <f>IFERROR(__xludf.DUMMYFUNCTION("""COMPUTED_VALUE"""),1.1666666666666667)</f>
        <v>1.166666667</v>
      </c>
      <c r="L3211" s="82">
        <f>IFERROR(__xludf.DUMMYFUNCTION("""COMPUTED_VALUE"""),0.6)</f>
        <v>0.6</v>
      </c>
      <c r="M3211" s="82">
        <f>IFERROR(__xludf.DUMMYFUNCTION("""COMPUTED_VALUE"""),0.8)</f>
        <v>0.8</v>
      </c>
      <c r="N3211" s="82">
        <f>IFERROR(__xludf.DUMMYFUNCTION("""COMPUTED_VALUE"""),2.7333333333333334)</f>
        <v>2.733333333</v>
      </c>
      <c r="O3211" s="82">
        <f>IFERROR(__xludf.DUMMYFUNCTION("""COMPUTED_VALUE"""),312.8888888888889)</f>
        <v>312.8888889</v>
      </c>
      <c r="P3211" s="82">
        <f>IFERROR(__xludf.DUMMYFUNCTION("""COMPUTED_VALUE"""),0.7999999999999999)</f>
        <v>0.8</v>
      </c>
      <c r="Q3211" s="82">
        <f>IFERROR(__xludf.DUMMYFUNCTION("""COMPUTED_VALUE"""),0.44444444444444453)</f>
        <v>0.4444444444</v>
      </c>
      <c r="R3211" s="82">
        <f>IFERROR(__xludf.DUMMYFUNCTION("""COMPUTED_VALUE"""),0.9888888888888888)</f>
        <v>0.9888888889</v>
      </c>
      <c r="S3211" s="82">
        <f>IFERROR(__xludf.DUMMYFUNCTION("""COMPUTED_VALUE"""),2.055555555555556)</f>
        <v>2.055555556</v>
      </c>
      <c r="T3211" s="82">
        <f>IFERROR(__xludf.DUMMYFUNCTION("""COMPUTED_VALUE"""),320.2881282103434)</f>
        <v>320.2881282</v>
      </c>
      <c r="U3211" s="82">
        <f>IFERROR(__xludf.DUMMYFUNCTION("""COMPUTED_VALUE"""),0.7789291096538763)</f>
        <v>0.7789291097</v>
      </c>
      <c r="V3211" s="82">
        <f>IFERROR(__xludf.DUMMYFUNCTION("""COMPUTED_VALUE"""),0.5269440238657412)</f>
        <v>0.5269440239</v>
      </c>
      <c r="W3211" s="82">
        <f>IFERROR(__xludf.DUMMYFUNCTION("""COMPUTED_VALUE"""),1.0989369529796984)</f>
        <v>1.098936953</v>
      </c>
      <c r="X3211" s="82">
        <f>IFERROR(__xludf.DUMMYFUNCTION("""COMPUTED_VALUE"""),2.215860449997379)</f>
        <v>2.21586045</v>
      </c>
      <c r="Y3211" s="82">
        <f>IFERROR(__xludf.DUMMYFUNCTION("""COMPUTED_VALUE"""),333.24555018442965)</f>
        <v>333.2455502</v>
      </c>
      <c r="Z3211" s="82">
        <f>IFERROR(__xludf.DUMMYFUNCTION("""COMPUTED_VALUE"""),0.8522330229738825)</f>
        <v>0.852233023</v>
      </c>
      <c r="AA3211" s="82">
        <f>IFERROR(__xludf.DUMMYFUNCTION("""COMPUTED_VALUE"""),0.5658619343263039)</f>
        <v>0.5658619343</v>
      </c>
      <c r="AB3211" s="82">
        <f>IFERROR(__xludf.DUMMYFUNCTION("""COMPUTED_VALUE"""),1.0809825062591953)</f>
        <v>1.080982506</v>
      </c>
      <c r="AC3211" s="82">
        <f>IFERROR(__xludf.DUMMYFUNCTION("""COMPUTED_VALUE"""),2.3982490741031324)</f>
        <v>2.398249074</v>
      </c>
      <c r="AD3211" s="82">
        <f>IFERROR(__xludf.DUMMYFUNCTION("""COMPUTED_VALUE"""),1.0310715321175028)</f>
        <v>1.031071532</v>
      </c>
      <c r="AE3211" s="82">
        <f>IFERROR(__xludf.DUMMYFUNCTION("""COMPUTED_VALUE"""),1.3689526634341889)</f>
        <v>1.368952663</v>
      </c>
      <c r="AF3211" s="82">
        <f>IFERROR(__xludf.DUMMYFUNCTION("""COMPUTED_VALUE"""),1.0603293199326786)</f>
        <v>1.06032932</v>
      </c>
      <c r="AG3211" s="82">
        <f>IFERROR(__xludf.DUMMYFUNCTION("""COMPUTED_VALUE"""),0.7400674806185791)</f>
        <v>0.7400674806</v>
      </c>
      <c r="AH3211" s="82">
        <f>IFERROR(__xludf.DUMMYFUNCTION("""COMPUTED_VALUE"""),1.139720374688568)</f>
        <v>1.139720375</v>
      </c>
      <c r="AI3211" s="82">
        <f>IFERROR(__xludf.DUMMYFUNCTION("""COMPUTED_VALUE"""),0.9768981780161543)</f>
        <v>0.976898178</v>
      </c>
      <c r="AJ3211" s="82">
        <f>IFERROR(__xludf.DUMMYFUNCTION("""COMPUTED_VALUE"""),1.0270511014224217)</f>
        <v>1.027051101</v>
      </c>
      <c r="AK3211" s="82">
        <f>IFERROR(__xludf.DUMMYFUNCTION("""COMPUTED_VALUE"""),0.8434376789852036)</f>
        <v>0.843437679</v>
      </c>
      <c r="AL3211" s="82">
        <f>IFERROR(__xludf.DUMMYFUNCTION("""COMPUTED_VALUE"""),0.8998595289816934)</f>
        <v>0.899859529</v>
      </c>
      <c r="AM3211" s="82">
        <f>IFERROR(__xludf.DUMMYFUNCTION("""COMPUTED_VALUE"""),0.9276556903924104)</f>
        <v>0.9276556904</v>
      </c>
      <c r="AN3211" s="82">
        <f>IFERROR(__xludf.DUMMYFUNCTION("""COMPUTED_VALUE"""),1.080425742756213)</f>
        <v>1.080425743</v>
      </c>
      <c r="AO3211" s="82">
        <f>IFERROR(__xludf.DUMMYFUNCTION("""COMPUTED_VALUE"""),1.4530954719897842)</f>
        <v>1.453095472</v>
      </c>
      <c r="AP3211" s="82">
        <f>IFERROR(__xludf.DUMMYFUNCTION("""COMPUTED_VALUE"""),1.1150344716809106)</f>
        <v>1.115034472</v>
      </c>
      <c r="AQ3211" s="82">
        <f>IFERROR(__xludf.DUMMYFUNCTION("""COMPUTED_VALUE"""),0.7638735837286251)</f>
        <v>0.7638735837</v>
      </c>
      <c r="AR3211" s="82">
        <f>IFERROR(__xludf.DUMMYFUNCTION("""COMPUTED_VALUE"""),1.2408547557851526)</f>
        <v>1.240854756</v>
      </c>
      <c r="AS3211" s="82">
        <f>IFERROR(__xludf.DUMMYFUNCTION("""COMPUTED_VALUE"""),98.0)</f>
        <v>98</v>
      </c>
      <c r="AT3211" s="82">
        <f>IFERROR(__xludf.DUMMYFUNCTION("""COMPUTED_VALUE"""),0.6241501985595338)</f>
        <v>0.6241501986</v>
      </c>
      <c r="AU3211" s="82">
        <f>IFERROR(__xludf.DUMMYFUNCTION("""COMPUTED_VALUE"""),4.968744482713738)</f>
        <v>4.968744483</v>
      </c>
      <c r="AV3211" s="82">
        <f>IFERROR(__xludf.DUMMYFUNCTION("""COMPUTED_VALUE"""),67.2080594765249)</f>
        <v>67.20805948</v>
      </c>
      <c r="AW3211" s="82">
        <f t="shared" si="1"/>
        <v>4.071248543</v>
      </c>
      <c r="AX3211" s="83">
        <f t="array" ref="AX3211">IFERROR(DGET('SBV Import'!A:G,"SBV",{"RSC ID","Tier";B3211,A3211}))</f>
        <v>59.64155374</v>
      </c>
      <c r="AY3211" s="82">
        <f t="shared" si="2"/>
        <v>2.858176298</v>
      </c>
      <c r="AZ3211" s="82">
        <v>1.213072245289685</v>
      </c>
      <c r="BA3211" s="84">
        <v>3200.0</v>
      </c>
      <c r="BB3211" s="84" t="b">
        <f>IFERROR(__xludf.DUMMYFUNCTION("iferror(if(A3211="""",,E3211&gt;=FILTER(Constants!$F$2:$F$10,Constants!$A$2:$A$10=A3211)))"),TRUE)</f>
        <v>1</v>
      </c>
    </row>
    <row r="3212">
      <c r="A3212" s="89" t="str">
        <f>IFERROR(__xludf.DUMMYFUNCTION("""COMPUTED_VALUE"""),"Contender")</f>
        <v>Contender</v>
      </c>
      <c r="B3212" s="87" t="str">
        <f>IFERROR(__xludf.DUMMYFUNCTION("""COMPUTED_VALUE"""),"RSC007153")</f>
        <v>RSC007153</v>
      </c>
      <c r="C3212" s="73" t="str">
        <f>IFERROR(__xludf.DUMMYFUNCTION("""COMPUTED_VALUE"""),"Washyman111670")</f>
        <v>Washyman111670</v>
      </c>
      <c r="D3212" s="73" t="str">
        <f>IFERROR(__xludf.DUMMYFUNCTION("""COMPUTED_VALUE"""),"Ice")</f>
        <v>Ice</v>
      </c>
      <c r="E3212" s="82">
        <f>IFERROR(__xludf.DUMMYFUNCTION("""COMPUTED_VALUE"""),43.0)</f>
        <v>43</v>
      </c>
      <c r="F3212" s="82">
        <f>IFERROR(__xludf.DUMMYFUNCTION("""COMPUTED_VALUE"""),27.0)</f>
        <v>27</v>
      </c>
      <c r="G3212" s="86">
        <f>IFERROR(__xludf.DUMMYFUNCTION("""COMPUTED_VALUE"""),16.0)</f>
        <v>16</v>
      </c>
      <c r="H3212" s="86">
        <f>IFERROR(__xludf.DUMMYFUNCTION("""COMPUTED_VALUE"""),0.627906976744186)</f>
        <v>0.6279069767</v>
      </c>
      <c r="I3212" s="86">
        <f>IFERROR(__xludf.DUMMYFUNCTION("""COMPUTED_VALUE"""),0.39999999999999997)</f>
        <v>0.4</v>
      </c>
      <c r="J3212" s="82">
        <f>IFERROR(__xludf.DUMMYFUNCTION("""COMPUTED_VALUE"""),408.1162790697674)</f>
        <v>408.1162791</v>
      </c>
      <c r="K3212" s="82">
        <f>IFERROR(__xludf.DUMMYFUNCTION("""COMPUTED_VALUE"""),1.1162790697674418)</f>
        <v>1.11627907</v>
      </c>
      <c r="L3212" s="82">
        <f>IFERROR(__xludf.DUMMYFUNCTION("""COMPUTED_VALUE"""),0.5116279069767442)</f>
        <v>0.511627907</v>
      </c>
      <c r="M3212" s="82">
        <f>IFERROR(__xludf.DUMMYFUNCTION("""COMPUTED_VALUE"""),1.4883720930232558)</f>
        <v>1.488372093</v>
      </c>
      <c r="N3212" s="82">
        <f>IFERROR(__xludf.DUMMYFUNCTION("""COMPUTED_VALUE"""),2.7906976744186047)</f>
        <v>2.790697674</v>
      </c>
      <c r="O3212" s="82">
        <f>IFERROR(__xludf.DUMMYFUNCTION("""COMPUTED_VALUE"""),308.1782945736435)</f>
        <v>308.1782946</v>
      </c>
      <c r="P3212" s="82">
        <f>IFERROR(__xludf.DUMMYFUNCTION("""COMPUTED_VALUE"""),0.6511627906976742)</f>
        <v>0.6511627907</v>
      </c>
      <c r="Q3212" s="82">
        <f>IFERROR(__xludf.DUMMYFUNCTION("""COMPUTED_VALUE"""),0.511627906976744)</f>
        <v>0.511627907</v>
      </c>
      <c r="R3212" s="82">
        <f>IFERROR(__xludf.DUMMYFUNCTION("""COMPUTED_VALUE"""),1.0930232558139534)</f>
        <v>1.093023256</v>
      </c>
      <c r="S3212" s="82">
        <f>IFERROR(__xludf.DUMMYFUNCTION("""COMPUTED_VALUE"""),2.364341085271317)</f>
        <v>2.364341085</v>
      </c>
      <c r="T3212" s="82">
        <f>IFERROR(__xludf.DUMMYFUNCTION("""COMPUTED_VALUE"""),316.577501317281)</f>
        <v>316.5775013</v>
      </c>
      <c r="U3212" s="82">
        <f>IFERROR(__xludf.DUMMYFUNCTION("""COMPUTED_VALUE"""),0.7836930204330655)</f>
        <v>0.7836930204</v>
      </c>
      <c r="V3212" s="82">
        <f>IFERROR(__xludf.DUMMYFUNCTION("""COMPUTED_VALUE"""),0.4989979129337304)</f>
        <v>0.4989979129</v>
      </c>
      <c r="W3212" s="82">
        <f>IFERROR(__xludf.DUMMYFUNCTION("""COMPUTED_VALUE"""),1.0517632902772263)</f>
        <v>1.05176329</v>
      </c>
      <c r="X3212" s="82">
        <f>IFERROR(__xludf.DUMMYFUNCTION("""COMPUTED_VALUE"""),2.188666880892454)</f>
        <v>2.188666881</v>
      </c>
      <c r="Y3212" s="82">
        <f>IFERROR(__xludf.DUMMYFUNCTION("""COMPUTED_VALUE"""),331.9466785384832)</f>
        <v>331.9466785</v>
      </c>
      <c r="Z3212" s="82">
        <f>IFERROR(__xludf.DUMMYFUNCTION("""COMPUTED_VALUE"""),0.8702706675541774)</f>
        <v>0.8702706676</v>
      </c>
      <c r="AA3212" s="82">
        <f>IFERROR(__xludf.DUMMYFUNCTION("""COMPUTED_VALUE"""),0.5644004549738477)</f>
        <v>0.564400455</v>
      </c>
      <c r="AB3212" s="82">
        <f>IFERROR(__xludf.DUMMYFUNCTION("""COMPUTED_VALUE"""),1.0293950926649487)</f>
        <v>1.029395093</v>
      </c>
      <c r="AC3212" s="82">
        <f>IFERROR(__xludf.DUMMYFUNCTION("""COMPUTED_VALUE"""),2.330813484559177)</f>
        <v>2.330813485</v>
      </c>
      <c r="AD3212" s="82">
        <f>IFERROR(__xludf.DUMMYFUNCTION("""COMPUTED_VALUE"""),1.229463361003185)</f>
        <v>1.229463361</v>
      </c>
      <c r="AE3212" s="82">
        <f>IFERROR(__xludf.DUMMYFUNCTION("""COMPUTED_VALUE"""),1.2826803331251533)</f>
        <v>1.282680333</v>
      </c>
      <c r="AF3212" s="82">
        <f>IFERROR(__xludf.DUMMYFUNCTION("""COMPUTED_VALUE"""),0.9064980413604578)</f>
        <v>0.9064980414</v>
      </c>
      <c r="AG3212" s="82">
        <f>IFERROR(__xludf.DUMMYFUNCTION("""COMPUTED_VALUE"""),1.4458705929616247)</f>
        <v>1.445870593</v>
      </c>
      <c r="AH3212" s="82">
        <f>IFERROR(__xludf.DUMMYFUNCTION("""COMPUTED_VALUE"""),1.1973063022442592)</f>
        <v>1.197306302</v>
      </c>
      <c r="AI3212" s="82">
        <f>IFERROR(__xludf.DUMMYFUNCTION("""COMPUTED_VALUE"""),0.9734687186907206)</f>
        <v>0.9734687187</v>
      </c>
      <c r="AJ3212" s="82">
        <f>IFERROR(__xludf.DUMMYFUNCTION("""COMPUTED_VALUE"""),0.83089012370921)</f>
        <v>0.8308901237</v>
      </c>
      <c r="AK3212" s="82">
        <f>IFERROR(__xludf.DUMMYFUNCTION("""COMPUTED_VALUE"""),1.0253107151666403)</f>
        <v>1.025310715</v>
      </c>
      <c r="AL3212" s="82">
        <f>IFERROR(__xludf.DUMMYFUNCTION("""COMPUTED_VALUE"""),1.0392293265206582)</f>
        <v>1.039229327</v>
      </c>
      <c r="AM3212" s="82">
        <f>IFERROR(__xludf.DUMMYFUNCTION("""COMPUTED_VALUE"""),1.08026539164664)</f>
        <v>1.080265392</v>
      </c>
      <c r="AN3212" s="82">
        <f>IFERROR(__xludf.DUMMYFUNCTION("""COMPUTED_VALUE"""),1.2832925900606964)</f>
        <v>1.28329259</v>
      </c>
      <c r="AO3212" s="82">
        <f>IFERROR(__xludf.DUMMYFUNCTION("""COMPUTED_VALUE"""),1.3903371957908899)</f>
        <v>1.390337196</v>
      </c>
      <c r="AP3212" s="82">
        <f>IFERROR(__xludf.DUMMYFUNCTION("""COMPUTED_VALUE"""),0.9508045882550402)</f>
        <v>0.9508045883</v>
      </c>
      <c r="AQ3212" s="82">
        <f>IFERROR(__xludf.DUMMYFUNCTION("""COMPUTED_VALUE"""),1.4211601557741862)</f>
        <v>1.421160156</v>
      </c>
      <c r="AR3212" s="82">
        <f>IFERROR(__xludf.DUMMYFUNCTION("""COMPUTED_VALUE"""),1.2668965175344722)</f>
        <v>1.266896518</v>
      </c>
      <c r="AS3212" s="82">
        <f>IFERROR(__xludf.DUMMYFUNCTION("""COMPUTED_VALUE"""),109.0)</f>
        <v>109</v>
      </c>
      <c r="AT3212" s="82">
        <f>IFERROR(__xludf.DUMMYFUNCTION("""COMPUTED_VALUE"""),0.5988978863827745)</f>
        <v>0.5988978864</v>
      </c>
      <c r="AU3212" s="82">
        <f>IFERROR(__xludf.DUMMYFUNCTION("""COMPUTED_VALUE"""),4.934946279309818)</f>
        <v>4.934946279</v>
      </c>
      <c r="AV3212" s="82">
        <f>IFERROR(__xludf.DUMMYFUNCTION("""COMPUTED_VALUE"""),66.71927200304759)</f>
        <v>66.719272</v>
      </c>
      <c r="AW3212" s="82">
        <f t="shared" si="1"/>
        <v>3.971077491</v>
      </c>
      <c r="AX3212" s="83">
        <f t="array" ref="AX3212">IFERROR(DGET('SBV Import'!A:G,"SBV",{"RSC ID","Tier";B3212,A3212}))</f>
        <v>70.95235357</v>
      </c>
      <c r="AY3212" s="82">
        <f t="shared" si="2"/>
        <v>4.97539874</v>
      </c>
      <c r="AZ3212" s="82">
        <v>1.0043212491786337</v>
      </c>
      <c r="BA3212" s="84">
        <v>3200.0</v>
      </c>
      <c r="BB3212" s="84" t="b">
        <f>IFERROR(__xludf.DUMMYFUNCTION("iferror(if(A3212="""",,E3212&gt;=FILTER(Constants!$F$2:$F$10,Constants!$A$2:$A$10=A3212)))"),TRUE)</f>
        <v>1</v>
      </c>
    </row>
    <row r="3213">
      <c r="A3213" s="89" t="str">
        <f>IFERROR(__xludf.DUMMYFUNCTION("""COMPUTED_VALUE"""),"Contender")</f>
        <v>Contender</v>
      </c>
      <c r="B3213" s="87" t="str">
        <f>IFERROR(__xludf.DUMMYFUNCTION("""COMPUTED_VALUE"""),"RSC005759")</f>
        <v>RSC005759</v>
      </c>
      <c r="C3213" s="73" t="str">
        <f>IFERROR(__xludf.DUMMYFUNCTION("""COMPUTED_VALUE"""),"XerNaut")</f>
        <v>XerNaut</v>
      </c>
      <c r="D3213" s="73" t="str">
        <f>IFERROR(__xludf.DUMMYFUNCTION("""COMPUTED_VALUE"""),"Devoured")</f>
        <v>Devoured</v>
      </c>
      <c r="E3213" s="82">
        <f>IFERROR(__xludf.DUMMYFUNCTION("""COMPUTED_VALUE"""),41.0)</f>
        <v>41</v>
      </c>
      <c r="F3213" s="82">
        <f>IFERROR(__xludf.DUMMYFUNCTION("""COMPUTED_VALUE"""),22.0)</f>
        <v>22</v>
      </c>
      <c r="G3213" s="86">
        <f>IFERROR(__xludf.DUMMYFUNCTION("""COMPUTED_VALUE"""),19.0)</f>
        <v>19</v>
      </c>
      <c r="H3213" s="86">
        <f>IFERROR(__xludf.DUMMYFUNCTION("""COMPUTED_VALUE"""),0.5365853658536586)</f>
        <v>0.5365853659</v>
      </c>
      <c r="I3213" s="86">
        <f>IFERROR(__xludf.DUMMYFUNCTION("""COMPUTED_VALUE"""),0.396694214876033)</f>
        <v>0.3966942149</v>
      </c>
      <c r="J3213" s="82">
        <f>IFERROR(__xludf.DUMMYFUNCTION("""COMPUTED_VALUE"""),362.0975609756098)</f>
        <v>362.097561</v>
      </c>
      <c r="K3213" s="82">
        <f>IFERROR(__xludf.DUMMYFUNCTION("""COMPUTED_VALUE"""),1.170731707317073)</f>
        <v>1.170731707</v>
      </c>
      <c r="L3213" s="82">
        <f>IFERROR(__xludf.DUMMYFUNCTION("""COMPUTED_VALUE"""),0.43902439024390244)</f>
        <v>0.4390243902</v>
      </c>
      <c r="M3213" s="82">
        <f>IFERROR(__xludf.DUMMYFUNCTION("""COMPUTED_VALUE"""),1.048780487804878)</f>
        <v>1.048780488</v>
      </c>
      <c r="N3213" s="82">
        <f>IFERROR(__xludf.DUMMYFUNCTION("""COMPUTED_VALUE"""),2.951219512195122)</f>
        <v>2.951219512</v>
      </c>
      <c r="O3213" s="82">
        <f>IFERROR(__xludf.DUMMYFUNCTION("""COMPUTED_VALUE"""),333.3658536585366)</f>
        <v>333.3658537</v>
      </c>
      <c r="P3213" s="82">
        <f>IFERROR(__xludf.DUMMYFUNCTION("""COMPUTED_VALUE"""),0.8699186991869916)</f>
        <v>0.8699186992</v>
      </c>
      <c r="Q3213" s="82">
        <f>IFERROR(__xludf.DUMMYFUNCTION("""COMPUTED_VALUE"""),0.5853658536585367)</f>
        <v>0.5853658537</v>
      </c>
      <c r="R3213" s="82">
        <f>IFERROR(__xludf.DUMMYFUNCTION("""COMPUTED_VALUE"""),1.0650406504065038)</f>
        <v>1.06504065</v>
      </c>
      <c r="S3213" s="82">
        <f>IFERROR(__xludf.DUMMYFUNCTION("""COMPUTED_VALUE"""),2.211382113821138)</f>
        <v>2.211382114</v>
      </c>
      <c r="T3213" s="82">
        <f>IFERROR(__xludf.DUMMYFUNCTION("""COMPUTED_VALUE"""),328.31908356659926)</f>
        <v>328.3190836</v>
      </c>
      <c r="U3213" s="82">
        <f>IFERROR(__xludf.DUMMYFUNCTION("""COMPUTED_VALUE"""),0.8213629271431224)</f>
        <v>0.8213629271</v>
      </c>
      <c r="V3213" s="82">
        <f>IFERROR(__xludf.DUMMYFUNCTION("""COMPUTED_VALUE"""),0.5467595805795042)</f>
        <v>0.5467595806</v>
      </c>
      <c r="W3213" s="82">
        <f>IFERROR(__xludf.DUMMYFUNCTION("""COMPUTED_VALUE"""),1.0852240880251272)</f>
        <v>1.085224088</v>
      </c>
      <c r="X3213" s="82">
        <f>IFERROR(__xludf.DUMMYFUNCTION("""COMPUTED_VALUE"""),2.294670381737108)</f>
        <v>2.294670382</v>
      </c>
      <c r="Y3213" s="82">
        <f>IFERROR(__xludf.DUMMYFUNCTION("""COMPUTED_VALUE"""),330.8581272946575)</f>
        <v>330.8581273</v>
      </c>
      <c r="Z3213" s="82">
        <f>IFERROR(__xludf.DUMMYFUNCTION("""COMPUTED_VALUE"""),0.8493731596644198)</f>
        <v>0.8493731597</v>
      </c>
      <c r="AA3213" s="82">
        <f>IFERROR(__xludf.DUMMYFUNCTION("""COMPUTED_VALUE"""),0.5554291288788481)</f>
        <v>0.5554291289</v>
      </c>
      <c r="AB3213" s="82">
        <f>IFERROR(__xludf.DUMMYFUNCTION("""COMPUTED_VALUE"""),1.056524248798995)</f>
        <v>1.056524249</v>
      </c>
      <c r="AC3213" s="82">
        <f>IFERROR(__xludf.DUMMYFUNCTION("""COMPUTED_VALUE"""),2.3129343732504957)</f>
        <v>2.312934373</v>
      </c>
      <c r="AD3213" s="82">
        <f>IFERROR(__xludf.DUMMYFUNCTION("""COMPUTED_VALUE"""),1.0944194236254348)</f>
        <v>1.094419424</v>
      </c>
      <c r="AE3213" s="82">
        <f>IFERROR(__xludf.DUMMYFUNCTION("""COMPUTED_VALUE"""),1.378347895734802)</f>
        <v>1.378347896</v>
      </c>
      <c r="AF3213" s="82">
        <f>IFERROR(__xludf.DUMMYFUNCTION("""COMPUTED_VALUE"""),0.7904237776115336)</f>
        <v>0.7904237776</v>
      </c>
      <c r="AG3213" s="82">
        <f>IFERROR(__xludf.DUMMYFUNCTION("""COMPUTED_VALUE"""),0.99267053169587)</f>
        <v>0.9926705317</v>
      </c>
      <c r="AH3213" s="82">
        <f>IFERROR(__xludf.DUMMYFUNCTION("""COMPUTED_VALUE"""),1.2759633590673862)</f>
        <v>1.275963359</v>
      </c>
      <c r="AI3213" s="82">
        <f>IFERROR(__xludf.DUMMYFUNCTION("""COMPUTED_VALUE"""),1.0153715405060018)</f>
        <v>1.015371541</v>
      </c>
      <c r="AJ3213" s="82">
        <f>IFERROR(__xludf.DUMMYFUNCTION("""COMPUTED_VALUE"""),1.0591160989122759)</f>
        <v>1.059116099</v>
      </c>
      <c r="AK3213" s="82">
        <f>IFERROR(__xludf.DUMMYFUNCTION("""COMPUTED_VALUE"""),1.0706092301814154)</f>
        <v>1.07060923</v>
      </c>
      <c r="AL3213" s="82">
        <f>IFERROR(__xludf.DUMMYFUNCTION("""COMPUTED_VALUE"""),0.9814015945265712)</f>
        <v>0.9814015945</v>
      </c>
      <c r="AM3213" s="82">
        <f>IFERROR(__xludf.DUMMYFUNCTION("""COMPUTED_VALUE"""),0.9637036026704108)</f>
        <v>0.9637036027</v>
      </c>
      <c r="AN3213" s="82">
        <f>IFERROR(__xludf.DUMMYFUNCTION("""COMPUTED_VALUE"""),1.1385900065986212)</f>
        <v>1.138590007</v>
      </c>
      <c r="AO3213" s="82">
        <f>IFERROR(__xludf.DUMMYFUNCTION("""COMPUTED_VALUE"""),1.4581585224148355)</f>
        <v>1.458158522</v>
      </c>
      <c r="AP3213" s="82">
        <f>IFERROR(__xludf.DUMMYFUNCTION("""COMPUTED_VALUE"""),0.8158788817177396)</f>
        <v>0.8158788817</v>
      </c>
      <c r="AQ3213" s="82">
        <f>IFERROR(__xludf.DUMMYFUNCTION("""COMPUTED_VALUE"""),1.0014196372052098)</f>
        <v>1.001419637</v>
      </c>
      <c r="AR3213" s="82">
        <f>IFERROR(__xludf.DUMMYFUNCTION("""COMPUTED_VALUE"""),1.3397688172219226)</f>
        <v>1.339768817</v>
      </c>
      <c r="AS3213" s="82">
        <f>IFERROR(__xludf.DUMMYFUNCTION("""COMPUTED_VALUE"""),117.0)</f>
        <v>117</v>
      </c>
      <c r="AT3213" s="82">
        <f>IFERROR(__xludf.DUMMYFUNCTION("""COMPUTED_VALUE"""),0.5362992978617306)</f>
        <v>0.5362992979</v>
      </c>
      <c r="AU3213" s="82">
        <f>IFERROR(__xludf.DUMMYFUNCTION("""COMPUTED_VALUE"""),4.702777429440258)</f>
        <v>4.702777429</v>
      </c>
      <c r="AV3213" s="82">
        <f>IFERROR(__xludf.DUMMYFUNCTION("""COMPUTED_VALUE"""),63.361660824972134)</f>
        <v>63.36166082</v>
      </c>
      <c r="AW3213" s="82">
        <f t="shared" si="1"/>
        <v>3.372573978</v>
      </c>
      <c r="AX3213" s="83">
        <f t="array" ref="AX3213">IFERROR(DGET('SBV Import'!A:G,"SBV",{"RSC ID","Tier";B3213,A3213}))</f>
        <v>64.58132516</v>
      </c>
      <c r="AY3213" s="82">
        <f t="shared" si="2"/>
        <v>3.573196073</v>
      </c>
      <c r="AZ3213" s="82">
        <v>0.20062209448418367</v>
      </c>
      <c r="BA3213" s="84">
        <v>3200.0</v>
      </c>
      <c r="BB3213" s="84" t="b">
        <f>IFERROR(__xludf.DUMMYFUNCTION("iferror(if(A3213="""",,E3213&gt;=FILTER(Constants!$F$2:$F$10,Constants!$A$2:$A$10=A3213)))"),TRUE)</f>
        <v>1</v>
      </c>
    </row>
    <row r="3214">
      <c r="A3214" s="89" t="str">
        <f>IFERROR(__xludf.DUMMYFUNCTION("""COMPUTED_VALUE"""),"Contender")</f>
        <v>Contender</v>
      </c>
      <c r="B3214" s="87" t="str">
        <f>IFERROR(__xludf.DUMMYFUNCTION("""COMPUTED_VALUE"""),"RSC006900")</f>
        <v>RSC006900</v>
      </c>
      <c r="C3214" s="73" t="str">
        <f>IFERROR(__xludf.DUMMYFUNCTION("""COMPUTED_VALUE"""),"VeloxcityX")</f>
        <v>VeloxcityX</v>
      </c>
      <c r="D3214" s="73" t="str">
        <f>IFERROR(__xludf.DUMMYFUNCTION("""COMPUTED_VALUE"""),"Rad Lads")</f>
        <v>Rad Lads</v>
      </c>
      <c r="E3214" s="82">
        <f>IFERROR(__xludf.DUMMYFUNCTION("""COMPUTED_VALUE"""),34.0)</f>
        <v>34</v>
      </c>
      <c r="F3214" s="82">
        <f>IFERROR(__xludf.DUMMYFUNCTION("""COMPUTED_VALUE"""),17.0)</f>
        <v>17</v>
      </c>
      <c r="G3214" s="86">
        <f>IFERROR(__xludf.DUMMYFUNCTION("""COMPUTED_VALUE"""),17.0)</f>
        <v>17</v>
      </c>
      <c r="H3214" s="86">
        <f>IFERROR(__xludf.DUMMYFUNCTION("""COMPUTED_VALUE"""),0.5)</f>
        <v>0.5</v>
      </c>
      <c r="I3214" s="86">
        <f>IFERROR(__xludf.DUMMYFUNCTION("""COMPUTED_VALUE"""),0.4117647058823529)</f>
        <v>0.4117647059</v>
      </c>
      <c r="J3214" s="82">
        <f>IFERROR(__xludf.DUMMYFUNCTION("""COMPUTED_VALUE"""),343.44117647058823)</f>
        <v>343.4411765</v>
      </c>
      <c r="K3214" s="82">
        <f>IFERROR(__xludf.DUMMYFUNCTION("""COMPUTED_VALUE"""),0.8235294117647058)</f>
        <v>0.8235294118</v>
      </c>
      <c r="L3214" s="82">
        <f>IFERROR(__xludf.DUMMYFUNCTION("""COMPUTED_VALUE"""),0.7941176470588235)</f>
        <v>0.7941176471</v>
      </c>
      <c r="M3214" s="82">
        <f>IFERROR(__xludf.DUMMYFUNCTION("""COMPUTED_VALUE"""),1.2058823529411764)</f>
        <v>1.205882353</v>
      </c>
      <c r="N3214" s="82">
        <f>IFERROR(__xludf.DUMMYFUNCTION("""COMPUTED_VALUE"""),2.0)</f>
        <v>2</v>
      </c>
      <c r="O3214" s="82">
        <f>IFERROR(__xludf.DUMMYFUNCTION("""COMPUTED_VALUE"""),325.343137254902)</f>
        <v>325.3431373</v>
      </c>
      <c r="P3214" s="82">
        <f>IFERROR(__xludf.DUMMYFUNCTION("""COMPUTED_VALUE"""),0.8529411764705881)</f>
        <v>0.8529411765</v>
      </c>
      <c r="Q3214" s="82">
        <f>IFERROR(__xludf.DUMMYFUNCTION("""COMPUTED_VALUE"""),0.5588235294117647)</f>
        <v>0.5588235294</v>
      </c>
      <c r="R3214" s="82">
        <f>IFERROR(__xludf.DUMMYFUNCTION("""COMPUTED_VALUE"""),1.0098039215686276)</f>
        <v>1.009803922</v>
      </c>
      <c r="S3214" s="82">
        <f>IFERROR(__xludf.DUMMYFUNCTION("""COMPUTED_VALUE"""),2.0490196078431375)</f>
        <v>2.049019608</v>
      </c>
      <c r="T3214" s="82">
        <f>IFERROR(__xludf.DUMMYFUNCTION("""COMPUTED_VALUE"""),322.26575248247445)</f>
        <v>322.2657525</v>
      </c>
      <c r="U3214" s="82">
        <f>IFERROR(__xludf.DUMMYFUNCTION("""COMPUTED_VALUE"""),0.7967566738097785)</f>
        <v>0.7967566738</v>
      </c>
      <c r="V3214" s="82">
        <f>IFERROR(__xludf.DUMMYFUNCTION("""COMPUTED_VALUE"""),0.5412867638992183)</f>
        <v>0.5412867639</v>
      </c>
      <c r="W3214" s="82">
        <f>IFERROR(__xludf.DUMMYFUNCTION("""COMPUTED_VALUE"""),1.0800045064523032)</f>
        <v>1.080004506</v>
      </c>
      <c r="X3214" s="82">
        <f>IFERROR(__xludf.DUMMYFUNCTION("""COMPUTED_VALUE"""),2.231305985032829)</f>
        <v>2.231305985</v>
      </c>
      <c r="Y3214" s="82">
        <f>IFERROR(__xludf.DUMMYFUNCTION("""COMPUTED_VALUE"""),331.9615472030136)</f>
        <v>331.9615472</v>
      </c>
      <c r="Z3214" s="82">
        <f>IFERROR(__xludf.DUMMYFUNCTION("""COMPUTED_VALUE"""),0.8505805649441144)</f>
        <v>0.8505805649</v>
      </c>
      <c r="AA3214" s="82">
        <f>IFERROR(__xludf.DUMMYFUNCTION("""COMPUTED_VALUE"""),0.5517301950850911)</f>
        <v>0.5517301951</v>
      </c>
      <c r="AB3214" s="82">
        <f>IFERROR(__xludf.DUMMYFUNCTION("""COMPUTED_VALUE"""),1.0797819620997011)</f>
        <v>1.079781962</v>
      </c>
      <c r="AC3214" s="82">
        <f>IFERROR(__xludf.DUMMYFUNCTION("""COMPUTED_VALUE"""),2.343325066044564)</f>
        <v>2.343325066</v>
      </c>
      <c r="AD3214" s="82">
        <f>IFERROR(__xludf.DUMMYFUNCTION("""COMPUTED_VALUE"""),1.0345812018418934)</f>
        <v>1.034581202</v>
      </c>
      <c r="AE3214" s="82">
        <f>IFERROR(__xludf.DUMMYFUNCTION("""COMPUTED_VALUE"""),0.9681968360267132)</f>
        <v>0.968196836</v>
      </c>
      <c r="AF3214" s="82">
        <f>IFERROR(__xludf.DUMMYFUNCTION("""COMPUTED_VALUE"""),1.439322433560755)</f>
        <v>1.439322434</v>
      </c>
      <c r="AG3214" s="82">
        <f>IFERROR(__xludf.DUMMYFUNCTION("""COMPUTED_VALUE"""),1.116783198152584)</f>
        <v>1.116783198</v>
      </c>
      <c r="AH3214" s="82">
        <f>IFERROR(__xludf.DUMMYFUNCTION("""COMPUTED_VALUE"""),0.8534880751205027)</f>
        <v>0.8534880751</v>
      </c>
      <c r="AI3214" s="82">
        <f>IFERROR(__xludf.DUMMYFUNCTION("""COMPUTED_VALUE"""),1.0095492144254294)</f>
        <v>1.009549214</v>
      </c>
      <c r="AJ3214" s="82">
        <f>IFERROR(__xludf.DUMMYFUNCTION("""COMPUTED_VALUE"""),1.070516513394431)</f>
        <v>1.070516513</v>
      </c>
      <c r="AK3214" s="82">
        <f>IFERROR(__xludf.DUMMYFUNCTION("""COMPUTED_VALUE"""),1.0323982899308648)</f>
        <v>1.03239829</v>
      </c>
      <c r="AL3214" s="82">
        <f>IFERROR(__xludf.DUMMYFUNCTION("""COMPUTED_VALUE"""),0.9349997296638356)</f>
        <v>0.9349997297</v>
      </c>
      <c r="AM3214" s="82">
        <f>IFERROR(__xludf.DUMMYFUNCTION("""COMPUTED_VALUE"""),0.918305074063157)</f>
        <v>0.9183050741</v>
      </c>
      <c r="AN3214" s="82">
        <f>IFERROR(__xludf.DUMMYFUNCTION("""COMPUTED_VALUE"""),1.0799263334729419)</f>
        <v>1.079926333</v>
      </c>
      <c r="AO3214" s="82">
        <f>IFERROR(__xludf.DUMMYFUNCTION("""COMPUTED_VALUE"""),1.025714450816318)</f>
        <v>1.025714451</v>
      </c>
      <c r="AP3214" s="82">
        <f>IFERROR(__xludf.DUMMYFUNCTION("""COMPUTED_VALUE"""),1.4757809184012054)</f>
        <v>1.475780918</v>
      </c>
      <c r="AQ3214" s="82">
        <f>IFERROR(__xludf.DUMMYFUNCTION("""COMPUTED_VALUE"""),1.151427093120354)</f>
        <v>1.151427093</v>
      </c>
      <c r="AR3214" s="82">
        <f>IFERROR(__xludf.DUMMYFUNCTION("""COMPUTED_VALUE"""),0.9079425042330385)</f>
        <v>0.9079425042</v>
      </c>
      <c r="AS3214" s="82">
        <f>IFERROR(__xludf.DUMMYFUNCTION("""COMPUTED_VALUE"""),95.0)</f>
        <v>95</v>
      </c>
      <c r="AT3214" s="82">
        <f>IFERROR(__xludf.DUMMYFUNCTION("""COMPUTED_VALUE"""),0.5355338141416844)</f>
        <v>0.5355338141</v>
      </c>
      <c r="AU3214" s="82">
        <f>IFERROR(__xludf.DUMMYFUNCTION("""COMPUTED_VALUE"""),4.4079062277210035)</f>
        <v>4.407906228</v>
      </c>
      <c r="AV3214" s="82">
        <f>IFERROR(__xludf.DUMMYFUNCTION("""COMPUTED_VALUE"""),59.09725221226908)</f>
        <v>59.09725221</v>
      </c>
      <c r="AW3214" s="82">
        <f t="shared" si="1"/>
        <v>2.793529848</v>
      </c>
      <c r="AX3214" s="83">
        <f t="array" ref="AX3214">IFERROR(DGET('SBV Import'!A:G,"SBV",{"RSC ID","Tier";B3214,A3214}))</f>
        <v>61.45268607</v>
      </c>
      <c r="AY3214" s="82">
        <f t="shared" si="2"/>
        <v>3.091786235</v>
      </c>
      <c r="AZ3214" s="82">
        <v>0.29825638735639437</v>
      </c>
      <c r="BA3214" s="84">
        <v>3200.0</v>
      </c>
      <c r="BB3214" s="84" t="b">
        <f>IFERROR(__xludf.DUMMYFUNCTION("iferror(if(A3214="""",,E3214&gt;=FILTER(Constants!$F$2:$F$10,Constants!$A$2:$A$10=A3214)))"),TRUE)</f>
        <v>1</v>
      </c>
    </row>
    <row r="3215">
      <c r="A3215" s="89" t="str">
        <f>IFERROR(__xludf.DUMMYFUNCTION("""COMPUTED_VALUE"""),"Contender")</f>
        <v>Contender</v>
      </c>
      <c r="B3215" s="87" t="str">
        <f>IFERROR(__xludf.DUMMYFUNCTION("""COMPUTED_VALUE"""),"RSC006381")</f>
        <v>RSC006381</v>
      </c>
      <c r="C3215" s="73" t="str">
        <f>IFERROR(__xludf.DUMMYFUNCTION("""COMPUTED_VALUE"""),"YERP_YERP02")</f>
        <v>YERP_YERP02</v>
      </c>
      <c r="D3215" s="73" t="str">
        <f>IFERROR(__xludf.DUMMYFUNCTION("""COMPUTED_VALUE"""),"Rad Lads")</f>
        <v>Rad Lads</v>
      </c>
      <c r="E3215" s="82">
        <f>IFERROR(__xludf.DUMMYFUNCTION("""COMPUTED_VALUE"""),32.0)</f>
        <v>32</v>
      </c>
      <c r="F3215" s="82">
        <f>IFERROR(__xludf.DUMMYFUNCTION("""COMPUTED_VALUE"""),15.0)</f>
        <v>15</v>
      </c>
      <c r="G3215" s="86">
        <f>IFERROR(__xludf.DUMMYFUNCTION("""COMPUTED_VALUE"""),17.0)</f>
        <v>17</v>
      </c>
      <c r="H3215" s="86">
        <f>IFERROR(__xludf.DUMMYFUNCTION("""COMPUTED_VALUE"""),0.46875)</f>
        <v>0.46875</v>
      </c>
      <c r="I3215" s="86">
        <f>IFERROR(__xludf.DUMMYFUNCTION("""COMPUTED_VALUE"""),0.38235294117647056)</f>
        <v>0.3823529412</v>
      </c>
      <c r="J3215" s="82">
        <f>IFERROR(__xludf.DUMMYFUNCTION("""COMPUTED_VALUE"""),323.03125)</f>
        <v>323.03125</v>
      </c>
      <c r="K3215" s="82">
        <f>IFERROR(__xludf.DUMMYFUNCTION("""COMPUTED_VALUE"""),0.8125)</f>
        <v>0.8125</v>
      </c>
      <c r="L3215" s="82">
        <f>IFERROR(__xludf.DUMMYFUNCTION("""COMPUTED_VALUE"""),0.6875)</f>
        <v>0.6875</v>
      </c>
      <c r="M3215" s="82">
        <f>IFERROR(__xludf.DUMMYFUNCTION("""COMPUTED_VALUE"""),0.78125)</f>
        <v>0.78125</v>
      </c>
      <c r="N3215" s="82">
        <f>IFERROR(__xludf.DUMMYFUNCTION("""COMPUTED_VALUE"""),2.125)</f>
        <v>2.125</v>
      </c>
      <c r="O3215" s="82">
        <f>IFERROR(__xludf.DUMMYFUNCTION("""COMPUTED_VALUE"""),327.12499999999994)</f>
        <v>327.125</v>
      </c>
      <c r="P3215" s="82">
        <f>IFERROR(__xludf.DUMMYFUNCTION("""COMPUTED_VALUE"""),0.8541666666666666)</f>
        <v>0.8541666667</v>
      </c>
      <c r="Q3215" s="82">
        <f>IFERROR(__xludf.DUMMYFUNCTION("""COMPUTED_VALUE"""),0.6249999999999999)</f>
        <v>0.625</v>
      </c>
      <c r="R3215" s="82">
        <f>IFERROR(__xludf.DUMMYFUNCTION("""COMPUTED_VALUE"""),0.9270833333333333)</f>
        <v>0.9270833333</v>
      </c>
      <c r="S3215" s="82">
        <f>IFERROR(__xludf.DUMMYFUNCTION("""COMPUTED_VALUE"""),2.1875)</f>
        <v>2.1875</v>
      </c>
      <c r="T3215" s="82">
        <f>IFERROR(__xludf.DUMMYFUNCTION("""COMPUTED_VALUE"""),332.68028389475325)</f>
        <v>332.6802839</v>
      </c>
      <c r="U3215" s="82">
        <f>IFERROR(__xludf.DUMMYFUNCTION("""COMPUTED_VALUE"""),0.8426698045243706)</f>
        <v>0.8426698045</v>
      </c>
      <c r="V3215" s="82">
        <f>IFERROR(__xludf.DUMMYFUNCTION("""COMPUTED_VALUE"""),0.5701508042742206)</f>
        <v>0.5701508043</v>
      </c>
      <c r="W3215" s="82">
        <f>IFERROR(__xludf.DUMMYFUNCTION("""COMPUTED_VALUE"""),1.0903571564829428)</f>
        <v>1.090357156</v>
      </c>
      <c r="X3215" s="82">
        <f>IFERROR(__xludf.DUMMYFUNCTION("""COMPUTED_VALUE"""),2.376052758302652)</f>
        <v>2.376052758</v>
      </c>
      <c r="Y3215" s="82">
        <f>IFERROR(__xludf.DUMMYFUNCTION("""COMPUTED_VALUE"""),326.8514663659387)</f>
        <v>326.8514664</v>
      </c>
      <c r="Z3215" s="82">
        <f>IFERROR(__xludf.DUMMYFUNCTION("""COMPUTED_VALUE"""),0.8077267077143994)</f>
        <v>0.8077267077</v>
      </c>
      <c r="AA3215" s="82">
        <f>IFERROR(__xludf.DUMMYFUNCTION("""COMPUTED_VALUE"""),0.5299323076406455)</f>
        <v>0.5299323076</v>
      </c>
      <c r="AB3215" s="82">
        <f>IFERROR(__xludf.DUMMYFUNCTION("""COMPUTED_VALUE"""),1.1041275264398795)</f>
        <v>1.104127526</v>
      </c>
      <c r="AC3215" s="82">
        <f>IFERROR(__xludf.DUMMYFUNCTION("""COMPUTED_VALUE"""),2.2794227439089263)</f>
        <v>2.279422744</v>
      </c>
      <c r="AD3215" s="82">
        <f>IFERROR(__xludf.DUMMYFUNCTION("""COMPUTED_VALUE"""),0.9883120721212809)</f>
        <v>0.9883120721</v>
      </c>
      <c r="AE3215" s="82">
        <f>IFERROR(__xludf.DUMMYFUNCTION("""COMPUTED_VALUE"""),1.0059095387586074)</f>
        <v>1.005909539</v>
      </c>
      <c r="AF3215" s="82">
        <f>IFERROR(__xludf.DUMMYFUNCTION("""COMPUTED_VALUE"""),1.297335508870698)</f>
        <v>1.297335509</v>
      </c>
      <c r="AG3215" s="82">
        <f>IFERROR(__xludf.DUMMYFUNCTION("""COMPUTED_VALUE"""),0.7075722516574172)</f>
        <v>0.7075722517</v>
      </c>
      <c r="AH3215" s="82">
        <f>IFERROR(__xludf.DUMMYFUNCTION("""COMPUTED_VALUE"""),0.9322535741465356)</f>
        <v>0.9322535741</v>
      </c>
      <c r="AI3215" s="82">
        <f>IFERROR(__xludf.DUMMYFUNCTION("""COMPUTED_VALUE"""),0.9833014333470066)</f>
        <v>0.9833014333</v>
      </c>
      <c r="AJ3215" s="82">
        <f>IFERROR(__xludf.DUMMYFUNCTION("""COMPUTED_VALUE"""),1.0136433773710276)</f>
        <v>1.013643377</v>
      </c>
      <c r="AK3215" s="82">
        <f>IFERROR(__xludf.DUMMYFUNCTION("""COMPUTED_VALUE"""),1.0962012073202285)</f>
        <v>1.096201207</v>
      </c>
      <c r="AL3215" s="82">
        <f>IFERROR(__xludf.DUMMYFUNCTION("""COMPUTED_VALUE"""),0.8502565676037146)</f>
        <v>0.8502565676</v>
      </c>
      <c r="AM3215" s="82">
        <f>IFERROR(__xludf.DUMMYFUNCTION("""COMPUTED_VALUE"""),0.9206445405541644)</f>
        <v>0.9206445406</v>
      </c>
      <c r="AN3215" s="82">
        <f>IFERROR(__xludf.DUMMYFUNCTION("""COMPUTED_VALUE"""),1.015748772452613)</f>
        <v>1.015748772</v>
      </c>
      <c r="AO3215" s="82">
        <f>IFERROR(__xludf.DUMMYFUNCTION("""COMPUTED_VALUE"""),1.011977203707171)</f>
        <v>1.011977204</v>
      </c>
      <c r="AP3215" s="82">
        <f>IFERROR(__xludf.DUMMYFUNCTION("""COMPUTED_VALUE"""),1.2776436654677104)</f>
        <v>1.277643665</v>
      </c>
      <c r="AQ3215" s="82">
        <f>IFERROR(__xludf.DUMMYFUNCTION("""COMPUTED_VALUE"""),0.7459702966099855)</f>
        <v>0.7459702966</v>
      </c>
      <c r="AR3215" s="82">
        <f>IFERROR(__xludf.DUMMYFUNCTION("""COMPUTED_VALUE"""),0.9646889107476033)</f>
        <v>0.9646889107</v>
      </c>
      <c r="AS3215" s="82">
        <f>IFERROR(__xludf.DUMMYFUNCTION("""COMPUTED_VALUE"""),84.0)</f>
        <v>84</v>
      </c>
      <c r="AT3215" s="82">
        <f>IFERROR(__xludf.DUMMYFUNCTION("""COMPUTED_VALUE"""),0.509661662041203)</f>
        <v>0.509661662</v>
      </c>
      <c r="AU3215" s="82">
        <f>IFERROR(__xludf.DUMMYFUNCTION("""COMPUTED_VALUE"""),4.21663249208617)</f>
        <v>4.216632492</v>
      </c>
      <c r="AV3215" s="82">
        <f>IFERROR(__xludf.DUMMYFUNCTION("""COMPUTED_VALUE"""),56.33106358187965)</f>
        <v>56.33106358</v>
      </c>
      <c r="AW3215" s="82">
        <f t="shared" si="1"/>
        <v>2.499747548</v>
      </c>
      <c r="AX3215" s="83">
        <f t="array" ref="AX3215">IFERROR(DGET('SBV Import'!A:G,"SBV",{"RSC ID","Tier";B3215,A3215}))</f>
        <v>54.86710632</v>
      </c>
      <c r="AY3215" s="82">
        <f t="shared" si="2"/>
        <v>2.365072215</v>
      </c>
      <c r="AZ3215" s="82">
        <v>0.13467533287152467</v>
      </c>
      <c r="BA3215" s="84">
        <v>3200.0</v>
      </c>
      <c r="BB3215" s="84" t="b">
        <f>IFERROR(__xludf.DUMMYFUNCTION("iferror(if(A3215="""",,E3215&gt;=FILTER(Constants!$F$2:$F$10,Constants!$A$2:$A$10=A3215)))"),TRUE)</f>
        <v>1</v>
      </c>
    </row>
    <row r="3216">
      <c r="A3216" s="89" t="str">
        <f>IFERROR(__xludf.DUMMYFUNCTION("""COMPUTED_VALUE"""),"Contender")</f>
        <v>Contender</v>
      </c>
      <c r="B3216" s="87" t="str">
        <f>IFERROR(__xludf.DUMMYFUNCTION("""COMPUTED_VALUE"""),"RSC007465")</f>
        <v>RSC007465</v>
      </c>
      <c r="C3216" s="73" t="str">
        <f>IFERROR(__xludf.DUMMYFUNCTION("""COMPUTED_VALUE"""),"xReaperDenTTV")</f>
        <v>xReaperDenTTV</v>
      </c>
      <c r="D3216" s="73"/>
      <c r="E3216" s="82">
        <f>IFERROR(__xludf.DUMMYFUNCTION("""COMPUTED_VALUE"""),26.0)</f>
        <v>26</v>
      </c>
      <c r="F3216" s="82">
        <f>IFERROR(__xludf.DUMMYFUNCTION("""COMPUTED_VALUE"""),11.0)</f>
        <v>11</v>
      </c>
      <c r="G3216" s="86">
        <f>IFERROR(__xludf.DUMMYFUNCTION("""COMPUTED_VALUE"""),15.0)</f>
        <v>15</v>
      </c>
      <c r="H3216" s="86">
        <f>IFERROR(__xludf.DUMMYFUNCTION("""COMPUTED_VALUE"""),0.4230769230769231)</f>
        <v>0.4230769231</v>
      </c>
      <c r="I3216" s="86">
        <f>IFERROR(__xludf.DUMMYFUNCTION("""COMPUTED_VALUE"""),0.34920634920634924)</f>
        <v>0.3492063492</v>
      </c>
      <c r="J3216" s="82">
        <f>IFERROR(__xludf.DUMMYFUNCTION("""COMPUTED_VALUE"""),344.38461538461536)</f>
        <v>344.3846154</v>
      </c>
      <c r="K3216" s="82">
        <f>IFERROR(__xludf.DUMMYFUNCTION("""COMPUTED_VALUE"""),0.8461538461538461)</f>
        <v>0.8461538462</v>
      </c>
      <c r="L3216" s="82">
        <f>IFERROR(__xludf.DUMMYFUNCTION("""COMPUTED_VALUE"""),0.5)</f>
        <v>0.5</v>
      </c>
      <c r="M3216" s="82">
        <f>IFERROR(__xludf.DUMMYFUNCTION("""COMPUTED_VALUE"""),1.1153846153846154)</f>
        <v>1.115384615</v>
      </c>
      <c r="N3216" s="82">
        <f>IFERROR(__xludf.DUMMYFUNCTION("""COMPUTED_VALUE"""),2.423076923076923)</f>
        <v>2.423076923</v>
      </c>
      <c r="O3216" s="82">
        <f>IFERROR(__xludf.DUMMYFUNCTION("""COMPUTED_VALUE"""),323.03846153846155)</f>
        <v>323.0384615</v>
      </c>
      <c r="P3216" s="82">
        <f>IFERROR(__xludf.DUMMYFUNCTION("""COMPUTED_VALUE"""),0.8333333333333333)</f>
        <v>0.8333333333</v>
      </c>
      <c r="Q3216" s="82">
        <f>IFERROR(__xludf.DUMMYFUNCTION("""COMPUTED_VALUE"""),0.48717948717948717)</f>
        <v>0.4871794872</v>
      </c>
      <c r="R3216" s="82">
        <f>IFERROR(__xludf.DUMMYFUNCTION("""COMPUTED_VALUE"""),1.0384615384615383)</f>
        <v>1.038461538</v>
      </c>
      <c r="S3216" s="82">
        <f>IFERROR(__xludf.DUMMYFUNCTION("""COMPUTED_VALUE"""),2.294871794871795)</f>
        <v>2.294871795</v>
      </c>
      <c r="T3216" s="82">
        <f>IFERROR(__xludf.DUMMYFUNCTION("""COMPUTED_VALUE"""),328.4154664071185)</f>
        <v>328.4154664</v>
      </c>
      <c r="U3216" s="82">
        <f>IFERROR(__xludf.DUMMYFUNCTION("""COMPUTED_VALUE"""),0.8548630000493816)</f>
        <v>0.854863</v>
      </c>
      <c r="V3216" s="82">
        <f>IFERROR(__xludf.DUMMYFUNCTION("""COMPUTED_VALUE"""),0.5460919005426935)</f>
        <v>0.5460919005</v>
      </c>
      <c r="W3216" s="82">
        <f>IFERROR(__xludf.DUMMYFUNCTION("""COMPUTED_VALUE"""),1.0474310033059178)</f>
        <v>1.047431003</v>
      </c>
      <c r="X3216" s="82">
        <f>IFERROR(__xludf.DUMMYFUNCTION("""COMPUTED_VALUE"""),2.3261239407701146)</f>
        <v>2.326123941</v>
      </c>
      <c r="Y3216" s="82">
        <f>IFERROR(__xludf.DUMMYFUNCTION("""COMPUTED_VALUE"""),329.6612273132596)</f>
        <v>329.6612273</v>
      </c>
      <c r="Z3216" s="82">
        <f>IFERROR(__xludf.DUMMYFUNCTION("""COMPUTED_VALUE"""),0.8273244949214418)</f>
        <v>0.8273244949</v>
      </c>
      <c r="AA3216" s="82">
        <f>IFERROR(__xludf.DUMMYFUNCTION("""COMPUTED_VALUE"""),0.5537567544669814)</f>
        <v>0.5537567545</v>
      </c>
      <c r="AB3216" s="82">
        <f>IFERROR(__xludf.DUMMYFUNCTION("""COMPUTED_VALUE"""),1.0813747762800183)</f>
        <v>1.081374776</v>
      </c>
      <c r="AC3216" s="82">
        <f>IFERROR(__xludf.DUMMYFUNCTION("""COMPUTED_VALUE"""),2.3113087479438295)</f>
        <v>2.311308748</v>
      </c>
      <c r="AD3216" s="82">
        <f>IFERROR(__xludf.DUMMYFUNCTION("""COMPUTED_VALUE"""),1.0446621769607285)</f>
        <v>1.044662177</v>
      </c>
      <c r="AE3216" s="82">
        <f>IFERROR(__xludf.DUMMYFUNCTION("""COMPUTED_VALUE"""),1.0227593300427933)</f>
        <v>1.02275933</v>
      </c>
      <c r="AF3216" s="82">
        <f>IFERROR(__xludf.DUMMYFUNCTION("""COMPUTED_VALUE"""),0.9029235236711018)</f>
        <v>0.9029235237</v>
      </c>
      <c r="AG3216" s="82">
        <f>IFERROR(__xludf.DUMMYFUNCTION("""COMPUTED_VALUE"""),1.0314505570599608)</f>
        <v>1.031450557</v>
      </c>
      <c r="AH3216" s="82">
        <f>IFERROR(__xludf.DUMMYFUNCTION("""COMPUTED_VALUE"""),1.0483570943226532)</f>
        <v>1.048357094</v>
      </c>
      <c r="AI3216" s="82">
        <f>IFERROR(__xludf.DUMMYFUNCTION("""COMPUTED_VALUE"""),0.9836274310479903)</f>
        <v>0.983627431</v>
      </c>
      <c r="AJ3216" s="82">
        <f>IFERROR(__xludf.DUMMYFUNCTION("""COMPUTED_VALUE"""),0.9748150677771705)</f>
        <v>0.9748150678</v>
      </c>
      <c r="AK3216" s="82">
        <f>IFERROR(__xludf.DUMMYFUNCTION("""COMPUTED_VALUE"""),0.8921199649643942)</f>
        <v>0.892119965</v>
      </c>
      <c r="AL3216" s="82">
        <f>IFERROR(__xludf.DUMMYFUNCTION("""COMPUTED_VALUE"""),0.9914367010179478)</f>
        <v>0.991436701</v>
      </c>
      <c r="AM3216" s="82">
        <f>IFERROR(__xludf.DUMMYFUNCTION("""COMPUTED_VALUE"""),0.9865647116430207)</f>
        <v>0.9865647116</v>
      </c>
      <c r="AN3216" s="82">
        <f>IFERROR(__xludf.DUMMYFUNCTION("""COMPUTED_VALUE"""),1.0828929099846791)</f>
        <v>1.08289291</v>
      </c>
      <c r="AO3216" s="82">
        <f>IFERROR(__xludf.DUMMYFUNCTION("""COMPUTED_VALUE"""),1.053893419245338)</f>
        <v>1.053893419</v>
      </c>
      <c r="AP3216" s="82">
        <f>IFERROR(__xludf.DUMMYFUNCTION("""COMPUTED_VALUE"""),0.9291953930674256)</f>
        <v>0.9291953931</v>
      </c>
      <c r="AQ3216" s="82">
        <f>IFERROR(__xludf.DUMMYFUNCTION("""COMPUTED_VALUE"""),1.0650160542370255)</f>
        <v>1.065016054</v>
      </c>
      <c r="AR3216" s="82">
        <f>IFERROR(__xludf.DUMMYFUNCTION("""COMPUTED_VALUE"""),1.1000072647438734)</f>
        <v>1.100007265</v>
      </c>
      <c r="AS3216" s="82">
        <f>IFERROR(__xludf.DUMMYFUNCTION("""COMPUTED_VALUE"""),52.0)</f>
        <v>52</v>
      </c>
      <c r="AT3216" s="82">
        <f>IFERROR(__xludf.DUMMYFUNCTION("""COMPUTED_VALUE"""),0.41493464975825695)</f>
        <v>0.4149346498</v>
      </c>
      <c r="AU3216" s="82">
        <f>IFERROR(__xludf.DUMMYFUNCTION("""COMPUTED_VALUE"""),4.0704419494965185)</f>
        <v>4.070441949</v>
      </c>
      <c r="AV3216" s="82">
        <f>IFERROR(__xludf.DUMMYFUNCTION("""COMPUTED_VALUE"""),54.2168652292423)</f>
        <v>54.21686523</v>
      </c>
      <c r="AW3216" s="82">
        <f t="shared" si="1"/>
        <v>2.309328578</v>
      </c>
      <c r="AX3216" s="83">
        <f t="array" ref="AX3216">IFERROR(DGET('SBV Import'!A:G,"SBV",{"RSC ID","Tier";B3216,A3216}))</f>
        <v>60.6481025</v>
      </c>
      <c r="AY3216" s="82">
        <f t="shared" si="2"/>
        <v>2.984347901</v>
      </c>
      <c r="AZ3216" s="82">
        <v>0.6750193227047179</v>
      </c>
      <c r="BA3216" s="84">
        <v>3200.0</v>
      </c>
      <c r="BB3216" s="84" t="b">
        <f>IFERROR(__xludf.DUMMYFUNCTION("iferror(if(A3216="""",,E3216&gt;=FILTER(Constants!$F$2:$F$10,Constants!$A$2:$A$10=A3216)))"),TRUE)</f>
        <v>1</v>
      </c>
    </row>
    <row r="3217">
      <c r="A3217" s="89" t="str">
        <f>IFERROR(__xludf.DUMMYFUNCTION("""COMPUTED_VALUE"""),"Contender")</f>
        <v>Contender</v>
      </c>
      <c r="B3217" s="87" t="str">
        <f>IFERROR(__xludf.DUMMYFUNCTION("""COMPUTED_VALUE"""),"RSC004509")</f>
        <v>RSC004509</v>
      </c>
      <c r="C3217" s="73" t="str">
        <f>IFERROR(__xludf.DUMMYFUNCTION("""COMPUTED_VALUE"""),"tazlien")</f>
        <v>tazlien</v>
      </c>
      <c r="D3217" s="73" t="str">
        <f>IFERROR(__xludf.DUMMYFUNCTION("""COMPUTED_VALUE"""),"Zebras")</f>
        <v>Zebras</v>
      </c>
      <c r="E3217" s="82">
        <f>IFERROR(__xludf.DUMMYFUNCTION("""COMPUTED_VALUE"""),30.0)</f>
        <v>30</v>
      </c>
      <c r="F3217" s="82">
        <f>IFERROR(__xludf.DUMMYFUNCTION("""COMPUTED_VALUE"""),10.0)</f>
        <v>10</v>
      </c>
      <c r="G3217" s="86">
        <f>IFERROR(__xludf.DUMMYFUNCTION("""COMPUTED_VALUE"""),20.0)</f>
        <v>20</v>
      </c>
      <c r="H3217" s="86">
        <f>IFERROR(__xludf.DUMMYFUNCTION("""COMPUTED_VALUE"""),0.3333333333333333)</f>
        <v>0.3333333333</v>
      </c>
      <c r="I3217" s="86">
        <f>IFERROR(__xludf.DUMMYFUNCTION("""COMPUTED_VALUE"""),0.4)</f>
        <v>0.4</v>
      </c>
      <c r="J3217" s="82">
        <f>IFERROR(__xludf.DUMMYFUNCTION("""COMPUTED_VALUE"""),343.2)</f>
        <v>343.2</v>
      </c>
      <c r="K3217" s="82">
        <f>IFERROR(__xludf.DUMMYFUNCTION("""COMPUTED_VALUE"""),0.8)</f>
        <v>0.8</v>
      </c>
      <c r="L3217" s="82">
        <f>IFERROR(__xludf.DUMMYFUNCTION("""COMPUTED_VALUE"""),0.6)</f>
        <v>0.6</v>
      </c>
      <c r="M3217" s="82">
        <f>IFERROR(__xludf.DUMMYFUNCTION("""COMPUTED_VALUE"""),1.2666666666666666)</f>
        <v>1.266666667</v>
      </c>
      <c r="N3217" s="82">
        <f>IFERROR(__xludf.DUMMYFUNCTION("""COMPUTED_VALUE"""),2.0)</f>
        <v>2</v>
      </c>
      <c r="O3217" s="82">
        <f>IFERROR(__xludf.DUMMYFUNCTION("""COMPUTED_VALUE"""),361.1333333333333)</f>
        <v>361.1333333</v>
      </c>
      <c r="P3217" s="82">
        <f>IFERROR(__xludf.DUMMYFUNCTION("""COMPUTED_VALUE"""),1.0111111111111115)</f>
        <v>1.011111111</v>
      </c>
      <c r="Q3217" s="82">
        <f>IFERROR(__xludf.DUMMYFUNCTION("""COMPUTED_VALUE"""),0.6888888888888888)</f>
        <v>0.6888888889</v>
      </c>
      <c r="R3217" s="82">
        <f>IFERROR(__xludf.DUMMYFUNCTION("""COMPUTED_VALUE"""),1.088888888888889)</f>
        <v>1.088888889</v>
      </c>
      <c r="S3217" s="82">
        <f>IFERROR(__xludf.DUMMYFUNCTION("""COMPUTED_VALUE"""),2.622222222222222)</f>
        <v>2.622222222</v>
      </c>
      <c r="T3217" s="82">
        <f>IFERROR(__xludf.DUMMYFUNCTION("""COMPUTED_VALUE"""),343.2726711820103)</f>
        <v>343.2726712</v>
      </c>
      <c r="U3217" s="82">
        <f>IFERROR(__xludf.DUMMYFUNCTION("""COMPUTED_VALUE"""),0.9081653618316357)</f>
        <v>0.9081653618</v>
      </c>
      <c r="V3217" s="82">
        <f>IFERROR(__xludf.DUMMYFUNCTION("""COMPUTED_VALUE"""),0.6136030306069354)</f>
        <v>0.6136030306</v>
      </c>
      <c r="W3217" s="82">
        <f>IFERROR(__xludf.DUMMYFUNCTION("""COMPUTED_VALUE"""),1.0514971471011572)</f>
        <v>1.051497147</v>
      </c>
      <c r="X3217" s="82">
        <f>IFERROR(__xludf.DUMMYFUNCTION("""COMPUTED_VALUE"""),2.4828471644144883)</f>
        <v>2.482847164</v>
      </c>
      <c r="Y3217" s="82">
        <f>IFERROR(__xludf.DUMMYFUNCTION("""COMPUTED_VALUE"""),325.6306139008272)</f>
        <v>325.6306139</v>
      </c>
      <c r="Z3217" s="82">
        <f>IFERROR(__xludf.DUMMYFUNCTION("""COMPUTED_VALUE"""),0.7993576292600615)</f>
        <v>0.7993576293</v>
      </c>
      <c r="AA3217" s="82">
        <f>IFERROR(__xludf.DUMMYFUNCTION("""COMPUTED_VALUE"""),0.5190986925436606)</f>
        <v>0.5190986925</v>
      </c>
      <c r="AB3217" s="82">
        <f>IFERROR(__xludf.DUMMYFUNCTION("""COMPUTED_VALUE"""),1.1285429966273512)</f>
        <v>1.128542997</v>
      </c>
      <c r="AC3217" s="82">
        <f>IFERROR(__xludf.DUMMYFUNCTION("""COMPUTED_VALUE"""),2.189595854692166)</f>
        <v>2.189595855</v>
      </c>
      <c r="AD3217" s="82">
        <f>IFERROR(__xludf.DUMMYFUNCTION("""COMPUTED_VALUE"""),1.0539549580081056)</f>
        <v>1.053954958</v>
      </c>
      <c r="AE3217" s="82">
        <f>IFERROR(__xludf.DUMMYFUNCTION("""COMPUTED_VALUE"""),1.0008036086933119)</f>
        <v>1.000803609</v>
      </c>
      <c r="AF3217" s="82">
        <f>IFERROR(__xludf.DUMMYFUNCTION("""COMPUTED_VALUE"""),1.155849568913208)</f>
        <v>1.155849569</v>
      </c>
      <c r="AG3217" s="82">
        <f>IFERROR(__xludf.DUMMYFUNCTION("""COMPUTED_VALUE"""),1.1223911454433706)</f>
        <v>1.122391145</v>
      </c>
      <c r="AH3217" s="82">
        <f>IFERROR(__xludf.DUMMYFUNCTION("""COMPUTED_VALUE"""),0.9134105710485914)</f>
        <v>0.913410571</v>
      </c>
      <c r="AI3217" s="82">
        <f>IFERROR(__xludf.DUMMYFUNCTION("""COMPUTED_VALUE"""),1.0520305391332856)</f>
        <v>1.052030539</v>
      </c>
      <c r="AJ3217" s="82">
        <f>IFERROR(__xludf.DUMMYFUNCTION("""COMPUTED_VALUE"""),1.113355731903108)</f>
        <v>1.113355732</v>
      </c>
      <c r="AK3217" s="82">
        <f>IFERROR(__xludf.DUMMYFUNCTION("""COMPUTED_VALUE"""),1.122694730186527)</f>
        <v>1.12269473</v>
      </c>
      <c r="AL3217" s="82">
        <f>IFERROR(__xludf.DUMMYFUNCTION("""COMPUTED_VALUE"""),1.0355604785907562)</f>
        <v>1.035560479</v>
      </c>
      <c r="AM3217" s="82">
        <f>IFERROR(__xludf.DUMMYFUNCTION("""COMPUTED_VALUE"""),1.05613517408777)</f>
        <v>1.056135174</v>
      </c>
      <c r="AN3217" s="82">
        <f>IFERROR(__xludf.DUMMYFUNCTION("""COMPUTED_VALUE"""),1.0791679712279751)</f>
        <v>1.079167971</v>
      </c>
      <c r="AO3217" s="82">
        <f>IFERROR(__xludf.DUMMYFUNCTION("""COMPUTED_VALUE"""),0.9964083236501378)</f>
        <v>0.9964083237</v>
      </c>
      <c r="AP3217" s="82">
        <f>IFERROR(__xludf.DUMMYFUNCTION("""COMPUTED_VALUE"""),1.1150344716809106)</f>
        <v>1.115034472</v>
      </c>
      <c r="AQ3217" s="82">
        <f>IFERROR(__xludf.DUMMYFUNCTION("""COMPUTED_VALUE"""),1.209466507570323)</f>
        <v>1.209466508</v>
      </c>
      <c r="AR3217" s="82">
        <f>IFERROR(__xludf.DUMMYFUNCTION("""COMPUTED_VALUE"""),0.9079425042330385)</f>
        <v>0.9079425042</v>
      </c>
      <c r="AS3217" s="82">
        <f>IFERROR(__xludf.DUMMYFUNCTION("""COMPUTED_VALUE"""),72.0)</f>
        <v>72</v>
      </c>
      <c r="AT3217" s="82">
        <f>IFERROR(__xludf.DUMMYFUNCTION("""COMPUTED_VALUE"""),0.40596742119706625)</f>
        <v>0.4059674212</v>
      </c>
      <c r="AU3217" s="82">
        <f>IFERROR(__xludf.DUMMYFUNCTION("""COMPUTED_VALUE"""),3.896114068637345)</f>
        <v>3.896114069</v>
      </c>
      <c r="AV3217" s="82">
        <f>IFERROR(__xludf.DUMMYFUNCTION("""COMPUTED_VALUE"""),51.69574647557736)</f>
        <v>51.69574648</v>
      </c>
      <c r="AW3217" s="82">
        <f t="shared" si="1"/>
        <v>2.114341306</v>
      </c>
      <c r="AX3217" s="83">
        <f t="array" ref="AX3217">IFERROR(DGET('SBV Import'!A:G,"SBV",{"RSC ID","Tier";B3217,A3217}))</f>
        <v>44.61927831</v>
      </c>
      <c r="AY3217" s="82">
        <f t="shared" si="2"/>
        <v>-2.410832686</v>
      </c>
      <c r="AZ3217" s="82">
        <v>4.525173991993789</v>
      </c>
      <c r="BA3217" s="84">
        <v>3200.0</v>
      </c>
      <c r="BB3217" s="84" t="b">
        <f>IFERROR(__xludf.DUMMYFUNCTION("iferror(if(A3217="""",,E3217&gt;=FILTER(Constants!$F$2:$F$10,Constants!$A$2:$A$10=A3217)))"),TRUE)</f>
        <v>1</v>
      </c>
    </row>
    <row r="3218">
      <c r="A3218" s="89" t="str">
        <f>IFERROR(__xludf.DUMMYFUNCTION("""COMPUTED_VALUE"""),"Contender")</f>
        <v>Contender</v>
      </c>
      <c r="B3218" s="87" t="str">
        <f>IFERROR(__xludf.DUMMYFUNCTION("""COMPUTED_VALUE"""),"RSC005974")</f>
        <v>RSC005974</v>
      </c>
      <c r="C3218" s="73" t="str">
        <f>IFERROR(__xludf.DUMMYFUNCTION("""COMPUTED_VALUE"""),"Angry-Hermit")</f>
        <v>Angry-Hermit</v>
      </c>
      <c r="D3218" s="73" t="str">
        <f>IFERROR(__xludf.DUMMYFUNCTION("""COMPUTED_VALUE"""),"Devoured")</f>
        <v>Devoured</v>
      </c>
      <c r="E3218" s="82">
        <f>IFERROR(__xludf.DUMMYFUNCTION("""COMPUTED_VALUE"""),40.0)</f>
        <v>40</v>
      </c>
      <c r="F3218" s="82">
        <f>IFERROR(__xludf.DUMMYFUNCTION("""COMPUTED_VALUE"""),21.0)</f>
        <v>21</v>
      </c>
      <c r="G3218" s="86">
        <f>IFERROR(__xludf.DUMMYFUNCTION("""COMPUTED_VALUE"""),19.0)</f>
        <v>19</v>
      </c>
      <c r="H3218" s="86">
        <f>IFERROR(__xludf.DUMMYFUNCTION("""COMPUTED_VALUE"""),0.525)</f>
        <v>0.525</v>
      </c>
      <c r="I3218" s="86">
        <f>IFERROR(__xludf.DUMMYFUNCTION("""COMPUTED_VALUE"""),0.3717948717948718)</f>
        <v>0.3717948718</v>
      </c>
      <c r="J3218" s="82">
        <f>IFERROR(__xludf.DUMMYFUNCTION("""COMPUTED_VALUE"""),297.175)</f>
        <v>297.175</v>
      </c>
      <c r="K3218" s="82">
        <f>IFERROR(__xludf.DUMMYFUNCTION("""COMPUTED_VALUE"""),0.725)</f>
        <v>0.725</v>
      </c>
      <c r="L3218" s="82">
        <f>IFERROR(__xludf.DUMMYFUNCTION("""COMPUTED_VALUE"""),0.7)</f>
        <v>0.7</v>
      </c>
      <c r="M3218" s="82">
        <f>IFERROR(__xludf.DUMMYFUNCTION("""COMPUTED_VALUE"""),0.625)</f>
        <v>0.625</v>
      </c>
      <c r="N3218" s="82">
        <f>IFERROR(__xludf.DUMMYFUNCTION("""COMPUTED_VALUE"""),1.95)</f>
        <v>1.95</v>
      </c>
      <c r="O3218" s="82">
        <f>IFERROR(__xludf.DUMMYFUNCTION("""COMPUTED_VALUE"""),325.1166666666667)</f>
        <v>325.1166667</v>
      </c>
      <c r="P3218" s="82">
        <f>IFERROR(__xludf.DUMMYFUNCTION("""COMPUTED_VALUE"""),0.7833333333333334)</f>
        <v>0.7833333333</v>
      </c>
      <c r="Q3218" s="82">
        <f>IFERROR(__xludf.DUMMYFUNCTION("""COMPUTED_VALUE"""),0.5333333333333333)</f>
        <v>0.5333333333</v>
      </c>
      <c r="R3218" s="82">
        <f>IFERROR(__xludf.DUMMYFUNCTION("""COMPUTED_VALUE"""),1.1749999999999998)</f>
        <v>1.175</v>
      </c>
      <c r="S3218" s="82">
        <f>IFERROR(__xludf.DUMMYFUNCTION("""COMPUTED_VALUE"""),2.1250000000000004)</f>
        <v>2.125</v>
      </c>
      <c r="T3218" s="82">
        <f>IFERROR(__xludf.DUMMYFUNCTION("""COMPUTED_VALUE"""),323.07388819154636)</f>
        <v>323.0738882</v>
      </c>
      <c r="U3218" s="82">
        <f>IFERROR(__xludf.DUMMYFUNCTION("""COMPUTED_VALUE"""),0.8006610661852074)</f>
        <v>0.8006610662</v>
      </c>
      <c r="V3218" s="82">
        <f>IFERROR(__xludf.DUMMYFUNCTION("""COMPUTED_VALUE"""),0.5298538502132704)</f>
        <v>0.5298538502</v>
      </c>
      <c r="W3218" s="82">
        <f>IFERROR(__xludf.DUMMYFUNCTION("""COMPUTED_VALUE"""),1.072018655692714)</f>
        <v>1.072018656</v>
      </c>
      <c r="X3218" s="82">
        <f>IFERROR(__xludf.DUMMYFUNCTION("""COMPUTED_VALUE"""),2.241517103853144)</f>
        <v>2.241517104</v>
      </c>
      <c r="Y3218" s="82">
        <f>IFERROR(__xludf.DUMMYFUNCTION("""COMPUTED_VALUE"""),331.54113977327245)</f>
        <v>331.5411398</v>
      </c>
      <c r="Z3218" s="82">
        <f>IFERROR(__xludf.DUMMYFUNCTION("""COMPUTED_VALUE"""),0.8584922675703993)</f>
        <v>0.8584922676</v>
      </c>
      <c r="AA3218" s="82">
        <f>IFERROR(__xludf.DUMMYFUNCTION("""COMPUTED_VALUE"""),0.5606717224606357)</f>
        <v>0.5606717225</v>
      </c>
      <c r="AB3218" s="82">
        <f>IFERROR(__xludf.DUMMYFUNCTION("""COMPUTED_VALUE"""),1.047499708628964)</f>
        <v>1.047499709</v>
      </c>
      <c r="AC3218" s="82">
        <f>IFERROR(__xludf.DUMMYFUNCTION("""COMPUTED_VALUE"""),2.325381788752882)</f>
        <v>2.325381789</v>
      </c>
      <c r="AD3218" s="82">
        <f>IFERROR(__xludf.DUMMYFUNCTION("""COMPUTED_VALUE"""),0.8963442672701974)</f>
        <v>0.8963442673</v>
      </c>
      <c r="AE3218" s="82">
        <f>IFERROR(__xludf.DUMMYFUNCTION("""COMPUTED_VALUE"""),0.8445038206946314)</f>
        <v>0.8445038207</v>
      </c>
      <c r="AF3218" s="82">
        <f>IFERROR(__xludf.DUMMYFUNCTION("""COMPUTED_VALUE"""),1.2485024158662583)</f>
        <v>1.248502416</v>
      </c>
      <c r="AG3218" s="82">
        <f>IFERROR(__xludf.DUMMYFUNCTION("""COMPUTED_VALUE"""),0.5966588771829262)</f>
        <v>0.5966588772</v>
      </c>
      <c r="AH3218" s="82">
        <f>IFERROR(__xludf.DUMMYFUNCTION("""COMPUTED_VALUE"""),0.8385719753339078)</f>
        <v>0.8385719753</v>
      </c>
      <c r="AI3218" s="82">
        <f>IFERROR(__xludf.DUMMYFUNCTION("""COMPUTED_VALUE"""),1.0063229451521294)</f>
        <v>1.006322945</v>
      </c>
      <c r="AJ3218" s="82">
        <f>IFERROR(__xludf.DUMMYFUNCTION("""COMPUTED_VALUE"""),0.9783582172486133)</f>
        <v>0.9783582172</v>
      </c>
      <c r="AK3218" s="82">
        <f>IFERROR(__xludf.DUMMYFUNCTION("""COMPUTED_VALUE"""),1.00656687333434)</f>
        <v>1.006566873</v>
      </c>
      <c r="AL3218" s="82">
        <f>IFERROR(__xludf.DUMMYFUNCTION("""COMPUTED_VALUE"""),1.0960630150981296)</f>
        <v>1.096063015</v>
      </c>
      <c r="AM3218" s="82">
        <f>IFERROR(__xludf.DUMMYFUNCTION("""COMPUTED_VALUE"""),0.948018641636572)</f>
        <v>0.9480186416</v>
      </c>
      <c r="AN3218" s="82">
        <f>IFERROR(__xludf.DUMMYFUNCTION("""COMPUTED_VALUE"""),0.934445634760121)</f>
        <v>0.9344456348</v>
      </c>
      <c r="AO3218" s="82">
        <f>IFERROR(__xludf.DUMMYFUNCTION("""COMPUTED_VALUE"""),0.9029950433079372)</f>
        <v>0.9029950433</v>
      </c>
      <c r="AP3218" s="82">
        <f>IFERROR(__xludf.DUMMYFUNCTION("""COMPUTED_VALUE"""),1.3008735502943958)</f>
        <v>1.30087355</v>
      </c>
      <c r="AQ3218" s="82">
        <f>IFERROR(__xludf.DUMMYFUNCTION("""COMPUTED_VALUE"""),0.5967762372879883)</f>
        <v>0.5967762373</v>
      </c>
      <c r="AR3218" s="82">
        <f>IFERROR(__xludf.DUMMYFUNCTION("""COMPUTED_VALUE"""),0.8852439416272124)</f>
        <v>0.8852439416</v>
      </c>
      <c r="AS3218" s="82">
        <f>IFERROR(__xludf.DUMMYFUNCTION("""COMPUTED_VALUE"""),118.0)</f>
        <v>118</v>
      </c>
      <c r="AT3218" s="82">
        <f>IFERROR(__xludf.DUMMYFUNCTION("""COMPUTED_VALUE"""),0.590728188737897)</f>
        <v>0.5907281887</v>
      </c>
      <c r="AU3218" s="82">
        <f>IFERROR(__xludf.DUMMYFUNCTION("""COMPUTED_VALUE"""),3.818283648769052)</f>
        <v>3.818283649</v>
      </c>
      <c r="AV3218" s="82">
        <f>IFERROR(__xludf.DUMMYFUNCTION("""COMPUTED_VALUE"""),50.570167880985935)</f>
        <v>50.57016788</v>
      </c>
      <c r="AW3218" s="82">
        <f t="shared" si="1"/>
        <v>2.037065525</v>
      </c>
      <c r="AX3218" s="83">
        <f t="array" ref="AX3218">IFERROR(DGET('SBV Import'!A:G,"SBV",{"RSC ID","Tier";B3218,A3218}))</f>
        <v>44.12820607</v>
      </c>
      <c r="AY3218" s="82">
        <f t="shared" si="2"/>
        <v>-2.456072315</v>
      </c>
      <c r="AZ3218" s="82">
        <v>4.493137839620404</v>
      </c>
      <c r="BA3218" s="84">
        <v>3200.0</v>
      </c>
      <c r="BB3218" s="84" t="b">
        <f>IFERROR(__xludf.DUMMYFUNCTION("iferror(if(A3218="""",,E3218&gt;=FILTER(Constants!$F$2:$F$10,Constants!$A$2:$A$10=A3218)))"),TRUE)</f>
        <v>1</v>
      </c>
    </row>
    <row r="3219">
      <c r="A3219" s="89" t="str">
        <f>IFERROR(__xludf.DUMMYFUNCTION("""COMPUTED_VALUE"""),"Contender")</f>
        <v>Contender</v>
      </c>
      <c r="B3219" s="87" t="str">
        <f>IFERROR(__xludf.DUMMYFUNCTION("""COMPUTED_VALUE"""),"RSC000963")</f>
        <v>RSC000963</v>
      </c>
      <c r="C3219" s="73" t="str">
        <f>IFERROR(__xludf.DUMMYFUNCTION("""COMPUTED_VALUE"""),"Sup3rm4n")</f>
        <v>Sup3rm4n</v>
      </c>
      <c r="D3219" s="73" t="str">
        <f>IFERROR(__xludf.DUMMYFUNCTION("""COMPUTED_VALUE"""),"Rheas")</f>
        <v>Rheas</v>
      </c>
      <c r="E3219" s="82">
        <f>IFERROR(__xludf.DUMMYFUNCTION("""COMPUTED_VALUE"""),20.0)</f>
        <v>20</v>
      </c>
      <c r="F3219" s="82">
        <f>IFERROR(__xludf.DUMMYFUNCTION("""COMPUTED_VALUE"""),13.0)</f>
        <v>13</v>
      </c>
      <c r="G3219" s="86">
        <f>IFERROR(__xludf.DUMMYFUNCTION("""COMPUTED_VALUE"""),7.0)</f>
        <v>7</v>
      </c>
      <c r="H3219" s="86">
        <f>IFERROR(__xludf.DUMMYFUNCTION("""COMPUTED_VALUE"""),0.65)</f>
        <v>0.65</v>
      </c>
      <c r="I3219" s="86">
        <f>IFERROR(__xludf.DUMMYFUNCTION("""COMPUTED_VALUE"""),0.48837209302325585)</f>
        <v>0.488372093</v>
      </c>
      <c r="J3219" s="82">
        <f>IFERROR(__xludf.DUMMYFUNCTION("""COMPUTED_VALUE"""),318.25)</f>
        <v>318.25</v>
      </c>
      <c r="K3219" s="82">
        <f>IFERROR(__xludf.DUMMYFUNCTION("""COMPUTED_VALUE"""),1.05)</f>
        <v>1.05</v>
      </c>
      <c r="L3219" s="82">
        <f>IFERROR(__xludf.DUMMYFUNCTION("""COMPUTED_VALUE"""),0.4)</f>
        <v>0.4</v>
      </c>
      <c r="M3219" s="82">
        <f>IFERROR(__xludf.DUMMYFUNCTION("""COMPUTED_VALUE"""),0.85)</f>
        <v>0.85</v>
      </c>
      <c r="N3219" s="82">
        <f>IFERROR(__xludf.DUMMYFUNCTION("""COMPUTED_VALUE"""),2.15)</f>
        <v>2.15</v>
      </c>
      <c r="O3219" s="82">
        <f>IFERROR(__xludf.DUMMYFUNCTION("""COMPUTED_VALUE"""),313.56666666666666)</f>
        <v>313.5666667</v>
      </c>
      <c r="P3219" s="82">
        <f>IFERROR(__xludf.DUMMYFUNCTION("""COMPUTED_VALUE"""),0.6833333333333333)</f>
        <v>0.6833333333</v>
      </c>
      <c r="Q3219" s="82">
        <f>IFERROR(__xludf.DUMMYFUNCTION("""COMPUTED_VALUE"""),0.4833333333333334)</f>
        <v>0.4833333333</v>
      </c>
      <c r="R3219" s="82">
        <f>IFERROR(__xludf.DUMMYFUNCTION("""COMPUTED_VALUE"""),1.2833333333333332)</f>
        <v>1.283333333</v>
      </c>
      <c r="S3219" s="82">
        <f>IFERROR(__xludf.DUMMYFUNCTION("""COMPUTED_VALUE"""),1.9333333333333331)</f>
        <v>1.933333333</v>
      </c>
      <c r="T3219" s="82">
        <f>IFERROR(__xludf.DUMMYFUNCTION("""COMPUTED_VALUE"""),317.2277197233454)</f>
        <v>317.2277197</v>
      </c>
      <c r="U3219" s="82">
        <f>IFERROR(__xludf.DUMMYFUNCTION("""COMPUTED_VALUE"""),0.750064126310364)</f>
        <v>0.7500641263</v>
      </c>
      <c r="V3219" s="82">
        <f>IFERROR(__xludf.DUMMYFUNCTION("""COMPUTED_VALUE"""),0.48933950316747354)</f>
        <v>0.4893395032</v>
      </c>
      <c r="W3219" s="82">
        <f>IFERROR(__xludf.DUMMYFUNCTION("""COMPUTED_VALUE"""),1.0912737563176467)</f>
        <v>1.091273756</v>
      </c>
      <c r="X3219" s="82">
        <f>IFERROR(__xludf.DUMMYFUNCTION("""COMPUTED_VALUE"""),2.124707821315845)</f>
        <v>2.124707821</v>
      </c>
      <c r="Y3219" s="82">
        <f>IFERROR(__xludf.DUMMYFUNCTION("""COMPUTED_VALUE"""),337.7199732872935)</f>
        <v>337.7199733</v>
      </c>
      <c r="Z3219" s="82">
        <f>IFERROR(__xludf.DUMMYFUNCTION("""COMPUTED_VALUE"""),0.9099211513887463)</f>
        <v>0.9099211514</v>
      </c>
      <c r="AA3219" s="82">
        <f>IFERROR(__xludf.DUMMYFUNCTION("""COMPUTED_VALUE"""),0.5960267265260784)</f>
        <v>0.5960267265</v>
      </c>
      <c r="AB3219" s="82">
        <f>IFERROR(__xludf.DUMMYFUNCTION("""COMPUTED_VALUE"""),1.0157705184572023)</f>
        <v>1.015770518</v>
      </c>
      <c r="AC3219" s="82">
        <f>IFERROR(__xludf.DUMMYFUNCTION("""COMPUTED_VALUE"""),2.393992858559471)</f>
        <v>2.393992859</v>
      </c>
      <c r="AD3219" s="82">
        <f>IFERROR(__xludf.DUMMYFUNCTION("""COMPUTED_VALUE"""),0.9423487657606479)</f>
        <v>0.9423487658</v>
      </c>
      <c r="AE3219" s="82">
        <f>IFERROR(__xludf.DUMMYFUNCTION("""COMPUTED_VALUE"""),1.1539461396160113)</f>
        <v>1.15394614</v>
      </c>
      <c r="AF3219" s="82">
        <f>IFERROR(__xludf.DUMMYFUNCTION("""COMPUTED_VALUE"""),0.6711108448632606)</f>
        <v>0.6711108449</v>
      </c>
      <c r="AG3219" s="82">
        <f>IFERROR(__xludf.DUMMYFUNCTION("""COMPUTED_VALUE"""),0.8368031800046903)</f>
        <v>0.83680318</v>
      </c>
      <c r="AH3219" s="82">
        <f>IFERROR(__xludf.DUMMYFUNCTION("""COMPUTED_VALUE"""),0.8980812086856901)</f>
        <v>0.8980812087</v>
      </c>
      <c r="AI3219" s="82">
        <f>IFERROR(__xludf.DUMMYFUNCTION("""COMPUTED_VALUE"""),0.9884592271448677)</f>
        <v>0.9884592271</v>
      </c>
      <c r="AJ3219" s="82">
        <f>IFERROR(__xludf.DUMMYFUNCTION("""COMPUTED_VALUE"""),0.9110332161794142)</f>
        <v>0.9110332162</v>
      </c>
      <c r="AK3219" s="82">
        <f>IFERROR(__xludf.DUMMYFUNCTION("""COMPUTED_VALUE"""),0.9877259657246912)</f>
        <v>0.9877259657</v>
      </c>
      <c r="AL3219" s="82">
        <f>IFERROR(__xludf.DUMMYFUNCTION("""COMPUTED_VALUE"""),1.1759957809887824)</f>
        <v>1.175995781</v>
      </c>
      <c r="AM3219" s="82">
        <f>IFERROR(__xludf.DUMMYFUNCTION("""COMPUTED_VALUE"""),0.9099290330357082)</f>
        <v>0.909929033</v>
      </c>
      <c r="AN3219" s="82">
        <f>IFERROR(__xludf.DUMMYFUNCTION("""COMPUTED_VALUE"""),1.0007144721541466)</f>
        <v>1.000714472</v>
      </c>
      <c r="AO3219" s="82">
        <f>IFERROR(__xludf.DUMMYFUNCTION("""COMPUTED_VALUE"""),1.3077859247908057)</f>
        <v>1.307785925</v>
      </c>
      <c r="AP3219" s="82">
        <f>IFERROR(__xludf.DUMMYFUNCTION("""COMPUTED_VALUE"""),0.7433563144539406)</f>
        <v>0.7433563145</v>
      </c>
      <c r="AQ3219" s="82">
        <f>IFERROR(__xludf.DUMMYFUNCTION("""COMPUTED_VALUE"""),0.8116156827116642)</f>
        <v>0.8116156827</v>
      </c>
      <c r="AR3219" s="82">
        <f>IFERROR(__xludf.DUMMYFUNCTION("""COMPUTED_VALUE"""),0.9760381920505163)</f>
        <v>0.9760381921</v>
      </c>
      <c r="AS3219" s="82">
        <f>IFERROR(__xludf.DUMMYFUNCTION("""COMPUTED_VALUE"""),66.0)</f>
        <v>66</v>
      </c>
      <c r="AT3219" s="82">
        <f>IFERROR(__xludf.DUMMYFUNCTION("""COMPUTED_VALUE"""),0.6836088116505251)</f>
        <v>0.6836088117</v>
      </c>
      <c r="AU3219" s="82">
        <f>IFERROR(__xludf.DUMMYFUNCTION("""COMPUTED_VALUE"""),3.7365468466960876)</f>
        <v>3.736546847</v>
      </c>
      <c r="AV3219" s="82">
        <f>IFERROR(__xludf.DUMMYFUNCTION("""COMPUTED_VALUE"""),49.388095434770534)</f>
        <v>49.38809543</v>
      </c>
      <c r="AW3219" s="82">
        <f t="shared" si="1"/>
        <v>-2.03983225</v>
      </c>
      <c r="AX3219" s="83">
        <f t="array" ref="AX3219">IFERROR(DGET('SBV Import'!A:G,"SBV",{"RSC ID","Tier";B3219,A3219}))</f>
        <v>42.64326096</v>
      </c>
      <c r="AY3219" s="82">
        <f t="shared" si="2"/>
        <v>-2.602296504</v>
      </c>
      <c r="AZ3219" s="82">
        <v>0.5624642539360996</v>
      </c>
      <c r="BA3219" s="84">
        <v>3200.0</v>
      </c>
      <c r="BB3219" s="84" t="b">
        <f>IFERROR(__xludf.DUMMYFUNCTION("iferror(if(A3219="""",,E3219&gt;=FILTER(Constants!$F$2:$F$10,Constants!$A$2:$A$10=A3219)))"),TRUE)</f>
        <v>1</v>
      </c>
    </row>
    <row r="3220">
      <c r="A3220" s="89" t="str">
        <f>IFERROR(__xludf.DUMMYFUNCTION("""COMPUTED_VALUE"""),"Contender")</f>
        <v>Contender</v>
      </c>
      <c r="B3220" s="87" t="str">
        <f>IFERROR(__xludf.DUMMYFUNCTION("""COMPUTED_VALUE"""),"RSC006817")</f>
        <v>RSC006817</v>
      </c>
      <c r="C3220" s="73" t="str">
        <f>IFERROR(__xludf.DUMMYFUNCTION("""COMPUTED_VALUE"""),"Froz3nSlack5r")</f>
        <v>Froz3nSlack5r</v>
      </c>
      <c r="D3220" s="73" t="str">
        <f>IFERROR(__xludf.DUMMYFUNCTION("""COMPUTED_VALUE"""),"Celestial Cider")</f>
        <v>Celestial Cider</v>
      </c>
      <c r="E3220" s="82">
        <f>IFERROR(__xludf.DUMMYFUNCTION("""COMPUTED_VALUE"""),47.0)</f>
        <v>47</v>
      </c>
      <c r="F3220" s="82">
        <f>IFERROR(__xludf.DUMMYFUNCTION("""COMPUTED_VALUE"""),19.0)</f>
        <v>19</v>
      </c>
      <c r="G3220" s="86">
        <f>IFERROR(__xludf.DUMMYFUNCTION("""COMPUTED_VALUE"""),28.0)</f>
        <v>28</v>
      </c>
      <c r="H3220" s="86">
        <f>IFERROR(__xludf.DUMMYFUNCTION("""COMPUTED_VALUE"""),0.40425531914893614)</f>
        <v>0.4042553191</v>
      </c>
      <c r="I3220" s="86">
        <f>IFERROR(__xludf.DUMMYFUNCTION("""COMPUTED_VALUE"""),0.3826086956521739)</f>
        <v>0.3826086957</v>
      </c>
      <c r="J3220" s="82">
        <f>IFERROR(__xludf.DUMMYFUNCTION("""COMPUTED_VALUE"""),304.2340425531915)</f>
        <v>304.2340426</v>
      </c>
      <c r="K3220" s="82">
        <f>IFERROR(__xludf.DUMMYFUNCTION("""COMPUTED_VALUE"""),0.9361702127659575)</f>
        <v>0.9361702128</v>
      </c>
      <c r="L3220" s="82">
        <f>IFERROR(__xludf.DUMMYFUNCTION("""COMPUTED_VALUE"""),0.40425531914893614)</f>
        <v>0.4042553191</v>
      </c>
      <c r="M3220" s="82">
        <f>IFERROR(__xludf.DUMMYFUNCTION("""COMPUTED_VALUE"""),0.6808510638297872)</f>
        <v>0.6808510638</v>
      </c>
      <c r="N3220" s="82">
        <f>IFERROR(__xludf.DUMMYFUNCTION("""COMPUTED_VALUE"""),2.4468085106382977)</f>
        <v>2.446808511</v>
      </c>
      <c r="O3220" s="82">
        <f>IFERROR(__xludf.DUMMYFUNCTION("""COMPUTED_VALUE"""),330.7446808510639)</f>
        <v>330.7446809</v>
      </c>
      <c r="P3220" s="82">
        <f>IFERROR(__xludf.DUMMYFUNCTION("""COMPUTED_VALUE"""),0.8581560283687941)</f>
        <v>0.8581560284</v>
      </c>
      <c r="Q3220" s="82">
        <f>IFERROR(__xludf.DUMMYFUNCTION("""COMPUTED_VALUE"""),0.5815602836879432)</f>
        <v>0.5815602837</v>
      </c>
      <c r="R3220" s="82">
        <f>IFERROR(__xludf.DUMMYFUNCTION("""COMPUTED_VALUE"""),1.0567375886524824)</f>
        <v>1.056737589</v>
      </c>
      <c r="S3220" s="82">
        <f>IFERROR(__xludf.DUMMYFUNCTION("""COMPUTED_VALUE"""),2.234042553191489)</f>
        <v>2.234042553</v>
      </c>
      <c r="T3220" s="82">
        <f>IFERROR(__xludf.DUMMYFUNCTION("""COMPUTED_VALUE"""),323.3652708332817)</f>
        <v>323.3652708</v>
      </c>
      <c r="U3220" s="82">
        <f>IFERROR(__xludf.DUMMYFUNCTION("""COMPUTED_VALUE"""),0.8028666053273134)</f>
        <v>0.8028666053</v>
      </c>
      <c r="V3220" s="82">
        <f>IFERROR(__xludf.DUMMYFUNCTION("""COMPUTED_VALUE"""),0.5230173044166733)</f>
        <v>0.5230173044</v>
      </c>
      <c r="W3220" s="82">
        <f>IFERROR(__xludf.DUMMYFUNCTION("""COMPUTED_VALUE"""),1.0650239875822258)</f>
        <v>1.065023988</v>
      </c>
      <c r="X3220" s="82">
        <f>IFERROR(__xludf.DUMMYFUNCTION("""COMPUTED_VALUE"""),2.2510951060037128)</f>
        <v>2.251095106</v>
      </c>
      <c r="Y3220" s="82">
        <f>IFERROR(__xludf.DUMMYFUNCTION("""COMPUTED_VALUE"""),332.5904450414981)</f>
        <v>332.590445</v>
      </c>
      <c r="Z3220" s="82">
        <f>IFERROR(__xludf.DUMMYFUNCTION("""COMPUTED_VALUE"""),0.8600269717415668)</f>
        <v>0.8600269717</v>
      </c>
      <c r="AA3220" s="82">
        <f>IFERROR(__xludf.DUMMYFUNCTION("""COMPUTED_VALUE"""),0.5643759050044995)</f>
        <v>0.564375905</v>
      </c>
      <c r="AB3220" s="82">
        <f>IFERROR(__xludf.DUMMYFUNCTION("""COMPUTED_VALUE"""),1.0701376656610206)</f>
        <v>1.070137666</v>
      </c>
      <c r="AC3220" s="82">
        <f>IFERROR(__xludf.DUMMYFUNCTION("""COMPUTED_VALUE"""),2.3264730665198776)</f>
        <v>2.326473067</v>
      </c>
      <c r="AD3220" s="82">
        <f>IFERROR(__xludf.DUMMYFUNCTION("""COMPUTED_VALUE"""),0.9147407783023697)</f>
        <v>0.9147407783</v>
      </c>
      <c r="AE3220" s="82">
        <f>IFERROR(__xludf.DUMMYFUNCTION("""COMPUTED_VALUE"""),1.0885358756484107)</f>
        <v>1.088535876</v>
      </c>
      <c r="AF3220" s="82">
        <f>IFERROR(__xludf.DUMMYFUNCTION("""COMPUTED_VALUE"""),0.7162873460122526)</f>
        <v>0.716287346</v>
      </c>
      <c r="AG3220" s="82">
        <f>IFERROR(__xludf.DUMMYFUNCTION("""COMPUTED_VALUE"""),0.6362275487324592)</f>
        <v>0.6362275487</v>
      </c>
      <c r="AH3220" s="82">
        <f>IFERROR(__xludf.DUMMYFUNCTION("""COMPUTED_VALUE"""),1.0517244088703024)</f>
        <v>1.051724409</v>
      </c>
      <c r="AI3220" s="82">
        <f>IFERROR(__xludf.DUMMYFUNCTION("""COMPUTED_VALUE"""),1.022820663452096)</f>
        <v>1.022820663</v>
      </c>
      <c r="AJ3220" s="82">
        <f>IFERROR(__xludf.DUMMYFUNCTION("""COMPUTED_VALUE"""),1.0688650177683505)</f>
        <v>1.068865018</v>
      </c>
      <c r="AK3220" s="82">
        <f>IFERROR(__xludf.DUMMYFUNCTION("""COMPUTED_VALUE"""),1.1119331593369812)</f>
        <v>1.111933159</v>
      </c>
      <c r="AL3220" s="82">
        <f>IFERROR(__xludf.DUMMYFUNCTION("""COMPUTED_VALUE"""),0.9922195189720047)</f>
        <v>0.992219519</v>
      </c>
      <c r="AM3220" s="82">
        <f>IFERROR(__xludf.DUMMYFUNCTION("""COMPUTED_VALUE"""),0.9924247746055934)</f>
        <v>0.9924247746</v>
      </c>
      <c r="AN3220" s="82">
        <f>IFERROR(__xludf.DUMMYFUNCTION("""COMPUTED_VALUE"""),0.9566422916101781)</f>
        <v>0.9566422916</v>
      </c>
      <c r="AO3220" s="82">
        <f>IFERROR(__xludf.DUMMYFUNCTION("""COMPUTED_VALUE"""),1.1660097404416505)</f>
        <v>1.16600974</v>
      </c>
      <c r="AP3220" s="82">
        <f>IFERROR(__xludf.DUMMYFUNCTION("""COMPUTED_VALUE"""),0.7512643603523866)</f>
        <v>0.7512643604</v>
      </c>
      <c r="AQ3220" s="82">
        <f>IFERROR(__xludf.DUMMYFUNCTION("""COMPUTED_VALUE"""),0.6501051776413831)</f>
        <v>0.6501051776</v>
      </c>
      <c r="AR3220" s="82">
        <f>IFERROR(__xludf.DUMMYFUNCTION("""COMPUTED_VALUE"""),1.1107807232638236)</f>
        <v>1.110780723</v>
      </c>
      <c r="AS3220" s="82">
        <f>IFERROR(__xludf.DUMMYFUNCTION("""COMPUTED_VALUE"""),104.0)</f>
        <v>104</v>
      </c>
      <c r="AT3220" s="82">
        <f>IFERROR(__xludf.DUMMYFUNCTION("""COMPUTED_VALUE"""),0.4409502918974462)</f>
        <v>0.4409502919</v>
      </c>
      <c r="AU3220" s="82">
        <f>IFERROR(__xludf.DUMMYFUNCTION("""COMPUTED_VALUE"""),3.634941908280938)</f>
        <v>3.634941908</v>
      </c>
      <c r="AV3220" s="82">
        <f>IFERROR(__xludf.DUMMYFUNCTION("""COMPUTED_VALUE"""),47.91869126120442)</f>
        <v>47.91869126</v>
      </c>
      <c r="AW3220" s="82">
        <f t="shared" si="1"/>
        <v>-2.142128311</v>
      </c>
      <c r="AX3220" s="83">
        <f t="array" ref="AX3220">IFERROR(DGET('SBV Import'!A:G,"SBV",{"RSC ID","Tier";B3220,A3220}))</f>
        <v>48.39566546</v>
      </c>
      <c r="AY3220" s="82">
        <f t="shared" si="2"/>
        <v>-2.107854328</v>
      </c>
      <c r="AZ3220" s="82">
        <v>0.03427398308193075</v>
      </c>
      <c r="BA3220" s="84">
        <v>3200.0</v>
      </c>
      <c r="BB3220" s="84" t="b">
        <f>IFERROR(__xludf.DUMMYFUNCTION("iferror(if(A3220="""",,E3220&gt;=FILTER(Constants!$F$2:$F$10,Constants!$A$2:$A$10=A3220)))"),TRUE)</f>
        <v>1</v>
      </c>
    </row>
    <row r="3221">
      <c r="A3221" s="89" t="str">
        <f>IFERROR(__xludf.DUMMYFUNCTION("""COMPUTED_VALUE"""),"Contender")</f>
        <v>Contender</v>
      </c>
      <c r="B3221" s="87" t="str">
        <f>IFERROR(__xludf.DUMMYFUNCTION("""COMPUTED_VALUE"""),"RSC007918")</f>
        <v>RSC007918</v>
      </c>
      <c r="C3221" s="73" t="str">
        <f>IFERROR(__xludf.DUMMYFUNCTION("""COMPUTED_VALUE"""),"TheBLKBoy")</f>
        <v>TheBLKBoy</v>
      </c>
      <c r="D3221" s="73" t="str">
        <f>IFERROR(__xludf.DUMMYFUNCTION("""COMPUTED_VALUE"""),"Clover")</f>
        <v>Clover</v>
      </c>
      <c r="E3221" s="82">
        <f>IFERROR(__xludf.DUMMYFUNCTION("""COMPUTED_VALUE"""),35.0)</f>
        <v>35</v>
      </c>
      <c r="F3221" s="82">
        <f>IFERROR(__xludf.DUMMYFUNCTION("""COMPUTED_VALUE"""),18.0)</f>
        <v>18</v>
      </c>
      <c r="G3221" s="86">
        <f>IFERROR(__xludf.DUMMYFUNCTION("""COMPUTED_VALUE"""),17.0)</f>
        <v>17</v>
      </c>
      <c r="H3221" s="86">
        <f>IFERROR(__xludf.DUMMYFUNCTION("""COMPUTED_VALUE"""),0.5142857142857142)</f>
        <v>0.5142857143</v>
      </c>
      <c r="I3221" s="86">
        <f>IFERROR(__xludf.DUMMYFUNCTION("""COMPUTED_VALUE"""),0.37142857142857144)</f>
        <v>0.3714285714</v>
      </c>
      <c r="J3221" s="82">
        <f>IFERROR(__xludf.DUMMYFUNCTION("""COMPUTED_VALUE"""),321.9142857142857)</f>
        <v>321.9142857</v>
      </c>
      <c r="K3221" s="82">
        <f>IFERROR(__xludf.DUMMYFUNCTION("""COMPUTED_VALUE"""),0.7428571428571429)</f>
        <v>0.7428571429</v>
      </c>
      <c r="L3221" s="82">
        <f>IFERROR(__xludf.DUMMYFUNCTION("""COMPUTED_VALUE"""),0.6)</f>
        <v>0.6</v>
      </c>
      <c r="M3221" s="82">
        <f>IFERROR(__xludf.DUMMYFUNCTION("""COMPUTED_VALUE"""),1.2857142857142858)</f>
        <v>1.285714286</v>
      </c>
      <c r="N3221" s="82">
        <f>IFERROR(__xludf.DUMMYFUNCTION("""COMPUTED_VALUE"""),2.0)</f>
        <v>2</v>
      </c>
      <c r="O3221" s="82">
        <f>IFERROR(__xludf.DUMMYFUNCTION("""COMPUTED_VALUE"""),335.71428571428567)</f>
        <v>335.7142857</v>
      </c>
      <c r="P3221" s="82">
        <f>IFERROR(__xludf.DUMMYFUNCTION("""COMPUTED_VALUE"""),0.8476190476190477)</f>
        <v>0.8476190476</v>
      </c>
      <c r="Q3221" s="82">
        <f>IFERROR(__xludf.DUMMYFUNCTION("""COMPUTED_VALUE"""),0.6190476190476191)</f>
        <v>0.619047619</v>
      </c>
      <c r="R3221" s="82">
        <f>IFERROR(__xludf.DUMMYFUNCTION("""COMPUTED_VALUE"""),1.0761904761904764)</f>
        <v>1.076190476</v>
      </c>
      <c r="S3221" s="82">
        <f>IFERROR(__xludf.DUMMYFUNCTION("""COMPUTED_VALUE"""),2.561904761904762)</f>
        <v>2.561904762</v>
      </c>
      <c r="T3221" s="82">
        <f>IFERROR(__xludf.DUMMYFUNCTION("""COMPUTED_VALUE"""),324.2580611567285)</f>
        <v>324.2580612</v>
      </c>
      <c r="U3221" s="82">
        <f>IFERROR(__xludf.DUMMYFUNCTION("""COMPUTED_VALUE"""),0.7883891811380552)</f>
        <v>0.7883891811</v>
      </c>
      <c r="V3221" s="82">
        <f>IFERROR(__xludf.DUMMYFUNCTION("""COMPUTED_VALUE"""),0.5438656272042319)</f>
        <v>0.5438656272</v>
      </c>
      <c r="W3221" s="82">
        <f>IFERROR(__xludf.DUMMYFUNCTION("""COMPUTED_VALUE"""),1.089519577835394)</f>
        <v>1.089519578</v>
      </c>
      <c r="X3221" s="82">
        <f>IFERROR(__xludf.DUMMYFUNCTION("""COMPUTED_VALUE"""),2.263090892884465)</f>
        <v>2.263090893</v>
      </c>
      <c r="Y3221" s="82">
        <f>IFERROR(__xludf.DUMMYFUNCTION("""COMPUTED_VALUE"""),333.9085376845518)</f>
        <v>333.9085377</v>
      </c>
      <c r="Z3221" s="82">
        <f>IFERROR(__xludf.DUMMYFUNCTION("""COMPUTED_VALUE"""),0.8660740617001791)</f>
        <v>0.8660740617</v>
      </c>
      <c r="AA3221" s="82">
        <f>IFERROR(__xludf.DUMMYFUNCTION("""COMPUTED_VALUE"""),0.5595130317790256)</f>
        <v>0.5595130318</v>
      </c>
      <c r="AB3221" s="82">
        <f>IFERROR(__xludf.DUMMYFUNCTION("""COMPUTED_VALUE"""),1.0828089909676586)</f>
        <v>1.082808991</v>
      </c>
      <c r="AC3221" s="82">
        <f>IFERROR(__xludf.DUMMYFUNCTION("""COMPUTED_VALUE"""),2.3189801160513803)</f>
        <v>2.318980116</v>
      </c>
      <c r="AD3221" s="82">
        <f>IFERROR(__xludf.DUMMYFUNCTION("""COMPUTED_VALUE"""),0.9640792294397779)</f>
        <v>0.9640792294</v>
      </c>
      <c r="AE3221" s="82">
        <f>IFERROR(__xludf.DUMMYFUNCTION("""COMPUTED_VALUE"""),0.8577293509966681)</f>
        <v>0.857729351</v>
      </c>
      <c r="AF3221" s="82">
        <f>IFERROR(__xludf.DUMMYFUNCTION("""COMPUTED_VALUE"""),1.0723610817289495)</f>
        <v>1.072361082</v>
      </c>
      <c r="AG3221" s="82">
        <f>IFERROR(__xludf.DUMMYFUNCTION("""COMPUTED_VALUE"""),1.1873878924530352)</f>
        <v>1.187387892</v>
      </c>
      <c r="AH3221" s="82">
        <f>IFERROR(__xludf.DUMMYFUNCTION("""COMPUTED_VALUE"""),0.8624481021447823)</f>
        <v>0.8624481021</v>
      </c>
      <c r="AI3221" s="82">
        <f>IFERROR(__xludf.DUMMYFUNCTION("""COMPUTED_VALUE"""),1.0353305774933992)</f>
        <v>1.035330577</v>
      </c>
      <c r="AJ3221" s="82">
        <f>IFERROR(__xludf.DUMMYFUNCTION("""COMPUTED_VALUE"""),1.0751277007575029)</f>
        <v>1.075127701</v>
      </c>
      <c r="AK3221" s="82">
        <f>IFERROR(__xludf.DUMMYFUNCTION("""COMPUTED_VALUE"""),1.1382363364823473)</f>
        <v>1.138236336</v>
      </c>
      <c r="AL3221" s="82">
        <f>IFERROR(__xludf.DUMMYFUNCTION("""COMPUTED_VALUE"""),0.9877660742256699)</f>
        <v>0.9877660742</v>
      </c>
      <c r="AM3221" s="82">
        <f>IFERROR(__xludf.DUMMYFUNCTION("""COMPUTED_VALUE"""),1.1320379441938535)</f>
        <v>1.132037944</v>
      </c>
      <c r="AN3221" s="82">
        <f>IFERROR(__xludf.DUMMYFUNCTION("""COMPUTED_VALUE"""),1.0122365577610386)</f>
        <v>1.012236558</v>
      </c>
      <c r="AO3221" s="82">
        <f>IFERROR(__xludf.DUMMYFUNCTION("""COMPUTED_VALUE"""),0.9252363005322708)</f>
        <v>0.9252363005</v>
      </c>
      <c r="AP3221" s="82">
        <f>IFERROR(__xludf.DUMMYFUNCTION("""COMPUTED_VALUE"""),1.1150344716809106)</f>
        <v>1.115034472</v>
      </c>
      <c r="AQ3221" s="82">
        <f>IFERROR(__xludf.DUMMYFUNCTION("""COMPUTED_VALUE"""),1.2276539738495762)</f>
        <v>1.227653974</v>
      </c>
      <c r="AR3221" s="82">
        <f>IFERROR(__xludf.DUMMYFUNCTION("""COMPUTED_VALUE"""),0.9079425042330385)</f>
        <v>0.9079425042</v>
      </c>
      <c r="AS3221" s="82">
        <f>IFERROR(__xludf.DUMMYFUNCTION("""COMPUTED_VALUE"""),85.0)</f>
        <v>85</v>
      </c>
      <c r="AT3221" s="82">
        <f>IFERROR(__xludf.DUMMYFUNCTION("""COMPUTED_VALUE"""),0.4817922914103516)</f>
        <v>0.4817922914</v>
      </c>
      <c r="AU3221" s="82">
        <f>IFERROR(__xludf.DUMMYFUNCTION("""COMPUTED_VALUE"""),3.5497452872390567)</f>
        <v>3.549745287</v>
      </c>
      <c r="AV3221" s="82">
        <f>IFERROR(__xludf.DUMMYFUNCTION("""COMPUTED_VALUE"""),46.68658313255066)</f>
        <v>46.68658313</v>
      </c>
      <c r="AW3221" s="82">
        <f t="shared" si="1"/>
        <v>-2.235736462</v>
      </c>
      <c r="AX3221" s="83">
        <f t="array" ref="AX3221">IFERROR(DGET('SBV Import'!A:G,"SBV",{"RSC ID","Tier";B3221,A3221}))</f>
        <v>40.74884555</v>
      </c>
      <c r="AY3221" s="82">
        <f t="shared" si="2"/>
        <v>-2.811563067</v>
      </c>
      <c r="AZ3221" s="82">
        <v>0.5758266047086296</v>
      </c>
      <c r="BA3221" s="84">
        <v>3200.0</v>
      </c>
      <c r="BB3221" s="84" t="b">
        <f>IFERROR(__xludf.DUMMYFUNCTION("iferror(if(A3221="""",,E3221&gt;=FILTER(Constants!$F$2:$F$10,Constants!$A$2:$A$10=A3221)))"),TRUE)</f>
        <v>1</v>
      </c>
    </row>
    <row r="3222">
      <c r="A3222" s="89" t="str">
        <f>IFERROR(__xludf.DUMMYFUNCTION("""COMPUTED_VALUE"""),"Contender")</f>
        <v>Contender</v>
      </c>
      <c r="B3222" s="87" t="str">
        <f>IFERROR(__xludf.DUMMYFUNCTION("""COMPUTED_VALUE"""),"RSC007165")</f>
        <v>RSC007165</v>
      </c>
      <c r="C3222" s="73" t="str">
        <f>IFERROR(__xludf.DUMMYFUNCTION("""COMPUTED_VALUE"""),"BRG")</f>
        <v>BRG</v>
      </c>
      <c r="D3222" s="73" t="str">
        <f>IFERROR(__xludf.DUMMYFUNCTION("""COMPUTED_VALUE"""),"Rheas")</f>
        <v>Rheas</v>
      </c>
      <c r="E3222" s="82">
        <f>IFERROR(__xludf.DUMMYFUNCTION("""COMPUTED_VALUE"""),37.0)</f>
        <v>37</v>
      </c>
      <c r="F3222" s="82">
        <f>IFERROR(__xludf.DUMMYFUNCTION("""COMPUTED_VALUE"""),26.0)</f>
        <v>26</v>
      </c>
      <c r="G3222" s="86">
        <f>IFERROR(__xludf.DUMMYFUNCTION("""COMPUTED_VALUE"""),11.0)</f>
        <v>11</v>
      </c>
      <c r="H3222" s="86">
        <f>IFERROR(__xludf.DUMMYFUNCTION("""COMPUTED_VALUE"""),0.7027027027027027)</f>
        <v>0.7027027027</v>
      </c>
      <c r="I3222" s="86">
        <f>IFERROR(__xludf.DUMMYFUNCTION("""COMPUTED_VALUE"""),0.29687499999999994)</f>
        <v>0.296875</v>
      </c>
      <c r="J3222" s="82">
        <f>IFERROR(__xludf.DUMMYFUNCTION("""COMPUTED_VALUE"""),286.7027027027027)</f>
        <v>286.7027027</v>
      </c>
      <c r="K3222" s="82">
        <f>IFERROR(__xludf.DUMMYFUNCTION("""COMPUTED_VALUE"""),0.5135135135135135)</f>
        <v>0.5135135135</v>
      </c>
      <c r="L3222" s="82">
        <f>IFERROR(__xludf.DUMMYFUNCTION("""COMPUTED_VALUE"""),0.6216216216216216)</f>
        <v>0.6216216216</v>
      </c>
      <c r="M3222" s="82">
        <f>IFERROR(__xludf.DUMMYFUNCTION("""COMPUTED_VALUE"""),1.0810810810810811)</f>
        <v>1.081081081</v>
      </c>
      <c r="N3222" s="82">
        <f>IFERROR(__xludf.DUMMYFUNCTION("""COMPUTED_VALUE"""),1.7297297297297298)</f>
        <v>1.72972973</v>
      </c>
      <c r="O3222" s="82">
        <f>IFERROR(__xludf.DUMMYFUNCTION("""COMPUTED_VALUE"""),280.1711711711712)</f>
        <v>280.1711712</v>
      </c>
      <c r="P3222" s="82">
        <f>IFERROR(__xludf.DUMMYFUNCTION("""COMPUTED_VALUE"""),0.5315315315315314)</f>
        <v>0.5315315315</v>
      </c>
      <c r="Q3222" s="82">
        <f>IFERROR(__xludf.DUMMYFUNCTION("""COMPUTED_VALUE"""),0.31531531531531537)</f>
        <v>0.3153153153</v>
      </c>
      <c r="R3222" s="82">
        <f>IFERROR(__xludf.DUMMYFUNCTION("""COMPUTED_VALUE"""),1.0990990990990992)</f>
        <v>1.099099099</v>
      </c>
      <c r="S3222" s="82">
        <f>IFERROR(__xludf.DUMMYFUNCTION("""COMPUTED_VALUE"""),1.855855855855856)</f>
        <v>1.855855856</v>
      </c>
      <c r="T3222" s="82">
        <f>IFERROR(__xludf.DUMMYFUNCTION("""COMPUTED_VALUE"""),329.4517375193283)</f>
        <v>329.4517375</v>
      </c>
      <c r="U3222" s="82">
        <f>IFERROR(__xludf.DUMMYFUNCTION("""COMPUTED_VALUE"""),0.8347062167592089)</f>
        <v>0.8347062168</v>
      </c>
      <c r="V3222" s="82">
        <f>IFERROR(__xludf.DUMMYFUNCTION("""COMPUTED_VALUE"""),0.5343238803233461)</f>
        <v>0.5343238803</v>
      </c>
      <c r="W3222" s="82">
        <f>IFERROR(__xludf.DUMMYFUNCTION("""COMPUTED_VALUE"""),1.0854232648431263)</f>
        <v>1.085423265</v>
      </c>
      <c r="X3222" s="82">
        <f>IFERROR(__xludf.DUMMYFUNCTION("""COMPUTED_VALUE"""),2.2990408846018293)</f>
        <v>2.299040885</v>
      </c>
      <c r="Y3222" s="82">
        <f>IFERROR(__xludf.DUMMYFUNCTION("""COMPUTED_VALUE"""),330.1460374572112)</f>
        <v>330.1460375</v>
      </c>
      <c r="Z3222" s="82">
        <f>IFERROR(__xludf.DUMMYFUNCTION("""COMPUTED_VALUE"""),0.835593645052101)</f>
        <v>0.8355936451</v>
      </c>
      <c r="AA3222" s="82">
        <f>IFERROR(__xludf.DUMMYFUNCTION("""COMPUTED_VALUE"""),0.5622236455011488)</f>
        <v>0.5622236455</v>
      </c>
      <c r="AB3222" s="82">
        <f>IFERROR(__xludf.DUMMYFUNCTION("""COMPUTED_VALUE"""),1.0722349126405617)</f>
        <v>1.072234913</v>
      </c>
      <c r="AC3222" s="82">
        <f>IFERROR(__xludf.DUMMYFUNCTION("""COMPUTED_VALUE"""),2.320247111014602)</f>
        <v>2.320247111</v>
      </c>
      <c r="AD3222" s="82">
        <f>IFERROR(__xludf.DUMMYFUNCTION("""COMPUTED_VALUE"""),0.8684117638087994)</f>
        <v>0.8684117638</v>
      </c>
      <c r="AE3222" s="82">
        <f>IFERROR(__xludf.DUMMYFUNCTION("""COMPUTED_VALUE"""),0.6145493285572976)</f>
        <v>0.6145493286</v>
      </c>
      <c r="AF3222" s="82">
        <f>IFERROR(__xludf.DUMMYFUNCTION("""COMPUTED_VALUE"""),1.1056483066761222)</f>
        <v>1.105648307</v>
      </c>
      <c r="AG3222" s="82">
        <f>IFERROR(__xludf.DUMMYFUNCTION("""COMPUTED_VALUE"""),1.0082502148887638)</f>
        <v>1.008250215</v>
      </c>
      <c r="AH3222" s="82">
        <f>IFERROR(__xludf.DUMMYFUNCTION("""COMPUTED_VALUE"""),0.7454937543153971)</f>
        <v>0.7454937543</v>
      </c>
      <c r="AI3222" s="82">
        <f>IFERROR(__xludf.DUMMYFUNCTION("""COMPUTED_VALUE"""),0.8504164321025446)</f>
        <v>0.8504164321</v>
      </c>
      <c r="AJ3222" s="82">
        <f>IFERROR(__xludf.DUMMYFUNCTION("""COMPUTED_VALUE"""),0.6367887537668412)</f>
        <v>0.6367887538</v>
      </c>
      <c r="AK3222" s="82">
        <f>IFERROR(__xludf.DUMMYFUNCTION("""COMPUTED_VALUE"""),0.590120200363312)</f>
        <v>0.5901202004</v>
      </c>
      <c r="AL3222" s="82">
        <f>IFERROR(__xludf.DUMMYFUNCTION("""COMPUTED_VALUE"""),1.0125995403810968)</f>
        <v>1.01259954</v>
      </c>
      <c r="AM3222" s="82">
        <f>IFERROR(__xludf.DUMMYFUNCTION("""COMPUTED_VALUE"""),0.8072304708827618)</f>
        <v>0.8072304709</v>
      </c>
      <c r="AN3222" s="82">
        <f>IFERROR(__xludf.DUMMYFUNCTION("""COMPUTED_VALUE"""),0.9015162413206672)</f>
        <v>0.9015162413</v>
      </c>
      <c r="AO3222" s="82">
        <f>IFERROR(__xludf.DUMMYFUNCTION("""COMPUTED_VALUE"""),0.6395864239646154)</f>
        <v>0.639586424</v>
      </c>
      <c r="AP3222" s="82">
        <f>IFERROR(__xludf.DUMMYFUNCTION("""COMPUTED_VALUE"""),1.1552158940838264)</f>
        <v>1.155215894</v>
      </c>
      <c r="AQ3222" s="82">
        <f>IFERROR(__xludf.DUMMYFUNCTION("""COMPUTED_VALUE"""),1.0322615996332773)</f>
        <v>1.0322616</v>
      </c>
      <c r="AR3222" s="82">
        <f>IFERROR(__xludf.DUMMYFUNCTION("""COMPUTED_VALUE"""),0.7852475712285738)</f>
        <v>0.7852475712</v>
      </c>
      <c r="AS3222" s="82">
        <f>IFERROR(__xludf.DUMMYFUNCTION("""COMPUTED_VALUE"""),95.0)</f>
        <v>95</v>
      </c>
      <c r="AT3222" s="82">
        <f>IFERROR(__xludf.DUMMYFUNCTION("""COMPUTED_VALUE"""),0.6719977189223612)</f>
        <v>0.6719977189</v>
      </c>
      <c r="AU3222" s="82">
        <f>IFERROR(__xludf.DUMMYFUNCTION("""COMPUTED_VALUE"""),3.5324618937605115)</f>
        <v>3.532461894</v>
      </c>
      <c r="AV3222" s="82">
        <f>IFERROR(__xludf.DUMMYFUNCTION("""COMPUTED_VALUE"""),46.43663179251842)</f>
        <v>46.43663179</v>
      </c>
      <c r="AW3222" s="82">
        <f t="shared" si="1"/>
        <v>-2.255662036</v>
      </c>
      <c r="AX3222" s="83">
        <f t="array" ref="AX3222">IFERROR(DGET('SBV Import'!A:G,"SBV",{"RSC ID","Tier";B3222,A3222}))</f>
        <v>40.8488187</v>
      </c>
      <c r="AY3222" s="82">
        <f t="shared" si="2"/>
        <v>-2.79982713</v>
      </c>
      <c r="AZ3222" s="82">
        <v>0.5441650941697813</v>
      </c>
      <c r="BA3222" s="84">
        <v>3200.0</v>
      </c>
      <c r="BB3222" s="84" t="b">
        <f>IFERROR(__xludf.DUMMYFUNCTION("iferror(if(A3222="""",,E3222&gt;=FILTER(Constants!$F$2:$F$10,Constants!$A$2:$A$10=A3222)))"),TRUE)</f>
        <v>1</v>
      </c>
    </row>
    <row r="3223">
      <c r="A3223" s="89" t="str">
        <f>IFERROR(__xludf.DUMMYFUNCTION("""COMPUTED_VALUE"""),"Contender")</f>
        <v>Contender</v>
      </c>
      <c r="B3223" s="87" t="str">
        <f>IFERROR(__xludf.DUMMYFUNCTION("""COMPUTED_VALUE"""),"RSC007203")</f>
        <v>RSC007203</v>
      </c>
      <c r="C3223" s="73" t="str">
        <f>IFERROR(__xludf.DUMMYFUNCTION("""COMPUTED_VALUE"""),"CoachJimmy_TECT")</f>
        <v>CoachJimmy_TECT</v>
      </c>
      <c r="D3223" s="73" t="str">
        <f>IFERROR(__xludf.DUMMYFUNCTION("""COMPUTED_VALUE"""),"Celestial Cider")</f>
        <v>Celestial Cider</v>
      </c>
      <c r="E3223" s="82">
        <f>IFERROR(__xludf.DUMMYFUNCTION("""COMPUTED_VALUE"""),37.0)</f>
        <v>37</v>
      </c>
      <c r="F3223" s="82">
        <f>IFERROR(__xludf.DUMMYFUNCTION("""COMPUTED_VALUE"""),16.0)</f>
        <v>16</v>
      </c>
      <c r="G3223" s="86">
        <f>IFERROR(__xludf.DUMMYFUNCTION("""COMPUTED_VALUE"""),21.0)</f>
        <v>21</v>
      </c>
      <c r="H3223" s="86">
        <f>IFERROR(__xludf.DUMMYFUNCTION("""COMPUTED_VALUE"""),0.43243243243243246)</f>
        <v>0.4324324324</v>
      </c>
      <c r="I3223" s="86">
        <f>IFERROR(__xludf.DUMMYFUNCTION("""COMPUTED_VALUE"""),0.2727272727272727)</f>
        <v>0.2727272727</v>
      </c>
      <c r="J3223" s="82">
        <f>IFERROR(__xludf.DUMMYFUNCTION("""COMPUTED_VALUE"""),355.5945945945946)</f>
        <v>355.5945946</v>
      </c>
      <c r="K3223" s="82">
        <f>IFERROR(__xludf.DUMMYFUNCTION("""COMPUTED_VALUE"""),0.6486486486486487)</f>
        <v>0.6486486486</v>
      </c>
      <c r="L3223" s="82">
        <f>IFERROR(__xludf.DUMMYFUNCTION("""COMPUTED_VALUE"""),0.4864864864864865)</f>
        <v>0.4864864865</v>
      </c>
      <c r="M3223" s="82">
        <f>IFERROR(__xludf.DUMMYFUNCTION("""COMPUTED_VALUE"""),1.5405405405405406)</f>
        <v>1.540540541</v>
      </c>
      <c r="N3223" s="82">
        <f>IFERROR(__xludf.DUMMYFUNCTION("""COMPUTED_VALUE"""),2.3783783783783785)</f>
        <v>2.378378378</v>
      </c>
      <c r="O3223" s="82">
        <f>IFERROR(__xludf.DUMMYFUNCTION("""COMPUTED_VALUE"""),320.1801801801803)</f>
        <v>320.1801802</v>
      </c>
      <c r="P3223" s="82">
        <f>IFERROR(__xludf.DUMMYFUNCTION("""COMPUTED_VALUE"""),0.8288288288288288)</f>
        <v>0.8288288288</v>
      </c>
      <c r="Q3223" s="82">
        <f>IFERROR(__xludf.DUMMYFUNCTION("""COMPUTED_VALUE"""),0.5765765765765766)</f>
        <v>0.5765765766</v>
      </c>
      <c r="R3223" s="82">
        <f>IFERROR(__xludf.DUMMYFUNCTION("""COMPUTED_VALUE"""),0.9639639639639637)</f>
        <v>0.963963964</v>
      </c>
      <c r="S3223" s="82">
        <f>IFERROR(__xludf.DUMMYFUNCTION("""COMPUTED_VALUE"""),2.324324324324324)</f>
        <v>2.324324324</v>
      </c>
      <c r="T3223" s="82">
        <f>IFERROR(__xludf.DUMMYFUNCTION("""COMPUTED_VALUE"""),321.91790971014217)</f>
        <v>321.9179097</v>
      </c>
      <c r="U3223" s="82">
        <f>IFERROR(__xludf.DUMMYFUNCTION("""COMPUTED_VALUE"""),0.8018605245149045)</f>
        <v>0.8018605245</v>
      </c>
      <c r="V3223" s="82">
        <f>IFERROR(__xludf.DUMMYFUNCTION("""COMPUTED_VALUE"""),0.5102595836269946)</f>
        <v>0.5102595836</v>
      </c>
      <c r="W3223" s="82">
        <f>IFERROR(__xludf.DUMMYFUNCTION("""COMPUTED_VALUE"""),1.0651832488316555)</f>
        <v>1.065183249</v>
      </c>
      <c r="X3223" s="82">
        <f>IFERROR(__xludf.DUMMYFUNCTION("""COMPUTED_VALUE"""),2.224117694641589)</f>
        <v>2.224117695</v>
      </c>
      <c r="Y3223" s="82">
        <f>IFERROR(__xludf.DUMMYFUNCTION("""COMPUTED_VALUE"""),334.3765514117591)</f>
        <v>334.3765514</v>
      </c>
      <c r="Z3223" s="82">
        <f>IFERROR(__xludf.DUMMYFUNCTION("""COMPUTED_VALUE"""),0.8721547918252324)</f>
        <v>0.8721547918</v>
      </c>
      <c r="AA3223" s="82">
        <f>IFERROR(__xludf.DUMMYFUNCTION("""COMPUTED_VALUE"""),0.5736126890883855)</f>
        <v>0.5736126891</v>
      </c>
      <c r="AB3223" s="82">
        <f>IFERROR(__xludf.DUMMYFUNCTION("""COMPUTED_VALUE"""),1.0570177887570387)</f>
        <v>1.057017789</v>
      </c>
      <c r="AC3223" s="82">
        <f>IFERROR(__xludf.DUMMYFUNCTION("""COMPUTED_VALUE"""),2.353937089499433)</f>
        <v>2.353937089</v>
      </c>
      <c r="AD3223" s="82">
        <f>IFERROR(__xludf.DUMMYFUNCTION("""COMPUTED_VALUE"""),1.0634555356625681)</f>
        <v>1.063455536</v>
      </c>
      <c r="AE3223" s="82">
        <f>IFERROR(__xludf.DUMMYFUNCTION("""COMPUTED_VALUE"""),0.7437311068269964)</f>
        <v>0.7437311068</v>
      </c>
      <c r="AF3223" s="82">
        <f>IFERROR(__xludf.DUMMYFUNCTION("""COMPUTED_VALUE"""),0.8481097014426854)</f>
        <v>0.8481097014</v>
      </c>
      <c r="AG3223" s="82">
        <f>IFERROR(__xludf.DUMMYFUNCTION("""COMPUTED_VALUE"""),1.4574405056627124)</f>
        <v>1.457440506</v>
      </c>
      <c r="AH3223" s="82">
        <f>IFERROR(__xludf.DUMMYFUNCTION("""COMPUTED_VALUE"""),1.01038315296869)</f>
        <v>1.010383153</v>
      </c>
      <c r="AI3223" s="82">
        <f>IFERROR(__xludf.DUMMYFUNCTION("""COMPUTED_VALUE"""),0.9946019482683441)</f>
        <v>0.9946019483</v>
      </c>
      <c r="AJ3223" s="82">
        <f>IFERROR(__xludf.DUMMYFUNCTION("""COMPUTED_VALUE"""),1.0336321635614112)</f>
        <v>1.033632164</v>
      </c>
      <c r="AK3223" s="82">
        <f>IFERROR(__xludf.DUMMYFUNCTION("""COMPUTED_VALUE"""),1.1299671678446326)</f>
        <v>1.129967168</v>
      </c>
      <c r="AL3223" s="82">
        <f>IFERROR(__xludf.DUMMYFUNCTION("""COMPUTED_VALUE"""),0.9049747684459796)</f>
        <v>0.9049747684</v>
      </c>
      <c r="AM3223" s="82">
        <f>IFERROR(__xludf.DUMMYFUNCTION("""COMPUTED_VALUE"""),1.0450545535086369)</f>
        <v>1.045054554</v>
      </c>
      <c r="AN3223" s="82">
        <f>IFERROR(__xludf.DUMMYFUNCTION("""COMPUTED_VALUE"""),1.118141891690801)</f>
        <v>1.118141892</v>
      </c>
      <c r="AO3223" s="82">
        <f>IFERROR(__xludf.DUMMYFUNCTION("""COMPUTED_VALUE"""),0.807898640797409)</f>
        <v>0.8078986408</v>
      </c>
      <c r="AP3223" s="82">
        <f>IFERROR(__xludf.DUMMYFUNCTION("""COMPUTED_VALUE"""),0.9040820040656034)</f>
        <v>0.9040820041</v>
      </c>
      <c r="AQ3223" s="82">
        <f>IFERROR(__xludf.DUMMYFUNCTION("""COMPUTED_VALUE"""),1.4709727794774201)</f>
        <v>1.470972779</v>
      </c>
      <c r="AR3223" s="82">
        <f>IFERROR(__xludf.DUMMYFUNCTION("""COMPUTED_VALUE"""),1.079715410439289)</f>
        <v>1.07971541</v>
      </c>
      <c r="AS3223" s="82">
        <f>IFERROR(__xludf.DUMMYFUNCTION("""COMPUTED_VALUE"""),81.0)</f>
        <v>81</v>
      </c>
      <c r="AT3223" s="82">
        <f>IFERROR(__xludf.DUMMYFUNCTION("""COMPUTED_VALUE"""),0.4505997575478827)</f>
        <v>0.4505997575</v>
      </c>
      <c r="AU3223" s="82">
        <f>IFERROR(__xludf.DUMMYFUNCTION("""COMPUTED_VALUE"""),3.5288645879809946)</f>
        <v>3.528864588</v>
      </c>
      <c r="AV3223" s="82">
        <f>IFERROR(__xludf.DUMMYFUNCTION("""COMPUTED_VALUE"""),46.38460778454729)</f>
        <v>46.38460778</v>
      </c>
      <c r="AW3223" s="82">
        <f t="shared" si="1"/>
        <v>-2.259850466</v>
      </c>
      <c r="AX3223" s="83">
        <f t="array" ref="AX3223">IFERROR(DGET('SBV Import'!A:G,"SBV",{"RSC ID","Tier";B3223,A3223}))</f>
        <v>59.54313893</v>
      </c>
      <c r="AY3223" s="82">
        <f t="shared" si="2"/>
        <v>2.8463068</v>
      </c>
      <c r="AZ3223" s="82">
        <v>5.1061572654534455</v>
      </c>
      <c r="BA3223" s="84">
        <v>3200.0</v>
      </c>
      <c r="BB3223" s="84" t="b">
        <f>IFERROR(__xludf.DUMMYFUNCTION("iferror(if(A3223="""",,E3223&gt;=FILTER(Constants!$F$2:$F$10,Constants!$A$2:$A$10=A3223)))"),TRUE)</f>
        <v>1</v>
      </c>
    </row>
    <row r="3224">
      <c r="A3224" s="89" t="str">
        <f>IFERROR(__xludf.DUMMYFUNCTION("""COMPUTED_VALUE"""),"Contender")</f>
        <v>Contender</v>
      </c>
      <c r="B3224" s="87" t="str">
        <f>IFERROR(__xludf.DUMMYFUNCTION("""COMPUTED_VALUE"""),"RSC006880")</f>
        <v>RSC006880</v>
      </c>
      <c r="C3224" s="73" t="str">
        <f>IFERROR(__xludf.DUMMYFUNCTION("""COMPUTED_VALUE"""),"Kenjicat17")</f>
        <v>Kenjicat17</v>
      </c>
      <c r="D3224" s="73" t="str">
        <f>IFERROR(__xludf.DUMMYFUNCTION("""COMPUTED_VALUE"""),"Ice")</f>
        <v>Ice</v>
      </c>
      <c r="E3224" s="82">
        <f>IFERROR(__xludf.DUMMYFUNCTION("""COMPUTED_VALUE"""),46.0)</f>
        <v>46</v>
      </c>
      <c r="F3224" s="82">
        <f>IFERROR(__xludf.DUMMYFUNCTION("""COMPUTED_VALUE"""),29.0)</f>
        <v>29</v>
      </c>
      <c r="G3224" s="86">
        <f>IFERROR(__xludf.DUMMYFUNCTION("""COMPUTED_VALUE"""),17.0)</f>
        <v>17</v>
      </c>
      <c r="H3224" s="86">
        <f>IFERROR(__xludf.DUMMYFUNCTION("""COMPUTED_VALUE"""),0.6304347826086957)</f>
        <v>0.6304347826</v>
      </c>
      <c r="I3224" s="86">
        <f>IFERROR(__xludf.DUMMYFUNCTION("""COMPUTED_VALUE"""),0.3707865168539326)</f>
        <v>0.3707865169</v>
      </c>
      <c r="J3224" s="82">
        <f>IFERROR(__xludf.DUMMYFUNCTION("""COMPUTED_VALUE"""),308.5652173913044)</f>
        <v>308.5652174</v>
      </c>
      <c r="K3224" s="82">
        <f>IFERROR(__xludf.DUMMYFUNCTION("""COMPUTED_VALUE"""),0.717391304347826)</f>
        <v>0.7173913043</v>
      </c>
      <c r="L3224" s="82">
        <f>IFERROR(__xludf.DUMMYFUNCTION("""COMPUTED_VALUE"""),0.5652173913043478)</f>
        <v>0.5652173913</v>
      </c>
      <c r="M3224" s="82">
        <f>IFERROR(__xludf.DUMMYFUNCTION("""COMPUTED_VALUE"""),1.0434782608695652)</f>
        <v>1.043478261</v>
      </c>
      <c r="N3224" s="82">
        <f>IFERROR(__xludf.DUMMYFUNCTION("""COMPUTED_VALUE"""),1.934782608695652)</f>
        <v>1.934782609</v>
      </c>
      <c r="O3224" s="82">
        <f>IFERROR(__xludf.DUMMYFUNCTION("""COMPUTED_VALUE"""),312.78985507246387)</f>
        <v>312.7898551</v>
      </c>
      <c r="P3224" s="82">
        <f>IFERROR(__xludf.DUMMYFUNCTION("""COMPUTED_VALUE"""),0.6884057971014491)</f>
        <v>0.6884057971</v>
      </c>
      <c r="Q3224" s="82">
        <f>IFERROR(__xludf.DUMMYFUNCTION("""COMPUTED_VALUE"""),0.5289855072463766)</f>
        <v>0.5289855072</v>
      </c>
      <c r="R3224" s="82">
        <f>IFERROR(__xludf.DUMMYFUNCTION("""COMPUTED_VALUE"""),1.065217391304348)</f>
        <v>1.065217391</v>
      </c>
      <c r="S3224" s="82">
        <f>IFERROR(__xludf.DUMMYFUNCTION("""COMPUTED_VALUE"""),2.369565217391304)</f>
        <v>2.369565217</v>
      </c>
      <c r="T3224" s="82">
        <f>IFERROR(__xludf.DUMMYFUNCTION("""COMPUTED_VALUE"""),319.0787511100578)</f>
        <v>319.0787511</v>
      </c>
      <c r="U3224" s="82">
        <f>IFERROR(__xludf.DUMMYFUNCTION("""COMPUTED_VALUE"""),0.7980206939767045)</f>
        <v>0.798020694</v>
      </c>
      <c r="V3224" s="82">
        <f>IFERROR(__xludf.DUMMYFUNCTION("""COMPUTED_VALUE"""),0.5082654209266131)</f>
        <v>0.5082654209</v>
      </c>
      <c r="W3224" s="82">
        <f>IFERROR(__xludf.DUMMYFUNCTION("""COMPUTED_VALUE"""),1.0512320379940308)</f>
        <v>1.051232038</v>
      </c>
      <c r="X3224" s="82">
        <f>IFERROR(__xludf.DUMMYFUNCTION("""COMPUTED_VALUE"""),2.21871553296969)</f>
        <v>2.218715533</v>
      </c>
      <c r="Y3224" s="82">
        <f>IFERROR(__xludf.DUMMYFUNCTION("""COMPUTED_VALUE"""),330.52661469747886)</f>
        <v>330.5266147</v>
      </c>
      <c r="Z3224" s="82">
        <f>IFERROR(__xludf.DUMMYFUNCTION("""COMPUTED_VALUE"""),0.8559605556346999)</f>
        <v>0.8559605556</v>
      </c>
      <c r="AA3224" s="82">
        <f>IFERROR(__xludf.DUMMYFUNCTION("""COMPUTED_VALUE"""),0.5567697671674303)</f>
        <v>0.5567697672</v>
      </c>
      <c r="AB3224" s="82">
        <f>IFERROR(__xludf.DUMMYFUNCTION("""COMPUTED_VALUE"""),1.0394435140607876)</f>
        <v>1.039443514</v>
      </c>
      <c r="AC3224" s="82">
        <f>IFERROR(__xludf.DUMMYFUNCTION("""COMPUTED_VALUE"""),2.3146838833607903)</f>
        <v>2.314683883</v>
      </c>
      <c r="AD3224" s="82">
        <f>IFERROR(__xludf.DUMMYFUNCTION("""COMPUTED_VALUE"""),0.9335563421230841)</f>
        <v>0.9335563421</v>
      </c>
      <c r="AE3224" s="82">
        <f>IFERROR(__xludf.DUMMYFUNCTION("""COMPUTED_VALUE"""),0.8381125737924642)</f>
        <v>0.8381125738</v>
      </c>
      <c r="AF3224" s="82">
        <f>IFERROR(__xludf.DUMMYFUNCTION("""COMPUTED_VALUE"""),1.0151725625834442)</f>
        <v>1.015172563</v>
      </c>
      <c r="AG3224" s="82">
        <f>IFERROR(__xludf.DUMMYFUNCTION("""COMPUTED_VALUE"""),1.0038816412380265)</f>
        <v>1.003881641</v>
      </c>
      <c r="AH3224" s="82">
        <f>IFERROR(__xludf.DUMMYFUNCTION("""COMPUTED_VALUE"""),0.8358733659502813)</f>
        <v>0.835873366</v>
      </c>
      <c r="AI3224" s="82">
        <f>IFERROR(__xludf.DUMMYFUNCTION("""COMPUTED_VALUE"""),0.9802904580273202)</f>
        <v>0.980290458</v>
      </c>
      <c r="AJ3224" s="82">
        <f>IFERROR(__xludf.DUMMYFUNCTION("""COMPUTED_VALUE"""),0.8626415358616563)</f>
        <v>0.8626415359</v>
      </c>
      <c r="AK3224" s="82">
        <f>IFERROR(__xludf.DUMMYFUNCTION("""COMPUTED_VALUE"""),1.040766271846684)</f>
        <v>1.040766272</v>
      </c>
      <c r="AL3224" s="82">
        <f>IFERROR(__xludf.DUMMYFUNCTION("""COMPUTED_VALUE"""),1.0133037738623378)</f>
        <v>1.013303774</v>
      </c>
      <c r="AM3224" s="82">
        <f>IFERROR(__xludf.DUMMYFUNCTION("""COMPUTED_VALUE"""),1.0679896463426772)</f>
        <v>1.067989646</v>
      </c>
      <c r="AN3224" s="82">
        <f>IFERROR(__xludf.DUMMYFUNCTION("""COMPUTED_VALUE"""),0.9702613625981732)</f>
        <v>0.9702613626</v>
      </c>
      <c r="AO3224" s="82">
        <f>IFERROR(__xludf.DUMMYFUNCTION("""COMPUTED_VALUE"""),0.8935183337080038)</f>
        <v>0.8935183337</v>
      </c>
      <c r="AP3224" s="82">
        <f>IFERROR(__xludf.DUMMYFUNCTION("""COMPUTED_VALUE"""),1.0503947921631767)</f>
        <v>1.050394792</v>
      </c>
      <c r="AQ3224" s="82">
        <f>IFERROR(__xludf.DUMMYFUNCTION("""COMPUTED_VALUE"""),0.9963568483416849)</f>
        <v>0.9963568483</v>
      </c>
      <c r="AR3224" s="82">
        <f>IFERROR(__xludf.DUMMYFUNCTION("""COMPUTED_VALUE"""),0.8783356834428306)</f>
        <v>0.8783356834</v>
      </c>
      <c r="AS3224" s="82">
        <f>IFERROR(__xludf.DUMMYFUNCTION("""COMPUTED_VALUE"""),116.0)</f>
        <v>116</v>
      </c>
      <c r="AT3224" s="82">
        <f>IFERROR(__xludf.DUMMYFUNCTION("""COMPUTED_VALUE"""),0.5766943353003381)</f>
        <v>0.5766943353</v>
      </c>
      <c r="AU3224" s="82">
        <f>IFERROR(__xludf.DUMMYFUNCTION("""COMPUTED_VALUE"""),3.5145444250848583)</f>
        <v>3.514544425</v>
      </c>
      <c r="AV3224" s="82">
        <f>IFERROR(__xludf.DUMMYFUNCTION("""COMPUTED_VALUE"""),46.177510497211195)</f>
        <v>46.1775105</v>
      </c>
      <c r="AW3224" s="82">
        <f t="shared" si="1"/>
        <v>-2.276666249</v>
      </c>
      <c r="AX3224" s="83">
        <f t="array" ref="AX3224">IFERROR(DGET('SBV Import'!A:G,"SBV",{"RSC ID","Tier";B3224,A3224}))</f>
        <v>40.83305158</v>
      </c>
      <c r="AY3224" s="82">
        <f t="shared" si="2"/>
        <v>-2.801672676</v>
      </c>
      <c r="AZ3224" s="82">
        <v>0.5250064269361463</v>
      </c>
      <c r="BA3224" s="84">
        <v>3200.0</v>
      </c>
      <c r="BB3224" s="84" t="b">
        <f>IFERROR(__xludf.DUMMYFUNCTION("iferror(if(A3224="""",,E3224&gt;=FILTER(Constants!$F$2:$F$10,Constants!$A$2:$A$10=A3224)))"),TRUE)</f>
        <v>1</v>
      </c>
    </row>
    <row r="3225">
      <c r="A3225" s="89" t="str">
        <f>IFERROR(__xludf.DUMMYFUNCTION("""COMPUTED_VALUE"""),"Contender")</f>
        <v>Contender</v>
      </c>
      <c r="B3225" s="87" t="str">
        <f>IFERROR(__xludf.DUMMYFUNCTION("""COMPUTED_VALUE"""),"RSC005550")</f>
        <v>RSC005550</v>
      </c>
      <c r="C3225" s="73" t="str">
        <f>IFERROR(__xludf.DUMMYFUNCTION("""COMPUTED_VALUE"""),"Shraggaholic")</f>
        <v>Shraggaholic</v>
      </c>
      <c r="D3225" s="73" t="str">
        <f>IFERROR(__xludf.DUMMYFUNCTION("""COMPUTED_VALUE"""),"Ice")</f>
        <v>Ice</v>
      </c>
      <c r="E3225" s="82">
        <f>IFERROR(__xludf.DUMMYFUNCTION("""COMPUTED_VALUE"""),44.0)</f>
        <v>44</v>
      </c>
      <c r="F3225" s="82">
        <f>IFERROR(__xludf.DUMMYFUNCTION("""COMPUTED_VALUE"""),28.0)</f>
        <v>28</v>
      </c>
      <c r="G3225" s="86">
        <f>IFERROR(__xludf.DUMMYFUNCTION("""COMPUTED_VALUE"""),16.0)</f>
        <v>16</v>
      </c>
      <c r="H3225" s="86">
        <f>IFERROR(__xludf.DUMMYFUNCTION("""COMPUTED_VALUE"""),0.6363636363636364)</f>
        <v>0.6363636364</v>
      </c>
      <c r="I3225" s="86">
        <f>IFERROR(__xludf.DUMMYFUNCTION("""COMPUTED_VALUE"""),0.3402061855670103)</f>
        <v>0.3402061856</v>
      </c>
      <c r="J3225" s="82">
        <f>IFERROR(__xludf.DUMMYFUNCTION("""COMPUTED_VALUE"""),311.5)</f>
        <v>311.5</v>
      </c>
      <c r="K3225" s="82">
        <f>IFERROR(__xludf.DUMMYFUNCTION("""COMPUTED_VALUE"""),0.75)</f>
        <v>0.75</v>
      </c>
      <c r="L3225" s="82">
        <f>IFERROR(__xludf.DUMMYFUNCTION("""COMPUTED_VALUE"""),0.45454545454545453)</f>
        <v>0.4545454545</v>
      </c>
      <c r="M3225" s="82">
        <f>IFERROR(__xludf.DUMMYFUNCTION("""COMPUTED_VALUE"""),1.1363636363636365)</f>
        <v>1.136363636</v>
      </c>
      <c r="N3225" s="82">
        <f>IFERROR(__xludf.DUMMYFUNCTION("""COMPUTED_VALUE"""),2.2045454545454546)</f>
        <v>2.204545455</v>
      </c>
      <c r="O3225" s="82">
        <f>IFERROR(__xludf.DUMMYFUNCTION("""COMPUTED_VALUE"""),312.4924242424243)</f>
        <v>312.4924242</v>
      </c>
      <c r="P3225" s="82">
        <f>IFERROR(__xludf.DUMMYFUNCTION("""COMPUTED_VALUE"""),0.6818181818181818)</f>
        <v>0.6818181818</v>
      </c>
      <c r="Q3225" s="82">
        <f>IFERROR(__xludf.DUMMYFUNCTION("""COMPUTED_VALUE"""),0.515151515151515)</f>
        <v>0.5151515152</v>
      </c>
      <c r="R3225" s="82">
        <f>IFERROR(__xludf.DUMMYFUNCTION("""COMPUTED_VALUE"""),1.0606060606060606)</f>
        <v>1.060606061</v>
      </c>
      <c r="S3225" s="82">
        <f>IFERROR(__xludf.DUMMYFUNCTION("""COMPUTED_VALUE"""),2.356060606060606)</f>
        <v>2.356060606</v>
      </c>
      <c r="T3225" s="82">
        <f>IFERROR(__xludf.DUMMYFUNCTION("""COMPUTED_VALUE"""),316.6916162024378)</f>
        <v>316.6916162</v>
      </c>
      <c r="U3225" s="82">
        <f>IFERROR(__xludf.DUMMYFUNCTION("""COMPUTED_VALUE"""),0.7812009811475559)</f>
        <v>0.7812009811</v>
      </c>
      <c r="V3225" s="82">
        <f>IFERROR(__xludf.DUMMYFUNCTION("""COMPUTED_VALUE"""),0.5034051839490215)</f>
        <v>0.5034051839</v>
      </c>
      <c r="W3225" s="82">
        <f>IFERROR(__xludf.DUMMYFUNCTION("""COMPUTED_VALUE"""),1.0501759389368817)</f>
        <v>1.050175939</v>
      </c>
      <c r="X3225" s="82">
        <f>IFERROR(__xludf.DUMMYFUNCTION("""COMPUTED_VALUE"""),2.190183453080378)</f>
        <v>2.190183453</v>
      </c>
      <c r="Y3225" s="82">
        <f>IFERROR(__xludf.DUMMYFUNCTION("""COMPUTED_VALUE"""),331.23149383989204)</f>
        <v>331.2314938</v>
      </c>
      <c r="Z3225" s="82">
        <f>IFERROR(__xludf.DUMMYFUNCTION("""COMPUTED_VALUE"""),0.8666364839785959)</f>
        <v>0.866636484</v>
      </c>
      <c r="AA3225" s="82">
        <f>IFERROR(__xludf.DUMMYFUNCTION("""COMPUTED_VALUE"""),0.5606441809852926)</f>
        <v>0.560644181</v>
      </c>
      <c r="AB3225" s="82">
        <f>IFERROR(__xludf.DUMMYFUNCTION("""COMPUTED_VALUE"""),1.0264771783970823)</f>
        <v>1.026477178</v>
      </c>
      <c r="AC3225" s="82">
        <f>IFERROR(__xludf.DUMMYFUNCTION("""COMPUTED_VALUE"""),2.3243946308578107)</f>
        <v>2.324394631</v>
      </c>
      <c r="AD3225" s="82">
        <f>IFERROR(__xludf.DUMMYFUNCTION("""COMPUTED_VALUE"""),0.9404298981019308)</f>
        <v>0.9404298981</v>
      </c>
      <c r="AE3225" s="82">
        <f>IFERROR(__xludf.DUMMYFUNCTION("""COMPUTED_VALUE"""),0.8654147544733686)</f>
        <v>0.8654147545</v>
      </c>
      <c r="AF3225" s="82">
        <f>IFERROR(__xludf.DUMMYFUNCTION("""COMPUTED_VALUE"""),0.8107556806290631)</f>
        <v>0.8107556806</v>
      </c>
      <c r="AG3225" s="82">
        <f>IFERROR(__xludf.DUMMYFUNCTION("""COMPUTED_VALUE"""),1.1070520224698515)</f>
        <v>1.107052022</v>
      </c>
      <c r="AH3225" s="82">
        <f>IFERROR(__xludf.DUMMYFUNCTION("""COMPUTED_VALUE"""),0.94843854192344)</f>
        <v>0.9484385419</v>
      </c>
      <c r="AI3225" s="82">
        <f>IFERROR(__xludf.DUMMYFUNCTION("""COMPUTED_VALUE"""),0.9867404385049169)</f>
        <v>0.9867404385</v>
      </c>
      <c r="AJ3225" s="82">
        <f>IFERROR(__xludf.DUMMYFUNCTION("""COMPUTED_VALUE"""),0.8727820346777031)</f>
        <v>0.8727820347</v>
      </c>
      <c r="AK3225" s="82">
        <f>IFERROR(__xludf.DUMMYFUNCTION("""COMPUTED_VALUE"""),1.0233337509763967)</f>
        <v>1.023333751</v>
      </c>
      <c r="AL3225" s="82">
        <f>IFERROR(__xludf.DUMMYFUNCTION("""COMPUTED_VALUE"""),1.0099317850299803)</f>
        <v>1.009931785</v>
      </c>
      <c r="AM3225" s="82">
        <f>IFERROR(__xludf.DUMMYFUNCTION("""COMPUTED_VALUE"""),1.0757366478807657)</f>
        <v>1.075736648</v>
      </c>
      <c r="AN3225" s="82">
        <f>IFERROR(__xludf.DUMMYFUNCTION("""COMPUTED_VALUE"""),0.9794895776151348)</f>
        <v>0.9794895776</v>
      </c>
      <c r="AO3225" s="82">
        <f>IFERROR(__xludf.DUMMYFUNCTION("""COMPUTED_VALUE"""),0.9341328034220041)</f>
        <v>0.9341328034</v>
      </c>
      <c r="AP3225" s="82">
        <f>IFERROR(__xludf.DUMMYFUNCTION("""COMPUTED_VALUE"""),0.8447230846067506)</f>
        <v>0.8447230846</v>
      </c>
      <c r="AQ3225" s="82">
        <f>IFERROR(__xludf.DUMMYFUNCTION("""COMPUTED_VALUE"""),1.0850477041599789)</f>
        <v>1.085047704</v>
      </c>
      <c r="AR3225" s="82">
        <f>IFERROR(__xludf.DUMMYFUNCTION("""COMPUTED_VALUE"""),1.000800260347781)</f>
        <v>1.00080026</v>
      </c>
      <c r="AS3225" s="82">
        <f>IFERROR(__xludf.DUMMYFUNCTION("""COMPUTED_VALUE"""),110.0)</f>
        <v>110</v>
      </c>
      <c r="AT3225" s="82">
        <f>IFERROR(__xludf.DUMMYFUNCTION("""COMPUTED_VALUE"""),0.5768586000277041)</f>
        <v>0.5768586</v>
      </c>
      <c r="AU3225" s="82">
        <f>IFERROR(__xludf.DUMMYFUNCTION("""COMPUTED_VALUE"""),3.448907917553774)</f>
        <v>3.448907918</v>
      </c>
      <c r="AV3225" s="82">
        <f>IFERROR(__xludf.DUMMYFUNCTION("""COMPUTED_VALUE"""),45.2282794892615)</f>
        <v>45.22827949</v>
      </c>
      <c r="AW3225" s="82">
        <f t="shared" si="1"/>
        <v>-2.356744217</v>
      </c>
      <c r="AX3225" s="83">
        <f t="array" ref="AX3225">IFERROR(DGET('SBV Import'!A:G,"SBV",{"RSC ID","Tier";B3225,A3225}))</f>
        <v>42.26649566</v>
      </c>
      <c r="AY3225" s="82">
        <f t="shared" si="2"/>
        <v>-2.641788855</v>
      </c>
      <c r="AZ3225" s="82">
        <v>0.2850446382966654</v>
      </c>
      <c r="BA3225" s="84">
        <v>3200.0</v>
      </c>
      <c r="BB3225" s="84" t="b">
        <f>IFERROR(__xludf.DUMMYFUNCTION("iferror(if(A3225="""",,E3225&gt;=FILTER(Constants!$F$2:$F$10,Constants!$A$2:$A$10=A3225)))"),TRUE)</f>
        <v>1</v>
      </c>
    </row>
    <row r="3226">
      <c r="A3226" s="89" t="str">
        <f>IFERROR(__xludf.DUMMYFUNCTION("""COMPUTED_VALUE"""),"Contender")</f>
        <v>Contender</v>
      </c>
      <c r="B3226" s="87" t="str">
        <f>IFERROR(__xludf.DUMMYFUNCTION("""COMPUTED_VALUE"""),"RSC001262")</f>
        <v>RSC001262</v>
      </c>
      <c r="C3226" s="73" t="str">
        <f>IFERROR(__xludf.DUMMYFUNCTION("""COMPUTED_VALUE"""),"droogin01")</f>
        <v>droogin01</v>
      </c>
      <c r="D3226" s="73" t="str">
        <f>IFERROR(__xludf.DUMMYFUNCTION("""COMPUTED_VALUE"""),"Zebras")</f>
        <v>Zebras</v>
      </c>
      <c r="E3226" s="82">
        <f>IFERROR(__xludf.DUMMYFUNCTION("""COMPUTED_VALUE"""),40.0)</f>
        <v>40</v>
      </c>
      <c r="F3226" s="82">
        <f>IFERROR(__xludf.DUMMYFUNCTION("""COMPUTED_VALUE"""),13.0)</f>
        <v>13</v>
      </c>
      <c r="G3226" s="86">
        <f>IFERROR(__xludf.DUMMYFUNCTION("""COMPUTED_VALUE"""),27.0)</f>
        <v>27</v>
      </c>
      <c r="H3226" s="86">
        <f>IFERROR(__xludf.DUMMYFUNCTION("""COMPUTED_VALUE"""),0.325)</f>
        <v>0.325</v>
      </c>
      <c r="I3226" s="86">
        <f>IFERROR(__xludf.DUMMYFUNCTION("""COMPUTED_VALUE"""),0.25287356321839083)</f>
        <v>0.2528735632</v>
      </c>
      <c r="J3226" s="82">
        <f>IFERROR(__xludf.DUMMYFUNCTION("""COMPUTED_VALUE"""),325.775)</f>
        <v>325.775</v>
      </c>
      <c r="K3226" s="82">
        <f>IFERROR(__xludf.DUMMYFUNCTION("""COMPUTED_VALUE"""),0.55)</f>
        <v>0.55</v>
      </c>
      <c r="L3226" s="82">
        <f>IFERROR(__xludf.DUMMYFUNCTION("""COMPUTED_VALUE"""),0.55)</f>
        <v>0.55</v>
      </c>
      <c r="M3226" s="82">
        <f>IFERROR(__xludf.DUMMYFUNCTION("""COMPUTED_VALUE"""),1.35)</f>
        <v>1.35</v>
      </c>
      <c r="N3226" s="82">
        <f>IFERROR(__xludf.DUMMYFUNCTION("""COMPUTED_VALUE"""),2.175)</f>
        <v>2.175</v>
      </c>
      <c r="O3226" s="82">
        <f>IFERROR(__xludf.DUMMYFUNCTION("""COMPUTED_VALUE"""),349.31666666666666)</f>
        <v>349.3166667</v>
      </c>
      <c r="P3226" s="82">
        <f>IFERROR(__xludf.DUMMYFUNCTION("""COMPUTED_VALUE"""),1.0166666666666666)</f>
        <v>1.016666667</v>
      </c>
      <c r="Q3226" s="82">
        <f>IFERROR(__xludf.DUMMYFUNCTION("""COMPUTED_VALUE"""),0.6249999999999999)</f>
        <v>0.625</v>
      </c>
      <c r="R3226" s="82">
        <f>IFERROR(__xludf.DUMMYFUNCTION("""COMPUTED_VALUE"""),1.025)</f>
        <v>1.025</v>
      </c>
      <c r="S3226" s="82">
        <f>IFERROR(__xludf.DUMMYFUNCTION("""COMPUTED_VALUE"""),2.408333333333334)</f>
        <v>2.408333333</v>
      </c>
      <c r="T3226" s="82">
        <f>IFERROR(__xludf.DUMMYFUNCTION("""COMPUTED_VALUE"""),338.54924199207585)</f>
        <v>338.549242</v>
      </c>
      <c r="U3226" s="82">
        <f>IFERROR(__xludf.DUMMYFUNCTION("""COMPUTED_VALUE"""),0.9088866604265495)</f>
        <v>0.9088866604</v>
      </c>
      <c r="V3226" s="82">
        <f>IFERROR(__xludf.DUMMYFUNCTION("""COMPUTED_VALUE"""),0.5943030469441923)</f>
        <v>0.5943030469</v>
      </c>
      <c r="W3226" s="82">
        <f>IFERROR(__xludf.DUMMYFUNCTION("""COMPUTED_VALUE"""),1.0395323138717707)</f>
        <v>1.039532314</v>
      </c>
      <c r="X3226" s="82">
        <f>IFERROR(__xludf.DUMMYFUNCTION("""COMPUTED_VALUE"""),2.4371176480063865)</f>
        <v>2.437117648</v>
      </c>
      <c r="Y3226" s="82">
        <f>IFERROR(__xludf.DUMMYFUNCTION("""COMPUTED_VALUE"""),326.33209528879996)</f>
        <v>326.3320953</v>
      </c>
      <c r="Z3226" s="82">
        <f>IFERROR(__xludf.DUMMYFUNCTION("""COMPUTED_VALUE"""),0.7876883622187547)</f>
        <v>0.7876883622</v>
      </c>
      <c r="AA3226" s="82">
        <f>IFERROR(__xludf.DUMMYFUNCTION("""COMPUTED_VALUE"""),0.5299154121900942)</f>
        <v>0.5299154122</v>
      </c>
      <c r="AB3226" s="82">
        <f>IFERROR(__xludf.DUMMYFUNCTION("""COMPUTED_VALUE"""),1.130669560426219)</f>
        <v>1.13066956</v>
      </c>
      <c r="AC3226" s="82">
        <f>IFERROR(__xludf.DUMMYFUNCTION("""COMPUTED_VALUE"""),2.244467133800097)</f>
        <v>2.244467134</v>
      </c>
      <c r="AD3226" s="82">
        <f>IFERROR(__xludf.DUMMYFUNCTION("""COMPUTED_VALUE"""),0.9982928578069927)</f>
        <v>0.9982928578</v>
      </c>
      <c r="AE3226" s="82">
        <f>IFERROR(__xludf.DUMMYFUNCTION("""COMPUTED_VALUE"""),0.698245684944188)</f>
        <v>0.6982456849</v>
      </c>
      <c r="AF3226" s="82">
        <f>IFERROR(__xludf.DUMMYFUNCTION("""COMPUTED_VALUE"""),1.0379014977633845)</f>
        <v>1.037901498</v>
      </c>
      <c r="AG3226" s="82">
        <f>IFERROR(__xludf.DUMMYFUNCTION("""COMPUTED_VALUE"""),1.1939827932496052)</f>
        <v>1.193982793</v>
      </c>
      <c r="AH3226" s="82">
        <f>IFERROR(__xludf.DUMMYFUNCTION("""COMPUTED_VALUE"""),0.969049609702913)</f>
        <v>0.9690496097</v>
      </c>
      <c r="AI3226" s="82">
        <f>IFERROR(__xludf.DUMMYFUNCTION("""COMPUTED_VALUE"""),1.0318046042910438)</f>
        <v>1.031804604</v>
      </c>
      <c r="AJ3226" s="82">
        <f>IFERROR(__xludf.DUMMYFUNCTION("""COMPUTED_VALUE"""),1.118584649696074)</f>
        <v>1.11858465</v>
      </c>
      <c r="AK3226" s="82">
        <f>IFERROR(__xludf.DUMMYFUNCTION("""COMPUTED_VALUE"""),1.0516520203179947)</f>
        <v>1.05165202</v>
      </c>
      <c r="AL3226" s="82">
        <f>IFERROR(__xludf.DUMMYFUNCTION("""COMPUTED_VALUE"""),0.9860203346467945)</f>
        <v>0.9860203346</v>
      </c>
      <c r="AM3226" s="82">
        <f>IFERROR(__xludf.DUMMYFUNCTION("""COMPUTED_VALUE"""),0.9881891977202666)</f>
        <v>0.9881891977</v>
      </c>
      <c r="AN3226" s="82">
        <f>IFERROR(__xludf.DUMMYFUNCTION("""COMPUTED_VALUE"""),1.0243762990291188)</f>
        <v>1.024376299</v>
      </c>
      <c r="AO3226" s="82">
        <f>IFERROR(__xludf.DUMMYFUNCTION("""COMPUTED_VALUE"""),0.6850307225094697)</f>
        <v>0.6850307225</v>
      </c>
      <c r="AP3226" s="82">
        <f>IFERROR(__xludf.DUMMYFUNCTION("""COMPUTED_VALUE"""),1.0221149323741683)</f>
        <v>1.022114932</v>
      </c>
      <c r="AQ3226" s="82">
        <f>IFERROR(__xludf.DUMMYFUNCTION("""COMPUTED_VALUE"""),1.289036672542055)</f>
        <v>1.289036673</v>
      </c>
      <c r="AR3226" s="82">
        <f>IFERROR(__xludf.DUMMYFUNCTION("""COMPUTED_VALUE"""),0.9873874733534292)</f>
        <v>0.9873874734</v>
      </c>
      <c r="AS3226" s="82">
        <f>IFERROR(__xludf.DUMMYFUNCTION("""COMPUTED_VALUE"""),69.0)</f>
        <v>69</v>
      </c>
      <c r="AT3226" s="82">
        <f>IFERROR(__xludf.DUMMYFUNCTION("""COMPUTED_VALUE"""),0.2905658534576678)</f>
        <v>0.2905658535</v>
      </c>
      <c r="AU3226" s="82">
        <f>IFERROR(__xludf.DUMMYFUNCTION("""COMPUTED_VALUE"""),3.4312883504202176)</f>
        <v>3.43128835</v>
      </c>
      <c r="AV3226" s="82">
        <f>IFERROR(__xludf.DUMMYFUNCTION("""COMPUTED_VALUE"""),44.97346642715727)</f>
        <v>44.97346643</v>
      </c>
      <c r="AW3226" s="82">
        <f t="shared" si="1"/>
        <v>-2.37910968</v>
      </c>
      <c r="AX3226" s="83">
        <f t="array" ref="AX3226">IFERROR(DGET('SBV Import'!A:G,"SBV",{"RSC ID","Tier";B3226,A3226}))</f>
        <v>54.93823968</v>
      </c>
      <c r="AY3226" s="82">
        <f t="shared" si="2"/>
        <v>2.371317126</v>
      </c>
      <c r="AZ3226" s="82">
        <v>4.750426805058412</v>
      </c>
      <c r="BA3226" s="84">
        <v>3200.0</v>
      </c>
      <c r="BB3226" s="84" t="b">
        <f>IFERROR(__xludf.DUMMYFUNCTION("iferror(if(A3226="""",,E3226&gt;=FILTER(Constants!$F$2:$F$10,Constants!$A$2:$A$10=A3226)))"),TRUE)</f>
        <v>1</v>
      </c>
    </row>
    <row r="3227">
      <c r="A3227" s="89" t="str">
        <f>IFERROR(__xludf.DUMMYFUNCTION("""COMPUTED_VALUE"""),"Contender")</f>
        <v>Contender</v>
      </c>
      <c r="B3227" s="87" t="str">
        <f>IFERROR(__xludf.DUMMYFUNCTION("""COMPUTED_VALUE"""),"RSC000989")</f>
        <v>RSC000989</v>
      </c>
      <c r="C3227" s="73" t="str">
        <f>IFERROR(__xludf.DUMMYFUNCTION("""COMPUTED_VALUE"""),"Piky Life88")</f>
        <v>Piky Life88</v>
      </c>
      <c r="D3227" s="73" t="str">
        <f>IFERROR(__xludf.DUMMYFUNCTION("""COMPUTED_VALUE"""),"Devoured")</f>
        <v>Devoured</v>
      </c>
      <c r="E3227" s="82">
        <f>IFERROR(__xludf.DUMMYFUNCTION("""COMPUTED_VALUE"""),12.0)</f>
        <v>12</v>
      </c>
      <c r="F3227" s="82">
        <f>IFERROR(__xludf.DUMMYFUNCTION("""COMPUTED_VALUE"""),7.0)</f>
        <v>7</v>
      </c>
      <c r="G3227" s="86">
        <f>IFERROR(__xludf.DUMMYFUNCTION("""COMPUTED_VALUE"""),5.0)</f>
        <v>5</v>
      </c>
      <c r="H3227" s="86">
        <f>IFERROR(__xludf.DUMMYFUNCTION("""COMPUTED_VALUE"""),0.5833333333333334)</f>
        <v>0.5833333333</v>
      </c>
      <c r="I3227" s="86">
        <f>IFERROR(__xludf.DUMMYFUNCTION("""COMPUTED_VALUE"""),0.25)</f>
        <v>0.25</v>
      </c>
      <c r="J3227" s="82">
        <f>IFERROR(__xludf.DUMMYFUNCTION("""COMPUTED_VALUE"""),255.08333333333334)</f>
        <v>255.0833333</v>
      </c>
      <c r="K3227" s="82">
        <f>IFERROR(__xludf.DUMMYFUNCTION("""COMPUTED_VALUE"""),0.6666666666666666)</f>
        <v>0.6666666667</v>
      </c>
      <c r="L3227" s="82">
        <f>IFERROR(__xludf.DUMMYFUNCTION("""COMPUTED_VALUE"""),0.4166666666666667)</f>
        <v>0.4166666667</v>
      </c>
      <c r="M3227" s="82">
        <f>IFERROR(__xludf.DUMMYFUNCTION("""COMPUTED_VALUE"""),0.6666666666666666)</f>
        <v>0.6666666667</v>
      </c>
      <c r="N3227" s="82">
        <f>IFERROR(__xludf.DUMMYFUNCTION("""COMPUTED_VALUE"""),2.6666666666666665)</f>
        <v>2.666666667</v>
      </c>
      <c r="O3227" s="82">
        <f>IFERROR(__xludf.DUMMYFUNCTION("""COMPUTED_VALUE"""),328.1388888888889)</f>
        <v>328.1388889</v>
      </c>
      <c r="P3227" s="82">
        <f>IFERROR(__xludf.DUMMYFUNCTION("""COMPUTED_VALUE"""),0.9444444444444443)</f>
        <v>0.9444444444</v>
      </c>
      <c r="Q3227" s="82">
        <f>IFERROR(__xludf.DUMMYFUNCTION("""COMPUTED_VALUE"""),0.5833333333333333)</f>
        <v>0.5833333333</v>
      </c>
      <c r="R3227" s="82">
        <f>IFERROR(__xludf.DUMMYFUNCTION("""COMPUTED_VALUE"""),1.0833333333333333)</f>
        <v>1.083333333</v>
      </c>
      <c r="S3227" s="82">
        <f>IFERROR(__xludf.DUMMYFUNCTION("""COMPUTED_VALUE"""),2.055555555555556)</f>
        <v>2.055555556</v>
      </c>
      <c r="T3227" s="82">
        <f>IFERROR(__xludf.DUMMYFUNCTION("""COMPUTED_VALUE"""),317.50590021402127)</f>
        <v>317.5059002</v>
      </c>
      <c r="U3227" s="82">
        <f>IFERROR(__xludf.DUMMYFUNCTION("""COMPUTED_VALUE"""),0.7705880274968878)</f>
        <v>0.7705880275</v>
      </c>
      <c r="V3227" s="82">
        <f>IFERROR(__xludf.DUMMYFUNCTION("""COMPUTED_VALUE"""),0.5160788284861436)</f>
        <v>0.5160788285</v>
      </c>
      <c r="W3227" s="82">
        <f>IFERROR(__xludf.DUMMYFUNCTION("""COMPUTED_VALUE"""),1.0735995086972963)</f>
        <v>1.073599509</v>
      </c>
      <c r="X3227" s="82">
        <f>IFERROR(__xludf.DUMMYFUNCTION("""COMPUTED_VALUE"""),2.223106360340403)</f>
        <v>2.22310636</v>
      </c>
      <c r="Y3227" s="82">
        <f>IFERROR(__xludf.DUMMYFUNCTION("""COMPUTED_VALUE"""),325.6201932348752)</f>
        <v>325.6201932</v>
      </c>
      <c r="Z3227" s="82">
        <f>IFERROR(__xludf.DUMMYFUNCTION("""COMPUTED_VALUE"""),0.8261700054990705)</f>
        <v>0.8261700055</v>
      </c>
      <c r="AA3227" s="82">
        <f>IFERROR(__xludf.DUMMYFUNCTION("""COMPUTED_VALUE"""),0.5374262733794432)</f>
        <v>0.5374262734</v>
      </c>
      <c r="AB3227" s="82">
        <f>IFERROR(__xludf.DUMMYFUNCTION("""COMPUTED_VALUE"""),1.042507806556582)</f>
        <v>1.042507807</v>
      </c>
      <c r="AC3227" s="82">
        <f>IFERROR(__xludf.DUMMYFUNCTION("""COMPUTED_VALUE"""),2.3483169443649663)</f>
        <v>2.348316944</v>
      </c>
      <c r="AD3227" s="82">
        <f>IFERROR(__xludf.DUMMYFUNCTION("""COMPUTED_VALUE"""),0.7833768870388745)</f>
        <v>0.783376887</v>
      </c>
      <c r="AE3227" s="82">
        <f>IFERROR(__xludf.DUMMYFUNCTION("""COMPUTED_VALUE"""),0.806936420142666)</f>
        <v>0.8069364201</v>
      </c>
      <c r="AF3227" s="82">
        <f>IFERROR(__xludf.DUMMYFUNCTION("""COMPUTED_VALUE"""),0.7753001431183927)</f>
        <v>0.7753001431</v>
      </c>
      <c r="AG3227" s="82">
        <f>IFERROR(__xludf.DUMMYFUNCTION("""COMPUTED_VALUE"""),0.6394836206250349)</f>
        <v>0.6394836206</v>
      </c>
      <c r="AH3227" s="82">
        <f>IFERROR(__xludf.DUMMYFUNCTION("""COMPUTED_VALUE"""),1.1355650578026164)</f>
        <v>1.135565058</v>
      </c>
      <c r="AI3227" s="82">
        <f>IFERROR(__xludf.DUMMYFUNCTION("""COMPUTED_VALUE"""),1.0334891057700037)</f>
        <v>1.033489106</v>
      </c>
      <c r="AJ3227" s="82">
        <f>IFERROR(__xludf.DUMMYFUNCTION("""COMPUTED_VALUE"""),1.2256152584050608)</f>
        <v>1.225615258</v>
      </c>
      <c r="AK3227" s="82">
        <f>IFERROR(__xludf.DUMMYFUNCTION("""COMPUTED_VALUE"""),1.130318279175437)</f>
        <v>1.130318279</v>
      </c>
      <c r="AL3227" s="82">
        <f>IFERROR(__xludf.DUMMYFUNCTION("""COMPUTED_VALUE"""),1.009066532312266)</f>
        <v>1.009066532</v>
      </c>
      <c r="AM3227" s="82">
        <f>IFERROR(__xludf.DUMMYFUNCTION("""COMPUTED_VALUE"""),0.9246321238722957)</f>
        <v>0.9246321239</v>
      </c>
      <c r="AN3227" s="82">
        <f>IFERROR(__xludf.DUMMYFUNCTION("""COMPUTED_VALUE"""),0.8020913849866045)</f>
        <v>0.802091385</v>
      </c>
      <c r="AO3227" s="82">
        <f>IFERROR(__xludf.DUMMYFUNCTION("""COMPUTED_VALUE"""),0.830340269708448)</f>
        <v>0.8303402697</v>
      </c>
      <c r="AP3227" s="82">
        <f>IFERROR(__xludf.DUMMYFUNCTION("""COMPUTED_VALUE"""),0.7743294942228547)</f>
        <v>0.7743294942</v>
      </c>
      <c r="AQ3227" s="82">
        <f>IFERROR(__xludf.DUMMYFUNCTION("""COMPUTED_VALUE"""),0.6365613197738542)</f>
        <v>0.6365613198</v>
      </c>
      <c r="AR3227" s="82">
        <f>IFERROR(__xludf.DUMMYFUNCTION("""COMPUTED_VALUE"""),1.2105900056440513)</f>
        <v>1.210590006</v>
      </c>
      <c r="AS3227" s="82">
        <f>IFERROR(__xludf.DUMMYFUNCTION("""COMPUTED_VALUE"""),32.0)</f>
        <v>32</v>
      </c>
      <c r="AT3227" s="82">
        <f>IFERROR(__xludf.DUMMYFUNCTION("""COMPUTED_VALUE"""),0.47529872027060627)</f>
        <v>0.4752987203</v>
      </c>
      <c r="AU3227" s="82">
        <f>IFERROR(__xludf.DUMMYFUNCTION("""COMPUTED_VALUE"""),3.177319489759562)</f>
        <v>3.17731949</v>
      </c>
      <c r="AV3227" s="82">
        <f>IFERROR(__xludf.DUMMYFUNCTION("""COMPUTED_VALUE"""),41.30058487600863)</f>
        <v>41.30058488</v>
      </c>
      <c r="AW3227" s="82">
        <f t="shared" si="1"/>
        <v>-2.747789648</v>
      </c>
      <c r="AX3227" s="83">
        <f t="array" ref="AX3227">IFERROR(DGET('SBV Import'!A:G,"SBV",{"RSC ID","Tier";B3227,A3227}))</f>
        <v>36.71395384</v>
      </c>
      <c r="AY3227" s="82">
        <f t="shared" si="2"/>
        <v>-3.360708376</v>
      </c>
      <c r="AZ3227" s="82">
        <v>0.6129187279117985</v>
      </c>
      <c r="BA3227" s="84">
        <v>3200.0</v>
      </c>
      <c r="BB3227" s="84" t="b">
        <f>IFERROR(__xludf.DUMMYFUNCTION("iferror(if(A3227="""",,E3227&gt;=FILTER(Constants!$F$2:$F$10,Constants!$A$2:$A$10=A3227)))"),TRUE)</f>
        <v>1</v>
      </c>
    </row>
    <row r="3228">
      <c r="A3228" s="89" t="str">
        <f>IFERROR(__xludf.DUMMYFUNCTION("""COMPUTED_VALUE"""),"Contender")</f>
        <v>Contender</v>
      </c>
      <c r="B3228" s="87" t="str">
        <f>IFERROR(__xludf.DUMMYFUNCTION("""COMPUTED_VALUE"""),"RSC006779")</f>
        <v>RSC006779</v>
      </c>
      <c r="C3228" s="73" t="str">
        <f>IFERROR(__xludf.DUMMYFUNCTION("""COMPUTED_VALUE"""),"I am CANDYMAN")</f>
        <v>I am CANDYMAN</v>
      </c>
      <c r="D3228" s="73"/>
      <c r="E3228" s="82">
        <f>IFERROR(__xludf.DUMMYFUNCTION("""COMPUTED_VALUE"""),4.0)</f>
        <v>4</v>
      </c>
      <c r="F3228" s="82">
        <f>IFERROR(__xludf.DUMMYFUNCTION("""COMPUTED_VALUE"""),2.0)</f>
        <v>2</v>
      </c>
      <c r="G3228" s="86">
        <f>IFERROR(__xludf.DUMMYFUNCTION("""COMPUTED_VALUE"""),2.0)</f>
        <v>2</v>
      </c>
      <c r="H3228" s="86">
        <f>IFERROR(__xludf.DUMMYFUNCTION("""COMPUTED_VALUE"""),0.5)</f>
        <v>0.5</v>
      </c>
      <c r="I3228" s="86">
        <f>IFERROR(__xludf.DUMMYFUNCTION("""COMPUTED_VALUE"""),0.4444444444444444)</f>
        <v>0.4444444444</v>
      </c>
      <c r="J3228" s="82">
        <f>IFERROR(__xludf.DUMMYFUNCTION("""COMPUTED_VALUE"""),281.25)</f>
        <v>281.25</v>
      </c>
      <c r="K3228" s="82">
        <f>IFERROR(__xludf.DUMMYFUNCTION("""COMPUTED_VALUE"""),1.0)</f>
        <v>1</v>
      </c>
      <c r="L3228" s="82">
        <f>IFERROR(__xludf.DUMMYFUNCTION("""COMPUTED_VALUE"""),0.25)</f>
        <v>0.25</v>
      </c>
      <c r="M3228" s="82">
        <f>IFERROR(__xludf.DUMMYFUNCTION("""COMPUTED_VALUE"""),0.5)</f>
        <v>0.5</v>
      </c>
      <c r="N3228" s="82">
        <f>IFERROR(__xludf.DUMMYFUNCTION("""COMPUTED_VALUE"""),2.25)</f>
        <v>2.25</v>
      </c>
      <c r="O3228" s="82">
        <f>IFERROR(__xludf.DUMMYFUNCTION("""COMPUTED_VALUE"""),336.33333333333337)</f>
        <v>336.3333333</v>
      </c>
      <c r="P3228" s="82">
        <f>IFERROR(__xludf.DUMMYFUNCTION("""COMPUTED_VALUE"""),0.8333333333333334)</f>
        <v>0.8333333333</v>
      </c>
      <c r="Q3228" s="82">
        <f>IFERROR(__xludf.DUMMYFUNCTION("""COMPUTED_VALUE"""),0.5833333333333334)</f>
        <v>0.5833333333</v>
      </c>
      <c r="R3228" s="82">
        <f>IFERROR(__xludf.DUMMYFUNCTION("""COMPUTED_VALUE"""),1.0)</f>
        <v>1</v>
      </c>
      <c r="S3228" s="82">
        <f>IFERROR(__xludf.DUMMYFUNCTION("""COMPUTED_VALUE"""),2.5)</f>
        <v>2.5</v>
      </c>
      <c r="T3228" s="82">
        <f>IFERROR(__xludf.DUMMYFUNCTION("""COMPUTED_VALUE"""),311.7377508441338)</f>
        <v>311.7377508</v>
      </c>
      <c r="U3228" s="82">
        <f>IFERROR(__xludf.DUMMYFUNCTION("""COMPUTED_VALUE"""),0.6821191076510226)</f>
        <v>0.6821191077</v>
      </c>
      <c r="V3228" s="82">
        <f>IFERROR(__xludf.DUMMYFUNCTION("""COMPUTED_VALUE"""),0.4678541061519785)</f>
        <v>0.4678541062</v>
      </c>
      <c r="W3228" s="82">
        <f>IFERROR(__xludf.DUMMYFUNCTION("""COMPUTED_VALUE"""),1.1336262612858359)</f>
        <v>1.133626261</v>
      </c>
      <c r="X3228" s="82">
        <f>IFERROR(__xludf.DUMMYFUNCTION("""COMPUTED_VALUE"""),2.1468571681337636)</f>
        <v>2.146857168</v>
      </c>
      <c r="Y3228" s="82">
        <f>IFERROR(__xludf.DUMMYFUNCTION("""COMPUTED_VALUE"""),322.7897684918962)</f>
        <v>322.7897685</v>
      </c>
      <c r="Z3228" s="82">
        <f>IFERROR(__xludf.DUMMYFUNCTION("""COMPUTED_VALUE"""),0.84153056493482)</f>
        <v>0.8415305649</v>
      </c>
      <c r="AA3228" s="82">
        <f>IFERROR(__xludf.DUMMYFUNCTION("""COMPUTED_VALUE"""),0.5712308052733585)</f>
        <v>0.5712308053</v>
      </c>
      <c r="AB3228" s="82">
        <f>IFERROR(__xludf.DUMMYFUNCTION("""COMPUTED_VALUE"""),0.9755614861997839)</f>
        <v>0.9755614862</v>
      </c>
      <c r="AC3228" s="82">
        <f>IFERROR(__xludf.DUMMYFUNCTION("""COMPUTED_VALUE"""),2.314327420710399)</f>
        <v>2.314327421</v>
      </c>
      <c r="AD3228" s="82">
        <f>IFERROR(__xludf.DUMMYFUNCTION("""COMPUTED_VALUE"""),0.8713101450334877)</f>
        <v>0.871310145</v>
      </c>
      <c r="AE3228" s="82">
        <f>IFERROR(__xludf.DUMMYFUNCTION("""COMPUTED_VALUE"""),1.1883109677394237)</f>
        <v>1.188310968</v>
      </c>
      <c r="AF3228" s="82">
        <f>IFERROR(__xludf.DUMMYFUNCTION("""COMPUTED_VALUE"""),0.4376514671339622)</f>
        <v>0.4376514671</v>
      </c>
      <c r="AG3228" s="82">
        <f>IFERROR(__xludf.DUMMYFUNCTION("""COMPUTED_VALUE"""),0.5125253580353065)</f>
        <v>0.512525358</v>
      </c>
      <c r="AH3228" s="82">
        <f>IFERROR(__xludf.DUMMYFUNCTION("""COMPUTED_VALUE"""),0.9722047018348626)</f>
        <v>0.9722047018</v>
      </c>
      <c r="AI3228" s="82">
        <f>IFERROR(__xludf.DUMMYFUNCTION("""COMPUTED_VALUE"""),1.0788983125162057)</f>
        <v>1.078898313</v>
      </c>
      <c r="AJ3228" s="82">
        <f>IFERROR(__xludf.DUMMYFUNCTION("""COMPUTED_VALUE"""),1.2216830227832778)</f>
        <v>1.221683023</v>
      </c>
      <c r="AK3228" s="82">
        <f>IFERROR(__xludf.DUMMYFUNCTION("""COMPUTED_VALUE"""),1.2468274311647112)</f>
        <v>1.246827431</v>
      </c>
      <c r="AL3228" s="82">
        <f>IFERROR(__xludf.DUMMYFUNCTION("""COMPUTED_VALUE"""),0.8821249420119573)</f>
        <v>0.882124942</v>
      </c>
      <c r="AM3228" s="82">
        <f>IFERROR(__xludf.DUMMYFUNCTION("""COMPUTED_VALUE"""),1.164492932789385)</f>
        <v>1.164492933</v>
      </c>
      <c r="AN3228" s="82">
        <f>IFERROR(__xludf.DUMMYFUNCTION("""COMPUTED_VALUE"""),0.8843706057921562)</f>
        <v>0.8843706058</v>
      </c>
      <c r="AO3228" s="82">
        <f>IFERROR(__xludf.DUMMYFUNCTION("""COMPUTED_VALUE"""),1.2455104045626721)</f>
        <v>1.245510405</v>
      </c>
      <c r="AP3228" s="82">
        <f>IFERROR(__xludf.DUMMYFUNCTION("""COMPUTED_VALUE"""),0.4645976965337128)</f>
        <v>0.4645976965</v>
      </c>
      <c r="AQ3228" s="82">
        <f>IFERROR(__xludf.DUMMYFUNCTION("""COMPUTED_VALUE"""),0.4774209898303907)</f>
        <v>0.4774209898</v>
      </c>
      <c r="AR3228" s="82">
        <f>IFERROR(__xludf.DUMMYFUNCTION("""COMPUTED_VALUE"""),1.0214353172621682)</f>
        <v>1.021435317</v>
      </c>
      <c r="AS3228" s="82">
        <f>IFERROR(__xludf.DUMMYFUNCTION("""COMPUTED_VALUE"""),6.0)</f>
        <v>6</v>
      </c>
      <c r="AT3228" s="82">
        <f>IFERROR(__xludf.DUMMYFUNCTION("""COMPUTED_VALUE"""),0.31855114860921924)</f>
        <v>0.3185511486</v>
      </c>
      <c r="AU3228" s="82">
        <f>IFERROR(__xludf.DUMMYFUNCTION("""COMPUTED_VALUE"""),2.962082347026298)</f>
        <v>2.962082347</v>
      </c>
      <c r="AV3228" s="82">
        <f>IFERROR(__xludf.DUMMYFUNCTION("""COMPUTED_VALUE"""),38.18783897239469)</f>
        <v>38.18783897</v>
      </c>
      <c r="AW3228" s="82">
        <f t="shared" si="1"/>
        <v>-3.141790822</v>
      </c>
      <c r="AX3228" s="83">
        <f t="array" ref="AX3228">IFERROR(DGET('SBV Import'!A:G,"SBV",{"RSC ID","Tier";B3228,A3228}))</f>
        <v>39.13703807</v>
      </c>
      <c r="AY3228" s="82">
        <f t="shared" si="2"/>
        <v>-3.012447523</v>
      </c>
      <c r="AZ3228" s="82">
        <v>0.129343299375122</v>
      </c>
      <c r="BA3228" s="84">
        <v>3200.0</v>
      </c>
      <c r="BB3228" s="84" t="b">
        <f>IFERROR(__xludf.DUMMYFUNCTION("iferror(if(A3228="""",,E3228&gt;=FILTER(Constants!$F$2:$F$10,Constants!$A$2:$A$10=A3228)))"),TRUE)</f>
        <v>1</v>
      </c>
    </row>
    <row r="3229">
      <c r="A3229" s="89" t="str">
        <f>IFERROR(__xludf.DUMMYFUNCTION("""COMPUTED_VALUE"""),"Contender")</f>
        <v>Contender</v>
      </c>
      <c r="B3229" s="87" t="str">
        <f>IFERROR(__xludf.DUMMYFUNCTION("""COMPUTED_VALUE"""),"RSC000086")</f>
        <v>RSC000086</v>
      </c>
      <c r="C3229" s="73" t="str">
        <f>IFERROR(__xludf.DUMMYFUNCTION("""COMPUTED_VALUE"""),"Stale Popcorn")</f>
        <v>Stale Popcorn</v>
      </c>
      <c r="D3229" s="73"/>
      <c r="E3229" s="82">
        <f>IFERROR(__xludf.DUMMYFUNCTION("""COMPUTED_VALUE"""),38.0)</f>
        <v>38</v>
      </c>
      <c r="F3229" s="82">
        <f>IFERROR(__xludf.DUMMYFUNCTION("""COMPUTED_VALUE"""),13.0)</f>
        <v>13</v>
      </c>
      <c r="G3229" s="86">
        <f>IFERROR(__xludf.DUMMYFUNCTION("""COMPUTED_VALUE"""),25.0)</f>
        <v>25</v>
      </c>
      <c r="H3229" s="86">
        <f>IFERROR(__xludf.DUMMYFUNCTION("""COMPUTED_VALUE"""),0.34210526315789475)</f>
        <v>0.3421052632</v>
      </c>
      <c r="I3229" s="86">
        <f>IFERROR(__xludf.DUMMYFUNCTION("""COMPUTED_VALUE"""),0.28750000000000003)</f>
        <v>0.2875</v>
      </c>
      <c r="J3229" s="82">
        <f>IFERROR(__xludf.DUMMYFUNCTION("""COMPUTED_VALUE"""),298.5263157894737)</f>
        <v>298.5263158</v>
      </c>
      <c r="K3229" s="82">
        <f>IFERROR(__xludf.DUMMYFUNCTION("""COMPUTED_VALUE"""),0.6052631578947368)</f>
        <v>0.6052631579</v>
      </c>
      <c r="L3229" s="82">
        <f>IFERROR(__xludf.DUMMYFUNCTION("""COMPUTED_VALUE"""),0.2894736842105263)</f>
        <v>0.2894736842</v>
      </c>
      <c r="M3229" s="82">
        <f>IFERROR(__xludf.DUMMYFUNCTION("""COMPUTED_VALUE"""),1.131578947368421)</f>
        <v>1.131578947</v>
      </c>
      <c r="N3229" s="82">
        <f>IFERROR(__xludf.DUMMYFUNCTION("""COMPUTED_VALUE"""),2.1052631578947367)</f>
        <v>2.105263158</v>
      </c>
      <c r="O3229" s="82">
        <f>IFERROR(__xludf.DUMMYFUNCTION("""COMPUTED_VALUE"""),320.3245614035088)</f>
        <v>320.3245614</v>
      </c>
      <c r="P3229" s="82">
        <f>IFERROR(__xludf.DUMMYFUNCTION("""COMPUTED_VALUE"""),0.8684210526315788)</f>
        <v>0.8684210526</v>
      </c>
      <c r="Q3229" s="82">
        <f>IFERROR(__xludf.DUMMYFUNCTION("""COMPUTED_VALUE"""),0.48245614035087725)</f>
        <v>0.4824561404</v>
      </c>
      <c r="R3229" s="82">
        <f>IFERROR(__xludf.DUMMYFUNCTION("""COMPUTED_VALUE"""),0.8771929824561402)</f>
        <v>0.8771929825</v>
      </c>
      <c r="S3229" s="82">
        <f>IFERROR(__xludf.DUMMYFUNCTION("""COMPUTED_VALUE"""),2.4035087719298245)</f>
        <v>2.403508772</v>
      </c>
      <c r="T3229" s="82">
        <f>IFERROR(__xludf.DUMMYFUNCTION("""COMPUTED_VALUE"""),337.06014122408516)</f>
        <v>337.0601412</v>
      </c>
      <c r="U3229" s="82">
        <f>IFERROR(__xludf.DUMMYFUNCTION("""COMPUTED_VALUE"""),0.8663302837098428)</f>
        <v>0.8663302837</v>
      </c>
      <c r="V3229" s="82">
        <f>IFERROR(__xludf.DUMMYFUNCTION("""COMPUTED_VALUE"""),0.5722288027295165)</f>
        <v>0.5722288027</v>
      </c>
      <c r="W3229" s="82">
        <f>IFERROR(__xludf.DUMMYFUNCTION("""COMPUTED_VALUE"""),1.100511921071319)</f>
        <v>1.100511921</v>
      </c>
      <c r="X3229" s="82">
        <f>IFERROR(__xludf.DUMMYFUNCTION("""COMPUTED_VALUE"""),2.3125063739943656)</f>
        <v>2.312506374</v>
      </c>
      <c r="Y3229" s="82">
        <f>IFERROR(__xludf.DUMMYFUNCTION("""COMPUTED_VALUE"""),320.0438415213227)</f>
        <v>320.0438415</v>
      </c>
      <c r="Z3229" s="82">
        <f>IFERROR(__xludf.DUMMYFUNCTION("""COMPUTED_VALUE"""),0.7752078915744837)</f>
        <v>0.7752078916</v>
      </c>
      <c r="AA3229" s="82">
        <f>IFERROR(__xludf.DUMMYFUNCTION("""COMPUTED_VALUE"""),0.532072075214546)</f>
        <v>0.5320720752</v>
      </c>
      <c r="AB3229" s="82">
        <f>IFERROR(__xludf.DUMMYFUNCTION("""COMPUTED_VALUE"""),1.0608309698222504)</f>
        <v>1.06083097</v>
      </c>
      <c r="AC3229" s="82">
        <f>IFERROR(__xludf.DUMMYFUNCTION("""COMPUTED_VALUE"""),2.255561739903613)</f>
        <v>2.25556174</v>
      </c>
      <c r="AD3229" s="82">
        <f>IFERROR(__xludf.DUMMYFUNCTION("""COMPUTED_VALUE"""),0.9327669433363698)</f>
        <v>0.9327669433</v>
      </c>
      <c r="AE3229" s="82">
        <f>IFERROR(__xludf.DUMMYFUNCTION("""COMPUTED_VALUE"""),0.7807752790872896)</f>
        <v>0.7807752791</v>
      </c>
      <c r="AF3229" s="82">
        <f>IFERROR(__xludf.DUMMYFUNCTION("""COMPUTED_VALUE"""),0.5440497588485594)</f>
        <v>0.5440497588</v>
      </c>
      <c r="AG3229" s="82">
        <f>IFERROR(__xludf.DUMMYFUNCTION("""COMPUTED_VALUE"""),1.0666910936414544)</f>
        <v>1.066691094</v>
      </c>
      <c r="AH3229" s="82">
        <f>IFERROR(__xludf.DUMMYFUNCTION("""COMPUTED_VALUE"""),0.9333653433865662)</f>
        <v>0.9333653434</v>
      </c>
      <c r="AI3229" s="82">
        <f>IFERROR(__xludf.DUMMYFUNCTION("""COMPUTED_VALUE"""),0.9503483866119603)</f>
        <v>0.9503483866</v>
      </c>
      <c r="AJ3229" s="82">
        <f>IFERROR(__xludf.DUMMYFUNCTION("""COMPUTED_VALUE"""),1.0024133623873597)</f>
        <v>1.002413362</v>
      </c>
      <c r="AK3229" s="82">
        <f>IFERROR(__xludf.DUMMYFUNCTION("""COMPUTED_VALUE"""),0.843117539784041)</f>
        <v>0.8431175398</v>
      </c>
      <c r="AL3229" s="82">
        <f>IFERROR(__xludf.DUMMYFUNCTION("""COMPUTED_VALUE"""),0.7970772198471201)</f>
        <v>0.7970772198</v>
      </c>
      <c r="AM3229" s="82">
        <f>IFERROR(__xludf.DUMMYFUNCTION("""COMPUTED_VALUE"""),1.0393522798288644)</f>
        <v>1.03935228</v>
      </c>
      <c r="AN3229" s="82">
        <f>IFERROR(__xludf.DUMMYFUNCTION("""COMPUTED_VALUE"""),0.9386947510742661)</f>
        <v>0.9386947511</v>
      </c>
      <c r="AO3229" s="82">
        <f>IFERROR(__xludf.DUMMYFUNCTION("""COMPUTED_VALUE"""),0.7538615606563541)</f>
        <v>0.7538615607</v>
      </c>
      <c r="AP3229" s="82">
        <f>IFERROR(__xludf.DUMMYFUNCTION("""COMPUTED_VALUE"""),0.5379552275653517)</f>
        <v>0.5379552276</v>
      </c>
      <c r="AQ3229" s="82">
        <f>IFERROR(__xludf.DUMMYFUNCTION("""COMPUTED_VALUE"""),1.0804790822477264)</f>
        <v>1.080479082</v>
      </c>
      <c r="AR3229" s="82">
        <f>IFERROR(__xludf.DUMMYFUNCTION("""COMPUTED_VALUE"""),0.955728951824251)</f>
        <v>0.9557289518</v>
      </c>
      <c r="AS3229" s="82">
        <f>IFERROR(__xludf.DUMMYFUNCTION("""COMPUTED_VALUE"""),62.0)</f>
        <v>62</v>
      </c>
      <c r="AT3229" s="82">
        <f>IFERROR(__xludf.DUMMYFUNCTION("""COMPUTED_VALUE"""),0.3299831478807846)</f>
        <v>0.3299831479</v>
      </c>
      <c r="AU3229" s="82">
        <f>IFERROR(__xludf.DUMMYFUNCTION("""COMPUTED_VALUE"""),2.8427687656039873)</f>
        <v>2.842768766</v>
      </c>
      <c r="AV3229" s="82">
        <f>IFERROR(__xludf.DUMMYFUNCTION("""COMPUTED_VALUE"""),36.46233352709123)</f>
        <v>36.46233353</v>
      </c>
      <c r="AW3229" s="82">
        <f t="shared" si="1"/>
        <v>-3.400444453</v>
      </c>
      <c r="AX3229" s="83">
        <f t="array" ref="AX3229">IFERROR(DGET('SBV Import'!A:G,"SBV",{"RSC ID","Tier";B3229,A3229}))</f>
        <v>43.91655517</v>
      </c>
      <c r="AY3229" s="82">
        <f t="shared" si="2"/>
        <v>-2.476032839</v>
      </c>
      <c r="AZ3229" s="82">
        <v>0.9244116137705358</v>
      </c>
      <c r="BA3229" s="84">
        <v>3200.0</v>
      </c>
      <c r="BB3229" s="84" t="b">
        <f>IFERROR(__xludf.DUMMYFUNCTION("iferror(if(A3229="""",,E3229&gt;=FILTER(Constants!$F$2:$F$10,Constants!$A$2:$A$10=A3229)))"),TRUE)</f>
        <v>1</v>
      </c>
    </row>
    <row r="3230">
      <c r="A3230" s="89" t="str">
        <f>IFERROR(__xludf.DUMMYFUNCTION("""COMPUTED_VALUE"""),"Contender")</f>
        <v>Contender</v>
      </c>
      <c r="B3230" s="87" t="str">
        <f>IFERROR(__xludf.DUMMYFUNCTION("""COMPUTED_VALUE"""),"RSC005870")</f>
        <v>RSC005870</v>
      </c>
      <c r="C3230" s="73" t="str">
        <f>IFERROR(__xludf.DUMMYFUNCTION("""COMPUTED_VALUE"""),"Evil twin")</f>
        <v>Evil twin</v>
      </c>
      <c r="D3230" s="73" t="str">
        <f>IFERROR(__xludf.DUMMYFUNCTION("""COMPUTED_VALUE"""),"Toothpaste")</f>
        <v>Toothpaste</v>
      </c>
      <c r="E3230" s="82">
        <f>IFERROR(__xludf.DUMMYFUNCTION("""COMPUTED_VALUE"""),35.0)</f>
        <v>35</v>
      </c>
      <c r="F3230" s="82">
        <f>IFERROR(__xludf.DUMMYFUNCTION("""COMPUTED_VALUE"""),11.0)</f>
        <v>11</v>
      </c>
      <c r="G3230" s="86">
        <f>IFERROR(__xludf.DUMMYFUNCTION("""COMPUTED_VALUE"""),24.0)</f>
        <v>24</v>
      </c>
      <c r="H3230" s="86">
        <f>IFERROR(__xludf.DUMMYFUNCTION("""COMPUTED_VALUE"""),0.3142857142857143)</f>
        <v>0.3142857143</v>
      </c>
      <c r="I3230" s="86">
        <f>IFERROR(__xludf.DUMMYFUNCTION("""COMPUTED_VALUE"""),0.3188405797101449)</f>
        <v>0.3188405797</v>
      </c>
      <c r="J3230" s="82">
        <f>IFERROR(__xludf.DUMMYFUNCTION("""COMPUTED_VALUE"""),277.14285714285717)</f>
        <v>277.1428571</v>
      </c>
      <c r="K3230" s="82">
        <f>IFERROR(__xludf.DUMMYFUNCTION("""COMPUTED_VALUE"""),0.6285714285714286)</f>
        <v>0.6285714286</v>
      </c>
      <c r="L3230" s="82">
        <f>IFERROR(__xludf.DUMMYFUNCTION("""COMPUTED_VALUE"""),0.4)</f>
        <v>0.4</v>
      </c>
      <c r="M3230" s="82">
        <f>IFERROR(__xludf.DUMMYFUNCTION("""COMPUTED_VALUE"""),1.0)</f>
        <v>1</v>
      </c>
      <c r="N3230" s="82">
        <f>IFERROR(__xludf.DUMMYFUNCTION("""COMPUTED_VALUE"""),1.9714285714285715)</f>
        <v>1.971428571</v>
      </c>
      <c r="O3230" s="82">
        <f>IFERROR(__xludf.DUMMYFUNCTION("""COMPUTED_VALUE"""),346.99047619047616)</f>
        <v>346.9904762</v>
      </c>
      <c r="P3230" s="82">
        <f>IFERROR(__xludf.DUMMYFUNCTION("""COMPUTED_VALUE"""),1.0285714285714285)</f>
        <v>1.028571429</v>
      </c>
      <c r="Q3230" s="82">
        <f>IFERROR(__xludf.DUMMYFUNCTION("""COMPUTED_VALUE"""),0.638095238095238)</f>
        <v>0.6380952381</v>
      </c>
      <c r="R3230" s="82">
        <f>IFERROR(__xludf.DUMMYFUNCTION("""COMPUTED_VALUE"""),0.8952380952380953)</f>
        <v>0.8952380952</v>
      </c>
      <c r="S3230" s="82">
        <f>IFERROR(__xludf.DUMMYFUNCTION("""COMPUTED_VALUE"""),2.3999999999999995)</f>
        <v>2.4</v>
      </c>
      <c r="T3230" s="82">
        <f>IFERROR(__xludf.DUMMYFUNCTION("""COMPUTED_VALUE"""),335.5783511174617)</f>
        <v>335.5783511</v>
      </c>
      <c r="U3230" s="82">
        <f>IFERROR(__xludf.DUMMYFUNCTION("""COMPUTED_VALUE"""),0.8466184040573537)</f>
        <v>0.8466184041</v>
      </c>
      <c r="V3230" s="82">
        <f>IFERROR(__xludf.DUMMYFUNCTION("""COMPUTED_VALUE"""),0.5724833076469118)</f>
        <v>0.5724833076</v>
      </c>
      <c r="W3230" s="82">
        <f>IFERROR(__xludf.DUMMYFUNCTION("""COMPUTED_VALUE"""),1.095591329987159)</f>
        <v>1.09559133</v>
      </c>
      <c r="X3230" s="82">
        <f>IFERROR(__xludf.DUMMYFUNCTION("""COMPUTED_VALUE"""),2.3276908596543753)</f>
        <v>2.32769086</v>
      </c>
      <c r="Y3230" s="82">
        <f>IFERROR(__xludf.DUMMYFUNCTION("""COMPUTED_VALUE"""),321.02441583149573)</f>
        <v>321.0244158</v>
      </c>
      <c r="Z3230" s="82">
        <f>IFERROR(__xludf.DUMMYFUNCTION("""COMPUTED_VALUE"""),0.7821781556413832)</f>
        <v>0.7821781556</v>
      </c>
      <c r="AA3230" s="82">
        <f>IFERROR(__xludf.DUMMYFUNCTION("""COMPUTED_VALUE"""),0.5325730405020365)</f>
        <v>0.5325730405</v>
      </c>
      <c r="AB3230" s="82">
        <f>IFERROR(__xludf.DUMMYFUNCTION("""COMPUTED_VALUE"""),1.0745894848550368)</f>
        <v>1.074589485</v>
      </c>
      <c r="AC3230" s="82">
        <f>IFERROR(__xludf.DUMMYFUNCTION("""COMPUTED_VALUE"""),2.239906387692408)</f>
        <v>2.239906388</v>
      </c>
      <c r="AD3230" s="82">
        <f>IFERROR(__xludf.DUMMYFUNCTION("""COMPUTED_VALUE"""),0.8633077220155373)</f>
        <v>0.863307722</v>
      </c>
      <c r="AE3230" s="82">
        <f>IFERROR(__xludf.DUMMYFUNCTION("""COMPUTED_VALUE"""),0.8036167004127114)</f>
        <v>0.8036167004</v>
      </c>
      <c r="AF3230" s="82">
        <f>IFERROR(__xludf.DUMMYFUNCTION("""COMPUTED_VALUE"""),0.751070688112442)</f>
        <v>0.7510706881</v>
      </c>
      <c r="AG3230" s="82">
        <f>IFERROR(__xludf.DUMMYFUNCTION("""COMPUTED_VALUE"""),0.9305879259882215)</f>
        <v>0.930587926</v>
      </c>
      <c r="AH3230" s="82">
        <f>IFERROR(__xludf.DUMMYFUNCTION("""COMPUTED_VALUE"""),0.8801388228815995)</f>
        <v>0.8801388229</v>
      </c>
      <c r="AI3230" s="82">
        <f>IFERROR(__xludf.DUMMYFUNCTION("""COMPUTED_VALUE"""),1.0340073340101128)</f>
        <v>1.034007334</v>
      </c>
      <c r="AJ3230" s="82">
        <f>IFERROR(__xludf.DUMMYFUNCTION("""COMPUTED_VALUE"""),1.2149173980179016)</f>
        <v>1.214917398</v>
      </c>
      <c r="AK3230" s="82">
        <f>IFERROR(__xludf.DUMMYFUNCTION("""COMPUTED_VALUE"""),1.114609333707933)</f>
        <v>1.114609334</v>
      </c>
      <c r="AL3230" s="82">
        <f>IFERROR(__xludf.DUMMYFUNCTION("""COMPUTED_VALUE"""),0.8171277653763361)</f>
        <v>0.8171277654</v>
      </c>
      <c r="AM3230" s="82">
        <f>IFERROR(__xludf.DUMMYFUNCTION("""COMPUTED_VALUE"""),1.0310647524544394)</f>
        <v>1.031064752</v>
      </c>
      <c r="AN3230" s="82">
        <f>IFERROR(__xludf.DUMMYFUNCTION("""COMPUTED_VALUE"""),0.871455987421858)</f>
        <v>0.8714559874</v>
      </c>
      <c r="AO3230" s="82">
        <f>IFERROR(__xludf.DUMMYFUNCTION("""COMPUTED_VALUE"""),0.7828922542965367)</f>
        <v>0.7828922543</v>
      </c>
      <c r="AP3230" s="82">
        <f>IFERROR(__xludf.DUMMYFUNCTION("""COMPUTED_VALUE"""),0.7433563144539406)</f>
        <v>0.7433563145</v>
      </c>
      <c r="AQ3230" s="82">
        <f>IFERROR(__xludf.DUMMYFUNCTION("""COMPUTED_VALUE"""),0.9548419796607814)</f>
        <v>0.9548419797</v>
      </c>
      <c r="AR3230" s="82">
        <f>IFERROR(__xludf.DUMMYFUNCTION("""COMPUTED_VALUE"""),0.8949718970297094)</f>
        <v>0.894971897</v>
      </c>
      <c r="AS3230" s="82">
        <f>IFERROR(__xludf.DUMMYFUNCTION("""COMPUTED_VALUE"""),61.0)</f>
        <v>61</v>
      </c>
      <c r="AT3230" s="82">
        <f>IFERROR(__xludf.DUMMYFUNCTION("""COMPUTED_VALUE"""),0.28954185492426865)</f>
        <v>0.2895418549</v>
      </c>
      <c r="AU3230" s="82">
        <f>IFERROR(__xludf.DUMMYFUNCTION("""COMPUTED_VALUE"""),2.770625756363288)</f>
        <v>2.770625756</v>
      </c>
      <c r="AV3230" s="82">
        <f>IFERROR(__xludf.DUMMYFUNCTION("""COMPUTED_VALUE"""),35.41900590418805)</f>
        <v>35.4190059</v>
      </c>
      <c r="AW3230" s="82">
        <f t="shared" si="1"/>
        <v>-3.573139172</v>
      </c>
      <c r="AX3230" s="83">
        <f t="array" ref="AX3230">IFERROR(DGET('SBV Import'!A:G,"SBV",{"RSC ID","Tier";B3230,A3230}))</f>
        <v>38.59644348</v>
      </c>
      <c r="AY3230" s="82">
        <f t="shared" si="2"/>
        <v>-3.085050132</v>
      </c>
      <c r="AZ3230" s="82">
        <v>0.48808903983839524</v>
      </c>
      <c r="BA3230" s="84">
        <v>3200.0</v>
      </c>
      <c r="BB3230" s="84" t="b">
        <f>IFERROR(__xludf.DUMMYFUNCTION("iferror(if(A3230="""",,E3230&gt;=FILTER(Constants!$F$2:$F$10,Constants!$A$2:$A$10=A3230)))"),TRUE)</f>
        <v>1</v>
      </c>
    </row>
    <row r="3231">
      <c r="A3231" s="89" t="str">
        <f>IFERROR(__xludf.DUMMYFUNCTION("""COMPUTED_VALUE"""),"Contender")</f>
        <v>Contender</v>
      </c>
      <c r="B3231" s="87" t="str">
        <f>IFERROR(__xludf.DUMMYFUNCTION("""COMPUTED_VALUE"""),"RSC006784")</f>
        <v>RSC006784</v>
      </c>
      <c r="C3231" s="73" t="str">
        <f>IFERROR(__xludf.DUMMYFUNCTION("""COMPUTED_VALUE"""),"KittyMeowMeow360")</f>
        <v>KittyMeowMeow360</v>
      </c>
      <c r="D3231" s="73" t="str">
        <f>IFERROR(__xludf.DUMMYFUNCTION("""COMPUTED_VALUE"""),"Legionaries")</f>
        <v>Legionaries</v>
      </c>
      <c r="E3231" s="82">
        <f>IFERROR(__xludf.DUMMYFUNCTION("""COMPUTED_VALUE"""),43.0)</f>
        <v>43</v>
      </c>
      <c r="F3231" s="82">
        <f>IFERROR(__xludf.DUMMYFUNCTION("""COMPUTED_VALUE"""),17.0)</f>
        <v>17</v>
      </c>
      <c r="G3231" s="86">
        <f>IFERROR(__xludf.DUMMYFUNCTION("""COMPUTED_VALUE"""),26.0)</f>
        <v>26</v>
      </c>
      <c r="H3231" s="86">
        <f>IFERROR(__xludf.DUMMYFUNCTION("""COMPUTED_VALUE"""),0.3953488372093023)</f>
        <v>0.3953488372</v>
      </c>
      <c r="I3231" s="86">
        <f>IFERROR(__xludf.DUMMYFUNCTION("""COMPUTED_VALUE"""),0.3023255813953488)</f>
        <v>0.3023255814</v>
      </c>
      <c r="J3231" s="82">
        <f>IFERROR(__xludf.DUMMYFUNCTION("""COMPUTED_VALUE"""),312.04651162790697)</f>
        <v>312.0465116</v>
      </c>
      <c r="K3231" s="82">
        <f>IFERROR(__xludf.DUMMYFUNCTION("""COMPUTED_VALUE"""),0.6046511627906976)</f>
        <v>0.6046511628</v>
      </c>
      <c r="L3231" s="82">
        <f>IFERROR(__xludf.DUMMYFUNCTION("""COMPUTED_VALUE"""),0.3488372093023256)</f>
        <v>0.3488372093</v>
      </c>
      <c r="M3231" s="82">
        <f>IFERROR(__xludf.DUMMYFUNCTION("""COMPUTED_VALUE"""),1.3488372093023255)</f>
        <v>1.348837209</v>
      </c>
      <c r="N3231" s="82">
        <f>IFERROR(__xludf.DUMMYFUNCTION("""COMPUTED_VALUE"""),2.0)</f>
        <v>2</v>
      </c>
      <c r="O3231" s="82">
        <f>IFERROR(__xludf.DUMMYFUNCTION("""COMPUTED_VALUE"""),348.2790697674419)</f>
        <v>348.2790698</v>
      </c>
      <c r="P3231" s="82">
        <f>IFERROR(__xludf.DUMMYFUNCTION("""COMPUTED_VALUE"""),0.9612403100775194)</f>
        <v>0.9612403101</v>
      </c>
      <c r="Q3231" s="82">
        <f>IFERROR(__xludf.DUMMYFUNCTION("""COMPUTED_VALUE"""),0.6356589147286821)</f>
        <v>0.6356589147</v>
      </c>
      <c r="R3231" s="82">
        <f>IFERROR(__xludf.DUMMYFUNCTION("""COMPUTED_VALUE"""),0.9767441860465113)</f>
        <v>0.976744186</v>
      </c>
      <c r="S3231" s="82">
        <f>IFERROR(__xludf.DUMMYFUNCTION("""COMPUTED_VALUE"""),2.7209302325581395)</f>
        <v>2.720930233</v>
      </c>
      <c r="T3231" s="82">
        <f>IFERROR(__xludf.DUMMYFUNCTION("""COMPUTED_VALUE"""),337.1724325750962)</f>
        <v>337.1724326</v>
      </c>
      <c r="U3231" s="82">
        <f>IFERROR(__xludf.DUMMYFUNCTION("""COMPUTED_VALUE"""),0.8746119350386466)</f>
        <v>0.874611935</v>
      </c>
      <c r="V3231" s="82">
        <f>IFERROR(__xludf.DUMMYFUNCTION("""COMPUTED_VALUE"""),0.5823816666784536)</f>
        <v>0.5823816667</v>
      </c>
      <c r="W3231" s="82">
        <f>IFERROR(__xludf.DUMMYFUNCTION("""COMPUTED_VALUE"""),1.0629560125097677)</f>
        <v>1.062956013</v>
      </c>
      <c r="X3231" s="82">
        <f>IFERROR(__xludf.DUMMYFUNCTION("""COMPUTED_VALUE"""),2.4067113827534485)</f>
        <v>2.406711383</v>
      </c>
      <c r="Y3231" s="82">
        <f>IFERROR(__xludf.DUMMYFUNCTION("""COMPUTED_VALUE"""),325.2165613307123)</f>
        <v>325.2165613</v>
      </c>
      <c r="Z3231" s="82">
        <f>IFERROR(__xludf.DUMMYFUNCTION("""COMPUTED_VALUE"""),0.8067788930885357)</f>
        <v>0.8067788931</v>
      </c>
      <c r="AA3231" s="82">
        <f>IFERROR(__xludf.DUMMYFUNCTION("""COMPUTED_VALUE"""),0.5305760138940682)</f>
        <v>0.5305760139</v>
      </c>
      <c r="AB3231" s="82">
        <f>IFERROR(__xludf.DUMMYFUNCTION("""COMPUTED_VALUE"""),1.0826323160017355)</f>
        <v>1.082632316</v>
      </c>
      <c r="AC3231" s="82">
        <f>IFERROR(__xludf.DUMMYFUNCTION("""COMPUTED_VALUE"""),2.2344737441527682)</f>
        <v>2.234473744</v>
      </c>
      <c r="AD3231" s="82">
        <f>IFERROR(__xludf.DUMMYFUNCTION("""COMPUTED_VALUE"""),0.9595037545169395)</f>
        <v>0.9595037545</v>
      </c>
      <c r="AE3231" s="82">
        <f>IFERROR(__xludf.DUMMYFUNCTION("""COMPUTED_VALUE"""),0.7494632891001319)</f>
        <v>0.7494632891</v>
      </c>
      <c r="AF3231" s="82">
        <f>IFERROR(__xludf.DUMMYFUNCTION("""COMPUTED_VALUE"""),0.6574688643425416)</f>
        <v>0.6574688643</v>
      </c>
      <c r="AG3231" s="82">
        <f>IFERROR(__xludf.DUMMYFUNCTION("""COMPUTED_VALUE"""),1.245886705362454)</f>
        <v>1.245886705</v>
      </c>
      <c r="AH3231" s="82">
        <f>IFERROR(__xludf.DUMMYFUNCTION("""COMPUTED_VALUE"""),0.8950653393147512)</f>
        <v>0.8950653393</v>
      </c>
      <c r="AI3231" s="82">
        <f>IFERROR(__xludf.DUMMYFUNCTION("""COMPUTED_VALUE"""),1.0329405257349205)</f>
        <v>1.032940526</v>
      </c>
      <c r="AJ3231" s="82">
        <f>IFERROR(__xludf.DUMMYFUNCTION("""COMPUTED_VALUE"""),1.09904778515862)</f>
        <v>1.099047785</v>
      </c>
      <c r="AK3231" s="82">
        <f>IFERROR(__xludf.DUMMYFUNCTION("""COMPUTED_VALUE"""),1.0914816710390096)</f>
        <v>1.091481671</v>
      </c>
      <c r="AL3231" s="82">
        <f>IFERROR(__xludf.DUMMYFUNCTION("""COMPUTED_VALUE"""),0.9188942670734794)</f>
        <v>0.9188942671</v>
      </c>
      <c r="AM3231" s="82">
        <f>IFERROR(__xludf.DUMMYFUNCTION("""COMPUTED_VALUE"""),1.1305594231432945)</f>
        <v>1.130559423</v>
      </c>
      <c r="AN3231" s="82">
        <f>IFERROR(__xludf.DUMMYFUNCTION("""COMPUTED_VALUE"""),0.9812080445287154)</f>
        <v>0.9812080445</v>
      </c>
      <c r="AO3231" s="82">
        <f>IFERROR(__xludf.DUMMYFUNCTION("""COMPUTED_VALUE"""),0.7530993143867319)</f>
        <v>0.7530993144</v>
      </c>
      <c r="AP3231" s="82">
        <f>IFERROR(__xludf.DUMMYFUNCTION("""COMPUTED_VALUE"""),0.6482758556284365)</f>
        <v>0.6482758556</v>
      </c>
      <c r="AQ3231" s="82">
        <f>IFERROR(__xludf.DUMMYFUNCTION("""COMPUTED_VALUE"""),1.2879263911703562)</f>
        <v>1.287926391</v>
      </c>
      <c r="AR3231" s="82">
        <f>IFERROR(__xludf.DUMMYFUNCTION("""COMPUTED_VALUE"""),0.9079425042330385)</f>
        <v>0.9079425042</v>
      </c>
      <c r="AS3231" s="82">
        <f>IFERROR(__xludf.DUMMYFUNCTION("""COMPUTED_VALUE"""),81.0)</f>
        <v>81</v>
      </c>
      <c r="AT3231" s="82">
        <f>IFERROR(__xludf.DUMMYFUNCTION("""COMPUTED_VALUE"""),0.3392443594103564)</f>
        <v>0.3392443594</v>
      </c>
      <c r="AU3231" s="82">
        <f>IFERROR(__xludf.DUMMYFUNCTION("""COMPUTED_VALUE"""),2.763211925324863)</f>
        <v>2.763211925</v>
      </c>
      <c r="AV3231" s="82">
        <f>IFERROR(__xludf.DUMMYFUNCTION("""COMPUTED_VALUE"""),35.31178755004207)</f>
        <v>35.31178755</v>
      </c>
      <c r="AW3231" s="82">
        <f t="shared" si="1"/>
        <v>-3.591639131</v>
      </c>
      <c r="AX3231" s="83">
        <f t="array" ref="AX3231">IFERROR(DGET('SBV Import'!A:G,"SBV",{"RSC ID","Tier";B3231,A3231}))</f>
        <v>34.94910968</v>
      </c>
      <c r="AY3231" s="82">
        <f t="shared" si="2"/>
        <v>-3.655301875</v>
      </c>
      <c r="AZ3231" s="82">
        <v>0.06366274378778058</v>
      </c>
      <c r="BA3231" s="84">
        <v>3200.0</v>
      </c>
      <c r="BB3231" s="84" t="b">
        <f>IFERROR(__xludf.DUMMYFUNCTION("iferror(if(A3231="""",,E3231&gt;=FILTER(Constants!$F$2:$F$10,Constants!$A$2:$A$10=A3231)))"),TRUE)</f>
        <v>1</v>
      </c>
    </row>
    <row r="3232">
      <c r="A3232" s="89" t="str">
        <f>IFERROR(__xludf.DUMMYFUNCTION("""COMPUTED_VALUE"""),"Contender")</f>
        <v>Contender</v>
      </c>
      <c r="B3232" s="87" t="str">
        <f>IFERROR(__xludf.DUMMYFUNCTION("""COMPUTED_VALUE"""),"RSC003153")</f>
        <v>RSC003153</v>
      </c>
      <c r="C3232" s="73" t="str">
        <f>IFERROR(__xludf.DUMMYFUNCTION("""COMPUTED_VALUE"""),"Theman")</f>
        <v>Theman</v>
      </c>
      <c r="D3232" s="73" t="str">
        <f>IFERROR(__xludf.DUMMYFUNCTION("""COMPUTED_VALUE"""),"Clover")</f>
        <v>Clover</v>
      </c>
      <c r="E3232" s="82">
        <f>IFERROR(__xludf.DUMMYFUNCTION("""COMPUTED_VALUE"""),38.0)</f>
        <v>38</v>
      </c>
      <c r="F3232" s="82">
        <f>IFERROR(__xludf.DUMMYFUNCTION("""COMPUTED_VALUE"""),19.0)</f>
        <v>19</v>
      </c>
      <c r="G3232" s="86">
        <f>IFERROR(__xludf.DUMMYFUNCTION("""COMPUTED_VALUE"""),19.0)</f>
        <v>19</v>
      </c>
      <c r="H3232" s="86">
        <f>IFERROR(__xludf.DUMMYFUNCTION("""COMPUTED_VALUE"""),0.5)</f>
        <v>0.5</v>
      </c>
      <c r="I3232" s="86">
        <f>IFERROR(__xludf.DUMMYFUNCTION("""COMPUTED_VALUE"""),0.3888888888888889)</f>
        <v>0.3888888889</v>
      </c>
      <c r="J3232" s="82">
        <f>IFERROR(__xludf.DUMMYFUNCTION("""COMPUTED_VALUE"""),306.36842105263156)</f>
        <v>306.3684211</v>
      </c>
      <c r="K3232" s="82">
        <f>IFERROR(__xludf.DUMMYFUNCTION("""COMPUTED_VALUE"""),0.7368421052631579)</f>
        <v>0.7368421053</v>
      </c>
      <c r="L3232" s="82">
        <f>IFERROR(__xludf.DUMMYFUNCTION("""COMPUTED_VALUE"""),0.2894736842105263)</f>
        <v>0.2894736842</v>
      </c>
      <c r="M3232" s="82">
        <f>IFERROR(__xludf.DUMMYFUNCTION("""COMPUTED_VALUE"""),1.236842105263158)</f>
        <v>1.236842105</v>
      </c>
      <c r="N3232" s="82">
        <f>IFERROR(__xludf.DUMMYFUNCTION("""COMPUTED_VALUE"""),1.894736842105263)</f>
        <v>1.894736842</v>
      </c>
      <c r="O3232" s="82">
        <f>IFERROR(__xludf.DUMMYFUNCTION("""COMPUTED_VALUE"""),341.1140350877192)</f>
        <v>341.1140351</v>
      </c>
      <c r="P3232" s="82">
        <f>IFERROR(__xludf.DUMMYFUNCTION("""COMPUTED_VALUE"""),0.8070175438596493)</f>
        <v>0.8070175439</v>
      </c>
      <c r="Q3232" s="82">
        <f>IFERROR(__xludf.DUMMYFUNCTION("""COMPUTED_VALUE"""),0.5789473684210528)</f>
        <v>0.5789473684</v>
      </c>
      <c r="R3232" s="82">
        <f>IFERROR(__xludf.DUMMYFUNCTION("""COMPUTED_VALUE"""),1.1666666666666665)</f>
        <v>1.166666667</v>
      </c>
      <c r="S3232" s="82">
        <f>IFERROR(__xludf.DUMMYFUNCTION("""COMPUTED_VALUE"""),2.5701754385964914)</f>
        <v>2.570175439</v>
      </c>
      <c r="T3232" s="82">
        <f>IFERROR(__xludf.DUMMYFUNCTION("""COMPUTED_VALUE"""),326.74857962586543)</f>
        <v>326.7485796</v>
      </c>
      <c r="U3232" s="82">
        <f>IFERROR(__xludf.DUMMYFUNCTION("""COMPUTED_VALUE"""),0.8147907128551349)</f>
        <v>0.8147907129</v>
      </c>
      <c r="V3232" s="82">
        <f>IFERROR(__xludf.DUMMYFUNCTION("""COMPUTED_VALUE"""),0.5624215964607725)</f>
        <v>0.5624215965</v>
      </c>
      <c r="W3232" s="82">
        <f>IFERROR(__xludf.DUMMYFUNCTION("""COMPUTED_VALUE"""),1.0725353612451436)</f>
        <v>1.072535361</v>
      </c>
      <c r="X3232" s="82">
        <f>IFERROR(__xludf.DUMMYFUNCTION("""COMPUTED_VALUE"""),2.2878688748858744)</f>
        <v>2.287868875</v>
      </c>
      <c r="Y3232" s="82">
        <f>IFERROR(__xludf.DUMMYFUNCTION("""COMPUTED_VALUE"""),331.37896794961233)</f>
        <v>331.3789679</v>
      </c>
      <c r="Z3232" s="82">
        <f>IFERROR(__xludf.DUMMYFUNCTION("""COMPUTED_VALUE"""),0.8401126062872798)</f>
        <v>0.8401126063</v>
      </c>
      <c r="AA3232" s="82">
        <f>IFERROR(__xludf.DUMMYFUNCTION("""COMPUTED_VALUE"""),0.5494220659669605)</f>
        <v>0.549422066</v>
      </c>
      <c r="AB3232" s="82">
        <f>IFERROR(__xludf.DUMMYFUNCTION("""COMPUTED_VALUE"""),1.1091175763008256)</f>
        <v>1.109117576</v>
      </c>
      <c r="AC3232" s="82">
        <f>IFERROR(__xludf.DUMMYFUNCTION("""COMPUTED_VALUE"""),2.291301219997012)</f>
        <v>2.29130122</v>
      </c>
      <c r="AD3232" s="82">
        <f>IFERROR(__xludf.DUMMYFUNCTION("""COMPUTED_VALUE"""),0.9245258470936402)</f>
        <v>0.9245258471</v>
      </c>
      <c r="AE3232" s="82">
        <f>IFERROR(__xludf.DUMMYFUNCTION("""COMPUTED_VALUE"""),0.877075406021454)</f>
        <v>0.877075406</v>
      </c>
      <c r="AF3232" s="82">
        <f>IFERROR(__xludf.DUMMYFUNCTION("""COMPUTED_VALUE"""),0.5268694181422517)</f>
        <v>0.5268694181</v>
      </c>
      <c r="AG3232" s="82">
        <f>IFERROR(__xludf.DUMMYFUNCTION("""COMPUTED_VALUE"""),1.1151586916405423)</f>
        <v>1.115158692</v>
      </c>
      <c r="AH3232" s="82">
        <f>IFERROR(__xludf.DUMMYFUNCTION("""COMPUTED_VALUE"""),0.8269261263290969)</f>
        <v>0.8269261263</v>
      </c>
      <c r="AI3232" s="82">
        <f>IFERROR(__xludf.DUMMYFUNCTION("""COMPUTED_VALUE"""),1.0439648597043711)</f>
        <v>1.04396486</v>
      </c>
      <c r="AJ3232" s="82">
        <f>IFERROR(__xludf.DUMMYFUNCTION("""COMPUTED_VALUE"""),0.9904599194948511)</f>
        <v>0.9904599195</v>
      </c>
      <c r="AK3232" s="82">
        <f>IFERROR(__xludf.DUMMYFUNCTION("""COMPUTED_VALUE"""),1.0293832457079783)</f>
        <v>1.029383246</v>
      </c>
      <c r="AL3232" s="82">
        <f>IFERROR(__xludf.DUMMYFUNCTION("""COMPUTED_VALUE"""),1.087765223248437)</f>
        <v>1.087765223</v>
      </c>
      <c r="AM3232" s="82">
        <f>IFERROR(__xludf.DUMMYFUNCTION("""COMPUTED_VALUE"""),1.1233928075203607)</f>
        <v>1.123392808</v>
      </c>
      <c r="AN3232" s="82">
        <f>IFERROR(__xludf.DUMMYFUNCTION("""COMPUTED_VALUE"""),0.9633536928778743)</f>
        <v>0.9633536929</v>
      </c>
      <c r="AO3232" s="82">
        <f>IFERROR(__xludf.DUMMYFUNCTION("""COMPUTED_VALUE"""),0.9177445086251268)</f>
        <v>0.9177445086</v>
      </c>
      <c r="AP3232" s="82">
        <f>IFERROR(__xludf.DUMMYFUNCTION("""COMPUTED_VALUE"""),0.5379552275653517)</f>
        <v>0.5379552276</v>
      </c>
      <c r="AQ3232" s="82">
        <f>IFERROR(__xludf.DUMMYFUNCTION("""COMPUTED_VALUE"""),1.1809887643172823)</f>
        <v>1.180988764</v>
      </c>
      <c r="AR3232" s="82">
        <f>IFERROR(__xludf.DUMMYFUNCTION("""COMPUTED_VALUE"""),0.8601560566418258)</f>
        <v>0.8601560566</v>
      </c>
      <c r="AS3232" s="82">
        <f>IFERROR(__xludf.DUMMYFUNCTION("""COMPUTED_VALUE"""),99.0)</f>
        <v>99</v>
      </c>
      <c r="AT3232" s="82">
        <f>IFERROR(__xludf.DUMMYFUNCTION("""COMPUTED_VALUE"""),0.5291069438700673)</f>
        <v>0.5291069439</v>
      </c>
      <c r="AU3232" s="82">
        <f>IFERROR(__xludf.DUMMYFUNCTION("""COMPUTED_VALUE"""),2.7388111817857816)</f>
        <v>2.738811182</v>
      </c>
      <c r="AV3232" s="82">
        <f>IFERROR(__xludf.DUMMYFUNCTION("""COMPUTED_VALUE"""),34.9589055449574)</f>
        <v>34.95890554</v>
      </c>
      <c r="AW3232" s="82">
        <f t="shared" si="1"/>
        <v>-3.653560071</v>
      </c>
      <c r="AX3232" s="83">
        <f t="array" ref="AX3232">IFERROR(DGET('SBV Import'!A:G,"SBV",{"RSC ID","Tier";B3232,A3232}))</f>
        <v>26.25910183</v>
      </c>
      <c r="AY3232" s="82">
        <f t="shared" si="2"/>
        <v>-5.842874414</v>
      </c>
      <c r="AZ3232" s="82">
        <v>2.189314342945405</v>
      </c>
      <c r="BA3232" s="84">
        <v>3200.0</v>
      </c>
      <c r="BB3232" s="84" t="b">
        <f>IFERROR(__xludf.DUMMYFUNCTION("iferror(if(A3232="""",,E3232&gt;=FILTER(Constants!$F$2:$F$10,Constants!$A$2:$A$10=A3232)))"),TRUE)</f>
        <v>1</v>
      </c>
    </row>
    <row r="3233">
      <c r="A3233" s="89" t="str">
        <f>IFERROR(__xludf.DUMMYFUNCTION("""COMPUTED_VALUE"""),"Contender")</f>
        <v>Contender</v>
      </c>
      <c r="B3233" s="87" t="str">
        <f>IFERROR(__xludf.DUMMYFUNCTION("""COMPUTED_VALUE"""),"RSC007271")</f>
        <v>RSC007271</v>
      </c>
      <c r="C3233" s="73" t="str">
        <f>IFERROR(__xludf.DUMMYFUNCTION("""COMPUTED_VALUE"""),"Darth. -.-")</f>
        <v>Darth. -.-</v>
      </c>
      <c r="D3233" s="73" t="str">
        <f>IFERROR(__xludf.DUMMYFUNCTION("""COMPUTED_VALUE"""),"Toothpaste")</f>
        <v>Toothpaste</v>
      </c>
      <c r="E3233" s="82">
        <f>IFERROR(__xludf.DUMMYFUNCTION("""COMPUTED_VALUE"""),40.0)</f>
        <v>40</v>
      </c>
      <c r="F3233" s="82">
        <f>IFERROR(__xludf.DUMMYFUNCTION("""COMPUTED_VALUE"""),10.0)</f>
        <v>10</v>
      </c>
      <c r="G3233" s="86">
        <f>IFERROR(__xludf.DUMMYFUNCTION("""COMPUTED_VALUE"""),30.0)</f>
        <v>30</v>
      </c>
      <c r="H3233" s="86">
        <f>IFERROR(__xludf.DUMMYFUNCTION("""COMPUTED_VALUE"""),0.25)</f>
        <v>0.25</v>
      </c>
      <c r="I3233" s="86">
        <f>IFERROR(__xludf.DUMMYFUNCTION("""COMPUTED_VALUE"""),0.3472222222222222)</f>
        <v>0.3472222222</v>
      </c>
      <c r="J3233" s="82">
        <f>IFERROR(__xludf.DUMMYFUNCTION("""COMPUTED_VALUE"""),316.975)</f>
        <v>316.975</v>
      </c>
      <c r="K3233" s="82">
        <f>IFERROR(__xludf.DUMMYFUNCTION("""COMPUTED_VALUE"""),0.625)</f>
        <v>0.625</v>
      </c>
      <c r="L3233" s="82">
        <f>IFERROR(__xludf.DUMMYFUNCTION("""COMPUTED_VALUE"""),0.4)</f>
        <v>0.4</v>
      </c>
      <c r="M3233" s="82">
        <f>IFERROR(__xludf.DUMMYFUNCTION("""COMPUTED_VALUE"""),1.25)</f>
        <v>1.25</v>
      </c>
      <c r="N3233" s="82">
        <f>IFERROR(__xludf.DUMMYFUNCTION("""COMPUTED_VALUE"""),1.8)</f>
        <v>1.8</v>
      </c>
      <c r="O3233" s="82">
        <f>IFERROR(__xludf.DUMMYFUNCTION("""COMPUTED_VALUE"""),364.69999999999993)</f>
        <v>364.7</v>
      </c>
      <c r="P3233" s="82">
        <f>IFERROR(__xludf.DUMMYFUNCTION("""COMPUTED_VALUE"""),1.1416666666666666)</f>
        <v>1.141666667</v>
      </c>
      <c r="Q3233" s="82">
        <f>IFERROR(__xludf.DUMMYFUNCTION("""COMPUTED_VALUE"""),0.6666666666666667)</f>
        <v>0.6666666667</v>
      </c>
      <c r="R3233" s="82">
        <f>IFERROR(__xludf.DUMMYFUNCTION("""COMPUTED_VALUE"""),0.9)</f>
        <v>0.9</v>
      </c>
      <c r="S3233" s="82">
        <f>IFERROR(__xludf.DUMMYFUNCTION("""COMPUTED_VALUE"""),2.4916666666666663)</f>
        <v>2.491666667</v>
      </c>
      <c r="T3233" s="82">
        <f>IFERROR(__xludf.DUMMYFUNCTION("""COMPUTED_VALUE"""),335.0523884423939)</f>
        <v>335.0523884</v>
      </c>
      <c r="U3233" s="82">
        <f>IFERROR(__xludf.DUMMYFUNCTION("""COMPUTED_VALUE"""),0.855110628165351)</f>
        <v>0.8551106282</v>
      </c>
      <c r="V3233" s="82">
        <f>IFERROR(__xludf.DUMMYFUNCTION("""COMPUTED_VALUE"""),0.5641060013978587)</f>
        <v>0.5641060014</v>
      </c>
      <c r="W3233" s="82">
        <f>IFERROR(__xludf.DUMMYFUNCTION("""COMPUTED_VALUE"""),1.0885054782132737)</f>
        <v>1.088505478</v>
      </c>
      <c r="X3233" s="82">
        <f>IFERROR(__xludf.DUMMYFUNCTION("""COMPUTED_VALUE"""),2.32096370099413)</f>
        <v>2.320963701</v>
      </c>
      <c r="Y3233" s="82">
        <f>IFERROR(__xludf.DUMMYFUNCTION("""COMPUTED_VALUE"""),320.13150911931064)</f>
        <v>320.1315091</v>
      </c>
      <c r="Z3233" s="82">
        <f>IFERROR(__xludf.DUMMYFUNCTION("""COMPUTED_VALUE"""),0.7776021589951644)</f>
        <v>0.777602159</v>
      </c>
      <c r="AA3233" s="82">
        <f>IFERROR(__xludf.DUMMYFUNCTION("""COMPUTED_VALUE"""),0.534525669557204)</f>
        <v>0.5345256696</v>
      </c>
      <c r="AB3233" s="82">
        <f>IFERROR(__xludf.DUMMYFUNCTION("""COMPUTED_VALUE"""),1.0645814485481815)</f>
        <v>1.064581449</v>
      </c>
      <c r="AC3233" s="82">
        <f>IFERROR(__xludf.DUMMYFUNCTION("""COMPUTED_VALUE"""),2.254173932108686)</f>
        <v>2.254173932</v>
      </c>
      <c r="AD3233" s="82">
        <f>IFERROR(__xludf.DUMMYFUNCTION("""COMPUTED_VALUE"""),0.9901399611428621)</f>
        <v>0.9901399611</v>
      </c>
      <c r="AE3233" s="82">
        <f>IFERROR(__xludf.DUMMYFUNCTION("""COMPUTED_VALUE"""),0.8037529124245739)</f>
        <v>0.8037529124</v>
      </c>
      <c r="AF3233" s="82">
        <f>IFERROR(__xludf.DUMMYFUNCTION("""COMPUTED_VALUE"""),0.7483270173560723)</f>
        <v>0.7483270174</v>
      </c>
      <c r="AG3233" s="82">
        <f>IFERROR(__xludf.DUMMYFUNCTION("""COMPUTED_VALUE"""),1.1741703762588407)</f>
        <v>1.174170376</v>
      </c>
      <c r="AH3233" s="82">
        <f>IFERROR(__xludf.DUMMYFUNCTION("""COMPUTED_VALUE"""),0.798518683212779)</f>
        <v>0.7985186832</v>
      </c>
      <c r="AI3233" s="82">
        <f>IFERROR(__xludf.DUMMYFUNCTION("""COMPUTED_VALUE"""),1.0884864951879112)</f>
        <v>1.088486495</v>
      </c>
      <c r="AJ3233" s="82">
        <f>IFERROR(__xludf.DUMMYFUNCTION("""COMPUTED_VALUE"""),1.3351099016464392)</f>
        <v>1.335109902</v>
      </c>
      <c r="AK3233" s="82">
        <f>IFERROR(__xludf.DUMMYFUNCTION("""COMPUTED_VALUE"""),1.1818109805863826)</f>
        <v>1.181810981</v>
      </c>
      <c r="AL3233" s="82">
        <f>IFERROR(__xludf.DUMMYFUNCTION("""COMPUTED_VALUE"""),0.8268217459753204)</f>
        <v>0.826821746</v>
      </c>
      <c r="AM3233" s="82">
        <f>IFERROR(__xludf.DUMMYFUNCTION("""COMPUTED_VALUE"""),1.0735483134007737)</f>
        <v>1.073548313</v>
      </c>
      <c r="AN3233" s="82">
        <f>IFERROR(__xludf.DUMMYFUNCTION("""COMPUTED_VALUE"""),0.9967053254078888)</f>
        <v>0.9967053254</v>
      </c>
      <c r="AO3233" s="82">
        <f>IFERROR(__xludf.DUMMYFUNCTION("""COMPUTED_VALUE"""),0.77844400285167)</f>
        <v>0.7784440029</v>
      </c>
      <c r="AP3233" s="82">
        <f>IFERROR(__xludf.DUMMYFUNCTION("""COMPUTED_VALUE"""),0.7433563144539406)</f>
        <v>0.7433563145</v>
      </c>
      <c r="AQ3233" s="82">
        <f>IFERROR(__xludf.DUMMYFUNCTION("""COMPUTED_VALUE"""),1.1935524745759767)</f>
        <v>1.193552475</v>
      </c>
      <c r="AR3233" s="82">
        <f>IFERROR(__xludf.DUMMYFUNCTION("""COMPUTED_VALUE"""),0.8171482538097347)</f>
        <v>0.8171482538</v>
      </c>
      <c r="AS3233" s="82">
        <f>IFERROR(__xludf.DUMMYFUNCTION("""COMPUTED_VALUE"""),72.0)</f>
        <v>72</v>
      </c>
      <c r="AT3233" s="82">
        <f>IFERROR(__xludf.DUMMYFUNCTION("""COMPUTED_VALUE"""),0.26231222372977175)</f>
        <v>0.2623122237</v>
      </c>
      <c r="AU3233" s="82">
        <f>IFERROR(__xludf.DUMMYFUNCTION("""COMPUTED_VALUE"""),2.7087071130768026)</f>
        <v>2.708707113</v>
      </c>
      <c r="AV3233" s="82">
        <f>IFERROR(__xludf.DUMMYFUNCTION("""COMPUTED_VALUE"""),34.5235424130833)</f>
        <v>34.52354241</v>
      </c>
      <c r="AW3233" s="82">
        <f t="shared" si="1"/>
        <v>-3.732193119</v>
      </c>
      <c r="AX3233" s="83">
        <f t="array" ref="AX3233">IFERROR(DGET('SBV Import'!A:G,"SBV",{"RSC ID","Tier";B3233,A3233}))</f>
        <v>44.45012531</v>
      </c>
      <c r="AY3233" s="82">
        <f t="shared" si="2"/>
        <v>-2.426248755</v>
      </c>
      <c r="AZ3233" s="82">
        <v>1.305944363987296</v>
      </c>
      <c r="BA3233" s="84">
        <v>3200.0</v>
      </c>
      <c r="BB3233" s="84" t="b">
        <f>IFERROR(__xludf.DUMMYFUNCTION("iferror(if(A3233="""",,E3233&gt;=FILTER(Constants!$F$2:$F$10,Constants!$A$2:$A$10=A3233)))"),TRUE)</f>
        <v>1</v>
      </c>
    </row>
    <row r="3234">
      <c r="A3234" s="89" t="str">
        <f>IFERROR(__xludf.DUMMYFUNCTION("""COMPUTED_VALUE"""),"Contender")</f>
        <v>Contender</v>
      </c>
      <c r="B3234" s="87" t="str">
        <f>IFERROR(__xludf.DUMMYFUNCTION("""COMPUTED_VALUE"""),"RSC007635")</f>
        <v>RSC007635</v>
      </c>
      <c r="C3234" s="73" t="str">
        <f>IFERROR(__xludf.DUMMYFUNCTION("""COMPUTED_VALUE"""),"MungsApprentice")</f>
        <v>MungsApprentice</v>
      </c>
      <c r="D3234" s="73" t="str">
        <f>IFERROR(__xludf.DUMMYFUNCTION("""COMPUTED_VALUE"""),"Ice")</f>
        <v>Ice</v>
      </c>
      <c r="E3234" s="82">
        <f>IFERROR(__xludf.DUMMYFUNCTION("""COMPUTED_VALUE"""),11.0)</f>
        <v>11</v>
      </c>
      <c r="F3234" s="82">
        <f>IFERROR(__xludf.DUMMYFUNCTION("""COMPUTED_VALUE"""),6.0)</f>
        <v>6</v>
      </c>
      <c r="G3234" s="86">
        <f>IFERROR(__xludf.DUMMYFUNCTION("""COMPUTED_VALUE"""),5.0)</f>
        <v>5</v>
      </c>
      <c r="H3234" s="86">
        <f>IFERROR(__xludf.DUMMYFUNCTION("""COMPUTED_VALUE"""),0.5454545454545454)</f>
        <v>0.5454545455</v>
      </c>
      <c r="I3234" s="86">
        <f>IFERROR(__xludf.DUMMYFUNCTION("""COMPUTED_VALUE"""),0.3333333333333333)</f>
        <v>0.3333333333</v>
      </c>
      <c r="J3234" s="82">
        <f>IFERROR(__xludf.DUMMYFUNCTION("""COMPUTED_VALUE"""),272.54545454545456)</f>
        <v>272.5454545</v>
      </c>
      <c r="K3234" s="82">
        <f>IFERROR(__xludf.DUMMYFUNCTION("""COMPUTED_VALUE"""),0.5454545454545454)</f>
        <v>0.5454545455</v>
      </c>
      <c r="L3234" s="82">
        <f>IFERROR(__xludf.DUMMYFUNCTION("""COMPUTED_VALUE"""),0.36363636363636365)</f>
        <v>0.3636363636</v>
      </c>
      <c r="M3234" s="82">
        <f>IFERROR(__xludf.DUMMYFUNCTION("""COMPUTED_VALUE"""),1.1818181818181819)</f>
        <v>1.181818182</v>
      </c>
      <c r="N3234" s="82">
        <f>IFERROR(__xludf.DUMMYFUNCTION("""COMPUTED_VALUE"""),1.6363636363636365)</f>
        <v>1.636363636</v>
      </c>
      <c r="O3234" s="82">
        <f>IFERROR(__xludf.DUMMYFUNCTION("""COMPUTED_VALUE"""),340.30303030303037)</f>
        <v>340.3030303</v>
      </c>
      <c r="P3234" s="82">
        <f>IFERROR(__xludf.DUMMYFUNCTION("""COMPUTED_VALUE"""),0.9393939393939396)</f>
        <v>0.9393939394</v>
      </c>
      <c r="Q3234" s="82">
        <f>IFERROR(__xludf.DUMMYFUNCTION("""COMPUTED_VALUE"""),0.818181818181818)</f>
        <v>0.8181818182</v>
      </c>
      <c r="R3234" s="82">
        <f>IFERROR(__xludf.DUMMYFUNCTION("""COMPUTED_VALUE"""),0.9393939393939394)</f>
        <v>0.9393939394</v>
      </c>
      <c r="S3234" s="82">
        <f>IFERROR(__xludf.DUMMYFUNCTION("""COMPUTED_VALUE"""),2.606060606060606)</f>
        <v>2.606060606</v>
      </c>
      <c r="T3234" s="82">
        <f>IFERROR(__xludf.DUMMYFUNCTION("""COMPUTED_VALUE"""),355.16609037233457)</f>
        <v>355.1660904</v>
      </c>
      <c r="U3234" s="82">
        <f>IFERROR(__xludf.DUMMYFUNCTION("""COMPUTED_VALUE"""),1.0290787777644783)</f>
        <v>1.029078778</v>
      </c>
      <c r="V3234" s="82">
        <f>IFERROR(__xludf.DUMMYFUNCTION("""COMPUTED_VALUE"""),0.6658093349902395)</f>
        <v>0.665809335</v>
      </c>
      <c r="W3234" s="82">
        <f>IFERROR(__xludf.DUMMYFUNCTION("""COMPUTED_VALUE"""),0.9831645138688959)</f>
        <v>0.9831645139</v>
      </c>
      <c r="X3234" s="82">
        <f>IFERROR(__xludf.DUMMYFUNCTION("""COMPUTED_VALUE"""),2.682207016174739)</f>
        <v>2.682207016</v>
      </c>
      <c r="Y3234" s="82">
        <f>IFERROR(__xludf.DUMMYFUNCTION("""COMPUTED_VALUE"""),307.86929647788315)</f>
        <v>307.8692965</v>
      </c>
      <c r="Z3234" s="82">
        <f>IFERROR(__xludf.DUMMYFUNCTION("""COMPUTED_VALUE"""),0.6696448584195237)</f>
        <v>0.6696448584</v>
      </c>
      <c r="AA3234" s="82">
        <f>IFERROR(__xludf.DUMMYFUNCTION("""COMPUTED_VALUE"""),0.44992606274475244)</f>
        <v>0.4499260627</v>
      </c>
      <c r="AB3234" s="82">
        <f>IFERROR(__xludf.DUMMYFUNCTION("""COMPUTED_VALUE"""),1.1492341573091993)</f>
        <v>1.149234157</v>
      </c>
      <c r="AC3234" s="82">
        <f>IFERROR(__xludf.DUMMYFUNCTION("""COMPUTED_VALUE"""),2.032959263582463)</f>
        <v>2.032959264</v>
      </c>
      <c r="AD3234" s="82">
        <f>IFERROR(__xludf.DUMMYFUNCTION("""COMPUTED_VALUE"""),0.8852635117027131)</f>
        <v>0.8852635117</v>
      </c>
      <c r="AE3234" s="82">
        <f>IFERROR(__xludf.DUMMYFUNCTION("""COMPUTED_VALUE"""),0.8145430202240503)</f>
        <v>0.8145430202</v>
      </c>
      <c r="AF3234" s="82">
        <f>IFERROR(__xludf.DUMMYFUNCTION("""COMPUTED_VALUE"""),0.808213601626048)</f>
        <v>0.8082136016</v>
      </c>
      <c r="AG3234" s="82">
        <f>IFERROR(__xludf.DUMMYFUNCTION("""COMPUTED_VALUE"""),1.028352815918102)</f>
        <v>1.028352816</v>
      </c>
      <c r="AH3234" s="82">
        <f>IFERROR(__xludf.DUMMYFUNCTION("""COMPUTED_VALUE"""),0.8049170810634203)</f>
        <v>0.8049170811</v>
      </c>
      <c r="AI3234" s="82">
        <f>IFERROR(__xludf.DUMMYFUNCTION("""COMPUTED_VALUE"""),0.9581518042622744)</f>
        <v>0.9581518043</v>
      </c>
      <c r="AJ3234" s="82">
        <f>IFERROR(__xludf.DUMMYFUNCTION("""COMPUTED_VALUE"""),0.9128493947126518)</f>
        <v>0.9128493947</v>
      </c>
      <c r="AK3234" s="82">
        <f>IFERROR(__xludf.DUMMYFUNCTION("""COMPUTED_VALUE"""),1.228853029214155)</f>
        <v>1.228853029</v>
      </c>
      <c r="AL3234" s="82">
        <f>IFERROR(__xludf.DUMMYFUNCTION("""COMPUTED_VALUE"""),0.9554799081359102)</f>
        <v>0.9554799081</v>
      </c>
      <c r="AM3234" s="82">
        <f>IFERROR(__xludf.DUMMYFUNCTION("""COMPUTED_VALUE"""),0.9716105395090905)</f>
        <v>0.9716105395</v>
      </c>
      <c r="AN3234" s="82">
        <f>IFERROR(__xludf.DUMMYFUNCTION("""COMPUTED_VALUE"""),0.8569997821947101)</f>
        <v>0.8569997822</v>
      </c>
      <c r="AO3234" s="82">
        <f>IFERROR(__xludf.DUMMYFUNCTION("""COMPUTED_VALUE"""),0.6793693115796393)</f>
        <v>0.6793693116</v>
      </c>
      <c r="AP3234" s="82">
        <f>IFERROR(__xludf.DUMMYFUNCTION("""COMPUTED_VALUE"""),0.6757784676854005)</f>
        <v>0.6757784677</v>
      </c>
      <c r="AQ3234" s="82">
        <f>IFERROR(__xludf.DUMMYFUNCTION("""COMPUTED_VALUE"""),1.128449612326378)</f>
        <v>1.128449612</v>
      </c>
      <c r="AR3234" s="82">
        <f>IFERROR(__xludf.DUMMYFUNCTION("""COMPUTED_VALUE"""),0.7428620489179406)</f>
        <v>0.7428620489</v>
      </c>
      <c r="AS3234" s="82">
        <f>IFERROR(__xludf.DUMMYFUNCTION("""COMPUTED_VALUE"""),25.0)</f>
        <v>25</v>
      </c>
      <c r="AT3234" s="82">
        <f>IFERROR(__xludf.DUMMYFUNCTION("""COMPUTED_VALUE"""),0.41503882081631926)</f>
        <v>0.4150388208</v>
      </c>
      <c r="AU3234" s="82">
        <f>IFERROR(__xludf.DUMMYFUNCTION("""COMPUTED_VALUE"""),2.6768179556159915)</f>
        <v>2.676817956</v>
      </c>
      <c r="AV3234" s="82">
        <f>IFERROR(__xludf.DUMMYFUNCTION("""COMPUTED_VALUE"""),34.06236344092582)</f>
        <v>34.06236344</v>
      </c>
      <c r="AW3234" s="82">
        <f t="shared" si="1"/>
        <v>-3.818282928</v>
      </c>
      <c r="AX3234" s="83">
        <f t="array" ref="AX3234">IFERROR(DGET('SBV Import'!A:G,"SBV",{"RSC ID","Tier";B3234,A3234}))</f>
        <v>23.64677836</v>
      </c>
      <c r="AY3234" s="82">
        <f t="shared" si="2"/>
        <v>-6.853447741</v>
      </c>
      <c r="AZ3234" s="82">
        <v>3.035164812458029</v>
      </c>
      <c r="BA3234" s="84">
        <v>3200.0</v>
      </c>
      <c r="BB3234" s="84" t="b">
        <f>IFERROR(__xludf.DUMMYFUNCTION("iferror(if(A3234="""",,E3234&gt;=FILTER(Constants!$F$2:$F$10,Constants!$A$2:$A$10=A3234)))"),TRUE)</f>
        <v>1</v>
      </c>
    </row>
    <row r="3235">
      <c r="A3235" s="89" t="str">
        <f>IFERROR(__xludf.DUMMYFUNCTION("""COMPUTED_VALUE"""),"Contender")</f>
        <v>Contender</v>
      </c>
      <c r="B3235" s="87" t="str">
        <f>IFERROR(__xludf.DUMMYFUNCTION("""COMPUTED_VALUE"""),"RSC005937")</f>
        <v>RSC005937</v>
      </c>
      <c r="C3235" s="73" t="str">
        <f>IFERROR(__xludf.DUMMYFUNCTION("""COMPUTED_VALUE"""),"SlashFabo420")</f>
        <v>SlashFabo420</v>
      </c>
      <c r="D3235" s="73" t="str">
        <f>IFERROR(__xludf.DUMMYFUNCTION("""COMPUTED_VALUE"""),"Celestial Cider")</f>
        <v>Celestial Cider</v>
      </c>
      <c r="E3235" s="82">
        <f>IFERROR(__xludf.DUMMYFUNCTION("""COMPUTED_VALUE"""),39.0)</f>
        <v>39</v>
      </c>
      <c r="F3235" s="82">
        <f>IFERROR(__xludf.DUMMYFUNCTION("""COMPUTED_VALUE"""),16.0)</f>
        <v>16</v>
      </c>
      <c r="G3235" s="86">
        <f>IFERROR(__xludf.DUMMYFUNCTION("""COMPUTED_VALUE"""),23.0)</f>
        <v>23</v>
      </c>
      <c r="H3235" s="86">
        <f>IFERROR(__xludf.DUMMYFUNCTION("""COMPUTED_VALUE"""),0.41025641025641024)</f>
        <v>0.4102564103</v>
      </c>
      <c r="I3235" s="86">
        <f>IFERROR(__xludf.DUMMYFUNCTION("""COMPUTED_VALUE"""),0.2857142857142857)</f>
        <v>0.2857142857</v>
      </c>
      <c r="J3235" s="82">
        <f>IFERROR(__xludf.DUMMYFUNCTION("""COMPUTED_VALUE"""),275.38461538461536)</f>
        <v>275.3846154</v>
      </c>
      <c r="K3235" s="82">
        <f>IFERROR(__xludf.DUMMYFUNCTION("""COMPUTED_VALUE"""),0.46153846153846156)</f>
        <v>0.4615384615</v>
      </c>
      <c r="L3235" s="82">
        <f>IFERROR(__xludf.DUMMYFUNCTION("""COMPUTED_VALUE"""),0.5128205128205128)</f>
        <v>0.5128205128</v>
      </c>
      <c r="M3235" s="82">
        <f>IFERROR(__xludf.DUMMYFUNCTION("""COMPUTED_VALUE"""),1.1794871794871795)</f>
        <v>1.179487179</v>
      </c>
      <c r="N3235" s="82">
        <f>IFERROR(__xludf.DUMMYFUNCTION("""COMPUTED_VALUE"""),1.6153846153846154)</f>
        <v>1.615384615</v>
      </c>
      <c r="O3235" s="82">
        <f>IFERROR(__xludf.DUMMYFUNCTION("""COMPUTED_VALUE"""),317.44444444444446)</f>
        <v>317.4444444</v>
      </c>
      <c r="P3235" s="82">
        <f>IFERROR(__xludf.DUMMYFUNCTION("""COMPUTED_VALUE"""),0.8376068376068375)</f>
        <v>0.8376068376</v>
      </c>
      <c r="Q3235" s="82">
        <f>IFERROR(__xludf.DUMMYFUNCTION("""COMPUTED_VALUE"""),0.5555555555555556)</f>
        <v>0.5555555556</v>
      </c>
      <c r="R3235" s="82">
        <f>IFERROR(__xludf.DUMMYFUNCTION("""COMPUTED_VALUE"""),0.9059829059829059)</f>
        <v>0.905982906</v>
      </c>
      <c r="S3235" s="82">
        <f>IFERROR(__xludf.DUMMYFUNCTION("""COMPUTED_VALUE"""),2.3846153846153846)</f>
        <v>2.384615385</v>
      </c>
      <c r="T3235" s="82">
        <f>IFERROR(__xludf.DUMMYFUNCTION("""COMPUTED_VALUE"""),327.0690114281789)</f>
        <v>327.0690114</v>
      </c>
      <c r="U3235" s="82">
        <f>IFERROR(__xludf.DUMMYFUNCTION("""COMPUTED_VALUE"""),0.8458516427395707)</f>
        <v>0.8458516427</v>
      </c>
      <c r="V3235" s="82">
        <f>IFERROR(__xludf.DUMMYFUNCTION("""COMPUTED_VALUE"""),0.5378453004903805)</f>
        <v>0.5378453005</v>
      </c>
      <c r="W3235" s="82">
        <f>IFERROR(__xludf.DUMMYFUNCTION("""COMPUTED_VALUE"""),1.041632596842457)</f>
        <v>1.041632597</v>
      </c>
      <c r="X3235" s="82">
        <f>IFERROR(__xludf.DUMMYFUNCTION("""COMPUTED_VALUE"""),2.279334387327673)</f>
        <v>2.279334387</v>
      </c>
      <c r="Y3235" s="82">
        <f>IFERROR(__xludf.DUMMYFUNCTION("""COMPUTED_VALUE"""),329.00186675705163)</f>
        <v>329.0018668</v>
      </c>
      <c r="Z3235" s="82">
        <f>IFERROR(__xludf.DUMMYFUNCTION("""COMPUTED_VALUE"""),0.8387196196013479)</f>
        <v>0.8387196196</v>
      </c>
      <c r="AA3235" s="82">
        <f>IFERROR(__xludf.DUMMYFUNCTION("""COMPUTED_VALUE"""),0.5559711000847297)</f>
        <v>0.5559711001</v>
      </c>
      <c r="AB3235" s="82">
        <f>IFERROR(__xludf.DUMMYFUNCTION("""COMPUTED_VALUE"""),1.0551905482357153)</f>
        <v>1.055190548</v>
      </c>
      <c r="AC3235" s="82">
        <f>IFERROR(__xludf.DUMMYFUNCTION("""COMPUTED_VALUE"""),2.2942830436046218)</f>
        <v>2.294283044</v>
      </c>
      <c r="AD3235" s="82">
        <f>IFERROR(__xludf.DUMMYFUNCTION("""COMPUTED_VALUE"""),0.8370305557809208)</f>
        <v>0.8370305558</v>
      </c>
      <c r="AE3235" s="82">
        <f>IFERROR(__xludf.DUMMYFUNCTION("""COMPUTED_VALUE"""),0.5502893347813129)</f>
        <v>0.5502893348</v>
      </c>
      <c r="AF3235" s="82">
        <f>IFERROR(__xludf.DUMMYFUNCTION("""COMPUTED_VALUE"""),0.922386995911045)</f>
        <v>0.9223869959</v>
      </c>
      <c r="AG3235" s="82">
        <f>IFERROR(__xludf.DUMMYFUNCTION("""COMPUTED_VALUE"""),1.1177954365297234)</f>
        <v>1.117795437</v>
      </c>
      <c r="AH3235" s="82">
        <f>IFERROR(__xludf.DUMMYFUNCTION("""COMPUTED_VALUE"""),0.7040912497207114)</f>
        <v>0.7040912497</v>
      </c>
      <c r="AI3235" s="82">
        <f>IFERROR(__xludf.DUMMYFUNCTION("""COMPUTED_VALUE"""),0.9705732837797508)</f>
        <v>0.9705732838</v>
      </c>
      <c r="AJ3235" s="82">
        <f>IFERROR(__xludf.DUMMYFUNCTION("""COMPUTED_VALUE"""),0.9902526581304144)</f>
        <v>0.9902526581</v>
      </c>
      <c r="AK3235" s="82">
        <f>IFERROR(__xludf.DUMMYFUNCTION("""COMPUTED_VALUE"""),1.0329281580577683)</f>
        <v>1.032928158</v>
      </c>
      <c r="AL3235" s="82">
        <f>IFERROR(__xludf.DUMMYFUNCTION("""COMPUTED_VALUE"""),0.8697720374047899)</f>
        <v>0.8697720374</v>
      </c>
      <c r="AM3235" s="82">
        <f>IFERROR(__xludf.DUMMYFUNCTION("""COMPUTED_VALUE"""),1.046189360311957)</f>
        <v>1.04618936</v>
      </c>
      <c r="AN3235" s="82">
        <f>IFERROR(__xludf.DUMMYFUNCTION("""COMPUTED_VALUE"""),0.8659273213636701)</f>
        <v>0.8659273214</v>
      </c>
      <c r="AO3235" s="82">
        <f>IFERROR(__xludf.DUMMYFUNCTION("""COMPUTED_VALUE"""),0.5748509559520025)</f>
        <v>0.574850956</v>
      </c>
      <c r="AP3235" s="82">
        <f>IFERROR(__xludf.DUMMYFUNCTION("""COMPUTED_VALUE"""),0.9530209159665903)</f>
        <v>0.953020916</v>
      </c>
      <c r="AQ3235" s="82">
        <f>IFERROR(__xludf.DUMMYFUNCTION("""COMPUTED_VALUE"""),1.12622387344605)</f>
        <v>1.126223873</v>
      </c>
      <c r="AR3235" s="82">
        <f>IFERROR(__xludf.DUMMYFUNCTION("""COMPUTED_VALUE"""),0.7333381764959157)</f>
        <v>0.7333381765</v>
      </c>
      <c r="AS3235" s="82">
        <f>IFERROR(__xludf.DUMMYFUNCTION("""COMPUTED_VALUE"""),79.0)</f>
        <v>79</v>
      </c>
      <c r="AT3235" s="82">
        <f>IFERROR(__xludf.DUMMYFUNCTION("""COMPUTED_VALUE"""),0.4175900005883283)</f>
        <v>0.4175900006</v>
      </c>
      <c r="AU3235" s="82">
        <f>IFERROR(__xludf.DUMMYFUNCTION("""COMPUTED_VALUE"""),2.6199429047867384)</f>
        <v>2.619942905</v>
      </c>
      <c r="AV3235" s="82">
        <f>IFERROR(__xludf.DUMMYFUNCTION("""COMPUTED_VALUE"""),33.23984006397323)</f>
        <v>33.23984006</v>
      </c>
      <c r="AW3235" s="82">
        <f t="shared" si="1"/>
        <v>-3.979317438</v>
      </c>
      <c r="AX3235" s="83">
        <f t="array" ref="AX3235">IFERROR(DGET('SBV Import'!A:G,"SBV",{"RSC ID","Tier";B3235,A3235}))</f>
        <v>32.68833791</v>
      </c>
      <c r="AY3235" s="82">
        <f t="shared" si="2"/>
        <v>-4.092955716</v>
      </c>
      <c r="AZ3235" s="82">
        <v>0.11363827814416849</v>
      </c>
      <c r="BA3235" s="84">
        <v>3200.0</v>
      </c>
      <c r="BB3235" s="84" t="b">
        <f>IFERROR(__xludf.DUMMYFUNCTION("iferror(if(A3235="""",,E3235&gt;=FILTER(Constants!$F$2:$F$10,Constants!$A$2:$A$10=A3235)))"),TRUE)</f>
        <v>1</v>
      </c>
    </row>
    <row r="3236">
      <c r="A3236" s="89" t="str">
        <f>IFERROR(__xludf.DUMMYFUNCTION("""COMPUTED_VALUE"""),"Contender")</f>
        <v>Contender</v>
      </c>
      <c r="B3236" s="87" t="str">
        <f>IFERROR(__xludf.DUMMYFUNCTION("""COMPUTED_VALUE"""),"RSC007538")</f>
        <v>RSC007538</v>
      </c>
      <c r="C3236" s="73" t="str">
        <f>IFERROR(__xludf.DUMMYFUNCTION("""COMPUTED_VALUE"""),"FattyMcChef04")</f>
        <v>FattyMcChef04</v>
      </c>
      <c r="D3236" s="73" t="str">
        <f>IFERROR(__xludf.DUMMYFUNCTION("""COMPUTED_VALUE"""),"Cheese Pizza")</f>
        <v>Cheese Pizza</v>
      </c>
      <c r="E3236" s="82">
        <f>IFERROR(__xludf.DUMMYFUNCTION("""COMPUTED_VALUE"""),11.0)</f>
        <v>11</v>
      </c>
      <c r="F3236" s="82">
        <f>IFERROR(__xludf.DUMMYFUNCTION("""COMPUTED_VALUE"""),6.0)</f>
        <v>6</v>
      </c>
      <c r="G3236" s="86">
        <f>IFERROR(__xludf.DUMMYFUNCTION("""COMPUTED_VALUE"""),5.0)</f>
        <v>5</v>
      </c>
      <c r="H3236" s="86">
        <f>IFERROR(__xludf.DUMMYFUNCTION("""COMPUTED_VALUE"""),0.5454545454545454)</f>
        <v>0.5454545455</v>
      </c>
      <c r="I3236" s="86">
        <f>IFERROR(__xludf.DUMMYFUNCTION("""COMPUTED_VALUE"""),0.4444444444444444)</f>
        <v>0.4444444444</v>
      </c>
      <c r="J3236" s="82">
        <f>IFERROR(__xludf.DUMMYFUNCTION("""COMPUTED_VALUE"""),252.9090909090909)</f>
        <v>252.9090909</v>
      </c>
      <c r="K3236" s="82">
        <f>IFERROR(__xludf.DUMMYFUNCTION("""COMPUTED_VALUE"""),0.7272727272727273)</f>
        <v>0.7272727273</v>
      </c>
      <c r="L3236" s="82">
        <f>IFERROR(__xludf.DUMMYFUNCTION("""COMPUTED_VALUE"""),0.2727272727272727)</f>
        <v>0.2727272727</v>
      </c>
      <c r="M3236" s="82">
        <f>IFERROR(__xludf.DUMMYFUNCTION("""COMPUTED_VALUE"""),0.7272727272727273)</f>
        <v>0.7272727273</v>
      </c>
      <c r="N3236" s="82">
        <f>IFERROR(__xludf.DUMMYFUNCTION("""COMPUTED_VALUE"""),1.6363636363636365)</f>
        <v>1.636363636</v>
      </c>
      <c r="O3236" s="82">
        <f>IFERROR(__xludf.DUMMYFUNCTION("""COMPUTED_VALUE"""),322.48484848484844)</f>
        <v>322.4848485</v>
      </c>
      <c r="P3236" s="82">
        <f>IFERROR(__xludf.DUMMYFUNCTION("""COMPUTED_VALUE"""),0.7575757575757577)</f>
        <v>0.7575757576</v>
      </c>
      <c r="Q3236" s="82">
        <f>IFERROR(__xludf.DUMMYFUNCTION("""COMPUTED_VALUE"""),0.5757575757575757)</f>
        <v>0.5757575758</v>
      </c>
      <c r="R3236" s="82">
        <f>IFERROR(__xludf.DUMMYFUNCTION("""COMPUTED_VALUE"""),0.9090909090909093)</f>
        <v>0.9090909091</v>
      </c>
      <c r="S3236" s="82">
        <f>IFERROR(__xludf.DUMMYFUNCTION("""COMPUTED_VALUE"""),2.151515151515152)</f>
        <v>2.151515152</v>
      </c>
      <c r="T3236" s="82">
        <f>IFERROR(__xludf.DUMMYFUNCTION("""COMPUTED_VALUE"""),332.50976269003365)</f>
        <v>332.5097627</v>
      </c>
      <c r="U3236" s="82">
        <f>IFERROR(__xludf.DUMMYFUNCTION("""COMPUTED_VALUE"""),0.8114527525098356)</f>
        <v>0.8114527525</v>
      </c>
      <c r="V3236" s="82">
        <f>IFERROR(__xludf.DUMMYFUNCTION("""COMPUTED_VALUE"""),0.5593227267450064)</f>
        <v>0.5593227267</v>
      </c>
      <c r="W3236" s="82">
        <f>IFERROR(__xludf.DUMMYFUNCTION("""COMPUTED_VALUE"""),1.1141408523859306)</f>
        <v>1.114140852</v>
      </c>
      <c r="X3236" s="82">
        <f>IFERROR(__xludf.DUMMYFUNCTION("""COMPUTED_VALUE"""),2.299930210920169)</f>
        <v>2.299930211</v>
      </c>
      <c r="Y3236" s="82">
        <f>IFERROR(__xludf.DUMMYFUNCTION("""COMPUTED_VALUE"""),321.4683956600368)</f>
        <v>321.4683957</v>
      </c>
      <c r="Z3236" s="82">
        <f>IFERROR(__xludf.DUMMYFUNCTION("""COMPUTED_VALUE"""),0.7867667369465517)</f>
        <v>0.7867667369</v>
      </c>
      <c r="AA3236" s="82">
        <f>IFERROR(__xludf.DUMMYFUNCTION("""COMPUTED_VALUE"""),0.5449155786560996)</f>
        <v>0.5449155787</v>
      </c>
      <c r="AB3236" s="82">
        <f>IFERROR(__xludf.DUMMYFUNCTION("""COMPUTED_VALUE"""),1.0574473271285707)</f>
        <v>1.057447327</v>
      </c>
      <c r="AC3236" s="82">
        <f>IFERROR(__xludf.DUMMYFUNCTION("""COMPUTED_VALUE"""),2.266476609652091)</f>
        <v>2.26647661</v>
      </c>
      <c r="AD3236" s="82">
        <f>IFERROR(__xludf.DUMMYFUNCTION("""COMPUTED_VALUE"""),0.786730808762148)</f>
        <v>0.7867308088</v>
      </c>
      <c r="AE3236" s="82">
        <f>IFERROR(__xludf.DUMMYFUNCTION("""COMPUTED_VALUE"""),0.9243816408600074)</f>
        <v>0.9243816409</v>
      </c>
      <c r="AF3236" s="82">
        <f>IFERROR(__xludf.DUMMYFUNCTION("""COMPUTED_VALUE"""),0.5004945415579557)</f>
        <v>0.5004945416</v>
      </c>
      <c r="AG3236" s="82">
        <f>IFERROR(__xludf.DUMMYFUNCTION("""COMPUTED_VALUE"""),0.6877626039753573)</f>
        <v>0.687762604</v>
      </c>
      <c r="AH3236" s="82">
        <f>IFERROR(__xludf.DUMMYFUNCTION("""COMPUTED_VALUE"""),0.7219856712374463)</f>
        <v>0.7219856712</v>
      </c>
      <c r="AI3236" s="82">
        <f>IFERROR(__xludf.DUMMYFUNCTION("""COMPUTED_VALUE"""),0.9698507673155736)</f>
        <v>0.9698507673</v>
      </c>
      <c r="AJ3236" s="82">
        <f>IFERROR(__xludf.DUMMYFUNCTION("""COMPUTED_VALUE"""),0.9336042736099722)</f>
        <v>0.9336042736</v>
      </c>
      <c r="AK3236" s="82">
        <f>IFERROR(__xludf.DUMMYFUNCTION("""COMPUTED_VALUE"""),1.029383481533483)</f>
        <v>1.029383482</v>
      </c>
      <c r="AL3236" s="82">
        <f>IFERROR(__xludf.DUMMYFUNCTION("""COMPUTED_VALUE"""),0.8159568937303509)</f>
        <v>0.8159568937</v>
      </c>
      <c r="AM3236" s="82">
        <f>IFERROR(__xludf.DUMMYFUNCTION("""COMPUTED_VALUE"""),0.9354697552559047)</f>
        <v>0.9354697553</v>
      </c>
      <c r="AN3236" s="82">
        <f>IFERROR(__xludf.DUMMYFUNCTION("""COMPUTED_VALUE"""),0.7952546344448577)</f>
        <v>0.7952546344</v>
      </c>
      <c r="AO3236" s="82">
        <f>IFERROR(__xludf.DUMMYFUNCTION("""COMPUTED_VALUE"""),0.9058257487728525)</f>
        <v>0.9058257488</v>
      </c>
      <c r="AP3236" s="82">
        <f>IFERROR(__xludf.DUMMYFUNCTION("""COMPUTED_VALUE"""),0.5068338507640503)</f>
        <v>0.5068338508</v>
      </c>
      <c r="AQ3236" s="82">
        <f>IFERROR(__xludf.DUMMYFUNCTION("""COMPUTED_VALUE"""),0.6944305306623865)</f>
        <v>0.6944305307</v>
      </c>
      <c r="AR3236" s="82">
        <f>IFERROR(__xludf.DUMMYFUNCTION("""COMPUTED_VALUE"""),0.7428620489179406)</f>
        <v>0.7428620489</v>
      </c>
      <c r="AS3236" s="82">
        <f>IFERROR(__xludf.DUMMYFUNCTION("""COMPUTED_VALUE"""),27.0)</f>
        <v>27</v>
      </c>
      <c r="AT3236" s="82">
        <f>IFERROR(__xludf.DUMMYFUNCTION("""COMPUTED_VALUE"""),0.530012474141499)</f>
        <v>0.5300124741</v>
      </c>
      <c r="AU3236" s="82">
        <f>IFERROR(__xludf.DUMMYFUNCTION("""COMPUTED_VALUE"""),2.4817815959193963)</f>
        <v>2.481781596</v>
      </c>
      <c r="AV3236" s="82">
        <f>IFERROR(__xludf.DUMMYFUNCTION("""COMPUTED_VALUE"""),31.24175998005519)</f>
        <v>31.24175998</v>
      </c>
      <c r="AW3236" s="82">
        <f t="shared" si="1"/>
        <v>-4.414463186</v>
      </c>
      <c r="AX3236" s="83">
        <f t="array" ref="AX3236">IFERROR(DGET('SBV Import'!A:G,"SBV",{"RSC ID","Tier";B3236,A3236}))</f>
        <v>21.93426079</v>
      </c>
      <c r="AY3236" s="82">
        <f t="shared" si="2"/>
        <v>-7.645410388</v>
      </c>
      <c r="AZ3236" s="82">
        <v>3.2309472024803476</v>
      </c>
      <c r="BA3236" s="84">
        <v>3200.0</v>
      </c>
      <c r="BB3236" s="84" t="b">
        <f>IFERROR(__xludf.DUMMYFUNCTION("iferror(if(A3236="""",,E3236&gt;=FILTER(Constants!$F$2:$F$10,Constants!$A$2:$A$10=A3236)))"),TRUE)</f>
        <v>1</v>
      </c>
    </row>
    <row r="3237">
      <c r="A3237" s="89" t="str">
        <f>IFERROR(__xludf.DUMMYFUNCTION("""COMPUTED_VALUE"""),"Contender")</f>
        <v>Contender</v>
      </c>
      <c r="B3237" s="87" t="str">
        <f>IFERROR(__xludf.DUMMYFUNCTION("""COMPUTED_VALUE"""),"RSC007119")</f>
        <v>RSC007119</v>
      </c>
      <c r="C3237" s="73" t="str">
        <f>IFERROR(__xludf.DUMMYFUNCTION("""COMPUTED_VALUE"""),"EvilSuperman_")</f>
        <v>EvilSuperman_</v>
      </c>
      <c r="D3237" s="73" t="str">
        <f>IFERROR(__xludf.DUMMYFUNCTION("""COMPUTED_VALUE"""),"Celestial Cider")</f>
        <v>Celestial Cider</v>
      </c>
      <c r="E3237" s="82">
        <f>IFERROR(__xludf.DUMMYFUNCTION("""COMPUTED_VALUE"""),20.0)</f>
        <v>20</v>
      </c>
      <c r="F3237" s="82">
        <f>IFERROR(__xludf.DUMMYFUNCTION("""COMPUTED_VALUE"""),8.0)</f>
        <v>8</v>
      </c>
      <c r="G3237" s="86">
        <f>IFERROR(__xludf.DUMMYFUNCTION("""COMPUTED_VALUE"""),12.0)</f>
        <v>12</v>
      </c>
      <c r="H3237" s="86">
        <f>IFERROR(__xludf.DUMMYFUNCTION("""COMPUTED_VALUE"""),0.4)</f>
        <v>0.4</v>
      </c>
      <c r="I3237" s="86">
        <f>IFERROR(__xludf.DUMMYFUNCTION("""COMPUTED_VALUE"""),0.3928571428571429)</f>
        <v>0.3928571429</v>
      </c>
      <c r="J3237" s="82">
        <f>IFERROR(__xludf.DUMMYFUNCTION("""COMPUTED_VALUE"""),238.7)</f>
        <v>238.7</v>
      </c>
      <c r="K3237" s="82">
        <f>IFERROR(__xludf.DUMMYFUNCTION("""COMPUTED_VALUE"""),0.55)</f>
        <v>0.55</v>
      </c>
      <c r="L3237" s="82">
        <f>IFERROR(__xludf.DUMMYFUNCTION("""COMPUTED_VALUE"""),0.45)</f>
        <v>0.45</v>
      </c>
      <c r="M3237" s="82">
        <f>IFERROR(__xludf.DUMMYFUNCTION("""COMPUTED_VALUE"""),0.65)</f>
        <v>0.65</v>
      </c>
      <c r="N3237" s="82">
        <f>IFERROR(__xludf.DUMMYFUNCTION("""COMPUTED_VALUE"""),1.4)</f>
        <v>1.4</v>
      </c>
      <c r="O3237" s="82">
        <f>IFERROR(__xludf.DUMMYFUNCTION("""COMPUTED_VALUE"""),330.94999999999993)</f>
        <v>330.95</v>
      </c>
      <c r="P3237" s="82">
        <f>IFERROR(__xludf.DUMMYFUNCTION("""COMPUTED_VALUE"""),0.9000000000000001)</f>
        <v>0.9</v>
      </c>
      <c r="Q3237" s="82">
        <f>IFERROR(__xludf.DUMMYFUNCTION("""COMPUTED_VALUE"""),0.5166666666666668)</f>
        <v>0.5166666667</v>
      </c>
      <c r="R3237" s="82">
        <f>IFERROR(__xludf.DUMMYFUNCTION("""COMPUTED_VALUE"""),1.0166666666666668)</f>
        <v>1.016666667</v>
      </c>
      <c r="S3237" s="82">
        <f>IFERROR(__xludf.DUMMYFUNCTION("""COMPUTED_VALUE"""),2.3833333333333337)</f>
        <v>2.383333333</v>
      </c>
      <c r="T3237" s="82">
        <f>IFERROR(__xludf.DUMMYFUNCTION("""COMPUTED_VALUE"""),332.2426744020695)</f>
        <v>332.2426744</v>
      </c>
      <c r="U3237" s="82">
        <f>IFERROR(__xludf.DUMMYFUNCTION("""COMPUTED_VALUE"""),0.854527147367347)</f>
        <v>0.8545271474</v>
      </c>
      <c r="V3237" s="82">
        <f>IFERROR(__xludf.DUMMYFUNCTION("""COMPUTED_VALUE"""),0.6055715223229077)</f>
        <v>0.6055715223</v>
      </c>
      <c r="W3237" s="82">
        <f>IFERROR(__xludf.DUMMYFUNCTION("""COMPUTED_VALUE"""),1.0385928295320705)</f>
        <v>1.03859283</v>
      </c>
      <c r="X3237" s="82">
        <f>IFERROR(__xludf.DUMMYFUNCTION("""COMPUTED_VALUE"""),2.3332685493991425)</f>
        <v>2.333268549</v>
      </c>
      <c r="Y3237" s="82">
        <f>IFERROR(__xludf.DUMMYFUNCTION("""COMPUTED_VALUE"""),325.02257194341513)</f>
        <v>325.0225719</v>
      </c>
      <c r="Z3237" s="82">
        <f>IFERROR(__xludf.DUMMYFUNCTION("""COMPUTED_VALUE"""),0.8011855953957057)</f>
        <v>0.8011855954</v>
      </c>
      <c r="AA3237" s="82">
        <f>IFERROR(__xludf.DUMMYFUNCTION("""COMPUTED_VALUE"""),0.5291214363953258)</f>
        <v>0.5291214364</v>
      </c>
      <c r="AB3237" s="82">
        <f>IFERROR(__xludf.DUMMYFUNCTION("""COMPUTED_VALUE"""),1.1118702746466282)</f>
        <v>1.111870275</v>
      </c>
      <c r="AC3237" s="82">
        <f>IFERROR(__xludf.DUMMYFUNCTION("""COMPUTED_VALUE"""),2.2085961067520072)</f>
        <v>2.208596107</v>
      </c>
      <c r="AD3237" s="82">
        <f>IFERROR(__xludf.DUMMYFUNCTION("""COMPUTED_VALUE"""),0.734410532083158)</f>
        <v>0.7344105321</v>
      </c>
      <c r="AE3237" s="82">
        <f>IFERROR(__xludf.DUMMYFUNCTION("""COMPUTED_VALUE"""),0.6864826366833954)</f>
        <v>0.6864826367</v>
      </c>
      <c r="AF3237" s="82">
        <f>IFERROR(__xludf.DUMMYFUNCTION("""COMPUTED_VALUE"""),0.8504663940014494)</f>
        <v>0.850466394</v>
      </c>
      <c r="AG3237" s="82">
        <f>IFERROR(__xludf.DUMMYFUNCTION("""COMPUTED_VALUE"""),0.5846005733057136)</f>
        <v>0.5846005733</v>
      </c>
      <c r="AH3237" s="82">
        <f>IFERROR(__xludf.DUMMYFUNCTION("""COMPUTED_VALUE"""),0.6338868368553179)</f>
        <v>0.6338868369</v>
      </c>
      <c r="AI3237" s="82">
        <f>IFERROR(__xludf.DUMMYFUNCTION("""COMPUTED_VALUE"""),0.9961092463380992)</f>
        <v>0.9961092463</v>
      </c>
      <c r="AJ3237" s="82">
        <f>IFERROR(__xludf.DUMMYFUNCTION("""COMPUTED_VALUE"""),1.0532140526755027)</f>
        <v>1.053214053</v>
      </c>
      <c r="AK3237" s="82">
        <f>IFERROR(__xludf.DUMMYFUNCTION("""COMPUTED_VALUE"""),0.853188513034412)</f>
        <v>0.853188513</v>
      </c>
      <c r="AL3237" s="82">
        <f>IFERROR(__xludf.DUMMYFUNCTION("""COMPUTED_VALUE"""),0.9788885863237835)</f>
        <v>0.9788885863</v>
      </c>
      <c r="AM3237" s="82">
        <f>IFERROR(__xludf.DUMMYFUNCTION("""COMPUTED_VALUE"""),1.0214569317137043)</f>
        <v>1.021456932</v>
      </c>
      <c r="AN3237" s="82">
        <f>IFERROR(__xludf.DUMMYFUNCTION("""COMPUTED_VALUE"""),0.7505751594758673)</f>
        <v>0.7505751595</v>
      </c>
      <c r="AO3237" s="82">
        <f>IFERROR(__xludf.DUMMYFUNCTION("""COMPUTED_VALUE"""),0.6850307225094697)</f>
        <v>0.6850307225</v>
      </c>
      <c r="AP3237" s="82">
        <f>IFERROR(__xludf.DUMMYFUNCTION("""COMPUTED_VALUE"""),0.8362758537606831)</f>
        <v>0.8362758538</v>
      </c>
      <c r="AQ3237" s="82">
        <f>IFERROR(__xludf.DUMMYFUNCTION("""COMPUTED_VALUE"""),0.620647286779508)</f>
        <v>0.6206472868</v>
      </c>
      <c r="AR3237" s="82">
        <f>IFERROR(__xludf.DUMMYFUNCTION("""COMPUTED_VALUE"""),0.6355597529631268)</f>
        <v>0.635559753</v>
      </c>
      <c r="AS3237" s="82">
        <f>IFERROR(__xludf.DUMMYFUNCTION("""COMPUTED_VALUE"""),38.0)</f>
        <v>38</v>
      </c>
      <c r="AT3237" s="82">
        <f>IFERROR(__xludf.DUMMYFUNCTION("""COMPUTED_VALUE"""),0.367137673010264)</f>
        <v>0.367137673</v>
      </c>
      <c r="AU3237" s="82">
        <f>IFERROR(__xludf.DUMMYFUNCTION("""COMPUTED_VALUE"""),2.4263632608752324)</f>
        <v>2.426363261</v>
      </c>
      <c r="AV3237" s="82">
        <f>IFERROR(__xludf.DUMMYFUNCTION("""COMPUTED_VALUE"""),30.44030353437284)</f>
        <v>30.44030353</v>
      </c>
      <c r="AW3237" s="82">
        <f t="shared" si="1"/>
        <v>-4.608436508</v>
      </c>
      <c r="AX3237" s="83">
        <f t="array" ref="AX3237">IFERROR(DGET('SBV Import'!A:G,"SBV",{"RSC ID","Tier";B3237,A3237}))</f>
        <v>20.67837046</v>
      </c>
      <c r="AY3237" s="82">
        <f t="shared" si="2"/>
        <v>-8.303927943</v>
      </c>
      <c r="AZ3237" s="82">
        <v>3.695491435318277</v>
      </c>
      <c r="BA3237" s="84">
        <v>3200.0</v>
      </c>
      <c r="BB3237" s="84" t="b">
        <f>IFERROR(__xludf.DUMMYFUNCTION("iferror(if(A3237="""",,E3237&gt;=FILTER(Constants!$F$2:$F$10,Constants!$A$2:$A$10=A3237)))"),TRUE)</f>
        <v>1</v>
      </c>
    </row>
    <row r="3238">
      <c r="A3238" s="89" t="str">
        <f>IFERROR(__xludf.DUMMYFUNCTION("""COMPUTED_VALUE"""),"Contender")</f>
        <v>Contender</v>
      </c>
      <c r="B3238" s="87" t="str">
        <f>IFERROR(__xludf.DUMMYFUNCTION("""COMPUTED_VALUE"""),"RSC006441")</f>
        <v>RSC006441</v>
      </c>
      <c r="C3238" s="73" t="str">
        <f>IFERROR(__xludf.DUMMYFUNCTION("""COMPUTED_VALUE"""),"tvitchyramrod420")</f>
        <v>tvitchyramrod420</v>
      </c>
      <c r="D3238" s="73" t="str">
        <f>IFERROR(__xludf.DUMMYFUNCTION("""COMPUTED_VALUE"""),"Legionaries")</f>
        <v>Legionaries</v>
      </c>
      <c r="E3238" s="82">
        <f>IFERROR(__xludf.DUMMYFUNCTION("""COMPUTED_VALUE"""),33.0)</f>
        <v>33</v>
      </c>
      <c r="F3238" s="82">
        <f>IFERROR(__xludf.DUMMYFUNCTION("""COMPUTED_VALUE"""),12.0)</f>
        <v>12</v>
      </c>
      <c r="G3238" s="86">
        <f>IFERROR(__xludf.DUMMYFUNCTION("""COMPUTED_VALUE"""),21.0)</f>
        <v>21</v>
      </c>
      <c r="H3238" s="86">
        <f>IFERROR(__xludf.DUMMYFUNCTION("""COMPUTED_VALUE"""),0.36363636363636365)</f>
        <v>0.3636363636</v>
      </c>
      <c r="I3238" s="86">
        <f>IFERROR(__xludf.DUMMYFUNCTION("""COMPUTED_VALUE"""),0.3278688524590164)</f>
        <v>0.3278688525</v>
      </c>
      <c r="J3238" s="82">
        <f>IFERROR(__xludf.DUMMYFUNCTION("""COMPUTED_VALUE"""),299.7878787878788)</f>
        <v>299.7878788</v>
      </c>
      <c r="K3238" s="82">
        <f>IFERROR(__xludf.DUMMYFUNCTION("""COMPUTED_VALUE"""),0.6060606060606061)</f>
        <v>0.6060606061</v>
      </c>
      <c r="L3238" s="82">
        <f>IFERROR(__xludf.DUMMYFUNCTION("""COMPUTED_VALUE"""),0.2727272727272727)</f>
        <v>0.2727272727</v>
      </c>
      <c r="M3238" s="82">
        <f>IFERROR(__xludf.DUMMYFUNCTION("""COMPUTED_VALUE"""),1.303030303030303)</f>
        <v>1.303030303</v>
      </c>
      <c r="N3238" s="82">
        <f>IFERROR(__xludf.DUMMYFUNCTION("""COMPUTED_VALUE"""),1.8484848484848484)</f>
        <v>1.848484848</v>
      </c>
      <c r="O3238" s="82">
        <f>IFERROR(__xludf.DUMMYFUNCTION("""COMPUTED_VALUE"""),350.5454545454546)</f>
        <v>350.5454545</v>
      </c>
      <c r="P3238" s="82">
        <f>IFERROR(__xludf.DUMMYFUNCTION("""COMPUTED_VALUE"""),1.0404040404040404)</f>
        <v>1.04040404</v>
      </c>
      <c r="Q3238" s="82">
        <f>IFERROR(__xludf.DUMMYFUNCTION("""COMPUTED_VALUE"""),0.6868686868686869)</f>
        <v>0.6868686869</v>
      </c>
      <c r="R3238" s="82">
        <f>IFERROR(__xludf.DUMMYFUNCTION("""COMPUTED_VALUE"""),0.8585858585858588)</f>
        <v>0.8585858586</v>
      </c>
      <c r="S3238" s="82">
        <f>IFERROR(__xludf.DUMMYFUNCTION("""COMPUTED_VALUE"""),2.91919191919192)</f>
        <v>2.919191919</v>
      </c>
      <c r="T3238" s="82">
        <f>IFERROR(__xludf.DUMMYFUNCTION("""COMPUTED_VALUE"""),341.8563305804431)</f>
        <v>341.8563306</v>
      </c>
      <c r="U3238" s="82">
        <f>IFERROR(__xludf.DUMMYFUNCTION("""COMPUTED_VALUE"""),0.900122559559311)</f>
        <v>0.9001225596</v>
      </c>
      <c r="V3238" s="82">
        <f>IFERROR(__xludf.DUMMYFUNCTION("""COMPUTED_VALUE"""),0.6100476016741111)</f>
        <v>0.6100476017</v>
      </c>
      <c r="W3238" s="82">
        <f>IFERROR(__xludf.DUMMYFUNCTION("""COMPUTED_VALUE"""),1.0504293823222697)</f>
        <v>1.050429382</v>
      </c>
      <c r="X3238" s="82">
        <f>IFERROR(__xludf.DUMMYFUNCTION("""COMPUTED_VALUE"""),2.4854228998273373)</f>
        <v>2.4854229</v>
      </c>
      <c r="Y3238" s="82">
        <f>IFERROR(__xludf.DUMMYFUNCTION("""COMPUTED_VALUE"""),325.5620315263111)</f>
        <v>325.5620315</v>
      </c>
      <c r="Z3238" s="82">
        <f>IFERROR(__xludf.DUMMYFUNCTION("""COMPUTED_VALUE"""),0.7936446170269528)</f>
        <v>0.793644617</v>
      </c>
      <c r="AA3238" s="82">
        <f>IFERROR(__xludf.DUMMYFUNCTION("""COMPUTED_VALUE"""),0.519614343733886)</f>
        <v>0.5196143437</v>
      </c>
      <c r="AB3238" s="82">
        <f>IFERROR(__xludf.DUMMYFUNCTION("""COMPUTED_VALUE"""),1.1251390298728854)</f>
        <v>1.12513903</v>
      </c>
      <c r="AC3238" s="82">
        <f>IFERROR(__xludf.DUMMYFUNCTION("""COMPUTED_VALUE"""),2.199446226191457)</f>
        <v>2.199446226</v>
      </c>
      <c r="AD3238" s="82">
        <f>IFERROR(__xludf.DUMMYFUNCTION("""COMPUTED_VALUE"""),0.9208318223792958)</f>
        <v>0.9208318224</v>
      </c>
      <c r="AE3238" s="82">
        <f>IFERROR(__xludf.DUMMYFUNCTION("""COMPUTED_VALUE"""),0.7636423067177734)</f>
        <v>0.7636423067</v>
      </c>
      <c r="AF3238" s="82">
        <f>IFERROR(__xludf.DUMMYFUNCTION("""COMPUTED_VALUE"""),0.5248647886959537)</f>
        <v>0.5248647887</v>
      </c>
      <c r="AG3238" s="82">
        <f>IFERROR(__xludf.DUMMYFUNCTION("""COMPUTED_VALUE"""),1.1581060370623844)</f>
        <v>1.158106037</v>
      </c>
      <c r="AH3238" s="82">
        <f>IFERROR(__xludf.DUMMYFUNCTION("""COMPUTED_VALUE"""),0.8404319353084023)</f>
        <v>0.8404319353</v>
      </c>
      <c r="AI3238" s="82">
        <f>IFERROR(__xludf.DUMMYFUNCTION("""COMPUTED_VALUE"""),1.0254174727443488)</f>
        <v>1.025417473</v>
      </c>
      <c r="AJ3238" s="82">
        <f>IFERROR(__xludf.DUMMYFUNCTION("""COMPUTED_VALUE"""),1.1558470892157282)</f>
        <v>1.155847089</v>
      </c>
      <c r="AK3238" s="82">
        <f>IFERROR(__xludf.DUMMYFUNCTION("""COMPUTED_VALUE"""),1.1259263785051543)</f>
        <v>1.125926379</v>
      </c>
      <c r="AL3238" s="82">
        <f>IFERROR(__xludf.DUMMYFUNCTION("""COMPUTED_VALUE"""),0.8173665674580743)</f>
        <v>0.8173665675</v>
      </c>
      <c r="AM3238" s="82">
        <f>IFERROR(__xludf.DUMMYFUNCTION("""COMPUTED_VALUE"""),1.1745252364878092)</f>
        <v>1.174525236</v>
      </c>
      <c r="AN3238" s="82">
        <f>IFERROR(__xludf.DUMMYFUNCTION("""COMPUTED_VALUE"""),0.9426616461254467)</f>
        <v>0.9426616461</v>
      </c>
      <c r="AO3238" s="82">
        <f>IFERROR(__xludf.DUMMYFUNCTION("""COMPUTED_VALUE"""),0.7548547906440437)</f>
        <v>0.7548547906</v>
      </c>
      <c r="AP3238" s="82">
        <f>IFERROR(__xludf.DUMMYFUNCTION("""COMPUTED_VALUE"""),0.5068338507640503)</f>
        <v>0.5068338508</v>
      </c>
      <c r="AQ3238" s="82">
        <f>IFERROR(__xludf.DUMMYFUNCTION("""COMPUTED_VALUE"""),1.2441880341034424)</f>
        <v>1.244188034</v>
      </c>
      <c r="AR3238" s="82">
        <f>IFERROR(__xludf.DUMMYFUNCTION("""COMPUTED_VALUE"""),0.8391589811850809)</f>
        <v>0.8391589812</v>
      </c>
      <c r="AS3238" s="82">
        <f>IFERROR(__xludf.DUMMYFUNCTION("""COMPUTED_VALUE"""),58.0)</f>
        <v>58</v>
      </c>
      <c r="AT3238" s="82">
        <f>IFERROR(__xludf.DUMMYFUNCTION("""COMPUTED_VALUE"""),0.28801332943866326)</f>
        <v>0.2880133294</v>
      </c>
      <c r="AU3238" s="82">
        <f>IFERROR(__xludf.DUMMYFUNCTION("""COMPUTED_VALUE"""),2.394022537154804)</f>
        <v>2.394022537</v>
      </c>
      <c r="AV3238" s="82">
        <f>IFERROR(__xludf.DUMMYFUNCTION("""COMPUTED_VALUE"""),29.972594039616034)</f>
        <v>29.97259404</v>
      </c>
      <c r="AW3238" s="82">
        <f t="shared" si="1"/>
        <v>-4.727283782</v>
      </c>
      <c r="AX3238" s="83">
        <f t="array" ref="AX3238">IFERROR(DGET('SBV Import'!A:G,"SBV",{"RSC ID","Tier";B3238,A3238}))</f>
        <v>28.92763485</v>
      </c>
      <c r="AY3238" s="82">
        <f t="shared" si="2"/>
        <v>-5.008923516</v>
      </c>
      <c r="AZ3238" s="82">
        <v>0.2816397336434582</v>
      </c>
      <c r="BA3238" s="84">
        <v>3200.0</v>
      </c>
      <c r="BB3238" s="84" t="b">
        <f>IFERROR(__xludf.DUMMYFUNCTION("iferror(if(A3238="""",,E3238&gt;=FILTER(Constants!$F$2:$F$10,Constants!$A$2:$A$10=A3238)))"),TRUE)</f>
        <v>1</v>
      </c>
    </row>
    <row r="3239">
      <c r="A3239" s="89" t="str">
        <f>IFERROR(__xludf.DUMMYFUNCTION("""COMPUTED_VALUE"""),"Contender")</f>
        <v>Contender</v>
      </c>
      <c r="B3239" s="87" t="str">
        <f>IFERROR(__xludf.DUMMYFUNCTION("""COMPUTED_VALUE"""),"RSC007513")</f>
        <v>RSC007513</v>
      </c>
      <c r="C3239" s="73" t="str">
        <f>IFERROR(__xludf.DUMMYFUNCTION("""COMPUTED_VALUE"""),"Russ")</f>
        <v>Russ</v>
      </c>
      <c r="D3239" s="73" t="str">
        <f>IFERROR(__xludf.DUMMYFUNCTION("""COMPUTED_VALUE"""),"Toothpaste")</f>
        <v>Toothpaste</v>
      </c>
      <c r="E3239" s="82">
        <f>IFERROR(__xludf.DUMMYFUNCTION("""COMPUTED_VALUE"""),13.0)</f>
        <v>13</v>
      </c>
      <c r="F3239" s="82">
        <f>IFERROR(__xludf.DUMMYFUNCTION("""COMPUTED_VALUE"""),3.0)</f>
        <v>3</v>
      </c>
      <c r="G3239" s="86">
        <f>IFERROR(__xludf.DUMMYFUNCTION("""COMPUTED_VALUE"""),10.0)</f>
        <v>10</v>
      </c>
      <c r="H3239" s="86">
        <f>IFERROR(__xludf.DUMMYFUNCTION("""COMPUTED_VALUE"""),0.23076923076923078)</f>
        <v>0.2307692308</v>
      </c>
      <c r="I3239" s="86">
        <f>IFERROR(__xludf.DUMMYFUNCTION("""COMPUTED_VALUE"""),0.36363636363636365)</f>
        <v>0.3636363636</v>
      </c>
      <c r="J3239" s="82">
        <f>IFERROR(__xludf.DUMMYFUNCTION("""COMPUTED_VALUE"""),263.15384615384613)</f>
        <v>263.1538462</v>
      </c>
      <c r="K3239" s="82">
        <f>IFERROR(__xludf.DUMMYFUNCTION("""COMPUTED_VALUE"""),0.6153846153846154)</f>
        <v>0.6153846154</v>
      </c>
      <c r="L3239" s="82">
        <f>IFERROR(__xludf.DUMMYFUNCTION("""COMPUTED_VALUE"""),0.5384615384615384)</f>
        <v>0.5384615385</v>
      </c>
      <c r="M3239" s="82">
        <f>IFERROR(__xludf.DUMMYFUNCTION("""COMPUTED_VALUE"""),0.7692307692307693)</f>
        <v>0.7692307692</v>
      </c>
      <c r="N3239" s="82">
        <f>IFERROR(__xludf.DUMMYFUNCTION("""COMPUTED_VALUE"""),1.6923076923076923)</f>
        <v>1.692307692</v>
      </c>
      <c r="O3239" s="82">
        <f>IFERROR(__xludf.DUMMYFUNCTION("""COMPUTED_VALUE"""),386.97435897435895)</f>
        <v>386.974359</v>
      </c>
      <c r="P3239" s="82">
        <f>IFERROR(__xludf.DUMMYFUNCTION("""COMPUTED_VALUE"""),1.2307692307692308)</f>
        <v>1.230769231</v>
      </c>
      <c r="Q3239" s="82">
        <f>IFERROR(__xludf.DUMMYFUNCTION("""COMPUTED_VALUE"""),0.717948717948718)</f>
        <v>0.7179487179</v>
      </c>
      <c r="R3239" s="82">
        <f>IFERROR(__xludf.DUMMYFUNCTION("""COMPUTED_VALUE"""),0.8205128205128205)</f>
        <v>0.8205128205</v>
      </c>
      <c r="S3239" s="82">
        <f>IFERROR(__xludf.DUMMYFUNCTION("""COMPUTED_VALUE"""),2.5384615384615383)</f>
        <v>2.538461538</v>
      </c>
      <c r="T3239" s="82">
        <f>IFERROR(__xludf.DUMMYFUNCTION("""COMPUTED_VALUE"""),328.0372512163001)</f>
        <v>328.0372512</v>
      </c>
      <c r="U3239" s="82">
        <f>IFERROR(__xludf.DUMMYFUNCTION("""COMPUTED_VALUE"""),0.8140904321792086)</f>
        <v>0.8140904322</v>
      </c>
      <c r="V3239" s="82">
        <f>IFERROR(__xludf.DUMMYFUNCTION("""COMPUTED_VALUE"""),0.49690828605798476)</f>
        <v>0.4969082861</v>
      </c>
      <c r="W3239" s="82">
        <f>IFERROR(__xludf.DUMMYFUNCTION("""COMPUTED_VALUE"""),1.1318819468918324)</f>
        <v>1.131881947</v>
      </c>
      <c r="X3239" s="82">
        <f>IFERROR(__xludf.DUMMYFUNCTION("""COMPUTED_VALUE"""),2.215935927793917)</f>
        <v>2.215935928</v>
      </c>
      <c r="Y3239" s="82">
        <f>IFERROR(__xludf.DUMMYFUNCTION("""COMPUTED_VALUE"""),329.98533373331554)</f>
        <v>329.9853337</v>
      </c>
      <c r="Z3239" s="82">
        <f>IFERROR(__xludf.DUMMYFUNCTION("""COMPUTED_VALUE"""),0.8272453231805044)</f>
        <v>0.8272453232</v>
      </c>
      <c r="AA3239" s="82">
        <f>IFERROR(__xludf.DUMMYFUNCTION("""COMPUTED_VALUE"""),0.5744103603529432)</f>
        <v>0.5744103604</v>
      </c>
      <c r="AB3239" s="82">
        <f>IFERROR(__xludf.DUMMYFUNCTION("""COMPUTED_VALUE"""),1.0597078071675043)</f>
        <v>1.059707807</v>
      </c>
      <c r="AC3239" s="82">
        <f>IFERROR(__xludf.DUMMYFUNCTION("""COMPUTED_VALUE"""),2.422632021848727)</f>
        <v>2.422632022</v>
      </c>
      <c r="AD3239" s="82">
        <f>IFERROR(__xludf.DUMMYFUNCTION("""COMPUTED_VALUE"""),0.7974713396399591)</f>
        <v>0.7974713396</v>
      </c>
      <c r="AE3239" s="82">
        <f>IFERROR(__xludf.DUMMYFUNCTION("""COMPUTED_VALUE"""),0.7438961552767085)</f>
        <v>0.7438961553</v>
      </c>
      <c r="AF3239" s="82">
        <f>IFERROR(__xludf.DUMMYFUNCTION("""COMPUTED_VALUE"""),0.9374161324852911)</f>
        <v>0.9374161325</v>
      </c>
      <c r="AG3239" s="82">
        <f>IFERROR(__xludf.DUMMYFUNCTION("""COMPUTED_VALUE"""),0.7258894989995857)</f>
        <v>0.725889499</v>
      </c>
      <c r="AH3239" s="82">
        <f>IFERROR(__xludf.DUMMYFUNCTION("""COMPUTED_VALUE"""),0.6985409575393463)</f>
        <v>0.6985409575</v>
      </c>
      <c r="AI3239" s="82">
        <f>IFERROR(__xludf.DUMMYFUNCTION("""COMPUTED_VALUE"""),1.1796658993438434)</f>
        <v>1.179665899</v>
      </c>
      <c r="AJ3239" s="82">
        <f>IFERROR(__xludf.DUMMYFUNCTION("""COMPUTED_VALUE"""),1.5118335532756848)</f>
        <v>1.511833553</v>
      </c>
      <c r="AK3239" s="82">
        <f>IFERROR(__xludf.DUMMYFUNCTION("""COMPUTED_VALUE"""),1.444831446954257)</f>
        <v>1.444831447</v>
      </c>
      <c r="AL3239" s="82">
        <f>IFERROR(__xludf.DUMMYFUNCTION("""COMPUTED_VALUE"""),0.7249102459545035)</f>
        <v>0.724910246</v>
      </c>
      <c r="AM3239" s="82">
        <f>IFERROR(__xludf.DUMMYFUNCTION("""COMPUTED_VALUE"""),1.1455482564375015)</f>
        <v>1.145548256</v>
      </c>
      <c r="AN3239" s="82">
        <f>IFERROR(__xludf.DUMMYFUNCTION("""COMPUTED_VALUE"""),0.827468538096401)</f>
        <v>0.8274685381</v>
      </c>
      <c r="AO3239" s="82">
        <f>IFERROR(__xludf.DUMMYFUNCTION("""COMPUTED_VALUE"""),0.7664679412693367)</f>
        <v>0.7664679413</v>
      </c>
      <c r="AP3239" s="82">
        <f>IFERROR(__xludf.DUMMYFUNCTION("""COMPUTED_VALUE"""),1.0006719617649198)</f>
        <v>1.000671962</v>
      </c>
      <c r="AQ3239" s="82">
        <f>IFERROR(__xludf.DUMMYFUNCTION("""COMPUTED_VALUE"""),0.7344938305082934)</f>
        <v>0.7344938305</v>
      </c>
      <c r="AR3239" s="82">
        <f>IFERROR(__xludf.DUMMYFUNCTION("""COMPUTED_VALUE"""),0.7682590420433403)</f>
        <v>0.768259042</v>
      </c>
      <c r="AS3239" s="82">
        <f>IFERROR(__xludf.DUMMYFUNCTION("""COMPUTED_VALUE"""),23.0)</f>
        <v>23</v>
      </c>
      <c r="AT3239" s="82">
        <f>IFERROR(__xludf.DUMMYFUNCTION("""COMPUTED_VALUE"""),0.23190126736457617)</f>
        <v>0.2319012674</v>
      </c>
      <c r="AU3239" s="82">
        <f>IFERROR(__xludf.DUMMYFUNCTION("""COMPUTED_VALUE"""),2.393120509747046)</f>
        <v>2.39312051</v>
      </c>
      <c r="AV3239" s="82">
        <f>IFERROR(__xludf.DUMMYFUNCTION("""COMPUTED_VALUE"""),29.959548976469453)</f>
        <v>29.95954898</v>
      </c>
      <c r="AW3239" s="82">
        <f t="shared" si="1"/>
        <v>-4.730660568</v>
      </c>
      <c r="AX3239" s="83">
        <f t="array" ref="AX3239">IFERROR(DGET('SBV Import'!A:G,"SBV",{"RSC ID","Tier";B3239,A3239}))</f>
        <v>32.47407593</v>
      </c>
      <c r="AY3239" s="82">
        <f t="shared" si="2"/>
        <v>-4.138388129</v>
      </c>
      <c r="AZ3239" s="82">
        <v>0.592272439647596</v>
      </c>
      <c r="BA3239" s="84">
        <v>3200.0</v>
      </c>
      <c r="BB3239" s="84" t="b">
        <f>IFERROR(__xludf.DUMMYFUNCTION("iferror(if(A3239="""",,E3239&gt;=FILTER(Constants!$F$2:$F$10,Constants!$A$2:$A$10=A3239)))"),TRUE)</f>
        <v>1</v>
      </c>
    </row>
    <row r="3240">
      <c r="A3240" s="89" t="str">
        <f>IFERROR(__xludf.DUMMYFUNCTION("""COMPUTED_VALUE"""),"Contender")</f>
        <v>Contender</v>
      </c>
      <c r="B3240" s="87" t="str">
        <f>IFERROR(__xludf.DUMMYFUNCTION("""COMPUTED_VALUE"""),"RSC005714")</f>
        <v>RSC005714</v>
      </c>
      <c r="C3240" s="73" t="str">
        <f>IFERROR(__xludf.DUMMYFUNCTION("""COMPUTED_VALUE"""),"T_i_m_o_g")</f>
        <v>T_i_m_o_g</v>
      </c>
      <c r="D3240" s="73" t="str">
        <f>IFERROR(__xludf.DUMMYFUNCTION("""COMPUTED_VALUE"""),"Legionaries")</f>
        <v>Legionaries</v>
      </c>
      <c r="E3240" s="82">
        <f>IFERROR(__xludf.DUMMYFUNCTION("""COMPUTED_VALUE"""),26.0)</f>
        <v>26</v>
      </c>
      <c r="F3240" s="82">
        <f>IFERROR(__xludf.DUMMYFUNCTION("""COMPUTED_VALUE"""),9.0)</f>
        <v>9</v>
      </c>
      <c r="G3240" s="86">
        <f>IFERROR(__xludf.DUMMYFUNCTION("""COMPUTED_VALUE"""),17.0)</f>
        <v>17</v>
      </c>
      <c r="H3240" s="86">
        <f>IFERROR(__xludf.DUMMYFUNCTION("""COMPUTED_VALUE"""),0.34615384615384615)</f>
        <v>0.3461538462</v>
      </c>
      <c r="I3240" s="86">
        <f>IFERROR(__xludf.DUMMYFUNCTION("""COMPUTED_VALUE"""),0.3333333333333333)</f>
        <v>0.3333333333</v>
      </c>
      <c r="J3240" s="82">
        <f>IFERROR(__xludf.DUMMYFUNCTION("""COMPUTED_VALUE"""),288.2307692307692)</f>
        <v>288.2307692</v>
      </c>
      <c r="K3240" s="82">
        <f>IFERROR(__xludf.DUMMYFUNCTION("""COMPUTED_VALUE"""),0.5769230769230769)</f>
        <v>0.5769230769</v>
      </c>
      <c r="L3240" s="82">
        <f>IFERROR(__xludf.DUMMYFUNCTION("""COMPUTED_VALUE"""),0.2692307692307692)</f>
        <v>0.2692307692</v>
      </c>
      <c r="M3240" s="82">
        <f>IFERROR(__xludf.DUMMYFUNCTION("""COMPUTED_VALUE"""),1.2692307692307692)</f>
        <v>1.269230769</v>
      </c>
      <c r="N3240" s="82">
        <f>IFERROR(__xludf.DUMMYFUNCTION("""COMPUTED_VALUE"""),1.7307692307692308)</f>
        <v>1.730769231</v>
      </c>
      <c r="O3240" s="82">
        <f>IFERROR(__xludf.DUMMYFUNCTION("""COMPUTED_VALUE"""),346.9871794871794)</f>
        <v>346.9871795</v>
      </c>
      <c r="P3240" s="82">
        <f>IFERROR(__xludf.DUMMYFUNCTION("""COMPUTED_VALUE"""),0.987179487179487)</f>
        <v>0.9871794872</v>
      </c>
      <c r="Q3240" s="82">
        <f>IFERROR(__xludf.DUMMYFUNCTION("""COMPUTED_VALUE"""),0.6410256410256411)</f>
        <v>0.641025641</v>
      </c>
      <c r="R3240" s="82">
        <f>IFERROR(__xludf.DUMMYFUNCTION("""COMPUTED_VALUE"""),0.9102564102564105)</f>
        <v>0.9102564103</v>
      </c>
      <c r="S3240" s="82">
        <f>IFERROR(__xludf.DUMMYFUNCTION("""COMPUTED_VALUE"""),2.8205128205128207)</f>
        <v>2.820512821</v>
      </c>
      <c r="T3240" s="82">
        <f>IFERROR(__xludf.DUMMYFUNCTION("""COMPUTED_VALUE"""),342.03895518883013)</f>
        <v>342.0389552</v>
      </c>
      <c r="U3240" s="82">
        <f>IFERROR(__xludf.DUMMYFUNCTION("""COMPUTED_VALUE"""),0.903183284946219)</f>
        <v>0.9031832849</v>
      </c>
      <c r="V3240" s="82">
        <f>IFERROR(__xludf.DUMMYFUNCTION("""COMPUTED_VALUE"""),0.6057859448530304)</f>
        <v>0.6057859449</v>
      </c>
      <c r="W3240" s="82">
        <f>IFERROR(__xludf.DUMMYFUNCTION("""COMPUTED_VALUE"""),1.0661358050561762)</f>
        <v>1.066135805</v>
      </c>
      <c r="X3240" s="82">
        <f>IFERROR(__xludf.DUMMYFUNCTION("""COMPUTED_VALUE"""),2.459075714873292)</f>
        <v>2.459075715</v>
      </c>
      <c r="Y3240" s="82">
        <f>IFERROR(__xludf.DUMMYFUNCTION("""COMPUTED_VALUE"""),327.06051833943053)</f>
        <v>327.0605183</v>
      </c>
      <c r="Z3240" s="82">
        <f>IFERROR(__xludf.DUMMYFUNCTION("""COMPUTED_VALUE"""),0.7965657414258623)</f>
        <v>0.7965657414</v>
      </c>
      <c r="AA3240" s="82">
        <f>IFERROR(__xludf.DUMMYFUNCTION("""COMPUTED_VALUE"""),0.5280329761083292)</f>
        <v>0.5280329761</v>
      </c>
      <c r="AB3240" s="82">
        <f>IFERROR(__xludf.DUMMYFUNCTION("""COMPUTED_VALUE"""),1.119677271674185)</f>
        <v>1.119677272</v>
      </c>
      <c r="AC3240" s="82">
        <f>IFERROR(__xludf.DUMMYFUNCTION("""COMPUTED_VALUE"""),2.2430702407190375)</f>
        <v>2.243070241</v>
      </c>
      <c r="AD3240" s="82">
        <f>IFERROR(__xludf.DUMMYFUNCTION("""COMPUTED_VALUE"""),0.881276562191579)</f>
        <v>0.8812765622</v>
      </c>
      <c r="AE3240" s="82">
        <f>IFERROR(__xludf.DUMMYFUNCTION("""COMPUTED_VALUE"""),0.7242629790861675)</f>
        <v>0.7242629791</v>
      </c>
      <c r="AF3240" s="82">
        <f>IFERROR(__xludf.DUMMYFUNCTION("""COMPUTED_VALUE"""),0.5098749157960446)</f>
        <v>0.5098749158</v>
      </c>
      <c r="AG3240" s="82">
        <f>IFERROR(__xludf.DUMMYFUNCTION("""COMPUTED_VALUE"""),1.1335683963049157)</f>
        <v>1.133568396</v>
      </c>
      <c r="AH3240" s="82">
        <f>IFERROR(__xludf.DUMMYFUNCTION("""COMPUTED_VALUE"""),0.7716072369692785)</f>
        <v>0.771607237</v>
      </c>
      <c r="AI3240" s="82">
        <f>IFERROR(__xludf.DUMMYFUNCTION("""COMPUTED_VALUE"""),1.0144668442681257)</f>
        <v>1.014466844</v>
      </c>
      <c r="AJ3240" s="82">
        <f>IFERROR(__xludf.DUMMYFUNCTION("""COMPUTED_VALUE"""),1.0930001735342896)</f>
        <v>1.093000174</v>
      </c>
      <c r="AK3240" s="82">
        <f>IFERROR(__xludf.DUMMYFUNCTION("""COMPUTED_VALUE"""),1.0581718616485236)</f>
        <v>1.058171862</v>
      </c>
      <c r="AL3240" s="82">
        <f>IFERROR(__xludf.DUMMYFUNCTION("""COMPUTED_VALUE"""),0.8537903013288703)</f>
        <v>0.8537903013</v>
      </c>
      <c r="AM3240" s="82">
        <f>IFERROR(__xludf.DUMMYFUNCTION("""COMPUTED_VALUE"""),1.1469808771862693)</f>
        <v>1.146980877</v>
      </c>
      <c r="AN3240" s="82">
        <f>IFERROR(__xludf.DUMMYFUNCTION("""COMPUTED_VALUE"""),0.9063211377513051)</f>
        <v>0.9063211378</v>
      </c>
      <c r="AO3240" s="82">
        <f>IFERROR(__xludf.DUMMYFUNCTION("""COMPUTED_VALUE"""),0.718563694940003)</f>
        <v>0.7185636949</v>
      </c>
      <c r="AP3240" s="82">
        <f>IFERROR(__xludf.DUMMYFUNCTION("""COMPUTED_VALUE"""),0.5003359808824599)</f>
        <v>0.5003359809</v>
      </c>
      <c r="AQ3240" s="82">
        <f>IFERROR(__xludf.DUMMYFUNCTION("""COMPUTED_VALUE"""),1.211914820338684)</f>
        <v>1.21191482</v>
      </c>
      <c r="AR3240" s="82">
        <f>IFERROR(__xludf.DUMMYFUNCTION("""COMPUTED_VALUE"""),0.7857194748170525)</f>
        <v>0.7857194748</v>
      </c>
      <c r="AS3240" s="82">
        <f>IFERROR(__xludf.DUMMYFUNCTION("""COMPUTED_VALUE"""),48.0)</f>
        <v>48</v>
      </c>
      <c r="AT3240" s="82">
        <f>IFERROR(__xludf.DUMMYFUNCTION("""COMPUTED_VALUE"""),0.32263799345652355)</f>
        <v>0.3226379935</v>
      </c>
      <c r="AU3240" s="82">
        <f>IFERROR(__xludf.DUMMYFUNCTION("""COMPUTED_VALUE"""),2.260156236173357)</f>
        <v>2.260156236</v>
      </c>
      <c r="AV3240" s="82">
        <f>IFERROR(__xludf.DUMMYFUNCTION("""COMPUTED_VALUE"""),28.03662808726951)</f>
        <v>28.03662809</v>
      </c>
      <c r="AW3240" s="82">
        <f t="shared" si="1"/>
        <v>-5.267961173</v>
      </c>
      <c r="AX3240" s="83">
        <f t="array" ref="AX3240">IFERROR(DGET('SBV Import'!A:G,"SBV",{"RSC ID","Tier";B3240,A3240}))</f>
        <v>23.96798659</v>
      </c>
      <c r="AY3240" s="82">
        <f t="shared" si="2"/>
        <v>-6.717149015</v>
      </c>
      <c r="AZ3240" s="82">
        <v>1.4491878411333774</v>
      </c>
      <c r="BA3240" s="84">
        <v>3200.0</v>
      </c>
      <c r="BB3240" s="84" t="b">
        <f>IFERROR(__xludf.DUMMYFUNCTION("iferror(if(A3240="""",,E3240&gt;=FILTER(Constants!$F$2:$F$10,Constants!$A$2:$A$10=A3240)))"),TRUE)</f>
        <v>1</v>
      </c>
    </row>
    <row r="3241">
      <c r="A3241" s="89" t="str">
        <f>IFERROR(__xludf.DUMMYFUNCTION("""COMPUTED_VALUE"""),"Contender")</f>
        <v>Contender</v>
      </c>
      <c r="B3241" s="87" t="str">
        <f>IFERROR(__xludf.DUMMYFUNCTION("""COMPUTED_VALUE"""),"RSC006919")</f>
        <v>RSC006919</v>
      </c>
      <c r="C3241" s="73" t="str">
        <f>IFERROR(__xludf.DUMMYFUNCTION("""COMPUTED_VALUE"""),"rinny_b0y")</f>
        <v>rinny_b0y</v>
      </c>
      <c r="D3241" s="73" t="str">
        <f>IFERROR(__xludf.DUMMYFUNCTION("""COMPUTED_VALUE"""),"Zebras")</f>
        <v>Zebras</v>
      </c>
      <c r="E3241" s="82">
        <f>IFERROR(__xludf.DUMMYFUNCTION("""COMPUTED_VALUE"""),39.0)</f>
        <v>39</v>
      </c>
      <c r="F3241" s="82">
        <f>IFERROR(__xludf.DUMMYFUNCTION("""COMPUTED_VALUE"""),13.0)</f>
        <v>13</v>
      </c>
      <c r="G3241" s="86">
        <f>IFERROR(__xludf.DUMMYFUNCTION("""COMPUTED_VALUE"""),26.0)</f>
        <v>26</v>
      </c>
      <c r="H3241" s="86">
        <f>IFERROR(__xludf.DUMMYFUNCTION("""COMPUTED_VALUE"""),0.3333333333333333)</f>
        <v>0.3333333333</v>
      </c>
      <c r="I3241" s="86">
        <f>IFERROR(__xludf.DUMMYFUNCTION("""COMPUTED_VALUE"""),0.3026315789473684)</f>
        <v>0.3026315789</v>
      </c>
      <c r="J3241" s="82">
        <f>IFERROR(__xludf.DUMMYFUNCTION("""COMPUTED_VALUE"""),275.5897435897436)</f>
        <v>275.5897436</v>
      </c>
      <c r="K3241" s="82">
        <f>IFERROR(__xludf.DUMMYFUNCTION("""COMPUTED_VALUE"""),0.5897435897435898)</f>
        <v>0.5897435897</v>
      </c>
      <c r="L3241" s="82">
        <f>IFERROR(__xludf.DUMMYFUNCTION("""COMPUTED_VALUE"""),0.23076923076923078)</f>
        <v>0.2307692308</v>
      </c>
      <c r="M3241" s="82">
        <f>IFERROR(__xludf.DUMMYFUNCTION("""COMPUTED_VALUE"""),1.0256410256410255)</f>
        <v>1.025641026</v>
      </c>
      <c r="N3241" s="82">
        <f>IFERROR(__xludf.DUMMYFUNCTION("""COMPUTED_VALUE"""),1.9487179487179487)</f>
        <v>1.948717949</v>
      </c>
      <c r="O3241" s="82">
        <f>IFERROR(__xludf.DUMMYFUNCTION("""COMPUTED_VALUE"""),373.56410256410254)</f>
        <v>373.5641026</v>
      </c>
      <c r="P3241" s="82">
        <f>IFERROR(__xludf.DUMMYFUNCTION("""COMPUTED_VALUE"""),1.1111111111111112)</f>
        <v>1.111111111</v>
      </c>
      <c r="Q3241" s="82">
        <f>IFERROR(__xludf.DUMMYFUNCTION("""COMPUTED_VALUE"""),0.752136752136752)</f>
        <v>0.7521367521</v>
      </c>
      <c r="R3241" s="82">
        <f>IFERROR(__xludf.DUMMYFUNCTION("""COMPUTED_VALUE"""),1.0598290598290598)</f>
        <v>1.05982906</v>
      </c>
      <c r="S3241" s="82">
        <f>IFERROR(__xludf.DUMMYFUNCTION("""COMPUTED_VALUE"""),2.675213675213676)</f>
        <v>2.675213675</v>
      </c>
      <c r="T3241" s="82">
        <f>IFERROR(__xludf.DUMMYFUNCTION("""COMPUTED_VALUE"""),343.4598525516679)</f>
        <v>343.4598526</v>
      </c>
      <c r="U3241" s="82">
        <f>IFERROR(__xludf.DUMMYFUNCTION("""COMPUTED_VALUE"""),0.9261759441533894)</f>
        <v>0.9261759442</v>
      </c>
      <c r="V3241" s="82">
        <f>IFERROR(__xludf.DUMMYFUNCTION("""COMPUTED_VALUE"""),0.6093438916866025)</f>
        <v>0.6093438917</v>
      </c>
      <c r="W3241" s="82">
        <f>IFERROR(__xludf.DUMMYFUNCTION("""COMPUTED_VALUE"""),1.0629697935835691)</f>
        <v>1.062969794</v>
      </c>
      <c r="X3241" s="82">
        <f>IFERROR(__xludf.DUMMYFUNCTION("""COMPUTED_VALUE"""),2.4666266750204726)</f>
        <v>2.466626675</v>
      </c>
      <c r="Y3241" s="82">
        <f>IFERROR(__xludf.DUMMYFUNCTION("""COMPUTED_VALUE"""),325.4980361520816)</f>
        <v>325.4980362</v>
      </c>
      <c r="Z3241" s="82">
        <f>IFERROR(__xludf.DUMMYFUNCTION("""COMPUTED_VALUE"""),0.7784001486254628)</f>
        <v>0.7784001486</v>
      </c>
      <c r="AA3241" s="82">
        <f>IFERROR(__xludf.DUMMYFUNCTION("""COMPUTED_VALUE"""),0.526300416597065)</f>
        <v>0.5263004166</v>
      </c>
      <c r="AB3241" s="82">
        <f>IFERROR(__xludf.DUMMYFUNCTION("""COMPUTED_VALUE"""),1.1336508470231006)</f>
        <v>1.133650847</v>
      </c>
      <c r="AC3241" s="82">
        <f>IFERROR(__xludf.DUMMYFUNCTION("""COMPUTED_VALUE"""),2.2393626798499433)</f>
        <v>2.23936268</v>
      </c>
      <c r="AD3241" s="82">
        <f>IFERROR(__xludf.DUMMYFUNCTION("""COMPUTED_VALUE"""),0.8466709871668181)</f>
        <v>0.8466709872</v>
      </c>
      <c r="AE3241" s="82">
        <f>IFERROR(__xludf.DUMMYFUNCTION("""COMPUTED_VALUE"""),0.757635505061231)</f>
        <v>0.7576355051</v>
      </c>
      <c r="AF3241" s="82">
        <f>IFERROR(__xludf.DUMMYFUNCTION("""COMPUTED_VALUE"""),0.4384743456243689)</f>
        <v>0.4384743456</v>
      </c>
      <c r="AG3241" s="82">
        <f>IFERROR(__xludf.DUMMYFUNCTION("""COMPUTED_VALUE"""),0.9047239088951397)</f>
        <v>0.9047239089</v>
      </c>
      <c r="AH3241" s="82">
        <f>IFERROR(__xludf.DUMMYFUNCTION("""COMPUTED_VALUE"""),0.8702109605794313)</f>
        <v>0.8702109606</v>
      </c>
      <c r="AI3241" s="82">
        <f>IFERROR(__xludf.DUMMYFUNCTION("""COMPUTED_VALUE"""),1.0876499823451882)</f>
        <v>1.087649982</v>
      </c>
      <c r="AJ3241" s="82">
        <f>IFERROR(__xludf.DUMMYFUNCTION("""COMPUTED_VALUE"""),1.1996760638463457)</f>
        <v>1.199676064</v>
      </c>
      <c r="AK3241" s="82">
        <f>IFERROR(__xludf.DUMMYFUNCTION("""COMPUTED_VALUE"""),1.2343387082373358)</f>
        <v>1.234338708</v>
      </c>
      <c r="AL3241" s="82">
        <f>IFERROR(__xludf.DUMMYFUNCTION("""COMPUTED_VALUE"""),0.9970453217264801)</f>
        <v>0.9970453217</v>
      </c>
      <c r="AM3241" s="82">
        <f>IFERROR(__xludf.DUMMYFUNCTION("""COMPUTED_VALUE"""),1.0845636683919637)</f>
        <v>1.084563668</v>
      </c>
      <c r="AN3241" s="82">
        <f>IFERROR(__xludf.DUMMYFUNCTION("""COMPUTED_VALUE"""),0.8665723324037921)</f>
        <v>0.8665723324</v>
      </c>
      <c r="AO3241" s="82">
        <f>IFERROR(__xludf.DUMMYFUNCTION("""COMPUTED_VALUE"""),0.734531777049781)</f>
        <v>0.734531777</v>
      </c>
      <c r="AP3241" s="82">
        <f>IFERROR(__xludf.DUMMYFUNCTION("""COMPUTED_VALUE"""),0.4288594121849657)</f>
        <v>0.4288594122</v>
      </c>
      <c r="AQ3241" s="82">
        <f>IFERROR(__xludf.DUMMYFUNCTION("""COMPUTED_VALUE"""),0.979325107344391)</f>
        <v>0.9793251073</v>
      </c>
      <c r="AR3241" s="82">
        <f>IFERROR(__xludf.DUMMYFUNCTION("""COMPUTED_VALUE"""),0.8846619272014221)</f>
        <v>0.8846619272</v>
      </c>
      <c r="AS3241" s="82">
        <f>IFERROR(__xludf.DUMMYFUNCTION("""COMPUTED_VALUE"""),75.0)</f>
        <v>75</v>
      </c>
      <c r="AT3241" s="82">
        <f>IFERROR(__xludf.DUMMYFUNCTION("""COMPUTED_VALUE"""),0.292018884022489)</f>
        <v>0.292018884</v>
      </c>
      <c r="AU3241" s="82">
        <f>IFERROR(__xludf.DUMMYFUNCTION("""COMPUTED_VALUE"""),2.1679170606224867)</f>
        <v>2.167917061</v>
      </c>
      <c r="AV3241" s="82">
        <f>IFERROR(__xludf.DUMMYFUNCTION("""COMPUTED_VALUE"""),26.702670982084776)</f>
        <v>26.70267098</v>
      </c>
      <c r="AW3241" s="82">
        <f t="shared" si="1"/>
        <v>-5.691653383</v>
      </c>
      <c r="AX3241" s="83">
        <f t="array" ref="AX3241">IFERROR(DGET('SBV Import'!A:G,"SBV",{"RSC ID","Tier";B3241,A3241}))</f>
        <v>24.9362522</v>
      </c>
      <c r="AY3241" s="82">
        <f t="shared" si="2"/>
        <v>-6.327550598</v>
      </c>
      <c r="AZ3241" s="82">
        <v>0.635897215372359</v>
      </c>
      <c r="BA3241" s="84">
        <v>3200.0</v>
      </c>
      <c r="BB3241" s="84" t="b">
        <f>IFERROR(__xludf.DUMMYFUNCTION("iferror(if(A3241="""",,E3241&gt;=FILTER(Constants!$F$2:$F$10,Constants!$A$2:$A$10=A3241)))"),TRUE)</f>
        <v>1</v>
      </c>
    </row>
    <row r="3242">
      <c r="A3242" s="89" t="str">
        <f>IFERROR(__xludf.DUMMYFUNCTION("""COMPUTED_VALUE"""),"Contender")</f>
        <v>Contender</v>
      </c>
      <c r="B3242" s="87" t="str">
        <f>IFERROR(__xludf.DUMMYFUNCTION("""COMPUTED_VALUE"""),"RSC006024")</f>
        <v>RSC006024</v>
      </c>
      <c r="C3242" s="73" t="str">
        <f>IFERROR(__xludf.DUMMYFUNCTION("""COMPUTED_VALUE"""),"DrizzyDaDizzy")</f>
        <v>DrizzyDaDizzy</v>
      </c>
      <c r="D3242" s="73"/>
      <c r="E3242" s="82">
        <f>IFERROR(__xludf.DUMMYFUNCTION("""COMPUTED_VALUE"""),7.0)</f>
        <v>7</v>
      </c>
      <c r="F3242" s="82">
        <f>IFERROR(__xludf.DUMMYFUNCTION("""COMPUTED_VALUE"""),2.0)</f>
        <v>2</v>
      </c>
      <c r="G3242" s="86">
        <f>IFERROR(__xludf.DUMMYFUNCTION("""COMPUTED_VALUE"""),5.0)</f>
        <v>5</v>
      </c>
      <c r="H3242" s="86">
        <f>IFERROR(__xludf.DUMMYFUNCTION("""COMPUTED_VALUE"""),0.2857142857142857)</f>
        <v>0.2857142857</v>
      </c>
      <c r="I3242" s="86">
        <f>IFERROR(__xludf.DUMMYFUNCTION("""COMPUTED_VALUE"""),0.6)</f>
        <v>0.6</v>
      </c>
      <c r="J3242" s="82">
        <f>IFERROR(__xludf.DUMMYFUNCTION("""COMPUTED_VALUE"""),287.14285714285717)</f>
        <v>287.1428571</v>
      </c>
      <c r="K3242" s="82">
        <f>IFERROR(__xludf.DUMMYFUNCTION("""COMPUTED_VALUE"""),0.8571428571428571)</f>
        <v>0.8571428571</v>
      </c>
      <c r="L3242" s="82">
        <f>IFERROR(__xludf.DUMMYFUNCTION("""COMPUTED_VALUE"""),0.0)</f>
        <v>0</v>
      </c>
      <c r="M3242" s="82">
        <f>IFERROR(__xludf.DUMMYFUNCTION("""COMPUTED_VALUE"""),1.1428571428571428)</f>
        <v>1.142857143</v>
      </c>
      <c r="N3242" s="82">
        <f>IFERROR(__xludf.DUMMYFUNCTION("""COMPUTED_VALUE"""),1.4285714285714286)</f>
        <v>1.428571429</v>
      </c>
      <c r="O3242" s="82">
        <f>IFERROR(__xludf.DUMMYFUNCTION("""COMPUTED_VALUE"""),341.85714285714283)</f>
        <v>341.8571429</v>
      </c>
      <c r="P3242" s="82">
        <f>IFERROR(__xludf.DUMMYFUNCTION("""COMPUTED_VALUE"""),1.0)</f>
        <v>1</v>
      </c>
      <c r="Q3242" s="82">
        <f>IFERROR(__xludf.DUMMYFUNCTION("""COMPUTED_VALUE"""),0.7619047619047619)</f>
        <v>0.7619047619</v>
      </c>
      <c r="R3242" s="82">
        <f>IFERROR(__xludf.DUMMYFUNCTION("""COMPUTED_VALUE"""),1.0)</f>
        <v>1</v>
      </c>
      <c r="S3242" s="82">
        <f>IFERROR(__xludf.DUMMYFUNCTION("""COMPUTED_VALUE"""),2.4761904761904767)</f>
        <v>2.476190476</v>
      </c>
      <c r="T3242" s="82">
        <f>IFERROR(__xludf.DUMMYFUNCTION("""COMPUTED_VALUE"""),330.67887275525163)</f>
        <v>330.6788728</v>
      </c>
      <c r="U3242" s="82">
        <f>IFERROR(__xludf.DUMMYFUNCTION("""COMPUTED_VALUE"""),0.8172162569837385)</f>
        <v>0.817216257</v>
      </c>
      <c r="V3242" s="82">
        <f>IFERROR(__xludf.DUMMYFUNCTION("""COMPUTED_VALUE"""),0.5629895369182057)</f>
        <v>0.5629895369</v>
      </c>
      <c r="W3242" s="82">
        <f>IFERROR(__xludf.DUMMYFUNCTION("""COMPUTED_VALUE"""),1.119596050803343)</f>
        <v>1.119596051</v>
      </c>
      <c r="X3242" s="82">
        <f>IFERROR(__xludf.DUMMYFUNCTION("""COMPUTED_VALUE"""),2.3086108130979235)</f>
        <v>2.308610813</v>
      </c>
      <c r="Y3242" s="82">
        <f>IFERROR(__xludf.DUMMYFUNCTION("""COMPUTED_VALUE"""),309.24979153270806)</f>
        <v>309.2497915</v>
      </c>
      <c r="Z3242" s="82">
        <f>IFERROR(__xludf.DUMMYFUNCTION("""COMPUTED_VALUE"""),0.7068348390198087)</f>
        <v>0.706834839</v>
      </c>
      <c r="AA3242" s="82">
        <f>IFERROR(__xludf.DUMMYFUNCTION("""COMPUTED_VALUE"""),0.4777501036901898)</f>
        <v>0.4777501037</v>
      </c>
      <c r="AB3242" s="82">
        <f>IFERROR(__xludf.DUMMYFUNCTION("""COMPUTED_VALUE"""),1.0771001522160264)</f>
        <v>1.077100152</v>
      </c>
      <c r="AC3242" s="82">
        <f>IFERROR(__xludf.DUMMYFUNCTION("""COMPUTED_VALUE"""),2.1797140172179517)</f>
        <v>2.179714017</v>
      </c>
      <c r="AD3242" s="82">
        <f>IFERROR(__xludf.DUMMYFUNCTION("""COMPUTED_VALUE"""),0.9285143111001491)</f>
        <v>0.9285143111</v>
      </c>
      <c r="AE3242" s="82">
        <f>IFERROR(__xludf.DUMMYFUNCTION("""COMPUTED_VALUE"""),1.2126494193912194)</f>
        <v>1.212649419</v>
      </c>
      <c r="AF3242" s="82">
        <f>IFERROR(__xludf.DUMMYFUNCTION("""COMPUTED_VALUE"""),0.0)</f>
        <v>0</v>
      </c>
      <c r="AG3242" s="82">
        <f>IFERROR(__xludf.DUMMYFUNCTION("""COMPUTED_VALUE"""),1.0610500244622822)</f>
        <v>1.061050024</v>
      </c>
      <c r="AH3242" s="82">
        <f>IFERROR(__xludf.DUMMYFUNCTION("""COMPUTED_VALUE"""),0.6553939724600966)</f>
        <v>0.6553939725</v>
      </c>
      <c r="AI3242" s="82">
        <f>IFERROR(__xludf.DUMMYFUNCTION("""COMPUTED_VALUE"""),1.0338040044976344)</f>
        <v>1.033804004</v>
      </c>
      <c r="AJ3242" s="82">
        <f>IFERROR(__xludf.DUMMYFUNCTION("""COMPUTED_VALUE"""),1.2236663079744616)</f>
        <v>1.223666308</v>
      </c>
      <c r="AK3242" s="82">
        <f>IFERROR(__xludf.DUMMYFUNCTION("""COMPUTED_VALUE"""),1.3533195769061968)</f>
        <v>1.353319577</v>
      </c>
      <c r="AL3242" s="82">
        <f>IFERROR(__xludf.DUMMYFUNCTION("""COMPUTED_VALUE"""),0.8931792848701733)</f>
        <v>0.8931792849</v>
      </c>
      <c r="AM3242" s="82">
        <f>IFERROR(__xludf.DUMMYFUNCTION("""COMPUTED_VALUE"""),1.0725889622199587)</f>
        <v>1.072588962</v>
      </c>
      <c r="AN3242" s="82">
        <f>IFERROR(__xludf.DUMMYFUNCTION("""COMPUTED_VALUE"""),0.9029002756278014)</f>
        <v>0.9029002756</v>
      </c>
      <c r="AO3242" s="82">
        <f>IFERROR(__xludf.DUMMYFUNCTION("""COMPUTED_VALUE"""),1.0675803467680045)</f>
        <v>1.067580347</v>
      </c>
      <c r="AP3242" s="82">
        <f>IFERROR(__xludf.DUMMYFUNCTION("""COMPUTED_VALUE"""),0.0)</f>
        <v>0</v>
      </c>
      <c r="AQ3242" s="82">
        <f>IFERROR(__xludf.DUMMYFUNCTION("""COMPUTED_VALUE"""),1.0912479767551786)</f>
        <v>1.091247977</v>
      </c>
      <c r="AR3242" s="82">
        <f>IFERROR(__xludf.DUMMYFUNCTION("""COMPUTED_VALUE"""),0.648530360166456)</f>
        <v>0.6485303602</v>
      </c>
      <c r="AS3242" s="82">
        <f>IFERROR(__xludf.DUMMYFUNCTION("""COMPUTED_VALUE"""),16.0)</f>
        <v>16</v>
      </c>
      <c r="AT3242" s="82">
        <f>IFERROR(__xludf.DUMMYFUNCTION("""COMPUTED_VALUE"""),0.3920926190615662)</f>
        <v>0.3920926191</v>
      </c>
      <c r="AU3242" s="82">
        <f>IFERROR(__xludf.DUMMYFUNCTION("""COMPUTED_VALUE"""),1.8050363031108168)</f>
        <v>1.805036303</v>
      </c>
      <c r="AV3242" s="82">
        <f>IFERROR(__xludf.DUMMYFUNCTION("""COMPUTED_VALUE"""),21.45471248802229)</f>
        <v>21.45471249</v>
      </c>
      <c r="AW3242" s="82">
        <f t="shared" si="1"/>
        <v>-7.888538705</v>
      </c>
      <c r="AX3242" s="83">
        <f t="array" ref="AX3242">IFERROR(DGET('SBV Import'!A:G,"SBV",{"RSC ID","Tier";B3242,A3242}))</f>
        <v>24.67294021</v>
      </c>
      <c r="AY3242" s="82">
        <f t="shared" si="2"/>
        <v>-6.430437925</v>
      </c>
      <c r="AZ3242" s="82">
        <v>1.4581007799440346</v>
      </c>
      <c r="BA3242" s="84">
        <v>3200.0</v>
      </c>
      <c r="BB3242" s="84" t="b">
        <f>IFERROR(__xludf.DUMMYFUNCTION("iferror(if(A3242="""",,E3242&gt;=FILTER(Constants!$F$2:$F$10,Constants!$A$2:$A$10=A3242)))"),TRUE)</f>
        <v>1</v>
      </c>
    </row>
    <row r="3243">
      <c r="A3243" s="89" t="str">
        <f>IFERROR(__xludf.DUMMYFUNCTION("""COMPUTED_VALUE"""),"Contender")</f>
        <v>Contender</v>
      </c>
      <c r="B3243" s="87" t="str">
        <f>IFERROR(__xludf.DUMMYFUNCTION("""COMPUTED_VALUE"""),"RSC000323")</f>
        <v>RSC000323</v>
      </c>
      <c r="C3243" s="73" t="str">
        <f>IFERROR(__xludf.DUMMYFUNCTION("""COMPUTED_VALUE"""),"Styk75")</f>
        <v>Styk75</v>
      </c>
      <c r="D3243" s="73" t="str">
        <f>IFERROR(__xludf.DUMMYFUNCTION("""COMPUTED_VALUE"""),"Legionaries")</f>
        <v>Legionaries</v>
      </c>
      <c r="E3243" s="82">
        <f>IFERROR(__xludf.DUMMYFUNCTION("""COMPUTED_VALUE"""),22.0)</f>
        <v>22</v>
      </c>
      <c r="F3243" s="82">
        <f>IFERROR(__xludf.DUMMYFUNCTION("""COMPUTED_VALUE"""),4.0)</f>
        <v>4</v>
      </c>
      <c r="G3243" s="86">
        <f>IFERROR(__xludf.DUMMYFUNCTION("""COMPUTED_VALUE"""),18.0)</f>
        <v>18</v>
      </c>
      <c r="H3243" s="86">
        <f>IFERROR(__xludf.DUMMYFUNCTION("""COMPUTED_VALUE"""),0.18181818181818182)</f>
        <v>0.1818181818</v>
      </c>
      <c r="I3243" s="86">
        <f>IFERROR(__xludf.DUMMYFUNCTION("""COMPUTED_VALUE"""),0.30000000000000004)</f>
        <v>0.3</v>
      </c>
      <c r="J3243" s="82">
        <f>IFERROR(__xludf.DUMMYFUNCTION("""COMPUTED_VALUE"""),241.13636363636363)</f>
        <v>241.1363636</v>
      </c>
      <c r="K3243" s="82">
        <f>IFERROR(__xludf.DUMMYFUNCTION("""COMPUTED_VALUE"""),0.4090909090909091)</f>
        <v>0.4090909091</v>
      </c>
      <c r="L3243" s="82">
        <f>IFERROR(__xludf.DUMMYFUNCTION("""COMPUTED_VALUE"""),0.36363636363636365)</f>
        <v>0.3636363636</v>
      </c>
      <c r="M3243" s="82">
        <f>IFERROR(__xludf.DUMMYFUNCTION("""COMPUTED_VALUE"""),1.2272727272727273)</f>
        <v>1.227272727</v>
      </c>
      <c r="N3243" s="82">
        <f>IFERROR(__xludf.DUMMYFUNCTION("""COMPUTED_VALUE"""),1.3636363636363635)</f>
        <v>1.363636364</v>
      </c>
      <c r="O3243" s="82">
        <f>IFERROR(__xludf.DUMMYFUNCTION("""COMPUTED_VALUE"""),362.16666666666663)</f>
        <v>362.1666667</v>
      </c>
      <c r="P3243" s="82">
        <f>IFERROR(__xludf.DUMMYFUNCTION("""COMPUTED_VALUE"""),1.0757575757575755)</f>
        <v>1.075757576</v>
      </c>
      <c r="Q3243" s="82">
        <f>IFERROR(__xludf.DUMMYFUNCTION("""COMPUTED_VALUE"""),0.6969696969696969)</f>
        <v>0.696969697</v>
      </c>
      <c r="R3243" s="82">
        <f>IFERROR(__xludf.DUMMYFUNCTION("""COMPUTED_VALUE"""),1.0000000000000002)</f>
        <v>1</v>
      </c>
      <c r="S3243" s="82">
        <f>IFERROR(__xludf.DUMMYFUNCTION("""COMPUTED_VALUE"""),2.848484848484848)</f>
        <v>2.848484848</v>
      </c>
      <c r="T3243" s="82">
        <f>IFERROR(__xludf.DUMMYFUNCTION("""COMPUTED_VALUE"""),345.99692931716527)</f>
        <v>345.9969293</v>
      </c>
      <c r="U3243" s="82">
        <f>IFERROR(__xludf.DUMMYFUNCTION("""COMPUTED_VALUE"""),0.9120455836121764)</f>
        <v>0.9120455836</v>
      </c>
      <c r="V3243" s="82">
        <f>IFERROR(__xludf.DUMMYFUNCTION("""COMPUTED_VALUE"""),0.6047358043866807)</f>
        <v>0.6047358044</v>
      </c>
      <c r="W3243" s="82">
        <f>IFERROR(__xludf.DUMMYFUNCTION("""COMPUTED_VALUE"""),1.0909982584461493)</f>
        <v>1.090998258</v>
      </c>
      <c r="X3243" s="82">
        <f>IFERROR(__xludf.DUMMYFUNCTION("""COMPUTED_VALUE"""),2.4725404613056607)</f>
        <v>2.472540461</v>
      </c>
      <c r="Y3243" s="82">
        <f>IFERROR(__xludf.DUMMYFUNCTION("""COMPUTED_VALUE"""),323.42519180757193)</f>
        <v>323.4251918</v>
      </c>
      <c r="Z3243" s="82">
        <f>IFERROR(__xludf.DUMMYFUNCTION("""COMPUTED_VALUE"""),0.7734460556862732)</f>
        <v>0.7734460557</v>
      </c>
      <c r="AA3243" s="82">
        <f>IFERROR(__xludf.DUMMYFUNCTION("""COMPUTED_VALUE"""),0.5153591001960135)</f>
        <v>0.5153591002</v>
      </c>
      <c r="AB3243" s="82">
        <f>IFERROR(__xludf.DUMMYFUNCTION("""COMPUTED_VALUE"""),1.1415333602261455)</f>
        <v>1.14153336</v>
      </c>
      <c r="AC3243" s="82">
        <f>IFERROR(__xludf.DUMMYFUNCTION("""COMPUTED_VALUE"""),2.2061533468327217)</f>
        <v>2.206153347</v>
      </c>
      <c r="AD3243" s="82">
        <f>IFERROR(__xludf.DUMMYFUNCTION("""COMPUTED_VALUE"""),0.7455707525090759)</f>
        <v>0.7455707525</v>
      </c>
      <c r="AE3243" s="82">
        <f>IFERROR(__xludf.DUMMYFUNCTION("""COMPUTED_VALUE"""),0.5289197689784915)</f>
        <v>0.528919769</v>
      </c>
      <c r="AF3243" s="82">
        <f>IFERROR(__xludf.DUMMYFUNCTION("""COMPUTED_VALUE"""),0.705598025722369)</f>
        <v>0.7055980257</v>
      </c>
      <c r="AG3243" s="82">
        <f>IFERROR(__xludf.DUMMYFUNCTION("""COMPUTED_VALUE"""),1.0751089455936673)</f>
        <v>1.075108946</v>
      </c>
      <c r="AH3243" s="82">
        <f>IFERROR(__xludf.DUMMYFUNCTION("""COMPUTED_VALUE"""),0.618105883525312)</f>
        <v>0.6181058835</v>
      </c>
      <c r="AI3243" s="82">
        <f>IFERROR(__xludf.DUMMYFUNCTION("""COMPUTED_VALUE"""),1.0467337596938007)</f>
        <v>1.04673376</v>
      </c>
      <c r="AJ3243" s="82">
        <f>IFERROR(__xludf.DUMMYFUNCTION("""COMPUTED_VALUE"""),1.1794997915531964)</f>
        <v>1.179499792</v>
      </c>
      <c r="AK3243" s="82">
        <f>IFERROR(__xludf.DUMMYFUNCTION("""COMPUTED_VALUE"""),1.152519318211296)</f>
        <v>1.152519318</v>
      </c>
      <c r="AL3243" s="82">
        <f>IFERROR(__xludf.DUMMYFUNCTION("""COMPUTED_VALUE"""),0.9165917472904558)</f>
        <v>0.9165917473</v>
      </c>
      <c r="AM3243" s="82">
        <f>IFERROR(__xludf.DUMMYFUNCTION("""COMPUTED_VALUE"""),1.1520478200711282)</f>
        <v>1.15204782</v>
      </c>
      <c r="AN3243" s="82">
        <f>IFERROR(__xludf.DUMMYFUNCTION("""COMPUTED_VALUE"""),0.758236131511497)</f>
        <v>0.7582361315</v>
      </c>
      <c r="AO3243" s="82">
        <f>IFERROR(__xludf.DUMMYFUNCTION("""COMPUTED_VALUE"""),0.5095269836847295)</f>
        <v>0.5095269837</v>
      </c>
      <c r="AP3243" s="82">
        <f>IFERROR(__xludf.DUMMYFUNCTION("""COMPUTED_VALUE"""),0.6757784676854005)</f>
        <v>0.6757784677</v>
      </c>
      <c r="AQ3243" s="82">
        <f>IFERROR(__xludf.DUMMYFUNCTION("""COMPUTED_VALUE"""),1.1718515204927773)</f>
        <v>1.17185152</v>
      </c>
      <c r="AR3243" s="82">
        <f>IFERROR(__xludf.DUMMYFUNCTION("""COMPUTED_VALUE"""),0.6190517074316171)</f>
        <v>0.6190517074</v>
      </c>
      <c r="AS3243" s="82">
        <f>IFERROR(__xludf.DUMMYFUNCTION("""COMPUTED_VALUE"""),38.0)</f>
        <v>38</v>
      </c>
      <c r="AT3243" s="82">
        <f>IFERROR(__xludf.DUMMYFUNCTION("""COMPUTED_VALUE"""),0.2710129050163235)</f>
        <v>0.271012905</v>
      </c>
      <c r="AU3243" s="82">
        <f>IFERROR(__xludf.DUMMYFUNCTION("""COMPUTED_VALUE"""),1.7530051215700664)</f>
        <v>1.753005122</v>
      </c>
      <c r="AV3243" s="82">
        <f>IFERROR(__xludf.DUMMYFUNCTION("""COMPUTED_VALUE"""),20.70224084142608)</f>
        <v>20.70224084</v>
      </c>
      <c r="AW3243" s="82">
        <f t="shared" si="1"/>
        <v>-8.290738123</v>
      </c>
      <c r="AX3243" s="83">
        <f t="array" ref="AX3243">IFERROR(DGET('SBV Import'!A:G,"SBV",{"RSC ID","Tier";B3243,A3243}))</f>
        <v>11.15048767</v>
      </c>
      <c r="AY3243" s="82">
        <f t="shared" si="2"/>
        <v>-16.6404483</v>
      </c>
      <c r="AZ3243" s="82">
        <v>8.34971017409478</v>
      </c>
      <c r="BA3243" s="84">
        <v>3200.0</v>
      </c>
      <c r="BB3243" s="84" t="b">
        <f>IFERROR(__xludf.DUMMYFUNCTION("iferror(if(A3243="""",,E3243&gt;=FILTER(Constants!$F$2:$F$10,Constants!$A$2:$A$10=A3243)))"),TRUE)</f>
        <v>1</v>
      </c>
    </row>
    <row r="3244">
      <c r="A3244" s="89" t="str">
        <f>IFERROR(__xludf.DUMMYFUNCTION("""COMPUTED_VALUE"""),"Contender")</f>
        <v>Contender</v>
      </c>
      <c r="B3244" s="87" t="str">
        <f>IFERROR(__xludf.DUMMYFUNCTION("""COMPUTED_VALUE"""),"RSC001765")</f>
        <v>RSC001765</v>
      </c>
      <c r="C3244" s="73" t="str">
        <f>IFERROR(__xludf.DUMMYFUNCTION("""COMPUTED_VALUE"""),"Trios")</f>
        <v>Trios</v>
      </c>
      <c r="D3244" s="73" t="str">
        <f>IFERROR(__xludf.DUMMYFUNCTION("""COMPUTED_VALUE"""),"Toothpaste")</f>
        <v>Toothpaste</v>
      </c>
      <c r="E3244" s="82">
        <f>IFERROR(__xludf.DUMMYFUNCTION("""COMPUTED_VALUE"""),7.0)</f>
        <v>7</v>
      </c>
      <c r="F3244" s="82">
        <f>IFERROR(__xludf.DUMMYFUNCTION("""COMPUTED_VALUE"""),1.0)</f>
        <v>1</v>
      </c>
      <c r="G3244" s="86">
        <f>IFERROR(__xludf.DUMMYFUNCTION("""COMPUTED_VALUE"""),6.0)</f>
        <v>6</v>
      </c>
      <c r="H3244" s="86">
        <f>IFERROR(__xludf.DUMMYFUNCTION("""COMPUTED_VALUE"""),0.14285714285714285)</f>
        <v>0.1428571429</v>
      </c>
      <c r="I3244" s="86">
        <f>IFERROR(__xludf.DUMMYFUNCTION("""COMPUTED_VALUE"""),0.38461538461538464)</f>
        <v>0.3846153846</v>
      </c>
      <c r="J3244" s="82">
        <f>IFERROR(__xludf.DUMMYFUNCTION("""COMPUTED_VALUE"""),254.0)</f>
        <v>254</v>
      </c>
      <c r="K3244" s="82">
        <f>IFERROR(__xludf.DUMMYFUNCTION("""COMPUTED_VALUE"""),0.7142857142857143)</f>
        <v>0.7142857143</v>
      </c>
      <c r="L3244" s="82">
        <f>IFERROR(__xludf.DUMMYFUNCTION("""COMPUTED_VALUE"""),0.2857142857142857)</f>
        <v>0.2857142857</v>
      </c>
      <c r="M3244" s="82">
        <f>IFERROR(__xludf.DUMMYFUNCTION("""COMPUTED_VALUE"""),0.5714285714285714)</f>
        <v>0.5714285714</v>
      </c>
      <c r="N3244" s="82">
        <f>IFERROR(__xludf.DUMMYFUNCTION("""COMPUTED_VALUE"""),1.8571428571428572)</f>
        <v>1.857142857</v>
      </c>
      <c r="O3244" s="82">
        <f>IFERROR(__xludf.DUMMYFUNCTION("""COMPUTED_VALUE"""),412.9047619047619)</f>
        <v>412.9047619</v>
      </c>
      <c r="P3244" s="82">
        <f>IFERROR(__xludf.DUMMYFUNCTION("""COMPUTED_VALUE"""),1.619047619047619)</f>
        <v>1.619047619</v>
      </c>
      <c r="Q3244" s="82">
        <f>IFERROR(__xludf.DUMMYFUNCTION("""COMPUTED_VALUE"""),1.0)</f>
        <v>1</v>
      </c>
      <c r="R3244" s="82">
        <f>IFERROR(__xludf.DUMMYFUNCTION("""COMPUTED_VALUE"""),0.5238095238095238)</f>
        <v>0.5238095238</v>
      </c>
      <c r="S3244" s="82">
        <f>IFERROR(__xludf.DUMMYFUNCTION("""COMPUTED_VALUE"""),2.8095238095238098)</f>
        <v>2.80952381</v>
      </c>
      <c r="T3244" s="82">
        <f>IFERROR(__xludf.DUMMYFUNCTION("""COMPUTED_VALUE"""),324.3021240999959)</f>
        <v>324.3021241</v>
      </c>
      <c r="U3244" s="82">
        <f>IFERROR(__xludf.DUMMYFUNCTION("""COMPUTED_VALUE"""),0.8065638954794209)</f>
        <v>0.8065638955</v>
      </c>
      <c r="V3244" s="82">
        <f>IFERROR(__xludf.DUMMYFUNCTION("""COMPUTED_VALUE"""),0.5480753959105079)</f>
        <v>0.5480753959</v>
      </c>
      <c r="W3244" s="82">
        <f>IFERROR(__xludf.DUMMYFUNCTION("""COMPUTED_VALUE"""),1.0235438960112366)</f>
        <v>1.023543896</v>
      </c>
      <c r="X3244" s="82">
        <f>IFERROR(__xludf.DUMMYFUNCTION("""COMPUTED_VALUE"""),2.2530366971974787)</f>
        <v>2.253036697</v>
      </c>
      <c r="Y3244" s="82">
        <f>IFERROR(__xludf.DUMMYFUNCTION("""COMPUTED_VALUE"""),326.1848240294045)</f>
        <v>326.184824</v>
      </c>
      <c r="Z3244" s="82">
        <f>IFERROR(__xludf.DUMMYFUNCTION("""COMPUTED_VALUE"""),0.8381714827451611)</f>
        <v>0.8381714827</v>
      </c>
      <c r="AA3244" s="82">
        <f>IFERROR(__xludf.DUMMYFUNCTION("""COMPUTED_VALUE"""),0.5669771141985216)</f>
        <v>0.5669771142</v>
      </c>
      <c r="AB3244" s="82">
        <f>IFERROR(__xludf.DUMMYFUNCTION("""COMPUTED_VALUE"""),1.0410305902053605)</f>
        <v>1.04103059</v>
      </c>
      <c r="AC3244" s="82">
        <f>IFERROR(__xludf.DUMMYFUNCTION("""COMPUTED_VALUE"""),2.250444583788258)</f>
        <v>2.250444584</v>
      </c>
      <c r="AD3244" s="82">
        <f>IFERROR(__xludf.DUMMYFUNCTION("""COMPUTED_VALUE"""),0.7786996245328162)</f>
        <v>0.7786996245</v>
      </c>
      <c r="AE3244" s="82">
        <f>IFERROR(__xludf.DUMMYFUNCTION("""COMPUTED_VALUE"""),0.8521951998966861)</f>
        <v>0.8521951999</v>
      </c>
      <c r="AF3244" s="82">
        <f>IFERROR(__xludf.DUMMYFUNCTION("""COMPUTED_VALUE"""),0.5039256057419023)</f>
        <v>0.5039256057</v>
      </c>
      <c r="AG3244" s="82">
        <f>IFERROR(__xludf.DUMMYFUNCTION("""COMPUTED_VALUE"""),0.5489066092821034)</f>
        <v>0.5489066093</v>
      </c>
      <c r="AH3244" s="82">
        <f>IFERROR(__xludf.DUMMYFUNCTION("""COMPUTED_VALUE"""),0.8252337651508214)</f>
        <v>0.8252337652</v>
      </c>
      <c r="AI3244" s="82">
        <f>IFERROR(__xludf.DUMMYFUNCTION("""COMPUTED_VALUE"""),1.273210167989668)</f>
        <v>1.273210168</v>
      </c>
      <c r="AJ3244" s="82">
        <f>IFERROR(__xludf.DUMMYFUNCTION("""COMPUTED_VALUE"""),2.0073395649395622)</f>
        <v>2.007339565</v>
      </c>
      <c r="AK3244" s="82">
        <f>IFERROR(__xludf.DUMMYFUNCTION("""COMPUTED_VALUE"""),1.8245664874970673)</f>
        <v>1.824566487</v>
      </c>
      <c r="AL3244" s="82">
        <f>IFERROR(__xludf.DUMMYFUNCTION("""COMPUTED_VALUE"""),0.5117606834946856)</f>
        <v>0.5117606835</v>
      </c>
      <c r="AM3244" s="82">
        <f>IFERROR(__xludf.DUMMYFUNCTION("""COMPUTED_VALUE"""),1.2469942513668497)</f>
        <v>1.246994251</v>
      </c>
      <c r="AN3244" s="82">
        <f>IFERROR(__xludf.DUMMYFUNCTION("""COMPUTED_VALUE"""),0.7986849204309606)</f>
        <v>0.7986849204</v>
      </c>
      <c r="AO3244" s="82">
        <f>IFERROR(__xludf.DUMMYFUNCTION("""COMPUTED_VALUE"""),0.8896502889733372)</f>
        <v>0.889650289</v>
      </c>
      <c r="AP3244" s="82">
        <f>IFERROR(__xludf.DUMMYFUNCTION("""COMPUTED_VALUE"""),0.5309687960385289)</f>
        <v>0.530968796</v>
      </c>
      <c r="AQ3244" s="82">
        <f>IFERROR(__xludf.DUMMYFUNCTION("""COMPUTED_VALUE"""),0.5456239883775893)</f>
        <v>0.5456239884</v>
      </c>
      <c r="AR3244" s="82">
        <f>IFERROR(__xludf.DUMMYFUNCTION("""COMPUTED_VALUE"""),0.8430894682163929)</f>
        <v>0.8430894682</v>
      </c>
      <c r="AS3244" s="82">
        <f>IFERROR(__xludf.DUMMYFUNCTION("""COMPUTED_VALUE"""),16.0)</f>
        <v>16</v>
      </c>
      <c r="AT3244" s="82">
        <f>IFERROR(__xludf.DUMMYFUNCTION("""COMPUTED_VALUE"""),0.2099444719675095)</f>
        <v>0.209944472</v>
      </c>
      <c r="AU3244" s="82">
        <f>IFERROR(__xludf.DUMMYFUNCTION("""COMPUTED_VALUE"""),1.6028016406188956)</f>
        <v>1.602801641</v>
      </c>
      <c r="AV3244" s="82">
        <f>IFERROR(__xludf.DUMMYFUNCTION("""COMPUTED_VALUE"""),18.530007628784322)</f>
        <v>18.53000763</v>
      </c>
      <c r="AW3244" s="82">
        <f t="shared" si="1"/>
        <v>-9.610639796</v>
      </c>
      <c r="AX3244" s="83">
        <f t="array" ref="AX3244">IFERROR(DGET('SBV Import'!A:G,"SBV",{"RSC ID","Tier";B3244,A3244}))</f>
        <v>24.06145925</v>
      </c>
      <c r="AY3244" s="82">
        <f t="shared" si="2"/>
        <v>-6.678164135</v>
      </c>
      <c r="AZ3244" s="82">
        <v>2.932475661327195</v>
      </c>
      <c r="BA3244" s="84">
        <v>3200.0</v>
      </c>
      <c r="BB3244" s="84" t="b">
        <f>IFERROR(__xludf.DUMMYFUNCTION("iferror(if(A3244="""",,E3244&gt;=FILTER(Constants!$F$2:$F$10,Constants!$A$2:$A$10=A3244)))"),TRUE)</f>
        <v>1</v>
      </c>
    </row>
    <row r="3245">
      <c r="A3245" s="89" t="str">
        <f>IFERROR(__xludf.DUMMYFUNCTION("""COMPUTED_VALUE"""),"Contender")</f>
        <v>Contender</v>
      </c>
      <c r="B3245" s="87" t="str">
        <f>IFERROR(__xludf.DUMMYFUNCTION("""COMPUTED_VALUE"""),"RSC007910")</f>
        <v>RSC007910</v>
      </c>
      <c r="C3245" s="73" t="str">
        <f>IFERROR(__xludf.DUMMYFUNCTION("""COMPUTED_VALUE"""),"TTVCAPTAINDRC")</f>
        <v>TTVCAPTAINDRC</v>
      </c>
      <c r="D3245" s="73"/>
      <c r="E3245" s="82">
        <f>IFERROR(__xludf.DUMMYFUNCTION("""COMPUTED_VALUE"""),3.0)</f>
        <v>3</v>
      </c>
      <c r="F3245" s="82">
        <f>IFERROR(__xludf.DUMMYFUNCTION("""COMPUTED_VALUE"""),0.0)</f>
        <v>0</v>
      </c>
      <c r="G3245" s="86">
        <f>IFERROR(__xludf.DUMMYFUNCTION("""COMPUTED_VALUE"""),3.0)</f>
        <v>3</v>
      </c>
      <c r="H3245" s="86">
        <f>IFERROR(__xludf.DUMMYFUNCTION("""COMPUTED_VALUE"""),0.0)</f>
        <v>0</v>
      </c>
      <c r="I3245" s="86">
        <f>IFERROR(__xludf.DUMMYFUNCTION("""COMPUTED_VALUE"""),0.5)</f>
        <v>0.5</v>
      </c>
      <c r="J3245" s="82">
        <f>IFERROR(__xludf.DUMMYFUNCTION("""COMPUTED_VALUE"""),225.66666666666666)</f>
        <v>225.6666667</v>
      </c>
      <c r="K3245" s="82">
        <f>IFERROR(__xludf.DUMMYFUNCTION("""COMPUTED_VALUE"""),0.3333333333333333)</f>
        <v>0.3333333333</v>
      </c>
      <c r="L3245" s="82">
        <f>IFERROR(__xludf.DUMMYFUNCTION("""COMPUTED_VALUE"""),0.3333333333333333)</f>
        <v>0.3333333333</v>
      </c>
      <c r="M3245" s="82">
        <f>IFERROR(__xludf.DUMMYFUNCTION("""COMPUTED_VALUE"""),1.3333333333333333)</f>
        <v>1.333333333</v>
      </c>
      <c r="N3245" s="82">
        <f>IFERROR(__xludf.DUMMYFUNCTION("""COMPUTED_VALUE"""),0.6666666666666666)</f>
        <v>0.6666666667</v>
      </c>
      <c r="O3245" s="82">
        <f>IFERROR(__xludf.DUMMYFUNCTION("""COMPUTED_VALUE"""),338.4444444444444)</f>
        <v>338.4444444</v>
      </c>
      <c r="P3245" s="82">
        <f>IFERROR(__xludf.DUMMYFUNCTION("""COMPUTED_VALUE"""),1.111111111111111)</f>
        <v>1.111111111</v>
      </c>
      <c r="Q3245" s="82">
        <f>IFERROR(__xludf.DUMMYFUNCTION("""COMPUTED_VALUE"""),0.5555555555555555)</f>
        <v>0.5555555556</v>
      </c>
      <c r="R3245" s="82">
        <f>IFERROR(__xludf.DUMMYFUNCTION("""COMPUTED_VALUE"""),1.0)</f>
        <v>1</v>
      </c>
      <c r="S3245" s="82">
        <f>IFERROR(__xludf.DUMMYFUNCTION("""COMPUTED_VALUE"""),2.111111111111111)</f>
        <v>2.111111111</v>
      </c>
      <c r="T3245" s="82">
        <f>IFERROR(__xludf.DUMMYFUNCTION("""COMPUTED_VALUE"""),325.3574632144154)</f>
        <v>325.3574632</v>
      </c>
      <c r="U3245" s="82">
        <f>IFERROR(__xludf.DUMMYFUNCTION("""COMPUTED_VALUE"""),0.7976958658556269)</f>
        <v>0.7976958659</v>
      </c>
      <c r="V3245" s="82">
        <f>IFERROR(__xludf.DUMMYFUNCTION("""COMPUTED_VALUE"""),0.5024265612451503)</f>
        <v>0.5024265612</v>
      </c>
      <c r="W3245" s="82">
        <f>IFERROR(__xludf.DUMMYFUNCTION("""COMPUTED_VALUE"""),1.1612061800751612)</f>
        <v>1.16120618</v>
      </c>
      <c r="X3245" s="82">
        <f>IFERROR(__xludf.DUMMYFUNCTION("""COMPUTED_VALUE"""),2.2276805452990596)</f>
        <v>2.227680545</v>
      </c>
      <c r="Y3245" s="82">
        <f>IFERROR(__xludf.DUMMYFUNCTION("""COMPUTED_VALUE"""),337.2067606960664)</f>
        <v>337.2067607</v>
      </c>
      <c r="Z3245" s="82">
        <f>IFERROR(__xludf.DUMMYFUNCTION("""COMPUTED_VALUE"""),0.8464064096171847)</f>
        <v>0.8464064096</v>
      </c>
      <c r="AA3245" s="82">
        <f>IFERROR(__xludf.DUMMYFUNCTION("""COMPUTED_VALUE"""),0.5879684136434169)</f>
        <v>0.5879684136</v>
      </c>
      <c r="AB3245" s="82">
        <f>IFERROR(__xludf.DUMMYFUNCTION("""COMPUTED_VALUE"""),1.08708019062629)</f>
        <v>1.087080191</v>
      </c>
      <c r="AC3245" s="82">
        <f>IFERROR(__xludf.DUMMYFUNCTION("""COMPUTED_VALUE"""),2.492445029221811)</f>
        <v>2.492445029</v>
      </c>
      <c r="AD3245" s="82">
        <f>IFERROR(__xludf.DUMMYFUNCTION("""COMPUTED_VALUE"""),0.6692234349063545)</f>
        <v>0.6692234349</v>
      </c>
      <c r="AE3245" s="82">
        <f>IFERROR(__xludf.DUMMYFUNCTION("""COMPUTED_VALUE"""),0.3938218443833552)</f>
        <v>0.3938218444</v>
      </c>
      <c r="AF3245" s="82">
        <f>IFERROR(__xludf.DUMMYFUNCTION("""COMPUTED_VALUE"""),0.5669238782195685)</f>
        <v>0.5669238782</v>
      </c>
      <c r="AG3245" s="82">
        <f>IFERROR(__xludf.DUMMYFUNCTION("""COMPUTED_VALUE"""),1.2265271180824036)</f>
        <v>1.226527118</v>
      </c>
      <c r="AH3245" s="82">
        <f>IFERROR(__xludf.DUMMYFUNCTION("""COMPUTED_VALUE"""),0.2674749729083544)</f>
        <v>0.2674749729</v>
      </c>
      <c r="AI3245" s="82">
        <f>IFERROR(__xludf.DUMMYFUNCTION("""COMPUTED_VALUE"""),1.0402233933739655)</f>
        <v>1.040223393</v>
      </c>
      <c r="AJ3245" s="82">
        <f>IFERROR(__xludf.DUMMYFUNCTION("""COMPUTED_VALUE"""),1.3929006763991532)</f>
        <v>1.392900676</v>
      </c>
      <c r="AK3245" s="82">
        <f>IFERROR(__xludf.DUMMYFUNCTION("""COMPUTED_VALUE"""),1.1057447961722744)</f>
        <v>1.105744796</v>
      </c>
      <c r="AL3245" s="82">
        <f>IFERROR(__xludf.DUMMYFUNCTION("""COMPUTED_VALUE"""),0.8611735083387803)</f>
        <v>0.8611735083</v>
      </c>
      <c r="AM3245" s="82">
        <f>IFERROR(__xludf.DUMMYFUNCTION("""COMPUTED_VALUE"""),0.9476722843255341)</f>
        <v>0.9476722843</v>
      </c>
      <c r="AN3245" s="82">
        <f>IFERROR(__xludf.DUMMYFUNCTION("""COMPUTED_VALUE"""),0.7095927705141212)</f>
        <v>0.7095927705</v>
      </c>
      <c r="AO3245" s="82">
        <f>IFERROR(__xludf.DUMMYFUNCTION("""COMPUTED_VALUE"""),0.415170134854224)</f>
        <v>0.4151701349</v>
      </c>
      <c r="AP3245" s="82">
        <f>IFERROR(__xludf.DUMMYFUNCTION("""COMPUTED_VALUE"""),0.6194635953782838)</f>
        <v>0.6194635954</v>
      </c>
      <c r="AQ3245" s="82">
        <f>IFERROR(__xludf.DUMMYFUNCTION("""COMPUTED_VALUE"""),1.2731226395477084)</f>
        <v>1.27312264</v>
      </c>
      <c r="AR3245" s="82">
        <f>IFERROR(__xludf.DUMMYFUNCTION("""COMPUTED_VALUE"""),0.3026475014110128)</f>
        <v>0.3026475014</v>
      </c>
      <c r="AS3245" s="82">
        <f>IFERROR(__xludf.DUMMYFUNCTION("""COMPUTED_VALUE"""),3.0)</f>
        <v>3</v>
      </c>
      <c r="AT3245" s="82">
        <f>IFERROR(__xludf.DUMMYFUNCTION("""COMPUTED_VALUE"""),0.13776982850528816)</f>
        <v>0.1377698285</v>
      </c>
      <c r="AU3245" s="82">
        <f>IFERROR(__xludf.DUMMYFUNCTION("""COMPUTED_VALUE"""),0.9243228802426872)</f>
        <v>0.9243228802</v>
      </c>
      <c r="AV3245" s="82">
        <f>IFERROR(__xludf.DUMMYFUNCTION("""COMPUTED_VALUE"""),8.71789083875916)</f>
        <v>8.717890839</v>
      </c>
      <c r="AW3245" s="82">
        <f t="shared" si="1"/>
        <v>-20.267424</v>
      </c>
      <c r="AX3245" s="83">
        <f t="array" ref="AX3245">IFERROR(DGET('SBV Import'!A:G,"SBV",{"RSC ID","Tier";B3245,A3245}))</f>
        <v>15.83783824</v>
      </c>
      <c r="AY3245" s="82">
        <f t="shared" si="2"/>
        <v>-11.64237028</v>
      </c>
      <c r="AZ3245" s="82">
        <v>8.625053716309566</v>
      </c>
      <c r="BA3245" s="84">
        <v>3200.0</v>
      </c>
      <c r="BB3245" s="84" t="b">
        <f>IFERROR(__xludf.DUMMYFUNCTION("iferror(if(A3245="""",,E3245&gt;=FILTER(Constants!$F$2:$F$10,Constants!$A$2:$A$10=A3245)))"),TRUE)</f>
        <v>1</v>
      </c>
    </row>
    <row r="3246">
      <c r="A3246" s="89" t="str">
        <f>IFERROR(__xludf.DUMMYFUNCTION("""COMPUTED_VALUE"""),"Contender")</f>
        <v>Contender</v>
      </c>
      <c r="B3246" s="87" t="str">
        <f>IFERROR(__xludf.DUMMYFUNCTION("""COMPUTED_VALUE"""),"RSC005527")</f>
        <v>RSC005527</v>
      </c>
      <c r="C3246" s="73" t="str">
        <f>IFERROR(__xludf.DUMMYFUNCTION("""COMPUTED_VALUE"""),"Colossus4203316")</f>
        <v>Colossus4203316</v>
      </c>
      <c r="D3246" s="73" t="str">
        <f>IFERROR(__xludf.DUMMYFUNCTION("""COMPUTED_VALUE"""),"Zebras")</f>
        <v>Zebras</v>
      </c>
      <c r="E3246" s="82">
        <f>IFERROR(__xludf.DUMMYFUNCTION("""COMPUTED_VALUE"""),25.0)</f>
        <v>25</v>
      </c>
      <c r="F3246" s="82">
        <f>IFERROR(__xludf.DUMMYFUNCTION("""COMPUTED_VALUE"""),5.0)</f>
        <v>5</v>
      </c>
      <c r="G3246" s="86">
        <f>IFERROR(__xludf.DUMMYFUNCTION("""COMPUTED_VALUE"""),20.0)</f>
        <v>20</v>
      </c>
      <c r="H3246" s="86">
        <f>IFERROR(__xludf.DUMMYFUNCTION("""COMPUTED_VALUE"""),0.2)</f>
        <v>0.2</v>
      </c>
      <c r="I3246" s="86">
        <f>IFERROR(__xludf.DUMMYFUNCTION("""COMPUTED_VALUE"""),0.36)</f>
        <v>0.36</v>
      </c>
      <c r="J3246" s="82">
        <f>IFERROR(__xludf.DUMMYFUNCTION("""COMPUTED_VALUE"""),212.68)</f>
        <v>212.68</v>
      </c>
      <c r="K3246" s="82">
        <f>IFERROR(__xludf.DUMMYFUNCTION("""COMPUTED_VALUE"""),0.36)</f>
        <v>0.36</v>
      </c>
      <c r="L3246" s="82">
        <f>IFERROR(__xludf.DUMMYFUNCTION("""COMPUTED_VALUE"""),0.28)</f>
        <v>0.28</v>
      </c>
      <c r="M3246" s="82">
        <f>IFERROR(__xludf.DUMMYFUNCTION("""COMPUTED_VALUE"""),0.88)</f>
        <v>0.88</v>
      </c>
      <c r="N3246" s="82">
        <f>IFERROR(__xludf.DUMMYFUNCTION("""COMPUTED_VALUE"""),1.0)</f>
        <v>1</v>
      </c>
      <c r="O3246" s="82">
        <f>IFERROR(__xludf.DUMMYFUNCTION("""COMPUTED_VALUE"""),395.1066666666666)</f>
        <v>395.1066667</v>
      </c>
      <c r="P3246" s="82">
        <f>IFERROR(__xludf.DUMMYFUNCTION("""COMPUTED_VALUE"""),1.3066666666666666)</f>
        <v>1.306666667</v>
      </c>
      <c r="Q3246" s="82">
        <f>IFERROR(__xludf.DUMMYFUNCTION("""COMPUTED_VALUE"""),0.84)</f>
        <v>0.84</v>
      </c>
      <c r="R3246" s="82">
        <f>IFERROR(__xludf.DUMMYFUNCTION("""COMPUTED_VALUE"""),0.9333333333333335)</f>
        <v>0.9333333333</v>
      </c>
      <c r="S3246" s="82">
        <f>IFERROR(__xludf.DUMMYFUNCTION("""COMPUTED_VALUE"""),2.9199999999999995)</f>
        <v>2.92</v>
      </c>
      <c r="T3246" s="82">
        <f>IFERROR(__xludf.DUMMYFUNCTION("""COMPUTED_VALUE"""),347.07942681998526)</f>
        <v>347.0794268</v>
      </c>
      <c r="U3246" s="82">
        <f>IFERROR(__xludf.DUMMYFUNCTION("""COMPUTED_VALUE"""),0.9461623634268155)</f>
        <v>0.9461623634</v>
      </c>
      <c r="V3246" s="82">
        <f>IFERROR(__xludf.DUMMYFUNCTION("""COMPUTED_VALUE"""),0.6342728461839899)</f>
        <v>0.6342728462</v>
      </c>
      <c r="W3246" s="82">
        <f>IFERROR(__xludf.DUMMYFUNCTION("""COMPUTED_VALUE"""),1.0369956303805206)</f>
        <v>1.03699563</v>
      </c>
      <c r="X3246" s="82">
        <f>IFERROR(__xludf.DUMMYFUNCTION("""COMPUTED_VALUE"""),2.4903233012931856)</f>
        <v>2.490323301</v>
      </c>
      <c r="Y3246" s="82">
        <f>IFERROR(__xludf.DUMMYFUNCTION("""COMPUTED_VALUE"""),323.26675199556774)</f>
        <v>323.266752</v>
      </c>
      <c r="Z3246" s="82">
        <f>IFERROR(__xludf.DUMMYFUNCTION("""COMPUTED_VALUE"""),0.7655829102555242)</f>
        <v>0.7655829103</v>
      </c>
      <c r="AA3246" s="82">
        <f>IFERROR(__xludf.DUMMYFUNCTION("""COMPUTED_VALUE"""),0.5154242790402219)</f>
        <v>0.515424279</v>
      </c>
      <c r="AB3246" s="82">
        <f>IFERROR(__xludf.DUMMYFUNCTION("""COMPUTED_VALUE"""),1.1441882345540464)</f>
        <v>1.144188235</v>
      </c>
      <c r="AC3246" s="82">
        <f>IFERROR(__xludf.DUMMYFUNCTION("""COMPUTED_VALUE"""),2.1900629130236724)</f>
        <v>2.190062913</v>
      </c>
      <c r="AD3246" s="82">
        <f>IFERROR(__xludf.DUMMYFUNCTION("""COMPUTED_VALUE"""),0.6579086735245696)</f>
        <v>0.6579086735</v>
      </c>
      <c r="AE3246" s="82">
        <f>IFERROR(__xludf.DUMMYFUNCTION("""COMPUTED_VALUE"""),0.47022993222229176)</f>
        <v>0.4702299322</v>
      </c>
      <c r="AF3246" s="82">
        <f>IFERROR(__xludf.DUMMYFUNCTION("""COMPUTED_VALUE"""),0.5432417745655901)</f>
        <v>0.5432417746</v>
      </c>
      <c r="AG3246" s="82">
        <f>IFERROR(__xludf.DUMMYFUNCTION("""COMPUTED_VALUE"""),0.7691042202885304)</f>
        <v>0.7691042203</v>
      </c>
      <c r="AH3246" s="82">
        <f>IFERROR(__xludf.DUMMYFUNCTION("""COMPUTED_VALUE"""),0.4566078874051008)</f>
        <v>0.4566078874</v>
      </c>
      <c r="AI3246" s="82">
        <f>IFERROR(__xludf.DUMMYFUNCTION("""COMPUTED_VALUE"""),1.1383753577292584)</f>
        <v>1.138375358</v>
      </c>
      <c r="AJ3246" s="82">
        <f>IFERROR(__xludf.DUMMYFUNCTION("""COMPUTED_VALUE"""),1.3810173783854336)</f>
        <v>1.381017378</v>
      </c>
      <c r="AK3246" s="82">
        <f>IFERROR(__xludf.DUMMYFUNCTION("""COMPUTED_VALUE"""),1.3243511921623912)</f>
        <v>1.324351192</v>
      </c>
      <c r="AL3246" s="82">
        <f>IFERROR(__xludf.DUMMYFUNCTION("""COMPUTED_VALUE"""),0.9000359364974868)</f>
        <v>0.9000359365</v>
      </c>
      <c r="AM3246" s="82">
        <f>IFERROR(__xludf.DUMMYFUNCTION("""COMPUTED_VALUE"""),1.172538520795147)</f>
        <v>1.172538521</v>
      </c>
      <c r="AN3246" s="82">
        <f>IFERROR(__xludf.DUMMYFUNCTION("""COMPUTED_VALUE"""),0.6687571215640028)</f>
        <v>0.6687571216</v>
      </c>
      <c r="AO3246" s="82">
        <f>IFERROR(__xludf.DUMMYFUNCTION("""COMPUTED_VALUE"""),0.44838374564256195)</f>
        <v>0.4483837456</v>
      </c>
      <c r="AP3246" s="82">
        <f>IFERROR(__xludf.DUMMYFUNCTION("""COMPUTED_VALUE"""),0.5203494201177584)</f>
        <v>0.5203494201</v>
      </c>
      <c r="AQ3246" s="82">
        <f>IFERROR(__xludf.DUMMYFUNCTION("""COMPUTED_VALUE"""),0.8402609421014876)</f>
        <v>0.8402609421</v>
      </c>
      <c r="AR3246" s="82">
        <f>IFERROR(__xludf.DUMMYFUNCTION("""COMPUTED_VALUE"""),0.45397125211651923)</f>
        <v>0.4539712521</v>
      </c>
      <c r="AS3246" s="82">
        <f>IFERROR(__xludf.DUMMYFUNCTION("""COMPUTED_VALUE"""),39.0)</f>
        <v>39</v>
      </c>
      <c r="AT3246" s="82">
        <f>IFERROR(__xludf.DUMMYFUNCTION("""COMPUTED_VALUE"""),0.182224762623711)</f>
        <v>0.1822247626</v>
      </c>
      <c r="AU3246" s="82">
        <f>IFERROR(__xludf.DUMMYFUNCTION("""COMPUTED_VALUE"""),0.9154596823576313)</f>
        <v>0.9154596824</v>
      </c>
      <c r="AV3246" s="82">
        <f>IFERROR(__xludf.DUMMYFUNCTION("""COMPUTED_VALUE"""),8.589711833224705)</f>
        <v>8.589711833</v>
      </c>
      <c r="AW3246" s="82">
        <f t="shared" si="1"/>
        <v>-20.48372136</v>
      </c>
      <c r="AX3246" s="83">
        <f t="array" ref="AX3246">IFERROR(DGET('SBV Import'!A:G,"SBV",{"RSC ID","Tier";B3246,A3246}))</f>
        <v>0.981090318</v>
      </c>
      <c r="AY3246" s="82">
        <f t="shared" si="2"/>
        <v>-40.07417904</v>
      </c>
      <c r="AZ3246" s="82">
        <v>19.59045768256353</v>
      </c>
      <c r="BA3246" s="84">
        <v>3200.0</v>
      </c>
      <c r="BB3246" s="84" t="b">
        <f>IFERROR(__xludf.DUMMYFUNCTION("iferror(if(A3246="""",,E3246&gt;=FILTER(Constants!$F$2:$F$10,Constants!$A$2:$A$10=A3246)))"),TRUE)</f>
        <v>1</v>
      </c>
    </row>
    <row r="3247">
      <c r="A3247" s="89"/>
      <c r="B3247" s="87"/>
      <c r="C3247" s="73"/>
      <c r="D3247" s="73"/>
      <c r="E3247" s="82"/>
      <c r="F3247" s="82"/>
      <c r="G3247" s="86"/>
      <c r="H3247" s="86"/>
      <c r="I3247" s="86"/>
      <c r="J3247" s="82"/>
      <c r="K3247" s="82"/>
      <c r="L3247" s="82"/>
      <c r="M3247" s="82"/>
      <c r="N3247" s="82"/>
      <c r="O3247" s="82"/>
      <c r="P3247" s="82"/>
      <c r="Q3247" s="82"/>
      <c r="R3247" s="82"/>
      <c r="S3247" s="82"/>
      <c r="T3247" s="82"/>
      <c r="U3247" s="82"/>
      <c r="V3247" s="82"/>
      <c r="W3247" s="82"/>
      <c r="X3247" s="82"/>
      <c r="Y3247" s="82"/>
      <c r="Z3247" s="82"/>
      <c r="AA3247" s="82"/>
      <c r="AB3247" s="82"/>
      <c r="AC3247" s="82"/>
      <c r="AD3247" s="82"/>
      <c r="AE3247" s="82"/>
      <c r="AF3247" s="82"/>
      <c r="AG3247" s="82"/>
      <c r="AH3247" s="82"/>
      <c r="AI3247" s="82"/>
      <c r="AJ3247" s="82"/>
      <c r="AK3247" s="82"/>
      <c r="AL3247" s="82"/>
      <c r="AM3247" s="82"/>
      <c r="AN3247" s="82">
        <f>IFERROR(__xludf.DUMMYFUNCTION("""COMPUTED_VALUE"""),0.0)</f>
        <v>0</v>
      </c>
      <c r="AO3247" s="82">
        <f>IFERROR(__xludf.DUMMYFUNCTION("""COMPUTED_VALUE"""),0.0)</f>
        <v>0</v>
      </c>
      <c r="AP3247" s="82">
        <f>IFERROR(__xludf.DUMMYFUNCTION("""COMPUTED_VALUE"""),0.0)</f>
        <v>0</v>
      </c>
      <c r="AQ3247" s="82">
        <f>IFERROR(__xludf.DUMMYFUNCTION("""COMPUTED_VALUE"""),0.0)</f>
        <v>0</v>
      </c>
      <c r="AR3247" s="82">
        <f>IFERROR(__xludf.DUMMYFUNCTION("""COMPUTED_VALUE"""),0.0)</f>
        <v>0</v>
      </c>
      <c r="AS3247" s="82"/>
      <c r="AT3247" s="82">
        <f>IFERROR(__xludf.DUMMYFUNCTION("""COMPUTED_VALUE"""),0.0)</f>
        <v>0</v>
      </c>
      <c r="AU3247" s="82"/>
      <c r="AV3247" s="82"/>
      <c r="AW3247" s="82" t="str">
        <f t="shared" si="1"/>
        <v/>
      </c>
      <c r="AX3247" s="83" t="str">
        <f t="array" ref="AX3247">IFERROR(DGET('SBV Import'!A:G,"SBV",{"RSC ID","Tier";B3247,A3247}))</f>
        <v/>
      </c>
      <c r="AY3247" s="82" t="str">
        <f t="shared" si="2"/>
        <v/>
      </c>
      <c r="AZ3247" s="82"/>
      <c r="BA3247" s="84" t="s">
        <v>152</v>
      </c>
      <c r="BB3247" s="84" t="str">
        <f>IFERROR(__xludf.DUMMYFUNCTION("iferror(if(A3247="""",,E3247&gt;=FILTER(Constants!$F$2:$F$10,Constants!$A$2:$A$10=A3247)))"),"")</f>
        <v/>
      </c>
    </row>
    <row r="3248">
      <c r="A3248" s="89"/>
      <c r="B3248" s="87"/>
      <c r="C3248" s="73"/>
      <c r="D3248" s="73"/>
      <c r="E3248" s="82"/>
      <c r="F3248" s="82"/>
      <c r="G3248" s="86"/>
      <c r="H3248" s="86"/>
      <c r="I3248" s="86"/>
      <c r="J3248" s="82"/>
      <c r="K3248" s="82"/>
      <c r="L3248" s="82"/>
      <c r="M3248" s="82"/>
      <c r="N3248" s="82"/>
      <c r="O3248" s="82"/>
      <c r="P3248" s="82"/>
      <c r="Q3248" s="82"/>
      <c r="R3248" s="82"/>
      <c r="S3248" s="82"/>
      <c r="T3248" s="82"/>
      <c r="U3248" s="82"/>
      <c r="V3248" s="82"/>
      <c r="W3248" s="82"/>
      <c r="X3248" s="82"/>
      <c r="Y3248" s="82"/>
      <c r="Z3248" s="82"/>
      <c r="AA3248" s="82"/>
      <c r="AB3248" s="82"/>
      <c r="AC3248" s="82"/>
      <c r="AD3248" s="82"/>
      <c r="AE3248" s="82"/>
      <c r="AF3248" s="82"/>
      <c r="AG3248" s="82"/>
      <c r="AH3248" s="82"/>
      <c r="AI3248" s="82"/>
      <c r="AJ3248" s="82"/>
      <c r="AK3248" s="82"/>
      <c r="AL3248" s="82"/>
      <c r="AM3248" s="82"/>
      <c r="AN3248" s="82">
        <f>IFERROR(__xludf.DUMMYFUNCTION("""COMPUTED_VALUE"""),0.0)</f>
        <v>0</v>
      </c>
      <c r="AO3248" s="82">
        <f>IFERROR(__xludf.DUMMYFUNCTION("""COMPUTED_VALUE"""),0.0)</f>
        <v>0</v>
      </c>
      <c r="AP3248" s="82">
        <f>IFERROR(__xludf.DUMMYFUNCTION("""COMPUTED_VALUE"""),0.0)</f>
        <v>0</v>
      </c>
      <c r="AQ3248" s="82">
        <f>IFERROR(__xludf.DUMMYFUNCTION("""COMPUTED_VALUE"""),0.0)</f>
        <v>0</v>
      </c>
      <c r="AR3248" s="82">
        <f>IFERROR(__xludf.DUMMYFUNCTION("""COMPUTED_VALUE"""),0.0)</f>
        <v>0</v>
      </c>
      <c r="AS3248" s="82"/>
      <c r="AT3248" s="82">
        <f>IFERROR(__xludf.DUMMYFUNCTION("""COMPUTED_VALUE"""),0.0)</f>
        <v>0</v>
      </c>
      <c r="AU3248" s="82"/>
      <c r="AV3248" s="82"/>
      <c r="AW3248" s="82" t="str">
        <f t="shared" si="1"/>
        <v/>
      </c>
      <c r="AX3248" s="83" t="str">
        <f t="array" ref="AX3248">IFERROR(DGET('SBV Import'!A:G,"SBV",{"RSC ID","Tier";B3248,A3248}))</f>
        <v/>
      </c>
      <c r="AY3248" s="82" t="str">
        <f t="shared" si="2"/>
        <v/>
      </c>
      <c r="AZ3248" s="82"/>
      <c r="BA3248" s="84" t="s">
        <v>152</v>
      </c>
      <c r="BB3248" s="84" t="str">
        <f>IFERROR(__xludf.DUMMYFUNCTION("iferror(if(A3248="""",,E3248&gt;=FILTER(Constants!$F$2:$F$10,Constants!$A$2:$A$10=A3248)))"),"")</f>
        <v/>
      </c>
    </row>
    <row r="3249">
      <c r="A3249" s="89"/>
      <c r="B3249" s="87"/>
      <c r="C3249" s="73"/>
      <c r="D3249" s="73"/>
      <c r="E3249" s="82"/>
      <c r="F3249" s="82"/>
      <c r="G3249" s="86"/>
      <c r="H3249" s="86"/>
      <c r="I3249" s="86"/>
      <c r="J3249" s="82"/>
      <c r="K3249" s="82"/>
      <c r="L3249" s="82"/>
      <c r="M3249" s="82"/>
      <c r="N3249" s="82"/>
      <c r="O3249" s="82"/>
      <c r="P3249" s="82"/>
      <c r="Q3249" s="82"/>
      <c r="R3249" s="82"/>
      <c r="S3249" s="82"/>
      <c r="T3249" s="82"/>
      <c r="U3249" s="82"/>
      <c r="V3249" s="82"/>
      <c r="W3249" s="82"/>
      <c r="X3249" s="82"/>
      <c r="Y3249" s="82"/>
      <c r="Z3249" s="82"/>
      <c r="AA3249" s="82"/>
      <c r="AB3249" s="82"/>
      <c r="AC3249" s="82"/>
      <c r="AD3249" s="82"/>
      <c r="AE3249" s="82"/>
      <c r="AF3249" s="82"/>
      <c r="AG3249" s="82"/>
      <c r="AH3249" s="82"/>
      <c r="AI3249" s="82"/>
      <c r="AJ3249" s="82"/>
      <c r="AK3249" s="82"/>
      <c r="AL3249" s="82"/>
      <c r="AM3249" s="82"/>
      <c r="AN3249" s="82">
        <f>IFERROR(__xludf.DUMMYFUNCTION("""COMPUTED_VALUE"""),0.0)</f>
        <v>0</v>
      </c>
      <c r="AO3249" s="82">
        <f>IFERROR(__xludf.DUMMYFUNCTION("""COMPUTED_VALUE"""),0.0)</f>
        <v>0</v>
      </c>
      <c r="AP3249" s="82">
        <f>IFERROR(__xludf.DUMMYFUNCTION("""COMPUTED_VALUE"""),0.0)</f>
        <v>0</v>
      </c>
      <c r="AQ3249" s="82">
        <f>IFERROR(__xludf.DUMMYFUNCTION("""COMPUTED_VALUE"""),0.0)</f>
        <v>0</v>
      </c>
      <c r="AR3249" s="82">
        <f>IFERROR(__xludf.DUMMYFUNCTION("""COMPUTED_VALUE"""),0.0)</f>
        <v>0</v>
      </c>
      <c r="AS3249" s="82"/>
      <c r="AT3249" s="82">
        <f>IFERROR(__xludf.DUMMYFUNCTION("""COMPUTED_VALUE"""),0.0)</f>
        <v>0</v>
      </c>
      <c r="AU3249" s="82"/>
      <c r="AV3249" s="82"/>
      <c r="AW3249" s="82" t="str">
        <f t="shared" si="1"/>
        <v/>
      </c>
      <c r="AX3249" s="83" t="str">
        <f t="array" ref="AX3249">IFERROR(DGET('SBV Import'!A:G,"SBV",{"RSC ID","Tier";B3249,A3249}))</f>
        <v/>
      </c>
      <c r="AY3249" s="82" t="str">
        <f t="shared" si="2"/>
        <v/>
      </c>
      <c r="AZ3249" s="82"/>
      <c r="BA3249" s="84" t="s">
        <v>152</v>
      </c>
      <c r="BB3249" s="84" t="str">
        <f>IFERROR(__xludf.DUMMYFUNCTION("iferror(if(A3249="""",,E3249&gt;=FILTER(Constants!$F$2:$F$10,Constants!$A$2:$A$10=A3249)))"),"")</f>
        <v/>
      </c>
    </row>
    <row r="3250">
      <c r="A3250" s="89"/>
      <c r="B3250" s="87"/>
      <c r="C3250" s="73"/>
      <c r="D3250" s="73"/>
      <c r="E3250" s="82"/>
      <c r="F3250" s="82"/>
      <c r="G3250" s="86"/>
      <c r="H3250" s="86"/>
      <c r="I3250" s="86"/>
      <c r="J3250" s="82"/>
      <c r="K3250" s="82"/>
      <c r="L3250" s="82"/>
      <c r="M3250" s="82"/>
      <c r="N3250" s="82"/>
      <c r="O3250" s="82"/>
      <c r="P3250" s="82"/>
      <c r="Q3250" s="82"/>
      <c r="R3250" s="82"/>
      <c r="S3250" s="82"/>
      <c r="T3250" s="82"/>
      <c r="U3250" s="82"/>
      <c r="V3250" s="82"/>
      <c r="W3250" s="82"/>
      <c r="X3250" s="82"/>
      <c r="Y3250" s="82"/>
      <c r="Z3250" s="82"/>
      <c r="AA3250" s="82"/>
      <c r="AB3250" s="82"/>
      <c r="AC3250" s="82"/>
      <c r="AD3250" s="82"/>
      <c r="AE3250" s="82"/>
      <c r="AF3250" s="82"/>
      <c r="AG3250" s="82"/>
      <c r="AH3250" s="82"/>
      <c r="AI3250" s="82"/>
      <c r="AJ3250" s="82"/>
      <c r="AK3250" s="82"/>
      <c r="AL3250" s="82"/>
      <c r="AM3250" s="82"/>
      <c r="AN3250" s="82">
        <f>IFERROR(__xludf.DUMMYFUNCTION("""COMPUTED_VALUE"""),0.0)</f>
        <v>0</v>
      </c>
      <c r="AO3250" s="82">
        <f>IFERROR(__xludf.DUMMYFUNCTION("""COMPUTED_VALUE"""),0.0)</f>
        <v>0</v>
      </c>
      <c r="AP3250" s="82">
        <f>IFERROR(__xludf.DUMMYFUNCTION("""COMPUTED_VALUE"""),0.0)</f>
        <v>0</v>
      </c>
      <c r="AQ3250" s="82">
        <f>IFERROR(__xludf.DUMMYFUNCTION("""COMPUTED_VALUE"""),0.0)</f>
        <v>0</v>
      </c>
      <c r="AR3250" s="82">
        <f>IFERROR(__xludf.DUMMYFUNCTION("""COMPUTED_VALUE"""),0.0)</f>
        <v>0</v>
      </c>
      <c r="AS3250" s="82"/>
      <c r="AT3250" s="82">
        <f>IFERROR(__xludf.DUMMYFUNCTION("""COMPUTED_VALUE"""),0.0)</f>
        <v>0</v>
      </c>
      <c r="AU3250" s="82"/>
      <c r="AV3250" s="82"/>
      <c r="AW3250" s="82" t="str">
        <f t="shared" si="1"/>
        <v/>
      </c>
      <c r="AX3250" s="83" t="str">
        <f t="array" ref="AX3250">IFERROR(DGET('SBV Import'!A:G,"SBV",{"RSC ID","Tier";B3250,A3250}))</f>
        <v/>
      </c>
      <c r="AY3250" s="82" t="str">
        <f t="shared" si="2"/>
        <v/>
      </c>
      <c r="AZ3250" s="82"/>
      <c r="BA3250" s="84" t="s">
        <v>152</v>
      </c>
      <c r="BB3250" s="84" t="str">
        <f>IFERROR(__xludf.DUMMYFUNCTION("iferror(if(A3250="""",,E3250&gt;=FILTER(Constants!$F$2:$F$10,Constants!$A$2:$A$10=A3250)))"),"")</f>
        <v/>
      </c>
    </row>
    <row r="3251">
      <c r="A3251" s="89"/>
      <c r="B3251" s="87"/>
      <c r="C3251" s="73"/>
      <c r="D3251" s="73"/>
      <c r="E3251" s="82"/>
      <c r="F3251" s="82"/>
      <c r="G3251" s="86"/>
      <c r="H3251" s="86"/>
      <c r="I3251" s="86"/>
      <c r="J3251" s="82"/>
      <c r="K3251" s="82"/>
      <c r="L3251" s="82"/>
      <c r="M3251" s="82"/>
      <c r="N3251" s="82"/>
      <c r="O3251" s="82"/>
      <c r="P3251" s="82"/>
      <c r="Q3251" s="82"/>
      <c r="R3251" s="82"/>
      <c r="S3251" s="82"/>
      <c r="T3251" s="82"/>
      <c r="U3251" s="82"/>
      <c r="V3251" s="82"/>
      <c r="W3251" s="82"/>
      <c r="X3251" s="82"/>
      <c r="Y3251" s="82"/>
      <c r="Z3251" s="82"/>
      <c r="AA3251" s="82"/>
      <c r="AB3251" s="82"/>
      <c r="AC3251" s="82"/>
      <c r="AD3251" s="82"/>
      <c r="AE3251" s="82"/>
      <c r="AF3251" s="82"/>
      <c r="AG3251" s="82"/>
      <c r="AH3251" s="82"/>
      <c r="AI3251" s="82"/>
      <c r="AJ3251" s="82"/>
      <c r="AK3251" s="82"/>
      <c r="AL3251" s="82"/>
      <c r="AM3251" s="82"/>
      <c r="AN3251" s="82">
        <f>IFERROR(__xludf.DUMMYFUNCTION("""COMPUTED_VALUE"""),0.0)</f>
        <v>0</v>
      </c>
      <c r="AO3251" s="82">
        <f>IFERROR(__xludf.DUMMYFUNCTION("""COMPUTED_VALUE"""),0.0)</f>
        <v>0</v>
      </c>
      <c r="AP3251" s="82">
        <f>IFERROR(__xludf.DUMMYFUNCTION("""COMPUTED_VALUE"""),0.0)</f>
        <v>0</v>
      </c>
      <c r="AQ3251" s="82">
        <f>IFERROR(__xludf.DUMMYFUNCTION("""COMPUTED_VALUE"""),0.0)</f>
        <v>0</v>
      </c>
      <c r="AR3251" s="82">
        <f>IFERROR(__xludf.DUMMYFUNCTION("""COMPUTED_VALUE"""),0.0)</f>
        <v>0</v>
      </c>
      <c r="AS3251" s="82"/>
      <c r="AT3251" s="82">
        <f>IFERROR(__xludf.DUMMYFUNCTION("""COMPUTED_VALUE"""),0.0)</f>
        <v>0</v>
      </c>
      <c r="AU3251" s="82"/>
      <c r="AV3251" s="82"/>
      <c r="AW3251" s="82" t="str">
        <f t="shared" si="1"/>
        <v/>
      </c>
      <c r="AX3251" s="83" t="str">
        <f t="array" ref="AX3251">IFERROR(DGET('SBV Import'!A:G,"SBV",{"RSC ID","Tier";B3251,A3251}))</f>
        <v/>
      </c>
      <c r="AY3251" s="82" t="str">
        <f t="shared" si="2"/>
        <v/>
      </c>
      <c r="AZ3251" s="82"/>
      <c r="BA3251" s="84" t="s">
        <v>152</v>
      </c>
      <c r="BB3251" s="84" t="str">
        <f>IFERROR(__xludf.DUMMYFUNCTION("iferror(if(A3251="""",,E3251&gt;=FILTER(Constants!$F$2:$F$10,Constants!$A$2:$A$10=A3251)))"),"")</f>
        <v/>
      </c>
    </row>
    <row r="3252">
      <c r="A3252" s="89"/>
      <c r="B3252" s="87"/>
      <c r="C3252" s="73"/>
      <c r="D3252" s="73"/>
      <c r="E3252" s="82"/>
      <c r="F3252" s="82"/>
      <c r="G3252" s="86"/>
      <c r="H3252" s="86"/>
      <c r="I3252" s="86"/>
      <c r="J3252" s="82"/>
      <c r="K3252" s="82"/>
      <c r="L3252" s="82"/>
      <c r="M3252" s="82"/>
      <c r="N3252" s="82"/>
      <c r="O3252" s="82"/>
      <c r="P3252" s="82"/>
      <c r="Q3252" s="82"/>
      <c r="R3252" s="82"/>
      <c r="S3252" s="82"/>
      <c r="T3252" s="82"/>
      <c r="U3252" s="82"/>
      <c r="V3252" s="82"/>
      <c r="W3252" s="82"/>
      <c r="X3252" s="82"/>
      <c r="Y3252" s="82"/>
      <c r="Z3252" s="82"/>
      <c r="AA3252" s="82"/>
      <c r="AB3252" s="82"/>
      <c r="AC3252" s="82"/>
      <c r="AD3252" s="82"/>
      <c r="AE3252" s="82"/>
      <c r="AF3252" s="82"/>
      <c r="AG3252" s="82"/>
      <c r="AH3252" s="82"/>
      <c r="AI3252" s="82"/>
      <c r="AJ3252" s="82"/>
      <c r="AK3252" s="82"/>
      <c r="AL3252" s="82"/>
      <c r="AM3252" s="82"/>
      <c r="AN3252" s="82">
        <f>IFERROR(__xludf.DUMMYFUNCTION("""COMPUTED_VALUE"""),0.0)</f>
        <v>0</v>
      </c>
      <c r="AO3252" s="82">
        <f>IFERROR(__xludf.DUMMYFUNCTION("""COMPUTED_VALUE"""),0.0)</f>
        <v>0</v>
      </c>
      <c r="AP3252" s="82">
        <f>IFERROR(__xludf.DUMMYFUNCTION("""COMPUTED_VALUE"""),0.0)</f>
        <v>0</v>
      </c>
      <c r="AQ3252" s="82">
        <f>IFERROR(__xludf.DUMMYFUNCTION("""COMPUTED_VALUE"""),0.0)</f>
        <v>0</v>
      </c>
      <c r="AR3252" s="82">
        <f>IFERROR(__xludf.DUMMYFUNCTION("""COMPUTED_VALUE"""),0.0)</f>
        <v>0</v>
      </c>
      <c r="AS3252" s="82"/>
      <c r="AT3252" s="82">
        <f>IFERROR(__xludf.DUMMYFUNCTION("""COMPUTED_VALUE"""),0.0)</f>
        <v>0</v>
      </c>
      <c r="AU3252" s="82"/>
      <c r="AV3252" s="82"/>
      <c r="AW3252" s="82" t="str">
        <f t="shared" si="1"/>
        <v/>
      </c>
      <c r="AX3252" s="83" t="str">
        <f t="array" ref="AX3252">IFERROR(DGET('SBV Import'!A:G,"SBV",{"RSC ID","Tier";B3252,A3252}))</f>
        <v/>
      </c>
      <c r="AY3252" s="82" t="str">
        <f t="shared" si="2"/>
        <v/>
      </c>
      <c r="AZ3252" s="82"/>
      <c r="BA3252" s="84" t="s">
        <v>152</v>
      </c>
      <c r="BB3252" s="84" t="str">
        <f>IFERROR(__xludf.DUMMYFUNCTION("iferror(if(A3252="""",,E3252&gt;=FILTER(Constants!$F$2:$F$10,Constants!$A$2:$A$10=A3252)))"),"")</f>
        <v/>
      </c>
    </row>
    <row r="3253">
      <c r="A3253" s="89"/>
      <c r="B3253" s="87"/>
      <c r="C3253" s="73"/>
      <c r="D3253" s="73"/>
      <c r="E3253" s="82"/>
      <c r="F3253" s="82"/>
      <c r="G3253" s="86"/>
      <c r="H3253" s="86"/>
      <c r="I3253" s="86"/>
      <c r="J3253" s="82"/>
      <c r="K3253" s="82"/>
      <c r="L3253" s="82"/>
      <c r="M3253" s="82"/>
      <c r="N3253" s="82"/>
      <c r="O3253" s="82"/>
      <c r="P3253" s="82"/>
      <c r="Q3253" s="82"/>
      <c r="R3253" s="82"/>
      <c r="S3253" s="82"/>
      <c r="T3253" s="82"/>
      <c r="U3253" s="82"/>
      <c r="V3253" s="82"/>
      <c r="W3253" s="82"/>
      <c r="X3253" s="82"/>
      <c r="Y3253" s="82"/>
      <c r="Z3253" s="82"/>
      <c r="AA3253" s="82"/>
      <c r="AB3253" s="82"/>
      <c r="AC3253" s="82"/>
      <c r="AD3253" s="82"/>
      <c r="AE3253" s="82"/>
      <c r="AF3253" s="82"/>
      <c r="AG3253" s="82"/>
      <c r="AH3253" s="82"/>
      <c r="AI3253" s="82"/>
      <c r="AJ3253" s="82"/>
      <c r="AK3253" s="82"/>
      <c r="AL3253" s="82"/>
      <c r="AM3253" s="82"/>
      <c r="AN3253" s="82">
        <f>IFERROR(__xludf.DUMMYFUNCTION("""COMPUTED_VALUE"""),0.0)</f>
        <v>0</v>
      </c>
      <c r="AO3253" s="82">
        <f>IFERROR(__xludf.DUMMYFUNCTION("""COMPUTED_VALUE"""),0.0)</f>
        <v>0</v>
      </c>
      <c r="AP3253" s="82">
        <f>IFERROR(__xludf.DUMMYFUNCTION("""COMPUTED_VALUE"""),0.0)</f>
        <v>0</v>
      </c>
      <c r="AQ3253" s="82">
        <f>IFERROR(__xludf.DUMMYFUNCTION("""COMPUTED_VALUE"""),0.0)</f>
        <v>0</v>
      </c>
      <c r="AR3253" s="82">
        <f>IFERROR(__xludf.DUMMYFUNCTION("""COMPUTED_VALUE"""),0.0)</f>
        <v>0</v>
      </c>
      <c r="AS3253" s="82"/>
      <c r="AT3253" s="82">
        <f>IFERROR(__xludf.DUMMYFUNCTION("""COMPUTED_VALUE"""),0.0)</f>
        <v>0</v>
      </c>
      <c r="AU3253" s="82"/>
      <c r="AV3253" s="82"/>
      <c r="AW3253" s="82" t="str">
        <f t="shared" si="1"/>
        <v/>
      </c>
      <c r="AX3253" s="83" t="str">
        <f t="array" ref="AX3253">IFERROR(DGET('SBV Import'!A:G,"SBV",{"RSC ID","Tier";B3253,A3253}))</f>
        <v/>
      </c>
      <c r="AY3253" s="82" t="str">
        <f t="shared" si="2"/>
        <v/>
      </c>
      <c r="AZ3253" s="82"/>
      <c r="BA3253" s="84" t="s">
        <v>152</v>
      </c>
      <c r="BB3253" s="84" t="str">
        <f>IFERROR(__xludf.DUMMYFUNCTION("iferror(if(A3253="""",,E3253&gt;=FILTER(Constants!$F$2:$F$10,Constants!$A$2:$A$10=A3253)))"),"")</f>
        <v/>
      </c>
    </row>
    <row r="3254">
      <c r="A3254" s="89"/>
      <c r="B3254" s="87"/>
      <c r="C3254" s="73"/>
      <c r="D3254" s="73"/>
      <c r="E3254" s="82"/>
      <c r="F3254" s="82"/>
      <c r="G3254" s="86"/>
      <c r="H3254" s="86"/>
      <c r="I3254" s="86"/>
      <c r="J3254" s="82"/>
      <c r="K3254" s="82"/>
      <c r="L3254" s="82"/>
      <c r="M3254" s="82"/>
      <c r="N3254" s="82"/>
      <c r="O3254" s="82"/>
      <c r="P3254" s="82"/>
      <c r="Q3254" s="82"/>
      <c r="R3254" s="82"/>
      <c r="S3254" s="82"/>
      <c r="T3254" s="82"/>
      <c r="U3254" s="82"/>
      <c r="V3254" s="82"/>
      <c r="W3254" s="82"/>
      <c r="X3254" s="82"/>
      <c r="Y3254" s="82"/>
      <c r="Z3254" s="82"/>
      <c r="AA3254" s="82"/>
      <c r="AB3254" s="82"/>
      <c r="AC3254" s="82"/>
      <c r="AD3254" s="82"/>
      <c r="AE3254" s="82"/>
      <c r="AF3254" s="82"/>
      <c r="AG3254" s="82"/>
      <c r="AH3254" s="82"/>
      <c r="AI3254" s="82"/>
      <c r="AJ3254" s="82"/>
      <c r="AK3254" s="82"/>
      <c r="AL3254" s="82"/>
      <c r="AM3254" s="82"/>
      <c r="AN3254" s="82">
        <f>IFERROR(__xludf.DUMMYFUNCTION("""COMPUTED_VALUE"""),0.0)</f>
        <v>0</v>
      </c>
      <c r="AO3254" s="82">
        <f>IFERROR(__xludf.DUMMYFUNCTION("""COMPUTED_VALUE"""),0.0)</f>
        <v>0</v>
      </c>
      <c r="AP3254" s="82">
        <f>IFERROR(__xludf.DUMMYFUNCTION("""COMPUTED_VALUE"""),0.0)</f>
        <v>0</v>
      </c>
      <c r="AQ3254" s="82">
        <f>IFERROR(__xludf.DUMMYFUNCTION("""COMPUTED_VALUE"""),0.0)</f>
        <v>0</v>
      </c>
      <c r="AR3254" s="82">
        <f>IFERROR(__xludf.DUMMYFUNCTION("""COMPUTED_VALUE"""),0.0)</f>
        <v>0</v>
      </c>
      <c r="AS3254" s="82"/>
      <c r="AT3254" s="82">
        <f>IFERROR(__xludf.DUMMYFUNCTION("""COMPUTED_VALUE"""),0.0)</f>
        <v>0</v>
      </c>
      <c r="AU3254" s="82"/>
      <c r="AV3254" s="82"/>
      <c r="AW3254" s="82" t="str">
        <f t="shared" si="1"/>
        <v/>
      </c>
      <c r="AX3254" s="83" t="str">
        <f t="array" ref="AX3254">IFERROR(DGET('SBV Import'!A:G,"SBV",{"RSC ID","Tier";B3254,A3254}))</f>
        <v/>
      </c>
      <c r="AY3254" s="82" t="str">
        <f t="shared" si="2"/>
        <v/>
      </c>
      <c r="AZ3254" s="82"/>
      <c r="BA3254" s="84" t="s">
        <v>152</v>
      </c>
      <c r="BB3254" s="84" t="str">
        <f>IFERROR(__xludf.DUMMYFUNCTION("iferror(if(A3254="""",,E3254&gt;=FILTER(Constants!$F$2:$F$10,Constants!$A$2:$A$10=A3254)))"),"")</f>
        <v/>
      </c>
    </row>
    <row r="3255">
      <c r="A3255" s="89"/>
      <c r="B3255" s="87"/>
      <c r="C3255" s="73"/>
      <c r="D3255" s="73"/>
      <c r="E3255" s="82"/>
      <c r="F3255" s="82"/>
      <c r="G3255" s="86"/>
      <c r="H3255" s="86"/>
      <c r="I3255" s="86"/>
      <c r="J3255" s="82"/>
      <c r="K3255" s="82"/>
      <c r="L3255" s="82"/>
      <c r="M3255" s="82"/>
      <c r="N3255" s="82"/>
      <c r="O3255" s="82"/>
      <c r="P3255" s="82"/>
      <c r="Q3255" s="82"/>
      <c r="R3255" s="82"/>
      <c r="S3255" s="82"/>
      <c r="T3255" s="82"/>
      <c r="U3255" s="82"/>
      <c r="V3255" s="82"/>
      <c r="W3255" s="82"/>
      <c r="X3255" s="82"/>
      <c r="Y3255" s="82"/>
      <c r="Z3255" s="82"/>
      <c r="AA3255" s="82"/>
      <c r="AB3255" s="82"/>
      <c r="AC3255" s="82"/>
      <c r="AD3255" s="82"/>
      <c r="AE3255" s="82"/>
      <c r="AF3255" s="82"/>
      <c r="AG3255" s="82"/>
      <c r="AH3255" s="82"/>
      <c r="AI3255" s="82"/>
      <c r="AJ3255" s="82"/>
      <c r="AK3255" s="82"/>
      <c r="AL3255" s="82"/>
      <c r="AM3255" s="82"/>
      <c r="AN3255" s="82">
        <f>IFERROR(__xludf.DUMMYFUNCTION("""COMPUTED_VALUE"""),0.0)</f>
        <v>0</v>
      </c>
      <c r="AO3255" s="82">
        <f>IFERROR(__xludf.DUMMYFUNCTION("""COMPUTED_VALUE"""),0.0)</f>
        <v>0</v>
      </c>
      <c r="AP3255" s="82">
        <f>IFERROR(__xludf.DUMMYFUNCTION("""COMPUTED_VALUE"""),0.0)</f>
        <v>0</v>
      </c>
      <c r="AQ3255" s="82">
        <f>IFERROR(__xludf.DUMMYFUNCTION("""COMPUTED_VALUE"""),0.0)</f>
        <v>0</v>
      </c>
      <c r="AR3255" s="82">
        <f>IFERROR(__xludf.DUMMYFUNCTION("""COMPUTED_VALUE"""),0.0)</f>
        <v>0</v>
      </c>
      <c r="AS3255" s="82"/>
      <c r="AT3255" s="82">
        <f>IFERROR(__xludf.DUMMYFUNCTION("""COMPUTED_VALUE"""),0.0)</f>
        <v>0</v>
      </c>
      <c r="AU3255" s="82"/>
      <c r="AV3255" s="82"/>
      <c r="AW3255" s="82" t="str">
        <f t="shared" si="1"/>
        <v/>
      </c>
      <c r="AX3255" s="83" t="str">
        <f t="array" ref="AX3255">IFERROR(DGET('SBV Import'!A:G,"SBV",{"RSC ID","Tier";B3255,A3255}))</f>
        <v/>
      </c>
      <c r="AY3255" s="82" t="str">
        <f t="shared" si="2"/>
        <v/>
      </c>
      <c r="AZ3255" s="82"/>
      <c r="BA3255" s="84" t="s">
        <v>152</v>
      </c>
      <c r="BB3255" s="84" t="str">
        <f>IFERROR(__xludf.DUMMYFUNCTION("iferror(if(A3255="""",,E3255&gt;=FILTER(Constants!$F$2:$F$10,Constants!$A$2:$A$10=A3255)))"),"")</f>
        <v/>
      </c>
    </row>
    <row r="3256">
      <c r="A3256" s="89"/>
      <c r="B3256" s="87"/>
      <c r="C3256" s="73"/>
      <c r="D3256" s="73"/>
      <c r="E3256" s="82"/>
      <c r="F3256" s="82"/>
      <c r="G3256" s="86"/>
      <c r="H3256" s="86"/>
      <c r="I3256" s="86"/>
      <c r="J3256" s="82"/>
      <c r="K3256" s="82"/>
      <c r="L3256" s="82"/>
      <c r="M3256" s="82"/>
      <c r="N3256" s="82"/>
      <c r="O3256" s="82"/>
      <c r="P3256" s="82"/>
      <c r="Q3256" s="82"/>
      <c r="R3256" s="82"/>
      <c r="S3256" s="82"/>
      <c r="T3256" s="82"/>
      <c r="U3256" s="82"/>
      <c r="V3256" s="82"/>
      <c r="W3256" s="82"/>
      <c r="X3256" s="82"/>
      <c r="Y3256" s="82"/>
      <c r="Z3256" s="82"/>
      <c r="AA3256" s="82"/>
      <c r="AB3256" s="82"/>
      <c r="AC3256" s="82"/>
      <c r="AD3256" s="82"/>
      <c r="AE3256" s="82"/>
      <c r="AF3256" s="82"/>
      <c r="AG3256" s="82"/>
      <c r="AH3256" s="82"/>
      <c r="AI3256" s="82"/>
      <c r="AJ3256" s="82"/>
      <c r="AK3256" s="82"/>
      <c r="AL3256" s="82"/>
      <c r="AM3256" s="82"/>
      <c r="AN3256" s="82">
        <f>IFERROR(__xludf.DUMMYFUNCTION("""COMPUTED_VALUE"""),0.0)</f>
        <v>0</v>
      </c>
      <c r="AO3256" s="82">
        <f>IFERROR(__xludf.DUMMYFUNCTION("""COMPUTED_VALUE"""),0.0)</f>
        <v>0</v>
      </c>
      <c r="AP3256" s="82">
        <f>IFERROR(__xludf.DUMMYFUNCTION("""COMPUTED_VALUE"""),0.0)</f>
        <v>0</v>
      </c>
      <c r="AQ3256" s="82">
        <f>IFERROR(__xludf.DUMMYFUNCTION("""COMPUTED_VALUE"""),0.0)</f>
        <v>0</v>
      </c>
      <c r="AR3256" s="82">
        <f>IFERROR(__xludf.DUMMYFUNCTION("""COMPUTED_VALUE"""),0.0)</f>
        <v>0</v>
      </c>
      <c r="AS3256" s="82"/>
      <c r="AT3256" s="82">
        <f>IFERROR(__xludf.DUMMYFUNCTION("""COMPUTED_VALUE"""),0.0)</f>
        <v>0</v>
      </c>
      <c r="AU3256" s="82"/>
      <c r="AV3256" s="82"/>
      <c r="AW3256" s="82" t="str">
        <f t="shared" si="1"/>
        <v/>
      </c>
      <c r="AX3256" s="83" t="str">
        <f t="array" ref="AX3256">IFERROR(DGET('SBV Import'!A:G,"SBV",{"RSC ID","Tier";B3256,A3256}))</f>
        <v/>
      </c>
      <c r="AY3256" s="82" t="str">
        <f t="shared" si="2"/>
        <v/>
      </c>
      <c r="AZ3256" s="82"/>
      <c r="BA3256" s="84" t="s">
        <v>152</v>
      </c>
      <c r="BB3256" s="84" t="str">
        <f>IFERROR(__xludf.DUMMYFUNCTION("iferror(if(A3256="""",,E3256&gt;=FILTER(Constants!$F$2:$F$10,Constants!$A$2:$A$10=A3256)))"),"")</f>
        <v/>
      </c>
    </row>
    <row r="3257">
      <c r="A3257" s="89"/>
      <c r="B3257" s="87"/>
      <c r="C3257" s="73"/>
      <c r="D3257" s="73"/>
      <c r="E3257" s="82"/>
      <c r="F3257" s="82"/>
      <c r="G3257" s="86"/>
      <c r="H3257" s="86"/>
      <c r="I3257" s="86"/>
      <c r="J3257" s="82"/>
      <c r="K3257" s="82"/>
      <c r="L3257" s="82"/>
      <c r="M3257" s="82"/>
      <c r="N3257" s="82"/>
      <c r="O3257" s="82"/>
      <c r="P3257" s="82"/>
      <c r="Q3257" s="82"/>
      <c r="R3257" s="82"/>
      <c r="S3257" s="82"/>
      <c r="T3257" s="82"/>
      <c r="U3257" s="82"/>
      <c r="V3257" s="82"/>
      <c r="W3257" s="82"/>
      <c r="X3257" s="82"/>
      <c r="Y3257" s="82"/>
      <c r="Z3257" s="82"/>
      <c r="AA3257" s="82"/>
      <c r="AB3257" s="82"/>
      <c r="AC3257" s="82"/>
      <c r="AD3257" s="82"/>
      <c r="AE3257" s="82"/>
      <c r="AF3257" s="82"/>
      <c r="AG3257" s="82"/>
      <c r="AH3257" s="82"/>
      <c r="AI3257" s="82"/>
      <c r="AJ3257" s="82"/>
      <c r="AK3257" s="82"/>
      <c r="AL3257" s="82"/>
      <c r="AM3257" s="82"/>
      <c r="AN3257" s="82">
        <f>IFERROR(__xludf.DUMMYFUNCTION("""COMPUTED_VALUE"""),0.0)</f>
        <v>0</v>
      </c>
      <c r="AO3257" s="82">
        <f>IFERROR(__xludf.DUMMYFUNCTION("""COMPUTED_VALUE"""),0.0)</f>
        <v>0</v>
      </c>
      <c r="AP3257" s="82">
        <f>IFERROR(__xludf.DUMMYFUNCTION("""COMPUTED_VALUE"""),0.0)</f>
        <v>0</v>
      </c>
      <c r="AQ3257" s="82">
        <f>IFERROR(__xludf.DUMMYFUNCTION("""COMPUTED_VALUE"""),0.0)</f>
        <v>0</v>
      </c>
      <c r="AR3257" s="82">
        <f>IFERROR(__xludf.DUMMYFUNCTION("""COMPUTED_VALUE"""),0.0)</f>
        <v>0</v>
      </c>
      <c r="AS3257" s="82"/>
      <c r="AT3257" s="82">
        <f>IFERROR(__xludf.DUMMYFUNCTION("""COMPUTED_VALUE"""),0.0)</f>
        <v>0</v>
      </c>
      <c r="AU3257" s="82"/>
      <c r="AV3257" s="82"/>
      <c r="AW3257" s="82" t="str">
        <f t="shared" si="1"/>
        <v/>
      </c>
      <c r="AX3257" s="83" t="str">
        <f t="array" ref="AX3257">IFERROR(DGET('SBV Import'!A:G,"SBV",{"RSC ID","Tier";B3257,A3257}))</f>
        <v/>
      </c>
      <c r="AY3257" s="82" t="str">
        <f t="shared" si="2"/>
        <v/>
      </c>
      <c r="AZ3257" s="82"/>
      <c r="BA3257" s="84" t="s">
        <v>152</v>
      </c>
      <c r="BB3257" s="84" t="str">
        <f>IFERROR(__xludf.DUMMYFUNCTION("iferror(if(A3257="""",,E3257&gt;=FILTER(Constants!$F$2:$F$10,Constants!$A$2:$A$10=A3257)))"),"")</f>
        <v/>
      </c>
    </row>
    <row r="3258">
      <c r="A3258" s="89"/>
      <c r="B3258" s="87"/>
      <c r="C3258" s="73"/>
      <c r="D3258" s="73"/>
      <c r="E3258" s="82"/>
      <c r="F3258" s="82"/>
      <c r="G3258" s="86"/>
      <c r="H3258" s="86"/>
      <c r="I3258" s="86"/>
      <c r="J3258" s="82"/>
      <c r="K3258" s="82"/>
      <c r="L3258" s="82"/>
      <c r="M3258" s="82"/>
      <c r="N3258" s="82"/>
      <c r="O3258" s="82"/>
      <c r="P3258" s="82"/>
      <c r="Q3258" s="82"/>
      <c r="R3258" s="82"/>
      <c r="S3258" s="82"/>
      <c r="T3258" s="82"/>
      <c r="U3258" s="82"/>
      <c r="V3258" s="82"/>
      <c r="W3258" s="82"/>
      <c r="X3258" s="82"/>
      <c r="Y3258" s="82"/>
      <c r="Z3258" s="82"/>
      <c r="AA3258" s="82"/>
      <c r="AB3258" s="82"/>
      <c r="AC3258" s="82"/>
      <c r="AD3258" s="82"/>
      <c r="AE3258" s="82"/>
      <c r="AF3258" s="82"/>
      <c r="AG3258" s="82"/>
      <c r="AH3258" s="82"/>
      <c r="AI3258" s="82"/>
      <c r="AJ3258" s="82"/>
      <c r="AK3258" s="82"/>
      <c r="AL3258" s="82"/>
      <c r="AM3258" s="82"/>
      <c r="AN3258" s="82">
        <f>IFERROR(__xludf.DUMMYFUNCTION("""COMPUTED_VALUE"""),0.0)</f>
        <v>0</v>
      </c>
      <c r="AO3258" s="82">
        <f>IFERROR(__xludf.DUMMYFUNCTION("""COMPUTED_VALUE"""),0.0)</f>
        <v>0</v>
      </c>
      <c r="AP3258" s="82">
        <f>IFERROR(__xludf.DUMMYFUNCTION("""COMPUTED_VALUE"""),0.0)</f>
        <v>0</v>
      </c>
      <c r="AQ3258" s="82">
        <f>IFERROR(__xludf.DUMMYFUNCTION("""COMPUTED_VALUE"""),0.0)</f>
        <v>0</v>
      </c>
      <c r="AR3258" s="82">
        <f>IFERROR(__xludf.DUMMYFUNCTION("""COMPUTED_VALUE"""),0.0)</f>
        <v>0</v>
      </c>
      <c r="AS3258" s="82"/>
      <c r="AT3258" s="82">
        <f>IFERROR(__xludf.DUMMYFUNCTION("""COMPUTED_VALUE"""),0.0)</f>
        <v>0</v>
      </c>
      <c r="AU3258" s="82"/>
      <c r="AV3258" s="82"/>
      <c r="AW3258" s="82" t="str">
        <f t="shared" si="1"/>
        <v/>
      </c>
      <c r="AX3258" s="83" t="str">
        <f t="array" ref="AX3258">IFERROR(DGET('SBV Import'!A:G,"SBV",{"RSC ID","Tier";B3258,A3258}))</f>
        <v/>
      </c>
      <c r="AY3258" s="82" t="str">
        <f t="shared" si="2"/>
        <v/>
      </c>
      <c r="AZ3258" s="82"/>
      <c r="BA3258" s="84" t="s">
        <v>152</v>
      </c>
      <c r="BB3258" s="84" t="str">
        <f>IFERROR(__xludf.DUMMYFUNCTION("iferror(if(A3258="""",,E3258&gt;=FILTER(Constants!$F$2:$F$10,Constants!$A$2:$A$10=A3258)))"),"")</f>
        <v/>
      </c>
    </row>
    <row r="3259">
      <c r="A3259" s="89"/>
      <c r="B3259" s="87"/>
      <c r="C3259" s="73"/>
      <c r="D3259" s="73"/>
      <c r="E3259" s="82"/>
      <c r="F3259" s="82"/>
      <c r="G3259" s="86"/>
      <c r="H3259" s="86"/>
      <c r="I3259" s="86"/>
      <c r="J3259" s="82"/>
      <c r="K3259" s="82"/>
      <c r="L3259" s="82"/>
      <c r="M3259" s="82"/>
      <c r="N3259" s="82"/>
      <c r="O3259" s="82"/>
      <c r="P3259" s="82"/>
      <c r="Q3259" s="82"/>
      <c r="R3259" s="82"/>
      <c r="S3259" s="82"/>
      <c r="T3259" s="82"/>
      <c r="U3259" s="82"/>
      <c r="V3259" s="82"/>
      <c r="W3259" s="82"/>
      <c r="X3259" s="82"/>
      <c r="Y3259" s="82"/>
      <c r="Z3259" s="82"/>
      <c r="AA3259" s="82"/>
      <c r="AB3259" s="82"/>
      <c r="AC3259" s="82"/>
      <c r="AD3259" s="82"/>
      <c r="AE3259" s="82"/>
      <c r="AF3259" s="82"/>
      <c r="AG3259" s="82"/>
      <c r="AH3259" s="82"/>
      <c r="AI3259" s="82"/>
      <c r="AJ3259" s="82"/>
      <c r="AK3259" s="82"/>
      <c r="AL3259" s="82"/>
      <c r="AM3259" s="82"/>
      <c r="AN3259" s="82">
        <f>IFERROR(__xludf.DUMMYFUNCTION("""COMPUTED_VALUE"""),0.0)</f>
        <v>0</v>
      </c>
      <c r="AO3259" s="82">
        <f>IFERROR(__xludf.DUMMYFUNCTION("""COMPUTED_VALUE"""),0.0)</f>
        <v>0</v>
      </c>
      <c r="AP3259" s="82">
        <f>IFERROR(__xludf.DUMMYFUNCTION("""COMPUTED_VALUE"""),0.0)</f>
        <v>0</v>
      </c>
      <c r="AQ3259" s="82">
        <f>IFERROR(__xludf.DUMMYFUNCTION("""COMPUTED_VALUE"""),0.0)</f>
        <v>0</v>
      </c>
      <c r="AR3259" s="82">
        <f>IFERROR(__xludf.DUMMYFUNCTION("""COMPUTED_VALUE"""),0.0)</f>
        <v>0</v>
      </c>
      <c r="AS3259" s="82"/>
      <c r="AT3259" s="82">
        <f>IFERROR(__xludf.DUMMYFUNCTION("""COMPUTED_VALUE"""),0.0)</f>
        <v>0</v>
      </c>
      <c r="AU3259" s="82"/>
      <c r="AV3259" s="82"/>
      <c r="AW3259" s="82" t="str">
        <f t="shared" si="1"/>
        <v/>
      </c>
      <c r="AX3259" s="83" t="str">
        <f t="array" ref="AX3259">IFERROR(DGET('SBV Import'!A:G,"SBV",{"RSC ID","Tier";B3259,A3259}))</f>
        <v/>
      </c>
      <c r="AY3259" s="82" t="str">
        <f t="shared" si="2"/>
        <v/>
      </c>
      <c r="AZ3259" s="82"/>
      <c r="BA3259" s="84" t="s">
        <v>152</v>
      </c>
      <c r="BB3259" s="84" t="str">
        <f>IFERROR(__xludf.DUMMYFUNCTION("iferror(if(A3259="""",,E3259&gt;=FILTER(Constants!$F$2:$F$10,Constants!$A$2:$A$10=A3259)))"),"")</f>
        <v/>
      </c>
    </row>
    <row r="3260">
      <c r="A3260" s="89"/>
      <c r="B3260" s="87"/>
      <c r="C3260" s="73"/>
      <c r="D3260" s="73"/>
      <c r="E3260" s="82"/>
      <c r="F3260" s="82"/>
      <c r="G3260" s="86"/>
      <c r="H3260" s="86"/>
      <c r="I3260" s="86"/>
      <c r="J3260" s="82"/>
      <c r="K3260" s="82"/>
      <c r="L3260" s="82"/>
      <c r="M3260" s="82"/>
      <c r="N3260" s="82"/>
      <c r="O3260" s="82"/>
      <c r="P3260" s="82"/>
      <c r="Q3260" s="82"/>
      <c r="R3260" s="82"/>
      <c r="S3260" s="82"/>
      <c r="T3260" s="82"/>
      <c r="U3260" s="82"/>
      <c r="V3260" s="82"/>
      <c r="W3260" s="82"/>
      <c r="X3260" s="82"/>
      <c r="Y3260" s="82"/>
      <c r="Z3260" s="82"/>
      <c r="AA3260" s="82"/>
      <c r="AB3260" s="82"/>
      <c r="AC3260" s="82"/>
      <c r="AD3260" s="82"/>
      <c r="AE3260" s="82"/>
      <c r="AF3260" s="82"/>
      <c r="AG3260" s="82"/>
      <c r="AH3260" s="82"/>
      <c r="AI3260" s="82"/>
      <c r="AJ3260" s="82"/>
      <c r="AK3260" s="82"/>
      <c r="AL3260" s="82"/>
      <c r="AM3260" s="82"/>
      <c r="AN3260" s="82">
        <f>IFERROR(__xludf.DUMMYFUNCTION("""COMPUTED_VALUE"""),0.0)</f>
        <v>0</v>
      </c>
      <c r="AO3260" s="82">
        <f>IFERROR(__xludf.DUMMYFUNCTION("""COMPUTED_VALUE"""),0.0)</f>
        <v>0</v>
      </c>
      <c r="AP3260" s="82">
        <f>IFERROR(__xludf.DUMMYFUNCTION("""COMPUTED_VALUE"""),0.0)</f>
        <v>0</v>
      </c>
      <c r="AQ3260" s="82">
        <f>IFERROR(__xludf.DUMMYFUNCTION("""COMPUTED_VALUE"""),0.0)</f>
        <v>0</v>
      </c>
      <c r="AR3260" s="82">
        <f>IFERROR(__xludf.DUMMYFUNCTION("""COMPUTED_VALUE"""),0.0)</f>
        <v>0</v>
      </c>
      <c r="AS3260" s="82"/>
      <c r="AT3260" s="82">
        <f>IFERROR(__xludf.DUMMYFUNCTION("""COMPUTED_VALUE"""),0.0)</f>
        <v>0</v>
      </c>
      <c r="AU3260" s="82"/>
      <c r="AV3260" s="82"/>
      <c r="AW3260" s="82" t="str">
        <f t="shared" si="1"/>
        <v/>
      </c>
      <c r="AX3260" s="83" t="str">
        <f t="array" ref="AX3260">IFERROR(DGET('SBV Import'!A:G,"SBV",{"RSC ID","Tier";B3260,A3260}))</f>
        <v/>
      </c>
      <c r="AY3260" s="82" t="str">
        <f t="shared" si="2"/>
        <v/>
      </c>
      <c r="AZ3260" s="82"/>
      <c r="BA3260" s="84" t="s">
        <v>152</v>
      </c>
      <c r="BB3260" s="84" t="str">
        <f>IFERROR(__xludf.DUMMYFUNCTION("iferror(if(A3260="""",,E3260&gt;=FILTER(Constants!$F$2:$F$10,Constants!$A$2:$A$10=A3260)))"),"")</f>
        <v/>
      </c>
    </row>
    <row r="3261">
      <c r="A3261" s="89"/>
      <c r="B3261" s="87"/>
      <c r="C3261" s="73"/>
      <c r="D3261" s="73"/>
      <c r="E3261" s="82"/>
      <c r="F3261" s="82"/>
      <c r="G3261" s="86"/>
      <c r="H3261" s="86"/>
      <c r="I3261" s="86"/>
      <c r="J3261" s="82"/>
      <c r="K3261" s="82"/>
      <c r="L3261" s="82"/>
      <c r="M3261" s="82"/>
      <c r="N3261" s="82"/>
      <c r="O3261" s="82"/>
      <c r="P3261" s="82"/>
      <c r="Q3261" s="82"/>
      <c r="R3261" s="82"/>
      <c r="S3261" s="82"/>
      <c r="T3261" s="82"/>
      <c r="U3261" s="82"/>
      <c r="V3261" s="82"/>
      <c r="W3261" s="82"/>
      <c r="X3261" s="82"/>
      <c r="Y3261" s="82"/>
      <c r="Z3261" s="82"/>
      <c r="AA3261" s="82"/>
      <c r="AB3261" s="82"/>
      <c r="AC3261" s="82"/>
      <c r="AD3261" s="82"/>
      <c r="AE3261" s="82"/>
      <c r="AF3261" s="82"/>
      <c r="AG3261" s="82"/>
      <c r="AH3261" s="82"/>
      <c r="AI3261" s="82"/>
      <c r="AJ3261" s="82"/>
      <c r="AK3261" s="82"/>
      <c r="AL3261" s="82"/>
      <c r="AM3261" s="82"/>
      <c r="AN3261" s="82">
        <f>IFERROR(__xludf.DUMMYFUNCTION("""COMPUTED_VALUE"""),0.0)</f>
        <v>0</v>
      </c>
      <c r="AO3261" s="82">
        <f>IFERROR(__xludf.DUMMYFUNCTION("""COMPUTED_VALUE"""),0.0)</f>
        <v>0</v>
      </c>
      <c r="AP3261" s="82">
        <f>IFERROR(__xludf.DUMMYFUNCTION("""COMPUTED_VALUE"""),0.0)</f>
        <v>0</v>
      </c>
      <c r="AQ3261" s="82">
        <f>IFERROR(__xludf.DUMMYFUNCTION("""COMPUTED_VALUE"""),0.0)</f>
        <v>0</v>
      </c>
      <c r="AR3261" s="82">
        <f>IFERROR(__xludf.DUMMYFUNCTION("""COMPUTED_VALUE"""),0.0)</f>
        <v>0</v>
      </c>
      <c r="AS3261" s="82"/>
      <c r="AT3261" s="82">
        <f>IFERROR(__xludf.DUMMYFUNCTION("""COMPUTED_VALUE"""),0.0)</f>
        <v>0</v>
      </c>
      <c r="AU3261" s="82"/>
      <c r="AV3261" s="82"/>
      <c r="AW3261" s="82" t="str">
        <f t="shared" si="1"/>
        <v/>
      </c>
      <c r="AX3261" s="83" t="str">
        <f t="array" ref="AX3261">IFERROR(DGET('SBV Import'!A:G,"SBV",{"RSC ID","Tier";B3261,A3261}))</f>
        <v/>
      </c>
      <c r="AY3261" s="82" t="str">
        <f t="shared" si="2"/>
        <v/>
      </c>
      <c r="AZ3261" s="82"/>
      <c r="BA3261" s="84" t="s">
        <v>152</v>
      </c>
      <c r="BB3261" s="84" t="str">
        <f>IFERROR(__xludf.DUMMYFUNCTION("iferror(if(A3261="""",,E3261&gt;=FILTER(Constants!$F$2:$F$10,Constants!$A$2:$A$10=A3261)))"),"")</f>
        <v/>
      </c>
    </row>
    <row r="3262">
      <c r="A3262" s="89"/>
      <c r="B3262" s="87"/>
      <c r="C3262" s="73"/>
      <c r="D3262" s="73"/>
      <c r="E3262" s="82"/>
      <c r="F3262" s="82"/>
      <c r="G3262" s="86"/>
      <c r="H3262" s="86"/>
      <c r="I3262" s="86"/>
      <c r="J3262" s="82"/>
      <c r="K3262" s="82"/>
      <c r="L3262" s="82"/>
      <c r="M3262" s="82"/>
      <c r="N3262" s="82"/>
      <c r="O3262" s="82"/>
      <c r="P3262" s="82"/>
      <c r="Q3262" s="82"/>
      <c r="R3262" s="82"/>
      <c r="S3262" s="82"/>
      <c r="T3262" s="82"/>
      <c r="U3262" s="82"/>
      <c r="V3262" s="82"/>
      <c r="W3262" s="82"/>
      <c r="X3262" s="82"/>
      <c r="Y3262" s="82"/>
      <c r="Z3262" s="82"/>
      <c r="AA3262" s="82"/>
      <c r="AB3262" s="82"/>
      <c r="AC3262" s="82"/>
      <c r="AD3262" s="82"/>
      <c r="AE3262" s="82"/>
      <c r="AF3262" s="82"/>
      <c r="AG3262" s="82"/>
      <c r="AH3262" s="82"/>
      <c r="AI3262" s="82"/>
      <c r="AJ3262" s="82"/>
      <c r="AK3262" s="82"/>
      <c r="AL3262" s="82"/>
      <c r="AM3262" s="82"/>
      <c r="AN3262" s="82">
        <f>IFERROR(__xludf.DUMMYFUNCTION("""COMPUTED_VALUE"""),0.0)</f>
        <v>0</v>
      </c>
      <c r="AO3262" s="82">
        <f>IFERROR(__xludf.DUMMYFUNCTION("""COMPUTED_VALUE"""),0.0)</f>
        <v>0</v>
      </c>
      <c r="AP3262" s="82">
        <f>IFERROR(__xludf.DUMMYFUNCTION("""COMPUTED_VALUE"""),0.0)</f>
        <v>0</v>
      </c>
      <c r="AQ3262" s="82">
        <f>IFERROR(__xludf.DUMMYFUNCTION("""COMPUTED_VALUE"""),0.0)</f>
        <v>0</v>
      </c>
      <c r="AR3262" s="82">
        <f>IFERROR(__xludf.DUMMYFUNCTION("""COMPUTED_VALUE"""),0.0)</f>
        <v>0</v>
      </c>
      <c r="AS3262" s="82"/>
      <c r="AT3262" s="82">
        <f>IFERROR(__xludf.DUMMYFUNCTION("""COMPUTED_VALUE"""),0.0)</f>
        <v>0</v>
      </c>
      <c r="AU3262" s="82"/>
      <c r="AV3262" s="82"/>
      <c r="AW3262" s="82" t="str">
        <f t="shared" si="1"/>
        <v/>
      </c>
      <c r="AX3262" s="83" t="str">
        <f t="array" ref="AX3262">IFERROR(DGET('SBV Import'!A:G,"SBV",{"RSC ID","Tier";B3262,A3262}))</f>
        <v/>
      </c>
      <c r="AY3262" s="82" t="str">
        <f t="shared" si="2"/>
        <v/>
      </c>
      <c r="AZ3262" s="82"/>
      <c r="BA3262" s="84" t="s">
        <v>152</v>
      </c>
      <c r="BB3262" s="84" t="str">
        <f>IFERROR(__xludf.DUMMYFUNCTION("iferror(if(A3262="""",,E3262&gt;=FILTER(Constants!$F$2:$F$10,Constants!$A$2:$A$10=A3262)))"),"")</f>
        <v/>
      </c>
    </row>
    <row r="3263">
      <c r="A3263" s="89"/>
      <c r="B3263" s="87"/>
      <c r="C3263" s="73"/>
      <c r="D3263" s="73"/>
      <c r="E3263" s="82"/>
      <c r="F3263" s="82"/>
      <c r="G3263" s="86"/>
      <c r="H3263" s="86"/>
      <c r="I3263" s="86"/>
      <c r="J3263" s="82"/>
      <c r="K3263" s="82"/>
      <c r="L3263" s="82"/>
      <c r="M3263" s="82"/>
      <c r="N3263" s="82"/>
      <c r="O3263" s="82"/>
      <c r="P3263" s="82"/>
      <c r="Q3263" s="82"/>
      <c r="R3263" s="82"/>
      <c r="S3263" s="82"/>
      <c r="T3263" s="82"/>
      <c r="U3263" s="82"/>
      <c r="V3263" s="82"/>
      <c r="W3263" s="82"/>
      <c r="X3263" s="82"/>
      <c r="Y3263" s="82"/>
      <c r="Z3263" s="82"/>
      <c r="AA3263" s="82"/>
      <c r="AB3263" s="82"/>
      <c r="AC3263" s="82"/>
      <c r="AD3263" s="82"/>
      <c r="AE3263" s="82"/>
      <c r="AF3263" s="82"/>
      <c r="AG3263" s="82"/>
      <c r="AH3263" s="82"/>
      <c r="AI3263" s="82"/>
      <c r="AJ3263" s="82"/>
      <c r="AK3263" s="82"/>
      <c r="AL3263" s="82"/>
      <c r="AM3263" s="82"/>
      <c r="AN3263" s="82">
        <f>IFERROR(__xludf.DUMMYFUNCTION("""COMPUTED_VALUE"""),0.0)</f>
        <v>0</v>
      </c>
      <c r="AO3263" s="82">
        <f>IFERROR(__xludf.DUMMYFUNCTION("""COMPUTED_VALUE"""),0.0)</f>
        <v>0</v>
      </c>
      <c r="AP3263" s="82">
        <f>IFERROR(__xludf.DUMMYFUNCTION("""COMPUTED_VALUE"""),0.0)</f>
        <v>0</v>
      </c>
      <c r="AQ3263" s="82">
        <f>IFERROR(__xludf.DUMMYFUNCTION("""COMPUTED_VALUE"""),0.0)</f>
        <v>0</v>
      </c>
      <c r="AR3263" s="82">
        <f>IFERROR(__xludf.DUMMYFUNCTION("""COMPUTED_VALUE"""),0.0)</f>
        <v>0</v>
      </c>
      <c r="AS3263" s="82"/>
      <c r="AT3263" s="82">
        <f>IFERROR(__xludf.DUMMYFUNCTION("""COMPUTED_VALUE"""),0.0)</f>
        <v>0</v>
      </c>
      <c r="AU3263" s="82"/>
      <c r="AV3263" s="82"/>
      <c r="AW3263" s="82" t="str">
        <f t="shared" si="1"/>
        <v/>
      </c>
      <c r="AX3263" s="83" t="str">
        <f t="array" ref="AX3263">IFERROR(DGET('SBV Import'!A:G,"SBV",{"RSC ID","Tier";B3263,A3263}))</f>
        <v/>
      </c>
      <c r="AY3263" s="82" t="str">
        <f t="shared" si="2"/>
        <v/>
      </c>
      <c r="AZ3263" s="82"/>
      <c r="BA3263" s="84" t="s">
        <v>152</v>
      </c>
      <c r="BB3263" s="84" t="str">
        <f>IFERROR(__xludf.DUMMYFUNCTION("iferror(if(A3263="""",,E3263&gt;=FILTER(Constants!$F$2:$F$10,Constants!$A$2:$A$10=A3263)))"),"")</f>
        <v/>
      </c>
    </row>
    <row r="3264">
      <c r="A3264" s="89"/>
      <c r="B3264" s="87"/>
      <c r="C3264" s="73"/>
      <c r="D3264" s="73"/>
      <c r="E3264" s="82"/>
      <c r="F3264" s="82"/>
      <c r="G3264" s="86"/>
      <c r="H3264" s="86"/>
      <c r="I3264" s="86"/>
      <c r="J3264" s="82"/>
      <c r="K3264" s="82"/>
      <c r="L3264" s="82"/>
      <c r="M3264" s="82"/>
      <c r="N3264" s="82"/>
      <c r="O3264" s="82"/>
      <c r="P3264" s="82"/>
      <c r="Q3264" s="82"/>
      <c r="R3264" s="82"/>
      <c r="S3264" s="82"/>
      <c r="T3264" s="82"/>
      <c r="U3264" s="82"/>
      <c r="V3264" s="82"/>
      <c r="W3264" s="82"/>
      <c r="X3264" s="82"/>
      <c r="Y3264" s="82"/>
      <c r="Z3264" s="82"/>
      <c r="AA3264" s="82"/>
      <c r="AB3264" s="82"/>
      <c r="AC3264" s="82"/>
      <c r="AD3264" s="82"/>
      <c r="AE3264" s="82"/>
      <c r="AF3264" s="82"/>
      <c r="AG3264" s="82"/>
      <c r="AH3264" s="82"/>
      <c r="AI3264" s="82"/>
      <c r="AJ3264" s="82"/>
      <c r="AK3264" s="82"/>
      <c r="AL3264" s="82"/>
      <c r="AM3264" s="82"/>
      <c r="AN3264" s="82">
        <f>IFERROR(__xludf.DUMMYFUNCTION("""COMPUTED_VALUE"""),0.0)</f>
        <v>0</v>
      </c>
      <c r="AO3264" s="82">
        <f>IFERROR(__xludf.DUMMYFUNCTION("""COMPUTED_VALUE"""),0.0)</f>
        <v>0</v>
      </c>
      <c r="AP3264" s="82">
        <f>IFERROR(__xludf.DUMMYFUNCTION("""COMPUTED_VALUE"""),0.0)</f>
        <v>0</v>
      </c>
      <c r="AQ3264" s="82">
        <f>IFERROR(__xludf.DUMMYFUNCTION("""COMPUTED_VALUE"""),0.0)</f>
        <v>0</v>
      </c>
      <c r="AR3264" s="82">
        <f>IFERROR(__xludf.DUMMYFUNCTION("""COMPUTED_VALUE"""),0.0)</f>
        <v>0</v>
      </c>
      <c r="AS3264" s="82"/>
      <c r="AT3264" s="82">
        <f>IFERROR(__xludf.DUMMYFUNCTION("""COMPUTED_VALUE"""),0.0)</f>
        <v>0</v>
      </c>
      <c r="AU3264" s="82"/>
      <c r="AV3264" s="82"/>
      <c r="AW3264" s="82" t="str">
        <f t="shared" si="1"/>
        <v/>
      </c>
      <c r="AX3264" s="83" t="str">
        <f t="array" ref="AX3264">IFERROR(DGET('SBV Import'!A:G,"SBV",{"RSC ID","Tier";B3264,A3264}))</f>
        <v/>
      </c>
      <c r="AY3264" s="82" t="str">
        <f t="shared" si="2"/>
        <v/>
      </c>
      <c r="AZ3264" s="82"/>
      <c r="BA3264" s="84" t="s">
        <v>152</v>
      </c>
      <c r="BB3264" s="84" t="str">
        <f>IFERROR(__xludf.DUMMYFUNCTION("iferror(if(A3264="""",,E3264&gt;=FILTER(Constants!$F$2:$F$10,Constants!$A$2:$A$10=A3264)))"),"")</f>
        <v/>
      </c>
    </row>
    <row r="3265">
      <c r="A3265" s="89"/>
      <c r="B3265" s="87"/>
      <c r="C3265" s="73"/>
      <c r="D3265" s="73"/>
      <c r="E3265" s="82"/>
      <c r="F3265" s="82"/>
      <c r="G3265" s="86"/>
      <c r="H3265" s="86"/>
      <c r="I3265" s="86"/>
      <c r="J3265" s="82"/>
      <c r="K3265" s="82"/>
      <c r="L3265" s="82"/>
      <c r="M3265" s="82"/>
      <c r="N3265" s="82"/>
      <c r="O3265" s="82"/>
      <c r="P3265" s="82"/>
      <c r="Q3265" s="82"/>
      <c r="R3265" s="82"/>
      <c r="S3265" s="82"/>
      <c r="T3265" s="82"/>
      <c r="U3265" s="82"/>
      <c r="V3265" s="82"/>
      <c r="W3265" s="82"/>
      <c r="X3265" s="82"/>
      <c r="Y3265" s="82"/>
      <c r="Z3265" s="82"/>
      <c r="AA3265" s="82"/>
      <c r="AB3265" s="82"/>
      <c r="AC3265" s="82"/>
      <c r="AD3265" s="82"/>
      <c r="AE3265" s="82"/>
      <c r="AF3265" s="82"/>
      <c r="AG3265" s="82"/>
      <c r="AH3265" s="82"/>
      <c r="AI3265" s="82"/>
      <c r="AJ3265" s="82"/>
      <c r="AK3265" s="82"/>
      <c r="AL3265" s="82"/>
      <c r="AM3265" s="82"/>
      <c r="AN3265" s="82">
        <f>IFERROR(__xludf.DUMMYFUNCTION("""COMPUTED_VALUE"""),0.0)</f>
        <v>0</v>
      </c>
      <c r="AO3265" s="82">
        <f>IFERROR(__xludf.DUMMYFUNCTION("""COMPUTED_VALUE"""),0.0)</f>
        <v>0</v>
      </c>
      <c r="AP3265" s="82">
        <f>IFERROR(__xludf.DUMMYFUNCTION("""COMPUTED_VALUE"""),0.0)</f>
        <v>0</v>
      </c>
      <c r="AQ3265" s="82">
        <f>IFERROR(__xludf.DUMMYFUNCTION("""COMPUTED_VALUE"""),0.0)</f>
        <v>0</v>
      </c>
      <c r="AR3265" s="82">
        <f>IFERROR(__xludf.DUMMYFUNCTION("""COMPUTED_VALUE"""),0.0)</f>
        <v>0</v>
      </c>
      <c r="AS3265" s="82"/>
      <c r="AT3265" s="82">
        <f>IFERROR(__xludf.DUMMYFUNCTION("""COMPUTED_VALUE"""),0.0)</f>
        <v>0</v>
      </c>
      <c r="AU3265" s="82"/>
      <c r="AV3265" s="82"/>
      <c r="AW3265" s="82" t="str">
        <f t="shared" si="1"/>
        <v/>
      </c>
      <c r="AX3265" s="83" t="str">
        <f t="array" ref="AX3265">IFERROR(DGET('SBV Import'!A:G,"SBV",{"RSC ID","Tier";B3265,A3265}))</f>
        <v/>
      </c>
      <c r="AY3265" s="82" t="str">
        <f t="shared" si="2"/>
        <v/>
      </c>
      <c r="AZ3265" s="82"/>
      <c r="BA3265" s="84" t="s">
        <v>152</v>
      </c>
      <c r="BB3265" s="84" t="str">
        <f>IFERROR(__xludf.DUMMYFUNCTION("iferror(if(A3265="""",,E3265&gt;=FILTER(Constants!$F$2:$F$10,Constants!$A$2:$A$10=A3265)))"),"")</f>
        <v/>
      </c>
    </row>
    <row r="3266">
      <c r="A3266" s="89"/>
      <c r="B3266" s="87"/>
      <c r="C3266" s="73"/>
      <c r="D3266" s="73"/>
      <c r="E3266" s="82"/>
      <c r="F3266" s="82"/>
      <c r="G3266" s="86"/>
      <c r="H3266" s="86"/>
      <c r="I3266" s="86"/>
      <c r="J3266" s="82"/>
      <c r="K3266" s="82"/>
      <c r="L3266" s="82"/>
      <c r="M3266" s="82"/>
      <c r="N3266" s="82"/>
      <c r="O3266" s="82"/>
      <c r="P3266" s="82"/>
      <c r="Q3266" s="82"/>
      <c r="R3266" s="82"/>
      <c r="S3266" s="82"/>
      <c r="T3266" s="82"/>
      <c r="U3266" s="82"/>
      <c r="V3266" s="82"/>
      <c r="W3266" s="82"/>
      <c r="X3266" s="82"/>
      <c r="Y3266" s="82"/>
      <c r="Z3266" s="82"/>
      <c r="AA3266" s="82"/>
      <c r="AB3266" s="82"/>
      <c r="AC3266" s="82"/>
      <c r="AD3266" s="82"/>
      <c r="AE3266" s="82"/>
      <c r="AF3266" s="82"/>
      <c r="AG3266" s="82"/>
      <c r="AH3266" s="82"/>
      <c r="AI3266" s="82"/>
      <c r="AJ3266" s="82"/>
      <c r="AK3266" s="82"/>
      <c r="AL3266" s="82"/>
      <c r="AM3266" s="82"/>
      <c r="AN3266" s="82">
        <f>IFERROR(__xludf.DUMMYFUNCTION("""COMPUTED_VALUE"""),0.0)</f>
        <v>0</v>
      </c>
      <c r="AO3266" s="82">
        <f>IFERROR(__xludf.DUMMYFUNCTION("""COMPUTED_VALUE"""),0.0)</f>
        <v>0</v>
      </c>
      <c r="AP3266" s="82">
        <f>IFERROR(__xludf.DUMMYFUNCTION("""COMPUTED_VALUE"""),0.0)</f>
        <v>0</v>
      </c>
      <c r="AQ3266" s="82">
        <f>IFERROR(__xludf.DUMMYFUNCTION("""COMPUTED_VALUE"""),0.0)</f>
        <v>0</v>
      </c>
      <c r="AR3266" s="82">
        <f>IFERROR(__xludf.DUMMYFUNCTION("""COMPUTED_VALUE"""),0.0)</f>
        <v>0</v>
      </c>
      <c r="AS3266" s="82"/>
      <c r="AT3266" s="82">
        <f>IFERROR(__xludf.DUMMYFUNCTION("""COMPUTED_VALUE"""),0.0)</f>
        <v>0</v>
      </c>
      <c r="AU3266" s="82"/>
      <c r="AV3266" s="82"/>
      <c r="AW3266" s="82" t="str">
        <f t="shared" si="1"/>
        <v/>
      </c>
      <c r="AX3266" s="83" t="str">
        <f t="array" ref="AX3266">IFERROR(DGET('SBV Import'!A:G,"SBV",{"RSC ID","Tier";B3266,A3266}))</f>
        <v/>
      </c>
      <c r="AY3266" s="82" t="str">
        <f t="shared" si="2"/>
        <v/>
      </c>
      <c r="AZ3266" s="82"/>
      <c r="BA3266" s="84" t="s">
        <v>152</v>
      </c>
      <c r="BB3266" s="84" t="str">
        <f>IFERROR(__xludf.DUMMYFUNCTION("iferror(if(A3266="""",,E3266&gt;=FILTER(Constants!$F$2:$F$10,Constants!$A$2:$A$10=A3266)))"),"")</f>
        <v/>
      </c>
    </row>
    <row r="3267">
      <c r="A3267" s="89"/>
      <c r="B3267" s="87"/>
      <c r="C3267" s="73"/>
      <c r="D3267" s="73"/>
      <c r="E3267" s="82"/>
      <c r="F3267" s="82"/>
      <c r="G3267" s="86"/>
      <c r="H3267" s="86"/>
      <c r="I3267" s="86"/>
      <c r="J3267" s="82"/>
      <c r="K3267" s="82"/>
      <c r="L3267" s="82"/>
      <c r="M3267" s="82"/>
      <c r="N3267" s="82"/>
      <c r="O3267" s="82"/>
      <c r="P3267" s="82"/>
      <c r="Q3267" s="82"/>
      <c r="R3267" s="82"/>
      <c r="S3267" s="82"/>
      <c r="T3267" s="82"/>
      <c r="U3267" s="82"/>
      <c r="V3267" s="82"/>
      <c r="W3267" s="82"/>
      <c r="X3267" s="82"/>
      <c r="Y3267" s="82"/>
      <c r="Z3267" s="82"/>
      <c r="AA3267" s="82"/>
      <c r="AB3267" s="82"/>
      <c r="AC3267" s="82"/>
      <c r="AD3267" s="82"/>
      <c r="AE3267" s="82"/>
      <c r="AF3267" s="82"/>
      <c r="AG3267" s="82"/>
      <c r="AH3267" s="82"/>
      <c r="AI3267" s="82"/>
      <c r="AJ3267" s="82"/>
      <c r="AK3267" s="82"/>
      <c r="AL3267" s="82"/>
      <c r="AM3267" s="82"/>
      <c r="AN3267" s="82">
        <f>IFERROR(__xludf.DUMMYFUNCTION("""COMPUTED_VALUE"""),0.0)</f>
        <v>0</v>
      </c>
      <c r="AO3267" s="82">
        <f>IFERROR(__xludf.DUMMYFUNCTION("""COMPUTED_VALUE"""),0.0)</f>
        <v>0</v>
      </c>
      <c r="AP3267" s="82">
        <f>IFERROR(__xludf.DUMMYFUNCTION("""COMPUTED_VALUE"""),0.0)</f>
        <v>0</v>
      </c>
      <c r="AQ3267" s="82">
        <f>IFERROR(__xludf.DUMMYFUNCTION("""COMPUTED_VALUE"""),0.0)</f>
        <v>0</v>
      </c>
      <c r="AR3267" s="82">
        <f>IFERROR(__xludf.DUMMYFUNCTION("""COMPUTED_VALUE"""),0.0)</f>
        <v>0</v>
      </c>
      <c r="AS3267" s="82"/>
      <c r="AT3267" s="82">
        <f>IFERROR(__xludf.DUMMYFUNCTION("""COMPUTED_VALUE"""),0.0)</f>
        <v>0</v>
      </c>
      <c r="AU3267" s="82"/>
      <c r="AV3267" s="82"/>
      <c r="AW3267" s="82" t="str">
        <f t="shared" si="1"/>
        <v/>
      </c>
      <c r="AX3267" s="83" t="str">
        <f t="array" ref="AX3267">IFERROR(DGET('SBV Import'!A:G,"SBV",{"RSC ID","Tier";B3267,A3267}))</f>
        <v/>
      </c>
      <c r="AY3267" s="82" t="str">
        <f t="shared" si="2"/>
        <v/>
      </c>
      <c r="AZ3267" s="82"/>
      <c r="BA3267" s="84" t="s">
        <v>152</v>
      </c>
      <c r="BB3267" s="84" t="str">
        <f>IFERROR(__xludf.DUMMYFUNCTION("iferror(if(A3267="""",,E3267&gt;=FILTER(Constants!$F$2:$F$10,Constants!$A$2:$A$10=A3267)))"),"")</f>
        <v/>
      </c>
    </row>
    <row r="3268">
      <c r="A3268" s="89"/>
      <c r="B3268" s="87"/>
      <c r="C3268" s="73"/>
      <c r="D3268" s="73"/>
      <c r="E3268" s="82"/>
      <c r="F3268" s="82"/>
      <c r="G3268" s="86"/>
      <c r="H3268" s="86"/>
      <c r="I3268" s="86"/>
      <c r="J3268" s="82"/>
      <c r="K3268" s="82"/>
      <c r="L3268" s="82"/>
      <c r="M3268" s="82"/>
      <c r="N3268" s="82"/>
      <c r="O3268" s="82"/>
      <c r="P3268" s="82"/>
      <c r="Q3268" s="82"/>
      <c r="R3268" s="82"/>
      <c r="S3268" s="82"/>
      <c r="T3268" s="82"/>
      <c r="U3268" s="82"/>
      <c r="V3268" s="82"/>
      <c r="W3268" s="82"/>
      <c r="X3268" s="82"/>
      <c r="Y3268" s="82"/>
      <c r="Z3268" s="82"/>
      <c r="AA3268" s="82"/>
      <c r="AB3268" s="82"/>
      <c r="AC3268" s="82"/>
      <c r="AD3268" s="82"/>
      <c r="AE3268" s="82"/>
      <c r="AF3268" s="82"/>
      <c r="AG3268" s="82"/>
      <c r="AH3268" s="82"/>
      <c r="AI3268" s="82"/>
      <c r="AJ3268" s="82"/>
      <c r="AK3268" s="82"/>
      <c r="AL3268" s="82"/>
      <c r="AM3268" s="82"/>
      <c r="AN3268" s="82">
        <f>IFERROR(__xludf.DUMMYFUNCTION("""COMPUTED_VALUE"""),0.0)</f>
        <v>0</v>
      </c>
      <c r="AO3268" s="82">
        <f>IFERROR(__xludf.DUMMYFUNCTION("""COMPUTED_VALUE"""),0.0)</f>
        <v>0</v>
      </c>
      <c r="AP3268" s="82">
        <f>IFERROR(__xludf.DUMMYFUNCTION("""COMPUTED_VALUE"""),0.0)</f>
        <v>0</v>
      </c>
      <c r="AQ3268" s="82">
        <f>IFERROR(__xludf.DUMMYFUNCTION("""COMPUTED_VALUE"""),0.0)</f>
        <v>0</v>
      </c>
      <c r="AR3268" s="82">
        <f>IFERROR(__xludf.DUMMYFUNCTION("""COMPUTED_VALUE"""),0.0)</f>
        <v>0</v>
      </c>
      <c r="AS3268" s="82"/>
      <c r="AT3268" s="82">
        <f>IFERROR(__xludf.DUMMYFUNCTION("""COMPUTED_VALUE"""),0.0)</f>
        <v>0</v>
      </c>
      <c r="AU3268" s="82"/>
      <c r="AV3268" s="82"/>
      <c r="AW3268" s="82" t="str">
        <f t="shared" si="1"/>
        <v/>
      </c>
      <c r="AX3268" s="83" t="str">
        <f t="array" ref="AX3268">IFERROR(DGET('SBV Import'!A:G,"SBV",{"RSC ID","Tier";B3268,A3268}))</f>
        <v/>
      </c>
      <c r="AY3268" s="82" t="str">
        <f t="shared" si="2"/>
        <v/>
      </c>
      <c r="AZ3268" s="82"/>
      <c r="BA3268" s="84" t="s">
        <v>152</v>
      </c>
      <c r="BB3268" s="84" t="str">
        <f>IFERROR(__xludf.DUMMYFUNCTION("iferror(if(A3268="""",,E3268&gt;=FILTER(Constants!$F$2:$F$10,Constants!$A$2:$A$10=A3268)))"),"")</f>
        <v/>
      </c>
    </row>
    <row r="3269">
      <c r="A3269" s="89"/>
      <c r="B3269" s="87"/>
      <c r="C3269" s="73"/>
      <c r="D3269" s="73"/>
      <c r="E3269" s="82"/>
      <c r="F3269" s="82"/>
      <c r="G3269" s="86"/>
      <c r="H3269" s="86"/>
      <c r="I3269" s="86"/>
      <c r="J3269" s="82"/>
      <c r="K3269" s="82"/>
      <c r="L3269" s="82"/>
      <c r="M3269" s="82"/>
      <c r="N3269" s="82"/>
      <c r="O3269" s="82"/>
      <c r="P3269" s="82"/>
      <c r="Q3269" s="82"/>
      <c r="R3269" s="82"/>
      <c r="S3269" s="82"/>
      <c r="T3269" s="82"/>
      <c r="U3269" s="82"/>
      <c r="V3269" s="82"/>
      <c r="W3269" s="82"/>
      <c r="X3269" s="82"/>
      <c r="Y3269" s="82"/>
      <c r="Z3269" s="82"/>
      <c r="AA3269" s="82"/>
      <c r="AB3269" s="82"/>
      <c r="AC3269" s="82"/>
      <c r="AD3269" s="82"/>
      <c r="AE3269" s="82"/>
      <c r="AF3269" s="82"/>
      <c r="AG3269" s="82"/>
      <c r="AH3269" s="82"/>
      <c r="AI3269" s="82"/>
      <c r="AJ3269" s="82"/>
      <c r="AK3269" s="82"/>
      <c r="AL3269" s="82"/>
      <c r="AM3269" s="82"/>
      <c r="AN3269" s="82">
        <f>IFERROR(__xludf.DUMMYFUNCTION("""COMPUTED_VALUE"""),0.0)</f>
        <v>0</v>
      </c>
      <c r="AO3269" s="82">
        <f>IFERROR(__xludf.DUMMYFUNCTION("""COMPUTED_VALUE"""),0.0)</f>
        <v>0</v>
      </c>
      <c r="AP3269" s="82">
        <f>IFERROR(__xludf.DUMMYFUNCTION("""COMPUTED_VALUE"""),0.0)</f>
        <v>0</v>
      </c>
      <c r="AQ3269" s="82">
        <f>IFERROR(__xludf.DUMMYFUNCTION("""COMPUTED_VALUE"""),0.0)</f>
        <v>0</v>
      </c>
      <c r="AR3269" s="82">
        <f>IFERROR(__xludf.DUMMYFUNCTION("""COMPUTED_VALUE"""),0.0)</f>
        <v>0</v>
      </c>
      <c r="AS3269" s="82"/>
      <c r="AT3269" s="82">
        <f>IFERROR(__xludf.DUMMYFUNCTION("""COMPUTED_VALUE"""),0.0)</f>
        <v>0</v>
      </c>
      <c r="AU3269" s="82"/>
      <c r="AV3269" s="82"/>
      <c r="AW3269" s="82" t="str">
        <f t="shared" si="1"/>
        <v/>
      </c>
      <c r="AX3269" s="83" t="str">
        <f t="array" ref="AX3269">IFERROR(DGET('SBV Import'!A:G,"SBV",{"RSC ID","Tier";B3269,A3269}))</f>
        <v/>
      </c>
      <c r="AY3269" s="82" t="str">
        <f t="shared" si="2"/>
        <v/>
      </c>
      <c r="AZ3269" s="82"/>
      <c r="BA3269" s="84" t="s">
        <v>152</v>
      </c>
      <c r="BB3269" s="84" t="str">
        <f>IFERROR(__xludf.DUMMYFUNCTION("iferror(if(A3269="""",,E3269&gt;=FILTER(Constants!$F$2:$F$10,Constants!$A$2:$A$10=A3269)))"),"")</f>
        <v/>
      </c>
    </row>
    <row r="3270">
      <c r="A3270" s="89"/>
      <c r="B3270" s="87"/>
      <c r="C3270" s="73"/>
      <c r="D3270" s="73"/>
      <c r="E3270" s="82"/>
      <c r="F3270" s="82"/>
      <c r="G3270" s="86"/>
      <c r="H3270" s="86"/>
      <c r="I3270" s="86"/>
      <c r="J3270" s="82"/>
      <c r="K3270" s="82"/>
      <c r="L3270" s="82"/>
      <c r="M3270" s="82"/>
      <c r="N3270" s="82"/>
      <c r="O3270" s="82"/>
      <c r="P3270" s="82"/>
      <c r="Q3270" s="82"/>
      <c r="R3270" s="82"/>
      <c r="S3270" s="82"/>
      <c r="T3270" s="82"/>
      <c r="U3270" s="82"/>
      <c r="V3270" s="82"/>
      <c r="W3270" s="82"/>
      <c r="X3270" s="82"/>
      <c r="Y3270" s="82"/>
      <c r="Z3270" s="82"/>
      <c r="AA3270" s="82"/>
      <c r="AB3270" s="82"/>
      <c r="AC3270" s="82"/>
      <c r="AD3270" s="82"/>
      <c r="AE3270" s="82"/>
      <c r="AF3270" s="82"/>
      <c r="AG3270" s="82"/>
      <c r="AH3270" s="82"/>
      <c r="AI3270" s="82"/>
      <c r="AJ3270" s="82"/>
      <c r="AK3270" s="82"/>
      <c r="AL3270" s="82"/>
      <c r="AM3270" s="82"/>
      <c r="AN3270" s="82">
        <f>IFERROR(__xludf.DUMMYFUNCTION("""COMPUTED_VALUE"""),0.0)</f>
        <v>0</v>
      </c>
      <c r="AO3270" s="82">
        <f>IFERROR(__xludf.DUMMYFUNCTION("""COMPUTED_VALUE"""),0.0)</f>
        <v>0</v>
      </c>
      <c r="AP3270" s="82">
        <f>IFERROR(__xludf.DUMMYFUNCTION("""COMPUTED_VALUE"""),0.0)</f>
        <v>0</v>
      </c>
      <c r="AQ3270" s="82">
        <f>IFERROR(__xludf.DUMMYFUNCTION("""COMPUTED_VALUE"""),0.0)</f>
        <v>0</v>
      </c>
      <c r="AR3270" s="82">
        <f>IFERROR(__xludf.DUMMYFUNCTION("""COMPUTED_VALUE"""),0.0)</f>
        <v>0</v>
      </c>
      <c r="AS3270" s="82"/>
      <c r="AT3270" s="82">
        <f>IFERROR(__xludf.DUMMYFUNCTION("""COMPUTED_VALUE"""),0.0)</f>
        <v>0</v>
      </c>
      <c r="AU3270" s="82"/>
      <c r="AV3270" s="82"/>
      <c r="AW3270" s="82" t="str">
        <f t="shared" si="1"/>
        <v/>
      </c>
      <c r="AX3270" s="83" t="str">
        <f t="array" ref="AX3270">IFERROR(DGET('SBV Import'!A:G,"SBV",{"RSC ID","Tier";B3270,A3270}))</f>
        <v/>
      </c>
      <c r="AY3270" s="82" t="str">
        <f t="shared" si="2"/>
        <v/>
      </c>
      <c r="AZ3270" s="82"/>
      <c r="BA3270" s="84" t="s">
        <v>152</v>
      </c>
      <c r="BB3270" s="84" t="str">
        <f>IFERROR(__xludf.DUMMYFUNCTION("iferror(if(A3270="""",,E3270&gt;=FILTER(Constants!$F$2:$F$10,Constants!$A$2:$A$10=A3270)))"),"")</f>
        <v/>
      </c>
    </row>
    <row r="3271">
      <c r="A3271" s="89"/>
      <c r="B3271" s="87"/>
      <c r="C3271" s="73"/>
      <c r="D3271" s="73"/>
      <c r="E3271" s="82"/>
      <c r="F3271" s="82"/>
      <c r="G3271" s="86"/>
      <c r="H3271" s="86"/>
      <c r="I3271" s="86"/>
      <c r="J3271" s="82"/>
      <c r="K3271" s="82"/>
      <c r="L3271" s="82"/>
      <c r="M3271" s="82"/>
      <c r="N3271" s="82"/>
      <c r="O3271" s="82"/>
      <c r="P3271" s="82"/>
      <c r="Q3271" s="82"/>
      <c r="R3271" s="82"/>
      <c r="S3271" s="82"/>
      <c r="T3271" s="82"/>
      <c r="U3271" s="82"/>
      <c r="V3271" s="82"/>
      <c r="W3271" s="82"/>
      <c r="X3271" s="82"/>
      <c r="Y3271" s="82"/>
      <c r="Z3271" s="82"/>
      <c r="AA3271" s="82"/>
      <c r="AB3271" s="82"/>
      <c r="AC3271" s="82"/>
      <c r="AD3271" s="82"/>
      <c r="AE3271" s="82"/>
      <c r="AF3271" s="82"/>
      <c r="AG3271" s="82"/>
      <c r="AH3271" s="82"/>
      <c r="AI3271" s="82"/>
      <c r="AJ3271" s="82"/>
      <c r="AK3271" s="82"/>
      <c r="AL3271" s="82"/>
      <c r="AM3271" s="82"/>
      <c r="AN3271" s="82">
        <f>IFERROR(__xludf.DUMMYFUNCTION("""COMPUTED_VALUE"""),0.0)</f>
        <v>0</v>
      </c>
      <c r="AO3271" s="82">
        <f>IFERROR(__xludf.DUMMYFUNCTION("""COMPUTED_VALUE"""),0.0)</f>
        <v>0</v>
      </c>
      <c r="AP3271" s="82">
        <f>IFERROR(__xludf.DUMMYFUNCTION("""COMPUTED_VALUE"""),0.0)</f>
        <v>0</v>
      </c>
      <c r="AQ3271" s="82">
        <f>IFERROR(__xludf.DUMMYFUNCTION("""COMPUTED_VALUE"""),0.0)</f>
        <v>0</v>
      </c>
      <c r="AR3271" s="82">
        <f>IFERROR(__xludf.DUMMYFUNCTION("""COMPUTED_VALUE"""),0.0)</f>
        <v>0</v>
      </c>
      <c r="AS3271" s="82"/>
      <c r="AT3271" s="82">
        <f>IFERROR(__xludf.DUMMYFUNCTION("""COMPUTED_VALUE"""),0.0)</f>
        <v>0</v>
      </c>
      <c r="AU3271" s="82"/>
      <c r="AV3271" s="82"/>
      <c r="AW3271" s="82" t="str">
        <f t="shared" si="1"/>
        <v/>
      </c>
      <c r="AX3271" s="83" t="str">
        <f t="array" ref="AX3271">IFERROR(DGET('SBV Import'!A:G,"SBV",{"RSC ID","Tier";B3271,A3271}))</f>
        <v/>
      </c>
      <c r="AY3271" s="82" t="str">
        <f t="shared" si="2"/>
        <v/>
      </c>
      <c r="AZ3271" s="82"/>
      <c r="BA3271" s="84" t="s">
        <v>152</v>
      </c>
      <c r="BB3271" s="84" t="str">
        <f>IFERROR(__xludf.DUMMYFUNCTION("iferror(if(A3271="""",,E3271&gt;=FILTER(Constants!$F$2:$F$10,Constants!$A$2:$A$10=A3271)))"),"")</f>
        <v/>
      </c>
    </row>
    <row r="3272">
      <c r="A3272" s="89"/>
      <c r="B3272" s="87"/>
      <c r="C3272" s="73"/>
      <c r="D3272" s="73"/>
      <c r="E3272" s="82"/>
      <c r="F3272" s="82"/>
      <c r="G3272" s="86"/>
      <c r="H3272" s="86"/>
      <c r="I3272" s="86"/>
      <c r="J3272" s="82"/>
      <c r="K3272" s="82"/>
      <c r="L3272" s="82"/>
      <c r="M3272" s="82"/>
      <c r="N3272" s="82"/>
      <c r="O3272" s="82"/>
      <c r="P3272" s="82"/>
      <c r="Q3272" s="82"/>
      <c r="R3272" s="82"/>
      <c r="S3272" s="82"/>
      <c r="T3272" s="82"/>
      <c r="U3272" s="82"/>
      <c r="V3272" s="82"/>
      <c r="W3272" s="82"/>
      <c r="X3272" s="82"/>
      <c r="Y3272" s="82"/>
      <c r="Z3272" s="82"/>
      <c r="AA3272" s="82"/>
      <c r="AB3272" s="82"/>
      <c r="AC3272" s="82"/>
      <c r="AD3272" s="82"/>
      <c r="AE3272" s="82"/>
      <c r="AF3272" s="82"/>
      <c r="AG3272" s="82"/>
      <c r="AH3272" s="82"/>
      <c r="AI3272" s="82"/>
      <c r="AJ3272" s="82"/>
      <c r="AK3272" s="82"/>
      <c r="AL3272" s="82"/>
      <c r="AM3272" s="82"/>
      <c r="AN3272" s="82">
        <f>IFERROR(__xludf.DUMMYFUNCTION("""COMPUTED_VALUE"""),0.0)</f>
        <v>0</v>
      </c>
      <c r="AO3272" s="82">
        <f>IFERROR(__xludf.DUMMYFUNCTION("""COMPUTED_VALUE"""),0.0)</f>
        <v>0</v>
      </c>
      <c r="AP3272" s="82">
        <f>IFERROR(__xludf.DUMMYFUNCTION("""COMPUTED_VALUE"""),0.0)</f>
        <v>0</v>
      </c>
      <c r="AQ3272" s="82">
        <f>IFERROR(__xludf.DUMMYFUNCTION("""COMPUTED_VALUE"""),0.0)</f>
        <v>0</v>
      </c>
      <c r="AR3272" s="82">
        <f>IFERROR(__xludf.DUMMYFUNCTION("""COMPUTED_VALUE"""),0.0)</f>
        <v>0</v>
      </c>
      <c r="AS3272" s="82"/>
      <c r="AT3272" s="82">
        <f>IFERROR(__xludf.DUMMYFUNCTION("""COMPUTED_VALUE"""),0.0)</f>
        <v>0</v>
      </c>
      <c r="AU3272" s="82"/>
      <c r="AV3272" s="82"/>
      <c r="AW3272" s="82" t="str">
        <f t="shared" si="1"/>
        <v/>
      </c>
      <c r="AX3272" s="83" t="str">
        <f t="array" ref="AX3272">IFERROR(DGET('SBV Import'!A:G,"SBV",{"RSC ID","Tier";B3272,A3272}))</f>
        <v/>
      </c>
      <c r="AY3272" s="82" t="str">
        <f t="shared" si="2"/>
        <v/>
      </c>
      <c r="AZ3272" s="82"/>
      <c r="BA3272" s="84" t="s">
        <v>152</v>
      </c>
      <c r="BB3272" s="84" t="str">
        <f>IFERROR(__xludf.DUMMYFUNCTION("iferror(if(A3272="""",,E3272&gt;=FILTER(Constants!$F$2:$F$10,Constants!$A$2:$A$10=A3272)))"),"")</f>
        <v/>
      </c>
    </row>
    <row r="3273">
      <c r="A3273" s="89"/>
      <c r="B3273" s="87"/>
      <c r="C3273" s="73"/>
      <c r="D3273" s="73"/>
      <c r="E3273" s="82"/>
      <c r="F3273" s="82"/>
      <c r="G3273" s="86"/>
      <c r="H3273" s="86"/>
      <c r="I3273" s="86"/>
      <c r="J3273" s="82"/>
      <c r="K3273" s="82"/>
      <c r="L3273" s="82"/>
      <c r="M3273" s="82"/>
      <c r="N3273" s="82"/>
      <c r="O3273" s="82"/>
      <c r="P3273" s="82"/>
      <c r="Q3273" s="82"/>
      <c r="R3273" s="82"/>
      <c r="S3273" s="82"/>
      <c r="T3273" s="82"/>
      <c r="U3273" s="82"/>
      <c r="V3273" s="82"/>
      <c r="W3273" s="82"/>
      <c r="X3273" s="82"/>
      <c r="Y3273" s="82"/>
      <c r="Z3273" s="82"/>
      <c r="AA3273" s="82"/>
      <c r="AB3273" s="82"/>
      <c r="AC3273" s="82"/>
      <c r="AD3273" s="82"/>
      <c r="AE3273" s="82"/>
      <c r="AF3273" s="82"/>
      <c r="AG3273" s="82"/>
      <c r="AH3273" s="82"/>
      <c r="AI3273" s="82"/>
      <c r="AJ3273" s="82"/>
      <c r="AK3273" s="82"/>
      <c r="AL3273" s="82"/>
      <c r="AM3273" s="82"/>
      <c r="AN3273" s="82">
        <f>IFERROR(__xludf.DUMMYFUNCTION("""COMPUTED_VALUE"""),0.0)</f>
        <v>0</v>
      </c>
      <c r="AO3273" s="82">
        <f>IFERROR(__xludf.DUMMYFUNCTION("""COMPUTED_VALUE"""),0.0)</f>
        <v>0</v>
      </c>
      <c r="AP3273" s="82">
        <f>IFERROR(__xludf.DUMMYFUNCTION("""COMPUTED_VALUE"""),0.0)</f>
        <v>0</v>
      </c>
      <c r="AQ3273" s="82">
        <f>IFERROR(__xludf.DUMMYFUNCTION("""COMPUTED_VALUE"""),0.0)</f>
        <v>0</v>
      </c>
      <c r="AR3273" s="82">
        <f>IFERROR(__xludf.DUMMYFUNCTION("""COMPUTED_VALUE"""),0.0)</f>
        <v>0</v>
      </c>
      <c r="AS3273" s="82"/>
      <c r="AT3273" s="82">
        <f>IFERROR(__xludf.DUMMYFUNCTION("""COMPUTED_VALUE"""),0.0)</f>
        <v>0</v>
      </c>
      <c r="AU3273" s="82"/>
      <c r="AV3273" s="82"/>
      <c r="AW3273" s="82" t="str">
        <f t="shared" si="1"/>
        <v/>
      </c>
      <c r="AX3273" s="83" t="str">
        <f t="array" ref="AX3273">IFERROR(DGET('SBV Import'!A:G,"SBV",{"RSC ID","Tier";B3273,A3273}))</f>
        <v/>
      </c>
      <c r="AY3273" s="82" t="str">
        <f t="shared" si="2"/>
        <v/>
      </c>
      <c r="AZ3273" s="82"/>
      <c r="BA3273" s="84" t="s">
        <v>152</v>
      </c>
      <c r="BB3273" s="84" t="str">
        <f>IFERROR(__xludf.DUMMYFUNCTION("iferror(if(A3273="""",,E3273&gt;=FILTER(Constants!$F$2:$F$10,Constants!$A$2:$A$10=A3273)))"),"")</f>
        <v/>
      </c>
    </row>
    <row r="3274">
      <c r="A3274" s="89"/>
      <c r="B3274" s="87"/>
      <c r="C3274" s="73"/>
      <c r="D3274" s="73"/>
      <c r="E3274" s="82"/>
      <c r="F3274" s="82"/>
      <c r="G3274" s="86"/>
      <c r="H3274" s="86"/>
      <c r="I3274" s="86"/>
      <c r="J3274" s="82"/>
      <c r="K3274" s="82"/>
      <c r="L3274" s="82"/>
      <c r="M3274" s="82"/>
      <c r="N3274" s="82"/>
      <c r="O3274" s="82"/>
      <c r="P3274" s="82"/>
      <c r="Q3274" s="82"/>
      <c r="R3274" s="82"/>
      <c r="S3274" s="82"/>
      <c r="T3274" s="82"/>
      <c r="U3274" s="82"/>
      <c r="V3274" s="82"/>
      <c r="W3274" s="82"/>
      <c r="X3274" s="82"/>
      <c r="Y3274" s="82"/>
      <c r="Z3274" s="82"/>
      <c r="AA3274" s="82"/>
      <c r="AB3274" s="82"/>
      <c r="AC3274" s="82"/>
      <c r="AD3274" s="82"/>
      <c r="AE3274" s="82"/>
      <c r="AF3274" s="82"/>
      <c r="AG3274" s="82"/>
      <c r="AH3274" s="82"/>
      <c r="AI3274" s="82"/>
      <c r="AJ3274" s="82"/>
      <c r="AK3274" s="82"/>
      <c r="AL3274" s="82"/>
      <c r="AM3274" s="82"/>
      <c r="AN3274" s="82">
        <f>IFERROR(__xludf.DUMMYFUNCTION("""COMPUTED_VALUE"""),0.0)</f>
        <v>0</v>
      </c>
      <c r="AO3274" s="82">
        <f>IFERROR(__xludf.DUMMYFUNCTION("""COMPUTED_VALUE"""),0.0)</f>
        <v>0</v>
      </c>
      <c r="AP3274" s="82">
        <f>IFERROR(__xludf.DUMMYFUNCTION("""COMPUTED_VALUE"""),0.0)</f>
        <v>0</v>
      </c>
      <c r="AQ3274" s="82">
        <f>IFERROR(__xludf.DUMMYFUNCTION("""COMPUTED_VALUE"""),0.0)</f>
        <v>0</v>
      </c>
      <c r="AR3274" s="82">
        <f>IFERROR(__xludf.DUMMYFUNCTION("""COMPUTED_VALUE"""),0.0)</f>
        <v>0</v>
      </c>
      <c r="AS3274" s="82"/>
      <c r="AT3274" s="82">
        <f>IFERROR(__xludf.DUMMYFUNCTION("""COMPUTED_VALUE"""),0.0)</f>
        <v>0</v>
      </c>
      <c r="AU3274" s="82"/>
      <c r="AV3274" s="82"/>
      <c r="AW3274" s="82" t="str">
        <f t="shared" si="1"/>
        <v/>
      </c>
      <c r="AX3274" s="83" t="str">
        <f t="array" ref="AX3274">IFERROR(DGET('SBV Import'!A:G,"SBV",{"RSC ID","Tier";B3274,A3274}))</f>
        <v/>
      </c>
      <c r="AY3274" s="82" t="str">
        <f t="shared" si="2"/>
        <v/>
      </c>
      <c r="AZ3274" s="82"/>
      <c r="BA3274" s="84" t="s">
        <v>152</v>
      </c>
      <c r="BB3274" s="84" t="str">
        <f>IFERROR(__xludf.DUMMYFUNCTION("iferror(if(A3274="""",,E3274&gt;=FILTER(Constants!$F$2:$F$10,Constants!$A$2:$A$10=A3274)))"),"")</f>
        <v/>
      </c>
    </row>
    <row r="3275">
      <c r="A3275" s="89"/>
      <c r="B3275" s="87"/>
      <c r="C3275" s="73"/>
      <c r="D3275" s="73"/>
      <c r="E3275" s="82"/>
      <c r="F3275" s="82"/>
      <c r="G3275" s="86"/>
      <c r="H3275" s="86"/>
      <c r="I3275" s="86"/>
      <c r="J3275" s="82"/>
      <c r="K3275" s="82"/>
      <c r="L3275" s="82"/>
      <c r="M3275" s="82"/>
      <c r="N3275" s="82"/>
      <c r="O3275" s="82"/>
      <c r="P3275" s="82"/>
      <c r="Q3275" s="82"/>
      <c r="R3275" s="82"/>
      <c r="S3275" s="82"/>
      <c r="T3275" s="82"/>
      <c r="U3275" s="82"/>
      <c r="V3275" s="82"/>
      <c r="W3275" s="82"/>
      <c r="X3275" s="82"/>
      <c r="Y3275" s="82"/>
      <c r="Z3275" s="82"/>
      <c r="AA3275" s="82"/>
      <c r="AB3275" s="82"/>
      <c r="AC3275" s="82"/>
      <c r="AD3275" s="82"/>
      <c r="AE3275" s="82"/>
      <c r="AF3275" s="82"/>
      <c r="AG3275" s="82"/>
      <c r="AH3275" s="82"/>
      <c r="AI3275" s="82"/>
      <c r="AJ3275" s="82"/>
      <c r="AK3275" s="82"/>
      <c r="AL3275" s="82"/>
      <c r="AM3275" s="82"/>
      <c r="AN3275" s="82">
        <f>IFERROR(__xludf.DUMMYFUNCTION("""COMPUTED_VALUE"""),0.0)</f>
        <v>0</v>
      </c>
      <c r="AO3275" s="82">
        <f>IFERROR(__xludf.DUMMYFUNCTION("""COMPUTED_VALUE"""),0.0)</f>
        <v>0</v>
      </c>
      <c r="AP3275" s="82">
        <f>IFERROR(__xludf.DUMMYFUNCTION("""COMPUTED_VALUE"""),0.0)</f>
        <v>0</v>
      </c>
      <c r="AQ3275" s="82">
        <f>IFERROR(__xludf.DUMMYFUNCTION("""COMPUTED_VALUE"""),0.0)</f>
        <v>0</v>
      </c>
      <c r="AR3275" s="82">
        <f>IFERROR(__xludf.DUMMYFUNCTION("""COMPUTED_VALUE"""),0.0)</f>
        <v>0</v>
      </c>
      <c r="AS3275" s="82"/>
      <c r="AT3275" s="82">
        <f>IFERROR(__xludf.DUMMYFUNCTION("""COMPUTED_VALUE"""),0.0)</f>
        <v>0</v>
      </c>
      <c r="AU3275" s="82"/>
      <c r="AV3275" s="82"/>
      <c r="AW3275" s="82" t="str">
        <f t="shared" si="1"/>
        <v/>
      </c>
      <c r="AX3275" s="83" t="str">
        <f t="array" ref="AX3275">IFERROR(DGET('SBV Import'!A:G,"SBV",{"RSC ID","Tier";B3275,A3275}))</f>
        <v/>
      </c>
      <c r="AY3275" s="82" t="str">
        <f t="shared" si="2"/>
        <v/>
      </c>
      <c r="AZ3275" s="82"/>
      <c r="BA3275" s="84" t="s">
        <v>152</v>
      </c>
      <c r="BB3275" s="84" t="str">
        <f>IFERROR(__xludf.DUMMYFUNCTION("iferror(if(A3275="""",,E3275&gt;=FILTER(Constants!$F$2:$F$10,Constants!$A$2:$A$10=A3275)))"),"")</f>
        <v/>
      </c>
    </row>
    <row r="3276">
      <c r="A3276" s="89"/>
      <c r="B3276" s="87"/>
      <c r="C3276" s="73"/>
      <c r="D3276" s="73"/>
      <c r="E3276" s="82"/>
      <c r="F3276" s="82"/>
      <c r="G3276" s="86"/>
      <c r="H3276" s="86"/>
      <c r="I3276" s="86"/>
      <c r="J3276" s="82"/>
      <c r="K3276" s="82"/>
      <c r="L3276" s="82"/>
      <c r="M3276" s="82"/>
      <c r="N3276" s="82"/>
      <c r="O3276" s="82"/>
      <c r="P3276" s="82"/>
      <c r="Q3276" s="82"/>
      <c r="R3276" s="82"/>
      <c r="S3276" s="82"/>
      <c r="T3276" s="82"/>
      <c r="U3276" s="82"/>
      <c r="V3276" s="82"/>
      <c r="W3276" s="82"/>
      <c r="X3276" s="82"/>
      <c r="Y3276" s="82"/>
      <c r="Z3276" s="82"/>
      <c r="AA3276" s="82"/>
      <c r="AB3276" s="82"/>
      <c r="AC3276" s="82"/>
      <c r="AD3276" s="82"/>
      <c r="AE3276" s="82"/>
      <c r="AF3276" s="82"/>
      <c r="AG3276" s="82"/>
      <c r="AH3276" s="82"/>
      <c r="AI3276" s="82"/>
      <c r="AJ3276" s="82"/>
      <c r="AK3276" s="82"/>
      <c r="AL3276" s="82"/>
      <c r="AM3276" s="82"/>
      <c r="AN3276" s="82">
        <f>IFERROR(__xludf.DUMMYFUNCTION("""COMPUTED_VALUE"""),0.0)</f>
        <v>0</v>
      </c>
      <c r="AO3276" s="82">
        <f>IFERROR(__xludf.DUMMYFUNCTION("""COMPUTED_VALUE"""),0.0)</f>
        <v>0</v>
      </c>
      <c r="AP3276" s="82">
        <f>IFERROR(__xludf.DUMMYFUNCTION("""COMPUTED_VALUE"""),0.0)</f>
        <v>0</v>
      </c>
      <c r="AQ3276" s="82">
        <f>IFERROR(__xludf.DUMMYFUNCTION("""COMPUTED_VALUE"""),0.0)</f>
        <v>0</v>
      </c>
      <c r="AR3276" s="82">
        <f>IFERROR(__xludf.DUMMYFUNCTION("""COMPUTED_VALUE"""),0.0)</f>
        <v>0</v>
      </c>
      <c r="AS3276" s="82"/>
      <c r="AT3276" s="82">
        <f>IFERROR(__xludf.DUMMYFUNCTION("""COMPUTED_VALUE"""),0.0)</f>
        <v>0</v>
      </c>
      <c r="AU3276" s="82"/>
      <c r="AV3276" s="82"/>
      <c r="AW3276" s="82" t="str">
        <f t="shared" si="1"/>
        <v/>
      </c>
      <c r="AX3276" s="83" t="str">
        <f t="array" ref="AX3276">IFERROR(DGET('SBV Import'!A:G,"SBV",{"RSC ID","Tier";B3276,A3276}))</f>
        <v/>
      </c>
      <c r="AY3276" s="82" t="str">
        <f t="shared" si="2"/>
        <v/>
      </c>
      <c r="AZ3276" s="82"/>
      <c r="BA3276" s="84" t="s">
        <v>152</v>
      </c>
      <c r="BB3276" s="84" t="str">
        <f>IFERROR(__xludf.DUMMYFUNCTION("iferror(if(A3276="""",,E3276&gt;=FILTER(Constants!$F$2:$F$10,Constants!$A$2:$A$10=A3276)))"),"")</f>
        <v/>
      </c>
    </row>
    <row r="3277">
      <c r="A3277" s="89"/>
      <c r="B3277" s="87"/>
      <c r="C3277" s="73"/>
      <c r="D3277" s="73"/>
      <c r="E3277" s="82"/>
      <c r="F3277" s="82"/>
      <c r="G3277" s="86"/>
      <c r="H3277" s="86"/>
      <c r="I3277" s="86"/>
      <c r="J3277" s="82"/>
      <c r="K3277" s="82"/>
      <c r="L3277" s="82"/>
      <c r="M3277" s="82"/>
      <c r="N3277" s="82"/>
      <c r="O3277" s="82"/>
      <c r="P3277" s="82"/>
      <c r="Q3277" s="82"/>
      <c r="R3277" s="82"/>
      <c r="S3277" s="82"/>
      <c r="T3277" s="82"/>
      <c r="U3277" s="82"/>
      <c r="V3277" s="82"/>
      <c r="W3277" s="82"/>
      <c r="X3277" s="82"/>
      <c r="Y3277" s="82"/>
      <c r="Z3277" s="82"/>
      <c r="AA3277" s="82"/>
      <c r="AB3277" s="82"/>
      <c r="AC3277" s="82"/>
      <c r="AD3277" s="82"/>
      <c r="AE3277" s="82"/>
      <c r="AF3277" s="82"/>
      <c r="AG3277" s="82"/>
      <c r="AH3277" s="82"/>
      <c r="AI3277" s="82"/>
      <c r="AJ3277" s="82"/>
      <c r="AK3277" s="82"/>
      <c r="AL3277" s="82"/>
      <c r="AM3277" s="82"/>
      <c r="AN3277" s="82">
        <f>IFERROR(__xludf.DUMMYFUNCTION("""COMPUTED_VALUE"""),0.0)</f>
        <v>0</v>
      </c>
      <c r="AO3277" s="82">
        <f>IFERROR(__xludf.DUMMYFUNCTION("""COMPUTED_VALUE"""),0.0)</f>
        <v>0</v>
      </c>
      <c r="AP3277" s="82">
        <f>IFERROR(__xludf.DUMMYFUNCTION("""COMPUTED_VALUE"""),0.0)</f>
        <v>0</v>
      </c>
      <c r="AQ3277" s="82">
        <f>IFERROR(__xludf.DUMMYFUNCTION("""COMPUTED_VALUE"""),0.0)</f>
        <v>0</v>
      </c>
      <c r="AR3277" s="82">
        <f>IFERROR(__xludf.DUMMYFUNCTION("""COMPUTED_VALUE"""),0.0)</f>
        <v>0</v>
      </c>
      <c r="AS3277" s="82"/>
      <c r="AT3277" s="82">
        <f>IFERROR(__xludf.DUMMYFUNCTION("""COMPUTED_VALUE"""),0.0)</f>
        <v>0</v>
      </c>
      <c r="AU3277" s="82"/>
      <c r="AV3277" s="82"/>
      <c r="AW3277" s="82" t="str">
        <f t="shared" si="1"/>
        <v/>
      </c>
      <c r="AX3277" s="83" t="str">
        <f t="array" ref="AX3277">IFERROR(DGET('SBV Import'!A:G,"SBV",{"RSC ID","Tier";B3277,A3277}))</f>
        <v/>
      </c>
      <c r="AY3277" s="82" t="str">
        <f t="shared" si="2"/>
        <v/>
      </c>
      <c r="AZ3277" s="82"/>
      <c r="BA3277" s="84" t="s">
        <v>152</v>
      </c>
      <c r="BB3277" s="84" t="str">
        <f>IFERROR(__xludf.DUMMYFUNCTION("iferror(if(A3277="""",,E3277&gt;=FILTER(Constants!$F$2:$F$10,Constants!$A$2:$A$10=A3277)))"),"")</f>
        <v/>
      </c>
    </row>
    <row r="3278">
      <c r="A3278" s="89"/>
      <c r="B3278" s="87"/>
      <c r="C3278" s="73"/>
      <c r="D3278" s="73"/>
      <c r="E3278" s="82"/>
      <c r="F3278" s="82"/>
      <c r="G3278" s="86"/>
      <c r="H3278" s="86"/>
      <c r="I3278" s="86"/>
      <c r="J3278" s="82"/>
      <c r="K3278" s="82"/>
      <c r="L3278" s="82"/>
      <c r="M3278" s="82"/>
      <c r="N3278" s="82"/>
      <c r="O3278" s="82"/>
      <c r="P3278" s="82"/>
      <c r="Q3278" s="82"/>
      <c r="R3278" s="82"/>
      <c r="S3278" s="82"/>
      <c r="T3278" s="82"/>
      <c r="U3278" s="82"/>
      <c r="V3278" s="82"/>
      <c r="W3278" s="82"/>
      <c r="X3278" s="82"/>
      <c r="Y3278" s="82"/>
      <c r="Z3278" s="82"/>
      <c r="AA3278" s="82"/>
      <c r="AB3278" s="82"/>
      <c r="AC3278" s="82"/>
      <c r="AD3278" s="82"/>
      <c r="AE3278" s="82"/>
      <c r="AF3278" s="82"/>
      <c r="AG3278" s="82"/>
      <c r="AH3278" s="82"/>
      <c r="AI3278" s="82"/>
      <c r="AJ3278" s="82"/>
      <c r="AK3278" s="82"/>
      <c r="AL3278" s="82"/>
      <c r="AM3278" s="82"/>
      <c r="AN3278" s="82">
        <f>IFERROR(__xludf.DUMMYFUNCTION("""COMPUTED_VALUE"""),0.0)</f>
        <v>0</v>
      </c>
      <c r="AO3278" s="82">
        <f>IFERROR(__xludf.DUMMYFUNCTION("""COMPUTED_VALUE"""),0.0)</f>
        <v>0</v>
      </c>
      <c r="AP3278" s="82">
        <f>IFERROR(__xludf.DUMMYFUNCTION("""COMPUTED_VALUE"""),0.0)</f>
        <v>0</v>
      </c>
      <c r="AQ3278" s="82">
        <f>IFERROR(__xludf.DUMMYFUNCTION("""COMPUTED_VALUE"""),0.0)</f>
        <v>0</v>
      </c>
      <c r="AR3278" s="82">
        <f>IFERROR(__xludf.DUMMYFUNCTION("""COMPUTED_VALUE"""),0.0)</f>
        <v>0</v>
      </c>
      <c r="AS3278" s="82"/>
      <c r="AT3278" s="82">
        <f>IFERROR(__xludf.DUMMYFUNCTION("""COMPUTED_VALUE"""),0.0)</f>
        <v>0</v>
      </c>
      <c r="AU3278" s="82"/>
      <c r="AV3278" s="82"/>
      <c r="AW3278" s="82" t="str">
        <f t="shared" si="1"/>
        <v/>
      </c>
      <c r="AX3278" s="83" t="str">
        <f t="array" ref="AX3278">IFERROR(DGET('SBV Import'!A:G,"SBV",{"RSC ID","Tier";B3278,A3278}))</f>
        <v/>
      </c>
      <c r="AY3278" s="82" t="str">
        <f t="shared" si="2"/>
        <v/>
      </c>
      <c r="AZ3278" s="82"/>
      <c r="BA3278" s="84" t="s">
        <v>152</v>
      </c>
      <c r="BB3278" s="84" t="str">
        <f>IFERROR(__xludf.DUMMYFUNCTION("iferror(if(A3278="""",,E3278&gt;=FILTER(Constants!$F$2:$F$10,Constants!$A$2:$A$10=A3278)))"),"")</f>
        <v/>
      </c>
    </row>
    <row r="3279">
      <c r="A3279" s="89"/>
      <c r="B3279" s="87"/>
      <c r="C3279" s="73"/>
      <c r="D3279" s="73"/>
      <c r="E3279" s="82"/>
      <c r="F3279" s="82"/>
      <c r="G3279" s="86"/>
      <c r="H3279" s="86"/>
      <c r="I3279" s="86"/>
      <c r="J3279" s="82"/>
      <c r="K3279" s="82"/>
      <c r="L3279" s="82"/>
      <c r="M3279" s="82"/>
      <c r="N3279" s="82"/>
      <c r="O3279" s="82"/>
      <c r="P3279" s="82"/>
      <c r="Q3279" s="82"/>
      <c r="R3279" s="82"/>
      <c r="S3279" s="82"/>
      <c r="T3279" s="82"/>
      <c r="U3279" s="82"/>
      <c r="V3279" s="82"/>
      <c r="W3279" s="82"/>
      <c r="X3279" s="82"/>
      <c r="Y3279" s="82"/>
      <c r="Z3279" s="82"/>
      <c r="AA3279" s="82"/>
      <c r="AB3279" s="82"/>
      <c r="AC3279" s="82"/>
      <c r="AD3279" s="82"/>
      <c r="AE3279" s="82"/>
      <c r="AF3279" s="82"/>
      <c r="AG3279" s="82"/>
      <c r="AH3279" s="82"/>
      <c r="AI3279" s="82"/>
      <c r="AJ3279" s="82"/>
      <c r="AK3279" s="82"/>
      <c r="AL3279" s="82"/>
      <c r="AM3279" s="82"/>
      <c r="AN3279" s="82">
        <f>IFERROR(__xludf.DUMMYFUNCTION("""COMPUTED_VALUE"""),0.0)</f>
        <v>0</v>
      </c>
      <c r="AO3279" s="82">
        <f>IFERROR(__xludf.DUMMYFUNCTION("""COMPUTED_VALUE"""),0.0)</f>
        <v>0</v>
      </c>
      <c r="AP3279" s="82">
        <f>IFERROR(__xludf.DUMMYFUNCTION("""COMPUTED_VALUE"""),0.0)</f>
        <v>0</v>
      </c>
      <c r="AQ3279" s="82">
        <f>IFERROR(__xludf.DUMMYFUNCTION("""COMPUTED_VALUE"""),0.0)</f>
        <v>0</v>
      </c>
      <c r="AR3279" s="82">
        <f>IFERROR(__xludf.DUMMYFUNCTION("""COMPUTED_VALUE"""),0.0)</f>
        <v>0</v>
      </c>
      <c r="AS3279" s="82"/>
      <c r="AT3279" s="82">
        <f>IFERROR(__xludf.DUMMYFUNCTION("""COMPUTED_VALUE"""),0.0)</f>
        <v>0</v>
      </c>
      <c r="AU3279" s="82"/>
      <c r="AV3279" s="82"/>
      <c r="AW3279" s="82" t="str">
        <f t="shared" si="1"/>
        <v/>
      </c>
      <c r="AX3279" s="83" t="str">
        <f t="array" ref="AX3279">IFERROR(DGET('SBV Import'!A:G,"SBV",{"RSC ID","Tier";B3279,A3279}))</f>
        <v/>
      </c>
      <c r="AY3279" s="82" t="str">
        <f t="shared" si="2"/>
        <v/>
      </c>
      <c r="AZ3279" s="82"/>
      <c r="BA3279" s="84" t="s">
        <v>152</v>
      </c>
      <c r="BB3279" s="84" t="str">
        <f>IFERROR(__xludf.DUMMYFUNCTION("iferror(if(A3279="""",,E3279&gt;=FILTER(Constants!$F$2:$F$10,Constants!$A$2:$A$10=A3279)))"),"")</f>
        <v/>
      </c>
    </row>
    <row r="3280">
      <c r="A3280" s="89"/>
      <c r="B3280" s="87"/>
      <c r="C3280" s="73"/>
      <c r="D3280" s="73"/>
      <c r="E3280" s="82"/>
      <c r="F3280" s="82"/>
      <c r="G3280" s="86"/>
      <c r="H3280" s="86"/>
      <c r="I3280" s="86"/>
      <c r="J3280" s="82"/>
      <c r="K3280" s="82"/>
      <c r="L3280" s="82"/>
      <c r="M3280" s="82"/>
      <c r="N3280" s="82"/>
      <c r="O3280" s="82"/>
      <c r="P3280" s="82"/>
      <c r="Q3280" s="82"/>
      <c r="R3280" s="82"/>
      <c r="S3280" s="82"/>
      <c r="T3280" s="82"/>
      <c r="U3280" s="82"/>
      <c r="V3280" s="82"/>
      <c r="W3280" s="82"/>
      <c r="X3280" s="82"/>
      <c r="Y3280" s="82"/>
      <c r="Z3280" s="82"/>
      <c r="AA3280" s="82"/>
      <c r="AB3280" s="82"/>
      <c r="AC3280" s="82"/>
      <c r="AD3280" s="82"/>
      <c r="AE3280" s="82"/>
      <c r="AF3280" s="82"/>
      <c r="AG3280" s="82"/>
      <c r="AH3280" s="82"/>
      <c r="AI3280" s="82"/>
      <c r="AJ3280" s="82"/>
      <c r="AK3280" s="82"/>
      <c r="AL3280" s="82"/>
      <c r="AM3280" s="82"/>
      <c r="AN3280" s="82">
        <f>IFERROR(__xludf.DUMMYFUNCTION("""COMPUTED_VALUE"""),0.0)</f>
        <v>0</v>
      </c>
      <c r="AO3280" s="82">
        <f>IFERROR(__xludf.DUMMYFUNCTION("""COMPUTED_VALUE"""),0.0)</f>
        <v>0</v>
      </c>
      <c r="AP3280" s="82">
        <f>IFERROR(__xludf.DUMMYFUNCTION("""COMPUTED_VALUE"""),0.0)</f>
        <v>0</v>
      </c>
      <c r="AQ3280" s="82">
        <f>IFERROR(__xludf.DUMMYFUNCTION("""COMPUTED_VALUE"""),0.0)</f>
        <v>0</v>
      </c>
      <c r="AR3280" s="82">
        <f>IFERROR(__xludf.DUMMYFUNCTION("""COMPUTED_VALUE"""),0.0)</f>
        <v>0</v>
      </c>
      <c r="AS3280" s="82"/>
      <c r="AT3280" s="82">
        <f>IFERROR(__xludf.DUMMYFUNCTION("""COMPUTED_VALUE"""),0.0)</f>
        <v>0</v>
      </c>
      <c r="AU3280" s="82"/>
      <c r="AV3280" s="82"/>
      <c r="AW3280" s="82" t="str">
        <f t="shared" si="1"/>
        <v/>
      </c>
      <c r="AX3280" s="83" t="str">
        <f t="array" ref="AX3280">IFERROR(DGET('SBV Import'!A:G,"SBV",{"RSC ID","Tier";B3280,A3280}))</f>
        <v/>
      </c>
      <c r="AY3280" s="82" t="str">
        <f t="shared" si="2"/>
        <v/>
      </c>
      <c r="AZ3280" s="82"/>
      <c r="BA3280" s="84" t="s">
        <v>152</v>
      </c>
      <c r="BB3280" s="84" t="str">
        <f>IFERROR(__xludf.DUMMYFUNCTION("iferror(if(A3280="""",,E3280&gt;=FILTER(Constants!$F$2:$F$10,Constants!$A$2:$A$10=A3280)))"),"")</f>
        <v/>
      </c>
    </row>
    <row r="3281">
      <c r="A3281" s="89"/>
      <c r="B3281" s="87"/>
      <c r="C3281" s="73"/>
      <c r="D3281" s="73"/>
      <c r="E3281" s="82"/>
      <c r="F3281" s="82"/>
      <c r="G3281" s="86"/>
      <c r="H3281" s="86"/>
      <c r="I3281" s="86"/>
      <c r="J3281" s="82"/>
      <c r="K3281" s="82"/>
      <c r="L3281" s="82"/>
      <c r="M3281" s="82"/>
      <c r="N3281" s="82"/>
      <c r="O3281" s="82"/>
      <c r="P3281" s="82"/>
      <c r="Q3281" s="82"/>
      <c r="R3281" s="82"/>
      <c r="S3281" s="82"/>
      <c r="T3281" s="82"/>
      <c r="U3281" s="82"/>
      <c r="V3281" s="82"/>
      <c r="W3281" s="82"/>
      <c r="X3281" s="82"/>
      <c r="Y3281" s="82"/>
      <c r="Z3281" s="82"/>
      <c r="AA3281" s="82"/>
      <c r="AB3281" s="82"/>
      <c r="AC3281" s="82"/>
      <c r="AD3281" s="82"/>
      <c r="AE3281" s="82"/>
      <c r="AF3281" s="82"/>
      <c r="AG3281" s="82"/>
      <c r="AH3281" s="82"/>
      <c r="AI3281" s="82"/>
      <c r="AJ3281" s="82"/>
      <c r="AK3281" s="82"/>
      <c r="AL3281" s="82"/>
      <c r="AM3281" s="82"/>
      <c r="AN3281" s="82">
        <f>IFERROR(__xludf.DUMMYFUNCTION("""COMPUTED_VALUE"""),0.0)</f>
        <v>0</v>
      </c>
      <c r="AO3281" s="82">
        <f>IFERROR(__xludf.DUMMYFUNCTION("""COMPUTED_VALUE"""),0.0)</f>
        <v>0</v>
      </c>
      <c r="AP3281" s="82">
        <f>IFERROR(__xludf.DUMMYFUNCTION("""COMPUTED_VALUE"""),0.0)</f>
        <v>0</v>
      </c>
      <c r="AQ3281" s="82">
        <f>IFERROR(__xludf.DUMMYFUNCTION("""COMPUTED_VALUE"""),0.0)</f>
        <v>0</v>
      </c>
      <c r="AR3281" s="82">
        <f>IFERROR(__xludf.DUMMYFUNCTION("""COMPUTED_VALUE"""),0.0)</f>
        <v>0</v>
      </c>
      <c r="AS3281" s="82"/>
      <c r="AT3281" s="82">
        <f>IFERROR(__xludf.DUMMYFUNCTION("""COMPUTED_VALUE"""),0.0)</f>
        <v>0</v>
      </c>
      <c r="AU3281" s="82"/>
      <c r="AV3281" s="82"/>
      <c r="AW3281" s="82" t="str">
        <f t="shared" si="1"/>
        <v/>
      </c>
      <c r="AX3281" s="83" t="str">
        <f t="array" ref="AX3281">IFERROR(DGET('SBV Import'!A:G,"SBV",{"RSC ID","Tier";B3281,A3281}))</f>
        <v/>
      </c>
      <c r="AY3281" s="82" t="str">
        <f t="shared" si="2"/>
        <v/>
      </c>
      <c r="AZ3281" s="82"/>
      <c r="BA3281" s="84" t="s">
        <v>152</v>
      </c>
      <c r="BB3281" s="84" t="str">
        <f>IFERROR(__xludf.DUMMYFUNCTION("iferror(if(A3281="""",,E3281&gt;=FILTER(Constants!$F$2:$F$10,Constants!$A$2:$A$10=A3281)))"),"")</f>
        <v/>
      </c>
    </row>
    <row r="3282">
      <c r="A3282" s="89"/>
      <c r="B3282" s="87"/>
      <c r="C3282" s="73"/>
      <c r="D3282" s="73"/>
      <c r="E3282" s="82"/>
      <c r="F3282" s="82"/>
      <c r="G3282" s="86"/>
      <c r="H3282" s="86"/>
      <c r="I3282" s="86"/>
      <c r="J3282" s="82"/>
      <c r="K3282" s="82"/>
      <c r="L3282" s="82"/>
      <c r="M3282" s="82"/>
      <c r="N3282" s="82"/>
      <c r="O3282" s="82"/>
      <c r="P3282" s="82"/>
      <c r="Q3282" s="82"/>
      <c r="R3282" s="82"/>
      <c r="S3282" s="82"/>
      <c r="T3282" s="82"/>
      <c r="U3282" s="82"/>
      <c r="V3282" s="82"/>
      <c r="W3282" s="82"/>
      <c r="X3282" s="82"/>
      <c r="Y3282" s="82"/>
      <c r="Z3282" s="82"/>
      <c r="AA3282" s="82"/>
      <c r="AB3282" s="82"/>
      <c r="AC3282" s="82"/>
      <c r="AD3282" s="82"/>
      <c r="AE3282" s="82"/>
      <c r="AF3282" s="82"/>
      <c r="AG3282" s="82"/>
      <c r="AH3282" s="82"/>
      <c r="AI3282" s="82"/>
      <c r="AJ3282" s="82"/>
      <c r="AK3282" s="82"/>
      <c r="AL3282" s="82"/>
      <c r="AM3282" s="82"/>
      <c r="AN3282" s="82">
        <f>IFERROR(__xludf.DUMMYFUNCTION("""COMPUTED_VALUE"""),0.0)</f>
        <v>0</v>
      </c>
      <c r="AO3282" s="82">
        <f>IFERROR(__xludf.DUMMYFUNCTION("""COMPUTED_VALUE"""),0.0)</f>
        <v>0</v>
      </c>
      <c r="AP3282" s="82">
        <f>IFERROR(__xludf.DUMMYFUNCTION("""COMPUTED_VALUE"""),0.0)</f>
        <v>0</v>
      </c>
      <c r="AQ3282" s="82">
        <f>IFERROR(__xludf.DUMMYFUNCTION("""COMPUTED_VALUE"""),0.0)</f>
        <v>0</v>
      </c>
      <c r="AR3282" s="82">
        <f>IFERROR(__xludf.DUMMYFUNCTION("""COMPUTED_VALUE"""),0.0)</f>
        <v>0</v>
      </c>
      <c r="AS3282" s="82"/>
      <c r="AT3282" s="82">
        <f>IFERROR(__xludf.DUMMYFUNCTION("""COMPUTED_VALUE"""),0.0)</f>
        <v>0</v>
      </c>
      <c r="AU3282" s="82"/>
      <c r="AV3282" s="82"/>
      <c r="AW3282" s="82" t="str">
        <f t="shared" si="1"/>
        <v/>
      </c>
      <c r="AX3282" s="83" t="str">
        <f t="array" ref="AX3282">IFERROR(DGET('SBV Import'!A:G,"SBV",{"RSC ID","Tier";B3282,A3282}))</f>
        <v/>
      </c>
      <c r="AY3282" s="82" t="str">
        <f t="shared" si="2"/>
        <v/>
      </c>
      <c r="AZ3282" s="82"/>
      <c r="BA3282" s="84" t="s">
        <v>152</v>
      </c>
      <c r="BB3282" s="84" t="str">
        <f>IFERROR(__xludf.DUMMYFUNCTION("iferror(if(A3282="""",,E3282&gt;=FILTER(Constants!$F$2:$F$10,Constants!$A$2:$A$10=A3282)))"),"")</f>
        <v/>
      </c>
    </row>
    <row r="3283">
      <c r="A3283" s="89"/>
      <c r="B3283" s="87"/>
      <c r="C3283" s="73"/>
      <c r="D3283" s="73"/>
      <c r="E3283" s="82"/>
      <c r="F3283" s="82"/>
      <c r="G3283" s="86"/>
      <c r="H3283" s="86"/>
      <c r="I3283" s="86"/>
      <c r="J3283" s="82"/>
      <c r="K3283" s="82"/>
      <c r="L3283" s="82"/>
      <c r="M3283" s="82"/>
      <c r="N3283" s="82"/>
      <c r="O3283" s="82"/>
      <c r="P3283" s="82"/>
      <c r="Q3283" s="82"/>
      <c r="R3283" s="82"/>
      <c r="S3283" s="82"/>
      <c r="T3283" s="82"/>
      <c r="U3283" s="82"/>
      <c r="V3283" s="82"/>
      <c r="W3283" s="82"/>
      <c r="X3283" s="82"/>
      <c r="Y3283" s="82"/>
      <c r="Z3283" s="82"/>
      <c r="AA3283" s="82"/>
      <c r="AB3283" s="82"/>
      <c r="AC3283" s="82"/>
      <c r="AD3283" s="82"/>
      <c r="AE3283" s="82"/>
      <c r="AF3283" s="82"/>
      <c r="AG3283" s="82"/>
      <c r="AH3283" s="82"/>
      <c r="AI3283" s="82"/>
      <c r="AJ3283" s="82"/>
      <c r="AK3283" s="82"/>
      <c r="AL3283" s="82"/>
      <c r="AM3283" s="82"/>
      <c r="AN3283" s="82">
        <f>IFERROR(__xludf.DUMMYFUNCTION("""COMPUTED_VALUE"""),0.0)</f>
        <v>0</v>
      </c>
      <c r="AO3283" s="82">
        <f>IFERROR(__xludf.DUMMYFUNCTION("""COMPUTED_VALUE"""),0.0)</f>
        <v>0</v>
      </c>
      <c r="AP3283" s="82">
        <f>IFERROR(__xludf.DUMMYFUNCTION("""COMPUTED_VALUE"""),0.0)</f>
        <v>0</v>
      </c>
      <c r="AQ3283" s="82">
        <f>IFERROR(__xludf.DUMMYFUNCTION("""COMPUTED_VALUE"""),0.0)</f>
        <v>0</v>
      </c>
      <c r="AR3283" s="82">
        <f>IFERROR(__xludf.DUMMYFUNCTION("""COMPUTED_VALUE"""),0.0)</f>
        <v>0</v>
      </c>
      <c r="AS3283" s="82"/>
      <c r="AT3283" s="82">
        <f>IFERROR(__xludf.DUMMYFUNCTION("""COMPUTED_VALUE"""),0.0)</f>
        <v>0</v>
      </c>
      <c r="AU3283" s="82"/>
      <c r="AV3283" s="82"/>
      <c r="AW3283" s="82" t="str">
        <f t="shared" si="1"/>
        <v/>
      </c>
      <c r="AX3283" s="83" t="str">
        <f t="array" ref="AX3283">IFERROR(DGET('SBV Import'!A:G,"SBV",{"RSC ID","Tier";B3283,A3283}))</f>
        <v/>
      </c>
      <c r="AY3283" s="82" t="str">
        <f t="shared" si="2"/>
        <v/>
      </c>
      <c r="AZ3283" s="82"/>
      <c r="BA3283" s="84" t="s">
        <v>152</v>
      </c>
      <c r="BB3283" s="84" t="str">
        <f>IFERROR(__xludf.DUMMYFUNCTION("iferror(if(A3283="""",,E3283&gt;=FILTER(Constants!$F$2:$F$10,Constants!$A$2:$A$10=A3283)))"),"")</f>
        <v/>
      </c>
    </row>
    <row r="3284">
      <c r="A3284" s="89"/>
      <c r="B3284" s="87"/>
      <c r="C3284" s="73"/>
      <c r="D3284" s="73"/>
      <c r="E3284" s="82"/>
      <c r="F3284" s="82"/>
      <c r="G3284" s="86"/>
      <c r="H3284" s="86"/>
      <c r="I3284" s="86"/>
      <c r="J3284" s="82"/>
      <c r="K3284" s="82"/>
      <c r="L3284" s="82"/>
      <c r="M3284" s="82"/>
      <c r="N3284" s="82"/>
      <c r="O3284" s="82"/>
      <c r="P3284" s="82"/>
      <c r="Q3284" s="82"/>
      <c r="R3284" s="82"/>
      <c r="S3284" s="82"/>
      <c r="T3284" s="82"/>
      <c r="U3284" s="82"/>
      <c r="V3284" s="82"/>
      <c r="W3284" s="82"/>
      <c r="X3284" s="82"/>
      <c r="Y3284" s="82"/>
      <c r="Z3284" s="82"/>
      <c r="AA3284" s="82"/>
      <c r="AB3284" s="82"/>
      <c r="AC3284" s="82"/>
      <c r="AD3284" s="82"/>
      <c r="AE3284" s="82"/>
      <c r="AF3284" s="82"/>
      <c r="AG3284" s="82"/>
      <c r="AH3284" s="82"/>
      <c r="AI3284" s="82"/>
      <c r="AJ3284" s="82"/>
      <c r="AK3284" s="82"/>
      <c r="AL3284" s="82"/>
      <c r="AM3284" s="82"/>
      <c r="AN3284" s="82">
        <f>IFERROR(__xludf.DUMMYFUNCTION("""COMPUTED_VALUE"""),0.0)</f>
        <v>0</v>
      </c>
      <c r="AO3284" s="82">
        <f>IFERROR(__xludf.DUMMYFUNCTION("""COMPUTED_VALUE"""),0.0)</f>
        <v>0</v>
      </c>
      <c r="AP3284" s="82">
        <f>IFERROR(__xludf.DUMMYFUNCTION("""COMPUTED_VALUE"""),0.0)</f>
        <v>0</v>
      </c>
      <c r="AQ3284" s="82">
        <f>IFERROR(__xludf.DUMMYFUNCTION("""COMPUTED_VALUE"""),0.0)</f>
        <v>0</v>
      </c>
      <c r="AR3284" s="82">
        <f>IFERROR(__xludf.DUMMYFUNCTION("""COMPUTED_VALUE"""),0.0)</f>
        <v>0</v>
      </c>
      <c r="AS3284" s="82"/>
      <c r="AT3284" s="82">
        <f>IFERROR(__xludf.DUMMYFUNCTION("""COMPUTED_VALUE"""),0.0)</f>
        <v>0</v>
      </c>
      <c r="AU3284" s="82"/>
      <c r="AV3284" s="82"/>
      <c r="AW3284" s="82" t="str">
        <f t="shared" si="1"/>
        <v/>
      </c>
      <c r="AX3284" s="83" t="str">
        <f t="array" ref="AX3284">IFERROR(DGET('SBV Import'!A:G,"SBV",{"RSC ID","Tier";B3284,A3284}))</f>
        <v/>
      </c>
      <c r="AY3284" s="82" t="str">
        <f t="shared" si="2"/>
        <v/>
      </c>
      <c r="AZ3284" s="82"/>
      <c r="BA3284" s="84" t="s">
        <v>152</v>
      </c>
      <c r="BB3284" s="84" t="str">
        <f>IFERROR(__xludf.DUMMYFUNCTION("iferror(if(A3284="""",,E3284&gt;=FILTER(Constants!$F$2:$F$10,Constants!$A$2:$A$10=A3284)))"),"")</f>
        <v/>
      </c>
    </row>
    <row r="3285">
      <c r="A3285" s="89"/>
      <c r="B3285" s="87"/>
      <c r="C3285" s="73"/>
      <c r="D3285" s="73"/>
      <c r="E3285" s="82"/>
      <c r="F3285" s="82"/>
      <c r="G3285" s="86"/>
      <c r="H3285" s="86"/>
      <c r="I3285" s="86"/>
      <c r="J3285" s="82"/>
      <c r="K3285" s="82"/>
      <c r="L3285" s="82"/>
      <c r="M3285" s="82"/>
      <c r="N3285" s="82"/>
      <c r="O3285" s="82"/>
      <c r="P3285" s="82"/>
      <c r="Q3285" s="82"/>
      <c r="R3285" s="82"/>
      <c r="S3285" s="82"/>
      <c r="T3285" s="82"/>
      <c r="U3285" s="82"/>
      <c r="V3285" s="82"/>
      <c r="W3285" s="82"/>
      <c r="X3285" s="82"/>
      <c r="Y3285" s="82"/>
      <c r="Z3285" s="82"/>
      <c r="AA3285" s="82"/>
      <c r="AB3285" s="82"/>
      <c r="AC3285" s="82"/>
      <c r="AD3285" s="82"/>
      <c r="AE3285" s="82"/>
      <c r="AF3285" s="82"/>
      <c r="AG3285" s="82"/>
      <c r="AH3285" s="82"/>
      <c r="AI3285" s="82"/>
      <c r="AJ3285" s="82"/>
      <c r="AK3285" s="82"/>
      <c r="AL3285" s="82"/>
      <c r="AM3285" s="82"/>
      <c r="AN3285" s="82">
        <f>IFERROR(__xludf.DUMMYFUNCTION("""COMPUTED_VALUE"""),0.0)</f>
        <v>0</v>
      </c>
      <c r="AO3285" s="82">
        <f>IFERROR(__xludf.DUMMYFUNCTION("""COMPUTED_VALUE"""),0.0)</f>
        <v>0</v>
      </c>
      <c r="AP3285" s="82">
        <f>IFERROR(__xludf.DUMMYFUNCTION("""COMPUTED_VALUE"""),0.0)</f>
        <v>0</v>
      </c>
      <c r="AQ3285" s="82">
        <f>IFERROR(__xludf.DUMMYFUNCTION("""COMPUTED_VALUE"""),0.0)</f>
        <v>0</v>
      </c>
      <c r="AR3285" s="82">
        <f>IFERROR(__xludf.DUMMYFUNCTION("""COMPUTED_VALUE"""),0.0)</f>
        <v>0</v>
      </c>
      <c r="AS3285" s="82"/>
      <c r="AT3285" s="82">
        <f>IFERROR(__xludf.DUMMYFUNCTION("""COMPUTED_VALUE"""),0.0)</f>
        <v>0</v>
      </c>
      <c r="AU3285" s="82"/>
      <c r="AV3285" s="82"/>
      <c r="AW3285" s="82" t="str">
        <f t="shared" si="1"/>
        <v/>
      </c>
      <c r="AX3285" s="83" t="str">
        <f t="array" ref="AX3285">IFERROR(DGET('SBV Import'!A:G,"SBV",{"RSC ID","Tier";B3285,A3285}))</f>
        <v/>
      </c>
      <c r="AY3285" s="82" t="str">
        <f t="shared" si="2"/>
        <v/>
      </c>
      <c r="AZ3285" s="82"/>
      <c r="BA3285" s="84" t="s">
        <v>152</v>
      </c>
      <c r="BB3285" s="84" t="str">
        <f>IFERROR(__xludf.DUMMYFUNCTION("iferror(if(A3285="""",,E3285&gt;=FILTER(Constants!$F$2:$F$10,Constants!$A$2:$A$10=A3285)))"),"")</f>
        <v/>
      </c>
    </row>
    <row r="3286">
      <c r="A3286" s="89"/>
      <c r="B3286" s="87"/>
      <c r="C3286" s="73"/>
      <c r="D3286" s="73"/>
      <c r="E3286" s="82"/>
      <c r="F3286" s="82"/>
      <c r="G3286" s="86"/>
      <c r="H3286" s="86"/>
      <c r="I3286" s="86"/>
      <c r="J3286" s="82"/>
      <c r="K3286" s="82"/>
      <c r="L3286" s="82"/>
      <c r="M3286" s="82"/>
      <c r="N3286" s="82"/>
      <c r="O3286" s="82"/>
      <c r="P3286" s="82"/>
      <c r="Q3286" s="82"/>
      <c r="R3286" s="82"/>
      <c r="S3286" s="82"/>
      <c r="T3286" s="82"/>
      <c r="U3286" s="82"/>
      <c r="V3286" s="82"/>
      <c r="W3286" s="82"/>
      <c r="X3286" s="82"/>
      <c r="Y3286" s="82"/>
      <c r="Z3286" s="82"/>
      <c r="AA3286" s="82"/>
      <c r="AB3286" s="82"/>
      <c r="AC3286" s="82"/>
      <c r="AD3286" s="82"/>
      <c r="AE3286" s="82"/>
      <c r="AF3286" s="82"/>
      <c r="AG3286" s="82"/>
      <c r="AH3286" s="82"/>
      <c r="AI3286" s="82"/>
      <c r="AJ3286" s="82"/>
      <c r="AK3286" s="82"/>
      <c r="AL3286" s="82"/>
      <c r="AM3286" s="82"/>
      <c r="AN3286" s="82">
        <f>IFERROR(__xludf.DUMMYFUNCTION("""COMPUTED_VALUE"""),0.0)</f>
        <v>0</v>
      </c>
      <c r="AO3286" s="82">
        <f>IFERROR(__xludf.DUMMYFUNCTION("""COMPUTED_VALUE"""),0.0)</f>
        <v>0</v>
      </c>
      <c r="AP3286" s="82">
        <f>IFERROR(__xludf.DUMMYFUNCTION("""COMPUTED_VALUE"""),0.0)</f>
        <v>0</v>
      </c>
      <c r="AQ3286" s="82">
        <f>IFERROR(__xludf.DUMMYFUNCTION("""COMPUTED_VALUE"""),0.0)</f>
        <v>0</v>
      </c>
      <c r="AR3286" s="82">
        <f>IFERROR(__xludf.DUMMYFUNCTION("""COMPUTED_VALUE"""),0.0)</f>
        <v>0</v>
      </c>
      <c r="AS3286" s="82"/>
      <c r="AT3286" s="82">
        <f>IFERROR(__xludf.DUMMYFUNCTION("""COMPUTED_VALUE"""),0.0)</f>
        <v>0</v>
      </c>
      <c r="AU3286" s="82"/>
      <c r="AV3286" s="82"/>
      <c r="AW3286" s="82" t="str">
        <f t="shared" si="1"/>
        <v/>
      </c>
      <c r="AX3286" s="83" t="str">
        <f t="array" ref="AX3286">IFERROR(DGET('SBV Import'!A:G,"SBV",{"RSC ID","Tier";B3286,A3286}))</f>
        <v/>
      </c>
      <c r="AY3286" s="82" t="str">
        <f t="shared" si="2"/>
        <v/>
      </c>
      <c r="AZ3286" s="82"/>
      <c r="BA3286" s="84" t="s">
        <v>152</v>
      </c>
      <c r="BB3286" s="84" t="str">
        <f>IFERROR(__xludf.DUMMYFUNCTION("iferror(if(A3286="""",,E3286&gt;=FILTER(Constants!$F$2:$F$10,Constants!$A$2:$A$10=A3286)))"),"")</f>
        <v/>
      </c>
    </row>
    <row r="3287">
      <c r="A3287" s="89"/>
      <c r="B3287" s="87"/>
      <c r="C3287" s="73"/>
      <c r="D3287" s="73"/>
      <c r="E3287" s="82"/>
      <c r="F3287" s="82"/>
      <c r="G3287" s="86"/>
      <c r="H3287" s="86"/>
      <c r="I3287" s="86"/>
      <c r="J3287" s="82"/>
      <c r="K3287" s="82"/>
      <c r="L3287" s="82"/>
      <c r="M3287" s="82"/>
      <c r="N3287" s="82"/>
      <c r="O3287" s="82"/>
      <c r="P3287" s="82"/>
      <c r="Q3287" s="82"/>
      <c r="R3287" s="82"/>
      <c r="S3287" s="82"/>
      <c r="T3287" s="82"/>
      <c r="U3287" s="82"/>
      <c r="V3287" s="82"/>
      <c r="W3287" s="82"/>
      <c r="X3287" s="82"/>
      <c r="Y3287" s="82"/>
      <c r="Z3287" s="82"/>
      <c r="AA3287" s="82"/>
      <c r="AB3287" s="82"/>
      <c r="AC3287" s="82"/>
      <c r="AD3287" s="82"/>
      <c r="AE3287" s="82"/>
      <c r="AF3287" s="82"/>
      <c r="AG3287" s="82"/>
      <c r="AH3287" s="82"/>
      <c r="AI3287" s="82"/>
      <c r="AJ3287" s="82"/>
      <c r="AK3287" s="82"/>
      <c r="AL3287" s="82"/>
      <c r="AM3287" s="82"/>
      <c r="AN3287" s="82">
        <f>IFERROR(__xludf.DUMMYFUNCTION("""COMPUTED_VALUE"""),0.0)</f>
        <v>0</v>
      </c>
      <c r="AO3287" s="82">
        <f>IFERROR(__xludf.DUMMYFUNCTION("""COMPUTED_VALUE"""),0.0)</f>
        <v>0</v>
      </c>
      <c r="AP3287" s="82">
        <f>IFERROR(__xludf.DUMMYFUNCTION("""COMPUTED_VALUE"""),0.0)</f>
        <v>0</v>
      </c>
      <c r="AQ3287" s="82">
        <f>IFERROR(__xludf.DUMMYFUNCTION("""COMPUTED_VALUE"""),0.0)</f>
        <v>0</v>
      </c>
      <c r="AR3287" s="82">
        <f>IFERROR(__xludf.DUMMYFUNCTION("""COMPUTED_VALUE"""),0.0)</f>
        <v>0</v>
      </c>
      <c r="AS3287" s="82"/>
      <c r="AT3287" s="82">
        <f>IFERROR(__xludf.DUMMYFUNCTION("""COMPUTED_VALUE"""),0.0)</f>
        <v>0</v>
      </c>
      <c r="AU3287" s="82"/>
      <c r="AV3287" s="82"/>
      <c r="AW3287" s="82" t="str">
        <f t="shared" si="1"/>
        <v/>
      </c>
      <c r="AX3287" s="83" t="str">
        <f t="array" ref="AX3287">IFERROR(DGET('SBV Import'!A:G,"SBV",{"RSC ID","Tier";B3287,A3287}))</f>
        <v/>
      </c>
      <c r="AY3287" s="82" t="str">
        <f t="shared" si="2"/>
        <v/>
      </c>
      <c r="AZ3287" s="82"/>
      <c r="BA3287" s="84" t="s">
        <v>152</v>
      </c>
      <c r="BB3287" s="84" t="str">
        <f>IFERROR(__xludf.DUMMYFUNCTION("iferror(if(A3287="""",,E3287&gt;=FILTER(Constants!$F$2:$F$10,Constants!$A$2:$A$10=A3287)))"),"")</f>
        <v/>
      </c>
    </row>
    <row r="3288">
      <c r="A3288" s="89"/>
      <c r="B3288" s="87"/>
      <c r="C3288" s="73"/>
      <c r="D3288" s="73"/>
      <c r="E3288" s="82"/>
      <c r="F3288" s="82"/>
      <c r="G3288" s="86"/>
      <c r="H3288" s="86"/>
      <c r="I3288" s="86"/>
      <c r="J3288" s="82"/>
      <c r="K3288" s="82"/>
      <c r="L3288" s="82"/>
      <c r="M3288" s="82"/>
      <c r="N3288" s="82"/>
      <c r="O3288" s="82"/>
      <c r="P3288" s="82"/>
      <c r="Q3288" s="82"/>
      <c r="R3288" s="82"/>
      <c r="S3288" s="82"/>
      <c r="T3288" s="82"/>
      <c r="U3288" s="82"/>
      <c r="V3288" s="82"/>
      <c r="W3288" s="82"/>
      <c r="X3288" s="82"/>
      <c r="Y3288" s="82"/>
      <c r="Z3288" s="82"/>
      <c r="AA3288" s="82"/>
      <c r="AB3288" s="82"/>
      <c r="AC3288" s="82"/>
      <c r="AD3288" s="82"/>
      <c r="AE3288" s="82"/>
      <c r="AF3288" s="82"/>
      <c r="AG3288" s="82"/>
      <c r="AH3288" s="82"/>
      <c r="AI3288" s="82"/>
      <c r="AJ3288" s="82"/>
      <c r="AK3288" s="82"/>
      <c r="AL3288" s="82"/>
      <c r="AM3288" s="82"/>
      <c r="AN3288" s="82">
        <f>IFERROR(__xludf.DUMMYFUNCTION("""COMPUTED_VALUE"""),0.0)</f>
        <v>0</v>
      </c>
      <c r="AO3288" s="82">
        <f>IFERROR(__xludf.DUMMYFUNCTION("""COMPUTED_VALUE"""),0.0)</f>
        <v>0</v>
      </c>
      <c r="AP3288" s="82">
        <f>IFERROR(__xludf.DUMMYFUNCTION("""COMPUTED_VALUE"""),0.0)</f>
        <v>0</v>
      </c>
      <c r="AQ3288" s="82">
        <f>IFERROR(__xludf.DUMMYFUNCTION("""COMPUTED_VALUE"""),0.0)</f>
        <v>0</v>
      </c>
      <c r="AR3288" s="82">
        <f>IFERROR(__xludf.DUMMYFUNCTION("""COMPUTED_VALUE"""),0.0)</f>
        <v>0</v>
      </c>
      <c r="AS3288" s="82"/>
      <c r="AT3288" s="82">
        <f>IFERROR(__xludf.DUMMYFUNCTION("""COMPUTED_VALUE"""),0.0)</f>
        <v>0</v>
      </c>
      <c r="AU3288" s="82"/>
      <c r="AV3288" s="82"/>
      <c r="AW3288" s="82" t="str">
        <f t="shared" si="1"/>
        <v/>
      </c>
      <c r="AX3288" s="83" t="str">
        <f t="array" ref="AX3288">IFERROR(DGET('SBV Import'!A:G,"SBV",{"RSC ID","Tier";B3288,A3288}))</f>
        <v/>
      </c>
      <c r="AY3288" s="82" t="str">
        <f t="shared" si="2"/>
        <v/>
      </c>
      <c r="AZ3288" s="82"/>
      <c r="BA3288" s="84" t="s">
        <v>152</v>
      </c>
      <c r="BB3288" s="84" t="str">
        <f>IFERROR(__xludf.DUMMYFUNCTION("iferror(if(A3288="""",,E3288&gt;=FILTER(Constants!$F$2:$F$10,Constants!$A$2:$A$10=A3288)))"),"")</f>
        <v/>
      </c>
    </row>
    <row r="3289">
      <c r="A3289" s="89"/>
      <c r="B3289" s="87"/>
      <c r="C3289" s="73"/>
      <c r="D3289" s="73"/>
      <c r="E3289" s="82"/>
      <c r="F3289" s="82"/>
      <c r="G3289" s="86"/>
      <c r="H3289" s="86"/>
      <c r="I3289" s="86"/>
      <c r="J3289" s="82"/>
      <c r="K3289" s="82"/>
      <c r="L3289" s="82"/>
      <c r="M3289" s="82"/>
      <c r="N3289" s="82"/>
      <c r="O3289" s="82"/>
      <c r="P3289" s="82"/>
      <c r="Q3289" s="82"/>
      <c r="R3289" s="82"/>
      <c r="S3289" s="82"/>
      <c r="T3289" s="82"/>
      <c r="U3289" s="82"/>
      <c r="V3289" s="82"/>
      <c r="W3289" s="82"/>
      <c r="X3289" s="82"/>
      <c r="Y3289" s="82"/>
      <c r="Z3289" s="82"/>
      <c r="AA3289" s="82"/>
      <c r="AB3289" s="82"/>
      <c r="AC3289" s="82"/>
      <c r="AD3289" s="82"/>
      <c r="AE3289" s="82"/>
      <c r="AF3289" s="82"/>
      <c r="AG3289" s="82"/>
      <c r="AH3289" s="82"/>
      <c r="AI3289" s="82"/>
      <c r="AJ3289" s="82"/>
      <c r="AK3289" s="82"/>
      <c r="AL3289" s="82"/>
      <c r="AM3289" s="82"/>
      <c r="AN3289" s="82">
        <f>IFERROR(__xludf.DUMMYFUNCTION("""COMPUTED_VALUE"""),0.0)</f>
        <v>0</v>
      </c>
      <c r="AO3289" s="82">
        <f>IFERROR(__xludf.DUMMYFUNCTION("""COMPUTED_VALUE"""),0.0)</f>
        <v>0</v>
      </c>
      <c r="AP3289" s="82">
        <f>IFERROR(__xludf.DUMMYFUNCTION("""COMPUTED_VALUE"""),0.0)</f>
        <v>0</v>
      </c>
      <c r="AQ3289" s="82">
        <f>IFERROR(__xludf.DUMMYFUNCTION("""COMPUTED_VALUE"""),0.0)</f>
        <v>0</v>
      </c>
      <c r="AR3289" s="82">
        <f>IFERROR(__xludf.DUMMYFUNCTION("""COMPUTED_VALUE"""),0.0)</f>
        <v>0</v>
      </c>
      <c r="AS3289" s="82"/>
      <c r="AT3289" s="82">
        <f>IFERROR(__xludf.DUMMYFUNCTION("""COMPUTED_VALUE"""),0.0)</f>
        <v>0</v>
      </c>
      <c r="AU3289" s="82"/>
      <c r="AV3289" s="82"/>
      <c r="AW3289" s="82" t="str">
        <f t="shared" si="1"/>
        <v/>
      </c>
      <c r="AX3289" s="83" t="str">
        <f t="array" ref="AX3289">IFERROR(DGET('SBV Import'!A:G,"SBV",{"RSC ID","Tier";B3289,A3289}))</f>
        <v/>
      </c>
      <c r="AY3289" s="82" t="str">
        <f t="shared" si="2"/>
        <v/>
      </c>
      <c r="AZ3289" s="82"/>
      <c r="BA3289" s="84" t="s">
        <v>152</v>
      </c>
      <c r="BB3289" s="84" t="str">
        <f>IFERROR(__xludf.DUMMYFUNCTION("iferror(if(A3289="""",,E3289&gt;=FILTER(Constants!$F$2:$F$10,Constants!$A$2:$A$10=A3289)))"),"")</f>
        <v/>
      </c>
    </row>
    <row r="3290">
      <c r="A3290" s="89"/>
      <c r="B3290" s="87"/>
      <c r="C3290" s="73"/>
      <c r="D3290" s="73"/>
      <c r="E3290" s="82"/>
      <c r="F3290" s="82"/>
      <c r="G3290" s="86"/>
      <c r="H3290" s="86"/>
      <c r="I3290" s="86"/>
      <c r="J3290" s="82"/>
      <c r="K3290" s="82"/>
      <c r="L3290" s="82"/>
      <c r="M3290" s="82"/>
      <c r="N3290" s="82"/>
      <c r="O3290" s="82"/>
      <c r="P3290" s="82"/>
      <c r="Q3290" s="82"/>
      <c r="R3290" s="82"/>
      <c r="S3290" s="82"/>
      <c r="T3290" s="82"/>
      <c r="U3290" s="82"/>
      <c r="V3290" s="82"/>
      <c r="W3290" s="82"/>
      <c r="X3290" s="82"/>
      <c r="Y3290" s="82"/>
      <c r="Z3290" s="82"/>
      <c r="AA3290" s="82"/>
      <c r="AB3290" s="82"/>
      <c r="AC3290" s="82"/>
      <c r="AD3290" s="82"/>
      <c r="AE3290" s="82"/>
      <c r="AF3290" s="82"/>
      <c r="AG3290" s="82"/>
      <c r="AH3290" s="82"/>
      <c r="AI3290" s="82"/>
      <c r="AJ3290" s="82"/>
      <c r="AK3290" s="82"/>
      <c r="AL3290" s="82"/>
      <c r="AM3290" s="82"/>
      <c r="AN3290" s="82">
        <f>IFERROR(__xludf.DUMMYFUNCTION("""COMPUTED_VALUE"""),0.0)</f>
        <v>0</v>
      </c>
      <c r="AO3290" s="82">
        <f>IFERROR(__xludf.DUMMYFUNCTION("""COMPUTED_VALUE"""),0.0)</f>
        <v>0</v>
      </c>
      <c r="AP3290" s="82">
        <f>IFERROR(__xludf.DUMMYFUNCTION("""COMPUTED_VALUE"""),0.0)</f>
        <v>0</v>
      </c>
      <c r="AQ3290" s="82">
        <f>IFERROR(__xludf.DUMMYFUNCTION("""COMPUTED_VALUE"""),0.0)</f>
        <v>0</v>
      </c>
      <c r="AR3290" s="82">
        <f>IFERROR(__xludf.DUMMYFUNCTION("""COMPUTED_VALUE"""),0.0)</f>
        <v>0</v>
      </c>
      <c r="AS3290" s="82"/>
      <c r="AT3290" s="82">
        <f>IFERROR(__xludf.DUMMYFUNCTION("""COMPUTED_VALUE"""),0.0)</f>
        <v>0</v>
      </c>
      <c r="AU3290" s="82"/>
      <c r="AV3290" s="82"/>
      <c r="AW3290" s="82" t="str">
        <f t="shared" si="1"/>
        <v/>
      </c>
      <c r="AX3290" s="83" t="str">
        <f t="array" ref="AX3290">IFERROR(DGET('SBV Import'!A:G,"SBV",{"RSC ID","Tier";B3290,A3290}))</f>
        <v/>
      </c>
      <c r="AY3290" s="82" t="str">
        <f t="shared" si="2"/>
        <v/>
      </c>
      <c r="AZ3290" s="82"/>
      <c r="BA3290" s="84" t="s">
        <v>152</v>
      </c>
      <c r="BB3290" s="84" t="str">
        <f>IFERROR(__xludf.DUMMYFUNCTION("iferror(if(A3290="""",,E3290&gt;=FILTER(Constants!$F$2:$F$10,Constants!$A$2:$A$10=A3290)))"),"")</f>
        <v/>
      </c>
    </row>
    <row r="3291">
      <c r="A3291" s="89"/>
      <c r="B3291" s="87"/>
      <c r="C3291" s="73"/>
      <c r="D3291" s="73"/>
      <c r="E3291" s="82"/>
      <c r="F3291" s="82"/>
      <c r="G3291" s="86"/>
      <c r="H3291" s="86"/>
      <c r="I3291" s="86"/>
      <c r="J3291" s="82"/>
      <c r="K3291" s="82"/>
      <c r="L3291" s="82"/>
      <c r="M3291" s="82"/>
      <c r="N3291" s="82"/>
      <c r="O3291" s="82"/>
      <c r="P3291" s="82"/>
      <c r="Q3291" s="82"/>
      <c r="R3291" s="82"/>
      <c r="S3291" s="82"/>
      <c r="T3291" s="82"/>
      <c r="U3291" s="82"/>
      <c r="V3291" s="82"/>
      <c r="W3291" s="82"/>
      <c r="X3291" s="82"/>
      <c r="Y3291" s="82"/>
      <c r="Z3291" s="82"/>
      <c r="AA3291" s="82"/>
      <c r="AB3291" s="82"/>
      <c r="AC3291" s="82"/>
      <c r="AD3291" s="82"/>
      <c r="AE3291" s="82"/>
      <c r="AF3291" s="82"/>
      <c r="AG3291" s="82"/>
      <c r="AH3291" s="82"/>
      <c r="AI3291" s="82"/>
      <c r="AJ3291" s="82"/>
      <c r="AK3291" s="82"/>
      <c r="AL3291" s="82"/>
      <c r="AM3291" s="82"/>
      <c r="AN3291" s="82">
        <f>IFERROR(__xludf.DUMMYFUNCTION("""COMPUTED_VALUE"""),0.0)</f>
        <v>0</v>
      </c>
      <c r="AO3291" s="82">
        <f>IFERROR(__xludf.DUMMYFUNCTION("""COMPUTED_VALUE"""),0.0)</f>
        <v>0</v>
      </c>
      <c r="AP3291" s="82">
        <f>IFERROR(__xludf.DUMMYFUNCTION("""COMPUTED_VALUE"""),0.0)</f>
        <v>0</v>
      </c>
      <c r="AQ3291" s="82">
        <f>IFERROR(__xludf.DUMMYFUNCTION("""COMPUTED_VALUE"""),0.0)</f>
        <v>0</v>
      </c>
      <c r="AR3291" s="82">
        <f>IFERROR(__xludf.DUMMYFUNCTION("""COMPUTED_VALUE"""),0.0)</f>
        <v>0</v>
      </c>
      <c r="AS3291" s="82"/>
      <c r="AT3291" s="82">
        <f>IFERROR(__xludf.DUMMYFUNCTION("""COMPUTED_VALUE"""),0.0)</f>
        <v>0</v>
      </c>
      <c r="AU3291" s="82"/>
      <c r="AV3291" s="82"/>
      <c r="AW3291" s="82" t="str">
        <f t="shared" si="1"/>
        <v/>
      </c>
      <c r="AX3291" s="83" t="str">
        <f t="array" ref="AX3291">IFERROR(DGET('SBV Import'!A:G,"SBV",{"RSC ID","Tier";B3291,A3291}))</f>
        <v/>
      </c>
      <c r="AY3291" s="82" t="str">
        <f t="shared" si="2"/>
        <v/>
      </c>
      <c r="AZ3291" s="82"/>
      <c r="BA3291" s="84" t="s">
        <v>152</v>
      </c>
      <c r="BB3291" s="84" t="str">
        <f>IFERROR(__xludf.DUMMYFUNCTION("iferror(if(A3291="""",,E3291&gt;=FILTER(Constants!$F$2:$F$10,Constants!$A$2:$A$10=A3291)))"),"")</f>
        <v/>
      </c>
    </row>
    <row r="3292">
      <c r="A3292" s="89"/>
      <c r="B3292" s="87"/>
      <c r="C3292" s="73"/>
      <c r="D3292" s="73"/>
      <c r="E3292" s="82"/>
      <c r="F3292" s="82"/>
      <c r="G3292" s="86"/>
      <c r="H3292" s="86"/>
      <c r="I3292" s="86"/>
      <c r="J3292" s="82"/>
      <c r="K3292" s="82"/>
      <c r="L3292" s="82"/>
      <c r="M3292" s="82"/>
      <c r="N3292" s="82"/>
      <c r="O3292" s="82"/>
      <c r="P3292" s="82"/>
      <c r="Q3292" s="82"/>
      <c r="R3292" s="82"/>
      <c r="S3292" s="82"/>
      <c r="T3292" s="82"/>
      <c r="U3292" s="82"/>
      <c r="V3292" s="82"/>
      <c r="W3292" s="82"/>
      <c r="X3292" s="82"/>
      <c r="Y3292" s="82"/>
      <c r="Z3292" s="82"/>
      <c r="AA3292" s="82"/>
      <c r="AB3292" s="82"/>
      <c r="AC3292" s="82"/>
      <c r="AD3292" s="82"/>
      <c r="AE3292" s="82"/>
      <c r="AF3292" s="82"/>
      <c r="AG3292" s="82"/>
      <c r="AH3292" s="82"/>
      <c r="AI3292" s="82"/>
      <c r="AJ3292" s="82"/>
      <c r="AK3292" s="82"/>
      <c r="AL3292" s="82"/>
      <c r="AM3292" s="82"/>
      <c r="AN3292" s="82">
        <f>IFERROR(__xludf.DUMMYFUNCTION("""COMPUTED_VALUE"""),0.0)</f>
        <v>0</v>
      </c>
      <c r="AO3292" s="82">
        <f>IFERROR(__xludf.DUMMYFUNCTION("""COMPUTED_VALUE"""),0.0)</f>
        <v>0</v>
      </c>
      <c r="AP3292" s="82">
        <f>IFERROR(__xludf.DUMMYFUNCTION("""COMPUTED_VALUE"""),0.0)</f>
        <v>0</v>
      </c>
      <c r="AQ3292" s="82">
        <f>IFERROR(__xludf.DUMMYFUNCTION("""COMPUTED_VALUE"""),0.0)</f>
        <v>0</v>
      </c>
      <c r="AR3292" s="82">
        <f>IFERROR(__xludf.DUMMYFUNCTION("""COMPUTED_VALUE"""),0.0)</f>
        <v>0</v>
      </c>
      <c r="AS3292" s="82"/>
      <c r="AT3292" s="82">
        <f>IFERROR(__xludf.DUMMYFUNCTION("""COMPUTED_VALUE"""),0.0)</f>
        <v>0</v>
      </c>
      <c r="AU3292" s="82"/>
      <c r="AV3292" s="82"/>
      <c r="AW3292" s="82" t="str">
        <f t="shared" si="1"/>
        <v/>
      </c>
      <c r="AX3292" s="83" t="str">
        <f t="array" ref="AX3292">IFERROR(DGET('SBV Import'!A:G,"SBV",{"RSC ID","Tier";B3292,A3292}))</f>
        <v/>
      </c>
      <c r="AY3292" s="82" t="str">
        <f t="shared" si="2"/>
        <v/>
      </c>
      <c r="AZ3292" s="82"/>
      <c r="BA3292" s="84" t="s">
        <v>152</v>
      </c>
      <c r="BB3292" s="84" t="str">
        <f>IFERROR(__xludf.DUMMYFUNCTION("iferror(if(A3292="""",,E3292&gt;=FILTER(Constants!$F$2:$F$10,Constants!$A$2:$A$10=A3292)))"),"")</f>
        <v/>
      </c>
    </row>
    <row r="3293">
      <c r="A3293" s="89"/>
      <c r="B3293" s="87"/>
      <c r="C3293" s="73"/>
      <c r="D3293" s="73"/>
      <c r="E3293" s="82"/>
      <c r="F3293" s="82"/>
      <c r="G3293" s="86"/>
      <c r="H3293" s="86"/>
      <c r="I3293" s="86"/>
      <c r="J3293" s="82"/>
      <c r="K3293" s="82"/>
      <c r="L3293" s="82"/>
      <c r="M3293" s="82"/>
      <c r="N3293" s="82"/>
      <c r="O3293" s="82"/>
      <c r="P3293" s="82"/>
      <c r="Q3293" s="82"/>
      <c r="R3293" s="82"/>
      <c r="S3293" s="82"/>
      <c r="T3293" s="82"/>
      <c r="U3293" s="82"/>
      <c r="V3293" s="82"/>
      <c r="W3293" s="82"/>
      <c r="X3293" s="82"/>
      <c r="Y3293" s="82"/>
      <c r="Z3293" s="82"/>
      <c r="AA3293" s="82"/>
      <c r="AB3293" s="82"/>
      <c r="AC3293" s="82"/>
      <c r="AD3293" s="82"/>
      <c r="AE3293" s="82"/>
      <c r="AF3293" s="82"/>
      <c r="AG3293" s="82"/>
      <c r="AH3293" s="82"/>
      <c r="AI3293" s="82"/>
      <c r="AJ3293" s="82"/>
      <c r="AK3293" s="82"/>
      <c r="AL3293" s="82"/>
      <c r="AM3293" s="82"/>
      <c r="AN3293" s="82">
        <f>IFERROR(__xludf.DUMMYFUNCTION("""COMPUTED_VALUE"""),0.0)</f>
        <v>0</v>
      </c>
      <c r="AO3293" s="82">
        <f>IFERROR(__xludf.DUMMYFUNCTION("""COMPUTED_VALUE"""),0.0)</f>
        <v>0</v>
      </c>
      <c r="AP3293" s="82">
        <f>IFERROR(__xludf.DUMMYFUNCTION("""COMPUTED_VALUE"""),0.0)</f>
        <v>0</v>
      </c>
      <c r="AQ3293" s="82">
        <f>IFERROR(__xludf.DUMMYFUNCTION("""COMPUTED_VALUE"""),0.0)</f>
        <v>0</v>
      </c>
      <c r="AR3293" s="82">
        <f>IFERROR(__xludf.DUMMYFUNCTION("""COMPUTED_VALUE"""),0.0)</f>
        <v>0</v>
      </c>
      <c r="AS3293" s="82"/>
      <c r="AT3293" s="82">
        <f>IFERROR(__xludf.DUMMYFUNCTION("""COMPUTED_VALUE"""),0.0)</f>
        <v>0</v>
      </c>
      <c r="AU3293" s="82"/>
      <c r="AV3293" s="82"/>
      <c r="AW3293" s="82" t="str">
        <f t="shared" si="1"/>
        <v/>
      </c>
      <c r="AX3293" s="83" t="str">
        <f t="array" ref="AX3293">IFERROR(DGET('SBV Import'!A:G,"SBV",{"RSC ID","Tier";B3293,A3293}))</f>
        <v/>
      </c>
      <c r="AY3293" s="82" t="str">
        <f t="shared" si="2"/>
        <v/>
      </c>
      <c r="AZ3293" s="82"/>
      <c r="BA3293" s="84" t="s">
        <v>152</v>
      </c>
      <c r="BB3293" s="84" t="str">
        <f>IFERROR(__xludf.DUMMYFUNCTION("iferror(if(A3293="""",,E3293&gt;=FILTER(Constants!$F$2:$F$10,Constants!$A$2:$A$10=A3293)))"),"")</f>
        <v/>
      </c>
    </row>
    <row r="3294">
      <c r="A3294" s="89"/>
      <c r="B3294" s="87"/>
      <c r="C3294" s="73"/>
      <c r="D3294" s="73"/>
      <c r="E3294" s="82"/>
      <c r="F3294" s="82"/>
      <c r="G3294" s="86"/>
      <c r="H3294" s="86"/>
      <c r="I3294" s="86"/>
      <c r="J3294" s="82"/>
      <c r="K3294" s="82"/>
      <c r="L3294" s="82"/>
      <c r="M3294" s="82"/>
      <c r="N3294" s="82"/>
      <c r="O3294" s="82"/>
      <c r="P3294" s="82"/>
      <c r="Q3294" s="82"/>
      <c r="R3294" s="82"/>
      <c r="S3294" s="82"/>
      <c r="T3294" s="82"/>
      <c r="U3294" s="82"/>
      <c r="V3294" s="82"/>
      <c r="W3294" s="82"/>
      <c r="X3294" s="82"/>
      <c r="Y3294" s="82"/>
      <c r="Z3294" s="82"/>
      <c r="AA3294" s="82"/>
      <c r="AB3294" s="82"/>
      <c r="AC3294" s="82"/>
      <c r="AD3294" s="82"/>
      <c r="AE3294" s="82"/>
      <c r="AF3294" s="82"/>
      <c r="AG3294" s="82"/>
      <c r="AH3294" s="82"/>
      <c r="AI3294" s="82"/>
      <c r="AJ3294" s="82"/>
      <c r="AK3294" s="82"/>
      <c r="AL3294" s="82"/>
      <c r="AM3294" s="82"/>
      <c r="AN3294" s="82">
        <f>IFERROR(__xludf.DUMMYFUNCTION("""COMPUTED_VALUE"""),0.0)</f>
        <v>0</v>
      </c>
      <c r="AO3294" s="82">
        <f>IFERROR(__xludf.DUMMYFUNCTION("""COMPUTED_VALUE"""),0.0)</f>
        <v>0</v>
      </c>
      <c r="AP3294" s="82">
        <f>IFERROR(__xludf.DUMMYFUNCTION("""COMPUTED_VALUE"""),0.0)</f>
        <v>0</v>
      </c>
      <c r="AQ3294" s="82">
        <f>IFERROR(__xludf.DUMMYFUNCTION("""COMPUTED_VALUE"""),0.0)</f>
        <v>0</v>
      </c>
      <c r="AR3294" s="82">
        <f>IFERROR(__xludf.DUMMYFUNCTION("""COMPUTED_VALUE"""),0.0)</f>
        <v>0</v>
      </c>
      <c r="AS3294" s="82"/>
      <c r="AT3294" s="82">
        <f>IFERROR(__xludf.DUMMYFUNCTION("""COMPUTED_VALUE"""),0.0)</f>
        <v>0</v>
      </c>
      <c r="AU3294" s="82"/>
      <c r="AV3294" s="82"/>
      <c r="AW3294" s="82" t="str">
        <f t="shared" si="1"/>
        <v/>
      </c>
      <c r="AX3294" s="83" t="str">
        <f t="array" ref="AX3294">IFERROR(DGET('SBV Import'!A:G,"SBV",{"RSC ID","Tier";B3294,A3294}))</f>
        <v/>
      </c>
      <c r="AY3294" s="82" t="str">
        <f t="shared" si="2"/>
        <v/>
      </c>
      <c r="AZ3294" s="82"/>
      <c r="BA3294" s="84" t="s">
        <v>152</v>
      </c>
      <c r="BB3294" s="84" t="str">
        <f>IFERROR(__xludf.DUMMYFUNCTION("iferror(if(A3294="""",,E3294&gt;=FILTER(Constants!$F$2:$F$10,Constants!$A$2:$A$10=A3294)))"),"")</f>
        <v/>
      </c>
    </row>
    <row r="3295">
      <c r="A3295" s="89"/>
      <c r="B3295" s="87"/>
      <c r="C3295" s="73"/>
      <c r="D3295" s="73"/>
      <c r="E3295" s="82"/>
      <c r="F3295" s="82"/>
      <c r="G3295" s="86"/>
      <c r="H3295" s="86"/>
      <c r="I3295" s="86"/>
      <c r="J3295" s="82"/>
      <c r="K3295" s="82"/>
      <c r="L3295" s="82"/>
      <c r="M3295" s="82"/>
      <c r="N3295" s="82"/>
      <c r="O3295" s="82"/>
      <c r="P3295" s="82"/>
      <c r="Q3295" s="82"/>
      <c r="R3295" s="82"/>
      <c r="S3295" s="82"/>
      <c r="T3295" s="82"/>
      <c r="U3295" s="82"/>
      <c r="V3295" s="82"/>
      <c r="W3295" s="82"/>
      <c r="X3295" s="82"/>
      <c r="Y3295" s="82"/>
      <c r="Z3295" s="82"/>
      <c r="AA3295" s="82"/>
      <c r="AB3295" s="82"/>
      <c r="AC3295" s="82"/>
      <c r="AD3295" s="82"/>
      <c r="AE3295" s="82"/>
      <c r="AF3295" s="82"/>
      <c r="AG3295" s="82"/>
      <c r="AH3295" s="82"/>
      <c r="AI3295" s="82"/>
      <c r="AJ3295" s="82"/>
      <c r="AK3295" s="82"/>
      <c r="AL3295" s="82"/>
      <c r="AM3295" s="82"/>
      <c r="AN3295" s="82">
        <f>IFERROR(__xludf.DUMMYFUNCTION("""COMPUTED_VALUE"""),0.0)</f>
        <v>0</v>
      </c>
      <c r="AO3295" s="82">
        <f>IFERROR(__xludf.DUMMYFUNCTION("""COMPUTED_VALUE"""),0.0)</f>
        <v>0</v>
      </c>
      <c r="AP3295" s="82">
        <f>IFERROR(__xludf.DUMMYFUNCTION("""COMPUTED_VALUE"""),0.0)</f>
        <v>0</v>
      </c>
      <c r="AQ3295" s="82">
        <f>IFERROR(__xludf.DUMMYFUNCTION("""COMPUTED_VALUE"""),0.0)</f>
        <v>0</v>
      </c>
      <c r="AR3295" s="82">
        <f>IFERROR(__xludf.DUMMYFUNCTION("""COMPUTED_VALUE"""),0.0)</f>
        <v>0</v>
      </c>
      <c r="AS3295" s="82"/>
      <c r="AT3295" s="82">
        <f>IFERROR(__xludf.DUMMYFUNCTION("""COMPUTED_VALUE"""),0.0)</f>
        <v>0</v>
      </c>
      <c r="AU3295" s="82"/>
      <c r="AV3295" s="82"/>
      <c r="AW3295" s="82" t="str">
        <f t="shared" si="1"/>
        <v/>
      </c>
      <c r="AX3295" s="83" t="str">
        <f t="array" ref="AX3295">IFERROR(DGET('SBV Import'!A:G,"SBV",{"RSC ID","Tier";B3295,A3295}))</f>
        <v/>
      </c>
      <c r="AY3295" s="82" t="str">
        <f t="shared" si="2"/>
        <v/>
      </c>
      <c r="AZ3295" s="82"/>
      <c r="BA3295" s="84" t="s">
        <v>152</v>
      </c>
      <c r="BB3295" s="84" t="str">
        <f>IFERROR(__xludf.DUMMYFUNCTION("iferror(if(A3295="""",,E3295&gt;=FILTER(Constants!$F$2:$F$10,Constants!$A$2:$A$10=A3295)))"),"")</f>
        <v/>
      </c>
    </row>
    <row r="3296">
      <c r="A3296" s="89"/>
      <c r="B3296" s="87"/>
      <c r="C3296" s="73"/>
      <c r="D3296" s="73"/>
      <c r="E3296" s="82"/>
      <c r="F3296" s="82"/>
      <c r="G3296" s="86"/>
      <c r="H3296" s="86"/>
      <c r="I3296" s="86"/>
      <c r="J3296" s="82"/>
      <c r="K3296" s="82"/>
      <c r="L3296" s="82"/>
      <c r="M3296" s="82"/>
      <c r="N3296" s="82"/>
      <c r="O3296" s="82"/>
      <c r="P3296" s="82"/>
      <c r="Q3296" s="82"/>
      <c r="R3296" s="82"/>
      <c r="S3296" s="82"/>
      <c r="T3296" s="82"/>
      <c r="U3296" s="82"/>
      <c r="V3296" s="82"/>
      <c r="W3296" s="82"/>
      <c r="X3296" s="82"/>
      <c r="Y3296" s="82"/>
      <c r="Z3296" s="82"/>
      <c r="AA3296" s="82"/>
      <c r="AB3296" s="82"/>
      <c r="AC3296" s="82"/>
      <c r="AD3296" s="82"/>
      <c r="AE3296" s="82"/>
      <c r="AF3296" s="82"/>
      <c r="AG3296" s="82"/>
      <c r="AH3296" s="82"/>
      <c r="AI3296" s="82"/>
      <c r="AJ3296" s="82"/>
      <c r="AK3296" s="82"/>
      <c r="AL3296" s="82"/>
      <c r="AM3296" s="82"/>
      <c r="AN3296" s="82">
        <f>IFERROR(__xludf.DUMMYFUNCTION("""COMPUTED_VALUE"""),0.0)</f>
        <v>0</v>
      </c>
      <c r="AO3296" s="82">
        <f>IFERROR(__xludf.DUMMYFUNCTION("""COMPUTED_VALUE"""),0.0)</f>
        <v>0</v>
      </c>
      <c r="AP3296" s="82">
        <f>IFERROR(__xludf.DUMMYFUNCTION("""COMPUTED_VALUE"""),0.0)</f>
        <v>0</v>
      </c>
      <c r="AQ3296" s="82">
        <f>IFERROR(__xludf.DUMMYFUNCTION("""COMPUTED_VALUE"""),0.0)</f>
        <v>0</v>
      </c>
      <c r="AR3296" s="82">
        <f>IFERROR(__xludf.DUMMYFUNCTION("""COMPUTED_VALUE"""),0.0)</f>
        <v>0</v>
      </c>
      <c r="AS3296" s="82"/>
      <c r="AT3296" s="82">
        <f>IFERROR(__xludf.DUMMYFUNCTION("""COMPUTED_VALUE"""),0.0)</f>
        <v>0</v>
      </c>
      <c r="AU3296" s="82"/>
      <c r="AV3296" s="82"/>
      <c r="AW3296" s="82" t="str">
        <f t="shared" si="1"/>
        <v/>
      </c>
      <c r="AX3296" s="83" t="str">
        <f t="array" ref="AX3296">IFERROR(DGET('SBV Import'!A:G,"SBV",{"RSC ID","Tier";B3296,A3296}))</f>
        <v/>
      </c>
      <c r="AY3296" s="82" t="str">
        <f t="shared" si="2"/>
        <v/>
      </c>
      <c r="AZ3296" s="82"/>
      <c r="BA3296" s="84" t="s">
        <v>152</v>
      </c>
      <c r="BB3296" s="84" t="str">
        <f>IFERROR(__xludf.DUMMYFUNCTION("iferror(if(A3296="""",,E3296&gt;=FILTER(Constants!$F$2:$F$10,Constants!$A$2:$A$10=A3296)))"),"")</f>
        <v/>
      </c>
    </row>
    <row r="3297">
      <c r="A3297" s="89"/>
      <c r="B3297" s="87"/>
      <c r="C3297" s="73"/>
      <c r="D3297" s="73"/>
      <c r="E3297" s="82"/>
      <c r="F3297" s="82"/>
      <c r="G3297" s="86"/>
      <c r="H3297" s="86"/>
      <c r="I3297" s="86"/>
      <c r="J3297" s="82"/>
      <c r="K3297" s="82"/>
      <c r="L3297" s="82"/>
      <c r="M3297" s="82"/>
      <c r="N3297" s="82"/>
      <c r="O3297" s="82"/>
      <c r="P3297" s="82"/>
      <c r="Q3297" s="82"/>
      <c r="R3297" s="82"/>
      <c r="S3297" s="82"/>
      <c r="T3297" s="82"/>
      <c r="U3297" s="82"/>
      <c r="V3297" s="82"/>
      <c r="W3297" s="82"/>
      <c r="X3297" s="82"/>
      <c r="Y3297" s="82"/>
      <c r="Z3297" s="82"/>
      <c r="AA3297" s="82"/>
      <c r="AB3297" s="82"/>
      <c r="AC3297" s="82"/>
      <c r="AD3297" s="82"/>
      <c r="AE3297" s="82"/>
      <c r="AF3297" s="82"/>
      <c r="AG3297" s="82"/>
      <c r="AH3297" s="82"/>
      <c r="AI3297" s="82"/>
      <c r="AJ3297" s="82"/>
      <c r="AK3297" s="82"/>
      <c r="AL3297" s="82"/>
      <c r="AM3297" s="82"/>
      <c r="AN3297" s="82">
        <f>IFERROR(__xludf.DUMMYFUNCTION("""COMPUTED_VALUE"""),0.0)</f>
        <v>0</v>
      </c>
      <c r="AO3297" s="82">
        <f>IFERROR(__xludf.DUMMYFUNCTION("""COMPUTED_VALUE"""),0.0)</f>
        <v>0</v>
      </c>
      <c r="AP3297" s="82">
        <f>IFERROR(__xludf.DUMMYFUNCTION("""COMPUTED_VALUE"""),0.0)</f>
        <v>0</v>
      </c>
      <c r="AQ3297" s="82">
        <f>IFERROR(__xludf.DUMMYFUNCTION("""COMPUTED_VALUE"""),0.0)</f>
        <v>0</v>
      </c>
      <c r="AR3297" s="82">
        <f>IFERROR(__xludf.DUMMYFUNCTION("""COMPUTED_VALUE"""),0.0)</f>
        <v>0</v>
      </c>
      <c r="AS3297" s="82"/>
      <c r="AT3297" s="82">
        <f>IFERROR(__xludf.DUMMYFUNCTION("""COMPUTED_VALUE"""),0.0)</f>
        <v>0</v>
      </c>
      <c r="AU3297" s="82"/>
      <c r="AV3297" s="82"/>
      <c r="AW3297" s="82" t="str">
        <f t="shared" si="1"/>
        <v/>
      </c>
      <c r="AX3297" s="83" t="str">
        <f t="array" ref="AX3297">IFERROR(DGET('SBV Import'!A:G,"SBV",{"RSC ID","Tier";B3297,A3297}))</f>
        <v/>
      </c>
      <c r="AY3297" s="82" t="str">
        <f t="shared" si="2"/>
        <v/>
      </c>
      <c r="AZ3297" s="82"/>
      <c r="BA3297" s="84" t="s">
        <v>152</v>
      </c>
      <c r="BB3297" s="84" t="str">
        <f>IFERROR(__xludf.DUMMYFUNCTION("iferror(if(A3297="""",,E3297&gt;=FILTER(Constants!$F$2:$F$10,Constants!$A$2:$A$10=A3297)))"),"")</f>
        <v/>
      </c>
    </row>
    <row r="3298">
      <c r="A3298" s="89"/>
      <c r="B3298" s="87"/>
      <c r="C3298" s="73"/>
      <c r="D3298" s="73"/>
      <c r="E3298" s="82"/>
      <c r="F3298" s="82"/>
      <c r="G3298" s="86"/>
      <c r="H3298" s="86"/>
      <c r="I3298" s="86"/>
      <c r="J3298" s="82"/>
      <c r="K3298" s="82"/>
      <c r="L3298" s="82"/>
      <c r="M3298" s="82"/>
      <c r="N3298" s="82"/>
      <c r="O3298" s="82"/>
      <c r="P3298" s="82"/>
      <c r="Q3298" s="82"/>
      <c r="R3298" s="82"/>
      <c r="S3298" s="82"/>
      <c r="T3298" s="82"/>
      <c r="U3298" s="82"/>
      <c r="V3298" s="82"/>
      <c r="W3298" s="82"/>
      <c r="X3298" s="82"/>
      <c r="Y3298" s="82"/>
      <c r="Z3298" s="82"/>
      <c r="AA3298" s="82"/>
      <c r="AB3298" s="82"/>
      <c r="AC3298" s="82"/>
      <c r="AD3298" s="82"/>
      <c r="AE3298" s="82"/>
      <c r="AF3298" s="82"/>
      <c r="AG3298" s="82"/>
      <c r="AH3298" s="82"/>
      <c r="AI3298" s="82"/>
      <c r="AJ3298" s="82"/>
      <c r="AK3298" s="82"/>
      <c r="AL3298" s="82"/>
      <c r="AM3298" s="82"/>
      <c r="AN3298" s="82">
        <f>IFERROR(__xludf.DUMMYFUNCTION("""COMPUTED_VALUE"""),0.0)</f>
        <v>0</v>
      </c>
      <c r="AO3298" s="82">
        <f>IFERROR(__xludf.DUMMYFUNCTION("""COMPUTED_VALUE"""),0.0)</f>
        <v>0</v>
      </c>
      <c r="AP3298" s="82">
        <f>IFERROR(__xludf.DUMMYFUNCTION("""COMPUTED_VALUE"""),0.0)</f>
        <v>0</v>
      </c>
      <c r="AQ3298" s="82">
        <f>IFERROR(__xludf.DUMMYFUNCTION("""COMPUTED_VALUE"""),0.0)</f>
        <v>0</v>
      </c>
      <c r="AR3298" s="82">
        <f>IFERROR(__xludf.DUMMYFUNCTION("""COMPUTED_VALUE"""),0.0)</f>
        <v>0</v>
      </c>
      <c r="AS3298" s="82"/>
      <c r="AT3298" s="82">
        <f>IFERROR(__xludf.DUMMYFUNCTION("""COMPUTED_VALUE"""),0.0)</f>
        <v>0</v>
      </c>
      <c r="AU3298" s="82"/>
      <c r="AV3298" s="82"/>
      <c r="AW3298" s="82" t="str">
        <f t="shared" si="1"/>
        <v/>
      </c>
      <c r="AX3298" s="83" t="str">
        <f t="array" ref="AX3298">IFERROR(DGET('SBV Import'!A:G,"SBV",{"RSC ID","Tier";B3298,A3298}))</f>
        <v/>
      </c>
      <c r="AY3298" s="82" t="str">
        <f t="shared" si="2"/>
        <v/>
      </c>
      <c r="AZ3298" s="82"/>
      <c r="BA3298" s="84" t="s">
        <v>152</v>
      </c>
      <c r="BB3298" s="84" t="str">
        <f>IFERROR(__xludf.DUMMYFUNCTION("iferror(if(A3298="""",,E3298&gt;=FILTER(Constants!$F$2:$F$10,Constants!$A$2:$A$10=A3298)))"),"")</f>
        <v/>
      </c>
    </row>
    <row r="3299">
      <c r="A3299" s="89"/>
      <c r="B3299" s="87"/>
      <c r="C3299" s="73"/>
      <c r="D3299" s="73"/>
      <c r="E3299" s="82"/>
      <c r="F3299" s="82"/>
      <c r="G3299" s="86"/>
      <c r="H3299" s="86"/>
      <c r="I3299" s="86"/>
      <c r="J3299" s="82"/>
      <c r="K3299" s="82"/>
      <c r="L3299" s="82"/>
      <c r="M3299" s="82"/>
      <c r="N3299" s="82"/>
      <c r="O3299" s="82"/>
      <c r="P3299" s="82"/>
      <c r="Q3299" s="82"/>
      <c r="R3299" s="82"/>
      <c r="S3299" s="82"/>
      <c r="T3299" s="82"/>
      <c r="U3299" s="82"/>
      <c r="V3299" s="82"/>
      <c r="W3299" s="82"/>
      <c r="X3299" s="82"/>
      <c r="Y3299" s="82"/>
      <c r="Z3299" s="82"/>
      <c r="AA3299" s="82"/>
      <c r="AB3299" s="82"/>
      <c r="AC3299" s="82"/>
      <c r="AD3299" s="82"/>
      <c r="AE3299" s="82"/>
      <c r="AF3299" s="82"/>
      <c r="AG3299" s="82"/>
      <c r="AH3299" s="82"/>
      <c r="AI3299" s="82"/>
      <c r="AJ3299" s="82"/>
      <c r="AK3299" s="82"/>
      <c r="AL3299" s="82"/>
      <c r="AM3299" s="82"/>
      <c r="AN3299" s="82">
        <f>IFERROR(__xludf.DUMMYFUNCTION("""COMPUTED_VALUE"""),0.0)</f>
        <v>0</v>
      </c>
      <c r="AO3299" s="82">
        <f>IFERROR(__xludf.DUMMYFUNCTION("""COMPUTED_VALUE"""),0.0)</f>
        <v>0</v>
      </c>
      <c r="AP3299" s="82">
        <f>IFERROR(__xludf.DUMMYFUNCTION("""COMPUTED_VALUE"""),0.0)</f>
        <v>0</v>
      </c>
      <c r="AQ3299" s="82">
        <f>IFERROR(__xludf.DUMMYFUNCTION("""COMPUTED_VALUE"""),0.0)</f>
        <v>0</v>
      </c>
      <c r="AR3299" s="82">
        <f>IFERROR(__xludf.DUMMYFUNCTION("""COMPUTED_VALUE"""),0.0)</f>
        <v>0</v>
      </c>
      <c r="AS3299" s="82"/>
      <c r="AT3299" s="82">
        <f>IFERROR(__xludf.DUMMYFUNCTION("""COMPUTED_VALUE"""),0.0)</f>
        <v>0</v>
      </c>
      <c r="AU3299" s="82"/>
      <c r="AV3299" s="82"/>
      <c r="AW3299" s="82" t="str">
        <f t="shared" si="1"/>
        <v/>
      </c>
      <c r="AX3299" s="83" t="str">
        <f t="array" ref="AX3299">IFERROR(DGET('SBV Import'!A:G,"SBV",{"RSC ID","Tier";B3299,A3299}))</f>
        <v/>
      </c>
      <c r="AY3299" s="82" t="str">
        <f t="shared" si="2"/>
        <v/>
      </c>
      <c r="AZ3299" s="82"/>
      <c r="BA3299" s="84" t="s">
        <v>152</v>
      </c>
      <c r="BB3299" s="84" t="str">
        <f>IFERROR(__xludf.DUMMYFUNCTION("iferror(if(A3299="""",,E3299&gt;=FILTER(Constants!$F$2:$F$10,Constants!$A$2:$A$10=A3299)))"),"")</f>
        <v/>
      </c>
    </row>
    <row r="3300">
      <c r="A3300" s="89"/>
      <c r="B3300" s="87"/>
      <c r="C3300" s="73"/>
      <c r="D3300" s="73"/>
      <c r="E3300" s="82"/>
      <c r="F3300" s="82"/>
      <c r="G3300" s="86"/>
      <c r="H3300" s="86"/>
      <c r="I3300" s="86"/>
      <c r="J3300" s="82"/>
      <c r="K3300" s="82"/>
      <c r="L3300" s="82"/>
      <c r="M3300" s="82"/>
      <c r="N3300" s="82"/>
      <c r="O3300" s="82"/>
      <c r="P3300" s="82"/>
      <c r="Q3300" s="82"/>
      <c r="R3300" s="82"/>
      <c r="S3300" s="82"/>
      <c r="T3300" s="82"/>
      <c r="U3300" s="82"/>
      <c r="V3300" s="82"/>
      <c r="W3300" s="82"/>
      <c r="X3300" s="82"/>
      <c r="Y3300" s="82"/>
      <c r="Z3300" s="82"/>
      <c r="AA3300" s="82"/>
      <c r="AB3300" s="82"/>
      <c r="AC3300" s="82"/>
      <c r="AD3300" s="82"/>
      <c r="AE3300" s="82"/>
      <c r="AF3300" s="82"/>
      <c r="AG3300" s="82"/>
      <c r="AH3300" s="82"/>
      <c r="AI3300" s="82"/>
      <c r="AJ3300" s="82"/>
      <c r="AK3300" s="82"/>
      <c r="AL3300" s="82"/>
      <c r="AM3300" s="82"/>
      <c r="AN3300" s="82">
        <f>IFERROR(__xludf.DUMMYFUNCTION("""COMPUTED_VALUE"""),0.0)</f>
        <v>0</v>
      </c>
      <c r="AO3300" s="82">
        <f>IFERROR(__xludf.DUMMYFUNCTION("""COMPUTED_VALUE"""),0.0)</f>
        <v>0</v>
      </c>
      <c r="AP3300" s="82">
        <f>IFERROR(__xludf.DUMMYFUNCTION("""COMPUTED_VALUE"""),0.0)</f>
        <v>0</v>
      </c>
      <c r="AQ3300" s="82">
        <f>IFERROR(__xludf.DUMMYFUNCTION("""COMPUTED_VALUE"""),0.0)</f>
        <v>0</v>
      </c>
      <c r="AR3300" s="82">
        <f>IFERROR(__xludf.DUMMYFUNCTION("""COMPUTED_VALUE"""),0.0)</f>
        <v>0</v>
      </c>
      <c r="AS3300" s="82"/>
      <c r="AT3300" s="82">
        <f>IFERROR(__xludf.DUMMYFUNCTION("""COMPUTED_VALUE"""),0.0)</f>
        <v>0</v>
      </c>
      <c r="AU3300" s="82"/>
      <c r="AV3300" s="82"/>
      <c r="AW3300" s="82" t="str">
        <f t="shared" si="1"/>
        <v/>
      </c>
      <c r="AX3300" s="83" t="str">
        <f t="array" ref="AX3300">IFERROR(DGET('SBV Import'!A:G,"SBV",{"RSC ID","Tier";B3300,A3300}))</f>
        <v/>
      </c>
      <c r="AY3300" s="82" t="str">
        <f t="shared" si="2"/>
        <v/>
      </c>
      <c r="AZ3300" s="82"/>
      <c r="BA3300" s="84" t="s">
        <v>152</v>
      </c>
      <c r="BB3300" s="84" t="str">
        <f>IFERROR(__xludf.DUMMYFUNCTION("iferror(if(A3300="""",,E3300&gt;=FILTER(Constants!$F$2:$F$10,Constants!$A$2:$A$10=A3300)))"),"")</f>
        <v/>
      </c>
    </row>
    <row r="3301">
      <c r="A3301" s="89"/>
      <c r="B3301" s="87"/>
      <c r="C3301" s="73"/>
      <c r="D3301" s="73"/>
      <c r="E3301" s="82"/>
      <c r="F3301" s="82"/>
      <c r="G3301" s="86"/>
      <c r="H3301" s="86"/>
      <c r="I3301" s="86"/>
      <c r="J3301" s="82"/>
      <c r="K3301" s="82"/>
      <c r="L3301" s="82"/>
      <c r="M3301" s="82"/>
      <c r="N3301" s="82"/>
      <c r="O3301" s="82"/>
      <c r="P3301" s="82"/>
      <c r="Q3301" s="82"/>
      <c r="R3301" s="82"/>
      <c r="S3301" s="82"/>
      <c r="T3301" s="82"/>
      <c r="U3301" s="82"/>
      <c r="V3301" s="82"/>
      <c r="W3301" s="82"/>
      <c r="X3301" s="82"/>
      <c r="Y3301" s="82"/>
      <c r="Z3301" s="82"/>
      <c r="AA3301" s="82"/>
      <c r="AB3301" s="82"/>
      <c r="AC3301" s="82"/>
      <c r="AD3301" s="82"/>
      <c r="AE3301" s="82"/>
      <c r="AF3301" s="82"/>
      <c r="AG3301" s="82"/>
      <c r="AH3301" s="82"/>
      <c r="AI3301" s="82"/>
      <c r="AJ3301" s="82"/>
      <c r="AK3301" s="82"/>
      <c r="AL3301" s="82"/>
      <c r="AM3301" s="82"/>
      <c r="AN3301" s="82">
        <f>IFERROR(__xludf.DUMMYFUNCTION("""COMPUTED_VALUE"""),0.0)</f>
        <v>0</v>
      </c>
      <c r="AO3301" s="82">
        <f>IFERROR(__xludf.DUMMYFUNCTION("""COMPUTED_VALUE"""),0.0)</f>
        <v>0</v>
      </c>
      <c r="AP3301" s="82">
        <f>IFERROR(__xludf.DUMMYFUNCTION("""COMPUTED_VALUE"""),0.0)</f>
        <v>0</v>
      </c>
      <c r="AQ3301" s="82">
        <f>IFERROR(__xludf.DUMMYFUNCTION("""COMPUTED_VALUE"""),0.0)</f>
        <v>0</v>
      </c>
      <c r="AR3301" s="82">
        <f>IFERROR(__xludf.DUMMYFUNCTION("""COMPUTED_VALUE"""),0.0)</f>
        <v>0</v>
      </c>
      <c r="AS3301" s="82"/>
      <c r="AT3301" s="82">
        <f>IFERROR(__xludf.DUMMYFUNCTION("""COMPUTED_VALUE"""),0.0)</f>
        <v>0</v>
      </c>
      <c r="AU3301" s="82"/>
      <c r="AV3301" s="82"/>
      <c r="AW3301" s="82" t="str">
        <f t="shared" si="1"/>
        <v/>
      </c>
      <c r="AX3301" s="83" t="str">
        <f t="array" ref="AX3301">IFERROR(DGET('SBV Import'!A:G,"SBV",{"RSC ID","Tier";B3301,A3301}))</f>
        <v/>
      </c>
      <c r="AY3301" s="82" t="str">
        <f t="shared" si="2"/>
        <v/>
      </c>
      <c r="AZ3301" s="82"/>
      <c r="BA3301" s="84" t="s">
        <v>152</v>
      </c>
      <c r="BB3301" s="84" t="str">
        <f>IFERROR(__xludf.DUMMYFUNCTION("iferror(if(A3301="""",,E3301&gt;=FILTER(Constants!$F$2:$F$10,Constants!$A$2:$A$10=A3301)))"),"")</f>
        <v/>
      </c>
    </row>
    <row r="3302">
      <c r="A3302" s="89"/>
      <c r="B3302" s="87"/>
      <c r="C3302" s="73"/>
      <c r="D3302" s="73"/>
      <c r="E3302" s="82"/>
      <c r="F3302" s="82"/>
      <c r="G3302" s="86"/>
      <c r="H3302" s="86"/>
      <c r="I3302" s="86"/>
      <c r="J3302" s="82"/>
      <c r="K3302" s="82"/>
      <c r="L3302" s="82"/>
      <c r="M3302" s="82"/>
      <c r="N3302" s="82"/>
      <c r="O3302" s="82"/>
      <c r="P3302" s="82"/>
      <c r="Q3302" s="82"/>
      <c r="R3302" s="82"/>
      <c r="S3302" s="82"/>
      <c r="T3302" s="82"/>
      <c r="U3302" s="82"/>
      <c r="V3302" s="82"/>
      <c r="W3302" s="82"/>
      <c r="X3302" s="82"/>
      <c r="Y3302" s="82"/>
      <c r="Z3302" s="82"/>
      <c r="AA3302" s="82"/>
      <c r="AB3302" s="82"/>
      <c r="AC3302" s="82"/>
      <c r="AD3302" s="82"/>
      <c r="AE3302" s="82"/>
      <c r="AF3302" s="82"/>
      <c r="AG3302" s="82"/>
      <c r="AH3302" s="82"/>
      <c r="AI3302" s="82"/>
      <c r="AJ3302" s="82"/>
      <c r="AK3302" s="82"/>
      <c r="AL3302" s="82"/>
      <c r="AM3302" s="82"/>
      <c r="AN3302" s="82">
        <f>IFERROR(__xludf.DUMMYFUNCTION("""COMPUTED_VALUE"""),0.0)</f>
        <v>0</v>
      </c>
      <c r="AO3302" s="82">
        <f>IFERROR(__xludf.DUMMYFUNCTION("""COMPUTED_VALUE"""),0.0)</f>
        <v>0</v>
      </c>
      <c r="AP3302" s="82">
        <f>IFERROR(__xludf.DUMMYFUNCTION("""COMPUTED_VALUE"""),0.0)</f>
        <v>0</v>
      </c>
      <c r="AQ3302" s="82">
        <f>IFERROR(__xludf.DUMMYFUNCTION("""COMPUTED_VALUE"""),0.0)</f>
        <v>0</v>
      </c>
      <c r="AR3302" s="82">
        <f>IFERROR(__xludf.DUMMYFUNCTION("""COMPUTED_VALUE"""),0.0)</f>
        <v>0</v>
      </c>
      <c r="AS3302" s="82"/>
      <c r="AT3302" s="82">
        <f>IFERROR(__xludf.DUMMYFUNCTION("""COMPUTED_VALUE"""),0.0)</f>
        <v>0</v>
      </c>
      <c r="AU3302" s="82"/>
      <c r="AV3302" s="82"/>
      <c r="AW3302" s="82" t="str">
        <f t="shared" si="1"/>
        <v/>
      </c>
      <c r="AX3302" s="83" t="str">
        <f t="array" ref="AX3302">IFERROR(DGET('SBV Import'!A:G,"SBV",{"RSC ID","Tier";B3302,A3302}))</f>
        <v/>
      </c>
      <c r="AY3302" s="82" t="str">
        <f t="shared" si="2"/>
        <v/>
      </c>
      <c r="AZ3302" s="82"/>
      <c r="BA3302" s="84" t="s">
        <v>152</v>
      </c>
      <c r="BB3302" s="84" t="str">
        <f>IFERROR(__xludf.DUMMYFUNCTION("iferror(if(A3302="""",,E3302&gt;=FILTER(Constants!$F$2:$F$10,Constants!$A$2:$A$10=A3302)))"),"")</f>
        <v/>
      </c>
    </row>
    <row r="3303">
      <c r="A3303" s="89"/>
      <c r="B3303" s="87"/>
      <c r="C3303" s="73"/>
      <c r="D3303" s="73"/>
      <c r="E3303" s="82"/>
      <c r="F3303" s="82"/>
      <c r="G3303" s="86"/>
      <c r="H3303" s="86"/>
      <c r="I3303" s="86"/>
      <c r="J3303" s="82"/>
      <c r="K3303" s="82"/>
      <c r="L3303" s="82"/>
      <c r="M3303" s="82"/>
      <c r="N3303" s="82"/>
      <c r="O3303" s="82"/>
      <c r="P3303" s="82"/>
      <c r="Q3303" s="82"/>
      <c r="R3303" s="82"/>
      <c r="S3303" s="82"/>
      <c r="T3303" s="82"/>
      <c r="U3303" s="82"/>
      <c r="V3303" s="82"/>
      <c r="W3303" s="82"/>
      <c r="X3303" s="82"/>
      <c r="Y3303" s="82"/>
      <c r="Z3303" s="82"/>
      <c r="AA3303" s="82"/>
      <c r="AB3303" s="82"/>
      <c r="AC3303" s="82"/>
      <c r="AD3303" s="82"/>
      <c r="AE3303" s="82"/>
      <c r="AF3303" s="82"/>
      <c r="AG3303" s="82"/>
      <c r="AH3303" s="82"/>
      <c r="AI3303" s="82"/>
      <c r="AJ3303" s="82"/>
      <c r="AK3303" s="82"/>
      <c r="AL3303" s="82"/>
      <c r="AM3303" s="82"/>
      <c r="AN3303" s="82">
        <f>IFERROR(__xludf.DUMMYFUNCTION("""COMPUTED_VALUE"""),0.0)</f>
        <v>0</v>
      </c>
      <c r="AO3303" s="82">
        <f>IFERROR(__xludf.DUMMYFUNCTION("""COMPUTED_VALUE"""),0.0)</f>
        <v>0</v>
      </c>
      <c r="AP3303" s="82">
        <f>IFERROR(__xludf.DUMMYFUNCTION("""COMPUTED_VALUE"""),0.0)</f>
        <v>0</v>
      </c>
      <c r="AQ3303" s="82">
        <f>IFERROR(__xludf.DUMMYFUNCTION("""COMPUTED_VALUE"""),0.0)</f>
        <v>0</v>
      </c>
      <c r="AR3303" s="82">
        <f>IFERROR(__xludf.DUMMYFUNCTION("""COMPUTED_VALUE"""),0.0)</f>
        <v>0</v>
      </c>
      <c r="AS3303" s="82"/>
      <c r="AT3303" s="82">
        <f>IFERROR(__xludf.DUMMYFUNCTION("""COMPUTED_VALUE"""),0.0)</f>
        <v>0</v>
      </c>
      <c r="AU3303" s="82"/>
      <c r="AV3303" s="82"/>
      <c r="AW3303" s="82" t="str">
        <f t="shared" si="1"/>
        <v/>
      </c>
      <c r="AX3303" s="83" t="str">
        <f t="array" ref="AX3303">IFERROR(DGET('SBV Import'!A:G,"SBV",{"RSC ID","Tier";B3303,A3303}))</f>
        <v/>
      </c>
      <c r="AY3303" s="82" t="str">
        <f t="shared" si="2"/>
        <v/>
      </c>
      <c r="AZ3303" s="82"/>
      <c r="BA3303" s="84" t="s">
        <v>152</v>
      </c>
      <c r="BB3303" s="84" t="str">
        <f>IFERROR(__xludf.DUMMYFUNCTION("iferror(if(A3303="""",,E3303&gt;=FILTER(Constants!$F$2:$F$10,Constants!$A$2:$A$10=A3303)))"),"")</f>
        <v/>
      </c>
    </row>
    <row r="3304">
      <c r="A3304" s="89"/>
      <c r="B3304" s="87"/>
      <c r="C3304" s="73"/>
      <c r="D3304" s="73"/>
      <c r="E3304" s="82"/>
      <c r="F3304" s="82"/>
      <c r="G3304" s="86"/>
      <c r="H3304" s="86"/>
      <c r="I3304" s="86"/>
      <c r="J3304" s="82"/>
      <c r="K3304" s="82"/>
      <c r="L3304" s="82"/>
      <c r="M3304" s="82"/>
      <c r="N3304" s="82"/>
      <c r="O3304" s="82"/>
      <c r="P3304" s="82"/>
      <c r="Q3304" s="82"/>
      <c r="R3304" s="82"/>
      <c r="S3304" s="82"/>
      <c r="T3304" s="82"/>
      <c r="U3304" s="82"/>
      <c r="V3304" s="82"/>
      <c r="W3304" s="82"/>
      <c r="X3304" s="82"/>
      <c r="Y3304" s="82"/>
      <c r="Z3304" s="82"/>
      <c r="AA3304" s="82"/>
      <c r="AB3304" s="82"/>
      <c r="AC3304" s="82"/>
      <c r="AD3304" s="82"/>
      <c r="AE3304" s="82"/>
      <c r="AF3304" s="82"/>
      <c r="AG3304" s="82"/>
      <c r="AH3304" s="82"/>
      <c r="AI3304" s="82"/>
      <c r="AJ3304" s="82"/>
      <c r="AK3304" s="82"/>
      <c r="AL3304" s="82"/>
      <c r="AM3304" s="82"/>
      <c r="AN3304" s="82">
        <f>IFERROR(__xludf.DUMMYFUNCTION("""COMPUTED_VALUE"""),0.0)</f>
        <v>0</v>
      </c>
      <c r="AO3304" s="82">
        <f>IFERROR(__xludf.DUMMYFUNCTION("""COMPUTED_VALUE"""),0.0)</f>
        <v>0</v>
      </c>
      <c r="AP3304" s="82">
        <f>IFERROR(__xludf.DUMMYFUNCTION("""COMPUTED_VALUE"""),0.0)</f>
        <v>0</v>
      </c>
      <c r="AQ3304" s="82">
        <f>IFERROR(__xludf.DUMMYFUNCTION("""COMPUTED_VALUE"""),0.0)</f>
        <v>0</v>
      </c>
      <c r="AR3304" s="82">
        <f>IFERROR(__xludf.DUMMYFUNCTION("""COMPUTED_VALUE"""),0.0)</f>
        <v>0</v>
      </c>
      <c r="AS3304" s="82"/>
      <c r="AT3304" s="82">
        <f>IFERROR(__xludf.DUMMYFUNCTION("""COMPUTED_VALUE"""),0.0)</f>
        <v>0</v>
      </c>
      <c r="AU3304" s="82"/>
      <c r="AV3304" s="82"/>
      <c r="AW3304" s="82" t="str">
        <f t="shared" si="1"/>
        <v/>
      </c>
      <c r="AX3304" s="83" t="str">
        <f t="array" ref="AX3304">IFERROR(DGET('SBV Import'!A:G,"SBV",{"RSC ID","Tier";B3304,A3304}))</f>
        <v/>
      </c>
      <c r="AY3304" s="82" t="str">
        <f t="shared" si="2"/>
        <v/>
      </c>
      <c r="AZ3304" s="82"/>
      <c r="BA3304" s="84" t="s">
        <v>152</v>
      </c>
      <c r="BB3304" s="84" t="str">
        <f>IFERROR(__xludf.DUMMYFUNCTION("iferror(if(A3304="""",,E3304&gt;=FILTER(Constants!$F$2:$F$10,Constants!$A$2:$A$10=A3304)))"),"")</f>
        <v/>
      </c>
    </row>
    <row r="3305">
      <c r="A3305" s="89"/>
      <c r="B3305" s="87"/>
      <c r="C3305" s="73"/>
      <c r="D3305" s="73"/>
      <c r="E3305" s="82"/>
      <c r="F3305" s="82"/>
      <c r="G3305" s="86"/>
      <c r="H3305" s="86"/>
      <c r="I3305" s="86"/>
      <c r="J3305" s="82"/>
      <c r="K3305" s="82"/>
      <c r="L3305" s="82"/>
      <c r="M3305" s="82"/>
      <c r="N3305" s="82"/>
      <c r="O3305" s="82"/>
      <c r="P3305" s="82"/>
      <c r="Q3305" s="82"/>
      <c r="R3305" s="82"/>
      <c r="S3305" s="82"/>
      <c r="T3305" s="82"/>
      <c r="U3305" s="82"/>
      <c r="V3305" s="82"/>
      <c r="W3305" s="82"/>
      <c r="X3305" s="82"/>
      <c r="Y3305" s="82"/>
      <c r="Z3305" s="82"/>
      <c r="AA3305" s="82"/>
      <c r="AB3305" s="82"/>
      <c r="AC3305" s="82"/>
      <c r="AD3305" s="82"/>
      <c r="AE3305" s="82"/>
      <c r="AF3305" s="82"/>
      <c r="AG3305" s="82"/>
      <c r="AH3305" s="82"/>
      <c r="AI3305" s="82"/>
      <c r="AJ3305" s="82"/>
      <c r="AK3305" s="82"/>
      <c r="AL3305" s="82"/>
      <c r="AM3305" s="82"/>
      <c r="AN3305" s="82">
        <f>IFERROR(__xludf.DUMMYFUNCTION("""COMPUTED_VALUE"""),0.0)</f>
        <v>0</v>
      </c>
      <c r="AO3305" s="82">
        <f>IFERROR(__xludf.DUMMYFUNCTION("""COMPUTED_VALUE"""),0.0)</f>
        <v>0</v>
      </c>
      <c r="AP3305" s="82">
        <f>IFERROR(__xludf.DUMMYFUNCTION("""COMPUTED_VALUE"""),0.0)</f>
        <v>0</v>
      </c>
      <c r="AQ3305" s="82">
        <f>IFERROR(__xludf.DUMMYFUNCTION("""COMPUTED_VALUE"""),0.0)</f>
        <v>0</v>
      </c>
      <c r="AR3305" s="82">
        <f>IFERROR(__xludf.DUMMYFUNCTION("""COMPUTED_VALUE"""),0.0)</f>
        <v>0</v>
      </c>
      <c r="AS3305" s="82"/>
      <c r="AT3305" s="82">
        <f>IFERROR(__xludf.DUMMYFUNCTION("""COMPUTED_VALUE"""),0.0)</f>
        <v>0</v>
      </c>
      <c r="AU3305" s="82"/>
      <c r="AV3305" s="82"/>
      <c r="AW3305" s="82" t="str">
        <f t="shared" si="1"/>
        <v/>
      </c>
      <c r="AX3305" s="83" t="str">
        <f t="array" ref="AX3305">IFERROR(DGET('SBV Import'!A:G,"SBV",{"RSC ID","Tier";B3305,A3305}))</f>
        <v/>
      </c>
      <c r="AY3305" s="82" t="str">
        <f t="shared" si="2"/>
        <v/>
      </c>
      <c r="AZ3305" s="82"/>
      <c r="BA3305" s="84" t="s">
        <v>152</v>
      </c>
      <c r="BB3305" s="84" t="str">
        <f>IFERROR(__xludf.DUMMYFUNCTION("iferror(if(A3305="""",,E3305&gt;=FILTER(Constants!$F$2:$F$10,Constants!$A$2:$A$10=A3305)))"),"")</f>
        <v/>
      </c>
    </row>
    <row r="3306">
      <c r="A3306" s="89"/>
      <c r="B3306" s="87"/>
      <c r="C3306" s="73"/>
      <c r="D3306" s="73"/>
      <c r="E3306" s="82"/>
      <c r="F3306" s="82"/>
      <c r="G3306" s="86"/>
      <c r="H3306" s="86"/>
      <c r="I3306" s="86"/>
      <c r="J3306" s="82"/>
      <c r="K3306" s="82"/>
      <c r="L3306" s="82"/>
      <c r="M3306" s="82"/>
      <c r="N3306" s="82"/>
      <c r="O3306" s="82"/>
      <c r="P3306" s="82"/>
      <c r="Q3306" s="82"/>
      <c r="R3306" s="82"/>
      <c r="S3306" s="82"/>
      <c r="T3306" s="82"/>
      <c r="U3306" s="82"/>
      <c r="V3306" s="82"/>
      <c r="W3306" s="82"/>
      <c r="X3306" s="82"/>
      <c r="Y3306" s="82"/>
      <c r="Z3306" s="82"/>
      <c r="AA3306" s="82"/>
      <c r="AB3306" s="82"/>
      <c r="AC3306" s="82"/>
      <c r="AD3306" s="82"/>
      <c r="AE3306" s="82"/>
      <c r="AF3306" s="82"/>
      <c r="AG3306" s="82"/>
      <c r="AH3306" s="82"/>
      <c r="AI3306" s="82"/>
      <c r="AJ3306" s="82"/>
      <c r="AK3306" s="82"/>
      <c r="AL3306" s="82"/>
      <c r="AM3306" s="82"/>
      <c r="AN3306" s="82">
        <f>IFERROR(__xludf.DUMMYFUNCTION("""COMPUTED_VALUE"""),0.0)</f>
        <v>0</v>
      </c>
      <c r="AO3306" s="82">
        <f>IFERROR(__xludf.DUMMYFUNCTION("""COMPUTED_VALUE"""),0.0)</f>
        <v>0</v>
      </c>
      <c r="AP3306" s="82">
        <f>IFERROR(__xludf.DUMMYFUNCTION("""COMPUTED_VALUE"""),0.0)</f>
        <v>0</v>
      </c>
      <c r="AQ3306" s="82">
        <f>IFERROR(__xludf.DUMMYFUNCTION("""COMPUTED_VALUE"""),0.0)</f>
        <v>0</v>
      </c>
      <c r="AR3306" s="82">
        <f>IFERROR(__xludf.DUMMYFUNCTION("""COMPUTED_VALUE"""),0.0)</f>
        <v>0</v>
      </c>
      <c r="AS3306" s="82"/>
      <c r="AT3306" s="82">
        <f>IFERROR(__xludf.DUMMYFUNCTION("""COMPUTED_VALUE"""),0.0)</f>
        <v>0</v>
      </c>
      <c r="AU3306" s="82"/>
      <c r="AV3306" s="82"/>
      <c r="AW3306" s="82" t="str">
        <f t="shared" si="1"/>
        <v/>
      </c>
      <c r="AX3306" s="83" t="str">
        <f t="array" ref="AX3306">IFERROR(DGET('SBV Import'!A:G,"SBV",{"RSC ID","Tier";B3306,A3306}))</f>
        <v/>
      </c>
      <c r="AY3306" s="82" t="str">
        <f t="shared" si="2"/>
        <v/>
      </c>
      <c r="AZ3306" s="82"/>
      <c r="BA3306" s="84" t="s">
        <v>152</v>
      </c>
      <c r="BB3306" s="84" t="str">
        <f>IFERROR(__xludf.DUMMYFUNCTION("iferror(if(A3306="""",,E3306&gt;=FILTER(Constants!$F$2:$F$10,Constants!$A$2:$A$10=A3306)))"),"")</f>
        <v/>
      </c>
    </row>
    <row r="3307">
      <c r="A3307" s="89"/>
      <c r="B3307" s="87"/>
      <c r="C3307" s="73"/>
      <c r="D3307" s="73"/>
      <c r="E3307" s="82"/>
      <c r="F3307" s="82"/>
      <c r="G3307" s="86"/>
      <c r="H3307" s="86"/>
      <c r="I3307" s="86"/>
      <c r="J3307" s="82"/>
      <c r="K3307" s="82"/>
      <c r="L3307" s="82"/>
      <c r="M3307" s="82"/>
      <c r="N3307" s="82"/>
      <c r="O3307" s="82"/>
      <c r="P3307" s="82"/>
      <c r="Q3307" s="82"/>
      <c r="R3307" s="82"/>
      <c r="S3307" s="82"/>
      <c r="T3307" s="82"/>
      <c r="U3307" s="82"/>
      <c r="V3307" s="82"/>
      <c r="W3307" s="82"/>
      <c r="X3307" s="82"/>
      <c r="Y3307" s="82"/>
      <c r="Z3307" s="82"/>
      <c r="AA3307" s="82"/>
      <c r="AB3307" s="82"/>
      <c r="AC3307" s="82"/>
      <c r="AD3307" s="82"/>
      <c r="AE3307" s="82"/>
      <c r="AF3307" s="82"/>
      <c r="AG3307" s="82"/>
      <c r="AH3307" s="82"/>
      <c r="AI3307" s="82"/>
      <c r="AJ3307" s="82"/>
      <c r="AK3307" s="82"/>
      <c r="AL3307" s="82"/>
      <c r="AM3307" s="82"/>
      <c r="AN3307" s="82">
        <f>IFERROR(__xludf.DUMMYFUNCTION("""COMPUTED_VALUE"""),0.0)</f>
        <v>0</v>
      </c>
      <c r="AO3307" s="82">
        <f>IFERROR(__xludf.DUMMYFUNCTION("""COMPUTED_VALUE"""),0.0)</f>
        <v>0</v>
      </c>
      <c r="AP3307" s="82">
        <f>IFERROR(__xludf.DUMMYFUNCTION("""COMPUTED_VALUE"""),0.0)</f>
        <v>0</v>
      </c>
      <c r="AQ3307" s="82">
        <f>IFERROR(__xludf.DUMMYFUNCTION("""COMPUTED_VALUE"""),0.0)</f>
        <v>0</v>
      </c>
      <c r="AR3307" s="82">
        <f>IFERROR(__xludf.DUMMYFUNCTION("""COMPUTED_VALUE"""),0.0)</f>
        <v>0</v>
      </c>
      <c r="AS3307" s="82"/>
      <c r="AT3307" s="82">
        <f>IFERROR(__xludf.DUMMYFUNCTION("""COMPUTED_VALUE"""),0.0)</f>
        <v>0</v>
      </c>
      <c r="AU3307" s="82"/>
      <c r="AV3307" s="82"/>
      <c r="AW3307" s="82" t="str">
        <f t="shared" si="1"/>
        <v/>
      </c>
      <c r="AX3307" s="83" t="str">
        <f t="array" ref="AX3307">IFERROR(DGET('SBV Import'!A:G,"SBV",{"RSC ID","Tier";B3307,A3307}))</f>
        <v/>
      </c>
      <c r="AY3307" s="82" t="str">
        <f t="shared" si="2"/>
        <v/>
      </c>
      <c r="AZ3307" s="82"/>
      <c r="BA3307" s="84" t="s">
        <v>152</v>
      </c>
      <c r="BB3307" s="84" t="str">
        <f>IFERROR(__xludf.DUMMYFUNCTION("iferror(if(A3307="""",,E3307&gt;=FILTER(Constants!$F$2:$F$10,Constants!$A$2:$A$10=A3307)))"),"")</f>
        <v/>
      </c>
    </row>
    <row r="3308">
      <c r="A3308" s="89"/>
      <c r="B3308" s="87"/>
      <c r="C3308" s="73"/>
      <c r="D3308" s="73"/>
      <c r="E3308" s="82"/>
      <c r="F3308" s="82"/>
      <c r="G3308" s="86"/>
      <c r="H3308" s="86"/>
      <c r="I3308" s="86"/>
      <c r="J3308" s="82"/>
      <c r="K3308" s="82"/>
      <c r="L3308" s="82"/>
      <c r="M3308" s="82"/>
      <c r="N3308" s="82"/>
      <c r="O3308" s="82"/>
      <c r="P3308" s="82"/>
      <c r="Q3308" s="82"/>
      <c r="R3308" s="82"/>
      <c r="S3308" s="82"/>
      <c r="T3308" s="82"/>
      <c r="U3308" s="82"/>
      <c r="V3308" s="82"/>
      <c r="W3308" s="82"/>
      <c r="X3308" s="82"/>
      <c r="Y3308" s="82"/>
      <c r="Z3308" s="82"/>
      <c r="AA3308" s="82"/>
      <c r="AB3308" s="82"/>
      <c r="AC3308" s="82"/>
      <c r="AD3308" s="82"/>
      <c r="AE3308" s="82"/>
      <c r="AF3308" s="82"/>
      <c r="AG3308" s="82"/>
      <c r="AH3308" s="82"/>
      <c r="AI3308" s="82"/>
      <c r="AJ3308" s="82"/>
      <c r="AK3308" s="82"/>
      <c r="AL3308" s="82"/>
      <c r="AM3308" s="82"/>
      <c r="AN3308" s="82">
        <f>IFERROR(__xludf.DUMMYFUNCTION("""COMPUTED_VALUE"""),0.0)</f>
        <v>0</v>
      </c>
      <c r="AO3308" s="82">
        <f>IFERROR(__xludf.DUMMYFUNCTION("""COMPUTED_VALUE"""),0.0)</f>
        <v>0</v>
      </c>
      <c r="AP3308" s="82">
        <f>IFERROR(__xludf.DUMMYFUNCTION("""COMPUTED_VALUE"""),0.0)</f>
        <v>0</v>
      </c>
      <c r="AQ3308" s="82">
        <f>IFERROR(__xludf.DUMMYFUNCTION("""COMPUTED_VALUE"""),0.0)</f>
        <v>0</v>
      </c>
      <c r="AR3308" s="82">
        <f>IFERROR(__xludf.DUMMYFUNCTION("""COMPUTED_VALUE"""),0.0)</f>
        <v>0</v>
      </c>
      <c r="AS3308" s="82"/>
      <c r="AT3308" s="82">
        <f>IFERROR(__xludf.DUMMYFUNCTION("""COMPUTED_VALUE"""),0.0)</f>
        <v>0</v>
      </c>
      <c r="AU3308" s="82"/>
      <c r="AV3308" s="82"/>
      <c r="AW3308" s="82" t="str">
        <f t="shared" si="1"/>
        <v/>
      </c>
      <c r="AX3308" s="83" t="str">
        <f t="array" ref="AX3308">IFERROR(DGET('SBV Import'!A:G,"SBV",{"RSC ID","Tier";B3308,A3308}))</f>
        <v/>
      </c>
      <c r="AY3308" s="82" t="str">
        <f t="shared" si="2"/>
        <v/>
      </c>
      <c r="AZ3308" s="82"/>
      <c r="BA3308" s="84" t="s">
        <v>152</v>
      </c>
      <c r="BB3308" s="84" t="str">
        <f>IFERROR(__xludf.DUMMYFUNCTION("iferror(if(A3308="""",,E3308&gt;=FILTER(Constants!$F$2:$F$10,Constants!$A$2:$A$10=A3308)))"),"")</f>
        <v/>
      </c>
    </row>
    <row r="3309">
      <c r="A3309" s="89"/>
      <c r="B3309" s="87"/>
      <c r="C3309" s="73"/>
      <c r="D3309" s="73"/>
      <c r="E3309" s="82"/>
      <c r="F3309" s="82"/>
      <c r="G3309" s="86"/>
      <c r="H3309" s="86"/>
      <c r="I3309" s="86"/>
      <c r="J3309" s="82"/>
      <c r="K3309" s="82"/>
      <c r="L3309" s="82"/>
      <c r="M3309" s="82"/>
      <c r="N3309" s="82"/>
      <c r="O3309" s="82"/>
      <c r="P3309" s="82"/>
      <c r="Q3309" s="82"/>
      <c r="R3309" s="82"/>
      <c r="S3309" s="82"/>
      <c r="T3309" s="82"/>
      <c r="U3309" s="82"/>
      <c r="V3309" s="82"/>
      <c r="W3309" s="82"/>
      <c r="X3309" s="82"/>
      <c r="Y3309" s="82"/>
      <c r="Z3309" s="82"/>
      <c r="AA3309" s="82"/>
      <c r="AB3309" s="82"/>
      <c r="AC3309" s="82"/>
      <c r="AD3309" s="82"/>
      <c r="AE3309" s="82"/>
      <c r="AF3309" s="82"/>
      <c r="AG3309" s="82"/>
      <c r="AH3309" s="82"/>
      <c r="AI3309" s="82"/>
      <c r="AJ3309" s="82"/>
      <c r="AK3309" s="82"/>
      <c r="AL3309" s="82"/>
      <c r="AM3309" s="82"/>
      <c r="AN3309" s="82">
        <f>IFERROR(__xludf.DUMMYFUNCTION("""COMPUTED_VALUE"""),0.0)</f>
        <v>0</v>
      </c>
      <c r="AO3309" s="82">
        <f>IFERROR(__xludf.DUMMYFUNCTION("""COMPUTED_VALUE"""),0.0)</f>
        <v>0</v>
      </c>
      <c r="AP3309" s="82">
        <f>IFERROR(__xludf.DUMMYFUNCTION("""COMPUTED_VALUE"""),0.0)</f>
        <v>0</v>
      </c>
      <c r="AQ3309" s="82">
        <f>IFERROR(__xludf.DUMMYFUNCTION("""COMPUTED_VALUE"""),0.0)</f>
        <v>0</v>
      </c>
      <c r="AR3309" s="82">
        <f>IFERROR(__xludf.DUMMYFUNCTION("""COMPUTED_VALUE"""),0.0)</f>
        <v>0</v>
      </c>
      <c r="AS3309" s="82"/>
      <c r="AT3309" s="82">
        <f>IFERROR(__xludf.DUMMYFUNCTION("""COMPUTED_VALUE"""),0.0)</f>
        <v>0</v>
      </c>
      <c r="AU3309" s="82"/>
      <c r="AV3309" s="82"/>
      <c r="AW3309" s="82" t="str">
        <f t="shared" si="1"/>
        <v/>
      </c>
      <c r="AX3309" s="83" t="str">
        <f t="array" ref="AX3309">IFERROR(DGET('SBV Import'!A:G,"SBV",{"RSC ID","Tier";B3309,A3309}))</f>
        <v/>
      </c>
      <c r="AY3309" s="82" t="str">
        <f t="shared" si="2"/>
        <v/>
      </c>
      <c r="AZ3309" s="82"/>
      <c r="BA3309" s="84" t="s">
        <v>152</v>
      </c>
      <c r="BB3309" s="84" t="str">
        <f>IFERROR(__xludf.DUMMYFUNCTION("iferror(if(A3309="""",,E3309&gt;=FILTER(Constants!$F$2:$F$10,Constants!$A$2:$A$10=A3309)))"),"")</f>
        <v/>
      </c>
    </row>
    <row r="3310">
      <c r="A3310" s="89"/>
      <c r="B3310" s="87"/>
      <c r="C3310" s="73"/>
      <c r="D3310" s="73"/>
      <c r="E3310" s="82"/>
      <c r="F3310" s="82"/>
      <c r="G3310" s="86"/>
      <c r="H3310" s="86"/>
      <c r="I3310" s="86"/>
      <c r="J3310" s="82"/>
      <c r="K3310" s="82"/>
      <c r="L3310" s="82"/>
      <c r="M3310" s="82"/>
      <c r="N3310" s="82"/>
      <c r="O3310" s="82"/>
      <c r="P3310" s="82"/>
      <c r="Q3310" s="82"/>
      <c r="R3310" s="82"/>
      <c r="S3310" s="82"/>
      <c r="T3310" s="82"/>
      <c r="U3310" s="82"/>
      <c r="V3310" s="82"/>
      <c r="W3310" s="82"/>
      <c r="X3310" s="82"/>
      <c r="Y3310" s="82"/>
      <c r="Z3310" s="82"/>
      <c r="AA3310" s="82"/>
      <c r="AB3310" s="82"/>
      <c r="AC3310" s="82"/>
      <c r="AD3310" s="82"/>
      <c r="AE3310" s="82"/>
      <c r="AF3310" s="82"/>
      <c r="AG3310" s="82"/>
      <c r="AH3310" s="82"/>
      <c r="AI3310" s="82"/>
      <c r="AJ3310" s="82"/>
      <c r="AK3310" s="82"/>
      <c r="AL3310" s="82"/>
      <c r="AM3310" s="82"/>
      <c r="AN3310" s="82">
        <f>IFERROR(__xludf.DUMMYFUNCTION("""COMPUTED_VALUE"""),0.0)</f>
        <v>0</v>
      </c>
      <c r="AO3310" s="82">
        <f>IFERROR(__xludf.DUMMYFUNCTION("""COMPUTED_VALUE"""),0.0)</f>
        <v>0</v>
      </c>
      <c r="AP3310" s="82">
        <f>IFERROR(__xludf.DUMMYFUNCTION("""COMPUTED_VALUE"""),0.0)</f>
        <v>0</v>
      </c>
      <c r="AQ3310" s="82">
        <f>IFERROR(__xludf.DUMMYFUNCTION("""COMPUTED_VALUE"""),0.0)</f>
        <v>0</v>
      </c>
      <c r="AR3310" s="82">
        <f>IFERROR(__xludf.DUMMYFUNCTION("""COMPUTED_VALUE"""),0.0)</f>
        <v>0</v>
      </c>
      <c r="AS3310" s="82"/>
      <c r="AT3310" s="82">
        <f>IFERROR(__xludf.DUMMYFUNCTION("""COMPUTED_VALUE"""),0.0)</f>
        <v>0</v>
      </c>
      <c r="AU3310" s="82"/>
      <c r="AV3310" s="82"/>
      <c r="AW3310" s="82" t="str">
        <f t="shared" si="1"/>
        <v/>
      </c>
      <c r="AX3310" s="83" t="str">
        <f t="array" ref="AX3310">IFERROR(DGET('SBV Import'!A:G,"SBV",{"RSC ID","Tier";B3310,A3310}))</f>
        <v/>
      </c>
      <c r="AY3310" s="82" t="str">
        <f t="shared" si="2"/>
        <v/>
      </c>
      <c r="AZ3310" s="82"/>
      <c r="BA3310" s="84" t="s">
        <v>152</v>
      </c>
      <c r="BB3310" s="84" t="str">
        <f>IFERROR(__xludf.DUMMYFUNCTION("iferror(if(A3310="""",,E3310&gt;=FILTER(Constants!$F$2:$F$10,Constants!$A$2:$A$10=A3310)))"),"")</f>
        <v/>
      </c>
    </row>
    <row r="3311">
      <c r="A3311" s="89"/>
      <c r="B3311" s="87"/>
      <c r="C3311" s="73"/>
      <c r="D3311" s="73"/>
      <c r="E3311" s="82"/>
      <c r="F3311" s="82"/>
      <c r="G3311" s="86"/>
      <c r="H3311" s="86"/>
      <c r="I3311" s="86"/>
      <c r="J3311" s="82"/>
      <c r="K3311" s="82"/>
      <c r="L3311" s="82"/>
      <c r="M3311" s="82"/>
      <c r="N3311" s="82"/>
      <c r="O3311" s="82"/>
      <c r="P3311" s="82"/>
      <c r="Q3311" s="82"/>
      <c r="R3311" s="82"/>
      <c r="S3311" s="82"/>
      <c r="T3311" s="82"/>
      <c r="U3311" s="82"/>
      <c r="V3311" s="82"/>
      <c r="W3311" s="82"/>
      <c r="X3311" s="82"/>
      <c r="Y3311" s="82"/>
      <c r="Z3311" s="82"/>
      <c r="AA3311" s="82"/>
      <c r="AB3311" s="82"/>
      <c r="AC3311" s="82"/>
      <c r="AD3311" s="82"/>
      <c r="AE3311" s="82"/>
      <c r="AF3311" s="82"/>
      <c r="AG3311" s="82"/>
      <c r="AH3311" s="82"/>
      <c r="AI3311" s="82"/>
      <c r="AJ3311" s="82"/>
      <c r="AK3311" s="82"/>
      <c r="AL3311" s="82"/>
      <c r="AM3311" s="82"/>
      <c r="AN3311" s="82">
        <f>IFERROR(__xludf.DUMMYFUNCTION("""COMPUTED_VALUE"""),0.0)</f>
        <v>0</v>
      </c>
      <c r="AO3311" s="82">
        <f>IFERROR(__xludf.DUMMYFUNCTION("""COMPUTED_VALUE"""),0.0)</f>
        <v>0</v>
      </c>
      <c r="AP3311" s="82">
        <f>IFERROR(__xludf.DUMMYFUNCTION("""COMPUTED_VALUE"""),0.0)</f>
        <v>0</v>
      </c>
      <c r="AQ3311" s="82">
        <f>IFERROR(__xludf.DUMMYFUNCTION("""COMPUTED_VALUE"""),0.0)</f>
        <v>0</v>
      </c>
      <c r="AR3311" s="82">
        <f>IFERROR(__xludf.DUMMYFUNCTION("""COMPUTED_VALUE"""),0.0)</f>
        <v>0</v>
      </c>
      <c r="AS3311" s="82"/>
      <c r="AT3311" s="82">
        <f>IFERROR(__xludf.DUMMYFUNCTION("""COMPUTED_VALUE"""),0.0)</f>
        <v>0</v>
      </c>
      <c r="AU3311" s="82"/>
      <c r="AV3311" s="82"/>
      <c r="AW3311" s="82" t="str">
        <f t="shared" si="1"/>
        <v/>
      </c>
      <c r="AX3311" s="83" t="str">
        <f t="array" ref="AX3311">IFERROR(DGET('SBV Import'!A:G,"SBV",{"RSC ID","Tier";B3311,A3311}))</f>
        <v/>
      </c>
      <c r="AY3311" s="82" t="str">
        <f t="shared" si="2"/>
        <v/>
      </c>
      <c r="AZ3311" s="82"/>
      <c r="BA3311" s="84" t="s">
        <v>152</v>
      </c>
      <c r="BB3311" s="84" t="str">
        <f>IFERROR(__xludf.DUMMYFUNCTION("iferror(if(A3311="""",,E3311&gt;=FILTER(Constants!$F$2:$F$10,Constants!$A$2:$A$10=A3311)))"),"")</f>
        <v/>
      </c>
    </row>
    <row r="3312">
      <c r="A3312" s="89"/>
      <c r="B3312" s="87"/>
      <c r="C3312" s="73"/>
      <c r="D3312" s="73"/>
      <c r="E3312" s="82"/>
      <c r="F3312" s="82"/>
      <c r="G3312" s="86"/>
      <c r="H3312" s="86"/>
      <c r="I3312" s="86"/>
      <c r="J3312" s="82"/>
      <c r="K3312" s="82"/>
      <c r="L3312" s="82"/>
      <c r="M3312" s="82"/>
      <c r="N3312" s="82"/>
      <c r="O3312" s="82"/>
      <c r="P3312" s="82"/>
      <c r="Q3312" s="82"/>
      <c r="R3312" s="82"/>
      <c r="S3312" s="82"/>
      <c r="T3312" s="82"/>
      <c r="U3312" s="82"/>
      <c r="V3312" s="82"/>
      <c r="W3312" s="82"/>
      <c r="X3312" s="82"/>
      <c r="Y3312" s="82"/>
      <c r="Z3312" s="82"/>
      <c r="AA3312" s="82"/>
      <c r="AB3312" s="82"/>
      <c r="AC3312" s="82"/>
      <c r="AD3312" s="82"/>
      <c r="AE3312" s="82"/>
      <c r="AF3312" s="82"/>
      <c r="AG3312" s="82"/>
      <c r="AH3312" s="82"/>
      <c r="AI3312" s="82"/>
      <c r="AJ3312" s="82"/>
      <c r="AK3312" s="82"/>
      <c r="AL3312" s="82"/>
      <c r="AM3312" s="82"/>
      <c r="AN3312" s="82">
        <f>IFERROR(__xludf.DUMMYFUNCTION("""COMPUTED_VALUE"""),0.0)</f>
        <v>0</v>
      </c>
      <c r="AO3312" s="82">
        <f>IFERROR(__xludf.DUMMYFUNCTION("""COMPUTED_VALUE"""),0.0)</f>
        <v>0</v>
      </c>
      <c r="AP3312" s="82">
        <f>IFERROR(__xludf.DUMMYFUNCTION("""COMPUTED_VALUE"""),0.0)</f>
        <v>0</v>
      </c>
      <c r="AQ3312" s="82">
        <f>IFERROR(__xludf.DUMMYFUNCTION("""COMPUTED_VALUE"""),0.0)</f>
        <v>0</v>
      </c>
      <c r="AR3312" s="82">
        <f>IFERROR(__xludf.DUMMYFUNCTION("""COMPUTED_VALUE"""),0.0)</f>
        <v>0</v>
      </c>
      <c r="AS3312" s="82"/>
      <c r="AT3312" s="82">
        <f>IFERROR(__xludf.DUMMYFUNCTION("""COMPUTED_VALUE"""),0.0)</f>
        <v>0</v>
      </c>
      <c r="AU3312" s="82"/>
      <c r="AV3312" s="82"/>
      <c r="AW3312" s="82" t="str">
        <f t="shared" si="1"/>
        <v/>
      </c>
      <c r="AX3312" s="83" t="str">
        <f t="array" ref="AX3312">IFERROR(DGET('SBV Import'!A:G,"SBV",{"RSC ID","Tier";B3312,A3312}))</f>
        <v/>
      </c>
      <c r="AY3312" s="82" t="str">
        <f t="shared" si="2"/>
        <v/>
      </c>
      <c r="AZ3312" s="82"/>
      <c r="BA3312" s="84" t="s">
        <v>152</v>
      </c>
      <c r="BB3312" s="84" t="str">
        <f>IFERROR(__xludf.DUMMYFUNCTION("iferror(if(A3312="""",,E3312&gt;=FILTER(Constants!$F$2:$F$10,Constants!$A$2:$A$10=A3312)))"),"")</f>
        <v/>
      </c>
    </row>
    <row r="3313">
      <c r="A3313" s="89"/>
      <c r="B3313" s="87"/>
      <c r="C3313" s="73"/>
      <c r="D3313" s="73"/>
      <c r="E3313" s="82"/>
      <c r="F3313" s="82"/>
      <c r="G3313" s="86"/>
      <c r="H3313" s="86"/>
      <c r="I3313" s="86"/>
      <c r="J3313" s="82"/>
      <c r="K3313" s="82"/>
      <c r="L3313" s="82"/>
      <c r="M3313" s="82"/>
      <c r="N3313" s="82"/>
      <c r="O3313" s="82"/>
      <c r="P3313" s="82"/>
      <c r="Q3313" s="82"/>
      <c r="R3313" s="82"/>
      <c r="S3313" s="82"/>
      <c r="T3313" s="82"/>
      <c r="U3313" s="82"/>
      <c r="V3313" s="82"/>
      <c r="W3313" s="82"/>
      <c r="X3313" s="82"/>
      <c r="Y3313" s="82"/>
      <c r="Z3313" s="82"/>
      <c r="AA3313" s="82"/>
      <c r="AB3313" s="82"/>
      <c r="AC3313" s="82"/>
      <c r="AD3313" s="82"/>
      <c r="AE3313" s="82"/>
      <c r="AF3313" s="82"/>
      <c r="AG3313" s="82"/>
      <c r="AH3313" s="82"/>
      <c r="AI3313" s="82"/>
      <c r="AJ3313" s="82"/>
      <c r="AK3313" s="82"/>
      <c r="AL3313" s="82"/>
      <c r="AM3313" s="82"/>
      <c r="AN3313" s="82">
        <f>IFERROR(__xludf.DUMMYFUNCTION("""COMPUTED_VALUE"""),0.0)</f>
        <v>0</v>
      </c>
      <c r="AO3313" s="82">
        <f>IFERROR(__xludf.DUMMYFUNCTION("""COMPUTED_VALUE"""),0.0)</f>
        <v>0</v>
      </c>
      <c r="AP3313" s="82">
        <f>IFERROR(__xludf.DUMMYFUNCTION("""COMPUTED_VALUE"""),0.0)</f>
        <v>0</v>
      </c>
      <c r="AQ3313" s="82">
        <f>IFERROR(__xludf.DUMMYFUNCTION("""COMPUTED_VALUE"""),0.0)</f>
        <v>0</v>
      </c>
      <c r="AR3313" s="82">
        <f>IFERROR(__xludf.DUMMYFUNCTION("""COMPUTED_VALUE"""),0.0)</f>
        <v>0</v>
      </c>
      <c r="AS3313" s="82"/>
      <c r="AT3313" s="82">
        <f>IFERROR(__xludf.DUMMYFUNCTION("""COMPUTED_VALUE"""),0.0)</f>
        <v>0</v>
      </c>
      <c r="AU3313" s="82"/>
      <c r="AV3313" s="82"/>
      <c r="AW3313" s="82" t="str">
        <f t="shared" si="1"/>
        <v/>
      </c>
      <c r="AX3313" s="83" t="str">
        <f t="array" ref="AX3313">IFERROR(DGET('SBV Import'!A:G,"SBV",{"RSC ID","Tier";B3313,A3313}))</f>
        <v/>
      </c>
      <c r="AY3313" s="82" t="str">
        <f t="shared" si="2"/>
        <v/>
      </c>
      <c r="AZ3313" s="82"/>
      <c r="BA3313" s="84" t="s">
        <v>152</v>
      </c>
      <c r="BB3313" s="84" t="str">
        <f>IFERROR(__xludf.DUMMYFUNCTION("iferror(if(A3313="""",,E3313&gt;=FILTER(Constants!$F$2:$F$10,Constants!$A$2:$A$10=A3313)))"),"")</f>
        <v/>
      </c>
    </row>
    <row r="3314">
      <c r="A3314" s="89"/>
      <c r="B3314" s="87"/>
      <c r="C3314" s="73"/>
      <c r="D3314" s="73"/>
      <c r="E3314" s="82"/>
      <c r="F3314" s="82"/>
      <c r="G3314" s="86"/>
      <c r="H3314" s="86"/>
      <c r="I3314" s="86"/>
      <c r="J3314" s="82"/>
      <c r="K3314" s="82"/>
      <c r="L3314" s="82"/>
      <c r="M3314" s="82"/>
      <c r="N3314" s="82"/>
      <c r="O3314" s="82"/>
      <c r="P3314" s="82"/>
      <c r="Q3314" s="82"/>
      <c r="R3314" s="82"/>
      <c r="S3314" s="82"/>
      <c r="T3314" s="82"/>
      <c r="U3314" s="82"/>
      <c r="V3314" s="82"/>
      <c r="W3314" s="82"/>
      <c r="X3314" s="82"/>
      <c r="Y3314" s="82"/>
      <c r="Z3314" s="82"/>
      <c r="AA3314" s="82"/>
      <c r="AB3314" s="82"/>
      <c r="AC3314" s="82"/>
      <c r="AD3314" s="82"/>
      <c r="AE3314" s="82"/>
      <c r="AF3314" s="82"/>
      <c r="AG3314" s="82"/>
      <c r="AH3314" s="82"/>
      <c r="AI3314" s="82"/>
      <c r="AJ3314" s="82"/>
      <c r="AK3314" s="82"/>
      <c r="AL3314" s="82"/>
      <c r="AM3314" s="82"/>
      <c r="AN3314" s="82">
        <f>IFERROR(__xludf.DUMMYFUNCTION("""COMPUTED_VALUE"""),0.0)</f>
        <v>0</v>
      </c>
      <c r="AO3314" s="82">
        <f>IFERROR(__xludf.DUMMYFUNCTION("""COMPUTED_VALUE"""),0.0)</f>
        <v>0</v>
      </c>
      <c r="AP3314" s="82">
        <f>IFERROR(__xludf.DUMMYFUNCTION("""COMPUTED_VALUE"""),0.0)</f>
        <v>0</v>
      </c>
      <c r="AQ3314" s="82">
        <f>IFERROR(__xludf.DUMMYFUNCTION("""COMPUTED_VALUE"""),0.0)</f>
        <v>0</v>
      </c>
      <c r="AR3314" s="82">
        <f>IFERROR(__xludf.DUMMYFUNCTION("""COMPUTED_VALUE"""),0.0)</f>
        <v>0</v>
      </c>
      <c r="AS3314" s="82"/>
      <c r="AT3314" s="82">
        <f>IFERROR(__xludf.DUMMYFUNCTION("""COMPUTED_VALUE"""),0.0)</f>
        <v>0</v>
      </c>
      <c r="AU3314" s="82"/>
      <c r="AV3314" s="82"/>
      <c r="AW3314" s="82" t="str">
        <f t="shared" si="1"/>
        <v/>
      </c>
      <c r="AX3314" s="83" t="str">
        <f t="array" ref="AX3314">IFERROR(DGET('SBV Import'!A:G,"SBV",{"RSC ID","Tier";B3314,A3314}))</f>
        <v/>
      </c>
      <c r="AY3314" s="82" t="str">
        <f t="shared" si="2"/>
        <v/>
      </c>
      <c r="AZ3314" s="82"/>
      <c r="BA3314" s="84" t="s">
        <v>152</v>
      </c>
      <c r="BB3314" s="84" t="str">
        <f>IFERROR(__xludf.DUMMYFUNCTION("iferror(if(A3314="""",,E3314&gt;=FILTER(Constants!$F$2:$F$10,Constants!$A$2:$A$10=A3314)))"),"")</f>
        <v/>
      </c>
    </row>
    <row r="3315">
      <c r="A3315" s="89"/>
      <c r="B3315" s="87"/>
      <c r="C3315" s="73"/>
      <c r="D3315" s="73"/>
      <c r="E3315" s="82"/>
      <c r="F3315" s="82"/>
      <c r="G3315" s="86"/>
      <c r="H3315" s="86"/>
      <c r="I3315" s="86"/>
      <c r="J3315" s="82"/>
      <c r="K3315" s="82"/>
      <c r="L3315" s="82"/>
      <c r="M3315" s="82"/>
      <c r="N3315" s="82"/>
      <c r="O3315" s="82"/>
      <c r="P3315" s="82"/>
      <c r="Q3315" s="82"/>
      <c r="R3315" s="82"/>
      <c r="S3315" s="82"/>
      <c r="T3315" s="82"/>
      <c r="U3315" s="82"/>
      <c r="V3315" s="82"/>
      <c r="W3315" s="82"/>
      <c r="X3315" s="82"/>
      <c r="Y3315" s="82"/>
      <c r="Z3315" s="82"/>
      <c r="AA3315" s="82"/>
      <c r="AB3315" s="82"/>
      <c r="AC3315" s="82"/>
      <c r="AD3315" s="82"/>
      <c r="AE3315" s="82"/>
      <c r="AF3315" s="82"/>
      <c r="AG3315" s="82"/>
      <c r="AH3315" s="82"/>
      <c r="AI3315" s="82"/>
      <c r="AJ3315" s="82"/>
      <c r="AK3315" s="82"/>
      <c r="AL3315" s="82"/>
      <c r="AM3315" s="82"/>
      <c r="AN3315" s="82">
        <f>IFERROR(__xludf.DUMMYFUNCTION("""COMPUTED_VALUE"""),0.0)</f>
        <v>0</v>
      </c>
      <c r="AO3315" s="82">
        <f>IFERROR(__xludf.DUMMYFUNCTION("""COMPUTED_VALUE"""),0.0)</f>
        <v>0</v>
      </c>
      <c r="AP3315" s="82">
        <f>IFERROR(__xludf.DUMMYFUNCTION("""COMPUTED_VALUE"""),0.0)</f>
        <v>0</v>
      </c>
      <c r="AQ3315" s="82">
        <f>IFERROR(__xludf.DUMMYFUNCTION("""COMPUTED_VALUE"""),0.0)</f>
        <v>0</v>
      </c>
      <c r="AR3315" s="82">
        <f>IFERROR(__xludf.DUMMYFUNCTION("""COMPUTED_VALUE"""),0.0)</f>
        <v>0</v>
      </c>
      <c r="AS3315" s="82"/>
      <c r="AT3315" s="82">
        <f>IFERROR(__xludf.DUMMYFUNCTION("""COMPUTED_VALUE"""),0.0)</f>
        <v>0</v>
      </c>
      <c r="AU3315" s="82"/>
      <c r="AV3315" s="82"/>
      <c r="AW3315" s="82" t="str">
        <f t="shared" si="1"/>
        <v/>
      </c>
      <c r="AX3315" s="83" t="str">
        <f t="array" ref="AX3315">IFERROR(DGET('SBV Import'!A:G,"SBV",{"RSC ID","Tier";B3315,A3315}))</f>
        <v/>
      </c>
      <c r="AY3315" s="82" t="str">
        <f t="shared" si="2"/>
        <v/>
      </c>
      <c r="AZ3315" s="82"/>
      <c r="BA3315" s="84" t="s">
        <v>152</v>
      </c>
      <c r="BB3315" s="84" t="str">
        <f>IFERROR(__xludf.DUMMYFUNCTION("iferror(if(A3315="""",,E3315&gt;=FILTER(Constants!$F$2:$F$10,Constants!$A$2:$A$10=A3315)))"),"")</f>
        <v/>
      </c>
    </row>
    <row r="3316">
      <c r="A3316" s="89"/>
      <c r="B3316" s="87"/>
      <c r="C3316" s="73"/>
      <c r="D3316" s="73"/>
      <c r="E3316" s="82"/>
      <c r="F3316" s="82"/>
      <c r="G3316" s="86"/>
      <c r="H3316" s="86"/>
      <c r="I3316" s="86"/>
      <c r="J3316" s="82"/>
      <c r="K3316" s="82"/>
      <c r="L3316" s="82"/>
      <c r="M3316" s="82"/>
      <c r="N3316" s="82"/>
      <c r="O3316" s="82"/>
      <c r="P3316" s="82"/>
      <c r="Q3316" s="82"/>
      <c r="R3316" s="82"/>
      <c r="S3316" s="82"/>
      <c r="T3316" s="82"/>
      <c r="U3316" s="82"/>
      <c r="V3316" s="82"/>
      <c r="W3316" s="82"/>
      <c r="X3316" s="82"/>
      <c r="Y3316" s="82"/>
      <c r="Z3316" s="82"/>
      <c r="AA3316" s="82"/>
      <c r="AB3316" s="82"/>
      <c r="AC3316" s="82"/>
      <c r="AD3316" s="82"/>
      <c r="AE3316" s="82"/>
      <c r="AF3316" s="82"/>
      <c r="AG3316" s="82"/>
      <c r="AH3316" s="82"/>
      <c r="AI3316" s="82"/>
      <c r="AJ3316" s="82"/>
      <c r="AK3316" s="82"/>
      <c r="AL3316" s="82"/>
      <c r="AM3316" s="82"/>
      <c r="AN3316" s="82">
        <f>IFERROR(__xludf.DUMMYFUNCTION("""COMPUTED_VALUE"""),0.0)</f>
        <v>0</v>
      </c>
      <c r="AO3316" s="82">
        <f>IFERROR(__xludf.DUMMYFUNCTION("""COMPUTED_VALUE"""),0.0)</f>
        <v>0</v>
      </c>
      <c r="AP3316" s="82">
        <f>IFERROR(__xludf.DUMMYFUNCTION("""COMPUTED_VALUE"""),0.0)</f>
        <v>0</v>
      </c>
      <c r="AQ3316" s="82">
        <f>IFERROR(__xludf.DUMMYFUNCTION("""COMPUTED_VALUE"""),0.0)</f>
        <v>0</v>
      </c>
      <c r="AR3316" s="82">
        <f>IFERROR(__xludf.DUMMYFUNCTION("""COMPUTED_VALUE"""),0.0)</f>
        <v>0</v>
      </c>
      <c r="AS3316" s="82"/>
      <c r="AT3316" s="82">
        <f>IFERROR(__xludf.DUMMYFUNCTION("""COMPUTED_VALUE"""),0.0)</f>
        <v>0</v>
      </c>
      <c r="AU3316" s="82"/>
      <c r="AV3316" s="82"/>
      <c r="AW3316" s="82" t="str">
        <f t="shared" si="1"/>
        <v/>
      </c>
      <c r="AX3316" s="83" t="str">
        <f t="array" ref="AX3316">IFERROR(DGET('SBV Import'!A:G,"SBV",{"RSC ID","Tier";B3316,A3316}))</f>
        <v/>
      </c>
      <c r="AY3316" s="82" t="str">
        <f t="shared" si="2"/>
        <v/>
      </c>
      <c r="AZ3316" s="82"/>
      <c r="BA3316" s="84" t="s">
        <v>152</v>
      </c>
      <c r="BB3316" s="84" t="str">
        <f>IFERROR(__xludf.DUMMYFUNCTION("iferror(if(A3316="""",,E3316&gt;=FILTER(Constants!$F$2:$F$10,Constants!$A$2:$A$10=A3316)))"),"")</f>
        <v/>
      </c>
    </row>
    <row r="3317">
      <c r="A3317" s="89"/>
      <c r="B3317" s="87"/>
      <c r="C3317" s="73"/>
      <c r="D3317" s="73"/>
      <c r="E3317" s="82"/>
      <c r="F3317" s="82"/>
      <c r="G3317" s="86"/>
      <c r="H3317" s="86"/>
      <c r="I3317" s="86"/>
      <c r="J3317" s="82"/>
      <c r="K3317" s="82"/>
      <c r="L3317" s="82"/>
      <c r="M3317" s="82"/>
      <c r="N3317" s="82"/>
      <c r="O3317" s="82"/>
      <c r="P3317" s="82"/>
      <c r="Q3317" s="82"/>
      <c r="R3317" s="82"/>
      <c r="S3317" s="82"/>
      <c r="T3317" s="82"/>
      <c r="U3317" s="82"/>
      <c r="V3317" s="82"/>
      <c r="W3317" s="82"/>
      <c r="X3317" s="82"/>
      <c r="Y3317" s="82"/>
      <c r="Z3317" s="82"/>
      <c r="AA3317" s="82"/>
      <c r="AB3317" s="82"/>
      <c r="AC3317" s="82"/>
      <c r="AD3317" s="82"/>
      <c r="AE3317" s="82"/>
      <c r="AF3317" s="82"/>
      <c r="AG3317" s="82"/>
      <c r="AH3317" s="82"/>
      <c r="AI3317" s="82"/>
      <c r="AJ3317" s="82"/>
      <c r="AK3317" s="82"/>
      <c r="AL3317" s="82"/>
      <c r="AM3317" s="82"/>
      <c r="AN3317" s="82">
        <f>IFERROR(__xludf.DUMMYFUNCTION("""COMPUTED_VALUE"""),0.0)</f>
        <v>0</v>
      </c>
      <c r="AO3317" s="82">
        <f>IFERROR(__xludf.DUMMYFUNCTION("""COMPUTED_VALUE"""),0.0)</f>
        <v>0</v>
      </c>
      <c r="AP3317" s="82">
        <f>IFERROR(__xludf.DUMMYFUNCTION("""COMPUTED_VALUE"""),0.0)</f>
        <v>0</v>
      </c>
      <c r="AQ3317" s="82">
        <f>IFERROR(__xludf.DUMMYFUNCTION("""COMPUTED_VALUE"""),0.0)</f>
        <v>0</v>
      </c>
      <c r="AR3317" s="82">
        <f>IFERROR(__xludf.DUMMYFUNCTION("""COMPUTED_VALUE"""),0.0)</f>
        <v>0</v>
      </c>
      <c r="AS3317" s="82"/>
      <c r="AT3317" s="82">
        <f>IFERROR(__xludf.DUMMYFUNCTION("""COMPUTED_VALUE"""),0.0)</f>
        <v>0</v>
      </c>
      <c r="AU3317" s="82"/>
      <c r="AV3317" s="82"/>
      <c r="AW3317" s="82" t="str">
        <f t="shared" si="1"/>
        <v/>
      </c>
      <c r="AX3317" s="83" t="str">
        <f t="array" ref="AX3317">IFERROR(DGET('SBV Import'!A:G,"SBV",{"RSC ID","Tier";B3317,A3317}))</f>
        <v/>
      </c>
      <c r="AY3317" s="82" t="str">
        <f t="shared" si="2"/>
        <v/>
      </c>
      <c r="AZ3317" s="82"/>
      <c r="BA3317" s="84" t="s">
        <v>152</v>
      </c>
      <c r="BB3317" s="84" t="str">
        <f>IFERROR(__xludf.DUMMYFUNCTION("iferror(if(A3317="""",,E3317&gt;=FILTER(Constants!$F$2:$F$10,Constants!$A$2:$A$10=A3317)))"),"")</f>
        <v/>
      </c>
    </row>
    <row r="3318">
      <c r="A3318" s="89"/>
      <c r="B3318" s="87"/>
      <c r="C3318" s="73"/>
      <c r="D3318" s="73"/>
      <c r="E3318" s="82"/>
      <c r="F3318" s="82"/>
      <c r="G3318" s="86"/>
      <c r="H3318" s="86"/>
      <c r="I3318" s="86"/>
      <c r="J3318" s="82"/>
      <c r="K3318" s="82"/>
      <c r="L3318" s="82"/>
      <c r="M3318" s="82"/>
      <c r="N3318" s="82"/>
      <c r="O3318" s="82"/>
      <c r="P3318" s="82"/>
      <c r="Q3318" s="82"/>
      <c r="R3318" s="82"/>
      <c r="S3318" s="82"/>
      <c r="T3318" s="82"/>
      <c r="U3318" s="82"/>
      <c r="V3318" s="82"/>
      <c r="W3318" s="82"/>
      <c r="X3318" s="82"/>
      <c r="Y3318" s="82"/>
      <c r="Z3318" s="82"/>
      <c r="AA3318" s="82"/>
      <c r="AB3318" s="82"/>
      <c r="AC3318" s="82"/>
      <c r="AD3318" s="82"/>
      <c r="AE3318" s="82"/>
      <c r="AF3318" s="82"/>
      <c r="AG3318" s="82"/>
      <c r="AH3318" s="82"/>
      <c r="AI3318" s="82"/>
      <c r="AJ3318" s="82"/>
      <c r="AK3318" s="82"/>
      <c r="AL3318" s="82"/>
      <c r="AM3318" s="82"/>
      <c r="AN3318" s="82">
        <f>IFERROR(__xludf.DUMMYFUNCTION("""COMPUTED_VALUE"""),0.0)</f>
        <v>0</v>
      </c>
      <c r="AO3318" s="82">
        <f>IFERROR(__xludf.DUMMYFUNCTION("""COMPUTED_VALUE"""),0.0)</f>
        <v>0</v>
      </c>
      <c r="AP3318" s="82">
        <f>IFERROR(__xludf.DUMMYFUNCTION("""COMPUTED_VALUE"""),0.0)</f>
        <v>0</v>
      </c>
      <c r="AQ3318" s="82">
        <f>IFERROR(__xludf.DUMMYFUNCTION("""COMPUTED_VALUE"""),0.0)</f>
        <v>0</v>
      </c>
      <c r="AR3318" s="82">
        <f>IFERROR(__xludf.DUMMYFUNCTION("""COMPUTED_VALUE"""),0.0)</f>
        <v>0</v>
      </c>
      <c r="AS3318" s="82"/>
      <c r="AT3318" s="82">
        <f>IFERROR(__xludf.DUMMYFUNCTION("""COMPUTED_VALUE"""),0.0)</f>
        <v>0</v>
      </c>
      <c r="AU3318" s="82"/>
      <c r="AV3318" s="82"/>
      <c r="AW3318" s="82" t="str">
        <f t="shared" si="1"/>
        <v/>
      </c>
      <c r="AX3318" s="83" t="str">
        <f t="array" ref="AX3318">IFERROR(DGET('SBV Import'!A:G,"SBV",{"RSC ID","Tier";B3318,A3318}))</f>
        <v/>
      </c>
      <c r="AY3318" s="82" t="str">
        <f t="shared" si="2"/>
        <v/>
      </c>
      <c r="AZ3318" s="82"/>
      <c r="BA3318" s="84" t="s">
        <v>152</v>
      </c>
      <c r="BB3318" s="84" t="str">
        <f>IFERROR(__xludf.DUMMYFUNCTION("iferror(if(A3318="""",,E3318&gt;=FILTER(Constants!$F$2:$F$10,Constants!$A$2:$A$10=A3318)))"),"")</f>
        <v/>
      </c>
    </row>
    <row r="3319">
      <c r="A3319" s="89"/>
      <c r="B3319" s="87"/>
      <c r="C3319" s="73"/>
      <c r="D3319" s="73"/>
      <c r="E3319" s="82"/>
      <c r="F3319" s="82"/>
      <c r="G3319" s="86"/>
      <c r="H3319" s="86"/>
      <c r="I3319" s="86"/>
      <c r="J3319" s="82"/>
      <c r="K3319" s="82"/>
      <c r="L3319" s="82"/>
      <c r="M3319" s="82"/>
      <c r="N3319" s="82"/>
      <c r="O3319" s="82"/>
      <c r="P3319" s="82"/>
      <c r="Q3319" s="82"/>
      <c r="R3319" s="82"/>
      <c r="S3319" s="82"/>
      <c r="T3319" s="82"/>
      <c r="U3319" s="82"/>
      <c r="V3319" s="82"/>
      <c r="W3319" s="82"/>
      <c r="X3319" s="82"/>
      <c r="Y3319" s="82"/>
      <c r="Z3319" s="82"/>
      <c r="AA3319" s="82"/>
      <c r="AB3319" s="82"/>
      <c r="AC3319" s="82"/>
      <c r="AD3319" s="82"/>
      <c r="AE3319" s="82"/>
      <c r="AF3319" s="82"/>
      <c r="AG3319" s="82"/>
      <c r="AH3319" s="82"/>
      <c r="AI3319" s="82"/>
      <c r="AJ3319" s="82"/>
      <c r="AK3319" s="82"/>
      <c r="AL3319" s="82"/>
      <c r="AM3319" s="82"/>
      <c r="AN3319" s="82">
        <f>IFERROR(__xludf.DUMMYFUNCTION("""COMPUTED_VALUE"""),0.0)</f>
        <v>0</v>
      </c>
      <c r="AO3319" s="82">
        <f>IFERROR(__xludf.DUMMYFUNCTION("""COMPUTED_VALUE"""),0.0)</f>
        <v>0</v>
      </c>
      <c r="AP3319" s="82">
        <f>IFERROR(__xludf.DUMMYFUNCTION("""COMPUTED_VALUE"""),0.0)</f>
        <v>0</v>
      </c>
      <c r="AQ3319" s="82">
        <f>IFERROR(__xludf.DUMMYFUNCTION("""COMPUTED_VALUE"""),0.0)</f>
        <v>0</v>
      </c>
      <c r="AR3319" s="82">
        <f>IFERROR(__xludf.DUMMYFUNCTION("""COMPUTED_VALUE"""),0.0)</f>
        <v>0</v>
      </c>
      <c r="AS3319" s="82"/>
      <c r="AT3319" s="82">
        <f>IFERROR(__xludf.DUMMYFUNCTION("""COMPUTED_VALUE"""),0.0)</f>
        <v>0</v>
      </c>
      <c r="AU3319" s="82"/>
      <c r="AV3319" s="82"/>
      <c r="AW3319" s="82" t="str">
        <f t="shared" si="1"/>
        <v/>
      </c>
      <c r="AX3319" s="83" t="str">
        <f t="array" ref="AX3319">IFERROR(DGET('SBV Import'!A:G,"SBV",{"RSC ID","Tier";B3319,A3319}))</f>
        <v/>
      </c>
      <c r="AY3319" s="82" t="str">
        <f t="shared" si="2"/>
        <v/>
      </c>
      <c r="AZ3319" s="82"/>
      <c r="BA3319" s="84" t="s">
        <v>152</v>
      </c>
      <c r="BB3319" s="84" t="str">
        <f>IFERROR(__xludf.DUMMYFUNCTION("iferror(if(A3319="""",,E3319&gt;=FILTER(Constants!$F$2:$F$10,Constants!$A$2:$A$10=A3319)))"),"")</f>
        <v/>
      </c>
    </row>
    <row r="3320">
      <c r="A3320" s="89"/>
      <c r="B3320" s="87"/>
      <c r="C3320" s="73"/>
      <c r="D3320" s="73"/>
      <c r="E3320" s="82"/>
      <c r="F3320" s="82"/>
      <c r="G3320" s="86"/>
      <c r="H3320" s="86"/>
      <c r="I3320" s="86"/>
      <c r="J3320" s="82"/>
      <c r="K3320" s="82"/>
      <c r="L3320" s="82"/>
      <c r="M3320" s="82"/>
      <c r="N3320" s="82"/>
      <c r="O3320" s="82"/>
      <c r="P3320" s="82"/>
      <c r="Q3320" s="82"/>
      <c r="R3320" s="82"/>
      <c r="S3320" s="82"/>
      <c r="T3320" s="82"/>
      <c r="U3320" s="82"/>
      <c r="V3320" s="82"/>
      <c r="W3320" s="82"/>
      <c r="X3320" s="82"/>
      <c r="Y3320" s="82"/>
      <c r="Z3320" s="82"/>
      <c r="AA3320" s="82"/>
      <c r="AB3320" s="82"/>
      <c r="AC3320" s="82"/>
      <c r="AD3320" s="82"/>
      <c r="AE3320" s="82"/>
      <c r="AF3320" s="82"/>
      <c r="AG3320" s="82"/>
      <c r="AH3320" s="82"/>
      <c r="AI3320" s="82"/>
      <c r="AJ3320" s="82"/>
      <c r="AK3320" s="82"/>
      <c r="AL3320" s="82"/>
      <c r="AM3320" s="82"/>
      <c r="AN3320" s="82">
        <f>IFERROR(__xludf.DUMMYFUNCTION("""COMPUTED_VALUE"""),0.0)</f>
        <v>0</v>
      </c>
      <c r="AO3320" s="82">
        <f>IFERROR(__xludf.DUMMYFUNCTION("""COMPUTED_VALUE"""),0.0)</f>
        <v>0</v>
      </c>
      <c r="AP3320" s="82">
        <f>IFERROR(__xludf.DUMMYFUNCTION("""COMPUTED_VALUE"""),0.0)</f>
        <v>0</v>
      </c>
      <c r="AQ3320" s="82">
        <f>IFERROR(__xludf.DUMMYFUNCTION("""COMPUTED_VALUE"""),0.0)</f>
        <v>0</v>
      </c>
      <c r="AR3320" s="82">
        <f>IFERROR(__xludf.DUMMYFUNCTION("""COMPUTED_VALUE"""),0.0)</f>
        <v>0</v>
      </c>
      <c r="AS3320" s="82"/>
      <c r="AT3320" s="82">
        <f>IFERROR(__xludf.DUMMYFUNCTION("""COMPUTED_VALUE"""),0.0)</f>
        <v>0</v>
      </c>
      <c r="AU3320" s="82"/>
      <c r="AV3320" s="82"/>
      <c r="AW3320" s="82" t="str">
        <f t="shared" si="1"/>
        <v/>
      </c>
      <c r="AX3320" s="83" t="str">
        <f t="array" ref="AX3320">IFERROR(DGET('SBV Import'!A:G,"SBV",{"RSC ID","Tier";B3320,A3320}))</f>
        <v/>
      </c>
      <c r="AY3320" s="82" t="str">
        <f t="shared" si="2"/>
        <v/>
      </c>
      <c r="AZ3320" s="82"/>
      <c r="BA3320" s="84" t="s">
        <v>152</v>
      </c>
      <c r="BB3320" s="84" t="str">
        <f>IFERROR(__xludf.DUMMYFUNCTION("iferror(if(A3320="""",,E3320&gt;=FILTER(Constants!$F$2:$F$10,Constants!$A$2:$A$10=A3320)))"),"")</f>
        <v/>
      </c>
    </row>
    <row r="3321">
      <c r="A3321" s="89"/>
      <c r="B3321" s="87"/>
      <c r="C3321" s="73"/>
      <c r="D3321" s="73"/>
      <c r="E3321" s="82"/>
      <c r="F3321" s="82"/>
      <c r="G3321" s="86"/>
      <c r="H3321" s="86"/>
      <c r="I3321" s="86"/>
      <c r="J3321" s="82"/>
      <c r="K3321" s="82"/>
      <c r="L3321" s="82"/>
      <c r="M3321" s="82"/>
      <c r="N3321" s="82"/>
      <c r="O3321" s="82"/>
      <c r="P3321" s="82"/>
      <c r="Q3321" s="82"/>
      <c r="R3321" s="82"/>
      <c r="S3321" s="82"/>
      <c r="T3321" s="82"/>
      <c r="U3321" s="82"/>
      <c r="V3321" s="82"/>
      <c r="W3321" s="82"/>
      <c r="X3321" s="82"/>
      <c r="Y3321" s="82"/>
      <c r="Z3321" s="82"/>
      <c r="AA3321" s="82"/>
      <c r="AB3321" s="82"/>
      <c r="AC3321" s="82"/>
      <c r="AD3321" s="82"/>
      <c r="AE3321" s="82"/>
      <c r="AF3321" s="82"/>
      <c r="AG3321" s="82"/>
      <c r="AH3321" s="82"/>
      <c r="AI3321" s="82"/>
      <c r="AJ3321" s="82"/>
      <c r="AK3321" s="82"/>
      <c r="AL3321" s="82"/>
      <c r="AM3321" s="82"/>
      <c r="AN3321" s="82">
        <f>IFERROR(__xludf.DUMMYFUNCTION("""COMPUTED_VALUE"""),0.0)</f>
        <v>0</v>
      </c>
      <c r="AO3321" s="82">
        <f>IFERROR(__xludf.DUMMYFUNCTION("""COMPUTED_VALUE"""),0.0)</f>
        <v>0</v>
      </c>
      <c r="AP3321" s="82">
        <f>IFERROR(__xludf.DUMMYFUNCTION("""COMPUTED_VALUE"""),0.0)</f>
        <v>0</v>
      </c>
      <c r="AQ3321" s="82">
        <f>IFERROR(__xludf.DUMMYFUNCTION("""COMPUTED_VALUE"""),0.0)</f>
        <v>0</v>
      </c>
      <c r="AR3321" s="82">
        <f>IFERROR(__xludf.DUMMYFUNCTION("""COMPUTED_VALUE"""),0.0)</f>
        <v>0</v>
      </c>
      <c r="AS3321" s="82"/>
      <c r="AT3321" s="82">
        <f>IFERROR(__xludf.DUMMYFUNCTION("""COMPUTED_VALUE"""),0.0)</f>
        <v>0</v>
      </c>
      <c r="AU3321" s="82"/>
      <c r="AV3321" s="82"/>
      <c r="AW3321" s="82" t="str">
        <f t="shared" si="1"/>
        <v/>
      </c>
      <c r="AX3321" s="83" t="str">
        <f t="array" ref="AX3321">IFERROR(DGET('SBV Import'!A:G,"SBV",{"RSC ID","Tier";B3321,A3321}))</f>
        <v/>
      </c>
      <c r="AY3321" s="82" t="str">
        <f t="shared" si="2"/>
        <v/>
      </c>
      <c r="AZ3321" s="82"/>
      <c r="BA3321" s="84" t="s">
        <v>152</v>
      </c>
      <c r="BB3321" s="84" t="str">
        <f>IFERROR(__xludf.DUMMYFUNCTION("iferror(if(A3321="""",,E3321&gt;=FILTER(Constants!$F$2:$F$10,Constants!$A$2:$A$10=A3321)))"),"")</f>
        <v/>
      </c>
    </row>
    <row r="3322">
      <c r="A3322" s="89"/>
      <c r="B3322" s="87"/>
      <c r="C3322" s="73"/>
      <c r="D3322" s="73"/>
      <c r="E3322" s="82"/>
      <c r="F3322" s="82"/>
      <c r="G3322" s="86"/>
      <c r="H3322" s="86"/>
      <c r="I3322" s="86"/>
      <c r="J3322" s="82"/>
      <c r="K3322" s="82"/>
      <c r="L3322" s="82"/>
      <c r="M3322" s="82"/>
      <c r="N3322" s="82"/>
      <c r="O3322" s="82"/>
      <c r="P3322" s="82"/>
      <c r="Q3322" s="82"/>
      <c r="R3322" s="82"/>
      <c r="S3322" s="82"/>
      <c r="T3322" s="82"/>
      <c r="U3322" s="82"/>
      <c r="V3322" s="82"/>
      <c r="W3322" s="82"/>
      <c r="X3322" s="82"/>
      <c r="Y3322" s="82"/>
      <c r="Z3322" s="82"/>
      <c r="AA3322" s="82"/>
      <c r="AB3322" s="82"/>
      <c r="AC3322" s="82"/>
      <c r="AD3322" s="82"/>
      <c r="AE3322" s="82"/>
      <c r="AF3322" s="82"/>
      <c r="AG3322" s="82"/>
      <c r="AH3322" s="82"/>
      <c r="AI3322" s="82"/>
      <c r="AJ3322" s="82"/>
      <c r="AK3322" s="82"/>
      <c r="AL3322" s="82"/>
      <c r="AM3322" s="82"/>
      <c r="AN3322" s="82">
        <f>IFERROR(__xludf.DUMMYFUNCTION("""COMPUTED_VALUE"""),0.0)</f>
        <v>0</v>
      </c>
      <c r="AO3322" s="82">
        <f>IFERROR(__xludf.DUMMYFUNCTION("""COMPUTED_VALUE"""),0.0)</f>
        <v>0</v>
      </c>
      <c r="AP3322" s="82">
        <f>IFERROR(__xludf.DUMMYFUNCTION("""COMPUTED_VALUE"""),0.0)</f>
        <v>0</v>
      </c>
      <c r="AQ3322" s="82">
        <f>IFERROR(__xludf.DUMMYFUNCTION("""COMPUTED_VALUE"""),0.0)</f>
        <v>0</v>
      </c>
      <c r="AR3322" s="82">
        <f>IFERROR(__xludf.DUMMYFUNCTION("""COMPUTED_VALUE"""),0.0)</f>
        <v>0</v>
      </c>
      <c r="AS3322" s="82"/>
      <c r="AT3322" s="82">
        <f>IFERROR(__xludf.DUMMYFUNCTION("""COMPUTED_VALUE"""),0.0)</f>
        <v>0</v>
      </c>
      <c r="AU3322" s="82"/>
      <c r="AV3322" s="82"/>
      <c r="AW3322" s="82" t="str">
        <f t="shared" si="1"/>
        <v/>
      </c>
      <c r="AX3322" s="83" t="str">
        <f t="array" ref="AX3322">IFERROR(DGET('SBV Import'!A:G,"SBV",{"RSC ID","Tier";B3322,A3322}))</f>
        <v/>
      </c>
      <c r="AY3322" s="82" t="str">
        <f t="shared" si="2"/>
        <v/>
      </c>
      <c r="AZ3322" s="82"/>
      <c r="BA3322" s="84" t="s">
        <v>152</v>
      </c>
      <c r="BB3322" s="84" t="str">
        <f>IFERROR(__xludf.DUMMYFUNCTION("iferror(if(A3322="""",,E3322&gt;=FILTER(Constants!$F$2:$F$10,Constants!$A$2:$A$10=A3322)))"),"")</f>
        <v/>
      </c>
    </row>
    <row r="3323">
      <c r="A3323" s="89"/>
      <c r="B3323" s="87"/>
      <c r="C3323" s="73"/>
      <c r="D3323" s="73"/>
      <c r="E3323" s="82"/>
      <c r="F3323" s="82"/>
      <c r="G3323" s="86"/>
      <c r="H3323" s="86"/>
      <c r="I3323" s="86"/>
      <c r="J3323" s="82"/>
      <c r="K3323" s="82"/>
      <c r="L3323" s="82"/>
      <c r="M3323" s="82"/>
      <c r="N3323" s="82"/>
      <c r="O3323" s="82"/>
      <c r="P3323" s="82"/>
      <c r="Q3323" s="82"/>
      <c r="R3323" s="82"/>
      <c r="S3323" s="82"/>
      <c r="T3323" s="82"/>
      <c r="U3323" s="82"/>
      <c r="V3323" s="82"/>
      <c r="W3323" s="82"/>
      <c r="X3323" s="82"/>
      <c r="Y3323" s="82"/>
      <c r="Z3323" s="82"/>
      <c r="AA3323" s="82"/>
      <c r="AB3323" s="82"/>
      <c r="AC3323" s="82"/>
      <c r="AD3323" s="82"/>
      <c r="AE3323" s="82"/>
      <c r="AF3323" s="82"/>
      <c r="AG3323" s="82"/>
      <c r="AH3323" s="82"/>
      <c r="AI3323" s="82"/>
      <c r="AJ3323" s="82"/>
      <c r="AK3323" s="82"/>
      <c r="AL3323" s="82"/>
      <c r="AM3323" s="82"/>
      <c r="AN3323" s="82">
        <f>IFERROR(__xludf.DUMMYFUNCTION("""COMPUTED_VALUE"""),0.0)</f>
        <v>0</v>
      </c>
      <c r="AO3323" s="82">
        <f>IFERROR(__xludf.DUMMYFUNCTION("""COMPUTED_VALUE"""),0.0)</f>
        <v>0</v>
      </c>
      <c r="AP3323" s="82">
        <f>IFERROR(__xludf.DUMMYFUNCTION("""COMPUTED_VALUE"""),0.0)</f>
        <v>0</v>
      </c>
      <c r="AQ3323" s="82">
        <f>IFERROR(__xludf.DUMMYFUNCTION("""COMPUTED_VALUE"""),0.0)</f>
        <v>0</v>
      </c>
      <c r="AR3323" s="82">
        <f>IFERROR(__xludf.DUMMYFUNCTION("""COMPUTED_VALUE"""),0.0)</f>
        <v>0</v>
      </c>
      <c r="AS3323" s="82"/>
      <c r="AT3323" s="82">
        <f>IFERROR(__xludf.DUMMYFUNCTION("""COMPUTED_VALUE"""),0.0)</f>
        <v>0</v>
      </c>
      <c r="AU3323" s="82"/>
      <c r="AV3323" s="82"/>
      <c r="AW3323" s="82" t="str">
        <f t="shared" si="1"/>
        <v/>
      </c>
      <c r="AX3323" s="83" t="str">
        <f t="array" ref="AX3323">IFERROR(DGET('SBV Import'!A:G,"SBV",{"RSC ID","Tier";B3323,A3323}))</f>
        <v/>
      </c>
      <c r="AY3323" s="82" t="str">
        <f t="shared" si="2"/>
        <v/>
      </c>
      <c r="AZ3323" s="82"/>
      <c r="BA3323" s="84" t="s">
        <v>152</v>
      </c>
      <c r="BB3323" s="84" t="str">
        <f>IFERROR(__xludf.DUMMYFUNCTION("iferror(if(A3323="""",,E3323&gt;=FILTER(Constants!$F$2:$F$10,Constants!$A$2:$A$10=A3323)))"),"")</f>
        <v/>
      </c>
    </row>
    <row r="3324">
      <c r="A3324" s="89"/>
      <c r="B3324" s="87"/>
      <c r="C3324" s="73"/>
      <c r="D3324" s="73"/>
      <c r="E3324" s="82"/>
      <c r="F3324" s="82"/>
      <c r="G3324" s="86"/>
      <c r="H3324" s="86"/>
      <c r="I3324" s="86"/>
      <c r="J3324" s="82"/>
      <c r="K3324" s="82"/>
      <c r="L3324" s="82"/>
      <c r="M3324" s="82"/>
      <c r="N3324" s="82"/>
      <c r="O3324" s="82"/>
      <c r="P3324" s="82"/>
      <c r="Q3324" s="82"/>
      <c r="R3324" s="82"/>
      <c r="S3324" s="82"/>
      <c r="T3324" s="82"/>
      <c r="U3324" s="82"/>
      <c r="V3324" s="82"/>
      <c r="W3324" s="82"/>
      <c r="X3324" s="82"/>
      <c r="Y3324" s="82"/>
      <c r="Z3324" s="82"/>
      <c r="AA3324" s="82"/>
      <c r="AB3324" s="82"/>
      <c r="AC3324" s="82"/>
      <c r="AD3324" s="82"/>
      <c r="AE3324" s="82"/>
      <c r="AF3324" s="82"/>
      <c r="AG3324" s="82"/>
      <c r="AH3324" s="82"/>
      <c r="AI3324" s="82"/>
      <c r="AJ3324" s="82"/>
      <c r="AK3324" s="82"/>
      <c r="AL3324" s="82"/>
      <c r="AM3324" s="82"/>
      <c r="AN3324" s="82">
        <f>IFERROR(__xludf.DUMMYFUNCTION("""COMPUTED_VALUE"""),0.0)</f>
        <v>0</v>
      </c>
      <c r="AO3324" s="82">
        <f>IFERROR(__xludf.DUMMYFUNCTION("""COMPUTED_VALUE"""),0.0)</f>
        <v>0</v>
      </c>
      <c r="AP3324" s="82">
        <f>IFERROR(__xludf.DUMMYFUNCTION("""COMPUTED_VALUE"""),0.0)</f>
        <v>0</v>
      </c>
      <c r="AQ3324" s="82">
        <f>IFERROR(__xludf.DUMMYFUNCTION("""COMPUTED_VALUE"""),0.0)</f>
        <v>0</v>
      </c>
      <c r="AR3324" s="82">
        <f>IFERROR(__xludf.DUMMYFUNCTION("""COMPUTED_VALUE"""),0.0)</f>
        <v>0</v>
      </c>
      <c r="AS3324" s="82"/>
      <c r="AT3324" s="82">
        <f>IFERROR(__xludf.DUMMYFUNCTION("""COMPUTED_VALUE"""),0.0)</f>
        <v>0</v>
      </c>
      <c r="AU3324" s="82"/>
      <c r="AV3324" s="82"/>
      <c r="AW3324" s="82" t="str">
        <f t="shared" si="1"/>
        <v/>
      </c>
      <c r="AX3324" s="83" t="str">
        <f t="array" ref="AX3324">IFERROR(DGET('SBV Import'!A:G,"SBV",{"RSC ID","Tier";B3324,A3324}))</f>
        <v/>
      </c>
      <c r="AY3324" s="82" t="str">
        <f t="shared" si="2"/>
        <v/>
      </c>
      <c r="AZ3324" s="82"/>
      <c r="BA3324" s="84" t="s">
        <v>152</v>
      </c>
      <c r="BB3324" s="84" t="str">
        <f>IFERROR(__xludf.DUMMYFUNCTION("iferror(if(A3324="""",,E3324&gt;=FILTER(Constants!$F$2:$F$10,Constants!$A$2:$A$10=A3324)))"),"")</f>
        <v/>
      </c>
    </row>
    <row r="3325">
      <c r="A3325" s="89"/>
      <c r="B3325" s="87"/>
      <c r="C3325" s="73"/>
      <c r="D3325" s="73"/>
      <c r="E3325" s="82"/>
      <c r="F3325" s="82"/>
      <c r="G3325" s="86"/>
      <c r="H3325" s="86"/>
      <c r="I3325" s="86"/>
      <c r="J3325" s="82"/>
      <c r="K3325" s="82"/>
      <c r="L3325" s="82"/>
      <c r="M3325" s="82"/>
      <c r="N3325" s="82"/>
      <c r="O3325" s="82"/>
      <c r="P3325" s="82"/>
      <c r="Q3325" s="82"/>
      <c r="R3325" s="82"/>
      <c r="S3325" s="82"/>
      <c r="T3325" s="82"/>
      <c r="U3325" s="82"/>
      <c r="V3325" s="82"/>
      <c r="W3325" s="82"/>
      <c r="X3325" s="82"/>
      <c r="Y3325" s="82"/>
      <c r="Z3325" s="82"/>
      <c r="AA3325" s="82"/>
      <c r="AB3325" s="82"/>
      <c r="AC3325" s="82"/>
      <c r="AD3325" s="82"/>
      <c r="AE3325" s="82"/>
      <c r="AF3325" s="82"/>
      <c r="AG3325" s="82"/>
      <c r="AH3325" s="82"/>
      <c r="AI3325" s="82"/>
      <c r="AJ3325" s="82"/>
      <c r="AK3325" s="82"/>
      <c r="AL3325" s="82"/>
      <c r="AM3325" s="82"/>
      <c r="AN3325" s="82">
        <f>IFERROR(__xludf.DUMMYFUNCTION("""COMPUTED_VALUE"""),0.0)</f>
        <v>0</v>
      </c>
      <c r="AO3325" s="82">
        <f>IFERROR(__xludf.DUMMYFUNCTION("""COMPUTED_VALUE"""),0.0)</f>
        <v>0</v>
      </c>
      <c r="AP3325" s="82">
        <f>IFERROR(__xludf.DUMMYFUNCTION("""COMPUTED_VALUE"""),0.0)</f>
        <v>0</v>
      </c>
      <c r="AQ3325" s="82">
        <f>IFERROR(__xludf.DUMMYFUNCTION("""COMPUTED_VALUE"""),0.0)</f>
        <v>0</v>
      </c>
      <c r="AR3325" s="82">
        <f>IFERROR(__xludf.DUMMYFUNCTION("""COMPUTED_VALUE"""),0.0)</f>
        <v>0</v>
      </c>
      <c r="AS3325" s="82"/>
      <c r="AT3325" s="82">
        <f>IFERROR(__xludf.DUMMYFUNCTION("""COMPUTED_VALUE"""),0.0)</f>
        <v>0</v>
      </c>
      <c r="AU3325" s="82"/>
      <c r="AV3325" s="82"/>
      <c r="AW3325" s="82" t="str">
        <f t="shared" si="1"/>
        <v/>
      </c>
      <c r="AX3325" s="83" t="str">
        <f t="array" ref="AX3325">IFERROR(DGET('SBV Import'!A:G,"SBV",{"RSC ID","Tier";B3325,A3325}))</f>
        <v/>
      </c>
      <c r="AY3325" s="82" t="str">
        <f t="shared" si="2"/>
        <v/>
      </c>
      <c r="AZ3325" s="82"/>
      <c r="BA3325" s="84" t="s">
        <v>152</v>
      </c>
      <c r="BB3325" s="84" t="str">
        <f>IFERROR(__xludf.DUMMYFUNCTION("iferror(if(A3325="""",,E3325&gt;=FILTER(Constants!$F$2:$F$10,Constants!$A$2:$A$10=A3325)))"),"")</f>
        <v/>
      </c>
    </row>
    <row r="3326">
      <c r="A3326" s="89"/>
      <c r="B3326" s="87"/>
      <c r="C3326" s="73"/>
      <c r="D3326" s="73"/>
      <c r="E3326" s="82"/>
      <c r="F3326" s="82"/>
      <c r="G3326" s="86"/>
      <c r="H3326" s="86"/>
      <c r="I3326" s="86"/>
      <c r="J3326" s="82"/>
      <c r="K3326" s="82"/>
      <c r="L3326" s="82"/>
      <c r="M3326" s="82"/>
      <c r="N3326" s="82"/>
      <c r="O3326" s="82"/>
      <c r="P3326" s="82"/>
      <c r="Q3326" s="82"/>
      <c r="R3326" s="82"/>
      <c r="S3326" s="82"/>
      <c r="T3326" s="82"/>
      <c r="U3326" s="82"/>
      <c r="V3326" s="82"/>
      <c r="W3326" s="82"/>
      <c r="X3326" s="82"/>
      <c r="Y3326" s="82"/>
      <c r="Z3326" s="82"/>
      <c r="AA3326" s="82"/>
      <c r="AB3326" s="82"/>
      <c r="AC3326" s="82"/>
      <c r="AD3326" s="82"/>
      <c r="AE3326" s="82"/>
      <c r="AF3326" s="82"/>
      <c r="AG3326" s="82"/>
      <c r="AH3326" s="82"/>
      <c r="AI3326" s="82"/>
      <c r="AJ3326" s="82"/>
      <c r="AK3326" s="82"/>
      <c r="AL3326" s="82"/>
      <c r="AM3326" s="82"/>
      <c r="AN3326" s="82">
        <f>IFERROR(__xludf.DUMMYFUNCTION("""COMPUTED_VALUE"""),0.0)</f>
        <v>0</v>
      </c>
      <c r="AO3326" s="82">
        <f>IFERROR(__xludf.DUMMYFUNCTION("""COMPUTED_VALUE"""),0.0)</f>
        <v>0</v>
      </c>
      <c r="AP3326" s="82">
        <f>IFERROR(__xludf.DUMMYFUNCTION("""COMPUTED_VALUE"""),0.0)</f>
        <v>0</v>
      </c>
      <c r="AQ3326" s="82">
        <f>IFERROR(__xludf.DUMMYFUNCTION("""COMPUTED_VALUE"""),0.0)</f>
        <v>0</v>
      </c>
      <c r="AR3326" s="82">
        <f>IFERROR(__xludf.DUMMYFUNCTION("""COMPUTED_VALUE"""),0.0)</f>
        <v>0</v>
      </c>
      <c r="AS3326" s="82"/>
      <c r="AT3326" s="82">
        <f>IFERROR(__xludf.DUMMYFUNCTION("""COMPUTED_VALUE"""),0.0)</f>
        <v>0</v>
      </c>
      <c r="AU3326" s="82"/>
      <c r="AV3326" s="82"/>
      <c r="AW3326" s="82" t="str">
        <f t="shared" si="1"/>
        <v/>
      </c>
      <c r="AX3326" s="83" t="str">
        <f t="array" ref="AX3326">IFERROR(DGET('SBV Import'!A:G,"SBV",{"RSC ID","Tier";B3326,A3326}))</f>
        <v/>
      </c>
      <c r="AY3326" s="82" t="str">
        <f t="shared" si="2"/>
        <v/>
      </c>
      <c r="AZ3326" s="82"/>
      <c r="BA3326" s="84" t="s">
        <v>152</v>
      </c>
      <c r="BB3326" s="84" t="str">
        <f>IFERROR(__xludf.DUMMYFUNCTION("iferror(if(A3326="""",,E3326&gt;=FILTER(Constants!$F$2:$F$10,Constants!$A$2:$A$10=A3326)))"),"")</f>
        <v/>
      </c>
    </row>
    <row r="3327">
      <c r="A3327" s="89"/>
      <c r="B3327" s="87"/>
      <c r="C3327" s="73"/>
      <c r="D3327" s="73"/>
      <c r="E3327" s="82"/>
      <c r="F3327" s="82"/>
      <c r="G3327" s="86"/>
      <c r="H3327" s="86"/>
      <c r="I3327" s="86"/>
      <c r="J3327" s="82"/>
      <c r="K3327" s="82"/>
      <c r="L3327" s="82"/>
      <c r="M3327" s="82"/>
      <c r="N3327" s="82"/>
      <c r="O3327" s="82"/>
      <c r="P3327" s="82"/>
      <c r="Q3327" s="82"/>
      <c r="R3327" s="82"/>
      <c r="S3327" s="82"/>
      <c r="T3327" s="82"/>
      <c r="U3327" s="82"/>
      <c r="V3327" s="82"/>
      <c r="W3327" s="82"/>
      <c r="X3327" s="82"/>
      <c r="Y3327" s="82"/>
      <c r="Z3327" s="82"/>
      <c r="AA3327" s="82"/>
      <c r="AB3327" s="82"/>
      <c r="AC3327" s="82"/>
      <c r="AD3327" s="82"/>
      <c r="AE3327" s="82"/>
      <c r="AF3327" s="82"/>
      <c r="AG3327" s="82"/>
      <c r="AH3327" s="82"/>
      <c r="AI3327" s="82"/>
      <c r="AJ3327" s="82"/>
      <c r="AK3327" s="82"/>
      <c r="AL3327" s="82"/>
      <c r="AM3327" s="82"/>
      <c r="AN3327" s="82">
        <f>IFERROR(__xludf.DUMMYFUNCTION("""COMPUTED_VALUE"""),0.0)</f>
        <v>0</v>
      </c>
      <c r="AO3327" s="82">
        <f>IFERROR(__xludf.DUMMYFUNCTION("""COMPUTED_VALUE"""),0.0)</f>
        <v>0</v>
      </c>
      <c r="AP3327" s="82">
        <f>IFERROR(__xludf.DUMMYFUNCTION("""COMPUTED_VALUE"""),0.0)</f>
        <v>0</v>
      </c>
      <c r="AQ3327" s="82">
        <f>IFERROR(__xludf.DUMMYFUNCTION("""COMPUTED_VALUE"""),0.0)</f>
        <v>0</v>
      </c>
      <c r="AR3327" s="82">
        <f>IFERROR(__xludf.DUMMYFUNCTION("""COMPUTED_VALUE"""),0.0)</f>
        <v>0</v>
      </c>
      <c r="AS3327" s="82"/>
      <c r="AT3327" s="82">
        <f>IFERROR(__xludf.DUMMYFUNCTION("""COMPUTED_VALUE"""),0.0)</f>
        <v>0</v>
      </c>
      <c r="AU3327" s="82"/>
      <c r="AV3327" s="82"/>
      <c r="AW3327" s="82" t="str">
        <f t="shared" si="1"/>
        <v/>
      </c>
      <c r="AX3327" s="83" t="str">
        <f t="array" ref="AX3327">IFERROR(DGET('SBV Import'!A:G,"SBV",{"RSC ID","Tier";B3327,A3327}))</f>
        <v/>
      </c>
      <c r="AY3327" s="82" t="str">
        <f t="shared" si="2"/>
        <v/>
      </c>
      <c r="AZ3327" s="82"/>
      <c r="BA3327" s="84" t="s">
        <v>152</v>
      </c>
      <c r="BB3327" s="84" t="str">
        <f>IFERROR(__xludf.DUMMYFUNCTION("iferror(if(A3327="""",,E3327&gt;=FILTER(Constants!$F$2:$F$10,Constants!$A$2:$A$10=A3327)))"),"")</f>
        <v/>
      </c>
    </row>
    <row r="3328">
      <c r="A3328" s="89"/>
      <c r="B3328" s="87"/>
      <c r="C3328" s="73"/>
      <c r="D3328" s="73"/>
      <c r="E3328" s="82"/>
      <c r="F3328" s="82"/>
      <c r="G3328" s="86"/>
      <c r="H3328" s="86"/>
      <c r="I3328" s="86"/>
      <c r="J3328" s="82"/>
      <c r="K3328" s="82"/>
      <c r="L3328" s="82"/>
      <c r="M3328" s="82"/>
      <c r="N3328" s="82"/>
      <c r="O3328" s="82"/>
      <c r="P3328" s="82"/>
      <c r="Q3328" s="82"/>
      <c r="R3328" s="82"/>
      <c r="S3328" s="82"/>
      <c r="T3328" s="82"/>
      <c r="U3328" s="82"/>
      <c r="V3328" s="82"/>
      <c r="W3328" s="82"/>
      <c r="X3328" s="82"/>
      <c r="Y3328" s="82"/>
      <c r="Z3328" s="82"/>
      <c r="AA3328" s="82"/>
      <c r="AB3328" s="82"/>
      <c r="AC3328" s="82"/>
      <c r="AD3328" s="82"/>
      <c r="AE3328" s="82"/>
      <c r="AF3328" s="82"/>
      <c r="AG3328" s="82"/>
      <c r="AH3328" s="82"/>
      <c r="AI3328" s="82"/>
      <c r="AJ3328" s="82"/>
      <c r="AK3328" s="82"/>
      <c r="AL3328" s="82"/>
      <c r="AM3328" s="82"/>
      <c r="AN3328" s="82">
        <f>IFERROR(__xludf.DUMMYFUNCTION("""COMPUTED_VALUE"""),0.0)</f>
        <v>0</v>
      </c>
      <c r="AO3328" s="82">
        <f>IFERROR(__xludf.DUMMYFUNCTION("""COMPUTED_VALUE"""),0.0)</f>
        <v>0</v>
      </c>
      <c r="AP3328" s="82">
        <f>IFERROR(__xludf.DUMMYFUNCTION("""COMPUTED_VALUE"""),0.0)</f>
        <v>0</v>
      </c>
      <c r="AQ3328" s="82">
        <f>IFERROR(__xludf.DUMMYFUNCTION("""COMPUTED_VALUE"""),0.0)</f>
        <v>0</v>
      </c>
      <c r="AR3328" s="82">
        <f>IFERROR(__xludf.DUMMYFUNCTION("""COMPUTED_VALUE"""),0.0)</f>
        <v>0</v>
      </c>
      <c r="AS3328" s="82"/>
      <c r="AT3328" s="82">
        <f>IFERROR(__xludf.DUMMYFUNCTION("""COMPUTED_VALUE"""),0.0)</f>
        <v>0</v>
      </c>
      <c r="AU3328" s="82"/>
      <c r="AV3328" s="82"/>
      <c r="AW3328" s="82" t="str">
        <f t="shared" si="1"/>
        <v/>
      </c>
      <c r="AX3328" s="83" t="str">
        <f t="array" ref="AX3328">IFERROR(DGET('SBV Import'!A:G,"SBV",{"RSC ID","Tier";B3328,A3328}))</f>
        <v/>
      </c>
      <c r="AY3328" s="82" t="str">
        <f t="shared" si="2"/>
        <v/>
      </c>
      <c r="AZ3328" s="82"/>
      <c r="BA3328" s="84" t="s">
        <v>152</v>
      </c>
      <c r="BB3328" s="84" t="str">
        <f>IFERROR(__xludf.DUMMYFUNCTION("iferror(if(A3328="""",,E3328&gt;=FILTER(Constants!$F$2:$F$10,Constants!$A$2:$A$10=A3328)))"),"")</f>
        <v/>
      </c>
    </row>
    <row r="3329">
      <c r="A3329" s="89"/>
      <c r="B3329" s="87"/>
      <c r="C3329" s="73"/>
      <c r="D3329" s="73"/>
      <c r="E3329" s="82"/>
      <c r="F3329" s="82"/>
      <c r="G3329" s="86"/>
      <c r="H3329" s="86"/>
      <c r="I3329" s="86"/>
      <c r="J3329" s="82"/>
      <c r="K3329" s="82"/>
      <c r="L3329" s="82"/>
      <c r="M3329" s="82"/>
      <c r="N3329" s="82"/>
      <c r="O3329" s="82"/>
      <c r="P3329" s="82"/>
      <c r="Q3329" s="82"/>
      <c r="R3329" s="82"/>
      <c r="S3329" s="82"/>
      <c r="T3329" s="82"/>
      <c r="U3329" s="82"/>
      <c r="V3329" s="82"/>
      <c r="W3329" s="82"/>
      <c r="X3329" s="82"/>
      <c r="Y3329" s="82"/>
      <c r="Z3329" s="82"/>
      <c r="AA3329" s="82"/>
      <c r="AB3329" s="82"/>
      <c r="AC3329" s="82"/>
      <c r="AD3329" s="82"/>
      <c r="AE3329" s="82"/>
      <c r="AF3329" s="82"/>
      <c r="AG3329" s="82"/>
      <c r="AH3329" s="82"/>
      <c r="AI3329" s="82"/>
      <c r="AJ3329" s="82"/>
      <c r="AK3329" s="82"/>
      <c r="AL3329" s="82"/>
      <c r="AM3329" s="82"/>
      <c r="AN3329" s="82">
        <f>IFERROR(__xludf.DUMMYFUNCTION("""COMPUTED_VALUE"""),0.0)</f>
        <v>0</v>
      </c>
      <c r="AO3329" s="82">
        <f>IFERROR(__xludf.DUMMYFUNCTION("""COMPUTED_VALUE"""),0.0)</f>
        <v>0</v>
      </c>
      <c r="AP3329" s="82">
        <f>IFERROR(__xludf.DUMMYFUNCTION("""COMPUTED_VALUE"""),0.0)</f>
        <v>0</v>
      </c>
      <c r="AQ3329" s="82">
        <f>IFERROR(__xludf.DUMMYFUNCTION("""COMPUTED_VALUE"""),0.0)</f>
        <v>0</v>
      </c>
      <c r="AR3329" s="82">
        <f>IFERROR(__xludf.DUMMYFUNCTION("""COMPUTED_VALUE"""),0.0)</f>
        <v>0</v>
      </c>
      <c r="AS3329" s="82"/>
      <c r="AT3329" s="82">
        <f>IFERROR(__xludf.DUMMYFUNCTION("""COMPUTED_VALUE"""),0.0)</f>
        <v>0</v>
      </c>
      <c r="AU3329" s="82"/>
      <c r="AV3329" s="82"/>
      <c r="AW3329" s="82" t="str">
        <f t="shared" si="1"/>
        <v/>
      </c>
      <c r="AX3329" s="83" t="str">
        <f t="array" ref="AX3329">IFERROR(DGET('SBV Import'!A:G,"SBV",{"RSC ID","Tier";B3329,A3329}))</f>
        <v/>
      </c>
      <c r="AY3329" s="82" t="str">
        <f t="shared" si="2"/>
        <v/>
      </c>
      <c r="AZ3329" s="82"/>
      <c r="BA3329" s="84" t="s">
        <v>152</v>
      </c>
      <c r="BB3329" s="84" t="str">
        <f>IFERROR(__xludf.DUMMYFUNCTION("iferror(if(A3329="""",,E3329&gt;=FILTER(Constants!$F$2:$F$10,Constants!$A$2:$A$10=A3329)))"),"")</f>
        <v/>
      </c>
    </row>
    <row r="3330">
      <c r="A3330" s="89"/>
      <c r="B3330" s="87"/>
      <c r="C3330" s="73"/>
      <c r="D3330" s="73"/>
      <c r="E3330" s="82"/>
      <c r="F3330" s="82"/>
      <c r="G3330" s="86"/>
      <c r="H3330" s="86"/>
      <c r="I3330" s="86"/>
      <c r="J3330" s="82"/>
      <c r="K3330" s="82"/>
      <c r="L3330" s="82"/>
      <c r="M3330" s="82"/>
      <c r="N3330" s="82"/>
      <c r="O3330" s="82"/>
      <c r="P3330" s="82"/>
      <c r="Q3330" s="82"/>
      <c r="R3330" s="82"/>
      <c r="S3330" s="82"/>
      <c r="T3330" s="82"/>
      <c r="U3330" s="82"/>
      <c r="V3330" s="82"/>
      <c r="W3330" s="82"/>
      <c r="X3330" s="82"/>
      <c r="Y3330" s="82"/>
      <c r="Z3330" s="82"/>
      <c r="AA3330" s="82"/>
      <c r="AB3330" s="82"/>
      <c r="AC3330" s="82"/>
      <c r="AD3330" s="82"/>
      <c r="AE3330" s="82"/>
      <c r="AF3330" s="82"/>
      <c r="AG3330" s="82"/>
      <c r="AH3330" s="82"/>
      <c r="AI3330" s="82"/>
      <c r="AJ3330" s="82"/>
      <c r="AK3330" s="82"/>
      <c r="AL3330" s="82"/>
      <c r="AM3330" s="82"/>
      <c r="AN3330" s="82">
        <f>IFERROR(__xludf.DUMMYFUNCTION("""COMPUTED_VALUE"""),0.0)</f>
        <v>0</v>
      </c>
      <c r="AO3330" s="82">
        <f>IFERROR(__xludf.DUMMYFUNCTION("""COMPUTED_VALUE"""),0.0)</f>
        <v>0</v>
      </c>
      <c r="AP3330" s="82">
        <f>IFERROR(__xludf.DUMMYFUNCTION("""COMPUTED_VALUE"""),0.0)</f>
        <v>0</v>
      </c>
      <c r="AQ3330" s="82">
        <f>IFERROR(__xludf.DUMMYFUNCTION("""COMPUTED_VALUE"""),0.0)</f>
        <v>0</v>
      </c>
      <c r="AR3330" s="82">
        <f>IFERROR(__xludf.DUMMYFUNCTION("""COMPUTED_VALUE"""),0.0)</f>
        <v>0</v>
      </c>
      <c r="AS3330" s="82"/>
      <c r="AT3330" s="82">
        <f>IFERROR(__xludf.DUMMYFUNCTION("""COMPUTED_VALUE"""),0.0)</f>
        <v>0</v>
      </c>
      <c r="AU3330" s="82"/>
      <c r="AV3330" s="82"/>
      <c r="AW3330" s="82" t="str">
        <f t="shared" si="1"/>
        <v/>
      </c>
      <c r="AX3330" s="83" t="str">
        <f t="array" ref="AX3330">IFERROR(DGET('SBV Import'!A:G,"SBV",{"RSC ID","Tier";B3330,A3330}))</f>
        <v/>
      </c>
      <c r="AY3330" s="82" t="str">
        <f t="shared" si="2"/>
        <v/>
      </c>
      <c r="AZ3330" s="82"/>
      <c r="BA3330" s="84" t="s">
        <v>152</v>
      </c>
      <c r="BB3330" s="84" t="str">
        <f>IFERROR(__xludf.DUMMYFUNCTION("iferror(if(A3330="""",,E3330&gt;=FILTER(Constants!$F$2:$F$10,Constants!$A$2:$A$10=A3330)))"),"")</f>
        <v/>
      </c>
    </row>
    <row r="3331">
      <c r="A3331" s="89"/>
      <c r="B3331" s="87"/>
      <c r="C3331" s="73"/>
      <c r="D3331" s="73"/>
      <c r="E3331" s="82"/>
      <c r="F3331" s="82"/>
      <c r="G3331" s="86"/>
      <c r="H3331" s="86"/>
      <c r="I3331" s="86"/>
      <c r="J3331" s="82"/>
      <c r="K3331" s="82"/>
      <c r="L3331" s="82"/>
      <c r="M3331" s="82"/>
      <c r="N3331" s="82"/>
      <c r="O3331" s="82"/>
      <c r="P3331" s="82"/>
      <c r="Q3331" s="82"/>
      <c r="R3331" s="82"/>
      <c r="S3331" s="82"/>
      <c r="T3331" s="82"/>
      <c r="U3331" s="82"/>
      <c r="V3331" s="82"/>
      <c r="W3331" s="82"/>
      <c r="X3331" s="82"/>
      <c r="Y3331" s="82"/>
      <c r="Z3331" s="82"/>
      <c r="AA3331" s="82"/>
      <c r="AB3331" s="82"/>
      <c r="AC3331" s="82"/>
      <c r="AD3331" s="82"/>
      <c r="AE3331" s="82"/>
      <c r="AF3331" s="82"/>
      <c r="AG3331" s="82"/>
      <c r="AH3331" s="82"/>
      <c r="AI3331" s="82"/>
      <c r="AJ3331" s="82"/>
      <c r="AK3331" s="82"/>
      <c r="AL3331" s="82"/>
      <c r="AM3331" s="82"/>
      <c r="AN3331" s="82">
        <f>IFERROR(__xludf.DUMMYFUNCTION("""COMPUTED_VALUE"""),0.0)</f>
        <v>0</v>
      </c>
      <c r="AO3331" s="82">
        <f>IFERROR(__xludf.DUMMYFUNCTION("""COMPUTED_VALUE"""),0.0)</f>
        <v>0</v>
      </c>
      <c r="AP3331" s="82">
        <f>IFERROR(__xludf.DUMMYFUNCTION("""COMPUTED_VALUE"""),0.0)</f>
        <v>0</v>
      </c>
      <c r="AQ3331" s="82">
        <f>IFERROR(__xludf.DUMMYFUNCTION("""COMPUTED_VALUE"""),0.0)</f>
        <v>0</v>
      </c>
      <c r="AR3331" s="82">
        <f>IFERROR(__xludf.DUMMYFUNCTION("""COMPUTED_VALUE"""),0.0)</f>
        <v>0</v>
      </c>
      <c r="AS3331" s="82"/>
      <c r="AT3331" s="82">
        <f>IFERROR(__xludf.DUMMYFUNCTION("""COMPUTED_VALUE"""),0.0)</f>
        <v>0</v>
      </c>
      <c r="AU3331" s="82"/>
      <c r="AV3331" s="82"/>
      <c r="AW3331" s="82" t="str">
        <f t="shared" si="1"/>
        <v/>
      </c>
      <c r="AX3331" s="83" t="str">
        <f t="array" ref="AX3331">IFERROR(DGET('SBV Import'!A:G,"SBV",{"RSC ID","Tier";B3331,A3331}))</f>
        <v/>
      </c>
      <c r="AY3331" s="82" t="str">
        <f t="shared" si="2"/>
        <v/>
      </c>
      <c r="AZ3331" s="82"/>
      <c r="BA3331" s="84" t="s">
        <v>152</v>
      </c>
      <c r="BB3331" s="84" t="str">
        <f>IFERROR(__xludf.DUMMYFUNCTION("iferror(if(A3331="""",,E3331&gt;=FILTER(Constants!$F$2:$F$10,Constants!$A$2:$A$10=A3331)))"),"")</f>
        <v/>
      </c>
    </row>
    <row r="3332">
      <c r="A3332" s="89"/>
      <c r="B3332" s="87"/>
      <c r="C3332" s="73"/>
      <c r="D3332" s="73"/>
      <c r="E3332" s="82"/>
      <c r="F3332" s="82"/>
      <c r="G3332" s="86"/>
      <c r="H3332" s="86"/>
      <c r="I3332" s="86"/>
      <c r="J3332" s="82"/>
      <c r="K3332" s="82"/>
      <c r="L3332" s="82"/>
      <c r="M3332" s="82"/>
      <c r="N3332" s="82"/>
      <c r="O3332" s="82"/>
      <c r="P3332" s="82"/>
      <c r="Q3332" s="82"/>
      <c r="R3332" s="82"/>
      <c r="S3332" s="82"/>
      <c r="T3332" s="82"/>
      <c r="U3332" s="82"/>
      <c r="V3332" s="82"/>
      <c r="W3332" s="82"/>
      <c r="X3332" s="82"/>
      <c r="Y3332" s="82"/>
      <c r="Z3332" s="82"/>
      <c r="AA3332" s="82"/>
      <c r="AB3332" s="82"/>
      <c r="AC3332" s="82"/>
      <c r="AD3332" s="82"/>
      <c r="AE3332" s="82"/>
      <c r="AF3332" s="82"/>
      <c r="AG3332" s="82"/>
      <c r="AH3332" s="82"/>
      <c r="AI3332" s="82"/>
      <c r="AJ3332" s="82"/>
      <c r="AK3332" s="82"/>
      <c r="AL3332" s="82"/>
      <c r="AM3332" s="82"/>
      <c r="AN3332" s="82">
        <f>IFERROR(__xludf.DUMMYFUNCTION("""COMPUTED_VALUE"""),0.0)</f>
        <v>0</v>
      </c>
      <c r="AO3332" s="82">
        <f>IFERROR(__xludf.DUMMYFUNCTION("""COMPUTED_VALUE"""),0.0)</f>
        <v>0</v>
      </c>
      <c r="AP3332" s="82">
        <f>IFERROR(__xludf.DUMMYFUNCTION("""COMPUTED_VALUE"""),0.0)</f>
        <v>0</v>
      </c>
      <c r="AQ3332" s="82">
        <f>IFERROR(__xludf.DUMMYFUNCTION("""COMPUTED_VALUE"""),0.0)</f>
        <v>0</v>
      </c>
      <c r="AR3332" s="82">
        <f>IFERROR(__xludf.DUMMYFUNCTION("""COMPUTED_VALUE"""),0.0)</f>
        <v>0</v>
      </c>
      <c r="AS3332" s="82"/>
      <c r="AT3332" s="82">
        <f>IFERROR(__xludf.DUMMYFUNCTION("""COMPUTED_VALUE"""),0.0)</f>
        <v>0</v>
      </c>
      <c r="AU3332" s="82"/>
      <c r="AV3332" s="82"/>
      <c r="AW3332" s="82" t="str">
        <f t="shared" si="1"/>
        <v/>
      </c>
      <c r="AX3332" s="83" t="str">
        <f t="array" ref="AX3332">IFERROR(DGET('SBV Import'!A:G,"SBV",{"RSC ID","Tier";B3332,A3332}))</f>
        <v/>
      </c>
      <c r="AY3332" s="82" t="str">
        <f t="shared" si="2"/>
        <v/>
      </c>
      <c r="AZ3332" s="82"/>
      <c r="BA3332" s="84" t="s">
        <v>152</v>
      </c>
      <c r="BB3332" s="84" t="str">
        <f>IFERROR(__xludf.DUMMYFUNCTION("iferror(if(A3332="""",,E3332&gt;=FILTER(Constants!$F$2:$F$10,Constants!$A$2:$A$10=A3332)))"),"")</f>
        <v/>
      </c>
    </row>
    <row r="3333">
      <c r="A3333" s="89"/>
      <c r="B3333" s="87"/>
      <c r="C3333" s="73"/>
      <c r="D3333" s="73"/>
      <c r="E3333" s="82"/>
      <c r="F3333" s="82"/>
      <c r="G3333" s="86"/>
      <c r="H3333" s="86"/>
      <c r="I3333" s="86"/>
      <c r="J3333" s="82"/>
      <c r="K3333" s="82"/>
      <c r="L3333" s="82"/>
      <c r="M3333" s="82"/>
      <c r="N3333" s="82"/>
      <c r="O3333" s="82"/>
      <c r="P3333" s="82"/>
      <c r="Q3333" s="82"/>
      <c r="R3333" s="82"/>
      <c r="S3333" s="82"/>
      <c r="T3333" s="82"/>
      <c r="U3333" s="82"/>
      <c r="V3333" s="82"/>
      <c r="W3333" s="82"/>
      <c r="X3333" s="82"/>
      <c r="Y3333" s="82"/>
      <c r="Z3333" s="82"/>
      <c r="AA3333" s="82"/>
      <c r="AB3333" s="82"/>
      <c r="AC3333" s="82"/>
      <c r="AD3333" s="82"/>
      <c r="AE3333" s="82"/>
      <c r="AF3333" s="82"/>
      <c r="AG3333" s="82"/>
      <c r="AH3333" s="82"/>
      <c r="AI3333" s="82"/>
      <c r="AJ3333" s="82"/>
      <c r="AK3333" s="82"/>
      <c r="AL3333" s="82"/>
      <c r="AM3333" s="82"/>
      <c r="AN3333" s="82">
        <f>IFERROR(__xludf.DUMMYFUNCTION("""COMPUTED_VALUE"""),0.0)</f>
        <v>0</v>
      </c>
      <c r="AO3333" s="82">
        <f>IFERROR(__xludf.DUMMYFUNCTION("""COMPUTED_VALUE"""),0.0)</f>
        <v>0</v>
      </c>
      <c r="AP3333" s="82">
        <f>IFERROR(__xludf.DUMMYFUNCTION("""COMPUTED_VALUE"""),0.0)</f>
        <v>0</v>
      </c>
      <c r="AQ3333" s="82">
        <f>IFERROR(__xludf.DUMMYFUNCTION("""COMPUTED_VALUE"""),0.0)</f>
        <v>0</v>
      </c>
      <c r="AR3333" s="82">
        <f>IFERROR(__xludf.DUMMYFUNCTION("""COMPUTED_VALUE"""),0.0)</f>
        <v>0</v>
      </c>
      <c r="AS3333" s="82"/>
      <c r="AT3333" s="82">
        <f>IFERROR(__xludf.DUMMYFUNCTION("""COMPUTED_VALUE"""),0.0)</f>
        <v>0</v>
      </c>
      <c r="AU3333" s="82"/>
      <c r="AV3333" s="82"/>
      <c r="AW3333" s="82" t="str">
        <f t="shared" si="1"/>
        <v/>
      </c>
      <c r="AX3333" s="83" t="str">
        <f t="array" ref="AX3333">IFERROR(DGET('SBV Import'!A:G,"SBV",{"RSC ID","Tier";B3333,A3333}))</f>
        <v/>
      </c>
      <c r="AY3333" s="82" t="str">
        <f t="shared" si="2"/>
        <v/>
      </c>
      <c r="AZ3333" s="82"/>
      <c r="BA3333" s="84" t="s">
        <v>152</v>
      </c>
      <c r="BB3333" s="84" t="str">
        <f>IFERROR(__xludf.DUMMYFUNCTION("iferror(if(A3333="""",,E3333&gt;=FILTER(Constants!$F$2:$F$10,Constants!$A$2:$A$10=A3333)))"),"")</f>
        <v/>
      </c>
    </row>
    <row r="3334">
      <c r="A3334" s="89"/>
      <c r="B3334" s="87"/>
      <c r="C3334" s="73"/>
      <c r="D3334" s="73"/>
      <c r="E3334" s="82"/>
      <c r="F3334" s="82"/>
      <c r="G3334" s="86"/>
      <c r="H3334" s="86"/>
      <c r="I3334" s="86"/>
      <c r="J3334" s="82"/>
      <c r="K3334" s="82"/>
      <c r="L3334" s="82"/>
      <c r="M3334" s="82"/>
      <c r="N3334" s="82"/>
      <c r="O3334" s="82"/>
      <c r="P3334" s="82"/>
      <c r="Q3334" s="82"/>
      <c r="R3334" s="82"/>
      <c r="S3334" s="82"/>
      <c r="T3334" s="82"/>
      <c r="U3334" s="82"/>
      <c r="V3334" s="82"/>
      <c r="W3334" s="82"/>
      <c r="X3334" s="82"/>
      <c r="Y3334" s="82"/>
      <c r="Z3334" s="82"/>
      <c r="AA3334" s="82"/>
      <c r="AB3334" s="82"/>
      <c r="AC3334" s="82"/>
      <c r="AD3334" s="82"/>
      <c r="AE3334" s="82"/>
      <c r="AF3334" s="82"/>
      <c r="AG3334" s="82"/>
      <c r="AH3334" s="82"/>
      <c r="AI3334" s="82"/>
      <c r="AJ3334" s="82"/>
      <c r="AK3334" s="82"/>
      <c r="AL3334" s="82"/>
      <c r="AM3334" s="82"/>
      <c r="AN3334" s="82">
        <f>IFERROR(__xludf.DUMMYFUNCTION("""COMPUTED_VALUE"""),0.0)</f>
        <v>0</v>
      </c>
      <c r="AO3334" s="82">
        <f>IFERROR(__xludf.DUMMYFUNCTION("""COMPUTED_VALUE"""),0.0)</f>
        <v>0</v>
      </c>
      <c r="AP3334" s="82">
        <f>IFERROR(__xludf.DUMMYFUNCTION("""COMPUTED_VALUE"""),0.0)</f>
        <v>0</v>
      </c>
      <c r="AQ3334" s="82">
        <f>IFERROR(__xludf.DUMMYFUNCTION("""COMPUTED_VALUE"""),0.0)</f>
        <v>0</v>
      </c>
      <c r="AR3334" s="82">
        <f>IFERROR(__xludf.DUMMYFUNCTION("""COMPUTED_VALUE"""),0.0)</f>
        <v>0</v>
      </c>
      <c r="AS3334" s="82"/>
      <c r="AT3334" s="82">
        <f>IFERROR(__xludf.DUMMYFUNCTION("""COMPUTED_VALUE"""),0.0)</f>
        <v>0</v>
      </c>
      <c r="AU3334" s="82"/>
      <c r="AV3334" s="82"/>
      <c r="AW3334" s="82" t="str">
        <f t="shared" si="1"/>
        <v/>
      </c>
      <c r="AX3334" s="83" t="str">
        <f t="array" ref="AX3334">IFERROR(DGET('SBV Import'!A:G,"SBV",{"RSC ID","Tier";B3334,A3334}))</f>
        <v/>
      </c>
      <c r="AY3334" s="82" t="str">
        <f t="shared" si="2"/>
        <v/>
      </c>
      <c r="AZ3334" s="82"/>
      <c r="BA3334" s="84" t="s">
        <v>152</v>
      </c>
      <c r="BB3334" s="84" t="str">
        <f>IFERROR(__xludf.DUMMYFUNCTION("iferror(if(A3334="""",,E3334&gt;=FILTER(Constants!$F$2:$F$10,Constants!$A$2:$A$10=A3334)))"),"")</f>
        <v/>
      </c>
    </row>
    <row r="3335">
      <c r="A3335" s="89"/>
      <c r="B3335" s="87"/>
      <c r="C3335" s="73"/>
      <c r="D3335" s="73"/>
      <c r="E3335" s="82"/>
      <c r="F3335" s="82"/>
      <c r="G3335" s="86"/>
      <c r="H3335" s="86"/>
      <c r="I3335" s="86"/>
      <c r="J3335" s="82"/>
      <c r="K3335" s="82"/>
      <c r="L3335" s="82"/>
      <c r="M3335" s="82"/>
      <c r="N3335" s="82"/>
      <c r="O3335" s="82"/>
      <c r="P3335" s="82"/>
      <c r="Q3335" s="82"/>
      <c r="R3335" s="82"/>
      <c r="S3335" s="82"/>
      <c r="T3335" s="82"/>
      <c r="U3335" s="82"/>
      <c r="V3335" s="82"/>
      <c r="W3335" s="82"/>
      <c r="X3335" s="82"/>
      <c r="Y3335" s="82"/>
      <c r="Z3335" s="82"/>
      <c r="AA3335" s="82"/>
      <c r="AB3335" s="82"/>
      <c r="AC3335" s="82"/>
      <c r="AD3335" s="82"/>
      <c r="AE3335" s="82"/>
      <c r="AF3335" s="82"/>
      <c r="AG3335" s="82"/>
      <c r="AH3335" s="82"/>
      <c r="AI3335" s="82"/>
      <c r="AJ3335" s="82"/>
      <c r="AK3335" s="82"/>
      <c r="AL3335" s="82"/>
      <c r="AM3335" s="82"/>
      <c r="AN3335" s="82">
        <f>IFERROR(__xludf.DUMMYFUNCTION("""COMPUTED_VALUE"""),0.0)</f>
        <v>0</v>
      </c>
      <c r="AO3335" s="82">
        <f>IFERROR(__xludf.DUMMYFUNCTION("""COMPUTED_VALUE"""),0.0)</f>
        <v>0</v>
      </c>
      <c r="AP3335" s="82">
        <f>IFERROR(__xludf.DUMMYFUNCTION("""COMPUTED_VALUE"""),0.0)</f>
        <v>0</v>
      </c>
      <c r="AQ3335" s="82">
        <f>IFERROR(__xludf.DUMMYFUNCTION("""COMPUTED_VALUE"""),0.0)</f>
        <v>0</v>
      </c>
      <c r="AR3335" s="82">
        <f>IFERROR(__xludf.DUMMYFUNCTION("""COMPUTED_VALUE"""),0.0)</f>
        <v>0</v>
      </c>
      <c r="AS3335" s="82"/>
      <c r="AT3335" s="82">
        <f>IFERROR(__xludf.DUMMYFUNCTION("""COMPUTED_VALUE"""),0.0)</f>
        <v>0</v>
      </c>
      <c r="AU3335" s="82"/>
      <c r="AV3335" s="82"/>
      <c r="AW3335" s="82" t="str">
        <f t="shared" si="1"/>
        <v/>
      </c>
      <c r="AX3335" s="83" t="str">
        <f t="array" ref="AX3335">IFERROR(DGET('SBV Import'!A:G,"SBV",{"RSC ID","Tier";B3335,A3335}))</f>
        <v/>
      </c>
      <c r="AY3335" s="82" t="str">
        <f t="shared" si="2"/>
        <v/>
      </c>
      <c r="AZ3335" s="82"/>
      <c r="BA3335" s="84" t="s">
        <v>152</v>
      </c>
      <c r="BB3335" s="84" t="str">
        <f>IFERROR(__xludf.DUMMYFUNCTION("iferror(if(A3335="""",,E3335&gt;=FILTER(Constants!$F$2:$F$10,Constants!$A$2:$A$10=A3335)))"),"")</f>
        <v/>
      </c>
    </row>
    <row r="3336">
      <c r="A3336" s="89"/>
      <c r="B3336" s="87"/>
      <c r="C3336" s="73"/>
      <c r="D3336" s="73"/>
      <c r="E3336" s="82"/>
      <c r="F3336" s="82"/>
      <c r="G3336" s="86"/>
      <c r="H3336" s="86"/>
      <c r="I3336" s="86"/>
      <c r="J3336" s="82"/>
      <c r="K3336" s="82"/>
      <c r="L3336" s="82"/>
      <c r="M3336" s="82"/>
      <c r="N3336" s="82"/>
      <c r="O3336" s="82"/>
      <c r="P3336" s="82"/>
      <c r="Q3336" s="82"/>
      <c r="R3336" s="82"/>
      <c r="S3336" s="82"/>
      <c r="T3336" s="82"/>
      <c r="U3336" s="82"/>
      <c r="V3336" s="82"/>
      <c r="W3336" s="82"/>
      <c r="X3336" s="82"/>
      <c r="Y3336" s="82"/>
      <c r="Z3336" s="82"/>
      <c r="AA3336" s="82"/>
      <c r="AB3336" s="82"/>
      <c r="AC3336" s="82"/>
      <c r="AD3336" s="82"/>
      <c r="AE3336" s="82"/>
      <c r="AF3336" s="82"/>
      <c r="AG3336" s="82"/>
      <c r="AH3336" s="82"/>
      <c r="AI3336" s="82"/>
      <c r="AJ3336" s="82"/>
      <c r="AK3336" s="82"/>
      <c r="AL3336" s="82"/>
      <c r="AM3336" s="82"/>
      <c r="AN3336" s="82">
        <f>IFERROR(__xludf.DUMMYFUNCTION("""COMPUTED_VALUE"""),0.0)</f>
        <v>0</v>
      </c>
      <c r="AO3336" s="82">
        <f>IFERROR(__xludf.DUMMYFUNCTION("""COMPUTED_VALUE"""),0.0)</f>
        <v>0</v>
      </c>
      <c r="AP3336" s="82">
        <f>IFERROR(__xludf.DUMMYFUNCTION("""COMPUTED_VALUE"""),0.0)</f>
        <v>0</v>
      </c>
      <c r="AQ3336" s="82">
        <f>IFERROR(__xludf.DUMMYFUNCTION("""COMPUTED_VALUE"""),0.0)</f>
        <v>0</v>
      </c>
      <c r="AR3336" s="82">
        <f>IFERROR(__xludf.DUMMYFUNCTION("""COMPUTED_VALUE"""),0.0)</f>
        <v>0</v>
      </c>
      <c r="AS3336" s="82"/>
      <c r="AT3336" s="82">
        <f>IFERROR(__xludf.DUMMYFUNCTION("""COMPUTED_VALUE"""),0.0)</f>
        <v>0</v>
      </c>
      <c r="AU3336" s="82"/>
      <c r="AV3336" s="82"/>
      <c r="AW3336" s="82" t="str">
        <f t="shared" si="1"/>
        <v/>
      </c>
      <c r="AX3336" s="83" t="str">
        <f t="array" ref="AX3336">IFERROR(DGET('SBV Import'!A:G,"SBV",{"RSC ID","Tier";B3336,A3336}))</f>
        <v/>
      </c>
      <c r="AY3336" s="82" t="str">
        <f t="shared" si="2"/>
        <v/>
      </c>
      <c r="AZ3336" s="82"/>
      <c r="BA3336" s="84" t="s">
        <v>152</v>
      </c>
      <c r="BB3336" s="84" t="str">
        <f>IFERROR(__xludf.DUMMYFUNCTION("iferror(if(A3336="""",,E3336&gt;=FILTER(Constants!$F$2:$F$10,Constants!$A$2:$A$10=A3336)))"),"")</f>
        <v/>
      </c>
    </row>
    <row r="3337">
      <c r="A3337" s="89"/>
      <c r="B3337" s="87"/>
      <c r="C3337" s="73"/>
      <c r="D3337" s="73"/>
      <c r="E3337" s="82"/>
      <c r="F3337" s="82"/>
      <c r="G3337" s="86"/>
      <c r="H3337" s="86"/>
      <c r="I3337" s="86"/>
      <c r="J3337" s="82"/>
      <c r="K3337" s="82"/>
      <c r="L3337" s="82"/>
      <c r="M3337" s="82"/>
      <c r="N3337" s="82"/>
      <c r="O3337" s="82"/>
      <c r="P3337" s="82"/>
      <c r="Q3337" s="82"/>
      <c r="R3337" s="82"/>
      <c r="S3337" s="82"/>
      <c r="T3337" s="82"/>
      <c r="U3337" s="82"/>
      <c r="V3337" s="82"/>
      <c r="W3337" s="82"/>
      <c r="X3337" s="82"/>
      <c r="Y3337" s="82"/>
      <c r="Z3337" s="82"/>
      <c r="AA3337" s="82"/>
      <c r="AB3337" s="82"/>
      <c r="AC3337" s="82"/>
      <c r="AD3337" s="82"/>
      <c r="AE3337" s="82"/>
      <c r="AF3337" s="82"/>
      <c r="AG3337" s="82"/>
      <c r="AH3337" s="82"/>
      <c r="AI3337" s="82"/>
      <c r="AJ3337" s="82"/>
      <c r="AK3337" s="82"/>
      <c r="AL3337" s="82"/>
      <c r="AM3337" s="82"/>
      <c r="AN3337" s="82">
        <f>IFERROR(__xludf.DUMMYFUNCTION("""COMPUTED_VALUE"""),0.0)</f>
        <v>0</v>
      </c>
      <c r="AO3337" s="82">
        <f>IFERROR(__xludf.DUMMYFUNCTION("""COMPUTED_VALUE"""),0.0)</f>
        <v>0</v>
      </c>
      <c r="AP3337" s="82">
        <f>IFERROR(__xludf.DUMMYFUNCTION("""COMPUTED_VALUE"""),0.0)</f>
        <v>0</v>
      </c>
      <c r="AQ3337" s="82">
        <f>IFERROR(__xludf.DUMMYFUNCTION("""COMPUTED_VALUE"""),0.0)</f>
        <v>0</v>
      </c>
      <c r="AR3337" s="82">
        <f>IFERROR(__xludf.DUMMYFUNCTION("""COMPUTED_VALUE"""),0.0)</f>
        <v>0</v>
      </c>
      <c r="AS3337" s="82"/>
      <c r="AT3337" s="82">
        <f>IFERROR(__xludf.DUMMYFUNCTION("""COMPUTED_VALUE"""),0.0)</f>
        <v>0</v>
      </c>
      <c r="AU3337" s="82"/>
      <c r="AV3337" s="82"/>
      <c r="AW3337" s="82" t="str">
        <f t="shared" si="1"/>
        <v/>
      </c>
      <c r="AX3337" s="83" t="str">
        <f t="array" ref="AX3337">IFERROR(DGET('SBV Import'!A:G,"SBV",{"RSC ID","Tier";B3337,A3337}))</f>
        <v/>
      </c>
      <c r="AY3337" s="82" t="str">
        <f t="shared" si="2"/>
        <v/>
      </c>
      <c r="AZ3337" s="82"/>
      <c r="BA3337" s="84" t="s">
        <v>152</v>
      </c>
      <c r="BB3337" s="84" t="str">
        <f>IFERROR(__xludf.DUMMYFUNCTION("iferror(if(A3337="""",,E3337&gt;=FILTER(Constants!$F$2:$F$10,Constants!$A$2:$A$10=A3337)))"),"")</f>
        <v/>
      </c>
    </row>
    <row r="3338">
      <c r="A3338" s="89"/>
      <c r="B3338" s="87"/>
      <c r="C3338" s="73"/>
      <c r="D3338" s="73"/>
      <c r="E3338" s="82"/>
      <c r="F3338" s="82"/>
      <c r="G3338" s="86"/>
      <c r="H3338" s="86"/>
      <c r="I3338" s="86"/>
      <c r="J3338" s="82"/>
      <c r="K3338" s="82"/>
      <c r="L3338" s="82"/>
      <c r="M3338" s="82"/>
      <c r="N3338" s="82"/>
      <c r="O3338" s="82"/>
      <c r="P3338" s="82"/>
      <c r="Q3338" s="82"/>
      <c r="R3338" s="82"/>
      <c r="S3338" s="82"/>
      <c r="T3338" s="82"/>
      <c r="U3338" s="82"/>
      <c r="V3338" s="82"/>
      <c r="W3338" s="82"/>
      <c r="X3338" s="82"/>
      <c r="Y3338" s="82"/>
      <c r="Z3338" s="82"/>
      <c r="AA3338" s="82"/>
      <c r="AB3338" s="82"/>
      <c r="AC3338" s="82"/>
      <c r="AD3338" s="82"/>
      <c r="AE3338" s="82"/>
      <c r="AF3338" s="82"/>
      <c r="AG3338" s="82"/>
      <c r="AH3338" s="82"/>
      <c r="AI3338" s="82"/>
      <c r="AJ3338" s="82"/>
      <c r="AK3338" s="82"/>
      <c r="AL3338" s="82"/>
      <c r="AM3338" s="82"/>
      <c r="AN3338" s="82">
        <f>IFERROR(__xludf.DUMMYFUNCTION("""COMPUTED_VALUE"""),0.0)</f>
        <v>0</v>
      </c>
      <c r="AO3338" s="82">
        <f>IFERROR(__xludf.DUMMYFUNCTION("""COMPUTED_VALUE"""),0.0)</f>
        <v>0</v>
      </c>
      <c r="AP3338" s="82">
        <f>IFERROR(__xludf.DUMMYFUNCTION("""COMPUTED_VALUE"""),0.0)</f>
        <v>0</v>
      </c>
      <c r="AQ3338" s="82">
        <f>IFERROR(__xludf.DUMMYFUNCTION("""COMPUTED_VALUE"""),0.0)</f>
        <v>0</v>
      </c>
      <c r="AR3338" s="82">
        <f>IFERROR(__xludf.DUMMYFUNCTION("""COMPUTED_VALUE"""),0.0)</f>
        <v>0</v>
      </c>
      <c r="AS3338" s="82"/>
      <c r="AT3338" s="82">
        <f>IFERROR(__xludf.DUMMYFUNCTION("""COMPUTED_VALUE"""),0.0)</f>
        <v>0</v>
      </c>
      <c r="AU3338" s="82"/>
      <c r="AV3338" s="82"/>
      <c r="AW3338" s="82" t="str">
        <f t="shared" si="1"/>
        <v/>
      </c>
      <c r="AX3338" s="83" t="str">
        <f t="array" ref="AX3338">IFERROR(DGET('SBV Import'!A:G,"SBV",{"RSC ID","Tier";B3338,A3338}))</f>
        <v/>
      </c>
      <c r="AY3338" s="82" t="str">
        <f t="shared" si="2"/>
        <v/>
      </c>
      <c r="AZ3338" s="82"/>
      <c r="BA3338" s="84" t="s">
        <v>152</v>
      </c>
      <c r="BB3338" s="84" t="str">
        <f>IFERROR(__xludf.DUMMYFUNCTION("iferror(if(A3338="""",,E3338&gt;=FILTER(Constants!$F$2:$F$10,Constants!$A$2:$A$10=A3338)))"),"")</f>
        <v/>
      </c>
    </row>
    <row r="3339">
      <c r="A3339" s="89"/>
      <c r="B3339" s="87"/>
      <c r="C3339" s="73"/>
      <c r="D3339" s="73"/>
      <c r="E3339" s="82"/>
      <c r="F3339" s="82"/>
      <c r="G3339" s="86"/>
      <c r="H3339" s="86"/>
      <c r="I3339" s="86"/>
      <c r="J3339" s="82"/>
      <c r="K3339" s="82"/>
      <c r="L3339" s="82"/>
      <c r="M3339" s="82"/>
      <c r="N3339" s="82"/>
      <c r="O3339" s="82"/>
      <c r="P3339" s="82"/>
      <c r="Q3339" s="82"/>
      <c r="R3339" s="82"/>
      <c r="S3339" s="82"/>
      <c r="T3339" s="82"/>
      <c r="U3339" s="82"/>
      <c r="V3339" s="82"/>
      <c r="W3339" s="82"/>
      <c r="X3339" s="82"/>
      <c r="Y3339" s="82"/>
      <c r="Z3339" s="82"/>
      <c r="AA3339" s="82"/>
      <c r="AB3339" s="82"/>
      <c r="AC3339" s="82"/>
      <c r="AD3339" s="82"/>
      <c r="AE3339" s="82"/>
      <c r="AF3339" s="82"/>
      <c r="AG3339" s="82"/>
      <c r="AH3339" s="82"/>
      <c r="AI3339" s="82"/>
      <c r="AJ3339" s="82"/>
      <c r="AK3339" s="82"/>
      <c r="AL3339" s="82"/>
      <c r="AM3339" s="82"/>
      <c r="AN3339" s="82">
        <f>IFERROR(__xludf.DUMMYFUNCTION("""COMPUTED_VALUE"""),0.0)</f>
        <v>0</v>
      </c>
      <c r="AO3339" s="82">
        <f>IFERROR(__xludf.DUMMYFUNCTION("""COMPUTED_VALUE"""),0.0)</f>
        <v>0</v>
      </c>
      <c r="AP3339" s="82">
        <f>IFERROR(__xludf.DUMMYFUNCTION("""COMPUTED_VALUE"""),0.0)</f>
        <v>0</v>
      </c>
      <c r="AQ3339" s="82">
        <f>IFERROR(__xludf.DUMMYFUNCTION("""COMPUTED_VALUE"""),0.0)</f>
        <v>0</v>
      </c>
      <c r="AR3339" s="82">
        <f>IFERROR(__xludf.DUMMYFUNCTION("""COMPUTED_VALUE"""),0.0)</f>
        <v>0</v>
      </c>
      <c r="AS3339" s="82"/>
      <c r="AT3339" s="82">
        <f>IFERROR(__xludf.DUMMYFUNCTION("""COMPUTED_VALUE"""),0.0)</f>
        <v>0</v>
      </c>
      <c r="AU3339" s="82"/>
      <c r="AV3339" s="82"/>
      <c r="AW3339" s="82" t="str">
        <f t="shared" si="1"/>
        <v/>
      </c>
      <c r="AX3339" s="83" t="str">
        <f t="array" ref="AX3339">IFERROR(DGET('SBV Import'!A:G,"SBV",{"RSC ID","Tier";B3339,A3339}))</f>
        <v/>
      </c>
      <c r="AY3339" s="82" t="str">
        <f t="shared" si="2"/>
        <v/>
      </c>
      <c r="AZ3339" s="82"/>
      <c r="BA3339" s="84" t="s">
        <v>152</v>
      </c>
      <c r="BB3339" s="84" t="str">
        <f>IFERROR(__xludf.DUMMYFUNCTION("iferror(if(A3339="""",,E3339&gt;=FILTER(Constants!$F$2:$F$10,Constants!$A$2:$A$10=A3339)))"),"")</f>
        <v/>
      </c>
    </row>
    <row r="3340">
      <c r="A3340" s="89"/>
      <c r="B3340" s="87"/>
      <c r="C3340" s="73"/>
      <c r="D3340" s="73"/>
      <c r="E3340" s="82"/>
      <c r="F3340" s="82"/>
      <c r="G3340" s="86"/>
      <c r="H3340" s="86"/>
      <c r="I3340" s="86"/>
      <c r="J3340" s="82"/>
      <c r="K3340" s="82"/>
      <c r="L3340" s="82"/>
      <c r="M3340" s="82"/>
      <c r="N3340" s="82"/>
      <c r="O3340" s="82"/>
      <c r="P3340" s="82"/>
      <c r="Q3340" s="82"/>
      <c r="R3340" s="82"/>
      <c r="S3340" s="82"/>
      <c r="T3340" s="82"/>
      <c r="U3340" s="82"/>
      <c r="V3340" s="82"/>
      <c r="W3340" s="82"/>
      <c r="X3340" s="82"/>
      <c r="Y3340" s="82"/>
      <c r="Z3340" s="82"/>
      <c r="AA3340" s="82"/>
      <c r="AB3340" s="82"/>
      <c r="AC3340" s="82"/>
      <c r="AD3340" s="82"/>
      <c r="AE3340" s="82"/>
      <c r="AF3340" s="82"/>
      <c r="AG3340" s="82"/>
      <c r="AH3340" s="82"/>
      <c r="AI3340" s="82"/>
      <c r="AJ3340" s="82"/>
      <c r="AK3340" s="82"/>
      <c r="AL3340" s="82"/>
      <c r="AM3340" s="82"/>
      <c r="AN3340" s="82">
        <f>IFERROR(__xludf.DUMMYFUNCTION("""COMPUTED_VALUE"""),0.0)</f>
        <v>0</v>
      </c>
      <c r="AO3340" s="82">
        <f>IFERROR(__xludf.DUMMYFUNCTION("""COMPUTED_VALUE"""),0.0)</f>
        <v>0</v>
      </c>
      <c r="AP3340" s="82">
        <f>IFERROR(__xludf.DUMMYFUNCTION("""COMPUTED_VALUE"""),0.0)</f>
        <v>0</v>
      </c>
      <c r="AQ3340" s="82">
        <f>IFERROR(__xludf.DUMMYFUNCTION("""COMPUTED_VALUE"""),0.0)</f>
        <v>0</v>
      </c>
      <c r="AR3340" s="82">
        <f>IFERROR(__xludf.DUMMYFUNCTION("""COMPUTED_VALUE"""),0.0)</f>
        <v>0</v>
      </c>
      <c r="AS3340" s="82"/>
      <c r="AT3340" s="82">
        <f>IFERROR(__xludf.DUMMYFUNCTION("""COMPUTED_VALUE"""),0.0)</f>
        <v>0</v>
      </c>
      <c r="AU3340" s="82"/>
      <c r="AV3340" s="82"/>
      <c r="AW3340" s="82" t="str">
        <f t="shared" si="1"/>
        <v/>
      </c>
      <c r="AX3340" s="83" t="str">
        <f t="array" ref="AX3340">IFERROR(DGET('SBV Import'!A:G,"SBV",{"RSC ID","Tier";B3340,A3340}))</f>
        <v/>
      </c>
      <c r="AY3340" s="82" t="str">
        <f t="shared" si="2"/>
        <v/>
      </c>
      <c r="AZ3340" s="82"/>
      <c r="BA3340" s="84" t="s">
        <v>152</v>
      </c>
      <c r="BB3340" s="84" t="str">
        <f>IFERROR(__xludf.DUMMYFUNCTION("iferror(if(A3340="""",,E3340&gt;=FILTER(Constants!$F$2:$F$10,Constants!$A$2:$A$10=A3340)))"),"")</f>
        <v/>
      </c>
    </row>
    <row r="3341">
      <c r="A3341" s="89"/>
      <c r="B3341" s="87"/>
      <c r="C3341" s="73"/>
      <c r="D3341" s="73"/>
      <c r="E3341" s="82"/>
      <c r="F3341" s="82"/>
      <c r="G3341" s="86"/>
      <c r="H3341" s="86"/>
      <c r="I3341" s="86"/>
      <c r="J3341" s="82"/>
      <c r="K3341" s="82"/>
      <c r="L3341" s="82"/>
      <c r="M3341" s="82"/>
      <c r="N3341" s="82"/>
      <c r="O3341" s="82"/>
      <c r="P3341" s="82"/>
      <c r="Q3341" s="82"/>
      <c r="R3341" s="82"/>
      <c r="S3341" s="82"/>
      <c r="T3341" s="82"/>
      <c r="U3341" s="82"/>
      <c r="V3341" s="82"/>
      <c r="W3341" s="82"/>
      <c r="X3341" s="82"/>
      <c r="Y3341" s="82"/>
      <c r="Z3341" s="82"/>
      <c r="AA3341" s="82"/>
      <c r="AB3341" s="82"/>
      <c r="AC3341" s="82"/>
      <c r="AD3341" s="82"/>
      <c r="AE3341" s="82"/>
      <c r="AF3341" s="82"/>
      <c r="AG3341" s="82"/>
      <c r="AH3341" s="82"/>
      <c r="AI3341" s="82"/>
      <c r="AJ3341" s="82"/>
      <c r="AK3341" s="82"/>
      <c r="AL3341" s="82"/>
      <c r="AM3341" s="82"/>
      <c r="AN3341" s="82">
        <f>IFERROR(__xludf.DUMMYFUNCTION("""COMPUTED_VALUE"""),0.0)</f>
        <v>0</v>
      </c>
      <c r="AO3341" s="82">
        <f>IFERROR(__xludf.DUMMYFUNCTION("""COMPUTED_VALUE"""),0.0)</f>
        <v>0</v>
      </c>
      <c r="AP3341" s="82">
        <f>IFERROR(__xludf.DUMMYFUNCTION("""COMPUTED_VALUE"""),0.0)</f>
        <v>0</v>
      </c>
      <c r="AQ3341" s="82">
        <f>IFERROR(__xludf.DUMMYFUNCTION("""COMPUTED_VALUE"""),0.0)</f>
        <v>0</v>
      </c>
      <c r="AR3341" s="82">
        <f>IFERROR(__xludf.DUMMYFUNCTION("""COMPUTED_VALUE"""),0.0)</f>
        <v>0</v>
      </c>
      <c r="AS3341" s="82"/>
      <c r="AT3341" s="82">
        <f>IFERROR(__xludf.DUMMYFUNCTION("""COMPUTED_VALUE"""),0.0)</f>
        <v>0</v>
      </c>
      <c r="AU3341" s="82"/>
      <c r="AV3341" s="82"/>
      <c r="AW3341" s="82" t="str">
        <f t="shared" si="1"/>
        <v/>
      </c>
      <c r="AX3341" s="83" t="str">
        <f t="array" ref="AX3341">IFERROR(DGET('SBV Import'!A:G,"SBV",{"RSC ID","Tier";B3341,A3341}))</f>
        <v/>
      </c>
      <c r="AY3341" s="82" t="str">
        <f t="shared" si="2"/>
        <v/>
      </c>
      <c r="AZ3341" s="82"/>
      <c r="BA3341" s="84" t="s">
        <v>152</v>
      </c>
      <c r="BB3341" s="84" t="str">
        <f>IFERROR(__xludf.DUMMYFUNCTION("iferror(if(A3341="""",,E3341&gt;=FILTER(Constants!$F$2:$F$10,Constants!$A$2:$A$10=A3341)))"),"")</f>
        <v/>
      </c>
    </row>
    <row r="3342">
      <c r="A3342" s="89"/>
      <c r="B3342" s="87"/>
      <c r="C3342" s="73"/>
      <c r="D3342" s="73"/>
      <c r="E3342" s="82"/>
      <c r="F3342" s="82"/>
      <c r="G3342" s="86"/>
      <c r="H3342" s="86"/>
      <c r="I3342" s="86"/>
      <c r="J3342" s="82"/>
      <c r="K3342" s="82"/>
      <c r="L3342" s="82"/>
      <c r="M3342" s="82"/>
      <c r="N3342" s="82"/>
      <c r="O3342" s="82"/>
      <c r="P3342" s="82"/>
      <c r="Q3342" s="82"/>
      <c r="R3342" s="82"/>
      <c r="S3342" s="82"/>
      <c r="T3342" s="82"/>
      <c r="U3342" s="82"/>
      <c r="V3342" s="82"/>
      <c r="W3342" s="82"/>
      <c r="X3342" s="82"/>
      <c r="Y3342" s="82"/>
      <c r="Z3342" s="82"/>
      <c r="AA3342" s="82"/>
      <c r="AB3342" s="82"/>
      <c r="AC3342" s="82"/>
      <c r="AD3342" s="82"/>
      <c r="AE3342" s="82"/>
      <c r="AF3342" s="82"/>
      <c r="AG3342" s="82"/>
      <c r="AH3342" s="82"/>
      <c r="AI3342" s="82"/>
      <c r="AJ3342" s="82"/>
      <c r="AK3342" s="82"/>
      <c r="AL3342" s="82"/>
      <c r="AM3342" s="82"/>
      <c r="AN3342" s="82">
        <f>IFERROR(__xludf.DUMMYFUNCTION("""COMPUTED_VALUE"""),0.0)</f>
        <v>0</v>
      </c>
      <c r="AO3342" s="82">
        <f>IFERROR(__xludf.DUMMYFUNCTION("""COMPUTED_VALUE"""),0.0)</f>
        <v>0</v>
      </c>
      <c r="AP3342" s="82">
        <f>IFERROR(__xludf.DUMMYFUNCTION("""COMPUTED_VALUE"""),0.0)</f>
        <v>0</v>
      </c>
      <c r="AQ3342" s="82">
        <f>IFERROR(__xludf.DUMMYFUNCTION("""COMPUTED_VALUE"""),0.0)</f>
        <v>0</v>
      </c>
      <c r="AR3342" s="82">
        <f>IFERROR(__xludf.DUMMYFUNCTION("""COMPUTED_VALUE"""),0.0)</f>
        <v>0</v>
      </c>
      <c r="AS3342" s="82"/>
      <c r="AT3342" s="82">
        <f>IFERROR(__xludf.DUMMYFUNCTION("""COMPUTED_VALUE"""),0.0)</f>
        <v>0</v>
      </c>
      <c r="AU3342" s="82"/>
      <c r="AV3342" s="82"/>
      <c r="AW3342" s="82" t="str">
        <f t="shared" si="1"/>
        <v/>
      </c>
      <c r="AX3342" s="83" t="str">
        <f t="array" ref="AX3342">IFERROR(DGET('SBV Import'!A:G,"SBV",{"RSC ID","Tier";B3342,A3342}))</f>
        <v/>
      </c>
      <c r="AY3342" s="82" t="str">
        <f t="shared" si="2"/>
        <v/>
      </c>
      <c r="AZ3342" s="82"/>
      <c r="BA3342" s="84" t="s">
        <v>152</v>
      </c>
      <c r="BB3342" s="84" t="str">
        <f>IFERROR(__xludf.DUMMYFUNCTION("iferror(if(A3342="""",,E3342&gt;=FILTER(Constants!$F$2:$F$10,Constants!$A$2:$A$10=A3342)))"),"")</f>
        <v/>
      </c>
    </row>
    <row r="3343">
      <c r="A3343" s="89"/>
      <c r="B3343" s="87"/>
      <c r="C3343" s="73"/>
      <c r="D3343" s="73"/>
      <c r="E3343" s="82"/>
      <c r="F3343" s="82"/>
      <c r="G3343" s="86"/>
      <c r="H3343" s="86"/>
      <c r="I3343" s="86"/>
      <c r="J3343" s="82"/>
      <c r="K3343" s="82"/>
      <c r="L3343" s="82"/>
      <c r="M3343" s="82"/>
      <c r="N3343" s="82"/>
      <c r="O3343" s="82"/>
      <c r="P3343" s="82"/>
      <c r="Q3343" s="82"/>
      <c r="R3343" s="82"/>
      <c r="S3343" s="82"/>
      <c r="T3343" s="82"/>
      <c r="U3343" s="82"/>
      <c r="V3343" s="82"/>
      <c r="W3343" s="82"/>
      <c r="X3343" s="82"/>
      <c r="Y3343" s="82"/>
      <c r="Z3343" s="82"/>
      <c r="AA3343" s="82"/>
      <c r="AB3343" s="82"/>
      <c r="AC3343" s="82"/>
      <c r="AD3343" s="82"/>
      <c r="AE3343" s="82"/>
      <c r="AF3343" s="82"/>
      <c r="AG3343" s="82"/>
      <c r="AH3343" s="82"/>
      <c r="AI3343" s="82"/>
      <c r="AJ3343" s="82"/>
      <c r="AK3343" s="82"/>
      <c r="AL3343" s="82"/>
      <c r="AM3343" s="82"/>
      <c r="AN3343" s="82">
        <f>IFERROR(__xludf.DUMMYFUNCTION("""COMPUTED_VALUE"""),0.0)</f>
        <v>0</v>
      </c>
      <c r="AO3343" s="82">
        <f>IFERROR(__xludf.DUMMYFUNCTION("""COMPUTED_VALUE"""),0.0)</f>
        <v>0</v>
      </c>
      <c r="AP3343" s="82">
        <f>IFERROR(__xludf.DUMMYFUNCTION("""COMPUTED_VALUE"""),0.0)</f>
        <v>0</v>
      </c>
      <c r="AQ3343" s="82">
        <f>IFERROR(__xludf.DUMMYFUNCTION("""COMPUTED_VALUE"""),0.0)</f>
        <v>0</v>
      </c>
      <c r="AR3343" s="82">
        <f>IFERROR(__xludf.DUMMYFUNCTION("""COMPUTED_VALUE"""),0.0)</f>
        <v>0</v>
      </c>
      <c r="AS3343" s="82"/>
      <c r="AT3343" s="82">
        <f>IFERROR(__xludf.DUMMYFUNCTION("""COMPUTED_VALUE"""),0.0)</f>
        <v>0</v>
      </c>
      <c r="AU3343" s="82"/>
      <c r="AV3343" s="82"/>
      <c r="AW3343" s="82" t="str">
        <f t="shared" si="1"/>
        <v/>
      </c>
      <c r="AX3343" s="83" t="str">
        <f t="array" ref="AX3343">IFERROR(DGET('SBV Import'!A:G,"SBV",{"RSC ID","Tier";B3343,A3343}))</f>
        <v/>
      </c>
      <c r="AY3343" s="82" t="str">
        <f t="shared" si="2"/>
        <v/>
      </c>
      <c r="AZ3343" s="82"/>
      <c r="BA3343" s="84" t="s">
        <v>152</v>
      </c>
      <c r="BB3343" s="84" t="str">
        <f>IFERROR(__xludf.DUMMYFUNCTION("iferror(if(A3343="""",,E3343&gt;=FILTER(Constants!$F$2:$F$10,Constants!$A$2:$A$10=A3343)))"),"")</f>
        <v/>
      </c>
    </row>
    <row r="3344">
      <c r="A3344" s="89"/>
      <c r="B3344" s="87"/>
      <c r="C3344" s="73"/>
      <c r="D3344" s="73"/>
      <c r="E3344" s="82"/>
      <c r="F3344" s="82"/>
      <c r="G3344" s="86"/>
      <c r="H3344" s="86"/>
      <c r="I3344" s="86"/>
      <c r="J3344" s="82"/>
      <c r="K3344" s="82"/>
      <c r="L3344" s="82"/>
      <c r="M3344" s="82"/>
      <c r="N3344" s="82"/>
      <c r="O3344" s="82"/>
      <c r="P3344" s="82"/>
      <c r="Q3344" s="82"/>
      <c r="R3344" s="82"/>
      <c r="S3344" s="82"/>
      <c r="T3344" s="82"/>
      <c r="U3344" s="82"/>
      <c r="V3344" s="82"/>
      <c r="W3344" s="82"/>
      <c r="X3344" s="82"/>
      <c r="Y3344" s="82"/>
      <c r="Z3344" s="82"/>
      <c r="AA3344" s="82"/>
      <c r="AB3344" s="82"/>
      <c r="AC3344" s="82"/>
      <c r="AD3344" s="82"/>
      <c r="AE3344" s="82"/>
      <c r="AF3344" s="82"/>
      <c r="AG3344" s="82"/>
      <c r="AH3344" s="82"/>
      <c r="AI3344" s="82"/>
      <c r="AJ3344" s="82"/>
      <c r="AK3344" s="82"/>
      <c r="AL3344" s="82"/>
      <c r="AM3344" s="82"/>
      <c r="AN3344" s="82">
        <f>IFERROR(__xludf.DUMMYFUNCTION("""COMPUTED_VALUE"""),0.0)</f>
        <v>0</v>
      </c>
      <c r="AO3344" s="82">
        <f>IFERROR(__xludf.DUMMYFUNCTION("""COMPUTED_VALUE"""),0.0)</f>
        <v>0</v>
      </c>
      <c r="AP3344" s="82">
        <f>IFERROR(__xludf.DUMMYFUNCTION("""COMPUTED_VALUE"""),0.0)</f>
        <v>0</v>
      </c>
      <c r="AQ3344" s="82">
        <f>IFERROR(__xludf.DUMMYFUNCTION("""COMPUTED_VALUE"""),0.0)</f>
        <v>0</v>
      </c>
      <c r="AR3344" s="82">
        <f>IFERROR(__xludf.DUMMYFUNCTION("""COMPUTED_VALUE"""),0.0)</f>
        <v>0</v>
      </c>
      <c r="AS3344" s="82"/>
      <c r="AT3344" s="82">
        <f>IFERROR(__xludf.DUMMYFUNCTION("""COMPUTED_VALUE"""),0.0)</f>
        <v>0</v>
      </c>
      <c r="AU3344" s="82"/>
      <c r="AV3344" s="82"/>
      <c r="AW3344" s="82" t="str">
        <f t="shared" si="1"/>
        <v/>
      </c>
      <c r="AX3344" s="83" t="str">
        <f t="array" ref="AX3344">IFERROR(DGET('SBV Import'!A:G,"SBV",{"RSC ID","Tier";B3344,A3344}))</f>
        <v/>
      </c>
      <c r="AY3344" s="82" t="str">
        <f t="shared" si="2"/>
        <v/>
      </c>
      <c r="AZ3344" s="82"/>
      <c r="BA3344" s="84" t="s">
        <v>152</v>
      </c>
      <c r="BB3344" s="84" t="str">
        <f>IFERROR(__xludf.DUMMYFUNCTION("iferror(if(A3344="""",,E3344&gt;=FILTER(Constants!$F$2:$F$10,Constants!$A$2:$A$10=A3344)))"),"")</f>
        <v/>
      </c>
    </row>
    <row r="3345">
      <c r="A3345" s="89"/>
      <c r="B3345" s="87"/>
      <c r="C3345" s="73"/>
      <c r="D3345" s="73"/>
      <c r="E3345" s="82"/>
      <c r="F3345" s="82"/>
      <c r="G3345" s="86"/>
      <c r="H3345" s="86"/>
      <c r="I3345" s="86"/>
      <c r="J3345" s="82"/>
      <c r="K3345" s="82"/>
      <c r="L3345" s="82"/>
      <c r="M3345" s="82"/>
      <c r="N3345" s="82"/>
      <c r="O3345" s="82"/>
      <c r="P3345" s="82"/>
      <c r="Q3345" s="82"/>
      <c r="R3345" s="82"/>
      <c r="S3345" s="82"/>
      <c r="T3345" s="82"/>
      <c r="U3345" s="82"/>
      <c r="V3345" s="82"/>
      <c r="W3345" s="82"/>
      <c r="X3345" s="82"/>
      <c r="Y3345" s="82"/>
      <c r="Z3345" s="82"/>
      <c r="AA3345" s="82"/>
      <c r="AB3345" s="82"/>
      <c r="AC3345" s="82"/>
      <c r="AD3345" s="82"/>
      <c r="AE3345" s="82"/>
      <c r="AF3345" s="82"/>
      <c r="AG3345" s="82"/>
      <c r="AH3345" s="82"/>
      <c r="AI3345" s="82"/>
      <c r="AJ3345" s="82"/>
      <c r="AK3345" s="82"/>
      <c r="AL3345" s="82"/>
      <c r="AM3345" s="82"/>
      <c r="AN3345" s="82">
        <f>IFERROR(__xludf.DUMMYFUNCTION("""COMPUTED_VALUE"""),0.0)</f>
        <v>0</v>
      </c>
      <c r="AO3345" s="82">
        <f>IFERROR(__xludf.DUMMYFUNCTION("""COMPUTED_VALUE"""),0.0)</f>
        <v>0</v>
      </c>
      <c r="AP3345" s="82">
        <f>IFERROR(__xludf.DUMMYFUNCTION("""COMPUTED_VALUE"""),0.0)</f>
        <v>0</v>
      </c>
      <c r="AQ3345" s="82">
        <f>IFERROR(__xludf.DUMMYFUNCTION("""COMPUTED_VALUE"""),0.0)</f>
        <v>0</v>
      </c>
      <c r="AR3345" s="82">
        <f>IFERROR(__xludf.DUMMYFUNCTION("""COMPUTED_VALUE"""),0.0)</f>
        <v>0</v>
      </c>
      <c r="AS3345" s="82"/>
      <c r="AT3345" s="82">
        <f>IFERROR(__xludf.DUMMYFUNCTION("""COMPUTED_VALUE"""),0.0)</f>
        <v>0</v>
      </c>
      <c r="AU3345" s="82"/>
      <c r="AV3345" s="82"/>
      <c r="AW3345" s="82" t="str">
        <f t="shared" si="1"/>
        <v/>
      </c>
      <c r="AX3345" s="83" t="str">
        <f t="array" ref="AX3345">IFERROR(DGET('SBV Import'!A:G,"SBV",{"RSC ID","Tier";B3345,A3345}))</f>
        <v/>
      </c>
      <c r="AY3345" s="82" t="str">
        <f t="shared" si="2"/>
        <v/>
      </c>
      <c r="AZ3345" s="82"/>
      <c r="BA3345" s="84" t="s">
        <v>152</v>
      </c>
      <c r="BB3345" s="84" t="str">
        <f>IFERROR(__xludf.DUMMYFUNCTION("iferror(if(A3345="""",,E3345&gt;=FILTER(Constants!$F$2:$F$10,Constants!$A$2:$A$10=A3345)))"),"")</f>
        <v/>
      </c>
    </row>
    <row r="3346">
      <c r="A3346" s="89"/>
      <c r="B3346" s="87"/>
      <c r="C3346" s="73"/>
      <c r="D3346" s="73"/>
      <c r="E3346" s="82"/>
      <c r="F3346" s="82"/>
      <c r="G3346" s="86"/>
      <c r="H3346" s="86"/>
      <c r="I3346" s="86"/>
      <c r="J3346" s="82"/>
      <c r="K3346" s="82"/>
      <c r="L3346" s="82"/>
      <c r="M3346" s="82"/>
      <c r="N3346" s="82"/>
      <c r="O3346" s="82"/>
      <c r="P3346" s="82"/>
      <c r="Q3346" s="82"/>
      <c r="R3346" s="82"/>
      <c r="S3346" s="82"/>
      <c r="T3346" s="82"/>
      <c r="U3346" s="82"/>
      <c r="V3346" s="82"/>
      <c r="W3346" s="82"/>
      <c r="X3346" s="82"/>
      <c r="Y3346" s="82"/>
      <c r="Z3346" s="82"/>
      <c r="AA3346" s="82"/>
      <c r="AB3346" s="82"/>
      <c r="AC3346" s="82"/>
      <c r="AD3346" s="82"/>
      <c r="AE3346" s="82"/>
      <c r="AF3346" s="82"/>
      <c r="AG3346" s="82"/>
      <c r="AH3346" s="82"/>
      <c r="AI3346" s="82"/>
      <c r="AJ3346" s="82"/>
      <c r="AK3346" s="82"/>
      <c r="AL3346" s="82"/>
      <c r="AM3346" s="82"/>
      <c r="AN3346" s="82">
        <f>IFERROR(__xludf.DUMMYFUNCTION("""COMPUTED_VALUE"""),0.0)</f>
        <v>0</v>
      </c>
      <c r="AO3346" s="82">
        <f>IFERROR(__xludf.DUMMYFUNCTION("""COMPUTED_VALUE"""),0.0)</f>
        <v>0</v>
      </c>
      <c r="AP3346" s="82">
        <f>IFERROR(__xludf.DUMMYFUNCTION("""COMPUTED_VALUE"""),0.0)</f>
        <v>0</v>
      </c>
      <c r="AQ3346" s="82">
        <f>IFERROR(__xludf.DUMMYFUNCTION("""COMPUTED_VALUE"""),0.0)</f>
        <v>0</v>
      </c>
      <c r="AR3346" s="82">
        <f>IFERROR(__xludf.DUMMYFUNCTION("""COMPUTED_VALUE"""),0.0)</f>
        <v>0</v>
      </c>
      <c r="AS3346" s="82"/>
      <c r="AT3346" s="82">
        <f>IFERROR(__xludf.DUMMYFUNCTION("""COMPUTED_VALUE"""),0.0)</f>
        <v>0</v>
      </c>
      <c r="AU3346" s="82"/>
      <c r="AV3346" s="82"/>
      <c r="AW3346" s="82" t="str">
        <f t="shared" si="1"/>
        <v/>
      </c>
      <c r="AX3346" s="83" t="str">
        <f t="array" ref="AX3346">IFERROR(DGET('SBV Import'!A:G,"SBV",{"RSC ID","Tier";B3346,A3346}))</f>
        <v/>
      </c>
      <c r="AY3346" s="82" t="str">
        <f t="shared" si="2"/>
        <v/>
      </c>
      <c r="AZ3346" s="82"/>
      <c r="BA3346" s="84" t="s">
        <v>152</v>
      </c>
      <c r="BB3346" s="84" t="str">
        <f>IFERROR(__xludf.DUMMYFUNCTION("iferror(if(A3346="""",,E3346&gt;=FILTER(Constants!$F$2:$F$10,Constants!$A$2:$A$10=A3346)))"),"")</f>
        <v/>
      </c>
    </row>
    <row r="3347">
      <c r="A3347" s="89"/>
      <c r="B3347" s="87"/>
      <c r="C3347" s="73"/>
      <c r="D3347" s="73"/>
      <c r="E3347" s="82"/>
      <c r="F3347" s="82"/>
      <c r="G3347" s="86"/>
      <c r="H3347" s="86"/>
      <c r="I3347" s="86"/>
      <c r="J3347" s="82"/>
      <c r="K3347" s="82"/>
      <c r="L3347" s="82"/>
      <c r="M3347" s="82"/>
      <c r="N3347" s="82"/>
      <c r="O3347" s="82"/>
      <c r="P3347" s="82"/>
      <c r="Q3347" s="82"/>
      <c r="R3347" s="82"/>
      <c r="S3347" s="82"/>
      <c r="T3347" s="82"/>
      <c r="U3347" s="82"/>
      <c r="V3347" s="82"/>
      <c r="W3347" s="82"/>
      <c r="X3347" s="82"/>
      <c r="Y3347" s="82"/>
      <c r="Z3347" s="82"/>
      <c r="AA3347" s="82"/>
      <c r="AB3347" s="82"/>
      <c r="AC3347" s="82"/>
      <c r="AD3347" s="82"/>
      <c r="AE3347" s="82"/>
      <c r="AF3347" s="82"/>
      <c r="AG3347" s="82"/>
      <c r="AH3347" s="82"/>
      <c r="AI3347" s="82"/>
      <c r="AJ3347" s="82"/>
      <c r="AK3347" s="82"/>
      <c r="AL3347" s="82"/>
      <c r="AM3347" s="82"/>
      <c r="AN3347" s="82">
        <f>IFERROR(__xludf.DUMMYFUNCTION("""COMPUTED_VALUE"""),0.0)</f>
        <v>0</v>
      </c>
      <c r="AO3347" s="82">
        <f>IFERROR(__xludf.DUMMYFUNCTION("""COMPUTED_VALUE"""),0.0)</f>
        <v>0</v>
      </c>
      <c r="AP3347" s="82">
        <f>IFERROR(__xludf.DUMMYFUNCTION("""COMPUTED_VALUE"""),0.0)</f>
        <v>0</v>
      </c>
      <c r="AQ3347" s="82">
        <f>IFERROR(__xludf.DUMMYFUNCTION("""COMPUTED_VALUE"""),0.0)</f>
        <v>0</v>
      </c>
      <c r="AR3347" s="82">
        <f>IFERROR(__xludf.DUMMYFUNCTION("""COMPUTED_VALUE"""),0.0)</f>
        <v>0</v>
      </c>
      <c r="AS3347" s="82"/>
      <c r="AT3347" s="82">
        <f>IFERROR(__xludf.DUMMYFUNCTION("""COMPUTED_VALUE"""),0.0)</f>
        <v>0</v>
      </c>
      <c r="AU3347" s="82"/>
      <c r="AV3347" s="82"/>
      <c r="AW3347" s="82" t="str">
        <f t="shared" si="1"/>
        <v/>
      </c>
      <c r="AX3347" s="83" t="str">
        <f t="array" ref="AX3347">IFERROR(DGET('SBV Import'!A:G,"SBV",{"RSC ID","Tier";B3347,A3347}))</f>
        <v/>
      </c>
      <c r="AY3347" s="82" t="str">
        <f t="shared" si="2"/>
        <v/>
      </c>
      <c r="AZ3347" s="82"/>
      <c r="BA3347" s="84" t="s">
        <v>152</v>
      </c>
      <c r="BB3347" s="84" t="str">
        <f>IFERROR(__xludf.DUMMYFUNCTION("iferror(if(A3347="""",,E3347&gt;=FILTER(Constants!$F$2:$F$10,Constants!$A$2:$A$10=A3347)))"),"")</f>
        <v/>
      </c>
    </row>
    <row r="3348">
      <c r="A3348" s="89"/>
      <c r="B3348" s="87"/>
      <c r="C3348" s="73"/>
      <c r="D3348" s="73"/>
      <c r="E3348" s="82"/>
      <c r="F3348" s="82"/>
      <c r="G3348" s="86"/>
      <c r="H3348" s="86"/>
      <c r="I3348" s="86"/>
      <c r="J3348" s="82"/>
      <c r="K3348" s="82"/>
      <c r="L3348" s="82"/>
      <c r="M3348" s="82"/>
      <c r="N3348" s="82"/>
      <c r="O3348" s="82"/>
      <c r="P3348" s="82"/>
      <c r="Q3348" s="82"/>
      <c r="R3348" s="82"/>
      <c r="S3348" s="82"/>
      <c r="T3348" s="82"/>
      <c r="U3348" s="82"/>
      <c r="V3348" s="82"/>
      <c r="W3348" s="82"/>
      <c r="X3348" s="82"/>
      <c r="Y3348" s="82"/>
      <c r="Z3348" s="82"/>
      <c r="AA3348" s="82"/>
      <c r="AB3348" s="82"/>
      <c r="AC3348" s="82"/>
      <c r="AD3348" s="82"/>
      <c r="AE3348" s="82"/>
      <c r="AF3348" s="82"/>
      <c r="AG3348" s="82"/>
      <c r="AH3348" s="82"/>
      <c r="AI3348" s="82"/>
      <c r="AJ3348" s="82"/>
      <c r="AK3348" s="82"/>
      <c r="AL3348" s="82"/>
      <c r="AM3348" s="82"/>
      <c r="AN3348" s="82">
        <f>IFERROR(__xludf.DUMMYFUNCTION("""COMPUTED_VALUE"""),0.0)</f>
        <v>0</v>
      </c>
      <c r="AO3348" s="82">
        <f>IFERROR(__xludf.DUMMYFUNCTION("""COMPUTED_VALUE"""),0.0)</f>
        <v>0</v>
      </c>
      <c r="AP3348" s="82">
        <f>IFERROR(__xludf.DUMMYFUNCTION("""COMPUTED_VALUE"""),0.0)</f>
        <v>0</v>
      </c>
      <c r="AQ3348" s="82">
        <f>IFERROR(__xludf.DUMMYFUNCTION("""COMPUTED_VALUE"""),0.0)</f>
        <v>0</v>
      </c>
      <c r="AR3348" s="82">
        <f>IFERROR(__xludf.DUMMYFUNCTION("""COMPUTED_VALUE"""),0.0)</f>
        <v>0</v>
      </c>
      <c r="AS3348" s="82"/>
      <c r="AT3348" s="82">
        <f>IFERROR(__xludf.DUMMYFUNCTION("""COMPUTED_VALUE"""),0.0)</f>
        <v>0</v>
      </c>
      <c r="AU3348" s="82"/>
      <c r="AV3348" s="82"/>
      <c r="AW3348" s="82" t="str">
        <f t="shared" si="1"/>
        <v/>
      </c>
      <c r="AX3348" s="83" t="str">
        <f t="array" ref="AX3348">IFERROR(DGET('SBV Import'!A:G,"SBV",{"RSC ID","Tier";B3348,A3348}))</f>
        <v/>
      </c>
      <c r="AY3348" s="82" t="str">
        <f t="shared" si="2"/>
        <v/>
      </c>
      <c r="AZ3348" s="82"/>
      <c r="BA3348" s="84" t="s">
        <v>152</v>
      </c>
      <c r="BB3348" s="84" t="str">
        <f>IFERROR(__xludf.DUMMYFUNCTION("iferror(if(A3348="""",,E3348&gt;=FILTER(Constants!$F$2:$F$10,Constants!$A$2:$A$10=A3348)))"),"")</f>
        <v/>
      </c>
    </row>
    <row r="3349">
      <c r="A3349" s="89"/>
      <c r="B3349" s="87"/>
      <c r="C3349" s="73"/>
      <c r="D3349" s="73"/>
      <c r="E3349" s="82"/>
      <c r="F3349" s="82"/>
      <c r="G3349" s="86"/>
      <c r="H3349" s="86"/>
      <c r="I3349" s="86"/>
      <c r="J3349" s="82"/>
      <c r="K3349" s="82"/>
      <c r="L3349" s="82"/>
      <c r="M3349" s="82"/>
      <c r="N3349" s="82"/>
      <c r="O3349" s="82"/>
      <c r="P3349" s="82"/>
      <c r="Q3349" s="82"/>
      <c r="R3349" s="82"/>
      <c r="S3349" s="82"/>
      <c r="T3349" s="82"/>
      <c r="U3349" s="82"/>
      <c r="V3349" s="82"/>
      <c r="W3349" s="82"/>
      <c r="X3349" s="82"/>
      <c r="Y3349" s="82"/>
      <c r="Z3349" s="82"/>
      <c r="AA3349" s="82"/>
      <c r="AB3349" s="82"/>
      <c r="AC3349" s="82"/>
      <c r="AD3349" s="82"/>
      <c r="AE3349" s="82"/>
      <c r="AF3349" s="82"/>
      <c r="AG3349" s="82"/>
      <c r="AH3349" s="82"/>
      <c r="AI3349" s="82"/>
      <c r="AJ3349" s="82"/>
      <c r="AK3349" s="82"/>
      <c r="AL3349" s="82"/>
      <c r="AM3349" s="82"/>
      <c r="AN3349" s="82">
        <f>IFERROR(__xludf.DUMMYFUNCTION("""COMPUTED_VALUE"""),0.0)</f>
        <v>0</v>
      </c>
      <c r="AO3349" s="82">
        <f>IFERROR(__xludf.DUMMYFUNCTION("""COMPUTED_VALUE"""),0.0)</f>
        <v>0</v>
      </c>
      <c r="AP3349" s="82">
        <f>IFERROR(__xludf.DUMMYFUNCTION("""COMPUTED_VALUE"""),0.0)</f>
        <v>0</v>
      </c>
      <c r="AQ3349" s="82">
        <f>IFERROR(__xludf.DUMMYFUNCTION("""COMPUTED_VALUE"""),0.0)</f>
        <v>0</v>
      </c>
      <c r="AR3349" s="82">
        <f>IFERROR(__xludf.DUMMYFUNCTION("""COMPUTED_VALUE"""),0.0)</f>
        <v>0</v>
      </c>
      <c r="AS3349" s="82"/>
      <c r="AT3349" s="82">
        <f>IFERROR(__xludf.DUMMYFUNCTION("""COMPUTED_VALUE"""),0.0)</f>
        <v>0</v>
      </c>
      <c r="AU3349" s="82"/>
      <c r="AV3349" s="82"/>
      <c r="AW3349" s="82" t="str">
        <f t="shared" si="1"/>
        <v/>
      </c>
      <c r="AX3349" s="83" t="str">
        <f t="array" ref="AX3349">IFERROR(DGET('SBV Import'!A:G,"SBV",{"RSC ID","Tier";B3349,A3349}))</f>
        <v/>
      </c>
      <c r="AY3349" s="82" t="str">
        <f t="shared" si="2"/>
        <v/>
      </c>
      <c r="AZ3349" s="82"/>
      <c r="BA3349" s="84" t="s">
        <v>152</v>
      </c>
      <c r="BB3349" s="84" t="str">
        <f>IFERROR(__xludf.DUMMYFUNCTION("iferror(if(A3349="""",,E3349&gt;=FILTER(Constants!$F$2:$F$10,Constants!$A$2:$A$10=A3349)))"),"")</f>
        <v/>
      </c>
    </row>
    <row r="3350">
      <c r="A3350" s="89"/>
      <c r="B3350" s="87"/>
      <c r="C3350" s="73"/>
      <c r="D3350" s="73"/>
      <c r="E3350" s="82"/>
      <c r="F3350" s="82"/>
      <c r="G3350" s="86"/>
      <c r="H3350" s="86"/>
      <c r="I3350" s="86"/>
      <c r="J3350" s="82"/>
      <c r="K3350" s="82"/>
      <c r="L3350" s="82"/>
      <c r="M3350" s="82"/>
      <c r="N3350" s="82"/>
      <c r="O3350" s="82"/>
      <c r="P3350" s="82"/>
      <c r="Q3350" s="82"/>
      <c r="R3350" s="82"/>
      <c r="S3350" s="82"/>
      <c r="T3350" s="82"/>
      <c r="U3350" s="82"/>
      <c r="V3350" s="82"/>
      <c r="W3350" s="82"/>
      <c r="X3350" s="82"/>
      <c r="Y3350" s="82"/>
      <c r="Z3350" s="82"/>
      <c r="AA3350" s="82"/>
      <c r="AB3350" s="82"/>
      <c r="AC3350" s="82"/>
      <c r="AD3350" s="82"/>
      <c r="AE3350" s="82"/>
      <c r="AF3350" s="82"/>
      <c r="AG3350" s="82"/>
      <c r="AH3350" s="82"/>
      <c r="AI3350" s="82"/>
      <c r="AJ3350" s="82"/>
      <c r="AK3350" s="82"/>
      <c r="AL3350" s="82"/>
      <c r="AM3350" s="82"/>
      <c r="AN3350" s="82">
        <f>IFERROR(__xludf.DUMMYFUNCTION("""COMPUTED_VALUE"""),0.0)</f>
        <v>0</v>
      </c>
      <c r="AO3350" s="82">
        <f>IFERROR(__xludf.DUMMYFUNCTION("""COMPUTED_VALUE"""),0.0)</f>
        <v>0</v>
      </c>
      <c r="AP3350" s="82">
        <f>IFERROR(__xludf.DUMMYFUNCTION("""COMPUTED_VALUE"""),0.0)</f>
        <v>0</v>
      </c>
      <c r="AQ3350" s="82">
        <f>IFERROR(__xludf.DUMMYFUNCTION("""COMPUTED_VALUE"""),0.0)</f>
        <v>0</v>
      </c>
      <c r="AR3350" s="82">
        <f>IFERROR(__xludf.DUMMYFUNCTION("""COMPUTED_VALUE"""),0.0)</f>
        <v>0</v>
      </c>
      <c r="AS3350" s="82"/>
      <c r="AT3350" s="82">
        <f>IFERROR(__xludf.DUMMYFUNCTION("""COMPUTED_VALUE"""),0.0)</f>
        <v>0</v>
      </c>
      <c r="AU3350" s="82"/>
      <c r="AV3350" s="82"/>
      <c r="AW3350" s="82" t="str">
        <f t="shared" si="1"/>
        <v/>
      </c>
      <c r="AX3350" s="83" t="str">
        <f t="array" ref="AX3350">IFERROR(DGET('SBV Import'!A:G,"SBV",{"RSC ID","Tier";B3350,A3350}))</f>
        <v/>
      </c>
      <c r="AY3350" s="82" t="str">
        <f t="shared" si="2"/>
        <v/>
      </c>
      <c r="AZ3350" s="82"/>
      <c r="BA3350" s="84" t="s">
        <v>152</v>
      </c>
      <c r="BB3350" s="84" t="str">
        <f>IFERROR(__xludf.DUMMYFUNCTION("iferror(if(A3350="""",,E3350&gt;=FILTER(Constants!$F$2:$F$10,Constants!$A$2:$A$10=A3350)))"),"")</f>
        <v/>
      </c>
    </row>
    <row r="3351">
      <c r="A3351" s="89"/>
      <c r="B3351" s="87"/>
      <c r="C3351" s="73"/>
      <c r="D3351" s="73"/>
      <c r="E3351" s="82"/>
      <c r="F3351" s="82"/>
      <c r="G3351" s="86"/>
      <c r="H3351" s="86"/>
      <c r="I3351" s="86"/>
      <c r="J3351" s="82"/>
      <c r="K3351" s="82"/>
      <c r="L3351" s="82"/>
      <c r="M3351" s="82"/>
      <c r="N3351" s="82"/>
      <c r="O3351" s="82"/>
      <c r="P3351" s="82"/>
      <c r="Q3351" s="82"/>
      <c r="R3351" s="82"/>
      <c r="S3351" s="82"/>
      <c r="T3351" s="82"/>
      <c r="U3351" s="82"/>
      <c r="V3351" s="82"/>
      <c r="W3351" s="82"/>
      <c r="X3351" s="82"/>
      <c r="Y3351" s="82"/>
      <c r="Z3351" s="82"/>
      <c r="AA3351" s="82"/>
      <c r="AB3351" s="82"/>
      <c r="AC3351" s="82"/>
      <c r="AD3351" s="82"/>
      <c r="AE3351" s="82"/>
      <c r="AF3351" s="82"/>
      <c r="AG3351" s="82"/>
      <c r="AH3351" s="82"/>
      <c r="AI3351" s="82"/>
      <c r="AJ3351" s="82"/>
      <c r="AK3351" s="82"/>
      <c r="AL3351" s="82"/>
      <c r="AM3351" s="82"/>
      <c r="AN3351" s="82">
        <f>IFERROR(__xludf.DUMMYFUNCTION("""COMPUTED_VALUE"""),0.0)</f>
        <v>0</v>
      </c>
      <c r="AO3351" s="82">
        <f>IFERROR(__xludf.DUMMYFUNCTION("""COMPUTED_VALUE"""),0.0)</f>
        <v>0</v>
      </c>
      <c r="AP3351" s="82">
        <f>IFERROR(__xludf.DUMMYFUNCTION("""COMPUTED_VALUE"""),0.0)</f>
        <v>0</v>
      </c>
      <c r="AQ3351" s="82">
        <f>IFERROR(__xludf.DUMMYFUNCTION("""COMPUTED_VALUE"""),0.0)</f>
        <v>0</v>
      </c>
      <c r="AR3351" s="82">
        <f>IFERROR(__xludf.DUMMYFUNCTION("""COMPUTED_VALUE"""),0.0)</f>
        <v>0</v>
      </c>
      <c r="AS3351" s="82"/>
      <c r="AT3351" s="82">
        <f>IFERROR(__xludf.DUMMYFUNCTION("""COMPUTED_VALUE"""),0.0)</f>
        <v>0</v>
      </c>
      <c r="AU3351" s="82"/>
      <c r="AV3351" s="82"/>
      <c r="AW3351" s="82" t="str">
        <f t="shared" si="1"/>
        <v/>
      </c>
      <c r="AX3351" s="83" t="str">
        <f t="array" ref="AX3351">IFERROR(DGET('SBV Import'!A:G,"SBV",{"RSC ID","Tier";B3351,A3351}))</f>
        <v/>
      </c>
      <c r="AY3351" s="82" t="str">
        <f t="shared" si="2"/>
        <v/>
      </c>
      <c r="AZ3351" s="82"/>
      <c r="BA3351" s="84" t="s">
        <v>152</v>
      </c>
      <c r="BB3351" s="84" t="str">
        <f>IFERROR(__xludf.DUMMYFUNCTION("iferror(if(A3351="""",,E3351&gt;=FILTER(Constants!$F$2:$F$10,Constants!$A$2:$A$10=A3351)))"),"")</f>
        <v/>
      </c>
    </row>
    <row r="3352">
      <c r="A3352" s="89"/>
      <c r="B3352" s="87"/>
      <c r="C3352" s="73"/>
      <c r="D3352" s="73"/>
      <c r="E3352" s="82"/>
      <c r="F3352" s="82"/>
      <c r="G3352" s="86"/>
      <c r="H3352" s="86"/>
      <c r="I3352" s="86"/>
      <c r="J3352" s="82"/>
      <c r="K3352" s="82"/>
      <c r="L3352" s="82"/>
      <c r="M3352" s="82"/>
      <c r="N3352" s="82"/>
      <c r="O3352" s="82"/>
      <c r="P3352" s="82"/>
      <c r="Q3352" s="82"/>
      <c r="R3352" s="82"/>
      <c r="S3352" s="82"/>
      <c r="T3352" s="82"/>
      <c r="U3352" s="82"/>
      <c r="V3352" s="82"/>
      <c r="W3352" s="82"/>
      <c r="X3352" s="82"/>
      <c r="Y3352" s="82"/>
      <c r="Z3352" s="82"/>
      <c r="AA3352" s="82"/>
      <c r="AB3352" s="82"/>
      <c r="AC3352" s="82"/>
      <c r="AD3352" s="82"/>
      <c r="AE3352" s="82"/>
      <c r="AF3352" s="82"/>
      <c r="AG3352" s="82"/>
      <c r="AH3352" s="82"/>
      <c r="AI3352" s="82"/>
      <c r="AJ3352" s="82"/>
      <c r="AK3352" s="82"/>
      <c r="AL3352" s="82"/>
      <c r="AM3352" s="82"/>
      <c r="AN3352" s="82">
        <f>IFERROR(__xludf.DUMMYFUNCTION("""COMPUTED_VALUE"""),0.0)</f>
        <v>0</v>
      </c>
      <c r="AO3352" s="82">
        <f>IFERROR(__xludf.DUMMYFUNCTION("""COMPUTED_VALUE"""),0.0)</f>
        <v>0</v>
      </c>
      <c r="AP3352" s="82">
        <f>IFERROR(__xludf.DUMMYFUNCTION("""COMPUTED_VALUE"""),0.0)</f>
        <v>0</v>
      </c>
      <c r="AQ3352" s="82">
        <f>IFERROR(__xludf.DUMMYFUNCTION("""COMPUTED_VALUE"""),0.0)</f>
        <v>0</v>
      </c>
      <c r="AR3352" s="82">
        <f>IFERROR(__xludf.DUMMYFUNCTION("""COMPUTED_VALUE"""),0.0)</f>
        <v>0</v>
      </c>
      <c r="AS3352" s="82"/>
      <c r="AT3352" s="82">
        <f>IFERROR(__xludf.DUMMYFUNCTION("""COMPUTED_VALUE"""),0.0)</f>
        <v>0</v>
      </c>
      <c r="AU3352" s="82"/>
      <c r="AV3352" s="82"/>
      <c r="AW3352" s="82" t="str">
        <f t="shared" si="1"/>
        <v/>
      </c>
      <c r="AX3352" s="83" t="str">
        <f t="array" ref="AX3352">IFERROR(DGET('SBV Import'!A:G,"SBV",{"RSC ID","Tier";B3352,A3352}))</f>
        <v/>
      </c>
      <c r="AY3352" s="82" t="str">
        <f t="shared" si="2"/>
        <v/>
      </c>
      <c r="AZ3352" s="82"/>
      <c r="BA3352" s="84" t="s">
        <v>152</v>
      </c>
      <c r="BB3352" s="84" t="str">
        <f>IFERROR(__xludf.DUMMYFUNCTION("iferror(if(A3352="""",,E3352&gt;=FILTER(Constants!$F$2:$F$10,Constants!$A$2:$A$10=A3352)))"),"")</f>
        <v/>
      </c>
    </row>
    <row r="3353">
      <c r="A3353" s="89"/>
      <c r="B3353" s="87"/>
      <c r="C3353" s="73"/>
      <c r="D3353" s="73"/>
      <c r="E3353" s="82"/>
      <c r="F3353" s="82"/>
      <c r="G3353" s="86"/>
      <c r="H3353" s="86"/>
      <c r="I3353" s="86"/>
      <c r="J3353" s="82"/>
      <c r="K3353" s="82"/>
      <c r="L3353" s="82"/>
      <c r="M3353" s="82"/>
      <c r="N3353" s="82"/>
      <c r="O3353" s="82"/>
      <c r="P3353" s="82"/>
      <c r="Q3353" s="82"/>
      <c r="R3353" s="82"/>
      <c r="S3353" s="82"/>
      <c r="T3353" s="82"/>
      <c r="U3353" s="82"/>
      <c r="V3353" s="82"/>
      <c r="W3353" s="82"/>
      <c r="X3353" s="82"/>
      <c r="Y3353" s="82"/>
      <c r="Z3353" s="82"/>
      <c r="AA3353" s="82"/>
      <c r="AB3353" s="82"/>
      <c r="AC3353" s="82"/>
      <c r="AD3353" s="82"/>
      <c r="AE3353" s="82"/>
      <c r="AF3353" s="82"/>
      <c r="AG3353" s="82"/>
      <c r="AH3353" s="82"/>
      <c r="AI3353" s="82"/>
      <c r="AJ3353" s="82"/>
      <c r="AK3353" s="82"/>
      <c r="AL3353" s="82"/>
      <c r="AM3353" s="82"/>
      <c r="AN3353" s="82">
        <f>IFERROR(__xludf.DUMMYFUNCTION("""COMPUTED_VALUE"""),0.0)</f>
        <v>0</v>
      </c>
      <c r="AO3353" s="82">
        <f>IFERROR(__xludf.DUMMYFUNCTION("""COMPUTED_VALUE"""),0.0)</f>
        <v>0</v>
      </c>
      <c r="AP3353" s="82">
        <f>IFERROR(__xludf.DUMMYFUNCTION("""COMPUTED_VALUE"""),0.0)</f>
        <v>0</v>
      </c>
      <c r="AQ3353" s="82">
        <f>IFERROR(__xludf.DUMMYFUNCTION("""COMPUTED_VALUE"""),0.0)</f>
        <v>0</v>
      </c>
      <c r="AR3353" s="82">
        <f>IFERROR(__xludf.DUMMYFUNCTION("""COMPUTED_VALUE"""),0.0)</f>
        <v>0</v>
      </c>
      <c r="AS3353" s="82"/>
      <c r="AT3353" s="82">
        <f>IFERROR(__xludf.DUMMYFUNCTION("""COMPUTED_VALUE"""),0.0)</f>
        <v>0</v>
      </c>
      <c r="AU3353" s="82"/>
      <c r="AV3353" s="82"/>
      <c r="AW3353" s="82" t="str">
        <f t="shared" si="1"/>
        <v/>
      </c>
      <c r="AX3353" s="83" t="str">
        <f t="array" ref="AX3353">IFERROR(DGET('SBV Import'!A:G,"SBV",{"RSC ID","Tier";B3353,A3353}))</f>
        <v/>
      </c>
      <c r="AY3353" s="82" t="str">
        <f t="shared" si="2"/>
        <v/>
      </c>
      <c r="AZ3353" s="82"/>
      <c r="BA3353" s="84" t="s">
        <v>152</v>
      </c>
      <c r="BB3353" s="84" t="str">
        <f>IFERROR(__xludf.DUMMYFUNCTION("iferror(if(A3353="""",,E3353&gt;=FILTER(Constants!$F$2:$F$10,Constants!$A$2:$A$10=A3353)))"),"")</f>
        <v/>
      </c>
    </row>
    <row r="3354">
      <c r="A3354" s="89"/>
      <c r="B3354" s="87"/>
      <c r="C3354" s="73"/>
      <c r="D3354" s="73"/>
      <c r="E3354" s="82"/>
      <c r="F3354" s="82"/>
      <c r="G3354" s="86"/>
      <c r="H3354" s="86"/>
      <c r="I3354" s="86"/>
      <c r="J3354" s="82"/>
      <c r="K3354" s="82"/>
      <c r="L3354" s="82"/>
      <c r="M3354" s="82"/>
      <c r="N3354" s="82"/>
      <c r="O3354" s="82"/>
      <c r="P3354" s="82"/>
      <c r="Q3354" s="82"/>
      <c r="R3354" s="82"/>
      <c r="S3354" s="82"/>
      <c r="T3354" s="82"/>
      <c r="U3354" s="82"/>
      <c r="V3354" s="82"/>
      <c r="W3354" s="82"/>
      <c r="X3354" s="82"/>
      <c r="Y3354" s="82"/>
      <c r="Z3354" s="82"/>
      <c r="AA3354" s="82"/>
      <c r="AB3354" s="82"/>
      <c r="AC3354" s="82"/>
      <c r="AD3354" s="82"/>
      <c r="AE3354" s="82"/>
      <c r="AF3354" s="82"/>
      <c r="AG3354" s="82"/>
      <c r="AH3354" s="82"/>
      <c r="AI3354" s="82"/>
      <c r="AJ3354" s="82"/>
      <c r="AK3354" s="82"/>
      <c r="AL3354" s="82"/>
      <c r="AM3354" s="82"/>
      <c r="AN3354" s="82">
        <f>IFERROR(__xludf.DUMMYFUNCTION("""COMPUTED_VALUE"""),0.0)</f>
        <v>0</v>
      </c>
      <c r="AO3354" s="82">
        <f>IFERROR(__xludf.DUMMYFUNCTION("""COMPUTED_VALUE"""),0.0)</f>
        <v>0</v>
      </c>
      <c r="AP3354" s="82">
        <f>IFERROR(__xludf.DUMMYFUNCTION("""COMPUTED_VALUE"""),0.0)</f>
        <v>0</v>
      </c>
      <c r="AQ3354" s="82">
        <f>IFERROR(__xludf.DUMMYFUNCTION("""COMPUTED_VALUE"""),0.0)</f>
        <v>0</v>
      </c>
      <c r="AR3354" s="82">
        <f>IFERROR(__xludf.DUMMYFUNCTION("""COMPUTED_VALUE"""),0.0)</f>
        <v>0</v>
      </c>
      <c r="AS3354" s="82"/>
      <c r="AT3354" s="82">
        <f>IFERROR(__xludf.DUMMYFUNCTION("""COMPUTED_VALUE"""),0.0)</f>
        <v>0</v>
      </c>
      <c r="AU3354" s="82"/>
      <c r="AV3354" s="82"/>
      <c r="AW3354" s="82" t="str">
        <f t="shared" si="1"/>
        <v/>
      </c>
      <c r="AX3354" s="83" t="str">
        <f t="array" ref="AX3354">IFERROR(DGET('SBV Import'!A:G,"SBV",{"RSC ID","Tier";B3354,A3354}))</f>
        <v/>
      </c>
      <c r="AY3354" s="82" t="str">
        <f t="shared" si="2"/>
        <v/>
      </c>
      <c r="AZ3354" s="82"/>
      <c r="BA3354" s="84" t="s">
        <v>152</v>
      </c>
      <c r="BB3354" s="84" t="str">
        <f>IFERROR(__xludf.DUMMYFUNCTION("iferror(if(A3354="""",,E3354&gt;=FILTER(Constants!$F$2:$F$10,Constants!$A$2:$A$10=A3354)))"),"")</f>
        <v/>
      </c>
    </row>
    <row r="3355">
      <c r="A3355" s="89"/>
      <c r="B3355" s="87"/>
      <c r="C3355" s="73"/>
      <c r="D3355" s="73"/>
      <c r="E3355" s="82"/>
      <c r="F3355" s="82"/>
      <c r="G3355" s="86"/>
      <c r="H3355" s="86"/>
      <c r="I3355" s="86"/>
      <c r="J3355" s="82"/>
      <c r="K3355" s="82"/>
      <c r="L3355" s="82"/>
      <c r="M3355" s="82"/>
      <c r="N3355" s="82"/>
      <c r="O3355" s="82"/>
      <c r="P3355" s="82"/>
      <c r="Q3355" s="82"/>
      <c r="R3355" s="82"/>
      <c r="S3355" s="82"/>
      <c r="T3355" s="82"/>
      <c r="U3355" s="82"/>
      <c r="V3355" s="82"/>
      <c r="W3355" s="82"/>
      <c r="X3355" s="82"/>
      <c r="Y3355" s="82"/>
      <c r="Z3355" s="82"/>
      <c r="AA3355" s="82"/>
      <c r="AB3355" s="82"/>
      <c r="AC3355" s="82"/>
      <c r="AD3355" s="82"/>
      <c r="AE3355" s="82"/>
      <c r="AF3355" s="82"/>
      <c r="AG3355" s="82"/>
      <c r="AH3355" s="82"/>
      <c r="AI3355" s="82"/>
      <c r="AJ3355" s="82"/>
      <c r="AK3355" s="82"/>
      <c r="AL3355" s="82"/>
      <c r="AM3355" s="82"/>
      <c r="AN3355" s="82">
        <f>IFERROR(__xludf.DUMMYFUNCTION("""COMPUTED_VALUE"""),0.0)</f>
        <v>0</v>
      </c>
      <c r="AO3355" s="82">
        <f>IFERROR(__xludf.DUMMYFUNCTION("""COMPUTED_VALUE"""),0.0)</f>
        <v>0</v>
      </c>
      <c r="AP3355" s="82">
        <f>IFERROR(__xludf.DUMMYFUNCTION("""COMPUTED_VALUE"""),0.0)</f>
        <v>0</v>
      </c>
      <c r="AQ3355" s="82">
        <f>IFERROR(__xludf.DUMMYFUNCTION("""COMPUTED_VALUE"""),0.0)</f>
        <v>0</v>
      </c>
      <c r="AR3355" s="82">
        <f>IFERROR(__xludf.DUMMYFUNCTION("""COMPUTED_VALUE"""),0.0)</f>
        <v>0</v>
      </c>
      <c r="AS3355" s="82"/>
      <c r="AT3355" s="82">
        <f>IFERROR(__xludf.DUMMYFUNCTION("""COMPUTED_VALUE"""),0.0)</f>
        <v>0</v>
      </c>
      <c r="AU3355" s="82"/>
      <c r="AV3355" s="82"/>
      <c r="AW3355" s="82" t="str">
        <f t="shared" si="1"/>
        <v/>
      </c>
      <c r="AX3355" s="83" t="str">
        <f t="array" ref="AX3355">IFERROR(DGET('SBV Import'!A:G,"SBV",{"RSC ID","Tier";B3355,A3355}))</f>
        <v/>
      </c>
      <c r="AY3355" s="82" t="str">
        <f t="shared" si="2"/>
        <v/>
      </c>
      <c r="AZ3355" s="82"/>
      <c r="BA3355" s="84" t="s">
        <v>152</v>
      </c>
      <c r="BB3355" s="84" t="str">
        <f>IFERROR(__xludf.DUMMYFUNCTION("iferror(if(A3355="""",,E3355&gt;=FILTER(Constants!$F$2:$F$10,Constants!$A$2:$A$10=A3355)))"),"")</f>
        <v/>
      </c>
    </row>
    <row r="3356">
      <c r="A3356" s="89"/>
      <c r="B3356" s="87"/>
      <c r="C3356" s="73"/>
      <c r="D3356" s="73"/>
      <c r="E3356" s="82"/>
      <c r="F3356" s="82"/>
      <c r="G3356" s="86"/>
      <c r="H3356" s="86"/>
      <c r="I3356" s="86"/>
      <c r="J3356" s="82"/>
      <c r="K3356" s="82"/>
      <c r="L3356" s="82"/>
      <c r="M3356" s="82"/>
      <c r="N3356" s="82"/>
      <c r="O3356" s="82"/>
      <c r="P3356" s="82"/>
      <c r="Q3356" s="82"/>
      <c r="R3356" s="82"/>
      <c r="S3356" s="82"/>
      <c r="T3356" s="82"/>
      <c r="U3356" s="82"/>
      <c r="V3356" s="82"/>
      <c r="W3356" s="82"/>
      <c r="X3356" s="82"/>
      <c r="Y3356" s="82"/>
      <c r="Z3356" s="82"/>
      <c r="AA3356" s="82"/>
      <c r="AB3356" s="82"/>
      <c r="AC3356" s="82"/>
      <c r="AD3356" s="82"/>
      <c r="AE3356" s="82"/>
      <c r="AF3356" s="82"/>
      <c r="AG3356" s="82"/>
      <c r="AH3356" s="82"/>
      <c r="AI3356" s="82"/>
      <c r="AJ3356" s="82"/>
      <c r="AK3356" s="82"/>
      <c r="AL3356" s="82"/>
      <c r="AM3356" s="82"/>
      <c r="AN3356" s="82">
        <f>IFERROR(__xludf.DUMMYFUNCTION("""COMPUTED_VALUE"""),0.0)</f>
        <v>0</v>
      </c>
      <c r="AO3356" s="82">
        <f>IFERROR(__xludf.DUMMYFUNCTION("""COMPUTED_VALUE"""),0.0)</f>
        <v>0</v>
      </c>
      <c r="AP3356" s="82">
        <f>IFERROR(__xludf.DUMMYFUNCTION("""COMPUTED_VALUE"""),0.0)</f>
        <v>0</v>
      </c>
      <c r="AQ3356" s="82">
        <f>IFERROR(__xludf.DUMMYFUNCTION("""COMPUTED_VALUE"""),0.0)</f>
        <v>0</v>
      </c>
      <c r="AR3356" s="82">
        <f>IFERROR(__xludf.DUMMYFUNCTION("""COMPUTED_VALUE"""),0.0)</f>
        <v>0</v>
      </c>
      <c r="AS3356" s="82"/>
      <c r="AT3356" s="82">
        <f>IFERROR(__xludf.DUMMYFUNCTION("""COMPUTED_VALUE"""),0.0)</f>
        <v>0</v>
      </c>
      <c r="AU3356" s="82"/>
      <c r="AV3356" s="82"/>
      <c r="AW3356" s="82" t="str">
        <f t="shared" si="1"/>
        <v/>
      </c>
      <c r="AX3356" s="83" t="str">
        <f t="array" ref="AX3356">IFERROR(DGET('SBV Import'!A:G,"SBV",{"RSC ID","Tier";B3356,A3356}))</f>
        <v/>
      </c>
      <c r="AY3356" s="82" t="str">
        <f t="shared" si="2"/>
        <v/>
      </c>
      <c r="AZ3356" s="82"/>
      <c r="BA3356" s="84" t="s">
        <v>152</v>
      </c>
      <c r="BB3356" s="84" t="str">
        <f>IFERROR(__xludf.DUMMYFUNCTION("iferror(if(A3356="""",,E3356&gt;=FILTER(Constants!$F$2:$F$10,Constants!$A$2:$A$10=A3356)))"),"")</f>
        <v/>
      </c>
    </row>
    <row r="3357">
      <c r="A3357" s="89"/>
      <c r="B3357" s="87"/>
      <c r="C3357" s="73"/>
      <c r="D3357" s="73"/>
      <c r="E3357" s="82"/>
      <c r="F3357" s="82"/>
      <c r="G3357" s="86"/>
      <c r="H3357" s="86"/>
      <c r="I3357" s="86"/>
      <c r="J3357" s="82"/>
      <c r="K3357" s="82"/>
      <c r="L3357" s="82"/>
      <c r="M3357" s="82"/>
      <c r="N3357" s="82"/>
      <c r="O3357" s="82"/>
      <c r="P3357" s="82"/>
      <c r="Q3357" s="82"/>
      <c r="R3357" s="82"/>
      <c r="S3357" s="82"/>
      <c r="T3357" s="82"/>
      <c r="U3357" s="82"/>
      <c r="V3357" s="82"/>
      <c r="W3357" s="82"/>
      <c r="X3357" s="82"/>
      <c r="Y3357" s="82"/>
      <c r="Z3357" s="82"/>
      <c r="AA3357" s="82"/>
      <c r="AB3357" s="82"/>
      <c r="AC3357" s="82"/>
      <c r="AD3357" s="82"/>
      <c r="AE3357" s="82"/>
      <c r="AF3357" s="82"/>
      <c r="AG3357" s="82"/>
      <c r="AH3357" s="82"/>
      <c r="AI3357" s="82"/>
      <c r="AJ3357" s="82"/>
      <c r="AK3357" s="82"/>
      <c r="AL3357" s="82"/>
      <c r="AM3357" s="82"/>
      <c r="AN3357" s="82">
        <f>IFERROR(__xludf.DUMMYFUNCTION("""COMPUTED_VALUE"""),0.0)</f>
        <v>0</v>
      </c>
      <c r="AO3357" s="82">
        <f>IFERROR(__xludf.DUMMYFUNCTION("""COMPUTED_VALUE"""),0.0)</f>
        <v>0</v>
      </c>
      <c r="AP3357" s="82">
        <f>IFERROR(__xludf.DUMMYFUNCTION("""COMPUTED_VALUE"""),0.0)</f>
        <v>0</v>
      </c>
      <c r="AQ3357" s="82">
        <f>IFERROR(__xludf.DUMMYFUNCTION("""COMPUTED_VALUE"""),0.0)</f>
        <v>0</v>
      </c>
      <c r="AR3357" s="82">
        <f>IFERROR(__xludf.DUMMYFUNCTION("""COMPUTED_VALUE"""),0.0)</f>
        <v>0</v>
      </c>
      <c r="AS3357" s="82"/>
      <c r="AT3357" s="82">
        <f>IFERROR(__xludf.DUMMYFUNCTION("""COMPUTED_VALUE"""),0.0)</f>
        <v>0</v>
      </c>
      <c r="AU3357" s="82"/>
      <c r="AV3357" s="82"/>
      <c r="AW3357" s="82" t="str">
        <f t="shared" si="1"/>
        <v/>
      </c>
      <c r="AX3357" s="83" t="str">
        <f t="array" ref="AX3357">IFERROR(DGET('SBV Import'!A:G,"SBV",{"RSC ID","Tier";B3357,A3357}))</f>
        <v/>
      </c>
      <c r="AY3357" s="82" t="str">
        <f t="shared" si="2"/>
        <v/>
      </c>
      <c r="AZ3357" s="82"/>
      <c r="BA3357" s="84" t="s">
        <v>152</v>
      </c>
      <c r="BB3357" s="84" t="str">
        <f>IFERROR(__xludf.DUMMYFUNCTION("iferror(if(A3357="""",,E3357&gt;=FILTER(Constants!$F$2:$F$10,Constants!$A$2:$A$10=A3357)))"),"")</f>
        <v/>
      </c>
    </row>
    <row r="3358">
      <c r="A3358" s="89"/>
      <c r="B3358" s="87"/>
      <c r="C3358" s="73"/>
      <c r="D3358" s="73"/>
      <c r="E3358" s="82"/>
      <c r="F3358" s="82"/>
      <c r="G3358" s="86"/>
      <c r="H3358" s="86"/>
      <c r="I3358" s="86"/>
      <c r="J3358" s="82"/>
      <c r="K3358" s="82"/>
      <c r="L3358" s="82"/>
      <c r="M3358" s="82"/>
      <c r="N3358" s="82"/>
      <c r="O3358" s="82"/>
      <c r="P3358" s="82"/>
      <c r="Q3358" s="82"/>
      <c r="R3358" s="82"/>
      <c r="S3358" s="82"/>
      <c r="T3358" s="82"/>
      <c r="U3358" s="82"/>
      <c r="V3358" s="82"/>
      <c r="W3358" s="82"/>
      <c r="X3358" s="82"/>
      <c r="Y3358" s="82"/>
      <c r="Z3358" s="82"/>
      <c r="AA3358" s="82"/>
      <c r="AB3358" s="82"/>
      <c r="AC3358" s="82"/>
      <c r="AD3358" s="82"/>
      <c r="AE3358" s="82"/>
      <c r="AF3358" s="82"/>
      <c r="AG3358" s="82"/>
      <c r="AH3358" s="82"/>
      <c r="AI3358" s="82"/>
      <c r="AJ3358" s="82"/>
      <c r="AK3358" s="82"/>
      <c r="AL3358" s="82"/>
      <c r="AM3358" s="82"/>
      <c r="AN3358" s="82">
        <f>IFERROR(__xludf.DUMMYFUNCTION("""COMPUTED_VALUE"""),0.0)</f>
        <v>0</v>
      </c>
      <c r="AO3358" s="82">
        <f>IFERROR(__xludf.DUMMYFUNCTION("""COMPUTED_VALUE"""),0.0)</f>
        <v>0</v>
      </c>
      <c r="AP3358" s="82">
        <f>IFERROR(__xludf.DUMMYFUNCTION("""COMPUTED_VALUE"""),0.0)</f>
        <v>0</v>
      </c>
      <c r="AQ3358" s="82">
        <f>IFERROR(__xludf.DUMMYFUNCTION("""COMPUTED_VALUE"""),0.0)</f>
        <v>0</v>
      </c>
      <c r="AR3358" s="82">
        <f>IFERROR(__xludf.DUMMYFUNCTION("""COMPUTED_VALUE"""),0.0)</f>
        <v>0</v>
      </c>
      <c r="AS3358" s="82"/>
      <c r="AT3358" s="82">
        <f>IFERROR(__xludf.DUMMYFUNCTION("""COMPUTED_VALUE"""),0.0)</f>
        <v>0</v>
      </c>
      <c r="AU3358" s="82"/>
      <c r="AV3358" s="82"/>
      <c r="AW3358" s="82" t="str">
        <f t="shared" si="1"/>
        <v/>
      </c>
      <c r="AX3358" s="83" t="str">
        <f t="array" ref="AX3358">IFERROR(DGET('SBV Import'!A:G,"SBV",{"RSC ID","Tier";B3358,A3358}))</f>
        <v/>
      </c>
      <c r="AY3358" s="82" t="str">
        <f t="shared" si="2"/>
        <v/>
      </c>
      <c r="AZ3358" s="82"/>
      <c r="BA3358" s="84" t="s">
        <v>152</v>
      </c>
      <c r="BB3358" s="84" t="str">
        <f>IFERROR(__xludf.DUMMYFUNCTION("iferror(if(A3358="""",,E3358&gt;=FILTER(Constants!$F$2:$F$10,Constants!$A$2:$A$10=A3358)))"),"")</f>
        <v/>
      </c>
    </row>
    <row r="3359">
      <c r="A3359" s="89"/>
      <c r="B3359" s="87"/>
      <c r="C3359" s="73"/>
      <c r="D3359" s="73"/>
      <c r="E3359" s="82"/>
      <c r="F3359" s="82"/>
      <c r="G3359" s="86"/>
      <c r="H3359" s="86"/>
      <c r="I3359" s="86"/>
      <c r="J3359" s="82"/>
      <c r="K3359" s="82"/>
      <c r="L3359" s="82"/>
      <c r="M3359" s="82"/>
      <c r="N3359" s="82"/>
      <c r="O3359" s="82"/>
      <c r="P3359" s="82"/>
      <c r="Q3359" s="82"/>
      <c r="R3359" s="82"/>
      <c r="S3359" s="82"/>
      <c r="T3359" s="82"/>
      <c r="U3359" s="82"/>
      <c r="V3359" s="82"/>
      <c r="W3359" s="82"/>
      <c r="X3359" s="82"/>
      <c r="Y3359" s="82"/>
      <c r="Z3359" s="82"/>
      <c r="AA3359" s="82"/>
      <c r="AB3359" s="82"/>
      <c r="AC3359" s="82"/>
      <c r="AD3359" s="82"/>
      <c r="AE3359" s="82"/>
      <c r="AF3359" s="82"/>
      <c r="AG3359" s="82"/>
      <c r="AH3359" s="82"/>
      <c r="AI3359" s="82"/>
      <c r="AJ3359" s="82"/>
      <c r="AK3359" s="82"/>
      <c r="AL3359" s="82"/>
      <c r="AM3359" s="82"/>
      <c r="AN3359" s="82">
        <f>IFERROR(__xludf.DUMMYFUNCTION("""COMPUTED_VALUE"""),0.0)</f>
        <v>0</v>
      </c>
      <c r="AO3359" s="82">
        <f>IFERROR(__xludf.DUMMYFUNCTION("""COMPUTED_VALUE"""),0.0)</f>
        <v>0</v>
      </c>
      <c r="AP3359" s="82">
        <f>IFERROR(__xludf.DUMMYFUNCTION("""COMPUTED_VALUE"""),0.0)</f>
        <v>0</v>
      </c>
      <c r="AQ3359" s="82">
        <f>IFERROR(__xludf.DUMMYFUNCTION("""COMPUTED_VALUE"""),0.0)</f>
        <v>0</v>
      </c>
      <c r="AR3359" s="82">
        <f>IFERROR(__xludf.DUMMYFUNCTION("""COMPUTED_VALUE"""),0.0)</f>
        <v>0</v>
      </c>
      <c r="AS3359" s="82"/>
      <c r="AT3359" s="82">
        <f>IFERROR(__xludf.DUMMYFUNCTION("""COMPUTED_VALUE"""),0.0)</f>
        <v>0</v>
      </c>
      <c r="AU3359" s="82"/>
      <c r="AV3359" s="82"/>
      <c r="AW3359" s="82" t="str">
        <f t="shared" si="1"/>
        <v/>
      </c>
      <c r="AX3359" s="83" t="str">
        <f t="array" ref="AX3359">IFERROR(DGET('SBV Import'!A:G,"SBV",{"RSC ID","Tier";B3359,A3359}))</f>
        <v/>
      </c>
      <c r="AY3359" s="82" t="str">
        <f t="shared" si="2"/>
        <v/>
      </c>
      <c r="AZ3359" s="82"/>
      <c r="BA3359" s="84" t="s">
        <v>152</v>
      </c>
      <c r="BB3359" s="84" t="str">
        <f>IFERROR(__xludf.DUMMYFUNCTION("iferror(if(A3359="""",,E3359&gt;=FILTER(Constants!$F$2:$F$10,Constants!$A$2:$A$10=A3359)))"),"")</f>
        <v/>
      </c>
    </row>
    <row r="3360">
      <c r="A3360" s="89"/>
      <c r="B3360" s="87"/>
      <c r="C3360" s="73"/>
      <c r="D3360" s="73"/>
      <c r="E3360" s="82"/>
      <c r="F3360" s="82"/>
      <c r="G3360" s="86"/>
      <c r="H3360" s="86"/>
      <c r="I3360" s="86"/>
      <c r="J3360" s="82"/>
      <c r="K3360" s="82"/>
      <c r="L3360" s="82"/>
      <c r="M3360" s="82"/>
      <c r="N3360" s="82"/>
      <c r="O3360" s="82"/>
      <c r="P3360" s="82"/>
      <c r="Q3360" s="82"/>
      <c r="R3360" s="82"/>
      <c r="S3360" s="82"/>
      <c r="T3360" s="82"/>
      <c r="U3360" s="82"/>
      <c r="V3360" s="82"/>
      <c r="W3360" s="82"/>
      <c r="X3360" s="82"/>
      <c r="Y3360" s="82"/>
      <c r="Z3360" s="82"/>
      <c r="AA3360" s="82"/>
      <c r="AB3360" s="82"/>
      <c r="AC3360" s="82"/>
      <c r="AD3360" s="82"/>
      <c r="AE3360" s="82"/>
      <c r="AF3360" s="82"/>
      <c r="AG3360" s="82"/>
      <c r="AH3360" s="82"/>
      <c r="AI3360" s="82"/>
      <c r="AJ3360" s="82"/>
      <c r="AK3360" s="82"/>
      <c r="AL3360" s="82"/>
      <c r="AM3360" s="82"/>
      <c r="AN3360" s="82">
        <f>IFERROR(__xludf.DUMMYFUNCTION("""COMPUTED_VALUE"""),0.0)</f>
        <v>0</v>
      </c>
      <c r="AO3360" s="82">
        <f>IFERROR(__xludf.DUMMYFUNCTION("""COMPUTED_VALUE"""),0.0)</f>
        <v>0</v>
      </c>
      <c r="AP3360" s="82">
        <f>IFERROR(__xludf.DUMMYFUNCTION("""COMPUTED_VALUE"""),0.0)</f>
        <v>0</v>
      </c>
      <c r="AQ3360" s="82">
        <f>IFERROR(__xludf.DUMMYFUNCTION("""COMPUTED_VALUE"""),0.0)</f>
        <v>0</v>
      </c>
      <c r="AR3360" s="82">
        <f>IFERROR(__xludf.DUMMYFUNCTION("""COMPUTED_VALUE"""),0.0)</f>
        <v>0</v>
      </c>
      <c r="AS3360" s="82"/>
      <c r="AT3360" s="82">
        <f>IFERROR(__xludf.DUMMYFUNCTION("""COMPUTED_VALUE"""),0.0)</f>
        <v>0</v>
      </c>
      <c r="AU3360" s="82"/>
      <c r="AV3360" s="82"/>
      <c r="AW3360" s="82" t="str">
        <f t="shared" si="1"/>
        <v/>
      </c>
      <c r="AX3360" s="83" t="str">
        <f t="array" ref="AX3360">IFERROR(DGET('SBV Import'!A:G,"SBV",{"RSC ID","Tier";B3360,A3360}))</f>
        <v/>
      </c>
      <c r="AY3360" s="82" t="str">
        <f t="shared" si="2"/>
        <v/>
      </c>
      <c r="AZ3360" s="82"/>
      <c r="BA3360" s="84" t="s">
        <v>152</v>
      </c>
      <c r="BB3360" s="84" t="str">
        <f>IFERROR(__xludf.DUMMYFUNCTION("iferror(if(A3360="""",,E3360&gt;=FILTER(Constants!$F$2:$F$10,Constants!$A$2:$A$10=A3360)))"),"")</f>
        <v/>
      </c>
    </row>
    <row r="3361">
      <c r="A3361" s="89"/>
      <c r="B3361" s="87"/>
      <c r="C3361" s="73"/>
      <c r="D3361" s="73"/>
      <c r="E3361" s="82"/>
      <c r="F3361" s="82"/>
      <c r="G3361" s="86"/>
      <c r="H3361" s="86"/>
      <c r="I3361" s="86"/>
      <c r="J3361" s="82"/>
      <c r="K3361" s="82"/>
      <c r="L3361" s="82"/>
      <c r="M3361" s="82"/>
      <c r="N3361" s="82"/>
      <c r="O3361" s="82"/>
      <c r="P3361" s="82"/>
      <c r="Q3361" s="82"/>
      <c r="R3361" s="82"/>
      <c r="S3361" s="82"/>
      <c r="T3361" s="82"/>
      <c r="U3361" s="82"/>
      <c r="V3361" s="82"/>
      <c r="W3361" s="82"/>
      <c r="X3361" s="82"/>
      <c r="Y3361" s="82"/>
      <c r="Z3361" s="82"/>
      <c r="AA3361" s="82"/>
      <c r="AB3361" s="82"/>
      <c r="AC3361" s="82"/>
      <c r="AD3361" s="82"/>
      <c r="AE3361" s="82"/>
      <c r="AF3361" s="82"/>
      <c r="AG3361" s="82"/>
      <c r="AH3361" s="82"/>
      <c r="AI3361" s="82"/>
      <c r="AJ3361" s="82"/>
      <c r="AK3361" s="82"/>
      <c r="AL3361" s="82"/>
      <c r="AM3361" s="82"/>
      <c r="AN3361" s="82">
        <f>IFERROR(__xludf.DUMMYFUNCTION("""COMPUTED_VALUE"""),0.0)</f>
        <v>0</v>
      </c>
      <c r="AO3361" s="82">
        <f>IFERROR(__xludf.DUMMYFUNCTION("""COMPUTED_VALUE"""),0.0)</f>
        <v>0</v>
      </c>
      <c r="AP3361" s="82">
        <f>IFERROR(__xludf.DUMMYFUNCTION("""COMPUTED_VALUE"""),0.0)</f>
        <v>0</v>
      </c>
      <c r="AQ3361" s="82">
        <f>IFERROR(__xludf.DUMMYFUNCTION("""COMPUTED_VALUE"""),0.0)</f>
        <v>0</v>
      </c>
      <c r="AR3361" s="82">
        <f>IFERROR(__xludf.DUMMYFUNCTION("""COMPUTED_VALUE"""),0.0)</f>
        <v>0</v>
      </c>
      <c r="AS3361" s="82"/>
      <c r="AT3361" s="82">
        <f>IFERROR(__xludf.DUMMYFUNCTION("""COMPUTED_VALUE"""),0.0)</f>
        <v>0</v>
      </c>
      <c r="AU3361" s="82"/>
      <c r="AV3361" s="82"/>
      <c r="AW3361" s="82" t="str">
        <f t="shared" si="1"/>
        <v/>
      </c>
      <c r="AX3361" s="83" t="str">
        <f t="array" ref="AX3361">IFERROR(DGET('SBV Import'!A:G,"SBV",{"RSC ID","Tier";B3361,A3361}))</f>
        <v/>
      </c>
      <c r="AY3361" s="82" t="str">
        <f t="shared" si="2"/>
        <v/>
      </c>
      <c r="AZ3361" s="82"/>
      <c r="BA3361" s="84" t="s">
        <v>152</v>
      </c>
      <c r="BB3361" s="84" t="str">
        <f>IFERROR(__xludf.DUMMYFUNCTION("iferror(if(A3361="""",,E3361&gt;=FILTER(Constants!$F$2:$F$10,Constants!$A$2:$A$10=A3361)))"),"")</f>
        <v/>
      </c>
    </row>
    <row r="3362">
      <c r="A3362" s="89"/>
      <c r="B3362" s="87"/>
      <c r="C3362" s="73"/>
      <c r="D3362" s="73"/>
      <c r="E3362" s="82"/>
      <c r="F3362" s="82"/>
      <c r="G3362" s="86"/>
      <c r="H3362" s="86"/>
      <c r="I3362" s="86"/>
      <c r="J3362" s="82"/>
      <c r="K3362" s="82"/>
      <c r="L3362" s="82"/>
      <c r="M3362" s="82"/>
      <c r="N3362" s="82"/>
      <c r="O3362" s="82"/>
      <c r="P3362" s="82"/>
      <c r="Q3362" s="82"/>
      <c r="R3362" s="82"/>
      <c r="S3362" s="82"/>
      <c r="T3362" s="82"/>
      <c r="U3362" s="82"/>
      <c r="V3362" s="82"/>
      <c r="W3362" s="82"/>
      <c r="X3362" s="82"/>
      <c r="Y3362" s="82"/>
      <c r="Z3362" s="82"/>
      <c r="AA3362" s="82"/>
      <c r="AB3362" s="82"/>
      <c r="AC3362" s="82"/>
      <c r="AD3362" s="82"/>
      <c r="AE3362" s="82"/>
      <c r="AF3362" s="82"/>
      <c r="AG3362" s="82"/>
      <c r="AH3362" s="82"/>
      <c r="AI3362" s="82"/>
      <c r="AJ3362" s="82"/>
      <c r="AK3362" s="82"/>
      <c r="AL3362" s="82"/>
      <c r="AM3362" s="82"/>
      <c r="AN3362" s="82">
        <f>IFERROR(__xludf.DUMMYFUNCTION("""COMPUTED_VALUE"""),0.0)</f>
        <v>0</v>
      </c>
      <c r="AO3362" s="82">
        <f>IFERROR(__xludf.DUMMYFUNCTION("""COMPUTED_VALUE"""),0.0)</f>
        <v>0</v>
      </c>
      <c r="AP3362" s="82">
        <f>IFERROR(__xludf.DUMMYFUNCTION("""COMPUTED_VALUE"""),0.0)</f>
        <v>0</v>
      </c>
      <c r="AQ3362" s="82">
        <f>IFERROR(__xludf.DUMMYFUNCTION("""COMPUTED_VALUE"""),0.0)</f>
        <v>0</v>
      </c>
      <c r="AR3362" s="82">
        <f>IFERROR(__xludf.DUMMYFUNCTION("""COMPUTED_VALUE"""),0.0)</f>
        <v>0</v>
      </c>
      <c r="AS3362" s="82"/>
      <c r="AT3362" s="82">
        <f>IFERROR(__xludf.DUMMYFUNCTION("""COMPUTED_VALUE"""),0.0)</f>
        <v>0</v>
      </c>
      <c r="AU3362" s="82"/>
      <c r="AV3362" s="82"/>
      <c r="AW3362" s="82" t="str">
        <f t="shared" si="1"/>
        <v/>
      </c>
      <c r="AX3362" s="83" t="str">
        <f t="array" ref="AX3362">IFERROR(DGET('SBV Import'!A:G,"SBV",{"RSC ID","Tier";B3362,A3362}))</f>
        <v/>
      </c>
      <c r="AY3362" s="82" t="str">
        <f t="shared" si="2"/>
        <v/>
      </c>
      <c r="AZ3362" s="82"/>
      <c r="BA3362" s="84" t="s">
        <v>152</v>
      </c>
      <c r="BB3362" s="84" t="str">
        <f>IFERROR(__xludf.DUMMYFUNCTION("iferror(if(A3362="""",,E3362&gt;=FILTER(Constants!$F$2:$F$10,Constants!$A$2:$A$10=A3362)))"),"")</f>
        <v/>
      </c>
    </row>
    <row r="3363">
      <c r="A3363" s="89"/>
      <c r="B3363" s="87"/>
      <c r="C3363" s="73"/>
      <c r="D3363" s="73"/>
      <c r="E3363" s="82"/>
      <c r="F3363" s="82"/>
      <c r="G3363" s="86"/>
      <c r="H3363" s="86"/>
      <c r="I3363" s="86"/>
      <c r="J3363" s="82"/>
      <c r="K3363" s="82"/>
      <c r="L3363" s="82"/>
      <c r="M3363" s="82"/>
      <c r="N3363" s="82"/>
      <c r="O3363" s="82"/>
      <c r="P3363" s="82"/>
      <c r="Q3363" s="82"/>
      <c r="R3363" s="82"/>
      <c r="S3363" s="82"/>
      <c r="T3363" s="82"/>
      <c r="U3363" s="82"/>
      <c r="V3363" s="82"/>
      <c r="W3363" s="82"/>
      <c r="X3363" s="82"/>
      <c r="Y3363" s="82"/>
      <c r="Z3363" s="82"/>
      <c r="AA3363" s="82"/>
      <c r="AB3363" s="82"/>
      <c r="AC3363" s="82"/>
      <c r="AD3363" s="82"/>
      <c r="AE3363" s="82"/>
      <c r="AF3363" s="82"/>
      <c r="AG3363" s="82"/>
      <c r="AH3363" s="82"/>
      <c r="AI3363" s="82"/>
      <c r="AJ3363" s="82"/>
      <c r="AK3363" s="82"/>
      <c r="AL3363" s="82"/>
      <c r="AM3363" s="82"/>
      <c r="AN3363" s="82">
        <f>IFERROR(__xludf.DUMMYFUNCTION("""COMPUTED_VALUE"""),0.0)</f>
        <v>0</v>
      </c>
      <c r="AO3363" s="82">
        <f>IFERROR(__xludf.DUMMYFUNCTION("""COMPUTED_VALUE"""),0.0)</f>
        <v>0</v>
      </c>
      <c r="AP3363" s="82">
        <f>IFERROR(__xludf.DUMMYFUNCTION("""COMPUTED_VALUE"""),0.0)</f>
        <v>0</v>
      </c>
      <c r="AQ3363" s="82">
        <f>IFERROR(__xludf.DUMMYFUNCTION("""COMPUTED_VALUE"""),0.0)</f>
        <v>0</v>
      </c>
      <c r="AR3363" s="82">
        <f>IFERROR(__xludf.DUMMYFUNCTION("""COMPUTED_VALUE"""),0.0)</f>
        <v>0</v>
      </c>
      <c r="AS3363" s="82"/>
      <c r="AT3363" s="82">
        <f>IFERROR(__xludf.DUMMYFUNCTION("""COMPUTED_VALUE"""),0.0)</f>
        <v>0</v>
      </c>
      <c r="AU3363" s="82"/>
      <c r="AV3363" s="82"/>
      <c r="AW3363" s="82" t="str">
        <f t="shared" si="1"/>
        <v/>
      </c>
      <c r="AX3363" s="83" t="str">
        <f t="array" ref="AX3363">IFERROR(DGET('SBV Import'!A:G,"SBV",{"RSC ID","Tier";B3363,A3363}))</f>
        <v/>
      </c>
      <c r="AY3363" s="82" t="str">
        <f t="shared" si="2"/>
        <v/>
      </c>
      <c r="AZ3363" s="82"/>
      <c r="BA3363" s="84" t="s">
        <v>152</v>
      </c>
      <c r="BB3363" s="84" t="str">
        <f>IFERROR(__xludf.DUMMYFUNCTION("iferror(if(A3363="""",,E3363&gt;=FILTER(Constants!$F$2:$F$10,Constants!$A$2:$A$10=A3363)))"),"")</f>
        <v/>
      </c>
    </row>
    <row r="3364">
      <c r="A3364" s="89"/>
      <c r="B3364" s="87"/>
      <c r="C3364" s="73"/>
      <c r="D3364" s="73"/>
      <c r="E3364" s="82"/>
      <c r="F3364" s="82"/>
      <c r="G3364" s="86"/>
      <c r="H3364" s="86"/>
      <c r="I3364" s="86"/>
      <c r="J3364" s="82"/>
      <c r="K3364" s="82"/>
      <c r="L3364" s="82"/>
      <c r="M3364" s="82"/>
      <c r="N3364" s="82"/>
      <c r="O3364" s="82"/>
      <c r="P3364" s="82"/>
      <c r="Q3364" s="82"/>
      <c r="R3364" s="82"/>
      <c r="S3364" s="82"/>
      <c r="T3364" s="82"/>
      <c r="U3364" s="82"/>
      <c r="V3364" s="82"/>
      <c r="W3364" s="82"/>
      <c r="X3364" s="82"/>
      <c r="Y3364" s="82"/>
      <c r="Z3364" s="82"/>
      <c r="AA3364" s="82"/>
      <c r="AB3364" s="82"/>
      <c r="AC3364" s="82"/>
      <c r="AD3364" s="82"/>
      <c r="AE3364" s="82"/>
      <c r="AF3364" s="82"/>
      <c r="AG3364" s="82"/>
      <c r="AH3364" s="82"/>
      <c r="AI3364" s="82"/>
      <c r="AJ3364" s="82"/>
      <c r="AK3364" s="82"/>
      <c r="AL3364" s="82"/>
      <c r="AM3364" s="82"/>
      <c r="AN3364" s="82">
        <f>IFERROR(__xludf.DUMMYFUNCTION("""COMPUTED_VALUE"""),0.0)</f>
        <v>0</v>
      </c>
      <c r="AO3364" s="82">
        <f>IFERROR(__xludf.DUMMYFUNCTION("""COMPUTED_VALUE"""),0.0)</f>
        <v>0</v>
      </c>
      <c r="AP3364" s="82">
        <f>IFERROR(__xludf.DUMMYFUNCTION("""COMPUTED_VALUE"""),0.0)</f>
        <v>0</v>
      </c>
      <c r="AQ3364" s="82">
        <f>IFERROR(__xludf.DUMMYFUNCTION("""COMPUTED_VALUE"""),0.0)</f>
        <v>0</v>
      </c>
      <c r="AR3364" s="82">
        <f>IFERROR(__xludf.DUMMYFUNCTION("""COMPUTED_VALUE"""),0.0)</f>
        <v>0</v>
      </c>
      <c r="AS3364" s="82"/>
      <c r="AT3364" s="82">
        <f>IFERROR(__xludf.DUMMYFUNCTION("""COMPUTED_VALUE"""),0.0)</f>
        <v>0</v>
      </c>
      <c r="AU3364" s="82"/>
      <c r="AV3364" s="82"/>
      <c r="AW3364" s="82" t="str">
        <f t="shared" si="1"/>
        <v/>
      </c>
      <c r="AX3364" s="83" t="str">
        <f t="array" ref="AX3364">IFERROR(DGET('SBV Import'!A:G,"SBV",{"RSC ID","Tier";B3364,A3364}))</f>
        <v/>
      </c>
      <c r="AY3364" s="82" t="str">
        <f t="shared" si="2"/>
        <v/>
      </c>
      <c r="AZ3364" s="82"/>
      <c r="BA3364" s="84" t="s">
        <v>152</v>
      </c>
      <c r="BB3364" s="84" t="str">
        <f>IFERROR(__xludf.DUMMYFUNCTION("iferror(if(A3364="""",,E3364&gt;=FILTER(Constants!$F$2:$F$10,Constants!$A$2:$A$10=A3364)))"),"")</f>
        <v/>
      </c>
    </row>
    <row r="3365">
      <c r="A3365" s="89"/>
      <c r="B3365" s="87"/>
      <c r="C3365" s="73"/>
      <c r="D3365" s="73"/>
      <c r="E3365" s="82"/>
      <c r="F3365" s="82"/>
      <c r="G3365" s="86"/>
      <c r="H3365" s="86"/>
      <c r="I3365" s="86"/>
      <c r="J3365" s="82"/>
      <c r="K3365" s="82"/>
      <c r="L3365" s="82"/>
      <c r="M3365" s="82"/>
      <c r="N3365" s="82"/>
      <c r="O3365" s="82"/>
      <c r="P3365" s="82"/>
      <c r="Q3365" s="82"/>
      <c r="R3365" s="82"/>
      <c r="S3365" s="82"/>
      <c r="T3365" s="82"/>
      <c r="U3365" s="82"/>
      <c r="V3365" s="82"/>
      <c r="W3365" s="82"/>
      <c r="X3365" s="82"/>
      <c r="Y3365" s="82"/>
      <c r="Z3365" s="82"/>
      <c r="AA3365" s="82"/>
      <c r="AB3365" s="82"/>
      <c r="AC3365" s="82"/>
      <c r="AD3365" s="82"/>
      <c r="AE3365" s="82"/>
      <c r="AF3365" s="82"/>
      <c r="AG3365" s="82"/>
      <c r="AH3365" s="82"/>
      <c r="AI3365" s="82"/>
      <c r="AJ3365" s="82"/>
      <c r="AK3365" s="82"/>
      <c r="AL3365" s="82"/>
      <c r="AM3365" s="82"/>
      <c r="AN3365" s="82">
        <f>IFERROR(__xludf.DUMMYFUNCTION("""COMPUTED_VALUE"""),0.0)</f>
        <v>0</v>
      </c>
      <c r="AO3365" s="82">
        <f>IFERROR(__xludf.DUMMYFUNCTION("""COMPUTED_VALUE"""),0.0)</f>
        <v>0</v>
      </c>
      <c r="AP3365" s="82">
        <f>IFERROR(__xludf.DUMMYFUNCTION("""COMPUTED_VALUE"""),0.0)</f>
        <v>0</v>
      </c>
      <c r="AQ3365" s="82">
        <f>IFERROR(__xludf.DUMMYFUNCTION("""COMPUTED_VALUE"""),0.0)</f>
        <v>0</v>
      </c>
      <c r="AR3365" s="82">
        <f>IFERROR(__xludf.DUMMYFUNCTION("""COMPUTED_VALUE"""),0.0)</f>
        <v>0</v>
      </c>
      <c r="AS3365" s="82"/>
      <c r="AT3365" s="82">
        <f>IFERROR(__xludf.DUMMYFUNCTION("""COMPUTED_VALUE"""),0.0)</f>
        <v>0</v>
      </c>
      <c r="AU3365" s="82"/>
      <c r="AV3365" s="82"/>
      <c r="AW3365" s="82" t="str">
        <f t="shared" si="1"/>
        <v/>
      </c>
      <c r="AX3365" s="83" t="str">
        <f t="array" ref="AX3365">IFERROR(DGET('SBV Import'!A:G,"SBV",{"RSC ID","Tier";B3365,A3365}))</f>
        <v/>
      </c>
      <c r="AY3365" s="82" t="str">
        <f t="shared" si="2"/>
        <v/>
      </c>
      <c r="AZ3365" s="82"/>
      <c r="BA3365" s="84" t="s">
        <v>152</v>
      </c>
      <c r="BB3365" s="84" t="str">
        <f>IFERROR(__xludf.DUMMYFUNCTION("iferror(if(A3365="""",,E3365&gt;=FILTER(Constants!$F$2:$F$10,Constants!$A$2:$A$10=A3365)))"),"")</f>
        <v/>
      </c>
    </row>
    <row r="3366">
      <c r="A3366" s="89"/>
      <c r="B3366" s="87"/>
      <c r="C3366" s="73"/>
      <c r="D3366" s="73"/>
      <c r="E3366" s="82"/>
      <c r="F3366" s="82"/>
      <c r="G3366" s="86"/>
      <c r="H3366" s="86"/>
      <c r="I3366" s="86"/>
      <c r="J3366" s="82"/>
      <c r="K3366" s="82"/>
      <c r="L3366" s="82"/>
      <c r="M3366" s="82"/>
      <c r="N3366" s="82"/>
      <c r="O3366" s="82"/>
      <c r="P3366" s="82"/>
      <c r="Q3366" s="82"/>
      <c r="R3366" s="82"/>
      <c r="S3366" s="82"/>
      <c r="T3366" s="82"/>
      <c r="U3366" s="82"/>
      <c r="V3366" s="82"/>
      <c r="W3366" s="82"/>
      <c r="X3366" s="82"/>
      <c r="Y3366" s="82"/>
      <c r="Z3366" s="82"/>
      <c r="AA3366" s="82"/>
      <c r="AB3366" s="82"/>
      <c r="AC3366" s="82"/>
      <c r="AD3366" s="82"/>
      <c r="AE3366" s="82"/>
      <c r="AF3366" s="82"/>
      <c r="AG3366" s="82"/>
      <c r="AH3366" s="82"/>
      <c r="AI3366" s="82"/>
      <c r="AJ3366" s="82"/>
      <c r="AK3366" s="82"/>
      <c r="AL3366" s="82"/>
      <c r="AM3366" s="82"/>
      <c r="AN3366" s="82">
        <f>IFERROR(__xludf.DUMMYFUNCTION("""COMPUTED_VALUE"""),0.0)</f>
        <v>0</v>
      </c>
      <c r="AO3366" s="82">
        <f>IFERROR(__xludf.DUMMYFUNCTION("""COMPUTED_VALUE"""),0.0)</f>
        <v>0</v>
      </c>
      <c r="AP3366" s="82">
        <f>IFERROR(__xludf.DUMMYFUNCTION("""COMPUTED_VALUE"""),0.0)</f>
        <v>0</v>
      </c>
      <c r="AQ3366" s="82">
        <f>IFERROR(__xludf.DUMMYFUNCTION("""COMPUTED_VALUE"""),0.0)</f>
        <v>0</v>
      </c>
      <c r="AR3366" s="82">
        <f>IFERROR(__xludf.DUMMYFUNCTION("""COMPUTED_VALUE"""),0.0)</f>
        <v>0</v>
      </c>
      <c r="AS3366" s="82"/>
      <c r="AT3366" s="82">
        <f>IFERROR(__xludf.DUMMYFUNCTION("""COMPUTED_VALUE"""),0.0)</f>
        <v>0</v>
      </c>
      <c r="AU3366" s="82"/>
      <c r="AV3366" s="82"/>
      <c r="AW3366" s="82" t="str">
        <f t="shared" si="1"/>
        <v/>
      </c>
      <c r="AX3366" s="83" t="str">
        <f t="array" ref="AX3366">IFERROR(DGET('SBV Import'!A:G,"SBV",{"RSC ID","Tier";B3366,A3366}))</f>
        <v/>
      </c>
      <c r="AY3366" s="82" t="str">
        <f t="shared" si="2"/>
        <v/>
      </c>
      <c r="AZ3366" s="82"/>
      <c r="BA3366" s="84" t="s">
        <v>152</v>
      </c>
      <c r="BB3366" s="84" t="str">
        <f>IFERROR(__xludf.DUMMYFUNCTION("iferror(if(A3366="""",,E3366&gt;=FILTER(Constants!$F$2:$F$10,Constants!$A$2:$A$10=A3366)))"),"")</f>
        <v/>
      </c>
    </row>
    <row r="3367">
      <c r="A3367" s="89"/>
      <c r="B3367" s="87"/>
      <c r="C3367" s="73"/>
      <c r="D3367" s="73"/>
      <c r="E3367" s="82"/>
      <c r="F3367" s="82"/>
      <c r="G3367" s="86"/>
      <c r="H3367" s="86"/>
      <c r="I3367" s="86"/>
      <c r="J3367" s="82"/>
      <c r="K3367" s="82"/>
      <c r="L3367" s="82"/>
      <c r="M3367" s="82"/>
      <c r="N3367" s="82"/>
      <c r="O3367" s="82"/>
      <c r="P3367" s="82"/>
      <c r="Q3367" s="82"/>
      <c r="R3367" s="82"/>
      <c r="S3367" s="82"/>
      <c r="T3367" s="82"/>
      <c r="U3367" s="82"/>
      <c r="V3367" s="82"/>
      <c r="W3367" s="82"/>
      <c r="X3367" s="82"/>
      <c r="Y3367" s="82"/>
      <c r="Z3367" s="82"/>
      <c r="AA3367" s="82"/>
      <c r="AB3367" s="82"/>
      <c r="AC3367" s="82"/>
      <c r="AD3367" s="82"/>
      <c r="AE3367" s="82"/>
      <c r="AF3367" s="82"/>
      <c r="AG3367" s="82"/>
      <c r="AH3367" s="82"/>
      <c r="AI3367" s="82"/>
      <c r="AJ3367" s="82"/>
      <c r="AK3367" s="82"/>
      <c r="AL3367" s="82"/>
      <c r="AM3367" s="82"/>
      <c r="AN3367" s="82">
        <f>IFERROR(__xludf.DUMMYFUNCTION("""COMPUTED_VALUE"""),0.0)</f>
        <v>0</v>
      </c>
      <c r="AO3367" s="82">
        <f>IFERROR(__xludf.DUMMYFUNCTION("""COMPUTED_VALUE"""),0.0)</f>
        <v>0</v>
      </c>
      <c r="AP3367" s="82">
        <f>IFERROR(__xludf.DUMMYFUNCTION("""COMPUTED_VALUE"""),0.0)</f>
        <v>0</v>
      </c>
      <c r="AQ3367" s="82">
        <f>IFERROR(__xludf.DUMMYFUNCTION("""COMPUTED_VALUE"""),0.0)</f>
        <v>0</v>
      </c>
      <c r="AR3367" s="82">
        <f>IFERROR(__xludf.DUMMYFUNCTION("""COMPUTED_VALUE"""),0.0)</f>
        <v>0</v>
      </c>
      <c r="AS3367" s="82"/>
      <c r="AT3367" s="82">
        <f>IFERROR(__xludf.DUMMYFUNCTION("""COMPUTED_VALUE"""),0.0)</f>
        <v>0</v>
      </c>
      <c r="AU3367" s="82"/>
      <c r="AV3367" s="82"/>
      <c r="AW3367" s="82" t="str">
        <f t="shared" si="1"/>
        <v/>
      </c>
      <c r="AX3367" s="83" t="str">
        <f t="array" ref="AX3367">IFERROR(DGET('SBV Import'!A:G,"SBV",{"RSC ID","Tier";B3367,A3367}))</f>
        <v/>
      </c>
      <c r="AY3367" s="82" t="str">
        <f t="shared" si="2"/>
        <v/>
      </c>
      <c r="AZ3367" s="82"/>
      <c r="BA3367" s="84" t="s">
        <v>152</v>
      </c>
      <c r="BB3367" s="84" t="str">
        <f>IFERROR(__xludf.DUMMYFUNCTION("iferror(if(A3367="""",,E3367&gt;=FILTER(Constants!$F$2:$F$10,Constants!$A$2:$A$10=A3367)))"),"")</f>
        <v/>
      </c>
    </row>
    <row r="3368">
      <c r="A3368" s="89"/>
      <c r="B3368" s="87"/>
      <c r="C3368" s="73"/>
      <c r="D3368" s="73"/>
      <c r="E3368" s="82"/>
      <c r="F3368" s="82"/>
      <c r="G3368" s="86"/>
      <c r="H3368" s="86"/>
      <c r="I3368" s="86"/>
      <c r="J3368" s="82"/>
      <c r="K3368" s="82"/>
      <c r="L3368" s="82"/>
      <c r="M3368" s="82"/>
      <c r="N3368" s="82"/>
      <c r="O3368" s="82"/>
      <c r="P3368" s="82"/>
      <c r="Q3368" s="82"/>
      <c r="R3368" s="82"/>
      <c r="S3368" s="82"/>
      <c r="T3368" s="82"/>
      <c r="U3368" s="82"/>
      <c r="V3368" s="82"/>
      <c r="W3368" s="82"/>
      <c r="X3368" s="82"/>
      <c r="Y3368" s="82"/>
      <c r="Z3368" s="82"/>
      <c r="AA3368" s="82"/>
      <c r="AB3368" s="82"/>
      <c r="AC3368" s="82"/>
      <c r="AD3368" s="82"/>
      <c r="AE3368" s="82"/>
      <c r="AF3368" s="82"/>
      <c r="AG3368" s="82"/>
      <c r="AH3368" s="82"/>
      <c r="AI3368" s="82"/>
      <c r="AJ3368" s="82"/>
      <c r="AK3368" s="82"/>
      <c r="AL3368" s="82"/>
      <c r="AM3368" s="82"/>
      <c r="AN3368" s="82">
        <f>IFERROR(__xludf.DUMMYFUNCTION("""COMPUTED_VALUE"""),0.0)</f>
        <v>0</v>
      </c>
      <c r="AO3368" s="82">
        <f>IFERROR(__xludf.DUMMYFUNCTION("""COMPUTED_VALUE"""),0.0)</f>
        <v>0</v>
      </c>
      <c r="AP3368" s="82">
        <f>IFERROR(__xludf.DUMMYFUNCTION("""COMPUTED_VALUE"""),0.0)</f>
        <v>0</v>
      </c>
      <c r="AQ3368" s="82">
        <f>IFERROR(__xludf.DUMMYFUNCTION("""COMPUTED_VALUE"""),0.0)</f>
        <v>0</v>
      </c>
      <c r="AR3368" s="82">
        <f>IFERROR(__xludf.DUMMYFUNCTION("""COMPUTED_VALUE"""),0.0)</f>
        <v>0</v>
      </c>
      <c r="AS3368" s="82"/>
      <c r="AT3368" s="82">
        <f>IFERROR(__xludf.DUMMYFUNCTION("""COMPUTED_VALUE"""),0.0)</f>
        <v>0</v>
      </c>
      <c r="AU3368" s="82"/>
      <c r="AV3368" s="82"/>
      <c r="AW3368" s="82" t="str">
        <f t="shared" si="1"/>
        <v/>
      </c>
      <c r="AX3368" s="83" t="str">
        <f t="array" ref="AX3368">IFERROR(DGET('SBV Import'!A:G,"SBV",{"RSC ID","Tier";B3368,A3368}))</f>
        <v/>
      </c>
      <c r="AY3368" s="82" t="str">
        <f t="shared" si="2"/>
        <v/>
      </c>
      <c r="AZ3368" s="82"/>
      <c r="BA3368" s="84" t="s">
        <v>152</v>
      </c>
      <c r="BB3368" s="84" t="str">
        <f>IFERROR(__xludf.DUMMYFUNCTION("iferror(if(A3368="""",,E3368&gt;=FILTER(Constants!$F$2:$F$10,Constants!$A$2:$A$10=A3368)))"),"")</f>
        <v/>
      </c>
    </row>
    <row r="3369">
      <c r="A3369" s="89"/>
      <c r="B3369" s="87"/>
      <c r="C3369" s="73"/>
      <c r="D3369" s="73"/>
      <c r="E3369" s="82"/>
      <c r="F3369" s="82"/>
      <c r="G3369" s="86"/>
      <c r="H3369" s="86"/>
      <c r="I3369" s="86"/>
      <c r="J3369" s="82"/>
      <c r="K3369" s="82"/>
      <c r="L3369" s="82"/>
      <c r="M3369" s="82"/>
      <c r="N3369" s="82"/>
      <c r="O3369" s="82"/>
      <c r="P3369" s="82"/>
      <c r="Q3369" s="82"/>
      <c r="R3369" s="82"/>
      <c r="S3369" s="82"/>
      <c r="T3369" s="82"/>
      <c r="U3369" s="82"/>
      <c r="V3369" s="82"/>
      <c r="W3369" s="82"/>
      <c r="X3369" s="82"/>
      <c r="Y3369" s="82"/>
      <c r="Z3369" s="82"/>
      <c r="AA3369" s="82"/>
      <c r="AB3369" s="82"/>
      <c r="AC3369" s="82"/>
      <c r="AD3369" s="82"/>
      <c r="AE3369" s="82"/>
      <c r="AF3369" s="82"/>
      <c r="AG3369" s="82"/>
      <c r="AH3369" s="82"/>
      <c r="AI3369" s="82"/>
      <c r="AJ3369" s="82"/>
      <c r="AK3369" s="82"/>
      <c r="AL3369" s="82"/>
      <c r="AM3369" s="82"/>
      <c r="AN3369" s="82">
        <f>IFERROR(__xludf.DUMMYFUNCTION("""COMPUTED_VALUE"""),0.0)</f>
        <v>0</v>
      </c>
      <c r="AO3369" s="82">
        <f>IFERROR(__xludf.DUMMYFUNCTION("""COMPUTED_VALUE"""),0.0)</f>
        <v>0</v>
      </c>
      <c r="AP3369" s="82">
        <f>IFERROR(__xludf.DUMMYFUNCTION("""COMPUTED_VALUE"""),0.0)</f>
        <v>0</v>
      </c>
      <c r="AQ3369" s="82">
        <f>IFERROR(__xludf.DUMMYFUNCTION("""COMPUTED_VALUE"""),0.0)</f>
        <v>0</v>
      </c>
      <c r="AR3369" s="82">
        <f>IFERROR(__xludf.DUMMYFUNCTION("""COMPUTED_VALUE"""),0.0)</f>
        <v>0</v>
      </c>
      <c r="AS3369" s="82"/>
      <c r="AT3369" s="82">
        <f>IFERROR(__xludf.DUMMYFUNCTION("""COMPUTED_VALUE"""),0.0)</f>
        <v>0</v>
      </c>
      <c r="AU3369" s="82"/>
      <c r="AV3369" s="82"/>
      <c r="AW3369" s="82" t="str">
        <f t="shared" si="1"/>
        <v/>
      </c>
      <c r="AX3369" s="83" t="str">
        <f t="array" ref="AX3369">IFERROR(DGET('SBV Import'!A:G,"SBV",{"RSC ID","Tier";B3369,A3369}))</f>
        <v/>
      </c>
      <c r="AY3369" s="82" t="str">
        <f t="shared" si="2"/>
        <v/>
      </c>
      <c r="AZ3369" s="82"/>
      <c r="BA3369" s="84" t="s">
        <v>152</v>
      </c>
      <c r="BB3369" s="84" t="str">
        <f>IFERROR(__xludf.DUMMYFUNCTION("iferror(if(A3369="""",,E3369&gt;=FILTER(Constants!$F$2:$F$10,Constants!$A$2:$A$10=A3369)))"),"")</f>
        <v/>
      </c>
    </row>
    <row r="3370">
      <c r="A3370" s="89"/>
      <c r="B3370" s="87"/>
      <c r="C3370" s="73"/>
      <c r="D3370" s="73"/>
      <c r="E3370" s="82"/>
      <c r="F3370" s="82"/>
      <c r="G3370" s="86"/>
      <c r="H3370" s="86"/>
      <c r="I3370" s="86"/>
      <c r="J3370" s="82"/>
      <c r="K3370" s="82"/>
      <c r="L3370" s="82"/>
      <c r="M3370" s="82"/>
      <c r="N3370" s="82"/>
      <c r="O3370" s="82"/>
      <c r="P3370" s="82"/>
      <c r="Q3370" s="82"/>
      <c r="R3370" s="82"/>
      <c r="S3370" s="82"/>
      <c r="T3370" s="82"/>
      <c r="U3370" s="82"/>
      <c r="V3370" s="82"/>
      <c r="W3370" s="82"/>
      <c r="X3370" s="82"/>
      <c r="Y3370" s="82"/>
      <c r="Z3370" s="82"/>
      <c r="AA3370" s="82"/>
      <c r="AB3370" s="82"/>
      <c r="AC3370" s="82"/>
      <c r="AD3370" s="82"/>
      <c r="AE3370" s="82"/>
      <c r="AF3370" s="82"/>
      <c r="AG3370" s="82"/>
      <c r="AH3370" s="82"/>
      <c r="AI3370" s="82"/>
      <c r="AJ3370" s="82"/>
      <c r="AK3370" s="82"/>
      <c r="AL3370" s="82"/>
      <c r="AM3370" s="82"/>
      <c r="AN3370" s="82">
        <f>IFERROR(__xludf.DUMMYFUNCTION("""COMPUTED_VALUE"""),0.0)</f>
        <v>0</v>
      </c>
      <c r="AO3370" s="82">
        <f>IFERROR(__xludf.DUMMYFUNCTION("""COMPUTED_VALUE"""),0.0)</f>
        <v>0</v>
      </c>
      <c r="AP3370" s="82">
        <f>IFERROR(__xludf.DUMMYFUNCTION("""COMPUTED_VALUE"""),0.0)</f>
        <v>0</v>
      </c>
      <c r="AQ3370" s="82">
        <f>IFERROR(__xludf.DUMMYFUNCTION("""COMPUTED_VALUE"""),0.0)</f>
        <v>0</v>
      </c>
      <c r="AR3370" s="82">
        <f>IFERROR(__xludf.DUMMYFUNCTION("""COMPUTED_VALUE"""),0.0)</f>
        <v>0</v>
      </c>
      <c r="AS3370" s="82"/>
      <c r="AT3370" s="82">
        <f>IFERROR(__xludf.DUMMYFUNCTION("""COMPUTED_VALUE"""),0.0)</f>
        <v>0</v>
      </c>
      <c r="AU3370" s="82"/>
      <c r="AV3370" s="82"/>
      <c r="AW3370" s="82" t="str">
        <f t="shared" si="1"/>
        <v/>
      </c>
      <c r="AX3370" s="83" t="str">
        <f t="array" ref="AX3370">IFERROR(DGET('SBV Import'!A:G,"SBV",{"RSC ID","Tier";B3370,A3370}))</f>
        <v/>
      </c>
      <c r="AY3370" s="82" t="str">
        <f t="shared" si="2"/>
        <v/>
      </c>
      <c r="AZ3370" s="82"/>
      <c r="BA3370" s="84" t="s">
        <v>152</v>
      </c>
      <c r="BB3370" s="84" t="str">
        <f>IFERROR(__xludf.DUMMYFUNCTION("iferror(if(A3370="""",,E3370&gt;=FILTER(Constants!$F$2:$F$10,Constants!$A$2:$A$10=A3370)))"),"")</f>
        <v/>
      </c>
    </row>
    <row r="3371">
      <c r="A3371" s="89"/>
      <c r="B3371" s="87"/>
      <c r="C3371" s="73"/>
      <c r="D3371" s="73"/>
      <c r="E3371" s="82"/>
      <c r="F3371" s="82"/>
      <c r="G3371" s="86"/>
      <c r="H3371" s="86"/>
      <c r="I3371" s="86"/>
      <c r="J3371" s="82"/>
      <c r="K3371" s="82"/>
      <c r="L3371" s="82"/>
      <c r="M3371" s="82"/>
      <c r="N3371" s="82"/>
      <c r="O3371" s="82"/>
      <c r="P3371" s="82"/>
      <c r="Q3371" s="82"/>
      <c r="R3371" s="82"/>
      <c r="S3371" s="82"/>
      <c r="T3371" s="82"/>
      <c r="U3371" s="82"/>
      <c r="V3371" s="82"/>
      <c r="W3371" s="82"/>
      <c r="X3371" s="82"/>
      <c r="Y3371" s="82"/>
      <c r="Z3371" s="82"/>
      <c r="AA3371" s="82"/>
      <c r="AB3371" s="82"/>
      <c r="AC3371" s="82"/>
      <c r="AD3371" s="82"/>
      <c r="AE3371" s="82"/>
      <c r="AF3371" s="82"/>
      <c r="AG3371" s="82"/>
      <c r="AH3371" s="82"/>
      <c r="AI3371" s="82"/>
      <c r="AJ3371" s="82"/>
      <c r="AK3371" s="82"/>
      <c r="AL3371" s="82"/>
      <c r="AM3371" s="82"/>
      <c r="AN3371" s="82">
        <f>IFERROR(__xludf.DUMMYFUNCTION("""COMPUTED_VALUE"""),0.0)</f>
        <v>0</v>
      </c>
      <c r="AO3371" s="82">
        <f>IFERROR(__xludf.DUMMYFUNCTION("""COMPUTED_VALUE"""),0.0)</f>
        <v>0</v>
      </c>
      <c r="AP3371" s="82">
        <f>IFERROR(__xludf.DUMMYFUNCTION("""COMPUTED_VALUE"""),0.0)</f>
        <v>0</v>
      </c>
      <c r="AQ3371" s="82">
        <f>IFERROR(__xludf.DUMMYFUNCTION("""COMPUTED_VALUE"""),0.0)</f>
        <v>0</v>
      </c>
      <c r="AR3371" s="82">
        <f>IFERROR(__xludf.DUMMYFUNCTION("""COMPUTED_VALUE"""),0.0)</f>
        <v>0</v>
      </c>
      <c r="AS3371" s="82"/>
      <c r="AT3371" s="82">
        <f>IFERROR(__xludf.DUMMYFUNCTION("""COMPUTED_VALUE"""),0.0)</f>
        <v>0</v>
      </c>
      <c r="AU3371" s="82"/>
      <c r="AV3371" s="82"/>
      <c r="AW3371" s="82" t="str">
        <f t="shared" si="1"/>
        <v/>
      </c>
      <c r="AX3371" s="83" t="str">
        <f t="array" ref="AX3371">IFERROR(DGET('SBV Import'!A:G,"SBV",{"RSC ID","Tier";B3371,A3371}))</f>
        <v/>
      </c>
      <c r="AY3371" s="82" t="str">
        <f t="shared" si="2"/>
        <v/>
      </c>
      <c r="AZ3371" s="82"/>
      <c r="BA3371" s="84" t="s">
        <v>152</v>
      </c>
      <c r="BB3371" s="84" t="str">
        <f>IFERROR(__xludf.DUMMYFUNCTION("iferror(if(A3371="""",,E3371&gt;=FILTER(Constants!$F$2:$F$10,Constants!$A$2:$A$10=A3371)))"),"")</f>
        <v/>
      </c>
    </row>
    <row r="3372">
      <c r="A3372" s="89"/>
      <c r="B3372" s="87"/>
      <c r="C3372" s="73"/>
      <c r="D3372" s="73"/>
      <c r="E3372" s="82"/>
      <c r="F3372" s="82"/>
      <c r="G3372" s="86"/>
      <c r="H3372" s="86"/>
      <c r="I3372" s="86"/>
      <c r="J3372" s="82"/>
      <c r="K3372" s="82"/>
      <c r="L3372" s="82"/>
      <c r="M3372" s="82"/>
      <c r="N3372" s="82"/>
      <c r="O3372" s="82"/>
      <c r="P3372" s="82"/>
      <c r="Q3372" s="82"/>
      <c r="R3372" s="82"/>
      <c r="S3372" s="82"/>
      <c r="T3372" s="82"/>
      <c r="U3372" s="82"/>
      <c r="V3372" s="82"/>
      <c r="W3372" s="82"/>
      <c r="X3372" s="82"/>
      <c r="Y3372" s="82"/>
      <c r="Z3372" s="82"/>
      <c r="AA3372" s="82"/>
      <c r="AB3372" s="82"/>
      <c r="AC3372" s="82"/>
      <c r="AD3372" s="82"/>
      <c r="AE3372" s="82"/>
      <c r="AF3372" s="82"/>
      <c r="AG3372" s="82"/>
      <c r="AH3372" s="82"/>
      <c r="AI3372" s="82"/>
      <c r="AJ3372" s="82"/>
      <c r="AK3372" s="82"/>
      <c r="AL3372" s="82"/>
      <c r="AM3372" s="82"/>
      <c r="AN3372" s="82">
        <f>IFERROR(__xludf.DUMMYFUNCTION("""COMPUTED_VALUE"""),0.0)</f>
        <v>0</v>
      </c>
      <c r="AO3372" s="82">
        <f>IFERROR(__xludf.DUMMYFUNCTION("""COMPUTED_VALUE"""),0.0)</f>
        <v>0</v>
      </c>
      <c r="AP3372" s="82">
        <f>IFERROR(__xludf.DUMMYFUNCTION("""COMPUTED_VALUE"""),0.0)</f>
        <v>0</v>
      </c>
      <c r="AQ3372" s="82">
        <f>IFERROR(__xludf.DUMMYFUNCTION("""COMPUTED_VALUE"""),0.0)</f>
        <v>0</v>
      </c>
      <c r="AR3372" s="82">
        <f>IFERROR(__xludf.DUMMYFUNCTION("""COMPUTED_VALUE"""),0.0)</f>
        <v>0</v>
      </c>
      <c r="AS3372" s="82"/>
      <c r="AT3372" s="82">
        <f>IFERROR(__xludf.DUMMYFUNCTION("""COMPUTED_VALUE"""),0.0)</f>
        <v>0</v>
      </c>
      <c r="AU3372" s="82"/>
      <c r="AV3372" s="82"/>
      <c r="AW3372" s="82" t="str">
        <f t="shared" si="1"/>
        <v/>
      </c>
      <c r="AX3372" s="83" t="str">
        <f t="array" ref="AX3372">IFERROR(DGET('SBV Import'!A:G,"SBV",{"RSC ID","Tier";B3372,A3372}))</f>
        <v/>
      </c>
      <c r="AY3372" s="82" t="str">
        <f t="shared" si="2"/>
        <v/>
      </c>
      <c r="AZ3372" s="82"/>
      <c r="BA3372" s="84" t="s">
        <v>152</v>
      </c>
      <c r="BB3372" s="84" t="str">
        <f>IFERROR(__xludf.DUMMYFUNCTION("iferror(if(A3372="""",,E3372&gt;=FILTER(Constants!$F$2:$F$10,Constants!$A$2:$A$10=A3372)))"),"")</f>
        <v/>
      </c>
    </row>
    <row r="3373">
      <c r="A3373" s="89"/>
      <c r="B3373" s="87"/>
      <c r="C3373" s="73"/>
      <c r="D3373" s="73"/>
      <c r="E3373" s="82"/>
      <c r="F3373" s="82"/>
      <c r="G3373" s="86"/>
      <c r="H3373" s="86"/>
      <c r="I3373" s="86"/>
      <c r="J3373" s="82"/>
      <c r="K3373" s="82"/>
      <c r="L3373" s="82"/>
      <c r="M3373" s="82"/>
      <c r="N3373" s="82"/>
      <c r="O3373" s="82"/>
      <c r="P3373" s="82"/>
      <c r="Q3373" s="82"/>
      <c r="R3373" s="82"/>
      <c r="S3373" s="82"/>
      <c r="T3373" s="82"/>
      <c r="U3373" s="82"/>
      <c r="V3373" s="82"/>
      <c r="W3373" s="82"/>
      <c r="X3373" s="82"/>
      <c r="Y3373" s="82"/>
      <c r="Z3373" s="82"/>
      <c r="AA3373" s="82"/>
      <c r="AB3373" s="82"/>
      <c r="AC3373" s="82"/>
      <c r="AD3373" s="82"/>
      <c r="AE3373" s="82"/>
      <c r="AF3373" s="82"/>
      <c r="AG3373" s="82"/>
      <c r="AH3373" s="82"/>
      <c r="AI3373" s="82"/>
      <c r="AJ3373" s="82"/>
      <c r="AK3373" s="82"/>
      <c r="AL3373" s="82"/>
      <c r="AM3373" s="82"/>
      <c r="AN3373" s="82">
        <f>IFERROR(__xludf.DUMMYFUNCTION("""COMPUTED_VALUE"""),0.0)</f>
        <v>0</v>
      </c>
      <c r="AO3373" s="82">
        <f>IFERROR(__xludf.DUMMYFUNCTION("""COMPUTED_VALUE"""),0.0)</f>
        <v>0</v>
      </c>
      <c r="AP3373" s="82">
        <f>IFERROR(__xludf.DUMMYFUNCTION("""COMPUTED_VALUE"""),0.0)</f>
        <v>0</v>
      </c>
      <c r="AQ3373" s="82">
        <f>IFERROR(__xludf.DUMMYFUNCTION("""COMPUTED_VALUE"""),0.0)</f>
        <v>0</v>
      </c>
      <c r="AR3373" s="82">
        <f>IFERROR(__xludf.DUMMYFUNCTION("""COMPUTED_VALUE"""),0.0)</f>
        <v>0</v>
      </c>
      <c r="AS3373" s="82"/>
      <c r="AT3373" s="82">
        <f>IFERROR(__xludf.DUMMYFUNCTION("""COMPUTED_VALUE"""),0.0)</f>
        <v>0</v>
      </c>
      <c r="AU3373" s="82"/>
      <c r="AV3373" s="82"/>
      <c r="AW3373" s="82" t="str">
        <f t="shared" si="1"/>
        <v/>
      </c>
      <c r="AX3373" s="83" t="str">
        <f t="array" ref="AX3373">IFERROR(DGET('SBV Import'!A:G,"SBV",{"RSC ID","Tier";B3373,A3373}))</f>
        <v/>
      </c>
      <c r="AY3373" s="82" t="str">
        <f t="shared" si="2"/>
        <v/>
      </c>
      <c r="AZ3373" s="82"/>
      <c r="BA3373" s="84" t="s">
        <v>152</v>
      </c>
      <c r="BB3373" s="84" t="str">
        <f>IFERROR(__xludf.DUMMYFUNCTION("iferror(if(A3373="""",,E3373&gt;=FILTER(Constants!$F$2:$F$10,Constants!$A$2:$A$10=A3373)))"),"")</f>
        <v/>
      </c>
    </row>
    <row r="3374">
      <c r="A3374" s="89"/>
      <c r="B3374" s="87"/>
      <c r="C3374" s="73"/>
      <c r="D3374" s="73"/>
      <c r="E3374" s="82"/>
      <c r="F3374" s="82"/>
      <c r="G3374" s="86"/>
      <c r="H3374" s="86"/>
      <c r="I3374" s="86"/>
      <c r="J3374" s="82"/>
      <c r="K3374" s="82"/>
      <c r="L3374" s="82"/>
      <c r="M3374" s="82"/>
      <c r="N3374" s="82"/>
      <c r="O3374" s="82"/>
      <c r="P3374" s="82"/>
      <c r="Q3374" s="82"/>
      <c r="R3374" s="82"/>
      <c r="S3374" s="82"/>
      <c r="T3374" s="82"/>
      <c r="U3374" s="82"/>
      <c r="V3374" s="82"/>
      <c r="W3374" s="82"/>
      <c r="X3374" s="82"/>
      <c r="Y3374" s="82"/>
      <c r="Z3374" s="82"/>
      <c r="AA3374" s="82"/>
      <c r="AB3374" s="82"/>
      <c r="AC3374" s="82"/>
      <c r="AD3374" s="82"/>
      <c r="AE3374" s="82"/>
      <c r="AF3374" s="82"/>
      <c r="AG3374" s="82"/>
      <c r="AH3374" s="82"/>
      <c r="AI3374" s="82"/>
      <c r="AJ3374" s="82"/>
      <c r="AK3374" s="82"/>
      <c r="AL3374" s="82"/>
      <c r="AM3374" s="82"/>
      <c r="AN3374" s="82">
        <f>IFERROR(__xludf.DUMMYFUNCTION("""COMPUTED_VALUE"""),0.0)</f>
        <v>0</v>
      </c>
      <c r="AO3374" s="82">
        <f>IFERROR(__xludf.DUMMYFUNCTION("""COMPUTED_VALUE"""),0.0)</f>
        <v>0</v>
      </c>
      <c r="AP3374" s="82">
        <f>IFERROR(__xludf.DUMMYFUNCTION("""COMPUTED_VALUE"""),0.0)</f>
        <v>0</v>
      </c>
      <c r="AQ3374" s="82">
        <f>IFERROR(__xludf.DUMMYFUNCTION("""COMPUTED_VALUE"""),0.0)</f>
        <v>0</v>
      </c>
      <c r="AR3374" s="82">
        <f>IFERROR(__xludf.DUMMYFUNCTION("""COMPUTED_VALUE"""),0.0)</f>
        <v>0</v>
      </c>
      <c r="AS3374" s="82"/>
      <c r="AT3374" s="82">
        <f>IFERROR(__xludf.DUMMYFUNCTION("""COMPUTED_VALUE"""),0.0)</f>
        <v>0</v>
      </c>
      <c r="AU3374" s="82"/>
      <c r="AV3374" s="82"/>
      <c r="AW3374" s="82" t="str">
        <f t="shared" si="1"/>
        <v/>
      </c>
      <c r="AX3374" s="83" t="str">
        <f t="array" ref="AX3374">IFERROR(DGET('SBV Import'!A:G,"SBV",{"RSC ID","Tier";B3374,A3374}))</f>
        <v/>
      </c>
      <c r="AY3374" s="82" t="str">
        <f t="shared" si="2"/>
        <v/>
      </c>
      <c r="AZ3374" s="82"/>
      <c r="BA3374" s="84" t="s">
        <v>152</v>
      </c>
      <c r="BB3374" s="84" t="str">
        <f>IFERROR(__xludf.DUMMYFUNCTION("iferror(if(A3374="""",,E3374&gt;=FILTER(Constants!$F$2:$F$10,Constants!$A$2:$A$10=A3374)))"),"")</f>
        <v/>
      </c>
    </row>
    <row r="3375">
      <c r="A3375" s="89"/>
      <c r="B3375" s="87"/>
      <c r="C3375" s="73"/>
      <c r="D3375" s="73"/>
      <c r="E3375" s="82"/>
      <c r="F3375" s="82"/>
      <c r="G3375" s="86"/>
      <c r="H3375" s="86"/>
      <c r="I3375" s="86"/>
      <c r="J3375" s="82"/>
      <c r="K3375" s="82"/>
      <c r="L3375" s="82"/>
      <c r="M3375" s="82"/>
      <c r="N3375" s="82"/>
      <c r="O3375" s="82"/>
      <c r="P3375" s="82"/>
      <c r="Q3375" s="82"/>
      <c r="R3375" s="82"/>
      <c r="S3375" s="82"/>
      <c r="T3375" s="82"/>
      <c r="U3375" s="82"/>
      <c r="V3375" s="82"/>
      <c r="W3375" s="82"/>
      <c r="X3375" s="82"/>
      <c r="Y3375" s="82"/>
      <c r="Z3375" s="82"/>
      <c r="AA3375" s="82"/>
      <c r="AB3375" s="82"/>
      <c r="AC3375" s="82"/>
      <c r="AD3375" s="82"/>
      <c r="AE3375" s="82"/>
      <c r="AF3375" s="82"/>
      <c r="AG3375" s="82"/>
      <c r="AH3375" s="82"/>
      <c r="AI3375" s="82"/>
      <c r="AJ3375" s="82"/>
      <c r="AK3375" s="82"/>
      <c r="AL3375" s="82"/>
      <c r="AM3375" s="82"/>
      <c r="AN3375" s="82">
        <f>IFERROR(__xludf.DUMMYFUNCTION("""COMPUTED_VALUE"""),0.0)</f>
        <v>0</v>
      </c>
      <c r="AO3375" s="82">
        <f>IFERROR(__xludf.DUMMYFUNCTION("""COMPUTED_VALUE"""),0.0)</f>
        <v>0</v>
      </c>
      <c r="AP3375" s="82">
        <f>IFERROR(__xludf.DUMMYFUNCTION("""COMPUTED_VALUE"""),0.0)</f>
        <v>0</v>
      </c>
      <c r="AQ3375" s="82">
        <f>IFERROR(__xludf.DUMMYFUNCTION("""COMPUTED_VALUE"""),0.0)</f>
        <v>0</v>
      </c>
      <c r="AR3375" s="82">
        <f>IFERROR(__xludf.DUMMYFUNCTION("""COMPUTED_VALUE"""),0.0)</f>
        <v>0</v>
      </c>
      <c r="AS3375" s="82"/>
      <c r="AT3375" s="82">
        <f>IFERROR(__xludf.DUMMYFUNCTION("""COMPUTED_VALUE"""),0.0)</f>
        <v>0</v>
      </c>
      <c r="AU3375" s="82"/>
      <c r="AV3375" s="82"/>
      <c r="AW3375" s="82" t="str">
        <f t="shared" si="1"/>
        <v/>
      </c>
      <c r="AX3375" s="83" t="str">
        <f t="array" ref="AX3375">IFERROR(DGET('SBV Import'!A:G,"SBV",{"RSC ID","Tier";B3375,A3375}))</f>
        <v/>
      </c>
      <c r="AY3375" s="82" t="str">
        <f t="shared" si="2"/>
        <v/>
      </c>
      <c r="AZ3375" s="82"/>
      <c r="BA3375" s="84" t="s">
        <v>152</v>
      </c>
      <c r="BB3375" s="84" t="str">
        <f>IFERROR(__xludf.DUMMYFUNCTION("iferror(if(A3375="""",,E3375&gt;=FILTER(Constants!$F$2:$F$10,Constants!$A$2:$A$10=A3375)))"),"")</f>
        <v/>
      </c>
    </row>
    <row r="3376">
      <c r="A3376" s="89"/>
      <c r="B3376" s="87"/>
      <c r="C3376" s="73"/>
      <c r="D3376" s="73"/>
      <c r="E3376" s="82"/>
      <c r="F3376" s="82"/>
      <c r="G3376" s="86"/>
      <c r="H3376" s="86"/>
      <c r="I3376" s="86"/>
      <c r="J3376" s="82"/>
      <c r="K3376" s="82"/>
      <c r="L3376" s="82"/>
      <c r="M3376" s="82"/>
      <c r="N3376" s="82"/>
      <c r="O3376" s="82"/>
      <c r="P3376" s="82"/>
      <c r="Q3376" s="82"/>
      <c r="R3376" s="82"/>
      <c r="S3376" s="82"/>
      <c r="T3376" s="82"/>
      <c r="U3376" s="82"/>
      <c r="V3376" s="82"/>
      <c r="W3376" s="82"/>
      <c r="X3376" s="82"/>
      <c r="Y3376" s="82"/>
      <c r="Z3376" s="82"/>
      <c r="AA3376" s="82"/>
      <c r="AB3376" s="82"/>
      <c r="AC3376" s="82"/>
      <c r="AD3376" s="82"/>
      <c r="AE3376" s="82"/>
      <c r="AF3376" s="82"/>
      <c r="AG3376" s="82"/>
      <c r="AH3376" s="82"/>
      <c r="AI3376" s="82"/>
      <c r="AJ3376" s="82"/>
      <c r="AK3376" s="82"/>
      <c r="AL3376" s="82"/>
      <c r="AM3376" s="82"/>
      <c r="AN3376" s="82">
        <f>IFERROR(__xludf.DUMMYFUNCTION("""COMPUTED_VALUE"""),0.0)</f>
        <v>0</v>
      </c>
      <c r="AO3376" s="82">
        <f>IFERROR(__xludf.DUMMYFUNCTION("""COMPUTED_VALUE"""),0.0)</f>
        <v>0</v>
      </c>
      <c r="AP3376" s="82">
        <f>IFERROR(__xludf.DUMMYFUNCTION("""COMPUTED_VALUE"""),0.0)</f>
        <v>0</v>
      </c>
      <c r="AQ3376" s="82">
        <f>IFERROR(__xludf.DUMMYFUNCTION("""COMPUTED_VALUE"""),0.0)</f>
        <v>0</v>
      </c>
      <c r="AR3376" s="82">
        <f>IFERROR(__xludf.DUMMYFUNCTION("""COMPUTED_VALUE"""),0.0)</f>
        <v>0</v>
      </c>
      <c r="AS3376" s="82"/>
      <c r="AT3376" s="82">
        <f>IFERROR(__xludf.DUMMYFUNCTION("""COMPUTED_VALUE"""),0.0)</f>
        <v>0</v>
      </c>
      <c r="AU3376" s="82"/>
      <c r="AV3376" s="82"/>
      <c r="AW3376" s="82" t="str">
        <f t="shared" si="1"/>
        <v/>
      </c>
      <c r="AX3376" s="83" t="str">
        <f t="array" ref="AX3376">IFERROR(DGET('SBV Import'!A:G,"SBV",{"RSC ID","Tier";B3376,A3376}))</f>
        <v/>
      </c>
      <c r="AY3376" s="82" t="str">
        <f t="shared" si="2"/>
        <v/>
      </c>
      <c r="AZ3376" s="82"/>
      <c r="BA3376" s="84" t="s">
        <v>152</v>
      </c>
      <c r="BB3376" s="84" t="str">
        <f>IFERROR(__xludf.DUMMYFUNCTION("iferror(if(A3376="""",,E3376&gt;=FILTER(Constants!$F$2:$F$10,Constants!$A$2:$A$10=A3376)))"),"")</f>
        <v/>
      </c>
    </row>
    <row r="3377">
      <c r="A3377" s="89"/>
      <c r="B3377" s="87"/>
      <c r="C3377" s="73"/>
      <c r="D3377" s="73"/>
      <c r="E3377" s="82"/>
      <c r="F3377" s="82"/>
      <c r="G3377" s="86"/>
      <c r="H3377" s="86"/>
      <c r="I3377" s="86"/>
      <c r="J3377" s="82"/>
      <c r="K3377" s="82"/>
      <c r="L3377" s="82"/>
      <c r="M3377" s="82"/>
      <c r="N3377" s="82"/>
      <c r="O3377" s="82"/>
      <c r="P3377" s="82"/>
      <c r="Q3377" s="82"/>
      <c r="R3377" s="82"/>
      <c r="S3377" s="82"/>
      <c r="T3377" s="82"/>
      <c r="U3377" s="82"/>
      <c r="V3377" s="82"/>
      <c r="W3377" s="82"/>
      <c r="X3377" s="82"/>
      <c r="Y3377" s="82"/>
      <c r="Z3377" s="82"/>
      <c r="AA3377" s="82"/>
      <c r="AB3377" s="82"/>
      <c r="AC3377" s="82"/>
      <c r="AD3377" s="82"/>
      <c r="AE3377" s="82"/>
      <c r="AF3377" s="82"/>
      <c r="AG3377" s="82"/>
      <c r="AH3377" s="82"/>
      <c r="AI3377" s="82"/>
      <c r="AJ3377" s="82"/>
      <c r="AK3377" s="82"/>
      <c r="AL3377" s="82"/>
      <c r="AM3377" s="82"/>
      <c r="AN3377" s="82">
        <f>IFERROR(__xludf.DUMMYFUNCTION("""COMPUTED_VALUE"""),0.0)</f>
        <v>0</v>
      </c>
      <c r="AO3377" s="82">
        <f>IFERROR(__xludf.DUMMYFUNCTION("""COMPUTED_VALUE"""),0.0)</f>
        <v>0</v>
      </c>
      <c r="AP3377" s="82">
        <f>IFERROR(__xludf.DUMMYFUNCTION("""COMPUTED_VALUE"""),0.0)</f>
        <v>0</v>
      </c>
      <c r="AQ3377" s="82">
        <f>IFERROR(__xludf.DUMMYFUNCTION("""COMPUTED_VALUE"""),0.0)</f>
        <v>0</v>
      </c>
      <c r="AR3377" s="82">
        <f>IFERROR(__xludf.DUMMYFUNCTION("""COMPUTED_VALUE"""),0.0)</f>
        <v>0</v>
      </c>
      <c r="AS3377" s="82"/>
      <c r="AT3377" s="82">
        <f>IFERROR(__xludf.DUMMYFUNCTION("""COMPUTED_VALUE"""),0.0)</f>
        <v>0</v>
      </c>
      <c r="AU3377" s="82"/>
      <c r="AV3377" s="82"/>
      <c r="AW3377" s="82" t="str">
        <f t="shared" si="1"/>
        <v/>
      </c>
      <c r="AX3377" s="83" t="str">
        <f t="array" ref="AX3377">IFERROR(DGET('SBV Import'!A:G,"SBV",{"RSC ID","Tier";B3377,A3377}))</f>
        <v/>
      </c>
      <c r="AY3377" s="82" t="str">
        <f t="shared" si="2"/>
        <v/>
      </c>
      <c r="AZ3377" s="82"/>
      <c r="BA3377" s="84" t="s">
        <v>152</v>
      </c>
      <c r="BB3377" s="84" t="str">
        <f>IFERROR(__xludf.DUMMYFUNCTION("iferror(if(A3377="""",,E3377&gt;=FILTER(Constants!$F$2:$F$10,Constants!$A$2:$A$10=A3377)))"),"")</f>
        <v/>
      </c>
    </row>
    <row r="3378">
      <c r="A3378" s="89"/>
      <c r="B3378" s="87"/>
      <c r="C3378" s="73"/>
      <c r="D3378" s="73"/>
      <c r="E3378" s="82"/>
      <c r="F3378" s="82"/>
      <c r="G3378" s="86"/>
      <c r="H3378" s="86"/>
      <c r="I3378" s="86"/>
      <c r="J3378" s="82"/>
      <c r="K3378" s="82"/>
      <c r="L3378" s="82"/>
      <c r="M3378" s="82"/>
      <c r="N3378" s="82"/>
      <c r="O3378" s="82"/>
      <c r="P3378" s="82"/>
      <c r="Q3378" s="82"/>
      <c r="R3378" s="82"/>
      <c r="S3378" s="82"/>
      <c r="T3378" s="82"/>
      <c r="U3378" s="82"/>
      <c r="V3378" s="82"/>
      <c r="W3378" s="82"/>
      <c r="X3378" s="82"/>
      <c r="Y3378" s="82"/>
      <c r="Z3378" s="82"/>
      <c r="AA3378" s="82"/>
      <c r="AB3378" s="82"/>
      <c r="AC3378" s="82"/>
      <c r="AD3378" s="82"/>
      <c r="AE3378" s="82"/>
      <c r="AF3378" s="82"/>
      <c r="AG3378" s="82"/>
      <c r="AH3378" s="82"/>
      <c r="AI3378" s="82"/>
      <c r="AJ3378" s="82"/>
      <c r="AK3378" s="82"/>
      <c r="AL3378" s="82"/>
      <c r="AM3378" s="82"/>
      <c r="AN3378" s="82">
        <f>IFERROR(__xludf.DUMMYFUNCTION("""COMPUTED_VALUE"""),0.0)</f>
        <v>0</v>
      </c>
      <c r="AO3378" s="82">
        <f>IFERROR(__xludf.DUMMYFUNCTION("""COMPUTED_VALUE"""),0.0)</f>
        <v>0</v>
      </c>
      <c r="AP3378" s="82">
        <f>IFERROR(__xludf.DUMMYFUNCTION("""COMPUTED_VALUE"""),0.0)</f>
        <v>0</v>
      </c>
      <c r="AQ3378" s="82">
        <f>IFERROR(__xludf.DUMMYFUNCTION("""COMPUTED_VALUE"""),0.0)</f>
        <v>0</v>
      </c>
      <c r="AR3378" s="82">
        <f>IFERROR(__xludf.DUMMYFUNCTION("""COMPUTED_VALUE"""),0.0)</f>
        <v>0</v>
      </c>
      <c r="AS3378" s="82"/>
      <c r="AT3378" s="82">
        <f>IFERROR(__xludf.DUMMYFUNCTION("""COMPUTED_VALUE"""),0.0)</f>
        <v>0</v>
      </c>
      <c r="AU3378" s="82"/>
      <c r="AV3378" s="82"/>
      <c r="AW3378" s="82" t="str">
        <f t="shared" si="1"/>
        <v/>
      </c>
      <c r="AX3378" s="83" t="str">
        <f t="array" ref="AX3378">IFERROR(DGET('SBV Import'!A:G,"SBV",{"RSC ID","Tier";B3378,A3378}))</f>
        <v/>
      </c>
      <c r="AY3378" s="82" t="str">
        <f t="shared" si="2"/>
        <v/>
      </c>
      <c r="AZ3378" s="82"/>
      <c r="BA3378" s="84" t="s">
        <v>152</v>
      </c>
      <c r="BB3378" s="84" t="str">
        <f>IFERROR(__xludf.DUMMYFUNCTION("iferror(if(A3378="""",,E3378&gt;=FILTER(Constants!$F$2:$F$10,Constants!$A$2:$A$10=A3378)))"),"")</f>
        <v/>
      </c>
    </row>
    <row r="3379">
      <c r="A3379" s="89"/>
      <c r="B3379" s="87"/>
      <c r="C3379" s="73"/>
      <c r="D3379" s="73"/>
      <c r="E3379" s="82"/>
      <c r="F3379" s="82"/>
      <c r="G3379" s="86"/>
      <c r="H3379" s="86"/>
      <c r="I3379" s="86"/>
      <c r="J3379" s="82"/>
      <c r="K3379" s="82"/>
      <c r="L3379" s="82"/>
      <c r="M3379" s="82"/>
      <c r="N3379" s="82"/>
      <c r="O3379" s="82"/>
      <c r="P3379" s="82"/>
      <c r="Q3379" s="82"/>
      <c r="R3379" s="82"/>
      <c r="S3379" s="82"/>
      <c r="T3379" s="82"/>
      <c r="U3379" s="82"/>
      <c r="V3379" s="82"/>
      <c r="W3379" s="82"/>
      <c r="X3379" s="82"/>
      <c r="Y3379" s="82"/>
      <c r="Z3379" s="82"/>
      <c r="AA3379" s="82"/>
      <c r="AB3379" s="82"/>
      <c r="AC3379" s="82"/>
      <c r="AD3379" s="82"/>
      <c r="AE3379" s="82"/>
      <c r="AF3379" s="82"/>
      <c r="AG3379" s="82"/>
      <c r="AH3379" s="82"/>
      <c r="AI3379" s="82"/>
      <c r="AJ3379" s="82"/>
      <c r="AK3379" s="82"/>
      <c r="AL3379" s="82"/>
      <c r="AM3379" s="82"/>
      <c r="AN3379" s="82">
        <f>IFERROR(__xludf.DUMMYFUNCTION("""COMPUTED_VALUE"""),0.0)</f>
        <v>0</v>
      </c>
      <c r="AO3379" s="82">
        <f>IFERROR(__xludf.DUMMYFUNCTION("""COMPUTED_VALUE"""),0.0)</f>
        <v>0</v>
      </c>
      <c r="AP3379" s="82">
        <f>IFERROR(__xludf.DUMMYFUNCTION("""COMPUTED_VALUE"""),0.0)</f>
        <v>0</v>
      </c>
      <c r="AQ3379" s="82">
        <f>IFERROR(__xludf.DUMMYFUNCTION("""COMPUTED_VALUE"""),0.0)</f>
        <v>0</v>
      </c>
      <c r="AR3379" s="82">
        <f>IFERROR(__xludf.DUMMYFUNCTION("""COMPUTED_VALUE"""),0.0)</f>
        <v>0</v>
      </c>
      <c r="AS3379" s="82"/>
      <c r="AT3379" s="82">
        <f>IFERROR(__xludf.DUMMYFUNCTION("""COMPUTED_VALUE"""),0.0)</f>
        <v>0</v>
      </c>
      <c r="AU3379" s="82"/>
      <c r="AV3379" s="82"/>
      <c r="AW3379" s="82" t="str">
        <f t="shared" si="1"/>
        <v/>
      </c>
      <c r="AX3379" s="83" t="str">
        <f t="array" ref="AX3379">IFERROR(DGET('SBV Import'!A:G,"SBV",{"RSC ID","Tier";B3379,A3379}))</f>
        <v/>
      </c>
      <c r="AY3379" s="82" t="str">
        <f t="shared" si="2"/>
        <v/>
      </c>
      <c r="AZ3379" s="82"/>
      <c r="BA3379" s="84" t="s">
        <v>152</v>
      </c>
      <c r="BB3379" s="84" t="str">
        <f>IFERROR(__xludf.DUMMYFUNCTION("iferror(if(A3379="""",,E3379&gt;=FILTER(Constants!$F$2:$F$10,Constants!$A$2:$A$10=A3379)))"),"")</f>
        <v/>
      </c>
    </row>
    <row r="3380">
      <c r="A3380" s="89"/>
      <c r="B3380" s="87"/>
      <c r="C3380" s="73"/>
      <c r="D3380" s="73"/>
      <c r="E3380" s="82"/>
      <c r="F3380" s="82"/>
      <c r="G3380" s="86"/>
      <c r="H3380" s="86"/>
      <c r="I3380" s="86"/>
      <c r="J3380" s="82"/>
      <c r="K3380" s="82"/>
      <c r="L3380" s="82"/>
      <c r="M3380" s="82"/>
      <c r="N3380" s="82"/>
      <c r="O3380" s="82"/>
      <c r="P3380" s="82"/>
      <c r="Q3380" s="82"/>
      <c r="R3380" s="82"/>
      <c r="S3380" s="82"/>
      <c r="T3380" s="82"/>
      <c r="U3380" s="82"/>
      <c r="V3380" s="82"/>
      <c r="W3380" s="82"/>
      <c r="X3380" s="82"/>
      <c r="Y3380" s="82"/>
      <c r="Z3380" s="82"/>
      <c r="AA3380" s="82"/>
      <c r="AB3380" s="82"/>
      <c r="AC3380" s="82"/>
      <c r="AD3380" s="82"/>
      <c r="AE3380" s="82"/>
      <c r="AF3380" s="82"/>
      <c r="AG3380" s="82"/>
      <c r="AH3380" s="82"/>
      <c r="AI3380" s="82"/>
      <c r="AJ3380" s="82"/>
      <c r="AK3380" s="82"/>
      <c r="AL3380" s="82"/>
      <c r="AM3380" s="82"/>
      <c r="AN3380" s="82">
        <f>IFERROR(__xludf.DUMMYFUNCTION("""COMPUTED_VALUE"""),0.0)</f>
        <v>0</v>
      </c>
      <c r="AO3380" s="82">
        <f>IFERROR(__xludf.DUMMYFUNCTION("""COMPUTED_VALUE"""),0.0)</f>
        <v>0</v>
      </c>
      <c r="AP3380" s="82">
        <f>IFERROR(__xludf.DUMMYFUNCTION("""COMPUTED_VALUE"""),0.0)</f>
        <v>0</v>
      </c>
      <c r="AQ3380" s="82">
        <f>IFERROR(__xludf.DUMMYFUNCTION("""COMPUTED_VALUE"""),0.0)</f>
        <v>0</v>
      </c>
      <c r="AR3380" s="82">
        <f>IFERROR(__xludf.DUMMYFUNCTION("""COMPUTED_VALUE"""),0.0)</f>
        <v>0</v>
      </c>
      <c r="AS3380" s="82"/>
      <c r="AT3380" s="82">
        <f>IFERROR(__xludf.DUMMYFUNCTION("""COMPUTED_VALUE"""),0.0)</f>
        <v>0</v>
      </c>
      <c r="AU3380" s="82"/>
      <c r="AV3380" s="82"/>
      <c r="AW3380" s="82" t="str">
        <f t="shared" si="1"/>
        <v/>
      </c>
      <c r="AX3380" s="83" t="str">
        <f t="array" ref="AX3380">IFERROR(DGET('SBV Import'!A:G,"SBV",{"RSC ID","Tier";B3380,A3380}))</f>
        <v/>
      </c>
      <c r="AY3380" s="82" t="str">
        <f t="shared" si="2"/>
        <v/>
      </c>
      <c r="AZ3380" s="82"/>
      <c r="BA3380" s="84" t="s">
        <v>152</v>
      </c>
      <c r="BB3380" s="84" t="str">
        <f>IFERROR(__xludf.DUMMYFUNCTION("iferror(if(A3380="""",,E3380&gt;=FILTER(Constants!$F$2:$F$10,Constants!$A$2:$A$10=A3380)))"),"")</f>
        <v/>
      </c>
    </row>
    <row r="3381">
      <c r="A3381" s="89"/>
      <c r="B3381" s="87"/>
      <c r="C3381" s="73"/>
      <c r="D3381" s="73"/>
      <c r="E3381" s="82"/>
      <c r="F3381" s="82"/>
      <c r="G3381" s="86"/>
      <c r="H3381" s="86"/>
      <c r="I3381" s="86"/>
      <c r="J3381" s="82"/>
      <c r="K3381" s="82"/>
      <c r="L3381" s="82"/>
      <c r="M3381" s="82"/>
      <c r="N3381" s="82"/>
      <c r="O3381" s="82"/>
      <c r="P3381" s="82"/>
      <c r="Q3381" s="82"/>
      <c r="R3381" s="82"/>
      <c r="S3381" s="82"/>
      <c r="T3381" s="82"/>
      <c r="U3381" s="82"/>
      <c r="V3381" s="82"/>
      <c r="W3381" s="82"/>
      <c r="X3381" s="82"/>
      <c r="Y3381" s="82"/>
      <c r="Z3381" s="82"/>
      <c r="AA3381" s="82"/>
      <c r="AB3381" s="82"/>
      <c r="AC3381" s="82"/>
      <c r="AD3381" s="82"/>
      <c r="AE3381" s="82"/>
      <c r="AF3381" s="82"/>
      <c r="AG3381" s="82"/>
      <c r="AH3381" s="82"/>
      <c r="AI3381" s="82"/>
      <c r="AJ3381" s="82"/>
      <c r="AK3381" s="82"/>
      <c r="AL3381" s="82"/>
      <c r="AM3381" s="82"/>
      <c r="AN3381" s="82">
        <f>IFERROR(__xludf.DUMMYFUNCTION("""COMPUTED_VALUE"""),0.0)</f>
        <v>0</v>
      </c>
      <c r="AO3381" s="82">
        <f>IFERROR(__xludf.DUMMYFUNCTION("""COMPUTED_VALUE"""),0.0)</f>
        <v>0</v>
      </c>
      <c r="AP3381" s="82">
        <f>IFERROR(__xludf.DUMMYFUNCTION("""COMPUTED_VALUE"""),0.0)</f>
        <v>0</v>
      </c>
      <c r="AQ3381" s="82">
        <f>IFERROR(__xludf.DUMMYFUNCTION("""COMPUTED_VALUE"""),0.0)</f>
        <v>0</v>
      </c>
      <c r="AR3381" s="82">
        <f>IFERROR(__xludf.DUMMYFUNCTION("""COMPUTED_VALUE"""),0.0)</f>
        <v>0</v>
      </c>
      <c r="AS3381" s="82"/>
      <c r="AT3381" s="82">
        <f>IFERROR(__xludf.DUMMYFUNCTION("""COMPUTED_VALUE"""),0.0)</f>
        <v>0</v>
      </c>
      <c r="AU3381" s="82"/>
      <c r="AV3381" s="82"/>
      <c r="AW3381" s="82" t="str">
        <f t="shared" si="1"/>
        <v/>
      </c>
      <c r="AX3381" s="83" t="str">
        <f t="array" ref="AX3381">IFERROR(DGET('SBV Import'!A:G,"SBV",{"RSC ID","Tier";B3381,A3381}))</f>
        <v/>
      </c>
      <c r="AY3381" s="82" t="str">
        <f t="shared" si="2"/>
        <v/>
      </c>
      <c r="AZ3381" s="82"/>
      <c r="BA3381" s="84" t="s">
        <v>152</v>
      </c>
      <c r="BB3381" s="84" t="str">
        <f>IFERROR(__xludf.DUMMYFUNCTION("iferror(if(A3381="""",,E3381&gt;=FILTER(Constants!$F$2:$F$10,Constants!$A$2:$A$10=A3381)))"),"")</f>
        <v/>
      </c>
    </row>
    <row r="3382">
      <c r="A3382" s="89"/>
      <c r="B3382" s="87"/>
      <c r="C3382" s="73"/>
      <c r="D3382" s="73"/>
      <c r="E3382" s="82"/>
      <c r="F3382" s="82"/>
      <c r="G3382" s="86"/>
      <c r="H3382" s="86"/>
      <c r="I3382" s="86"/>
      <c r="J3382" s="82"/>
      <c r="K3382" s="82"/>
      <c r="L3382" s="82"/>
      <c r="M3382" s="82"/>
      <c r="N3382" s="82"/>
      <c r="O3382" s="82"/>
      <c r="P3382" s="82"/>
      <c r="Q3382" s="82"/>
      <c r="R3382" s="82"/>
      <c r="S3382" s="82"/>
      <c r="T3382" s="82"/>
      <c r="U3382" s="82"/>
      <c r="V3382" s="82"/>
      <c r="W3382" s="82"/>
      <c r="X3382" s="82"/>
      <c r="Y3382" s="82"/>
      <c r="Z3382" s="82"/>
      <c r="AA3382" s="82"/>
      <c r="AB3382" s="82"/>
      <c r="AC3382" s="82"/>
      <c r="AD3382" s="82"/>
      <c r="AE3382" s="82"/>
      <c r="AF3382" s="82"/>
      <c r="AG3382" s="82"/>
      <c r="AH3382" s="82"/>
      <c r="AI3382" s="82"/>
      <c r="AJ3382" s="82"/>
      <c r="AK3382" s="82"/>
      <c r="AL3382" s="82"/>
      <c r="AM3382" s="82"/>
      <c r="AN3382" s="82">
        <f>IFERROR(__xludf.DUMMYFUNCTION("""COMPUTED_VALUE"""),0.0)</f>
        <v>0</v>
      </c>
      <c r="AO3382" s="82">
        <f>IFERROR(__xludf.DUMMYFUNCTION("""COMPUTED_VALUE"""),0.0)</f>
        <v>0</v>
      </c>
      <c r="AP3382" s="82">
        <f>IFERROR(__xludf.DUMMYFUNCTION("""COMPUTED_VALUE"""),0.0)</f>
        <v>0</v>
      </c>
      <c r="AQ3382" s="82">
        <f>IFERROR(__xludf.DUMMYFUNCTION("""COMPUTED_VALUE"""),0.0)</f>
        <v>0</v>
      </c>
      <c r="AR3382" s="82">
        <f>IFERROR(__xludf.DUMMYFUNCTION("""COMPUTED_VALUE"""),0.0)</f>
        <v>0</v>
      </c>
      <c r="AS3382" s="82"/>
      <c r="AT3382" s="82">
        <f>IFERROR(__xludf.DUMMYFUNCTION("""COMPUTED_VALUE"""),0.0)</f>
        <v>0</v>
      </c>
      <c r="AU3382" s="82"/>
      <c r="AV3382" s="82"/>
      <c r="AW3382" s="82" t="str">
        <f t="shared" si="1"/>
        <v/>
      </c>
      <c r="AX3382" s="83" t="str">
        <f t="array" ref="AX3382">IFERROR(DGET('SBV Import'!A:G,"SBV",{"RSC ID","Tier";B3382,A3382}))</f>
        <v/>
      </c>
      <c r="AY3382" s="82" t="str">
        <f t="shared" si="2"/>
        <v/>
      </c>
      <c r="AZ3382" s="82"/>
      <c r="BA3382" s="84" t="s">
        <v>152</v>
      </c>
      <c r="BB3382" s="84" t="str">
        <f>IFERROR(__xludf.DUMMYFUNCTION("iferror(if(A3382="""",,E3382&gt;=FILTER(Constants!$F$2:$F$10,Constants!$A$2:$A$10=A3382)))"),"")</f>
        <v/>
      </c>
    </row>
    <row r="3383">
      <c r="A3383" s="89"/>
      <c r="B3383" s="87"/>
      <c r="C3383" s="73"/>
      <c r="D3383" s="73"/>
      <c r="E3383" s="82"/>
      <c r="F3383" s="82"/>
      <c r="G3383" s="86"/>
      <c r="H3383" s="86"/>
      <c r="I3383" s="86"/>
      <c r="J3383" s="82"/>
      <c r="K3383" s="82"/>
      <c r="L3383" s="82"/>
      <c r="M3383" s="82"/>
      <c r="N3383" s="82"/>
      <c r="O3383" s="82"/>
      <c r="P3383" s="82"/>
      <c r="Q3383" s="82"/>
      <c r="R3383" s="82"/>
      <c r="S3383" s="82"/>
      <c r="T3383" s="82"/>
      <c r="U3383" s="82"/>
      <c r="V3383" s="82"/>
      <c r="W3383" s="82"/>
      <c r="X3383" s="82"/>
      <c r="Y3383" s="82"/>
      <c r="Z3383" s="82"/>
      <c r="AA3383" s="82"/>
      <c r="AB3383" s="82"/>
      <c r="AC3383" s="82"/>
      <c r="AD3383" s="82"/>
      <c r="AE3383" s="82"/>
      <c r="AF3383" s="82"/>
      <c r="AG3383" s="82"/>
      <c r="AH3383" s="82"/>
      <c r="AI3383" s="82"/>
      <c r="AJ3383" s="82"/>
      <c r="AK3383" s="82"/>
      <c r="AL3383" s="82"/>
      <c r="AM3383" s="82"/>
      <c r="AN3383" s="82">
        <f>IFERROR(__xludf.DUMMYFUNCTION("""COMPUTED_VALUE"""),0.0)</f>
        <v>0</v>
      </c>
      <c r="AO3383" s="82">
        <f>IFERROR(__xludf.DUMMYFUNCTION("""COMPUTED_VALUE"""),0.0)</f>
        <v>0</v>
      </c>
      <c r="AP3383" s="82">
        <f>IFERROR(__xludf.DUMMYFUNCTION("""COMPUTED_VALUE"""),0.0)</f>
        <v>0</v>
      </c>
      <c r="AQ3383" s="82">
        <f>IFERROR(__xludf.DUMMYFUNCTION("""COMPUTED_VALUE"""),0.0)</f>
        <v>0</v>
      </c>
      <c r="AR3383" s="82">
        <f>IFERROR(__xludf.DUMMYFUNCTION("""COMPUTED_VALUE"""),0.0)</f>
        <v>0</v>
      </c>
      <c r="AS3383" s="82"/>
      <c r="AT3383" s="82">
        <f>IFERROR(__xludf.DUMMYFUNCTION("""COMPUTED_VALUE"""),0.0)</f>
        <v>0</v>
      </c>
      <c r="AU3383" s="82"/>
      <c r="AV3383" s="82"/>
      <c r="AW3383" s="82" t="str">
        <f t="shared" si="1"/>
        <v/>
      </c>
      <c r="AX3383" s="83" t="str">
        <f t="array" ref="AX3383">IFERROR(DGET('SBV Import'!A:G,"SBV",{"RSC ID","Tier";B3383,A3383}))</f>
        <v/>
      </c>
      <c r="AY3383" s="82" t="str">
        <f t="shared" si="2"/>
        <v/>
      </c>
      <c r="AZ3383" s="82"/>
      <c r="BA3383" s="84" t="s">
        <v>152</v>
      </c>
      <c r="BB3383" s="84" t="str">
        <f>IFERROR(__xludf.DUMMYFUNCTION("iferror(if(A3383="""",,E3383&gt;=FILTER(Constants!$F$2:$F$10,Constants!$A$2:$A$10=A3383)))"),"")</f>
        <v/>
      </c>
    </row>
    <row r="3384">
      <c r="A3384" s="89"/>
      <c r="B3384" s="87"/>
      <c r="C3384" s="73"/>
      <c r="D3384" s="73"/>
      <c r="E3384" s="82"/>
      <c r="F3384" s="82"/>
      <c r="G3384" s="86"/>
      <c r="H3384" s="86"/>
      <c r="I3384" s="86"/>
      <c r="J3384" s="82"/>
      <c r="K3384" s="82"/>
      <c r="L3384" s="82"/>
      <c r="M3384" s="82"/>
      <c r="N3384" s="82"/>
      <c r="O3384" s="82"/>
      <c r="P3384" s="82"/>
      <c r="Q3384" s="82"/>
      <c r="R3384" s="82"/>
      <c r="S3384" s="82"/>
      <c r="T3384" s="82"/>
      <c r="U3384" s="82"/>
      <c r="V3384" s="82"/>
      <c r="W3384" s="82"/>
      <c r="X3384" s="82"/>
      <c r="Y3384" s="82"/>
      <c r="Z3384" s="82"/>
      <c r="AA3384" s="82"/>
      <c r="AB3384" s="82"/>
      <c r="AC3384" s="82"/>
      <c r="AD3384" s="82"/>
      <c r="AE3384" s="82"/>
      <c r="AF3384" s="82"/>
      <c r="AG3384" s="82"/>
      <c r="AH3384" s="82"/>
      <c r="AI3384" s="82"/>
      <c r="AJ3384" s="82"/>
      <c r="AK3384" s="82"/>
      <c r="AL3384" s="82"/>
      <c r="AM3384" s="82"/>
      <c r="AN3384" s="82">
        <f>IFERROR(__xludf.DUMMYFUNCTION("""COMPUTED_VALUE"""),0.0)</f>
        <v>0</v>
      </c>
      <c r="AO3384" s="82">
        <f>IFERROR(__xludf.DUMMYFUNCTION("""COMPUTED_VALUE"""),0.0)</f>
        <v>0</v>
      </c>
      <c r="AP3384" s="82">
        <f>IFERROR(__xludf.DUMMYFUNCTION("""COMPUTED_VALUE"""),0.0)</f>
        <v>0</v>
      </c>
      <c r="AQ3384" s="82">
        <f>IFERROR(__xludf.DUMMYFUNCTION("""COMPUTED_VALUE"""),0.0)</f>
        <v>0</v>
      </c>
      <c r="AR3384" s="82">
        <f>IFERROR(__xludf.DUMMYFUNCTION("""COMPUTED_VALUE"""),0.0)</f>
        <v>0</v>
      </c>
      <c r="AS3384" s="82"/>
      <c r="AT3384" s="82">
        <f>IFERROR(__xludf.DUMMYFUNCTION("""COMPUTED_VALUE"""),0.0)</f>
        <v>0</v>
      </c>
      <c r="AU3384" s="82"/>
      <c r="AV3384" s="82"/>
      <c r="AW3384" s="82" t="str">
        <f t="shared" si="1"/>
        <v/>
      </c>
      <c r="AX3384" s="83" t="str">
        <f t="array" ref="AX3384">IFERROR(DGET('SBV Import'!A:G,"SBV",{"RSC ID","Tier";B3384,A3384}))</f>
        <v/>
      </c>
      <c r="AY3384" s="82" t="str">
        <f t="shared" si="2"/>
        <v/>
      </c>
      <c r="AZ3384" s="82"/>
      <c r="BA3384" s="84" t="s">
        <v>152</v>
      </c>
      <c r="BB3384" s="84" t="str">
        <f>IFERROR(__xludf.DUMMYFUNCTION("iferror(if(A3384="""",,E3384&gt;=FILTER(Constants!$F$2:$F$10,Constants!$A$2:$A$10=A3384)))"),"")</f>
        <v/>
      </c>
    </row>
    <row r="3385">
      <c r="A3385" s="89"/>
      <c r="B3385" s="87"/>
      <c r="C3385" s="73"/>
      <c r="D3385" s="73"/>
      <c r="E3385" s="82"/>
      <c r="F3385" s="82"/>
      <c r="G3385" s="86"/>
      <c r="H3385" s="86"/>
      <c r="I3385" s="86"/>
      <c r="J3385" s="82"/>
      <c r="K3385" s="82"/>
      <c r="L3385" s="82"/>
      <c r="M3385" s="82"/>
      <c r="N3385" s="82"/>
      <c r="O3385" s="82"/>
      <c r="P3385" s="82"/>
      <c r="Q3385" s="82"/>
      <c r="R3385" s="82"/>
      <c r="S3385" s="82"/>
      <c r="T3385" s="82"/>
      <c r="U3385" s="82"/>
      <c r="V3385" s="82"/>
      <c r="W3385" s="82"/>
      <c r="X3385" s="82"/>
      <c r="Y3385" s="82"/>
      <c r="Z3385" s="82"/>
      <c r="AA3385" s="82"/>
      <c r="AB3385" s="82"/>
      <c r="AC3385" s="82"/>
      <c r="AD3385" s="82"/>
      <c r="AE3385" s="82"/>
      <c r="AF3385" s="82"/>
      <c r="AG3385" s="82"/>
      <c r="AH3385" s="82"/>
      <c r="AI3385" s="82"/>
      <c r="AJ3385" s="82"/>
      <c r="AK3385" s="82"/>
      <c r="AL3385" s="82"/>
      <c r="AM3385" s="82"/>
      <c r="AN3385" s="82">
        <f>IFERROR(__xludf.DUMMYFUNCTION("""COMPUTED_VALUE"""),0.0)</f>
        <v>0</v>
      </c>
      <c r="AO3385" s="82">
        <f>IFERROR(__xludf.DUMMYFUNCTION("""COMPUTED_VALUE"""),0.0)</f>
        <v>0</v>
      </c>
      <c r="AP3385" s="82">
        <f>IFERROR(__xludf.DUMMYFUNCTION("""COMPUTED_VALUE"""),0.0)</f>
        <v>0</v>
      </c>
      <c r="AQ3385" s="82">
        <f>IFERROR(__xludf.DUMMYFUNCTION("""COMPUTED_VALUE"""),0.0)</f>
        <v>0</v>
      </c>
      <c r="AR3385" s="82">
        <f>IFERROR(__xludf.DUMMYFUNCTION("""COMPUTED_VALUE"""),0.0)</f>
        <v>0</v>
      </c>
      <c r="AS3385" s="82"/>
      <c r="AT3385" s="82">
        <f>IFERROR(__xludf.DUMMYFUNCTION("""COMPUTED_VALUE"""),0.0)</f>
        <v>0</v>
      </c>
      <c r="AU3385" s="82"/>
      <c r="AV3385" s="82"/>
      <c r="AW3385" s="82" t="str">
        <f t="shared" si="1"/>
        <v/>
      </c>
      <c r="AX3385" s="83" t="str">
        <f t="array" ref="AX3385">IFERROR(DGET('SBV Import'!A:G,"SBV",{"RSC ID","Tier";B3385,A3385}))</f>
        <v/>
      </c>
      <c r="AY3385" s="82" t="str">
        <f t="shared" si="2"/>
        <v/>
      </c>
      <c r="AZ3385" s="82"/>
      <c r="BA3385" s="84" t="s">
        <v>152</v>
      </c>
      <c r="BB3385" s="84" t="str">
        <f>IFERROR(__xludf.DUMMYFUNCTION("iferror(if(A3385="""",,E3385&gt;=FILTER(Constants!$F$2:$F$10,Constants!$A$2:$A$10=A3385)))"),"")</f>
        <v/>
      </c>
    </row>
    <row r="3386">
      <c r="A3386" s="89"/>
      <c r="B3386" s="87"/>
      <c r="C3386" s="73"/>
      <c r="D3386" s="73"/>
      <c r="E3386" s="82"/>
      <c r="F3386" s="82"/>
      <c r="G3386" s="86"/>
      <c r="H3386" s="86"/>
      <c r="I3386" s="86"/>
      <c r="J3386" s="82"/>
      <c r="K3386" s="82"/>
      <c r="L3386" s="82"/>
      <c r="M3386" s="82"/>
      <c r="N3386" s="82"/>
      <c r="O3386" s="82"/>
      <c r="P3386" s="82"/>
      <c r="Q3386" s="82"/>
      <c r="R3386" s="82"/>
      <c r="S3386" s="82"/>
      <c r="T3386" s="82"/>
      <c r="U3386" s="82"/>
      <c r="V3386" s="82"/>
      <c r="W3386" s="82"/>
      <c r="X3386" s="82"/>
      <c r="Y3386" s="82"/>
      <c r="Z3386" s="82"/>
      <c r="AA3386" s="82"/>
      <c r="AB3386" s="82"/>
      <c r="AC3386" s="82"/>
      <c r="AD3386" s="82"/>
      <c r="AE3386" s="82"/>
      <c r="AF3386" s="82"/>
      <c r="AG3386" s="82"/>
      <c r="AH3386" s="82"/>
      <c r="AI3386" s="82"/>
      <c r="AJ3386" s="82"/>
      <c r="AK3386" s="82"/>
      <c r="AL3386" s="82"/>
      <c r="AM3386" s="82"/>
      <c r="AN3386" s="82">
        <f>IFERROR(__xludf.DUMMYFUNCTION("""COMPUTED_VALUE"""),0.0)</f>
        <v>0</v>
      </c>
      <c r="AO3386" s="82">
        <f>IFERROR(__xludf.DUMMYFUNCTION("""COMPUTED_VALUE"""),0.0)</f>
        <v>0</v>
      </c>
      <c r="AP3386" s="82">
        <f>IFERROR(__xludf.DUMMYFUNCTION("""COMPUTED_VALUE"""),0.0)</f>
        <v>0</v>
      </c>
      <c r="AQ3386" s="82">
        <f>IFERROR(__xludf.DUMMYFUNCTION("""COMPUTED_VALUE"""),0.0)</f>
        <v>0</v>
      </c>
      <c r="AR3386" s="82">
        <f>IFERROR(__xludf.DUMMYFUNCTION("""COMPUTED_VALUE"""),0.0)</f>
        <v>0</v>
      </c>
      <c r="AS3386" s="82"/>
      <c r="AT3386" s="82">
        <f>IFERROR(__xludf.DUMMYFUNCTION("""COMPUTED_VALUE"""),0.0)</f>
        <v>0</v>
      </c>
      <c r="AU3386" s="82"/>
      <c r="AV3386" s="82"/>
      <c r="AW3386" s="82" t="str">
        <f t="shared" si="1"/>
        <v/>
      </c>
      <c r="AX3386" s="83" t="str">
        <f t="array" ref="AX3386">IFERROR(DGET('SBV Import'!A:G,"SBV",{"RSC ID","Tier";B3386,A3386}))</f>
        <v/>
      </c>
      <c r="AY3386" s="82" t="str">
        <f t="shared" si="2"/>
        <v/>
      </c>
      <c r="AZ3386" s="82"/>
      <c r="BA3386" s="84" t="s">
        <v>152</v>
      </c>
      <c r="BB3386" s="84" t="str">
        <f>IFERROR(__xludf.DUMMYFUNCTION("iferror(if(A3386="""",,E3386&gt;=FILTER(Constants!$F$2:$F$10,Constants!$A$2:$A$10=A3386)))"),"")</f>
        <v/>
      </c>
    </row>
    <row r="3387">
      <c r="A3387" s="89"/>
      <c r="B3387" s="87"/>
      <c r="C3387" s="73"/>
      <c r="D3387" s="73"/>
      <c r="E3387" s="82"/>
      <c r="F3387" s="82"/>
      <c r="G3387" s="86"/>
      <c r="H3387" s="86"/>
      <c r="I3387" s="86"/>
      <c r="J3387" s="82"/>
      <c r="K3387" s="82"/>
      <c r="L3387" s="82"/>
      <c r="M3387" s="82"/>
      <c r="N3387" s="82"/>
      <c r="O3387" s="82"/>
      <c r="P3387" s="82"/>
      <c r="Q3387" s="82"/>
      <c r="R3387" s="82"/>
      <c r="S3387" s="82"/>
      <c r="T3387" s="82"/>
      <c r="U3387" s="82"/>
      <c r="V3387" s="82"/>
      <c r="W3387" s="82"/>
      <c r="X3387" s="82"/>
      <c r="Y3387" s="82"/>
      <c r="Z3387" s="82"/>
      <c r="AA3387" s="82"/>
      <c r="AB3387" s="82"/>
      <c r="AC3387" s="82"/>
      <c r="AD3387" s="82"/>
      <c r="AE3387" s="82"/>
      <c r="AF3387" s="82"/>
      <c r="AG3387" s="82"/>
      <c r="AH3387" s="82"/>
      <c r="AI3387" s="82"/>
      <c r="AJ3387" s="82"/>
      <c r="AK3387" s="82"/>
      <c r="AL3387" s="82"/>
      <c r="AM3387" s="82"/>
      <c r="AN3387" s="82">
        <f>IFERROR(__xludf.DUMMYFUNCTION("""COMPUTED_VALUE"""),0.0)</f>
        <v>0</v>
      </c>
      <c r="AO3387" s="82">
        <f>IFERROR(__xludf.DUMMYFUNCTION("""COMPUTED_VALUE"""),0.0)</f>
        <v>0</v>
      </c>
      <c r="AP3387" s="82">
        <f>IFERROR(__xludf.DUMMYFUNCTION("""COMPUTED_VALUE"""),0.0)</f>
        <v>0</v>
      </c>
      <c r="AQ3387" s="82">
        <f>IFERROR(__xludf.DUMMYFUNCTION("""COMPUTED_VALUE"""),0.0)</f>
        <v>0</v>
      </c>
      <c r="AR3387" s="82">
        <f>IFERROR(__xludf.DUMMYFUNCTION("""COMPUTED_VALUE"""),0.0)</f>
        <v>0</v>
      </c>
      <c r="AS3387" s="82"/>
      <c r="AT3387" s="82">
        <f>IFERROR(__xludf.DUMMYFUNCTION("""COMPUTED_VALUE"""),0.0)</f>
        <v>0</v>
      </c>
      <c r="AU3387" s="82"/>
      <c r="AV3387" s="82"/>
      <c r="AW3387" s="82" t="str">
        <f t="shared" si="1"/>
        <v/>
      </c>
      <c r="AX3387" s="83" t="str">
        <f t="array" ref="AX3387">IFERROR(DGET('SBV Import'!A:G,"SBV",{"RSC ID","Tier";B3387,A3387}))</f>
        <v/>
      </c>
      <c r="AY3387" s="82" t="str">
        <f t="shared" si="2"/>
        <v/>
      </c>
      <c r="AZ3387" s="82"/>
      <c r="BA3387" s="84" t="s">
        <v>152</v>
      </c>
      <c r="BB3387" s="84" t="str">
        <f>IFERROR(__xludf.DUMMYFUNCTION("iferror(if(A3387="""",,E3387&gt;=FILTER(Constants!$F$2:$F$10,Constants!$A$2:$A$10=A3387)))"),"")</f>
        <v/>
      </c>
    </row>
    <row r="3388">
      <c r="A3388" s="89"/>
      <c r="B3388" s="87"/>
      <c r="C3388" s="73"/>
      <c r="D3388" s="73"/>
      <c r="E3388" s="82"/>
      <c r="F3388" s="82"/>
      <c r="G3388" s="86"/>
      <c r="H3388" s="86"/>
      <c r="I3388" s="86"/>
      <c r="J3388" s="82"/>
      <c r="K3388" s="82"/>
      <c r="L3388" s="82"/>
      <c r="M3388" s="82"/>
      <c r="N3388" s="82"/>
      <c r="O3388" s="82"/>
      <c r="P3388" s="82"/>
      <c r="Q3388" s="82"/>
      <c r="R3388" s="82"/>
      <c r="S3388" s="82"/>
      <c r="T3388" s="82"/>
      <c r="U3388" s="82"/>
      <c r="V3388" s="82"/>
      <c r="W3388" s="82"/>
      <c r="X3388" s="82"/>
      <c r="Y3388" s="82"/>
      <c r="Z3388" s="82"/>
      <c r="AA3388" s="82"/>
      <c r="AB3388" s="82"/>
      <c r="AC3388" s="82"/>
      <c r="AD3388" s="82"/>
      <c r="AE3388" s="82"/>
      <c r="AF3388" s="82"/>
      <c r="AG3388" s="82"/>
      <c r="AH3388" s="82"/>
      <c r="AI3388" s="82"/>
      <c r="AJ3388" s="82"/>
      <c r="AK3388" s="82"/>
      <c r="AL3388" s="82"/>
      <c r="AM3388" s="82"/>
      <c r="AN3388" s="82">
        <f>IFERROR(__xludf.DUMMYFUNCTION("""COMPUTED_VALUE"""),0.0)</f>
        <v>0</v>
      </c>
      <c r="AO3388" s="82">
        <f>IFERROR(__xludf.DUMMYFUNCTION("""COMPUTED_VALUE"""),0.0)</f>
        <v>0</v>
      </c>
      <c r="AP3388" s="82">
        <f>IFERROR(__xludf.DUMMYFUNCTION("""COMPUTED_VALUE"""),0.0)</f>
        <v>0</v>
      </c>
      <c r="AQ3388" s="82">
        <f>IFERROR(__xludf.DUMMYFUNCTION("""COMPUTED_VALUE"""),0.0)</f>
        <v>0</v>
      </c>
      <c r="AR3388" s="82">
        <f>IFERROR(__xludf.DUMMYFUNCTION("""COMPUTED_VALUE"""),0.0)</f>
        <v>0</v>
      </c>
      <c r="AS3388" s="82"/>
      <c r="AT3388" s="82">
        <f>IFERROR(__xludf.DUMMYFUNCTION("""COMPUTED_VALUE"""),0.0)</f>
        <v>0</v>
      </c>
      <c r="AU3388" s="82"/>
      <c r="AV3388" s="82"/>
      <c r="AW3388" s="82" t="str">
        <f t="shared" si="1"/>
        <v/>
      </c>
      <c r="AX3388" s="83" t="str">
        <f t="array" ref="AX3388">IFERROR(DGET('SBV Import'!A:G,"SBV",{"RSC ID","Tier";B3388,A3388}))</f>
        <v/>
      </c>
      <c r="AY3388" s="82" t="str">
        <f t="shared" si="2"/>
        <v/>
      </c>
      <c r="AZ3388" s="82"/>
      <c r="BA3388" s="84" t="s">
        <v>152</v>
      </c>
      <c r="BB3388" s="84" t="str">
        <f>IFERROR(__xludf.DUMMYFUNCTION("iferror(if(A3388="""",,E3388&gt;=FILTER(Constants!$F$2:$F$10,Constants!$A$2:$A$10=A3388)))"),"")</f>
        <v/>
      </c>
    </row>
    <row r="3389">
      <c r="A3389" s="89"/>
      <c r="B3389" s="87"/>
      <c r="C3389" s="73"/>
      <c r="D3389" s="73"/>
      <c r="E3389" s="82"/>
      <c r="F3389" s="82"/>
      <c r="G3389" s="86"/>
      <c r="H3389" s="86"/>
      <c r="I3389" s="86"/>
      <c r="J3389" s="82"/>
      <c r="K3389" s="82"/>
      <c r="L3389" s="82"/>
      <c r="M3389" s="82"/>
      <c r="N3389" s="82"/>
      <c r="O3389" s="82"/>
      <c r="P3389" s="82"/>
      <c r="Q3389" s="82"/>
      <c r="R3389" s="82"/>
      <c r="S3389" s="82"/>
      <c r="T3389" s="82"/>
      <c r="U3389" s="82"/>
      <c r="V3389" s="82"/>
      <c r="W3389" s="82"/>
      <c r="X3389" s="82"/>
      <c r="Y3389" s="82"/>
      <c r="Z3389" s="82"/>
      <c r="AA3389" s="82"/>
      <c r="AB3389" s="82"/>
      <c r="AC3389" s="82"/>
      <c r="AD3389" s="82"/>
      <c r="AE3389" s="82"/>
      <c r="AF3389" s="82"/>
      <c r="AG3389" s="82"/>
      <c r="AH3389" s="82"/>
      <c r="AI3389" s="82"/>
      <c r="AJ3389" s="82"/>
      <c r="AK3389" s="82"/>
      <c r="AL3389" s="82"/>
      <c r="AM3389" s="82"/>
      <c r="AN3389" s="82">
        <f>IFERROR(__xludf.DUMMYFUNCTION("""COMPUTED_VALUE"""),0.0)</f>
        <v>0</v>
      </c>
      <c r="AO3389" s="82">
        <f>IFERROR(__xludf.DUMMYFUNCTION("""COMPUTED_VALUE"""),0.0)</f>
        <v>0</v>
      </c>
      <c r="AP3389" s="82">
        <f>IFERROR(__xludf.DUMMYFUNCTION("""COMPUTED_VALUE"""),0.0)</f>
        <v>0</v>
      </c>
      <c r="AQ3389" s="82">
        <f>IFERROR(__xludf.DUMMYFUNCTION("""COMPUTED_VALUE"""),0.0)</f>
        <v>0</v>
      </c>
      <c r="AR3389" s="82">
        <f>IFERROR(__xludf.DUMMYFUNCTION("""COMPUTED_VALUE"""),0.0)</f>
        <v>0</v>
      </c>
      <c r="AS3389" s="82"/>
      <c r="AT3389" s="82">
        <f>IFERROR(__xludf.DUMMYFUNCTION("""COMPUTED_VALUE"""),0.0)</f>
        <v>0</v>
      </c>
      <c r="AU3389" s="82"/>
      <c r="AV3389" s="82"/>
      <c r="AW3389" s="82" t="str">
        <f t="shared" si="1"/>
        <v/>
      </c>
      <c r="AX3389" s="83" t="str">
        <f t="array" ref="AX3389">IFERROR(DGET('SBV Import'!A:G,"SBV",{"RSC ID","Tier";B3389,A3389}))</f>
        <v/>
      </c>
      <c r="AY3389" s="82" t="str">
        <f t="shared" si="2"/>
        <v/>
      </c>
      <c r="AZ3389" s="82"/>
      <c r="BA3389" s="84" t="s">
        <v>152</v>
      </c>
      <c r="BB3389" s="84" t="str">
        <f>IFERROR(__xludf.DUMMYFUNCTION("iferror(if(A3389="""",,E3389&gt;=FILTER(Constants!$F$2:$F$10,Constants!$A$2:$A$10=A3389)))"),"")</f>
        <v/>
      </c>
    </row>
    <row r="3390">
      <c r="A3390" s="89"/>
      <c r="B3390" s="87"/>
      <c r="C3390" s="73"/>
      <c r="D3390" s="73"/>
      <c r="E3390" s="82"/>
      <c r="F3390" s="82"/>
      <c r="G3390" s="86"/>
      <c r="H3390" s="86"/>
      <c r="I3390" s="86"/>
      <c r="J3390" s="82"/>
      <c r="K3390" s="82"/>
      <c r="L3390" s="82"/>
      <c r="M3390" s="82"/>
      <c r="N3390" s="82"/>
      <c r="O3390" s="82"/>
      <c r="P3390" s="82"/>
      <c r="Q3390" s="82"/>
      <c r="R3390" s="82"/>
      <c r="S3390" s="82"/>
      <c r="T3390" s="82"/>
      <c r="U3390" s="82"/>
      <c r="V3390" s="82"/>
      <c r="W3390" s="82"/>
      <c r="X3390" s="82"/>
      <c r="Y3390" s="82"/>
      <c r="Z3390" s="82"/>
      <c r="AA3390" s="82"/>
      <c r="AB3390" s="82"/>
      <c r="AC3390" s="82"/>
      <c r="AD3390" s="82"/>
      <c r="AE3390" s="82"/>
      <c r="AF3390" s="82"/>
      <c r="AG3390" s="82"/>
      <c r="AH3390" s="82"/>
      <c r="AI3390" s="82"/>
      <c r="AJ3390" s="82"/>
      <c r="AK3390" s="82"/>
      <c r="AL3390" s="82"/>
      <c r="AM3390" s="82"/>
      <c r="AN3390" s="82">
        <f>IFERROR(__xludf.DUMMYFUNCTION("""COMPUTED_VALUE"""),0.0)</f>
        <v>0</v>
      </c>
      <c r="AO3390" s="82">
        <f>IFERROR(__xludf.DUMMYFUNCTION("""COMPUTED_VALUE"""),0.0)</f>
        <v>0</v>
      </c>
      <c r="AP3390" s="82">
        <f>IFERROR(__xludf.DUMMYFUNCTION("""COMPUTED_VALUE"""),0.0)</f>
        <v>0</v>
      </c>
      <c r="AQ3390" s="82">
        <f>IFERROR(__xludf.DUMMYFUNCTION("""COMPUTED_VALUE"""),0.0)</f>
        <v>0</v>
      </c>
      <c r="AR3390" s="82">
        <f>IFERROR(__xludf.DUMMYFUNCTION("""COMPUTED_VALUE"""),0.0)</f>
        <v>0</v>
      </c>
      <c r="AS3390" s="82"/>
      <c r="AT3390" s="82">
        <f>IFERROR(__xludf.DUMMYFUNCTION("""COMPUTED_VALUE"""),0.0)</f>
        <v>0</v>
      </c>
      <c r="AU3390" s="82"/>
      <c r="AV3390" s="82"/>
      <c r="AW3390" s="82" t="str">
        <f t="shared" si="1"/>
        <v/>
      </c>
      <c r="AX3390" s="83" t="str">
        <f t="array" ref="AX3390">IFERROR(DGET('SBV Import'!A:G,"SBV",{"RSC ID","Tier";B3390,A3390}))</f>
        <v/>
      </c>
      <c r="AY3390" s="82" t="str">
        <f t="shared" si="2"/>
        <v/>
      </c>
      <c r="AZ3390" s="82"/>
      <c r="BA3390" s="84" t="s">
        <v>152</v>
      </c>
      <c r="BB3390" s="84" t="str">
        <f>IFERROR(__xludf.DUMMYFUNCTION("iferror(if(A3390="""",,E3390&gt;=FILTER(Constants!$F$2:$F$10,Constants!$A$2:$A$10=A3390)))"),"")</f>
        <v/>
      </c>
    </row>
    <row r="3391">
      <c r="A3391" s="89"/>
      <c r="B3391" s="87"/>
      <c r="C3391" s="73"/>
      <c r="D3391" s="73"/>
      <c r="E3391" s="82"/>
      <c r="F3391" s="82"/>
      <c r="G3391" s="86"/>
      <c r="H3391" s="86"/>
      <c r="I3391" s="86"/>
      <c r="J3391" s="82"/>
      <c r="K3391" s="82"/>
      <c r="L3391" s="82"/>
      <c r="M3391" s="82"/>
      <c r="N3391" s="82"/>
      <c r="O3391" s="82"/>
      <c r="P3391" s="82"/>
      <c r="Q3391" s="82"/>
      <c r="R3391" s="82"/>
      <c r="S3391" s="82"/>
      <c r="T3391" s="82"/>
      <c r="U3391" s="82"/>
      <c r="V3391" s="82"/>
      <c r="W3391" s="82"/>
      <c r="X3391" s="82"/>
      <c r="Y3391" s="82"/>
      <c r="Z3391" s="82"/>
      <c r="AA3391" s="82"/>
      <c r="AB3391" s="82"/>
      <c r="AC3391" s="82"/>
      <c r="AD3391" s="82"/>
      <c r="AE3391" s="82"/>
      <c r="AF3391" s="82"/>
      <c r="AG3391" s="82"/>
      <c r="AH3391" s="82"/>
      <c r="AI3391" s="82"/>
      <c r="AJ3391" s="82"/>
      <c r="AK3391" s="82"/>
      <c r="AL3391" s="82"/>
      <c r="AM3391" s="82"/>
      <c r="AN3391" s="82">
        <f>IFERROR(__xludf.DUMMYFUNCTION("""COMPUTED_VALUE"""),0.0)</f>
        <v>0</v>
      </c>
      <c r="AO3391" s="82">
        <f>IFERROR(__xludf.DUMMYFUNCTION("""COMPUTED_VALUE"""),0.0)</f>
        <v>0</v>
      </c>
      <c r="AP3391" s="82">
        <f>IFERROR(__xludf.DUMMYFUNCTION("""COMPUTED_VALUE"""),0.0)</f>
        <v>0</v>
      </c>
      <c r="AQ3391" s="82">
        <f>IFERROR(__xludf.DUMMYFUNCTION("""COMPUTED_VALUE"""),0.0)</f>
        <v>0</v>
      </c>
      <c r="AR3391" s="82">
        <f>IFERROR(__xludf.DUMMYFUNCTION("""COMPUTED_VALUE"""),0.0)</f>
        <v>0</v>
      </c>
      <c r="AS3391" s="82"/>
      <c r="AT3391" s="82">
        <f>IFERROR(__xludf.DUMMYFUNCTION("""COMPUTED_VALUE"""),0.0)</f>
        <v>0</v>
      </c>
      <c r="AU3391" s="82"/>
      <c r="AV3391" s="82"/>
      <c r="AW3391" s="82" t="str">
        <f t="shared" si="1"/>
        <v/>
      </c>
      <c r="AX3391" s="83" t="str">
        <f t="array" ref="AX3391">IFERROR(DGET('SBV Import'!A:G,"SBV",{"RSC ID","Tier";B3391,A3391}))</f>
        <v/>
      </c>
      <c r="AY3391" s="82" t="str">
        <f t="shared" si="2"/>
        <v/>
      </c>
      <c r="AZ3391" s="82"/>
      <c r="BA3391" s="84" t="s">
        <v>152</v>
      </c>
      <c r="BB3391" s="84" t="str">
        <f>IFERROR(__xludf.DUMMYFUNCTION("iferror(if(A3391="""",,E3391&gt;=FILTER(Constants!$F$2:$F$10,Constants!$A$2:$A$10=A3391)))"),"")</f>
        <v/>
      </c>
    </row>
    <row r="3392">
      <c r="A3392" s="89"/>
      <c r="B3392" s="87"/>
      <c r="C3392" s="73"/>
      <c r="D3392" s="73"/>
      <c r="E3392" s="82"/>
      <c r="F3392" s="82"/>
      <c r="G3392" s="86"/>
      <c r="H3392" s="86"/>
      <c r="I3392" s="86"/>
      <c r="J3392" s="82"/>
      <c r="K3392" s="82"/>
      <c r="L3392" s="82"/>
      <c r="M3392" s="82"/>
      <c r="N3392" s="82"/>
      <c r="O3392" s="82"/>
      <c r="P3392" s="82"/>
      <c r="Q3392" s="82"/>
      <c r="R3392" s="82"/>
      <c r="S3392" s="82"/>
      <c r="T3392" s="82"/>
      <c r="U3392" s="82"/>
      <c r="V3392" s="82"/>
      <c r="W3392" s="82"/>
      <c r="X3392" s="82"/>
      <c r="Y3392" s="82"/>
      <c r="Z3392" s="82"/>
      <c r="AA3392" s="82"/>
      <c r="AB3392" s="82"/>
      <c r="AC3392" s="82"/>
      <c r="AD3392" s="82"/>
      <c r="AE3392" s="82"/>
      <c r="AF3392" s="82"/>
      <c r="AG3392" s="82"/>
      <c r="AH3392" s="82"/>
      <c r="AI3392" s="82"/>
      <c r="AJ3392" s="82"/>
      <c r="AK3392" s="82"/>
      <c r="AL3392" s="82"/>
      <c r="AM3392" s="82"/>
      <c r="AN3392" s="82">
        <f>IFERROR(__xludf.DUMMYFUNCTION("""COMPUTED_VALUE"""),0.0)</f>
        <v>0</v>
      </c>
      <c r="AO3392" s="82">
        <f>IFERROR(__xludf.DUMMYFUNCTION("""COMPUTED_VALUE"""),0.0)</f>
        <v>0</v>
      </c>
      <c r="AP3392" s="82">
        <f>IFERROR(__xludf.DUMMYFUNCTION("""COMPUTED_VALUE"""),0.0)</f>
        <v>0</v>
      </c>
      <c r="AQ3392" s="82">
        <f>IFERROR(__xludf.DUMMYFUNCTION("""COMPUTED_VALUE"""),0.0)</f>
        <v>0</v>
      </c>
      <c r="AR3392" s="82">
        <f>IFERROR(__xludf.DUMMYFUNCTION("""COMPUTED_VALUE"""),0.0)</f>
        <v>0</v>
      </c>
      <c r="AS3392" s="82"/>
      <c r="AT3392" s="82">
        <f>IFERROR(__xludf.DUMMYFUNCTION("""COMPUTED_VALUE"""),0.0)</f>
        <v>0</v>
      </c>
      <c r="AU3392" s="82"/>
      <c r="AV3392" s="82"/>
      <c r="AW3392" s="82" t="str">
        <f t="shared" si="1"/>
        <v/>
      </c>
      <c r="AX3392" s="83" t="str">
        <f t="array" ref="AX3392">IFERROR(DGET('SBV Import'!A:G,"SBV",{"RSC ID","Tier";B3392,A3392}))</f>
        <v/>
      </c>
      <c r="AY3392" s="82" t="str">
        <f t="shared" si="2"/>
        <v/>
      </c>
      <c r="AZ3392" s="82"/>
      <c r="BA3392" s="84" t="s">
        <v>152</v>
      </c>
      <c r="BB3392" s="84" t="str">
        <f>IFERROR(__xludf.DUMMYFUNCTION("iferror(if(A3392="""",,E3392&gt;=FILTER(Constants!$F$2:$F$10,Constants!$A$2:$A$10=A3392)))"),"")</f>
        <v/>
      </c>
    </row>
    <row r="3393">
      <c r="A3393" s="89"/>
      <c r="B3393" s="87"/>
      <c r="C3393" s="73"/>
      <c r="D3393" s="73"/>
      <c r="E3393" s="82"/>
      <c r="F3393" s="82"/>
      <c r="G3393" s="86"/>
      <c r="H3393" s="86"/>
      <c r="I3393" s="86"/>
      <c r="J3393" s="82"/>
      <c r="K3393" s="82"/>
      <c r="L3393" s="82"/>
      <c r="M3393" s="82"/>
      <c r="N3393" s="82"/>
      <c r="O3393" s="82"/>
      <c r="P3393" s="82"/>
      <c r="Q3393" s="82"/>
      <c r="R3393" s="82"/>
      <c r="S3393" s="82"/>
      <c r="T3393" s="82"/>
      <c r="U3393" s="82"/>
      <c r="V3393" s="82"/>
      <c r="W3393" s="82"/>
      <c r="X3393" s="82"/>
      <c r="Y3393" s="82"/>
      <c r="Z3393" s="82"/>
      <c r="AA3393" s="82"/>
      <c r="AB3393" s="82"/>
      <c r="AC3393" s="82"/>
      <c r="AD3393" s="82"/>
      <c r="AE3393" s="82"/>
      <c r="AF3393" s="82"/>
      <c r="AG3393" s="82"/>
      <c r="AH3393" s="82"/>
      <c r="AI3393" s="82"/>
      <c r="AJ3393" s="82"/>
      <c r="AK3393" s="82"/>
      <c r="AL3393" s="82"/>
      <c r="AM3393" s="82"/>
      <c r="AN3393" s="82">
        <f>IFERROR(__xludf.DUMMYFUNCTION("""COMPUTED_VALUE"""),0.0)</f>
        <v>0</v>
      </c>
      <c r="AO3393" s="82">
        <f>IFERROR(__xludf.DUMMYFUNCTION("""COMPUTED_VALUE"""),0.0)</f>
        <v>0</v>
      </c>
      <c r="AP3393" s="82">
        <f>IFERROR(__xludf.DUMMYFUNCTION("""COMPUTED_VALUE"""),0.0)</f>
        <v>0</v>
      </c>
      <c r="AQ3393" s="82">
        <f>IFERROR(__xludf.DUMMYFUNCTION("""COMPUTED_VALUE"""),0.0)</f>
        <v>0</v>
      </c>
      <c r="AR3393" s="82">
        <f>IFERROR(__xludf.DUMMYFUNCTION("""COMPUTED_VALUE"""),0.0)</f>
        <v>0</v>
      </c>
      <c r="AS3393" s="82"/>
      <c r="AT3393" s="82">
        <f>IFERROR(__xludf.DUMMYFUNCTION("""COMPUTED_VALUE"""),0.0)</f>
        <v>0</v>
      </c>
      <c r="AU3393" s="82"/>
      <c r="AV3393" s="82"/>
      <c r="AW3393" s="82" t="str">
        <f t="shared" si="1"/>
        <v/>
      </c>
      <c r="AX3393" s="83" t="str">
        <f t="array" ref="AX3393">IFERROR(DGET('SBV Import'!A:G,"SBV",{"RSC ID","Tier";B3393,A3393}))</f>
        <v/>
      </c>
      <c r="AY3393" s="82" t="str">
        <f t="shared" si="2"/>
        <v/>
      </c>
      <c r="AZ3393" s="82"/>
      <c r="BA3393" s="84" t="s">
        <v>152</v>
      </c>
      <c r="BB3393" s="84" t="str">
        <f>IFERROR(__xludf.DUMMYFUNCTION("iferror(if(A3393="""",,E3393&gt;=FILTER(Constants!$F$2:$F$10,Constants!$A$2:$A$10=A3393)))"),"")</f>
        <v/>
      </c>
    </row>
    <row r="3394">
      <c r="A3394" s="89"/>
      <c r="B3394" s="87"/>
      <c r="C3394" s="73"/>
      <c r="D3394" s="73"/>
      <c r="E3394" s="82"/>
      <c r="F3394" s="82"/>
      <c r="G3394" s="86"/>
      <c r="H3394" s="86"/>
      <c r="I3394" s="86"/>
      <c r="J3394" s="82"/>
      <c r="K3394" s="82"/>
      <c r="L3394" s="82"/>
      <c r="M3394" s="82"/>
      <c r="N3394" s="82"/>
      <c r="O3394" s="82"/>
      <c r="P3394" s="82"/>
      <c r="Q3394" s="82"/>
      <c r="R3394" s="82"/>
      <c r="S3394" s="82"/>
      <c r="T3394" s="82"/>
      <c r="U3394" s="82"/>
      <c r="V3394" s="82"/>
      <c r="W3394" s="82"/>
      <c r="X3394" s="82"/>
      <c r="Y3394" s="82"/>
      <c r="Z3394" s="82"/>
      <c r="AA3394" s="82"/>
      <c r="AB3394" s="82"/>
      <c r="AC3394" s="82"/>
      <c r="AD3394" s="82"/>
      <c r="AE3394" s="82"/>
      <c r="AF3394" s="82"/>
      <c r="AG3394" s="82"/>
      <c r="AH3394" s="82"/>
      <c r="AI3394" s="82"/>
      <c r="AJ3394" s="82"/>
      <c r="AK3394" s="82"/>
      <c r="AL3394" s="82"/>
      <c r="AM3394" s="82"/>
      <c r="AN3394" s="82">
        <f>IFERROR(__xludf.DUMMYFUNCTION("""COMPUTED_VALUE"""),0.0)</f>
        <v>0</v>
      </c>
      <c r="AO3394" s="82">
        <f>IFERROR(__xludf.DUMMYFUNCTION("""COMPUTED_VALUE"""),0.0)</f>
        <v>0</v>
      </c>
      <c r="AP3394" s="82">
        <f>IFERROR(__xludf.DUMMYFUNCTION("""COMPUTED_VALUE"""),0.0)</f>
        <v>0</v>
      </c>
      <c r="AQ3394" s="82">
        <f>IFERROR(__xludf.DUMMYFUNCTION("""COMPUTED_VALUE"""),0.0)</f>
        <v>0</v>
      </c>
      <c r="AR3394" s="82">
        <f>IFERROR(__xludf.DUMMYFUNCTION("""COMPUTED_VALUE"""),0.0)</f>
        <v>0</v>
      </c>
      <c r="AS3394" s="82"/>
      <c r="AT3394" s="82">
        <f>IFERROR(__xludf.DUMMYFUNCTION("""COMPUTED_VALUE"""),0.0)</f>
        <v>0</v>
      </c>
      <c r="AU3394" s="82"/>
      <c r="AV3394" s="82"/>
      <c r="AW3394" s="82" t="str">
        <f t="shared" si="1"/>
        <v/>
      </c>
      <c r="AX3394" s="83" t="str">
        <f t="array" ref="AX3394">IFERROR(DGET('SBV Import'!A:G,"SBV",{"RSC ID","Tier";B3394,A3394}))</f>
        <v/>
      </c>
      <c r="AY3394" s="82" t="str">
        <f t="shared" si="2"/>
        <v/>
      </c>
      <c r="AZ3394" s="82"/>
      <c r="BA3394" s="84" t="s">
        <v>152</v>
      </c>
      <c r="BB3394" s="84" t="str">
        <f>IFERROR(__xludf.DUMMYFUNCTION("iferror(if(A3394="""",,E3394&gt;=FILTER(Constants!$F$2:$F$10,Constants!$A$2:$A$10=A3394)))"),"")</f>
        <v/>
      </c>
    </row>
    <row r="3395">
      <c r="A3395" s="89"/>
      <c r="B3395" s="87"/>
      <c r="C3395" s="73"/>
      <c r="D3395" s="73"/>
      <c r="E3395" s="82"/>
      <c r="F3395" s="82"/>
      <c r="G3395" s="86"/>
      <c r="H3395" s="86"/>
      <c r="I3395" s="86"/>
      <c r="J3395" s="82"/>
      <c r="K3395" s="82"/>
      <c r="L3395" s="82"/>
      <c r="M3395" s="82"/>
      <c r="N3395" s="82"/>
      <c r="O3395" s="82"/>
      <c r="P3395" s="82"/>
      <c r="Q3395" s="82"/>
      <c r="R3395" s="82"/>
      <c r="S3395" s="82"/>
      <c r="T3395" s="82"/>
      <c r="U3395" s="82"/>
      <c r="V3395" s="82"/>
      <c r="W3395" s="82"/>
      <c r="X3395" s="82"/>
      <c r="Y3395" s="82"/>
      <c r="Z3395" s="82"/>
      <c r="AA3395" s="82"/>
      <c r="AB3395" s="82"/>
      <c r="AC3395" s="82"/>
      <c r="AD3395" s="82"/>
      <c r="AE3395" s="82"/>
      <c r="AF3395" s="82"/>
      <c r="AG3395" s="82"/>
      <c r="AH3395" s="82"/>
      <c r="AI3395" s="82"/>
      <c r="AJ3395" s="82"/>
      <c r="AK3395" s="82"/>
      <c r="AL3395" s="82"/>
      <c r="AM3395" s="82"/>
      <c r="AN3395" s="82">
        <f>IFERROR(__xludf.DUMMYFUNCTION("""COMPUTED_VALUE"""),0.0)</f>
        <v>0</v>
      </c>
      <c r="AO3395" s="82">
        <f>IFERROR(__xludf.DUMMYFUNCTION("""COMPUTED_VALUE"""),0.0)</f>
        <v>0</v>
      </c>
      <c r="AP3395" s="82">
        <f>IFERROR(__xludf.DUMMYFUNCTION("""COMPUTED_VALUE"""),0.0)</f>
        <v>0</v>
      </c>
      <c r="AQ3395" s="82">
        <f>IFERROR(__xludf.DUMMYFUNCTION("""COMPUTED_VALUE"""),0.0)</f>
        <v>0</v>
      </c>
      <c r="AR3395" s="82">
        <f>IFERROR(__xludf.DUMMYFUNCTION("""COMPUTED_VALUE"""),0.0)</f>
        <v>0</v>
      </c>
      <c r="AS3395" s="82"/>
      <c r="AT3395" s="82">
        <f>IFERROR(__xludf.DUMMYFUNCTION("""COMPUTED_VALUE"""),0.0)</f>
        <v>0</v>
      </c>
      <c r="AU3395" s="82"/>
      <c r="AV3395" s="82"/>
      <c r="AW3395" s="82" t="str">
        <f t="shared" si="1"/>
        <v/>
      </c>
      <c r="AX3395" s="83" t="str">
        <f t="array" ref="AX3395">IFERROR(DGET('SBV Import'!A:G,"SBV",{"RSC ID","Tier";B3395,A3395}))</f>
        <v/>
      </c>
      <c r="AY3395" s="82" t="str">
        <f t="shared" si="2"/>
        <v/>
      </c>
      <c r="AZ3395" s="82"/>
      <c r="BA3395" s="84" t="s">
        <v>152</v>
      </c>
      <c r="BB3395" s="84" t="str">
        <f>IFERROR(__xludf.DUMMYFUNCTION("iferror(if(A3395="""",,E3395&gt;=FILTER(Constants!$F$2:$F$10,Constants!$A$2:$A$10=A3395)))"),"")</f>
        <v/>
      </c>
    </row>
    <row r="3396">
      <c r="A3396" s="89"/>
      <c r="B3396" s="87"/>
      <c r="C3396" s="73"/>
      <c r="D3396" s="73"/>
      <c r="E3396" s="82"/>
      <c r="F3396" s="82"/>
      <c r="G3396" s="86"/>
      <c r="H3396" s="86"/>
      <c r="I3396" s="86"/>
      <c r="J3396" s="82"/>
      <c r="K3396" s="82"/>
      <c r="L3396" s="82"/>
      <c r="M3396" s="82"/>
      <c r="N3396" s="82"/>
      <c r="O3396" s="82"/>
      <c r="P3396" s="82"/>
      <c r="Q3396" s="82"/>
      <c r="R3396" s="82"/>
      <c r="S3396" s="82"/>
      <c r="T3396" s="82"/>
      <c r="U3396" s="82"/>
      <c r="V3396" s="82"/>
      <c r="W3396" s="82"/>
      <c r="X3396" s="82"/>
      <c r="Y3396" s="82"/>
      <c r="Z3396" s="82"/>
      <c r="AA3396" s="82"/>
      <c r="AB3396" s="82"/>
      <c r="AC3396" s="82"/>
      <c r="AD3396" s="82"/>
      <c r="AE3396" s="82"/>
      <c r="AF3396" s="82"/>
      <c r="AG3396" s="82"/>
      <c r="AH3396" s="82"/>
      <c r="AI3396" s="82"/>
      <c r="AJ3396" s="82"/>
      <c r="AK3396" s="82"/>
      <c r="AL3396" s="82"/>
      <c r="AM3396" s="82"/>
      <c r="AN3396" s="82">
        <f>IFERROR(__xludf.DUMMYFUNCTION("""COMPUTED_VALUE"""),0.0)</f>
        <v>0</v>
      </c>
      <c r="AO3396" s="82">
        <f>IFERROR(__xludf.DUMMYFUNCTION("""COMPUTED_VALUE"""),0.0)</f>
        <v>0</v>
      </c>
      <c r="AP3396" s="82">
        <f>IFERROR(__xludf.DUMMYFUNCTION("""COMPUTED_VALUE"""),0.0)</f>
        <v>0</v>
      </c>
      <c r="AQ3396" s="82">
        <f>IFERROR(__xludf.DUMMYFUNCTION("""COMPUTED_VALUE"""),0.0)</f>
        <v>0</v>
      </c>
      <c r="AR3396" s="82">
        <f>IFERROR(__xludf.DUMMYFUNCTION("""COMPUTED_VALUE"""),0.0)</f>
        <v>0</v>
      </c>
      <c r="AS3396" s="82"/>
      <c r="AT3396" s="82">
        <f>IFERROR(__xludf.DUMMYFUNCTION("""COMPUTED_VALUE"""),0.0)</f>
        <v>0</v>
      </c>
      <c r="AU3396" s="82"/>
      <c r="AV3396" s="82"/>
      <c r="AW3396" s="82" t="str">
        <f t="shared" si="1"/>
        <v/>
      </c>
      <c r="AX3396" s="83" t="str">
        <f t="array" ref="AX3396">IFERROR(DGET('SBV Import'!A:G,"SBV",{"RSC ID","Tier";B3396,A3396}))</f>
        <v/>
      </c>
      <c r="AY3396" s="82" t="str">
        <f t="shared" si="2"/>
        <v/>
      </c>
      <c r="AZ3396" s="82"/>
      <c r="BA3396" s="84" t="s">
        <v>152</v>
      </c>
      <c r="BB3396" s="84" t="str">
        <f>IFERROR(__xludf.DUMMYFUNCTION("iferror(if(A3396="""",,E3396&gt;=FILTER(Constants!$F$2:$F$10,Constants!$A$2:$A$10=A3396)))"),"")</f>
        <v/>
      </c>
    </row>
    <row r="3397">
      <c r="A3397" s="89"/>
      <c r="B3397" s="87"/>
      <c r="C3397" s="73"/>
      <c r="D3397" s="73"/>
      <c r="E3397" s="82"/>
      <c r="F3397" s="82"/>
      <c r="G3397" s="86"/>
      <c r="H3397" s="86"/>
      <c r="I3397" s="86"/>
      <c r="J3397" s="82"/>
      <c r="K3397" s="82"/>
      <c r="L3397" s="82"/>
      <c r="M3397" s="82"/>
      <c r="N3397" s="82"/>
      <c r="O3397" s="82"/>
      <c r="P3397" s="82"/>
      <c r="Q3397" s="82"/>
      <c r="R3397" s="82"/>
      <c r="S3397" s="82"/>
      <c r="T3397" s="82"/>
      <c r="U3397" s="82"/>
      <c r="V3397" s="82"/>
      <c r="W3397" s="82"/>
      <c r="X3397" s="82"/>
      <c r="Y3397" s="82"/>
      <c r="Z3397" s="82"/>
      <c r="AA3397" s="82"/>
      <c r="AB3397" s="82"/>
      <c r="AC3397" s="82"/>
      <c r="AD3397" s="82"/>
      <c r="AE3397" s="82"/>
      <c r="AF3397" s="82"/>
      <c r="AG3397" s="82"/>
      <c r="AH3397" s="82"/>
      <c r="AI3397" s="82"/>
      <c r="AJ3397" s="82"/>
      <c r="AK3397" s="82"/>
      <c r="AL3397" s="82"/>
      <c r="AM3397" s="82"/>
      <c r="AN3397" s="82">
        <f>IFERROR(__xludf.DUMMYFUNCTION("""COMPUTED_VALUE"""),0.0)</f>
        <v>0</v>
      </c>
      <c r="AO3397" s="82">
        <f>IFERROR(__xludf.DUMMYFUNCTION("""COMPUTED_VALUE"""),0.0)</f>
        <v>0</v>
      </c>
      <c r="AP3397" s="82">
        <f>IFERROR(__xludf.DUMMYFUNCTION("""COMPUTED_VALUE"""),0.0)</f>
        <v>0</v>
      </c>
      <c r="AQ3397" s="82">
        <f>IFERROR(__xludf.DUMMYFUNCTION("""COMPUTED_VALUE"""),0.0)</f>
        <v>0</v>
      </c>
      <c r="AR3397" s="82">
        <f>IFERROR(__xludf.DUMMYFUNCTION("""COMPUTED_VALUE"""),0.0)</f>
        <v>0</v>
      </c>
      <c r="AS3397" s="82"/>
      <c r="AT3397" s="82">
        <f>IFERROR(__xludf.DUMMYFUNCTION("""COMPUTED_VALUE"""),0.0)</f>
        <v>0</v>
      </c>
      <c r="AU3397" s="82"/>
      <c r="AV3397" s="82"/>
      <c r="AW3397" s="82" t="str">
        <f t="shared" si="1"/>
        <v/>
      </c>
      <c r="AX3397" s="83" t="str">
        <f t="array" ref="AX3397">IFERROR(DGET('SBV Import'!A:G,"SBV",{"RSC ID","Tier";B3397,A3397}))</f>
        <v/>
      </c>
      <c r="AY3397" s="82" t="str">
        <f t="shared" si="2"/>
        <v/>
      </c>
      <c r="AZ3397" s="82"/>
      <c r="BA3397" s="84" t="s">
        <v>152</v>
      </c>
      <c r="BB3397" s="84" t="str">
        <f>IFERROR(__xludf.DUMMYFUNCTION("iferror(if(A3397="""",,E3397&gt;=FILTER(Constants!$F$2:$F$10,Constants!$A$2:$A$10=A3397)))"),"")</f>
        <v/>
      </c>
    </row>
    <row r="3398">
      <c r="A3398" s="89"/>
      <c r="B3398" s="87"/>
      <c r="C3398" s="73"/>
      <c r="D3398" s="73"/>
      <c r="E3398" s="82"/>
      <c r="F3398" s="82"/>
      <c r="G3398" s="86"/>
      <c r="H3398" s="86"/>
      <c r="I3398" s="86"/>
      <c r="J3398" s="82"/>
      <c r="K3398" s="82"/>
      <c r="L3398" s="82"/>
      <c r="M3398" s="82"/>
      <c r="N3398" s="82"/>
      <c r="O3398" s="82"/>
      <c r="P3398" s="82"/>
      <c r="Q3398" s="82"/>
      <c r="R3398" s="82"/>
      <c r="S3398" s="82"/>
      <c r="T3398" s="82"/>
      <c r="U3398" s="82"/>
      <c r="V3398" s="82"/>
      <c r="W3398" s="82"/>
      <c r="X3398" s="82"/>
      <c r="Y3398" s="82"/>
      <c r="Z3398" s="82"/>
      <c r="AA3398" s="82"/>
      <c r="AB3398" s="82"/>
      <c r="AC3398" s="82"/>
      <c r="AD3398" s="82"/>
      <c r="AE3398" s="82"/>
      <c r="AF3398" s="82"/>
      <c r="AG3398" s="82"/>
      <c r="AH3398" s="82"/>
      <c r="AI3398" s="82"/>
      <c r="AJ3398" s="82"/>
      <c r="AK3398" s="82"/>
      <c r="AL3398" s="82"/>
      <c r="AM3398" s="82"/>
      <c r="AN3398" s="82">
        <f>IFERROR(__xludf.DUMMYFUNCTION("""COMPUTED_VALUE"""),0.0)</f>
        <v>0</v>
      </c>
      <c r="AO3398" s="82">
        <f>IFERROR(__xludf.DUMMYFUNCTION("""COMPUTED_VALUE"""),0.0)</f>
        <v>0</v>
      </c>
      <c r="AP3398" s="82">
        <f>IFERROR(__xludf.DUMMYFUNCTION("""COMPUTED_VALUE"""),0.0)</f>
        <v>0</v>
      </c>
      <c r="AQ3398" s="82">
        <f>IFERROR(__xludf.DUMMYFUNCTION("""COMPUTED_VALUE"""),0.0)</f>
        <v>0</v>
      </c>
      <c r="AR3398" s="82">
        <f>IFERROR(__xludf.DUMMYFUNCTION("""COMPUTED_VALUE"""),0.0)</f>
        <v>0</v>
      </c>
      <c r="AS3398" s="82"/>
      <c r="AT3398" s="82">
        <f>IFERROR(__xludf.DUMMYFUNCTION("""COMPUTED_VALUE"""),0.0)</f>
        <v>0</v>
      </c>
      <c r="AU3398" s="82"/>
      <c r="AV3398" s="82"/>
      <c r="AW3398" s="82" t="str">
        <f t="shared" si="1"/>
        <v/>
      </c>
      <c r="AX3398" s="83" t="str">
        <f t="array" ref="AX3398">IFERROR(DGET('SBV Import'!A:G,"SBV",{"RSC ID","Tier";B3398,A3398}))</f>
        <v/>
      </c>
      <c r="AY3398" s="82" t="str">
        <f t="shared" si="2"/>
        <v/>
      </c>
      <c r="AZ3398" s="82"/>
      <c r="BA3398" s="84" t="s">
        <v>152</v>
      </c>
      <c r="BB3398" s="84" t="str">
        <f>IFERROR(__xludf.DUMMYFUNCTION("iferror(if(A3398="""",,E3398&gt;=FILTER(Constants!$F$2:$F$10,Constants!$A$2:$A$10=A3398)))"),"")</f>
        <v/>
      </c>
    </row>
    <row r="3399">
      <c r="A3399" s="89"/>
      <c r="B3399" s="87"/>
      <c r="C3399" s="73"/>
      <c r="D3399" s="73"/>
      <c r="E3399" s="82"/>
      <c r="F3399" s="82"/>
      <c r="G3399" s="86"/>
      <c r="H3399" s="86"/>
      <c r="I3399" s="86"/>
      <c r="J3399" s="82"/>
      <c r="K3399" s="82"/>
      <c r="L3399" s="82"/>
      <c r="M3399" s="82"/>
      <c r="N3399" s="82"/>
      <c r="O3399" s="82"/>
      <c r="P3399" s="82"/>
      <c r="Q3399" s="82"/>
      <c r="R3399" s="82"/>
      <c r="S3399" s="82"/>
      <c r="T3399" s="82"/>
      <c r="U3399" s="82"/>
      <c r="V3399" s="82"/>
      <c r="W3399" s="82"/>
      <c r="X3399" s="82"/>
      <c r="Y3399" s="82"/>
      <c r="Z3399" s="82"/>
      <c r="AA3399" s="82"/>
      <c r="AB3399" s="82"/>
      <c r="AC3399" s="82"/>
      <c r="AD3399" s="82"/>
      <c r="AE3399" s="82"/>
      <c r="AF3399" s="82"/>
      <c r="AG3399" s="82"/>
      <c r="AH3399" s="82"/>
      <c r="AI3399" s="82"/>
      <c r="AJ3399" s="82"/>
      <c r="AK3399" s="82"/>
      <c r="AL3399" s="82"/>
      <c r="AM3399" s="82"/>
      <c r="AN3399" s="82">
        <f>IFERROR(__xludf.DUMMYFUNCTION("""COMPUTED_VALUE"""),0.0)</f>
        <v>0</v>
      </c>
      <c r="AO3399" s="82">
        <f>IFERROR(__xludf.DUMMYFUNCTION("""COMPUTED_VALUE"""),0.0)</f>
        <v>0</v>
      </c>
      <c r="AP3399" s="82">
        <f>IFERROR(__xludf.DUMMYFUNCTION("""COMPUTED_VALUE"""),0.0)</f>
        <v>0</v>
      </c>
      <c r="AQ3399" s="82">
        <f>IFERROR(__xludf.DUMMYFUNCTION("""COMPUTED_VALUE"""),0.0)</f>
        <v>0</v>
      </c>
      <c r="AR3399" s="82">
        <f>IFERROR(__xludf.DUMMYFUNCTION("""COMPUTED_VALUE"""),0.0)</f>
        <v>0</v>
      </c>
      <c r="AS3399" s="82"/>
      <c r="AT3399" s="82">
        <f>IFERROR(__xludf.DUMMYFUNCTION("""COMPUTED_VALUE"""),0.0)</f>
        <v>0</v>
      </c>
      <c r="AU3399" s="82"/>
      <c r="AV3399" s="82"/>
      <c r="AW3399" s="82" t="str">
        <f t="shared" si="1"/>
        <v/>
      </c>
      <c r="AX3399" s="83" t="str">
        <f t="array" ref="AX3399">IFERROR(DGET('SBV Import'!A:G,"SBV",{"RSC ID","Tier";B3399,A3399}))</f>
        <v/>
      </c>
      <c r="AY3399" s="82" t="str">
        <f t="shared" si="2"/>
        <v/>
      </c>
      <c r="AZ3399" s="82"/>
      <c r="BA3399" s="84" t="s">
        <v>152</v>
      </c>
      <c r="BB3399" s="84" t="str">
        <f>IFERROR(__xludf.DUMMYFUNCTION("iferror(if(A3399="""",,E3399&gt;=FILTER(Constants!$F$2:$F$10,Constants!$A$2:$A$10=A3399)))"),"")</f>
        <v/>
      </c>
    </row>
    <row r="3400">
      <c r="A3400" s="89"/>
      <c r="B3400" s="87"/>
      <c r="C3400" s="73"/>
      <c r="D3400" s="73"/>
      <c r="E3400" s="82"/>
      <c r="F3400" s="82"/>
      <c r="G3400" s="86"/>
      <c r="H3400" s="86"/>
      <c r="I3400" s="86"/>
      <c r="J3400" s="82"/>
      <c r="K3400" s="82"/>
      <c r="L3400" s="82"/>
      <c r="M3400" s="82"/>
      <c r="N3400" s="82"/>
      <c r="O3400" s="82"/>
      <c r="P3400" s="82"/>
      <c r="Q3400" s="82"/>
      <c r="R3400" s="82"/>
      <c r="S3400" s="82"/>
      <c r="T3400" s="82"/>
      <c r="U3400" s="82"/>
      <c r="V3400" s="82"/>
      <c r="W3400" s="82"/>
      <c r="X3400" s="82"/>
      <c r="Y3400" s="82"/>
      <c r="Z3400" s="82"/>
      <c r="AA3400" s="82"/>
      <c r="AB3400" s="82"/>
      <c r="AC3400" s="82"/>
      <c r="AD3400" s="82"/>
      <c r="AE3400" s="82"/>
      <c r="AF3400" s="82"/>
      <c r="AG3400" s="82"/>
      <c r="AH3400" s="82"/>
      <c r="AI3400" s="82"/>
      <c r="AJ3400" s="82"/>
      <c r="AK3400" s="82"/>
      <c r="AL3400" s="82"/>
      <c r="AM3400" s="82"/>
      <c r="AN3400" s="82">
        <f>IFERROR(__xludf.DUMMYFUNCTION("""COMPUTED_VALUE"""),0.0)</f>
        <v>0</v>
      </c>
      <c r="AO3400" s="82">
        <f>IFERROR(__xludf.DUMMYFUNCTION("""COMPUTED_VALUE"""),0.0)</f>
        <v>0</v>
      </c>
      <c r="AP3400" s="82">
        <f>IFERROR(__xludf.DUMMYFUNCTION("""COMPUTED_VALUE"""),0.0)</f>
        <v>0</v>
      </c>
      <c r="AQ3400" s="82">
        <f>IFERROR(__xludf.DUMMYFUNCTION("""COMPUTED_VALUE"""),0.0)</f>
        <v>0</v>
      </c>
      <c r="AR3400" s="82">
        <f>IFERROR(__xludf.DUMMYFUNCTION("""COMPUTED_VALUE"""),0.0)</f>
        <v>0</v>
      </c>
      <c r="AS3400" s="82"/>
      <c r="AT3400" s="82">
        <f>IFERROR(__xludf.DUMMYFUNCTION("""COMPUTED_VALUE"""),0.0)</f>
        <v>0</v>
      </c>
      <c r="AU3400" s="82"/>
      <c r="AV3400" s="82"/>
      <c r="AW3400" s="82" t="str">
        <f t="shared" si="1"/>
        <v/>
      </c>
      <c r="AX3400" s="83" t="str">
        <f t="array" ref="AX3400">IFERROR(DGET('SBV Import'!A:G,"SBV",{"RSC ID","Tier";B3400,A3400}))</f>
        <v/>
      </c>
      <c r="AY3400" s="82" t="str">
        <f t="shared" si="2"/>
        <v/>
      </c>
      <c r="AZ3400" s="82"/>
      <c r="BA3400" s="84" t="s">
        <v>152</v>
      </c>
      <c r="BB3400" s="84" t="str">
        <f>IFERROR(__xludf.DUMMYFUNCTION("iferror(if(A3400="""",,E3400&gt;=FILTER(Constants!$F$2:$F$10,Constants!$A$2:$A$10=A3400)))"),"")</f>
        <v/>
      </c>
    </row>
    <row r="3401">
      <c r="A3401" s="89"/>
      <c r="B3401" s="87"/>
      <c r="C3401" s="73"/>
      <c r="D3401" s="73"/>
      <c r="E3401" s="82"/>
      <c r="F3401" s="82"/>
      <c r="G3401" s="86"/>
      <c r="H3401" s="86"/>
      <c r="I3401" s="86"/>
      <c r="J3401" s="82"/>
      <c r="K3401" s="82"/>
      <c r="L3401" s="82"/>
      <c r="M3401" s="82"/>
      <c r="N3401" s="82"/>
      <c r="O3401" s="82"/>
      <c r="P3401" s="82"/>
      <c r="Q3401" s="82"/>
      <c r="R3401" s="82"/>
      <c r="S3401" s="82"/>
      <c r="T3401" s="82"/>
      <c r="U3401" s="82"/>
      <c r="V3401" s="82"/>
      <c r="W3401" s="82"/>
      <c r="X3401" s="82"/>
      <c r="Y3401" s="82"/>
      <c r="Z3401" s="82"/>
      <c r="AA3401" s="82"/>
      <c r="AB3401" s="82"/>
      <c r="AC3401" s="82"/>
      <c r="AD3401" s="82"/>
      <c r="AE3401" s="82"/>
      <c r="AF3401" s="82"/>
      <c r="AG3401" s="82"/>
      <c r="AH3401" s="82"/>
      <c r="AI3401" s="82"/>
      <c r="AJ3401" s="82"/>
      <c r="AK3401" s="82"/>
      <c r="AL3401" s="82"/>
      <c r="AM3401" s="82"/>
      <c r="AN3401" s="82">
        <f>IFERROR(__xludf.DUMMYFUNCTION("""COMPUTED_VALUE"""),0.0)</f>
        <v>0</v>
      </c>
      <c r="AO3401" s="82">
        <f>IFERROR(__xludf.DUMMYFUNCTION("""COMPUTED_VALUE"""),0.0)</f>
        <v>0</v>
      </c>
      <c r="AP3401" s="82">
        <f>IFERROR(__xludf.DUMMYFUNCTION("""COMPUTED_VALUE"""),0.0)</f>
        <v>0</v>
      </c>
      <c r="AQ3401" s="82">
        <f>IFERROR(__xludf.DUMMYFUNCTION("""COMPUTED_VALUE"""),0.0)</f>
        <v>0</v>
      </c>
      <c r="AR3401" s="82">
        <f>IFERROR(__xludf.DUMMYFUNCTION("""COMPUTED_VALUE"""),0.0)</f>
        <v>0</v>
      </c>
      <c r="AS3401" s="82"/>
      <c r="AT3401" s="82">
        <f>IFERROR(__xludf.DUMMYFUNCTION("""COMPUTED_VALUE"""),0.0)</f>
        <v>0</v>
      </c>
      <c r="AU3401" s="82"/>
      <c r="AV3401" s="82"/>
      <c r="AW3401" s="82" t="str">
        <f t="shared" si="1"/>
        <v/>
      </c>
      <c r="AX3401" s="83" t="str">
        <f t="array" ref="AX3401">IFERROR(DGET('SBV Import'!A:G,"SBV",{"RSC ID","Tier";B3401,A3401}))</f>
        <v/>
      </c>
      <c r="AY3401" s="82" t="str">
        <f t="shared" si="2"/>
        <v/>
      </c>
      <c r="AZ3401" s="82"/>
      <c r="BA3401" s="84" t="s">
        <v>152</v>
      </c>
      <c r="BB3401" s="84" t="str">
        <f>IFERROR(__xludf.DUMMYFUNCTION("iferror(if(A3401="""",,E3401&gt;=FILTER(Constants!$F$2:$F$10,Constants!$A$2:$A$10=A3401)))"),"")</f>
        <v/>
      </c>
    </row>
    <row r="3402">
      <c r="A3402" s="89"/>
      <c r="B3402" s="87"/>
      <c r="C3402" s="73"/>
      <c r="D3402" s="73"/>
      <c r="E3402" s="82"/>
      <c r="F3402" s="82"/>
      <c r="G3402" s="86"/>
      <c r="H3402" s="86"/>
      <c r="I3402" s="86"/>
      <c r="J3402" s="82"/>
      <c r="K3402" s="82"/>
      <c r="L3402" s="82"/>
      <c r="M3402" s="82"/>
      <c r="N3402" s="82"/>
      <c r="O3402" s="82"/>
      <c r="P3402" s="82"/>
      <c r="Q3402" s="82"/>
      <c r="R3402" s="82"/>
      <c r="S3402" s="82"/>
      <c r="T3402" s="82"/>
      <c r="U3402" s="82"/>
      <c r="V3402" s="82"/>
      <c r="W3402" s="82"/>
      <c r="X3402" s="82"/>
      <c r="Y3402" s="82"/>
      <c r="Z3402" s="82"/>
      <c r="AA3402" s="82"/>
      <c r="AB3402" s="82"/>
      <c r="AC3402" s="82"/>
      <c r="AD3402" s="82"/>
      <c r="AE3402" s="82"/>
      <c r="AF3402" s="82"/>
      <c r="AG3402" s="82"/>
      <c r="AH3402" s="82"/>
      <c r="AI3402" s="82"/>
      <c r="AJ3402" s="82"/>
      <c r="AK3402" s="82"/>
      <c r="AL3402" s="82"/>
      <c r="AM3402" s="82"/>
      <c r="AN3402" s="82">
        <f>IFERROR(__xludf.DUMMYFUNCTION("""COMPUTED_VALUE"""),0.0)</f>
        <v>0</v>
      </c>
      <c r="AO3402" s="82">
        <f>IFERROR(__xludf.DUMMYFUNCTION("""COMPUTED_VALUE"""),0.0)</f>
        <v>0</v>
      </c>
      <c r="AP3402" s="82">
        <f>IFERROR(__xludf.DUMMYFUNCTION("""COMPUTED_VALUE"""),0.0)</f>
        <v>0</v>
      </c>
      <c r="AQ3402" s="82">
        <f>IFERROR(__xludf.DUMMYFUNCTION("""COMPUTED_VALUE"""),0.0)</f>
        <v>0</v>
      </c>
      <c r="AR3402" s="82">
        <f>IFERROR(__xludf.DUMMYFUNCTION("""COMPUTED_VALUE"""),0.0)</f>
        <v>0</v>
      </c>
      <c r="AS3402" s="82"/>
      <c r="AT3402" s="82">
        <f>IFERROR(__xludf.DUMMYFUNCTION("""COMPUTED_VALUE"""),0.0)</f>
        <v>0</v>
      </c>
      <c r="AU3402" s="82"/>
      <c r="AV3402" s="82"/>
      <c r="AW3402" s="82" t="str">
        <f t="shared" si="1"/>
        <v/>
      </c>
      <c r="AX3402" s="83" t="str">
        <f t="array" ref="AX3402">IFERROR(DGET('SBV Import'!A:G,"SBV",{"RSC ID","Tier";B3402,A3402}))</f>
        <v/>
      </c>
      <c r="AY3402" s="82" t="str">
        <f t="shared" si="2"/>
        <v/>
      </c>
      <c r="AZ3402" s="82"/>
      <c r="BA3402" s="84" t="s">
        <v>152</v>
      </c>
      <c r="BB3402" s="84" t="str">
        <f>IFERROR(__xludf.DUMMYFUNCTION("iferror(if(A3402="""",,E3402&gt;=FILTER(Constants!$F$2:$F$10,Constants!$A$2:$A$10=A3402)))"),"")</f>
        <v/>
      </c>
    </row>
    <row r="3403">
      <c r="A3403" s="89"/>
      <c r="B3403" s="87"/>
      <c r="C3403" s="73"/>
      <c r="D3403" s="73"/>
      <c r="E3403" s="82"/>
      <c r="F3403" s="82"/>
      <c r="G3403" s="86"/>
      <c r="H3403" s="86"/>
      <c r="I3403" s="86"/>
      <c r="J3403" s="82"/>
      <c r="K3403" s="82"/>
      <c r="L3403" s="82"/>
      <c r="M3403" s="82"/>
      <c r="N3403" s="82"/>
      <c r="O3403" s="82"/>
      <c r="P3403" s="82"/>
      <c r="Q3403" s="82"/>
      <c r="R3403" s="82"/>
      <c r="S3403" s="82"/>
      <c r="T3403" s="82"/>
      <c r="U3403" s="82"/>
      <c r="V3403" s="82"/>
      <c r="W3403" s="82"/>
      <c r="X3403" s="82"/>
      <c r="Y3403" s="82"/>
      <c r="Z3403" s="82"/>
      <c r="AA3403" s="82"/>
      <c r="AB3403" s="82"/>
      <c r="AC3403" s="82"/>
      <c r="AD3403" s="82"/>
      <c r="AE3403" s="82"/>
      <c r="AF3403" s="82"/>
      <c r="AG3403" s="82"/>
      <c r="AH3403" s="82"/>
      <c r="AI3403" s="82"/>
      <c r="AJ3403" s="82"/>
      <c r="AK3403" s="82"/>
      <c r="AL3403" s="82"/>
      <c r="AM3403" s="82"/>
      <c r="AN3403" s="82">
        <f>IFERROR(__xludf.DUMMYFUNCTION("""COMPUTED_VALUE"""),0.0)</f>
        <v>0</v>
      </c>
      <c r="AO3403" s="82">
        <f>IFERROR(__xludf.DUMMYFUNCTION("""COMPUTED_VALUE"""),0.0)</f>
        <v>0</v>
      </c>
      <c r="AP3403" s="82">
        <f>IFERROR(__xludf.DUMMYFUNCTION("""COMPUTED_VALUE"""),0.0)</f>
        <v>0</v>
      </c>
      <c r="AQ3403" s="82">
        <f>IFERROR(__xludf.DUMMYFUNCTION("""COMPUTED_VALUE"""),0.0)</f>
        <v>0</v>
      </c>
      <c r="AR3403" s="82">
        <f>IFERROR(__xludf.DUMMYFUNCTION("""COMPUTED_VALUE"""),0.0)</f>
        <v>0</v>
      </c>
      <c r="AS3403" s="82"/>
      <c r="AT3403" s="82">
        <f>IFERROR(__xludf.DUMMYFUNCTION("""COMPUTED_VALUE"""),0.0)</f>
        <v>0</v>
      </c>
      <c r="AU3403" s="82"/>
      <c r="AV3403" s="82"/>
      <c r="AW3403" s="82" t="str">
        <f t="shared" si="1"/>
        <v/>
      </c>
      <c r="AX3403" s="83" t="str">
        <f t="array" ref="AX3403">IFERROR(DGET('SBV Import'!A:G,"SBV",{"RSC ID","Tier";B3403,A3403}))</f>
        <v/>
      </c>
      <c r="AY3403" s="82" t="str">
        <f t="shared" si="2"/>
        <v/>
      </c>
      <c r="AZ3403" s="82"/>
      <c r="BA3403" s="84" t="s">
        <v>152</v>
      </c>
      <c r="BB3403" s="84" t="str">
        <f>IFERROR(__xludf.DUMMYFUNCTION("iferror(if(A3403="""",,E3403&gt;=FILTER(Constants!$F$2:$F$10,Constants!$A$2:$A$10=A3403)))"),"")</f>
        <v/>
      </c>
    </row>
    <row r="3404">
      <c r="A3404" s="89"/>
      <c r="B3404" s="87"/>
      <c r="C3404" s="73"/>
      <c r="D3404" s="73"/>
      <c r="E3404" s="82"/>
      <c r="F3404" s="82"/>
      <c r="G3404" s="86"/>
      <c r="H3404" s="86"/>
      <c r="I3404" s="86"/>
      <c r="J3404" s="82"/>
      <c r="K3404" s="82"/>
      <c r="L3404" s="82"/>
      <c r="M3404" s="82"/>
      <c r="N3404" s="82"/>
      <c r="O3404" s="82"/>
      <c r="P3404" s="82"/>
      <c r="Q3404" s="82"/>
      <c r="R3404" s="82"/>
      <c r="S3404" s="82"/>
      <c r="T3404" s="82"/>
      <c r="U3404" s="82"/>
      <c r="V3404" s="82"/>
      <c r="W3404" s="82"/>
      <c r="X3404" s="82"/>
      <c r="Y3404" s="82"/>
      <c r="Z3404" s="82"/>
      <c r="AA3404" s="82"/>
      <c r="AB3404" s="82"/>
      <c r="AC3404" s="82"/>
      <c r="AD3404" s="82"/>
      <c r="AE3404" s="82"/>
      <c r="AF3404" s="82"/>
      <c r="AG3404" s="82"/>
      <c r="AH3404" s="82"/>
      <c r="AI3404" s="82"/>
      <c r="AJ3404" s="82"/>
      <c r="AK3404" s="82"/>
      <c r="AL3404" s="82"/>
      <c r="AM3404" s="82"/>
      <c r="AN3404" s="82">
        <f>IFERROR(__xludf.DUMMYFUNCTION("""COMPUTED_VALUE"""),0.0)</f>
        <v>0</v>
      </c>
      <c r="AO3404" s="82">
        <f>IFERROR(__xludf.DUMMYFUNCTION("""COMPUTED_VALUE"""),0.0)</f>
        <v>0</v>
      </c>
      <c r="AP3404" s="82">
        <f>IFERROR(__xludf.DUMMYFUNCTION("""COMPUTED_VALUE"""),0.0)</f>
        <v>0</v>
      </c>
      <c r="AQ3404" s="82">
        <f>IFERROR(__xludf.DUMMYFUNCTION("""COMPUTED_VALUE"""),0.0)</f>
        <v>0</v>
      </c>
      <c r="AR3404" s="82">
        <f>IFERROR(__xludf.DUMMYFUNCTION("""COMPUTED_VALUE"""),0.0)</f>
        <v>0</v>
      </c>
      <c r="AS3404" s="82"/>
      <c r="AT3404" s="82">
        <f>IFERROR(__xludf.DUMMYFUNCTION("""COMPUTED_VALUE"""),0.0)</f>
        <v>0</v>
      </c>
      <c r="AU3404" s="82"/>
      <c r="AV3404" s="82"/>
      <c r="AW3404" s="82" t="str">
        <f t="shared" si="1"/>
        <v/>
      </c>
      <c r="AX3404" s="83" t="str">
        <f t="array" ref="AX3404">IFERROR(DGET('SBV Import'!A:G,"SBV",{"RSC ID","Tier";B3404,A3404}))</f>
        <v/>
      </c>
      <c r="AY3404" s="82" t="str">
        <f t="shared" si="2"/>
        <v/>
      </c>
      <c r="AZ3404" s="82"/>
      <c r="BA3404" s="84" t="s">
        <v>152</v>
      </c>
      <c r="BB3404" s="84" t="str">
        <f>IFERROR(__xludf.DUMMYFUNCTION("iferror(if(A3404="""",,E3404&gt;=FILTER(Constants!$F$2:$F$10,Constants!$A$2:$A$10=A3404)))"),"")</f>
        <v/>
      </c>
    </row>
    <row r="3405">
      <c r="A3405" s="89"/>
      <c r="B3405" s="87"/>
      <c r="C3405" s="73"/>
      <c r="D3405" s="73"/>
      <c r="E3405" s="82"/>
      <c r="F3405" s="82"/>
      <c r="G3405" s="86"/>
      <c r="H3405" s="86"/>
      <c r="I3405" s="86"/>
      <c r="J3405" s="82"/>
      <c r="K3405" s="82"/>
      <c r="L3405" s="82"/>
      <c r="M3405" s="82"/>
      <c r="N3405" s="82"/>
      <c r="O3405" s="82"/>
      <c r="P3405" s="82"/>
      <c r="Q3405" s="82"/>
      <c r="R3405" s="82"/>
      <c r="S3405" s="82"/>
      <c r="T3405" s="82"/>
      <c r="U3405" s="82"/>
      <c r="V3405" s="82"/>
      <c r="W3405" s="82"/>
      <c r="X3405" s="82"/>
      <c r="Y3405" s="82"/>
      <c r="Z3405" s="82"/>
      <c r="AA3405" s="82"/>
      <c r="AB3405" s="82"/>
      <c r="AC3405" s="82"/>
      <c r="AD3405" s="82"/>
      <c r="AE3405" s="82"/>
      <c r="AF3405" s="82"/>
      <c r="AG3405" s="82"/>
      <c r="AH3405" s="82"/>
      <c r="AI3405" s="82"/>
      <c r="AJ3405" s="82"/>
      <c r="AK3405" s="82"/>
      <c r="AL3405" s="82"/>
      <c r="AM3405" s="82"/>
      <c r="AN3405" s="82">
        <f>IFERROR(__xludf.DUMMYFUNCTION("""COMPUTED_VALUE"""),0.0)</f>
        <v>0</v>
      </c>
      <c r="AO3405" s="82">
        <f>IFERROR(__xludf.DUMMYFUNCTION("""COMPUTED_VALUE"""),0.0)</f>
        <v>0</v>
      </c>
      <c r="AP3405" s="82">
        <f>IFERROR(__xludf.DUMMYFUNCTION("""COMPUTED_VALUE"""),0.0)</f>
        <v>0</v>
      </c>
      <c r="AQ3405" s="82">
        <f>IFERROR(__xludf.DUMMYFUNCTION("""COMPUTED_VALUE"""),0.0)</f>
        <v>0</v>
      </c>
      <c r="AR3405" s="82">
        <f>IFERROR(__xludf.DUMMYFUNCTION("""COMPUTED_VALUE"""),0.0)</f>
        <v>0</v>
      </c>
      <c r="AS3405" s="82"/>
      <c r="AT3405" s="82">
        <f>IFERROR(__xludf.DUMMYFUNCTION("""COMPUTED_VALUE"""),0.0)</f>
        <v>0</v>
      </c>
      <c r="AU3405" s="82"/>
      <c r="AV3405" s="82"/>
      <c r="AW3405" s="82" t="str">
        <f t="shared" si="1"/>
        <v/>
      </c>
      <c r="AX3405" s="83" t="str">
        <f t="array" ref="AX3405">IFERROR(DGET('SBV Import'!A:G,"SBV",{"RSC ID","Tier";B3405,A3405}))</f>
        <v/>
      </c>
      <c r="AY3405" s="82" t="str">
        <f t="shared" si="2"/>
        <v/>
      </c>
      <c r="AZ3405" s="82"/>
      <c r="BA3405" s="84" t="s">
        <v>152</v>
      </c>
      <c r="BB3405" s="84" t="str">
        <f>IFERROR(__xludf.DUMMYFUNCTION("iferror(if(A3405="""",,E3405&gt;=FILTER(Constants!$F$2:$F$10,Constants!$A$2:$A$10=A3405)))"),"")</f>
        <v/>
      </c>
    </row>
    <row r="3406">
      <c r="A3406" s="89"/>
      <c r="B3406" s="87"/>
      <c r="C3406" s="73"/>
      <c r="D3406" s="73"/>
      <c r="E3406" s="82"/>
      <c r="F3406" s="82"/>
      <c r="G3406" s="86"/>
      <c r="H3406" s="86"/>
      <c r="I3406" s="86"/>
      <c r="J3406" s="82"/>
      <c r="K3406" s="82"/>
      <c r="L3406" s="82"/>
      <c r="M3406" s="82"/>
      <c r="N3406" s="82"/>
      <c r="O3406" s="82"/>
      <c r="P3406" s="82"/>
      <c r="Q3406" s="82"/>
      <c r="R3406" s="82"/>
      <c r="S3406" s="82"/>
      <c r="T3406" s="82"/>
      <c r="U3406" s="82"/>
      <c r="V3406" s="82"/>
      <c r="W3406" s="82"/>
      <c r="X3406" s="82"/>
      <c r="Y3406" s="82"/>
      <c r="Z3406" s="82"/>
      <c r="AA3406" s="82"/>
      <c r="AB3406" s="82"/>
      <c r="AC3406" s="82"/>
      <c r="AD3406" s="82"/>
      <c r="AE3406" s="82"/>
      <c r="AF3406" s="82"/>
      <c r="AG3406" s="82"/>
      <c r="AH3406" s="82"/>
      <c r="AI3406" s="82"/>
      <c r="AJ3406" s="82"/>
      <c r="AK3406" s="82"/>
      <c r="AL3406" s="82"/>
      <c r="AM3406" s="82"/>
      <c r="AN3406" s="82">
        <f>IFERROR(__xludf.DUMMYFUNCTION("""COMPUTED_VALUE"""),0.0)</f>
        <v>0</v>
      </c>
      <c r="AO3406" s="82">
        <f>IFERROR(__xludf.DUMMYFUNCTION("""COMPUTED_VALUE"""),0.0)</f>
        <v>0</v>
      </c>
      <c r="AP3406" s="82">
        <f>IFERROR(__xludf.DUMMYFUNCTION("""COMPUTED_VALUE"""),0.0)</f>
        <v>0</v>
      </c>
      <c r="AQ3406" s="82">
        <f>IFERROR(__xludf.DUMMYFUNCTION("""COMPUTED_VALUE"""),0.0)</f>
        <v>0</v>
      </c>
      <c r="AR3406" s="82">
        <f>IFERROR(__xludf.DUMMYFUNCTION("""COMPUTED_VALUE"""),0.0)</f>
        <v>0</v>
      </c>
      <c r="AS3406" s="82"/>
      <c r="AT3406" s="82">
        <f>IFERROR(__xludf.DUMMYFUNCTION("""COMPUTED_VALUE"""),0.0)</f>
        <v>0</v>
      </c>
      <c r="AU3406" s="82"/>
      <c r="AV3406" s="82"/>
      <c r="AW3406" s="82" t="str">
        <f t="shared" si="1"/>
        <v/>
      </c>
      <c r="AX3406" s="83" t="str">
        <f t="array" ref="AX3406">IFERROR(DGET('SBV Import'!A:G,"SBV",{"RSC ID","Tier";B3406,A3406}))</f>
        <v/>
      </c>
      <c r="AY3406" s="82" t="str">
        <f t="shared" si="2"/>
        <v/>
      </c>
      <c r="AZ3406" s="82"/>
      <c r="BA3406" s="84" t="s">
        <v>152</v>
      </c>
      <c r="BB3406" s="84" t="str">
        <f>IFERROR(__xludf.DUMMYFUNCTION("iferror(if(A3406="""",,E3406&gt;=FILTER(Constants!$F$2:$F$10,Constants!$A$2:$A$10=A3406)))"),"")</f>
        <v/>
      </c>
    </row>
    <row r="3407">
      <c r="A3407" s="89"/>
      <c r="B3407" s="87"/>
      <c r="C3407" s="73"/>
      <c r="D3407" s="73"/>
      <c r="E3407" s="82"/>
      <c r="F3407" s="82"/>
      <c r="G3407" s="86"/>
      <c r="H3407" s="86"/>
      <c r="I3407" s="86"/>
      <c r="J3407" s="82"/>
      <c r="K3407" s="82"/>
      <c r="L3407" s="82"/>
      <c r="M3407" s="82"/>
      <c r="N3407" s="82"/>
      <c r="O3407" s="82"/>
      <c r="P3407" s="82"/>
      <c r="Q3407" s="82"/>
      <c r="R3407" s="82"/>
      <c r="S3407" s="82"/>
      <c r="T3407" s="82"/>
      <c r="U3407" s="82"/>
      <c r="V3407" s="82"/>
      <c r="W3407" s="82"/>
      <c r="X3407" s="82"/>
      <c r="Y3407" s="82"/>
      <c r="Z3407" s="82"/>
      <c r="AA3407" s="82"/>
      <c r="AB3407" s="82"/>
      <c r="AC3407" s="82"/>
      <c r="AD3407" s="82"/>
      <c r="AE3407" s="82"/>
      <c r="AF3407" s="82"/>
      <c r="AG3407" s="82"/>
      <c r="AH3407" s="82"/>
      <c r="AI3407" s="82"/>
      <c r="AJ3407" s="82"/>
      <c r="AK3407" s="82"/>
      <c r="AL3407" s="82"/>
      <c r="AM3407" s="82"/>
      <c r="AN3407" s="82">
        <f>IFERROR(__xludf.DUMMYFUNCTION("""COMPUTED_VALUE"""),0.0)</f>
        <v>0</v>
      </c>
      <c r="AO3407" s="82">
        <f>IFERROR(__xludf.DUMMYFUNCTION("""COMPUTED_VALUE"""),0.0)</f>
        <v>0</v>
      </c>
      <c r="AP3407" s="82">
        <f>IFERROR(__xludf.DUMMYFUNCTION("""COMPUTED_VALUE"""),0.0)</f>
        <v>0</v>
      </c>
      <c r="AQ3407" s="82">
        <f>IFERROR(__xludf.DUMMYFUNCTION("""COMPUTED_VALUE"""),0.0)</f>
        <v>0</v>
      </c>
      <c r="AR3407" s="82">
        <f>IFERROR(__xludf.DUMMYFUNCTION("""COMPUTED_VALUE"""),0.0)</f>
        <v>0</v>
      </c>
      <c r="AS3407" s="82"/>
      <c r="AT3407" s="82">
        <f>IFERROR(__xludf.DUMMYFUNCTION("""COMPUTED_VALUE"""),0.0)</f>
        <v>0</v>
      </c>
      <c r="AU3407" s="82"/>
      <c r="AV3407" s="82"/>
      <c r="AW3407" s="82" t="str">
        <f t="shared" si="1"/>
        <v/>
      </c>
      <c r="AX3407" s="83" t="str">
        <f t="array" ref="AX3407">IFERROR(DGET('SBV Import'!A:G,"SBV",{"RSC ID","Tier";B3407,A3407}))</f>
        <v/>
      </c>
      <c r="AY3407" s="82" t="str">
        <f t="shared" si="2"/>
        <v/>
      </c>
      <c r="AZ3407" s="82"/>
      <c r="BA3407" s="84" t="s">
        <v>152</v>
      </c>
      <c r="BB3407" s="84" t="str">
        <f>IFERROR(__xludf.DUMMYFUNCTION("iferror(if(A3407="""",,E3407&gt;=FILTER(Constants!$F$2:$F$10,Constants!$A$2:$A$10=A3407)))"),"")</f>
        <v/>
      </c>
    </row>
    <row r="3408">
      <c r="A3408" s="89"/>
      <c r="B3408" s="87"/>
      <c r="C3408" s="73"/>
      <c r="D3408" s="73"/>
      <c r="E3408" s="82"/>
      <c r="F3408" s="82"/>
      <c r="G3408" s="86"/>
      <c r="H3408" s="86"/>
      <c r="I3408" s="86"/>
      <c r="J3408" s="82"/>
      <c r="K3408" s="82"/>
      <c r="L3408" s="82"/>
      <c r="M3408" s="82"/>
      <c r="N3408" s="82"/>
      <c r="O3408" s="82"/>
      <c r="P3408" s="82"/>
      <c r="Q3408" s="82"/>
      <c r="R3408" s="82"/>
      <c r="S3408" s="82"/>
      <c r="T3408" s="82"/>
      <c r="U3408" s="82"/>
      <c r="V3408" s="82"/>
      <c r="W3408" s="82"/>
      <c r="X3408" s="82"/>
      <c r="Y3408" s="82"/>
      <c r="Z3408" s="82"/>
      <c r="AA3408" s="82"/>
      <c r="AB3408" s="82"/>
      <c r="AC3408" s="82"/>
      <c r="AD3408" s="82"/>
      <c r="AE3408" s="82"/>
      <c r="AF3408" s="82"/>
      <c r="AG3408" s="82"/>
      <c r="AH3408" s="82"/>
      <c r="AI3408" s="82"/>
      <c r="AJ3408" s="82"/>
      <c r="AK3408" s="82"/>
      <c r="AL3408" s="82"/>
      <c r="AM3408" s="82"/>
      <c r="AN3408" s="82">
        <f>IFERROR(__xludf.DUMMYFUNCTION("""COMPUTED_VALUE"""),0.0)</f>
        <v>0</v>
      </c>
      <c r="AO3408" s="82">
        <f>IFERROR(__xludf.DUMMYFUNCTION("""COMPUTED_VALUE"""),0.0)</f>
        <v>0</v>
      </c>
      <c r="AP3408" s="82">
        <f>IFERROR(__xludf.DUMMYFUNCTION("""COMPUTED_VALUE"""),0.0)</f>
        <v>0</v>
      </c>
      <c r="AQ3408" s="82">
        <f>IFERROR(__xludf.DUMMYFUNCTION("""COMPUTED_VALUE"""),0.0)</f>
        <v>0</v>
      </c>
      <c r="AR3408" s="82">
        <f>IFERROR(__xludf.DUMMYFUNCTION("""COMPUTED_VALUE"""),0.0)</f>
        <v>0</v>
      </c>
      <c r="AS3408" s="82"/>
      <c r="AT3408" s="82">
        <f>IFERROR(__xludf.DUMMYFUNCTION("""COMPUTED_VALUE"""),0.0)</f>
        <v>0</v>
      </c>
      <c r="AU3408" s="82"/>
      <c r="AV3408" s="82"/>
      <c r="AW3408" s="82" t="str">
        <f t="shared" si="1"/>
        <v/>
      </c>
      <c r="AX3408" s="83" t="str">
        <f t="array" ref="AX3408">IFERROR(DGET('SBV Import'!A:G,"SBV",{"RSC ID","Tier";B3408,A3408}))</f>
        <v/>
      </c>
      <c r="AY3408" s="82" t="str">
        <f t="shared" si="2"/>
        <v/>
      </c>
      <c r="AZ3408" s="82"/>
      <c r="BA3408" s="84" t="s">
        <v>152</v>
      </c>
      <c r="BB3408" s="84" t="str">
        <f>IFERROR(__xludf.DUMMYFUNCTION("iferror(if(A3408="""",,E3408&gt;=FILTER(Constants!$F$2:$F$10,Constants!$A$2:$A$10=A3408)))"),"")</f>
        <v/>
      </c>
    </row>
    <row r="3409">
      <c r="A3409" s="89"/>
      <c r="B3409" s="87"/>
      <c r="C3409" s="73"/>
      <c r="D3409" s="73"/>
      <c r="E3409" s="82"/>
      <c r="F3409" s="82"/>
      <c r="G3409" s="86"/>
      <c r="H3409" s="86"/>
      <c r="I3409" s="86"/>
      <c r="J3409" s="82"/>
      <c r="K3409" s="82"/>
      <c r="L3409" s="82"/>
      <c r="M3409" s="82"/>
      <c r="N3409" s="82"/>
      <c r="O3409" s="82"/>
      <c r="P3409" s="82"/>
      <c r="Q3409" s="82"/>
      <c r="R3409" s="82"/>
      <c r="S3409" s="82"/>
      <c r="T3409" s="82"/>
      <c r="U3409" s="82"/>
      <c r="V3409" s="82"/>
      <c r="W3409" s="82"/>
      <c r="X3409" s="82"/>
      <c r="Y3409" s="82"/>
      <c r="Z3409" s="82"/>
      <c r="AA3409" s="82"/>
      <c r="AB3409" s="82"/>
      <c r="AC3409" s="82"/>
      <c r="AD3409" s="82"/>
      <c r="AE3409" s="82"/>
      <c r="AF3409" s="82"/>
      <c r="AG3409" s="82"/>
      <c r="AH3409" s="82"/>
      <c r="AI3409" s="82"/>
      <c r="AJ3409" s="82"/>
      <c r="AK3409" s="82"/>
      <c r="AL3409" s="82"/>
      <c r="AM3409" s="82"/>
      <c r="AN3409" s="82">
        <f>IFERROR(__xludf.DUMMYFUNCTION("""COMPUTED_VALUE"""),0.0)</f>
        <v>0</v>
      </c>
      <c r="AO3409" s="82">
        <f>IFERROR(__xludf.DUMMYFUNCTION("""COMPUTED_VALUE"""),0.0)</f>
        <v>0</v>
      </c>
      <c r="AP3409" s="82">
        <f>IFERROR(__xludf.DUMMYFUNCTION("""COMPUTED_VALUE"""),0.0)</f>
        <v>0</v>
      </c>
      <c r="AQ3409" s="82">
        <f>IFERROR(__xludf.DUMMYFUNCTION("""COMPUTED_VALUE"""),0.0)</f>
        <v>0</v>
      </c>
      <c r="AR3409" s="82">
        <f>IFERROR(__xludf.DUMMYFUNCTION("""COMPUTED_VALUE"""),0.0)</f>
        <v>0</v>
      </c>
      <c r="AS3409" s="82"/>
      <c r="AT3409" s="82">
        <f>IFERROR(__xludf.DUMMYFUNCTION("""COMPUTED_VALUE"""),0.0)</f>
        <v>0</v>
      </c>
      <c r="AU3409" s="82"/>
      <c r="AV3409" s="82"/>
      <c r="AW3409" s="82" t="str">
        <f t="shared" si="1"/>
        <v/>
      </c>
      <c r="AX3409" s="83" t="str">
        <f t="array" ref="AX3409">IFERROR(DGET('SBV Import'!A:G,"SBV",{"RSC ID","Tier";B3409,A3409}))</f>
        <v/>
      </c>
      <c r="AY3409" s="82" t="str">
        <f t="shared" si="2"/>
        <v/>
      </c>
      <c r="AZ3409" s="82"/>
      <c r="BA3409" s="84" t="s">
        <v>152</v>
      </c>
      <c r="BB3409" s="84" t="str">
        <f>IFERROR(__xludf.DUMMYFUNCTION("iferror(if(A3409="""",,E3409&gt;=FILTER(Constants!$F$2:$F$10,Constants!$A$2:$A$10=A3409)))"),"")</f>
        <v/>
      </c>
    </row>
    <row r="3410">
      <c r="A3410" s="89"/>
      <c r="B3410" s="87"/>
      <c r="C3410" s="73"/>
      <c r="D3410" s="73"/>
      <c r="E3410" s="82"/>
      <c r="F3410" s="82"/>
      <c r="G3410" s="86"/>
      <c r="H3410" s="86"/>
      <c r="I3410" s="86"/>
      <c r="J3410" s="82"/>
      <c r="K3410" s="82"/>
      <c r="L3410" s="82"/>
      <c r="M3410" s="82"/>
      <c r="N3410" s="82"/>
      <c r="O3410" s="82"/>
      <c r="P3410" s="82"/>
      <c r="Q3410" s="82"/>
      <c r="R3410" s="82"/>
      <c r="S3410" s="82"/>
      <c r="T3410" s="82"/>
      <c r="U3410" s="82"/>
      <c r="V3410" s="82"/>
      <c r="W3410" s="82"/>
      <c r="X3410" s="82"/>
      <c r="Y3410" s="82"/>
      <c r="Z3410" s="82"/>
      <c r="AA3410" s="82"/>
      <c r="AB3410" s="82"/>
      <c r="AC3410" s="82"/>
      <c r="AD3410" s="82"/>
      <c r="AE3410" s="82"/>
      <c r="AF3410" s="82"/>
      <c r="AG3410" s="82"/>
      <c r="AH3410" s="82"/>
      <c r="AI3410" s="82"/>
      <c r="AJ3410" s="82"/>
      <c r="AK3410" s="82"/>
      <c r="AL3410" s="82"/>
      <c r="AM3410" s="82"/>
      <c r="AN3410" s="82">
        <f>IFERROR(__xludf.DUMMYFUNCTION("""COMPUTED_VALUE"""),0.0)</f>
        <v>0</v>
      </c>
      <c r="AO3410" s="82">
        <f>IFERROR(__xludf.DUMMYFUNCTION("""COMPUTED_VALUE"""),0.0)</f>
        <v>0</v>
      </c>
      <c r="AP3410" s="82">
        <f>IFERROR(__xludf.DUMMYFUNCTION("""COMPUTED_VALUE"""),0.0)</f>
        <v>0</v>
      </c>
      <c r="AQ3410" s="82">
        <f>IFERROR(__xludf.DUMMYFUNCTION("""COMPUTED_VALUE"""),0.0)</f>
        <v>0</v>
      </c>
      <c r="AR3410" s="82">
        <f>IFERROR(__xludf.DUMMYFUNCTION("""COMPUTED_VALUE"""),0.0)</f>
        <v>0</v>
      </c>
      <c r="AS3410" s="82"/>
      <c r="AT3410" s="82">
        <f>IFERROR(__xludf.DUMMYFUNCTION("""COMPUTED_VALUE"""),0.0)</f>
        <v>0</v>
      </c>
      <c r="AU3410" s="82"/>
      <c r="AV3410" s="82"/>
      <c r="AW3410" s="82" t="str">
        <f t="shared" si="1"/>
        <v/>
      </c>
      <c r="AX3410" s="83" t="str">
        <f t="array" ref="AX3410">IFERROR(DGET('SBV Import'!A:G,"SBV",{"RSC ID","Tier";B3410,A3410}))</f>
        <v/>
      </c>
      <c r="AY3410" s="82" t="str">
        <f t="shared" si="2"/>
        <v/>
      </c>
      <c r="AZ3410" s="82"/>
      <c r="BA3410" s="84" t="s">
        <v>152</v>
      </c>
      <c r="BB3410" s="84" t="str">
        <f>IFERROR(__xludf.DUMMYFUNCTION("iferror(if(A3410="""",,E3410&gt;=FILTER(Constants!$F$2:$F$10,Constants!$A$2:$A$10=A3410)))"),"")</f>
        <v/>
      </c>
    </row>
    <row r="3411">
      <c r="A3411" s="89"/>
      <c r="B3411" s="87"/>
      <c r="C3411" s="73"/>
      <c r="D3411" s="73"/>
      <c r="E3411" s="82"/>
      <c r="F3411" s="82"/>
      <c r="G3411" s="86"/>
      <c r="H3411" s="86"/>
      <c r="I3411" s="86"/>
      <c r="J3411" s="82"/>
      <c r="K3411" s="82"/>
      <c r="L3411" s="82"/>
      <c r="M3411" s="82"/>
      <c r="N3411" s="82"/>
      <c r="O3411" s="82"/>
      <c r="P3411" s="82"/>
      <c r="Q3411" s="82"/>
      <c r="R3411" s="82"/>
      <c r="S3411" s="82"/>
      <c r="T3411" s="82"/>
      <c r="U3411" s="82"/>
      <c r="V3411" s="82"/>
      <c r="W3411" s="82"/>
      <c r="X3411" s="82"/>
      <c r="Y3411" s="82"/>
      <c r="Z3411" s="82"/>
      <c r="AA3411" s="82"/>
      <c r="AB3411" s="82"/>
      <c r="AC3411" s="82"/>
      <c r="AD3411" s="82"/>
      <c r="AE3411" s="82"/>
      <c r="AF3411" s="82"/>
      <c r="AG3411" s="82"/>
      <c r="AH3411" s="82"/>
      <c r="AI3411" s="82"/>
      <c r="AJ3411" s="82"/>
      <c r="AK3411" s="82"/>
      <c r="AL3411" s="82"/>
      <c r="AM3411" s="82"/>
      <c r="AN3411" s="82">
        <f>IFERROR(__xludf.DUMMYFUNCTION("""COMPUTED_VALUE"""),0.0)</f>
        <v>0</v>
      </c>
      <c r="AO3411" s="82">
        <f>IFERROR(__xludf.DUMMYFUNCTION("""COMPUTED_VALUE"""),0.0)</f>
        <v>0</v>
      </c>
      <c r="AP3411" s="82">
        <f>IFERROR(__xludf.DUMMYFUNCTION("""COMPUTED_VALUE"""),0.0)</f>
        <v>0</v>
      </c>
      <c r="AQ3411" s="82">
        <f>IFERROR(__xludf.DUMMYFUNCTION("""COMPUTED_VALUE"""),0.0)</f>
        <v>0</v>
      </c>
      <c r="AR3411" s="82">
        <f>IFERROR(__xludf.DUMMYFUNCTION("""COMPUTED_VALUE"""),0.0)</f>
        <v>0</v>
      </c>
      <c r="AS3411" s="82"/>
      <c r="AT3411" s="82">
        <f>IFERROR(__xludf.DUMMYFUNCTION("""COMPUTED_VALUE"""),0.0)</f>
        <v>0</v>
      </c>
      <c r="AU3411" s="82"/>
      <c r="AV3411" s="82"/>
      <c r="AW3411" s="82" t="str">
        <f t="shared" si="1"/>
        <v/>
      </c>
      <c r="AX3411" s="83" t="str">
        <f t="array" ref="AX3411">IFERROR(DGET('SBV Import'!A:G,"SBV",{"RSC ID","Tier";B3411,A3411}))</f>
        <v/>
      </c>
      <c r="AY3411" s="82" t="str">
        <f t="shared" si="2"/>
        <v/>
      </c>
      <c r="AZ3411" s="82"/>
      <c r="BA3411" s="84" t="s">
        <v>152</v>
      </c>
      <c r="BB3411" s="84" t="str">
        <f>IFERROR(__xludf.DUMMYFUNCTION("iferror(if(A3411="""",,E3411&gt;=FILTER(Constants!$F$2:$F$10,Constants!$A$2:$A$10=A3411)))"),"")</f>
        <v/>
      </c>
    </row>
    <row r="3412">
      <c r="A3412" s="89"/>
      <c r="B3412" s="87"/>
      <c r="C3412" s="73"/>
      <c r="D3412" s="73"/>
      <c r="E3412" s="82"/>
      <c r="F3412" s="82"/>
      <c r="G3412" s="86"/>
      <c r="H3412" s="86"/>
      <c r="I3412" s="86"/>
      <c r="J3412" s="82"/>
      <c r="K3412" s="82"/>
      <c r="L3412" s="82"/>
      <c r="M3412" s="82"/>
      <c r="N3412" s="82"/>
      <c r="O3412" s="82"/>
      <c r="P3412" s="82"/>
      <c r="Q3412" s="82"/>
      <c r="R3412" s="82"/>
      <c r="S3412" s="82"/>
      <c r="T3412" s="82"/>
      <c r="U3412" s="82"/>
      <c r="V3412" s="82"/>
      <c r="W3412" s="82"/>
      <c r="X3412" s="82"/>
      <c r="Y3412" s="82"/>
      <c r="Z3412" s="82"/>
      <c r="AA3412" s="82"/>
      <c r="AB3412" s="82"/>
      <c r="AC3412" s="82"/>
      <c r="AD3412" s="82"/>
      <c r="AE3412" s="82"/>
      <c r="AF3412" s="82"/>
      <c r="AG3412" s="82"/>
      <c r="AH3412" s="82"/>
      <c r="AI3412" s="82"/>
      <c r="AJ3412" s="82"/>
      <c r="AK3412" s="82"/>
      <c r="AL3412" s="82"/>
      <c r="AM3412" s="82"/>
      <c r="AN3412" s="82">
        <f>IFERROR(__xludf.DUMMYFUNCTION("""COMPUTED_VALUE"""),0.0)</f>
        <v>0</v>
      </c>
      <c r="AO3412" s="82">
        <f>IFERROR(__xludf.DUMMYFUNCTION("""COMPUTED_VALUE"""),0.0)</f>
        <v>0</v>
      </c>
      <c r="AP3412" s="82">
        <f>IFERROR(__xludf.DUMMYFUNCTION("""COMPUTED_VALUE"""),0.0)</f>
        <v>0</v>
      </c>
      <c r="AQ3412" s="82">
        <f>IFERROR(__xludf.DUMMYFUNCTION("""COMPUTED_VALUE"""),0.0)</f>
        <v>0</v>
      </c>
      <c r="AR3412" s="82">
        <f>IFERROR(__xludf.DUMMYFUNCTION("""COMPUTED_VALUE"""),0.0)</f>
        <v>0</v>
      </c>
      <c r="AS3412" s="82"/>
      <c r="AT3412" s="82">
        <f>IFERROR(__xludf.DUMMYFUNCTION("""COMPUTED_VALUE"""),0.0)</f>
        <v>0</v>
      </c>
      <c r="AU3412" s="82"/>
      <c r="AV3412" s="82"/>
      <c r="AW3412" s="82" t="str">
        <f t="shared" si="1"/>
        <v/>
      </c>
      <c r="AX3412" s="83" t="str">
        <f t="array" ref="AX3412">IFERROR(DGET('SBV Import'!A:G,"SBV",{"RSC ID","Tier";B3412,A3412}))</f>
        <v/>
      </c>
      <c r="AY3412" s="82" t="str">
        <f t="shared" si="2"/>
        <v/>
      </c>
      <c r="AZ3412" s="82"/>
      <c r="BA3412" s="84" t="s">
        <v>152</v>
      </c>
      <c r="BB3412" s="84" t="str">
        <f>IFERROR(__xludf.DUMMYFUNCTION("iferror(if(A3412="""",,E3412&gt;=FILTER(Constants!$F$2:$F$10,Constants!$A$2:$A$10=A3412)))"),"")</f>
        <v/>
      </c>
    </row>
    <row r="3413">
      <c r="A3413" s="89"/>
      <c r="B3413" s="87"/>
      <c r="C3413" s="73"/>
      <c r="D3413" s="73"/>
      <c r="E3413" s="82"/>
      <c r="F3413" s="82"/>
      <c r="G3413" s="86"/>
      <c r="H3413" s="86"/>
      <c r="I3413" s="86"/>
      <c r="J3413" s="82"/>
      <c r="K3413" s="82"/>
      <c r="L3413" s="82"/>
      <c r="M3413" s="82"/>
      <c r="N3413" s="82"/>
      <c r="O3413" s="82"/>
      <c r="P3413" s="82"/>
      <c r="Q3413" s="82"/>
      <c r="R3413" s="82"/>
      <c r="S3413" s="82"/>
      <c r="T3413" s="82"/>
      <c r="U3413" s="82"/>
      <c r="V3413" s="82"/>
      <c r="W3413" s="82"/>
      <c r="X3413" s="82"/>
      <c r="Y3413" s="82"/>
      <c r="Z3413" s="82"/>
      <c r="AA3413" s="82"/>
      <c r="AB3413" s="82"/>
      <c r="AC3413" s="82"/>
      <c r="AD3413" s="82"/>
      <c r="AE3413" s="82"/>
      <c r="AF3413" s="82"/>
      <c r="AG3413" s="82"/>
      <c r="AH3413" s="82"/>
      <c r="AI3413" s="82"/>
      <c r="AJ3413" s="82"/>
      <c r="AK3413" s="82"/>
      <c r="AL3413" s="82"/>
      <c r="AM3413" s="82"/>
      <c r="AN3413" s="82">
        <f>IFERROR(__xludf.DUMMYFUNCTION("""COMPUTED_VALUE"""),0.0)</f>
        <v>0</v>
      </c>
      <c r="AO3413" s="82">
        <f>IFERROR(__xludf.DUMMYFUNCTION("""COMPUTED_VALUE"""),0.0)</f>
        <v>0</v>
      </c>
      <c r="AP3413" s="82">
        <f>IFERROR(__xludf.DUMMYFUNCTION("""COMPUTED_VALUE"""),0.0)</f>
        <v>0</v>
      </c>
      <c r="AQ3413" s="82">
        <f>IFERROR(__xludf.DUMMYFUNCTION("""COMPUTED_VALUE"""),0.0)</f>
        <v>0</v>
      </c>
      <c r="AR3413" s="82">
        <f>IFERROR(__xludf.DUMMYFUNCTION("""COMPUTED_VALUE"""),0.0)</f>
        <v>0</v>
      </c>
      <c r="AS3413" s="82"/>
      <c r="AT3413" s="82">
        <f>IFERROR(__xludf.DUMMYFUNCTION("""COMPUTED_VALUE"""),0.0)</f>
        <v>0</v>
      </c>
      <c r="AU3413" s="82"/>
      <c r="AV3413" s="82"/>
      <c r="AW3413" s="82" t="str">
        <f t="shared" si="1"/>
        <v/>
      </c>
      <c r="AX3413" s="83" t="str">
        <f t="array" ref="AX3413">IFERROR(DGET('SBV Import'!A:G,"SBV",{"RSC ID","Tier";B3413,A3413}))</f>
        <v/>
      </c>
      <c r="AY3413" s="82" t="str">
        <f t="shared" si="2"/>
        <v/>
      </c>
      <c r="AZ3413" s="82"/>
      <c r="BA3413" s="84" t="s">
        <v>152</v>
      </c>
      <c r="BB3413" s="84" t="str">
        <f>IFERROR(__xludf.DUMMYFUNCTION("iferror(if(A3413="""",,E3413&gt;=FILTER(Constants!$F$2:$F$10,Constants!$A$2:$A$10=A3413)))"),"")</f>
        <v/>
      </c>
    </row>
    <row r="3414">
      <c r="A3414" s="89"/>
      <c r="B3414" s="87"/>
      <c r="C3414" s="73"/>
      <c r="D3414" s="73"/>
      <c r="E3414" s="82"/>
      <c r="F3414" s="82"/>
      <c r="G3414" s="86"/>
      <c r="H3414" s="86"/>
      <c r="I3414" s="86"/>
      <c r="J3414" s="82"/>
      <c r="K3414" s="82"/>
      <c r="L3414" s="82"/>
      <c r="M3414" s="82"/>
      <c r="N3414" s="82"/>
      <c r="O3414" s="82"/>
      <c r="P3414" s="82"/>
      <c r="Q3414" s="82"/>
      <c r="R3414" s="82"/>
      <c r="S3414" s="82"/>
      <c r="T3414" s="82"/>
      <c r="U3414" s="82"/>
      <c r="V3414" s="82"/>
      <c r="W3414" s="82"/>
      <c r="X3414" s="82"/>
      <c r="Y3414" s="82"/>
      <c r="Z3414" s="82"/>
      <c r="AA3414" s="82"/>
      <c r="AB3414" s="82"/>
      <c r="AC3414" s="82"/>
      <c r="AD3414" s="82"/>
      <c r="AE3414" s="82"/>
      <c r="AF3414" s="82"/>
      <c r="AG3414" s="82"/>
      <c r="AH3414" s="82"/>
      <c r="AI3414" s="82"/>
      <c r="AJ3414" s="82"/>
      <c r="AK3414" s="82"/>
      <c r="AL3414" s="82"/>
      <c r="AM3414" s="82"/>
      <c r="AN3414" s="82">
        <f>IFERROR(__xludf.DUMMYFUNCTION("""COMPUTED_VALUE"""),0.0)</f>
        <v>0</v>
      </c>
      <c r="AO3414" s="82">
        <f>IFERROR(__xludf.DUMMYFUNCTION("""COMPUTED_VALUE"""),0.0)</f>
        <v>0</v>
      </c>
      <c r="AP3414" s="82">
        <f>IFERROR(__xludf.DUMMYFUNCTION("""COMPUTED_VALUE"""),0.0)</f>
        <v>0</v>
      </c>
      <c r="AQ3414" s="82">
        <f>IFERROR(__xludf.DUMMYFUNCTION("""COMPUTED_VALUE"""),0.0)</f>
        <v>0</v>
      </c>
      <c r="AR3414" s="82">
        <f>IFERROR(__xludf.DUMMYFUNCTION("""COMPUTED_VALUE"""),0.0)</f>
        <v>0</v>
      </c>
      <c r="AS3414" s="82"/>
      <c r="AT3414" s="82">
        <f>IFERROR(__xludf.DUMMYFUNCTION("""COMPUTED_VALUE"""),0.0)</f>
        <v>0</v>
      </c>
      <c r="AU3414" s="82"/>
      <c r="AV3414" s="82"/>
      <c r="AW3414" s="82" t="str">
        <f t="shared" si="1"/>
        <v/>
      </c>
      <c r="AX3414" s="83" t="str">
        <f t="array" ref="AX3414">IFERROR(DGET('SBV Import'!A:G,"SBV",{"RSC ID","Tier";B3414,A3414}))</f>
        <v/>
      </c>
      <c r="AY3414" s="82" t="str">
        <f t="shared" si="2"/>
        <v/>
      </c>
      <c r="AZ3414" s="82"/>
      <c r="BA3414" s="84" t="s">
        <v>152</v>
      </c>
      <c r="BB3414" s="84" t="str">
        <f>IFERROR(__xludf.DUMMYFUNCTION("iferror(if(A3414="""",,E3414&gt;=FILTER(Constants!$F$2:$F$10,Constants!$A$2:$A$10=A3414)))"),"")</f>
        <v/>
      </c>
    </row>
    <row r="3415">
      <c r="A3415" s="89"/>
      <c r="B3415" s="87"/>
      <c r="C3415" s="73"/>
      <c r="D3415" s="73"/>
      <c r="E3415" s="82"/>
      <c r="F3415" s="82"/>
      <c r="G3415" s="86"/>
      <c r="H3415" s="86"/>
      <c r="I3415" s="86"/>
      <c r="J3415" s="82"/>
      <c r="K3415" s="82"/>
      <c r="L3415" s="82"/>
      <c r="M3415" s="82"/>
      <c r="N3415" s="82"/>
      <c r="O3415" s="82"/>
      <c r="P3415" s="82"/>
      <c r="Q3415" s="82"/>
      <c r="R3415" s="82"/>
      <c r="S3415" s="82"/>
      <c r="T3415" s="82"/>
      <c r="U3415" s="82"/>
      <c r="V3415" s="82"/>
      <c r="W3415" s="82"/>
      <c r="X3415" s="82"/>
      <c r="Y3415" s="82"/>
      <c r="Z3415" s="82"/>
      <c r="AA3415" s="82"/>
      <c r="AB3415" s="82"/>
      <c r="AC3415" s="82"/>
      <c r="AD3415" s="82"/>
      <c r="AE3415" s="82"/>
      <c r="AF3415" s="82"/>
      <c r="AG3415" s="82"/>
      <c r="AH3415" s="82"/>
      <c r="AI3415" s="82"/>
      <c r="AJ3415" s="82"/>
      <c r="AK3415" s="82"/>
      <c r="AL3415" s="82"/>
      <c r="AM3415" s="82"/>
      <c r="AN3415" s="82">
        <f>IFERROR(__xludf.DUMMYFUNCTION("""COMPUTED_VALUE"""),0.0)</f>
        <v>0</v>
      </c>
      <c r="AO3415" s="82">
        <f>IFERROR(__xludf.DUMMYFUNCTION("""COMPUTED_VALUE"""),0.0)</f>
        <v>0</v>
      </c>
      <c r="AP3415" s="82">
        <f>IFERROR(__xludf.DUMMYFUNCTION("""COMPUTED_VALUE"""),0.0)</f>
        <v>0</v>
      </c>
      <c r="AQ3415" s="82">
        <f>IFERROR(__xludf.DUMMYFUNCTION("""COMPUTED_VALUE"""),0.0)</f>
        <v>0</v>
      </c>
      <c r="AR3415" s="82">
        <f>IFERROR(__xludf.DUMMYFUNCTION("""COMPUTED_VALUE"""),0.0)</f>
        <v>0</v>
      </c>
      <c r="AS3415" s="82"/>
      <c r="AT3415" s="82">
        <f>IFERROR(__xludf.DUMMYFUNCTION("""COMPUTED_VALUE"""),0.0)</f>
        <v>0</v>
      </c>
      <c r="AU3415" s="82"/>
      <c r="AV3415" s="82"/>
      <c r="AW3415" s="82" t="str">
        <f t="shared" si="1"/>
        <v/>
      </c>
      <c r="AX3415" s="83" t="str">
        <f t="array" ref="AX3415">IFERROR(DGET('SBV Import'!A:G,"SBV",{"RSC ID","Tier";B3415,A3415}))</f>
        <v/>
      </c>
      <c r="AY3415" s="82" t="str">
        <f t="shared" si="2"/>
        <v/>
      </c>
      <c r="AZ3415" s="82"/>
      <c r="BA3415" s="84" t="s">
        <v>152</v>
      </c>
      <c r="BB3415" s="84" t="str">
        <f>IFERROR(__xludf.DUMMYFUNCTION("iferror(if(A3415="""",,E3415&gt;=FILTER(Constants!$F$2:$F$10,Constants!$A$2:$A$10=A3415)))"),"")</f>
        <v/>
      </c>
    </row>
    <row r="3416">
      <c r="A3416" s="89"/>
      <c r="B3416" s="87"/>
      <c r="C3416" s="73"/>
      <c r="D3416" s="73"/>
      <c r="E3416" s="82"/>
      <c r="F3416" s="82"/>
      <c r="G3416" s="86"/>
      <c r="H3416" s="86"/>
      <c r="I3416" s="86"/>
      <c r="J3416" s="82"/>
      <c r="K3416" s="82"/>
      <c r="L3416" s="82"/>
      <c r="M3416" s="82"/>
      <c r="N3416" s="82"/>
      <c r="O3416" s="82"/>
      <c r="P3416" s="82"/>
      <c r="Q3416" s="82"/>
      <c r="R3416" s="82"/>
      <c r="S3416" s="82"/>
      <c r="T3416" s="82"/>
      <c r="U3416" s="82"/>
      <c r="V3416" s="82"/>
      <c r="W3416" s="82"/>
      <c r="X3416" s="82"/>
      <c r="Y3416" s="82"/>
      <c r="Z3416" s="82"/>
      <c r="AA3416" s="82"/>
      <c r="AB3416" s="82"/>
      <c r="AC3416" s="82"/>
      <c r="AD3416" s="82"/>
      <c r="AE3416" s="82"/>
      <c r="AF3416" s="82"/>
      <c r="AG3416" s="82"/>
      <c r="AH3416" s="82"/>
      <c r="AI3416" s="82"/>
      <c r="AJ3416" s="82"/>
      <c r="AK3416" s="82"/>
      <c r="AL3416" s="82"/>
      <c r="AM3416" s="82"/>
      <c r="AN3416" s="82">
        <f>IFERROR(__xludf.DUMMYFUNCTION("""COMPUTED_VALUE"""),0.0)</f>
        <v>0</v>
      </c>
      <c r="AO3416" s="82">
        <f>IFERROR(__xludf.DUMMYFUNCTION("""COMPUTED_VALUE"""),0.0)</f>
        <v>0</v>
      </c>
      <c r="AP3416" s="82">
        <f>IFERROR(__xludf.DUMMYFUNCTION("""COMPUTED_VALUE"""),0.0)</f>
        <v>0</v>
      </c>
      <c r="AQ3416" s="82">
        <f>IFERROR(__xludf.DUMMYFUNCTION("""COMPUTED_VALUE"""),0.0)</f>
        <v>0</v>
      </c>
      <c r="AR3416" s="82">
        <f>IFERROR(__xludf.DUMMYFUNCTION("""COMPUTED_VALUE"""),0.0)</f>
        <v>0</v>
      </c>
      <c r="AS3416" s="82"/>
      <c r="AT3416" s="82">
        <f>IFERROR(__xludf.DUMMYFUNCTION("""COMPUTED_VALUE"""),0.0)</f>
        <v>0</v>
      </c>
      <c r="AU3416" s="82"/>
      <c r="AV3416" s="82"/>
      <c r="AW3416" s="82" t="str">
        <f t="shared" si="1"/>
        <v/>
      </c>
      <c r="AX3416" s="83" t="str">
        <f t="array" ref="AX3416">IFERROR(DGET('SBV Import'!A:G,"SBV",{"RSC ID","Tier";B3416,A3416}))</f>
        <v/>
      </c>
      <c r="AY3416" s="82" t="str">
        <f t="shared" si="2"/>
        <v/>
      </c>
      <c r="AZ3416" s="82"/>
      <c r="BA3416" s="84" t="s">
        <v>152</v>
      </c>
      <c r="BB3416" s="84" t="str">
        <f>IFERROR(__xludf.DUMMYFUNCTION("iferror(if(A3416="""",,E3416&gt;=FILTER(Constants!$F$2:$F$10,Constants!$A$2:$A$10=A3416)))"),"")</f>
        <v/>
      </c>
    </row>
    <row r="3417">
      <c r="A3417" s="89"/>
      <c r="B3417" s="87"/>
      <c r="C3417" s="73"/>
      <c r="D3417" s="73"/>
      <c r="E3417" s="82"/>
      <c r="F3417" s="82"/>
      <c r="G3417" s="86"/>
      <c r="H3417" s="86"/>
      <c r="I3417" s="86"/>
      <c r="J3417" s="82"/>
      <c r="K3417" s="82"/>
      <c r="L3417" s="82"/>
      <c r="M3417" s="82"/>
      <c r="N3417" s="82"/>
      <c r="O3417" s="82"/>
      <c r="P3417" s="82"/>
      <c r="Q3417" s="82"/>
      <c r="R3417" s="82"/>
      <c r="S3417" s="82"/>
      <c r="T3417" s="82"/>
      <c r="U3417" s="82"/>
      <c r="V3417" s="82"/>
      <c r="W3417" s="82"/>
      <c r="X3417" s="82"/>
      <c r="Y3417" s="82"/>
      <c r="Z3417" s="82"/>
      <c r="AA3417" s="82"/>
      <c r="AB3417" s="82"/>
      <c r="AC3417" s="82"/>
      <c r="AD3417" s="82"/>
      <c r="AE3417" s="82"/>
      <c r="AF3417" s="82"/>
      <c r="AG3417" s="82"/>
      <c r="AH3417" s="82"/>
      <c r="AI3417" s="82"/>
      <c r="AJ3417" s="82"/>
      <c r="AK3417" s="82"/>
      <c r="AL3417" s="82"/>
      <c r="AM3417" s="82"/>
      <c r="AN3417" s="82">
        <f>IFERROR(__xludf.DUMMYFUNCTION("""COMPUTED_VALUE"""),0.0)</f>
        <v>0</v>
      </c>
      <c r="AO3417" s="82">
        <f>IFERROR(__xludf.DUMMYFUNCTION("""COMPUTED_VALUE"""),0.0)</f>
        <v>0</v>
      </c>
      <c r="AP3417" s="82">
        <f>IFERROR(__xludf.DUMMYFUNCTION("""COMPUTED_VALUE"""),0.0)</f>
        <v>0</v>
      </c>
      <c r="AQ3417" s="82">
        <f>IFERROR(__xludf.DUMMYFUNCTION("""COMPUTED_VALUE"""),0.0)</f>
        <v>0</v>
      </c>
      <c r="AR3417" s="82">
        <f>IFERROR(__xludf.DUMMYFUNCTION("""COMPUTED_VALUE"""),0.0)</f>
        <v>0</v>
      </c>
      <c r="AS3417" s="82"/>
      <c r="AT3417" s="82">
        <f>IFERROR(__xludf.DUMMYFUNCTION("""COMPUTED_VALUE"""),0.0)</f>
        <v>0</v>
      </c>
      <c r="AU3417" s="82"/>
      <c r="AV3417" s="82"/>
      <c r="AW3417" s="82" t="str">
        <f t="shared" si="1"/>
        <v/>
      </c>
      <c r="AX3417" s="83" t="str">
        <f t="array" ref="AX3417">IFERROR(DGET('SBV Import'!A:G,"SBV",{"RSC ID","Tier";B3417,A3417}))</f>
        <v/>
      </c>
      <c r="AY3417" s="82" t="str">
        <f t="shared" si="2"/>
        <v/>
      </c>
      <c r="AZ3417" s="82"/>
      <c r="BA3417" s="84" t="s">
        <v>152</v>
      </c>
      <c r="BB3417" s="84" t="str">
        <f>IFERROR(__xludf.DUMMYFUNCTION("iferror(if(A3417="""",,E3417&gt;=FILTER(Constants!$F$2:$F$10,Constants!$A$2:$A$10=A3417)))"),"")</f>
        <v/>
      </c>
    </row>
    <row r="3418">
      <c r="A3418" s="89"/>
      <c r="B3418" s="87"/>
      <c r="C3418" s="73"/>
      <c r="D3418" s="73"/>
      <c r="E3418" s="82"/>
      <c r="F3418" s="82"/>
      <c r="G3418" s="86"/>
      <c r="H3418" s="86"/>
      <c r="I3418" s="86"/>
      <c r="J3418" s="82"/>
      <c r="K3418" s="82"/>
      <c r="L3418" s="82"/>
      <c r="M3418" s="82"/>
      <c r="N3418" s="82"/>
      <c r="O3418" s="82"/>
      <c r="P3418" s="82"/>
      <c r="Q3418" s="82"/>
      <c r="R3418" s="82"/>
      <c r="S3418" s="82"/>
      <c r="T3418" s="82"/>
      <c r="U3418" s="82"/>
      <c r="V3418" s="82"/>
      <c r="W3418" s="82"/>
      <c r="X3418" s="82"/>
      <c r="Y3418" s="82"/>
      <c r="Z3418" s="82"/>
      <c r="AA3418" s="82"/>
      <c r="AB3418" s="82"/>
      <c r="AC3418" s="82"/>
      <c r="AD3418" s="82"/>
      <c r="AE3418" s="82"/>
      <c r="AF3418" s="82"/>
      <c r="AG3418" s="82"/>
      <c r="AH3418" s="82"/>
      <c r="AI3418" s="82"/>
      <c r="AJ3418" s="82"/>
      <c r="AK3418" s="82"/>
      <c r="AL3418" s="82"/>
      <c r="AM3418" s="82"/>
      <c r="AN3418" s="82">
        <f>IFERROR(__xludf.DUMMYFUNCTION("""COMPUTED_VALUE"""),0.0)</f>
        <v>0</v>
      </c>
      <c r="AO3418" s="82">
        <f>IFERROR(__xludf.DUMMYFUNCTION("""COMPUTED_VALUE"""),0.0)</f>
        <v>0</v>
      </c>
      <c r="AP3418" s="82">
        <f>IFERROR(__xludf.DUMMYFUNCTION("""COMPUTED_VALUE"""),0.0)</f>
        <v>0</v>
      </c>
      <c r="AQ3418" s="82">
        <f>IFERROR(__xludf.DUMMYFUNCTION("""COMPUTED_VALUE"""),0.0)</f>
        <v>0</v>
      </c>
      <c r="AR3418" s="82">
        <f>IFERROR(__xludf.DUMMYFUNCTION("""COMPUTED_VALUE"""),0.0)</f>
        <v>0</v>
      </c>
      <c r="AS3418" s="82"/>
      <c r="AT3418" s="82">
        <f>IFERROR(__xludf.DUMMYFUNCTION("""COMPUTED_VALUE"""),0.0)</f>
        <v>0</v>
      </c>
      <c r="AU3418" s="82"/>
      <c r="AV3418" s="82"/>
      <c r="AW3418" s="82" t="str">
        <f t="shared" si="1"/>
        <v/>
      </c>
      <c r="AX3418" s="83" t="str">
        <f t="array" ref="AX3418">IFERROR(DGET('SBV Import'!A:G,"SBV",{"RSC ID","Tier";B3418,A3418}))</f>
        <v/>
      </c>
      <c r="AY3418" s="82" t="str">
        <f t="shared" si="2"/>
        <v/>
      </c>
      <c r="AZ3418" s="82"/>
      <c r="BA3418" s="84" t="s">
        <v>152</v>
      </c>
      <c r="BB3418" s="84" t="str">
        <f>IFERROR(__xludf.DUMMYFUNCTION("iferror(if(A3418="""",,E3418&gt;=FILTER(Constants!$F$2:$F$10,Constants!$A$2:$A$10=A3418)))"),"")</f>
        <v/>
      </c>
    </row>
    <row r="3419">
      <c r="A3419" s="89"/>
      <c r="B3419" s="87"/>
      <c r="C3419" s="73"/>
      <c r="D3419" s="73"/>
      <c r="E3419" s="82"/>
      <c r="F3419" s="82"/>
      <c r="G3419" s="86"/>
      <c r="H3419" s="86"/>
      <c r="I3419" s="86"/>
      <c r="J3419" s="82"/>
      <c r="K3419" s="82"/>
      <c r="L3419" s="82"/>
      <c r="M3419" s="82"/>
      <c r="N3419" s="82"/>
      <c r="O3419" s="82"/>
      <c r="P3419" s="82"/>
      <c r="Q3419" s="82"/>
      <c r="R3419" s="82"/>
      <c r="S3419" s="82"/>
      <c r="T3419" s="82"/>
      <c r="U3419" s="82"/>
      <c r="V3419" s="82"/>
      <c r="W3419" s="82"/>
      <c r="X3419" s="82"/>
      <c r="Y3419" s="82"/>
      <c r="Z3419" s="82"/>
      <c r="AA3419" s="82"/>
      <c r="AB3419" s="82"/>
      <c r="AC3419" s="82"/>
      <c r="AD3419" s="82"/>
      <c r="AE3419" s="82"/>
      <c r="AF3419" s="82"/>
      <c r="AG3419" s="82"/>
      <c r="AH3419" s="82"/>
      <c r="AI3419" s="82"/>
      <c r="AJ3419" s="82"/>
      <c r="AK3419" s="82"/>
      <c r="AL3419" s="82"/>
      <c r="AM3419" s="82"/>
      <c r="AN3419" s="82">
        <f>IFERROR(__xludf.DUMMYFUNCTION("""COMPUTED_VALUE"""),0.0)</f>
        <v>0</v>
      </c>
      <c r="AO3419" s="82">
        <f>IFERROR(__xludf.DUMMYFUNCTION("""COMPUTED_VALUE"""),0.0)</f>
        <v>0</v>
      </c>
      <c r="AP3419" s="82">
        <f>IFERROR(__xludf.DUMMYFUNCTION("""COMPUTED_VALUE"""),0.0)</f>
        <v>0</v>
      </c>
      <c r="AQ3419" s="82">
        <f>IFERROR(__xludf.DUMMYFUNCTION("""COMPUTED_VALUE"""),0.0)</f>
        <v>0</v>
      </c>
      <c r="AR3419" s="82">
        <f>IFERROR(__xludf.DUMMYFUNCTION("""COMPUTED_VALUE"""),0.0)</f>
        <v>0</v>
      </c>
      <c r="AS3419" s="82"/>
      <c r="AT3419" s="82">
        <f>IFERROR(__xludf.DUMMYFUNCTION("""COMPUTED_VALUE"""),0.0)</f>
        <v>0</v>
      </c>
      <c r="AU3419" s="82"/>
      <c r="AV3419" s="82"/>
      <c r="AW3419" s="82" t="str">
        <f t="shared" si="1"/>
        <v/>
      </c>
      <c r="AX3419" s="83" t="str">
        <f t="array" ref="AX3419">IFERROR(DGET('SBV Import'!A:G,"SBV",{"RSC ID","Tier";B3419,A3419}))</f>
        <v/>
      </c>
      <c r="AY3419" s="82" t="str">
        <f t="shared" si="2"/>
        <v/>
      </c>
      <c r="AZ3419" s="82"/>
      <c r="BA3419" s="84" t="s">
        <v>152</v>
      </c>
      <c r="BB3419" s="84" t="str">
        <f>IFERROR(__xludf.DUMMYFUNCTION("iferror(if(A3419="""",,E3419&gt;=FILTER(Constants!$F$2:$F$10,Constants!$A$2:$A$10=A3419)))"),"")</f>
        <v/>
      </c>
    </row>
    <row r="3420">
      <c r="A3420" s="89"/>
      <c r="B3420" s="87"/>
      <c r="C3420" s="73"/>
      <c r="D3420" s="73"/>
      <c r="E3420" s="82"/>
      <c r="F3420" s="82"/>
      <c r="G3420" s="86"/>
      <c r="H3420" s="86"/>
      <c r="I3420" s="86"/>
      <c r="J3420" s="82"/>
      <c r="K3420" s="82"/>
      <c r="L3420" s="82"/>
      <c r="M3420" s="82"/>
      <c r="N3420" s="82"/>
      <c r="O3420" s="82"/>
      <c r="P3420" s="82"/>
      <c r="Q3420" s="82"/>
      <c r="R3420" s="82"/>
      <c r="S3420" s="82"/>
      <c r="T3420" s="82"/>
      <c r="U3420" s="82"/>
      <c r="V3420" s="82"/>
      <c r="W3420" s="82"/>
      <c r="X3420" s="82"/>
      <c r="Y3420" s="82"/>
      <c r="Z3420" s="82"/>
      <c r="AA3420" s="82"/>
      <c r="AB3420" s="82"/>
      <c r="AC3420" s="82"/>
      <c r="AD3420" s="82"/>
      <c r="AE3420" s="82"/>
      <c r="AF3420" s="82"/>
      <c r="AG3420" s="82"/>
      <c r="AH3420" s="82"/>
      <c r="AI3420" s="82"/>
      <c r="AJ3420" s="82"/>
      <c r="AK3420" s="82"/>
      <c r="AL3420" s="82"/>
      <c r="AM3420" s="82"/>
      <c r="AN3420" s="82">
        <f>IFERROR(__xludf.DUMMYFUNCTION("""COMPUTED_VALUE"""),0.0)</f>
        <v>0</v>
      </c>
      <c r="AO3420" s="82">
        <f>IFERROR(__xludf.DUMMYFUNCTION("""COMPUTED_VALUE"""),0.0)</f>
        <v>0</v>
      </c>
      <c r="AP3420" s="82">
        <f>IFERROR(__xludf.DUMMYFUNCTION("""COMPUTED_VALUE"""),0.0)</f>
        <v>0</v>
      </c>
      <c r="AQ3420" s="82">
        <f>IFERROR(__xludf.DUMMYFUNCTION("""COMPUTED_VALUE"""),0.0)</f>
        <v>0</v>
      </c>
      <c r="AR3420" s="82">
        <f>IFERROR(__xludf.DUMMYFUNCTION("""COMPUTED_VALUE"""),0.0)</f>
        <v>0</v>
      </c>
      <c r="AS3420" s="82"/>
      <c r="AT3420" s="82">
        <f>IFERROR(__xludf.DUMMYFUNCTION("""COMPUTED_VALUE"""),0.0)</f>
        <v>0</v>
      </c>
      <c r="AU3420" s="82"/>
      <c r="AV3420" s="82"/>
      <c r="AW3420" s="82" t="str">
        <f t="shared" si="1"/>
        <v/>
      </c>
      <c r="AX3420" s="83" t="str">
        <f t="array" ref="AX3420">IFERROR(DGET('SBV Import'!A:G,"SBV",{"RSC ID","Tier";B3420,A3420}))</f>
        <v/>
      </c>
      <c r="AY3420" s="82" t="str">
        <f t="shared" si="2"/>
        <v/>
      </c>
      <c r="AZ3420" s="82"/>
      <c r="BA3420" s="84" t="s">
        <v>152</v>
      </c>
      <c r="BB3420" s="84" t="str">
        <f>IFERROR(__xludf.DUMMYFUNCTION("iferror(if(A3420="""",,E3420&gt;=FILTER(Constants!$F$2:$F$10,Constants!$A$2:$A$10=A3420)))"),"")</f>
        <v/>
      </c>
    </row>
    <row r="3421">
      <c r="A3421" s="89"/>
      <c r="B3421" s="87"/>
      <c r="C3421" s="73"/>
      <c r="D3421" s="73"/>
      <c r="E3421" s="82"/>
      <c r="F3421" s="82"/>
      <c r="G3421" s="86"/>
      <c r="H3421" s="86"/>
      <c r="I3421" s="86"/>
      <c r="J3421" s="82"/>
      <c r="K3421" s="82"/>
      <c r="L3421" s="82"/>
      <c r="M3421" s="82"/>
      <c r="N3421" s="82"/>
      <c r="O3421" s="82"/>
      <c r="P3421" s="82"/>
      <c r="Q3421" s="82"/>
      <c r="R3421" s="82"/>
      <c r="S3421" s="82"/>
      <c r="T3421" s="82"/>
      <c r="U3421" s="82"/>
      <c r="V3421" s="82"/>
      <c r="W3421" s="82"/>
      <c r="X3421" s="82"/>
      <c r="Y3421" s="82"/>
      <c r="Z3421" s="82"/>
      <c r="AA3421" s="82"/>
      <c r="AB3421" s="82"/>
      <c r="AC3421" s="82"/>
      <c r="AD3421" s="82"/>
      <c r="AE3421" s="82"/>
      <c r="AF3421" s="82"/>
      <c r="AG3421" s="82"/>
      <c r="AH3421" s="82"/>
      <c r="AI3421" s="82"/>
      <c r="AJ3421" s="82"/>
      <c r="AK3421" s="82"/>
      <c r="AL3421" s="82"/>
      <c r="AM3421" s="82"/>
      <c r="AN3421" s="82">
        <f>IFERROR(__xludf.DUMMYFUNCTION("""COMPUTED_VALUE"""),0.0)</f>
        <v>0</v>
      </c>
      <c r="AO3421" s="82">
        <f>IFERROR(__xludf.DUMMYFUNCTION("""COMPUTED_VALUE"""),0.0)</f>
        <v>0</v>
      </c>
      <c r="AP3421" s="82">
        <f>IFERROR(__xludf.DUMMYFUNCTION("""COMPUTED_VALUE"""),0.0)</f>
        <v>0</v>
      </c>
      <c r="AQ3421" s="82">
        <f>IFERROR(__xludf.DUMMYFUNCTION("""COMPUTED_VALUE"""),0.0)</f>
        <v>0</v>
      </c>
      <c r="AR3421" s="82">
        <f>IFERROR(__xludf.DUMMYFUNCTION("""COMPUTED_VALUE"""),0.0)</f>
        <v>0</v>
      </c>
      <c r="AS3421" s="82"/>
      <c r="AT3421" s="82">
        <f>IFERROR(__xludf.DUMMYFUNCTION("""COMPUTED_VALUE"""),0.0)</f>
        <v>0</v>
      </c>
      <c r="AU3421" s="82"/>
      <c r="AV3421" s="82"/>
      <c r="AW3421" s="82" t="str">
        <f t="shared" si="1"/>
        <v/>
      </c>
      <c r="AX3421" s="83" t="str">
        <f t="array" ref="AX3421">IFERROR(DGET('SBV Import'!A:G,"SBV",{"RSC ID","Tier";B3421,A3421}))</f>
        <v/>
      </c>
      <c r="AY3421" s="82" t="str">
        <f t="shared" si="2"/>
        <v/>
      </c>
      <c r="AZ3421" s="82"/>
      <c r="BA3421" s="84" t="s">
        <v>152</v>
      </c>
      <c r="BB3421" s="84" t="str">
        <f>IFERROR(__xludf.DUMMYFUNCTION("iferror(if(A3421="""",,E3421&gt;=FILTER(Constants!$F$2:$F$10,Constants!$A$2:$A$10=A3421)))"),"")</f>
        <v/>
      </c>
    </row>
    <row r="3422">
      <c r="A3422" s="89"/>
      <c r="B3422" s="87"/>
      <c r="C3422" s="73"/>
      <c r="D3422" s="73"/>
      <c r="E3422" s="82"/>
      <c r="F3422" s="82"/>
      <c r="G3422" s="86"/>
      <c r="H3422" s="86"/>
      <c r="I3422" s="86"/>
      <c r="J3422" s="82"/>
      <c r="K3422" s="82"/>
      <c r="L3422" s="82"/>
      <c r="M3422" s="82"/>
      <c r="N3422" s="82"/>
      <c r="O3422" s="82"/>
      <c r="P3422" s="82"/>
      <c r="Q3422" s="82"/>
      <c r="R3422" s="82"/>
      <c r="S3422" s="82"/>
      <c r="T3422" s="82"/>
      <c r="U3422" s="82"/>
      <c r="V3422" s="82"/>
      <c r="W3422" s="82"/>
      <c r="X3422" s="82"/>
      <c r="Y3422" s="82"/>
      <c r="Z3422" s="82"/>
      <c r="AA3422" s="82"/>
      <c r="AB3422" s="82"/>
      <c r="AC3422" s="82"/>
      <c r="AD3422" s="82"/>
      <c r="AE3422" s="82"/>
      <c r="AF3422" s="82"/>
      <c r="AG3422" s="82"/>
      <c r="AH3422" s="82"/>
      <c r="AI3422" s="82"/>
      <c r="AJ3422" s="82"/>
      <c r="AK3422" s="82"/>
      <c r="AL3422" s="82"/>
      <c r="AM3422" s="82"/>
      <c r="AN3422" s="82">
        <f>IFERROR(__xludf.DUMMYFUNCTION("""COMPUTED_VALUE"""),0.0)</f>
        <v>0</v>
      </c>
      <c r="AO3422" s="82">
        <f>IFERROR(__xludf.DUMMYFUNCTION("""COMPUTED_VALUE"""),0.0)</f>
        <v>0</v>
      </c>
      <c r="AP3422" s="82">
        <f>IFERROR(__xludf.DUMMYFUNCTION("""COMPUTED_VALUE"""),0.0)</f>
        <v>0</v>
      </c>
      <c r="AQ3422" s="82">
        <f>IFERROR(__xludf.DUMMYFUNCTION("""COMPUTED_VALUE"""),0.0)</f>
        <v>0</v>
      </c>
      <c r="AR3422" s="82">
        <f>IFERROR(__xludf.DUMMYFUNCTION("""COMPUTED_VALUE"""),0.0)</f>
        <v>0</v>
      </c>
      <c r="AS3422" s="82"/>
      <c r="AT3422" s="82">
        <f>IFERROR(__xludf.DUMMYFUNCTION("""COMPUTED_VALUE"""),0.0)</f>
        <v>0</v>
      </c>
      <c r="AU3422" s="82"/>
      <c r="AV3422" s="82"/>
      <c r="AW3422" s="82" t="str">
        <f t="shared" si="1"/>
        <v/>
      </c>
      <c r="AX3422" s="83" t="str">
        <f t="array" ref="AX3422">IFERROR(DGET('SBV Import'!A:G,"SBV",{"RSC ID","Tier";B3422,A3422}))</f>
        <v/>
      </c>
      <c r="AY3422" s="82" t="str">
        <f t="shared" si="2"/>
        <v/>
      </c>
      <c r="AZ3422" s="82"/>
      <c r="BA3422" s="84" t="s">
        <v>152</v>
      </c>
      <c r="BB3422" s="84" t="str">
        <f>IFERROR(__xludf.DUMMYFUNCTION("iferror(if(A3422="""",,E3422&gt;=FILTER(Constants!$F$2:$F$10,Constants!$A$2:$A$10=A3422)))"),"")</f>
        <v/>
      </c>
    </row>
    <row r="3423">
      <c r="A3423" s="89"/>
      <c r="B3423" s="87"/>
      <c r="C3423" s="73"/>
      <c r="D3423" s="73"/>
      <c r="E3423" s="82"/>
      <c r="F3423" s="82"/>
      <c r="G3423" s="86"/>
      <c r="H3423" s="86"/>
      <c r="I3423" s="86"/>
      <c r="J3423" s="82"/>
      <c r="K3423" s="82"/>
      <c r="L3423" s="82"/>
      <c r="M3423" s="82"/>
      <c r="N3423" s="82"/>
      <c r="O3423" s="82"/>
      <c r="P3423" s="82"/>
      <c r="Q3423" s="82"/>
      <c r="R3423" s="82"/>
      <c r="S3423" s="82"/>
      <c r="T3423" s="82"/>
      <c r="U3423" s="82"/>
      <c r="V3423" s="82"/>
      <c r="W3423" s="82"/>
      <c r="X3423" s="82"/>
      <c r="Y3423" s="82"/>
      <c r="Z3423" s="82"/>
      <c r="AA3423" s="82"/>
      <c r="AB3423" s="82"/>
      <c r="AC3423" s="82"/>
      <c r="AD3423" s="82"/>
      <c r="AE3423" s="82"/>
      <c r="AF3423" s="82"/>
      <c r="AG3423" s="82"/>
      <c r="AH3423" s="82"/>
      <c r="AI3423" s="82"/>
      <c r="AJ3423" s="82"/>
      <c r="AK3423" s="82"/>
      <c r="AL3423" s="82"/>
      <c r="AM3423" s="82"/>
      <c r="AN3423" s="82">
        <f>IFERROR(__xludf.DUMMYFUNCTION("""COMPUTED_VALUE"""),0.0)</f>
        <v>0</v>
      </c>
      <c r="AO3423" s="82">
        <f>IFERROR(__xludf.DUMMYFUNCTION("""COMPUTED_VALUE"""),0.0)</f>
        <v>0</v>
      </c>
      <c r="AP3423" s="82">
        <f>IFERROR(__xludf.DUMMYFUNCTION("""COMPUTED_VALUE"""),0.0)</f>
        <v>0</v>
      </c>
      <c r="AQ3423" s="82">
        <f>IFERROR(__xludf.DUMMYFUNCTION("""COMPUTED_VALUE"""),0.0)</f>
        <v>0</v>
      </c>
      <c r="AR3423" s="82">
        <f>IFERROR(__xludf.DUMMYFUNCTION("""COMPUTED_VALUE"""),0.0)</f>
        <v>0</v>
      </c>
      <c r="AS3423" s="82"/>
      <c r="AT3423" s="82">
        <f>IFERROR(__xludf.DUMMYFUNCTION("""COMPUTED_VALUE"""),0.0)</f>
        <v>0</v>
      </c>
      <c r="AU3423" s="82"/>
      <c r="AV3423" s="82"/>
      <c r="AW3423" s="82" t="str">
        <f t="shared" si="1"/>
        <v/>
      </c>
      <c r="AX3423" s="83" t="str">
        <f t="array" ref="AX3423">IFERROR(DGET('SBV Import'!A:G,"SBV",{"RSC ID","Tier";B3423,A3423}))</f>
        <v/>
      </c>
      <c r="AY3423" s="82" t="str">
        <f t="shared" si="2"/>
        <v/>
      </c>
      <c r="AZ3423" s="82"/>
      <c r="BA3423" s="84" t="s">
        <v>152</v>
      </c>
      <c r="BB3423" s="84" t="str">
        <f>IFERROR(__xludf.DUMMYFUNCTION("iferror(if(A3423="""",,E3423&gt;=FILTER(Constants!$F$2:$F$10,Constants!$A$2:$A$10=A3423)))"),"")</f>
        <v/>
      </c>
    </row>
    <row r="3424">
      <c r="A3424" s="89"/>
      <c r="B3424" s="87"/>
      <c r="C3424" s="73"/>
      <c r="D3424" s="73"/>
      <c r="E3424" s="82"/>
      <c r="F3424" s="82"/>
      <c r="G3424" s="86"/>
      <c r="H3424" s="86"/>
      <c r="I3424" s="86"/>
      <c r="J3424" s="82"/>
      <c r="K3424" s="82"/>
      <c r="L3424" s="82"/>
      <c r="M3424" s="82"/>
      <c r="N3424" s="82"/>
      <c r="O3424" s="82"/>
      <c r="P3424" s="82"/>
      <c r="Q3424" s="82"/>
      <c r="R3424" s="82"/>
      <c r="S3424" s="82"/>
      <c r="T3424" s="82"/>
      <c r="U3424" s="82"/>
      <c r="V3424" s="82"/>
      <c r="W3424" s="82"/>
      <c r="X3424" s="82"/>
      <c r="Y3424" s="82"/>
      <c r="Z3424" s="82"/>
      <c r="AA3424" s="82"/>
      <c r="AB3424" s="82"/>
      <c r="AC3424" s="82"/>
      <c r="AD3424" s="82"/>
      <c r="AE3424" s="82"/>
      <c r="AF3424" s="82"/>
      <c r="AG3424" s="82"/>
      <c r="AH3424" s="82"/>
      <c r="AI3424" s="82"/>
      <c r="AJ3424" s="82"/>
      <c r="AK3424" s="82"/>
      <c r="AL3424" s="82"/>
      <c r="AM3424" s="82"/>
      <c r="AN3424" s="82">
        <f>IFERROR(__xludf.DUMMYFUNCTION("""COMPUTED_VALUE"""),0.0)</f>
        <v>0</v>
      </c>
      <c r="AO3424" s="82">
        <f>IFERROR(__xludf.DUMMYFUNCTION("""COMPUTED_VALUE"""),0.0)</f>
        <v>0</v>
      </c>
      <c r="AP3424" s="82">
        <f>IFERROR(__xludf.DUMMYFUNCTION("""COMPUTED_VALUE"""),0.0)</f>
        <v>0</v>
      </c>
      <c r="AQ3424" s="82">
        <f>IFERROR(__xludf.DUMMYFUNCTION("""COMPUTED_VALUE"""),0.0)</f>
        <v>0</v>
      </c>
      <c r="AR3424" s="82">
        <f>IFERROR(__xludf.DUMMYFUNCTION("""COMPUTED_VALUE"""),0.0)</f>
        <v>0</v>
      </c>
      <c r="AS3424" s="82"/>
      <c r="AT3424" s="82">
        <f>IFERROR(__xludf.DUMMYFUNCTION("""COMPUTED_VALUE"""),0.0)</f>
        <v>0</v>
      </c>
      <c r="AU3424" s="82"/>
      <c r="AV3424" s="82"/>
      <c r="AW3424" s="82" t="str">
        <f t="shared" si="1"/>
        <v/>
      </c>
      <c r="AX3424" s="83" t="str">
        <f t="array" ref="AX3424">IFERROR(DGET('SBV Import'!A:G,"SBV",{"RSC ID","Tier";B3424,A3424}))</f>
        <v/>
      </c>
      <c r="AY3424" s="82" t="str">
        <f t="shared" si="2"/>
        <v/>
      </c>
      <c r="AZ3424" s="82"/>
      <c r="BA3424" s="84" t="s">
        <v>152</v>
      </c>
      <c r="BB3424" s="84" t="str">
        <f>IFERROR(__xludf.DUMMYFUNCTION("iferror(if(A3424="""",,E3424&gt;=FILTER(Constants!$F$2:$F$10,Constants!$A$2:$A$10=A3424)))"),"")</f>
        <v/>
      </c>
    </row>
    <row r="3425">
      <c r="A3425" s="89"/>
      <c r="B3425" s="87"/>
      <c r="C3425" s="73"/>
      <c r="D3425" s="73"/>
      <c r="E3425" s="82"/>
      <c r="F3425" s="82"/>
      <c r="G3425" s="86"/>
      <c r="H3425" s="86"/>
      <c r="I3425" s="86"/>
      <c r="J3425" s="82"/>
      <c r="K3425" s="82"/>
      <c r="L3425" s="82"/>
      <c r="M3425" s="82"/>
      <c r="N3425" s="82"/>
      <c r="O3425" s="82"/>
      <c r="P3425" s="82"/>
      <c r="Q3425" s="82"/>
      <c r="R3425" s="82"/>
      <c r="S3425" s="82"/>
      <c r="T3425" s="82"/>
      <c r="U3425" s="82"/>
      <c r="V3425" s="82"/>
      <c r="W3425" s="82"/>
      <c r="X3425" s="82"/>
      <c r="Y3425" s="82"/>
      <c r="Z3425" s="82"/>
      <c r="AA3425" s="82"/>
      <c r="AB3425" s="82"/>
      <c r="AC3425" s="82"/>
      <c r="AD3425" s="82"/>
      <c r="AE3425" s="82"/>
      <c r="AF3425" s="82"/>
      <c r="AG3425" s="82"/>
      <c r="AH3425" s="82"/>
      <c r="AI3425" s="82"/>
      <c r="AJ3425" s="82"/>
      <c r="AK3425" s="82"/>
      <c r="AL3425" s="82"/>
      <c r="AM3425" s="82"/>
      <c r="AN3425" s="82">
        <f>IFERROR(__xludf.DUMMYFUNCTION("""COMPUTED_VALUE"""),0.0)</f>
        <v>0</v>
      </c>
      <c r="AO3425" s="82">
        <f>IFERROR(__xludf.DUMMYFUNCTION("""COMPUTED_VALUE"""),0.0)</f>
        <v>0</v>
      </c>
      <c r="AP3425" s="82">
        <f>IFERROR(__xludf.DUMMYFUNCTION("""COMPUTED_VALUE"""),0.0)</f>
        <v>0</v>
      </c>
      <c r="AQ3425" s="82">
        <f>IFERROR(__xludf.DUMMYFUNCTION("""COMPUTED_VALUE"""),0.0)</f>
        <v>0</v>
      </c>
      <c r="AR3425" s="82">
        <f>IFERROR(__xludf.DUMMYFUNCTION("""COMPUTED_VALUE"""),0.0)</f>
        <v>0</v>
      </c>
      <c r="AS3425" s="82"/>
      <c r="AT3425" s="82">
        <f>IFERROR(__xludf.DUMMYFUNCTION("""COMPUTED_VALUE"""),0.0)</f>
        <v>0</v>
      </c>
      <c r="AU3425" s="82"/>
      <c r="AV3425" s="82"/>
      <c r="AW3425" s="82" t="str">
        <f t="shared" si="1"/>
        <v/>
      </c>
      <c r="AX3425" s="83" t="str">
        <f t="array" ref="AX3425">IFERROR(DGET('SBV Import'!A:G,"SBV",{"RSC ID","Tier";B3425,A3425}))</f>
        <v/>
      </c>
      <c r="AY3425" s="82" t="str">
        <f t="shared" si="2"/>
        <v/>
      </c>
      <c r="AZ3425" s="82"/>
      <c r="BA3425" s="84" t="s">
        <v>152</v>
      </c>
      <c r="BB3425" s="84" t="str">
        <f>IFERROR(__xludf.DUMMYFUNCTION("iferror(if(A3425="""",,E3425&gt;=FILTER(Constants!$F$2:$F$10,Constants!$A$2:$A$10=A3425)))"),"")</f>
        <v/>
      </c>
    </row>
    <row r="3426">
      <c r="A3426" s="89"/>
      <c r="B3426" s="87"/>
      <c r="C3426" s="73"/>
      <c r="D3426" s="73"/>
      <c r="E3426" s="82"/>
      <c r="F3426" s="82"/>
      <c r="G3426" s="86"/>
      <c r="H3426" s="86"/>
      <c r="I3426" s="86"/>
      <c r="J3426" s="82"/>
      <c r="K3426" s="82"/>
      <c r="L3426" s="82"/>
      <c r="M3426" s="82"/>
      <c r="N3426" s="82"/>
      <c r="O3426" s="82"/>
      <c r="P3426" s="82"/>
      <c r="Q3426" s="82"/>
      <c r="R3426" s="82"/>
      <c r="S3426" s="82"/>
      <c r="T3426" s="82"/>
      <c r="U3426" s="82"/>
      <c r="V3426" s="82"/>
      <c r="W3426" s="82"/>
      <c r="X3426" s="82"/>
      <c r="Y3426" s="82"/>
      <c r="Z3426" s="82"/>
      <c r="AA3426" s="82"/>
      <c r="AB3426" s="82"/>
      <c r="AC3426" s="82"/>
      <c r="AD3426" s="82"/>
      <c r="AE3426" s="82"/>
      <c r="AF3426" s="82"/>
      <c r="AG3426" s="82"/>
      <c r="AH3426" s="82"/>
      <c r="AI3426" s="82"/>
      <c r="AJ3426" s="82"/>
      <c r="AK3426" s="82"/>
      <c r="AL3426" s="82"/>
      <c r="AM3426" s="82"/>
      <c r="AN3426" s="82">
        <f>IFERROR(__xludf.DUMMYFUNCTION("""COMPUTED_VALUE"""),0.0)</f>
        <v>0</v>
      </c>
      <c r="AO3426" s="82">
        <f>IFERROR(__xludf.DUMMYFUNCTION("""COMPUTED_VALUE"""),0.0)</f>
        <v>0</v>
      </c>
      <c r="AP3426" s="82">
        <f>IFERROR(__xludf.DUMMYFUNCTION("""COMPUTED_VALUE"""),0.0)</f>
        <v>0</v>
      </c>
      <c r="AQ3426" s="82">
        <f>IFERROR(__xludf.DUMMYFUNCTION("""COMPUTED_VALUE"""),0.0)</f>
        <v>0</v>
      </c>
      <c r="AR3426" s="82">
        <f>IFERROR(__xludf.DUMMYFUNCTION("""COMPUTED_VALUE"""),0.0)</f>
        <v>0</v>
      </c>
      <c r="AS3426" s="82"/>
      <c r="AT3426" s="82">
        <f>IFERROR(__xludf.DUMMYFUNCTION("""COMPUTED_VALUE"""),0.0)</f>
        <v>0</v>
      </c>
      <c r="AU3426" s="82"/>
      <c r="AV3426" s="82"/>
      <c r="AW3426" s="82" t="str">
        <f t="shared" si="1"/>
        <v/>
      </c>
      <c r="AX3426" s="83" t="str">
        <f t="array" ref="AX3426">IFERROR(DGET('SBV Import'!A:G,"SBV",{"RSC ID","Tier";B3426,A3426}))</f>
        <v/>
      </c>
      <c r="AY3426" s="82" t="str">
        <f t="shared" si="2"/>
        <v/>
      </c>
      <c r="AZ3426" s="82"/>
      <c r="BA3426" s="84" t="s">
        <v>152</v>
      </c>
      <c r="BB3426" s="84" t="str">
        <f>IFERROR(__xludf.DUMMYFUNCTION("iferror(if(A3426="""",,E3426&gt;=FILTER(Constants!$F$2:$F$10,Constants!$A$2:$A$10=A3426)))"),"")</f>
        <v/>
      </c>
    </row>
    <row r="3427">
      <c r="A3427" s="89"/>
      <c r="B3427" s="87"/>
      <c r="C3427" s="73"/>
      <c r="D3427" s="73"/>
      <c r="E3427" s="82"/>
      <c r="F3427" s="82"/>
      <c r="G3427" s="86"/>
      <c r="H3427" s="86"/>
      <c r="I3427" s="86"/>
      <c r="J3427" s="82"/>
      <c r="K3427" s="82"/>
      <c r="L3427" s="82"/>
      <c r="M3427" s="82"/>
      <c r="N3427" s="82"/>
      <c r="O3427" s="82"/>
      <c r="P3427" s="82"/>
      <c r="Q3427" s="82"/>
      <c r="R3427" s="82"/>
      <c r="S3427" s="82"/>
      <c r="T3427" s="82"/>
      <c r="U3427" s="82"/>
      <c r="V3427" s="82"/>
      <c r="W3427" s="82"/>
      <c r="X3427" s="82"/>
      <c r="Y3427" s="82"/>
      <c r="Z3427" s="82"/>
      <c r="AA3427" s="82"/>
      <c r="AB3427" s="82"/>
      <c r="AC3427" s="82"/>
      <c r="AD3427" s="82"/>
      <c r="AE3427" s="82"/>
      <c r="AF3427" s="82"/>
      <c r="AG3427" s="82"/>
      <c r="AH3427" s="82"/>
      <c r="AI3427" s="82"/>
      <c r="AJ3427" s="82"/>
      <c r="AK3427" s="82"/>
      <c r="AL3427" s="82"/>
      <c r="AM3427" s="82"/>
      <c r="AN3427" s="82">
        <f>IFERROR(__xludf.DUMMYFUNCTION("""COMPUTED_VALUE"""),0.0)</f>
        <v>0</v>
      </c>
      <c r="AO3427" s="82">
        <f>IFERROR(__xludf.DUMMYFUNCTION("""COMPUTED_VALUE"""),0.0)</f>
        <v>0</v>
      </c>
      <c r="AP3427" s="82">
        <f>IFERROR(__xludf.DUMMYFUNCTION("""COMPUTED_VALUE"""),0.0)</f>
        <v>0</v>
      </c>
      <c r="AQ3427" s="82">
        <f>IFERROR(__xludf.DUMMYFUNCTION("""COMPUTED_VALUE"""),0.0)</f>
        <v>0</v>
      </c>
      <c r="AR3427" s="82">
        <f>IFERROR(__xludf.DUMMYFUNCTION("""COMPUTED_VALUE"""),0.0)</f>
        <v>0</v>
      </c>
      <c r="AS3427" s="82"/>
      <c r="AT3427" s="82">
        <f>IFERROR(__xludf.DUMMYFUNCTION("""COMPUTED_VALUE"""),0.0)</f>
        <v>0</v>
      </c>
      <c r="AU3427" s="82"/>
      <c r="AV3427" s="82"/>
      <c r="AW3427" s="82" t="str">
        <f t="shared" si="1"/>
        <v/>
      </c>
      <c r="AX3427" s="83" t="str">
        <f t="array" ref="AX3427">IFERROR(DGET('SBV Import'!A:G,"SBV",{"RSC ID","Tier";B3427,A3427}))</f>
        <v/>
      </c>
      <c r="AY3427" s="82" t="str">
        <f t="shared" si="2"/>
        <v/>
      </c>
      <c r="AZ3427" s="82"/>
      <c r="BA3427" s="84" t="s">
        <v>152</v>
      </c>
      <c r="BB3427" s="84" t="str">
        <f>IFERROR(__xludf.DUMMYFUNCTION("iferror(if(A3427="""",,E3427&gt;=FILTER(Constants!$F$2:$F$10,Constants!$A$2:$A$10=A3427)))"),"")</f>
        <v/>
      </c>
    </row>
    <row r="3428">
      <c r="A3428" s="89"/>
      <c r="B3428" s="87"/>
      <c r="C3428" s="73"/>
      <c r="D3428" s="73"/>
      <c r="E3428" s="82"/>
      <c r="F3428" s="82"/>
      <c r="G3428" s="86"/>
      <c r="H3428" s="86"/>
      <c r="I3428" s="86"/>
      <c r="J3428" s="82"/>
      <c r="K3428" s="82"/>
      <c r="L3428" s="82"/>
      <c r="M3428" s="82"/>
      <c r="N3428" s="82"/>
      <c r="O3428" s="82"/>
      <c r="P3428" s="82"/>
      <c r="Q3428" s="82"/>
      <c r="R3428" s="82"/>
      <c r="S3428" s="82"/>
      <c r="T3428" s="82"/>
      <c r="U3428" s="82"/>
      <c r="V3428" s="82"/>
      <c r="W3428" s="82"/>
      <c r="X3428" s="82"/>
      <c r="Y3428" s="82"/>
      <c r="Z3428" s="82"/>
      <c r="AA3428" s="82"/>
      <c r="AB3428" s="82"/>
      <c r="AC3428" s="82"/>
      <c r="AD3428" s="82"/>
      <c r="AE3428" s="82"/>
      <c r="AF3428" s="82"/>
      <c r="AG3428" s="82"/>
      <c r="AH3428" s="82"/>
      <c r="AI3428" s="82"/>
      <c r="AJ3428" s="82"/>
      <c r="AK3428" s="82"/>
      <c r="AL3428" s="82"/>
      <c r="AM3428" s="82"/>
      <c r="AN3428" s="82">
        <f>IFERROR(__xludf.DUMMYFUNCTION("""COMPUTED_VALUE"""),0.0)</f>
        <v>0</v>
      </c>
      <c r="AO3428" s="82">
        <f>IFERROR(__xludf.DUMMYFUNCTION("""COMPUTED_VALUE"""),0.0)</f>
        <v>0</v>
      </c>
      <c r="AP3428" s="82">
        <f>IFERROR(__xludf.DUMMYFUNCTION("""COMPUTED_VALUE"""),0.0)</f>
        <v>0</v>
      </c>
      <c r="AQ3428" s="82">
        <f>IFERROR(__xludf.DUMMYFUNCTION("""COMPUTED_VALUE"""),0.0)</f>
        <v>0</v>
      </c>
      <c r="AR3428" s="82">
        <f>IFERROR(__xludf.DUMMYFUNCTION("""COMPUTED_VALUE"""),0.0)</f>
        <v>0</v>
      </c>
      <c r="AS3428" s="82"/>
      <c r="AT3428" s="82">
        <f>IFERROR(__xludf.DUMMYFUNCTION("""COMPUTED_VALUE"""),0.0)</f>
        <v>0</v>
      </c>
      <c r="AU3428" s="82"/>
      <c r="AV3428" s="82"/>
      <c r="AW3428" s="82" t="str">
        <f t="shared" si="1"/>
        <v/>
      </c>
      <c r="AX3428" s="83" t="str">
        <f t="array" ref="AX3428">IFERROR(DGET('SBV Import'!A:G,"SBV",{"RSC ID","Tier";B3428,A3428}))</f>
        <v/>
      </c>
      <c r="AY3428" s="82" t="str">
        <f t="shared" si="2"/>
        <v/>
      </c>
      <c r="AZ3428" s="82"/>
      <c r="BA3428" s="84" t="s">
        <v>152</v>
      </c>
      <c r="BB3428" s="84" t="str">
        <f>IFERROR(__xludf.DUMMYFUNCTION("iferror(if(A3428="""",,E3428&gt;=FILTER(Constants!$F$2:$F$10,Constants!$A$2:$A$10=A3428)))"),"")</f>
        <v/>
      </c>
    </row>
    <row r="3429">
      <c r="A3429" s="89"/>
      <c r="B3429" s="87"/>
      <c r="C3429" s="73"/>
      <c r="D3429" s="73"/>
      <c r="E3429" s="82"/>
      <c r="F3429" s="82"/>
      <c r="G3429" s="86"/>
      <c r="H3429" s="86"/>
      <c r="I3429" s="86"/>
      <c r="J3429" s="82"/>
      <c r="K3429" s="82"/>
      <c r="L3429" s="82"/>
      <c r="M3429" s="82"/>
      <c r="N3429" s="82"/>
      <c r="O3429" s="82"/>
      <c r="P3429" s="82"/>
      <c r="Q3429" s="82"/>
      <c r="R3429" s="82"/>
      <c r="S3429" s="82"/>
      <c r="T3429" s="82"/>
      <c r="U3429" s="82"/>
      <c r="V3429" s="82"/>
      <c r="W3429" s="82"/>
      <c r="X3429" s="82"/>
      <c r="Y3429" s="82"/>
      <c r="Z3429" s="82"/>
      <c r="AA3429" s="82"/>
      <c r="AB3429" s="82"/>
      <c r="AC3429" s="82"/>
      <c r="AD3429" s="82"/>
      <c r="AE3429" s="82"/>
      <c r="AF3429" s="82"/>
      <c r="AG3429" s="82"/>
      <c r="AH3429" s="82"/>
      <c r="AI3429" s="82"/>
      <c r="AJ3429" s="82"/>
      <c r="AK3429" s="82"/>
      <c r="AL3429" s="82"/>
      <c r="AM3429" s="82"/>
      <c r="AN3429" s="82">
        <f>IFERROR(__xludf.DUMMYFUNCTION("""COMPUTED_VALUE"""),0.0)</f>
        <v>0</v>
      </c>
      <c r="AO3429" s="82">
        <f>IFERROR(__xludf.DUMMYFUNCTION("""COMPUTED_VALUE"""),0.0)</f>
        <v>0</v>
      </c>
      <c r="AP3429" s="82">
        <f>IFERROR(__xludf.DUMMYFUNCTION("""COMPUTED_VALUE"""),0.0)</f>
        <v>0</v>
      </c>
      <c r="AQ3429" s="82">
        <f>IFERROR(__xludf.DUMMYFUNCTION("""COMPUTED_VALUE"""),0.0)</f>
        <v>0</v>
      </c>
      <c r="AR3429" s="82">
        <f>IFERROR(__xludf.DUMMYFUNCTION("""COMPUTED_VALUE"""),0.0)</f>
        <v>0</v>
      </c>
      <c r="AS3429" s="82"/>
      <c r="AT3429" s="82">
        <f>IFERROR(__xludf.DUMMYFUNCTION("""COMPUTED_VALUE"""),0.0)</f>
        <v>0</v>
      </c>
      <c r="AU3429" s="82"/>
      <c r="AV3429" s="82"/>
      <c r="AW3429" s="82" t="str">
        <f t="shared" si="1"/>
        <v/>
      </c>
      <c r="AX3429" s="83" t="str">
        <f t="array" ref="AX3429">IFERROR(DGET('SBV Import'!A:G,"SBV",{"RSC ID","Tier";B3429,A3429}))</f>
        <v/>
      </c>
      <c r="AY3429" s="82" t="str">
        <f t="shared" si="2"/>
        <v/>
      </c>
      <c r="AZ3429" s="82"/>
      <c r="BA3429" s="84" t="s">
        <v>152</v>
      </c>
      <c r="BB3429" s="84" t="str">
        <f>IFERROR(__xludf.DUMMYFUNCTION("iferror(if(A3429="""",,E3429&gt;=FILTER(Constants!$F$2:$F$10,Constants!$A$2:$A$10=A3429)))"),"")</f>
        <v/>
      </c>
    </row>
    <row r="3430">
      <c r="A3430" s="89"/>
      <c r="B3430" s="87"/>
      <c r="C3430" s="73"/>
      <c r="D3430" s="73"/>
      <c r="E3430" s="82"/>
      <c r="F3430" s="82"/>
      <c r="G3430" s="86"/>
      <c r="H3430" s="86"/>
      <c r="I3430" s="86"/>
      <c r="J3430" s="82"/>
      <c r="K3430" s="82"/>
      <c r="L3430" s="82"/>
      <c r="M3430" s="82"/>
      <c r="N3430" s="82"/>
      <c r="O3430" s="82"/>
      <c r="P3430" s="82"/>
      <c r="Q3430" s="82"/>
      <c r="R3430" s="82"/>
      <c r="S3430" s="82"/>
      <c r="T3430" s="82"/>
      <c r="U3430" s="82"/>
      <c r="V3430" s="82"/>
      <c r="W3430" s="82"/>
      <c r="X3430" s="82"/>
      <c r="Y3430" s="82"/>
      <c r="Z3430" s="82"/>
      <c r="AA3430" s="82"/>
      <c r="AB3430" s="82"/>
      <c r="AC3430" s="82"/>
      <c r="AD3430" s="82"/>
      <c r="AE3430" s="82"/>
      <c r="AF3430" s="82"/>
      <c r="AG3430" s="82"/>
      <c r="AH3430" s="82"/>
      <c r="AI3430" s="82"/>
      <c r="AJ3430" s="82"/>
      <c r="AK3430" s="82"/>
      <c r="AL3430" s="82"/>
      <c r="AM3430" s="82"/>
      <c r="AN3430" s="82">
        <f>IFERROR(__xludf.DUMMYFUNCTION("""COMPUTED_VALUE"""),0.0)</f>
        <v>0</v>
      </c>
      <c r="AO3430" s="82">
        <f>IFERROR(__xludf.DUMMYFUNCTION("""COMPUTED_VALUE"""),0.0)</f>
        <v>0</v>
      </c>
      <c r="AP3430" s="82">
        <f>IFERROR(__xludf.DUMMYFUNCTION("""COMPUTED_VALUE"""),0.0)</f>
        <v>0</v>
      </c>
      <c r="AQ3430" s="82">
        <f>IFERROR(__xludf.DUMMYFUNCTION("""COMPUTED_VALUE"""),0.0)</f>
        <v>0</v>
      </c>
      <c r="AR3430" s="82">
        <f>IFERROR(__xludf.DUMMYFUNCTION("""COMPUTED_VALUE"""),0.0)</f>
        <v>0</v>
      </c>
      <c r="AS3430" s="82"/>
      <c r="AT3430" s="82">
        <f>IFERROR(__xludf.DUMMYFUNCTION("""COMPUTED_VALUE"""),0.0)</f>
        <v>0</v>
      </c>
      <c r="AU3430" s="82"/>
      <c r="AV3430" s="82"/>
      <c r="AW3430" s="82" t="str">
        <f t="shared" si="1"/>
        <v/>
      </c>
      <c r="AX3430" s="83" t="str">
        <f t="array" ref="AX3430">IFERROR(DGET('SBV Import'!A:G,"SBV",{"RSC ID","Tier";B3430,A3430}))</f>
        <v/>
      </c>
      <c r="AY3430" s="82" t="str">
        <f t="shared" si="2"/>
        <v/>
      </c>
      <c r="AZ3430" s="82"/>
      <c r="BA3430" s="84" t="s">
        <v>152</v>
      </c>
      <c r="BB3430" s="84" t="str">
        <f>IFERROR(__xludf.DUMMYFUNCTION("iferror(if(A3430="""",,E3430&gt;=FILTER(Constants!$F$2:$F$10,Constants!$A$2:$A$10=A3430)))"),"")</f>
        <v/>
      </c>
    </row>
    <row r="3431">
      <c r="A3431" s="89"/>
      <c r="B3431" s="87"/>
      <c r="C3431" s="73"/>
      <c r="D3431" s="73"/>
      <c r="E3431" s="82"/>
      <c r="F3431" s="82"/>
      <c r="G3431" s="86"/>
      <c r="H3431" s="86"/>
      <c r="I3431" s="86"/>
      <c r="J3431" s="82"/>
      <c r="K3431" s="82"/>
      <c r="L3431" s="82"/>
      <c r="M3431" s="82"/>
      <c r="N3431" s="82"/>
      <c r="O3431" s="82"/>
      <c r="P3431" s="82"/>
      <c r="Q3431" s="82"/>
      <c r="R3431" s="82"/>
      <c r="S3431" s="82"/>
      <c r="T3431" s="82"/>
      <c r="U3431" s="82"/>
      <c r="V3431" s="82"/>
      <c r="W3431" s="82"/>
      <c r="X3431" s="82"/>
      <c r="Y3431" s="82"/>
      <c r="Z3431" s="82"/>
      <c r="AA3431" s="82"/>
      <c r="AB3431" s="82"/>
      <c r="AC3431" s="82"/>
      <c r="AD3431" s="82"/>
      <c r="AE3431" s="82"/>
      <c r="AF3431" s="82"/>
      <c r="AG3431" s="82"/>
      <c r="AH3431" s="82"/>
      <c r="AI3431" s="82"/>
      <c r="AJ3431" s="82"/>
      <c r="AK3431" s="82"/>
      <c r="AL3431" s="82"/>
      <c r="AM3431" s="82"/>
      <c r="AN3431" s="82">
        <f>IFERROR(__xludf.DUMMYFUNCTION("""COMPUTED_VALUE"""),0.0)</f>
        <v>0</v>
      </c>
      <c r="AO3431" s="82">
        <f>IFERROR(__xludf.DUMMYFUNCTION("""COMPUTED_VALUE"""),0.0)</f>
        <v>0</v>
      </c>
      <c r="AP3431" s="82">
        <f>IFERROR(__xludf.DUMMYFUNCTION("""COMPUTED_VALUE"""),0.0)</f>
        <v>0</v>
      </c>
      <c r="AQ3431" s="82">
        <f>IFERROR(__xludf.DUMMYFUNCTION("""COMPUTED_VALUE"""),0.0)</f>
        <v>0</v>
      </c>
      <c r="AR3431" s="82">
        <f>IFERROR(__xludf.DUMMYFUNCTION("""COMPUTED_VALUE"""),0.0)</f>
        <v>0</v>
      </c>
      <c r="AS3431" s="82"/>
      <c r="AT3431" s="82">
        <f>IFERROR(__xludf.DUMMYFUNCTION("""COMPUTED_VALUE"""),0.0)</f>
        <v>0</v>
      </c>
      <c r="AU3431" s="82"/>
      <c r="AV3431" s="82"/>
      <c r="AW3431" s="82" t="str">
        <f t="shared" si="1"/>
        <v/>
      </c>
      <c r="AX3431" s="83" t="str">
        <f t="array" ref="AX3431">IFERROR(DGET('SBV Import'!A:G,"SBV",{"RSC ID","Tier";B3431,A3431}))</f>
        <v/>
      </c>
      <c r="AY3431" s="82" t="str">
        <f t="shared" si="2"/>
        <v/>
      </c>
      <c r="AZ3431" s="82"/>
      <c r="BA3431" s="84" t="s">
        <v>152</v>
      </c>
      <c r="BB3431" s="84" t="str">
        <f>IFERROR(__xludf.DUMMYFUNCTION("iferror(if(A3431="""",,E3431&gt;=FILTER(Constants!$F$2:$F$10,Constants!$A$2:$A$10=A3431)))"),"")</f>
        <v/>
      </c>
    </row>
    <row r="3432">
      <c r="A3432" s="89"/>
      <c r="B3432" s="87"/>
      <c r="C3432" s="73"/>
      <c r="D3432" s="73"/>
      <c r="E3432" s="82"/>
      <c r="F3432" s="82"/>
      <c r="G3432" s="86"/>
      <c r="H3432" s="86"/>
      <c r="I3432" s="86"/>
      <c r="J3432" s="82"/>
      <c r="K3432" s="82"/>
      <c r="L3432" s="82"/>
      <c r="M3432" s="82"/>
      <c r="N3432" s="82"/>
      <c r="O3432" s="82"/>
      <c r="P3432" s="82"/>
      <c r="Q3432" s="82"/>
      <c r="R3432" s="82"/>
      <c r="S3432" s="82"/>
      <c r="T3432" s="82"/>
      <c r="U3432" s="82"/>
      <c r="V3432" s="82"/>
      <c r="W3432" s="82"/>
      <c r="X3432" s="82"/>
      <c r="Y3432" s="82"/>
      <c r="Z3432" s="82"/>
      <c r="AA3432" s="82"/>
      <c r="AB3432" s="82"/>
      <c r="AC3432" s="82"/>
      <c r="AD3432" s="82"/>
      <c r="AE3432" s="82"/>
      <c r="AF3432" s="82"/>
      <c r="AG3432" s="82"/>
      <c r="AH3432" s="82"/>
      <c r="AI3432" s="82"/>
      <c r="AJ3432" s="82"/>
      <c r="AK3432" s="82"/>
      <c r="AL3432" s="82"/>
      <c r="AM3432" s="82"/>
      <c r="AN3432" s="82">
        <f>IFERROR(__xludf.DUMMYFUNCTION("""COMPUTED_VALUE"""),0.0)</f>
        <v>0</v>
      </c>
      <c r="AO3432" s="82">
        <f>IFERROR(__xludf.DUMMYFUNCTION("""COMPUTED_VALUE"""),0.0)</f>
        <v>0</v>
      </c>
      <c r="AP3432" s="82">
        <f>IFERROR(__xludf.DUMMYFUNCTION("""COMPUTED_VALUE"""),0.0)</f>
        <v>0</v>
      </c>
      <c r="AQ3432" s="82">
        <f>IFERROR(__xludf.DUMMYFUNCTION("""COMPUTED_VALUE"""),0.0)</f>
        <v>0</v>
      </c>
      <c r="AR3432" s="82">
        <f>IFERROR(__xludf.DUMMYFUNCTION("""COMPUTED_VALUE"""),0.0)</f>
        <v>0</v>
      </c>
      <c r="AS3432" s="82"/>
      <c r="AT3432" s="82">
        <f>IFERROR(__xludf.DUMMYFUNCTION("""COMPUTED_VALUE"""),0.0)</f>
        <v>0</v>
      </c>
      <c r="AU3432" s="82"/>
      <c r="AV3432" s="82"/>
      <c r="AW3432" s="82" t="str">
        <f t="shared" si="1"/>
        <v/>
      </c>
      <c r="AX3432" s="83" t="str">
        <f t="array" ref="AX3432">IFERROR(DGET('SBV Import'!A:G,"SBV",{"RSC ID","Tier";B3432,A3432}))</f>
        <v/>
      </c>
      <c r="AY3432" s="82" t="str">
        <f t="shared" si="2"/>
        <v/>
      </c>
      <c r="AZ3432" s="82"/>
      <c r="BA3432" s="84" t="s">
        <v>152</v>
      </c>
      <c r="BB3432" s="84" t="str">
        <f>IFERROR(__xludf.DUMMYFUNCTION("iferror(if(A3432="""",,E3432&gt;=FILTER(Constants!$F$2:$F$10,Constants!$A$2:$A$10=A3432)))"),"")</f>
        <v/>
      </c>
    </row>
    <row r="3433">
      <c r="A3433" s="89"/>
      <c r="B3433" s="87"/>
      <c r="C3433" s="73"/>
      <c r="D3433" s="73"/>
      <c r="E3433" s="82"/>
      <c r="F3433" s="82"/>
      <c r="G3433" s="86"/>
      <c r="H3433" s="86"/>
      <c r="I3433" s="86"/>
      <c r="J3433" s="82"/>
      <c r="K3433" s="82"/>
      <c r="L3433" s="82"/>
      <c r="M3433" s="82"/>
      <c r="N3433" s="82"/>
      <c r="O3433" s="82"/>
      <c r="P3433" s="82"/>
      <c r="Q3433" s="82"/>
      <c r="R3433" s="82"/>
      <c r="S3433" s="82"/>
      <c r="T3433" s="82"/>
      <c r="U3433" s="82"/>
      <c r="V3433" s="82"/>
      <c r="W3433" s="82"/>
      <c r="X3433" s="82"/>
      <c r="Y3433" s="82"/>
      <c r="Z3433" s="82"/>
      <c r="AA3433" s="82"/>
      <c r="AB3433" s="82"/>
      <c r="AC3433" s="82"/>
      <c r="AD3433" s="82"/>
      <c r="AE3433" s="82"/>
      <c r="AF3433" s="82"/>
      <c r="AG3433" s="82"/>
      <c r="AH3433" s="82"/>
      <c r="AI3433" s="82"/>
      <c r="AJ3433" s="82"/>
      <c r="AK3433" s="82"/>
      <c r="AL3433" s="82"/>
      <c r="AM3433" s="82"/>
      <c r="AN3433" s="82">
        <f>IFERROR(__xludf.DUMMYFUNCTION("""COMPUTED_VALUE"""),0.0)</f>
        <v>0</v>
      </c>
      <c r="AO3433" s="82">
        <f>IFERROR(__xludf.DUMMYFUNCTION("""COMPUTED_VALUE"""),0.0)</f>
        <v>0</v>
      </c>
      <c r="AP3433" s="82">
        <f>IFERROR(__xludf.DUMMYFUNCTION("""COMPUTED_VALUE"""),0.0)</f>
        <v>0</v>
      </c>
      <c r="AQ3433" s="82">
        <f>IFERROR(__xludf.DUMMYFUNCTION("""COMPUTED_VALUE"""),0.0)</f>
        <v>0</v>
      </c>
      <c r="AR3433" s="82">
        <f>IFERROR(__xludf.DUMMYFUNCTION("""COMPUTED_VALUE"""),0.0)</f>
        <v>0</v>
      </c>
      <c r="AS3433" s="82"/>
      <c r="AT3433" s="82">
        <f>IFERROR(__xludf.DUMMYFUNCTION("""COMPUTED_VALUE"""),0.0)</f>
        <v>0</v>
      </c>
      <c r="AU3433" s="82"/>
      <c r="AV3433" s="82"/>
      <c r="AW3433" s="82" t="str">
        <f t="shared" si="1"/>
        <v/>
      </c>
      <c r="AX3433" s="83" t="str">
        <f t="array" ref="AX3433">IFERROR(DGET('SBV Import'!A:G,"SBV",{"RSC ID","Tier";B3433,A3433}))</f>
        <v/>
      </c>
      <c r="AY3433" s="82" t="str">
        <f t="shared" si="2"/>
        <v/>
      </c>
      <c r="AZ3433" s="82"/>
      <c r="BA3433" s="84" t="s">
        <v>152</v>
      </c>
      <c r="BB3433" s="84" t="str">
        <f>IFERROR(__xludf.DUMMYFUNCTION("iferror(if(A3433="""",,E3433&gt;=FILTER(Constants!$F$2:$F$10,Constants!$A$2:$A$10=A3433)))"),"")</f>
        <v/>
      </c>
    </row>
    <row r="3434">
      <c r="A3434" s="89"/>
      <c r="B3434" s="87"/>
      <c r="C3434" s="73"/>
      <c r="D3434" s="73"/>
      <c r="E3434" s="82"/>
      <c r="F3434" s="82"/>
      <c r="G3434" s="86"/>
      <c r="H3434" s="86"/>
      <c r="I3434" s="86"/>
      <c r="J3434" s="82"/>
      <c r="K3434" s="82"/>
      <c r="L3434" s="82"/>
      <c r="M3434" s="82"/>
      <c r="N3434" s="82"/>
      <c r="O3434" s="82"/>
      <c r="P3434" s="82"/>
      <c r="Q3434" s="82"/>
      <c r="R3434" s="82"/>
      <c r="S3434" s="82"/>
      <c r="T3434" s="82"/>
      <c r="U3434" s="82"/>
      <c r="V3434" s="82"/>
      <c r="W3434" s="82"/>
      <c r="X3434" s="82"/>
      <c r="Y3434" s="82"/>
      <c r="Z3434" s="82"/>
      <c r="AA3434" s="82"/>
      <c r="AB3434" s="82"/>
      <c r="AC3434" s="82"/>
      <c r="AD3434" s="82"/>
      <c r="AE3434" s="82"/>
      <c r="AF3434" s="82"/>
      <c r="AG3434" s="82"/>
      <c r="AH3434" s="82"/>
      <c r="AI3434" s="82"/>
      <c r="AJ3434" s="82"/>
      <c r="AK3434" s="82"/>
      <c r="AL3434" s="82"/>
      <c r="AM3434" s="82"/>
      <c r="AN3434" s="82">
        <f>IFERROR(__xludf.DUMMYFUNCTION("""COMPUTED_VALUE"""),0.0)</f>
        <v>0</v>
      </c>
      <c r="AO3434" s="82">
        <f>IFERROR(__xludf.DUMMYFUNCTION("""COMPUTED_VALUE"""),0.0)</f>
        <v>0</v>
      </c>
      <c r="AP3434" s="82">
        <f>IFERROR(__xludf.DUMMYFUNCTION("""COMPUTED_VALUE"""),0.0)</f>
        <v>0</v>
      </c>
      <c r="AQ3434" s="82">
        <f>IFERROR(__xludf.DUMMYFUNCTION("""COMPUTED_VALUE"""),0.0)</f>
        <v>0</v>
      </c>
      <c r="AR3434" s="82">
        <f>IFERROR(__xludf.DUMMYFUNCTION("""COMPUTED_VALUE"""),0.0)</f>
        <v>0</v>
      </c>
      <c r="AS3434" s="82"/>
      <c r="AT3434" s="82">
        <f>IFERROR(__xludf.DUMMYFUNCTION("""COMPUTED_VALUE"""),0.0)</f>
        <v>0</v>
      </c>
      <c r="AU3434" s="82"/>
      <c r="AV3434" s="82"/>
      <c r="AW3434" s="82" t="str">
        <f t="shared" si="1"/>
        <v/>
      </c>
      <c r="AX3434" s="83" t="str">
        <f t="array" ref="AX3434">IFERROR(DGET('SBV Import'!A:G,"SBV",{"RSC ID","Tier";B3434,A3434}))</f>
        <v/>
      </c>
      <c r="AY3434" s="82" t="str">
        <f t="shared" si="2"/>
        <v/>
      </c>
      <c r="AZ3434" s="82"/>
      <c r="BA3434" s="84" t="s">
        <v>152</v>
      </c>
      <c r="BB3434" s="84" t="str">
        <f>IFERROR(__xludf.DUMMYFUNCTION("iferror(if(A3434="""",,E3434&gt;=FILTER(Constants!$F$2:$F$10,Constants!$A$2:$A$10=A3434)))"),"")</f>
        <v/>
      </c>
    </row>
    <row r="3435">
      <c r="A3435" s="89"/>
      <c r="B3435" s="87"/>
      <c r="C3435" s="73"/>
      <c r="D3435" s="73"/>
      <c r="E3435" s="82"/>
      <c r="F3435" s="82"/>
      <c r="G3435" s="86"/>
      <c r="H3435" s="86"/>
      <c r="I3435" s="86"/>
      <c r="J3435" s="82"/>
      <c r="K3435" s="82"/>
      <c r="L3435" s="82"/>
      <c r="M3435" s="82"/>
      <c r="N3435" s="82"/>
      <c r="O3435" s="82"/>
      <c r="P3435" s="82"/>
      <c r="Q3435" s="82"/>
      <c r="R3435" s="82"/>
      <c r="S3435" s="82"/>
      <c r="T3435" s="82"/>
      <c r="U3435" s="82"/>
      <c r="V3435" s="82"/>
      <c r="W3435" s="82"/>
      <c r="X3435" s="82"/>
      <c r="Y3435" s="82"/>
      <c r="Z3435" s="82"/>
      <c r="AA3435" s="82"/>
      <c r="AB3435" s="82"/>
      <c r="AC3435" s="82"/>
      <c r="AD3435" s="82"/>
      <c r="AE3435" s="82"/>
      <c r="AF3435" s="82"/>
      <c r="AG3435" s="82"/>
      <c r="AH3435" s="82"/>
      <c r="AI3435" s="82"/>
      <c r="AJ3435" s="82"/>
      <c r="AK3435" s="82"/>
      <c r="AL3435" s="82"/>
      <c r="AM3435" s="82"/>
      <c r="AN3435" s="82">
        <f>IFERROR(__xludf.DUMMYFUNCTION("""COMPUTED_VALUE"""),0.0)</f>
        <v>0</v>
      </c>
      <c r="AO3435" s="82">
        <f>IFERROR(__xludf.DUMMYFUNCTION("""COMPUTED_VALUE"""),0.0)</f>
        <v>0</v>
      </c>
      <c r="AP3435" s="82">
        <f>IFERROR(__xludf.DUMMYFUNCTION("""COMPUTED_VALUE"""),0.0)</f>
        <v>0</v>
      </c>
      <c r="AQ3435" s="82">
        <f>IFERROR(__xludf.DUMMYFUNCTION("""COMPUTED_VALUE"""),0.0)</f>
        <v>0</v>
      </c>
      <c r="AR3435" s="82">
        <f>IFERROR(__xludf.DUMMYFUNCTION("""COMPUTED_VALUE"""),0.0)</f>
        <v>0</v>
      </c>
      <c r="AS3435" s="82"/>
      <c r="AT3435" s="82">
        <f>IFERROR(__xludf.DUMMYFUNCTION("""COMPUTED_VALUE"""),0.0)</f>
        <v>0</v>
      </c>
      <c r="AU3435" s="82"/>
      <c r="AV3435" s="82"/>
      <c r="AW3435" s="82" t="str">
        <f t="shared" si="1"/>
        <v/>
      </c>
      <c r="AX3435" s="83" t="str">
        <f t="array" ref="AX3435">IFERROR(DGET('SBV Import'!A:G,"SBV",{"RSC ID","Tier";B3435,A3435}))</f>
        <v/>
      </c>
      <c r="AY3435" s="82" t="str">
        <f t="shared" si="2"/>
        <v/>
      </c>
      <c r="AZ3435" s="82"/>
      <c r="BA3435" s="84" t="s">
        <v>152</v>
      </c>
      <c r="BB3435" s="84" t="str">
        <f>IFERROR(__xludf.DUMMYFUNCTION("iferror(if(A3435="""",,E3435&gt;=FILTER(Constants!$F$2:$F$10,Constants!$A$2:$A$10=A3435)))"),"")</f>
        <v/>
      </c>
    </row>
    <row r="3436">
      <c r="A3436" s="89"/>
      <c r="B3436" s="87"/>
      <c r="C3436" s="73"/>
      <c r="D3436" s="73"/>
      <c r="E3436" s="82"/>
      <c r="F3436" s="82"/>
      <c r="G3436" s="86"/>
      <c r="H3436" s="86"/>
      <c r="I3436" s="86"/>
      <c r="J3436" s="82"/>
      <c r="K3436" s="82"/>
      <c r="L3436" s="82"/>
      <c r="M3436" s="82"/>
      <c r="N3436" s="82"/>
      <c r="O3436" s="82"/>
      <c r="P3436" s="82"/>
      <c r="Q3436" s="82"/>
      <c r="R3436" s="82"/>
      <c r="S3436" s="82"/>
      <c r="T3436" s="82"/>
      <c r="U3436" s="82"/>
      <c r="V3436" s="82"/>
      <c r="W3436" s="82"/>
      <c r="X3436" s="82"/>
      <c r="Y3436" s="82"/>
      <c r="Z3436" s="82"/>
      <c r="AA3436" s="82"/>
      <c r="AB3436" s="82"/>
      <c r="AC3436" s="82"/>
      <c r="AD3436" s="82"/>
      <c r="AE3436" s="82"/>
      <c r="AF3436" s="82"/>
      <c r="AG3436" s="82"/>
      <c r="AH3436" s="82"/>
      <c r="AI3436" s="82"/>
      <c r="AJ3436" s="82"/>
      <c r="AK3436" s="82"/>
      <c r="AL3436" s="82"/>
      <c r="AM3436" s="82"/>
      <c r="AN3436" s="82">
        <f>IFERROR(__xludf.DUMMYFUNCTION("""COMPUTED_VALUE"""),0.0)</f>
        <v>0</v>
      </c>
      <c r="AO3436" s="82">
        <f>IFERROR(__xludf.DUMMYFUNCTION("""COMPUTED_VALUE"""),0.0)</f>
        <v>0</v>
      </c>
      <c r="AP3436" s="82">
        <f>IFERROR(__xludf.DUMMYFUNCTION("""COMPUTED_VALUE"""),0.0)</f>
        <v>0</v>
      </c>
      <c r="AQ3436" s="82">
        <f>IFERROR(__xludf.DUMMYFUNCTION("""COMPUTED_VALUE"""),0.0)</f>
        <v>0</v>
      </c>
      <c r="AR3436" s="82">
        <f>IFERROR(__xludf.DUMMYFUNCTION("""COMPUTED_VALUE"""),0.0)</f>
        <v>0</v>
      </c>
      <c r="AS3436" s="82"/>
      <c r="AT3436" s="82">
        <f>IFERROR(__xludf.DUMMYFUNCTION("""COMPUTED_VALUE"""),0.0)</f>
        <v>0</v>
      </c>
      <c r="AU3436" s="82"/>
      <c r="AV3436" s="82"/>
      <c r="AW3436" s="82" t="str">
        <f t="shared" si="1"/>
        <v/>
      </c>
      <c r="AX3436" s="83" t="str">
        <f t="array" ref="AX3436">IFERROR(DGET('SBV Import'!A:G,"SBV",{"RSC ID","Tier";B3436,A3436}))</f>
        <v/>
      </c>
      <c r="AY3436" s="82" t="str">
        <f t="shared" si="2"/>
        <v/>
      </c>
      <c r="AZ3436" s="82"/>
      <c r="BA3436" s="84" t="s">
        <v>152</v>
      </c>
      <c r="BB3436" s="84" t="str">
        <f>IFERROR(__xludf.DUMMYFUNCTION("iferror(if(A3436="""",,E3436&gt;=FILTER(Constants!$F$2:$F$10,Constants!$A$2:$A$10=A3436)))"),"")</f>
        <v/>
      </c>
    </row>
    <row r="3437">
      <c r="A3437" s="89"/>
      <c r="B3437" s="87"/>
      <c r="C3437" s="73"/>
      <c r="D3437" s="73"/>
      <c r="E3437" s="82"/>
      <c r="F3437" s="82"/>
      <c r="G3437" s="86"/>
      <c r="H3437" s="86"/>
      <c r="I3437" s="86"/>
      <c r="J3437" s="82"/>
      <c r="K3437" s="82"/>
      <c r="L3437" s="82"/>
      <c r="M3437" s="82"/>
      <c r="N3437" s="82"/>
      <c r="O3437" s="82"/>
      <c r="P3437" s="82"/>
      <c r="Q3437" s="82"/>
      <c r="R3437" s="82"/>
      <c r="S3437" s="82"/>
      <c r="T3437" s="82"/>
      <c r="U3437" s="82"/>
      <c r="V3437" s="82"/>
      <c r="W3437" s="82"/>
      <c r="X3437" s="82"/>
      <c r="Y3437" s="82"/>
      <c r="Z3437" s="82"/>
      <c r="AA3437" s="82"/>
      <c r="AB3437" s="82"/>
      <c r="AC3437" s="82"/>
      <c r="AD3437" s="82"/>
      <c r="AE3437" s="82"/>
      <c r="AF3437" s="82"/>
      <c r="AG3437" s="82"/>
      <c r="AH3437" s="82"/>
      <c r="AI3437" s="82"/>
      <c r="AJ3437" s="82"/>
      <c r="AK3437" s="82"/>
      <c r="AL3437" s="82"/>
      <c r="AM3437" s="82"/>
      <c r="AN3437" s="82">
        <f>IFERROR(__xludf.DUMMYFUNCTION("""COMPUTED_VALUE"""),0.0)</f>
        <v>0</v>
      </c>
      <c r="AO3437" s="82">
        <f>IFERROR(__xludf.DUMMYFUNCTION("""COMPUTED_VALUE"""),0.0)</f>
        <v>0</v>
      </c>
      <c r="AP3437" s="82">
        <f>IFERROR(__xludf.DUMMYFUNCTION("""COMPUTED_VALUE"""),0.0)</f>
        <v>0</v>
      </c>
      <c r="AQ3437" s="82">
        <f>IFERROR(__xludf.DUMMYFUNCTION("""COMPUTED_VALUE"""),0.0)</f>
        <v>0</v>
      </c>
      <c r="AR3437" s="82">
        <f>IFERROR(__xludf.DUMMYFUNCTION("""COMPUTED_VALUE"""),0.0)</f>
        <v>0</v>
      </c>
      <c r="AS3437" s="82"/>
      <c r="AT3437" s="82">
        <f>IFERROR(__xludf.DUMMYFUNCTION("""COMPUTED_VALUE"""),0.0)</f>
        <v>0</v>
      </c>
      <c r="AU3437" s="82"/>
      <c r="AV3437" s="82"/>
      <c r="AW3437" s="82" t="str">
        <f t="shared" si="1"/>
        <v/>
      </c>
      <c r="AX3437" s="83" t="str">
        <f t="array" ref="AX3437">IFERROR(DGET('SBV Import'!A:G,"SBV",{"RSC ID","Tier";B3437,A3437}))</f>
        <v/>
      </c>
      <c r="AY3437" s="82" t="str">
        <f t="shared" si="2"/>
        <v/>
      </c>
      <c r="AZ3437" s="82"/>
      <c r="BA3437" s="84" t="s">
        <v>152</v>
      </c>
      <c r="BB3437" s="84" t="str">
        <f>IFERROR(__xludf.DUMMYFUNCTION("iferror(if(A3437="""",,E3437&gt;=FILTER(Constants!$F$2:$F$10,Constants!$A$2:$A$10=A3437)))"),"")</f>
        <v/>
      </c>
    </row>
    <row r="3438">
      <c r="A3438" s="89"/>
      <c r="B3438" s="87"/>
      <c r="C3438" s="73"/>
      <c r="D3438" s="73"/>
      <c r="E3438" s="82"/>
      <c r="F3438" s="82"/>
      <c r="G3438" s="86"/>
      <c r="H3438" s="86"/>
      <c r="I3438" s="86"/>
      <c r="J3438" s="82"/>
      <c r="K3438" s="82"/>
      <c r="L3438" s="82"/>
      <c r="M3438" s="82"/>
      <c r="N3438" s="82"/>
      <c r="O3438" s="82"/>
      <c r="P3438" s="82"/>
      <c r="Q3438" s="82"/>
      <c r="R3438" s="82"/>
      <c r="S3438" s="82"/>
      <c r="T3438" s="82"/>
      <c r="U3438" s="82"/>
      <c r="V3438" s="82"/>
      <c r="W3438" s="82"/>
      <c r="X3438" s="82"/>
      <c r="Y3438" s="82"/>
      <c r="Z3438" s="82"/>
      <c r="AA3438" s="82"/>
      <c r="AB3438" s="82"/>
      <c r="AC3438" s="82"/>
      <c r="AD3438" s="82"/>
      <c r="AE3438" s="82"/>
      <c r="AF3438" s="82"/>
      <c r="AG3438" s="82"/>
      <c r="AH3438" s="82"/>
      <c r="AI3438" s="82"/>
      <c r="AJ3438" s="82"/>
      <c r="AK3438" s="82"/>
      <c r="AL3438" s="82"/>
      <c r="AM3438" s="82"/>
      <c r="AN3438" s="82">
        <f>IFERROR(__xludf.DUMMYFUNCTION("""COMPUTED_VALUE"""),0.0)</f>
        <v>0</v>
      </c>
      <c r="AO3438" s="82">
        <f>IFERROR(__xludf.DUMMYFUNCTION("""COMPUTED_VALUE"""),0.0)</f>
        <v>0</v>
      </c>
      <c r="AP3438" s="82">
        <f>IFERROR(__xludf.DUMMYFUNCTION("""COMPUTED_VALUE"""),0.0)</f>
        <v>0</v>
      </c>
      <c r="AQ3438" s="82">
        <f>IFERROR(__xludf.DUMMYFUNCTION("""COMPUTED_VALUE"""),0.0)</f>
        <v>0</v>
      </c>
      <c r="AR3438" s="82">
        <f>IFERROR(__xludf.DUMMYFUNCTION("""COMPUTED_VALUE"""),0.0)</f>
        <v>0</v>
      </c>
      <c r="AS3438" s="82"/>
      <c r="AT3438" s="82">
        <f>IFERROR(__xludf.DUMMYFUNCTION("""COMPUTED_VALUE"""),0.0)</f>
        <v>0</v>
      </c>
      <c r="AU3438" s="82"/>
      <c r="AV3438" s="82"/>
      <c r="AW3438" s="82" t="str">
        <f t="shared" si="1"/>
        <v/>
      </c>
      <c r="AX3438" s="83" t="str">
        <f t="array" ref="AX3438">IFERROR(DGET('SBV Import'!A:G,"SBV",{"RSC ID","Tier";B3438,A3438}))</f>
        <v/>
      </c>
      <c r="AY3438" s="82" t="str">
        <f t="shared" si="2"/>
        <v/>
      </c>
      <c r="AZ3438" s="82"/>
      <c r="BA3438" s="84" t="s">
        <v>152</v>
      </c>
      <c r="BB3438" s="84" t="str">
        <f>IFERROR(__xludf.DUMMYFUNCTION("iferror(if(A3438="""",,E3438&gt;=FILTER(Constants!$F$2:$F$10,Constants!$A$2:$A$10=A3438)))"),"")</f>
        <v/>
      </c>
    </row>
    <row r="3439">
      <c r="A3439" s="89"/>
      <c r="B3439" s="87"/>
      <c r="C3439" s="73"/>
      <c r="D3439" s="73"/>
      <c r="E3439" s="82"/>
      <c r="F3439" s="82"/>
      <c r="G3439" s="86"/>
      <c r="H3439" s="86"/>
      <c r="I3439" s="86"/>
      <c r="J3439" s="82"/>
      <c r="K3439" s="82"/>
      <c r="L3439" s="82"/>
      <c r="M3439" s="82"/>
      <c r="N3439" s="82"/>
      <c r="O3439" s="82"/>
      <c r="P3439" s="82"/>
      <c r="Q3439" s="82"/>
      <c r="R3439" s="82"/>
      <c r="S3439" s="82"/>
      <c r="T3439" s="82"/>
      <c r="U3439" s="82"/>
      <c r="V3439" s="82"/>
      <c r="W3439" s="82"/>
      <c r="X3439" s="82"/>
      <c r="Y3439" s="82"/>
      <c r="Z3439" s="82"/>
      <c r="AA3439" s="82"/>
      <c r="AB3439" s="82"/>
      <c r="AC3439" s="82"/>
      <c r="AD3439" s="82"/>
      <c r="AE3439" s="82"/>
      <c r="AF3439" s="82"/>
      <c r="AG3439" s="82"/>
      <c r="AH3439" s="82"/>
      <c r="AI3439" s="82"/>
      <c r="AJ3439" s="82"/>
      <c r="AK3439" s="82"/>
      <c r="AL3439" s="82"/>
      <c r="AM3439" s="82"/>
      <c r="AN3439" s="82">
        <f>IFERROR(__xludf.DUMMYFUNCTION("""COMPUTED_VALUE"""),0.0)</f>
        <v>0</v>
      </c>
      <c r="AO3439" s="82">
        <f>IFERROR(__xludf.DUMMYFUNCTION("""COMPUTED_VALUE"""),0.0)</f>
        <v>0</v>
      </c>
      <c r="AP3439" s="82">
        <f>IFERROR(__xludf.DUMMYFUNCTION("""COMPUTED_VALUE"""),0.0)</f>
        <v>0</v>
      </c>
      <c r="AQ3439" s="82">
        <f>IFERROR(__xludf.DUMMYFUNCTION("""COMPUTED_VALUE"""),0.0)</f>
        <v>0</v>
      </c>
      <c r="AR3439" s="82">
        <f>IFERROR(__xludf.DUMMYFUNCTION("""COMPUTED_VALUE"""),0.0)</f>
        <v>0</v>
      </c>
      <c r="AS3439" s="82"/>
      <c r="AT3439" s="82">
        <f>IFERROR(__xludf.DUMMYFUNCTION("""COMPUTED_VALUE"""),0.0)</f>
        <v>0</v>
      </c>
      <c r="AU3439" s="82"/>
      <c r="AV3439" s="82"/>
      <c r="AW3439" s="82" t="str">
        <f t="shared" si="1"/>
        <v/>
      </c>
      <c r="AX3439" s="83" t="str">
        <f t="array" ref="AX3439">IFERROR(DGET('SBV Import'!A:G,"SBV",{"RSC ID","Tier";B3439,A3439}))</f>
        <v/>
      </c>
      <c r="AY3439" s="82" t="str">
        <f t="shared" si="2"/>
        <v/>
      </c>
      <c r="AZ3439" s="82"/>
      <c r="BA3439" s="84" t="s">
        <v>152</v>
      </c>
      <c r="BB3439" s="84" t="str">
        <f>IFERROR(__xludf.DUMMYFUNCTION("iferror(if(A3439="""",,E3439&gt;=FILTER(Constants!$F$2:$F$10,Constants!$A$2:$A$10=A3439)))"),"")</f>
        <v/>
      </c>
    </row>
    <row r="3440">
      <c r="A3440" s="89"/>
      <c r="B3440" s="87"/>
      <c r="C3440" s="73"/>
      <c r="D3440" s="73"/>
      <c r="E3440" s="82"/>
      <c r="F3440" s="82"/>
      <c r="G3440" s="86"/>
      <c r="H3440" s="86"/>
      <c r="I3440" s="86"/>
      <c r="J3440" s="82"/>
      <c r="K3440" s="82"/>
      <c r="L3440" s="82"/>
      <c r="M3440" s="82"/>
      <c r="N3440" s="82"/>
      <c r="O3440" s="82"/>
      <c r="P3440" s="82"/>
      <c r="Q3440" s="82"/>
      <c r="R3440" s="82"/>
      <c r="S3440" s="82"/>
      <c r="T3440" s="82"/>
      <c r="U3440" s="82"/>
      <c r="V3440" s="82"/>
      <c r="W3440" s="82"/>
      <c r="X3440" s="82"/>
      <c r="Y3440" s="82"/>
      <c r="Z3440" s="82"/>
      <c r="AA3440" s="82"/>
      <c r="AB3440" s="82"/>
      <c r="AC3440" s="82"/>
      <c r="AD3440" s="82"/>
      <c r="AE3440" s="82"/>
      <c r="AF3440" s="82"/>
      <c r="AG3440" s="82"/>
      <c r="AH3440" s="82"/>
      <c r="AI3440" s="82"/>
      <c r="AJ3440" s="82"/>
      <c r="AK3440" s="82"/>
      <c r="AL3440" s="82"/>
      <c r="AM3440" s="82"/>
      <c r="AN3440" s="82">
        <f>IFERROR(__xludf.DUMMYFUNCTION("""COMPUTED_VALUE"""),0.0)</f>
        <v>0</v>
      </c>
      <c r="AO3440" s="82">
        <f>IFERROR(__xludf.DUMMYFUNCTION("""COMPUTED_VALUE"""),0.0)</f>
        <v>0</v>
      </c>
      <c r="AP3440" s="82">
        <f>IFERROR(__xludf.DUMMYFUNCTION("""COMPUTED_VALUE"""),0.0)</f>
        <v>0</v>
      </c>
      <c r="AQ3440" s="82">
        <f>IFERROR(__xludf.DUMMYFUNCTION("""COMPUTED_VALUE"""),0.0)</f>
        <v>0</v>
      </c>
      <c r="AR3440" s="82">
        <f>IFERROR(__xludf.DUMMYFUNCTION("""COMPUTED_VALUE"""),0.0)</f>
        <v>0</v>
      </c>
      <c r="AS3440" s="82"/>
      <c r="AT3440" s="82">
        <f>IFERROR(__xludf.DUMMYFUNCTION("""COMPUTED_VALUE"""),0.0)</f>
        <v>0</v>
      </c>
      <c r="AU3440" s="82"/>
      <c r="AV3440" s="82"/>
      <c r="AW3440" s="82" t="str">
        <f t="shared" si="1"/>
        <v/>
      </c>
      <c r="AX3440" s="83" t="str">
        <f t="array" ref="AX3440">IFERROR(DGET('SBV Import'!A:G,"SBV",{"RSC ID","Tier";B3440,A3440}))</f>
        <v/>
      </c>
      <c r="AY3440" s="82" t="str">
        <f t="shared" si="2"/>
        <v/>
      </c>
      <c r="AZ3440" s="82"/>
      <c r="BA3440" s="84" t="s">
        <v>152</v>
      </c>
      <c r="BB3440" s="84" t="str">
        <f>IFERROR(__xludf.DUMMYFUNCTION("iferror(if(A3440="""",,E3440&gt;=FILTER(Constants!$F$2:$F$10,Constants!$A$2:$A$10=A3440)))"),"")</f>
        <v/>
      </c>
    </row>
    <row r="3441">
      <c r="A3441" s="89"/>
      <c r="B3441" s="87"/>
      <c r="C3441" s="73"/>
      <c r="D3441" s="73"/>
      <c r="E3441" s="82"/>
      <c r="F3441" s="82"/>
      <c r="G3441" s="86"/>
      <c r="H3441" s="86"/>
      <c r="I3441" s="86"/>
      <c r="J3441" s="82"/>
      <c r="K3441" s="82"/>
      <c r="L3441" s="82"/>
      <c r="M3441" s="82"/>
      <c r="N3441" s="82"/>
      <c r="O3441" s="82"/>
      <c r="P3441" s="82"/>
      <c r="Q3441" s="82"/>
      <c r="R3441" s="82"/>
      <c r="S3441" s="82"/>
      <c r="T3441" s="82"/>
      <c r="U3441" s="82"/>
      <c r="V3441" s="82"/>
      <c r="W3441" s="82"/>
      <c r="X3441" s="82"/>
      <c r="Y3441" s="82"/>
      <c r="Z3441" s="82"/>
      <c r="AA3441" s="82"/>
      <c r="AB3441" s="82"/>
      <c r="AC3441" s="82"/>
      <c r="AD3441" s="82"/>
      <c r="AE3441" s="82"/>
      <c r="AF3441" s="82"/>
      <c r="AG3441" s="82"/>
      <c r="AH3441" s="82"/>
      <c r="AI3441" s="82"/>
      <c r="AJ3441" s="82"/>
      <c r="AK3441" s="82"/>
      <c r="AL3441" s="82"/>
      <c r="AM3441" s="82"/>
      <c r="AN3441" s="82">
        <f>IFERROR(__xludf.DUMMYFUNCTION("""COMPUTED_VALUE"""),0.0)</f>
        <v>0</v>
      </c>
      <c r="AO3441" s="82">
        <f>IFERROR(__xludf.DUMMYFUNCTION("""COMPUTED_VALUE"""),0.0)</f>
        <v>0</v>
      </c>
      <c r="AP3441" s="82">
        <f>IFERROR(__xludf.DUMMYFUNCTION("""COMPUTED_VALUE"""),0.0)</f>
        <v>0</v>
      </c>
      <c r="AQ3441" s="82">
        <f>IFERROR(__xludf.DUMMYFUNCTION("""COMPUTED_VALUE"""),0.0)</f>
        <v>0</v>
      </c>
      <c r="AR3441" s="82">
        <f>IFERROR(__xludf.DUMMYFUNCTION("""COMPUTED_VALUE"""),0.0)</f>
        <v>0</v>
      </c>
      <c r="AS3441" s="82"/>
      <c r="AT3441" s="82">
        <f>IFERROR(__xludf.DUMMYFUNCTION("""COMPUTED_VALUE"""),0.0)</f>
        <v>0</v>
      </c>
      <c r="AU3441" s="82"/>
      <c r="AV3441" s="82"/>
      <c r="AW3441" s="82" t="str">
        <f t="shared" si="1"/>
        <v/>
      </c>
      <c r="AX3441" s="83" t="str">
        <f t="array" ref="AX3441">IFERROR(DGET('SBV Import'!A:G,"SBV",{"RSC ID","Tier";B3441,A3441}))</f>
        <v/>
      </c>
      <c r="AY3441" s="82" t="str">
        <f t="shared" si="2"/>
        <v/>
      </c>
      <c r="AZ3441" s="82"/>
      <c r="BA3441" s="84" t="s">
        <v>152</v>
      </c>
      <c r="BB3441" s="84" t="str">
        <f>IFERROR(__xludf.DUMMYFUNCTION("iferror(if(A3441="""",,E3441&gt;=FILTER(Constants!$F$2:$F$10,Constants!$A$2:$A$10=A3441)))"),"")</f>
        <v/>
      </c>
    </row>
    <row r="3442">
      <c r="A3442" s="89"/>
      <c r="B3442" s="87"/>
      <c r="C3442" s="73"/>
      <c r="D3442" s="73"/>
      <c r="E3442" s="82"/>
      <c r="F3442" s="82"/>
      <c r="G3442" s="86"/>
      <c r="H3442" s="86"/>
      <c r="I3442" s="86"/>
      <c r="J3442" s="82"/>
      <c r="K3442" s="82"/>
      <c r="L3442" s="82"/>
      <c r="M3442" s="82"/>
      <c r="N3442" s="82"/>
      <c r="O3442" s="82"/>
      <c r="P3442" s="82"/>
      <c r="Q3442" s="82"/>
      <c r="R3442" s="82"/>
      <c r="S3442" s="82"/>
      <c r="T3442" s="82"/>
      <c r="U3442" s="82"/>
      <c r="V3442" s="82"/>
      <c r="W3442" s="82"/>
      <c r="X3442" s="82"/>
      <c r="Y3442" s="82"/>
      <c r="Z3442" s="82"/>
      <c r="AA3442" s="82"/>
      <c r="AB3442" s="82"/>
      <c r="AC3442" s="82"/>
      <c r="AD3442" s="82"/>
      <c r="AE3442" s="82"/>
      <c r="AF3442" s="82"/>
      <c r="AG3442" s="82"/>
      <c r="AH3442" s="82"/>
      <c r="AI3442" s="82"/>
      <c r="AJ3442" s="82"/>
      <c r="AK3442" s="82"/>
      <c r="AL3442" s="82"/>
      <c r="AM3442" s="82"/>
      <c r="AN3442" s="82">
        <f>IFERROR(__xludf.DUMMYFUNCTION("""COMPUTED_VALUE"""),0.0)</f>
        <v>0</v>
      </c>
      <c r="AO3442" s="82">
        <f>IFERROR(__xludf.DUMMYFUNCTION("""COMPUTED_VALUE"""),0.0)</f>
        <v>0</v>
      </c>
      <c r="AP3442" s="82">
        <f>IFERROR(__xludf.DUMMYFUNCTION("""COMPUTED_VALUE"""),0.0)</f>
        <v>0</v>
      </c>
      <c r="AQ3442" s="82">
        <f>IFERROR(__xludf.DUMMYFUNCTION("""COMPUTED_VALUE"""),0.0)</f>
        <v>0</v>
      </c>
      <c r="AR3442" s="82">
        <f>IFERROR(__xludf.DUMMYFUNCTION("""COMPUTED_VALUE"""),0.0)</f>
        <v>0</v>
      </c>
      <c r="AS3442" s="82"/>
      <c r="AT3442" s="82">
        <f>IFERROR(__xludf.DUMMYFUNCTION("""COMPUTED_VALUE"""),0.0)</f>
        <v>0</v>
      </c>
      <c r="AU3442" s="82"/>
      <c r="AV3442" s="82"/>
      <c r="AW3442" s="82" t="str">
        <f t="shared" si="1"/>
        <v/>
      </c>
      <c r="AX3442" s="83" t="str">
        <f t="array" ref="AX3442">IFERROR(DGET('SBV Import'!A:G,"SBV",{"RSC ID","Tier";B3442,A3442}))</f>
        <v/>
      </c>
      <c r="AY3442" s="82" t="str">
        <f t="shared" si="2"/>
        <v/>
      </c>
      <c r="AZ3442" s="82"/>
      <c r="BA3442" s="84" t="s">
        <v>152</v>
      </c>
      <c r="BB3442" s="84" t="str">
        <f>IFERROR(__xludf.DUMMYFUNCTION("iferror(if(A3442="""",,E3442&gt;=FILTER(Constants!$F$2:$F$10,Constants!$A$2:$A$10=A3442)))"),"")</f>
        <v/>
      </c>
    </row>
    <row r="3443">
      <c r="A3443" s="89"/>
      <c r="B3443" s="87"/>
      <c r="C3443" s="73"/>
      <c r="D3443" s="73"/>
      <c r="E3443" s="82"/>
      <c r="F3443" s="82"/>
      <c r="G3443" s="86"/>
      <c r="H3443" s="86"/>
      <c r="I3443" s="86"/>
      <c r="J3443" s="82"/>
      <c r="K3443" s="82"/>
      <c r="L3443" s="82"/>
      <c r="M3443" s="82"/>
      <c r="N3443" s="82"/>
      <c r="O3443" s="82"/>
      <c r="P3443" s="82"/>
      <c r="Q3443" s="82"/>
      <c r="R3443" s="82"/>
      <c r="S3443" s="82"/>
      <c r="T3443" s="82"/>
      <c r="U3443" s="82"/>
      <c r="V3443" s="82"/>
      <c r="W3443" s="82"/>
      <c r="X3443" s="82"/>
      <c r="Y3443" s="82"/>
      <c r="Z3443" s="82"/>
      <c r="AA3443" s="82"/>
      <c r="AB3443" s="82"/>
      <c r="AC3443" s="82"/>
      <c r="AD3443" s="82"/>
      <c r="AE3443" s="82"/>
      <c r="AF3443" s="82"/>
      <c r="AG3443" s="82"/>
      <c r="AH3443" s="82"/>
      <c r="AI3443" s="82"/>
      <c r="AJ3443" s="82"/>
      <c r="AK3443" s="82"/>
      <c r="AL3443" s="82"/>
      <c r="AM3443" s="82"/>
      <c r="AN3443" s="82">
        <f>IFERROR(__xludf.DUMMYFUNCTION("""COMPUTED_VALUE"""),0.0)</f>
        <v>0</v>
      </c>
      <c r="AO3443" s="82">
        <f>IFERROR(__xludf.DUMMYFUNCTION("""COMPUTED_VALUE"""),0.0)</f>
        <v>0</v>
      </c>
      <c r="AP3443" s="82">
        <f>IFERROR(__xludf.DUMMYFUNCTION("""COMPUTED_VALUE"""),0.0)</f>
        <v>0</v>
      </c>
      <c r="AQ3443" s="82">
        <f>IFERROR(__xludf.DUMMYFUNCTION("""COMPUTED_VALUE"""),0.0)</f>
        <v>0</v>
      </c>
      <c r="AR3443" s="82">
        <f>IFERROR(__xludf.DUMMYFUNCTION("""COMPUTED_VALUE"""),0.0)</f>
        <v>0</v>
      </c>
      <c r="AS3443" s="82"/>
      <c r="AT3443" s="82">
        <f>IFERROR(__xludf.DUMMYFUNCTION("""COMPUTED_VALUE"""),0.0)</f>
        <v>0</v>
      </c>
      <c r="AU3443" s="82"/>
      <c r="AV3443" s="82"/>
      <c r="AW3443" s="82" t="str">
        <f t="shared" si="1"/>
        <v/>
      </c>
      <c r="AX3443" s="83" t="str">
        <f t="array" ref="AX3443">IFERROR(DGET('SBV Import'!A:G,"SBV",{"RSC ID","Tier";B3443,A3443}))</f>
        <v/>
      </c>
      <c r="AY3443" s="82" t="str">
        <f t="shared" si="2"/>
        <v/>
      </c>
      <c r="AZ3443" s="82"/>
      <c r="BA3443" s="84" t="s">
        <v>152</v>
      </c>
      <c r="BB3443" s="84" t="str">
        <f>IFERROR(__xludf.DUMMYFUNCTION("iferror(if(A3443="""",,E3443&gt;=FILTER(Constants!$F$2:$F$10,Constants!$A$2:$A$10=A3443)))"),"")</f>
        <v/>
      </c>
    </row>
    <row r="3444">
      <c r="A3444" s="89"/>
      <c r="B3444" s="87"/>
      <c r="C3444" s="73"/>
      <c r="D3444" s="73"/>
      <c r="E3444" s="82"/>
      <c r="F3444" s="82"/>
      <c r="G3444" s="86"/>
      <c r="H3444" s="86"/>
      <c r="I3444" s="86"/>
      <c r="J3444" s="82"/>
      <c r="K3444" s="82"/>
      <c r="L3444" s="82"/>
      <c r="M3444" s="82"/>
      <c r="N3444" s="82"/>
      <c r="O3444" s="82"/>
      <c r="P3444" s="82"/>
      <c r="Q3444" s="82"/>
      <c r="R3444" s="82"/>
      <c r="S3444" s="82"/>
      <c r="T3444" s="82"/>
      <c r="U3444" s="82"/>
      <c r="V3444" s="82"/>
      <c r="W3444" s="82"/>
      <c r="X3444" s="82"/>
      <c r="Y3444" s="82"/>
      <c r="Z3444" s="82"/>
      <c r="AA3444" s="82"/>
      <c r="AB3444" s="82"/>
      <c r="AC3444" s="82"/>
      <c r="AD3444" s="82"/>
      <c r="AE3444" s="82"/>
      <c r="AF3444" s="82"/>
      <c r="AG3444" s="82"/>
      <c r="AH3444" s="82"/>
      <c r="AI3444" s="82"/>
      <c r="AJ3444" s="82"/>
      <c r="AK3444" s="82"/>
      <c r="AL3444" s="82"/>
      <c r="AM3444" s="82"/>
      <c r="AN3444" s="82">
        <f>IFERROR(__xludf.DUMMYFUNCTION("""COMPUTED_VALUE"""),0.0)</f>
        <v>0</v>
      </c>
      <c r="AO3444" s="82">
        <f>IFERROR(__xludf.DUMMYFUNCTION("""COMPUTED_VALUE"""),0.0)</f>
        <v>0</v>
      </c>
      <c r="AP3444" s="82">
        <f>IFERROR(__xludf.DUMMYFUNCTION("""COMPUTED_VALUE"""),0.0)</f>
        <v>0</v>
      </c>
      <c r="AQ3444" s="82">
        <f>IFERROR(__xludf.DUMMYFUNCTION("""COMPUTED_VALUE"""),0.0)</f>
        <v>0</v>
      </c>
      <c r="AR3444" s="82">
        <f>IFERROR(__xludf.DUMMYFUNCTION("""COMPUTED_VALUE"""),0.0)</f>
        <v>0</v>
      </c>
      <c r="AS3444" s="82"/>
      <c r="AT3444" s="82">
        <f>IFERROR(__xludf.DUMMYFUNCTION("""COMPUTED_VALUE"""),0.0)</f>
        <v>0</v>
      </c>
      <c r="AU3444" s="82"/>
      <c r="AV3444" s="82"/>
      <c r="AW3444" s="82" t="str">
        <f t="shared" si="1"/>
        <v/>
      </c>
      <c r="AX3444" s="83" t="str">
        <f t="array" ref="AX3444">IFERROR(DGET('SBV Import'!A:G,"SBV",{"RSC ID","Tier";B3444,A3444}))</f>
        <v/>
      </c>
      <c r="AY3444" s="82" t="str">
        <f t="shared" si="2"/>
        <v/>
      </c>
      <c r="AZ3444" s="82"/>
      <c r="BA3444" s="84" t="s">
        <v>152</v>
      </c>
      <c r="BB3444" s="84" t="str">
        <f>IFERROR(__xludf.DUMMYFUNCTION("iferror(if(A3444="""",,E3444&gt;=FILTER(Constants!$F$2:$F$10,Constants!$A$2:$A$10=A3444)))"),"")</f>
        <v/>
      </c>
    </row>
    <row r="3445">
      <c r="A3445" s="89"/>
      <c r="B3445" s="87"/>
      <c r="C3445" s="73"/>
      <c r="D3445" s="73"/>
      <c r="E3445" s="82"/>
      <c r="F3445" s="82"/>
      <c r="G3445" s="86"/>
      <c r="H3445" s="86"/>
      <c r="I3445" s="86"/>
      <c r="J3445" s="82"/>
      <c r="K3445" s="82"/>
      <c r="L3445" s="82"/>
      <c r="M3445" s="82"/>
      <c r="N3445" s="82"/>
      <c r="O3445" s="82"/>
      <c r="P3445" s="82"/>
      <c r="Q3445" s="82"/>
      <c r="R3445" s="82"/>
      <c r="S3445" s="82"/>
      <c r="T3445" s="82"/>
      <c r="U3445" s="82"/>
      <c r="V3445" s="82"/>
      <c r="W3445" s="82"/>
      <c r="X3445" s="82"/>
      <c r="Y3445" s="82"/>
      <c r="Z3445" s="82"/>
      <c r="AA3445" s="82"/>
      <c r="AB3445" s="82"/>
      <c r="AC3445" s="82"/>
      <c r="AD3445" s="82"/>
      <c r="AE3445" s="82"/>
      <c r="AF3445" s="82"/>
      <c r="AG3445" s="82"/>
      <c r="AH3445" s="82"/>
      <c r="AI3445" s="82"/>
      <c r="AJ3445" s="82"/>
      <c r="AK3445" s="82"/>
      <c r="AL3445" s="82"/>
      <c r="AM3445" s="82"/>
      <c r="AN3445" s="82">
        <f>IFERROR(__xludf.DUMMYFUNCTION("""COMPUTED_VALUE"""),0.0)</f>
        <v>0</v>
      </c>
      <c r="AO3445" s="82">
        <f>IFERROR(__xludf.DUMMYFUNCTION("""COMPUTED_VALUE"""),0.0)</f>
        <v>0</v>
      </c>
      <c r="AP3445" s="82">
        <f>IFERROR(__xludf.DUMMYFUNCTION("""COMPUTED_VALUE"""),0.0)</f>
        <v>0</v>
      </c>
      <c r="AQ3445" s="82">
        <f>IFERROR(__xludf.DUMMYFUNCTION("""COMPUTED_VALUE"""),0.0)</f>
        <v>0</v>
      </c>
      <c r="AR3445" s="82">
        <f>IFERROR(__xludf.DUMMYFUNCTION("""COMPUTED_VALUE"""),0.0)</f>
        <v>0</v>
      </c>
      <c r="AS3445" s="82"/>
      <c r="AT3445" s="82">
        <f>IFERROR(__xludf.DUMMYFUNCTION("""COMPUTED_VALUE"""),0.0)</f>
        <v>0</v>
      </c>
      <c r="AU3445" s="82"/>
      <c r="AV3445" s="82"/>
      <c r="AW3445" s="82" t="str">
        <f t="shared" si="1"/>
        <v/>
      </c>
      <c r="AX3445" s="83" t="str">
        <f t="array" ref="AX3445">IFERROR(DGET('SBV Import'!A:G,"SBV",{"RSC ID","Tier";B3445,A3445}))</f>
        <v/>
      </c>
      <c r="AY3445" s="82" t="str">
        <f t="shared" si="2"/>
        <v/>
      </c>
      <c r="AZ3445" s="82"/>
      <c r="BA3445" s="84" t="s">
        <v>152</v>
      </c>
      <c r="BB3445" s="84" t="str">
        <f>IFERROR(__xludf.DUMMYFUNCTION("iferror(if(A3445="""",,E3445&gt;=FILTER(Constants!$F$2:$F$10,Constants!$A$2:$A$10=A3445)))"),"")</f>
        <v/>
      </c>
    </row>
    <row r="3446">
      <c r="A3446" s="89"/>
      <c r="B3446" s="87"/>
      <c r="C3446" s="73"/>
      <c r="D3446" s="73"/>
      <c r="E3446" s="82"/>
      <c r="F3446" s="82"/>
      <c r="G3446" s="86"/>
      <c r="H3446" s="86"/>
      <c r="I3446" s="86"/>
      <c r="J3446" s="82"/>
      <c r="K3446" s="82"/>
      <c r="L3446" s="82"/>
      <c r="M3446" s="82"/>
      <c r="N3446" s="82"/>
      <c r="O3446" s="82"/>
      <c r="P3446" s="82"/>
      <c r="Q3446" s="82"/>
      <c r="R3446" s="82"/>
      <c r="S3446" s="82"/>
      <c r="T3446" s="82"/>
      <c r="U3446" s="82"/>
      <c r="V3446" s="82"/>
      <c r="W3446" s="82"/>
      <c r="X3446" s="82"/>
      <c r="Y3446" s="82"/>
      <c r="Z3446" s="82"/>
      <c r="AA3446" s="82"/>
      <c r="AB3446" s="82"/>
      <c r="AC3446" s="82"/>
      <c r="AD3446" s="82"/>
      <c r="AE3446" s="82"/>
      <c r="AF3446" s="82"/>
      <c r="AG3446" s="82"/>
      <c r="AH3446" s="82"/>
      <c r="AI3446" s="82"/>
      <c r="AJ3446" s="82"/>
      <c r="AK3446" s="82"/>
      <c r="AL3446" s="82"/>
      <c r="AM3446" s="82"/>
      <c r="AN3446" s="82">
        <f>IFERROR(__xludf.DUMMYFUNCTION("""COMPUTED_VALUE"""),0.0)</f>
        <v>0</v>
      </c>
      <c r="AO3446" s="82">
        <f>IFERROR(__xludf.DUMMYFUNCTION("""COMPUTED_VALUE"""),0.0)</f>
        <v>0</v>
      </c>
      <c r="AP3446" s="82">
        <f>IFERROR(__xludf.DUMMYFUNCTION("""COMPUTED_VALUE"""),0.0)</f>
        <v>0</v>
      </c>
      <c r="AQ3446" s="82">
        <f>IFERROR(__xludf.DUMMYFUNCTION("""COMPUTED_VALUE"""),0.0)</f>
        <v>0</v>
      </c>
      <c r="AR3446" s="82">
        <f>IFERROR(__xludf.DUMMYFUNCTION("""COMPUTED_VALUE"""),0.0)</f>
        <v>0</v>
      </c>
      <c r="AS3446" s="82"/>
      <c r="AT3446" s="82">
        <f>IFERROR(__xludf.DUMMYFUNCTION("""COMPUTED_VALUE"""),0.0)</f>
        <v>0</v>
      </c>
      <c r="AU3446" s="82"/>
      <c r="AV3446" s="82"/>
      <c r="AW3446" s="82" t="str">
        <f t="shared" si="1"/>
        <v/>
      </c>
      <c r="AX3446" s="83" t="str">
        <f t="array" ref="AX3446">IFERROR(DGET('SBV Import'!A:G,"SBV",{"RSC ID","Tier";B3446,A3446}))</f>
        <v/>
      </c>
      <c r="AY3446" s="82" t="str">
        <f t="shared" si="2"/>
        <v/>
      </c>
      <c r="AZ3446" s="82"/>
      <c r="BA3446" s="84" t="s">
        <v>152</v>
      </c>
      <c r="BB3446" s="84" t="str">
        <f>IFERROR(__xludf.DUMMYFUNCTION("iferror(if(A3446="""",,E3446&gt;=FILTER(Constants!$F$2:$F$10,Constants!$A$2:$A$10=A3446)))"),"")</f>
        <v/>
      </c>
    </row>
    <row r="3447">
      <c r="A3447" s="89"/>
      <c r="B3447" s="87"/>
      <c r="C3447" s="73"/>
      <c r="D3447" s="73"/>
      <c r="E3447" s="82"/>
      <c r="F3447" s="82"/>
      <c r="G3447" s="86"/>
      <c r="H3447" s="86"/>
      <c r="I3447" s="86"/>
      <c r="J3447" s="82"/>
      <c r="K3447" s="82"/>
      <c r="L3447" s="82"/>
      <c r="M3447" s="82"/>
      <c r="N3447" s="82"/>
      <c r="O3447" s="82"/>
      <c r="P3447" s="82"/>
      <c r="Q3447" s="82"/>
      <c r="R3447" s="82"/>
      <c r="S3447" s="82"/>
      <c r="T3447" s="82"/>
      <c r="U3447" s="82"/>
      <c r="V3447" s="82"/>
      <c r="W3447" s="82"/>
      <c r="X3447" s="82"/>
      <c r="Y3447" s="82"/>
      <c r="Z3447" s="82"/>
      <c r="AA3447" s="82"/>
      <c r="AB3447" s="82"/>
      <c r="AC3447" s="82"/>
      <c r="AD3447" s="82"/>
      <c r="AE3447" s="82"/>
      <c r="AF3447" s="82"/>
      <c r="AG3447" s="82"/>
      <c r="AH3447" s="82"/>
      <c r="AI3447" s="82"/>
      <c r="AJ3447" s="82"/>
      <c r="AK3447" s="82"/>
      <c r="AL3447" s="82"/>
      <c r="AM3447" s="82"/>
      <c r="AN3447" s="82">
        <f>IFERROR(__xludf.DUMMYFUNCTION("""COMPUTED_VALUE"""),0.0)</f>
        <v>0</v>
      </c>
      <c r="AO3447" s="82">
        <f>IFERROR(__xludf.DUMMYFUNCTION("""COMPUTED_VALUE"""),0.0)</f>
        <v>0</v>
      </c>
      <c r="AP3447" s="82">
        <f>IFERROR(__xludf.DUMMYFUNCTION("""COMPUTED_VALUE"""),0.0)</f>
        <v>0</v>
      </c>
      <c r="AQ3447" s="82">
        <f>IFERROR(__xludf.DUMMYFUNCTION("""COMPUTED_VALUE"""),0.0)</f>
        <v>0</v>
      </c>
      <c r="AR3447" s="82">
        <f>IFERROR(__xludf.DUMMYFUNCTION("""COMPUTED_VALUE"""),0.0)</f>
        <v>0</v>
      </c>
      <c r="AS3447" s="82"/>
      <c r="AT3447" s="82">
        <f>IFERROR(__xludf.DUMMYFUNCTION("""COMPUTED_VALUE"""),0.0)</f>
        <v>0</v>
      </c>
      <c r="AU3447" s="82"/>
      <c r="AV3447" s="82"/>
      <c r="AW3447" s="82" t="str">
        <f t="shared" si="1"/>
        <v/>
      </c>
      <c r="AX3447" s="83" t="str">
        <f t="array" ref="AX3447">IFERROR(DGET('SBV Import'!A:G,"SBV",{"RSC ID","Tier";B3447,A3447}))</f>
        <v/>
      </c>
      <c r="AY3447" s="82" t="str">
        <f t="shared" si="2"/>
        <v/>
      </c>
      <c r="AZ3447" s="82"/>
      <c r="BA3447" s="84" t="s">
        <v>152</v>
      </c>
      <c r="BB3447" s="84" t="str">
        <f>IFERROR(__xludf.DUMMYFUNCTION("iferror(if(A3447="""",,E3447&gt;=FILTER(Constants!$F$2:$F$10,Constants!$A$2:$A$10=A3447)))"),"")</f>
        <v/>
      </c>
    </row>
    <row r="3448">
      <c r="A3448" s="89"/>
      <c r="B3448" s="87"/>
      <c r="C3448" s="73"/>
      <c r="D3448" s="73"/>
      <c r="E3448" s="82"/>
      <c r="F3448" s="82"/>
      <c r="G3448" s="86"/>
      <c r="H3448" s="86"/>
      <c r="I3448" s="86"/>
      <c r="J3448" s="82"/>
      <c r="K3448" s="82"/>
      <c r="L3448" s="82"/>
      <c r="M3448" s="82"/>
      <c r="N3448" s="82"/>
      <c r="O3448" s="82"/>
      <c r="P3448" s="82"/>
      <c r="Q3448" s="82"/>
      <c r="R3448" s="82"/>
      <c r="S3448" s="82"/>
      <c r="T3448" s="82"/>
      <c r="U3448" s="82"/>
      <c r="V3448" s="82"/>
      <c r="W3448" s="82"/>
      <c r="X3448" s="82"/>
      <c r="Y3448" s="82"/>
      <c r="Z3448" s="82"/>
      <c r="AA3448" s="82"/>
      <c r="AB3448" s="82"/>
      <c r="AC3448" s="82"/>
      <c r="AD3448" s="82"/>
      <c r="AE3448" s="82"/>
      <c r="AF3448" s="82"/>
      <c r="AG3448" s="82"/>
      <c r="AH3448" s="82"/>
      <c r="AI3448" s="82"/>
      <c r="AJ3448" s="82"/>
      <c r="AK3448" s="82"/>
      <c r="AL3448" s="82"/>
      <c r="AM3448" s="82"/>
      <c r="AN3448" s="82">
        <f>IFERROR(__xludf.DUMMYFUNCTION("""COMPUTED_VALUE"""),0.0)</f>
        <v>0</v>
      </c>
      <c r="AO3448" s="82">
        <f>IFERROR(__xludf.DUMMYFUNCTION("""COMPUTED_VALUE"""),0.0)</f>
        <v>0</v>
      </c>
      <c r="AP3448" s="82">
        <f>IFERROR(__xludf.DUMMYFUNCTION("""COMPUTED_VALUE"""),0.0)</f>
        <v>0</v>
      </c>
      <c r="AQ3448" s="82">
        <f>IFERROR(__xludf.DUMMYFUNCTION("""COMPUTED_VALUE"""),0.0)</f>
        <v>0</v>
      </c>
      <c r="AR3448" s="82">
        <f>IFERROR(__xludf.DUMMYFUNCTION("""COMPUTED_VALUE"""),0.0)</f>
        <v>0</v>
      </c>
      <c r="AS3448" s="82"/>
      <c r="AT3448" s="82">
        <f>IFERROR(__xludf.DUMMYFUNCTION("""COMPUTED_VALUE"""),0.0)</f>
        <v>0</v>
      </c>
      <c r="AU3448" s="82"/>
      <c r="AV3448" s="82"/>
      <c r="AW3448" s="82" t="str">
        <f t="shared" si="1"/>
        <v/>
      </c>
      <c r="AX3448" s="83" t="str">
        <f t="array" ref="AX3448">IFERROR(DGET('SBV Import'!A:G,"SBV",{"RSC ID","Tier";B3448,A3448}))</f>
        <v/>
      </c>
      <c r="AY3448" s="82" t="str">
        <f t="shared" si="2"/>
        <v/>
      </c>
      <c r="AZ3448" s="82"/>
      <c r="BA3448" s="84" t="s">
        <v>152</v>
      </c>
      <c r="BB3448" s="84" t="str">
        <f>IFERROR(__xludf.DUMMYFUNCTION("iferror(if(A3448="""",,E3448&gt;=FILTER(Constants!$F$2:$F$10,Constants!$A$2:$A$10=A3448)))"),"")</f>
        <v/>
      </c>
    </row>
    <row r="3449">
      <c r="A3449" s="89"/>
      <c r="B3449" s="87"/>
      <c r="C3449" s="73"/>
      <c r="D3449" s="73"/>
      <c r="E3449" s="82"/>
      <c r="F3449" s="82"/>
      <c r="G3449" s="86"/>
      <c r="H3449" s="86"/>
      <c r="I3449" s="86"/>
      <c r="J3449" s="82"/>
      <c r="K3449" s="82"/>
      <c r="L3449" s="82"/>
      <c r="M3449" s="82"/>
      <c r="N3449" s="82"/>
      <c r="O3449" s="82"/>
      <c r="P3449" s="82"/>
      <c r="Q3449" s="82"/>
      <c r="R3449" s="82"/>
      <c r="S3449" s="82"/>
      <c r="T3449" s="82"/>
      <c r="U3449" s="82"/>
      <c r="V3449" s="82"/>
      <c r="W3449" s="82"/>
      <c r="X3449" s="82"/>
      <c r="Y3449" s="82"/>
      <c r="Z3449" s="82"/>
      <c r="AA3449" s="82"/>
      <c r="AB3449" s="82"/>
      <c r="AC3449" s="82"/>
      <c r="AD3449" s="82"/>
      <c r="AE3449" s="82"/>
      <c r="AF3449" s="82"/>
      <c r="AG3449" s="82"/>
      <c r="AH3449" s="82"/>
      <c r="AI3449" s="82"/>
      <c r="AJ3449" s="82"/>
      <c r="AK3449" s="82"/>
      <c r="AL3449" s="82"/>
      <c r="AM3449" s="82"/>
      <c r="AN3449" s="82">
        <f>IFERROR(__xludf.DUMMYFUNCTION("""COMPUTED_VALUE"""),0.0)</f>
        <v>0</v>
      </c>
      <c r="AO3449" s="82">
        <f>IFERROR(__xludf.DUMMYFUNCTION("""COMPUTED_VALUE"""),0.0)</f>
        <v>0</v>
      </c>
      <c r="AP3449" s="82">
        <f>IFERROR(__xludf.DUMMYFUNCTION("""COMPUTED_VALUE"""),0.0)</f>
        <v>0</v>
      </c>
      <c r="AQ3449" s="82">
        <f>IFERROR(__xludf.DUMMYFUNCTION("""COMPUTED_VALUE"""),0.0)</f>
        <v>0</v>
      </c>
      <c r="AR3449" s="82">
        <f>IFERROR(__xludf.DUMMYFUNCTION("""COMPUTED_VALUE"""),0.0)</f>
        <v>0</v>
      </c>
      <c r="AS3449" s="82"/>
      <c r="AT3449" s="82">
        <f>IFERROR(__xludf.DUMMYFUNCTION("""COMPUTED_VALUE"""),0.0)</f>
        <v>0</v>
      </c>
      <c r="AU3449" s="82"/>
      <c r="AV3449" s="82"/>
      <c r="AW3449" s="82" t="str">
        <f t="shared" si="1"/>
        <v/>
      </c>
      <c r="AX3449" s="83" t="str">
        <f t="array" ref="AX3449">IFERROR(DGET('SBV Import'!A:G,"SBV",{"RSC ID","Tier";B3449,A3449}))</f>
        <v/>
      </c>
      <c r="AY3449" s="82" t="str">
        <f t="shared" si="2"/>
        <v/>
      </c>
      <c r="AZ3449" s="82"/>
      <c r="BA3449" s="84" t="s">
        <v>152</v>
      </c>
      <c r="BB3449" s="84" t="str">
        <f>IFERROR(__xludf.DUMMYFUNCTION("iferror(if(A3449="""",,E3449&gt;=FILTER(Constants!$F$2:$F$10,Constants!$A$2:$A$10=A3449)))"),"")</f>
        <v/>
      </c>
    </row>
    <row r="3450">
      <c r="A3450" s="89"/>
      <c r="B3450" s="87"/>
      <c r="C3450" s="73"/>
      <c r="D3450" s="73"/>
      <c r="E3450" s="82"/>
      <c r="F3450" s="82"/>
      <c r="G3450" s="86"/>
      <c r="H3450" s="86"/>
      <c r="I3450" s="86"/>
      <c r="J3450" s="82"/>
      <c r="K3450" s="82"/>
      <c r="L3450" s="82"/>
      <c r="M3450" s="82"/>
      <c r="N3450" s="82"/>
      <c r="O3450" s="82"/>
      <c r="P3450" s="82"/>
      <c r="Q3450" s="82"/>
      <c r="R3450" s="82"/>
      <c r="S3450" s="82"/>
      <c r="T3450" s="82"/>
      <c r="U3450" s="82"/>
      <c r="V3450" s="82"/>
      <c r="W3450" s="82"/>
      <c r="X3450" s="82"/>
      <c r="Y3450" s="82"/>
      <c r="Z3450" s="82"/>
      <c r="AA3450" s="82"/>
      <c r="AB3450" s="82"/>
      <c r="AC3450" s="82"/>
      <c r="AD3450" s="82"/>
      <c r="AE3450" s="82"/>
      <c r="AF3450" s="82"/>
      <c r="AG3450" s="82"/>
      <c r="AH3450" s="82"/>
      <c r="AI3450" s="82"/>
      <c r="AJ3450" s="82"/>
      <c r="AK3450" s="82"/>
      <c r="AL3450" s="82"/>
      <c r="AM3450" s="82"/>
      <c r="AN3450" s="82">
        <f>IFERROR(__xludf.DUMMYFUNCTION("""COMPUTED_VALUE"""),0.0)</f>
        <v>0</v>
      </c>
      <c r="AO3450" s="82">
        <f>IFERROR(__xludf.DUMMYFUNCTION("""COMPUTED_VALUE"""),0.0)</f>
        <v>0</v>
      </c>
      <c r="AP3450" s="82">
        <f>IFERROR(__xludf.DUMMYFUNCTION("""COMPUTED_VALUE"""),0.0)</f>
        <v>0</v>
      </c>
      <c r="AQ3450" s="82">
        <f>IFERROR(__xludf.DUMMYFUNCTION("""COMPUTED_VALUE"""),0.0)</f>
        <v>0</v>
      </c>
      <c r="AR3450" s="82">
        <f>IFERROR(__xludf.DUMMYFUNCTION("""COMPUTED_VALUE"""),0.0)</f>
        <v>0</v>
      </c>
      <c r="AS3450" s="82"/>
      <c r="AT3450" s="82">
        <f>IFERROR(__xludf.DUMMYFUNCTION("""COMPUTED_VALUE"""),0.0)</f>
        <v>0</v>
      </c>
      <c r="AU3450" s="82"/>
      <c r="AV3450" s="82"/>
      <c r="AW3450" s="82" t="str">
        <f t="shared" si="1"/>
        <v/>
      </c>
      <c r="AX3450" s="83" t="str">
        <f t="array" ref="AX3450">IFERROR(DGET('SBV Import'!A:G,"SBV",{"RSC ID","Tier";B3450,A3450}))</f>
        <v/>
      </c>
      <c r="AY3450" s="82" t="str">
        <f t="shared" si="2"/>
        <v/>
      </c>
      <c r="AZ3450" s="82"/>
      <c r="BA3450" s="84" t="s">
        <v>152</v>
      </c>
      <c r="BB3450" s="84" t="str">
        <f>IFERROR(__xludf.DUMMYFUNCTION("iferror(if(A3450="""",,E3450&gt;=FILTER(Constants!$F$2:$F$10,Constants!$A$2:$A$10=A3450)))"),"")</f>
        <v/>
      </c>
    </row>
    <row r="3451">
      <c r="A3451" s="89"/>
      <c r="B3451" s="87"/>
      <c r="C3451" s="73"/>
      <c r="D3451" s="73"/>
      <c r="E3451" s="82"/>
      <c r="F3451" s="82"/>
      <c r="G3451" s="86"/>
      <c r="H3451" s="86"/>
      <c r="I3451" s="86"/>
      <c r="J3451" s="82"/>
      <c r="K3451" s="82"/>
      <c r="L3451" s="82"/>
      <c r="M3451" s="82"/>
      <c r="N3451" s="82"/>
      <c r="O3451" s="82"/>
      <c r="P3451" s="82"/>
      <c r="Q3451" s="82"/>
      <c r="R3451" s="82"/>
      <c r="S3451" s="82"/>
      <c r="T3451" s="82"/>
      <c r="U3451" s="82"/>
      <c r="V3451" s="82"/>
      <c r="W3451" s="82"/>
      <c r="X3451" s="82"/>
      <c r="Y3451" s="82"/>
      <c r="Z3451" s="82"/>
      <c r="AA3451" s="82"/>
      <c r="AB3451" s="82"/>
      <c r="AC3451" s="82"/>
      <c r="AD3451" s="82"/>
      <c r="AE3451" s="82"/>
      <c r="AF3451" s="82"/>
      <c r="AG3451" s="82"/>
      <c r="AH3451" s="82"/>
      <c r="AI3451" s="82"/>
      <c r="AJ3451" s="82"/>
      <c r="AK3451" s="82"/>
      <c r="AL3451" s="82"/>
      <c r="AM3451" s="82"/>
      <c r="AN3451" s="82">
        <f>IFERROR(__xludf.DUMMYFUNCTION("""COMPUTED_VALUE"""),0.0)</f>
        <v>0</v>
      </c>
      <c r="AO3451" s="82">
        <f>IFERROR(__xludf.DUMMYFUNCTION("""COMPUTED_VALUE"""),0.0)</f>
        <v>0</v>
      </c>
      <c r="AP3451" s="82">
        <f>IFERROR(__xludf.DUMMYFUNCTION("""COMPUTED_VALUE"""),0.0)</f>
        <v>0</v>
      </c>
      <c r="AQ3451" s="82">
        <f>IFERROR(__xludf.DUMMYFUNCTION("""COMPUTED_VALUE"""),0.0)</f>
        <v>0</v>
      </c>
      <c r="AR3451" s="82">
        <f>IFERROR(__xludf.DUMMYFUNCTION("""COMPUTED_VALUE"""),0.0)</f>
        <v>0</v>
      </c>
      <c r="AS3451" s="82"/>
      <c r="AT3451" s="82">
        <f>IFERROR(__xludf.DUMMYFUNCTION("""COMPUTED_VALUE"""),0.0)</f>
        <v>0</v>
      </c>
      <c r="AU3451" s="82"/>
      <c r="AV3451" s="82"/>
      <c r="AW3451" s="82" t="str">
        <f t="shared" si="1"/>
        <v/>
      </c>
      <c r="AX3451" s="83" t="str">
        <f t="array" ref="AX3451">IFERROR(DGET('SBV Import'!A:G,"SBV",{"RSC ID","Tier";B3451,A3451}))</f>
        <v/>
      </c>
      <c r="AY3451" s="82" t="str">
        <f t="shared" si="2"/>
        <v/>
      </c>
      <c r="AZ3451" s="82"/>
      <c r="BA3451" s="84" t="s">
        <v>152</v>
      </c>
      <c r="BB3451" s="84" t="str">
        <f>IFERROR(__xludf.DUMMYFUNCTION("iferror(if(A3451="""",,E3451&gt;=FILTER(Constants!$F$2:$F$10,Constants!$A$2:$A$10=A3451)))"),"")</f>
        <v/>
      </c>
    </row>
    <row r="3452">
      <c r="A3452" s="89"/>
      <c r="B3452" s="87"/>
      <c r="C3452" s="73"/>
      <c r="D3452" s="73"/>
      <c r="E3452" s="82"/>
      <c r="F3452" s="82"/>
      <c r="G3452" s="86"/>
      <c r="H3452" s="86"/>
      <c r="I3452" s="86"/>
      <c r="J3452" s="82"/>
      <c r="K3452" s="82"/>
      <c r="L3452" s="82"/>
      <c r="M3452" s="82"/>
      <c r="N3452" s="82"/>
      <c r="O3452" s="82"/>
      <c r="P3452" s="82"/>
      <c r="Q3452" s="82"/>
      <c r="R3452" s="82"/>
      <c r="S3452" s="82"/>
      <c r="T3452" s="82"/>
      <c r="U3452" s="82"/>
      <c r="V3452" s="82"/>
      <c r="W3452" s="82"/>
      <c r="X3452" s="82"/>
      <c r="Y3452" s="82"/>
      <c r="Z3452" s="82"/>
      <c r="AA3452" s="82"/>
      <c r="AB3452" s="82"/>
      <c r="AC3452" s="82"/>
      <c r="AD3452" s="82"/>
      <c r="AE3452" s="82"/>
      <c r="AF3452" s="82"/>
      <c r="AG3452" s="82"/>
      <c r="AH3452" s="82"/>
      <c r="AI3452" s="82"/>
      <c r="AJ3452" s="82"/>
      <c r="AK3452" s="82"/>
      <c r="AL3452" s="82"/>
      <c r="AM3452" s="82"/>
      <c r="AN3452" s="82">
        <f>IFERROR(__xludf.DUMMYFUNCTION("""COMPUTED_VALUE"""),0.0)</f>
        <v>0</v>
      </c>
      <c r="AO3452" s="82">
        <f>IFERROR(__xludf.DUMMYFUNCTION("""COMPUTED_VALUE"""),0.0)</f>
        <v>0</v>
      </c>
      <c r="AP3452" s="82">
        <f>IFERROR(__xludf.DUMMYFUNCTION("""COMPUTED_VALUE"""),0.0)</f>
        <v>0</v>
      </c>
      <c r="AQ3452" s="82">
        <f>IFERROR(__xludf.DUMMYFUNCTION("""COMPUTED_VALUE"""),0.0)</f>
        <v>0</v>
      </c>
      <c r="AR3452" s="82">
        <f>IFERROR(__xludf.DUMMYFUNCTION("""COMPUTED_VALUE"""),0.0)</f>
        <v>0</v>
      </c>
      <c r="AS3452" s="82"/>
      <c r="AT3452" s="82">
        <f>IFERROR(__xludf.DUMMYFUNCTION("""COMPUTED_VALUE"""),0.0)</f>
        <v>0</v>
      </c>
      <c r="AU3452" s="82"/>
      <c r="AV3452" s="82"/>
      <c r="AW3452" s="82" t="str">
        <f t="shared" si="1"/>
        <v/>
      </c>
      <c r="AX3452" s="83" t="str">
        <f t="array" ref="AX3452">IFERROR(DGET('SBV Import'!A:G,"SBV",{"RSC ID","Tier";B3452,A3452}))</f>
        <v/>
      </c>
      <c r="AY3452" s="82" t="str">
        <f t="shared" si="2"/>
        <v/>
      </c>
      <c r="AZ3452" s="82"/>
      <c r="BA3452" s="84" t="s">
        <v>152</v>
      </c>
      <c r="BB3452" s="84" t="str">
        <f>IFERROR(__xludf.DUMMYFUNCTION("iferror(if(A3452="""",,E3452&gt;=FILTER(Constants!$F$2:$F$10,Constants!$A$2:$A$10=A3452)))"),"")</f>
        <v/>
      </c>
    </row>
    <row r="3453">
      <c r="A3453" s="89"/>
      <c r="B3453" s="87"/>
      <c r="C3453" s="73"/>
      <c r="D3453" s="73"/>
      <c r="E3453" s="82"/>
      <c r="F3453" s="82"/>
      <c r="G3453" s="86"/>
      <c r="H3453" s="86"/>
      <c r="I3453" s="86"/>
      <c r="J3453" s="82"/>
      <c r="K3453" s="82"/>
      <c r="L3453" s="82"/>
      <c r="M3453" s="82"/>
      <c r="N3453" s="82"/>
      <c r="O3453" s="82"/>
      <c r="P3453" s="82"/>
      <c r="Q3453" s="82"/>
      <c r="R3453" s="82"/>
      <c r="S3453" s="82"/>
      <c r="T3453" s="82"/>
      <c r="U3453" s="82"/>
      <c r="V3453" s="82"/>
      <c r="W3453" s="82"/>
      <c r="X3453" s="82"/>
      <c r="Y3453" s="82"/>
      <c r="Z3453" s="82"/>
      <c r="AA3453" s="82"/>
      <c r="AB3453" s="82"/>
      <c r="AC3453" s="82"/>
      <c r="AD3453" s="82"/>
      <c r="AE3453" s="82"/>
      <c r="AF3453" s="82"/>
      <c r="AG3453" s="82"/>
      <c r="AH3453" s="82"/>
      <c r="AI3453" s="82"/>
      <c r="AJ3453" s="82"/>
      <c r="AK3453" s="82"/>
      <c r="AL3453" s="82"/>
      <c r="AM3453" s="82"/>
      <c r="AN3453" s="82">
        <f>IFERROR(__xludf.DUMMYFUNCTION("""COMPUTED_VALUE"""),0.0)</f>
        <v>0</v>
      </c>
      <c r="AO3453" s="82">
        <f>IFERROR(__xludf.DUMMYFUNCTION("""COMPUTED_VALUE"""),0.0)</f>
        <v>0</v>
      </c>
      <c r="AP3453" s="82">
        <f>IFERROR(__xludf.DUMMYFUNCTION("""COMPUTED_VALUE"""),0.0)</f>
        <v>0</v>
      </c>
      <c r="AQ3453" s="82">
        <f>IFERROR(__xludf.DUMMYFUNCTION("""COMPUTED_VALUE"""),0.0)</f>
        <v>0</v>
      </c>
      <c r="AR3453" s="82">
        <f>IFERROR(__xludf.DUMMYFUNCTION("""COMPUTED_VALUE"""),0.0)</f>
        <v>0</v>
      </c>
      <c r="AS3453" s="82"/>
      <c r="AT3453" s="82">
        <f>IFERROR(__xludf.DUMMYFUNCTION("""COMPUTED_VALUE"""),0.0)</f>
        <v>0</v>
      </c>
      <c r="AU3453" s="82"/>
      <c r="AV3453" s="82"/>
      <c r="AW3453" s="82" t="str">
        <f t="shared" si="1"/>
        <v/>
      </c>
      <c r="AX3453" s="83" t="str">
        <f t="array" ref="AX3453">IFERROR(DGET('SBV Import'!A:G,"SBV",{"RSC ID","Tier";B3453,A3453}))</f>
        <v/>
      </c>
      <c r="AY3453" s="82" t="str">
        <f t="shared" si="2"/>
        <v/>
      </c>
      <c r="AZ3453" s="82"/>
      <c r="BA3453" s="84" t="s">
        <v>152</v>
      </c>
      <c r="BB3453" s="84" t="str">
        <f>IFERROR(__xludf.DUMMYFUNCTION("iferror(if(A3453="""",,E3453&gt;=FILTER(Constants!$F$2:$F$10,Constants!$A$2:$A$10=A3453)))"),"")</f>
        <v/>
      </c>
    </row>
    <row r="3454">
      <c r="A3454" s="89"/>
      <c r="B3454" s="87"/>
      <c r="C3454" s="73"/>
      <c r="D3454" s="73"/>
      <c r="E3454" s="82"/>
      <c r="F3454" s="82"/>
      <c r="G3454" s="86"/>
      <c r="H3454" s="86"/>
      <c r="I3454" s="86"/>
      <c r="J3454" s="82"/>
      <c r="K3454" s="82"/>
      <c r="L3454" s="82"/>
      <c r="M3454" s="82"/>
      <c r="N3454" s="82"/>
      <c r="O3454" s="82"/>
      <c r="P3454" s="82"/>
      <c r="Q3454" s="82"/>
      <c r="R3454" s="82"/>
      <c r="S3454" s="82"/>
      <c r="T3454" s="82"/>
      <c r="U3454" s="82"/>
      <c r="V3454" s="82"/>
      <c r="W3454" s="82"/>
      <c r="X3454" s="82"/>
      <c r="Y3454" s="82"/>
      <c r="Z3454" s="82"/>
      <c r="AA3454" s="82"/>
      <c r="AB3454" s="82"/>
      <c r="AC3454" s="82"/>
      <c r="AD3454" s="82"/>
      <c r="AE3454" s="82"/>
      <c r="AF3454" s="82"/>
      <c r="AG3454" s="82"/>
      <c r="AH3454" s="82"/>
      <c r="AI3454" s="82"/>
      <c r="AJ3454" s="82"/>
      <c r="AK3454" s="82"/>
      <c r="AL3454" s="82"/>
      <c r="AM3454" s="82"/>
      <c r="AN3454" s="82">
        <f>IFERROR(__xludf.DUMMYFUNCTION("""COMPUTED_VALUE"""),0.0)</f>
        <v>0</v>
      </c>
      <c r="AO3454" s="82">
        <f>IFERROR(__xludf.DUMMYFUNCTION("""COMPUTED_VALUE"""),0.0)</f>
        <v>0</v>
      </c>
      <c r="AP3454" s="82">
        <f>IFERROR(__xludf.DUMMYFUNCTION("""COMPUTED_VALUE"""),0.0)</f>
        <v>0</v>
      </c>
      <c r="AQ3454" s="82">
        <f>IFERROR(__xludf.DUMMYFUNCTION("""COMPUTED_VALUE"""),0.0)</f>
        <v>0</v>
      </c>
      <c r="AR3454" s="82">
        <f>IFERROR(__xludf.DUMMYFUNCTION("""COMPUTED_VALUE"""),0.0)</f>
        <v>0</v>
      </c>
      <c r="AS3454" s="82"/>
      <c r="AT3454" s="82">
        <f>IFERROR(__xludf.DUMMYFUNCTION("""COMPUTED_VALUE"""),0.0)</f>
        <v>0</v>
      </c>
      <c r="AU3454" s="82"/>
      <c r="AV3454" s="82"/>
      <c r="AW3454" s="82" t="str">
        <f t="shared" si="1"/>
        <v/>
      </c>
      <c r="AX3454" s="83" t="str">
        <f t="array" ref="AX3454">IFERROR(DGET('SBV Import'!A:G,"SBV",{"RSC ID","Tier";B3454,A3454}))</f>
        <v/>
      </c>
      <c r="AY3454" s="82" t="str">
        <f t="shared" si="2"/>
        <v/>
      </c>
      <c r="AZ3454" s="82"/>
      <c r="BA3454" s="84" t="s">
        <v>152</v>
      </c>
      <c r="BB3454" s="84" t="str">
        <f>IFERROR(__xludf.DUMMYFUNCTION("iferror(if(A3454="""",,E3454&gt;=FILTER(Constants!$F$2:$F$10,Constants!$A$2:$A$10=A3454)))"),"")</f>
        <v/>
      </c>
    </row>
    <row r="3455">
      <c r="A3455" s="89"/>
      <c r="B3455" s="87"/>
      <c r="C3455" s="73"/>
      <c r="D3455" s="73"/>
      <c r="E3455" s="82"/>
      <c r="F3455" s="82"/>
      <c r="G3455" s="86"/>
      <c r="H3455" s="86"/>
      <c r="I3455" s="86"/>
      <c r="J3455" s="82"/>
      <c r="K3455" s="82"/>
      <c r="L3455" s="82"/>
      <c r="M3455" s="82"/>
      <c r="N3455" s="82"/>
      <c r="O3455" s="82"/>
      <c r="P3455" s="82"/>
      <c r="Q3455" s="82"/>
      <c r="R3455" s="82"/>
      <c r="S3455" s="82"/>
      <c r="T3455" s="82"/>
      <c r="U3455" s="82"/>
      <c r="V3455" s="82"/>
      <c r="W3455" s="82"/>
      <c r="X3455" s="82"/>
      <c r="Y3455" s="82"/>
      <c r="Z3455" s="82"/>
      <c r="AA3455" s="82"/>
      <c r="AB3455" s="82"/>
      <c r="AC3455" s="82"/>
      <c r="AD3455" s="82"/>
      <c r="AE3455" s="82"/>
      <c r="AF3455" s="82"/>
      <c r="AG3455" s="82"/>
      <c r="AH3455" s="82"/>
      <c r="AI3455" s="82"/>
      <c r="AJ3455" s="82"/>
      <c r="AK3455" s="82"/>
      <c r="AL3455" s="82"/>
      <c r="AM3455" s="82"/>
      <c r="AN3455" s="82">
        <f>IFERROR(__xludf.DUMMYFUNCTION("""COMPUTED_VALUE"""),0.0)</f>
        <v>0</v>
      </c>
      <c r="AO3455" s="82">
        <f>IFERROR(__xludf.DUMMYFUNCTION("""COMPUTED_VALUE"""),0.0)</f>
        <v>0</v>
      </c>
      <c r="AP3455" s="82">
        <f>IFERROR(__xludf.DUMMYFUNCTION("""COMPUTED_VALUE"""),0.0)</f>
        <v>0</v>
      </c>
      <c r="AQ3455" s="82">
        <f>IFERROR(__xludf.DUMMYFUNCTION("""COMPUTED_VALUE"""),0.0)</f>
        <v>0</v>
      </c>
      <c r="AR3455" s="82">
        <f>IFERROR(__xludf.DUMMYFUNCTION("""COMPUTED_VALUE"""),0.0)</f>
        <v>0</v>
      </c>
      <c r="AS3455" s="82"/>
      <c r="AT3455" s="82">
        <f>IFERROR(__xludf.DUMMYFUNCTION("""COMPUTED_VALUE"""),0.0)</f>
        <v>0</v>
      </c>
      <c r="AU3455" s="82"/>
      <c r="AV3455" s="82"/>
      <c r="AW3455" s="82" t="str">
        <f t="shared" si="1"/>
        <v/>
      </c>
      <c r="AX3455" s="83" t="str">
        <f t="array" ref="AX3455">IFERROR(DGET('SBV Import'!A:G,"SBV",{"RSC ID","Tier";B3455,A3455}))</f>
        <v/>
      </c>
      <c r="AY3455" s="82" t="str">
        <f t="shared" si="2"/>
        <v/>
      </c>
      <c r="AZ3455" s="82"/>
      <c r="BA3455" s="84" t="s">
        <v>152</v>
      </c>
      <c r="BB3455" s="84" t="str">
        <f>IFERROR(__xludf.DUMMYFUNCTION("iferror(if(A3455="""",,E3455&gt;=FILTER(Constants!$F$2:$F$10,Constants!$A$2:$A$10=A3455)))"),"")</f>
        <v/>
      </c>
    </row>
    <row r="3456">
      <c r="A3456" s="89"/>
      <c r="B3456" s="87"/>
      <c r="C3456" s="73"/>
      <c r="D3456" s="73"/>
      <c r="E3456" s="82"/>
      <c r="F3456" s="82"/>
      <c r="G3456" s="86"/>
      <c r="H3456" s="86"/>
      <c r="I3456" s="86"/>
      <c r="J3456" s="82"/>
      <c r="K3456" s="82"/>
      <c r="L3456" s="82"/>
      <c r="M3456" s="82"/>
      <c r="N3456" s="82"/>
      <c r="O3456" s="82"/>
      <c r="P3456" s="82"/>
      <c r="Q3456" s="82"/>
      <c r="R3456" s="82"/>
      <c r="S3456" s="82"/>
      <c r="T3456" s="82"/>
      <c r="U3456" s="82"/>
      <c r="V3456" s="82"/>
      <c r="W3456" s="82"/>
      <c r="X3456" s="82"/>
      <c r="Y3456" s="82"/>
      <c r="Z3456" s="82"/>
      <c r="AA3456" s="82"/>
      <c r="AB3456" s="82"/>
      <c r="AC3456" s="82"/>
      <c r="AD3456" s="82"/>
      <c r="AE3456" s="82"/>
      <c r="AF3456" s="82"/>
      <c r="AG3456" s="82"/>
      <c r="AH3456" s="82"/>
      <c r="AI3456" s="82"/>
      <c r="AJ3456" s="82"/>
      <c r="AK3456" s="82"/>
      <c r="AL3456" s="82"/>
      <c r="AM3456" s="82"/>
      <c r="AN3456" s="82">
        <f>IFERROR(__xludf.DUMMYFUNCTION("""COMPUTED_VALUE"""),0.0)</f>
        <v>0</v>
      </c>
      <c r="AO3456" s="82">
        <f>IFERROR(__xludf.DUMMYFUNCTION("""COMPUTED_VALUE"""),0.0)</f>
        <v>0</v>
      </c>
      <c r="AP3456" s="82">
        <f>IFERROR(__xludf.DUMMYFUNCTION("""COMPUTED_VALUE"""),0.0)</f>
        <v>0</v>
      </c>
      <c r="AQ3456" s="82">
        <f>IFERROR(__xludf.DUMMYFUNCTION("""COMPUTED_VALUE"""),0.0)</f>
        <v>0</v>
      </c>
      <c r="AR3456" s="82">
        <f>IFERROR(__xludf.DUMMYFUNCTION("""COMPUTED_VALUE"""),0.0)</f>
        <v>0</v>
      </c>
      <c r="AS3456" s="82"/>
      <c r="AT3456" s="82">
        <f>IFERROR(__xludf.DUMMYFUNCTION("""COMPUTED_VALUE"""),0.0)</f>
        <v>0</v>
      </c>
      <c r="AU3456" s="82"/>
      <c r="AV3456" s="82"/>
      <c r="AW3456" s="82" t="str">
        <f t="shared" si="1"/>
        <v/>
      </c>
      <c r="AX3456" s="83" t="str">
        <f t="array" ref="AX3456">IFERROR(DGET('SBV Import'!A:G,"SBV",{"RSC ID","Tier";B3456,A3456}))</f>
        <v/>
      </c>
      <c r="AY3456" s="82" t="str">
        <f t="shared" si="2"/>
        <v/>
      </c>
      <c r="AZ3456" s="82"/>
      <c r="BA3456" s="84" t="s">
        <v>152</v>
      </c>
      <c r="BB3456" s="84" t="str">
        <f>IFERROR(__xludf.DUMMYFUNCTION("iferror(if(A3456="""",,E3456&gt;=FILTER(Constants!$F$2:$F$10,Constants!$A$2:$A$10=A3456)))"),"")</f>
        <v/>
      </c>
    </row>
    <row r="3457">
      <c r="A3457" s="89"/>
      <c r="B3457" s="87"/>
      <c r="C3457" s="73"/>
      <c r="D3457" s="73"/>
      <c r="E3457" s="82"/>
      <c r="F3457" s="82"/>
      <c r="G3457" s="86"/>
      <c r="H3457" s="86"/>
      <c r="I3457" s="86"/>
      <c r="J3457" s="82"/>
      <c r="K3457" s="82"/>
      <c r="L3457" s="82"/>
      <c r="M3457" s="82"/>
      <c r="N3457" s="82"/>
      <c r="O3457" s="82"/>
      <c r="P3457" s="82"/>
      <c r="Q3457" s="82"/>
      <c r="R3457" s="82"/>
      <c r="S3457" s="82"/>
      <c r="T3457" s="82"/>
      <c r="U3457" s="82"/>
      <c r="V3457" s="82"/>
      <c r="W3457" s="82"/>
      <c r="X3457" s="82"/>
      <c r="Y3457" s="82"/>
      <c r="Z3457" s="82"/>
      <c r="AA3457" s="82"/>
      <c r="AB3457" s="82"/>
      <c r="AC3457" s="82"/>
      <c r="AD3457" s="82"/>
      <c r="AE3457" s="82"/>
      <c r="AF3457" s="82"/>
      <c r="AG3457" s="82"/>
      <c r="AH3457" s="82"/>
      <c r="AI3457" s="82"/>
      <c r="AJ3457" s="82"/>
      <c r="AK3457" s="82"/>
      <c r="AL3457" s="82"/>
      <c r="AM3457" s="82"/>
      <c r="AN3457" s="82">
        <f>IFERROR(__xludf.DUMMYFUNCTION("""COMPUTED_VALUE"""),0.0)</f>
        <v>0</v>
      </c>
      <c r="AO3457" s="82">
        <f>IFERROR(__xludf.DUMMYFUNCTION("""COMPUTED_VALUE"""),0.0)</f>
        <v>0</v>
      </c>
      <c r="AP3457" s="82">
        <f>IFERROR(__xludf.DUMMYFUNCTION("""COMPUTED_VALUE"""),0.0)</f>
        <v>0</v>
      </c>
      <c r="AQ3457" s="82">
        <f>IFERROR(__xludf.DUMMYFUNCTION("""COMPUTED_VALUE"""),0.0)</f>
        <v>0</v>
      </c>
      <c r="AR3457" s="82">
        <f>IFERROR(__xludf.DUMMYFUNCTION("""COMPUTED_VALUE"""),0.0)</f>
        <v>0</v>
      </c>
      <c r="AS3457" s="82"/>
      <c r="AT3457" s="82">
        <f>IFERROR(__xludf.DUMMYFUNCTION("""COMPUTED_VALUE"""),0.0)</f>
        <v>0</v>
      </c>
      <c r="AU3457" s="82"/>
      <c r="AV3457" s="82"/>
      <c r="AW3457" s="82" t="str">
        <f t="shared" si="1"/>
        <v/>
      </c>
      <c r="AX3457" s="83" t="str">
        <f t="array" ref="AX3457">IFERROR(DGET('SBV Import'!A:G,"SBV",{"RSC ID","Tier";B3457,A3457}))</f>
        <v/>
      </c>
      <c r="AY3457" s="82" t="str">
        <f t="shared" si="2"/>
        <v/>
      </c>
      <c r="AZ3457" s="82"/>
      <c r="BA3457" s="84" t="s">
        <v>152</v>
      </c>
      <c r="BB3457" s="84" t="str">
        <f>IFERROR(__xludf.DUMMYFUNCTION("iferror(if(A3457="""",,E3457&gt;=FILTER(Constants!$F$2:$F$10,Constants!$A$2:$A$10=A3457)))"),"")</f>
        <v/>
      </c>
    </row>
    <row r="3458">
      <c r="A3458" s="89"/>
      <c r="B3458" s="87"/>
      <c r="C3458" s="73"/>
      <c r="D3458" s="73"/>
      <c r="E3458" s="82"/>
      <c r="F3458" s="82"/>
      <c r="G3458" s="86"/>
      <c r="H3458" s="86"/>
      <c r="I3458" s="86"/>
      <c r="J3458" s="82"/>
      <c r="K3458" s="82"/>
      <c r="L3458" s="82"/>
      <c r="M3458" s="82"/>
      <c r="N3458" s="82"/>
      <c r="O3458" s="82"/>
      <c r="P3458" s="82"/>
      <c r="Q3458" s="82"/>
      <c r="R3458" s="82"/>
      <c r="S3458" s="82"/>
      <c r="T3458" s="82"/>
      <c r="U3458" s="82"/>
      <c r="V3458" s="82"/>
      <c r="W3458" s="82"/>
      <c r="X3458" s="82"/>
      <c r="Y3458" s="82"/>
      <c r="Z3458" s="82"/>
      <c r="AA3458" s="82"/>
      <c r="AB3458" s="82"/>
      <c r="AC3458" s="82"/>
      <c r="AD3458" s="82"/>
      <c r="AE3458" s="82"/>
      <c r="AF3458" s="82"/>
      <c r="AG3458" s="82"/>
      <c r="AH3458" s="82"/>
      <c r="AI3458" s="82"/>
      <c r="AJ3458" s="82"/>
      <c r="AK3458" s="82"/>
      <c r="AL3458" s="82"/>
      <c r="AM3458" s="82"/>
      <c r="AN3458" s="82">
        <f>IFERROR(__xludf.DUMMYFUNCTION("""COMPUTED_VALUE"""),0.0)</f>
        <v>0</v>
      </c>
      <c r="AO3458" s="82">
        <f>IFERROR(__xludf.DUMMYFUNCTION("""COMPUTED_VALUE"""),0.0)</f>
        <v>0</v>
      </c>
      <c r="AP3458" s="82">
        <f>IFERROR(__xludf.DUMMYFUNCTION("""COMPUTED_VALUE"""),0.0)</f>
        <v>0</v>
      </c>
      <c r="AQ3458" s="82">
        <f>IFERROR(__xludf.DUMMYFUNCTION("""COMPUTED_VALUE"""),0.0)</f>
        <v>0</v>
      </c>
      <c r="AR3458" s="82">
        <f>IFERROR(__xludf.DUMMYFUNCTION("""COMPUTED_VALUE"""),0.0)</f>
        <v>0</v>
      </c>
      <c r="AS3458" s="82"/>
      <c r="AT3458" s="82">
        <f>IFERROR(__xludf.DUMMYFUNCTION("""COMPUTED_VALUE"""),0.0)</f>
        <v>0</v>
      </c>
      <c r="AU3458" s="82"/>
      <c r="AV3458" s="82"/>
      <c r="AW3458" s="82" t="str">
        <f t="shared" si="1"/>
        <v/>
      </c>
      <c r="AX3458" s="83" t="str">
        <f t="array" ref="AX3458">IFERROR(DGET('SBV Import'!A:G,"SBV",{"RSC ID","Tier";B3458,A3458}))</f>
        <v/>
      </c>
      <c r="AY3458" s="82" t="str">
        <f t="shared" si="2"/>
        <v/>
      </c>
      <c r="AZ3458" s="82"/>
      <c r="BA3458" s="84" t="s">
        <v>152</v>
      </c>
      <c r="BB3458" s="84" t="str">
        <f>IFERROR(__xludf.DUMMYFUNCTION("iferror(if(A3458="""",,E3458&gt;=FILTER(Constants!$F$2:$F$10,Constants!$A$2:$A$10=A3458)))"),"")</f>
        <v/>
      </c>
    </row>
    <row r="3459">
      <c r="A3459" s="89"/>
      <c r="B3459" s="87"/>
      <c r="C3459" s="73"/>
      <c r="D3459" s="73"/>
      <c r="E3459" s="82"/>
      <c r="F3459" s="82"/>
      <c r="G3459" s="86"/>
      <c r="H3459" s="86"/>
      <c r="I3459" s="86"/>
      <c r="J3459" s="82"/>
      <c r="K3459" s="82"/>
      <c r="L3459" s="82"/>
      <c r="M3459" s="82"/>
      <c r="N3459" s="82"/>
      <c r="O3459" s="82"/>
      <c r="P3459" s="82"/>
      <c r="Q3459" s="82"/>
      <c r="R3459" s="82"/>
      <c r="S3459" s="82"/>
      <c r="T3459" s="82"/>
      <c r="U3459" s="82"/>
      <c r="V3459" s="82"/>
      <c r="W3459" s="82"/>
      <c r="X3459" s="82"/>
      <c r="Y3459" s="82"/>
      <c r="Z3459" s="82"/>
      <c r="AA3459" s="82"/>
      <c r="AB3459" s="82"/>
      <c r="AC3459" s="82"/>
      <c r="AD3459" s="82"/>
      <c r="AE3459" s="82"/>
      <c r="AF3459" s="82"/>
      <c r="AG3459" s="82"/>
      <c r="AH3459" s="82"/>
      <c r="AI3459" s="82"/>
      <c r="AJ3459" s="82"/>
      <c r="AK3459" s="82"/>
      <c r="AL3459" s="82"/>
      <c r="AM3459" s="82"/>
      <c r="AN3459" s="82">
        <f>IFERROR(__xludf.DUMMYFUNCTION("""COMPUTED_VALUE"""),0.0)</f>
        <v>0</v>
      </c>
      <c r="AO3459" s="82">
        <f>IFERROR(__xludf.DUMMYFUNCTION("""COMPUTED_VALUE"""),0.0)</f>
        <v>0</v>
      </c>
      <c r="AP3459" s="82">
        <f>IFERROR(__xludf.DUMMYFUNCTION("""COMPUTED_VALUE"""),0.0)</f>
        <v>0</v>
      </c>
      <c r="AQ3459" s="82">
        <f>IFERROR(__xludf.DUMMYFUNCTION("""COMPUTED_VALUE"""),0.0)</f>
        <v>0</v>
      </c>
      <c r="AR3459" s="82">
        <f>IFERROR(__xludf.DUMMYFUNCTION("""COMPUTED_VALUE"""),0.0)</f>
        <v>0</v>
      </c>
      <c r="AS3459" s="82"/>
      <c r="AT3459" s="82">
        <f>IFERROR(__xludf.DUMMYFUNCTION("""COMPUTED_VALUE"""),0.0)</f>
        <v>0</v>
      </c>
      <c r="AU3459" s="82"/>
      <c r="AV3459" s="82"/>
      <c r="AW3459" s="82" t="str">
        <f t="shared" si="1"/>
        <v/>
      </c>
      <c r="AX3459" s="83" t="str">
        <f t="array" ref="AX3459">IFERROR(DGET('SBV Import'!A:G,"SBV",{"RSC ID","Tier";B3459,A3459}))</f>
        <v/>
      </c>
      <c r="AY3459" s="82" t="str">
        <f t="shared" si="2"/>
        <v/>
      </c>
      <c r="AZ3459" s="82"/>
      <c r="BA3459" s="84" t="s">
        <v>152</v>
      </c>
      <c r="BB3459" s="84" t="str">
        <f>IFERROR(__xludf.DUMMYFUNCTION("iferror(if(A3459="""",,E3459&gt;=FILTER(Constants!$F$2:$F$10,Constants!$A$2:$A$10=A3459)))"),"")</f>
        <v/>
      </c>
    </row>
    <row r="3460">
      <c r="A3460" s="89"/>
      <c r="B3460" s="87"/>
      <c r="C3460" s="73"/>
      <c r="D3460" s="73"/>
      <c r="E3460" s="82"/>
      <c r="F3460" s="82"/>
      <c r="G3460" s="86"/>
      <c r="H3460" s="86"/>
      <c r="I3460" s="86"/>
      <c r="J3460" s="82"/>
      <c r="K3460" s="82"/>
      <c r="L3460" s="82"/>
      <c r="M3460" s="82"/>
      <c r="N3460" s="82"/>
      <c r="O3460" s="82"/>
      <c r="P3460" s="82"/>
      <c r="Q3460" s="82"/>
      <c r="R3460" s="82"/>
      <c r="S3460" s="82"/>
      <c r="T3460" s="82"/>
      <c r="U3460" s="82"/>
      <c r="V3460" s="82"/>
      <c r="W3460" s="82"/>
      <c r="X3460" s="82"/>
      <c r="Y3460" s="82"/>
      <c r="Z3460" s="82"/>
      <c r="AA3460" s="82"/>
      <c r="AB3460" s="82"/>
      <c r="AC3460" s="82"/>
      <c r="AD3460" s="82"/>
      <c r="AE3460" s="82"/>
      <c r="AF3460" s="82"/>
      <c r="AG3460" s="82"/>
      <c r="AH3460" s="82"/>
      <c r="AI3460" s="82"/>
      <c r="AJ3460" s="82"/>
      <c r="AK3460" s="82"/>
      <c r="AL3460" s="82"/>
      <c r="AM3460" s="82"/>
      <c r="AN3460" s="82">
        <f>IFERROR(__xludf.DUMMYFUNCTION("""COMPUTED_VALUE"""),0.0)</f>
        <v>0</v>
      </c>
      <c r="AO3460" s="82">
        <f>IFERROR(__xludf.DUMMYFUNCTION("""COMPUTED_VALUE"""),0.0)</f>
        <v>0</v>
      </c>
      <c r="AP3460" s="82">
        <f>IFERROR(__xludf.DUMMYFUNCTION("""COMPUTED_VALUE"""),0.0)</f>
        <v>0</v>
      </c>
      <c r="AQ3460" s="82">
        <f>IFERROR(__xludf.DUMMYFUNCTION("""COMPUTED_VALUE"""),0.0)</f>
        <v>0</v>
      </c>
      <c r="AR3460" s="82">
        <f>IFERROR(__xludf.DUMMYFUNCTION("""COMPUTED_VALUE"""),0.0)</f>
        <v>0</v>
      </c>
      <c r="AS3460" s="82"/>
      <c r="AT3460" s="82">
        <f>IFERROR(__xludf.DUMMYFUNCTION("""COMPUTED_VALUE"""),0.0)</f>
        <v>0</v>
      </c>
      <c r="AU3460" s="82"/>
      <c r="AV3460" s="82"/>
      <c r="AW3460" s="82" t="str">
        <f t="shared" si="1"/>
        <v/>
      </c>
      <c r="AX3460" s="83" t="str">
        <f t="array" ref="AX3460">IFERROR(DGET('SBV Import'!A:G,"SBV",{"RSC ID","Tier";B3460,A3460}))</f>
        <v/>
      </c>
      <c r="AY3460" s="82" t="str">
        <f t="shared" si="2"/>
        <v/>
      </c>
      <c r="AZ3460" s="82"/>
      <c r="BA3460" s="84" t="s">
        <v>152</v>
      </c>
      <c r="BB3460" s="84" t="str">
        <f>IFERROR(__xludf.DUMMYFUNCTION("iferror(if(A3460="""",,E3460&gt;=FILTER(Constants!$F$2:$F$10,Constants!$A$2:$A$10=A3460)))"),"")</f>
        <v/>
      </c>
    </row>
    <row r="3461">
      <c r="A3461" s="89"/>
      <c r="B3461" s="87"/>
      <c r="C3461" s="73"/>
      <c r="D3461" s="73"/>
      <c r="E3461" s="82"/>
      <c r="F3461" s="82"/>
      <c r="G3461" s="86"/>
      <c r="H3461" s="86"/>
      <c r="I3461" s="86"/>
      <c r="J3461" s="82"/>
      <c r="K3461" s="82"/>
      <c r="L3461" s="82"/>
      <c r="M3461" s="82"/>
      <c r="N3461" s="82"/>
      <c r="O3461" s="82"/>
      <c r="P3461" s="82"/>
      <c r="Q3461" s="82"/>
      <c r="R3461" s="82"/>
      <c r="S3461" s="82"/>
      <c r="T3461" s="82"/>
      <c r="U3461" s="82"/>
      <c r="V3461" s="82"/>
      <c r="W3461" s="82"/>
      <c r="X3461" s="82"/>
      <c r="Y3461" s="82"/>
      <c r="Z3461" s="82"/>
      <c r="AA3461" s="82"/>
      <c r="AB3461" s="82"/>
      <c r="AC3461" s="82"/>
      <c r="AD3461" s="82"/>
      <c r="AE3461" s="82"/>
      <c r="AF3461" s="82"/>
      <c r="AG3461" s="82"/>
      <c r="AH3461" s="82"/>
      <c r="AI3461" s="82"/>
      <c r="AJ3461" s="82"/>
      <c r="AK3461" s="82"/>
      <c r="AL3461" s="82"/>
      <c r="AM3461" s="82"/>
      <c r="AN3461" s="82">
        <f>IFERROR(__xludf.DUMMYFUNCTION("""COMPUTED_VALUE"""),0.0)</f>
        <v>0</v>
      </c>
      <c r="AO3461" s="82">
        <f>IFERROR(__xludf.DUMMYFUNCTION("""COMPUTED_VALUE"""),0.0)</f>
        <v>0</v>
      </c>
      <c r="AP3461" s="82">
        <f>IFERROR(__xludf.DUMMYFUNCTION("""COMPUTED_VALUE"""),0.0)</f>
        <v>0</v>
      </c>
      <c r="AQ3461" s="82">
        <f>IFERROR(__xludf.DUMMYFUNCTION("""COMPUTED_VALUE"""),0.0)</f>
        <v>0</v>
      </c>
      <c r="AR3461" s="82">
        <f>IFERROR(__xludf.DUMMYFUNCTION("""COMPUTED_VALUE"""),0.0)</f>
        <v>0</v>
      </c>
      <c r="AS3461" s="82"/>
      <c r="AT3461" s="82">
        <f>IFERROR(__xludf.DUMMYFUNCTION("""COMPUTED_VALUE"""),0.0)</f>
        <v>0</v>
      </c>
      <c r="AU3461" s="82"/>
      <c r="AV3461" s="82"/>
      <c r="AW3461" s="82" t="str">
        <f t="shared" si="1"/>
        <v/>
      </c>
      <c r="AX3461" s="83" t="str">
        <f t="array" ref="AX3461">IFERROR(DGET('SBV Import'!A:G,"SBV",{"RSC ID","Tier";B3461,A3461}))</f>
        <v/>
      </c>
      <c r="AY3461" s="82" t="str">
        <f t="shared" si="2"/>
        <v/>
      </c>
      <c r="AZ3461" s="82"/>
      <c r="BA3461" s="84" t="s">
        <v>152</v>
      </c>
      <c r="BB3461" s="84" t="str">
        <f>IFERROR(__xludf.DUMMYFUNCTION("iferror(if(A3461="""",,E3461&gt;=FILTER(Constants!$F$2:$F$10,Constants!$A$2:$A$10=A3461)))"),"")</f>
        <v/>
      </c>
    </row>
    <row r="3462">
      <c r="A3462" s="89"/>
      <c r="B3462" s="87"/>
      <c r="C3462" s="73"/>
      <c r="D3462" s="73"/>
      <c r="E3462" s="82"/>
      <c r="F3462" s="82"/>
      <c r="G3462" s="86"/>
      <c r="H3462" s="86"/>
      <c r="I3462" s="86"/>
      <c r="J3462" s="82"/>
      <c r="K3462" s="82"/>
      <c r="L3462" s="82"/>
      <c r="M3462" s="82"/>
      <c r="N3462" s="82"/>
      <c r="O3462" s="82"/>
      <c r="P3462" s="82"/>
      <c r="Q3462" s="82"/>
      <c r="R3462" s="82"/>
      <c r="S3462" s="82"/>
      <c r="T3462" s="82"/>
      <c r="U3462" s="82"/>
      <c r="V3462" s="82"/>
      <c r="W3462" s="82"/>
      <c r="X3462" s="82"/>
      <c r="Y3462" s="82"/>
      <c r="Z3462" s="82"/>
      <c r="AA3462" s="82"/>
      <c r="AB3462" s="82"/>
      <c r="AC3462" s="82"/>
      <c r="AD3462" s="82"/>
      <c r="AE3462" s="82"/>
      <c r="AF3462" s="82"/>
      <c r="AG3462" s="82"/>
      <c r="AH3462" s="82"/>
      <c r="AI3462" s="82"/>
      <c r="AJ3462" s="82"/>
      <c r="AK3462" s="82"/>
      <c r="AL3462" s="82"/>
      <c r="AM3462" s="82"/>
      <c r="AN3462" s="82">
        <f>IFERROR(__xludf.DUMMYFUNCTION("""COMPUTED_VALUE"""),0.0)</f>
        <v>0</v>
      </c>
      <c r="AO3462" s="82">
        <f>IFERROR(__xludf.DUMMYFUNCTION("""COMPUTED_VALUE"""),0.0)</f>
        <v>0</v>
      </c>
      <c r="AP3462" s="82">
        <f>IFERROR(__xludf.DUMMYFUNCTION("""COMPUTED_VALUE"""),0.0)</f>
        <v>0</v>
      </c>
      <c r="AQ3462" s="82">
        <f>IFERROR(__xludf.DUMMYFUNCTION("""COMPUTED_VALUE"""),0.0)</f>
        <v>0</v>
      </c>
      <c r="AR3462" s="82">
        <f>IFERROR(__xludf.DUMMYFUNCTION("""COMPUTED_VALUE"""),0.0)</f>
        <v>0</v>
      </c>
      <c r="AS3462" s="82"/>
      <c r="AT3462" s="82">
        <f>IFERROR(__xludf.DUMMYFUNCTION("""COMPUTED_VALUE"""),0.0)</f>
        <v>0</v>
      </c>
      <c r="AU3462" s="82"/>
      <c r="AV3462" s="82"/>
      <c r="AW3462" s="82" t="str">
        <f t="shared" si="1"/>
        <v/>
      </c>
      <c r="AX3462" s="83" t="str">
        <f t="array" ref="AX3462">IFERROR(DGET('SBV Import'!A:G,"SBV",{"RSC ID","Tier";B3462,A3462}))</f>
        <v/>
      </c>
      <c r="AY3462" s="82" t="str">
        <f t="shared" si="2"/>
        <v/>
      </c>
      <c r="AZ3462" s="82"/>
      <c r="BA3462" s="84" t="s">
        <v>152</v>
      </c>
      <c r="BB3462" s="84" t="str">
        <f>IFERROR(__xludf.DUMMYFUNCTION("iferror(if(A3462="""",,E3462&gt;=FILTER(Constants!$F$2:$F$10,Constants!$A$2:$A$10=A3462)))"),"")</f>
        <v/>
      </c>
    </row>
    <row r="3463">
      <c r="A3463" s="89"/>
      <c r="B3463" s="87"/>
      <c r="C3463" s="73"/>
      <c r="D3463" s="73"/>
      <c r="E3463" s="82"/>
      <c r="F3463" s="82"/>
      <c r="G3463" s="86"/>
      <c r="H3463" s="86"/>
      <c r="I3463" s="86"/>
      <c r="J3463" s="82"/>
      <c r="K3463" s="82"/>
      <c r="L3463" s="82"/>
      <c r="M3463" s="82"/>
      <c r="N3463" s="82"/>
      <c r="O3463" s="82"/>
      <c r="P3463" s="82"/>
      <c r="Q3463" s="82"/>
      <c r="R3463" s="82"/>
      <c r="S3463" s="82"/>
      <c r="T3463" s="82"/>
      <c r="U3463" s="82"/>
      <c r="V3463" s="82"/>
      <c r="W3463" s="82"/>
      <c r="X3463" s="82"/>
      <c r="Y3463" s="82"/>
      <c r="Z3463" s="82"/>
      <c r="AA3463" s="82"/>
      <c r="AB3463" s="82"/>
      <c r="AC3463" s="82"/>
      <c r="AD3463" s="82"/>
      <c r="AE3463" s="82"/>
      <c r="AF3463" s="82"/>
      <c r="AG3463" s="82"/>
      <c r="AH3463" s="82"/>
      <c r="AI3463" s="82"/>
      <c r="AJ3463" s="82"/>
      <c r="AK3463" s="82"/>
      <c r="AL3463" s="82"/>
      <c r="AM3463" s="82"/>
      <c r="AN3463" s="82">
        <f>IFERROR(__xludf.DUMMYFUNCTION("""COMPUTED_VALUE"""),0.0)</f>
        <v>0</v>
      </c>
      <c r="AO3463" s="82">
        <f>IFERROR(__xludf.DUMMYFUNCTION("""COMPUTED_VALUE"""),0.0)</f>
        <v>0</v>
      </c>
      <c r="AP3463" s="82">
        <f>IFERROR(__xludf.DUMMYFUNCTION("""COMPUTED_VALUE"""),0.0)</f>
        <v>0</v>
      </c>
      <c r="AQ3463" s="82">
        <f>IFERROR(__xludf.DUMMYFUNCTION("""COMPUTED_VALUE"""),0.0)</f>
        <v>0</v>
      </c>
      <c r="AR3463" s="82">
        <f>IFERROR(__xludf.DUMMYFUNCTION("""COMPUTED_VALUE"""),0.0)</f>
        <v>0</v>
      </c>
      <c r="AS3463" s="82"/>
      <c r="AT3463" s="82">
        <f>IFERROR(__xludf.DUMMYFUNCTION("""COMPUTED_VALUE"""),0.0)</f>
        <v>0</v>
      </c>
      <c r="AU3463" s="82"/>
      <c r="AV3463" s="82"/>
      <c r="AW3463" s="82" t="str">
        <f t="shared" si="1"/>
        <v/>
      </c>
      <c r="AX3463" s="83" t="str">
        <f t="array" ref="AX3463">IFERROR(DGET('SBV Import'!A:G,"SBV",{"RSC ID","Tier";B3463,A3463}))</f>
        <v/>
      </c>
      <c r="AY3463" s="82" t="str">
        <f t="shared" si="2"/>
        <v/>
      </c>
      <c r="AZ3463" s="82"/>
      <c r="BA3463" s="84" t="s">
        <v>152</v>
      </c>
      <c r="BB3463" s="84" t="str">
        <f>IFERROR(__xludf.DUMMYFUNCTION("iferror(if(A3463="""",,E3463&gt;=FILTER(Constants!$F$2:$F$10,Constants!$A$2:$A$10=A3463)))"),"")</f>
        <v/>
      </c>
    </row>
    <row r="3464">
      <c r="A3464" s="89"/>
      <c r="B3464" s="87"/>
      <c r="C3464" s="73"/>
      <c r="D3464" s="73"/>
      <c r="E3464" s="82"/>
      <c r="F3464" s="82"/>
      <c r="G3464" s="86"/>
      <c r="H3464" s="86"/>
      <c r="I3464" s="86"/>
      <c r="J3464" s="82"/>
      <c r="K3464" s="82"/>
      <c r="L3464" s="82"/>
      <c r="M3464" s="82"/>
      <c r="N3464" s="82"/>
      <c r="O3464" s="82"/>
      <c r="P3464" s="82"/>
      <c r="Q3464" s="82"/>
      <c r="R3464" s="82"/>
      <c r="S3464" s="82"/>
      <c r="T3464" s="82"/>
      <c r="U3464" s="82"/>
      <c r="V3464" s="82"/>
      <c r="W3464" s="82"/>
      <c r="X3464" s="82"/>
      <c r="Y3464" s="82"/>
      <c r="Z3464" s="82"/>
      <c r="AA3464" s="82"/>
      <c r="AB3464" s="82"/>
      <c r="AC3464" s="82"/>
      <c r="AD3464" s="82"/>
      <c r="AE3464" s="82"/>
      <c r="AF3464" s="82"/>
      <c r="AG3464" s="82"/>
      <c r="AH3464" s="82"/>
      <c r="AI3464" s="82"/>
      <c r="AJ3464" s="82"/>
      <c r="AK3464" s="82"/>
      <c r="AL3464" s="82"/>
      <c r="AM3464" s="82"/>
      <c r="AN3464" s="82">
        <f>IFERROR(__xludf.DUMMYFUNCTION("""COMPUTED_VALUE"""),0.0)</f>
        <v>0</v>
      </c>
      <c r="AO3464" s="82">
        <f>IFERROR(__xludf.DUMMYFUNCTION("""COMPUTED_VALUE"""),0.0)</f>
        <v>0</v>
      </c>
      <c r="AP3464" s="82">
        <f>IFERROR(__xludf.DUMMYFUNCTION("""COMPUTED_VALUE"""),0.0)</f>
        <v>0</v>
      </c>
      <c r="AQ3464" s="82">
        <f>IFERROR(__xludf.DUMMYFUNCTION("""COMPUTED_VALUE"""),0.0)</f>
        <v>0</v>
      </c>
      <c r="AR3464" s="82">
        <f>IFERROR(__xludf.DUMMYFUNCTION("""COMPUTED_VALUE"""),0.0)</f>
        <v>0</v>
      </c>
      <c r="AS3464" s="82"/>
      <c r="AT3464" s="82">
        <f>IFERROR(__xludf.DUMMYFUNCTION("""COMPUTED_VALUE"""),0.0)</f>
        <v>0</v>
      </c>
      <c r="AU3464" s="82"/>
      <c r="AV3464" s="82"/>
      <c r="AW3464" s="82" t="str">
        <f t="shared" si="1"/>
        <v/>
      </c>
      <c r="AX3464" s="83" t="str">
        <f t="array" ref="AX3464">IFERROR(DGET('SBV Import'!A:G,"SBV",{"RSC ID","Tier";B3464,A3464}))</f>
        <v/>
      </c>
      <c r="AY3464" s="82" t="str">
        <f t="shared" si="2"/>
        <v/>
      </c>
      <c r="AZ3464" s="82"/>
      <c r="BA3464" s="84" t="s">
        <v>152</v>
      </c>
      <c r="BB3464" s="84" t="str">
        <f>IFERROR(__xludf.DUMMYFUNCTION("iferror(if(A3464="""",,E3464&gt;=FILTER(Constants!$F$2:$F$10,Constants!$A$2:$A$10=A3464)))"),"")</f>
        <v/>
      </c>
    </row>
    <row r="3465">
      <c r="A3465" s="89"/>
      <c r="B3465" s="87"/>
      <c r="C3465" s="73"/>
      <c r="D3465" s="73"/>
      <c r="E3465" s="82"/>
      <c r="F3465" s="82"/>
      <c r="G3465" s="86"/>
      <c r="H3465" s="86"/>
      <c r="I3465" s="86"/>
      <c r="J3465" s="82"/>
      <c r="K3465" s="82"/>
      <c r="L3465" s="82"/>
      <c r="M3465" s="82"/>
      <c r="N3465" s="82"/>
      <c r="O3465" s="82"/>
      <c r="P3465" s="82"/>
      <c r="Q3465" s="82"/>
      <c r="R3465" s="82"/>
      <c r="S3465" s="82"/>
      <c r="T3465" s="82"/>
      <c r="U3465" s="82"/>
      <c r="V3465" s="82"/>
      <c r="W3465" s="82"/>
      <c r="X3465" s="82"/>
      <c r="Y3465" s="82"/>
      <c r="Z3465" s="82"/>
      <c r="AA3465" s="82"/>
      <c r="AB3465" s="82"/>
      <c r="AC3465" s="82"/>
      <c r="AD3465" s="82"/>
      <c r="AE3465" s="82"/>
      <c r="AF3465" s="82"/>
      <c r="AG3465" s="82"/>
      <c r="AH3465" s="82"/>
      <c r="AI3465" s="82"/>
      <c r="AJ3465" s="82"/>
      <c r="AK3465" s="82"/>
      <c r="AL3465" s="82"/>
      <c r="AM3465" s="82"/>
      <c r="AN3465" s="82">
        <f>IFERROR(__xludf.DUMMYFUNCTION("""COMPUTED_VALUE"""),0.0)</f>
        <v>0</v>
      </c>
      <c r="AO3465" s="82">
        <f>IFERROR(__xludf.DUMMYFUNCTION("""COMPUTED_VALUE"""),0.0)</f>
        <v>0</v>
      </c>
      <c r="AP3465" s="82">
        <f>IFERROR(__xludf.DUMMYFUNCTION("""COMPUTED_VALUE"""),0.0)</f>
        <v>0</v>
      </c>
      <c r="AQ3465" s="82">
        <f>IFERROR(__xludf.DUMMYFUNCTION("""COMPUTED_VALUE"""),0.0)</f>
        <v>0</v>
      </c>
      <c r="AR3465" s="82">
        <f>IFERROR(__xludf.DUMMYFUNCTION("""COMPUTED_VALUE"""),0.0)</f>
        <v>0</v>
      </c>
      <c r="AS3465" s="82"/>
      <c r="AT3465" s="82">
        <f>IFERROR(__xludf.DUMMYFUNCTION("""COMPUTED_VALUE"""),0.0)</f>
        <v>0</v>
      </c>
      <c r="AU3465" s="82"/>
      <c r="AV3465" s="82"/>
      <c r="AW3465" s="82" t="str">
        <f t="shared" si="1"/>
        <v/>
      </c>
      <c r="AX3465" s="83" t="str">
        <f t="array" ref="AX3465">IFERROR(DGET('SBV Import'!A:G,"SBV",{"RSC ID","Tier";B3465,A3465}))</f>
        <v/>
      </c>
      <c r="AY3465" s="82" t="str">
        <f t="shared" si="2"/>
        <v/>
      </c>
      <c r="AZ3465" s="82"/>
      <c r="BA3465" s="84" t="s">
        <v>152</v>
      </c>
      <c r="BB3465" s="84" t="str">
        <f>IFERROR(__xludf.DUMMYFUNCTION("iferror(if(A3465="""",,E3465&gt;=FILTER(Constants!$F$2:$F$10,Constants!$A$2:$A$10=A3465)))"),"")</f>
        <v/>
      </c>
    </row>
    <row r="3466">
      <c r="A3466" s="89"/>
      <c r="B3466" s="87"/>
      <c r="C3466" s="73"/>
      <c r="D3466" s="73"/>
      <c r="E3466" s="82"/>
      <c r="F3466" s="82"/>
      <c r="G3466" s="86"/>
      <c r="H3466" s="86"/>
      <c r="I3466" s="86"/>
      <c r="J3466" s="82"/>
      <c r="K3466" s="82"/>
      <c r="L3466" s="82"/>
      <c r="M3466" s="82"/>
      <c r="N3466" s="82"/>
      <c r="O3466" s="82"/>
      <c r="P3466" s="82"/>
      <c r="Q3466" s="82"/>
      <c r="R3466" s="82"/>
      <c r="S3466" s="82"/>
      <c r="T3466" s="82"/>
      <c r="U3466" s="82"/>
      <c r="V3466" s="82"/>
      <c r="W3466" s="82"/>
      <c r="X3466" s="82"/>
      <c r="Y3466" s="82"/>
      <c r="Z3466" s="82"/>
      <c r="AA3466" s="82"/>
      <c r="AB3466" s="82"/>
      <c r="AC3466" s="82"/>
      <c r="AD3466" s="82"/>
      <c r="AE3466" s="82"/>
      <c r="AF3466" s="82"/>
      <c r="AG3466" s="82"/>
      <c r="AH3466" s="82"/>
      <c r="AI3466" s="82"/>
      <c r="AJ3466" s="82"/>
      <c r="AK3466" s="82"/>
      <c r="AL3466" s="82"/>
      <c r="AM3466" s="82"/>
      <c r="AN3466" s="82">
        <f>IFERROR(__xludf.DUMMYFUNCTION("""COMPUTED_VALUE"""),0.0)</f>
        <v>0</v>
      </c>
      <c r="AO3466" s="82">
        <f>IFERROR(__xludf.DUMMYFUNCTION("""COMPUTED_VALUE"""),0.0)</f>
        <v>0</v>
      </c>
      <c r="AP3466" s="82">
        <f>IFERROR(__xludf.DUMMYFUNCTION("""COMPUTED_VALUE"""),0.0)</f>
        <v>0</v>
      </c>
      <c r="AQ3466" s="82">
        <f>IFERROR(__xludf.DUMMYFUNCTION("""COMPUTED_VALUE"""),0.0)</f>
        <v>0</v>
      </c>
      <c r="AR3466" s="82">
        <f>IFERROR(__xludf.DUMMYFUNCTION("""COMPUTED_VALUE"""),0.0)</f>
        <v>0</v>
      </c>
      <c r="AS3466" s="82"/>
      <c r="AT3466" s="82">
        <f>IFERROR(__xludf.DUMMYFUNCTION("""COMPUTED_VALUE"""),0.0)</f>
        <v>0</v>
      </c>
      <c r="AU3466" s="82"/>
      <c r="AV3466" s="82"/>
      <c r="AW3466" s="82" t="str">
        <f t="shared" si="1"/>
        <v/>
      </c>
      <c r="AX3466" s="83" t="str">
        <f t="array" ref="AX3466">IFERROR(DGET('SBV Import'!A:G,"SBV",{"RSC ID","Tier";B3466,A3466}))</f>
        <v/>
      </c>
      <c r="AY3466" s="82" t="str">
        <f t="shared" si="2"/>
        <v/>
      </c>
      <c r="AZ3466" s="82"/>
      <c r="BA3466" s="84" t="s">
        <v>152</v>
      </c>
      <c r="BB3466" s="84" t="str">
        <f>IFERROR(__xludf.DUMMYFUNCTION("iferror(if(A3466="""",,E3466&gt;=FILTER(Constants!$F$2:$F$10,Constants!$A$2:$A$10=A3466)))"),"")</f>
        <v/>
      </c>
    </row>
    <row r="3467">
      <c r="A3467" s="89"/>
      <c r="B3467" s="87"/>
      <c r="C3467" s="73"/>
      <c r="D3467" s="73"/>
      <c r="E3467" s="82"/>
      <c r="F3467" s="82"/>
      <c r="G3467" s="86"/>
      <c r="H3467" s="86"/>
      <c r="I3467" s="86"/>
      <c r="J3467" s="82"/>
      <c r="K3467" s="82"/>
      <c r="L3467" s="82"/>
      <c r="M3467" s="82"/>
      <c r="N3467" s="82"/>
      <c r="O3467" s="82"/>
      <c r="P3467" s="82"/>
      <c r="Q3467" s="82"/>
      <c r="R3467" s="82"/>
      <c r="S3467" s="82"/>
      <c r="T3467" s="82"/>
      <c r="U3467" s="82"/>
      <c r="V3467" s="82"/>
      <c r="W3467" s="82"/>
      <c r="X3467" s="82"/>
      <c r="Y3467" s="82"/>
      <c r="Z3467" s="82"/>
      <c r="AA3467" s="82"/>
      <c r="AB3467" s="82"/>
      <c r="AC3467" s="82"/>
      <c r="AD3467" s="82"/>
      <c r="AE3467" s="82"/>
      <c r="AF3467" s="82"/>
      <c r="AG3467" s="82"/>
      <c r="AH3467" s="82"/>
      <c r="AI3467" s="82"/>
      <c r="AJ3467" s="82"/>
      <c r="AK3467" s="82"/>
      <c r="AL3467" s="82"/>
      <c r="AM3467" s="82"/>
      <c r="AN3467" s="82">
        <f>IFERROR(__xludf.DUMMYFUNCTION("""COMPUTED_VALUE"""),0.0)</f>
        <v>0</v>
      </c>
      <c r="AO3467" s="82">
        <f>IFERROR(__xludf.DUMMYFUNCTION("""COMPUTED_VALUE"""),0.0)</f>
        <v>0</v>
      </c>
      <c r="AP3467" s="82">
        <f>IFERROR(__xludf.DUMMYFUNCTION("""COMPUTED_VALUE"""),0.0)</f>
        <v>0</v>
      </c>
      <c r="AQ3467" s="82">
        <f>IFERROR(__xludf.DUMMYFUNCTION("""COMPUTED_VALUE"""),0.0)</f>
        <v>0</v>
      </c>
      <c r="AR3467" s="82">
        <f>IFERROR(__xludf.DUMMYFUNCTION("""COMPUTED_VALUE"""),0.0)</f>
        <v>0</v>
      </c>
      <c r="AS3467" s="82"/>
      <c r="AT3467" s="82">
        <f>IFERROR(__xludf.DUMMYFUNCTION("""COMPUTED_VALUE"""),0.0)</f>
        <v>0</v>
      </c>
      <c r="AU3467" s="82"/>
      <c r="AV3467" s="82"/>
      <c r="AW3467" s="82" t="str">
        <f t="shared" si="1"/>
        <v/>
      </c>
      <c r="AX3467" s="83" t="str">
        <f t="array" ref="AX3467">IFERROR(DGET('SBV Import'!A:G,"SBV",{"RSC ID","Tier";B3467,A3467}))</f>
        <v/>
      </c>
      <c r="AY3467" s="82" t="str">
        <f t="shared" si="2"/>
        <v/>
      </c>
      <c r="AZ3467" s="82"/>
      <c r="BA3467" s="84" t="s">
        <v>152</v>
      </c>
      <c r="BB3467" s="84" t="str">
        <f>IFERROR(__xludf.DUMMYFUNCTION("iferror(if(A3467="""",,E3467&gt;=FILTER(Constants!$F$2:$F$10,Constants!$A$2:$A$10=A3467)))"),"")</f>
        <v/>
      </c>
    </row>
    <row r="3468">
      <c r="A3468" s="89"/>
      <c r="B3468" s="87"/>
      <c r="C3468" s="73"/>
      <c r="D3468" s="73"/>
      <c r="E3468" s="82"/>
      <c r="F3468" s="82"/>
      <c r="G3468" s="86"/>
      <c r="H3468" s="86"/>
      <c r="I3468" s="86"/>
      <c r="J3468" s="82"/>
      <c r="K3468" s="82"/>
      <c r="L3468" s="82"/>
      <c r="M3468" s="82"/>
      <c r="N3468" s="82"/>
      <c r="O3468" s="82"/>
      <c r="P3468" s="82"/>
      <c r="Q3468" s="82"/>
      <c r="R3468" s="82"/>
      <c r="S3468" s="82"/>
      <c r="T3468" s="82"/>
      <c r="U3468" s="82"/>
      <c r="V3468" s="82"/>
      <c r="W3468" s="82"/>
      <c r="X3468" s="82"/>
      <c r="Y3468" s="82"/>
      <c r="Z3468" s="82"/>
      <c r="AA3468" s="82"/>
      <c r="AB3468" s="82"/>
      <c r="AC3468" s="82"/>
      <c r="AD3468" s="82"/>
      <c r="AE3468" s="82"/>
      <c r="AF3468" s="82"/>
      <c r="AG3468" s="82"/>
      <c r="AH3468" s="82"/>
      <c r="AI3468" s="82"/>
      <c r="AJ3468" s="82"/>
      <c r="AK3468" s="82"/>
      <c r="AL3468" s="82"/>
      <c r="AM3468" s="82"/>
      <c r="AN3468" s="82">
        <f>IFERROR(__xludf.DUMMYFUNCTION("""COMPUTED_VALUE"""),0.0)</f>
        <v>0</v>
      </c>
      <c r="AO3468" s="82">
        <f>IFERROR(__xludf.DUMMYFUNCTION("""COMPUTED_VALUE"""),0.0)</f>
        <v>0</v>
      </c>
      <c r="AP3468" s="82">
        <f>IFERROR(__xludf.DUMMYFUNCTION("""COMPUTED_VALUE"""),0.0)</f>
        <v>0</v>
      </c>
      <c r="AQ3468" s="82">
        <f>IFERROR(__xludf.DUMMYFUNCTION("""COMPUTED_VALUE"""),0.0)</f>
        <v>0</v>
      </c>
      <c r="AR3468" s="82">
        <f>IFERROR(__xludf.DUMMYFUNCTION("""COMPUTED_VALUE"""),0.0)</f>
        <v>0</v>
      </c>
      <c r="AS3468" s="82"/>
      <c r="AT3468" s="82">
        <f>IFERROR(__xludf.DUMMYFUNCTION("""COMPUTED_VALUE"""),0.0)</f>
        <v>0</v>
      </c>
      <c r="AU3468" s="82"/>
      <c r="AV3468" s="82"/>
      <c r="AW3468" s="82" t="str">
        <f t="shared" si="1"/>
        <v/>
      </c>
      <c r="AX3468" s="83" t="str">
        <f t="array" ref="AX3468">IFERROR(DGET('SBV Import'!A:G,"SBV",{"RSC ID","Tier";B3468,A3468}))</f>
        <v/>
      </c>
      <c r="AY3468" s="82" t="str">
        <f t="shared" si="2"/>
        <v/>
      </c>
      <c r="AZ3468" s="82"/>
      <c r="BA3468" s="84" t="s">
        <v>152</v>
      </c>
      <c r="BB3468" s="84" t="str">
        <f>IFERROR(__xludf.DUMMYFUNCTION("iferror(if(A3468="""",,E3468&gt;=FILTER(Constants!$F$2:$F$10,Constants!$A$2:$A$10=A3468)))"),"")</f>
        <v/>
      </c>
    </row>
    <row r="3469">
      <c r="A3469" s="89"/>
      <c r="B3469" s="87"/>
      <c r="C3469" s="73"/>
      <c r="D3469" s="73"/>
      <c r="E3469" s="82"/>
      <c r="F3469" s="82"/>
      <c r="G3469" s="86"/>
      <c r="H3469" s="86"/>
      <c r="I3469" s="86"/>
      <c r="J3469" s="82"/>
      <c r="K3469" s="82"/>
      <c r="L3469" s="82"/>
      <c r="M3469" s="82"/>
      <c r="N3469" s="82"/>
      <c r="O3469" s="82"/>
      <c r="P3469" s="82"/>
      <c r="Q3469" s="82"/>
      <c r="R3469" s="82"/>
      <c r="S3469" s="82"/>
      <c r="T3469" s="82"/>
      <c r="U3469" s="82"/>
      <c r="V3469" s="82"/>
      <c r="W3469" s="82"/>
      <c r="X3469" s="82"/>
      <c r="Y3469" s="82"/>
      <c r="Z3469" s="82"/>
      <c r="AA3469" s="82"/>
      <c r="AB3469" s="82"/>
      <c r="AC3469" s="82"/>
      <c r="AD3469" s="82"/>
      <c r="AE3469" s="82"/>
      <c r="AF3469" s="82"/>
      <c r="AG3469" s="82"/>
      <c r="AH3469" s="82"/>
      <c r="AI3469" s="82"/>
      <c r="AJ3469" s="82"/>
      <c r="AK3469" s="82"/>
      <c r="AL3469" s="82"/>
      <c r="AM3469" s="82"/>
      <c r="AN3469" s="82">
        <f>IFERROR(__xludf.DUMMYFUNCTION("""COMPUTED_VALUE"""),0.0)</f>
        <v>0</v>
      </c>
      <c r="AO3469" s="82">
        <f>IFERROR(__xludf.DUMMYFUNCTION("""COMPUTED_VALUE"""),0.0)</f>
        <v>0</v>
      </c>
      <c r="AP3469" s="82">
        <f>IFERROR(__xludf.DUMMYFUNCTION("""COMPUTED_VALUE"""),0.0)</f>
        <v>0</v>
      </c>
      <c r="AQ3469" s="82">
        <f>IFERROR(__xludf.DUMMYFUNCTION("""COMPUTED_VALUE"""),0.0)</f>
        <v>0</v>
      </c>
      <c r="AR3469" s="82">
        <f>IFERROR(__xludf.DUMMYFUNCTION("""COMPUTED_VALUE"""),0.0)</f>
        <v>0</v>
      </c>
      <c r="AS3469" s="82"/>
      <c r="AT3469" s="82">
        <f>IFERROR(__xludf.DUMMYFUNCTION("""COMPUTED_VALUE"""),0.0)</f>
        <v>0</v>
      </c>
      <c r="AU3469" s="82"/>
      <c r="AV3469" s="82"/>
      <c r="AW3469" s="82" t="str">
        <f t="shared" si="1"/>
        <v/>
      </c>
      <c r="AX3469" s="83" t="str">
        <f t="array" ref="AX3469">IFERROR(DGET('SBV Import'!A:G,"SBV",{"RSC ID","Tier";B3469,A3469}))</f>
        <v/>
      </c>
      <c r="AY3469" s="82" t="str">
        <f t="shared" si="2"/>
        <v/>
      </c>
      <c r="AZ3469" s="82"/>
      <c r="BA3469" s="84" t="s">
        <v>152</v>
      </c>
      <c r="BB3469" s="84" t="str">
        <f>IFERROR(__xludf.DUMMYFUNCTION("iferror(if(A3469="""",,E3469&gt;=FILTER(Constants!$F$2:$F$10,Constants!$A$2:$A$10=A3469)))"),"")</f>
        <v/>
      </c>
    </row>
    <row r="3470">
      <c r="A3470" s="89"/>
      <c r="B3470" s="87"/>
      <c r="C3470" s="73"/>
      <c r="D3470" s="73"/>
      <c r="E3470" s="82"/>
      <c r="F3470" s="82"/>
      <c r="G3470" s="86"/>
      <c r="H3470" s="86"/>
      <c r="I3470" s="86"/>
      <c r="J3470" s="82"/>
      <c r="K3470" s="82"/>
      <c r="L3470" s="82"/>
      <c r="M3470" s="82"/>
      <c r="N3470" s="82"/>
      <c r="O3470" s="82"/>
      <c r="P3470" s="82"/>
      <c r="Q3470" s="82"/>
      <c r="R3470" s="82"/>
      <c r="S3470" s="82"/>
      <c r="T3470" s="82"/>
      <c r="U3470" s="82"/>
      <c r="V3470" s="82"/>
      <c r="W3470" s="82"/>
      <c r="X3470" s="82"/>
      <c r="Y3470" s="82"/>
      <c r="Z3470" s="82"/>
      <c r="AA3470" s="82"/>
      <c r="AB3470" s="82"/>
      <c r="AC3470" s="82"/>
      <c r="AD3470" s="82"/>
      <c r="AE3470" s="82"/>
      <c r="AF3470" s="82"/>
      <c r="AG3470" s="82"/>
      <c r="AH3470" s="82"/>
      <c r="AI3470" s="82"/>
      <c r="AJ3470" s="82"/>
      <c r="AK3470" s="82"/>
      <c r="AL3470" s="82"/>
      <c r="AM3470" s="82"/>
      <c r="AN3470" s="82">
        <f>IFERROR(__xludf.DUMMYFUNCTION("""COMPUTED_VALUE"""),0.0)</f>
        <v>0</v>
      </c>
      <c r="AO3470" s="82">
        <f>IFERROR(__xludf.DUMMYFUNCTION("""COMPUTED_VALUE"""),0.0)</f>
        <v>0</v>
      </c>
      <c r="AP3470" s="82">
        <f>IFERROR(__xludf.DUMMYFUNCTION("""COMPUTED_VALUE"""),0.0)</f>
        <v>0</v>
      </c>
      <c r="AQ3470" s="82">
        <f>IFERROR(__xludf.DUMMYFUNCTION("""COMPUTED_VALUE"""),0.0)</f>
        <v>0</v>
      </c>
      <c r="AR3470" s="82">
        <f>IFERROR(__xludf.DUMMYFUNCTION("""COMPUTED_VALUE"""),0.0)</f>
        <v>0</v>
      </c>
      <c r="AS3470" s="82"/>
      <c r="AT3470" s="82">
        <f>IFERROR(__xludf.DUMMYFUNCTION("""COMPUTED_VALUE"""),0.0)</f>
        <v>0</v>
      </c>
      <c r="AU3470" s="82"/>
      <c r="AV3470" s="82"/>
      <c r="AW3470" s="82" t="str">
        <f t="shared" si="1"/>
        <v/>
      </c>
      <c r="AX3470" s="83" t="str">
        <f t="array" ref="AX3470">IFERROR(DGET('SBV Import'!A:G,"SBV",{"RSC ID","Tier";B3470,A3470}))</f>
        <v/>
      </c>
      <c r="AY3470" s="82" t="str">
        <f t="shared" si="2"/>
        <v/>
      </c>
      <c r="AZ3470" s="82"/>
      <c r="BA3470" s="84" t="s">
        <v>152</v>
      </c>
      <c r="BB3470" s="84" t="str">
        <f>IFERROR(__xludf.DUMMYFUNCTION("iferror(if(A3470="""",,E3470&gt;=FILTER(Constants!$F$2:$F$10,Constants!$A$2:$A$10=A3470)))"),"")</f>
        <v/>
      </c>
    </row>
    <row r="3471">
      <c r="A3471" s="89"/>
      <c r="B3471" s="87"/>
      <c r="C3471" s="73"/>
      <c r="D3471" s="73"/>
      <c r="E3471" s="82"/>
      <c r="F3471" s="82"/>
      <c r="G3471" s="86"/>
      <c r="H3471" s="86"/>
      <c r="I3471" s="86"/>
      <c r="J3471" s="82"/>
      <c r="K3471" s="82"/>
      <c r="L3471" s="82"/>
      <c r="M3471" s="82"/>
      <c r="N3471" s="82"/>
      <c r="O3471" s="82"/>
      <c r="P3471" s="82"/>
      <c r="Q3471" s="82"/>
      <c r="R3471" s="82"/>
      <c r="S3471" s="82"/>
      <c r="T3471" s="82"/>
      <c r="U3471" s="82"/>
      <c r="V3471" s="82"/>
      <c r="W3471" s="82"/>
      <c r="X3471" s="82"/>
      <c r="Y3471" s="82"/>
      <c r="Z3471" s="82"/>
      <c r="AA3471" s="82"/>
      <c r="AB3471" s="82"/>
      <c r="AC3471" s="82"/>
      <c r="AD3471" s="82"/>
      <c r="AE3471" s="82"/>
      <c r="AF3471" s="82"/>
      <c r="AG3471" s="82"/>
      <c r="AH3471" s="82"/>
      <c r="AI3471" s="82"/>
      <c r="AJ3471" s="82"/>
      <c r="AK3471" s="82"/>
      <c r="AL3471" s="82"/>
      <c r="AM3471" s="82"/>
      <c r="AN3471" s="82">
        <f>IFERROR(__xludf.DUMMYFUNCTION("""COMPUTED_VALUE"""),0.0)</f>
        <v>0</v>
      </c>
      <c r="AO3471" s="82">
        <f>IFERROR(__xludf.DUMMYFUNCTION("""COMPUTED_VALUE"""),0.0)</f>
        <v>0</v>
      </c>
      <c r="AP3471" s="82">
        <f>IFERROR(__xludf.DUMMYFUNCTION("""COMPUTED_VALUE"""),0.0)</f>
        <v>0</v>
      </c>
      <c r="AQ3471" s="82">
        <f>IFERROR(__xludf.DUMMYFUNCTION("""COMPUTED_VALUE"""),0.0)</f>
        <v>0</v>
      </c>
      <c r="AR3471" s="82">
        <f>IFERROR(__xludf.DUMMYFUNCTION("""COMPUTED_VALUE"""),0.0)</f>
        <v>0</v>
      </c>
      <c r="AS3471" s="82"/>
      <c r="AT3471" s="82">
        <f>IFERROR(__xludf.DUMMYFUNCTION("""COMPUTED_VALUE"""),0.0)</f>
        <v>0</v>
      </c>
      <c r="AU3471" s="82"/>
      <c r="AV3471" s="82"/>
      <c r="AW3471" s="82" t="str">
        <f t="shared" si="1"/>
        <v/>
      </c>
      <c r="AX3471" s="83" t="str">
        <f t="array" ref="AX3471">IFERROR(DGET('SBV Import'!A:G,"SBV",{"RSC ID","Tier";B3471,A3471}))</f>
        <v/>
      </c>
      <c r="AY3471" s="82" t="str">
        <f t="shared" si="2"/>
        <v/>
      </c>
      <c r="AZ3471" s="82"/>
      <c r="BA3471" s="84" t="s">
        <v>152</v>
      </c>
      <c r="BB3471" s="84" t="str">
        <f>IFERROR(__xludf.DUMMYFUNCTION("iferror(if(A3471="""",,E3471&gt;=FILTER(Constants!$F$2:$F$10,Constants!$A$2:$A$10=A3471)))"),"")</f>
        <v/>
      </c>
    </row>
    <row r="3472">
      <c r="A3472" s="89"/>
      <c r="B3472" s="87"/>
      <c r="C3472" s="73"/>
      <c r="D3472" s="73"/>
      <c r="E3472" s="82"/>
      <c r="F3472" s="82"/>
      <c r="G3472" s="86"/>
      <c r="H3472" s="86"/>
      <c r="I3472" s="86"/>
      <c r="J3472" s="82"/>
      <c r="K3472" s="82"/>
      <c r="L3472" s="82"/>
      <c r="M3472" s="82"/>
      <c r="N3472" s="82"/>
      <c r="O3472" s="82"/>
      <c r="P3472" s="82"/>
      <c r="Q3472" s="82"/>
      <c r="R3472" s="82"/>
      <c r="S3472" s="82"/>
      <c r="T3472" s="82"/>
      <c r="U3472" s="82"/>
      <c r="V3472" s="82"/>
      <c r="W3472" s="82"/>
      <c r="X3472" s="82"/>
      <c r="Y3472" s="82"/>
      <c r="Z3472" s="82"/>
      <c r="AA3472" s="82"/>
      <c r="AB3472" s="82"/>
      <c r="AC3472" s="82"/>
      <c r="AD3472" s="82"/>
      <c r="AE3472" s="82"/>
      <c r="AF3472" s="82"/>
      <c r="AG3472" s="82"/>
      <c r="AH3472" s="82"/>
      <c r="AI3472" s="82"/>
      <c r="AJ3472" s="82"/>
      <c r="AK3472" s="82"/>
      <c r="AL3472" s="82"/>
      <c r="AM3472" s="82"/>
      <c r="AN3472" s="82">
        <f>IFERROR(__xludf.DUMMYFUNCTION("""COMPUTED_VALUE"""),0.0)</f>
        <v>0</v>
      </c>
      <c r="AO3472" s="82">
        <f>IFERROR(__xludf.DUMMYFUNCTION("""COMPUTED_VALUE"""),0.0)</f>
        <v>0</v>
      </c>
      <c r="AP3472" s="82">
        <f>IFERROR(__xludf.DUMMYFUNCTION("""COMPUTED_VALUE"""),0.0)</f>
        <v>0</v>
      </c>
      <c r="AQ3472" s="82">
        <f>IFERROR(__xludf.DUMMYFUNCTION("""COMPUTED_VALUE"""),0.0)</f>
        <v>0</v>
      </c>
      <c r="AR3472" s="82">
        <f>IFERROR(__xludf.DUMMYFUNCTION("""COMPUTED_VALUE"""),0.0)</f>
        <v>0</v>
      </c>
      <c r="AS3472" s="82"/>
      <c r="AT3472" s="82">
        <f>IFERROR(__xludf.DUMMYFUNCTION("""COMPUTED_VALUE"""),0.0)</f>
        <v>0</v>
      </c>
      <c r="AU3472" s="82"/>
      <c r="AV3472" s="82"/>
      <c r="AW3472" s="82" t="str">
        <f t="shared" si="1"/>
        <v/>
      </c>
      <c r="AX3472" s="83" t="str">
        <f t="array" ref="AX3472">IFERROR(DGET('SBV Import'!A:G,"SBV",{"RSC ID","Tier";B3472,A3472}))</f>
        <v/>
      </c>
      <c r="AY3472" s="82" t="str">
        <f t="shared" si="2"/>
        <v/>
      </c>
      <c r="AZ3472" s="82"/>
      <c r="BA3472" s="84" t="s">
        <v>152</v>
      </c>
      <c r="BB3472" s="84" t="str">
        <f>IFERROR(__xludf.DUMMYFUNCTION("iferror(if(A3472="""",,E3472&gt;=FILTER(Constants!$F$2:$F$10,Constants!$A$2:$A$10=A3472)))"),"")</f>
        <v/>
      </c>
    </row>
    <row r="3473">
      <c r="A3473" s="89"/>
      <c r="B3473" s="87"/>
      <c r="C3473" s="73"/>
      <c r="D3473" s="73"/>
      <c r="E3473" s="82"/>
      <c r="F3473" s="82"/>
      <c r="G3473" s="86"/>
      <c r="H3473" s="86"/>
      <c r="I3473" s="86"/>
      <c r="J3473" s="82"/>
      <c r="K3473" s="82"/>
      <c r="L3473" s="82"/>
      <c r="M3473" s="82"/>
      <c r="N3473" s="82"/>
      <c r="O3473" s="82"/>
      <c r="P3473" s="82"/>
      <c r="Q3473" s="82"/>
      <c r="R3473" s="82"/>
      <c r="S3473" s="82"/>
      <c r="T3473" s="82"/>
      <c r="U3473" s="82"/>
      <c r="V3473" s="82"/>
      <c r="W3473" s="82"/>
      <c r="X3473" s="82"/>
      <c r="Y3473" s="82"/>
      <c r="Z3473" s="82"/>
      <c r="AA3473" s="82"/>
      <c r="AB3473" s="82"/>
      <c r="AC3473" s="82"/>
      <c r="AD3473" s="82"/>
      <c r="AE3473" s="82"/>
      <c r="AF3473" s="82"/>
      <c r="AG3473" s="82"/>
      <c r="AH3473" s="82"/>
      <c r="AI3473" s="82"/>
      <c r="AJ3473" s="82"/>
      <c r="AK3473" s="82"/>
      <c r="AL3473" s="82"/>
      <c r="AM3473" s="82"/>
      <c r="AN3473" s="82">
        <f>IFERROR(__xludf.DUMMYFUNCTION("""COMPUTED_VALUE"""),0.0)</f>
        <v>0</v>
      </c>
      <c r="AO3473" s="82">
        <f>IFERROR(__xludf.DUMMYFUNCTION("""COMPUTED_VALUE"""),0.0)</f>
        <v>0</v>
      </c>
      <c r="AP3473" s="82">
        <f>IFERROR(__xludf.DUMMYFUNCTION("""COMPUTED_VALUE"""),0.0)</f>
        <v>0</v>
      </c>
      <c r="AQ3473" s="82">
        <f>IFERROR(__xludf.DUMMYFUNCTION("""COMPUTED_VALUE"""),0.0)</f>
        <v>0</v>
      </c>
      <c r="AR3473" s="82">
        <f>IFERROR(__xludf.DUMMYFUNCTION("""COMPUTED_VALUE"""),0.0)</f>
        <v>0</v>
      </c>
      <c r="AS3473" s="82"/>
      <c r="AT3473" s="82">
        <f>IFERROR(__xludf.DUMMYFUNCTION("""COMPUTED_VALUE"""),0.0)</f>
        <v>0</v>
      </c>
      <c r="AU3473" s="82"/>
      <c r="AV3473" s="82"/>
      <c r="AW3473" s="82" t="str">
        <f t="shared" si="1"/>
        <v/>
      </c>
      <c r="AX3473" s="83" t="str">
        <f t="array" ref="AX3473">IFERROR(DGET('SBV Import'!A:G,"SBV",{"RSC ID","Tier";B3473,A3473}))</f>
        <v/>
      </c>
      <c r="AY3473" s="82" t="str">
        <f t="shared" si="2"/>
        <v/>
      </c>
      <c r="AZ3473" s="82"/>
      <c r="BA3473" s="84" t="s">
        <v>152</v>
      </c>
      <c r="BB3473" s="84" t="str">
        <f>IFERROR(__xludf.DUMMYFUNCTION("iferror(if(A3473="""",,E3473&gt;=FILTER(Constants!$F$2:$F$10,Constants!$A$2:$A$10=A3473)))"),"")</f>
        <v/>
      </c>
    </row>
    <row r="3474">
      <c r="A3474" s="89"/>
      <c r="B3474" s="87"/>
      <c r="C3474" s="73"/>
      <c r="D3474" s="73"/>
      <c r="E3474" s="82"/>
      <c r="F3474" s="82"/>
      <c r="G3474" s="86"/>
      <c r="H3474" s="86"/>
      <c r="I3474" s="86"/>
      <c r="J3474" s="82"/>
      <c r="K3474" s="82"/>
      <c r="L3474" s="82"/>
      <c r="M3474" s="82"/>
      <c r="N3474" s="82"/>
      <c r="O3474" s="82"/>
      <c r="P3474" s="82"/>
      <c r="Q3474" s="82"/>
      <c r="R3474" s="82"/>
      <c r="S3474" s="82"/>
      <c r="T3474" s="82"/>
      <c r="U3474" s="82"/>
      <c r="V3474" s="82"/>
      <c r="W3474" s="82"/>
      <c r="X3474" s="82"/>
      <c r="Y3474" s="82"/>
      <c r="Z3474" s="82"/>
      <c r="AA3474" s="82"/>
      <c r="AB3474" s="82"/>
      <c r="AC3474" s="82"/>
      <c r="AD3474" s="82"/>
      <c r="AE3474" s="82"/>
      <c r="AF3474" s="82"/>
      <c r="AG3474" s="82"/>
      <c r="AH3474" s="82"/>
      <c r="AI3474" s="82"/>
      <c r="AJ3474" s="82"/>
      <c r="AK3474" s="82"/>
      <c r="AL3474" s="82"/>
      <c r="AM3474" s="82"/>
      <c r="AN3474" s="82">
        <f>IFERROR(__xludf.DUMMYFUNCTION("""COMPUTED_VALUE"""),0.0)</f>
        <v>0</v>
      </c>
      <c r="AO3474" s="82">
        <f>IFERROR(__xludf.DUMMYFUNCTION("""COMPUTED_VALUE"""),0.0)</f>
        <v>0</v>
      </c>
      <c r="AP3474" s="82">
        <f>IFERROR(__xludf.DUMMYFUNCTION("""COMPUTED_VALUE"""),0.0)</f>
        <v>0</v>
      </c>
      <c r="AQ3474" s="82">
        <f>IFERROR(__xludf.DUMMYFUNCTION("""COMPUTED_VALUE"""),0.0)</f>
        <v>0</v>
      </c>
      <c r="AR3474" s="82">
        <f>IFERROR(__xludf.DUMMYFUNCTION("""COMPUTED_VALUE"""),0.0)</f>
        <v>0</v>
      </c>
      <c r="AS3474" s="82"/>
      <c r="AT3474" s="82">
        <f>IFERROR(__xludf.DUMMYFUNCTION("""COMPUTED_VALUE"""),0.0)</f>
        <v>0</v>
      </c>
      <c r="AU3474" s="82"/>
      <c r="AV3474" s="82"/>
      <c r="AW3474" s="82" t="str">
        <f t="shared" si="1"/>
        <v/>
      </c>
      <c r="AX3474" s="83" t="str">
        <f t="array" ref="AX3474">IFERROR(DGET('SBV Import'!A:G,"SBV",{"RSC ID","Tier";B3474,A3474}))</f>
        <v/>
      </c>
      <c r="AY3474" s="82" t="str">
        <f t="shared" si="2"/>
        <v/>
      </c>
      <c r="AZ3474" s="82"/>
      <c r="BA3474" s="84" t="s">
        <v>152</v>
      </c>
      <c r="BB3474" s="84" t="str">
        <f>IFERROR(__xludf.DUMMYFUNCTION("iferror(if(A3474="""",,E3474&gt;=FILTER(Constants!$F$2:$F$10,Constants!$A$2:$A$10=A3474)))"),"")</f>
        <v/>
      </c>
    </row>
    <row r="3475">
      <c r="A3475" s="89"/>
      <c r="B3475" s="87"/>
      <c r="C3475" s="73"/>
      <c r="D3475" s="73"/>
      <c r="E3475" s="82"/>
      <c r="F3475" s="82"/>
      <c r="G3475" s="86"/>
      <c r="H3475" s="86"/>
      <c r="I3475" s="86"/>
      <c r="J3475" s="82"/>
      <c r="K3475" s="82"/>
      <c r="L3475" s="82"/>
      <c r="M3475" s="82"/>
      <c r="N3475" s="82"/>
      <c r="O3475" s="82"/>
      <c r="P3475" s="82"/>
      <c r="Q3475" s="82"/>
      <c r="R3475" s="82"/>
      <c r="S3475" s="82"/>
      <c r="T3475" s="82"/>
      <c r="U3475" s="82"/>
      <c r="V3475" s="82"/>
      <c r="W3475" s="82"/>
      <c r="X3475" s="82"/>
      <c r="Y3475" s="82"/>
      <c r="Z3475" s="82"/>
      <c r="AA3475" s="82"/>
      <c r="AB3475" s="82"/>
      <c r="AC3475" s="82"/>
      <c r="AD3475" s="82"/>
      <c r="AE3475" s="82"/>
      <c r="AF3475" s="82"/>
      <c r="AG3475" s="82"/>
      <c r="AH3475" s="82"/>
      <c r="AI3475" s="82"/>
      <c r="AJ3475" s="82"/>
      <c r="AK3475" s="82"/>
      <c r="AL3475" s="82"/>
      <c r="AM3475" s="82"/>
      <c r="AN3475" s="82">
        <f>IFERROR(__xludf.DUMMYFUNCTION("""COMPUTED_VALUE"""),0.0)</f>
        <v>0</v>
      </c>
      <c r="AO3475" s="82">
        <f>IFERROR(__xludf.DUMMYFUNCTION("""COMPUTED_VALUE"""),0.0)</f>
        <v>0</v>
      </c>
      <c r="AP3475" s="82">
        <f>IFERROR(__xludf.DUMMYFUNCTION("""COMPUTED_VALUE"""),0.0)</f>
        <v>0</v>
      </c>
      <c r="AQ3475" s="82">
        <f>IFERROR(__xludf.DUMMYFUNCTION("""COMPUTED_VALUE"""),0.0)</f>
        <v>0</v>
      </c>
      <c r="AR3475" s="82">
        <f>IFERROR(__xludf.DUMMYFUNCTION("""COMPUTED_VALUE"""),0.0)</f>
        <v>0</v>
      </c>
      <c r="AS3475" s="82"/>
      <c r="AT3475" s="82">
        <f>IFERROR(__xludf.DUMMYFUNCTION("""COMPUTED_VALUE"""),0.0)</f>
        <v>0</v>
      </c>
      <c r="AU3475" s="82"/>
      <c r="AV3475" s="82"/>
      <c r="AW3475" s="82" t="str">
        <f t="shared" si="1"/>
        <v/>
      </c>
      <c r="AX3475" s="83" t="str">
        <f t="array" ref="AX3475">IFERROR(DGET('SBV Import'!A:G,"SBV",{"RSC ID","Tier";B3475,A3475}))</f>
        <v/>
      </c>
      <c r="AY3475" s="82" t="str">
        <f t="shared" si="2"/>
        <v/>
      </c>
      <c r="AZ3475" s="82"/>
      <c r="BA3475" s="84" t="s">
        <v>152</v>
      </c>
      <c r="BB3475" s="84" t="str">
        <f>IFERROR(__xludf.DUMMYFUNCTION("iferror(if(A3475="""",,E3475&gt;=FILTER(Constants!$F$2:$F$10,Constants!$A$2:$A$10=A3475)))"),"")</f>
        <v/>
      </c>
    </row>
    <row r="3476">
      <c r="A3476" s="89"/>
      <c r="B3476" s="87"/>
      <c r="C3476" s="73"/>
      <c r="D3476" s="73"/>
      <c r="E3476" s="82"/>
      <c r="F3476" s="82"/>
      <c r="G3476" s="86"/>
      <c r="H3476" s="86"/>
      <c r="I3476" s="86"/>
      <c r="J3476" s="82"/>
      <c r="K3476" s="82"/>
      <c r="L3476" s="82"/>
      <c r="M3476" s="82"/>
      <c r="N3476" s="82"/>
      <c r="O3476" s="82"/>
      <c r="P3476" s="82"/>
      <c r="Q3476" s="82"/>
      <c r="R3476" s="82"/>
      <c r="S3476" s="82"/>
      <c r="T3476" s="82"/>
      <c r="U3476" s="82"/>
      <c r="V3476" s="82"/>
      <c r="W3476" s="82"/>
      <c r="X3476" s="82"/>
      <c r="Y3476" s="82"/>
      <c r="Z3476" s="82"/>
      <c r="AA3476" s="82"/>
      <c r="AB3476" s="82"/>
      <c r="AC3476" s="82"/>
      <c r="AD3476" s="82"/>
      <c r="AE3476" s="82"/>
      <c r="AF3476" s="82"/>
      <c r="AG3476" s="82"/>
      <c r="AH3476" s="82"/>
      <c r="AI3476" s="82"/>
      <c r="AJ3476" s="82"/>
      <c r="AK3476" s="82"/>
      <c r="AL3476" s="82"/>
      <c r="AM3476" s="82"/>
      <c r="AN3476" s="82">
        <f>IFERROR(__xludf.DUMMYFUNCTION("""COMPUTED_VALUE"""),0.0)</f>
        <v>0</v>
      </c>
      <c r="AO3476" s="82">
        <f>IFERROR(__xludf.DUMMYFUNCTION("""COMPUTED_VALUE"""),0.0)</f>
        <v>0</v>
      </c>
      <c r="AP3476" s="82">
        <f>IFERROR(__xludf.DUMMYFUNCTION("""COMPUTED_VALUE"""),0.0)</f>
        <v>0</v>
      </c>
      <c r="AQ3476" s="82">
        <f>IFERROR(__xludf.DUMMYFUNCTION("""COMPUTED_VALUE"""),0.0)</f>
        <v>0</v>
      </c>
      <c r="AR3476" s="82">
        <f>IFERROR(__xludf.DUMMYFUNCTION("""COMPUTED_VALUE"""),0.0)</f>
        <v>0</v>
      </c>
      <c r="AS3476" s="82"/>
      <c r="AT3476" s="82">
        <f>IFERROR(__xludf.DUMMYFUNCTION("""COMPUTED_VALUE"""),0.0)</f>
        <v>0</v>
      </c>
      <c r="AU3476" s="82"/>
      <c r="AV3476" s="82"/>
      <c r="AW3476" s="82" t="str">
        <f t="shared" si="1"/>
        <v/>
      </c>
      <c r="AX3476" s="83" t="str">
        <f t="array" ref="AX3476">IFERROR(DGET('SBV Import'!A:G,"SBV",{"RSC ID","Tier";B3476,A3476}))</f>
        <v/>
      </c>
      <c r="AY3476" s="82" t="str">
        <f t="shared" si="2"/>
        <v/>
      </c>
      <c r="AZ3476" s="82"/>
      <c r="BA3476" s="84" t="s">
        <v>152</v>
      </c>
      <c r="BB3476" s="84" t="str">
        <f>IFERROR(__xludf.DUMMYFUNCTION("iferror(if(A3476="""",,E3476&gt;=FILTER(Constants!$F$2:$F$10,Constants!$A$2:$A$10=A3476)))"),"")</f>
        <v/>
      </c>
    </row>
    <row r="3477">
      <c r="A3477" s="89"/>
      <c r="B3477" s="87"/>
      <c r="C3477" s="73"/>
      <c r="D3477" s="73"/>
      <c r="E3477" s="82"/>
      <c r="F3477" s="82"/>
      <c r="G3477" s="86"/>
      <c r="H3477" s="86"/>
      <c r="I3477" s="86"/>
      <c r="J3477" s="82"/>
      <c r="K3477" s="82"/>
      <c r="L3477" s="82"/>
      <c r="M3477" s="82"/>
      <c r="N3477" s="82"/>
      <c r="O3477" s="82"/>
      <c r="P3477" s="82"/>
      <c r="Q3477" s="82"/>
      <c r="R3477" s="82"/>
      <c r="S3477" s="82"/>
      <c r="T3477" s="82"/>
      <c r="U3477" s="82"/>
      <c r="V3477" s="82"/>
      <c r="W3477" s="82"/>
      <c r="X3477" s="82"/>
      <c r="Y3477" s="82"/>
      <c r="Z3477" s="82"/>
      <c r="AA3477" s="82"/>
      <c r="AB3477" s="82"/>
      <c r="AC3477" s="82"/>
      <c r="AD3477" s="82"/>
      <c r="AE3477" s="82"/>
      <c r="AF3477" s="82"/>
      <c r="AG3477" s="82"/>
      <c r="AH3477" s="82"/>
      <c r="AI3477" s="82"/>
      <c r="AJ3477" s="82"/>
      <c r="AK3477" s="82"/>
      <c r="AL3477" s="82"/>
      <c r="AM3477" s="82"/>
      <c r="AN3477" s="82">
        <f>IFERROR(__xludf.DUMMYFUNCTION("""COMPUTED_VALUE"""),0.0)</f>
        <v>0</v>
      </c>
      <c r="AO3477" s="82">
        <f>IFERROR(__xludf.DUMMYFUNCTION("""COMPUTED_VALUE"""),0.0)</f>
        <v>0</v>
      </c>
      <c r="AP3477" s="82">
        <f>IFERROR(__xludf.DUMMYFUNCTION("""COMPUTED_VALUE"""),0.0)</f>
        <v>0</v>
      </c>
      <c r="AQ3477" s="82">
        <f>IFERROR(__xludf.DUMMYFUNCTION("""COMPUTED_VALUE"""),0.0)</f>
        <v>0</v>
      </c>
      <c r="AR3477" s="82">
        <f>IFERROR(__xludf.DUMMYFUNCTION("""COMPUTED_VALUE"""),0.0)</f>
        <v>0</v>
      </c>
      <c r="AS3477" s="82"/>
      <c r="AT3477" s="82">
        <f>IFERROR(__xludf.DUMMYFUNCTION("""COMPUTED_VALUE"""),0.0)</f>
        <v>0</v>
      </c>
      <c r="AU3477" s="82"/>
      <c r="AV3477" s="82"/>
      <c r="AW3477" s="82" t="str">
        <f t="shared" si="1"/>
        <v/>
      </c>
      <c r="AX3477" s="83" t="str">
        <f t="array" ref="AX3477">IFERROR(DGET('SBV Import'!A:G,"SBV",{"RSC ID","Tier";B3477,A3477}))</f>
        <v/>
      </c>
      <c r="AY3477" s="82" t="str">
        <f t="shared" si="2"/>
        <v/>
      </c>
      <c r="AZ3477" s="82"/>
      <c r="BA3477" s="84" t="s">
        <v>152</v>
      </c>
      <c r="BB3477" s="84" t="str">
        <f>IFERROR(__xludf.DUMMYFUNCTION("iferror(if(A3477="""",,E3477&gt;=FILTER(Constants!$F$2:$F$10,Constants!$A$2:$A$10=A3477)))"),"")</f>
        <v/>
      </c>
    </row>
    <row r="3478">
      <c r="A3478" s="89"/>
      <c r="B3478" s="87"/>
      <c r="C3478" s="73"/>
      <c r="D3478" s="73"/>
      <c r="E3478" s="82"/>
      <c r="F3478" s="82"/>
      <c r="G3478" s="86"/>
      <c r="H3478" s="86"/>
      <c r="I3478" s="86"/>
      <c r="J3478" s="82"/>
      <c r="K3478" s="82"/>
      <c r="L3478" s="82"/>
      <c r="M3478" s="82"/>
      <c r="N3478" s="82"/>
      <c r="O3478" s="82"/>
      <c r="P3478" s="82"/>
      <c r="Q3478" s="82"/>
      <c r="R3478" s="82"/>
      <c r="S3478" s="82"/>
      <c r="T3478" s="82"/>
      <c r="U3478" s="82"/>
      <c r="V3478" s="82"/>
      <c r="W3478" s="82"/>
      <c r="X3478" s="82"/>
      <c r="Y3478" s="82"/>
      <c r="Z3478" s="82"/>
      <c r="AA3478" s="82"/>
      <c r="AB3478" s="82"/>
      <c r="AC3478" s="82"/>
      <c r="AD3478" s="82"/>
      <c r="AE3478" s="82"/>
      <c r="AF3478" s="82"/>
      <c r="AG3478" s="82"/>
      <c r="AH3478" s="82"/>
      <c r="AI3478" s="82"/>
      <c r="AJ3478" s="82"/>
      <c r="AK3478" s="82"/>
      <c r="AL3478" s="82"/>
      <c r="AM3478" s="82"/>
      <c r="AN3478" s="82">
        <f>IFERROR(__xludf.DUMMYFUNCTION("""COMPUTED_VALUE"""),0.0)</f>
        <v>0</v>
      </c>
      <c r="AO3478" s="82">
        <f>IFERROR(__xludf.DUMMYFUNCTION("""COMPUTED_VALUE"""),0.0)</f>
        <v>0</v>
      </c>
      <c r="AP3478" s="82">
        <f>IFERROR(__xludf.DUMMYFUNCTION("""COMPUTED_VALUE"""),0.0)</f>
        <v>0</v>
      </c>
      <c r="AQ3478" s="82">
        <f>IFERROR(__xludf.DUMMYFUNCTION("""COMPUTED_VALUE"""),0.0)</f>
        <v>0</v>
      </c>
      <c r="AR3478" s="82">
        <f>IFERROR(__xludf.DUMMYFUNCTION("""COMPUTED_VALUE"""),0.0)</f>
        <v>0</v>
      </c>
      <c r="AS3478" s="82"/>
      <c r="AT3478" s="82">
        <f>IFERROR(__xludf.DUMMYFUNCTION("""COMPUTED_VALUE"""),0.0)</f>
        <v>0</v>
      </c>
      <c r="AU3478" s="82"/>
      <c r="AV3478" s="82"/>
      <c r="AW3478" s="82" t="str">
        <f t="shared" si="1"/>
        <v/>
      </c>
      <c r="AX3478" s="83" t="str">
        <f t="array" ref="AX3478">IFERROR(DGET('SBV Import'!A:G,"SBV",{"RSC ID","Tier";B3478,A3478}))</f>
        <v/>
      </c>
      <c r="AY3478" s="82" t="str">
        <f t="shared" si="2"/>
        <v/>
      </c>
      <c r="AZ3478" s="82"/>
      <c r="BA3478" s="84" t="s">
        <v>152</v>
      </c>
      <c r="BB3478" s="84" t="str">
        <f>IFERROR(__xludf.DUMMYFUNCTION("iferror(if(A3478="""",,E3478&gt;=FILTER(Constants!$F$2:$F$10,Constants!$A$2:$A$10=A3478)))"),"")</f>
        <v/>
      </c>
    </row>
    <row r="3479">
      <c r="A3479" s="89"/>
      <c r="B3479" s="87"/>
      <c r="C3479" s="73"/>
      <c r="D3479" s="73"/>
      <c r="E3479" s="82"/>
      <c r="F3479" s="82"/>
      <c r="G3479" s="86"/>
      <c r="H3479" s="86"/>
      <c r="I3479" s="86"/>
      <c r="J3479" s="82"/>
      <c r="K3479" s="82"/>
      <c r="L3479" s="82"/>
      <c r="M3479" s="82"/>
      <c r="N3479" s="82"/>
      <c r="O3479" s="82"/>
      <c r="P3479" s="82"/>
      <c r="Q3479" s="82"/>
      <c r="R3479" s="82"/>
      <c r="S3479" s="82"/>
      <c r="T3479" s="82"/>
      <c r="U3479" s="82"/>
      <c r="V3479" s="82"/>
      <c r="W3479" s="82"/>
      <c r="X3479" s="82"/>
      <c r="Y3479" s="82"/>
      <c r="Z3479" s="82"/>
      <c r="AA3479" s="82"/>
      <c r="AB3479" s="82"/>
      <c r="AC3479" s="82"/>
      <c r="AD3479" s="82"/>
      <c r="AE3479" s="82"/>
      <c r="AF3479" s="82"/>
      <c r="AG3479" s="82"/>
      <c r="AH3479" s="82"/>
      <c r="AI3479" s="82"/>
      <c r="AJ3479" s="82"/>
      <c r="AK3479" s="82"/>
      <c r="AL3479" s="82"/>
      <c r="AM3479" s="82"/>
      <c r="AN3479" s="82">
        <f>IFERROR(__xludf.DUMMYFUNCTION("""COMPUTED_VALUE"""),0.0)</f>
        <v>0</v>
      </c>
      <c r="AO3479" s="82">
        <f>IFERROR(__xludf.DUMMYFUNCTION("""COMPUTED_VALUE"""),0.0)</f>
        <v>0</v>
      </c>
      <c r="AP3479" s="82">
        <f>IFERROR(__xludf.DUMMYFUNCTION("""COMPUTED_VALUE"""),0.0)</f>
        <v>0</v>
      </c>
      <c r="AQ3479" s="82">
        <f>IFERROR(__xludf.DUMMYFUNCTION("""COMPUTED_VALUE"""),0.0)</f>
        <v>0</v>
      </c>
      <c r="AR3479" s="82">
        <f>IFERROR(__xludf.DUMMYFUNCTION("""COMPUTED_VALUE"""),0.0)</f>
        <v>0</v>
      </c>
      <c r="AS3479" s="82"/>
      <c r="AT3479" s="82">
        <f>IFERROR(__xludf.DUMMYFUNCTION("""COMPUTED_VALUE"""),0.0)</f>
        <v>0</v>
      </c>
      <c r="AU3479" s="82"/>
      <c r="AV3479" s="82"/>
      <c r="AW3479" s="82" t="str">
        <f t="shared" si="1"/>
        <v/>
      </c>
      <c r="AX3479" s="83" t="str">
        <f t="array" ref="AX3479">IFERROR(DGET('SBV Import'!A:G,"SBV",{"RSC ID","Tier";B3479,A3479}))</f>
        <v/>
      </c>
      <c r="AY3479" s="82" t="str">
        <f t="shared" si="2"/>
        <v/>
      </c>
      <c r="AZ3479" s="82"/>
      <c r="BA3479" s="84" t="s">
        <v>152</v>
      </c>
      <c r="BB3479" s="84" t="str">
        <f>IFERROR(__xludf.DUMMYFUNCTION("iferror(if(A3479="""",,E3479&gt;=FILTER(Constants!$F$2:$F$10,Constants!$A$2:$A$10=A3479)))"),"")</f>
        <v/>
      </c>
    </row>
    <row r="3480">
      <c r="A3480" s="89"/>
      <c r="B3480" s="87"/>
      <c r="C3480" s="73"/>
      <c r="D3480" s="73"/>
      <c r="E3480" s="82"/>
      <c r="F3480" s="82"/>
      <c r="G3480" s="86"/>
      <c r="H3480" s="86"/>
      <c r="I3480" s="86"/>
      <c r="J3480" s="82"/>
      <c r="K3480" s="82"/>
      <c r="L3480" s="82"/>
      <c r="M3480" s="82"/>
      <c r="N3480" s="82"/>
      <c r="O3480" s="82"/>
      <c r="P3480" s="82"/>
      <c r="Q3480" s="82"/>
      <c r="R3480" s="82"/>
      <c r="S3480" s="82"/>
      <c r="T3480" s="82"/>
      <c r="U3480" s="82"/>
      <c r="V3480" s="82"/>
      <c r="W3480" s="82"/>
      <c r="X3480" s="82"/>
      <c r="Y3480" s="82"/>
      <c r="Z3480" s="82"/>
      <c r="AA3480" s="82"/>
      <c r="AB3480" s="82"/>
      <c r="AC3480" s="82"/>
      <c r="AD3480" s="82"/>
      <c r="AE3480" s="82"/>
      <c r="AF3480" s="82"/>
      <c r="AG3480" s="82"/>
      <c r="AH3480" s="82"/>
      <c r="AI3480" s="82"/>
      <c r="AJ3480" s="82"/>
      <c r="AK3480" s="82"/>
      <c r="AL3480" s="82"/>
      <c r="AM3480" s="82"/>
      <c r="AN3480" s="82">
        <f>IFERROR(__xludf.DUMMYFUNCTION("""COMPUTED_VALUE"""),0.0)</f>
        <v>0</v>
      </c>
      <c r="AO3480" s="82">
        <f>IFERROR(__xludf.DUMMYFUNCTION("""COMPUTED_VALUE"""),0.0)</f>
        <v>0</v>
      </c>
      <c r="AP3480" s="82">
        <f>IFERROR(__xludf.DUMMYFUNCTION("""COMPUTED_VALUE"""),0.0)</f>
        <v>0</v>
      </c>
      <c r="AQ3480" s="82">
        <f>IFERROR(__xludf.DUMMYFUNCTION("""COMPUTED_VALUE"""),0.0)</f>
        <v>0</v>
      </c>
      <c r="AR3480" s="82">
        <f>IFERROR(__xludf.DUMMYFUNCTION("""COMPUTED_VALUE"""),0.0)</f>
        <v>0</v>
      </c>
      <c r="AS3480" s="82"/>
      <c r="AT3480" s="82">
        <f>IFERROR(__xludf.DUMMYFUNCTION("""COMPUTED_VALUE"""),0.0)</f>
        <v>0</v>
      </c>
      <c r="AU3480" s="82"/>
      <c r="AV3480" s="82"/>
      <c r="AW3480" s="82" t="str">
        <f t="shared" si="1"/>
        <v/>
      </c>
      <c r="AX3480" s="83" t="str">
        <f t="array" ref="AX3480">IFERROR(DGET('SBV Import'!A:G,"SBV",{"RSC ID","Tier";B3480,A3480}))</f>
        <v/>
      </c>
      <c r="AY3480" s="82" t="str">
        <f t="shared" si="2"/>
        <v/>
      </c>
      <c r="AZ3480" s="82"/>
      <c r="BA3480" s="84" t="s">
        <v>152</v>
      </c>
      <c r="BB3480" s="84" t="str">
        <f>IFERROR(__xludf.DUMMYFUNCTION("iferror(if(A3480="""",,E3480&gt;=FILTER(Constants!$F$2:$F$10,Constants!$A$2:$A$10=A3480)))"),"")</f>
        <v/>
      </c>
    </row>
    <row r="3481">
      <c r="A3481" s="89"/>
      <c r="B3481" s="87"/>
      <c r="C3481" s="73"/>
      <c r="D3481" s="73"/>
      <c r="E3481" s="82"/>
      <c r="F3481" s="82"/>
      <c r="G3481" s="86"/>
      <c r="H3481" s="86"/>
      <c r="I3481" s="86"/>
      <c r="J3481" s="82"/>
      <c r="K3481" s="82"/>
      <c r="L3481" s="82"/>
      <c r="M3481" s="82"/>
      <c r="N3481" s="82"/>
      <c r="O3481" s="82"/>
      <c r="P3481" s="82"/>
      <c r="Q3481" s="82"/>
      <c r="R3481" s="82"/>
      <c r="S3481" s="82"/>
      <c r="T3481" s="82"/>
      <c r="U3481" s="82"/>
      <c r="V3481" s="82"/>
      <c r="W3481" s="82"/>
      <c r="X3481" s="82"/>
      <c r="Y3481" s="82"/>
      <c r="Z3481" s="82"/>
      <c r="AA3481" s="82"/>
      <c r="AB3481" s="82"/>
      <c r="AC3481" s="82"/>
      <c r="AD3481" s="82"/>
      <c r="AE3481" s="82"/>
      <c r="AF3481" s="82"/>
      <c r="AG3481" s="82"/>
      <c r="AH3481" s="82"/>
      <c r="AI3481" s="82"/>
      <c r="AJ3481" s="82"/>
      <c r="AK3481" s="82"/>
      <c r="AL3481" s="82"/>
      <c r="AM3481" s="82"/>
      <c r="AN3481" s="82">
        <f>IFERROR(__xludf.DUMMYFUNCTION("""COMPUTED_VALUE"""),0.0)</f>
        <v>0</v>
      </c>
      <c r="AO3481" s="82">
        <f>IFERROR(__xludf.DUMMYFUNCTION("""COMPUTED_VALUE"""),0.0)</f>
        <v>0</v>
      </c>
      <c r="AP3481" s="82">
        <f>IFERROR(__xludf.DUMMYFUNCTION("""COMPUTED_VALUE"""),0.0)</f>
        <v>0</v>
      </c>
      <c r="AQ3481" s="82">
        <f>IFERROR(__xludf.DUMMYFUNCTION("""COMPUTED_VALUE"""),0.0)</f>
        <v>0</v>
      </c>
      <c r="AR3481" s="82">
        <f>IFERROR(__xludf.DUMMYFUNCTION("""COMPUTED_VALUE"""),0.0)</f>
        <v>0</v>
      </c>
      <c r="AS3481" s="82"/>
      <c r="AT3481" s="82">
        <f>IFERROR(__xludf.DUMMYFUNCTION("""COMPUTED_VALUE"""),0.0)</f>
        <v>0</v>
      </c>
      <c r="AU3481" s="82"/>
      <c r="AV3481" s="82"/>
      <c r="AW3481" s="82" t="str">
        <f t="shared" si="1"/>
        <v/>
      </c>
      <c r="AX3481" s="83" t="str">
        <f t="array" ref="AX3481">IFERROR(DGET('SBV Import'!A:G,"SBV",{"RSC ID","Tier";B3481,A3481}))</f>
        <v/>
      </c>
      <c r="AY3481" s="82" t="str">
        <f t="shared" si="2"/>
        <v/>
      </c>
      <c r="AZ3481" s="82"/>
      <c r="BA3481" s="84" t="s">
        <v>152</v>
      </c>
      <c r="BB3481" s="84" t="str">
        <f>IFERROR(__xludf.DUMMYFUNCTION("iferror(if(A3481="""",,E3481&gt;=FILTER(Constants!$F$2:$F$10,Constants!$A$2:$A$10=A3481)))"),"")</f>
        <v/>
      </c>
    </row>
    <row r="3482">
      <c r="A3482" s="89"/>
      <c r="B3482" s="87"/>
      <c r="C3482" s="73"/>
      <c r="D3482" s="73"/>
      <c r="E3482" s="82"/>
      <c r="F3482" s="82"/>
      <c r="G3482" s="86"/>
      <c r="H3482" s="86"/>
      <c r="I3482" s="86"/>
      <c r="J3482" s="82"/>
      <c r="K3482" s="82"/>
      <c r="L3482" s="82"/>
      <c r="M3482" s="82"/>
      <c r="N3482" s="82"/>
      <c r="O3482" s="82"/>
      <c r="P3482" s="82"/>
      <c r="Q3482" s="82"/>
      <c r="R3482" s="82"/>
      <c r="S3482" s="82"/>
      <c r="T3482" s="82"/>
      <c r="U3482" s="82"/>
      <c r="V3482" s="82"/>
      <c r="W3482" s="82"/>
      <c r="X3482" s="82"/>
      <c r="Y3482" s="82"/>
      <c r="Z3482" s="82"/>
      <c r="AA3482" s="82"/>
      <c r="AB3482" s="82"/>
      <c r="AC3482" s="82"/>
      <c r="AD3482" s="82"/>
      <c r="AE3482" s="82"/>
      <c r="AF3482" s="82"/>
      <c r="AG3482" s="82"/>
      <c r="AH3482" s="82"/>
      <c r="AI3482" s="82"/>
      <c r="AJ3482" s="82"/>
      <c r="AK3482" s="82"/>
      <c r="AL3482" s="82"/>
      <c r="AM3482" s="82"/>
      <c r="AN3482" s="82">
        <f>IFERROR(__xludf.DUMMYFUNCTION("""COMPUTED_VALUE"""),0.0)</f>
        <v>0</v>
      </c>
      <c r="AO3482" s="82">
        <f>IFERROR(__xludf.DUMMYFUNCTION("""COMPUTED_VALUE"""),0.0)</f>
        <v>0</v>
      </c>
      <c r="AP3482" s="82">
        <f>IFERROR(__xludf.DUMMYFUNCTION("""COMPUTED_VALUE"""),0.0)</f>
        <v>0</v>
      </c>
      <c r="AQ3482" s="82">
        <f>IFERROR(__xludf.DUMMYFUNCTION("""COMPUTED_VALUE"""),0.0)</f>
        <v>0</v>
      </c>
      <c r="AR3482" s="82">
        <f>IFERROR(__xludf.DUMMYFUNCTION("""COMPUTED_VALUE"""),0.0)</f>
        <v>0</v>
      </c>
      <c r="AS3482" s="82"/>
      <c r="AT3482" s="82">
        <f>IFERROR(__xludf.DUMMYFUNCTION("""COMPUTED_VALUE"""),0.0)</f>
        <v>0</v>
      </c>
      <c r="AU3482" s="82"/>
      <c r="AV3482" s="82"/>
      <c r="AW3482" s="82" t="str">
        <f t="shared" si="1"/>
        <v/>
      </c>
      <c r="AX3482" s="83" t="str">
        <f t="array" ref="AX3482">IFERROR(DGET('SBV Import'!A:G,"SBV",{"RSC ID","Tier";B3482,A3482}))</f>
        <v/>
      </c>
      <c r="AY3482" s="82" t="str">
        <f t="shared" si="2"/>
        <v/>
      </c>
      <c r="AZ3482" s="82"/>
      <c r="BA3482" s="84" t="s">
        <v>152</v>
      </c>
      <c r="BB3482" s="84" t="str">
        <f>IFERROR(__xludf.DUMMYFUNCTION("iferror(if(A3482="""",,E3482&gt;=FILTER(Constants!$F$2:$F$10,Constants!$A$2:$A$10=A3482)))"),"")</f>
        <v/>
      </c>
    </row>
    <row r="3483">
      <c r="A3483" s="89"/>
      <c r="B3483" s="87"/>
      <c r="C3483" s="73"/>
      <c r="D3483" s="73"/>
      <c r="E3483" s="82"/>
      <c r="F3483" s="82"/>
      <c r="G3483" s="86"/>
      <c r="H3483" s="86"/>
      <c r="I3483" s="86"/>
      <c r="J3483" s="82"/>
      <c r="K3483" s="82"/>
      <c r="L3483" s="82"/>
      <c r="M3483" s="82"/>
      <c r="N3483" s="82"/>
      <c r="O3483" s="82"/>
      <c r="P3483" s="82"/>
      <c r="Q3483" s="82"/>
      <c r="R3483" s="82"/>
      <c r="S3483" s="82"/>
      <c r="T3483" s="82"/>
      <c r="U3483" s="82"/>
      <c r="V3483" s="82"/>
      <c r="W3483" s="82"/>
      <c r="X3483" s="82"/>
      <c r="Y3483" s="82"/>
      <c r="Z3483" s="82"/>
      <c r="AA3483" s="82"/>
      <c r="AB3483" s="82"/>
      <c r="AC3483" s="82"/>
      <c r="AD3483" s="82"/>
      <c r="AE3483" s="82"/>
      <c r="AF3483" s="82"/>
      <c r="AG3483" s="82"/>
      <c r="AH3483" s="82"/>
      <c r="AI3483" s="82"/>
      <c r="AJ3483" s="82"/>
      <c r="AK3483" s="82"/>
      <c r="AL3483" s="82"/>
      <c r="AM3483" s="82"/>
      <c r="AN3483" s="82">
        <f>IFERROR(__xludf.DUMMYFUNCTION("""COMPUTED_VALUE"""),0.0)</f>
        <v>0</v>
      </c>
      <c r="AO3483" s="82">
        <f>IFERROR(__xludf.DUMMYFUNCTION("""COMPUTED_VALUE"""),0.0)</f>
        <v>0</v>
      </c>
      <c r="AP3483" s="82">
        <f>IFERROR(__xludf.DUMMYFUNCTION("""COMPUTED_VALUE"""),0.0)</f>
        <v>0</v>
      </c>
      <c r="AQ3483" s="82">
        <f>IFERROR(__xludf.DUMMYFUNCTION("""COMPUTED_VALUE"""),0.0)</f>
        <v>0</v>
      </c>
      <c r="AR3483" s="82">
        <f>IFERROR(__xludf.DUMMYFUNCTION("""COMPUTED_VALUE"""),0.0)</f>
        <v>0</v>
      </c>
      <c r="AS3483" s="82"/>
      <c r="AT3483" s="82">
        <f>IFERROR(__xludf.DUMMYFUNCTION("""COMPUTED_VALUE"""),0.0)</f>
        <v>0</v>
      </c>
      <c r="AU3483" s="82"/>
      <c r="AV3483" s="82"/>
      <c r="AW3483" s="82" t="str">
        <f t="shared" si="1"/>
        <v/>
      </c>
      <c r="AX3483" s="83" t="str">
        <f t="array" ref="AX3483">IFERROR(DGET('SBV Import'!A:G,"SBV",{"RSC ID","Tier";B3483,A3483}))</f>
        <v/>
      </c>
      <c r="AY3483" s="82" t="str">
        <f t="shared" si="2"/>
        <v/>
      </c>
      <c r="AZ3483" s="82"/>
      <c r="BA3483" s="84" t="s">
        <v>152</v>
      </c>
      <c r="BB3483" s="84" t="str">
        <f>IFERROR(__xludf.DUMMYFUNCTION("iferror(if(A3483="""",,E3483&gt;=FILTER(Constants!$F$2:$F$10,Constants!$A$2:$A$10=A3483)))"),"")</f>
        <v/>
      </c>
    </row>
    <row r="3484">
      <c r="A3484" s="89"/>
      <c r="B3484" s="87"/>
      <c r="C3484" s="73"/>
      <c r="D3484" s="73"/>
      <c r="E3484" s="82"/>
      <c r="F3484" s="82"/>
      <c r="G3484" s="86"/>
      <c r="H3484" s="86"/>
      <c r="I3484" s="86"/>
      <c r="J3484" s="82"/>
      <c r="K3484" s="82"/>
      <c r="L3484" s="82"/>
      <c r="M3484" s="82"/>
      <c r="N3484" s="82"/>
      <c r="O3484" s="82"/>
      <c r="P3484" s="82"/>
      <c r="Q3484" s="82"/>
      <c r="R3484" s="82"/>
      <c r="S3484" s="82"/>
      <c r="T3484" s="82"/>
      <c r="U3484" s="82"/>
      <c r="V3484" s="82"/>
      <c r="W3484" s="82"/>
      <c r="X3484" s="82"/>
      <c r="Y3484" s="82"/>
      <c r="Z3484" s="82"/>
      <c r="AA3484" s="82"/>
      <c r="AB3484" s="82"/>
      <c r="AC3484" s="82"/>
      <c r="AD3484" s="82"/>
      <c r="AE3484" s="82"/>
      <c r="AF3484" s="82"/>
      <c r="AG3484" s="82"/>
      <c r="AH3484" s="82"/>
      <c r="AI3484" s="82"/>
      <c r="AJ3484" s="82"/>
      <c r="AK3484" s="82"/>
      <c r="AL3484" s="82"/>
      <c r="AM3484" s="82"/>
      <c r="AN3484" s="82">
        <f>IFERROR(__xludf.DUMMYFUNCTION("""COMPUTED_VALUE"""),0.0)</f>
        <v>0</v>
      </c>
      <c r="AO3484" s="82">
        <f>IFERROR(__xludf.DUMMYFUNCTION("""COMPUTED_VALUE"""),0.0)</f>
        <v>0</v>
      </c>
      <c r="AP3484" s="82">
        <f>IFERROR(__xludf.DUMMYFUNCTION("""COMPUTED_VALUE"""),0.0)</f>
        <v>0</v>
      </c>
      <c r="AQ3484" s="82">
        <f>IFERROR(__xludf.DUMMYFUNCTION("""COMPUTED_VALUE"""),0.0)</f>
        <v>0</v>
      </c>
      <c r="AR3484" s="82">
        <f>IFERROR(__xludf.DUMMYFUNCTION("""COMPUTED_VALUE"""),0.0)</f>
        <v>0</v>
      </c>
      <c r="AS3484" s="82"/>
      <c r="AT3484" s="82">
        <f>IFERROR(__xludf.DUMMYFUNCTION("""COMPUTED_VALUE"""),0.0)</f>
        <v>0</v>
      </c>
      <c r="AU3484" s="82"/>
      <c r="AV3484" s="82"/>
      <c r="AW3484" s="82" t="str">
        <f t="shared" si="1"/>
        <v/>
      </c>
      <c r="AX3484" s="83" t="str">
        <f t="array" ref="AX3484">IFERROR(DGET('SBV Import'!A:G,"SBV",{"RSC ID","Tier";B3484,A3484}))</f>
        <v/>
      </c>
      <c r="AY3484" s="82" t="str">
        <f t="shared" si="2"/>
        <v/>
      </c>
      <c r="AZ3484" s="82"/>
      <c r="BA3484" s="84" t="s">
        <v>152</v>
      </c>
      <c r="BB3484" s="84" t="str">
        <f>IFERROR(__xludf.DUMMYFUNCTION("iferror(if(A3484="""",,E3484&gt;=FILTER(Constants!$F$2:$F$10,Constants!$A$2:$A$10=A3484)))"),"")</f>
        <v/>
      </c>
    </row>
    <row r="3485">
      <c r="A3485" s="89"/>
      <c r="B3485" s="87"/>
      <c r="C3485" s="73"/>
      <c r="D3485" s="73"/>
      <c r="E3485" s="82"/>
      <c r="F3485" s="82"/>
      <c r="G3485" s="86"/>
      <c r="H3485" s="86"/>
      <c r="I3485" s="86"/>
      <c r="J3485" s="82"/>
      <c r="K3485" s="82"/>
      <c r="L3485" s="82"/>
      <c r="M3485" s="82"/>
      <c r="N3485" s="82"/>
      <c r="O3485" s="82"/>
      <c r="P3485" s="82"/>
      <c r="Q3485" s="82"/>
      <c r="R3485" s="82"/>
      <c r="S3485" s="82"/>
      <c r="T3485" s="82"/>
      <c r="U3485" s="82"/>
      <c r="V3485" s="82"/>
      <c r="W3485" s="82"/>
      <c r="X3485" s="82"/>
      <c r="Y3485" s="82"/>
      <c r="Z3485" s="82"/>
      <c r="AA3485" s="82"/>
      <c r="AB3485" s="82"/>
      <c r="AC3485" s="82"/>
      <c r="AD3485" s="82"/>
      <c r="AE3485" s="82"/>
      <c r="AF3485" s="82"/>
      <c r="AG3485" s="82"/>
      <c r="AH3485" s="82"/>
      <c r="AI3485" s="82"/>
      <c r="AJ3485" s="82"/>
      <c r="AK3485" s="82"/>
      <c r="AL3485" s="82"/>
      <c r="AM3485" s="82"/>
      <c r="AN3485" s="82">
        <f>IFERROR(__xludf.DUMMYFUNCTION("""COMPUTED_VALUE"""),0.0)</f>
        <v>0</v>
      </c>
      <c r="AO3485" s="82">
        <f>IFERROR(__xludf.DUMMYFUNCTION("""COMPUTED_VALUE"""),0.0)</f>
        <v>0</v>
      </c>
      <c r="AP3485" s="82">
        <f>IFERROR(__xludf.DUMMYFUNCTION("""COMPUTED_VALUE"""),0.0)</f>
        <v>0</v>
      </c>
      <c r="AQ3485" s="82">
        <f>IFERROR(__xludf.DUMMYFUNCTION("""COMPUTED_VALUE"""),0.0)</f>
        <v>0</v>
      </c>
      <c r="AR3485" s="82">
        <f>IFERROR(__xludf.DUMMYFUNCTION("""COMPUTED_VALUE"""),0.0)</f>
        <v>0</v>
      </c>
      <c r="AS3485" s="82"/>
      <c r="AT3485" s="82">
        <f>IFERROR(__xludf.DUMMYFUNCTION("""COMPUTED_VALUE"""),0.0)</f>
        <v>0</v>
      </c>
      <c r="AU3485" s="82"/>
      <c r="AV3485" s="82"/>
      <c r="AW3485" s="82" t="str">
        <f t="shared" si="1"/>
        <v/>
      </c>
      <c r="AX3485" s="83" t="str">
        <f t="array" ref="AX3485">IFERROR(DGET('SBV Import'!A:G,"SBV",{"RSC ID","Tier";B3485,A3485}))</f>
        <v/>
      </c>
      <c r="AY3485" s="82" t="str">
        <f t="shared" si="2"/>
        <v/>
      </c>
      <c r="AZ3485" s="82"/>
      <c r="BA3485" s="84" t="s">
        <v>152</v>
      </c>
      <c r="BB3485" s="84" t="str">
        <f>IFERROR(__xludf.DUMMYFUNCTION("iferror(if(A3485="""",,E3485&gt;=FILTER(Constants!$F$2:$F$10,Constants!$A$2:$A$10=A3485)))"),"")</f>
        <v/>
      </c>
    </row>
    <row r="3486">
      <c r="A3486" s="89"/>
      <c r="B3486" s="87"/>
      <c r="C3486" s="73"/>
      <c r="D3486" s="73"/>
      <c r="E3486" s="82"/>
      <c r="F3486" s="82"/>
      <c r="G3486" s="86"/>
      <c r="H3486" s="86"/>
      <c r="I3486" s="86"/>
      <c r="J3486" s="82"/>
      <c r="K3486" s="82"/>
      <c r="L3486" s="82"/>
      <c r="M3486" s="82"/>
      <c r="N3486" s="82"/>
      <c r="O3486" s="82"/>
      <c r="P3486" s="82"/>
      <c r="Q3486" s="82"/>
      <c r="R3486" s="82"/>
      <c r="S3486" s="82"/>
      <c r="T3486" s="82"/>
      <c r="U3486" s="82"/>
      <c r="V3486" s="82"/>
      <c r="W3486" s="82"/>
      <c r="X3486" s="82"/>
      <c r="Y3486" s="82"/>
      <c r="Z3486" s="82"/>
      <c r="AA3486" s="82"/>
      <c r="AB3486" s="82"/>
      <c r="AC3486" s="82"/>
      <c r="AD3486" s="82"/>
      <c r="AE3486" s="82"/>
      <c r="AF3486" s="82"/>
      <c r="AG3486" s="82"/>
      <c r="AH3486" s="82"/>
      <c r="AI3486" s="82"/>
      <c r="AJ3486" s="82"/>
      <c r="AK3486" s="82"/>
      <c r="AL3486" s="82"/>
      <c r="AM3486" s="82"/>
      <c r="AN3486" s="82">
        <f>IFERROR(__xludf.DUMMYFUNCTION("""COMPUTED_VALUE"""),0.0)</f>
        <v>0</v>
      </c>
      <c r="AO3486" s="82">
        <f>IFERROR(__xludf.DUMMYFUNCTION("""COMPUTED_VALUE"""),0.0)</f>
        <v>0</v>
      </c>
      <c r="AP3486" s="82">
        <f>IFERROR(__xludf.DUMMYFUNCTION("""COMPUTED_VALUE"""),0.0)</f>
        <v>0</v>
      </c>
      <c r="AQ3486" s="82">
        <f>IFERROR(__xludf.DUMMYFUNCTION("""COMPUTED_VALUE"""),0.0)</f>
        <v>0</v>
      </c>
      <c r="AR3486" s="82">
        <f>IFERROR(__xludf.DUMMYFUNCTION("""COMPUTED_VALUE"""),0.0)</f>
        <v>0</v>
      </c>
      <c r="AS3486" s="82"/>
      <c r="AT3486" s="82">
        <f>IFERROR(__xludf.DUMMYFUNCTION("""COMPUTED_VALUE"""),0.0)</f>
        <v>0</v>
      </c>
      <c r="AU3486" s="82"/>
      <c r="AV3486" s="82"/>
      <c r="AW3486" s="82" t="str">
        <f t="shared" si="1"/>
        <v/>
      </c>
      <c r="AX3486" s="83" t="str">
        <f t="array" ref="AX3486">IFERROR(DGET('SBV Import'!A:G,"SBV",{"RSC ID","Tier";B3486,A3486}))</f>
        <v/>
      </c>
      <c r="AY3486" s="82" t="str">
        <f t="shared" si="2"/>
        <v/>
      </c>
      <c r="AZ3486" s="82"/>
      <c r="BA3486" s="84" t="s">
        <v>152</v>
      </c>
      <c r="BB3486" s="84" t="str">
        <f>IFERROR(__xludf.DUMMYFUNCTION("iferror(if(A3486="""",,E3486&gt;=FILTER(Constants!$F$2:$F$10,Constants!$A$2:$A$10=A3486)))"),"")</f>
        <v/>
      </c>
    </row>
    <row r="3487">
      <c r="A3487" s="89"/>
      <c r="B3487" s="87"/>
      <c r="C3487" s="73"/>
      <c r="D3487" s="73"/>
      <c r="E3487" s="82"/>
      <c r="F3487" s="82"/>
      <c r="G3487" s="86"/>
      <c r="H3487" s="86"/>
      <c r="I3487" s="86"/>
      <c r="J3487" s="82"/>
      <c r="K3487" s="82"/>
      <c r="L3487" s="82"/>
      <c r="M3487" s="82"/>
      <c r="N3487" s="82"/>
      <c r="O3487" s="82"/>
      <c r="P3487" s="82"/>
      <c r="Q3487" s="82"/>
      <c r="R3487" s="82"/>
      <c r="S3487" s="82"/>
      <c r="T3487" s="82"/>
      <c r="U3487" s="82"/>
      <c r="V3487" s="82"/>
      <c r="W3487" s="82"/>
      <c r="X3487" s="82"/>
      <c r="Y3487" s="82"/>
      <c r="Z3487" s="82"/>
      <c r="AA3487" s="82"/>
      <c r="AB3487" s="82"/>
      <c r="AC3487" s="82"/>
      <c r="AD3487" s="82"/>
      <c r="AE3487" s="82"/>
      <c r="AF3487" s="82"/>
      <c r="AG3487" s="82"/>
      <c r="AH3487" s="82"/>
      <c r="AI3487" s="82"/>
      <c r="AJ3487" s="82"/>
      <c r="AK3487" s="82"/>
      <c r="AL3487" s="82"/>
      <c r="AM3487" s="82"/>
      <c r="AN3487" s="82">
        <f>IFERROR(__xludf.DUMMYFUNCTION("""COMPUTED_VALUE"""),0.0)</f>
        <v>0</v>
      </c>
      <c r="AO3487" s="82">
        <f>IFERROR(__xludf.DUMMYFUNCTION("""COMPUTED_VALUE"""),0.0)</f>
        <v>0</v>
      </c>
      <c r="AP3487" s="82">
        <f>IFERROR(__xludf.DUMMYFUNCTION("""COMPUTED_VALUE"""),0.0)</f>
        <v>0</v>
      </c>
      <c r="AQ3487" s="82">
        <f>IFERROR(__xludf.DUMMYFUNCTION("""COMPUTED_VALUE"""),0.0)</f>
        <v>0</v>
      </c>
      <c r="AR3487" s="82">
        <f>IFERROR(__xludf.DUMMYFUNCTION("""COMPUTED_VALUE"""),0.0)</f>
        <v>0</v>
      </c>
      <c r="AS3487" s="82"/>
      <c r="AT3487" s="82">
        <f>IFERROR(__xludf.DUMMYFUNCTION("""COMPUTED_VALUE"""),0.0)</f>
        <v>0</v>
      </c>
      <c r="AU3487" s="82"/>
      <c r="AV3487" s="82"/>
      <c r="AW3487" s="82" t="str">
        <f t="shared" si="1"/>
        <v/>
      </c>
      <c r="AX3487" s="83" t="str">
        <f t="array" ref="AX3487">IFERROR(DGET('SBV Import'!A:G,"SBV",{"RSC ID","Tier";B3487,A3487}))</f>
        <v/>
      </c>
      <c r="AY3487" s="82" t="str">
        <f t="shared" si="2"/>
        <v/>
      </c>
      <c r="AZ3487" s="82"/>
      <c r="BA3487" s="84" t="s">
        <v>152</v>
      </c>
      <c r="BB3487" s="84" t="str">
        <f>IFERROR(__xludf.DUMMYFUNCTION("iferror(if(A3487="""",,E3487&gt;=FILTER(Constants!$F$2:$F$10,Constants!$A$2:$A$10=A3487)))"),"")</f>
        <v/>
      </c>
    </row>
    <row r="3488">
      <c r="A3488" s="89"/>
      <c r="B3488" s="87"/>
      <c r="C3488" s="73"/>
      <c r="D3488" s="73"/>
      <c r="E3488" s="82"/>
      <c r="F3488" s="82"/>
      <c r="G3488" s="86"/>
      <c r="H3488" s="86"/>
      <c r="I3488" s="86"/>
      <c r="J3488" s="82"/>
      <c r="K3488" s="82"/>
      <c r="L3488" s="82"/>
      <c r="M3488" s="82"/>
      <c r="N3488" s="82"/>
      <c r="O3488" s="82"/>
      <c r="P3488" s="82"/>
      <c r="Q3488" s="82"/>
      <c r="R3488" s="82"/>
      <c r="S3488" s="82"/>
      <c r="T3488" s="82"/>
      <c r="U3488" s="82"/>
      <c r="V3488" s="82"/>
      <c r="W3488" s="82"/>
      <c r="X3488" s="82"/>
      <c r="Y3488" s="82"/>
      <c r="Z3488" s="82"/>
      <c r="AA3488" s="82"/>
      <c r="AB3488" s="82"/>
      <c r="AC3488" s="82"/>
      <c r="AD3488" s="82"/>
      <c r="AE3488" s="82"/>
      <c r="AF3488" s="82"/>
      <c r="AG3488" s="82"/>
      <c r="AH3488" s="82"/>
      <c r="AI3488" s="82"/>
      <c r="AJ3488" s="82"/>
      <c r="AK3488" s="82"/>
      <c r="AL3488" s="82"/>
      <c r="AM3488" s="82"/>
      <c r="AN3488" s="82">
        <f>IFERROR(__xludf.DUMMYFUNCTION("""COMPUTED_VALUE"""),0.0)</f>
        <v>0</v>
      </c>
      <c r="AO3488" s="82">
        <f>IFERROR(__xludf.DUMMYFUNCTION("""COMPUTED_VALUE"""),0.0)</f>
        <v>0</v>
      </c>
      <c r="AP3488" s="82">
        <f>IFERROR(__xludf.DUMMYFUNCTION("""COMPUTED_VALUE"""),0.0)</f>
        <v>0</v>
      </c>
      <c r="AQ3488" s="82">
        <f>IFERROR(__xludf.DUMMYFUNCTION("""COMPUTED_VALUE"""),0.0)</f>
        <v>0</v>
      </c>
      <c r="AR3488" s="82">
        <f>IFERROR(__xludf.DUMMYFUNCTION("""COMPUTED_VALUE"""),0.0)</f>
        <v>0</v>
      </c>
      <c r="AS3488" s="82"/>
      <c r="AT3488" s="82">
        <f>IFERROR(__xludf.DUMMYFUNCTION("""COMPUTED_VALUE"""),0.0)</f>
        <v>0</v>
      </c>
      <c r="AU3488" s="82"/>
      <c r="AV3488" s="82"/>
      <c r="AW3488" s="82" t="str">
        <f t="shared" si="1"/>
        <v/>
      </c>
      <c r="AX3488" s="83" t="str">
        <f t="array" ref="AX3488">IFERROR(DGET('SBV Import'!A:G,"SBV",{"RSC ID","Tier";B3488,A3488}))</f>
        <v/>
      </c>
      <c r="AY3488" s="82" t="str">
        <f t="shared" si="2"/>
        <v/>
      </c>
      <c r="AZ3488" s="82"/>
      <c r="BA3488" s="84" t="s">
        <v>152</v>
      </c>
      <c r="BB3488" s="84" t="str">
        <f>IFERROR(__xludf.DUMMYFUNCTION("iferror(if(A3488="""",,E3488&gt;=FILTER(Constants!$F$2:$F$10,Constants!$A$2:$A$10=A3488)))"),"")</f>
        <v/>
      </c>
    </row>
    <row r="3489">
      <c r="A3489" s="89"/>
      <c r="B3489" s="87"/>
      <c r="C3489" s="73"/>
      <c r="D3489" s="73"/>
      <c r="E3489" s="82"/>
      <c r="F3489" s="82"/>
      <c r="G3489" s="86"/>
      <c r="H3489" s="86"/>
      <c r="I3489" s="86"/>
      <c r="J3489" s="82"/>
      <c r="K3489" s="82"/>
      <c r="L3489" s="82"/>
      <c r="M3489" s="82"/>
      <c r="N3489" s="82"/>
      <c r="O3489" s="82"/>
      <c r="P3489" s="82"/>
      <c r="Q3489" s="82"/>
      <c r="R3489" s="82"/>
      <c r="S3489" s="82"/>
      <c r="T3489" s="82"/>
      <c r="U3489" s="82"/>
      <c r="V3489" s="82"/>
      <c r="W3489" s="82"/>
      <c r="X3489" s="82"/>
      <c r="Y3489" s="82"/>
      <c r="Z3489" s="82"/>
      <c r="AA3489" s="82"/>
      <c r="AB3489" s="82"/>
      <c r="AC3489" s="82"/>
      <c r="AD3489" s="82"/>
      <c r="AE3489" s="82"/>
      <c r="AF3489" s="82"/>
      <c r="AG3489" s="82"/>
      <c r="AH3489" s="82"/>
      <c r="AI3489" s="82"/>
      <c r="AJ3489" s="82"/>
      <c r="AK3489" s="82"/>
      <c r="AL3489" s="82"/>
      <c r="AM3489" s="82"/>
      <c r="AN3489" s="82">
        <f>IFERROR(__xludf.DUMMYFUNCTION("""COMPUTED_VALUE"""),0.0)</f>
        <v>0</v>
      </c>
      <c r="AO3489" s="82">
        <f>IFERROR(__xludf.DUMMYFUNCTION("""COMPUTED_VALUE"""),0.0)</f>
        <v>0</v>
      </c>
      <c r="AP3489" s="82">
        <f>IFERROR(__xludf.DUMMYFUNCTION("""COMPUTED_VALUE"""),0.0)</f>
        <v>0</v>
      </c>
      <c r="AQ3489" s="82">
        <f>IFERROR(__xludf.DUMMYFUNCTION("""COMPUTED_VALUE"""),0.0)</f>
        <v>0</v>
      </c>
      <c r="AR3489" s="82">
        <f>IFERROR(__xludf.DUMMYFUNCTION("""COMPUTED_VALUE"""),0.0)</f>
        <v>0</v>
      </c>
      <c r="AS3489" s="82"/>
      <c r="AT3489" s="82">
        <f>IFERROR(__xludf.DUMMYFUNCTION("""COMPUTED_VALUE"""),0.0)</f>
        <v>0</v>
      </c>
      <c r="AU3489" s="82"/>
      <c r="AV3489" s="82"/>
      <c r="AW3489" s="82" t="str">
        <f t="shared" si="1"/>
        <v/>
      </c>
      <c r="AX3489" s="83" t="str">
        <f t="array" ref="AX3489">IFERROR(DGET('SBV Import'!A:G,"SBV",{"RSC ID","Tier";B3489,A3489}))</f>
        <v/>
      </c>
      <c r="AY3489" s="82" t="str">
        <f t="shared" si="2"/>
        <v/>
      </c>
      <c r="AZ3489" s="82"/>
      <c r="BA3489" s="84" t="s">
        <v>152</v>
      </c>
      <c r="BB3489" s="84" t="str">
        <f>IFERROR(__xludf.DUMMYFUNCTION("iferror(if(A3489="""",,E3489&gt;=FILTER(Constants!$F$2:$F$10,Constants!$A$2:$A$10=A3489)))"),"")</f>
        <v/>
      </c>
    </row>
    <row r="3490">
      <c r="A3490" s="89"/>
      <c r="B3490" s="87"/>
      <c r="C3490" s="73"/>
      <c r="D3490" s="73"/>
      <c r="E3490" s="82"/>
      <c r="F3490" s="82"/>
      <c r="G3490" s="86"/>
      <c r="H3490" s="86"/>
      <c r="I3490" s="86"/>
      <c r="J3490" s="82"/>
      <c r="K3490" s="82"/>
      <c r="L3490" s="82"/>
      <c r="M3490" s="82"/>
      <c r="N3490" s="82"/>
      <c r="O3490" s="82"/>
      <c r="P3490" s="82"/>
      <c r="Q3490" s="82"/>
      <c r="R3490" s="82"/>
      <c r="S3490" s="82"/>
      <c r="T3490" s="82"/>
      <c r="U3490" s="82"/>
      <c r="V3490" s="82"/>
      <c r="W3490" s="82"/>
      <c r="X3490" s="82"/>
      <c r="Y3490" s="82"/>
      <c r="Z3490" s="82"/>
      <c r="AA3490" s="82"/>
      <c r="AB3490" s="82"/>
      <c r="AC3490" s="82"/>
      <c r="AD3490" s="82"/>
      <c r="AE3490" s="82"/>
      <c r="AF3490" s="82"/>
      <c r="AG3490" s="82"/>
      <c r="AH3490" s="82"/>
      <c r="AI3490" s="82"/>
      <c r="AJ3490" s="82"/>
      <c r="AK3490" s="82"/>
      <c r="AL3490" s="82"/>
      <c r="AM3490" s="82"/>
      <c r="AN3490" s="82">
        <f>IFERROR(__xludf.DUMMYFUNCTION("""COMPUTED_VALUE"""),0.0)</f>
        <v>0</v>
      </c>
      <c r="AO3490" s="82">
        <f>IFERROR(__xludf.DUMMYFUNCTION("""COMPUTED_VALUE"""),0.0)</f>
        <v>0</v>
      </c>
      <c r="AP3490" s="82">
        <f>IFERROR(__xludf.DUMMYFUNCTION("""COMPUTED_VALUE"""),0.0)</f>
        <v>0</v>
      </c>
      <c r="AQ3490" s="82">
        <f>IFERROR(__xludf.DUMMYFUNCTION("""COMPUTED_VALUE"""),0.0)</f>
        <v>0</v>
      </c>
      <c r="AR3490" s="82">
        <f>IFERROR(__xludf.DUMMYFUNCTION("""COMPUTED_VALUE"""),0.0)</f>
        <v>0</v>
      </c>
      <c r="AS3490" s="82"/>
      <c r="AT3490" s="82">
        <f>IFERROR(__xludf.DUMMYFUNCTION("""COMPUTED_VALUE"""),0.0)</f>
        <v>0</v>
      </c>
      <c r="AU3490" s="82"/>
      <c r="AV3490" s="82"/>
      <c r="AW3490" s="82" t="str">
        <f t="shared" si="1"/>
        <v/>
      </c>
      <c r="AX3490" s="83" t="str">
        <f t="array" ref="AX3490">IFERROR(DGET('SBV Import'!A:G,"SBV",{"RSC ID","Tier";B3490,A3490}))</f>
        <v/>
      </c>
      <c r="AY3490" s="82" t="str">
        <f t="shared" si="2"/>
        <v/>
      </c>
      <c r="AZ3490" s="82"/>
      <c r="BA3490" s="84" t="s">
        <v>152</v>
      </c>
      <c r="BB3490" s="84" t="str">
        <f>IFERROR(__xludf.DUMMYFUNCTION("iferror(if(A3490="""",,E3490&gt;=FILTER(Constants!$F$2:$F$10,Constants!$A$2:$A$10=A3490)))"),"")</f>
        <v/>
      </c>
    </row>
    <row r="3491">
      <c r="A3491" s="89"/>
      <c r="B3491" s="87"/>
      <c r="C3491" s="73"/>
      <c r="D3491" s="73"/>
      <c r="E3491" s="82"/>
      <c r="F3491" s="82"/>
      <c r="G3491" s="86"/>
      <c r="H3491" s="86"/>
      <c r="I3491" s="86"/>
      <c r="J3491" s="82"/>
      <c r="K3491" s="82"/>
      <c r="L3491" s="82"/>
      <c r="M3491" s="82"/>
      <c r="N3491" s="82"/>
      <c r="O3491" s="82"/>
      <c r="P3491" s="82"/>
      <c r="Q3491" s="82"/>
      <c r="R3491" s="82"/>
      <c r="S3491" s="82"/>
      <c r="T3491" s="82"/>
      <c r="U3491" s="82"/>
      <c r="V3491" s="82"/>
      <c r="W3491" s="82"/>
      <c r="X3491" s="82"/>
      <c r="Y3491" s="82"/>
      <c r="Z3491" s="82"/>
      <c r="AA3491" s="82"/>
      <c r="AB3491" s="82"/>
      <c r="AC3491" s="82"/>
      <c r="AD3491" s="82"/>
      <c r="AE3491" s="82"/>
      <c r="AF3491" s="82"/>
      <c r="AG3491" s="82"/>
      <c r="AH3491" s="82"/>
      <c r="AI3491" s="82"/>
      <c r="AJ3491" s="82"/>
      <c r="AK3491" s="82"/>
      <c r="AL3491" s="82"/>
      <c r="AM3491" s="82"/>
      <c r="AN3491" s="82">
        <f>IFERROR(__xludf.DUMMYFUNCTION("""COMPUTED_VALUE"""),0.0)</f>
        <v>0</v>
      </c>
      <c r="AO3491" s="82">
        <f>IFERROR(__xludf.DUMMYFUNCTION("""COMPUTED_VALUE"""),0.0)</f>
        <v>0</v>
      </c>
      <c r="AP3491" s="82">
        <f>IFERROR(__xludf.DUMMYFUNCTION("""COMPUTED_VALUE"""),0.0)</f>
        <v>0</v>
      </c>
      <c r="AQ3491" s="82">
        <f>IFERROR(__xludf.DUMMYFUNCTION("""COMPUTED_VALUE"""),0.0)</f>
        <v>0</v>
      </c>
      <c r="AR3491" s="82">
        <f>IFERROR(__xludf.DUMMYFUNCTION("""COMPUTED_VALUE"""),0.0)</f>
        <v>0</v>
      </c>
      <c r="AS3491" s="82"/>
      <c r="AT3491" s="82">
        <f>IFERROR(__xludf.DUMMYFUNCTION("""COMPUTED_VALUE"""),0.0)</f>
        <v>0</v>
      </c>
      <c r="AU3491" s="82"/>
      <c r="AV3491" s="82"/>
      <c r="AW3491" s="82" t="str">
        <f t="shared" si="1"/>
        <v/>
      </c>
      <c r="AX3491" s="83" t="str">
        <f t="array" ref="AX3491">IFERROR(DGET('SBV Import'!A:G,"SBV",{"RSC ID","Tier";B3491,A3491}))</f>
        <v/>
      </c>
      <c r="AY3491" s="82" t="str">
        <f t="shared" si="2"/>
        <v/>
      </c>
      <c r="AZ3491" s="82"/>
      <c r="BA3491" s="84" t="s">
        <v>152</v>
      </c>
      <c r="BB3491" s="84" t="str">
        <f>IFERROR(__xludf.DUMMYFUNCTION("iferror(if(A3491="""",,E3491&gt;=FILTER(Constants!$F$2:$F$10,Constants!$A$2:$A$10=A3491)))"),"")</f>
        <v/>
      </c>
    </row>
    <row r="3492">
      <c r="A3492" s="89"/>
      <c r="B3492" s="87"/>
      <c r="C3492" s="73"/>
      <c r="D3492" s="73"/>
      <c r="E3492" s="82"/>
      <c r="F3492" s="82"/>
      <c r="G3492" s="86"/>
      <c r="H3492" s="86"/>
      <c r="I3492" s="86"/>
      <c r="J3492" s="82"/>
      <c r="K3492" s="82"/>
      <c r="L3492" s="82"/>
      <c r="M3492" s="82"/>
      <c r="N3492" s="82"/>
      <c r="O3492" s="82"/>
      <c r="P3492" s="82"/>
      <c r="Q3492" s="82"/>
      <c r="R3492" s="82"/>
      <c r="S3492" s="82"/>
      <c r="T3492" s="82"/>
      <c r="U3492" s="82"/>
      <c r="V3492" s="82"/>
      <c r="W3492" s="82"/>
      <c r="X3492" s="82"/>
      <c r="Y3492" s="82"/>
      <c r="Z3492" s="82"/>
      <c r="AA3492" s="82"/>
      <c r="AB3492" s="82"/>
      <c r="AC3492" s="82"/>
      <c r="AD3492" s="82"/>
      <c r="AE3492" s="82"/>
      <c r="AF3492" s="82"/>
      <c r="AG3492" s="82"/>
      <c r="AH3492" s="82"/>
      <c r="AI3492" s="82"/>
      <c r="AJ3492" s="82"/>
      <c r="AK3492" s="82"/>
      <c r="AL3492" s="82"/>
      <c r="AM3492" s="82"/>
      <c r="AN3492" s="82">
        <f>IFERROR(__xludf.DUMMYFUNCTION("""COMPUTED_VALUE"""),0.0)</f>
        <v>0</v>
      </c>
      <c r="AO3492" s="82">
        <f>IFERROR(__xludf.DUMMYFUNCTION("""COMPUTED_VALUE"""),0.0)</f>
        <v>0</v>
      </c>
      <c r="AP3492" s="82">
        <f>IFERROR(__xludf.DUMMYFUNCTION("""COMPUTED_VALUE"""),0.0)</f>
        <v>0</v>
      </c>
      <c r="AQ3492" s="82">
        <f>IFERROR(__xludf.DUMMYFUNCTION("""COMPUTED_VALUE"""),0.0)</f>
        <v>0</v>
      </c>
      <c r="AR3492" s="82">
        <f>IFERROR(__xludf.DUMMYFUNCTION("""COMPUTED_VALUE"""),0.0)</f>
        <v>0</v>
      </c>
      <c r="AS3492" s="82"/>
      <c r="AT3492" s="82">
        <f>IFERROR(__xludf.DUMMYFUNCTION("""COMPUTED_VALUE"""),0.0)</f>
        <v>0</v>
      </c>
      <c r="AU3492" s="82"/>
      <c r="AV3492" s="82"/>
      <c r="AW3492" s="82" t="str">
        <f t="shared" si="1"/>
        <v/>
      </c>
      <c r="AX3492" s="83" t="str">
        <f t="array" ref="AX3492">IFERROR(DGET('SBV Import'!A:G,"SBV",{"RSC ID","Tier";B3492,A3492}))</f>
        <v/>
      </c>
      <c r="AY3492" s="82" t="str">
        <f t="shared" si="2"/>
        <v/>
      </c>
      <c r="AZ3492" s="82"/>
      <c r="BA3492" s="84" t="s">
        <v>152</v>
      </c>
      <c r="BB3492" s="84" t="str">
        <f>IFERROR(__xludf.DUMMYFUNCTION("iferror(if(A3492="""",,E3492&gt;=FILTER(Constants!$F$2:$F$10,Constants!$A$2:$A$10=A3492)))"),"")</f>
        <v/>
      </c>
    </row>
    <row r="3493">
      <c r="A3493" s="89"/>
      <c r="B3493" s="87"/>
      <c r="C3493" s="73"/>
      <c r="D3493" s="73"/>
      <c r="E3493" s="82"/>
      <c r="F3493" s="82"/>
      <c r="G3493" s="86"/>
      <c r="H3493" s="86"/>
      <c r="I3493" s="86"/>
      <c r="J3493" s="82"/>
      <c r="K3493" s="82"/>
      <c r="L3493" s="82"/>
      <c r="M3493" s="82"/>
      <c r="N3493" s="82"/>
      <c r="O3493" s="82"/>
      <c r="P3493" s="82"/>
      <c r="Q3493" s="82"/>
      <c r="R3493" s="82"/>
      <c r="S3493" s="82"/>
      <c r="T3493" s="82"/>
      <c r="U3493" s="82"/>
      <c r="V3493" s="82"/>
      <c r="W3493" s="82"/>
      <c r="X3493" s="82"/>
      <c r="Y3493" s="82"/>
      <c r="Z3493" s="82"/>
      <c r="AA3493" s="82"/>
      <c r="AB3493" s="82"/>
      <c r="AC3493" s="82"/>
      <c r="AD3493" s="82"/>
      <c r="AE3493" s="82"/>
      <c r="AF3493" s="82"/>
      <c r="AG3493" s="82"/>
      <c r="AH3493" s="82"/>
      <c r="AI3493" s="82"/>
      <c r="AJ3493" s="82"/>
      <c r="AK3493" s="82"/>
      <c r="AL3493" s="82"/>
      <c r="AM3493" s="82"/>
      <c r="AN3493" s="82">
        <f>IFERROR(__xludf.DUMMYFUNCTION("""COMPUTED_VALUE"""),0.0)</f>
        <v>0</v>
      </c>
      <c r="AO3493" s="82">
        <f>IFERROR(__xludf.DUMMYFUNCTION("""COMPUTED_VALUE"""),0.0)</f>
        <v>0</v>
      </c>
      <c r="AP3493" s="82">
        <f>IFERROR(__xludf.DUMMYFUNCTION("""COMPUTED_VALUE"""),0.0)</f>
        <v>0</v>
      </c>
      <c r="AQ3493" s="82">
        <f>IFERROR(__xludf.DUMMYFUNCTION("""COMPUTED_VALUE"""),0.0)</f>
        <v>0</v>
      </c>
      <c r="AR3493" s="82">
        <f>IFERROR(__xludf.DUMMYFUNCTION("""COMPUTED_VALUE"""),0.0)</f>
        <v>0</v>
      </c>
      <c r="AS3493" s="82"/>
      <c r="AT3493" s="82">
        <f>IFERROR(__xludf.DUMMYFUNCTION("""COMPUTED_VALUE"""),0.0)</f>
        <v>0</v>
      </c>
      <c r="AU3493" s="82"/>
      <c r="AV3493" s="82"/>
      <c r="AW3493" s="82" t="str">
        <f t="shared" si="1"/>
        <v/>
      </c>
      <c r="AX3493" s="83" t="str">
        <f t="array" ref="AX3493">IFERROR(DGET('SBV Import'!A:G,"SBV",{"RSC ID","Tier";B3493,A3493}))</f>
        <v/>
      </c>
      <c r="AY3493" s="82" t="str">
        <f t="shared" si="2"/>
        <v/>
      </c>
      <c r="AZ3493" s="82"/>
      <c r="BA3493" s="84" t="s">
        <v>152</v>
      </c>
      <c r="BB3493" s="84" t="str">
        <f>IFERROR(__xludf.DUMMYFUNCTION("iferror(if(A3493="""",,E3493&gt;=FILTER(Constants!$F$2:$F$10,Constants!$A$2:$A$10=A3493)))"),"")</f>
        <v/>
      </c>
    </row>
    <row r="3494">
      <c r="A3494" s="89"/>
      <c r="B3494" s="87"/>
      <c r="C3494" s="73"/>
      <c r="D3494" s="73"/>
      <c r="E3494" s="82"/>
      <c r="F3494" s="82"/>
      <c r="G3494" s="86"/>
      <c r="H3494" s="86"/>
      <c r="I3494" s="86"/>
      <c r="J3494" s="82"/>
      <c r="K3494" s="82"/>
      <c r="L3494" s="82"/>
      <c r="M3494" s="82"/>
      <c r="N3494" s="82"/>
      <c r="O3494" s="82"/>
      <c r="P3494" s="82"/>
      <c r="Q3494" s="82"/>
      <c r="R3494" s="82"/>
      <c r="S3494" s="82"/>
      <c r="T3494" s="82"/>
      <c r="U3494" s="82"/>
      <c r="V3494" s="82"/>
      <c r="W3494" s="82"/>
      <c r="X3494" s="82"/>
      <c r="Y3494" s="82"/>
      <c r="Z3494" s="82"/>
      <c r="AA3494" s="82"/>
      <c r="AB3494" s="82"/>
      <c r="AC3494" s="82"/>
      <c r="AD3494" s="82"/>
      <c r="AE3494" s="82"/>
      <c r="AF3494" s="82"/>
      <c r="AG3494" s="82"/>
      <c r="AH3494" s="82"/>
      <c r="AI3494" s="82"/>
      <c r="AJ3494" s="82"/>
      <c r="AK3494" s="82"/>
      <c r="AL3494" s="82"/>
      <c r="AM3494" s="82"/>
      <c r="AN3494" s="82">
        <f>IFERROR(__xludf.DUMMYFUNCTION("""COMPUTED_VALUE"""),0.0)</f>
        <v>0</v>
      </c>
      <c r="AO3494" s="82">
        <f>IFERROR(__xludf.DUMMYFUNCTION("""COMPUTED_VALUE"""),0.0)</f>
        <v>0</v>
      </c>
      <c r="AP3494" s="82">
        <f>IFERROR(__xludf.DUMMYFUNCTION("""COMPUTED_VALUE"""),0.0)</f>
        <v>0</v>
      </c>
      <c r="AQ3494" s="82">
        <f>IFERROR(__xludf.DUMMYFUNCTION("""COMPUTED_VALUE"""),0.0)</f>
        <v>0</v>
      </c>
      <c r="AR3494" s="82">
        <f>IFERROR(__xludf.DUMMYFUNCTION("""COMPUTED_VALUE"""),0.0)</f>
        <v>0</v>
      </c>
      <c r="AS3494" s="82"/>
      <c r="AT3494" s="82">
        <f>IFERROR(__xludf.DUMMYFUNCTION("""COMPUTED_VALUE"""),0.0)</f>
        <v>0</v>
      </c>
      <c r="AU3494" s="82"/>
      <c r="AV3494" s="82"/>
      <c r="AW3494" s="82" t="str">
        <f t="shared" si="1"/>
        <v/>
      </c>
      <c r="AX3494" s="83" t="str">
        <f t="array" ref="AX3494">IFERROR(DGET('SBV Import'!A:G,"SBV",{"RSC ID","Tier";B3494,A3494}))</f>
        <v/>
      </c>
      <c r="AY3494" s="82" t="str">
        <f t="shared" si="2"/>
        <v/>
      </c>
      <c r="AZ3494" s="82"/>
      <c r="BA3494" s="84" t="s">
        <v>152</v>
      </c>
      <c r="BB3494" s="84" t="str">
        <f>IFERROR(__xludf.DUMMYFUNCTION("iferror(if(A3494="""",,E3494&gt;=FILTER(Constants!$F$2:$F$10,Constants!$A$2:$A$10=A3494)))"),"")</f>
        <v/>
      </c>
    </row>
    <row r="3495">
      <c r="A3495" s="89"/>
      <c r="B3495" s="87"/>
      <c r="C3495" s="73"/>
      <c r="D3495" s="73"/>
      <c r="E3495" s="82"/>
      <c r="F3495" s="82"/>
      <c r="G3495" s="86"/>
      <c r="H3495" s="86"/>
      <c r="I3495" s="86"/>
      <c r="J3495" s="82"/>
      <c r="K3495" s="82"/>
      <c r="L3495" s="82"/>
      <c r="M3495" s="82"/>
      <c r="N3495" s="82"/>
      <c r="O3495" s="82"/>
      <c r="P3495" s="82"/>
      <c r="Q3495" s="82"/>
      <c r="R3495" s="82"/>
      <c r="S3495" s="82"/>
      <c r="T3495" s="82"/>
      <c r="U3495" s="82"/>
      <c r="V3495" s="82"/>
      <c r="W3495" s="82"/>
      <c r="X3495" s="82"/>
      <c r="Y3495" s="82"/>
      <c r="Z3495" s="82"/>
      <c r="AA3495" s="82"/>
      <c r="AB3495" s="82"/>
      <c r="AC3495" s="82"/>
      <c r="AD3495" s="82"/>
      <c r="AE3495" s="82"/>
      <c r="AF3495" s="82"/>
      <c r="AG3495" s="82"/>
      <c r="AH3495" s="82"/>
      <c r="AI3495" s="82"/>
      <c r="AJ3495" s="82"/>
      <c r="AK3495" s="82"/>
      <c r="AL3495" s="82"/>
      <c r="AM3495" s="82"/>
      <c r="AN3495" s="82">
        <f>IFERROR(__xludf.DUMMYFUNCTION("""COMPUTED_VALUE"""),0.0)</f>
        <v>0</v>
      </c>
      <c r="AO3495" s="82">
        <f>IFERROR(__xludf.DUMMYFUNCTION("""COMPUTED_VALUE"""),0.0)</f>
        <v>0</v>
      </c>
      <c r="AP3495" s="82">
        <f>IFERROR(__xludf.DUMMYFUNCTION("""COMPUTED_VALUE"""),0.0)</f>
        <v>0</v>
      </c>
      <c r="AQ3495" s="82">
        <f>IFERROR(__xludf.DUMMYFUNCTION("""COMPUTED_VALUE"""),0.0)</f>
        <v>0</v>
      </c>
      <c r="AR3495" s="82">
        <f>IFERROR(__xludf.DUMMYFUNCTION("""COMPUTED_VALUE"""),0.0)</f>
        <v>0</v>
      </c>
      <c r="AS3495" s="82"/>
      <c r="AT3495" s="82">
        <f>IFERROR(__xludf.DUMMYFUNCTION("""COMPUTED_VALUE"""),0.0)</f>
        <v>0</v>
      </c>
      <c r="AU3495" s="82"/>
      <c r="AV3495" s="82"/>
      <c r="AW3495" s="82" t="str">
        <f t="shared" si="1"/>
        <v/>
      </c>
      <c r="AX3495" s="83" t="str">
        <f t="array" ref="AX3495">IFERROR(DGET('SBV Import'!A:G,"SBV",{"RSC ID","Tier";B3495,A3495}))</f>
        <v/>
      </c>
      <c r="AY3495" s="82" t="str">
        <f t="shared" si="2"/>
        <v/>
      </c>
      <c r="AZ3495" s="82"/>
      <c r="BA3495" s="84" t="s">
        <v>152</v>
      </c>
      <c r="BB3495" s="84" t="str">
        <f>IFERROR(__xludf.DUMMYFUNCTION("iferror(if(A3495="""",,E3495&gt;=FILTER(Constants!$F$2:$F$10,Constants!$A$2:$A$10=A3495)))"),"")</f>
        <v/>
      </c>
    </row>
    <row r="3496">
      <c r="A3496" s="89"/>
      <c r="B3496" s="87"/>
      <c r="C3496" s="73"/>
      <c r="D3496" s="73"/>
      <c r="E3496" s="82"/>
      <c r="F3496" s="82"/>
      <c r="G3496" s="86"/>
      <c r="H3496" s="86"/>
      <c r="I3496" s="86"/>
      <c r="J3496" s="82"/>
      <c r="K3496" s="82"/>
      <c r="L3496" s="82"/>
      <c r="M3496" s="82"/>
      <c r="N3496" s="82"/>
      <c r="O3496" s="82"/>
      <c r="P3496" s="82"/>
      <c r="Q3496" s="82"/>
      <c r="R3496" s="82"/>
      <c r="S3496" s="82"/>
      <c r="T3496" s="82"/>
      <c r="U3496" s="82"/>
      <c r="V3496" s="82"/>
      <c r="W3496" s="82"/>
      <c r="X3496" s="82"/>
      <c r="Y3496" s="82"/>
      <c r="Z3496" s="82"/>
      <c r="AA3496" s="82"/>
      <c r="AB3496" s="82"/>
      <c r="AC3496" s="82"/>
      <c r="AD3496" s="82"/>
      <c r="AE3496" s="82"/>
      <c r="AF3496" s="82"/>
      <c r="AG3496" s="82"/>
      <c r="AH3496" s="82"/>
      <c r="AI3496" s="82"/>
      <c r="AJ3496" s="82"/>
      <c r="AK3496" s="82"/>
      <c r="AL3496" s="82"/>
      <c r="AM3496" s="82"/>
      <c r="AN3496" s="82">
        <f>IFERROR(__xludf.DUMMYFUNCTION("""COMPUTED_VALUE"""),0.0)</f>
        <v>0</v>
      </c>
      <c r="AO3496" s="82">
        <f>IFERROR(__xludf.DUMMYFUNCTION("""COMPUTED_VALUE"""),0.0)</f>
        <v>0</v>
      </c>
      <c r="AP3496" s="82">
        <f>IFERROR(__xludf.DUMMYFUNCTION("""COMPUTED_VALUE"""),0.0)</f>
        <v>0</v>
      </c>
      <c r="AQ3496" s="82">
        <f>IFERROR(__xludf.DUMMYFUNCTION("""COMPUTED_VALUE"""),0.0)</f>
        <v>0</v>
      </c>
      <c r="AR3496" s="82">
        <f>IFERROR(__xludf.DUMMYFUNCTION("""COMPUTED_VALUE"""),0.0)</f>
        <v>0</v>
      </c>
      <c r="AS3496" s="82"/>
      <c r="AT3496" s="82">
        <f>IFERROR(__xludf.DUMMYFUNCTION("""COMPUTED_VALUE"""),0.0)</f>
        <v>0</v>
      </c>
      <c r="AU3496" s="82"/>
      <c r="AV3496" s="82"/>
      <c r="AW3496" s="82" t="str">
        <f t="shared" si="1"/>
        <v/>
      </c>
      <c r="AX3496" s="83" t="str">
        <f t="array" ref="AX3496">IFERROR(DGET('SBV Import'!A:G,"SBV",{"RSC ID","Tier";B3496,A3496}))</f>
        <v/>
      </c>
      <c r="AY3496" s="82" t="str">
        <f t="shared" si="2"/>
        <v/>
      </c>
      <c r="AZ3496" s="82"/>
      <c r="BA3496" s="84" t="s">
        <v>152</v>
      </c>
      <c r="BB3496" s="84" t="str">
        <f>IFERROR(__xludf.DUMMYFUNCTION("iferror(if(A3496="""",,E3496&gt;=FILTER(Constants!$F$2:$F$10,Constants!$A$2:$A$10=A3496)))"),"")</f>
        <v/>
      </c>
    </row>
    <row r="3497">
      <c r="A3497" s="89"/>
      <c r="B3497" s="87"/>
      <c r="C3497" s="73"/>
      <c r="D3497" s="73"/>
      <c r="E3497" s="82"/>
      <c r="F3497" s="82"/>
      <c r="G3497" s="86"/>
      <c r="H3497" s="86"/>
      <c r="I3497" s="86"/>
      <c r="J3497" s="82"/>
      <c r="K3497" s="82"/>
      <c r="L3497" s="82"/>
      <c r="M3497" s="82"/>
      <c r="N3497" s="82"/>
      <c r="O3497" s="82"/>
      <c r="P3497" s="82"/>
      <c r="Q3497" s="82"/>
      <c r="R3497" s="82"/>
      <c r="S3497" s="82"/>
      <c r="T3497" s="82"/>
      <c r="U3497" s="82"/>
      <c r="V3497" s="82"/>
      <c r="W3497" s="82"/>
      <c r="X3497" s="82"/>
      <c r="Y3497" s="82"/>
      <c r="Z3497" s="82"/>
      <c r="AA3497" s="82"/>
      <c r="AB3497" s="82"/>
      <c r="AC3497" s="82"/>
      <c r="AD3497" s="82"/>
      <c r="AE3497" s="82"/>
      <c r="AF3497" s="82"/>
      <c r="AG3497" s="82"/>
      <c r="AH3497" s="82"/>
      <c r="AI3497" s="82"/>
      <c r="AJ3497" s="82"/>
      <c r="AK3497" s="82"/>
      <c r="AL3497" s="82"/>
      <c r="AM3497" s="82"/>
      <c r="AN3497" s="82">
        <f>IFERROR(__xludf.DUMMYFUNCTION("""COMPUTED_VALUE"""),0.0)</f>
        <v>0</v>
      </c>
      <c r="AO3497" s="82">
        <f>IFERROR(__xludf.DUMMYFUNCTION("""COMPUTED_VALUE"""),0.0)</f>
        <v>0</v>
      </c>
      <c r="AP3497" s="82">
        <f>IFERROR(__xludf.DUMMYFUNCTION("""COMPUTED_VALUE"""),0.0)</f>
        <v>0</v>
      </c>
      <c r="AQ3497" s="82">
        <f>IFERROR(__xludf.DUMMYFUNCTION("""COMPUTED_VALUE"""),0.0)</f>
        <v>0</v>
      </c>
      <c r="AR3497" s="82">
        <f>IFERROR(__xludf.DUMMYFUNCTION("""COMPUTED_VALUE"""),0.0)</f>
        <v>0</v>
      </c>
      <c r="AS3497" s="82"/>
      <c r="AT3497" s="82">
        <f>IFERROR(__xludf.DUMMYFUNCTION("""COMPUTED_VALUE"""),0.0)</f>
        <v>0</v>
      </c>
      <c r="AU3497" s="82"/>
      <c r="AV3497" s="82"/>
      <c r="AW3497" s="82" t="str">
        <f t="shared" si="1"/>
        <v/>
      </c>
      <c r="AX3497" s="83" t="str">
        <f t="array" ref="AX3497">IFERROR(DGET('SBV Import'!A:G,"SBV",{"RSC ID","Tier";B3497,A3497}))</f>
        <v/>
      </c>
      <c r="AY3497" s="82" t="str">
        <f t="shared" si="2"/>
        <v/>
      </c>
      <c r="AZ3497" s="82"/>
      <c r="BA3497" s="84" t="s">
        <v>152</v>
      </c>
      <c r="BB3497" s="84" t="str">
        <f>IFERROR(__xludf.DUMMYFUNCTION("iferror(if(A3497="""",,E3497&gt;=FILTER(Constants!$F$2:$F$10,Constants!$A$2:$A$10=A3497)))"),"")</f>
        <v/>
      </c>
    </row>
    <row r="3498">
      <c r="A3498" s="89"/>
      <c r="B3498" s="87"/>
      <c r="C3498" s="73"/>
      <c r="D3498" s="73"/>
      <c r="E3498" s="82"/>
      <c r="F3498" s="82"/>
      <c r="G3498" s="86"/>
      <c r="H3498" s="86"/>
      <c r="I3498" s="86"/>
      <c r="J3498" s="82"/>
      <c r="K3498" s="82"/>
      <c r="L3498" s="82"/>
      <c r="M3498" s="82"/>
      <c r="N3498" s="82"/>
      <c r="O3498" s="82"/>
      <c r="P3498" s="82"/>
      <c r="Q3498" s="82"/>
      <c r="R3498" s="82"/>
      <c r="S3498" s="82"/>
      <c r="T3498" s="82"/>
      <c r="U3498" s="82"/>
      <c r="V3498" s="82"/>
      <c r="W3498" s="82"/>
      <c r="X3498" s="82"/>
      <c r="Y3498" s="82"/>
      <c r="Z3498" s="82"/>
      <c r="AA3498" s="82"/>
      <c r="AB3498" s="82"/>
      <c r="AC3498" s="82"/>
      <c r="AD3498" s="82"/>
      <c r="AE3498" s="82"/>
      <c r="AF3498" s="82"/>
      <c r="AG3498" s="82"/>
      <c r="AH3498" s="82"/>
      <c r="AI3498" s="82"/>
      <c r="AJ3498" s="82"/>
      <c r="AK3498" s="82"/>
      <c r="AL3498" s="82"/>
      <c r="AM3498" s="82"/>
      <c r="AN3498" s="82">
        <f>IFERROR(__xludf.DUMMYFUNCTION("""COMPUTED_VALUE"""),0.0)</f>
        <v>0</v>
      </c>
      <c r="AO3498" s="82">
        <f>IFERROR(__xludf.DUMMYFUNCTION("""COMPUTED_VALUE"""),0.0)</f>
        <v>0</v>
      </c>
      <c r="AP3498" s="82">
        <f>IFERROR(__xludf.DUMMYFUNCTION("""COMPUTED_VALUE"""),0.0)</f>
        <v>0</v>
      </c>
      <c r="AQ3498" s="82">
        <f>IFERROR(__xludf.DUMMYFUNCTION("""COMPUTED_VALUE"""),0.0)</f>
        <v>0</v>
      </c>
      <c r="AR3498" s="82">
        <f>IFERROR(__xludf.DUMMYFUNCTION("""COMPUTED_VALUE"""),0.0)</f>
        <v>0</v>
      </c>
      <c r="AS3498" s="82"/>
      <c r="AT3498" s="82">
        <f>IFERROR(__xludf.DUMMYFUNCTION("""COMPUTED_VALUE"""),0.0)</f>
        <v>0</v>
      </c>
      <c r="AU3498" s="82"/>
      <c r="AV3498" s="82"/>
      <c r="AW3498" s="82" t="str">
        <f t="shared" si="1"/>
        <v/>
      </c>
      <c r="AX3498" s="83" t="str">
        <f t="array" ref="AX3498">IFERROR(DGET('SBV Import'!A:G,"SBV",{"RSC ID","Tier";B3498,A3498}))</f>
        <v/>
      </c>
      <c r="AY3498" s="82" t="str">
        <f t="shared" si="2"/>
        <v/>
      </c>
      <c r="AZ3498" s="82"/>
      <c r="BA3498" s="84" t="s">
        <v>152</v>
      </c>
      <c r="BB3498" s="84" t="str">
        <f>IFERROR(__xludf.DUMMYFUNCTION("iferror(if(A3498="""",,E3498&gt;=FILTER(Constants!$F$2:$F$10,Constants!$A$2:$A$10=A3498)))"),"")</f>
        <v/>
      </c>
    </row>
    <row r="3499">
      <c r="A3499" s="89"/>
      <c r="B3499" s="87"/>
      <c r="C3499" s="73"/>
      <c r="D3499" s="73"/>
      <c r="E3499" s="82"/>
      <c r="F3499" s="82"/>
      <c r="G3499" s="86"/>
      <c r="H3499" s="86"/>
      <c r="I3499" s="86"/>
      <c r="J3499" s="82"/>
      <c r="K3499" s="82"/>
      <c r="L3499" s="82"/>
      <c r="M3499" s="82"/>
      <c r="N3499" s="82"/>
      <c r="O3499" s="82"/>
      <c r="P3499" s="82"/>
      <c r="Q3499" s="82"/>
      <c r="R3499" s="82"/>
      <c r="S3499" s="82"/>
      <c r="T3499" s="82"/>
      <c r="U3499" s="82"/>
      <c r="V3499" s="82"/>
      <c r="W3499" s="82"/>
      <c r="X3499" s="82"/>
      <c r="Y3499" s="82"/>
      <c r="Z3499" s="82"/>
      <c r="AA3499" s="82"/>
      <c r="AB3499" s="82"/>
      <c r="AC3499" s="82"/>
      <c r="AD3499" s="82"/>
      <c r="AE3499" s="82"/>
      <c r="AF3499" s="82"/>
      <c r="AG3499" s="82"/>
      <c r="AH3499" s="82"/>
      <c r="AI3499" s="82"/>
      <c r="AJ3499" s="82"/>
      <c r="AK3499" s="82"/>
      <c r="AL3499" s="82"/>
      <c r="AM3499" s="82"/>
      <c r="AN3499" s="82"/>
      <c r="AO3499" s="82"/>
      <c r="AP3499" s="82"/>
      <c r="AQ3499" s="82"/>
      <c r="AR3499" s="82"/>
      <c r="AS3499" s="82"/>
      <c r="AT3499" s="82"/>
      <c r="AU3499" s="82"/>
      <c r="AV3499" s="82"/>
      <c r="AW3499" s="82" t="str">
        <f t="shared" si="1"/>
        <v/>
      </c>
      <c r="AX3499" s="83" t="str">
        <f t="array" ref="AX3499">IFERROR(DGET('SBV Import'!A:G,"SBV",{"RSC ID","Tier";B3499,A3499}))</f>
        <v/>
      </c>
      <c r="AY3499" s="82" t="str">
        <f t="shared" si="2"/>
        <v/>
      </c>
      <c r="AZ3499" s="82"/>
      <c r="BA3499" s="84" t="s">
        <v>152</v>
      </c>
      <c r="BB3499" s="84" t="str">
        <f>IFERROR(__xludf.DUMMYFUNCTION("iferror(if(A3499="""",,E3499&gt;=FILTER(Constants!$F$2:$F$10,Constants!$A$2:$A$10=A3499)))"),"")</f>
        <v/>
      </c>
    </row>
    <row r="3500">
      <c r="A3500" s="89"/>
      <c r="B3500" s="87"/>
      <c r="C3500" s="73"/>
      <c r="D3500" s="73"/>
      <c r="E3500" s="82"/>
      <c r="F3500" s="82"/>
      <c r="G3500" s="86"/>
      <c r="H3500" s="86"/>
      <c r="I3500" s="86"/>
      <c r="J3500" s="82"/>
      <c r="K3500" s="82"/>
      <c r="L3500" s="82"/>
      <c r="M3500" s="82"/>
      <c r="N3500" s="82"/>
      <c r="O3500" s="82"/>
      <c r="P3500" s="82"/>
      <c r="Q3500" s="82"/>
      <c r="R3500" s="82"/>
      <c r="S3500" s="82"/>
      <c r="T3500" s="82"/>
      <c r="U3500" s="82"/>
      <c r="V3500" s="82"/>
      <c r="W3500" s="82"/>
      <c r="X3500" s="82"/>
      <c r="Y3500" s="82"/>
      <c r="Z3500" s="82"/>
      <c r="AA3500" s="82"/>
      <c r="AB3500" s="82"/>
      <c r="AC3500" s="82"/>
      <c r="AD3500" s="82"/>
      <c r="AE3500" s="82"/>
      <c r="AF3500" s="82"/>
      <c r="AG3500" s="82"/>
      <c r="AH3500" s="82"/>
      <c r="AI3500" s="82"/>
      <c r="AJ3500" s="82"/>
      <c r="AK3500" s="82"/>
      <c r="AL3500" s="82"/>
      <c r="AM3500" s="82"/>
      <c r="AN3500" s="82"/>
      <c r="AO3500" s="82"/>
      <c r="AP3500" s="82"/>
      <c r="AQ3500" s="82"/>
      <c r="AR3500" s="82"/>
      <c r="AS3500" s="82"/>
      <c r="AT3500" s="82"/>
      <c r="AU3500" s="82"/>
      <c r="AV3500" s="82"/>
      <c r="AW3500" s="82" t="str">
        <f t="shared" si="1"/>
        <v/>
      </c>
      <c r="AX3500" s="83" t="str">
        <f t="array" ref="AX3500">IFERROR(DGET('SBV Import'!A:G,"SBV",{"RSC ID","Tier";B3500,A3500}))</f>
        <v/>
      </c>
      <c r="AY3500" s="82" t="str">
        <f t="shared" si="2"/>
        <v/>
      </c>
      <c r="AZ3500" s="82"/>
      <c r="BA3500" s="84" t="s">
        <v>152</v>
      </c>
      <c r="BB3500" s="84" t="str">
        <f>IFERROR(__xludf.DUMMYFUNCTION("iferror(if(A3500="""",,E3500&gt;=FILTER(Constants!$F$2:$F$10,Constants!$A$2:$A$10=A3500)))"),"")</f>
        <v/>
      </c>
    </row>
    <row r="3501">
      <c r="A3501" s="89"/>
      <c r="B3501" s="87"/>
      <c r="C3501" s="73"/>
      <c r="D3501" s="73"/>
      <c r="E3501" s="82"/>
      <c r="F3501" s="82"/>
      <c r="G3501" s="86"/>
      <c r="H3501" s="86"/>
      <c r="I3501" s="86"/>
      <c r="J3501" s="82"/>
      <c r="K3501" s="82"/>
      <c r="L3501" s="82"/>
      <c r="M3501" s="82"/>
      <c r="N3501" s="82"/>
      <c r="O3501" s="82"/>
      <c r="P3501" s="82"/>
      <c r="Q3501" s="82"/>
      <c r="R3501" s="82"/>
      <c r="S3501" s="82"/>
      <c r="T3501" s="82"/>
      <c r="U3501" s="82"/>
      <c r="V3501" s="82"/>
      <c r="W3501" s="82"/>
      <c r="X3501" s="82"/>
      <c r="Y3501" s="82"/>
      <c r="Z3501" s="82"/>
      <c r="AA3501" s="82"/>
      <c r="AB3501" s="82"/>
      <c r="AC3501" s="82"/>
      <c r="AD3501" s="82"/>
      <c r="AE3501" s="82"/>
      <c r="AF3501" s="82"/>
      <c r="AG3501" s="82"/>
      <c r="AH3501" s="82"/>
      <c r="AI3501" s="82"/>
      <c r="AJ3501" s="82"/>
      <c r="AK3501" s="82"/>
      <c r="AL3501" s="82"/>
      <c r="AM3501" s="82"/>
      <c r="AN3501" s="82"/>
      <c r="AO3501" s="82"/>
      <c r="AP3501" s="82"/>
      <c r="AQ3501" s="82"/>
      <c r="AR3501" s="82"/>
      <c r="AS3501" s="82"/>
      <c r="AT3501" s="82"/>
      <c r="AU3501" s="82"/>
      <c r="AV3501" s="82"/>
      <c r="AW3501" s="82" t="str">
        <f t="shared" si="1"/>
        <v/>
      </c>
      <c r="AX3501" s="83" t="str">
        <f t="array" ref="AX3501">IFERROR(DGET('SBV Import'!A:G,"SBV",{"RSC ID","Tier";B3501,A3501}))</f>
        <v/>
      </c>
      <c r="AY3501" s="82" t="str">
        <f t="shared" si="2"/>
        <v/>
      </c>
      <c r="AZ3501" s="82"/>
      <c r="BA3501" s="84" t="s">
        <v>152</v>
      </c>
      <c r="BB3501" s="84" t="str">
        <f>IFERROR(__xludf.DUMMYFUNCTION("iferror(if(A3501="""",,E3501&gt;=FILTER(Constants!$F$2:$F$10,Constants!$A$2:$A$10=A3501)))"),"")</f>
        <v/>
      </c>
    </row>
    <row r="3502">
      <c r="A3502" s="89"/>
      <c r="B3502" s="87"/>
      <c r="C3502" s="73"/>
      <c r="D3502" s="73"/>
      <c r="E3502" s="82"/>
      <c r="F3502" s="82"/>
      <c r="G3502" s="86"/>
      <c r="H3502" s="86"/>
      <c r="I3502" s="86"/>
      <c r="J3502" s="82"/>
      <c r="K3502" s="82"/>
      <c r="L3502" s="82"/>
      <c r="M3502" s="82"/>
      <c r="N3502" s="82"/>
      <c r="O3502" s="82"/>
      <c r="P3502" s="82"/>
      <c r="Q3502" s="82"/>
      <c r="R3502" s="82"/>
      <c r="S3502" s="82"/>
      <c r="T3502" s="82"/>
      <c r="U3502" s="82"/>
      <c r="V3502" s="82"/>
      <c r="W3502" s="82"/>
      <c r="X3502" s="82"/>
      <c r="Y3502" s="82"/>
      <c r="Z3502" s="82"/>
      <c r="AA3502" s="82"/>
      <c r="AB3502" s="82"/>
      <c r="AC3502" s="82"/>
      <c r="AD3502" s="82"/>
      <c r="AE3502" s="82"/>
      <c r="AF3502" s="82"/>
      <c r="AG3502" s="82"/>
      <c r="AH3502" s="82"/>
      <c r="AI3502" s="82"/>
      <c r="AJ3502" s="82"/>
      <c r="AK3502" s="82"/>
      <c r="AL3502" s="82"/>
      <c r="AM3502" s="82"/>
      <c r="AN3502" s="82"/>
      <c r="AO3502" s="82"/>
      <c r="AP3502" s="82"/>
      <c r="AQ3502" s="82"/>
      <c r="AR3502" s="82"/>
      <c r="AS3502" s="82"/>
      <c r="AT3502" s="82"/>
      <c r="AU3502" s="82"/>
      <c r="AV3502" s="82"/>
      <c r="AW3502" s="82" t="str">
        <f t="shared" si="1"/>
        <v/>
      </c>
      <c r="AX3502" s="83" t="str">
        <f t="array" ref="AX3502">IFERROR(DGET('SBV Import'!A:G,"SBV",{"RSC ID","Tier";B3502,A3502}))</f>
        <v/>
      </c>
      <c r="AY3502" s="82" t="str">
        <f t="shared" si="2"/>
        <v/>
      </c>
      <c r="AZ3502" s="82"/>
      <c r="BA3502" s="84" t="s">
        <v>152</v>
      </c>
      <c r="BB3502" s="84" t="str">
        <f>IFERROR(__xludf.DUMMYFUNCTION("iferror(if(A3502="""",,E3502&gt;=FILTER(Constants!$F$2:$F$10,Constants!$A$2:$A$10=A3502)))"),"")</f>
        <v/>
      </c>
    </row>
    <row r="3503">
      <c r="A3503" s="89"/>
      <c r="B3503" s="87"/>
      <c r="C3503" s="73"/>
      <c r="D3503" s="73"/>
      <c r="E3503" s="82"/>
      <c r="F3503" s="82"/>
      <c r="G3503" s="86"/>
      <c r="H3503" s="86"/>
      <c r="I3503" s="86"/>
      <c r="J3503" s="82"/>
      <c r="K3503" s="82"/>
      <c r="L3503" s="82"/>
      <c r="M3503" s="82"/>
      <c r="N3503" s="82"/>
      <c r="O3503" s="82"/>
      <c r="P3503" s="82"/>
      <c r="Q3503" s="82"/>
      <c r="R3503" s="82"/>
      <c r="S3503" s="82"/>
      <c r="T3503" s="82"/>
      <c r="U3503" s="82"/>
      <c r="V3503" s="82"/>
      <c r="W3503" s="82"/>
      <c r="X3503" s="82"/>
      <c r="Y3503" s="82"/>
      <c r="Z3503" s="82"/>
      <c r="AA3503" s="82"/>
      <c r="AB3503" s="82"/>
      <c r="AC3503" s="82"/>
      <c r="AD3503" s="82"/>
      <c r="AE3503" s="82"/>
      <c r="AF3503" s="82"/>
      <c r="AG3503" s="82"/>
      <c r="AH3503" s="82"/>
      <c r="AI3503" s="82"/>
      <c r="AJ3503" s="82"/>
      <c r="AK3503" s="82"/>
      <c r="AL3503" s="82"/>
      <c r="AM3503" s="82"/>
      <c r="AN3503" s="82"/>
      <c r="AO3503" s="82"/>
      <c r="AP3503" s="82"/>
      <c r="AQ3503" s="82"/>
      <c r="AR3503" s="82"/>
      <c r="AS3503" s="82"/>
      <c r="AT3503" s="82"/>
      <c r="AU3503" s="82"/>
      <c r="AV3503" s="82"/>
      <c r="AW3503" s="82" t="str">
        <f t="shared" si="1"/>
        <v/>
      </c>
      <c r="AX3503" s="83" t="str">
        <f t="array" ref="AX3503">IFERROR(DGET('SBV Import'!A:G,"SBV",{"RSC ID","Tier";B3503,A3503}))</f>
        <v/>
      </c>
      <c r="AY3503" s="82" t="str">
        <f t="shared" si="2"/>
        <v/>
      </c>
      <c r="AZ3503" s="82"/>
      <c r="BA3503" s="84" t="s">
        <v>152</v>
      </c>
      <c r="BB3503" s="84" t="str">
        <f>IFERROR(__xludf.DUMMYFUNCTION("iferror(if(A3503="""",,E3503&gt;=FILTER(Constants!$F$2:$F$10,Constants!$A$2:$A$10=A3503)))"),"")</f>
        <v/>
      </c>
    </row>
    <row r="3504">
      <c r="A3504" s="89"/>
      <c r="B3504" s="87"/>
      <c r="C3504" s="73"/>
      <c r="D3504" s="73"/>
      <c r="E3504" s="82"/>
      <c r="F3504" s="82"/>
      <c r="G3504" s="86"/>
      <c r="H3504" s="86"/>
      <c r="I3504" s="86"/>
      <c r="J3504" s="82"/>
      <c r="K3504" s="82"/>
      <c r="L3504" s="82"/>
      <c r="M3504" s="82"/>
      <c r="N3504" s="82"/>
      <c r="O3504" s="82"/>
      <c r="P3504" s="82"/>
      <c r="Q3504" s="82"/>
      <c r="R3504" s="82"/>
      <c r="S3504" s="82"/>
      <c r="T3504" s="82"/>
      <c r="U3504" s="82"/>
      <c r="V3504" s="82"/>
      <c r="W3504" s="82"/>
      <c r="X3504" s="82"/>
      <c r="Y3504" s="82"/>
      <c r="Z3504" s="82"/>
      <c r="AA3504" s="82"/>
      <c r="AB3504" s="82"/>
      <c r="AC3504" s="82"/>
      <c r="AD3504" s="82"/>
      <c r="AE3504" s="82"/>
      <c r="AF3504" s="82"/>
      <c r="AG3504" s="82"/>
      <c r="AH3504" s="82"/>
      <c r="AI3504" s="82"/>
      <c r="AJ3504" s="82"/>
      <c r="AK3504" s="82"/>
      <c r="AL3504" s="82"/>
      <c r="AM3504" s="82"/>
      <c r="AN3504" s="82"/>
      <c r="AO3504" s="82"/>
      <c r="AP3504" s="82"/>
      <c r="AQ3504" s="82"/>
      <c r="AR3504" s="82"/>
      <c r="AS3504" s="82"/>
      <c r="AT3504" s="82"/>
      <c r="AU3504" s="82"/>
      <c r="AV3504" s="82"/>
      <c r="AW3504" s="82" t="str">
        <f t="shared" si="1"/>
        <v/>
      </c>
      <c r="AX3504" s="83" t="str">
        <f t="array" ref="AX3504">IFERROR(DGET('SBV Import'!A:G,"SBV",{"RSC ID","Tier";B3504,A3504}))</f>
        <v/>
      </c>
      <c r="AY3504" s="82" t="str">
        <f t="shared" si="2"/>
        <v/>
      </c>
      <c r="AZ3504" s="82"/>
      <c r="BA3504" s="84" t="s">
        <v>152</v>
      </c>
      <c r="BB3504" s="84" t="str">
        <f>IFERROR(__xludf.DUMMYFUNCTION("iferror(if(A3504="""",,E3504&gt;=FILTER(Constants!$F$2:$F$10,Constants!$A$2:$A$10=A3504)))"),"")</f>
        <v/>
      </c>
    </row>
    <row r="3505">
      <c r="A3505" s="89"/>
      <c r="B3505" s="87"/>
      <c r="C3505" s="73"/>
      <c r="D3505" s="73"/>
      <c r="E3505" s="82"/>
      <c r="F3505" s="82"/>
      <c r="G3505" s="86"/>
      <c r="H3505" s="86"/>
      <c r="I3505" s="86"/>
      <c r="J3505" s="82"/>
      <c r="K3505" s="82"/>
      <c r="L3505" s="82"/>
      <c r="M3505" s="82"/>
      <c r="N3505" s="82"/>
      <c r="O3505" s="82"/>
      <c r="P3505" s="82"/>
      <c r="Q3505" s="82"/>
      <c r="R3505" s="82"/>
      <c r="S3505" s="82"/>
      <c r="T3505" s="82"/>
      <c r="U3505" s="82"/>
      <c r="V3505" s="82"/>
      <c r="W3505" s="82"/>
      <c r="X3505" s="82"/>
      <c r="Y3505" s="82"/>
      <c r="Z3505" s="82"/>
      <c r="AA3505" s="82"/>
      <c r="AB3505" s="82"/>
      <c r="AC3505" s="82"/>
      <c r="AD3505" s="82"/>
      <c r="AE3505" s="82"/>
      <c r="AF3505" s="82"/>
      <c r="AG3505" s="82"/>
      <c r="AH3505" s="82"/>
      <c r="AI3505" s="82"/>
      <c r="AJ3505" s="82"/>
      <c r="AK3505" s="82"/>
      <c r="AL3505" s="82"/>
      <c r="AM3505" s="82"/>
      <c r="AN3505" s="82"/>
      <c r="AO3505" s="82"/>
      <c r="AP3505" s="82"/>
      <c r="AQ3505" s="82"/>
      <c r="AR3505" s="82"/>
      <c r="AS3505" s="82"/>
      <c r="AT3505" s="82"/>
      <c r="AU3505" s="82"/>
      <c r="AV3505" s="82"/>
      <c r="AW3505" s="82" t="str">
        <f t="shared" si="1"/>
        <v/>
      </c>
      <c r="AX3505" s="83" t="str">
        <f t="array" ref="AX3505">IFERROR(DGET('SBV Import'!A:G,"SBV",{"RSC ID","Tier";B3505,A3505}))</f>
        <v/>
      </c>
      <c r="AY3505" s="82" t="str">
        <f t="shared" si="2"/>
        <v/>
      </c>
      <c r="AZ3505" s="82"/>
      <c r="BA3505" s="84" t="s">
        <v>152</v>
      </c>
      <c r="BB3505" s="84" t="str">
        <f>IFERROR(__xludf.DUMMYFUNCTION("iferror(if(A3505="""",,E3505&gt;=FILTER(Constants!$F$2:$F$10,Constants!$A$2:$A$10=A3505)))"),"")</f>
        <v/>
      </c>
    </row>
    <row r="3506">
      <c r="A3506" s="89"/>
      <c r="B3506" s="87"/>
      <c r="C3506" s="73"/>
      <c r="D3506" s="73"/>
      <c r="E3506" s="82"/>
      <c r="F3506" s="82"/>
      <c r="G3506" s="86"/>
      <c r="H3506" s="86"/>
      <c r="I3506" s="86"/>
      <c r="J3506" s="82"/>
      <c r="K3506" s="82"/>
      <c r="L3506" s="82"/>
      <c r="M3506" s="82"/>
      <c r="N3506" s="82"/>
      <c r="O3506" s="82"/>
      <c r="P3506" s="82"/>
      <c r="Q3506" s="82"/>
      <c r="R3506" s="82"/>
      <c r="S3506" s="82"/>
      <c r="T3506" s="82"/>
      <c r="U3506" s="82"/>
      <c r="V3506" s="82"/>
      <c r="W3506" s="82"/>
      <c r="X3506" s="82"/>
      <c r="Y3506" s="82"/>
      <c r="Z3506" s="82"/>
      <c r="AA3506" s="82"/>
      <c r="AB3506" s="82"/>
      <c r="AC3506" s="82"/>
      <c r="AD3506" s="82"/>
      <c r="AE3506" s="82"/>
      <c r="AF3506" s="82"/>
      <c r="AG3506" s="82"/>
      <c r="AH3506" s="82"/>
      <c r="AI3506" s="82"/>
      <c r="AJ3506" s="82"/>
      <c r="AK3506" s="82"/>
      <c r="AL3506" s="82"/>
      <c r="AM3506" s="82"/>
      <c r="AN3506" s="82"/>
      <c r="AO3506" s="82"/>
      <c r="AP3506" s="82"/>
      <c r="AQ3506" s="82"/>
      <c r="AR3506" s="82"/>
      <c r="AS3506" s="82"/>
      <c r="AT3506" s="82"/>
      <c r="AU3506" s="82"/>
      <c r="AV3506" s="82"/>
      <c r="AW3506" s="82" t="str">
        <f t="shared" si="1"/>
        <v/>
      </c>
      <c r="AX3506" s="83" t="str">
        <f t="array" ref="AX3506">IFERROR(DGET('SBV Import'!A:G,"SBV",{"RSC ID","Tier";B3506,A3506}))</f>
        <v/>
      </c>
      <c r="AY3506" s="82" t="str">
        <f t="shared" si="2"/>
        <v/>
      </c>
      <c r="AZ3506" s="82"/>
      <c r="BA3506" s="84" t="s">
        <v>152</v>
      </c>
      <c r="BB3506" s="84" t="str">
        <f>IFERROR(__xludf.DUMMYFUNCTION("iferror(if(A3506="""",,E3506&gt;=FILTER(Constants!$F$2:$F$10,Constants!$A$2:$A$10=A3506)))"),"")</f>
        <v/>
      </c>
    </row>
    <row r="3507">
      <c r="A3507" s="89"/>
      <c r="B3507" s="87"/>
      <c r="C3507" s="73"/>
      <c r="D3507" s="73"/>
      <c r="E3507" s="82"/>
      <c r="F3507" s="82"/>
      <c r="G3507" s="86"/>
      <c r="H3507" s="86"/>
      <c r="I3507" s="86"/>
      <c r="J3507" s="82"/>
      <c r="K3507" s="82"/>
      <c r="L3507" s="82"/>
      <c r="M3507" s="82"/>
      <c r="N3507" s="82"/>
      <c r="O3507" s="82"/>
      <c r="P3507" s="82"/>
      <c r="Q3507" s="82"/>
      <c r="R3507" s="82"/>
      <c r="S3507" s="82"/>
      <c r="T3507" s="82"/>
      <c r="U3507" s="82"/>
      <c r="V3507" s="82"/>
      <c r="W3507" s="82"/>
      <c r="X3507" s="82"/>
      <c r="Y3507" s="82"/>
      <c r="Z3507" s="82"/>
      <c r="AA3507" s="82"/>
      <c r="AB3507" s="82"/>
      <c r="AC3507" s="82"/>
      <c r="AD3507" s="82"/>
      <c r="AE3507" s="82"/>
      <c r="AF3507" s="82"/>
      <c r="AG3507" s="82"/>
      <c r="AH3507" s="82"/>
      <c r="AI3507" s="82"/>
      <c r="AJ3507" s="82"/>
      <c r="AK3507" s="82"/>
      <c r="AL3507" s="82"/>
      <c r="AM3507" s="82"/>
      <c r="AN3507" s="82"/>
      <c r="AO3507" s="82"/>
      <c r="AP3507" s="82"/>
      <c r="AQ3507" s="82"/>
      <c r="AR3507" s="82"/>
      <c r="AS3507" s="82"/>
      <c r="AT3507" s="82"/>
      <c r="AU3507" s="82"/>
      <c r="AV3507" s="82"/>
      <c r="AW3507" s="82" t="str">
        <f t="shared" si="1"/>
        <v/>
      </c>
      <c r="AX3507" s="83" t="str">
        <f t="array" ref="AX3507">IFERROR(DGET('SBV Import'!A:G,"SBV",{"RSC ID","Tier";B3507,A3507}))</f>
        <v/>
      </c>
      <c r="AY3507" s="82" t="str">
        <f t="shared" si="2"/>
        <v/>
      </c>
      <c r="AZ3507" s="82"/>
      <c r="BA3507" s="84" t="s">
        <v>152</v>
      </c>
      <c r="BB3507" s="84" t="str">
        <f>IFERROR(__xludf.DUMMYFUNCTION("iferror(if(A3507="""",,E3507&gt;=FILTER(Constants!$F$2:$F$10,Constants!$A$2:$A$10=A3507)))"),"")</f>
        <v/>
      </c>
    </row>
    <row r="3508">
      <c r="A3508" s="89"/>
      <c r="B3508" s="87"/>
      <c r="C3508" s="73"/>
      <c r="D3508" s="73"/>
      <c r="E3508" s="82"/>
      <c r="F3508" s="82"/>
      <c r="G3508" s="86"/>
      <c r="H3508" s="86"/>
      <c r="I3508" s="86"/>
      <c r="J3508" s="82"/>
      <c r="K3508" s="82"/>
      <c r="L3508" s="82"/>
      <c r="M3508" s="82"/>
      <c r="N3508" s="82"/>
      <c r="O3508" s="82"/>
      <c r="P3508" s="82"/>
      <c r="Q3508" s="82"/>
      <c r="R3508" s="82"/>
      <c r="S3508" s="82"/>
      <c r="T3508" s="82"/>
      <c r="U3508" s="82"/>
      <c r="V3508" s="82"/>
      <c r="W3508" s="82"/>
      <c r="X3508" s="82"/>
      <c r="Y3508" s="82"/>
      <c r="Z3508" s="82"/>
      <c r="AA3508" s="82"/>
      <c r="AB3508" s="82"/>
      <c r="AC3508" s="82"/>
      <c r="AD3508" s="82"/>
      <c r="AE3508" s="82"/>
      <c r="AF3508" s="82"/>
      <c r="AG3508" s="82"/>
      <c r="AH3508" s="82"/>
      <c r="AI3508" s="82"/>
      <c r="AJ3508" s="82"/>
      <c r="AK3508" s="82"/>
      <c r="AL3508" s="82"/>
      <c r="AM3508" s="82"/>
      <c r="AN3508" s="82"/>
      <c r="AO3508" s="82"/>
      <c r="AP3508" s="82"/>
      <c r="AQ3508" s="82"/>
      <c r="AR3508" s="82"/>
      <c r="AS3508" s="82"/>
      <c r="AT3508" s="82"/>
      <c r="AU3508" s="82"/>
      <c r="AV3508" s="82"/>
      <c r="AW3508" s="82" t="str">
        <f t="shared" si="1"/>
        <v/>
      </c>
      <c r="AX3508" s="83" t="str">
        <f t="array" ref="AX3508">IFERROR(DGET('SBV Import'!A:G,"SBV",{"RSC ID","Tier";B3508,A3508}))</f>
        <v/>
      </c>
      <c r="AY3508" s="82" t="str">
        <f t="shared" si="2"/>
        <v/>
      </c>
      <c r="AZ3508" s="82"/>
      <c r="BA3508" s="84" t="s">
        <v>152</v>
      </c>
      <c r="BB3508" s="84" t="str">
        <f>IFERROR(__xludf.DUMMYFUNCTION("iferror(if(A3508="""",,E3508&gt;=FILTER(Constants!$F$2:$F$10,Constants!$A$2:$A$10=A3508)))"),"")</f>
        <v/>
      </c>
    </row>
    <row r="3509">
      <c r="A3509" s="89"/>
      <c r="B3509" s="87"/>
      <c r="C3509" s="73"/>
      <c r="D3509" s="73"/>
      <c r="E3509" s="82"/>
      <c r="F3509" s="82"/>
      <c r="G3509" s="86"/>
      <c r="H3509" s="86"/>
      <c r="I3509" s="86"/>
      <c r="J3509" s="82"/>
      <c r="K3509" s="82"/>
      <c r="L3509" s="82"/>
      <c r="M3509" s="82"/>
      <c r="N3509" s="82"/>
      <c r="O3509" s="82"/>
      <c r="P3509" s="82"/>
      <c r="Q3509" s="82"/>
      <c r="R3509" s="82"/>
      <c r="S3509" s="82"/>
      <c r="T3509" s="82"/>
      <c r="U3509" s="82"/>
      <c r="V3509" s="82"/>
      <c r="W3509" s="82"/>
      <c r="X3509" s="82"/>
      <c r="Y3509" s="82"/>
      <c r="Z3509" s="82"/>
      <c r="AA3509" s="82"/>
      <c r="AB3509" s="82"/>
      <c r="AC3509" s="82"/>
      <c r="AD3509" s="82"/>
      <c r="AE3509" s="82"/>
      <c r="AF3509" s="82"/>
      <c r="AG3509" s="82"/>
      <c r="AH3509" s="82"/>
      <c r="AI3509" s="82"/>
      <c r="AJ3509" s="82"/>
      <c r="AK3509" s="82"/>
      <c r="AL3509" s="82"/>
      <c r="AM3509" s="82"/>
      <c r="AN3509" s="82"/>
      <c r="AO3509" s="82"/>
      <c r="AP3509" s="82"/>
      <c r="AQ3509" s="82"/>
      <c r="AR3509" s="82"/>
      <c r="AS3509" s="82"/>
      <c r="AT3509" s="82"/>
      <c r="AU3509" s="82"/>
      <c r="AV3509" s="82"/>
      <c r="AW3509" s="82" t="str">
        <f t="shared" si="1"/>
        <v/>
      </c>
      <c r="AX3509" s="83" t="str">
        <f t="array" ref="AX3509">IFERROR(DGET('SBV Import'!A:G,"SBV",{"RSC ID","Tier";B3509,A3509}))</f>
        <v/>
      </c>
      <c r="AY3509" s="82" t="str">
        <f t="shared" si="2"/>
        <v/>
      </c>
      <c r="AZ3509" s="82"/>
      <c r="BA3509" s="84" t="s">
        <v>152</v>
      </c>
      <c r="BB3509" s="84" t="str">
        <f>IFERROR(__xludf.DUMMYFUNCTION("iferror(if(A3509="""",,E3509&gt;=FILTER(Constants!$F$2:$F$10,Constants!$A$2:$A$10=A3509)))"),"")</f>
        <v/>
      </c>
    </row>
    <row r="3510">
      <c r="A3510" s="89"/>
      <c r="B3510" s="87"/>
      <c r="C3510" s="73"/>
      <c r="D3510" s="73"/>
      <c r="E3510" s="82"/>
      <c r="F3510" s="82"/>
      <c r="G3510" s="86"/>
      <c r="H3510" s="86"/>
      <c r="I3510" s="86"/>
      <c r="J3510" s="82"/>
      <c r="K3510" s="82"/>
      <c r="L3510" s="82"/>
      <c r="M3510" s="82"/>
      <c r="N3510" s="82"/>
      <c r="O3510" s="82"/>
      <c r="P3510" s="82"/>
      <c r="Q3510" s="82"/>
      <c r="R3510" s="82"/>
      <c r="S3510" s="82"/>
      <c r="T3510" s="82"/>
      <c r="U3510" s="82"/>
      <c r="V3510" s="82"/>
      <c r="W3510" s="82"/>
      <c r="X3510" s="82"/>
      <c r="Y3510" s="82"/>
      <c r="Z3510" s="82"/>
      <c r="AA3510" s="82"/>
      <c r="AB3510" s="82"/>
      <c r="AC3510" s="82"/>
      <c r="AD3510" s="82"/>
      <c r="AE3510" s="82"/>
      <c r="AF3510" s="82"/>
      <c r="AG3510" s="82"/>
      <c r="AH3510" s="82"/>
      <c r="AI3510" s="82"/>
      <c r="AJ3510" s="82"/>
      <c r="AK3510" s="82"/>
      <c r="AL3510" s="82"/>
      <c r="AM3510" s="82"/>
      <c r="AN3510" s="82"/>
      <c r="AO3510" s="82"/>
      <c r="AP3510" s="82"/>
      <c r="AQ3510" s="82"/>
      <c r="AR3510" s="82"/>
      <c r="AS3510" s="82"/>
      <c r="AT3510" s="82"/>
      <c r="AU3510" s="82"/>
      <c r="AV3510" s="82"/>
      <c r="AW3510" s="82" t="str">
        <f t="shared" si="1"/>
        <v/>
      </c>
      <c r="AX3510" s="83" t="str">
        <f t="array" ref="AX3510">IFERROR(DGET('SBV Import'!A:G,"SBV",{"RSC ID","Tier";B3510,A3510}))</f>
        <v/>
      </c>
      <c r="AY3510" s="82" t="str">
        <f t="shared" si="2"/>
        <v/>
      </c>
      <c r="AZ3510" s="82"/>
      <c r="BA3510" s="84" t="s">
        <v>152</v>
      </c>
      <c r="BB3510" s="84" t="str">
        <f>IFERROR(__xludf.DUMMYFUNCTION("iferror(if(A3510="""",,E3510&gt;=FILTER(Constants!$F$2:$F$10,Constants!$A$2:$A$10=A3510)))"),"")</f>
        <v/>
      </c>
    </row>
    <row r="3511">
      <c r="A3511" s="89"/>
      <c r="B3511" s="87"/>
      <c r="C3511" s="73"/>
      <c r="D3511" s="73"/>
      <c r="E3511" s="82"/>
      <c r="F3511" s="82"/>
      <c r="G3511" s="86"/>
      <c r="H3511" s="86"/>
      <c r="I3511" s="86"/>
      <c r="J3511" s="82"/>
      <c r="K3511" s="82"/>
      <c r="L3511" s="82"/>
      <c r="M3511" s="82"/>
      <c r="N3511" s="82"/>
      <c r="O3511" s="82"/>
      <c r="P3511" s="82"/>
      <c r="Q3511" s="82"/>
      <c r="R3511" s="82"/>
      <c r="S3511" s="82"/>
      <c r="T3511" s="82"/>
      <c r="U3511" s="82"/>
      <c r="V3511" s="82"/>
      <c r="W3511" s="82"/>
      <c r="X3511" s="82"/>
      <c r="Y3511" s="82"/>
      <c r="Z3511" s="82"/>
      <c r="AA3511" s="82"/>
      <c r="AB3511" s="82"/>
      <c r="AC3511" s="82"/>
      <c r="AD3511" s="82"/>
      <c r="AE3511" s="82"/>
      <c r="AF3511" s="82"/>
      <c r="AG3511" s="82"/>
      <c r="AH3511" s="82"/>
      <c r="AI3511" s="82"/>
      <c r="AJ3511" s="82"/>
      <c r="AK3511" s="82"/>
      <c r="AL3511" s="82"/>
      <c r="AM3511" s="82"/>
      <c r="AN3511" s="82"/>
      <c r="AO3511" s="82"/>
      <c r="AP3511" s="82"/>
      <c r="AQ3511" s="82"/>
      <c r="AR3511" s="82"/>
      <c r="AS3511" s="82"/>
      <c r="AT3511" s="82"/>
      <c r="AU3511" s="82"/>
      <c r="AV3511" s="82"/>
      <c r="AW3511" s="82" t="str">
        <f t="shared" si="1"/>
        <v/>
      </c>
      <c r="AX3511" s="83" t="str">
        <f t="array" ref="AX3511">IFERROR(DGET('SBV Import'!A:G,"SBV",{"RSC ID","Tier";B3511,A3511}))</f>
        <v/>
      </c>
      <c r="AY3511" s="82" t="str">
        <f t="shared" si="2"/>
        <v/>
      </c>
      <c r="AZ3511" s="82"/>
      <c r="BA3511" s="84" t="s">
        <v>152</v>
      </c>
      <c r="BB3511" s="84" t="str">
        <f>IFERROR(__xludf.DUMMYFUNCTION("iferror(if(A3511="""",,E3511&gt;=FILTER(Constants!$F$2:$F$10,Constants!$A$2:$A$10=A3511)))"),"")</f>
        <v/>
      </c>
    </row>
    <row r="3512">
      <c r="A3512" s="89"/>
      <c r="B3512" s="87"/>
      <c r="C3512" s="73"/>
      <c r="D3512" s="73"/>
      <c r="E3512" s="82"/>
      <c r="F3512" s="82"/>
      <c r="G3512" s="86"/>
      <c r="H3512" s="86"/>
      <c r="I3512" s="86"/>
      <c r="J3512" s="82"/>
      <c r="K3512" s="82"/>
      <c r="L3512" s="82"/>
      <c r="M3512" s="82"/>
      <c r="N3512" s="82"/>
      <c r="O3512" s="82"/>
      <c r="P3512" s="82"/>
      <c r="Q3512" s="82"/>
      <c r="R3512" s="82"/>
      <c r="S3512" s="82"/>
      <c r="T3512" s="82"/>
      <c r="U3512" s="82"/>
      <c r="V3512" s="82"/>
      <c r="W3512" s="82"/>
      <c r="X3512" s="82"/>
      <c r="Y3512" s="82"/>
      <c r="Z3512" s="82"/>
      <c r="AA3512" s="82"/>
      <c r="AB3512" s="82"/>
      <c r="AC3512" s="82"/>
      <c r="AD3512" s="82"/>
      <c r="AE3512" s="82"/>
      <c r="AF3512" s="82"/>
      <c r="AG3512" s="82"/>
      <c r="AH3512" s="82"/>
      <c r="AI3512" s="82"/>
      <c r="AJ3512" s="82"/>
      <c r="AK3512" s="82"/>
      <c r="AL3512" s="82"/>
      <c r="AM3512" s="82"/>
      <c r="AN3512" s="82"/>
      <c r="AO3512" s="82"/>
      <c r="AP3512" s="82"/>
      <c r="AQ3512" s="82"/>
      <c r="AR3512" s="82"/>
      <c r="AS3512" s="82"/>
      <c r="AT3512" s="82"/>
      <c r="AU3512" s="82"/>
      <c r="AV3512" s="82"/>
      <c r="AW3512" s="82" t="str">
        <f t="shared" si="1"/>
        <v/>
      </c>
      <c r="AX3512" s="83" t="str">
        <f t="array" ref="AX3512">IFERROR(DGET('SBV Import'!A:G,"SBV",{"RSC ID","Tier";B3512,A3512}))</f>
        <v/>
      </c>
      <c r="AY3512" s="82" t="str">
        <f t="shared" si="2"/>
        <v/>
      </c>
      <c r="AZ3512" s="82"/>
      <c r="BA3512" s="84" t="s">
        <v>152</v>
      </c>
      <c r="BB3512" s="84" t="str">
        <f>IFERROR(__xludf.DUMMYFUNCTION("iferror(if(A3512="""",,E3512&gt;=FILTER(Constants!$F$2:$F$10,Constants!$A$2:$A$10=A3512)))"),"")</f>
        <v/>
      </c>
    </row>
    <row r="3513">
      <c r="A3513" s="89"/>
      <c r="B3513" s="87"/>
      <c r="C3513" s="73"/>
      <c r="D3513" s="73"/>
      <c r="E3513" s="82"/>
      <c r="F3513" s="82"/>
      <c r="G3513" s="86"/>
      <c r="H3513" s="86"/>
      <c r="I3513" s="86"/>
      <c r="J3513" s="82"/>
      <c r="K3513" s="82"/>
      <c r="L3513" s="82"/>
      <c r="M3513" s="82"/>
      <c r="N3513" s="82"/>
      <c r="O3513" s="82"/>
      <c r="P3513" s="82"/>
      <c r="Q3513" s="82"/>
      <c r="R3513" s="82"/>
      <c r="S3513" s="82"/>
      <c r="T3513" s="82"/>
      <c r="U3513" s="82"/>
      <c r="V3513" s="82"/>
      <c r="W3513" s="82"/>
      <c r="X3513" s="82"/>
      <c r="Y3513" s="82"/>
      <c r="Z3513" s="82"/>
      <c r="AA3513" s="82"/>
      <c r="AB3513" s="82"/>
      <c r="AC3513" s="82"/>
      <c r="AD3513" s="82"/>
      <c r="AE3513" s="82"/>
      <c r="AF3513" s="82"/>
      <c r="AG3513" s="82"/>
      <c r="AH3513" s="82"/>
      <c r="AI3513" s="82"/>
      <c r="AJ3513" s="82"/>
      <c r="AK3513" s="82"/>
      <c r="AL3513" s="82"/>
      <c r="AM3513" s="82"/>
      <c r="AN3513" s="82"/>
      <c r="AO3513" s="82"/>
      <c r="AP3513" s="82"/>
      <c r="AQ3513" s="82"/>
      <c r="AR3513" s="82"/>
      <c r="AS3513" s="82"/>
      <c r="AT3513" s="82"/>
      <c r="AU3513" s="82"/>
      <c r="AV3513" s="82"/>
      <c r="AW3513" s="82" t="str">
        <f t="shared" si="1"/>
        <v/>
      </c>
      <c r="AX3513" s="83" t="str">
        <f t="array" ref="AX3513">IFERROR(DGET('SBV Import'!A:G,"SBV",{"RSC ID","Tier";B3513,A3513}))</f>
        <v/>
      </c>
      <c r="AY3513" s="82" t="str">
        <f t="shared" si="2"/>
        <v/>
      </c>
      <c r="AZ3513" s="82"/>
      <c r="BA3513" s="84" t="s">
        <v>152</v>
      </c>
      <c r="BB3513" s="84" t="str">
        <f>IFERROR(__xludf.DUMMYFUNCTION("iferror(if(A3513="""",,E3513&gt;=FILTER(Constants!$F$2:$F$10,Constants!$A$2:$A$10=A3513)))"),"")</f>
        <v/>
      </c>
    </row>
    <row r="3514">
      <c r="A3514" s="89"/>
      <c r="B3514" s="87"/>
      <c r="C3514" s="73"/>
      <c r="D3514" s="73"/>
      <c r="E3514" s="82"/>
      <c r="F3514" s="82"/>
      <c r="G3514" s="86"/>
      <c r="H3514" s="86"/>
      <c r="I3514" s="86"/>
      <c r="J3514" s="82"/>
      <c r="K3514" s="82"/>
      <c r="L3514" s="82"/>
      <c r="M3514" s="82"/>
      <c r="N3514" s="82"/>
      <c r="O3514" s="82"/>
      <c r="P3514" s="82"/>
      <c r="Q3514" s="82"/>
      <c r="R3514" s="82"/>
      <c r="S3514" s="82"/>
      <c r="T3514" s="82"/>
      <c r="U3514" s="82"/>
      <c r="V3514" s="82"/>
      <c r="W3514" s="82"/>
      <c r="X3514" s="82"/>
      <c r="Y3514" s="82"/>
      <c r="Z3514" s="82"/>
      <c r="AA3514" s="82"/>
      <c r="AB3514" s="82"/>
      <c r="AC3514" s="82"/>
      <c r="AD3514" s="82"/>
      <c r="AE3514" s="82"/>
      <c r="AF3514" s="82"/>
      <c r="AG3514" s="82"/>
      <c r="AH3514" s="82"/>
      <c r="AI3514" s="82"/>
      <c r="AJ3514" s="82"/>
      <c r="AK3514" s="82"/>
      <c r="AL3514" s="82"/>
      <c r="AM3514" s="82"/>
      <c r="AN3514" s="82"/>
      <c r="AO3514" s="82"/>
      <c r="AP3514" s="82"/>
      <c r="AQ3514" s="82"/>
      <c r="AR3514" s="82"/>
      <c r="AS3514" s="82"/>
      <c r="AT3514" s="82"/>
      <c r="AU3514" s="82"/>
      <c r="AV3514" s="82"/>
      <c r="AW3514" s="82" t="str">
        <f t="shared" si="1"/>
        <v/>
      </c>
      <c r="AX3514" s="83" t="str">
        <f t="array" ref="AX3514">IFERROR(DGET('SBV Import'!A:G,"SBV",{"RSC ID","Tier";B3514,A3514}))</f>
        <v/>
      </c>
      <c r="AY3514" s="82" t="str">
        <f t="shared" si="2"/>
        <v/>
      </c>
      <c r="AZ3514" s="82"/>
      <c r="BA3514" s="84" t="s">
        <v>152</v>
      </c>
      <c r="BB3514" s="84" t="str">
        <f>IFERROR(__xludf.DUMMYFUNCTION("iferror(if(A3514="""",,E3514&gt;=FILTER(Constants!$F$2:$F$10,Constants!$A$2:$A$10=A3514)))"),"")</f>
        <v/>
      </c>
    </row>
    <row r="3515">
      <c r="A3515" s="89"/>
      <c r="B3515" s="87"/>
      <c r="C3515" s="73"/>
      <c r="D3515" s="73"/>
      <c r="E3515" s="82"/>
      <c r="F3515" s="82"/>
      <c r="G3515" s="86"/>
      <c r="H3515" s="86"/>
      <c r="I3515" s="86"/>
      <c r="J3515" s="82"/>
      <c r="K3515" s="82"/>
      <c r="L3515" s="82"/>
      <c r="M3515" s="82"/>
      <c r="N3515" s="82"/>
      <c r="O3515" s="82"/>
      <c r="P3515" s="82"/>
      <c r="Q3515" s="82"/>
      <c r="R3515" s="82"/>
      <c r="S3515" s="82"/>
      <c r="T3515" s="82"/>
      <c r="U3515" s="82"/>
      <c r="V3515" s="82"/>
      <c r="W3515" s="82"/>
      <c r="X3515" s="82"/>
      <c r="Y3515" s="82"/>
      <c r="Z3515" s="82"/>
      <c r="AA3515" s="82"/>
      <c r="AB3515" s="82"/>
      <c r="AC3515" s="82"/>
      <c r="AD3515" s="82"/>
      <c r="AE3515" s="82"/>
      <c r="AF3515" s="82"/>
      <c r="AG3515" s="82"/>
      <c r="AH3515" s="82"/>
      <c r="AI3515" s="82"/>
      <c r="AJ3515" s="82"/>
      <c r="AK3515" s="82"/>
      <c r="AL3515" s="82"/>
      <c r="AM3515" s="82"/>
      <c r="AN3515" s="82"/>
      <c r="AO3515" s="82"/>
      <c r="AP3515" s="82"/>
      <c r="AQ3515" s="82"/>
      <c r="AR3515" s="82"/>
      <c r="AS3515" s="82"/>
      <c r="AT3515" s="82"/>
      <c r="AU3515" s="82"/>
      <c r="AV3515" s="82"/>
      <c r="AW3515" s="82" t="str">
        <f t="shared" si="1"/>
        <v/>
      </c>
      <c r="AX3515" s="83" t="str">
        <f t="array" ref="AX3515">IFERROR(DGET('SBV Import'!A:G,"SBV",{"RSC ID","Tier";B3515,A3515}))</f>
        <v/>
      </c>
      <c r="AY3515" s="82" t="str">
        <f t="shared" si="2"/>
        <v/>
      </c>
      <c r="AZ3515" s="82"/>
      <c r="BA3515" s="84" t="s">
        <v>152</v>
      </c>
      <c r="BB3515" s="84" t="str">
        <f>IFERROR(__xludf.DUMMYFUNCTION("iferror(if(A3515="""",,E3515&gt;=FILTER(Constants!$F$2:$F$10,Constants!$A$2:$A$10=A3515)))"),"")</f>
        <v/>
      </c>
    </row>
    <row r="3516">
      <c r="A3516" s="89"/>
      <c r="B3516" s="87"/>
      <c r="C3516" s="73"/>
      <c r="D3516" s="73"/>
      <c r="E3516" s="82"/>
      <c r="F3516" s="82"/>
      <c r="G3516" s="86"/>
      <c r="H3516" s="86"/>
      <c r="I3516" s="86"/>
      <c r="J3516" s="82"/>
      <c r="K3516" s="82"/>
      <c r="L3516" s="82"/>
      <c r="M3516" s="82"/>
      <c r="N3516" s="82"/>
      <c r="O3516" s="82"/>
      <c r="P3516" s="82"/>
      <c r="Q3516" s="82"/>
      <c r="R3516" s="82"/>
      <c r="S3516" s="82"/>
      <c r="T3516" s="82"/>
      <c r="U3516" s="82"/>
      <c r="V3516" s="82"/>
      <c r="W3516" s="82"/>
      <c r="X3516" s="82"/>
      <c r="Y3516" s="82"/>
      <c r="Z3516" s="82"/>
      <c r="AA3516" s="82"/>
      <c r="AB3516" s="82"/>
      <c r="AC3516" s="82"/>
      <c r="AD3516" s="82"/>
      <c r="AE3516" s="82"/>
      <c r="AF3516" s="82"/>
      <c r="AG3516" s="82"/>
      <c r="AH3516" s="82"/>
      <c r="AI3516" s="82"/>
      <c r="AJ3516" s="82"/>
      <c r="AK3516" s="82"/>
      <c r="AL3516" s="82"/>
      <c r="AM3516" s="82"/>
      <c r="AN3516" s="82"/>
      <c r="AO3516" s="82"/>
      <c r="AP3516" s="82"/>
      <c r="AQ3516" s="82"/>
      <c r="AR3516" s="82"/>
      <c r="AS3516" s="82"/>
      <c r="AT3516" s="82"/>
      <c r="AU3516" s="82"/>
      <c r="AV3516" s="82"/>
      <c r="AW3516" s="82" t="str">
        <f t="shared" si="1"/>
        <v/>
      </c>
      <c r="AX3516" s="83" t="str">
        <f t="array" ref="AX3516">IFERROR(DGET('SBV Import'!A:G,"SBV",{"RSC ID","Tier";B3516,A3516}))</f>
        <v/>
      </c>
      <c r="AY3516" s="82" t="str">
        <f t="shared" si="2"/>
        <v/>
      </c>
      <c r="AZ3516" s="82"/>
      <c r="BA3516" s="84" t="s">
        <v>152</v>
      </c>
      <c r="BB3516" s="84" t="str">
        <f>IFERROR(__xludf.DUMMYFUNCTION("iferror(if(A3516="""",,E3516&gt;=FILTER(Constants!$F$2:$F$10,Constants!$A$2:$A$10=A3516)))"),"")</f>
        <v/>
      </c>
    </row>
    <row r="3517">
      <c r="A3517" s="89"/>
      <c r="B3517" s="87"/>
      <c r="C3517" s="73"/>
      <c r="D3517" s="73"/>
      <c r="E3517" s="82"/>
      <c r="F3517" s="82"/>
      <c r="G3517" s="86"/>
      <c r="H3517" s="86"/>
      <c r="I3517" s="86"/>
      <c r="J3517" s="82"/>
      <c r="K3517" s="82"/>
      <c r="L3517" s="82"/>
      <c r="M3517" s="82"/>
      <c r="N3517" s="82"/>
      <c r="O3517" s="82"/>
      <c r="P3517" s="82"/>
      <c r="Q3517" s="82"/>
      <c r="R3517" s="82"/>
      <c r="S3517" s="82"/>
      <c r="T3517" s="82"/>
      <c r="U3517" s="82"/>
      <c r="V3517" s="82"/>
      <c r="W3517" s="82"/>
      <c r="X3517" s="82"/>
      <c r="Y3517" s="82"/>
      <c r="Z3517" s="82"/>
      <c r="AA3517" s="82"/>
      <c r="AB3517" s="82"/>
      <c r="AC3517" s="82"/>
      <c r="AD3517" s="82"/>
      <c r="AE3517" s="82"/>
      <c r="AF3517" s="82"/>
      <c r="AG3517" s="82"/>
      <c r="AH3517" s="82"/>
      <c r="AI3517" s="82"/>
      <c r="AJ3517" s="82"/>
      <c r="AK3517" s="82"/>
      <c r="AL3517" s="82"/>
      <c r="AM3517" s="82"/>
      <c r="AN3517" s="82"/>
      <c r="AO3517" s="82"/>
      <c r="AP3517" s="82"/>
      <c r="AQ3517" s="82"/>
      <c r="AR3517" s="82"/>
      <c r="AS3517" s="82"/>
      <c r="AT3517" s="82"/>
      <c r="AU3517" s="82"/>
      <c r="AV3517" s="82"/>
      <c r="AW3517" s="82" t="str">
        <f t="shared" si="1"/>
        <v/>
      </c>
      <c r="AX3517" s="83" t="str">
        <f t="array" ref="AX3517">IFERROR(DGET('SBV Import'!A:G,"SBV",{"RSC ID","Tier";B3517,A3517}))</f>
        <v/>
      </c>
      <c r="AY3517" s="82" t="str">
        <f t="shared" si="2"/>
        <v/>
      </c>
      <c r="AZ3517" s="82"/>
      <c r="BA3517" s="84" t="s">
        <v>152</v>
      </c>
      <c r="BB3517" s="84" t="str">
        <f>IFERROR(__xludf.DUMMYFUNCTION("iferror(if(A3517="""",,E3517&gt;=FILTER(Constants!$F$2:$F$10,Constants!$A$2:$A$10=A3517)))"),"")</f>
        <v/>
      </c>
    </row>
    <row r="3518">
      <c r="A3518" s="89"/>
      <c r="B3518" s="87"/>
      <c r="C3518" s="73"/>
      <c r="D3518" s="73"/>
      <c r="E3518" s="82"/>
      <c r="F3518" s="82"/>
      <c r="G3518" s="86"/>
      <c r="H3518" s="86"/>
      <c r="I3518" s="86"/>
      <c r="J3518" s="82"/>
      <c r="K3518" s="82"/>
      <c r="L3518" s="82"/>
      <c r="M3518" s="82"/>
      <c r="N3518" s="82"/>
      <c r="O3518" s="82"/>
      <c r="P3518" s="82"/>
      <c r="Q3518" s="82"/>
      <c r="R3518" s="82"/>
      <c r="S3518" s="82"/>
      <c r="T3518" s="82"/>
      <c r="U3518" s="82"/>
      <c r="V3518" s="82"/>
      <c r="W3518" s="82"/>
      <c r="X3518" s="82"/>
      <c r="Y3518" s="82"/>
      <c r="Z3518" s="82"/>
      <c r="AA3518" s="82"/>
      <c r="AB3518" s="82"/>
      <c r="AC3518" s="82"/>
      <c r="AD3518" s="82"/>
      <c r="AE3518" s="82"/>
      <c r="AF3518" s="82"/>
      <c r="AG3518" s="82"/>
      <c r="AH3518" s="82"/>
      <c r="AI3518" s="82"/>
      <c r="AJ3518" s="82"/>
      <c r="AK3518" s="82"/>
      <c r="AL3518" s="82"/>
      <c r="AM3518" s="82"/>
      <c r="AN3518" s="82"/>
      <c r="AO3518" s="82"/>
      <c r="AP3518" s="82"/>
      <c r="AQ3518" s="82"/>
      <c r="AR3518" s="82"/>
      <c r="AS3518" s="82"/>
      <c r="AT3518" s="82"/>
      <c r="AU3518" s="82"/>
      <c r="AV3518" s="82"/>
      <c r="AW3518" s="82" t="str">
        <f t="shared" si="1"/>
        <v/>
      </c>
      <c r="AX3518" s="83" t="str">
        <f t="array" ref="AX3518">IFERROR(DGET('SBV Import'!A:G,"SBV",{"RSC ID","Tier";B3518,A3518}))</f>
        <v/>
      </c>
      <c r="AY3518" s="82" t="str">
        <f t="shared" si="2"/>
        <v/>
      </c>
      <c r="AZ3518" s="82"/>
      <c r="BA3518" s="84" t="s">
        <v>152</v>
      </c>
      <c r="BB3518" s="84" t="str">
        <f>IFERROR(__xludf.DUMMYFUNCTION("iferror(if(A3518="""",,E3518&gt;=FILTER(Constants!$F$2:$F$10,Constants!$A$2:$A$10=A3518)))"),"")</f>
        <v/>
      </c>
    </row>
    <row r="3519">
      <c r="A3519" s="89"/>
      <c r="B3519" s="87"/>
      <c r="C3519" s="73"/>
      <c r="D3519" s="73"/>
      <c r="E3519" s="82"/>
      <c r="F3519" s="82"/>
      <c r="G3519" s="86"/>
      <c r="H3519" s="86"/>
      <c r="I3519" s="86"/>
      <c r="J3519" s="82"/>
      <c r="K3519" s="82"/>
      <c r="L3519" s="82"/>
      <c r="M3519" s="82"/>
      <c r="N3519" s="82"/>
      <c r="O3519" s="82"/>
      <c r="P3519" s="82"/>
      <c r="Q3519" s="82"/>
      <c r="R3519" s="82"/>
      <c r="S3519" s="82"/>
      <c r="T3519" s="82"/>
      <c r="U3519" s="82"/>
      <c r="V3519" s="82"/>
      <c r="W3519" s="82"/>
      <c r="X3519" s="82"/>
      <c r="Y3519" s="82"/>
      <c r="Z3519" s="82"/>
      <c r="AA3519" s="82"/>
      <c r="AB3519" s="82"/>
      <c r="AC3519" s="82"/>
      <c r="AD3519" s="82"/>
      <c r="AE3519" s="82"/>
      <c r="AF3519" s="82"/>
      <c r="AG3519" s="82"/>
      <c r="AH3519" s="82"/>
      <c r="AI3519" s="82"/>
      <c r="AJ3519" s="82"/>
      <c r="AK3519" s="82"/>
      <c r="AL3519" s="82"/>
      <c r="AM3519" s="82"/>
      <c r="AN3519" s="82"/>
      <c r="AO3519" s="82"/>
      <c r="AP3519" s="82"/>
      <c r="AQ3519" s="82"/>
      <c r="AR3519" s="82"/>
      <c r="AS3519" s="82"/>
      <c r="AT3519" s="82"/>
      <c r="AU3519" s="82"/>
      <c r="AV3519" s="82"/>
      <c r="AW3519" s="82" t="str">
        <f t="shared" si="1"/>
        <v/>
      </c>
      <c r="AX3519" s="83" t="str">
        <f t="array" ref="AX3519">IFERROR(DGET('SBV Import'!A:G,"SBV",{"RSC ID","Tier";B3519,A3519}))</f>
        <v/>
      </c>
      <c r="AY3519" s="82" t="str">
        <f t="shared" si="2"/>
        <v/>
      </c>
      <c r="AZ3519" s="82"/>
      <c r="BA3519" s="84" t="s">
        <v>152</v>
      </c>
      <c r="BB3519" s="84" t="str">
        <f>IFERROR(__xludf.DUMMYFUNCTION("iferror(if(A3519="""",,E3519&gt;=FILTER(Constants!$F$2:$F$10,Constants!$A$2:$A$10=A3519)))"),"")</f>
        <v/>
      </c>
    </row>
    <row r="3520">
      <c r="A3520" s="89"/>
      <c r="B3520" s="87"/>
      <c r="C3520" s="73"/>
      <c r="D3520" s="73"/>
      <c r="E3520" s="82"/>
      <c r="F3520" s="82"/>
      <c r="G3520" s="86"/>
      <c r="H3520" s="86"/>
      <c r="I3520" s="86"/>
      <c r="J3520" s="82"/>
      <c r="K3520" s="82"/>
      <c r="L3520" s="82"/>
      <c r="M3520" s="82"/>
      <c r="N3520" s="82"/>
      <c r="O3520" s="82"/>
      <c r="P3520" s="82"/>
      <c r="Q3520" s="82"/>
      <c r="R3520" s="82"/>
      <c r="S3520" s="82"/>
      <c r="T3520" s="82"/>
      <c r="U3520" s="82"/>
      <c r="V3520" s="82"/>
      <c r="W3520" s="82"/>
      <c r="X3520" s="82"/>
      <c r="Y3520" s="82"/>
      <c r="Z3520" s="82"/>
      <c r="AA3520" s="82"/>
      <c r="AB3520" s="82"/>
      <c r="AC3520" s="82"/>
      <c r="AD3520" s="82"/>
      <c r="AE3520" s="82"/>
      <c r="AF3520" s="82"/>
      <c r="AG3520" s="82"/>
      <c r="AH3520" s="82"/>
      <c r="AI3520" s="82"/>
      <c r="AJ3520" s="82"/>
      <c r="AK3520" s="82"/>
      <c r="AL3520" s="82"/>
      <c r="AM3520" s="82"/>
      <c r="AN3520" s="82"/>
      <c r="AO3520" s="82"/>
      <c r="AP3520" s="82"/>
      <c r="AQ3520" s="82"/>
      <c r="AR3520" s="82"/>
      <c r="AS3520" s="82"/>
      <c r="AT3520" s="82"/>
      <c r="AU3520" s="82"/>
      <c r="AV3520" s="82"/>
      <c r="AW3520" s="82" t="str">
        <f t="shared" si="1"/>
        <v/>
      </c>
      <c r="AX3520" s="83" t="str">
        <f t="array" ref="AX3520">IFERROR(DGET('SBV Import'!A:G,"SBV",{"RSC ID","Tier";B3520,A3520}))</f>
        <v/>
      </c>
      <c r="AY3520" s="82" t="str">
        <f t="shared" si="2"/>
        <v/>
      </c>
      <c r="AZ3520" s="82"/>
      <c r="BA3520" s="84" t="s">
        <v>152</v>
      </c>
      <c r="BB3520" s="84" t="str">
        <f>IFERROR(__xludf.DUMMYFUNCTION("iferror(if(A3520="""",,E3520&gt;=FILTER(Constants!$F$2:$F$10,Constants!$A$2:$A$10=A3520)))"),"")</f>
        <v/>
      </c>
    </row>
    <row r="3521">
      <c r="A3521" s="89"/>
      <c r="B3521" s="87"/>
      <c r="C3521" s="73"/>
      <c r="D3521" s="73"/>
      <c r="E3521" s="82"/>
      <c r="F3521" s="82"/>
      <c r="G3521" s="86"/>
      <c r="H3521" s="86"/>
      <c r="I3521" s="86"/>
      <c r="J3521" s="82"/>
      <c r="K3521" s="82"/>
      <c r="L3521" s="82"/>
      <c r="M3521" s="82"/>
      <c r="N3521" s="82"/>
      <c r="O3521" s="82"/>
      <c r="P3521" s="82"/>
      <c r="Q3521" s="82"/>
      <c r="R3521" s="82"/>
      <c r="S3521" s="82"/>
      <c r="T3521" s="82"/>
      <c r="U3521" s="82"/>
      <c r="V3521" s="82"/>
      <c r="W3521" s="82"/>
      <c r="X3521" s="82"/>
      <c r="Y3521" s="82"/>
      <c r="Z3521" s="82"/>
      <c r="AA3521" s="82"/>
      <c r="AB3521" s="82"/>
      <c r="AC3521" s="82"/>
      <c r="AD3521" s="82"/>
      <c r="AE3521" s="82"/>
      <c r="AF3521" s="82"/>
      <c r="AG3521" s="82"/>
      <c r="AH3521" s="82"/>
      <c r="AI3521" s="82"/>
      <c r="AJ3521" s="82"/>
      <c r="AK3521" s="82"/>
      <c r="AL3521" s="82"/>
      <c r="AM3521" s="82"/>
      <c r="AN3521" s="82"/>
      <c r="AO3521" s="82"/>
      <c r="AP3521" s="82"/>
      <c r="AQ3521" s="82"/>
      <c r="AR3521" s="82"/>
      <c r="AS3521" s="82"/>
      <c r="AT3521" s="82"/>
      <c r="AU3521" s="82"/>
      <c r="AV3521" s="82"/>
      <c r="AW3521" s="82" t="str">
        <f t="shared" si="1"/>
        <v/>
      </c>
      <c r="AX3521" s="83" t="str">
        <f t="array" ref="AX3521">IFERROR(DGET('SBV Import'!A:G,"SBV",{"RSC ID","Tier";B3521,A3521}))</f>
        <v/>
      </c>
      <c r="AY3521" s="82" t="str">
        <f t="shared" si="2"/>
        <v/>
      </c>
      <c r="AZ3521" s="82"/>
      <c r="BA3521" s="84" t="s">
        <v>152</v>
      </c>
      <c r="BB3521" s="84" t="str">
        <f>IFERROR(__xludf.DUMMYFUNCTION("iferror(if(A3521="""",,E3521&gt;=FILTER(Constants!$F$2:$F$10,Constants!$A$2:$A$10=A3521)))"),"")</f>
        <v/>
      </c>
    </row>
    <row r="3522">
      <c r="A3522" s="89"/>
      <c r="B3522" s="87"/>
      <c r="C3522" s="73"/>
      <c r="D3522" s="73"/>
      <c r="E3522" s="82"/>
      <c r="F3522" s="82"/>
      <c r="G3522" s="86"/>
      <c r="H3522" s="86"/>
      <c r="I3522" s="86"/>
      <c r="J3522" s="82"/>
      <c r="K3522" s="82"/>
      <c r="L3522" s="82"/>
      <c r="M3522" s="82"/>
      <c r="N3522" s="82"/>
      <c r="O3522" s="82"/>
      <c r="P3522" s="82"/>
      <c r="Q3522" s="82"/>
      <c r="R3522" s="82"/>
      <c r="S3522" s="82"/>
      <c r="T3522" s="82"/>
      <c r="U3522" s="82"/>
      <c r="V3522" s="82"/>
      <c r="W3522" s="82"/>
      <c r="X3522" s="82"/>
      <c r="Y3522" s="82"/>
      <c r="Z3522" s="82"/>
      <c r="AA3522" s="82"/>
      <c r="AB3522" s="82"/>
      <c r="AC3522" s="82"/>
      <c r="AD3522" s="82"/>
      <c r="AE3522" s="82"/>
      <c r="AF3522" s="82"/>
      <c r="AG3522" s="82"/>
      <c r="AH3522" s="82"/>
      <c r="AI3522" s="82"/>
      <c r="AJ3522" s="82"/>
      <c r="AK3522" s="82"/>
      <c r="AL3522" s="82"/>
      <c r="AM3522" s="82"/>
      <c r="AN3522" s="82"/>
      <c r="AO3522" s="82"/>
      <c r="AP3522" s="82"/>
      <c r="AQ3522" s="82"/>
      <c r="AR3522" s="82"/>
      <c r="AS3522" s="82"/>
      <c r="AT3522" s="82"/>
      <c r="AU3522" s="82"/>
      <c r="AV3522" s="82"/>
      <c r="AW3522" s="82" t="str">
        <f t="shared" si="1"/>
        <v/>
      </c>
      <c r="AX3522" s="83" t="str">
        <f t="array" ref="AX3522">IFERROR(DGET('SBV Import'!A:G,"SBV",{"RSC ID","Tier";B3522,A3522}))</f>
        <v/>
      </c>
      <c r="AY3522" s="82" t="str">
        <f t="shared" si="2"/>
        <v/>
      </c>
      <c r="AZ3522" s="82"/>
      <c r="BA3522" s="84" t="s">
        <v>152</v>
      </c>
      <c r="BB3522" s="84" t="str">
        <f>IFERROR(__xludf.DUMMYFUNCTION("iferror(if(A3522="""",,E3522&gt;=FILTER(Constants!$F$2:$F$10,Constants!$A$2:$A$10=A3522)))"),"")</f>
        <v/>
      </c>
    </row>
    <row r="3523">
      <c r="A3523" s="89"/>
      <c r="B3523" s="87"/>
      <c r="C3523" s="73"/>
      <c r="D3523" s="73"/>
      <c r="E3523" s="82"/>
      <c r="F3523" s="82"/>
      <c r="G3523" s="86"/>
      <c r="H3523" s="86"/>
      <c r="I3523" s="86"/>
      <c r="J3523" s="82"/>
      <c r="K3523" s="82"/>
      <c r="L3523" s="82"/>
      <c r="M3523" s="82"/>
      <c r="N3523" s="82"/>
      <c r="O3523" s="82"/>
      <c r="P3523" s="82"/>
      <c r="Q3523" s="82"/>
      <c r="R3523" s="82"/>
      <c r="S3523" s="82"/>
      <c r="T3523" s="82"/>
      <c r="U3523" s="82"/>
      <c r="V3523" s="82"/>
      <c r="W3523" s="82"/>
      <c r="X3523" s="82"/>
      <c r="Y3523" s="82"/>
      <c r="Z3523" s="82"/>
      <c r="AA3523" s="82"/>
      <c r="AB3523" s="82"/>
      <c r="AC3523" s="82"/>
      <c r="AD3523" s="82"/>
      <c r="AE3523" s="82"/>
      <c r="AF3523" s="82"/>
      <c r="AG3523" s="82"/>
      <c r="AH3523" s="82"/>
      <c r="AI3523" s="82"/>
      <c r="AJ3523" s="82"/>
      <c r="AK3523" s="82"/>
      <c r="AL3523" s="82"/>
      <c r="AM3523" s="82"/>
      <c r="AN3523" s="82"/>
      <c r="AO3523" s="82"/>
      <c r="AP3523" s="82"/>
      <c r="AQ3523" s="82"/>
      <c r="AR3523" s="82"/>
      <c r="AS3523" s="82"/>
      <c r="AT3523" s="82"/>
      <c r="AU3523" s="82"/>
      <c r="AV3523" s="82"/>
      <c r="AW3523" s="82" t="str">
        <f t="shared" si="1"/>
        <v/>
      </c>
      <c r="AX3523" s="83" t="str">
        <f t="array" ref="AX3523">IFERROR(DGET('SBV Import'!A:G,"SBV",{"RSC ID","Tier";B3523,A3523}))</f>
        <v/>
      </c>
      <c r="AY3523" s="82" t="str">
        <f t="shared" si="2"/>
        <v/>
      </c>
      <c r="AZ3523" s="82"/>
      <c r="BA3523" s="84" t="s">
        <v>152</v>
      </c>
      <c r="BB3523" s="84" t="str">
        <f>IFERROR(__xludf.DUMMYFUNCTION("iferror(if(A3523="""",,E3523&gt;=FILTER(Constants!$F$2:$F$10,Constants!$A$2:$A$10=A3523)))"),"")</f>
        <v/>
      </c>
    </row>
    <row r="3524">
      <c r="A3524" s="89"/>
      <c r="B3524" s="87"/>
      <c r="C3524" s="73"/>
      <c r="D3524" s="73"/>
      <c r="E3524" s="82"/>
      <c r="F3524" s="82"/>
      <c r="G3524" s="86"/>
      <c r="H3524" s="86"/>
      <c r="I3524" s="86"/>
      <c r="J3524" s="82"/>
      <c r="K3524" s="82"/>
      <c r="L3524" s="82"/>
      <c r="M3524" s="82"/>
      <c r="N3524" s="82"/>
      <c r="O3524" s="82"/>
      <c r="P3524" s="82"/>
      <c r="Q3524" s="82"/>
      <c r="R3524" s="82"/>
      <c r="S3524" s="82"/>
      <c r="T3524" s="82"/>
      <c r="U3524" s="82"/>
      <c r="V3524" s="82"/>
      <c r="W3524" s="82"/>
      <c r="X3524" s="82"/>
      <c r="Y3524" s="82"/>
      <c r="Z3524" s="82"/>
      <c r="AA3524" s="82"/>
      <c r="AB3524" s="82"/>
      <c r="AC3524" s="82"/>
      <c r="AD3524" s="82"/>
      <c r="AE3524" s="82"/>
      <c r="AF3524" s="82"/>
      <c r="AG3524" s="82"/>
      <c r="AH3524" s="82"/>
      <c r="AI3524" s="82"/>
      <c r="AJ3524" s="82"/>
      <c r="AK3524" s="82"/>
      <c r="AL3524" s="82"/>
      <c r="AM3524" s="82"/>
      <c r="AN3524" s="82"/>
      <c r="AO3524" s="82"/>
      <c r="AP3524" s="82"/>
      <c r="AQ3524" s="82"/>
      <c r="AR3524" s="82"/>
      <c r="AS3524" s="82"/>
      <c r="AT3524" s="82"/>
      <c r="AU3524" s="82"/>
      <c r="AV3524" s="82"/>
      <c r="AW3524" s="82" t="str">
        <f t="shared" si="1"/>
        <v/>
      </c>
      <c r="AX3524" s="83" t="str">
        <f t="array" ref="AX3524">IFERROR(DGET('SBV Import'!A:G,"SBV",{"RSC ID","Tier";B3524,A3524}))</f>
        <v/>
      </c>
      <c r="AY3524" s="82" t="str">
        <f t="shared" si="2"/>
        <v/>
      </c>
      <c r="AZ3524" s="82"/>
      <c r="BA3524" s="84" t="s">
        <v>152</v>
      </c>
      <c r="BB3524" s="84" t="str">
        <f>IFERROR(__xludf.DUMMYFUNCTION("iferror(if(A3524="""",,E3524&gt;=FILTER(Constants!$F$2:$F$10,Constants!$A$2:$A$10=A3524)))"),"")</f>
        <v/>
      </c>
    </row>
    <row r="3525">
      <c r="A3525" s="89"/>
      <c r="B3525" s="87"/>
      <c r="C3525" s="73"/>
      <c r="D3525" s="73"/>
      <c r="E3525" s="82"/>
      <c r="F3525" s="82"/>
      <c r="G3525" s="86"/>
      <c r="H3525" s="86"/>
      <c r="I3525" s="86"/>
      <c r="J3525" s="82"/>
      <c r="K3525" s="82"/>
      <c r="L3525" s="82"/>
      <c r="M3525" s="82"/>
      <c r="N3525" s="82"/>
      <c r="O3525" s="82"/>
      <c r="P3525" s="82"/>
      <c r="Q3525" s="82"/>
      <c r="R3525" s="82"/>
      <c r="S3525" s="82"/>
      <c r="T3525" s="82"/>
      <c r="U3525" s="82"/>
      <c r="V3525" s="82"/>
      <c r="W3525" s="82"/>
      <c r="X3525" s="82"/>
      <c r="Y3525" s="82"/>
      <c r="Z3525" s="82"/>
      <c r="AA3525" s="82"/>
      <c r="AB3525" s="82"/>
      <c r="AC3525" s="82"/>
      <c r="AD3525" s="82"/>
      <c r="AE3525" s="82"/>
      <c r="AF3525" s="82"/>
      <c r="AG3525" s="82"/>
      <c r="AH3525" s="82"/>
      <c r="AI3525" s="82"/>
      <c r="AJ3525" s="82"/>
      <c r="AK3525" s="82"/>
      <c r="AL3525" s="82"/>
      <c r="AM3525" s="82"/>
      <c r="AN3525" s="82"/>
      <c r="AO3525" s="82"/>
      <c r="AP3525" s="82"/>
      <c r="AQ3525" s="82"/>
      <c r="AR3525" s="82"/>
      <c r="AS3525" s="82"/>
      <c r="AT3525" s="82"/>
      <c r="AU3525" s="82"/>
      <c r="AV3525" s="82"/>
      <c r="AW3525" s="82" t="str">
        <f t="shared" si="1"/>
        <v/>
      </c>
      <c r="AX3525" s="83" t="str">
        <f t="array" ref="AX3525">IFERROR(DGET('SBV Import'!A:G,"SBV",{"RSC ID","Tier";B3525,A3525}))</f>
        <v/>
      </c>
      <c r="AY3525" s="82" t="str">
        <f t="shared" si="2"/>
        <v/>
      </c>
      <c r="AZ3525" s="82"/>
      <c r="BA3525" s="84" t="s">
        <v>152</v>
      </c>
      <c r="BB3525" s="84" t="str">
        <f>IFERROR(__xludf.DUMMYFUNCTION("iferror(if(A3525="""",,E3525&gt;=FILTER(Constants!$F$2:$F$10,Constants!$A$2:$A$10=A3525)))"),"")</f>
        <v/>
      </c>
    </row>
    <row r="3526">
      <c r="A3526" s="89"/>
      <c r="B3526" s="87"/>
      <c r="C3526" s="73"/>
      <c r="D3526" s="73"/>
      <c r="E3526" s="82"/>
      <c r="F3526" s="82"/>
      <c r="G3526" s="86"/>
      <c r="H3526" s="86"/>
      <c r="I3526" s="86"/>
      <c r="J3526" s="82"/>
      <c r="K3526" s="82"/>
      <c r="L3526" s="82"/>
      <c r="M3526" s="82"/>
      <c r="N3526" s="82"/>
      <c r="O3526" s="82"/>
      <c r="P3526" s="82"/>
      <c r="Q3526" s="82"/>
      <c r="R3526" s="82"/>
      <c r="S3526" s="82"/>
      <c r="T3526" s="82"/>
      <c r="U3526" s="82"/>
      <c r="V3526" s="82"/>
      <c r="W3526" s="82"/>
      <c r="X3526" s="82"/>
      <c r="Y3526" s="82"/>
      <c r="Z3526" s="82"/>
      <c r="AA3526" s="82"/>
      <c r="AB3526" s="82"/>
      <c r="AC3526" s="82"/>
      <c r="AD3526" s="82"/>
      <c r="AE3526" s="82"/>
      <c r="AF3526" s="82"/>
      <c r="AG3526" s="82"/>
      <c r="AH3526" s="82"/>
      <c r="AI3526" s="82"/>
      <c r="AJ3526" s="82"/>
      <c r="AK3526" s="82"/>
      <c r="AL3526" s="82"/>
      <c r="AM3526" s="82"/>
      <c r="AN3526" s="82"/>
      <c r="AO3526" s="82"/>
      <c r="AP3526" s="82"/>
      <c r="AQ3526" s="82"/>
      <c r="AR3526" s="82"/>
      <c r="AS3526" s="82"/>
      <c r="AT3526" s="82"/>
      <c r="AU3526" s="82"/>
      <c r="AV3526" s="82"/>
      <c r="AW3526" s="82" t="str">
        <f t="shared" si="1"/>
        <v/>
      </c>
      <c r="AX3526" s="83" t="str">
        <f t="array" ref="AX3526">IFERROR(DGET('SBV Import'!A:G,"SBV",{"RSC ID","Tier";B3526,A3526}))</f>
        <v/>
      </c>
      <c r="AY3526" s="82" t="str">
        <f t="shared" si="2"/>
        <v/>
      </c>
      <c r="AZ3526" s="82"/>
      <c r="BA3526" s="84" t="s">
        <v>152</v>
      </c>
      <c r="BB3526" s="84" t="str">
        <f>IFERROR(__xludf.DUMMYFUNCTION("iferror(if(A3526="""",,E3526&gt;=FILTER(Constants!$F$2:$F$10,Constants!$A$2:$A$10=A3526)))"),"")</f>
        <v/>
      </c>
    </row>
    <row r="3527">
      <c r="A3527" s="89"/>
      <c r="B3527" s="87"/>
      <c r="C3527" s="73"/>
      <c r="D3527" s="73"/>
      <c r="E3527" s="82"/>
      <c r="F3527" s="82"/>
      <c r="G3527" s="86"/>
      <c r="H3527" s="86"/>
      <c r="I3527" s="86"/>
      <c r="J3527" s="82"/>
      <c r="K3527" s="82"/>
      <c r="L3527" s="82"/>
      <c r="M3527" s="82"/>
      <c r="N3527" s="82"/>
      <c r="O3527" s="82"/>
      <c r="P3527" s="82"/>
      <c r="Q3527" s="82"/>
      <c r="R3527" s="82"/>
      <c r="S3527" s="82"/>
      <c r="T3527" s="82"/>
      <c r="U3527" s="82"/>
      <c r="V3527" s="82"/>
      <c r="W3527" s="82"/>
      <c r="X3527" s="82"/>
      <c r="Y3527" s="82"/>
      <c r="Z3527" s="82"/>
      <c r="AA3527" s="82"/>
      <c r="AB3527" s="82"/>
      <c r="AC3527" s="82"/>
      <c r="AD3527" s="82"/>
      <c r="AE3527" s="82"/>
      <c r="AF3527" s="82"/>
      <c r="AG3527" s="82"/>
      <c r="AH3527" s="82"/>
      <c r="AI3527" s="82"/>
      <c r="AJ3527" s="82"/>
      <c r="AK3527" s="82"/>
      <c r="AL3527" s="82"/>
      <c r="AM3527" s="82"/>
      <c r="AN3527" s="82"/>
      <c r="AO3527" s="82"/>
      <c r="AP3527" s="82"/>
      <c r="AQ3527" s="82"/>
      <c r="AR3527" s="82"/>
      <c r="AS3527" s="82"/>
      <c r="AT3527" s="82"/>
      <c r="AU3527" s="82"/>
      <c r="AV3527" s="82"/>
      <c r="AW3527" s="82" t="str">
        <f t="shared" si="1"/>
        <v/>
      </c>
      <c r="AX3527" s="83" t="str">
        <f t="array" ref="AX3527">IFERROR(DGET('SBV Import'!A:G,"SBV",{"RSC ID","Tier";B3527,A3527}))</f>
        <v/>
      </c>
      <c r="AY3527" s="82" t="str">
        <f t="shared" si="2"/>
        <v/>
      </c>
      <c r="AZ3527" s="82"/>
      <c r="BA3527" s="84" t="s">
        <v>152</v>
      </c>
      <c r="BB3527" s="84" t="str">
        <f>IFERROR(__xludf.DUMMYFUNCTION("iferror(if(A3527="""",,E3527&gt;=FILTER(Constants!$F$2:$F$10,Constants!$A$2:$A$10=A3527)))"),"")</f>
        <v/>
      </c>
    </row>
    <row r="3528">
      <c r="A3528" s="89"/>
      <c r="B3528" s="87"/>
      <c r="C3528" s="73"/>
      <c r="D3528" s="73"/>
      <c r="E3528" s="82"/>
      <c r="F3528" s="82"/>
      <c r="G3528" s="86"/>
      <c r="H3528" s="86"/>
      <c r="I3528" s="86"/>
      <c r="J3528" s="82"/>
      <c r="K3528" s="82"/>
      <c r="L3528" s="82"/>
      <c r="M3528" s="82"/>
      <c r="N3528" s="82"/>
      <c r="O3528" s="82"/>
      <c r="P3528" s="82"/>
      <c r="Q3528" s="82"/>
      <c r="R3528" s="82"/>
      <c r="S3528" s="82"/>
      <c r="T3528" s="82"/>
      <c r="U3528" s="82"/>
      <c r="V3528" s="82"/>
      <c r="W3528" s="82"/>
      <c r="X3528" s="82"/>
      <c r="Y3528" s="82"/>
      <c r="Z3528" s="82"/>
      <c r="AA3528" s="82"/>
      <c r="AB3528" s="82"/>
      <c r="AC3528" s="82"/>
      <c r="AD3528" s="82"/>
      <c r="AE3528" s="82"/>
      <c r="AF3528" s="82"/>
      <c r="AG3528" s="82"/>
      <c r="AH3528" s="82"/>
      <c r="AI3528" s="82"/>
      <c r="AJ3528" s="82"/>
      <c r="AK3528" s="82"/>
      <c r="AL3528" s="82"/>
      <c r="AM3528" s="82"/>
      <c r="AN3528" s="82"/>
      <c r="AO3528" s="82"/>
      <c r="AP3528" s="82"/>
      <c r="AQ3528" s="82"/>
      <c r="AR3528" s="82"/>
      <c r="AS3528" s="82"/>
      <c r="AT3528" s="82"/>
      <c r="AU3528" s="82"/>
      <c r="AV3528" s="82"/>
      <c r="AW3528" s="82" t="str">
        <f t="shared" si="1"/>
        <v/>
      </c>
      <c r="AX3528" s="83" t="str">
        <f t="array" ref="AX3528">IFERROR(DGET('SBV Import'!A:G,"SBV",{"RSC ID","Tier";B3528,A3528}))</f>
        <v/>
      </c>
      <c r="AY3528" s="82" t="str">
        <f t="shared" si="2"/>
        <v/>
      </c>
      <c r="AZ3528" s="82"/>
      <c r="BA3528" s="84" t="s">
        <v>152</v>
      </c>
      <c r="BB3528" s="84" t="str">
        <f>IFERROR(__xludf.DUMMYFUNCTION("iferror(if(A3528="""",,E3528&gt;=FILTER(Constants!$F$2:$F$10,Constants!$A$2:$A$10=A3528)))"),"")</f>
        <v/>
      </c>
    </row>
    <row r="3529">
      <c r="A3529" s="89"/>
      <c r="B3529" s="87"/>
      <c r="C3529" s="73"/>
      <c r="D3529" s="73"/>
      <c r="E3529" s="82"/>
      <c r="F3529" s="82"/>
      <c r="G3529" s="86"/>
      <c r="H3529" s="86"/>
      <c r="I3529" s="86"/>
      <c r="J3529" s="82"/>
      <c r="K3529" s="82"/>
      <c r="L3529" s="82"/>
      <c r="M3529" s="82"/>
      <c r="N3529" s="82"/>
      <c r="O3529" s="82"/>
      <c r="P3529" s="82"/>
      <c r="Q3529" s="82"/>
      <c r="R3529" s="82"/>
      <c r="S3529" s="82"/>
      <c r="T3529" s="82"/>
      <c r="U3529" s="82"/>
      <c r="V3529" s="82"/>
      <c r="W3529" s="82"/>
      <c r="X3529" s="82"/>
      <c r="Y3529" s="82"/>
      <c r="Z3529" s="82"/>
      <c r="AA3529" s="82"/>
      <c r="AB3529" s="82"/>
      <c r="AC3529" s="82"/>
      <c r="AD3529" s="82"/>
      <c r="AE3529" s="82"/>
      <c r="AF3529" s="82"/>
      <c r="AG3529" s="82"/>
      <c r="AH3529" s="82"/>
      <c r="AI3529" s="82"/>
      <c r="AJ3529" s="82"/>
      <c r="AK3529" s="82"/>
      <c r="AL3529" s="82"/>
      <c r="AM3529" s="82"/>
      <c r="AN3529" s="82"/>
      <c r="AO3529" s="82"/>
      <c r="AP3529" s="82"/>
      <c r="AQ3529" s="82"/>
      <c r="AR3529" s="82"/>
      <c r="AS3529" s="82"/>
      <c r="AT3529" s="82"/>
      <c r="AU3529" s="82"/>
      <c r="AV3529" s="82"/>
      <c r="AW3529" s="82" t="str">
        <f t="shared" si="1"/>
        <v/>
      </c>
      <c r="AX3529" s="83" t="str">
        <f t="array" ref="AX3529">IFERROR(DGET('SBV Import'!A:G,"SBV",{"RSC ID","Tier";B3529,A3529}))</f>
        <v/>
      </c>
      <c r="AY3529" s="82" t="str">
        <f t="shared" si="2"/>
        <v/>
      </c>
      <c r="AZ3529" s="82"/>
      <c r="BA3529" s="84" t="s">
        <v>152</v>
      </c>
      <c r="BB3529" s="84" t="str">
        <f>IFERROR(__xludf.DUMMYFUNCTION("iferror(if(A3529="""",,E3529&gt;=FILTER(Constants!$F$2:$F$10,Constants!$A$2:$A$10=A3529)))"),"")</f>
        <v/>
      </c>
    </row>
    <row r="3530">
      <c r="A3530" s="89"/>
      <c r="B3530" s="87"/>
      <c r="C3530" s="73"/>
      <c r="D3530" s="73"/>
      <c r="E3530" s="82"/>
      <c r="F3530" s="82"/>
      <c r="G3530" s="86"/>
      <c r="H3530" s="86"/>
      <c r="I3530" s="86"/>
      <c r="J3530" s="82"/>
      <c r="K3530" s="82"/>
      <c r="L3530" s="82"/>
      <c r="M3530" s="82"/>
      <c r="N3530" s="82"/>
      <c r="O3530" s="82"/>
      <c r="P3530" s="82"/>
      <c r="Q3530" s="82"/>
      <c r="R3530" s="82"/>
      <c r="S3530" s="82"/>
      <c r="T3530" s="82"/>
      <c r="U3530" s="82"/>
      <c r="V3530" s="82"/>
      <c r="W3530" s="82"/>
      <c r="X3530" s="82"/>
      <c r="Y3530" s="82"/>
      <c r="Z3530" s="82"/>
      <c r="AA3530" s="82"/>
      <c r="AB3530" s="82"/>
      <c r="AC3530" s="82"/>
      <c r="AD3530" s="82"/>
      <c r="AE3530" s="82"/>
      <c r="AF3530" s="82"/>
      <c r="AG3530" s="82"/>
      <c r="AH3530" s="82"/>
      <c r="AI3530" s="82"/>
      <c r="AJ3530" s="82"/>
      <c r="AK3530" s="82"/>
      <c r="AL3530" s="82"/>
      <c r="AM3530" s="82"/>
      <c r="AN3530" s="82"/>
      <c r="AO3530" s="82"/>
      <c r="AP3530" s="82"/>
      <c r="AQ3530" s="82"/>
      <c r="AR3530" s="82"/>
      <c r="AS3530" s="82"/>
      <c r="AT3530" s="82"/>
      <c r="AU3530" s="82"/>
      <c r="AV3530" s="82"/>
      <c r="AW3530" s="82" t="str">
        <f t="shared" si="1"/>
        <v/>
      </c>
      <c r="AX3530" s="83" t="str">
        <f t="array" ref="AX3530">IFERROR(DGET('SBV Import'!A:G,"SBV",{"RSC ID","Tier";B3530,A3530}))</f>
        <v/>
      </c>
      <c r="AY3530" s="82" t="str">
        <f t="shared" si="2"/>
        <v/>
      </c>
      <c r="AZ3530" s="82"/>
      <c r="BA3530" s="84" t="s">
        <v>152</v>
      </c>
      <c r="BB3530" s="84" t="str">
        <f>IFERROR(__xludf.DUMMYFUNCTION("iferror(if(A3530="""",,E3530&gt;=FILTER(Constants!$F$2:$F$10,Constants!$A$2:$A$10=A3530)))"),"")</f>
        <v/>
      </c>
    </row>
    <row r="3531">
      <c r="A3531" s="89"/>
      <c r="B3531" s="87"/>
      <c r="C3531" s="73"/>
      <c r="D3531" s="73"/>
      <c r="E3531" s="82"/>
      <c r="F3531" s="82"/>
      <c r="G3531" s="86"/>
      <c r="H3531" s="86"/>
      <c r="I3531" s="86"/>
      <c r="J3531" s="82"/>
      <c r="K3531" s="82"/>
      <c r="L3531" s="82"/>
      <c r="M3531" s="82"/>
      <c r="N3531" s="82"/>
      <c r="O3531" s="82"/>
      <c r="P3531" s="82"/>
      <c r="Q3531" s="82"/>
      <c r="R3531" s="82"/>
      <c r="S3531" s="82"/>
      <c r="T3531" s="82"/>
      <c r="U3531" s="82"/>
      <c r="V3531" s="82"/>
      <c r="W3531" s="82"/>
      <c r="X3531" s="82"/>
      <c r="Y3531" s="82"/>
      <c r="Z3531" s="82"/>
      <c r="AA3531" s="82"/>
      <c r="AB3531" s="82"/>
      <c r="AC3531" s="82"/>
      <c r="AD3531" s="82"/>
      <c r="AE3531" s="82"/>
      <c r="AF3531" s="82"/>
      <c r="AG3531" s="82"/>
      <c r="AH3531" s="82"/>
      <c r="AI3531" s="82"/>
      <c r="AJ3531" s="82"/>
      <c r="AK3531" s="82"/>
      <c r="AL3531" s="82"/>
      <c r="AM3531" s="82"/>
      <c r="AN3531" s="82"/>
      <c r="AO3531" s="82"/>
      <c r="AP3531" s="82"/>
      <c r="AQ3531" s="82"/>
      <c r="AR3531" s="82"/>
      <c r="AS3531" s="82"/>
      <c r="AT3531" s="82"/>
      <c r="AU3531" s="82"/>
      <c r="AV3531" s="82"/>
      <c r="AW3531" s="82" t="str">
        <f t="shared" si="1"/>
        <v/>
      </c>
      <c r="AX3531" s="83" t="str">
        <f t="array" ref="AX3531">IFERROR(DGET('SBV Import'!A:G,"SBV",{"RSC ID","Tier";B3531,A3531}))</f>
        <v/>
      </c>
      <c r="AY3531" s="82" t="str">
        <f t="shared" si="2"/>
        <v/>
      </c>
      <c r="AZ3531" s="82"/>
      <c r="BA3531" s="84" t="s">
        <v>152</v>
      </c>
      <c r="BB3531" s="84" t="str">
        <f>IFERROR(__xludf.DUMMYFUNCTION("iferror(if(A3531="""",,E3531&gt;=FILTER(Constants!$F$2:$F$10,Constants!$A$2:$A$10=A3531)))"),"")</f>
        <v/>
      </c>
    </row>
    <row r="3532">
      <c r="A3532" s="89"/>
      <c r="B3532" s="87"/>
      <c r="C3532" s="73"/>
      <c r="D3532" s="73"/>
      <c r="E3532" s="82"/>
      <c r="F3532" s="82"/>
      <c r="G3532" s="86"/>
      <c r="H3532" s="86"/>
      <c r="I3532" s="86"/>
      <c r="J3532" s="82"/>
      <c r="K3532" s="82"/>
      <c r="L3532" s="82"/>
      <c r="M3532" s="82"/>
      <c r="N3532" s="82"/>
      <c r="O3532" s="82"/>
      <c r="P3532" s="82"/>
      <c r="Q3532" s="82"/>
      <c r="R3532" s="82"/>
      <c r="S3532" s="82"/>
      <c r="T3532" s="82"/>
      <c r="U3532" s="82"/>
      <c r="V3532" s="82"/>
      <c r="W3532" s="82"/>
      <c r="X3532" s="82"/>
      <c r="Y3532" s="82"/>
      <c r="Z3532" s="82"/>
      <c r="AA3532" s="82"/>
      <c r="AB3532" s="82"/>
      <c r="AC3532" s="82"/>
      <c r="AD3532" s="82"/>
      <c r="AE3532" s="82"/>
      <c r="AF3532" s="82"/>
      <c r="AG3532" s="82"/>
      <c r="AH3532" s="82"/>
      <c r="AI3532" s="82"/>
      <c r="AJ3532" s="82"/>
      <c r="AK3532" s="82"/>
      <c r="AL3532" s="82"/>
      <c r="AM3532" s="82"/>
      <c r="AN3532" s="82"/>
      <c r="AO3532" s="82"/>
      <c r="AP3532" s="82"/>
      <c r="AQ3532" s="82"/>
      <c r="AR3532" s="82"/>
      <c r="AS3532" s="82"/>
      <c r="AT3532" s="82"/>
      <c r="AU3532" s="82"/>
      <c r="AV3532" s="82"/>
      <c r="AW3532" s="82" t="str">
        <f t="shared" si="1"/>
        <v/>
      </c>
      <c r="AX3532" s="83" t="str">
        <f t="array" ref="AX3532">IFERROR(DGET('SBV Import'!A:G,"SBV",{"RSC ID","Tier";B3532,A3532}))</f>
        <v/>
      </c>
      <c r="AY3532" s="82" t="str">
        <f t="shared" si="2"/>
        <v/>
      </c>
      <c r="AZ3532" s="82"/>
      <c r="BA3532" s="84" t="s">
        <v>152</v>
      </c>
      <c r="BB3532" s="84" t="str">
        <f>IFERROR(__xludf.DUMMYFUNCTION("iferror(if(A3532="""",,E3532&gt;=FILTER(Constants!$F$2:$F$10,Constants!$A$2:$A$10=A3532)))"),"")</f>
        <v/>
      </c>
    </row>
    <row r="3533">
      <c r="A3533" s="89"/>
      <c r="B3533" s="87"/>
      <c r="C3533" s="73"/>
      <c r="D3533" s="73"/>
      <c r="E3533" s="82"/>
      <c r="F3533" s="82"/>
      <c r="G3533" s="86"/>
      <c r="H3533" s="86"/>
      <c r="I3533" s="86"/>
      <c r="J3533" s="82"/>
      <c r="K3533" s="82"/>
      <c r="L3533" s="82"/>
      <c r="M3533" s="82"/>
      <c r="N3533" s="82"/>
      <c r="O3533" s="82"/>
      <c r="P3533" s="82"/>
      <c r="Q3533" s="82"/>
      <c r="R3533" s="82"/>
      <c r="S3533" s="82"/>
      <c r="T3533" s="82"/>
      <c r="U3533" s="82"/>
      <c r="V3533" s="82"/>
      <c r="W3533" s="82"/>
      <c r="X3533" s="82"/>
      <c r="Y3533" s="82"/>
      <c r="Z3533" s="82"/>
      <c r="AA3533" s="82"/>
      <c r="AB3533" s="82"/>
      <c r="AC3533" s="82"/>
      <c r="AD3533" s="82"/>
      <c r="AE3533" s="82"/>
      <c r="AF3533" s="82"/>
      <c r="AG3533" s="82"/>
      <c r="AH3533" s="82"/>
      <c r="AI3533" s="82"/>
      <c r="AJ3533" s="82"/>
      <c r="AK3533" s="82"/>
      <c r="AL3533" s="82"/>
      <c r="AM3533" s="82"/>
      <c r="AN3533" s="82"/>
      <c r="AO3533" s="82"/>
      <c r="AP3533" s="82"/>
      <c r="AQ3533" s="82"/>
      <c r="AR3533" s="82"/>
      <c r="AS3533" s="82"/>
      <c r="AT3533" s="82"/>
      <c r="AU3533" s="82"/>
      <c r="AV3533" s="82"/>
      <c r="AW3533" s="82" t="str">
        <f t="shared" si="1"/>
        <v/>
      </c>
      <c r="AX3533" s="83" t="str">
        <f t="array" ref="AX3533">IFERROR(DGET('SBV Import'!A:G,"SBV",{"RSC ID","Tier";B3533,A3533}))</f>
        <v/>
      </c>
      <c r="AY3533" s="82" t="str">
        <f t="shared" si="2"/>
        <v/>
      </c>
      <c r="AZ3533" s="82"/>
      <c r="BA3533" s="84" t="s">
        <v>152</v>
      </c>
      <c r="BB3533" s="84" t="str">
        <f>IFERROR(__xludf.DUMMYFUNCTION("iferror(if(A3533="""",,E3533&gt;=FILTER(Constants!$F$2:$F$10,Constants!$A$2:$A$10=A3533)))"),"")</f>
        <v/>
      </c>
    </row>
    <row r="3534">
      <c r="A3534" s="89"/>
      <c r="B3534" s="87"/>
      <c r="C3534" s="73"/>
      <c r="D3534" s="73"/>
      <c r="E3534" s="82"/>
      <c r="F3534" s="82"/>
      <c r="G3534" s="86"/>
      <c r="H3534" s="86"/>
      <c r="I3534" s="86"/>
      <c r="J3534" s="82"/>
      <c r="K3534" s="82"/>
      <c r="L3534" s="82"/>
      <c r="M3534" s="82"/>
      <c r="N3534" s="82"/>
      <c r="O3534" s="82"/>
      <c r="P3534" s="82"/>
      <c r="Q3534" s="82"/>
      <c r="R3534" s="82"/>
      <c r="S3534" s="82"/>
      <c r="T3534" s="82"/>
      <c r="U3534" s="82"/>
      <c r="V3534" s="82"/>
      <c r="W3534" s="82"/>
      <c r="X3534" s="82"/>
      <c r="Y3534" s="82"/>
      <c r="Z3534" s="82"/>
      <c r="AA3534" s="82"/>
      <c r="AB3534" s="82"/>
      <c r="AC3534" s="82"/>
      <c r="AD3534" s="82"/>
      <c r="AE3534" s="82"/>
      <c r="AF3534" s="82"/>
      <c r="AG3534" s="82"/>
      <c r="AH3534" s="82"/>
      <c r="AI3534" s="82"/>
      <c r="AJ3534" s="82"/>
      <c r="AK3534" s="82"/>
      <c r="AL3534" s="82"/>
      <c r="AM3534" s="82"/>
      <c r="AN3534" s="82"/>
      <c r="AO3534" s="82"/>
      <c r="AP3534" s="82"/>
      <c r="AQ3534" s="82"/>
      <c r="AR3534" s="82"/>
      <c r="AS3534" s="82"/>
      <c r="AT3534" s="82"/>
      <c r="AU3534" s="82"/>
      <c r="AV3534" s="82"/>
      <c r="AW3534" s="82" t="str">
        <f t="shared" si="1"/>
        <v/>
      </c>
      <c r="AX3534" s="83" t="str">
        <f t="array" ref="AX3534">IFERROR(DGET('SBV Import'!A:G,"SBV",{"RSC ID","Tier";B3534,A3534}))</f>
        <v/>
      </c>
      <c r="AY3534" s="82" t="str">
        <f t="shared" si="2"/>
        <v/>
      </c>
      <c r="AZ3534" s="82"/>
      <c r="BA3534" s="84" t="s">
        <v>152</v>
      </c>
      <c r="BB3534" s="84" t="str">
        <f>IFERROR(__xludf.DUMMYFUNCTION("iferror(if(A3534="""",,E3534&gt;=FILTER(Constants!$F$2:$F$10,Constants!$A$2:$A$10=A3534)))"),"")</f>
        <v/>
      </c>
    </row>
    <row r="3535">
      <c r="A3535" s="89"/>
      <c r="B3535" s="87"/>
      <c r="C3535" s="73"/>
      <c r="D3535" s="73"/>
      <c r="E3535" s="82"/>
      <c r="F3535" s="82"/>
      <c r="G3535" s="86"/>
      <c r="H3535" s="86"/>
      <c r="I3535" s="86"/>
      <c r="J3535" s="82"/>
      <c r="K3535" s="82"/>
      <c r="L3535" s="82"/>
      <c r="M3535" s="82"/>
      <c r="N3535" s="82"/>
      <c r="O3535" s="82"/>
      <c r="P3535" s="82"/>
      <c r="Q3535" s="82"/>
      <c r="R3535" s="82"/>
      <c r="S3535" s="82"/>
      <c r="T3535" s="82"/>
      <c r="U3535" s="82"/>
      <c r="V3535" s="82"/>
      <c r="W3535" s="82"/>
      <c r="X3535" s="82"/>
      <c r="Y3535" s="82"/>
      <c r="Z3535" s="82"/>
      <c r="AA3535" s="82"/>
      <c r="AB3535" s="82"/>
      <c r="AC3535" s="82"/>
      <c r="AD3535" s="82"/>
      <c r="AE3535" s="82"/>
      <c r="AF3535" s="82"/>
      <c r="AG3535" s="82"/>
      <c r="AH3535" s="82"/>
      <c r="AI3535" s="82"/>
      <c r="AJ3535" s="82"/>
      <c r="AK3535" s="82"/>
      <c r="AL3535" s="82"/>
      <c r="AM3535" s="82"/>
      <c r="AN3535" s="82"/>
      <c r="AO3535" s="82"/>
      <c r="AP3535" s="82"/>
      <c r="AQ3535" s="82"/>
      <c r="AR3535" s="82"/>
      <c r="AS3535" s="82"/>
      <c r="AT3535" s="82"/>
      <c r="AU3535" s="82"/>
      <c r="AV3535" s="82"/>
      <c r="AW3535" s="82" t="str">
        <f t="shared" si="1"/>
        <v/>
      </c>
      <c r="AX3535" s="83" t="str">
        <f t="array" ref="AX3535">IFERROR(DGET('SBV Import'!A:G,"SBV",{"RSC ID","Tier";B3535,A3535}))</f>
        <v/>
      </c>
      <c r="AY3535" s="82" t="str">
        <f t="shared" si="2"/>
        <v/>
      </c>
      <c r="AZ3535" s="82"/>
      <c r="BA3535" s="84" t="s">
        <v>152</v>
      </c>
      <c r="BB3535" s="84" t="str">
        <f>IFERROR(__xludf.DUMMYFUNCTION("iferror(if(A3535="""",,E3535&gt;=FILTER(Constants!$F$2:$F$10,Constants!$A$2:$A$10=A3535)))"),"")</f>
        <v/>
      </c>
    </row>
    <row r="3536">
      <c r="A3536" s="89"/>
      <c r="B3536" s="87"/>
      <c r="C3536" s="73"/>
      <c r="D3536" s="73"/>
      <c r="E3536" s="82"/>
      <c r="F3536" s="82"/>
      <c r="G3536" s="86"/>
      <c r="H3536" s="86"/>
      <c r="I3536" s="86"/>
      <c r="J3536" s="82"/>
      <c r="K3536" s="82"/>
      <c r="L3536" s="82"/>
      <c r="M3536" s="82"/>
      <c r="N3536" s="82"/>
      <c r="O3536" s="82"/>
      <c r="P3536" s="82"/>
      <c r="Q3536" s="82"/>
      <c r="R3536" s="82"/>
      <c r="S3536" s="82"/>
      <c r="T3536" s="82"/>
      <c r="U3536" s="82"/>
      <c r="V3536" s="82"/>
      <c r="W3536" s="82"/>
      <c r="X3536" s="82"/>
      <c r="Y3536" s="82"/>
      <c r="Z3536" s="82"/>
      <c r="AA3536" s="82"/>
      <c r="AB3536" s="82"/>
      <c r="AC3536" s="82"/>
      <c r="AD3536" s="82"/>
      <c r="AE3536" s="82"/>
      <c r="AF3536" s="82"/>
      <c r="AG3536" s="82"/>
      <c r="AH3536" s="82"/>
      <c r="AI3536" s="82"/>
      <c r="AJ3536" s="82"/>
      <c r="AK3536" s="82"/>
      <c r="AL3536" s="82"/>
      <c r="AM3536" s="82"/>
      <c r="AN3536" s="82"/>
      <c r="AO3536" s="82"/>
      <c r="AP3536" s="82"/>
      <c r="AQ3536" s="82"/>
      <c r="AR3536" s="82"/>
      <c r="AS3536" s="82"/>
      <c r="AT3536" s="82"/>
      <c r="AU3536" s="82"/>
      <c r="AV3536" s="82"/>
      <c r="AW3536" s="82" t="str">
        <f t="shared" si="1"/>
        <v/>
      </c>
      <c r="AX3536" s="83" t="str">
        <f t="array" ref="AX3536">IFERROR(DGET('SBV Import'!A:G,"SBV",{"RSC ID","Tier";B3536,A3536}))</f>
        <v/>
      </c>
      <c r="AY3536" s="82" t="str">
        <f t="shared" si="2"/>
        <v/>
      </c>
      <c r="AZ3536" s="82"/>
      <c r="BA3536" s="84" t="s">
        <v>152</v>
      </c>
      <c r="BB3536" s="84" t="str">
        <f>IFERROR(__xludf.DUMMYFUNCTION("iferror(if(A3536="""",,E3536&gt;=FILTER(Constants!$F$2:$F$10,Constants!$A$2:$A$10=A3536)))"),"")</f>
        <v/>
      </c>
    </row>
    <row r="3537">
      <c r="A3537" s="89"/>
      <c r="B3537" s="87"/>
      <c r="C3537" s="73"/>
      <c r="D3537" s="73"/>
      <c r="E3537" s="82"/>
      <c r="F3537" s="82"/>
      <c r="G3537" s="86"/>
      <c r="H3537" s="86"/>
      <c r="I3537" s="86"/>
      <c r="J3537" s="82"/>
      <c r="K3537" s="82"/>
      <c r="L3537" s="82"/>
      <c r="M3537" s="82"/>
      <c r="N3537" s="82"/>
      <c r="O3537" s="82"/>
      <c r="P3537" s="82"/>
      <c r="Q3537" s="82"/>
      <c r="R3537" s="82"/>
      <c r="S3537" s="82"/>
      <c r="T3537" s="82"/>
      <c r="U3537" s="82"/>
      <c r="V3537" s="82"/>
      <c r="W3537" s="82"/>
      <c r="X3537" s="82"/>
      <c r="Y3537" s="82"/>
      <c r="Z3537" s="82"/>
      <c r="AA3537" s="82"/>
      <c r="AB3537" s="82"/>
      <c r="AC3537" s="82"/>
      <c r="AD3537" s="82"/>
      <c r="AE3537" s="82"/>
      <c r="AF3537" s="82"/>
      <c r="AG3537" s="82"/>
      <c r="AH3537" s="82"/>
      <c r="AI3537" s="82"/>
      <c r="AJ3537" s="82"/>
      <c r="AK3537" s="82"/>
      <c r="AL3537" s="82"/>
      <c r="AM3537" s="82"/>
      <c r="AN3537" s="82"/>
      <c r="AO3537" s="82"/>
      <c r="AP3537" s="82"/>
      <c r="AQ3537" s="82"/>
      <c r="AR3537" s="82"/>
      <c r="AS3537" s="82"/>
      <c r="AT3537" s="82"/>
      <c r="AU3537" s="82"/>
      <c r="AV3537" s="82"/>
      <c r="AW3537" s="82" t="str">
        <f t="shared" si="1"/>
        <v/>
      </c>
      <c r="AX3537" s="83" t="str">
        <f t="array" ref="AX3537">IFERROR(DGET('SBV Import'!A:G,"SBV",{"RSC ID","Tier";B3537,A3537}))</f>
        <v/>
      </c>
      <c r="AY3537" s="82" t="str">
        <f t="shared" si="2"/>
        <v/>
      </c>
      <c r="AZ3537" s="82"/>
      <c r="BA3537" s="84" t="s">
        <v>152</v>
      </c>
      <c r="BB3537" s="84" t="str">
        <f>IFERROR(__xludf.DUMMYFUNCTION("iferror(if(A3537="""",,E3537&gt;=FILTER(Constants!$F$2:$F$10,Constants!$A$2:$A$10=A3537)))"),"")</f>
        <v/>
      </c>
    </row>
    <row r="3538">
      <c r="A3538" s="89"/>
      <c r="B3538" s="87"/>
      <c r="C3538" s="73"/>
      <c r="D3538" s="73"/>
      <c r="E3538" s="82"/>
      <c r="F3538" s="82"/>
      <c r="G3538" s="86"/>
      <c r="H3538" s="86"/>
      <c r="I3538" s="86"/>
      <c r="J3538" s="82"/>
      <c r="K3538" s="82"/>
      <c r="L3538" s="82"/>
      <c r="M3538" s="82"/>
      <c r="N3538" s="82"/>
      <c r="O3538" s="82"/>
      <c r="P3538" s="82"/>
      <c r="Q3538" s="82"/>
      <c r="R3538" s="82"/>
      <c r="S3538" s="82"/>
      <c r="T3538" s="82"/>
      <c r="U3538" s="82"/>
      <c r="V3538" s="82"/>
      <c r="W3538" s="82"/>
      <c r="X3538" s="82"/>
      <c r="Y3538" s="82"/>
      <c r="Z3538" s="82"/>
      <c r="AA3538" s="82"/>
      <c r="AB3538" s="82"/>
      <c r="AC3538" s="82"/>
      <c r="AD3538" s="82"/>
      <c r="AE3538" s="82"/>
      <c r="AF3538" s="82"/>
      <c r="AG3538" s="82"/>
      <c r="AH3538" s="82"/>
      <c r="AI3538" s="82"/>
      <c r="AJ3538" s="82"/>
      <c r="AK3538" s="82"/>
      <c r="AL3538" s="82"/>
      <c r="AM3538" s="82"/>
      <c r="AN3538" s="82"/>
      <c r="AO3538" s="82"/>
      <c r="AP3538" s="82"/>
      <c r="AQ3538" s="82"/>
      <c r="AR3538" s="82"/>
      <c r="AS3538" s="82"/>
      <c r="AT3538" s="82"/>
      <c r="AU3538" s="82"/>
      <c r="AV3538" s="82"/>
      <c r="AW3538" s="82" t="str">
        <f t="shared" si="1"/>
        <v/>
      </c>
      <c r="AX3538" s="83" t="str">
        <f t="array" ref="AX3538">IFERROR(DGET('SBV Import'!A:G,"SBV",{"RSC ID","Tier";B3538,A3538}))</f>
        <v/>
      </c>
      <c r="AY3538" s="82" t="str">
        <f t="shared" si="2"/>
        <v/>
      </c>
      <c r="AZ3538" s="82"/>
      <c r="BA3538" s="84" t="s">
        <v>152</v>
      </c>
      <c r="BB3538" s="84" t="str">
        <f>IFERROR(__xludf.DUMMYFUNCTION("iferror(if(A3538="""",,E3538&gt;=FILTER(Constants!$F$2:$F$10,Constants!$A$2:$A$10=A3538)))"),"")</f>
        <v/>
      </c>
    </row>
    <row r="3539">
      <c r="A3539" s="89"/>
      <c r="B3539" s="87"/>
      <c r="C3539" s="73"/>
      <c r="D3539" s="73"/>
      <c r="E3539" s="82"/>
      <c r="F3539" s="82"/>
      <c r="G3539" s="86"/>
      <c r="H3539" s="86"/>
      <c r="I3539" s="86"/>
      <c r="J3539" s="82"/>
      <c r="K3539" s="82"/>
      <c r="L3539" s="82"/>
      <c r="M3539" s="82"/>
      <c r="N3539" s="82"/>
      <c r="O3539" s="82"/>
      <c r="P3539" s="82"/>
      <c r="Q3539" s="82"/>
      <c r="R3539" s="82"/>
      <c r="S3539" s="82"/>
      <c r="T3539" s="82"/>
      <c r="U3539" s="82"/>
      <c r="V3539" s="82"/>
      <c r="W3539" s="82"/>
      <c r="X3539" s="82"/>
      <c r="Y3539" s="82"/>
      <c r="Z3539" s="82"/>
      <c r="AA3539" s="82"/>
      <c r="AB3539" s="82"/>
      <c r="AC3539" s="82"/>
      <c r="AD3539" s="82"/>
      <c r="AE3539" s="82"/>
      <c r="AF3539" s="82"/>
      <c r="AG3539" s="82"/>
      <c r="AH3539" s="82"/>
      <c r="AI3539" s="82"/>
      <c r="AJ3539" s="82"/>
      <c r="AK3539" s="82"/>
      <c r="AL3539" s="82"/>
      <c r="AM3539" s="82"/>
      <c r="AN3539" s="82"/>
      <c r="AO3539" s="82"/>
      <c r="AP3539" s="82"/>
      <c r="AQ3539" s="82"/>
      <c r="AR3539" s="82"/>
      <c r="AS3539" s="82"/>
      <c r="AT3539" s="82"/>
      <c r="AU3539" s="82"/>
      <c r="AV3539" s="82"/>
      <c r="AW3539" s="82" t="str">
        <f t="shared" si="1"/>
        <v/>
      </c>
      <c r="AX3539" s="83" t="str">
        <f t="array" ref="AX3539">IFERROR(DGET('SBV Import'!A:G,"SBV",{"RSC ID","Tier";B3539,A3539}))</f>
        <v/>
      </c>
      <c r="AY3539" s="82" t="str">
        <f t="shared" si="2"/>
        <v/>
      </c>
      <c r="AZ3539" s="82"/>
      <c r="BA3539" s="84" t="s">
        <v>152</v>
      </c>
      <c r="BB3539" s="84" t="str">
        <f>IFERROR(__xludf.DUMMYFUNCTION("iferror(if(A3539="""",,E3539&gt;=FILTER(Constants!$F$2:$F$10,Constants!$A$2:$A$10=A3539)))"),"")</f>
        <v/>
      </c>
    </row>
    <row r="3540">
      <c r="A3540" s="89"/>
      <c r="B3540" s="87"/>
      <c r="C3540" s="73"/>
      <c r="D3540" s="73"/>
      <c r="E3540" s="82"/>
      <c r="F3540" s="82"/>
      <c r="G3540" s="86"/>
      <c r="H3540" s="86"/>
      <c r="I3540" s="86"/>
      <c r="J3540" s="82"/>
      <c r="K3540" s="82"/>
      <c r="L3540" s="82"/>
      <c r="M3540" s="82"/>
      <c r="N3540" s="82"/>
      <c r="O3540" s="82"/>
      <c r="P3540" s="82"/>
      <c r="Q3540" s="82"/>
      <c r="R3540" s="82"/>
      <c r="S3540" s="82"/>
      <c r="T3540" s="82"/>
      <c r="U3540" s="82"/>
      <c r="V3540" s="82"/>
      <c r="W3540" s="82"/>
      <c r="X3540" s="82"/>
      <c r="Y3540" s="82"/>
      <c r="Z3540" s="82"/>
      <c r="AA3540" s="82"/>
      <c r="AB3540" s="82"/>
      <c r="AC3540" s="82"/>
      <c r="AD3540" s="82"/>
      <c r="AE3540" s="82"/>
      <c r="AF3540" s="82"/>
      <c r="AG3540" s="82"/>
      <c r="AH3540" s="82"/>
      <c r="AI3540" s="82"/>
      <c r="AJ3540" s="82"/>
      <c r="AK3540" s="82"/>
      <c r="AL3540" s="82"/>
      <c r="AM3540" s="82"/>
      <c r="AN3540" s="82"/>
      <c r="AO3540" s="82"/>
      <c r="AP3540" s="82"/>
      <c r="AQ3540" s="82"/>
      <c r="AR3540" s="82"/>
      <c r="AS3540" s="82"/>
      <c r="AT3540" s="82"/>
      <c r="AU3540" s="82"/>
      <c r="AV3540" s="82"/>
      <c r="AW3540" s="82" t="str">
        <f t="shared" si="1"/>
        <v/>
      </c>
      <c r="AX3540" s="83" t="str">
        <f t="array" ref="AX3540">IFERROR(DGET('SBV Import'!A:G,"SBV",{"RSC ID","Tier";B3540,A3540}))</f>
        <v/>
      </c>
      <c r="AY3540" s="82" t="str">
        <f t="shared" si="2"/>
        <v/>
      </c>
      <c r="AZ3540" s="82"/>
      <c r="BA3540" s="84" t="s">
        <v>152</v>
      </c>
      <c r="BB3540" s="84" t="str">
        <f>IFERROR(__xludf.DUMMYFUNCTION("iferror(if(A3540="""",,E3540&gt;=FILTER(Constants!$F$2:$F$10,Constants!$A$2:$A$10=A3540)))"),"")</f>
        <v/>
      </c>
    </row>
    <row r="3541">
      <c r="A3541" s="89"/>
      <c r="B3541" s="87"/>
      <c r="C3541" s="73"/>
      <c r="D3541" s="73"/>
      <c r="E3541" s="82"/>
      <c r="F3541" s="82"/>
      <c r="G3541" s="86"/>
      <c r="H3541" s="86"/>
      <c r="I3541" s="86"/>
      <c r="J3541" s="82"/>
      <c r="K3541" s="82"/>
      <c r="L3541" s="82"/>
      <c r="M3541" s="82"/>
      <c r="N3541" s="82"/>
      <c r="O3541" s="82"/>
      <c r="P3541" s="82"/>
      <c r="Q3541" s="82"/>
      <c r="R3541" s="82"/>
      <c r="S3541" s="82"/>
      <c r="T3541" s="82"/>
      <c r="U3541" s="82"/>
      <c r="V3541" s="82"/>
      <c r="W3541" s="82"/>
      <c r="X3541" s="82"/>
      <c r="Y3541" s="82"/>
      <c r="Z3541" s="82"/>
      <c r="AA3541" s="82"/>
      <c r="AB3541" s="82"/>
      <c r="AC3541" s="82"/>
      <c r="AD3541" s="82"/>
      <c r="AE3541" s="82"/>
      <c r="AF3541" s="82"/>
      <c r="AG3541" s="82"/>
      <c r="AH3541" s="82"/>
      <c r="AI3541" s="82"/>
      <c r="AJ3541" s="82"/>
      <c r="AK3541" s="82"/>
      <c r="AL3541" s="82"/>
      <c r="AM3541" s="82"/>
      <c r="AN3541" s="82"/>
      <c r="AO3541" s="82"/>
      <c r="AP3541" s="82"/>
      <c r="AQ3541" s="82"/>
      <c r="AR3541" s="82"/>
      <c r="AS3541" s="82"/>
      <c r="AT3541" s="82"/>
      <c r="AU3541" s="82"/>
      <c r="AV3541" s="82"/>
      <c r="AW3541" s="82" t="str">
        <f t="shared" si="1"/>
        <v/>
      </c>
      <c r="AX3541" s="83" t="str">
        <f t="array" ref="AX3541">IFERROR(DGET('SBV Import'!A:G,"SBV",{"RSC ID","Tier";B3541,A3541}))</f>
        <v/>
      </c>
      <c r="AY3541" s="82" t="str">
        <f t="shared" si="2"/>
        <v/>
      </c>
      <c r="AZ3541" s="82"/>
      <c r="BA3541" s="84" t="s">
        <v>152</v>
      </c>
      <c r="BB3541" s="84" t="str">
        <f>IFERROR(__xludf.DUMMYFUNCTION("iferror(if(A3541="""",,E3541&gt;=FILTER(Constants!$F$2:$F$10,Constants!$A$2:$A$10=A3541)))"),"")</f>
        <v/>
      </c>
    </row>
    <row r="3542">
      <c r="A3542" s="89"/>
      <c r="B3542" s="87"/>
      <c r="C3542" s="73"/>
      <c r="D3542" s="73"/>
      <c r="E3542" s="82"/>
      <c r="F3542" s="82"/>
      <c r="G3542" s="86"/>
      <c r="H3542" s="86"/>
      <c r="I3542" s="86"/>
      <c r="J3542" s="82"/>
      <c r="K3542" s="82"/>
      <c r="L3542" s="82"/>
      <c r="M3542" s="82"/>
      <c r="N3542" s="82"/>
      <c r="O3542" s="82"/>
      <c r="P3542" s="82"/>
      <c r="Q3542" s="82"/>
      <c r="R3542" s="82"/>
      <c r="S3542" s="82"/>
      <c r="T3542" s="82"/>
      <c r="U3542" s="82"/>
      <c r="V3542" s="82"/>
      <c r="W3542" s="82"/>
      <c r="X3542" s="82"/>
      <c r="Y3542" s="82"/>
      <c r="Z3542" s="82"/>
      <c r="AA3542" s="82"/>
      <c r="AB3542" s="82"/>
      <c r="AC3542" s="82"/>
      <c r="AD3542" s="82"/>
      <c r="AE3542" s="82"/>
      <c r="AF3542" s="82"/>
      <c r="AG3542" s="82"/>
      <c r="AH3542" s="82"/>
      <c r="AI3542" s="82"/>
      <c r="AJ3542" s="82"/>
      <c r="AK3542" s="82"/>
      <c r="AL3542" s="82"/>
      <c r="AM3542" s="82"/>
      <c r="AN3542" s="82"/>
      <c r="AO3542" s="82"/>
      <c r="AP3542" s="82"/>
      <c r="AQ3542" s="82"/>
      <c r="AR3542" s="82"/>
      <c r="AS3542" s="82"/>
      <c r="AT3542" s="82"/>
      <c r="AU3542" s="82"/>
      <c r="AV3542" s="82"/>
      <c r="AW3542" s="82" t="str">
        <f t="shared" si="1"/>
        <v/>
      </c>
      <c r="AX3542" s="83" t="str">
        <f t="array" ref="AX3542">IFERROR(DGET('SBV Import'!A:G,"SBV",{"RSC ID","Tier";B3542,A3542}))</f>
        <v/>
      </c>
      <c r="AY3542" s="82" t="str">
        <f t="shared" si="2"/>
        <v/>
      </c>
      <c r="AZ3542" s="82"/>
      <c r="BA3542" s="84" t="s">
        <v>152</v>
      </c>
      <c r="BB3542" s="84" t="str">
        <f>IFERROR(__xludf.DUMMYFUNCTION("iferror(if(A3542="""",,E3542&gt;=FILTER(Constants!$F$2:$F$10,Constants!$A$2:$A$10=A3542)))"),"")</f>
        <v/>
      </c>
    </row>
    <row r="3543">
      <c r="A3543" s="89"/>
      <c r="B3543" s="87"/>
      <c r="C3543" s="73"/>
      <c r="D3543" s="73"/>
      <c r="E3543" s="82"/>
      <c r="F3543" s="82"/>
      <c r="G3543" s="86"/>
      <c r="H3543" s="86"/>
      <c r="I3543" s="86"/>
      <c r="J3543" s="82"/>
      <c r="K3543" s="82"/>
      <c r="L3543" s="82"/>
      <c r="M3543" s="82"/>
      <c r="N3543" s="82"/>
      <c r="O3543" s="82"/>
      <c r="P3543" s="82"/>
      <c r="Q3543" s="82"/>
      <c r="R3543" s="82"/>
      <c r="S3543" s="82"/>
      <c r="T3543" s="82"/>
      <c r="U3543" s="82"/>
      <c r="V3543" s="82"/>
      <c r="W3543" s="82"/>
      <c r="X3543" s="82"/>
      <c r="Y3543" s="82"/>
      <c r="Z3543" s="82"/>
      <c r="AA3543" s="82"/>
      <c r="AB3543" s="82"/>
      <c r="AC3543" s="82"/>
      <c r="AD3543" s="82"/>
      <c r="AE3543" s="82"/>
      <c r="AF3543" s="82"/>
      <c r="AG3543" s="82"/>
      <c r="AH3543" s="82"/>
      <c r="AI3543" s="82"/>
      <c r="AJ3543" s="82"/>
      <c r="AK3543" s="82"/>
      <c r="AL3543" s="82"/>
      <c r="AM3543" s="82"/>
      <c r="AN3543" s="82"/>
      <c r="AO3543" s="82"/>
      <c r="AP3543" s="82"/>
      <c r="AQ3543" s="82"/>
      <c r="AR3543" s="82"/>
      <c r="AS3543" s="82"/>
      <c r="AT3543" s="82"/>
      <c r="AU3543" s="82"/>
      <c r="AV3543" s="82"/>
      <c r="AW3543" s="82" t="str">
        <f t="shared" si="1"/>
        <v/>
      </c>
      <c r="AX3543" s="83" t="str">
        <f t="array" ref="AX3543">IFERROR(DGET('SBV Import'!A:G,"SBV",{"RSC ID","Tier";B3543,A3543}))</f>
        <v/>
      </c>
      <c r="AY3543" s="82" t="str">
        <f t="shared" si="2"/>
        <v/>
      </c>
      <c r="AZ3543" s="82"/>
      <c r="BA3543" s="84" t="s">
        <v>152</v>
      </c>
      <c r="BB3543" s="84" t="str">
        <f>IFERROR(__xludf.DUMMYFUNCTION("iferror(if(A3543="""",,E3543&gt;=FILTER(Constants!$F$2:$F$10,Constants!$A$2:$A$10=A3543)))"),"")</f>
        <v/>
      </c>
    </row>
    <row r="3544">
      <c r="A3544" s="89"/>
      <c r="B3544" s="87"/>
      <c r="C3544" s="73"/>
      <c r="D3544" s="73"/>
      <c r="E3544" s="82"/>
      <c r="F3544" s="82"/>
      <c r="G3544" s="86"/>
      <c r="H3544" s="86"/>
      <c r="I3544" s="86"/>
      <c r="J3544" s="82"/>
      <c r="K3544" s="82"/>
      <c r="L3544" s="82"/>
      <c r="M3544" s="82"/>
      <c r="N3544" s="82"/>
      <c r="O3544" s="82"/>
      <c r="P3544" s="82"/>
      <c r="Q3544" s="82"/>
      <c r="R3544" s="82"/>
      <c r="S3544" s="82"/>
      <c r="T3544" s="82"/>
      <c r="U3544" s="82"/>
      <c r="V3544" s="82"/>
      <c r="W3544" s="82"/>
      <c r="X3544" s="82"/>
      <c r="Y3544" s="82"/>
      <c r="Z3544" s="82"/>
      <c r="AA3544" s="82"/>
      <c r="AB3544" s="82"/>
      <c r="AC3544" s="82"/>
      <c r="AD3544" s="82"/>
      <c r="AE3544" s="82"/>
      <c r="AF3544" s="82"/>
      <c r="AG3544" s="82"/>
      <c r="AH3544" s="82"/>
      <c r="AI3544" s="82"/>
      <c r="AJ3544" s="82"/>
      <c r="AK3544" s="82"/>
      <c r="AL3544" s="82"/>
      <c r="AM3544" s="82"/>
      <c r="AN3544" s="82"/>
      <c r="AO3544" s="82"/>
      <c r="AP3544" s="82"/>
      <c r="AQ3544" s="82"/>
      <c r="AR3544" s="82"/>
      <c r="AS3544" s="82"/>
      <c r="AT3544" s="82"/>
      <c r="AU3544" s="82"/>
      <c r="AV3544" s="82"/>
      <c r="AW3544" s="82" t="str">
        <f t="shared" si="1"/>
        <v/>
      </c>
      <c r="AX3544" s="83" t="str">
        <f t="array" ref="AX3544">IFERROR(DGET('SBV Import'!A:G,"SBV",{"RSC ID","Tier";B3544,A3544}))</f>
        <v/>
      </c>
      <c r="AY3544" s="82" t="str">
        <f t="shared" si="2"/>
        <v/>
      </c>
      <c r="AZ3544" s="82"/>
      <c r="BA3544" s="84" t="s">
        <v>152</v>
      </c>
      <c r="BB3544" s="84" t="str">
        <f>IFERROR(__xludf.DUMMYFUNCTION("iferror(if(A3544="""",,E3544&gt;=FILTER(Constants!$F$2:$F$10,Constants!$A$2:$A$10=A3544)))"),"")</f>
        <v/>
      </c>
    </row>
    <row r="3545">
      <c r="A3545" s="89"/>
      <c r="B3545" s="87"/>
      <c r="C3545" s="73"/>
      <c r="D3545" s="73"/>
      <c r="E3545" s="82"/>
      <c r="F3545" s="82"/>
      <c r="G3545" s="86"/>
      <c r="H3545" s="86"/>
      <c r="I3545" s="86"/>
      <c r="J3545" s="82"/>
      <c r="K3545" s="82"/>
      <c r="L3545" s="82"/>
      <c r="M3545" s="82"/>
      <c r="N3545" s="82"/>
      <c r="O3545" s="82"/>
      <c r="P3545" s="82"/>
      <c r="Q3545" s="82"/>
      <c r="R3545" s="82"/>
      <c r="S3545" s="82"/>
      <c r="T3545" s="82"/>
      <c r="U3545" s="82"/>
      <c r="V3545" s="82"/>
      <c r="W3545" s="82"/>
      <c r="X3545" s="82"/>
      <c r="Y3545" s="82"/>
      <c r="Z3545" s="82"/>
      <c r="AA3545" s="82"/>
      <c r="AB3545" s="82"/>
      <c r="AC3545" s="82"/>
      <c r="AD3545" s="82"/>
      <c r="AE3545" s="82"/>
      <c r="AF3545" s="82"/>
      <c r="AG3545" s="82"/>
      <c r="AH3545" s="82"/>
      <c r="AI3545" s="82"/>
      <c r="AJ3545" s="82"/>
      <c r="AK3545" s="82"/>
      <c r="AL3545" s="82"/>
      <c r="AM3545" s="82"/>
      <c r="AN3545" s="82"/>
      <c r="AO3545" s="82"/>
      <c r="AP3545" s="82"/>
      <c r="AQ3545" s="82"/>
      <c r="AR3545" s="82"/>
      <c r="AS3545" s="82"/>
      <c r="AT3545" s="82"/>
      <c r="AU3545" s="82"/>
      <c r="AV3545" s="82"/>
      <c r="AW3545" s="82" t="str">
        <f t="shared" si="1"/>
        <v/>
      </c>
      <c r="AX3545" s="83" t="str">
        <f t="array" ref="AX3545">IFERROR(DGET('SBV Import'!A:G,"SBV",{"RSC ID","Tier";B3545,A3545}))</f>
        <v/>
      </c>
      <c r="AY3545" s="82" t="str">
        <f t="shared" si="2"/>
        <v/>
      </c>
      <c r="AZ3545" s="82"/>
      <c r="BA3545" s="84" t="s">
        <v>152</v>
      </c>
      <c r="BB3545" s="84" t="str">
        <f>IFERROR(__xludf.DUMMYFUNCTION("iferror(if(A3545="""",,E3545&gt;=FILTER(Constants!$F$2:$F$10,Constants!$A$2:$A$10=A3545)))"),"")</f>
        <v/>
      </c>
    </row>
    <row r="3546">
      <c r="A3546" s="89"/>
      <c r="B3546" s="87"/>
      <c r="C3546" s="73"/>
      <c r="D3546" s="73"/>
      <c r="E3546" s="82"/>
      <c r="F3546" s="82"/>
      <c r="G3546" s="86"/>
      <c r="H3546" s="86"/>
      <c r="I3546" s="86"/>
      <c r="J3546" s="82"/>
      <c r="K3546" s="82"/>
      <c r="L3546" s="82"/>
      <c r="M3546" s="82"/>
      <c r="N3546" s="82"/>
      <c r="O3546" s="82"/>
      <c r="P3546" s="82"/>
      <c r="Q3546" s="82"/>
      <c r="R3546" s="82"/>
      <c r="S3546" s="82"/>
      <c r="T3546" s="82"/>
      <c r="U3546" s="82"/>
      <c r="V3546" s="82"/>
      <c r="W3546" s="82"/>
      <c r="X3546" s="82"/>
      <c r="Y3546" s="82"/>
      <c r="Z3546" s="82"/>
      <c r="AA3546" s="82"/>
      <c r="AB3546" s="82"/>
      <c r="AC3546" s="82"/>
      <c r="AD3546" s="82"/>
      <c r="AE3546" s="82"/>
      <c r="AF3546" s="82"/>
      <c r="AG3546" s="82"/>
      <c r="AH3546" s="82"/>
      <c r="AI3546" s="82"/>
      <c r="AJ3546" s="82"/>
      <c r="AK3546" s="82"/>
      <c r="AL3546" s="82"/>
      <c r="AM3546" s="82"/>
      <c r="AN3546" s="82"/>
      <c r="AO3546" s="82"/>
      <c r="AP3546" s="82"/>
      <c r="AQ3546" s="82"/>
      <c r="AR3546" s="82"/>
      <c r="AS3546" s="82"/>
      <c r="AT3546" s="82"/>
      <c r="AU3546" s="82"/>
      <c r="AV3546" s="82"/>
      <c r="AW3546" s="82" t="str">
        <f t="shared" si="1"/>
        <v/>
      </c>
      <c r="AX3546" s="83" t="str">
        <f t="array" ref="AX3546">IFERROR(DGET('SBV Import'!A:G,"SBV",{"RSC ID","Tier";B3546,A3546}))</f>
        <v/>
      </c>
      <c r="AY3546" s="82" t="str">
        <f t="shared" si="2"/>
        <v/>
      </c>
      <c r="AZ3546" s="82"/>
      <c r="BA3546" s="84" t="s">
        <v>152</v>
      </c>
      <c r="BB3546" s="84" t="str">
        <f>IFERROR(__xludf.DUMMYFUNCTION("iferror(if(A3546="""",,E3546&gt;=FILTER(Constants!$F$2:$F$10,Constants!$A$2:$A$10=A3546)))"),"")</f>
        <v/>
      </c>
    </row>
    <row r="3547">
      <c r="A3547" s="89"/>
      <c r="B3547" s="87"/>
      <c r="C3547" s="73"/>
      <c r="D3547" s="73"/>
      <c r="E3547" s="82"/>
      <c r="F3547" s="82"/>
      <c r="G3547" s="86"/>
      <c r="H3547" s="86"/>
      <c r="I3547" s="86"/>
      <c r="J3547" s="82"/>
      <c r="K3547" s="82"/>
      <c r="L3547" s="82"/>
      <c r="M3547" s="82"/>
      <c r="N3547" s="82"/>
      <c r="O3547" s="82"/>
      <c r="P3547" s="82"/>
      <c r="Q3547" s="82"/>
      <c r="R3547" s="82"/>
      <c r="S3547" s="82"/>
      <c r="T3547" s="82"/>
      <c r="U3547" s="82"/>
      <c r="V3547" s="82"/>
      <c r="W3547" s="82"/>
      <c r="X3547" s="82"/>
      <c r="Y3547" s="82"/>
      <c r="Z3547" s="82"/>
      <c r="AA3547" s="82"/>
      <c r="AB3547" s="82"/>
      <c r="AC3547" s="82"/>
      <c r="AD3547" s="82"/>
      <c r="AE3547" s="82"/>
      <c r="AF3547" s="82"/>
      <c r="AG3547" s="82"/>
      <c r="AH3547" s="82"/>
      <c r="AI3547" s="82"/>
      <c r="AJ3547" s="82"/>
      <c r="AK3547" s="82"/>
      <c r="AL3547" s="82"/>
      <c r="AM3547" s="82"/>
      <c r="AN3547" s="82"/>
      <c r="AO3547" s="82"/>
      <c r="AP3547" s="82"/>
      <c r="AQ3547" s="82"/>
      <c r="AR3547" s="82"/>
      <c r="AS3547" s="82"/>
      <c r="AT3547" s="82"/>
      <c r="AU3547" s="82"/>
      <c r="AV3547" s="82"/>
      <c r="AW3547" s="82" t="str">
        <f t="shared" si="1"/>
        <v/>
      </c>
      <c r="AX3547" s="83" t="str">
        <f t="array" ref="AX3547">IFERROR(DGET('SBV Import'!A:G,"SBV",{"RSC ID","Tier";B3547,A3547}))</f>
        <v/>
      </c>
      <c r="AY3547" s="82" t="str">
        <f t="shared" si="2"/>
        <v/>
      </c>
      <c r="AZ3547" s="82"/>
      <c r="BA3547" s="84" t="s">
        <v>152</v>
      </c>
      <c r="BB3547" s="84" t="str">
        <f>IFERROR(__xludf.DUMMYFUNCTION("iferror(if(A3547="""",,E3547&gt;=FILTER(Constants!$F$2:$F$10,Constants!$A$2:$A$10=A3547)))"),"")</f>
        <v/>
      </c>
    </row>
    <row r="3548">
      <c r="A3548" s="89"/>
      <c r="B3548" s="87"/>
      <c r="C3548" s="73"/>
      <c r="D3548" s="73"/>
      <c r="E3548" s="82"/>
      <c r="F3548" s="82"/>
      <c r="G3548" s="86"/>
      <c r="H3548" s="86"/>
      <c r="I3548" s="86"/>
      <c r="J3548" s="82"/>
      <c r="K3548" s="82"/>
      <c r="L3548" s="82"/>
      <c r="M3548" s="82"/>
      <c r="N3548" s="82"/>
      <c r="O3548" s="82"/>
      <c r="P3548" s="82"/>
      <c r="Q3548" s="82"/>
      <c r="R3548" s="82"/>
      <c r="S3548" s="82"/>
      <c r="T3548" s="82"/>
      <c r="U3548" s="82"/>
      <c r="V3548" s="82"/>
      <c r="W3548" s="82"/>
      <c r="X3548" s="82"/>
      <c r="Y3548" s="82"/>
      <c r="Z3548" s="82"/>
      <c r="AA3548" s="82"/>
      <c r="AB3548" s="82"/>
      <c r="AC3548" s="82"/>
      <c r="AD3548" s="82"/>
      <c r="AE3548" s="82"/>
      <c r="AF3548" s="82"/>
      <c r="AG3548" s="82"/>
      <c r="AH3548" s="82"/>
      <c r="AI3548" s="82"/>
      <c r="AJ3548" s="82"/>
      <c r="AK3548" s="82"/>
      <c r="AL3548" s="82"/>
      <c r="AM3548" s="82"/>
      <c r="AN3548" s="82"/>
      <c r="AO3548" s="82"/>
      <c r="AP3548" s="82"/>
      <c r="AQ3548" s="82"/>
      <c r="AR3548" s="82"/>
      <c r="AS3548" s="82"/>
      <c r="AT3548" s="82"/>
      <c r="AU3548" s="82"/>
      <c r="AV3548" s="82"/>
      <c r="AW3548" s="82" t="str">
        <f t="shared" si="1"/>
        <v/>
      </c>
      <c r="AX3548" s="83" t="str">
        <f t="array" ref="AX3548">IFERROR(DGET('SBV Import'!A:G,"SBV",{"RSC ID","Tier";B3548,A3548}))</f>
        <v/>
      </c>
      <c r="AY3548" s="82" t="str">
        <f t="shared" si="2"/>
        <v/>
      </c>
      <c r="AZ3548" s="82"/>
      <c r="BA3548" s="84" t="s">
        <v>152</v>
      </c>
      <c r="BB3548" s="84" t="str">
        <f>IFERROR(__xludf.DUMMYFUNCTION("iferror(if(A3548="""",,E3548&gt;=FILTER(Constants!$F$2:$F$10,Constants!$A$2:$A$10=A3548)))"),"")</f>
        <v/>
      </c>
    </row>
    <row r="3549">
      <c r="A3549" s="89"/>
      <c r="B3549" s="87"/>
      <c r="C3549" s="73"/>
      <c r="D3549" s="73"/>
      <c r="E3549" s="82"/>
      <c r="F3549" s="82"/>
      <c r="G3549" s="86"/>
      <c r="H3549" s="86"/>
      <c r="I3549" s="86"/>
      <c r="J3549" s="82"/>
      <c r="K3549" s="82"/>
      <c r="L3549" s="82"/>
      <c r="M3549" s="82"/>
      <c r="N3549" s="82"/>
      <c r="O3549" s="82"/>
      <c r="P3549" s="82"/>
      <c r="Q3549" s="82"/>
      <c r="R3549" s="82"/>
      <c r="S3549" s="82"/>
      <c r="T3549" s="82"/>
      <c r="U3549" s="82"/>
      <c r="V3549" s="82"/>
      <c r="W3549" s="82"/>
      <c r="X3549" s="82"/>
      <c r="Y3549" s="82"/>
      <c r="Z3549" s="82"/>
      <c r="AA3549" s="82"/>
      <c r="AB3549" s="82"/>
      <c r="AC3549" s="82"/>
      <c r="AD3549" s="82"/>
      <c r="AE3549" s="82"/>
      <c r="AF3549" s="82"/>
      <c r="AG3549" s="82"/>
      <c r="AH3549" s="82"/>
      <c r="AI3549" s="82"/>
      <c r="AJ3549" s="82"/>
      <c r="AK3549" s="82"/>
      <c r="AL3549" s="82"/>
      <c r="AM3549" s="82"/>
      <c r="AN3549" s="82"/>
      <c r="AO3549" s="82"/>
      <c r="AP3549" s="82"/>
      <c r="AQ3549" s="82"/>
      <c r="AR3549" s="82"/>
      <c r="AS3549" s="82"/>
      <c r="AT3549" s="82"/>
      <c r="AU3549" s="82"/>
      <c r="AV3549" s="82"/>
      <c r="AW3549" s="82" t="str">
        <f t="shared" si="1"/>
        <v/>
      </c>
      <c r="AX3549" s="83" t="str">
        <f t="array" ref="AX3549">IFERROR(DGET('SBV Import'!A:G,"SBV",{"RSC ID","Tier";B3549,A3549}))</f>
        <v/>
      </c>
      <c r="AY3549" s="82" t="str">
        <f t="shared" si="2"/>
        <v/>
      </c>
      <c r="AZ3549" s="82"/>
      <c r="BA3549" s="84" t="s">
        <v>152</v>
      </c>
      <c r="BB3549" s="84" t="str">
        <f>IFERROR(__xludf.DUMMYFUNCTION("iferror(if(A3549="""",,E3549&gt;=FILTER(Constants!$F$2:$F$10,Constants!$A$2:$A$10=A3549)))"),"")</f>
        <v/>
      </c>
    </row>
    <row r="3550">
      <c r="A3550" s="89"/>
      <c r="B3550" s="87"/>
      <c r="C3550" s="73"/>
      <c r="D3550" s="73"/>
      <c r="E3550" s="82"/>
      <c r="F3550" s="82"/>
      <c r="G3550" s="86"/>
      <c r="H3550" s="86"/>
      <c r="I3550" s="86"/>
      <c r="J3550" s="82"/>
      <c r="K3550" s="82"/>
      <c r="L3550" s="82"/>
      <c r="M3550" s="82"/>
      <c r="N3550" s="82"/>
      <c r="O3550" s="82"/>
      <c r="P3550" s="82"/>
      <c r="Q3550" s="82"/>
      <c r="R3550" s="82"/>
      <c r="S3550" s="82"/>
      <c r="T3550" s="82"/>
      <c r="U3550" s="82"/>
      <c r="V3550" s="82"/>
      <c r="W3550" s="82"/>
      <c r="X3550" s="82"/>
      <c r="Y3550" s="82"/>
      <c r="Z3550" s="82"/>
      <c r="AA3550" s="82"/>
      <c r="AB3550" s="82"/>
      <c r="AC3550" s="82"/>
      <c r="AD3550" s="82"/>
      <c r="AE3550" s="82"/>
      <c r="AF3550" s="82"/>
      <c r="AG3550" s="82"/>
      <c r="AH3550" s="82"/>
      <c r="AI3550" s="82"/>
      <c r="AJ3550" s="82"/>
      <c r="AK3550" s="82"/>
      <c r="AL3550" s="82"/>
      <c r="AM3550" s="82"/>
      <c r="AN3550" s="82"/>
      <c r="AO3550" s="82"/>
      <c r="AP3550" s="82"/>
      <c r="AQ3550" s="82"/>
      <c r="AR3550" s="82"/>
      <c r="AS3550" s="82"/>
      <c r="AT3550" s="82"/>
      <c r="AU3550" s="82"/>
      <c r="AV3550" s="82"/>
      <c r="AW3550" s="82" t="str">
        <f t="shared" si="1"/>
        <v/>
      </c>
      <c r="AX3550" s="83" t="str">
        <f t="array" ref="AX3550">IFERROR(DGET('SBV Import'!A:G,"SBV",{"RSC ID","Tier";B3550,A3550}))</f>
        <v/>
      </c>
      <c r="AY3550" s="82" t="str">
        <f t="shared" si="2"/>
        <v/>
      </c>
      <c r="AZ3550" s="82"/>
      <c r="BA3550" s="84" t="s">
        <v>152</v>
      </c>
      <c r="BB3550" s="84" t="str">
        <f>IFERROR(__xludf.DUMMYFUNCTION("iferror(if(A3550="""",,E3550&gt;=FILTER(Constants!$F$2:$F$10,Constants!$A$2:$A$10=A3550)))"),"")</f>
        <v/>
      </c>
    </row>
    <row r="3551">
      <c r="A3551" s="89"/>
      <c r="B3551" s="87"/>
      <c r="C3551" s="73"/>
      <c r="D3551" s="73"/>
      <c r="E3551" s="82"/>
      <c r="F3551" s="82"/>
      <c r="G3551" s="86"/>
      <c r="H3551" s="86"/>
      <c r="I3551" s="86"/>
      <c r="J3551" s="82"/>
      <c r="K3551" s="82"/>
      <c r="L3551" s="82"/>
      <c r="M3551" s="82"/>
      <c r="N3551" s="82"/>
      <c r="O3551" s="82"/>
      <c r="P3551" s="82"/>
      <c r="Q3551" s="82"/>
      <c r="R3551" s="82"/>
      <c r="S3551" s="82"/>
      <c r="T3551" s="82"/>
      <c r="U3551" s="82"/>
      <c r="V3551" s="82"/>
      <c r="W3551" s="82"/>
      <c r="X3551" s="82"/>
      <c r="Y3551" s="82"/>
      <c r="Z3551" s="82"/>
      <c r="AA3551" s="82"/>
      <c r="AB3551" s="82"/>
      <c r="AC3551" s="82"/>
      <c r="AD3551" s="82"/>
      <c r="AE3551" s="82"/>
      <c r="AF3551" s="82"/>
      <c r="AG3551" s="82"/>
      <c r="AH3551" s="82"/>
      <c r="AI3551" s="82"/>
      <c r="AJ3551" s="82"/>
      <c r="AK3551" s="82"/>
      <c r="AL3551" s="82"/>
      <c r="AM3551" s="82"/>
      <c r="AN3551" s="82"/>
      <c r="AO3551" s="82"/>
      <c r="AP3551" s="82"/>
      <c r="AQ3551" s="82"/>
      <c r="AR3551" s="82"/>
      <c r="AS3551" s="82"/>
      <c r="AT3551" s="82"/>
      <c r="AU3551" s="82"/>
      <c r="AV3551" s="82"/>
      <c r="AW3551" s="82" t="str">
        <f t="shared" si="1"/>
        <v/>
      </c>
      <c r="AX3551" s="83" t="str">
        <f t="array" ref="AX3551">IFERROR(DGET('SBV Import'!A:G,"SBV",{"RSC ID","Tier";B3551,A3551}))</f>
        <v/>
      </c>
      <c r="AY3551" s="82" t="str">
        <f t="shared" si="2"/>
        <v/>
      </c>
      <c r="AZ3551" s="82"/>
      <c r="BA3551" s="84" t="s">
        <v>152</v>
      </c>
      <c r="BB3551" s="84" t="str">
        <f>IFERROR(__xludf.DUMMYFUNCTION("iferror(if(A3551="""",,E3551&gt;=FILTER(Constants!$F$2:$F$10,Constants!$A$2:$A$10=A3551)))"),"")</f>
        <v/>
      </c>
    </row>
    <row r="3552">
      <c r="A3552" s="89"/>
      <c r="B3552" s="87"/>
      <c r="C3552" s="73"/>
      <c r="D3552" s="73"/>
      <c r="E3552" s="82"/>
      <c r="F3552" s="82"/>
      <c r="G3552" s="86"/>
      <c r="H3552" s="86"/>
      <c r="I3552" s="86"/>
      <c r="J3552" s="82"/>
      <c r="K3552" s="82"/>
      <c r="L3552" s="82"/>
      <c r="M3552" s="82"/>
      <c r="N3552" s="82"/>
      <c r="O3552" s="82"/>
      <c r="P3552" s="82"/>
      <c r="Q3552" s="82"/>
      <c r="R3552" s="82"/>
      <c r="S3552" s="82"/>
      <c r="T3552" s="82"/>
      <c r="U3552" s="82"/>
      <c r="V3552" s="82"/>
      <c r="W3552" s="82"/>
      <c r="X3552" s="82"/>
      <c r="Y3552" s="82"/>
      <c r="Z3552" s="82"/>
      <c r="AA3552" s="82"/>
      <c r="AB3552" s="82"/>
      <c r="AC3552" s="82"/>
      <c r="AD3552" s="82"/>
      <c r="AE3552" s="82"/>
      <c r="AF3552" s="82"/>
      <c r="AG3552" s="82"/>
      <c r="AH3552" s="82"/>
      <c r="AI3552" s="82"/>
      <c r="AJ3552" s="82"/>
      <c r="AK3552" s="82"/>
      <c r="AL3552" s="82"/>
      <c r="AM3552" s="82"/>
      <c r="AN3552" s="82"/>
      <c r="AO3552" s="82"/>
      <c r="AP3552" s="82"/>
      <c r="AQ3552" s="82"/>
      <c r="AR3552" s="82"/>
      <c r="AS3552" s="82"/>
      <c r="AT3552" s="82"/>
      <c r="AU3552" s="82"/>
      <c r="AV3552" s="82"/>
      <c r="AW3552" s="82" t="str">
        <f t="shared" si="1"/>
        <v/>
      </c>
      <c r="AX3552" s="83" t="str">
        <f t="array" ref="AX3552">IFERROR(DGET('SBV Import'!A:G,"SBV",{"RSC ID","Tier";B3552,A3552}))</f>
        <v/>
      </c>
      <c r="AY3552" s="82" t="str">
        <f t="shared" si="2"/>
        <v/>
      </c>
      <c r="AZ3552" s="82"/>
      <c r="BA3552" s="84" t="s">
        <v>152</v>
      </c>
      <c r="BB3552" s="84" t="str">
        <f>IFERROR(__xludf.DUMMYFUNCTION("iferror(if(A3552="""",,E3552&gt;=FILTER(Constants!$F$2:$F$10,Constants!$A$2:$A$10=A3552)))"),"")</f>
        <v/>
      </c>
    </row>
    <row r="3553">
      <c r="A3553" s="89"/>
      <c r="B3553" s="87"/>
      <c r="C3553" s="73"/>
      <c r="D3553" s="73"/>
      <c r="E3553" s="82"/>
      <c r="F3553" s="82"/>
      <c r="G3553" s="86"/>
      <c r="H3553" s="86"/>
      <c r="I3553" s="86"/>
      <c r="J3553" s="82"/>
      <c r="K3553" s="82"/>
      <c r="L3553" s="82"/>
      <c r="M3553" s="82"/>
      <c r="N3553" s="82"/>
      <c r="O3553" s="82"/>
      <c r="P3553" s="82"/>
      <c r="Q3553" s="82"/>
      <c r="R3553" s="82"/>
      <c r="S3553" s="82"/>
      <c r="T3553" s="82"/>
      <c r="U3553" s="82"/>
      <c r="V3553" s="82"/>
      <c r="W3553" s="82"/>
      <c r="X3553" s="82"/>
      <c r="Y3553" s="82"/>
      <c r="Z3553" s="82"/>
      <c r="AA3553" s="82"/>
      <c r="AB3553" s="82"/>
      <c r="AC3553" s="82"/>
      <c r="AD3553" s="82"/>
      <c r="AE3553" s="82"/>
      <c r="AF3553" s="82"/>
      <c r="AG3553" s="82"/>
      <c r="AH3553" s="82"/>
      <c r="AI3553" s="82"/>
      <c r="AJ3553" s="82"/>
      <c r="AK3553" s="82"/>
      <c r="AL3553" s="82"/>
      <c r="AM3553" s="82"/>
      <c r="AN3553" s="82"/>
      <c r="AO3553" s="82"/>
      <c r="AP3553" s="82"/>
      <c r="AQ3553" s="82"/>
      <c r="AR3553" s="82"/>
      <c r="AS3553" s="82"/>
      <c r="AT3553" s="82"/>
      <c r="AU3553" s="82"/>
      <c r="AV3553" s="82"/>
      <c r="AW3553" s="82" t="str">
        <f t="shared" si="1"/>
        <v/>
      </c>
      <c r="AX3553" s="83" t="str">
        <f t="array" ref="AX3553">IFERROR(DGET('SBV Import'!A:G,"SBV",{"RSC ID","Tier";B3553,A3553}))</f>
        <v/>
      </c>
      <c r="AY3553" s="82" t="str">
        <f t="shared" si="2"/>
        <v/>
      </c>
      <c r="AZ3553" s="82"/>
      <c r="BA3553" s="84" t="s">
        <v>152</v>
      </c>
      <c r="BB3553" s="84" t="str">
        <f>IFERROR(__xludf.DUMMYFUNCTION("iferror(if(A3553="""",,E3553&gt;=FILTER(Constants!$F$2:$F$10,Constants!$A$2:$A$10=A3553)))"),"")</f>
        <v/>
      </c>
    </row>
    <row r="3554">
      <c r="A3554" s="89"/>
      <c r="B3554" s="87"/>
      <c r="C3554" s="73"/>
      <c r="D3554" s="73"/>
      <c r="E3554" s="82"/>
      <c r="F3554" s="82"/>
      <c r="G3554" s="86"/>
      <c r="H3554" s="86"/>
      <c r="I3554" s="86"/>
      <c r="J3554" s="82"/>
      <c r="K3554" s="82"/>
      <c r="L3554" s="82"/>
      <c r="M3554" s="82"/>
      <c r="N3554" s="82"/>
      <c r="O3554" s="82"/>
      <c r="P3554" s="82"/>
      <c r="Q3554" s="82"/>
      <c r="R3554" s="82"/>
      <c r="S3554" s="82"/>
      <c r="T3554" s="82"/>
      <c r="U3554" s="82"/>
      <c r="V3554" s="82"/>
      <c r="W3554" s="82"/>
      <c r="X3554" s="82"/>
      <c r="Y3554" s="82"/>
      <c r="Z3554" s="82"/>
      <c r="AA3554" s="82"/>
      <c r="AB3554" s="82"/>
      <c r="AC3554" s="82"/>
      <c r="AD3554" s="82"/>
      <c r="AE3554" s="82"/>
      <c r="AF3554" s="82"/>
      <c r="AG3554" s="82"/>
      <c r="AH3554" s="82"/>
      <c r="AI3554" s="82"/>
      <c r="AJ3554" s="82"/>
      <c r="AK3554" s="82"/>
      <c r="AL3554" s="82"/>
      <c r="AM3554" s="82"/>
      <c r="AN3554" s="82"/>
      <c r="AO3554" s="82"/>
      <c r="AP3554" s="82"/>
      <c r="AQ3554" s="82"/>
      <c r="AR3554" s="82"/>
      <c r="AS3554" s="82"/>
      <c r="AT3554" s="82"/>
      <c r="AU3554" s="82"/>
      <c r="AV3554" s="82"/>
      <c r="AW3554" s="82" t="str">
        <f t="shared" si="1"/>
        <v/>
      </c>
      <c r="AX3554" s="83" t="str">
        <f t="array" ref="AX3554">IFERROR(DGET('SBV Import'!A:G,"SBV",{"RSC ID","Tier";B3554,A3554}))</f>
        <v/>
      </c>
      <c r="AY3554" s="82" t="str">
        <f t="shared" si="2"/>
        <v/>
      </c>
      <c r="AZ3554" s="82"/>
      <c r="BA3554" s="84" t="s">
        <v>152</v>
      </c>
      <c r="BB3554" s="84" t="str">
        <f>IFERROR(__xludf.DUMMYFUNCTION("iferror(if(A3554="""",,E3554&gt;=FILTER(Constants!$F$2:$F$10,Constants!$A$2:$A$10=A3554)))"),"")</f>
        <v/>
      </c>
    </row>
    <row r="3555">
      <c r="A3555" s="89"/>
      <c r="B3555" s="87"/>
      <c r="C3555" s="73"/>
      <c r="D3555" s="73"/>
      <c r="E3555" s="82"/>
      <c r="F3555" s="82"/>
      <c r="G3555" s="86"/>
      <c r="H3555" s="86"/>
      <c r="I3555" s="86"/>
      <c r="J3555" s="82"/>
      <c r="K3555" s="82"/>
      <c r="L3555" s="82"/>
      <c r="M3555" s="82"/>
      <c r="N3555" s="82"/>
      <c r="O3555" s="82"/>
      <c r="P3555" s="82"/>
      <c r="Q3555" s="82"/>
      <c r="R3555" s="82"/>
      <c r="S3555" s="82"/>
      <c r="T3555" s="82"/>
      <c r="U3555" s="82"/>
      <c r="V3555" s="82"/>
      <c r="W3555" s="82"/>
      <c r="X3555" s="82"/>
      <c r="Y3555" s="82"/>
      <c r="Z3555" s="82"/>
      <c r="AA3555" s="82"/>
      <c r="AB3555" s="82"/>
      <c r="AC3555" s="82"/>
      <c r="AD3555" s="82"/>
      <c r="AE3555" s="82"/>
      <c r="AF3555" s="82"/>
      <c r="AG3555" s="82"/>
      <c r="AH3555" s="82"/>
      <c r="AI3555" s="82"/>
      <c r="AJ3555" s="82"/>
      <c r="AK3555" s="82"/>
      <c r="AL3555" s="82"/>
      <c r="AM3555" s="82"/>
      <c r="AN3555" s="82"/>
      <c r="AO3555" s="82"/>
      <c r="AP3555" s="82"/>
      <c r="AQ3555" s="82"/>
      <c r="AR3555" s="82"/>
      <c r="AS3555" s="82"/>
      <c r="AT3555" s="82"/>
      <c r="AU3555" s="82"/>
      <c r="AV3555" s="82"/>
      <c r="AW3555" s="82" t="str">
        <f t="shared" si="1"/>
        <v/>
      </c>
      <c r="AX3555" s="83" t="str">
        <f t="array" ref="AX3555">IFERROR(DGET('SBV Import'!A:G,"SBV",{"RSC ID","Tier";B3555,A3555}))</f>
        <v/>
      </c>
      <c r="AY3555" s="82" t="str">
        <f t="shared" si="2"/>
        <v/>
      </c>
      <c r="AZ3555" s="82"/>
      <c r="BA3555" s="84" t="s">
        <v>152</v>
      </c>
      <c r="BB3555" s="84" t="str">
        <f>IFERROR(__xludf.DUMMYFUNCTION("iferror(if(A3555="""",,E3555&gt;=FILTER(Constants!$F$2:$F$10,Constants!$A$2:$A$10=A3555)))"),"")</f>
        <v/>
      </c>
    </row>
    <row r="3556">
      <c r="A3556" s="89"/>
      <c r="B3556" s="87"/>
      <c r="C3556" s="73"/>
      <c r="D3556" s="73"/>
      <c r="E3556" s="82"/>
      <c r="F3556" s="82"/>
      <c r="G3556" s="86"/>
      <c r="H3556" s="86"/>
      <c r="I3556" s="86"/>
      <c r="J3556" s="82"/>
      <c r="K3556" s="82"/>
      <c r="L3556" s="82"/>
      <c r="M3556" s="82"/>
      <c r="N3556" s="82"/>
      <c r="O3556" s="82"/>
      <c r="P3556" s="82"/>
      <c r="Q3556" s="82"/>
      <c r="R3556" s="82"/>
      <c r="S3556" s="82"/>
      <c r="T3556" s="82"/>
      <c r="U3556" s="82"/>
      <c r="V3556" s="82"/>
      <c r="W3556" s="82"/>
      <c r="X3556" s="82"/>
      <c r="Y3556" s="82"/>
      <c r="Z3556" s="82"/>
      <c r="AA3556" s="82"/>
      <c r="AB3556" s="82"/>
      <c r="AC3556" s="82"/>
      <c r="AD3556" s="82"/>
      <c r="AE3556" s="82"/>
      <c r="AF3556" s="82"/>
      <c r="AG3556" s="82"/>
      <c r="AH3556" s="82"/>
      <c r="AI3556" s="82"/>
      <c r="AJ3556" s="82"/>
      <c r="AK3556" s="82"/>
      <c r="AL3556" s="82"/>
      <c r="AM3556" s="82"/>
      <c r="AN3556" s="82"/>
      <c r="AO3556" s="82"/>
      <c r="AP3556" s="82"/>
      <c r="AQ3556" s="82"/>
      <c r="AR3556" s="82"/>
      <c r="AS3556" s="82"/>
      <c r="AT3556" s="82"/>
      <c r="AU3556" s="82"/>
      <c r="AV3556" s="82"/>
      <c r="AW3556" s="82" t="str">
        <f t="shared" si="1"/>
        <v/>
      </c>
      <c r="AX3556" s="83" t="str">
        <f t="array" ref="AX3556">IFERROR(DGET('SBV Import'!A:G,"SBV",{"RSC ID","Tier";B3556,A3556}))</f>
        <v/>
      </c>
      <c r="AY3556" s="82" t="str">
        <f t="shared" si="2"/>
        <v/>
      </c>
      <c r="AZ3556" s="82"/>
      <c r="BA3556" s="84" t="s">
        <v>152</v>
      </c>
      <c r="BB3556" s="84" t="str">
        <f>IFERROR(__xludf.DUMMYFUNCTION("iferror(if(A3556="""",,E3556&gt;=FILTER(Constants!$F$2:$F$10,Constants!$A$2:$A$10=A3556)))"),"")</f>
        <v/>
      </c>
    </row>
    <row r="3557">
      <c r="A3557" s="89"/>
      <c r="B3557" s="87"/>
      <c r="C3557" s="73"/>
      <c r="D3557" s="73"/>
      <c r="E3557" s="82"/>
      <c r="F3557" s="82"/>
      <c r="G3557" s="86"/>
      <c r="H3557" s="86"/>
      <c r="I3557" s="86"/>
      <c r="J3557" s="82"/>
      <c r="K3557" s="82"/>
      <c r="L3557" s="82"/>
      <c r="M3557" s="82"/>
      <c r="N3557" s="82"/>
      <c r="O3557" s="82"/>
      <c r="P3557" s="82"/>
      <c r="Q3557" s="82"/>
      <c r="R3557" s="82"/>
      <c r="S3557" s="82"/>
      <c r="T3557" s="82"/>
      <c r="U3557" s="82"/>
      <c r="V3557" s="82"/>
      <c r="W3557" s="82"/>
      <c r="X3557" s="82"/>
      <c r="Y3557" s="82"/>
      <c r="Z3557" s="82"/>
      <c r="AA3557" s="82"/>
      <c r="AB3557" s="82"/>
      <c r="AC3557" s="82"/>
      <c r="AD3557" s="82"/>
      <c r="AE3557" s="82"/>
      <c r="AF3557" s="82"/>
      <c r="AG3557" s="82"/>
      <c r="AH3557" s="82"/>
      <c r="AI3557" s="82"/>
      <c r="AJ3557" s="82"/>
      <c r="AK3557" s="82"/>
      <c r="AL3557" s="82"/>
      <c r="AM3557" s="82"/>
      <c r="AN3557" s="82"/>
      <c r="AO3557" s="82"/>
      <c r="AP3557" s="82"/>
      <c r="AQ3557" s="82"/>
      <c r="AR3557" s="82"/>
      <c r="AS3557" s="82"/>
      <c r="AT3557" s="82"/>
      <c r="AU3557" s="82"/>
      <c r="AV3557" s="82"/>
      <c r="AW3557" s="82" t="str">
        <f t="shared" si="1"/>
        <v/>
      </c>
      <c r="AX3557" s="83" t="str">
        <f t="array" ref="AX3557">IFERROR(DGET('SBV Import'!A:G,"SBV",{"RSC ID","Tier";B3557,A3557}))</f>
        <v/>
      </c>
      <c r="AY3557" s="82" t="str">
        <f t="shared" si="2"/>
        <v/>
      </c>
      <c r="AZ3557" s="82"/>
      <c r="BA3557" s="84" t="s">
        <v>152</v>
      </c>
      <c r="BB3557" s="84" t="str">
        <f>IFERROR(__xludf.DUMMYFUNCTION("iferror(if(A3557="""",,E3557&gt;=FILTER(Constants!$F$2:$F$10,Constants!$A$2:$A$10=A3557)))"),"")</f>
        <v/>
      </c>
    </row>
    <row r="3558">
      <c r="A3558" s="89"/>
      <c r="B3558" s="87"/>
      <c r="C3558" s="73"/>
      <c r="D3558" s="73"/>
      <c r="E3558" s="82"/>
      <c r="F3558" s="82"/>
      <c r="G3558" s="86"/>
      <c r="H3558" s="86"/>
      <c r="I3558" s="86"/>
      <c r="J3558" s="82"/>
      <c r="K3558" s="82"/>
      <c r="L3558" s="82"/>
      <c r="M3558" s="82"/>
      <c r="N3558" s="82"/>
      <c r="O3558" s="82"/>
      <c r="P3558" s="82"/>
      <c r="Q3558" s="82"/>
      <c r="R3558" s="82"/>
      <c r="S3558" s="82"/>
      <c r="T3558" s="82"/>
      <c r="U3558" s="82"/>
      <c r="V3558" s="82"/>
      <c r="W3558" s="82"/>
      <c r="X3558" s="82"/>
      <c r="Y3558" s="82"/>
      <c r="Z3558" s="82"/>
      <c r="AA3558" s="82"/>
      <c r="AB3558" s="82"/>
      <c r="AC3558" s="82"/>
      <c r="AD3558" s="82"/>
      <c r="AE3558" s="82"/>
      <c r="AF3558" s="82"/>
      <c r="AG3558" s="82"/>
      <c r="AH3558" s="82"/>
      <c r="AI3558" s="82"/>
      <c r="AJ3558" s="82"/>
      <c r="AK3558" s="82"/>
      <c r="AL3558" s="82"/>
      <c r="AM3558" s="82"/>
      <c r="AN3558" s="82"/>
      <c r="AO3558" s="82"/>
      <c r="AP3558" s="82"/>
      <c r="AQ3558" s="82"/>
      <c r="AR3558" s="82"/>
      <c r="AS3558" s="82"/>
      <c r="AT3558" s="82"/>
      <c r="AU3558" s="82"/>
      <c r="AV3558" s="82"/>
      <c r="AW3558" s="82" t="str">
        <f t="shared" si="1"/>
        <v/>
      </c>
      <c r="AX3558" s="83" t="str">
        <f t="array" ref="AX3558">IFERROR(DGET('SBV Import'!A:G,"SBV",{"RSC ID","Tier";B3558,A3558}))</f>
        <v/>
      </c>
      <c r="AY3558" s="82" t="str">
        <f t="shared" si="2"/>
        <v/>
      </c>
      <c r="AZ3558" s="82"/>
      <c r="BA3558" s="84" t="s">
        <v>152</v>
      </c>
      <c r="BB3558" s="84" t="str">
        <f>IFERROR(__xludf.DUMMYFUNCTION("iferror(if(A3558="""",,E3558&gt;=FILTER(Constants!$F$2:$F$10,Constants!$A$2:$A$10=A3558)))"),"")</f>
        <v/>
      </c>
    </row>
    <row r="3559">
      <c r="A3559" s="89"/>
      <c r="B3559" s="87"/>
      <c r="C3559" s="73"/>
      <c r="D3559" s="73"/>
      <c r="E3559" s="82"/>
      <c r="F3559" s="82"/>
      <c r="G3559" s="86"/>
      <c r="H3559" s="86"/>
      <c r="I3559" s="86"/>
      <c r="J3559" s="82"/>
      <c r="K3559" s="82"/>
      <c r="L3559" s="82"/>
      <c r="M3559" s="82"/>
      <c r="N3559" s="82"/>
      <c r="O3559" s="82"/>
      <c r="P3559" s="82"/>
      <c r="Q3559" s="82"/>
      <c r="R3559" s="82"/>
      <c r="S3559" s="82"/>
      <c r="T3559" s="82"/>
      <c r="U3559" s="82"/>
      <c r="V3559" s="82"/>
      <c r="W3559" s="82"/>
      <c r="X3559" s="82"/>
      <c r="Y3559" s="82"/>
      <c r="Z3559" s="82"/>
      <c r="AA3559" s="82"/>
      <c r="AB3559" s="82"/>
      <c r="AC3559" s="82"/>
      <c r="AD3559" s="82"/>
      <c r="AE3559" s="82"/>
      <c r="AF3559" s="82"/>
      <c r="AG3559" s="82"/>
      <c r="AH3559" s="82"/>
      <c r="AI3559" s="82"/>
      <c r="AJ3559" s="82"/>
      <c r="AK3559" s="82"/>
      <c r="AL3559" s="82"/>
      <c r="AM3559" s="82"/>
      <c r="AN3559" s="82"/>
      <c r="AO3559" s="82"/>
      <c r="AP3559" s="82"/>
      <c r="AQ3559" s="82"/>
      <c r="AR3559" s="82"/>
      <c r="AS3559" s="82"/>
      <c r="AT3559" s="82"/>
      <c r="AU3559" s="82"/>
      <c r="AV3559" s="82"/>
      <c r="AW3559" s="82" t="str">
        <f t="shared" si="1"/>
        <v/>
      </c>
      <c r="AX3559" s="83" t="str">
        <f t="array" ref="AX3559">IFERROR(DGET('SBV Import'!A:G,"SBV",{"RSC ID","Tier";B3559,A3559}))</f>
        <v/>
      </c>
      <c r="AY3559" s="82" t="str">
        <f t="shared" si="2"/>
        <v/>
      </c>
      <c r="AZ3559" s="82"/>
      <c r="BA3559" s="84" t="s">
        <v>152</v>
      </c>
      <c r="BB3559" s="84" t="str">
        <f>IFERROR(__xludf.DUMMYFUNCTION("iferror(if(A3559="""",,E3559&gt;=FILTER(Constants!$F$2:$F$10,Constants!$A$2:$A$10=A3559)))"),"")</f>
        <v/>
      </c>
    </row>
    <row r="3560">
      <c r="A3560" s="89"/>
      <c r="B3560" s="87"/>
      <c r="C3560" s="73"/>
      <c r="D3560" s="73"/>
      <c r="E3560" s="82"/>
      <c r="F3560" s="82"/>
      <c r="G3560" s="86"/>
      <c r="H3560" s="86"/>
      <c r="I3560" s="86"/>
      <c r="J3560" s="82"/>
      <c r="K3560" s="82"/>
      <c r="L3560" s="82"/>
      <c r="M3560" s="82"/>
      <c r="N3560" s="82"/>
      <c r="O3560" s="82"/>
      <c r="P3560" s="82"/>
      <c r="Q3560" s="82"/>
      <c r="R3560" s="82"/>
      <c r="S3560" s="82"/>
      <c r="T3560" s="82"/>
      <c r="U3560" s="82"/>
      <c r="V3560" s="82"/>
      <c r="W3560" s="82"/>
      <c r="X3560" s="82"/>
      <c r="Y3560" s="82"/>
      <c r="Z3560" s="82"/>
      <c r="AA3560" s="82"/>
      <c r="AB3560" s="82"/>
      <c r="AC3560" s="82"/>
      <c r="AD3560" s="82"/>
      <c r="AE3560" s="82"/>
      <c r="AF3560" s="82"/>
      <c r="AG3560" s="82"/>
      <c r="AH3560" s="82"/>
      <c r="AI3560" s="82"/>
      <c r="AJ3560" s="82"/>
      <c r="AK3560" s="82"/>
      <c r="AL3560" s="82"/>
      <c r="AM3560" s="82"/>
      <c r="AN3560" s="82"/>
      <c r="AO3560" s="82"/>
      <c r="AP3560" s="82"/>
      <c r="AQ3560" s="82"/>
      <c r="AR3560" s="82"/>
      <c r="AS3560" s="82"/>
      <c r="AT3560" s="82"/>
      <c r="AU3560" s="82"/>
      <c r="AV3560" s="82"/>
      <c r="AW3560" s="82" t="str">
        <f t="shared" si="1"/>
        <v/>
      </c>
      <c r="AX3560" s="83" t="str">
        <f t="array" ref="AX3560">IFERROR(DGET('SBV Import'!A:G,"SBV",{"RSC ID","Tier";B3560,A3560}))</f>
        <v/>
      </c>
      <c r="AY3560" s="82" t="str">
        <f t="shared" si="2"/>
        <v/>
      </c>
      <c r="AZ3560" s="82"/>
      <c r="BA3560" s="84" t="s">
        <v>152</v>
      </c>
      <c r="BB3560" s="84" t="str">
        <f>IFERROR(__xludf.DUMMYFUNCTION("iferror(if(A3560="""",,E3560&gt;=FILTER(Constants!$F$2:$F$10,Constants!$A$2:$A$10=A3560)))"),"")</f>
        <v/>
      </c>
    </row>
    <row r="3561">
      <c r="A3561" s="89"/>
      <c r="B3561" s="87"/>
      <c r="C3561" s="73"/>
      <c r="D3561" s="73"/>
      <c r="E3561" s="82"/>
      <c r="F3561" s="82"/>
      <c r="G3561" s="86"/>
      <c r="H3561" s="86"/>
      <c r="I3561" s="86"/>
      <c r="J3561" s="82"/>
      <c r="K3561" s="82"/>
      <c r="L3561" s="82"/>
      <c r="M3561" s="82"/>
      <c r="N3561" s="82"/>
      <c r="O3561" s="82"/>
      <c r="P3561" s="82"/>
      <c r="Q3561" s="82"/>
      <c r="R3561" s="82"/>
      <c r="S3561" s="82"/>
      <c r="T3561" s="82"/>
      <c r="U3561" s="82"/>
      <c r="V3561" s="82"/>
      <c r="W3561" s="82"/>
      <c r="X3561" s="82"/>
      <c r="Y3561" s="82"/>
      <c r="Z3561" s="82"/>
      <c r="AA3561" s="82"/>
      <c r="AB3561" s="82"/>
      <c r="AC3561" s="82"/>
      <c r="AD3561" s="82"/>
      <c r="AE3561" s="82"/>
      <c r="AF3561" s="82"/>
      <c r="AG3561" s="82"/>
      <c r="AH3561" s="82"/>
      <c r="AI3561" s="82"/>
      <c r="AJ3561" s="82"/>
      <c r="AK3561" s="82"/>
      <c r="AL3561" s="82"/>
      <c r="AM3561" s="82"/>
      <c r="AN3561" s="82"/>
      <c r="AO3561" s="82"/>
      <c r="AP3561" s="82"/>
      <c r="AQ3561" s="82"/>
      <c r="AR3561" s="82"/>
      <c r="AS3561" s="82"/>
      <c r="AT3561" s="82"/>
      <c r="AU3561" s="82"/>
      <c r="AV3561" s="82"/>
      <c r="AW3561" s="82" t="str">
        <f t="shared" si="1"/>
        <v/>
      </c>
      <c r="AX3561" s="83" t="str">
        <f t="array" ref="AX3561">IFERROR(DGET('SBV Import'!A:G,"SBV",{"RSC ID","Tier";B3561,A3561}))</f>
        <v/>
      </c>
      <c r="AY3561" s="82" t="str">
        <f t="shared" si="2"/>
        <v/>
      </c>
      <c r="AZ3561" s="82"/>
      <c r="BA3561" s="84" t="s">
        <v>152</v>
      </c>
      <c r="BB3561" s="84" t="str">
        <f>IFERROR(__xludf.DUMMYFUNCTION("iferror(if(A3561="""",,E3561&gt;=FILTER(Constants!$F$2:$F$10,Constants!$A$2:$A$10=A3561)))"),"")</f>
        <v/>
      </c>
    </row>
    <row r="3562">
      <c r="A3562" s="89"/>
      <c r="B3562" s="87"/>
      <c r="C3562" s="73"/>
      <c r="D3562" s="73"/>
      <c r="E3562" s="82"/>
      <c r="F3562" s="82"/>
      <c r="G3562" s="86"/>
      <c r="H3562" s="86"/>
      <c r="I3562" s="86"/>
      <c r="J3562" s="82"/>
      <c r="K3562" s="82"/>
      <c r="L3562" s="82"/>
      <c r="M3562" s="82"/>
      <c r="N3562" s="82"/>
      <c r="O3562" s="82"/>
      <c r="P3562" s="82"/>
      <c r="Q3562" s="82"/>
      <c r="R3562" s="82"/>
      <c r="S3562" s="82"/>
      <c r="T3562" s="82"/>
      <c r="U3562" s="82"/>
      <c r="V3562" s="82"/>
      <c r="W3562" s="82"/>
      <c r="X3562" s="82"/>
      <c r="Y3562" s="82"/>
      <c r="Z3562" s="82"/>
      <c r="AA3562" s="82"/>
      <c r="AB3562" s="82"/>
      <c r="AC3562" s="82"/>
      <c r="AD3562" s="82"/>
      <c r="AE3562" s="82"/>
      <c r="AF3562" s="82"/>
      <c r="AG3562" s="82"/>
      <c r="AH3562" s="82"/>
      <c r="AI3562" s="82"/>
      <c r="AJ3562" s="82"/>
      <c r="AK3562" s="82"/>
      <c r="AL3562" s="82"/>
      <c r="AM3562" s="82"/>
      <c r="AN3562" s="82"/>
      <c r="AO3562" s="82"/>
      <c r="AP3562" s="82"/>
      <c r="AQ3562" s="82"/>
      <c r="AR3562" s="82"/>
      <c r="AS3562" s="82"/>
      <c r="AT3562" s="82"/>
      <c r="AU3562" s="82"/>
      <c r="AV3562" s="82"/>
      <c r="AW3562" s="82" t="str">
        <f t="shared" si="1"/>
        <v/>
      </c>
      <c r="AX3562" s="83" t="str">
        <f t="array" ref="AX3562">IFERROR(DGET('SBV Import'!A:G,"SBV",{"RSC ID","Tier";B3562,A3562}))</f>
        <v/>
      </c>
      <c r="AY3562" s="82" t="str">
        <f t="shared" si="2"/>
        <v/>
      </c>
      <c r="AZ3562" s="82"/>
      <c r="BA3562" s="84" t="s">
        <v>152</v>
      </c>
      <c r="BB3562" s="84" t="str">
        <f>IFERROR(__xludf.DUMMYFUNCTION("iferror(if(A3562="""",,E3562&gt;=FILTER(Constants!$F$2:$F$10,Constants!$A$2:$A$10=A3562)))"),"")</f>
        <v/>
      </c>
    </row>
    <row r="3563">
      <c r="A3563" s="89"/>
      <c r="B3563" s="87"/>
      <c r="C3563" s="73"/>
      <c r="D3563" s="73"/>
      <c r="E3563" s="82"/>
      <c r="F3563" s="82"/>
      <c r="G3563" s="86"/>
      <c r="H3563" s="86"/>
      <c r="I3563" s="86"/>
      <c r="J3563" s="82"/>
      <c r="K3563" s="82"/>
      <c r="L3563" s="82"/>
      <c r="M3563" s="82"/>
      <c r="N3563" s="82"/>
      <c r="O3563" s="82"/>
      <c r="P3563" s="82"/>
      <c r="Q3563" s="82"/>
      <c r="R3563" s="82"/>
      <c r="S3563" s="82"/>
      <c r="T3563" s="82"/>
      <c r="U3563" s="82"/>
      <c r="V3563" s="82"/>
      <c r="W3563" s="82"/>
      <c r="X3563" s="82"/>
      <c r="Y3563" s="82"/>
      <c r="Z3563" s="82"/>
      <c r="AA3563" s="82"/>
      <c r="AB3563" s="82"/>
      <c r="AC3563" s="82"/>
      <c r="AD3563" s="82"/>
      <c r="AE3563" s="82"/>
      <c r="AF3563" s="82"/>
      <c r="AG3563" s="82"/>
      <c r="AH3563" s="82"/>
      <c r="AI3563" s="82"/>
      <c r="AJ3563" s="82"/>
      <c r="AK3563" s="82"/>
      <c r="AL3563" s="82"/>
      <c r="AM3563" s="82"/>
      <c r="AN3563" s="82"/>
      <c r="AO3563" s="82"/>
      <c r="AP3563" s="82"/>
      <c r="AQ3563" s="82"/>
      <c r="AR3563" s="82"/>
      <c r="AS3563" s="82"/>
      <c r="AT3563" s="82"/>
      <c r="AU3563" s="82"/>
      <c r="AV3563" s="82"/>
      <c r="AW3563" s="82" t="str">
        <f t="shared" si="1"/>
        <v/>
      </c>
      <c r="AX3563" s="83" t="str">
        <f t="array" ref="AX3563">IFERROR(DGET('SBV Import'!A:G,"SBV",{"RSC ID","Tier";B3563,A3563}))</f>
        <v/>
      </c>
      <c r="AY3563" s="82" t="str">
        <f t="shared" si="2"/>
        <v/>
      </c>
      <c r="AZ3563" s="82"/>
      <c r="BA3563" s="84" t="s">
        <v>152</v>
      </c>
      <c r="BB3563" s="84" t="str">
        <f>IFERROR(__xludf.DUMMYFUNCTION("iferror(if(A3563="""",,E3563&gt;=FILTER(Constants!$F$2:$F$10,Constants!$A$2:$A$10=A3563)))"),"")</f>
        <v/>
      </c>
    </row>
    <row r="3564">
      <c r="A3564" s="89"/>
      <c r="B3564" s="87"/>
      <c r="C3564" s="73"/>
      <c r="D3564" s="73"/>
      <c r="E3564" s="82"/>
      <c r="F3564" s="82"/>
      <c r="G3564" s="86"/>
      <c r="H3564" s="86"/>
      <c r="I3564" s="86"/>
      <c r="J3564" s="82"/>
      <c r="K3564" s="82"/>
      <c r="L3564" s="82"/>
      <c r="M3564" s="82"/>
      <c r="N3564" s="82"/>
      <c r="O3564" s="82"/>
      <c r="P3564" s="82"/>
      <c r="Q3564" s="82"/>
      <c r="R3564" s="82"/>
      <c r="S3564" s="82"/>
      <c r="T3564" s="82"/>
      <c r="U3564" s="82"/>
      <c r="V3564" s="82"/>
      <c r="W3564" s="82"/>
      <c r="X3564" s="82"/>
      <c r="Y3564" s="82"/>
      <c r="Z3564" s="82"/>
      <c r="AA3564" s="82"/>
      <c r="AB3564" s="82"/>
      <c r="AC3564" s="82"/>
      <c r="AD3564" s="82"/>
      <c r="AE3564" s="82"/>
      <c r="AF3564" s="82"/>
      <c r="AG3564" s="82"/>
      <c r="AH3564" s="82"/>
      <c r="AI3564" s="82"/>
      <c r="AJ3564" s="82"/>
      <c r="AK3564" s="82"/>
      <c r="AL3564" s="82"/>
      <c r="AM3564" s="82"/>
      <c r="AN3564" s="82"/>
      <c r="AO3564" s="82"/>
      <c r="AP3564" s="82"/>
      <c r="AQ3564" s="82"/>
      <c r="AR3564" s="82"/>
      <c r="AS3564" s="82"/>
      <c r="AT3564" s="82"/>
      <c r="AU3564" s="82"/>
      <c r="AV3564" s="82"/>
      <c r="AW3564" s="82" t="str">
        <f t="shared" si="1"/>
        <v/>
      </c>
      <c r="AX3564" s="83" t="str">
        <f t="array" ref="AX3564">IFERROR(DGET('SBV Import'!A:G,"SBV",{"RSC ID","Tier";B3564,A3564}))</f>
        <v/>
      </c>
      <c r="AY3564" s="82" t="str">
        <f t="shared" si="2"/>
        <v/>
      </c>
      <c r="AZ3564" s="82"/>
      <c r="BA3564" s="84" t="s">
        <v>152</v>
      </c>
      <c r="BB3564" s="84" t="str">
        <f>IFERROR(__xludf.DUMMYFUNCTION("iferror(if(A3564="""",,E3564&gt;=FILTER(Constants!$F$2:$F$10,Constants!$A$2:$A$10=A3564)))"),"")</f>
        <v/>
      </c>
    </row>
    <row r="3565">
      <c r="A3565" s="89"/>
      <c r="B3565" s="87"/>
      <c r="C3565" s="73"/>
      <c r="D3565" s="73"/>
      <c r="E3565" s="82"/>
      <c r="F3565" s="82"/>
      <c r="G3565" s="86"/>
      <c r="H3565" s="86"/>
      <c r="I3565" s="86"/>
      <c r="J3565" s="82"/>
      <c r="K3565" s="82"/>
      <c r="L3565" s="82"/>
      <c r="M3565" s="82"/>
      <c r="N3565" s="82"/>
      <c r="O3565" s="82"/>
      <c r="P3565" s="82"/>
      <c r="Q3565" s="82"/>
      <c r="R3565" s="82"/>
      <c r="S3565" s="82"/>
      <c r="T3565" s="82"/>
      <c r="U3565" s="82"/>
      <c r="V3565" s="82"/>
      <c r="W3565" s="82"/>
      <c r="X3565" s="82"/>
      <c r="Y3565" s="82"/>
      <c r="Z3565" s="82"/>
      <c r="AA3565" s="82"/>
      <c r="AB3565" s="82"/>
      <c r="AC3565" s="82"/>
      <c r="AD3565" s="82"/>
      <c r="AE3565" s="82"/>
      <c r="AF3565" s="82"/>
      <c r="AG3565" s="82"/>
      <c r="AH3565" s="82"/>
      <c r="AI3565" s="82"/>
      <c r="AJ3565" s="82"/>
      <c r="AK3565" s="82"/>
      <c r="AL3565" s="82"/>
      <c r="AM3565" s="82"/>
      <c r="AN3565" s="82"/>
      <c r="AO3565" s="82"/>
      <c r="AP3565" s="82"/>
      <c r="AQ3565" s="82"/>
      <c r="AR3565" s="82"/>
      <c r="AS3565" s="82"/>
      <c r="AT3565" s="82"/>
      <c r="AU3565" s="82"/>
      <c r="AV3565" s="82"/>
      <c r="AW3565" s="82" t="str">
        <f t="shared" si="1"/>
        <v/>
      </c>
      <c r="AX3565" s="83" t="str">
        <f t="array" ref="AX3565">IFERROR(DGET('SBV Import'!A:G,"SBV",{"RSC ID","Tier";B3565,A3565}))</f>
        <v/>
      </c>
      <c r="AY3565" s="82" t="str">
        <f t="shared" si="2"/>
        <v/>
      </c>
      <c r="AZ3565" s="82"/>
      <c r="BA3565" s="84" t="s">
        <v>152</v>
      </c>
      <c r="BB3565" s="84" t="str">
        <f>IFERROR(__xludf.DUMMYFUNCTION("iferror(if(A3565="""",,E3565&gt;=FILTER(Constants!$F$2:$F$10,Constants!$A$2:$A$10=A3565)))"),"")</f>
        <v/>
      </c>
    </row>
    <row r="3566">
      <c r="A3566" s="89"/>
      <c r="B3566" s="87"/>
      <c r="C3566" s="73"/>
      <c r="D3566" s="73"/>
      <c r="E3566" s="82"/>
      <c r="F3566" s="82"/>
      <c r="G3566" s="86"/>
      <c r="H3566" s="86"/>
      <c r="I3566" s="86"/>
      <c r="J3566" s="82"/>
      <c r="K3566" s="82"/>
      <c r="L3566" s="82"/>
      <c r="M3566" s="82"/>
      <c r="N3566" s="82"/>
      <c r="O3566" s="82"/>
      <c r="P3566" s="82"/>
      <c r="Q3566" s="82"/>
      <c r="R3566" s="82"/>
      <c r="S3566" s="82"/>
      <c r="T3566" s="82"/>
      <c r="U3566" s="82"/>
      <c r="V3566" s="82"/>
      <c r="W3566" s="82"/>
      <c r="X3566" s="82"/>
      <c r="Y3566" s="82"/>
      <c r="Z3566" s="82"/>
      <c r="AA3566" s="82"/>
      <c r="AB3566" s="82"/>
      <c r="AC3566" s="82"/>
      <c r="AD3566" s="82"/>
      <c r="AE3566" s="82"/>
      <c r="AF3566" s="82"/>
      <c r="AG3566" s="82"/>
      <c r="AH3566" s="82"/>
      <c r="AI3566" s="82"/>
      <c r="AJ3566" s="82"/>
      <c r="AK3566" s="82"/>
      <c r="AL3566" s="82"/>
      <c r="AM3566" s="82"/>
      <c r="AN3566" s="82"/>
      <c r="AO3566" s="82"/>
      <c r="AP3566" s="82"/>
      <c r="AQ3566" s="82"/>
      <c r="AR3566" s="82"/>
      <c r="AS3566" s="82"/>
      <c r="AT3566" s="82"/>
      <c r="AU3566" s="82"/>
      <c r="AV3566" s="82"/>
      <c r="AW3566" s="82" t="str">
        <f t="shared" si="1"/>
        <v/>
      </c>
      <c r="AX3566" s="83" t="str">
        <f t="array" ref="AX3566">IFERROR(DGET('SBV Import'!A:G,"SBV",{"RSC ID","Tier";B3566,A3566}))</f>
        <v/>
      </c>
      <c r="AY3566" s="82" t="str">
        <f t="shared" si="2"/>
        <v/>
      </c>
      <c r="AZ3566" s="82"/>
      <c r="BA3566" s="84" t="s">
        <v>152</v>
      </c>
      <c r="BB3566" s="84" t="str">
        <f>IFERROR(__xludf.DUMMYFUNCTION("iferror(if(A3566="""",,E3566&gt;=FILTER(Constants!$F$2:$F$10,Constants!$A$2:$A$10=A3566)))"),"")</f>
        <v/>
      </c>
    </row>
    <row r="3567">
      <c r="A3567" s="89"/>
      <c r="B3567" s="87"/>
      <c r="C3567" s="73"/>
      <c r="D3567" s="73"/>
      <c r="E3567" s="82"/>
      <c r="F3567" s="82"/>
      <c r="G3567" s="86"/>
      <c r="H3567" s="86"/>
      <c r="I3567" s="86"/>
      <c r="J3567" s="82"/>
      <c r="K3567" s="82"/>
      <c r="L3567" s="82"/>
      <c r="M3567" s="82"/>
      <c r="N3567" s="82"/>
      <c r="O3567" s="82"/>
      <c r="P3567" s="82"/>
      <c r="Q3567" s="82"/>
      <c r="R3567" s="82"/>
      <c r="S3567" s="82"/>
      <c r="T3567" s="82"/>
      <c r="U3567" s="82"/>
      <c r="V3567" s="82"/>
      <c r="W3567" s="82"/>
      <c r="X3567" s="82"/>
      <c r="Y3567" s="82"/>
      <c r="Z3567" s="82"/>
      <c r="AA3567" s="82"/>
      <c r="AB3567" s="82"/>
      <c r="AC3567" s="82"/>
      <c r="AD3567" s="82"/>
      <c r="AE3567" s="82"/>
      <c r="AF3567" s="82"/>
      <c r="AG3567" s="82"/>
      <c r="AH3567" s="82"/>
      <c r="AI3567" s="82"/>
      <c r="AJ3567" s="82"/>
      <c r="AK3567" s="82"/>
      <c r="AL3567" s="82"/>
      <c r="AM3567" s="82"/>
      <c r="AN3567" s="82"/>
      <c r="AO3567" s="82"/>
      <c r="AP3567" s="82"/>
      <c r="AQ3567" s="82"/>
      <c r="AR3567" s="82"/>
      <c r="AS3567" s="82"/>
      <c r="AT3567" s="82"/>
      <c r="AU3567" s="82"/>
      <c r="AV3567" s="82"/>
      <c r="AW3567" s="82" t="str">
        <f t="shared" si="1"/>
        <v/>
      </c>
      <c r="AX3567" s="83" t="str">
        <f t="array" ref="AX3567">IFERROR(DGET('SBV Import'!A:G,"SBV",{"RSC ID","Tier";B3567,A3567}))</f>
        <v/>
      </c>
      <c r="AY3567" s="82" t="str">
        <f t="shared" si="2"/>
        <v/>
      </c>
      <c r="AZ3567" s="82"/>
      <c r="BA3567" s="84" t="s">
        <v>152</v>
      </c>
      <c r="BB3567" s="84" t="str">
        <f>IFERROR(__xludf.DUMMYFUNCTION("iferror(if(A3567="""",,E3567&gt;=FILTER(Constants!$F$2:$F$10,Constants!$A$2:$A$10=A3567)))"),"")</f>
        <v/>
      </c>
    </row>
    <row r="3568">
      <c r="A3568" s="89"/>
      <c r="B3568" s="87"/>
      <c r="C3568" s="73"/>
      <c r="D3568" s="73"/>
      <c r="E3568" s="82"/>
      <c r="F3568" s="82"/>
      <c r="G3568" s="86"/>
      <c r="H3568" s="86"/>
      <c r="I3568" s="86"/>
      <c r="J3568" s="82"/>
      <c r="K3568" s="82"/>
      <c r="L3568" s="82"/>
      <c r="M3568" s="82"/>
      <c r="N3568" s="82"/>
      <c r="O3568" s="82"/>
      <c r="P3568" s="82"/>
      <c r="Q3568" s="82"/>
      <c r="R3568" s="82"/>
      <c r="S3568" s="82"/>
      <c r="T3568" s="82"/>
      <c r="U3568" s="82"/>
      <c r="V3568" s="82"/>
      <c r="W3568" s="82"/>
      <c r="X3568" s="82"/>
      <c r="Y3568" s="82"/>
      <c r="Z3568" s="82"/>
      <c r="AA3568" s="82"/>
      <c r="AB3568" s="82"/>
      <c r="AC3568" s="82"/>
      <c r="AD3568" s="82"/>
      <c r="AE3568" s="82"/>
      <c r="AF3568" s="82"/>
      <c r="AG3568" s="82"/>
      <c r="AH3568" s="82"/>
      <c r="AI3568" s="82"/>
      <c r="AJ3568" s="82"/>
      <c r="AK3568" s="82"/>
      <c r="AL3568" s="82"/>
      <c r="AM3568" s="82"/>
      <c r="AN3568" s="82"/>
      <c r="AO3568" s="82"/>
      <c r="AP3568" s="82"/>
      <c r="AQ3568" s="82"/>
      <c r="AR3568" s="82"/>
      <c r="AS3568" s="82"/>
      <c r="AT3568" s="82"/>
      <c r="AU3568" s="82"/>
      <c r="AV3568" s="82"/>
      <c r="AW3568" s="82" t="str">
        <f t="shared" si="1"/>
        <v/>
      </c>
      <c r="AX3568" s="83" t="str">
        <f t="array" ref="AX3568">IFERROR(DGET('SBV Import'!A:G,"SBV",{"RSC ID","Tier";B3568,A3568}))</f>
        <v/>
      </c>
      <c r="AY3568" s="82" t="str">
        <f t="shared" si="2"/>
        <v/>
      </c>
      <c r="AZ3568" s="82"/>
      <c r="BA3568" s="84" t="s">
        <v>152</v>
      </c>
      <c r="BB3568" s="84" t="str">
        <f>IFERROR(__xludf.DUMMYFUNCTION("iferror(if(A3568="""",,E3568&gt;=FILTER(Constants!$F$2:$F$10,Constants!$A$2:$A$10=A3568)))"),"")</f>
        <v/>
      </c>
    </row>
    <row r="3569">
      <c r="A3569" s="89"/>
      <c r="B3569" s="87"/>
      <c r="C3569" s="73"/>
      <c r="D3569" s="73"/>
      <c r="E3569" s="82"/>
      <c r="F3569" s="82"/>
      <c r="G3569" s="86"/>
      <c r="H3569" s="86"/>
      <c r="I3569" s="86"/>
      <c r="J3569" s="82"/>
      <c r="K3569" s="82"/>
      <c r="L3569" s="82"/>
      <c r="M3569" s="82"/>
      <c r="N3569" s="82"/>
      <c r="O3569" s="82"/>
      <c r="P3569" s="82"/>
      <c r="Q3569" s="82"/>
      <c r="R3569" s="82"/>
      <c r="S3569" s="82"/>
      <c r="T3569" s="82"/>
      <c r="U3569" s="82"/>
      <c r="V3569" s="82"/>
      <c r="W3569" s="82"/>
      <c r="X3569" s="82"/>
      <c r="Y3569" s="82"/>
      <c r="Z3569" s="82"/>
      <c r="AA3569" s="82"/>
      <c r="AB3569" s="82"/>
      <c r="AC3569" s="82"/>
      <c r="AD3569" s="82"/>
      <c r="AE3569" s="82"/>
      <c r="AF3569" s="82"/>
      <c r="AG3569" s="82"/>
      <c r="AH3569" s="82"/>
      <c r="AI3569" s="82"/>
      <c r="AJ3569" s="82"/>
      <c r="AK3569" s="82"/>
      <c r="AL3569" s="82"/>
      <c r="AM3569" s="82"/>
      <c r="AN3569" s="82"/>
      <c r="AO3569" s="82"/>
      <c r="AP3569" s="82"/>
      <c r="AQ3569" s="82"/>
      <c r="AR3569" s="82"/>
      <c r="AS3569" s="82"/>
      <c r="AT3569" s="82"/>
      <c r="AU3569" s="82"/>
      <c r="AV3569" s="82"/>
      <c r="AW3569" s="82" t="str">
        <f t="shared" si="1"/>
        <v/>
      </c>
      <c r="AX3569" s="83" t="str">
        <f t="array" ref="AX3569">IFERROR(DGET('SBV Import'!A:G,"SBV",{"RSC ID","Tier";B3569,A3569}))</f>
        <v/>
      </c>
      <c r="AY3569" s="82" t="str">
        <f t="shared" si="2"/>
        <v/>
      </c>
      <c r="AZ3569" s="82"/>
      <c r="BA3569" s="84" t="s">
        <v>152</v>
      </c>
      <c r="BB3569" s="84" t="str">
        <f>IFERROR(__xludf.DUMMYFUNCTION("iferror(if(A3569="""",,E3569&gt;=FILTER(Constants!$F$2:$F$10,Constants!$A$2:$A$10=A3569)))"),"")</f>
        <v/>
      </c>
    </row>
    <row r="3570">
      <c r="A3570" s="89"/>
      <c r="B3570" s="87"/>
      <c r="C3570" s="73"/>
      <c r="D3570" s="73"/>
      <c r="E3570" s="82"/>
      <c r="F3570" s="82"/>
      <c r="G3570" s="86"/>
      <c r="H3570" s="86"/>
      <c r="I3570" s="86"/>
      <c r="J3570" s="82"/>
      <c r="K3570" s="82"/>
      <c r="L3570" s="82"/>
      <c r="M3570" s="82"/>
      <c r="N3570" s="82"/>
      <c r="O3570" s="82"/>
      <c r="P3570" s="82"/>
      <c r="Q3570" s="82"/>
      <c r="R3570" s="82"/>
      <c r="S3570" s="82"/>
      <c r="T3570" s="82"/>
      <c r="U3570" s="82"/>
      <c r="V3570" s="82"/>
      <c r="W3570" s="82"/>
      <c r="X3570" s="82"/>
      <c r="Y3570" s="82"/>
      <c r="Z3570" s="82"/>
      <c r="AA3570" s="82"/>
      <c r="AB3570" s="82"/>
      <c r="AC3570" s="82"/>
      <c r="AD3570" s="82"/>
      <c r="AE3570" s="82"/>
      <c r="AF3570" s="82"/>
      <c r="AG3570" s="82"/>
      <c r="AH3570" s="82"/>
      <c r="AI3570" s="82"/>
      <c r="AJ3570" s="82"/>
      <c r="AK3570" s="82"/>
      <c r="AL3570" s="82"/>
      <c r="AM3570" s="82"/>
      <c r="AN3570" s="82"/>
      <c r="AO3570" s="82"/>
      <c r="AP3570" s="82"/>
      <c r="AQ3570" s="82"/>
      <c r="AR3570" s="82"/>
      <c r="AS3570" s="82"/>
      <c r="AT3570" s="82"/>
      <c r="AU3570" s="82"/>
      <c r="AV3570" s="82"/>
      <c r="AW3570" s="82" t="str">
        <f t="shared" si="1"/>
        <v/>
      </c>
      <c r="AX3570" s="83" t="str">
        <f t="array" ref="AX3570">IFERROR(DGET('SBV Import'!A:G,"SBV",{"RSC ID","Tier";B3570,A3570}))</f>
        <v/>
      </c>
      <c r="AY3570" s="82" t="str">
        <f t="shared" si="2"/>
        <v/>
      </c>
      <c r="AZ3570" s="82"/>
      <c r="BA3570" s="84" t="s">
        <v>152</v>
      </c>
      <c r="BB3570" s="84" t="str">
        <f>IFERROR(__xludf.DUMMYFUNCTION("iferror(if(A3570="""",,E3570&gt;=FILTER(Constants!$F$2:$F$10,Constants!$A$2:$A$10=A3570)))"),"")</f>
        <v/>
      </c>
    </row>
    <row r="3571">
      <c r="A3571" s="89"/>
      <c r="B3571" s="87"/>
      <c r="C3571" s="73"/>
      <c r="D3571" s="73"/>
      <c r="E3571" s="82"/>
      <c r="F3571" s="82"/>
      <c r="G3571" s="86"/>
      <c r="H3571" s="86"/>
      <c r="I3571" s="86"/>
      <c r="J3571" s="82"/>
      <c r="K3571" s="82"/>
      <c r="L3571" s="82"/>
      <c r="M3571" s="82"/>
      <c r="N3571" s="82"/>
      <c r="O3571" s="82"/>
      <c r="P3571" s="82"/>
      <c r="Q3571" s="82"/>
      <c r="R3571" s="82"/>
      <c r="S3571" s="82"/>
      <c r="T3571" s="82"/>
      <c r="U3571" s="82"/>
      <c r="V3571" s="82"/>
      <c r="W3571" s="82"/>
      <c r="X3571" s="82"/>
      <c r="Y3571" s="82"/>
      <c r="Z3571" s="82"/>
      <c r="AA3571" s="82"/>
      <c r="AB3571" s="82"/>
      <c r="AC3571" s="82"/>
      <c r="AD3571" s="82"/>
      <c r="AE3571" s="82"/>
      <c r="AF3571" s="82"/>
      <c r="AG3571" s="82"/>
      <c r="AH3571" s="82"/>
      <c r="AI3571" s="82"/>
      <c r="AJ3571" s="82"/>
      <c r="AK3571" s="82"/>
      <c r="AL3571" s="82"/>
      <c r="AM3571" s="82"/>
      <c r="AN3571" s="82"/>
      <c r="AO3571" s="82"/>
      <c r="AP3571" s="82"/>
      <c r="AQ3571" s="82"/>
      <c r="AR3571" s="82"/>
      <c r="AS3571" s="82"/>
      <c r="AT3571" s="82"/>
      <c r="AU3571" s="82"/>
      <c r="AV3571" s="82"/>
      <c r="AW3571" s="82" t="str">
        <f t="shared" si="1"/>
        <v/>
      </c>
      <c r="AX3571" s="83" t="str">
        <f t="array" ref="AX3571">IFERROR(DGET('SBV Import'!A:G,"SBV",{"RSC ID","Tier";B3571,A3571}))</f>
        <v/>
      </c>
      <c r="AY3571" s="82" t="str">
        <f t="shared" si="2"/>
        <v/>
      </c>
      <c r="AZ3571" s="82"/>
      <c r="BA3571" s="84" t="s">
        <v>152</v>
      </c>
      <c r="BB3571" s="84" t="str">
        <f>IFERROR(__xludf.DUMMYFUNCTION("iferror(if(A3571="""",,E3571&gt;=FILTER(Constants!$F$2:$F$10,Constants!$A$2:$A$10=A3571)))"),"")</f>
        <v/>
      </c>
    </row>
    <row r="3572">
      <c r="A3572" s="89"/>
      <c r="B3572" s="87"/>
      <c r="C3572" s="73"/>
      <c r="D3572" s="73"/>
      <c r="E3572" s="82"/>
      <c r="F3572" s="82"/>
      <c r="G3572" s="86"/>
      <c r="H3572" s="86"/>
      <c r="I3572" s="86"/>
      <c r="J3572" s="82"/>
      <c r="K3572" s="82"/>
      <c r="L3572" s="82"/>
      <c r="M3572" s="82"/>
      <c r="N3572" s="82"/>
      <c r="O3572" s="82"/>
      <c r="P3572" s="82"/>
      <c r="Q3572" s="82"/>
      <c r="R3572" s="82"/>
      <c r="S3572" s="82"/>
      <c r="T3572" s="82"/>
      <c r="U3572" s="82"/>
      <c r="V3572" s="82"/>
      <c r="W3572" s="82"/>
      <c r="X3572" s="82"/>
      <c r="Y3572" s="82"/>
      <c r="Z3572" s="82"/>
      <c r="AA3572" s="82"/>
      <c r="AB3572" s="82"/>
      <c r="AC3572" s="82"/>
      <c r="AD3572" s="82"/>
      <c r="AE3572" s="82"/>
      <c r="AF3572" s="82"/>
      <c r="AG3572" s="82"/>
      <c r="AH3572" s="82"/>
      <c r="AI3572" s="82"/>
      <c r="AJ3572" s="82"/>
      <c r="AK3572" s="82"/>
      <c r="AL3572" s="82"/>
      <c r="AM3572" s="82"/>
      <c r="AN3572" s="82"/>
      <c r="AO3572" s="82"/>
      <c r="AP3572" s="82"/>
      <c r="AQ3572" s="82"/>
      <c r="AR3572" s="82"/>
      <c r="AS3572" s="82"/>
      <c r="AT3572" s="82"/>
      <c r="AU3572" s="82"/>
      <c r="AV3572" s="82"/>
      <c r="AW3572" s="82" t="str">
        <f t="shared" si="1"/>
        <v/>
      </c>
      <c r="AX3572" s="83" t="str">
        <f t="array" ref="AX3572">IFERROR(DGET('SBV Import'!A:G,"SBV",{"RSC ID","Tier";B3572,A3572}))</f>
        <v/>
      </c>
      <c r="AY3572" s="82" t="str">
        <f t="shared" si="2"/>
        <v/>
      </c>
      <c r="AZ3572" s="82"/>
      <c r="BA3572" s="84" t="s">
        <v>152</v>
      </c>
      <c r="BB3572" s="84" t="str">
        <f>IFERROR(__xludf.DUMMYFUNCTION("iferror(if(A3572="""",,E3572&gt;=FILTER(Constants!$F$2:$F$10,Constants!$A$2:$A$10=A3572)))"),"")</f>
        <v/>
      </c>
    </row>
    <row r="3573">
      <c r="A3573" s="89"/>
      <c r="B3573" s="87"/>
      <c r="C3573" s="73"/>
      <c r="D3573" s="73"/>
      <c r="E3573" s="82"/>
      <c r="F3573" s="82"/>
      <c r="G3573" s="86"/>
      <c r="H3573" s="86"/>
      <c r="I3573" s="86"/>
      <c r="J3573" s="82"/>
      <c r="K3573" s="82"/>
      <c r="L3573" s="82"/>
      <c r="M3573" s="82"/>
      <c r="N3573" s="82"/>
      <c r="O3573" s="82"/>
      <c r="P3573" s="82"/>
      <c r="Q3573" s="82"/>
      <c r="R3573" s="82"/>
      <c r="S3573" s="82"/>
      <c r="T3573" s="82"/>
      <c r="U3573" s="82"/>
      <c r="V3573" s="82"/>
      <c r="W3573" s="82"/>
      <c r="X3573" s="82"/>
      <c r="Y3573" s="82"/>
      <c r="Z3573" s="82"/>
      <c r="AA3573" s="82"/>
      <c r="AB3573" s="82"/>
      <c r="AC3573" s="82"/>
      <c r="AD3573" s="82"/>
      <c r="AE3573" s="82"/>
      <c r="AF3573" s="82"/>
      <c r="AG3573" s="82"/>
      <c r="AH3573" s="82"/>
      <c r="AI3573" s="82"/>
      <c r="AJ3573" s="82"/>
      <c r="AK3573" s="82"/>
      <c r="AL3573" s="82"/>
      <c r="AM3573" s="82"/>
      <c r="AN3573" s="82"/>
      <c r="AO3573" s="82"/>
      <c r="AP3573" s="82"/>
      <c r="AQ3573" s="82"/>
      <c r="AR3573" s="82"/>
      <c r="AS3573" s="82"/>
      <c r="AT3573" s="82"/>
      <c r="AU3573" s="82"/>
      <c r="AV3573" s="82"/>
      <c r="AW3573" s="82" t="str">
        <f t="shared" si="1"/>
        <v/>
      </c>
      <c r="AX3573" s="83" t="str">
        <f t="array" ref="AX3573">IFERROR(DGET('SBV Import'!A:G,"SBV",{"RSC ID","Tier";B3573,A3573}))</f>
        <v/>
      </c>
      <c r="AY3573" s="82" t="str">
        <f t="shared" si="2"/>
        <v/>
      </c>
      <c r="AZ3573" s="82"/>
      <c r="BA3573" s="84" t="s">
        <v>152</v>
      </c>
      <c r="BB3573" s="84" t="str">
        <f>IFERROR(__xludf.DUMMYFUNCTION("iferror(if(A3573="""",,E3573&gt;=FILTER(Constants!$F$2:$F$10,Constants!$A$2:$A$10=A3573)))"),"")</f>
        <v/>
      </c>
    </row>
    <row r="3574">
      <c r="A3574" s="89"/>
      <c r="B3574" s="87"/>
      <c r="C3574" s="73"/>
      <c r="D3574" s="73"/>
      <c r="E3574" s="82"/>
      <c r="F3574" s="82"/>
      <c r="G3574" s="86"/>
      <c r="H3574" s="86"/>
      <c r="I3574" s="86"/>
      <c r="J3574" s="82"/>
      <c r="K3574" s="82"/>
      <c r="L3574" s="82"/>
      <c r="M3574" s="82"/>
      <c r="N3574" s="82"/>
      <c r="O3574" s="82"/>
      <c r="P3574" s="82"/>
      <c r="Q3574" s="82"/>
      <c r="R3574" s="82"/>
      <c r="S3574" s="82"/>
      <c r="T3574" s="82"/>
      <c r="U3574" s="82"/>
      <c r="V3574" s="82"/>
      <c r="W3574" s="82"/>
      <c r="X3574" s="82"/>
      <c r="Y3574" s="82"/>
      <c r="Z3574" s="82"/>
      <c r="AA3574" s="82"/>
      <c r="AB3574" s="82"/>
      <c r="AC3574" s="82"/>
      <c r="AD3574" s="82"/>
      <c r="AE3574" s="82"/>
      <c r="AF3574" s="82"/>
      <c r="AG3574" s="82"/>
      <c r="AH3574" s="82"/>
      <c r="AI3574" s="82"/>
      <c r="AJ3574" s="82"/>
      <c r="AK3574" s="82"/>
      <c r="AL3574" s="82"/>
      <c r="AM3574" s="82"/>
      <c r="AN3574" s="82"/>
      <c r="AO3574" s="82"/>
      <c r="AP3574" s="82"/>
      <c r="AQ3574" s="82"/>
      <c r="AR3574" s="82"/>
      <c r="AS3574" s="82"/>
      <c r="AT3574" s="82"/>
      <c r="AU3574" s="82"/>
      <c r="AV3574" s="82"/>
      <c r="AW3574" s="82" t="str">
        <f t="shared" si="1"/>
        <v/>
      </c>
      <c r="AX3574" s="83" t="str">
        <f t="array" ref="AX3574">IFERROR(DGET('SBV Import'!A:G,"SBV",{"RSC ID","Tier";B3574,A3574}))</f>
        <v/>
      </c>
      <c r="AY3574" s="82" t="str">
        <f t="shared" si="2"/>
        <v/>
      </c>
      <c r="AZ3574" s="82"/>
      <c r="BA3574" s="84" t="s">
        <v>152</v>
      </c>
      <c r="BB3574" s="84" t="str">
        <f>IFERROR(__xludf.DUMMYFUNCTION("iferror(if(A3574="""",,E3574&gt;=FILTER(Constants!$F$2:$F$10,Constants!$A$2:$A$10=A3574)))"),"")</f>
        <v/>
      </c>
    </row>
    <row r="3575">
      <c r="A3575" s="89"/>
      <c r="B3575" s="87"/>
      <c r="C3575" s="73"/>
      <c r="D3575" s="73"/>
      <c r="E3575" s="82"/>
      <c r="F3575" s="82"/>
      <c r="G3575" s="86"/>
      <c r="H3575" s="86"/>
      <c r="I3575" s="86"/>
      <c r="J3575" s="82"/>
      <c r="K3575" s="82"/>
      <c r="L3575" s="82"/>
      <c r="M3575" s="82"/>
      <c r="N3575" s="82"/>
      <c r="O3575" s="82"/>
      <c r="P3575" s="82"/>
      <c r="Q3575" s="82"/>
      <c r="R3575" s="82"/>
      <c r="S3575" s="82"/>
      <c r="T3575" s="82"/>
      <c r="U3575" s="82"/>
      <c r="V3575" s="82"/>
      <c r="W3575" s="82"/>
      <c r="X3575" s="82"/>
      <c r="Y3575" s="82"/>
      <c r="Z3575" s="82"/>
      <c r="AA3575" s="82"/>
      <c r="AB3575" s="82"/>
      <c r="AC3575" s="82"/>
      <c r="AD3575" s="82"/>
      <c r="AE3575" s="82"/>
      <c r="AF3575" s="82"/>
      <c r="AG3575" s="82"/>
      <c r="AH3575" s="82"/>
      <c r="AI3575" s="82"/>
      <c r="AJ3575" s="82"/>
      <c r="AK3575" s="82"/>
      <c r="AL3575" s="82"/>
      <c r="AM3575" s="82"/>
      <c r="AN3575" s="82"/>
      <c r="AO3575" s="82"/>
      <c r="AP3575" s="82"/>
      <c r="AQ3575" s="82"/>
      <c r="AR3575" s="82"/>
      <c r="AS3575" s="82"/>
      <c r="AT3575" s="82"/>
      <c r="AU3575" s="82"/>
      <c r="AV3575" s="82"/>
      <c r="AW3575" s="82" t="str">
        <f t="shared" si="1"/>
        <v/>
      </c>
      <c r="AX3575" s="83" t="str">
        <f t="array" ref="AX3575">IFERROR(DGET('SBV Import'!A:G,"SBV",{"RSC ID","Tier";B3575,A3575}))</f>
        <v/>
      </c>
      <c r="AY3575" s="82" t="str">
        <f t="shared" si="2"/>
        <v/>
      </c>
      <c r="AZ3575" s="82"/>
      <c r="BA3575" s="84" t="s">
        <v>152</v>
      </c>
      <c r="BB3575" s="84" t="str">
        <f>IFERROR(__xludf.DUMMYFUNCTION("iferror(if(A3575="""",,E3575&gt;=FILTER(Constants!$F$2:$F$10,Constants!$A$2:$A$10=A3575)))"),"")</f>
        <v/>
      </c>
    </row>
    <row r="3576">
      <c r="A3576" s="89"/>
      <c r="B3576" s="87"/>
      <c r="C3576" s="73"/>
      <c r="D3576" s="73"/>
      <c r="E3576" s="82"/>
      <c r="F3576" s="82"/>
      <c r="G3576" s="86"/>
      <c r="H3576" s="86"/>
      <c r="I3576" s="86"/>
      <c r="J3576" s="82"/>
      <c r="K3576" s="82"/>
      <c r="L3576" s="82"/>
      <c r="M3576" s="82"/>
      <c r="N3576" s="82"/>
      <c r="O3576" s="82"/>
      <c r="P3576" s="82"/>
      <c r="Q3576" s="82"/>
      <c r="R3576" s="82"/>
      <c r="S3576" s="82"/>
      <c r="T3576" s="82"/>
      <c r="U3576" s="82"/>
      <c r="V3576" s="82"/>
      <c r="W3576" s="82"/>
      <c r="X3576" s="82"/>
      <c r="Y3576" s="82"/>
      <c r="Z3576" s="82"/>
      <c r="AA3576" s="82"/>
      <c r="AB3576" s="82"/>
      <c r="AC3576" s="82"/>
      <c r="AD3576" s="82"/>
      <c r="AE3576" s="82"/>
      <c r="AF3576" s="82"/>
      <c r="AG3576" s="82"/>
      <c r="AH3576" s="82"/>
      <c r="AI3576" s="82"/>
      <c r="AJ3576" s="82"/>
      <c r="AK3576" s="82"/>
      <c r="AL3576" s="82"/>
      <c r="AM3576" s="82"/>
      <c r="AN3576" s="82"/>
      <c r="AO3576" s="82"/>
      <c r="AP3576" s="82"/>
      <c r="AQ3576" s="82"/>
      <c r="AR3576" s="82"/>
      <c r="AS3576" s="82"/>
      <c r="AT3576" s="82"/>
      <c r="AU3576" s="82"/>
      <c r="AV3576" s="82"/>
      <c r="AW3576" s="82" t="str">
        <f t="shared" si="1"/>
        <v/>
      </c>
      <c r="AX3576" s="83" t="str">
        <f t="array" ref="AX3576">IFERROR(DGET('SBV Import'!A:G,"SBV",{"RSC ID","Tier";B3576,A3576}))</f>
        <v/>
      </c>
      <c r="AY3576" s="82" t="str">
        <f t="shared" si="2"/>
        <v/>
      </c>
      <c r="AZ3576" s="82"/>
      <c r="BA3576" s="84" t="s">
        <v>152</v>
      </c>
      <c r="BB3576" s="84" t="str">
        <f>IFERROR(__xludf.DUMMYFUNCTION("iferror(if(A3576="""",,E3576&gt;=FILTER(Constants!$F$2:$F$10,Constants!$A$2:$A$10=A3576)))"),"")</f>
        <v/>
      </c>
    </row>
    <row r="3577">
      <c r="A3577" s="89"/>
      <c r="B3577" s="87"/>
      <c r="C3577" s="73"/>
      <c r="D3577" s="73"/>
      <c r="E3577" s="82"/>
      <c r="F3577" s="82"/>
      <c r="G3577" s="86"/>
      <c r="H3577" s="86"/>
      <c r="I3577" s="86"/>
      <c r="J3577" s="82"/>
      <c r="K3577" s="82"/>
      <c r="L3577" s="82"/>
      <c r="M3577" s="82"/>
      <c r="N3577" s="82"/>
      <c r="O3577" s="82"/>
      <c r="P3577" s="82"/>
      <c r="Q3577" s="82"/>
      <c r="R3577" s="82"/>
      <c r="S3577" s="82"/>
      <c r="T3577" s="82"/>
      <c r="U3577" s="82"/>
      <c r="V3577" s="82"/>
      <c r="W3577" s="82"/>
      <c r="X3577" s="82"/>
      <c r="Y3577" s="82"/>
      <c r="Z3577" s="82"/>
      <c r="AA3577" s="82"/>
      <c r="AB3577" s="82"/>
      <c r="AC3577" s="82"/>
      <c r="AD3577" s="82"/>
      <c r="AE3577" s="82"/>
      <c r="AF3577" s="82"/>
      <c r="AG3577" s="82"/>
      <c r="AH3577" s="82"/>
      <c r="AI3577" s="82"/>
      <c r="AJ3577" s="82"/>
      <c r="AK3577" s="82"/>
      <c r="AL3577" s="82"/>
      <c r="AM3577" s="82"/>
      <c r="AN3577" s="82"/>
      <c r="AO3577" s="82"/>
      <c r="AP3577" s="82"/>
      <c r="AQ3577" s="82"/>
      <c r="AR3577" s="82"/>
      <c r="AS3577" s="82"/>
      <c r="AT3577" s="82"/>
      <c r="AU3577" s="82"/>
      <c r="AV3577" s="82"/>
      <c r="AW3577" s="82" t="str">
        <f t="shared" si="1"/>
        <v/>
      </c>
      <c r="AX3577" s="83" t="str">
        <f t="array" ref="AX3577">IFERROR(DGET('SBV Import'!A:G,"SBV",{"RSC ID","Tier";B3577,A3577}))</f>
        <v/>
      </c>
      <c r="AY3577" s="82" t="str">
        <f t="shared" si="2"/>
        <v/>
      </c>
      <c r="AZ3577" s="82"/>
      <c r="BA3577" s="84" t="s">
        <v>152</v>
      </c>
      <c r="BB3577" s="84" t="str">
        <f>IFERROR(__xludf.DUMMYFUNCTION("iferror(if(A3577="""",,E3577&gt;=FILTER(Constants!$F$2:$F$10,Constants!$A$2:$A$10=A3577)))"),"")</f>
        <v/>
      </c>
    </row>
    <row r="3578">
      <c r="A3578" s="89"/>
      <c r="B3578" s="87"/>
      <c r="C3578" s="73"/>
      <c r="D3578" s="73"/>
      <c r="E3578" s="82"/>
      <c r="F3578" s="82"/>
      <c r="G3578" s="86"/>
      <c r="H3578" s="86"/>
      <c r="I3578" s="86"/>
      <c r="J3578" s="82"/>
      <c r="K3578" s="82"/>
      <c r="L3578" s="82"/>
      <c r="M3578" s="82"/>
      <c r="N3578" s="82"/>
      <c r="O3578" s="82"/>
      <c r="P3578" s="82"/>
      <c r="Q3578" s="82"/>
      <c r="R3578" s="82"/>
      <c r="S3578" s="82"/>
      <c r="T3578" s="82"/>
      <c r="U3578" s="82"/>
      <c r="V3578" s="82"/>
      <c r="W3578" s="82"/>
      <c r="X3578" s="82"/>
      <c r="Y3578" s="82"/>
      <c r="Z3578" s="82"/>
      <c r="AA3578" s="82"/>
      <c r="AB3578" s="82"/>
      <c r="AC3578" s="82"/>
      <c r="AD3578" s="82"/>
      <c r="AE3578" s="82"/>
      <c r="AF3578" s="82"/>
      <c r="AG3578" s="82"/>
      <c r="AH3578" s="82"/>
      <c r="AI3578" s="82"/>
      <c r="AJ3578" s="82"/>
      <c r="AK3578" s="82"/>
      <c r="AL3578" s="82"/>
      <c r="AM3578" s="82"/>
      <c r="AN3578" s="82"/>
      <c r="AO3578" s="82"/>
      <c r="AP3578" s="82"/>
      <c r="AQ3578" s="82"/>
      <c r="AR3578" s="82"/>
      <c r="AS3578" s="82"/>
      <c r="AT3578" s="82"/>
      <c r="AU3578" s="82"/>
      <c r="AV3578" s="82"/>
      <c r="AW3578" s="82" t="str">
        <f t="shared" si="1"/>
        <v/>
      </c>
      <c r="AX3578" s="83" t="str">
        <f t="array" ref="AX3578">IFERROR(DGET('SBV Import'!A:G,"SBV",{"RSC ID","Tier";B3578,A3578}))</f>
        <v/>
      </c>
      <c r="AY3578" s="82" t="str">
        <f t="shared" si="2"/>
        <v/>
      </c>
      <c r="AZ3578" s="82"/>
      <c r="BA3578" s="84" t="s">
        <v>152</v>
      </c>
      <c r="BB3578" s="84" t="str">
        <f>IFERROR(__xludf.DUMMYFUNCTION("iferror(if(A3578="""",,E3578&gt;=FILTER(Constants!$F$2:$F$10,Constants!$A$2:$A$10=A3578)))"),"")</f>
        <v/>
      </c>
    </row>
    <row r="3579">
      <c r="A3579" s="89"/>
      <c r="B3579" s="87"/>
      <c r="C3579" s="73"/>
      <c r="D3579" s="73"/>
      <c r="E3579" s="82"/>
      <c r="F3579" s="82"/>
      <c r="G3579" s="86"/>
      <c r="H3579" s="86"/>
      <c r="I3579" s="86"/>
      <c r="J3579" s="82"/>
      <c r="K3579" s="82"/>
      <c r="L3579" s="82"/>
      <c r="M3579" s="82"/>
      <c r="N3579" s="82"/>
      <c r="O3579" s="82"/>
      <c r="P3579" s="82"/>
      <c r="Q3579" s="82"/>
      <c r="R3579" s="82"/>
      <c r="S3579" s="82"/>
      <c r="T3579" s="82"/>
      <c r="U3579" s="82"/>
      <c r="V3579" s="82"/>
      <c r="W3579" s="82"/>
      <c r="X3579" s="82"/>
      <c r="Y3579" s="82"/>
      <c r="Z3579" s="82"/>
      <c r="AA3579" s="82"/>
      <c r="AB3579" s="82"/>
      <c r="AC3579" s="82"/>
      <c r="AD3579" s="82"/>
      <c r="AE3579" s="82"/>
      <c r="AF3579" s="82"/>
      <c r="AG3579" s="82"/>
      <c r="AH3579" s="82"/>
      <c r="AI3579" s="82"/>
      <c r="AJ3579" s="82"/>
      <c r="AK3579" s="82"/>
      <c r="AL3579" s="82"/>
      <c r="AM3579" s="82"/>
      <c r="AN3579" s="82"/>
      <c r="AO3579" s="82"/>
      <c r="AP3579" s="82"/>
      <c r="AQ3579" s="82"/>
      <c r="AR3579" s="82"/>
      <c r="AS3579" s="82"/>
      <c r="AT3579" s="82"/>
      <c r="AU3579" s="82"/>
      <c r="AV3579" s="82"/>
      <c r="AW3579" s="82" t="str">
        <f t="shared" si="1"/>
        <v/>
      </c>
      <c r="AX3579" s="83" t="str">
        <f t="array" ref="AX3579">IFERROR(DGET('SBV Import'!A:G,"SBV",{"RSC ID","Tier";B3579,A3579}))</f>
        <v/>
      </c>
      <c r="AY3579" s="82" t="str">
        <f t="shared" si="2"/>
        <v/>
      </c>
      <c r="AZ3579" s="82"/>
      <c r="BA3579" s="84" t="s">
        <v>152</v>
      </c>
      <c r="BB3579" s="84" t="str">
        <f>IFERROR(__xludf.DUMMYFUNCTION("iferror(if(A3579="""",,E3579&gt;=FILTER(Constants!$F$2:$F$10,Constants!$A$2:$A$10=A3579)))"),"")</f>
        <v/>
      </c>
    </row>
    <row r="3580">
      <c r="A3580" s="89"/>
      <c r="B3580" s="87"/>
      <c r="C3580" s="73"/>
      <c r="D3580" s="73"/>
      <c r="E3580" s="82"/>
      <c r="F3580" s="82"/>
      <c r="G3580" s="86"/>
      <c r="H3580" s="86"/>
      <c r="I3580" s="86"/>
      <c r="J3580" s="82"/>
      <c r="K3580" s="82"/>
      <c r="L3580" s="82"/>
      <c r="M3580" s="82"/>
      <c r="N3580" s="82"/>
      <c r="O3580" s="82"/>
      <c r="P3580" s="82"/>
      <c r="Q3580" s="82"/>
      <c r="R3580" s="82"/>
      <c r="S3580" s="82"/>
      <c r="T3580" s="82"/>
      <c r="U3580" s="82"/>
      <c r="V3580" s="82"/>
      <c r="W3580" s="82"/>
      <c r="X3580" s="82"/>
      <c r="Y3580" s="82"/>
      <c r="Z3580" s="82"/>
      <c r="AA3580" s="82"/>
      <c r="AB3580" s="82"/>
      <c r="AC3580" s="82"/>
      <c r="AD3580" s="82"/>
      <c r="AE3580" s="82"/>
      <c r="AF3580" s="82"/>
      <c r="AG3580" s="82"/>
      <c r="AH3580" s="82"/>
      <c r="AI3580" s="82"/>
      <c r="AJ3580" s="82"/>
      <c r="AK3580" s="82"/>
      <c r="AL3580" s="82"/>
      <c r="AM3580" s="82"/>
      <c r="AN3580" s="82"/>
      <c r="AO3580" s="82"/>
      <c r="AP3580" s="82"/>
      <c r="AQ3580" s="82"/>
      <c r="AR3580" s="82"/>
      <c r="AS3580" s="82"/>
      <c r="AT3580" s="82"/>
      <c r="AU3580" s="82"/>
      <c r="AV3580" s="82"/>
      <c r="AW3580" s="82" t="str">
        <f t="shared" si="1"/>
        <v/>
      </c>
      <c r="AX3580" s="83" t="str">
        <f t="array" ref="AX3580">IFERROR(DGET('SBV Import'!A:G,"SBV",{"RSC ID","Tier";B3580,A3580}))</f>
        <v/>
      </c>
      <c r="AY3580" s="82" t="str">
        <f t="shared" si="2"/>
        <v/>
      </c>
      <c r="AZ3580" s="82"/>
      <c r="BA3580" s="84" t="s">
        <v>152</v>
      </c>
      <c r="BB3580" s="84" t="str">
        <f>IFERROR(__xludf.DUMMYFUNCTION("iferror(if(A3580="""",,E3580&gt;=FILTER(Constants!$F$2:$F$10,Constants!$A$2:$A$10=A3580)))"),"")</f>
        <v/>
      </c>
    </row>
    <row r="3581">
      <c r="A3581" s="89"/>
      <c r="B3581" s="87"/>
      <c r="C3581" s="73"/>
      <c r="D3581" s="73"/>
      <c r="E3581" s="82"/>
      <c r="F3581" s="82"/>
      <c r="G3581" s="86"/>
      <c r="H3581" s="86"/>
      <c r="I3581" s="86"/>
      <c r="J3581" s="82"/>
      <c r="K3581" s="82"/>
      <c r="L3581" s="82"/>
      <c r="M3581" s="82"/>
      <c r="N3581" s="82"/>
      <c r="O3581" s="82"/>
      <c r="P3581" s="82"/>
      <c r="Q3581" s="82"/>
      <c r="R3581" s="82"/>
      <c r="S3581" s="82"/>
      <c r="T3581" s="82"/>
      <c r="U3581" s="82"/>
      <c r="V3581" s="82"/>
      <c r="W3581" s="82"/>
      <c r="X3581" s="82"/>
      <c r="Y3581" s="82"/>
      <c r="Z3581" s="82"/>
      <c r="AA3581" s="82"/>
      <c r="AB3581" s="82"/>
      <c r="AC3581" s="82"/>
      <c r="AD3581" s="82"/>
      <c r="AE3581" s="82"/>
      <c r="AF3581" s="82"/>
      <c r="AG3581" s="82"/>
      <c r="AH3581" s="82"/>
      <c r="AI3581" s="82"/>
      <c r="AJ3581" s="82"/>
      <c r="AK3581" s="82"/>
      <c r="AL3581" s="82"/>
      <c r="AM3581" s="82"/>
      <c r="AN3581" s="82"/>
      <c r="AO3581" s="82"/>
      <c r="AP3581" s="82"/>
      <c r="AQ3581" s="82"/>
      <c r="AR3581" s="82"/>
      <c r="AS3581" s="82"/>
      <c r="AT3581" s="82"/>
      <c r="AU3581" s="82"/>
      <c r="AV3581" s="82"/>
      <c r="AW3581" s="82" t="str">
        <f t="shared" si="1"/>
        <v/>
      </c>
      <c r="AX3581" s="83" t="str">
        <f t="array" ref="AX3581">IFERROR(DGET('SBV Import'!A:G,"SBV",{"RSC ID","Tier";B3581,A3581}))</f>
        <v/>
      </c>
      <c r="AY3581" s="82" t="str">
        <f t="shared" si="2"/>
        <v/>
      </c>
      <c r="AZ3581" s="82"/>
      <c r="BA3581" s="84" t="s">
        <v>152</v>
      </c>
      <c r="BB3581" s="84" t="str">
        <f>IFERROR(__xludf.DUMMYFUNCTION("iferror(if(A3581="""",,E3581&gt;=FILTER(Constants!$F$2:$F$10,Constants!$A$2:$A$10=A3581)))"),"")</f>
        <v/>
      </c>
    </row>
    <row r="3582">
      <c r="A3582" s="89"/>
      <c r="B3582" s="87"/>
      <c r="C3582" s="73"/>
      <c r="D3582" s="73"/>
      <c r="E3582" s="82"/>
      <c r="F3582" s="82"/>
      <c r="G3582" s="86"/>
      <c r="H3582" s="86"/>
      <c r="I3582" s="86"/>
      <c r="J3582" s="82"/>
      <c r="K3582" s="82"/>
      <c r="L3582" s="82"/>
      <c r="M3582" s="82"/>
      <c r="N3582" s="82"/>
      <c r="O3582" s="82"/>
      <c r="P3582" s="82"/>
      <c r="Q3582" s="82"/>
      <c r="R3582" s="82"/>
      <c r="S3582" s="82"/>
      <c r="T3582" s="82"/>
      <c r="U3582" s="82"/>
      <c r="V3582" s="82"/>
      <c r="W3582" s="82"/>
      <c r="X3582" s="82"/>
      <c r="Y3582" s="82"/>
      <c r="Z3582" s="82"/>
      <c r="AA3582" s="82"/>
      <c r="AB3582" s="82"/>
      <c r="AC3582" s="82"/>
      <c r="AD3582" s="82"/>
      <c r="AE3582" s="82"/>
      <c r="AF3582" s="82"/>
      <c r="AG3582" s="82"/>
      <c r="AH3582" s="82"/>
      <c r="AI3582" s="82"/>
      <c r="AJ3582" s="82"/>
      <c r="AK3582" s="82"/>
      <c r="AL3582" s="82"/>
      <c r="AM3582" s="82"/>
      <c r="AN3582" s="82"/>
      <c r="AO3582" s="82"/>
      <c r="AP3582" s="82"/>
      <c r="AQ3582" s="82"/>
      <c r="AR3582" s="82"/>
      <c r="AS3582" s="82"/>
      <c r="AT3582" s="82"/>
      <c r="AU3582" s="82"/>
      <c r="AV3582" s="82"/>
      <c r="AW3582" s="82" t="str">
        <f t="shared" si="1"/>
        <v/>
      </c>
      <c r="AX3582" s="83" t="str">
        <f t="array" ref="AX3582">IFERROR(DGET('SBV Import'!A:G,"SBV",{"RSC ID","Tier";B3582,A3582}))</f>
        <v/>
      </c>
      <c r="AY3582" s="82" t="str">
        <f t="shared" si="2"/>
        <v/>
      </c>
      <c r="AZ3582" s="82"/>
      <c r="BA3582" s="84" t="s">
        <v>152</v>
      </c>
      <c r="BB3582" s="84" t="str">
        <f>IFERROR(__xludf.DUMMYFUNCTION("iferror(if(A3582="""",,E3582&gt;=FILTER(Constants!$F$2:$F$10,Constants!$A$2:$A$10=A3582)))"),"")</f>
        <v/>
      </c>
    </row>
    <row r="3583">
      <c r="A3583" s="89"/>
      <c r="B3583" s="87"/>
      <c r="C3583" s="73"/>
      <c r="D3583" s="73"/>
      <c r="E3583" s="82"/>
      <c r="F3583" s="82"/>
      <c r="G3583" s="86"/>
      <c r="H3583" s="86"/>
      <c r="I3583" s="86"/>
      <c r="J3583" s="82"/>
      <c r="K3583" s="82"/>
      <c r="L3583" s="82"/>
      <c r="M3583" s="82"/>
      <c r="N3583" s="82"/>
      <c r="O3583" s="82"/>
      <c r="P3583" s="82"/>
      <c r="Q3583" s="82"/>
      <c r="R3583" s="82"/>
      <c r="S3583" s="82"/>
      <c r="T3583" s="82"/>
      <c r="U3583" s="82"/>
      <c r="V3583" s="82"/>
      <c r="W3583" s="82"/>
      <c r="X3583" s="82"/>
      <c r="Y3583" s="82"/>
      <c r="Z3583" s="82"/>
      <c r="AA3583" s="82"/>
      <c r="AB3583" s="82"/>
      <c r="AC3583" s="82"/>
      <c r="AD3583" s="82"/>
      <c r="AE3583" s="82"/>
      <c r="AF3583" s="82"/>
      <c r="AG3583" s="82"/>
      <c r="AH3583" s="82"/>
      <c r="AI3583" s="82"/>
      <c r="AJ3583" s="82"/>
      <c r="AK3583" s="82"/>
      <c r="AL3583" s="82"/>
      <c r="AM3583" s="82"/>
      <c r="AN3583" s="82"/>
      <c r="AO3583" s="82"/>
      <c r="AP3583" s="82"/>
      <c r="AQ3583" s="82"/>
      <c r="AR3583" s="82"/>
      <c r="AS3583" s="82"/>
      <c r="AT3583" s="82"/>
      <c r="AU3583" s="82"/>
      <c r="AV3583" s="82"/>
      <c r="AW3583" s="82" t="str">
        <f t="shared" si="1"/>
        <v/>
      </c>
      <c r="AX3583" s="83" t="str">
        <f t="array" ref="AX3583">IFERROR(DGET('SBV Import'!A:G,"SBV",{"RSC ID","Tier";B3583,A3583}))</f>
        <v/>
      </c>
      <c r="AY3583" s="82" t="str">
        <f t="shared" si="2"/>
        <v/>
      </c>
      <c r="AZ3583" s="82"/>
      <c r="BA3583" s="84" t="s">
        <v>152</v>
      </c>
      <c r="BB3583" s="84" t="str">
        <f>IFERROR(__xludf.DUMMYFUNCTION("iferror(if(A3583="""",,E3583&gt;=FILTER(Constants!$F$2:$F$10,Constants!$A$2:$A$10=A3583)))"),"")</f>
        <v/>
      </c>
    </row>
    <row r="3584">
      <c r="A3584" s="89"/>
      <c r="B3584" s="87"/>
      <c r="C3584" s="73"/>
      <c r="D3584" s="73"/>
      <c r="E3584" s="82"/>
      <c r="F3584" s="82"/>
      <c r="G3584" s="86"/>
      <c r="H3584" s="86"/>
      <c r="I3584" s="86"/>
      <c r="J3584" s="82"/>
      <c r="K3584" s="82"/>
      <c r="L3584" s="82"/>
      <c r="M3584" s="82"/>
      <c r="N3584" s="82"/>
      <c r="O3584" s="82"/>
      <c r="P3584" s="82"/>
      <c r="Q3584" s="82"/>
      <c r="R3584" s="82"/>
      <c r="S3584" s="82"/>
      <c r="T3584" s="82"/>
      <c r="U3584" s="82"/>
      <c r="V3584" s="82"/>
      <c r="W3584" s="82"/>
      <c r="X3584" s="82"/>
      <c r="Y3584" s="82"/>
      <c r="Z3584" s="82"/>
      <c r="AA3584" s="82"/>
      <c r="AB3584" s="82"/>
      <c r="AC3584" s="82"/>
      <c r="AD3584" s="82"/>
      <c r="AE3584" s="82"/>
      <c r="AF3584" s="82"/>
      <c r="AG3584" s="82"/>
      <c r="AH3584" s="82"/>
      <c r="AI3584" s="82"/>
      <c r="AJ3584" s="82"/>
      <c r="AK3584" s="82"/>
      <c r="AL3584" s="82"/>
      <c r="AM3584" s="82"/>
      <c r="AN3584" s="82"/>
      <c r="AO3584" s="82"/>
      <c r="AP3584" s="82"/>
      <c r="AQ3584" s="82"/>
      <c r="AR3584" s="82"/>
      <c r="AS3584" s="82"/>
      <c r="AT3584" s="82"/>
      <c r="AU3584" s="82"/>
      <c r="AV3584" s="82"/>
      <c r="AW3584" s="82" t="str">
        <f t="shared" si="1"/>
        <v/>
      </c>
      <c r="AX3584" s="83" t="str">
        <f t="array" ref="AX3584">IFERROR(DGET('SBV Import'!A:G,"SBV",{"RSC ID","Tier";B3584,A3584}))</f>
        <v/>
      </c>
      <c r="AY3584" s="82" t="str">
        <f t="shared" si="2"/>
        <v/>
      </c>
      <c r="AZ3584" s="82"/>
      <c r="BA3584" s="84" t="s">
        <v>152</v>
      </c>
      <c r="BB3584" s="84" t="str">
        <f>IFERROR(__xludf.DUMMYFUNCTION("iferror(if(A3584="""",,E3584&gt;=FILTER(Constants!$F$2:$F$10,Constants!$A$2:$A$10=A3584)))"),"")</f>
        <v/>
      </c>
    </row>
    <row r="3585">
      <c r="A3585" s="89"/>
      <c r="B3585" s="87"/>
      <c r="C3585" s="73"/>
      <c r="D3585" s="73"/>
      <c r="E3585" s="82"/>
      <c r="F3585" s="82"/>
      <c r="G3585" s="86"/>
      <c r="H3585" s="86"/>
      <c r="I3585" s="86"/>
      <c r="J3585" s="82"/>
      <c r="K3585" s="82"/>
      <c r="L3585" s="82"/>
      <c r="M3585" s="82"/>
      <c r="N3585" s="82"/>
      <c r="O3585" s="82"/>
      <c r="P3585" s="82"/>
      <c r="Q3585" s="82"/>
      <c r="R3585" s="82"/>
      <c r="S3585" s="82"/>
      <c r="T3585" s="82"/>
      <c r="U3585" s="82"/>
      <c r="V3585" s="82"/>
      <c r="W3585" s="82"/>
      <c r="X3585" s="82"/>
      <c r="Y3585" s="82"/>
      <c r="Z3585" s="82"/>
      <c r="AA3585" s="82"/>
      <c r="AB3585" s="82"/>
      <c r="AC3585" s="82"/>
      <c r="AD3585" s="82"/>
      <c r="AE3585" s="82"/>
      <c r="AF3585" s="82"/>
      <c r="AG3585" s="82"/>
      <c r="AH3585" s="82"/>
      <c r="AI3585" s="82"/>
      <c r="AJ3585" s="82"/>
      <c r="AK3585" s="82"/>
      <c r="AL3585" s="82"/>
      <c r="AM3585" s="82"/>
      <c r="AN3585" s="82"/>
      <c r="AO3585" s="82"/>
      <c r="AP3585" s="82"/>
      <c r="AQ3585" s="82"/>
      <c r="AR3585" s="82"/>
      <c r="AS3585" s="82"/>
      <c r="AT3585" s="82"/>
      <c r="AU3585" s="82"/>
      <c r="AV3585" s="82"/>
      <c r="AW3585" s="82" t="str">
        <f t="shared" si="1"/>
        <v/>
      </c>
      <c r="AX3585" s="83" t="str">
        <f t="array" ref="AX3585">IFERROR(DGET('SBV Import'!A:G,"SBV",{"RSC ID","Tier";B3585,A3585}))</f>
        <v/>
      </c>
      <c r="AY3585" s="82" t="str">
        <f t="shared" si="2"/>
        <v/>
      </c>
      <c r="AZ3585" s="82"/>
      <c r="BA3585" s="84" t="s">
        <v>152</v>
      </c>
      <c r="BB3585" s="84" t="str">
        <f>IFERROR(__xludf.DUMMYFUNCTION("iferror(if(A3585="""",,E3585&gt;=FILTER(Constants!$F$2:$F$10,Constants!$A$2:$A$10=A3585)))"),"")</f>
        <v/>
      </c>
    </row>
    <row r="3586">
      <c r="A3586" s="89"/>
      <c r="B3586" s="87"/>
      <c r="C3586" s="73"/>
      <c r="D3586" s="73"/>
      <c r="E3586" s="82"/>
      <c r="F3586" s="82"/>
      <c r="G3586" s="86"/>
      <c r="H3586" s="86"/>
      <c r="I3586" s="86"/>
      <c r="J3586" s="82"/>
      <c r="K3586" s="82"/>
      <c r="L3586" s="82"/>
      <c r="M3586" s="82"/>
      <c r="N3586" s="82"/>
      <c r="O3586" s="82"/>
      <c r="P3586" s="82"/>
      <c r="Q3586" s="82"/>
      <c r="R3586" s="82"/>
      <c r="S3586" s="82"/>
      <c r="T3586" s="82"/>
      <c r="U3586" s="82"/>
      <c r="V3586" s="82"/>
      <c r="W3586" s="82"/>
      <c r="X3586" s="82"/>
      <c r="Y3586" s="82"/>
      <c r="Z3586" s="82"/>
      <c r="AA3586" s="82"/>
      <c r="AB3586" s="82"/>
      <c r="AC3586" s="82"/>
      <c r="AD3586" s="82"/>
      <c r="AE3586" s="82"/>
      <c r="AF3586" s="82"/>
      <c r="AG3586" s="82"/>
      <c r="AH3586" s="82"/>
      <c r="AI3586" s="82"/>
      <c r="AJ3586" s="82"/>
      <c r="AK3586" s="82"/>
      <c r="AL3586" s="82"/>
      <c r="AM3586" s="82"/>
      <c r="AN3586" s="82"/>
      <c r="AO3586" s="82"/>
      <c r="AP3586" s="82"/>
      <c r="AQ3586" s="82"/>
      <c r="AR3586" s="82"/>
      <c r="AS3586" s="82"/>
      <c r="AT3586" s="82"/>
      <c r="AU3586" s="82"/>
      <c r="AV3586" s="82"/>
      <c r="AW3586" s="82" t="str">
        <f t="shared" si="1"/>
        <v/>
      </c>
      <c r="AX3586" s="83" t="str">
        <f t="array" ref="AX3586">IFERROR(DGET('SBV Import'!A:G,"SBV",{"RSC ID","Tier";B3586,A3586}))</f>
        <v/>
      </c>
      <c r="AY3586" s="82" t="str">
        <f t="shared" si="2"/>
        <v/>
      </c>
      <c r="AZ3586" s="82"/>
      <c r="BA3586" s="84" t="s">
        <v>152</v>
      </c>
      <c r="BB3586" s="84" t="str">
        <f>IFERROR(__xludf.DUMMYFUNCTION("iferror(if(A3586="""",,E3586&gt;=FILTER(Constants!$F$2:$F$10,Constants!$A$2:$A$10=A3586)))"),"")</f>
        <v/>
      </c>
    </row>
    <row r="3587">
      <c r="A3587" s="89"/>
      <c r="B3587" s="87"/>
      <c r="C3587" s="73"/>
      <c r="D3587" s="73"/>
      <c r="E3587" s="82"/>
      <c r="F3587" s="82"/>
      <c r="G3587" s="86"/>
      <c r="H3587" s="86"/>
      <c r="I3587" s="86"/>
      <c r="J3587" s="82"/>
      <c r="K3587" s="82"/>
      <c r="L3587" s="82"/>
      <c r="M3587" s="82"/>
      <c r="N3587" s="82"/>
      <c r="O3587" s="82"/>
      <c r="P3587" s="82"/>
      <c r="Q3587" s="82"/>
      <c r="R3587" s="82"/>
      <c r="S3587" s="82"/>
      <c r="T3587" s="82"/>
      <c r="U3587" s="82"/>
      <c r="V3587" s="82"/>
      <c r="W3587" s="82"/>
      <c r="X3587" s="82"/>
      <c r="Y3587" s="82"/>
      <c r="Z3587" s="82"/>
      <c r="AA3587" s="82"/>
      <c r="AB3587" s="82"/>
      <c r="AC3587" s="82"/>
      <c r="AD3587" s="82"/>
      <c r="AE3587" s="82"/>
      <c r="AF3587" s="82"/>
      <c r="AG3587" s="82"/>
      <c r="AH3587" s="82"/>
      <c r="AI3587" s="82"/>
      <c r="AJ3587" s="82"/>
      <c r="AK3587" s="82"/>
      <c r="AL3587" s="82"/>
      <c r="AM3587" s="82"/>
      <c r="AN3587" s="82"/>
      <c r="AO3587" s="82"/>
      <c r="AP3587" s="82"/>
      <c r="AQ3587" s="82"/>
      <c r="AR3587" s="82"/>
      <c r="AS3587" s="82"/>
      <c r="AT3587" s="82"/>
      <c r="AU3587" s="82"/>
      <c r="AV3587" s="82"/>
      <c r="AW3587" s="82" t="str">
        <f t="shared" si="1"/>
        <v/>
      </c>
      <c r="AX3587" s="83" t="str">
        <f t="array" ref="AX3587">IFERROR(DGET('SBV Import'!A:G,"SBV",{"RSC ID","Tier";B3587,A3587}))</f>
        <v/>
      </c>
      <c r="AY3587" s="82" t="str">
        <f t="shared" si="2"/>
        <v/>
      </c>
      <c r="AZ3587" s="82"/>
      <c r="BA3587" s="84" t="s">
        <v>152</v>
      </c>
      <c r="BB3587" s="84" t="str">
        <f>IFERROR(__xludf.DUMMYFUNCTION("iferror(if(A3587="""",,E3587&gt;=FILTER(Constants!$F$2:$F$10,Constants!$A$2:$A$10=A3587)))"),"")</f>
        <v/>
      </c>
    </row>
    <row r="3588">
      <c r="A3588" s="89"/>
      <c r="B3588" s="87"/>
      <c r="C3588" s="73"/>
      <c r="D3588" s="73"/>
      <c r="E3588" s="82"/>
      <c r="F3588" s="82"/>
      <c r="G3588" s="86"/>
      <c r="H3588" s="86"/>
      <c r="I3588" s="86"/>
      <c r="J3588" s="82"/>
      <c r="K3588" s="82"/>
      <c r="L3588" s="82"/>
      <c r="M3588" s="82"/>
      <c r="N3588" s="82"/>
      <c r="O3588" s="82"/>
      <c r="P3588" s="82"/>
      <c r="Q3588" s="82"/>
      <c r="R3588" s="82"/>
      <c r="S3588" s="82"/>
      <c r="T3588" s="82"/>
      <c r="U3588" s="82"/>
      <c r="V3588" s="82"/>
      <c r="W3588" s="82"/>
      <c r="X3588" s="82"/>
      <c r="Y3588" s="82"/>
      <c r="Z3588" s="82"/>
      <c r="AA3588" s="82"/>
      <c r="AB3588" s="82"/>
      <c r="AC3588" s="82"/>
      <c r="AD3588" s="82"/>
      <c r="AE3588" s="82"/>
      <c r="AF3588" s="82"/>
      <c r="AG3588" s="82"/>
      <c r="AH3588" s="82"/>
      <c r="AI3588" s="82"/>
      <c r="AJ3588" s="82"/>
      <c r="AK3588" s="82"/>
      <c r="AL3588" s="82"/>
      <c r="AM3588" s="82"/>
      <c r="AN3588" s="82"/>
      <c r="AO3588" s="82"/>
      <c r="AP3588" s="82"/>
      <c r="AQ3588" s="82"/>
      <c r="AR3588" s="82"/>
      <c r="AS3588" s="82"/>
      <c r="AT3588" s="82"/>
      <c r="AU3588" s="82"/>
      <c r="AV3588" s="82"/>
      <c r="AW3588" s="82" t="str">
        <f t="shared" si="1"/>
        <v/>
      </c>
      <c r="AX3588" s="83" t="str">
        <f t="array" ref="AX3588">IFERROR(DGET('SBV Import'!A:G,"SBV",{"RSC ID","Tier";B3588,A3588}))</f>
        <v/>
      </c>
      <c r="AY3588" s="82" t="str">
        <f t="shared" si="2"/>
        <v/>
      </c>
      <c r="AZ3588" s="82"/>
      <c r="BA3588" s="84" t="s">
        <v>152</v>
      </c>
      <c r="BB3588" s="84" t="str">
        <f>IFERROR(__xludf.DUMMYFUNCTION("iferror(if(A3588="""",,E3588&gt;=FILTER(Constants!$F$2:$F$10,Constants!$A$2:$A$10=A3588)))"),"")</f>
        <v/>
      </c>
    </row>
    <row r="3589">
      <c r="A3589" s="89"/>
      <c r="B3589" s="87"/>
      <c r="C3589" s="73"/>
      <c r="D3589" s="73"/>
      <c r="E3589" s="82"/>
      <c r="F3589" s="82"/>
      <c r="G3589" s="86"/>
      <c r="H3589" s="86"/>
      <c r="I3589" s="86"/>
      <c r="J3589" s="82"/>
      <c r="K3589" s="82"/>
      <c r="L3589" s="82"/>
      <c r="M3589" s="82"/>
      <c r="N3589" s="82"/>
      <c r="O3589" s="82"/>
      <c r="P3589" s="82"/>
      <c r="Q3589" s="82"/>
      <c r="R3589" s="82"/>
      <c r="S3589" s="82"/>
      <c r="T3589" s="82"/>
      <c r="U3589" s="82"/>
      <c r="V3589" s="82"/>
      <c r="W3589" s="82"/>
      <c r="X3589" s="82"/>
      <c r="Y3589" s="82"/>
      <c r="Z3589" s="82"/>
      <c r="AA3589" s="82"/>
      <c r="AB3589" s="82"/>
      <c r="AC3589" s="82"/>
      <c r="AD3589" s="82"/>
      <c r="AE3589" s="82"/>
      <c r="AF3589" s="82"/>
      <c r="AG3589" s="82"/>
      <c r="AH3589" s="82"/>
      <c r="AI3589" s="82"/>
      <c r="AJ3589" s="82"/>
      <c r="AK3589" s="82"/>
      <c r="AL3589" s="82"/>
      <c r="AM3589" s="82"/>
      <c r="AN3589" s="82"/>
      <c r="AO3589" s="82"/>
      <c r="AP3589" s="82"/>
      <c r="AQ3589" s="82"/>
      <c r="AR3589" s="82"/>
      <c r="AS3589" s="82"/>
      <c r="AT3589" s="82"/>
      <c r="AU3589" s="82"/>
      <c r="AV3589" s="82"/>
      <c r="AW3589" s="82" t="str">
        <f t="shared" si="1"/>
        <v/>
      </c>
      <c r="AX3589" s="83" t="str">
        <f t="array" ref="AX3589">IFERROR(DGET('SBV Import'!A:G,"SBV",{"RSC ID","Tier";B3589,A3589}))</f>
        <v/>
      </c>
      <c r="AY3589" s="82" t="str">
        <f t="shared" si="2"/>
        <v/>
      </c>
      <c r="AZ3589" s="82"/>
      <c r="BA3589" s="84" t="s">
        <v>152</v>
      </c>
      <c r="BB3589" s="84" t="str">
        <f>IFERROR(__xludf.DUMMYFUNCTION("iferror(if(A3589="""",,E3589&gt;=FILTER(Constants!$F$2:$F$10,Constants!$A$2:$A$10=A3589)))"),"")</f>
        <v/>
      </c>
    </row>
    <row r="3590">
      <c r="A3590" s="89"/>
      <c r="B3590" s="87"/>
      <c r="C3590" s="73"/>
      <c r="D3590" s="73"/>
      <c r="E3590" s="82"/>
      <c r="F3590" s="82"/>
      <c r="G3590" s="86"/>
      <c r="H3590" s="86"/>
      <c r="I3590" s="86"/>
      <c r="J3590" s="82"/>
      <c r="K3590" s="82"/>
      <c r="L3590" s="82"/>
      <c r="M3590" s="82"/>
      <c r="N3590" s="82"/>
      <c r="O3590" s="82"/>
      <c r="P3590" s="82"/>
      <c r="Q3590" s="82"/>
      <c r="R3590" s="82"/>
      <c r="S3590" s="82"/>
      <c r="T3590" s="82"/>
      <c r="U3590" s="82"/>
      <c r="V3590" s="82"/>
      <c r="W3590" s="82"/>
      <c r="X3590" s="82"/>
      <c r="Y3590" s="82"/>
      <c r="Z3590" s="82"/>
      <c r="AA3590" s="82"/>
      <c r="AB3590" s="82"/>
      <c r="AC3590" s="82"/>
      <c r="AD3590" s="82"/>
      <c r="AE3590" s="82"/>
      <c r="AF3590" s="82"/>
      <c r="AG3590" s="82"/>
      <c r="AH3590" s="82"/>
      <c r="AI3590" s="82"/>
      <c r="AJ3590" s="82"/>
      <c r="AK3590" s="82"/>
      <c r="AL3590" s="82"/>
      <c r="AM3590" s="82"/>
      <c r="AN3590" s="82"/>
      <c r="AO3590" s="82"/>
      <c r="AP3590" s="82"/>
      <c r="AQ3590" s="82"/>
      <c r="AR3590" s="82"/>
      <c r="AS3590" s="82"/>
      <c r="AT3590" s="82"/>
      <c r="AU3590" s="82"/>
      <c r="AV3590" s="82"/>
      <c r="AW3590" s="82" t="str">
        <f t="shared" si="1"/>
        <v/>
      </c>
      <c r="AX3590" s="83" t="str">
        <f t="array" ref="AX3590">IFERROR(DGET('SBV Import'!A:G,"SBV",{"RSC ID","Tier";B3590,A3590}))</f>
        <v/>
      </c>
      <c r="AY3590" s="82" t="str">
        <f t="shared" si="2"/>
        <v/>
      </c>
      <c r="AZ3590" s="82"/>
      <c r="BA3590" s="84" t="s">
        <v>152</v>
      </c>
      <c r="BB3590" s="84" t="str">
        <f>IFERROR(__xludf.DUMMYFUNCTION("iferror(if(A3590="""",,E3590&gt;=FILTER(Constants!$F$2:$F$10,Constants!$A$2:$A$10=A3590)))"),"")</f>
        <v/>
      </c>
    </row>
    <row r="3591">
      <c r="A3591" s="89"/>
      <c r="B3591" s="87"/>
      <c r="C3591" s="73"/>
      <c r="D3591" s="73"/>
      <c r="E3591" s="82"/>
      <c r="F3591" s="82"/>
      <c r="G3591" s="86"/>
      <c r="H3591" s="86"/>
      <c r="I3591" s="86"/>
      <c r="J3591" s="82"/>
      <c r="K3591" s="82"/>
      <c r="L3591" s="82"/>
      <c r="M3591" s="82"/>
      <c r="N3591" s="82"/>
      <c r="O3591" s="82"/>
      <c r="P3591" s="82"/>
      <c r="Q3591" s="82"/>
      <c r="R3591" s="82"/>
      <c r="S3591" s="82"/>
      <c r="T3591" s="82"/>
      <c r="U3591" s="82"/>
      <c r="V3591" s="82"/>
      <c r="W3591" s="82"/>
      <c r="X3591" s="82"/>
      <c r="Y3591" s="82"/>
      <c r="Z3591" s="82"/>
      <c r="AA3591" s="82"/>
      <c r="AB3591" s="82"/>
      <c r="AC3591" s="82"/>
      <c r="AD3591" s="82"/>
      <c r="AE3591" s="82"/>
      <c r="AF3591" s="82"/>
      <c r="AG3591" s="82"/>
      <c r="AH3591" s="82"/>
      <c r="AI3591" s="82"/>
      <c r="AJ3591" s="82"/>
      <c r="AK3591" s="82"/>
      <c r="AL3591" s="82"/>
      <c r="AM3591" s="82"/>
      <c r="AN3591" s="82"/>
      <c r="AO3591" s="82"/>
      <c r="AP3591" s="82"/>
      <c r="AQ3591" s="82"/>
      <c r="AR3591" s="82"/>
      <c r="AS3591" s="82"/>
      <c r="AT3591" s="82"/>
      <c r="AU3591" s="82"/>
      <c r="AV3591" s="82"/>
      <c r="AW3591" s="82" t="str">
        <f t="shared" si="1"/>
        <v/>
      </c>
      <c r="AX3591" s="83" t="str">
        <f t="array" ref="AX3591">IFERROR(DGET('SBV Import'!A:G,"SBV",{"RSC ID","Tier";B3591,A3591}))</f>
        <v/>
      </c>
      <c r="AY3591" s="82" t="str">
        <f t="shared" si="2"/>
        <v/>
      </c>
      <c r="AZ3591" s="82"/>
      <c r="BA3591" s="84" t="s">
        <v>152</v>
      </c>
      <c r="BB3591" s="84" t="str">
        <f>IFERROR(__xludf.DUMMYFUNCTION("iferror(if(A3591="""",,E3591&gt;=FILTER(Constants!$F$2:$F$10,Constants!$A$2:$A$10=A3591)))"),"")</f>
        <v/>
      </c>
    </row>
    <row r="3592">
      <c r="A3592" s="89"/>
      <c r="B3592" s="87"/>
      <c r="C3592" s="73"/>
      <c r="D3592" s="73"/>
      <c r="E3592" s="82"/>
      <c r="F3592" s="82"/>
      <c r="G3592" s="86"/>
      <c r="H3592" s="86"/>
      <c r="I3592" s="86"/>
      <c r="J3592" s="82"/>
      <c r="K3592" s="82"/>
      <c r="L3592" s="82"/>
      <c r="M3592" s="82"/>
      <c r="N3592" s="82"/>
      <c r="O3592" s="82"/>
      <c r="P3592" s="82"/>
      <c r="Q3592" s="82"/>
      <c r="R3592" s="82"/>
      <c r="S3592" s="82"/>
      <c r="T3592" s="82"/>
      <c r="U3592" s="82"/>
      <c r="V3592" s="82"/>
      <c r="W3592" s="82"/>
      <c r="X3592" s="82"/>
      <c r="Y3592" s="82"/>
      <c r="Z3592" s="82"/>
      <c r="AA3592" s="82"/>
      <c r="AB3592" s="82"/>
      <c r="AC3592" s="82"/>
      <c r="AD3592" s="82"/>
      <c r="AE3592" s="82"/>
      <c r="AF3592" s="82"/>
      <c r="AG3592" s="82"/>
      <c r="AH3592" s="82"/>
      <c r="AI3592" s="82"/>
      <c r="AJ3592" s="82"/>
      <c r="AK3592" s="82"/>
      <c r="AL3592" s="82"/>
      <c r="AM3592" s="82"/>
      <c r="AN3592" s="82"/>
      <c r="AO3592" s="82"/>
      <c r="AP3592" s="82"/>
      <c r="AQ3592" s="82"/>
      <c r="AR3592" s="82"/>
      <c r="AS3592" s="82"/>
      <c r="AT3592" s="82"/>
      <c r="AU3592" s="82"/>
      <c r="AV3592" s="82"/>
      <c r="AW3592" s="82" t="str">
        <f t="shared" si="1"/>
        <v/>
      </c>
      <c r="AX3592" s="83" t="str">
        <f t="array" ref="AX3592">IFERROR(DGET('SBV Import'!A:G,"SBV",{"RSC ID","Tier";B3592,A3592}))</f>
        <v/>
      </c>
      <c r="AY3592" s="82" t="str">
        <f t="shared" si="2"/>
        <v/>
      </c>
      <c r="AZ3592" s="82"/>
      <c r="BA3592" s="84" t="s">
        <v>152</v>
      </c>
      <c r="BB3592" s="84" t="str">
        <f>IFERROR(__xludf.DUMMYFUNCTION("iferror(if(A3592="""",,E3592&gt;=FILTER(Constants!$F$2:$F$10,Constants!$A$2:$A$10=A3592)))"),"")</f>
        <v/>
      </c>
    </row>
    <row r="3593">
      <c r="A3593" s="89"/>
      <c r="B3593" s="87"/>
      <c r="C3593" s="73"/>
      <c r="D3593" s="73"/>
      <c r="E3593" s="82"/>
      <c r="F3593" s="82"/>
      <c r="G3593" s="86"/>
      <c r="H3593" s="86"/>
      <c r="I3593" s="86"/>
      <c r="J3593" s="82"/>
      <c r="K3593" s="82"/>
      <c r="L3593" s="82"/>
      <c r="M3593" s="82"/>
      <c r="N3593" s="82"/>
      <c r="O3593" s="82"/>
      <c r="P3593" s="82"/>
      <c r="Q3593" s="82"/>
      <c r="R3593" s="82"/>
      <c r="S3593" s="82"/>
      <c r="T3593" s="82"/>
      <c r="U3593" s="82"/>
      <c r="V3593" s="82"/>
      <c r="W3593" s="82"/>
      <c r="X3593" s="82"/>
      <c r="Y3593" s="82"/>
      <c r="Z3593" s="82"/>
      <c r="AA3593" s="82"/>
      <c r="AB3593" s="82"/>
      <c r="AC3593" s="82"/>
      <c r="AD3593" s="82"/>
      <c r="AE3593" s="82"/>
      <c r="AF3593" s="82"/>
      <c r="AG3593" s="82"/>
      <c r="AH3593" s="82"/>
      <c r="AI3593" s="82"/>
      <c r="AJ3593" s="82"/>
      <c r="AK3593" s="82"/>
      <c r="AL3593" s="82"/>
      <c r="AM3593" s="82"/>
      <c r="AN3593" s="82"/>
      <c r="AO3593" s="82"/>
      <c r="AP3593" s="82"/>
      <c r="AQ3593" s="82"/>
      <c r="AR3593" s="82"/>
      <c r="AS3593" s="82"/>
      <c r="AT3593" s="82"/>
      <c r="AU3593" s="82"/>
      <c r="AV3593" s="82"/>
      <c r="AW3593" s="82" t="str">
        <f t="shared" si="1"/>
        <v/>
      </c>
      <c r="AX3593" s="83" t="str">
        <f t="array" ref="AX3593">IFERROR(DGET('SBV Import'!A:G,"SBV",{"RSC ID","Tier";B3593,A3593}))</f>
        <v/>
      </c>
      <c r="AY3593" s="82" t="str">
        <f t="shared" si="2"/>
        <v/>
      </c>
      <c r="AZ3593" s="82"/>
      <c r="BA3593" s="84" t="s">
        <v>152</v>
      </c>
      <c r="BB3593" s="84" t="str">
        <f>IFERROR(__xludf.DUMMYFUNCTION("iferror(if(A3593="""",,E3593&gt;=FILTER(Constants!$F$2:$F$10,Constants!$A$2:$A$10=A3593)))"),"")</f>
        <v/>
      </c>
    </row>
    <row r="3594">
      <c r="A3594" s="89"/>
      <c r="B3594" s="87"/>
      <c r="C3594" s="73"/>
      <c r="D3594" s="73"/>
      <c r="E3594" s="82"/>
      <c r="F3594" s="82"/>
      <c r="G3594" s="86"/>
      <c r="H3594" s="86"/>
      <c r="I3594" s="86"/>
      <c r="J3594" s="82"/>
      <c r="K3594" s="82"/>
      <c r="L3594" s="82"/>
      <c r="M3594" s="82"/>
      <c r="N3594" s="82"/>
      <c r="O3594" s="82"/>
      <c r="P3594" s="82"/>
      <c r="Q3594" s="82"/>
      <c r="R3594" s="82"/>
      <c r="S3594" s="82"/>
      <c r="T3594" s="82"/>
      <c r="U3594" s="82"/>
      <c r="V3594" s="82"/>
      <c r="W3594" s="82"/>
      <c r="X3594" s="82"/>
      <c r="Y3594" s="82"/>
      <c r="Z3594" s="82"/>
      <c r="AA3594" s="82"/>
      <c r="AB3594" s="82"/>
      <c r="AC3594" s="82"/>
      <c r="AD3594" s="82"/>
      <c r="AE3594" s="82"/>
      <c r="AF3594" s="82"/>
      <c r="AG3594" s="82"/>
      <c r="AH3594" s="82"/>
      <c r="AI3594" s="82"/>
      <c r="AJ3594" s="82"/>
      <c r="AK3594" s="82"/>
      <c r="AL3594" s="82"/>
      <c r="AM3594" s="82"/>
      <c r="AN3594" s="82"/>
      <c r="AO3594" s="82"/>
      <c r="AP3594" s="82"/>
      <c r="AQ3594" s="82"/>
      <c r="AR3594" s="82"/>
      <c r="AS3594" s="82"/>
      <c r="AT3594" s="82"/>
      <c r="AU3594" s="82"/>
      <c r="AV3594" s="82"/>
      <c r="AW3594" s="82" t="str">
        <f t="shared" si="1"/>
        <v/>
      </c>
      <c r="AX3594" s="83" t="str">
        <f t="array" ref="AX3594">IFERROR(DGET('SBV Import'!A:G,"SBV",{"RSC ID","Tier";B3594,A3594}))</f>
        <v/>
      </c>
      <c r="AY3594" s="82" t="str">
        <f t="shared" si="2"/>
        <v/>
      </c>
      <c r="AZ3594" s="82"/>
      <c r="BA3594" s="84" t="s">
        <v>152</v>
      </c>
      <c r="BB3594" s="84" t="str">
        <f>IFERROR(__xludf.DUMMYFUNCTION("iferror(if(A3594="""",,E3594&gt;=FILTER(Constants!$F$2:$F$10,Constants!$A$2:$A$10=A3594)))"),"")</f>
        <v/>
      </c>
    </row>
    <row r="3595">
      <c r="A3595" s="89"/>
      <c r="B3595" s="87"/>
      <c r="C3595" s="73"/>
      <c r="D3595" s="73"/>
      <c r="E3595" s="82"/>
      <c r="F3595" s="82"/>
      <c r="G3595" s="86"/>
      <c r="H3595" s="86"/>
      <c r="I3595" s="86"/>
      <c r="J3595" s="82"/>
      <c r="K3595" s="82"/>
      <c r="L3595" s="82"/>
      <c r="M3595" s="82"/>
      <c r="N3595" s="82"/>
      <c r="O3595" s="82"/>
      <c r="P3595" s="82"/>
      <c r="Q3595" s="82"/>
      <c r="R3595" s="82"/>
      <c r="S3595" s="82"/>
      <c r="T3595" s="82"/>
      <c r="U3595" s="82"/>
      <c r="V3595" s="82"/>
      <c r="W3595" s="82"/>
      <c r="X3595" s="82"/>
      <c r="Y3595" s="82"/>
      <c r="Z3595" s="82"/>
      <c r="AA3595" s="82"/>
      <c r="AB3595" s="82"/>
      <c r="AC3595" s="82"/>
      <c r="AD3595" s="82"/>
      <c r="AE3595" s="82"/>
      <c r="AF3595" s="82"/>
      <c r="AG3595" s="82"/>
      <c r="AH3595" s="82"/>
      <c r="AI3595" s="82"/>
      <c r="AJ3595" s="82"/>
      <c r="AK3595" s="82"/>
      <c r="AL3595" s="82"/>
      <c r="AM3595" s="82"/>
      <c r="AN3595" s="82"/>
      <c r="AO3595" s="82"/>
      <c r="AP3595" s="82"/>
      <c r="AQ3595" s="82"/>
      <c r="AR3595" s="82"/>
      <c r="AS3595" s="82"/>
      <c r="AT3595" s="82"/>
      <c r="AU3595" s="82"/>
      <c r="AV3595" s="82"/>
      <c r="AW3595" s="82" t="str">
        <f t="shared" si="1"/>
        <v/>
      </c>
      <c r="AX3595" s="83" t="str">
        <f t="array" ref="AX3595">IFERROR(DGET('SBV Import'!A:G,"SBV",{"RSC ID","Tier";B3595,A3595}))</f>
        <v/>
      </c>
      <c r="AY3595" s="82" t="str">
        <f t="shared" si="2"/>
        <v/>
      </c>
      <c r="AZ3595" s="82"/>
      <c r="BA3595" s="84" t="s">
        <v>152</v>
      </c>
      <c r="BB3595" s="84" t="str">
        <f>IFERROR(__xludf.DUMMYFUNCTION("iferror(if(A3595="""",,E3595&gt;=FILTER(Constants!$F$2:$F$10,Constants!$A$2:$A$10=A3595)))"),"")</f>
        <v/>
      </c>
    </row>
    <row r="3596">
      <c r="A3596" s="89"/>
      <c r="B3596" s="87"/>
      <c r="C3596" s="73"/>
      <c r="D3596" s="73"/>
      <c r="E3596" s="82"/>
      <c r="F3596" s="82"/>
      <c r="G3596" s="86"/>
      <c r="H3596" s="86"/>
      <c r="I3596" s="86"/>
      <c r="J3596" s="82"/>
      <c r="K3596" s="82"/>
      <c r="L3596" s="82"/>
      <c r="M3596" s="82"/>
      <c r="N3596" s="82"/>
      <c r="O3596" s="82"/>
      <c r="P3596" s="82"/>
      <c r="Q3596" s="82"/>
      <c r="R3596" s="82"/>
      <c r="S3596" s="82"/>
      <c r="T3596" s="82"/>
      <c r="U3596" s="82"/>
      <c r="V3596" s="82"/>
      <c r="W3596" s="82"/>
      <c r="X3596" s="82"/>
      <c r="Y3596" s="82"/>
      <c r="Z3596" s="82"/>
      <c r="AA3596" s="82"/>
      <c r="AB3596" s="82"/>
      <c r="AC3596" s="82"/>
      <c r="AD3596" s="82"/>
      <c r="AE3596" s="82"/>
      <c r="AF3596" s="82"/>
      <c r="AG3596" s="82"/>
      <c r="AH3596" s="82"/>
      <c r="AI3596" s="82"/>
      <c r="AJ3596" s="82"/>
      <c r="AK3596" s="82"/>
      <c r="AL3596" s="82"/>
      <c r="AM3596" s="82"/>
      <c r="AN3596" s="82"/>
      <c r="AO3596" s="82"/>
      <c r="AP3596" s="82"/>
      <c r="AQ3596" s="82"/>
      <c r="AR3596" s="82"/>
      <c r="AS3596" s="82"/>
      <c r="AT3596" s="82"/>
      <c r="AU3596" s="82"/>
      <c r="AV3596" s="82"/>
      <c r="AW3596" s="82" t="str">
        <f t="shared" si="1"/>
        <v/>
      </c>
      <c r="AX3596" s="83" t="str">
        <f t="array" ref="AX3596">IFERROR(DGET('SBV Import'!A:G,"SBV",{"RSC ID","Tier";B3596,A3596}))</f>
        <v/>
      </c>
      <c r="AY3596" s="82" t="str">
        <f t="shared" si="2"/>
        <v/>
      </c>
      <c r="AZ3596" s="82"/>
      <c r="BA3596" s="84" t="s">
        <v>152</v>
      </c>
      <c r="BB3596" s="84" t="str">
        <f>IFERROR(__xludf.DUMMYFUNCTION("iferror(if(A3596="""",,E3596&gt;=FILTER(Constants!$F$2:$F$10,Constants!$A$2:$A$10=A3596)))"),"")</f>
        <v/>
      </c>
    </row>
    <row r="3597">
      <c r="A3597" s="89"/>
      <c r="B3597" s="87"/>
      <c r="C3597" s="73"/>
      <c r="D3597" s="73"/>
      <c r="E3597" s="82"/>
      <c r="F3597" s="82"/>
      <c r="G3597" s="86"/>
      <c r="H3597" s="86"/>
      <c r="I3597" s="86"/>
      <c r="J3597" s="82"/>
      <c r="K3597" s="82"/>
      <c r="L3597" s="82"/>
      <c r="M3597" s="82"/>
      <c r="N3597" s="82"/>
      <c r="O3597" s="82"/>
      <c r="P3597" s="82"/>
      <c r="Q3597" s="82"/>
      <c r="R3597" s="82"/>
      <c r="S3597" s="82"/>
      <c r="T3597" s="82"/>
      <c r="U3597" s="82"/>
      <c r="V3597" s="82"/>
      <c r="W3597" s="82"/>
      <c r="X3597" s="82"/>
      <c r="Y3597" s="82"/>
      <c r="Z3597" s="82"/>
      <c r="AA3597" s="82"/>
      <c r="AB3597" s="82"/>
      <c r="AC3597" s="82"/>
      <c r="AD3597" s="82"/>
      <c r="AE3597" s="82"/>
      <c r="AF3597" s="82"/>
      <c r="AG3597" s="82"/>
      <c r="AH3597" s="82"/>
      <c r="AI3597" s="82"/>
      <c r="AJ3597" s="82"/>
      <c r="AK3597" s="82"/>
      <c r="AL3597" s="82"/>
      <c r="AM3597" s="82"/>
      <c r="AN3597" s="82"/>
      <c r="AO3597" s="82"/>
      <c r="AP3597" s="82"/>
      <c r="AQ3597" s="82"/>
      <c r="AR3597" s="82"/>
      <c r="AS3597" s="82"/>
      <c r="AT3597" s="82"/>
      <c r="AU3597" s="82"/>
      <c r="AV3597" s="82"/>
      <c r="AW3597" s="82" t="str">
        <f t="shared" si="1"/>
        <v/>
      </c>
      <c r="AX3597" s="83" t="str">
        <f t="array" ref="AX3597">IFERROR(DGET('SBV Import'!A:G,"SBV",{"RSC ID","Tier";B3597,A3597}))</f>
        <v/>
      </c>
      <c r="AY3597" s="82" t="str">
        <f t="shared" si="2"/>
        <v/>
      </c>
      <c r="AZ3597" s="82"/>
      <c r="BA3597" s="84" t="s">
        <v>152</v>
      </c>
      <c r="BB3597" s="84" t="str">
        <f>IFERROR(__xludf.DUMMYFUNCTION("iferror(if(A3597="""",,E3597&gt;=FILTER(Constants!$F$2:$F$10,Constants!$A$2:$A$10=A3597)))"),"")</f>
        <v/>
      </c>
    </row>
    <row r="3598">
      <c r="A3598" s="89"/>
      <c r="B3598" s="87"/>
      <c r="C3598" s="73"/>
      <c r="D3598" s="73"/>
      <c r="E3598" s="82"/>
      <c r="F3598" s="82"/>
      <c r="G3598" s="86"/>
      <c r="H3598" s="86"/>
      <c r="I3598" s="86"/>
      <c r="J3598" s="82"/>
      <c r="K3598" s="82"/>
      <c r="L3598" s="82"/>
      <c r="M3598" s="82"/>
      <c r="N3598" s="82"/>
      <c r="O3598" s="82"/>
      <c r="P3598" s="82"/>
      <c r="Q3598" s="82"/>
      <c r="R3598" s="82"/>
      <c r="S3598" s="82"/>
      <c r="T3598" s="82"/>
      <c r="U3598" s="82"/>
      <c r="V3598" s="82"/>
      <c r="W3598" s="82"/>
      <c r="X3598" s="82"/>
      <c r="Y3598" s="82"/>
      <c r="Z3598" s="82"/>
      <c r="AA3598" s="82"/>
      <c r="AB3598" s="82"/>
      <c r="AC3598" s="82"/>
      <c r="AD3598" s="82"/>
      <c r="AE3598" s="82"/>
      <c r="AF3598" s="82"/>
      <c r="AG3598" s="82"/>
      <c r="AH3598" s="82"/>
      <c r="AI3598" s="82"/>
      <c r="AJ3598" s="82"/>
      <c r="AK3598" s="82"/>
      <c r="AL3598" s="82"/>
      <c r="AM3598" s="82"/>
      <c r="AN3598" s="82"/>
      <c r="AO3598" s="82"/>
      <c r="AP3598" s="82"/>
      <c r="AQ3598" s="82"/>
      <c r="AR3598" s="82"/>
      <c r="AS3598" s="82"/>
      <c r="AT3598" s="82"/>
      <c r="AU3598" s="82"/>
      <c r="AV3598" s="82"/>
      <c r="AW3598" s="82" t="str">
        <f t="shared" si="1"/>
        <v/>
      </c>
      <c r="AX3598" s="83" t="str">
        <f t="array" ref="AX3598">IFERROR(DGET('SBV Import'!A:G,"SBV",{"RSC ID","Tier";B3598,A3598}))</f>
        <v/>
      </c>
      <c r="AY3598" s="82" t="str">
        <f t="shared" si="2"/>
        <v/>
      </c>
      <c r="AZ3598" s="82"/>
      <c r="BA3598" s="84" t="s">
        <v>152</v>
      </c>
      <c r="BB3598" s="84" t="str">
        <f>IFERROR(__xludf.DUMMYFUNCTION("iferror(if(A3598="""",,E3598&gt;=FILTER(Constants!$F$2:$F$10,Constants!$A$2:$A$10=A3598)))"),"")</f>
        <v/>
      </c>
    </row>
    <row r="3599">
      <c r="A3599" s="89"/>
      <c r="B3599" s="87"/>
      <c r="C3599" s="73"/>
      <c r="D3599" s="73"/>
      <c r="E3599" s="82"/>
      <c r="F3599" s="82"/>
      <c r="G3599" s="86"/>
      <c r="H3599" s="86"/>
      <c r="I3599" s="86"/>
      <c r="J3599" s="82"/>
      <c r="K3599" s="82"/>
      <c r="L3599" s="82"/>
      <c r="M3599" s="82"/>
      <c r="N3599" s="82"/>
      <c r="O3599" s="82"/>
      <c r="P3599" s="82"/>
      <c r="Q3599" s="82"/>
      <c r="R3599" s="82"/>
      <c r="S3599" s="82"/>
      <c r="T3599" s="82"/>
      <c r="U3599" s="82"/>
      <c r="V3599" s="82"/>
      <c r="W3599" s="82"/>
      <c r="X3599" s="82"/>
      <c r="Y3599" s="82"/>
      <c r="Z3599" s="82"/>
      <c r="AA3599" s="82"/>
      <c r="AB3599" s="82"/>
      <c r="AC3599" s="82"/>
      <c r="AD3599" s="82"/>
      <c r="AE3599" s="82"/>
      <c r="AF3599" s="82"/>
      <c r="AG3599" s="82"/>
      <c r="AH3599" s="82"/>
      <c r="AI3599" s="82"/>
      <c r="AJ3599" s="82"/>
      <c r="AK3599" s="82"/>
      <c r="AL3599" s="82"/>
      <c r="AM3599" s="82"/>
      <c r="AN3599" s="82"/>
      <c r="AO3599" s="82"/>
      <c r="AP3599" s="82"/>
      <c r="AQ3599" s="82"/>
      <c r="AR3599" s="82"/>
      <c r="AS3599" s="82"/>
      <c r="AT3599" s="82"/>
      <c r="AU3599" s="82"/>
      <c r="AV3599" s="82"/>
      <c r="AW3599" s="82" t="str">
        <f t="shared" si="1"/>
        <v/>
      </c>
      <c r="AX3599" s="83" t="str">
        <f t="array" ref="AX3599">IFERROR(DGET('SBV Import'!A:G,"SBV",{"RSC ID","Tier";B3599,A3599}))</f>
        <v/>
      </c>
      <c r="AY3599" s="82" t="str">
        <f t="shared" si="2"/>
        <v/>
      </c>
      <c r="AZ3599" s="82"/>
      <c r="BA3599" s="84" t="s">
        <v>152</v>
      </c>
      <c r="BB3599" s="84" t="str">
        <f>IFERROR(__xludf.DUMMYFUNCTION("iferror(if(A3599="""",,E3599&gt;=FILTER(Constants!$F$2:$F$10,Constants!$A$2:$A$10=A3599)))"),"")</f>
        <v/>
      </c>
    </row>
    <row r="3600">
      <c r="A3600" s="89"/>
      <c r="B3600" s="87"/>
      <c r="C3600" s="73"/>
      <c r="D3600" s="73"/>
      <c r="E3600" s="82"/>
      <c r="F3600" s="82"/>
      <c r="G3600" s="86"/>
      <c r="H3600" s="86"/>
      <c r="I3600" s="86"/>
      <c r="J3600" s="82"/>
      <c r="K3600" s="82"/>
      <c r="L3600" s="82"/>
      <c r="M3600" s="82"/>
      <c r="N3600" s="82"/>
      <c r="O3600" s="82"/>
      <c r="P3600" s="82"/>
      <c r="Q3600" s="82"/>
      <c r="R3600" s="82"/>
      <c r="S3600" s="82"/>
      <c r="T3600" s="82"/>
      <c r="U3600" s="82"/>
      <c r="V3600" s="82"/>
      <c r="W3600" s="82"/>
      <c r="X3600" s="82"/>
      <c r="Y3600" s="82"/>
      <c r="Z3600" s="82"/>
      <c r="AA3600" s="82"/>
      <c r="AB3600" s="82"/>
      <c r="AC3600" s="82"/>
      <c r="AD3600" s="82"/>
      <c r="AE3600" s="82"/>
      <c r="AF3600" s="82"/>
      <c r="AG3600" s="82"/>
      <c r="AH3600" s="82"/>
      <c r="AI3600" s="82"/>
      <c r="AJ3600" s="82"/>
      <c r="AK3600" s="82"/>
      <c r="AL3600" s="82"/>
      <c r="AM3600" s="82"/>
      <c r="AN3600" s="82"/>
      <c r="AO3600" s="82"/>
      <c r="AP3600" s="82"/>
      <c r="AQ3600" s="82"/>
      <c r="AR3600" s="82"/>
      <c r="AS3600" s="82"/>
      <c r="AT3600" s="82"/>
      <c r="AU3600" s="82"/>
      <c r="AV3600" s="82"/>
      <c r="AW3600" s="82" t="str">
        <f t="shared" si="1"/>
        <v/>
      </c>
      <c r="AX3600" s="83" t="str">
        <f t="array" ref="AX3600">IFERROR(DGET('SBV Import'!A:G,"SBV",{"RSC ID","Tier";B3600,A3600}))</f>
        <v/>
      </c>
      <c r="AY3600" s="82" t="str">
        <f t="shared" si="2"/>
        <v/>
      </c>
      <c r="AZ3600" s="82"/>
      <c r="BA3600" s="84" t="s">
        <v>152</v>
      </c>
      <c r="BB3600" s="84" t="str">
        <f>IFERROR(__xludf.DUMMYFUNCTION("iferror(if(A3600="""",,E3600&gt;=FILTER(Constants!$F$2:$F$10,Constants!$A$2:$A$10=A3600)))"),"")</f>
        <v/>
      </c>
    </row>
    <row r="3601">
      <c r="A3601" s="89"/>
      <c r="B3601" s="87"/>
      <c r="C3601" s="73"/>
      <c r="D3601" s="73"/>
      <c r="E3601" s="82"/>
      <c r="F3601" s="82"/>
      <c r="G3601" s="86"/>
      <c r="H3601" s="86"/>
      <c r="I3601" s="86"/>
      <c r="J3601" s="82"/>
      <c r="K3601" s="82"/>
      <c r="L3601" s="82"/>
      <c r="M3601" s="82"/>
      <c r="N3601" s="82"/>
      <c r="O3601" s="82"/>
      <c r="P3601" s="82"/>
      <c r="Q3601" s="82"/>
      <c r="R3601" s="82"/>
      <c r="S3601" s="82"/>
      <c r="T3601" s="82"/>
      <c r="U3601" s="82"/>
      <c r="V3601" s="82"/>
      <c r="W3601" s="82"/>
      <c r="X3601" s="82"/>
      <c r="Y3601" s="82"/>
      <c r="Z3601" s="82"/>
      <c r="AA3601" s="82"/>
      <c r="AB3601" s="82"/>
      <c r="AC3601" s="82"/>
      <c r="AD3601" s="82"/>
      <c r="AE3601" s="82"/>
      <c r="AF3601" s="82"/>
      <c r="AG3601" s="82"/>
      <c r="AH3601" s="82"/>
      <c r="AI3601" s="82"/>
      <c r="AJ3601" s="82"/>
      <c r="AK3601" s="82"/>
      <c r="AL3601" s="82"/>
      <c r="AM3601" s="82"/>
      <c r="AN3601" s="82"/>
      <c r="AO3601" s="82"/>
      <c r="AP3601" s="82"/>
      <c r="AQ3601" s="82"/>
      <c r="AR3601" s="82"/>
      <c r="AS3601" s="82"/>
      <c r="AT3601" s="82"/>
      <c r="AU3601" s="82"/>
      <c r="AV3601" s="82"/>
      <c r="AW3601" s="82" t="str">
        <f t="shared" si="1"/>
        <v/>
      </c>
      <c r="AX3601" s="83" t="str">
        <f t="array" ref="AX3601">IFERROR(DGET('SBV Import'!A:G,"SBV",{"RSC ID","Tier";B3601,A3601}))</f>
        <v/>
      </c>
      <c r="AY3601" s="82" t="str">
        <f t="shared" si="2"/>
        <v/>
      </c>
      <c r="AZ3601" s="82"/>
      <c r="BA3601" s="84" t="s">
        <v>152</v>
      </c>
      <c r="BB3601" s="84" t="str">
        <f>IFERROR(__xludf.DUMMYFUNCTION("iferror(if(A3601="""",,E3601&gt;=FILTER(Constants!$F$2:$F$10,Constants!$A$2:$A$10=A3601)))"),"")</f>
        <v/>
      </c>
    </row>
    <row r="3602">
      <c r="A3602" s="89"/>
      <c r="B3602" s="87"/>
      <c r="C3602" s="73"/>
      <c r="D3602" s="73"/>
      <c r="E3602" s="82"/>
      <c r="F3602" s="82"/>
      <c r="G3602" s="86"/>
      <c r="H3602" s="86"/>
      <c r="I3602" s="86"/>
      <c r="J3602" s="82"/>
      <c r="K3602" s="82"/>
      <c r="L3602" s="82"/>
      <c r="M3602" s="82"/>
      <c r="N3602" s="82"/>
      <c r="O3602" s="82"/>
      <c r="P3602" s="82"/>
      <c r="Q3602" s="82"/>
      <c r="R3602" s="82"/>
      <c r="S3602" s="82"/>
      <c r="T3602" s="82"/>
      <c r="U3602" s="82"/>
      <c r="V3602" s="82"/>
      <c r="W3602" s="82"/>
      <c r="X3602" s="82"/>
      <c r="Y3602" s="82"/>
      <c r="Z3602" s="82"/>
      <c r="AA3602" s="82"/>
      <c r="AB3602" s="82"/>
      <c r="AC3602" s="82"/>
      <c r="AD3602" s="82"/>
      <c r="AE3602" s="82"/>
      <c r="AF3602" s="82"/>
      <c r="AG3602" s="82"/>
      <c r="AH3602" s="82"/>
      <c r="AI3602" s="82"/>
      <c r="AJ3602" s="82"/>
      <c r="AK3602" s="82"/>
      <c r="AL3602" s="82"/>
      <c r="AM3602" s="82"/>
      <c r="AN3602" s="82"/>
      <c r="AO3602" s="82"/>
      <c r="AP3602" s="82"/>
      <c r="AQ3602" s="82"/>
      <c r="AR3602" s="82"/>
      <c r="AS3602" s="82"/>
      <c r="AT3602" s="82"/>
      <c r="AU3602" s="82"/>
      <c r="AV3602" s="82"/>
      <c r="AW3602" s="82" t="str">
        <f t="shared" si="1"/>
        <v/>
      </c>
      <c r="AX3602" s="83" t="str">
        <f t="array" ref="AX3602">IFERROR(DGET('SBV Import'!A:G,"SBV",{"RSC ID","Tier";B3602,A3602}))</f>
        <v/>
      </c>
      <c r="AY3602" s="82" t="str">
        <f t="shared" si="2"/>
        <v/>
      </c>
      <c r="AZ3602" s="82"/>
      <c r="BA3602" s="84" t="s">
        <v>152</v>
      </c>
      <c r="BB3602" s="84" t="str">
        <f>IFERROR(__xludf.DUMMYFUNCTION("iferror(if(A3602="""",,E3602&gt;=FILTER(Constants!$F$2:$F$10,Constants!$A$2:$A$10=A3602)))"),"")</f>
        <v/>
      </c>
    </row>
    <row r="3603">
      <c r="A3603" s="89"/>
      <c r="B3603" s="87"/>
      <c r="C3603" s="73"/>
      <c r="D3603" s="73"/>
      <c r="E3603" s="82"/>
      <c r="F3603" s="82"/>
      <c r="G3603" s="86"/>
      <c r="H3603" s="86"/>
      <c r="I3603" s="86"/>
      <c r="J3603" s="82"/>
      <c r="K3603" s="82"/>
      <c r="L3603" s="82"/>
      <c r="M3603" s="82"/>
      <c r="N3603" s="82"/>
      <c r="O3603" s="82"/>
      <c r="P3603" s="82"/>
      <c r="Q3603" s="82"/>
      <c r="R3603" s="82"/>
      <c r="S3603" s="82"/>
      <c r="T3603" s="82"/>
      <c r="U3603" s="82"/>
      <c r="V3603" s="82"/>
      <c r="W3603" s="82"/>
      <c r="X3603" s="82"/>
      <c r="Y3603" s="82"/>
      <c r="Z3603" s="82"/>
      <c r="AA3603" s="82"/>
      <c r="AB3603" s="82"/>
      <c r="AC3603" s="82"/>
      <c r="AD3603" s="82"/>
      <c r="AE3603" s="82"/>
      <c r="AF3603" s="82"/>
      <c r="AG3603" s="82"/>
      <c r="AH3603" s="82"/>
      <c r="AI3603" s="82"/>
      <c r="AJ3603" s="82"/>
      <c r="AK3603" s="82"/>
      <c r="AL3603" s="82"/>
      <c r="AM3603" s="82"/>
      <c r="AN3603" s="82"/>
      <c r="AO3603" s="82"/>
      <c r="AP3603" s="82"/>
      <c r="AQ3603" s="82"/>
      <c r="AR3603" s="82"/>
      <c r="AS3603" s="82"/>
      <c r="AT3603" s="82"/>
      <c r="AU3603" s="82"/>
      <c r="AV3603" s="82"/>
      <c r="AW3603" s="82" t="str">
        <f t="shared" si="1"/>
        <v/>
      </c>
      <c r="AX3603" s="83" t="str">
        <f t="array" ref="AX3603">IFERROR(DGET('SBV Import'!A:G,"SBV",{"RSC ID","Tier";B3603,A3603}))</f>
        <v/>
      </c>
      <c r="AY3603" s="82" t="str">
        <f t="shared" si="2"/>
        <v/>
      </c>
      <c r="AZ3603" s="82"/>
      <c r="BA3603" s="84" t="s">
        <v>152</v>
      </c>
      <c r="BB3603" s="84" t="str">
        <f>IFERROR(__xludf.DUMMYFUNCTION("iferror(if(A3603="""",,E3603&gt;=FILTER(Constants!$F$2:$F$10,Constants!$A$2:$A$10=A3603)))"),"")</f>
        <v/>
      </c>
    </row>
    <row r="3604">
      <c r="A3604" s="89"/>
      <c r="B3604" s="87"/>
      <c r="C3604" s="73"/>
      <c r="D3604" s="73"/>
      <c r="E3604" s="82"/>
      <c r="F3604" s="82"/>
      <c r="G3604" s="86"/>
      <c r="H3604" s="86"/>
      <c r="I3604" s="86"/>
      <c r="J3604" s="82"/>
      <c r="K3604" s="82"/>
      <c r="L3604" s="82"/>
      <c r="M3604" s="82"/>
      <c r="N3604" s="82"/>
      <c r="O3604" s="82"/>
      <c r="P3604" s="82"/>
      <c r="Q3604" s="82"/>
      <c r="R3604" s="82"/>
      <c r="S3604" s="82"/>
      <c r="T3604" s="82"/>
      <c r="U3604" s="82"/>
      <c r="V3604" s="82"/>
      <c r="W3604" s="82"/>
      <c r="X3604" s="82"/>
      <c r="Y3604" s="82"/>
      <c r="Z3604" s="82"/>
      <c r="AA3604" s="82"/>
      <c r="AB3604" s="82"/>
      <c r="AC3604" s="82"/>
      <c r="AD3604" s="82"/>
      <c r="AE3604" s="82"/>
      <c r="AF3604" s="82"/>
      <c r="AG3604" s="82"/>
      <c r="AH3604" s="82"/>
      <c r="AI3604" s="82"/>
      <c r="AJ3604" s="82"/>
      <c r="AK3604" s="82"/>
      <c r="AL3604" s="82"/>
      <c r="AM3604" s="82"/>
      <c r="AN3604" s="82"/>
      <c r="AO3604" s="82"/>
      <c r="AP3604" s="82"/>
      <c r="AQ3604" s="82"/>
      <c r="AR3604" s="82"/>
      <c r="AS3604" s="82"/>
      <c r="AT3604" s="82"/>
      <c r="AU3604" s="82"/>
      <c r="AV3604" s="82"/>
      <c r="AW3604" s="82" t="str">
        <f t="shared" si="1"/>
        <v/>
      </c>
      <c r="AX3604" s="83" t="str">
        <f t="array" ref="AX3604">IFERROR(DGET('SBV Import'!A:G,"SBV",{"RSC ID","Tier";B3604,A3604}))</f>
        <v/>
      </c>
      <c r="AY3604" s="82" t="str">
        <f t="shared" si="2"/>
        <v/>
      </c>
      <c r="AZ3604" s="82"/>
      <c r="BA3604" s="84" t="s">
        <v>152</v>
      </c>
      <c r="BB3604" s="84" t="str">
        <f>IFERROR(__xludf.DUMMYFUNCTION("iferror(if(A3604="""",,E3604&gt;=FILTER(Constants!$F$2:$F$10,Constants!$A$2:$A$10=A3604)))"),"")</f>
        <v/>
      </c>
    </row>
    <row r="3605">
      <c r="A3605" s="89"/>
      <c r="B3605" s="87"/>
      <c r="C3605" s="73"/>
      <c r="D3605" s="73"/>
      <c r="E3605" s="82"/>
      <c r="F3605" s="82"/>
      <c r="G3605" s="86"/>
      <c r="H3605" s="86"/>
      <c r="I3605" s="86"/>
      <c r="J3605" s="82"/>
      <c r="K3605" s="82"/>
      <c r="L3605" s="82"/>
      <c r="M3605" s="82"/>
      <c r="N3605" s="82"/>
      <c r="O3605" s="82"/>
      <c r="P3605" s="82"/>
      <c r="Q3605" s="82"/>
      <c r="R3605" s="82"/>
      <c r="S3605" s="82"/>
      <c r="T3605" s="82"/>
      <c r="U3605" s="82"/>
      <c r="V3605" s="82"/>
      <c r="W3605" s="82"/>
      <c r="X3605" s="82"/>
      <c r="Y3605" s="82"/>
      <c r="Z3605" s="82"/>
      <c r="AA3605" s="82"/>
      <c r="AB3605" s="82"/>
      <c r="AC3605" s="82"/>
      <c r="AD3605" s="82"/>
      <c r="AE3605" s="82"/>
      <c r="AF3605" s="82"/>
      <c r="AG3605" s="82"/>
      <c r="AH3605" s="82"/>
      <c r="AI3605" s="82"/>
      <c r="AJ3605" s="82"/>
      <c r="AK3605" s="82"/>
      <c r="AL3605" s="82"/>
      <c r="AM3605" s="82"/>
      <c r="AN3605" s="82"/>
      <c r="AO3605" s="82"/>
      <c r="AP3605" s="82"/>
      <c r="AQ3605" s="82"/>
      <c r="AR3605" s="82"/>
      <c r="AS3605" s="82"/>
      <c r="AT3605" s="82"/>
      <c r="AU3605" s="82"/>
      <c r="AV3605" s="82"/>
      <c r="AW3605" s="82" t="str">
        <f t="shared" si="1"/>
        <v/>
      </c>
      <c r="AX3605" s="83" t="str">
        <f t="array" ref="AX3605">IFERROR(DGET('SBV Import'!A:G,"SBV",{"RSC ID","Tier";B3605,A3605}))</f>
        <v/>
      </c>
      <c r="AY3605" s="82" t="str">
        <f t="shared" si="2"/>
        <v/>
      </c>
      <c r="AZ3605" s="82"/>
      <c r="BA3605" s="84" t="s">
        <v>152</v>
      </c>
      <c r="BB3605" s="84" t="str">
        <f>IFERROR(__xludf.DUMMYFUNCTION("iferror(if(A3605="""",,E3605&gt;=FILTER(Constants!$F$2:$F$10,Constants!$A$2:$A$10=A3605)))"),"")</f>
        <v/>
      </c>
    </row>
    <row r="3606">
      <c r="A3606" s="89"/>
      <c r="B3606" s="87"/>
      <c r="C3606" s="73"/>
      <c r="D3606" s="73"/>
      <c r="E3606" s="82"/>
      <c r="F3606" s="82"/>
      <c r="G3606" s="86"/>
      <c r="H3606" s="86"/>
      <c r="I3606" s="86"/>
      <c r="J3606" s="82"/>
      <c r="K3606" s="82"/>
      <c r="L3606" s="82"/>
      <c r="M3606" s="82"/>
      <c r="N3606" s="82"/>
      <c r="O3606" s="82"/>
      <c r="P3606" s="82"/>
      <c r="Q3606" s="82"/>
      <c r="R3606" s="82"/>
      <c r="S3606" s="82"/>
      <c r="T3606" s="82"/>
      <c r="U3606" s="82"/>
      <c r="V3606" s="82"/>
      <c r="W3606" s="82"/>
      <c r="X3606" s="82"/>
      <c r="Y3606" s="82"/>
      <c r="Z3606" s="82"/>
      <c r="AA3606" s="82"/>
      <c r="AB3606" s="82"/>
      <c r="AC3606" s="82"/>
      <c r="AD3606" s="82"/>
      <c r="AE3606" s="82"/>
      <c r="AF3606" s="82"/>
      <c r="AG3606" s="82"/>
      <c r="AH3606" s="82"/>
      <c r="AI3606" s="82"/>
      <c r="AJ3606" s="82"/>
      <c r="AK3606" s="82"/>
      <c r="AL3606" s="82"/>
      <c r="AM3606" s="82"/>
      <c r="AN3606" s="82"/>
      <c r="AO3606" s="82"/>
      <c r="AP3606" s="82"/>
      <c r="AQ3606" s="82"/>
      <c r="AR3606" s="82"/>
      <c r="AS3606" s="82"/>
      <c r="AT3606" s="82"/>
      <c r="AU3606" s="82"/>
      <c r="AV3606" s="82"/>
      <c r="AW3606" s="82" t="str">
        <f t="shared" si="1"/>
        <v/>
      </c>
      <c r="AX3606" s="83" t="str">
        <f t="array" ref="AX3606">IFERROR(DGET('SBV Import'!A:G,"SBV",{"RSC ID","Tier";B3606,A3606}))</f>
        <v/>
      </c>
      <c r="AY3606" s="82" t="str">
        <f t="shared" si="2"/>
        <v/>
      </c>
      <c r="AZ3606" s="82"/>
      <c r="BA3606" s="84" t="s">
        <v>152</v>
      </c>
      <c r="BB3606" s="84" t="str">
        <f>IFERROR(__xludf.DUMMYFUNCTION("iferror(if(A3606="""",,E3606&gt;=FILTER(Constants!$F$2:$F$10,Constants!$A$2:$A$10=A3606)))"),"")</f>
        <v/>
      </c>
    </row>
    <row r="3607">
      <c r="A3607" s="89"/>
      <c r="B3607" s="87"/>
      <c r="C3607" s="73"/>
      <c r="D3607" s="73"/>
      <c r="E3607" s="82"/>
      <c r="F3607" s="82"/>
      <c r="G3607" s="86"/>
      <c r="H3607" s="86"/>
      <c r="I3607" s="86"/>
      <c r="J3607" s="82"/>
      <c r="K3607" s="82"/>
      <c r="L3607" s="82"/>
      <c r="M3607" s="82"/>
      <c r="N3607" s="82"/>
      <c r="O3607" s="82"/>
      <c r="P3607" s="82"/>
      <c r="Q3607" s="82"/>
      <c r="R3607" s="82"/>
      <c r="S3607" s="82"/>
      <c r="T3607" s="82"/>
      <c r="U3607" s="82"/>
      <c r="V3607" s="82"/>
      <c r="W3607" s="82"/>
      <c r="X3607" s="82"/>
      <c r="Y3607" s="82"/>
      <c r="Z3607" s="82"/>
      <c r="AA3607" s="82"/>
      <c r="AB3607" s="82"/>
      <c r="AC3607" s="82"/>
      <c r="AD3607" s="82"/>
      <c r="AE3607" s="82"/>
      <c r="AF3607" s="82"/>
      <c r="AG3607" s="82"/>
      <c r="AH3607" s="82"/>
      <c r="AI3607" s="82"/>
      <c r="AJ3607" s="82"/>
      <c r="AK3607" s="82"/>
      <c r="AL3607" s="82"/>
      <c r="AM3607" s="82"/>
      <c r="AN3607" s="82"/>
      <c r="AO3607" s="82"/>
      <c r="AP3607" s="82"/>
      <c r="AQ3607" s="82"/>
      <c r="AR3607" s="82"/>
      <c r="AS3607" s="82"/>
      <c r="AT3607" s="82"/>
      <c r="AU3607" s="82"/>
      <c r="AV3607" s="82"/>
      <c r="AW3607" s="82" t="str">
        <f t="shared" si="1"/>
        <v/>
      </c>
      <c r="AX3607" s="83" t="str">
        <f t="array" ref="AX3607">IFERROR(DGET('SBV Import'!A:G,"SBV",{"RSC ID","Tier";B3607,A3607}))</f>
        <v/>
      </c>
      <c r="AY3607" s="82" t="str">
        <f t="shared" si="2"/>
        <v/>
      </c>
      <c r="AZ3607" s="82"/>
      <c r="BA3607" s="84" t="s">
        <v>152</v>
      </c>
      <c r="BB3607" s="84" t="str">
        <f>IFERROR(__xludf.DUMMYFUNCTION("iferror(if(A3607="""",,E3607&gt;=FILTER(Constants!$F$2:$F$10,Constants!$A$2:$A$10=A3607)))"),"")</f>
        <v/>
      </c>
    </row>
    <row r="3608">
      <c r="A3608" s="89"/>
      <c r="B3608" s="87"/>
      <c r="C3608" s="73"/>
      <c r="D3608" s="73"/>
      <c r="E3608" s="82"/>
      <c r="F3608" s="82"/>
      <c r="G3608" s="86"/>
      <c r="H3608" s="86"/>
      <c r="I3608" s="86"/>
      <c r="J3608" s="82"/>
      <c r="K3608" s="82"/>
      <c r="L3608" s="82"/>
      <c r="M3608" s="82"/>
      <c r="N3608" s="82"/>
      <c r="O3608" s="82"/>
      <c r="P3608" s="82"/>
      <c r="Q3608" s="82"/>
      <c r="R3608" s="82"/>
      <c r="S3608" s="82"/>
      <c r="T3608" s="82"/>
      <c r="U3608" s="82"/>
      <c r="V3608" s="82"/>
      <c r="W3608" s="82"/>
      <c r="X3608" s="82"/>
      <c r="Y3608" s="82"/>
      <c r="Z3608" s="82"/>
      <c r="AA3608" s="82"/>
      <c r="AB3608" s="82"/>
      <c r="AC3608" s="82"/>
      <c r="AD3608" s="82"/>
      <c r="AE3608" s="82"/>
      <c r="AF3608" s="82"/>
      <c r="AG3608" s="82"/>
      <c r="AH3608" s="82"/>
      <c r="AI3608" s="82"/>
      <c r="AJ3608" s="82"/>
      <c r="AK3608" s="82"/>
      <c r="AL3608" s="82"/>
      <c r="AM3608" s="82"/>
      <c r="AN3608" s="82"/>
      <c r="AO3608" s="82"/>
      <c r="AP3608" s="82"/>
      <c r="AQ3608" s="82"/>
      <c r="AR3608" s="82"/>
      <c r="AS3608" s="82"/>
      <c r="AT3608" s="82"/>
      <c r="AU3608" s="82"/>
      <c r="AV3608" s="82"/>
      <c r="AW3608" s="82" t="str">
        <f t="shared" si="1"/>
        <v/>
      </c>
      <c r="AX3608" s="83" t="str">
        <f t="array" ref="AX3608">IFERROR(DGET('SBV Import'!A:G,"SBV",{"RSC ID","Tier";B3608,A3608}))</f>
        <v/>
      </c>
      <c r="AY3608" s="82" t="str">
        <f t="shared" si="2"/>
        <v/>
      </c>
      <c r="AZ3608" s="82"/>
      <c r="BA3608" s="84" t="s">
        <v>152</v>
      </c>
      <c r="BB3608" s="84" t="str">
        <f>IFERROR(__xludf.DUMMYFUNCTION("iferror(if(A3608="""",,E3608&gt;=FILTER(Constants!$F$2:$F$10,Constants!$A$2:$A$10=A3608)))"),"")</f>
        <v/>
      </c>
    </row>
    <row r="3609">
      <c r="A3609" s="89"/>
      <c r="B3609" s="87"/>
      <c r="C3609" s="73"/>
      <c r="D3609" s="73"/>
      <c r="E3609" s="82"/>
      <c r="F3609" s="82"/>
      <c r="G3609" s="86"/>
      <c r="H3609" s="86"/>
      <c r="I3609" s="86"/>
      <c r="J3609" s="82"/>
      <c r="K3609" s="82"/>
      <c r="L3609" s="82"/>
      <c r="M3609" s="82"/>
      <c r="N3609" s="82"/>
      <c r="O3609" s="82"/>
      <c r="P3609" s="82"/>
      <c r="Q3609" s="82"/>
      <c r="R3609" s="82"/>
      <c r="S3609" s="82"/>
      <c r="T3609" s="82"/>
      <c r="U3609" s="82"/>
      <c r="V3609" s="82"/>
      <c r="W3609" s="82"/>
      <c r="X3609" s="82"/>
      <c r="Y3609" s="82"/>
      <c r="Z3609" s="82"/>
      <c r="AA3609" s="82"/>
      <c r="AB3609" s="82"/>
      <c r="AC3609" s="82"/>
      <c r="AD3609" s="82"/>
      <c r="AE3609" s="82"/>
      <c r="AF3609" s="82"/>
      <c r="AG3609" s="82"/>
      <c r="AH3609" s="82"/>
      <c r="AI3609" s="82"/>
      <c r="AJ3609" s="82"/>
      <c r="AK3609" s="82"/>
      <c r="AL3609" s="82"/>
      <c r="AM3609" s="82"/>
      <c r="AN3609" s="82"/>
      <c r="AO3609" s="82"/>
      <c r="AP3609" s="82"/>
      <c r="AQ3609" s="82"/>
      <c r="AR3609" s="82"/>
      <c r="AS3609" s="82"/>
      <c r="AT3609" s="82"/>
      <c r="AU3609" s="82"/>
      <c r="AV3609" s="82"/>
      <c r="AW3609" s="82" t="str">
        <f t="shared" si="1"/>
        <v/>
      </c>
      <c r="AX3609" s="83" t="str">
        <f t="array" ref="AX3609">IFERROR(DGET('SBV Import'!A:G,"SBV",{"RSC ID","Tier";B3609,A3609}))</f>
        <v/>
      </c>
      <c r="AY3609" s="82" t="str">
        <f t="shared" si="2"/>
        <v/>
      </c>
      <c r="AZ3609" s="82"/>
      <c r="BA3609" s="84" t="s">
        <v>152</v>
      </c>
      <c r="BB3609" s="84" t="str">
        <f>IFERROR(__xludf.DUMMYFUNCTION("iferror(if(A3609="""",,E3609&gt;=FILTER(Constants!$F$2:$F$10,Constants!$A$2:$A$10=A3609)))"),"")</f>
        <v/>
      </c>
    </row>
    <row r="3610">
      <c r="A3610" s="89"/>
      <c r="B3610" s="87"/>
      <c r="C3610" s="73"/>
      <c r="D3610" s="73"/>
      <c r="E3610" s="82"/>
      <c r="F3610" s="82"/>
      <c r="G3610" s="86"/>
      <c r="H3610" s="86"/>
      <c r="I3610" s="86"/>
      <c r="J3610" s="82"/>
      <c r="K3610" s="82"/>
      <c r="L3610" s="82"/>
      <c r="M3610" s="82"/>
      <c r="N3610" s="82"/>
      <c r="O3610" s="82"/>
      <c r="P3610" s="82"/>
      <c r="Q3610" s="82"/>
      <c r="R3610" s="82"/>
      <c r="S3610" s="82"/>
      <c r="T3610" s="82"/>
      <c r="U3610" s="82"/>
      <c r="V3610" s="82"/>
      <c r="W3610" s="82"/>
      <c r="X3610" s="82"/>
      <c r="Y3610" s="82"/>
      <c r="Z3610" s="82"/>
      <c r="AA3610" s="82"/>
      <c r="AB3610" s="82"/>
      <c r="AC3610" s="82"/>
      <c r="AD3610" s="82"/>
      <c r="AE3610" s="82"/>
      <c r="AF3610" s="82"/>
      <c r="AG3610" s="82"/>
      <c r="AH3610" s="82"/>
      <c r="AI3610" s="82"/>
      <c r="AJ3610" s="82"/>
      <c r="AK3610" s="82"/>
      <c r="AL3610" s="82"/>
      <c r="AM3610" s="82"/>
      <c r="AN3610" s="82"/>
      <c r="AO3610" s="82"/>
      <c r="AP3610" s="82"/>
      <c r="AQ3610" s="82"/>
      <c r="AR3610" s="82"/>
      <c r="AS3610" s="82"/>
      <c r="AT3610" s="82"/>
      <c r="AU3610" s="82"/>
      <c r="AV3610" s="82"/>
      <c r="AW3610" s="82" t="str">
        <f t="shared" si="1"/>
        <v/>
      </c>
      <c r="AX3610" s="83" t="str">
        <f t="array" ref="AX3610">IFERROR(DGET('SBV Import'!A:G,"SBV",{"RSC ID","Tier";B3610,A3610}))</f>
        <v/>
      </c>
      <c r="AY3610" s="82" t="str">
        <f t="shared" si="2"/>
        <v/>
      </c>
      <c r="AZ3610" s="82"/>
      <c r="BA3610" s="84" t="s">
        <v>152</v>
      </c>
      <c r="BB3610" s="84" t="str">
        <f>IFERROR(__xludf.DUMMYFUNCTION("iferror(if(A3610="""",,E3610&gt;=FILTER(Constants!$F$2:$F$10,Constants!$A$2:$A$10=A3610)))"),"")</f>
        <v/>
      </c>
    </row>
    <row r="3611">
      <c r="A3611" s="89"/>
      <c r="B3611" s="87"/>
      <c r="C3611" s="73"/>
      <c r="D3611" s="73"/>
      <c r="E3611" s="82"/>
      <c r="F3611" s="82"/>
      <c r="G3611" s="86"/>
      <c r="H3611" s="86"/>
      <c r="I3611" s="86"/>
      <c r="J3611" s="82"/>
      <c r="K3611" s="82"/>
      <c r="L3611" s="82"/>
      <c r="M3611" s="82"/>
      <c r="N3611" s="82"/>
      <c r="O3611" s="82"/>
      <c r="P3611" s="82"/>
      <c r="Q3611" s="82"/>
      <c r="R3611" s="82"/>
      <c r="S3611" s="82"/>
      <c r="T3611" s="82"/>
      <c r="U3611" s="82"/>
      <c r="V3611" s="82"/>
      <c r="W3611" s="82"/>
      <c r="X3611" s="82"/>
      <c r="Y3611" s="82"/>
      <c r="Z3611" s="82"/>
      <c r="AA3611" s="82"/>
      <c r="AB3611" s="82"/>
      <c r="AC3611" s="82"/>
      <c r="AD3611" s="82"/>
      <c r="AE3611" s="82"/>
      <c r="AF3611" s="82"/>
      <c r="AG3611" s="82"/>
      <c r="AH3611" s="82"/>
      <c r="AI3611" s="82"/>
      <c r="AJ3611" s="82"/>
      <c r="AK3611" s="82"/>
      <c r="AL3611" s="82"/>
      <c r="AM3611" s="82"/>
      <c r="AN3611" s="82"/>
      <c r="AO3611" s="82"/>
      <c r="AP3611" s="82"/>
      <c r="AQ3611" s="82"/>
      <c r="AR3611" s="82"/>
      <c r="AS3611" s="82"/>
      <c r="AT3611" s="82"/>
      <c r="AU3611" s="82"/>
      <c r="AV3611" s="82"/>
      <c r="AW3611" s="82" t="str">
        <f t="shared" si="1"/>
        <v/>
      </c>
      <c r="AX3611" s="83" t="str">
        <f t="array" ref="AX3611">IFERROR(DGET('SBV Import'!A:G,"SBV",{"RSC ID","Tier";B3611,A3611}))</f>
        <v/>
      </c>
      <c r="AY3611" s="82" t="str">
        <f t="shared" si="2"/>
        <v/>
      </c>
      <c r="AZ3611" s="82"/>
      <c r="BA3611" s="84" t="s">
        <v>152</v>
      </c>
      <c r="BB3611" s="84" t="str">
        <f>IFERROR(__xludf.DUMMYFUNCTION("iferror(if(A3611="""",,E3611&gt;=FILTER(Constants!$F$2:$F$10,Constants!$A$2:$A$10=A3611)))"),"")</f>
        <v/>
      </c>
    </row>
    <row r="3612">
      <c r="A3612" s="89"/>
      <c r="B3612" s="87"/>
      <c r="C3612" s="73"/>
      <c r="D3612" s="73"/>
      <c r="E3612" s="82"/>
      <c r="F3612" s="82"/>
      <c r="G3612" s="86"/>
      <c r="H3612" s="86"/>
      <c r="I3612" s="86"/>
      <c r="J3612" s="82"/>
      <c r="K3612" s="82"/>
      <c r="L3612" s="82"/>
      <c r="M3612" s="82"/>
      <c r="N3612" s="82"/>
      <c r="O3612" s="82"/>
      <c r="P3612" s="82"/>
      <c r="Q3612" s="82"/>
      <c r="R3612" s="82"/>
      <c r="S3612" s="82"/>
      <c r="T3612" s="82"/>
      <c r="U3612" s="82"/>
      <c r="V3612" s="82"/>
      <c r="W3612" s="82"/>
      <c r="X3612" s="82"/>
      <c r="Y3612" s="82"/>
      <c r="Z3612" s="82"/>
      <c r="AA3612" s="82"/>
      <c r="AB3612" s="82"/>
      <c r="AC3612" s="82"/>
      <c r="AD3612" s="82"/>
      <c r="AE3612" s="82"/>
      <c r="AF3612" s="82"/>
      <c r="AG3612" s="82"/>
      <c r="AH3612" s="82"/>
      <c r="AI3612" s="82"/>
      <c r="AJ3612" s="82"/>
      <c r="AK3612" s="82"/>
      <c r="AL3612" s="82"/>
      <c r="AM3612" s="82"/>
      <c r="AN3612" s="82"/>
      <c r="AO3612" s="82"/>
      <c r="AP3612" s="82"/>
      <c r="AQ3612" s="82"/>
      <c r="AR3612" s="82"/>
      <c r="AS3612" s="82"/>
      <c r="AT3612" s="82"/>
      <c r="AU3612" s="82"/>
      <c r="AV3612" s="82"/>
      <c r="AW3612" s="82" t="str">
        <f t="shared" si="1"/>
        <v/>
      </c>
      <c r="AX3612" s="83" t="str">
        <f t="array" ref="AX3612">IFERROR(DGET('SBV Import'!A:G,"SBV",{"RSC ID","Tier";B3612,A3612}))</f>
        <v/>
      </c>
      <c r="AY3612" s="82" t="str">
        <f t="shared" si="2"/>
        <v/>
      </c>
      <c r="AZ3612" s="82"/>
      <c r="BA3612" s="84" t="s">
        <v>152</v>
      </c>
      <c r="BB3612" s="84" t="str">
        <f>IFERROR(__xludf.DUMMYFUNCTION("iferror(if(A3612="""",,E3612&gt;=FILTER(Constants!$F$2:$F$10,Constants!$A$2:$A$10=A3612)))"),"")</f>
        <v/>
      </c>
    </row>
    <row r="3613">
      <c r="A3613" s="89"/>
      <c r="B3613" s="87"/>
      <c r="C3613" s="73"/>
      <c r="D3613" s="73"/>
      <c r="E3613" s="82"/>
      <c r="F3613" s="82"/>
      <c r="G3613" s="86"/>
      <c r="H3613" s="86"/>
      <c r="I3613" s="86"/>
      <c r="J3613" s="82"/>
      <c r="K3613" s="82"/>
      <c r="L3613" s="82"/>
      <c r="M3613" s="82"/>
      <c r="N3613" s="82"/>
      <c r="O3613" s="82"/>
      <c r="P3613" s="82"/>
      <c r="Q3613" s="82"/>
      <c r="R3613" s="82"/>
      <c r="S3613" s="82"/>
      <c r="T3613" s="82"/>
      <c r="U3613" s="82"/>
      <c r="V3613" s="82"/>
      <c r="W3613" s="82"/>
      <c r="X3613" s="82"/>
      <c r="Y3613" s="82"/>
      <c r="Z3613" s="82"/>
      <c r="AA3613" s="82"/>
      <c r="AB3613" s="82"/>
      <c r="AC3613" s="82"/>
      <c r="AD3613" s="82"/>
      <c r="AE3613" s="82"/>
      <c r="AF3613" s="82"/>
      <c r="AG3613" s="82"/>
      <c r="AH3613" s="82"/>
      <c r="AI3613" s="82"/>
      <c r="AJ3613" s="82"/>
      <c r="AK3613" s="82"/>
      <c r="AL3613" s="82"/>
      <c r="AM3613" s="82"/>
      <c r="AN3613" s="82"/>
      <c r="AO3613" s="82"/>
      <c r="AP3613" s="82"/>
      <c r="AQ3613" s="82"/>
      <c r="AR3613" s="82"/>
      <c r="AS3613" s="82"/>
      <c r="AT3613" s="82"/>
      <c r="AU3613" s="82"/>
      <c r="AV3613" s="82"/>
      <c r="AW3613" s="82" t="str">
        <f t="shared" si="1"/>
        <v/>
      </c>
      <c r="AX3613" s="83" t="str">
        <f t="array" ref="AX3613">IFERROR(DGET('SBV Import'!A:G,"SBV",{"RSC ID","Tier";B3613,A3613}))</f>
        <v/>
      </c>
      <c r="AY3613" s="82" t="str">
        <f t="shared" si="2"/>
        <v/>
      </c>
      <c r="AZ3613" s="82"/>
      <c r="BA3613" s="84" t="s">
        <v>152</v>
      </c>
      <c r="BB3613" s="84" t="str">
        <f>IFERROR(__xludf.DUMMYFUNCTION("iferror(if(A3613="""",,E3613&gt;=FILTER(Constants!$F$2:$F$10,Constants!$A$2:$A$10=A3613)))"),"")</f>
        <v/>
      </c>
    </row>
    <row r="3614">
      <c r="A3614" s="89"/>
      <c r="B3614" s="87"/>
      <c r="C3614" s="73"/>
      <c r="D3614" s="73"/>
      <c r="E3614" s="82"/>
      <c r="F3614" s="82"/>
      <c r="G3614" s="86"/>
      <c r="H3614" s="86"/>
      <c r="I3614" s="86"/>
      <c r="J3614" s="82"/>
      <c r="K3614" s="82"/>
      <c r="L3614" s="82"/>
      <c r="M3614" s="82"/>
      <c r="N3614" s="82"/>
      <c r="O3614" s="82"/>
      <c r="P3614" s="82"/>
      <c r="Q3614" s="82"/>
      <c r="R3614" s="82"/>
      <c r="S3614" s="82"/>
      <c r="T3614" s="82"/>
      <c r="U3614" s="82"/>
      <c r="V3614" s="82"/>
      <c r="W3614" s="82"/>
      <c r="X3614" s="82"/>
      <c r="Y3614" s="82"/>
      <c r="Z3614" s="82"/>
      <c r="AA3614" s="82"/>
      <c r="AB3614" s="82"/>
      <c r="AC3614" s="82"/>
      <c r="AD3614" s="82"/>
      <c r="AE3614" s="82"/>
      <c r="AF3614" s="82"/>
      <c r="AG3614" s="82"/>
      <c r="AH3614" s="82"/>
      <c r="AI3614" s="82"/>
      <c r="AJ3614" s="82"/>
      <c r="AK3614" s="82"/>
      <c r="AL3614" s="82"/>
      <c r="AM3614" s="82"/>
      <c r="AN3614" s="82"/>
      <c r="AO3614" s="82"/>
      <c r="AP3614" s="82"/>
      <c r="AQ3614" s="82"/>
      <c r="AR3614" s="82"/>
      <c r="AS3614" s="82"/>
      <c r="AT3614" s="82"/>
      <c r="AU3614" s="82"/>
      <c r="AV3614" s="82"/>
      <c r="AW3614" s="82" t="str">
        <f t="shared" si="1"/>
        <v/>
      </c>
      <c r="AX3614" s="83" t="str">
        <f t="array" ref="AX3614">IFERROR(DGET('SBV Import'!A:G,"SBV",{"RSC ID","Tier";B3614,A3614}))</f>
        <v/>
      </c>
      <c r="AY3614" s="82" t="str">
        <f t="shared" si="2"/>
        <v/>
      </c>
      <c r="AZ3614" s="82"/>
      <c r="BA3614" s="84" t="s">
        <v>152</v>
      </c>
      <c r="BB3614" s="84" t="str">
        <f>IFERROR(__xludf.DUMMYFUNCTION("iferror(if(A3614="""",,E3614&gt;=FILTER(Constants!$F$2:$F$10,Constants!$A$2:$A$10=A3614)))"),"")</f>
        <v/>
      </c>
    </row>
    <row r="3615">
      <c r="A3615" s="89"/>
      <c r="B3615" s="87"/>
      <c r="C3615" s="73"/>
      <c r="D3615" s="73"/>
      <c r="E3615" s="82"/>
      <c r="F3615" s="82"/>
      <c r="G3615" s="86"/>
      <c r="H3615" s="86"/>
      <c r="I3615" s="86"/>
      <c r="J3615" s="82"/>
      <c r="K3615" s="82"/>
      <c r="L3615" s="82"/>
      <c r="M3615" s="82"/>
      <c r="N3615" s="82"/>
      <c r="O3615" s="82"/>
      <c r="P3615" s="82"/>
      <c r="Q3615" s="82"/>
      <c r="R3615" s="82"/>
      <c r="S3615" s="82"/>
      <c r="T3615" s="82"/>
      <c r="U3615" s="82"/>
      <c r="V3615" s="82"/>
      <c r="W3615" s="82"/>
      <c r="X3615" s="82"/>
      <c r="Y3615" s="82"/>
      <c r="Z3615" s="82"/>
      <c r="AA3615" s="82"/>
      <c r="AB3615" s="82"/>
      <c r="AC3615" s="82"/>
      <c r="AD3615" s="82"/>
      <c r="AE3615" s="82"/>
      <c r="AF3615" s="82"/>
      <c r="AG3615" s="82"/>
      <c r="AH3615" s="82"/>
      <c r="AI3615" s="82"/>
      <c r="AJ3615" s="82"/>
      <c r="AK3615" s="82"/>
      <c r="AL3615" s="82"/>
      <c r="AM3615" s="82"/>
      <c r="AN3615" s="82"/>
      <c r="AO3615" s="82"/>
      <c r="AP3615" s="82"/>
      <c r="AQ3615" s="82"/>
      <c r="AR3615" s="82"/>
      <c r="AS3615" s="82"/>
      <c r="AT3615" s="82"/>
      <c r="AU3615" s="82"/>
      <c r="AV3615" s="82"/>
      <c r="AW3615" s="82" t="str">
        <f t="shared" si="1"/>
        <v/>
      </c>
      <c r="AX3615" s="83" t="str">
        <f t="array" ref="AX3615">IFERROR(DGET('SBV Import'!A:G,"SBV",{"RSC ID","Tier";B3615,A3615}))</f>
        <v/>
      </c>
      <c r="AY3615" s="82" t="str">
        <f t="shared" si="2"/>
        <v/>
      </c>
      <c r="AZ3615" s="82"/>
      <c r="BA3615" s="84" t="s">
        <v>152</v>
      </c>
      <c r="BB3615" s="84" t="str">
        <f>IFERROR(__xludf.DUMMYFUNCTION("iferror(if(A3615="""",,E3615&gt;=FILTER(Constants!$F$2:$F$10,Constants!$A$2:$A$10=A3615)))"),"")</f>
        <v/>
      </c>
    </row>
    <row r="3616">
      <c r="A3616" s="89"/>
      <c r="B3616" s="87"/>
      <c r="C3616" s="73"/>
      <c r="D3616" s="73"/>
      <c r="E3616" s="82"/>
      <c r="F3616" s="82"/>
      <c r="G3616" s="86"/>
      <c r="H3616" s="86"/>
      <c r="I3616" s="86"/>
      <c r="J3616" s="82"/>
      <c r="K3616" s="82"/>
      <c r="L3616" s="82"/>
      <c r="M3616" s="82"/>
      <c r="N3616" s="82"/>
      <c r="O3616" s="82"/>
      <c r="P3616" s="82"/>
      <c r="Q3616" s="82"/>
      <c r="R3616" s="82"/>
      <c r="S3616" s="82"/>
      <c r="T3616" s="82"/>
      <c r="U3616" s="82"/>
      <c r="V3616" s="82"/>
      <c r="W3616" s="82"/>
      <c r="X3616" s="82"/>
      <c r="Y3616" s="82"/>
      <c r="Z3616" s="82"/>
      <c r="AA3616" s="82"/>
      <c r="AB3616" s="82"/>
      <c r="AC3616" s="82"/>
      <c r="AD3616" s="82"/>
      <c r="AE3616" s="82"/>
      <c r="AF3616" s="82"/>
      <c r="AG3616" s="82"/>
      <c r="AH3616" s="82"/>
      <c r="AI3616" s="82"/>
      <c r="AJ3616" s="82"/>
      <c r="AK3616" s="82"/>
      <c r="AL3616" s="82"/>
      <c r="AM3616" s="82"/>
      <c r="AN3616" s="82"/>
      <c r="AO3616" s="82"/>
      <c r="AP3616" s="82"/>
      <c r="AQ3616" s="82"/>
      <c r="AR3616" s="82"/>
      <c r="AS3616" s="82"/>
      <c r="AT3616" s="82"/>
      <c r="AU3616" s="82"/>
      <c r="AV3616" s="82"/>
      <c r="AW3616" s="82" t="str">
        <f t="shared" si="1"/>
        <v/>
      </c>
      <c r="AX3616" s="83" t="str">
        <f t="array" ref="AX3616">IFERROR(DGET('SBV Import'!A:G,"SBV",{"RSC ID","Tier";B3616,A3616}))</f>
        <v/>
      </c>
      <c r="AY3616" s="82" t="str">
        <f t="shared" si="2"/>
        <v/>
      </c>
      <c r="AZ3616" s="82"/>
      <c r="BA3616" s="84" t="s">
        <v>152</v>
      </c>
      <c r="BB3616" s="84" t="str">
        <f>IFERROR(__xludf.DUMMYFUNCTION("iferror(if(A3616="""",,E3616&gt;=FILTER(Constants!$F$2:$F$10,Constants!$A$2:$A$10=A3616)))"),"")</f>
        <v/>
      </c>
    </row>
    <row r="3617">
      <c r="A3617" s="89"/>
      <c r="B3617" s="87"/>
      <c r="C3617" s="73"/>
      <c r="D3617" s="73"/>
      <c r="E3617" s="82"/>
      <c r="F3617" s="82"/>
      <c r="G3617" s="86"/>
      <c r="H3617" s="86"/>
      <c r="I3617" s="86"/>
      <c r="J3617" s="82"/>
      <c r="K3617" s="82"/>
      <c r="L3617" s="82"/>
      <c r="M3617" s="82"/>
      <c r="N3617" s="82"/>
      <c r="O3617" s="82"/>
      <c r="P3617" s="82"/>
      <c r="Q3617" s="82"/>
      <c r="R3617" s="82"/>
      <c r="S3617" s="82"/>
      <c r="T3617" s="82"/>
      <c r="U3617" s="82"/>
      <c r="V3617" s="82"/>
      <c r="W3617" s="82"/>
      <c r="X3617" s="82"/>
      <c r="Y3617" s="82"/>
      <c r="Z3617" s="82"/>
      <c r="AA3617" s="82"/>
      <c r="AB3617" s="82"/>
      <c r="AC3617" s="82"/>
      <c r="AD3617" s="82"/>
      <c r="AE3617" s="82"/>
      <c r="AF3617" s="82"/>
      <c r="AG3617" s="82"/>
      <c r="AH3617" s="82"/>
      <c r="AI3617" s="82"/>
      <c r="AJ3617" s="82"/>
      <c r="AK3617" s="82"/>
      <c r="AL3617" s="82"/>
      <c r="AM3617" s="82"/>
      <c r="AN3617" s="82"/>
      <c r="AO3617" s="82"/>
      <c r="AP3617" s="82"/>
      <c r="AQ3617" s="82"/>
      <c r="AR3617" s="82"/>
      <c r="AS3617" s="82"/>
      <c r="AT3617" s="82"/>
      <c r="AU3617" s="82"/>
      <c r="AV3617" s="82"/>
      <c r="AW3617" s="82" t="str">
        <f t="shared" si="1"/>
        <v/>
      </c>
      <c r="AX3617" s="83" t="str">
        <f t="array" ref="AX3617">IFERROR(DGET('SBV Import'!A:G,"SBV",{"RSC ID","Tier";B3617,A3617}))</f>
        <v/>
      </c>
      <c r="AY3617" s="82" t="str">
        <f t="shared" si="2"/>
        <v/>
      </c>
      <c r="AZ3617" s="82"/>
      <c r="BA3617" s="84" t="s">
        <v>152</v>
      </c>
      <c r="BB3617" s="84" t="str">
        <f>IFERROR(__xludf.DUMMYFUNCTION("iferror(if(A3617="""",,E3617&gt;=FILTER(Constants!$F$2:$F$10,Constants!$A$2:$A$10=A3617)))"),"")</f>
        <v/>
      </c>
    </row>
    <row r="3618">
      <c r="A3618" s="89"/>
      <c r="B3618" s="87"/>
      <c r="C3618" s="73"/>
      <c r="D3618" s="73"/>
      <c r="E3618" s="82"/>
      <c r="F3618" s="82"/>
      <c r="G3618" s="86"/>
      <c r="H3618" s="86"/>
      <c r="I3618" s="86"/>
      <c r="J3618" s="82"/>
      <c r="K3618" s="82"/>
      <c r="L3618" s="82"/>
      <c r="M3618" s="82"/>
      <c r="N3618" s="82"/>
      <c r="O3618" s="82"/>
      <c r="P3618" s="82"/>
      <c r="Q3618" s="82"/>
      <c r="R3618" s="82"/>
      <c r="S3618" s="82"/>
      <c r="T3618" s="82"/>
      <c r="U3618" s="82"/>
      <c r="V3618" s="82"/>
      <c r="W3618" s="82"/>
      <c r="X3618" s="82"/>
      <c r="Y3618" s="82"/>
      <c r="Z3618" s="82"/>
      <c r="AA3618" s="82"/>
      <c r="AB3618" s="82"/>
      <c r="AC3618" s="82"/>
      <c r="AD3618" s="82"/>
      <c r="AE3618" s="82"/>
      <c r="AF3618" s="82"/>
      <c r="AG3618" s="82"/>
      <c r="AH3618" s="82"/>
      <c r="AI3618" s="82"/>
      <c r="AJ3618" s="82"/>
      <c r="AK3618" s="82"/>
      <c r="AL3618" s="82"/>
      <c r="AM3618" s="82"/>
      <c r="AN3618" s="82"/>
      <c r="AO3618" s="82"/>
      <c r="AP3618" s="82"/>
      <c r="AQ3618" s="82"/>
      <c r="AR3618" s="82"/>
      <c r="AS3618" s="82"/>
      <c r="AT3618" s="82"/>
      <c r="AU3618" s="82"/>
      <c r="AV3618" s="82"/>
      <c r="AW3618" s="82" t="str">
        <f t="shared" si="1"/>
        <v/>
      </c>
      <c r="AX3618" s="83" t="str">
        <f t="array" ref="AX3618">IFERROR(DGET('SBV Import'!A:G,"SBV",{"RSC ID","Tier";B3618,A3618}))</f>
        <v/>
      </c>
      <c r="AY3618" s="82" t="str">
        <f t="shared" si="2"/>
        <v/>
      </c>
      <c r="AZ3618" s="82"/>
      <c r="BA3618" s="84" t="s">
        <v>152</v>
      </c>
      <c r="BB3618" s="84" t="str">
        <f>IFERROR(__xludf.DUMMYFUNCTION("iferror(if(A3618="""",,E3618&gt;=FILTER(Constants!$F$2:$F$10,Constants!$A$2:$A$10=A3618)))"),"")</f>
        <v/>
      </c>
    </row>
    <row r="3619">
      <c r="A3619" s="89"/>
      <c r="B3619" s="87"/>
      <c r="C3619" s="73"/>
      <c r="D3619" s="73"/>
      <c r="E3619" s="82"/>
      <c r="F3619" s="82"/>
      <c r="G3619" s="86"/>
      <c r="H3619" s="86"/>
      <c r="I3619" s="86"/>
      <c r="J3619" s="82"/>
      <c r="K3619" s="82"/>
      <c r="L3619" s="82"/>
      <c r="M3619" s="82"/>
      <c r="N3619" s="82"/>
      <c r="O3619" s="82"/>
      <c r="P3619" s="82"/>
      <c r="Q3619" s="82"/>
      <c r="R3619" s="82"/>
      <c r="S3619" s="82"/>
      <c r="T3619" s="82"/>
      <c r="U3619" s="82"/>
      <c r="V3619" s="82"/>
      <c r="W3619" s="82"/>
      <c r="X3619" s="82"/>
      <c r="Y3619" s="82"/>
      <c r="Z3619" s="82"/>
      <c r="AA3619" s="82"/>
      <c r="AB3619" s="82"/>
      <c r="AC3619" s="82"/>
      <c r="AD3619" s="82"/>
      <c r="AE3619" s="82"/>
      <c r="AF3619" s="82"/>
      <c r="AG3619" s="82"/>
      <c r="AH3619" s="82"/>
      <c r="AI3619" s="82"/>
      <c r="AJ3619" s="82"/>
      <c r="AK3619" s="82"/>
      <c r="AL3619" s="82"/>
      <c r="AM3619" s="82"/>
      <c r="AN3619" s="82"/>
      <c r="AO3619" s="82"/>
      <c r="AP3619" s="82"/>
      <c r="AQ3619" s="82"/>
      <c r="AR3619" s="82"/>
      <c r="AS3619" s="82"/>
      <c r="AT3619" s="82"/>
      <c r="AU3619" s="82"/>
      <c r="AV3619" s="82"/>
      <c r="AW3619" s="82" t="str">
        <f t="shared" si="1"/>
        <v/>
      </c>
      <c r="AX3619" s="83" t="str">
        <f t="array" ref="AX3619">IFERROR(DGET('SBV Import'!A:G,"SBV",{"RSC ID","Tier";B3619,A3619}))</f>
        <v/>
      </c>
      <c r="AY3619" s="82" t="str">
        <f t="shared" si="2"/>
        <v/>
      </c>
      <c r="AZ3619" s="82"/>
      <c r="BA3619" s="84" t="s">
        <v>152</v>
      </c>
      <c r="BB3619" s="84" t="str">
        <f>IFERROR(__xludf.DUMMYFUNCTION("iferror(if(A3619="""",,E3619&gt;=FILTER(Constants!$F$2:$F$10,Constants!$A$2:$A$10=A3619)))"),"")</f>
        <v/>
      </c>
    </row>
    <row r="3620">
      <c r="A3620" s="89"/>
      <c r="B3620" s="87"/>
      <c r="C3620" s="73"/>
      <c r="D3620" s="73"/>
      <c r="E3620" s="82"/>
      <c r="F3620" s="82"/>
      <c r="G3620" s="86"/>
      <c r="H3620" s="86"/>
      <c r="I3620" s="86"/>
      <c r="J3620" s="82"/>
      <c r="K3620" s="82"/>
      <c r="L3620" s="82"/>
      <c r="M3620" s="82"/>
      <c r="N3620" s="82"/>
      <c r="O3620" s="82"/>
      <c r="P3620" s="82"/>
      <c r="Q3620" s="82"/>
      <c r="R3620" s="82"/>
      <c r="S3620" s="82"/>
      <c r="T3620" s="82"/>
      <c r="U3620" s="82"/>
      <c r="V3620" s="82"/>
      <c r="W3620" s="82"/>
      <c r="X3620" s="82"/>
      <c r="Y3620" s="82"/>
      <c r="Z3620" s="82"/>
      <c r="AA3620" s="82"/>
      <c r="AB3620" s="82"/>
      <c r="AC3620" s="82"/>
      <c r="AD3620" s="82"/>
      <c r="AE3620" s="82"/>
      <c r="AF3620" s="82"/>
      <c r="AG3620" s="82"/>
      <c r="AH3620" s="82"/>
      <c r="AI3620" s="82"/>
      <c r="AJ3620" s="82"/>
      <c r="AK3620" s="82"/>
      <c r="AL3620" s="82"/>
      <c r="AM3620" s="82"/>
      <c r="AN3620" s="82"/>
      <c r="AO3620" s="82"/>
      <c r="AP3620" s="82"/>
      <c r="AQ3620" s="82"/>
      <c r="AR3620" s="82"/>
      <c r="AS3620" s="82"/>
      <c r="AT3620" s="82"/>
      <c r="AU3620" s="82"/>
      <c r="AV3620" s="82"/>
      <c r="AW3620" s="82" t="str">
        <f t="shared" si="1"/>
        <v/>
      </c>
      <c r="AX3620" s="83" t="str">
        <f t="array" ref="AX3620">IFERROR(DGET('SBV Import'!A:G,"SBV",{"RSC ID","Tier";B3620,A3620}))</f>
        <v/>
      </c>
      <c r="AY3620" s="82" t="str">
        <f t="shared" si="2"/>
        <v/>
      </c>
      <c r="AZ3620" s="82"/>
      <c r="BA3620" s="84" t="s">
        <v>152</v>
      </c>
      <c r="BB3620" s="84" t="str">
        <f>IFERROR(__xludf.DUMMYFUNCTION("iferror(if(A3620="""",,E3620&gt;=FILTER(Constants!$F$2:$F$10,Constants!$A$2:$A$10=A3620)))"),"")</f>
        <v/>
      </c>
    </row>
    <row r="3621">
      <c r="A3621" s="89"/>
      <c r="B3621" s="87"/>
      <c r="C3621" s="73"/>
      <c r="D3621" s="73"/>
      <c r="E3621" s="82"/>
      <c r="F3621" s="82"/>
      <c r="G3621" s="86"/>
      <c r="H3621" s="86"/>
      <c r="I3621" s="86"/>
      <c r="J3621" s="82"/>
      <c r="K3621" s="82"/>
      <c r="L3621" s="82"/>
      <c r="M3621" s="82"/>
      <c r="N3621" s="82"/>
      <c r="O3621" s="82"/>
      <c r="P3621" s="82"/>
      <c r="Q3621" s="82"/>
      <c r="R3621" s="82"/>
      <c r="S3621" s="82"/>
      <c r="T3621" s="82"/>
      <c r="U3621" s="82"/>
      <c r="V3621" s="82"/>
      <c r="W3621" s="82"/>
      <c r="X3621" s="82"/>
      <c r="Y3621" s="82"/>
      <c r="Z3621" s="82"/>
      <c r="AA3621" s="82"/>
      <c r="AB3621" s="82"/>
      <c r="AC3621" s="82"/>
      <c r="AD3621" s="82"/>
      <c r="AE3621" s="82"/>
      <c r="AF3621" s="82"/>
      <c r="AG3621" s="82"/>
      <c r="AH3621" s="82"/>
      <c r="AI3621" s="82"/>
      <c r="AJ3621" s="82"/>
      <c r="AK3621" s="82"/>
      <c r="AL3621" s="82"/>
      <c r="AM3621" s="82"/>
      <c r="AN3621" s="82"/>
      <c r="AO3621" s="82"/>
      <c r="AP3621" s="82"/>
      <c r="AQ3621" s="82"/>
      <c r="AR3621" s="82"/>
      <c r="AS3621" s="82"/>
      <c r="AT3621" s="82"/>
      <c r="AU3621" s="82"/>
      <c r="AV3621" s="82"/>
      <c r="AW3621" s="82" t="str">
        <f t="shared" si="1"/>
        <v/>
      </c>
      <c r="AX3621" s="83" t="str">
        <f t="array" ref="AX3621">IFERROR(DGET('SBV Import'!A:G,"SBV",{"RSC ID","Tier";B3621,A3621}))</f>
        <v/>
      </c>
      <c r="AY3621" s="82" t="str">
        <f t="shared" si="2"/>
        <v/>
      </c>
      <c r="AZ3621" s="82"/>
      <c r="BA3621" s="84" t="s">
        <v>152</v>
      </c>
      <c r="BB3621" s="84" t="str">
        <f>IFERROR(__xludf.DUMMYFUNCTION("iferror(if(A3621="""",,E3621&gt;=FILTER(Constants!$F$2:$F$10,Constants!$A$2:$A$10=A3621)))"),"")</f>
        <v/>
      </c>
    </row>
    <row r="3622">
      <c r="A3622" s="89"/>
      <c r="B3622" s="87"/>
      <c r="C3622" s="73"/>
      <c r="D3622" s="73"/>
      <c r="E3622" s="82"/>
      <c r="F3622" s="82"/>
      <c r="G3622" s="86"/>
      <c r="H3622" s="86"/>
      <c r="I3622" s="86"/>
      <c r="J3622" s="82"/>
      <c r="K3622" s="82"/>
      <c r="L3622" s="82"/>
      <c r="M3622" s="82"/>
      <c r="N3622" s="82"/>
      <c r="O3622" s="82"/>
      <c r="P3622" s="82"/>
      <c r="Q3622" s="82"/>
      <c r="R3622" s="82"/>
      <c r="S3622" s="82"/>
      <c r="T3622" s="82"/>
      <c r="U3622" s="82"/>
      <c r="V3622" s="82"/>
      <c r="W3622" s="82"/>
      <c r="X3622" s="82"/>
      <c r="Y3622" s="82"/>
      <c r="Z3622" s="82"/>
      <c r="AA3622" s="82"/>
      <c r="AB3622" s="82"/>
      <c r="AC3622" s="82"/>
      <c r="AD3622" s="82"/>
      <c r="AE3622" s="82"/>
      <c r="AF3622" s="82"/>
      <c r="AG3622" s="82"/>
      <c r="AH3622" s="82"/>
      <c r="AI3622" s="82"/>
      <c r="AJ3622" s="82"/>
      <c r="AK3622" s="82"/>
      <c r="AL3622" s="82"/>
      <c r="AM3622" s="82"/>
      <c r="AN3622" s="82"/>
      <c r="AO3622" s="82"/>
      <c r="AP3622" s="82"/>
      <c r="AQ3622" s="82"/>
      <c r="AR3622" s="82"/>
      <c r="AS3622" s="82"/>
      <c r="AT3622" s="82"/>
      <c r="AU3622" s="82"/>
      <c r="AV3622" s="82"/>
      <c r="AW3622" s="82" t="str">
        <f t="shared" si="1"/>
        <v/>
      </c>
      <c r="AX3622" s="83" t="str">
        <f t="array" ref="AX3622">IFERROR(DGET('SBV Import'!A:G,"SBV",{"RSC ID","Tier";B3622,A3622}))</f>
        <v/>
      </c>
      <c r="AY3622" s="82" t="str">
        <f t="shared" si="2"/>
        <v/>
      </c>
      <c r="AZ3622" s="82"/>
      <c r="BA3622" s="84" t="s">
        <v>152</v>
      </c>
      <c r="BB3622" s="84" t="str">
        <f>IFERROR(__xludf.DUMMYFUNCTION("iferror(if(A3622="""",,E3622&gt;=FILTER(Constants!$F$2:$F$10,Constants!$A$2:$A$10=A3622)))"),"")</f>
        <v/>
      </c>
    </row>
    <row r="3623">
      <c r="A3623" s="89"/>
      <c r="B3623" s="87"/>
      <c r="C3623" s="73"/>
      <c r="D3623" s="73"/>
      <c r="E3623" s="82"/>
      <c r="F3623" s="82"/>
      <c r="G3623" s="86"/>
      <c r="H3623" s="86"/>
      <c r="I3623" s="86"/>
      <c r="J3623" s="82"/>
      <c r="K3623" s="82"/>
      <c r="L3623" s="82"/>
      <c r="M3623" s="82"/>
      <c r="N3623" s="82"/>
      <c r="O3623" s="82"/>
      <c r="P3623" s="82"/>
      <c r="Q3623" s="82"/>
      <c r="R3623" s="82"/>
      <c r="S3623" s="82"/>
      <c r="T3623" s="82"/>
      <c r="U3623" s="82"/>
      <c r="V3623" s="82"/>
      <c r="W3623" s="82"/>
      <c r="X3623" s="82"/>
      <c r="Y3623" s="82"/>
      <c r="Z3623" s="82"/>
      <c r="AA3623" s="82"/>
      <c r="AB3623" s="82"/>
      <c r="AC3623" s="82"/>
      <c r="AD3623" s="82"/>
      <c r="AE3623" s="82"/>
      <c r="AF3623" s="82"/>
      <c r="AG3623" s="82"/>
      <c r="AH3623" s="82"/>
      <c r="AI3623" s="82"/>
      <c r="AJ3623" s="82"/>
      <c r="AK3623" s="82"/>
      <c r="AL3623" s="82"/>
      <c r="AM3623" s="82"/>
      <c r="AN3623" s="82"/>
      <c r="AO3623" s="82"/>
      <c r="AP3623" s="82"/>
      <c r="AQ3623" s="82"/>
      <c r="AR3623" s="82"/>
      <c r="AS3623" s="82"/>
      <c r="AT3623" s="82"/>
      <c r="AU3623" s="82"/>
      <c r="AV3623" s="82"/>
      <c r="AW3623" s="82" t="str">
        <f t="shared" si="1"/>
        <v/>
      </c>
      <c r="AX3623" s="83" t="str">
        <f t="array" ref="AX3623">IFERROR(DGET('SBV Import'!A:G,"SBV",{"RSC ID","Tier";B3623,A3623}))</f>
        <v/>
      </c>
      <c r="AY3623" s="82" t="str">
        <f t="shared" si="2"/>
        <v/>
      </c>
      <c r="AZ3623" s="82"/>
      <c r="BA3623" s="84" t="s">
        <v>152</v>
      </c>
      <c r="BB3623" s="84" t="str">
        <f>IFERROR(__xludf.DUMMYFUNCTION("iferror(if(A3623="""",,E3623&gt;=FILTER(Constants!$F$2:$F$10,Constants!$A$2:$A$10=A3623)))"),"")</f>
        <v/>
      </c>
    </row>
    <row r="3624">
      <c r="A3624" s="89"/>
      <c r="B3624" s="87"/>
      <c r="C3624" s="73"/>
      <c r="D3624" s="73"/>
      <c r="E3624" s="82"/>
      <c r="F3624" s="82"/>
      <c r="G3624" s="86"/>
      <c r="H3624" s="86"/>
      <c r="I3624" s="86"/>
      <c r="J3624" s="82"/>
      <c r="K3624" s="82"/>
      <c r="L3624" s="82"/>
      <c r="M3624" s="82"/>
      <c r="N3624" s="82"/>
      <c r="O3624" s="82"/>
      <c r="P3624" s="82"/>
      <c r="Q3624" s="82"/>
      <c r="R3624" s="82"/>
      <c r="S3624" s="82"/>
      <c r="T3624" s="82"/>
      <c r="U3624" s="82"/>
      <c r="V3624" s="82"/>
      <c r="W3624" s="82"/>
      <c r="X3624" s="82"/>
      <c r="Y3624" s="82"/>
      <c r="Z3624" s="82"/>
      <c r="AA3624" s="82"/>
      <c r="AB3624" s="82"/>
      <c r="AC3624" s="82"/>
      <c r="AD3624" s="82"/>
      <c r="AE3624" s="82"/>
      <c r="AF3624" s="82"/>
      <c r="AG3624" s="82"/>
      <c r="AH3624" s="82"/>
      <c r="AI3624" s="82"/>
      <c r="AJ3624" s="82"/>
      <c r="AK3624" s="82"/>
      <c r="AL3624" s="82"/>
      <c r="AM3624" s="82"/>
      <c r="AN3624" s="82"/>
      <c r="AO3624" s="82"/>
      <c r="AP3624" s="82"/>
      <c r="AQ3624" s="82"/>
      <c r="AR3624" s="82"/>
      <c r="AS3624" s="82"/>
      <c r="AT3624" s="82"/>
      <c r="AU3624" s="82"/>
      <c r="AV3624" s="82"/>
      <c r="AW3624" s="82" t="str">
        <f t="shared" si="1"/>
        <v/>
      </c>
      <c r="AX3624" s="83" t="str">
        <f t="array" ref="AX3624">IFERROR(DGET('SBV Import'!A:G,"SBV",{"RSC ID","Tier";B3624,A3624}))</f>
        <v/>
      </c>
      <c r="AY3624" s="82" t="str">
        <f t="shared" si="2"/>
        <v/>
      </c>
      <c r="AZ3624" s="82"/>
      <c r="BA3624" s="84" t="s">
        <v>152</v>
      </c>
      <c r="BB3624" s="84" t="str">
        <f>IFERROR(__xludf.DUMMYFUNCTION("iferror(if(A3624="""",,E3624&gt;=FILTER(Constants!$F$2:$F$10,Constants!$A$2:$A$10=A3624)))"),"")</f>
        <v/>
      </c>
    </row>
    <row r="3625">
      <c r="A3625" s="89"/>
      <c r="B3625" s="87"/>
      <c r="C3625" s="73"/>
      <c r="D3625" s="73"/>
      <c r="E3625" s="82"/>
      <c r="F3625" s="82"/>
      <c r="G3625" s="86"/>
      <c r="H3625" s="86"/>
      <c r="I3625" s="86"/>
      <c r="J3625" s="82"/>
      <c r="K3625" s="82"/>
      <c r="L3625" s="82"/>
      <c r="M3625" s="82"/>
      <c r="N3625" s="82"/>
      <c r="O3625" s="82"/>
      <c r="P3625" s="82"/>
      <c r="Q3625" s="82"/>
      <c r="R3625" s="82"/>
      <c r="S3625" s="82"/>
      <c r="T3625" s="82"/>
      <c r="U3625" s="82"/>
      <c r="V3625" s="82"/>
      <c r="W3625" s="82"/>
      <c r="X3625" s="82"/>
      <c r="Y3625" s="82"/>
      <c r="Z3625" s="82"/>
      <c r="AA3625" s="82"/>
      <c r="AB3625" s="82"/>
      <c r="AC3625" s="82"/>
      <c r="AD3625" s="82"/>
      <c r="AE3625" s="82"/>
      <c r="AF3625" s="82"/>
      <c r="AG3625" s="82"/>
      <c r="AH3625" s="82"/>
      <c r="AI3625" s="82"/>
      <c r="AJ3625" s="82"/>
      <c r="AK3625" s="82"/>
      <c r="AL3625" s="82"/>
      <c r="AM3625" s="82"/>
      <c r="AN3625" s="82"/>
      <c r="AO3625" s="82"/>
      <c r="AP3625" s="82"/>
      <c r="AQ3625" s="82"/>
      <c r="AR3625" s="82"/>
      <c r="AS3625" s="82"/>
      <c r="AT3625" s="82"/>
      <c r="AU3625" s="82"/>
      <c r="AV3625" s="82"/>
      <c r="AW3625" s="82" t="str">
        <f t="shared" si="1"/>
        <v/>
      </c>
      <c r="AX3625" s="83" t="str">
        <f t="array" ref="AX3625">IFERROR(DGET('SBV Import'!A:G,"SBV",{"RSC ID","Tier";B3625,A3625}))</f>
        <v/>
      </c>
      <c r="AY3625" s="82" t="str">
        <f t="shared" si="2"/>
        <v/>
      </c>
      <c r="AZ3625" s="82"/>
      <c r="BA3625" s="84" t="s">
        <v>152</v>
      </c>
      <c r="BB3625" s="84" t="str">
        <f>IFERROR(__xludf.DUMMYFUNCTION("iferror(if(A3625="""",,E3625&gt;=FILTER(Constants!$F$2:$F$10,Constants!$A$2:$A$10=A3625)))"),"")</f>
        <v/>
      </c>
    </row>
    <row r="3626">
      <c r="A3626" s="89"/>
      <c r="B3626" s="87"/>
      <c r="C3626" s="73"/>
      <c r="D3626" s="73"/>
      <c r="E3626" s="82"/>
      <c r="F3626" s="82"/>
      <c r="G3626" s="86"/>
      <c r="H3626" s="86"/>
      <c r="I3626" s="86"/>
      <c r="J3626" s="82"/>
      <c r="K3626" s="82"/>
      <c r="L3626" s="82"/>
      <c r="M3626" s="82"/>
      <c r="N3626" s="82"/>
      <c r="O3626" s="82"/>
      <c r="P3626" s="82"/>
      <c r="Q3626" s="82"/>
      <c r="R3626" s="82"/>
      <c r="S3626" s="82"/>
      <c r="T3626" s="82"/>
      <c r="U3626" s="82"/>
      <c r="V3626" s="82"/>
      <c r="W3626" s="82"/>
      <c r="X3626" s="82"/>
      <c r="Y3626" s="82"/>
      <c r="Z3626" s="82"/>
      <c r="AA3626" s="82"/>
      <c r="AB3626" s="82"/>
      <c r="AC3626" s="82"/>
      <c r="AD3626" s="82"/>
      <c r="AE3626" s="82"/>
      <c r="AF3626" s="82"/>
      <c r="AG3626" s="82"/>
      <c r="AH3626" s="82"/>
      <c r="AI3626" s="82"/>
      <c r="AJ3626" s="82"/>
      <c r="AK3626" s="82"/>
      <c r="AL3626" s="82"/>
      <c r="AM3626" s="82"/>
      <c r="AN3626" s="82"/>
      <c r="AO3626" s="82"/>
      <c r="AP3626" s="82"/>
      <c r="AQ3626" s="82"/>
      <c r="AR3626" s="82"/>
      <c r="AS3626" s="82"/>
      <c r="AT3626" s="82"/>
      <c r="AU3626" s="82"/>
      <c r="AV3626" s="82"/>
      <c r="AW3626" s="82" t="str">
        <f t="shared" si="1"/>
        <v/>
      </c>
      <c r="AX3626" s="83" t="str">
        <f t="array" ref="AX3626">IFERROR(DGET('SBV Import'!A:G,"SBV",{"RSC ID","Tier";B3626,A3626}))</f>
        <v/>
      </c>
      <c r="AY3626" s="82" t="str">
        <f t="shared" si="2"/>
        <v/>
      </c>
      <c r="AZ3626" s="82"/>
      <c r="BA3626" s="84" t="s">
        <v>152</v>
      </c>
      <c r="BB3626" s="84" t="str">
        <f>IFERROR(__xludf.DUMMYFUNCTION("iferror(if(A3626="""",,E3626&gt;=FILTER(Constants!$F$2:$F$10,Constants!$A$2:$A$10=A3626)))"),"")</f>
        <v/>
      </c>
    </row>
    <row r="3627">
      <c r="A3627" s="89"/>
      <c r="B3627" s="87"/>
      <c r="C3627" s="73"/>
      <c r="D3627" s="73"/>
      <c r="E3627" s="82"/>
      <c r="F3627" s="82"/>
      <c r="G3627" s="86"/>
      <c r="H3627" s="86"/>
      <c r="I3627" s="86"/>
      <c r="J3627" s="82"/>
      <c r="K3627" s="82"/>
      <c r="L3627" s="82"/>
      <c r="M3627" s="82"/>
      <c r="N3627" s="82"/>
      <c r="O3627" s="82"/>
      <c r="P3627" s="82"/>
      <c r="Q3627" s="82"/>
      <c r="R3627" s="82"/>
      <c r="S3627" s="82"/>
      <c r="T3627" s="82"/>
      <c r="U3627" s="82"/>
      <c r="V3627" s="82"/>
      <c r="W3627" s="82"/>
      <c r="X3627" s="82"/>
      <c r="Y3627" s="82"/>
      <c r="Z3627" s="82"/>
      <c r="AA3627" s="82"/>
      <c r="AB3627" s="82"/>
      <c r="AC3627" s="82"/>
      <c r="AD3627" s="82"/>
      <c r="AE3627" s="82"/>
      <c r="AF3627" s="82"/>
      <c r="AG3627" s="82"/>
      <c r="AH3627" s="82"/>
      <c r="AI3627" s="82"/>
      <c r="AJ3627" s="82"/>
      <c r="AK3627" s="82"/>
      <c r="AL3627" s="82"/>
      <c r="AM3627" s="82"/>
      <c r="AN3627" s="82"/>
      <c r="AO3627" s="82"/>
      <c r="AP3627" s="82"/>
      <c r="AQ3627" s="82"/>
      <c r="AR3627" s="82"/>
      <c r="AS3627" s="82"/>
      <c r="AT3627" s="82"/>
      <c r="AU3627" s="82"/>
      <c r="AV3627" s="82"/>
      <c r="AW3627" s="82" t="str">
        <f t="shared" si="1"/>
        <v/>
      </c>
      <c r="AX3627" s="83" t="str">
        <f t="array" ref="AX3627">IFERROR(DGET('SBV Import'!A:G,"SBV",{"RSC ID","Tier";B3627,A3627}))</f>
        <v/>
      </c>
      <c r="AY3627" s="82" t="str">
        <f t="shared" si="2"/>
        <v/>
      </c>
      <c r="AZ3627" s="82"/>
      <c r="BA3627" s="84" t="s">
        <v>152</v>
      </c>
      <c r="BB3627" s="84" t="str">
        <f>IFERROR(__xludf.DUMMYFUNCTION("iferror(if(A3627="""",,E3627&gt;=FILTER(Constants!$F$2:$F$10,Constants!$A$2:$A$10=A3627)))"),"")</f>
        <v/>
      </c>
    </row>
    <row r="3628">
      <c r="A3628" s="89"/>
      <c r="B3628" s="87"/>
      <c r="C3628" s="73"/>
      <c r="D3628" s="73"/>
      <c r="E3628" s="82"/>
      <c r="F3628" s="82"/>
      <c r="G3628" s="86"/>
      <c r="H3628" s="86"/>
      <c r="I3628" s="86"/>
      <c r="J3628" s="82"/>
      <c r="K3628" s="82"/>
      <c r="L3628" s="82"/>
      <c r="M3628" s="82"/>
      <c r="N3628" s="82"/>
      <c r="O3628" s="82"/>
      <c r="P3628" s="82"/>
      <c r="Q3628" s="82"/>
      <c r="R3628" s="82"/>
      <c r="S3628" s="82"/>
      <c r="T3628" s="82"/>
      <c r="U3628" s="82"/>
      <c r="V3628" s="82"/>
      <c r="W3628" s="82"/>
      <c r="X3628" s="82"/>
      <c r="Y3628" s="82"/>
      <c r="Z3628" s="82"/>
      <c r="AA3628" s="82"/>
      <c r="AB3628" s="82"/>
      <c r="AC3628" s="82"/>
      <c r="AD3628" s="82"/>
      <c r="AE3628" s="82"/>
      <c r="AF3628" s="82"/>
      <c r="AG3628" s="82"/>
      <c r="AH3628" s="82"/>
      <c r="AI3628" s="82"/>
      <c r="AJ3628" s="82"/>
      <c r="AK3628" s="82"/>
      <c r="AL3628" s="82"/>
      <c r="AM3628" s="82"/>
      <c r="AN3628" s="82"/>
      <c r="AO3628" s="82"/>
      <c r="AP3628" s="82"/>
      <c r="AQ3628" s="82"/>
      <c r="AR3628" s="82"/>
      <c r="AS3628" s="82"/>
      <c r="AT3628" s="82"/>
      <c r="AU3628" s="82"/>
      <c r="AV3628" s="82"/>
      <c r="AW3628" s="82" t="str">
        <f t="shared" si="1"/>
        <v/>
      </c>
      <c r="AX3628" s="83" t="str">
        <f t="array" ref="AX3628">IFERROR(DGET('SBV Import'!A:G,"SBV",{"RSC ID","Tier";B3628,A3628}))</f>
        <v/>
      </c>
      <c r="AY3628" s="82" t="str">
        <f t="shared" si="2"/>
        <v/>
      </c>
      <c r="AZ3628" s="82"/>
      <c r="BA3628" s="84" t="s">
        <v>152</v>
      </c>
      <c r="BB3628" s="84" t="str">
        <f>IFERROR(__xludf.DUMMYFUNCTION("iferror(if(A3628="""",,E3628&gt;=FILTER(Constants!$F$2:$F$10,Constants!$A$2:$A$10=A3628)))"),"")</f>
        <v/>
      </c>
    </row>
    <row r="3629">
      <c r="A3629" s="89"/>
      <c r="B3629" s="87"/>
      <c r="C3629" s="73"/>
      <c r="D3629" s="73"/>
      <c r="E3629" s="82"/>
      <c r="F3629" s="82"/>
      <c r="G3629" s="86"/>
      <c r="H3629" s="86"/>
      <c r="I3629" s="86"/>
      <c r="J3629" s="82"/>
      <c r="K3629" s="82"/>
      <c r="L3629" s="82"/>
      <c r="M3629" s="82"/>
      <c r="N3629" s="82"/>
      <c r="O3629" s="82"/>
      <c r="P3629" s="82"/>
      <c r="Q3629" s="82"/>
      <c r="R3629" s="82"/>
      <c r="S3629" s="82"/>
      <c r="T3629" s="82"/>
      <c r="U3629" s="82"/>
      <c r="V3629" s="82"/>
      <c r="W3629" s="82"/>
      <c r="X3629" s="82"/>
      <c r="Y3629" s="82"/>
      <c r="Z3629" s="82"/>
      <c r="AA3629" s="82"/>
      <c r="AB3629" s="82"/>
      <c r="AC3629" s="82"/>
      <c r="AD3629" s="82"/>
      <c r="AE3629" s="82"/>
      <c r="AF3629" s="82"/>
      <c r="AG3629" s="82"/>
      <c r="AH3629" s="82"/>
      <c r="AI3629" s="82"/>
      <c r="AJ3629" s="82"/>
      <c r="AK3629" s="82"/>
      <c r="AL3629" s="82"/>
      <c r="AM3629" s="82"/>
      <c r="AN3629" s="82"/>
      <c r="AO3629" s="82"/>
      <c r="AP3629" s="82"/>
      <c r="AQ3629" s="82"/>
      <c r="AR3629" s="82"/>
      <c r="AS3629" s="82"/>
      <c r="AT3629" s="82"/>
      <c r="AU3629" s="82"/>
      <c r="AV3629" s="82"/>
      <c r="AW3629" s="82" t="str">
        <f t="shared" si="1"/>
        <v/>
      </c>
      <c r="AX3629" s="83" t="str">
        <f t="array" ref="AX3629">IFERROR(DGET('SBV Import'!A:G,"SBV",{"RSC ID","Tier";B3629,A3629}))</f>
        <v/>
      </c>
      <c r="AY3629" s="82" t="str">
        <f t="shared" si="2"/>
        <v/>
      </c>
      <c r="AZ3629" s="82"/>
      <c r="BA3629" s="84" t="s">
        <v>152</v>
      </c>
      <c r="BB3629" s="84" t="str">
        <f>IFERROR(__xludf.DUMMYFUNCTION("iferror(if(A3629="""",,E3629&gt;=FILTER(Constants!$F$2:$F$10,Constants!$A$2:$A$10=A3629)))"),"")</f>
        <v/>
      </c>
    </row>
    <row r="3630">
      <c r="A3630" s="89"/>
      <c r="B3630" s="87"/>
      <c r="C3630" s="73"/>
      <c r="D3630" s="73"/>
      <c r="E3630" s="82"/>
      <c r="F3630" s="82"/>
      <c r="G3630" s="86"/>
      <c r="H3630" s="86"/>
      <c r="I3630" s="86"/>
      <c r="J3630" s="82"/>
      <c r="K3630" s="82"/>
      <c r="L3630" s="82"/>
      <c r="M3630" s="82"/>
      <c r="N3630" s="82"/>
      <c r="O3630" s="82"/>
      <c r="P3630" s="82"/>
      <c r="Q3630" s="82"/>
      <c r="R3630" s="82"/>
      <c r="S3630" s="82"/>
      <c r="T3630" s="82"/>
      <c r="U3630" s="82"/>
      <c r="V3630" s="82"/>
      <c r="W3630" s="82"/>
      <c r="X3630" s="82"/>
      <c r="Y3630" s="82"/>
      <c r="Z3630" s="82"/>
      <c r="AA3630" s="82"/>
      <c r="AB3630" s="82"/>
      <c r="AC3630" s="82"/>
      <c r="AD3630" s="82"/>
      <c r="AE3630" s="82"/>
      <c r="AF3630" s="82"/>
      <c r="AG3630" s="82"/>
      <c r="AH3630" s="82"/>
      <c r="AI3630" s="82"/>
      <c r="AJ3630" s="82"/>
      <c r="AK3630" s="82"/>
      <c r="AL3630" s="82"/>
      <c r="AM3630" s="82"/>
      <c r="AN3630" s="82"/>
      <c r="AO3630" s="82"/>
      <c r="AP3630" s="82"/>
      <c r="AQ3630" s="82"/>
      <c r="AR3630" s="82"/>
      <c r="AS3630" s="82"/>
      <c r="AT3630" s="82"/>
      <c r="AU3630" s="82"/>
      <c r="AV3630" s="82"/>
      <c r="AW3630" s="82" t="str">
        <f t="shared" si="1"/>
        <v/>
      </c>
      <c r="AX3630" s="83" t="str">
        <f t="array" ref="AX3630">IFERROR(DGET('SBV Import'!A:G,"SBV",{"RSC ID","Tier";B3630,A3630}))</f>
        <v/>
      </c>
      <c r="AY3630" s="82" t="str">
        <f t="shared" si="2"/>
        <v/>
      </c>
      <c r="AZ3630" s="82"/>
      <c r="BA3630" s="84" t="s">
        <v>152</v>
      </c>
      <c r="BB3630" s="84" t="str">
        <f>IFERROR(__xludf.DUMMYFUNCTION("iferror(if(A3630="""",,E3630&gt;=FILTER(Constants!$F$2:$F$10,Constants!$A$2:$A$10=A3630)))"),"")</f>
        <v/>
      </c>
    </row>
    <row r="3631">
      <c r="A3631" s="89"/>
      <c r="B3631" s="87"/>
      <c r="C3631" s="73"/>
      <c r="D3631" s="73"/>
      <c r="E3631" s="82"/>
      <c r="F3631" s="82"/>
      <c r="G3631" s="86"/>
      <c r="H3631" s="86"/>
      <c r="I3631" s="86"/>
      <c r="J3631" s="82"/>
      <c r="K3631" s="82"/>
      <c r="L3631" s="82"/>
      <c r="M3631" s="82"/>
      <c r="N3631" s="82"/>
      <c r="O3631" s="82"/>
      <c r="P3631" s="82"/>
      <c r="Q3631" s="82"/>
      <c r="R3631" s="82"/>
      <c r="S3631" s="82"/>
      <c r="T3631" s="82"/>
      <c r="U3631" s="82"/>
      <c r="V3631" s="82"/>
      <c r="W3631" s="82"/>
      <c r="X3631" s="82"/>
      <c r="Y3631" s="82"/>
      <c r="Z3631" s="82"/>
      <c r="AA3631" s="82"/>
      <c r="AB3631" s="82"/>
      <c r="AC3631" s="82"/>
      <c r="AD3631" s="82"/>
      <c r="AE3631" s="82"/>
      <c r="AF3631" s="82"/>
      <c r="AG3631" s="82"/>
      <c r="AH3631" s="82"/>
      <c r="AI3631" s="82"/>
      <c r="AJ3631" s="82"/>
      <c r="AK3631" s="82"/>
      <c r="AL3631" s="82"/>
      <c r="AM3631" s="82"/>
      <c r="AN3631" s="82"/>
      <c r="AO3631" s="82"/>
      <c r="AP3631" s="82"/>
      <c r="AQ3631" s="82"/>
      <c r="AR3631" s="82"/>
      <c r="AS3631" s="82"/>
      <c r="AT3631" s="82"/>
      <c r="AU3631" s="82"/>
      <c r="AV3631" s="82"/>
      <c r="AW3631" s="82" t="str">
        <f t="shared" si="1"/>
        <v/>
      </c>
      <c r="AX3631" s="83" t="str">
        <f t="array" ref="AX3631">IFERROR(DGET('SBV Import'!A:G,"SBV",{"RSC ID","Tier";B3631,A3631}))</f>
        <v/>
      </c>
      <c r="AY3631" s="82" t="str">
        <f t="shared" si="2"/>
        <v/>
      </c>
      <c r="AZ3631" s="82"/>
      <c r="BA3631" s="84" t="s">
        <v>152</v>
      </c>
      <c r="BB3631" s="84" t="str">
        <f>IFERROR(__xludf.DUMMYFUNCTION("iferror(if(A3631="""",,E3631&gt;=FILTER(Constants!$F$2:$F$10,Constants!$A$2:$A$10=A3631)))"),"")</f>
        <v/>
      </c>
    </row>
    <row r="3632">
      <c r="A3632" s="89"/>
      <c r="B3632" s="87"/>
      <c r="C3632" s="73"/>
      <c r="D3632" s="73"/>
      <c r="E3632" s="82"/>
      <c r="F3632" s="82"/>
      <c r="G3632" s="86"/>
      <c r="H3632" s="86"/>
      <c r="I3632" s="86"/>
      <c r="J3632" s="82"/>
      <c r="K3632" s="82"/>
      <c r="L3632" s="82"/>
      <c r="M3632" s="82"/>
      <c r="N3632" s="82"/>
      <c r="O3632" s="82"/>
      <c r="P3632" s="82"/>
      <c r="Q3632" s="82"/>
      <c r="R3632" s="82"/>
      <c r="S3632" s="82"/>
      <c r="T3632" s="82"/>
      <c r="U3632" s="82"/>
      <c r="V3632" s="82"/>
      <c r="W3632" s="82"/>
      <c r="X3632" s="82"/>
      <c r="Y3632" s="82"/>
      <c r="Z3632" s="82"/>
      <c r="AA3632" s="82"/>
      <c r="AB3632" s="82"/>
      <c r="AC3632" s="82"/>
      <c r="AD3632" s="82"/>
      <c r="AE3632" s="82"/>
      <c r="AF3632" s="82"/>
      <c r="AG3632" s="82"/>
      <c r="AH3632" s="82"/>
      <c r="AI3632" s="82"/>
      <c r="AJ3632" s="82"/>
      <c r="AK3632" s="82"/>
      <c r="AL3632" s="82"/>
      <c r="AM3632" s="82"/>
      <c r="AN3632" s="82"/>
      <c r="AO3632" s="82"/>
      <c r="AP3632" s="82"/>
      <c r="AQ3632" s="82"/>
      <c r="AR3632" s="82"/>
      <c r="AS3632" s="82"/>
      <c r="AT3632" s="82"/>
      <c r="AU3632" s="82"/>
      <c r="AV3632" s="82"/>
      <c r="AW3632" s="82" t="str">
        <f t="shared" si="1"/>
        <v/>
      </c>
      <c r="AX3632" s="83" t="str">
        <f t="array" ref="AX3632">IFERROR(DGET('SBV Import'!A:G,"SBV",{"RSC ID","Tier";B3632,A3632}))</f>
        <v/>
      </c>
      <c r="AY3632" s="82" t="str">
        <f t="shared" si="2"/>
        <v/>
      </c>
      <c r="AZ3632" s="82"/>
      <c r="BA3632" s="84" t="s">
        <v>152</v>
      </c>
      <c r="BB3632" s="84" t="str">
        <f>IFERROR(__xludf.DUMMYFUNCTION("iferror(if(A3632="""",,E3632&gt;=FILTER(Constants!$F$2:$F$10,Constants!$A$2:$A$10=A3632)))"),"")</f>
        <v/>
      </c>
    </row>
    <row r="3633">
      <c r="A3633" s="89"/>
      <c r="B3633" s="87"/>
      <c r="C3633" s="73"/>
      <c r="D3633" s="73"/>
      <c r="E3633" s="82"/>
      <c r="F3633" s="82"/>
      <c r="G3633" s="86"/>
      <c r="H3633" s="86"/>
      <c r="I3633" s="86"/>
      <c r="J3633" s="82"/>
      <c r="K3633" s="82"/>
      <c r="L3633" s="82"/>
      <c r="M3633" s="82"/>
      <c r="N3633" s="82"/>
      <c r="O3633" s="82"/>
      <c r="P3633" s="82"/>
      <c r="Q3633" s="82"/>
      <c r="R3633" s="82"/>
      <c r="S3633" s="82"/>
      <c r="T3633" s="82"/>
      <c r="U3633" s="82"/>
      <c r="V3633" s="82"/>
      <c r="W3633" s="82"/>
      <c r="X3633" s="82"/>
      <c r="Y3633" s="82"/>
      <c r="Z3633" s="82"/>
      <c r="AA3633" s="82"/>
      <c r="AB3633" s="82"/>
      <c r="AC3633" s="82"/>
      <c r="AD3633" s="82"/>
      <c r="AE3633" s="82"/>
      <c r="AF3633" s="82"/>
      <c r="AG3633" s="82"/>
      <c r="AH3633" s="82"/>
      <c r="AI3633" s="82"/>
      <c r="AJ3633" s="82"/>
      <c r="AK3633" s="82"/>
      <c r="AL3633" s="82"/>
      <c r="AM3633" s="82"/>
      <c r="AN3633" s="82"/>
      <c r="AO3633" s="82"/>
      <c r="AP3633" s="82"/>
      <c r="AQ3633" s="82"/>
      <c r="AR3633" s="82"/>
      <c r="AS3633" s="82"/>
      <c r="AT3633" s="82"/>
      <c r="AU3633" s="82"/>
      <c r="AV3633" s="82"/>
      <c r="AW3633" s="82" t="str">
        <f t="shared" si="1"/>
        <v/>
      </c>
      <c r="AX3633" s="83" t="str">
        <f t="array" ref="AX3633">IFERROR(DGET('SBV Import'!A:G,"SBV",{"RSC ID","Tier";B3633,A3633}))</f>
        <v/>
      </c>
      <c r="AY3633" s="82" t="str">
        <f t="shared" si="2"/>
        <v/>
      </c>
      <c r="AZ3633" s="82"/>
      <c r="BA3633" s="84" t="s">
        <v>152</v>
      </c>
      <c r="BB3633" s="84" t="str">
        <f>IFERROR(__xludf.DUMMYFUNCTION("iferror(if(A3633="""",,E3633&gt;=FILTER(Constants!$F$2:$F$10,Constants!$A$2:$A$10=A3633)))"),"")</f>
        <v/>
      </c>
    </row>
    <row r="3634">
      <c r="A3634" s="89"/>
      <c r="B3634" s="87"/>
      <c r="C3634" s="73"/>
      <c r="D3634" s="73"/>
      <c r="E3634" s="82"/>
      <c r="F3634" s="82"/>
      <c r="G3634" s="86"/>
      <c r="H3634" s="86"/>
      <c r="I3634" s="86"/>
      <c r="J3634" s="82"/>
      <c r="K3634" s="82"/>
      <c r="L3634" s="82"/>
      <c r="M3634" s="82"/>
      <c r="N3634" s="82"/>
      <c r="O3634" s="82"/>
      <c r="P3634" s="82"/>
      <c r="Q3634" s="82"/>
      <c r="R3634" s="82"/>
      <c r="S3634" s="82"/>
      <c r="T3634" s="82"/>
      <c r="U3634" s="82"/>
      <c r="V3634" s="82"/>
      <c r="W3634" s="82"/>
      <c r="X3634" s="82"/>
      <c r="Y3634" s="82"/>
      <c r="Z3634" s="82"/>
      <c r="AA3634" s="82"/>
      <c r="AB3634" s="82"/>
      <c r="AC3634" s="82"/>
      <c r="AD3634" s="82"/>
      <c r="AE3634" s="82"/>
      <c r="AF3634" s="82"/>
      <c r="AG3634" s="82"/>
      <c r="AH3634" s="82"/>
      <c r="AI3634" s="82"/>
      <c r="AJ3634" s="82"/>
      <c r="AK3634" s="82"/>
      <c r="AL3634" s="82"/>
      <c r="AM3634" s="82"/>
      <c r="AN3634" s="82"/>
      <c r="AO3634" s="82"/>
      <c r="AP3634" s="82"/>
      <c r="AQ3634" s="82"/>
      <c r="AR3634" s="82"/>
      <c r="AS3634" s="82"/>
      <c r="AT3634" s="82"/>
      <c r="AU3634" s="82"/>
      <c r="AV3634" s="82"/>
      <c r="AW3634" s="82" t="str">
        <f t="shared" si="1"/>
        <v/>
      </c>
      <c r="AX3634" s="83" t="str">
        <f t="array" ref="AX3634">IFERROR(DGET('SBV Import'!A:G,"SBV",{"RSC ID","Tier";B3634,A3634}))</f>
        <v/>
      </c>
      <c r="AY3634" s="82" t="str">
        <f t="shared" si="2"/>
        <v/>
      </c>
      <c r="AZ3634" s="82"/>
      <c r="BA3634" s="84" t="s">
        <v>152</v>
      </c>
      <c r="BB3634" s="84" t="str">
        <f>IFERROR(__xludf.DUMMYFUNCTION("iferror(if(A3634="""",,E3634&gt;=FILTER(Constants!$F$2:$F$10,Constants!$A$2:$A$10=A3634)))"),"")</f>
        <v/>
      </c>
    </row>
    <row r="3635">
      <c r="A3635" s="89"/>
      <c r="B3635" s="87"/>
      <c r="C3635" s="73"/>
      <c r="D3635" s="73"/>
      <c r="E3635" s="82"/>
      <c r="F3635" s="82"/>
      <c r="G3635" s="86"/>
      <c r="H3635" s="86"/>
      <c r="I3635" s="86"/>
      <c r="J3635" s="82"/>
      <c r="K3635" s="82"/>
      <c r="L3635" s="82"/>
      <c r="M3635" s="82"/>
      <c r="N3635" s="82"/>
      <c r="O3635" s="82"/>
      <c r="P3635" s="82"/>
      <c r="Q3635" s="82"/>
      <c r="R3635" s="82"/>
      <c r="S3635" s="82"/>
      <c r="T3635" s="82"/>
      <c r="U3635" s="82"/>
      <c r="V3635" s="82"/>
      <c r="W3635" s="82"/>
      <c r="X3635" s="82"/>
      <c r="Y3635" s="82"/>
      <c r="Z3635" s="82"/>
      <c r="AA3635" s="82"/>
      <c r="AB3635" s="82"/>
      <c r="AC3635" s="82"/>
      <c r="AD3635" s="82"/>
      <c r="AE3635" s="82"/>
      <c r="AF3635" s="82"/>
      <c r="AG3635" s="82"/>
      <c r="AH3635" s="82"/>
      <c r="AI3635" s="82"/>
      <c r="AJ3635" s="82"/>
      <c r="AK3635" s="82"/>
      <c r="AL3635" s="82"/>
      <c r="AM3635" s="82"/>
      <c r="AN3635" s="82"/>
      <c r="AO3635" s="82"/>
      <c r="AP3635" s="82"/>
      <c r="AQ3635" s="82"/>
      <c r="AR3635" s="82"/>
      <c r="AS3635" s="82"/>
      <c r="AT3635" s="82"/>
      <c r="AU3635" s="82"/>
      <c r="AV3635" s="82"/>
      <c r="AW3635" s="82" t="str">
        <f t="shared" si="1"/>
        <v/>
      </c>
      <c r="AX3635" s="83" t="str">
        <f t="array" ref="AX3635">IFERROR(DGET('SBV Import'!A:G,"SBV",{"RSC ID","Tier";B3635,A3635}))</f>
        <v/>
      </c>
      <c r="AY3635" s="82" t="str">
        <f t="shared" si="2"/>
        <v/>
      </c>
      <c r="AZ3635" s="82"/>
      <c r="BA3635" s="84" t="s">
        <v>152</v>
      </c>
      <c r="BB3635" s="84" t="str">
        <f>IFERROR(__xludf.DUMMYFUNCTION("iferror(if(A3635="""",,E3635&gt;=FILTER(Constants!$F$2:$F$10,Constants!$A$2:$A$10=A3635)))"),"")</f>
        <v/>
      </c>
    </row>
    <row r="3636">
      <c r="A3636" s="89"/>
      <c r="B3636" s="87"/>
      <c r="C3636" s="73"/>
      <c r="D3636" s="73"/>
      <c r="E3636" s="82"/>
      <c r="F3636" s="82"/>
      <c r="G3636" s="86"/>
      <c r="H3636" s="86"/>
      <c r="I3636" s="86"/>
      <c r="J3636" s="82"/>
      <c r="K3636" s="82"/>
      <c r="L3636" s="82"/>
      <c r="M3636" s="82"/>
      <c r="N3636" s="82"/>
      <c r="O3636" s="82"/>
      <c r="P3636" s="82"/>
      <c r="Q3636" s="82"/>
      <c r="R3636" s="82"/>
      <c r="S3636" s="82"/>
      <c r="T3636" s="82"/>
      <c r="U3636" s="82"/>
      <c r="V3636" s="82"/>
      <c r="W3636" s="82"/>
      <c r="X3636" s="82"/>
      <c r="Y3636" s="82"/>
      <c r="Z3636" s="82"/>
      <c r="AA3636" s="82"/>
      <c r="AB3636" s="82"/>
      <c r="AC3636" s="82"/>
      <c r="AD3636" s="82"/>
      <c r="AE3636" s="82"/>
      <c r="AF3636" s="82"/>
      <c r="AG3636" s="82"/>
      <c r="AH3636" s="82"/>
      <c r="AI3636" s="82"/>
      <c r="AJ3636" s="82"/>
      <c r="AK3636" s="82"/>
      <c r="AL3636" s="82"/>
      <c r="AM3636" s="82"/>
      <c r="AN3636" s="82"/>
      <c r="AO3636" s="82"/>
      <c r="AP3636" s="82"/>
      <c r="AQ3636" s="82"/>
      <c r="AR3636" s="82"/>
      <c r="AS3636" s="82"/>
      <c r="AT3636" s="82"/>
      <c r="AU3636" s="82"/>
      <c r="AV3636" s="82"/>
      <c r="AW3636" s="82" t="str">
        <f t="shared" si="1"/>
        <v/>
      </c>
      <c r="AX3636" s="83" t="str">
        <f t="array" ref="AX3636">IFERROR(DGET('SBV Import'!A:G,"SBV",{"RSC ID","Tier";B3636,A3636}))</f>
        <v/>
      </c>
      <c r="AY3636" s="82" t="str">
        <f t="shared" si="2"/>
        <v/>
      </c>
      <c r="AZ3636" s="82"/>
      <c r="BA3636" s="84" t="s">
        <v>152</v>
      </c>
      <c r="BB3636" s="84" t="str">
        <f>IFERROR(__xludf.DUMMYFUNCTION("iferror(if(A3636="""",,E3636&gt;=FILTER(Constants!$F$2:$F$10,Constants!$A$2:$A$10=A3636)))"),"")</f>
        <v/>
      </c>
    </row>
    <row r="3637">
      <c r="A3637" s="89"/>
      <c r="B3637" s="87"/>
      <c r="C3637" s="73"/>
      <c r="D3637" s="73"/>
      <c r="E3637" s="82"/>
      <c r="F3637" s="82"/>
      <c r="G3637" s="86"/>
      <c r="H3637" s="86"/>
      <c r="I3637" s="86"/>
      <c r="J3637" s="82"/>
      <c r="K3637" s="82"/>
      <c r="L3637" s="82"/>
      <c r="M3637" s="82"/>
      <c r="N3637" s="82"/>
      <c r="O3637" s="82"/>
      <c r="P3637" s="82"/>
      <c r="Q3637" s="82"/>
      <c r="R3637" s="82"/>
      <c r="S3637" s="82"/>
      <c r="T3637" s="82"/>
      <c r="U3637" s="82"/>
      <c r="V3637" s="82"/>
      <c r="W3637" s="82"/>
      <c r="X3637" s="82"/>
      <c r="Y3637" s="82"/>
      <c r="Z3637" s="82"/>
      <c r="AA3637" s="82"/>
      <c r="AB3637" s="82"/>
      <c r="AC3637" s="82"/>
      <c r="AD3637" s="82"/>
      <c r="AE3637" s="82"/>
      <c r="AF3637" s="82"/>
      <c r="AG3637" s="82"/>
      <c r="AH3637" s="82"/>
      <c r="AI3637" s="82"/>
      <c r="AJ3637" s="82"/>
      <c r="AK3637" s="82"/>
      <c r="AL3637" s="82"/>
      <c r="AM3637" s="82"/>
      <c r="AN3637" s="82"/>
      <c r="AO3637" s="82"/>
      <c r="AP3637" s="82"/>
      <c r="AQ3637" s="82"/>
      <c r="AR3637" s="82"/>
      <c r="AS3637" s="82"/>
      <c r="AT3637" s="82"/>
      <c r="AU3637" s="82"/>
      <c r="AV3637" s="82"/>
      <c r="AW3637" s="82" t="str">
        <f t="shared" si="1"/>
        <v/>
      </c>
      <c r="AX3637" s="83" t="str">
        <f t="array" ref="AX3637">IFERROR(DGET('SBV Import'!A:G,"SBV",{"RSC ID","Tier";B3637,A3637}))</f>
        <v/>
      </c>
      <c r="AY3637" s="82" t="str">
        <f t="shared" si="2"/>
        <v/>
      </c>
      <c r="AZ3637" s="82"/>
      <c r="BA3637" s="84" t="s">
        <v>152</v>
      </c>
      <c r="BB3637" s="84" t="str">
        <f>IFERROR(__xludf.DUMMYFUNCTION("iferror(if(A3637="""",,E3637&gt;=FILTER(Constants!$F$2:$F$10,Constants!$A$2:$A$10=A3637)))"),"")</f>
        <v/>
      </c>
    </row>
    <row r="3638">
      <c r="A3638" s="89"/>
      <c r="B3638" s="87"/>
      <c r="C3638" s="73"/>
      <c r="D3638" s="73"/>
      <c r="E3638" s="82"/>
      <c r="F3638" s="82"/>
      <c r="G3638" s="86"/>
      <c r="H3638" s="86"/>
      <c r="I3638" s="86"/>
      <c r="J3638" s="82"/>
      <c r="K3638" s="82"/>
      <c r="L3638" s="82"/>
      <c r="M3638" s="82"/>
      <c r="N3638" s="82"/>
      <c r="O3638" s="82"/>
      <c r="P3638" s="82"/>
      <c r="Q3638" s="82"/>
      <c r="R3638" s="82"/>
      <c r="S3638" s="82"/>
      <c r="T3638" s="82"/>
      <c r="U3638" s="82"/>
      <c r="V3638" s="82"/>
      <c r="W3638" s="82"/>
      <c r="X3638" s="82"/>
      <c r="Y3638" s="82"/>
      <c r="Z3638" s="82"/>
      <c r="AA3638" s="82"/>
      <c r="AB3638" s="82"/>
      <c r="AC3638" s="82"/>
      <c r="AD3638" s="82"/>
      <c r="AE3638" s="82"/>
      <c r="AF3638" s="82"/>
      <c r="AG3638" s="82"/>
      <c r="AH3638" s="82"/>
      <c r="AI3638" s="82"/>
      <c r="AJ3638" s="82"/>
      <c r="AK3638" s="82"/>
      <c r="AL3638" s="82"/>
      <c r="AM3638" s="82"/>
      <c r="AN3638" s="82"/>
      <c r="AO3638" s="82"/>
      <c r="AP3638" s="82"/>
      <c r="AQ3638" s="82"/>
      <c r="AR3638" s="82"/>
      <c r="AS3638" s="82"/>
      <c r="AT3638" s="82"/>
      <c r="AU3638" s="82"/>
      <c r="AV3638" s="82"/>
      <c r="AW3638" s="82" t="str">
        <f t="shared" si="1"/>
        <v/>
      </c>
      <c r="AX3638" s="83" t="str">
        <f t="array" ref="AX3638">IFERROR(DGET('SBV Import'!A:G,"SBV",{"RSC ID","Tier";B3638,A3638}))</f>
        <v/>
      </c>
      <c r="AY3638" s="82" t="str">
        <f t="shared" si="2"/>
        <v/>
      </c>
      <c r="AZ3638" s="82"/>
      <c r="BA3638" s="84" t="s">
        <v>152</v>
      </c>
      <c r="BB3638" s="84" t="str">
        <f>IFERROR(__xludf.DUMMYFUNCTION("iferror(if(A3638="""",,E3638&gt;=FILTER(Constants!$F$2:$F$10,Constants!$A$2:$A$10=A3638)))"),"")</f>
        <v/>
      </c>
    </row>
    <row r="3639">
      <c r="A3639" s="89"/>
      <c r="B3639" s="87"/>
      <c r="C3639" s="73"/>
      <c r="D3639" s="73"/>
      <c r="E3639" s="82"/>
      <c r="F3639" s="82"/>
      <c r="G3639" s="86"/>
      <c r="H3639" s="86"/>
      <c r="I3639" s="86"/>
      <c r="J3639" s="82"/>
      <c r="K3639" s="82"/>
      <c r="L3639" s="82"/>
      <c r="M3639" s="82"/>
      <c r="N3639" s="82"/>
      <c r="O3639" s="82"/>
      <c r="P3639" s="82"/>
      <c r="Q3639" s="82"/>
      <c r="R3639" s="82"/>
      <c r="S3639" s="82"/>
      <c r="T3639" s="82"/>
      <c r="U3639" s="82"/>
      <c r="V3639" s="82"/>
      <c r="W3639" s="82"/>
      <c r="X3639" s="82"/>
      <c r="Y3639" s="82"/>
      <c r="Z3639" s="82"/>
      <c r="AA3639" s="82"/>
      <c r="AB3639" s="82"/>
      <c r="AC3639" s="82"/>
      <c r="AD3639" s="82"/>
      <c r="AE3639" s="82"/>
      <c r="AF3639" s="82"/>
      <c r="AG3639" s="82"/>
      <c r="AH3639" s="82"/>
      <c r="AI3639" s="82"/>
      <c r="AJ3639" s="82"/>
      <c r="AK3639" s="82"/>
      <c r="AL3639" s="82"/>
      <c r="AM3639" s="82"/>
      <c r="AN3639" s="82"/>
      <c r="AO3639" s="82"/>
      <c r="AP3639" s="82"/>
      <c r="AQ3639" s="82"/>
      <c r="AR3639" s="82"/>
      <c r="AS3639" s="82"/>
      <c r="AT3639" s="82"/>
      <c r="AU3639" s="82"/>
      <c r="AV3639" s="82"/>
      <c r="AW3639" s="82" t="str">
        <f t="shared" si="1"/>
        <v/>
      </c>
      <c r="AX3639" s="83" t="str">
        <f t="array" ref="AX3639">IFERROR(DGET('SBV Import'!A:G,"SBV",{"RSC ID","Tier";B3639,A3639}))</f>
        <v/>
      </c>
      <c r="AY3639" s="82" t="str">
        <f t="shared" si="2"/>
        <v/>
      </c>
      <c r="AZ3639" s="82"/>
      <c r="BA3639" s="84" t="s">
        <v>152</v>
      </c>
      <c r="BB3639" s="84" t="str">
        <f>IFERROR(__xludf.DUMMYFUNCTION("iferror(if(A3639="""",,E3639&gt;=FILTER(Constants!$F$2:$F$10,Constants!$A$2:$A$10=A3639)))"),"")</f>
        <v/>
      </c>
    </row>
    <row r="3640">
      <c r="A3640" s="89"/>
      <c r="B3640" s="87"/>
      <c r="C3640" s="73"/>
      <c r="D3640" s="73"/>
      <c r="E3640" s="82"/>
      <c r="F3640" s="82"/>
      <c r="G3640" s="86"/>
      <c r="H3640" s="86"/>
      <c r="I3640" s="86"/>
      <c r="J3640" s="82"/>
      <c r="K3640" s="82"/>
      <c r="L3640" s="82"/>
      <c r="M3640" s="82"/>
      <c r="N3640" s="82"/>
      <c r="O3640" s="82"/>
      <c r="P3640" s="82"/>
      <c r="Q3640" s="82"/>
      <c r="R3640" s="82"/>
      <c r="S3640" s="82"/>
      <c r="T3640" s="82"/>
      <c r="U3640" s="82"/>
      <c r="V3640" s="82"/>
      <c r="W3640" s="82"/>
      <c r="X3640" s="82"/>
      <c r="Y3640" s="82"/>
      <c r="Z3640" s="82"/>
      <c r="AA3640" s="82"/>
      <c r="AB3640" s="82"/>
      <c r="AC3640" s="82"/>
      <c r="AD3640" s="82"/>
      <c r="AE3640" s="82"/>
      <c r="AF3640" s="82"/>
      <c r="AG3640" s="82"/>
      <c r="AH3640" s="82"/>
      <c r="AI3640" s="82"/>
      <c r="AJ3640" s="82"/>
      <c r="AK3640" s="82"/>
      <c r="AL3640" s="82"/>
      <c r="AM3640" s="82"/>
      <c r="AN3640" s="82"/>
      <c r="AO3640" s="82"/>
      <c r="AP3640" s="82"/>
      <c r="AQ3640" s="82"/>
      <c r="AR3640" s="82"/>
      <c r="AS3640" s="82"/>
      <c r="AT3640" s="82"/>
      <c r="AU3640" s="82"/>
      <c r="AV3640" s="82"/>
      <c r="AW3640" s="82" t="str">
        <f t="shared" si="1"/>
        <v/>
      </c>
      <c r="AX3640" s="83" t="str">
        <f t="array" ref="AX3640">IFERROR(DGET('SBV Import'!A:G,"SBV",{"RSC ID","Tier";B3640,A3640}))</f>
        <v/>
      </c>
      <c r="AY3640" s="82" t="str">
        <f t="shared" si="2"/>
        <v/>
      </c>
      <c r="AZ3640" s="82"/>
      <c r="BA3640" s="84" t="s">
        <v>152</v>
      </c>
      <c r="BB3640" s="84" t="str">
        <f>IFERROR(__xludf.DUMMYFUNCTION("iferror(if(A3640="""",,E3640&gt;=FILTER(Constants!$F$2:$F$10,Constants!$A$2:$A$10=A3640)))"),"")</f>
        <v/>
      </c>
    </row>
    <row r="3641">
      <c r="A3641" s="89"/>
      <c r="B3641" s="87"/>
      <c r="C3641" s="73"/>
      <c r="D3641" s="73"/>
      <c r="E3641" s="82"/>
      <c r="F3641" s="82"/>
      <c r="G3641" s="86"/>
      <c r="H3641" s="86"/>
      <c r="I3641" s="86"/>
      <c r="J3641" s="82"/>
      <c r="K3641" s="82"/>
      <c r="L3641" s="82"/>
      <c r="M3641" s="82"/>
      <c r="N3641" s="82"/>
      <c r="O3641" s="82"/>
      <c r="P3641" s="82"/>
      <c r="Q3641" s="82"/>
      <c r="R3641" s="82"/>
      <c r="S3641" s="82"/>
      <c r="T3641" s="82"/>
      <c r="U3641" s="82"/>
      <c r="V3641" s="82"/>
      <c r="W3641" s="82"/>
      <c r="X3641" s="82"/>
      <c r="Y3641" s="82"/>
      <c r="Z3641" s="82"/>
      <c r="AA3641" s="82"/>
      <c r="AB3641" s="82"/>
      <c r="AC3641" s="82"/>
      <c r="AD3641" s="82"/>
      <c r="AE3641" s="82"/>
      <c r="AF3641" s="82"/>
      <c r="AG3641" s="82"/>
      <c r="AH3641" s="82"/>
      <c r="AI3641" s="82"/>
      <c r="AJ3641" s="82"/>
      <c r="AK3641" s="82"/>
      <c r="AL3641" s="82"/>
      <c r="AM3641" s="82"/>
      <c r="AN3641" s="82"/>
      <c r="AO3641" s="82"/>
      <c r="AP3641" s="82"/>
      <c r="AQ3641" s="82"/>
      <c r="AR3641" s="82"/>
      <c r="AS3641" s="82"/>
      <c r="AT3641" s="82"/>
      <c r="AU3641" s="82"/>
      <c r="AV3641" s="82"/>
      <c r="AW3641" s="82" t="str">
        <f t="shared" si="1"/>
        <v/>
      </c>
      <c r="AX3641" s="83" t="str">
        <f t="array" ref="AX3641">IFERROR(DGET('SBV Import'!A:G,"SBV",{"RSC ID","Tier";B3641,A3641}))</f>
        <v/>
      </c>
      <c r="AY3641" s="82" t="str">
        <f t="shared" si="2"/>
        <v/>
      </c>
      <c r="AZ3641" s="82"/>
      <c r="BA3641" s="84" t="s">
        <v>152</v>
      </c>
      <c r="BB3641" s="84" t="str">
        <f>IFERROR(__xludf.DUMMYFUNCTION("iferror(if(A3641="""",,E3641&gt;=FILTER(Constants!$F$2:$F$10,Constants!$A$2:$A$10=A3641)))"),"")</f>
        <v/>
      </c>
    </row>
    <row r="3642">
      <c r="A3642" s="89"/>
      <c r="B3642" s="87"/>
      <c r="C3642" s="73"/>
      <c r="D3642" s="73"/>
      <c r="E3642" s="82"/>
      <c r="F3642" s="82"/>
      <c r="G3642" s="86"/>
      <c r="H3642" s="86"/>
      <c r="I3642" s="86"/>
      <c r="J3642" s="82"/>
      <c r="K3642" s="82"/>
      <c r="L3642" s="82"/>
      <c r="M3642" s="82"/>
      <c r="N3642" s="82"/>
      <c r="O3642" s="82"/>
      <c r="P3642" s="82"/>
      <c r="Q3642" s="82"/>
      <c r="R3642" s="82"/>
      <c r="S3642" s="82"/>
      <c r="T3642" s="82"/>
      <c r="U3642" s="82"/>
      <c r="V3642" s="82"/>
      <c r="W3642" s="82"/>
      <c r="X3642" s="82"/>
      <c r="Y3642" s="82"/>
      <c r="Z3642" s="82"/>
      <c r="AA3642" s="82"/>
      <c r="AB3642" s="82"/>
      <c r="AC3642" s="82"/>
      <c r="AD3642" s="82"/>
      <c r="AE3642" s="82"/>
      <c r="AF3642" s="82"/>
      <c r="AG3642" s="82"/>
      <c r="AH3642" s="82"/>
      <c r="AI3642" s="82"/>
      <c r="AJ3642" s="82"/>
      <c r="AK3642" s="82"/>
      <c r="AL3642" s="82"/>
      <c r="AM3642" s="82"/>
      <c r="AN3642" s="82"/>
      <c r="AO3642" s="82"/>
      <c r="AP3642" s="82"/>
      <c r="AQ3642" s="82"/>
      <c r="AR3642" s="82"/>
      <c r="AS3642" s="82"/>
      <c r="AT3642" s="82"/>
      <c r="AU3642" s="82"/>
      <c r="AV3642" s="82"/>
      <c r="AW3642" s="82" t="str">
        <f t="shared" si="1"/>
        <v/>
      </c>
      <c r="AX3642" s="83" t="str">
        <f t="array" ref="AX3642">IFERROR(DGET('SBV Import'!A:G,"SBV",{"RSC ID","Tier";B3642,A3642}))</f>
        <v/>
      </c>
      <c r="AY3642" s="82" t="str">
        <f t="shared" si="2"/>
        <v/>
      </c>
      <c r="AZ3642" s="82"/>
      <c r="BA3642" s="84" t="s">
        <v>152</v>
      </c>
      <c r="BB3642" s="84" t="str">
        <f>IFERROR(__xludf.DUMMYFUNCTION("iferror(if(A3642="""",,E3642&gt;=FILTER(Constants!$F$2:$F$10,Constants!$A$2:$A$10=A3642)))"),"")</f>
        <v/>
      </c>
    </row>
    <row r="3643">
      <c r="A3643" s="89"/>
      <c r="B3643" s="87"/>
      <c r="C3643" s="73"/>
      <c r="D3643" s="73"/>
      <c r="E3643" s="82"/>
      <c r="F3643" s="82"/>
      <c r="G3643" s="86"/>
      <c r="H3643" s="86"/>
      <c r="I3643" s="86"/>
      <c r="J3643" s="82"/>
      <c r="K3643" s="82"/>
      <c r="L3643" s="82"/>
      <c r="M3643" s="82"/>
      <c r="N3643" s="82"/>
      <c r="O3643" s="82"/>
      <c r="P3643" s="82"/>
      <c r="Q3643" s="82"/>
      <c r="R3643" s="82"/>
      <c r="S3643" s="82"/>
      <c r="T3643" s="82"/>
      <c r="U3643" s="82"/>
      <c r="V3643" s="82"/>
      <c r="W3643" s="82"/>
      <c r="X3643" s="82"/>
      <c r="Y3643" s="82"/>
      <c r="Z3643" s="82"/>
      <c r="AA3643" s="82"/>
      <c r="AB3643" s="82"/>
      <c r="AC3643" s="82"/>
      <c r="AD3643" s="82"/>
      <c r="AE3643" s="82"/>
      <c r="AF3643" s="82"/>
      <c r="AG3643" s="82"/>
      <c r="AH3643" s="82"/>
      <c r="AI3643" s="82"/>
      <c r="AJ3643" s="82"/>
      <c r="AK3643" s="82"/>
      <c r="AL3643" s="82"/>
      <c r="AM3643" s="82"/>
      <c r="AN3643" s="82"/>
      <c r="AO3643" s="82"/>
      <c r="AP3643" s="82"/>
      <c r="AQ3643" s="82"/>
      <c r="AR3643" s="82"/>
      <c r="AS3643" s="82"/>
      <c r="AT3643" s="82"/>
      <c r="AU3643" s="82"/>
      <c r="AV3643" s="82"/>
      <c r="AW3643" s="82" t="str">
        <f t="shared" si="1"/>
        <v/>
      </c>
      <c r="AX3643" s="83" t="str">
        <f t="array" ref="AX3643">IFERROR(DGET('SBV Import'!A:G,"SBV",{"RSC ID","Tier";B3643,A3643}))</f>
        <v/>
      </c>
      <c r="AY3643" s="82" t="str">
        <f t="shared" si="2"/>
        <v/>
      </c>
      <c r="AZ3643" s="82"/>
      <c r="BA3643" s="84" t="s">
        <v>152</v>
      </c>
      <c r="BB3643" s="84" t="str">
        <f>IFERROR(__xludf.DUMMYFUNCTION("iferror(if(A3643="""",,E3643&gt;=FILTER(Constants!$F$2:$F$10,Constants!$A$2:$A$10=A3643)))"),"")</f>
        <v/>
      </c>
    </row>
    <row r="3644">
      <c r="A3644" s="89"/>
      <c r="B3644" s="87"/>
      <c r="C3644" s="73"/>
      <c r="D3644" s="73"/>
      <c r="E3644" s="82"/>
      <c r="F3644" s="82"/>
      <c r="G3644" s="86"/>
      <c r="H3644" s="86"/>
      <c r="I3644" s="86"/>
      <c r="J3644" s="82"/>
      <c r="K3644" s="82"/>
      <c r="L3644" s="82"/>
      <c r="M3644" s="82"/>
      <c r="N3644" s="82"/>
      <c r="O3644" s="82"/>
      <c r="P3644" s="82"/>
      <c r="Q3644" s="82"/>
      <c r="R3644" s="82"/>
      <c r="S3644" s="82"/>
      <c r="T3644" s="82"/>
      <c r="U3644" s="82"/>
      <c r="V3644" s="82"/>
      <c r="W3644" s="82"/>
      <c r="X3644" s="82"/>
      <c r="Y3644" s="82"/>
      <c r="Z3644" s="82"/>
      <c r="AA3644" s="82"/>
      <c r="AB3644" s="82"/>
      <c r="AC3644" s="82"/>
      <c r="AD3644" s="82"/>
      <c r="AE3644" s="82"/>
      <c r="AF3644" s="82"/>
      <c r="AG3644" s="82"/>
      <c r="AH3644" s="82"/>
      <c r="AI3644" s="82"/>
      <c r="AJ3644" s="82"/>
      <c r="AK3644" s="82"/>
      <c r="AL3644" s="82"/>
      <c r="AM3644" s="82"/>
      <c r="AN3644" s="82"/>
      <c r="AO3644" s="82"/>
      <c r="AP3644" s="82"/>
      <c r="AQ3644" s="82"/>
      <c r="AR3644" s="82"/>
      <c r="AS3644" s="82"/>
      <c r="AT3644" s="82"/>
      <c r="AU3644" s="82"/>
      <c r="AV3644" s="82"/>
      <c r="AW3644" s="82" t="str">
        <f t="shared" si="1"/>
        <v/>
      </c>
      <c r="AX3644" s="83" t="str">
        <f t="array" ref="AX3644">IFERROR(DGET('SBV Import'!A:G,"SBV",{"RSC ID","Tier";B3644,A3644}))</f>
        <v/>
      </c>
      <c r="AY3644" s="82" t="str">
        <f t="shared" si="2"/>
        <v/>
      </c>
      <c r="AZ3644" s="82"/>
      <c r="BA3644" s="84" t="s">
        <v>152</v>
      </c>
      <c r="BB3644" s="84" t="str">
        <f>IFERROR(__xludf.DUMMYFUNCTION("iferror(if(A3644="""",,E3644&gt;=FILTER(Constants!$F$2:$F$10,Constants!$A$2:$A$10=A3644)))"),"")</f>
        <v/>
      </c>
    </row>
    <row r="3645">
      <c r="A3645" s="89"/>
      <c r="B3645" s="87"/>
      <c r="C3645" s="73"/>
      <c r="D3645" s="73"/>
      <c r="E3645" s="82"/>
      <c r="F3645" s="82"/>
      <c r="G3645" s="86"/>
      <c r="H3645" s="86"/>
      <c r="I3645" s="86"/>
      <c r="J3645" s="82"/>
      <c r="K3645" s="82"/>
      <c r="L3645" s="82"/>
      <c r="M3645" s="82"/>
      <c r="N3645" s="82"/>
      <c r="O3645" s="82"/>
      <c r="P3645" s="82"/>
      <c r="Q3645" s="82"/>
      <c r="R3645" s="82"/>
      <c r="S3645" s="82"/>
      <c r="T3645" s="82"/>
      <c r="U3645" s="82"/>
      <c r="V3645" s="82"/>
      <c r="W3645" s="82"/>
      <c r="X3645" s="82"/>
      <c r="Y3645" s="82"/>
      <c r="Z3645" s="82"/>
      <c r="AA3645" s="82"/>
      <c r="AB3645" s="82"/>
      <c r="AC3645" s="82"/>
      <c r="AD3645" s="82"/>
      <c r="AE3645" s="82"/>
      <c r="AF3645" s="82"/>
      <c r="AG3645" s="82"/>
      <c r="AH3645" s="82"/>
      <c r="AI3645" s="82"/>
      <c r="AJ3645" s="82"/>
      <c r="AK3645" s="82"/>
      <c r="AL3645" s="82"/>
      <c r="AM3645" s="82"/>
      <c r="AN3645" s="82"/>
      <c r="AO3645" s="82"/>
      <c r="AP3645" s="82"/>
      <c r="AQ3645" s="82"/>
      <c r="AR3645" s="82"/>
      <c r="AS3645" s="82"/>
      <c r="AT3645" s="82"/>
      <c r="AU3645" s="82"/>
      <c r="AV3645" s="82"/>
      <c r="AW3645" s="82" t="str">
        <f t="shared" si="1"/>
        <v/>
      </c>
      <c r="AX3645" s="83" t="str">
        <f t="array" ref="AX3645">IFERROR(DGET('SBV Import'!A:G,"SBV",{"RSC ID","Tier";B3645,A3645}))</f>
        <v/>
      </c>
      <c r="AY3645" s="82" t="str">
        <f t="shared" si="2"/>
        <v/>
      </c>
      <c r="AZ3645" s="82"/>
      <c r="BA3645" s="84" t="s">
        <v>152</v>
      </c>
      <c r="BB3645" s="84" t="str">
        <f>IFERROR(__xludf.DUMMYFUNCTION("iferror(if(A3645="""",,E3645&gt;=FILTER(Constants!$F$2:$F$10,Constants!$A$2:$A$10=A3645)))"),"")</f>
        <v/>
      </c>
    </row>
    <row r="3646">
      <c r="A3646" s="89"/>
      <c r="B3646" s="87"/>
      <c r="C3646" s="73"/>
      <c r="D3646" s="73"/>
      <c r="E3646" s="82"/>
      <c r="F3646" s="82"/>
      <c r="G3646" s="86"/>
      <c r="H3646" s="86"/>
      <c r="I3646" s="86"/>
      <c r="J3646" s="82"/>
      <c r="K3646" s="82"/>
      <c r="L3646" s="82"/>
      <c r="M3646" s="82"/>
      <c r="N3646" s="82"/>
      <c r="O3646" s="82"/>
      <c r="P3646" s="82"/>
      <c r="Q3646" s="82"/>
      <c r="R3646" s="82"/>
      <c r="S3646" s="82"/>
      <c r="T3646" s="82"/>
      <c r="U3646" s="82"/>
      <c r="V3646" s="82"/>
      <c r="W3646" s="82"/>
      <c r="X3646" s="82"/>
      <c r="Y3646" s="82"/>
      <c r="Z3646" s="82"/>
      <c r="AA3646" s="82"/>
      <c r="AB3646" s="82"/>
      <c r="AC3646" s="82"/>
      <c r="AD3646" s="82"/>
      <c r="AE3646" s="82"/>
      <c r="AF3646" s="82"/>
      <c r="AG3646" s="82"/>
      <c r="AH3646" s="82"/>
      <c r="AI3646" s="82"/>
      <c r="AJ3646" s="82"/>
      <c r="AK3646" s="82"/>
      <c r="AL3646" s="82"/>
      <c r="AM3646" s="82"/>
      <c r="AN3646" s="82"/>
      <c r="AO3646" s="82"/>
      <c r="AP3646" s="82"/>
      <c r="AQ3646" s="82"/>
      <c r="AR3646" s="82"/>
      <c r="AS3646" s="82"/>
      <c r="AT3646" s="82"/>
      <c r="AU3646" s="82"/>
      <c r="AV3646" s="82"/>
      <c r="AW3646" s="82" t="str">
        <f t="shared" si="1"/>
        <v/>
      </c>
      <c r="AX3646" s="83" t="str">
        <f t="array" ref="AX3646">IFERROR(DGET('SBV Import'!A:G,"SBV",{"RSC ID","Tier";B3646,A3646}))</f>
        <v/>
      </c>
      <c r="AY3646" s="82" t="str">
        <f t="shared" si="2"/>
        <v/>
      </c>
      <c r="AZ3646" s="82"/>
      <c r="BA3646" s="84" t="s">
        <v>152</v>
      </c>
      <c r="BB3646" s="84" t="str">
        <f>IFERROR(__xludf.DUMMYFUNCTION("iferror(if(A3646="""",,E3646&gt;=FILTER(Constants!$F$2:$F$10,Constants!$A$2:$A$10=A3646)))"),"")</f>
        <v/>
      </c>
    </row>
    <row r="3647">
      <c r="A3647" s="89"/>
      <c r="B3647" s="87"/>
      <c r="C3647" s="73"/>
      <c r="D3647" s="73"/>
      <c r="E3647" s="82"/>
      <c r="F3647" s="82"/>
      <c r="G3647" s="86"/>
      <c r="H3647" s="86"/>
      <c r="I3647" s="86"/>
      <c r="J3647" s="82"/>
      <c r="K3647" s="82"/>
      <c r="L3647" s="82"/>
      <c r="M3647" s="82"/>
      <c r="N3647" s="82"/>
      <c r="O3647" s="82"/>
      <c r="P3647" s="82"/>
      <c r="Q3647" s="82"/>
      <c r="R3647" s="82"/>
      <c r="S3647" s="82"/>
      <c r="T3647" s="82"/>
      <c r="U3647" s="82"/>
      <c r="V3647" s="82"/>
      <c r="W3647" s="82"/>
      <c r="X3647" s="82"/>
      <c r="Y3647" s="82"/>
      <c r="Z3647" s="82"/>
      <c r="AA3647" s="82"/>
      <c r="AB3647" s="82"/>
      <c r="AC3647" s="82"/>
      <c r="AD3647" s="82"/>
      <c r="AE3647" s="82"/>
      <c r="AF3647" s="82"/>
      <c r="AG3647" s="82"/>
      <c r="AH3647" s="82"/>
      <c r="AI3647" s="82"/>
      <c r="AJ3647" s="82"/>
      <c r="AK3647" s="82"/>
      <c r="AL3647" s="82"/>
      <c r="AM3647" s="82"/>
      <c r="AN3647" s="82"/>
      <c r="AO3647" s="82"/>
      <c r="AP3647" s="82"/>
      <c r="AQ3647" s="82"/>
      <c r="AR3647" s="82"/>
      <c r="AS3647" s="82"/>
      <c r="AT3647" s="82"/>
      <c r="AU3647" s="82"/>
      <c r="AV3647" s="82"/>
      <c r="AW3647" s="82" t="str">
        <f t="shared" si="1"/>
        <v/>
      </c>
      <c r="AX3647" s="83" t="str">
        <f t="array" ref="AX3647">IFERROR(DGET('SBV Import'!A:G,"SBV",{"RSC ID","Tier";B3647,A3647}))</f>
        <v/>
      </c>
      <c r="AY3647" s="82" t="str">
        <f t="shared" si="2"/>
        <v/>
      </c>
      <c r="AZ3647" s="82"/>
      <c r="BA3647" s="84" t="s">
        <v>152</v>
      </c>
      <c r="BB3647" s="84" t="str">
        <f>IFERROR(__xludf.DUMMYFUNCTION("iferror(if(A3647="""",,E3647&gt;=FILTER(Constants!$F$2:$F$10,Constants!$A$2:$A$10=A3647)))"),"")</f>
        <v/>
      </c>
    </row>
    <row r="3648">
      <c r="A3648" s="89"/>
      <c r="B3648" s="87"/>
      <c r="C3648" s="73"/>
      <c r="D3648" s="73"/>
      <c r="E3648" s="82"/>
      <c r="F3648" s="82"/>
      <c r="G3648" s="86"/>
      <c r="H3648" s="86"/>
      <c r="I3648" s="86"/>
      <c r="J3648" s="82"/>
      <c r="K3648" s="82"/>
      <c r="L3648" s="82"/>
      <c r="M3648" s="82"/>
      <c r="N3648" s="82"/>
      <c r="O3648" s="82"/>
      <c r="P3648" s="82"/>
      <c r="Q3648" s="82"/>
      <c r="R3648" s="82"/>
      <c r="S3648" s="82"/>
      <c r="T3648" s="82"/>
      <c r="U3648" s="82"/>
      <c r="V3648" s="82"/>
      <c r="W3648" s="82"/>
      <c r="X3648" s="82"/>
      <c r="Y3648" s="82"/>
      <c r="Z3648" s="82"/>
      <c r="AA3648" s="82"/>
      <c r="AB3648" s="82"/>
      <c r="AC3648" s="82"/>
      <c r="AD3648" s="82"/>
      <c r="AE3648" s="82"/>
      <c r="AF3648" s="82"/>
      <c r="AG3648" s="82"/>
      <c r="AH3648" s="82"/>
      <c r="AI3648" s="82"/>
      <c r="AJ3648" s="82"/>
      <c r="AK3648" s="82"/>
      <c r="AL3648" s="82"/>
      <c r="AM3648" s="82"/>
      <c r="AN3648" s="82"/>
      <c r="AO3648" s="82"/>
      <c r="AP3648" s="82"/>
      <c r="AQ3648" s="82"/>
      <c r="AR3648" s="82"/>
      <c r="AS3648" s="82"/>
      <c r="AT3648" s="82"/>
      <c r="AU3648" s="82"/>
      <c r="AV3648" s="82"/>
      <c r="AW3648" s="82" t="str">
        <f t="shared" si="1"/>
        <v/>
      </c>
      <c r="AX3648" s="83" t="str">
        <f t="array" ref="AX3648">IFERROR(DGET('SBV Import'!A:G,"SBV",{"RSC ID","Tier";B3648,A3648}))</f>
        <v/>
      </c>
      <c r="AY3648" s="82" t="str">
        <f t="shared" si="2"/>
        <v/>
      </c>
      <c r="AZ3648" s="82"/>
      <c r="BA3648" s="84" t="s">
        <v>152</v>
      </c>
      <c r="BB3648" s="84" t="str">
        <f>IFERROR(__xludf.DUMMYFUNCTION("iferror(if(A3648="""",,E3648&gt;=FILTER(Constants!$F$2:$F$10,Constants!$A$2:$A$10=A3648)))"),"")</f>
        <v/>
      </c>
    </row>
    <row r="3649">
      <c r="A3649" s="89"/>
      <c r="B3649" s="87"/>
      <c r="C3649" s="73"/>
      <c r="D3649" s="73"/>
      <c r="E3649" s="82"/>
      <c r="F3649" s="82"/>
      <c r="G3649" s="86"/>
      <c r="H3649" s="86"/>
      <c r="I3649" s="86"/>
      <c r="J3649" s="82"/>
      <c r="K3649" s="82"/>
      <c r="L3649" s="82"/>
      <c r="M3649" s="82"/>
      <c r="N3649" s="82"/>
      <c r="O3649" s="82"/>
      <c r="P3649" s="82"/>
      <c r="Q3649" s="82"/>
      <c r="R3649" s="82"/>
      <c r="S3649" s="82"/>
      <c r="T3649" s="82"/>
      <c r="U3649" s="82"/>
      <c r="V3649" s="82"/>
      <c r="W3649" s="82"/>
      <c r="X3649" s="82"/>
      <c r="Y3649" s="82"/>
      <c r="Z3649" s="82"/>
      <c r="AA3649" s="82"/>
      <c r="AB3649" s="82"/>
      <c r="AC3649" s="82"/>
      <c r="AD3649" s="82"/>
      <c r="AE3649" s="82"/>
      <c r="AF3649" s="82"/>
      <c r="AG3649" s="82"/>
      <c r="AH3649" s="82"/>
      <c r="AI3649" s="82"/>
      <c r="AJ3649" s="82"/>
      <c r="AK3649" s="82"/>
      <c r="AL3649" s="82"/>
      <c r="AM3649" s="82"/>
      <c r="AN3649" s="82"/>
      <c r="AO3649" s="82"/>
      <c r="AP3649" s="82"/>
      <c r="AQ3649" s="82"/>
      <c r="AR3649" s="82"/>
      <c r="AS3649" s="82"/>
      <c r="AT3649" s="82"/>
      <c r="AU3649" s="82"/>
      <c r="AV3649" s="82"/>
      <c r="AW3649" s="82" t="str">
        <f t="shared" si="1"/>
        <v/>
      </c>
      <c r="AX3649" s="83" t="str">
        <f t="array" ref="AX3649">IFERROR(DGET('SBV Import'!A:G,"SBV",{"RSC ID","Tier";B3649,A3649}))</f>
        <v/>
      </c>
      <c r="AY3649" s="82" t="str">
        <f t="shared" si="2"/>
        <v/>
      </c>
      <c r="AZ3649" s="82"/>
      <c r="BA3649" s="84" t="s">
        <v>152</v>
      </c>
      <c r="BB3649" s="84" t="str">
        <f>IFERROR(__xludf.DUMMYFUNCTION("iferror(if(A3649="""",,E3649&gt;=FILTER(Constants!$F$2:$F$10,Constants!$A$2:$A$10=A3649)))"),"")</f>
        <v/>
      </c>
    </row>
    <row r="3650">
      <c r="A3650" s="89"/>
      <c r="B3650" s="87"/>
      <c r="C3650" s="73"/>
      <c r="D3650" s="73"/>
      <c r="E3650" s="82"/>
      <c r="F3650" s="82"/>
      <c r="G3650" s="86"/>
      <c r="H3650" s="86"/>
      <c r="I3650" s="86"/>
      <c r="J3650" s="82"/>
      <c r="K3650" s="82"/>
      <c r="L3650" s="82"/>
      <c r="M3650" s="82"/>
      <c r="N3650" s="82"/>
      <c r="O3650" s="82"/>
      <c r="P3650" s="82"/>
      <c r="Q3650" s="82"/>
      <c r="R3650" s="82"/>
      <c r="S3650" s="82"/>
      <c r="T3650" s="82"/>
      <c r="U3650" s="82"/>
      <c r="V3650" s="82"/>
      <c r="W3650" s="82"/>
      <c r="X3650" s="82"/>
      <c r="Y3650" s="82"/>
      <c r="Z3650" s="82"/>
      <c r="AA3650" s="82"/>
      <c r="AB3650" s="82"/>
      <c r="AC3650" s="82"/>
      <c r="AD3650" s="82"/>
      <c r="AE3650" s="82"/>
      <c r="AF3650" s="82"/>
      <c r="AG3650" s="82"/>
      <c r="AH3650" s="82"/>
      <c r="AI3650" s="82"/>
      <c r="AJ3650" s="82"/>
      <c r="AK3650" s="82"/>
      <c r="AL3650" s="82"/>
      <c r="AM3650" s="82"/>
      <c r="AN3650" s="82"/>
      <c r="AO3650" s="82"/>
      <c r="AP3650" s="82"/>
      <c r="AQ3650" s="82"/>
      <c r="AR3650" s="82"/>
      <c r="AS3650" s="82"/>
      <c r="AT3650" s="82"/>
      <c r="AU3650" s="82"/>
      <c r="AV3650" s="82"/>
      <c r="AW3650" s="82" t="str">
        <f t="shared" si="1"/>
        <v/>
      </c>
      <c r="AX3650" s="83" t="str">
        <f t="array" ref="AX3650">IFERROR(DGET('SBV Import'!A:G,"SBV",{"RSC ID","Tier";B3650,A3650}))</f>
        <v/>
      </c>
      <c r="AY3650" s="82" t="str">
        <f t="shared" si="2"/>
        <v/>
      </c>
      <c r="AZ3650" s="82"/>
      <c r="BA3650" s="84" t="s">
        <v>152</v>
      </c>
      <c r="BB3650" s="84" t="str">
        <f>IFERROR(__xludf.DUMMYFUNCTION("iferror(if(A3650="""",,E3650&gt;=FILTER(Constants!$F$2:$F$10,Constants!$A$2:$A$10=A3650)))"),"")</f>
        <v/>
      </c>
    </row>
    <row r="3651">
      <c r="A3651" s="89"/>
      <c r="B3651" s="87"/>
      <c r="C3651" s="73"/>
      <c r="D3651" s="73"/>
      <c r="E3651" s="82"/>
      <c r="F3651" s="82"/>
      <c r="G3651" s="86"/>
      <c r="H3651" s="86"/>
      <c r="I3651" s="86"/>
      <c r="J3651" s="82"/>
      <c r="K3651" s="82"/>
      <c r="L3651" s="82"/>
      <c r="M3651" s="82"/>
      <c r="N3651" s="82"/>
      <c r="O3651" s="82"/>
      <c r="P3651" s="82"/>
      <c r="Q3651" s="82"/>
      <c r="R3651" s="82"/>
      <c r="S3651" s="82"/>
      <c r="T3651" s="82"/>
      <c r="U3651" s="82"/>
      <c r="V3651" s="82"/>
      <c r="W3651" s="82"/>
      <c r="X3651" s="82"/>
      <c r="Y3651" s="82"/>
      <c r="Z3651" s="82"/>
      <c r="AA3651" s="82"/>
      <c r="AB3651" s="82"/>
      <c r="AC3651" s="82"/>
      <c r="AD3651" s="82"/>
      <c r="AE3651" s="82"/>
      <c r="AF3651" s="82"/>
      <c r="AG3651" s="82"/>
      <c r="AH3651" s="82"/>
      <c r="AI3651" s="82"/>
      <c r="AJ3651" s="82"/>
      <c r="AK3651" s="82"/>
      <c r="AL3651" s="82"/>
      <c r="AM3651" s="82"/>
      <c r="AN3651" s="82"/>
      <c r="AO3651" s="82"/>
      <c r="AP3651" s="82"/>
      <c r="AQ3651" s="82"/>
      <c r="AR3651" s="82"/>
      <c r="AS3651" s="82"/>
      <c r="AT3651" s="82"/>
      <c r="AU3651" s="82"/>
      <c r="AV3651" s="82"/>
      <c r="AW3651" s="82" t="str">
        <f t="shared" si="1"/>
        <v/>
      </c>
      <c r="AX3651" s="83" t="str">
        <f t="array" ref="AX3651">IFERROR(DGET('SBV Import'!A:G,"SBV",{"RSC ID","Tier";B3651,A3651}))</f>
        <v/>
      </c>
      <c r="AY3651" s="82" t="str">
        <f t="shared" si="2"/>
        <v/>
      </c>
      <c r="AZ3651" s="82"/>
      <c r="BA3651" s="84" t="s">
        <v>152</v>
      </c>
      <c r="BB3651" s="84" t="str">
        <f>IFERROR(__xludf.DUMMYFUNCTION("iferror(if(A3651="""",,E3651&gt;=FILTER(Constants!$F$2:$F$10,Constants!$A$2:$A$10=A3651)))"),"")</f>
        <v/>
      </c>
    </row>
    <row r="3652">
      <c r="A3652" s="89"/>
      <c r="B3652" s="87"/>
      <c r="C3652" s="73"/>
      <c r="D3652" s="73"/>
      <c r="E3652" s="82"/>
      <c r="F3652" s="82"/>
      <c r="G3652" s="86"/>
      <c r="H3652" s="86"/>
      <c r="I3652" s="86"/>
      <c r="J3652" s="82"/>
      <c r="K3652" s="82"/>
      <c r="L3652" s="82"/>
      <c r="M3652" s="82"/>
      <c r="N3652" s="82"/>
      <c r="O3652" s="82"/>
      <c r="P3652" s="82"/>
      <c r="Q3652" s="82"/>
      <c r="R3652" s="82"/>
      <c r="S3652" s="82"/>
      <c r="T3652" s="82"/>
      <c r="U3652" s="82"/>
      <c r="V3652" s="82"/>
      <c r="W3652" s="82"/>
      <c r="X3652" s="82"/>
      <c r="Y3652" s="82"/>
      <c r="Z3652" s="82"/>
      <c r="AA3652" s="82"/>
      <c r="AB3652" s="82"/>
      <c r="AC3652" s="82"/>
      <c r="AD3652" s="82"/>
      <c r="AE3652" s="82"/>
      <c r="AF3652" s="82"/>
      <c r="AG3652" s="82"/>
      <c r="AH3652" s="82"/>
      <c r="AI3652" s="82"/>
      <c r="AJ3652" s="82"/>
      <c r="AK3652" s="82"/>
      <c r="AL3652" s="82"/>
      <c r="AM3652" s="82"/>
      <c r="AN3652" s="82"/>
      <c r="AO3652" s="82"/>
      <c r="AP3652" s="82"/>
      <c r="AQ3652" s="82"/>
      <c r="AR3652" s="82"/>
      <c r="AS3652" s="82"/>
      <c r="AT3652" s="82"/>
      <c r="AU3652" s="82"/>
      <c r="AV3652" s="82"/>
      <c r="AW3652" s="82" t="str">
        <f t="shared" si="1"/>
        <v/>
      </c>
      <c r="AX3652" s="83" t="str">
        <f t="array" ref="AX3652">IFERROR(DGET('SBV Import'!A:G,"SBV",{"RSC ID","Tier";B3652,A3652}))</f>
        <v/>
      </c>
      <c r="AY3652" s="82" t="str">
        <f t="shared" si="2"/>
        <v/>
      </c>
      <c r="AZ3652" s="82"/>
      <c r="BA3652" s="84" t="s">
        <v>152</v>
      </c>
      <c r="BB3652" s="84" t="str">
        <f>IFERROR(__xludf.DUMMYFUNCTION("iferror(if(A3652="""",,E3652&gt;=FILTER(Constants!$F$2:$F$10,Constants!$A$2:$A$10=A3652)))"),"")</f>
        <v/>
      </c>
    </row>
    <row r="3653">
      <c r="A3653" s="89"/>
      <c r="B3653" s="87"/>
      <c r="C3653" s="73"/>
      <c r="D3653" s="73"/>
      <c r="E3653" s="82"/>
      <c r="F3653" s="82"/>
      <c r="G3653" s="86"/>
      <c r="H3653" s="86"/>
      <c r="I3653" s="86"/>
      <c r="J3653" s="82"/>
      <c r="K3653" s="82"/>
      <c r="L3653" s="82"/>
      <c r="M3653" s="82"/>
      <c r="N3653" s="82"/>
      <c r="O3653" s="82"/>
      <c r="P3653" s="82"/>
      <c r="Q3653" s="82"/>
      <c r="R3653" s="82"/>
      <c r="S3653" s="82"/>
      <c r="T3653" s="82"/>
      <c r="U3653" s="82"/>
      <c r="V3653" s="82"/>
      <c r="W3653" s="82"/>
      <c r="X3653" s="82"/>
      <c r="Y3653" s="82"/>
      <c r="Z3653" s="82"/>
      <c r="AA3653" s="82"/>
      <c r="AB3653" s="82"/>
      <c r="AC3653" s="82"/>
      <c r="AD3653" s="82"/>
      <c r="AE3653" s="82"/>
      <c r="AF3653" s="82"/>
      <c r="AG3653" s="82"/>
      <c r="AH3653" s="82"/>
      <c r="AI3653" s="82"/>
      <c r="AJ3653" s="82"/>
      <c r="AK3653" s="82"/>
      <c r="AL3653" s="82"/>
      <c r="AM3653" s="82"/>
      <c r="AN3653" s="82"/>
      <c r="AO3653" s="82"/>
      <c r="AP3653" s="82"/>
      <c r="AQ3653" s="82"/>
      <c r="AR3653" s="82"/>
      <c r="AS3653" s="82"/>
      <c r="AT3653" s="82"/>
      <c r="AU3653" s="82"/>
      <c r="AV3653" s="82"/>
      <c r="AW3653" s="82" t="str">
        <f t="shared" si="1"/>
        <v/>
      </c>
      <c r="AX3653" s="83" t="str">
        <f t="array" ref="AX3653">IFERROR(DGET('SBV Import'!A:G,"SBV",{"RSC ID","Tier";B3653,A3653}))</f>
        <v/>
      </c>
      <c r="AY3653" s="82" t="str">
        <f t="shared" si="2"/>
        <v/>
      </c>
      <c r="AZ3653" s="82"/>
      <c r="BA3653" s="84" t="s">
        <v>152</v>
      </c>
      <c r="BB3653" s="84" t="str">
        <f>IFERROR(__xludf.DUMMYFUNCTION("iferror(if(A3653="""",,E3653&gt;=FILTER(Constants!$F$2:$F$10,Constants!$A$2:$A$10=A3653)))"),"")</f>
        <v/>
      </c>
    </row>
    <row r="3654">
      <c r="A3654" s="89"/>
      <c r="B3654" s="87"/>
      <c r="C3654" s="73"/>
      <c r="D3654" s="73"/>
      <c r="E3654" s="82"/>
      <c r="F3654" s="82"/>
      <c r="G3654" s="86"/>
      <c r="H3654" s="86"/>
      <c r="I3654" s="86"/>
      <c r="J3654" s="82"/>
      <c r="K3654" s="82"/>
      <c r="L3654" s="82"/>
      <c r="M3654" s="82"/>
      <c r="N3654" s="82"/>
      <c r="O3654" s="82"/>
      <c r="P3654" s="82"/>
      <c r="Q3654" s="82"/>
      <c r="R3654" s="82"/>
      <c r="S3654" s="82"/>
      <c r="T3654" s="82"/>
      <c r="U3654" s="82"/>
      <c r="V3654" s="82"/>
      <c r="W3654" s="82"/>
      <c r="X3654" s="82"/>
      <c r="Y3654" s="82"/>
      <c r="Z3654" s="82"/>
      <c r="AA3654" s="82"/>
      <c r="AB3654" s="82"/>
      <c r="AC3654" s="82"/>
      <c r="AD3654" s="82"/>
      <c r="AE3654" s="82"/>
      <c r="AF3654" s="82"/>
      <c r="AG3654" s="82"/>
      <c r="AH3654" s="82"/>
      <c r="AI3654" s="82"/>
      <c r="AJ3654" s="82"/>
      <c r="AK3654" s="82"/>
      <c r="AL3654" s="82"/>
      <c r="AM3654" s="82"/>
      <c r="AN3654" s="82"/>
      <c r="AO3654" s="82"/>
      <c r="AP3654" s="82"/>
      <c r="AQ3654" s="82"/>
      <c r="AR3654" s="82"/>
      <c r="AS3654" s="82"/>
      <c r="AT3654" s="82"/>
      <c r="AU3654" s="82"/>
      <c r="AV3654" s="82"/>
      <c r="AW3654" s="82" t="str">
        <f t="shared" si="1"/>
        <v/>
      </c>
      <c r="AX3654" s="83" t="str">
        <f t="array" ref="AX3654">IFERROR(DGET('SBV Import'!A:G,"SBV",{"RSC ID","Tier";B3654,A3654}))</f>
        <v/>
      </c>
      <c r="AY3654" s="82" t="str">
        <f t="shared" si="2"/>
        <v/>
      </c>
      <c r="AZ3654" s="82"/>
      <c r="BA3654" s="84" t="s">
        <v>152</v>
      </c>
      <c r="BB3654" s="84" t="str">
        <f>IFERROR(__xludf.DUMMYFUNCTION("iferror(if(A3654="""",,E3654&gt;=FILTER(Constants!$F$2:$F$10,Constants!$A$2:$A$10=A3654)))"),"")</f>
        <v/>
      </c>
    </row>
    <row r="3655">
      <c r="A3655" s="89"/>
      <c r="B3655" s="87"/>
      <c r="C3655" s="73"/>
      <c r="D3655" s="73"/>
      <c r="E3655" s="82"/>
      <c r="F3655" s="82"/>
      <c r="G3655" s="86"/>
      <c r="H3655" s="86"/>
      <c r="I3655" s="86"/>
      <c r="J3655" s="82"/>
      <c r="K3655" s="82"/>
      <c r="L3655" s="82"/>
      <c r="M3655" s="82"/>
      <c r="N3655" s="82"/>
      <c r="O3655" s="82"/>
      <c r="P3655" s="82"/>
      <c r="Q3655" s="82"/>
      <c r="R3655" s="82"/>
      <c r="S3655" s="82"/>
      <c r="T3655" s="82"/>
      <c r="U3655" s="82"/>
      <c r="V3655" s="82"/>
      <c r="W3655" s="82"/>
      <c r="X3655" s="82"/>
      <c r="Y3655" s="82"/>
      <c r="Z3655" s="82"/>
      <c r="AA3655" s="82"/>
      <c r="AB3655" s="82"/>
      <c r="AC3655" s="82"/>
      <c r="AD3655" s="82"/>
      <c r="AE3655" s="82"/>
      <c r="AF3655" s="82"/>
      <c r="AG3655" s="82"/>
      <c r="AH3655" s="82"/>
      <c r="AI3655" s="82"/>
      <c r="AJ3655" s="82"/>
      <c r="AK3655" s="82"/>
      <c r="AL3655" s="82"/>
      <c r="AM3655" s="82"/>
      <c r="AN3655" s="82"/>
      <c r="AO3655" s="82"/>
      <c r="AP3655" s="82"/>
      <c r="AQ3655" s="82"/>
      <c r="AR3655" s="82"/>
      <c r="AS3655" s="82"/>
      <c r="AT3655" s="82"/>
      <c r="AU3655" s="82"/>
      <c r="AV3655" s="82"/>
      <c r="AW3655" s="82" t="str">
        <f t="shared" si="1"/>
        <v/>
      </c>
      <c r="AX3655" s="83" t="str">
        <f t="array" ref="AX3655">IFERROR(DGET('SBV Import'!A:G,"SBV",{"RSC ID","Tier";B3655,A3655}))</f>
        <v/>
      </c>
      <c r="AY3655" s="82" t="str">
        <f t="shared" si="2"/>
        <v/>
      </c>
      <c r="AZ3655" s="82"/>
      <c r="BA3655" s="84" t="s">
        <v>152</v>
      </c>
      <c r="BB3655" s="84" t="str">
        <f>IFERROR(__xludf.DUMMYFUNCTION("iferror(if(A3655="""",,E3655&gt;=FILTER(Constants!$F$2:$F$10,Constants!$A$2:$A$10=A3655)))"),"")</f>
        <v/>
      </c>
    </row>
    <row r="3656">
      <c r="A3656" s="89"/>
      <c r="B3656" s="87"/>
      <c r="C3656" s="73"/>
      <c r="D3656" s="73"/>
      <c r="E3656" s="82"/>
      <c r="F3656" s="82"/>
      <c r="G3656" s="86"/>
      <c r="H3656" s="86"/>
      <c r="I3656" s="86"/>
      <c r="J3656" s="82"/>
      <c r="K3656" s="82"/>
      <c r="L3656" s="82"/>
      <c r="M3656" s="82"/>
      <c r="N3656" s="82"/>
      <c r="O3656" s="82"/>
      <c r="P3656" s="82"/>
      <c r="Q3656" s="82"/>
      <c r="R3656" s="82"/>
      <c r="S3656" s="82"/>
      <c r="T3656" s="82"/>
      <c r="U3656" s="82"/>
      <c r="V3656" s="82"/>
      <c r="W3656" s="82"/>
      <c r="X3656" s="82"/>
      <c r="Y3656" s="82"/>
      <c r="Z3656" s="82"/>
      <c r="AA3656" s="82"/>
      <c r="AB3656" s="82"/>
      <c r="AC3656" s="82"/>
      <c r="AD3656" s="82"/>
      <c r="AE3656" s="82"/>
      <c r="AF3656" s="82"/>
      <c r="AG3656" s="82"/>
      <c r="AH3656" s="82"/>
      <c r="AI3656" s="82"/>
      <c r="AJ3656" s="82"/>
      <c r="AK3656" s="82"/>
      <c r="AL3656" s="82"/>
      <c r="AM3656" s="82"/>
      <c r="AN3656" s="82"/>
      <c r="AO3656" s="82"/>
      <c r="AP3656" s="82"/>
      <c r="AQ3656" s="82"/>
      <c r="AR3656" s="82"/>
      <c r="AS3656" s="82"/>
      <c r="AT3656" s="82"/>
      <c r="AU3656" s="82"/>
      <c r="AV3656" s="82"/>
      <c r="AW3656" s="82" t="str">
        <f t="shared" si="1"/>
        <v/>
      </c>
      <c r="AX3656" s="83" t="str">
        <f t="array" ref="AX3656">IFERROR(DGET('SBV Import'!A:G,"SBV",{"RSC ID","Tier";B3656,A3656}))</f>
        <v/>
      </c>
      <c r="AY3656" s="82" t="str">
        <f t="shared" si="2"/>
        <v/>
      </c>
      <c r="AZ3656" s="82"/>
      <c r="BA3656" s="84" t="s">
        <v>152</v>
      </c>
      <c r="BB3656" s="84" t="str">
        <f>IFERROR(__xludf.DUMMYFUNCTION("iferror(if(A3656="""",,E3656&gt;=FILTER(Constants!$F$2:$F$10,Constants!$A$2:$A$10=A3656)))"),"")</f>
        <v/>
      </c>
    </row>
    <row r="3657">
      <c r="A3657" s="89"/>
      <c r="B3657" s="87"/>
      <c r="C3657" s="73"/>
      <c r="D3657" s="73"/>
      <c r="E3657" s="82"/>
      <c r="F3657" s="82"/>
      <c r="G3657" s="86"/>
      <c r="H3657" s="86"/>
      <c r="I3657" s="86"/>
      <c r="J3657" s="82"/>
      <c r="K3657" s="82"/>
      <c r="L3657" s="82"/>
      <c r="M3657" s="82"/>
      <c r="N3657" s="82"/>
      <c r="O3657" s="82"/>
      <c r="P3657" s="82"/>
      <c r="Q3657" s="82"/>
      <c r="R3657" s="82"/>
      <c r="S3657" s="82"/>
      <c r="T3657" s="82"/>
      <c r="U3657" s="82"/>
      <c r="V3657" s="82"/>
      <c r="W3657" s="82"/>
      <c r="X3657" s="82"/>
      <c r="Y3657" s="82"/>
      <c r="Z3657" s="82"/>
      <c r="AA3657" s="82"/>
      <c r="AB3657" s="82"/>
      <c r="AC3657" s="82"/>
      <c r="AD3657" s="82"/>
      <c r="AE3657" s="82"/>
      <c r="AF3657" s="82"/>
      <c r="AG3657" s="82"/>
      <c r="AH3657" s="82"/>
      <c r="AI3657" s="82"/>
      <c r="AJ3657" s="82"/>
      <c r="AK3657" s="82"/>
      <c r="AL3657" s="82"/>
      <c r="AM3657" s="82"/>
      <c r="AN3657" s="82"/>
      <c r="AO3657" s="82"/>
      <c r="AP3657" s="82"/>
      <c r="AQ3657" s="82"/>
      <c r="AR3657" s="82"/>
      <c r="AS3657" s="82"/>
      <c r="AT3657" s="82"/>
      <c r="AU3657" s="82"/>
      <c r="AV3657" s="82"/>
      <c r="AW3657" s="82" t="str">
        <f t="shared" si="1"/>
        <v/>
      </c>
      <c r="AX3657" s="83" t="str">
        <f t="array" ref="AX3657">IFERROR(DGET('SBV Import'!A:G,"SBV",{"RSC ID","Tier";B3657,A3657}))</f>
        <v/>
      </c>
      <c r="AY3657" s="82" t="str">
        <f t="shared" si="2"/>
        <v/>
      </c>
      <c r="AZ3657" s="82"/>
      <c r="BA3657" s="84" t="s">
        <v>152</v>
      </c>
      <c r="BB3657" s="84" t="str">
        <f>IFERROR(__xludf.DUMMYFUNCTION("iferror(if(A3657="""",,E3657&gt;=FILTER(Constants!$F$2:$F$10,Constants!$A$2:$A$10=A3657)))"),"")</f>
        <v/>
      </c>
    </row>
    <row r="3658">
      <c r="A3658" s="89"/>
      <c r="B3658" s="87"/>
      <c r="C3658" s="73"/>
      <c r="D3658" s="73"/>
      <c r="E3658" s="82"/>
      <c r="F3658" s="82"/>
      <c r="G3658" s="86"/>
      <c r="H3658" s="86"/>
      <c r="I3658" s="86"/>
      <c r="J3658" s="82"/>
      <c r="K3658" s="82"/>
      <c r="L3658" s="82"/>
      <c r="M3658" s="82"/>
      <c r="N3658" s="82"/>
      <c r="O3658" s="82"/>
      <c r="P3658" s="82"/>
      <c r="Q3658" s="82"/>
      <c r="R3658" s="82"/>
      <c r="S3658" s="82"/>
      <c r="T3658" s="82"/>
      <c r="U3658" s="82"/>
      <c r="V3658" s="82"/>
      <c r="W3658" s="82"/>
      <c r="X3658" s="82"/>
      <c r="Y3658" s="82"/>
      <c r="Z3658" s="82"/>
      <c r="AA3658" s="82"/>
      <c r="AB3658" s="82"/>
      <c r="AC3658" s="82"/>
      <c r="AD3658" s="82"/>
      <c r="AE3658" s="82"/>
      <c r="AF3658" s="82"/>
      <c r="AG3658" s="82"/>
      <c r="AH3658" s="82"/>
      <c r="AI3658" s="82"/>
      <c r="AJ3658" s="82"/>
      <c r="AK3658" s="82"/>
      <c r="AL3658" s="82"/>
      <c r="AM3658" s="82"/>
      <c r="AN3658" s="82"/>
      <c r="AO3658" s="82"/>
      <c r="AP3658" s="82"/>
      <c r="AQ3658" s="82"/>
      <c r="AR3658" s="82"/>
      <c r="AS3658" s="82"/>
      <c r="AT3658" s="82"/>
      <c r="AU3658" s="82"/>
      <c r="AV3658" s="82"/>
      <c r="AW3658" s="82" t="str">
        <f t="shared" si="1"/>
        <v/>
      </c>
      <c r="AX3658" s="83" t="str">
        <f t="array" ref="AX3658">IFERROR(DGET('SBV Import'!A:G,"SBV",{"RSC ID","Tier";B3658,A3658}))</f>
        <v/>
      </c>
      <c r="AY3658" s="82" t="str">
        <f t="shared" si="2"/>
        <v/>
      </c>
      <c r="AZ3658" s="82"/>
      <c r="BA3658" s="84" t="s">
        <v>152</v>
      </c>
      <c r="BB3658" s="84" t="str">
        <f>IFERROR(__xludf.DUMMYFUNCTION("iferror(if(A3658="""",,E3658&gt;=FILTER(Constants!$F$2:$F$10,Constants!$A$2:$A$10=A3658)))"),"")</f>
        <v/>
      </c>
    </row>
    <row r="3659">
      <c r="A3659" s="89"/>
      <c r="B3659" s="87"/>
      <c r="C3659" s="73"/>
      <c r="D3659" s="73"/>
      <c r="E3659" s="82"/>
      <c r="F3659" s="82"/>
      <c r="G3659" s="86"/>
      <c r="H3659" s="86"/>
      <c r="I3659" s="86"/>
      <c r="J3659" s="82"/>
      <c r="K3659" s="82"/>
      <c r="L3659" s="82"/>
      <c r="M3659" s="82"/>
      <c r="N3659" s="82"/>
      <c r="O3659" s="82"/>
      <c r="P3659" s="82"/>
      <c r="Q3659" s="82"/>
      <c r="R3659" s="82"/>
      <c r="S3659" s="82"/>
      <c r="T3659" s="82"/>
      <c r="U3659" s="82"/>
      <c r="V3659" s="82"/>
      <c r="W3659" s="82"/>
      <c r="X3659" s="82"/>
      <c r="Y3659" s="82"/>
      <c r="Z3659" s="82"/>
      <c r="AA3659" s="82"/>
      <c r="AB3659" s="82"/>
      <c r="AC3659" s="82"/>
      <c r="AD3659" s="82"/>
      <c r="AE3659" s="82"/>
      <c r="AF3659" s="82"/>
      <c r="AG3659" s="82"/>
      <c r="AH3659" s="82"/>
      <c r="AI3659" s="82"/>
      <c r="AJ3659" s="82"/>
      <c r="AK3659" s="82"/>
      <c r="AL3659" s="82"/>
      <c r="AM3659" s="82"/>
      <c r="AN3659" s="82"/>
      <c r="AO3659" s="82"/>
      <c r="AP3659" s="82"/>
      <c r="AQ3659" s="82"/>
      <c r="AR3659" s="82"/>
      <c r="AS3659" s="82"/>
      <c r="AT3659" s="82"/>
      <c r="AU3659" s="82"/>
      <c r="AV3659" s="82"/>
      <c r="AW3659" s="82" t="str">
        <f t="shared" si="1"/>
        <v/>
      </c>
      <c r="AX3659" s="83" t="str">
        <f t="array" ref="AX3659">IFERROR(DGET('SBV Import'!A:G,"SBV",{"RSC ID","Tier";B3659,A3659}))</f>
        <v/>
      </c>
      <c r="AY3659" s="82" t="str">
        <f t="shared" si="2"/>
        <v/>
      </c>
      <c r="AZ3659" s="82"/>
      <c r="BA3659" s="84" t="s">
        <v>152</v>
      </c>
      <c r="BB3659" s="84" t="str">
        <f>IFERROR(__xludf.DUMMYFUNCTION("iferror(if(A3659="""",,E3659&gt;=FILTER(Constants!$F$2:$F$10,Constants!$A$2:$A$10=A3659)))"),"")</f>
        <v/>
      </c>
    </row>
    <row r="3660">
      <c r="A3660" s="89"/>
      <c r="B3660" s="87"/>
      <c r="C3660" s="73"/>
      <c r="D3660" s="73"/>
      <c r="E3660" s="82"/>
      <c r="F3660" s="82"/>
      <c r="G3660" s="86"/>
      <c r="H3660" s="86"/>
      <c r="I3660" s="86"/>
      <c r="J3660" s="82"/>
      <c r="K3660" s="82"/>
      <c r="L3660" s="82"/>
      <c r="M3660" s="82"/>
      <c r="N3660" s="82"/>
      <c r="O3660" s="82"/>
      <c r="P3660" s="82"/>
      <c r="Q3660" s="82"/>
      <c r="R3660" s="82"/>
      <c r="S3660" s="82"/>
      <c r="T3660" s="82"/>
      <c r="U3660" s="82"/>
      <c r="V3660" s="82"/>
      <c r="W3660" s="82"/>
      <c r="X3660" s="82"/>
      <c r="Y3660" s="82"/>
      <c r="Z3660" s="82"/>
      <c r="AA3660" s="82"/>
      <c r="AB3660" s="82"/>
      <c r="AC3660" s="82"/>
      <c r="AD3660" s="82"/>
      <c r="AE3660" s="82"/>
      <c r="AF3660" s="82"/>
      <c r="AG3660" s="82"/>
      <c r="AH3660" s="82"/>
      <c r="AI3660" s="82"/>
      <c r="AJ3660" s="82"/>
      <c r="AK3660" s="82"/>
      <c r="AL3660" s="82"/>
      <c r="AM3660" s="82"/>
      <c r="AN3660" s="82"/>
      <c r="AO3660" s="82"/>
      <c r="AP3660" s="82"/>
      <c r="AQ3660" s="82"/>
      <c r="AR3660" s="82"/>
      <c r="AS3660" s="82"/>
      <c r="AT3660" s="82"/>
      <c r="AU3660" s="82"/>
      <c r="AV3660" s="82"/>
      <c r="AW3660" s="82" t="str">
        <f t="shared" si="1"/>
        <v/>
      </c>
      <c r="AX3660" s="83" t="str">
        <f t="array" ref="AX3660">IFERROR(DGET('SBV Import'!A:G,"SBV",{"RSC ID","Tier";B3660,A3660}))</f>
        <v/>
      </c>
      <c r="AY3660" s="82" t="str">
        <f t="shared" si="2"/>
        <v/>
      </c>
      <c r="AZ3660" s="82"/>
      <c r="BA3660" s="84" t="s">
        <v>152</v>
      </c>
      <c r="BB3660" s="84" t="str">
        <f>IFERROR(__xludf.DUMMYFUNCTION("iferror(if(A3660="""",,E3660&gt;=FILTER(Constants!$F$2:$F$10,Constants!$A$2:$A$10=A3660)))"),"")</f>
        <v/>
      </c>
    </row>
    <row r="3661">
      <c r="A3661" s="89"/>
      <c r="B3661" s="87"/>
      <c r="C3661" s="73"/>
      <c r="D3661" s="73"/>
      <c r="E3661" s="82"/>
      <c r="F3661" s="82"/>
      <c r="G3661" s="86"/>
      <c r="H3661" s="86"/>
      <c r="I3661" s="86"/>
      <c r="J3661" s="82"/>
      <c r="K3661" s="82"/>
      <c r="L3661" s="82"/>
      <c r="M3661" s="82"/>
      <c r="N3661" s="82"/>
      <c r="O3661" s="82"/>
      <c r="P3661" s="82"/>
      <c r="Q3661" s="82"/>
      <c r="R3661" s="82"/>
      <c r="S3661" s="82"/>
      <c r="T3661" s="82"/>
      <c r="U3661" s="82"/>
      <c r="V3661" s="82"/>
      <c r="W3661" s="82"/>
      <c r="X3661" s="82"/>
      <c r="Y3661" s="82"/>
      <c r="Z3661" s="82"/>
      <c r="AA3661" s="82"/>
      <c r="AB3661" s="82"/>
      <c r="AC3661" s="82"/>
      <c r="AD3661" s="82"/>
      <c r="AE3661" s="82"/>
      <c r="AF3661" s="82"/>
      <c r="AG3661" s="82"/>
      <c r="AH3661" s="82"/>
      <c r="AI3661" s="82"/>
      <c r="AJ3661" s="82"/>
      <c r="AK3661" s="82"/>
      <c r="AL3661" s="82"/>
      <c r="AM3661" s="82"/>
      <c r="AN3661" s="82"/>
      <c r="AO3661" s="82"/>
      <c r="AP3661" s="82"/>
      <c r="AQ3661" s="82"/>
      <c r="AR3661" s="82"/>
      <c r="AS3661" s="82"/>
      <c r="AT3661" s="82"/>
      <c r="AU3661" s="82"/>
      <c r="AV3661" s="82"/>
      <c r="AW3661" s="82" t="str">
        <f t="shared" si="1"/>
        <v/>
      </c>
      <c r="AX3661" s="83" t="str">
        <f t="array" ref="AX3661">IFERROR(DGET('SBV Import'!A:G,"SBV",{"RSC ID","Tier";B3661,A3661}))</f>
        <v/>
      </c>
      <c r="AY3661" s="82" t="str">
        <f t="shared" si="2"/>
        <v/>
      </c>
      <c r="AZ3661" s="82"/>
      <c r="BA3661" s="84" t="s">
        <v>152</v>
      </c>
      <c r="BB3661" s="84" t="str">
        <f>IFERROR(__xludf.DUMMYFUNCTION("iferror(if(A3661="""",,E3661&gt;=FILTER(Constants!$F$2:$F$10,Constants!$A$2:$A$10=A3661)))"),"")</f>
        <v/>
      </c>
    </row>
    <row r="3662">
      <c r="A3662" s="89"/>
      <c r="B3662" s="87"/>
      <c r="C3662" s="73"/>
      <c r="D3662" s="73"/>
      <c r="E3662" s="82"/>
      <c r="F3662" s="82"/>
      <c r="G3662" s="86"/>
      <c r="H3662" s="86"/>
      <c r="I3662" s="86"/>
      <c r="J3662" s="82"/>
      <c r="K3662" s="82"/>
      <c r="L3662" s="82"/>
      <c r="M3662" s="82"/>
      <c r="N3662" s="82"/>
      <c r="O3662" s="82"/>
      <c r="P3662" s="82"/>
      <c r="Q3662" s="82"/>
      <c r="R3662" s="82"/>
      <c r="S3662" s="82"/>
      <c r="T3662" s="82"/>
      <c r="U3662" s="82"/>
      <c r="V3662" s="82"/>
      <c r="W3662" s="82"/>
      <c r="X3662" s="82"/>
      <c r="Y3662" s="82"/>
      <c r="Z3662" s="82"/>
      <c r="AA3662" s="82"/>
      <c r="AB3662" s="82"/>
      <c r="AC3662" s="82"/>
      <c r="AD3662" s="82"/>
      <c r="AE3662" s="82"/>
      <c r="AF3662" s="82"/>
      <c r="AG3662" s="82"/>
      <c r="AH3662" s="82"/>
      <c r="AI3662" s="82"/>
      <c r="AJ3662" s="82"/>
      <c r="AK3662" s="82"/>
      <c r="AL3662" s="82"/>
      <c r="AM3662" s="82"/>
      <c r="AN3662" s="82"/>
      <c r="AO3662" s="82"/>
      <c r="AP3662" s="82"/>
      <c r="AQ3662" s="82"/>
      <c r="AR3662" s="82"/>
      <c r="AS3662" s="82"/>
      <c r="AT3662" s="82"/>
      <c r="AU3662" s="82"/>
      <c r="AV3662" s="82"/>
      <c r="AW3662" s="82" t="str">
        <f t="shared" si="1"/>
        <v/>
      </c>
      <c r="AX3662" s="83" t="str">
        <f t="array" ref="AX3662">IFERROR(DGET('SBV Import'!A:G,"SBV",{"RSC ID","Tier";B3662,A3662}))</f>
        <v/>
      </c>
      <c r="AY3662" s="82" t="str">
        <f t="shared" si="2"/>
        <v/>
      </c>
      <c r="AZ3662" s="82"/>
      <c r="BA3662" s="84" t="s">
        <v>152</v>
      </c>
      <c r="BB3662" s="84" t="str">
        <f>IFERROR(__xludf.DUMMYFUNCTION("iferror(if(A3662="""",,E3662&gt;=FILTER(Constants!$F$2:$F$10,Constants!$A$2:$A$10=A3662)))"),"")</f>
        <v/>
      </c>
    </row>
    <row r="3663">
      <c r="A3663" s="89"/>
      <c r="B3663" s="87"/>
      <c r="C3663" s="73"/>
      <c r="D3663" s="73"/>
      <c r="E3663" s="82"/>
      <c r="F3663" s="82"/>
      <c r="G3663" s="86"/>
      <c r="H3663" s="86"/>
      <c r="I3663" s="86"/>
      <c r="J3663" s="82"/>
      <c r="K3663" s="82"/>
      <c r="L3663" s="82"/>
      <c r="M3663" s="82"/>
      <c r="N3663" s="82"/>
      <c r="O3663" s="82"/>
      <c r="P3663" s="82"/>
      <c r="Q3663" s="82"/>
      <c r="R3663" s="82"/>
      <c r="S3663" s="82"/>
      <c r="T3663" s="82"/>
      <c r="U3663" s="82"/>
      <c r="V3663" s="82"/>
      <c r="W3663" s="82"/>
      <c r="X3663" s="82"/>
      <c r="Y3663" s="82"/>
      <c r="Z3663" s="82"/>
      <c r="AA3663" s="82"/>
      <c r="AB3663" s="82"/>
      <c r="AC3663" s="82"/>
      <c r="AD3663" s="82"/>
      <c r="AE3663" s="82"/>
      <c r="AF3663" s="82"/>
      <c r="AG3663" s="82"/>
      <c r="AH3663" s="82"/>
      <c r="AI3663" s="82"/>
      <c r="AJ3663" s="82"/>
      <c r="AK3663" s="82"/>
      <c r="AL3663" s="82"/>
      <c r="AM3663" s="82"/>
      <c r="AN3663" s="82"/>
      <c r="AO3663" s="82"/>
      <c r="AP3663" s="82"/>
      <c r="AQ3663" s="82"/>
      <c r="AR3663" s="82"/>
      <c r="AS3663" s="82"/>
      <c r="AT3663" s="82"/>
      <c r="AU3663" s="82"/>
      <c r="AV3663" s="82"/>
      <c r="AW3663" s="82" t="str">
        <f t="shared" si="1"/>
        <v/>
      </c>
      <c r="AX3663" s="83" t="str">
        <f t="array" ref="AX3663">IFERROR(DGET('SBV Import'!A:G,"SBV",{"RSC ID","Tier";B3663,A3663}))</f>
        <v/>
      </c>
      <c r="AY3663" s="82" t="str">
        <f t="shared" si="2"/>
        <v/>
      </c>
      <c r="AZ3663" s="82"/>
      <c r="BA3663" s="84" t="s">
        <v>152</v>
      </c>
      <c r="BB3663" s="84" t="str">
        <f>IFERROR(__xludf.DUMMYFUNCTION("iferror(if(A3663="""",,E3663&gt;=FILTER(Constants!$F$2:$F$10,Constants!$A$2:$A$10=A3663)))"),"")</f>
        <v/>
      </c>
    </row>
    <row r="3664">
      <c r="A3664" s="89"/>
      <c r="B3664" s="87"/>
      <c r="C3664" s="73"/>
      <c r="D3664" s="73"/>
      <c r="E3664" s="82"/>
      <c r="F3664" s="82"/>
      <c r="G3664" s="86"/>
      <c r="H3664" s="86"/>
      <c r="I3664" s="86"/>
      <c r="J3664" s="82"/>
      <c r="K3664" s="82"/>
      <c r="L3664" s="82"/>
      <c r="M3664" s="82"/>
      <c r="N3664" s="82"/>
      <c r="O3664" s="82"/>
      <c r="P3664" s="82"/>
      <c r="Q3664" s="82"/>
      <c r="R3664" s="82"/>
      <c r="S3664" s="82"/>
      <c r="T3664" s="82"/>
      <c r="U3664" s="82"/>
      <c r="V3664" s="82"/>
      <c r="W3664" s="82"/>
      <c r="X3664" s="82"/>
      <c r="Y3664" s="82"/>
      <c r="Z3664" s="82"/>
      <c r="AA3664" s="82"/>
      <c r="AB3664" s="82"/>
      <c r="AC3664" s="82"/>
      <c r="AD3664" s="82"/>
      <c r="AE3664" s="82"/>
      <c r="AF3664" s="82"/>
      <c r="AG3664" s="82"/>
      <c r="AH3664" s="82"/>
      <c r="AI3664" s="82"/>
      <c r="AJ3664" s="82"/>
      <c r="AK3664" s="82"/>
      <c r="AL3664" s="82"/>
      <c r="AM3664" s="82"/>
      <c r="AN3664" s="82"/>
      <c r="AO3664" s="82"/>
      <c r="AP3664" s="82"/>
      <c r="AQ3664" s="82"/>
      <c r="AR3664" s="82"/>
      <c r="AS3664" s="82"/>
      <c r="AT3664" s="82"/>
      <c r="AU3664" s="82"/>
      <c r="AV3664" s="82"/>
      <c r="AW3664" s="82" t="str">
        <f t="shared" si="1"/>
        <v/>
      </c>
      <c r="AX3664" s="83" t="str">
        <f t="array" ref="AX3664">IFERROR(DGET('SBV Import'!A:G,"SBV",{"RSC ID","Tier";B3664,A3664}))</f>
        <v/>
      </c>
      <c r="AY3664" s="82" t="str">
        <f t="shared" si="2"/>
        <v/>
      </c>
      <c r="AZ3664" s="82"/>
      <c r="BA3664" s="84" t="s">
        <v>152</v>
      </c>
      <c r="BB3664" s="84" t="str">
        <f>IFERROR(__xludf.DUMMYFUNCTION("iferror(if(A3664="""",,E3664&gt;=FILTER(Constants!$F$2:$F$10,Constants!$A$2:$A$10=A3664)))"),"")</f>
        <v/>
      </c>
    </row>
    <row r="3665">
      <c r="A3665" s="89"/>
      <c r="B3665" s="87"/>
      <c r="C3665" s="73"/>
      <c r="D3665" s="73"/>
      <c r="E3665" s="82"/>
      <c r="F3665" s="82"/>
      <c r="G3665" s="86"/>
      <c r="H3665" s="86"/>
      <c r="I3665" s="86"/>
      <c r="J3665" s="82"/>
      <c r="K3665" s="82"/>
      <c r="L3665" s="82"/>
      <c r="M3665" s="82"/>
      <c r="N3665" s="82"/>
      <c r="O3665" s="82"/>
      <c r="P3665" s="82"/>
      <c r="Q3665" s="82"/>
      <c r="R3665" s="82"/>
      <c r="S3665" s="82"/>
      <c r="T3665" s="82"/>
      <c r="U3665" s="82"/>
      <c r="V3665" s="82"/>
      <c r="W3665" s="82"/>
      <c r="X3665" s="82"/>
      <c r="Y3665" s="82"/>
      <c r="Z3665" s="82"/>
      <c r="AA3665" s="82"/>
      <c r="AB3665" s="82"/>
      <c r="AC3665" s="82"/>
      <c r="AD3665" s="82"/>
      <c r="AE3665" s="82"/>
      <c r="AF3665" s="82"/>
      <c r="AG3665" s="82"/>
      <c r="AH3665" s="82"/>
      <c r="AI3665" s="82"/>
      <c r="AJ3665" s="82"/>
      <c r="AK3665" s="82"/>
      <c r="AL3665" s="82"/>
      <c r="AM3665" s="82"/>
      <c r="AN3665" s="82"/>
      <c r="AO3665" s="82"/>
      <c r="AP3665" s="82"/>
      <c r="AQ3665" s="82"/>
      <c r="AR3665" s="82"/>
      <c r="AS3665" s="82"/>
      <c r="AT3665" s="82"/>
      <c r="AU3665" s="82"/>
      <c r="AV3665" s="82"/>
      <c r="AW3665" s="82" t="str">
        <f t="shared" si="1"/>
        <v/>
      </c>
      <c r="AX3665" s="83" t="str">
        <f t="array" ref="AX3665">IFERROR(DGET('SBV Import'!A:G,"SBV",{"RSC ID","Tier";B3665,A3665}))</f>
        <v/>
      </c>
      <c r="AY3665" s="82" t="str">
        <f t="shared" si="2"/>
        <v/>
      </c>
      <c r="AZ3665" s="82"/>
      <c r="BA3665" s="84" t="s">
        <v>152</v>
      </c>
      <c r="BB3665" s="84" t="str">
        <f>IFERROR(__xludf.DUMMYFUNCTION("iferror(if(A3665="""",,E3665&gt;=FILTER(Constants!$F$2:$F$10,Constants!$A$2:$A$10=A3665)))"),"")</f>
        <v/>
      </c>
    </row>
    <row r="3666">
      <c r="A3666" s="89"/>
      <c r="B3666" s="87"/>
      <c r="C3666" s="73"/>
      <c r="D3666" s="73"/>
      <c r="E3666" s="82"/>
      <c r="F3666" s="82"/>
      <c r="G3666" s="86"/>
      <c r="H3666" s="86"/>
      <c r="I3666" s="86"/>
      <c r="J3666" s="82"/>
      <c r="K3666" s="82"/>
      <c r="L3666" s="82"/>
      <c r="M3666" s="82"/>
      <c r="N3666" s="82"/>
      <c r="O3666" s="82"/>
      <c r="P3666" s="82"/>
      <c r="Q3666" s="82"/>
      <c r="R3666" s="82"/>
      <c r="S3666" s="82"/>
      <c r="T3666" s="82"/>
      <c r="U3666" s="82"/>
      <c r="V3666" s="82"/>
      <c r="W3666" s="82"/>
      <c r="X3666" s="82"/>
      <c r="Y3666" s="82"/>
      <c r="Z3666" s="82"/>
      <c r="AA3666" s="82"/>
      <c r="AB3666" s="82"/>
      <c r="AC3666" s="82"/>
      <c r="AD3666" s="82"/>
      <c r="AE3666" s="82"/>
      <c r="AF3666" s="82"/>
      <c r="AG3666" s="82"/>
      <c r="AH3666" s="82"/>
      <c r="AI3666" s="82"/>
      <c r="AJ3666" s="82"/>
      <c r="AK3666" s="82"/>
      <c r="AL3666" s="82"/>
      <c r="AM3666" s="82"/>
      <c r="AN3666" s="82"/>
      <c r="AO3666" s="82"/>
      <c r="AP3666" s="82"/>
      <c r="AQ3666" s="82"/>
      <c r="AR3666" s="82"/>
      <c r="AS3666" s="82"/>
      <c r="AT3666" s="82"/>
      <c r="AU3666" s="82"/>
      <c r="AV3666" s="82"/>
      <c r="AW3666" s="82" t="str">
        <f t="shared" si="1"/>
        <v/>
      </c>
      <c r="AX3666" s="83" t="str">
        <f t="array" ref="AX3666">IFERROR(DGET('SBV Import'!A:G,"SBV",{"RSC ID","Tier";B3666,A3666}))</f>
        <v/>
      </c>
      <c r="AY3666" s="82" t="str">
        <f t="shared" si="2"/>
        <v/>
      </c>
      <c r="AZ3666" s="82"/>
      <c r="BA3666" s="84" t="s">
        <v>152</v>
      </c>
      <c r="BB3666" s="84" t="str">
        <f>IFERROR(__xludf.DUMMYFUNCTION("iferror(if(A3666="""",,E3666&gt;=FILTER(Constants!$F$2:$F$10,Constants!$A$2:$A$10=A3666)))"),"")</f>
        <v/>
      </c>
    </row>
    <row r="3667">
      <c r="A3667" s="89"/>
      <c r="B3667" s="87"/>
      <c r="C3667" s="73"/>
      <c r="D3667" s="73"/>
      <c r="E3667" s="82"/>
      <c r="F3667" s="82"/>
      <c r="G3667" s="86"/>
      <c r="H3667" s="86"/>
      <c r="I3667" s="86"/>
      <c r="J3667" s="82"/>
      <c r="K3667" s="82"/>
      <c r="L3667" s="82"/>
      <c r="M3667" s="82"/>
      <c r="N3667" s="82"/>
      <c r="O3667" s="82"/>
      <c r="P3667" s="82"/>
      <c r="Q3667" s="82"/>
      <c r="R3667" s="82"/>
      <c r="S3667" s="82"/>
      <c r="T3667" s="82"/>
      <c r="U3667" s="82"/>
      <c r="V3667" s="82"/>
      <c r="W3667" s="82"/>
      <c r="X3667" s="82"/>
      <c r="Y3667" s="82"/>
      <c r="Z3667" s="82"/>
      <c r="AA3667" s="82"/>
      <c r="AB3667" s="82"/>
      <c r="AC3667" s="82"/>
      <c r="AD3667" s="82"/>
      <c r="AE3667" s="82"/>
      <c r="AF3667" s="82"/>
      <c r="AG3667" s="82"/>
      <c r="AH3667" s="82"/>
      <c r="AI3667" s="82"/>
      <c r="AJ3667" s="82"/>
      <c r="AK3667" s="82"/>
      <c r="AL3667" s="82"/>
      <c r="AM3667" s="82"/>
      <c r="AN3667" s="82"/>
      <c r="AO3667" s="82"/>
      <c r="AP3667" s="82"/>
      <c r="AQ3667" s="82"/>
      <c r="AR3667" s="82"/>
      <c r="AS3667" s="82"/>
      <c r="AT3667" s="82"/>
      <c r="AU3667" s="82"/>
      <c r="AV3667" s="82"/>
      <c r="AW3667" s="82" t="str">
        <f t="shared" si="1"/>
        <v/>
      </c>
      <c r="AX3667" s="83" t="str">
        <f t="array" ref="AX3667">IFERROR(DGET('SBV Import'!A:G,"SBV",{"RSC ID","Tier";B3667,A3667}))</f>
        <v/>
      </c>
      <c r="AY3667" s="82" t="str">
        <f t="shared" si="2"/>
        <v/>
      </c>
      <c r="AZ3667" s="82"/>
      <c r="BA3667" s="84" t="s">
        <v>152</v>
      </c>
      <c r="BB3667" s="84" t="str">
        <f>IFERROR(__xludf.DUMMYFUNCTION("iferror(if(A3667="""",,E3667&gt;=FILTER(Constants!$F$2:$F$10,Constants!$A$2:$A$10=A3667)))"),"")</f>
        <v/>
      </c>
    </row>
    <row r="3668">
      <c r="A3668" s="89"/>
      <c r="B3668" s="87"/>
      <c r="C3668" s="73"/>
      <c r="D3668" s="73"/>
      <c r="E3668" s="82"/>
      <c r="F3668" s="82"/>
      <c r="G3668" s="86"/>
      <c r="H3668" s="86"/>
      <c r="I3668" s="86"/>
      <c r="J3668" s="82"/>
      <c r="K3668" s="82"/>
      <c r="L3668" s="82"/>
      <c r="M3668" s="82"/>
      <c r="N3668" s="82"/>
      <c r="O3668" s="82"/>
      <c r="P3668" s="82"/>
      <c r="Q3668" s="82"/>
      <c r="R3668" s="82"/>
      <c r="S3668" s="82"/>
      <c r="T3668" s="82"/>
      <c r="U3668" s="82"/>
      <c r="V3668" s="82"/>
      <c r="W3668" s="82"/>
      <c r="X3668" s="82"/>
      <c r="Y3668" s="82"/>
      <c r="Z3668" s="82"/>
      <c r="AA3668" s="82"/>
      <c r="AB3668" s="82"/>
      <c r="AC3668" s="82"/>
      <c r="AD3668" s="82"/>
      <c r="AE3668" s="82"/>
      <c r="AF3668" s="82"/>
      <c r="AG3668" s="82"/>
      <c r="AH3668" s="82"/>
      <c r="AI3668" s="82"/>
      <c r="AJ3668" s="82"/>
      <c r="AK3668" s="82"/>
      <c r="AL3668" s="82"/>
      <c r="AM3668" s="82"/>
      <c r="AN3668" s="82"/>
      <c r="AO3668" s="82"/>
      <c r="AP3668" s="82"/>
      <c r="AQ3668" s="82"/>
      <c r="AR3668" s="82"/>
      <c r="AS3668" s="82"/>
      <c r="AT3668" s="82"/>
      <c r="AU3668" s="82"/>
      <c r="AV3668" s="82"/>
      <c r="AW3668" s="82" t="str">
        <f t="shared" si="1"/>
        <v/>
      </c>
      <c r="AX3668" s="83" t="str">
        <f t="array" ref="AX3668">IFERROR(DGET('SBV Import'!A:G,"SBV",{"RSC ID","Tier";B3668,A3668}))</f>
        <v/>
      </c>
      <c r="AY3668" s="82" t="str">
        <f t="shared" si="2"/>
        <v/>
      </c>
      <c r="AZ3668" s="82"/>
      <c r="BA3668" s="84" t="s">
        <v>152</v>
      </c>
      <c r="BB3668" s="84" t="str">
        <f>IFERROR(__xludf.DUMMYFUNCTION("iferror(if(A3668="""",,E3668&gt;=FILTER(Constants!$F$2:$F$10,Constants!$A$2:$A$10=A3668)))"),"")</f>
        <v/>
      </c>
    </row>
    <row r="3669">
      <c r="A3669" s="89"/>
      <c r="B3669" s="87"/>
      <c r="C3669" s="73"/>
      <c r="D3669" s="73"/>
      <c r="E3669" s="82"/>
      <c r="F3669" s="82"/>
      <c r="G3669" s="86"/>
      <c r="H3669" s="86"/>
      <c r="I3669" s="86"/>
      <c r="J3669" s="82"/>
      <c r="K3669" s="82"/>
      <c r="L3669" s="82"/>
      <c r="M3669" s="82"/>
      <c r="N3669" s="82"/>
      <c r="O3669" s="82"/>
      <c r="P3669" s="82"/>
      <c r="Q3669" s="82"/>
      <c r="R3669" s="82"/>
      <c r="S3669" s="82"/>
      <c r="T3669" s="82"/>
      <c r="U3669" s="82"/>
      <c r="V3669" s="82"/>
      <c r="W3669" s="82"/>
      <c r="X3669" s="82"/>
      <c r="Y3669" s="82"/>
      <c r="Z3669" s="82"/>
      <c r="AA3669" s="82"/>
      <c r="AB3669" s="82"/>
      <c r="AC3669" s="82"/>
      <c r="AD3669" s="82"/>
      <c r="AE3669" s="82"/>
      <c r="AF3669" s="82"/>
      <c r="AG3669" s="82"/>
      <c r="AH3669" s="82"/>
      <c r="AI3669" s="82"/>
      <c r="AJ3669" s="82"/>
      <c r="AK3669" s="82"/>
      <c r="AL3669" s="82"/>
      <c r="AM3669" s="82"/>
      <c r="AN3669" s="82"/>
      <c r="AO3669" s="82"/>
      <c r="AP3669" s="82"/>
      <c r="AQ3669" s="82"/>
      <c r="AR3669" s="82"/>
      <c r="AS3669" s="82"/>
      <c r="AT3669" s="82"/>
      <c r="AU3669" s="82"/>
      <c r="AV3669" s="82"/>
      <c r="AW3669" s="82" t="str">
        <f t="shared" si="1"/>
        <v/>
      </c>
      <c r="AX3669" s="83" t="str">
        <f t="array" ref="AX3669">IFERROR(DGET('SBV Import'!A:G,"SBV",{"RSC ID","Tier";B3669,A3669}))</f>
        <v/>
      </c>
      <c r="AY3669" s="82" t="str">
        <f t="shared" si="2"/>
        <v/>
      </c>
      <c r="AZ3669" s="82"/>
      <c r="BA3669" s="84" t="s">
        <v>152</v>
      </c>
      <c r="BB3669" s="84" t="str">
        <f>IFERROR(__xludf.DUMMYFUNCTION("iferror(if(A3669="""",,E3669&gt;=FILTER(Constants!$F$2:$F$10,Constants!$A$2:$A$10=A3669)))"),"")</f>
        <v/>
      </c>
    </row>
    <row r="3670">
      <c r="A3670" s="89"/>
      <c r="B3670" s="87"/>
      <c r="C3670" s="73"/>
      <c r="D3670" s="73"/>
      <c r="E3670" s="82"/>
      <c r="F3670" s="82"/>
      <c r="G3670" s="86"/>
      <c r="H3670" s="86"/>
      <c r="I3670" s="86"/>
      <c r="J3670" s="82"/>
      <c r="K3670" s="82"/>
      <c r="L3670" s="82"/>
      <c r="M3670" s="82"/>
      <c r="N3670" s="82"/>
      <c r="O3670" s="82"/>
      <c r="P3670" s="82"/>
      <c r="Q3670" s="82"/>
      <c r="R3670" s="82"/>
      <c r="S3670" s="82"/>
      <c r="T3670" s="82"/>
      <c r="U3670" s="82"/>
      <c r="V3670" s="82"/>
      <c r="W3670" s="82"/>
      <c r="X3670" s="82"/>
      <c r="Y3670" s="82"/>
      <c r="Z3670" s="82"/>
      <c r="AA3670" s="82"/>
      <c r="AB3670" s="82"/>
      <c r="AC3670" s="82"/>
      <c r="AD3670" s="82"/>
      <c r="AE3670" s="82"/>
      <c r="AF3670" s="82"/>
      <c r="AG3670" s="82"/>
      <c r="AH3670" s="82"/>
      <c r="AI3670" s="82"/>
      <c r="AJ3670" s="82"/>
      <c r="AK3670" s="82"/>
      <c r="AL3670" s="82"/>
      <c r="AM3670" s="82"/>
      <c r="AN3670" s="82"/>
      <c r="AO3670" s="82"/>
      <c r="AP3670" s="82"/>
      <c r="AQ3670" s="82"/>
      <c r="AR3670" s="82"/>
      <c r="AS3670" s="82"/>
      <c r="AT3670" s="82"/>
      <c r="AU3670" s="82"/>
      <c r="AV3670" s="82"/>
      <c r="AW3670" s="82" t="str">
        <f t="shared" si="1"/>
        <v/>
      </c>
      <c r="AX3670" s="83" t="str">
        <f t="array" ref="AX3670">IFERROR(DGET('SBV Import'!A:G,"SBV",{"RSC ID","Tier";B3670,A3670}))</f>
        <v/>
      </c>
      <c r="AY3670" s="82" t="str">
        <f t="shared" si="2"/>
        <v/>
      </c>
      <c r="AZ3670" s="82"/>
      <c r="BA3670" s="84" t="s">
        <v>152</v>
      </c>
      <c r="BB3670" s="84" t="str">
        <f>IFERROR(__xludf.DUMMYFUNCTION("iferror(if(A3670="""",,E3670&gt;=FILTER(Constants!$F$2:$F$10,Constants!$A$2:$A$10=A3670)))"),"")</f>
        <v/>
      </c>
    </row>
    <row r="3671">
      <c r="A3671" s="89"/>
      <c r="B3671" s="87"/>
      <c r="C3671" s="73"/>
      <c r="D3671" s="73"/>
      <c r="E3671" s="82"/>
      <c r="F3671" s="82"/>
      <c r="G3671" s="86"/>
      <c r="H3671" s="86"/>
      <c r="I3671" s="86"/>
      <c r="J3671" s="82"/>
      <c r="K3671" s="82"/>
      <c r="L3671" s="82"/>
      <c r="M3671" s="82"/>
      <c r="N3671" s="82"/>
      <c r="O3671" s="82"/>
      <c r="P3671" s="82"/>
      <c r="Q3671" s="82"/>
      <c r="R3671" s="82"/>
      <c r="S3671" s="82"/>
      <c r="T3671" s="82"/>
      <c r="U3671" s="82"/>
      <c r="V3671" s="82"/>
      <c r="W3671" s="82"/>
      <c r="X3671" s="82"/>
      <c r="Y3671" s="82"/>
      <c r="Z3671" s="82"/>
      <c r="AA3671" s="82"/>
      <c r="AB3671" s="82"/>
      <c r="AC3671" s="82"/>
      <c r="AD3671" s="82"/>
      <c r="AE3671" s="82"/>
      <c r="AF3671" s="82"/>
      <c r="AG3671" s="82"/>
      <c r="AH3671" s="82"/>
      <c r="AI3671" s="82"/>
      <c r="AJ3671" s="82"/>
      <c r="AK3671" s="82"/>
      <c r="AL3671" s="82"/>
      <c r="AM3671" s="82"/>
      <c r="AN3671" s="82"/>
      <c r="AO3671" s="82"/>
      <c r="AP3671" s="82"/>
      <c r="AQ3671" s="82"/>
      <c r="AR3671" s="82"/>
      <c r="AS3671" s="82"/>
      <c r="AT3671" s="82"/>
      <c r="AU3671" s="82"/>
      <c r="AV3671" s="82"/>
      <c r="AW3671" s="82" t="str">
        <f t="shared" si="1"/>
        <v/>
      </c>
      <c r="AX3671" s="83" t="str">
        <f t="array" ref="AX3671">IFERROR(DGET('SBV Import'!A:G,"SBV",{"RSC ID","Tier";B3671,A3671}))</f>
        <v/>
      </c>
      <c r="AY3671" s="82" t="str">
        <f t="shared" si="2"/>
        <v/>
      </c>
      <c r="AZ3671" s="82"/>
      <c r="BA3671" s="84" t="s">
        <v>152</v>
      </c>
      <c r="BB3671" s="84" t="str">
        <f>IFERROR(__xludf.DUMMYFUNCTION("iferror(if(A3671="""",,E3671&gt;=FILTER(Constants!$F$2:$F$10,Constants!$A$2:$A$10=A3671)))"),"")</f>
        <v/>
      </c>
    </row>
    <row r="3672">
      <c r="A3672" s="89"/>
      <c r="B3672" s="87"/>
      <c r="C3672" s="73"/>
      <c r="D3672" s="73"/>
      <c r="E3672" s="82"/>
      <c r="F3672" s="82"/>
      <c r="G3672" s="86"/>
      <c r="H3672" s="86"/>
      <c r="I3672" s="86"/>
      <c r="J3672" s="82"/>
      <c r="K3672" s="82"/>
      <c r="L3672" s="82"/>
      <c r="M3672" s="82"/>
      <c r="N3672" s="82"/>
      <c r="O3672" s="82"/>
      <c r="P3672" s="82"/>
      <c r="Q3672" s="82"/>
      <c r="R3672" s="82"/>
      <c r="S3672" s="82"/>
      <c r="T3672" s="82"/>
      <c r="U3672" s="82"/>
      <c r="V3672" s="82"/>
      <c r="W3672" s="82"/>
      <c r="X3672" s="82"/>
      <c r="Y3672" s="82"/>
      <c r="Z3672" s="82"/>
      <c r="AA3672" s="82"/>
      <c r="AB3672" s="82"/>
      <c r="AC3672" s="82"/>
      <c r="AD3672" s="82"/>
      <c r="AE3672" s="82"/>
      <c r="AF3672" s="82"/>
      <c r="AG3672" s="82"/>
      <c r="AH3672" s="82"/>
      <c r="AI3672" s="82"/>
      <c r="AJ3672" s="82"/>
      <c r="AK3672" s="82"/>
      <c r="AL3672" s="82"/>
      <c r="AM3672" s="82"/>
      <c r="AN3672" s="82"/>
      <c r="AO3672" s="82"/>
      <c r="AP3672" s="82"/>
      <c r="AQ3672" s="82"/>
      <c r="AR3672" s="82"/>
      <c r="AS3672" s="82"/>
      <c r="AT3672" s="82"/>
      <c r="AU3672" s="82"/>
      <c r="AV3672" s="82"/>
      <c r="AW3672" s="82" t="str">
        <f t="shared" si="1"/>
        <v/>
      </c>
      <c r="AX3672" s="83" t="str">
        <f t="array" ref="AX3672">IFERROR(DGET('SBV Import'!A:G,"SBV",{"RSC ID","Tier";B3672,A3672}))</f>
        <v/>
      </c>
      <c r="AY3672" s="82" t="str">
        <f t="shared" si="2"/>
        <v/>
      </c>
      <c r="AZ3672" s="82"/>
      <c r="BA3672" s="84" t="s">
        <v>152</v>
      </c>
      <c r="BB3672" s="84" t="str">
        <f>IFERROR(__xludf.DUMMYFUNCTION("iferror(if(A3672="""",,E3672&gt;=FILTER(Constants!$F$2:$F$10,Constants!$A$2:$A$10=A3672)))"),"")</f>
        <v/>
      </c>
    </row>
    <row r="3673">
      <c r="A3673" s="89"/>
      <c r="B3673" s="87"/>
      <c r="C3673" s="73"/>
      <c r="D3673" s="73"/>
      <c r="E3673" s="82"/>
      <c r="F3673" s="82"/>
      <c r="G3673" s="86"/>
      <c r="H3673" s="86"/>
      <c r="I3673" s="86"/>
      <c r="J3673" s="82"/>
      <c r="K3673" s="82"/>
      <c r="L3673" s="82"/>
      <c r="M3673" s="82"/>
      <c r="N3673" s="82"/>
      <c r="O3673" s="82"/>
      <c r="P3673" s="82"/>
      <c r="Q3673" s="82"/>
      <c r="R3673" s="82"/>
      <c r="S3673" s="82"/>
      <c r="T3673" s="82"/>
      <c r="U3673" s="82"/>
      <c r="V3673" s="82"/>
      <c r="W3673" s="82"/>
      <c r="X3673" s="82"/>
      <c r="Y3673" s="82"/>
      <c r="Z3673" s="82"/>
      <c r="AA3673" s="82"/>
      <c r="AB3673" s="82"/>
      <c r="AC3673" s="82"/>
      <c r="AD3673" s="82"/>
      <c r="AE3673" s="82"/>
      <c r="AF3673" s="82"/>
      <c r="AG3673" s="82"/>
      <c r="AH3673" s="82"/>
      <c r="AI3673" s="82"/>
      <c r="AJ3673" s="82"/>
      <c r="AK3673" s="82"/>
      <c r="AL3673" s="82"/>
      <c r="AM3673" s="82"/>
      <c r="AN3673" s="82"/>
      <c r="AO3673" s="82"/>
      <c r="AP3673" s="82"/>
      <c r="AQ3673" s="82"/>
      <c r="AR3673" s="82"/>
      <c r="AS3673" s="82"/>
      <c r="AT3673" s="82"/>
      <c r="AU3673" s="82"/>
      <c r="AV3673" s="82"/>
      <c r="AW3673" s="82" t="str">
        <f t="shared" si="1"/>
        <v/>
      </c>
      <c r="AX3673" s="83" t="str">
        <f t="array" ref="AX3673">IFERROR(DGET('SBV Import'!A:G,"SBV",{"RSC ID","Tier";B3673,A3673}))</f>
        <v/>
      </c>
      <c r="AY3673" s="82" t="str">
        <f t="shared" si="2"/>
        <v/>
      </c>
      <c r="AZ3673" s="82"/>
      <c r="BA3673" s="84" t="s">
        <v>152</v>
      </c>
      <c r="BB3673" s="84" t="str">
        <f>IFERROR(__xludf.DUMMYFUNCTION("iferror(if(A3673="""",,E3673&gt;=FILTER(Constants!$F$2:$F$10,Constants!$A$2:$A$10=A3673)))"),"")</f>
        <v/>
      </c>
    </row>
    <row r="3674">
      <c r="A3674" s="89"/>
      <c r="B3674" s="87"/>
      <c r="C3674" s="73"/>
      <c r="D3674" s="73"/>
      <c r="E3674" s="82"/>
      <c r="F3674" s="82"/>
      <c r="G3674" s="86"/>
      <c r="H3674" s="86"/>
      <c r="I3674" s="86"/>
      <c r="J3674" s="82"/>
      <c r="K3674" s="82"/>
      <c r="L3674" s="82"/>
      <c r="M3674" s="82"/>
      <c r="N3674" s="82"/>
      <c r="O3674" s="82"/>
      <c r="P3674" s="82"/>
      <c r="Q3674" s="82"/>
      <c r="R3674" s="82"/>
      <c r="S3674" s="82"/>
      <c r="T3674" s="82"/>
      <c r="U3674" s="82"/>
      <c r="V3674" s="82"/>
      <c r="W3674" s="82"/>
      <c r="X3674" s="82"/>
      <c r="Y3674" s="82"/>
      <c r="Z3674" s="82"/>
      <c r="AA3674" s="82"/>
      <c r="AB3674" s="82"/>
      <c r="AC3674" s="82"/>
      <c r="AD3674" s="82"/>
      <c r="AE3674" s="82"/>
      <c r="AF3674" s="82"/>
      <c r="AG3674" s="82"/>
      <c r="AH3674" s="82"/>
      <c r="AI3674" s="82"/>
      <c r="AJ3674" s="82"/>
      <c r="AK3674" s="82"/>
      <c r="AL3674" s="82"/>
      <c r="AM3674" s="82"/>
      <c r="AN3674" s="82"/>
      <c r="AO3674" s="82"/>
      <c r="AP3674" s="82"/>
      <c r="AQ3674" s="82"/>
      <c r="AR3674" s="82"/>
      <c r="AS3674" s="82"/>
      <c r="AT3674" s="82"/>
      <c r="AU3674" s="82"/>
      <c r="AV3674" s="82"/>
      <c r="AW3674" s="82" t="str">
        <f t="shared" si="1"/>
        <v/>
      </c>
      <c r="AX3674" s="83" t="str">
        <f t="array" ref="AX3674">IFERROR(DGET('SBV Import'!A:G,"SBV",{"RSC ID","Tier";B3674,A3674}))</f>
        <v/>
      </c>
      <c r="AY3674" s="82" t="str">
        <f t="shared" si="2"/>
        <v/>
      </c>
      <c r="AZ3674" s="82"/>
      <c r="BA3674" s="84" t="s">
        <v>152</v>
      </c>
      <c r="BB3674" s="84" t="str">
        <f>IFERROR(__xludf.DUMMYFUNCTION("iferror(if(A3674="""",,E3674&gt;=FILTER(Constants!$F$2:$F$10,Constants!$A$2:$A$10=A3674)))"),"")</f>
        <v/>
      </c>
    </row>
    <row r="3675">
      <c r="A3675" s="89"/>
      <c r="B3675" s="87"/>
      <c r="C3675" s="73"/>
      <c r="D3675" s="73"/>
      <c r="E3675" s="82"/>
      <c r="F3675" s="82"/>
      <c r="G3675" s="86"/>
      <c r="H3675" s="86"/>
      <c r="I3675" s="86"/>
      <c r="J3675" s="82"/>
      <c r="K3675" s="82"/>
      <c r="L3675" s="82"/>
      <c r="M3675" s="82"/>
      <c r="N3675" s="82"/>
      <c r="O3675" s="82"/>
      <c r="P3675" s="82"/>
      <c r="Q3675" s="82"/>
      <c r="R3675" s="82"/>
      <c r="S3675" s="82"/>
      <c r="T3675" s="82"/>
      <c r="U3675" s="82"/>
      <c r="V3675" s="82"/>
      <c r="W3675" s="82"/>
      <c r="X3675" s="82"/>
      <c r="Y3675" s="82"/>
      <c r="Z3675" s="82"/>
      <c r="AA3675" s="82"/>
      <c r="AB3675" s="82"/>
      <c r="AC3675" s="82"/>
      <c r="AD3675" s="82"/>
      <c r="AE3675" s="82"/>
      <c r="AF3675" s="82"/>
      <c r="AG3675" s="82"/>
      <c r="AH3675" s="82"/>
      <c r="AI3675" s="82"/>
      <c r="AJ3675" s="82"/>
      <c r="AK3675" s="82"/>
      <c r="AL3675" s="82"/>
      <c r="AM3675" s="82"/>
      <c r="AN3675" s="82"/>
      <c r="AO3675" s="82"/>
      <c r="AP3675" s="82"/>
      <c r="AQ3675" s="82"/>
      <c r="AR3675" s="82"/>
      <c r="AS3675" s="82"/>
      <c r="AT3675" s="82"/>
      <c r="AU3675" s="82"/>
      <c r="AV3675" s="82"/>
      <c r="AW3675" s="82" t="str">
        <f t="shared" si="1"/>
        <v/>
      </c>
      <c r="AX3675" s="83" t="str">
        <f t="array" ref="AX3675">IFERROR(DGET('SBV Import'!A:G,"SBV",{"RSC ID","Tier";B3675,A3675}))</f>
        <v/>
      </c>
      <c r="AY3675" s="82" t="str">
        <f t="shared" si="2"/>
        <v/>
      </c>
      <c r="AZ3675" s="82"/>
      <c r="BA3675" s="84" t="s">
        <v>152</v>
      </c>
      <c r="BB3675" s="84" t="str">
        <f>IFERROR(__xludf.DUMMYFUNCTION("iferror(if(A3675="""",,E3675&gt;=FILTER(Constants!$F$2:$F$10,Constants!$A$2:$A$10=A3675)))"),"")</f>
        <v/>
      </c>
    </row>
    <row r="3676">
      <c r="A3676" s="89"/>
      <c r="B3676" s="87"/>
      <c r="C3676" s="73"/>
      <c r="D3676" s="73"/>
      <c r="E3676" s="82"/>
      <c r="F3676" s="82"/>
      <c r="G3676" s="86"/>
      <c r="H3676" s="86"/>
      <c r="I3676" s="86"/>
      <c r="J3676" s="82"/>
      <c r="K3676" s="82"/>
      <c r="L3676" s="82"/>
      <c r="M3676" s="82"/>
      <c r="N3676" s="82"/>
      <c r="O3676" s="82"/>
      <c r="P3676" s="82"/>
      <c r="Q3676" s="82"/>
      <c r="R3676" s="82"/>
      <c r="S3676" s="82"/>
      <c r="T3676" s="82"/>
      <c r="U3676" s="82"/>
      <c r="V3676" s="82"/>
      <c r="W3676" s="82"/>
      <c r="X3676" s="82"/>
      <c r="Y3676" s="82"/>
      <c r="Z3676" s="82"/>
      <c r="AA3676" s="82"/>
      <c r="AB3676" s="82"/>
      <c r="AC3676" s="82"/>
      <c r="AD3676" s="82"/>
      <c r="AE3676" s="82"/>
      <c r="AF3676" s="82"/>
      <c r="AG3676" s="82"/>
      <c r="AH3676" s="82"/>
      <c r="AI3676" s="82"/>
      <c r="AJ3676" s="82"/>
      <c r="AK3676" s="82"/>
      <c r="AL3676" s="82"/>
      <c r="AM3676" s="82"/>
      <c r="AN3676" s="82"/>
      <c r="AO3676" s="82"/>
      <c r="AP3676" s="82"/>
      <c r="AQ3676" s="82"/>
      <c r="AR3676" s="82"/>
      <c r="AS3676" s="82"/>
      <c r="AT3676" s="82"/>
      <c r="AU3676" s="82"/>
      <c r="AV3676" s="82"/>
      <c r="AW3676" s="82" t="str">
        <f t="shared" si="1"/>
        <v/>
      </c>
      <c r="AX3676" s="83" t="str">
        <f t="array" ref="AX3676">IFERROR(DGET('SBV Import'!A:G,"SBV",{"RSC ID","Tier";B3676,A3676}))</f>
        <v/>
      </c>
      <c r="AY3676" s="82" t="str">
        <f t="shared" si="2"/>
        <v/>
      </c>
      <c r="AZ3676" s="82"/>
      <c r="BA3676" s="84" t="s">
        <v>152</v>
      </c>
      <c r="BB3676" s="84" t="str">
        <f>IFERROR(__xludf.DUMMYFUNCTION("iferror(if(A3676="""",,E3676&gt;=FILTER(Constants!$F$2:$F$10,Constants!$A$2:$A$10=A3676)))"),"")</f>
        <v/>
      </c>
    </row>
    <row r="3677">
      <c r="A3677" s="89"/>
      <c r="B3677" s="87"/>
      <c r="C3677" s="73"/>
      <c r="D3677" s="73"/>
      <c r="E3677" s="82"/>
      <c r="F3677" s="82"/>
      <c r="G3677" s="86"/>
      <c r="H3677" s="86"/>
      <c r="I3677" s="86"/>
      <c r="J3677" s="82"/>
      <c r="K3677" s="82"/>
      <c r="L3677" s="82"/>
      <c r="M3677" s="82"/>
      <c r="N3677" s="82"/>
      <c r="O3677" s="82"/>
      <c r="P3677" s="82"/>
      <c r="Q3677" s="82"/>
      <c r="R3677" s="82"/>
      <c r="S3677" s="82"/>
      <c r="T3677" s="82"/>
      <c r="U3677" s="82"/>
      <c r="V3677" s="82"/>
      <c r="W3677" s="82"/>
      <c r="X3677" s="82"/>
      <c r="Y3677" s="82"/>
      <c r="Z3677" s="82"/>
      <c r="AA3677" s="82"/>
      <c r="AB3677" s="82"/>
      <c r="AC3677" s="82"/>
      <c r="AD3677" s="82"/>
      <c r="AE3677" s="82"/>
      <c r="AF3677" s="82"/>
      <c r="AG3677" s="82"/>
      <c r="AH3677" s="82"/>
      <c r="AI3677" s="82"/>
      <c r="AJ3677" s="82"/>
      <c r="AK3677" s="82"/>
      <c r="AL3677" s="82"/>
      <c r="AM3677" s="82"/>
      <c r="AN3677" s="82"/>
      <c r="AO3677" s="82"/>
      <c r="AP3677" s="82"/>
      <c r="AQ3677" s="82"/>
      <c r="AR3677" s="82"/>
      <c r="AS3677" s="82"/>
      <c r="AT3677" s="82"/>
      <c r="AU3677" s="82"/>
      <c r="AV3677" s="82"/>
      <c r="AW3677" s="82" t="str">
        <f t="shared" si="1"/>
        <v/>
      </c>
      <c r="AX3677" s="83" t="str">
        <f t="array" ref="AX3677">IFERROR(DGET('SBV Import'!A:G,"SBV",{"RSC ID","Tier";B3677,A3677}))</f>
        <v/>
      </c>
      <c r="AY3677" s="82" t="str">
        <f t="shared" si="2"/>
        <v/>
      </c>
      <c r="AZ3677" s="82"/>
      <c r="BA3677" s="84" t="s">
        <v>152</v>
      </c>
      <c r="BB3677" s="84" t="str">
        <f>IFERROR(__xludf.DUMMYFUNCTION("iferror(if(A3677="""",,E3677&gt;=FILTER(Constants!$F$2:$F$10,Constants!$A$2:$A$10=A3677)))"),"")</f>
        <v/>
      </c>
    </row>
    <row r="3678">
      <c r="A3678" s="89"/>
      <c r="B3678" s="87"/>
      <c r="C3678" s="73"/>
      <c r="D3678" s="73"/>
      <c r="E3678" s="82"/>
      <c r="F3678" s="82"/>
      <c r="G3678" s="86"/>
      <c r="H3678" s="86"/>
      <c r="I3678" s="86"/>
      <c r="J3678" s="82"/>
      <c r="K3678" s="82"/>
      <c r="L3678" s="82"/>
      <c r="M3678" s="82"/>
      <c r="N3678" s="82"/>
      <c r="O3678" s="82"/>
      <c r="P3678" s="82"/>
      <c r="Q3678" s="82"/>
      <c r="R3678" s="82"/>
      <c r="S3678" s="82"/>
      <c r="T3678" s="82"/>
      <c r="U3678" s="82"/>
      <c r="V3678" s="82"/>
      <c r="W3678" s="82"/>
      <c r="X3678" s="82"/>
      <c r="Y3678" s="82"/>
      <c r="Z3678" s="82"/>
      <c r="AA3678" s="82"/>
      <c r="AB3678" s="82"/>
      <c r="AC3678" s="82"/>
      <c r="AD3678" s="82"/>
      <c r="AE3678" s="82"/>
      <c r="AF3678" s="82"/>
      <c r="AG3678" s="82"/>
      <c r="AH3678" s="82"/>
      <c r="AI3678" s="82"/>
      <c r="AJ3678" s="82"/>
      <c r="AK3678" s="82"/>
      <c r="AL3678" s="82"/>
      <c r="AM3678" s="82"/>
      <c r="AN3678" s="82"/>
      <c r="AO3678" s="82"/>
      <c r="AP3678" s="82"/>
      <c r="AQ3678" s="82"/>
      <c r="AR3678" s="82"/>
      <c r="AS3678" s="82"/>
      <c r="AT3678" s="82"/>
      <c r="AU3678" s="82"/>
      <c r="AV3678" s="82"/>
      <c r="AW3678" s="82" t="str">
        <f t="shared" si="1"/>
        <v/>
      </c>
      <c r="AX3678" s="83" t="str">
        <f t="array" ref="AX3678">IFERROR(DGET('SBV Import'!A:G,"SBV",{"RSC ID","Tier";B3678,A3678}))</f>
        <v/>
      </c>
      <c r="AY3678" s="82" t="str">
        <f t="shared" si="2"/>
        <v/>
      </c>
      <c r="AZ3678" s="82"/>
      <c r="BA3678" s="84" t="s">
        <v>152</v>
      </c>
      <c r="BB3678" s="84" t="str">
        <f>IFERROR(__xludf.DUMMYFUNCTION("iferror(if(A3678="""",,E3678&gt;=FILTER(Constants!$F$2:$F$10,Constants!$A$2:$A$10=A3678)))"),"")</f>
        <v/>
      </c>
    </row>
    <row r="3679">
      <c r="A3679" s="89"/>
      <c r="B3679" s="87"/>
      <c r="C3679" s="73"/>
      <c r="D3679" s="73"/>
      <c r="E3679" s="82"/>
      <c r="F3679" s="82"/>
      <c r="G3679" s="86"/>
      <c r="H3679" s="86"/>
      <c r="I3679" s="86"/>
      <c r="J3679" s="82"/>
      <c r="K3679" s="82"/>
      <c r="L3679" s="82"/>
      <c r="M3679" s="82"/>
      <c r="N3679" s="82"/>
      <c r="O3679" s="82"/>
      <c r="P3679" s="82"/>
      <c r="Q3679" s="82"/>
      <c r="R3679" s="82"/>
      <c r="S3679" s="82"/>
      <c r="T3679" s="82"/>
      <c r="U3679" s="82"/>
      <c r="V3679" s="82"/>
      <c r="W3679" s="82"/>
      <c r="X3679" s="82"/>
      <c r="Y3679" s="82"/>
      <c r="Z3679" s="82"/>
      <c r="AA3679" s="82"/>
      <c r="AB3679" s="82"/>
      <c r="AC3679" s="82"/>
      <c r="AD3679" s="82"/>
      <c r="AE3679" s="82"/>
      <c r="AF3679" s="82"/>
      <c r="AG3679" s="82"/>
      <c r="AH3679" s="82"/>
      <c r="AI3679" s="82"/>
      <c r="AJ3679" s="82"/>
      <c r="AK3679" s="82"/>
      <c r="AL3679" s="82"/>
      <c r="AM3679" s="82"/>
      <c r="AN3679" s="82"/>
      <c r="AO3679" s="82"/>
      <c r="AP3679" s="82"/>
      <c r="AQ3679" s="82"/>
      <c r="AR3679" s="82"/>
      <c r="AS3679" s="82"/>
      <c r="AT3679" s="82"/>
      <c r="AU3679" s="82"/>
      <c r="AV3679" s="82"/>
      <c r="AW3679" s="82" t="str">
        <f t="shared" si="1"/>
        <v/>
      </c>
      <c r="AX3679" s="83" t="str">
        <f t="array" ref="AX3679">IFERROR(DGET('SBV Import'!A:G,"SBV",{"RSC ID","Tier";B3679,A3679}))</f>
        <v/>
      </c>
      <c r="AY3679" s="82" t="str">
        <f t="shared" si="2"/>
        <v/>
      </c>
      <c r="AZ3679" s="82"/>
      <c r="BA3679" s="84" t="s">
        <v>152</v>
      </c>
      <c r="BB3679" s="84" t="str">
        <f>IFERROR(__xludf.DUMMYFUNCTION("iferror(if(A3679="""",,E3679&gt;=FILTER(Constants!$F$2:$F$10,Constants!$A$2:$A$10=A3679)))"),"")</f>
        <v/>
      </c>
    </row>
    <row r="3680">
      <c r="A3680" s="89"/>
      <c r="B3680" s="87"/>
      <c r="C3680" s="73"/>
      <c r="D3680" s="73"/>
      <c r="E3680" s="82"/>
      <c r="F3680" s="82"/>
      <c r="G3680" s="86"/>
      <c r="H3680" s="86"/>
      <c r="I3680" s="86"/>
      <c r="J3680" s="82"/>
      <c r="K3680" s="82"/>
      <c r="L3680" s="82"/>
      <c r="M3680" s="82"/>
      <c r="N3680" s="82"/>
      <c r="O3680" s="82"/>
      <c r="P3680" s="82"/>
      <c r="Q3680" s="82"/>
      <c r="R3680" s="82"/>
      <c r="S3680" s="82"/>
      <c r="T3680" s="82"/>
      <c r="U3680" s="82"/>
      <c r="V3680" s="82"/>
      <c r="W3680" s="82"/>
      <c r="X3680" s="82"/>
      <c r="Y3680" s="82"/>
      <c r="Z3680" s="82"/>
      <c r="AA3680" s="82"/>
      <c r="AB3680" s="82"/>
      <c r="AC3680" s="82"/>
      <c r="AD3680" s="82"/>
      <c r="AE3680" s="82"/>
      <c r="AF3680" s="82"/>
      <c r="AG3680" s="82"/>
      <c r="AH3680" s="82"/>
      <c r="AI3680" s="82"/>
      <c r="AJ3680" s="82"/>
      <c r="AK3680" s="82"/>
      <c r="AL3680" s="82"/>
      <c r="AM3680" s="82"/>
      <c r="AN3680" s="82"/>
      <c r="AO3680" s="82"/>
      <c r="AP3680" s="82"/>
      <c r="AQ3680" s="82"/>
      <c r="AR3680" s="82"/>
      <c r="AS3680" s="82"/>
      <c r="AT3680" s="82"/>
      <c r="AU3680" s="82"/>
      <c r="AV3680" s="82"/>
      <c r="AW3680" s="82" t="str">
        <f t="shared" si="1"/>
        <v/>
      </c>
      <c r="AX3680" s="83" t="str">
        <f t="array" ref="AX3680">IFERROR(DGET('SBV Import'!A:G,"SBV",{"RSC ID","Tier";B3680,A3680}))</f>
        <v/>
      </c>
      <c r="AY3680" s="82" t="str">
        <f t="shared" si="2"/>
        <v/>
      </c>
      <c r="AZ3680" s="82"/>
      <c r="BA3680" s="84" t="s">
        <v>152</v>
      </c>
      <c r="BB3680" s="84" t="str">
        <f>IFERROR(__xludf.DUMMYFUNCTION("iferror(if(A3680="""",,E3680&gt;=FILTER(Constants!$F$2:$F$10,Constants!$A$2:$A$10=A3680)))"),"")</f>
        <v/>
      </c>
    </row>
    <row r="3681">
      <c r="A3681" s="89"/>
      <c r="B3681" s="87"/>
      <c r="C3681" s="73"/>
      <c r="D3681" s="73"/>
      <c r="E3681" s="82"/>
      <c r="F3681" s="82"/>
      <c r="G3681" s="86"/>
      <c r="H3681" s="86"/>
      <c r="I3681" s="86"/>
      <c r="J3681" s="82"/>
      <c r="K3681" s="82"/>
      <c r="L3681" s="82"/>
      <c r="M3681" s="82"/>
      <c r="N3681" s="82"/>
      <c r="O3681" s="82"/>
      <c r="P3681" s="82"/>
      <c r="Q3681" s="82"/>
      <c r="R3681" s="82"/>
      <c r="S3681" s="82"/>
      <c r="T3681" s="82"/>
      <c r="U3681" s="82"/>
      <c r="V3681" s="82"/>
      <c r="W3681" s="82"/>
      <c r="X3681" s="82"/>
      <c r="Y3681" s="82"/>
      <c r="Z3681" s="82"/>
      <c r="AA3681" s="82"/>
      <c r="AB3681" s="82"/>
      <c r="AC3681" s="82"/>
      <c r="AD3681" s="82"/>
      <c r="AE3681" s="82"/>
      <c r="AF3681" s="82"/>
      <c r="AG3681" s="82"/>
      <c r="AH3681" s="82"/>
      <c r="AI3681" s="82"/>
      <c r="AJ3681" s="82"/>
      <c r="AK3681" s="82"/>
      <c r="AL3681" s="82"/>
      <c r="AM3681" s="82"/>
      <c r="AN3681" s="82"/>
      <c r="AO3681" s="82"/>
      <c r="AP3681" s="82"/>
      <c r="AQ3681" s="82"/>
      <c r="AR3681" s="82"/>
      <c r="AS3681" s="82"/>
      <c r="AT3681" s="82"/>
      <c r="AU3681" s="82"/>
      <c r="AV3681" s="82"/>
      <c r="AW3681" s="82" t="str">
        <f t="shared" si="1"/>
        <v/>
      </c>
      <c r="AX3681" s="83" t="str">
        <f t="array" ref="AX3681">IFERROR(DGET('SBV Import'!A:G,"SBV",{"RSC ID","Tier";B3681,A3681}))</f>
        <v/>
      </c>
      <c r="AY3681" s="82" t="str">
        <f t="shared" si="2"/>
        <v/>
      </c>
      <c r="AZ3681" s="82"/>
      <c r="BA3681" s="84" t="s">
        <v>152</v>
      </c>
      <c r="BB3681" s="84" t="str">
        <f>IFERROR(__xludf.DUMMYFUNCTION("iferror(if(A3681="""",,E3681&gt;=FILTER(Constants!$F$2:$F$10,Constants!$A$2:$A$10=A3681)))"),"")</f>
        <v/>
      </c>
    </row>
    <row r="3682">
      <c r="A3682" s="89"/>
      <c r="B3682" s="87"/>
      <c r="C3682" s="73"/>
      <c r="D3682" s="73"/>
      <c r="E3682" s="82"/>
      <c r="F3682" s="82"/>
      <c r="G3682" s="86"/>
      <c r="H3682" s="86"/>
      <c r="I3682" s="86"/>
      <c r="J3682" s="82"/>
      <c r="K3682" s="82"/>
      <c r="L3682" s="82"/>
      <c r="M3682" s="82"/>
      <c r="N3682" s="82"/>
      <c r="O3682" s="82"/>
      <c r="P3682" s="82"/>
      <c r="Q3682" s="82"/>
      <c r="R3682" s="82"/>
      <c r="S3682" s="82"/>
      <c r="T3682" s="82"/>
      <c r="U3682" s="82"/>
      <c r="V3682" s="82"/>
      <c r="W3682" s="82"/>
      <c r="X3682" s="82"/>
      <c r="Y3682" s="82"/>
      <c r="Z3682" s="82"/>
      <c r="AA3682" s="82"/>
      <c r="AB3682" s="82"/>
      <c r="AC3682" s="82"/>
      <c r="AD3682" s="82"/>
      <c r="AE3682" s="82"/>
      <c r="AF3682" s="82"/>
      <c r="AG3682" s="82"/>
      <c r="AH3682" s="82"/>
      <c r="AI3682" s="82"/>
      <c r="AJ3682" s="82"/>
      <c r="AK3682" s="82"/>
      <c r="AL3682" s="82"/>
      <c r="AM3682" s="82"/>
      <c r="AN3682" s="82"/>
      <c r="AO3682" s="82"/>
      <c r="AP3682" s="82"/>
      <c r="AQ3682" s="82"/>
      <c r="AR3682" s="82"/>
      <c r="AS3682" s="82"/>
      <c r="AT3682" s="82"/>
      <c r="AU3682" s="82"/>
      <c r="AV3682" s="82"/>
      <c r="AW3682" s="82" t="str">
        <f t="shared" si="1"/>
        <v/>
      </c>
      <c r="AX3682" s="83" t="str">
        <f t="array" ref="AX3682">IFERROR(DGET('SBV Import'!A:G,"SBV",{"RSC ID","Tier";B3682,A3682}))</f>
        <v/>
      </c>
      <c r="AY3682" s="82" t="str">
        <f t="shared" si="2"/>
        <v/>
      </c>
      <c r="AZ3682" s="82"/>
      <c r="BA3682" s="84" t="s">
        <v>152</v>
      </c>
      <c r="BB3682" s="84" t="str">
        <f>IFERROR(__xludf.DUMMYFUNCTION("iferror(if(A3682="""",,E3682&gt;=FILTER(Constants!$F$2:$F$10,Constants!$A$2:$A$10=A3682)))"),"")</f>
        <v/>
      </c>
    </row>
    <row r="3683">
      <c r="A3683" s="89"/>
      <c r="B3683" s="87"/>
      <c r="C3683" s="73"/>
      <c r="D3683" s="73"/>
      <c r="E3683" s="82"/>
      <c r="F3683" s="82"/>
      <c r="G3683" s="86"/>
      <c r="H3683" s="86"/>
      <c r="I3683" s="86"/>
      <c r="J3683" s="82"/>
      <c r="K3683" s="82"/>
      <c r="L3683" s="82"/>
      <c r="M3683" s="82"/>
      <c r="N3683" s="82"/>
      <c r="O3683" s="82"/>
      <c r="P3683" s="82"/>
      <c r="Q3683" s="82"/>
      <c r="R3683" s="82"/>
      <c r="S3683" s="82"/>
      <c r="T3683" s="82"/>
      <c r="U3683" s="82"/>
      <c r="V3683" s="82"/>
      <c r="W3683" s="82"/>
      <c r="X3683" s="82"/>
      <c r="Y3683" s="82"/>
      <c r="Z3683" s="82"/>
      <c r="AA3683" s="82"/>
      <c r="AB3683" s="82"/>
      <c r="AC3683" s="82"/>
      <c r="AD3683" s="82"/>
      <c r="AE3683" s="82"/>
      <c r="AF3683" s="82"/>
      <c r="AG3683" s="82"/>
      <c r="AH3683" s="82"/>
      <c r="AI3683" s="82"/>
      <c r="AJ3683" s="82"/>
      <c r="AK3683" s="82"/>
      <c r="AL3683" s="82"/>
      <c r="AM3683" s="82"/>
      <c r="AN3683" s="82"/>
      <c r="AO3683" s="82"/>
      <c r="AP3683" s="82"/>
      <c r="AQ3683" s="82"/>
      <c r="AR3683" s="82"/>
      <c r="AS3683" s="82"/>
      <c r="AT3683" s="82"/>
      <c r="AU3683" s="82"/>
      <c r="AV3683" s="82"/>
      <c r="AW3683" s="82" t="str">
        <f t="shared" si="1"/>
        <v/>
      </c>
      <c r="AX3683" s="83" t="str">
        <f t="array" ref="AX3683">IFERROR(DGET('SBV Import'!A:G,"SBV",{"RSC ID","Tier";B3683,A3683}))</f>
        <v/>
      </c>
      <c r="AY3683" s="82" t="str">
        <f t="shared" si="2"/>
        <v/>
      </c>
      <c r="AZ3683" s="82"/>
      <c r="BA3683" s="84" t="s">
        <v>152</v>
      </c>
      <c r="BB3683" s="84" t="str">
        <f>IFERROR(__xludf.DUMMYFUNCTION("iferror(if(A3683="""",,E3683&gt;=FILTER(Constants!$F$2:$F$10,Constants!$A$2:$A$10=A3683)))"),"")</f>
        <v/>
      </c>
    </row>
    <row r="3684">
      <c r="A3684" s="89"/>
      <c r="B3684" s="87"/>
      <c r="C3684" s="73"/>
      <c r="D3684" s="73"/>
      <c r="E3684" s="82"/>
      <c r="F3684" s="82"/>
      <c r="G3684" s="86"/>
      <c r="H3684" s="86"/>
      <c r="I3684" s="86"/>
      <c r="J3684" s="82"/>
      <c r="K3684" s="82"/>
      <c r="L3684" s="82"/>
      <c r="M3684" s="82"/>
      <c r="N3684" s="82"/>
      <c r="O3684" s="82"/>
      <c r="P3684" s="82"/>
      <c r="Q3684" s="82"/>
      <c r="R3684" s="82"/>
      <c r="S3684" s="82"/>
      <c r="T3684" s="82"/>
      <c r="U3684" s="82"/>
      <c r="V3684" s="82"/>
      <c r="W3684" s="82"/>
      <c r="X3684" s="82"/>
      <c r="Y3684" s="82"/>
      <c r="Z3684" s="82"/>
      <c r="AA3684" s="82"/>
      <c r="AB3684" s="82"/>
      <c r="AC3684" s="82"/>
      <c r="AD3684" s="82"/>
      <c r="AE3684" s="82"/>
      <c r="AF3684" s="82"/>
      <c r="AG3684" s="82"/>
      <c r="AH3684" s="82"/>
      <c r="AI3684" s="82"/>
      <c r="AJ3684" s="82"/>
      <c r="AK3684" s="82"/>
      <c r="AL3684" s="82"/>
      <c r="AM3684" s="82"/>
      <c r="AN3684" s="82"/>
      <c r="AO3684" s="82"/>
      <c r="AP3684" s="82"/>
      <c r="AQ3684" s="82"/>
      <c r="AR3684" s="82"/>
      <c r="AS3684" s="82"/>
      <c r="AT3684" s="82"/>
      <c r="AU3684" s="82"/>
      <c r="AV3684" s="82"/>
      <c r="AW3684" s="82" t="str">
        <f t="shared" si="1"/>
        <v/>
      </c>
      <c r="AX3684" s="83" t="str">
        <f t="array" ref="AX3684">IFERROR(DGET('SBV Import'!A:G,"SBV",{"RSC ID","Tier";B3684,A3684}))</f>
        <v/>
      </c>
      <c r="AY3684" s="82" t="str">
        <f t="shared" si="2"/>
        <v/>
      </c>
      <c r="AZ3684" s="82"/>
      <c r="BA3684" s="84" t="s">
        <v>152</v>
      </c>
      <c r="BB3684" s="84" t="str">
        <f>IFERROR(__xludf.DUMMYFUNCTION("iferror(if(A3684="""",,E3684&gt;=FILTER(Constants!$F$2:$F$10,Constants!$A$2:$A$10=A3684)))"),"")</f>
        <v/>
      </c>
    </row>
    <row r="3685">
      <c r="A3685" s="89"/>
      <c r="B3685" s="87"/>
      <c r="C3685" s="73"/>
      <c r="D3685" s="73"/>
      <c r="E3685" s="82"/>
      <c r="F3685" s="82"/>
      <c r="G3685" s="86"/>
      <c r="H3685" s="86"/>
      <c r="I3685" s="86"/>
      <c r="J3685" s="82"/>
      <c r="K3685" s="82"/>
      <c r="L3685" s="82"/>
      <c r="M3685" s="82"/>
      <c r="N3685" s="82"/>
      <c r="O3685" s="82"/>
      <c r="P3685" s="82"/>
      <c r="Q3685" s="82"/>
      <c r="R3685" s="82"/>
      <c r="S3685" s="82"/>
      <c r="T3685" s="82"/>
      <c r="U3685" s="82"/>
      <c r="V3685" s="82"/>
      <c r="W3685" s="82"/>
      <c r="X3685" s="82"/>
      <c r="Y3685" s="82"/>
      <c r="Z3685" s="82"/>
      <c r="AA3685" s="82"/>
      <c r="AB3685" s="82"/>
      <c r="AC3685" s="82"/>
      <c r="AD3685" s="82"/>
      <c r="AE3685" s="82"/>
      <c r="AF3685" s="82"/>
      <c r="AG3685" s="82"/>
      <c r="AH3685" s="82"/>
      <c r="AI3685" s="82"/>
      <c r="AJ3685" s="82"/>
      <c r="AK3685" s="82"/>
      <c r="AL3685" s="82"/>
      <c r="AM3685" s="82"/>
      <c r="AN3685" s="82"/>
      <c r="AO3685" s="82"/>
      <c r="AP3685" s="82"/>
      <c r="AQ3685" s="82"/>
      <c r="AR3685" s="82"/>
      <c r="AS3685" s="82"/>
      <c r="AT3685" s="82"/>
      <c r="AU3685" s="82"/>
      <c r="AV3685" s="82"/>
      <c r="AW3685" s="82" t="str">
        <f t="shared" si="1"/>
        <v/>
      </c>
      <c r="AX3685" s="83" t="str">
        <f t="array" ref="AX3685">IFERROR(DGET('SBV Import'!A:G,"SBV",{"RSC ID","Tier";B3685,A3685}))</f>
        <v/>
      </c>
      <c r="AY3685" s="82" t="str">
        <f t="shared" si="2"/>
        <v/>
      </c>
      <c r="AZ3685" s="82"/>
      <c r="BA3685" s="84" t="s">
        <v>152</v>
      </c>
      <c r="BB3685" s="84" t="str">
        <f>IFERROR(__xludf.DUMMYFUNCTION("iferror(if(A3685="""",,E3685&gt;=FILTER(Constants!$F$2:$F$10,Constants!$A$2:$A$10=A3685)))"),"")</f>
        <v/>
      </c>
    </row>
    <row r="3686">
      <c r="A3686" s="89"/>
      <c r="B3686" s="87"/>
      <c r="C3686" s="73"/>
      <c r="D3686" s="73"/>
      <c r="E3686" s="82"/>
      <c r="F3686" s="82"/>
      <c r="G3686" s="86"/>
      <c r="H3686" s="86"/>
      <c r="I3686" s="86"/>
      <c r="J3686" s="82"/>
      <c r="K3686" s="82"/>
      <c r="L3686" s="82"/>
      <c r="M3686" s="82"/>
      <c r="N3686" s="82"/>
      <c r="O3686" s="82"/>
      <c r="P3686" s="82"/>
      <c r="Q3686" s="82"/>
      <c r="R3686" s="82"/>
      <c r="S3686" s="82"/>
      <c r="T3686" s="82"/>
      <c r="U3686" s="82"/>
      <c r="V3686" s="82"/>
      <c r="W3686" s="82"/>
      <c r="X3686" s="82"/>
      <c r="Y3686" s="82"/>
      <c r="Z3686" s="82"/>
      <c r="AA3686" s="82"/>
      <c r="AB3686" s="82"/>
      <c r="AC3686" s="82"/>
      <c r="AD3686" s="82"/>
      <c r="AE3686" s="82"/>
      <c r="AF3686" s="82"/>
      <c r="AG3686" s="82"/>
      <c r="AH3686" s="82"/>
      <c r="AI3686" s="82"/>
      <c r="AJ3686" s="82"/>
      <c r="AK3686" s="82"/>
      <c r="AL3686" s="82"/>
      <c r="AM3686" s="82"/>
      <c r="AN3686" s="82"/>
      <c r="AO3686" s="82"/>
      <c r="AP3686" s="82"/>
      <c r="AQ3686" s="82"/>
      <c r="AR3686" s="82"/>
      <c r="AS3686" s="82"/>
      <c r="AT3686" s="82"/>
      <c r="AU3686" s="82"/>
      <c r="AV3686" s="82"/>
      <c r="AW3686" s="82" t="str">
        <f t="shared" si="1"/>
        <v/>
      </c>
      <c r="AX3686" s="83" t="str">
        <f t="array" ref="AX3686">IFERROR(DGET('SBV Import'!A:G,"SBV",{"RSC ID","Tier";B3686,A3686}))</f>
        <v/>
      </c>
      <c r="AY3686" s="82" t="str">
        <f t="shared" si="2"/>
        <v/>
      </c>
      <c r="AZ3686" s="82"/>
      <c r="BA3686" s="84" t="s">
        <v>152</v>
      </c>
      <c r="BB3686" s="84" t="str">
        <f>IFERROR(__xludf.DUMMYFUNCTION("iferror(if(A3686="""",,E3686&gt;=FILTER(Constants!$F$2:$F$10,Constants!$A$2:$A$10=A3686)))"),"")</f>
        <v/>
      </c>
    </row>
    <row r="3687">
      <c r="A3687" s="89"/>
      <c r="B3687" s="87"/>
      <c r="C3687" s="73"/>
      <c r="D3687" s="73"/>
      <c r="E3687" s="82"/>
      <c r="F3687" s="82"/>
      <c r="G3687" s="86"/>
      <c r="H3687" s="86"/>
      <c r="I3687" s="86"/>
      <c r="J3687" s="82"/>
      <c r="K3687" s="82"/>
      <c r="L3687" s="82"/>
      <c r="M3687" s="82"/>
      <c r="N3687" s="82"/>
      <c r="O3687" s="82"/>
      <c r="P3687" s="82"/>
      <c r="Q3687" s="82"/>
      <c r="R3687" s="82"/>
      <c r="S3687" s="82"/>
      <c r="T3687" s="82"/>
      <c r="U3687" s="82"/>
      <c r="V3687" s="82"/>
      <c r="W3687" s="82"/>
      <c r="X3687" s="82"/>
      <c r="Y3687" s="82"/>
      <c r="Z3687" s="82"/>
      <c r="AA3687" s="82"/>
      <c r="AB3687" s="82"/>
      <c r="AC3687" s="82"/>
      <c r="AD3687" s="82"/>
      <c r="AE3687" s="82"/>
      <c r="AF3687" s="82"/>
      <c r="AG3687" s="82"/>
      <c r="AH3687" s="82"/>
      <c r="AI3687" s="82"/>
      <c r="AJ3687" s="82"/>
      <c r="AK3687" s="82"/>
      <c r="AL3687" s="82"/>
      <c r="AM3687" s="82"/>
      <c r="AN3687" s="82"/>
      <c r="AO3687" s="82"/>
      <c r="AP3687" s="82"/>
      <c r="AQ3687" s="82"/>
      <c r="AR3687" s="82"/>
      <c r="AS3687" s="82"/>
      <c r="AT3687" s="82"/>
      <c r="AU3687" s="82"/>
      <c r="AV3687" s="82"/>
      <c r="AW3687" s="82" t="str">
        <f t="shared" si="1"/>
        <v/>
      </c>
      <c r="AX3687" s="83" t="str">
        <f t="array" ref="AX3687">IFERROR(DGET('SBV Import'!A:G,"SBV",{"RSC ID","Tier";B3687,A3687}))</f>
        <v/>
      </c>
      <c r="AY3687" s="82" t="str">
        <f t="shared" si="2"/>
        <v/>
      </c>
      <c r="AZ3687" s="82"/>
      <c r="BA3687" s="84" t="s">
        <v>152</v>
      </c>
      <c r="BB3687" s="84" t="str">
        <f>IFERROR(__xludf.DUMMYFUNCTION("iferror(if(A3687="""",,E3687&gt;=FILTER(Constants!$F$2:$F$10,Constants!$A$2:$A$10=A3687)))"),"")</f>
        <v/>
      </c>
    </row>
    <row r="3688">
      <c r="A3688" s="89"/>
      <c r="B3688" s="87"/>
      <c r="C3688" s="73"/>
      <c r="D3688" s="73"/>
      <c r="E3688" s="82"/>
      <c r="F3688" s="82"/>
      <c r="G3688" s="86"/>
      <c r="H3688" s="86"/>
      <c r="I3688" s="86"/>
      <c r="J3688" s="82"/>
      <c r="K3688" s="82"/>
      <c r="L3688" s="82"/>
      <c r="M3688" s="82"/>
      <c r="N3688" s="82"/>
      <c r="O3688" s="82"/>
      <c r="P3688" s="82"/>
      <c r="Q3688" s="82"/>
      <c r="R3688" s="82"/>
      <c r="S3688" s="82"/>
      <c r="T3688" s="82"/>
      <c r="U3688" s="82"/>
      <c r="V3688" s="82"/>
      <c r="W3688" s="82"/>
      <c r="X3688" s="82"/>
      <c r="Y3688" s="82"/>
      <c r="Z3688" s="82"/>
      <c r="AA3688" s="82"/>
      <c r="AB3688" s="82"/>
      <c r="AC3688" s="82"/>
      <c r="AD3688" s="82"/>
      <c r="AE3688" s="82"/>
      <c r="AF3688" s="82"/>
      <c r="AG3688" s="82"/>
      <c r="AH3688" s="82"/>
      <c r="AI3688" s="82"/>
      <c r="AJ3688" s="82"/>
      <c r="AK3688" s="82"/>
      <c r="AL3688" s="82"/>
      <c r="AM3688" s="82"/>
      <c r="AN3688" s="82"/>
      <c r="AO3688" s="82"/>
      <c r="AP3688" s="82"/>
      <c r="AQ3688" s="82"/>
      <c r="AR3688" s="82"/>
      <c r="AS3688" s="82"/>
      <c r="AT3688" s="82"/>
      <c r="AU3688" s="82"/>
      <c r="AV3688" s="82"/>
      <c r="AW3688" s="82" t="str">
        <f t="shared" si="1"/>
        <v/>
      </c>
      <c r="AX3688" s="83" t="str">
        <f t="array" ref="AX3688">IFERROR(DGET('SBV Import'!A:G,"SBV",{"RSC ID","Tier";B3688,A3688}))</f>
        <v/>
      </c>
      <c r="AY3688" s="82" t="str">
        <f t="shared" si="2"/>
        <v/>
      </c>
      <c r="AZ3688" s="82"/>
      <c r="BA3688" s="84" t="s">
        <v>152</v>
      </c>
      <c r="BB3688" s="84" t="str">
        <f>IFERROR(__xludf.DUMMYFUNCTION("iferror(if(A3688="""",,E3688&gt;=FILTER(Constants!$F$2:$F$10,Constants!$A$2:$A$10=A3688)))"),"")</f>
        <v/>
      </c>
    </row>
    <row r="3689">
      <c r="A3689" s="89"/>
      <c r="B3689" s="87"/>
      <c r="C3689" s="73"/>
      <c r="D3689" s="73"/>
      <c r="E3689" s="82"/>
      <c r="F3689" s="82"/>
      <c r="G3689" s="86"/>
      <c r="H3689" s="86"/>
      <c r="I3689" s="86"/>
      <c r="J3689" s="82"/>
      <c r="K3689" s="82"/>
      <c r="L3689" s="82"/>
      <c r="M3689" s="82"/>
      <c r="N3689" s="82"/>
      <c r="O3689" s="82"/>
      <c r="P3689" s="82"/>
      <c r="Q3689" s="82"/>
      <c r="R3689" s="82"/>
      <c r="S3689" s="82"/>
      <c r="T3689" s="82"/>
      <c r="U3689" s="82"/>
      <c r="V3689" s="82"/>
      <c r="W3689" s="82"/>
      <c r="X3689" s="82"/>
      <c r="Y3689" s="82"/>
      <c r="Z3689" s="82"/>
      <c r="AA3689" s="82"/>
      <c r="AB3689" s="82"/>
      <c r="AC3689" s="82"/>
      <c r="AD3689" s="82"/>
      <c r="AE3689" s="82"/>
      <c r="AF3689" s="82"/>
      <c r="AG3689" s="82"/>
      <c r="AH3689" s="82"/>
      <c r="AI3689" s="82"/>
      <c r="AJ3689" s="82"/>
      <c r="AK3689" s="82"/>
      <c r="AL3689" s="82"/>
      <c r="AM3689" s="82"/>
      <c r="AN3689" s="82"/>
      <c r="AO3689" s="82"/>
      <c r="AP3689" s="82"/>
      <c r="AQ3689" s="82"/>
      <c r="AR3689" s="82"/>
      <c r="AS3689" s="82"/>
      <c r="AT3689" s="82"/>
      <c r="AU3689" s="82"/>
      <c r="AV3689" s="82"/>
      <c r="AW3689" s="82" t="str">
        <f t="shared" si="1"/>
        <v/>
      </c>
      <c r="AX3689" s="83" t="str">
        <f t="array" ref="AX3689">IFERROR(DGET('SBV Import'!A:G,"SBV",{"RSC ID","Tier";B3689,A3689}))</f>
        <v/>
      </c>
      <c r="AY3689" s="82" t="str">
        <f t="shared" si="2"/>
        <v/>
      </c>
      <c r="AZ3689" s="82"/>
      <c r="BA3689" s="84" t="s">
        <v>152</v>
      </c>
      <c r="BB3689" s="84" t="str">
        <f>IFERROR(__xludf.DUMMYFUNCTION("iferror(if(A3689="""",,E3689&gt;=FILTER(Constants!$F$2:$F$10,Constants!$A$2:$A$10=A3689)))"),"")</f>
        <v/>
      </c>
    </row>
    <row r="3690">
      <c r="A3690" s="89"/>
      <c r="B3690" s="87"/>
      <c r="C3690" s="73"/>
      <c r="D3690" s="73"/>
      <c r="E3690" s="82"/>
      <c r="F3690" s="82"/>
      <c r="G3690" s="86"/>
      <c r="H3690" s="86"/>
      <c r="I3690" s="86"/>
      <c r="J3690" s="82"/>
      <c r="K3690" s="82"/>
      <c r="L3690" s="82"/>
      <c r="M3690" s="82"/>
      <c r="N3690" s="82"/>
      <c r="O3690" s="82"/>
      <c r="P3690" s="82"/>
      <c r="Q3690" s="82"/>
      <c r="R3690" s="82"/>
      <c r="S3690" s="82"/>
      <c r="T3690" s="82"/>
      <c r="U3690" s="82"/>
      <c r="V3690" s="82"/>
      <c r="W3690" s="82"/>
      <c r="X3690" s="82"/>
      <c r="Y3690" s="82"/>
      <c r="Z3690" s="82"/>
      <c r="AA3690" s="82"/>
      <c r="AB3690" s="82"/>
      <c r="AC3690" s="82"/>
      <c r="AD3690" s="82"/>
      <c r="AE3690" s="82"/>
      <c r="AF3690" s="82"/>
      <c r="AG3690" s="82"/>
      <c r="AH3690" s="82"/>
      <c r="AI3690" s="82"/>
      <c r="AJ3690" s="82"/>
      <c r="AK3690" s="82"/>
      <c r="AL3690" s="82"/>
      <c r="AM3690" s="82"/>
      <c r="AN3690" s="82"/>
      <c r="AO3690" s="82"/>
      <c r="AP3690" s="82"/>
      <c r="AQ3690" s="82"/>
      <c r="AR3690" s="82"/>
      <c r="AS3690" s="82"/>
      <c r="AT3690" s="82"/>
      <c r="AU3690" s="82"/>
      <c r="AV3690" s="82"/>
      <c r="AW3690" s="82" t="str">
        <f t="shared" si="1"/>
        <v/>
      </c>
      <c r="AX3690" s="83" t="str">
        <f t="array" ref="AX3690">IFERROR(DGET('SBV Import'!A:G,"SBV",{"RSC ID","Tier";B3690,A3690}))</f>
        <v/>
      </c>
      <c r="AY3690" s="82" t="str">
        <f t="shared" si="2"/>
        <v/>
      </c>
      <c r="AZ3690" s="82"/>
      <c r="BA3690" s="84" t="s">
        <v>152</v>
      </c>
      <c r="BB3690" s="84" t="str">
        <f>IFERROR(__xludf.DUMMYFUNCTION("iferror(if(A3690="""",,E3690&gt;=FILTER(Constants!$F$2:$F$10,Constants!$A$2:$A$10=A3690)))"),"")</f>
        <v/>
      </c>
    </row>
    <row r="3691">
      <c r="A3691" s="89"/>
      <c r="B3691" s="87"/>
      <c r="C3691" s="73"/>
      <c r="D3691" s="73"/>
      <c r="E3691" s="82"/>
      <c r="F3691" s="82"/>
      <c r="G3691" s="86"/>
      <c r="H3691" s="86"/>
      <c r="I3691" s="86"/>
      <c r="J3691" s="82"/>
      <c r="K3691" s="82"/>
      <c r="L3691" s="82"/>
      <c r="M3691" s="82"/>
      <c r="N3691" s="82"/>
      <c r="O3691" s="82"/>
      <c r="P3691" s="82"/>
      <c r="Q3691" s="82"/>
      <c r="R3691" s="82"/>
      <c r="S3691" s="82"/>
      <c r="T3691" s="82"/>
      <c r="U3691" s="82"/>
      <c r="V3691" s="82"/>
      <c r="W3691" s="82"/>
      <c r="X3691" s="82"/>
      <c r="Y3691" s="82"/>
      <c r="Z3691" s="82"/>
      <c r="AA3691" s="82"/>
      <c r="AB3691" s="82"/>
      <c r="AC3691" s="82"/>
      <c r="AD3691" s="82"/>
      <c r="AE3691" s="82"/>
      <c r="AF3691" s="82"/>
      <c r="AG3691" s="82"/>
      <c r="AH3691" s="82"/>
      <c r="AI3691" s="82"/>
      <c r="AJ3691" s="82"/>
      <c r="AK3691" s="82"/>
      <c r="AL3691" s="82"/>
      <c r="AM3691" s="82"/>
      <c r="AN3691" s="82"/>
      <c r="AO3691" s="82"/>
      <c r="AP3691" s="82"/>
      <c r="AQ3691" s="82"/>
      <c r="AR3691" s="82"/>
      <c r="AS3691" s="82"/>
      <c r="AT3691" s="82"/>
      <c r="AU3691" s="82"/>
      <c r="AV3691" s="82"/>
      <c r="AW3691" s="82" t="str">
        <f t="shared" si="1"/>
        <v/>
      </c>
      <c r="AX3691" s="83" t="str">
        <f t="array" ref="AX3691">IFERROR(DGET('SBV Import'!A:G,"SBV",{"RSC ID","Tier";B3691,A3691}))</f>
        <v/>
      </c>
      <c r="AY3691" s="82" t="str">
        <f t="shared" si="2"/>
        <v/>
      </c>
      <c r="AZ3691" s="82"/>
      <c r="BA3691" s="84" t="s">
        <v>152</v>
      </c>
      <c r="BB3691" s="84" t="str">
        <f>IFERROR(__xludf.DUMMYFUNCTION("iferror(if(A3691="""",,E3691&gt;=FILTER(Constants!$F$2:$F$10,Constants!$A$2:$A$10=A3691)))"),"")</f>
        <v/>
      </c>
    </row>
    <row r="3692">
      <c r="A3692" s="89"/>
      <c r="B3692" s="87"/>
      <c r="C3692" s="73"/>
      <c r="D3692" s="73"/>
      <c r="E3692" s="82"/>
      <c r="F3692" s="82"/>
      <c r="G3692" s="86"/>
      <c r="H3692" s="86"/>
      <c r="I3692" s="86"/>
      <c r="J3692" s="82"/>
      <c r="K3692" s="82"/>
      <c r="L3692" s="82"/>
      <c r="M3692" s="82"/>
      <c r="N3692" s="82"/>
      <c r="O3692" s="82"/>
      <c r="P3692" s="82"/>
      <c r="Q3692" s="82"/>
      <c r="R3692" s="82"/>
      <c r="S3692" s="82"/>
      <c r="T3692" s="82"/>
      <c r="U3692" s="82"/>
      <c r="V3692" s="82"/>
      <c r="W3692" s="82"/>
      <c r="X3692" s="82"/>
      <c r="Y3692" s="82"/>
      <c r="Z3692" s="82"/>
      <c r="AA3692" s="82"/>
      <c r="AB3692" s="82"/>
      <c r="AC3692" s="82"/>
      <c r="AD3692" s="82"/>
      <c r="AE3692" s="82"/>
      <c r="AF3692" s="82"/>
      <c r="AG3692" s="82"/>
      <c r="AH3692" s="82"/>
      <c r="AI3692" s="82"/>
      <c r="AJ3692" s="82"/>
      <c r="AK3692" s="82"/>
      <c r="AL3692" s="82"/>
      <c r="AM3692" s="82"/>
      <c r="AN3692" s="82"/>
      <c r="AO3692" s="82"/>
      <c r="AP3692" s="82"/>
      <c r="AQ3692" s="82"/>
      <c r="AR3692" s="82"/>
      <c r="AS3692" s="82"/>
      <c r="AT3692" s="82"/>
      <c r="AU3692" s="82"/>
      <c r="AV3692" s="82"/>
      <c r="AW3692" s="82" t="str">
        <f t="shared" si="1"/>
        <v/>
      </c>
      <c r="AX3692" s="83" t="str">
        <f t="array" ref="AX3692">IFERROR(DGET('SBV Import'!A:G,"SBV",{"RSC ID","Tier";B3692,A3692}))</f>
        <v/>
      </c>
      <c r="AY3692" s="82" t="str">
        <f t="shared" si="2"/>
        <v/>
      </c>
      <c r="AZ3692" s="82"/>
      <c r="BA3692" s="84" t="s">
        <v>152</v>
      </c>
      <c r="BB3692" s="84" t="str">
        <f>IFERROR(__xludf.DUMMYFUNCTION("iferror(if(A3692="""",,E3692&gt;=FILTER(Constants!$F$2:$F$10,Constants!$A$2:$A$10=A3692)))"),"")</f>
        <v/>
      </c>
    </row>
    <row r="3693">
      <c r="A3693" s="89"/>
      <c r="B3693" s="87"/>
      <c r="C3693" s="73"/>
      <c r="D3693" s="73"/>
      <c r="E3693" s="82"/>
      <c r="F3693" s="82"/>
      <c r="G3693" s="86"/>
      <c r="H3693" s="86"/>
      <c r="I3693" s="86"/>
      <c r="J3693" s="82"/>
      <c r="K3693" s="82"/>
      <c r="L3693" s="82"/>
      <c r="M3693" s="82"/>
      <c r="N3693" s="82"/>
      <c r="O3693" s="82"/>
      <c r="P3693" s="82"/>
      <c r="Q3693" s="82"/>
      <c r="R3693" s="82"/>
      <c r="S3693" s="82"/>
      <c r="T3693" s="82"/>
      <c r="U3693" s="82"/>
      <c r="V3693" s="82"/>
      <c r="W3693" s="82"/>
      <c r="X3693" s="82"/>
      <c r="Y3693" s="82"/>
      <c r="Z3693" s="82"/>
      <c r="AA3693" s="82"/>
      <c r="AB3693" s="82"/>
      <c r="AC3693" s="82"/>
      <c r="AD3693" s="82"/>
      <c r="AE3693" s="82"/>
      <c r="AF3693" s="82"/>
      <c r="AG3693" s="82"/>
      <c r="AH3693" s="82"/>
      <c r="AI3693" s="82"/>
      <c r="AJ3693" s="82"/>
      <c r="AK3693" s="82"/>
      <c r="AL3693" s="82"/>
      <c r="AM3693" s="82"/>
      <c r="AN3693" s="82"/>
      <c r="AO3693" s="82"/>
      <c r="AP3693" s="82"/>
      <c r="AQ3693" s="82"/>
      <c r="AR3693" s="82"/>
      <c r="AS3693" s="82"/>
      <c r="AT3693" s="82"/>
      <c r="AU3693" s="82"/>
      <c r="AV3693" s="82"/>
      <c r="AW3693" s="82" t="str">
        <f t="shared" si="1"/>
        <v/>
      </c>
      <c r="AX3693" s="83" t="str">
        <f t="array" ref="AX3693">IFERROR(DGET('SBV Import'!A:G,"SBV",{"RSC ID","Tier";B3693,A3693}))</f>
        <v/>
      </c>
      <c r="AY3693" s="82" t="str">
        <f t="shared" si="2"/>
        <v/>
      </c>
      <c r="AZ3693" s="82"/>
      <c r="BA3693" s="84" t="s">
        <v>152</v>
      </c>
      <c r="BB3693" s="84" t="str">
        <f>IFERROR(__xludf.DUMMYFUNCTION("iferror(if(A3693="""",,E3693&gt;=FILTER(Constants!$F$2:$F$10,Constants!$A$2:$A$10=A3693)))"),"")</f>
        <v/>
      </c>
    </row>
    <row r="3694">
      <c r="A3694" s="89"/>
      <c r="B3694" s="87"/>
      <c r="C3694" s="73"/>
      <c r="D3694" s="73"/>
      <c r="E3694" s="82"/>
      <c r="F3694" s="82"/>
      <c r="G3694" s="86"/>
      <c r="H3694" s="86"/>
      <c r="I3694" s="86"/>
      <c r="J3694" s="82"/>
      <c r="K3694" s="82"/>
      <c r="L3694" s="82"/>
      <c r="M3694" s="82"/>
      <c r="N3694" s="82"/>
      <c r="O3694" s="82"/>
      <c r="P3694" s="82"/>
      <c r="Q3694" s="82"/>
      <c r="R3694" s="82"/>
      <c r="S3694" s="82"/>
      <c r="T3694" s="82"/>
      <c r="U3694" s="82"/>
      <c r="V3694" s="82"/>
      <c r="W3694" s="82"/>
      <c r="X3694" s="82"/>
      <c r="Y3694" s="82"/>
      <c r="Z3694" s="82"/>
      <c r="AA3694" s="82"/>
      <c r="AB3694" s="82"/>
      <c r="AC3694" s="82"/>
      <c r="AD3694" s="82"/>
      <c r="AE3694" s="82"/>
      <c r="AF3694" s="82"/>
      <c r="AG3694" s="82"/>
      <c r="AH3694" s="82"/>
      <c r="AI3694" s="82"/>
      <c r="AJ3694" s="82"/>
      <c r="AK3694" s="82"/>
      <c r="AL3694" s="82"/>
      <c r="AM3694" s="82"/>
      <c r="AN3694" s="82"/>
      <c r="AO3694" s="82"/>
      <c r="AP3694" s="82"/>
      <c r="AQ3694" s="82"/>
      <c r="AR3694" s="82"/>
      <c r="AS3694" s="82"/>
      <c r="AT3694" s="82"/>
      <c r="AU3694" s="82"/>
      <c r="AV3694" s="82"/>
      <c r="AW3694" s="82" t="str">
        <f t="shared" si="1"/>
        <v/>
      </c>
      <c r="AX3694" s="83" t="str">
        <f t="array" ref="AX3694">IFERROR(DGET('SBV Import'!A:G,"SBV",{"RSC ID","Tier";B3694,A3694}))</f>
        <v/>
      </c>
      <c r="AY3694" s="82" t="str">
        <f t="shared" si="2"/>
        <v/>
      </c>
      <c r="AZ3694" s="82"/>
      <c r="BA3694" s="84" t="s">
        <v>152</v>
      </c>
      <c r="BB3694" s="84" t="str">
        <f>IFERROR(__xludf.DUMMYFUNCTION("iferror(if(A3694="""",,E3694&gt;=FILTER(Constants!$F$2:$F$10,Constants!$A$2:$A$10=A3694)))"),"")</f>
        <v/>
      </c>
    </row>
    <row r="3695">
      <c r="A3695" s="89"/>
      <c r="B3695" s="87"/>
      <c r="C3695" s="73"/>
      <c r="D3695" s="73"/>
      <c r="E3695" s="82"/>
      <c r="F3695" s="82"/>
      <c r="G3695" s="86"/>
      <c r="H3695" s="86"/>
      <c r="I3695" s="86"/>
      <c r="J3695" s="82"/>
      <c r="K3695" s="82"/>
      <c r="L3695" s="82"/>
      <c r="M3695" s="82"/>
      <c r="N3695" s="82"/>
      <c r="O3695" s="82"/>
      <c r="P3695" s="82"/>
      <c r="Q3695" s="82"/>
      <c r="R3695" s="82"/>
      <c r="S3695" s="82"/>
      <c r="T3695" s="82"/>
      <c r="U3695" s="82"/>
      <c r="V3695" s="82"/>
      <c r="W3695" s="82"/>
      <c r="X3695" s="82"/>
      <c r="Y3695" s="82"/>
      <c r="Z3695" s="82"/>
      <c r="AA3695" s="82"/>
      <c r="AB3695" s="82"/>
      <c r="AC3695" s="82"/>
      <c r="AD3695" s="82"/>
      <c r="AE3695" s="82"/>
      <c r="AF3695" s="82"/>
      <c r="AG3695" s="82"/>
      <c r="AH3695" s="82"/>
      <c r="AI3695" s="82"/>
      <c r="AJ3695" s="82"/>
      <c r="AK3695" s="82"/>
      <c r="AL3695" s="82"/>
      <c r="AM3695" s="82"/>
      <c r="AN3695" s="82"/>
      <c r="AO3695" s="82"/>
      <c r="AP3695" s="82"/>
      <c r="AQ3695" s="82"/>
      <c r="AR3695" s="82"/>
      <c r="AS3695" s="82"/>
      <c r="AT3695" s="82"/>
      <c r="AU3695" s="82"/>
      <c r="AV3695" s="82"/>
      <c r="AW3695" s="82" t="str">
        <f t="shared" si="1"/>
        <v/>
      </c>
      <c r="AX3695" s="83" t="str">
        <f t="array" ref="AX3695">IFERROR(DGET('SBV Import'!A:G,"SBV",{"RSC ID","Tier";B3695,A3695}))</f>
        <v/>
      </c>
      <c r="AY3695" s="82" t="str">
        <f t="shared" si="2"/>
        <v/>
      </c>
      <c r="AZ3695" s="82"/>
      <c r="BA3695" s="84" t="s">
        <v>152</v>
      </c>
      <c r="BB3695" s="84" t="str">
        <f>IFERROR(__xludf.DUMMYFUNCTION("iferror(if(A3695="""",,E3695&gt;=FILTER(Constants!$F$2:$F$10,Constants!$A$2:$A$10=A3695)))"),"")</f>
        <v/>
      </c>
    </row>
    <row r="3696">
      <c r="A3696" s="89"/>
      <c r="B3696" s="87"/>
      <c r="C3696" s="73"/>
      <c r="D3696" s="73"/>
      <c r="E3696" s="82"/>
      <c r="F3696" s="82"/>
      <c r="G3696" s="86"/>
      <c r="H3696" s="86"/>
      <c r="I3696" s="86"/>
      <c r="J3696" s="82"/>
      <c r="K3696" s="82"/>
      <c r="L3696" s="82"/>
      <c r="M3696" s="82"/>
      <c r="N3696" s="82"/>
      <c r="O3696" s="82"/>
      <c r="P3696" s="82"/>
      <c r="Q3696" s="82"/>
      <c r="R3696" s="82"/>
      <c r="S3696" s="82"/>
      <c r="T3696" s="82"/>
      <c r="U3696" s="82"/>
      <c r="V3696" s="82"/>
      <c r="W3696" s="82"/>
      <c r="X3696" s="82"/>
      <c r="Y3696" s="82"/>
      <c r="Z3696" s="82"/>
      <c r="AA3696" s="82"/>
      <c r="AB3696" s="82"/>
      <c r="AC3696" s="82"/>
      <c r="AD3696" s="82"/>
      <c r="AE3696" s="82"/>
      <c r="AF3696" s="82"/>
      <c r="AG3696" s="82"/>
      <c r="AH3696" s="82"/>
      <c r="AI3696" s="82"/>
      <c r="AJ3696" s="82"/>
      <c r="AK3696" s="82"/>
      <c r="AL3696" s="82"/>
      <c r="AM3696" s="82"/>
      <c r="AN3696" s="82"/>
      <c r="AO3696" s="82"/>
      <c r="AP3696" s="82"/>
      <c r="AQ3696" s="82"/>
      <c r="AR3696" s="82"/>
      <c r="AS3696" s="82"/>
      <c r="AT3696" s="82"/>
      <c r="AU3696" s="82"/>
      <c r="AV3696" s="82"/>
      <c r="AW3696" s="82" t="str">
        <f t="shared" si="1"/>
        <v/>
      </c>
      <c r="AX3696" s="83" t="str">
        <f t="array" ref="AX3696">IFERROR(DGET('SBV Import'!A:G,"SBV",{"RSC ID","Tier";B3696,A3696}))</f>
        <v/>
      </c>
      <c r="AY3696" s="82" t="str">
        <f t="shared" si="2"/>
        <v/>
      </c>
      <c r="AZ3696" s="82"/>
      <c r="BA3696" s="84" t="s">
        <v>152</v>
      </c>
      <c r="BB3696" s="84" t="str">
        <f>IFERROR(__xludf.DUMMYFUNCTION("iferror(if(A3696="""",,E3696&gt;=FILTER(Constants!$F$2:$F$10,Constants!$A$2:$A$10=A3696)))"),"")</f>
        <v/>
      </c>
    </row>
    <row r="3697">
      <c r="A3697" s="89"/>
      <c r="B3697" s="87"/>
      <c r="C3697" s="73"/>
      <c r="D3697" s="73"/>
      <c r="E3697" s="82"/>
      <c r="F3697" s="82"/>
      <c r="G3697" s="86"/>
      <c r="H3697" s="86"/>
      <c r="I3697" s="86"/>
      <c r="J3697" s="82"/>
      <c r="K3697" s="82"/>
      <c r="L3697" s="82"/>
      <c r="M3697" s="82"/>
      <c r="N3697" s="82"/>
      <c r="O3697" s="82"/>
      <c r="P3697" s="82"/>
      <c r="Q3697" s="82"/>
      <c r="R3697" s="82"/>
      <c r="S3697" s="82"/>
      <c r="T3697" s="82"/>
      <c r="U3697" s="82"/>
      <c r="V3697" s="82"/>
      <c r="W3697" s="82"/>
      <c r="X3697" s="82"/>
      <c r="Y3697" s="82"/>
      <c r="Z3697" s="82"/>
      <c r="AA3697" s="82"/>
      <c r="AB3697" s="82"/>
      <c r="AC3697" s="82"/>
      <c r="AD3697" s="82"/>
      <c r="AE3697" s="82"/>
      <c r="AF3697" s="82"/>
      <c r="AG3697" s="82"/>
      <c r="AH3697" s="82"/>
      <c r="AI3697" s="82"/>
      <c r="AJ3697" s="82"/>
      <c r="AK3697" s="82"/>
      <c r="AL3697" s="82"/>
      <c r="AM3697" s="82"/>
      <c r="AN3697" s="82"/>
      <c r="AO3697" s="82"/>
      <c r="AP3697" s="82"/>
      <c r="AQ3697" s="82"/>
      <c r="AR3697" s="82"/>
      <c r="AS3697" s="82"/>
      <c r="AT3697" s="82"/>
      <c r="AU3697" s="82"/>
      <c r="AV3697" s="82"/>
      <c r="AW3697" s="82" t="str">
        <f t="shared" si="1"/>
        <v/>
      </c>
      <c r="AX3697" s="83" t="str">
        <f t="array" ref="AX3697">IFERROR(DGET('SBV Import'!A:G,"SBV",{"RSC ID","Tier";B3697,A3697}))</f>
        <v/>
      </c>
      <c r="AY3697" s="82" t="str">
        <f t="shared" si="2"/>
        <v/>
      </c>
      <c r="AZ3697" s="82"/>
      <c r="BA3697" s="84" t="s">
        <v>152</v>
      </c>
      <c r="BB3697" s="84" t="str">
        <f>IFERROR(__xludf.DUMMYFUNCTION("iferror(if(A3697="""",,E3697&gt;=FILTER(Constants!$F$2:$F$10,Constants!$A$2:$A$10=A3697)))"),"")</f>
        <v/>
      </c>
    </row>
    <row r="3698">
      <c r="A3698" s="89"/>
      <c r="B3698" s="87"/>
      <c r="C3698" s="73"/>
      <c r="D3698" s="73"/>
      <c r="E3698" s="82"/>
      <c r="F3698" s="82"/>
      <c r="G3698" s="86"/>
      <c r="H3698" s="86"/>
      <c r="I3698" s="86"/>
      <c r="J3698" s="82"/>
      <c r="K3698" s="82"/>
      <c r="L3698" s="82"/>
      <c r="M3698" s="82"/>
      <c r="N3698" s="82"/>
      <c r="O3698" s="82"/>
      <c r="P3698" s="82"/>
      <c r="Q3698" s="82"/>
      <c r="R3698" s="82"/>
      <c r="S3698" s="82"/>
      <c r="T3698" s="82"/>
      <c r="U3698" s="82"/>
      <c r="V3698" s="82"/>
      <c r="W3698" s="82"/>
      <c r="X3698" s="82"/>
      <c r="Y3698" s="82"/>
      <c r="Z3698" s="82"/>
      <c r="AA3698" s="82"/>
      <c r="AB3698" s="82"/>
      <c r="AC3698" s="82"/>
      <c r="AD3698" s="82"/>
      <c r="AE3698" s="82"/>
      <c r="AF3698" s="82"/>
      <c r="AG3698" s="82"/>
      <c r="AH3698" s="82"/>
      <c r="AI3698" s="82"/>
      <c r="AJ3698" s="82"/>
      <c r="AK3698" s="82"/>
      <c r="AL3698" s="82"/>
      <c r="AM3698" s="82"/>
      <c r="AN3698" s="82"/>
      <c r="AO3698" s="82"/>
      <c r="AP3698" s="82"/>
      <c r="AQ3698" s="82"/>
      <c r="AR3698" s="82"/>
      <c r="AS3698" s="82"/>
      <c r="AT3698" s="82"/>
      <c r="AU3698" s="82"/>
      <c r="AV3698" s="82"/>
      <c r="AW3698" s="82" t="str">
        <f t="shared" si="1"/>
        <v/>
      </c>
      <c r="AX3698" s="83" t="str">
        <f t="array" ref="AX3698">IFERROR(DGET('SBV Import'!A:G,"SBV",{"RSC ID","Tier";B3698,A3698}))</f>
        <v/>
      </c>
      <c r="AY3698" s="82" t="str">
        <f t="shared" si="2"/>
        <v/>
      </c>
      <c r="AZ3698" s="82"/>
      <c r="BA3698" s="84" t="s">
        <v>152</v>
      </c>
      <c r="BB3698" s="84" t="str">
        <f>IFERROR(__xludf.DUMMYFUNCTION("iferror(if(A3698="""",,E3698&gt;=FILTER(Constants!$F$2:$F$10,Constants!$A$2:$A$10=A3698)))"),"")</f>
        <v/>
      </c>
    </row>
    <row r="3699">
      <c r="A3699" s="89"/>
      <c r="B3699" s="87"/>
      <c r="C3699" s="73"/>
      <c r="D3699" s="73"/>
      <c r="E3699" s="82"/>
      <c r="F3699" s="82"/>
      <c r="G3699" s="86"/>
      <c r="H3699" s="86"/>
      <c r="I3699" s="86"/>
      <c r="J3699" s="82"/>
      <c r="K3699" s="82"/>
      <c r="L3699" s="82"/>
      <c r="M3699" s="82"/>
      <c r="N3699" s="82"/>
      <c r="O3699" s="82"/>
      <c r="P3699" s="82"/>
      <c r="Q3699" s="82"/>
      <c r="R3699" s="82"/>
      <c r="S3699" s="82"/>
      <c r="T3699" s="82"/>
      <c r="U3699" s="82"/>
      <c r="V3699" s="82"/>
      <c r="W3699" s="82"/>
      <c r="X3699" s="82"/>
      <c r="Y3699" s="82"/>
      <c r="Z3699" s="82"/>
      <c r="AA3699" s="82"/>
      <c r="AB3699" s="82"/>
      <c r="AC3699" s="82"/>
      <c r="AD3699" s="82"/>
      <c r="AE3699" s="82"/>
      <c r="AF3699" s="82"/>
      <c r="AG3699" s="82"/>
      <c r="AH3699" s="82"/>
      <c r="AI3699" s="82"/>
      <c r="AJ3699" s="82"/>
      <c r="AK3699" s="82"/>
      <c r="AL3699" s="82"/>
      <c r="AM3699" s="82"/>
      <c r="AN3699" s="82"/>
      <c r="AO3699" s="82"/>
      <c r="AP3699" s="82"/>
      <c r="AQ3699" s="82"/>
      <c r="AR3699" s="82"/>
      <c r="AS3699" s="82"/>
      <c r="AT3699" s="82"/>
      <c r="AU3699" s="82"/>
      <c r="AV3699" s="82"/>
      <c r="AW3699" s="82" t="str">
        <f t="shared" si="1"/>
        <v/>
      </c>
      <c r="AX3699" s="83" t="str">
        <f t="array" ref="AX3699">IFERROR(DGET('SBV Import'!A:G,"SBV",{"RSC ID","Tier";B3699,A3699}))</f>
        <v/>
      </c>
      <c r="AY3699" s="82" t="str">
        <f t="shared" si="2"/>
        <v/>
      </c>
      <c r="AZ3699" s="82"/>
      <c r="BA3699" s="84" t="s">
        <v>152</v>
      </c>
      <c r="BB3699" s="84" t="str">
        <f>IFERROR(__xludf.DUMMYFUNCTION("iferror(if(A3699="""",,E3699&gt;=FILTER(Constants!$F$2:$F$10,Constants!$A$2:$A$10=A3699)))"),"")</f>
        <v/>
      </c>
    </row>
    <row r="3700">
      <c r="A3700" s="89"/>
      <c r="B3700" s="87"/>
      <c r="C3700" s="73"/>
      <c r="D3700" s="73"/>
      <c r="E3700" s="82"/>
      <c r="F3700" s="82"/>
      <c r="G3700" s="86"/>
      <c r="H3700" s="86"/>
      <c r="I3700" s="86"/>
      <c r="J3700" s="82"/>
      <c r="K3700" s="82"/>
      <c r="L3700" s="82"/>
      <c r="M3700" s="82"/>
      <c r="N3700" s="82"/>
      <c r="O3700" s="82"/>
      <c r="P3700" s="82"/>
      <c r="Q3700" s="82"/>
      <c r="R3700" s="82"/>
      <c r="S3700" s="82"/>
      <c r="T3700" s="82"/>
      <c r="U3700" s="82"/>
      <c r="V3700" s="82"/>
      <c r="W3700" s="82"/>
      <c r="X3700" s="82"/>
      <c r="Y3700" s="82"/>
      <c r="Z3700" s="82"/>
      <c r="AA3700" s="82"/>
      <c r="AB3700" s="82"/>
      <c r="AC3700" s="82"/>
      <c r="AD3700" s="82"/>
      <c r="AE3700" s="82"/>
      <c r="AF3700" s="82"/>
      <c r="AG3700" s="82"/>
      <c r="AH3700" s="82"/>
      <c r="AI3700" s="82"/>
      <c r="AJ3700" s="82"/>
      <c r="AK3700" s="82"/>
      <c r="AL3700" s="82"/>
      <c r="AM3700" s="82"/>
      <c r="AN3700" s="82"/>
      <c r="AO3700" s="82"/>
      <c r="AP3700" s="82"/>
      <c r="AQ3700" s="82"/>
      <c r="AR3700" s="82"/>
      <c r="AS3700" s="82"/>
      <c r="AT3700" s="82"/>
      <c r="AU3700" s="82"/>
      <c r="AV3700" s="82"/>
      <c r="AW3700" s="82" t="str">
        <f t="shared" si="1"/>
        <v/>
      </c>
      <c r="AX3700" s="83" t="str">
        <f t="array" ref="AX3700">IFERROR(DGET('SBV Import'!A:G,"SBV",{"RSC ID","Tier";B3700,A3700}))</f>
        <v/>
      </c>
      <c r="AY3700" s="82" t="str">
        <f t="shared" si="2"/>
        <v/>
      </c>
      <c r="AZ3700" s="82"/>
      <c r="BA3700" s="84" t="s">
        <v>152</v>
      </c>
      <c r="BB3700" s="84" t="str">
        <f>IFERROR(__xludf.DUMMYFUNCTION("iferror(if(A3700="""",,E3700&gt;=FILTER(Constants!$F$2:$F$10,Constants!$A$2:$A$10=A3700)))"),"")</f>
        <v/>
      </c>
    </row>
    <row r="3701">
      <c r="A3701" s="89"/>
      <c r="B3701" s="87"/>
      <c r="C3701" s="73"/>
      <c r="D3701" s="73"/>
      <c r="E3701" s="82"/>
      <c r="F3701" s="82"/>
      <c r="G3701" s="86"/>
      <c r="H3701" s="86"/>
      <c r="I3701" s="86"/>
      <c r="J3701" s="82"/>
      <c r="K3701" s="82"/>
      <c r="L3701" s="82"/>
      <c r="M3701" s="82"/>
      <c r="N3701" s="82"/>
      <c r="O3701" s="82"/>
      <c r="P3701" s="82"/>
      <c r="Q3701" s="82"/>
      <c r="R3701" s="82"/>
      <c r="S3701" s="82"/>
      <c r="T3701" s="82"/>
      <c r="U3701" s="82"/>
      <c r="V3701" s="82"/>
      <c r="W3701" s="82"/>
      <c r="X3701" s="82"/>
      <c r="Y3701" s="82"/>
      <c r="Z3701" s="82"/>
      <c r="AA3701" s="82"/>
      <c r="AB3701" s="82"/>
      <c r="AC3701" s="82"/>
      <c r="AD3701" s="82"/>
      <c r="AE3701" s="82"/>
      <c r="AF3701" s="82"/>
      <c r="AG3701" s="82"/>
      <c r="AH3701" s="82"/>
      <c r="AI3701" s="82"/>
      <c r="AJ3701" s="82"/>
      <c r="AK3701" s="82"/>
      <c r="AL3701" s="82"/>
      <c r="AM3701" s="82"/>
      <c r="AN3701" s="82"/>
      <c r="AO3701" s="82"/>
      <c r="AP3701" s="82"/>
      <c r="AQ3701" s="82"/>
      <c r="AR3701" s="82"/>
      <c r="AS3701" s="82"/>
      <c r="AT3701" s="82"/>
      <c r="AU3701" s="82"/>
      <c r="AV3701" s="82"/>
      <c r="AW3701" s="82" t="str">
        <f t="shared" si="1"/>
        <v/>
      </c>
      <c r="AX3701" s="83" t="str">
        <f t="array" ref="AX3701">IFERROR(DGET('SBV Import'!A:G,"SBV",{"RSC ID","Tier";B3701,A3701}))</f>
        <v/>
      </c>
      <c r="AY3701" s="82" t="str">
        <f t="shared" si="2"/>
        <v/>
      </c>
      <c r="AZ3701" s="82"/>
      <c r="BA3701" s="84" t="s">
        <v>152</v>
      </c>
      <c r="BB3701" s="84" t="str">
        <f>IFERROR(__xludf.DUMMYFUNCTION("iferror(if(A3701="""",,E3701&gt;=FILTER(Constants!$F$2:$F$10,Constants!$A$2:$A$10=A3701)))"),"")</f>
        <v/>
      </c>
    </row>
    <row r="3702">
      <c r="A3702" s="89"/>
      <c r="B3702" s="87"/>
      <c r="C3702" s="73"/>
      <c r="D3702" s="73"/>
      <c r="E3702" s="82"/>
      <c r="F3702" s="82"/>
      <c r="G3702" s="86"/>
      <c r="H3702" s="86"/>
      <c r="I3702" s="86"/>
      <c r="J3702" s="82"/>
      <c r="K3702" s="82"/>
      <c r="L3702" s="82"/>
      <c r="M3702" s="82"/>
      <c r="N3702" s="82"/>
      <c r="O3702" s="82"/>
      <c r="P3702" s="82"/>
      <c r="Q3702" s="82"/>
      <c r="R3702" s="82"/>
      <c r="S3702" s="82"/>
      <c r="T3702" s="82"/>
      <c r="U3702" s="82"/>
      <c r="V3702" s="82"/>
      <c r="W3702" s="82"/>
      <c r="X3702" s="82"/>
      <c r="Y3702" s="82"/>
      <c r="Z3702" s="82"/>
      <c r="AA3702" s="82"/>
      <c r="AB3702" s="82"/>
      <c r="AC3702" s="82"/>
      <c r="AD3702" s="82"/>
      <c r="AE3702" s="82"/>
      <c r="AF3702" s="82"/>
      <c r="AG3702" s="82"/>
      <c r="AH3702" s="82"/>
      <c r="AI3702" s="82"/>
      <c r="AJ3702" s="82"/>
      <c r="AK3702" s="82"/>
      <c r="AL3702" s="82"/>
      <c r="AM3702" s="82"/>
      <c r="AN3702" s="82"/>
      <c r="AO3702" s="82"/>
      <c r="AP3702" s="82"/>
      <c r="AQ3702" s="82"/>
      <c r="AR3702" s="82"/>
      <c r="AS3702" s="82"/>
      <c r="AT3702" s="82"/>
      <c r="AU3702" s="82"/>
      <c r="AV3702" s="82"/>
      <c r="AW3702" s="82" t="str">
        <f t="shared" si="1"/>
        <v/>
      </c>
      <c r="AX3702" s="83" t="str">
        <f t="array" ref="AX3702">IFERROR(DGET('SBV Import'!A:G,"SBV",{"RSC ID","Tier";B3702,A3702}))</f>
        <v/>
      </c>
      <c r="AY3702" s="82" t="str">
        <f t="shared" si="2"/>
        <v/>
      </c>
      <c r="AZ3702" s="82"/>
      <c r="BA3702" s="84" t="s">
        <v>152</v>
      </c>
      <c r="BB3702" s="84" t="str">
        <f>IFERROR(__xludf.DUMMYFUNCTION("iferror(if(A3702="""",,E3702&gt;=FILTER(Constants!$F$2:$F$10,Constants!$A$2:$A$10=A3702)))"),"")</f>
        <v/>
      </c>
    </row>
    <row r="3703">
      <c r="A3703" s="89"/>
      <c r="B3703" s="87"/>
      <c r="C3703" s="73"/>
      <c r="D3703" s="73"/>
      <c r="E3703" s="82"/>
      <c r="F3703" s="82"/>
      <c r="G3703" s="86"/>
      <c r="H3703" s="86"/>
      <c r="I3703" s="86"/>
      <c r="J3703" s="82"/>
      <c r="K3703" s="82"/>
      <c r="L3703" s="82"/>
      <c r="M3703" s="82"/>
      <c r="N3703" s="82"/>
      <c r="O3703" s="82"/>
      <c r="P3703" s="82"/>
      <c r="Q3703" s="82"/>
      <c r="R3703" s="82"/>
      <c r="S3703" s="82"/>
      <c r="T3703" s="82"/>
      <c r="U3703" s="82"/>
      <c r="V3703" s="82"/>
      <c r="W3703" s="82"/>
      <c r="X3703" s="82"/>
      <c r="Y3703" s="82"/>
      <c r="Z3703" s="82"/>
      <c r="AA3703" s="82"/>
      <c r="AB3703" s="82"/>
      <c r="AC3703" s="82"/>
      <c r="AD3703" s="82"/>
      <c r="AE3703" s="82"/>
      <c r="AF3703" s="82"/>
      <c r="AG3703" s="82"/>
      <c r="AH3703" s="82"/>
      <c r="AI3703" s="82"/>
      <c r="AJ3703" s="82"/>
      <c r="AK3703" s="82"/>
      <c r="AL3703" s="82"/>
      <c r="AM3703" s="82"/>
      <c r="AN3703" s="82"/>
      <c r="AO3703" s="82"/>
      <c r="AP3703" s="82"/>
      <c r="AQ3703" s="82"/>
      <c r="AR3703" s="82"/>
      <c r="AS3703" s="82"/>
      <c r="AT3703" s="82"/>
      <c r="AU3703" s="82"/>
      <c r="AV3703" s="82"/>
      <c r="AW3703" s="82" t="str">
        <f t="shared" si="1"/>
        <v/>
      </c>
      <c r="AX3703" s="83" t="str">
        <f t="array" ref="AX3703">IFERROR(DGET('SBV Import'!A:G,"SBV",{"RSC ID","Tier";B3703,A3703}))</f>
        <v/>
      </c>
      <c r="AY3703" s="82" t="str">
        <f t="shared" si="2"/>
        <v/>
      </c>
      <c r="AZ3703" s="82"/>
      <c r="BA3703" s="84" t="s">
        <v>152</v>
      </c>
      <c r="BB3703" s="84" t="str">
        <f>IFERROR(__xludf.DUMMYFUNCTION("iferror(if(A3703="""",,E3703&gt;=FILTER(Constants!$F$2:$F$10,Constants!$A$2:$A$10=A3703)))"),"")</f>
        <v/>
      </c>
    </row>
    <row r="3704">
      <c r="A3704" s="89"/>
      <c r="B3704" s="87"/>
      <c r="C3704" s="73"/>
      <c r="D3704" s="73"/>
      <c r="E3704" s="82"/>
      <c r="F3704" s="82"/>
      <c r="G3704" s="86"/>
      <c r="H3704" s="86"/>
      <c r="I3704" s="86"/>
      <c r="J3704" s="82"/>
      <c r="K3704" s="82"/>
      <c r="L3704" s="82"/>
      <c r="M3704" s="82"/>
      <c r="N3704" s="82"/>
      <c r="O3704" s="82"/>
      <c r="P3704" s="82"/>
      <c r="Q3704" s="82"/>
      <c r="R3704" s="82"/>
      <c r="S3704" s="82"/>
      <c r="T3704" s="82"/>
      <c r="U3704" s="82"/>
      <c r="V3704" s="82"/>
      <c r="W3704" s="82"/>
      <c r="X3704" s="82"/>
      <c r="Y3704" s="82"/>
      <c r="Z3704" s="82"/>
      <c r="AA3704" s="82"/>
      <c r="AB3704" s="82"/>
      <c r="AC3704" s="82"/>
      <c r="AD3704" s="82"/>
      <c r="AE3704" s="82"/>
      <c r="AF3704" s="82"/>
      <c r="AG3704" s="82"/>
      <c r="AH3704" s="82"/>
      <c r="AI3704" s="82"/>
      <c r="AJ3704" s="82"/>
      <c r="AK3704" s="82"/>
      <c r="AL3704" s="82"/>
      <c r="AM3704" s="82"/>
      <c r="AN3704" s="82"/>
      <c r="AO3704" s="82"/>
      <c r="AP3704" s="82"/>
      <c r="AQ3704" s="82"/>
      <c r="AR3704" s="82"/>
      <c r="AS3704" s="82"/>
      <c r="AT3704" s="82"/>
      <c r="AU3704" s="82"/>
      <c r="AV3704" s="82"/>
      <c r="AW3704" s="82" t="str">
        <f t="shared" si="1"/>
        <v/>
      </c>
      <c r="AX3704" s="83" t="str">
        <f t="array" ref="AX3704">IFERROR(DGET('SBV Import'!A:G,"SBV",{"RSC ID","Tier";B3704,A3704}))</f>
        <v/>
      </c>
      <c r="AY3704" s="82" t="str">
        <f t="shared" si="2"/>
        <v/>
      </c>
      <c r="AZ3704" s="82"/>
      <c r="BA3704" s="84" t="s">
        <v>152</v>
      </c>
      <c r="BB3704" s="84" t="str">
        <f>IFERROR(__xludf.DUMMYFUNCTION("iferror(if(A3704="""",,E3704&gt;=FILTER(Constants!$F$2:$F$10,Constants!$A$2:$A$10=A3704)))"),"")</f>
        <v/>
      </c>
    </row>
    <row r="3705">
      <c r="A3705" s="89"/>
      <c r="B3705" s="87"/>
      <c r="C3705" s="73"/>
      <c r="D3705" s="73"/>
      <c r="E3705" s="82"/>
      <c r="F3705" s="82"/>
      <c r="G3705" s="86"/>
      <c r="H3705" s="86"/>
      <c r="I3705" s="86"/>
      <c r="J3705" s="82"/>
      <c r="K3705" s="82"/>
      <c r="L3705" s="82"/>
      <c r="M3705" s="82"/>
      <c r="N3705" s="82"/>
      <c r="O3705" s="82"/>
      <c r="P3705" s="82"/>
      <c r="Q3705" s="82"/>
      <c r="R3705" s="82"/>
      <c r="S3705" s="82"/>
      <c r="T3705" s="82"/>
      <c r="U3705" s="82"/>
      <c r="V3705" s="82"/>
      <c r="W3705" s="82"/>
      <c r="X3705" s="82"/>
      <c r="Y3705" s="82"/>
      <c r="Z3705" s="82"/>
      <c r="AA3705" s="82"/>
      <c r="AB3705" s="82"/>
      <c r="AC3705" s="82"/>
      <c r="AD3705" s="82"/>
      <c r="AE3705" s="82"/>
      <c r="AF3705" s="82"/>
      <c r="AG3705" s="82"/>
      <c r="AH3705" s="82"/>
      <c r="AI3705" s="82"/>
      <c r="AJ3705" s="82"/>
      <c r="AK3705" s="82"/>
      <c r="AL3705" s="82"/>
      <c r="AM3705" s="82"/>
      <c r="AN3705" s="82"/>
      <c r="AO3705" s="82"/>
      <c r="AP3705" s="82"/>
      <c r="AQ3705" s="82"/>
      <c r="AR3705" s="82"/>
      <c r="AS3705" s="82"/>
      <c r="AT3705" s="82"/>
      <c r="AU3705" s="82"/>
      <c r="AV3705" s="82"/>
      <c r="AW3705" s="82" t="str">
        <f t="shared" si="1"/>
        <v/>
      </c>
      <c r="AX3705" s="83" t="str">
        <f t="array" ref="AX3705">IFERROR(DGET('SBV Import'!A:G,"SBV",{"RSC ID","Tier";B3705,A3705}))</f>
        <v/>
      </c>
      <c r="AY3705" s="82" t="str">
        <f t="shared" si="2"/>
        <v/>
      </c>
      <c r="AZ3705" s="82"/>
      <c r="BA3705" s="84" t="s">
        <v>152</v>
      </c>
      <c r="BB3705" s="84" t="str">
        <f>IFERROR(__xludf.DUMMYFUNCTION("iferror(if(A3705="""",,E3705&gt;=FILTER(Constants!$F$2:$F$10,Constants!$A$2:$A$10=A3705)))"),"")</f>
        <v/>
      </c>
    </row>
    <row r="3706">
      <c r="A3706" s="89"/>
      <c r="B3706" s="87"/>
      <c r="C3706" s="73"/>
      <c r="D3706" s="73"/>
      <c r="E3706" s="82"/>
      <c r="F3706" s="82"/>
      <c r="G3706" s="86"/>
      <c r="H3706" s="86"/>
      <c r="I3706" s="86"/>
      <c r="J3706" s="82"/>
      <c r="K3706" s="82"/>
      <c r="L3706" s="82"/>
      <c r="M3706" s="82"/>
      <c r="N3706" s="82"/>
      <c r="O3706" s="82"/>
      <c r="P3706" s="82"/>
      <c r="Q3706" s="82"/>
      <c r="R3706" s="82"/>
      <c r="S3706" s="82"/>
      <c r="T3706" s="82"/>
      <c r="U3706" s="82"/>
      <c r="V3706" s="82"/>
      <c r="W3706" s="82"/>
      <c r="X3706" s="82"/>
      <c r="Y3706" s="82"/>
      <c r="Z3706" s="82"/>
      <c r="AA3706" s="82"/>
      <c r="AB3706" s="82"/>
      <c r="AC3706" s="82"/>
      <c r="AD3706" s="82"/>
      <c r="AE3706" s="82"/>
      <c r="AF3706" s="82"/>
      <c r="AG3706" s="82"/>
      <c r="AH3706" s="82"/>
      <c r="AI3706" s="82"/>
      <c r="AJ3706" s="82"/>
      <c r="AK3706" s="82"/>
      <c r="AL3706" s="82"/>
      <c r="AM3706" s="82"/>
      <c r="AN3706" s="82"/>
      <c r="AO3706" s="82"/>
      <c r="AP3706" s="82"/>
      <c r="AQ3706" s="82"/>
      <c r="AR3706" s="82"/>
      <c r="AS3706" s="82"/>
      <c r="AT3706" s="82"/>
      <c r="AU3706" s="82"/>
      <c r="AV3706" s="82"/>
      <c r="AW3706" s="82" t="str">
        <f t="shared" si="1"/>
        <v/>
      </c>
      <c r="AX3706" s="83" t="str">
        <f t="array" ref="AX3706">IFERROR(DGET('SBV Import'!A:G,"SBV",{"RSC ID","Tier";B3706,A3706}))</f>
        <v/>
      </c>
      <c r="AY3706" s="82" t="str">
        <f t="shared" si="2"/>
        <v/>
      </c>
      <c r="AZ3706" s="82"/>
      <c r="BA3706" s="84" t="s">
        <v>152</v>
      </c>
      <c r="BB3706" s="84" t="str">
        <f>IFERROR(__xludf.DUMMYFUNCTION("iferror(if(A3706="""",,E3706&gt;=FILTER(Constants!$F$2:$F$10,Constants!$A$2:$A$10=A3706)))"),"")</f>
        <v/>
      </c>
    </row>
    <row r="3707">
      <c r="A3707" s="89"/>
      <c r="B3707" s="87"/>
      <c r="C3707" s="73"/>
      <c r="D3707" s="73"/>
      <c r="E3707" s="82"/>
      <c r="F3707" s="82"/>
      <c r="G3707" s="86"/>
      <c r="H3707" s="86"/>
      <c r="I3707" s="86"/>
      <c r="J3707" s="82"/>
      <c r="K3707" s="82"/>
      <c r="L3707" s="82"/>
      <c r="M3707" s="82"/>
      <c r="N3707" s="82"/>
      <c r="O3707" s="82"/>
      <c r="P3707" s="82"/>
      <c r="Q3707" s="82"/>
      <c r="R3707" s="82"/>
      <c r="S3707" s="82"/>
      <c r="T3707" s="82"/>
      <c r="U3707" s="82"/>
      <c r="V3707" s="82"/>
      <c r="W3707" s="82"/>
      <c r="X3707" s="82"/>
      <c r="Y3707" s="82"/>
      <c r="Z3707" s="82"/>
      <c r="AA3707" s="82"/>
      <c r="AB3707" s="82"/>
      <c r="AC3707" s="82"/>
      <c r="AD3707" s="82"/>
      <c r="AE3707" s="82"/>
      <c r="AF3707" s="82"/>
      <c r="AG3707" s="82"/>
      <c r="AH3707" s="82"/>
      <c r="AI3707" s="82"/>
      <c r="AJ3707" s="82"/>
      <c r="AK3707" s="82"/>
      <c r="AL3707" s="82"/>
      <c r="AM3707" s="82"/>
      <c r="AN3707" s="82"/>
      <c r="AO3707" s="82"/>
      <c r="AP3707" s="82"/>
      <c r="AQ3707" s="82"/>
      <c r="AR3707" s="82"/>
      <c r="AS3707" s="82"/>
      <c r="AT3707" s="82"/>
      <c r="AU3707" s="82"/>
      <c r="AV3707" s="82"/>
      <c r="AW3707" s="82" t="str">
        <f t="shared" si="1"/>
        <v/>
      </c>
      <c r="AX3707" s="83" t="str">
        <f t="array" ref="AX3707">IFERROR(DGET('SBV Import'!A:G,"SBV",{"RSC ID","Tier";B3707,A3707}))</f>
        <v/>
      </c>
      <c r="AY3707" s="82" t="str">
        <f t="shared" si="2"/>
        <v/>
      </c>
      <c r="AZ3707" s="82"/>
      <c r="BA3707" s="84" t="s">
        <v>152</v>
      </c>
      <c r="BB3707" s="84" t="str">
        <f>IFERROR(__xludf.DUMMYFUNCTION("iferror(if(A3707="""",,E3707&gt;=FILTER(Constants!$F$2:$F$10,Constants!$A$2:$A$10=A3707)))"),"")</f>
        <v/>
      </c>
    </row>
    <row r="3708">
      <c r="A3708" s="89"/>
      <c r="B3708" s="87"/>
      <c r="C3708" s="73"/>
      <c r="D3708" s="73"/>
      <c r="E3708" s="82"/>
      <c r="F3708" s="82"/>
      <c r="G3708" s="86"/>
      <c r="H3708" s="86"/>
      <c r="I3708" s="86"/>
      <c r="J3708" s="82"/>
      <c r="K3708" s="82"/>
      <c r="L3708" s="82"/>
      <c r="M3708" s="82"/>
      <c r="N3708" s="82"/>
      <c r="O3708" s="82"/>
      <c r="P3708" s="82"/>
      <c r="Q3708" s="82"/>
      <c r="R3708" s="82"/>
      <c r="S3708" s="82"/>
      <c r="T3708" s="82"/>
      <c r="U3708" s="82"/>
      <c r="V3708" s="82"/>
      <c r="W3708" s="82"/>
      <c r="X3708" s="82"/>
      <c r="Y3708" s="82"/>
      <c r="Z3708" s="82"/>
      <c r="AA3708" s="82"/>
      <c r="AB3708" s="82"/>
      <c r="AC3708" s="82"/>
      <c r="AD3708" s="82"/>
      <c r="AE3708" s="82"/>
      <c r="AF3708" s="82"/>
      <c r="AG3708" s="82"/>
      <c r="AH3708" s="82"/>
      <c r="AI3708" s="82"/>
      <c r="AJ3708" s="82"/>
      <c r="AK3708" s="82"/>
      <c r="AL3708" s="82"/>
      <c r="AM3708" s="82"/>
      <c r="AN3708" s="82"/>
      <c r="AO3708" s="82"/>
      <c r="AP3708" s="82"/>
      <c r="AQ3708" s="82"/>
      <c r="AR3708" s="82"/>
      <c r="AS3708" s="82"/>
      <c r="AT3708" s="82"/>
      <c r="AU3708" s="82"/>
      <c r="AV3708" s="82"/>
      <c r="AW3708" s="82" t="str">
        <f t="shared" si="1"/>
        <v/>
      </c>
      <c r="AX3708" s="83" t="str">
        <f t="array" ref="AX3708">IFERROR(DGET('SBV Import'!A:G,"SBV",{"RSC ID","Tier";B3708,A3708}))</f>
        <v/>
      </c>
      <c r="AY3708" s="82" t="str">
        <f t="shared" si="2"/>
        <v/>
      </c>
      <c r="AZ3708" s="82"/>
      <c r="BA3708" s="84" t="s">
        <v>152</v>
      </c>
      <c r="BB3708" s="84" t="str">
        <f>IFERROR(__xludf.DUMMYFUNCTION("iferror(if(A3708="""",,E3708&gt;=FILTER(Constants!$F$2:$F$10,Constants!$A$2:$A$10=A3708)))"),"")</f>
        <v/>
      </c>
    </row>
    <row r="3709">
      <c r="A3709" s="89"/>
      <c r="B3709" s="87"/>
      <c r="C3709" s="73"/>
      <c r="D3709" s="73"/>
      <c r="E3709" s="82"/>
      <c r="F3709" s="82"/>
      <c r="G3709" s="86"/>
      <c r="H3709" s="86"/>
      <c r="I3709" s="86"/>
      <c r="J3709" s="82"/>
      <c r="K3709" s="82"/>
      <c r="L3709" s="82"/>
      <c r="M3709" s="82"/>
      <c r="N3709" s="82"/>
      <c r="O3709" s="82"/>
      <c r="P3709" s="82"/>
      <c r="Q3709" s="82"/>
      <c r="R3709" s="82"/>
      <c r="S3709" s="82"/>
      <c r="T3709" s="82"/>
      <c r="U3709" s="82"/>
      <c r="V3709" s="82"/>
      <c r="W3709" s="82"/>
      <c r="X3709" s="82"/>
      <c r="Y3709" s="82"/>
      <c r="Z3709" s="82"/>
      <c r="AA3709" s="82"/>
      <c r="AB3709" s="82"/>
      <c r="AC3709" s="82"/>
      <c r="AD3709" s="82"/>
      <c r="AE3709" s="82"/>
      <c r="AF3709" s="82"/>
      <c r="AG3709" s="82"/>
      <c r="AH3709" s="82"/>
      <c r="AI3709" s="82"/>
      <c r="AJ3709" s="82"/>
      <c r="AK3709" s="82"/>
      <c r="AL3709" s="82"/>
      <c r="AM3709" s="82"/>
      <c r="AN3709" s="82"/>
      <c r="AO3709" s="82"/>
      <c r="AP3709" s="82"/>
      <c r="AQ3709" s="82"/>
      <c r="AR3709" s="82"/>
      <c r="AS3709" s="82"/>
      <c r="AT3709" s="82"/>
      <c r="AU3709" s="82"/>
      <c r="AV3709" s="82"/>
      <c r="AW3709" s="82" t="str">
        <f t="shared" si="1"/>
        <v/>
      </c>
      <c r="AX3709" s="83" t="str">
        <f t="array" ref="AX3709">IFERROR(DGET('SBV Import'!A:G,"SBV",{"RSC ID","Tier";B3709,A3709}))</f>
        <v/>
      </c>
      <c r="AY3709" s="82" t="str">
        <f t="shared" si="2"/>
        <v/>
      </c>
      <c r="AZ3709" s="82"/>
      <c r="BA3709" s="84" t="s">
        <v>152</v>
      </c>
      <c r="BB3709" s="84" t="str">
        <f>IFERROR(__xludf.DUMMYFUNCTION("iferror(if(A3709="""",,E3709&gt;=FILTER(Constants!$F$2:$F$10,Constants!$A$2:$A$10=A3709)))"),"")</f>
        <v/>
      </c>
    </row>
    <row r="3710">
      <c r="A3710" s="89"/>
      <c r="B3710" s="87"/>
      <c r="C3710" s="73"/>
      <c r="D3710" s="73"/>
      <c r="E3710" s="82"/>
      <c r="F3710" s="82"/>
      <c r="G3710" s="86"/>
      <c r="H3710" s="86"/>
      <c r="I3710" s="86"/>
      <c r="J3710" s="82"/>
      <c r="K3710" s="82"/>
      <c r="L3710" s="82"/>
      <c r="M3710" s="82"/>
      <c r="N3710" s="82"/>
      <c r="O3710" s="82"/>
      <c r="P3710" s="82"/>
      <c r="Q3710" s="82"/>
      <c r="R3710" s="82"/>
      <c r="S3710" s="82"/>
      <c r="T3710" s="82"/>
      <c r="U3710" s="82"/>
      <c r="V3710" s="82"/>
      <c r="W3710" s="82"/>
      <c r="X3710" s="82"/>
      <c r="Y3710" s="82"/>
      <c r="Z3710" s="82"/>
      <c r="AA3710" s="82"/>
      <c r="AB3710" s="82"/>
      <c r="AC3710" s="82"/>
      <c r="AD3710" s="82"/>
      <c r="AE3710" s="82"/>
      <c r="AF3710" s="82"/>
      <c r="AG3710" s="82"/>
      <c r="AH3710" s="82"/>
      <c r="AI3710" s="82"/>
      <c r="AJ3710" s="82"/>
      <c r="AK3710" s="82"/>
      <c r="AL3710" s="82"/>
      <c r="AM3710" s="82"/>
      <c r="AN3710" s="82"/>
      <c r="AO3710" s="82"/>
      <c r="AP3710" s="82"/>
      <c r="AQ3710" s="82"/>
      <c r="AR3710" s="82"/>
      <c r="AS3710" s="82"/>
      <c r="AT3710" s="82"/>
      <c r="AU3710" s="82"/>
      <c r="AV3710" s="82"/>
      <c r="AW3710" s="82" t="str">
        <f t="shared" si="1"/>
        <v/>
      </c>
      <c r="AX3710" s="83" t="str">
        <f t="array" ref="AX3710">IFERROR(DGET('SBV Import'!A:G,"SBV",{"RSC ID","Tier";B3710,A3710}))</f>
        <v/>
      </c>
      <c r="AY3710" s="82" t="str">
        <f t="shared" si="2"/>
        <v/>
      </c>
      <c r="AZ3710" s="82"/>
      <c r="BA3710" s="84" t="s">
        <v>152</v>
      </c>
      <c r="BB3710" s="84" t="str">
        <f>IFERROR(__xludf.DUMMYFUNCTION("iferror(if(A3710="""",,E3710&gt;=FILTER(Constants!$F$2:$F$10,Constants!$A$2:$A$10=A3710)))"),"")</f>
        <v/>
      </c>
    </row>
    <row r="3711">
      <c r="A3711" s="89"/>
      <c r="B3711" s="87"/>
      <c r="C3711" s="73"/>
      <c r="D3711" s="73"/>
      <c r="E3711" s="82"/>
      <c r="F3711" s="82"/>
      <c r="G3711" s="86"/>
      <c r="H3711" s="86"/>
      <c r="I3711" s="86"/>
      <c r="J3711" s="82"/>
      <c r="K3711" s="82"/>
      <c r="L3711" s="82"/>
      <c r="M3711" s="82"/>
      <c r="N3711" s="82"/>
      <c r="O3711" s="82"/>
      <c r="P3711" s="82"/>
      <c r="Q3711" s="82"/>
      <c r="R3711" s="82"/>
      <c r="S3711" s="82"/>
      <c r="T3711" s="82"/>
      <c r="U3711" s="82"/>
      <c r="V3711" s="82"/>
      <c r="W3711" s="82"/>
      <c r="X3711" s="82"/>
      <c r="Y3711" s="82"/>
      <c r="Z3711" s="82"/>
      <c r="AA3711" s="82"/>
      <c r="AB3711" s="82"/>
      <c r="AC3711" s="82"/>
      <c r="AD3711" s="82"/>
      <c r="AE3711" s="82"/>
      <c r="AF3711" s="82"/>
      <c r="AG3711" s="82"/>
      <c r="AH3711" s="82"/>
      <c r="AI3711" s="82"/>
      <c r="AJ3711" s="82"/>
      <c r="AK3711" s="82"/>
      <c r="AL3711" s="82"/>
      <c r="AM3711" s="82"/>
      <c r="AN3711" s="82"/>
      <c r="AO3711" s="82"/>
      <c r="AP3711" s="82"/>
      <c r="AQ3711" s="82"/>
      <c r="AR3711" s="82"/>
      <c r="AS3711" s="82"/>
      <c r="AT3711" s="82"/>
      <c r="AU3711" s="82"/>
      <c r="AV3711" s="82"/>
      <c r="AW3711" s="82" t="str">
        <f t="shared" si="1"/>
        <v/>
      </c>
      <c r="AX3711" s="83" t="str">
        <f t="array" ref="AX3711">IFERROR(DGET('SBV Import'!A:G,"SBV",{"RSC ID","Tier";B3711,A3711}))</f>
        <v/>
      </c>
      <c r="AY3711" s="82" t="str">
        <f t="shared" si="2"/>
        <v/>
      </c>
      <c r="AZ3711" s="82"/>
      <c r="BA3711" s="84" t="s">
        <v>152</v>
      </c>
      <c r="BB3711" s="84" t="str">
        <f>IFERROR(__xludf.DUMMYFUNCTION("iferror(if(A3711="""",,E3711&gt;=FILTER(Constants!$F$2:$F$10,Constants!$A$2:$A$10=A3711)))"),"")</f>
        <v/>
      </c>
    </row>
    <row r="3712">
      <c r="A3712" s="89"/>
      <c r="B3712" s="87"/>
      <c r="C3712" s="73"/>
      <c r="D3712" s="73"/>
      <c r="E3712" s="82"/>
      <c r="F3712" s="82"/>
      <c r="G3712" s="86"/>
      <c r="H3712" s="86"/>
      <c r="I3712" s="86"/>
      <c r="J3712" s="82"/>
      <c r="K3712" s="82"/>
      <c r="L3712" s="82"/>
      <c r="M3712" s="82"/>
      <c r="N3712" s="82"/>
      <c r="O3712" s="82"/>
      <c r="P3712" s="82"/>
      <c r="Q3712" s="82"/>
      <c r="R3712" s="82"/>
      <c r="S3712" s="82"/>
      <c r="T3712" s="82"/>
      <c r="U3712" s="82"/>
      <c r="V3712" s="82"/>
      <c r="W3712" s="82"/>
      <c r="X3712" s="82"/>
      <c r="Y3712" s="82"/>
      <c r="Z3712" s="82"/>
      <c r="AA3712" s="82"/>
      <c r="AB3712" s="82"/>
      <c r="AC3712" s="82"/>
      <c r="AD3712" s="82"/>
      <c r="AE3712" s="82"/>
      <c r="AF3712" s="82"/>
      <c r="AG3712" s="82"/>
      <c r="AH3712" s="82"/>
      <c r="AI3712" s="82"/>
      <c r="AJ3712" s="82"/>
      <c r="AK3712" s="82"/>
      <c r="AL3712" s="82"/>
      <c r="AM3712" s="82"/>
      <c r="AN3712" s="82"/>
      <c r="AO3712" s="82"/>
      <c r="AP3712" s="82"/>
      <c r="AQ3712" s="82"/>
      <c r="AR3712" s="82"/>
      <c r="AS3712" s="82"/>
      <c r="AT3712" s="82"/>
      <c r="AU3712" s="82"/>
      <c r="AV3712" s="82"/>
      <c r="AW3712" s="82" t="str">
        <f t="shared" si="1"/>
        <v/>
      </c>
      <c r="AX3712" s="83" t="str">
        <f t="array" ref="AX3712">IFERROR(DGET('SBV Import'!A:G,"SBV",{"RSC ID","Tier";B3712,A3712}))</f>
        <v/>
      </c>
      <c r="AY3712" s="82" t="str">
        <f t="shared" si="2"/>
        <v/>
      </c>
      <c r="AZ3712" s="82"/>
      <c r="BA3712" s="84" t="s">
        <v>152</v>
      </c>
      <c r="BB3712" s="84" t="str">
        <f>IFERROR(__xludf.DUMMYFUNCTION("iferror(if(A3712="""",,E3712&gt;=FILTER(Constants!$F$2:$F$10,Constants!$A$2:$A$10=A3712)))"),"")</f>
        <v/>
      </c>
    </row>
    <row r="3713">
      <c r="A3713" s="89"/>
      <c r="B3713" s="87"/>
      <c r="C3713" s="73"/>
      <c r="D3713" s="73"/>
      <c r="E3713" s="82"/>
      <c r="F3713" s="82"/>
      <c r="G3713" s="86"/>
      <c r="H3713" s="86"/>
      <c r="I3713" s="86"/>
      <c r="J3713" s="82"/>
      <c r="K3713" s="82"/>
      <c r="L3713" s="82"/>
      <c r="M3713" s="82"/>
      <c r="N3713" s="82"/>
      <c r="O3713" s="82"/>
      <c r="P3713" s="82"/>
      <c r="Q3713" s="82"/>
      <c r="R3713" s="82"/>
      <c r="S3713" s="82"/>
      <c r="T3713" s="82"/>
      <c r="U3713" s="82"/>
      <c r="V3713" s="82"/>
      <c r="W3713" s="82"/>
      <c r="X3713" s="82"/>
      <c r="Y3713" s="82"/>
      <c r="Z3713" s="82"/>
      <c r="AA3713" s="82"/>
      <c r="AB3713" s="82"/>
      <c r="AC3713" s="82"/>
      <c r="AD3713" s="82"/>
      <c r="AE3713" s="82"/>
      <c r="AF3713" s="82"/>
      <c r="AG3713" s="82"/>
      <c r="AH3713" s="82"/>
      <c r="AI3713" s="82"/>
      <c r="AJ3713" s="82"/>
      <c r="AK3713" s="82"/>
      <c r="AL3713" s="82"/>
      <c r="AM3713" s="82"/>
      <c r="AN3713" s="82"/>
      <c r="AO3713" s="82"/>
      <c r="AP3713" s="82"/>
      <c r="AQ3713" s="82"/>
      <c r="AR3713" s="82"/>
      <c r="AS3713" s="82"/>
      <c r="AT3713" s="82"/>
      <c r="AU3713" s="82"/>
      <c r="AV3713" s="82"/>
      <c r="AW3713" s="82" t="str">
        <f t="shared" si="1"/>
        <v/>
      </c>
      <c r="AX3713" s="83" t="str">
        <f t="array" ref="AX3713">IFERROR(DGET('SBV Import'!A:G,"SBV",{"RSC ID","Tier";B3713,A3713}))</f>
        <v/>
      </c>
      <c r="AY3713" s="82" t="str">
        <f t="shared" si="2"/>
        <v/>
      </c>
      <c r="AZ3713" s="82"/>
      <c r="BA3713" s="84" t="s">
        <v>152</v>
      </c>
      <c r="BB3713" s="84" t="str">
        <f>IFERROR(__xludf.DUMMYFUNCTION("iferror(if(A3713="""",,E3713&gt;=FILTER(Constants!$F$2:$F$10,Constants!$A$2:$A$10=A3713)))"),"")</f>
        <v/>
      </c>
    </row>
    <row r="3714">
      <c r="A3714" s="89"/>
      <c r="B3714" s="87"/>
      <c r="C3714" s="73"/>
      <c r="D3714" s="73"/>
      <c r="E3714" s="82"/>
      <c r="F3714" s="82"/>
      <c r="G3714" s="86"/>
      <c r="H3714" s="86"/>
      <c r="I3714" s="86"/>
      <c r="J3714" s="82"/>
      <c r="K3714" s="82"/>
      <c r="L3714" s="82"/>
      <c r="M3714" s="82"/>
      <c r="N3714" s="82"/>
      <c r="O3714" s="82"/>
      <c r="P3714" s="82"/>
      <c r="Q3714" s="82"/>
      <c r="R3714" s="82"/>
      <c r="S3714" s="82"/>
      <c r="T3714" s="82"/>
      <c r="U3714" s="82"/>
      <c r="V3714" s="82"/>
      <c r="W3714" s="82"/>
      <c r="X3714" s="82"/>
      <c r="Y3714" s="82"/>
      <c r="Z3714" s="82"/>
      <c r="AA3714" s="82"/>
      <c r="AB3714" s="82"/>
      <c r="AC3714" s="82"/>
      <c r="AD3714" s="82"/>
      <c r="AE3714" s="82"/>
      <c r="AF3714" s="82"/>
      <c r="AG3714" s="82"/>
      <c r="AH3714" s="82"/>
      <c r="AI3714" s="82"/>
      <c r="AJ3714" s="82"/>
      <c r="AK3714" s="82"/>
      <c r="AL3714" s="82"/>
      <c r="AM3714" s="82"/>
      <c r="AN3714" s="82"/>
      <c r="AO3714" s="82"/>
      <c r="AP3714" s="82"/>
      <c r="AQ3714" s="82"/>
      <c r="AR3714" s="82"/>
      <c r="AS3714" s="82"/>
      <c r="AT3714" s="82"/>
      <c r="AU3714" s="82"/>
      <c r="AV3714" s="82"/>
      <c r="AW3714" s="82" t="str">
        <f t="shared" si="1"/>
        <v/>
      </c>
      <c r="AX3714" s="83" t="str">
        <f t="array" ref="AX3714">IFERROR(DGET('SBV Import'!A:G,"SBV",{"RSC ID","Tier";B3714,A3714}))</f>
        <v/>
      </c>
      <c r="AY3714" s="82" t="str">
        <f t="shared" si="2"/>
        <v/>
      </c>
      <c r="AZ3714" s="82"/>
      <c r="BA3714" s="84" t="s">
        <v>152</v>
      </c>
      <c r="BB3714" s="84" t="str">
        <f>IFERROR(__xludf.DUMMYFUNCTION("iferror(if(A3714="""",,E3714&gt;=FILTER(Constants!$F$2:$F$10,Constants!$A$2:$A$10=A3714)))"),"")</f>
        <v/>
      </c>
    </row>
    <row r="3715">
      <c r="A3715" s="89"/>
      <c r="B3715" s="87"/>
      <c r="C3715" s="73"/>
      <c r="D3715" s="73"/>
      <c r="E3715" s="82"/>
      <c r="F3715" s="82"/>
      <c r="G3715" s="86"/>
      <c r="H3715" s="86"/>
      <c r="I3715" s="86"/>
      <c r="J3715" s="82"/>
      <c r="K3715" s="82"/>
      <c r="L3715" s="82"/>
      <c r="M3715" s="82"/>
      <c r="N3715" s="82"/>
      <c r="O3715" s="82"/>
      <c r="P3715" s="82"/>
      <c r="Q3715" s="82"/>
      <c r="R3715" s="82"/>
      <c r="S3715" s="82"/>
      <c r="T3715" s="82"/>
      <c r="U3715" s="82"/>
      <c r="V3715" s="82"/>
      <c r="W3715" s="82"/>
      <c r="X3715" s="82"/>
      <c r="Y3715" s="82"/>
      <c r="Z3715" s="82"/>
      <c r="AA3715" s="82"/>
      <c r="AB3715" s="82"/>
      <c r="AC3715" s="82"/>
      <c r="AD3715" s="82"/>
      <c r="AE3715" s="82"/>
      <c r="AF3715" s="82"/>
      <c r="AG3715" s="82"/>
      <c r="AH3715" s="82"/>
      <c r="AI3715" s="82"/>
      <c r="AJ3715" s="82"/>
      <c r="AK3715" s="82"/>
      <c r="AL3715" s="82"/>
      <c r="AM3715" s="82"/>
      <c r="AN3715" s="82"/>
      <c r="AO3715" s="82"/>
      <c r="AP3715" s="82"/>
      <c r="AQ3715" s="82"/>
      <c r="AR3715" s="82"/>
      <c r="AS3715" s="82"/>
      <c r="AT3715" s="82"/>
      <c r="AU3715" s="82"/>
      <c r="AV3715" s="82"/>
      <c r="AW3715" s="82" t="str">
        <f t="shared" si="1"/>
        <v/>
      </c>
      <c r="AX3715" s="83" t="str">
        <f t="array" ref="AX3715">IFERROR(DGET('SBV Import'!A:G,"SBV",{"RSC ID","Tier";B3715,A3715}))</f>
        <v/>
      </c>
      <c r="AY3715" s="82" t="str">
        <f t="shared" si="2"/>
        <v/>
      </c>
      <c r="AZ3715" s="82"/>
      <c r="BA3715" s="84" t="s">
        <v>152</v>
      </c>
      <c r="BB3715" s="84" t="str">
        <f>IFERROR(__xludf.DUMMYFUNCTION("iferror(if(A3715="""",,E3715&gt;=FILTER(Constants!$F$2:$F$10,Constants!$A$2:$A$10=A3715)))"),"")</f>
        <v/>
      </c>
    </row>
    <row r="3716">
      <c r="A3716" s="89"/>
      <c r="B3716" s="87"/>
      <c r="C3716" s="73"/>
      <c r="D3716" s="73"/>
      <c r="E3716" s="82"/>
      <c r="F3716" s="82"/>
      <c r="G3716" s="86"/>
      <c r="H3716" s="86"/>
      <c r="I3716" s="86"/>
      <c r="J3716" s="82"/>
      <c r="K3716" s="82"/>
      <c r="L3716" s="82"/>
      <c r="M3716" s="82"/>
      <c r="N3716" s="82"/>
      <c r="O3716" s="82"/>
      <c r="P3716" s="82"/>
      <c r="Q3716" s="82"/>
      <c r="R3716" s="82"/>
      <c r="S3716" s="82"/>
      <c r="T3716" s="82"/>
      <c r="U3716" s="82"/>
      <c r="V3716" s="82"/>
      <c r="W3716" s="82"/>
      <c r="X3716" s="82"/>
      <c r="Y3716" s="82"/>
      <c r="Z3716" s="82"/>
      <c r="AA3716" s="82"/>
      <c r="AB3716" s="82"/>
      <c r="AC3716" s="82"/>
      <c r="AD3716" s="82"/>
      <c r="AE3716" s="82"/>
      <c r="AF3716" s="82"/>
      <c r="AG3716" s="82"/>
      <c r="AH3716" s="82"/>
      <c r="AI3716" s="82"/>
      <c r="AJ3716" s="82"/>
      <c r="AK3716" s="82"/>
      <c r="AL3716" s="82"/>
      <c r="AM3716" s="82"/>
      <c r="AN3716" s="82"/>
      <c r="AO3716" s="82"/>
      <c r="AP3716" s="82"/>
      <c r="AQ3716" s="82"/>
      <c r="AR3716" s="82"/>
      <c r="AS3716" s="82"/>
      <c r="AT3716" s="82"/>
      <c r="AU3716" s="82"/>
      <c r="AV3716" s="82"/>
      <c r="AW3716" s="82" t="str">
        <f t="shared" si="1"/>
        <v/>
      </c>
      <c r="AX3716" s="83" t="str">
        <f t="array" ref="AX3716">IFERROR(DGET('SBV Import'!A:G,"SBV",{"RSC ID","Tier";B3716,A3716}))</f>
        <v/>
      </c>
      <c r="AY3716" s="82" t="str">
        <f t="shared" si="2"/>
        <v/>
      </c>
      <c r="AZ3716" s="82"/>
      <c r="BA3716" s="84" t="s">
        <v>152</v>
      </c>
      <c r="BB3716" s="84" t="str">
        <f>IFERROR(__xludf.DUMMYFUNCTION("iferror(if(A3716="""",,E3716&gt;=FILTER(Constants!$F$2:$F$10,Constants!$A$2:$A$10=A3716)))"),"")</f>
        <v/>
      </c>
    </row>
    <row r="3717">
      <c r="A3717" s="89"/>
      <c r="B3717" s="87"/>
      <c r="C3717" s="73"/>
      <c r="D3717" s="73"/>
      <c r="E3717" s="82"/>
      <c r="F3717" s="82"/>
      <c r="G3717" s="86"/>
      <c r="H3717" s="86"/>
      <c r="I3717" s="86"/>
      <c r="J3717" s="82"/>
      <c r="K3717" s="82"/>
      <c r="L3717" s="82"/>
      <c r="M3717" s="82"/>
      <c r="N3717" s="82"/>
      <c r="O3717" s="82"/>
      <c r="P3717" s="82"/>
      <c r="Q3717" s="82"/>
      <c r="R3717" s="82"/>
      <c r="S3717" s="82"/>
      <c r="T3717" s="82"/>
      <c r="U3717" s="82"/>
      <c r="V3717" s="82"/>
      <c r="W3717" s="82"/>
      <c r="X3717" s="82"/>
      <c r="Y3717" s="82"/>
      <c r="Z3717" s="82"/>
      <c r="AA3717" s="82"/>
      <c r="AB3717" s="82"/>
      <c r="AC3717" s="82"/>
      <c r="AD3717" s="82"/>
      <c r="AE3717" s="82"/>
      <c r="AF3717" s="82"/>
      <c r="AG3717" s="82"/>
      <c r="AH3717" s="82"/>
      <c r="AI3717" s="82"/>
      <c r="AJ3717" s="82"/>
      <c r="AK3717" s="82"/>
      <c r="AL3717" s="82"/>
      <c r="AM3717" s="82"/>
      <c r="AN3717" s="82"/>
      <c r="AO3717" s="82"/>
      <c r="AP3717" s="82"/>
      <c r="AQ3717" s="82"/>
      <c r="AR3717" s="82"/>
      <c r="AS3717" s="82"/>
      <c r="AT3717" s="82"/>
      <c r="AU3717" s="82"/>
      <c r="AV3717" s="82"/>
      <c r="AW3717" s="82" t="str">
        <f t="shared" si="1"/>
        <v/>
      </c>
      <c r="AX3717" s="83" t="str">
        <f t="array" ref="AX3717">IFERROR(DGET('SBV Import'!A:G,"SBV",{"RSC ID","Tier";B3717,A3717}))</f>
        <v/>
      </c>
      <c r="AY3717" s="82" t="str">
        <f t="shared" si="2"/>
        <v/>
      </c>
      <c r="AZ3717" s="82"/>
      <c r="BA3717" s="84" t="s">
        <v>152</v>
      </c>
      <c r="BB3717" s="84" t="str">
        <f>IFERROR(__xludf.DUMMYFUNCTION("iferror(if(A3717="""",,E3717&gt;=FILTER(Constants!$F$2:$F$10,Constants!$A$2:$A$10=A3717)))"),"")</f>
        <v/>
      </c>
    </row>
    <row r="3718">
      <c r="A3718" s="89"/>
      <c r="B3718" s="87"/>
      <c r="C3718" s="73"/>
      <c r="D3718" s="73"/>
      <c r="E3718" s="82"/>
      <c r="F3718" s="82"/>
      <c r="G3718" s="86"/>
      <c r="H3718" s="86"/>
      <c r="I3718" s="86"/>
      <c r="J3718" s="82"/>
      <c r="K3718" s="82"/>
      <c r="L3718" s="82"/>
      <c r="M3718" s="82"/>
      <c r="N3718" s="82"/>
      <c r="O3718" s="82"/>
      <c r="P3718" s="82"/>
      <c r="Q3718" s="82"/>
      <c r="R3718" s="82"/>
      <c r="S3718" s="82"/>
      <c r="T3718" s="82"/>
      <c r="U3718" s="82"/>
      <c r="V3718" s="82"/>
      <c r="W3718" s="82"/>
      <c r="X3718" s="82"/>
      <c r="Y3718" s="82"/>
      <c r="Z3718" s="82"/>
      <c r="AA3718" s="82"/>
      <c r="AB3718" s="82"/>
      <c r="AC3718" s="82"/>
      <c r="AD3718" s="82"/>
      <c r="AE3718" s="82"/>
      <c r="AF3718" s="82"/>
      <c r="AG3718" s="82"/>
      <c r="AH3718" s="82"/>
      <c r="AI3718" s="82"/>
      <c r="AJ3718" s="82"/>
      <c r="AK3718" s="82"/>
      <c r="AL3718" s="82"/>
      <c r="AM3718" s="82"/>
      <c r="AN3718" s="82"/>
      <c r="AO3718" s="82"/>
      <c r="AP3718" s="82"/>
      <c r="AQ3718" s="82"/>
      <c r="AR3718" s="82"/>
      <c r="AS3718" s="82"/>
      <c r="AT3718" s="82"/>
      <c r="AU3718" s="82"/>
      <c r="AV3718" s="82"/>
      <c r="AW3718" s="82" t="str">
        <f t="shared" si="1"/>
        <v/>
      </c>
      <c r="AX3718" s="83" t="str">
        <f t="array" ref="AX3718">IFERROR(DGET('SBV Import'!A:G,"SBV",{"RSC ID","Tier";B3718,A3718}))</f>
        <v/>
      </c>
      <c r="AY3718" s="82" t="str">
        <f t="shared" si="2"/>
        <v/>
      </c>
      <c r="AZ3718" s="82"/>
      <c r="BA3718" s="84" t="s">
        <v>152</v>
      </c>
      <c r="BB3718" s="84" t="str">
        <f>IFERROR(__xludf.DUMMYFUNCTION("iferror(if(A3718="""",,E3718&gt;=FILTER(Constants!$F$2:$F$10,Constants!$A$2:$A$10=A3718)))"),"")</f>
        <v/>
      </c>
    </row>
    <row r="3719">
      <c r="A3719" s="89"/>
      <c r="B3719" s="87"/>
      <c r="C3719" s="73"/>
      <c r="D3719" s="73"/>
      <c r="E3719" s="82"/>
      <c r="F3719" s="82"/>
      <c r="G3719" s="86"/>
      <c r="H3719" s="86"/>
      <c r="I3719" s="86"/>
      <c r="J3719" s="82"/>
      <c r="K3719" s="82"/>
      <c r="L3719" s="82"/>
      <c r="M3719" s="82"/>
      <c r="N3719" s="82"/>
      <c r="O3719" s="82"/>
      <c r="P3719" s="82"/>
      <c r="Q3719" s="82"/>
      <c r="R3719" s="82"/>
      <c r="S3719" s="82"/>
      <c r="T3719" s="82"/>
      <c r="U3719" s="82"/>
      <c r="V3719" s="82"/>
      <c r="W3719" s="82"/>
      <c r="X3719" s="82"/>
      <c r="Y3719" s="82"/>
      <c r="Z3719" s="82"/>
      <c r="AA3719" s="82"/>
      <c r="AB3719" s="82"/>
      <c r="AC3719" s="82"/>
      <c r="AD3719" s="82"/>
      <c r="AE3719" s="82"/>
      <c r="AF3719" s="82"/>
      <c r="AG3719" s="82"/>
      <c r="AH3719" s="82"/>
      <c r="AI3719" s="82"/>
      <c r="AJ3719" s="82"/>
      <c r="AK3719" s="82"/>
      <c r="AL3719" s="82"/>
      <c r="AM3719" s="82"/>
      <c r="AN3719" s="82"/>
      <c r="AO3719" s="82"/>
      <c r="AP3719" s="82"/>
      <c r="AQ3719" s="82"/>
      <c r="AR3719" s="82"/>
      <c r="AS3719" s="82"/>
      <c r="AT3719" s="82"/>
      <c r="AU3719" s="82"/>
      <c r="AV3719" s="82"/>
      <c r="AW3719" s="82" t="str">
        <f t="shared" si="1"/>
        <v/>
      </c>
      <c r="AX3719" s="83" t="str">
        <f t="array" ref="AX3719">IFERROR(DGET('SBV Import'!A:G,"SBV",{"RSC ID","Tier";B3719,A3719}))</f>
        <v/>
      </c>
      <c r="AY3719" s="82" t="str">
        <f t="shared" si="2"/>
        <v/>
      </c>
      <c r="AZ3719" s="82"/>
      <c r="BA3719" s="84" t="s">
        <v>152</v>
      </c>
      <c r="BB3719" s="84" t="str">
        <f>IFERROR(__xludf.DUMMYFUNCTION("iferror(if(A3719="""",,E3719&gt;=FILTER(Constants!$F$2:$F$10,Constants!$A$2:$A$10=A3719)))"),"")</f>
        <v/>
      </c>
    </row>
    <row r="3720">
      <c r="A3720" s="89"/>
      <c r="B3720" s="87"/>
      <c r="C3720" s="73"/>
      <c r="D3720" s="73"/>
      <c r="E3720" s="82"/>
      <c r="F3720" s="82"/>
      <c r="G3720" s="86"/>
      <c r="H3720" s="86"/>
      <c r="I3720" s="86"/>
      <c r="J3720" s="82"/>
      <c r="K3720" s="82"/>
      <c r="L3720" s="82"/>
      <c r="M3720" s="82"/>
      <c r="N3720" s="82"/>
      <c r="O3720" s="82"/>
      <c r="P3720" s="82"/>
      <c r="Q3720" s="82"/>
      <c r="R3720" s="82"/>
      <c r="S3720" s="82"/>
      <c r="T3720" s="82"/>
      <c r="U3720" s="82"/>
      <c r="V3720" s="82"/>
      <c r="W3720" s="82"/>
      <c r="X3720" s="82"/>
      <c r="Y3720" s="82"/>
      <c r="Z3720" s="82"/>
      <c r="AA3720" s="82"/>
      <c r="AB3720" s="82"/>
      <c r="AC3720" s="82"/>
      <c r="AD3720" s="82"/>
      <c r="AE3720" s="82"/>
      <c r="AF3720" s="82"/>
      <c r="AG3720" s="82"/>
      <c r="AH3720" s="82"/>
      <c r="AI3720" s="82"/>
      <c r="AJ3720" s="82"/>
      <c r="AK3720" s="82"/>
      <c r="AL3720" s="82"/>
      <c r="AM3720" s="82"/>
      <c r="AN3720" s="82"/>
      <c r="AO3720" s="82"/>
      <c r="AP3720" s="82"/>
      <c r="AQ3720" s="82"/>
      <c r="AR3720" s="82"/>
      <c r="AS3720" s="82"/>
      <c r="AT3720" s="82"/>
      <c r="AU3720" s="82"/>
      <c r="AV3720" s="82"/>
      <c r="AW3720" s="82" t="str">
        <f t="shared" si="1"/>
        <v/>
      </c>
      <c r="AX3720" s="83" t="str">
        <f t="array" ref="AX3720">IFERROR(DGET('SBV Import'!A:G,"SBV",{"RSC ID","Tier";B3720,A3720}))</f>
        <v/>
      </c>
      <c r="AY3720" s="82" t="str">
        <f t="shared" si="2"/>
        <v/>
      </c>
      <c r="AZ3720" s="82"/>
      <c r="BA3720" s="84" t="s">
        <v>152</v>
      </c>
      <c r="BB3720" s="84" t="str">
        <f>IFERROR(__xludf.DUMMYFUNCTION("iferror(if(A3720="""",,E3720&gt;=FILTER(Constants!$F$2:$F$10,Constants!$A$2:$A$10=A3720)))"),"")</f>
        <v/>
      </c>
    </row>
    <row r="3721">
      <c r="A3721" s="89"/>
      <c r="B3721" s="87"/>
      <c r="C3721" s="73"/>
      <c r="D3721" s="73"/>
      <c r="E3721" s="82"/>
      <c r="F3721" s="82"/>
      <c r="G3721" s="86"/>
      <c r="H3721" s="86"/>
      <c r="I3721" s="86"/>
      <c r="J3721" s="82"/>
      <c r="K3721" s="82"/>
      <c r="L3721" s="82"/>
      <c r="M3721" s="82"/>
      <c r="N3721" s="82"/>
      <c r="O3721" s="82"/>
      <c r="P3721" s="82"/>
      <c r="Q3721" s="82"/>
      <c r="R3721" s="82"/>
      <c r="S3721" s="82"/>
      <c r="T3721" s="82"/>
      <c r="U3721" s="82"/>
      <c r="V3721" s="82"/>
      <c r="W3721" s="82"/>
      <c r="X3721" s="82"/>
      <c r="Y3721" s="82"/>
      <c r="Z3721" s="82"/>
      <c r="AA3721" s="82"/>
      <c r="AB3721" s="82"/>
      <c r="AC3721" s="82"/>
      <c r="AD3721" s="82"/>
      <c r="AE3721" s="82"/>
      <c r="AF3721" s="82"/>
      <c r="AG3721" s="82"/>
      <c r="AH3721" s="82"/>
      <c r="AI3721" s="82"/>
      <c r="AJ3721" s="82"/>
      <c r="AK3721" s="82"/>
      <c r="AL3721" s="82"/>
      <c r="AM3721" s="82"/>
      <c r="AN3721" s="82"/>
      <c r="AO3721" s="82"/>
      <c r="AP3721" s="82"/>
      <c r="AQ3721" s="82"/>
      <c r="AR3721" s="82"/>
      <c r="AS3721" s="82"/>
      <c r="AT3721" s="82"/>
      <c r="AU3721" s="82"/>
      <c r="AV3721" s="82"/>
      <c r="AW3721" s="82" t="str">
        <f t="shared" si="1"/>
        <v/>
      </c>
      <c r="AX3721" s="83" t="str">
        <f t="array" ref="AX3721">IFERROR(DGET('SBV Import'!A:G,"SBV",{"RSC ID","Tier";B3721,A3721}))</f>
        <v/>
      </c>
      <c r="AY3721" s="82" t="str">
        <f t="shared" si="2"/>
        <v/>
      </c>
      <c r="AZ3721" s="82"/>
      <c r="BA3721" s="84" t="s">
        <v>152</v>
      </c>
      <c r="BB3721" s="84" t="str">
        <f>IFERROR(__xludf.DUMMYFUNCTION("iferror(if(A3721="""",,E3721&gt;=FILTER(Constants!$F$2:$F$10,Constants!$A$2:$A$10=A3721)))"),"")</f>
        <v/>
      </c>
    </row>
    <row r="3722">
      <c r="A3722" s="89"/>
      <c r="B3722" s="87"/>
      <c r="C3722" s="73"/>
      <c r="D3722" s="73"/>
      <c r="E3722" s="82"/>
      <c r="F3722" s="82"/>
      <c r="G3722" s="86"/>
      <c r="H3722" s="86"/>
      <c r="I3722" s="86"/>
      <c r="J3722" s="82"/>
      <c r="K3722" s="82"/>
      <c r="L3722" s="82"/>
      <c r="M3722" s="82"/>
      <c r="N3722" s="82"/>
      <c r="O3722" s="82"/>
      <c r="P3722" s="82"/>
      <c r="Q3722" s="82"/>
      <c r="R3722" s="82"/>
      <c r="S3722" s="82"/>
      <c r="T3722" s="82"/>
      <c r="U3722" s="82"/>
      <c r="V3722" s="82"/>
      <c r="W3722" s="82"/>
      <c r="X3722" s="82"/>
      <c r="Y3722" s="82"/>
      <c r="Z3722" s="82"/>
      <c r="AA3722" s="82"/>
      <c r="AB3722" s="82"/>
      <c r="AC3722" s="82"/>
      <c r="AD3722" s="82"/>
      <c r="AE3722" s="82"/>
      <c r="AF3722" s="82"/>
      <c r="AG3722" s="82"/>
      <c r="AH3722" s="82"/>
      <c r="AI3722" s="82"/>
      <c r="AJ3722" s="82"/>
      <c r="AK3722" s="82"/>
      <c r="AL3722" s="82"/>
      <c r="AM3722" s="82"/>
      <c r="AN3722" s="82"/>
      <c r="AO3722" s="82"/>
      <c r="AP3722" s="82"/>
      <c r="AQ3722" s="82"/>
      <c r="AR3722" s="82"/>
      <c r="AS3722" s="82"/>
      <c r="AT3722" s="82"/>
      <c r="AU3722" s="82"/>
      <c r="AV3722" s="82"/>
      <c r="AW3722" s="82" t="str">
        <f t="shared" si="1"/>
        <v/>
      </c>
      <c r="AX3722" s="83" t="str">
        <f t="array" ref="AX3722">IFERROR(DGET('SBV Import'!A:G,"SBV",{"RSC ID","Tier";B3722,A3722}))</f>
        <v/>
      </c>
      <c r="AY3722" s="82" t="str">
        <f t="shared" si="2"/>
        <v/>
      </c>
      <c r="AZ3722" s="82"/>
      <c r="BA3722" s="84" t="s">
        <v>152</v>
      </c>
      <c r="BB3722" s="84" t="str">
        <f>IFERROR(__xludf.DUMMYFUNCTION("iferror(if(A3722="""",,E3722&gt;=FILTER(Constants!$F$2:$F$10,Constants!$A$2:$A$10=A3722)))"),"")</f>
        <v/>
      </c>
    </row>
    <row r="3723">
      <c r="A3723" s="89"/>
      <c r="B3723" s="87"/>
      <c r="C3723" s="73"/>
      <c r="D3723" s="73"/>
      <c r="E3723" s="82"/>
      <c r="F3723" s="82"/>
      <c r="G3723" s="86"/>
      <c r="H3723" s="86"/>
      <c r="I3723" s="86"/>
      <c r="J3723" s="82"/>
      <c r="K3723" s="82"/>
      <c r="L3723" s="82"/>
      <c r="M3723" s="82"/>
      <c r="N3723" s="82"/>
      <c r="O3723" s="82"/>
      <c r="P3723" s="82"/>
      <c r="Q3723" s="82"/>
      <c r="R3723" s="82"/>
      <c r="S3723" s="82"/>
      <c r="T3723" s="82"/>
      <c r="U3723" s="82"/>
      <c r="V3723" s="82"/>
      <c r="W3723" s="82"/>
      <c r="X3723" s="82"/>
      <c r="Y3723" s="82"/>
      <c r="Z3723" s="82"/>
      <c r="AA3723" s="82"/>
      <c r="AB3723" s="82"/>
      <c r="AC3723" s="82"/>
      <c r="AD3723" s="82"/>
      <c r="AE3723" s="82"/>
      <c r="AF3723" s="82"/>
      <c r="AG3723" s="82"/>
      <c r="AH3723" s="82"/>
      <c r="AI3723" s="82"/>
      <c r="AJ3723" s="82"/>
      <c r="AK3723" s="82"/>
      <c r="AL3723" s="82"/>
      <c r="AM3723" s="82"/>
      <c r="AN3723" s="82"/>
      <c r="AO3723" s="82"/>
      <c r="AP3723" s="82"/>
      <c r="AQ3723" s="82"/>
      <c r="AR3723" s="82"/>
      <c r="AS3723" s="82"/>
      <c r="AT3723" s="82"/>
      <c r="AU3723" s="82"/>
      <c r="AV3723" s="82"/>
      <c r="AW3723" s="82" t="str">
        <f t="shared" si="1"/>
        <v/>
      </c>
      <c r="AX3723" s="83" t="str">
        <f t="array" ref="AX3723">IFERROR(DGET('SBV Import'!A:G,"SBV",{"RSC ID","Tier";B3723,A3723}))</f>
        <v/>
      </c>
      <c r="AY3723" s="82" t="str">
        <f t="shared" si="2"/>
        <v/>
      </c>
      <c r="AZ3723" s="82"/>
      <c r="BA3723" s="84" t="s">
        <v>152</v>
      </c>
      <c r="BB3723" s="84" t="str">
        <f>IFERROR(__xludf.DUMMYFUNCTION("iferror(if(A3723="""",,E3723&gt;=FILTER(Constants!$F$2:$F$10,Constants!$A$2:$A$10=A3723)))"),"")</f>
        <v/>
      </c>
    </row>
    <row r="3724">
      <c r="A3724" s="89"/>
      <c r="B3724" s="87"/>
      <c r="C3724" s="73"/>
      <c r="D3724" s="73"/>
      <c r="E3724" s="82"/>
      <c r="F3724" s="82"/>
      <c r="G3724" s="86"/>
      <c r="H3724" s="86"/>
      <c r="I3724" s="86"/>
      <c r="J3724" s="82"/>
      <c r="K3724" s="82"/>
      <c r="L3724" s="82"/>
      <c r="M3724" s="82"/>
      <c r="N3724" s="82"/>
      <c r="O3724" s="82"/>
      <c r="P3724" s="82"/>
      <c r="Q3724" s="82"/>
      <c r="R3724" s="82"/>
      <c r="S3724" s="82"/>
      <c r="T3724" s="82"/>
      <c r="U3724" s="82"/>
      <c r="V3724" s="82"/>
      <c r="W3724" s="82"/>
      <c r="X3724" s="82"/>
      <c r="Y3724" s="82"/>
      <c r="Z3724" s="82"/>
      <c r="AA3724" s="82"/>
      <c r="AB3724" s="82"/>
      <c r="AC3724" s="82"/>
      <c r="AD3724" s="82"/>
      <c r="AE3724" s="82"/>
      <c r="AF3724" s="82"/>
      <c r="AG3724" s="82"/>
      <c r="AH3724" s="82"/>
      <c r="AI3724" s="82"/>
      <c r="AJ3724" s="82"/>
      <c r="AK3724" s="82"/>
      <c r="AL3724" s="82"/>
      <c r="AM3724" s="82"/>
      <c r="AN3724" s="82"/>
      <c r="AO3724" s="82"/>
      <c r="AP3724" s="82"/>
      <c r="AQ3724" s="82"/>
      <c r="AR3724" s="82"/>
      <c r="AS3724" s="82"/>
      <c r="AT3724" s="82"/>
      <c r="AU3724" s="82"/>
      <c r="AV3724" s="82"/>
      <c r="AW3724" s="82" t="str">
        <f t="shared" si="1"/>
        <v/>
      </c>
      <c r="AX3724" s="83" t="str">
        <f t="array" ref="AX3724">IFERROR(DGET('SBV Import'!A:G,"SBV",{"RSC ID","Tier";B3724,A3724}))</f>
        <v/>
      </c>
      <c r="AY3724" s="82" t="str">
        <f t="shared" si="2"/>
        <v/>
      </c>
      <c r="AZ3724" s="82"/>
      <c r="BA3724" s="84" t="s">
        <v>152</v>
      </c>
      <c r="BB3724" s="84" t="str">
        <f>IFERROR(__xludf.DUMMYFUNCTION("iferror(if(A3724="""",,E3724&gt;=FILTER(Constants!$F$2:$F$10,Constants!$A$2:$A$10=A3724)))"),"")</f>
        <v/>
      </c>
    </row>
    <row r="3725">
      <c r="A3725" s="89"/>
      <c r="B3725" s="87"/>
      <c r="C3725" s="73"/>
      <c r="D3725" s="73"/>
      <c r="E3725" s="82"/>
      <c r="F3725" s="82"/>
      <c r="G3725" s="86"/>
      <c r="H3725" s="86"/>
      <c r="I3725" s="86"/>
      <c r="J3725" s="82"/>
      <c r="K3725" s="82"/>
      <c r="L3725" s="82"/>
      <c r="M3725" s="82"/>
      <c r="N3725" s="82"/>
      <c r="O3725" s="82"/>
      <c r="P3725" s="82"/>
      <c r="Q3725" s="82"/>
      <c r="R3725" s="82"/>
      <c r="S3725" s="82"/>
      <c r="T3725" s="82"/>
      <c r="U3725" s="82"/>
      <c r="V3725" s="82"/>
      <c r="W3725" s="82"/>
      <c r="X3725" s="82"/>
      <c r="Y3725" s="82"/>
      <c r="Z3725" s="82"/>
      <c r="AA3725" s="82"/>
      <c r="AB3725" s="82"/>
      <c r="AC3725" s="82"/>
      <c r="AD3725" s="82"/>
      <c r="AE3725" s="82"/>
      <c r="AF3725" s="82"/>
      <c r="AG3725" s="82"/>
      <c r="AH3725" s="82"/>
      <c r="AI3725" s="82"/>
      <c r="AJ3725" s="82"/>
      <c r="AK3725" s="82"/>
      <c r="AL3725" s="82"/>
      <c r="AM3725" s="82"/>
      <c r="AN3725" s="82"/>
      <c r="AO3725" s="82"/>
      <c r="AP3725" s="82"/>
      <c r="AQ3725" s="82"/>
      <c r="AR3725" s="82"/>
      <c r="AS3725" s="82"/>
      <c r="AT3725" s="82"/>
      <c r="AU3725" s="82"/>
      <c r="AV3725" s="82"/>
      <c r="AW3725" s="82" t="str">
        <f t="shared" si="1"/>
        <v/>
      </c>
      <c r="AX3725" s="83" t="str">
        <f t="array" ref="AX3725">IFERROR(DGET('SBV Import'!A:G,"SBV",{"RSC ID","Tier";B3725,A3725}))</f>
        <v/>
      </c>
      <c r="AY3725" s="82" t="str">
        <f t="shared" si="2"/>
        <v/>
      </c>
      <c r="AZ3725" s="82"/>
      <c r="BA3725" s="84" t="s">
        <v>152</v>
      </c>
      <c r="BB3725" s="84" t="str">
        <f>IFERROR(__xludf.DUMMYFUNCTION("iferror(if(A3725="""",,E3725&gt;=FILTER(Constants!$F$2:$F$10,Constants!$A$2:$A$10=A3725)))"),"")</f>
        <v/>
      </c>
    </row>
    <row r="3726">
      <c r="A3726" s="89"/>
      <c r="B3726" s="87"/>
      <c r="C3726" s="73"/>
      <c r="D3726" s="73"/>
      <c r="E3726" s="82"/>
      <c r="F3726" s="82"/>
      <c r="G3726" s="86"/>
      <c r="H3726" s="86"/>
      <c r="I3726" s="86"/>
      <c r="J3726" s="82"/>
      <c r="K3726" s="82"/>
      <c r="L3726" s="82"/>
      <c r="M3726" s="82"/>
      <c r="N3726" s="82"/>
      <c r="O3726" s="82"/>
      <c r="P3726" s="82"/>
      <c r="Q3726" s="82"/>
      <c r="R3726" s="82"/>
      <c r="S3726" s="82"/>
      <c r="T3726" s="82"/>
      <c r="U3726" s="82"/>
      <c r="V3726" s="82"/>
      <c r="W3726" s="82"/>
      <c r="X3726" s="82"/>
      <c r="Y3726" s="82"/>
      <c r="Z3726" s="82"/>
      <c r="AA3726" s="82"/>
      <c r="AB3726" s="82"/>
      <c r="AC3726" s="82"/>
      <c r="AD3726" s="82"/>
      <c r="AE3726" s="82"/>
      <c r="AF3726" s="82"/>
      <c r="AG3726" s="82"/>
      <c r="AH3726" s="82"/>
      <c r="AI3726" s="82"/>
      <c r="AJ3726" s="82"/>
      <c r="AK3726" s="82"/>
      <c r="AL3726" s="82"/>
      <c r="AM3726" s="82"/>
      <c r="AN3726" s="82"/>
      <c r="AO3726" s="82"/>
      <c r="AP3726" s="82"/>
      <c r="AQ3726" s="82"/>
      <c r="AR3726" s="82"/>
      <c r="AS3726" s="82"/>
      <c r="AT3726" s="82"/>
      <c r="AU3726" s="82"/>
      <c r="AV3726" s="82"/>
      <c r="AW3726" s="82" t="str">
        <f t="shared" si="1"/>
        <v/>
      </c>
      <c r="AX3726" s="83" t="str">
        <f t="array" ref="AX3726">IFERROR(DGET('SBV Import'!A:G,"SBV",{"RSC ID","Tier";B3726,A3726}))</f>
        <v/>
      </c>
      <c r="AY3726" s="82" t="str">
        <f t="shared" si="2"/>
        <v/>
      </c>
      <c r="AZ3726" s="82"/>
      <c r="BA3726" s="84" t="s">
        <v>152</v>
      </c>
      <c r="BB3726" s="84" t="str">
        <f>IFERROR(__xludf.DUMMYFUNCTION("iferror(if(A3726="""",,E3726&gt;=FILTER(Constants!$F$2:$F$10,Constants!$A$2:$A$10=A3726)))"),"")</f>
        <v/>
      </c>
    </row>
    <row r="3727">
      <c r="A3727" s="89"/>
      <c r="B3727" s="87"/>
      <c r="C3727" s="73"/>
      <c r="D3727" s="73"/>
      <c r="E3727" s="82"/>
      <c r="F3727" s="82"/>
      <c r="G3727" s="86"/>
      <c r="H3727" s="86"/>
      <c r="I3727" s="86"/>
      <c r="J3727" s="82"/>
      <c r="K3727" s="82"/>
      <c r="L3727" s="82"/>
      <c r="M3727" s="82"/>
      <c r="N3727" s="82"/>
      <c r="O3727" s="82"/>
      <c r="P3727" s="82"/>
      <c r="Q3727" s="82"/>
      <c r="R3727" s="82"/>
      <c r="S3727" s="82"/>
      <c r="T3727" s="82"/>
      <c r="U3727" s="82"/>
      <c r="V3727" s="82"/>
      <c r="W3727" s="82"/>
      <c r="X3727" s="82"/>
      <c r="Y3727" s="82"/>
      <c r="Z3727" s="82"/>
      <c r="AA3727" s="82"/>
      <c r="AB3727" s="82"/>
      <c r="AC3727" s="82"/>
      <c r="AD3727" s="82"/>
      <c r="AE3727" s="82"/>
      <c r="AF3727" s="82"/>
      <c r="AG3727" s="82"/>
      <c r="AH3727" s="82"/>
      <c r="AI3727" s="82"/>
      <c r="AJ3727" s="82"/>
      <c r="AK3727" s="82"/>
      <c r="AL3727" s="82"/>
      <c r="AM3727" s="82"/>
      <c r="AN3727" s="82"/>
      <c r="AO3727" s="82"/>
      <c r="AP3727" s="82"/>
      <c r="AQ3727" s="82"/>
      <c r="AR3727" s="82"/>
      <c r="AS3727" s="82"/>
      <c r="AT3727" s="82"/>
      <c r="AU3727" s="82"/>
      <c r="AV3727" s="82"/>
      <c r="AW3727" s="82" t="str">
        <f t="shared" si="1"/>
        <v/>
      </c>
      <c r="AX3727" s="83" t="str">
        <f t="array" ref="AX3727">IFERROR(DGET('SBV Import'!A:G,"SBV",{"RSC ID","Tier";B3727,A3727}))</f>
        <v/>
      </c>
      <c r="AY3727" s="82" t="str">
        <f t="shared" si="2"/>
        <v/>
      </c>
      <c r="AZ3727" s="82"/>
      <c r="BA3727" s="84" t="s">
        <v>152</v>
      </c>
      <c r="BB3727" s="84" t="str">
        <f>IFERROR(__xludf.DUMMYFUNCTION("iferror(if(A3727="""",,E3727&gt;=FILTER(Constants!$F$2:$F$10,Constants!$A$2:$A$10=A3727)))"),"")</f>
        <v/>
      </c>
    </row>
    <row r="3728">
      <c r="A3728" s="89"/>
      <c r="B3728" s="87"/>
      <c r="C3728" s="73"/>
      <c r="D3728" s="73"/>
      <c r="E3728" s="82"/>
      <c r="F3728" s="82"/>
      <c r="G3728" s="86"/>
      <c r="H3728" s="86"/>
      <c r="I3728" s="86"/>
      <c r="J3728" s="82"/>
      <c r="K3728" s="82"/>
      <c r="L3728" s="82"/>
      <c r="M3728" s="82"/>
      <c r="N3728" s="82"/>
      <c r="O3728" s="82"/>
      <c r="P3728" s="82"/>
      <c r="Q3728" s="82"/>
      <c r="R3728" s="82"/>
      <c r="S3728" s="82"/>
      <c r="T3728" s="82"/>
      <c r="U3728" s="82"/>
      <c r="V3728" s="82"/>
      <c r="W3728" s="82"/>
      <c r="X3728" s="82"/>
      <c r="Y3728" s="82"/>
      <c r="Z3728" s="82"/>
      <c r="AA3728" s="82"/>
      <c r="AB3728" s="82"/>
      <c r="AC3728" s="82"/>
      <c r="AD3728" s="82"/>
      <c r="AE3728" s="82"/>
      <c r="AF3728" s="82"/>
      <c r="AG3728" s="82"/>
      <c r="AH3728" s="82"/>
      <c r="AI3728" s="82"/>
      <c r="AJ3728" s="82"/>
      <c r="AK3728" s="82"/>
      <c r="AL3728" s="82"/>
      <c r="AM3728" s="82"/>
      <c r="AN3728" s="82"/>
      <c r="AO3728" s="82"/>
      <c r="AP3728" s="82"/>
      <c r="AQ3728" s="82"/>
      <c r="AR3728" s="82"/>
      <c r="AS3728" s="82"/>
      <c r="AT3728" s="82"/>
      <c r="AU3728" s="82"/>
      <c r="AV3728" s="82"/>
      <c r="AW3728" s="82" t="str">
        <f t="shared" si="1"/>
        <v/>
      </c>
      <c r="AX3728" s="83" t="str">
        <f t="array" ref="AX3728">IFERROR(DGET('SBV Import'!A:G,"SBV",{"RSC ID","Tier";B3728,A3728}))</f>
        <v/>
      </c>
      <c r="AY3728" s="82" t="str">
        <f t="shared" si="2"/>
        <v/>
      </c>
      <c r="AZ3728" s="82"/>
      <c r="BA3728" s="84" t="s">
        <v>152</v>
      </c>
      <c r="BB3728" s="84" t="str">
        <f>IFERROR(__xludf.DUMMYFUNCTION("iferror(if(A3728="""",,E3728&gt;=FILTER(Constants!$F$2:$F$10,Constants!$A$2:$A$10=A3728)))"),"")</f>
        <v/>
      </c>
    </row>
    <row r="3729">
      <c r="A3729" s="89"/>
      <c r="B3729" s="87"/>
      <c r="C3729" s="73"/>
      <c r="D3729" s="73"/>
      <c r="E3729" s="82"/>
      <c r="F3729" s="82"/>
      <c r="G3729" s="86"/>
      <c r="H3729" s="86"/>
      <c r="I3729" s="86"/>
      <c r="J3729" s="82"/>
      <c r="K3729" s="82"/>
      <c r="L3729" s="82"/>
      <c r="M3729" s="82"/>
      <c r="N3729" s="82"/>
      <c r="O3729" s="82"/>
      <c r="P3729" s="82"/>
      <c r="Q3729" s="82"/>
      <c r="R3729" s="82"/>
      <c r="S3729" s="82"/>
      <c r="T3729" s="82"/>
      <c r="U3729" s="82"/>
      <c r="V3729" s="82"/>
      <c r="W3729" s="82"/>
      <c r="X3729" s="82"/>
      <c r="Y3729" s="82"/>
      <c r="Z3729" s="82"/>
      <c r="AA3729" s="82"/>
      <c r="AB3729" s="82"/>
      <c r="AC3729" s="82"/>
      <c r="AD3729" s="82"/>
      <c r="AE3729" s="82"/>
      <c r="AF3729" s="82"/>
      <c r="AG3729" s="82"/>
      <c r="AH3729" s="82"/>
      <c r="AI3729" s="82"/>
      <c r="AJ3729" s="82"/>
      <c r="AK3729" s="82"/>
      <c r="AL3729" s="82"/>
      <c r="AM3729" s="82"/>
      <c r="AN3729" s="82"/>
      <c r="AO3729" s="82"/>
      <c r="AP3729" s="82"/>
      <c r="AQ3729" s="82"/>
      <c r="AR3729" s="82"/>
      <c r="AS3729" s="82"/>
      <c r="AT3729" s="82"/>
      <c r="AU3729" s="82"/>
      <c r="AV3729" s="82"/>
      <c r="AW3729" s="82" t="str">
        <f t="shared" si="1"/>
        <v/>
      </c>
      <c r="AX3729" s="83" t="str">
        <f t="array" ref="AX3729">IFERROR(DGET('SBV Import'!A:G,"SBV",{"RSC ID","Tier";B3729,A3729}))</f>
        <v/>
      </c>
      <c r="AY3729" s="82" t="str">
        <f t="shared" si="2"/>
        <v/>
      </c>
      <c r="AZ3729" s="82"/>
      <c r="BA3729" s="84" t="s">
        <v>152</v>
      </c>
      <c r="BB3729" s="84" t="str">
        <f>IFERROR(__xludf.DUMMYFUNCTION("iferror(if(A3729="""",,E3729&gt;=FILTER(Constants!$F$2:$F$10,Constants!$A$2:$A$10=A3729)))"),"")</f>
        <v/>
      </c>
    </row>
    <row r="3730">
      <c r="A3730" s="89"/>
      <c r="B3730" s="87"/>
      <c r="C3730" s="73"/>
      <c r="D3730" s="73"/>
      <c r="E3730" s="82"/>
      <c r="F3730" s="82"/>
      <c r="G3730" s="86"/>
      <c r="H3730" s="86"/>
      <c r="I3730" s="86"/>
      <c r="J3730" s="82"/>
      <c r="K3730" s="82"/>
      <c r="L3730" s="82"/>
      <c r="M3730" s="82"/>
      <c r="N3730" s="82"/>
      <c r="O3730" s="82"/>
      <c r="P3730" s="82"/>
      <c r="Q3730" s="82"/>
      <c r="R3730" s="82"/>
      <c r="S3730" s="82"/>
      <c r="T3730" s="82"/>
      <c r="U3730" s="82"/>
      <c r="V3730" s="82"/>
      <c r="W3730" s="82"/>
      <c r="X3730" s="82"/>
      <c r="Y3730" s="82"/>
      <c r="Z3730" s="82"/>
      <c r="AA3730" s="82"/>
      <c r="AB3730" s="82"/>
      <c r="AC3730" s="82"/>
      <c r="AD3730" s="82"/>
      <c r="AE3730" s="82"/>
      <c r="AF3730" s="82"/>
      <c r="AG3730" s="82"/>
      <c r="AH3730" s="82"/>
      <c r="AI3730" s="82"/>
      <c r="AJ3730" s="82"/>
      <c r="AK3730" s="82"/>
      <c r="AL3730" s="82"/>
      <c r="AM3730" s="82"/>
      <c r="AN3730" s="82"/>
      <c r="AO3730" s="82"/>
      <c r="AP3730" s="82"/>
      <c r="AQ3730" s="82"/>
      <c r="AR3730" s="82"/>
      <c r="AS3730" s="82"/>
      <c r="AT3730" s="82"/>
      <c r="AU3730" s="82"/>
      <c r="AV3730" s="82"/>
      <c r="AW3730" s="82" t="str">
        <f t="shared" si="1"/>
        <v/>
      </c>
      <c r="AX3730" s="83" t="str">
        <f t="array" ref="AX3730">IFERROR(DGET('SBV Import'!A:G,"SBV",{"RSC ID","Tier";B3730,A3730}))</f>
        <v/>
      </c>
      <c r="AY3730" s="82" t="str">
        <f t="shared" si="2"/>
        <v/>
      </c>
      <c r="AZ3730" s="82"/>
      <c r="BA3730" s="84" t="s">
        <v>152</v>
      </c>
      <c r="BB3730" s="84" t="str">
        <f>IFERROR(__xludf.DUMMYFUNCTION("iferror(if(A3730="""",,E3730&gt;=FILTER(Constants!$F$2:$F$10,Constants!$A$2:$A$10=A3730)))"),"")</f>
        <v/>
      </c>
    </row>
    <row r="3731">
      <c r="A3731" s="89"/>
      <c r="B3731" s="87"/>
      <c r="C3731" s="73"/>
      <c r="D3731" s="73"/>
      <c r="E3731" s="82"/>
      <c r="F3731" s="82"/>
      <c r="G3731" s="86"/>
      <c r="H3731" s="86"/>
      <c r="I3731" s="86"/>
      <c r="J3731" s="82"/>
      <c r="K3731" s="82"/>
      <c r="L3731" s="82"/>
      <c r="M3731" s="82"/>
      <c r="N3731" s="82"/>
      <c r="O3731" s="82"/>
      <c r="P3731" s="82"/>
      <c r="Q3731" s="82"/>
      <c r="R3731" s="82"/>
      <c r="S3731" s="82"/>
      <c r="T3731" s="82"/>
      <c r="U3731" s="82"/>
      <c r="V3731" s="82"/>
      <c r="W3731" s="82"/>
      <c r="X3731" s="82"/>
      <c r="Y3731" s="82"/>
      <c r="Z3731" s="82"/>
      <c r="AA3731" s="82"/>
      <c r="AB3731" s="82"/>
      <c r="AC3731" s="82"/>
      <c r="AD3731" s="82"/>
      <c r="AE3731" s="82"/>
      <c r="AF3731" s="82"/>
      <c r="AG3731" s="82"/>
      <c r="AH3731" s="82"/>
      <c r="AI3731" s="82"/>
      <c r="AJ3731" s="82"/>
      <c r="AK3731" s="82"/>
      <c r="AL3731" s="82"/>
      <c r="AM3731" s="82"/>
      <c r="AN3731" s="82"/>
      <c r="AO3731" s="82"/>
      <c r="AP3731" s="82"/>
      <c r="AQ3731" s="82"/>
      <c r="AR3731" s="82"/>
      <c r="AS3731" s="82"/>
      <c r="AT3731" s="82"/>
      <c r="AU3731" s="82"/>
      <c r="AV3731" s="82"/>
      <c r="AW3731" s="82" t="str">
        <f t="shared" si="1"/>
        <v/>
      </c>
      <c r="AX3731" s="83" t="str">
        <f t="array" ref="AX3731">IFERROR(DGET('SBV Import'!A:G,"SBV",{"RSC ID","Tier";B3731,A3731}))</f>
        <v/>
      </c>
      <c r="AY3731" s="82" t="str">
        <f t="shared" si="2"/>
        <v/>
      </c>
      <c r="AZ3731" s="82"/>
      <c r="BA3731" s="84" t="s">
        <v>152</v>
      </c>
      <c r="BB3731" s="84" t="str">
        <f>IFERROR(__xludf.DUMMYFUNCTION("iferror(if(A3731="""",,E3731&gt;=FILTER(Constants!$F$2:$F$10,Constants!$A$2:$A$10=A3731)))"),"")</f>
        <v/>
      </c>
    </row>
    <row r="3732">
      <c r="A3732" s="89"/>
      <c r="B3732" s="87"/>
      <c r="C3732" s="73"/>
      <c r="D3732" s="73"/>
      <c r="E3732" s="82"/>
      <c r="F3732" s="82"/>
      <c r="G3732" s="86"/>
      <c r="H3732" s="86"/>
      <c r="I3732" s="86"/>
      <c r="J3732" s="82"/>
      <c r="K3732" s="82"/>
      <c r="L3732" s="82"/>
      <c r="M3732" s="82"/>
      <c r="N3732" s="82"/>
      <c r="O3732" s="82"/>
      <c r="P3732" s="82"/>
      <c r="Q3732" s="82"/>
      <c r="R3732" s="82"/>
      <c r="S3732" s="82"/>
      <c r="T3732" s="82"/>
      <c r="U3732" s="82"/>
      <c r="V3732" s="82"/>
      <c r="W3732" s="82"/>
      <c r="X3732" s="82"/>
      <c r="Y3732" s="82"/>
      <c r="Z3732" s="82"/>
      <c r="AA3732" s="82"/>
      <c r="AB3732" s="82"/>
      <c r="AC3732" s="82"/>
      <c r="AD3732" s="82"/>
      <c r="AE3732" s="82"/>
      <c r="AF3732" s="82"/>
      <c r="AG3732" s="82"/>
      <c r="AH3732" s="82"/>
      <c r="AI3732" s="82"/>
      <c r="AJ3732" s="82"/>
      <c r="AK3732" s="82"/>
      <c r="AL3732" s="82"/>
      <c r="AM3732" s="82"/>
      <c r="AN3732" s="82"/>
      <c r="AO3732" s="82"/>
      <c r="AP3732" s="82"/>
      <c r="AQ3732" s="82"/>
      <c r="AR3732" s="82"/>
      <c r="AS3732" s="82"/>
      <c r="AT3732" s="82"/>
      <c r="AU3732" s="82"/>
      <c r="AV3732" s="82"/>
      <c r="AW3732" s="82" t="str">
        <f t="shared" si="1"/>
        <v/>
      </c>
      <c r="AX3732" s="83" t="str">
        <f t="array" ref="AX3732">IFERROR(DGET('SBV Import'!A:G,"SBV",{"RSC ID","Tier";B3732,A3732}))</f>
        <v/>
      </c>
      <c r="AY3732" s="82" t="str">
        <f t="shared" si="2"/>
        <v/>
      </c>
      <c r="AZ3732" s="82"/>
      <c r="BA3732" s="84" t="s">
        <v>152</v>
      </c>
      <c r="BB3732" s="84" t="str">
        <f>IFERROR(__xludf.DUMMYFUNCTION("iferror(if(A3732="""",,E3732&gt;=FILTER(Constants!$F$2:$F$10,Constants!$A$2:$A$10=A3732)))"),"")</f>
        <v/>
      </c>
    </row>
    <row r="3733">
      <c r="A3733" s="89"/>
      <c r="B3733" s="87"/>
      <c r="C3733" s="73"/>
      <c r="D3733" s="73"/>
      <c r="E3733" s="82"/>
      <c r="F3733" s="82"/>
      <c r="G3733" s="86"/>
      <c r="H3733" s="86"/>
      <c r="I3733" s="86"/>
      <c r="J3733" s="82"/>
      <c r="K3733" s="82"/>
      <c r="L3733" s="82"/>
      <c r="M3733" s="82"/>
      <c r="N3733" s="82"/>
      <c r="O3733" s="82"/>
      <c r="P3733" s="82"/>
      <c r="Q3733" s="82"/>
      <c r="R3733" s="82"/>
      <c r="S3733" s="82"/>
      <c r="T3733" s="82"/>
      <c r="U3733" s="82"/>
      <c r="V3733" s="82"/>
      <c r="W3733" s="82"/>
      <c r="X3733" s="82"/>
      <c r="Y3733" s="82"/>
      <c r="Z3733" s="82"/>
      <c r="AA3733" s="82"/>
      <c r="AB3733" s="82"/>
      <c r="AC3733" s="82"/>
      <c r="AD3733" s="82"/>
      <c r="AE3733" s="82"/>
      <c r="AF3733" s="82"/>
      <c r="AG3733" s="82"/>
      <c r="AH3733" s="82"/>
      <c r="AI3733" s="82"/>
      <c r="AJ3733" s="82"/>
      <c r="AK3733" s="82"/>
      <c r="AL3733" s="82"/>
      <c r="AM3733" s="82"/>
      <c r="AN3733" s="82"/>
      <c r="AO3733" s="82"/>
      <c r="AP3733" s="82"/>
      <c r="AQ3733" s="82"/>
      <c r="AR3733" s="82"/>
      <c r="AS3733" s="82"/>
      <c r="AT3733" s="82"/>
      <c r="AU3733" s="82"/>
      <c r="AV3733" s="82"/>
      <c r="AW3733" s="82" t="str">
        <f t="shared" si="1"/>
        <v/>
      </c>
      <c r="AX3733" s="83" t="str">
        <f t="array" ref="AX3733">IFERROR(DGET('SBV Import'!A:G,"SBV",{"RSC ID","Tier";B3733,A3733}))</f>
        <v/>
      </c>
      <c r="AY3733" s="82" t="str">
        <f t="shared" si="2"/>
        <v/>
      </c>
      <c r="AZ3733" s="82"/>
      <c r="BA3733" s="84" t="s">
        <v>152</v>
      </c>
      <c r="BB3733" s="84" t="str">
        <f>IFERROR(__xludf.DUMMYFUNCTION("iferror(if(A3733="""",,E3733&gt;=FILTER(Constants!$F$2:$F$10,Constants!$A$2:$A$10=A3733)))"),"")</f>
        <v/>
      </c>
    </row>
    <row r="3734">
      <c r="A3734" s="89"/>
      <c r="B3734" s="87"/>
      <c r="C3734" s="73"/>
      <c r="D3734" s="73"/>
      <c r="E3734" s="82"/>
      <c r="F3734" s="82"/>
      <c r="G3734" s="86"/>
      <c r="H3734" s="86"/>
      <c r="I3734" s="86"/>
      <c r="J3734" s="82"/>
      <c r="K3734" s="82"/>
      <c r="L3734" s="82"/>
      <c r="M3734" s="82"/>
      <c r="N3734" s="82"/>
      <c r="O3734" s="82"/>
      <c r="P3734" s="82"/>
      <c r="Q3734" s="82"/>
      <c r="R3734" s="82"/>
      <c r="S3734" s="82"/>
      <c r="T3734" s="82"/>
      <c r="U3734" s="82"/>
      <c r="V3734" s="82"/>
      <c r="W3734" s="82"/>
      <c r="X3734" s="82"/>
      <c r="Y3734" s="82"/>
      <c r="Z3734" s="82"/>
      <c r="AA3734" s="82"/>
      <c r="AB3734" s="82"/>
      <c r="AC3734" s="82"/>
      <c r="AD3734" s="82"/>
      <c r="AE3734" s="82"/>
      <c r="AF3734" s="82"/>
      <c r="AG3734" s="82"/>
      <c r="AH3734" s="82"/>
      <c r="AI3734" s="82"/>
      <c r="AJ3734" s="82"/>
      <c r="AK3734" s="82"/>
      <c r="AL3734" s="82"/>
      <c r="AM3734" s="82"/>
      <c r="AN3734" s="82"/>
      <c r="AO3734" s="82"/>
      <c r="AP3734" s="82"/>
      <c r="AQ3734" s="82"/>
      <c r="AR3734" s="82"/>
      <c r="AS3734" s="82"/>
      <c r="AT3734" s="82"/>
      <c r="AU3734" s="82"/>
      <c r="AV3734" s="82"/>
      <c r="AW3734" s="82" t="str">
        <f t="shared" si="1"/>
        <v/>
      </c>
      <c r="AX3734" s="83" t="str">
        <f t="array" ref="AX3734">IFERROR(DGET('SBV Import'!A:G,"SBV",{"RSC ID","Tier";B3734,A3734}))</f>
        <v/>
      </c>
      <c r="AY3734" s="82" t="str">
        <f t="shared" si="2"/>
        <v/>
      </c>
      <c r="AZ3734" s="82"/>
      <c r="BA3734" s="84" t="s">
        <v>152</v>
      </c>
      <c r="BB3734" s="84" t="str">
        <f>IFERROR(__xludf.DUMMYFUNCTION("iferror(if(A3734="""",,E3734&gt;=FILTER(Constants!$F$2:$F$10,Constants!$A$2:$A$10=A3734)))"),"")</f>
        <v/>
      </c>
    </row>
    <row r="3735">
      <c r="A3735" s="89"/>
      <c r="B3735" s="87"/>
      <c r="C3735" s="73"/>
      <c r="D3735" s="73"/>
      <c r="E3735" s="82"/>
      <c r="F3735" s="82"/>
      <c r="G3735" s="86"/>
      <c r="H3735" s="86"/>
      <c r="I3735" s="86"/>
      <c r="J3735" s="82"/>
      <c r="K3735" s="82"/>
      <c r="L3735" s="82"/>
      <c r="M3735" s="82"/>
      <c r="N3735" s="82"/>
      <c r="O3735" s="82"/>
      <c r="P3735" s="82"/>
      <c r="Q3735" s="82"/>
      <c r="R3735" s="82"/>
      <c r="S3735" s="82"/>
      <c r="T3735" s="82"/>
      <c r="U3735" s="82"/>
      <c r="V3735" s="82"/>
      <c r="W3735" s="82"/>
      <c r="X3735" s="82"/>
      <c r="Y3735" s="82"/>
      <c r="Z3735" s="82"/>
      <c r="AA3735" s="82"/>
      <c r="AB3735" s="82"/>
      <c r="AC3735" s="82"/>
      <c r="AD3735" s="82"/>
      <c r="AE3735" s="82"/>
      <c r="AF3735" s="82"/>
      <c r="AG3735" s="82"/>
      <c r="AH3735" s="82"/>
      <c r="AI3735" s="82"/>
      <c r="AJ3735" s="82"/>
      <c r="AK3735" s="82"/>
      <c r="AL3735" s="82"/>
      <c r="AM3735" s="82"/>
      <c r="AN3735" s="82"/>
      <c r="AO3735" s="82"/>
      <c r="AP3735" s="82"/>
      <c r="AQ3735" s="82"/>
      <c r="AR3735" s="82"/>
      <c r="AS3735" s="82"/>
      <c r="AT3735" s="82"/>
      <c r="AU3735" s="82"/>
      <c r="AV3735" s="82"/>
      <c r="AW3735" s="82" t="str">
        <f t="shared" si="1"/>
        <v/>
      </c>
      <c r="AX3735" s="83" t="str">
        <f t="array" ref="AX3735">IFERROR(DGET('SBV Import'!A:G,"SBV",{"RSC ID","Tier";B3735,A3735}))</f>
        <v/>
      </c>
      <c r="AY3735" s="82" t="str">
        <f t="shared" si="2"/>
        <v/>
      </c>
      <c r="AZ3735" s="82"/>
      <c r="BA3735" s="84" t="s">
        <v>152</v>
      </c>
      <c r="BB3735" s="84" t="str">
        <f>IFERROR(__xludf.DUMMYFUNCTION("iferror(if(A3735="""",,E3735&gt;=FILTER(Constants!$F$2:$F$10,Constants!$A$2:$A$10=A3735)))"),"")</f>
        <v/>
      </c>
    </row>
    <row r="3736">
      <c r="A3736" s="89"/>
      <c r="B3736" s="87"/>
      <c r="C3736" s="73"/>
      <c r="D3736" s="73"/>
      <c r="E3736" s="82"/>
      <c r="F3736" s="82"/>
      <c r="G3736" s="86"/>
      <c r="H3736" s="86"/>
      <c r="I3736" s="86"/>
      <c r="J3736" s="82"/>
      <c r="K3736" s="82"/>
      <c r="L3736" s="82"/>
      <c r="M3736" s="82"/>
      <c r="N3736" s="82"/>
      <c r="O3736" s="82"/>
      <c r="P3736" s="82"/>
      <c r="Q3736" s="82"/>
      <c r="R3736" s="82"/>
      <c r="S3736" s="82"/>
      <c r="T3736" s="82"/>
      <c r="U3736" s="82"/>
      <c r="V3736" s="82"/>
      <c r="W3736" s="82"/>
      <c r="X3736" s="82"/>
      <c r="Y3736" s="82"/>
      <c r="Z3736" s="82"/>
      <c r="AA3736" s="82"/>
      <c r="AB3736" s="82"/>
      <c r="AC3736" s="82"/>
      <c r="AD3736" s="82"/>
      <c r="AE3736" s="82"/>
      <c r="AF3736" s="82"/>
      <c r="AG3736" s="82"/>
      <c r="AH3736" s="82"/>
      <c r="AI3736" s="82"/>
      <c r="AJ3736" s="82"/>
      <c r="AK3736" s="82"/>
      <c r="AL3736" s="82"/>
      <c r="AM3736" s="82"/>
      <c r="AN3736" s="82"/>
      <c r="AO3736" s="82"/>
      <c r="AP3736" s="82"/>
      <c r="AQ3736" s="82"/>
      <c r="AR3736" s="82"/>
      <c r="AS3736" s="82"/>
      <c r="AT3736" s="82"/>
      <c r="AU3736" s="82"/>
      <c r="AV3736" s="82"/>
      <c r="AW3736" s="82" t="str">
        <f t="shared" si="1"/>
        <v/>
      </c>
      <c r="AX3736" s="83" t="str">
        <f t="array" ref="AX3736">IFERROR(DGET('SBV Import'!A:G,"SBV",{"RSC ID","Tier";B3736,A3736}))</f>
        <v/>
      </c>
      <c r="AY3736" s="82" t="str">
        <f t="shared" si="2"/>
        <v/>
      </c>
      <c r="AZ3736" s="82"/>
      <c r="BA3736" s="84" t="s">
        <v>152</v>
      </c>
      <c r="BB3736" s="84" t="str">
        <f>IFERROR(__xludf.DUMMYFUNCTION("iferror(if(A3736="""",,E3736&gt;=FILTER(Constants!$F$2:$F$10,Constants!$A$2:$A$10=A3736)))"),"")</f>
        <v/>
      </c>
    </row>
    <row r="3737">
      <c r="A3737" s="89"/>
      <c r="B3737" s="87"/>
      <c r="C3737" s="73"/>
      <c r="D3737" s="73"/>
      <c r="E3737" s="82"/>
      <c r="F3737" s="82"/>
      <c r="G3737" s="86"/>
      <c r="H3737" s="86"/>
      <c r="I3737" s="86"/>
      <c r="J3737" s="82"/>
      <c r="K3737" s="82"/>
      <c r="L3737" s="82"/>
      <c r="M3737" s="82"/>
      <c r="N3737" s="82"/>
      <c r="O3737" s="82"/>
      <c r="P3737" s="82"/>
      <c r="Q3737" s="82"/>
      <c r="R3737" s="82"/>
      <c r="S3737" s="82"/>
      <c r="T3737" s="82"/>
      <c r="U3737" s="82"/>
      <c r="V3737" s="82"/>
      <c r="W3737" s="82"/>
      <c r="X3737" s="82"/>
      <c r="Y3737" s="82"/>
      <c r="Z3737" s="82"/>
      <c r="AA3737" s="82"/>
      <c r="AB3737" s="82"/>
      <c r="AC3737" s="82"/>
      <c r="AD3737" s="82"/>
      <c r="AE3737" s="82"/>
      <c r="AF3737" s="82"/>
      <c r="AG3737" s="82"/>
      <c r="AH3737" s="82"/>
      <c r="AI3737" s="82"/>
      <c r="AJ3737" s="82"/>
      <c r="AK3737" s="82"/>
      <c r="AL3737" s="82"/>
      <c r="AM3737" s="82"/>
      <c r="AN3737" s="82"/>
      <c r="AO3737" s="82"/>
      <c r="AP3737" s="82"/>
      <c r="AQ3737" s="82"/>
      <c r="AR3737" s="82"/>
      <c r="AS3737" s="82"/>
      <c r="AT3737" s="82"/>
      <c r="AU3737" s="82"/>
      <c r="AV3737" s="82"/>
      <c r="AW3737" s="82" t="str">
        <f t="shared" si="1"/>
        <v/>
      </c>
      <c r="AX3737" s="83" t="str">
        <f t="array" ref="AX3737">IFERROR(DGET('SBV Import'!A:G,"SBV",{"RSC ID","Tier";B3737,A3737}))</f>
        <v/>
      </c>
      <c r="AY3737" s="82" t="str">
        <f t="shared" si="2"/>
        <v/>
      </c>
      <c r="AZ3737" s="82"/>
      <c r="BA3737" s="84" t="s">
        <v>152</v>
      </c>
      <c r="BB3737" s="84" t="str">
        <f>IFERROR(__xludf.DUMMYFUNCTION("iferror(if(A3737="""",,E3737&gt;=FILTER(Constants!$F$2:$F$10,Constants!$A$2:$A$10=A3737)))"),"")</f>
        <v/>
      </c>
    </row>
    <row r="3738">
      <c r="A3738" s="89"/>
      <c r="B3738" s="87"/>
      <c r="C3738" s="73"/>
      <c r="D3738" s="73"/>
      <c r="E3738" s="82"/>
      <c r="F3738" s="82"/>
      <c r="G3738" s="86"/>
      <c r="H3738" s="86"/>
      <c r="I3738" s="86"/>
      <c r="J3738" s="82"/>
      <c r="K3738" s="82"/>
      <c r="L3738" s="82"/>
      <c r="M3738" s="82"/>
      <c r="N3738" s="82"/>
      <c r="O3738" s="82"/>
      <c r="P3738" s="82"/>
      <c r="Q3738" s="82"/>
      <c r="R3738" s="82"/>
      <c r="S3738" s="82"/>
      <c r="T3738" s="82"/>
      <c r="U3738" s="82"/>
      <c r="V3738" s="82"/>
      <c r="W3738" s="82"/>
      <c r="X3738" s="82"/>
      <c r="Y3738" s="82"/>
      <c r="Z3738" s="82"/>
      <c r="AA3738" s="82"/>
      <c r="AB3738" s="82"/>
      <c r="AC3738" s="82"/>
      <c r="AD3738" s="82"/>
      <c r="AE3738" s="82"/>
      <c r="AF3738" s="82"/>
      <c r="AG3738" s="82"/>
      <c r="AH3738" s="82"/>
      <c r="AI3738" s="82"/>
      <c r="AJ3738" s="82"/>
      <c r="AK3738" s="82"/>
      <c r="AL3738" s="82"/>
      <c r="AM3738" s="82"/>
      <c r="AN3738" s="82"/>
      <c r="AO3738" s="82"/>
      <c r="AP3738" s="82"/>
      <c r="AQ3738" s="82"/>
      <c r="AR3738" s="82"/>
      <c r="AS3738" s="82"/>
      <c r="AT3738" s="82"/>
      <c r="AU3738" s="82"/>
      <c r="AV3738" s="82"/>
      <c r="AW3738" s="82" t="str">
        <f t="shared" si="1"/>
        <v/>
      </c>
      <c r="AX3738" s="83" t="str">
        <f t="array" ref="AX3738">IFERROR(DGET('SBV Import'!A:G,"SBV",{"RSC ID","Tier";B3738,A3738}))</f>
        <v/>
      </c>
      <c r="AY3738" s="82" t="str">
        <f t="shared" si="2"/>
        <v/>
      </c>
      <c r="AZ3738" s="82"/>
      <c r="BA3738" s="84" t="s">
        <v>152</v>
      </c>
      <c r="BB3738" s="84" t="str">
        <f>IFERROR(__xludf.DUMMYFUNCTION("iferror(if(A3738="""",,E3738&gt;=FILTER(Constants!$F$2:$F$10,Constants!$A$2:$A$10=A3738)))"),"")</f>
        <v/>
      </c>
    </row>
    <row r="3739">
      <c r="A3739" s="89"/>
      <c r="B3739" s="87"/>
      <c r="C3739" s="73"/>
      <c r="D3739" s="73"/>
      <c r="E3739" s="82"/>
      <c r="F3739" s="82"/>
      <c r="G3739" s="86"/>
      <c r="H3739" s="86"/>
      <c r="I3739" s="86"/>
      <c r="J3739" s="82"/>
      <c r="K3739" s="82"/>
      <c r="L3739" s="82"/>
      <c r="M3739" s="82"/>
      <c r="N3739" s="82"/>
      <c r="O3739" s="82"/>
      <c r="P3739" s="82"/>
      <c r="Q3739" s="82"/>
      <c r="R3739" s="82"/>
      <c r="S3739" s="82"/>
      <c r="T3739" s="82"/>
      <c r="U3739" s="82"/>
      <c r="V3739" s="82"/>
      <c r="W3739" s="82"/>
      <c r="X3739" s="82"/>
      <c r="Y3739" s="82"/>
      <c r="Z3739" s="82"/>
      <c r="AA3739" s="82"/>
      <c r="AB3739" s="82"/>
      <c r="AC3739" s="82"/>
      <c r="AD3739" s="82"/>
      <c r="AE3739" s="82"/>
      <c r="AF3739" s="82"/>
      <c r="AG3739" s="82"/>
      <c r="AH3739" s="82"/>
      <c r="AI3739" s="82"/>
      <c r="AJ3739" s="82"/>
      <c r="AK3739" s="82"/>
      <c r="AL3739" s="82"/>
      <c r="AM3739" s="82"/>
      <c r="AN3739" s="82"/>
      <c r="AO3739" s="82"/>
      <c r="AP3739" s="82"/>
      <c r="AQ3739" s="82"/>
      <c r="AR3739" s="82"/>
      <c r="AS3739" s="82"/>
      <c r="AT3739" s="82"/>
      <c r="AU3739" s="82"/>
      <c r="AV3739" s="82"/>
      <c r="AW3739" s="82" t="str">
        <f t="shared" si="1"/>
        <v/>
      </c>
      <c r="AX3739" s="83" t="str">
        <f t="array" ref="AX3739">IFERROR(DGET('SBV Import'!A:G,"SBV",{"RSC ID","Tier";B3739,A3739}))</f>
        <v/>
      </c>
      <c r="AY3739" s="82" t="str">
        <f t="shared" si="2"/>
        <v/>
      </c>
      <c r="AZ3739" s="82"/>
      <c r="BA3739" s="84" t="s">
        <v>152</v>
      </c>
      <c r="BB3739" s="84" t="str">
        <f>IFERROR(__xludf.DUMMYFUNCTION("iferror(if(A3739="""",,E3739&gt;=FILTER(Constants!$F$2:$F$10,Constants!$A$2:$A$10=A3739)))"),"")</f>
        <v/>
      </c>
    </row>
    <row r="3740">
      <c r="A3740" s="89"/>
      <c r="B3740" s="87"/>
      <c r="C3740" s="73"/>
      <c r="D3740" s="73"/>
      <c r="E3740" s="82"/>
      <c r="F3740" s="82"/>
      <c r="G3740" s="86"/>
      <c r="H3740" s="86"/>
      <c r="I3740" s="86"/>
      <c r="J3740" s="82"/>
      <c r="K3740" s="82"/>
      <c r="L3740" s="82"/>
      <c r="M3740" s="82"/>
      <c r="N3740" s="82"/>
      <c r="O3740" s="82"/>
      <c r="P3740" s="82"/>
      <c r="Q3740" s="82"/>
      <c r="R3740" s="82"/>
      <c r="S3740" s="82"/>
      <c r="T3740" s="82"/>
      <c r="U3740" s="82"/>
      <c r="V3740" s="82"/>
      <c r="W3740" s="82"/>
      <c r="X3740" s="82"/>
      <c r="Y3740" s="82"/>
      <c r="Z3740" s="82"/>
      <c r="AA3740" s="82"/>
      <c r="AB3740" s="82"/>
      <c r="AC3740" s="82"/>
      <c r="AD3740" s="82"/>
      <c r="AE3740" s="82"/>
      <c r="AF3740" s="82"/>
      <c r="AG3740" s="82"/>
      <c r="AH3740" s="82"/>
      <c r="AI3740" s="82"/>
      <c r="AJ3740" s="82"/>
      <c r="AK3740" s="82"/>
      <c r="AL3740" s="82"/>
      <c r="AM3740" s="82"/>
      <c r="AN3740" s="82"/>
      <c r="AO3740" s="82"/>
      <c r="AP3740" s="82"/>
      <c r="AQ3740" s="82"/>
      <c r="AR3740" s="82"/>
      <c r="AS3740" s="82"/>
      <c r="AT3740" s="82"/>
      <c r="AU3740" s="82"/>
      <c r="AV3740" s="82"/>
      <c r="AW3740" s="82" t="str">
        <f t="shared" si="1"/>
        <v/>
      </c>
      <c r="AX3740" s="83" t="str">
        <f t="array" ref="AX3740">IFERROR(DGET('SBV Import'!A:G,"SBV",{"RSC ID","Tier";B3740,A3740}))</f>
        <v/>
      </c>
      <c r="AY3740" s="82" t="str">
        <f t="shared" si="2"/>
        <v/>
      </c>
      <c r="AZ3740" s="82"/>
      <c r="BA3740" s="84" t="s">
        <v>152</v>
      </c>
      <c r="BB3740" s="84" t="str">
        <f>IFERROR(__xludf.DUMMYFUNCTION("iferror(if(A3740="""",,E3740&gt;=FILTER(Constants!$F$2:$F$10,Constants!$A$2:$A$10=A3740)))"),"")</f>
        <v/>
      </c>
    </row>
    <row r="3741">
      <c r="A3741" s="89"/>
      <c r="B3741" s="87"/>
      <c r="C3741" s="73"/>
      <c r="D3741" s="73"/>
      <c r="E3741" s="82"/>
      <c r="F3741" s="82"/>
      <c r="G3741" s="86"/>
      <c r="H3741" s="86"/>
      <c r="I3741" s="86"/>
      <c r="J3741" s="82"/>
      <c r="K3741" s="82"/>
      <c r="L3741" s="82"/>
      <c r="M3741" s="82"/>
      <c r="N3741" s="82"/>
      <c r="O3741" s="82"/>
      <c r="P3741" s="82"/>
      <c r="Q3741" s="82"/>
      <c r="R3741" s="82"/>
      <c r="S3741" s="82"/>
      <c r="T3741" s="82"/>
      <c r="U3741" s="82"/>
      <c r="V3741" s="82"/>
      <c r="W3741" s="82"/>
      <c r="X3741" s="82"/>
      <c r="Y3741" s="82"/>
      <c r="Z3741" s="82"/>
      <c r="AA3741" s="82"/>
      <c r="AB3741" s="82"/>
      <c r="AC3741" s="82"/>
      <c r="AD3741" s="82"/>
      <c r="AE3741" s="82"/>
      <c r="AF3741" s="82"/>
      <c r="AG3741" s="82"/>
      <c r="AH3741" s="82"/>
      <c r="AI3741" s="82"/>
      <c r="AJ3741" s="82"/>
      <c r="AK3741" s="82"/>
      <c r="AL3741" s="82"/>
      <c r="AM3741" s="82"/>
      <c r="AN3741" s="82"/>
      <c r="AO3741" s="82"/>
      <c r="AP3741" s="82"/>
      <c r="AQ3741" s="82"/>
      <c r="AR3741" s="82"/>
      <c r="AS3741" s="82"/>
      <c r="AT3741" s="82"/>
      <c r="AU3741" s="82"/>
      <c r="AV3741" s="82"/>
      <c r="AW3741" s="82" t="str">
        <f t="shared" si="1"/>
        <v/>
      </c>
      <c r="AX3741" s="83" t="str">
        <f t="array" ref="AX3741">IFERROR(DGET('SBV Import'!A:G,"SBV",{"RSC ID","Tier";B3741,A3741}))</f>
        <v/>
      </c>
      <c r="AY3741" s="82" t="str">
        <f t="shared" si="2"/>
        <v/>
      </c>
      <c r="AZ3741" s="82"/>
      <c r="BA3741" s="84" t="s">
        <v>152</v>
      </c>
      <c r="BB3741" s="84" t="str">
        <f>IFERROR(__xludf.DUMMYFUNCTION("iferror(if(A3741="""",,E3741&gt;=FILTER(Constants!$F$2:$F$10,Constants!$A$2:$A$10=A3741)))"),"")</f>
        <v/>
      </c>
    </row>
    <row r="3742">
      <c r="A3742" s="89"/>
      <c r="B3742" s="87"/>
      <c r="C3742" s="73"/>
      <c r="D3742" s="73"/>
      <c r="E3742" s="82"/>
      <c r="F3742" s="82"/>
      <c r="G3742" s="86"/>
      <c r="H3742" s="86"/>
      <c r="I3742" s="86"/>
      <c r="J3742" s="82"/>
      <c r="K3742" s="82"/>
      <c r="L3742" s="82"/>
      <c r="M3742" s="82"/>
      <c r="N3742" s="82"/>
      <c r="O3742" s="82"/>
      <c r="P3742" s="82"/>
      <c r="Q3742" s="82"/>
      <c r="R3742" s="82"/>
      <c r="S3742" s="82"/>
      <c r="T3742" s="82"/>
      <c r="U3742" s="82"/>
      <c r="V3742" s="82"/>
      <c r="W3742" s="82"/>
      <c r="X3742" s="82"/>
      <c r="Y3742" s="82"/>
      <c r="Z3742" s="82"/>
      <c r="AA3742" s="82"/>
      <c r="AB3742" s="82"/>
      <c r="AC3742" s="82"/>
      <c r="AD3742" s="82"/>
      <c r="AE3742" s="82"/>
      <c r="AF3742" s="82"/>
      <c r="AG3742" s="82"/>
      <c r="AH3742" s="82"/>
      <c r="AI3742" s="82"/>
      <c r="AJ3742" s="82"/>
      <c r="AK3742" s="82"/>
      <c r="AL3742" s="82"/>
      <c r="AM3742" s="82"/>
      <c r="AN3742" s="82"/>
      <c r="AO3742" s="82"/>
      <c r="AP3742" s="82"/>
      <c r="AQ3742" s="82"/>
      <c r="AR3742" s="82"/>
      <c r="AS3742" s="82"/>
      <c r="AT3742" s="82"/>
      <c r="AU3742" s="82"/>
      <c r="AV3742" s="82"/>
      <c r="AW3742" s="82" t="str">
        <f t="shared" si="1"/>
        <v/>
      </c>
      <c r="AX3742" s="83" t="str">
        <f t="array" ref="AX3742">IFERROR(DGET('SBV Import'!A:G,"SBV",{"RSC ID","Tier";B3742,A3742}))</f>
        <v/>
      </c>
      <c r="AY3742" s="82" t="str">
        <f t="shared" si="2"/>
        <v/>
      </c>
      <c r="AZ3742" s="82"/>
      <c r="BA3742" s="84" t="s">
        <v>152</v>
      </c>
      <c r="BB3742" s="84" t="str">
        <f>IFERROR(__xludf.DUMMYFUNCTION("iferror(if(A3742="""",,E3742&gt;=FILTER(Constants!$F$2:$F$10,Constants!$A$2:$A$10=A3742)))"),"")</f>
        <v/>
      </c>
    </row>
    <row r="3743">
      <c r="A3743" s="89"/>
      <c r="B3743" s="87"/>
      <c r="C3743" s="73"/>
      <c r="D3743" s="73"/>
      <c r="E3743" s="82"/>
      <c r="F3743" s="82"/>
      <c r="G3743" s="86"/>
      <c r="H3743" s="86"/>
      <c r="I3743" s="86"/>
      <c r="J3743" s="82"/>
      <c r="K3743" s="82"/>
      <c r="L3743" s="82"/>
      <c r="M3743" s="82"/>
      <c r="N3743" s="82"/>
      <c r="O3743" s="82"/>
      <c r="P3743" s="82"/>
      <c r="Q3743" s="82"/>
      <c r="R3743" s="82"/>
      <c r="S3743" s="82"/>
      <c r="T3743" s="82"/>
      <c r="U3743" s="82"/>
      <c r="V3743" s="82"/>
      <c r="W3743" s="82"/>
      <c r="X3743" s="82"/>
      <c r="Y3743" s="82"/>
      <c r="Z3743" s="82"/>
      <c r="AA3743" s="82"/>
      <c r="AB3743" s="82"/>
      <c r="AC3743" s="82"/>
      <c r="AD3743" s="82"/>
      <c r="AE3743" s="82"/>
      <c r="AF3743" s="82"/>
      <c r="AG3743" s="82"/>
      <c r="AH3743" s="82"/>
      <c r="AI3743" s="82"/>
      <c r="AJ3743" s="82"/>
      <c r="AK3743" s="82"/>
      <c r="AL3743" s="82"/>
      <c r="AM3743" s="82"/>
      <c r="AN3743" s="82"/>
      <c r="AO3743" s="82"/>
      <c r="AP3743" s="82"/>
      <c r="AQ3743" s="82"/>
      <c r="AR3743" s="82"/>
      <c r="AS3743" s="82"/>
      <c r="AT3743" s="82"/>
      <c r="AU3743" s="82"/>
      <c r="AV3743" s="82"/>
      <c r="AW3743" s="82" t="str">
        <f t="shared" si="1"/>
        <v/>
      </c>
      <c r="AX3743" s="83" t="str">
        <f t="array" ref="AX3743">IFERROR(DGET('SBV Import'!A:G,"SBV",{"RSC ID","Tier";B3743,A3743}))</f>
        <v/>
      </c>
      <c r="AY3743" s="82" t="str">
        <f t="shared" si="2"/>
        <v/>
      </c>
      <c r="AZ3743" s="82"/>
      <c r="BA3743" s="84" t="s">
        <v>152</v>
      </c>
      <c r="BB3743" s="84" t="str">
        <f>IFERROR(__xludf.DUMMYFUNCTION("iferror(if(A3743="""",,E3743&gt;=FILTER(Constants!$F$2:$F$10,Constants!$A$2:$A$10=A3743)))"),"")</f>
        <v/>
      </c>
    </row>
    <row r="3744">
      <c r="A3744" s="89"/>
      <c r="B3744" s="87"/>
      <c r="C3744" s="73"/>
      <c r="D3744" s="73"/>
      <c r="E3744" s="82"/>
      <c r="F3744" s="82"/>
      <c r="G3744" s="86"/>
      <c r="H3744" s="86"/>
      <c r="I3744" s="86"/>
      <c r="J3744" s="82"/>
      <c r="K3744" s="82"/>
      <c r="L3744" s="82"/>
      <c r="M3744" s="82"/>
      <c r="N3744" s="82"/>
      <c r="O3744" s="82"/>
      <c r="P3744" s="82"/>
      <c r="Q3744" s="82"/>
      <c r="R3744" s="82"/>
      <c r="S3744" s="82"/>
      <c r="T3744" s="82"/>
      <c r="U3744" s="82"/>
      <c r="V3744" s="82"/>
      <c r="W3744" s="82"/>
      <c r="X3744" s="82"/>
      <c r="Y3744" s="82"/>
      <c r="Z3744" s="82"/>
      <c r="AA3744" s="82"/>
      <c r="AB3744" s="82"/>
      <c r="AC3744" s="82"/>
      <c r="AD3744" s="82"/>
      <c r="AE3744" s="82"/>
      <c r="AF3744" s="82"/>
      <c r="AG3744" s="82"/>
      <c r="AH3744" s="82"/>
      <c r="AI3744" s="82"/>
      <c r="AJ3744" s="82"/>
      <c r="AK3744" s="82"/>
      <c r="AL3744" s="82"/>
      <c r="AM3744" s="82"/>
      <c r="AN3744" s="82"/>
      <c r="AO3744" s="82"/>
      <c r="AP3744" s="82"/>
      <c r="AQ3744" s="82"/>
      <c r="AR3744" s="82"/>
      <c r="AS3744" s="82"/>
      <c r="AT3744" s="82"/>
      <c r="AU3744" s="82"/>
      <c r="AV3744" s="82"/>
      <c r="AW3744" s="82" t="str">
        <f t="shared" si="1"/>
        <v/>
      </c>
      <c r="AX3744" s="83" t="str">
        <f t="array" ref="AX3744">IFERROR(DGET('SBV Import'!A:G,"SBV",{"RSC ID","Tier";B3744,A3744}))</f>
        <v/>
      </c>
      <c r="AY3744" s="82" t="str">
        <f t="shared" si="2"/>
        <v/>
      </c>
      <c r="AZ3744" s="82"/>
      <c r="BA3744" s="84" t="s">
        <v>152</v>
      </c>
      <c r="BB3744" s="84" t="str">
        <f>IFERROR(__xludf.DUMMYFUNCTION("iferror(if(A3744="""",,E3744&gt;=FILTER(Constants!$F$2:$F$10,Constants!$A$2:$A$10=A3744)))"),"")</f>
        <v/>
      </c>
    </row>
    <row r="3745">
      <c r="A3745" s="89"/>
      <c r="B3745" s="87"/>
      <c r="C3745" s="73"/>
      <c r="D3745" s="73"/>
      <c r="E3745" s="82"/>
      <c r="F3745" s="82"/>
      <c r="G3745" s="86"/>
      <c r="H3745" s="86"/>
      <c r="I3745" s="86"/>
      <c r="J3745" s="82"/>
      <c r="K3745" s="82"/>
      <c r="L3745" s="82"/>
      <c r="M3745" s="82"/>
      <c r="N3745" s="82"/>
      <c r="O3745" s="82"/>
      <c r="P3745" s="82"/>
      <c r="Q3745" s="82"/>
      <c r="R3745" s="82"/>
      <c r="S3745" s="82"/>
      <c r="T3745" s="82"/>
      <c r="U3745" s="82"/>
      <c r="V3745" s="82"/>
      <c r="W3745" s="82"/>
      <c r="X3745" s="82"/>
      <c r="Y3745" s="82"/>
      <c r="Z3745" s="82"/>
      <c r="AA3745" s="82"/>
      <c r="AB3745" s="82"/>
      <c r="AC3745" s="82"/>
      <c r="AD3745" s="82"/>
      <c r="AE3745" s="82"/>
      <c r="AF3745" s="82"/>
      <c r="AG3745" s="82"/>
      <c r="AH3745" s="82"/>
      <c r="AI3745" s="82"/>
      <c r="AJ3745" s="82"/>
      <c r="AK3745" s="82"/>
      <c r="AL3745" s="82"/>
      <c r="AM3745" s="82"/>
      <c r="AN3745" s="82"/>
      <c r="AO3745" s="82"/>
      <c r="AP3745" s="82"/>
      <c r="AQ3745" s="82"/>
      <c r="AR3745" s="82"/>
      <c r="AS3745" s="82"/>
      <c r="AT3745" s="82"/>
      <c r="AU3745" s="82"/>
      <c r="AV3745" s="82"/>
      <c r="AW3745" s="82" t="str">
        <f t="shared" si="1"/>
        <v/>
      </c>
      <c r="AX3745" s="83" t="str">
        <f t="array" ref="AX3745">IFERROR(DGET('SBV Import'!A:G,"SBV",{"RSC ID","Tier";B3745,A3745}))</f>
        <v/>
      </c>
      <c r="AY3745" s="82" t="str">
        <f t="shared" si="2"/>
        <v/>
      </c>
      <c r="AZ3745" s="82"/>
      <c r="BA3745" s="84" t="s">
        <v>152</v>
      </c>
      <c r="BB3745" s="84" t="str">
        <f>IFERROR(__xludf.DUMMYFUNCTION("iferror(if(A3745="""",,E3745&gt;=FILTER(Constants!$F$2:$F$10,Constants!$A$2:$A$10=A3745)))"),"")</f>
        <v/>
      </c>
    </row>
    <row r="3746">
      <c r="A3746" s="89"/>
      <c r="B3746" s="87"/>
      <c r="C3746" s="73"/>
      <c r="D3746" s="73"/>
      <c r="E3746" s="82"/>
      <c r="F3746" s="82"/>
      <c r="G3746" s="86"/>
      <c r="H3746" s="86"/>
      <c r="I3746" s="86"/>
      <c r="J3746" s="82"/>
      <c r="K3746" s="82"/>
      <c r="L3746" s="82"/>
      <c r="M3746" s="82"/>
      <c r="N3746" s="82"/>
      <c r="O3746" s="82"/>
      <c r="P3746" s="82"/>
      <c r="Q3746" s="82"/>
      <c r="R3746" s="82"/>
      <c r="S3746" s="82"/>
      <c r="T3746" s="82"/>
      <c r="U3746" s="82"/>
      <c r="V3746" s="82"/>
      <c r="W3746" s="82"/>
      <c r="X3746" s="82"/>
      <c r="Y3746" s="82"/>
      <c r="Z3746" s="82"/>
      <c r="AA3746" s="82"/>
      <c r="AB3746" s="82"/>
      <c r="AC3746" s="82"/>
      <c r="AD3746" s="82"/>
      <c r="AE3746" s="82"/>
      <c r="AF3746" s="82"/>
      <c r="AG3746" s="82"/>
      <c r="AH3746" s="82"/>
      <c r="AI3746" s="82"/>
      <c r="AJ3746" s="82"/>
      <c r="AK3746" s="82"/>
      <c r="AL3746" s="82"/>
      <c r="AM3746" s="82"/>
      <c r="AN3746" s="82"/>
      <c r="AO3746" s="82"/>
      <c r="AP3746" s="82"/>
      <c r="AQ3746" s="82"/>
      <c r="AR3746" s="82"/>
      <c r="AS3746" s="82"/>
      <c r="AT3746" s="82"/>
      <c r="AU3746" s="82"/>
      <c r="AV3746" s="82"/>
      <c r="AW3746" s="82" t="str">
        <f t="shared" si="1"/>
        <v/>
      </c>
      <c r="AX3746" s="83" t="str">
        <f t="array" ref="AX3746">IFERROR(DGET('SBV Import'!A:G,"SBV",{"RSC ID","Tier";B3746,A3746}))</f>
        <v/>
      </c>
      <c r="AY3746" s="82" t="str">
        <f t="shared" si="2"/>
        <v/>
      </c>
      <c r="AZ3746" s="82"/>
      <c r="BA3746" s="84" t="s">
        <v>152</v>
      </c>
      <c r="BB3746" s="84" t="str">
        <f>IFERROR(__xludf.DUMMYFUNCTION("iferror(if(A3746="""",,E3746&gt;=FILTER(Constants!$F$2:$F$10,Constants!$A$2:$A$10=A3746)))"),"")</f>
        <v/>
      </c>
    </row>
    <row r="3747">
      <c r="A3747" s="89"/>
      <c r="B3747" s="87"/>
      <c r="C3747" s="73"/>
      <c r="D3747" s="73"/>
      <c r="E3747" s="82"/>
      <c r="F3747" s="82"/>
      <c r="G3747" s="86"/>
      <c r="H3747" s="86"/>
      <c r="I3747" s="86"/>
      <c r="J3747" s="82"/>
      <c r="K3747" s="82"/>
      <c r="L3747" s="82"/>
      <c r="M3747" s="82"/>
      <c r="N3747" s="82"/>
      <c r="O3747" s="82"/>
      <c r="P3747" s="82"/>
      <c r="Q3747" s="82"/>
      <c r="R3747" s="82"/>
      <c r="S3747" s="82"/>
      <c r="T3747" s="82"/>
      <c r="U3747" s="82"/>
      <c r="V3747" s="82"/>
      <c r="W3747" s="82"/>
      <c r="X3747" s="82"/>
      <c r="Y3747" s="82"/>
      <c r="Z3747" s="82"/>
      <c r="AA3747" s="82"/>
      <c r="AB3747" s="82"/>
      <c r="AC3747" s="82"/>
      <c r="AD3747" s="82"/>
      <c r="AE3747" s="82"/>
      <c r="AF3747" s="82"/>
      <c r="AG3747" s="82"/>
      <c r="AH3747" s="82"/>
      <c r="AI3747" s="82"/>
      <c r="AJ3747" s="82"/>
      <c r="AK3747" s="82"/>
      <c r="AL3747" s="82"/>
      <c r="AM3747" s="82"/>
      <c r="AN3747" s="82"/>
      <c r="AO3747" s="82"/>
      <c r="AP3747" s="82"/>
      <c r="AQ3747" s="82"/>
      <c r="AR3747" s="82"/>
      <c r="AS3747" s="82"/>
      <c r="AT3747" s="82"/>
      <c r="AU3747" s="82"/>
      <c r="AV3747" s="82"/>
      <c r="AW3747" s="82" t="str">
        <f t="shared" si="1"/>
        <v/>
      </c>
      <c r="AX3747" s="83" t="str">
        <f t="array" ref="AX3747">IFERROR(DGET('SBV Import'!A:G,"SBV",{"RSC ID","Tier";B3747,A3747}))</f>
        <v/>
      </c>
      <c r="AY3747" s="82" t="str">
        <f t="shared" si="2"/>
        <v/>
      </c>
      <c r="AZ3747" s="82"/>
      <c r="BA3747" s="84" t="s">
        <v>152</v>
      </c>
      <c r="BB3747" s="84" t="str">
        <f>IFERROR(__xludf.DUMMYFUNCTION("iferror(if(A3747="""",,E3747&gt;=FILTER(Constants!$F$2:$F$10,Constants!$A$2:$A$10=A3747)))"),"")</f>
        <v/>
      </c>
    </row>
    <row r="3748">
      <c r="A3748" s="89"/>
      <c r="B3748" s="87"/>
      <c r="C3748" s="73"/>
      <c r="D3748" s="73"/>
      <c r="E3748" s="82"/>
      <c r="F3748" s="82"/>
      <c r="G3748" s="86"/>
      <c r="H3748" s="86"/>
      <c r="I3748" s="86"/>
      <c r="J3748" s="82"/>
      <c r="K3748" s="82"/>
      <c r="L3748" s="82"/>
      <c r="M3748" s="82"/>
      <c r="N3748" s="82"/>
      <c r="O3748" s="82"/>
      <c r="P3748" s="82"/>
      <c r="Q3748" s="82"/>
      <c r="R3748" s="82"/>
      <c r="S3748" s="82"/>
      <c r="T3748" s="82"/>
      <c r="U3748" s="82"/>
      <c r="V3748" s="82"/>
      <c r="W3748" s="82"/>
      <c r="X3748" s="82"/>
      <c r="Y3748" s="82"/>
      <c r="Z3748" s="82"/>
      <c r="AA3748" s="82"/>
      <c r="AB3748" s="82"/>
      <c r="AC3748" s="82"/>
      <c r="AD3748" s="82"/>
      <c r="AE3748" s="82"/>
      <c r="AF3748" s="82"/>
      <c r="AG3748" s="82"/>
      <c r="AH3748" s="82"/>
      <c r="AI3748" s="82"/>
      <c r="AJ3748" s="82"/>
      <c r="AK3748" s="82"/>
      <c r="AL3748" s="82"/>
      <c r="AM3748" s="82"/>
      <c r="AN3748" s="82"/>
      <c r="AO3748" s="82"/>
      <c r="AP3748" s="82"/>
      <c r="AQ3748" s="82"/>
      <c r="AR3748" s="82"/>
      <c r="AS3748" s="82"/>
      <c r="AT3748" s="82"/>
      <c r="AU3748" s="82"/>
      <c r="AV3748" s="82"/>
      <c r="AW3748" s="82" t="str">
        <f t="shared" si="1"/>
        <v/>
      </c>
      <c r="AX3748" s="83" t="str">
        <f t="array" ref="AX3748">IFERROR(DGET('SBV Import'!A:G,"SBV",{"RSC ID","Tier";B3748,A3748}))</f>
        <v/>
      </c>
      <c r="AY3748" s="82" t="str">
        <f t="shared" si="2"/>
        <v/>
      </c>
      <c r="AZ3748" s="82"/>
      <c r="BA3748" s="84" t="s">
        <v>152</v>
      </c>
      <c r="BB3748" s="84" t="str">
        <f>IFERROR(__xludf.DUMMYFUNCTION("iferror(if(A3748="""",,E3748&gt;=FILTER(Constants!$F$2:$F$10,Constants!$A$2:$A$10=A3748)))"),"")</f>
        <v/>
      </c>
    </row>
    <row r="3749">
      <c r="A3749" s="89"/>
      <c r="B3749" s="87"/>
      <c r="C3749" s="73"/>
      <c r="D3749" s="73"/>
      <c r="E3749" s="82"/>
      <c r="F3749" s="82"/>
      <c r="G3749" s="86"/>
      <c r="H3749" s="86"/>
      <c r="I3749" s="86"/>
      <c r="J3749" s="82"/>
      <c r="K3749" s="82"/>
      <c r="L3749" s="82"/>
      <c r="M3749" s="82"/>
      <c r="N3749" s="82"/>
      <c r="O3749" s="82"/>
      <c r="P3749" s="82"/>
      <c r="Q3749" s="82"/>
      <c r="R3749" s="82"/>
      <c r="S3749" s="82"/>
      <c r="T3749" s="82"/>
      <c r="U3749" s="82"/>
      <c r="V3749" s="82"/>
      <c r="W3749" s="82"/>
      <c r="X3749" s="82"/>
      <c r="Y3749" s="82"/>
      <c r="Z3749" s="82"/>
      <c r="AA3749" s="82"/>
      <c r="AB3749" s="82"/>
      <c r="AC3749" s="82"/>
      <c r="AD3749" s="82"/>
      <c r="AE3749" s="82"/>
      <c r="AF3749" s="82"/>
      <c r="AG3749" s="82"/>
      <c r="AH3749" s="82"/>
      <c r="AI3749" s="82"/>
      <c r="AJ3749" s="82"/>
      <c r="AK3749" s="82"/>
      <c r="AL3749" s="82"/>
      <c r="AM3749" s="82"/>
      <c r="AN3749" s="82"/>
      <c r="AO3749" s="82"/>
      <c r="AP3749" s="82"/>
      <c r="AQ3749" s="82"/>
      <c r="AR3749" s="82"/>
      <c r="AS3749" s="82"/>
      <c r="AT3749" s="82"/>
      <c r="AU3749" s="82"/>
      <c r="AV3749" s="82"/>
      <c r="AW3749" s="82" t="str">
        <f t="shared" si="1"/>
        <v/>
      </c>
      <c r="AX3749" s="83" t="str">
        <f t="array" ref="AX3749">IFERROR(DGET('SBV Import'!A:G,"SBV",{"RSC ID","Tier";B3749,A3749}))</f>
        <v/>
      </c>
      <c r="AY3749" s="82" t="str">
        <f t="shared" si="2"/>
        <v/>
      </c>
      <c r="AZ3749" s="82"/>
      <c r="BA3749" s="84" t="s">
        <v>152</v>
      </c>
      <c r="BB3749" s="84" t="str">
        <f>IFERROR(__xludf.DUMMYFUNCTION("iferror(if(A3749="""",,E3749&gt;=FILTER(Constants!$F$2:$F$10,Constants!$A$2:$A$10=A3749)))"),"")</f>
        <v/>
      </c>
    </row>
    <row r="3750">
      <c r="A3750" s="89"/>
      <c r="B3750" s="87"/>
      <c r="C3750" s="73"/>
      <c r="D3750" s="73"/>
      <c r="E3750" s="82"/>
      <c r="F3750" s="82"/>
      <c r="G3750" s="86"/>
      <c r="H3750" s="86"/>
      <c r="I3750" s="86"/>
      <c r="J3750" s="82"/>
      <c r="K3750" s="82"/>
      <c r="L3750" s="82"/>
      <c r="M3750" s="82"/>
      <c r="N3750" s="82"/>
      <c r="O3750" s="82"/>
      <c r="P3750" s="82"/>
      <c r="Q3750" s="82"/>
      <c r="R3750" s="82"/>
      <c r="S3750" s="82"/>
      <c r="T3750" s="82"/>
      <c r="U3750" s="82"/>
      <c r="V3750" s="82"/>
      <c r="W3750" s="82"/>
      <c r="X3750" s="82"/>
      <c r="Y3750" s="82"/>
      <c r="Z3750" s="82"/>
      <c r="AA3750" s="82"/>
      <c r="AB3750" s="82"/>
      <c r="AC3750" s="82"/>
      <c r="AD3750" s="82"/>
      <c r="AE3750" s="82"/>
      <c r="AF3750" s="82"/>
      <c r="AG3750" s="82"/>
      <c r="AH3750" s="82"/>
      <c r="AI3750" s="82"/>
      <c r="AJ3750" s="82"/>
      <c r="AK3750" s="82"/>
      <c r="AL3750" s="82"/>
      <c r="AM3750" s="82"/>
      <c r="AN3750" s="82"/>
      <c r="AO3750" s="82"/>
      <c r="AP3750" s="82"/>
      <c r="AQ3750" s="82"/>
      <c r="AR3750" s="82"/>
      <c r="AS3750" s="82"/>
      <c r="AT3750" s="82"/>
      <c r="AU3750" s="82"/>
      <c r="AV3750" s="82"/>
      <c r="AW3750" s="82" t="str">
        <f t="shared" si="1"/>
        <v/>
      </c>
      <c r="AX3750" s="83" t="str">
        <f t="array" ref="AX3750">IFERROR(DGET('SBV Import'!A:G,"SBV",{"RSC ID","Tier";B3750,A3750}))</f>
        <v/>
      </c>
      <c r="AY3750" s="82" t="str">
        <f t="shared" si="2"/>
        <v/>
      </c>
      <c r="AZ3750" s="82"/>
      <c r="BA3750" s="84" t="s">
        <v>152</v>
      </c>
      <c r="BB3750" s="84" t="str">
        <f>IFERROR(__xludf.DUMMYFUNCTION("iferror(if(A3750="""",,E3750&gt;=FILTER(Constants!$F$2:$F$10,Constants!$A$2:$A$10=A3750)))"),"")</f>
        <v/>
      </c>
    </row>
    <row r="3751">
      <c r="A3751" s="89"/>
      <c r="B3751" s="87"/>
      <c r="C3751" s="73"/>
      <c r="D3751" s="73"/>
      <c r="E3751" s="82"/>
      <c r="F3751" s="82"/>
      <c r="G3751" s="86"/>
      <c r="H3751" s="86"/>
      <c r="I3751" s="86"/>
      <c r="J3751" s="82"/>
      <c r="K3751" s="82"/>
      <c r="L3751" s="82"/>
      <c r="M3751" s="82"/>
      <c r="N3751" s="82"/>
      <c r="O3751" s="82"/>
      <c r="P3751" s="82"/>
      <c r="Q3751" s="82"/>
      <c r="R3751" s="82"/>
      <c r="S3751" s="82"/>
      <c r="T3751" s="82"/>
      <c r="U3751" s="82"/>
      <c r="V3751" s="82"/>
      <c r="W3751" s="82"/>
      <c r="X3751" s="82"/>
      <c r="Y3751" s="82"/>
      <c r="Z3751" s="82"/>
      <c r="AA3751" s="82"/>
      <c r="AB3751" s="82"/>
      <c r="AC3751" s="82"/>
      <c r="AD3751" s="82"/>
      <c r="AE3751" s="82"/>
      <c r="AF3751" s="82"/>
      <c r="AG3751" s="82"/>
      <c r="AH3751" s="82"/>
      <c r="AI3751" s="82"/>
      <c r="AJ3751" s="82"/>
      <c r="AK3751" s="82"/>
      <c r="AL3751" s="82"/>
      <c r="AM3751" s="82"/>
      <c r="AN3751" s="82"/>
      <c r="AO3751" s="82"/>
      <c r="AP3751" s="82"/>
      <c r="AQ3751" s="82"/>
      <c r="AR3751" s="82"/>
      <c r="AS3751" s="82"/>
      <c r="AT3751" s="82"/>
      <c r="AU3751" s="82"/>
      <c r="AV3751" s="82"/>
      <c r="AW3751" s="82" t="str">
        <f t="shared" si="1"/>
        <v/>
      </c>
      <c r="AX3751" s="83" t="str">
        <f t="array" ref="AX3751">IFERROR(DGET('SBV Import'!A:G,"SBV",{"RSC ID","Tier";B3751,A3751}))</f>
        <v/>
      </c>
      <c r="AY3751" s="82" t="str">
        <f t="shared" si="2"/>
        <v/>
      </c>
      <c r="AZ3751" s="82"/>
      <c r="BA3751" s="84" t="s">
        <v>152</v>
      </c>
      <c r="BB3751" s="84" t="str">
        <f>IFERROR(__xludf.DUMMYFUNCTION("iferror(if(A3751="""",,E3751&gt;=FILTER(Constants!$F$2:$F$10,Constants!$A$2:$A$10=A3751)))"),"")</f>
        <v/>
      </c>
    </row>
    <row r="3752">
      <c r="A3752" s="89"/>
      <c r="B3752" s="87"/>
      <c r="C3752" s="73"/>
      <c r="D3752" s="73"/>
      <c r="E3752" s="82"/>
      <c r="F3752" s="82"/>
      <c r="G3752" s="86"/>
      <c r="H3752" s="86"/>
      <c r="I3752" s="86"/>
      <c r="J3752" s="82"/>
      <c r="K3752" s="82"/>
      <c r="L3752" s="82"/>
      <c r="M3752" s="82"/>
      <c r="N3752" s="82"/>
      <c r="O3752" s="82"/>
      <c r="P3752" s="82"/>
      <c r="Q3752" s="82"/>
      <c r="R3752" s="82"/>
      <c r="S3752" s="82"/>
      <c r="T3752" s="82"/>
      <c r="U3752" s="82"/>
      <c r="V3752" s="82"/>
      <c r="W3752" s="82"/>
      <c r="X3752" s="82"/>
      <c r="Y3752" s="82"/>
      <c r="Z3752" s="82"/>
      <c r="AA3752" s="82"/>
      <c r="AB3752" s="82"/>
      <c r="AC3752" s="82"/>
      <c r="AD3752" s="82"/>
      <c r="AE3752" s="82"/>
      <c r="AF3752" s="82"/>
      <c r="AG3752" s="82"/>
      <c r="AH3752" s="82"/>
      <c r="AI3752" s="82"/>
      <c r="AJ3752" s="82"/>
      <c r="AK3752" s="82"/>
      <c r="AL3752" s="82"/>
      <c r="AM3752" s="82"/>
      <c r="AN3752" s="82"/>
      <c r="AO3752" s="82"/>
      <c r="AP3752" s="82"/>
      <c r="AQ3752" s="82"/>
      <c r="AR3752" s="82"/>
      <c r="AS3752" s="82"/>
      <c r="AT3752" s="82"/>
      <c r="AU3752" s="82"/>
      <c r="AV3752" s="82"/>
      <c r="AW3752" s="82" t="str">
        <f t="shared" si="1"/>
        <v/>
      </c>
      <c r="AX3752" s="83" t="str">
        <f t="array" ref="AX3752">IFERROR(DGET('SBV Import'!A:G,"SBV",{"RSC ID","Tier";B3752,A3752}))</f>
        <v/>
      </c>
      <c r="AY3752" s="82" t="str">
        <f t="shared" si="2"/>
        <v/>
      </c>
      <c r="AZ3752" s="82"/>
      <c r="BA3752" s="84" t="s">
        <v>152</v>
      </c>
      <c r="BB3752" s="84" t="str">
        <f>IFERROR(__xludf.DUMMYFUNCTION("iferror(if(A3752="""",,E3752&gt;=FILTER(Constants!$F$2:$F$10,Constants!$A$2:$A$10=A3752)))"),"")</f>
        <v/>
      </c>
    </row>
    <row r="3753">
      <c r="A3753" s="89"/>
      <c r="B3753" s="87"/>
      <c r="C3753" s="73"/>
      <c r="D3753" s="73"/>
      <c r="E3753" s="82"/>
      <c r="F3753" s="82"/>
      <c r="G3753" s="86"/>
      <c r="H3753" s="86"/>
      <c r="I3753" s="86"/>
      <c r="J3753" s="82"/>
      <c r="K3753" s="82"/>
      <c r="L3753" s="82"/>
      <c r="M3753" s="82"/>
      <c r="N3753" s="82"/>
      <c r="O3753" s="82"/>
      <c r="P3753" s="82"/>
      <c r="Q3753" s="82"/>
      <c r="R3753" s="82"/>
      <c r="S3753" s="82"/>
      <c r="T3753" s="82"/>
      <c r="U3753" s="82"/>
      <c r="V3753" s="82"/>
      <c r="W3753" s="82"/>
      <c r="X3753" s="82"/>
      <c r="Y3753" s="82"/>
      <c r="Z3753" s="82"/>
      <c r="AA3753" s="82"/>
      <c r="AB3753" s="82"/>
      <c r="AC3753" s="82"/>
      <c r="AD3753" s="82"/>
      <c r="AE3753" s="82"/>
      <c r="AF3753" s="82"/>
      <c r="AG3753" s="82"/>
      <c r="AH3753" s="82"/>
      <c r="AI3753" s="82"/>
      <c r="AJ3753" s="82"/>
      <c r="AK3753" s="82"/>
      <c r="AL3753" s="82"/>
      <c r="AM3753" s="82"/>
      <c r="AN3753" s="82"/>
      <c r="AO3753" s="82"/>
      <c r="AP3753" s="82"/>
      <c r="AQ3753" s="82"/>
      <c r="AR3753" s="82"/>
      <c r="AS3753" s="82"/>
      <c r="AT3753" s="82"/>
      <c r="AU3753" s="82"/>
      <c r="AV3753" s="82"/>
      <c r="AW3753" s="82" t="str">
        <f t="shared" si="1"/>
        <v/>
      </c>
      <c r="AX3753" s="83" t="str">
        <f t="array" ref="AX3753">IFERROR(DGET('SBV Import'!A:G,"SBV",{"RSC ID","Tier";B3753,A3753}))</f>
        <v/>
      </c>
      <c r="AY3753" s="82" t="str">
        <f t="shared" si="2"/>
        <v/>
      </c>
      <c r="AZ3753" s="82"/>
      <c r="BA3753" s="84" t="s">
        <v>152</v>
      </c>
      <c r="BB3753" s="84" t="str">
        <f>IFERROR(__xludf.DUMMYFUNCTION("iferror(if(A3753="""",,E3753&gt;=FILTER(Constants!$F$2:$F$10,Constants!$A$2:$A$10=A3753)))"),"")</f>
        <v/>
      </c>
    </row>
    <row r="3754">
      <c r="A3754" s="89"/>
      <c r="B3754" s="87"/>
      <c r="C3754" s="73"/>
      <c r="D3754" s="73"/>
      <c r="E3754" s="82"/>
      <c r="F3754" s="82"/>
      <c r="G3754" s="86"/>
      <c r="H3754" s="86"/>
      <c r="I3754" s="86"/>
      <c r="J3754" s="82"/>
      <c r="K3754" s="82"/>
      <c r="L3754" s="82"/>
      <c r="M3754" s="82"/>
      <c r="N3754" s="82"/>
      <c r="O3754" s="82"/>
      <c r="P3754" s="82"/>
      <c r="Q3754" s="82"/>
      <c r="R3754" s="82"/>
      <c r="S3754" s="82"/>
      <c r="T3754" s="82"/>
      <c r="U3754" s="82"/>
      <c r="V3754" s="82"/>
      <c r="W3754" s="82"/>
      <c r="X3754" s="82"/>
      <c r="Y3754" s="82"/>
      <c r="Z3754" s="82"/>
      <c r="AA3754" s="82"/>
      <c r="AB3754" s="82"/>
      <c r="AC3754" s="82"/>
      <c r="AD3754" s="82"/>
      <c r="AE3754" s="82"/>
      <c r="AF3754" s="82"/>
      <c r="AG3754" s="82"/>
      <c r="AH3754" s="82"/>
      <c r="AI3754" s="82"/>
      <c r="AJ3754" s="82"/>
      <c r="AK3754" s="82"/>
      <c r="AL3754" s="82"/>
      <c r="AM3754" s="82"/>
      <c r="AN3754" s="82"/>
      <c r="AO3754" s="82"/>
      <c r="AP3754" s="82"/>
      <c r="AQ3754" s="82"/>
      <c r="AR3754" s="82"/>
      <c r="AS3754" s="82"/>
      <c r="AT3754" s="82"/>
      <c r="AU3754" s="82"/>
      <c r="AV3754" s="82"/>
      <c r="AW3754" s="82" t="str">
        <f t="shared" si="1"/>
        <v/>
      </c>
      <c r="AX3754" s="83" t="str">
        <f t="array" ref="AX3754">IFERROR(DGET('SBV Import'!A:G,"SBV",{"RSC ID","Tier";B3754,A3754}))</f>
        <v/>
      </c>
      <c r="AY3754" s="82" t="str">
        <f t="shared" si="2"/>
        <v/>
      </c>
      <c r="AZ3754" s="82"/>
      <c r="BA3754" s="84" t="s">
        <v>152</v>
      </c>
      <c r="BB3754" s="84" t="str">
        <f>IFERROR(__xludf.DUMMYFUNCTION("iferror(if(A3754="""",,E3754&gt;=FILTER(Constants!$F$2:$F$10,Constants!$A$2:$A$10=A3754)))"),"")</f>
        <v/>
      </c>
    </row>
    <row r="3755">
      <c r="A3755" s="89"/>
      <c r="B3755" s="87"/>
      <c r="C3755" s="73"/>
      <c r="D3755" s="73"/>
      <c r="E3755" s="82"/>
      <c r="F3755" s="82"/>
      <c r="G3755" s="86"/>
      <c r="H3755" s="86"/>
      <c r="I3755" s="86"/>
      <c r="J3755" s="82"/>
      <c r="K3755" s="82"/>
      <c r="L3755" s="82"/>
      <c r="M3755" s="82"/>
      <c r="N3755" s="82"/>
      <c r="O3755" s="82"/>
      <c r="P3755" s="82"/>
      <c r="Q3755" s="82"/>
      <c r="R3755" s="82"/>
      <c r="S3755" s="82"/>
      <c r="T3755" s="82"/>
      <c r="U3755" s="82"/>
      <c r="V3755" s="82"/>
      <c r="W3755" s="82"/>
      <c r="X3755" s="82"/>
      <c r="Y3755" s="82"/>
      <c r="Z3755" s="82"/>
      <c r="AA3755" s="82"/>
      <c r="AB3755" s="82"/>
      <c r="AC3755" s="82"/>
      <c r="AD3755" s="82"/>
      <c r="AE3755" s="82"/>
      <c r="AF3755" s="82"/>
      <c r="AG3755" s="82"/>
      <c r="AH3755" s="82"/>
      <c r="AI3755" s="82"/>
      <c r="AJ3755" s="82"/>
      <c r="AK3755" s="82"/>
      <c r="AL3755" s="82"/>
      <c r="AM3755" s="82"/>
      <c r="AN3755" s="82"/>
      <c r="AO3755" s="82"/>
      <c r="AP3755" s="82"/>
      <c r="AQ3755" s="82"/>
      <c r="AR3755" s="82"/>
      <c r="AS3755" s="82"/>
      <c r="AT3755" s="82"/>
      <c r="AU3755" s="82"/>
      <c r="AV3755" s="82"/>
      <c r="AW3755" s="82" t="str">
        <f t="shared" si="1"/>
        <v/>
      </c>
      <c r="AX3755" s="83" t="str">
        <f t="array" ref="AX3755">IFERROR(DGET('SBV Import'!A:G,"SBV",{"RSC ID","Tier";B3755,A3755}))</f>
        <v/>
      </c>
      <c r="AY3755" s="82" t="str">
        <f t="shared" si="2"/>
        <v/>
      </c>
      <c r="AZ3755" s="82"/>
      <c r="BA3755" s="84" t="s">
        <v>152</v>
      </c>
      <c r="BB3755" s="84" t="str">
        <f>IFERROR(__xludf.DUMMYFUNCTION("iferror(if(A3755="""",,E3755&gt;=FILTER(Constants!$F$2:$F$10,Constants!$A$2:$A$10=A3755)))"),"")</f>
        <v/>
      </c>
    </row>
    <row r="3756">
      <c r="A3756" s="89"/>
      <c r="B3756" s="87"/>
      <c r="C3756" s="73"/>
      <c r="D3756" s="73"/>
      <c r="E3756" s="82"/>
      <c r="F3756" s="82"/>
      <c r="G3756" s="86"/>
      <c r="H3756" s="86"/>
      <c r="I3756" s="86"/>
      <c r="J3756" s="82"/>
      <c r="K3756" s="82"/>
      <c r="L3756" s="82"/>
      <c r="M3756" s="82"/>
      <c r="N3756" s="82"/>
      <c r="O3756" s="82"/>
      <c r="P3756" s="82"/>
      <c r="Q3756" s="82"/>
      <c r="R3756" s="82"/>
      <c r="S3756" s="82"/>
      <c r="T3756" s="82"/>
      <c r="U3756" s="82"/>
      <c r="V3756" s="82"/>
      <c r="W3756" s="82"/>
      <c r="X3756" s="82"/>
      <c r="Y3756" s="82"/>
      <c r="Z3756" s="82"/>
      <c r="AA3756" s="82"/>
      <c r="AB3756" s="82"/>
      <c r="AC3756" s="82"/>
      <c r="AD3756" s="82"/>
      <c r="AE3756" s="82"/>
      <c r="AF3756" s="82"/>
      <c r="AG3756" s="82"/>
      <c r="AH3756" s="82"/>
      <c r="AI3756" s="82"/>
      <c r="AJ3756" s="82"/>
      <c r="AK3756" s="82"/>
      <c r="AL3756" s="82"/>
      <c r="AM3756" s="82"/>
      <c r="AN3756" s="82"/>
      <c r="AO3756" s="82"/>
      <c r="AP3756" s="82"/>
      <c r="AQ3756" s="82"/>
      <c r="AR3756" s="82"/>
      <c r="AS3756" s="82"/>
      <c r="AT3756" s="82"/>
      <c r="AU3756" s="82"/>
      <c r="AV3756" s="82"/>
      <c r="AW3756" s="82" t="str">
        <f t="shared" si="1"/>
        <v/>
      </c>
      <c r="AX3756" s="83" t="str">
        <f t="array" ref="AX3756">IFERROR(DGET('SBV Import'!A:G,"SBV",{"RSC ID","Tier";B3756,A3756}))</f>
        <v/>
      </c>
      <c r="AY3756" s="82" t="str">
        <f t="shared" si="2"/>
        <v/>
      </c>
      <c r="AZ3756" s="82"/>
      <c r="BA3756" s="84" t="s">
        <v>152</v>
      </c>
      <c r="BB3756" s="84" t="str">
        <f>IFERROR(__xludf.DUMMYFUNCTION("iferror(if(A3756="""",,E3756&gt;=FILTER(Constants!$F$2:$F$10,Constants!$A$2:$A$10=A3756)))"),"")</f>
        <v/>
      </c>
    </row>
    <row r="3757">
      <c r="A3757" s="89"/>
      <c r="B3757" s="87"/>
      <c r="C3757" s="73"/>
      <c r="D3757" s="73"/>
      <c r="E3757" s="82"/>
      <c r="F3757" s="82"/>
      <c r="G3757" s="86"/>
      <c r="H3757" s="86"/>
      <c r="I3757" s="86"/>
      <c r="J3757" s="82"/>
      <c r="K3757" s="82"/>
      <c r="L3757" s="82"/>
      <c r="M3757" s="82"/>
      <c r="N3757" s="82"/>
      <c r="O3757" s="82"/>
      <c r="P3757" s="82"/>
      <c r="Q3757" s="82"/>
      <c r="R3757" s="82"/>
      <c r="S3757" s="82"/>
      <c r="T3757" s="82"/>
      <c r="U3757" s="82"/>
      <c r="V3757" s="82"/>
      <c r="W3757" s="82"/>
      <c r="X3757" s="82"/>
      <c r="Y3757" s="82"/>
      <c r="Z3757" s="82"/>
      <c r="AA3757" s="82"/>
      <c r="AB3757" s="82"/>
      <c r="AC3757" s="82"/>
      <c r="AD3757" s="82"/>
      <c r="AE3757" s="82"/>
      <c r="AF3757" s="82"/>
      <c r="AG3757" s="82"/>
      <c r="AH3757" s="82"/>
      <c r="AI3757" s="82"/>
      <c r="AJ3757" s="82"/>
      <c r="AK3757" s="82"/>
      <c r="AL3757" s="82"/>
      <c r="AM3757" s="82"/>
      <c r="AN3757" s="82"/>
      <c r="AO3757" s="82"/>
      <c r="AP3757" s="82"/>
      <c r="AQ3757" s="82"/>
      <c r="AR3757" s="82"/>
      <c r="AS3757" s="82"/>
      <c r="AT3757" s="82"/>
      <c r="AU3757" s="82"/>
      <c r="AV3757" s="82"/>
      <c r="AW3757" s="82" t="str">
        <f t="shared" si="1"/>
        <v/>
      </c>
      <c r="AX3757" s="83" t="str">
        <f t="array" ref="AX3757">IFERROR(DGET('SBV Import'!A:G,"SBV",{"RSC ID","Tier";B3757,A3757}))</f>
        <v/>
      </c>
      <c r="AY3757" s="82" t="str">
        <f t="shared" si="2"/>
        <v/>
      </c>
      <c r="AZ3757" s="82"/>
      <c r="BA3757" s="84" t="s">
        <v>152</v>
      </c>
      <c r="BB3757" s="84" t="str">
        <f>IFERROR(__xludf.DUMMYFUNCTION("iferror(if(A3757="""",,E3757&gt;=FILTER(Constants!$F$2:$F$10,Constants!$A$2:$A$10=A3757)))"),"")</f>
        <v/>
      </c>
    </row>
    <row r="3758">
      <c r="A3758" s="89"/>
      <c r="B3758" s="87"/>
      <c r="C3758" s="73"/>
      <c r="D3758" s="73"/>
      <c r="E3758" s="82"/>
      <c r="F3758" s="82"/>
      <c r="G3758" s="86"/>
      <c r="H3758" s="86"/>
      <c r="I3758" s="86"/>
      <c r="J3758" s="82"/>
      <c r="K3758" s="82"/>
      <c r="L3758" s="82"/>
      <c r="M3758" s="82"/>
      <c r="N3758" s="82"/>
      <c r="O3758" s="82"/>
      <c r="P3758" s="82"/>
      <c r="Q3758" s="82"/>
      <c r="R3758" s="82"/>
      <c r="S3758" s="82"/>
      <c r="T3758" s="82"/>
      <c r="U3758" s="82"/>
      <c r="V3758" s="82"/>
      <c r="W3758" s="82"/>
      <c r="X3758" s="82"/>
      <c r="Y3758" s="82"/>
      <c r="Z3758" s="82"/>
      <c r="AA3758" s="82"/>
      <c r="AB3758" s="82"/>
      <c r="AC3758" s="82"/>
      <c r="AD3758" s="82"/>
      <c r="AE3758" s="82"/>
      <c r="AF3758" s="82"/>
      <c r="AG3758" s="82"/>
      <c r="AH3758" s="82"/>
      <c r="AI3758" s="82"/>
      <c r="AJ3758" s="82"/>
      <c r="AK3758" s="82"/>
      <c r="AL3758" s="82"/>
      <c r="AM3758" s="82"/>
      <c r="AN3758" s="82"/>
      <c r="AO3758" s="82"/>
      <c r="AP3758" s="82"/>
      <c r="AQ3758" s="82"/>
      <c r="AR3758" s="82"/>
      <c r="AS3758" s="82"/>
      <c r="AT3758" s="82"/>
      <c r="AU3758" s="82"/>
      <c r="AV3758" s="82"/>
      <c r="AW3758" s="82" t="str">
        <f t="shared" si="1"/>
        <v/>
      </c>
      <c r="AX3758" s="83" t="str">
        <f t="array" ref="AX3758">IFERROR(DGET('SBV Import'!A:G,"SBV",{"RSC ID","Tier";B3758,A3758}))</f>
        <v/>
      </c>
      <c r="AY3758" s="82" t="str">
        <f t="shared" si="2"/>
        <v/>
      </c>
      <c r="AZ3758" s="82"/>
      <c r="BA3758" s="84" t="s">
        <v>152</v>
      </c>
      <c r="BB3758" s="84" t="str">
        <f>IFERROR(__xludf.DUMMYFUNCTION("iferror(if(A3758="""",,E3758&gt;=FILTER(Constants!$F$2:$F$10,Constants!$A$2:$A$10=A3758)))"),"")</f>
        <v/>
      </c>
    </row>
    <row r="3759">
      <c r="A3759" s="89"/>
      <c r="B3759" s="87"/>
      <c r="C3759" s="73"/>
      <c r="D3759" s="73"/>
      <c r="E3759" s="82"/>
      <c r="F3759" s="82"/>
      <c r="G3759" s="86"/>
      <c r="H3759" s="86"/>
      <c r="I3759" s="86"/>
      <c r="J3759" s="82"/>
      <c r="K3759" s="82"/>
      <c r="L3759" s="82"/>
      <c r="M3759" s="82"/>
      <c r="N3759" s="82"/>
      <c r="O3759" s="82"/>
      <c r="P3759" s="82"/>
      <c r="Q3759" s="82"/>
      <c r="R3759" s="82"/>
      <c r="S3759" s="82"/>
      <c r="T3759" s="82"/>
      <c r="U3759" s="82"/>
      <c r="V3759" s="82"/>
      <c r="W3759" s="82"/>
      <c r="X3759" s="82"/>
      <c r="Y3759" s="82"/>
      <c r="Z3759" s="82"/>
      <c r="AA3759" s="82"/>
      <c r="AB3759" s="82"/>
      <c r="AC3759" s="82"/>
      <c r="AD3759" s="82"/>
      <c r="AE3759" s="82"/>
      <c r="AF3759" s="82"/>
      <c r="AG3759" s="82"/>
      <c r="AH3759" s="82"/>
      <c r="AI3759" s="82"/>
      <c r="AJ3759" s="82"/>
      <c r="AK3759" s="82"/>
      <c r="AL3759" s="82"/>
      <c r="AM3759" s="82"/>
      <c r="AN3759" s="82"/>
      <c r="AO3759" s="82"/>
      <c r="AP3759" s="82"/>
      <c r="AQ3759" s="82"/>
      <c r="AR3759" s="82"/>
      <c r="AS3759" s="82"/>
      <c r="AT3759" s="82"/>
      <c r="AU3759" s="82"/>
      <c r="AV3759" s="82"/>
      <c r="AW3759" s="82" t="str">
        <f t="shared" si="1"/>
        <v/>
      </c>
      <c r="AX3759" s="83" t="str">
        <f t="array" ref="AX3759">IFERROR(DGET('SBV Import'!A:G,"SBV",{"RSC ID","Tier";B3759,A3759}))</f>
        <v/>
      </c>
      <c r="AY3759" s="82" t="str">
        <f t="shared" si="2"/>
        <v/>
      </c>
      <c r="AZ3759" s="82"/>
      <c r="BA3759" s="84" t="s">
        <v>152</v>
      </c>
      <c r="BB3759" s="84" t="str">
        <f>IFERROR(__xludf.DUMMYFUNCTION("iferror(if(A3759="""",,E3759&gt;=FILTER(Constants!$F$2:$F$10,Constants!$A$2:$A$10=A3759)))"),"")</f>
        <v/>
      </c>
    </row>
    <row r="3760">
      <c r="A3760" s="89"/>
      <c r="B3760" s="87"/>
      <c r="C3760" s="73"/>
      <c r="D3760" s="73"/>
      <c r="E3760" s="82"/>
      <c r="F3760" s="82"/>
      <c r="G3760" s="86"/>
      <c r="H3760" s="86"/>
      <c r="I3760" s="86"/>
      <c r="J3760" s="82"/>
      <c r="K3760" s="82"/>
      <c r="L3760" s="82"/>
      <c r="M3760" s="82"/>
      <c r="N3760" s="82"/>
      <c r="O3760" s="82"/>
      <c r="P3760" s="82"/>
      <c r="Q3760" s="82"/>
      <c r="R3760" s="82"/>
      <c r="S3760" s="82"/>
      <c r="T3760" s="82"/>
      <c r="U3760" s="82"/>
      <c r="V3760" s="82"/>
      <c r="W3760" s="82"/>
      <c r="X3760" s="82"/>
      <c r="Y3760" s="82"/>
      <c r="Z3760" s="82"/>
      <c r="AA3760" s="82"/>
      <c r="AB3760" s="82"/>
      <c r="AC3760" s="82"/>
      <c r="AD3760" s="82"/>
      <c r="AE3760" s="82"/>
      <c r="AF3760" s="82"/>
      <c r="AG3760" s="82"/>
      <c r="AH3760" s="82"/>
      <c r="AI3760" s="82"/>
      <c r="AJ3760" s="82"/>
      <c r="AK3760" s="82"/>
      <c r="AL3760" s="82"/>
      <c r="AM3760" s="82"/>
      <c r="AN3760" s="82"/>
      <c r="AO3760" s="82"/>
      <c r="AP3760" s="82"/>
      <c r="AQ3760" s="82"/>
      <c r="AR3760" s="82"/>
      <c r="AS3760" s="82"/>
      <c r="AT3760" s="82"/>
      <c r="AU3760" s="82"/>
      <c r="AV3760" s="82"/>
      <c r="AW3760" s="82" t="str">
        <f t="shared" si="1"/>
        <v/>
      </c>
      <c r="AX3760" s="83" t="str">
        <f t="array" ref="AX3760">IFERROR(DGET('SBV Import'!A:G,"SBV",{"RSC ID","Tier";B3760,A3760}))</f>
        <v/>
      </c>
      <c r="AY3760" s="82" t="str">
        <f t="shared" si="2"/>
        <v/>
      </c>
      <c r="AZ3760" s="82"/>
      <c r="BA3760" s="84" t="s">
        <v>152</v>
      </c>
      <c r="BB3760" s="84" t="str">
        <f>IFERROR(__xludf.DUMMYFUNCTION("iferror(if(A3760="""",,E3760&gt;=FILTER(Constants!$F$2:$F$10,Constants!$A$2:$A$10=A3760)))"),"")</f>
        <v/>
      </c>
    </row>
    <row r="3761">
      <c r="A3761" s="89"/>
      <c r="B3761" s="87"/>
      <c r="C3761" s="73"/>
      <c r="D3761" s="73"/>
      <c r="E3761" s="82"/>
      <c r="F3761" s="82"/>
      <c r="G3761" s="86"/>
      <c r="H3761" s="86"/>
      <c r="I3761" s="86"/>
      <c r="J3761" s="82"/>
      <c r="K3761" s="82"/>
      <c r="L3761" s="82"/>
      <c r="M3761" s="82"/>
      <c r="N3761" s="82"/>
      <c r="O3761" s="82"/>
      <c r="P3761" s="82"/>
      <c r="Q3761" s="82"/>
      <c r="R3761" s="82"/>
      <c r="S3761" s="82"/>
      <c r="T3761" s="82"/>
      <c r="U3761" s="82"/>
      <c r="V3761" s="82"/>
      <c r="W3761" s="82"/>
      <c r="X3761" s="82"/>
      <c r="Y3761" s="82"/>
      <c r="Z3761" s="82"/>
      <c r="AA3761" s="82"/>
      <c r="AB3761" s="82"/>
      <c r="AC3761" s="82"/>
      <c r="AD3761" s="82"/>
      <c r="AE3761" s="82"/>
      <c r="AF3761" s="82"/>
      <c r="AG3761" s="82"/>
      <c r="AH3761" s="82"/>
      <c r="AI3761" s="82"/>
      <c r="AJ3761" s="82"/>
      <c r="AK3761" s="82"/>
      <c r="AL3761" s="82"/>
      <c r="AM3761" s="82"/>
      <c r="AN3761" s="82"/>
      <c r="AO3761" s="82"/>
      <c r="AP3761" s="82"/>
      <c r="AQ3761" s="82"/>
      <c r="AR3761" s="82"/>
      <c r="AS3761" s="82"/>
      <c r="AT3761" s="82"/>
      <c r="AU3761" s="82"/>
      <c r="AV3761" s="82"/>
      <c r="AW3761" s="82" t="str">
        <f t="shared" si="1"/>
        <v/>
      </c>
      <c r="AX3761" s="83" t="str">
        <f t="array" ref="AX3761">IFERROR(DGET('SBV Import'!A:G,"SBV",{"RSC ID","Tier";B3761,A3761}))</f>
        <v/>
      </c>
      <c r="AY3761" s="82" t="str">
        <f t="shared" si="2"/>
        <v/>
      </c>
      <c r="AZ3761" s="82"/>
      <c r="BA3761" s="84" t="s">
        <v>152</v>
      </c>
      <c r="BB3761" s="84" t="str">
        <f>IFERROR(__xludf.DUMMYFUNCTION("iferror(if(A3761="""",,E3761&gt;=FILTER(Constants!$F$2:$F$10,Constants!$A$2:$A$10=A3761)))"),"")</f>
        <v/>
      </c>
    </row>
    <row r="3762">
      <c r="A3762" s="89"/>
      <c r="B3762" s="87"/>
      <c r="C3762" s="73"/>
      <c r="D3762" s="73"/>
      <c r="E3762" s="82"/>
      <c r="F3762" s="82"/>
      <c r="G3762" s="86"/>
      <c r="H3762" s="86"/>
      <c r="I3762" s="86"/>
      <c r="J3762" s="82"/>
      <c r="K3762" s="82"/>
      <c r="L3762" s="82"/>
      <c r="M3762" s="82"/>
      <c r="N3762" s="82"/>
      <c r="O3762" s="82"/>
      <c r="P3762" s="82"/>
      <c r="Q3762" s="82"/>
      <c r="R3762" s="82"/>
      <c r="S3762" s="82"/>
      <c r="T3762" s="82"/>
      <c r="U3762" s="82"/>
      <c r="V3762" s="82"/>
      <c r="W3762" s="82"/>
      <c r="X3762" s="82"/>
      <c r="Y3762" s="82"/>
      <c r="Z3762" s="82"/>
      <c r="AA3762" s="82"/>
      <c r="AB3762" s="82"/>
      <c r="AC3762" s="82"/>
      <c r="AD3762" s="82"/>
      <c r="AE3762" s="82"/>
      <c r="AF3762" s="82"/>
      <c r="AG3762" s="82"/>
      <c r="AH3762" s="82"/>
      <c r="AI3762" s="82"/>
      <c r="AJ3762" s="82"/>
      <c r="AK3762" s="82"/>
      <c r="AL3762" s="82"/>
      <c r="AM3762" s="82"/>
      <c r="AN3762" s="82"/>
      <c r="AO3762" s="82"/>
      <c r="AP3762" s="82"/>
      <c r="AQ3762" s="82"/>
      <c r="AR3762" s="82"/>
      <c r="AS3762" s="82"/>
      <c r="AT3762" s="82"/>
      <c r="AU3762" s="82"/>
      <c r="AV3762" s="82"/>
      <c r="AW3762" s="82" t="str">
        <f t="shared" si="1"/>
        <v/>
      </c>
      <c r="AX3762" s="83" t="str">
        <f t="array" ref="AX3762">IFERROR(DGET('SBV Import'!A:G,"SBV",{"RSC ID","Tier";B3762,A3762}))</f>
        <v/>
      </c>
      <c r="AY3762" s="82" t="str">
        <f t="shared" si="2"/>
        <v/>
      </c>
      <c r="AZ3762" s="82"/>
      <c r="BA3762" s="84" t="s">
        <v>152</v>
      </c>
      <c r="BB3762" s="84" t="str">
        <f>IFERROR(__xludf.DUMMYFUNCTION("iferror(if(A3762="""",,E3762&gt;=FILTER(Constants!$F$2:$F$10,Constants!$A$2:$A$10=A3762)))"),"")</f>
        <v/>
      </c>
    </row>
    <row r="3763">
      <c r="A3763" s="89"/>
      <c r="B3763" s="87"/>
      <c r="C3763" s="73"/>
      <c r="D3763" s="73"/>
      <c r="E3763" s="82"/>
      <c r="F3763" s="82"/>
      <c r="G3763" s="86"/>
      <c r="H3763" s="86"/>
      <c r="I3763" s="86"/>
      <c r="J3763" s="82"/>
      <c r="K3763" s="82"/>
      <c r="L3763" s="82"/>
      <c r="M3763" s="82"/>
      <c r="N3763" s="82"/>
      <c r="O3763" s="82"/>
      <c r="P3763" s="82"/>
      <c r="Q3763" s="82"/>
      <c r="R3763" s="82"/>
      <c r="S3763" s="82"/>
      <c r="T3763" s="82"/>
      <c r="U3763" s="82"/>
      <c r="V3763" s="82"/>
      <c r="W3763" s="82"/>
      <c r="X3763" s="82"/>
      <c r="Y3763" s="82"/>
      <c r="Z3763" s="82"/>
      <c r="AA3763" s="82"/>
      <c r="AB3763" s="82"/>
      <c r="AC3763" s="82"/>
      <c r="AD3763" s="82"/>
      <c r="AE3763" s="82"/>
      <c r="AF3763" s="82"/>
      <c r="AG3763" s="82"/>
      <c r="AH3763" s="82"/>
      <c r="AI3763" s="82"/>
      <c r="AJ3763" s="82"/>
      <c r="AK3763" s="82"/>
      <c r="AL3763" s="82"/>
      <c r="AM3763" s="82"/>
      <c r="AN3763" s="82"/>
      <c r="AO3763" s="82"/>
      <c r="AP3763" s="82"/>
      <c r="AQ3763" s="82"/>
      <c r="AR3763" s="82"/>
      <c r="AS3763" s="82"/>
      <c r="AT3763" s="82"/>
      <c r="AU3763" s="82"/>
      <c r="AV3763" s="82"/>
      <c r="AW3763" s="82" t="str">
        <f t="shared" si="1"/>
        <v/>
      </c>
      <c r="AX3763" s="83" t="str">
        <f t="array" ref="AX3763">IFERROR(DGET('SBV Import'!A:G,"SBV",{"RSC ID","Tier";B3763,A3763}))</f>
        <v/>
      </c>
      <c r="AY3763" s="82" t="str">
        <f t="shared" si="2"/>
        <v/>
      </c>
      <c r="AZ3763" s="82"/>
      <c r="BA3763" s="84" t="s">
        <v>152</v>
      </c>
      <c r="BB3763" s="84" t="str">
        <f>IFERROR(__xludf.DUMMYFUNCTION("iferror(if(A3763="""",,E3763&gt;=FILTER(Constants!$F$2:$F$10,Constants!$A$2:$A$10=A3763)))"),"")</f>
        <v/>
      </c>
    </row>
    <row r="3764">
      <c r="A3764" s="89"/>
      <c r="B3764" s="87"/>
      <c r="C3764" s="73"/>
      <c r="D3764" s="73"/>
      <c r="E3764" s="82"/>
      <c r="F3764" s="82"/>
      <c r="G3764" s="86"/>
      <c r="H3764" s="86"/>
      <c r="I3764" s="86"/>
      <c r="J3764" s="82"/>
      <c r="K3764" s="82"/>
      <c r="L3764" s="82"/>
      <c r="M3764" s="82"/>
      <c r="N3764" s="82"/>
      <c r="O3764" s="82"/>
      <c r="P3764" s="82"/>
      <c r="Q3764" s="82"/>
      <c r="R3764" s="82"/>
      <c r="S3764" s="82"/>
      <c r="T3764" s="82"/>
      <c r="U3764" s="82"/>
      <c r="V3764" s="82"/>
      <c r="W3764" s="82"/>
      <c r="X3764" s="82"/>
      <c r="Y3764" s="82"/>
      <c r="Z3764" s="82"/>
      <c r="AA3764" s="82"/>
      <c r="AB3764" s="82"/>
      <c r="AC3764" s="82"/>
      <c r="AD3764" s="82"/>
      <c r="AE3764" s="82"/>
      <c r="AF3764" s="82"/>
      <c r="AG3764" s="82"/>
      <c r="AH3764" s="82"/>
      <c r="AI3764" s="82"/>
      <c r="AJ3764" s="82"/>
      <c r="AK3764" s="82"/>
      <c r="AL3764" s="82"/>
      <c r="AM3764" s="82"/>
      <c r="AN3764" s="82"/>
      <c r="AO3764" s="82"/>
      <c r="AP3764" s="82"/>
      <c r="AQ3764" s="82"/>
      <c r="AR3764" s="82"/>
      <c r="AS3764" s="82"/>
      <c r="AT3764" s="82"/>
      <c r="AU3764" s="82"/>
      <c r="AV3764" s="82"/>
      <c r="AW3764" s="82" t="str">
        <f t="shared" si="1"/>
        <v/>
      </c>
      <c r="AX3764" s="83" t="str">
        <f t="array" ref="AX3764">IFERROR(DGET('SBV Import'!A:G,"SBV",{"RSC ID","Tier";B3764,A3764}))</f>
        <v/>
      </c>
      <c r="AY3764" s="82" t="str">
        <f t="shared" si="2"/>
        <v/>
      </c>
      <c r="AZ3764" s="82"/>
      <c r="BA3764" s="84" t="s">
        <v>152</v>
      </c>
      <c r="BB3764" s="84" t="str">
        <f>IFERROR(__xludf.DUMMYFUNCTION("iferror(if(A3764="""",,E3764&gt;=FILTER(Constants!$F$2:$F$10,Constants!$A$2:$A$10=A3764)))"),"")</f>
        <v/>
      </c>
    </row>
    <row r="3765">
      <c r="A3765" s="89"/>
      <c r="B3765" s="87"/>
      <c r="C3765" s="73"/>
      <c r="D3765" s="73"/>
      <c r="E3765" s="82"/>
      <c r="F3765" s="82"/>
      <c r="G3765" s="86"/>
      <c r="H3765" s="86"/>
      <c r="I3765" s="86"/>
      <c r="J3765" s="82"/>
      <c r="K3765" s="82"/>
      <c r="L3765" s="82"/>
      <c r="M3765" s="82"/>
      <c r="N3765" s="82"/>
      <c r="O3765" s="82"/>
      <c r="P3765" s="82"/>
      <c r="Q3765" s="82"/>
      <c r="R3765" s="82"/>
      <c r="S3765" s="82"/>
      <c r="T3765" s="82"/>
      <c r="U3765" s="82"/>
      <c r="V3765" s="82"/>
      <c r="W3765" s="82"/>
      <c r="X3765" s="82"/>
      <c r="Y3765" s="82"/>
      <c r="Z3765" s="82"/>
      <c r="AA3765" s="82"/>
      <c r="AB3765" s="82"/>
      <c r="AC3765" s="82"/>
      <c r="AD3765" s="82"/>
      <c r="AE3765" s="82"/>
      <c r="AF3765" s="82"/>
      <c r="AG3765" s="82"/>
      <c r="AH3765" s="82"/>
      <c r="AI3765" s="82"/>
      <c r="AJ3765" s="82"/>
      <c r="AK3765" s="82"/>
      <c r="AL3765" s="82"/>
      <c r="AM3765" s="82"/>
      <c r="AN3765" s="82"/>
      <c r="AO3765" s="82"/>
      <c r="AP3765" s="82"/>
      <c r="AQ3765" s="82"/>
      <c r="AR3765" s="82"/>
      <c r="AS3765" s="82"/>
      <c r="AT3765" s="82"/>
      <c r="AU3765" s="82"/>
      <c r="AV3765" s="82"/>
      <c r="AW3765" s="82" t="str">
        <f t="shared" si="1"/>
        <v/>
      </c>
      <c r="AX3765" s="83" t="str">
        <f t="array" ref="AX3765">IFERROR(DGET('SBV Import'!A:G,"SBV",{"RSC ID","Tier";B3765,A3765}))</f>
        <v/>
      </c>
      <c r="AY3765" s="82" t="str">
        <f t="shared" si="2"/>
        <v/>
      </c>
      <c r="AZ3765" s="82"/>
      <c r="BA3765" s="84" t="s">
        <v>152</v>
      </c>
      <c r="BB3765" s="84" t="str">
        <f>IFERROR(__xludf.DUMMYFUNCTION("iferror(if(A3765="""",,E3765&gt;=FILTER(Constants!$F$2:$F$10,Constants!$A$2:$A$10=A3765)))"),"")</f>
        <v/>
      </c>
    </row>
    <row r="3766">
      <c r="A3766" s="89"/>
      <c r="B3766" s="87"/>
      <c r="C3766" s="73"/>
      <c r="D3766" s="73"/>
      <c r="E3766" s="82"/>
      <c r="F3766" s="82"/>
      <c r="G3766" s="86"/>
      <c r="H3766" s="86"/>
      <c r="I3766" s="86"/>
      <c r="J3766" s="82"/>
      <c r="K3766" s="82"/>
      <c r="L3766" s="82"/>
      <c r="M3766" s="82"/>
      <c r="N3766" s="82"/>
      <c r="O3766" s="82"/>
      <c r="P3766" s="82"/>
      <c r="Q3766" s="82"/>
      <c r="R3766" s="82"/>
      <c r="S3766" s="82"/>
      <c r="T3766" s="82"/>
      <c r="U3766" s="82"/>
      <c r="V3766" s="82"/>
      <c r="W3766" s="82"/>
      <c r="X3766" s="82"/>
      <c r="Y3766" s="82"/>
      <c r="Z3766" s="82"/>
      <c r="AA3766" s="82"/>
      <c r="AB3766" s="82"/>
      <c r="AC3766" s="82"/>
      <c r="AD3766" s="82"/>
      <c r="AE3766" s="82"/>
      <c r="AF3766" s="82"/>
      <c r="AG3766" s="82"/>
      <c r="AH3766" s="82"/>
      <c r="AI3766" s="82"/>
      <c r="AJ3766" s="82"/>
      <c r="AK3766" s="82"/>
      <c r="AL3766" s="82"/>
      <c r="AM3766" s="82"/>
      <c r="AN3766" s="82"/>
      <c r="AO3766" s="82"/>
      <c r="AP3766" s="82"/>
      <c r="AQ3766" s="82"/>
      <c r="AR3766" s="82"/>
      <c r="AS3766" s="82"/>
      <c r="AT3766" s="82"/>
      <c r="AU3766" s="82"/>
      <c r="AV3766" s="82"/>
      <c r="AW3766" s="82" t="str">
        <f t="shared" si="1"/>
        <v/>
      </c>
      <c r="AX3766" s="83" t="str">
        <f t="array" ref="AX3766">IFERROR(DGET('SBV Import'!A:G,"SBV",{"RSC ID","Tier";B3766,A3766}))</f>
        <v/>
      </c>
      <c r="AY3766" s="82" t="str">
        <f t="shared" si="2"/>
        <v/>
      </c>
      <c r="AZ3766" s="82"/>
      <c r="BA3766" s="84" t="s">
        <v>152</v>
      </c>
      <c r="BB3766" s="84" t="str">
        <f>IFERROR(__xludf.DUMMYFUNCTION("iferror(if(A3766="""",,E3766&gt;=FILTER(Constants!$F$2:$F$10,Constants!$A$2:$A$10=A3766)))"),"")</f>
        <v/>
      </c>
    </row>
    <row r="3767">
      <c r="A3767" s="89"/>
      <c r="B3767" s="87"/>
      <c r="C3767" s="73"/>
      <c r="D3767" s="73"/>
      <c r="E3767" s="82"/>
      <c r="F3767" s="82"/>
      <c r="G3767" s="86"/>
      <c r="H3767" s="86"/>
      <c r="I3767" s="86"/>
      <c r="J3767" s="82"/>
      <c r="K3767" s="82"/>
      <c r="L3767" s="82"/>
      <c r="M3767" s="82"/>
      <c r="N3767" s="82"/>
      <c r="O3767" s="82"/>
      <c r="P3767" s="82"/>
      <c r="Q3767" s="82"/>
      <c r="R3767" s="82"/>
      <c r="S3767" s="82"/>
      <c r="T3767" s="82"/>
      <c r="U3767" s="82"/>
      <c r="V3767" s="82"/>
      <c r="W3767" s="82"/>
      <c r="X3767" s="82"/>
      <c r="Y3767" s="82"/>
      <c r="Z3767" s="82"/>
      <c r="AA3767" s="82"/>
      <c r="AB3767" s="82"/>
      <c r="AC3767" s="82"/>
      <c r="AD3767" s="82"/>
      <c r="AE3767" s="82"/>
      <c r="AF3767" s="82"/>
      <c r="AG3767" s="82"/>
      <c r="AH3767" s="82"/>
      <c r="AI3767" s="82"/>
      <c r="AJ3767" s="82"/>
      <c r="AK3767" s="82"/>
      <c r="AL3767" s="82"/>
      <c r="AM3767" s="82"/>
      <c r="AN3767" s="82"/>
      <c r="AO3767" s="82"/>
      <c r="AP3767" s="82"/>
      <c r="AQ3767" s="82"/>
      <c r="AR3767" s="82"/>
      <c r="AS3767" s="82"/>
      <c r="AT3767" s="82"/>
      <c r="AU3767" s="82"/>
      <c r="AV3767" s="82"/>
      <c r="AW3767" s="82" t="str">
        <f t="shared" si="1"/>
        <v/>
      </c>
      <c r="AX3767" s="83" t="str">
        <f t="array" ref="AX3767">IFERROR(DGET('SBV Import'!A:G,"SBV",{"RSC ID","Tier";B3767,A3767}))</f>
        <v/>
      </c>
      <c r="AY3767" s="82" t="str">
        <f t="shared" si="2"/>
        <v/>
      </c>
      <c r="AZ3767" s="82"/>
      <c r="BA3767" s="84" t="s">
        <v>152</v>
      </c>
      <c r="BB3767" s="84" t="str">
        <f>IFERROR(__xludf.DUMMYFUNCTION("iferror(if(A3767="""",,E3767&gt;=FILTER(Constants!$F$2:$F$10,Constants!$A$2:$A$10=A3767)))"),"")</f>
        <v/>
      </c>
    </row>
    <row r="3768">
      <c r="A3768" s="89"/>
      <c r="B3768" s="87"/>
      <c r="C3768" s="73"/>
      <c r="D3768" s="73"/>
      <c r="E3768" s="82"/>
      <c r="F3768" s="82"/>
      <c r="G3768" s="86"/>
      <c r="H3768" s="86"/>
      <c r="I3768" s="86"/>
      <c r="J3768" s="82"/>
      <c r="K3768" s="82"/>
      <c r="L3768" s="82"/>
      <c r="M3768" s="82"/>
      <c r="N3768" s="82"/>
      <c r="O3768" s="82"/>
      <c r="P3768" s="82"/>
      <c r="Q3768" s="82"/>
      <c r="R3768" s="82"/>
      <c r="S3768" s="82"/>
      <c r="T3768" s="82"/>
      <c r="U3768" s="82"/>
      <c r="V3768" s="82"/>
      <c r="W3768" s="82"/>
      <c r="X3768" s="82"/>
      <c r="Y3768" s="82"/>
      <c r="Z3768" s="82"/>
      <c r="AA3768" s="82"/>
      <c r="AB3768" s="82"/>
      <c r="AC3768" s="82"/>
      <c r="AD3768" s="82"/>
      <c r="AE3768" s="82"/>
      <c r="AF3768" s="82"/>
      <c r="AG3768" s="82"/>
      <c r="AH3768" s="82"/>
      <c r="AI3768" s="82"/>
      <c r="AJ3768" s="82"/>
      <c r="AK3768" s="82"/>
      <c r="AL3768" s="82"/>
      <c r="AM3768" s="82"/>
      <c r="AN3768" s="82"/>
      <c r="AO3768" s="82"/>
      <c r="AP3768" s="82"/>
      <c r="AQ3768" s="82"/>
      <c r="AR3768" s="82"/>
      <c r="AS3768" s="82"/>
      <c r="AT3768" s="82"/>
      <c r="AU3768" s="82"/>
      <c r="AV3768" s="82"/>
      <c r="AW3768" s="82" t="str">
        <f t="shared" si="1"/>
        <v/>
      </c>
      <c r="AX3768" s="83" t="str">
        <f t="array" ref="AX3768">IFERROR(DGET('SBV Import'!A:G,"SBV",{"RSC ID","Tier";B3768,A3768}))</f>
        <v/>
      </c>
      <c r="AY3768" s="82" t="str">
        <f t="shared" si="2"/>
        <v/>
      </c>
      <c r="AZ3768" s="82"/>
      <c r="BA3768" s="84" t="s">
        <v>152</v>
      </c>
      <c r="BB3768" s="84" t="str">
        <f>IFERROR(__xludf.DUMMYFUNCTION("iferror(if(A3768="""",,E3768&gt;=FILTER(Constants!$F$2:$F$10,Constants!$A$2:$A$10=A3768)))"),"")</f>
        <v/>
      </c>
    </row>
    <row r="3769">
      <c r="A3769" s="89"/>
      <c r="B3769" s="87"/>
      <c r="C3769" s="73"/>
      <c r="D3769" s="73"/>
      <c r="E3769" s="82"/>
      <c r="F3769" s="82"/>
      <c r="G3769" s="86"/>
      <c r="H3769" s="86"/>
      <c r="I3769" s="86"/>
      <c r="J3769" s="82"/>
      <c r="K3769" s="82"/>
      <c r="L3769" s="82"/>
      <c r="M3769" s="82"/>
      <c r="N3769" s="82"/>
      <c r="O3769" s="82"/>
      <c r="P3769" s="82"/>
      <c r="Q3769" s="82"/>
      <c r="R3769" s="82"/>
      <c r="S3769" s="82"/>
      <c r="T3769" s="82"/>
      <c r="U3769" s="82"/>
      <c r="V3769" s="82"/>
      <c r="W3769" s="82"/>
      <c r="X3769" s="82"/>
      <c r="Y3769" s="82"/>
      <c r="Z3769" s="82"/>
      <c r="AA3769" s="82"/>
      <c r="AB3769" s="82"/>
      <c r="AC3769" s="82"/>
      <c r="AD3769" s="82"/>
      <c r="AE3769" s="82"/>
      <c r="AF3769" s="82"/>
      <c r="AG3769" s="82"/>
      <c r="AH3769" s="82"/>
      <c r="AI3769" s="82"/>
      <c r="AJ3769" s="82"/>
      <c r="AK3769" s="82"/>
      <c r="AL3769" s="82"/>
      <c r="AM3769" s="82"/>
      <c r="AN3769" s="82"/>
      <c r="AO3769" s="82"/>
      <c r="AP3769" s="82"/>
      <c r="AQ3769" s="82"/>
      <c r="AR3769" s="82"/>
      <c r="AS3769" s="82"/>
      <c r="AT3769" s="82"/>
      <c r="AU3769" s="82"/>
      <c r="AV3769" s="82"/>
      <c r="AW3769" s="82" t="str">
        <f t="shared" si="1"/>
        <v/>
      </c>
      <c r="AX3769" s="83" t="str">
        <f t="array" ref="AX3769">IFERROR(DGET('SBV Import'!A:G,"SBV",{"RSC ID","Tier";B3769,A3769}))</f>
        <v/>
      </c>
      <c r="AY3769" s="82" t="str">
        <f t="shared" si="2"/>
        <v/>
      </c>
      <c r="AZ3769" s="82"/>
      <c r="BA3769" s="84" t="s">
        <v>152</v>
      </c>
      <c r="BB3769" s="84" t="str">
        <f>IFERROR(__xludf.DUMMYFUNCTION("iferror(if(A3769="""",,E3769&gt;=FILTER(Constants!$F$2:$F$10,Constants!$A$2:$A$10=A3769)))"),"")</f>
        <v/>
      </c>
    </row>
    <row r="3770">
      <c r="A3770" s="89"/>
      <c r="B3770" s="87"/>
      <c r="C3770" s="73"/>
      <c r="D3770" s="73"/>
      <c r="E3770" s="82"/>
      <c r="F3770" s="82"/>
      <c r="G3770" s="86"/>
      <c r="H3770" s="86"/>
      <c r="I3770" s="86"/>
      <c r="J3770" s="82"/>
      <c r="K3770" s="82"/>
      <c r="L3770" s="82"/>
      <c r="M3770" s="82"/>
      <c r="N3770" s="82"/>
      <c r="O3770" s="82"/>
      <c r="P3770" s="82"/>
      <c r="Q3770" s="82"/>
      <c r="R3770" s="82"/>
      <c r="S3770" s="82"/>
      <c r="T3770" s="82"/>
      <c r="U3770" s="82"/>
      <c r="V3770" s="82"/>
      <c r="W3770" s="82"/>
      <c r="X3770" s="82"/>
      <c r="Y3770" s="82"/>
      <c r="Z3770" s="82"/>
      <c r="AA3770" s="82"/>
      <c r="AB3770" s="82"/>
      <c r="AC3770" s="82"/>
      <c r="AD3770" s="82"/>
      <c r="AE3770" s="82"/>
      <c r="AF3770" s="82"/>
      <c r="AG3770" s="82"/>
      <c r="AH3770" s="82"/>
      <c r="AI3770" s="82"/>
      <c r="AJ3770" s="82"/>
      <c r="AK3770" s="82"/>
      <c r="AL3770" s="82"/>
      <c r="AM3770" s="82"/>
      <c r="AN3770" s="82"/>
      <c r="AO3770" s="82"/>
      <c r="AP3770" s="82"/>
      <c r="AQ3770" s="82"/>
      <c r="AR3770" s="82"/>
      <c r="AS3770" s="82"/>
      <c r="AT3770" s="82"/>
      <c r="AU3770" s="82"/>
      <c r="AV3770" s="82"/>
      <c r="AW3770" s="82" t="str">
        <f t="shared" si="1"/>
        <v/>
      </c>
      <c r="AX3770" s="83" t="str">
        <f t="array" ref="AX3770">IFERROR(DGET('SBV Import'!A:G,"SBV",{"RSC ID","Tier";B3770,A3770}))</f>
        <v/>
      </c>
      <c r="AY3770" s="82" t="str">
        <f t="shared" si="2"/>
        <v/>
      </c>
      <c r="AZ3770" s="82"/>
      <c r="BA3770" s="84" t="s">
        <v>152</v>
      </c>
      <c r="BB3770" s="84" t="str">
        <f>IFERROR(__xludf.DUMMYFUNCTION("iferror(if(A3770="""",,E3770&gt;=FILTER(Constants!$F$2:$F$10,Constants!$A$2:$A$10=A3770)))"),"")</f>
        <v/>
      </c>
    </row>
    <row r="3771">
      <c r="A3771" s="89"/>
      <c r="B3771" s="87"/>
      <c r="C3771" s="73"/>
      <c r="D3771" s="73"/>
      <c r="E3771" s="82"/>
      <c r="F3771" s="82"/>
      <c r="G3771" s="86"/>
      <c r="H3771" s="86"/>
      <c r="I3771" s="86"/>
      <c r="J3771" s="82"/>
      <c r="K3771" s="82"/>
      <c r="L3771" s="82"/>
      <c r="M3771" s="82"/>
      <c r="N3771" s="82"/>
      <c r="O3771" s="82"/>
      <c r="P3771" s="82"/>
      <c r="Q3771" s="82"/>
      <c r="R3771" s="82"/>
      <c r="S3771" s="82"/>
      <c r="T3771" s="82"/>
      <c r="U3771" s="82"/>
      <c r="V3771" s="82"/>
      <c r="W3771" s="82"/>
      <c r="X3771" s="82"/>
      <c r="Y3771" s="82"/>
      <c r="Z3771" s="82"/>
      <c r="AA3771" s="82"/>
      <c r="AB3771" s="82"/>
      <c r="AC3771" s="82"/>
      <c r="AD3771" s="82"/>
      <c r="AE3771" s="82"/>
      <c r="AF3771" s="82"/>
      <c r="AG3771" s="82"/>
      <c r="AH3771" s="82"/>
      <c r="AI3771" s="82"/>
      <c r="AJ3771" s="82"/>
      <c r="AK3771" s="82"/>
      <c r="AL3771" s="82"/>
      <c r="AM3771" s="82"/>
      <c r="AN3771" s="82"/>
      <c r="AO3771" s="82"/>
      <c r="AP3771" s="82"/>
      <c r="AQ3771" s="82"/>
      <c r="AR3771" s="82"/>
      <c r="AS3771" s="82"/>
      <c r="AT3771" s="82"/>
      <c r="AU3771" s="82"/>
      <c r="AV3771" s="82"/>
      <c r="AW3771" s="82" t="str">
        <f t="shared" si="1"/>
        <v/>
      </c>
      <c r="AX3771" s="83" t="str">
        <f t="array" ref="AX3771">IFERROR(DGET('SBV Import'!A:G,"SBV",{"RSC ID","Tier";B3771,A3771}))</f>
        <v/>
      </c>
      <c r="AY3771" s="82" t="str">
        <f t="shared" si="2"/>
        <v/>
      </c>
      <c r="AZ3771" s="82"/>
      <c r="BA3771" s="84" t="s">
        <v>152</v>
      </c>
      <c r="BB3771" s="84" t="str">
        <f>IFERROR(__xludf.DUMMYFUNCTION("iferror(if(A3771="""",,E3771&gt;=FILTER(Constants!$F$2:$F$10,Constants!$A$2:$A$10=A3771)))"),"")</f>
        <v/>
      </c>
    </row>
    <row r="3772">
      <c r="A3772" s="89"/>
      <c r="B3772" s="87"/>
      <c r="C3772" s="73"/>
      <c r="D3772" s="73"/>
      <c r="E3772" s="82"/>
      <c r="F3772" s="82"/>
      <c r="G3772" s="86"/>
      <c r="H3772" s="86"/>
      <c r="I3772" s="86"/>
      <c r="J3772" s="82"/>
      <c r="K3772" s="82"/>
      <c r="L3772" s="82"/>
      <c r="M3772" s="82"/>
      <c r="N3772" s="82"/>
      <c r="O3772" s="82"/>
      <c r="P3772" s="82"/>
      <c r="Q3772" s="82"/>
      <c r="R3772" s="82"/>
      <c r="S3772" s="82"/>
      <c r="T3772" s="82"/>
      <c r="U3772" s="82"/>
      <c r="V3772" s="82"/>
      <c r="W3772" s="82"/>
      <c r="X3772" s="82"/>
      <c r="Y3772" s="82"/>
      <c r="Z3772" s="82"/>
      <c r="AA3772" s="82"/>
      <c r="AB3772" s="82"/>
      <c r="AC3772" s="82"/>
      <c r="AD3772" s="82"/>
      <c r="AE3772" s="82"/>
      <c r="AF3772" s="82"/>
      <c r="AG3772" s="82"/>
      <c r="AH3772" s="82"/>
      <c r="AI3772" s="82"/>
      <c r="AJ3772" s="82"/>
      <c r="AK3772" s="82"/>
      <c r="AL3772" s="82"/>
      <c r="AM3772" s="82"/>
      <c r="AN3772" s="82"/>
      <c r="AO3772" s="82"/>
      <c r="AP3772" s="82"/>
      <c r="AQ3772" s="82"/>
      <c r="AR3772" s="82"/>
      <c r="AS3772" s="82"/>
      <c r="AT3772" s="82"/>
      <c r="AU3772" s="82"/>
      <c r="AV3772" s="82"/>
      <c r="AW3772" s="82" t="str">
        <f t="shared" si="1"/>
        <v/>
      </c>
      <c r="AX3772" s="83" t="str">
        <f t="array" ref="AX3772">IFERROR(DGET('SBV Import'!A:G,"SBV",{"RSC ID","Tier";B3772,A3772}))</f>
        <v/>
      </c>
      <c r="AY3772" s="82" t="str">
        <f t="shared" si="2"/>
        <v/>
      </c>
      <c r="AZ3772" s="82"/>
      <c r="BA3772" s="84" t="s">
        <v>152</v>
      </c>
      <c r="BB3772" s="84" t="str">
        <f>IFERROR(__xludf.DUMMYFUNCTION("iferror(if(A3772="""",,E3772&gt;=FILTER(Constants!$F$2:$F$10,Constants!$A$2:$A$10=A3772)))"),"")</f>
        <v/>
      </c>
    </row>
    <row r="3773">
      <c r="A3773" s="89"/>
      <c r="B3773" s="87"/>
      <c r="C3773" s="73"/>
      <c r="D3773" s="73"/>
      <c r="E3773" s="82"/>
      <c r="F3773" s="82"/>
      <c r="G3773" s="86"/>
      <c r="H3773" s="86"/>
      <c r="I3773" s="86"/>
      <c r="J3773" s="82"/>
      <c r="K3773" s="82"/>
      <c r="L3773" s="82"/>
      <c r="M3773" s="82"/>
      <c r="N3773" s="82"/>
      <c r="O3773" s="82"/>
      <c r="P3773" s="82"/>
      <c r="Q3773" s="82"/>
      <c r="R3773" s="82"/>
      <c r="S3773" s="82"/>
      <c r="T3773" s="82"/>
      <c r="U3773" s="82"/>
      <c r="V3773" s="82"/>
      <c r="W3773" s="82"/>
      <c r="X3773" s="82"/>
      <c r="Y3773" s="82"/>
      <c r="Z3773" s="82"/>
      <c r="AA3773" s="82"/>
      <c r="AB3773" s="82"/>
      <c r="AC3773" s="82"/>
      <c r="AD3773" s="82"/>
      <c r="AE3773" s="82"/>
      <c r="AF3773" s="82"/>
      <c r="AG3773" s="82"/>
      <c r="AH3773" s="82"/>
      <c r="AI3773" s="82"/>
      <c r="AJ3773" s="82"/>
      <c r="AK3773" s="82"/>
      <c r="AL3773" s="82"/>
      <c r="AM3773" s="82"/>
      <c r="AN3773" s="82"/>
      <c r="AO3773" s="82"/>
      <c r="AP3773" s="82"/>
      <c r="AQ3773" s="82"/>
      <c r="AR3773" s="82"/>
      <c r="AS3773" s="82"/>
      <c r="AT3773" s="82"/>
      <c r="AU3773" s="82"/>
      <c r="AV3773" s="82"/>
      <c r="AW3773" s="82" t="str">
        <f t="shared" si="1"/>
        <v/>
      </c>
      <c r="AX3773" s="83" t="str">
        <f t="array" ref="AX3773">IFERROR(DGET('SBV Import'!A:G,"SBV",{"RSC ID","Tier";B3773,A3773}))</f>
        <v/>
      </c>
      <c r="AY3773" s="82" t="str">
        <f t="shared" si="2"/>
        <v/>
      </c>
      <c r="AZ3773" s="82"/>
      <c r="BA3773" s="84" t="s">
        <v>152</v>
      </c>
      <c r="BB3773" s="84" t="str">
        <f>IFERROR(__xludf.DUMMYFUNCTION("iferror(if(A3773="""",,E3773&gt;=FILTER(Constants!$F$2:$F$10,Constants!$A$2:$A$10=A3773)))"),"")</f>
        <v/>
      </c>
    </row>
    <row r="3774">
      <c r="A3774" s="89"/>
      <c r="B3774" s="87"/>
      <c r="C3774" s="73"/>
      <c r="D3774" s="73"/>
      <c r="E3774" s="82"/>
      <c r="F3774" s="82"/>
      <c r="G3774" s="86"/>
      <c r="H3774" s="86"/>
      <c r="I3774" s="86"/>
      <c r="J3774" s="82"/>
      <c r="K3774" s="82"/>
      <c r="L3774" s="82"/>
      <c r="M3774" s="82"/>
      <c r="N3774" s="82"/>
      <c r="O3774" s="82"/>
      <c r="P3774" s="82"/>
      <c r="Q3774" s="82"/>
      <c r="R3774" s="82"/>
      <c r="S3774" s="82"/>
      <c r="T3774" s="82"/>
      <c r="U3774" s="82"/>
      <c r="V3774" s="82"/>
      <c r="W3774" s="82"/>
      <c r="X3774" s="82"/>
      <c r="Y3774" s="82"/>
      <c r="Z3774" s="82"/>
      <c r="AA3774" s="82"/>
      <c r="AB3774" s="82"/>
      <c r="AC3774" s="82"/>
      <c r="AD3774" s="82"/>
      <c r="AE3774" s="82"/>
      <c r="AF3774" s="82"/>
      <c r="AG3774" s="82"/>
      <c r="AH3774" s="82"/>
      <c r="AI3774" s="82"/>
      <c r="AJ3774" s="82"/>
      <c r="AK3774" s="82"/>
      <c r="AL3774" s="82"/>
      <c r="AM3774" s="82"/>
      <c r="AN3774" s="82"/>
      <c r="AO3774" s="82"/>
      <c r="AP3774" s="82"/>
      <c r="AQ3774" s="82"/>
      <c r="AR3774" s="82"/>
      <c r="AS3774" s="82"/>
      <c r="AT3774" s="82"/>
      <c r="AU3774" s="82"/>
      <c r="AV3774" s="82"/>
      <c r="AW3774" s="82" t="str">
        <f t="shared" si="1"/>
        <v/>
      </c>
      <c r="AX3774" s="83" t="str">
        <f t="array" ref="AX3774">IFERROR(DGET('SBV Import'!A:G,"SBV",{"RSC ID","Tier";B3774,A3774}))</f>
        <v/>
      </c>
      <c r="AY3774" s="82" t="str">
        <f t="shared" si="2"/>
        <v/>
      </c>
      <c r="AZ3774" s="82"/>
      <c r="BA3774" s="84" t="s">
        <v>152</v>
      </c>
      <c r="BB3774" s="84" t="str">
        <f>IFERROR(__xludf.DUMMYFUNCTION("iferror(if(A3774="""",,E3774&gt;=FILTER(Constants!$F$2:$F$10,Constants!$A$2:$A$10=A3774)))"),"")</f>
        <v/>
      </c>
    </row>
    <row r="3775">
      <c r="A3775" s="89"/>
      <c r="B3775" s="87"/>
      <c r="C3775" s="73"/>
      <c r="D3775" s="73"/>
      <c r="E3775" s="82"/>
      <c r="F3775" s="82"/>
      <c r="G3775" s="86"/>
      <c r="H3775" s="86"/>
      <c r="I3775" s="86"/>
      <c r="J3775" s="82"/>
      <c r="K3775" s="82"/>
      <c r="L3775" s="82"/>
      <c r="M3775" s="82"/>
      <c r="N3775" s="82"/>
      <c r="O3775" s="82"/>
      <c r="P3775" s="82"/>
      <c r="Q3775" s="82"/>
      <c r="R3775" s="82"/>
      <c r="S3775" s="82"/>
      <c r="T3775" s="82"/>
      <c r="U3775" s="82"/>
      <c r="V3775" s="82"/>
      <c r="W3775" s="82"/>
      <c r="X3775" s="82"/>
      <c r="Y3775" s="82"/>
      <c r="Z3775" s="82"/>
      <c r="AA3775" s="82"/>
      <c r="AB3775" s="82"/>
      <c r="AC3775" s="82"/>
      <c r="AD3775" s="82"/>
      <c r="AE3775" s="82"/>
      <c r="AF3775" s="82"/>
      <c r="AG3775" s="82"/>
      <c r="AH3775" s="82"/>
      <c r="AI3775" s="82"/>
      <c r="AJ3775" s="82"/>
      <c r="AK3775" s="82"/>
      <c r="AL3775" s="82"/>
      <c r="AM3775" s="82"/>
      <c r="AN3775" s="82"/>
      <c r="AO3775" s="82"/>
      <c r="AP3775" s="82"/>
      <c r="AQ3775" s="82"/>
      <c r="AR3775" s="82"/>
      <c r="AS3775" s="82"/>
      <c r="AT3775" s="82"/>
      <c r="AU3775" s="82"/>
      <c r="AV3775" s="82"/>
      <c r="AW3775" s="82" t="str">
        <f t="shared" si="1"/>
        <v/>
      </c>
      <c r="AX3775" s="83" t="str">
        <f t="array" ref="AX3775">IFERROR(DGET('SBV Import'!A:G,"SBV",{"RSC ID","Tier";B3775,A3775}))</f>
        <v/>
      </c>
      <c r="AY3775" s="82" t="str">
        <f t="shared" si="2"/>
        <v/>
      </c>
      <c r="AZ3775" s="82"/>
      <c r="BA3775" s="84" t="s">
        <v>152</v>
      </c>
      <c r="BB3775" s="84" t="str">
        <f>IFERROR(__xludf.DUMMYFUNCTION("iferror(if(A3775="""",,E3775&gt;=FILTER(Constants!$F$2:$F$10,Constants!$A$2:$A$10=A3775)))"),"")</f>
        <v/>
      </c>
    </row>
    <row r="3776">
      <c r="A3776" s="89"/>
      <c r="B3776" s="87"/>
      <c r="C3776" s="73"/>
      <c r="D3776" s="73"/>
      <c r="E3776" s="82"/>
      <c r="F3776" s="82"/>
      <c r="G3776" s="86"/>
      <c r="H3776" s="86"/>
      <c r="I3776" s="86"/>
      <c r="J3776" s="82"/>
      <c r="K3776" s="82"/>
      <c r="L3776" s="82"/>
      <c r="M3776" s="82"/>
      <c r="N3776" s="82"/>
      <c r="O3776" s="82"/>
      <c r="P3776" s="82"/>
      <c r="Q3776" s="82"/>
      <c r="R3776" s="82"/>
      <c r="S3776" s="82"/>
      <c r="T3776" s="82"/>
      <c r="U3776" s="82"/>
      <c r="V3776" s="82"/>
      <c r="W3776" s="82"/>
      <c r="X3776" s="82"/>
      <c r="Y3776" s="82"/>
      <c r="Z3776" s="82"/>
      <c r="AA3776" s="82"/>
      <c r="AB3776" s="82"/>
      <c r="AC3776" s="82"/>
      <c r="AD3776" s="82"/>
      <c r="AE3776" s="82"/>
      <c r="AF3776" s="82"/>
      <c r="AG3776" s="82"/>
      <c r="AH3776" s="82"/>
      <c r="AI3776" s="82"/>
      <c r="AJ3776" s="82"/>
      <c r="AK3776" s="82"/>
      <c r="AL3776" s="82"/>
      <c r="AM3776" s="82"/>
      <c r="AN3776" s="82"/>
      <c r="AO3776" s="82"/>
      <c r="AP3776" s="82"/>
      <c r="AQ3776" s="82"/>
      <c r="AR3776" s="82"/>
      <c r="AS3776" s="82"/>
      <c r="AT3776" s="82"/>
      <c r="AU3776" s="82"/>
      <c r="AV3776" s="82"/>
      <c r="AW3776" s="82" t="str">
        <f t="shared" si="1"/>
        <v/>
      </c>
      <c r="AX3776" s="83" t="str">
        <f t="array" ref="AX3776">IFERROR(DGET('SBV Import'!A:G,"SBV",{"RSC ID","Tier";B3776,A3776}))</f>
        <v/>
      </c>
      <c r="AY3776" s="82" t="str">
        <f t="shared" si="2"/>
        <v/>
      </c>
      <c r="AZ3776" s="82"/>
      <c r="BA3776" s="84" t="s">
        <v>152</v>
      </c>
      <c r="BB3776" s="84" t="str">
        <f>IFERROR(__xludf.DUMMYFUNCTION("iferror(if(A3776="""",,E3776&gt;=FILTER(Constants!$F$2:$F$10,Constants!$A$2:$A$10=A3776)))"),"")</f>
        <v/>
      </c>
    </row>
    <row r="3777">
      <c r="A3777" s="89"/>
      <c r="B3777" s="87"/>
      <c r="C3777" s="73"/>
      <c r="D3777" s="73"/>
      <c r="E3777" s="82"/>
      <c r="F3777" s="82"/>
      <c r="G3777" s="86"/>
      <c r="H3777" s="86"/>
      <c r="I3777" s="86"/>
      <c r="J3777" s="82"/>
      <c r="K3777" s="82"/>
      <c r="L3777" s="82"/>
      <c r="M3777" s="82"/>
      <c r="N3777" s="82"/>
      <c r="O3777" s="82"/>
      <c r="P3777" s="82"/>
      <c r="Q3777" s="82"/>
      <c r="R3777" s="82"/>
      <c r="S3777" s="82"/>
      <c r="T3777" s="82"/>
      <c r="U3777" s="82"/>
      <c r="V3777" s="82"/>
      <c r="W3777" s="82"/>
      <c r="X3777" s="82"/>
      <c r="Y3777" s="82"/>
      <c r="Z3777" s="82"/>
      <c r="AA3777" s="82"/>
      <c r="AB3777" s="82"/>
      <c r="AC3777" s="82"/>
      <c r="AD3777" s="82"/>
      <c r="AE3777" s="82"/>
      <c r="AF3777" s="82"/>
      <c r="AG3777" s="82"/>
      <c r="AH3777" s="82"/>
      <c r="AI3777" s="82"/>
      <c r="AJ3777" s="82"/>
      <c r="AK3777" s="82"/>
      <c r="AL3777" s="82"/>
      <c r="AM3777" s="82"/>
      <c r="AN3777" s="82"/>
      <c r="AO3777" s="82"/>
      <c r="AP3777" s="82"/>
      <c r="AQ3777" s="82"/>
      <c r="AR3777" s="82"/>
      <c r="AS3777" s="82"/>
      <c r="AT3777" s="82"/>
      <c r="AU3777" s="82"/>
      <c r="AV3777" s="82"/>
      <c r="AW3777" s="82" t="str">
        <f t="shared" si="1"/>
        <v/>
      </c>
      <c r="AX3777" s="83" t="str">
        <f t="array" ref="AX3777">IFERROR(DGET('SBV Import'!A:G,"SBV",{"RSC ID","Tier";B3777,A3777}))</f>
        <v/>
      </c>
      <c r="AY3777" s="82" t="str">
        <f t="shared" si="2"/>
        <v/>
      </c>
      <c r="AZ3777" s="82"/>
      <c r="BA3777" s="84" t="s">
        <v>152</v>
      </c>
      <c r="BB3777" s="84" t="str">
        <f>IFERROR(__xludf.DUMMYFUNCTION("iferror(if(A3777="""",,E3777&gt;=FILTER(Constants!$F$2:$F$10,Constants!$A$2:$A$10=A3777)))"),"")</f>
        <v/>
      </c>
    </row>
    <row r="3778">
      <c r="A3778" s="89"/>
      <c r="B3778" s="87"/>
      <c r="C3778" s="73"/>
      <c r="D3778" s="73"/>
      <c r="E3778" s="82"/>
      <c r="F3778" s="82"/>
      <c r="G3778" s="86"/>
      <c r="H3778" s="86"/>
      <c r="I3778" s="86"/>
      <c r="J3778" s="82"/>
      <c r="K3778" s="82"/>
      <c r="L3778" s="82"/>
      <c r="M3778" s="82"/>
      <c r="N3778" s="82"/>
      <c r="O3778" s="82"/>
      <c r="P3778" s="82"/>
      <c r="Q3778" s="82"/>
      <c r="R3778" s="82"/>
      <c r="S3778" s="82"/>
      <c r="T3778" s="82"/>
      <c r="U3778" s="82"/>
      <c r="V3778" s="82"/>
      <c r="W3778" s="82"/>
      <c r="X3778" s="82"/>
      <c r="Y3778" s="82"/>
      <c r="Z3778" s="82"/>
      <c r="AA3778" s="82"/>
      <c r="AB3778" s="82"/>
      <c r="AC3778" s="82"/>
      <c r="AD3778" s="82"/>
      <c r="AE3778" s="82"/>
      <c r="AF3778" s="82"/>
      <c r="AG3778" s="82"/>
      <c r="AH3778" s="82"/>
      <c r="AI3778" s="82"/>
      <c r="AJ3778" s="82"/>
      <c r="AK3778" s="82"/>
      <c r="AL3778" s="82"/>
      <c r="AM3778" s="82"/>
      <c r="AN3778" s="82"/>
      <c r="AO3778" s="82"/>
      <c r="AP3778" s="82"/>
      <c r="AQ3778" s="82"/>
      <c r="AR3778" s="82"/>
      <c r="AS3778" s="82"/>
      <c r="AT3778" s="82"/>
      <c r="AU3778" s="82"/>
      <c r="AV3778" s="82"/>
      <c r="AW3778" s="82" t="str">
        <f t="shared" si="1"/>
        <v/>
      </c>
      <c r="AX3778" s="83" t="str">
        <f t="array" ref="AX3778">IFERROR(DGET('SBV Import'!A:G,"SBV",{"RSC ID","Tier";B3778,A3778}))</f>
        <v/>
      </c>
      <c r="AY3778" s="82" t="str">
        <f t="shared" si="2"/>
        <v/>
      </c>
      <c r="AZ3778" s="82"/>
      <c r="BA3778" s="84" t="s">
        <v>152</v>
      </c>
      <c r="BB3778" s="84" t="str">
        <f>IFERROR(__xludf.DUMMYFUNCTION("iferror(if(A3778="""",,E3778&gt;=FILTER(Constants!$F$2:$F$10,Constants!$A$2:$A$10=A3778)))"),"")</f>
        <v/>
      </c>
    </row>
    <row r="3779">
      <c r="A3779" s="89"/>
      <c r="B3779" s="87"/>
      <c r="C3779" s="73"/>
      <c r="D3779" s="73"/>
      <c r="E3779" s="82"/>
      <c r="F3779" s="82"/>
      <c r="G3779" s="86"/>
      <c r="H3779" s="86"/>
      <c r="I3779" s="86"/>
      <c r="J3779" s="82"/>
      <c r="K3779" s="82"/>
      <c r="L3779" s="82"/>
      <c r="M3779" s="82"/>
      <c r="N3779" s="82"/>
      <c r="O3779" s="82"/>
      <c r="P3779" s="82"/>
      <c r="Q3779" s="82"/>
      <c r="R3779" s="82"/>
      <c r="S3779" s="82"/>
      <c r="T3779" s="82"/>
      <c r="U3779" s="82"/>
      <c r="V3779" s="82"/>
      <c r="W3779" s="82"/>
      <c r="X3779" s="82"/>
      <c r="Y3779" s="82"/>
      <c r="Z3779" s="82"/>
      <c r="AA3779" s="82"/>
      <c r="AB3779" s="82"/>
      <c r="AC3779" s="82"/>
      <c r="AD3779" s="82"/>
      <c r="AE3779" s="82"/>
      <c r="AF3779" s="82"/>
      <c r="AG3779" s="82"/>
      <c r="AH3779" s="82"/>
      <c r="AI3779" s="82"/>
      <c r="AJ3779" s="82"/>
      <c r="AK3779" s="82"/>
      <c r="AL3779" s="82"/>
      <c r="AM3779" s="82"/>
      <c r="AN3779" s="82"/>
      <c r="AO3779" s="82"/>
      <c r="AP3779" s="82"/>
      <c r="AQ3779" s="82"/>
      <c r="AR3779" s="82"/>
      <c r="AS3779" s="82"/>
      <c r="AT3779" s="82"/>
      <c r="AU3779" s="82"/>
      <c r="AV3779" s="82"/>
      <c r="AW3779" s="82" t="str">
        <f t="shared" si="1"/>
        <v/>
      </c>
      <c r="AX3779" s="83" t="str">
        <f t="array" ref="AX3779">IFERROR(DGET('SBV Import'!A:G,"SBV",{"RSC ID","Tier";B3779,A3779}))</f>
        <v/>
      </c>
      <c r="AY3779" s="82" t="str">
        <f t="shared" si="2"/>
        <v/>
      </c>
      <c r="AZ3779" s="82"/>
      <c r="BA3779" s="84" t="s">
        <v>152</v>
      </c>
      <c r="BB3779" s="84" t="str">
        <f>IFERROR(__xludf.DUMMYFUNCTION("iferror(if(A3779="""",,E3779&gt;=FILTER(Constants!$F$2:$F$10,Constants!$A$2:$A$10=A3779)))"),"")</f>
        <v/>
      </c>
    </row>
    <row r="3780">
      <c r="A3780" s="89"/>
      <c r="B3780" s="87"/>
      <c r="C3780" s="73"/>
      <c r="D3780" s="73"/>
      <c r="E3780" s="82"/>
      <c r="F3780" s="82"/>
      <c r="G3780" s="86"/>
      <c r="H3780" s="86"/>
      <c r="I3780" s="86"/>
      <c r="J3780" s="82"/>
      <c r="K3780" s="82"/>
      <c r="L3780" s="82"/>
      <c r="M3780" s="82"/>
      <c r="N3780" s="82"/>
      <c r="O3780" s="82"/>
      <c r="P3780" s="82"/>
      <c r="Q3780" s="82"/>
      <c r="R3780" s="82"/>
      <c r="S3780" s="82"/>
      <c r="T3780" s="82"/>
      <c r="U3780" s="82"/>
      <c r="V3780" s="82"/>
      <c r="W3780" s="82"/>
      <c r="X3780" s="82"/>
      <c r="Y3780" s="82"/>
      <c r="Z3780" s="82"/>
      <c r="AA3780" s="82"/>
      <c r="AB3780" s="82"/>
      <c r="AC3780" s="82"/>
      <c r="AD3780" s="82"/>
      <c r="AE3780" s="82"/>
      <c r="AF3780" s="82"/>
      <c r="AG3780" s="82"/>
      <c r="AH3780" s="82"/>
      <c r="AI3780" s="82"/>
      <c r="AJ3780" s="82"/>
      <c r="AK3780" s="82"/>
      <c r="AL3780" s="82"/>
      <c r="AM3780" s="82"/>
      <c r="AN3780" s="82"/>
      <c r="AO3780" s="82"/>
      <c r="AP3780" s="82"/>
      <c r="AQ3780" s="82"/>
      <c r="AR3780" s="82"/>
      <c r="AS3780" s="82"/>
      <c r="AT3780" s="82"/>
      <c r="AU3780" s="82"/>
      <c r="AV3780" s="82"/>
      <c r="AW3780" s="82" t="str">
        <f t="shared" si="1"/>
        <v/>
      </c>
      <c r="AX3780" s="83" t="str">
        <f t="array" ref="AX3780">IFERROR(DGET('SBV Import'!A:G,"SBV",{"RSC ID","Tier";B3780,A3780}))</f>
        <v/>
      </c>
      <c r="AY3780" s="82" t="str">
        <f t="shared" si="2"/>
        <v/>
      </c>
      <c r="AZ3780" s="82"/>
      <c r="BA3780" s="84" t="s">
        <v>152</v>
      </c>
      <c r="BB3780" s="84" t="str">
        <f>IFERROR(__xludf.DUMMYFUNCTION("iferror(if(A3780="""",,E3780&gt;=FILTER(Constants!$F$2:$F$10,Constants!$A$2:$A$10=A3780)))"),"")</f>
        <v/>
      </c>
    </row>
    <row r="3781">
      <c r="A3781" s="89"/>
      <c r="B3781" s="87"/>
      <c r="C3781" s="73"/>
      <c r="D3781" s="73"/>
      <c r="E3781" s="82"/>
      <c r="F3781" s="82"/>
      <c r="G3781" s="86"/>
      <c r="H3781" s="86"/>
      <c r="I3781" s="86"/>
      <c r="J3781" s="82"/>
      <c r="K3781" s="82"/>
      <c r="L3781" s="82"/>
      <c r="M3781" s="82"/>
      <c r="N3781" s="82"/>
      <c r="O3781" s="82"/>
      <c r="P3781" s="82"/>
      <c r="Q3781" s="82"/>
      <c r="R3781" s="82"/>
      <c r="S3781" s="82"/>
      <c r="T3781" s="82"/>
      <c r="U3781" s="82"/>
      <c r="V3781" s="82"/>
      <c r="W3781" s="82"/>
      <c r="X3781" s="82"/>
      <c r="Y3781" s="82"/>
      <c r="Z3781" s="82"/>
      <c r="AA3781" s="82"/>
      <c r="AB3781" s="82"/>
      <c r="AC3781" s="82"/>
      <c r="AD3781" s="82"/>
      <c r="AE3781" s="82"/>
      <c r="AF3781" s="82"/>
      <c r="AG3781" s="82"/>
      <c r="AH3781" s="82"/>
      <c r="AI3781" s="82"/>
      <c r="AJ3781" s="82"/>
      <c r="AK3781" s="82"/>
      <c r="AL3781" s="82"/>
      <c r="AM3781" s="82"/>
      <c r="AN3781" s="82"/>
      <c r="AO3781" s="82"/>
      <c r="AP3781" s="82"/>
      <c r="AQ3781" s="82"/>
      <c r="AR3781" s="82"/>
      <c r="AS3781" s="82"/>
      <c r="AT3781" s="82"/>
      <c r="AU3781" s="82"/>
      <c r="AV3781" s="82"/>
      <c r="AW3781" s="82" t="str">
        <f t="shared" si="1"/>
        <v/>
      </c>
      <c r="AX3781" s="83" t="str">
        <f t="array" ref="AX3781">IFERROR(DGET('SBV Import'!A:G,"SBV",{"RSC ID","Tier";B3781,A3781}))</f>
        <v/>
      </c>
      <c r="AY3781" s="82" t="str">
        <f t="shared" si="2"/>
        <v/>
      </c>
      <c r="AZ3781" s="82"/>
      <c r="BA3781" s="84" t="s">
        <v>152</v>
      </c>
      <c r="BB3781" s="84" t="str">
        <f>IFERROR(__xludf.DUMMYFUNCTION("iferror(if(A3781="""",,E3781&gt;=FILTER(Constants!$F$2:$F$10,Constants!$A$2:$A$10=A3781)))"),"")</f>
        <v/>
      </c>
    </row>
    <row r="3782">
      <c r="A3782" s="89"/>
      <c r="B3782" s="87"/>
      <c r="C3782" s="73"/>
      <c r="D3782" s="73"/>
      <c r="E3782" s="82"/>
      <c r="F3782" s="82"/>
      <c r="G3782" s="86"/>
      <c r="H3782" s="86"/>
      <c r="I3782" s="86"/>
      <c r="J3782" s="82"/>
      <c r="K3782" s="82"/>
      <c r="L3782" s="82"/>
      <c r="M3782" s="82"/>
      <c r="N3782" s="82"/>
      <c r="O3782" s="82"/>
      <c r="P3782" s="82"/>
      <c r="Q3782" s="82"/>
      <c r="R3782" s="82"/>
      <c r="S3782" s="82"/>
      <c r="T3782" s="82"/>
      <c r="U3782" s="82"/>
      <c r="V3782" s="82"/>
      <c r="W3782" s="82"/>
      <c r="X3782" s="82"/>
      <c r="Y3782" s="82"/>
      <c r="Z3782" s="82"/>
      <c r="AA3782" s="82"/>
      <c r="AB3782" s="82"/>
      <c r="AC3782" s="82"/>
      <c r="AD3782" s="82"/>
      <c r="AE3782" s="82"/>
      <c r="AF3782" s="82"/>
      <c r="AG3782" s="82"/>
      <c r="AH3782" s="82"/>
      <c r="AI3782" s="82"/>
      <c r="AJ3782" s="82"/>
      <c r="AK3782" s="82"/>
      <c r="AL3782" s="82"/>
      <c r="AM3782" s="82"/>
      <c r="AN3782" s="82"/>
      <c r="AO3782" s="82"/>
      <c r="AP3782" s="82"/>
      <c r="AQ3782" s="82"/>
      <c r="AR3782" s="82"/>
      <c r="AS3782" s="82"/>
      <c r="AT3782" s="82"/>
      <c r="AU3782" s="82"/>
      <c r="AV3782" s="82"/>
      <c r="AW3782" s="82" t="str">
        <f t="shared" si="1"/>
        <v/>
      </c>
      <c r="AX3782" s="83" t="str">
        <f t="array" ref="AX3782">IFERROR(DGET('SBV Import'!A:G,"SBV",{"RSC ID","Tier";B3782,A3782}))</f>
        <v/>
      </c>
      <c r="AY3782" s="82" t="str">
        <f t="shared" si="2"/>
        <v/>
      </c>
      <c r="AZ3782" s="82"/>
      <c r="BA3782" s="84" t="s">
        <v>152</v>
      </c>
      <c r="BB3782" s="84" t="str">
        <f>IFERROR(__xludf.DUMMYFUNCTION("iferror(if(A3782="""",,E3782&gt;=FILTER(Constants!$F$2:$F$10,Constants!$A$2:$A$10=A3782)))"),"")</f>
        <v/>
      </c>
    </row>
    <row r="3783">
      <c r="A3783" s="89"/>
      <c r="B3783" s="87"/>
      <c r="C3783" s="73"/>
      <c r="D3783" s="73"/>
      <c r="E3783" s="82"/>
      <c r="F3783" s="82"/>
      <c r="G3783" s="86"/>
      <c r="H3783" s="86"/>
      <c r="I3783" s="86"/>
      <c r="J3783" s="82"/>
      <c r="K3783" s="82"/>
      <c r="L3783" s="82"/>
      <c r="M3783" s="82"/>
      <c r="N3783" s="82"/>
      <c r="O3783" s="82"/>
      <c r="P3783" s="82"/>
      <c r="Q3783" s="82"/>
      <c r="R3783" s="82"/>
      <c r="S3783" s="82"/>
      <c r="T3783" s="82"/>
      <c r="U3783" s="82"/>
      <c r="V3783" s="82"/>
      <c r="W3783" s="82"/>
      <c r="X3783" s="82"/>
      <c r="Y3783" s="82"/>
      <c r="Z3783" s="82"/>
      <c r="AA3783" s="82"/>
      <c r="AB3783" s="82"/>
      <c r="AC3783" s="82"/>
      <c r="AD3783" s="82"/>
      <c r="AE3783" s="82"/>
      <c r="AF3783" s="82"/>
      <c r="AG3783" s="82"/>
      <c r="AH3783" s="82"/>
      <c r="AI3783" s="82"/>
      <c r="AJ3783" s="82"/>
      <c r="AK3783" s="82"/>
      <c r="AL3783" s="82"/>
      <c r="AM3783" s="82"/>
      <c r="AN3783" s="82"/>
      <c r="AO3783" s="82"/>
      <c r="AP3783" s="82"/>
      <c r="AQ3783" s="82"/>
      <c r="AR3783" s="82"/>
      <c r="AS3783" s="82"/>
      <c r="AT3783" s="82"/>
      <c r="AU3783" s="82"/>
      <c r="AV3783" s="82"/>
      <c r="AW3783" s="82" t="str">
        <f t="shared" si="1"/>
        <v/>
      </c>
      <c r="AX3783" s="83" t="str">
        <f t="array" ref="AX3783">IFERROR(DGET('SBV Import'!A:G,"SBV",{"RSC ID","Tier";B3783,A3783}))</f>
        <v/>
      </c>
      <c r="AY3783" s="82" t="str">
        <f t="shared" si="2"/>
        <v/>
      </c>
      <c r="AZ3783" s="82"/>
      <c r="BA3783" s="84" t="s">
        <v>152</v>
      </c>
      <c r="BB3783" s="84" t="str">
        <f>IFERROR(__xludf.DUMMYFUNCTION("iferror(if(A3783="""",,E3783&gt;=FILTER(Constants!$F$2:$F$10,Constants!$A$2:$A$10=A3783)))"),"")</f>
        <v/>
      </c>
    </row>
    <row r="3784">
      <c r="A3784" s="89"/>
      <c r="B3784" s="87"/>
      <c r="C3784" s="73"/>
      <c r="D3784" s="73"/>
      <c r="E3784" s="82"/>
      <c r="F3784" s="82"/>
      <c r="G3784" s="86"/>
      <c r="H3784" s="86"/>
      <c r="I3784" s="86"/>
      <c r="J3784" s="82"/>
      <c r="K3784" s="82"/>
      <c r="L3784" s="82"/>
      <c r="M3784" s="82"/>
      <c r="N3784" s="82"/>
      <c r="O3784" s="82"/>
      <c r="P3784" s="82"/>
      <c r="Q3784" s="82"/>
      <c r="R3784" s="82"/>
      <c r="S3784" s="82"/>
      <c r="T3784" s="82"/>
      <c r="U3784" s="82"/>
      <c r="V3784" s="82"/>
      <c r="W3784" s="82"/>
      <c r="X3784" s="82"/>
      <c r="Y3784" s="82"/>
      <c r="Z3784" s="82"/>
      <c r="AA3784" s="82"/>
      <c r="AB3784" s="82"/>
      <c r="AC3784" s="82"/>
      <c r="AD3784" s="82"/>
      <c r="AE3784" s="82"/>
      <c r="AF3784" s="82"/>
      <c r="AG3784" s="82"/>
      <c r="AH3784" s="82"/>
      <c r="AI3784" s="82"/>
      <c r="AJ3784" s="82"/>
      <c r="AK3784" s="82"/>
      <c r="AL3784" s="82"/>
      <c r="AM3784" s="82"/>
      <c r="AN3784" s="82"/>
      <c r="AO3784" s="82"/>
      <c r="AP3784" s="82"/>
      <c r="AQ3784" s="82"/>
      <c r="AR3784" s="82"/>
      <c r="AS3784" s="82"/>
      <c r="AT3784" s="82"/>
      <c r="AU3784" s="82"/>
      <c r="AV3784" s="82"/>
      <c r="AW3784" s="82" t="str">
        <f t="shared" si="1"/>
        <v/>
      </c>
      <c r="AX3784" s="83" t="str">
        <f t="array" ref="AX3784">IFERROR(DGET('SBV Import'!A:G,"SBV",{"RSC ID","Tier";B3784,A3784}))</f>
        <v/>
      </c>
      <c r="AY3784" s="82" t="str">
        <f t="shared" si="2"/>
        <v/>
      </c>
      <c r="AZ3784" s="82"/>
      <c r="BA3784" s="84" t="s">
        <v>152</v>
      </c>
      <c r="BB3784" s="84" t="str">
        <f>IFERROR(__xludf.DUMMYFUNCTION("iferror(if(A3784="""",,E3784&gt;=FILTER(Constants!$F$2:$F$10,Constants!$A$2:$A$10=A3784)))"),"")</f>
        <v/>
      </c>
    </row>
    <row r="3785">
      <c r="A3785" s="89"/>
      <c r="B3785" s="87"/>
      <c r="C3785" s="73"/>
      <c r="D3785" s="73"/>
      <c r="E3785" s="82"/>
      <c r="F3785" s="82"/>
      <c r="G3785" s="86"/>
      <c r="H3785" s="86"/>
      <c r="I3785" s="86"/>
      <c r="J3785" s="82"/>
      <c r="K3785" s="82"/>
      <c r="L3785" s="82"/>
      <c r="M3785" s="82"/>
      <c r="N3785" s="82"/>
      <c r="O3785" s="82"/>
      <c r="P3785" s="82"/>
      <c r="Q3785" s="82"/>
      <c r="R3785" s="82"/>
      <c r="S3785" s="82"/>
      <c r="T3785" s="82"/>
      <c r="U3785" s="82"/>
      <c r="V3785" s="82"/>
      <c r="W3785" s="82"/>
      <c r="X3785" s="82"/>
      <c r="Y3785" s="82"/>
      <c r="Z3785" s="82"/>
      <c r="AA3785" s="82"/>
      <c r="AB3785" s="82"/>
      <c r="AC3785" s="82"/>
      <c r="AD3785" s="82"/>
      <c r="AE3785" s="82"/>
      <c r="AF3785" s="82"/>
      <c r="AG3785" s="82"/>
      <c r="AH3785" s="82"/>
      <c r="AI3785" s="82"/>
      <c r="AJ3785" s="82"/>
      <c r="AK3785" s="82"/>
      <c r="AL3785" s="82"/>
      <c r="AM3785" s="82"/>
      <c r="AN3785" s="82"/>
      <c r="AO3785" s="82"/>
      <c r="AP3785" s="82"/>
      <c r="AQ3785" s="82"/>
      <c r="AR3785" s="82"/>
      <c r="AS3785" s="82"/>
      <c r="AT3785" s="82"/>
      <c r="AU3785" s="82"/>
      <c r="AV3785" s="82"/>
      <c r="AW3785" s="82" t="str">
        <f t="shared" si="1"/>
        <v/>
      </c>
      <c r="AX3785" s="83" t="str">
        <f t="array" ref="AX3785">IFERROR(DGET('SBV Import'!A:G,"SBV",{"RSC ID","Tier";B3785,A3785}))</f>
        <v/>
      </c>
      <c r="AY3785" s="82" t="str">
        <f t="shared" si="2"/>
        <v/>
      </c>
      <c r="AZ3785" s="82"/>
      <c r="BA3785" s="84" t="s">
        <v>152</v>
      </c>
      <c r="BB3785" s="84" t="str">
        <f>IFERROR(__xludf.DUMMYFUNCTION("iferror(if(A3785="""",,E3785&gt;=FILTER(Constants!$F$2:$F$10,Constants!$A$2:$A$10=A3785)))"),"")</f>
        <v/>
      </c>
    </row>
    <row r="3786">
      <c r="A3786" s="89"/>
      <c r="B3786" s="87"/>
      <c r="C3786" s="73"/>
      <c r="D3786" s="73"/>
      <c r="E3786" s="82"/>
      <c r="F3786" s="82"/>
      <c r="G3786" s="86"/>
      <c r="H3786" s="86"/>
      <c r="I3786" s="86"/>
      <c r="J3786" s="82"/>
      <c r="K3786" s="82"/>
      <c r="L3786" s="82"/>
      <c r="M3786" s="82"/>
      <c r="N3786" s="82"/>
      <c r="O3786" s="82"/>
      <c r="P3786" s="82"/>
      <c r="Q3786" s="82"/>
      <c r="R3786" s="82"/>
      <c r="S3786" s="82"/>
      <c r="T3786" s="82"/>
      <c r="U3786" s="82"/>
      <c r="V3786" s="82"/>
      <c r="W3786" s="82"/>
      <c r="X3786" s="82"/>
      <c r="Y3786" s="82"/>
      <c r="Z3786" s="82"/>
      <c r="AA3786" s="82"/>
      <c r="AB3786" s="82"/>
      <c r="AC3786" s="82"/>
      <c r="AD3786" s="82"/>
      <c r="AE3786" s="82"/>
      <c r="AF3786" s="82"/>
      <c r="AG3786" s="82"/>
      <c r="AH3786" s="82"/>
      <c r="AI3786" s="82"/>
      <c r="AJ3786" s="82"/>
      <c r="AK3786" s="82"/>
      <c r="AL3786" s="82"/>
      <c r="AM3786" s="82"/>
      <c r="AN3786" s="82"/>
      <c r="AO3786" s="82"/>
      <c r="AP3786" s="82"/>
      <c r="AQ3786" s="82"/>
      <c r="AR3786" s="82"/>
      <c r="AS3786" s="82"/>
      <c r="AT3786" s="82"/>
      <c r="AU3786" s="82"/>
      <c r="AV3786" s="82"/>
      <c r="AW3786" s="82" t="str">
        <f t="shared" si="1"/>
        <v/>
      </c>
      <c r="AX3786" s="83" t="str">
        <f t="array" ref="AX3786">IFERROR(DGET('SBV Import'!A:G,"SBV",{"RSC ID","Tier";B3786,A3786}))</f>
        <v/>
      </c>
      <c r="AY3786" s="82" t="str">
        <f t="shared" si="2"/>
        <v/>
      </c>
      <c r="AZ3786" s="82"/>
      <c r="BA3786" s="84" t="s">
        <v>152</v>
      </c>
      <c r="BB3786" s="84" t="str">
        <f>IFERROR(__xludf.DUMMYFUNCTION("iferror(if(A3786="""",,E3786&gt;=FILTER(Constants!$F$2:$F$10,Constants!$A$2:$A$10=A3786)))"),"")</f>
        <v/>
      </c>
    </row>
    <row r="3787">
      <c r="A3787" s="89"/>
      <c r="B3787" s="87"/>
      <c r="C3787" s="73"/>
      <c r="D3787" s="73"/>
      <c r="E3787" s="82"/>
      <c r="F3787" s="82"/>
      <c r="G3787" s="86"/>
      <c r="H3787" s="86"/>
      <c r="I3787" s="86"/>
      <c r="J3787" s="82"/>
      <c r="K3787" s="82"/>
      <c r="L3787" s="82"/>
      <c r="M3787" s="82"/>
      <c r="N3787" s="82"/>
      <c r="O3787" s="82"/>
      <c r="P3787" s="82"/>
      <c r="Q3787" s="82"/>
      <c r="R3787" s="82"/>
      <c r="S3787" s="82"/>
      <c r="T3787" s="82"/>
      <c r="U3787" s="82"/>
      <c r="V3787" s="82"/>
      <c r="W3787" s="82"/>
      <c r="X3787" s="82"/>
      <c r="Y3787" s="82"/>
      <c r="Z3787" s="82"/>
      <c r="AA3787" s="82"/>
      <c r="AB3787" s="82"/>
      <c r="AC3787" s="82"/>
      <c r="AD3787" s="82"/>
      <c r="AE3787" s="82"/>
      <c r="AF3787" s="82"/>
      <c r="AG3787" s="82"/>
      <c r="AH3787" s="82"/>
      <c r="AI3787" s="82"/>
      <c r="AJ3787" s="82"/>
      <c r="AK3787" s="82"/>
      <c r="AL3787" s="82"/>
      <c r="AM3787" s="82"/>
      <c r="AN3787" s="82"/>
      <c r="AO3787" s="82"/>
      <c r="AP3787" s="82"/>
      <c r="AQ3787" s="82"/>
      <c r="AR3787" s="82"/>
      <c r="AS3787" s="82"/>
      <c r="AT3787" s="82"/>
      <c r="AU3787" s="82"/>
      <c r="AV3787" s="82"/>
      <c r="AW3787" s="82" t="str">
        <f t="shared" si="1"/>
        <v/>
      </c>
      <c r="AX3787" s="83" t="str">
        <f t="array" ref="AX3787">IFERROR(DGET('SBV Import'!A:G,"SBV",{"RSC ID","Tier";B3787,A3787}))</f>
        <v/>
      </c>
      <c r="AY3787" s="82" t="str">
        <f t="shared" si="2"/>
        <v/>
      </c>
      <c r="AZ3787" s="82"/>
      <c r="BA3787" s="84" t="s">
        <v>152</v>
      </c>
      <c r="BB3787" s="84" t="str">
        <f>IFERROR(__xludf.DUMMYFUNCTION("iferror(if(A3787="""",,E3787&gt;=FILTER(Constants!$F$2:$F$10,Constants!$A$2:$A$10=A3787)))"),"")</f>
        <v/>
      </c>
    </row>
    <row r="3788">
      <c r="A3788" s="89"/>
      <c r="B3788" s="87"/>
      <c r="C3788" s="73"/>
      <c r="D3788" s="73"/>
      <c r="E3788" s="82"/>
      <c r="F3788" s="82"/>
      <c r="G3788" s="86"/>
      <c r="H3788" s="86"/>
      <c r="I3788" s="86"/>
      <c r="J3788" s="82"/>
      <c r="K3788" s="82"/>
      <c r="L3788" s="82"/>
      <c r="M3788" s="82"/>
      <c r="N3788" s="82"/>
      <c r="O3788" s="82"/>
      <c r="P3788" s="82"/>
      <c r="Q3788" s="82"/>
      <c r="R3788" s="82"/>
      <c r="S3788" s="82"/>
      <c r="T3788" s="82"/>
      <c r="U3788" s="82"/>
      <c r="V3788" s="82"/>
      <c r="W3788" s="82"/>
      <c r="X3788" s="82"/>
      <c r="Y3788" s="82"/>
      <c r="Z3788" s="82"/>
      <c r="AA3788" s="82"/>
      <c r="AB3788" s="82"/>
      <c r="AC3788" s="82"/>
      <c r="AD3788" s="82"/>
      <c r="AE3788" s="82"/>
      <c r="AF3788" s="82"/>
      <c r="AG3788" s="82"/>
      <c r="AH3788" s="82"/>
      <c r="AI3788" s="82"/>
      <c r="AJ3788" s="82"/>
      <c r="AK3788" s="82"/>
      <c r="AL3788" s="82"/>
      <c r="AM3788" s="82"/>
      <c r="AN3788" s="82"/>
      <c r="AO3788" s="82"/>
      <c r="AP3788" s="82"/>
      <c r="AQ3788" s="82"/>
      <c r="AR3788" s="82"/>
      <c r="AS3788" s="82"/>
      <c r="AT3788" s="82"/>
      <c r="AU3788" s="82"/>
      <c r="AV3788" s="82"/>
      <c r="AW3788" s="82" t="str">
        <f t="shared" si="1"/>
        <v/>
      </c>
      <c r="AX3788" s="83" t="str">
        <f t="array" ref="AX3788">IFERROR(DGET('SBV Import'!A:G,"SBV",{"RSC ID","Tier";B3788,A3788}))</f>
        <v/>
      </c>
      <c r="AY3788" s="82" t="str">
        <f t="shared" si="2"/>
        <v/>
      </c>
      <c r="AZ3788" s="82"/>
      <c r="BA3788" s="84" t="s">
        <v>152</v>
      </c>
      <c r="BB3788" s="84" t="str">
        <f>IFERROR(__xludf.DUMMYFUNCTION("iferror(if(A3788="""",,E3788&gt;=FILTER(Constants!$F$2:$F$10,Constants!$A$2:$A$10=A3788)))"),"")</f>
        <v/>
      </c>
    </row>
    <row r="3789">
      <c r="A3789" s="89"/>
      <c r="B3789" s="87"/>
      <c r="C3789" s="73"/>
      <c r="D3789" s="73"/>
      <c r="E3789" s="82"/>
      <c r="F3789" s="82"/>
      <c r="G3789" s="86"/>
      <c r="H3789" s="86"/>
      <c r="I3789" s="86"/>
      <c r="J3789" s="82"/>
      <c r="K3789" s="82"/>
      <c r="L3789" s="82"/>
      <c r="M3789" s="82"/>
      <c r="N3789" s="82"/>
      <c r="O3789" s="82"/>
      <c r="P3789" s="82"/>
      <c r="Q3789" s="82"/>
      <c r="R3789" s="82"/>
      <c r="S3789" s="82"/>
      <c r="T3789" s="82"/>
      <c r="U3789" s="82"/>
      <c r="V3789" s="82"/>
      <c r="W3789" s="82"/>
      <c r="X3789" s="82"/>
      <c r="Y3789" s="82"/>
      <c r="Z3789" s="82"/>
      <c r="AA3789" s="82"/>
      <c r="AB3789" s="82"/>
      <c r="AC3789" s="82"/>
      <c r="AD3789" s="82"/>
      <c r="AE3789" s="82"/>
      <c r="AF3789" s="82"/>
      <c r="AG3789" s="82"/>
      <c r="AH3789" s="82"/>
      <c r="AI3789" s="82"/>
      <c r="AJ3789" s="82"/>
      <c r="AK3789" s="82"/>
      <c r="AL3789" s="82"/>
      <c r="AM3789" s="82"/>
      <c r="AN3789" s="82"/>
      <c r="AO3789" s="82"/>
      <c r="AP3789" s="82"/>
      <c r="AQ3789" s="82"/>
      <c r="AR3789" s="82"/>
      <c r="AS3789" s="82"/>
      <c r="AT3789" s="82"/>
      <c r="AU3789" s="82"/>
      <c r="AV3789" s="82"/>
      <c r="AW3789" s="82" t="str">
        <f t="shared" si="1"/>
        <v/>
      </c>
      <c r="AX3789" s="83" t="str">
        <f t="array" ref="AX3789">IFERROR(DGET('SBV Import'!A:G,"SBV",{"RSC ID","Tier";B3789,A3789}))</f>
        <v/>
      </c>
      <c r="AY3789" s="82" t="str">
        <f t="shared" si="2"/>
        <v/>
      </c>
      <c r="AZ3789" s="82"/>
      <c r="BA3789" s="84" t="s">
        <v>152</v>
      </c>
      <c r="BB3789" s="84" t="str">
        <f>IFERROR(__xludf.DUMMYFUNCTION("iferror(if(A3789="""",,E3789&gt;=FILTER(Constants!$F$2:$F$10,Constants!$A$2:$A$10=A3789)))"),"")</f>
        <v/>
      </c>
    </row>
    <row r="3790">
      <c r="A3790" s="89"/>
      <c r="B3790" s="87"/>
      <c r="C3790" s="73"/>
      <c r="D3790" s="73"/>
      <c r="E3790" s="82"/>
      <c r="F3790" s="82"/>
      <c r="G3790" s="86"/>
      <c r="H3790" s="86"/>
      <c r="I3790" s="86"/>
      <c r="J3790" s="82"/>
      <c r="K3790" s="82"/>
      <c r="L3790" s="82"/>
      <c r="M3790" s="82"/>
      <c r="N3790" s="82"/>
      <c r="O3790" s="82"/>
      <c r="P3790" s="82"/>
      <c r="Q3790" s="82"/>
      <c r="R3790" s="82"/>
      <c r="S3790" s="82"/>
      <c r="T3790" s="82"/>
      <c r="U3790" s="82"/>
      <c r="V3790" s="82"/>
      <c r="W3790" s="82"/>
      <c r="X3790" s="82"/>
      <c r="Y3790" s="82"/>
      <c r="Z3790" s="82"/>
      <c r="AA3790" s="82"/>
      <c r="AB3790" s="82"/>
      <c r="AC3790" s="82"/>
      <c r="AD3790" s="82"/>
      <c r="AE3790" s="82"/>
      <c r="AF3790" s="82"/>
      <c r="AG3790" s="82"/>
      <c r="AH3790" s="82"/>
      <c r="AI3790" s="82"/>
      <c r="AJ3790" s="82"/>
      <c r="AK3790" s="82"/>
      <c r="AL3790" s="82"/>
      <c r="AM3790" s="82"/>
      <c r="AN3790" s="82"/>
      <c r="AO3790" s="82"/>
      <c r="AP3790" s="82"/>
      <c r="AQ3790" s="82"/>
      <c r="AR3790" s="82"/>
      <c r="AS3790" s="82"/>
      <c r="AT3790" s="82"/>
      <c r="AU3790" s="82"/>
      <c r="AV3790" s="82"/>
      <c r="AW3790" s="82" t="str">
        <f t="shared" si="1"/>
        <v/>
      </c>
      <c r="AX3790" s="83" t="str">
        <f t="array" ref="AX3790">IFERROR(DGET('SBV Import'!A:G,"SBV",{"RSC ID","Tier";B3790,A3790}))</f>
        <v/>
      </c>
      <c r="AY3790" s="82" t="str">
        <f t="shared" si="2"/>
        <v/>
      </c>
      <c r="AZ3790" s="82"/>
      <c r="BA3790" s="84" t="s">
        <v>152</v>
      </c>
      <c r="BB3790" s="84" t="str">
        <f>IFERROR(__xludf.DUMMYFUNCTION("iferror(if(A3790="""",,E3790&gt;=FILTER(Constants!$F$2:$F$10,Constants!$A$2:$A$10=A3790)))"),"")</f>
        <v/>
      </c>
    </row>
    <row r="3791">
      <c r="A3791" s="89"/>
      <c r="B3791" s="87"/>
      <c r="C3791" s="73"/>
      <c r="D3791" s="73"/>
      <c r="E3791" s="82"/>
      <c r="F3791" s="82"/>
      <c r="G3791" s="86"/>
      <c r="H3791" s="86"/>
      <c r="I3791" s="86"/>
      <c r="J3791" s="82"/>
      <c r="K3791" s="82"/>
      <c r="L3791" s="82"/>
      <c r="M3791" s="82"/>
      <c r="N3791" s="82"/>
      <c r="O3791" s="82"/>
      <c r="P3791" s="82"/>
      <c r="Q3791" s="82"/>
      <c r="R3791" s="82"/>
      <c r="S3791" s="82"/>
      <c r="T3791" s="82"/>
      <c r="U3791" s="82"/>
      <c r="V3791" s="82"/>
      <c r="W3791" s="82"/>
      <c r="X3791" s="82"/>
      <c r="Y3791" s="82"/>
      <c r="Z3791" s="82"/>
      <c r="AA3791" s="82"/>
      <c r="AB3791" s="82"/>
      <c r="AC3791" s="82"/>
      <c r="AD3791" s="82"/>
      <c r="AE3791" s="82"/>
      <c r="AF3791" s="82"/>
      <c r="AG3791" s="82"/>
      <c r="AH3791" s="82"/>
      <c r="AI3791" s="82"/>
      <c r="AJ3791" s="82"/>
      <c r="AK3791" s="82"/>
      <c r="AL3791" s="82"/>
      <c r="AM3791" s="82"/>
      <c r="AN3791" s="82"/>
      <c r="AO3791" s="82"/>
      <c r="AP3791" s="82"/>
      <c r="AQ3791" s="82"/>
      <c r="AR3791" s="82"/>
      <c r="AS3791" s="82"/>
      <c r="AT3791" s="82"/>
      <c r="AU3791" s="82"/>
      <c r="AV3791" s="82"/>
      <c r="AW3791" s="82" t="str">
        <f t="shared" si="1"/>
        <v/>
      </c>
      <c r="AX3791" s="83" t="str">
        <f t="array" ref="AX3791">IFERROR(DGET('SBV Import'!A:G,"SBV",{"RSC ID","Tier";B3791,A3791}))</f>
        <v/>
      </c>
      <c r="AY3791" s="82" t="str">
        <f t="shared" si="2"/>
        <v/>
      </c>
      <c r="AZ3791" s="82"/>
      <c r="BA3791" s="84" t="s">
        <v>152</v>
      </c>
      <c r="BB3791" s="84" t="str">
        <f>IFERROR(__xludf.DUMMYFUNCTION("iferror(if(A3791="""",,E3791&gt;=FILTER(Constants!$F$2:$F$10,Constants!$A$2:$A$10=A3791)))"),"")</f>
        <v/>
      </c>
    </row>
    <row r="3792">
      <c r="A3792" s="89"/>
      <c r="B3792" s="87"/>
      <c r="C3792" s="73"/>
      <c r="D3792" s="73"/>
      <c r="E3792" s="82"/>
      <c r="F3792" s="82"/>
      <c r="G3792" s="86"/>
      <c r="H3792" s="86"/>
      <c r="I3792" s="86"/>
      <c r="J3792" s="82"/>
      <c r="K3792" s="82"/>
      <c r="L3792" s="82"/>
      <c r="M3792" s="82"/>
      <c r="N3792" s="82"/>
      <c r="O3792" s="82"/>
      <c r="P3792" s="82"/>
      <c r="Q3792" s="82"/>
      <c r="R3792" s="82"/>
      <c r="S3792" s="82"/>
      <c r="T3792" s="82"/>
      <c r="U3792" s="82"/>
      <c r="V3792" s="82"/>
      <c r="W3792" s="82"/>
      <c r="X3792" s="82"/>
      <c r="Y3792" s="82"/>
      <c r="Z3792" s="82"/>
      <c r="AA3792" s="82"/>
      <c r="AB3792" s="82"/>
      <c r="AC3792" s="82"/>
      <c r="AD3792" s="82"/>
      <c r="AE3792" s="82"/>
      <c r="AF3792" s="82"/>
      <c r="AG3792" s="82"/>
      <c r="AH3792" s="82"/>
      <c r="AI3792" s="82"/>
      <c r="AJ3792" s="82"/>
      <c r="AK3792" s="82"/>
      <c r="AL3792" s="82"/>
      <c r="AM3792" s="82"/>
      <c r="AN3792" s="82"/>
      <c r="AO3792" s="82"/>
      <c r="AP3792" s="82"/>
      <c r="AQ3792" s="82"/>
      <c r="AR3792" s="82"/>
      <c r="AS3792" s="82"/>
      <c r="AT3792" s="82"/>
      <c r="AU3792" s="82"/>
      <c r="AV3792" s="82"/>
      <c r="AW3792" s="82" t="str">
        <f t="shared" si="1"/>
        <v/>
      </c>
      <c r="AX3792" s="83" t="str">
        <f t="array" ref="AX3792">IFERROR(DGET('SBV Import'!A:G,"SBV",{"RSC ID","Tier";B3792,A3792}))</f>
        <v/>
      </c>
      <c r="AY3792" s="82" t="str">
        <f t="shared" si="2"/>
        <v/>
      </c>
      <c r="AZ3792" s="82"/>
      <c r="BA3792" s="84" t="s">
        <v>152</v>
      </c>
      <c r="BB3792" s="84" t="str">
        <f>IFERROR(__xludf.DUMMYFUNCTION("iferror(if(A3792="""",,E3792&gt;=FILTER(Constants!$F$2:$F$10,Constants!$A$2:$A$10=A3792)))"),"")</f>
        <v/>
      </c>
    </row>
    <row r="3793">
      <c r="A3793" s="89"/>
      <c r="B3793" s="87"/>
      <c r="C3793" s="73"/>
      <c r="D3793" s="73"/>
      <c r="E3793" s="82"/>
      <c r="F3793" s="82"/>
      <c r="G3793" s="86"/>
      <c r="H3793" s="86"/>
      <c r="I3793" s="86"/>
      <c r="J3793" s="82"/>
      <c r="K3793" s="82"/>
      <c r="L3793" s="82"/>
      <c r="M3793" s="82"/>
      <c r="N3793" s="82"/>
      <c r="O3793" s="82"/>
      <c r="P3793" s="82"/>
      <c r="Q3793" s="82"/>
      <c r="R3793" s="82"/>
      <c r="S3793" s="82"/>
      <c r="T3793" s="82"/>
      <c r="U3793" s="82"/>
      <c r="V3793" s="82"/>
      <c r="W3793" s="82"/>
      <c r="X3793" s="82"/>
      <c r="Y3793" s="82"/>
      <c r="Z3793" s="82"/>
      <c r="AA3793" s="82"/>
      <c r="AB3793" s="82"/>
      <c r="AC3793" s="82"/>
      <c r="AD3793" s="82"/>
      <c r="AE3793" s="82"/>
      <c r="AF3793" s="82"/>
      <c r="AG3793" s="82"/>
      <c r="AH3793" s="82"/>
      <c r="AI3793" s="82"/>
      <c r="AJ3793" s="82"/>
      <c r="AK3793" s="82"/>
      <c r="AL3793" s="82"/>
      <c r="AM3793" s="82"/>
      <c r="AN3793" s="82"/>
      <c r="AO3793" s="82"/>
      <c r="AP3793" s="82"/>
      <c r="AQ3793" s="82"/>
      <c r="AR3793" s="82"/>
      <c r="AS3793" s="82"/>
      <c r="AT3793" s="82"/>
      <c r="AU3793" s="82"/>
      <c r="AV3793" s="82"/>
      <c r="AW3793" s="82" t="str">
        <f t="shared" si="1"/>
        <v/>
      </c>
      <c r="AX3793" s="83" t="str">
        <f t="array" ref="AX3793">IFERROR(DGET('SBV Import'!A:G,"SBV",{"RSC ID","Tier";B3793,A3793}))</f>
        <v/>
      </c>
      <c r="AY3793" s="82" t="str">
        <f t="shared" si="2"/>
        <v/>
      </c>
      <c r="AZ3793" s="82"/>
      <c r="BA3793" s="84" t="s">
        <v>152</v>
      </c>
      <c r="BB3793" s="84" t="str">
        <f>IFERROR(__xludf.DUMMYFUNCTION("iferror(if(A3793="""",,E3793&gt;=FILTER(Constants!$F$2:$F$10,Constants!$A$2:$A$10=A3793)))"),"")</f>
        <v/>
      </c>
    </row>
    <row r="3794">
      <c r="A3794" s="89"/>
      <c r="B3794" s="87"/>
      <c r="C3794" s="73"/>
      <c r="D3794" s="73"/>
      <c r="E3794" s="82"/>
      <c r="F3794" s="82"/>
      <c r="G3794" s="86"/>
      <c r="H3794" s="86"/>
      <c r="I3794" s="86"/>
      <c r="J3794" s="82"/>
      <c r="K3794" s="82"/>
      <c r="L3794" s="82"/>
      <c r="M3794" s="82"/>
      <c r="N3794" s="82"/>
      <c r="O3794" s="82"/>
      <c r="P3794" s="82"/>
      <c r="Q3794" s="82"/>
      <c r="R3794" s="82"/>
      <c r="S3794" s="82"/>
      <c r="T3794" s="82"/>
      <c r="U3794" s="82"/>
      <c r="V3794" s="82"/>
      <c r="W3794" s="82"/>
      <c r="X3794" s="82"/>
      <c r="Y3794" s="82"/>
      <c r="Z3794" s="82"/>
      <c r="AA3794" s="82"/>
      <c r="AB3794" s="82"/>
      <c r="AC3794" s="82"/>
      <c r="AD3794" s="82"/>
      <c r="AE3794" s="82"/>
      <c r="AF3794" s="82"/>
      <c r="AG3794" s="82"/>
      <c r="AH3794" s="82"/>
      <c r="AI3794" s="82"/>
      <c r="AJ3794" s="82"/>
      <c r="AK3794" s="82"/>
      <c r="AL3794" s="82"/>
      <c r="AM3794" s="82"/>
      <c r="AN3794" s="82"/>
      <c r="AO3794" s="82"/>
      <c r="AP3794" s="82"/>
      <c r="AQ3794" s="82"/>
      <c r="AR3794" s="82"/>
      <c r="AS3794" s="82"/>
      <c r="AT3794" s="82"/>
      <c r="AU3794" s="82"/>
      <c r="AV3794" s="82"/>
      <c r="AW3794" s="82" t="str">
        <f t="shared" si="1"/>
        <v/>
      </c>
      <c r="AX3794" s="83" t="str">
        <f t="array" ref="AX3794">IFERROR(DGET('SBV Import'!A:G,"SBV",{"RSC ID","Tier";B3794,A3794}))</f>
        <v/>
      </c>
      <c r="AY3794" s="82" t="str">
        <f t="shared" si="2"/>
        <v/>
      </c>
      <c r="AZ3794" s="82"/>
      <c r="BA3794" s="84" t="s">
        <v>152</v>
      </c>
      <c r="BB3794" s="84" t="str">
        <f>IFERROR(__xludf.DUMMYFUNCTION("iferror(if(A3794="""",,E3794&gt;=FILTER(Constants!$F$2:$F$10,Constants!$A$2:$A$10=A3794)))"),"")</f>
        <v/>
      </c>
    </row>
    <row r="3795">
      <c r="A3795" s="89"/>
      <c r="B3795" s="87"/>
      <c r="C3795" s="73"/>
      <c r="D3795" s="73"/>
      <c r="E3795" s="82"/>
      <c r="F3795" s="82"/>
      <c r="G3795" s="86"/>
      <c r="H3795" s="86"/>
      <c r="I3795" s="86"/>
      <c r="J3795" s="82"/>
      <c r="K3795" s="82"/>
      <c r="L3795" s="82"/>
      <c r="M3795" s="82"/>
      <c r="N3795" s="82"/>
      <c r="O3795" s="82"/>
      <c r="P3795" s="82"/>
      <c r="Q3795" s="82"/>
      <c r="R3795" s="82"/>
      <c r="S3795" s="82"/>
      <c r="T3795" s="82"/>
      <c r="U3795" s="82"/>
      <c r="V3795" s="82"/>
      <c r="W3795" s="82"/>
      <c r="X3795" s="82"/>
      <c r="Y3795" s="82"/>
      <c r="Z3795" s="82"/>
      <c r="AA3795" s="82"/>
      <c r="AB3795" s="82"/>
      <c r="AC3795" s="82"/>
      <c r="AD3795" s="82"/>
      <c r="AE3795" s="82"/>
      <c r="AF3795" s="82"/>
      <c r="AG3795" s="82"/>
      <c r="AH3795" s="82"/>
      <c r="AI3795" s="82"/>
      <c r="AJ3795" s="82"/>
      <c r="AK3795" s="82"/>
      <c r="AL3795" s="82"/>
      <c r="AM3795" s="82"/>
      <c r="AN3795" s="82"/>
      <c r="AO3795" s="82"/>
      <c r="AP3795" s="82"/>
      <c r="AQ3795" s="82"/>
      <c r="AR3795" s="82"/>
      <c r="AS3795" s="82"/>
      <c r="AT3795" s="82"/>
      <c r="AU3795" s="82"/>
      <c r="AV3795" s="82"/>
      <c r="AW3795" s="82" t="str">
        <f t="shared" si="1"/>
        <v/>
      </c>
      <c r="AX3795" s="83" t="str">
        <f t="array" ref="AX3795">IFERROR(DGET('SBV Import'!A:G,"SBV",{"RSC ID","Tier";B3795,A3795}))</f>
        <v/>
      </c>
      <c r="AY3795" s="82" t="str">
        <f t="shared" si="2"/>
        <v/>
      </c>
      <c r="AZ3795" s="82"/>
      <c r="BA3795" s="84" t="s">
        <v>152</v>
      </c>
      <c r="BB3795" s="84" t="str">
        <f>IFERROR(__xludf.DUMMYFUNCTION("iferror(if(A3795="""",,E3795&gt;=FILTER(Constants!$F$2:$F$10,Constants!$A$2:$A$10=A3795)))"),"")</f>
        <v/>
      </c>
    </row>
    <row r="3796">
      <c r="A3796" s="89"/>
      <c r="B3796" s="87"/>
      <c r="C3796" s="73"/>
      <c r="D3796" s="73"/>
      <c r="E3796" s="82"/>
      <c r="F3796" s="82"/>
      <c r="G3796" s="86"/>
      <c r="H3796" s="86"/>
      <c r="I3796" s="86"/>
      <c r="J3796" s="82"/>
      <c r="K3796" s="82"/>
      <c r="L3796" s="82"/>
      <c r="M3796" s="82"/>
      <c r="N3796" s="82"/>
      <c r="O3796" s="82"/>
      <c r="P3796" s="82"/>
      <c r="Q3796" s="82"/>
      <c r="R3796" s="82"/>
      <c r="S3796" s="82"/>
      <c r="T3796" s="82"/>
      <c r="U3796" s="82"/>
      <c r="V3796" s="82"/>
      <c r="W3796" s="82"/>
      <c r="X3796" s="82"/>
      <c r="Y3796" s="82"/>
      <c r="Z3796" s="82"/>
      <c r="AA3796" s="82"/>
      <c r="AB3796" s="82"/>
      <c r="AC3796" s="82"/>
      <c r="AD3796" s="82"/>
      <c r="AE3796" s="82"/>
      <c r="AF3796" s="82"/>
      <c r="AG3796" s="82"/>
      <c r="AH3796" s="82"/>
      <c r="AI3796" s="82"/>
      <c r="AJ3796" s="82"/>
      <c r="AK3796" s="82"/>
      <c r="AL3796" s="82"/>
      <c r="AM3796" s="82"/>
      <c r="AN3796" s="82"/>
      <c r="AO3796" s="82"/>
      <c r="AP3796" s="82"/>
      <c r="AQ3796" s="82"/>
      <c r="AR3796" s="82"/>
      <c r="AS3796" s="82"/>
      <c r="AT3796" s="82"/>
      <c r="AU3796" s="82"/>
      <c r="AV3796" s="82"/>
      <c r="AW3796" s="82" t="str">
        <f t="shared" si="1"/>
        <v/>
      </c>
      <c r="AX3796" s="83" t="str">
        <f t="array" ref="AX3796">IFERROR(DGET('SBV Import'!A:G,"SBV",{"RSC ID","Tier";B3796,A3796}))</f>
        <v/>
      </c>
      <c r="AY3796" s="82" t="str">
        <f t="shared" si="2"/>
        <v/>
      </c>
      <c r="AZ3796" s="82"/>
      <c r="BA3796" s="84" t="s">
        <v>152</v>
      </c>
      <c r="BB3796" s="84" t="str">
        <f>IFERROR(__xludf.DUMMYFUNCTION("iferror(if(A3796="""",,E3796&gt;=FILTER(Constants!$F$2:$F$10,Constants!$A$2:$A$10=A3796)))"),"")</f>
        <v/>
      </c>
    </row>
    <row r="3797">
      <c r="A3797" s="89"/>
      <c r="B3797" s="87"/>
      <c r="C3797" s="73"/>
      <c r="D3797" s="73"/>
      <c r="E3797" s="82"/>
      <c r="F3797" s="82"/>
      <c r="G3797" s="86"/>
      <c r="H3797" s="86"/>
      <c r="I3797" s="86"/>
      <c r="J3797" s="82"/>
      <c r="K3797" s="82"/>
      <c r="L3797" s="82"/>
      <c r="M3797" s="82"/>
      <c r="N3797" s="82"/>
      <c r="O3797" s="82"/>
      <c r="P3797" s="82"/>
      <c r="Q3797" s="82"/>
      <c r="R3797" s="82"/>
      <c r="S3797" s="82"/>
      <c r="T3797" s="82"/>
      <c r="U3797" s="82"/>
      <c r="V3797" s="82"/>
      <c r="W3797" s="82"/>
      <c r="X3797" s="82"/>
      <c r="Y3797" s="82"/>
      <c r="Z3797" s="82"/>
      <c r="AA3797" s="82"/>
      <c r="AB3797" s="82"/>
      <c r="AC3797" s="82"/>
      <c r="AD3797" s="82"/>
      <c r="AE3797" s="82"/>
      <c r="AF3797" s="82"/>
      <c r="AG3797" s="82"/>
      <c r="AH3797" s="82"/>
      <c r="AI3797" s="82"/>
      <c r="AJ3797" s="82"/>
      <c r="AK3797" s="82"/>
      <c r="AL3797" s="82"/>
      <c r="AM3797" s="82"/>
      <c r="AN3797" s="82"/>
      <c r="AO3797" s="82"/>
      <c r="AP3797" s="82"/>
      <c r="AQ3797" s="82"/>
      <c r="AR3797" s="82"/>
      <c r="AS3797" s="82"/>
      <c r="AT3797" s="82"/>
      <c r="AU3797" s="82"/>
      <c r="AV3797" s="82"/>
      <c r="AW3797" s="82" t="str">
        <f t="shared" si="1"/>
        <v/>
      </c>
      <c r="AX3797" s="83" t="str">
        <f t="array" ref="AX3797">IFERROR(DGET('SBV Import'!A:G,"SBV",{"RSC ID","Tier";B3797,A3797}))</f>
        <v/>
      </c>
      <c r="AY3797" s="82" t="str">
        <f t="shared" si="2"/>
        <v/>
      </c>
      <c r="AZ3797" s="82"/>
      <c r="BA3797" s="84" t="s">
        <v>152</v>
      </c>
      <c r="BB3797" s="84" t="str">
        <f>IFERROR(__xludf.DUMMYFUNCTION("iferror(if(A3797="""",,E3797&gt;=FILTER(Constants!$F$2:$F$10,Constants!$A$2:$A$10=A3797)))"),"")</f>
        <v/>
      </c>
    </row>
    <row r="3798">
      <c r="A3798" s="89"/>
      <c r="B3798" s="87"/>
      <c r="C3798" s="73"/>
      <c r="D3798" s="73"/>
      <c r="E3798" s="82"/>
      <c r="F3798" s="82"/>
      <c r="G3798" s="86"/>
      <c r="H3798" s="86"/>
      <c r="I3798" s="86"/>
      <c r="J3798" s="82"/>
      <c r="K3798" s="82"/>
      <c r="L3798" s="82"/>
      <c r="M3798" s="82"/>
      <c r="N3798" s="82"/>
      <c r="O3798" s="82"/>
      <c r="P3798" s="82"/>
      <c r="Q3798" s="82"/>
      <c r="R3798" s="82"/>
      <c r="S3798" s="82"/>
      <c r="T3798" s="82"/>
      <c r="U3798" s="82"/>
      <c r="V3798" s="82"/>
      <c r="W3798" s="82"/>
      <c r="X3798" s="82"/>
      <c r="Y3798" s="82"/>
      <c r="Z3798" s="82"/>
      <c r="AA3798" s="82"/>
      <c r="AB3798" s="82"/>
      <c r="AC3798" s="82"/>
      <c r="AD3798" s="82"/>
      <c r="AE3798" s="82"/>
      <c r="AF3798" s="82"/>
      <c r="AG3798" s="82"/>
      <c r="AH3798" s="82"/>
      <c r="AI3798" s="82"/>
      <c r="AJ3798" s="82"/>
      <c r="AK3798" s="82"/>
      <c r="AL3798" s="82"/>
      <c r="AM3798" s="82"/>
      <c r="AN3798" s="82"/>
      <c r="AO3798" s="82"/>
      <c r="AP3798" s="82"/>
      <c r="AQ3798" s="82"/>
      <c r="AR3798" s="82"/>
      <c r="AS3798" s="82"/>
      <c r="AT3798" s="82"/>
      <c r="AU3798" s="82"/>
      <c r="AV3798" s="82"/>
      <c r="AW3798" s="82" t="str">
        <f t="shared" si="1"/>
        <v/>
      </c>
      <c r="AX3798" s="83" t="str">
        <f t="array" ref="AX3798">IFERROR(DGET('SBV Import'!A:G,"SBV",{"RSC ID","Tier";B3798,A3798}))</f>
        <v/>
      </c>
      <c r="AY3798" s="82" t="str">
        <f t="shared" si="2"/>
        <v/>
      </c>
      <c r="AZ3798" s="82"/>
      <c r="BA3798" s="84" t="s">
        <v>152</v>
      </c>
      <c r="BB3798" s="84" t="str">
        <f>IFERROR(__xludf.DUMMYFUNCTION("iferror(if(A3798="""",,E3798&gt;=FILTER(Constants!$F$2:$F$10,Constants!$A$2:$A$10=A3798)))"),"")</f>
        <v/>
      </c>
    </row>
    <row r="3799">
      <c r="A3799" s="89"/>
      <c r="B3799" s="87"/>
      <c r="C3799" s="73"/>
      <c r="D3799" s="73"/>
      <c r="E3799" s="82"/>
      <c r="F3799" s="82"/>
      <c r="G3799" s="86"/>
      <c r="H3799" s="86"/>
      <c r="I3799" s="86"/>
      <c r="J3799" s="82"/>
      <c r="K3799" s="82"/>
      <c r="L3799" s="82"/>
      <c r="M3799" s="82"/>
      <c r="N3799" s="82"/>
      <c r="O3799" s="82"/>
      <c r="P3799" s="82"/>
      <c r="Q3799" s="82"/>
      <c r="R3799" s="82"/>
      <c r="S3799" s="82"/>
      <c r="T3799" s="82"/>
      <c r="U3799" s="82"/>
      <c r="V3799" s="82"/>
      <c r="W3799" s="82"/>
      <c r="X3799" s="82"/>
      <c r="Y3799" s="82"/>
      <c r="Z3799" s="82"/>
      <c r="AA3799" s="82"/>
      <c r="AB3799" s="82"/>
      <c r="AC3799" s="82"/>
      <c r="AD3799" s="82"/>
      <c r="AE3799" s="82"/>
      <c r="AF3799" s="82"/>
      <c r="AG3799" s="82"/>
      <c r="AH3799" s="82"/>
      <c r="AI3799" s="82"/>
      <c r="AJ3799" s="82"/>
      <c r="AK3799" s="82"/>
      <c r="AL3799" s="82"/>
      <c r="AM3799" s="82"/>
      <c r="AN3799" s="82"/>
      <c r="AO3799" s="82"/>
      <c r="AP3799" s="82"/>
      <c r="AQ3799" s="82"/>
      <c r="AR3799" s="82"/>
      <c r="AS3799" s="82"/>
      <c r="AT3799" s="82"/>
      <c r="AU3799" s="82"/>
      <c r="AV3799" s="82"/>
      <c r="AW3799" s="82" t="str">
        <f t="shared" si="1"/>
        <v/>
      </c>
      <c r="AX3799" s="83" t="str">
        <f t="array" ref="AX3799">IFERROR(DGET('SBV Import'!A:G,"SBV",{"RSC ID","Tier";B3799,A3799}))</f>
        <v/>
      </c>
      <c r="AY3799" s="82" t="str">
        <f t="shared" si="2"/>
        <v/>
      </c>
      <c r="AZ3799" s="82"/>
      <c r="BA3799" s="84" t="s">
        <v>152</v>
      </c>
      <c r="BB3799" s="84" t="str">
        <f>IFERROR(__xludf.DUMMYFUNCTION("iferror(if(A3799="""",,E3799&gt;=FILTER(Constants!$F$2:$F$10,Constants!$A$2:$A$10=A3799)))"),"")</f>
        <v/>
      </c>
    </row>
    <row r="3800">
      <c r="A3800" s="89"/>
      <c r="B3800" s="87"/>
      <c r="C3800" s="73"/>
      <c r="D3800" s="73"/>
      <c r="E3800" s="82"/>
      <c r="F3800" s="82"/>
      <c r="G3800" s="86"/>
      <c r="H3800" s="86"/>
      <c r="I3800" s="86"/>
      <c r="J3800" s="82"/>
      <c r="K3800" s="82"/>
      <c r="L3800" s="82"/>
      <c r="M3800" s="82"/>
      <c r="N3800" s="82"/>
      <c r="O3800" s="82"/>
      <c r="P3800" s="82"/>
      <c r="Q3800" s="82"/>
      <c r="R3800" s="82"/>
      <c r="S3800" s="82"/>
      <c r="T3800" s="82"/>
      <c r="U3800" s="82"/>
      <c r="V3800" s="82"/>
      <c r="W3800" s="82"/>
      <c r="X3800" s="82"/>
      <c r="Y3800" s="82"/>
      <c r="Z3800" s="82"/>
      <c r="AA3800" s="82"/>
      <c r="AB3800" s="82"/>
      <c r="AC3800" s="82"/>
      <c r="AD3800" s="82"/>
      <c r="AE3800" s="82"/>
      <c r="AF3800" s="82"/>
      <c r="AG3800" s="82"/>
      <c r="AH3800" s="82"/>
      <c r="AI3800" s="82"/>
      <c r="AJ3800" s="82"/>
      <c r="AK3800" s="82"/>
      <c r="AL3800" s="82"/>
      <c r="AM3800" s="82"/>
      <c r="AN3800" s="82"/>
      <c r="AO3800" s="82"/>
      <c r="AP3800" s="82"/>
      <c r="AQ3800" s="82"/>
      <c r="AR3800" s="82"/>
      <c r="AS3800" s="82"/>
      <c r="AT3800" s="82"/>
      <c r="AU3800" s="82"/>
      <c r="AV3800" s="82"/>
      <c r="AW3800" s="82" t="str">
        <f t="shared" si="1"/>
        <v/>
      </c>
      <c r="AX3800" s="83" t="str">
        <f t="array" ref="AX3800">IFERROR(DGET('SBV Import'!A:G,"SBV",{"RSC ID","Tier";B3800,A3800}))</f>
        <v/>
      </c>
      <c r="AY3800" s="82" t="str">
        <f t="shared" si="2"/>
        <v/>
      </c>
      <c r="AZ3800" s="82"/>
      <c r="BA3800" s="84" t="s">
        <v>152</v>
      </c>
      <c r="BB3800" s="84" t="str">
        <f>IFERROR(__xludf.DUMMYFUNCTION("iferror(if(A3800="""",,E3800&gt;=FILTER(Constants!$F$2:$F$10,Constants!$A$2:$A$10=A3800)))"),"")</f>
        <v/>
      </c>
    </row>
    <row r="3801">
      <c r="A3801" s="89"/>
      <c r="B3801" s="87"/>
      <c r="C3801" s="73"/>
      <c r="D3801" s="73"/>
      <c r="E3801" s="82"/>
      <c r="F3801" s="82"/>
      <c r="G3801" s="86"/>
      <c r="H3801" s="86"/>
      <c r="I3801" s="86"/>
      <c r="J3801" s="82"/>
      <c r="K3801" s="82"/>
      <c r="L3801" s="82"/>
      <c r="M3801" s="82"/>
      <c r="N3801" s="82"/>
      <c r="O3801" s="82"/>
      <c r="P3801" s="82"/>
      <c r="Q3801" s="82"/>
      <c r="R3801" s="82"/>
      <c r="S3801" s="82"/>
      <c r="T3801" s="82"/>
      <c r="U3801" s="82"/>
      <c r="V3801" s="82"/>
      <c r="W3801" s="82"/>
      <c r="X3801" s="82"/>
      <c r="Y3801" s="82"/>
      <c r="Z3801" s="82"/>
      <c r="AA3801" s="82"/>
      <c r="AB3801" s="82"/>
      <c r="AC3801" s="82"/>
      <c r="AD3801" s="82"/>
      <c r="AE3801" s="82"/>
      <c r="AF3801" s="82"/>
      <c r="AG3801" s="82"/>
      <c r="AH3801" s="82"/>
      <c r="AI3801" s="82"/>
      <c r="AJ3801" s="82"/>
      <c r="AK3801" s="82"/>
      <c r="AL3801" s="82"/>
      <c r="AM3801" s="82"/>
      <c r="AN3801" s="82"/>
      <c r="AO3801" s="82"/>
      <c r="AP3801" s="82"/>
      <c r="AQ3801" s="82"/>
      <c r="AR3801" s="82"/>
      <c r="AS3801" s="82"/>
      <c r="AT3801" s="82"/>
      <c r="AU3801" s="82"/>
      <c r="AV3801" s="82"/>
      <c r="AW3801" s="82" t="str">
        <f t="shared" si="1"/>
        <v/>
      </c>
      <c r="AX3801" s="83" t="str">
        <f t="array" ref="AX3801">IFERROR(DGET('SBV Import'!A:G,"SBV",{"RSC ID","Tier";B3801,A3801}))</f>
        <v/>
      </c>
      <c r="AY3801" s="82" t="str">
        <f t="shared" si="2"/>
        <v/>
      </c>
      <c r="AZ3801" s="82"/>
      <c r="BA3801" s="84" t="s">
        <v>152</v>
      </c>
      <c r="BB3801" s="84" t="str">
        <f>IFERROR(__xludf.DUMMYFUNCTION("iferror(if(A3801="""",,E3801&gt;=FILTER(Constants!$F$2:$F$10,Constants!$A$2:$A$10=A3801)))"),"")</f>
        <v/>
      </c>
    </row>
    <row r="3802">
      <c r="A3802" s="89"/>
      <c r="B3802" s="87"/>
      <c r="C3802" s="73"/>
      <c r="D3802" s="73"/>
      <c r="E3802" s="82"/>
      <c r="F3802" s="82"/>
      <c r="G3802" s="86"/>
      <c r="H3802" s="86"/>
      <c r="I3802" s="86"/>
      <c r="J3802" s="82"/>
      <c r="K3802" s="82"/>
      <c r="L3802" s="82"/>
      <c r="M3802" s="82"/>
      <c r="N3802" s="82"/>
      <c r="O3802" s="82"/>
      <c r="P3802" s="82"/>
      <c r="Q3802" s="82"/>
      <c r="R3802" s="82"/>
      <c r="S3802" s="82"/>
      <c r="T3802" s="82"/>
      <c r="U3802" s="82"/>
      <c r="V3802" s="82"/>
      <c r="W3802" s="82"/>
      <c r="X3802" s="82"/>
      <c r="Y3802" s="82"/>
      <c r="Z3802" s="82"/>
      <c r="AA3802" s="82"/>
      <c r="AB3802" s="82"/>
      <c r="AC3802" s="82"/>
      <c r="AD3802" s="82"/>
      <c r="AE3802" s="82"/>
      <c r="AF3802" s="82"/>
      <c r="AG3802" s="82"/>
      <c r="AH3802" s="82"/>
      <c r="AI3802" s="82"/>
      <c r="AJ3802" s="82"/>
      <c r="AK3802" s="82"/>
      <c r="AL3802" s="82"/>
      <c r="AM3802" s="82"/>
      <c r="AN3802" s="82"/>
      <c r="AO3802" s="82"/>
      <c r="AP3802" s="82"/>
      <c r="AQ3802" s="82"/>
      <c r="AR3802" s="82"/>
      <c r="AS3802" s="82"/>
      <c r="AT3802" s="82"/>
      <c r="AU3802" s="82"/>
      <c r="AV3802" s="82"/>
      <c r="AW3802" s="82" t="str">
        <f t="shared" si="1"/>
        <v/>
      </c>
      <c r="AX3802" s="83" t="str">
        <f t="array" ref="AX3802">IFERROR(DGET('SBV Import'!A:G,"SBV",{"RSC ID","Tier";B3802,A3802}))</f>
        <v/>
      </c>
      <c r="AY3802" s="82" t="str">
        <f t="shared" si="2"/>
        <v/>
      </c>
      <c r="AZ3802" s="82"/>
      <c r="BA3802" s="84" t="s">
        <v>152</v>
      </c>
      <c r="BB3802" s="84" t="str">
        <f>IFERROR(__xludf.DUMMYFUNCTION("iferror(if(A3802="""",,E3802&gt;=FILTER(Constants!$F$2:$F$10,Constants!$A$2:$A$10=A3802)))"),"")</f>
        <v/>
      </c>
    </row>
    <row r="3803">
      <c r="A3803" s="89"/>
      <c r="B3803" s="87"/>
      <c r="C3803" s="73"/>
      <c r="D3803" s="73"/>
      <c r="E3803" s="82"/>
      <c r="F3803" s="82"/>
      <c r="G3803" s="86"/>
      <c r="H3803" s="86"/>
      <c r="I3803" s="86"/>
      <c r="J3803" s="82"/>
      <c r="K3803" s="82"/>
      <c r="L3803" s="82"/>
      <c r="M3803" s="82"/>
      <c r="N3803" s="82"/>
      <c r="O3803" s="82"/>
      <c r="P3803" s="82"/>
      <c r="Q3803" s="82"/>
      <c r="R3803" s="82"/>
      <c r="S3803" s="82"/>
      <c r="T3803" s="82"/>
      <c r="U3803" s="82"/>
      <c r="V3803" s="82"/>
      <c r="W3803" s="82"/>
      <c r="X3803" s="82"/>
      <c r="Y3803" s="82"/>
      <c r="Z3803" s="82"/>
      <c r="AA3803" s="82"/>
      <c r="AB3803" s="82"/>
      <c r="AC3803" s="82"/>
      <c r="AD3803" s="82"/>
      <c r="AE3803" s="82"/>
      <c r="AF3803" s="82"/>
      <c r="AG3803" s="82"/>
      <c r="AH3803" s="82"/>
      <c r="AI3803" s="82"/>
      <c r="AJ3803" s="82"/>
      <c r="AK3803" s="82"/>
      <c r="AL3803" s="82"/>
      <c r="AM3803" s="82"/>
      <c r="AN3803" s="82"/>
      <c r="AO3803" s="82"/>
      <c r="AP3803" s="82"/>
      <c r="AQ3803" s="82"/>
      <c r="AR3803" s="82"/>
      <c r="AS3803" s="82"/>
      <c r="AT3803" s="82"/>
      <c r="AU3803" s="82"/>
      <c r="AV3803" s="82"/>
      <c r="AW3803" s="82" t="str">
        <f t="shared" si="1"/>
        <v/>
      </c>
      <c r="AX3803" s="83" t="str">
        <f t="array" ref="AX3803">IFERROR(DGET('SBV Import'!A:G,"SBV",{"RSC ID","Tier";B3803,A3803}))</f>
        <v/>
      </c>
      <c r="AY3803" s="82" t="str">
        <f t="shared" si="2"/>
        <v/>
      </c>
      <c r="AZ3803" s="82"/>
      <c r="BA3803" s="84" t="s">
        <v>152</v>
      </c>
      <c r="BB3803" s="84" t="str">
        <f>IFERROR(__xludf.DUMMYFUNCTION("iferror(if(A3803="""",,E3803&gt;=FILTER(Constants!$F$2:$F$10,Constants!$A$2:$A$10=A3803)))"),"")</f>
        <v/>
      </c>
    </row>
    <row r="3804">
      <c r="A3804" s="89"/>
      <c r="B3804" s="87"/>
      <c r="C3804" s="73"/>
      <c r="D3804" s="73"/>
      <c r="E3804" s="82"/>
      <c r="F3804" s="82"/>
      <c r="G3804" s="86"/>
      <c r="H3804" s="86"/>
      <c r="I3804" s="86"/>
      <c r="J3804" s="82"/>
      <c r="K3804" s="82"/>
      <c r="L3804" s="82"/>
      <c r="M3804" s="82"/>
      <c r="N3804" s="82"/>
      <c r="O3804" s="82"/>
      <c r="P3804" s="82"/>
      <c r="Q3804" s="82"/>
      <c r="R3804" s="82"/>
      <c r="S3804" s="82"/>
      <c r="T3804" s="82"/>
      <c r="U3804" s="82"/>
      <c r="V3804" s="82"/>
      <c r="W3804" s="82"/>
      <c r="X3804" s="82"/>
      <c r="Y3804" s="82"/>
      <c r="Z3804" s="82"/>
      <c r="AA3804" s="82"/>
      <c r="AB3804" s="82"/>
      <c r="AC3804" s="82"/>
      <c r="AD3804" s="82"/>
      <c r="AE3804" s="82"/>
      <c r="AF3804" s="82"/>
      <c r="AG3804" s="82"/>
      <c r="AH3804" s="82"/>
      <c r="AI3804" s="82"/>
      <c r="AJ3804" s="82"/>
      <c r="AK3804" s="82"/>
      <c r="AL3804" s="82"/>
      <c r="AM3804" s="82"/>
      <c r="AN3804" s="82"/>
      <c r="AO3804" s="82"/>
      <c r="AP3804" s="82"/>
      <c r="AQ3804" s="82"/>
      <c r="AR3804" s="82"/>
      <c r="AS3804" s="82"/>
      <c r="AT3804" s="82"/>
      <c r="AU3804" s="82"/>
      <c r="AV3804" s="82"/>
      <c r="AW3804" s="82" t="str">
        <f t="shared" si="1"/>
        <v/>
      </c>
      <c r="AX3804" s="83" t="str">
        <f t="array" ref="AX3804">IFERROR(DGET('SBV Import'!A:G,"SBV",{"RSC ID","Tier";B3804,A3804}))</f>
        <v/>
      </c>
      <c r="AY3804" s="82" t="str">
        <f t="shared" si="2"/>
        <v/>
      </c>
      <c r="AZ3804" s="82"/>
      <c r="BA3804" s="84" t="s">
        <v>152</v>
      </c>
      <c r="BB3804" s="84" t="str">
        <f>IFERROR(__xludf.DUMMYFUNCTION("iferror(if(A3804="""",,E3804&gt;=FILTER(Constants!$F$2:$F$10,Constants!$A$2:$A$10=A3804)))"),"")</f>
        <v/>
      </c>
    </row>
    <row r="3805">
      <c r="A3805" s="89"/>
      <c r="B3805" s="87"/>
      <c r="C3805" s="73"/>
      <c r="D3805" s="73"/>
      <c r="E3805" s="82"/>
      <c r="F3805" s="82"/>
      <c r="G3805" s="86"/>
      <c r="H3805" s="86"/>
      <c r="I3805" s="86"/>
      <c r="J3805" s="82"/>
      <c r="K3805" s="82"/>
      <c r="L3805" s="82"/>
      <c r="M3805" s="82"/>
      <c r="N3805" s="82"/>
      <c r="O3805" s="82"/>
      <c r="P3805" s="82"/>
      <c r="Q3805" s="82"/>
      <c r="R3805" s="82"/>
      <c r="S3805" s="82"/>
      <c r="T3805" s="82"/>
      <c r="U3805" s="82"/>
      <c r="V3805" s="82"/>
      <c r="W3805" s="82"/>
      <c r="X3805" s="82"/>
      <c r="Y3805" s="82"/>
      <c r="Z3805" s="82"/>
      <c r="AA3805" s="82"/>
      <c r="AB3805" s="82"/>
      <c r="AC3805" s="82"/>
      <c r="AD3805" s="82"/>
      <c r="AE3805" s="82"/>
      <c r="AF3805" s="82"/>
      <c r="AG3805" s="82"/>
      <c r="AH3805" s="82"/>
      <c r="AI3805" s="82"/>
      <c r="AJ3805" s="82"/>
      <c r="AK3805" s="82"/>
      <c r="AL3805" s="82"/>
      <c r="AM3805" s="82"/>
      <c r="AN3805" s="82"/>
      <c r="AO3805" s="82"/>
      <c r="AP3805" s="82"/>
      <c r="AQ3805" s="82"/>
      <c r="AR3805" s="82"/>
      <c r="AS3805" s="82"/>
      <c r="AT3805" s="82"/>
      <c r="AU3805" s="82"/>
      <c r="AV3805" s="82"/>
      <c r="AW3805" s="82" t="str">
        <f t="shared" si="1"/>
        <v/>
      </c>
      <c r="AX3805" s="83" t="str">
        <f t="array" ref="AX3805">IFERROR(DGET('SBV Import'!A:G,"SBV",{"RSC ID","Tier";B3805,A3805}))</f>
        <v/>
      </c>
      <c r="AY3805" s="82" t="str">
        <f t="shared" si="2"/>
        <v/>
      </c>
      <c r="AZ3805" s="82"/>
      <c r="BA3805" s="84" t="s">
        <v>152</v>
      </c>
      <c r="BB3805" s="84" t="str">
        <f>IFERROR(__xludf.DUMMYFUNCTION("iferror(if(A3805="""",,E3805&gt;=FILTER(Constants!$F$2:$F$10,Constants!$A$2:$A$10=A3805)))"),"")</f>
        <v/>
      </c>
    </row>
    <row r="3806">
      <c r="A3806" s="89"/>
      <c r="B3806" s="87"/>
      <c r="C3806" s="73"/>
      <c r="D3806" s="73"/>
      <c r="E3806" s="82"/>
      <c r="F3806" s="82"/>
      <c r="G3806" s="86"/>
      <c r="H3806" s="86"/>
      <c r="I3806" s="86"/>
      <c r="J3806" s="82"/>
      <c r="K3806" s="82"/>
      <c r="L3806" s="82"/>
      <c r="M3806" s="82"/>
      <c r="N3806" s="82"/>
      <c r="O3806" s="82"/>
      <c r="P3806" s="82"/>
      <c r="Q3806" s="82"/>
      <c r="R3806" s="82"/>
      <c r="S3806" s="82"/>
      <c r="T3806" s="82"/>
      <c r="U3806" s="82"/>
      <c r="V3806" s="82"/>
      <c r="W3806" s="82"/>
      <c r="X3806" s="82"/>
      <c r="Y3806" s="82"/>
      <c r="Z3806" s="82"/>
      <c r="AA3806" s="82"/>
      <c r="AB3806" s="82"/>
      <c r="AC3806" s="82"/>
      <c r="AD3806" s="82"/>
      <c r="AE3806" s="82"/>
      <c r="AF3806" s="82"/>
      <c r="AG3806" s="82"/>
      <c r="AH3806" s="82"/>
      <c r="AI3806" s="82"/>
      <c r="AJ3806" s="82"/>
      <c r="AK3806" s="82"/>
      <c r="AL3806" s="82"/>
      <c r="AM3806" s="82"/>
      <c r="AN3806" s="82"/>
      <c r="AO3806" s="82"/>
      <c r="AP3806" s="82"/>
      <c r="AQ3806" s="82"/>
      <c r="AR3806" s="82"/>
      <c r="AS3806" s="82"/>
      <c r="AT3806" s="82"/>
      <c r="AU3806" s="82"/>
      <c r="AV3806" s="82"/>
      <c r="AW3806" s="82" t="str">
        <f t="shared" si="1"/>
        <v/>
      </c>
      <c r="AX3806" s="83" t="str">
        <f t="array" ref="AX3806">IFERROR(DGET('SBV Import'!A:G,"SBV",{"RSC ID","Tier";B3806,A3806}))</f>
        <v/>
      </c>
      <c r="AY3806" s="82" t="str">
        <f t="shared" si="2"/>
        <v/>
      </c>
      <c r="AZ3806" s="82"/>
      <c r="BA3806" s="84" t="s">
        <v>152</v>
      </c>
      <c r="BB3806" s="84" t="str">
        <f>IFERROR(__xludf.DUMMYFUNCTION("iferror(if(A3806="""",,E3806&gt;=FILTER(Constants!$F$2:$F$10,Constants!$A$2:$A$10=A3806)))"),"")</f>
        <v/>
      </c>
    </row>
    <row r="3807">
      <c r="A3807" s="89"/>
      <c r="B3807" s="87"/>
      <c r="C3807" s="73"/>
      <c r="D3807" s="73"/>
      <c r="E3807" s="82"/>
      <c r="F3807" s="82"/>
      <c r="G3807" s="86"/>
      <c r="H3807" s="86"/>
      <c r="I3807" s="86"/>
      <c r="J3807" s="82"/>
      <c r="K3807" s="82"/>
      <c r="L3807" s="82"/>
      <c r="M3807" s="82"/>
      <c r="N3807" s="82"/>
      <c r="O3807" s="82"/>
      <c r="P3807" s="82"/>
      <c r="Q3807" s="82"/>
      <c r="R3807" s="82"/>
      <c r="S3807" s="82"/>
      <c r="T3807" s="82"/>
      <c r="U3807" s="82"/>
      <c r="V3807" s="82"/>
      <c r="W3807" s="82"/>
      <c r="X3807" s="82"/>
      <c r="Y3807" s="82"/>
      <c r="Z3807" s="82"/>
      <c r="AA3807" s="82"/>
      <c r="AB3807" s="82"/>
      <c r="AC3807" s="82"/>
      <c r="AD3807" s="82"/>
      <c r="AE3807" s="82"/>
      <c r="AF3807" s="82"/>
      <c r="AG3807" s="82"/>
      <c r="AH3807" s="82"/>
      <c r="AI3807" s="82"/>
      <c r="AJ3807" s="82"/>
      <c r="AK3807" s="82"/>
      <c r="AL3807" s="82"/>
      <c r="AM3807" s="82"/>
      <c r="AN3807" s="82"/>
      <c r="AO3807" s="82"/>
      <c r="AP3807" s="82"/>
      <c r="AQ3807" s="82"/>
      <c r="AR3807" s="82"/>
      <c r="AS3807" s="82"/>
      <c r="AT3807" s="82"/>
      <c r="AU3807" s="82"/>
      <c r="AV3807" s="82"/>
      <c r="AW3807" s="82" t="str">
        <f t="shared" si="1"/>
        <v/>
      </c>
      <c r="AX3807" s="83" t="str">
        <f t="array" ref="AX3807">IFERROR(DGET('SBV Import'!A:G,"SBV",{"RSC ID","Tier";B3807,A3807}))</f>
        <v/>
      </c>
      <c r="AY3807" s="82" t="str">
        <f t="shared" si="2"/>
        <v/>
      </c>
      <c r="AZ3807" s="82"/>
      <c r="BA3807" s="84" t="s">
        <v>152</v>
      </c>
      <c r="BB3807" s="84" t="str">
        <f>IFERROR(__xludf.DUMMYFUNCTION("iferror(if(A3807="""",,E3807&gt;=FILTER(Constants!$F$2:$F$10,Constants!$A$2:$A$10=A3807)))"),"")</f>
        <v/>
      </c>
    </row>
    <row r="3808">
      <c r="A3808" s="89"/>
      <c r="B3808" s="87"/>
      <c r="C3808" s="73"/>
      <c r="D3808" s="73"/>
      <c r="E3808" s="82"/>
      <c r="F3808" s="82"/>
      <c r="G3808" s="86"/>
      <c r="H3808" s="86"/>
      <c r="I3808" s="86"/>
      <c r="J3808" s="82"/>
      <c r="K3808" s="82"/>
      <c r="L3808" s="82"/>
      <c r="M3808" s="82"/>
      <c r="N3808" s="82"/>
      <c r="O3808" s="82"/>
      <c r="P3808" s="82"/>
      <c r="Q3808" s="82"/>
      <c r="R3808" s="82"/>
      <c r="S3808" s="82"/>
      <c r="T3808" s="82"/>
      <c r="U3808" s="82"/>
      <c r="V3808" s="82"/>
      <c r="W3808" s="82"/>
      <c r="X3808" s="82"/>
      <c r="Y3808" s="82"/>
      <c r="Z3808" s="82"/>
      <c r="AA3808" s="82"/>
      <c r="AB3808" s="82"/>
      <c r="AC3808" s="82"/>
      <c r="AD3808" s="82"/>
      <c r="AE3808" s="82"/>
      <c r="AF3808" s="82"/>
      <c r="AG3808" s="82"/>
      <c r="AH3808" s="82"/>
      <c r="AI3808" s="82"/>
      <c r="AJ3808" s="82"/>
      <c r="AK3808" s="82"/>
      <c r="AL3808" s="82"/>
      <c r="AM3808" s="82"/>
      <c r="AN3808" s="82"/>
      <c r="AO3808" s="82"/>
      <c r="AP3808" s="82"/>
      <c r="AQ3808" s="82"/>
      <c r="AR3808" s="82"/>
      <c r="AS3808" s="82"/>
      <c r="AT3808" s="82"/>
      <c r="AU3808" s="82"/>
      <c r="AV3808" s="82"/>
      <c r="AW3808" s="82" t="str">
        <f t="shared" si="1"/>
        <v/>
      </c>
      <c r="AX3808" s="83" t="str">
        <f t="array" ref="AX3808">IFERROR(DGET('SBV Import'!A:G,"SBV",{"RSC ID","Tier";B3808,A3808}))</f>
        <v/>
      </c>
      <c r="AY3808" s="82" t="str">
        <f t="shared" si="2"/>
        <v/>
      </c>
      <c r="AZ3808" s="82"/>
      <c r="BA3808" s="84" t="s">
        <v>152</v>
      </c>
      <c r="BB3808" s="84" t="str">
        <f>IFERROR(__xludf.DUMMYFUNCTION("iferror(if(A3808="""",,E3808&gt;=FILTER(Constants!$F$2:$F$10,Constants!$A$2:$A$10=A3808)))"),"")</f>
        <v/>
      </c>
    </row>
    <row r="3809">
      <c r="A3809" s="89"/>
      <c r="B3809" s="87"/>
      <c r="C3809" s="73"/>
      <c r="D3809" s="73"/>
      <c r="E3809" s="82"/>
      <c r="F3809" s="82"/>
      <c r="G3809" s="86"/>
      <c r="H3809" s="86"/>
      <c r="I3809" s="86"/>
      <c r="J3809" s="82"/>
      <c r="K3809" s="82"/>
      <c r="L3809" s="82"/>
      <c r="M3809" s="82"/>
      <c r="N3809" s="82"/>
      <c r="O3809" s="82"/>
      <c r="P3809" s="82"/>
      <c r="Q3809" s="82"/>
      <c r="R3809" s="82"/>
      <c r="S3809" s="82"/>
      <c r="T3809" s="82"/>
      <c r="U3809" s="82"/>
      <c r="V3809" s="82"/>
      <c r="W3809" s="82"/>
      <c r="X3809" s="82"/>
      <c r="Y3809" s="82"/>
      <c r="Z3809" s="82"/>
      <c r="AA3809" s="82"/>
      <c r="AB3809" s="82"/>
      <c r="AC3809" s="82"/>
      <c r="AD3809" s="82"/>
      <c r="AE3809" s="82"/>
      <c r="AF3809" s="82"/>
      <c r="AG3809" s="82"/>
      <c r="AH3809" s="82"/>
      <c r="AI3809" s="82"/>
      <c r="AJ3809" s="82"/>
      <c r="AK3809" s="82"/>
      <c r="AL3809" s="82"/>
      <c r="AM3809" s="82"/>
      <c r="AN3809" s="82"/>
      <c r="AO3809" s="82"/>
      <c r="AP3809" s="82"/>
      <c r="AQ3809" s="82"/>
      <c r="AR3809" s="82"/>
      <c r="AS3809" s="82"/>
      <c r="AT3809" s="82"/>
      <c r="AU3809" s="82"/>
      <c r="AV3809" s="82"/>
      <c r="AW3809" s="82" t="str">
        <f t="shared" si="1"/>
        <v/>
      </c>
      <c r="AX3809" s="83" t="str">
        <f t="array" ref="AX3809">IFERROR(DGET('SBV Import'!A:G,"SBV",{"RSC ID","Tier";B3809,A3809}))</f>
        <v/>
      </c>
      <c r="AY3809" s="82" t="str">
        <f t="shared" si="2"/>
        <v/>
      </c>
      <c r="AZ3809" s="82"/>
      <c r="BA3809" s="84" t="s">
        <v>152</v>
      </c>
      <c r="BB3809" s="84" t="str">
        <f>IFERROR(__xludf.DUMMYFUNCTION("iferror(if(A3809="""",,E3809&gt;=FILTER(Constants!$F$2:$F$10,Constants!$A$2:$A$10=A3809)))"),"")</f>
        <v/>
      </c>
    </row>
    <row r="3810">
      <c r="A3810" s="89"/>
      <c r="B3810" s="87"/>
      <c r="C3810" s="73"/>
      <c r="D3810" s="73"/>
      <c r="E3810" s="82"/>
      <c r="F3810" s="82"/>
      <c r="G3810" s="86"/>
      <c r="H3810" s="86"/>
      <c r="I3810" s="86"/>
      <c r="J3810" s="82"/>
      <c r="K3810" s="82"/>
      <c r="L3810" s="82"/>
      <c r="M3810" s="82"/>
      <c r="N3810" s="82"/>
      <c r="O3810" s="82"/>
      <c r="P3810" s="82"/>
      <c r="Q3810" s="82"/>
      <c r="R3810" s="82"/>
      <c r="S3810" s="82"/>
      <c r="T3810" s="82"/>
      <c r="U3810" s="82"/>
      <c r="V3810" s="82"/>
      <c r="W3810" s="82"/>
      <c r="X3810" s="82"/>
      <c r="Y3810" s="82"/>
      <c r="Z3810" s="82"/>
      <c r="AA3810" s="82"/>
      <c r="AB3810" s="82"/>
      <c r="AC3810" s="82"/>
      <c r="AD3810" s="82"/>
      <c r="AE3810" s="82"/>
      <c r="AF3810" s="82"/>
      <c r="AG3810" s="82"/>
      <c r="AH3810" s="82"/>
      <c r="AI3810" s="82"/>
      <c r="AJ3810" s="82"/>
      <c r="AK3810" s="82"/>
      <c r="AL3810" s="82"/>
      <c r="AM3810" s="82"/>
      <c r="AN3810" s="82"/>
      <c r="AO3810" s="82"/>
      <c r="AP3810" s="82"/>
      <c r="AQ3810" s="82"/>
      <c r="AR3810" s="82"/>
      <c r="AS3810" s="82"/>
      <c r="AT3810" s="82"/>
      <c r="AU3810" s="82"/>
      <c r="AV3810" s="82"/>
      <c r="AW3810" s="82" t="str">
        <f t="shared" si="1"/>
        <v/>
      </c>
      <c r="AX3810" s="83" t="str">
        <f t="array" ref="AX3810">IFERROR(DGET('SBV Import'!A:G,"SBV",{"RSC ID","Tier";B3810,A3810}))</f>
        <v/>
      </c>
      <c r="AY3810" s="82" t="str">
        <f t="shared" si="2"/>
        <v/>
      </c>
      <c r="AZ3810" s="82"/>
      <c r="BA3810" s="84" t="s">
        <v>152</v>
      </c>
      <c r="BB3810" s="84" t="str">
        <f>IFERROR(__xludf.DUMMYFUNCTION("iferror(if(A3810="""",,E3810&gt;=FILTER(Constants!$F$2:$F$10,Constants!$A$2:$A$10=A3810)))"),"")</f>
        <v/>
      </c>
    </row>
    <row r="3811">
      <c r="A3811" s="89"/>
      <c r="B3811" s="87"/>
      <c r="C3811" s="73"/>
      <c r="D3811" s="73"/>
      <c r="E3811" s="82"/>
      <c r="F3811" s="82"/>
      <c r="G3811" s="86"/>
      <c r="H3811" s="86"/>
      <c r="I3811" s="86"/>
      <c r="J3811" s="82"/>
      <c r="K3811" s="82"/>
      <c r="L3811" s="82"/>
      <c r="M3811" s="82"/>
      <c r="N3811" s="82"/>
      <c r="O3811" s="82"/>
      <c r="P3811" s="82"/>
      <c r="Q3811" s="82"/>
      <c r="R3811" s="82"/>
      <c r="S3811" s="82"/>
      <c r="T3811" s="82"/>
      <c r="U3811" s="82"/>
      <c r="V3811" s="82"/>
      <c r="W3811" s="82"/>
      <c r="X3811" s="82"/>
      <c r="Y3811" s="82"/>
      <c r="Z3811" s="82"/>
      <c r="AA3811" s="82"/>
      <c r="AB3811" s="82"/>
      <c r="AC3811" s="82"/>
      <c r="AD3811" s="82"/>
      <c r="AE3811" s="82"/>
      <c r="AF3811" s="82"/>
      <c r="AG3811" s="82"/>
      <c r="AH3811" s="82"/>
      <c r="AI3811" s="82"/>
      <c r="AJ3811" s="82"/>
      <c r="AK3811" s="82"/>
      <c r="AL3811" s="82"/>
      <c r="AM3811" s="82"/>
      <c r="AN3811" s="82"/>
      <c r="AO3811" s="82"/>
      <c r="AP3811" s="82"/>
      <c r="AQ3811" s="82"/>
      <c r="AR3811" s="82"/>
      <c r="AS3811" s="82"/>
      <c r="AT3811" s="82"/>
      <c r="AU3811" s="82"/>
      <c r="AV3811" s="82"/>
      <c r="AW3811" s="82" t="str">
        <f t="shared" si="1"/>
        <v/>
      </c>
      <c r="AX3811" s="83" t="str">
        <f t="array" ref="AX3811">IFERROR(DGET('SBV Import'!A:G,"SBV",{"RSC ID","Tier";B3811,A3811}))</f>
        <v/>
      </c>
      <c r="AY3811" s="82" t="str">
        <f t="shared" si="2"/>
        <v/>
      </c>
      <c r="AZ3811" s="82"/>
      <c r="BA3811" s="84" t="s">
        <v>152</v>
      </c>
      <c r="BB3811" s="84" t="str">
        <f>IFERROR(__xludf.DUMMYFUNCTION("iferror(if(A3811="""",,E3811&gt;=FILTER(Constants!$F$2:$F$10,Constants!$A$2:$A$10=A3811)))"),"")</f>
        <v/>
      </c>
    </row>
    <row r="3812">
      <c r="A3812" s="89"/>
      <c r="B3812" s="87"/>
      <c r="C3812" s="73"/>
      <c r="D3812" s="73"/>
      <c r="E3812" s="82"/>
      <c r="F3812" s="82"/>
      <c r="G3812" s="86"/>
      <c r="H3812" s="86"/>
      <c r="I3812" s="86"/>
      <c r="J3812" s="82"/>
      <c r="K3812" s="82"/>
      <c r="L3812" s="82"/>
      <c r="M3812" s="82"/>
      <c r="N3812" s="82"/>
      <c r="O3812" s="82"/>
      <c r="P3812" s="82"/>
      <c r="Q3812" s="82"/>
      <c r="R3812" s="82"/>
      <c r="S3812" s="82"/>
      <c r="T3812" s="82"/>
      <c r="U3812" s="82"/>
      <c r="V3812" s="82"/>
      <c r="W3812" s="82"/>
      <c r="X3812" s="82"/>
      <c r="Y3812" s="82"/>
      <c r="Z3812" s="82"/>
      <c r="AA3812" s="82"/>
      <c r="AB3812" s="82"/>
      <c r="AC3812" s="82"/>
      <c r="AD3812" s="82"/>
      <c r="AE3812" s="82"/>
      <c r="AF3812" s="82"/>
      <c r="AG3812" s="82"/>
      <c r="AH3812" s="82"/>
      <c r="AI3812" s="82"/>
      <c r="AJ3812" s="82"/>
      <c r="AK3812" s="82"/>
      <c r="AL3812" s="82"/>
      <c r="AM3812" s="82"/>
      <c r="AN3812" s="82"/>
      <c r="AO3812" s="82"/>
      <c r="AP3812" s="82"/>
      <c r="AQ3812" s="82"/>
      <c r="AR3812" s="82"/>
      <c r="AS3812" s="82"/>
      <c r="AT3812" s="82"/>
      <c r="AU3812" s="82"/>
      <c r="AV3812" s="82"/>
      <c r="AW3812" s="82" t="str">
        <f t="shared" si="1"/>
        <v/>
      </c>
      <c r="AX3812" s="83" t="str">
        <f t="array" ref="AX3812">IFERROR(DGET('SBV Import'!A:G,"SBV",{"RSC ID","Tier";B3812,A3812}))</f>
        <v/>
      </c>
      <c r="AY3812" s="82" t="str">
        <f t="shared" si="2"/>
        <v/>
      </c>
      <c r="AZ3812" s="82"/>
      <c r="BA3812" s="84" t="s">
        <v>152</v>
      </c>
      <c r="BB3812" s="84" t="str">
        <f>IFERROR(__xludf.DUMMYFUNCTION("iferror(if(A3812="""",,E3812&gt;=FILTER(Constants!$F$2:$F$10,Constants!$A$2:$A$10=A3812)))"),"")</f>
        <v/>
      </c>
    </row>
    <row r="3813">
      <c r="A3813" s="89"/>
      <c r="B3813" s="87"/>
      <c r="C3813" s="73"/>
      <c r="D3813" s="73"/>
      <c r="E3813" s="82"/>
      <c r="F3813" s="82"/>
      <c r="G3813" s="86"/>
      <c r="H3813" s="86"/>
      <c r="I3813" s="86"/>
      <c r="J3813" s="82"/>
      <c r="K3813" s="82"/>
      <c r="L3813" s="82"/>
      <c r="M3813" s="82"/>
      <c r="N3813" s="82"/>
      <c r="O3813" s="82"/>
      <c r="P3813" s="82"/>
      <c r="Q3813" s="82"/>
      <c r="R3813" s="82"/>
      <c r="S3813" s="82"/>
      <c r="T3813" s="82"/>
      <c r="U3813" s="82"/>
      <c r="V3813" s="82"/>
      <c r="W3813" s="82"/>
      <c r="X3813" s="82"/>
      <c r="Y3813" s="82"/>
      <c r="Z3813" s="82"/>
      <c r="AA3813" s="82"/>
      <c r="AB3813" s="82"/>
      <c r="AC3813" s="82"/>
      <c r="AD3813" s="82"/>
      <c r="AE3813" s="82"/>
      <c r="AF3813" s="82"/>
      <c r="AG3813" s="82"/>
      <c r="AH3813" s="82"/>
      <c r="AI3813" s="82"/>
      <c r="AJ3813" s="82"/>
      <c r="AK3813" s="82"/>
      <c r="AL3813" s="82"/>
      <c r="AM3813" s="82"/>
      <c r="AN3813" s="82"/>
      <c r="AO3813" s="82"/>
      <c r="AP3813" s="82"/>
      <c r="AQ3813" s="82"/>
      <c r="AR3813" s="82"/>
      <c r="AS3813" s="82"/>
      <c r="AT3813" s="82"/>
      <c r="AU3813" s="82"/>
      <c r="AV3813" s="82"/>
      <c r="AW3813" s="82" t="str">
        <f t="shared" si="1"/>
        <v/>
      </c>
      <c r="AX3813" s="83" t="str">
        <f t="array" ref="AX3813">IFERROR(DGET('SBV Import'!A:G,"SBV",{"RSC ID","Tier";B3813,A3813}))</f>
        <v/>
      </c>
      <c r="AY3813" s="82" t="str">
        <f t="shared" si="2"/>
        <v/>
      </c>
      <c r="AZ3813" s="82"/>
      <c r="BA3813" s="84" t="s">
        <v>152</v>
      </c>
      <c r="BB3813" s="84" t="str">
        <f>IFERROR(__xludf.DUMMYFUNCTION("iferror(if(A3813="""",,E3813&gt;=FILTER(Constants!$F$2:$F$10,Constants!$A$2:$A$10=A3813)))"),"")</f>
        <v/>
      </c>
    </row>
    <row r="3814">
      <c r="A3814" s="89"/>
      <c r="B3814" s="87"/>
      <c r="C3814" s="73"/>
      <c r="D3814" s="73"/>
      <c r="E3814" s="82"/>
      <c r="F3814" s="82"/>
      <c r="G3814" s="86"/>
      <c r="H3814" s="86"/>
      <c r="I3814" s="86"/>
      <c r="J3814" s="82"/>
      <c r="K3814" s="82"/>
      <c r="L3814" s="82"/>
      <c r="M3814" s="82"/>
      <c r="N3814" s="82"/>
      <c r="O3814" s="82"/>
      <c r="P3814" s="82"/>
      <c r="Q3814" s="82"/>
      <c r="R3814" s="82"/>
      <c r="S3814" s="82"/>
      <c r="T3814" s="82"/>
      <c r="U3814" s="82"/>
      <c r="V3814" s="82"/>
      <c r="W3814" s="82"/>
      <c r="X3814" s="82"/>
      <c r="Y3814" s="82"/>
      <c r="Z3814" s="82"/>
      <c r="AA3814" s="82"/>
      <c r="AB3814" s="82"/>
      <c r="AC3814" s="82"/>
      <c r="AD3814" s="82"/>
      <c r="AE3814" s="82"/>
      <c r="AF3814" s="82"/>
      <c r="AG3814" s="82"/>
      <c r="AH3814" s="82"/>
      <c r="AI3814" s="82"/>
      <c r="AJ3814" s="82"/>
      <c r="AK3814" s="82"/>
      <c r="AL3814" s="82"/>
      <c r="AM3814" s="82"/>
      <c r="AN3814" s="82"/>
      <c r="AO3814" s="82"/>
      <c r="AP3814" s="82"/>
      <c r="AQ3814" s="82"/>
      <c r="AR3814" s="82"/>
      <c r="AS3814" s="82"/>
      <c r="AT3814" s="82"/>
      <c r="AU3814" s="82"/>
      <c r="AV3814" s="82"/>
      <c r="AW3814" s="82" t="str">
        <f t="shared" si="1"/>
        <v/>
      </c>
      <c r="AX3814" s="83" t="str">
        <f t="array" ref="AX3814">IFERROR(DGET('SBV Import'!A:G,"SBV",{"RSC ID","Tier";B3814,A3814}))</f>
        <v/>
      </c>
      <c r="AY3814" s="82" t="str">
        <f t="shared" si="2"/>
        <v/>
      </c>
      <c r="AZ3814" s="82"/>
      <c r="BA3814" s="84" t="s">
        <v>152</v>
      </c>
      <c r="BB3814" s="84" t="str">
        <f>IFERROR(__xludf.DUMMYFUNCTION("iferror(if(A3814="""",,E3814&gt;=FILTER(Constants!$F$2:$F$10,Constants!$A$2:$A$10=A3814)))"),"")</f>
        <v/>
      </c>
    </row>
    <row r="3815">
      <c r="A3815" s="89"/>
      <c r="B3815" s="87"/>
      <c r="C3815" s="73"/>
      <c r="D3815" s="73"/>
      <c r="E3815" s="82"/>
      <c r="F3815" s="82"/>
      <c r="G3815" s="86"/>
      <c r="H3815" s="86"/>
      <c r="I3815" s="86"/>
      <c r="J3815" s="82"/>
      <c r="K3815" s="82"/>
      <c r="L3815" s="82"/>
      <c r="M3815" s="82"/>
      <c r="N3815" s="82"/>
      <c r="O3815" s="82"/>
      <c r="P3815" s="82"/>
      <c r="Q3815" s="82"/>
      <c r="R3815" s="82"/>
      <c r="S3815" s="82"/>
      <c r="T3815" s="82"/>
      <c r="U3815" s="82"/>
      <c r="V3815" s="82"/>
      <c r="W3815" s="82"/>
      <c r="X3815" s="82"/>
      <c r="Y3815" s="82"/>
      <c r="Z3815" s="82"/>
      <c r="AA3815" s="82"/>
      <c r="AB3815" s="82"/>
      <c r="AC3815" s="82"/>
      <c r="AD3815" s="82"/>
      <c r="AE3815" s="82"/>
      <c r="AF3815" s="82"/>
      <c r="AG3815" s="82"/>
      <c r="AH3815" s="82"/>
      <c r="AI3815" s="82"/>
      <c r="AJ3815" s="82"/>
      <c r="AK3815" s="82"/>
      <c r="AL3815" s="82"/>
      <c r="AM3815" s="82"/>
      <c r="AN3815" s="82"/>
      <c r="AO3815" s="82"/>
      <c r="AP3815" s="82"/>
      <c r="AQ3815" s="82"/>
      <c r="AR3815" s="82"/>
      <c r="AS3815" s="82"/>
      <c r="AT3815" s="82"/>
      <c r="AU3815" s="82"/>
      <c r="AV3815" s="82"/>
      <c r="AW3815" s="82" t="str">
        <f t="shared" si="1"/>
        <v/>
      </c>
      <c r="AX3815" s="83" t="str">
        <f t="array" ref="AX3815">IFERROR(DGET('SBV Import'!A:G,"SBV",{"RSC ID","Tier";B3815,A3815}))</f>
        <v/>
      </c>
      <c r="AY3815" s="82" t="str">
        <f t="shared" si="2"/>
        <v/>
      </c>
      <c r="AZ3815" s="82"/>
      <c r="BA3815" s="84" t="s">
        <v>152</v>
      </c>
      <c r="BB3815" s="84" t="str">
        <f>IFERROR(__xludf.DUMMYFUNCTION("iferror(if(A3815="""",,E3815&gt;=FILTER(Constants!$F$2:$F$10,Constants!$A$2:$A$10=A3815)))"),"")</f>
        <v/>
      </c>
    </row>
    <row r="3816">
      <c r="A3816" s="89"/>
      <c r="B3816" s="87"/>
      <c r="C3816" s="73"/>
      <c r="D3816" s="73"/>
      <c r="E3816" s="82"/>
      <c r="F3816" s="82"/>
      <c r="G3816" s="86"/>
      <c r="H3816" s="86"/>
      <c r="I3816" s="86"/>
      <c r="J3816" s="82"/>
      <c r="K3816" s="82"/>
      <c r="L3816" s="82"/>
      <c r="M3816" s="82"/>
      <c r="N3816" s="82"/>
      <c r="O3816" s="82"/>
      <c r="P3816" s="82"/>
      <c r="Q3816" s="82"/>
      <c r="R3816" s="82"/>
      <c r="S3816" s="82"/>
      <c r="T3816" s="82"/>
      <c r="U3816" s="82"/>
      <c r="V3816" s="82"/>
      <c r="W3816" s="82"/>
      <c r="X3816" s="82"/>
      <c r="Y3816" s="82"/>
      <c r="Z3816" s="82"/>
      <c r="AA3816" s="82"/>
      <c r="AB3816" s="82"/>
      <c r="AC3816" s="82"/>
      <c r="AD3816" s="82"/>
      <c r="AE3816" s="82"/>
      <c r="AF3816" s="82"/>
      <c r="AG3816" s="82"/>
      <c r="AH3816" s="82"/>
      <c r="AI3816" s="82"/>
      <c r="AJ3816" s="82"/>
      <c r="AK3816" s="82"/>
      <c r="AL3816" s="82"/>
      <c r="AM3816" s="82"/>
      <c r="AN3816" s="82"/>
      <c r="AO3816" s="82"/>
      <c r="AP3816" s="82"/>
      <c r="AQ3816" s="82"/>
      <c r="AR3816" s="82"/>
      <c r="AS3816" s="82"/>
      <c r="AT3816" s="82"/>
      <c r="AU3816" s="82"/>
      <c r="AV3816" s="82"/>
      <c r="AW3816" s="82" t="str">
        <f t="shared" si="1"/>
        <v/>
      </c>
      <c r="AX3816" s="83" t="str">
        <f t="array" ref="AX3816">IFERROR(DGET('SBV Import'!A:G,"SBV",{"RSC ID","Tier";B3816,A3816}))</f>
        <v/>
      </c>
      <c r="AY3816" s="82" t="str">
        <f t="shared" si="2"/>
        <v/>
      </c>
      <c r="AZ3816" s="82"/>
      <c r="BA3816" s="84" t="s">
        <v>152</v>
      </c>
      <c r="BB3816" s="84" t="str">
        <f>IFERROR(__xludf.DUMMYFUNCTION("iferror(if(A3816="""",,E3816&gt;=FILTER(Constants!$F$2:$F$10,Constants!$A$2:$A$10=A3816)))"),"")</f>
        <v/>
      </c>
    </row>
    <row r="3817">
      <c r="A3817" s="89"/>
      <c r="B3817" s="87"/>
      <c r="C3817" s="73"/>
      <c r="D3817" s="73"/>
      <c r="E3817" s="82"/>
      <c r="F3817" s="82"/>
      <c r="G3817" s="86"/>
      <c r="H3817" s="86"/>
      <c r="I3817" s="86"/>
      <c r="J3817" s="82"/>
      <c r="K3817" s="82"/>
      <c r="L3817" s="82"/>
      <c r="M3817" s="82"/>
      <c r="N3817" s="82"/>
      <c r="O3817" s="82"/>
      <c r="P3817" s="82"/>
      <c r="Q3817" s="82"/>
      <c r="R3817" s="82"/>
      <c r="S3817" s="82"/>
      <c r="T3817" s="82"/>
      <c r="U3817" s="82"/>
      <c r="V3817" s="82"/>
      <c r="W3817" s="82"/>
      <c r="X3817" s="82"/>
      <c r="Y3817" s="82"/>
      <c r="Z3817" s="82"/>
      <c r="AA3817" s="82"/>
      <c r="AB3817" s="82"/>
      <c r="AC3817" s="82"/>
      <c r="AD3817" s="82"/>
      <c r="AE3817" s="82"/>
      <c r="AF3817" s="82"/>
      <c r="AG3817" s="82"/>
      <c r="AH3817" s="82"/>
      <c r="AI3817" s="82"/>
      <c r="AJ3817" s="82"/>
      <c r="AK3817" s="82"/>
      <c r="AL3817" s="82"/>
      <c r="AM3817" s="82"/>
      <c r="AN3817" s="82"/>
      <c r="AO3817" s="82"/>
      <c r="AP3817" s="82"/>
      <c r="AQ3817" s="82"/>
      <c r="AR3817" s="82"/>
      <c r="AS3817" s="82"/>
      <c r="AT3817" s="82"/>
      <c r="AU3817" s="82"/>
      <c r="AV3817" s="82"/>
      <c r="AW3817" s="82" t="str">
        <f t="shared" si="1"/>
        <v/>
      </c>
      <c r="AX3817" s="83" t="str">
        <f t="array" ref="AX3817">IFERROR(DGET('SBV Import'!A:G,"SBV",{"RSC ID","Tier";B3817,A3817}))</f>
        <v/>
      </c>
      <c r="AY3817" s="82" t="str">
        <f t="shared" si="2"/>
        <v/>
      </c>
      <c r="AZ3817" s="82"/>
      <c r="BA3817" s="84" t="s">
        <v>152</v>
      </c>
      <c r="BB3817" s="84" t="str">
        <f>IFERROR(__xludf.DUMMYFUNCTION("iferror(if(A3817="""",,E3817&gt;=FILTER(Constants!$F$2:$F$10,Constants!$A$2:$A$10=A3817)))"),"")</f>
        <v/>
      </c>
    </row>
    <row r="3818">
      <c r="A3818" s="89"/>
      <c r="B3818" s="87"/>
      <c r="C3818" s="73"/>
      <c r="D3818" s="73"/>
      <c r="E3818" s="82"/>
      <c r="F3818" s="82"/>
      <c r="G3818" s="86"/>
      <c r="H3818" s="86"/>
      <c r="I3818" s="86"/>
      <c r="J3818" s="82"/>
      <c r="K3818" s="82"/>
      <c r="L3818" s="82"/>
      <c r="M3818" s="82"/>
      <c r="N3818" s="82"/>
      <c r="O3818" s="82"/>
      <c r="P3818" s="82"/>
      <c r="Q3818" s="82"/>
      <c r="R3818" s="82"/>
      <c r="S3818" s="82"/>
      <c r="T3818" s="82"/>
      <c r="U3818" s="82"/>
      <c r="V3818" s="82"/>
      <c r="W3818" s="82"/>
      <c r="X3818" s="82"/>
      <c r="Y3818" s="82"/>
      <c r="Z3818" s="82"/>
      <c r="AA3818" s="82"/>
      <c r="AB3818" s="82"/>
      <c r="AC3818" s="82"/>
      <c r="AD3818" s="82"/>
      <c r="AE3818" s="82"/>
      <c r="AF3818" s="82"/>
      <c r="AG3818" s="82"/>
      <c r="AH3818" s="82"/>
      <c r="AI3818" s="82"/>
      <c r="AJ3818" s="82"/>
      <c r="AK3818" s="82"/>
      <c r="AL3818" s="82"/>
      <c r="AM3818" s="82"/>
      <c r="AN3818" s="82"/>
      <c r="AO3818" s="82"/>
      <c r="AP3818" s="82"/>
      <c r="AQ3818" s="82"/>
      <c r="AR3818" s="82"/>
      <c r="AS3818" s="82"/>
      <c r="AT3818" s="82"/>
      <c r="AU3818" s="82"/>
      <c r="AV3818" s="82"/>
      <c r="AW3818" s="82" t="str">
        <f t="shared" si="1"/>
        <v/>
      </c>
      <c r="AX3818" s="83" t="str">
        <f t="array" ref="AX3818">IFERROR(DGET('SBV Import'!A:G,"SBV",{"RSC ID","Tier";B3818,A3818}))</f>
        <v/>
      </c>
      <c r="AY3818" s="82" t="str">
        <f t="shared" si="2"/>
        <v/>
      </c>
      <c r="AZ3818" s="82"/>
      <c r="BA3818" s="84" t="s">
        <v>152</v>
      </c>
      <c r="BB3818" s="84" t="str">
        <f>IFERROR(__xludf.DUMMYFUNCTION("iferror(if(A3818="""",,E3818&gt;=FILTER(Constants!$F$2:$F$10,Constants!$A$2:$A$10=A3818)))"),"")</f>
        <v/>
      </c>
    </row>
    <row r="3819">
      <c r="A3819" s="89"/>
      <c r="B3819" s="87"/>
      <c r="C3819" s="73"/>
      <c r="D3819" s="73"/>
      <c r="E3819" s="82"/>
      <c r="F3819" s="82"/>
      <c r="G3819" s="86"/>
      <c r="H3819" s="86"/>
      <c r="I3819" s="86"/>
      <c r="J3819" s="82"/>
      <c r="K3819" s="82"/>
      <c r="L3819" s="82"/>
      <c r="M3819" s="82"/>
      <c r="N3819" s="82"/>
      <c r="O3819" s="82"/>
      <c r="P3819" s="82"/>
      <c r="Q3819" s="82"/>
      <c r="R3819" s="82"/>
      <c r="S3819" s="82"/>
      <c r="T3819" s="82"/>
      <c r="U3819" s="82"/>
      <c r="V3819" s="82"/>
      <c r="W3819" s="82"/>
      <c r="X3819" s="82"/>
      <c r="Y3819" s="82"/>
      <c r="Z3819" s="82"/>
      <c r="AA3819" s="82"/>
      <c r="AB3819" s="82"/>
      <c r="AC3819" s="82"/>
      <c r="AD3819" s="82"/>
      <c r="AE3819" s="82"/>
      <c r="AF3819" s="82"/>
      <c r="AG3819" s="82"/>
      <c r="AH3819" s="82"/>
      <c r="AI3819" s="82"/>
      <c r="AJ3819" s="82"/>
      <c r="AK3819" s="82"/>
      <c r="AL3819" s="82"/>
      <c r="AM3819" s="82"/>
      <c r="AN3819" s="82"/>
      <c r="AO3819" s="82"/>
      <c r="AP3819" s="82"/>
      <c r="AQ3819" s="82"/>
      <c r="AR3819" s="82"/>
      <c r="AS3819" s="82"/>
      <c r="AT3819" s="82"/>
      <c r="AU3819" s="82"/>
      <c r="AV3819" s="82"/>
      <c r="AW3819" s="82" t="str">
        <f t="shared" si="1"/>
        <v/>
      </c>
      <c r="AX3819" s="83" t="str">
        <f t="array" ref="AX3819">IFERROR(DGET('SBV Import'!A:G,"SBV",{"RSC ID","Tier";B3819,A3819}))</f>
        <v/>
      </c>
      <c r="AY3819" s="82" t="str">
        <f t="shared" si="2"/>
        <v/>
      </c>
      <c r="AZ3819" s="82"/>
      <c r="BA3819" s="84" t="s">
        <v>152</v>
      </c>
      <c r="BB3819" s="84" t="str">
        <f>IFERROR(__xludf.DUMMYFUNCTION("iferror(if(A3819="""",,E3819&gt;=FILTER(Constants!$F$2:$F$10,Constants!$A$2:$A$10=A3819)))"),"")</f>
        <v/>
      </c>
    </row>
    <row r="3820">
      <c r="A3820" s="89"/>
      <c r="B3820" s="87"/>
      <c r="C3820" s="73"/>
      <c r="D3820" s="73"/>
      <c r="E3820" s="82"/>
      <c r="F3820" s="82"/>
      <c r="G3820" s="86"/>
      <c r="H3820" s="86"/>
      <c r="I3820" s="86"/>
      <c r="J3820" s="82"/>
      <c r="K3820" s="82"/>
      <c r="L3820" s="82"/>
      <c r="M3820" s="82"/>
      <c r="N3820" s="82"/>
      <c r="O3820" s="82"/>
      <c r="P3820" s="82"/>
      <c r="Q3820" s="82"/>
      <c r="R3820" s="82"/>
      <c r="S3820" s="82"/>
      <c r="T3820" s="82"/>
      <c r="U3820" s="82"/>
      <c r="V3820" s="82"/>
      <c r="W3820" s="82"/>
      <c r="X3820" s="82"/>
      <c r="Y3820" s="82"/>
      <c r="Z3820" s="82"/>
      <c r="AA3820" s="82"/>
      <c r="AB3820" s="82"/>
      <c r="AC3820" s="82"/>
      <c r="AD3820" s="82"/>
      <c r="AE3820" s="82"/>
      <c r="AF3820" s="82"/>
      <c r="AG3820" s="82"/>
      <c r="AH3820" s="82"/>
      <c r="AI3820" s="82"/>
      <c r="AJ3820" s="82"/>
      <c r="AK3820" s="82"/>
      <c r="AL3820" s="82"/>
      <c r="AM3820" s="82"/>
      <c r="AN3820" s="82"/>
      <c r="AO3820" s="82"/>
      <c r="AP3820" s="82"/>
      <c r="AQ3820" s="82"/>
      <c r="AR3820" s="82"/>
      <c r="AS3820" s="82"/>
      <c r="AT3820" s="82"/>
      <c r="AU3820" s="82"/>
      <c r="AV3820" s="82"/>
      <c r="AW3820" s="82" t="str">
        <f t="shared" si="1"/>
        <v/>
      </c>
      <c r="AX3820" s="83" t="str">
        <f t="array" ref="AX3820">IFERROR(DGET('SBV Import'!A:G,"SBV",{"RSC ID","Tier";B3820,A3820}))</f>
        <v/>
      </c>
      <c r="AY3820" s="82" t="str">
        <f t="shared" si="2"/>
        <v/>
      </c>
      <c r="AZ3820" s="82"/>
      <c r="BA3820" s="84" t="s">
        <v>152</v>
      </c>
      <c r="BB3820" s="84" t="str">
        <f>IFERROR(__xludf.DUMMYFUNCTION("iferror(if(A3820="""",,E3820&gt;=FILTER(Constants!$F$2:$F$10,Constants!$A$2:$A$10=A3820)))"),"")</f>
        <v/>
      </c>
    </row>
    <row r="3821">
      <c r="A3821" s="89"/>
      <c r="B3821" s="87"/>
      <c r="C3821" s="73"/>
      <c r="D3821" s="73"/>
      <c r="E3821" s="82"/>
      <c r="F3821" s="82"/>
      <c r="G3821" s="86"/>
      <c r="H3821" s="86"/>
      <c r="I3821" s="86"/>
      <c r="J3821" s="82"/>
      <c r="K3821" s="82"/>
      <c r="L3821" s="82"/>
      <c r="M3821" s="82"/>
      <c r="N3821" s="82"/>
      <c r="O3821" s="82"/>
      <c r="P3821" s="82"/>
      <c r="Q3821" s="82"/>
      <c r="R3821" s="82"/>
      <c r="S3821" s="82"/>
      <c r="T3821" s="82"/>
      <c r="U3821" s="82"/>
      <c r="V3821" s="82"/>
      <c r="W3821" s="82"/>
      <c r="X3821" s="82"/>
      <c r="Y3821" s="82"/>
      <c r="Z3821" s="82"/>
      <c r="AA3821" s="82"/>
      <c r="AB3821" s="82"/>
      <c r="AC3821" s="82"/>
      <c r="AD3821" s="82"/>
      <c r="AE3821" s="82"/>
      <c r="AF3821" s="82"/>
      <c r="AG3821" s="82"/>
      <c r="AH3821" s="82"/>
      <c r="AI3821" s="82"/>
      <c r="AJ3821" s="82"/>
      <c r="AK3821" s="82"/>
      <c r="AL3821" s="82"/>
      <c r="AM3821" s="82"/>
      <c r="AN3821" s="82"/>
      <c r="AO3821" s="82"/>
      <c r="AP3821" s="82"/>
      <c r="AQ3821" s="82"/>
      <c r="AR3821" s="82"/>
      <c r="AS3821" s="82"/>
      <c r="AT3821" s="82"/>
      <c r="AU3821" s="82"/>
      <c r="AV3821" s="82"/>
      <c r="AW3821" s="82" t="str">
        <f t="shared" si="1"/>
        <v/>
      </c>
      <c r="AX3821" s="83" t="str">
        <f t="array" ref="AX3821">IFERROR(DGET('SBV Import'!A:G,"SBV",{"RSC ID","Tier";B3821,A3821}))</f>
        <v/>
      </c>
      <c r="AY3821" s="82" t="str">
        <f t="shared" si="2"/>
        <v/>
      </c>
      <c r="AZ3821" s="82"/>
      <c r="BA3821" s="84" t="s">
        <v>152</v>
      </c>
      <c r="BB3821" s="84" t="str">
        <f>IFERROR(__xludf.DUMMYFUNCTION("iferror(if(A3821="""",,E3821&gt;=FILTER(Constants!$F$2:$F$10,Constants!$A$2:$A$10=A3821)))"),"")</f>
        <v/>
      </c>
    </row>
    <row r="3822">
      <c r="A3822" s="89"/>
      <c r="B3822" s="87"/>
      <c r="C3822" s="73"/>
      <c r="D3822" s="73"/>
      <c r="E3822" s="82"/>
      <c r="F3822" s="82"/>
      <c r="G3822" s="86"/>
      <c r="H3822" s="86"/>
      <c r="I3822" s="86"/>
      <c r="J3822" s="82"/>
      <c r="K3822" s="82"/>
      <c r="L3822" s="82"/>
      <c r="M3822" s="82"/>
      <c r="N3822" s="82"/>
      <c r="O3822" s="82"/>
      <c r="P3822" s="82"/>
      <c r="Q3822" s="82"/>
      <c r="R3822" s="82"/>
      <c r="S3822" s="82"/>
      <c r="T3822" s="82"/>
      <c r="U3822" s="82"/>
      <c r="V3822" s="82"/>
      <c r="W3822" s="82"/>
      <c r="X3822" s="82"/>
      <c r="Y3822" s="82"/>
      <c r="Z3822" s="82"/>
      <c r="AA3822" s="82"/>
      <c r="AB3822" s="82"/>
      <c r="AC3822" s="82"/>
      <c r="AD3822" s="82"/>
      <c r="AE3822" s="82"/>
      <c r="AF3822" s="82"/>
      <c r="AG3822" s="82"/>
      <c r="AH3822" s="82"/>
      <c r="AI3822" s="82"/>
      <c r="AJ3822" s="82"/>
      <c r="AK3822" s="82"/>
      <c r="AL3822" s="82"/>
      <c r="AM3822" s="82"/>
      <c r="AN3822" s="82"/>
      <c r="AO3822" s="82"/>
      <c r="AP3822" s="82"/>
      <c r="AQ3822" s="82"/>
      <c r="AR3822" s="82"/>
      <c r="AS3822" s="82"/>
      <c r="AT3822" s="82"/>
      <c r="AU3822" s="82"/>
      <c r="AV3822" s="82"/>
      <c r="AW3822" s="82" t="str">
        <f t="shared" si="1"/>
        <v/>
      </c>
      <c r="AX3822" s="83" t="str">
        <f t="array" ref="AX3822">IFERROR(DGET('SBV Import'!A:G,"SBV",{"RSC ID","Tier";B3822,A3822}))</f>
        <v/>
      </c>
      <c r="AY3822" s="82" t="str">
        <f t="shared" si="2"/>
        <v/>
      </c>
      <c r="AZ3822" s="82"/>
      <c r="BA3822" s="84" t="s">
        <v>152</v>
      </c>
      <c r="BB3822" s="84" t="str">
        <f>IFERROR(__xludf.DUMMYFUNCTION("iferror(if(A3822="""",,E3822&gt;=FILTER(Constants!$F$2:$F$10,Constants!$A$2:$A$10=A3822)))"),"")</f>
        <v/>
      </c>
    </row>
    <row r="3823">
      <c r="A3823" s="89"/>
      <c r="B3823" s="87"/>
      <c r="C3823" s="73"/>
      <c r="D3823" s="73"/>
      <c r="E3823" s="82"/>
      <c r="F3823" s="82"/>
      <c r="G3823" s="86"/>
      <c r="H3823" s="86"/>
      <c r="I3823" s="86"/>
      <c r="J3823" s="82"/>
      <c r="K3823" s="82"/>
      <c r="L3823" s="82"/>
      <c r="M3823" s="82"/>
      <c r="N3823" s="82"/>
      <c r="O3823" s="82"/>
      <c r="P3823" s="82"/>
      <c r="Q3823" s="82"/>
      <c r="R3823" s="82"/>
      <c r="S3823" s="82"/>
      <c r="T3823" s="82"/>
      <c r="U3823" s="82"/>
      <c r="V3823" s="82"/>
      <c r="W3823" s="82"/>
      <c r="X3823" s="82"/>
      <c r="Y3823" s="82"/>
      <c r="Z3823" s="82"/>
      <c r="AA3823" s="82"/>
      <c r="AB3823" s="82"/>
      <c r="AC3823" s="82"/>
      <c r="AD3823" s="82"/>
      <c r="AE3823" s="82"/>
      <c r="AF3823" s="82"/>
      <c r="AG3823" s="82"/>
      <c r="AH3823" s="82"/>
      <c r="AI3823" s="82"/>
      <c r="AJ3823" s="82"/>
      <c r="AK3823" s="82"/>
      <c r="AL3823" s="82"/>
      <c r="AM3823" s="82"/>
      <c r="AN3823" s="82"/>
      <c r="AO3823" s="82"/>
      <c r="AP3823" s="82"/>
      <c r="AQ3823" s="82"/>
      <c r="AR3823" s="82"/>
      <c r="AS3823" s="82"/>
      <c r="AT3823" s="82"/>
      <c r="AU3823" s="82"/>
      <c r="AV3823" s="82"/>
      <c r="AW3823" s="82" t="str">
        <f t="shared" si="1"/>
        <v/>
      </c>
      <c r="AX3823" s="83" t="str">
        <f t="array" ref="AX3823">IFERROR(DGET('SBV Import'!A:G,"SBV",{"RSC ID","Tier";B3823,A3823}))</f>
        <v/>
      </c>
      <c r="AY3823" s="82" t="str">
        <f t="shared" si="2"/>
        <v/>
      </c>
      <c r="AZ3823" s="82"/>
      <c r="BA3823" s="84" t="s">
        <v>152</v>
      </c>
      <c r="BB3823" s="84" t="str">
        <f>IFERROR(__xludf.DUMMYFUNCTION("iferror(if(A3823="""",,E3823&gt;=FILTER(Constants!$F$2:$F$10,Constants!$A$2:$A$10=A3823)))"),"")</f>
        <v/>
      </c>
    </row>
    <row r="3824">
      <c r="A3824" s="89"/>
      <c r="B3824" s="87"/>
      <c r="C3824" s="73"/>
      <c r="D3824" s="73"/>
      <c r="E3824" s="82"/>
      <c r="F3824" s="82"/>
      <c r="G3824" s="86"/>
      <c r="H3824" s="86"/>
      <c r="I3824" s="86"/>
      <c r="J3824" s="82"/>
      <c r="K3824" s="82"/>
      <c r="L3824" s="82"/>
      <c r="M3824" s="82"/>
      <c r="N3824" s="82"/>
      <c r="O3824" s="82"/>
      <c r="P3824" s="82"/>
      <c r="Q3824" s="82"/>
      <c r="R3824" s="82"/>
      <c r="S3824" s="82"/>
      <c r="T3824" s="82"/>
      <c r="U3824" s="82"/>
      <c r="V3824" s="82"/>
      <c r="W3824" s="82"/>
      <c r="X3824" s="82"/>
      <c r="Y3824" s="82"/>
      <c r="Z3824" s="82"/>
      <c r="AA3824" s="82"/>
      <c r="AB3824" s="82"/>
      <c r="AC3824" s="82"/>
      <c r="AD3824" s="82"/>
      <c r="AE3824" s="82"/>
      <c r="AF3824" s="82"/>
      <c r="AG3824" s="82"/>
      <c r="AH3824" s="82"/>
      <c r="AI3824" s="82"/>
      <c r="AJ3824" s="82"/>
      <c r="AK3824" s="82"/>
      <c r="AL3824" s="82"/>
      <c r="AM3824" s="82"/>
      <c r="AN3824" s="82"/>
      <c r="AO3824" s="82"/>
      <c r="AP3824" s="82"/>
      <c r="AQ3824" s="82"/>
      <c r="AR3824" s="82"/>
      <c r="AS3824" s="82"/>
      <c r="AT3824" s="82"/>
      <c r="AU3824" s="82"/>
      <c r="AV3824" s="82"/>
      <c r="AW3824" s="82" t="str">
        <f t="shared" si="1"/>
        <v/>
      </c>
      <c r="AX3824" s="83" t="str">
        <f t="array" ref="AX3824">IFERROR(DGET('SBV Import'!A:G,"SBV",{"RSC ID","Tier";B3824,A3824}))</f>
        <v/>
      </c>
      <c r="AY3824" s="82" t="str">
        <f t="shared" si="2"/>
        <v/>
      </c>
      <c r="AZ3824" s="82"/>
      <c r="BA3824" s="84" t="s">
        <v>152</v>
      </c>
      <c r="BB3824" s="84" t="str">
        <f>IFERROR(__xludf.DUMMYFUNCTION("iferror(if(A3824="""",,E3824&gt;=FILTER(Constants!$F$2:$F$10,Constants!$A$2:$A$10=A3824)))"),"")</f>
        <v/>
      </c>
    </row>
    <row r="3825">
      <c r="A3825" s="89"/>
      <c r="B3825" s="87"/>
      <c r="C3825" s="73"/>
      <c r="D3825" s="73"/>
      <c r="E3825" s="82"/>
      <c r="F3825" s="82"/>
      <c r="G3825" s="86"/>
      <c r="H3825" s="86"/>
      <c r="I3825" s="86"/>
      <c r="J3825" s="82"/>
      <c r="K3825" s="82"/>
      <c r="L3825" s="82"/>
      <c r="M3825" s="82"/>
      <c r="N3825" s="82"/>
      <c r="O3825" s="82"/>
      <c r="P3825" s="82"/>
      <c r="Q3825" s="82"/>
      <c r="R3825" s="82"/>
      <c r="S3825" s="82"/>
      <c r="T3825" s="82"/>
      <c r="U3825" s="82"/>
      <c r="V3825" s="82"/>
      <c r="W3825" s="82"/>
      <c r="X3825" s="82"/>
      <c r="Y3825" s="82"/>
      <c r="Z3825" s="82"/>
      <c r="AA3825" s="82"/>
      <c r="AB3825" s="82"/>
      <c r="AC3825" s="82"/>
      <c r="AD3825" s="82"/>
      <c r="AE3825" s="82"/>
      <c r="AF3825" s="82"/>
      <c r="AG3825" s="82"/>
      <c r="AH3825" s="82"/>
      <c r="AI3825" s="82"/>
      <c r="AJ3825" s="82"/>
      <c r="AK3825" s="82"/>
      <c r="AL3825" s="82"/>
      <c r="AM3825" s="82"/>
      <c r="AN3825" s="82"/>
      <c r="AO3825" s="82"/>
      <c r="AP3825" s="82"/>
      <c r="AQ3825" s="82"/>
      <c r="AR3825" s="82"/>
      <c r="AS3825" s="82"/>
      <c r="AT3825" s="82"/>
      <c r="AU3825" s="82"/>
      <c r="AV3825" s="82"/>
      <c r="AW3825" s="82" t="str">
        <f t="shared" si="1"/>
        <v/>
      </c>
      <c r="AX3825" s="83" t="str">
        <f t="array" ref="AX3825">IFERROR(DGET('SBV Import'!A:G,"SBV",{"RSC ID","Tier";B3825,A3825}))</f>
        <v/>
      </c>
      <c r="AY3825" s="82" t="str">
        <f t="shared" si="2"/>
        <v/>
      </c>
      <c r="AZ3825" s="82"/>
      <c r="BA3825" s="84" t="s">
        <v>152</v>
      </c>
      <c r="BB3825" s="84" t="str">
        <f>IFERROR(__xludf.DUMMYFUNCTION("iferror(if(A3825="""",,E3825&gt;=FILTER(Constants!$F$2:$F$10,Constants!$A$2:$A$10=A3825)))"),"")</f>
        <v/>
      </c>
    </row>
    <row r="3826">
      <c r="A3826" s="89"/>
      <c r="B3826" s="87"/>
      <c r="C3826" s="73"/>
      <c r="D3826" s="73"/>
      <c r="E3826" s="82"/>
      <c r="F3826" s="82"/>
      <c r="G3826" s="86"/>
      <c r="H3826" s="86"/>
      <c r="I3826" s="86"/>
      <c r="J3826" s="82"/>
      <c r="K3826" s="82"/>
      <c r="L3826" s="82"/>
      <c r="M3826" s="82"/>
      <c r="N3826" s="82"/>
      <c r="O3826" s="82"/>
      <c r="P3826" s="82"/>
      <c r="Q3826" s="82"/>
      <c r="R3826" s="82"/>
      <c r="S3826" s="82"/>
      <c r="T3826" s="82"/>
      <c r="U3826" s="82"/>
      <c r="V3826" s="82"/>
      <c r="W3826" s="82"/>
      <c r="X3826" s="82"/>
      <c r="Y3826" s="82"/>
      <c r="Z3826" s="82"/>
      <c r="AA3826" s="82"/>
      <c r="AB3826" s="82"/>
      <c r="AC3826" s="82"/>
      <c r="AD3826" s="82"/>
      <c r="AE3826" s="82"/>
      <c r="AF3826" s="82"/>
      <c r="AG3826" s="82"/>
      <c r="AH3826" s="82"/>
      <c r="AI3826" s="82"/>
      <c r="AJ3826" s="82"/>
      <c r="AK3826" s="82"/>
      <c r="AL3826" s="82"/>
      <c r="AM3826" s="82"/>
      <c r="AN3826" s="82"/>
      <c r="AO3826" s="82"/>
      <c r="AP3826" s="82"/>
      <c r="AQ3826" s="82"/>
      <c r="AR3826" s="82"/>
      <c r="AS3826" s="82"/>
      <c r="AT3826" s="82"/>
      <c r="AU3826" s="82"/>
      <c r="AV3826" s="82"/>
      <c r="AW3826" s="82" t="str">
        <f t="shared" si="1"/>
        <v/>
      </c>
      <c r="AX3826" s="83" t="str">
        <f t="array" ref="AX3826">IFERROR(DGET('SBV Import'!A:G,"SBV",{"RSC ID","Tier";B3826,A3826}))</f>
        <v/>
      </c>
      <c r="AY3826" s="82" t="str">
        <f t="shared" si="2"/>
        <v/>
      </c>
      <c r="AZ3826" s="82"/>
      <c r="BA3826" s="84" t="s">
        <v>152</v>
      </c>
      <c r="BB3826" s="84" t="str">
        <f>IFERROR(__xludf.DUMMYFUNCTION("iferror(if(A3826="""",,E3826&gt;=FILTER(Constants!$F$2:$F$10,Constants!$A$2:$A$10=A3826)))"),"")</f>
        <v/>
      </c>
    </row>
    <row r="3827">
      <c r="A3827" s="89"/>
      <c r="B3827" s="87"/>
      <c r="C3827" s="73"/>
      <c r="D3827" s="73"/>
      <c r="E3827" s="82"/>
      <c r="F3827" s="82"/>
      <c r="G3827" s="86"/>
      <c r="H3827" s="86"/>
      <c r="I3827" s="86"/>
      <c r="J3827" s="82"/>
      <c r="K3827" s="82"/>
      <c r="L3827" s="82"/>
      <c r="M3827" s="82"/>
      <c r="N3827" s="82"/>
      <c r="O3827" s="82"/>
      <c r="P3827" s="82"/>
      <c r="Q3827" s="82"/>
      <c r="R3827" s="82"/>
      <c r="S3827" s="82"/>
      <c r="T3827" s="82"/>
      <c r="U3827" s="82"/>
      <c r="V3827" s="82"/>
      <c r="W3827" s="82"/>
      <c r="X3827" s="82"/>
      <c r="Y3827" s="82"/>
      <c r="Z3827" s="82"/>
      <c r="AA3827" s="82"/>
      <c r="AB3827" s="82"/>
      <c r="AC3827" s="82"/>
      <c r="AD3827" s="82"/>
      <c r="AE3827" s="82"/>
      <c r="AF3827" s="82"/>
      <c r="AG3827" s="82"/>
      <c r="AH3827" s="82"/>
      <c r="AI3827" s="82"/>
      <c r="AJ3827" s="82"/>
      <c r="AK3827" s="82"/>
      <c r="AL3827" s="82"/>
      <c r="AM3827" s="82"/>
      <c r="AN3827" s="82"/>
      <c r="AO3827" s="82"/>
      <c r="AP3827" s="82"/>
      <c r="AQ3827" s="82"/>
      <c r="AR3827" s="82"/>
      <c r="AS3827" s="82"/>
      <c r="AT3827" s="82"/>
      <c r="AU3827" s="82"/>
      <c r="AV3827" s="82"/>
      <c r="AW3827" s="82" t="str">
        <f t="shared" si="1"/>
        <v/>
      </c>
      <c r="AX3827" s="83" t="str">
        <f t="array" ref="AX3827">IFERROR(DGET('SBV Import'!A:G,"SBV",{"RSC ID","Tier";B3827,A3827}))</f>
        <v/>
      </c>
      <c r="AY3827" s="82" t="str">
        <f t="shared" si="2"/>
        <v/>
      </c>
      <c r="AZ3827" s="82"/>
      <c r="BA3827" s="84" t="s">
        <v>152</v>
      </c>
      <c r="BB3827" s="84" t="str">
        <f>IFERROR(__xludf.DUMMYFUNCTION("iferror(if(A3827="""",,E3827&gt;=FILTER(Constants!$F$2:$F$10,Constants!$A$2:$A$10=A3827)))"),"")</f>
        <v/>
      </c>
    </row>
    <row r="3828">
      <c r="A3828" s="89"/>
      <c r="B3828" s="87"/>
      <c r="C3828" s="73"/>
      <c r="D3828" s="73"/>
      <c r="E3828" s="82"/>
      <c r="F3828" s="82"/>
      <c r="G3828" s="86"/>
      <c r="H3828" s="86"/>
      <c r="I3828" s="86"/>
      <c r="J3828" s="82"/>
      <c r="K3828" s="82"/>
      <c r="L3828" s="82"/>
      <c r="M3828" s="82"/>
      <c r="N3828" s="82"/>
      <c r="O3828" s="82"/>
      <c r="P3828" s="82"/>
      <c r="Q3828" s="82"/>
      <c r="R3828" s="82"/>
      <c r="S3828" s="82"/>
      <c r="T3828" s="82"/>
      <c r="U3828" s="82"/>
      <c r="V3828" s="82"/>
      <c r="W3828" s="82"/>
      <c r="X3828" s="82"/>
      <c r="Y3828" s="82"/>
      <c r="Z3828" s="82"/>
      <c r="AA3828" s="82"/>
      <c r="AB3828" s="82"/>
      <c r="AC3828" s="82"/>
      <c r="AD3828" s="82"/>
      <c r="AE3828" s="82"/>
      <c r="AF3828" s="82"/>
      <c r="AG3828" s="82"/>
      <c r="AH3828" s="82"/>
      <c r="AI3828" s="82"/>
      <c r="AJ3828" s="82"/>
      <c r="AK3828" s="82"/>
      <c r="AL3828" s="82"/>
      <c r="AM3828" s="82"/>
      <c r="AN3828" s="82"/>
      <c r="AO3828" s="82"/>
      <c r="AP3828" s="82"/>
      <c r="AQ3828" s="82"/>
      <c r="AR3828" s="82"/>
      <c r="AS3828" s="82"/>
      <c r="AT3828" s="82"/>
      <c r="AU3828" s="82"/>
      <c r="AV3828" s="82"/>
      <c r="AW3828" s="82" t="str">
        <f t="shared" si="1"/>
        <v/>
      </c>
      <c r="AX3828" s="83" t="str">
        <f t="array" ref="AX3828">IFERROR(DGET('SBV Import'!A:G,"SBV",{"RSC ID","Tier";B3828,A3828}))</f>
        <v/>
      </c>
      <c r="AY3828" s="82" t="str">
        <f t="shared" si="2"/>
        <v/>
      </c>
      <c r="AZ3828" s="82"/>
      <c r="BA3828" s="84" t="s">
        <v>152</v>
      </c>
      <c r="BB3828" s="84" t="str">
        <f>IFERROR(__xludf.DUMMYFUNCTION("iferror(if(A3828="""",,E3828&gt;=FILTER(Constants!$F$2:$F$10,Constants!$A$2:$A$10=A3828)))"),"")</f>
        <v/>
      </c>
    </row>
    <row r="3829">
      <c r="A3829" s="89"/>
      <c r="B3829" s="87"/>
      <c r="C3829" s="73"/>
      <c r="D3829" s="73"/>
      <c r="E3829" s="82"/>
      <c r="F3829" s="82"/>
      <c r="G3829" s="86"/>
      <c r="H3829" s="86"/>
      <c r="I3829" s="86"/>
      <c r="J3829" s="82"/>
      <c r="K3829" s="82"/>
      <c r="L3829" s="82"/>
      <c r="M3829" s="82"/>
      <c r="N3829" s="82"/>
      <c r="O3829" s="82"/>
      <c r="P3829" s="82"/>
      <c r="Q3829" s="82"/>
      <c r="R3829" s="82"/>
      <c r="S3829" s="82"/>
      <c r="T3829" s="82"/>
      <c r="U3829" s="82"/>
      <c r="V3829" s="82"/>
      <c r="W3829" s="82"/>
      <c r="X3829" s="82"/>
      <c r="Y3829" s="82"/>
      <c r="Z3829" s="82"/>
      <c r="AA3829" s="82"/>
      <c r="AB3829" s="82"/>
      <c r="AC3829" s="82"/>
      <c r="AD3829" s="82"/>
      <c r="AE3829" s="82"/>
      <c r="AF3829" s="82"/>
      <c r="AG3829" s="82"/>
      <c r="AH3829" s="82"/>
      <c r="AI3829" s="82"/>
      <c r="AJ3829" s="82"/>
      <c r="AK3829" s="82"/>
      <c r="AL3829" s="82"/>
      <c r="AM3829" s="82"/>
      <c r="AN3829" s="82"/>
      <c r="AO3829" s="82"/>
      <c r="AP3829" s="82"/>
      <c r="AQ3829" s="82"/>
      <c r="AR3829" s="82"/>
      <c r="AS3829" s="82"/>
      <c r="AT3829" s="82"/>
      <c r="AU3829" s="82"/>
      <c r="AV3829" s="82"/>
      <c r="AW3829" s="82" t="str">
        <f t="shared" si="1"/>
        <v/>
      </c>
      <c r="AX3829" s="83" t="str">
        <f t="array" ref="AX3829">IFERROR(DGET('SBV Import'!A:G,"SBV",{"RSC ID","Tier";B3829,A3829}))</f>
        <v/>
      </c>
      <c r="AY3829" s="82" t="str">
        <f t="shared" si="2"/>
        <v/>
      </c>
      <c r="AZ3829" s="82"/>
      <c r="BA3829" s="84" t="s">
        <v>152</v>
      </c>
      <c r="BB3829" s="84" t="str">
        <f>IFERROR(__xludf.DUMMYFUNCTION("iferror(if(A3829="""",,E3829&gt;=FILTER(Constants!$F$2:$F$10,Constants!$A$2:$A$10=A3829)))"),"")</f>
        <v/>
      </c>
    </row>
    <row r="3830">
      <c r="A3830" s="89"/>
      <c r="B3830" s="87"/>
      <c r="C3830" s="73"/>
      <c r="D3830" s="73"/>
      <c r="E3830" s="82"/>
      <c r="F3830" s="82"/>
      <c r="G3830" s="86"/>
      <c r="H3830" s="86"/>
      <c r="I3830" s="86"/>
      <c r="J3830" s="82"/>
      <c r="K3830" s="82"/>
      <c r="L3830" s="82"/>
      <c r="M3830" s="82"/>
      <c r="N3830" s="82"/>
      <c r="O3830" s="82"/>
      <c r="P3830" s="82"/>
      <c r="Q3830" s="82"/>
      <c r="R3830" s="82"/>
      <c r="S3830" s="82"/>
      <c r="T3830" s="82"/>
      <c r="U3830" s="82"/>
      <c r="V3830" s="82"/>
      <c r="W3830" s="82"/>
      <c r="X3830" s="82"/>
      <c r="Y3830" s="82"/>
      <c r="Z3830" s="82"/>
      <c r="AA3830" s="82"/>
      <c r="AB3830" s="82"/>
      <c r="AC3830" s="82"/>
      <c r="AD3830" s="82"/>
      <c r="AE3830" s="82"/>
      <c r="AF3830" s="82"/>
      <c r="AG3830" s="82"/>
      <c r="AH3830" s="82"/>
      <c r="AI3830" s="82"/>
      <c r="AJ3830" s="82"/>
      <c r="AK3830" s="82"/>
      <c r="AL3830" s="82"/>
      <c r="AM3830" s="82"/>
      <c r="AN3830" s="82"/>
      <c r="AO3830" s="82"/>
      <c r="AP3830" s="82"/>
      <c r="AQ3830" s="82"/>
      <c r="AR3830" s="82"/>
      <c r="AS3830" s="82"/>
      <c r="AT3830" s="82"/>
      <c r="AU3830" s="82"/>
      <c r="AV3830" s="82"/>
      <c r="AW3830" s="82" t="str">
        <f t="shared" si="1"/>
        <v/>
      </c>
      <c r="AX3830" s="83" t="str">
        <f t="array" ref="AX3830">IFERROR(DGET('SBV Import'!A:G,"SBV",{"RSC ID","Tier";B3830,A3830}))</f>
        <v/>
      </c>
      <c r="AY3830" s="82" t="str">
        <f t="shared" si="2"/>
        <v/>
      </c>
      <c r="AZ3830" s="82"/>
      <c r="BA3830" s="84" t="s">
        <v>152</v>
      </c>
      <c r="BB3830" s="84" t="str">
        <f>IFERROR(__xludf.DUMMYFUNCTION("iferror(if(A3830="""",,E3830&gt;=FILTER(Constants!$F$2:$F$10,Constants!$A$2:$A$10=A3830)))"),"")</f>
        <v/>
      </c>
    </row>
    <row r="3831">
      <c r="A3831" s="89"/>
      <c r="B3831" s="87"/>
      <c r="C3831" s="73"/>
      <c r="D3831" s="73"/>
      <c r="E3831" s="82"/>
      <c r="F3831" s="82"/>
      <c r="G3831" s="86"/>
      <c r="H3831" s="86"/>
      <c r="I3831" s="86"/>
      <c r="J3831" s="82"/>
      <c r="K3831" s="82"/>
      <c r="L3831" s="82"/>
      <c r="M3831" s="82"/>
      <c r="N3831" s="82"/>
      <c r="O3831" s="82"/>
      <c r="P3831" s="82"/>
      <c r="Q3831" s="82"/>
      <c r="R3831" s="82"/>
      <c r="S3831" s="82"/>
      <c r="T3831" s="82"/>
      <c r="U3831" s="82"/>
      <c r="V3831" s="82"/>
      <c r="W3831" s="82"/>
      <c r="X3831" s="82"/>
      <c r="Y3831" s="82"/>
      <c r="Z3831" s="82"/>
      <c r="AA3831" s="82"/>
      <c r="AB3831" s="82"/>
      <c r="AC3831" s="82"/>
      <c r="AD3831" s="82"/>
      <c r="AE3831" s="82"/>
      <c r="AF3831" s="82"/>
      <c r="AG3831" s="82"/>
      <c r="AH3831" s="82"/>
      <c r="AI3831" s="82"/>
      <c r="AJ3831" s="82"/>
      <c r="AK3831" s="82"/>
      <c r="AL3831" s="82"/>
      <c r="AM3831" s="82"/>
      <c r="AN3831" s="82"/>
      <c r="AO3831" s="82"/>
      <c r="AP3831" s="82"/>
      <c r="AQ3831" s="82"/>
      <c r="AR3831" s="82"/>
      <c r="AS3831" s="82"/>
      <c r="AT3831" s="82"/>
      <c r="AU3831" s="82"/>
      <c r="AV3831" s="82"/>
      <c r="AW3831" s="82" t="str">
        <f t="shared" si="1"/>
        <v/>
      </c>
      <c r="AX3831" s="83" t="str">
        <f t="array" ref="AX3831">IFERROR(DGET('SBV Import'!A:G,"SBV",{"RSC ID","Tier";B3831,A3831}))</f>
        <v/>
      </c>
      <c r="AY3831" s="82" t="str">
        <f t="shared" si="2"/>
        <v/>
      </c>
      <c r="AZ3831" s="82"/>
      <c r="BA3831" s="84" t="s">
        <v>152</v>
      </c>
      <c r="BB3831" s="84" t="str">
        <f>IFERROR(__xludf.DUMMYFUNCTION("iferror(if(A3831="""",,E3831&gt;=FILTER(Constants!$F$2:$F$10,Constants!$A$2:$A$10=A3831)))"),"")</f>
        <v/>
      </c>
    </row>
    <row r="3832">
      <c r="A3832" s="89"/>
      <c r="B3832" s="87"/>
      <c r="C3832" s="73"/>
      <c r="D3832" s="73"/>
      <c r="E3832" s="82"/>
      <c r="F3832" s="82"/>
      <c r="G3832" s="86"/>
      <c r="H3832" s="86"/>
      <c r="I3832" s="86"/>
      <c r="J3832" s="82"/>
      <c r="K3832" s="82"/>
      <c r="L3832" s="82"/>
      <c r="M3832" s="82"/>
      <c r="N3832" s="82"/>
      <c r="O3832" s="82"/>
      <c r="P3832" s="82"/>
      <c r="Q3832" s="82"/>
      <c r="R3832" s="82"/>
      <c r="S3832" s="82"/>
      <c r="T3832" s="82"/>
      <c r="U3832" s="82"/>
      <c r="V3832" s="82"/>
      <c r="W3832" s="82"/>
      <c r="X3832" s="82"/>
      <c r="Y3832" s="82"/>
      <c r="Z3832" s="82"/>
      <c r="AA3832" s="82"/>
      <c r="AB3832" s="82"/>
      <c r="AC3832" s="82"/>
      <c r="AD3832" s="82"/>
      <c r="AE3832" s="82"/>
      <c r="AF3832" s="82"/>
      <c r="AG3832" s="82"/>
      <c r="AH3832" s="82"/>
      <c r="AI3832" s="82"/>
      <c r="AJ3832" s="82"/>
      <c r="AK3832" s="82"/>
      <c r="AL3832" s="82"/>
      <c r="AM3832" s="82"/>
      <c r="AN3832" s="82"/>
      <c r="AO3832" s="82"/>
      <c r="AP3832" s="82"/>
      <c r="AQ3832" s="82"/>
      <c r="AR3832" s="82"/>
      <c r="AS3832" s="82"/>
      <c r="AT3832" s="82"/>
      <c r="AU3832" s="82"/>
      <c r="AV3832" s="82"/>
      <c r="AW3832" s="82" t="str">
        <f t="shared" si="1"/>
        <v/>
      </c>
      <c r="AX3832" s="83" t="str">
        <f t="array" ref="AX3832">IFERROR(DGET('SBV Import'!A:G,"SBV",{"RSC ID","Tier";B3832,A3832}))</f>
        <v/>
      </c>
      <c r="AY3832" s="82" t="str">
        <f t="shared" si="2"/>
        <v/>
      </c>
      <c r="AZ3832" s="82"/>
      <c r="BA3832" s="84" t="s">
        <v>152</v>
      </c>
      <c r="BB3832" s="84" t="str">
        <f>IFERROR(__xludf.DUMMYFUNCTION("iferror(if(A3832="""",,E3832&gt;=FILTER(Constants!$F$2:$F$10,Constants!$A$2:$A$10=A3832)))"),"")</f>
        <v/>
      </c>
    </row>
    <row r="3833">
      <c r="A3833" s="89"/>
      <c r="B3833" s="87"/>
      <c r="C3833" s="73"/>
      <c r="D3833" s="73"/>
      <c r="E3833" s="82"/>
      <c r="F3833" s="82"/>
      <c r="G3833" s="86"/>
      <c r="H3833" s="86"/>
      <c r="I3833" s="86"/>
      <c r="J3833" s="82"/>
      <c r="K3833" s="82"/>
      <c r="L3833" s="82"/>
      <c r="M3833" s="82"/>
      <c r="N3833" s="82"/>
      <c r="O3833" s="82"/>
      <c r="P3833" s="82"/>
      <c r="Q3833" s="82"/>
      <c r="R3833" s="82"/>
      <c r="S3833" s="82"/>
      <c r="T3833" s="82"/>
      <c r="U3833" s="82"/>
      <c r="V3833" s="82"/>
      <c r="W3833" s="82"/>
      <c r="X3833" s="82"/>
      <c r="Y3833" s="82"/>
      <c r="Z3833" s="82"/>
      <c r="AA3833" s="82"/>
      <c r="AB3833" s="82"/>
      <c r="AC3833" s="82"/>
      <c r="AD3833" s="82"/>
      <c r="AE3833" s="82"/>
      <c r="AF3833" s="82"/>
      <c r="AG3833" s="82"/>
      <c r="AH3833" s="82"/>
      <c r="AI3833" s="82"/>
      <c r="AJ3833" s="82"/>
      <c r="AK3833" s="82"/>
      <c r="AL3833" s="82"/>
      <c r="AM3833" s="82"/>
      <c r="AN3833" s="82"/>
      <c r="AO3833" s="82"/>
      <c r="AP3833" s="82"/>
      <c r="AQ3833" s="82"/>
      <c r="AR3833" s="82"/>
      <c r="AS3833" s="82"/>
      <c r="AT3833" s="82"/>
      <c r="AU3833" s="82"/>
      <c r="AV3833" s="82"/>
      <c r="AW3833" s="82" t="str">
        <f t="shared" si="1"/>
        <v/>
      </c>
      <c r="AX3833" s="83" t="str">
        <f t="array" ref="AX3833">IFERROR(DGET('SBV Import'!A:G,"SBV",{"RSC ID","Tier";B3833,A3833}))</f>
        <v/>
      </c>
      <c r="AY3833" s="82" t="str">
        <f t="shared" si="2"/>
        <v/>
      </c>
      <c r="AZ3833" s="82"/>
      <c r="BA3833" s="84" t="s">
        <v>152</v>
      </c>
      <c r="BB3833" s="84" t="str">
        <f>IFERROR(__xludf.DUMMYFUNCTION("iferror(if(A3833="""",,E3833&gt;=FILTER(Constants!$F$2:$F$10,Constants!$A$2:$A$10=A3833)))"),"")</f>
        <v/>
      </c>
    </row>
    <row r="3834">
      <c r="A3834" s="89"/>
      <c r="B3834" s="87"/>
      <c r="C3834" s="73"/>
      <c r="D3834" s="73"/>
      <c r="E3834" s="82"/>
      <c r="F3834" s="82"/>
      <c r="G3834" s="86"/>
      <c r="H3834" s="86"/>
      <c r="I3834" s="86"/>
      <c r="J3834" s="82"/>
      <c r="K3834" s="82"/>
      <c r="L3834" s="82"/>
      <c r="M3834" s="82"/>
      <c r="N3834" s="82"/>
      <c r="O3834" s="82"/>
      <c r="P3834" s="82"/>
      <c r="Q3834" s="82"/>
      <c r="R3834" s="82"/>
      <c r="S3834" s="82"/>
      <c r="T3834" s="82"/>
      <c r="U3834" s="82"/>
      <c r="V3834" s="82"/>
      <c r="W3834" s="82"/>
      <c r="X3834" s="82"/>
      <c r="Y3834" s="82"/>
      <c r="Z3834" s="82"/>
      <c r="AA3834" s="82"/>
      <c r="AB3834" s="82"/>
      <c r="AC3834" s="82"/>
      <c r="AD3834" s="82"/>
      <c r="AE3834" s="82"/>
      <c r="AF3834" s="82"/>
      <c r="AG3834" s="82"/>
      <c r="AH3834" s="82"/>
      <c r="AI3834" s="82"/>
      <c r="AJ3834" s="82"/>
      <c r="AK3834" s="82"/>
      <c r="AL3834" s="82"/>
      <c r="AM3834" s="82"/>
      <c r="AN3834" s="82"/>
      <c r="AO3834" s="82"/>
      <c r="AP3834" s="82"/>
      <c r="AQ3834" s="82"/>
      <c r="AR3834" s="82"/>
      <c r="AS3834" s="82"/>
      <c r="AT3834" s="82"/>
      <c r="AU3834" s="82"/>
      <c r="AV3834" s="82"/>
      <c r="AW3834" s="82" t="str">
        <f t="shared" si="1"/>
        <v/>
      </c>
      <c r="AX3834" s="83" t="str">
        <f t="array" ref="AX3834">IFERROR(DGET('SBV Import'!A:G,"SBV",{"RSC ID","Tier";B3834,A3834}))</f>
        <v/>
      </c>
      <c r="AY3834" s="82" t="str">
        <f t="shared" si="2"/>
        <v/>
      </c>
      <c r="AZ3834" s="82"/>
      <c r="BA3834" s="84" t="s">
        <v>152</v>
      </c>
      <c r="BB3834" s="84" t="str">
        <f>IFERROR(__xludf.DUMMYFUNCTION("iferror(if(A3834="""",,E3834&gt;=FILTER(Constants!$F$2:$F$10,Constants!$A$2:$A$10=A3834)))"),"")</f>
        <v/>
      </c>
    </row>
    <row r="3835">
      <c r="A3835" s="89"/>
      <c r="B3835" s="87"/>
      <c r="C3835" s="73"/>
      <c r="D3835" s="73"/>
      <c r="E3835" s="82"/>
      <c r="F3835" s="82"/>
      <c r="G3835" s="86"/>
      <c r="H3835" s="86"/>
      <c r="I3835" s="86"/>
      <c r="J3835" s="82"/>
      <c r="K3835" s="82"/>
      <c r="L3835" s="82"/>
      <c r="M3835" s="82"/>
      <c r="N3835" s="82"/>
      <c r="O3835" s="82"/>
      <c r="P3835" s="82"/>
      <c r="Q3835" s="82"/>
      <c r="R3835" s="82"/>
      <c r="S3835" s="82"/>
      <c r="T3835" s="82"/>
      <c r="U3835" s="82"/>
      <c r="V3835" s="82"/>
      <c r="W3835" s="82"/>
      <c r="X3835" s="82"/>
      <c r="Y3835" s="82"/>
      <c r="Z3835" s="82"/>
      <c r="AA3835" s="82"/>
      <c r="AB3835" s="82"/>
      <c r="AC3835" s="82"/>
      <c r="AD3835" s="82"/>
      <c r="AE3835" s="82"/>
      <c r="AF3835" s="82"/>
      <c r="AG3835" s="82"/>
      <c r="AH3835" s="82"/>
      <c r="AI3835" s="82"/>
      <c r="AJ3835" s="82"/>
      <c r="AK3835" s="82"/>
      <c r="AL3835" s="82"/>
      <c r="AM3835" s="82"/>
      <c r="AN3835" s="82"/>
      <c r="AO3835" s="82"/>
      <c r="AP3835" s="82"/>
      <c r="AQ3835" s="82"/>
      <c r="AR3835" s="82"/>
      <c r="AS3835" s="82"/>
      <c r="AT3835" s="82"/>
      <c r="AU3835" s="82"/>
      <c r="AV3835" s="82"/>
      <c r="AW3835" s="82" t="str">
        <f t="shared" si="1"/>
        <v/>
      </c>
      <c r="AX3835" s="83" t="str">
        <f t="array" ref="AX3835">IFERROR(DGET('SBV Import'!A:G,"SBV",{"RSC ID","Tier";B3835,A3835}))</f>
        <v/>
      </c>
      <c r="AY3835" s="82" t="str">
        <f t="shared" si="2"/>
        <v/>
      </c>
      <c r="AZ3835" s="82"/>
      <c r="BA3835" s="84" t="s">
        <v>152</v>
      </c>
      <c r="BB3835" s="84" t="str">
        <f>IFERROR(__xludf.DUMMYFUNCTION("iferror(if(A3835="""",,E3835&gt;=FILTER(Constants!$F$2:$F$10,Constants!$A$2:$A$10=A3835)))"),"")</f>
        <v/>
      </c>
    </row>
    <row r="3836">
      <c r="A3836" s="89"/>
      <c r="B3836" s="87"/>
      <c r="C3836" s="73"/>
      <c r="D3836" s="73"/>
      <c r="E3836" s="82"/>
      <c r="F3836" s="82"/>
      <c r="G3836" s="86"/>
      <c r="H3836" s="86"/>
      <c r="I3836" s="86"/>
      <c r="J3836" s="82"/>
      <c r="K3836" s="82"/>
      <c r="L3836" s="82"/>
      <c r="M3836" s="82"/>
      <c r="N3836" s="82"/>
      <c r="O3836" s="82"/>
      <c r="P3836" s="82"/>
      <c r="Q3836" s="82"/>
      <c r="R3836" s="82"/>
      <c r="S3836" s="82"/>
      <c r="T3836" s="82"/>
      <c r="U3836" s="82"/>
      <c r="V3836" s="82"/>
      <c r="W3836" s="82"/>
      <c r="X3836" s="82"/>
      <c r="Y3836" s="82"/>
      <c r="Z3836" s="82"/>
      <c r="AA3836" s="82"/>
      <c r="AB3836" s="82"/>
      <c r="AC3836" s="82"/>
      <c r="AD3836" s="82"/>
      <c r="AE3836" s="82"/>
      <c r="AF3836" s="82"/>
      <c r="AG3836" s="82"/>
      <c r="AH3836" s="82"/>
      <c r="AI3836" s="82"/>
      <c r="AJ3836" s="82"/>
      <c r="AK3836" s="82"/>
      <c r="AL3836" s="82"/>
      <c r="AM3836" s="82"/>
      <c r="AN3836" s="82"/>
      <c r="AO3836" s="82"/>
      <c r="AP3836" s="82"/>
      <c r="AQ3836" s="82"/>
      <c r="AR3836" s="82"/>
      <c r="AS3836" s="82"/>
      <c r="AT3836" s="82"/>
      <c r="AU3836" s="82"/>
      <c r="AV3836" s="82"/>
      <c r="AW3836" s="82" t="str">
        <f t="shared" si="1"/>
        <v/>
      </c>
      <c r="AX3836" s="83" t="str">
        <f t="array" ref="AX3836">IFERROR(DGET('SBV Import'!A:G,"SBV",{"RSC ID","Tier";B3836,A3836}))</f>
        <v/>
      </c>
      <c r="AY3836" s="82" t="str">
        <f t="shared" si="2"/>
        <v/>
      </c>
      <c r="AZ3836" s="82"/>
      <c r="BA3836" s="84" t="s">
        <v>152</v>
      </c>
      <c r="BB3836" s="84" t="str">
        <f>IFERROR(__xludf.DUMMYFUNCTION("iferror(if(A3836="""",,E3836&gt;=FILTER(Constants!$F$2:$F$10,Constants!$A$2:$A$10=A3836)))"),"")</f>
        <v/>
      </c>
    </row>
    <row r="3837">
      <c r="A3837" s="89"/>
      <c r="B3837" s="87"/>
      <c r="C3837" s="73"/>
      <c r="D3837" s="73"/>
      <c r="E3837" s="82"/>
      <c r="F3837" s="82"/>
      <c r="G3837" s="86"/>
      <c r="H3837" s="86"/>
      <c r="I3837" s="86"/>
      <c r="J3837" s="82"/>
      <c r="K3837" s="82"/>
      <c r="L3837" s="82"/>
      <c r="M3837" s="82"/>
      <c r="N3837" s="82"/>
      <c r="O3837" s="82"/>
      <c r="P3837" s="82"/>
      <c r="Q3837" s="82"/>
      <c r="R3837" s="82"/>
      <c r="S3837" s="82"/>
      <c r="T3837" s="82"/>
      <c r="U3837" s="82"/>
      <c r="V3837" s="82"/>
      <c r="W3837" s="82"/>
      <c r="X3837" s="82"/>
      <c r="Y3837" s="82"/>
      <c r="Z3837" s="82"/>
      <c r="AA3837" s="82"/>
      <c r="AB3837" s="82"/>
      <c r="AC3837" s="82"/>
      <c r="AD3837" s="82"/>
      <c r="AE3837" s="82"/>
      <c r="AF3837" s="82"/>
      <c r="AG3837" s="82"/>
      <c r="AH3837" s="82"/>
      <c r="AI3837" s="82"/>
      <c r="AJ3837" s="82"/>
      <c r="AK3837" s="82"/>
      <c r="AL3837" s="82"/>
      <c r="AM3837" s="82"/>
      <c r="AN3837" s="82"/>
      <c r="AO3837" s="82"/>
      <c r="AP3837" s="82"/>
      <c r="AQ3837" s="82"/>
      <c r="AR3837" s="82"/>
      <c r="AS3837" s="82"/>
      <c r="AT3837" s="82"/>
      <c r="AU3837" s="82"/>
      <c r="AV3837" s="82"/>
      <c r="AW3837" s="82" t="str">
        <f t="shared" si="1"/>
        <v/>
      </c>
      <c r="AX3837" s="83" t="str">
        <f t="array" ref="AX3837">IFERROR(DGET('SBV Import'!A:G,"SBV",{"RSC ID","Tier";B3837,A3837}))</f>
        <v/>
      </c>
      <c r="AY3837" s="82" t="str">
        <f t="shared" si="2"/>
        <v/>
      </c>
      <c r="AZ3837" s="82"/>
      <c r="BA3837" s="84" t="s">
        <v>152</v>
      </c>
      <c r="BB3837" s="84" t="str">
        <f>IFERROR(__xludf.DUMMYFUNCTION("iferror(if(A3837="""",,E3837&gt;=FILTER(Constants!$F$2:$F$10,Constants!$A$2:$A$10=A3837)))"),"")</f>
        <v/>
      </c>
    </row>
    <row r="3838">
      <c r="A3838" s="89"/>
      <c r="B3838" s="87"/>
      <c r="C3838" s="73"/>
      <c r="D3838" s="73"/>
      <c r="E3838" s="82"/>
      <c r="F3838" s="82"/>
      <c r="G3838" s="86"/>
      <c r="H3838" s="86"/>
      <c r="I3838" s="86"/>
      <c r="J3838" s="82"/>
      <c r="K3838" s="82"/>
      <c r="L3838" s="82"/>
      <c r="M3838" s="82"/>
      <c r="N3838" s="82"/>
      <c r="O3838" s="82"/>
      <c r="P3838" s="82"/>
      <c r="Q3838" s="82"/>
      <c r="R3838" s="82"/>
      <c r="S3838" s="82"/>
      <c r="T3838" s="82"/>
      <c r="U3838" s="82"/>
      <c r="V3838" s="82"/>
      <c r="W3838" s="82"/>
      <c r="X3838" s="82"/>
      <c r="Y3838" s="82"/>
      <c r="Z3838" s="82"/>
      <c r="AA3838" s="82"/>
      <c r="AB3838" s="82"/>
      <c r="AC3838" s="82"/>
      <c r="AD3838" s="82"/>
      <c r="AE3838" s="82"/>
      <c r="AF3838" s="82"/>
      <c r="AG3838" s="82"/>
      <c r="AH3838" s="82"/>
      <c r="AI3838" s="82"/>
      <c r="AJ3838" s="82"/>
      <c r="AK3838" s="82"/>
      <c r="AL3838" s="82"/>
      <c r="AM3838" s="82"/>
      <c r="AN3838" s="82"/>
      <c r="AO3838" s="82"/>
      <c r="AP3838" s="82"/>
      <c r="AQ3838" s="82"/>
      <c r="AR3838" s="82"/>
      <c r="AS3838" s="82"/>
      <c r="AT3838" s="82"/>
      <c r="AU3838" s="82"/>
      <c r="AV3838" s="82"/>
      <c r="AW3838" s="82" t="str">
        <f t="shared" si="1"/>
        <v/>
      </c>
      <c r="AX3838" s="83" t="str">
        <f t="array" ref="AX3838">IFERROR(DGET('SBV Import'!A:G,"SBV",{"RSC ID","Tier";B3838,A3838}))</f>
        <v/>
      </c>
      <c r="AY3838" s="82" t="str">
        <f t="shared" si="2"/>
        <v/>
      </c>
      <c r="AZ3838" s="82"/>
      <c r="BA3838" s="84" t="s">
        <v>152</v>
      </c>
      <c r="BB3838" s="84" t="str">
        <f>IFERROR(__xludf.DUMMYFUNCTION("iferror(if(A3838="""",,E3838&gt;=FILTER(Constants!$F$2:$F$10,Constants!$A$2:$A$10=A3838)))"),"")</f>
        <v/>
      </c>
    </row>
    <row r="3839">
      <c r="A3839" s="89"/>
      <c r="B3839" s="87"/>
      <c r="C3839" s="73"/>
      <c r="D3839" s="73"/>
      <c r="E3839" s="82"/>
      <c r="F3839" s="82"/>
      <c r="G3839" s="86"/>
      <c r="H3839" s="86"/>
      <c r="I3839" s="86"/>
      <c r="J3839" s="82"/>
      <c r="K3839" s="82"/>
      <c r="L3839" s="82"/>
      <c r="M3839" s="82"/>
      <c r="N3839" s="82"/>
      <c r="O3839" s="82"/>
      <c r="P3839" s="82"/>
      <c r="Q3839" s="82"/>
      <c r="R3839" s="82"/>
      <c r="S3839" s="82"/>
      <c r="T3839" s="82"/>
      <c r="U3839" s="82"/>
      <c r="V3839" s="82"/>
      <c r="W3839" s="82"/>
      <c r="X3839" s="82"/>
      <c r="Y3839" s="82"/>
      <c r="Z3839" s="82"/>
      <c r="AA3839" s="82"/>
      <c r="AB3839" s="82"/>
      <c r="AC3839" s="82"/>
      <c r="AD3839" s="82"/>
      <c r="AE3839" s="82"/>
      <c r="AF3839" s="82"/>
      <c r="AG3839" s="82"/>
      <c r="AH3839" s="82"/>
      <c r="AI3839" s="82"/>
      <c r="AJ3839" s="82"/>
      <c r="AK3839" s="82"/>
      <c r="AL3839" s="82"/>
      <c r="AM3839" s="82"/>
      <c r="AN3839" s="82"/>
      <c r="AO3839" s="82"/>
      <c r="AP3839" s="82"/>
      <c r="AQ3839" s="82"/>
      <c r="AR3839" s="82"/>
      <c r="AS3839" s="82"/>
      <c r="AT3839" s="82"/>
      <c r="AU3839" s="82"/>
      <c r="AV3839" s="82"/>
      <c r="AW3839" s="82" t="str">
        <f t="shared" si="1"/>
        <v/>
      </c>
      <c r="AX3839" s="83" t="str">
        <f t="array" ref="AX3839">IFERROR(DGET('SBV Import'!A:G,"SBV",{"RSC ID","Tier";B3839,A3839}))</f>
        <v/>
      </c>
      <c r="AY3839" s="82" t="str">
        <f t="shared" si="2"/>
        <v/>
      </c>
      <c r="AZ3839" s="82"/>
      <c r="BA3839" s="84" t="s">
        <v>152</v>
      </c>
      <c r="BB3839" s="84" t="str">
        <f>IFERROR(__xludf.DUMMYFUNCTION("iferror(if(A3839="""",,E3839&gt;=FILTER(Constants!$F$2:$F$10,Constants!$A$2:$A$10=A3839)))"),"")</f>
        <v/>
      </c>
    </row>
    <row r="3840">
      <c r="A3840" s="89"/>
      <c r="B3840" s="87"/>
      <c r="C3840" s="73"/>
      <c r="D3840" s="73"/>
      <c r="E3840" s="82"/>
      <c r="F3840" s="82"/>
      <c r="G3840" s="86"/>
      <c r="H3840" s="86"/>
      <c r="I3840" s="86"/>
      <c r="J3840" s="82"/>
      <c r="K3840" s="82"/>
      <c r="L3840" s="82"/>
      <c r="M3840" s="82"/>
      <c r="N3840" s="82"/>
      <c r="O3840" s="82"/>
      <c r="P3840" s="82"/>
      <c r="Q3840" s="82"/>
      <c r="R3840" s="82"/>
      <c r="S3840" s="82"/>
      <c r="T3840" s="82"/>
      <c r="U3840" s="82"/>
      <c r="V3840" s="82"/>
      <c r="W3840" s="82"/>
      <c r="X3840" s="82"/>
      <c r="Y3840" s="82"/>
      <c r="Z3840" s="82"/>
      <c r="AA3840" s="82"/>
      <c r="AB3840" s="82"/>
      <c r="AC3840" s="82"/>
      <c r="AD3840" s="82"/>
      <c r="AE3840" s="82"/>
      <c r="AF3840" s="82"/>
      <c r="AG3840" s="82"/>
      <c r="AH3840" s="82"/>
      <c r="AI3840" s="82"/>
      <c r="AJ3840" s="82"/>
      <c r="AK3840" s="82"/>
      <c r="AL3840" s="82"/>
      <c r="AM3840" s="82"/>
      <c r="AN3840" s="82"/>
      <c r="AO3840" s="82"/>
      <c r="AP3840" s="82"/>
      <c r="AQ3840" s="82"/>
      <c r="AR3840" s="82"/>
      <c r="AS3840" s="82"/>
      <c r="AT3840" s="82"/>
      <c r="AU3840" s="82"/>
      <c r="AV3840" s="82"/>
      <c r="AW3840" s="82" t="str">
        <f t="shared" si="1"/>
        <v/>
      </c>
      <c r="AX3840" s="83" t="str">
        <f t="array" ref="AX3840">IFERROR(DGET('SBV Import'!A:G,"SBV",{"RSC ID","Tier";B3840,A3840}))</f>
        <v/>
      </c>
      <c r="AY3840" s="82" t="str">
        <f t="shared" si="2"/>
        <v/>
      </c>
      <c r="AZ3840" s="82"/>
      <c r="BA3840" s="84" t="s">
        <v>152</v>
      </c>
      <c r="BB3840" s="84" t="str">
        <f>IFERROR(__xludf.DUMMYFUNCTION("iferror(if(A3840="""",,E3840&gt;=FILTER(Constants!$F$2:$F$10,Constants!$A$2:$A$10=A3840)))"),"")</f>
        <v/>
      </c>
    </row>
    <row r="3841">
      <c r="A3841" s="89"/>
      <c r="B3841" s="87"/>
      <c r="C3841" s="73"/>
      <c r="D3841" s="73"/>
      <c r="E3841" s="82"/>
      <c r="F3841" s="82"/>
      <c r="G3841" s="86"/>
      <c r="H3841" s="86"/>
      <c r="I3841" s="86"/>
      <c r="J3841" s="82"/>
      <c r="K3841" s="82"/>
      <c r="L3841" s="82"/>
      <c r="M3841" s="82"/>
      <c r="N3841" s="82"/>
      <c r="O3841" s="82"/>
      <c r="P3841" s="82"/>
      <c r="Q3841" s="82"/>
      <c r="R3841" s="82"/>
      <c r="S3841" s="82"/>
      <c r="T3841" s="82"/>
      <c r="U3841" s="82"/>
      <c r="V3841" s="82"/>
      <c r="W3841" s="82"/>
      <c r="X3841" s="82"/>
      <c r="Y3841" s="82"/>
      <c r="Z3841" s="82"/>
      <c r="AA3841" s="82"/>
      <c r="AB3841" s="82"/>
      <c r="AC3841" s="82"/>
      <c r="AD3841" s="82"/>
      <c r="AE3841" s="82"/>
      <c r="AF3841" s="82"/>
      <c r="AG3841" s="82"/>
      <c r="AH3841" s="82"/>
      <c r="AI3841" s="82"/>
      <c r="AJ3841" s="82"/>
      <c r="AK3841" s="82"/>
      <c r="AL3841" s="82"/>
      <c r="AM3841" s="82"/>
      <c r="AN3841" s="82"/>
      <c r="AO3841" s="82"/>
      <c r="AP3841" s="82"/>
      <c r="AQ3841" s="82"/>
      <c r="AR3841" s="82"/>
      <c r="AS3841" s="82"/>
      <c r="AT3841" s="82"/>
      <c r="AU3841" s="82"/>
      <c r="AV3841" s="82"/>
      <c r="AW3841" s="82" t="str">
        <f t="shared" si="1"/>
        <v/>
      </c>
      <c r="AX3841" s="83" t="str">
        <f t="array" ref="AX3841">IFERROR(DGET('SBV Import'!A:G,"SBV",{"RSC ID","Tier";B3841,A3841}))</f>
        <v/>
      </c>
      <c r="AY3841" s="82" t="str">
        <f t="shared" si="2"/>
        <v/>
      </c>
      <c r="AZ3841" s="82"/>
      <c r="BA3841" s="84" t="s">
        <v>152</v>
      </c>
      <c r="BB3841" s="84" t="str">
        <f>IFERROR(__xludf.DUMMYFUNCTION("iferror(if(A3841="""",,E3841&gt;=FILTER(Constants!$F$2:$F$10,Constants!$A$2:$A$10=A3841)))"),"")</f>
        <v/>
      </c>
    </row>
    <row r="3842">
      <c r="A3842" s="89"/>
      <c r="B3842" s="87"/>
      <c r="C3842" s="73"/>
      <c r="D3842" s="73"/>
      <c r="E3842" s="82"/>
      <c r="F3842" s="82"/>
      <c r="G3842" s="86"/>
      <c r="H3842" s="86"/>
      <c r="I3842" s="86"/>
      <c r="J3842" s="82"/>
      <c r="K3842" s="82"/>
      <c r="L3842" s="82"/>
      <c r="M3842" s="82"/>
      <c r="N3842" s="82"/>
      <c r="O3842" s="82"/>
      <c r="P3842" s="82"/>
      <c r="Q3842" s="82"/>
      <c r="R3842" s="82"/>
      <c r="S3842" s="82"/>
      <c r="T3842" s="82"/>
      <c r="U3842" s="82"/>
      <c r="V3842" s="82"/>
      <c r="W3842" s="82"/>
      <c r="X3842" s="82"/>
      <c r="Y3842" s="82"/>
      <c r="Z3842" s="82"/>
      <c r="AA3842" s="82"/>
      <c r="AB3842" s="82"/>
      <c r="AC3842" s="82"/>
      <c r="AD3842" s="82"/>
      <c r="AE3842" s="82"/>
      <c r="AF3842" s="82"/>
      <c r="AG3842" s="82"/>
      <c r="AH3842" s="82"/>
      <c r="AI3842" s="82"/>
      <c r="AJ3842" s="82"/>
      <c r="AK3842" s="82"/>
      <c r="AL3842" s="82"/>
      <c r="AM3842" s="82"/>
      <c r="AN3842" s="82"/>
      <c r="AO3842" s="82"/>
      <c r="AP3842" s="82"/>
      <c r="AQ3842" s="82"/>
      <c r="AR3842" s="82"/>
      <c r="AS3842" s="82"/>
      <c r="AT3842" s="82"/>
      <c r="AU3842" s="82"/>
      <c r="AV3842" s="82"/>
      <c r="AW3842" s="82" t="str">
        <f t="shared" si="1"/>
        <v/>
      </c>
      <c r="AX3842" s="83" t="str">
        <f t="array" ref="AX3842">IFERROR(DGET('SBV Import'!A:G,"SBV",{"RSC ID","Tier";B3842,A3842}))</f>
        <v/>
      </c>
      <c r="AY3842" s="82" t="str">
        <f t="shared" si="2"/>
        <v/>
      </c>
      <c r="AZ3842" s="82"/>
      <c r="BA3842" s="84" t="s">
        <v>152</v>
      </c>
      <c r="BB3842" s="84" t="str">
        <f>IFERROR(__xludf.DUMMYFUNCTION("iferror(if(A3842="""",,E3842&gt;=FILTER(Constants!$F$2:$F$10,Constants!$A$2:$A$10=A3842)))"),"")</f>
        <v/>
      </c>
    </row>
    <row r="3843">
      <c r="A3843" s="89"/>
      <c r="B3843" s="87"/>
      <c r="C3843" s="73"/>
      <c r="D3843" s="73"/>
      <c r="E3843" s="82"/>
      <c r="F3843" s="82"/>
      <c r="G3843" s="86"/>
      <c r="H3843" s="86"/>
      <c r="I3843" s="86"/>
      <c r="J3843" s="82"/>
      <c r="K3843" s="82"/>
      <c r="L3843" s="82"/>
      <c r="M3843" s="82"/>
      <c r="N3843" s="82"/>
      <c r="O3843" s="82"/>
      <c r="P3843" s="82"/>
      <c r="Q3843" s="82"/>
      <c r="R3843" s="82"/>
      <c r="S3843" s="82"/>
      <c r="T3843" s="82"/>
      <c r="U3843" s="82"/>
      <c r="V3843" s="82"/>
      <c r="W3843" s="82"/>
      <c r="X3843" s="82"/>
      <c r="Y3843" s="82"/>
      <c r="Z3843" s="82"/>
      <c r="AA3843" s="82"/>
      <c r="AB3843" s="82"/>
      <c r="AC3843" s="82"/>
      <c r="AD3843" s="82"/>
      <c r="AE3843" s="82"/>
      <c r="AF3843" s="82"/>
      <c r="AG3843" s="82"/>
      <c r="AH3843" s="82"/>
      <c r="AI3843" s="82"/>
      <c r="AJ3843" s="82"/>
      <c r="AK3843" s="82"/>
      <c r="AL3843" s="82"/>
      <c r="AM3843" s="82"/>
      <c r="AN3843" s="82"/>
      <c r="AO3843" s="82"/>
      <c r="AP3843" s="82"/>
      <c r="AQ3843" s="82"/>
      <c r="AR3843" s="82"/>
      <c r="AS3843" s="82"/>
      <c r="AT3843" s="82"/>
      <c r="AU3843" s="82"/>
      <c r="AV3843" s="82"/>
      <c r="AW3843" s="82" t="str">
        <f t="shared" si="1"/>
        <v/>
      </c>
      <c r="AX3843" s="83" t="str">
        <f t="array" ref="AX3843">IFERROR(DGET('SBV Import'!A:G,"SBV",{"RSC ID","Tier";B3843,A3843}))</f>
        <v/>
      </c>
      <c r="AY3843" s="82" t="str">
        <f t="shared" si="2"/>
        <v/>
      </c>
      <c r="AZ3843" s="82"/>
      <c r="BA3843" s="84" t="s">
        <v>152</v>
      </c>
      <c r="BB3843" s="84" t="str">
        <f>IFERROR(__xludf.DUMMYFUNCTION("iferror(if(A3843="""",,E3843&gt;=FILTER(Constants!$F$2:$F$10,Constants!$A$2:$A$10=A3843)))"),"")</f>
        <v/>
      </c>
    </row>
    <row r="3844">
      <c r="A3844" s="89"/>
      <c r="B3844" s="87"/>
      <c r="C3844" s="73"/>
      <c r="D3844" s="73"/>
      <c r="E3844" s="82"/>
      <c r="F3844" s="82"/>
      <c r="G3844" s="86"/>
      <c r="H3844" s="86"/>
      <c r="I3844" s="86"/>
      <c r="J3844" s="82"/>
      <c r="K3844" s="82"/>
      <c r="L3844" s="82"/>
      <c r="M3844" s="82"/>
      <c r="N3844" s="82"/>
      <c r="O3844" s="82"/>
      <c r="P3844" s="82"/>
      <c r="Q3844" s="82"/>
      <c r="R3844" s="82"/>
      <c r="S3844" s="82"/>
      <c r="T3844" s="82"/>
      <c r="U3844" s="82"/>
      <c r="V3844" s="82"/>
      <c r="W3844" s="82"/>
      <c r="X3844" s="82"/>
      <c r="Y3844" s="82"/>
      <c r="Z3844" s="82"/>
      <c r="AA3844" s="82"/>
      <c r="AB3844" s="82"/>
      <c r="AC3844" s="82"/>
      <c r="AD3844" s="82"/>
      <c r="AE3844" s="82"/>
      <c r="AF3844" s="82"/>
      <c r="AG3844" s="82"/>
      <c r="AH3844" s="82"/>
      <c r="AI3844" s="82"/>
      <c r="AJ3844" s="82"/>
      <c r="AK3844" s="82"/>
      <c r="AL3844" s="82"/>
      <c r="AM3844" s="82"/>
      <c r="AN3844" s="82"/>
      <c r="AO3844" s="82"/>
      <c r="AP3844" s="82"/>
      <c r="AQ3844" s="82"/>
      <c r="AR3844" s="82"/>
      <c r="AS3844" s="82"/>
      <c r="AT3844" s="82"/>
      <c r="AU3844" s="82"/>
      <c r="AV3844" s="82"/>
      <c r="AW3844" s="82" t="str">
        <f t="shared" si="1"/>
        <v/>
      </c>
      <c r="AX3844" s="83" t="str">
        <f t="array" ref="AX3844">IFERROR(DGET('SBV Import'!A:G,"SBV",{"RSC ID","Tier";B3844,A3844}))</f>
        <v/>
      </c>
      <c r="AY3844" s="82" t="str">
        <f t="shared" si="2"/>
        <v/>
      </c>
      <c r="AZ3844" s="82"/>
      <c r="BA3844" s="84" t="s">
        <v>152</v>
      </c>
      <c r="BB3844" s="84" t="str">
        <f>IFERROR(__xludf.DUMMYFUNCTION("iferror(if(A3844="""",,E3844&gt;=FILTER(Constants!$F$2:$F$10,Constants!$A$2:$A$10=A3844)))"),"")</f>
        <v/>
      </c>
    </row>
    <row r="3845">
      <c r="A3845" s="89"/>
      <c r="B3845" s="87"/>
      <c r="C3845" s="73"/>
      <c r="D3845" s="73"/>
      <c r="E3845" s="82"/>
      <c r="F3845" s="82"/>
      <c r="G3845" s="86"/>
      <c r="H3845" s="86"/>
      <c r="I3845" s="86"/>
      <c r="J3845" s="82"/>
      <c r="K3845" s="82"/>
      <c r="L3845" s="82"/>
      <c r="M3845" s="82"/>
      <c r="N3845" s="82"/>
      <c r="O3845" s="82"/>
      <c r="P3845" s="82"/>
      <c r="Q3845" s="82"/>
      <c r="R3845" s="82"/>
      <c r="S3845" s="82"/>
      <c r="T3845" s="82"/>
      <c r="U3845" s="82"/>
      <c r="V3845" s="82"/>
      <c r="W3845" s="82"/>
      <c r="X3845" s="82"/>
      <c r="Y3845" s="82"/>
      <c r="Z3845" s="82"/>
      <c r="AA3845" s="82"/>
      <c r="AB3845" s="82"/>
      <c r="AC3845" s="82"/>
      <c r="AD3845" s="82"/>
      <c r="AE3845" s="82"/>
      <c r="AF3845" s="82"/>
      <c r="AG3845" s="82"/>
      <c r="AH3845" s="82"/>
      <c r="AI3845" s="82"/>
      <c r="AJ3845" s="82"/>
      <c r="AK3845" s="82"/>
      <c r="AL3845" s="82"/>
      <c r="AM3845" s="82"/>
      <c r="AN3845" s="82"/>
      <c r="AO3845" s="82"/>
      <c r="AP3845" s="82"/>
      <c r="AQ3845" s="82"/>
      <c r="AR3845" s="82"/>
      <c r="AS3845" s="82"/>
      <c r="AT3845" s="82"/>
      <c r="AU3845" s="82"/>
      <c r="AV3845" s="82"/>
      <c r="AW3845" s="82" t="str">
        <f t="shared" si="1"/>
        <v/>
      </c>
      <c r="AX3845" s="83" t="str">
        <f t="array" ref="AX3845">IFERROR(DGET('SBV Import'!A:G,"SBV",{"RSC ID","Tier";B3845,A3845}))</f>
        <v/>
      </c>
      <c r="AY3845" s="82" t="str">
        <f t="shared" si="2"/>
        <v/>
      </c>
      <c r="AZ3845" s="82"/>
      <c r="BA3845" s="84" t="s">
        <v>152</v>
      </c>
      <c r="BB3845" s="84" t="str">
        <f>IFERROR(__xludf.DUMMYFUNCTION("iferror(if(A3845="""",,E3845&gt;=FILTER(Constants!$F$2:$F$10,Constants!$A$2:$A$10=A3845)))"),"")</f>
        <v/>
      </c>
    </row>
    <row r="3846">
      <c r="A3846" s="89"/>
      <c r="B3846" s="87"/>
      <c r="C3846" s="73"/>
      <c r="D3846" s="73"/>
      <c r="E3846" s="82"/>
      <c r="F3846" s="82"/>
      <c r="G3846" s="86"/>
      <c r="H3846" s="86"/>
      <c r="I3846" s="86"/>
      <c r="J3846" s="82"/>
      <c r="K3846" s="82"/>
      <c r="L3846" s="82"/>
      <c r="M3846" s="82"/>
      <c r="N3846" s="82"/>
      <c r="O3846" s="82"/>
      <c r="P3846" s="82"/>
      <c r="Q3846" s="82"/>
      <c r="R3846" s="82"/>
      <c r="S3846" s="82"/>
      <c r="T3846" s="82"/>
      <c r="U3846" s="82"/>
      <c r="V3846" s="82"/>
      <c r="W3846" s="82"/>
      <c r="X3846" s="82"/>
      <c r="Y3846" s="82"/>
      <c r="Z3846" s="82"/>
      <c r="AA3846" s="82"/>
      <c r="AB3846" s="82"/>
      <c r="AC3846" s="82"/>
      <c r="AD3846" s="82"/>
      <c r="AE3846" s="82"/>
      <c r="AF3846" s="82"/>
      <c r="AG3846" s="82"/>
      <c r="AH3846" s="82"/>
      <c r="AI3846" s="82"/>
      <c r="AJ3846" s="82"/>
      <c r="AK3846" s="82"/>
      <c r="AL3846" s="82"/>
      <c r="AM3846" s="82"/>
      <c r="AN3846" s="82"/>
      <c r="AO3846" s="82"/>
      <c r="AP3846" s="82"/>
      <c r="AQ3846" s="82"/>
      <c r="AR3846" s="82"/>
      <c r="AS3846" s="82"/>
      <c r="AT3846" s="82"/>
      <c r="AU3846" s="82"/>
      <c r="AV3846" s="82"/>
      <c r="AW3846" s="82" t="str">
        <f t="shared" si="1"/>
        <v/>
      </c>
      <c r="AX3846" s="83" t="str">
        <f t="array" ref="AX3846">IFERROR(DGET('SBV Import'!A:G,"SBV",{"RSC ID","Tier";B3846,A3846}))</f>
        <v/>
      </c>
      <c r="AY3846" s="82" t="str">
        <f t="shared" si="2"/>
        <v/>
      </c>
      <c r="AZ3846" s="82"/>
      <c r="BA3846" s="84" t="s">
        <v>152</v>
      </c>
      <c r="BB3846" s="84" t="str">
        <f>IFERROR(__xludf.DUMMYFUNCTION("iferror(if(A3846="""",,E3846&gt;=FILTER(Constants!$F$2:$F$10,Constants!$A$2:$A$10=A3846)))"),"")</f>
        <v/>
      </c>
    </row>
    <row r="3847">
      <c r="A3847" s="89"/>
      <c r="B3847" s="87"/>
      <c r="C3847" s="73"/>
      <c r="D3847" s="73"/>
      <c r="E3847" s="82"/>
      <c r="F3847" s="82"/>
      <c r="G3847" s="86"/>
      <c r="H3847" s="86"/>
      <c r="I3847" s="86"/>
      <c r="J3847" s="82"/>
      <c r="K3847" s="82"/>
      <c r="L3847" s="82"/>
      <c r="M3847" s="82"/>
      <c r="N3847" s="82"/>
      <c r="O3847" s="82"/>
      <c r="P3847" s="82"/>
      <c r="Q3847" s="82"/>
      <c r="R3847" s="82"/>
      <c r="S3847" s="82"/>
      <c r="T3847" s="82"/>
      <c r="U3847" s="82"/>
      <c r="V3847" s="82"/>
      <c r="W3847" s="82"/>
      <c r="X3847" s="82"/>
      <c r="Y3847" s="82"/>
      <c r="Z3847" s="82"/>
      <c r="AA3847" s="82"/>
      <c r="AB3847" s="82"/>
      <c r="AC3847" s="82"/>
      <c r="AD3847" s="82"/>
      <c r="AE3847" s="82"/>
      <c r="AF3847" s="82"/>
      <c r="AG3847" s="82"/>
      <c r="AH3847" s="82"/>
      <c r="AI3847" s="82"/>
      <c r="AJ3847" s="82"/>
      <c r="AK3847" s="82"/>
      <c r="AL3847" s="82"/>
      <c r="AM3847" s="82"/>
      <c r="AN3847" s="82"/>
      <c r="AO3847" s="82"/>
      <c r="AP3847" s="82"/>
      <c r="AQ3847" s="82"/>
      <c r="AR3847" s="82"/>
      <c r="AS3847" s="82"/>
      <c r="AT3847" s="82"/>
      <c r="AU3847" s="82"/>
      <c r="AV3847" s="82"/>
      <c r="AW3847" s="82" t="str">
        <f t="shared" si="1"/>
        <v/>
      </c>
      <c r="AX3847" s="83" t="str">
        <f t="array" ref="AX3847">IFERROR(DGET('SBV Import'!A:G,"SBV",{"RSC ID","Tier";B3847,A3847}))</f>
        <v/>
      </c>
      <c r="AY3847" s="82" t="str">
        <f t="shared" si="2"/>
        <v/>
      </c>
      <c r="AZ3847" s="82"/>
      <c r="BA3847" s="84" t="s">
        <v>152</v>
      </c>
      <c r="BB3847" s="84" t="str">
        <f>IFERROR(__xludf.DUMMYFUNCTION("iferror(if(A3847="""",,E3847&gt;=FILTER(Constants!$F$2:$F$10,Constants!$A$2:$A$10=A3847)))"),"")</f>
        <v/>
      </c>
    </row>
    <row r="3848">
      <c r="A3848" s="89"/>
      <c r="B3848" s="87"/>
      <c r="C3848" s="73"/>
      <c r="D3848" s="73"/>
      <c r="E3848" s="82"/>
      <c r="F3848" s="82"/>
      <c r="G3848" s="86"/>
      <c r="H3848" s="86"/>
      <c r="I3848" s="86"/>
      <c r="J3848" s="82"/>
      <c r="K3848" s="82"/>
      <c r="L3848" s="82"/>
      <c r="M3848" s="82"/>
      <c r="N3848" s="82"/>
      <c r="O3848" s="82"/>
      <c r="P3848" s="82"/>
      <c r="Q3848" s="82"/>
      <c r="R3848" s="82"/>
      <c r="S3848" s="82"/>
      <c r="T3848" s="82"/>
      <c r="U3848" s="82"/>
      <c r="V3848" s="82"/>
      <c r="W3848" s="82"/>
      <c r="X3848" s="82"/>
      <c r="Y3848" s="82"/>
      <c r="Z3848" s="82"/>
      <c r="AA3848" s="82"/>
      <c r="AB3848" s="82"/>
      <c r="AC3848" s="82"/>
      <c r="AD3848" s="82"/>
      <c r="AE3848" s="82"/>
      <c r="AF3848" s="82"/>
      <c r="AG3848" s="82"/>
      <c r="AH3848" s="82"/>
      <c r="AI3848" s="82"/>
      <c r="AJ3848" s="82"/>
      <c r="AK3848" s="82"/>
      <c r="AL3848" s="82"/>
      <c r="AM3848" s="82"/>
      <c r="AN3848" s="82"/>
      <c r="AO3848" s="82"/>
      <c r="AP3848" s="82"/>
      <c r="AQ3848" s="82"/>
      <c r="AR3848" s="82"/>
      <c r="AS3848" s="82"/>
      <c r="AT3848" s="82"/>
      <c r="AU3848" s="82"/>
      <c r="AV3848" s="82"/>
      <c r="AW3848" s="82" t="str">
        <f t="shared" si="1"/>
        <v/>
      </c>
      <c r="AX3848" s="83" t="str">
        <f t="array" ref="AX3848">IFERROR(DGET('SBV Import'!A:G,"SBV",{"RSC ID","Tier";B3848,A3848}))</f>
        <v/>
      </c>
      <c r="AY3848" s="82" t="str">
        <f t="shared" si="2"/>
        <v/>
      </c>
      <c r="AZ3848" s="82"/>
      <c r="BA3848" s="84" t="s">
        <v>152</v>
      </c>
      <c r="BB3848" s="84" t="str">
        <f>IFERROR(__xludf.DUMMYFUNCTION("iferror(if(A3848="""",,E3848&gt;=FILTER(Constants!$F$2:$F$10,Constants!$A$2:$A$10=A3848)))"),"")</f>
        <v/>
      </c>
    </row>
    <row r="3849">
      <c r="A3849" s="89"/>
      <c r="B3849" s="87"/>
      <c r="C3849" s="73"/>
      <c r="D3849" s="73"/>
      <c r="E3849" s="82"/>
      <c r="F3849" s="82"/>
      <c r="G3849" s="86"/>
      <c r="H3849" s="86"/>
      <c r="I3849" s="86"/>
      <c r="J3849" s="82"/>
      <c r="K3849" s="82"/>
      <c r="L3849" s="82"/>
      <c r="M3849" s="82"/>
      <c r="N3849" s="82"/>
      <c r="O3849" s="82"/>
      <c r="P3849" s="82"/>
      <c r="Q3849" s="82"/>
      <c r="R3849" s="82"/>
      <c r="S3849" s="82"/>
      <c r="T3849" s="82"/>
      <c r="U3849" s="82"/>
      <c r="V3849" s="82"/>
      <c r="W3849" s="82"/>
      <c r="X3849" s="82"/>
      <c r="Y3849" s="82"/>
      <c r="Z3849" s="82"/>
      <c r="AA3849" s="82"/>
      <c r="AB3849" s="82"/>
      <c r="AC3849" s="82"/>
      <c r="AD3849" s="82"/>
      <c r="AE3849" s="82"/>
      <c r="AF3849" s="82"/>
      <c r="AG3849" s="82"/>
      <c r="AH3849" s="82"/>
      <c r="AI3849" s="82"/>
      <c r="AJ3849" s="82"/>
      <c r="AK3849" s="82"/>
      <c r="AL3849" s="82"/>
      <c r="AM3849" s="82"/>
      <c r="AN3849" s="82"/>
      <c r="AO3849" s="82"/>
      <c r="AP3849" s="82"/>
      <c r="AQ3849" s="82"/>
      <c r="AR3849" s="82"/>
      <c r="AS3849" s="82"/>
      <c r="AT3849" s="82"/>
      <c r="AU3849" s="82"/>
      <c r="AV3849" s="82"/>
      <c r="AW3849" s="82" t="str">
        <f t="shared" si="1"/>
        <v/>
      </c>
      <c r="AX3849" s="83" t="str">
        <f t="array" ref="AX3849">IFERROR(DGET('SBV Import'!A:G,"SBV",{"RSC ID","Tier";B3849,A3849}))</f>
        <v/>
      </c>
      <c r="AY3849" s="82" t="str">
        <f t="shared" si="2"/>
        <v/>
      </c>
      <c r="AZ3849" s="82"/>
      <c r="BA3849" s="84" t="s">
        <v>152</v>
      </c>
      <c r="BB3849" s="84" t="str">
        <f>IFERROR(__xludf.DUMMYFUNCTION("iferror(if(A3849="""",,E3849&gt;=FILTER(Constants!$F$2:$F$10,Constants!$A$2:$A$10=A3849)))"),"")</f>
        <v/>
      </c>
    </row>
    <row r="3850">
      <c r="A3850" s="89"/>
      <c r="B3850" s="87"/>
      <c r="C3850" s="73"/>
      <c r="D3850" s="73"/>
      <c r="E3850" s="82"/>
      <c r="F3850" s="82"/>
      <c r="G3850" s="86"/>
      <c r="H3850" s="86"/>
      <c r="I3850" s="86"/>
      <c r="J3850" s="82"/>
      <c r="K3850" s="82"/>
      <c r="L3850" s="82"/>
      <c r="M3850" s="82"/>
      <c r="N3850" s="82"/>
      <c r="O3850" s="82"/>
      <c r="P3850" s="82"/>
      <c r="Q3850" s="82"/>
      <c r="R3850" s="82"/>
      <c r="S3850" s="82"/>
      <c r="T3850" s="82"/>
      <c r="U3850" s="82"/>
      <c r="V3850" s="82"/>
      <c r="W3850" s="82"/>
      <c r="X3850" s="82"/>
      <c r="Y3850" s="82"/>
      <c r="Z3850" s="82"/>
      <c r="AA3850" s="82"/>
      <c r="AB3850" s="82"/>
      <c r="AC3850" s="82"/>
      <c r="AD3850" s="82"/>
      <c r="AE3850" s="82"/>
      <c r="AF3850" s="82"/>
      <c r="AG3850" s="82"/>
      <c r="AH3850" s="82"/>
      <c r="AI3850" s="82"/>
      <c r="AJ3850" s="82"/>
      <c r="AK3850" s="82"/>
      <c r="AL3850" s="82"/>
      <c r="AM3850" s="82"/>
      <c r="AN3850" s="82"/>
      <c r="AO3850" s="82"/>
      <c r="AP3850" s="82"/>
      <c r="AQ3850" s="82"/>
      <c r="AR3850" s="82"/>
      <c r="AS3850" s="82"/>
      <c r="AT3850" s="82"/>
      <c r="AU3850" s="82"/>
      <c r="AV3850" s="82"/>
      <c r="AW3850" s="82" t="str">
        <f t="shared" si="1"/>
        <v/>
      </c>
      <c r="AX3850" s="83" t="str">
        <f t="array" ref="AX3850">IFERROR(DGET('SBV Import'!A:G,"SBV",{"RSC ID","Tier";B3850,A3850}))</f>
        <v/>
      </c>
      <c r="AY3850" s="82" t="str">
        <f t="shared" si="2"/>
        <v/>
      </c>
      <c r="AZ3850" s="82"/>
      <c r="BA3850" s="84" t="s">
        <v>152</v>
      </c>
      <c r="BB3850" s="84" t="str">
        <f>IFERROR(__xludf.DUMMYFUNCTION("iferror(if(A3850="""",,E3850&gt;=FILTER(Constants!$F$2:$F$10,Constants!$A$2:$A$10=A3850)))"),"")</f>
        <v/>
      </c>
    </row>
    <row r="3851">
      <c r="A3851" s="89"/>
      <c r="B3851" s="87"/>
      <c r="C3851" s="73"/>
      <c r="D3851" s="73"/>
      <c r="E3851" s="82"/>
      <c r="F3851" s="82"/>
      <c r="G3851" s="86"/>
      <c r="H3851" s="86"/>
      <c r="I3851" s="86"/>
      <c r="J3851" s="82"/>
      <c r="K3851" s="82"/>
      <c r="L3851" s="82"/>
      <c r="M3851" s="82"/>
      <c r="N3851" s="82"/>
      <c r="O3851" s="82"/>
      <c r="P3851" s="82"/>
      <c r="Q3851" s="82"/>
      <c r="R3851" s="82"/>
      <c r="S3851" s="82"/>
      <c r="T3851" s="82"/>
      <c r="U3851" s="82"/>
      <c r="V3851" s="82"/>
      <c r="W3851" s="82"/>
      <c r="X3851" s="82"/>
      <c r="Y3851" s="82"/>
      <c r="Z3851" s="82"/>
      <c r="AA3851" s="82"/>
      <c r="AB3851" s="82"/>
      <c r="AC3851" s="82"/>
      <c r="AD3851" s="82"/>
      <c r="AE3851" s="82"/>
      <c r="AF3851" s="82"/>
      <c r="AG3851" s="82"/>
      <c r="AH3851" s="82"/>
      <c r="AI3851" s="82"/>
      <c r="AJ3851" s="82"/>
      <c r="AK3851" s="82"/>
      <c r="AL3851" s="82"/>
      <c r="AM3851" s="82"/>
      <c r="AN3851" s="82"/>
      <c r="AO3851" s="82"/>
      <c r="AP3851" s="82"/>
      <c r="AQ3851" s="82"/>
      <c r="AR3851" s="82"/>
      <c r="AS3851" s="82"/>
      <c r="AT3851" s="82"/>
      <c r="AU3851" s="82"/>
      <c r="AV3851" s="82"/>
      <c r="AW3851" s="82" t="str">
        <f t="shared" si="1"/>
        <v/>
      </c>
      <c r="AX3851" s="83" t="str">
        <f t="array" ref="AX3851">IFERROR(DGET('SBV Import'!A:G,"SBV",{"RSC ID","Tier";B3851,A3851}))</f>
        <v/>
      </c>
      <c r="AY3851" s="82" t="str">
        <f t="shared" si="2"/>
        <v/>
      </c>
      <c r="AZ3851" s="82"/>
      <c r="BA3851" s="84" t="s">
        <v>152</v>
      </c>
      <c r="BB3851" s="84" t="str">
        <f>IFERROR(__xludf.DUMMYFUNCTION("iferror(if(A3851="""",,E3851&gt;=FILTER(Constants!$F$2:$F$10,Constants!$A$2:$A$10=A3851)))"),"")</f>
        <v/>
      </c>
    </row>
    <row r="3852">
      <c r="A3852" s="89"/>
      <c r="B3852" s="87"/>
      <c r="C3852" s="73"/>
      <c r="D3852" s="73"/>
      <c r="E3852" s="82"/>
      <c r="F3852" s="82"/>
      <c r="G3852" s="86"/>
      <c r="H3852" s="86"/>
      <c r="I3852" s="86"/>
      <c r="J3852" s="82"/>
      <c r="K3852" s="82"/>
      <c r="L3852" s="82"/>
      <c r="M3852" s="82"/>
      <c r="N3852" s="82"/>
      <c r="O3852" s="82"/>
      <c r="P3852" s="82"/>
      <c r="Q3852" s="82"/>
      <c r="R3852" s="82"/>
      <c r="S3852" s="82"/>
      <c r="T3852" s="82"/>
      <c r="U3852" s="82"/>
      <c r="V3852" s="82"/>
      <c r="W3852" s="82"/>
      <c r="X3852" s="82"/>
      <c r="Y3852" s="82"/>
      <c r="Z3852" s="82"/>
      <c r="AA3852" s="82"/>
      <c r="AB3852" s="82"/>
      <c r="AC3852" s="82"/>
      <c r="AD3852" s="82"/>
      <c r="AE3852" s="82"/>
      <c r="AF3852" s="82"/>
      <c r="AG3852" s="82"/>
      <c r="AH3852" s="82"/>
      <c r="AI3852" s="82"/>
      <c r="AJ3852" s="82"/>
      <c r="AK3852" s="82"/>
      <c r="AL3852" s="82"/>
      <c r="AM3852" s="82"/>
      <c r="AN3852" s="82"/>
      <c r="AO3852" s="82"/>
      <c r="AP3852" s="82"/>
      <c r="AQ3852" s="82"/>
      <c r="AR3852" s="82"/>
      <c r="AS3852" s="82"/>
      <c r="AT3852" s="82"/>
      <c r="AU3852" s="82"/>
      <c r="AV3852" s="82"/>
      <c r="AW3852" s="82" t="str">
        <f t="shared" si="1"/>
        <v/>
      </c>
      <c r="AX3852" s="83" t="str">
        <f t="array" ref="AX3852">IFERROR(DGET('SBV Import'!A:G,"SBV",{"RSC ID","Tier";B3852,A3852}))</f>
        <v/>
      </c>
      <c r="AY3852" s="82" t="str">
        <f t="shared" si="2"/>
        <v/>
      </c>
      <c r="AZ3852" s="82"/>
      <c r="BA3852" s="84" t="s">
        <v>152</v>
      </c>
      <c r="BB3852" s="84" t="str">
        <f>IFERROR(__xludf.DUMMYFUNCTION("iferror(if(A3852="""",,E3852&gt;=FILTER(Constants!$F$2:$F$10,Constants!$A$2:$A$10=A3852)))"),"")</f>
        <v/>
      </c>
    </row>
    <row r="3853">
      <c r="A3853" s="89"/>
      <c r="B3853" s="87"/>
      <c r="C3853" s="73"/>
      <c r="D3853" s="73"/>
      <c r="E3853" s="82"/>
      <c r="F3853" s="82"/>
      <c r="G3853" s="86"/>
      <c r="H3853" s="86"/>
      <c r="I3853" s="86"/>
      <c r="J3853" s="82"/>
      <c r="K3853" s="82"/>
      <c r="L3853" s="82"/>
      <c r="M3853" s="82"/>
      <c r="N3853" s="82"/>
      <c r="O3853" s="82"/>
      <c r="P3853" s="82"/>
      <c r="Q3853" s="82"/>
      <c r="R3853" s="82"/>
      <c r="S3853" s="82"/>
      <c r="T3853" s="82"/>
      <c r="U3853" s="82"/>
      <c r="V3853" s="82"/>
      <c r="W3853" s="82"/>
      <c r="X3853" s="82"/>
      <c r="Y3853" s="82"/>
      <c r="Z3853" s="82"/>
      <c r="AA3853" s="82"/>
      <c r="AB3853" s="82"/>
      <c r="AC3853" s="82"/>
      <c r="AD3853" s="82"/>
      <c r="AE3853" s="82"/>
      <c r="AF3853" s="82"/>
      <c r="AG3853" s="82"/>
      <c r="AH3853" s="82"/>
      <c r="AI3853" s="82"/>
      <c r="AJ3853" s="82"/>
      <c r="AK3853" s="82"/>
      <c r="AL3853" s="82"/>
      <c r="AM3853" s="82"/>
      <c r="AN3853" s="82"/>
      <c r="AO3853" s="82"/>
      <c r="AP3853" s="82"/>
      <c r="AQ3853" s="82"/>
      <c r="AR3853" s="82"/>
      <c r="AS3853" s="82"/>
      <c r="AT3853" s="82"/>
      <c r="AU3853" s="82"/>
      <c r="AV3853" s="82"/>
      <c r="AW3853" s="82" t="str">
        <f t="shared" si="1"/>
        <v/>
      </c>
      <c r="AX3853" s="83" t="str">
        <f t="array" ref="AX3853">IFERROR(DGET('SBV Import'!A:G,"SBV",{"RSC ID","Tier";B3853,A3853}))</f>
        <v/>
      </c>
      <c r="AY3853" s="82" t="str">
        <f t="shared" si="2"/>
        <v/>
      </c>
      <c r="AZ3853" s="82"/>
      <c r="BA3853" s="84" t="s">
        <v>152</v>
      </c>
      <c r="BB3853" s="84" t="str">
        <f>IFERROR(__xludf.DUMMYFUNCTION("iferror(if(A3853="""",,E3853&gt;=FILTER(Constants!$F$2:$F$10,Constants!$A$2:$A$10=A3853)))"),"")</f>
        <v/>
      </c>
    </row>
    <row r="3854">
      <c r="A3854" s="89"/>
      <c r="B3854" s="87"/>
      <c r="C3854" s="73"/>
      <c r="D3854" s="73"/>
      <c r="E3854" s="82"/>
      <c r="F3854" s="82"/>
      <c r="G3854" s="86"/>
      <c r="H3854" s="86"/>
      <c r="I3854" s="86"/>
      <c r="J3854" s="82"/>
      <c r="K3854" s="82"/>
      <c r="L3854" s="82"/>
      <c r="M3854" s="82"/>
      <c r="N3854" s="82"/>
      <c r="O3854" s="82"/>
      <c r="P3854" s="82"/>
      <c r="Q3854" s="82"/>
      <c r="R3854" s="82"/>
      <c r="S3854" s="82"/>
      <c r="T3854" s="82"/>
      <c r="U3854" s="82"/>
      <c r="V3854" s="82"/>
      <c r="W3854" s="82"/>
      <c r="X3854" s="82"/>
      <c r="Y3854" s="82"/>
      <c r="Z3854" s="82"/>
      <c r="AA3854" s="82"/>
      <c r="AB3854" s="82"/>
      <c r="AC3854" s="82"/>
      <c r="AD3854" s="82"/>
      <c r="AE3854" s="82"/>
      <c r="AF3854" s="82"/>
      <c r="AG3854" s="82"/>
      <c r="AH3854" s="82"/>
      <c r="AI3854" s="82"/>
      <c r="AJ3854" s="82"/>
      <c r="AK3854" s="82"/>
      <c r="AL3854" s="82"/>
      <c r="AM3854" s="82"/>
      <c r="AN3854" s="82"/>
      <c r="AO3854" s="82"/>
      <c r="AP3854" s="82"/>
      <c r="AQ3854" s="82"/>
      <c r="AR3854" s="82"/>
      <c r="AS3854" s="82"/>
      <c r="AT3854" s="82"/>
      <c r="AU3854" s="82"/>
      <c r="AV3854" s="82"/>
      <c r="AW3854" s="82" t="str">
        <f t="shared" si="1"/>
        <v/>
      </c>
      <c r="AX3854" s="83" t="str">
        <f t="array" ref="AX3854">IFERROR(DGET('SBV Import'!A:G,"SBV",{"RSC ID","Tier";B3854,A3854}))</f>
        <v/>
      </c>
      <c r="AY3854" s="82" t="str">
        <f t="shared" si="2"/>
        <v/>
      </c>
      <c r="AZ3854" s="82"/>
      <c r="BA3854" s="84" t="s">
        <v>152</v>
      </c>
      <c r="BB3854" s="84" t="str">
        <f>IFERROR(__xludf.DUMMYFUNCTION("iferror(if(A3854="""",,E3854&gt;=FILTER(Constants!$F$2:$F$10,Constants!$A$2:$A$10=A3854)))"),"")</f>
        <v/>
      </c>
    </row>
    <row r="3855">
      <c r="A3855" s="89"/>
      <c r="B3855" s="87"/>
      <c r="C3855" s="73"/>
      <c r="D3855" s="73"/>
      <c r="E3855" s="82"/>
      <c r="F3855" s="82"/>
      <c r="G3855" s="86"/>
      <c r="H3855" s="86"/>
      <c r="I3855" s="86"/>
      <c r="J3855" s="82"/>
      <c r="K3855" s="82"/>
      <c r="L3855" s="82"/>
      <c r="M3855" s="82"/>
      <c r="N3855" s="82"/>
      <c r="O3855" s="82"/>
      <c r="P3855" s="82"/>
      <c r="Q3855" s="82"/>
      <c r="R3855" s="82"/>
      <c r="S3855" s="82"/>
      <c r="T3855" s="82"/>
      <c r="U3855" s="82"/>
      <c r="V3855" s="82"/>
      <c r="W3855" s="82"/>
      <c r="X3855" s="82"/>
      <c r="Y3855" s="82"/>
      <c r="Z3855" s="82"/>
      <c r="AA3855" s="82"/>
      <c r="AB3855" s="82"/>
      <c r="AC3855" s="82"/>
      <c r="AD3855" s="82"/>
      <c r="AE3855" s="82"/>
      <c r="AF3855" s="82"/>
      <c r="AG3855" s="82"/>
      <c r="AH3855" s="82"/>
      <c r="AI3855" s="82"/>
      <c r="AJ3855" s="82"/>
      <c r="AK3855" s="82"/>
      <c r="AL3855" s="82"/>
      <c r="AM3855" s="82"/>
      <c r="AN3855" s="82"/>
      <c r="AO3855" s="82"/>
      <c r="AP3855" s="82"/>
      <c r="AQ3855" s="82"/>
      <c r="AR3855" s="82"/>
      <c r="AS3855" s="82"/>
      <c r="AT3855" s="82"/>
      <c r="AU3855" s="82"/>
      <c r="AV3855" s="82"/>
      <c r="AW3855" s="82" t="str">
        <f t="shared" si="1"/>
        <v/>
      </c>
      <c r="AX3855" s="83" t="str">
        <f t="array" ref="AX3855">IFERROR(DGET('SBV Import'!A:G,"SBV",{"RSC ID","Tier";B3855,A3855}))</f>
        <v/>
      </c>
      <c r="AY3855" s="82" t="str">
        <f t="shared" si="2"/>
        <v/>
      </c>
      <c r="AZ3855" s="82"/>
      <c r="BA3855" s="84" t="s">
        <v>152</v>
      </c>
      <c r="BB3855" s="84" t="str">
        <f>IFERROR(__xludf.DUMMYFUNCTION("iferror(if(A3855="""",,E3855&gt;=FILTER(Constants!$F$2:$F$10,Constants!$A$2:$A$10=A3855)))"),"")</f>
        <v/>
      </c>
    </row>
    <row r="3856">
      <c r="A3856" s="89"/>
      <c r="B3856" s="87"/>
      <c r="C3856" s="73"/>
      <c r="D3856" s="73"/>
      <c r="E3856" s="82"/>
      <c r="F3856" s="82"/>
      <c r="G3856" s="86"/>
      <c r="H3856" s="86"/>
      <c r="I3856" s="86"/>
      <c r="J3856" s="82"/>
      <c r="K3856" s="82"/>
      <c r="L3856" s="82"/>
      <c r="M3856" s="82"/>
      <c r="N3856" s="82"/>
      <c r="O3856" s="82"/>
      <c r="P3856" s="82"/>
      <c r="Q3856" s="82"/>
      <c r="R3856" s="82"/>
      <c r="S3856" s="82"/>
      <c r="T3856" s="82"/>
      <c r="U3856" s="82"/>
      <c r="V3856" s="82"/>
      <c r="W3856" s="82"/>
      <c r="X3856" s="82"/>
      <c r="Y3856" s="82"/>
      <c r="Z3856" s="82"/>
      <c r="AA3856" s="82"/>
      <c r="AB3856" s="82"/>
      <c r="AC3856" s="82"/>
      <c r="AD3856" s="82"/>
      <c r="AE3856" s="82"/>
      <c r="AF3856" s="82"/>
      <c r="AG3856" s="82"/>
      <c r="AH3856" s="82"/>
      <c r="AI3856" s="82"/>
      <c r="AJ3856" s="82"/>
      <c r="AK3856" s="82"/>
      <c r="AL3856" s="82"/>
      <c r="AM3856" s="82"/>
      <c r="AN3856" s="82"/>
      <c r="AO3856" s="82"/>
      <c r="AP3856" s="82"/>
      <c r="AQ3856" s="82"/>
      <c r="AR3856" s="82"/>
      <c r="AS3856" s="82"/>
      <c r="AT3856" s="82"/>
      <c r="AU3856" s="82"/>
      <c r="AV3856" s="82"/>
      <c r="AW3856" s="82" t="str">
        <f t="shared" si="1"/>
        <v/>
      </c>
      <c r="AX3856" s="83" t="str">
        <f t="array" ref="AX3856">IFERROR(DGET('SBV Import'!A:G,"SBV",{"RSC ID","Tier";B3856,A3856}))</f>
        <v/>
      </c>
      <c r="AY3856" s="82" t="str">
        <f t="shared" si="2"/>
        <v/>
      </c>
      <c r="AZ3856" s="82"/>
      <c r="BA3856" s="84" t="s">
        <v>152</v>
      </c>
      <c r="BB3856" s="84" t="str">
        <f>IFERROR(__xludf.DUMMYFUNCTION("iferror(if(A3856="""",,E3856&gt;=FILTER(Constants!$F$2:$F$10,Constants!$A$2:$A$10=A3856)))"),"")</f>
        <v/>
      </c>
    </row>
    <row r="3857">
      <c r="A3857" s="89"/>
      <c r="B3857" s="87"/>
      <c r="C3857" s="73"/>
      <c r="D3857" s="73"/>
      <c r="E3857" s="82"/>
      <c r="F3857" s="82"/>
      <c r="G3857" s="86"/>
      <c r="H3857" s="86"/>
      <c r="I3857" s="86"/>
      <c r="J3857" s="82"/>
      <c r="K3857" s="82"/>
      <c r="L3857" s="82"/>
      <c r="M3857" s="82"/>
      <c r="N3857" s="82"/>
      <c r="O3857" s="82"/>
      <c r="P3857" s="82"/>
      <c r="Q3857" s="82"/>
      <c r="R3857" s="82"/>
      <c r="S3857" s="82"/>
      <c r="T3857" s="82"/>
      <c r="U3857" s="82"/>
      <c r="V3857" s="82"/>
      <c r="W3857" s="82"/>
      <c r="X3857" s="82"/>
      <c r="Y3857" s="82"/>
      <c r="Z3857" s="82"/>
      <c r="AA3857" s="82"/>
      <c r="AB3857" s="82"/>
      <c r="AC3857" s="82"/>
      <c r="AD3857" s="82"/>
      <c r="AE3857" s="82"/>
      <c r="AF3857" s="82"/>
      <c r="AG3857" s="82"/>
      <c r="AH3857" s="82"/>
      <c r="AI3857" s="82"/>
      <c r="AJ3857" s="82"/>
      <c r="AK3857" s="82"/>
      <c r="AL3857" s="82"/>
      <c r="AM3857" s="82"/>
      <c r="AN3857" s="82"/>
      <c r="AO3857" s="82"/>
      <c r="AP3857" s="82"/>
      <c r="AQ3857" s="82"/>
      <c r="AR3857" s="82"/>
      <c r="AS3857" s="82"/>
      <c r="AT3857" s="82"/>
      <c r="AU3857" s="82"/>
      <c r="AV3857" s="82"/>
      <c r="AW3857" s="82" t="str">
        <f t="shared" si="1"/>
        <v/>
      </c>
      <c r="AX3857" s="83" t="str">
        <f t="array" ref="AX3857">IFERROR(DGET('SBV Import'!A:G,"SBV",{"RSC ID","Tier";B3857,A3857}))</f>
        <v/>
      </c>
      <c r="AY3857" s="82" t="str">
        <f t="shared" si="2"/>
        <v/>
      </c>
      <c r="AZ3857" s="82"/>
      <c r="BA3857" s="84" t="s">
        <v>152</v>
      </c>
      <c r="BB3857" s="84" t="str">
        <f>IFERROR(__xludf.DUMMYFUNCTION("iferror(if(A3857="""",,E3857&gt;=FILTER(Constants!$F$2:$F$10,Constants!$A$2:$A$10=A3857)))"),"")</f>
        <v/>
      </c>
    </row>
    <row r="3858">
      <c r="A3858" s="89"/>
      <c r="B3858" s="87"/>
      <c r="C3858" s="73"/>
      <c r="D3858" s="73"/>
      <c r="E3858" s="82"/>
      <c r="F3858" s="82"/>
      <c r="G3858" s="86"/>
      <c r="H3858" s="86"/>
      <c r="I3858" s="86"/>
      <c r="J3858" s="82"/>
      <c r="K3858" s="82"/>
      <c r="L3858" s="82"/>
      <c r="M3858" s="82"/>
      <c r="N3858" s="82"/>
      <c r="O3858" s="82"/>
      <c r="P3858" s="82"/>
      <c r="Q3858" s="82"/>
      <c r="R3858" s="82"/>
      <c r="S3858" s="82"/>
      <c r="T3858" s="82"/>
      <c r="U3858" s="82"/>
      <c r="V3858" s="82"/>
      <c r="W3858" s="82"/>
      <c r="X3858" s="82"/>
      <c r="Y3858" s="82"/>
      <c r="Z3858" s="82"/>
      <c r="AA3858" s="82"/>
      <c r="AB3858" s="82"/>
      <c r="AC3858" s="82"/>
      <c r="AD3858" s="82"/>
      <c r="AE3858" s="82"/>
      <c r="AF3858" s="82"/>
      <c r="AG3858" s="82"/>
      <c r="AH3858" s="82"/>
      <c r="AI3858" s="82"/>
      <c r="AJ3858" s="82"/>
      <c r="AK3858" s="82"/>
      <c r="AL3858" s="82"/>
      <c r="AM3858" s="82"/>
      <c r="AN3858" s="82"/>
      <c r="AO3858" s="82"/>
      <c r="AP3858" s="82"/>
      <c r="AQ3858" s="82"/>
      <c r="AR3858" s="82"/>
      <c r="AS3858" s="82"/>
      <c r="AT3858" s="82"/>
      <c r="AU3858" s="82"/>
      <c r="AV3858" s="82"/>
      <c r="AW3858" s="82" t="str">
        <f t="shared" si="1"/>
        <v/>
      </c>
      <c r="AX3858" s="83" t="str">
        <f t="array" ref="AX3858">IFERROR(DGET('SBV Import'!A:G,"SBV",{"RSC ID","Tier";B3858,A3858}))</f>
        <v/>
      </c>
      <c r="AY3858" s="82" t="str">
        <f t="shared" si="2"/>
        <v/>
      </c>
      <c r="AZ3858" s="82"/>
      <c r="BA3858" s="84" t="s">
        <v>152</v>
      </c>
      <c r="BB3858" s="84" t="str">
        <f>IFERROR(__xludf.DUMMYFUNCTION("iferror(if(A3858="""",,E3858&gt;=FILTER(Constants!$F$2:$F$10,Constants!$A$2:$A$10=A3858)))"),"")</f>
        <v/>
      </c>
    </row>
    <row r="3859">
      <c r="A3859" s="89"/>
      <c r="B3859" s="87"/>
      <c r="C3859" s="73"/>
      <c r="D3859" s="73"/>
      <c r="E3859" s="82"/>
      <c r="F3859" s="82"/>
      <c r="G3859" s="86"/>
      <c r="H3859" s="86"/>
      <c r="I3859" s="86"/>
      <c r="J3859" s="82"/>
      <c r="K3859" s="82"/>
      <c r="L3859" s="82"/>
      <c r="M3859" s="82"/>
      <c r="N3859" s="82"/>
      <c r="O3859" s="82"/>
      <c r="P3859" s="82"/>
      <c r="Q3859" s="82"/>
      <c r="R3859" s="82"/>
      <c r="S3859" s="82"/>
      <c r="T3859" s="82"/>
      <c r="U3859" s="82"/>
      <c r="V3859" s="82"/>
      <c r="W3859" s="82"/>
      <c r="X3859" s="82"/>
      <c r="Y3859" s="82"/>
      <c r="Z3859" s="82"/>
      <c r="AA3859" s="82"/>
      <c r="AB3859" s="82"/>
      <c r="AC3859" s="82"/>
      <c r="AD3859" s="82"/>
      <c r="AE3859" s="82"/>
      <c r="AF3859" s="82"/>
      <c r="AG3859" s="82"/>
      <c r="AH3859" s="82"/>
      <c r="AI3859" s="82"/>
      <c r="AJ3859" s="82"/>
      <c r="AK3859" s="82"/>
      <c r="AL3859" s="82"/>
      <c r="AM3859" s="82"/>
      <c r="AN3859" s="82"/>
      <c r="AO3859" s="82"/>
      <c r="AP3859" s="82"/>
      <c r="AQ3859" s="82"/>
      <c r="AR3859" s="82"/>
      <c r="AS3859" s="82"/>
      <c r="AT3859" s="82"/>
      <c r="AU3859" s="82"/>
      <c r="AV3859" s="82"/>
      <c r="AW3859" s="82" t="str">
        <f t="shared" si="1"/>
        <v/>
      </c>
      <c r="AX3859" s="83" t="str">
        <f t="array" ref="AX3859">IFERROR(DGET('SBV Import'!A:G,"SBV",{"RSC ID","Tier";B3859,A3859}))</f>
        <v/>
      </c>
      <c r="AY3859" s="82" t="str">
        <f t="shared" si="2"/>
        <v/>
      </c>
      <c r="AZ3859" s="82"/>
      <c r="BA3859" s="84" t="s">
        <v>152</v>
      </c>
      <c r="BB3859" s="84" t="str">
        <f>IFERROR(__xludf.DUMMYFUNCTION("iferror(if(A3859="""",,E3859&gt;=FILTER(Constants!$F$2:$F$10,Constants!$A$2:$A$10=A3859)))"),"")</f>
        <v/>
      </c>
    </row>
    <row r="3860">
      <c r="A3860" s="89"/>
      <c r="B3860" s="87"/>
      <c r="C3860" s="73"/>
      <c r="D3860" s="73"/>
      <c r="E3860" s="82"/>
      <c r="F3860" s="82"/>
      <c r="G3860" s="86"/>
      <c r="H3860" s="86"/>
      <c r="I3860" s="86"/>
      <c r="J3860" s="82"/>
      <c r="K3860" s="82"/>
      <c r="L3860" s="82"/>
      <c r="M3860" s="82"/>
      <c r="N3860" s="82"/>
      <c r="O3860" s="82"/>
      <c r="P3860" s="82"/>
      <c r="Q3860" s="82"/>
      <c r="R3860" s="82"/>
      <c r="S3860" s="82"/>
      <c r="T3860" s="82"/>
      <c r="U3860" s="82"/>
      <c r="V3860" s="82"/>
      <c r="W3860" s="82"/>
      <c r="X3860" s="82"/>
      <c r="Y3860" s="82"/>
      <c r="Z3860" s="82"/>
      <c r="AA3860" s="82"/>
      <c r="AB3860" s="82"/>
      <c r="AC3860" s="82"/>
      <c r="AD3860" s="82"/>
      <c r="AE3860" s="82"/>
      <c r="AF3860" s="82"/>
      <c r="AG3860" s="82"/>
      <c r="AH3860" s="82"/>
      <c r="AI3860" s="82"/>
      <c r="AJ3860" s="82"/>
      <c r="AK3860" s="82"/>
      <c r="AL3860" s="82"/>
      <c r="AM3860" s="82"/>
      <c r="AN3860" s="82"/>
      <c r="AO3860" s="82"/>
      <c r="AP3860" s="82"/>
      <c r="AQ3860" s="82"/>
      <c r="AR3860" s="82"/>
      <c r="AS3860" s="82"/>
      <c r="AT3860" s="82"/>
      <c r="AU3860" s="82"/>
      <c r="AV3860" s="82"/>
      <c r="AW3860" s="82" t="str">
        <f t="shared" si="1"/>
        <v/>
      </c>
      <c r="AX3860" s="83" t="str">
        <f t="array" ref="AX3860">IFERROR(DGET('SBV Import'!A:G,"SBV",{"RSC ID","Tier";B3860,A3860}))</f>
        <v/>
      </c>
      <c r="AY3860" s="82" t="str">
        <f t="shared" si="2"/>
        <v/>
      </c>
      <c r="AZ3860" s="82"/>
      <c r="BA3860" s="84" t="s">
        <v>152</v>
      </c>
      <c r="BB3860" s="84" t="str">
        <f>IFERROR(__xludf.DUMMYFUNCTION("iferror(if(A3860="""",,E3860&gt;=FILTER(Constants!$F$2:$F$10,Constants!$A$2:$A$10=A3860)))"),"")</f>
        <v/>
      </c>
    </row>
    <row r="3861">
      <c r="A3861" s="89"/>
      <c r="B3861" s="87"/>
      <c r="C3861" s="73"/>
      <c r="D3861" s="73"/>
      <c r="E3861" s="82"/>
      <c r="F3861" s="82"/>
      <c r="G3861" s="86"/>
      <c r="H3861" s="86"/>
      <c r="I3861" s="86"/>
      <c r="J3861" s="82"/>
      <c r="K3861" s="82"/>
      <c r="L3861" s="82"/>
      <c r="M3861" s="82"/>
      <c r="N3861" s="82"/>
      <c r="O3861" s="82"/>
      <c r="P3861" s="82"/>
      <c r="Q3861" s="82"/>
      <c r="R3861" s="82"/>
      <c r="S3861" s="82"/>
      <c r="T3861" s="82"/>
      <c r="U3861" s="82"/>
      <c r="V3861" s="82"/>
      <c r="W3861" s="82"/>
      <c r="X3861" s="82"/>
      <c r="Y3861" s="82"/>
      <c r="Z3861" s="82"/>
      <c r="AA3861" s="82"/>
      <c r="AB3861" s="82"/>
      <c r="AC3861" s="82"/>
      <c r="AD3861" s="82"/>
      <c r="AE3861" s="82"/>
      <c r="AF3861" s="82"/>
      <c r="AG3861" s="82"/>
      <c r="AH3861" s="82"/>
      <c r="AI3861" s="82"/>
      <c r="AJ3861" s="82"/>
      <c r="AK3861" s="82"/>
      <c r="AL3861" s="82"/>
      <c r="AM3861" s="82"/>
      <c r="AN3861" s="82"/>
      <c r="AO3861" s="82"/>
      <c r="AP3861" s="82"/>
      <c r="AQ3861" s="82"/>
      <c r="AR3861" s="82"/>
      <c r="AS3861" s="82"/>
      <c r="AT3861" s="82"/>
      <c r="AU3861" s="82"/>
      <c r="AV3861" s="82"/>
      <c r="AW3861" s="82" t="str">
        <f t="shared" si="1"/>
        <v/>
      </c>
      <c r="AX3861" s="83" t="str">
        <f t="array" ref="AX3861">IFERROR(DGET('SBV Import'!A:G,"SBV",{"RSC ID","Tier";B3861,A3861}))</f>
        <v/>
      </c>
      <c r="AY3861" s="82" t="str">
        <f t="shared" si="2"/>
        <v/>
      </c>
      <c r="AZ3861" s="82"/>
      <c r="BA3861" s="84" t="s">
        <v>152</v>
      </c>
      <c r="BB3861" s="84" t="str">
        <f>IFERROR(__xludf.DUMMYFUNCTION("iferror(if(A3861="""",,E3861&gt;=FILTER(Constants!$F$2:$F$10,Constants!$A$2:$A$10=A3861)))"),"")</f>
        <v/>
      </c>
    </row>
    <row r="3862">
      <c r="A3862" s="89"/>
      <c r="B3862" s="87"/>
      <c r="C3862" s="73"/>
      <c r="D3862" s="73"/>
      <c r="E3862" s="82"/>
      <c r="F3862" s="82"/>
      <c r="G3862" s="86"/>
      <c r="H3862" s="86"/>
      <c r="I3862" s="86"/>
      <c r="J3862" s="82"/>
      <c r="K3862" s="82"/>
      <c r="L3862" s="82"/>
      <c r="M3862" s="82"/>
      <c r="N3862" s="82"/>
      <c r="O3862" s="82"/>
      <c r="P3862" s="82"/>
      <c r="Q3862" s="82"/>
      <c r="R3862" s="82"/>
      <c r="S3862" s="82"/>
      <c r="T3862" s="82"/>
      <c r="U3862" s="82"/>
      <c r="V3862" s="82"/>
      <c r="W3862" s="82"/>
      <c r="X3862" s="82"/>
      <c r="Y3862" s="82"/>
      <c r="Z3862" s="82"/>
      <c r="AA3862" s="82"/>
      <c r="AB3862" s="82"/>
      <c r="AC3862" s="82"/>
      <c r="AD3862" s="82"/>
      <c r="AE3862" s="82"/>
      <c r="AF3862" s="82"/>
      <c r="AG3862" s="82"/>
      <c r="AH3862" s="82"/>
      <c r="AI3862" s="82"/>
      <c r="AJ3862" s="82"/>
      <c r="AK3862" s="82"/>
      <c r="AL3862" s="82"/>
      <c r="AM3862" s="82"/>
      <c r="AN3862" s="82"/>
      <c r="AO3862" s="82"/>
      <c r="AP3862" s="82"/>
      <c r="AQ3862" s="82"/>
      <c r="AR3862" s="82"/>
      <c r="AS3862" s="82"/>
      <c r="AT3862" s="82"/>
      <c r="AU3862" s="82"/>
      <c r="AV3862" s="82"/>
      <c r="AW3862" s="82" t="str">
        <f t="shared" si="1"/>
        <v/>
      </c>
      <c r="AX3862" s="83" t="str">
        <f t="array" ref="AX3862">IFERROR(DGET('SBV Import'!A:G,"SBV",{"RSC ID","Tier";B3862,A3862}))</f>
        <v/>
      </c>
      <c r="AY3862" s="82" t="str">
        <f t="shared" si="2"/>
        <v/>
      </c>
      <c r="AZ3862" s="82"/>
      <c r="BA3862" s="84" t="s">
        <v>152</v>
      </c>
      <c r="BB3862" s="84" t="str">
        <f>IFERROR(__xludf.DUMMYFUNCTION("iferror(if(A3862="""",,E3862&gt;=FILTER(Constants!$F$2:$F$10,Constants!$A$2:$A$10=A3862)))"),"")</f>
        <v/>
      </c>
    </row>
    <row r="3863">
      <c r="A3863" s="89"/>
      <c r="B3863" s="87"/>
      <c r="C3863" s="73"/>
      <c r="D3863" s="73"/>
      <c r="E3863" s="82"/>
      <c r="F3863" s="82"/>
      <c r="G3863" s="86"/>
      <c r="H3863" s="86"/>
      <c r="I3863" s="86"/>
      <c r="J3863" s="82"/>
      <c r="K3863" s="82"/>
      <c r="L3863" s="82"/>
      <c r="M3863" s="82"/>
      <c r="N3863" s="82"/>
      <c r="O3863" s="82"/>
      <c r="P3863" s="82"/>
      <c r="Q3863" s="82"/>
      <c r="R3863" s="82"/>
      <c r="S3863" s="82"/>
      <c r="T3863" s="82"/>
      <c r="U3863" s="82"/>
      <c r="V3863" s="82"/>
      <c r="W3863" s="82"/>
      <c r="X3863" s="82"/>
      <c r="Y3863" s="82"/>
      <c r="Z3863" s="82"/>
      <c r="AA3863" s="82"/>
      <c r="AB3863" s="82"/>
      <c r="AC3863" s="82"/>
      <c r="AD3863" s="82"/>
      <c r="AE3863" s="82"/>
      <c r="AF3863" s="82"/>
      <c r="AG3863" s="82"/>
      <c r="AH3863" s="82"/>
      <c r="AI3863" s="82"/>
      <c r="AJ3863" s="82"/>
      <c r="AK3863" s="82"/>
      <c r="AL3863" s="82"/>
      <c r="AM3863" s="82"/>
      <c r="AN3863" s="82"/>
      <c r="AO3863" s="82"/>
      <c r="AP3863" s="82"/>
      <c r="AQ3863" s="82"/>
      <c r="AR3863" s="82"/>
      <c r="AS3863" s="82"/>
      <c r="AT3863" s="82"/>
      <c r="AU3863" s="82"/>
      <c r="AV3863" s="82"/>
      <c r="AW3863" s="82" t="str">
        <f t="shared" si="1"/>
        <v/>
      </c>
      <c r="AX3863" s="83" t="str">
        <f t="array" ref="AX3863">IFERROR(DGET('SBV Import'!A:G,"SBV",{"RSC ID","Tier";B3863,A3863}))</f>
        <v/>
      </c>
      <c r="AY3863" s="82" t="str">
        <f t="shared" si="2"/>
        <v/>
      </c>
      <c r="AZ3863" s="82"/>
      <c r="BA3863" s="84" t="s">
        <v>152</v>
      </c>
      <c r="BB3863" s="84" t="str">
        <f>IFERROR(__xludf.DUMMYFUNCTION("iferror(if(A3863="""",,E3863&gt;=FILTER(Constants!$F$2:$F$10,Constants!$A$2:$A$10=A3863)))"),"")</f>
        <v/>
      </c>
    </row>
    <row r="3864">
      <c r="A3864" s="89"/>
      <c r="B3864" s="87"/>
      <c r="C3864" s="73"/>
      <c r="D3864" s="73"/>
      <c r="E3864" s="82"/>
      <c r="F3864" s="82"/>
      <c r="G3864" s="86"/>
      <c r="H3864" s="86"/>
      <c r="I3864" s="86"/>
      <c r="J3864" s="82"/>
      <c r="K3864" s="82"/>
      <c r="L3864" s="82"/>
      <c r="M3864" s="82"/>
      <c r="N3864" s="82"/>
      <c r="O3864" s="82"/>
      <c r="P3864" s="82"/>
      <c r="Q3864" s="82"/>
      <c r="R3864" s="82"/>
      <c r="S3864" s="82"/>
      <c r="T3864" s="82"/>
      <c r="U3864" s="82"/>
      <c r="V3864" s="82"/>
      <c r="W3864" s="82"/>
      <c r="X3864" s="82"/>
      <c r="Y3864" s="82"/>
      <c r="Z3864" s="82"/>
      <c r="AA3864" s="82"/>
      <c r="AB3864" s="82"/>
      <c r="AC3864" s="82"/>
      <c r="AD3864" s="82"/>
      <c r="AE3864" s="82"/>
      <c r="AF3864" s="82"/>
      <c r="AG3864" s="82"/>
      <c r="AH3864" s="82"/>
      <c r="AI3864" s="82"/>
      <c r="AJ3864" s="82"/>
      <c r="AK3864" s="82"/>
      <c r="AL3864" s="82"/>
      <c r="AM3864" s="82"/>
      <c r="AN3864" s="82"/>
      <c r="AO3864" s="82"/>
      <c r="AP3864" s="82"/>
      <c r="AQ3864" s="82"/>
      <c r="AR3864" s="82"/>
      <c r="AS3864" s="82"/>
      <c r="AT3864" s="82"/>
      <c r="AU3864" s="82"/>
      <c r="AV3864" s="82"/>
      <c r="AW3864" s="82" t="str">
        <f t="shared" si="1"/>
        <v/>
      </c>
      <c r="AX3864" s="83" t="str">
        <f t="array" ref="AX3864">IFERROR(DGET('SBV Import'!A:G,"SBV",{"RSC ID","Tier";B3864,A3864}))</f>
        <v/>
      </c>
      <c r="AY3864" s="82" t="str">
        <f t="shared" si="2"/>
        <v/>
      </c>
      <c r="AZ3864" s="82"/>
      <c r="BA3864" s="84" t="s">
        <v>152</v>
      </c>
      <c r="BB3864" s="84" t="str">
        <f>IFERROR(__xludf.DUMMYFUNCTION("iferror(if(A3864="""",,E3864&gt;=FILTER(Constants!$F$2:$F$10,Constants!$A$2:$A$10=A3864)))"),"")</f>
        <v/>
      </c>
    </row>
    <row r="3865">
      <c r="A3865" s="89"/>
      <c r="B3865" s="87"/>
      <c r="C3865" s="73"/>
      <c r="D3865" s="73"/>
      <c r="E3865" s="82"/>
      <c r="F3865" s="82"/>
      <c r="G3865" s="86"/>
      <c r="H3865" s="86"/>
      <c r="I3865" s="86"/>
      <c r="J3865" s="82"/>
      <c r="K3865" s="82"/>
      <c r="L3865" s="82"/>
      <c r="M3865" s="82"/>
      <c r="N3865" s="82"/>
      <c r="O3865" s="82"/>
      <c r="P3865" s="82"/>
      <c r="Q3865" s="82"/>
      <c r="R3865" s="82"/>
      <c r="S3865" s="82"/>
      <c r="T3865" s="82"/>
      <c r="U3865" s="82"/>
      <c r="V3865" s="82"/>
      <c r="W3865" s="82"/>
      <c r="X3865" s="82"/>
      <c r="Y3865" s="82"/>
      <c r="Z3865" s="82"/>
      <c r="AA3865" s="82"/>
      <c r="AB3865" s="82"/>
      <c r="AC3865" s="82"/>
      <c r="AD3865" s="82"/>
      <c r="AE3865" s="82"/>
      <c r="AF3865" s="82"/>
      <c r="AG3865" s="82"/>
      <c r="AH3865" s="82"/>
      <c r="AI3865" s="82"/>
      <c r="AJ3865" s="82"/>
      <c r="AK3865" s="82"/>
      <c r="AL3865" s="82"/>
      <c r="AM3865" s="82"/>
      <c r="AN3865" s="82"/>
      <c r="AO3865" s="82"/>
      <c r="AP3865" s="82"/>
      <c r="AQ3865" s="82"/>
      <c r="AR3865" s="82"/>
      <c r="AS3865" s="82"/>
      <c r="AT3865" s="82"/>
      <c r="AU3865" s="82"/>
      <c r="AV3865" s="82"/>
      <c r="AW3865" s="82" t="str">
        <f t="shared" si="1"/>
        <v/>
      </c>
      <c r="AX3865" s="83" t="str">
        <f t="array" ref="AX3865">IFERROR(DGET('SBV Import'!A:G,"SBV",{"RSC ID","Tier";B3865,A3865}))</f>
        <v/>
      </c>
      <c r="AY3865" s="82" t="str">
        <f t="shared" si="2"/>
        <v/>
      </c>
      <c r="AZ3865" s="82"/>
      <c r="BA3865" s="84" t="s">
        <v>152</v>
      </c>
      <c r="BB3865" s="84" t="str">
        <f>IFERROR(__xludf.DUMMYFUNCTION("iferror(if(A3865="""",,E3865&gt;=FILTER(Constants!$F$2:$F$10,Constants!$A$2:$A$10=A3865)))"),"")</f>
        <v/>
      </c>
    </row>
    <row r="3866">
      <c r="A3866" s="89"/>
      <c r="B3866" s="87"/>
      <c r="C3866" s="73"/>
      <c r="D3866" s="73"/>
      <c r="E3866" s="82"/>
      <c r="F3866" s="82"/>
      <c r="G3866" s="86"/>
      <c r="H3866" s="86"/>
      <c r="I3866" s="86"/>
      <c r="J3866" s="82"/>
      <c r="K3866" s="82"/>
      <c r="L3866" s="82"/>
      <c r="M3866" s="82"/>
      <c r="N3866" s="82"/>
      <c r="O3866" s="82"/>
      <c r="P3866" s="82"/>
      <c r="Q3866" s="82"/>
      <c r="R3866" s="82"/>
      <c r="S3866" s="82"/>
      <c r="T3866" s="82"/>
      <c r="U3866" s="82"/>
      <c r="V3866" s="82"/>
      <c r="W3866" s="82"/>
      <c r="X3866" s="82"/>
      <c r="Y3866" s="82"/>
      <c r="Z3866" s="82"/>
      <c r="AA3866" s="82"/>
      <c r="AB3866" s="82"/>
      <c r="AC3866" s="82"/>
      <c r="AD3866" s="82"/>
      <c r="AE3866" s="82"/>
      <c r="AF3866" s="82"/>
      <c r="AG3866" s="82"/>
      <c r="AH3866" s="82"/>
      <c r="AI3866" s="82"/>
      <c r="AJ3866" s="82"/>
      <c r="AK3866" s="82"/>
      <c r="AL3866" s="82"/>
      <c r="AM3866" s="82"/>
      <c r="AN3866" s="82"/>
      <c r="AO3866" s="82"/>
      <c r="AP3866" s="82"/>
      <c r="AQ3866" s="82"/>
      <c r="AR3866" s="82"/>
      <c r="AS3866" s="82"/>
      <c r="AT3866" s="82"/>
      <c r="AU3866" s="82"/>
      <c r="AV3866" s="82"/>
      <c r="AW3866" s="82" t="str">
        <f t="shared" si="1"/>
        <v/>
      </c>
      <c r="AX3866" s="83" t="str">
        <f t="array" ref="AX3866">IFERROR(DGET('SBV Import'!A:G,"SBV",{"RSC ID","Tier";B3866,A3866}))</f>
        <v/>
      </c>
      <c r="AY3866" s="82" t="str">
        <f t="shared" si="2"/>
        <v/>
      </c>
      <c r="AZ3866" s="82"/>
      <c r="BA3866" s="84" t="s">
        <v>152</v>
      </c>
      <c r="BB3866" s="84" t="str">
        <f>IFERROR(__xludf.DUMMYFUNCTION("iferror(if(A3866="""",,E3866&gt;=FILTER(Constants!$F$2:$F$10,Constants!$A$2:$A$10=A3866)))"),"")</f>
        <v/>
      </c>
    </row>
    <row r="3867">
      <c r="A3867" s="89"/>
      <c r="B3867" s="87"/>
      <c r="C3867" s="73"/>
      <c r="D3867" s="73"/>
      <c r="E3867" s="82"/>
      <c r="F3867" s="82"/>
      <c r="G3867" s="86"/>
      <c r="H3867" s="86"/>
      <c r="I3867" s="86"/>
      <c r="J3867" s="82"/>
      <c r="K3867" s="82"/>
      <c r="L3867" s="82"/>
      <c r="M3867" s="82"/>
      <c r="N3867" s="82"/>
      <c r="O3867" s="82"/>
      <c r="P3867" s="82"/>
      <c r="Q3867" s="82"/>
      <c r="R3867" s="82"/>
      <c r="S3867" s="82"/>
      <c r="T3867" s="82"/>
      <c r="U3867" s="82"/>
      <c r="V3867" s="82"/>
      <c r="W3867" s="82"/>
      <c r="X3867" s="82"/>
      <c r="Y3867" s="82"/>
      <c r="Z3867" s="82"/>
      <c r="AA3867" s="82"/>
      <c r="AB3867" s="82"/>
      <c r="AC3867" s="82"/>
      <c r="AD3867" s="82"/>
      <c r="AE3867" s="82"/>
      <c r="AF3867" s="82"/>
      <c r="AG3867" s="82"/>
      <c r="AH3867" s="82"/>
      <c r="AI3867" s="82"/>
      <c r="AJ3867" s="82"/>
      <c r="AK3867" s="82"/>
      <c r="AL3867" s="82"/>
      <c r="AM3867" s="82"/>
      <c r="AN3867" s="82"/>
      <c r="AO3867" s="82"/>
      <c r="AP3867" s="82"/>
      <c r="AQ3867" s="82"/>
      <c r="AR3867" s="82"/>
      <c r="AS3867" s="82"/>
      <c r="AT3867" s="82"/>
      <c r="AU3867" s="82"/>
      <c r="AV3867" s="82"/>
      <c r="AW3867" s="82" t="str">
        <f t="shared" si="1"/>
        <v/>
      </c>
      <c r="AX3867" s="83" t="str">
        <f t="array" ref="AX3867">IFERROR(DGET('SBV Import'!A:G,"SBV",{"RSC ID","Tier";B3867,A3867}))</f>
        <v/>
      </c>
      <c r="AY3867" s="82" t="str">
        <f t="shared" si="2"/>
        <v/>
      </c>
      <c r="AZ3867" s="82"/>
      <c r="BA3867" s="84" t="s">
        <v>152</v>
      </c>
      <c r="BB3867" s="84" t="str">
        <f>IFERROR(__xludf.DUMMYFUNCTION("iferror(if(A3867="""",,E3867&gt;=FILTER(Constants!$F$2:$F$10,Constants!$A$2:$A$10=A3867)))"),"")</f>
        <v/>
      </c>
    </row>
    <row r="3868">
      <c r="A3868" s="89"/>
      <c r="B3868" s="87"/>
      <c r="C3868" s="73"/>
      <c r="D3868" s="73"/>
      <c r="E3868" s="82"/>
      <c r="F3868" s="82"/>
      <c r="G3868" s="86"/>
      <c r="H3868" s="86"/>
      <c r="I3868" s="86"/>
      <c r="J3868" s="82"/>
      <c r="K3868" s="82"/>
      <c r="L3868" s="82"/>
      <c r="M3868" s="82"/>
      <c r="N3868" s="82"/>
      <c r="O3868" s="82"/>
      <c r="P3868" s="82"/>
      <c r="Q3868" s="82"/>
      <c r="R3868" s="82"/>
      <c r="S3868" s="82"/>
      <c r="T3868" s="82"/>
      <c r="U3868" s="82"/>
      <c r="V3868" s="82"/>
      <c r="W3868" s="82"/>
      <c r="X3868" s="82"/>
      <c r="Y3868" s="82"/>
      <c r="Z3868" s="82"/>
      <c r="AA3868" s="82"/>
      <c r="AB3868" s="82"/>
      <c r="AC3868" s="82"/>
      <c r="AD3868" s="82"/>
      <c r="AE3868" s="82"/>
      <c r="AF3868" s="82"/>
      <c r="AG3868" s="82"/>
      <c r="AH3868" s="82"/>
      <c r="AI3868" s="82"/>
      <c r="AJ3868" s="82"/>
      <c r="AK3868" s="82"/>
      <c r="AL3868" s="82"/>
      <c r="AM3868" s="82"/>
      <c r="AN3868" s="82"/>
      <c r="AO3868" s="82"/>
      <c r="AP3868" s="82"/>
      <c r="AQ3868" s="82"/>
      <c r="AR3868" s="82"/>
      <c r="AS3868" s="82"/>
      <c r="AT3868" s="82"/>
      <c r="AU3868" s="82"/>
      <c r="AV3868" s="82"/>
      <c r="AW3868" s="82" t="str">
        <f t="shared" si="1"/>
        <v/>
      </c>
      <c r="AX3868" s="83" t="str">
        <f t="array" ref="AX3868">IFERROR(DGET('SBV Import'!A:G,"SBV",{"RSC ID","Tier";B3868,A3868}))</f>
        <v/>
      </c>
      <c r="AY3868" s="82" t="str">
        <f t="shared" si="2"/>
        <v/>
      </c>
      <c r="AZ3868" s="82"/>
      <c r="BA3868" s="84" t="s">
        <v>152</v>
      </c>
      <c r="BB3868" s="84" t="str">
        <f>IFERROR(__xludf.DUMMYFUNCTION("iferror(if(A3868="""",,E3868&gt;=FILTER(Constants!$F$2:$F$10,Constants!$A$2:$A$10=A3868)))"),"")</f>
        <v/>
      </c>
    </row>
    <row r="3869">
      <c r="A3869" s="89"/>
      <c r="B3869" s="87"/>
      <c r="C3869" s="73"/>
      <c r="D3869" s="73"/>
      <c r="E3869" s="82"/>
      <c r="F3869" s="82"/>
      <c r="G3869" s="86"/>
      <c r="H3869" s="86"/>
      <c r="I3869" s="86"/>
      <c r="J3869" s="82"/>
      <c r="K3869" s="82"/>
      <c r="L3869" s="82"/>
      <c r="M3869" s="82"/>
      <c r="N3869" s="82"/>
      <c r="O3869" s="82"/>
      <c r="P3869" s="82"/>
      <c r="Q3869" s="82"/>
      <c r="R3869" s="82"/>
      <c r="S3869" s="82"/>
      <c r="T3869" s="82"/>
      <c r="U3869" s="82"/>
      <c r="V3869" s="82"/>
      <c r="W3869" s="82"/>
      <c r="X3869" s="82"/>
      <c r="Y3869" s="82"/>
      <c r="Z3869" s="82"/>
      <c r="AA3869" s="82"/>
      <c r="AB3869" s="82"/>
      <c r="AC3869" s="82"/>
      <c r="AD3869" s="82"/>
      <c r="AE3869" s="82"/>
      <c r="AF3869" s="82"/>
      <c r="AG3869" s="82"/>
      <c r="AH3869" s="82"/>
      <c r="AI3869" s="82"/>
      <c r="AJ3869" s="82"/>
      <c r="AK3869" s="82"/>
      <c r="AL3869" s="82"/>
      <c r="AM3869" s="82"/>
      <c r="AN3869" s="82"/>
      <c r="AO3869" s="82"/>
      <c r="AP3869" s="82"/>
      <c r="AQ3869" s="82"/>
      <c r="AR3869" s="82"/>
      <c r="AS3869" s="82"/>
      <c r="AT3869" s="82"/>
      <c r="AU3869" s="82"/>
      <c r="AV3869" s="82"/>
      <c r="AW3869" s="82" t="str">
        <f t="shared" si="1"/>
        <v/>
      </c>
      <c r="AX3869" s="83" t="str">
        <f t="array" ref="AX3869">IFERROR(DGET('SBV Import'!A:G,"SBV",{"RSC ID","Tier";B3869,A3869}))</f>
        <v/>
      </c>
      <c r="AY3869" s="82" t="str">
        <f t="shared" si="2"/>
        <v/>
      </c>
      <c r="AZ3869" s="82"/>
      <c r="BA3869" s="84" t="s">
        <v>152</v>
      </c>
      <c r="BB3869" s="84" t="str">
        <f>IFERROR(__xludf.DUMMYFUNCTION("iferror(if(A3869="""",,E3869&gt;=FILTER(Constants!$F$2:$F$10,Constants!$A$2:$A$10=A3869)))"),"")</f>
        <v/>
      </c>
    </row>
    <row r="3870">
      <c r="A3870" s="89"/>
      <c r="B3870" s="87"/>
      <c r="C3870" s="73"/>
      <c r="D3870" s="73"/>
      <c r="E3870" s="82"/>
      <c r="F3870" s="82"/>
      <c r="G3870" s="86"/>
      <c r="H3870" s="86"/>
      <c r="I3870" s="86"/>
      <c r="J3870" s="82"/>
      <c r="K3870" s="82"/>
      <c r="L3870" s="82"/>
      <c r="M3870" s="82"/>
      <c r="N3870" s="82"/>
      <c r="O3870" s="82"/>
      <c r="P3870" s="82"/>
      <c r="Q3870" s="82"/>
      <c r="R3870" s="82"/>
      <c r="S3870" s="82"/>
      <c r="T3870" s="82"/>
      <c r="U3870" s="82"/>
      <c r="V3870" s="82"/>
      <c r="W3870" s="82"/>
      <c r="X3870" s="82"/>
      <c r="Y3870" s="82"/>
      <c r="Z3870" s="82"/>
      <c r="AA3870" s="82"/>
      <c r="AB3870" s="82"/>
      <c r="AC3870" s="82"/>
      <c r="AD3870" s="82"/>
      <c r="AE3870" s="82"/>
      <c r="AF3870" s="82"/>
      <c r="AG3870" s="82"/>
      <c r="AH3870" s="82"/>
      <c r="AI3870" s="82"/>
      <c r="AJ3870" s="82"/>
      <c r="AK3870" s="82"/>
      <c r="AL3870" s="82"/>
      <c r="AM3870" s="82"/>
      <c r="AN3870" s="82"/>
      <c r="AO3870" s="82"/>
      <c r="AP3870" s="82"/>
      <c r="AQ3870" s="82"/>
      <c r="AR3870" s="82"/>
      <c r="AS3870" s="82"/>
      <c r="AT3870" s="82"/>
      <c r="AU3870" s="82"/>
      <c r="AV3870" s="82"/>
      <c r="AW3870" s="82" t="str">
        <f t="shared" si="1"/>
        <v/>
      </c>
      <c r="AX3870" s="83" t="str">
        <f t="array" ref="AX3870">IFERROR(DGET('SBV Import'!A:G,"SBV",{"RSC ID","Tier";B3870,A3870}))</f>
        <v/>
      </c>
      <c r="AY3870" s="82" t="str">
        <f t="shared" si="2"/>
        <v/>
      </c>
      <c r="AZ3870" s="82"/>
      <c r="BA3870" s="84" t="s">
        <v>152</v>
      </c>
      <c r="BB3870" s="84" t="str">
        <f>IFERROR(__xludf.DUMMYFUNCTION("iferror(if(A3870="""",,E3870&gt;=FILTER(Constants!$F$2:$F$10,Constants!$A$2:$A$10=A3870)))"),"")</f>
        <v/>
      </c>
    </row>
    <row r="3871">
      <c r="A3871" s="89"/>
      <c r="B3871" s="87"/>
      <c r="C3871" s="73"/>
      <c r="D3871" s="73"/>
      <c r="E3871" s="82"/>
      <c r="F3871" s="82"/>
      <c r="G3871" s="86"/>
      <c r="H3871" s="86"/>
      <c r="I3871" s="86"/>
      <c r="J3871" s="82"/>
      <c r="K3871" s="82"/>
      <c r="L3871" s="82"/>
      <c r="M3871" s="82"/>
      <c r="N3871" s="82"/>
      <c r="O3871" s="82"/>
      <c r="P3871" s="82"/>
      <c r="Q3871" s="82"/>
      <c r="R3871" s="82"/>
      <c r="S3871" s="82"/>
      <c r="T3871" s="82"/>
      <c r="U3871" s="82"/>
      <c r="V3871" s="82"/>
      <c r="W3871" s="82"/>
      <c r="X3871" s="82"/>
      <c r="Y3871" s="82"/>
      <c r="Z3871" s="82"/>
      <c r="AA3871" s="82"/>
      <c r="AB3871" s="82"/>
      <c r="AC3871" s="82"/>
      <c r="AD3871" s="82"/>
      <c r="AE3871" s="82"/>
      <c r="AF3871" s="82"/>
      <c r="AG3871" s="82"/>
      <c r="AH3871" s="82"/>
      <c r="AI3871" s="82"/>
      <c r="AJ3871" s="82"/>
      <c r="AK3871" s="82"/>
      <c r="AL3871" s="82"/>
      <c r="AM3871" s="82"/>
      <c r="AN3871" s="82"/>
      <c r="AO3871" s="82"/>
      <c r="AP3871" s="82"/>
      <c r="AQ3871" s="82"/>
      <c r="AR3871" s="82"/>
      <c r="AS3871" s="82"/>
      <c r="AT3871" s="82"/>
      <c r="AU3871" s="82"/>
      <c r="AV3871" s="82"/>
      <c r="AW3871" s="82" t="str">
        <f t="shared" si="1"/>
        <v/>
      </c>
      <c r="AX3871" s="83" t="str">
        <f t="array" ref="AX3871">IFERROR(DGET('SBV Import'!A:G,"SBV",{"RSC ID","Tier";B3871,A3871}))</f>
        <v/>
      </c>
      <c r="AY3871" s="82" t="str">
        <f t="shared" si="2"/>
        <v/>
      </c>
      <c r="AZ3871" s="82"/>
      <c r="BA3871" s="84" t="s">
        <v>152</v>
      </c>
      <c r="BB3871" s="84" t="str">
        <f>IFERROR(__xludf.DUMMYFUNCTION("iferror(if(A3871="""",,E3871&gt;=FILTER(Constants!$F$2:$F$10,Constants!$A$2:$A$10=A3871)))"),"")</f>
        <v/>
      </c>
    </row>
    <row r="3872">
      <c r="A3872" s="89"/>
      <c r="B3872" s="87"/>
      <c r="C3872" s="73"/>
      <c r="D3872" s="73"/>
      <c r="E3872" s="82"/>
      <c r="F3872" s="82"/>
      <c r="G3872" s="86"/>
      <c r="H3872" s="86"/>
      <c r="I3872" s="86"/>
      <c r="J3872" s="82"/>
      <c r="K3872" s="82"/>
      <c r="L3872" s="82"/>
      <c r="M3872" s="82"/>
      <c r="N3872" s="82"/>
      <c r="O3872" s="82"/>
      <c r="P3872" s="82"/>
      <c r="Q3872" s="82"/>
      <c r="R3872" s="82"/>
      <c r="S3872" s="82"/>
      <c r="T3872" s="82"/>
      <c r="U3872" s="82"/>
      <c r="V3872" s="82"/>
      <c r="W3872" s="82"/>
      <c r="X3872" s="82"/>
      <c r="Y3872" s="82"/>
      <c r="Z3872" s="82"/>
      <c r="AA3872" s="82"/>
      <c r="AB3872" s="82"/>
      <c r="AC3872" s="82"/>
      <c r="AD3872" s="82"/>
      <c r="AE3872" s="82"/>
      <c r="AF3872" s="82"/>
      <c r="AG3872" s="82"/>
      <c r="AH3872" s="82"/>
      <c r="AI3872" s="82"/>
      <c r="AJ3872" s="82"/>
      <c r="AK3872" s="82"/>
      <c r="AL3872" s="82"/>
      <c r="AM3872" s="82"/>
      <c r="AN3872" s="82"/>
      <c r="AO3872" s="82"/>
      <c r="AP3872" s="82"/>
      <c r="AQ3872" s="82"/>
      <c r="AR3872" s="82"/>
      <c r="AS3872" s="82"/>
      <c r="AT3872" s="82"/>
      <c r="AU3872" s="82"/>
      <c r="AV3872" s="82"/>
      <c r="AW3872" s="82" t="str">
        <f t="shared" si="1"/>
        <v/>
      </c>
      <c r="AX3872" s="83" t="str">
        <f t="array" ref="AX3872">IFERROR(DGET('SBV Import'!A:G,"SBV",{"RSC ID","Tier";B3872,A3872}))</f>
        <v/>
      </c>
      <c r="AY3872" s="82" t="str">
        <f t="shared" si="2"/>
        <v/>
      </c>
      <c r="AZ3872" s="82"/>
      <c r="BA3872" s="84" t="s">
        <v>152</v>
      </c>
      <c r="BB3872" s="84" t="str">
        <f>IFERROR(__xludf.DUMMYFUNCTION("iferror(if(A3872="""",,E3872&gt;=FILTER(Constants!$F$2:$F$10,Constants!$A$2:$A$10=A3872)))"),"")</f>
        <v/>
      </c>
    </row>
    <row r="3873">
      <c r="A3873" s="89"/>
      <c r="B3873" s="87"/>
      <c r="C3873" s="73"/>
      <c r="D3873" s="73"/>
      <c r="E3873" s="82"/>
      <c r="F3873" s="82"/>
      <c r="G3873" s="86"/>
      <c r="H3873" s="86"/>
      <c r="I3873" s="86"/>
      <c r="J3873" s="82"/>
      <c r="K3873" s="82"/>
      <c r="L3873" s="82"/>
      <c r="M3873" s="82"/>
      <c r="N3873" s="82"/>
      <c r="O3873" s="82"/>
      <c r="P3873" s="82"/>
      <c r="Q3873" s="82"/>
      <c r="R3873" s="82"/>
      <c r="S3873" s="82"/>
      <c r="T3873" s="82"/>
      <c r="U3873" s="82"/>
      <c r="V3873" s="82"/>
      <c r="W3873" s="82"/>
      <c r="X3873" s="82"/>
      <c r="Y3873" s="82"/>
      <c r="Z3873" s="82"/>
      <c r="AA3873" s="82"/>
      <c r="AB3873" s="82"/>
      <c r="AC3873" s="82"/>
      <c r="AD3873" s="82"/>
      <c r="AE3873" s="82"/>
      <c r="AF3873" s="82"/>
      <c r="AG3873" s="82"/>
      <c r="AH3873" s="82"/>
      <c r="AI3873" s="82"/>
      <c r="AJ3873" s="82"/>
      <c r="AK3873" s="82"/>
      <c r="AL3873" s="82"/>
      <c r="AM3873" s="82"/>
      <c r="AN3873" s="82"/>
      <c r="AO3873" s="82"/>
      <c r="AP3873" s="82"/>
      <c r="AQ3873" s="82"/>
      <c r="AR3873" s="82"/>
      <c r="AS3873" s="82"/>
      <c r="AT3873" s="82"/>
      <c r="AU3873" s="82"/>
      <c r="AV3873" s="82"/>
      <c r="AW3873" s="82" t="str">
        <f t="shared" si="1"/>
        <v/>
      </c>
      <c r="AX3873" s="83" t="str">
        <f t="array" ref="AX3873">IFERROR(DGET('SBV Import'!A:G,"SBV",{"RSC ID","Tier";B3873,A3873}))</f>
        <v/>
      </c>
      <c r="AY3873" s="82" t="str">
        <f t="shared" si="2"/>
        <v/>
      </c>
      <c r="AZ3873" s="82"/>
      <c r="BA3873" s="84" t="s">
        <v>152</v>
      </c>
      <c r="BB3873" s="84" t="str">
        <f>IFERROR(__xludf.DUMMYFUNCTION("iferror(if(A3873="""",,E3873&gt;=FILTER(Constants!$F$2:$F$10,Constants!$A$2:$A$10=A3873)))"),"")</f>
        <v/>
      </c>
    </row>
    <row r="3874">
      <c r="A3874" s="89"/>
      <c r="B3874" s="87"/>
      <c r="C3874" s="73"/>
      <c r="D3874" s="73"/>
      <c r="E3874" s="82"/>
      <c r="F3874" s="82"/>
      <c r="G3874" s="86"/>
      <c r="H3874" s="86"/>
      <c r="I3874" s="86"/>
      <c r="J3874" s="82"/>
      <c r="K3874" s="82"/>
      <c r="L3874" s="82"/>
      <c r="M3874" s="82"/>
      <c r="N3874" s="82"/>
      <c r="O3874" s="82"/>
      <c r="P3874" s="82"/>
      <c r="Q3874" s="82"/>
      <c r="R3874" s="82"/>
      <c r="S3874" s="82"/>
      <c r="T3874" s="82"/>
      <c r="U3874" s="82"/>
      <c r="V3874" s="82"/>
      <c r="W3874" s="82"/>
      <c r="X3874" s="82"/>
      <c r="Y3874" s="82"/>
      <c r="Z3874" s="82"/>
      <c r="AA3874" s="82"/>
      <c r="AB3874" s="82"/>
      <c r="AC3874" s="82"/>
      <c r="AD3874" s="82"/>
      <c r="AE3874" s="82"/>
      <c r="AF3874" s="82"/>
      <c r="AG3874" s="82"/>
      <c r="AH3874" s="82"/>
      <c r="AI3874" s="82"/>
      <c r="AJ3874" s="82"/>
      <c r="AK3874" s="82"/>
      <c r="AL3874" s="82"/>
      <c r="AM3874" s="82"/>
      <c r="AN3874" s="82"/>
      <c r="AO3874" s="82"/>
      <c r="AP3874" s="82"/>
      <c r="AQ3874" s="82"/>
      <c r="AR3874" s="82"/>
      <c r="AS3874" s="82"/>
      <c r="AT3874" s="82"/>
      <c r="AU3874" s="82"/>
      <c r="AV3874" s="82"/>
      <c r="AW3874" s="82" t="str">
        <f t="shared" si="1"/>
        <v/>
      </c>
      <c r="AX3874" s="83" t="str">
        <f t="array" ref="AX3874">IFERROR(DGET('SBV Import'!A:G,"SBV",{"RSC ID","Tier";B3874,A3874}))</f>
        <v/>
      </c>
      <c r="AY3874" s="82" t="str">
        <f t="shared" si="2"/>
        <v/>
      </c>
      <c r="AZ3874" s="82"/>
      <c r="BA3874" s="84" t="s">
        <v>152</v>
      </c>
      <c r="BB3874" s="84" t="str">
        <f>IFERROR(__xludf.DUMMYFUNCTION("iferror(if(A3874="""",,E3874&gt;=FILTER(Constants!$F$2:$F$10,Constants!$A$2:$A$10=A3874)))"),"")</f>
        <v/>
      </c>
    </row>
    <row r="3875">
      <c r="A3875" s="89"/>
      <c r="B3875" s="87"/>
      <c r="C3875" s="73"/>
      <c r="D3875" s="73"/>
      <c r="E3875" s="82"/>
      <c r="F3875" s="82"/>
      <c r="G3875" s="86"/>
      <c r="H3875" s="86"/>
      <c r="I3875" s="86"/>
      <c r="J3875" s="82"/>
      <c r="K3875" s="82"/>
      <c r="L3875" s="82"/>
      <c r="M3875" s="82"/>
      <c r="N3875" s="82"/>
      <c r="O3875" s="82"/>
      <c r="P3875" s="82"/>
      <c r="Q3875" s="82"/>
      <c r="R3875" s="82"/>
      <c r="S3875" s="82"/>
      <c r="T3875" s="82"/>
      <c r="U3875" s="82"/>
      <c r="V3875" s="82"/>
      <c r="W3875" s="82"/>
      <c r="X3875" s="82"/>
      <c r="Y3875" s="82"/>
      <c r="Z3875" s="82"/>
      <c r="AA3875" s="82"/>
      <c r="AB3875" s="82"/>
      <c r="AC3875" s="82"/>
      <c r="AD3875" s="82"/>
      <c r="AE3875" s="82"/>
      <c r="AF3875" s="82"/>
      <c r="AG3875" s="82"/>
      <c r="AH3875" s="82"/>
      <c r="AI3875" s="82"/>
      <c r="AJ3875" s="82"/>
      <c r="AK3875" s="82"/>
      <c r="AL3875" s="82"/>
      <c r="AM3875" s="82"/>
      <c r="AN3875" s="82"/>
      <c r="AO3875" s="82"/>
      <c r="AP3875" s="82"/>
      <c r="AQ3875" s="82"/>
      <c r="AR3875" s="82"/>
      <c r="AS3875" s="82"/>
      <c r="AT3875" s="82"/>
      <c r="AU3875" s="82"/>
      <c r="AV3875" s="82"/>
      <c r="AW3875" s="82" t="str">
        <f t="shared" si="1"/>
        <v/>
      </c>
      <c r="AX3875" s="83" t="str">
        <f t="array" ref="AX3875">IFERROR(DGET('SBV Import'!A:G,"SBV",{"RSC ID","Tier";B3875,A3875}))</f>
        <v/>
      </c>
      <c r="AY3875" s="82" t="str">
        <f t="shared" si="2"/>
        <v/>
      </c>
      <c r="AZ3875" s="82"/>
      <c r="BA3875" s="84" t="s">
        <v>152</v>
      </c>
      <c r="BB3875" s="84" t="str">
        <f>IFERROR(__xludf.DUMMYFUNCTION("iferror(if(A3875="""",,E3875&gt;=FILTER(Constants!$F$2:$F$10,Constants!$A$2:$A$10=A3875)))"),"")</f>
        <v/>
      </c>
    </row>
    <row r="3876">
      <c r="A3876" s="89"/>
      <c r="B3876" s="87"/>
      <c r="C3876" s="73"/>
      <c r="D3876" s="73"/>
      <c r="E3876" s="82"/>
      <c r="F3876" s="82"/>
      <c r="G3876" s="86"/>
      <c r="H3876" s="86"/>
      <c r="I3876" s="86"/>
      <c r="J3876" s="82"/>
      <c r="K3876" s="82"/>
      <c r="L3876" s="82"/>
      <c r="M3876" s="82"/>
      <c r="N3876" s="82"/>
      <c r="O3876" s="82"/>
      <c r="P3876" s="82"/>
      <c r="Q3876" s="82"/>
      <c r="R3876" s="82"/>
      <c r="S3876" s="82"/>
      <c r="T3876" s="82"/>
      <c r="U3876" s="82"/>
      <c r="V3876" s="82"/>
      <c r="W3876" s="82"/>
      <c r="X3876" s="82"/>
      <c r="Y3876" s="82"/>
      <c r="Z3876" s="82"/>
      <c r="AA3876" s="82"/>
      <c r="AB3876" s="82"/>
      <c r="AC3876" s="82"/>
      <c r="AD3876" s="82"/>
      <c r="AE3876" s="82"/>
      <c r="AF3876" s="82"/>
      <c r="AG3876" s="82"/>
      <c r="AH3876" s="82"/>
      <c r="AI3876" s="82"/>
      <c r="AJ3876" s="82"/>
      <c r="AK3876" s="82"/>
      <c r="AL3876" s="82"/>
      <c r="AM3876" s="82"/>
      <c r="AN3876" s="82"/>
      <c r="AO3876" s="82"/>
      <c r="AP3876" s="82"/>
      <c r="AQ3876" s="82"/>
      <c r="AR3876" s="82"/>
      <c r="AS3876" s="82"/>
      <c r="AT3876" s="82"/>
      <c r="AU3876" s="82"/>
      <c r="AV3876" s="82"/>
      <c r="AW3876" s="82" t="str">
        <f t="shared" si="1"/>
        <v/>
      </c>
      <c r="AX3876" s="83" t="str">
        <f t="array" ref="AX3876">IFERROR(DGET('SBV Import'!A:G,"SBV",{"RSC ID","Tier";B3876,A3876}))</f>
        <v/>
      </c>
      <c r="AY3876" s="82" t="str">
        <f t="shared" si="2"/>
        <v/>
      </c>
      <c r="AZ3876" s="82"/>
      <c r="BA3876" s="84" t="s">
        <v>152</v>
      </c>
      <c r="BB3876" s="84" t="str">
        <f>IFERROR(__xludf.DUMMYFUNCTION("iferror(if(A3876="""",,E3876&gt;=FILTER(Constants!$F$2:$F$10,Constants!$A$2:$A$10=A3876)))"),"")</f>
        <v/>
      </c>
    </row>
    <row r="3877">
      <c r="A3877" s="89"/>
      <c r="B3877" s="87"/>
      <c r="C3877" s="73"/>
      <c r="D3877" s="73"/>
      <c r="E3877" s="82"/>
      <c r="F3877" s="82"/>
      <c r="G3877" s="86"/>
      <c r="H3877" s="86"/>
      <c r="I3877" s="86"/>
      <c r="J3877" s="82"/>
      <c r="K3877" s="82"/>
      <c r="L3877" s="82"/>
      <c r="M3877" s="82"/>
      <c r="N3877" s="82"/>
      <c r="O3877" s="82"/>
      <c r="P3877" s="82"/>
      <c r="Q3877" s="82"/>
      <c r="R3877" s="82"/>
      <c r="S3877" s="82"/>
      <c r="T3877" s="82"/>
      <c r="U3877" s="82"/>
      <c r="V3877" s="82"/>
      <c r="W3877" s="82"/>
      <c r="X3877" s="82"/>
      <c r="Y3877" s="82"/>
      <c r="Z3877" s="82"/>
      <c r="AA3877" s="82"/>
      <c r="AB3877" s="82"/>
      <c r="AC3877" s="82"/>
      <c r="AD3877" s="82"/>
      <c r="AE3877" s="82"/>
      <c r="AF3877" s="82"/>
      <c r="AG3877" s="82"/>
      <c r="AH3877" s="82"/>
      <c r="AI3877" s="82"/>
      <c r="AJ3877" s="82"/>
      <c r="AK3877" s="82"/>
      <c r="AL3877" s="82"/>
      <c r="AM3877" s="82"/>
      <c r="AN3877" s="82"/>
      <c r="AO3877" s="82"/>
      <c r="AP3877" s="82"/>
      <c r="AQ3877" s="82"/>
      <c r="AR3877" s="82"/>
      <c r="AS3877" s="82"/>
      <c r="AT3877" s="82"/>
      <c r="AU3877" s="82"/>
      <c r="AV3877" s="82"/>
      <c r="AW3877" s="82" t="str">
        <f t="shared" si="1"/>
        <v/>
      </c>
      <c r="AX3877" s="83" t="str">
        <f t="array" ref="AX3877">IFERROR(DGET('SBV Import'!A:G,"SBV",{"RSC ID","Tier";B3877,A3877}))</f>
        <v/>
      </c>
      <c r="AY3877" s="82" t="str">
        <f t="shared" si="2"/>
        <v/>
      </c>
      <c r="AZ3877" s="82"/>
      <c r="BA3877" s="84" t="s">
        <v>152</v>
      </c>
      <c r="BB3877" s="84" t="str">
        <f>IFERROR(__xludf.DUMMYFUNCTION("iferror(if(A3877="""",,E3877&gt;=FILTER(Constants!$F$2:$F$10,Constants!$A$2:$A$10=A3877)))"),"")</f>
        <v/>
      </c>
    </row>
    <row r="3878">
      <c r="A3878" s="89"/>
      <c r="B3878" s="87"/>
      <c r="C3878" s="73"/>
      <c r="D3878" s="73"/>
      <c r="E3878" s="82"/>
      <c r="F3878" s="82"/>
      <c r="G3878" s="86"/>
      <c r="H3878" s="86"/>
      <c r="I3878" s="86"/>
      <c r="J3878" s="82"/>
      <c r="K3878" s="82"/>
      <c r="L3878" s="82"/>
      <c r="M3878" s="82"/>
      <c r="N3878" s="82"/>
      <c r="O3878" s="82"/>
      <c r="P3878" s="82"/>
      <c r="Q3878" s="82"/>
      <c r="R3878" s="82"/>
      <c r="S3878" s="82"/>
      <c r="T3878" s="82"/>
      <c r="U3878" s="82"/>
      <c r="V3878" s="82"/>
      <c r="W3878" s="82"/>
      <c r="X3878" s="82"/>
      <c r="Y3878" s="82"/>
      <c r="Z3878" s="82"/>
      <c r="AA3878" s="82"/>
      <c r="AB3878" s="82"/>
      <c r="AC3878" s="82"/>
      <c r="AD3878" s="82"/>
      <c r="AE3878" s="82"/>
      <c r="AF3878" s="82"/>
      <c r="AG3878" s="82"/>
      <c r="AH3878" s="82"/>
      <c r="AI3878" s="82"/>
      <c r="AJ3878" s="82"/>
      <c r="AK3878" s="82"/>
      <c r="AL3878" s="82"/>
      <c r="AM3878" s="82"/>
      <c r="AN3878" s="82"/>
      <c r="AO3878" s="82"/>
      <c r="AP3878" s="82"/>
      <c r="AQ3878" s="82"/>
      <c r="AR3878" s="82"/>
      <c r="AS3878" s="82"/>
      <c r="AT3878" s="82"/>
      <c r="AU3878" s="82"/>
      <c r="AV3878" s="82"/>
      <c r="AW3878" s="82" t="str">
        <f t="shared" si="1"/>
        <v/>
      </c>
      <c r="AX3878" s="83" t="str">
        <f t="array" ref="AX3878">IFERROR(DGET('SBV Import'!A:G,"SBV",{"RSC ID","Tier";B3878,A3878}))</f>
        <v/>
      </c>
      <c r="AY3878" s="82" t="str">
        <f t="shared" si="2"/>
        <v/>
      </c>
      <c r="AZ3878" s="82"/>
      <c r="BA3878" s="84" t="s">
        <v>152</v>
      </c>
      <c r="BB3878" s="84" t="str">
        <f>IFERROR(__xludf.DUMMYFUNCTION("iferror(if(A3878="""",,E3878&gt;=FILTER(Constants!$F$2:$F$10,Constants!$A$2:$A$10=A3878)))"),"")</f>
        <v/>
      </c>
    </row>
    <row r="3879">
      <c r="A3879" s="89"/>
      <c r="B3879" s="87"/>
      <c r="C3879" s="73"/>
      <c r="D3879" s="73"/>
      <c r="E3879" s="82"/>
      <c r="F3879" s="82"/>
      <c r="G3879" s="86"/>
      <c r="H3879" s="86"/>
      <c r="I3879" s="86"/>
      <c r="J3879" s="82"/>
      <c r="K3879" s="82"/>
      <c r="L3879" s="82"/>
      <c r="M3879" s="82"/>
      <c r="N3879" s="82"/>
      <c r="O3879" s="82"/>
      <c r="P3879" s="82"/>
      <c r="Q3879" s="82"/>
      <c r="R3879" s="82"/>
      <c r="S3879" s="82"/>
      <c r="T3879" s="82"/>
      <c r="U3879" s="82"/>
      <c r="V3879" s="82"/>
      <c r="W3879" s="82"/>
      <c r="X3879" s="82"/>
      <c r="Y3879" s="82"/>
      <c r="Z3879" s="82"/>
      <c r="AA3879" s="82"/>
      <c r="AB3879" s="82"/>
      <c r="AC3879" s="82"/>
      <c r="AD3879" s="82"/>
      <c r="AE3879" s="82"/>
      <c r="AF3879" s="82"/>
      <c r="AG3879" s="82"/>
      <c r="AH3879" s="82"/>
      <c r="AI3879" s="82"/>
      <c r="AJ3879" s="82"/>
      <c r="AK3879" s="82"/>
      <c r="AL3879" s="82"/>
      <c r="AM3879" s="82"/>
      <c r="AN3879" s="82"/>
      <c r="AO3879" s="82"/>
      <c r="AP3879" s="82"/>
      <c r="AQ3879" s="82"/>
      <c r="AR3879" s="82"/>
      <c r="AS3879" s="82"/>
      <c r="AT3879" s="82"/>
      <c r="AU3879" s="82"/>
      <c r="AV3879" s="82"/>
      <c r="AW3879" s="82" t="str">
        <f t="shared" si="1"/>
        <v/>
      </c>
      <c r="AX3879" s="83" t="str">
        <f t="array" ref="AX3879">IFERROR(DGET('SBV Import'!A:G,"SBV",{"RSC ID","Tier";B3879,A3879}))</f>
        <v/>
      </c>
      <c r="AY3879" s="82" t="str">
        <f t="shared" si="2"/>
        <v/>
      </c>
      <c r="AZ3879" s="82"/>
      <c r="BA3879" s="84" t="s">
        <v>152</v>
      </c>
      <c r="BB3879" s="84" t="str">
        <f>IFERROR(__xludf.DUMMYFUNCTION("iferror(if(A3879="""",,E3879&gt;=FILTER(Constants!$F$2:$F$10,Constants!$A$2:$A$10=A3879)))"),"")</f>
        <v/>
      </c>
    </row>
    <row r="3880">
      <c r="A3880" s="89"/>
      <c r="B3880" s="87"/>
      <c r="C3880" s="73"/>
      <c r="D3880" s="73"/>
      <c r="E3880" s="82"/>
      <c r="F3880" s="82"/>
      <c r="G3880" s="86"/>
      <c r="H3880" s="86"/>
      <c r="I3880" s="86"/>
      <c r="J3880" s="82"/>
      <c r="K3880" s="82"/>
      <c r="L3880" s="82"/>
      <c r="M3880" s="82"/>
      <c r="N3880" s="82"/>
      <c r="O3880" s="82"/>
      <c r="P3880" s="82"/>
      <c r="Q3880" s="82"/>
      <c r="R3880" s="82"/>
      <c r="S3880" s="82"/>
      <c r="T3880" s="82"/>
      <c r="U3880" s="82"/>
      <c r="V3880" s="82"/>
      <c r="W3880" s="82"/>
      <c r="X3880" s="82"/>
      <c r="Y3880" s="82"/>
      <c r="Z3880" s="82"/>
      <c r="AA3880" s="82"/>
      <c r="AB3880" s="82"/>
      <c r="AC3880" s="82"/>
      <c r="AD3880" s="82"/>
      <c r="AE3880" s="82"/>
      <c r="AF3880" s="82"/>
      <c r="AG3880" s="82"/>
      <c r="AH3880" s="82"/>
      <c r="AI3880" s="82"/>
      <c r="AJ3880" s="82"/>
      <c r="AK3880" s="82"/>
      <c r="AL3880" s="82"/>
      <c r="AM3880" s="82"/>
      <c r="AN3880" s="82"/>
      <c r="AO3880" s="82"/>
      <c r="AP3880" s="82"/>
      <c r="AQ3880" s="82"/>
      <c r="AR3880" s="82"/>
      <c r="AS3880" s="82"/>
      <c r="AT3880" s="82"/>
      <c r="AU3880" s="82"/>
      <c r="AV3880" s="82"/>
      <c r="AW3880" s="82" t="str">
        <f t="shared" si="1"/>
        <v/>
      </c>
      <c r="AX3880" s="83" t="str">
        <f t="array" ref="AX3880">IFERROR(DGET('SBV Import'!A:G,"SBV",{"RSC ID","Tier";B3880,A3880}))</f>
        <v/>
      </c>
      <c r="AY3880" s="82" t="str">
        <f t="shared" si="2"/>
        <v/>
      </c>
      <c r="AZ3880" s="82"/>
      <c r="BA3880" s="84" t="s">
        <v>152</v>
      </c>
      <c r="BB3880" s="84" t="str">
        <f>IFERROR(__xludf.DUMMYFUNCTION("iferror(if(A3880="""",,E3880&gt;=FILTER(Constants!$F$2:$F$10,Constants!$A$2:$A$10=A3880)))"),"")</f>
        <v/>
      </c>
    </row>
    <row r="3881">
      <c r="A3881" s="89"/>
      <c r="B3881" s="87"/>
      <c r="C3881" s="73"/>
      <c r="D3881" s="73"/>
      <c r="E3881" s="82"/>
      <c r="F3881" s="82"/>
      <c r="G3881" s="86"/>
      <c r="H3881" s="86"/>
      <c r="I3881" s="86"/>
      <c r="J3881" s="82"/>
      <c r="K3881" s="82"/>
      <c r="L3881" s="82"/>
      <c r="M3881" s="82"/>
      <c r="N3881" s="82"/>
      <c r="O3881" s="82"/>
      <c r="P3881" s="82"/>
      <c r="Q3881" s="82"/>
      <c r="R3881" s="82"/>
      <c r="S3881" s="82"/>
      <c r="T3881" s="82"/>
      <c r="U3881" s="82"/>
      <c r="V3881" s="82"/>
      <c r="W3881" s="82"/>
      <c r="X3881" s="82"/>
      <c r="Y3881" s="82"/>
      <c r="Z3881" s="82"/>
      <c r="AA3881" s="82"/>
      <c r="AB3881" s="82"/>
      <c r="AC3881" s="82"/>
      <c r="AD3881" s="82"/>
      <c r="AE3881" s="82"/>
      <c r="AF3881" s="82"/>
      <c r="AG3881" s="82"/>
      <c r="AH3881" s="82"/>
      <c r="AI3881" s="82"/>
      <c r="AJ3881" s="82"/>
      <c r="AK3881" s="82"/>
      <c r="AL3881" s="82"/>
      <c r="AM3881" s="82"/>
      <c r="AN3881" s="82"/>
      <c r="AO3881" s="82"/>
      <c r="AP3881" s="82"/>
      <c r="AQ3881" s="82"/>
      <c r="AR3881" s="82"/>
      <c r="AS3881" s="82"/>
      <c r="AT3881" s="82"/>
      <c r="AU3881" s="82"/>
      <c r="AV3881" s="82"/>
      <c r="AW3881" s="82" t="str">
        <f t="shared" si="1"/>
        <v/>
      </c>
      <c r="AX3881" s="83" t="str">
        <f t="array" ref="AX3881">IFERROR(DGET('SBV Import'!A:G,"SBV",{"RSC ID","Tier";B3881,A3881}))</f>
        <v/>
      </c>
      <c r="AY3881" s="82" t="str">
        <f t="shared" si="2"/>
        <v/>
      </c>
      <c r="AZ3881" s="82"/>
      <c r="BA3881" s="84" t="s">
        <v>152</v>
      </c>
      <c r="BB3881" s="84" t="str">
        <f>IFERROR(__xludf.DUMMYFUNCTION("iferror(if(A3881="""",,E3881&gt;=FILTER(Constants!$F$2:$F$10,Constants!$A$2:$A$10=A3881)))"),"")</f>
        <v/>
      </c>
    </row>
    <row r="3882">
      <c r="A3882" s="89"/>
      <c r="B3882" s="87"/>
      <c r="C3882" s="73"/>
      <c r="D3882" s="73"/>
      <c r="E3882" s="82"/>
      <c r="F3882" s="82"/>
      <c r="G3882" s="86"/>
      <c r="H3882" s="86"/>
      <c r="I3882" s="86"/>
      <c r="J3882" s="82"/>
      <c r="K3882" s="82"/>
      <c r="L3882" s="82"/>
      <c r="M3882" s="82"/>
      <c r="N3882" s="82"/>
      <c r="O3882" s="82"/>
      <c r="P3882" s="82"/>
      <c r="Q3882" s="82"/>
      <c r="R3882" s="82"/>
      <c r="S3882" s="82"/>
      <c r="T3882" s="82"/>
      <c r="U3882" s="82"/>
      <c r="V3882" s="82"/>
      <c r="W3882" s="82"/>
      <c r="X3882" s="82"/>
      <c r="Y3882" s="82"/>
      <c r="Z3882" s="82"/>
      <c r="AA3882" s="82"/>
      <c r="AB3882" s="82"/>
      <c r="AC3882" s="82"/>
      <c r="AD3882" s="82"/>
      <c r="AE3882" s="82"/>
      <c r="AF3882" s="82"/>
      <c r="AG3882" s="82"/>
      <c r="AH3882" s="82"/>
      <c r="AI3882" s="82"/>
      <c r="AJ3882" s="82"/>
      <c r="AK3882" s="82"/>
      <c r="AL3882" s="82"/>
      <c r="AM3882" s="82"/>
      <c r="AN3882" s="82"/>
      <c r="AO3882" s="82"/>
      <c r="AP3882" s="82"/>
      <c r="AQ3882" s="82"/>
      <c r="AR3882" s="82"/>
      <c r="AS3882" s="82"/>
      <c r="AT3882" s="82"/>
      <c r="AU3882" s="82"/>
      <c r="AV3882" s="82"/>
      <c r="AW3882" s="82" t="str">
        <f t="shared" si="1"/>
        <v/>
      </c>
      <c r="AX3882" s="83" t="str">
        <f t="array" ref="AX3882">IFERROR(DGET('SBV Import'!A:G,"SBV",{"RSC ID","Tier";B3882,A3882}))</f>
        <v/>
      </c>
      <c r="AY3882" s="82" t="str">
        <f t="shared" si="2"/>
        <v/>
      </c>
      <c r="AZ3882" s="82"/>
      <c r="BA3882" s="84" t="s">
        <v>152</v>
      </c>
      <c r="BB3882" s="84" t="str">
        <f>IFERROR(__xludf.DUMMYFUNCTION("iferror(if(A3882="""",,E3882&gt;=FILTER(Constants!$F$2:$F$10,Constants!$A$2:$A$10=A3882)))"),"")</f>
        <v/>
      </c>
    </row>
    <row r="3883">
      <c r="A3883" s="89"/>
      <c r="B3883" s="87"/>
      <c r="C3883" s="73"/>
      <c r="D3883" s="73"/>
      <c r="E3883" s="82"/>
      <c r="F3883" s="82"/>
      <c r="G3883" s="86"/>
      <c r="H3883" s="86"/>
      <c r="I3883" s="86"/>
      <c r="J3883" s="82"/>
      <c r="K3883" s="82"/>
      <c r="L3883" s="82"/>
      <c r="M3883" s="82"/>
      <c r="N3883" s="82"/>
      <c r="O3883" s="82"/>
      <c r="P3883" s="82"/>
      <c r="Q3883" s="82"/>
      <c r="R3883" s="82"/>
      <c r="S3883" s="82"/>
      <c r="T3883" s="82"/>
      <c r="U3883" s="82"/>
      <c r="V3883" s="82"/>
      <c r="W3883" s="82"/>
      <c r="X3883" s="82"/>
      <c r="Y3883" s="82"/>
      <c r="Z3883" s="82"/>
      <c r="AA3883" s="82"/>
      <c r="AB3883" s="82"/>
      <c r="AC3883" s="82"/>
      <c r="AD3883" s="82"/>
      <c r="AE3883" s="82"/>
      <c r="AF3883" s="82"/>
      <c r="AG3883" s="82"/>
      <c r="AH3883" s="82"/>
      <c r="AI3883" s="82"/>
      <c r="AJ3883" s="82"/>
      <c r="AK3883" s="82"/>
      <c r="AL3883" s="82"/>
      <c r="AM3883" s="82"/>
      <c r="AN3883" s="82"/>
      <c r="AO3883" s="82"/>
      <c r="AP3883" s="82"/>
      <c r="AQ3883" s="82"/>
      <c r="AR3883" s="82"/>
      <c r="AS3883" s="82"/>
      <c r="AT3883" s="82"/>
      <c r="AU3883" s="82"/>
      <c r="AV3883" s="82"/>
      <c r="AW3883" s="82" t="str">
        <f t="shared" si="1"/>
        <v/>
      </c>
      <c r="AX3883" s="83" t="str">
        <f t="array" ref="AX3883">IFERROR(DGET('SBV Import'!A:G,"SBV",{"RSC ID","Tier";B3883,A3883}))</f>
        <v/>
      </c>
      <c r="AY3883" s="82" t="str">
        <f t="shared" si="2"/>
        <v/>
      </c>
      <c r="AZ3883" s="82"/>
      <c r="BA3883" s="84" t="s">
        <v>152</v>
      </c>
      <c r="BB3883" s="84" t="str">
        <f>IFERROR(__xludf.DUMMYFUNCTION("iferror(if(A3883="""",,E3883&gt;=FILTER(Constants!$F$2:$F$10,Constants!$A$2:$A$10=A3883)))"),"")</f>
        <v/>
      </c>
    </row>
    <row r="3884">
      <c r="A3884" s="89"/>
      <c r="B3884" s="87"/>
      <c r="C3884" s="73"/>
      <c r="D3884" s="73"/>
      <c r="E3884" s="82"/>
      <c r="F3884" s="82"/>
      <c r="G3884" s="86"/>
      <c r="H3884" s="86"/>
      <c r="I3884" s="86"/>
      <c r="J3884" s="82"/>
      <c r="K3884" s="82"/>
      <c r="L3884" s="82"/>
      <c r="M3884" s="82"/>
      <c r="N3884" s="82"/>
      <c r="O3884" s="82"/>
      <c r="P3884" s="82"/>
      <c r="Q3884" s="82"/>
      <c r="R3884" s="82"/>
      <c r="S3884" s="82"/>
      <c r="T3884" s="82"/>
      <c r="U3884" s="82"/>
      <c r="V3884" s="82"/>
      <c r="W3884" s="82"/>
      <c r="X3884" s="82"/>
      <c r="Y3884" s="82"/>
      <c r="Z3884" s="82"/>
      <c r="AA3884" s="82"/>
      <c r="AB3884" s="82"/>
      <c r="AC3884" s="82"/>
      <c r="AD3884" s="82"/>
      <c r="AE3884" s="82"/>
      <c r="AF3884" s="82"/>
      <c r="AG3884" s="82"/>
      <c r="AH3884" s="82"/>
      <c r="AI3884" s="82"/>
      <c r="AJ3884" s="82"/>
      <c r="AK3884" s="82"/>
      <c r="AL3884" s="82"/>
      <c r="AM3884" s="82"/>
      <c r="AN3884" s="82"/>
      <c r="AO3884" s="82"/>
      <c r="AP3884" s="82"/>
      <c r="AQ3884" s="82"/>
      <c r="AR3884" s="82"/>
      <c r="AS3884" s="82"/>
      <c r="AT3884" s="82"/>
      <c r="AU3884" s="82"/>
      <c r="AV3884" s="82"/>
      <c r="AW3884" s="82" t="str">
        <f t="shared" si="1"/>
        <v/>
      </c>
      <c r="AX3884" s="83" t="str">
        <f t="array" ref="AX3884">IFERROR(DGET('SBV Import'!A:G,"SBV",{"RSC ID","Tier";B3884,A3884}))</f>
        <v/>
      </c>
      <c r="AY3884" s="82" t="str">
        <f t="shared" si="2"/>
        <v/>
      </c>
      <c r="AZ3884" s="82"/>
      <c r="BA3884" s="84" t="s">
        <v>152</v>
      </c>
      <c r="BB3884" s="84" t="str">
        <f>IFERROR(__xludf.DUMMYFUNCTION("iferror(if(A3884="""",,E3884&gt;=FILTER(Constants!$F$2:$F$10,Constants!$A$2:$A$10=A3884)))"),"")</f>
        <v/>
      </c>
    </row>
    <row r="3885">
      <c r="A3885" s="89"/>
      <c r="B3885" s="87"/>
      <c r="C3885" s="73"/>
      <c r="D3885" s="73"/>
      <c r="E3885" s="82"/>
      <c r="F3885" s="82"/>
      <c r="G3885" s="86"/>
      <c r="H3885" s="86"/>
      <c r="I3885" s="86"/>
      <c r="J3885" s="82"/>
      <c r="K3885" s="82"/>
      <c r="L3885" s="82"/>
      <c r="M3885" s="82"/>
      <c r="N3885" s="82"/>
      <c r="O3885" s="82"/>
      <c r="P3885" s="82"/>
      <c r="Q3885" s="82"/>
      <c r="R3885" s="82"/>
      <c r="S3885" s="82"/>
      <c r="T3885" s="82"/>
      <c r="U3885" s="82"/>
      <c r="V3885" s="82"/>
      <c r="W3885" s="82"/>
      <c r="X3885" s="82"/>
      <c r="Y3885" s="82"/>
      <c r="Z3885" s="82"/>
      <c r="AA3885" s="82"/>
      <c r="AB3885" s="82"/>
      <c r="AC3885" s="82"/>
      <c r="AD3885" s="82"/>
      <c r="AE3885" s="82"/>
      <c r="AF3885" s="82"/>
      <c r="AG3885" s="82"/>
      <c r="AH3885" s="82"/>
      <c r="AI3885" s="82"/>
      <c r="AJ3885" s="82"/>
      <c r="AK3885" s="82"/>
      <c r="AL3885" s="82"/>
      <c r="AM3885" s="82"/>
      <c r="AN3885" s="82"/>
      <c r="AO3885" s="82"/>
      <c r="AP3885" s="82"/>
      <c r="AQ3885" s="82"/>
      <c r="AR3885" s="82"/>
      <c r="AS3885" s="82"/>
      <c r="AT3885" s="82"/>
      <c r="AU3885" s="82"/>
      <c r="AV3885" s="82"/>
      <c r="AW3885" s="82" t="str">
        <f t="shared" si="1"/>
        <v/>
      </c>
      <c r="AX3885" s="83" t="str">
        <f t="array" ref="AX3885">IFERROR(DGET('SBV Import'!A:G,"SBV",{"RSC ID","Tier";B3885,A3885}))</f>
        <v/>
      </c>
      <c r="AY3885" s="82" t="str">
        <f t="shared" si="2"/>
        <v/>
      </c>
      <c r="AZ3885" s="82"/>
      <c r="BA3885" s="84" t="s">
        <v>152</v>
      </c>
      <c r="BB3885" s="84" t="str">
        <f>IFERROR(__xludf.DUMMYFUNCTION("iferror(if(A3885="""",,E3885&gt;=FILTER(Constants!$F$2:$F$10,Constants!$A$2:$A$10=A3885)))"),"")</f>
        <v/>
      </c>
    </row>
    <row r="3886">
      <c r="A3886" s="89"/>
      <c r="B3886" s="87"/>
      <c r="C3886" s="73"/>
      <c r="D3886" s="73"/>
      <c r="E3886" s="82"/>
      <c r="F3886" s="82"/>
      <c r="G3886" s="86"/>
      <c r="H3886" s="86"/>
      <c r="I3886" s="86"/>
      <c r="J3886" s="82"/>
      <c r="K3886" s="82"/>
      <c r="L3886" s="82"/>
      <c r="M3886" s="82"/>
      <c r="N3886" s="82"/>
      <c r="O3886" s="82"/>
      <c r="P3886" s="82"/>
      <c r="Q3886" s="82"/>
      <c r="R3886" s="82"/>
      <c r="S3886" s="82"/>
      <c r="T3886" s="82"/>
      <c r="U3886" s="82"/>
      <c r="V3886" s="82"/>
      <c r="W3886" s="82"/>
      <c r="X3886" s="82"/>
      <c r="Y3886" s="82"/>
      <c r="Z3886" s="82"/>
      <c r="AA3886" s="82"/>
      <c r="AB3886" s="82"/>
      <c r="AC3886" s="82"/>
      <c r="AD3886" s="82"/>
      <c r="AE3886" s="82"/>
      <c r="AF3886" s="82"/>
      <c r="AG3886" s="82"/>
      <c r="AH3886" s="82"/>
      <c r="AI3886" s="82"/>
      <c r="AJ3886" s="82"/>
      <c r="AK3886" s="82"/>
      <c r="AL3886" s="82"/>
      <c r="AM3886" s="82"/>
      <c r="AN3886" s="82"/>
      <c r="AO3886" s="82"/>
      <c r="AP3886" s="82"/>
      <c r="AQ3886" s="82"/>
      <c r="AR3886" s="82"/>
      <c r="AS3886" s="82"/>
      <c r="AT3886" s="82"/>
      <c r="AU3886" s="82"/>
      <c r="AV3886" s="82"/>
      <c r="AW3886" s="82" t="str">
        <f t="shared" si="1"/>
        <v/>
      </c>
      <c r="AX3886" s="83" t="str">
        <f t="array" ref="AX3886">IFERROR(DGET('SBV Import'!A:G,"SBV",{"RSC ID","Tier";B3886,A3886}))</f>
        <v/>
      </c>
      <c r="AY3886" s="82" t="str">
        <f t="shared" si="2"/>
        <v/>
      </c>
      <c r="AZ3886" s="82"/>
      <c r="BA3886" s="84" t="s">
        <v>152</v>
      </c>
      <c r="BB3886" s="84" t="str">
        <f>IFERROR(__xludf.DUMMYFUNCTION("iferror(if(A3886="""",,E3886&gt;=FILTER(Constants!$F$2:$F$10,Constants!$A$2:$A$10=A3886)))"),"")</f>
        <v/>
      </c>
    </row>
    <row r="3887">
      <c r="A3887" s="89"/>
      <c r="B3887" s="87"/>
      <c r="C3887" s="73"/>
      <c r="D3887" s="73"/>
      <c r="E3887" s="82"/>
      <c r="F3887" s="82"/>
      <c r="G3887" s="86"/>
      <c r="H3887" s="86"/>
      <c r="I3887" s="86"/>
      <c r="J3887" s="82"/>
      <c r="K3887" s="82"/>
      <c r="L3887" s="82"/>
      <c r="M3887" s="82"/>
      <c r="N3887" s="82"/>
      <c r="O3887" s="82"/>
      <c r="P3887" s="82"/>
      <c r="Q3887" s="82"/>
      <c r="R3887" s="82"/>
      <c r="S3887" s="82"/>
      <c r="T3887" s="82"/>
      <c r="U3887" s="82"/>
      <c r="V3887" s="82"/>
      <c r="W3887" s="82"/>
      <c r="X3887" s="82"/>
      <c r="Y3887" s="82"/>
      <c r="Z3887" s="82"/>
      <c r="AA3887" s="82"/>
      <c r="AB3887" s="82"/>
      <c r="AC3887" s="82"/>
      <c r="AD3887" s="82"/>
      <c r="AE3887" s="82"/>
      <c r="AF3887" s="82"/>
      <c r="AG3887" s="82"/>
      <c r="AH3887" s="82"/>
      <c r="AI3887" s="82"/>
      <c r="AJ3887" s="82"/>
      <c r="AK3887" s="82"/>
      <c r="AL3887" s="82"/>
      <c r="AM3887" s="82"/>
      <c r="AN3887" s="82"/>
      <c r="AO3887" s="82"/>
      <c r="AP3887" s="82"/>
      <c r="AQ3887" s="82"/>
      <c r="AR3887" s="82"/>
      <c r="AS3887" s="82"/>
      <c r="AT3887" s="82"/>
      <c r="AU3887" s="82"/>
      <c r="AV3887" s="82"/>
      <c r="AW3887" s="82" t="str">
        <f t="shared" si="1"/>
        <v/>
      </c>
      <c r="AX3887" s="83" t="str">
        <f t="array" ref="AX3887">IFERROR(DGET('SBV Import'!A:G,"SBV",{"RSC ID","Tier";B3887,A3887}))</f>
        <v/>
      </c>
      <c r="AY3887" s="82" t="str">
        <f t="shared" si="2"/>
        <v/>
      </c>
      <c r="AZ3887" s="82"/>
      <c r="BA3887" s="84" t="s">
        <v>152</v>
      </c>
      <c r="BB3887" s="84" t="str">
        <f>IFERROR(__xludf.DUMMYFUNCTION("iferror(if(A3887="""",,E3887&gt;=FILTER(Constants!$F$2:$F$10,Constants!$A$2:$A$10=A3887)))"),"")</f>
        <v/>
      </c>
    </row>
    <row r="3888">
      <c r="A3888" s="89"/>
      <c r="B3888" s="87"/>
      <c r="C3888" s="73"/>
      <c r="D3888" s="73"/>
      <c r="E3888" s="82"/>
      <c r="F3888" s="82"/>
      <c r="G3888" s="86"/>
      <c r="H3888" s="86"/>
      <c r="I3888" s="86"/>
      <c r="J3888" s="82"/>
      <c r="K3888" s="82"/>
      <c r="L3888" s="82"/>
      <c r="M3888" s="82"/>
      <c r="N3888" s="82"/>
      <c r="O3888" s="82"/>
      <c r="P3888" s="82"/>
      <c r="Q3888" s="82"/>
      <c r="R3888" s="82"/>
      <c r="S3888" s="82"/>
      <c r="T3888" s="82"/>
      <c r="U3888" s="82"/>
      <c r="V3888" s="82"/>
      <c r="W3888" s="82"/>
      <c r="X3888" s="82"/>
      <c r="Y3888" s="82"/>
      <c r="Z3888" s="82"/>
      <c r="AA3888" s="82"/>
      <c r="AB3888" s="82"/>
      <c r="AC3888" s="82"/>
      <c r="AD3888" s="82"/>
      <c r="AE3888" s="82"/>
      <c r="AF3888" s="82"/>
      <c r="AG3888" s="82"/>
      <c r="AH3888" s="82"/>
      <c r="AI3888" s="82"/>
      <c r="AJ3888" s="82"/>
      <c r="AK3888" s="82"/>
      <c r="AL3888" s="82"/>
      <c r="AM3888" s="82"/>
      <c r="AN3888" s="82"/>
      <c r="AO3888" s="82"/>
      <c r="AP3888" s="82"/>
      <c r="AQ3888" s="82"/>
      <c r="AR3888" s="82"/>
      <c r="AS3888" s="82"/>
      <c r="AT3888" s="82"/>
      <c r="AU3888" s="82"/>
      <c r="AV3888" s="82"/>
      <c r="AW3888" s="82" t="str">
        <f t="shared" si="1"/>
        <v/>
      </c>
      <c r="AX3888" s="83" t="str">
        <f t="array" ref="AX3888">IFERROR(DGET('SBV Import'!A:G,"SBV",{"RSC ID","Tier";B3888,A3888}))</f>
        <v/>
      </c>
      <c r="AY3888" s="82" t="str">
        <f t="shared" si="2"/>
        <v/>
      </c>
      <c r="AZ3888" s="82"/>
      <c r="BA3888" s="84" t="s">
        <v>152</v>
      </c>
      <c r="BB3888" s="84" t="str">
        <f>IFERROR(__xludf.DUMMYFUNCTION("iferror(if(A3888="""",,E3888&gt;=FILTER(Constants!$F$2:$F$10,Constants!$A$2:$A$10=A3888)))"),"")</f>
        <v/>
      </c>
    </row>
    <row r="3889">
      <c r="A3889" s="89"/>
      <c r="B3889" s="87"/>
      <c r="C3889" s="73"/>
      <c r="D3889" s="73"/>
      <c r="E3889" s="82"/>
      <c r="F3889" s="82"/>
      <c r="G3889" s="86"/>
      <c r="H3889" s="86"/>
      <c r="I3889" s="86"/>
      <c r="J3889" s="82"/>
      <c r="K3889" s="82"/>
      <c r="L3889" s="82"/>
      <c r="M3889" s="82"/>
      <c r="N3889" s="82"/>
      <c r="O3889" s="82"/>
      <c r="P3889" s="82"/>
      <c r="Q3889" s="82"/>
      <c r="R3889" s="82"/>
      <c r="S3889" s="82"/>
      <c r="T3889" s="82"/>
      <c r="U3889" s="82"/>
      <c r="V3889" s="82"/>
      <c r="W3889" s="82"/>
      <c r="X3889" s="82"/>
      <c r="Y3889" s="82"/>
      <c r="Z3889" s="82"/>
      <c r="AA3889" s="82"/>
      <c r="AB3889" s="82"/>
      <c r="AC3889" s="82"/>
      <c r="AD3889" s="82"/>
      <c r="AE3889" s="82"/>
      <c r="AF3889" s="82"/>
      <c r="AG3889" s="82"/>
      <c r="AH3889" s="82"/>
      <c r="AI3889" s="82"/>
      <c r="AJ3889" s="82"/>
      <c r="AK3889" s="82"/>
      <c r="AL3889" s="82"/>
      <c r="AM3889" s="82"/>
      <c r="AN3889" s="82"/>
      <c r="AO3889" s="82"/>
      <c r="AP3889" s="82"/>
      <c r="AQ3889" s="82"/>
      <c r="AR3889" s="82"/>
      <c r="AS3889" s="82"/>
      <c r="AT3889" s="82"/>
      <c r="AU3889" s="82"/>
      <c r="AV3889" s="82"/>
      <c r="AW3889" s="82" t="str">
        <f t="shared" si="1"/>
        <v/>
      </c>
      <c r="AX3889" s="83" t="str">
        <f t="array" ref="AX3889">IFERROR(DGET('SBV Import'!A:G,"SBV",{"RSC ID","Tier";B3889,A3889}))</f>
        <v/>
      </c>
      <c r="AY3889" s="82" t="str">
        <f t="shared" si="2"/>
        <v/>
      </c>
      <c r="AZ3889" s="82"/>
      <c r="BA3889" s="84" t="s">
        <v>152</v>
      </c>
      <c r="BB3889" s="84" t="str">
        <f>IFERROR(__xludf.DUMMYFUNCTION("iferror(if(A3889="""",,E3889&gt;=FILTER(Constants!$F$2:$F$10,Constants!$A$2:$A$10=A3889)))"),"")</f>
        <v/>
      </c>
    </row>
    <row r="3890">
      <c r="A3890" s="89"/>
      <c r="B3890" s="87"/>
      <c r="C3890" s="73"/>
      <c r="D3890" s="73"/>
      <c r="E3890" s="82"/>
      <c r="F3890" s="82"/>
      <c r="G3890" s="86"/>
      <c r="H3890" s="86"/>
      <c r="I3890" s="86"/>
      <c r="J3890" s="82"/>
      <c r="K3890" s="82"/>
      <c r="L3890" s="82"/>
      <c r="M3890" s="82"/>
      <c r="N3890" s="82"/>
      <c r="O3890" s="82"/>
      <c r="P3890" s="82"/>
      <c r="Q3890" s="82"/>
      <c r="R3890" s="82"/>
      <c r="S3890" s="82"/>
      <c r="T3890" s="82"/>
      <c r="U3890" s="82"/>
      <c r="V3890" s="82"/>
      <c r="W3890" s="82"/>
      <c r="X3890" s="82"/>
      <c r="Y3890" s="82"/>
      <c r="Z3890" s="82"/>
      <c r="AA3890" s="82"/>
      <c r="AB3890" s="82"/>
      <c r="AC3890" s="82"/>
      <c r="AD3890" s="82"/>
      <c r="AE3890" s="82"/>
      <c r="AF3890" s="82"/>
      <c r="AG3890" s="82"/>
      <c r="AH3890" s="82"/>
      <c r="AI3890" s="82"/>
      <c r="AJ3890" s="82"/>
      <c r="AK3890" s="82"/>
      <c r="AL3890" s="82"/>
      <c r="AM3890" s="82"/>
      <c r="AN3890" s="82"/>
      <c r="AO3890" s="82"/>
      <c r="AP3890" s="82"/>
      <c r="AQ3890" s="82"/>
      <c r="AR3890" s="82"/>
      <c r="AS3890" s="82"/>
      <c r="AT3890" s="82"/>
      <c r="AU3890" s="82"/>
      <c r="AV3890" s="82"/>
      <c r="AW3890" s="82" t="str">
        <f t="shared" si="1"/>
        <v/>
      </c>
      <c r="AX3890" s="83" t="str">
        <f t="array" ref="AX3890">IFERROR(DGET('SBV Import'!A:G,"SBV",{"RSC ID","Tier";B3890,A3890}))</f>
        <v/>
      </c>
      <c r="AY3890" s="82" t="str">
        <f t="shared" si="2"/>
        <v/>
      </c>
      <c r="AZ3890" s="82"/>
      <c r="BA3890" s="84" t="s">
        <v>152</v>
      </c>
      <c r="BB3890" s="84" t="str">
        <f>IFERROR(__xludf.DUMMYFUNCTION("iferror(if(A3890="""",,E3890&gt;=FILTER(Constants!$F$2:$F$10,Constants!$A$2:$A$10=A3890)))"),"")</f>
        <v/>
      </c>
    </row>
    <row r="3891">
      <c r="A3891" s="89"/>
      <c r="B3891" s="87"/>
      <c r="C3891" s="73"/>
      <c r="D3891" s="73"/>
      <c r="E3891" s="82"/>
      <c r="F3891" s="82"/>
      <c r="G3891" s="86"/>
      <c r="H3891" s="86"/>
      <c r="I3891" s="86"/>
      <c r="J3891" s="82"/>
      <c r="K3891" s="82"/>
      <c r="L3891" s="82"/>
      <c r="M3891" s="82"/>
      <c r="N3891" s="82"/>
      <c r="O3891" s="82"/>
      <c r="P3891" s="82"/>
      <c r="Q3891" s="82"/>
      <c r="R3891" s="82"/>
      <c r="S3891" s="82"/>
      <c r="T3891" s="82"/>
      <c r="U3891" s="82"/>
      <c r="V3891" s="82"/>
      <c r="W3891" s="82"/>
      <c r="X3891" s="82"/>
      <c r="Y3891" s="82"/>
      <c r="Z3891" s="82"/>
      <c r="AA3891" s="82"/>
      <c r="AB3891" s="82"/>
      <c r="AC3891" s="82"/>
      <c r="AD3891" s="82"/>
      <c r="AE3891" s="82"/>
      <c r="AF3891" s="82"/>
      <c r="AG3891" s="82"/>
      <c r="AH3891" s="82"/>
      <c r="AI3891" s="82"/>
      <c r="AJ3891" s="82"/>
      <c r="AK3891" s="82"/>
      <c r="AL3891" s="82"/>
      <c r="AM3891" s="82"/>
      <c r="AN3891" s="82"/>
      <c r="AO3891" s="82"/>
      <c r="AP3891" s="82"/>
      <c r="AQ3891" s="82"/>
      <c r="AR3891" s="82"/>
      <c r="AS3891" s="82"/>
      <c r="AT3891" s="82"/>
      <c r="AU3891" s="82"/>
      <c r="AV3891" s="82"/>
      <c r="AW3891" s="82" t="str">
        <f t="shared" si="1"/>
        <v/>
      </c>
      <c r="AX3891" s="83" t="str">
        <f t="array" ref="AX3891">IFERROR(DGET('SBV Import'!A:G,"SBV",{"RSC ID","Tier";B3891,A3891}))</f>
        <v/>
      </c>
      <c r="AY3891" s="82" t="str">
        <f t="shared" si="2"/>
        <v/>
      </c>
      <c r="AZ3891" s="82"/>
      <c r="BA3891" s="84" t="s">
        <v>152</v>
      </c>
      <c r="BB3891" s="84" t="str">
        <f>IFERROR(__xludf.DUMMYFUNCTION("iferror(if(A3891="""",,E3891&gt;=FILTER(Constants!$F$2:$F$10,Constants!$A$2:$A$10=A3891)))"),"")</f>
        <v/>
      </c>
    </row>
    <row r="3892">
      <c r="A3892" s="89"/>
      <c r="B3892" s="87"/>
      <c r="C3892" s="73"/>
      <c r="D3892" s="73"/>
      <c r="E3892" s="82"/>
      <c r="F3892" s="82"/>
      <c r="G3892" s="86"/>
      <c r="H3892" s="86"/>
      <c r="I3892" s="86"/>
      <c r="J3892" s="82"/>
      <c r="K3892" s="82"/>
      <c r="L3892" s="82"/>
      <c r="M3892" s="82"/>
      <c r="N3892" s="82"/>
      <c r="O3892" s="82"/>
      <c r="P3892" s="82"/>
      <c r="Q3892" s="82"/>
      <c r="R3892" s="82"/>
      <c r="S3892" s="82"/>
      <c r="T3892" s="82"/>
      <c r="U3892" s="82"/>
      <c r="V3892" s="82"/>
      <c r="W3892" s="82"/>
      <c r="X3892" s="82"/>
      <c r="Y3892" s="82"/>
      <c r="Z3892" s="82"/>
      <c r="AA3892" s="82"/>
      <c r="AB3892" s="82"/>
      <c r="AC3892" s="82"/>
      <c r="AD3892" s="82"/>
      <c r="AE3892" s="82"/>
      <c r="AF3892" s="82"/>
      <c r="AG3892" s="82"/>
      <c r="AH3892" s="82"/>
      <c r="AI3892" s="82"/>
      <c r="AJ3892" s="82"/>
      <c r="AK3892" s="82"/>
      <c r="AL3892" s="82"/>
      <c r="AM3892" s="82"/>
      <c r="AN3892" s="82"/>
      <c r="AO3892" s="82"/>
      <c r="AP3892" s="82"/>
      <c r="AQ3892" s="82"/>
      <c r="AR3892" s="82"/>
      <c r="AS3892" s="82"/>
      <c r="AT3892" s="82"/>
      <c r="AU3892" s="82"/>
      <c r="AV3892" s="82"/>
      <c r="AW3892" s="82" t="str">
        <f t="shared" si="1"/>
        <v/>
      </c>
      <c r="AX3892" s="83" t="str">
        <f t="array" ref="AX3892">IFERROR(DGET('SBV Import'!A:G,"SBV",{"RSC ID","Tier";B3892,A3892}))</f>
        <v/>
      </c>
      <c r="AY3892" s="82" t="str">
        <f t="shared" si="2"/>
        <v/>
      </c>
      <c r="AZ3892" s="82"/>
      <c r="BA3892" s="84" t="s">
        <v>152</v>
      </c>
      <c r="BB3892" s="84" t="str">
        <f>IFERROR(__xludf.DUMMYFUNCTION("iferror(if(A3892="""",,E3892&gt;=FILTER(Constants!$F$2:$F$10,Constants!$A$2:$A$10=A3892)))"),"")</f>
        <v/>
      </c>
    </row>
    <row r="3893">
      <c r="A3893" s="89"/>
      <c r="B3893" s="87"/>
      <c r="C3893" s="73"/>
      <c r="D3893" s="73"/>
      <c r="E3893" s="82"/>
      <c r="F3893" s="82"/>
      <c r="G3893" s="86"/>
      <c r="H3893" s="86"/>
      <c r="I3893" s="86"/>
      <c r="J3893" s="82"/>
      <c r="K3893" s="82"/>
      <c r="L3893" s="82"/>
      <c r="M3893" s="82"/>
      <c r="N3893" s="82"/>
      <c r="O3893" s="82"/>
      <c r="P3893" s="82"/>
      <c r="Q3893" s="82"/>
      <c r="R3893" s="82"/>
      <c r="S3893" s="82"/>
      <c r="T3893" s="82"/>
      <c r="U3893" s="82"/>
      <c r="V3893" s="82"/>
      <c r="W3893" s="82"/>
      <c r="X3893" s="82"/>
      <c r="Y3893" s="82"/>
      <c r="Z3893" s="82"/>
      <c r="AA3893" s="82"/>
      <c r="AB3893" s="82"/>
      <c r="AC3893" s="82"/>
      <c r="AD3893" s="82"/>
      <c r="AE3893" s="82"/>
      <c r="AF3893" s="82"/>
      <c r="AG3893" s="82"/>
      <c r="AH3893" s="82"/>
      <c r="AI3893" s="82"/>
      <c r="AJ3893" s="82"/>
      <c r="AK3893" s="82"/>
      <c r="AL3893" s="82"/>
      <c r="AM3893" s="82"/>
      <c r="AN3893" s="82"/>
      <c r="AO3893" s="82"/>
      <c r="AP3893" s="82"/>
      <c r="AQ3893" s="82"/>
      <c r="AR3893" s="82"/>
      <c r="AS3893" s="82"/>
      <c r="AT3893" s="82"/>
      <c r="AU3893" s="82"/>
      <c r="AV3893" s="82"/>
      <c r="AW3893" s="82" t="str">
        <f t="shared" si="1"/>
        <v/>
      </c>
      <c r="AX3893" s="83" t="str">
        <f t="array" ref="AX3893">IFERROR(DGET('SBV Import'!A:G,"SBV",{"RSC ID","Tier";B3893,A3893}))</f>
        <v/>
      </c>
      <c r="AY3893" s="82" t="str">
        <f t="shared" si="2"/>
        <v/>
      </c>
      <c r="AZ3893" s="82"/>
      <c r="BA3893" s="84" t="s">
        <v>152</v>
      </c>
      <c r="BB3893" s="84" t="str">
        <f>IFERROR(__xludf.DUMMYFUNCTION("iferror(if(A3893="""",,E3893&gt;=FILTER(Constants!$F$2:$F$10,Constants!$A$2:$A$10=A3893)))"),"")</f>
        <v/>
      </c>
    </row>
    <row r="3894">
      <c r="A3894" s="89"/>
      <c r="B3894" s="87"/>
      <c r="C3894" s="73"/>
      <c r="D3894" s="73"/>
      <c r="E3894" s="82"/>
      <c r="F3894" s="82"/>
      <c r="G3894" s="86"/>
      <c r="H3894" s="86"/>
      <c r="I3894" s="86"/>
      <c r="J3894" s="82"/>
      <c r="K3894" s="82"/>
      <c r="L3894" s="82"/>
      <c r="M3894" s="82"/>
      <c r="N3894" s="82"/>
      <c r="O3894" s="82"/>
      <c r="P3894" s="82"/>
      <c r="Q3894" s="82"/>
      <c r="R3894" s="82"/>
      <c r="S3894" s="82"/>
      <c r="T3894" s="82"/>
      <c r="U3894" s="82"/>
      <c r="V3894" s="82"/>
      <c r="W3894" s="82"/>
      <c r="X3894" s="82"/>
      <c r="Y3894" s="82"/>
      <c r="Z3894" s="82"/>
      <c r="AA3894" s="82"/>
      <c r="AB3894" s="82"/>
      <c r="AC3894" s="82"/>
      <c r="AD3894" s="82"/>
      <c r="AE3894" s="82"/>
      <c r="AF3894" s="82"/>
      <c r="AG3894" s="82"/>
      <c r="AH3894" s="82"/>
      <c r="AI3894" s="82"/>
      <c r="AJ3894" s="82"/>
      <c r="AK3894" s="82"/>
      <c r="AL3894" s="82"/>
      <c r="AM3894" s="82"/>
      <c r="AN3894" s="82"/>
      <c r="AO3894" s="82"/>
      <c r="AP3894" s="82"/>
      <c r="AQ3894" s="82"/>
      <c r="AR3894" s="82"/>
      <c r="AS3894" s="82"/>
      <c r="AT3894" s="82"/>
      <c r="AU3894" s="82"/>
      <c r="AV3894" s="82"/>
      <c r="AW3894" s="82" t="str">
        <f t="shared" si="1"/>
        <v/>
      </c>
      <c r="AX3894" s="83" t="str">
        <f t="array" ref="AX3894">IFERROR(DGET('SBV Import'!A:G,"SBV",{"RSC ID","Tier";B3894,A3894}))</f>
        <v/>
      </c>
      <c r="AY3894" s="82" t="str">
        <f t="shared" si="2"/>
        <v/>
      </c>
      <c r="AZ3894" s="82"/>
      <c r="BA3894" s="84" t="s">
        <v>152</v>
      </c>
      <c r="BB3894" s="84" t="str">
        <f>IFERROR(__xludf.DUMMYFUNCTION("iferror(if(A3894="""",,E3894&gt;=FILTER(Constants!$F$2:$F$10,Constants!$A$2:$A$10=A3894)))"),"")</f>
        <v/>
      </c>
    </row>
    <row r="3895">
      <c r="A3895" s="89"/>
      <c r="B3895" s="87"/>
      <c r="C3895" s="73"/>
      <c r="D3895" s="73"/>
      <c r="E3895" s="82"/>
      <c r="F3895" s="82"/>
      <c r="G3895" s="86"/>
      <c r="H3895" s="86"/>
      <c r="I3895" s="86"/>
      <c r="J3895" s="82"/>
      <c r="K3895" s="82"/>
      <c r="L3895" s="82"/>
      <c r="M3895" s="82"/>
      <c r="N3895" s="82"/>
      <c r="O3895" s="82"/>
      <c r="P3895" s="82"/>
      <c r="Q3895" s="82"/>
      <c r="R3895" s="82"/>
      <c r="S3895" s="82"/>
      <c r="T3895" s="82"/>
      <c r="U3895" s="82"/>
      <c r="V3895" s="82"/>
      <c r="W3895" s="82"/>
      <c r="X3895" s="82"/>
      <c r="Y3895" s="82"/>
      <c r="Z3895" s="82"/>
      <c r="AA3895" s="82"/>
      <c r="AB3895" s="82"/>
      <c r="AC3895" s="82"/>
      <c r="AD3895" s="82"/>
      <c r="AE3895" s="82"/>
      <c r="AF3895" s="82"/>
      <c r="AG3895" s="82"/>
      <c r="AH3895" s="82"/>
      <c r="AI3895" s="82"/>
      <c r="AJ3895" s="82"/>
      <c r="AK3895" s="82"/>
      <c r="AL3895" s="82"/>
      <c r="AM3895" s="82"/>
      <c r="AN3895" s="82"/>
      <c r="AO3895" s="82"/>
      <c r="AP3895" s="82"/>
      <c r="AQ3895" s="82"/>
      <c r="AR3895" s="82"/>
      <c r="AS3895" s="82"/>
      <c r="AT3895" s="82"/>
      <c r="AU3895" s="82"/>
      <c r="AV3895" s="82"/>
      <c r="AW3895" s="82" t="str">
        <f t="shared" si="1"/>
        <v/>
      </c>
      <c r="AX3895" s="83" t="str">
        <f t="array" ref="AX3895">IFERROR(DGET('SBV Import'!A:G,"SBV",{"RSC ID","Tier";B3895,A3895}))</f>
        <v/>
      </c>
      <c r="AY3895" s="82" t="str">
        <f t="shared" si="2"/>
        <v/>
      </c>
      <c r="AZ3895" s="82"/>
      <c r="BA3895" s="84" t="s">
        <v>152</v>
      </c>
      <c r="BB3895" s="84" t="str">
        <f>IFERROR(__xludf.DUMMYFUNCTION("iferror(if(A3895="""",,E3895&gt;=FILTER(Constants!$F$2:$F$10,Constants!$A$2:$A$10=A3895)))"),"")</f>
        <v/>
      </c>
    </row>
    <row r="3896">
      <c r="A3896" s="89"/>
      <c r="B3896" s="87"/>
      <c r="C3896" s="73"/>
      <c r="D3896" s="73"/>
      <c r="E3896" s="82"/>
      <c r="F3896" s="82"/>
      <c r="G3896" s="86"/>
      <c r="H3896" s="86"/>
      <c r="I3896" s="86"/>
      <c r="J3896" s="82"/>
      <c r="K3896" s="82"/>
      <c r="L3896" s="82"/>
      <c r="M3896" s="82"/>
      <c r="N3896" s="82"/>
      <c r="O3896" s="82"/>
      <c r="P3896" s="82"/>
      <c r="Q3896" s="82"/>
      <c r="R3896" s="82"/>
      <c r="S3896" s="82"/>
      <c r="T3896" s="82"/>
      <c r="U3896" s="82"/>
      <c r="V3896" s="82"/>
      <c r="W3896" s="82"/>
      <c r="X3896" s="82"/>
      <c r="Y3896" s="82"/>
      <c r="Z3896" s="82"/>
      <c r="AA3896" s="82"/>
      <c r="AB3896" s="82"/>
      <c r="AC3896" s="82"/>
      <c r="AD3896" s="82"/>
      <c r="AE3896" s="82"/>
      <c r="AF3896" s="82"/>
      <c r="AG3896" s="82"/>
      <c r="AH3896" s="82"/>
      <c r="AI3896" s="82"/>
      <c r="AJ3896" s="82"/>
      <c r="AK3896" s="82"/>
      <c r="AL3896" s="82"/>
      <c r="AM3896" s="82"/>
      <c r="AN3896" s="82"/>
      <c r="AO3896" s="82"/>
      <c r="AP3896" s="82"/>
      <c r="AQ3896" s="82"/>
      <c r="AR3896" s="82"/>
      <c r="AS3896" s="82"/>
      <c r="AT3896" s="82"/>
      <c r="AU3896" s="82"/>
      <c r="AV3896" s="82"/>
      <c r="AW3896" s="82" t="str">
        <f t="shared" si="1"/>
        <v/>
      </c>
      <c r="AX3896" s="83" t="str">
        <f t="array" ref="AX3896">IFERROR(DGET('SBV Import'!A:G,"SBV",{"RSC ID","Tier";B3896,A3896}))</f>
        <v/>
      </c>
      <c r="AY3896" s="82" t="str">
        <f t="shared" si="2"/>
        <v/>
      </c>
      <c r="AZ3896" s="82"/>
      <c r="BA3896" s="84" t="s">
        <v>152</v>
      </c>
      <c r="BB3896" s="84" t="str">
        <f>IFERROR(__xludf.DUMMYFUNCTION("iferror(if(A3896="""",,E3896&gt;=FILTER(Constants!$F$2:$F$10,Constants!$A$2:$A$10=A3896)))"),"")</f>
        <v/>
      </c>
    </row>
    <row r="3897">
      <c r="A3897" s="89"/>
      <c r="B3897" s="87"/>
      <c r="C3897" s="73"/>
      <c r="D3897" s="73"/>
      <c r="E3897" s="82"/>
      <c r="F3897" s="82"/>
      <c r="G3897" s="86"/>
      <c r="H3897" s="86"/>
      <c r="I3897" s="86"/>
      <c r="J3897" s="82"/>
      <c r="K3897" s="82"/>
      <c r="L3897" s="82"/>
      <c r="M3897" s="82"/>
      <c r="N3897" s="82"/>
      <c r="O3897" s="82"/>
      <c r="P3897" s="82"/>
      <c r="Q3897" s="82"/>
      <c r="R3897" s="82"/>
      <c r="S3897" s="82"/>
      <c r="T3897" s="82"/>
      <c r="U3897" s="82"/>
      <c r="V3897" s="82"/>
      <c r="W3897" s="82"/>
      <c r="X3897" s="82"/>
      <c r="Y3897" s="82"/>
      <c r="Z3897" s="82"/>
      <c r="AA3897" s="82"/>
      <c r="AB3897" s="82"/>
      <c r="AC3897" s="82"/>
      <c r="AD3897" s="82"/>
      <c r="AE3897" s="82"/>
      <c r="AF3897" s="82"/>
      <c r="AG3897" s="82"/>
      <c r="AH3897" s="82"/>
      <c r="AI3897" s="82"/>
      <c r="AJ3897" s="82"/>
      <c r="AK3897" s="82"/>
      <c r="AL3897" s="82"/>
      <c r="AM3897" s="82"/>
      <c r="AN3897" s="82"/>
      <c r="AO3897" s="82"/>
      <c r="AP3897" s="82"/>
      <c r="AQ3897" s="82"/>
      <c r="AR3897" s="82"/>
      <c r="AS3897" s="82"/>
      <c r="AT3897" s="82"/>
      <c r="AU3897" s="82"/>
      <c r="AV3897" s="82"/>
      <c r="AW3897" s="82" t="str">
        <f t="shared" si="1"/>
        <v/>
      </c>
      <c r="AX3897" s="83" t="str">
        <f t="array" ref="AX3897">IFERROR(DGET('SBV Import'!A:G,"SBV",{"RSC ID","Tier";B3897,A3897}))</f>
        <v/>
      </c>
      <c r="AY3897" s="82" t="str">
        <f t="shared" si="2"/>
        <v/>
      </c>
      <c r="AZ3897" s="82"/>
      <c r="BA3897" s="84" t="s">
        <v>152</v>
      </c>
      <c r="BB3897" s="84" t="str">
        <f>IFERROR(__xludf.DUMMYFUNCTION("iferror(if(A3897="""",,E3897&gt;=FILTER(Constants!$F$2:$F$10,Constants!$A$2:$A$10=A3897)))"),"")</f>
        <v/>
      </c>
    </row>
    <row r="3898">
      <c r="A3898" s="89"/>
      <c r="B3898" s="87"/>
      <c r="C3898" s="73"/>
      <c r="D3898" s="73"/>
      <c r="E3898" s="82"/>
      <c r="F3898" s="82"/>
      <c r="G3898" s="86"/>
      <c r="H3898" s="86"/>
      <c r="I3898" s="86"/>
      <c r="J3898" s="82"/>
      <c r="K3898" s="82"/>
      <c r="L3898" s="82"/>
      <c r="M3898" s="82"/>
      <c r="N3898" s="82"/>
      <c r="O3898" s="82"/>
      <c r="P3898" s="82"/>
      <c r="Q3898" s="82"/>
      <c r="R3898" s="82"/>
      <c r="S3898" s="82"/>
      <c r="T3898" s="82"/>
      <c r="U3898" s="82"/>
      <c r="V3898" s="82"/>
      <c r="W3898" s="82"/>
      <c r="X3898" s="82"/>
      <c r="Y3898" s="82"/>
      <c r="Z3898" s="82"/>
      <c r="AA3898" s="82"/>
      <c r="AB3898" s="82"/>
      <c r="AC3898" s="82"/>
      <c r="AD3898" s="82"/>
      <c r="AE3898" s="82"/>
      <c r="AF3898" s="82"/>
      <c r="AG3898" s="82"/>
      <c r="AH3898" s="82"/>
      <c r="AI3898" s="82"/>
      <c r="AJ3898" s="82"/>
      <c r="AK3898" s="82"/>
      <c r="AL3898" s="82"/>
      <c r="AM3898" s="82"/>
      <c r="AN3898" s="82"/>
      <c r="AO3898" s="82"/>
      <c r="AP3898" s="82"/>
      <c r="AQ3898" s="82"/>
      <c r="AR3898" s="82"/>
      <c r="AS3898" s="82"/>
      <c r="AT3898" s="82"/>
      <c r="AU3898" s="82"/>
      <c r="AV3898" s="82"/>
      <c r="AW3898" s="82" t="str">
        <f t="shared" si="1"/>
        <v/>
      </c>
      <c r="AX3898" s="83" t="str">
        <f t="array" ref="AX3898">IFERROR(DGET('SBV Import'!A:G,"SBV",{"RSC ID","Tier";B3898,A3898}))</f>
        <v/>
      </c>
      <c r="AY3898" s="82" t="str">
        <f t="shared" si="2"/>
        <v/>
      </c>
      <c r="AZ3898" s="82"/>
      <c r="BA3898" s="84" t="s">
        <v>152</v>
      </c>
      <c r="BB3898" s="84" t="str">
        <f>IFERROR(__xludf.DUMMYFUNCTION("iferror(if(A3898="""",,E3898&gt;=FILTER(Constants!$F$2:$F$10,Constants!$A$2:$A$10=A3898)))"),"")</f>
        <v/>
      </c>
    </row>
    <row r="3899">
      <c r="A3899" s="89"/>
      <c r="B3899" s="87"/>
      <c r="C3899" s="73"/>
      <c r="D3899" s="73"/>
      <c r="E3899" s="82"/>
      <c r="F3899" s="82"/>
      <c r="G3899" s="86"/>
      <c r="H3899" s="86"/>
      <c r="I3899" s="86"/>
      <c r="J3899" s="82"/>
      <c r="K3899" s="82"/>
      <c r="L3899" s="82"/>
      <c r="M3899" s="82"/>
      <c r="N3899" s="82"/>
      <c r="O3899" s="82"/>
      <c r="P3899" s="82"/>
      <c r="Q3899" s="82"/>
      <c r="R3899" s="82"/>
      <c r="S3899" s="82"/>
      <c r="T3899" s="82"/>
      <c r="U3899" s="82"/>
      <c r="V3899" s="82"/>
      <c r="W3899" s="82"/>
      <c r="X3899" s="82"/>
      <c r="Y3899" s="82"/>
      <c r="Z3899" s="82"/>
      <c r="AA3899" s="82"/>
      <c r="AB3899" s="82"/>
      <c r="AC3899" s="82"/>
      <c r="AD3899" s="82"/>
      <c r="AE3899" s="82"/>
      <c r="AF3899" s="82"/>
      <c r="AG3899" s="82"/>
      <c r="AH3899" s="82"/>
      <c r="AI3899" s="82"/>
      <c r="AJ3899" s="82"/>
      <c r="AK3899" s="82"/>
      <c r="AL3899" s="82"/>
      <c r="AM3899" s="82"/>
      <c r="AN3899" s="82"/>
      <c r="AO3899" s="82"/>
      <c r="AP3899" s="82"/>
      <c r="AQ3899" s="82"/>
      <c r="AR3899" s="82"/>
      <c r="AS3899" s="82"/>
      <c r="AT3899" s="82"/>
      <c r="AU3899" s="82"/>
      <c r="AV3899" s="82"/>
      <c r="AW3899" s="82" t="str">
        <f t="shared" si="1"/>
        <v/>
      </c>
      <c r="AX3899" s="83" t="str">
        <f t="array" ref="AX3899">IFERROR(DGET('SBV Import'!A:G,"SBV",{"RSC ID","Tier";B3899,A3899}))</f>
        <v/>
      </c>
      <c r="AY3899" s="82" t="str">
        <f t="shared" si="2"/>
        <v/>
      </c>
      <c r="AZ3899" s="82"/>
      <c r="BA3899" s="84" t="s">
        <v>152</v>
      </c>
      <c r="BB3899" s="84" t="str">
        <f>IFERROR(__xludf.DUMMYFUNCTION("iferror(if(A3899="""",,E3899&gt;=FILTER(Constants!$F$2:$F$10,Constants!$A$2:$A$10=A3899)))"),"")</f>
        <v/>
      </c>
    </row>
    <row r="3900">
      <c r="A3900" s="89"/>
      <c r="B3900" s="87"/>
      <c r="C3900" s="73"/>
      <c r="D3900" s="73"/>
      <c r="E3900" s="82"/>
      <c r="F3900" s="82"/>
      <c r="G3900" s="86"/>
      <c r="H3900" s="86"/>
      <c r="I3900" s="86"/>
      <c r="J3900" s="82"/>
      <c r="K3900" s="82"/>
      <c r="L3900" s="82"/>
      <c r="M3900" s="82"/>
      <c r="N3900" s="82"/>
      <c r="O3900" s="82"/>
      <c r="P3900" s="82"/>
      <c r="Q3900" s="82"/>
      <c r="R3900" s="82"/>
      <c r="S3900" s="82"/>
      <c r="T3900" s="82"/>
      <c r="U3900" s="82"/>
      <c r="V3900" s="82"/>
      <c r="W3900" s="82"/>
      <c r="X3900" s="82"/>
      <c r="Y3900" s="82"/>
      <c r="Z3900" s="82"/>
      <c r="AA3900" s="82"/>
      <c r="AB3900" s="82"/>
      <c r="AC3900" s="82"/>
      <c r="AD3900" s="82"/>
      <c r="AE3900" s="82"/>
      <c r="AF3900" s="82"/>
      <c r="AG3900" s="82"/>
      <c r="AH3900" s="82"/>
      <c r="AI3900" s="82"/>
      <c r="AJ3900" s="82"/>
      <c r="AK3900" s="82"/>
      <c r="AL3900" s="82"/>
      <c r="AM3900" s="82"/>
      <c r="AN3900" s="82"/>
      <c r="AO3900" s="82"/>
      <c r="AP3900" s="82"/>
      <c r="AQ3900" s="82"/>
      <c r="AR3900" s="82"/>
      <c r="AS3900" s="82"/>
      <c r="AT3900" s="82"/>
      <c r="AU3900" s="82"/>
      <c r="AV3900" s="82"/>
      <c r="AW3900" s="82" t="str">
        <f t="shared" si="1"/>
        <v/>
      </c>
      <c r="AX3900" s="83" t="str">
        <f t="array" ref="AX3900">IFERROR(DGET('SBV Import'!A:G,"SBV",{"RSC ID","Tier";B3900,A3900}))</f>
        <v/>
      </c>
      <c r="AY3900" s="82" t="str">
        <f t="shared" si="2"/>
        <v/>
      </c>
      <c r="AZ3900" s="82"/>
      <c r="BA3900" s="84" t="s">
        <v>152</v>
      </c>
      <c r="BB3900" s="84" t="str">
        <f>IFERROR(__xludf.DUMMYFUNCTION("iferror(if(A3900="""",,E3900&gt;=FILTER(Constants!$F$2:$F$10,Constants!$A$2:$A$10=A3900)))"),"")</f>
        <v/>
      </c>
    </row>
    <row r="3901">
      <c r="A3901" s="89"/>
      <c r="B3901" s="87"/>
      <c r="C3901" s="73"/>
      <c r="D3901" s="73"/>
      <c r="E3901" s="82"/>
      <c r="F3901" s="82"/>
      <c r="G3901" s="86"/>
      <c r="H3901" s="86"/>
      <c r="I3901" s="86"/>
      <c r="J3901" s="82"/>
      <c r="K3901" s="82"/>
      <c r="L3901" s="82"/>
      <c r="M3901" s="82"/>
      <c r="N3901" s="82"/>
      <c r="O3901" s="82"/>
      <c r="P3901" s="82"/>
      <c r="Q3901" s="82"/>
      <c r="R3901" s="82"/>
      <c r="S3901" s="82"/>
      <c r="T3901" s="82"/>
      <c r="U3901" s="82"/>
      <c r="V3901" s="82"/>
      <c r="W3901" s="82"/>
      <c r="X3901" s="82"/>
      <c r="Y3901" s="82"/>
      <c r="Z3901" s="82"/>
      <c r="AA3901" s="82"/>
      <c r="AB3901" s="82"/>
      <c r="AC3901" s="82"/>
      <c r="AD3901" s="82"/>
      <c r="AE3901" s="82"/>
      <c r="AF3901" s="82"/>
      <c r="AG3901" s="82"/>
      <c r="AH3901" s="82"/>
      <c r="AI3901" s="82"/>
      <c r="AJ3901" s="82"/>
      <c r="AK3901" s="82"/>
      <c r="AL3901" s="82"/>
      <c r="AM3901" s="82"/>
      <c r="AN3901" s="82"/>
      <c r="AO3901" s="82"/>
      <c r="AP3901" s="82"/>
      <c r="AQ3901" s="82"/>
      <c r="AR3901" s="82"/>
      <c r="AS3901" s="82"/>
      <c r="AT3901" s="82"/>
      <c r="AU3901" s="82"/>
      <c r="AV3901" s="82"/>
      <c r="AW3901" s="82" t="str">
        <f t="shared" si="1"/>
        <v/>
      </c>
      <c r="AX3901" s="83" t="str">
        <f t="array" ref="AX3901">IFERROR(DGET('SBV Import'!A:G,"SBV",{"RSC ID","Tier";B3901,A3901}))</f>
        <v/>
      </c>
      <c r="AY3901" s="82" t="str">
        <f t="shared" si="2"/>
        <v/>
      </c>
      <c r="AZ3901" s="82"/>
      <c r="BA3901" s="84" t="s">
        <v>152</v>
      </c>
      <c r="BB3901" s="84" t="str">
        <f>IFERROR(__xludf.DUMMYFUNCTION("iferror(if(A3901="""",,E3901&gt;=FILTER(Constants!$F$2:$F$10,Constants!$A$2:$A$10=A3901)))"),"")</f>
        <v/>
      </c>
    </row>
    <row r="3902">
      <c r="A3902" s="89"/>
      <c r="B3902" s="87"/>
      <c r="C3902" s="73"/>
      <c r="D3902" s="73"/>
      <c r="E3902" s="82"/>
      <c r="F3902" s="82"/>
      <c r="G3902" s="86"/>
      <c r="H3902" s="86"/>
      <c r="I3902" s="86"/>
      <c r="J3902" s="82"/>
      <c r="K3902" s="82"/>
      <c r="L3902" s="82"/>
      <c r="M3902" s="82"/>
      <c r="N3902" s="82"/>
      <c r="O3902" s="82"/>
      <c r="P3902" s="82"/>
      <c r="Q3902" s="82"/>
      <c r="R3902" s="82"/>
      <c r="S3902" s="82"/>
      <c r="T3902" s="82"/>
      <c r="U3902" s="82"/>
      <c r="V3902" s="82"/>
      <c r="W3902" s="82"/>
      <c r="X3902" s="82"/>
      <c r="Y3902" s="82"/>
      <c r="Z3902" s="82"/>
      <c r="AA3902" s="82"/>
      <c r="AB3902" s="82"/>
      <c r="AC3902" s="82"/>
      <c r="AD3902" s="82"/>
      <c r="AE3902" s="82"/>
      <c r="AF3902" s="82"/>
      <c r="AG3902" s="82"/>
      <c r="AH3902" s="82"/>
      <c r="AI3902" s="82"/>
      <c r="AJ3902" s="82"/>
      <c r="AK3902" s="82"/>
      <c r="AL3902" s="82"/>
      <c r="AM3902" s="82"/>
      <c r="AN3902" s="82"/>
      <c r="AO3902" s="82"/>
      <c r="AP3902" s="82"/>
      <c r="AQ3902" s="82"/>
      <c r="AR3902" s="82"/>
      <c r="AS3902" s="82"/>
      <c r="AT3902" s="82"/>
      <c r="AU3902" s="82"/>
      <c r="AV3902" s="82"/>
      <c r="AW3902" s="82" t="str">
        <f t="shared" si="1"/>
        <v/>
      </c>
      <c r="AX3902" s="83" t="str">
        <f t="array" ref="AX3902">IFERROR(DGET('SBV Import'!A:G,"SBV",{"RSC ID","Tier";B3902,A3902}))</f>
        <v/>
      </c>
      <c r="AY3902" s="82" t="str">
        <f t="shared" si="2"/>
        <v/>
      </c>
      <c r="AZ3902" s="82"/>
      <c r="BA3902" s="84" t="s">
        <v>152</v>
      </c>
      <c r="BB3902" s="84" t="str">
        <f>IFERROR(__xludf.DUMMYFUNCTION("iferror(if(A3902="""",,E3902&gt;=FILTER(Constants!$F$2:$F$10,Constants!$A$2:$A$10=A3902)))"),"")</f>
        <v/>
      </c>
    </row>
    <row r="3903">
      <c r="A3903" s="89"/>
      <c r="B3903" s="87"/>
      <c r="C3903" s="73"/>
      <c r="D3903" s="73"/>
      <c r="E3903" s="82"/>
      <c r="F3903" s="82"/>
      <c r="G3903" s="86"/>
      <c r="H3903" s="86"/>
      <c r="I3903" s="86"/>
      <c r="J3903" s="82"/>
      <c r="K3903" s="82"/>
      <c r="L3903" s="82"/>
      <c r="M3903" s="82"/>
      <c r="N3903" s="82"/>
      <c r="O3903" s="82"/>
      <c r="P3903" s="82"/>
      <c r="Q3903" s="82"/>
      <c r="R3903" s="82"/>
      <c r="S3903" s="82"/>
      <c r="T3903" s="82"/>
      <c r="U3903" s="82"/>
      <c r="V3903" s="82"/>
      <c r="W3903" s="82"/>
      <c r="X3903" s="82"/>
      <c r="Y3903" s="82"/>
      <c r="Z3903" s="82"/>
      <c r="AA3903" s="82"/>
      <c r="AB3903" s="82"/>
      <c r="AC3903" s="82"/>
      <c r="AD3903" s="82"/>
      <c r="AE3903" s="82"/>
      <c r="AF3903" s="82"/>
      <c r="AG3903" s="82"/>
      <c r="AH3903" s="82"/>
      <c r="AI3903" s="82"/>
      <c r="AJ3903" s="82"/>
      <c r="AK3903" s="82"/>
      <c r="AL3903" s="82"/>
      <c r="AM3903" s="82"/>
      <c r="AN3903" s="82"/>
      <c r="AO3903" s="82"/>
      <c r="AP3903" s="82"/>
      <c r="AQ3903" s="82"/>
      <c r="AR3903" s="82"/>
      <c r="AS3903" s="82"/>
      <c r="AT3903" s="82"/>
      <c r="AU3903" s="82"/>
      <c r="AV3903" s="82"/>
      <c r="AW3903" s="82" t="str">
        <f t="shared" si="1"/>
        <v/>
      </c>
      <c r="AX3903" s="83" t="str">
        <f t="array" ref="AX3903">IFERROR(DGET('SBV Import'!A:G,"SBV",{"RSC ID","Tier";B3903,A3903}))</f>
        <v/>
      </c>
      <c r="AY3903" s="82" t="str">
        <f t="shared" si="2"/>
        <v/>
      </c>
      <c r="AZ3903" s="82"/>
      <c r="BA3903" s="84" t="s">
        <v>152</v>
      </c>
      <c r="BB3903" s="84" t="str">
        <f>IFERROR(__xludf.DUMMYFUNCTION("iferror(if(A3903="""",,E3903&gt;=FILTER(Constants!$F$2:$F$10,Constants!$A$2:$A$10=A3903)))"),"")</f>
        <v/>
      </c>
    </row>
    <row r="3904">
      <c r="A3904" s="89"/>
      <c r="B3904" s="87"/>
      <c r="C3904" s="73"/>
      <c r="D3904" s="73"/>
      <c r="E3904" s="82"/>
      <c r="F3904" s="82"/>
      <c r="G3904" s="86"/>
      <c r="H3904" s="86"/>
      <c r="I3904" s="86"/>
      <c r="J3904" s="82"/>
      <c r="K3904" s="82"/>
      <c r="L3904" s="82"/>
      <c r="M3904" s="82"/>
      <c r="N3904" s="82"/>
      <c r="O3904" s="82"/>
      <c r="P3904" s="82"/>
      <c r="Q3904" s="82"/>
      <c r="R3904" s="82"/>
      <c r="S3904" s="82"/>
      <c r="T3904" s="82"/>
      <c r="U3904" s="82"/>
      <c r="V3904" s="82"/>
      <c r="W3904" s="82"/>
      <c r="X3904" s="82"/>
      <c r="Y3904" s="82"/>
      <c r="Z3904" s="82"/>
      <c r="AA3904" s="82"/>
      <c r="AB3904" s="82"/>
      <c r="AC3904" s="82"/>
      <c r="AD3904" s="82"/>
      <c r="AE3904" s="82"/>
      <c r="AF3904" s="82"/>
      <c r="AG3904" s="82"/>
      <c r="AH3904" s="82"/>
      <c r="AI3904" s="82"/>
      <c r="AJ3904" s="82"/>
      <c r="AK3904" s="82"/>
      <c r="AL3904" s="82"/>
      <c r="AM3904" s="82"/>
      <c r="AN3904" s="82"/>
      <c r="AO3904" s="82"/>
      <c r="AP3904" s="82"/>
      <c r="AQ3904" s="82"/>
      <c r="AR3904" s="82"/>
      <c r="AS3904" s="82"/>
      <c r="AT3904" s="82"/>
      <c r="AU3904" s="82"/>
      <c r="AV3904" s="82"/>
      <c r="AW3904" s="82" t="str">
        <f t="shared" si="1"/>
        <v/>
      </c>
      <c r="AX3904" s="83" t="str">
        <f t="array" ref="AX3904">IFERROR(DGET('SBV Import'!A:G,"SBV",{"RSC ID","Tier";B3904,A3904}))</f>
        <v/>
      </c>
      <c r="AY3904" s="82" t="str">
        <f t="shared" si="2"/>
        <v/>
      </c>
      <c r="AZ3904" s="82"/>
      <c r="BA3904" s="84" t="s">
        <v>152</v>
      </c>
      <c r="BB3904" s="84" t="str">
        <f>IFERROR(__xludf.DUMMYFUNCTION("iferror(if(A3904="""",,E3904&gt;=FILTER(Constants!$F$2:$F$10,Constants!$A$2:$A$10=A3904)))"),"")</f>
        <v/>
      </c>
    </row>
    <row r="3905">
      <c r="A3905" s="89"/>
      <c r="B3905" s="87"/>
      <c r="C3905" s="73"/>
      <c r="D3905" s="73"/>
      <c r="E3905" s="82"/>
      <c r="F3905" s="82"/>
      <c r="G3905" s="86"/>
      <c r="H3905" s="86"/>
      <c r="I3905" s="86"/>
      <c r="J3905" s="82"/>
      <c r="K3905" s="82"/>
      <c r="L3905" s="82"/>
      <c r="M3905" s="82"/>
      <c r="N3905" s="82"/>
      <c r="O3905" s="82"/>
      <c r="P3905" s="82"/>
      <c r="Q3905" s="82"/>
      <c r="R3905" s="82"/>
      <c r="S3905" s="82"/>
      <c r="T3905" s="82"/>
      <c r="U3905" s="82"/>
      <c r="V3905" s="82"/>
      <c r="W3905" s="82"/>
      <c r="X3905" s="82"/>
      <c r="Y3905" s="82"/>
      <c r="Z3905" s="82"/>
      <c r="AA3905" s="82"/>
      <c r="AB3905" s="82"/>
      <c r="AC3905" s="82"/>
      <c r="AD3905" s="82"/>
      <c r="AE3905" s="82"/>
      <c r="AF3905" s="82"/>
      <c r="AG3905" s="82"/>
      <c r="AH3905" s="82"/>
      <c r="AI3905" s="82"/>
      <c r="AJ3905" s="82"/>
      <c r="AK3905" s="82"/>
      <c r="AL3905" s="82"/>
      <c r="AM3905" s="82"/>
      <c r="AN3905" s="82"/>
      <c r="AO3905" s="82"/>
      <c r="AP3905" s="82"/>
      <c r="AQ3905" s="82"/>
      <c r="AR3905" s="82"/>
      <c r="AS3905" s="82"/>
      <c r="AT3905" s="82"/>
      <c r="AU3905" s="82"/>
      <c r="AV3905" s="82"/>
      <c r="AW3905" s="82" t="str">
        <f t="shared" si="1"/>
        <v/>
      </c>
      <c r="AX3905" s="83" t="str">
        <f t="array" ref="AX3905">IFERROR(DGET('SBV Import'!A:G,"SBV",{"RSC ID","Tier";B3905,A3905}))</f>
        <v/>
      </c>
      <c r="AY3905" s="82" t="str">
        <f t="shared" si="2"/>
        <v/>
      </c>
      <c r="AZ3905" s="82"/>
      <c r="BA3905" s="84" t="s">
        <v>152</v>
      </c>
      <c r="BB3905" s="84" t="str">
        <f>IFERROR(__xludf.DUMMYFUNCTION("iferror(if(A3905="""",,E3905&gt;=FILTER(Constants!$F$2:$F$10,Constants!$A$2:$A$10=A3905)))"),"")</f>
        <v/>
      </c>
    </row>
    <row r="3906">
      <c r="A3906" s="89"/>
      <c r="B3906" s="87"/>
      <c r="C3906" s="73"/>
      <c r="D3906" s="73"/>
      <c r="E3906" s="82"/>
      <c r="F3906" s="82"/>
      <c r="G3906" s="86"/>
      <c r="H3906" s="86"/>
      <c r="I3906" s="86"/>
      <c r="J3906" s="82"/>
      <c r="K3906" s="82"/>
      <c r="L3906" s="82"/>
      <c r="M3906" s="82"/>
      <c r="N3906" s="82"/>
      <c r="O3906" s="82"/>
      <c r="P3906" s="82"/>
      <c r="Q3906" s="82"/>
      <c r="R3906" s="82"/>
      <c r="S3906" s="82"/>
      <c r="T3906" s="82"/>
      <c r="U3906" s="82"/>
      <c r="V3906" s="82"/>
      <c r="W3906" s="82"/>
      <c r="X3906" s="82"/>
      <c r="Y3906" s="82"/>
      <c r="Z3906" s="82"/>
      <c r="AA3906" s="82"/>
      <c r="AB3906" s="82"/>
      <c r="AC3906" s="82"/>
      <c r="AD3906" s="82"/>
      <c r="AE3906" s="82"/>
      <c r="AF3906" s="82"/>
      <c r="AG3906" s="82"/>
      <c r="AH3906" s="82"/>
      <c r="AI3906" s="82"/>
      <c r="AJ3906" s="82"/>
      <c r="AK3906" s="82"/>
      <c r="AL3906" s="82"/>
      <c r="AM3906" s="82"/>
      <c r="AN3906" s="82"/>
      <c r="AO3906" s="82"/>
      <c r="AP3906" s="82"/>
      <c r="AQ3906" s="82"/>
      <c r="AR3906" s="82"/>
      <c r="AS3906" s="82"/>
      <c r="AT3906" s="82"/>
      <c r="AU3906" s="82"/>
      <c r="AV3906" s="82"/>
      <c r="AW3906" s="82" t="str">
        <f t="shared" si="1"/>
        <v/>
      </c>
      <c r="AX3906" s="83" t="str">
        <f t="array" ref="AX3906">IFERROR(DGET('SBV Import'!A:G,"SBV",{"RSC ID","Tier";B3906,A3906}))</f>
        <v/>
      </c>
      <c r="AY3906" s="82" t="str">
        <f t="shared" si="2"/>
        <v/>
      </c>
      <c r="AZ3906" s="82"/>
      <c r="BA3906" s="84" t="s">
        <v>152</v>
      </c>
      <c r="BB3906" s="84" t="str">
        <f>IFERROR(__xludf.DUMMYFUNCTION("iferror(if(A3906="""",,E3906&gt;=FILTER(Constants!$F$2:$F$10,Constants!$A$2:$A$10=A3906)))"),"")</f>
        <v/>
      </c>
    </row>
    <row r="3907">
      <c r="A3907" s="89"/>
      <c r="B3907" s="87"/>
      <c r="C3907" s="73"/>
      <c r="D3907" s="73"/>
      <c r="E3907" s="82"/>
      <c r="F3907" s="82"/>
      <c r="G3907" s="86"/>
      <c r="H3907" s="86"/>
      <c r="I3907" s="86"/>
      <c r="J3907" s="82"/>
      <c r="K3907" s="82"/>
      <c r="L3907" s="82"/>
      <c r="M3907" s="82"/>
      <c r="N3907" s="82"/>
      <c r="O3907" s="82"/>
      <c r="P3907" s="82"/>
      <c r="Q3907" s="82"/>
      <c r="R3907" s="82"/>
      <c r="S3907" s="82"/>
      <c r="T3907" s="82"/>
      <c r="U3907" s="82"/>
      <c r="V3907" s="82"/>
      <c r="W3907" s="82"/>
      <c r="X3907" s="82"/>
      <c r="Y3907" s="82"/>
      <c r="Z3907" s="82"/>
      <c r="AA3907" s="82"/>
      <c r="AB3907" s="82"/>
      <c r="AC3907" s="82"/>
      <c r="AD3907" s="82"/>
      <c r="AE3907" s="82"/>
      <c r="AF3907" s="82"/>
      <c r="AG3907" s="82"/>
      <c r="AH3907" s="82"/>
      <c r="AI3907" s="82"/>
      <c r="AJ3907" s="82"/>
      <c r="AK3907" s="82"/>
      <c r="AL3907" s="82"/>
      <c r="AM3907" s="82"/>
      <c r="AN3907" s="82"/>
      <c r="AO3907" s="82"/>
      <c r="AP3907" s="82"/>
      <c r="AQ3907" s="82"/>
      <c r="AR3907" s="82"/>
      <c r="AS3907" s="82"/>
      <c r="AT3907" s="82"/>
      <c r="AU3907" s="82"/>
      <c r="AV3907" s="82"/>
      <c r="AW3907" s="82" t="str">
        <f t="shared" si="1"/>
        <v/>
      </c>
      <c r="AX3907" s="83" t="str">
        <f t="array" ref="AX3907">IFERROR(DGET('SBV Import'!A:G,"SBV",{"RSC ID","Tier";B3907,A3907}))</f>
        <v/>
      </c>
      <c r="AY3907" s="82" t="str">
        <f t="shared" si="2"/>
        <v/>
      </c>
      <c r="AZ3907" s="82"/>
      <c r="BA3907" s="84" t="s">
        <v>152</v>
      </c>
      <c r="BB3907" s="84" t="str">
        <f>IFERROR(__xludf.DUMMYFUNCTION("iferror(if(A3907="""",,E3907&gt;=FILTER(Constants!$F$2:$F$10,Constants!$A$2:$A$10=A3907)))"),"")</f>
        <v/>
      </c>
    </row>
    <row r="3908">
      <c r="A3908" s="89"/>
      <c r="B3908" s="87"/>
      <c r="C3908" s="73"/>
      <c r="D3908" s="73"/>
      <c r="E3908" s="82"/>
      <c r="F3908" s="82"/>
      <c r="G3908" s="86"/>
      <c r="H3908" s="86"/>
      <c r="I3908" s="86"/>
      <c r="J3908" s="82"/>
      <c r="K3908" s="82"/>
      <c r="L3908" s="82"/>
      <c r="M3908" s="82"/>
      <c r="N3908" s="82"/>
      <c r="O3908" s="82"/>
      <c r="P3908" s="82"/>
      <c r="Q3908" s="82"/>
      <c r="R3908" s="82"/>
      <c r="S3908" s="82"/>
      <c r="T3908" s="82"/>
      <c r="U3908" s="82"/>
      <c r="V3908" s="82"/>
      <c r="W3908" s="82"/>
      <c r="X3908" s="82"/>
      <c r="Y3908" s="82"/>
      <c r="Z3908" s="82"/>
      <c r="AA3908" s="82"/>
      <c r="AB3908" s="82"/>
      <c r="AC3908" s="82"/>
      <c r="AD3908" s="82"/>
      <c r="AE3908" s="82"/>
      <c r="AF3908" s="82"/>
      <c r="AG3908" s="82"/>
      <c r="AH3908" s="82"/>
      <c r="AI3908" s="82"/>
      <c r="AJ3908" s="82"/>
      <c r="AK3908" s="82"/>
      <c r="AL3908" s="82"/>
      <c r="AM3908" s="82"/>
      <c r="AN3908" s="82"/>
      <c r="AO3908" s="82"/>
      <c r="AP3908" s="82"/>
      <c r="AQ3908" s="82"/>
      <c r="AR3908" s="82"/>
      <c r="AS3908" s="82"/>
      <c r="AT3908" s="82"/>
      <c r="AU3908" s="82"/>
      <c r="AV3908" s="82"/>
      <c r="AW3908" s="82" t="str">
        <f t="shared" si="1"/>
        <v/>
      </c>
      <c r="AX3908" s="83" t="str">
        <f t="array" ref="AX3908">IFERROR(DGET('SBV Import'!A:G,"SBV",{"RSC ID","Tier";B3908,A3908}))</f>
        <v/>
      </c>
      <c r="AY3908" s="82" t="str">
        <f t="shared" si="2"/>
        <v/>
      </c>
      <c r="AZ3908" s="82"/>
      <c r="BA3908" s="84" t="s">
        <v>152</v>
      </c>
      <c r="BB3908" s="84" t="str">
        <f>IFERROR(__xludf.DUMMYFUNCTION("iferror(if(A3908="""",,E3908&gt;=FILTER(Constants!$F$2:$F$10,Constants!$A$2:$A$10=A3908)))"),"")</f>
        <v/>
      </c>
    </row>
    <row r="3909">
      <c r="A3909" s="89"/>
      <c r="B3909" s="87"/>
      <c r="C3909" s="73"/>
      <c r="D3909" s="73"/>
      <c r="E3909" s="82"/>
      <c r="F3909" s="82"/>
      <c r="G3909" s="86"/>
      <c r="H3909" s="86"/>
      <c r="I3909" s="86"/>
      <c r="J3909" s="82"/>
      <c r="K3909" s="82"/>
      <c r="L3909" s="82"/>
      <c r="M3909" s="82"/>
      <c r="N3909" s="82"/>
      <c r="O3909" s="82"/>
      <c r="P3909" s="82"/>
      <c r="Q3909" s="82"/>
      <c r="R3909" s="82"/>
      <c r="S3909" s="82"/>
      <c r="T3909" s="82"/>
      <c r="U3909" s="82"/>
      <c r="V3909" s="82"/>
      <c r="W3909" s="82"/>
      <c r="X3909" s="82"/>
      <c r="Y3909" s="82"/>
      <c r="Z3909" s="82"/>
      <c r="AA3909" s="82"/>
      <c r="AB3909" s="82"/>
      <c r="AC3909" s="82"/>
      <c r="AD3909" s="82"/>
      <c r="AE3909" s="82"/>
      <c r="AF3909" s="82"/>
      <c r="AG3909" s="82"/>
      <c r="AH3909" s="82"/>
      <c r="AI3909" s="82"/>
      <c r="AJ3909" s="82"/>
      <c r="AK3909" s="82"/>
      <c r="AL3909" s="82"/>
      <c r="AM3909" s="82"/>
      <c r="AN3909" s="82"/>
      <c r="AO3909" s="82"/>
      <c r="AP3909" s="82"/>
      <c r="AQ3909" s="82"/>
      <c r="AR3909" s="82"/>
      <c r="AS3909" s="82"/>
      <c r="AT3909" s="82"/>
      <c r="AU3909" s="82"/>
      <c r="AV3909" s="82"/>
      <c r="AW3909" s="82" t="str">
        <f t="shared" si="1"/>
        <v/>
      </c>
      <c r="AX3909" s="83" t="str">
        <f t="array" ref="AX3909">IFERROR(DGET('SBV Import'!A:G,"SBV",{"RSC ID","Tier";B3909,A3909}))</f>
        <v/>
      </c>
      <c r="AY3909" s="82" t="str">
        <f t="shared" si="2"/>
        <v/>
      </c>
      <c r="AZ3909" s="82"/>
      <c r="BA3909" s="84" t="s">
        <v>152</v>
      </c>
      <c r="BB3909" s="84" t="str">
        <f>IFERROR(__xludf.DUMMYFUNCTION("iferror(if(A3909="""",,E3909&gt;=FILTER(Constants!$F$2:$F$10,Constants!$A$2:$A$10=A3909)))"),"")</f>
        <v/>
      </c>
    </row>
    <row r="3910">
      <c r="A3910" s="89"/>
      <c r="B3910" s="87"/>
      <c r="C3910" s="73"/>
      <c r="D3910" s="73"/>
      <c r="E3910" s="82"/>
      <c r="F3910" s="82"/>
      <c r="G3910" s="86"/>
      <c r="H3910" s="86"/>
      <c r="I3910" s="86"/>
      <c r="J3910" s="82"/>
      <c r="K3910" s="82"/>
      <c r="L3910" s="82"/>
      <c r="M3910" s="82"/>
      <c r="N3910" s="82"/>
      <c r="O3910" s="82"/>
      <c r="P3910" s="82"/>
      <c r="Q3910" s="82"/>
      <c r="R3910" s="82"/>
      <c r="S3910" s="82"/>
      <c r="T3910" s="82"/>
      <c r="U3910" s="82"/>
      <c r="V3910" s="82"/>
      <c r="W3910" s="82"/>
      <c r="X3910" s="82"/>
      <c r="Y3910" s="82"/>
      <c r="Z3910" s="82"/>
      <c r="AA3910" s="82"/>
      <c r="AB3910" s="82"/>
      <c r="AC3910" s="82"/>
      <c r="AD3910" s="82"/>
      <c r="AE3910" s="82"/>
      <c r="AF3910" s="82"/>
      <c r="AG3910" s="82"/>
      <c r="AH3910" s="82"/>
      <c r="AI3910" s="82"/>
      <c r="AJ3910" s="82"/>
      <c r="AK3910" s="82"/>
      <c r="AL3910" s="82"/>
      <c r="AM3910" s="82"/>
      <c r="AN3910" s="82"/>
      <c r="AO3910" s="82"/>
      <c r="AP3910" s="82"/>
      <c r="AQ3910" s="82"/>
      <c r="AR3910" s="82"/>
      <c r="AS3910" s="82"/>
      <c r="AT3910" s="82"/>
      <c r="AU3910" s="82"/>
      <c r="AV3910" s="82"/>
      <c r="AW3910" s="82" t="str">
        <f t="shared" si="1"/>
        <v/>
      </c>
      <c r="AX3910" s="83" t="str">
        <f t="array" ref="AX3910">IFERROR(DGET('SBV Import'!A:G,"SBV",{"RSC ID","Tier";B3910,A3910}))</f>
        <v/>
      </c>
      <c r="AY3910" s="82" t="str">
        <f t="shared" si="2"/>
        <v/>
      </c>
      <c r="AZ3910" s="82"/>
      <c r="BA3910" s="84" t="s">
        <v>152</v>
      </c>
      <c r="BB3910" s="84" t="str">
        <f>IFERROR(__xludf.DUMMYFUNCTION("iferror(if(A3910="""",,E3910&gt;=FILTER(Constants!$F$2:$F$10,Constants!$A$2:$A$10=A3910)))"),"")</f>
        <v/>
      </c>
    </row>
    <row r="3911">
      <c r="A3911" s="89"/>
      <c r="B3911" s="87"/>
      <c r="C3911" s="73"/>
      <c r="D3911" s="73"/>
      <c r="E3911" s="82"/>
      <c r="F3911" s="82"/>
      <c r="G3911" s="86"/>
      <c r="H3911" s="86"/>
      <c r="I3911" s="86"/>
      <c r="J3911" s="82"/>
      <c r="K3911" s="82"/>
      <c r="L3911" s="82"/>
      <c r="M3911" s="82"/>
      <c r="N3911" s="82"/>
      <c r="O3911" s="82"/>
      <c r="P3911" s="82"/>
      <c r="Q3911" s="82"/>
      <c r="R3911" s="82"/>
      <c r="S3911" s="82"/>
      <c r="T3911" s="82"/>
      <c r="U3911" s="82"/>
      <c r="V3911" s="82"/>
      <c r="W3911" s="82"/>
      <c r="X3911" s="82"/>
      <c r="Y3911" s="82"/>
      <c r="Z3911" s="82"/>
      <c r="AA3911" s="82"/>
      <c r="AB3911" s="82"/>
      <c r="AC3911" s="82"/>
      <c r="AD3911" s="82"/>
      <c r="AE3911" s="82"/>
      <c r="AF3911" s="82"/>
      <c r="AG3911" s="82"/>
      <c r="AH3911" s="82"/>
      <c r="AI3911" s="82"/>
      <c r="AJ3911" s="82"/>
      <c r="AK3911" s="82"/>
      <c r="AL3911" s="82"/>
      <c r="AM3911" s="82"/>
      <c r="AN3911" s="82"/>
      <c r="AO3911" s="82"/>
      <c r="AP3911" s="82"/>
      <c r="AQ3911" s="82"/>
      <c r="AR3911" s="82"/>
      <c r="AS3911" s="82"/>
      <c r="AT3911" s="82"/>
      <c r="AU3911" s="82"/>
      <c r="AV3911" s="82"/>
      <c r="AW3911" s="82" t="str">
        <f t="shared" si="1"/>
        <v/>
      </c>
      <c r="AX3911" s="83" t="str">
        <f t="array" ref="AX3911">IFERROR(DGET('SBV Import'!A:G,"SBV",{"RSC ID","Tier";B3911,A3911}))</f>
        <v/>
      </c>
      <c r="AY3911" s="82" t="str">
        <f t="shared" si="2"/>
        <v/>
      </c>
      <c r="AZ3911" s="82"/>
      <c r="BA3911" s="84" t="s">
        <v>152</v>
      </c>
      <c r="BB3911" s="84" t="str">
        <f>IFERROR(__xludf.DUMMYFUNCTION("iferror(if(A3911="""",,E3911&gt;=FILTER(Constants!$F$2:$F$10,Constants!$A$2:$A$10=A3911)))"),"")</f>
        <v/>
      </c>
    </row>
    <row r="3912">
      <c r="A3912" s="89"/>
      <c r="B3912" s="87"/>
      <c r="C3912" s="73"/>
      <c r="D3912" s="73"/>
      <c r="E3912" s="82"/>
      <c r="F3912" s="82"/>
      <c r="G3912" s="86"/>
      <c r="H3912" s="86"/>
      <c r="I3912" s="86"/>
      <c r="J3912" s="82"/>
      <c r="K3912" s="82"/>
      <c r="L3912" s="82"/>
      <c r="M3912" s="82"/>
      <c r="N3912" s="82"/>
      <c r="O3912" s="82"/>
      <c r="P3912" s="82"/>
      <c r="Q3912" s="82"/>
      <c r="R3912" s="82"/>
      <c r="S3912" s="82"/>
      <c r="T3912" s="82"/>
      <c r="U3912" s="82"/>
      <c r="V3912" s="82"/>
      <c r="W3912" s="82"/>
      <c r="X3912" s="82"/>
      <c r="Y3912" s="82"/>
      <c r="Z3912" s="82"/>
      <c r="AA3912" s="82"/>
      <c r="AB3912" s="82"/>
      <c r="AC3912" s="82"/>
      <c r="AD3912" s="82"/>
      <c r="AE3912" s="82"/>
      <c r="AF3912" s="82"/>
      <c r="AG3912" s="82"/>
      <c r="AH3912" s="82"/>
      <c r="AI3912" s="82"/>
      <c r="AJ3912" s="82"/>
      <c r="AK3912" s="82"/>
      <c r="AL3912" s="82"/>
      <c r="AM3912" s="82"/>
      <c r="AN3912" s="82"/>
      <c r="AO3912" s="82"/>
      <c r="AP3912" s="82"/>
      <c r="AQ3912" s="82"/>
      <c r="AR3912" s="82"/>
      <c r="AS3912" s="82"/>
      <c r="AT3912" s="82"/>
      <c r="AU3912" s="82"/>
      <c r="AV3912" s="82"/>
      <c r="AW3912" s="82" t="str">
        <f t="shared" si="1"/>
        <v/>
      </c>
      <c r="AX3912" s="83" t="str">
        <f t="array" ref="AX3912">IFERROR(DGET('SBV Import'!A:G,"SBV",{"RSC ID","Tier";B3912,A3912}))</f>
        <v/>
      </c>
      <c r="AY3912" s="82" t="str">
        <f t="shared" si="2"/>
        <v/>
      </c>
      <c r="AZ3912" s="82"/>
      <c r="BA3912" s="84" t="s">
        <v>152</v>
      </c>
      <c r="BB3912" s="84" t="str">
        <f>IFERROR(__xludf.DUMMYFUNCTION("iferror(if(A3912="""",,E3912&gt;=FILTER(Constants!$F$2:$F$10,Constants!$A$2:$A$10=A3912)))"),"")</f>
        <v/>
      </c>
    </row>
    <row r="3913">
      <c r="A3913" s="89"/>
      <c r="B3913" s="87"/>
      <c r="C3913" s="73"/>
      <c r="D3913" s="73"/>
      <c r="E3913" s="82"/>
      <c r="F3913" s="82"/>
      <c r="G3913" s="86"/>
      <c r="H3913" s="86"/>
      <c r="I3913" s="86"/>
      <c r="J3913" s="82"/>
      <c r="K3913" s="82"/>
      <c r="L3913" s="82"/>
      <c r="M3913" s="82"/>
      <c r="N3913" s="82"/>
      <c r="O3913" s="82"/>
      <c r="P3913" s="82"/>
      <c r="Q3913" s="82"/>
      <c r="R3913" s="82"/>
      <c r="S3913" s="82"/>
      <c r="T3913" s="82"/>
      <c r="U3913" s="82"/>
      <c r="V3913" s="82"/>
      <c r="W3913" s="82"/>
      <c r="X3913" s="82"/>
      <c r="Y3913" s="82"/>
      <c r="Z3913" s="82"/>
      <c r="AA3913" s="82"/>
      <c r="AB3913" s="82"/>
      <c r="AC3913" s="82"/>
      <c r="AD3913" s="82"/>
      <c r="AE3913" s="82"/>
      <c r="AF3913" s="82"/>
      <c r="AG3913" s="82"/>
      <c r="AH3913" s="82"/>
      <c r="AI3913" s="82"/>
      <c r="AJ3913" s="82"/>
      <c r="AK3913" s="82"/>
      <c r="AL3913" s="82"/>
      <c r="AM3913" s="82"/>
      <c r="AN3913" s="82"/>
      <c r="AO3913" s="82"/>
      <c r="AP3913" s="82"/>
      <c r="AQ3913" s="82"/>
      <c r="AR3913" s="82"/>
      <c r="AS3913" s="82"/>
      <c r="AT3913" s="82"/>
      <c r="AU3913" s="82"/>
      <c r="AV3913" s="82"/>
      <c r="AW3913" s="82" t="str">
        <f t="shared" si="1"/>
        <v/>
      </c>
      <c r="AX3913" s="83" t="str">
        <f t="array" ref="AX3913">IFERROR(DGET('SBV Import'!A:G,"SBV",{"RSC ID","Tier";B3913,A3913}))</f>
        <v/>
      </c>
      <c r="AY3913" s="82" t="str">
        <f t="shared" si="2"/>
        <v/>
      </c>
      <c r="AZ3913" s="82"/>
      <c r="BA3913" s="84" t="s">
        <v>152</v>
      </c>
      <c r="BB3913" s="84" t="str">
        <f>IFERROR(__xludf.DUMMYFUNCTION("iferror(if(A3913="""",,E3913&gt;=FILTER(Constants!$F$2:$F$10,Constants!$A$2:$A$10=A3913)))"),"")</f>
        <v/>
      </c>
    </row>
    <row r="3914">
      <c r="A3914" s="89"/>
      <c r="B3914" s="87"/>
      <c r="C3914" s="73"/>
      <c r="D3914" s="73"/>
      <c r="E3914" s="82"/>
      <c r="F3914" s="82"/>
      <c r="G3914" s="86"/>
      <c r="H3914" s="86"/>
      <c r="I3914" s="86"/>
      <c r="J3914" s="82"/>
      <c r="K3914" s="82"/>
      <c r="L3914" s="82"/>
      <c r="M3914" s="82"/>
      <c r="N3914" s="82"/>
      <c r="O3914" s="82"/>
      <c r="P3914" s="82"/>
      <c r="Q3914" s="82"/>
      <c r="R3914" s="82"/>
      <c r="S3914" s="82"/>
      <c r="T3914" s="82"/>
      <c r="U3914" s="82"/>
      <c r="V3914" s="82"/>
      <c r="W3914" s="82"/>
      <c r="X3914" s="82"/>
      <c r="Y3914" s="82"/>
      <c r="Z3914" s="82"/>
      <c r="AA3914" s="82"/>
      <c r="AB3914" s="82"/>
      <c r="AC3914" s="82"/>
      <c r="AD3914" s="82"/>
      <c r="AE3914" s="82"/>
      <c r="AF3914" s="82"/>
      <c r="AG3914" s="82"/>
      <c r="AH3914" s="82"/>
      <c r="AI3914" s="82"/>
      <c r="AJ3914" s="82"/>
      <c r="AK3914" s="82"/>
      <c r="AL3914" s="82"/>
      <c r="AM3914" s="82"/>
      <c r="AN3914" s="82"/>
      <c r="AO3914" s="82"/>
      <c r="AP3914" s="82"/>
      <c r="AQ3914" s="82"/>
      <c r="AR3914" s="82"/>
      <c r="AS3914" s="82"/>
      <c r="AT3914" s="82"/>
      <c r="AU3914" s="82"/>
      <c r="AV3914" s="82"/>
      <c r="AW3914" s="82" t="str">
        <f t="shared" si="1"/>
        <v/>
      </c>
      <c r="AX3914" s="83" t="str">
        <f t="array" ref="AX3914">IFERROR(DGET('SBV Import'!A:G,"SBV",{"RSC ID","Tier";B3914,A3914}))</f>
        <v/>
      </c>
      <c r="AY3914" s="82" t="str">
        <f t="shared" si="2"/>
        <v/>
      </c>
      <c r="AZ3914" s="82"/>
      <c r="BA3914" s="84" t="s">
        <v>152</v>
      </c>
      <c r="BB3914" s="84" t="str">
        <f>IFERROR(__xludf.DUMMYFUNCTION("iferror(if(A3914="""",,E3914&gt;=FILTER(Constants!$F$2:$F$10,Constants!$A$2:$A$10=A3914)))"),"")</f>
        <v/>
      </c>
    </row>
    <row r="3915">
      <c r="A3915" s="89"/>
      <c r="B3915" s="87"/>
      <c r="C3915" s="73"/>
      <c r="D3915" s="73"/>
      <c r="E3915" s="82"/>
      <c r="F3915" s="82"/>
      <c r="G3915" s="86"/>
      <c r="H3915" s="86"/>
      <c r="I3915" s="86"/>
      <c r="J3915" s="82"/>
      <c r="K3915" s="82"/>
      <c r="L3915" s="82"/>
      <c r="M3915" s="82"/>
      <c r="N3915" s="82"/>
      <c r="O3915" s="82"/>
      <c r="P3915" s="82"/>
      <c r="Q3915" s="82"/>
      <c r="R3915" s="82"/>
      <c r="S3915" s="82"/>
      <c r="T3915" s="82"/>
      <c r="U3915" s="82"/>
      <c r="V3915" s="82"/>
      <c r="W3915" s="82"/>
      <c r="X3915" s="82"/>
      <c r="Y3915" s="82"/>
      <c r="Z3915" s="82"/>
      <c r="AA3915" s="82"/>
      <c r="AB3915" s="82"/>
      <c r="AC3915" s="82"/>
      <c r="AD3915" s="82"/>
      <c r="AE3915" s="82"/>
      <c r="AF3915" s="82"/>
      <c r="AG3915" s="82"/>
      <c r="AH3915" s="82"/>
      <c r="AI3915" s="82"/>
      <c r="AJ3915" s="82"/>
      <c r="AK3915" s="82"/>
      <c r="AL3915" s="82"/>
      <c r="AM3915" s="82"/>
      <c r="AN3915" s="82"/>
      <c r="AO3915" s="82"/>
      <c r="AP3915" s="82"/>
      <c r="AQ3915" s="82"/>
      <c r="AR3915" s="82"/>
      <c r="AS3915" s="82"/>
      <c r="AT3915" s="82"/>
      <c r="AU3915" s="82"/>
      <c r="AV3915" s="82"/>
      <c r="AW3915" s="82" t="str">
        <f t="shared" si="1"/>
        <v/>
      </c>
      <c r="AX3915" s="83" t="str">
        <f t="array" ref="AX3915">IFERROR(DGET('SBV Import'!A:G,"SBV",{"RSC ID","Tier";B3915,A3915}))</f>
        <v/>
      </c>
      <c r="AY3915" s="82" t="str">
        <f t="shared" si="2"/>
        <v/>
      </c>
      <c r="AZ3915" s="82"/>
      <c r="BA3915" s="84" t="s">
        <v>152</v>
      </c>
      <c r="BB3915" s="84" t="str">
        <f>IFERROR(__xludf.DUMMYFUNCTION("iferror(if(A3915="""",,E3915&gt;=FILTER(Constants!$F$2:$F$10,Constants!$A$2:$A$10=A3915)))"),"")</f>
        <v/>
      </c>
    </row>
    <row r="3916">
      <c r="A3916" s="89"/>
      <c r="B3916" s="87"/>
      <c r="C3916" s="73"/>
      <c r="D3916" s="73"/>
      <c r="E3916" s="82"/>
      <c r="F3916" s="82"/>
      <c r="G3916" s="86"/>
      <c r="H3916" s="86"/>
      <c r="I3916" s="86"/>
      <c r="J3916" s="82"/>
      <c r="K3916" s="82"/>
      <c r="L3916" s="82"/>
      <c r="M3916" s="82"/>
      <c r="N3916" s="82"/>
      <c r="O3916" s="82"/>
      <c r="P3916" s="82"/>
      <c r="Q3916" s="82"/>
      <c r="R3916" s="82"/>
      <c r="S3916" s="82"/>
      <c r="T3916" s="82"/>
      <c r="U3916" s="82"/>
      <c r="V3916" s="82"/>
      <c r="W3916" s="82"/>
      <c r="X3916" s="82"/>
      <c r="Y3916" s="82"/>
      <c r="Z3916" s="82"/>
      <c r="AA3916" s="82"/>
      <c r="AB3916" s="82"/>
      <c r="AC3916" s="82"/>
      <c r="AD3916" s="82"/>
      <c r="AE3916" s="82"/>
      <c r="AF3916" s="82"/>
      <c r="AG3916" s="82"/>
      <c r="AH3916" s="82"/>
      <c r="AI3916" s="82"/>
      <c r="AJ3916" s="82"/>
      <c r="AK3916" s="82"/>
      <c r="AL3916" s="82"/>
      <c r="AM3916" s="82"/>
      <c r="AN3916" s="82"/>
      <c r="AO3916" s="82"/>
      <c r="AP3916" s="82"/>
      <c r="AQ3916" s="82"/>
      <c r="AR3916" s="82"/>
      <c r="AS3916" s="82"/>
      <c r="AT3916" s="82"/>
      <c r="AU3916" s="82"/>
      <c r="AV3916" s="82"/>
      <c r="AW3916" s="82" t="str">
        <f t="shared" si="1"/>
        <v/>
      </c>
      <c r="AX3916" s="83" t="str">
        <f t="array" ref="AX3916">IFERROR(DGET('SBV Import'!A:G,"SBV",{"RSC ID","Tier";B3916,A3916}))</f>
        <v/>
      </c>
      <c r="AY3916" s="82" t="str">
        <f t="shared" si="2"/>
        <v/>
      </c>
      <c r="AZ3916" s="82"/>
      <c r="BA3916" s="84" t="s">
        <v>152</v>
      </c>
      <c r="BB3916" s="84" t="str">
        <f>IFERROR(__xludf.DUMMYFUNCTION("iferror(if(A3916="""",,E3916&gt;=FILTER(Constants!$F$2:$F$10,Constants!$A$2:$A$10=A3916)))"),"")</f>
        <v/>
      </c>
    </row>
    <row r="3917">
      <c r="A3917" s="89"/>
      <c r="B3917" s="87"/>
      <c r="C3917" s="73"/>
      <c r="D3917" s="73"/>
      <c r="E3917" s="82"/>
      <c r="F3917" s="82"/>
      <c r="G3917" s="86"/>
      <c r="H3917" s="86"/>
      <c r="I3917" s="86"/>
      <c r="J3917" s="82"/>
      <c r="K3917" s="82"/>
      <c r="L3917" s="82"/>
      <c r="M3917" s="82"/>
      <c r="N3917" s="82"/>
      <c r="O3917" s="82"/>
      <c r="P3917" s="82"/>
      <c r="Q3917" s="82"/>
      <c r="R3917" s="82"/>
      <c r="S3917" s="82"/>
      <c r="T3917" s="82"/>
      <c r="U3917" s="82"/>
      <c r="V3917" s="82"/>
      <c r="W3917" s="82"/>
      <c r="X3917" s="82"/>
      <c r="Y3917" s="82"/>
      <c r="Z3917" s="82"/>
      <c r="AA3917" s="82"/>
      <c r="AB3917" s="82"/>
      <c r="AC3917" s="82"/>
      <c r="AD3917" s="82"/>
      <c r="AE3917" s="82"/>
      <c r="AF3917" s="82"/>
      <c r="AG3917" s="82"/>
      <c r="AH3917" s="82"/>
      <c r="AI3917" s="82"/>
      <c r="AJ3917" s="82"/>
      <c r="AK3917" s="82"/>
      <c r="AL3917" s="82"/>
      <c r="AM3917" s="82"/>
      <c r="AN3917" s="82"/>
      <c r="AO3917" s="82"/>
      <c r="AP3917" s="82"/>
      <c r="AQ3917" s="82"/>
      <c r="AR3917" s="82"/>
      <c r="AS3917" s="82"/>
      <c r="AT3917" s="82"/>
      <c r="AU3917" s="82"/>
      <c r="AV3917" s="82"/>
      <c r="AW3917" s="82" t="str">
        <f t="shared" si="1"/>
        <v/>
      </c>
      <c r="AX3917" s="83" t="str">
        <f t="array" ref="AX3917">IFERROR(DGET('SBV Import'!A:G,"SBV",{"RSC ID","Tier";B3917,A3917}))</f>
        <v/>
      </c>
      <c r="AY3917" s="82" t="str">
        <f t="shared" si="2"/>
        <v/>
      </c>
      <c r="AZ3917" s="82"/>
      <c r="BA3917" s="84" t="s">
        <v>152</v>
      </c>
      <c r="BB3917" s="84" t="str">
        <f>IFERROR(__xludf.DUMMYFUNCTION("iferror(if(A3917="""",,E3917&gt;=FILTER(Constants!$F$2:$F$10,Constants!$A$2:$A$10=A3917)))"),"")</f>
        <v/>
      </c>
    </row>
    <row r="3918">
      <c r="A3918" s="89"/>
      <c r="B3918" s="87"/>
      <c r="C3918" s="73"/>
      <c r="D3918" s="73"/>
      <c r="E3918" s="82"/>
      <c r="F3918" s="82"/>
      <c r="G3918" s="86"/>
      <c r="H3918" s="86"/>
      <c r="I3918" s="86"/>
      <c r="J3918" s="82"/>
      <c r="K3918" s="82"/>
      <c r="L3918" s="82"/>
      <c r="M3918" s="82"/>
      <c r="N3918" s="82"/>
      <c r="O3918" s="82"/>
      <c r="P3918" s="82"/>
      <c r="Q3918" s="82"/>
      <c r="R3918" s="82"/>
      <c r="S3918" s="82"/>
      <c r="T3918" s="82"/>
      <c r="U3918" s="82"/>
      <c r="V3918" s="82"/>
      <c r="W3918" s="82"/>
      <c r="X3918" s="82"/>
      <c r="Y3918" s="82"/>
      <c r="Z3918" s="82"/>
      <c r="AA3918" s="82"/>
      <c r="AB3918" s="82"/>
      <c r="AC3918" s="82"/>
      <c r="AD3918" s="82"/>
      <c r="AE3918" s="82"/>
      <c r="AF3918" s="82"/>
      <c r="AG3918" s="82"/>
      <c r="AH3918" s="82"/>
      <c r="AI3918" s="82"/>
      <c r="AJ3918" s="82"/>
      <c r="AK3918" s="82"/>
      <c r="AL3918" s="82"/>
      <c r="AM3918" s="82"/>
      <c r="AN3918" s="82"/>
      <c r="AO3918" s="82"/>
      <c r="AP3918" s="82"/>
      <c r="AQ3918" s="82"/>
      <c r="AR3918" s="82"/>
      <c r="AS3918" s="82"/>
      <c r="AT3918" s="82"/>
      <c r="AU3918" s="82"/>
      <c r="AV3918" s="82"/>
      <c r="AW3918" s="82" t="str">
        <f t="shared" si="1"/>
        <v/>
      </c>
      <c r="AX3918" s="83" t="str">
        <f t="array" ref="AX3918">IFERROR(DGET('SBV Import'!A:G,"SBV",{"RSC ID","Tier";B3918,A3918}))</f>
        <v/>
      </c>
      <c r="AY3918" s="82" t="str">
        <f t="shared" si="2"/>
        <v/>
      </c>
      <c r="AZ3918" s="82"/>
      <c r="BA3918" s="84" t="s">
        <v>152</v>
      </c>
      <c r="BB3918" s="84" t="str">
        <f>IFERROR(__xludf.DUMMYFUNCTION("iferror(if(A3918="""",,E3918&gt;=FILTER(Constants!$F$2:$F$10,Constants!$A$2:$A$10=A3918)))"),"")</f>
        <v/>
      </c>
    </row>
    <row r="3919">
      <c r="A3919" s="89"/>
      <c r="B3919" s="87"/>
      <c r="C3919" s="73"/>
      <c r="D3919" s="73"/>
      <c r="E3919" s="82"/>
      <c r="F3919" s="82"/>
      <c r="G3919" s="86"/>
      <c r="H3919" s="86"/>
      <c r="I3919" s="86"/>
      <c r="J3919" s="82"/>
      <c r="K3919" s="82"/>
      <c r="L3919" s="82"/>
      <c r="M3919" s="82"/>
      <c r="N3919" s="82"/>
      <c r="O3919" s="82"/>
      <c r="P3919" s="82"/>
      <c r="Q3919" s="82"/>
      <c r="R3919" s="82"/>
      <c r="S3919" s="82"/>
      <c r="T3919" s="82"/>
      <c r="U3919" s="82"/>
      <c r="V3919" s="82"/>
      <c r="W3919" s="82"/>
      <c r="X3919" s="82"/>
      <c r="Y3919" s="82"/>
      <c r="Z3919" s="82"/>
      <c r="AA3919" s="82"/>
      <c r="AB3919" s="82"/>
      <c r="AC3919" s="82"/>
      <c r="AD3919" s="82"/>
      <c r="AE3919" s="82"/>
      <c r="AF3919" s="82"/>
      <c r="AG3919" s="82"/>
      <c r="AH3919" s="82"/>
      <c r="AI3919" s="82"/>
      <c r="AJ3919" s="82"/>
      <c r="AK3919" s="82"/>
      <c r="AL3919" s="82"/>
      <c r="AM3919" s="82"/>
      <c r="AN3919" s="82"/>
      <c r="AO3919" s="82"/>
      <c r="AP3919" s="82"/>
      <c r="AQ3919" s="82"/>
      <c r="AR3919" s="82"/>
      <c r="AS3919" s="82"/>
      <c r="AT3919" s="82"/>
      <c r="AU3919" s="82"/>
      <c r="AV3919" s="82"/>
      <c r="AW3919" s="82" t="str">
        <f t="shared" si="1"/>
        <v/>
      </c>
      <c r="AX3919" s="83" t="str">
        <f t="array" ref="AX3919">IFERROR(DGET('SBV Import'!A:G,"SBV",{"RSC ID","Tier";B3919,A3919}))</f>
        <v/>
      </c>
      <c r="AY3919" s="82" t="str">
        <f t="shared" si="2"/>
        <v/>
      </c>
      <c r="AZ3919" s="82"/>
      <c r="BA3919" s="84" t="s">
        <v>152</v>
      </c>
      <c r="BB3919" s="84" t="str">
        <f>IFERROR(__xludf.DUMMYFUNCTION("iferror(if(A3919="""",,E3919&gt;=FILTER(Constants!$F$2:$F$10,Constants!$A$2:$A$10=A3919)))"),"")</f>
        <v/>
      </c>
    </row>
    <row r="3920">
      <c r="A3920" s="89"/>
      <c r="B3920" s="87"/>
      <c r="C3920" s="73"/>
      <c r="D3920" s="73"/>
      <c r="E3920" s="82"/>
      <c r="F3920" s="82"/>
      <c r="G3920" s="86"/>
      <c r="H3920" s="86"/>
      <c r="I3920" s="86"/>
      <c r="J3920" s="82"/>
      <c r="K3920" s="82"/>
      <c r="L3920" s="82"/>
      <c r="M3920" s="82"/>
      <c r="N3920" s="82"/>
      <c r="O3920" s="82"/>
      <c r="P3920" s="82"/>
      <c r="Q3920" s="82"/>
      <c r="R3920" s="82"/>
      <c r="S3920" s="82"/>
      <c r="T3920" s="82"/>
      <c r="U3920" s="82"/>
      <c r="V3920" s="82"/>
      <c r="W3920" s="82"/>
      <c r="X3920" s="82"/>
      <c r="Y3920" s="82"/>
      <c r="Z3920" s="82"/>
      <c r="AA3920" s="82"/>
      <c r="AB3920" s="82"/>
      <c r="AC3920" s="82"/>
      <c r="AD3920" s="82"/>
      <c r="AE3920" s="82"/>
      <c r="AF3920" s="82"/>
      <c r="AG3920" s="82"/>
      <c r="AH3920" s="82"/>
      <c r="AI3920" s="82"/>
      <c r="AJ3920" s="82"/>
      <c r="AK3920" s="82"/>
      <c r="AL3920" s="82"/>
      <c r="AM3920" s="82"/>
      <c r="AN3920" s="82"/>
      <c r="AO3920" s="82"/>
      <c r="AP3920" s="82"/>
      <c r="AQ3920" s="82"/>
      <c r="AR3920" s="82"/>
      <c r="AS3920" s="82"/>
      <c r="AT3920" s="82"/>
      <c r="AU3920" s="82"/>
      <c r="AV3920" s="82"/>
      <c r="AW3920" s="82" t="str">
        <f t="shared" si="1"/>
        <v/>
      </c>
      <c r="AX3920" s="83" t="str">
        <f t="array" ref="AX3920">IFERROR(DGET('SBV Import'!A:G,"SBV",{"RSC ID","Tier";B3920,A3920}))</f>
        <v/>
      </c>
      <c r="AY3920" s="82" t="str">
        <f t="shared" si="2"/>
        <v/>
      </c>
      <c r="AZ3920" s="82"/>
      <c r="BA3920" s="84" t="s">
        <v>152</v>
      </c>
      <c r="BB3920" s="84" t="str">
        <f>IFERROR(__xludf.DUMMYFUNCTION("iferror(if(A3920="""",,E3920&gt;=FILTER(Constants!$F$2:$F$10,Constants!$A$2:$A$10=A3920)))"),"")</f>
        <v/>
      </c>
    </row>
    <row r="3921">
      <c r="A3921" s="89"/>
      <c r="B3921" s="87"/>
      <c r="C3921" s="73"/>
      <c r="D3921" s="73"/>
      <c r="E3921" s="82"/>
      <c r="F3921" s="82"/>
      <c r="G3921" s="86"/>
      <c r="H3921" s="86"/>
      <c r="I3921" s="86"/>
      <c r="J3921" s="82"/>
      <c r="K3921" s="82"/>
      <c r="L3921" s="82"/>
      <c r="M3921" s="82"/>
      <c r="N3921" s="82"/>
      <c r="O3921" s="82"/>
      <c r="P3921" s="82"/>
      <c r="Q3921" s="82"/>
      <c r="R3921" s="82"/>
      <c r="S3921" s="82"/>
      <c r="T3921" s="82"/>
      <c r="U3921" s="82"/>
      <c r="V3921" s="82"/>
      <c r="W3921" s="82"/>
      <c r="X3921" s="82"/>
      <c r="Y3921" s="82"/>
      <c r="Z3921" s="82"/>
      <c r="AA3921" s="82"/>
      <c r="AB3921" s="82"/>
      <c r="AC3921" s="82"/>
      <c r="AD3921" s="82"/>
      <c r="AE3921" s="82"/>
      <c r="AF3921" s="82"/>
      <c r="AG3921" s="82"/>
      <c r="AH3921" s="82"/>
      <c r="AI3921" s="82"/>
      <c r="AJ3921" s="82"/>
      <c r="AK3921" s="82"/>
      <c r="AL3921" s="82"/>
      <c r="AM3921" s="82"/>
      <c r="AN3921" s="82"/>
      <c r="AO3921" s="82"/>
      <c r="AP3921" s="82"/>
      <c r="AQ3921" s="82"/>
      <c r="AR3921" s="82"/>
      <c r="AS3921" s="82"/>
      <c r="AT3921" s="82"/>
      <c r="AU3921" s="82"/>
      <c r="AV3921" s="82"/>
      <c r="AW3921" s="82" t="str">
        <f t="shared" si="1"/>
        <v/>
      </c>
      <c r="AX3921" s="83" t="str">
        <f t="array" ref="AX3921">IFERROR(DGET('SBV Import'!A:G,"SBV",{"RSC ID","Tier";B3921,A3921}))</f>
        <v/>
      </c>
      <c r="AY3921" s="82" t="str">
        <f t="shared" si="2"/>
        <v/>
      </c>
      <c r="AZ3921" s="82"/>
      <c r="BA3921" s="84" t="s">
        <v>152</v>
      </c>
      <c r="BB3921" s="84" t="str">
        <f>IFERROR(__xludf.DUMMYFUNCTION("iferror(if(A3921="""",,E3921&gt;=FILTER(Constants!$F$2:$F$10,Constants!$A$2:$A$10=A3921)))"),"")</f>
        <v/>
      </c>
    </row>
    <row r="3922">
      <c r="A3922" s="89"/>
      <c r="B3922" s="87"/>
      <c r="C3922" s="73"/>
      <c r="D3922" s="73"/>
      <c r="E3922" s="82"/>
      <c r="F3922" s="82"/>
      <c r="G3922" s="86"/>
      <c r="H3922" s="86"/>
      <c r="I3922" s="86"/>
      <c r="J3922" s="82"/>
      <c r="K3922" s="82"/>
      <c r="L3922" s="82"/>
      <c r="M3922" s="82"/>
      <c r="N3922" s="82"/>
      <c r="O3922" s="82"/>
      <c r="P3922" s="82"/>
      <c r="Q3922" s="82"/>
      <c r="R3922" s="82"/>
      <c r="S3922" s="82"/>
      <c r="T3922" s="82"/>
      <c r="U3922" s="82"/>
      <c r="V3922" s="82"/>
      <c r="W3922" s="82"/>
      <c r="X3922" s="82"/>
      <c r="Y3922" s="82"/>
      <c r="Z3922" s="82"/>
      <c r="AA3922" s="82"/>
      <c r="AB3922" s="82"/>
      <c r="AC3922" s="82"/>
      <c r="AD3922" s="82"/>
      <c r="AE3922" s="82"/>
      <c r="AF3922" s="82"/>
      <c r="AG3922" s="82"/>
      <c r="AH3922" s="82"/>
      <c r="AI3922" s="82"/>
      <c r="AJ3922" s="82"/>
      <c r="AK3922" s="82"/>
      <c r="AL3922" s="82"/>
      <c r="AM3922" s="82"/>
      <c r="AN3922" s="82"/>
      <c r="AO3922" s="82"/>
      <c r="AP3922" s="82"/>
      <c r="AQ3922" s="82"/>
      <c r="AR3922" s="82"/>
      <c r="AS3922" s="82"/>
      <c r="AT3922" s="82"/>
      <c r="AU3922" s="82"/>
      <c r="AV3922" s="82"/>
      <c r="AW3922" s="82" t="str">
        <f t="shared" si="1"/>
        <v/>
      </c>
      <c r="AX3922" s="83" t="str">
        <f t="array" ref="AX3922">IFERROR(DGET('SBV Import'!A:G,"SBV",{"RSC ID","Tier";B3922,A3922}))</f>
        <v/>
      </c>
      <c r="AY3922" s="82" t="str">
        <f t="shared" si="2"/>
        <v/>
      </c>
      <c r="AZ3922" s="82"/>
      <c r="BA3922" s="84" t="s">
        <v>152</v>
      </c>
      <c r="BB3922" s="84" t="str">
        <f>IFERROR(__xludf.DUMMYFUNCTION("iferror(if(A3922="""",,E3922&gt;=FILTER(Constants!$F$2:$F$10,Constants!$A$2:$A$10=A3922)))"),"")</f>
        <v/>
      </c>
    </row>
    <row r="3923">
      <c r="A3923" s="89"/>
      <c r="B3923" s="87"/>
      <c r="C3923" s="73"/>
      <c r="D3923" s="73"/>
      <c r="E3923" s="82"/>
      <c r="F3923" s="82"/>
      <c r="G3923" s="86"/>
      <c r="H3923" s="86"/>
      <c r="I3923" s="86"/>
      <c r="J3923" s="82"/>
      <c r="K3923" s="82"/>
      <c r="L3923" s="82"/>
      <c r="M3923" s="82"/>
      <c r="N3923" s="82"/>
      <c r="O3923" s="82"/>
      <c r="P3923" s="82"/>
      <c r="Q3923" s="82"/>
      <c r="R3923" s="82"/>
      <c r="S3923" s="82"/>
      <c r="T3923" s="82"/>
      <c r="U3923" s="82"/>
      <c r="V3923" s="82"/>
      <c r="W3923" s="82"/>
      <c r="X3923" s="82"/>
      <c r="Y3923" s="82"/>
      <c r="Z3923" s="82"/>
      <c r="AA3923" s="82"/>
      <c r="AB3923" s="82"/>
      <c r="AC3923" s="82"/>
      <c r="AD3923" s="82"/>
      <c r="AE3923" s="82"/>
      <c r="AF3923" s="82"/>
      <c r="AG3923" s="82"/>
      <c r="AH3923" s="82"/>
      <c r="AI3923" s="82"/>
      <c r="AJ3923" s="82"/>
      <c r="AK3923" s="82"/>
      <c r="AL3923" s="82"/>
      <c r="AM3923" s="82"/>
      <c r="AN3923" s="82"/>
      <c r="AO3923" s="82"/>
      <c r="AP3923" s="82"/>
      <c r="AQ3923" s="82"/>
      <c r="AR3923" s="82"/>
      <c r="AS3923" s="82"/>
      <c r="AT3923" s="82"/>
      <c r="AU3923" s="82"/>
      <c r="AV3923" s="82"/>
      <c r="AW3923" s="82" t="str">
        <f t="shared" si="1"/>
        <v/>
      </c>
      <c r="AX3923" s="83" t="str">
        <f t="array" ref="AX3923">IFERROR(DGET('SBV Import'!A:G,"SBV",{"RSC ID","Tier";B3923,A3923}))</f>
        <v/>
      </c>
      <c r="AY3923" s="82" t="str">
        <f t="shared" si="2"/>
        <v/>
      </c>
      <c r="AZ3923" s="82"/>
      <c r="BA3923" s="84" t="s">
        <v>152</v>
      </c>
      <c r="BB3923" s="84" t="str">
        <f>IFERROR(__xludf.DUMMYFUNCTION("iferror(if(A3923="""",,E3923&gt;=FILTER(Constants!$F$2:$F$10,Constants!$A$2:$A$10=A3923)))"),"")</f>
        <v/>
      </c>
    </row>
    <row r="3924">
      <c r="A3924" s="89"/>
      <c r="B3924" s="87"/>
      <c r="C3924" s="73"/>
      <c r="D3924" s="73"/>
      <c r="E3924" s="82"/>
      <c r="F3924" s="82"/>
      <c r="G3924" s="86"/>
      <c r="H3924" s="86"/>
      <c r="I3924" s="86"/>
      <c r="J3924" s="82"/>
      <c r="K3924" s="82"/>
      <c r="L3924" s="82"/>
      <c r="M3924" s="82"/>
      <c r="N3924" s="82"/>
      <c r="O3924" s="82"/>
      <c r="P3924" s="82"/>
      <c r="Q3924" s="82"/>
      <c r="R3924" s="82"/>
      <c r="S3924" s="82"/>
      <c r="T3924" s="82"/>
      <c r="U3924" s="82"/>
      <c r="V3924" s="82"/>
      <c r="W3924" s="82"/>
      <c r="X3924" s="82"/>
      <c r="Y3924" s="82"/>
      <c r="Z3924" s="82"/>
      <c r="AA3924" s="82"/>
      <c r="AB3924" s="82"/>
      <c r="AC3924" s="82"/>
      <c r="AD3924" s="82"/>
      <c r="AE3924" s="82"/>
      <c r="AF3924" s="82"/>
      <c r="AG3924" s="82"/>
      <c r="AH3924" s="82"/>
      <c r="AI3924" s="82"/>
      <c r="AJ3924" s="82"/>
      <c r="AK3924" s="82"/>
      <c r="AL3924" s="82"/>
      <c r="AM3924" s="82"/>
      <c r="AN3924" s="82"/>
      <c r="AO3924" s="82"/>
      <c r="AP3924" s="82"/>
      <c r="AQ3924" s="82"/>
      <c r="AR3924" s="82"/>
      <c r="AS3924" s="82"/>
      <c r="AT3924" s="82"/>
      <c r="AU3924" s="82"/>
      <c r="AV3924" s="82"/>
      <c r="AW3924" s="82" t="str">
        <f t="shared" si="1"/>
        <v/>
      </c>
      <c r="AX3924" s="83" t="str">
        <f t="array" ref="AX3924">IFERROR(DGET('SBV Import'!A:G,"SBV",{"RSC ID","Tier";B3924,A3924}))</f>
        <v/>
      </c>
      <c r="AY3924" s="82" t="str">
        <f t="shared" si="2"/>
        <v/>
      </c>
      <c r="AZ3924" s="82"/>
      <c r="BA3924" s="84" t="s">
        <v>152</v>
      </c>
      <c r="BB3924" s="84" t="str">
        <f>IFERROR(__xludf.DUMMYFUNCTION("iferror(if(A3924="""",,E3924&gt;=FILTER(Constants!$F$2:$F$10,Constants!$A$2:$A$10=A3924)))"),"")</f>
        <v/>
      </c>
    </row>
    <row r="3925">
      <c r="A3925" s="89"/>
      <c r="B3925" s="87"/>
      <c r="C3925" s="73"/>
      <c r="D3925" s="73"/>
      <c r="E3925" s="82"/>
      <c r="F3925" s="82"/>
      <c r="G3925" s="86"/>
      <c r="H3925" s="86"/>
      <c r="I3925" s="86"/>
      <c r="J3925" s="82"/>
      <c r="K3925" s="82"/>
      <c r="L3925" s="82"/>
      <c r="M3925" s="82"/>
      <c r="N3925" s="82"/>
      <c r="O3925" s="82"/>
      <c r="P3925" s="82"/>
      <c r="Q3925" s="82"/>
      <c r="R3925" s="82"/>
      <c r="S3925" s="82"/>
      <c r="T3925" s="82"/>
      <c r="U3925" s="82"/>
      <c r="V3925" s="82"/>
      <c r="W3925" s="82"/>
      <c r="X3925" s="82"/>
      <c r="Y3925" s="82"/>
      <c r="Z3925" s="82"/>
      <c r="AA3925" s="82"/>
      <c r="AB3925" s="82"/>
      <c r="AC3925" s="82"/>
      <c r="AD3925" s="82"/>
      <c r="AE3925" s="82"/>
      <c r="AF3925" s="82"/>
      <c r="AG3925" s="82"/>
      <c r="AH3925" s="82"/>
      <c r="AI3925" s="82"/>
      <c r="AJ3925" s="82"/>
      <c r="AK3925" s="82"/>
      <c r="AL3925" s="82"/>
      <c r="AM3925" s="82"/>
      <c r="AN3925" s="82"/>
      <c r="AO3925" s="82"/>
      <c r="AP3925" s="82"/>
      <c r="AQ3925" s="82"/>
      <c r="AR3925" s="82"/>
      <c r="AS3925" s="82"/>
      <c r="AT3925" s="82"/>
      <c r="AU3925" s="82"/>
      <c r="AV3925" s="82"/>
      <c r="AW3925" s="82" t="str">
        <f t="shared" si="1"/>
        <v/>
      </c>
      <c r="AX3925" s="83" t="str">
        <f t="array" ref="AX3925">IFERROR(DGET('SBV Import'!A:G,"SBV",{"RSC ID","Tier";B3925,A3925}))</f>
        <v/>
      </c>
      <c r="AY3925" s="82" t="str">
        <f t="shared" si="2"/>
        <v/>
      </c>
      <c r="AZ3925" s="82"/>
      <c r="BA3925" s="84" t="s">
        <v>152</v>
      </c>
      <c r="BB3925" s="84" t="str">
        <f>IFERROR(__xludf.DUMMYFUNCTION("iferror(if(A3925="""",,E3925&gt;=FILTER(Constants!$F$2:$F$10,Constants!$A$2:$A$10=A3925)))"),"")</f>
        <v/>
      </c>
    </row>
    <row r="3926">
      <c r="A3926" s="89"/>
      <c r="B3926" s="87"/>
      <c r="C3926" s="73"/>
      <c r="D3926" s="73"/>
      <c r="E3926" s="82"/>
      <c r="F3926" s="82"/>
      <c r="G3926" s="86"/>
      <c r="H3926" s="86"/>
      <c r="I3926" s="86"/>
      <c r="J3926" s="82"/>
      <c r="K3926" s="82"/>
      <c r="L3926" s="82"/>
      <c r="M3926" s="82"/>
      <c r="N3926" s="82"/>
      <c r="O3926" s="82"/>
      <c r="P3926" s="82"/>
      <c r="Q3926" s="82"/>
      <c r="R3926" s="82"/>
      <c r="S3926" s="82"/>
      <c r="T3926" s="82"/>
      <c r="U3926" s="82"/>
      <c r="V3926" s="82"/>
      <c r="W3926" s="82"/>
      <c r="X3926" s="82"/>
      <c r="Y3926" s="82"/>
      <c r="Z3926" s="82"/>
      <c r="AA3926" s="82"/>
      <c r="AB3926" s="82"/>
      <c r="AC3926" s="82"/>
      <c r="AD3926" s="82"/>
      <c r="AE3926" s="82"/>
      <c r="AF3926" s="82"/>
      <c r="AG3926" s="82"/>
      <c r="AH3926" s="82"/>
      <c r="AI3926" s="82"/>
      <c r="AJ3926" s="82"/>
      <c r="AK3926" s="82"/>
      <c r="AL3926" s="82"/>
      <c r="AM3926" s="82"/>
      <c r="AN3926" s="82"/>
      <c r="AO3926" s="82"/>
      <c r="AP3926" s="82"/>
      <c r="AQ3926" s="82"/>
      <c r="AR3926" s="82"/>
      <c r="AS3926" s="82"/>
      <c r="AT3926" s="82"/>
      <c r="AU3926" s="82"/>
      <c r="AV3926" s="82"/>
      <c r="AW3926" s="82" t="str">
        <f t="shared" si="1"/>
        <v/>
      </c>
      <c r="AX3926" s="83" t="str">
        <f t="array" ref="AX3926">IFERROR(DGET('SBV Import'!A:G,"SBV",{"RSC ID","Tier";B3926,A3926}))</f>
        <v/>
      </c>
      <c r="AY3926" s="82" t="str">
        <f t="shared" si="2"/>
        <v/>
      </c>
      <c r="AZ3926" s="82"/>
      <c r="BA3926" s="84" t="s">
        <v>152</v>
      </c>
      <c r="BB3926" s="84" t="str">
        <f>IFERROR(__xludf.DUMMYFUNCTION("iferror(if(A3926="""",,E3926&gt;=FILTER(Constants!$F$2:$F$10,Constants!$A$2:$A$10=A3926)))"),"")</f>
        <v/>
      </c>
    </row>
    <row r="3927">
      <c r="A3927" s="89"/>
      <c r="B3927" s="87"/>
      <c r="C3927" s="73"/>
      <c r="D3927" s="73"/>
      <c r="E3927" s="82"/>
      <c r="F3927" s="82"/>
      <c r="G3927" s="86"/>
      <c r="H3927" s="86"/>
      <c r="I3927" s="86"/>
      <c r="J3927" s="82"/>
      <c r="K3927" s="82"/>
      <c r="L3927" s="82"/>
      <c r="M3927" s="82"/>
      <c r="N3927" s="82"/>
      <c r="O3927" s="82"/>
      <c r="P3927" s="82"/>
      <c r="Q3927" s="82"/>
      <c r="R3927" s="82"/>
      <c r="S3927" s="82"/>
      <c r="T3927" s="82"/>
      <c r="U3927" s="82"/>
      <c r="V3927" s="82"/>
      <c r="W3927" s="82"/>
      <c r="X3927" s="82"/>
      <c r="Y3927" s="82"/>
      <c r="Z3927" s="82"/>
      <c r="AA3927" s="82"/>
      <c r="AB3927" s="82"/>
      <c r="AC3927" s="82"/>
      <c r="AD3927" s="82"/>
      <c r="AE3927" s="82"/>
      <c r="AF3927" s="82"/>
      <c r="AG3927" s="82"/>
      <c r="AH3927" s="82"/>
      <c r="AI3927" s="82"/>
      <c r="AJ3927" s="82"/>
      <c r="AK3927" s="82"/>
      <c r="AL3927" s="82"/>
      <c r="AM3927" s="82"/>
      <c r="AN3927" s="82"/>
      <c r="AO3927" s="82"/>
      <c r="AP3927" s="82"/>
      <c r="AQ3927" s="82"/>
      <c r="AR3927" s="82"/>
      <c r="AS3927" s="82"/>
      <c r="AT3927" s="82"/>
      <c r="AU3927" s="82"/>
      <c r="AV3927" s="82"/>
      <c r="AW3927" s="82" t="str">
        <f t="shared" si="1"/>
        <v/>
      </c>
      <c r="AX3927" s="83" t="str">
        <f t="array" ref="AX3927">IFERROR(DGET('SBV Import'!A:G,"SBV",{"RSC ID","Tier";B3927,A3927}))</f>
        <v/>
      </c>
      <c r="AY3927" s="82" t="str">
        <f t="shared" si="2"/>
        <v/>
      </c>
      <c r="AZ3927" s="82"/>
      <c r="BA3927" s="84" t="s">
        <v>152</v>
      </c>
      <c r="BB3927" s="84" t="str">
        <f>IFERROR(__xludf.DUMMYFUNCTION("iferror(if(A3927="""",,E3927&gt;=FILTER(Constants!$F$2:$F$10,Constants!$A$2:$A$10=A3927)))"),"")</f>
        <v/>
      </c>
    </row>
    <row r="3928">
      <c r="A3928" s="89"/>
      <c r="B3928" s="87"/>
      <c r="C3928" s="73"/>
      <c r="D3928" s="73"/>
      <c r="E3928" s="82"/>
      <c r="F3928" s="82"/>
      <c r="G3928" s="86"/>
      <c r="H3928" s="86"/>
      <c r="I3928" s="86"/>
      <c r="J3928" s="82"/>
      <c r="K3928" s="82"/>
      <c r="L3928" s="82"/>
      <c r="M3928" s="82"/>
      <c r="N3928" s="82"/>
      <c r="O3928" s="82"/>
      <c r="P3928" s="82"/>
      <c r="Q3928" s="82"/>
      <c r="R3928" s="82"/>
      <c r="S3928" s="82"/>
      <c r="T3928" s="82"/>
      <c r="U3928" s="82"/>
      <c r="V3928" s="82"/>
      <c r="W3928" s="82"/>
      <c r="X3928" s="82"/>
      <c r="Y3928" s="82"/>
      <c r="Z3928" s="82"/>
      <c r="AA3928" s="82"/>
      <c r="AB3928" s="82"/>
      <c r="AC3928" s="82"/>
      <c r="AD3928" s="82"/>
      <c r="AE3928" s="82"/>
      <c r="AF3928" s="82"/>
      <c r="AG3928" s="82"/>
      <c r="AH3928" s="82"/>
      <c r="AI3928" s="82"/>
      <c r="AJ3928" s="82"/>
      <c r="AK3928" s="82"/>
      <c r="AL3928" s="82"/>
      <c r="AM3928" s="82"/>
      <c r="AN3928" s="82"/>
      <c r="AO3928" s="82"/>
      <c r="AP3928" s="82"/>
      <c r="AQ3928" s="82"/>
      <c r="AR3928" s="82"/>
      <c r="AS3928" s="82"/>
      <c r="AT3928" s="82"/>
      <c r="AU3928" s="82"/>
      <c r="AV3928" s="82"/>
      <c r="AW3928" s="82" t="str">
        <f t="shared" si="1"/>
        <v/>
      </c>
      <c r="AX3928" s="83" t="str">
        <f t="array" ref="AX3928">IFERROR(DGET('SBV Import'!A:G,"SBV",{"RSC ID","Tier";B3928,A3928}))</f>
        <v/>
      </c>
      <c r="AY3928" s="82" t="str">
        <f t="shared" si="2"/>
        <v/>
      </c>
      <c r="AZ3928" s="82"/>
      <c r="BA3928" s="84" t="s">
        <v>152</v>
      </c>
      <c r="BB3928" s="84" t="str">
        <f>IFERROR(__xludf.DUMMYFUNCTION("iferror(if(A3928="""",,E3928&gt;=FILTER(Constants!$F$2:$F$10,Constants!$A$2:$A$10=A3928)))"),"")</f>
        <v/>
      </c>
    </row>
    <row r="3929">
      <c r="A3929" s="89"/>
      <c r="B3929" s="87"/>
      <c r="C3929" s="73"/>
      <c r="D3929" s="73"/>
      <c r="E3929" s="82"/>
      <c r="F3929" s="82"/>
      <c r="G3929" s="86"/>
      <c r="H3929" s="86"/>
      <c r="I3929" s="86"/>
      <c r="J3929" s="82"/>
      <c r="K3929" s="82"/>
      <c r="L3929" s="82"/>
      <c r="M3929" s="82"/>
      <c r="N3929" s="82"/>
      <c r="O3929" s="82"/>
      <c r="P3929" s="82"/>
      <c r="Q3929" s="82"/>
      <c r="R3929" s="82"/>
      <c r="S3929" s="82"/>
      <c r="T3929" s="82"/>
      <c r="U3929" s="82"/>
      <c r="V3929" s="82"/>
      <c r="W3929" s="82"/>
      <c r="X3929" s="82"/>
      <c r="Y3929" s="82"/>
      <c r="Z3929" s="82"/>
      <c r="AA3929" s="82"/>
      <c r="AB3929" s="82"/>
      <c r="AC3929" s="82"/>
      <c r="AD3929" s="82"/>
      <c r="AE3929" s="82"/>
      <c r="AF3929" s="82"/>
      <c r="AG3929" s="82"/>
      <c r="AH3929" s="82"/>
      <c r="AI3929" s="82"/>
      <c r="AJ3929" s="82"/>
      <c r="AK3929" s="82"/>
      <c r="AL3929" s="82"/>
      <c r="AM3929" s="82"/>
      <c r="AN3929" s="82"/>
      <c r="AO3929" s="82"/>
      <c r="AP3929" s="82"/>
      <c r="AQ3929" s="82"/>
      <c r="AR3929" s="82"/>
      <c r="AS3929" s="82"/>
      <c r="AT3929" s="82"/>
      <c r="AU3929" s="82"/>
      <c r="AV3929" s="82"/>
      <c r="AW3929" s="82" t="str">
        <f t="shared" si="1"/>
        <v/>
      </c>
      <c r="AX3929" s="83" t="str">
        <f t="array" ref="AX3929">IFERROR(DGET('SBV Import'!A:G,"SBV",{"RSC ID","Tier";B3929,A3929}))</f>
        <v/>
      </c>
      <c r="AY3929" s="82" t="str">
        <f t="shared" si="2"/>
        <v/>
      </c>
      <c r="AZ3929" s="82"/>
      <c r="BA3929" s="84" t="s">
        <v>152</v>
      </c>
      <c r="BB3929" s="84" t="str">
        <f>IFERROR(__xludf.DUMMYFUNCTION("iferror(if(A3929="""",,E3929&gt;=FILTER(Constants!$F$2:$F$10,Constants!$A$2:$A$10=A3929)))"),"")</f>
        <v/>
      </c>
    </row>
    <row r="3930">
      <c r="A3930" s="89"/>
      <c r="B3930" s="87"/>
      <c r="C3930" s="73"/>
      <c r="D3930" s="73"/>
      <c r="E3930" s="82"/>
      <c r="F3930" s="82"/>
      <c r="G3930" s="86"/>
      <c r="H3930" s="86"/>
      <c r="I3930" s="86"/>
      <c r="J3930" s="82"/>
      <c r="K3930" s="82"/>
      <c r="L3930" s="82"/>
      <c r="M3930" s="82"/>
      <c r="N3930" s="82"/>
      <c r="O3930" s="82"/>
      <c r="P3930" s="82"/>
      <c r="Q3930" s="82"/>
      <c r="R3930" s="82"/>
      <c r="S3930" s="82"/>
      <c r="T3930" s="82"/>
      <c r="U3930" s="82"/>
      <c r="V3930" s="82"/>
      <c r="W3930" s="82"/>
      <c r="X3930" s="82"/>
      <c r="Y3930" s="82"/>
      <c r="Z3930" s="82"/>
      <c r="AA3930" s="82"/>
      <c r="AB3930" s="82"/>
      <c r="AC3930" s="82"/>
      <c r="AD3930" s="82"/>
      <c r="AE3930" s="82"/>
      <c r="AF3930" s="82"/>
      <c r="AG3930" s="82"/>
      <c r="AH3930" s="82"/>
      <c r="AI3930" s="82"/>
      <c r="AJ3930" s="82"/>
      <c r="AK3930" s="82"/>
      <c r="AL3930" s="82"/>
      <c r="AM3930" s="82"/>
      <c r="AN3930" s="82"/>
      <c r="AO3930" s="82"/>
      <c r="AP3930" s="82"/>
      <c r="AQ3930" s="82"/>
      <c r="AR3930" s="82"/>
      <c r="AS3930" s="82"/>
      <c r="AT3930" s="82"/>
      <c r="AU3930" s="82"/>
      <c r="AV3930" s="82"/>
      <c r="AW3930" s="82" t="str">
        <f t="shared" si="1"/>
        <v/>
      </c>
      <c r="AX3930" s="83" t="str">
        <f t="array" ref="AX3930">IFERROR(DGET('SBV Import'!A:G,"SBV",{"RSC ID","Tier";B3930,A3930}))</f>
        <v/>
      </c>
      <c r="AY3930" s="82" t="str">
        <f t="shared" si="2"/>
        <v/>
      </c>
      <c r="AZ3930" s="82"/>
      <c r="BA3930" s="84" t="s">
        <v>152</v>
      </c>
      <c r="BB3930" s="84" t="str">
        <f>IFERROR(__xludf.DUMMYFUNCTION("iferror(if(A3930="""",,E3930&gt;=FILTER(Constants!$F$2:$F$10,Constants!$A$2:$A$10=A3930)))"),"")</f>
        <v/>
      </c>
    </row>
    <row r="3931">
      <c r="A3931" s="89"/>
      <c r="B3931" s="87"/>
      <c r="C3931" s="73"/>
      <c r="D3931" s="73"/>
      <c r="E3931" s="82"/>
      <c r="F3931" s="82"/>
      <c r="G3931" s="86"/>
      <c r="H3931" s="86"/>
      <c r="I3931" s="86"/>
      <c r="J3931" s="82"/>
      <c r="K3931" s="82"/>
      <c r="L3931" s="82"/>
      <c r="M3931" s="82"/>
      <c r="N3931" s="82"/>
      <c r="O3931" s="82"/>
      <c r="P3931" s="82"/>
      <c r="Q3931" s="82"/>
      <c r="R3931" s="82"/>
      <c r="S3931" s="82"/>
      <c r="T3931" s="82"/>
      <c r="U3931" s="82"/>
      <c r="V3931" s="82"/>
      <c r="W3931" s="82"/>
      <c r="X3931" s="82"/>
      <c r="Y3931" s="82"/>
      <c r="Z3931" s="82"/>
      <c r="AA3931" s="82"/>
      <c r="AB3931" s="82"/>
      <c r="AC3931" s="82"/>
      <c r="AD3931" s="82"/>
      <c r="AE3931" s="82"/>
      <c r="AF3931" s="82"/>
      <c r="AG3931" s="82"/>
      <c r="AH3931" s="82"/>
      <c r="AI3931" s="82"/>
      <c r="AJ3931" s="82"/>
      <c r="AK3931" s="82"/>
      <c r="AL3931" s="82"/>
      <c r="AM3931" s="82"/>
      <c r="AN3931" s="82"/>
      <c r="AO3931" s="82"/>
      <c r="AP3931" s="82"/>
      <c r="AQ3931" s="82"/>
      <c r="AR3931" s="82"/>
      <c r="AS3931" s="82"/>
      <c r="AT3931" s="82"/>
      <c r="AU3931" s="82"/>
      <c r="AV3931" s="82"/>
      <c r="AW3931" s="82" t="str">
        <f t="shared" si="1"/>
        <v/>
      </c>
      <c r="AX3931" s="83" t="str">
        <f t="array" ref="AX3931">IFERROR(DGET('SBV Import'!A:G,"SBV",{"RSC ID","Tier";B3931,A3931}))</f>
        <v/>
      </c>
      <c r="AY3931" s="82" t="str">
        <f t="shared" si="2"/>
        <v/>
      </c>
      <c r="AZ3931" s="82"/>
      <c r="BA3931" s="84" t="s">
        <v>152</v>
      </c>
      <c r="BB3931" s="84" t="str">
        <f>IFERROR(__xludf.DUMMYFUNCTION("iferror(if(A3931="""",,E3931&gt;=FILTER(Constants!$F$2:$F$10,Constants!$A$2:$A$10=A3931)))"),"")</f>
        <v/>
      </c>
    </row>
    <row r="3932">
      <c r="A3932" s="89"/>
      <c r="B3932" s="87"/>
      <c r="C3932" s="73"/>
      <c r="D3932" s="73"/>
      <c r="E3932" s="82"/>
      <c r="F3932" s="82"/>
      <c r="G3932" s="86"/>
      <c r="H3932" s="86"/>
      <c r="I3932" s="86"/>
      <c r="J3932" s="82"/>
      <c r="K3932" s="82"/>
      <c r="L3932" s="82"/>
      <c r="M3932" s="82"/>
      <c r="N3932" s="82"/>
      <c r="O3932" s="82"/>
      <c r="P3932" s="82"/>
      <c r="Q3932" s="82"/>
      <c r="R3932" s="82"/>
      <c r="S3932" s="82"/>
      <c r="T3932" s="82"/>
      <c r="U3932" s="82"/>
      <c r="V3932" s="82"/>
      <c r="W3932" s="82"/>
      <c r="X3932" s="82"/>
      <c r="Y3932" s="82"/>
      <c r="Z3932" s="82"/>
      <c r="AA3932" s="82"/>
      <c r="AB3932" s="82"/>
      <c r="AC3932" s="82"/>
      <c r="AD3932" s="82"/>
      <c r="AE3932" s="82"/>
      <c r="AF3932" s="82"/>
      <c r="AG3932" s="82"/>
      <c r="AH3932" s="82"/>
      <c r="AI3932" s="82"/>
      <c r="AJ3932" s="82"/>
      <c r="AK3932" s="82"/>
      <c r="AL3932" s="82"/>
      <c r="AM3932" s="82"/>
      <c r="AN3932" s="82"/>
      <c r="AO3932" s="82"/>
      <c r="AP3932" s="82"/>
      <c r="AQ3932" s="82"/>
      <c r="AR3932" s="82"/>
      <c r="AS3932" s="82"/>
      <c r="AT3932" s="82"/>
      <c r="AU3932" s="82"/>
      <c r="AV3932" s="82"/>
      <c r="AW3932" s="82" t="str">
        <f t="shared" si="1"/>
        <v/>
      </c>
      <c r="AX3932" s="83" t="str">
        <f t="array" ref="AX3932">IFERROR(DGET('SBV Import'!A:G,"SBV",{"RSC ID","Tier";B3932,A3932}))</f>
        <v/>
      </c>
      <c r="AY3932" s="82" t="str">
        <f t="shared" si="2"/>
        <v/>
      </c>
      <c r="AZ3932" s="82"/>
      <c r="BA3932" s="84" t="s">
        <v>152</v>
      </c>
      <c r="BB3932" s="84" t="str">
        <f>IFERROR(__xludf.DUMMYFUNCTION("iferror(if(A3932="""",,E3932&gt;=FILTER(Constants!$F$2:$F$10,Constants!$A$2:$A$10=A3932)))"),"")</f>
        <v/>
      </c>
    </row>
    <row r="3933">
      <c r="A3933" s="89"/>
      <c r="B3933" s="87"/>
      <c r="C3933" s="73"/>
      <c r="D3933" s="73"/>
      <c r="E3933" s="82"/>
      <c r="F3933" s="82"/>
      <c r="G3933" s="86"/>
      <c r="H3933" s="86"/>
      <c r="I3933" s="86"/>
      <c r="J3933" s="82"/>
      <c r="K3933" s="82"/>
      <c r="L3933" s="82"/>
      <c r="M3933" s="82"/>
      <c r="N3933" s="82"/>
      <c r="O3933" s="82"/>
      <c r="P3933" s="82"/>
      <c r="Q3933" s="82"/>
      <c r="R3933" s="82"/>
      <c r="S3933" s="82"/>
      <c r="T3933" s="82"/>
      <c r="U3933" s="82"/>
      <c r="V3933" s="82"/>
      <c r="W3933" s="82"/>
      <c r="X3933" s="82"/>
      <c r="Y3933" s="82"/>
      <c r="Z3933" s="82"/>
      <c r="AA3933" s="82"/>
      <c r="AB3933" s="82"/>
      <c r="AC3933" s="82"/>
      <c r="AD3933" s="82"/>
      <c r="AE3933" s="82"/>
      <c r="AF3933" s="82"/>
      <c r="AG3933" s="82"/>
      <c r="AH3933" s="82"/>
      <c r="AI3933" s="82"/>
      <c r="AJ3933" s="82"/>
      <c r="AK3933" s="82"/>
      <c r="AL3933" s="82"/>
      <c r="AM3933" s="82"/>
      <c r="AN3933" s="82"/>
      <c r="AO3933" s="82"/>
      <c r="AP3933" s="82"/>
      <c r="AQ3933" s="82"/>
      <c r="AR3933" s="82"/>
      <c r="AS3933" s="82"/>
      <c r="AT3933" s="82"/>
      <c r="AU3933" s="82"/>
      <c r="AV3933" s="82"/>
      <c r="AW3933" s="82" t="str">
        <f t="shared" si="1"/>
        <v/>
      </c>
      <c r="AX3933" s="83" t="str">
        <f t="array" ref="AX3933">IFERROR(DGET('SBV Import'!A:G,"SBV",{"RSC ID","Tier";B3933,A3933}))</f>
        <v/>
      </c>
      <c r="AY3933" s="82" t="str">
        <f t="shared" si="2"/>
        <v/>
      </c>
      <c r="AZ3933" s="82"/>
      <c r="BA3933" s="84" t="s">
        <v>152</v>
      </c>
      <c r="BB3933" s="84" t="str">
        <f>IFERROR(__xludf.DUMMYFUNCTION("iferror(if(A3933="""",,E3933&gt;=FILTER(Constants!$F$2:$F$10,Constants!$A$2:$A$10=A3933)))"),"")</f>
        <v/>
      </c>
    </row>
    <row r="3934">
      <c r="A3934" s="89"/>
      <c r="B3934" s="87"/>
      <c r="C3934" s="73"/>
      <c r="D3934" s="73"/>
      <c r="E3934" s="82"/>
      <c r="F3934" s="82"/>
      <c r="G3934" s="86"/>
      <c r="H3934" s="86"/>
      <c r="I3934" s="86"/>
      <c r="J3934" s="82"/>
      <c r="K3934" s="82"/>
      <c r="L3934" s="82"/>
      <c r="M3934" s="82"/>
      <c r="N3934" s="82"/>
      <c r="O3934" s="82"/>
      <c r="P3934" s="82"/>
      <c r="Q3934" s="82"/>
      <c r="R3934" s="82"/>
      <c r="S3934" s="82"/>
      <c r="T3934" s="82"/>
      <c r="U3934" s="82"/>
      <c r="V3934" s="82"/>
      <c r="W3934" s="82"/>
      <c r="X3934" s="82"/>
      <c r="Y3934" s="82"/>
      <c r="Z3934" s="82"/>
      <c r="AA3934" s="82"/>
      <c r="AB3934" s="82"/>
      <c r="AC3934" s="82"/>
      <c r="AD3934" s="82"/>
      <c r="AE3934" s="82"/>
      <c r="AF3934" s="82"/>
      <c r="AG3934" s="82"/>
      <c r="AH3934" s="82"/>
      <c r="AI3934" s="82"/>
      <c r="AJ3934" s="82"/>
      <c r="AK3934" s="82"/>
      <c r="AL3934" s="82"/>
      <c r="AM3934" s="82"/>
      <c r="AN3934" s="82"/>
      <c r="AO3934" s="82"/>
      <c r="AP3934" s="82"/>
      <c r="AQ3934" s="82"/>
      <c r="AR3934" s="82"/>
      <c r="AS3934" s="82"/>
      <c r="AT3934" s="82"/>
      <c r="AU3934" s="82"/>
      <c r="AV3934" s="82"/>
      <c r="AW3934" s="82" t="str">
        <f t="shared" si="1"/>
        <v/>
      </c>
      <c r="AX3934" s="83" t="str">
        <f t="array" ref="AX3934">IFERROR(DGET('SBV Import'!A:G,"SBV",{"RSC ID","Tier";B3934,A3934}))</f>
        <v/>
      </c>
      <c r="AY3934" s="82" t="str">
        <f t="shared" si="2"/>
        <v/>
      </c>
      <c r="AZ3934" s="82"/>
      <c r="BA3934" s="84" t="s">
        <v>152</v>
      </c>
      <c r="BB3934" s="84" t="str">
        <f>IFERROR(__xludf.DUMMYFUNCTION("iferror(if(A3934="""",,E3934&gt;=FILTER(Constants!$F$2:$F$10,Constants!$A$2:$A$10=A3934)))"),"")</f>
        <v/>
      </c>
    </row>
    <row r="3935">
      <c r="A3935" s="89"/>
      <c r="B3935" s="87"/>
      <c r="C3935" s="73"/>
      <c r="D3935" s="73"/>
      <c r="E3935" s="82"/>
      <c r="F3935" s="82"/>
      <c r="G3935" s="86"/>
      <c r="H3935" s="86"/>
      <c r="I3935" s="86"/>
      <c r="J3935" s="82"/>
      <c r="K3935" s="82"/>
      <c r="L3935" s="82"/>
      <c r="M3935" s="82"/>
      <c r="N3935" s="82"/>
      <c r="O3935" s="82"/>
      <c r="P3935" s="82"/>
      <c r="Q3935" s="82"/>
      <c r="R3935" s="82"/>
      <c r="S3935" s="82"/>
      <c r="T3935" s="82"/>
      <c r="U3935" s="82"/>
      <c r="V3935" s="82"/>
      <c r="W3935" s="82"/>
      <c r="X3935" s="82"/>
      <c r="Y3935" s="82"/>
      <c r="Z3935" s="82"/>
      <c r="AA3935" s="82"/>
      <c r="AB3935" s="82"/>
      <c r="AC3935" s="82"/>
      <c r="AD3935" s="82"/>
      <c r="AE3935" s="82"/>
      <c r="AF3935" s="82"/>
      <c r="AG3935" s="82"/>
      <c r="AH3935" s="82"/>
      <c r="AI3935" s="82"/>
      <c r="AJ3935" s="82"/>
      <c r="AK3935" s="82"/>
      <c r="AL3935" s="82"/>
      <c r="AM3935" s="82"/>
      <c r="AN3935" s="82"/>
      <c r="AO3935" s="82"/>
      <c r="AP3935" s="82"/>
      <c r="AQ3935" s="82"/>
      <c r="AR3935" s="82"/>
      <c r="AS3935" s="82"/>
      <c r="AT3935" s="82"/>
      <c r="AU3935" s="82"/>
      <c r="AV3935" s="82"/>
      <c r="AW3935" s="82" t="str">
        <f t="shared" si="1"/>
        <v/>
      </c>
      <c r="AX3935" s="83" t="str">
        <f t="array" ref="AX3935">IFERROR(DGET('SBV Import'!A:G,"SBV",{"RSC ID","Tier";B3935,A3935}))</f>
        <v/>
      </c>
      <c r="AY3935" s="82" t="str">
        <f t="shared" si="2"/>
        <v/>
      </c>
      <c r="AZ3935" s="82"/>
      <c r="BA3935" s="84" t="s">
        <v>152</v>
      </c>
      <c r="BB3935" s="84" t="str">
        <f>IFERROR(__xludf.DUMMYFUNCTION("iferror(if(A3935="""",,E3935&gt;=FILTER(Constants!$F$2:$F$10,Constants!$A$2:$A$10=A3935)))"),"")</f>
        <v/>
      </c>
    </row>
    <row r="3936">
      <c r="A3936" s="89"/>
      <c r="B3936" s="87"/>
      <c r="C3936" s="73"/>
      <c r="D3936" s="73"/>
      <c r="E3936" s="82"/>
      <c r="F3936" s="82"/>
      <c r="G3936" s="86"/>
      <c r="H3936" s="86"/>
      <c r="I3936" s="86"/>
      <c r="J3936" s="82"/>
      <c r="K3936" s="82"/>
      <c r="L3936" s="82"/>
      <c r="M3936" s="82"/>
      <c r="N3936" s="82"/>
      <c r="O3936" s="82"/>
      <c r="P3936" s="82"/>
      <c r="Q3936" s="82"/>
      <c r="R3936" s="82"/>
      <c r="S3936" s="82"/>
      <c r="T3936" s="82"/>
      <c r="U3936" s="82"/>
      <c r="V3936" s="82"/>
      <c r="W3936" s="82"/>
      <c r="X3936" s="82"/>
      <c r="Y3936" s="82"/>
      <c r="Z3936" s="82"/>
      <c r="AA3936" s="82"/>
      <c r="AB3936" s="82"/>
      <c r="AC3936" s="82"/>
      <c r="AD3936" s="82"/>
      <c r="AE3936" s="82"/>
      <c r="AF3936" s="82"/>
      <c r="AG3936" s="82"/>
      <c r="AH3936" s="82"/>
      <c r="AI3936" s="82"/>
      <c r="AJ3936" s="82"/>
      <c r="AK3936" s="82"/>
      <c r="AL3936" s="82"/>
      <c r="AM3936" s="82"/>
      <c r="AN3936" s="82"/>
      <c r="AO3936" s="82"/>
      <c r="AP3936" s="82"/>
      <c r="AQ3936" s="82"/>
      <c r="AR3936" s="82"/>
      <c r="AS3936" s="82"/>
      <c r="AT3936" s="82"/>
      <c r="AU3936" s="82"/>
      <c r="AV3936" s="82"/>
      <c r="AW3936" s="82" t="str">
        <f t="shared" si="1"/>
        <v/>
      </c>
      <c r="AX3936" s="83" t="str">
        <f t="array" ref="AX3936">IFERROR(DGET('SBV Import'!A:G,"SBV",{"RSC ID","Tier";B3936,A3936}))</f>
        <v/>
      </c>
      <c r="AY3936" s="82" t="str">
        <f t="shared" si="2"/>
        <v/>
      </c>
      <c r="AZ3936" s="82"/>
      <c r="BA3936" s="84" t="s">
        <v>152</v>
      </c>
      <c r="BB3936" s="84" t="str">
        <f>IFERROR(__xludf.DUMMYFUNCTION("iferror(if(A3936="""",,E3936&gt;=FILTER(Constants!$F$2:$F$10,Constants!$A$2:$A$10=A3936)))"),"")</f>
        <v/>
      </c>
    </row>
    <row r="3937">
      <c r="A3937" s="89"/>
      <c r="B3937" s="87"/>
      <c r="C3937" s="73"/>
      <c r="D3937" s="73"/>
      <c r="E3937" s="82"/>
      <c r="F3937" s="82"/>
      <c r="G3937" s="86"/>
      <c r="H3937" s="86"/>
      <c r="I3937" s="86"/>
      <c r="J3937" s="82"/>
      <c r="K3937" s="82"/>
      <c r="L3937" s="82"/>
      <c r="M3937" s="82"/>
      <c r="N3937" s="82"/>
      <c r="O3937" s="82"/>
      <c r="P3937" s="82"/>
      <c r="Q3937" s="82"/>
      <c r="R3937" s="82"/>
      <c r="S3937" s="82"/>
      <c r="T3937" s="82"/>
      <c r="U3937" s="82"/>
      <c r="V3937" s="82"/>
      <c r="W3937" s="82"/>
      <c r="X3937" s="82"/>
      <c r="Y3937" s="82"/>
      <c r="Z3937" s="82"/>
      <c r="AA3937" s="82"/>
      <c r="AB3937" s="82"/>
      <c r="AC3937" s="82"/>
      <c r="AD3937" s="82"/>
      <c r="AE3937" s="82"/>
      <c r="AF3937" s="82"/>
      <c r="AG3937" s="82"/>
      <c r="AH3937" s="82"/>
      <c r="AI3937" s="82"/>
      <c r="AJ3937" s="82"/>
      <c r="AK3937" s="82"/>
      <c r="AL3937" s="82"/>
      <c r="AM3937" s="82"/>
      <c r="AN3937" s="82"/>
      <c r="AO3937" s="82"/>
      <c r="AP3937" s="82"/>
      <c r="AQ3937" s="82"/>
      <c r="AR3937" s="82"/>
      <c r="AS3937" s="82"/>
      <c r="AT3937" s="82"/>
      <c r="AU3937" s="82"/>
      <c r="AV3937" s="82"/>
      <c r="AW3937" s="82" t="str">
        <f t="shared" si="1"/>
        <v/>
      </c>
      <c r="AX3937" s="83" t="str">
        <f t="array" ref="AX3937">IFERROR(DGET('SBV Import'!A:G,"SBV",{"RSC ID","Tier";B3937,A3937}))</f>
        <v/>
      </c>
      <c r="AY3937" s="82" t="str">
        <f t="shared" si="2"/>
        <v/>
      </c>
      <c r="AZ3937" s="82"/>
      <c r="BA3937" s="84" t="s">
        <v>152</v>
      </c>
      <c r="BB3937" s="84" t="str">
        <f>IFERROR(__xludf.DUMMYFUNCTION("iferror(if(A3937="""",,E3937&gt;=FILTER(Constants!$F$2:$F$10,Constants!$A$2:$A$10=A3937)))"),"")</f>
        <v/>
      </c>
    </row>
    <row r="3938">
      <c r="A3938" s="89"/>
      <c r="B3938" s="87"/>
      <c r="C3938" s="73"/>
      <c r="D3938" s="73"/>
      <c r="E3938" s="82"/>
      <c r="F3938" s="82"/>
      <c r="G3938" s="86"/>
      <c r="H3938" s="86"/>
      <c r="I3938" s="86"/>
      <c r="J3938" s="82"/>
      <c r="K3938" s="82"/>
      <c r="L3938" s="82"/>
      <c r="M3938" s="82"/>
      <c r="N3938" s="82"/>
      <c r="O3938" s="82"/>
      <c r="P3938" s="82"/>
      <c r="Q3938" s="82"/>
      <c r="R3938" s="82"/>
      <c r="S3938" s="82"/>
      <c r="T3938" s="82"/>
      <c r="U3938" s="82"/>
      <c r="V3938" s="82"/>
      <c r="W3938" s="82"/>
      <c r="X3938" s="82"/>
      <c r="Y3938" s="82"/>
      <c r="Z3938" s="82"/>
      <c r="AA3938" s="82"/>
      <c r="AB3938" s="82"/>
      <c r="AC3938" s="82"/>
      <c r="AD3938" s="82"/>
      <c r="AE3938" s="82"/>
      <c r="AF3938" s="82"/>
      <c r="AG3938" s="82"/>
      <c r="AH3938" s="82"/>
      <c r="AI3938" s="82"/>
      <c r="AJ3938" s="82"/>
      <c r="AK3938" s="82"/>
      <c r="AL3938" s="82"/>
      <c r="AM3938" s="82"/>
      <c r="AN3938" s="82"/>
      <c r="AO3938" s="82"/>
      <c r="AP3938" s="82"/>
      <c r="AQ3938" s="82"/>
      <c r="AR3938" s="82"/>
      <c r="AS3938" s="82"/>
      <c r="AT3938" s="82"/>
      <c r="AU3938" s="82"/>
      <c r="AV3938" s="82"/>
      <c r="AW3938" s="82" t="str">
        <f t="shared" si="1"/>
        <v/>
      </c>
      <c r="AX3938" s="83" t="str">
        <f t="array" ref="AX3938">IFERROR(DGET('SBV Import'!A:G,"SBV",{"RSC ID","Tier";B3938,A3938}))</f>
        <v/>
      </c>
      <c r="AY3938" s="82" t="str">
        <f t="shared" si="2"/>
        <v/>
      </c>
      <c r="AZ3938" s="82"/>
      <c r="BA3938" s="84" t="s">
        <v>152</v>
      </c>
      <c r="BB3938" s="84" t="str">
        <f>IFERROR(__xludf.DUMMYFUNCTION("iferror(if(A3938="""",,E3938&gt;=FILTER(Constants!$F$2:$F$10,Constants!$A$2:$A$10=A3938)))"),"")</f>
        <v/>
      </c>
    </row>
    <row r="3939">
      <c r="A3939" s="89"/>
      <c r="B3939" s="87"/>
      <c r="C3939" s="73"/>
      <c r="D3939" s="73"/>
      <c r="E3939" s="82"/>
      <c r="F3939" s="82"/>
      <c r="G3939" s="86"/>
      <c r="H3939" s="86"/>
      <c r="I3939" s="86"/>
      <c r="J3939" s="82"/>
      <c r="K3939" s="82"/>
      <c r="L3939" s="82"/>
      <c r="M3939" s="82"/>
      <c r="N3939" s="82"/>
      <c r="O3939" s="82"/>
      <c r="P3939" s="82"/>
      <c r="Q3939" s="82"/>
      <c r="R3939" s="82"/>
      <c r="S3939" s="82"/>
      <c r="T3939" s="82"/>
      <c r="U3939" s="82"/>
      <c r="V3939" s="82"/>
      <c r="W3939" s="82"/>
      <c r="X3939" s="82"/>
      <c r="Y3939" s="82"/>
      <c r="Z3939" s="82"/>
      <c r="AA3939" s="82"/>
      <c r="AB3939" s="82"/>
      <c r="AC3939" s="82"/>
      <c r="AD3939" s="82"/>
      <c r="AE3939" s="82"/>
      <c r="AF3939" s="82"/>
      <c r="AG3939" s="82"/>
      <c r="AH3939" s="82"/>
      <c r="AI3939" s="82"/>
      <c r="AJ3939" s="82"/>
      <c r="AK3939" s="82"/>
      <c r="AL3939" s="82"/>
      <c r="AM3939" s="82"/>
      <c r="AN3939" s="82"/>
      <c r="AO3939" s="82"/>
      <c r="AP3939" s="82"/>
      <c r="AQ3939" s="82"/>
      <c r="AR3939" s="82"/>
      <c r="AS3939" s="82"/>
      <c r="AT3939" s="82"/>
      <c r="AU3939" s="82"/>
      <c r="AV3939" s="82"/>
      <c r="AW3939" s="82" t="str">
        <f t="shared" si="1"/>
        <v/>
      </c>
      <c r="AX3939" s="83" t="str">
        <f t="array" ref="AX3939">IFERROR(DGET('SBV Import'!A:G,"SBV",{"RSC ID","Tier";B3939,A3939}))</f>
        <v/>
      </c>
      <c r="AY3939" s="82" t="str">
        <f t="shared" si="2"/>
        <v/>
      </c>
      <c r="AZ3939" s="82"/>
      <c r="BA3939" s="84" t="s">
        <v>152</v>
      </c>
      <c r="BB3939" s="84" t="str">
        <f>IFERROR(__xludf.DUMMYFUNCTION("iferror(if(A3939="""",,E3939&gt;=FILTER(Constants!$F$2:$F$10,Constants!$A$2:$A$10=A3939)))"),"")</f>
        <v/>
      </c>
    </row>
    <row r="3940">
      <c r="A3940" s="89"/>
      <c r="B3940" s="87"/>
      <c r="C3940" s="73"/>
      <c r="D3940" s="73"/>
      <c r="E3940" s="82"/>
      <c r="F3940" s="82"/>
      <c r="G3940" s="86"/>
      <c r="H3940" s="86"/>
      <c r="I3940" s="86"/>
      <c r="J3940" s="82"/>
      <c r="K3940" s="82"/>
      <c r="L3940" s="82"/>
      <c r="M3940" s="82"/>
      <c r="N3940" s="82"/>
      <c r="O3940" s="82"/>
      <c r="P3940" s="82"/>
      <c r="Q3940" s="82"/>
      <c r="R3940" s="82"/>
      <c r="S3940" s="82"/>
      <c r="T3940" s="82"/>
      <c r="U3940" s="82"/>
      <c r="V3940" s="82"/>
      <c r="W3940" s="82"/>
      <c r="X3940" s="82"/>
      <c r="Y3940" s="82"/>
      <c r="Z3940" s="82"/>
      <c r="AA3940" s="82"/>
      <c r="AB3940" s="82"/>
      <c r="AC3940" s="82"/>
      <c r="AD3940" s="82"/>
      <c r="AE3940" s="82"/>
      <c r="AF3940" s="82"/>
      <c r="AG3940" s="82"/>
      <c r="AH3940" s="82"/>
      <c r="AI3940" s="82"/>
      <c r="AJ3940" s="82"/>
      <c r="AK3940" s="82"/>
      <c r="AL3940" s="82"/>
      <c r="AM3940" s="82"/>
      <c r="AN3940" s="82"/>
      <c r="AO3940" s="82"/>
      <c r="AP3940" s="82"/>
      <c r="AQ3940" s="82"/>
      <c r="AR3940" s="82"/>
      <c r="AS3940" s="82"/>
      <c r="AT3940" s="82"/>
      <c r="AU3940" s="82"/>
      <c r="AV3940" s="82"/>
      <c r="AW3940" s="82" t="str">
        <f t="shared" si="1"/>
        <v/>
      </c>
      <c r="AX3940" s="83" t="str">
        <f t="array" ref="AX3940">IFERROR(DGET('SBV Import'!A:G,"SBV",{"RSC ID","Tier";B3940,A3940}))</f>
        <v/>
      </c>
      <c r="AY3940" s="82" t="str">
        <f t="shared" si="2"/>
        <v/>
      </c>
      <c r="AZ3940" s="82"/>
      <c r="BA3940" s="84" t="s">
        <v>152</v>
      </c>
      <c r="BB3940" s="84" t="str">
        <f>IFERROR(__xludf.DUMMYFUNCTION("iferror(if(A3940="""",,E3940&gt;=FILTER(Constants!$F$2:$F$10,Constants!$A$2:$A$10=A3940)))"),"")</f>
        <v/>
      </c>
    </row>
    <row r="3941">
      <c r="A3941" s="89"/>
      <c r="B3941" s="87"/>
      <c r="C3941" s="73"/>
      <c r="D3941" s="73"/>
      <c r="E3941" s="82"/>
      <c r="F3941" s="82"/>
      <c r="G3941" s="86"/>
      <c r="H3941" s="86"/>
      <c r="I3941" s="86"/>
      <c r="J3941" s="82"/>
      <c r="K3941" s="82"/>
      <c r="L3941" s="82"/>
      <c r="M3941" s="82"/>
      <c r="N3941" s="82"/>
      <c r="O3941" s="82"/>
      <c r="P3941" s="82"/>
      <c r="Q3941" s="82"/>
      <c r="R3941" s="82"/>
      <c r="S3941" s="82"/>
      <c r="T3941" s="82"/>
      <c r="U3941" s="82"/>
      <c r="V3941" s="82"/>
      <c r="W3941" s="82"/>
      <c r="X3941" s="82"/>
      <c r="Y3941" s="82"/>
      <c r="Z3941" s="82"/>
      <c r="AA3941" s="82"/>
      <c r="AB3941" s="82"/>
      <c r="AC3941" s="82"/>
      <c r="AD3941" s="82"/>
      <c r="AE3941" s="82"/>
      <c r="AF3941" s="82"/>
      <c r="AG3941" s="82"/>
      <c r="AH3941" s="82"/>
      <c r="AI3941" s="82"/>
      <c r="AJ3941" s="82"/>
      <c r="AK3941" s="82"/>
      <c r="AL3941" s="82"/>
      <c r="AM3941" s="82"/>
      <c r="AN3941" s="82"/>
      <c r="AO3941" s="82"/>
      <c r="AP3941" s="82"/>
      <c r="AQ3941" s="82"/>
      <c r="AR3941" s="82"/>
      <c r="AS3941" s="82"/>
      <c r="AT3941" s="82"/>
      <c r="AU3941" s="82"/>
      <c r="AV3941" s="82"/>
      <c r="AW3941" s="82" t="str">
        <f t="shared" si="1"/>
        <v/>
      </c>
      <c r="AX3941" s="83" t="str">
        <f t="array" ref="AX3941">IFERROR(DGET('SBV Import'!A:G,"SBV",{"RSC ID","Tier";B3941,A3941}))</f>
        <v/>
      </c>
      <c r="AY3941" s="82" t="str">
        <f t="shared" si="2"/>
        <v/>
      </c>
      <c r="AZ3941" s="82"/>
      <c r="BA3941" s="84" t="s">
        <v>152</v>
      </c>
      <c r="BB3941" s="84" t="str">
        <f>IFERROR(__xludf.DUMMYFUNCTION("iferror(if(A3941="""",,E3941&gt;=FILTER(Constants!$F$2:$F$10,Constants!$A$2:$A$10=A3941)))"),"")</f>
        <v/>
      </c>
    </row>
    <row r="3942">
      <c r="A3942" s="89"/>
      <c r="B3942" s="87"/>
      <c r="C3942" s="73"/>
      <c r="D3942" s="73"/>
      <c r="E3942" s="82"/>
      <c r="F3942" s="82"/>
      <c r="G3942" s="86"/>
      <c r="H3942" s="86"/>
      <c r="I3942" s="86"/>
      <c r="J3942" s="82"/>
      <c r="K3942" s="82"/>
      <c r="L3942" s="82"/>
      <c r="M3942" s="82"/>
      <c r="N3942" s="82"/>
      <c r="O3942" s="82"/>
      <c r="P3942" s="82"/>
      <c r="Q3942" s="82"/>
      <c r="R3942" s="82"/>
      <c r="S3942" s="82"/>
      <c r="T3942" s="82"/>
      <c r="U3942" s="82"/>
      <c r="V3942" s="82"/>
      <c r="W3942" s="82"/>
      <c r="X3942" s="82"/>
      <c r="Y3942" s="82"/>
      <c r="Z3942" s="82"/>
      <c r="AA3942" s="82"/>
      <c r="AB3942" s="82"/>
      <c r="AC3942" s="82"/>
      <c r="AD3942" s="82"/>
      <c r="AE3942" s="82"/>
      <c r="AF3942" s="82"/>
      <c r="AG3942" s="82"/>
      <c r="AH3942" s="82"/>
      <c r="AI3942" s="82"/>
      <c r="AJ3942" s="82"/>
      <c r="AK3942" s="82"/>
      <c r="AL3942" s="82"/>
      <c r="AM3942" s="82"/>
      <c r="AN3942" s="82"/>
      <c r="AO3942" s="82"/>
      <c r="AP3942" s="82"/>
      <c r="AQ3942" s="82"/>
      <c r="AR3942" s="82"/>
      <c r="AS3942" s="82"/>
      <c r="AT3942" s="82"/>
      <c r="AU3942" s="82"/>
      <c r="AV3942" s="82"/>
      <c r="AW3942" s="82" t="str">
        <f t="shared" si="1"/>
        <v/>
      </c>
      <c r="AX3942" s="83" t="str">
        <f t="array" ref="AX3942">IFERROR(DGET('SBV Import'!A:G,"SBV",{"RSC ID","Tier";B3942,A3942}))</f>
        <v/>
      </c>
      <c r="AY3942" s="82" t="str">
        <f t="shared" si="2"/>
        <v/>
      </c>
      <c r="AZ3942" s="82"/>
      <c r="BA3942" s="84" t="s">
        <v>152</v>
      </c>
      <c r="BB3942" s="84" t="str">
        <f>IFERROR(__xludf.DUMMYFUNCTION("iferror(if(A3942="""",,E3942&gt;=FILTER(Constants!$F$2:$F$10,Constants!$A$2:$A$10=A3942)))"),"")</f>
        <v/>
      </c>
    </row>
    <row r="3943">
      <c r="A3943" s="89"/>
      <c r="B3943" s="87"/>
      <c r="C3943" s="73"/>
      <c r="D3943" s="73"/>
      <c r="E3943" s="82"/>
      <c r="F3943" s="82"/>
      <c r="G3943" s="86"/>
      <c r="H3943" s="86"/>
      <c r="I3943" s="86"/>
      <c r="J3943" s="82"/>
      <c r="K3943" s="82"/>
      <c r="L3943" s="82"/>
      <c r="M3943" s="82"/>
      <c r="N3943" s="82"/>
      <c r="O3943" s="82"/>
      <c r="P3943" s="82"/>
      <c r="Q3943" s="82"/>
      <c r="R3943" s="82"/>
      <c r="S3943" s="82"/>
      <c r="T3943" s="82"/>
      <c r="U3943" s="82"/>
      <c r="V3943" s="82"/>
      <c r="W3943" s="82"/>
      <c r="X3943" s="82"/>
      <c r="Y3943" s="82"/>
      <c r="Z3943" s="82"/>
      <c r="AA3943" s="82"/>
      <c r="AB3943" s="82"/>
      <c r="AC3943" s="82"/>
      <c r="AD3943" s="82"/>
      <c r="AE3943" s="82"/>
      <c r="AF3943" s="82"/>
      <c r="AG3943" s="82"/>
      <c r="AH3943" s="82"/>
      <c r="AI3943" s="82"/>
      <c r="AJ3943" s="82"/>
      <c r="AK3943" s="82"/>
      <c r="AL3943" s="82"/>
      <c r="AM3943" s="82"/>
      <c r="AN3943" s="82"/>
      <c r="AO3943" s="82"/>
      <c r="AP3943" s="82"/>
      <c r="AQ3943" s="82"/>
      <c r="AR3943" s="82"/>
      <c r="AS3943" s="82"/>
      <c r="AT3943" s="82"/>
      <c r="AU3943" s="82"/>
      <c r="AV3943" s="82"/>
      <c r="AW3943" s="82" t="str">
        <f t="shared" si="1"/>
        <v/>
      </c>
      <c r="AX3943" s="83" t="str">
        <f t="array" ref="AX3943">IFERROR(DGET('SBV Import'!A:G,"SBV",{"RSC ID","Tier";B3943,A3943}))</f>
        <v/>
      </c>
      <c r="AY3943" s="82" t="str">
        <f t="shared" si="2"/>
        <v/>
      </c>
      <c r="AZ3943" s="82"/>
      <c r="BA3943" s="84" t="s">
        <v>152</v>
      </c>
      <c r="BB3943" s="84" t="str">
        <f>IFERROR(__xludf.DUMMYFUNCTION("iferror(if(A3943="""",,E3943&gt;=FILTER(Constants!$F$2:$F$10,Constants!$A$2:$A$10=A3943)))"),"")</f>
        <v/>
      </c>
    </row>
    <row r="3944">
      <c r="A3944" s="89"/>
      <c r="B3944" s="87"/>
      <c r="C3944" s="73"/>
      <c r="D3944" s="73"/>
      <c r="E3944" s="82"/>
      <c r="F3944" s="82"/>
      <c r="G3944" s="86"/>
      <c r="H3944" s="86"/>
      <c r="I3944" s="86"/>
      <c r="J3944" s="82"/>
      <c r="K3944" s="82"/>
      <c r="L3944" s="82"/>
      <c r="M3944" s="82"/>
      <c r="N3944" s="82"/>
      <c r="O3944" s="82"/>
      <c r="P3944" s="82"/>
      <c r="Q3944" s="82"/>
      <c r="R3944" s="82"/>
      <c r="S3944" s="82"/>
      <c r="T3944" s="82"/>
      <c r="U3944" s="82"/>
      <c r="V3944" s="82"/>
      <c r="W3944" s="82"/>
      <c r="X3944" s="82"/>
      <c r="Y3944" s="82"/>
      <c r="Z3944" s="82"/>
      <c r="AA3944" s="82"/>
      <c r="AB3944" s="82"/>
      <c r="AC3944" s="82"/>
      <c r="AD3944" s="82"/>
      <c r="AE3944" s="82"/>
      <c r="AF3944" s="82"/>
      <c r="AG3944" s="82"/>
      <c r="AH3944" s="82"/>
      <c r="AI3944" s="82"/>
      <c r="AJ3944" s="82"/>
      <c r="AK3944" s="82"/>
      <c r="AL3944" s="82"/>
      <c r="AM3944" s="82"/>
      <c r="AN3944" s="82"/>
      <c r="AO3944" s="82"/>
      <c r="AP3944" s="82"/>
      <c r="AQ3944" s="82"/>
      <c r="AR3944" s="82"/>
      <c r="AS3944" s="82"/>
      <c r="AT3944" s="82"/>
      <c r="AU3944" s="82"/>
      <c r="AV3944" s="82"/>
      <c r="AW3944" s="82" t="str">
        <f t="shared" si="1"/>
        <v/>
      </c>
      <c r="AX3944" s="83" t="str">
        <f t="array" ref="AX3944">IFERROR(DGET('SBV Import'!A:G,"SBV",{"RSC ID","Tier";B3944,A3944}))</f>
        <v/>
      </c>
      <c r="AY3944" s="82" t="str">
        <f t="shared" si="2"/>
        <v/>
      </c>
      <c r="AZ3944" s="82"/>
      <c r="BA3944" s="84" t="s">
        <v>152</v>
      </c>
      <c r="BB3944" s="84" t="str">
        <f>IFERROR(__xludf.DUMMYFUNCTION("iferror(if(A3944="""",,E3944&gt;=FILTER(Constants!$F$2:$F$10,Constants!$A$2:$A$10=A3944)))"),"")</f>
        <v/>
      </c>
    </row>
    <row r="3945">
      <c r="A3945" s="89"/>
      <c r="B3945" s="87"/>
      <c r="C3945" s="73"/>
      <c r="D3945" s="73"/>
      <c r="E3945" s="82"/>
      <c r="F3945" s="82"/>
      <c r="G3945" s="86"/>
      <c r="H3945" s="86"/>
      <c r="I3945" s="86"/>
      <c r="J3945" s="82"/>
      <c r="K3945" s="82"/>
      <c r="L3945" s="82"/>
      <c r="M3945" s="82"/>
      <c r="N3945" s="82"/>
      <c r="O3945" s="82"/>
      <c r="P3945" s="82"/>
      <c r="Q3945" s="82"/>
      <c r="R3945" s="82"/>
      <c r="S3945" s="82"/>
      <c r="T3945" s="82"/>
      <c r="U3945" s="82"/>
      <c r="V3945" s="82"/>
      <c r="W3945" s="82"/>
      <c r="X3945" s="82"/>
      <c r="Y3945" s="82"/>
      <c r="Z3945" s="82"/>
      <c r="AA3945" s="82"/>
      <c r="AB3945" s="82"/>
      <c r="AC3945" s="82"/>
      <c r="AD3945" s="82"/>
      <c r="AE3945" s="82"/>
      <c r="AF3945" s="82"/>
      <c r="AG3945" s="82"/>
      <c r="AH3945" s="82"/>
      <c r="AI3945" s="82"/>
      <c r="AJ3945" s="82"/>
      <c r="AK3945" s="82"/>
      <c r="AL3945" s="82"/>
      <c r="AM3945" s="82"/>
      <c r="AN3945" s="82"/>
      <c r="AO3945" s="82"/>
      <c r="AP3945" s="82"/>
      <c r="AQ3945" s="82"/>
      <c r="AR3945" s="82"/>
      <c r="AS3945" s="82"/>
      <c r="AT3945" s="82"/>
      <c r="AU3945" s="82"/>
      <c r="AV3945" s="82"/>
      <c r="AW3945" s="82" t="str">
        <f t="shared" si="1"/>
        <v/>
      </c>
      <c r="AX3945" s="83" t="str">
        <f t="array" ref="AX3945">IFERROR(DGET('SBV Import'!A:G,"SBV",{"RSC ID","Tier";B3945,A3945}))</f>
        <v/>
      </c>
      <c r="AY3945" s="82" t="str">
        <f t="shared" si="2"/>
        <v/>
      </c>
      <c r="AZ3945" s="82"/>
      <c r="BA3945" s="84" t="s">
        <v>152</v>
      </c>
      <c r="BB3945" s="84" t="str">
        <f>IFERROR(__xludf.DUMMYFUNCTION("iferror(if(A3945="""",,E3945&gt;=FILTER(Constants!$F$2:$F$10,Constants!$A$2:$A$10=A3945)))"),"")</f>
        <v/>
      </c>
    </row>
    <row r="3946">
      <c r="A3946" s="89"/>
      <c r="B3946" s="87"/>
      <c r="C3946" s="73"/>
      <c r="D3946" s="73"/>
      <c r="E3946" s="82"/>
      <c r="F3946" s="82"/>
      <c r="G3946" s="86"/>
      <c r="H3946" s="86"/>
      <c r="I3946" s="86"/>
      <c r="J3946" s="82"/>
      <c r="K3946" s="82"/>
      <c r="L3946" s="82"/>
      <c r="M3946" s="82"/>
      <c r="N3946" s="82"/>
      <c r="O3946" s="82"/>
      <c r="P3946" s="82"/>
      <c r="Q3946" s="82"/>
      <c r="R3946" s="82"/>
      <c r="S3946" s="82"/>
      <c r="T3946" s="82"/>
      <c r="U3946" s="82"/>
      <c r="V3946" s="82"/>
      <c r="W3946" s="82"/>
      <c r="X3946" s="82"/>
      <c r="Y3946" s="82"/>
      <c r="Z3946" s="82"/>
      <c r="AA3946" s="82"/>
      <c r="AB3946" s="82"/>
      <c r="AC3946" s="82"/>
      <c r="AD3946" s="82"/>
      <c r="AE3946" s="82"/>
      <c r="AF3946" s="82"/>
      <c r="AG3946" s="82"/>
      <c r="AH3946" s="82"/>
      <c r="AI3946" s="82"/>
      <c r="AJ3946" s="82"/>
      <c r="AK3946" s="82"/>
      <c r="AL3946" s="82"/>
      <c r="AM3946" s="82"/>
      <c r="AN3946" s="82"/>
      <c r="AO3946" s="82"/>
      <c r="AP3946" s="82"/>
      <c r="AQ3946" s="82"/>
      <c r="AR3946" s="82"/>
      <c r="AS3946" s="82"/>
      <c r="AT3946" s="82"/>
      <c r="AU3946" s="82"/>
      <c r="AV3946" s="82"/>
      <c r="AW3946" s="82" t="str">
        <f t="shared" si="1"/>
        <v/>
      </c>
      <c r="AX3946" s="83" t="str">
        <f t="array" ref="AX3946">IFERROR(DGET('SBV Import'!A:G,"SBV",{"RSC ID","Tier";B3946,A3946}))</f>
        <v/>
      </c>
      <c r="AY3946" s="82" t="str">
        <f t="shared" si="2"/>
        <v/>
      </c>
      <c r="AZ3946" s="82"/>
      <c r="BA3946" s="84" t="s">
        <v>152</v>
      </c>
      <c r="BB3946" s="84" t="str">
        <f>IFERROR(__xludf.DUMMYFUNCTION("iferror(if(A3946="""",,E3946&gt;=FILTER(Constants!$F$2:$F$10,Constants!$A$2:$A$10=A3946)))"),"")</f>
        <v/>
      </c>
    </row>
    <row r="3947">
      <c r="A3947" s="89"/>
      <c r="B3947" s="87"/>
      <c r="C3947" s="73"/>
      <c r="D3947" s="73"/>
      <c r="E3947" s="82"/>
      <c r="F3947" s="82"/>
      <c r="G3947" s="86"/>
      <c r="H3947" s="86"/>
      <c r="I3947" s="86"/>
      <c r="J3947" s="82"/>
      <c r="K3947" s="82"/>
      <c r="L3947" s="82"/>
      <c r="M3947" s="82"/>
      <c r="N3947" s="82"/>
      <c r="O3947" s="82"/>
      <c r="P3947" s="82"/>
      <c r="Q3947" s="82"/>
      <c r="R3947" s="82"/>
      <c r="S3947" s="82"/>
      <c r="T3947" s="82"/>
      <c r="U3947" s="82"/>
      <c r="V3947" s="82"/>
      <c r="W3947" s="82"/>
      <c r="X3947" s="82"/>
      <c r="Y3947" s="82"/>
      <c r="Z3947" s="82"/>
      <c r="AA3947" s="82"/>
      <c r="AB3947" s="82"/>
      <c r="AC3947" s="82"/>
      <c r="AD3947" s="82"/>
      <c r="AE3947" s="82"/>
      <c r="AF3947" s="82"/>
      <c r="AG3947" s="82"/>
      <c r="AH3947" s="82"/>
      <c r="AI3947" s="82"/>
      <c r="AJ3947" s="82"/>
      <c r="AK3947" s="82"/>
      <c r="AL3947" s="82"/>
      <c r="AM3947" s="82"/>
      <c r="AN3947" s="82"/>
      <c r="AO3947" s="82"/>
      <c r="AP3947" s="82"/>
      <c r="AQ3947" s="82"/>
      <c r="AR3947" s="82"/>
      <c r="AS3947" s="82"/>
      <c r="AT3947" s="82"/>
      <c r="AU3947" s="82"/>
      <c r="AV3947" s="82"/>
      <c r="AW3947" s="82" t="str">
        <f t="shared" si="1"/>
        <v/>
      </c>
      <c r="AX3947" s="83" t="str">
        <f t="array" ref="AX3947">IFERROR(DGET('SBV Import'!A:G,"SBV",{"RSC ID","Tier";B3947,A3947}))</f>
        <v/>
      </c>
      <c r="AY3947" s="82" t="str">
        <f t="shared" si="2"/>
        <v/>
      </c>
      <c r="AZ3947" s="82"/>
      <c r="BA3947" s="84" t="s">
        <v>152</v>
      </c>
      <c r="BB3947" s="84" t="str">
        <f>IFERROR(__xludf.DUMMYFUNCTION("iferror(if(A3947="""",,E3947&gt;=FILTER(Constants!$F$2:$F$10,Constants!$A$2:$A$10=A3947)))"),"")</f>
        <v/>
      </c>
    </row>
    <row r="3948">
      <c r="A3948" s="89"/>
      <c r="B3948" s="87"/>
      <c r="C3948" s="73"/>
      <c r="D3948" s="73"/>
      <c r="E3948" s="82"/>
      <c r="F3948" s="82"/>
      <c r="G3948" s="86"/>
      <c r="H3948" s="86"/>
      <c r="I3948" s="86"/>
      <c r="J3948" s="82"/>
      <c r="K3948" s="82"/>
      <c r="L3948" s="82"/>
      <c r="M3948" s="82"/>
      <c r="N3948" s="82"/>
      <c r="O3948" s="82"/>
      <c r="P3948" s="82"/>
      <c r="Q3948" s="82"/>
      <c r="R3948" s="82"/>
      <c r="S3948" s="82"/>
      <c r="T3948" s="82"/>
      <c r="U3948" s="82"/>
      <c r="V3948" s="82"/>
      <c r="W3948" s="82"/>
      <c r="X3948" s="82"/>
      <c r="Y3948" s="82"/>
      <c r="Z3948" s="82"/>
      <c r="AA3948" s="82"/>
      <c r="AB3948" s="82"/>
      <c r="AC3948" s="82"/>
      <c r="AD3948" s="82"/>
      <c r="AE3948" s="82"/>
      <c r="AF3948" s="82"/>
      <c r="AG3948" s="82"/>
      <c r="AH3948" s="82"/>
      <c r="AI3948" s="82"/>
      <c r="AJ3948" s="82"/>
      <c r="AK3948" s="82"/>
      <c r="AL3948" s="82"/>
      <c r="AM3948" s="82"/>
      <c r="AN3948" s="82"/>
      <c r="AO3948" s="82"/>
      <c r="AP3948" s="82"/>
      <c r="AQ3948" s="82"/>
      <c r="AR3948" s="82"/>
      <c r="AS3948" s="82"/>
      <c r="AT3948" s="82"/>
      <c r="AU3948" s="82"/>
      <c r="AV3948" s="82"/>
      <c r="AW3948" s="82" t="str">
        <f t="shared" si="1"/>
        <v/>
      </c>
      <c r="AX3948" s="83" t="str">
        <f t="array" ref="AX3948">IFERROR(DGET('SBV Import'!A:G,"SBV",{"RSC ID","Tier";B3948,A3948}))</f>
        <v/>
      </c>
      <c r="AY3948" s="82" t="str">
        <f t="shared" si="2"/>
        <v/>
      </c>
      <c r="AZ3948" s="82"/>
      <c r="BA3948" s="84" t="s">
        <v>152</v>
      </c>
      <c r="BB3948" s="84" t="str">
        <f>IFERROR(__xludf.DUMMYFUNCTION("iferror(if(A3948="""",,E3948&gt;=FILTER(Constants!$F$2:$F$10,Constants!$A$2:$A$10=A3948)))"),"")</f>
        <v/>
      </c>
    </row>
    <row r="3949">
      <c r="A3949" s="89"/>
      <c r="B3949" s="87"/>
      <c r="C3949" s="73"/>
      <c r="D3949" s="73"/>
      <c r="E3949" s="82"/>
      <c r="F3949" s="82"/>
      <c r="G3949" s="86"/>
      <c r="H3949" s="86"/>
      <c r="I3949" s="86"/>
      <c r="J3949" s="82"/>
      <c r="K3949" s="82"/>
      <c r="L3949" s="82"/>
      <c r="M3949" s="82"/>
      <c r="N3949" s="82"/>
      <c r="O3949" s="82"/>
      <c r="P3949" s="82"/>
      <c r="Q3949" s="82"/>
      <c r="R3949" s="82"/>
      <c r="S3949" s="82"/>
      <c r="T3949" s="82"/>
      <c r="U3949" s="82"/>
      <c r="V3949" s="82"/>
      <c r="W3949" s="82"/>
      <c r="X3949" s="82"/>
      <c r="Y3949" s="82"/>
      <c r="Z3949" s="82"/>
      <c r="AA3949" s="82"/>
      <c r="AB3949" s="82"/>
      <c r="AC3949" s="82"/>
      <c r="AD3949" s="82"/>
      <c r="AE3949" s="82"/>
      <c r="AF3949" s="82"/>
      <c r="AG3949" s="82"/>
      <c r="AH3949" s="82"/>
      <c r="AI3949" s="82"/>
      <c r="AJ3949" s="82"/>
      <c r="AK3949" s="82"/>
      <c r="AL3949" s="82"/>
      <c r="AM3949" s="82"/>
      <c r="AN3949" s="82"/>
      <c r="AO3949" s="82"/>
      <c r="AP3949" s="82"/>
      <c r="AQ3949" s="82"/>
      <c r="AR3949" s="82"/>
      <c r="AS3949" s="82"/>
      <c r="AT3949" s="82"/>
      <c r="AU3949" s="82"/>
      <c r="AV3949" s="82"/>
      <c r="AW3949" s="82" t="str">
        <f t="shared" si="1"/>
        <v/>
      </c>
      <c r="AX3949" s="83" t="str">
        <f t="array" ref="AX3949">IFERROR(DGET('SBV Import'!A:G,"SBV",{"RSC ID","Tier";B3949,A3949}))</f>
        <v/>
      </c>
      <c r="AY3949" s="82" t="str">
        <f t="shared" si="2"/>
        <v/>
      </c>
      <c r="AZ3949" s="82"/>
      <c r="BA3949" s="84" t="s">
        <v>152</v>
      </c>
      <c r="BB3949" s="84" t="str">
        <f>IFERROR(__xludf.DUMMYFUNCTION("iferror(if(A3949="""",,E3949&gt;=FILTER(Constants!$F$2:$F$10,Constants!$A$2:$A$10=A3949)))"),"")</f>
        <v/>
      </c>
    </row>
    <row r="3950">
      <c r="A3950" s="89"/>
      <c r="B3950" s="87"/>
      <c r="C3950" s="73"/>
      <c r="D3950" s="73"/>
      <c r="E3950" s="82"/>
      <c r="F3950" s="82"/>
      <c r="G3950" s="86"/>
      <c r="H3950" s="86"/>
      <c r="I3950" s="86"/>
      <c r="J3950" s="82"/>
      <c r="K3950" s="82"/>
      <c r="L3950" s="82"/>
      <c r="M3950" s="82"/>
      <c r="N3950" s="82"/>
      <c r="O3950" s="82"/>
      <c r="P3950" s="82"/>
      <c r="Q3950" s="82"/>
      <c r="R3950" s="82"/>
      <c r="S3950" s="82"/>
      <c r="T3950" s="82"/>
      <c r="U3950" s="82"/>
      <c r="V3950" s="82"/>
      <c r="W3950" s="82"/>
      <c r="X3950" s="82"/>
      <c r="Y3950" s="82"/>
      <c r="Z3950" s="82"/>
      <c r="AA3950" s="82"/>
      <c r="AB3950" s="82"/>
      <c r="AC3950" s="82"/>
      <c r="AD3950" s="82"/>
      <c r="AE3950" s="82"/>
      <c r="AF3950" s="82"/>
      <c r="AG3950" s="82"/>
      <c r="AH3950" s="82"/>
      <c r="AI3950" s="82"/>
      <c r="AJ3950" s="82"/>
      <c r="AK3950" s="82"/>
      <c r="AL3950" s="82"/>
      <c r="AM3950" s="82"/>
      <c r="AN3950" s="82"/>
      <c r="AO3950" s="82"/>
      <c r="AP3950" s="82"/>
      <c r="AQ3950" s="82"/>
      <c r="AR3950" s="82"/>
      <c r="AS3950" s="82"/>
      <c r="AT3950" s="82"/>
      <c r="AU3950" s="82"/>
      <c r="AV3950" s="82"/>
      <c r="AW3950" s="82" t="str">
        <f t="shared" si="1"/>
        <v/>
      </c>
      <c r="AX3950" s="83" t="str">
        <f t="array" ref="AX3950">IFERROR(DGET('SBV Import'!A:G,"SBV",{"RSC ID","Tier";B3950,A3950}))</f>
        <v/>
      </c>
      <c r="AY3950" s="82" t="str">
        <f t="shared" si="2"/>
        <v/>
      </c>
      <c r="AZ3950" s="82"/>
      <c r="BA3950" s="84" t="s">
        <v>152</v>
      </c>
      <c r="BB3950" s="84" t="str">
        <f>IFERROR(__xludf.DUMMYFUNCTION("iferror(if(A3950="""",,E3950&gt;=FILTER(Constants!$F$2:$F$10,Constants!$A$2:$A$10=A3950)))"),"")</f>
        <v/>
      </c>
    </row>
    <row r="3951">
      <c r="A3951" s="89"/>
      <c r="B3951" s="87"/>
      <c r="C3951" s="73"/>
      <c r="D3951" s="73"/>
      <c r="E3951" s="82"/>
      <c r="F3951" s="82"/>
      <c r="G3951" s="86"/>
      <c r="H3951" s="86"/>
      <c r="I3951" s="86"/>
      <c r="J3951" s="82"/>
      <c r="K3951" s="82"/>
      <c r="L3951" s="82"/>
      <c r="M3951" s="82"/>
      <c r="N3951" s="82"/>
      <c r="O3951" s="82"/>
      <c r="P3951" s="82"/>
      <c r="Q3951" s="82"/>
      <c r="R3951" s="82"/>
      <c r="S3951" s="82"/>
      <c r="T3951" s="82"/>
      <c r="U3951" s="82"/>
      <c r="V3951" s="82"/>
      <c r="W3951" s="82"/>
      <c r="X3951" s="82"/>
      <c r="Y3951" s="82"/>
      <c r="Z3951" s="82"/>
      <c r="AA3951" s="82"/>
      <c r="AB3951" s="82"/>
      <c r="AC3951" s="82"/>
      <c r="AD3951" s="82"/>
      <c r="AE3951" s="82"/>
      <c r="AF3951" s="82"/>
      <c r="AG3951" s="82"/>
      <c r="AH3951" s="82"/>
      <c r="AI3951" s="82"/>
      <c r="AJ3951" s="82"/>
      <c r="AK3951" s="82"/>
      <c r="AL3951" s="82"/>
      <c r="AM3951" s="82"/>
      <c r="AN3951" s="82"/>
      <c r="AO3951" s="82"/>
      <c r="AP3951" s="82"/>
      <c r="AQ3951" s="82"/>
      <c r="AR3951" s="82"/>
      <c r="AS3951" s="82"/>
      <c r="AT3951" s="82"/>
      <c r="AU3951" s="82"/>
      <c r="AV3951" s="82"/>
      <c r="AW3951" s="82" t="str">
        <f t="shared" si="1"/>
        <v/>
      </c>
      <c r="AX3951" s="83" t="str">
        <f t="array" ref="AX3951">IFERROR(DGET('SBV Import'!A:G,"SBV",{"RSC ID","Tier";B3951,A3951}))</f>
        <v/>
      </c>
      <c r="AY3951" s="82" t="str">
        <f t="shared" si="2"/>
        <v/>
      </c>
      <c r="AZ3951" s="82"/>
      <c r="BA3951" s="84" t="s">
        <v>152</v>
      </c>
      <c r="BB3951" s="84" t="str">
        <f>IFERROR(__xludf.DUMMYFUNCTION("iferror(if(A3951="""",,E3951&gt;=FILTER(Constants!$F$2:$F$10,Constants!$A$2:$A$10=A3951)))"),"")</f>
        <v/>
      </c>
    </row>
    <row r="3952">
      <c r="A3952" s="89"/>
      <c r="B3952" s="87"/>
      <c r="C3952" s="73"/>
      <c r="D3952" s="73"/>
      <c r="E3952" s="82"/>
      <c r="F3952" s="82"/>
      <c r="G3952" s="86"/>
      <c r="H3952" s="86"/>
      <c r="I3952" s="86"/>
      <c r="J3952" s="82"/>
      <c r="K3952" s="82"/>
      <c r="L3952" s="82"/>
      <c r="M3952" s="82"/>
      <c r="N3952" s="82"/>
      <c r="O3952" s="82"/>
      <c r="P3952" s="82"/>
      <c r="Q3952" s="82"/>
      <c r="R3952" s="82"/>
      <c r="S3952" s="82"/>
      <c r="T3952" s="82"/>
      <c r="U3952" s="82"/>
      <c r="V3952" s="82"/>
      <c r="W3952" s="82"/>
      <c r="X3952" s="82"/>
      <c r="Y3952" s="82"/>
      <c r="Z3952" s="82"/>
      <c r="AA3952" s="82"/>
      <c r="AB3952" s="82"/>
      <c r="AC3952" s="82"/>
      <c r="AD3952" s="82"/>
      <c r="AE3952" s="82"/>
      <c r="AF3952" s="82"/>
      <c r="AG3952" s="82"/>
      <c r="AH3952" s="82"/>
      <c r="AI3952" s="82"/>
      <c r="AJ3952" s="82"/>
      <c r="AK3952" s="82"/>
      <c r="AL3952" s="82"/>
      <c r="AM3952" s="82"/>
      <c r="AN3952" s="82"/>
      <c r="AO3952" s="82"/>
      <c r="AP3952" s="82"/>
      <c r="AQ3952" s="82"/>
      <c r="AR3952" s="82"/>
      <c r="AS3952" s="82"/>
      <c r="AT3952" s="82"/>
      <c r="AU3952" s="82"/>
      <c r="AV3952" s="82"/>
      <c r="AW3952" s="82" t="str">
        <f t="shared" si="1"/>
        <v/>
      </c>
      <c r="AX3952" s="83" t="str">
        <f t="array" ref="AX3952">IFERROR(DGET('SBV Import'!A:G,"SBV",{"RSC ID","Tier";B3952,A3952}))</f>
        <v/>
      </c>
      <c r="AY3952" s="82" t="str">
        <f t="shared" si="2"/>
        <v/>
      </c>
      <c r="AZ3952" s="82"/>
      <c r="BA3952" s="84" t="s">
        <v>152</v>
      </c>
      <c r="BB3952" s="84" t="str">
        <f>IFERROR(__xludf.DUMMYFUNCTION("iferror(if(A3952="""",,E3952&gt;=FILTER(Constants!$F$2:$F$10,Constants!$A$2:$A$10=A3952)))"),"")</f>
        <v/>
      </c>
    </row>
    <row r="3953">
      <c r="A3953" s="89"/>
      <c r="B3953" s="87"/>
      <c r="C3953" s="73"/>
      <c r="D3953" s="73"/>
      <c r="E3953" s="82"/>
      <c r="F3953" s="82"/>
      <c r="G3953" s="86"/>
      <c r="H3953" s="86"/>
      <c r="I3953" s="86"/>
      <c r="J3953" s="82"/>
      <c r="K3953" s="82"/>
      <c r="L3953" s="82"/>
      <c r="M3953" s="82"/>
      <c r="N3953" s="82"/>
      <c r="O3953" s="82"/>
      <c r="P3953" s="82"/>
      <c r="Q3953" s="82"/>
      <c r="R3953" s="82"/>
      <c r="S3953" s="82"/>
      <c r="T3953" s="82"/>
      <c r="U3953" s="82"/>
      <c r="V3953" s="82"/>
      <c r="W3953" s="82"/>
      <c r="X3953" s="82"/>
      <c r="Y3953" s="82"/>
      <c r="Z3953" s="82"/>
      <c r="AA3953" s="82"/>
      <c r="AB3953" s="82"/>
      <c r="AC3953" s="82"/>
      <c r="AD3953" s="82"/>
      <c r="AE3953" s="82"/>
      <c r="AF3953" s="82"/>
      <c r="AG3953" s="82"/>
      <c r="AH3953" s="82"/>
      <c r="AI3953" s="82"/>
      <c r="AJ3953" s="82"/>
      <c r="AK3953" s="82"/>
      <c r="AL3953" s="82"/>
      <c r="AM3953" s="82"/>
      <c r="AN3953" s="82"/>
      <c r="AO3953" s="82"/>
      <c r="AP3953" s="82"/>
      <c r="AQ3953" s="82"/>
      <c r="AR3953" s="82"/>
      <c r="AS3953" s="82"/>
      <c r="AT3953" s="82"/>
      <c r="AU3953" s="82"/>
      <c r="AV3953" s="82"/>
      <c r="AW3953" s="82" t="str">
        <f t="shared" si="1"/>
        <v/>
      </c>
      <c r="AX3953" s="83" t="str">
        <f t="array" ref="AX3953">IFERROR(DGET('SBV Import'!A:G,"SBV",{"RSC ID","Tier";B3953,A3953}))</f>
        <v/>
      </c>
      <c r="AY3953" s="82" t="str">
        <f t="shared" si="2"/>
        <v/>
      </c>
      <c r="AZ3953" s="82"/>
      <c r="BA3953" s="84" t="s">
        <v>152</v>
      </c>
      <c r="BB3953" s="84" t="str">
        <f>IFERROR(__xludf.DUMMYFUNCTION("iferror(if(A3953="""",,E3953&gt;=FILTER(Constants!$F$2:$F$10,Constants!$A$2:$A$10=A3953)))"),"")</f>
        <v/>
      </c>
    </row>
    <row r="3954">
      <c r="A3954" s="89"/>
      <c r="B3954" s="87"/>
      <c r="C3954" s="73"/>
      <c r="D3954" s="73"/>
      <c r="E3954" s="82"/>
      <c r="F3954" s="82"/>
      <c r="G3954" s="86"/>
      <c r="H3954" s="86"/>
      <c r="I3954" s="86"/>
      <c r="J3954" s="82"/>
      <c r="K3954" s="82"/>
      <c r="L3954" s="82"/>
      <c r="M3954" s="82"/>
      <c r="N3954" s="82"/>
      <c r="O3954" s="82"/>
      <c r="P3954" s="82"/>
      <c r="Q3954" s="82"/>
      <c r="R3954" s="82"/>
      <c r="S3954" s="82"/>
      <c r="T3954" s="82"/>
      <c r="U3954" s="82"/>
      <c r="V3954" s="82"/>
      <c r="W3954" s="82"/>
      <c r="X3954" s="82"/>
      <c r="Y3954" s="82"/>
      <c r="Z3954" s="82"/>
      <c r="AA3954" s="82"/>
      <c r="AB3954" s="82"/>
      <c r="AC3954" s="82"/>
      <c r="AD3954" s="82"/>
      <c r="AE3954" s="82"/>
      <c r="AF3954" s="82"/>
      <c r="AG3954" s="82"/>
      <c r="AH3954" s="82"/>
      <c r="AI3954" s="82"/>
      <c r="AJ3954" s="82"/>
      <c r="AK3954" s="82"/>
      <c r="AL3954" s="82"/>
      <c r="AM3954" s="82"/>
      <c r="AN3954" s="82"/>
      <c r="AO3954" s="82"/>
      <c r="AP3954" s="82"/>
      <c r="AQ3954" s="82"/>
      <c r="AR3954" s="82"/>
      <c r="AS3954" s="82"/>
      <c r="AT3954" s="82"/>
      <c r="AU3954" s="82"/>
      <c r="AV3954" s="82"/>
      <c r="AW3954" s="82" t="str">
        <f t="shared" si="1"/>
        <v/>
      </c>
      <c r="AX3954" s="83" t="str">
        <f t="array" ref="AX3954">IFERROR(DGET('SBV Import'!A:G,"SBV",{"RSC ID","Tier";B3954,A3954}))</f>
        <v/>
      </c>
      <c r="AY3954" s="82" t="str">
        <f t="shared" si="2"/>
        <v/>
      </c>
      <c r="AZ3954" s="82"/>
      <c r="BA3954" s="84" t="s">
        <v>152</v>
      </c>
      <c r="BB3954" s="84" t="str">
        <f>IFERROR(__xludf.DUMMYFUNCTION("iferror(if(A3954="""",,E3954&gt;=FILTER(Constants!$F$2:$F$10,Constants!$A$2:$A$10=A3954)))"),"")</f>
        <v/>
      </c>
    </row>
    <row r="3955">
      <c r="A3955" s="89"/>
      <c r="B3955" s="87"/>
      <c r="C3955" s="73"/>
      <c r="D3955" s="73"/>
      <c r="E3955" s="82"/>
      <c r="F3955" s="82"/>
      <c r="G3955" s="86"/>
      <c r="H3955" s="86"/>
      <c r="I3955" s="86"/>
      <c r="J3955" s="82"/>
      <c r="K3955" s="82"/>
      <c r="L3955" s="82"/>
      <c r="M3955" s="82"/>
      <c r="N3955" s="82"/>
      <c r="O3955" s="82"/>
      <c r="P3955" s="82"/>
      <c r="Q3955" s="82"/>
      <c r="R3955" s="82"/>
      <c r="S3955" s="82"/>
      <c r="T3955" s="82"/>
      <c r="U3955" s="82"/>
      <c r="V3955" s="82"/>
      <c r="W3955" s="82"/>
      <c r="X3955" s="82"/>
      <c r="Y3955" s="82"/>
      <c r="Z3955" s="82"/>
      <c r="AA3955" s="82"/>
      <c r="AB3955" s="82"/>
      <c r="AC3955" s="82"/>
      <c r="AD3955" s="82"/>
      <c r="AE3955" s="82"/>
      <c r="AF3955" s="82"/>
      <c r="AG3955" s="82"/>
      <c r="AH3955" s="82"/>
      <c r="AI3955" s="82"/>
      <c r="AJ3955" s="82"/>
      <c r="AK3955" s="82"/>
      <c r="AL3955" s="82"/>
      <c r="AM3955" s="82"/>
      <c r="AN3955" s="82"/>
      <c r="AO3955" s="82"/>
      <c r="AP3955" s="82"/>
      <c r="AQ3955" s="82"/>
      <c r="AR3955" s="82"/>
      <c r="AS3955" s="82"/>
      <c r="AT3955" s="82"/>
      <c r="AU3955" s="82"/>
      <c r="AV3955" s="82"/>
      <c r="AW3955" s="82" t="str">
        <f t="shared" si="1"/>
        <v/>
      </c>
      <c r="AX3955" s="83" t="str">
        <f t="array" ref="AX3955">IFERROR(DGET('SBV Import'!A:G,"SBV",{"RSC ID","Tier";B3955,A3955}))</f>
        <v/>
      </c>
      <c r="AY3955" s="82" t="str">
        <f t="shared" si="2"/>
        <v/>
      </c>
      <c r="AZ3955" s="82"/>
      <c r="BA3955" s="84" t="s">
        <v>152</v>
      </c>
      <c r="BB3955" s="84" t="str">
        <f>IFERROR(__xludf.DUMMYFUNCTION("iferror(if(A3955="""",,E3955&gt;=FILTER(Constants!$F$2:$F$10,Constants!$A$2:$A$10=A3955)))"),"")</f>
        <v/>
      </c>
    </row>
    <row r="3956">
      <c r="A3956" s="89"/>
      <c r="B3956" s="87"/>
      <c r="C3956" s="73"/>
      <c r="D3956" s="73"/>
      <c r="E3956" s="82"/>
      <c r="F3956" s="82"/>
      <c r="G3956" s="86"/>
      <c r="H3956" s="86"/>
      <c r="I3956" s="86"/>
      <c r="J3956" s="82"/>
      <c r="K3956" s="82"/>
      <c r="L3956" s="82"/>
      <c r="M3956" s="82"/>
      <c r="N3956" s="82"/>
      <c r="O3956" s="82"/>
      <c r="P3956" s="82"/>
      <c r="Q3956" s="82"/>
      <c r="R3956" s="82"/>
      <c r="S3956" s="82"/>
      <c r="T3956" s="82"/>
      <c r="U3956" s="82"/>
      <c r="V3956" s="82"/>
      <c r="W3956" s="82"/>
      <c r="X3956" s="82"/>
      <c r="Y3956" s="82"/>
      <c r="Z3956" s="82"/>
      <c r="AA3956" s="82"/>
      <c r="AB3956" s="82"/>
      <c r="AC3956" s="82"/>
      <c r="AD3956" s="82"/>
      <c r="AE3956" s="82"/>
      <c r="AF3956" s="82"/>
      <c r="AG3956" s="82"/>
      <c r="AH3956" s="82"/>
      <c r="AI3956" s="82"/>
      <c r="AJ3956" s="82"/>
      <c r="AK3956" s="82"/>
      <c r="AL3956" s="82"/>
      <c r="AM3956" s="82"/>
      <c r="AN3956" s="82"/>
      <c r="AO3956" s="82"/>
      <c r="AP3956" s="82"/>
      <c r="AQ3956" s="82"/>
      <c r="AR3956" s="82"/>
      <c r="AS3956" s="82"/>
      <c r="AT3956" s="82"/>
      <c r="AU3956" s="82"/>
      <c r="AV3956" s="82"/>
      <c r="AW3956" s="82" t="str">
        <f t="shared" si="1"/>
        <v/>
      </c>
      <c r="AX3956" s="83" t="str">
        <f t="array" ref="AX3956">IFERROR(DGET('SBV Import'!A:G,"SBV",{"RSC ID","Tier";B3956,A3956}))</f>
        <v/>
      </c>
      <c r="AY3956" s="82" t="str">
        <f t="shared" si="2"/>
        <v/>
      </c>
      <c r="AZ3956" s="82"/>
      <c r="BA3956" s="84" t="s">
        <v>152</v>
      </c>
      <c r="BB3956" s="84" t="str">
        <f>IFERROR(__xludf.DUMMYFUNCTION("iferror(if(A3956="""",,E3956&gt;=FILTER(Constants!$F$2:$F$10,Constants!$A$2:$A$10=A3956)))"),"")</f>
        <v/>
      </c>
    </row>
    <row r="3957">
      <c r="A3957" s="89"/>
      <c r="B3957" s="87"/>
      <c r="C3957" s="73"/>
      <c r="D3957" s="73"/>
      <c r="E3957" s="82"/>
      <c r="F3957" s="82"/>
      <c r="G3957" s="86"/>
      <c r="H3957" s="86"/>
      <c r="I3957" s="86"/>
      <c r="J3957" s="82"/>
      <c r="K3957" s="82"/>
      <c r="L3957" s="82"/>
      <c r="M3957" s="82"/>
      <c r="N3957" s="82"/>
      <c r="O3957" s="82"/>
      <c r="P3957" s="82"/>
      <c r="Q3957" s="82"/>
      <c r="R3957" s="82"/>
      <c r="S3957" s="82"/>
      <c r="T3957" s="82"/>
      <c r="U3957" s="82"/>
      <c r="V3957" s="82"/>
      <c r="W3957" s="82"/>
      <c r="X3957" s="82"/>
      <c r="Y3957" s="82"/>
      <c r="Z3957" s="82"/>
      <c r="AA3957" s="82"/>
      <c r="AB3957" s="82"/>
      <c r="AC3957" s="82"/>
      <c r="AD3957" s="82"/>
      <c r="AE3957" s="82"/>
      <c r="AF3957" s="82"/>
      <c r="AG3957" s="82"/>
      <c r="AH3957" s="82"/>
      <c r="AI3957" s="82"/>
      <c r="AJ3957" s="82"/>
      <c r="AK3957" s="82"/>
      <c r="AL3957" s="82"/>
      <c r="AM3957" s="82"/>
      <c r="AN3957" s="82"/>
      <c r="AO3957" s="82"/>
      <c r="AP3957" s="82"/>
      <c r="AQ3957" s="82"/>
      <c r="AR3957" s="82"/>
      <c r="AS3957" s="82"/>
      <c r="AT3957" s="82"/>
      <c r="AU3957" s="82"/>
      <c r="AV3957" s="82"/>
      <c r="AW3957" s="82" t="str">
        <f t="shared" si="1"/>
        <v/>
      </c>
      <c r="AX3957" s="83" t="str">
        <f t="array" ref="AX3957">IFERROR(DGET('SBV Import'!A:G,"SBV",{"RSC ID","Tier";B3957,A3957}))</f>
        <v/>
      </c>
      <c r="AY3957" s="82" t="str">
        <f t="shared" si="2"/>
        <v/>
      </c>
      <c r="AZ3957" s="82"/>
      <c r="BA3957" s="84" t="s">
        <v>152</v>
      </c>
      <c r="BB3957" s="84" t="str">
        <f>IFERROR(__xludf.DUMMYFUNCTION("iferror(if(A3957="""",,E3957&gt;=FILTER(Constants!$F$2:$F$10,Constants!$A$2:$A$10=A3957)))"),"")</f>
        <v/>
      </c>
    </row>
    <row r="3958">
      <c r="A3958" s="89"/>
      <c r="B3958" s="87"/>
      <c r="C3958" s="73"/>
      <c r="D3958" s="73"/>
      <c r="E3958" s="82"/>
      <c r="F3958" s="82"/>
      <c r="G3958" s="86"/>
      <c r="H3958" s="86"/>
      <c r="I3958" s="86"/>
      <c r="J3958" s="82"/>
      <c r="K3958" s="82"/>
      <c r="L3958" s="82"/>
      <c r="M3958" s="82"/>
      <c r="N3958" s="82"/>
      <c r="O3958" s="82"/>
      <c r="P3958" s="82"/>
      <c r="Q3958" s="82"/>
      <c r="R3958" s="82"/>
      <c r="S3958" s="82"/>
      <c r="T3958" s="82"/>
      <c r="U3958" s="82"/>
      <c r="V3958" s="82"/>
      <c r="W3958" s="82"/>
      <c r="X3958" s="82"/>
      <c r="Y3958" s="82"/>
      <c r="Z3958" s="82"/>
      <c r="AA3958" s="82"/>
      <c r="AB3958" s="82"/>
      <c r="AC3958" s="82"/>
      <c r="AD3958" s="82"/>
      <c r="AE3958" s="82"/>
      <c r="AF3958" s="82"/>
      <c r="AG3958" s="82"/>
      <c r="AH3958" s="82"/>
      <c r="AI3958" s="82"/>
      <c r="AJ3958" s="82"/>
      <c r="AK3958" s="82"/>
      <c r="AL3958" s="82"/>
      <c r="AM3958" s="82"/>
      <c r="AN3958" s="82"/>
      <c r="AO3958" s="82"/>
      <c r="AP3958" s="82"/>
      <c r="AQ3958" s="82"/>
      <c r="AR3958" s="82"/>
      <c r="AS3958" s="82"/>
      <c r="AT3958" s="82"/>
      <c r="AU3958" s="82"/>
      <c r="AV3958" s="82"/>
      <c r="AW3958" s="82" t="str">
        <f t="shared" si="1"/>
        <v/>
      </c>
      <c r="AX3958" s="83" t="str">
        <f t="array" ref="AX3958">IFERROR(DGET('SBV Import'!A:G,"SBV",{"RSC ID","Tier";B3958,A3958}))</f>
        <v/>
      </c>
      <c r="AY3958" s="82" t="str">
        <f t="shared" si="2"/>
        <v/>
      </c>
      <c r="AZ3958" s="82"/>
      <c r="BA3958" s="84" t="s">
        <v>152</v>
      </c>
      <c r="BB3958" s="84" t="str">
        <f>IFERROR(__xludf.DUMMYFUNCTION("iferror(if(A3958="""",,E3958&gt;=FILTER(Constants!$F$2:$F$10,Constants!$A$2:$A$10=A3958)))"),"")</f>
        <v/>
      </c>
    </row>
    <row r="3959">
      <c r="A3959" s="89"/>
      <c r="B3959" s="87"/>
      <c r="C3959" s="73"/>
      <c r="D3959" s="73"/>
      <c r="E3959" s="82"/>
      <c r="F3959" s="82"/>
      <c r="G3959" s="86"/>
      <c r="H3959" s="86"/>
      <c r="I3959" s="86"/>
      <c r="J3959" s="82"/>
      <c r="K3959" s="82"/>
      <c r="L3959" s="82"/>
      <c r="M3959" s="82"/>
      <c r="N3959" s="82"/>
      <c r="O3959" s="82"/>
      <c r="P3959" s="82"/>
      <c r="Q3959" s="82"/>
      <c r="R3959" s="82"/>
      <c r="S3959" s="82"/>
      <c r="T3959" s="82"/>
      <c r="U3959" s="82"/>
      <c r="V3959" s="82"/>
      <c r="W3959" s="82"/>
      <c r="X3959" s="82"/>
      <c r="Y3959" s="82"/>
      <c r="Z3959" s="82"/>
      <c r="AA3959" s="82"/>
      <c r="AB3959" s="82"/>
      <c r="AC3959" s="82"/>
      <c r="AD3959" s="82"/>
      <c r="AE3959" s="82"/>
      <c r="AF3959" s="82"/>
      <c r="AG3959" s="82"/>
      <c r="AH3959" s="82"/>
      <c r="AI3959" s="82"/>
      <c r="AJ3959" s="82"/>
      <c r="AK3959" s="82"/>
      <c r="AL3959" s="82"/>
      <c r="AM3959" s="82"/>
      <c r="AN3959" s="82"/>
      <c r="AO3959" s="82"/>
      <c r="AP3959" s="82"/>
      <c r="AQ3959" s="82"/>
      <c r="AR3959" s="82"/>
      <c r="AS3959" s="82"/>
      <c r="AT3959" s="82"/>
      <c r="AU3959" s="82"/>
      <c r="AV3959" s="82"/>
      <c r="AW3959" s="82" t="str">
        <f t="shared" si="1"/>
        <v/>
      </c>
      <c r="AX3959" s="83" t="str">
        <f t="array" ref="AX3959">IFERROR(DGET('SBV Import'!A:G,"SBV",{"RSC ID","Tier";B3959,A3959}))</f>
        <v/>
      </c>
      <c r="AY3959" s="82" t="str">
        <f t="shared" si="2"/>
        <v/>
      </c>
      <c r="AZ3959" s="82"/>
      <c r="BA3959" s="84" t="s">
        <v>152</v>
      </c>
      <c r="BB3959" s="84" t="str">
        <f>IFERROR(__xludf.DUMMYFUNCTION("iferror(if(A3959="""",,E3959&gt;=FILTER(Constants!$F$2:$F$10,Constants!$A$2:$A$10=A3959)))"),"")</f>
        <v/>
      </c>
    </row>
    <row r="3960">
      <c r="A3960" s="89"/>
      <c r="B3960" s="87"/>
      <c r="C3960" s="73"/>
      <c r="D3960" s="73"/>
      <c r="E3960" s="82"/>
      <c r="F3960" s="82"/>
      <c r="G3960" s="86"/>
      <c r="H3960" s="86"/>
      <c r="I3960" s="86"/>
      <c r="J3960" s="82"/>
      <c r="K3960" s="82"/>
      <c r="L3960" s="82"/>
      <c r="M3960" s="82"/>
      <c r="N3960" s="82"/>
      <c r="O3960" s="82"/>
      <c r="P3960" s="82"/>
      <c r="Q3960" s="82"/>
      <c r="R3960" s="82"/>
      <c r="S3960" s="82"/>
      <c r="T3960" s="82"/>
      <c r="U3960" s="82"/>
      <c r="V3960" s="82"/>
      <c r="W3960" s="82"/>
      <c r="X3960" s="82"/>
      <c r="Y3960" s="82"/>
      <c r="Z3960" s="82"/>
      <c r="AA3960" s="82"/>
      <c r="AB3960" s="82"/>
      <c r="AC3960" s="82"/>
      <c r="AD3960" s="82"/>
      <c r="AE3960" s="82"/>
      <c r="AF3960" s="82"/>
      <c r="AG3960" s="82"/>
      <c r="AH3960" s="82"/>
      <c r="AI3960" s="82"/>
      <c r="AJ3960" s="82"/>
      <c r="AK3960" s="82"/>
      <c r="AL3960" s="82"/>
      <c r="AM3960" s="82"/>
      <c r="AN3960" s="82"/>
      <c r="AO3960" s="82"/>
      <c r="AP3960" s="82"/>
      <c r="AQ3960" s="82"/>
      <c r="AR3960" s="82"/>
      <c r="AS3960" s="82"/>
      <c r="AT3960" s="82"/>
      <c r="AU3960" s="82"/>
      <c r="AV3960" s="82"/>
      <c r="AW3960" s="82" t="str">
        <f t="shared" si="1"/>
        <v/>
      </c>
      <c r="AX3960" s="83" t="str">
        <f t="array" ref="AX3960">IFERROR(DGET('SBV Import'!A:G,"SBV",{"RSC ID","Tier";B3960,A3960}))</f>
        <v/>
      </c>
      <c r="AY3960" s="82" t="str">
        <f t="shared" si="2"/>
        <v/>
      </c>
      <c r="AZ3960" s="82"/>
      <c r="BA3960" s="84" t="s">
        <v>152</v>
      </c>
      <c r="BB3960" s="84" t="str">
        <f>IFERROR(__xludf.DUMMYFUNCTION("iferror(if(A3960="""",,E3960&gt;=FILTER(Constants!$F$2:$F$10,Constants!$A$2:$A$10=A3960)))"),"")</f>
        <v/>
      </c>
    </row>
    <row r="3961">
      <c r="A3961" s="89"/>
      <c r="B3961" s="87"/>
      <c r="C3961" s="73"/>
      <c r="D3961" s="73"/>
      <c r="E3961" s="82"/>
      <c r="F3961" s="82"/>
      <c r="G3961" s="86"/>
      <c r="H3961" s="86"/>
      <c r="I3961" s="86"/>
      <c r="J3961" s="82"/>
      <c r="K3961" s="82"/>
      <c r="L3961" s="82"/>
      <c r="M3961" s="82"/>
      <c r="N3961" s="82"/>
      <c r="O3961" s="82"/>
      <c r="P3961" s="82"/>
      <c r="Q3961" s="82"/>
      <c r="R3961" s="82"/>
      <c r="S3961" s="82"/>
      <c r="T3961" s="82"/>
      <c r="U3961" s="82"/>
      <c r="V3961" s="82"/>
      <c r="W3961" s="82"/>
      <c r="X3961" s="82"/>
      <c r="Y3961" s="82"/>
      <c r="Z3961" s="82"/>
      <c r="AA3961" s="82"/>
      <c r="AB3961" s="82"/>
      <c r="AC3961" s="82"/>
      <c r="AD3961" s="82"/>
      <c r="AE3961" s="82"/>
      <c r="AF3961" s="82"/>
      <c r="AG3961" s="82"/>
      <c r="AH3961" s="82"/>
      <c r="AI3961" s="82"/>
      <c r="AJ3961" s="82"/>
      <c r="AK3961" s="82"/>
      <c r="AL3961" s="82"/>
      <c r="AM3961" s="82"/>
      <c r="AN3961" s="82"/>
      <c r="AO3961" s="82"/>
      <c r="AP3961" s="82"/>
      <c r="AQ3961" s="82"/>
      <c r="AR3961" s="82"/>
      <c r="AS3961" s="82"/>
      <c r="AT3961" s="82"/>
      <c r="AU3961" s="82"/>
      <c r="AV3961" s="82"/>
      <c r="AW3961" s="82" t="str">
        <f t="shared" si="1"/>
        <v/>
      </c>
      <c r="AX3961" s="83" t="str">
        <f t="array" ref="AX3961">IFERROR(DGET('SBV Import'!A:G,"SBV",{"RSC ID","Tier";B3961,A3961}))</f>
        <v/>
      </c>
      <c r="AY3961" s="82" t="str">
        <f t="shared" si="2"/>
        <v/>
      </c>
      <c r="AZ3961" s="82"/>
      <c r="BA3961" s="84" t="s">
        <v>152</v>
      </c>
      <c r="BB3961" s="84" t="str">
        <f>IFERROR(__xludf.DUMMYFUNCTION("iferror(if(A3961="""",,E3961&gt;=FILTER(Constants!$F$2:$F$10,Constants!$A$2:$A$10=A3961)))"),"")</f>
        <v/>
      </c>
    </row>
    <row r="3962">
      <c r="A3962" s="89"/>
      <c r="B3962" s="87"/>
      <c r="C3962" s="73"/>
      <c r="D3962" s="73"/>
      <c r="E3962" s="82"/>
      <c r="F3962" s="82"/>
      <c r="G3962" s="86"/>
      <c r="H3962" s="86"/>
      <c r="I3962" s="86"/>
      <c r="J3962" s="82"/>
      <c r="K3962" s="82"/>
      <c r="L3962" s="82"/>
      <c r="M3962" s="82"/>
      <c r="N3962" s="82"/>
      <c r="O3962" s="82"/>
      <c r="P3962" s="82"/>
      <c r="Q3962" s="82"/>
      <c r="R3962" s="82"/>
      <c r="S3962" s="82"/>
      <c r="T3962" s="82"/>
      <c r="U3962" s="82"/>
      <c r="V3962" s="82"/>
      <c r="W3962" s="82"/>
      <c r="X3962" s="82"/>
      <c r="Y3962" s="82"/>
      <c r="Z3962" s="82"/>
      <c r="AA3962" s="82"/>
      <c r="AB3962" s="82"/>
      <c r="AC3962" s="82"/>
      <c r="AD3962" s="82"/>
      <c r="AE3962" s="82"/>
      <c r="AF3962" s="82"/>
      <c r="AG3962" s="82"/>
      <c r="AH3962" s="82"/>
      <c r="AI3962" s="82"/>
      <c r="AJ3962" s="82"/>
      <c r="AK3962" s="82"/>
      <c r="AL3962" s="82"/>
      <c r="AM3962" s="82"/>
      <c r="AN3962" s="82"/>
      <c r="AO3962" s="82"/>
      <c r="AP3962" s="82"/>
      <c r="AQ3962" s="82"/>
      <c r="AR3962" s="82"/>
      <c r="AS3962" s="82"/>
      <c r="AT3962" s="82"/>
      <c r="AU3962" s="82"/>
      <c r="AV3962" s="82"/>
      <c r="AW3962" s="82" t="str">
        <f t="shared" si="1"/>
        <v/>
      </c>
      <c r="AX3962" s="83" t="str">
        <f t="array" ref="AX3962">IFERROR(DGET('SBV Import'!A:G,"SBV",{"RSC ID","Tier";B3962,A3962}))</f>
        <v/>
      </c>
      <c r="AY3962" s="82" t="str">
        <f t="shared" si="2"/>
        <v/>
      </c>
      <c r="AZ3962" s="82"/>
      <c r="BA3962" s="84" t="s">
        <v>152</v>
      </c>
      <c r="BB3962" s="84" t="str">
        <f>IFERROR(__xludf.DUMMYFUNCTION("iferror(if(A3962="""",,E3962&gt;=FILTER(Constants!$F$2:$F$10,Constants!$A$2:$A$10=A3962)))"),"")</f>
        <v/>
      </c>
    </row>
    <row r="3963">
      <c r="A3963" s="89"/>
      <c r="B3963" s="87"/>
      <c r="C3963" s="73"/>
      <c r="D3963" s="73"/>
      <c r="E3963" s="82"/>
      <c r="F3963" s="82"/>
      <c r="G3963" s="86"/>
      <c r="H3963" s="86"/>
      <c r="I3963" s="86"/>
      <c r="J3963" s="82"/>
      <c r="K3963" s="82"/>
      <c r="L3963" s="82"/>
      <c r="M3963" s="82"/>
      <c r="N3963" s="82"/>
      <c r="O3963" s="82"/>
      <c r="P3963" s="82"/>
      <c r="Q3963" s="82"/>
      <c r="R3963" s="82"/>
      <c r="S3963" s="82"/>
      <c r="T3963" s="82"/>
      <c r="U3963" s="82"/>
      <c r="V3963" s="82"/>
      <c r="W3963" s="82"/>
      <c r="X3963" s="82"/>
      <c r="Y3963" s="82"/>
      <c r="Z3963" s="82"/>
      <c r="AA3963" s="82"/>
      <c r="AB3963" s="82"/>
      <c r="AC3963" s="82"/>
      <c r="AD3963" s="82"/>
      <c r="AE3963" s="82"/>
      <c r="AF3963" s="82"/>
      <c r="AG3963" s="82"/>
      <c r="AH3963" s="82"/>
      <c r="AI3963" s="82"/>
      <c r="AJ3963" s="82"/>
      <c r="AK3963" s="82"/>
      <c r="AL3963" s="82"/>
      <c r="AM3963" s="82"/>
      <c r="AN3963" s="82"/>
      <c r="AO3963" s="82"/>
      <c r="AP3963" s="82"/>
      <c r="AQ3963" s="82"/>
      <c r="AR3963" s="82"/>
      <c r="AS3963" s="82"/>
      <c r="AT3963" s="82"/>
      <c r="AU3963" s="82"/>
      <c r="AV3963" s="82"/>
      <c r="AW3963" s="82" t="str">
        <f t="shared" si="1"/>
        <v/>
      </c>
      <c r="AX3963" s="83" t="str">
        <f t="array" ref="AX3963">IFERROR(DGET('SBV Import'!A:G,"SBV",{"RSC ID","Tier";B3963,A3963}))</f>
        <v/>
      </c>
      <c r="AY3963" s="82" t="str">
        <f t="shared" si="2"/>
        <v/>
      </c>
      <c r="AZ3963" s="82"/>
      <c r="BA3963" s="84" t="s">
        <v>152</v>
      </c>
      <c r="BB3963" s="84" t="str">
        <f>IFERROR(__xludf.DUMMYFUNCTION("iferror(if(A3963="""",,E3963&gt;=FILTER(Constants!$F$2:$F$10,Constants!$A$2:$A$10=A3963)))"),"")</f>
        <v/>
      </c>
    </row>
    <row r="3964">
      <c r="A3964" s="89"/>
      <c r="B3964" s="87"/>
      <c r="C3964" s="73"/>
      <c r="D3964" s="73"/>
      <c r="E3964" s="82"/>
      <c r="F3964" s="82"/>
      <c r="G3964" s="86"/>
      <c r="H3964" s="86"/>
      <c r="I3964" s="86"/>
      <c r="J3964" s="82"/>
      <c r="K3964" s="82"/>
      <c r="L3964" s="82"/>
      <c r="M3964" s="82"/>
      <c r="N3964" s="82"/>
      <c r="O3964" s="82"/>
      <c r="P3964" s="82"/>
      <c r="Q3964" s="82"/>
      <c r="R3964" s="82"/>
      <c r="S3964" s="82"/>
      <c r="T3964" s="82"/>
      <c r="U3964" s="82"/>
      <c r="V3964" s="82"/>
      <c r="W3964" s="82"/>
      <c r="X3964" s="82"/>
      <c r="Y3964" s="82"/>
      <c r="Z3964" s="82"/>
      <c r="AA3964" s="82"/>
      <c r="AB3964" s="82"/>
      <c r="AC3964" s="82"/>
      <c r="AD3964" s="82"/>
      <c r="AE3964" s="82"/>
      <c r="AF3964" s="82"/>
      <c r="AG3964" s="82"/>
      <c r="AH3964" s="82"/>
      <c r="AI3964" s="82"/>
      <c r="AJ3964" s="82"/>
      <c r="AK3964" s="82"/>
      <c r="AL3964" s="82"/>
      <c r="AM3964" s="82"/>
      <c r="AN3964" s="82"/>
      <c r="AO3964" s="82"/>
      <c r="AP3964" s="82"/>
      <c r="AQ3964" s="82"/>
      <c r="AR3964" s="82"/>
      <c r="AS3964" s="82"/>
      <c r="AT3964" s="82"/>
      <c r="AU3964" s="82"/>
      <c r="AV3964" s="82"/>
      <c r="AW3964" s="82" t="str">
        <f t="shared" si="1"/>
        <v/>
      </c>
      <c r="AX3964" s="83" t="str">
        <f t="array" ref="AX3964">IFERROR(DGET('SBV Import'!A:G,"SBV",{"RSC ID","Tier";B3964,A3964}))</f>
        <v/>
      </c>
      <c r="AY3964" s="82" t="str">
        <f t="shared" si="2"/>
        <v/>
      </c>
      <c r="AZ3964" s="82"/>
      <c r="BA3964" s="84" t="s">
        <v>152</v>
      </c>
      <c r="BB3964" s="84" t="str">
        <f>IFERROR(__xludf.DUMMYFUNCTION("iferror(if(A3964="""",,E3964&gt;=FILTER(Constants!$F$2:$F$10,Constants!$A$2:$A$10=A3964)))"),"")</f>
        <v/>
      </c>
    </row>
    <row r="3965">
      <c r="A3965" s="89"/>
      <c r="B3965" s="87"/>
      <c r="C3965" s="73"/>
      <c r="D3965" s="73"/>
      <c r="E3965" s="82"/>
      <c r="F3965" s="82"/>
      <c r="G3965" s="86"/>
      <c r="H3965" s="86"/>
      <c r="I3965" s="86"/>
      <c r="J3965" s="82"/>
      <c r="K3965" s="82"/>
      <c r="L3965" s="82"/>
      <c r="M3965" s="82"/>
      <c r="N3965" s="82"/>
      <c r="O3965" s="82"/>
      <c r="P3965" s="82"/>
      <c r="Q3965" s="82"/>
      <c r="R3965" s="82"/>
      <c r="S3965" s="82"/>
      <c r="T3965" s="82"/>
      <c r="U3965" s="82"/>
      <c r="V3965" s="82"/>
      <c r="W3965" s="82"/>
      <c r="X3965" s="82"/>
      <c r="Y3965" s="82"/>
      <c r="Z3965" s="82"/>
      <c r="AA3965" s="82"/>
      <c r="AB3965" s="82"/>
      <c r="AC3965" s="82"/>
      <c r="AD3965" s="82"/>
      <c r="AE3965" s="82"/>
      <c r="AF3965" s="82"/>
      <c r="AG3965" s="82"/>
      <c r="AH3965" s="82"/>
      <c r="AI3965" s="82"/>
      <c r="AJ3965" s="82"/>
      <c r="AK3965" s="82"/>
      <c r="AL3965" s="82"/>
      <c r="AM3965" s="82"/>
      <c r="AN3965" s="82"/>
      <c r="AO3965" s="82"/>
      <c r="AP3965" s="82"/>
      <c r="AQ3965" s="82"/>
      <c r="AR3965" s="82"/>
      <c r="AS3965" s="82"/>
      <c r="AT3965" s="82"/>
      <c r="AU3965" s="82"/>
      <c r="AV3965" s="82"/>
      <c r="AW3965" s="82" t="str">
        <f t="shared" si="1"/>
        <v/>
      </c>
      <c r="AX3965" s="83" t="str">
        <f t="array" ref="AX3965">IFERROR(DGET('SBV Import'!A:G,"SBV",{"RSC ID","Tier";B3965,A3965}))</f>
        <v/>
      </c>
      <c r="AY3965" s="82" t="str">
        <f t="shared" si="2"/>
        <v/>
      </c>
      <c r="AZ3965" s="82"/>
      <c r="BA3965" s="84" t="s">
        <v>152</v>
      </c>
      <c r="BB3965" s="84" t="str">
        <f>IFERROR(__xludf.DUMMYFUNCTION("iferror(if(A3965="""",,E3965&gt;=FILTER(Constants!$F$2:$F$10,Constants!$A$2:$A$10=A3965)))"),"")</f>
        <v/>
      </c>
    </row>
    <row r="3966">
      <c r="A3966" s="89"/>
      <c r="B3966" s="87"/>
      <c r="C3966" s="73"/>
      <c r="D3966" s="73"/>
      <c r="E3966" s="82"/>
      <c r="F3966" s="82"/>
      <c r="G3966" s="86"/>
      <c r="H3966" s="86"/>
      <c r="I3966" s="86"/>
      <c r="J3966" s="82"/>
      <c r="K3966" s="82"/>
      <c r="L3966" s="82"/>
      <c r="M3966" s="82"/>
      <c r="N3966" s="82"/>
      <c r="O3966" s="82"/>
      <c r="P3966" s="82"/>
      <c r="Q3966" s="82"/>
      <c r="R3966" s="82"/>
      <c r="S3966" s="82"/>
      <c r="T3966" s="82"/>
      <c r="U3966" s="82"/>
      <c r="V3966" s="82"/>
      <c r="W3966" s="82"/>
      <c r="X3966" s="82"/>
      <c r="Y3966" s="82"/>
      <c r="Z3966" s="82"/>
      <c r="AA3966" s="82"/>
      <c r="AB3966" s="82"/>
      <c r="AC3966" s="82"/>
      <c r="AD3966" s="82"/>
      <c r="AE3966" s="82"/>
      <c r="AF3966" s="82"/>
      <c r="AG3966" s="82"/>
      <c r="AH3966" s="82"/>
      <c r="AI3966" s="82"/>
      <c r="AJ3966" s="82"/>
      <c r="AK3966" s="82"/>
      <c r="AL3966" s="82"/>
      <c r="AM3966" s="82"/>
      <c r="AN3966" s="82"/>
      <c r="AO3966" s="82"/>
      <c r="AP3966" s="82"/>
      <c r="AQ3966" s="82"/>
      <c r="AR3966" s="82"/>
      <c r="AS3966" s="82"/>
      <c r="AT3966" s="82"/>
      <c r="AU3966" s="82"/>
      <c r="AV3966" s="82"/>
      <c r="AW3966" s="82" t="str">
        <f t="shared" si="1"/>
        <v/>
      </c>
      <c r="AX3966" s="83" t="str">
        <f t="array" ref="AX3966">IFERROR(DGET('SBV Import'!A:G,"SBV",{"RSC ID","Tier";B3966,A3966}))</f>
        <v/>
      </c>
      <c r="AY3966" s="82" t="str">
        <f t="shared" si="2"/>
        <v/>
      </c>
      <c r="AZ3966" s="82"/>
      <c r="BA3966" s="84" t="s">
        <v>152</v>
      </c>
      <c r="BB3966" s="84" t="str">
        <f>IFERROR(__xludf.DUMMYFUNCTION("iferror(if(A3966="""",,E3966&gt;=FILTER(Constants!$F$2:$F$10,Constants!$A$2:$A$10=A3966)))"),"")</f>
        <v/>
      </c>
    </row>
    <row r="3967">
      <c r="A3967" s="89"/>
      <c r="B3967" s="87"/>
      <c r="C3967" s="73"/>
      <c r="D3967" s="73"/>
      <c r="E3967" s="82"/>
      <c r="F3967" s="82"/>
      <c r="G3967" s="86"/>
      <c r="H3967" s="86"/>
      <c r="I3967" s="86"/>
      <c r="J3967" s="82"/>
      <c r="K3967" s="82"/>
      <c r="L3967" s="82"/>
      <c r="M3967" s="82"/>
      <c r="N3967" s="82"/>
      <c r="O3967" s="82"/>
      <c r="P3967" s="82"/>
      <c r="Q3967" s="82"/>
      <c r="R3967" s="82"/>
      <c r="S3967" s="82"/>
      <c r="T3967" s="82"/>
      <c r="U3967" s="82"/>
      <c r="V3967" s="82"/>
      <c r="W3967" s="82"/>
      <c r="X3967" s="82"/>
      <c r="Y3967" s="82"/>
      <c r="Z3967" s="82"/>
      <c r="AA3967" s="82"/>
      <c r="AB3967" s="82"/>
      <c r="AC3967" s="82"/>
      <c r="AD3967" s="82"/>
      <c r="AE3967" s="82"/>
      <c r="AF3967" s="82"/>
      <c r="AG3967" s="82"/>
      <c r="AH3967" s="82"/>
      <c r="AI3967" s="82"/>
      <c r="AJ3967" s="82"/>
      <c r="AK3967" s="82"/>
      <c r="AL3967" s="82"/>
      <c r="AM3967" s="82"/>
      <c r="AN3967" s="82"/>
      <c r="AO3967" s="82"/>
      <c r="AP3967" s="82"/>
      <c r="AQ3967" s="82"/>
      <c r="AR3967" s="82"/>
      <c r="AS3967" s="82"/>
      <c r="AT3967" s="82"/>
      <c r="AU3967" s="82"/>
      <c r="AV3967" s="82"/>
      <c r="AW3967" s="82" t="str">
        <f t="shared" si="1"/>
        <v/>
      </c>
      <c r="AX3967" s="83" t="str">
        <f t="array" ref="AX3967">IFERROR(DGET('SBV Import'!A:G,"SBV",{"RSC ID","Tier";B3967,A3967}))</f>
        <v/>
      </c>
      <c r="AY3967" s="82" t="str">
        <f t="shared" si="2"/>
        <v/>
      </c>
      <c r="AZ3967" s="82"/>
      <c r="BA3967" s="84" t="s">
        <v>152</v>
      </c>
      <c r="BB3967" s="84" t="str">
        <f>IFERROR(__xludf.DUMMYFUNCTION("iferror(if(A3967="""",,E3967&gt;=FILTER(Constants!$F$2:$F$10,Constants!$A$2:$A$10=A3967)))"),"")</f>
        <v/>
      </c>
    </row>
    <row r="3968">
      <c r="A3968" s="89"/>
      <c r="B3968" s="87"/>
      <c r="C3968" s="73"/>
      <c r="D3968" s="73"/>
      <c r="E3968" s="82"/>
      <c r="F3968" s="82"/>
      <c r="G3968" s="86"/>
      <c r="H3968" s="86"/>
      <c r="I3968" s="86"/>
      <c r="J3968" s="82"/>
      <c r="K3968" s="82"/>
      <c r="L3968" s="82"/>
      <c r="M3968" s="82"/>
      <c r="N3968" s="82"/>
      <c r="O3968" s="82"/>
      <c r="P3968" s="82"/>
      <c r="Q3968" s="82"/>
      <c r="R3968" s="82"/>
      <c r="S3968" s="82"/>
      <c r="T3968" s="82"/>
      <c r="U3968" s="82"/>
      <c r="V3968" s="82"/>
      <c r="W3968" s="82"/>
      <c r="X3968" s="82"/>
      <c r="Y3968" s="82"/>
      <c r="Z3968" s="82"/>
      <c r="AA3968" s="82"/>
      <c r="AB3968" s="82"/>
      <c r="AC3968" s="82"/>
      <c r="AD3968" s="82"/>
      <c r="AE3968" s="82"/>
      <c r="AF3968" s="82"/>
      <c r="AG3968" s="82"/>
      <c r="AH3968" s="82"/>
      <c r="AI3968" s="82"/>
      <c r="AJ3968" s="82"/>
      <c r="AK3968" s="82"/>
      <c r="AL3968" s="82"/>
      <c r="AM3968" s="82"/>
      <c r="AN3968" s="82"/>
      <c r="AO3968" s="82"/>
      <c r="AP3968" s="82"/>
      <c r="AQ3968" s="82"/>
      <c r="AR3968" s="82"/>
      <c r="AS3968" s="82"/>
      <c r="AT3968" s="82"/>
      <c r="AU3968" s="82"/>
      <c r="AV3968" s="82"/>
      <c r="AW3968" s="82" t="str">
        <f t="shared" si="1"/>
        <v/>
      </c>
      <c r="AX3968" s="83" t="str">
        <f t="array" ref="AX3968">IFERROR(DGET('SBV Import'!A:G,"SBV",{"RSC ID","Tier";B3968,A3968}))</f>
        <v/>
      </c>
      <c r="AY3968" s="82" t="str">
        <f t="shared" si="2"/>
        <v/>
      </c>
      <c r="AZ3968" s="82"/>
      <c r="BA3968" s="84" t="s">
        <v>152</v>
      </c>
      <c r="BB3968" s="84" t="str">
        <f>IFERROR(__xludf.DUMMYFUNCTION("iferror(if(A3968="""",,E3968&gt;=FILTER(Constants!$F$2:$F$10,Constants!$A$2:$A$10=A3968)))"),"")</f>
        <v/>
      </c>
    </row>
    <row r="3969">
      <c r="A3969" s="89"/>
      <c r="B3969" s="87"/>
      <c r="C3969" s="73"/>
      <c r="D3969" s="73"/>
      <c r="E3969" s="82"/>
      <c r="F3969" s="82"/>
      <c r="G3969" s="86"/>
      <c r="H3969" s="86"/>
      <c r="I3969" s="86"/>
      <c r="J3969" s="82"/>
      <c r="K3969" s="82"/>
      <c r="L3969" s="82"/>
      <c r="M3969" s="82"/>
      <c r="N3969" s="82"/>
      <c r="O3969" s="82"/>
      <c r="P3969" s="82"/>
      <c r="Q3969" s="82"/>
      <c r="R3969" s="82"/>
      <c r="S3969" s="82"/>
      <c r="T3969" s="82"/>
      <c r="U3969" s="82"/>
      <c r="V3969" s="82"/>
      <c r="W3969" s="82"/>
      <c r="X3969" s="82"/>
      <c r="Y3969" s="82"/>
      <c r="Z3969" s="82"/>
      <c r="AA3969" s="82"/>
      <c r="AB3969" s="82"/>
      <c r="AC3969" s="82"/>
      <c r="AD3969" s="82"/>
      <c r="AE3969" s="82"/>
      <c r="AF3969" s="82"/>
      <c r="AG3969" s="82"/>
      <c r="AH3969" s="82"/>
      <c r="AI3969" s="82"/>
      <c r="AJ3969" s="82"/>
      <c r="AK3969" s="82"/>
      <c r="AL3969" s="82"/>
      <c r="AM3969" s="82"/>
      <c r="AN3969" s="82"/>
      <c r="AO3969" s="82"/>
      <c r="AP3969" s="82"/>
      <c r="AQ3969" s="82"/>
      <c r="AR3969" s="82"/>
      <c r="AS3969" s="82"/>
      <c r="AT3969" s="82"/>
      <c r="AU3969" s="82"/>
      <c r="AV3969" s="82"/>
      <c r="AW3969" s="82" t="str">
        <f t="shared" si="1"/>
        <v/>
      </c>
      <c r="AX3969" s="83" t="str">
        <f t="array" ref="AX3969">IFERROR(DGET('SBV Import'!A:G,"SBV",{"RSC ID","Tier";B3969,A3969}))</f>
        <v/>
      </c>
      <c r="AY3969" s="82" t="str">
        <f t="shared" si="2"/>
        <v/>
      </c>
      <c r="AZ3969" s="82"/>
      <c r="BA3969" s="84" t="s">
        <v>152</v>
      </c>
      <c r="BB3969" s="84" t="str">
        <f>IFERROR(__xludf.DUMMYFUNCTION("iferror(if(A3969="""",,E3969&gt;=FILTER(Constants!$F$2:$F$10,Constants!$A$2:$A$10=A3969)))"),"")</f>
        <v/>
      </c>
    </row>
    <row r="3970">
      <c r="A3970" s="89"/>
      <c r="B3970" s="87"/>
      <c r="C3970" s="73"/>
      <c r="D3970" s="73"/>
      <c r="E3970" s="82"/>
      <c r="F3970" s="82"/>
      <c r="G3970" s="86"/>
      <c r="H3970" s="86"/>
      <c r="I3970" s="86"/>
      <c r="J3970" s="82"/>
      <c r="K3970" s="82"/>
      <c r="L3970" s="82"/>
      <c r="M3970" s="82"/>
      <c r="N3970" s="82"/>
      <c r="O3970" s="82"/>
      <c r="P3970" s="82"/>
      <c r="Q3970" s="82"/>
      <c r="R3970" s="82"/>
      <c r="S3970" s="82"/>
      <c r="T3970" s="82"/>
      <c r="U3970" s="82"/>
      <c r="V3970" s="82"/>
      <c r="W3970" s="82"/>
      <c r="X3970" s="82"/>
      <c r="Y3970" s="82"/>
      <c r="Z3970" s="82"/>
      <c r="AA3970" s="82"/>
      <c r="AB3970" s="82"/>
      <c r="AC3970" s="82"/>
      <c r="AD3970" s="82"/>
      <c r="AE3970" s="82"/>
      <c r="AF3970" s="82"/>
      <c r="AG3970" s="82"/>
      <c r="AH3970" s="82"/>
      <c r="AI3970" s="82"/>
      <c r="AJ3970" s="82"/>
      <c r="AK3970" s="82"/>
      <c r="AL3970" s="82"/>
      <c r="AM3970" s="82"/>
      <c r="AN3970" s="82"/>
      <c r="AO3970" s="82"/>
      <c r="AP3970" s="82"/>
      <c r="AQ3970" s="82"/>
      <c r="AR3970" s="82"/>
      <c r="AS3970" s="82"/>
      <c r="AT3970" s="82"/>
      <c r="AU3970" s="82"/>
      <c r="AV3970" s="82"/>
      <c r="AW3970" s="82" t="str">
        <f t="shared" si="1"/>
        <v/>
      </c>
      <c r="AX3970" s="83" t="str">
        <f t="array" ref="AX3970">IFERROR(DGET('SBV Import'!A:G,"SBV",{"RSC ID","Tier";B3970,A3970}))</f>
        <v/>
      </c>
      <c r="AY3970" s="82" t="str">
        <f t="shared" si="2"/>
        <v/>
      </c>
      <c r="AZ3970" s="82"/>
      <c r="BA3970" s="84" t="s">
        <v>152</v>
      </c>
      <c r="BB3970" s="84" t="str">
        <f>IFERROR(__xludf.DUMMYFUNCTION("iferror(if(A3970="""",,E3970&gt;=FILTER(Constants!$F$2:$F$10,Constants!$A$2:$A$10=A3970)))"),"")</f>
        <v/>
      </c>
    </row>
    <row r="3971">
      <c r="A3971" s="89"/>
      <c r="B3971" s="87"/>
      <c r="C3971" s="73"/>
      <c r="D3971" s="73"/>
      <c r="E3971" s="82"/>
      <c r="F3971" s="82"/>
      <c r="G3971" s="86"/>
      <c r="H3971" s="86"/>
      <c r="I3971" s="86"/>
      <c r="J3971" s="82"/>
      <c r="K3971" s="82"/>
      <c r="L3971" s="82"/>
      <c r="M3971" s="82"/>
      <c r="N3971" s="82"/>
      <c r="O3971" s="82"/>
      <c r="P3971" s="82"/>
      <c r="Q3971" s="82"/>
      <c r="R3971" s="82"/>
      <c r="S3971" s="82"/>
      <c r="T3971" s="82"/>
      <c r="U3971" s="82"/>
      <c r="V3971" s="82"/>
      <c r="W3971" s="82"/>
      <c r="X3971" s="82"/>
      <c r="Y3971" s="82"/>
      <c r="Z3971" s="82"/>
      <c r="AA3971" s="82"/>
      <c r="AB3971" s="82"/>
      <c r="AC3971" s="82"/>
      <c r="AD3971" s="82"/>
      <c r="AE3971" s="82"/>
      <c r="AF3971" s="82"/>
      <c r="AG3971" s="82"/>
      <c r="AH3971" s="82"/>
      <c r="AI3971" s="82"/>
      <c r="AJ3971" s="82"/>
      <c r="AK3971" s="82"/>
      <c r="AL3971" s="82"/>
      <c r="AM3971" s="82"/>
      <c r="AN3971" s="82"/>
      <c r="AO3971" s="82"/>
      <c r="AP3971" s="82"/>
      <c r="AQ3971" s="82"/>
      <c r="AR3971" s="82"/>
      <c r="AS3971" s="82"/>
      <c r="AT3971" s="82"/>
      <c r="AU3971" s="82"/>
      <c r="AV3971" s="82"/>
      <c r="AW3971" s="82" t="str">
        <f t="shared" si="1"/>
        <v/>
      </c>
      <c r="AX3971" s="83" t="str">
        <f t="array" ref="AX3971">IFERROR(DGET('SBV Import'!A:G,"SBV",{"RSC ID","Tier";B3971,A3971}))</f>
        <v/>
      </c>
      <c r="AY3971" s="82" t="str">
        <f t="shared" si="2"/>
        <v/>
      </c>
      <c r="AZ3971" s="82"/>
      <c r="BA3971" s="84" t="s">
        <v>152</v>
      </c>
      <c r="BB3971" s="84" t="str">
        <f>IFERROR(__xludf.DUMMYFUNCTION("iferror(if(A3971="""",,E3971&gt;=FILTER(Constants!$F$2:$F$10,Constants!$A$2:$A$10=A3971)))"),"")</f>
        <v/>
      </c>
    </row>
    <row r="3972">
      <c r="A3972" s="89"/>
      <c r="B3972" s="87"/>
      <c r="C3972" s="73"/>
      <c r="D3972" s="73"/>
      <c r="E3972" s="82"/>
      <c r="F3972" s="82"/>
      <c r="G3972" s="86"/>
      <c r="H3972" s="86"/>
      <c r="I3972" s="86"/>
      <c r="J3972" s="82"/>
      <c r="K3972" s="82"/>
      <c r="L3972" s="82"/>
      <c r="M3972" s="82"/>
      <c r="N3972" s="82"/>
      <c r="O3972" s="82"/>
      <c r="P3972" s="82"/>
      <c r="Q3972" s="82"/>
      <c r="R3972" s="82"/>
      <c r="S3972" s="82"/>
      <c r="T3972" s="82"/>
      <c r="U3972" s="82"/>
      <c r="V3972" s="82"/>
      <c r="W3972" s="82"/>
      <c r="X3972" s="82"/>
      <c r="Y3972" s="82"/>
      <c r="Z3972" s="82"/>
      <c r="AA3972" s="82"/>
      <c r="AB3972" s="82"/>
      <c r="AC3972" s="82"/>
      <c r="AD3972" s="82"/>
      <c r="AE3972" s="82"/>
      <c r="AF3972" s="82"/>
      <c r="AG3972" s="82"/>
      <c r="AH3972" s="82"/>
      <c r="AI3972" s="82"/>
      <c r="AJ3972" s="82"/>
      <c r="AK3972" s="82"/>
      <c r="AL3972" s="82"/>
      <c r="AM3972" s="82"/>
      <c r="AN3972" s="82"/>
      <c r="AO3972" s="82"/>
      <c r="AP3972" s="82"/>
      <c r="AQ3972" s="82"/>
      <c r="AR3972" s="82"/>
      <c r="AS3972" s="82"/>
      <c r="AT3972" s="82"/>
      <c r="AU3972" s="82"/>
      <c r="AV3972" s="82"/>
      <c r="AW3972" s="82" t="str">
        <f t="shared" si="1"/>
        <v/>
      </c>
      <c r="AX3972" s="83" t="str">
        <f t="array" ref="AX3972">IFERROR(DGET('SBV Import'!A:G,"SBV",{"RSC ID","Tier";B3972,A3972}))</f>
        <v/>
      </c>
      <c r="AY3972" s="82" t="str">
        <f t="shared" si="2"/>
        <v/>
      </c>
      <c r="AZ3972" s="82"/>
      <c r="BA3972" s="84" t="s">
        <v>152</v>
      </c>
      <c r="BB3972" s="84" t="str">
        <f>IFERROR(__xludf.DUMMYFUNCTION("iferror(if(A3972="""",,E3972&gt;=FILTER(Constants!$F$2:$F$10,Constants!$A$2:$A$10=A3972)))"),"")</f>
        <v/>
      </c>
    </row>
    <row r="3973">
      <c r="A3973" s="89"/>
      <c r="B3973" s="87"/>
      <c r="C3973" s="73"/>
      <c r="D3973" s="73"/>
      <c r="E3973" s="82"/>
      <c r="F3973" s="82"/>
      <c r="G3973" s="86"/>
      <c r="H3973" s="86"/>
      <c r="I3973" s="86"/>
      <c r="J3973" s="82"/>
      <c r="K3973" s="82"/>
      <c r="L3973" s="82"/>
      <c r="M3973" s="82"/>
      <c r="N3973" s="82"/>
      <c r="O3973" s="82"/>
      <c r="P3973" s="82"/>
      <c r="Q3973" s="82"/>
      <c r="R3973" s="82"/>
      <c r="S3973" s="82"/>
      <c r="T3973" s="82"/>
      <c r="U3973" s="82"/>
      <c r="V3973" s="82"/>
      <c r="W3973" s="82"/>
      <c r="X3973" s="82"/>
      <c r="Y3973" s="82"/>
      <c r="Z3973" s="82"/>
      <c r="AA3973" s="82"/>
      <c r="AB3973" s="82"/>
      <c r="AC3973" s="82"/>
      <c r="AD3973" s="82"/>
      <c r="AE3973" s="82"/>
      <c r="AF3973" s="82"/>
      <c r="AG3973" s="82"/>
      <c r="AH3973" s="82"/>
      <c r="AI3973" s="82"/>
      <c r="AJ3973" s="82"/>
      <c r="AK3973" s="82"/>
      <c r="AL3973" s="82"/>
      <c r="AM3973" s="82"/>
      <c r="AN3973" s="82"/>
      <c r="AO3973" s="82"/>
      <c r="AP3973" s="82"/>
      <c r="AQ3973" s="82"/>
      <c r="AR3973" s="82"/>
      <c r="AS3973" s="82"/>
      <c r="AT3973" s="82"/>
      <c r="AU3973" s="82"/>
      <c r="AV3973" s="82"/>
      <c r="AW3973" s="82" t="str">
        <f t="shared" si="1"/>
        <v/>
      </c>
      <c r="AX3973" s="83" t="str">
        <f t="array" ref="AX3973">IFERROR(DGET('SBV Import'!A:G,"SBV",{"RSC ID","Tier";B3973,A3973}))</f>
        <v/>
      </c>
      <c r="AY3973" s="82" t="str">
        <f t="shared" si="2"/>
        <v/>
      </c>
      <c r="AZ3973" s="82"/>
      <c r="BA3973" s="84" t="s">
        <v>152</v>
      </c>
      <c r="BB3973" s="84" t="str">
        <f>IFERROR(__xludf.DUMMYFUNCTION("iferror(if(A3973="""",,E3973&gt;=FILTER(Constants!$F$2:$F$10,Constants!$A$2:$A$10=A3973)))"),"")</f>
        <v/>
      </c>
    </row>
    <row r="3974">
      <c r="A3974" s="89"/>
      <c r="B3974" s="87"/>
      <c r="C3974" s="73"/>
      <c r="D3974" s="73"/>
      <c r="E3974" s="82"/>
      <c r="F3974" s="82"/>
      <c r="G3974" s="86"/>
      <c r="H3974" s="86"/>
      <c r="I3974" s="86"/>
      <c r="J3974" s="82"/>
      <c r="K3974" s="82"/>
      <c r="L3974" s="82"/>
      <c r="M3974" s="82"/>
      <c r="N3974" s="82"/>
      <c r="O3974" s="82"/>
      <c r="P3974" s="82"/>
      <c r="Q3974" s="82"/>
      <c r="R3974" s="82"/>
      <c r="S3974" s="82"/>
      <c r="T3974" s="82"/>
      <c r="U3974" s="82"/>
      <c r="V3974" s="82"/>
      <c r="W3974" s="82"/>
      <c r="X3974" s="82"/>
      <c r="Y3974" s="82"/>
      <c r="Z3974" s="82"/>
      <c r="AA3974" s="82"/>
      <c r="AB3974" s="82"/>
      <c r="AC3974" s="82"/>
      <c r="AD3974" s="82"/>
      <c r="AE3974" s="82"/>
      <c r="AF3974" s="82"/>
      <c r="AG3974" s="82"/>
      <c r="AH3974" s="82"/>
      <c r="AI3974" s="82"/>
      <c r="AJ3974" s="82"/>
      <c r="AK3974" s="82"/>
      <c r="AL3974" s="82"/>
      <c r="AM3974" s="82"/>
      <c r="AN3974" s="82"/>
      <c r="AO3974" s="82"/>
      <c r="AP3974" s="82"/>
      <c r="AQ3974" s="82"/>
      <c r="AR3974" s="82"/>
      <c r="AS3974" s="82"/>
      <c r="AT3974" s="82"/>
      <c r="AU3974" s="82"/>
      <c r="AV3974" s="82"/>
      <c r="AW3974" s="82" t="str">
        <f t="shared" si="1"/>
        <v/>
      </c>
      <c r="AX3974" s="83" t="str">
        <f t="array" ref="AX3974">IFERROR(DGET('SBV Import'!A:G,"SBV",{"RSC ID","Tier";B3974,A3974}))</f>
        <v/>
      </c>
      <c r="AY3974" s="82" t="str">
        <f t="shared" si="2"/>
        <v/>
      </c>
      <c r="AZ3974" s="82"/>
      <c r="BA3974" s="84" t="s">
        <v>152</v>
      </c>
      <c r="BB3974" s="84" t="str">
        <f>IFERROR(__xludf.DUMMYFUNCTION("iferror(if(A3974="""",,E3974&gt;=FILTER(Constants!$F$2:$F$10,Constants!$A$2:$A$10=A3974)))"),"")</f>
        <v/>
      </c>
    </row>
    <row r="3975">
      <c r="A3975" s="89"/>
      <c r="B3975" s="87"/>
      <c r="C3975" s="73"/>
      <c r="D3975" s="73"/>
      <c r="E3975" s="82"/>
      <c r="F3975" s="82"/>
      <c r="G3975" s="86"/>
      <c r="H3975" s="86"/>
      <c r="I3975" s="86"/>
      <c r="J3975" s="82"/>
      <c r="K3975" s="82"/>
      <c r="L3975" s="82"/>
      <c r="M3975" s="82"/>
      <c r="N3975" s="82"/>
      <c r="O3975" s="82"/>
      <c r="P3975" s="82"/>
      <c r="Q3975" s="82"/>
      <c r="R3975" s="82"/>
      <c r="S3975" s="82"/>
      <c r="T3975" s="82"/>
      <c r="U3975" s="82"/>
      <c r="V3975" s="82"/>
      <c r="W3975" s="82"/>
      <c r="X3975" s="82"/>
      <c r="Y3975" s="82"/>
      <c r="Z3975" s="82"/>
      <c r="AA3975" s="82"/>
      <c r="AB3975" s="82"/>
      <c r="AC3975" s="82"/>
      <c r="AD3975" s="82"/>
      <c r="AE3975" s="82"/>
      <c r="AF3975" s="82"/>
      <c r="AG3975" s="82"/>
      <c r="AH3975" s="82"/>
      <c r="AI3975" s="82"/>
      <c r="AJ3975" s="82"/>
      <c r="AK3975" s="82"/>
      <c r="AL3975" s="82"/>
      <c r="AM3975" s="82"/>
      <c r="AN3975" s="82"/>
      <c r="AO3975" s="82"/>
      <c r="AP3975" s="82"/>
      <c r="AQ3975" s="82"/>
      <c r="AR3975" s="82"/>
      <c r="AS3975" s="82"/>
      <c r="AT3975" s="82"/>
      <c r="AU3975" s="82"/>
      <c r="AV3975" s="82"/>
      <c r="AW3975" s="82" t="str">
        <f t="shared" si="1"/>
        <v/>
      </c>
      <c r="AX3975" s="83" t="str">
        <f t="array" ref="AX3975">IFERROR(DGET('SBV Import'!A:G,"SBV",{"RSC ID","Tier";B3975,A3975}))</f>
        <v/>
      </c>
      <c r="AY3975" s="82" t="str">
        <f t="shared" si="2"/>
        <v/>
      </c>
      <c r="AZ3975" s="82"/>
      <c r="BA3975" s="84" t="s">
        <v>152</v>
      </c>
      <c r="BB3975" s="84" t="str">
        <f>IFERROR(__xludf.DUMMYFUNCTION("iferror(if(A3975="""",,E3975&gt;=FILTER(Constants!$F$2:$F$10,Constants!$A$2:$A$10=A3975)))"),"")</f>
        <v/>
      </c>
    </row>
    <row r="3976">
      <c r="A3976" s="89"/>
      <c r="B3976" s="87"/>
      <c r="C3976" s="73"/>
      <c r="D3976" s="73"/>
      <c r="E3976" s="82"/>
      <c r="F3976" s="82"/>
      <c r="G3976" s="86"/>
      <c r="H3976" s="86"/>
      <c r="I3976" s="86"/>
      <c r="J3976" s="82"/>
      <c r="K3976" s="82"/>
      <c r="L3976" s="82"/>
      <c r="M3976" s="82"/>
      <c r="N3976" s="82"/>
      <c r="O3976" s="82"/>
      <c r="P3976" s="82"/>
      <c r="Q3976" s="82"/>
      <c r="R3976" s="82"/>
      <c r="S3976" s="82"/>
      <c r="T3976" s="82"/>
      <c r="U3976" s="82"/>
      <c r="V3976" s="82"/>
      <c r="W3976" s="82"/>
      <c r="X3976" s="82"/>
      <c r="Y3976" s="82"/>
      <c r="Z3976" s="82"/>
      <c r="AA3976" s="82"/>
      <c r="AB3976" s="82"/>
      <c r="AC3976" s="82"/>
      <c r="AD3976" s="82"/>
      <c r="AE3976" s="82"/>
      <c r="AF3976" s="82"/>
      <c r="AG3976" s="82"/>
      <c r="AH3976" s="82"/>
      <c r="AI3976" s="82"/>
      <c r="AJ3976" s="82"/>
      <c r="AK3976" s="82"/>
      <c r="AL3976" s="82"/>
      <c r="AM3976" s="82"/>
      <c r="AN3976" s="82"/>
      <c r="AO3976" s="82"/>
      <c r="AP3976" s="82"/>
      <c r="AQ3976" s="82"/>
      <c r="AR3976" s="82"/>
      <c r="AS3976" s="82"/>
      <c r="AT3976" s="82"/>
      <c r="AU3976" s="82"/>
      <c r="AV3976" s="82"/>
      <c r="AW3976" s="82" t="str">
        <f t="shared" si="1"/>
        <v/>
      </c>
      <c r="AX3976" s="83" t="str">
        <f t="array" ref="AX3976">IFERROR(DGET('SBV Import'!A:G,"SBV",{"RSC ID","Tier";B3976,A3976}))</f>
        <v/>
      </c>
      <c r="AY3976" s="82" t="str">
        <f t="shared" si="2"/>
        <v/>
      </c>
      <c r="AZ3976" s="82"/>
      <c r="BA3976" s="84" t="s">
        <v>152</v>
      </c>
      <c r="BB3976" s="84" t="str">
        <f>IFERROR(__xludf.DUMMYFUNCTION("iferror(if(A3976="""",,E3976&gt;=FILTER(Constants!$F$2:$F$10,Constants!$A$2:$A$10=A3976)))"),"")</f>
        <v/>
      </c>
    </row>
    <row r="3977">
      <c r="A3977" s="89"/>
      <c r="B3977" s="87"/>
      <c r="C3977" s="73"/>
      <c r="D3977" s="73"/>
      <c r="E3977" s="82"/>
      <c r="F3977" s="82"/>
      <c r="G3977" s="86"/>
      <c r="H3977" s="86"/>
      <c r="I3977" s="86"/>
      <c r="J3977" s="82"/>
      <c r="K3977" s="82"/>
      <c r="L3977" s="82"/>
      <c r="M3977" s="82"/>
      <c r="N3977" s="82"/>
      <c r="O3977" s="82"/>
      <c r="P3977" s="82"/>
      <c r="Q3977" s="82"/>
      <c r="R3977" s="82"/>
      <c r="S3977" s="82"/>
      <c r="T3977" s="82"/>
      <c r="U3977" s="82"/>
      <c r="V3977" s="82"/>
      <c r="W3977" s="82"/>
      <c r="X3977" s="82"/>
      <c r="Y3977" s="82"/>
      <c r="Z3977" s="82"/>
      <c r="AA3977" s="82"/>
      <c r="AB3977" s="82"/>
      <c r="AC3977" s="82"/>
      <c r="AD3977" s="82"/>
      <c r="AE3977" s="82"/>
      <c r="AF3977" s="82"/>
      <c r="AG3977" s="82"/>
      <c r="AH3977" s="82"/>
      <c r="AI3977" s="82"/>
      <c r="AJ3977" s="82"/>
      <c r="AK3977" s="82"/>
      <c r="AL3977" s="82"/>
      <c r="AM3977" s="82"/>
      <c r="AN3977" s="82"/>
      <c r="AO3977" s="82"/>
      <c r="AP3977" s="82"/>
      <c r="AQ3977" s="82"/>
      <c r="AR3977" s="82"/>
      <c r="AS3977" s="82"/>
      <c r="AT3977" s="82"/>
      <c r="AU3977" s="82"/>
      <c r="AV3977" s="82"/>
      <c r="AW3977" s="82" t="str">
        <f t="shared" si="1"/>
        <v/>
      </c>
      <c r="AX3977" s="83" t="str">
        <f t="array" ref="AX3977">IFERROR(DGET('SBV Import'!A:G,"SBV",{"RSC ID","Tier";B3977,A3977}))</f>
        <v/>
      </c>
      <c r="AY3977" s="82" t="str">
        <f t="shared" si="2"/>
        <v/>
      </c>
      <c r="AZ3977" s="82"/>
      <c r="BA3977" s="84" t="s">
        <v>152</v>
      </c>
      <c r="BB3977" s="84" t="str">
        <f>IFERROR(__xludf.DUMMYFUNCTION("iferror(if(A3977="""",,E3977&gt;=FILTER(Constants!$F$2:$F$10,Constants!$A$2:$A$10=A3977)))"),"")</f>
        <v/>
      </c>
    </row>
    <row r="3978">
      <c r="A3978" s="89"/>
      <c r="B3978" s="87"/>
      <c r="C3978" s="73"/>
      <c r="D3978" s="73"/>
      <c r="E3978" s="82"/>
      <c r="F3978" s="82"/>
      <c r="G3978" s="86"/>
      <c r="H3978" s="86"/>
      <c r="I3978" s="86"/>
      <c r="J3978" s="82"/>
      <c r="K3978" s="82"/>
      <c r="L3978" s="82"/>
      <c r="M3978" s="82"/>
      <c r="N3978" s="82"/>
      <c r="O3978" s="82"/>
      <c r="P3978" s="82"/>
      <c r="Q3978" s="82"/>
      <c r="R3978" s="82"/>
      <c r="S3978" s="82"/>
      <c r="T3978" s="82"/>
      <c r="U3978" s="82"/>
      <c r="V3978" s="82"/>
      <c r="W3978" s="82"/>
      <c r="X3978" s="82"/>
      <c r="Y3978" s="82"/>
      <c r="Z3978" s="82"/>
      <c r="AA3978" s="82"/>
      <c r="AB3978" s="82"/>
      <c r="AC3978" s="82"/>
      <c r="AD3978" s="82"/>
      <c r="AE3978" s="82"/>
      <c r="AF3978" s="82"/>
      <c r="AG3978" s="82"/>
      <c r="AH3978" s="82"/>
      <c r="AI3978" s="82"/>
      <c r="AJ3978" s="82"/>
      <c r="AK3978" s="82"/>
      <c r="AL3978" s="82"/>
      <c r="AM3978" s="82"/>
      <c r="AN3978" s="82"/>
      <c r="AO3978" s="82"/>
      <c r="AP3978" s="82"/>
      <c r="AQ3978" s="82"/>
      <c r="AR3978" s="82"/>
      <c r="AS3978" s="82"/>
      <c r="AT3978" s="82"/>
      <c r="AU3978" s="82"/>
      <c r="AV3978" s="82"/>
      <c r="AW3978" s="82" t="str">
        <f t="shared" si="1"/>
        <v/>
      </c>
      <c r="AX3978" s="83" t="str">
        <f t="array" ref="AX3978">IFERROR(DGET('SBV Import'!A:G,"SBV",{"RSC ID","Tier";B3978,A3978}))</f>
        <v/>
      </c>
      <c r="AY3978" s="82" t="str">
        <f t="shared" si="2"/>
        <v/>
      </c>
      <c r="AZ3978" s="82"/>
      <c r="BA3978" s="84" t="s">
        <v>152</v>
      </c>
      <c r="BB3978" s="84" t="str">
        <f>IFERROR(__xludf.DUMMYFUNCTION("iferror(if(A3978="""",,E3978&gt;=FILTER(Constants!$F$2:$F$10,Constants!$A$2:$A$10=A3978)))"),"")</f>
        <v/>
      </c>
    </row>
    <row r="3979">
      <c r="A3979" s="89"/>
      <c r="B3979" s="87"/>
      <c r="C3979" s="73"/>
      <c r="D3979" s="73"/>
      <c r="E3979" s="82"/>
      <c r="F3979" s="82"/>
      <c r="G3979" s="86"/>
      <c r="H3979" s="86"/>
      <c r="I3979" s="86"/>
      <c r="J3979" s="82"/>
      <c r="K3979" s="82"/>
      <c r="L3979" s="82"/>
      <c r="M3979" s="82"/>
      <c r="N3979" s="82"/>
      <c r="O3979" s="82"/>
      <c r="P3979" s="82"/>
      <c r="Q3979" s="82"/>
      <c r="R3979" s="82"/>
      <c r="S3979" s="82"/>
      <c r="T3979" s="82"/>
      <c r="U3979" s="82"/>
      <c r="V3979" s="82"/>
      <c r="W3979" s="82"/>
      <c r="X3979" s="82"/>
      <c r="Y3979" s="82"/>
      <c r="Z3979" s="82"/>
      <c r="AA3979" s="82"/>
      <c r="AB3979" s="82"/>
      <c r="AC3979" s="82"/>
      <c r="AD3979" s="82"/>
      <c r="AE3979" s="82"/>
      <c r="AF3979" s="82"/>
      <c r="AG3979" s="82"/>
      <c r="AH3979" s="82"/>
      <c r="AI3979" s="82"/>
      <c r="AJ3979" s="82"/>
      <c r="AK3979" s="82"/>
      <c r="AL3979" s="82"/>
      <c r="AM3979" s="82"/>
      <c r="AN3979" s="82"/>
      <c r="AO3979" s="82"/>
      <c r="AP3979" s="82"/>
      <c r="AQ3979" s="82"/>
      <c r="AR3979" s="82"/>
      <c r="AS3979" s="82"/>
      <c r="AT3979" s="82"/>
      <c r="AU3979" s="82"/>
      <c r="AV3979" s="82"/>
      <c r="AW3979" s="82" t="str">
        <f t="shared" si="1"/>
        <v/>
      </c>
      <c r="AX3979" s="83" t="str">
        <f t="array" ref="AX3979">IFERROR(DGET('SBV Import'!A:G,"SBV",{"RSC ID","Tier";B3979,A3979}))</f>
        <v/>
      </c>
      <c r="AY3979" s="82" t="str">
        <f t="shared" si="2"/>
        <v/>
      </c>
      <c r="AZ3979" s="82"/>
      <c r="BA3979" s="84" t="s">
        <v>152</v>
      </c>
      <c r="BB3979" s="84" t="str">
        <f>IFERROR(__xludf.DUMMYFUNCTION("iferror(if(A3979="""",,E3979&gt;=FILTER(Constants!$F$2:$F$10,Constants!$A$2:$A$10=A3979)))"),"")</f>
        <v/>
      </c>
    </row>
    <row r="3980">
      <c r="A3980" s="89"/>
      <c r="B3980" s="87"/>
      <c r="C3980" s="73"/>
      <c r="D3980" s="73"/>
      <c r="E3980" s="82"/>
      <c r="F3980" s="82"/>
      <c r="G3980" s="86"/>
      <c r="H3980" s="86"/>
      <c r="I3980" s="86"/>
      <c r="J3980" s="82"/>
      <c r="K3980" s="82"/>
      <c r="L3980" s="82"/>
      <c r="M3980" s="82"/>
      <c r="N3980" s="82"/>
      <c r="O3980" s="82"/>
      <c r="P3980" s="82"/>
      <c r="Q3980" s="82"/>
      <c r="R3980" s="82"/>
      <c r="S3980" s="82"/>
      <c r="T3980" s="82"/>
      <c r="U3980" s="82"/>
      <c r="V3980" s="82"/>
      <c r="W3980" s="82"/>
      <c r="X3980" s="82"/>
      <c r="Y3980" s="82"/>
      <c r="Z3980" s="82"/>
      <c r="AA3980" s="82"/>
      <c r="AB3980" s="82"/>
      <c r="AC3980" s="82"/>
      <c r="AD3980" s="82"/>
      <c r="AE3980" s="82"/>
      <c r="AF3980" s="82"/>
      <c r="AG3980" s="82"/>
      <c r="AH3980" s="82"/>
      <c r="AI3980" s="82"/>
      <c r="AJ3980" s="82"/>
      <c r="AK3980" s="82"/>
      <c r="AL3980" s="82"/>
      <c r="AM3980" s="82"/>
      <c r="AN3980" s="82"/>
      <c r="AO3980" s="82"/>
      <c r="AP3980" s="82"/>
      <c r="AQ3980" s="82"/>
      <c r="AR3980" s="82"/>
      <c r="AS3980" s="82"/>
      <c r="AT3980" s="82"/>
      <c r="AU3980" s="82"/>
      <c r="AV3980" s="82"/>
      <c r="AW3980" s="82" t="str">
        <f t="shared" si="1"/>
        <v/>
      </c>
      <c r="AX3980" s="83" t="str">
        <f t="array" ref="AX3980">IFERROR(DGET('SBV Import'!A:G,"SBV",{"RSC ID","Tier";B3980,A3980}))</f>
        <v/>
      </c>
      <c r="AY3980" s="82" t="str">
        <f t="shared" si="2"/>
        <v/>
      </c>
      <c r="AZ3980" s="82"/>
      <c r="BA3980" s="84" t="s">
        <v>152</v>
      </c>
      <c r="BB3980" s="84" t="str">
        <f>IFERROR(__xludf.DUMMYFUNCTION("iferror(if(A3980="""",,E3980&gt;=FILTER(Constants!$F$2:$F$10,Constants!$A$2:$A$10=A3980)))"),"")</f>
        <v/>
      </c>
    </row>
    <row r="3981">
      <c r="A3981" s="89"/>
      <c r="B3981" s="87"/>
      <c r="C3981" s="73"/>
      <c r="D3981" s="73"/>
      <c r="E3981" s="82"/>
      <c r="F3981" s="82"/>
      <c r="G3981" s="86"/>
      <c r="H3981" s="86"/>
      <c r="I3981" s="86"/>
      <c r="J3981" s="82"/>
      <c r="K3981" s="82"/>
      <c r="L3981" s="82"/>
      <c r="M3981" s="82"/>
      <c r="N3981" s="82"/>
      <c r="O3981" s="82"/>
      <c r="P3981" s="82"/>
      <c r="Q3981" s="82"/>
      <c r="R3981" s="82"/>
      <c r="S3981" s="82"/>
      <c r="T3981" s="82"/>
      <c r="U3981" s="82"/>
      <c r="V3981" s="82"/>
      <c r="W3981" s="82"/>
      <c r="X3981" s="82"/>
      <c r="Y3981" s="82"/>
      <c r="Z3981" s="82"/>
      <c r="AA3981" s="82"/>
      <c r="AB3981" s="82"/>
      <c r="AC3981" s="82"/>
      <c r="AD3981" s="82"/>
      <c r="AE3981" s="82"/>
      <c r="AF3981" s="82"/>
      <c r="AG3981" s="82"/>
      <c r="AH3981" s="82"/>
      <c r="AI3981" s="82"/>
      <c r="AJ3981" s="82"/>
      <c r="AK3981" s="82"/>
      <c r="AL3981" s="82"/>
      <c r="AM3981" s="82"/>
      <c r="AN3981" s="82"/>
      <c r="AO3981" s="82"/>
      <c r="AP3981" s="82"/>
      <c r="AQ3981" s="82"/>
      <c r="AR3981" s="82"/>
      <c r="AS3981" s="82"/>
      <c r="AT3981" s="82"/>
      <c r="AU3981" s="82"/>
      <c r="AV3981" s="82"/>
      <c r="AW3981" s="82" t="str">
        <f t="shared" si="1"/>
        <v/>
      </c>
      <c r="AX3981" s="83" t="str">
        <f t="array" ref="AX3981">IFERROR(DGET('SBV Import'!A:G,"SBV",{"RSC ID","Tier";B3981,A3981}))</f>
        <v/>
      </c>
      <c r="AY3981" s="82" t="str">
        <f t="shared" si="2"/>
        <v/>
      </c>
      <c r="AZ3981" s="82"/>
      <c r="BA3981" s="84" t="s">
        <v>152</v>
      </c>
      <c r="BB3981" s="84" t="str">
        <f>IFERROR(__xludf.DUMMYFUNCTION("iferror(if(A3981="""",,E3981&gt;=FILTER(Constants!$F$2:$F$10,Constants!$A$2:$A$10=A3981)))"),"")</f>
        <v/>
      </c>
    </row>
    <row r="3982">
      <c r="A3982" s="89"/>
      <c r="B3982" s="87"/>
      <c r="C3982" s="73"/>
      <c r="D3982" s="73"/>
      <c r="E3982" s="82"/>
      <c r="F3982" s="82"/>
      <c r="G3982" s="86"/>
      <c r="H3982" s="86"/>
      <c r="I3982" s="86"/>
      <c r="J3982" s="82"/>
      <c r="K3982" s="82"/>
      <c r="L3982" s="82"/>
      <c r="M3982" s="82"/>
      <c r="N3982" s="82"/>
      <c r="O3982" s="82"/>
      <c r="P3982" s="82"/>
      <c r="Q3982" s="82"/>
      <c r="R3982" s="82"/>
      <c r="S3982" s="82"/>
      <c r="T3982" s="82"/>
      <c r="U3982" s="82"/>
      <c r="V3982" s="82"/>
      <c r="W3982" s="82"/>
      <c r="X3982" s="82"/>
      <c r="Y3982" s="82"/>
      <c r="Z3982" s="82"/>
      <c r="AA3982" s="82"/>
      <c r="AB3982" s="82"/>
      <c r="AC3982" s="82"/>
      <c r="AD3982" s="82"/>
      <c r="AE3982" s="82"/>
      <c r="AF3982" s="82"/>
      <c r="AG3982" s="82"/>
      <c r="AH3982" s="82"/>
      <c r="AI3982" s="82"/>
      <c r="AJ3982" s="82"/>
      <c r="AK3982" s="82"/>
      <c r="AL3982" s="82"/>
      <c r="AM3982" s="82"/>
      <c r="AN3982" s="82"/>
      <c r="AO3982" s="82"/>
      <c r="AP3982" s="82"/>
      <c r="AQ3982" s="82"/>
      <c r="AR3982" s="82"/>
      <c r="AS3982" s="82"/>
      <c r="AT3982" s="82"/>
      <c r="AU3982" s="82"/>
      <c r="AV3982" s="82"/>
      <c r="AW3982" s="82" t="str">
        <f t="shared" si="1"/>
        <v/>
      </c>
      <c r="AX3982" s="83" t="str">
        <f t="array" ref="AX3982">IFERROR(DGET('SBV Import'!A:G,"SBV",{"RSC ID","Tier";B3982,A3982}))</f>
        <v/>
      </c>
      <c r="AY3982" s="82" t="str">
        <f t="shared" si="2"/>
        <v/>
      </c>
      <c r="AZ3982" s="82"/>
      <c r="BA3982" s="84" t="s">
        <v>152</v>
      </c>
      <c r="BB3982" s="84" t="str">
        <f>IFERROR(__xludf.DUMMYFUNCTION("iferror(if(A3982="""",,E3982&gt;=FILTER(Constants!$F$2:$F$10,Constants!$A$2:$A$10=A3982)))"),"")</f>
        <v/>
      </c>
    </row>
    <row r="3983">
      <c r="A3983" s="89"/>
      <c r="B3983" s="87"/>
      <c r="C3983" s="73"/>
      <c r="D3983" s="73"/>
      <c r="E3983" s="82"/>
      <c r="F3983" s="82"/>
      <c r="G3983" s="86"/>
      <c r="H3983" s="86"/>
      <c r="I3983" s="86"/>
      <c r="J3983" s="82"/>
      <c r="K3983" s="82"/>
      <c r="L3983" s="82"/>
      <c r="M3983" s="82"/>
      <c r="N3983" s="82"/>
      <c r="O3983" s="82"/>
      <c r="P3983" s="82"/>
      <c r="Q3983" s="82"/>
      <c r="R3983" s="82"/>
      <c r="S3983" s="82"/>
      <c r="T3983" s="82"/>
      <c r="U3983" s="82"/>
      <c r="V3983" s="82"/>
      <c r="W3983" s="82"/>
      <c r="X3983" s="82"/>
      <c r="Y3983" s="82"/>
      <c r="Z3983" s="82"/>
      <c r="AA3983" s="82"/>
      <c r="AB3983" s="82"/>
      <c r="AC3983" s="82"/>
      <c r="AD3983" s="82"/>
      <c r="AE3983" s="82"/>
      <c r="AF3983" s="82"/>
      <c r="AG3983" s="82"/>
      <c r="AH3983" s="82"/>
      <c r="AI3983" s="82"/>
      <c r="AJ3983" s="82"/>
      <c r="AK3983" s="82"/>
      <c r="AL3983" s="82"/>
      <c r="AM3983" s="82"/>
      <c r="AN3983" s="82"/>
      <c r="AO3983" s="82"/>
      <c r="AP3983" s="82"/>
      <c r="AQ3983" s="82"/>
      <c r="AR3983" s="82"/>
      <c r="AS3983" s="82"/>
      <c r="AT3983" s="82"/>
      <c r="AU3983" s="82"/>
      <c r="AV3983" s="82"/>
      <c r="AW3983" s="82" t="str">
        <f t="shared" si="1"/>
        <v/>
      </c>
      <c r="AX3983" s="83" t="str">
        <f t="array" ref="AX3983">IFERROR(DGET('SBV Import'!A:G,"SBV",{"RSC ID","Tier";B3983,A3983}))</f>
        <v/>
      </c>
      <c r="AY3983" s="82" t="str">
        <f t="shared" si="2"/>
        <v/>
      </c>
      <c r="AZ3983" s="82"/>
      <c r="BA3983" s="84" t="s">
        <v>152</v>
      </c>
      <c r="BB3983" s="84" t="str">
        <f>IFERROR(__xludf.DUMMYFUNCTION("iferror(if(A3983="""",,E3983&gt;=FILTER(Constants!$F$2:$F$10,Constants!$A$2:$A$10=A3983)))"),"")</f>
        <v/>
      </c>
    </row>
    <row r="3984">
      <c r="A3984" s="89"/>
      <c r="B3984" s="87"/>
      <c r="C3984" s="73"/>
      <c r="D3984" s="73"/>
      <c r="E3984" s="82"/>
      <c r="F3984" s="82"/>
      <c r="G3984" s="86"/>
      <c r="H3984" s="86"/>
      <c r="I3984" s="86"/>
      <c r="J3984" s="82"/>
      <c r="K3984" s="82"/>
      <c r="L3984" s="82"/>
      <c r="M3984" s="82"/>
      <c r="N3984" s="82"/>
      <c r="O3984" s="82"/>
      <c r="P3984" s="82"/>
      <c r="Q3984" s="82"/>
      <c r="R3984" s="82"/>
      <c r="S3984" s="82"/>
      <c r="T3984" s="82"/>
      <c r="U3984" s="82"/>
      <c r="V3984" s="82"/>
      <c r="W3984" s="82"/>
      <c r="X3984" s="82"/>
      <c r="Y3984" s="82"/>
      <c r="Z3984" s="82"/>
      <c r="AA3984" s="82"/>
      <c r="AB3984" s="82"/>
      <c r="AC3984" s="82"/>
      <c r="AD3984" s="82"/>
      <c r="AE3984" s="82"/>
      <c r="AF3984" s="82"/>
      <c r="AG3984" s="82"/>
      <c r="AH3984" s="82"/>
      <c r="AI3984" s="82"/>
      <c r="AJ3984" s="82"/>
      <c r="AK3984" s="82"/>
      <c r="AL3984" s="82"/>
      <c r="AM3984" s="82"/>
      <c r="AN3984" s="82"/>
      <c r="AO3984" s="82"/>
      <c r="AP3984" s="82"/>
      <c r="AQ3984" s="82"/>
      <c r="AR3984" s="82"/>
      <c r="AS3984" s="82"/>
      <c r="AT3984" s="82"/>
      <c r="AU3984" s="82"/>
      <c r="AV3984" s="82"/>
      <c r="AW3984" s="82" t="str">
        <f t="shared" si="1"/>
        <v/>
      </c>
      <c r="AX3984" s="83" t="str">
        <f t="array" ref="AX3984">IFERROR(DGET('SBV Import'!A:G,"SBV",{"RSC ID","Tier";B3984,A3984}))</f>
        <v/>
      </c>
      <c r="AY3984" s="82" t="str">
        <f t="shared" si="2"/>
        <v/>
      </c>
      <c r="AZ3984" s="82"/>
      <c r="BA3984" s="84" t="s">
        <v>152</v>
      </c>
      <c r="BB3984" s="84" t="str">
        <f>IFERROR(__xludf.DUMMYFUNCTION("iferror(if(A3984="""",,E3984&gt;=FILTER(Constants!$F$2:$F$10,Constants!$A$2:$A$10=A3984)))"),"")</f>
        <v/>
      </c>
    </row>
    <row r="3985">
      <c r="A3985" s="89"/>
      <c r="B3985" s="87"/>
      <c r="C3985" s="73"/>
      <c r="D3985" s="73"/>
      <c r="E3985" s="82"/>
      <c r="F3985" s="82"/>
      <c r="G3985" s="86"/>
      <c r="H3985" s="86"/>
      <c r="I3985" s="86"/>
      <c r="J3985" s="82"/>
      <c r="K3985" s="82"/>
      <c r="L3985" s="82"/>
      <c r="M3985" s="82"/>
      <c r="N3985" s="82"/>
      <c r="O3985" s="82"/>
      <c r="P3985" s="82"/>
      <c r="Q3985" s="82"/>
      <c r="R3985" s="82"/>
      <c r="S3985" s="82"/>
      <c r="T3985" s="82"/>
      <c r="U3985" s="82"/>
      <c r="V3985" s="82"/>
      <c r="W3985" s="82"/>
      <c r="X3985" s="82"/>
      <c r="Y3985" s="82"/>
      <c r="Z3985" s="82"/>
      <c r="AA3985" s="82"/>
      <c r="AB3985" s="82"/>
      <c r="AC3985" s="82"/>
      <c r="AD3985" s="82"/>
      <c r="AE3985" s="82"/>
      <c r="AF3985" s="82"/>
      <c r="AG3985" s="82"/>
      <c r="AH3985" s="82"/>
      <c r="AI3985" s="82"/>
      <c r="AJ3985" s="82"/>
      <c r="AK3985" s="82"/>
      <c r="AL3985" s="82"/>
      <c r="AM3985" s="82"/>
      <c r="AN3985" s="82"/>
      <c r="AO3985" s="82"/>
      <c r="AP3985" s="82"/>
      <c r="AQ3985" s="82"/>
      <c r="AR3985" s="82"/>
      <c r="AS3985" s="82"/>
      <c r="AT3985" s="82"/>
      <c r="AU3985" s="82"/>
      <c r="AV3985" s="82"/>
      <c r="AW3985" s="82" t="str">
        <f t="shared" si="1"/>
        <v/>
      </c>
      <c r="AX3985" s="83" t="str">
        <f t="array" ref="AX3985">IFERROR(DGET('SBV Import'!A:G,"SBV",{"RSC ID","Tier";B3985,A3985}))</f>
        <v/>
      </c>
      <c r="AY3985" s="82" t="str">
        <f t="shared" si="2"/>
        <v/>
      </c>
      <c r="AZ3985" s="82"/>
      <c r="BA3985" s="84" t="s">
        <v>152</v>
      </c>
      <c r="BB3985" s="84" t="str">
        <f>IFERROR(__xludf.DUMMYFUNCTION("iferror(if(A3985="""",,E3985&gt;=FILTER(Constants!$F$2:$F$10,Constants!$A$2:$A$10=A3985)))"),"")</f>
        <v/>
      </c>
    </row>
    <row r="3986">
      <c r="A3986" s="89"/>
      <c r="B3986" s="87"/>
      <c r="C3986" s="73"/>
      <c r="D3986" s="73"/>
      <c r="E3986" s="82"/>
      <c r="F3986" s="82"/>
      <c r="G3986" s="86"/>
      <c r="H3986" s="86"/>
      <c r="I3986" s="86"/>
      <c r="J3986" s="82"/>
      <c r="K3986" s="82"/>
      <c r="L3986" s="82"/>
      <c r="M3986" s="82"/>
      <c r="N3986" s="82"/>
      <c r="O3986" s="82"/>
      <c r="P3986" s="82"/>
      <c r="Q3986" s="82"/>
      <c r="R3986" s="82"/>
      <c r="S3986" s="82"/>
      <c r="T3986" s="82"/>
      <c r="U3986" s="82"/>
      <c r="V3986" s="82"/>
      <c r="W3986" s="82"/>
      <c r="X3986" s="82"/>
      <c r="Y3986" s="82"/>
      <c r="Z3986" s="82"/>
      <c r="AA3986" s="82"/>
      <c r="AB3986" s="82"/>
      <c r="AC3986" s="82"/>
      <c r="AD3986" s="82"/>
      <c r="AE3986" s="82"/>
      <c r="AF3986" s="82"/>
      <c r="AG3986" s="82"/>
      <c r="AH3986" s="82"/>
      <c r="AI3986" s="82"/>
      <c r="AJ3986" s="82"/>
      <c r="AK3986" s="82"/>
      <c r="AL3986" s="82"/>
      <c r="AM3986" s="82"/>
      <c r="AN3986" s="82"/>
      <c r="AO3986" s="82"/>
      <c r="AP3986" s="82"/>
      <c r="AQ3986" s="82"/>
      <c r="AR3986" s="82"/>
      <c r="AS3986" s="82"/>
      <c r="AT3986" s="82"/>
      <c r="AU3986" s="82"/>
      <c r="AV3986" s="82"/>
      <c r="AW3986" s="82" t="str">
        <f t="shared" si="1"/>
        <v/>
      </c>
      <c r="AX3986" s="83" t="str">
        <f t="array" ref="AX3986">IFERROR(DGET('SBV Import'!A:G,"SBV",{"RSC ID","Tier";B3986,A3986}))</f>
        <v/>
      </c>
      <c r="AY3986" s="82" t="str">
        <f t="shared" si="2"/>
        <v/>
      </c>
      <c r="AZ3986" s="82"/>
      <c r="BA3986" s="84" t="s">
        <v>152</v>
      </c>
      <c r="BB3986" s="84" t="str">
        <f>IFERROR(__xludf.DUMMYFUNCTION("iferror(if(A3986="""",,E3986&gt;=FILTER(Constants!$F$2:$F$10,Constants!$A$2:$A$10=A3986)))"),"")</f>
        <v/>
      </c>
    </row>
    <row r="3987">
      <c r="A3987" s="89"/>
      <c r="B3987" s="87"/>
      <c r="C3987" s="73"/>
      <c r="D3987" s="73"/>
      <c r="E3987" s="82"/>
      <c r="F3987" s="82"/>
      <c r="G3987" s="86"/>
      <c r="H3987" s="86"/>
      <c r="I3987" s="86"/>
      <c r="J3987" s="82"/>
      <c r="K3987" s="82"/>
      <c r="L3987" s="82"/>
      <c r="M3987" s="82"/>
      <c r="N3987" s="82"/>
      <c r="O3987" s="82"/>
      <c r="P3987" s="82"/>
      <c r="Q3987" s="82"/>
      <c r="R3987" s="82"/>
      <c r="S3987" s="82"/>
      <c r="T3987" s="82"/>
      <c r="U3987" s="82"/>
      <c r="V3987" s="82"/>
      <c r="W3987" s="82"/>
      <c r="X3987" s="82"/>
      <c r="Y3987" s="82"/>
      <c r="Z3987" s="82"/>
      <c r="AA3987" s="82"/>
      <c r="AB3987" s="82"/>
      <c r="AC3987" s="82"/>
      <c r="AD3987" s="82"/>
      <c r="AE3987" s="82"/>
      <c r="AF3987" s="82"/>
      <c r="AG3987" s="82"/>
      <c r="AH3987" s="82"/>
      <c r="AI3987" s="82"/>
      <c r="AJ3987" s="82"/>
      <c r="AK3987" s="82"/>
      <c r="AL3987" s="82"/>
      <c r="AM3987" s="82"/>
      <c r="AN3987" s="82"/>
      <c r="AO3987" s="82"/>
      <c r="AP3987" s="82"/>
      <c r="AQ3987" s="82"/>
      <c r="AR3987" s="82"/>
      <c r="AS3987" s="82"/>
      <c r="AT3987" s="82"/>
      <c r="AU3987" s="82"/>
      <c r="AV3987" s="82"/>
      <c r="AW3987" s="82" t="str">
        <f t="shared" si="1"/>
        <v/>
      </c>
      <c r="AX3987" s="83" t="str">
        <f t="array" ref="AX3987">IFERROR(DGET('SBV Import'!A:G,"SBV",{"RSC ID","Tier";B3987,A3987}))</f>
        <v/>
      </c>
      <c r="AY3987" s="82" t="str">
        <f t="shared" si="2"/>
        <v/>
      </c>
      <c r="AZ3987" s="82"/>
      <c r="BA3987" s="84" t="s">
        <v>152</v>
      </c>
      <c r="BB3987" s="84" t="str">
        <f>IFERROR(__xludf.DUMMYFUNCTION("iferror(if(A3987="""",,E3987&gt;=FILTER(Constants!$F$2:$F$10,Constants!$A$2:$A$10=A3987)))"),"")</f>
        <v/>
      </c>
    </row>
    <row r="3988">
      <c r="A3988" s="89"/>
      <c r="B3988" s="87"/>
      <c r="C3988" s="73"/>
      <c r="D3988" s="73"/>
      <c r="E3988" s="82"/>
      <c r="F3988" s="82"/>
      <c r="G3988" s="86"/>
      <c r="H3988" s="86"/>
      <c r="I3988" s="86"/>
      <c r="J3988" s="82"/>
      <c r="K3988" s="82"/>
      <c r="L3988" s="82"/>
      <c r="M3988" s="82"/>
      <c r="N3988" s="82"/>
      <c r="O3988" s="82"/>
      <c r="P3988" s="82"/>
      <c r="Q3988" s="82"/>
      <c r="R3988" s="82"/>
      <c r="S3988" s="82"/>
      <c r="T3988" s="82"/>
      <c r="U3988" s="82"/>
      <c r="V3988" s="82"/>
      <c r="W3988" s="82"/>
      <c r="X3988" s="82"/>
      <c r="Y3988" s="82"/>
      <c r="Z3988" s="82"/>
      <c r="AA3988" s="82"/>
      <c r="AB3988" s="82"/>
      <c r="AC3988" s="82"/>
      <c r="AD3988" s="82"/>
      <c r="AE3988" s="82"/>
      <c r="AF3988" s="82"/>
      <c r="AG3988" s="82"/>
      <c r="AH3988" s="82"/>
      <c r="AI3988" s="82"/>
      <c r="AJ3988" s="82"/>
      <c r="AK3988" s="82"/>
      <c r="AL3988" s="82"/>
      <c r="AM3988" s="82"/>
      <c r="AN3988" s="82"/>
      <c r="AO3988" s="82"/>
      <c r="AP3988" s="82"/>
      <c r="AQ3988" s="82"/>
      <c r="AR3988" s="82"/>
      <c r="AS3988" s="82"/>
      <c r="AT3988" s="82"/>
      <c r="AU3988" s="82"/>
      <c r="AV3988" s="82"/>
      <c r="AW3988" s="82" t="str">
        <f t="shared" si="1"/>
        <v/>
      </c>
      <c r="AX3988" s="83" t="str">
        <f t="array" ref="AX3988">IFERROR(DGET('SBV Import'!A:G,"SBV",{"RSC ID","Tier";B3988,A3988}))</f>
        <v/>
      </c>
      <c r="AY3988" s="82" t="str">
        <f t="shared" si="2"/>
        <v/>
      </c>
      <c r="AZ3988" s="82"/>
      <c r="BA3988" s="84" t="s">
        <v>152</v>
      </c>
      <c r="BB3988" s="84" t="str">
        <f>IFERROR(__xludf.DUMMYFUNCTION("iferror(if(A3988="""",,E3988&gt;=FILTER(Constants!$F$2:$F$10,Constants!$A$2:$A$10=A3988)))"),"")</f>
        <v/>
      </c>
    </row>
    <row r="3989">
      <c r="A3989" s="89"/>
      <c r="B3989" s="87"/>
      <c r="C3989" s="73"/>
      <c r="D3989" s="73"/>
      <c r="E3989" s="82"/>
      <c r="F3989" s="82"/>
      <c r="G3989" s="86"/>
      <c r="H3989" s="86"/>
      <c r="I3989" s="86"/>
      <c r="J3989" s="82"/>
      <c r="K3989" s="82"/>
      <c r="L3989" s="82"/>
      <c r="M3989" s="82"/>
      <c r="N3989" s="82"/>
      <c r="O3989" s="82"/>
      <c r="P3989" s="82"/>
      <c r="Q3989" s="82"/>
      <c r="R3989" s="82"/>
      <c r="S3989" s="82"/>
      <c r="T3989" s="82"/>
      <c r="U3989" s="82"/>
      <c r="V3989" s="82"/>
      <c r="W3989" s="82"/>
      <c r="X3989" s="82"/>
      <c r="Y3989" s="82"/>
      <c r="Z3989" s="82"/>
      <c r="AA3989" s="82"/>
      <c r="AB3989" s="82"/>
      <c r="AC3989" s="82"/>
      <c r="AD3989" s="82"/>
      <c r="AE3989" s="82"/>
      <c r="AF3989" s="82"/>
      <c r="AG3989" s="82"/>
      <c r="AH3989" s="82"/>
      <c r="AI3989" s="82"/>
      <c r="AJ3989" s="82"/>
      <c r="AK3989" s="82"/>
      <c r="AL3989" s="82"/>
      <c r="AM3989" s="82"/>
      <c r="AN3989" s="82"/>
      <c r="AO3989" s="82"/>
      <c r="AP3989" s="82"/>
      <c r="AQ3989" s="82"/>
      <c r="AR3989" s="82"/>
      <c r="AS3989" s="82"/>
      <c r="AT3989" s="82"/>
      <c r="AU3989" s="82"/>
      <c r="AV3989" s="82"/>
      <c r="AW3989" s="82" t="str">
        <f t="shared" si="1"/>
        <v/>
      </c>
      <c r="AX3989" s="83" t="str">
        <f t="array" ref="AX3989">IFERROR(DGET('SBV Import'!A:G,"SBV",{"RSC ID","Tier";B3989,A3989}))</f>
        <v/>
      </c>
      <c r="AY3989" s="82" t="str">
        <f t="shared" si="2"/>
        <v/>
      </c>
      <c r="AZ3989" s="82"/>
      <c r="BA3989" s="84" t="s">
        <v>152</v>
      </c>
      <c r="BB3989" s="84" t="str">
        <f>IFERROR(__xludf.DUMMYFUNCTION("iferror(if(A3989="""",,E3989&gt;=FILTER(Constants!$F$2:$F$10,Constants!$A$2:$A$10=A3989)))"),"")</f>
        <v/>
      </c>
    </row>
    <row r="3990">
      <c r="A3990" s="89"/>
      <c r="B3990" s="87"/>
      <c r="C3990" s="73"/>
      <c r="D3990" s="73"/>
      <c r="E3990" s="82"/>
      <c r="F3990" s="82"/>
      <c r="G3990" s="86"/>
      <c r="H3990" s="86"/>
      <c r="I3990" s="86"/>
      <c r="J3990" s="82"/>
      <c r="K3990" s="82"/>
      <c r="L3990" s="82"/>
      <c r="M3990" s="82"/>
      <c r="N3990" s="82"/>
      <c r="O3990" s="82"/>
      <c r="P3990" s="82"/>
      <c r="Q3990" s="82"/>
      <c r="R3990" s="82"/>
      <c r="S3990" s="82"/>
      <c r="T3990" s="82"/>
      <c r="U3990" s="82"/>
      <c r="V3990" s="82"/>
      <c r="W3990" s="82"/>
      <c r="X3990" s="82"/>
      <c r="Y3990" s="82"/>
      <c r="Z3990" s="82"/>
      <c r="AA3990" s="82"/>
      <c r="AB3990" s="82"/>
      <c r="AC3990" s="82"/>
      <c r="AD3990" s="82"/>
      <c r="AE3990" s="82"/>
      <c r="AF3990" s="82"/>
      <c r="AG3990" s="82"/>
      <c r="AH3990" s="82"/>
      <c r="AI3990" s="82"/>
      <c r="AJ3990" s="82"/>
      <c r="AK3990" s="82"/>
      <c r="AL3990" s="82"/>
      <c r="AM3990" s="82"/>
      <c r="AN3990" s="82"/>
      <c r="AO3990" s="82"/>
      <c r="AP3990" s="82"/>
      <c r="AQ3990" s="82"/>
      <c r="AR3990" s="82"/>
      <c r="AS3990" s="82"/>
      <c r="AT3990" s="82"/>
      <c r="AU3990" s="82"/>
      <c r="AV3990" s="82"/>
      <c r="AW3990" s="82" t="str">
        <f t="shared" si="1"/>
        <v/>
      </c>
      <c r="AX3990" s="83" t="str">
        <f t="array" ref="AX3990">IFERROR(DGET('SBV Import'!A:G,"SBV",{"RSC ID","Tier";B3990,A3990}))</f>
        <v/>
      </c>
      <c r="AY3990" s="82" t="str">
        <f t="shared" si="2"/>
        <v/>
      </c>
      <c r="AZ3990" s="82"/>
      <c r="BA3990" s="84" t="s">
        <v>152</v>
      </c>
      <c r="BB3990" s="84" t="str">
        <f>IFERROR(__xludf.DUMMYFUNCTION("iferror(if(A3990="""",,E3990&gt;=FILTER(Constants!$F$2:$F$10,Constants!$A$2:$A$10=A3990)))"),"")</f>
        <v/>
      </c>
    </row>
    <row r="3991">
      <c r="A3991" s="89"/>
      <c r="B3991" s="87"/>
      <c r="C3991" s="73"/>
      <c r="D3991" s="73"/>
      <c r="E3991" s="82"/>
      <c r="F3991" s="82"/>
      <c r="G3991" s="86"/>
      <c r="H3991" s="86"/>
      <c r="I3991" s="86"/>
      <c r="J3991" s="82"/>
      <c r="K3991" s="82"/>
      <c r="L3991" s="82"/>
      <c r="M3991" s="82"/>
      <c r="N3991" s="82"/>
      <c r="O3991" s="82"/>
      <c r="P3991" s="82"/>
      <c r="Q3991" s="82"/>
      <c r="R3991" s="82"/>
      <c r="S3991" s="82"/>
      <c r="T3991" s="82"/>
      <c r="U3991" s="82"/>
      <c r="V3991" s="82"/>
      <c r="W3991" s="82"/>
      <c r="X3991" s="82"/>
      <c r="Y3991" s="82"/>
      <c r="Z3991" s="82"/>
      <c r="AA3991" s="82"/>
      <c r="AB3991" s="82"/>
      <c r="AC3991" s="82"/>
      <c r="AD3991" s="82"/>
      <c r="AE3991" s="82"/>
      <c r="AF3991" s="82"/>
      <c r="AG3991" s="82"/>
      <c r="AH3991" s="82"/>
      <c r="AI3991" s="82"/>
      <c r="AJ3991" s="82"/>
      <c r="AK3991" s="82"/>
      <c r="AL3991" s="82"/>
      <c r="AM3991" s="82"/>
      <c r="AN3991" s="82"/>
      <c r="AO3991" s="82"/>
      <c r="AP3991" s="82"/>
      <c r="AQ3991" s="82"/>
      <c r="AR3991" s="82"/>
      <c r="AS3991" s="82"/>
      <c r="AT3991" s="82"/>
      <c r="AU3991" s="82"/>
      <c r="AV3991" s="82"/>
      <c r="AW3991" s="82" t="str">
        <f t="shared" si="1"/>
        <v/>
      </c>
      <c r="AX3991" s="83" t="str">
        <f t="array" ref="AX3991">IFERROR(DGET('SBV Import'!A:G,"SBV",{"RSC ID","Tier";B3991,A3991}))</f>
        <v/>
      </c>
      <c r="AY3991" s="82" t="str">
        <f t="shared" si="2"/>
        <v/>
      </c>
      <c r="AZ3991" s="82"/>
      <c r="BA3991" s="84" t="s">
        <v>152</v>
      </c>
      <c r="BB3991" s="84" t="str">
        <f>IFERROR(__xludf.DUMMYFUNCTION("iferror(if(A3991="""",,E3991&gt;=FILTER(Constants!$F$2:$F$10,Constants!$A$2:$A$10=A3991)))"),"")</f>
        <v/>
      </c>
    </row>
    <row r="3992">
      <c r="A3992" s="89"/>
      <c r="B3992" s="87"/>
      <c r="C3992" s="73"/>
      <c r="D3992" s="73"/>
      <c r="E3992" s="82"/>
      <c r="F3992" s="82"/>
      <c r="G3992" s="86"/>
      <c r="H3992" s="86"/>
      <c r="I3992" s="86"/>
      <c r="J3992" s="82"/>
      <c r="K3992" s="82"/>
      <c r="L3992" s="82"/>
      <c r="M3992" s="82"/>
      <c r="N3992" s="82"/>
      <c r="O3992" s="82"/>
      <c r="P3992" s="82"/>
      <c r="Q3992" s="82"/>
      <c r="R3992" s="82"/>
      <c r="S3992" s="82"/>
      <c r="T3992" s="82"/>
      <c r="U3992" s="82"/>
      <c r="V3992" s="82"/>
      <c r="W3992" s="82"/>
      <c r="X3992" s="82"/>
      <c r="Y3992" s="82"/>
      <c r="Z3992" s="82"/>
      <c r="AA3992" s="82"/>
      <c r="AB3992" s="82"/>
      <c r="AC3992" s="82"/>
      <c r="AD3992" s="82"/>
      <c r="AE3992" s="82"/>
      <c r="AF3992" s="82"/>
      <c r="AG3992" s="82"/>
      <c r="AH3992" s="82"/>
      <c r="AI3992" s="82"/>
      <c r="AJ3992" s="82"/>
      <c r="AK3992" s="82"/>
      <c r="AL3992" s="82"/>
      <c r="AM3992" s="82"/>
      <c r="AN3992" s="82"/>
      <c r="AO3992" s="82"/>
      <c r="AP3992" s="82"/>
      <c r="AQ3992" s="82"/>
      <c r="AR3992" s="82"/>
      <c r="AS3992" s="82"/>
      <c r="AT3992" s="82"/>
      <c r="AU3992" s="82"/>
      <c r="AV3992" s="82"/>
      <c r="AW3992" s="82" t="str">
        <f t="shared" si="1"/>
        <v/>
      </c>
      <c r="AX3992" s="83" t="str">
        <f t="array" ref="AX3992">IFERROR(DGET('SBV Import'!A:G,"SBV",{"RSC ID","Tier";B3992,A3992}))</f>
        <v/>
      </c>
      <c r="AY3992" s="82" t="str">
        <f t="shared" si="2"/>
        <v/>
      </c>
      <c r="AZ3992" s="82"/>
      <c r="BA3992" s="84" t="s">
        <v>152</v>
      </c>
      <c r="BB3992" s="84" t="str">
        <f>IFERROR(__xludf.DUMMYFUNCTION("iferror(if(A3992="""",,E3992&gt;=FILTER(Constants!$F$2:$F$10,Constants!$A$2:$A$10=A3992)))"),"")</f>
        <v/>
      </c>
    </row>
    <row r="3993">
      <c r="A3993" s="89"/>
      <c r="B3993" s="87"/>
      <c r="C3993" s="73"/>
      <c r="D3993" s="73"/>
      <c r="E3993" s="82"/>
      <c r="F3993" s="82"/>
      <c r="G3993" s="86"/>
      <c r="H3993" s="86"/>
      <c r="I3993" s="86"/>
      <c r="J3993" s="82"/>
      <c r="K3993" s="82"/>
      <c r="L3993" s="82"/>
      <c r="M3993" s="82"/>
      <c r="N3993" s="82"/>
      <c r="O3993" s="82"/>
      <c r="P3993" s="82"/>
      <c r="Q3993" s="82"/>
      <c r="R3993" s="82"/>
      <c r="S3993" s="82"/>
      <c r="T3993" s="82"/>
      <c r="U3993" s="82"/>
      <c r="V3993" s="82"/>
      <c r="W3993" s="82"/>
      <c r="X3993" s="82"/>
      <c r="Y3993" s="82"/>
      <c r="Z3993" s="82"/>
      <c r="AA3993" s="82"/>
      <c r="AB3993" s="82"/>
      <c r="AC3993" s="82"/>
      <c r="AD3993" s="82"/>
      <c r="AE3993" s="82"/>
      <c r="AF3993" s="82"/>
      <c r="AG3993" s="82"/>
      <c r="AH3993" s="82"/>
      <c r="AI3993" s="82"/>
      <c r="AJ3993" s="82"/>
      <c r="AK3993" s="82"/>
      <c r="AL3993" s="82"/>
      <c r="AM3993" s="82"/>
      <c r="AN3993" s="82"/>
      <c r="AO3993" s="82"/>
      <c r="AP3993" s="82"/>
      <c r="AQ3993" s="82"/>
      <c r="AR3993" s="82"/>
      <c r="AS3993" s="82"/>
      <c r="AT3993" s="82"/>
      <c r="AU3993" s="82"/>
      <c r="AV3993" s="82"/>
      <c r="AW3993" s="82" t="str">
        <f t="shared" si="1"/>
        <v/>
      </c>
      <c r="AX3993" s="83" t="str">
        <f t="array" ref="AX3993">IFERROR(DGET('SBV Import'!A:G,"SBV",{"RSC ID","Tier";B3993,A3993}))</f>
        <v/>
      </c>
      <c r="AY3993" s="82" t="str">
        <f t="shared" si="2"/>
        <v/>
      </c>
      <c r="AZ3993" s="82"/>
      <c r="BA3993" s="84" t="s">
        <v>152</v>
      </c>
      <c r="BB3993" s="84" t="str">
        <f>IFERROR(__xludf.DUMMYFUNCTION("iferror(if(A3993="""",,E3993&gt;=FILTER(Constants!$F$2:$F$10,Constants!$A$2:$A$10=A3993)))"),"")</f>
        <v/>
      </c>
    </row>
    <row r="3994">
      <c r="A3994" s="89"/>
      <c r="B3994" s="87"/>
      <c r="C3994" s="73"/>
      <c r="D3994" s="73"/>
      <c r="E3994" s="82"/>
      <c r="F3994" s="82"/>
      <c r="G3994" s="86"/>
      <c r="H3994" s="86"/>
      <c r="I3994" s="86"/>
      <c r="J3994" s="82"/>
      <c r="K3994" s="82"/>
      <c r="L3994" s="82"/>
      <c r="M3994" s="82"/>
      <c r="N3994" s="82"/>
      <c r="O3994" s="82"/>
      <c r="P3994" s="82"/>
      <c r="Q3994" s="82"/>
      <c r="R3994" s="82"/>
      <c r="S3994" s="82"/>
      <c r="T3994" s="82"/>
      <c r="U3994" s="82"/>
      <c r="V3994" s="82"/>
      <c r="W3994" s="82"/>
      <c r="X3994" s="82"/>
      <c r="Y3994" s="82"/>
      <c r="Z3994" s="82"/>
      <c r="AA3994" s="82"/>
      <c r="AB3994" s="82"/>
      <c r="AC3994" s="82"/>
      <c r="AD3994" s="82"/>
      <c r="AE3994" s="82"/>
      <c r="AF3994" s="82"/>
      <c r="AG3994" s="82"/>
      <c r="AH3994" s="82"/>
      <c r="AI3994" s="82"/>
      <c r="AJ3994" s="82"/>
      <c r="AK3994" s="82"/>
      <c r="AL3994" s="82"/>
      <c r="AM3994" s="82"/>
      <c r="AN3994" s="82"/>
      <c r="AO3994" s="82"/>
      <c r="AP3994" s="82"/>
      <c r="AQ3994" s="82"/>
      <c r="AR3994" s="82"/>
      <c r="AS3994" s="82"/>
      <c r="AT3994" s="82"/>
      <c r="AU3994" s="82"/>
      <c r="AV3994" s="82"/>
      <c r="AW3994" s="82" t="str">
        <f t="shared" si="1"/>
        <v/>
      </c>
      <c r="AX3994" s="83" t="str">
        <f t="array" ref="AX3994">IFERROR(DGET('SBV Import'!A:G,"SBV",{"RSC ID","Tier";B3994,A3994}))</f>
        <v/>
      </c>
      <c r="AY3994" s="82" t="str">
        <f t="shared" si="2"/>
        <v/>
      </c>
      <c r="AZ3994" s="82"/>
      <c r="BA3994" s="84" t="s">
        <v>152</v>
      </c>
      <c r="BB3994" s="84" t="str">
        <f>IFERROR(__xludf.DUMMYFUNCTION("iferror(if(A3994="""",,E3994&gt;=FILTER(Constants!$F$2:$F$10,Constants!$A$2:$A$10=A3994)))"),"")</f>
        <v/>
      </c>
    </row>
    <row r="3995">
      <c r="A3995" s="89"/>
      <c r="B3995" s="87"/>
      <c r="C3995" s="73"/>
      <c r="D3995" s="73"/>
      <c r="E3995" s="82"/>
      <c r="F3995" s="82"/>
      <c r="G3995" s="86"/>
      <c r="H3995" s="86"/>
      <c r="I3995" s="86"/>
      <c r="J3995" s="82"/>
      <c r="K3995" s="82"/>
      <c r="L3995" s="82"/>
      <c r="M3995" s="82"/>
      <c r="N3995" s="82"/>
      <c r="O3995" s="82"/>
      <c r="P3995" s="82"/>
      <c r="Q3995" s="82"/>
      <c r="R3995" s="82"/>
      <c r="S3995" s="82"/>
      <c r="T3995" s="82"/>
      <c r="U3995" s="82"/>
      <c r="V3995" s="82"/>
      <c r="W3995" s="82"/>
      <c r="X3995" s="82"/>
      <c r="Y3995" s="82"/>
      <c r="Z3995" s="82"/>
      <c r="AA3995" s="82"/>
      <c r="AB3995" s="82"/>
      <c r="AC3995" s="82"/>
      <c r="AD3995" s="82"/>
      <c r="AE3995" s="82"/>
      <c r="AF3995" s="82"/>
      <c r="AG3995" s="82"/>
      <c r="AH3995" s="82"/>
      <c r="AI3995" s="82"/>
      <c r="AJ3995" s="82"/>
      <c r="AK3995" s="82"/>
      <c r="AL3995" s="82"/>
      <c r="AM3995" s="82"/>
      <c r="AN3995" s="82"/>
      <c r="AO3995" s="82"/>
      <c r="AP3995" s="82"/>
      <c r="AQ3995" s="82"/>
      <c r="AR3995" s="82"/>
      <c r="AS3995" s="82"/>
      <c r="AT3995" s="82"/>
      <c r="AU3995" s="82"/>
      <c r="AV3995" s="82"/>
      <c r="AW3995" s="82" t="str">
        <f t="shared" si="1"/>
        <v/>
      </c>
      <c r="AX3995" s="83" t="str">
        <f t="array" ref="AX3995">IFERROR(DGET('SBV Import'!A:G,"SBV",{"RSC ID","Tier";B3995,A3995}))</f>
        <v/>
      </c>
      <c r="AY3995" s="82" t="str">
        <f t="shared" si="2"/>
        <v/>
      </c>
      <c r="AZ3995" s="82"/>
      <c r="BA3995" s="84" t="s">
        <v>152</v>
      </c>
      <c r="BB3995" s="84" t="str">
        <f>IFERROR(__xludf.DUMMYFUNCTION("iferror(if(A3995="""",,E3995&gt;=FILTER(Constants!$F$2:$F$10,Constants!$A$2:$A$10=A3995)))"),"")</f>
        <v/>
      </c>
    </row>
    <row r="3996">
      <c r="A3996" s="89"/>
      <c r="B3996" s="87"/>
      <c r="C3996" s="73"/>
      <c r="D3996" s="73"/>
      <c r="E3996" s="82"/>
      <c r="F3996" s="82"/>
      <c r="G3996" s="86"/>
      <c r="H3996" s="86"/>
      <c r="I3996" s="86"/>
      <c r="J3996" s="82"/>
      <c r="K3996" s="82"/>
      <c r="L3996" s="82"/>
      <c r="M3996" s="82"/>
      <c r="N3996" s="82"/>
      <c r="O3996" s="82"/>
      <c r="P3996" s="82"/>
      <c r="Q3996" s="82"/>
      <c r="R3996" s="82"/>
      <c r="S3996" s="82"/>
      <c r="T3996" s="82"/>
      <c r="U3996" s="82"/>
      <c r="V3996" s="82"/>
      <c r="W3996" s="82"/>
      <c r="X3996" s="82"/>
      <c r="Y3996" s="82"/>
      <c r="Z3996" s="82"/>
      <c r="AA3996" s="82"/>
      <c r="AB3996" s="82"/>
      <c r="AC3996" s="82"/>
      <c r="AD3996" s="82"/>
      <c r="AE3996" s="82"/>
      <c r="AF3996" s="82"/>
      <c r="AG3996" s="82"/>
      <c r="AH3996" s="82"/>
      <c r="AI3996" s="82"/>
      <c r="AJ3996" s="82"/>
      <c r="AK3996" s="82"/>
      <c r="AL3996" s="82"/>
      <c r="AM3996" s="82"/>
      <c r="AN3996" s="82"/>
      <c r="AO3996" s="82"/>
      <c r="AP3996" s="82"/>
      <c r="AQ3996" s="82"/>
      <c r="AR3996" s="82"/>
      <c r="AS3996" s="82"/>
      <c r="AT3996" s="82"/>
      <c r="AU3996" s="82"/>
      <c r="AV3996" s="82"/>
      <c r="AW3996" s="82" t="str">
        <f t="shared" si="1"/>
        <v/>
      </c>
      <c r="AX3996" s="83" t="str">
        <f t="array" ref="AX3996">IFERROR(DGET('SBV Import'!A:G,"SBV",{"RSC ID","Tier";B3996,A3996}))</f>
        <v/>
      </c>
      <c r="AY3996" s="82" t="str">
        <f t="shared" si="2"/>
        <v/>
      </c>
      <c r="AZ3996" s="82"/>
      <c r="BA3996" s="84" t="s">
        <v>152</v>
      </c>
      <c r="BB3996" s="84" t="str">
        <f>IFERROR(__xludf.DUMMYFUNCTION("iferror(if(A3996="""",,E3996&gt;=FILTER(Constants!$F$2:$F$10,Constants!$A$2:$A$10=A3996)))"),"")</f>
        <v/>
      </c>
    </row>
    <row r="3997">
      <c r="A3997" s="89"/>
      <c r="B3997" s="87"/>
      <c r="C3997" s="73"/>
      <c r="D3997" s="73"/>
      <c r="E3997" s="82"/>
      <c r="F3997" s="82"/>
      <c r="G3997" s="86"/>
      <c r="H3997" s="86"/>
      <c r="I3997" s="86"/>
      <c r="J3997" s="82"/>
      <c r="K3997" s="82"/>
      <c r="L3997" s="82"/>
      <c r="M3997" s="82"/>
      <c r="N3997" s="82"/>
      <c r="O3997" s="82"/>
      <c r="P3997" s="82"/>
      <c r="Q3997" s="82"/>
      <c r="R3997" s="82"/>
      <c r="S3997" s="82"/>
      <c r="T3997" s="82"/>
      <c r="U3997" s="82"/>
      <c r="V3997" s="82"/>
      <c r="W3997" s="82"/>
      <c r="X3997" s="82"/>
      <c r="Y3997" s="82"/>
      <c r="Z3997" s="82"/>
      <c r="AA3997" s="82"/>
      <c r="AB3997" s="82"/>
      <c r="AC3997" s="82"/>
      <c r="AD3997" s="82"/>
      <c r="AE3997" s="82"/>
      <c r="AF3997" s="82"/>
      <c r="AG3997" s="82"/>
      <c r="AH3997" s="82"/>
      <c r="AI3997" s="82"/>
      <c r="AJ3997" s="82"/>
      <c r="AK3997" s="82"/>
      <c r="AL3997" s="82"/>
      <c r="AM3997" s="82"/>
      <c r="AN3997" s="82"/>
      <c r="AO3997" s="82"/>
      <c r="AP3997" s="82"/>
      <c r="AQ3997" s="82"/>
      <c r="AR3997" s="82"/>
      <c r="AS3997" s="82"/>
      <c r="AT3997" s="82"/>
      <c r="AU3997" s="82"/>
      <c r="AV3997" s="82"/>
      <c r="AW3997" s="82" t="str">
        <f t="shared" si="1"/>
        <v/>
      </c>
      <c r="AX3997" s="83" t="str">
        <f t="array" ref="AX3997">IFERROR(DGET('SBV Import'!A:G,"SBV",{"RSC ID","Tier";B3997,A3997}))</f>
        <v/>
      </c>
      <c r="AY3997" s="82" t="str">
        <f t="shared" si="2"/>
        <v/>
      </c>
      <c r="AZ3997" s="82"/>
      <c r="BA3997" s="84" t="s">
        <v>152</v>
      </c>
      <c r="BB3997" s="84" t="str">
        <f>IFERROR(__xludf.DUMMYFUNCTION("iferror(if(A3997="""",,E3997&gt;=FILTER(Constants!$F$2:$F$10,Constants!$A$2:$A$10=A3997)))"),"")</f>
        <v/>
      </c>
    </row>
    <row r="3998">
      <c r="A3998" s="89"/>
      <c r="B3998" s="87"/>
      <c r="C3998" s="73"/>
      <c r="D3998" s="73"/>
      <c r="E3998" s="82"/>
      <c r="F3998" s="82"/>
      <c r="G3998" s="86"/>
      <c r="H3998" s="86"/>
      <c r="I3998" s="86"/>
      <c r="J3998" s="82"/>
      <c r="K3998" s="82"/>
      <c r="L3998" s="82"/>
      <c r="M3998" s="82"/>
      <c r="N3998" s="82"/>
      <c r="O3998" s="82"/>
      <c r="P3998" s="82"/>
      <c r="Q3998" s="82"/>
      <c r="R3998" s="82"/>
      <c r="S3998" s="82"/>
      <c r="T3998" s="82"/>
      <c r="U3998" s="82"/>
      <c r="V3998" s="82"/>
      <c r="W3998" s="82"/>
      <c r="X3998" s="82"/>
      <c r="Y3998" s="82"/>
      <c r="Z3998" s="82"/>
      <c r="AA3998" s="82"/>
      <c r="AB3998" s="82"/>
      <c r="AC3998" s="82"/>
      <c r="AD3998" s="82"/>
      <c r="AE3998" s="82"/>
      <c r="AF3998" s="82"/>
      <c r="AG3998" s="82"/>
      <c r="AH3998" s="82"/>
      <c r="AI3998" s="82"/>
      <c r="AJ3998" s="82"/>
      <c r="AK3998" s="82"/>
      <c r="AL3998" s="82"/>
      <c r="AM3998" s="82"/>
      <c r="AN3998" s="82"/>
      <c r="AO3998" s="82"/>
      <c r="AP3998" s="82"/>
      <c r="AQ3998" s="82"/>
      <c r="AR3998" s="82"/>
      <c r="AS3998" s="82"/>
      <c r="AT3998" s="82"/>
      <c r="AU3998" s="82"/>
      <c r="AV3998" s="82"/>
      <c r="AW3998" s="82" t="str">
        <f t="shared" si="1"/>
        <v/>
      </c>
      <c r="AX3998" s="83" t="str">
        <f t="array" ref="AX3998">IFERROR(DGET('SBV Import'!A:G,"SBV",{"RSC ID","Tier";B3998,A3998}))</f>
        <v/>
      </c>
      <c r="AY3998" s="82" t="str">
        <f t="shared" si="2"/>
        <v/>
      </c>
      <c r="AZ3998" s="82"/>
      <c r="BA3998" s="84" t="s">
        <v>152</v>
      </c>
      <c r="BB3998" s="84" t="str">
        <f>IFERROR(__xludf.DUMMYFUNCTION("iferror(if(A3998="""",,E3998&gt;=FILTER(Constants!$F$2:$F$10,Constants!$A$2:$A$10=A3998)))"),"")</f>
        <v/>
      </c>
    </row>
    <row r="3999">
      <c r="A3999" s="89"/>
      <c r="B3999" s="87"/>
      <c r="C3999" s="73"/>
      <c r="D3999" s="73"/>
      <c r="E3999" s="82"/>
      <c r="F3999" s="82"/>
      <c r="G3999" s="86"/>
      <c r="H3999" s="86"/>
      <c r="I3999" s="86"/>
      <c r="J3999" s="82"/>
      <c r="K3999" s="82"/>
      <c r="L3999" s="82"/>
      <c r="M3999" s="82"/>
      <c r="N3999" s="82"/>
      <c r="O3999" s="82"/>
      <c r="P3999" s="82"/>
      <c r="Q3999" s="82"/>
      <c r="R3999" s="82"/>
      <c r="S3999" s="82"/>
      <c r="T3999" s="82"/>
      <c r="U3999" s="82"/>
      <c r="V3999" s="82"/>
      <c r="W3999" s="82"/>
      <c r="X3999" s="82"/>
      <c r="Y3999" s="82"/>
      <c r="Z3999" s="82"/>
      <c r="AA3999" s="82"/>
      <c r="AB3999" s="82"/>
      <c r="AC3999" s="82"/>
      <c r="AD3999" s="82"/>
      <c r="AE3999" s="82"/>
      <c r="AF3999" s="82"/>
      <c r="AG3999" s="82"/>
      <c r="AH3999" s="82"/>
      <c r="AI3999" s="82"/>
      <c r="AJ3999" s="82"/>
      <c r="AK3999" s="82"/>
      <c r="AL3999" s="82"/>
      <c r="AM3999" s="82"/>
      <c r="AN3999" s="82"/>
      <c r="AO3999" s="82"/>
      <c r="AP3999" s="82"/>
      <c r="AQ3999" s="82"/>
      <c r="AR3999" s="82"/>
      <c r="AS3999" s="82"/>
      <c r="AT3999" s="82"/>
      <c r="AU3999" s="82"/>
      <c r="AV3999" s="82"/>
      <c r="AW3999" s="82" t="str">
        <f t="shared" si="1"/>
        <v/>
      </c>
      <c r="AX3999" s="83" t="str">
        <f t="array" ref="AX3999">IFERROR(DGET('SBV Import'!A:G,"SBV",{"RSC ID","Tier";B3999,A3999}))</f>
        <v/>
      </c>
      <c r="AY3999" s="82" t="str">
        <f t="shared" si="2"/>
        <v/>
      </c>
      <c r="AZ3999" s="82"/>
      <c r="BA3999" s="84" t="s">
        <v>152</v>
      </c>
      <c r="BB3999" s="84" t="str">
        <f>IFERROR(__xludf.DUMMYFUNCTION("iferror(if(A3999="""",,E3999&gt;=FILTER(Constants!$F$2:$F$10,Constants!$A$2:$A$10=A3999)))"),"")</f>
        <v/>
      </c>
    </row>
    <row r="4000">
      <c r="A4000" s="90" t="str">
        <f>IFERROR(__xludf.DUMMYFUNCTION("QUERY(IMPORTRANGE(Constants!$B10, ""'Player Stats'!A2:AV""), ""Select * order by Col48 desc"")"),"Amateur")</f>
        <v>Amateur</v>
      </c>
      <c r="B4000" s="87" t="str">
        <f>IFERROR(__xludf.DUMMYFUNCTION("""COMPUTED_VALUE"""),"RSC007179")</f>
        <v>RSC007179</v>
      </c>
      <c r="C4000" s="73" t="str">
        <f>IFERROR(__xludf.DUMMYFUNCTION("""COMPUTED_VALUE"""),"B0A._.")</f>
        <v>B0A._.</v>
      </c>
      <c r="D4000" s="73" t="str">
        <f>IFERROR(__xludf.DUMMYFUNCTION("""COMPUTED_VALUE"""),"Aeon Ale")</f>
        <v>Aeon Ale</v>
      </c>
      <c r="E4000" s="82">
        <f>IFERROR(__xludf.DUMMYFUNCTION("""COMPUTED_VALUE"""),12.0)</f>
        <v>12</v>
      </c>
      <c r="F4000" s="82">
        <f>IFERROR(__xludf.DUMMYFUNCTION("""COMPUTED_VALUE"""),8.0)</f>
        <v>8</v>
      </c>
      <c r="G4000" s="86">
        <f>IFERROR(__xludf.DUMMYFUNCTION("""COMPUTED_VALUE"""),4.0)</f>
        <v>4</v>
      </c>
      <c r="H4000" s="86">
        <f>IFERROR(__xludf.DUMMYFUNCTION("""COMPUTED_VALUE"""),0.6666666666666666)</f>
        <v>0.6666666667</v>
      </c>
      <c r="I4000" s="86">
        <f>IFERROR(__xludf.DUMMYFUNCTION("""COMPUTED_VALUE"""),0.46875)</f>
        <v>0.46875</v>
      </c>
      <c r="J4000" s="82">
        <f>IFERROR(__xludf.DUMMYFUNCTION("""COMPUTED_VALUE"""),399.1666666666667)</f>
        <v>399.1666667</v>
      </c>
      <c r="K4000" s="82">
        <f>IFERROR(__xludf.DUMMYFUNCTION("""COMPUTED_VALUE"""),1.25)</f>
        <v>1.25</v>
      </c>
      <c r="L4000" s="82">
        <f>IFERROR(__xludf.DUMMYFUNCTION("""COMPUTED_VALUE"""),1.0833333333333333)</f>
        <v>1.083333333</v>
      </c>
      <c r="M4000" s="82">
        <f>IFERROR(__xludf.DUMMYFUNCTION("""COMPUTED_VALUE"""),0.8333333333333334)</f>
        <v>0.8333333333</v>
      </c>
      <c r="N4000" s="82">
        <f>IFERROR(__xludf.DUMMYFUNCTION("""COMPUTED_VALUE"""),2.6666666666666665)</f>
        <v>2.666666667</v>
      </c>
      <c r="O4000" s="82">
        <f>IFERROR(__xludf.DUMMYFUNCTION("""COMPUTED_VALUE"""),297.5)</f>
        <v>297.5</v>
      </c>
      <c r="P4000" s="82">
        <f>IFERROR(__xludf.DUMMYFUNCTION("""COMPUTED_VALUE"""),0.7222222222222222)</f>
        <v>0.7222222222</v>
      </c>
      <c r="Q4000" s="82">
        <f>IFERROR(__xludf.DUMMYFUNCTION("""COMPUTED_VALUE"""),0.4166666666666667)</f>
        <v>0.4166666667</v>
      </c>
      <c r="R4000" s="82">
        <f>IFERROR(__xludf.DUMMYFUNCTION("""COMPUTED_VALUE"""),1.0555555555555554)</f>
        <v>1.055555556</v>
      </c>
      <c r="S4000" s="82">
        <f>IFERROR(__xludf.DUMMYFUNCTION("""COMPUTED_VALUE"""),1.8888888888888893)</f>
        <v>1.888888889</v>
      </c>
      <c r="T4000" s="82">
        <f>IFERROR(__xludf.DUMMYFUNCTION("""COMPUTED_VALUE"""),275.9467919098633)</f>
        <v>275.9467919</v>
      </c>
      <c r="U4000" s="82">
        <f>IFERROR(__xludf.DUMMYFUNCTION("""COMPUTED_VALUE"""),0.6698919409023657)</f>
        <v>0.6698919409</v>
      </c>
      <c r="V4000" s="82">
        <f>IFERROR(__xludf.DUMMYFUNCTION("""COMPUTED_VALUE"""),0.39269646418804394)</f>
        <v>0.3926964642</v>
      </c>
      <c r="W4000" s="82">
        <f>IFERROR(__xludf.DUMMYFUNCTION("""COMPUTED_VALUE"""),0.8820794163215977)</f>
        <v>0.8820794163</v>
      </c>
      <c r="X4000" s="82">
        <f>IFERROR(__xludf.DUMMYFUNCTION("""COMPUTED_VALUE"""),1.8548274425980926)</f>
        <v>1.854827443</v>
      </c>
      <c r="Y4000" s="82">
        <f>IFERROR(__xludf.DUMMYFUNCTION("""COMPUTED_VALUE"""),316.9854641738462)</f>
        <v>316.9854642</v>
      </c>
      <c r="Z4000" s="82">
        <f>IFERROR(__xludf.DUMMYFUNCTION("""COMPUTED_VALUE"""),0.9512453752797243)</f>
        <v>0.9512453753</v>
      </c>
      <c r="AA4000" s="82">
        <f>IFERROR(__xludf.DUMMYFUNCTION("""COMPUTED_VALUE"""),0.5304993822101547)</f>
        <v>0.5304993822</v>
      </c>
      <c r="AB4000" s="82">
        <f>IFERROR(__xludf.DUMMYFUNCTION("""COMPUTED_VALUE"""),0.833712937913018)</f>
        <v>0.8337129379</v>
      </c>
      <c r="AC4000" s="82">
        <f>IFERROR(__xludf.DUMMYFUNCTION("""COMPUTED_VALUE"""),2.2665421581052425)</f>
        <v>2.266542158</v>
      </c>
      <c r="AD4000" s="82">
        <f>IFERROR(__xludf.DUMMYFUNCTION("""COMPUTED_VALUE"""),1.259258583692498)</f>
        <v>1.259258584</v>
      </c>
      <c r="AE4000" s="82">
        <f>IFERROR(__xludf.DUMMYFUNCTION("""COMPUTED_VALUE"""),1.3140668354181733)</f>
        <v>1.314066835</v>
      </c>
      <c r="AF4000" s="82">
        <f>IFERROR(__xludf.DUMMYFUNCTION("""COMPUTED_VALUE"""),2.0421010271868254)</f>
        <v>2.042101027</v>
      </c>
      <c r="AG4000" s="82">
        <f>IFERROR(__xludf.DUMMYFUNCTION("""COMPUTED_VALUE"""),0.9995446819133754)</f>
        <v>0.9995446819</v>
      </c>
      <c r="AH4000" s="82">
        <f>IFERROR(__xludf.DUMMYFUNCTION("""COMPUTED_VALUE"""),1.1765352156061)</f>
        <v>1.176535216</v>
      </c>
      <c r="AI4000" s="82">
        <f>IFERROR(__xludf.DUMMYFUNCTION("""COMPUTED_VALUE"""),1.0781063912392828)</f>
        <v>1.078106391</v>
      </c>
      <c r="AJ4000" s="82">
        <f>IFERROR(__xludf.DUMMYFUNCTION("""COMPUTED_VALUE"""),1.0781174964567657)</f>
        <v>1.078117496</v>
      </c>
      <c r="AK4000" s="82">
        <f>IFERROR(__xludf.DUMMYFUNCTION("""COMPUTED_VALUE"""),1.061040026240584)</f>
        <v>1.061040026</v>
      </c>
      <c r="AL4000" s="82">
        <f>IFERROR(__xludf.DUMMYFUNCTION("""COMPUTED_VALUE"""),1.1966672569657946)</f>
        <v>1.196667257</v>
      </c>
      <c r="AM4000" s="82">
        <f>IFERROR(__xludf.DUMMYFUNCTION("""COMPUTED_VALUE"""),1.0183636738968485)</f>
        <v>1.018363674</v>
      </c>
      <c r="AN4000" s="82">
        <f>IFERROR(__xludf.DUMMYFUNCTION("""COMPUTED_VALUE"""),1.4381237426842406)</f>
        <v>1.438123743</v>
      </c>
      <c r="AO4000" s="82">
        <f>IFERROR(__xludf.DUMMYFUNCTION("""COMPUTED_VALUE"""),1.7200329654756152)</f>
        <v>1.720032965</v>
      </c>
      <c r="AP4000" s="82">
        <f>IFERROR(__xludf.DUMMYFUNCTION("""COMPUTED_VALUE"""),2.5947667362444657)</f>
        <v>2.594766736</v>
      </c>
      <c r="AQ4000" s="82">
        <f>IFERROR(__xludf.DUMMYFUNCTION("""COMPUTED_VALUE"""),1.0374855068028361)</f>
        <v>1.037485507</v>
      </c>
      <c r="AR4000" s="82">
        <f>IFERROR(__xludf.DUMMYFUNCTION("""COMPUTED_VALUE"""),1.3796873008072295)</f>
        <v>1.379687301</v>
      </c>
      <c r="AS4000" s="82">
        <f>IFERROR(__xludf.DUMMYFUNCTION("""COMPUTED_VALUE"""),88.0)</f>
        <v>88</v>
      </c>
      <c r="AT4000" s="82">
        <f>IFERROR(__xludf.DUMMYFUNCTION("""COMPUTED_VALUE"""),0.9110450321764667)</f>
        <v>0.9110450322</v>
      </c>
      <c r="AU4000" s="82">
        <f>IFERROR(__xludf.DUMMYFUNCTION("""COMPUTED_VALUE"""),4.095845184190975)</f>
        <v>4.095845184</v>
      </c>
      <c r="AV4000" s="82">
        <f>IFERROR(__xludf.DUMMYFUNCTION("""COMPUTED_VALUE"""),91.44742993238914)</f>
        <v>91.44742993</v>
      </c>
      <c r="AW4000" s="82">
        <f t="shared" si="1"/>
        <v>20.54691407</v>
      </c>
      <c r="AX4000" s="83">
        <f t="array" ref="AX4000">IFERROR(DGET('SBV Import'!A:G,"SBV",{"RSC ID","Tier";B4000,A4000}))</f>
        <v>91.92681894</v>
      </c>
      <c r="AY4000" s="82">
        <f t="shared" si="2"/>
        <v>21.38391222</v>
      </c>
      <c r="AZ4000" s="82">
        <v>0.8369981556292245</v>
      </c>
      <c r="BA4000" s="84">
        <v>4000.0</v>
      </c>
      <c r="BB4000" s="84" t="b">
        <f>IFERROR(__xludf.DUMMYFUNCTION("iferror(if(A4000="""",,E4000&gt;=FILTER(Constants!$F$2:$F$10,Constants!$A$2:$A$10=A4000)))"),TRUE)</f>
        <v>1</v>
      </c>
    </row>
    <row r="4001">
      <c r="A4001" s="89" t="str">
        <f>IFERROR(__xludf.DUMMYFUNCTION("""COMPUTED_VALUE"""),"Amateur")</f>
        <v>Amateur</v>
      </c>
      <c r="B4001" s="87" t="str">
        <f>IFERROR(__xludf.DUMMYFUNCTION("""COMPUTED_VALUE"""),"RSC007464")</f>
        <v>RSC007464</v>
      </c>
      <c r="C4001" s="73" t="str">
        <f>IFERROR(__xludf.DUMMYFUNCTION("""COMPUTED_VALUE"""),"MoonKnight2")</f>
        <v>MoonKnight2</v>
      </c>
      <c r="D4001" s="73" t="str">
        <f>IFERROR(__xludf.DUMMYFUNCTION("""COMPUTED_VALUE"""),"Hyenas")</f>
        <v>Hyenas</v>
      </c>
      <c r="E4001" s="82">
        <f>IFERROR(__xludf.DUMMYFUNCTION("""COMPUTED_VALUE"""),46.0)</f>
        <v>46</v>
      </c>
      <c r="F4001" s="82">
        <f>IFERROR(__xludf.DUMMYFUNCTION("""COMPUTED_VALUE"""),33.0)</f>
        <v>33</v>
      </c>
      <c r="G4001" s="86">
        <f>IFERROR(__xludf.DUMMYFUNCTION("""COMPUTED_VALUE"""),13.0)</f>
        <v>13</v>
      </c>
      <c r="H4001" s="86">
        <f>IFERROR(__xludf.DUMMYFUNCTION("""COMPUTED_VALUE"""),0.717391304347826)</f>
        <v>0.7173913043</v>
      </c>
      <c r="I4001" s="86">
        <f>IFERROR(__xludf.DUMMYFUNCTION("""COMPUTED_VALUE"""),0.3834586466165414)</f>
        <v>0.3834586466</v>
      </c>
      <c r="J4001" s="82">
        <f>IFERROR(__xludf.DUMMYFUNCTION("""COMPUTED_VALUE"""),378.4130434782609)</f>
        <v>378.4130435</v>
      </c>
      <c r="K4001" s="82">
        <f>IFERROR(__xludf.DUMMYFUNCTION("""COMPUTED_VALUE"""),1.108695652173913)</f>
        <v>1.108695652</v>
      </c>
      <c r="L4001" s="82">
        <f>IFERROR(__xludf.DUMMYFUNCTION("""COMPUTED_VALUE"""),0.6304347826086957)</f>
        <v>0.6304347826</v>
      </c>
      <c r="M4001" s="82">
        <f>IFERROR(__xludf.DUMMYFUNCTION("""COMPUTED_VALUE"""),1.2826086956521738)</f>
        <v>1.282608696</v>
      </c>
      <c r="N4001" s="82">
        <f>IFERROR(__xludf.DUMMYFUNCTION("""COMPUTED_VALUE"""),2.891304347826087)</f>
        <v>2.891304348</v>
      </c>
      <c r="O4001" s="82">
        <f>IFERROR(__xludf.DUMMYFUNCTION("""COMPUTED_VALUE"""),263.1865942028985)</f>
        <v>263.1865942</v>
      </c>
      <c r="P4001" s="82">
        <f>IFERROR(__xludf.DUMMYFUNCTION("""COMPUTED_VALUE"""),0.5054347826086958)</f>
        <v>0.5054347826</v>
      </c>
      <c r="Q4001" s="82">
        <f>IFERROR(__xludf.DUMMYFUNCTION("""COMPUTED_VALUE"""),0.2608695652173913)</f>
        <v>0.2608695652</v>
      </c>
      <c r="R4001" s="82">
        <f>IFERROR(__xludf.DUMMYFUNCTION("""COMPUTED_VALUE"""),1.1068840579710144)</f>
        <v>1.106884058</v>
      </c>
      <c r="S4001" s="82">
        <f>IFERROR(__xludf.DUMMYFUNCTION("""COMPUTED_VALUE"""),1.6793478260869568)</f>
        <v>1.679347826</v>
      </c>
      <c r="T4001" s="82">
        <f>IFERROR(__xludf.DUMMYFUNCTION("""COMPUTED_VALUE"""),289.64555463951035)</f>
        <v>289.6455546</v>
      </c>
      <c r="U4001" s="82">
        <f>IFERROR(__xludf.DUMMYFUNCTION("""COMPUTED_VALUE"""),0.7236233216075989)</f>
        <v>0.7236233216</v>
      </c>
      <c r="V4001" s="82">
        <f>IFERROR(__xludf.DUMMYFUNCTION("""COMPUTED_VALUE"""),0.4230251178811884)</f>
        <v>0.4230251179</v>
      </c>
      <c r="W4001" s="82">
        <f>IFERROR(__xludf.DUMMYFUNCTION("""COMPUTED_VALUE"""),0.9005967261372857)</f>
        <v>0.9005967261</v>
      </c>
      <c r="X4001" s="82">
        <f>IFERROR(__xludf.DUMMYFUNCTION("""COMPUTED_VALUE"""),2.007220543233405)</f>
        <v>2.007220543</v>
      </c>
      <c r="Y4001" s="82">
        <f>IFERROR(__xludf.DUMMYFUNCTION("""COMPUTED_VALUE"""),299.9670546138858)</f>
        <v>299.9670546</v>
      </c>
      <c r="Z4001" s="82">
        <f>IFERROR(__xludf.DUMMYFUNCTION("""COMPUTED_VALUE"""),0.8056371275514359)</f>
        <v>0.8056371276</v>
      </c>
      <c r="AA4001" s="82">
        <f>IFERROR(__xludf.DUMMYFUNCTION("""COMPUTED_VALUE"""),0.4562329461138272)</f>
        <v>0.4562329461</v>
      </c>
      <c r="AB4001" s="82">
        <f>IFERROR(__xludf.DUMMYFUNCTION("""COMPUTED_VALUE"""),0.8571559559664026)</f>
        <v>0.857155956</v>
      </c>
      <c r="AC4001" s="82">
        <f>IFERROR(__xludf.DUMMYFUNCTION("""COMPUTED_VALUE"""),2.150092071313353)</f>
        <v>2.150092071</v>
      </c>
      <c r="AD4001" s="82">
        <f>IFERROR(__xludf.DUMMYFUNCTION("""COMPUTED_VALUE"""),1.2615153486283681)</f>
        <v>1.261515349</v>
      </c>
      <c r="AE4001" s="82">
        <f>IFERROR(__xludf.DUMMYFUNCTION("""COMPUTED_VALUE"""),1.3761724903910022)</f>
        <v>1.37617249</v>
      </c>
      <c r="AF4001" s="82">
        <f>IFERROR(__xludf.DUMMYFUNCTION("""COMPUTED_VALUE"""),1.381826516429189)</f>
        <v>1.381826516</v>
      </c>
      <c r="AG4001" s="82">
        <f>IFERROR(__xludf.DUMMYFUNCTION("""COMPUTED_VALUE"""),1.4963539443718774)</f>
        <v>1.496353944</v>
      </c>
      <c r="AH4001" s="82">
        <f>IFERROR(__xludf.DUMMYFUNCTION("""COMPUTED_VALUE"""),1.3447351331610535)</f>
        <v>1.344735133</v>
      </c>
      <c r="AI4001" s="82">
        <f>IFERROR(__xludf.DUMMYFUNCTION("""COMPUTED_VALUE"""),0.9086505557817299)</f>
        <v>0.9086505558</v>
      </c>
      <c r="AJ4001" s="82">
        <f>IFERROR(__xludf.DUMMYFUNCTION("""COMPUTED_VALUE"""),0.6984777404435)</f>
        <v>0.6984777404</v>
      </c>
      <c r="AK4001" s="82">
        <f>IFERROR(__xludf.DUMMYFUNCTION("""COMPUTED_VALUE"""),0.6166763016910489)</f>
        <v>0.6166763017</v>
      </c>
      <c r="AL4001" s="82">
        <f>IFERROR(__xludf.DUMMYFUNCTION("""COMPUTED_VALUE"""),1.22905627551913)</f>
        <v>1.229056276</v>
      </c>
      <c r="AM4001" s="82">
        <f>IFERROR(__xludf.DUMMYFUNCTION("""COMPUTED_VALUE"""),0.8366533671390776)</f>
        <v>0.8366533671</v>
      </c>
      <c r="AN4001" s="82">
        <f>IFERROR(__xludf.DUMMYFUNCTION("""COMPUTED_VALUE"""),1.3633522731544654)</f>
        <v>1.363352273</v>
      </c>
      <c r="AO4001" s="82">
        <f>IFERROR(__xludf.DUMMYFUNCTION("""COMPUTED_VALUE"""),1.5255944563348935)</f>
        <v>1.525594456</v>
      </c>
      <c r="AP4001" s="82">
        <f>IFERROR(__xludf.DUMMYFUNCTION("""COMPUTED_VALUE"""),1.5099980338011274)</f>
        <v>1.509998034</v>
      </c>
      <c r="AQ4001" s="82">
        <f>IFERROR(__xludf.DUMMYFUNCTION("""COMPUTED_VALUE"""),1.596825519166104)</f>
        <v>1.596825519</v>
      </c>
      <c r="AR4001" s="82">
        <f>IFERROR(__xludf.DUMMYFUNCTION("""COMPUTED_VALUE"""),1.4959109592991429)</f>
        <v>1.495910959</v>
      </c>
      <c r="AS4001" s="82">
        <f>IFERROR(__xludf.DUMMYFUNCTION("""COMPUTED_VALUE"""),411.0)</f>
        <v>411</v>
      </c>
      <c r="AT4001" s="82">
        <f>IFERROR(__xludf.DUMMYFUNCTION("""COMPUTED_VALUE"""),0.9700655133406384)</f>
        <v>0.9700655133</v>
      </c>
      <c r="AU4001" s="82">
        <f>IFERROR(__xludf.DUMMYFUNCTION("""COMPUTED_VALUE"""),3.9431566768564927)</f>
        <v>3.943156677</v>
      </c>
      <c r="AV4001" s="82">
        <f>IFERROR(__xludf.DUMMYFUNCTION("""COMPUTED_VALUE"""),88.44437142676674)</f>
        <v>88.44437143</v>
      </c>
      <c r="AW4001" s="82">
        <f t="shared" si="1"/>
        <v>16.11555845</v>
      </c>
      <c r="AX4001" s="83">
        <f t="array" ref="AX4001">IFERROR(DGET('SBV Import'!A:G,"SBV",{"RSC ID","Tier";B4001,A4001}))</f>
        <v>80.80420712</v>
      </c>
      <c r="AY4001" s="82">
        <f t="shared" si="2"/>
        <v>9.179102412</v>
      </c>
      <c r="AZ4001" s="82">
        <v>6.936456040500671</v>
      </c>
      <c r="BA4001" s="84">
        <v>4000.0</v>
      </c>
      <c r="BB4001" s="84" t="b">
        <f>IFERROR(__xludf.DUMMYFUNCTION("iferror(if(A4001="""",,E4001&gt;=FILTER(Constants!$F$2:$F$10,Constants!$A$2:$A$10=A4001)))"),TRUE)</f>
        <v>1</v>
      </c>
    </row>
    <row r="4002">
      <c r="A4002" s="89" t="str">
        <f>IFERROR(__xludf.DUMMYFUNCTION("""COMPUTED_VALUE"""),"Amateur")</f>
        <v>Amateur</v>
      </c>
      <c r="B4002" s="87" t="str">
        <f>IFERROR(__xludf.DUMMYFUNCTION("""COMPUTED_VALUE"""),"RSC006375")</f>
        <v>RSC006375</v>
      </c>
      <c r="C4002" s="73" t="str">
        <f>IFERROR(__xludf.DUMMYFUNCTION("""COMPUTED_VALUE"""),"Rich-Rollin6060")</f>
        <v>Rich-Rollin6060</v>
      </c>
      <c r="D4002" s="73" t="str">
        <f>IFERROR(__xludf.DUMMYFUNCTION("""COMPUTED_VALUE"""),"Hyenas")</f>
        <v>Hyenas</v>
      </c>
      <c r="E4002" s="82">
        <f>IFERROR(__xludf.DUMMYFUNCTION("""COMPUTED_VALUE"""),39.0)</f>
        <v>39</v>
      </c>
      <c r="F4002" s="82">
        <f>IFERROR(__xludf.DUMMYFUNCTION("""COMPUTED_VALUE"""),31.0)</f>
        <v>31</v>
      </c>
      <c r="G4002" s="86">
        <f>IFERROR(__xludf.DUMMYFUNCTION("""COMPUTED_VALUE"""),8.0)</f>
        <v>8</v>
      </c>
      <c r="H4002" s="86">
        <f>IFERROR(__xludf.DUMMYFUNCTION("""COMPUTED_VALUE"""),0.7948717948717948)</f>
        <v>0.7948717949</v>
      </c>
      <c r="I4002" s="86">
        <f>IFERROR(__xludf.DUMMYFUNCTION("""COMPUTED_VALUE"""),0.4672897196261683)</f>
        <v>0.4672897196</v>
      </c>
      <c r="J4002" s="82">
        <f>IFERROR(__xludf.DUMMYFUNCTION("""COMPUTED_VALUE"""),327.6923076923077)</f>
        <v>327.6923077</v>
      </c>
      <c r="K4002" s="82">
        <f>IFERROR(__xludf.DUMMYFUNCTION("""COMPUTED_VALUE"""),1.2820512820512822)</f>
        <v>1.282051282</v>
      </c>
      <c r="L4002" s="82">
        <f>IFERROR(__xludf.DUMMYFUNCTION("""COMPUTED_VALUE"""),0.41025641025641024)</f>
        <v>0.4102564103</v>
      </c>
      <c r="M4002" s="82">
        <f>IFERROR(__xludf.DUMMYFUNCTION("""COMPUTED_VALUE"""),0.4358974358974359)</f>
        <v>0.4358974359</v>
      </c>
      <c r="N4002" s="82">
        <f>IFERROR(__xludf.DUMMYFUNCTION("""COMPUTED_VALUE"""),2.7435897435897436)</f>
        <v>2.743589744</v>
      </c>
      <c r="O4002" s="82">
        <f>IFERROR(__xludf.DUMMYFUNCTION("""COMPUTED_VALUE"""),255.52136752136752)</f>
        <v>255.5213675</v>
      </c>
      <c r="P4002" s="82">
        <f>IFERROR(__xludf.DUMMYFUNCTION("""COMPUTED_VALUE"""),0.4700854700854701)</f>
        <v>0.4700854701</v>
      </c>
      <c r="Q4002" s="82">
        <f>IFERROR(__xludf.DUMMYFUNCTION("""COMPUTED_VALUE"""),0.24786324786324798)</f>
        <v>0.2478632479</v>
      </c>
      <c r="R4002" s="82">
        <f>IFERROR(__xludf.DUMMYFUNCTION("""COMPUTED_VALUE"""),1.0940170940170943)</f>
        <v>1.094017094</v>
      </c>
      <c r="S4002" s="82">
        <f>IFERROR(__xludf.DUMMYFUNCTION("""COMPUTED_VALUE"""),1.6068376068376062)</f>
        <v>1.606837607</v>
      </c>
      <c r="T4002" s="82">
        <f>IFERROR(__xludf.DUMMYFUNCTION("""COMPUTED_VALUE"""),288.9055687331859)</f>
        <v>288.9055687</v>
      </c>
      <c r="U4002" s="82">
        <f>IFERROR(__xludf.DUMMYFUNCTION("""COMPUTED_VALUE"""),0.7156588078471541)</f>
        <v>0.7156588078</v>
      </c>
      <c r="V4002" s="82">
        <f>IFERROR(__xludf.DUMMYFUNCTION("""COMPUTED_VALUE"""),0.42648439345393213)</f>
        <v>0.4264843935</v>
      </c>
      <c r="W4002" s="82">
        <f>IFERROR(__xludf.DUMMYFUNCTION("""COMPUTED_VALUE"""),0.9136112170423494)</f>
        <v>0.913611217</v>
      </c>
      <c r="X4002" s="82">
        <f>IFERROR(__xludf.DUMMYFUNCTION("""COMPUTED_VALUE"""),1.9741161749398282)</f>
        <v>1.974116175</v>
      </c>
      <c r="Y4002" s="82">
        <f>IFERROR(__xludf.DUMMYFUNCTION("""COMPUTED_VALUE"""),301.8141170340608)</f>
        <v>301.814117</v>
      </c>
      <c r="Z4002" s="82">
        <f>IFERROR(__xludf.DUMMYFUNCTION("""COMPUTED_VALUE"""),0.8284373111234055)</f>
        <v>0.8284373111</v>
      </c>
      <c r="AA4002" s="82">
        <f>IFERROR(__xludf.DUMMYFUNCTION("""COMPUTED_VALUE"""),0.46898330374535024)</f>
        <v>0.4689833037</v>
      </c>
      <c r="AB4002" s="82">
        <f>IFERROR(__xludf.DUMMYFUNCTION("""COMPUTED_VALUE"""),0.8309193192979759)</f>
        <v>0.8309193193</v>
      </c>
      <c r="AC4002" s="82">
        <f>IFERROR(__xludf.DUMMYFUNCTION("""COMPUTED_VALUE"""),2.181551471356886)</f>
        <v>2.181551471</v>
      </c>
      <c r="AD4002" s="82">
        <f>IFERROR(__xludf.DUMMYFUNCTION("""COMPUTED_VALUE"""),1.0857421478907376)</f>
        <v>1.085742148</v>
      </c>
      <c r="AE4002" s="82">
        <f>IFERROR(__xludf.DUMMYFUNCTION("""COMPUTED_VALUE"""),1.5475537676022242)</f>
        <v>1.547553768</v>
      </c>
      <c r="AF4002" s="82">
        <f>IFERROR(__xludf.DUMMYFUNCTION("""COMPUTED_VALUE"""),0.8747782852397072)</f>
        <v>0.8747782852</v>
      </c>
      <c r="AG4002" s="82">
        <f>IFERROR(__xludf.DUMMYFUNCTION("""COMPUTED_VALUE"""),0.5245965832948923)</f>
        <v>0.5245965833</v>
      </c>
      <c r="AH4002" s="82">
        <f>IFERROR(__xludf.DUMMYFUNCTION("""COMPUTED_VALUE"""),1.2576323683453041)</f>
        <v>1.257632368</v>
      </c>
      <c r="AI4002" s="82">
        <f>IFERROR(__xludf.DUMMYFUNCTION("""COMPUTED_VALUE"""),0.8844459753468795)</f>
        <v>0.8844459753</v>
      </c>
      <c r="AJ4002" s="82">
        <f>IFERROR(__xludf.DUMMYFUNCTION("""COMPUTED_VALUE"""),0.6568569616289387)</f>
        <v>0.6568569616</v>
      </c>
      <c r="AK4002" s="82">
        <f>IFERROR(__xludf.DUMMYFUNCTION("""COMPUTED_VALUE"""),0.5811777679738745)</f>
        <v>0.581177768</v>
      </c>
      <c r="AL4002" s="82">
        <f>IFERROR(__xludf.DUMMYFUNCTION("""COMPUTED_VALUE"""),1.197464603771806)</f>
        <v>1.197464604</v>
      </c>
      <c r="AM4002" s="82">
        <f>IFERROR(__xludf.DUMMYFUNCTION("""COMPUTED_VALUE"""),0.8139529107939066)</f>
        <v>0.8139529108</v>
      </c>
      <c r="AN4002" s="82">
        <f>IFERROR(__xludf.DUMMYFUNCTION("""COMPUTED_VALUE"""),1.1806148342061726)</f>
        <v>1.180614834</v>
      </c>
      <c r="AO4002" s="82">
        <f>IFERROR(__xludf.DUMMYFUNCTION("""COMPUTED_VALUE"""),1.764136374846785)</f>
        <v>1.764136375</v>
      </c>
      <c r="AP4002" s="82">
        <f>IFERROR(__xludf.DUMMYFUNCTION("""COMPUTED_VALUE"""),0.9826335569209811)</f>
        <v>0.9826335569</v>
      </c>
      <c r="AQ4002" s="82">
        <f>IFERROR(__xludf.DUMMYFUNCTION("""COMPUTED_VALUE"""),0.5426847266353296)</f>
        <v>0.5426847266</v>
      </c>
      <c r="AR4002" s="82">
        <f>IFERROR(__xludf.DUMMYFUNCTION("""COMPUTED_VALUE"""),1.4194859729458997)</f>
        <v>1.419485973</v>
      </c>
      <c r="AS4002" s="82">
        <f>IFERROR(__xludf.DUMMYFUNCTION("""COMPUTED_VALUE"""),416.0)</f>
        <v>416</v>
      </c>
      <c r="AT4002" s="82">
        <f>IFERROR(__xludf.DUMMYFUNCTION("""COMPUTED_VALUE"""),0.984266708656876)</f>
        <v>0.9842667087</v>
      </c>
      <c r="AU4002" s="82">
        <f>IFERROR(__xludf.DUMMYFUNCTION("""COMPUTED_VALUE"""),3.5807314817862865)</f>
        <v>3.580731482</v>
      </c>
      <c r="AV4002" s="82">
        <f>IFERROR(__xludf.DUMMYFUNCTION("""COMPUTED_VALUE"""),81.31623792341664)</f>
        <v>81.31623792</v>
      </c>
      <c r="AW4002" s="82">
        <f t="shared" si="1"/>
        <v>9.508718475</v>
      </c>
      <c r="AX4002" s="83">
        <f t="array" ref="AX4002">IFERROR(DGET('SBV Import'!A:G,"SBV",{"RSC ID","Tier";B4002,A4002}))</f>
        <v>56.42879168</v>
      </c>
      <c r="AY4002" s="82">
        <f t="shared" si="2"/>
        <v>2.509216057</v>
      </c>
      <c r="AZ4002" s="82">
        <v>6.999502418289154</v>
      </c>
      <c r="BA4002" s="84">
        <v>4000.0</v>
      </c>
      <c r="BB4002" s="84" t="b">
        <f>IFERROR(__xludf.DUMMYFUNCTION("iferror(if(A4002="""",,E4002&gt;=FILTER(Constants!$F$2:$F$10,Constants!$A$2:$A$10=A4002)))"),TRUE)</f>
        <v>1</v>
      </c>
    </row>
    <row r="4003">
      <c r="A4003" s="89" t="str">
        <f>IFERROR(__xludf.DUMMYFUNCTION("""COMPUTED_VALUE"""),"Amateur")</f>
        <v>Amateur</v>
      </c>
      <c r="B4003" s="87" t="str">
        <f>IFERROR(__xludf.DUMMYFUNCTION("""COMPUTED_VALUE"""),"RSC007899")</f>
        <v>RSC007899</v>
      </c>
      <c r="C4003" s="73" t="str">
        <f>IFERROR(__xludf.DUMMYFUNCTION("""COMPUTED_VALUE"""),"SeaSpay12")</f>
        <v>SeaSpay12</v>
      </c>
      <c r="D4003" s="73" t="str">
        <f>IFERROR(__xludf.DUMMYFUNCTION("""COMPUTED_VALUE"""),"Surprise")</f>
        <v>Surprise</v>
      </c>
      <c r="E4003" s="82">
        <f>IFERROR(__xludf.DUMMYFUNCTION("""COMPUTED_VALUE"""),42.0)</f>
        <v>42</v>
      </c>
      <c r="F4003" s="82">
        <f>IFERROR(__xludf.DUMMYFUNCTION("""COMPUTED_VALUE"""),24.0)</f>
        <v>24</v>
      </c>
      <c r="G4003" s="86">
        <f>IFERROR(__xludf.DUMMYFUNCTION("""COMPUTED_VALUE"""),18.0)</f>
        <v>18</v>
      </c>
      <c r="H4003" s="86">
        <f>IFERROR(__xludf.DUMMYFUNCTION("""COMPUTED_VALUE"""),0.5714285714285714)</f>
        <v>0.5714285714</v>
      </c>
      <c r="I4003" s="86">
        <f>IFERROR(__xludf.DUMMYFUNCTION("""COMPUTED_VALUE"""),0.3611111111111111)</f>
        <v>0.3611111111</v>
      </c>
      <c r="J4003" s="82">
        <f>IFERROR(__xludf.DUMMYFUNCTION("""COMPUTED_VALUE"""),381.0952380952381)</f>
        <v>381.0952381</v>
      </c>
      <c r="K4003" s="82">
        <f>IFERROR(__xludf.DUMMYFUNCTION("""COMPUTED_VALUE"""),0.9285714285714286)</f>
        <v>0.9285714286</v>
      </c>
      <c r="L4003" s="82">
        <f>IFERROR(__xludf.DUMMYFUNCTION("""COMPUTED_VALUE"""),0.4523809523809524)</f>
        <v>0.4523809524</v>
      </c>
      <c r="M4003" s="82">
        <f>IFERROR(__xludf.DUMMYFUNCTION("""COMPUTED_VALUE"""),1.1904761904761905)</f>
        <v>1.19047619</v>
      </c>
      <c r="N4003" s="82">
        <f>IFERROR(__xludf.DUMMYFUNCTION("""COMPUTED_VALUE"""),2.5714285714285716)</f>
        <v>2.571428571</v>
      </c>
      <c r="O4003" s="82">
        <f>IFERROR(__xludf.DUMMYFUNCTION("""COMPUTED_VALUE"""),281.29365079365067)</f>
        <v>281.2936508</v>
      </c>
      <c r="P4003" s="82">
        <f>IFERROR(__xludf.DUMMYFUNCTION("""COMPUTED_VALUE"""),0.7142857142857144)</f>
        <v>0.7142857143</v>
      </c>
      <c r="Q4003" s="82">
        <f>IFERROR(__xludf.DUMMYFUNCTION("""COMPUTED_VALUE"""),0.2996031746031745)</f>
        <v>0.2996031746</v>
      </c>
      <c r="R4003" s="82">
        <f>IFERROR(__xludf.DUMMYFUNCTION("""COMPUTED_VALUE"""),0.9047619047619049)</f>
        <v>0.9047619048</v>
      </c>
      <c r="S4003" s="82">
        <f>IFERROR(__xludf.DUMMYFUNCTION("""COMPUTED_VALUE"""),1.815476190476191)</f>
        <v>1.81547619</v>
      </c>
      <c r="T4003" s="82">
        <f>IFERROR(__xludf.DUMMYFUNCTION("""COMPUTED_VALUE"""),305.5510416406154)</f>
        <v>305.5510416</v>
      </c>
      <c r="U4003" s="82">
        <f>IFERROR(__xludf.DUMMYFUNCTION("""COMPUTED_VALUE"""),0.8217963847017962)</f>
        <v>0.8217963847</v>
      </c>
      <c r="V4003" s="82">
        <f>IFERROR(__xludf.DUMMYFUNCTION("""COMPUTED_VALUE"""),0.4610921608458891)</f>
        <v>0.4610921608</v>
      </c>
      <c r="W4003" s="82">
        <f>IFERROR(__xludf.DUMMYFUNCTION("""COMPUTED_VALUE"""),0.9124079828737511)</f>
        <v>0.9124079829</v>
      </c>
      <c r="X4003" s="82">
        <f>IFERROR(__xludf.DUMMYFUNCTION("""COMPUTED_VALUE"""),2.115838929915523)</f>
        <v>2.11583893</v>
      </c>
      <c r="Y4003" s="82">
        <f>IFERROR(__xludf.DUMMYFUNCTION("""COMPUTED_VALUE"""),298.3849962275002)</f>
        <v>298.3849962</v>
      </c>
      <c r="Z4003" s="82">
        <f>IFERROR(__xludf.DUMMYFUNCTION("""COMPUTED_VALUE"""),0.8007240533727609)</f>
        <v>0.8007240534</v>
      </c>
      <c r="AA4003" s="82">
        <f>IFERROR(__xludf.DUMMYFUNCTION("""COMPUTED_VALUE"""),0.4632981773522996)</f>
        <v>0.4632981774</v>
      </c>
      <c r="AB4003" s="82">
        <f>IFERROR(__xludf.DUMMYFUNCTION("""COMPUTED_VALUE"""),0.8574688241302392)</f>
        <v>0.8574688241</v>
      </c>
      <c r="AC4003" s="82">
        <f>IFERROR(__xludf.DUMMYFUNCTION("""COMPUTED_VALUE"""),2.1373541433806653)</f>
        <v>2.137354143</v>
      </c>
      <c r="AD4003" s="82">
        <f>IFERROR(__xludf.DUMMYFUNCTION("""COMPUTED_VALUE"""),1.2771930322015133)</f>
        <v>1.277193032</v>
      </c>
      <c r="AE4003" s="82">
        <f>IFERROR(__xludf.DUMMYFUNCTION("""COMPUTED_VALUE"""),1.159664711781989)</f>
        <v>1.159664712</v>
      </c>
      <c r="AF4003" s="82">
        <f>IFERROR(__xludf.DUMMYFUNCTION("""COMPUTED_VALUE"""),0.9764358559886033)</f>
        <v>0.976435856</v>
      </c>
      <c r="AG4003" s="82">
        <f>IFERROR(__xludf.DUMMYFUNCTION("""COMPUTED_VALUE"""),1.3883609024313301)</f>
        <v>1.388360902</v>
      </c>
      <c r="AH4003" s="82">
        <f>IFERROR(__xludf.DUMMYFUNCTION("""COMPUTED_VALUE"""),1.203089614040904)</f>
        <v>1.203089614</v>
      </c>
      <c r="AI4003" s="82">
        <f>IFERROR(__xludf.DUMMYFUNCTION("""COMPUTED_VALUE"""),0.9206110026111581)</f>
        <v>0.9206110026</v>
      </c>
      <c r="AJ4003" s="82">
        <f>IFERROR(__xludf.DUMMYFUNCTION("""COMPUTED_VALUE"""),0.8691760241132066)</f>
        <v>0.8691760241</v>
      </c>
      <c r="AK4003" s="82">
        <f>IFERROR(__xludf.DUMMYFUNCTION("""COMPUTED_VALUE"""),0.6497685279522912)</f>
        <v>0.649768528</v>
      </c>
      <c r="AL4003" s="82">
        <f>IFERROR(__xludf.DUMMYFUNCTION("""COMPUTED_VALUE"""),0.9916198912598683)</f>
        <v>0.9916198913</v>
      </c>
      <c r="AM4003" s="82">
        <f>IFERROR(__xludf.DUMMYFUNCTION("""COMPUTED_VALUE"""),0.8580408294825522)</f>
        <v>0.8580408295</v>
      </c>
      <c r="AN4003" s="82">
        <f>IFERROR(__xludf.DUMMYFUNCTION("""COMPUTED_VALUE"""),1.3730157247482226)</f>
        <v>1.373015725</v>
      </c>
      <c r="AO4003" s="82">
        <f>IFERROR(__xludf.DUMMYFUNCTION("""COMPUTED_VALUE"""),1.2777387743533142)</f>
        <v>1.277738774</v>
      </c>
      <c r="AP4003" s="82">
        <f>IFERROR(__xludf.DUMMYFUNCTION("""COMPUTED_VALUE"""),1.0835289667834034)</f>
        <v>1.083528967</v>
      </c>
      <c r="AQ4003" s="82">
        <f>IFERROR(__xludf.DUMMYFUNCTION("""COMPUTED_VALUE"""),1.48212215257548)</f>
        <v>1.482122153</v>
      </c>
      <c r="AR4003" s="82">
        <f>IFERROR(__xludf.DUMMYFUNCTION("""COMPUTED_VALUE"""),1.3304127543498288)</f>
        <v>1.330412754</v>
      </c>
      <c r="AS4003" s="82">
        <f>IFERROR(__xludf.DUMMYFUNCTION("""COMPUTED_VALUE"""),290.0)</f>
        <v>290</v>
      </c>
      <c r="AT4003" s="82">
        <f>IFERROR(__xludf.DUMMYFUNCTION("""COMPUTED_VALUE"""),0.900392753286432)</f>
        <v>0.9003927533</v>
      </c>
      <c r="AU4003" s="82">
        <f>IFERROR(__xludf.DUMMYFUNCTION("""COMPUTED_VALUE"""),3.2317979179829566)</f>
        <v>3.231797918</v>
      </c>
      <c r="AV4003" s="82">
        <f>IFERROR(__xludf.DUMMYFUNCTION("""COMPUTED_VALUE"""),74.45345613997011)</f>
        <v>74.45345614</v>
      </c>
      <c r="AW4003" s="82">
        <f t="shared" si="1"/>
        <v>6.097450286</v>
      </c>
      <c r="AX4003" s="83">
        <f t="array" ref="AX4003">IFERROR(DGET('SBV Import'!A:G,"SBV",{"RSC ID","Tier";B4003,A4003}))</f>
        <v>81.15947199</v>
      </c>
      <c r="AY4003" s="82">
        <f t="shared" si="2"/>
        <v>9.406216972</v>
      </c>
      <c r="AZ4003" s="82">
        <v>3.308766685860008</v>
      </c>
      <c r="BA4003" s="84">
        <v>4000.0</v>
      </c>
      <c r="BB4003" s="84" t="b">
        <f>IFERROR(__xludf.DUMMYFUNCTION("iferror(if(A4003="""",,E4003&gt;=FILTER(Constants!$F$2:$F$10,Constants!$A$2:$A$10=A4003)))"),TRUE)</f>
        <v>1</v>
      </c>
    </row>
    <row r="4004">
      <c r="A4004" s="89" t="str">
        <f>IFERROR(__xludf.DUMMYFUNCTION("""COMPUTED_VALUE"""),"Amateur")</f>
        <v>Amateur</v>
      </c>
      <c r="B4004" s="87" t="str">
        <f>IFERROR(__xludf.DUMMYFUNCTION("""COMPUTED_VALUE"""),"RSC007581")</f>
        <v>RSC007581</v>
      </c>
      <c r="C4004" s="73" t="str">
        <f>IFERROR(__xludf.DUMMYFUNCTION("""COMPUTED_VALUE"""),"Wrecklessjay02")</f>
        <v>Wrecklessjay02</v>
      </c>
      <c r="D4004" s="73" t="str">
        <f>IFERROR(__xludf.DUMMYFUNCTION("""COMPUTED_VALUE"""),"Hyenas")</f>
        <v>Hyenas</v>
      </c>
      <c r="E4004" s="82">
        <f>IFERROR(__xludf.DUMMYFUNCTION("""COMPUTED_VALUE"""),47.0)</f>
        <v>47</v>
      </c>
      <c r="F4004" s="82">
        <f>IFERROR(__xludf.DUMMYFUNCTION("""COMPUTED_VALUE"""),34.0)</f>
        <v>34</v>
      </c>
      <c r="G4004" s="86">
        <f>IFERROR(__xludf.DUMMYFUNCTION("""COMPUTED_VALUE"""),13.0)</f>
        <v>13</v>
      </c>
      <c r="H4004" s="86">
        <f>IFERROR(__xludf.DUMMYFUNCTION("""COMPUTED_VALUE"""),0.723404255319149)</f>
        <v>0.7234042553</v>
      </c>
      <c r="I4004" s="86">
        <f>IFERROR(__xludf.DUMMYFUNCTION("""COMPUTED_VALUE"""),0.3589743589743589)</f>
        <v>0.358974359</v>
      </c>
      <c r="J4004" s="82">
        <f>IFERROR(__xludf.DUMMYFUNCTION("""COMPUTED_VALUE"""),322.5744680851064)</f>
        <v>322.5744681</v>
      </c>
      <c r="K4004" s="82">
        <f>IFERROR(__xludf.DUMMYFUNCTION("""COMPUTED_VALUE"""),0.8936170212765957)</f>
        <v>0.8936170213</v>
      </c>
      <c r="L4004" s="82">
        <f>IFERROR(__xludf.DUMMYFUNCTION("""COMPUTED_VALUE"""),0.5957446808510638)</f>
        <v>0.5957446809</v>
      </c>
      <c r="M4004" s="82">
        <f>IFERROR(__xludf.DUMMYFUNCTION("""COMPUTED_VALUE"""),0.8297872340425532)</f>
        <v>0.829787234</v>
      </c>
      <c r="N4004" s="82">
        <f>IFERROR(__xludf.DUMMYFUNCTION("""COMPUTED_VALUE"""),2.4893617021276597)</f>
        <v>2.489361702</v>
      </c>
      <c r="O4004" s="82">
        <f>IFERROR(__xludf.DUMMYFUNCTION("""COMPUTED_VALUE"""),262.1276595744681)</f>
        <v>262.1276596</v>
      </c>
      <c r="P4004" s="82">
        <f>IFERROR(__xludf.DUMMYFUNCTION("""COMPUTED_VALUE"""),0.5035460992907803)</f>
        <v>0.5035460993</v>
      </c>
      <c r="Q4004" s="82">
        <f>IFERROR(__xludf.DUMMYFUNCTION("""COMPUTED_VALUE"""),0.26241134751773043)</f>
        <v>0.2624113475</v>
      </c>
      <c r="R4004" s="82">
        <f>IFERROR(__xludf.DUMMYFUNCTION("""COMPUTED_VALUE"""),1.099290780141844)</f>
        <v>1.09929078</v>
      </c>
      <c r="S4004" s="82">
        <f>IFERROR(__xludf.DUMMYFUNCTION("""COMPUTED_VALUE"""),1.6666666666666674)</f>
        <v>1.666666667</v>
      </c>
      <c r="T4004" s="82">
        <f>IFERROR(__xludf.DUMMYFUNCTION("""COMPUTED_VALUE"""),289.79518528951695)</f>
        <v>289.7951853</v>
      </c>
      <c r="U4004" s="82">
        <f>IFERROR(__xludf.DUMMYFUNCTION("""COMPUTED_VALUE"""),0.7248685842515138)</f>
        <v>0.7248685843</v>
      </c>
      <c r="V4004" s="82">
        <f>IFERROR(__xludf.DUMMYFUNCTION("""COMPUTED_VALUE"""),0.42407715115548245)</f>
        <v>0.4240771512</v>
      </c>
      <c r="W4004" s="82">
        <f>IFERROR(__xludf.DUMMYFUNCTION("""COMPUTED_VALUE"""),0.900732471202153)</f>
        <v>0.9007324712</v>
      </c>
      <c r="X4004" s="82">
        <f>IFERROR(__xludf.DUMMYFUNCTION("""COMPUTED_VALUE"""),2.009748163253082)</f>
        <v>2.009748163</v>
      </c>
      <c r="Y4004" s="82">
        <f>IFERROR(__xludf.DUMMYFUNCTION("""COMPUTED_VALUE"""),300.50413922083004)</f>
        <v>300.5041392</v>
      </c>
      <c r="Z4004" s="82">
        <f>IFERROR(__xludf.DUMMYFUNCTION("""COMPUTED_VALUE"""),0.8096174408626177)</f>
        <v>0.8096174409</v>
      </c>
      <c r="AA4004" s="82">
        <f>IFERROR(__xludf.DUMMYFUNCTION("""COMPUTED_VALUE"""),0.4601153660947736)</f>
        <v>0.4601153661</v>
      </c>
      <c r="AB4004" s="82">
        <f>IFERROR(__xludf.DUMMYFUNCTION("""COMPUTED_VALUE"""),0.8571967599414723)</f>
        <v>0.8571967599</v>
      </c>
      <c r="AC4004" s="82">
        <f>IFERROR(__xludf.DUMMYFUNCTION("""COMPUTED_VALUE"""),2.153472052124053)</f>
        <v>2.153472052</v>
      </c>
      <c r="AD4004" s="82">
        <f>IFERROR(__xludf.DUMMYFUNCTION("""COMPUTED_VALUE"""),1.0734443423025786)</f>
        <v>1.073444342</v>
      </c>
      <c r="AE4004" s="82">
        <f>IFERROR(__xludf.DUMMYFUNCTION("""COMPUTED_VALUE"""),1.1037521873596)</f>
        <v>1.103752187</v>
      </c>
      <c r="AF4004" s="82">
        <f>IFERROR(__xludf.DUMMYFUNCTION("""COMPUTED_VALUE"""),1.2947724087274963)</f>
        <v>1.294772409</v>
      </c>
      <c r="AG4004" s="82">
        <f>IFERROR(__xludf.DUMMYFUNCTION("""COMPUTED_VALUE"""),0.9680242306319606)</f>
        <v>0.9680242306</v>
      </c>
      <c r="AH4004" s="82">
        <f>IFERROR(__xludf.DUMMYFUNCTION("""COMPUTED_VALUE"""),1.1559758575330967)</f>
        <v>1.155975858</v>
      </c>
      <c r="AI4004" s="82">
        <f>IFERROR(__xludf.DUMMYFUNCTION("""COMPUTED_VALUE"""),0.9045273105990085)</f>
        <v>0.9045273106</v>
      </c>
      <c r="AJ4004" s="82">
        <f>IFERROR(__xludf.DUMMYFUNCTION("""COMPUTED_VALUE"""),0.6946722622980452)</f>
        <v>0.6946722623</v>
      </c>
      <c r="AK4004" s="82">
        <f>IFERROR(__xludf.DUMMYFUNCTION("""COMPUTED_VALUE"""),0.6187820937834981)</f>
        <v>0.6187820938</v>
      </c>
      <c r="AL4004" s="82">
        <f>IFERROR(__xludf.DUMMYFUNCTION("""COMPUTED_VALUE"""),1.2204409358915274)</f>
        <v>1.220440936</v>
      </c>
      <c r="AM4004" s="82">
        <f>IFERROR(__xludf.DUMMYFUNCTION("""COMPUTED_VALUE"""),0.8292912998457055)</f>
        <v>0.8292912998</v>
      </c>
      <c r="AN4004" s="82">
        <f>IFERROR(__xludf.DUMMYFUNCTION("""COMPUTED_VALUE"""),1.1621762037668426)</f>
        <v>1.162176204</v>
      </c>
      <c r="AO4004" s="82">
        <f>IFERROR(__xludf.DUMMYFUNCTION("""COMPUTED_VALUE"""),1.2296405880846952)</f>
        <v>1.229640588</v>
      </c>
      <c r="AP4004" s="82">
        <f>IFERROR(__xludf.DUMMYFUNCTION("""COMPUTED_VALUE"""),1.4269093672309991)</f>
        <v>1.426909367</v>
      </c>
      <c r="AQ4004" s="82">
        <f>IFERROR(__xludf.DUMMYFUNCTION("""COMPUTED_VALUE"""),1.0330706748589942)</f>
        <v>1.033070675</v>
      </c>
      <c r="AR4004" s="82">
        <f>IFERROR(__xludf.DUMMYFUNCTION("""COMPUTED_VALUE"""),1.2879527728280256)</f>
        <v>1.287952773</v>
      </c>
      <c r="AS4004" s="82">
        <f>IFERROR(__xludf.DUMMYFUNCTION("""COMPUTED_VALUE"""),428.0)</f>
        <v>428</v>
      </c>
      <c r="AT4004" s="82">
        <f>IFERROR(__xludf.DUMMYFUNCTION("""COMPUTED_VALUE"""),0.9717763439289516)</f>
        <v>0.9717763439</v>
      </c>
      <c r="AU4004" s="82">
        <f>IFERROR(__xludf.DUMMYFUNCTION("""COMPUTED_VALUE"""),3.231710513983598)</f>
        <v>3.231710514</v>
      </c>
      <c r="AV4004" s="82">
        <f>IFERROR(__xludf.DUMMYFUNCTION("""COMPUTED_VALUE"""),74.45173708901937)</f>
        <v>74.45173709</v>
      </c>
      <c r="AW4004" s="82">
        <f t="shared" si="1"/>
        <v>6.096818212</v>
      </c>
      <c r="AX4004" s="83">
        <f t="array" ref="AX4004">IFERROR(DGET('SBV Import'!A:G,"SBV",{"RSC ID","Tier";B4004,A4004}))</f>
        <v>61.65360273</v>
      </c>
      <c r="AY4004" s="82">
        <f t="shared" si="2"/>
        <v>3.119578016</v>
      </c>
      <c r="AZ4004" s="82">
        <v>2.9772401953961785</v>
      </c>
      <c r="BA4004" s="84">
        <v>4000.0</v>
      </c>
      <c r="BB4004" s="84" t="b">
        <f>IFERROR(__xludf.DUMMYFUNCTION("iferror(if(A4004="""",,E4004&gt;=FILTER(Constants!$F$2:$F$10,Constants!$A$2:$A$10=A4004)))"),TRUE)</f>
        <v>1</v>
      </c>
    </row>
    <row r="4005">
      <c r="A4005" s="89" t="str">
        <f>IFERROR(__xludf.DUMMYFUNCTION("""COMPUTED_VALUE"""),"Amateur")</f>
        <v>Amateur</v>
      </c>
      <c r="B4005" s="87" t="str">
        <f>IFERROR(__xludf.DUMMYFUNCTION("""COMPUTED_VALUE"""),"RSC007955")</f>
        <v>RSC007955</v>
      </c>
      <c r="C4005" s="73" t="str">
        <f>IFERROR(__xludf.DUMMYFUNCTION("""COMPUTED_VALUE"""),"JonathanVanDyk")</f>
        <v>JonathanVanDyk</v>
      </c>
      <c r="D4005" s="73" t="str">
        <f>IFERROR(__xludf.DUMMYFUNCTION("""COMPUTED_VALUE"""),"Garlic Knots")</f>
        <v>Garlic Knots</v>
      </c>
      <c r="E4005" s="82">
        <f>IFERROR(__xludf.DUMMYFUNCTION("""COMPUTED_VALUE"""),47.0)</f>
        <v>47</v>
      </c>
      <c r="F4005" s="82">
        <f>IFERROR(__xludf.DUMMYFUNCTION("""COMPUTED_VALUE"""),32.0)</f>
        <v>32</v>
      </c>
      <c r="G4005" s="86">
        <f>IFERROR(__xludf.DUMMYFUNCTION("""COMPUTED_VALUE"""),15.0)</f>
        <v>15</v>
      </c>
      <c r="H4005" s="86">
        <f>IFERROR(__xludf.DUMMYFUNCTION("""COMPUTED_VALUE"""),0.6808510638297872)</f>
        <v>0.6808510638</v>
      </c>
      <c r="I4005" s="86">
        <f>IFERROR(__xludf.DUMMYFUNCTION("""COMPUTED_VALUE"""),0.4090909090909091)</f>
        <v>0.4090909091</v>
      </c>
      <c r="J4005" s="82">
        <f>IFERROR(__xludf.DUMMYFUNCTION("""COMPUTED_VALUE"""),362.0851063829787)</f>
        <v>362.0851064</v>
      </c>
      <c r="K4005" s="82">
        <f>IFERROR(__xludf.DUMMYFUNCTION("""COMPUTED_VALUE"""),0.9574468085106383)</f>
        <v>0.9574468085</v>
      </c>
      <c r="L4005" s="82">
        <f>IFERROR(__xludf.DUMMYFUNCTION("""COMPUTED_VALUE"""),0.40425531914893614)</f>
        <v>0.4042553191</v>
      </c>
      <c r="M4005" s="82">
        <f>IFERROR(__xludf.DUMMYFUNCTION("""COMPUTED_VALUE"""),1.3617021276595744)</f>
        <v>1.361702128</v>
      </c>
      <c r="N4005" s="82">
        <f>IFERROR(__xludf.DUMMYFUNCTION("""COMPUTED_VALUE"""),2.3404255319148937)</f>
        <v>2.340425532</v>
      </c>
      <c r="O4005" s="82">
        <f>IFERROR(__xludf.DUMMYFUNCTION("""COMPUTED_VALUE"""),260.8794326241135)</f>
        <v>260.8794326</v>
      </c>
      <c r="P4005" s="82">
        <f>IFERROR(__xludf.DUMMYFUNCTION("""COMPUTED_VALUE"""),0.5354609929078011)</f>
        <v>0.5354609929</v>
      </c>
      <c r="Q4005" s="82">
        <f>IFERROR(__xludf.DUMMYFUNCTION("""COMPUTED_VALUE"""),0.31382978723404265)</f>
        <v>0.3138297872</v>
      </c>
      <c r="R4005" s="82">
        <f>IFERROR(__xludf.DUMMYFUNCTION("""COMPUTED_VALUE"""),0.7375886524822699)</f>
        <v>0.7375886525</v>
      </c>
      <c r="S4005" s="82">
        <f>IFERROR(__xludf.DUMMYFUNCTION("""COMPUTED_VALUE"""),2.081560283687944)</f>
        <v>2.081560284</v>
      </c>
      <c r="T4005" s="82">
        <f>IFERROR(__xludf.DUMMYFUNCTION("""COMPUTED_VALUE"""),293.4666470465732)</f>
        <v>293.466647</v>
      </c>
      <c r="U4005" s="82">
        <f>IFERROR(__xludf.DUMMYFUNCTION("""COMPUTED_VALUE"""),0.7539157316102209)</f>
        <v>0.7539157316</v>
      </c>
      <c r="V4005" s="82">
        <f>IFERROR(__xludf.DUMMYFUNCTION("""COMPUTED_VALUE"""),0.43255955651296973)</f>
        <v>0.4325595565</v>
      </c>
      <c r="W4005" s="82">
        <f>IFERROR(__xludf.DUMMYFUNCTION("""COMPUTED_VALUE"""),0.861713197110993)</f>
        <v>0.8617131971</v>
      </c>
      <c r="X4005" s="82">
        <f>IFERROR(__xludf.DUMMYFUNCTION("""COMPUTED_VALUE"""),2.1108927354295335)</f>
        <v>2.110892735</v>
      </c>
      <c r="Y4005" s="82">
        <f>IFERROR(__xludf.DUMMYFUNCTION("""COMPUTED_VALUE"""),299.7652551797856)</f>
        <v>299.7652552</v>
      </c>
      <c r="Z4005" s="82">
        <f>IFERROR(__xludf.DUMMYFUNCTION("""COMPUTED_VALUE"""),0.801709891067378)</f>
        <v>0.8017098911</v>
      </c>
      <c r="AA4005" s="82">
        <f>IFERROR(__xludf.DUMMYFUNCTION("""COMPUTED_VALUE"""),0.4423090204504491)</f>
        <v>0.4423090205</v>
      </c>
      <c r="AB4005" s="82">
        <f>IFERROR(__xludf.DUMMYFUNCTION("""COMPUTED_VALUE"""),0.9214274457765692)</f>
        <v>0.9214274458</v>
      </c>
      <c r="AC4005" s="82">
        <f>IFERROR(__xludf.DUMMYFUNCTION("""COMPUTED_VALUE"""),2.072287435261942)</f>
        <v>2.072287435</v>
      </c>
      <c r="AD4005" s="82">
        <f>IFERROR(__xludf.DUMMYFUNCTION("""COMPUTED_VALUE"""),1.2078955119925974)</f>
        <v>1.207895512</v>
      </c>
      <c r="AE4005" s="82">
        <f>IFERROR(__xludf.DUMMYFUNCTION("""COMPUTED_VALUE"""),1.1942559511594846)</f>
        <v>1.194255951</v>
      </c>
      <c r="AF4005" s="82">
        <f>IFERROR(__xludf.DUMMYFUNCTION("""COMPUTED_VALUE"""),0.9139658032233687)</f>
        <v>0.9139658032</v>
      </c>
      <c r="AG4005" s="82">
        <f>IFERROR(__xludf.DUMMYFUNCTION("""COMPUTED_VALUE"""),1.4778180679347428)</f>
        <v>1.477818068</v>
      </c>
      <c r="AH4005" s="82">
        <f>IFERROR(__xludf.DUMMYFUNCTION("""COMPUTED_VALUE"""),1.1293923285401084)</f>
        <v>1.129392329</v>
      </c>
      <c r="AI4005" s="82">
        <f>IFERROR(__xludf.DUMMYFUNCTION("""COMPUTED_VALUE"""),0.8889576899098586)</f>
        <v>0.8889576899</v>
      </c>
      <c r="AJ4005" s="82">
        <f>IFERROR(__xludf.DUMMYFUNCTION("""COMPUTED_VALUE"""),0.7102398457240813)</f>
        <v>0.7102398457</v>
      </c>
      <c r="AK4005" s="82">
        <f>IFERROR(__xludf.DUMMYFUNCTION("""COMPUTED_VALUE"""),0.7255180992045263)</f>
        <v>0.7255180992</v>
      </c>
      <c r="AL4005" s="82">
        <f>IFERROR(__xludf.DUMMYFUNCTION("""COMPUTED_VALUE"""),0.8559560825517504)</f>
        <v>0.8559560826</v>
      </c>
      <c r="AM4005" s="82">
        <f>IFERROR(__xludf.DUMMYFUNCTION("""COMPUTED_VALUE"""),0.9861042433614605)</f>
        <v>0.9861042434</v>
      </c>
      <c r="AN4005" s="82">
        <f>IFERROR(__xludf.DUMMYFUNCTION("""COMPUTED_VALUE"""),1.3045257328477096)</f>
        <v>1.304525733</v>
      </c>
      <c r="AO4005" s="82">
        <f>IFERROR(__xludf.DUMMYFUNCTION("""COMPUTED_VALUE"""),1.3174720586621735)</f>
        <v>1.317472059</v>
      </c>
      <c r="AP4005" s="82">
        <f>IFERROR(__xludf.DUMMYFUNCTION("""COMPUTED_VALUE"""),0.9682599277638922)</f>
        <v>0.9682599278</v>
      </c>
      <c r="AQ4005" s="82">
        <f>IFERROR(__xludf.DUMMYFUNCTION("""COMPUTED_VALUE"""),1.6952954664352724)</f>
        <v>1.695295466</v>
      </c>
      <c r="AR4005" s="82">
        <f>IFERROR(__xludf.DUMMYFUNCTION("""COMPUTED_VALUE"""),1.210895769325494)</f>
        <v>1.210895769</v>
      </c>
      <c r="AS4005" s="82">
        <f>IFERROR(__xludf.DUMMYFUNCTION("""COMPUTED_VALUE"""),317.0)</f>
        <v>317</v>
      </c>
      <c r="AT4005" s="82">
        <f>IFERROR(__xludf.DUMMYFUNCTION("""COMPUTED_VALUE"""),0.933285340403763)</f>
        <v>0.9332853404</v>
      </c>
      <c r="AU4005" s="82">
        <f>IFERROR(__xludf.DUMMYFUNCTION("""COMPUTED_VALUE"""),3.0438402501899273)</f>
        <v>3.04384025</v>
      </c>
      <c r="AV4005" s="82">
        <f>IFERROR(__xludf.DUMMYFUNCTION("""COMPUTED_VALUE"""),70.75672818829581)</f>
        <v>70.75672819</v>
      </c>
      <c r="AW4005" s="82">
        <f t="shared" si="1"/>
        <v>4.921421643</v>
      </c>
      <c r="AX4005" s="83">
        <f t="array" ref="AX4005">IFERROR(DGET('SBV Import'!A:G,"SBV",{"RSC ID","Tier";B4005,A4005}))</f>
        <v>69.679788</v>
      </c>
      <c r="AY4005" s="82">
        <f t="shared" si="2"/>
        <v>4.638544218</v>
      </c>
      <c r="AZ4005" s="82">
        <v>0.2828774249486141</v>
      </c>
      <c r="BA4005" s="84">
        <v>4000.0</v>
      </c>
      <c r="BB4005" s="84" t="b">
        <f>IFERROR(__xludf.DUMMYFUNCTION("iferror(if(A4005="""",,E4005&gt;=FILTER(Constants!$F$2:$F$10,Constants!$A$2:$A$10=A4005)))"),TRUE)</f>
        <v>1</v>
      </c>
    </row>
    <row r="4006">
      <c r="A4006" s="89" t="str">
        <f>IFERROR(__xludf.DUMMYFUNCTION("""COMPUTED_VALUE"""),"Amateur")</f>
        <v>Amateur</v>
      </c>
      <c r="B4006" s="87" t="str">
        <f>IFERROR(__xludf.DUMMYFUNCTION("""COMPUTED_VALUE"""),"RSC007571")</f>
        <v>RSC007571</v>
      </c>
      <c r="C4006" s="73" t="str">
        <f>IFERROR(__xludf.DUMMYFUNCTION("""COMPUTED_VALUE"""),"Skories")</f>
        <v>Skories</v>
      </c>
      <c r="D4006" s="73" t="str">
        <f>IFERROR(__xludf.DUMMYFUNCTION("""COMPUTED_VALUE"""),"Garlic Knots")</f>
        <v>Garlic Knots</v>
      </c>
      <c r="E4006" s="82">
        <f>IFERROR(__xludf.DUMMYFUNCTION("""COMPUTED_VALUE"""),47.0)</f>
        <v>47</v>
      </c>
      <c r="F4006" s="82">
        <f>IFERROR(__xludf.DUMMYFUNCTION("""COMPUTED_VALUE"""),33.0)</f>
        <v>33</v>
      </c>
      <c r="G4006" s="86">
        <f>IFERROR(__xludf.DUMMYFUNCTION("""COMPUTED_VALUE"""),14.0)</f>
        <v>14</v>
      </c>
      <c r="H4006" s="86">
        <f>IFERROR(__xludf.DUMMYFUNCTION("""COMPUTED_VALUE"""),0.7021276595744681)</f>
        <v>0.7021276596</v>
      </c>
      <c r="I4006" s="86">
        <f>IFERROR(__xludf.DUMMYFUNCTION("""COMPUTED_VALUE"""),0.3942307692307692)</f>
        <v>0.3942307692</v>
      </c>
      <c r="J4006" s="82">
        <f>IFERROR(__xludf.DUMMYFUNCTION("""COMPUTED_VALUE"""),340.5744680851064)</f>
        <v>340.5744681</v>
      </c>
      <c r="K4006" s="82">
        <f>IFERROR(__xludf.DUMMYFUNCTION("""COMPUTED_VALUE"""),0.8723404255319149)</f>
        <v>0.8723404255</v>
      </c>
      <c r="L4006" s="82">
        <f>IFERROR(__xludf.DUMMYFUNCTION("""COMPUTED_VALUE"""),0.5319148936170213)</f>
        <v>0.5319148936</v>
      </c>
      <c r="M4006" s="82">
        <f>IFERROR(__xludf.DUMMYFUNCTION("""COMPUTED_VALUE"""),1.0851063829787233)</f>
        <v>1.085106383</v>
      </c>
      <c r="N4006" s="82">
        <f>IFERROR(__xludf.DUMMYFUNCTION("""COMPUTED_VALUE"""),2.2127659574468086)</f>
        <v>2.212765957</v>
      </c>
      <c r="O4006" s="82">
        <f>IFERROR(__xludf.DUMMYFUNCTION("""COMPUTED_VALUE"""),260.8794326241135)</f>
        <v>260.8794326</v>
      </c>
      <c r="P4006" s="82">
        <f>IFERROR(__xludf.DUMMYFUNCTION("""COMPUTED_VALUE"""),0.5354609929078011)</f>
        <v>0.5354609929</v>
      </c>
      <c r="Q4006" s="82">
        <f>IFERROR(__xludf.DUMMYFUNCTION("""COMPUTED_VALUE"""),0.31382978723404265)</f>
        <v>0.3138297872</v>
      </c>
      <c r="R4006" s="82">
        <f>IFERROR(__xludf.DUMMYFUNCTION("""COMPUTED_VALUE"""),0.7375886524822699)</f>
        <v>0.7375886525</v>
      </c>
      <c r="S4006" s="82">
        <f>IFERROR(__xludf.DUMMYFUNCTION("""COMPUTED_VALUE"""),2.081560283687944)</f>
        <v>2.081560284</v>
      </c>
      <c r="T4006" s="82">
        <f>IFERROR(__xludf.DUMMYFUNCTION("""COMPUTED_VALUE"""),293.4666470465732)</f>
        <v>293.466647</v>
      </c>
      <c r="U4006" s="82">
        <f>IFERROR(__xludf.DUMMYFUNCTION("""COMPUTED_VALUE"""),0.7539157316102209)</f>
        <v>0.7539157316</v>
      </c>
      <c r="V4006" s="82">
        <f>IFERROR(__xludf.DUMMYFUNCTION("""COMPUTED_VALUE"""),0.43255955651296973)</f>
        <v>0.4325595565</v>
      </c>
      <c r="W4006" s="82">
        <f>IFERROR(__xludf.DUMMYFUNCTION("""COMPUTED_VALUE"""),0.861713197110993)</f>
        <v>0.8617131971</v>
      </c>
      <c r="X4006" s="82">
        <f>IFERROR(__xludf.DUMMYFUNCTION("""COMPUTED_VALUE"""),2.1108927354295335)</f>
        <v>2.110892735</v>
      </c>
      <c r="Y4006" s="82">
        <f>IFERROR(__xludf.DUMMYFUNCTION("""COMPUTED_VALUE"""),299.7652551797856)</f>
        <v>299.7652552</v>
      </c>
      <c r="Z4006" s="82">
        <f>IFERROR(__xludf.DUMMYFUNCTION("""COMPUTED_VALUE"""),0.801709891067378)</f>
        <v>0.8017098911</v>
      </c>
      <c r="AA4006" s="82">
        <f>IFERROR(__xludf.DUMMYFUNCTION("""COMPUTED_VALUE"""),0.4423090204504491)</f>
        <v>0.4423090205</v>
      </c>
      <c r="AB4006" s="82">
        <f>IFERROR(__xludf.DUMMYFUNCTION("""COMPUTED_VALUE"""),0.9214274457765692)</f>
        <v>0.9214274458</v>
      </c>
      <c r="AC4006" s="82">
        <f>IFERROR(__xludf.DUMMYFUNCTION("""COMPUTED_VALUE"""),2.072287435261942)</f>
        <v>2.072287435</v>
      </c>
      <c r="AD4006" s="82">
        <f>IFERROR(__xludf.DUMMYFUNCTION("""COMPUTED_VALUE"""),1.1361372347200323)</f>
        <v>1.136137235</v>
      </c>
      <c r="AE4006" s="82">
        <f>IFERROR(__xludf.DUMMYFUNCTION("""COMPUTED_VALUE"""),1.088099866611975)</f>
        <v>1.088099867</v>
      </c>
      <c r="AF4006" s="82">
        <f>IFERROR(__xludf.DUMMYFUNCTION("""COMPUTED_VALUE"""),1.202586583188643)</f>
        <v>1.202586583</v>
      </c>
      <c r="AG4006" s="82">
        <f>IFERROR(__xludf.DUMMYFUNCTION("""COMPUTED_VALUE"""),1.177636272885498)</f>
        <v>1.177636273</v>
      </c>
      <c r="AH4006" s="82">
        <f>IFERROR(__xludf.DUMMYFUNCTION("""COMPUTED_VALUE"""),1.0677891106197388)</f>
        <v>1.067789111</v>
      </c>
      <c r="AI4006" s="82">
        <f>IFERROR(__xludf.DUMMYFUNCTION("""COMPUTED_VALUE"""),0.8889576899098586)</f>
        <v>0.8889576899</v>
      </c>
      <c r="AJ4006" s="82">
        <f>IFERROR(__xludf.DUMMYFUNCTION("""COMPUTED_VALUE"""),0.7102398457240813)</f>
        <v>0.7102398457</v>
      </c>
      <c r="AK4006" s="82">
        <f>IFERROR(__xludf.DUMMYFUNCTION("""COMPUTED_VALUE"""),0.7255180992045263)</f>
        <v>0.7255180992</v>
      </c>
      <c r="AL4006" s="82">
        <f>IFERROR(__xludf.DUMMYFUNCTION("""COMPUTED_VALUE"""),0.8559560825517504)</f>
        <v>0.8559560826</v>
      </c>
      <c r="AM4006" s="82">
        <f>IFERROR(__xludf.DUMMYFUNCTION("""COMPUTED_VALUE"""),0.9861042433614605)</f>
        <v>0.9861042434</v>
      </c>
      <c r="AN4006" s="82">
        <f>IFERROR(__xludf.DUMMYFUNCTION("""COMPUTED_VALUE"""),1.2270268777584492)</f>
        <v>1.227026878</v>
      </c>
      <c r="AO4006" s="82">
        <f>IFERROR(__xludf.DUMMYFUNCTION("""COMPUTED_VALUE"""),1.2003634312255358)</f>
        <v>1.200363431</v>
      </c>
      <c r="AP4006" s="82">
        <f>IFERROR(__xludf.DUMMYFUNCTION("""COMPUTED_VALUE"""),1.2740262207419635)</f>
        <v>1.274026221</v>
      </c>
      <c r="AQ4006" s="82">
        <f>IFERROR(__xludf.DUMMYFUNCTION("""COMPUTED_VALUE"""),1.3509385748156075)</f>
        <v>1.350938575</v>
      </c>
      <c r="AR4006" s="82">
        <f>IFERROR(__xludf.DUMMYFUNCTION("""COMPUTED_VALUE"""),1.1448469091804672)</f>
        <v>1.144846909</v>
      </c>
      <c r="AS4006" s="82">
        <f>IFERROR(__xludf.DUMMYFUNCTION("""COMPUTED_VALUE"""),317.0)</f>
        <v>317</v>
      </c>
      <c r="AT4006" s="82">
        <f>IFERROR(__xludf.DUMMYFUNCTION("""COMPUTED_VALUE"""),0.933285340403763)</f>
        <v>0.9332853404</v>
      </c>
      <c r="AU4006" s="82">
        <f>IFERROR(__xludf.DUMMYFUNCTION("""COMPUTED_VALUE"""),2.9940584082096464)</f>
        <v>2.994058408</v>
      </c>
      <c r="AV4006" s="82">
        <f>IFERROR(__xludf.DUMMYFUNCTION("""COMPUTED_VALUE"""),69.77762513336228)</f>
        <v>69.77762513</v>
      </c>
      <c r="AW4006" s="82">
        <f t="shared" si="1"/>
        <v>4.663279525</v>
      </c>
      <c r="AX4006" s="83">
        <f t="array" ref="AX4006">IFERROR(DGET('SBV Import'!A:G,"SBV",{"RSC ID","Tier";B4006,A4006}))</f>
        <v>65.76412708</v>
      </c>
      <c r="AY4006" s="82">
        <f t="shared" si="2"/>
        <v>3.785549132</v>
      </c>
      <c r="AZ4006" s="82">
        <v>0.877730392895467</v>
      </c>
      <c r="BA4006" s="84">
        <v>4000.0</v>
      </c>
      <c r="BB4006" s="84" t="b">
        <f>IFERROR(__xludf.DUMMYFUNCTION("iferror(if(A4006="""",,E4006&gt;=FILTER(Constants!$F$2:$F$10,Constants!$A$2:$A$10=A4006)))"),TRUE)</f>
        <v>1</v>
      </c>
    </row>
    <row r="4007">
      <c r="A4007" s="89" t="str">
        <f>IFERROR(__xludf.DUMMYFUNCTION("""COMPUTED_VALUE"""),"Amateur")</f>
        <v>Amateur</v>
      </c>
      <c r="B4007" s="87" t="str">
        <f>IFERROR(__xludf.DUMMYFUNCTION("""COMPUTED_VALUE"""),"RSC007306")</f>
        <v>RSC007306</v>
      </c>
      <c r="C4007" s="73" t="str">
        <f>IFERROR(__xludf.DUMMYFUNCTION("""COMPUTED_VALUE"""),"SAMCRO-8640")</f>
        <v>SAMCRO-8640</v>
      </c>
      <c r="D4007" s="73"/>
      <c r="E4007" s="82">
        <f>IFERROR(__xludf.DUMMYFUNCTION("""COMPUTED_VALUE"""),8.0)</f>
        <v>8</v>
      </c>
      <c r="F4007" s="82">
        <f>IFERROR(__xludf.DUMMYFUNCTION("""COMPUTED_VALUE"""),5.0)</f>
        <v>5</v>
      </c>
      <c r="G4007" s="86">
        <f>IFERROR(__xludf.DUMMYFUNCTION("""COMPUTED_VALUE"""),3.0)</f>
        <v>3</v>
      </c>
      <c r="H4007" s="86">
        <f>IFERROR(__xludf.DUMMYFUNCTION("""COMPUTED_VALUE"""),0.625)</f>
        <v>0.625</v>
      </c>
      <c r="I4007" s="86">
        <f>IFERROR(__xludf.DUMMYFUNCTION("""COMPUTED_VALUE"""),0.8125)</f>
        <v>0.8125</v>
      </c>
      <c r="J4007" s="82">
        <f>IFERROR(__xludf.DUMMYFUNCTION("""COMPUTED_VALUE"""),333.5)</f>
        <v>333.5</v>
      </c>
      <c r="K4007" s="82">
        <f>IFERROR(__xludf.DUMMYFUNCTION("""COMPUTED_VALUE"""),1.625)</f>
        <v>1.625</v>
      </c>
      <c r="L4007" s="82">
        <f>IFERROR(__xludf.DUMMYFUNCTION("""COMPUTED_VALUE"""),0.25)</f>
        <v>0.25</v>
      </c>
      <c r="M4007" s="82">
        <f>IFERROR(__xludf.DUMMYFUNCTION("""COMPUTED_VALUE"""),0.5)</f>
        <v>0.5</v>
      </c>
      <c r="N4007" s="82">
        <f>IFERROR(__xludf.DUMMYFUNCTION("""COMPUTED_VALUE"""),2.0)</f>
        <v>2</v>
      </c>
      <c r="O4007" s="82">
        <f>IFERROR(__xludf.DUMMYFUNCTION("""COMPUTED_VALUE"""),297.8229166666667)</f>
        <v>297.8229167</v>
      </c>
      <c r="P4007" s="82">
        <f>IFERROR(__xludf.DUMMYFUNCTION("""COMPUTED_VALUE"""),0.9062500000000001)</f>
        <v>0.90625</v>
      </c>
      <c r="Q4007" s="82">
        <f>IFERROR(__xludf.DUMMYFUNCTION("""COMPUTED_VALUE"""),0.53125)</f>
        <v>0.53125</v>
      </c>
      <c r="R4007" s="82">
        <f>IFERROR(__xludf.DUMMYFUNCTION("""COMPUTED_VALUE"""),0.8229166666666666)</f>
        <v>0.8229166667</v>
      </c>
      <c r="S4007" s="82">
        <f>IFERROR(__xludf.DUMMYFUNCTION("""COMPUTED_VALUE"""),1.9270833333333333)</f>
        <v>1.927083333</v>
      </c>
      <c r="T4007" s="82">
        <f>IFERROR(__xludf.DUMMYFUNCTION("""COMPUTED_VALUE"""),293.99670750269837)</f>
        <v>293.9967075</v>
      </c>
      <c r="U4007" s="82">
        <f>IFERROR(__xludf.DUMMYFUNCTION("""COMPUTED_VALUE"""),0.7668332041318513)</f>
        <v>0.7668332041</v>
      </c>
      <c r="V4007" s="82">
        <f>IFERROR(__xludf.DUMMYFUNCTION("""COMPUTED_VALUE"""),0.4586163946947218)</f>
        <v>0.4586163947</v>
      </c>
      <c r="W4007" s="82">
        <f>IFERROR(__xludf.DUMMYFUNCTION("""COMPUTED_VALUE"""),0.8625783538931617)</f>
        <v>0.8625783539</v>
      </c>
      <c r="X4007" s="82">
        <f>IFERROR(__xludf.DUMMYFUNCTION("""COMPUTED_VALUE"""),2.075129791778444)</f>
        <v>2.075129792</v>
      </c>
      <c r="Y4007" s="82">
        <f>IFERROR(__xludf.DUMMYFUNCTION("""COMPUTED_VALUE"""),300.6288320201978)</f>
        <v>300.628832</v>
      </c>
      <c r="Z4007" s="82">
        <f>IFERROR(__xludf.DUMMYFUNCTION("""COMPUTED_VALUE"""),0.8199718050025454)</f>
        <v>0.819971805</v>
      </c>
      <c r="AA4007" s="82">
        <f>IFERROR(__xludf.DUMMYFUNCTION("""COMPUTED_VALUE"""),0.45485709223429743)</f>
        <v>0.4548570922</v>
      </c>
      <c r="AB4007" s="82">
        <f>IFERROR(__xludf.DUMMYFUNCTION("""COMPUTED_VALUE"""),0.8872208920357811)</f>
        <v>0.887220892</v>
      </c>
      <c r="AC4007" s="82">
        <f>IFERROR(__xludf.DUMMYFUNCTION("""COMPUTED_VALUE"""),2.047724904127771)</f>
        <v>2.047724904</v>
      </c>
      <c r="AD4007" s="82">
        <f>IFERROR(__xludf.DUMMYFUNCTION("""COMPUTED_VALUE"""),1.109341368753326)</f>
        <v>1.109341369</v>
      </c>
      <c r="AE4007" s="82">
        <f>IFERROR(__xludf.DUMMYFUNCTION("""COMPUTED_VALUE"""),1.9817754587244076)</f>
        <v>1.981775459</v>
      </c>
      <c r="AF4007" s="82">
        <f>IFERROR(__xludf.DUMMYFUNCTION("""COMPUTED_VALUE"""),0.5496231767476205)</f>
        <v>0.5496231767</v>
      </c>
      <c r="AG4007" s="82">
        <f>IFERROR(__xludf.DUMMYFUNCTION("""COMPUTED_VALUE"""),0.5635575136792825)</f>
        <v>0.5635575137</v>
      </c>
      <c r="AH4007" s="82">
        <f>IFERROR(__xludf.DUMMYFUNCTION("""COMPUTED_VALUE"""),0.9766936935564109)</f>
        <v>0.9766936936</v>
      </c>
      <c r="AI4007" s="82">
        <f>IFERROR(__xludf.DUMMYFUNCTION("""COMPUTED_VALUE"""),1.013014462632828)</f>
        <v>1.013014463</v>
      </c>
      <c r="AJ4007" s="82">
        <f>IFERROR(__xludf.DUMMYFUNCTION("""COMPUTED_VALUE"""),1.1818085016623474)</f>
        <v>1.181808502</v>
      </c>
      <c r="AK4007" s="82">
        <f>IFERROR(__xludf.DUMMYFUNCTION("""COMPUTED_VALUE"""),1.1583755097844393)</f>
        <v>1.15837551</v>
      </c>
      <c r="AL4007" s="82">
        <f>IFERROR(__xludf.DUMMYFUNCTION("""COMPUTED_VALUE"""),0.9540196121923463)</f>
        <v>0.9540196122</v>
      </c>
      <c r="AM4007" s="82">
        <f>IFERROR(__xludf.DUMMYFUNCTION("""COMPUTED_VALUE"""),0.9286567717201771)</f>
        <v>0.9286567717</v>
      </c>
      <c r="AN4007" s="82">
        <f>IFERROR(__xludf.DUMMYFUNCTION("""COMPUTED_VALUE"""),1.2015388764556014)</f>
        <v>1.201538876</v>
      </c>
      <c r="AO4007" s="82">
        <f>IFERROR(__xludf.DUMMYFUNCTION("""COMPUTED_VALUE"""),2.2360428551183)</f>
        <v>2.236042855</v>
      </c>
      <c r="AP4007" s="82">
        <f>IFERROR(__xludf.DUMMYFUNCTION("""COMPUTED_VALUE"""),0.5987923237487229)</f>
        <v>0.5987923237</v>
      </c>
      <c r="AQ4007" s="82">
        <f>IFERROR(__xludf.DUMMYFUNCTION("""COMPUTED_VALUE"""),0.6224913040817016)</f>
        <v>0.6224913041</v>
      </c>
      <c r="AR4007" s="82">
        <f>IFERROR(__xludf.DUMMYFUNCTION("""COMPUTED_VALUE"""),1.0347654756054223)</f>
        <v>1.034765476</v>
      </c>
      <c r="AS4007" s="82">
        <f>IFERROR(__xludf.DUMMYFUNCTION("""COMPUTED_VALUE"""),35.0)</f>
        <v>35</v>
      </c>
      <c r="AT4007" s="82">
        <f>IFERROR(__xludf.DUMMYFUNCTION("""COMPUTED_VALUE"""),0.6973621750239064)</f>
        <v>0.697362175</v>
      </c>
      <c r="AU4007" s="82">
        <f>IFERROR(__xludf.DUMMYFUNCTION("""COMPUTED_VALUE"""),2.9866733222121624)</f>
        <v>2.986673322</v>
      </c>
      <c r="AV4007" s="82">
        <f>IFERROR(__xludf.DUMMYFUNCTION("""COMPUTED_VALUE"""),69.63237618367602)</f>
        <v>69.63237618</v>
      </c>
      <c r="AW4007" s="82">
        <f t="shared" si="1"/>
        <v>4.626624477</v>
      </c>
      <c r="AX4007" s="83">
        <f t="array" ref="AX4007">IFERROR(DGET('SBV Import'!A:G,"SBV",{"RSC ID","Tier";B4007,A4007}))</f>
        <v>51.12678671</v>
      </c>
      <c r="AY4007" s="82">
        <f t="shared" si="2"/>
        <v>2.074580455</v>
      </c>
      <c r="AZ4007" s="82">
        <v>2.552044021888673</v>
      </c>
      <c r="BA4007" s="84">
        <v>4000.0</v>
      </c>
      <c r="BB4007" s="84" t="b">
        <f>IFERROR(__xludf.DUMMYFUNCTION("iferror(if(A4007="""",,E4007&gt;=FILTER(Constants!$F$2:$F$10,Constants!$A$2:$A$10=A4007)))"),TRUE)</f>
        <v>1</v>
      </c>
    </row>
    <row r="4008">
      <c r="A4008" s="89" t="str">
        <f>IFERROR(__xludf.DUMMYFUNCTION("""COMPUTED_VALUE"""),"Amateur")</f>
        <v>Amateur</v>
      </c>
      <c r="B4008" s="87" t="str">
        <f>IFERROR(__xludf.DUMMYFUNCTION("""COMPUTED_VALUE"""),"RSC007468")</f>
        <v>RSC007468</v>
      </c>
      <c r="C4008" s="73" t="str">
        <f>IFERROR(__xludf.DUMMYFUNCTION("""COMPUTED_VALUE"""),"im_link42")</f>
        <v>im_link42</v>
      </c>
      <c r="D4008" s="73" t="str">
        <f>IFERROR(__xludf.DUMMYFUNCTION("""COMPUTED_VALUE"""),"Amaranth")</f>
        <v>Amaranth</v>
      </c>
      <c r="E4008" s="82">
        <f>IFERROR(__xludf.DUMMYFUNCTION("""COMPUTED_VALUE"""),46.0)</f>
        <v>46</v>
      </c>
      <c r="F4008" s="82">
        <f>IFERROR(__xludf.DUMMYFUNCTION("""COMPUTED_VALUE"""),26.0)</f>
        <v>26</v>
      </c>
      <c r="G4008" s="86">
        <f>IFERROR(__xludf.DUMMYFUNCTION("""COMPUTED_VALUE"""),20.0)</f>
        <v>20</v>
      </c>
      <c r="H4008" s="86">
        <f>IFERROR(__xludf.DUMMYFUNCTION("""COMPUTED_VALUE"""),0.5652173913043478)</f>
        <v>0.5652173913</v>
      </c>
      <c r="I4008" s="86">
        <f>IFERROR(__xludf.DUMMYFUNCTION("""COMPUTED_VALUE"""),0.4067796610169492)</f>
        <v>0.406779661</v>
      </c>
      <c r="J4008" s="82">
        <f>IFERROR(__xludf.DUMMYFUNCTION("""COMPUTED_VALUE"""),316.17391304347825)</f>
        <v>316.173913</v>
      </c>
      <c r="K4008" s="82">
        <f>IFERROR(__xludf.DUMMYFUNCTION("""COMPUTED_VALUE"""),1.0434782608695652)</f>
        <v>1.043478261</v>
      </c>
      <c r="L4008" s="82">
        <f>IFERROR(__xludf.DUMMYFUNCTION("""COMPUTED_VALUE"""),0.41304347826086957)</f>
        <v>0.4130434783</v>
      </c>
      <c r="M4008" s="82">
        <f>IFERROR(__xludf.DUMMYFUNCTION("""COMPUTED_VALUE"""),0.717391304347826)</f>
        <v>0.7173913043</v>
      </c>
      <c r="N4008" s="82">
        <f>IFERROR(__xludf.DUMMYFUNCTION("""COMPUTED_VALUE"""),2.5652173913043477)</f>
        <v>2.565217391</v>
      </c>
      <c r="O4008" s="82">
        <f>IFERROR(__xludf.DUMMYFUNCTION("""COMPUTED_VALUE"""),285.8925925925925)</f>
        <v>285.8925926</v>
      </c>
      <c r="P4008" s="82">
        <f>IFERROR(__xludf.DUMMYFUNCTION("""COMPUTED_VALUE"""),0.6537037037037037)</f>
        <v>0.6537037037</v>
      </c>
      <c r="Q4008" s="82">
        <f>IFERROR(__xludf.DUMMYFUNCTION("""COMPUTED_VALUE"""),0.38333333333333347)</f>
        <v>0.3833333333</v>
      </c>
      <c r="R4008" s="82">
        <f>IFERROR(__xludf.DUMMYFUNCTION("""COMPUTED_VALUE"""),0.9629629629629629)</f>
        <v>0.962962963</v>
      </c>
      <c r="S4008" s="82">
        <f>IFERROR(__xludf.DUMMYFUNCTION("""COMPUTED_VALUE"""),2.0055555555555546)</f>
        <v>2.005555556</v>
      </c>
      <c r="T4008" s="82">
        <f>IFERROR(__xludf.DUMMYFUNCTION("""COMPUTED_VALUE"""),289.3994600957472)</f>
        <v>289.3994601</v>
      </c>
      <c r="U4008" s="82">
        <f>IFERROR(__xludf.DUMMYFUNCTION("""COMPUTED_VALUE"""),0.7623662816955096)</f>
        <v>0.7623662817</v>
      </c>
      <c r="V4008" s="82">
        <f>IFERROR(__xludf.DUMMYFUNCTION("""COMPUTED_VALUE"""),0.4248183225770915)</f>
        <v>0.4248183226</v>
      </c>
      <c r="W4008" s="82">
        <f>IFERROR(__xludf.DUMMYFUNCTION("""COMPUTED_VALUE"""),0.8613581163105513)</f>
        <v>0.8613581163</v>
      </c>
      <c r="X4008" s="82">
        <f>IFERROR(__xludf.DUMMYFUNCTION("""COMPUTED_VALUE"""),2.05469700462214)</f>
        <v>2.054697005</v>
      </c>
      <c r="Y4008" s="82">
        <f>IFERROR(__xludf.DUMMYFUNCTION("""COMPUTED_VALUE"""),298.797028733595)</f>
        <v>298.7970287</v>
      </c>
      <c r="Z4008" s="82">
        <f>IFERROR(__xludf.DUMMYFUNCTION("""COMPUTED_VALUE"""),0.8042239957308339)</f>
        <v>0.8042239957</v>
      </c>
      <c r="AA4008" s="82">
        <f>IFERROR(__xludf.DUMMYFUNCTION("""COMPUTED_VALUE"""),0.4650227023439182)</f>
        <v>0.4650227023</v>
      </c>
      <c r="AB4008" s="82">
        <f>IFERROR(__xludf.DUMMYFUNCTION("""COMPUTED_VALUE"""),0.8729595519818996)</f>
        <v>0.872959552</v>
      </c>
      <c r="AC4008" s="82">
        <f>IFERROR(__xludf.DUMMYFUNCTION("""COMPUTED_VALUE"""),2.1026305912989267)</f>
        <v>2.102630591</v>
      </c>
      <c r="AD4008" s="82">
        <f>IFERROR(__xludf.DUMMYFUNCTION("""COMPUTED_VALUE"""),1.0581561482841126)</f>
        <v>1.058156148</v>
      </c>
      <c r="AE4008" s="82">
        <f>IFERROR(__xludf.DUMMYFUNCTION("""COMPUTED_VALUE"""),1.297497048594416)</f>
        <v>1.297497049</v>
      </c>
      <c r="AF4008" s="82">
        <f>IFERROR(__xludf.DUMMYFUNCTION("""COMPUTED_VALUE"""),0.8882221796461752)</f>
        <v>0.8882221796</v>
      </c>
      <c r="AG4008" s="82">
        <f>IFERROR(__xludf.DUMMYFUNCTION("""COMPUTED_VALUE"""),0.8217921468630667)</f>
        <v>0.8217921469</v>
      </c>
      <c r="AH4008" s="82">
        <f>IFERROR(__xludf.DUMMYFUNCTION("""COMPUTED_VALUE"""),1.2200038380111515)</f>
        <v>1.220003838</v>
      </c>
      <c r="AI4008" s="82">
        <f>IFERROR(__xludf.DUMMYFUNCTION("""COMPUTED_VALUE"""),0.987882259690483)</f>
        <v>0.9878822597</v>
      </c>
      <c r="AJ4008" s="82">
        <f>IFERROR(__xludf.DUMMYFUNCTION("""COMPUTED_VALUE"""),0.8574667051772813)</f>
        <v>0.8574667052</v>
      </c>
      <c r="AK4008" s="82">
        <f>IFERROR(__xludf.DUMMYFUNCTION("""COMPUTED_VALUE"""),0.9023465160539779)</f>
        <v>0.9023465161</v>
      </c>
      <c r="AL4008" s="82">
        <f>IFERROR(__xludf.DUMMYFUNCTION("""COMPUTED_VALUE"""),1.117958889256904)</f>
        <v>1.117958889</v>
      </c>
      <c r="AM4008" s="82">
        <f>IFERROR(__xludf.DUMMYFUNCTION("""COMPUTED_VALUE"""),0.9760833597576483)</f>
        <v>0.9760833598</v>
      </c>
      <c r="AN4008" s="82">
        <f>IFERROR(__xludf.DUMMYFUNCTION("""COMPUTED_VALUE"""),1.139116186635178)</f>
        <v>1.139116187</v>
      </c>
      <c r="AO4008" s="82">
        <f>IFERROR(__xludf.DUMMYFUNCTION("""COMPUTED_VALUE"""),1.4358536059622526)</f>
        <v>1.435853606</v>
      </c>
      <c r="AP4008" s="82">
        <f>IFERROR(__xludf.DUMMYFUNCTION("""COMPUTED_VALUE"""),0.9893090566283248)</f>
        <v>0.9893090566</v>
      </c>
      <c r="AQ4008" s="82">
        <f>IFERROR(__xludf.DUMMYFUNCTION("""COMPUTED_VALUE"""),0.8931396971607023)</f>
        <v>0.8931396972</v>
      </c>
      <c r="AR4008" s="82">
        <f>IFERROR(__xludf.DUMMYFUNCTION("""COMPUTED_VALUE"""),1.327199196972172)</f>
        <v>1.327199197</v>
      </c>
      <c r="AS4008" s="82">
        <f>IFERROR(__xludf.DUMMYFUNCTION("""COMPUTED_VALUE"""),264.0)</f>
        <v>264</v>
      </c>
      <c r="AT4008" s="82">
        <f>IFERROR(__xludf.DUMMYFUNCTION("""COMPUTED_VALUE"""),0.8731468138511695)</f>
        <v>0.8731468139</v>
      </c>
      <c r="AU4008" s="82">
        <f>IFERROR(__xludf.DUMMYFUNCTION("""COMPUTED_VALUE"""),2.922594998780059)</f>
        <v>2.922594999</v>
      </c>
      <c r="AV4008" s="82">
        <f>IFERROR(__xludf.DUMMYFUNCTION("""COMPUTED_VALUE"""),68.37209171585252)</f>
        <v>68.37209172</v>
      </c>
      <c r="AW4008" s="82">
        <f t="shared" si="1"/>
        <v>4.325162748</v>
      </c>
      <c r="AX4008" s="83">
        <f t="array" ref="AX4008">IFERROR(DGET('SBV Import'!A:G,"SBV",{"RSC ID","Tier";B4008,A4008}))</f>
        <v>57.25156313</v>
      </c>
      <c r="AY4008" s="82">
        <f t="shared" si="2"/>
        <v>2.591450995</v>
      </c>
      <c r="AZ4008" s="82">
        <v>1.733711753395939</v>
      </c>
      <c r="BA4008" s="84">
        <v>4000.0</v>
      </c>
      <c r="BB4008" s="84" t="b">
        <f>IFERROR(__xludf.DUMMYFUNCTION("iferror(if(A4008="""",,E4008&gt;=FILTER(Constants!$F$2:$F$10,Constants!$A$2:$A$10=A4008)))"),TRUE)</f>
        <v>1</v>
      </c>
    </row>
    <row r="4009">
      <c r="A4009" s="89" t="str">
        <f>IFERROR(__xludf.DUMMYFUNCTION("""COMPUTED_VALUE"""),"Amateur")</f>
        <v>Amateur</v>
      </c>
      <c r="B4009" s="87" t="str">
        <f>IFERROR(__xludf.DUMMYFUNCTION("""COMPUTED_VALUE"""),"RSC007621")</f>
        <v>RSC007621</v>
      </c>
      <c r="C4009" s="73" t="str">
        <f>IFERROR(__xludf.DUMMYFUNCTION("""COMPUTED_VALUE"""),"Classy-God57")</f>
        <v>Classy-God57</v>
      </c>
      <c r="D4009" s="73" t="str">
        <f>IFERROR(__xludf.DUMMYFUNCTION("""COMPUTED_VALUE"""),"Winter Fresh")</f>
        <v>Winter Fresh</v>
      </c>
      <c r="E4009" s="82">
        <f>IFERROR(__xludf.DUMMYFUNCTION("""COMPUTED_VALUE"""),39.0)</f>
        <v>39</v>
      </c>
      <c r="F4009" s="82">
        <f>IFERROR(__xludf.DUMMYFUNCTION("""COMPUTED_VALUE"""),17.0)</f>
        <v>17</v>
      </c>
      <c r="G4009" s="86">
        <f>IFERROR(__xludf.DUMMYFUNCTION("""COMPUTED_VALUE"""),22.0)</f>
        <v>22</v>
      </c>
      <c r="H4009" s="86">
        <f>IFERROR(__xludf.DUMMYFUNCTION("""COMPUTED_VALUE"""),0.4358974358974359)</f>
        <v>0.4358974359</v>
      </c>
      <c r="I4009" s="86">
        <f>IFERROR(__xludf.DUMMYFUNCTION("""COMPUTED_VALUE"""),0.37999999999999995)</f>
        <v>0.38</v>
      </c>
      <c r="J4009" s="82">
        <f>IFERROR(__xludf.DUMMYFUNCTION("""COMPUTED_VALUE"""),360.87179487179486)</f>
        <v>360.8717949</v>
      </c>
      <c r="K4009" s="82">
        <f>IFERROR(__xludf.DUMMYFUNCTION("""COMPUTED_VALUE"""),0.9743589743589743)</f>
        <v>0.9743589744</v>
      </c>
      <c r="L4009" s="82">
        <f>IFERROR(__xludf.DUMMYFUNCTION("""COMPUTED_VALUE"""),0.48717948717948717)</f>
        <v>0.4871794872</v>
      </c>
      <c r="M4009" s="82">
        <f>IFERROR(__xludf.DUMMYFUNCTION("""COMPUTED_VALUE"""),1.0)</f>
        <v>1</v>
      </c>
      <c r="N4009" s="82">
        <f>IFERROR(__xludf.DUMMYFUNCTION("""COMPUTED_VALUE"""),2.5641025641025643)</f>
        <v>2.564102564</v>
      </c>
      <c r="O4009" s="82">
        <f>IFERROR(__xludf.DUMMYFUNCTION("""COMPUTED_VALUE"""),315.9401709401709)</f>
        <v>315.9401709</v>
      </c>
      <c r="P4009" s="82">
        <f>IFERROR(__xludf.DUMMYFUNCTION("""COMPUTED_VALUE"""),0.9316239316239315)</f>
        <v>0.9316239316</v>
      </c>
      <c r="Q4009" s="82">
        <f>IFERROR(__xludf.DUMMYFUNCTION("""COMPUTED_VALUE"""),0.5982905982905982)</f>
        <v>0.5982905983</v>
      </c>
      <c r="R4009" s="82">
        <f>IFERROR(__xludf.DUMMYFUNCTION("""COMPUTED_VALUE"""),0.871794871794872)</f>
        <v>0.8717948718</v>
      </c>
      <c r="S4009" s="82">
        <f>IFERROR(__xludf.DUMMYFUNCTION("""COMPUTED_VALUE"""),2.2136752136752134)</f>
        <v>2.213675214</v>
      </c>
      <c r="T4009" s="82">
        <f>IFERROR(__xludf.DUMMYFUNCTION("""COMPUTED_VALUE"""),296.48566654869256)</f>
        <v>296.4856665</v>
      </c>
      <c r="U4009" s="82">
        <f>IFERROR(__xludf.DUMMYFUNCTION("""COMPUTED_VALUE"""),0.8022717145445568)</f>
        <v>0.8022717145</v>
      </c>
      <c r="V4009" s="82">
        <f>IFERROR(__xludf.DUMMYFUNCTION("""COMPUTED_VALUE"""),0.4459424342612374)</f>
        <v>0.4459424343</v>
      </c>
      <c r="W4009" s="82">
        <f>IFERROR(__xludf.DUMMYFUNCTION("""COMPUTED_VALUE"""),0.8518565213824707)</f>
        <v>0.8518565214</v>
      </c>
      <c r="X4009" s="82">
        <f>IFERROR(__xludf.DUMMYFUNCTION("""COMPUTED_VALUE"""),2.0678489235011575)</f>
        <v>2.067848924</v>
      </c>
      <c r="Y4009" s="82">
        <f>IFERROR(__xludf.DUMMYFUNCTION("""COMPUTED_VALUE"""),291.06349358976723)</f>
        <v>291.0634936</v>
      </c>
      <c r="Z4009" s="82">
        <f>IFERROR(__xludf.DUMMYFUNCTION("""COMPUTED_VALUE"""),0.7435573120100241)</f>
        <v>0.743557312</v>
      </c>
      <c r="AA4009" s="82">
        <f>IFERROR(__xludf.DUMMYFUNCTION("""COMPUTED_VALUE"""),0.40281759117592353)</f>
        <v>0.4028175912</v>
      </c>
      <c r="AB4009" s="82">
        <f>IFERROR(__xludf.DUMMYFUNCTION("""COMPUTED_VALUE"""),0.8894110569872924)</f>
        <v>0.889411057</v>
      </c>
      <c r="AC4009" s="82">
        <f>IFERROR(__xludf.DUMMYFUNCTION("""COMPUTED_VALUE"""),2.0247519927636555)</f>
        <v>2.024751993</v>
      </c>
      <c r="AD4009" s="82">
        <f>IFERROR(__xludf.DUMMYFUNCTION("""COMPUTED_VALUE"""),1.2398387390361545)</f>
        <v>1.239838739</v>
      </c>
      <c r="AE4009" s="82">
        <f>IFERROR(__xludf.DUMMYFUNCTION("""COMPUTED_VALUE"""),1.3104019806153675)</f>
        <v>1.310401981</v>
      </c>
      <c r="AF4009" s="82">
        <f>IFERROR(__xludf.DUMMYFUNCTION("""COMPUTED_VALUE"""),1.2094295230684702)</f>
        <v>1.209429523</v>
      </c>
      <c r="AG4009" s="82">
        <f>IFERROR(__xludf.DUMMYFUNCTION("""COMPUTED_VALUE"""),1.1243395189928336)</f>
        <v>1.124339519</v>
      </c>
      <c r="AH4009" s="82">
        <f>IFERROR(__xludf.DUMMYFUNCTION("""COMPUTED_VALUE"""),1.2663785852620548)</f>
        <v>1.266378585</v>
      </c>
      <c r="AI4009" s="82">
        <f>IFERROR(__xludf.DUMMYFUNCTION("""COMPUTED_VALUE"""),1.065617014872735)</f>
        <v>1.065617015</v>
      </c>
      <c r="AJ4009" s="82">
        <f>IFERROR(__xludf.DUMMYFUNCTION("""COMPUTED_VALUE"""),1.1612324287823197)</f>
        <v>1.161232429</v>
      </c>
      <c r="AK4009" s="82">
        <f>IFERROR(__xludf.DUMMYFUNCTION("""COMPUTED_VALUE"""),1.3416319065525701)</f>
        <v>1.341631907</v>
      </c>
      <c r="AL4009" s="82">
        <f>IFERROR(__xludf.DUMMYFUNCTION("""COMPUTED_VALUE"""),1.0234057613130008)</f>
        <v>1.023405761</v>
      </c>
      <c r="AM4009" s="82">
        <f>IFERROR(__xludf.DUMMYFUNCTION("""COMPUTED_VALUE"""),1.0705207660563285)</f>
        <v>1.070520766</v>
      </c>
      <c r="AN4009" s="82">
        <f>IFERROR(__xludf.DUMMYFUNCTION("""COMPUTED_VALUE"""),1.3001543956664847)</f>
        <v>1.300154396</v>
      </c>
      <c r="AO4009" s="82">
        <f>IFERROR(__xludf.DUMMYFUNCTION("""COMPUTED_VALUE"""),1.3407436448835566)</f>
        <v>1.340743645</v>
      </c>
      <c r="AP4009" s="82">
        <f>IFERROR(__xludf.DUMMYFUNCTION("""COMPUTED_VALUE"""),1.166877348843665)</f>
        <v>1.166877349</v>
      </c>
      <c r="AQ4009" s="82">
        <f>IFERROR(__xludf.DUMMYFUNCTION("""COMPUTED_VALUE"""),1.2449826081634032)</f>
        <v>1.244982608</v>
      </c>
      <c r="AR4009" s="82">
        <f>IFERROR(__xludf.DUMMYFUNCTION("""COMPUTED_VALUE"""),1.3266224046223363)</f>
        <v>1.326622405</v>
      </c>
      <c r="AS4009" s="82">
        <f>IFERROR(__xludf.DUMMYFUNCTION("""COMPUTED_VALUE"""),278.0)</f>
        <v>278</v>
      </c>
      <c r="AT4009" s="82">
        <f>IFERROR(__xludf.DUMMYFUNCTION("""COMPUTED_VALUE"""),0.859241750002498)</f>
        <v>0.85924175</v>
      </c>
      <c r="AU4009" s="82">
        <f>IFERROR(__xludf.DUMMYFUNCTION("""COMPUTED_VALUE"""),2.889890915938316)</f>
        <v>2.889890916</v>
      </c>
      <c r="AV4009" s="82">
        <f>IFERROR(__xludf.DUMMYFUNCTION("""COMPUTED_VALUE"""),67.72887189622766)</f>
        <v>67.7288719</v>
      </c>
      <c r="AW4009" s="82">
        <f t="shared" si="1"/>
        <v>4.182102351</v>
      </c>
      <c r="AX4009" s="83">
        <f t="array" ref="AX4009">IFERROR(DGET('SBV Import'!A:G,"SBV",{"RSC ID","Tier";B4009,A4009}))</f>
        <v>65.39305977</v>
      </c>
      <c r="AY4009" s="82">
        <f t="shared" si="2"/>
        <v>3.716934912</v>
      </c>
      <c r="AZ4009" s="82">
        <v>0.46516743896944135</v>
      </c>
      <c r="BA4009" s="84">
        <v>4000.0</v>
      </c>
      <c r="BB4009" s="84" t="b">
        <f>IFERROR(__xludf.DUMMYFUNCTION("iferror(if(A4009="""",,E4009&gt;=FILTER(Constants!$F$2:$F$10,Constants!$A$2:$A$10=A4009)))"),TRUE)</f>
        <v>1</v>
      </c>
    </row>
    <row r="4010">
      <c r="A4010" s="89" t="str">
        <f>IFERROR(__xludf.DUMMYFUNCTION("""COMPUTED_VALUE"""),"Amateur")</f>
        <v>Amateur</v>
      </c>
      <c r="B4010" s="87" t="str">
        <f>IFERROR(__xludf.DUMMYFUNCTION("""COMPUTED_VALUE"""),"RSC007463")</f>
        <v>RSC007463</v>
      </c>
      <c r="C4010" s="73" t="str">
        <f>IFERROR(__xludf.DUMMYFUNCTION("""COMPUTED_VALUE"""),"xproteusx05")</f>
        <v>xproteusx05</v>
      </c>
      <c r="D4010" s="73" t="str">
        <f>IFERROR(__xludf.DUMMYFUNCTION("""COMPUTED_VALUE"""),"Surprise")</f>
        <v>Surprise</v>
      </c>
      <c r="E4010" s="82">
        <f>IFERROR(__xludf.DUMMYFUNCTION("""COMPUTED_VALUE"""),39.0)</f>
        <v>39</v>
      </c>
      <c r="F4010" s="82">
        <f>IFERROR(__xludf.DUMMYFUNCTION("""COMPUTED_VALUE"""),24.0)</f>
        <v>24</v>
      </c>
      <c r="G4010" s="86">
        <f>IFERROR(__xludf.DUMMYFUNCTION("""COMPUTED_VALUE"""),15.0)</f>
        <v>15</v>
      </c>
      <c r="H4010" s="86">
        <f>IFERROR(__xludf.DUMMYFUNCTION("""COMPUTED_VALUE"""),0.6153846153846154)</f>
        <v>0.6153846154</v>
      </c>
      <c r="I4010" s="86">
        <f>IFERROR(__xludf.DUMMYFUNCTION("""COMPUTED_VALUE"""),0.4444444444444444)</f>
        <v>0.4444444444</v>
      </c>
      <c r="J4010" s="82">
        <f>IFERROR(__xludf.DUMMYFUNCTION("""COMPUTED_VALUE"""),308.64102564102564)</f>
        <v>308.6410256</v>
      </c>
      <c r="K4010" s="82">
        <f>IFERROR(__xludf.DUMMYFUNCTION("""COMPUTED_VALUE"""),1.0256410256410255)</f>
        <v>1.025641026</v>
      </c>
      <c r="L4010" s="82">
        <f>IFERROR(__xludf.DUMMYFUNCTION("""COMPUTED_VALUE"""),0.41025641025641024)</f>
        <v>0.4102564103</v>
      </c>
      <c r="M4010" s="82">
        <f>IFERROR(__xludf.DUMMYFUNCTION("""COMPUTED_VALUE"""),0.8461538461538461)</f>
        <v>0.8461538462</v>
      </c>
      <c r="N4010" s="82">
        <f>IFERROR(__xludf.DUMMYFUNCTION("""COMPUTED_VALUE"""),2.3076923076923075)</f>
        <v>2.307692308</v>
      </c>
      <c r="O4010" s="82">
        <f>IFERROR(__xludf.DUMMYFUNCTION("""COMPUTED_VALUE"""),276.2905982905981)</f>
        <v>276.2905983</v>
      </c>
      <c r="P4010" s="82">
        <f>IFERROR(__xludf.DUMMYFUNCTION("""COMPUTED_VALUE"""),0.6645299145299145)</f>
        <v>0.6645299145</v>
      </c>
      <c r="Q4010" s="82">
        <f>IFERROR(__xludf.DUMMYFUNCTION("""COMPUTED_VALUE"""),0.26923076923076916)</f>
        <v>0.2692307692</v>
      </c>
      <c r="R4010" s="82">
        <f>IFERROR(__xludf.DUMMYFUNCTION("""COMPUTED_VALUE"""),0.9166666666666669)</f>
        <v>0.9166666667</v>
      </c>
      <c r="S4010" s="82">
        <f>IFERROR(__xludf.DUMMYFUNCTION("""COMPUTED_VALUE"""),1.786324786324786)</f>
        <v>1.786324786</v>
      </c>
      <c r="T4010" s="82">
        <f>IFERROR(__xludf.DUMMYFUNCTION("""COMPUTED_VALUE"""),302.05839247497835)</f>
        <v>302.0583925</v>
      </c>
      <c r="U4010" s="82">
        <f>IFERROR(__xludf.DUMMYFUNCTION("""COMPUTED_VALUE"""),0.8052859844308182)</f>
        <v>0.8052859844</v>
      </c>
      <c r="V4010" s="82">
        <f>IFERROR(__xludf.DUMMYFUNCTION("""COMPUTED_VALUE"""),0.45536783078067966)</f>
        <v>0.4553678308</v>
      </c>
      <c r="W4010" s="82">
        <f>IFERROR(__xludf.DUMMYFUNCTION("""COMPUTED_VALUE"""),0.8974476847608716)</f>
        <v>0.8974476848</v>
      </c>
      <c r="X4010" s="82">
        <f>IFERROR(__xludf.DUMMYFUNCTION("""COMPUTED_VALUE"""),2.104262282244842)</f>
        <v>2.104262282</v>
      </c>
      <c r="Y4010" s="82">
        <f>IFERROR(__xludf.DUMMYFUNCTION("""COMPUTED_VALUE"""),304.86487848263056)</f>
        <v>304.8648785</v>
      </c>
      <c r="Z4010" s="82">
        <f>IFERROR(__xludf.DUMMYFUNCTION("""COMPUTED_VALUE"""),0.849085715748006)</f>
        <v>0.8490857157</v>
      </c>
      <c r="AA4010" s="82">
        <f>IFERROR(__xludf.DUMMYFUNCTION("""COMPUTED_VALUE"""),0.4915216306952463)</f>
        <v>0.4915216307</v>
      </c>
      <c r="AB4010" s="82">
        <f>IFERROR(__xludf.DUMMYFUNCTION("""COMPUTED_VALUE"""),0.8630989551045795)</f>
        <v>0.8630989551</v>
      </c>
      <c r="AC4010" s="82">
        <f>IFERROR(__xludf.DUMMYFUNCTION("""COMPUTED_VALUE"""),2.1686452574218484)</f>
        <v>2.168645257</v>
      </c>
      <c r="AD4010" s="82">
        <f>IFERROR(__xludf.DUMMYFUNCTION("""COMPUTED_VALUE"""),1.0123862977499727)</f>
        <v>1.012386298</v>
      </c>
      <c r="AE4010" s="82">
        <f>IFERROR(__xludf.DUMMYFUNCTION("""COMPUTED_VALUE"""),1.2079357909554307)</f>
        <v>1.207935791</v>
      </c>
      <c r="AF4010" s="82">
        <f>IFERROR(__xludf.DUMMYFUNCTION("""COMPUTED_VALUE"""),0.834666034282381)</f>
        <v>0.8346660343</v>
      </c>
      <c r="AG4010" s="82">
        <f>IFERROR(__xludf.DUMMYFUNCTION("""COMPUTED_VALUE"""),0.9803671307322113)</f>
        <v>0.9803671307</v>
      </c>
      <c r="AH4010" s="82">
        <f>IFERROR(__xludf.DUMMYFUNCTION("""COMPUTED_VALUE"""),1.0641170102830753)</f>
        <v>1.06411701</v>
      </c>
      <c r="AI4010" s="82">
        <f>IFERROR(__xludf.DUMMYFUNCTION("""COMPUTED_VALUE"""),0.9146926725880832)</f>
        <v>0.9146926726</v>
      </c>
      <c r="AJ4010" s="82">
        <f>IFERROR(__xludf.DUMMYFUNCTION("""COMPUTED_VALUE"""),0.8252098352358745)</f>
        <v>0.8252098352</v>
      </c>
      <c r="AK4010" s="82">
        <f>IFERROR(__xludf.DUMMYFUNCTION("""COMPUTED_VALUE"""),0.5912380081157724)</f>
        <v>0.5912380081</v>
      </c>
      <c r="AL4010" s="82">
        <f>IFERROR(__xludf.DUMMYFUNCTION("""COMPUTED_VALUE"""),1.021415155704498)</f>
        <v>1.021415156</v>
      </c>
      <c r="AM4010" s="82">
        <f>IFERROR(__xludf.DUMMYFUNCTION("""COMPUTED_VALUE"""),0.8489078578261271)</f>
        <v>0.8489078578</v>
      </c>
      <c r="AN4010" s="82">
        <f>IFERROR(__xludf.DUMMYFUNCTION("""COMPUTED_VALUE"""),1.1119765852378483)</f>
        <v>1.111976585</v>
      </c>
      <c r="AO4010" s="82">
        <f>IFERROR(__xludf.DUMMYFUNCTION("""COMPUTED_VALUE"""),1.4113090998774278)</f>
        <v>1.4113091</v>
      </c>
      <c r="AP4010" s="82">
        <f>IFERROR(__xludf.DUMMYFUNCTION("""COMPUTED_VALUE"""),0.9826335569209811)</f>
        <v>0.9826335569</v>
      </c>
      <c r="AQ4010" s="82">
        <f>IFERROR(__xludf.DUMMYFUNCTION("""COMPUTED_VALUE"""),1.0534468222921103)</f>
        <v>1.053446822</v>
      </c>
      <c r="AR4010" s="82">
        <f>IFERROR(__xludf.DUMMYFUNCTION("""COMPUTED_VALUE"""),1.1939601641601025)</f>
        <v>1.193960164</v>
      </c>
      <c r="AS4010" s="82">
        <f>IFERROR(__xludf.DUMMYFUNCTION("""COMPUTED_VALUE"""),284.0)</f>
        <v>284</v>
      </c>
      <c r="AT4010" s="82">
        <f>IFERROR(__xludf.DUMMYFUNCTION("""COMPUTED_VALUE"""),0.920928578524617)</f>
        <v>0.9209285785</v>
      </c>
      <c r="AU4010" s="82">
        <f>IFERROR(__xludf.DUMMYFUNCTION("""COMPUTED_VALUE"""),2.8827842809563826)</f>
        <v>2.882784281</v>
      </c>
      <c r="AV4010" s="82">
        <f>IFERROR(__xludf.DUMMYFUNCTION("""COMPUTED_VALUE"""),67.58909948636253)</f>
        <v>67.58909949</v>
      </c>
      <c r="AW4010" s="82">
        <f t="shared" si="1"/>
        <v>4.151924308</v>
      </c>
      <c r="AX4010" s="83">
        <f t="array" ref="AX4010">IFERROR(DGET('SBV Import'!A:G,"SBV",{"RSC ID","Tier";B4010,A4010}))</f>
        <v>59.87627508</v>
      </c>
      <c r="AY4010" s="82">
        <f t="shared" si="2"/>
        <v>2.886814162</v>
      </c>
      <c r="AZ4010" s="82">
        <v>1.2651101464107817</v>
      </c>
      <c r="BA4010" s="84">
        <v>4000.0</v>
      </c>
      <c r="BB4010" s="84" t="b">
        <f>IFERROR(__xludf.DUMMYFUNCTION("iferror(if(A4010="""",,E4010&gt;=FILTER(Constants!$F$2:$F$10,Constants!$A$2:$A$10=A4010)))"),TRUE)</f>
        <v>1</v>
      </c>
    </row>
    <row r="4011">
      <c r="A4011" s="89" t="str">
        <f>IFERROR(__xludf.DUMMYFUNCTION("""COMPUTED_VALUE"""),"Amateur")</f>
        <v>Amateur</v>
      </c>
      <c r="B4011" s="87" t="str">
        <f>IFERROR(__xludf.DUMMYFUNCTION("""COMPUTED_VALUE"""),"RSC006256")</f>
        <v>RSC006256</v>
      </c>
      <c r="C4011" s="73" t="str">
        <f>IFERROR(__xludf.DUMMYFUNCTION("""COMPUTED_VALUE"""),"CascaUnbroken")</f>
        <v>CascaUnbroken</v>
      </c>
      <c r="D4011" s="73" t="str">
        <f>IFERROR(__xludf.DUMMYFUNCTION("""COMPUTED_VALUE"""),"Aeon Ale")</f>
        <v>Aeon Ale</v>
      </c>
      <c r="E4011" s="82">
        <f>IFERROR(__xludf.DUMMYFUNCTION("""COMPUTED_VALUE"""),47.0)</f>
        <v>47</v>
      </c>
      <c r="F4011" s="82">
        <f>IFERROR(__xludf.DUMMYFUNCTION("""COMPUTED_VALUE"""),22.0)</f>
        <v>22</v>
      </c>
      <c r="G4011" s="86">
        <f>IFERROR(__xludf.DUMMYFUNCTION("""COMPUTED_VALUE"""),25.0)</f>
        <v>25</v>
      </c>
      <c r="H4011" s="86">
        <f>IFERROR(__xludf.DUMMYFUNCTION("""COMPUTED_VALUE"""),0.46808510638297873)</f>
        <v>0.4680851064</v>
      </c>
      <c r="I4011" s="86">
        <f>IFERROR(__xludf.DUMMYFUNCTION("""COMPUTED_VALUE"""),0.39669421487603307)</f>
        <v>0.3966942149</v>
      </c>
      <c r="J4011" s="82">
        <f>IFERROR(__xludf.DUMMYFUNCTION("""COMPUTED_VALUE"""),328.8085106382979)</f>
        <v>328.8085106</v>
      </c>
      <c r="K4011" s="82">
        <f>IFERROR(__xludf.DUMMYFUNCTION("""COMPUTED_VALUE"""),1.0212765957446808)</f>
        <v>1.021276596</v>
      </c>
      <c r="L4011" s="82">
        <f>IFERROR(__xludf.DUMMYFUNCTION("""COMPUTED_VALUE"""),0.3404255319148936)</f>
        <v>0.3404255319</v>
      </c>
      <c r="M4011" s="82">
        <f>IFERROR(__xludf.DUMMYFUNCTION("""COMPUTED_VALUE"""),0.7872340425531915)</f>
        <v>0.7872340426</v>
      </c>
      <c r="N4011" s="82">
        <f>IFERROR(__xludf.DUMMYFUNCTION("""COMPUTED_VALUE"""),2.574468085106383)</f>
        <v>2.574468085</v>
      </c>
      <c r="O4011" s="82">
        <f>IFERROR(__xludf.DUMMYFUNCTION("""COMPUTED_VALUE"""),297.73049645390074)</f>
        <v>297.7304965</v>
      </c>
      <c r="P4011" s="82">
        <f>IFERROR(__xludf.DUMMYFUNCTION("""COMPUTED_VALUE"""),0.7943262411347514)</f>
        <v>0.7943262411</v>
      </c>
      <c r="Q4011" s="82">
        <f>IFERROR(__xludf.DUMMYFUNCTION("""COMPUTED_VALUE"""),0.44680851063829796)</f>
        <v>0.4468085106</v>
      </c>
      <c r="R4011" s="82">
        <f>IFERROR(__xludf.DUMMYFUNCTION("""COMPUTED_VALUE"""),0.8085106382978722)</f>
        <v>0.8085106383</v>
      </c>
      <c r="S4011" s="82">
        <f>IFERROR(__xludf.DUMMYFUNCTION("""COMPUTED_VALUE"""),2.0496453900709217)</f>
        <v>2.04964539</v>
      </c>
      <c r="T4011" s="82">
        <f>IFERROR(__xludf.DUMMYFUNCTION("""COMPUTED_VALUE"""),298.7849809589926)</f>
        <v>298.784981</v>
      </c>
      <c r="U4011" s="82">
        <f>IFERROR(__xludf.DUMMYFUNCTION("""COMPUTED_VALUE"""),0.7753369706490878)</f>
        <v>0.7753369706</v>
      </c>
      <c r="V4011" s="82">
        <f>IFERROR(__xludf.DUMMYFUNCTION("""COMPUTED_VALUE"""),0.4425967233487276)</f>
        <v>0.4425967233</v>
      </c>
      <c r="W4011" s="82">
        <f>IFERROR(__xludf.DUMMYFUNCTION("""COMPUTED_VALUE"""),0.8998737379099792)</f>
        <v>0.8998737379</v>
      </c>
      <c r="X4011" s="82">
        <f>IFERROR(__xludf.DUMMYFUNCTION("""COMPUTED_VALUE"""),2.124944262234602)</f>
        <v>2.124944262</v>
      </c>
      <c r="Y4011" s="82">
        <f>IFERROR(__xludf.DUMMYFUNCTION("""COMPUTED_VALUE"""),297.8143692541691)</f>
        <v>297.8143693</v>
      </c>
      <c r="Z4011" s="82">
        <f>IFERROR(__xludf.DUMMYFUNCTION("""COMPUTED_VALUE"""),0.7903823099602358)</f>
        <v>0.79038231</v>
      </c>
      <c r="AA4011" s="82">
        <f>IFERROR(__xludf.DUMMYFUNCTION("""COMPUTED_VALUE"""),0.44331905334085714)</f>
        <v>0.4433190533</v>
      </c>
      <c r="AB4011" s="82">
        <f>IFERROR(__xludf.DUMMYFUNCTION("""COMPUTED_VALUE"""),0.90679564732905)</f>
        <v>0.9067956473</v>
      </c>
      <c r="AC4011" s="82">
        <f>IFERROR(__xludf.DUMMYFUNCTION("""COMPUTED_VALUE"""),2.084294457100676)</f>
        <v>2.084294457</v>
      </c>
      <c r="AD4011" s="82">
        <f>IFERROR(__xludf.DUMMYFUNCTION("""COMPUTED_VALUE"""),1.1040720145967065)</f>
        <v>1.104072015</v>
      </c>
      <c r="AE4011" s="82">
        <f>IFERROR(__xludf.DUMMYFUNCTION("""COMPUTED_VALUE"""),1.2921298754726194)</f>
        <v>1.292129875</v>
      </c>
      <c r="AF4011" s="82">
        <f>IFERROR(__xludf.DUMMYFUNCTION("""COMPUTED_VALUE"""),0.7679018741681486)</f>
        <v>0.7679018742</v>
      </c>
      <c r="AG4011" s="82">
        <f>IFERROR(__xludf.DUMMYFUNCTION("""COMPUTED_VALUE"""),0.8681493397900343)</f>
        <v>0.8681493398</v>
      </c>
      <c r="AH4011" s="82">
        <f>IFERROR(__xludf.DUMMYFUNCTION("""COMPUTED_VALUE"""),1.2351748460184244)</f>
        <v>1.235174846</v>
      </c>
      <c r="AI4011" s="82">
        <f>IFERROR(__xludf.DUMMYFUNCTION("""COMPUTED_VALUE"""),0.9964707579955748)</f>
        <v>0.996470758</v>
      </c>
      <c r="AJ4011" s="82">
        <f>IFERROR(__xludf.DUMMYFUNCTION("""COMPUTED_VALUE"""),1.0244916355139964)</f>
        <v>1.024491636</v>
      </c>
      <c r="AK4011" s="82">
        <f>IFERROR(__xludf.DUMMYFUNCTION("""COMPUTED_VALUE"""),1.0095160833042405)</f>
        <v>1.009516083</v>
      </c>
      <c r="AL4011" s="82">
        <f>IFERROR(__xludf.DUMMYFUNCTION("""COMPUTED_VALUE"""),0.8984712012772988)</f>
        <v>0.8984712013</v>
      </c>
      <c r="AM4011" s="82">
        <f>IFERROR(__xludf.DUMMYFUNCTION("""COMPUTED_VALUE"""),0.9645643071670521)</f>
        <v>0.9645643072</v>
      </c>
      <c r="AN4011" s="82">
        <f>IFERROR(__xludf.DUMMYFUNCTION("""COMPUTED_VALUE"""),1.184636307170555)</f>
        <v>1.184636307</v>
      </c>
      <c r="AO4011" s="82">
        <f>IFERROR(__xludf.DUMMYFUNCTION("""COMPUTED_VALUE"""),1.4053035292396516)</f>
        <v>1.405303529</v>
      </c>
      <c r="AP4011" s="82">
        <f>IFERROR(__xludf.DUMMYFUNCTION("""COMPUTED_VALUE"""),0.8153767812748567)</f>
        <v>0.8153767813</v>
      </c>
      <c r="AQ4011" s="82">
        <f>IFERROR(__xludf.DUMMYFUNCTION("""COMPUTED_VALUE"""),0.9800926915328919)</f>
        <v>0.9800926915</v>
      </c>
      <c r="AR4011" s="82">
        <f>IFERROR(__xludf.DUMMYFUNCTION("""COMPUTED_VALUE"""),1.3319853462580433)</f>
        <v>1.331985346</v>
      </c>
      <c r="AS4011" s="82">
        <f>IFERROR(__xludf.DUMMYFUNCTION("""COMPUTED_VALUE"""),245.0)</f>
        <v>245</v>
      </c>
      <c r="AT4011" s="82">
        <f>IFERROR(__xludf.DUMMYFUNCTION("""COMPUTED_VALUE"""),0.8022984345455584)</f>
        <v>0.8022984345</v>
      </c>
      <c r="AU4011" s="82">
        <f>IFERROR(__xludf.DUMMYFUNCTION("""COMPUTED_VALUE"""),2.7576950634452295)</f>
        <v>2.757695063</v>
      </c>
      <c r="AV4011" s="82">
        <f>IFERROR(__xludf.DUMMYFUNCTION("""COMPUTED_VALUE"""),65.128860368394)</f>
        <v>65.12886037</v>
      </c>
      <c r="AW4011" s="82">
        <f t="shared" si="1"/>
        <v>3.669210398</v>
      </c>
      <c r="AX4011" s="83">
        <f t="array" ref="AX4011">IFERROR(DGET('SBV Import'!A:G,"SBV",{"RSC ID","Tier";B4011,A4011}))</f>
        <v>62.2679831</v>
      </c>
      <c r="AY4011" s="82">
        <f t="shared" si="2"/>
        <v>3.20705564</v>
      </c>
      <c r="AZ4011" s="82">
        <v>0.46215475821283203</v>
      </c>
      <c r="BA4011" s="84">
        <v>4000.0</v>
      </c>
      <c r="BB4011" s="84" t="b">
        <f>IFERROR(__xludf.DUMMYFUNCTION("iferror(if(A4011="""",,E4011&gt;=FILTER(Constants!$F$2:$F$10,Constants!$A$2:$A$10=A4011)))"),TRUE)</f>
        <v>1</v>
      </c>
    </row>
    <row r="4012">
      <c r="A4012" s="89" t="str">
        <f>IFERROR(__xludf.DUMMYFUNCTION("""COMPUTED_VALUE"""),"Amateur")</f>
        <v>Amateur</v>
      </c>
      <c r="B4012" s="87" t="str">
        <f>IFERROR(__xludf.DUMMYFUNCTION("""COMPUTED_VALUE"""),"RSC008012")</f>
        <v>RSC008012</v>
      </c>
      <c r="C4012" s="73" t="str">
        <f>IFERROR(__xludf.DUMMYFUNCTION("""COMPUTED_VALUE"""),"mushxie")</f>
        <v>mushxie</v>
      </c>
      <c r="D4012" s="73" t="str">
        <f>IFERROR(__xludf.DUMMYFUNCTION("""COMPUTED_VALUE"""),"Amaranth")</f>
        <v>Amaranth</v>
      </c>
      <c r="E4012" s="82">
        <f>IFERROR(__xludf.DUMMYFUNCTION("""COMPUTED_VALUE"""),35.0)</f>
        <v>35</v>
      </c>
      <c r="F4012" s="82">
        <f>IFERROR(__xludf.DUMMYFUNCTION("""COMPUTED_VALUE"""),21.0)</f>
        <v>21</v>
      </c>
      <c r="G4012" s="86">
        <f>IFERROR(__xludf.DUMMYFUNCTION("""COMPUTED_VALUE"""),14.0)</f>
        <v>14</v>
      </c>
      <c r="H4012" s="86">
        <f>IFERROR(__xludf.DUMMYFUNCTION("""COMPUTED_VALUE"""),0.6)</f>
        <v>0.6</v>
      </c>
      <c r="I4012" s="86">
        <f>IFERROR(__xludf.DUMMYFUNCTION("""COMPUTED_VALUE"""),0.2727272727272727)</f>
        <v>0.2727272727</v>
      </c>
      <c r="J4012" s="82">
        <f>IFERROR(__xludf.DUMMYFUNCTION("""COMPUTED_VALUE"""),319.2)</f>
        <v>319.2</v>
      </c>
      <c r="K4012" s="82">
        <f>IFERROR(__xludf.DUMMYFUNCTION("""COMPUTED_VALUE"""),0.6)</f>
        <v>0.6</v>
      </c>
      <c r="L4012" s="82">
        <f>IFERROR(__xludf.DUMMYFUNCTION("""COMPUTED_VALUE"""),0.7428571428571429)</f>
        <v>0.7428571429</v>
      </c>
      <c r="M4012" s="82">
        <f>IFERROR(__xludf.DUMMYFUNCTION("""COMPUTED_VALUE"""),0.9714285714285714)</f>
        <v>0.9714285714</v>
      </c>
      <c r="N4012" s="82">
        <f>IFERROR(__xludf.DUMMYFUNCTION("""COMPUTED_VALUE"""),2.2)</f>
        <v>2.2</v>
      </c>
      <c r="O4012" s="82">
        <f>IFERROR(__xludf.DUMMYFUNCTION("""COMPUTED_VALUE"""),276.4761904761905)</f>
        <v>276.4761905</v>
      </c>
      <c r="P4012" s="82">
        <f>IFERROR(__xludf.DUMMYFUNCTION("""COMPUTED_VALUE"""),0.6000000000000002)</f>
        <v>0.6</v>
      </c>
      <c r="Q4012" s="82">
        <f>IFERROR(__xludf.DUMMYFUNCTION("""COMPUTED_VALUE"""),0.380952380952381)</f>
        <v>0.380952381</v>
      </c>
      <c r="R4012" s="82">
        <f>IFERROR(__xludf.DUMMYFUNCTION("""COMPUTED_VALUE"""),0.9142857142857145)</f>
        <v>0.9142857143</v>
      </c>
      <c r="S4012" s="82">
        <f>IFERROR(__xludf.DUMMYFUNCTION("""COMPUTED_VALUE"""),1.8190476190476197)</f>
        <v>1.819047619</v>
      </c>
      <c r="T4012" s="82">
        <f>IFERROR(__xludf.DUMMYFUNCTION("""COMPUTED_VALUE"""),287.80614048841727)</f>
        <v>287.8061405</v>
      </c>
      <c r="U4012" s="82">
        <f>IFERROR(__xludf.DUMMYFUNCTION("""COMPUTED_VALUE"""),0.7619423740160891)</f>
        <v>0.761942374</v>
      </c>
      <c r="V4012" s="82">
        <f>IFERROR(__xludf.DUMMYFUNCTION("""COMPUTED_VALUE"""),0.4195503843168208)</f>
        <v>0.4195503843</v>
      </c>
      <c r="W4012" s="82">
        <f>IFERROR(__xludf.DUMMYFUNCTION("""COMPUTED_VALUE"""),0.8337530467154158)</f>
        <v>0.8337530467</v>
      </c>
      <c r="X4012" s="82">
        <f>IFERROR(__xludf.DUMMYFUNCTION("""COMPUTED_VALUE"""),2.0378024126759895)</f>
        <v>2.037802413</v>
      </c>
      <c r="Y4012" s="82">
        <f>IFERROR(__xludf.DUMMYFUNCTION("""COMPUTED_VALUE"""),300.5296795112665)</f>
        <v>300.5296795</v>
      </c>
      <c r="Z4012" s="82">
        <f>IFERROR(__xludf.DUMMYFUNCTION("""COMPUTED_VALUE"""),0.8173180304502681)</f>
        <v>0.8173180305</v>
      </c>
      <c r="AA4012" s="82">
        <f>IFERROR(__xludf.DUMMYFUNCTION("""COMPUTED_VALUE"""),0.47776334358509853)</f>
        <v>0.4777633436</v>
      </c>
      <c r="AB4012" s="82">
        <f>IFERROR(__xludf.DUMMYFUNCTION("""COMPUTED_VALUE"""),0.863158316253444)</f>
        <v>0.8631583163</v>
      </c>
      <c r="AC4012" s="82">
        <f>IFERROR(__xludf.DUMMYFUNCTION("""COMPUTED_VALUE"""),2.0946986927991493)</f>
        <v>2.094698693</v>
      </c>
      <c r="AD4012" s="82">
        <f>IFERROR(__xludf.DUMMYFUNCTION("""COMPUTED_VALUE"""),1.0621247143346904)</f>
        <v>1.062124714</v>
      </c>
      <c r="AE4012" s="82">
        <f>IFERROR(__xludf.DUMMYFUNCTION("""COMPUTED_VALUE"""),0.7341083613063747)</f>
        <v>0.7341083613</v>
      </c>
      <c r="AF4012" s="82">
        <f>IFERROR(__xludf.DUMMYFUNCTION("""COMPUTED_VALUE"""),1.554864249908336)</f>
        <v>1.55486425</v>
      </c>
      <c r="AG4012" s="82">
        <f>IFERROR(__xludf.DUMMYFUNCTION("""COMPUTED_VALUE"""),1.1254349904720569)</f>
        <v>1.12543499</v>
      </c>
      <c r="AH4012" s="82">
        <f>IFERROR(__xludf.DUMMYFUNCTION("""COMPUTED_VALUE"""),1.050270383784952)</f>
        <v>1.050270384</v>
      </c>
      <c r="AI4012" s="82">
        <f>IFERROR(__xludf.DUMMYFUNCTION("""COMPUTED_VALUE"""),0.9606333972131399)</f>
        <v>0.9606333972</v>
      </c>
      <c r="AJ4012" s="82">
        <f>IFERROR(__xludf.DUMMYFUNCTION("""COMPUTED_VALUE"""),0.7874611262758444)</f>
        <v>0.7874611263</v>
      </c>
      <c r="AK4012" s="82">
        <f>IFERROR(__xludf.DUMMYFUNCTION("""COMPUTED_VALUE"""),0.9080015063571178)</f>
        <v>0.9080015064</v>
      </c>
      <c r="AL4012" s="82">
        <f>IFERROR(__xludf.DUMMYFUNCTION("""COMPUTED_VALUE"""),1.0965905526673136)</f>
        <v>1.096590553</v>
      </c>
      <c r="AM4012" s="82">
        <f>IFERROR(__xludf.DUMMYFUNCTION("""COMPUTED_VALUE"""),0.8926516171206674)</f>
        <v>0.8926516171</v>
      </c>
      <c r="AN4012" s="82">
        <f>IFERROR(__xludf.DUMMYFUNCTION("""COMPUTED_VALUE"""),1.1500186187844916)</f>
        <v>1.150018619</v>
      </c>
      <c r="AO4012" s="82">
        <f>IFERROR(__xludf.DUMMYFUNCTION("""COMPUTED_VALUE"""),0.8256158234282953)</f>
        <v>0.8256158234</v>
      </c>
      <c r="AP4012" s="82">
        <f>IFERROR(__xludf.DUMMYFUNCTION("""COMPUTED_VALUE"""),1.7792686191390623)</f>
        <v>1.779268619</v>
      </c>
      <c r="AQ4012" s="82">
        <f>IFERROR(__xludf.DUMMYFUNCTION("""COMPUTED_VALUE"""),1.2094116765015916)</f>
        <v>1.209411677</v>
      </c>
      <c r="AR4012" s="82">
        <f>IFERROR(__xludf.DUMMYFUNCTION("""COMPUTED_VALUE"""),1.1382420231659645)</f>
        <v>1.138242023</v>
      </c>
      <c r="AS4012" s="82">
        <f>IFERROR(__xludf.DUMMYFUNCTION("""COMPUTED_VALUE"""),240.0)</f>
        <v>240</v>
      </c>
      <c r="AT4012" s="82">
        <f>IFERROR(__xludf.DUMMYFUNCTION("""COMPUTED_VALUE"""),0.9230816280138241)</f>
        <v>0.923081628</v>
      </c>
      <c r="AU4012" s="82">
        <f>IFERROR(__xludf.DUMMYFUNCTION("""COMPUTED_VALUE"""),2.753524998261487)</f>
        <v>2.753524998</v>
      </c>
      <c r="AV4012" s="82">
        <f>IFERROR(__xludf.DUMMYFUNCTION("""COMPUTED_VALUE"""),65.0468440468145)</f>
        <v>65.04684405</v>
      </c>
      <c r="AW4012" s="82">
        <f t="shared" si="1"/>
        <v>3.654582255</v>
      </c>
      <c r="AX4012" s="83">
        <f t="array" ref="AX4012">IFERROR(DGET('SBV Import'!A:G,"SBV",{"RSC ID","Tier";B4012,A4012}))</f>
        <v>71.46583033</v>
      </c>
      <c r="AY4012" s="82">
        <f t="shared" si="2"/>
        <v>5.121076222</v>
      </c>
      <c r="AZ4012" s="82">
        <v>1.4664939671962314</v>
      </c>
      <c r="BA4012" s="84">
        <v>4000.0</v>
      </c>
      <c r="BB4012" s="84" t="b">
        <f>IFERROR(__xludf.DUMMYFUNCTION("iferror(if(A4012="""",,E4012&gt;=FILTER(Constants!$F$2:$F$10,Constants!$A$2:$A$10=A4012)))"),TRUE)</f>
        <v>1</v>
      </c>
    </row>
    <row r="4013">
      <c r="A4013" s="89" t="str">
        <f>IFERROR(__xludf.DUMMYFUNCTION("""COMPUTED_VALUE"""),"Amateur")</f>
        <v>Amateur</v>
      </c>
      <c r="B4013" s="87" t="str">
        <f>IFERROR(__xludf.DUMMYFUNCTION("""COMPUTED_VALUE"""),"RSC006797")</f>
        <v>RSC006797</v>
      </c>
      <c r="C4013" s="73" t="str">
        <f>IFERROR(__xludf.DUMMYFUNCTION("""COMPUTED_VALUE"""),"The-Manimal")</f>
        <v>The-Manimal</v>
      </c>
      <c r="D4013" s="73" t="str">
        <f>IFERROR(__xludf.DUMMYFUNCTION("""COMPUTED_VALUE"""),"Aloof Goofs")</f>
        <v>Aloof Goofs</v>
      </c>
      <c r="E4013" s="82">
        <f>IFERROR(__xludf.DUMMYFUNCTION("""COMPUTED_VALUE"""),36.0)</f>
        <v>36</v>
      </c>
      <c r="F4013" s="82">
        <f>IFERROR(__xludf.DUMMYFUNCTION("""COMPUTED_VALUE"""),15.0)</f>
        <v>15</v>
      </c>
      <c r="G4013" s="86">
        <f>IFERROR(__xludf.DUMMYFUNCTION("""COMPUTED_VALUE"""),21.0)</f>
        <v>21</v>
      </c>
      <c r="H4013" s="86">
        <f>IFERROR(__xludf.DUMMYFUNCTION("""COMPUTED_VALUE"""),0.4166666666666667)</f>
        <v>0.4166666667</v>
      </c>
      <c r="I4013" s="86">
        <f>IFERROR(__xludf.DUMMYFUNCTION("""COMPUTED_VALUE"""),0.25806451612903225)</f>
        <v>0.2580645161</v>
      </c>
      <c r="J4013" s="82">
        <f>IFERROR(__xludf.DUMMYFUNCTION("""COMPUTED_VALUE"""),299.72222222222223)</f>
        <v>299.7222222</v>
      </c>
      <c r="K4013" s="82">
        <f>IFERROR(__xludf.DUMMYFUNCTION("""COMPUTED_VALUE"""),0.6666666666666666)</f>
        <v>0.6666666667</v>
      </c>
      <c r="L4013" s="82">
        <f>IFERROR(__xludf.DUMMYFUNCTION("""COMPUTED_VALUE"""),0.5555555555555556)</f>
        <v>0.5555555556</v>
      </c>
      <c r="M4013" s="82">
        <f>IFERROR(__xludf.DUMMYFUNCTION("""COMPUTED_VALUE"""),0.8055555555555556)</f>
        <v>0.8055555556</v>
      </c>
      <c r="N4013" s="82">
        <f>IFERROR(__xludf.DUMMYFUNCTION("""COMPUTED_VALUE"""),2.5833333333333335)</f>
        <v>2.583333333</v>
      </c>
      <c r="O4013" s="82">
        <f>IFERROR(__xludf.DUMMYFUNCTION("""COMPUTED_VALUE"""),293.9976851851851)</f>
        <v>293.9976852</v>
      </c>
      <c r="P4013" s="82">
        <f>IFERROR(__xludf.DUMMYFUNCTION("""COMPUTED_VALUE"""),0.7013888888888888)</f>
        <v>0.7013888889</v>
      </c>
      <c r="Q4013" s="82">
        <f>IFERROR(__xludf.DUMMYFUNCTION("""COMPUTED_VALUE"""),0.4050925925925926)</f>
        <v>0.4050925926</v>
      </c>
      <c r="R4013" s="82">
        <f>IFERROR(__xludf.DUMMYFUNCTION("""COMPUTED_VALUE"""),1.060185185185185)</f>
        <v>1.060185185</v>
      </c>
      <c r="S4013" s="82">
        <f>IFERROR(__xludf.DUMMYFUNCTION("""COMPUTED_VALUE"""),1.9212962962962956)</f>
        <v>1.921296296</v>
      </c>
      <c r="T4013" s="82">
        <f>IFERROR(__xludf.DUMMYFUNCTION("""COMPUTED_VALUE"""),297.53123400983225)</f>
        <v>297.531234</v>
      </c>
      <c r="U4013" s="82">
        <f>IFERROR(__xludf.DUMMYFUNCTION("""COMPUTED_VALUE"""),0.7831445873336538)</f>
        <v>0.7831445873</v>
      </c>
      <c r="V4013" s="82">
        <f>IFERROR(__xludf.DUMMYFUNCTION("""COMPUTED_VALUE"""),0.4516757507853328)</f>
        <v>0.4516757508</v>
      </c>
      <c r="W4013" s="82">
        <f>IFERROR(__xludf.DUMMYFUNCTION("""COMPUTED_VALUE"""),0.9251037241892823)</f>
        <v>0.9251037242</v>
      </c>
      <c r="X4013" s="82">
        <f>IFERROR(__xludf.DUMMYFUNCTION("""COMPUTED_VALUE"""),2.0544470106895414)</f>
        <v>2.054447011</v>
      </c>
      <c r="Y4013" s="82">
        <f>IFERROR(__xludf.DUMMYFUNCTION("""COMPUTED_VALUE"""),288.7947588011578)</f>
        <v>288.7947588</v>
      </c>
      <c r="Z4013" s="82">
        <f>IFERROR(__xludf.DUMMYFUNCTION("""COMPUTED_VALUE"""),0.7060830592056437)</f>
        <v>0.7060830592</v>
      </c>
      <c r="AA4013" s="82">
        <f>IFERROR(__xludf.DUMMYFUNCTION("""COMPUTED_VALUE"""),0.41634371474258863)</f>
        <v>0.4163437147</v>
      </c>
      <c r="AB4013" s="82">
        <f>IFERROR(__xludf.DUMMYFUNCTION("""COMPUTED_VALUE"""),0.8803689119067556)</f>
        <v>0.8803689119</v>
      </c>
      <c r="AC4013" s="82">
        <f>IFERROR(__xludf.DUMMYFUNCTION("""COMPUTED_VALUE"""),2.0539019435761268)</f>
        <v>2.053901944</v>
      </c>
      <c r="AD4013" s="82">
        <f>IFERROR(__xludf.DUMMYFUNCTION("""COMPUTED_VALUE"""),1.0378381639141459)</f>
        <v>1.037838164</v>
      </c>
      <c r="AE4013" s="82">
        <f>IFERROR(__xludf.DUMMYFUNCTION("""COMPUTED_VALUE"""),0.9441759832287702)</f>
        <v>0.9441759832</v>
      </c>
      <c r="AF4013" s="82">
        <f>IFERROR(__xludf.DUMMYFUNCTION("""COMPUTED_VALUE"""),1.3343675811199334)</f>
        <v>1.334367581</v>
      </c>
      <c r="AG4013" s="82">
        <f>IFERROR(__xludf.DUMMYFUNCTION("""COMPUTED_VALUE"""),0.9150204472927551)</f>
        <v>0.9150204473</v>
      </c>
      <c r="AH4013" s="82">
        <f>IFERROR(__xludf.DUMMYFUNCTION("""COMPUTED_VALUE"""),1.2577685811209631)</f>
        <v>1.257768581</v>
      </c>
      <c r="AI4013" s="82">
        <f>IFERROR(__xludf.DUMMYFUNCTION("""COMPUTED_VALUE"""),0.9881237718238)</f>
        <v>0.9881237718</v>
      </c>
      <c r="AJ4013" s="82">
        <f>IFERROR(__xludf.DUMMYFUNCTION("""COMPUTED_VALUE"""),0.8956058692519144)</f>
        <v>0.8956058693</v>
      </c>
      <c r="AK4013" s="82">
        <f>IFERROR(__xludf.DUMMYFUNCTION("""COMPUTED_VALUE"""),0.8968659306776031)</f>
        <v>0.8968659307</v>
      </c>
      <c r="AL4013" s="82">
        <f>IFERROR(__xludf.DUMMYFUNCTION("""COMPUTED_VALUE"""),1.1460176383078358)</f>
        <v>1.146017638</v>
      </c>
      <c r="AM4013" s="82">
        <f>IFERROR(__xludf.DUMMYFUNCTION("""COMPUTED_VALUE"""),0.9351890247349062)</f>
        <v>0.9351890247</v>
      </c>
      <c r="AN4013" s="82">
        <f>IFERROR(__xludf.DUMMYFUNCTION("""COMPUTED_VALUE"""),1.0798437845207345)</f>
        <v>1.079843785</v>
      </c>
      <c r="AO4013" s="82">
        <f>IFERROR(__xludf.DUMMYFUNCTION("""COMPUTED_VALUE"""),0.917350914920328)</f>
        <v>0.9173509149</v>
      </c>
      <c r="AP4013" s="82">
        <f>IFERROR(__xludf.DUMMYFUNCTION("""COMPUTED_VALUE"""),1.3306496083304953)</f>
        <v>1.330649608</v>
      </c>
      <c r="AQ4013" s="82">
        <f>IFERROR(__xludf.DUMMYFUNCTION("""COMPUTED_VALUE"""),1.0029026565760748)</f>
        <v>1.002902657</v>
      </c>
      <c r="AR4013" s="82">
        <f>IFERROR(__xludf.DUMMYFUNCTION("""COMPUTED_VALUE"""),1.3365720726570038)</f>
        <v>1.336572073</v>
      </c>
      <c r="AS4013" s="82">
        <f>IFERROR(__xludf.DUMMYFUNCTION("""COMPUTED_VALUE"""),229.0)</f>
        <v>229</v>
      </c>
      <c r="AT4013" s="82">
        <f>IFERROR(__xludf.DUMMYFUNCTION("""COMPUTED_VALUE"""),0.8851576769767955)</f>
        <v>0.885157677</v>
      </c>
      <c r="AU4013" s="82">
        <f>IFERROR(__xludf.DUMMYFUNCTION("""COMPUTED_VALUE"""),2.7288515471133774)</f>
        <v>2.728851547</v>
      </c>
      <c r="AV4013" s="82">
        <f>IFERROR(__xludf.DUMMYFUNCTION("""COMPUTED_VALUE"""),64.56156968905898)</f>
        <v>64.56156969</v>
      </c>
      <c r="AW4013" s="82">
        <f t="shared" si="1"/>
        <v>3.569803037</v>
      </c>
      <c r="AX4013" s="83">
        <f t="array" ref="AX4013">IFERROR(DGET('SBV Import'!A:G,"SBV",{"RSC ID","Tier";B4013,A4013}))</f>
        <v>57.89105901</v>
      </c>
      <c r="AY4013" s="82">
        <f t="shared" si="2"/>
        <v>2.65860584</v>
      </c>
      <c r="AZ4013" s="82">
        <v>0.9111971961113108</v>
      </c>
      <c r="BA4013" s="84">
        <v>4000.0</v>
      </c>
      <c r="BB4013" s="84" t="b">
        <f>IFERROR(__xludf.DUMMYFUNCTION("iferror(if(A4013="""",,E4013&gt;=FILTER(Constants!$F$2:$F$10,Constants!$A$2:$A$10=A4013)))"),TRUE)</f>
        <v>1</v>
      </c>
    </row>
    <row r="4014">
      <c r="A4014" s="89" t="str">
        <f>IFERROR(__xludf.DUMMYFUNCTION("""COMPUTED_VALUE"""),"Amateur")</f>
        <v>Amateur</v>
      </c>
      <c r="B4014" s="87" t="str">
        <f>IFERROR(__xludf.DUMMYFUNCTION("""COMPUTED_VALUE"""),"RSC007808")</f>
        <v>RSC007808</v>
      </c>
      <c r="C4014" s="73" t="str">
        <f>IFERROR(__xludf.DUMMYFUNCTION("""COMPUTED_VALUE"""),"Navybrat44")</f>
        <v>Navybrat44</v>
      </c>
      <c r="D4014" s="73" t="str">
        <f>IFERROR(__xludf.DUMMYFUNCTION("""COMPUTED_VALUE"""),"Amaranth")</f>
        <v>Amaranth</v>
      </c>
      <c r="E4014" s="82">
        <f>IFERROR(__xludf.DUMMYFUNCTION("""COMPUTED_VALUE"""),30.0)</f>
        <v>30</v>
      </c>
      <c r="F4014" s="82">
        <f>IFERROR(__xludf.DUMMYFUNCTION("""COMPUTED_VALUE"""),16.0)</f>
        <v>16</v>
      </c>
      <c r="G4014" s="86">
        <f>IFERROR(__xludf.DUMMYFUNCTION("""COMPUTED_VALUE"""),14.0)</f>
        <v>14</v>
      </c>
      <c r="H4014" s="86">
        <f>IFERROR(__xludf.DUMMYFUNCTION("""COMPUTED_VALUE"""),0.5333333333333333)</f>
        <v>0.5333333333</v>
      </c>
      <c r="I4014" s="86">
        <f>IFERROR(__xludf.DUMMYFUNCTION("""COMPUTED_VALUE"""),0.3478260869565218)</f>
        <v>0.347826087</v>
      </c>
      <c r="J4014" s="82">
        <f>IFERROR(__xludf.DUMMYFUNCTION("""COMPUTED_VALUE"""),331.1)</f>
        <v>331.1</v>
      </c>
      <c r="K4014" s="82">
        <f>IFERROR(__xludf.DUMMYFUNCTION("""COMPUTED_VALUE"""),0.8)</f>
        <v>0.8</v>
      </c>
      <c r="L4014" s="82">
        <f>IFERROR(__xludf.DUMMYFUNCTION("""COMPUTED_VALUE"""),0.4)</f>
        <v>0.4</v>
      </c>
      <c r="M4014" s="82">
        <f>IFERROR(__xludf.DUMMYFUNCTION("""COMPUTED_VALUE"""),1.2)</f>
        <v>1.2</v>
      </c>
      <c r="N4014" s="82">
        <f>IFERROR(__xludf.DUMMYFUNCTION("""COMPUTED_VALUE"""),2.3)</f>
        <v>2.3</v>
      </c>
      <c r="O4014" s="82">
        <f>IFERROR(__xludf.DUMMYFUNCTION("""COMPUTED_VALUE"""),292.80747126436785)</f>
        <v>292.8074713</v>
      </c>
      <c r="P4014" s="82">
        <f>IFERROR(__xludf.DUMMYFUNCTION("""COMPUTED_VALUE"""),0.6580459770114946)</f>
        <v>0.658045977</v>
      </c>
      <c r="Q4014" s="82">
        <f>IFERROR(__xludf.DUMMYFUNCTION("""COMPUTED_VALUE"""),0.41091954022988497)</f>
        <v>0.4109195402</v>
      </c>
      <c r="R4014" s="82">
        <f>IFERROR(__xludf.DUMMYFUNCTION("""COMPUTED_VALUE"""),1.0402298850574716)</f>
        <v>1.040229885</v>
      </c>
      <c r="S4014" s="82">
        <f>IFERROR(__xludf.DUMMYFUNCTION("""COMPUTED_VALUE"""),2.0201149425287364)</f>
        <v>2.020114943</v>
      </c>
      <c r="T4014" s="82">
        <f>IFERROR(__xludf.DUMMYFUNCTION("""COMPUTED_VALUE"""),297.0010018023638)</f>
        <v>297.0010018</v>
      </c>
      <c r="U4014" s="82">
        <f>IFERROR(__xludf.DUMMYFUNCTION("""COMPUTED_VALUE"""),0.7792946080445341)</f>
        <v>0.779294608</v>
      </c>
      <c r="V4014" s="82">
        <f>IFERROR(__xludf.DUMMYFUNCTION("""COMPUTED_VALUE"""),0.42972089685397546)</f>
        <v>0.4297208969</v>
      </c>
      <c r="W4014" s="82">
        <f>IFERROR(__xludf.DUMMYFUNCTION("""COMPUTED_VALUE"""),0.9164775429768809)</f>
        <v>0.916477543</v>
      </c>
      <c r="X4014" s="82">
        <f>IFERROR(__xludf.DUMMYFUNCTION("""COMPUTED_VALUE"""),2.1004707945346155)</f>
        <v>2.100470795</v>
      </c>
      <c r="Y4014" s="82">
        <f>IFERROR(__xludf.DUMMYFUNCTION("""COMPUTED_VALUE"""),287.26548251806526)</f>
        <v>287.2654825</v>
      </c>
      <c r="Z4014" s="82">
        <f>IFERROR(__xludf.DUMMYFUNCTION("""COMPUTED_VALUE"""),0.7185763041706579)</f>
        <v>0.7185763042</v>
      </c>
      <c r="AA4014" s="82">
        <f>IFERROR(__xludf.DUMMYFUNCTION("""COMPUTED_VALUE"""),0.3936452167028453)</f>
        <v>0.3936452167</v>
      </c>
      <c r="AB4014" s="82">
        <f>IFERROR(__xludf.DUMMYFUNCTION("""COMPUTED_VALUE"""),0.8788510953526769)</f>
        <v>0.8788510954</v>
      </c>
      <c r="AC4014" s="82">
        <f>IFERROR(__xludf.DUMMYFUNCTION("""COMPUTED_VALUE"""),2.0366080749438713)</f>
        <v>2.036608075</v>
      </c>
      <c r="AD4014" s="82">
        <f>IFERROR(__xludf.DUMMYFUNCTION("""COMPUTED_VALUE"""),1.1525923584612299)</f>
        <v>1.152592358</v>
      </c>
      <c r="AE4014" s="82">
        <f>IFERROR(__xludf.DUMMYFUNCTION("""COMPUTED_VALUE"""),1.1133125255547036)</f>
        <v>1.113312526</v>
      </c>
      <c r="AF4014" s="82">
        <f>IFERROR(__xludf.DUMMYFUNCTION("""COMPUTED_VALUE"""),1.0161434282128006)</f>
        <v>1.016143428</v>
      </c>
      <c r="AG4014" s="82">
        <f>IFERROR(__xludf.DUMMYFUNCTION("""COMPUTED_VALUE"""),1.3654190184725754)</f>
        <v>1.365419018</v>
      </c>
      <c r="AH4014" s="82">
        <f>IFERROR(__xludf.DUMMYFUNCTION("""COMPUTED_VALUE"""),1.1293287247048687)</f>
        <v>1.129328725</v>
      </c>
      <c r="AI4014" s="82">
        <f>IFERROR(__xludf.DUMMYFUNCTION("""COMPUTED_VALUE"""),0.985880416185308)</f>
        <v>0.9858804162</v>
      </c>
      <c r="AJ4014" s="82">
        <f>IFERROR(__xludf.DUMMYFUNCTION("""COMPUTED_VALUE"""),0.8444123316376)</f>
        <v>0.8444123316</v>
      </c>
      <c r="AK4014" s="82">
        <f>IFERROR(__xludf.DUMMYFUNCTION("""COMPUTED_VALUE"""),0.9562475160930342)</f>
        <v>0.9562475161</v>
      </c>
      <c r="AL4014" s="82">
        <f>IFERROR(__xludf.DUMMYFUNCTION("""COMPUTED_VALUE"""),1.1350304140335192)</f>
        <v>1.135030414</v>
      </c>
      <c r="AM4014" s="82">
        <f>IFERROR(__xludf.DUMMYFUNCTION("""COMPUTED_VALUE"""),0.9617438851256759)</f>
        <v>0.9617438851</v>
      </c>
      <c r="AN4014" s="82">
        <f>IFERROR(__xludf.DUMMYFUNCTION("""COMPUTED_VALUE"""),1.1928921199233873)</f>
        <v>1.19289212</v>
      </c>
      <c r="AO4014" s="82">
        <f>IFERROR(__xludf.DUMMYFUNCTION("""COMPUTED_VALUE"""),1.1008210979043938)</f>
        <v>1.100821098</v>
      </c>
      <c r="AP4014" s="82">
        <f>IFERROR(__xludf.DUMMYFUNCTION("""COMPUTED_VALUE"""),0.9580677179979566)</f>
        <v>0.958067718</v>
      </c>
      <c r="AQ4014" s="82">
        <f>IFERROR(__xludf.DUMMYFUNCTION("""COMPUTED_VALUE"""),1.4939791297960838)</f>
        <v>1.49397913</v>
      </c>
      <c r="AR4014" s="82">
        <f>IFERROR(__xludf.DUMMYFUNCTION("""COMPUTED_VALUE"""),1.1899802969462354)</f>
        <v>1.189980297</v>
      </c>
      <c r="AS4014" s="82">
        <f>IFERROR(__xludf.DUMMYFUNCTION("""COMPUTED_VALUE"""),194.0)</f>
        <v>194</v>
      </c>
      <c r="AT4014" s="82">
        <f>IFERROR(__xludf.DUMMYFUNCTION("""COMPUTED_VALUE"""),0.8992138505873056)</f>
        <v>0.8992138506</v>
      </c>
      <c r="AU4014" s="82">
        <f>IFERROR(__xludf.DUMMYFUNCTION("""COMPUTED_VALUE"""),2.6512828162607383)</f>
        <v>2.651282816</v>
      </c>
      <c r="AV4014" s="82">
        <f>IFERROR(__xludf.DUMMYFUNCTION("""COMPUTED_VALUE"""),63.035957571789)</f>
        <v>63.03595757</v>
      </c>
      <c r="AW4014" s="82">
        <f t="shared" si="1"/>
        <v>3.32191991</v>
      </c>
      <c r="AX4014" s="83">
        <f t="array" ref="AX4014">IFERROR(DGET('SBV Import'!A:G,"SBV",{"RSC ID","Tier";B4014,A4014}))</f>
        <v>58.5206323</v>
      </c>
      <c r="AY4014" s="82">
        <f t="shared" si="2"/>
        <v>2.727638073</v>
      </c>
      <c r="AZ4014" s="82">
        <v>0.5942818371863807</v>
      </c>
      <c r="BA4014" s="84">
        <v>4000.0</v>
      </c>
      <c r="BB4014" s="84" t="b">
        <f>IFERROR(__xludf.DUMMYFUNCTION("iferror(if(A4014="""",,E4014&gt;=FILTER(Constants!$F$2:$F$10,Constants!$A$2:$A$10=A4014)))"),TRUE)</f>
        <v>1</v>
      </c>
    </row>
    <row r="4015">
      <c r="A4015" s="89" t="str">
        <f>IFERROR(__xludf.DUMMYFUNCTION("""COMPUTED_VALUE"""),"Amateur")</f>
        <v>Amateur</v>
      </c>
      <c r="B4015" s="87" t="str">
        <f>IFERROR(__xludf.DUMMYFUNCTION("""COMPUTED_VALUE"""),"RSC007852")</f>
        <v>RSC007852</v>
      </c>
      <c r="C4015" s="73" t="str">
        <f>IFERROR(__xludf.DUMMYFUNCTION("""COMPUTED_VALUE"""),"Medicmac121")</f>
        <v>Medicmac121</v>
      </c>
      <c r="D4015" s="73"/>
      <c r="E4015" s="82">
        <f>IFERROR(__xludf.DUMMYFUNCTION("""COMPUTED_VALUE"""),6.0)</f>
        <v>6</v>
      </c>
      <c r="F4015" s="82">
        <f>IFERROR(__xludf.DUMMYFUNCTION("""COMPUTED_VALUE"""),2.0)</f>
        <v>2</v>
      </c>
      <c r="G4015" s="86">
        <f>IFERROR(__xludf.DUMMYFUNCTION("""COMPUTED_VALUE"""),4.0)</f>
        <v>4</v>
      </c>
      <c r="H4015" s="86">
        <f>IFERROR(__xludf.DUMMYFUNCTION("""COMPUTED_VALUE"""),0.3333333333333333)</f>
        <v>0.3333333333</v>
      </c>
      <c r="I4015" s="86">
        <f>IFERROR(__xludf.DUMMYFUNCTION("""COMPUTED_VALUE"""),0.3)</f>
        <v>0.3</v>
      </c>
      <c r="J4015" s="82">
        <f>IFERROR(__xludf.DUMMYFUNCTION("""COMPUTED_VALUE"""),252.16666666666666)</f>
        <v>252.1666667</v>
      </c>
      <c r="K4015" s="82">
        <f>IFERROR(__xludf.DUMMYFUNCTION("""COMPUTED_VALUE"""),0.5)</f>
        <v>0.5</v>
      </c>
      <c r="L4015" s="82">
        <f>IFERROR(__xludf.DUMMYFUNCTION("""COMPUTED_VALUE"""),0.6666666666666666)</f>
        <v>0.6666666667</v>
      </c>
      <c r="M4015" s="82">
        <f>IFERROR(__xludf.DUMMYFUNCTION("""COMPUTED_VALUE"""),0.6666666666666666)</f>
        <v>0.6666666667</v>
      </c>
      <c r="N4015" s="82">
        <f>IFERROR(__xludf.DUMMYFUNCTION("""COMPUTED_VALUE"""),1.6666666666666667)</f>
        <v>1.666666667</v>
      </c>
      <c r="O4015" s="82">
        <f>IFERROR(__xludf.DUMMYFUNCTION("""COMPUTED_VALUE"""),294.63888888888886)</f>
        <v>294.6388889</v>
      </c>
      <c r="P4015" s="82">
        <f>IFERROR(__xludf.DUMMYFUNCTION("""COMPUTED_VALUE"""),0.9166666666666666)</f>
        <v>0.9166666667</v>
      </c>
      <c r="Q4015" s="82">
        <f>IFERROR(__xludf.DUMMYFUNCTION("""COMPUTED_VALUE"""),0.47222222222222215)</f>
        <v>0.4722222222</v>
      </c>
      <c r="R4015" s="82">
        <f>IFERROR(__xludf.DUMMYFUNCTION("""COMPUTED_VALUE"""),0.5833333333333334)</f>
        <v>0.5833333333</v>
      </c>
      <c r="S4015" s="82">
        <f>IFERROR(__xludf.DUMMYFUNCTION("""COMPUTED_VALUE"""),1.9166666666666667)</f>
        <v>1.916666667</v>
      </c>
      <c r="T4015" s="82">
        <f>IFERROR(__xludf.DUMMYFUNCTION("""COMPUTED_VALUE"""),330.6888167248306)</f>
        <v>330.6888167</v>
      </c>
      <c r="U4015" s="82">
        <f>IFERROR(__xludf.DUMMYFUNCTION("""COMPUTED_VALUE"""),0.9929703854071456)</f>
        <v>0.9929703854</v>
      </c>
      <c r="V4015" s="82">
        <f>IFERROR(__xludf.DUMMYFUNCTION("""COMPUTED_VALUE"""),0.516972276597783)</f>
        <v>0.5169722766</v>
      </c>
      <c r="W4015" s="82">
        <f>IFERROR(__xludf.DUMMYFUNCTION("""COMPUTED_VALUE"""),0.8500509052360786)</f>
        <v>0.8500509052</v>
      </c>
      <c r="X4015" s="82">
        <f>IFERROR(__xludf.DUMMYFUNCTION("""COMPUTED_VALUE"""),2.519928511570988)</f>
        <v>2.519928512</v>
      </c>
      <c r="Y4015" s="82">
        <f>IFERROR(__xludf.DUMMYFUNCTION("""COMPUTED_VALUE"""),267.9399460744692)</f>
        <v>267.9399461</v>
      </c>
      <c r="Z4015" s="82">
        <f>IFERROR(__xludf.DUMMYFUNCTION("""COMPUTED_VALUE"""),0.5757528798880465)</f>
        <v>0.5757528799</v>
      </c>
      <c r="AA4015" s="82">
        <f>IFERROR(__xludf.DUMMYFUNCTION("""COMPUTED_VALUE"""),0.27703401923074006)</f>
        <v>0.2770340192</v>
      </c>
      <c r="AB4015" s="82">
        <f>IFERROR(__xludf.DUMMYFUNCTION("""COMPUTED_VALUE"""),1.0277109602872254)</f>
        <v>1.02771096</v>
      </c>
      <c r="AC4015" s="82">
        <f>IFERROR(__xludf.DUMMYFUNCTION("""COMPUTED_VALUE"""),1.6981519161054395)</f>
        <v>1.698151916</v>
      </c>
      <c r="AD4015" s="82">
        <f>IFERROR(__xludf.DUMMYFUNCTION("""COMPUTED_VALUE"""),0.9411312884140887)</f>
        <v>0.9411312884</v>
      </c>
      <c r="AE4015" s="82">
        <f>IFERROR(__xludf.DUMMYFUNCTION("""COMPUTED_VALUE"""),0.8684281355174873)</f>
        <v>0.8684281355</v>
      </c>
      <c r="AF4015" s="82">
        <f>IFERROR(__xludf.DUMMYFUNCTION("""COMPUTED_VALUE"""),2.406443326050162)</f>
        <v>2.406443326</v>
      </c>
      <c r="AG4015" s="82">
        <f>IFERROR(__xludf.DUMMYFUNCTION("""COMPUTED_VALUE"""),0.6486908210848954)</f>
        <v>0.6486908211</v>
      </c>
      <c r="AH4015" s="82">
        <f>IFERROR(__xludf.DUMMYFUNCTION("""COMPUTED_VALUE"""),0.9814591090819593)</f>
        <v>0.9814591091</v>
      </c>
      <c r="AI4015" s="82">
        <f>IFERROR(__xludf.DUMMYFUNCTION("""COMPUTED_VALUE"""),0.890985343281387)</f>
        <v>0.8909853433</v>
      </c>
      <c r="AJ4015" s="82">
        <f>IFERROR(__xludf.DUMMYFUNCTION("""COMPUTED_VALUE"""),0.923156098246382)</f>
        <v>0.9231560982</v>
      </c>
      <c r="AK4015" s="82">
        <f>IFERROR(__xludf.DUMMYFUNCTION("""COMPUTED_VALUE"""),0.9134381931076403)</f>
        <v>0.9134381931</v>
      </c>
      <c r="AL4015" s="82">
        <f>IFERROR(__xludf.DUMMYFUNCTION("""COMPUTED_VALUE"""),0.6862334123052646)</f>
        <v>0.6862334123</v>
      </c>
      <c r="AM4015" s="82">
        <f>IFERROR(__xludf.DUMMYFUNCTION("""COMPUTED_VALUE"""),0.7606035877072432)</f>
        <v>0.7606035877</v>
      </c>
      <c r="AN4015" s="82">
        <f>IFERROR(__xludf.DUMMYFUNCTION("""COMPUTED_VALUE"""),0.9085099050861194)</f>
        <v>0.9085099051</v>
      </c>
      <c r="AO4015" s="82">
        <f>IFERROR(__xludf.DUMMYFUNCTION("""COMPUTED_VALUE"""),0.6880131861902461)</f>
        <v>0.6880131862</v>
      </c>
      <c r="AP4015" s="82">
        <f>IFERROR(__xludf.DUMMYFUNCTION("""COMPUTED_VALUE"""),1.5967795299965943)</f>
        <v>1.59677953</v>
      </c>
      <c r="AQ4015" s="82">
        <f>IFERROR(__xludf.DUMMYFUNCTION("""COMPUTED_VALUE"""),0.8299884054422687)</f>
        <v>0.8299884054</v>
      </c>
      <c r="AR4015" s="82">
        <f>IFERROR(__xludf.DUMMYFUNCTION("""COMPUTED_VALUE"""),0.8623045630045185)</f>
        <v>0.862304563</v>
      </c>
      <c r="AS4015" s="82">
        <f>IFERROR(__xludf.DUMMYFUNCTION("""COMPUTED_VALUE"""),17.0)</f>
        <v>17</v>
      </c>
      <c r="AT4015" s="82">
        <f>IFERROR(__xludf.DUMMYFUNCTION("""COMPUTED_VALUE"""),0.5122236065029399)</f>
        <v>0.5122236065</v>
      </c>
      <c r="AU4015" s="82">
        <f>IFERROR(__xludf.DUMMYFUNCTION("""COMPUTED_VALUE"""),2.525102245325384)</f>
        <v>2.525102245</v>
      </c>
      <c r="AV4015" s="82">
        <f>IFERROR(__xludf.DUMMYFUNCTION("""COMPUTED_VALUE"""),60.55425385088209)</f>
        <v>60.55425385</v>
      </c>
      <c r="AW4015" s="82">
        <f t="shared" si="1"/>
        <v>2.972206195</v>
      </c>
      <c r="AX4015" s="83">
        <f t="array" ref="AX4015">IFERROR(DGET('SBV Import'!A:G,"SBV",{"RSC ID","Tier";B4015,A4015}))</f>
        <v>57.81541259</v>
      </c>
      <c r="AY4015" s="82">
        <f t="shared" si="2"/>
        <v>2.650509029</v>
      </c>
      <c r="AZ4015" s="82">
        <v>0.3216971665613402</v>
      </c>
      <c r="BA4015" s="84">
        <v>4000.0</v>
      </c>
      <c r="BB4015" s="84" t="b">
        <f>IFERROR(__xludf.DUMMYFUNCTION("iferror(if(A4015="""",,E4015&gt;=FILTER(Constants!$F$2:$F$10,Constants!$A$2:$A$10=A4015)))"),TRUE)</f>
        <v>1</v>
      </c>
    </row>
    <row r="4016">
      <c r="A4016" s="89" t="str">
        <f>IFERROR(__xludf.DUMMYFUNCTION("""COMPUTED_VALUE"""),"Amateur")</f>
        <v>Amateur</v>
      </c>
      <c r="B4016" s="87" t="str">
        <f>IFERROR(__xludf.DUMMYFUNCTION("""COMPUTED_VALUE"""),"RSC007220")</f>
        <v>RSC007220</v>
      </c>
      <c r="C4016" s="73" t="str">
        <f>IFERROR(__xludf.DUMMYFUNCTION("""COMPUTED_VALUE"""),"maxf")</f>
        <v>maxf</v>
      </c>
      <c r="D4016" s="73" t="str">
        <f>IFERROR(__xludf.DUMMYFUNCTION("""COMPUTED_VALUE"""),"Garlic Knots")</f>
        <v>Garlic Knots</v>
      </c>
      <c r="E4016" s="82">
        <f>IFERROR(__xludf.DUMMYFUNCTION("""COMPUTED_VALUE"""),41.0)</f>
        <v>41</v>
      </c>
      <c r="F4016" s="82">
        <f>IFERROR(__xludf.DUMMYFUNCTION("""COMPUTED_VALUE"""),29.0)</f>
        <v>29</v>
      </c>
      <c r="G4016" s="86">
        <f>IFERROR(__xludf.DUMMYFUNCTION("""COMPUTED_VALUE"""),12.0)</f>
        <v>12</v>
      </c>
      <c r="H4016" s="86">
        <f>IFERROR(__xludf.DUMMYFUNCTION("""COMPUTED_VALUE"""),0.7073170731707317)</f>
        <v>0.7073170732</v>
      </c>
      <c r="I4016" s="86">
        <f>IFERROR(__xludf.DUMMYFUNCTION("""COMPUTED_VALUE"""),0.4461538461538461)</f>
        <v>0.4461538462</v>
      </c>
      <c r="J4016" s="82">
        <f>IFERROR(__xludf.DUMMYFUNCTION("""COMPUTED_VALUE"""),267.4878048780488)</f>
        <v>267.4878049</v>
      </c>
      <c r="K4016" s="82">
        <f>IFERROR(__xludf.DUMMYFUNCTION("""COMPUTED_VALUE"""),0.7073170731707317)</f>
        <v>0.7073170732</v>
      </c>
      <c r="L4016" s="82">
        <f>IFERROR(__xludf.DUMMYFUNCTION("""COMPUTED_VALUE"""),0.5365853658536586)</f>
        <v>0.5365853659</v>
      </c>
      <c r="M4016" s="82">
        <f>IFERROR(__xludf.DUMMYFUNCTION("""COMPUTED_VALUE"""),0.8780487804878049)</f>
        <v>0.8780487805</v>
      </c>
      <c r="N4016" s="82">
        <f>IFERROR(__xludf.DUMMYFUNCTION("""COMPUTED_VALUE"""),1.5853658536585367)</f>
        <v>1.585365854</v>
      </c>
      <c r="O4016" s="82">
        <f>IFERROR(__xludf.DUMMYFUNCTION("""COMPUTED_VALUE"""),259.8821138211383)</f>
        <v>259.8821138</v>
      </c>
      <c r="P4016" s="82">
        <f>IFERROR(__xludf.DUMMYFUNCTION("""COMPUTED_VALUE"""),0.5264227642276422)</f>
        <v>0.5264227642</v>
      </c>
      <c r="Q4016" s="82">
        <f>IFERROR(__xludf.DUMMYFUNCTION("""COMPUTED_VALUE"""),0.2967479674796748)</f>
        <v>0.2967479675</v>
      </c>
      <c r="R4016" s="82">
        <f>IFERROR(__xludf.DUMMYFUNCTION("""COMPUTED_VALUE"""),0.7540650406504066)</f>
        <v>0.7540650407</v>
      </c>
      <c r="S4016" s="82">
        <f>IFERROR(__xludf.DUMMYFUNCTION("""COMPUTED_VALUE"""),2.0243902439024395)</f>
        <v>2.024390244</v>
      </c>
      <c r="T4016" s="82">
        <f>IFERROR(__xludf.DUMMYFUNCTION("""COMPUTED_VALUE"""),292.78986301139554)</f>
        <v>292.789863</v>
      </c>
      <c r="U4016" s="82">
        <f>IFERROR(__xludf.DUMMYFUNCTION("""COMPUTED_VALUE"""),0.7524841512969136)</f>
        <v>0.7524841513</v>
      </c>
      <c r="V4016" s="82">
        <f>IFERROR(__xludf.DUMMYFUNCTION("""COMPUTED_VALUE"""),0.4307430178194786)</f>
        <v>0.4307430178</v>
      </c>
      <c r="W4016" s="82">
        <f>IFERROR(__xludf.DUMMYFUNCTION("""COMPUTED_VALUE"""),0.8677685947829253)</f>
        <v>0.8677685948</v>
      </c>
      <c r="X4016" s="82">
        <f>IFERROR(__xludf.DUMMYFUNCTION("""COMPUTED_VALUE"""),2.0982439920907634)</f>
        <v>2.098243992</v>
      </c>
      <c r="Y4016" s="82">
        <f>IFERROR(__xludf.DUMMYFUNCTION("""COMPUTED_VALUE"""),300.60559478847205)</f>
        <v>300.6055948</v>
      </c>
      <c r="Z4016" s="82">
        <f>IFERROR(__xludf.DUMMYFUNCTION("""COMPUTED_VALUE"""),0.8078991863577474)</f>
        <v>0.8078991864</v>
      </c>
      <c r="AA4016" s="82">
        <f>IFERROR(__xludf.DUMMYFUNCTION("""COMPUTED_VALUE"""),0.44655599575886135)</f>
        <v>0.4465559958</v>
      </c>
      <c r="AB4016" s="82">
        <f>IFERROR(__xludf.DUMMYFUNCTION("""COMPUTED_VALUE"""),0.9171679042993007)</f>
        <v>0.9171679043</v>
      </c>
      <c r="AC4016" s="82">
        <f>IFERROR(__xludf.DUMMYFUNCTION("""COMPUTED_VALUE"""),2.0837133078824936)</f>
        <v>2.083713308</v>
      </c>
      <c r="AD4016" s="82">
        <f>IFERROR(__xludf.DUMMYFUNCTION("""COMPUTED_VALUE"""),0.8898297620384367)</f>
        <v>0.889829762</v>
      </c>
      <c r="AE4016" s="82">
        <f>IFERROR(__xludf.DUMMYFUNCTION("""COMPUTED_VALUE"""),0.8755016530707623)</f>
        <v>0.8755016531</v>
      </c>
      <c r="AF4016" s="82">
        <f>IFERROR(__xludf.DUMMYFUNCTION("""COMPUTED_VALUE"""),1.201608243870524)</f>
        <v>1.201608244</v>
      </c>
      <c r="AG4016" s="82">
        <f>IFERROR(__xludf.DUMMYFUNCTION("""COMPUTED_VALUE"""),0.9573479145660008)</f>
        <v>0.9573479146</v>
      </c>
      <c r="AH4016" s="82">
        <f>IFERROR(__xludf.DUMMYFUNCTION("""COMPUTED_VALUE"""),0.7608368424107314)</f>
        <v>0.7608368424</v>
      </c>
      <c r="AI4016" s="82">
        <f>IFERROR(__xludf.DUMMYFUNCTION("""COMPUTED_VALUE"""),0.887606255039723)</f>
        <v>0.887606255</v>
      </c>
      <c r="AJ4016" s="82">
        <f>IFERROR(__xludf.DUMMYFUNCTION("""COMPUTED_VALUE"""),0.6995798693173106)</f>
        <v>0.6995798693</v>
      </c>
      <c r="AK4016" s="82">
        <f>IFERROR(__xludf.DUMMYFUNCTION("""COMPUTED_VALUE"""),0.6889211320983961)</f>
        <v>0.6889211321</v>
      </c>
      <c r="AL4016" s="82">
        <f>IFERROR(__xludf.DUMMYFUNCTION("""COMPUTED_VALUE"""),0.8689701899606519)</f>
        <v>0.86897019</v>
      </c>
      <c r="AM4016" s="82">
        <f>IFERROR(__xludf.DUMMYFUNCTION("""COMPUTED_VALUE"""),0.9648021162139807)</f>
        <v>0.9648021162</v>
      </c>
      <c r="AN4016" s="82">
        <f>IFERROR(__xludf.DUMMYFUNCTION("""COMPUTED_VALUE"""),0.9637091350487133)</f>
        <v>0.963709135</v>
      </c>
      <c r="AO4016" s="82">
        <f>IFERROR(__xludf.DUMMYFUNCTION("""COMPUTED_VALUE"""),0.9732869463179091)</f>
        <v>0.9732869463</v>
      </c>
      <c r="AP4016" s="82">
        <f>IFERROR(__xludf.DUMMYFUNCTION("""COMPUTED_VALUE"""),1.2852127924362833)</f>
        <v>1.285212792</v>
      </c>
      <c r="AQ4016" s="82">
        <f>IFERROR(__xludf.DUMMYFUNCTION("""COMPUTED_VALUE"""),1.093155460826403)</f>
        <v>1.093155461</v>
      </c>
      <c r="AR4016" s="82">
        <f>IFERROR(__xludf.DUMMYFUNCTION("""COMPUTED_VALUE"""),0.8202409257847859)</f>
        <v>0.8202409258</v>
      </c>
      <c r="AS4016" s="82">
        <f>IFERROR(__xludf.DUMMYFUNCTION("""COMPUTED_VALUE"""),287.0)</f>
        <v>287</v>
      </c>
      <c r="AT4016" s="82">
        <f>IFERROR(__xludf.DUMMYFUNCTION("""COMPUTED_VALUE"""),0.9404296662847857)</f>
        <v>0.9404296663</v>
      </c>
      <c r="AU4016" s="82">
        <f>IFERROR(__xludf.DUMMYFUNCTION("""COMPUTED_VALUE"""),2.252203386108397)</f>
        <v>2.252203386</v>
      </c>
      <c r="AV4016" s="82">
        <f>IFERROR(__xludf.DUMMYFUNCTION("""COMPUTED_VALUE"""),55.186913147557625)</f>
        <v>55.18691315</v>
      </c>
      <c r="AW4016" s="82">
        <f t="shared" si="1"/>
        <v>2.393381658</v>
      </c>
      <c r="AX4016" s="83">
        <f t="array" ref="AX4016">IFERROR(DGET('SBV Import'!A:G,"SBV",{"RSC ID","Tier";B4016,A4016}))</f>
        <v>46.36933846</v>
      </c>
      <c r="AY4016" s="82">
        <f t="shared" si="2"/>
        <v>-2.261082508</v>
      </c>
      <c r="AZ4016" s="82">
        <v>4.654464165742771</v>
      </c>
      <c r="BA4016" s="84">
        <v>4000.0</v>
      </c>
      <c r="BB4016" s="84" t="b">
        <f>IFERROR(__xludf.DUMMYFUNCTION("iferror(if(A4016="""",,E4016&gt;=FILTER(Constants!$F$2:$F$10,Constants!$A$2:$A$10=A4016)))"),TRUE)</f>
        <v>1</v>
      </c>
    </row>
    <row r="4017">
      <c r="A4017" s="89" t="str">
        <f>IFERROR(__xludf.DUMMYFUNCTION("""COMPUTED_VALUE"""),"Amateur")</f>
        <v>Amateur</v>
      </c>
      <c r="B4017" s="87" t="str">
        <f>IFERROR(__xludf.DUMMYFUNCTION("""COMPUTED_VALUE"""),"RSC004190")</f>
        <v>RSC004190</v>
      </c>
      <c r="C4017" s="73" t="str">
        <f>IFERROR(__xludf.DUMMYFUNCTION("""COMPUTED_VALUE"""),"demonikgoat4061")</f>
        <v>demonikgoat4061</v>
      </c>
      <c r="D4017" s="73" t="str">
        <f>IFERROR(__xludf.DUMMYFUNCTION("""COMPUTED_VALUE"""),"Aloof Goofs")</f>
        <v>Aloof Goofs</v>
      </c>
      <c r="E4017" s="82">
        <f>IFERROR(__xludf.DUMMYFUNCTION("""COMPUTED_VALUE"""),45.0)</f>
        <v>45</v>
      </c>
      <c r="F4017" s="82">
        <f>IFERROR(__xludf.DUMMYFUNCTION("""COMPUTED_VALUE"""),19.0)</f>
        <v>19</v>
      </c>
      <c r="G4017" s="86">
        <f>IFERROR(__xludf.DUMMYFUNCTION("""COMPUTED_VALUE"""),26.0)</f>
        <v>26</v>
      </c>
      <c r="H4017" s="86">
        <f>IFERROR(__xludf.DUMMYFUNCTION("""COMPUTED_VALUE"""),0.4222222222222222)</f>
        <v>0.4222222222</v>
      </c>
      <c r="I4017" s="86">
        <f>IFERROR(__xludf.DUMMYFUNCTION("""COMPUTED_VALUE"""),0.3888888888888889)</f>
        <v>0.3888888889</v>
      </c>
      <c r="J4017" s="82">
        <f>IFERROR(__xludf.DUMMYFUNCTION("""COMPUTED_VALUE"""),298.5111111111111)</f>
        <v>298.5111111</v>
      </c>
      <c r="K4017" s="82">
        <f>IFERROR(__xludf.DUMMYFUNCTION("""COMPUTED_VALUE"""),0.7777777777777778)</f>
        <v>0.7777777778</v>
      </c>
      <c r="L4017" s="82">
        <f>IFERROR(__xludf.DUMMYFUNCTION("""COMPUTED_VALUE"""),0.4222222222222222)</f>
        <v>0.4222222222</v>
      </c>
      <c r="M4017" s="82">
        <f>IFERROR(__xludf.DUMMYFUNCTION("""COMPUTED_VALUE"""),0.9111111111111111)</f>
        <v>0.9111111111</v>
      </c>
      <c r="N4017" s="82">
        <f>IFERROR(__xludf.DUMMYFUNCTION("""COMPUTED_VALUE"""),2.0)</f>
        <v>2</v>
      </c>
      <c r="O4017" s="82">
        <f>IFERROR(__xludf.DUMMYFUNCTION("""COMPUTED_VALUE"""),298.16481481481463)</f>
        <v>298.1648148</v>
      </c>
      <c r="P4017" s="82">
        <f>IFERROR(__xludf.DUMMYFUNCTION("""COMPUTED_VALUE"""),0.7722222222222228)</f>
        <v>0.7722222222</v>
      </c>
      <c r="Q4017" s="82">
        <f>IFERROR(__xludf.DUMMYFUNCTION("""COMPUTED_VALUE"""),0.4648148148148147)</f>
        <v>0.4648148148</v>
      </c>
      <c r="R4017" s="82">
        <f>IFERROR(__xludf.DUMMYFUNCTION("""COMPUTED_VALUE"""),0.9574074074074073)</f>
        <v>0.9574074074</v>
      </c>
      <c r="S4017" s="82">
        <f>IFERROR(__xludf.DUMMYFUNCTION("""COMPUTED_VALUE"""),2.0277777777777772)</f>
        <v>2.027777778</v>
      </c>
      <c r="T4017" s="82">
        <f>IFERROR(__xludf.DUMMYFUNCTION("""COMPUTED_VALUE"""),294.22739864453354)</f>
        <v>294.2273986</v>
      </c>
      <c r="U4017" s="82">
        <f>IFERROR(__xludf.DUMMYFUNCTION("""COMPUTED_VALUE"""),0.7657406467902101)</f>
        <v>0.7657406468</v>
      </c>
      <c r="V4017" s="82">
        <f>IFERROR(__xludf.DUMMYFUNCTION("""COMPUTED_VALUE"""),0.4398327043922166)</f>
        <v>0.4398327044</v>
      </c>
      <c r="W4017" s="82">
        <f>IFERROR(__xludf.DUMMYFUNCTION("""COMPUTED_VALUE"""),0.9073117924762626)</f>
        <v>0.9073117925</v>
      </c>
      <c r="X4017" s="82">
        <f>IFERROR(__xludf.DUMMYFUNCTION("""COMPUTED_VALUE"""),2.0349205206065903)</f>
        <v>2.034920521</v>
      </c>
      <c r="Y4017" s="82">
        <f>IFERROR(__xludf.DUMMYFUNCTION("""COMPUTED_VALUE"""),295.51728525566756)</f>
        <v>295.5172853</v>
      </c>
      <c r="Z4017" s="82">
        <f>IFERROR(__xludf.DUMMYFUNCTION("""COMPUTED_VALUE"""),0.7709486612435023)</f>
        <v>0.7709486612</v>
      </c>
      <c r="AA4017" s="82">
        <f>IFERROR(__xludf.DUMMYFUNCTION("""COMPUTED_VALUE"""),0.4422053814294059)</f>
        <v>0.4422053814</v>
      </c>
      <c r="AB4017" s="82">
        <f>IFERROR(__xludf.DUMMYFUNCTION("""COMPUTED_VALUE"""),0.8680193142192548)</f>
        <v>0.8680193142</v>
      </c>
      <c r="AC4017" s="82">
        <f>IFERROR(__xludf.DUMMYFUNCTION("""COMPUTED_VALUE"""),2.1011969358744884)</f>
        <v>2.101196936</v>
      </c>
      <c r="AD4017" s="82">
        <f>IFERROR(__xludf.DUMMYFUNCTION("""COMPUTED_VALUE"""),1.0101307977733127)</f>
        <v>1.010130798</v>
      </c>
      <c r="AE4017" s="82">
        <f>IFERROR(__xludf.DUMMYFUNCTION("""COMPUTED_VALUE"""),1.0088580691264974)</f>
        <v>1.008858069</v>
      </c>
      <c r="AF4017" s="82">
        <f>IFERROR(__xludf.DUMMYFUNCTION("""COMPUTED_VALUE"""),0.9548102306159433)</f>
        <v>0.9548102306</v>
      </c>
      <c r="AG4017" s="82">
        <f>IFERROR(__xludf.DUMMYFUNCTION("""COMPUTED_VALUE"""),1.049643822649978)</f>
        <v>1.049643823</v>
      </c>
      <c r="AH4017" s="82">
        <f>IFERROR(__xludf.DUMMYFUNCTION("""COMPUTED_VALUE"""),0.9518384335391334)</f>
        <v>0.9518384335</v>
      </c>
      <c r="AI4017" s="82">
        <f>IFERROR(__xludf.DUMMYFUNCTION("""COMPUTED_VALUE"""),1.013382221330917)</f>
        <v>1.013382221</v>
      </c>
      <c r="AJ4017" s="82">
        <f>IFERROR(__xludf.DUMMYFUNCTION("""COMPUTED_VALUE"""),1.008464452630511)</f>
        <v>1.008464453</v>
      </c>
      <c r="AK4017" s="82">
        <f>IFERROR(__xludf.DUMMYFUNCTION("""COMPUTED_VALUE"""),1.0567991196951114)</f>
        <v>1.05679912</v>
      </c>
      <c r="AL4017" s="82">
        <f>IFERROR(__xludf.DUMMYFUNCTION("""COMPUTED_VALUE"""),1.0552132302771269)</f>
        <v>1.05521323</v>
      </c>
      <c r="AM4017" s="82">
        <f>IFERROR(__xludf.DUMMYFUNCTION("""COMPUTED_VALUE"""),0.996489915573369)</f>
        <v>0.9964899156</v>
      </c>
      <c r="AN4017" s="82">
        <f>IFERROR(__xludf.DUMMYFUNCTION("""COMPUTED_VALUE"""),1.0754803749743858)</f>
        <v>1.075480375</v>
      </c>
      <c r="AO4017" s="82">
        <f>IFERROR(__xludf.DUMMYFUNCTION("""COMPUTED_VALUE"""),1.0702427340737162)</f>
        <v>1.070242734</v>
      </c>
      <c r="AP4017" s="82">
        <f>IFERROR(__xludf.DUMMYFUNCTION("""COMPUTED_VALUE"""),1.0112937023311765)</f>
        <v>1.011293702</v>
      </c>
      <c r="AQ4017" s="82">
        <f>IFERROR(__xludf.DUMMYFUNCTION("""COMPUTED_VALUE"""),1.1343174874377673)</f>
        <v>1.134317487</v>
      </c>
      <c r="AR4017" s="82">
        <f>IFERROR(__xludf.DUMMYFUNCTION("""COMPUTED_VALUE"""),1.0347654756054223)</f>
        <v>1.034765476</v>
      </c>
      <c r="AS4017" s="82">
        <f>IFERROR(__xludf.DUMMYFUNCTION("""COMPUTED_VALUE"""),290.0)</f>
        <v>290</v>
      </c>
      <c r="AT4017" s="82">
        <f>IFERROR(__xludf.DUMMYFUNCTION("""COMPUTED_VALUE"""),0.8707199227264457)</f>
        <v>0.8707199227</v>
      </c>
      <c r="AU4017" s="82">
        <f>IFERROR(__xludf.DUMMYFUNCTION("""COMPUTED_VALUE"""),2.1844849542265665)</f>
        <v>2.184484954</v>
      </c>
      <c r="AV4017" s="82">
        <f>IFERROR(__xludf.DUMMYFUNCTION("""COMPUTED_VALUE"""),53.85503548105682)</f>
        <v>53.85503548</v>
      </c>
      <c r="AW4017" s="82">
        <f t="shared" si="1"/>
        <v>2.279329758</v>
      </c>
      <c r="AX4017" s="83">
        <f t="array" ref="AX4017">IFERROR(DGET('SBV Import'!A:G,"SBV",{"RSC ID","Tier";B4017,A4017}))</f>
        <v>48.59376477</v>
      </c>
      <c r="AY4017" s="82">
        <f t="shared" si="2"/>
        <v>-2.093927033</v>
      </c>
      <c r="AZ4017" s="82">
        <v>4.373256790252697</v>
      </c>
      <c r="BA4017" s="84">
        <v>4000.0</v>
      </c>
      <c r="BB4017" s="84" t="b">
        <f>IFERROR(__xludf.DUMMYFUNCTION("iferror(if(A4017="""",,E4017&gt;=FILTER(Constants!$F$2:$F$10,Constants!$A$2:$A$10=A4017)))"),TRUE)</f>
        <v>1</v>
      </c>
    </row>
    <row r="4018">
      <c r="A4018" s="89" t="str">
        <f>IFERROR(__xludf.DUMMYFUNCTION("""COMPUTED_VALUE"""),"Amateur")</f>
        <v>Amateur</v>
      </c>
      <c r="B4018" s="87" t="str">
        <f>IFERROR(__xludf.DUMMYFUNCTION("""COMPUTED_VALUE"""),"RSC007161")</f>
        <v>RSC007161</v>
      </c>
      <c r="C4018" s="73" t="str">
        <f>IFERROR(__xludf.DUMMYFUNCTION("""COMPUTED_VALUE"""),"MrAnderpants")</f>
        <v>MrAnderpants</v>
      </c>
      <c r="D4018" s="73" t="str">
        <f>IFERROR(__xludf.DUMMYFUNCTION("""COMPUTED_VALUE"""),"Aloof Goofs")</f>
        <v>Aloof Goofs</v>
      </c>
      <c r="E4018" s="82">
        <f>IFERROR(__xludf.DUMMYFUNCTION("""COMPUTED_VALUE"""),46.0)</f>
        <v>46</v>
      </c>
      <c r="F4018" s="82">
        <f>IFERROR(__xludf.DUMMYFUNCTION("""COMPUTED_VALUE"""),18.0)</f>
        <v>18</v>
      </c>
      <c r="G4018" s="86">
        <f>IFERROR(__xludf.DUMMYFUNCTION("""COMPUTED_VALUE"""),28.0)</f>
        <v>28</v>
      </c>
      <c r="H4018" s="86">
        <f>IFERROR(__xludf.DUMMYFUNCTION("""COMPUTED_VALUE"""),0.391304347826087)</f>
        <v>0.3913043478</v>
      </c>
      <c r="I4018" s="86">
        <f>IFERROR(__xludf.DUMMYFUNCTION("""COMPUTED_VALUE"""),0.3535353535353536)</f>
        <v>0.3535353535</v>
      </c>
      <c r="J4018" s="82">
        <f>IFERROR(__xludf.DUMMYFUNCTION("""COMPUTED_VALUE"""),295.8695652173913)</f>
        <v>295.8695652</v>
      </c>
      <c r="K4018" s="82">
        <f>IFERROR(__xludf.DUMMYFUNCTION("""COMPUTED_VALUE"""),0.7608695652173914)</f>
        <v>0.7608695652</v>
      </c>
      <c r="L4018" s="82">
        <f>IFERROR(__xludf.DUMMYFUNCTION("""COMPUTED_VALUE"""),0.32608695652173914)</f>
        <v>0.3260869565</v>
      </c>
      <c r="M4018" s="82">
        <f>IFERROR(__xludf.DUMMYFUNCTION("""COMPUTED_VALUE"""),0.8043478260869565)</f>
        <v>0.8043478261</v>
      </c>
      <c r="N4018" s="82">
        <f>IFERROR(__xludf.DUMMYFUNCTION("""COMPUTED_VALUE"""),2.152173913043478)</f>
        <v>2.152173913</v>
      </c>
      <c r="O4018" s="82">
        <f>IFERROR(__xludf.DUMMYFUNCTION("""COMPUTED_VALUE"""),299.7608695652172)</f>
        <v>299.7608696</v>
      </c>
      <c r="P4018" s="82">
        <f>IFERROR(__xludf.DUMMYFUNCTION("""COMPUTED_VALUE"""),0.7898550724637686)</f>
        <v>0.7898550725</v>
      </c>
      <c r="Q4018" s="82">
        <f>IFERROR(__xludf.DUMMYFUNCTION("""COMPUTED_VALUE"""),0.4637681159420289)</f>
        <v>0.4637681159</v>
      </c>
      <c r="R4018" s="82">
        <f>IFERROR(__xludf.DUMMYFUNCTION("""COMPUTED_VALUE"""),0.9275362318840574)</f>
        <v>0.9275362319</v>
      </c>
      <c r="S4018" s="82">
        <f>IFERROR(__xludf.DUMMYFUNCTION("""COMPUTED_VALUE"""),2.028985507246376)</f>
        <v>2.028985507</v>
      </c>
      <c r="T4018" s="82">
        <f>IFERROR(__xludf.DUMMYFUNCTION("""COMPUTED_VALUE"""),296.68977005645746)</f>
        <v>296.6897701</v>
      </c>
      <c r="U4018" s="82">
        <f>IFERROR(__xludf.DUMMYFUNCTION("""COMPUTED_VALUE"""),0.7707922113242056)</f>
        <v>0.7707922113</v>
      </c>
      <c r="V4018" s="82">
        <f>IFERROR(__xludf.DUMMYFUNCTION("""COMPUTED_VALUE"""),0.4438708258424627)</f>
        <v>0.4438708258</v>
      </c>
      <c r="W4018" s="82">
        <f>IFERROR(__xludf.DUMMYFUNCTION("""COMPUTED_VALUE"""),0.9126168666945529)</f>
        <v>0.9126168667</v>
      </c>
      <c r="X4018" s="82">
        <f>IFERROR(__xludf.DUMMYFUNCTION("""COMPUTED_VALUE"""),2.0572401325177343)</f>
        <v>2.057240133</v>
      </c>
      <c r="Y4018" s="82">
        <f>IFERROR(__xludf.DUMMYFUNCTION("""COMPUTED_VALUE"""),295.0444740452903)</f>
        <v>295.044474</v>
      </c>
      <c r="Z4018" s="82">
        <f>IFERROR(__xludf.DUMMYFUNCTION("""COMPUTED_VALUE"""),0.7684871365791662)</f>
        <v>0.7684871366</v>
      </c>
      <c r="AA4018" s="82">
        <f>IFERROR(__xludf.DUMMYFUNCTION("""COMPUTED_VALUE"""),0.43973911857146636)</f>
        <v>0.4397391186</v>
      </c>
      <c r="AB4018" s="82">
        <f>IFERROR(__xludf.DUMMYFUNCTION("""COMPUTED_VALUE"""),0.8699419270565617)</f>
        <v>0.8699419271</v>
      </c>
      <c r="AC4018" s="82">
        <f>IFERROR(__xludf.DUMMYFUNCTION("""COMPUTED_VALUE"""),2.0905567941019263)</f>
        <v>2.090556794</v>
      </c>
      <c r="AD4018" s="82">
        <f>IFERROR(__xludf.DUMMYFUNCTION("""COMPUTED_VALUE"""),1.002796497628945)</f>
        <v>1.002796498</v>
      </c>
      <c r="AE4018" s="82">
        <f>IFERROR(__xludf.DUMMYFUNCTION("""COMPUTED_VALUE"""),0.9900875746656169)</f>
        <v>0.9900875747</v>
      </c>
      <c r="AF4018" s="82">
        <f>IFERROR(__xludf.DUMMYFUNCTION("""COMPUTED_VALUE"""),0.7415463913719187)</f>
        <v>0.7415463914</v>
      </c>
      <c r="AG4018" s="82">
        <f>IFERROR(__xludf.DUMMYFUNCTION("""COMPUTED_VALUE"""),0.9245994486188958)</f>
        <v>0.9245994486</v>
      </c>
      <c r="AH4018" s="82">
        <f>IFERROR(__xludf.DUMMYFUNCTION("""COMPUTED_VALUE"""),1.0294740229566552)</f>
        <v>1.029474023</v>
      </c>
      <c r="AI4018" s="82">
        <f>IFERROR(__xludf.DUMMYFUNCTION("""COMPUTED_VALUE"""),1.0103512146986913)</f>
        <v>1.010351215</v>
      </c>
      <c r="AJ4018" s="82">
        <f>IFERROR(__xludf.DUMMYFUNCTION("""COMPUTED_VALUE"""),1.0247315175990341)</f>
        <v>1.024731518</v>
      </c>
      <c r="AK4018" s="82">
        <f>IFERROR(__xludf.DUMMYFUNCTION("""COMPUTED_VALUE"""),1.0448267580141166)</f>
        <v>1.044826758</v>
      </c>
      <c r="AL4018" s="82">
        <f>IFERROR(__xludf.DUMMYFUNCTION("""COMPUTED_VALUE"""),1.0163478955232788)</f>
        <v>1.016347896</v>
      </c>
      <c r="AM4018" s="82">
        <f>IFERROR(__xludf.DUMMYFUNCTION("""COMPUTED_VALUE"""),0.98626576216128)</f>
        <v>0.9862657622</v>
      </c>
      <c r="AN4018" s="82">
        <f>IFERROR(__xludf.DUMMYFUNCTION("""COMPUTED_VALUE"""),1.065963373219525)</f>
        <v>1.065963373</v>
      </c>
      <c r="AO4018" s="82">
        <f>IFERROR(__xludf.DUMMYFUNCTION("""COMPUTED_VALUE"""),1.0469765876808095)</f>
        <v>1.046976588</v>
      </c>
      <c r="AP4018" s="82">
        <f>IFERROR(__xludf.DUMMYFUNCTION("""COMPUTED_VALUE"""),0.7810334657592037)</f>
        <v>0.7810334658</v>
      </c>
      <c r="AQ4018" s="82">
        <f>IFERROR(__xludf.DUMMYFUNCTION("""COMPUTED_VALUE"""),1.0013990543923026)</f>
        <v>1.001399054</v>
      </c>
      <c r="AR4018" s="82">
        <f>IFERROR(__xludf.DUMMYFUNCTION("""COMPUTED_VALUE"""),1.1134976313580085)</f>
        <v>1.113497631</v>
      </c>
      <c r="AS4018" s="82">
        <f>IFERROR(__xludf.DUMMYFUNCTION("""COMPUTED_VALUE"""),297.0)</f>
        <v>297</v>
      </c>
      <c r="AT4018" s="82">
        <f>IFERROR(__xludf.DUMMYFUNCTION("""COMPUTED_VALUE"""),0.8667711281302055)</f>
        <v>0.8667711281</v>
      </c>
      <c r="AU4018" s="82">
        <f>IFERROR(__xludf.DUMMYFUNCTION("""COMPUTED_VALUE"""),2.08395842953343)</f>
        <v>2.08395843</v>
      </c>
      <c r="AV4018" s="82">
        <f>IFERROR(__xludf.DUMMYFUNCTION("""COMPUTED_VALUE"""),51.87789233983097)</f>
        <v>51.87789234</v>
      </c>
      <c r="AW4018" s="82">
        <f t="shared" si="1"/>
        <v>2.127381971</v>
      </c>
      <c r="AX4018" s="83">
        <f t="array" ref="AX4018">IFERROR(DGET('SBV Import'!A:G,"SBV",{"RSC ID","Tier";B4018,A4018}))</f>
        <v>47.22744895</v>
      </c>
      <c r="AY4018" s="82">
        <f t="shared" si="2"/>
        <v>-2.193718443</v>
      </c>
      <c r="AZ4018" s="82">
        <v>4.321100413340078</v>
      </c>
      <c r="BA4018" s="84">
        <v>4000.0</v>
      </c>
      <c r="BB4018" s="84" t="b">
        <f>IFERROR(__xludf.DUMMYFUNCTION("iferror(if(A4018="""",,E4018&gt;=FILTER(Constants!$F$2:$F$10,Constants!$A$2:$A$10=A4018)))"),TRUE)</f>
        <v>1</v>
      </c>
    </row>
    <row r="4019">
      <c r="A4019" s="89" t="str">
        <f>IFERROR(__xludf.DUMMYFUNCTION("""COMPUTED_VALUE"""),"Amateur")</f>
        <v>Amateur</v>
      </c>
      <c r="B4019" s="87" t="str">
        <f>IFERROR(__xludf.DUMMYFUNCTION("""COMPUTED_VALUE"""),"RSC007216")</f>
        <v>RSC007216</v>
      </c>
      <c r="C4019" s="73" t="str">
        <f>IFERROR(__xludf.DUMMYFUNCTION("""COMPUTED_VALUE"""),"ASAPxLEG")</f>
        <v>ASAPxLEG</v>
      </c>
      <c r="D4019" s="73" t="str">
        <f>IFERROR(__xludf.DUMMYFUNCTION("""COMPUTED_VALUE"""),"Aeon Ale")</f>
        <v>Aeon Ale</v>
      </c>
      <c r="E4019" s="82">
        <f>IFERROR(__xludf.DUMMYFUNCTION("""COMPUTED_VALUE"""),40.0)</f>
        <v>40</v>
      </c>
      <c r="F4019" s="82">
        <f>IFERROR(__xludf.DUMMYFUNCTION("""COMPUTED_VALUE"""),19.0)</f>
        <v>19</v>
      </c>
      <c r="G4019" s="86">
        <f>IFERROR(__xludf.DUMMYFUNCTION("""COMPUTED_VALUE"""),21.0)</f>
        <v>21</v>
      </c>
      <c r="H4019" s="86">
        <f>IFERROR(__xludf.DUMMYFUNCTION("""COMPUTED_VALUE"""),0.475)</f>
        <v>0.475</v>
      </c>
      <c r="I4019" s="86">
        <f>IFERROR(__xludf.DUMMYFUNCTION("""COMPUTED_VALUE"""),0.42857142857142855)</f>
        <v>0.4285714286</v>
      </c>
      <c r="J4019" s="82">
        <f>IFERROR(__xludf.DUMMYFUNCTION("""COMPUTED_VALUE"""),291.8)</f>
        <v>291.8</v>
      </c>
      <c r="K4019" s="82">
        <f>IFERROR(__xludf.DUMMYFUNCTION("""COMPUTED_VALUE"""),0.75)</f>
        <v>0.75</v>
      </c>
      <c r="L4019" s="82">
        <f>IFERROR(__xludf.DUMMYFUNCTION("""COMPUTED_VALUE"""),0.475)</f>
        <v>0.475</v>
      </c>
      <c r="M4019" s="82">
        <f>IFERROR(__xludf.DUMMYFUNCTION("""COMPUTED_VALUE"""),0.9)</f>
        <v>0.9</v>
      </c>
      <c r="N4019" s="82">
        <f>IFERROR(__xludf.DUMMYFUNCTION("""COMPUTED_VALUE"""),1.75)</f>
        <v>1.75</v>
      </c>
      <c r="O4019" s="82">
        <f>IFERROR(__xludf.DUMMYFUNCTION("""COMPUTED_VALUE"""),300.0854166666667)</f>
        <v>300.0854167</v>
      </c>
      <c r="P4019" s="82">
        <f>IFERROR(__xludf.DUMMYFUNCTION("""COMPUTED_VALUE"""),0.8083333333333333)</f>
        <v>0.8083333333</v>
      </c>
      <c r="Q4019" s="82">
        <f>IFERROR(__xludf.DUMMYFUNCTION("""COMPUTED_VALUE"""),0.47083333333333355)</f>
        <v>0.4708333333</v>
      </c>
      <c r="R4019" s="82">
        <f>IFERROR(__xludf.DUMMYFUNCTION("""COMPUTED_VALUE"""),0.7979166666666667)</f>
        <v>0.7979166667</v>
      </c>
      <c r="S4019" s="82">
        <f>IFERROR(__xludf.DUMMYFUNCTION("""COMPUTED_VALUE"""),2.0208333333333344)</f>
        <v>2.020833333</v>
      </c>
      <c r="T4019" s="82">
        <f>IFERROR(__xludf.DUMMYFUNCTION("""COMPUTED_VALUE"""),296.87894215303606)</f>
        <v>296.8789422</v>
      </c>
      <c r="U4019" s="82">
        <f>IFERROR(__xludf.DUMMYFUNCTION("""COMPUTED_VALUE"""),0.7649493960164365)</f>
        <v>0.764949396</v>
      </c>
      <c r="V4019" s="82">
        <f>IFERROR(__xludf.DUMMYFUNCTION("""COMPUTED_VALUE"""),0.4375803938947815)</f>
        <v>0.4375803939</v>
      </c>
      <c r="W4019" s="82">
        <f>IFERROR(__xludf.DUMMYFUNCTION("""COMPUTED_VALUE"""),0.898730736600154)</f>
        <v>0.8987307366</v>
      </c>
      <c r="X4019" s="82">
        <f>IFERROR(__xludf.DUMMYFUNCTION("""COMPUTED_VALUE"""),2.1063504626414233)</f>
        <v>2.106350463</v>
      </c>
      <c r="Y4019" s="82">
        <f>IFERROR(__xludf.DUMMYFUNCTION("""COMPUTED_VALUE"""),299.00472612537317)</f>
        <v>299.0047261</v>
      </c>
      <c r="Z4019" s="82">
        <f>IFERROR(__xludf.DUMMYFUNCTION("""COMPUTED_VALUE"""),0.8004160740244537)</f>
        <v>0.800416074</v>
      </c>
      <c r="AA4019" s="82">
        <f>IFERROR(__xludf.DUMMYFUNCTION("""COMPUTED_VALUE"""),0.44583205423226985)</f>
        <v>0.4458320542</v>
      </c>
      <c r="AB4019" s="82">
        <f>IFERROR(__xludf.DUMMYFUNCTION("""COMPUTED_VALUE"""),0.9057302840877692)</f>
        <v>0.9057302841</v>
      </c>
      <c r="AC4019" s="82">
        <f>IFERROR(__xludf.DUMMYFUNCTION("""COMPUTED_VALUE"""),2.095691327622201)</f>
        <v>2.095691328</v>
      </c>
      <c r="AD4019" s="82">
        <f>IFERROR(__xludf.DUMMYFUNCTION("""COMPUTED_VALUE"""),0.9759043068692091)</f>
        <v>0.9759043069</v>
      </c>
      <c r="AE4019" s="82">
        <f>IFERROR(__xludf.DUMMYFUNCTION("""COMPUTED_VALUE"""),0.9370126667109968)</f>
        <v>0.9370126667</v>
      </c>
      <c r="AF4019" s="82">
        <f>IFERROR(__xludf.DUMMYFUNCTION("""COMPUTED_VALUE"""),1.0654236174605207)</f>
        <v>1.065423617</v>
      </c>
      <c r="AG4019" s="82">
        <f>IFERROR(__xludf.DUMMYFUNCTION("""COMPUTED_VALUE"""),0.9936732996694037)</f>
        <v>0.9936732997</v>
      </c>
      <c r="AH4019" s="82">
        <f>IFERROR(__xludf.DUMMYFUNCTION("""COMPUTED_VALUE"""),0.8350466392326837)</f>
        <v>0.8350466392</v>
      </c>
      <c r="AI4019" s="82">
        <f>IFERROR(__xludf.DUMMYFUNCTION("""COMPUTED_VALUE"""),1.0108006128369245)</f>
        <v>1.010800613</v>
      </c>
      <c r="AJ4019" s="82">
        <f>IFERROR(__xludf.DUMMYFUNCTION("""COMPUTED_VALUE"""),1.0567147807983426)</f>
        <v>1.056714781</v>
      </c>
      <c r="AK4019" s="82">
        <f>IFERROR(__xludf.DUMMYFUNCTION("""COMPUTED_VALUE"""),1.0759927544801011)</f>
        <v>1.075992754</v>
      </c>
      <c r="AL4019" s="82">
        <f>IFERROR(__xludf.DUMMYFUNCTION("""COMPUTED_VALUE"""),0.8878261688090684)</f>
        <v>0.8878261688</v>
      </c>
      <c r="AM4019" s="82">
        <f>IFERROR(__xludf.DUMMYFUNCTION("""COMPUTED_VALUE"""),0.9594003320791887)</f>
        <v>0.9594003321</v>
      </c>
      <c r="AN4019" s="82">
        <f>IFERROR(__xludf.DUMMYFUNCTION("""COMPUTED_VALUE"""),1.0513014817083792)</f>
        <v>1.051301482</v>
      </c>
      <c r="AO4019" s="82">
        <f>IFERROR(__xludf.DUMMYFUNCTION("""COMPUTED_VALUE"""),1.0320197792853691)</f>
        <v>1.032019779</v>
      </c>
      <c r="AP4019" s="82">
        <f>IFERROR(__xludf.DUMMYFUNCTION("""COMPUTED_VALUE"""),1.1377054151225734)</f>
        <v>1.137705415</v>
      </c>
      <c r="AQ4019" s="82">
        <f>IFERROR(__xludf.DUMMYFUNCTION("""COMPUTED_VALUE"""),1.120484347347063)</f>
        <v>1.120484347</v>
      </c>
      <c r="AR4019" s="82">
        <f>IFERROR(__xludf.DUMMYFUNCTION("""COMPUTED_VALUE"""),0.9054197911547445)</f>
        <v>0.9054197912</v>
      </c>
      <c r="AS4019" s="82">
        <f>IFERROR(__xludf.DUMMYFUNCTION("""COMPUTED_VALUE"""),221.0)</f>
        <v>221</v>
      </c>
      <c r="AT4019" s="82">
        <f>IFERROR(__xludf.DUMMYFUNCTION("""COMPUTED_VALUE"""),0.8165197350063503)</f>
        <v>0.816519735</v>
      </c>
      <c r="AU4019" s="82">
        <f>IFERROR(__xludf.DUMMYFUNCTION("""COMPUTED_VALUE"""),2.0547334397326202)</f>
        <v>2.05473344</v>
      </c>
      <c r="AV4019" s="82">
        <f>IFERROR(__xludf.DUMMYFUNCTION("""COMPUTED_VALUE"""),51.30309888791915)</f>
        <v>51.30309889</v>
      </c>
      <c r="AW4019" s="82">
        <f t="shared" si="1"/>
        <v>2.086746196</v>
      </c>
      <c r="AX4019" s="83">
        <f t="array" ref="AX4019">IFERROR(DGET('SBV Import'!A:G,"SBV",{"RSC ID","Tier";B4019,A4019}))</f>
        <v>51.93017409</v>
      </c>
      <c r="AY4019" s="82">
        <f t="shared" si="2"/>
        <v>2.131153528</v>
      </c>
      <c r="AZ4019" s="82">
        <v>0.04440733277623732</v>
      </c>
      <c r="BA4019" s="84">
        <v>4000.0</v>
      </c>
      <c r="BB4019" s="84" t="b">
        <f>IFERROR(__xludf.DUMMYFUNCTION("iferror(if(A4019="""",,E4019&gt;=FILTER(Constants!$F$2:$F$10,Constants!$A$2:$A$10=A4019)))"),TRUE)</f>
        <v>1</v>
      </c>
    </row>
    <row r="4020">
      <c r="A4020" s="89" t="str">
        <f>IFERROR(__xludf.DUMMYFUNCTION("""COMPUTED_VALUE"""),"Amateur")</f>
        <v>Amateur</v>
      </c>
      <c r="B4020" s="87" t="str">
        <f>IFERROR(__xludf.DUMMYFUNCTION("""COMPUTED_VALUE"""),"RSC006147")</f>
        <v>RSC006147</v>
      </c>
      <c r="C4020" s="73" t="str">
        <f>IFERROR(__xludf.DUMMYFUNCTION("""COMPUTED_VALUE"""),"Stolris")</f>
        <v>Stolris</v>
      </c>
      <c r="D4020" s="73"/>
      <c r="E4020" s="82">
        <f>IFERROR(__xludf.DUMMYFUNCTION("""COMPUTED_VALUE"""),3.0)</f>
        <v>3</v>
      </c>
      <c r="F4020" s="82">
        <f>IFERROR(__xludf.DUMMYFUNCTION("""COMPUTED_VALUE"""),1.0)</f>
        <v>1</v>
      </c>
      <c r="G4020" s="86">
        <f>IFERROR(__xludf.DUMMYFUNCTION("""COMPUTED_VALUE"""),2.0)</f>
        <v>2</v>
      </c>
      <c r="H4020" s="86">
        <f>IFERROR(__xludf.DUMMYFUNCTION("""COMPUTED_VALUE"""),0.3333333333333333)</f>
        <v>0.3333333333</v>
      </c>
      <c r="I4020" s="86">
        <f>IFERROR(__xludf.DUMMYFUNCTION("""COMPUTED_VALUE"""),0.2857142857142857)</f>
        <v>0.2857142857</v>
      </c>
      <c r="J4020" s="82">
        <f>IFERROR(__xludf.DUMMYFUNCTION("""COMPUTED_VALUE"""),198.0)</f>
        <v>198</v>
      </c>
      <c r="K4020" s="82">
        <f>IFERROR(__xludf.DUMMYFUNCTION("""COMPUTED_VALUE"""),0.6666666666666666)</f>
        <v>0.6666666667</v>
      </c>
      <c r="L4020" s="82">
        <f>IFERROR(__xludf.DUMMYFUNCTION("""COMPUTED_VALUE"""),0.3333333333333333)</f>
        <v>0.3333333333</v>
      </c>
      <c r="M4020" s="82">
        <f>IFERROR(__xludf.DUMMYFUNCTION("""COMPUTED_VALUE"""),0.3333333333333333)</f>
        <v>0.3333333333</v>
      </c>
      <c r="N4020" s="82">
        <f>IFERROR(__xludf.DUMMYFUNCTION("""COMPUTED_VALUE"""),2.3333333333333335)</f>
        <v>2.333333333</v>
      </c>
      <c r="O4020" s="82">
        <f>IFERROR(__xludf.DUMMYFUNCTION("""COMPUTED_VALUE"""),293.5555555555556)</f>
        <v>293.5555556</v>
      </c>
      <c r="P4020" s="82">
        <f>IFERROR(__xludf.DUMMYFUNCTION("""COMPUTED_VALUE"""),0.7777777777777777)</f>
        <v>0.7777777778</v>
      </c>
      <c r="Q4020" s="82">
        <f>IFERROR(__xludf.DUMMYFUNCTION("""COMPUTED_VALUE"""),0.4444444444444444)</f>
        <v>0.4444444444</v>
      </c>
      <c r="R4020" s="82">
        <f>IFERROR(__xludf.DUMMYFUNCTION("""COMPUTED_VALUE"""),0.9999999999999999)</f>
        <v>1</v>
      </c>
      <c r="S4020" s="82">
        <f>IFERROR(__xludf.DUMMYFUNCTION("""COMPUTED_VALUE"""),1.888888888888889)</f>
        <v>1.888888889</v>
      </c>
      <c r="T4020" s="82">
        <f>IFERROR(__xludf.DUMMYFUNCTION("""COMPUTED_VALUE"""),291.4948637513855)</f>
        <v>291.4948638</v>
      </c>
      <c r="U4020" s="82">
        <f>IFERROR(__xludf.DUMMYFUNCTION("""COMPUTED_VALUE"""),0.8071334462638812)</f>
        <v>0.8071334463</v>
      </c>
      <c r="V4020" s="82">
        <f>IFERROR(__xludf.DUMMYFUNCTION("""COMPUTED_VALUE"""),0.3927076144467449)</f>
        <v>0.3927076144</v>
      </c>
      <c r="W4020" s="82">
        <f>IFERROR(__xludf.DUMMYFUNCTION("""COMPUTED_VALUE"""),0.8269611226132966)</f>
        <v>0.8269611226</v>
      </c>
      <c r="X4020" s="82">
        <f>IFERROR(__xludf.DUMMYFUNCTION("""COMPUTED_VALUE"""),2.1402576489533014)</f>
        <v>2.140257649</v>
      </c>
      <c r="Y4020" s="82">
        <f>IFERROR(__xludf.DUMMYFUNCTION("""COMPUTED_VALUE"""),291.29786880850105)</f>
        <v>291.2978688</v>
      </c>
      <c r="Z4020" s="82">
        <f>IFERROR(__xludf.DUMMYFUNCTION("""COMPUTED_VALUE"""),0.6896348542900267)</f>
        <v>0.6896348543</v>
      </c>
      <c r="AA4020" s="82">
        <f>IFERROR(__xludf.DUMMYFUNCTION("""COMPUTED_VALUE"""),0.39169500146511654)</f>
        <v>0.3916950015</v>
      </c>
      <c r="AB4020" s="82">
        <f>IFERROR(__xludf.DUMMYFUNCTION("""COMPUTED_VALUE"""),0.9853916836675459)</f>
        <v>0.9853916837</v>
      </c>
      <c r="AC4020" s="82">
        <f>IFERROR(__xludf.DUMMYFUNCTION("""COMPUTED_VALUE"""),2.040463197934462)</f>
        <v>2.040463198</v>
      </c>
      <c r="AD4020" s="82">
        <f>IFERROR(__xludf.DUMMYFUNCTION("""COMPUTED_VALUE"""),0.6797166103888148)</f>
        <v>0.6797166104</v>
      </c>
      <c r="AE4020" s="82">
        <f>IFERROR(__xludf.DUMMYFUNCTION("""COMPUTED_VALUE"""),0.9666951467425386)</f>
        <v>0.9666951467</v>
      </c>
      <c r="AF4020" s="82">
        <f>IFERROR(__xludf.DUMMYFUNCTION("""COMPUTED_VALUE"""),0.8510022647379104)</f>
        <v>0.8510022647</v>
      </c>
      <c r="AG4020" s="82">
        <f>IFERROR(__xludf.DUMMYFUNCTION("""COMPUTED_VALUE"""),0.3382749609705395)</f>
        <v>0.338274961</v>
      </c>
      <c r="AH4020" s="82">
        <f>IFERROR(__xludf.DUMMYFUNCTION("""COMPUTED_VALUE"""),1.1435312019816581)</f>
        <v>1.143531202</v>
      </c>
      <c r="AI4020" s="82">
        <f>IFERROR(__xludf.DUMMYFUNCTION("""COMPUTED_VALUE"""),1.0070693931880998)</f>
        <v>1.007069393</v>
      </c>
      <c r="AJ4020" s="82">
        <f>IFERROR(__xludf.DUMMYFUNCTION("""COMPUTED_VALUE"""),0.9636297211793327)</f>
        <v>0.9636297212</v>
      </c>
      <c r="AK4020" s="82">
        <f>IFERROR(__xludf.DUMMYFUNCTION("""COMPUTED_VALUE"""),1.1317438931521293)</f>
        <v>1.131743893</v>
      </c>
      <c r="AL4020" s="82">
        <f>IFERROR(__xludf.DUMMYFUNCTION("""COMPUTED_VALUE"""),1.2092466896628462)</f>
        <v>1.20924669</v>
      </c>
      <c r="AM4020" s="82">
        <f>IFERROR(__xludf.DUMMYFUNCTION("""COMPUTED_VALUE"""),0.8825521029267925)</f>
        <v>0.8825521029</v>
      </c>
      <c r="AN4020" s="82">
        <f>IFERROR(__xludf.DUMMYFUNCTION("""COMPUTED_VALUE"""),0.7133574139076734)</f>
        <v>0.7133574139</v>
      </c>
      <c r="AO4020" s="82">
        <f>IFERROR(__xludf.DUMMYFUNCTION("""COMPUTED_VALUE"""),0.917350914920328)</f>
        <v>0.9173509149</v>
      </c>
      <c r="AP4020" s="82">
        <f>IFERROR(__xludf.DUMMYFUNCTION("""COMPUTED_VALUE"""),0.7983897649982972)</f>
        <v>0.798389765</v>
      </c>
      <c r="AQ4020" s="82">
        <f>IFERROR(__xludf.DUMMYFUNCTION("""COMPUTED_VALUE"""),0.41499420272113435)</f>
        <v>0.4149942027</v>
      </c>
      <c r="AR4020" s="82">
        <f>IFERROR(__xludf.DUMMYFUNCTION("""COMPUTED_VALUE"""),1.207226388206326)</f>
        <v>1.207226388</v>
      </c>
      <c r="AS4020" s="82">
        <f>IFERROR(__xludf.DUMMYFUNCTION("""COMPUTED_VALUE"""),6.0)</f>
        <v>6</v>
      </c>
      <c r="AT4020" s="82">
        <f>IFERROR(__xludf.DUMMYFUNCTION("""COMPUTED_VALUE"""),0.441566165189672)</f>
        <v>0.4415661652</v>
      </c>
      <c r="AU4020" s="82">
        <f>IFERROR(__xludf.DUMMYFUNCTION("""COMPUTED_VALUE"""),1.7994626540675367)</f>
        <v>1.799462654</v>
      </c>
      <c r="AV4020" s="82">
        <f>IFERROR(__xludf.DUMMYFUNCTION("""COMPUTED_VALUE"""),46.2824649351022)</f>
        <v>46.28246494</v>
      </c>
      <c r="AW4020" s="82">
        <f t="shared" si="1"/>
        <v>-2.268115641</v>
      </c>
      <c r="AX4020" s="83">
        <f t="array" ref="AX4020">IFERROR(DGET('SBV Import'!A:G,"SBV",{"RSC ID","Tier";B4020,A4020}))</f>
        <v>24.19067799</v>
      </c>
      <c r="AY4020" s="82">
        <f t="shared" si="2"/>
        <v>-6.624765659</v>
      </c>
      <c r="AZ4020" s="82">
        <v>4.35665001763571</v>
      </c>
      <c r="BA4020" s="84">
        <v>4000.0</v>
      </c>
      <c r="BB4020" s="84" t="b">
        <f>IFERROR(__xludf.DUMMYFUNCTION("iferror(if(A4020="""",,E4020&gt;=FILTER(Constants!$F$2:$F$10,Constants!$A$2:$A$10=A4020)))"),TRUE)</f>
        <v>1</v>
      </c>
    </row>
    <row r="4021">
      <c r="A4021" s="89" t="str">
        <f>IFERROR(__xludf.DUMMYFUNCTION("""COMPUTED_VALUE"""),"Amateur")</f>
        <v>Amateur</v>
      </c>
      <c r="B4021" s="87" t="str">
        <f>IFERROR(__xludf.DUMMYFUNCTION("""COMPUTED_VALUE"""),"RSC007875")</f>
        <v>RSC007875</v>
      </c>
      <c r="C4021" s="73" t="str">
        <f>IFERROR(__xludf.DUMMYFUNCTION("""COMPUTED_VALUE"""),"Flying__ferret")</f>
        <v>Flying__ferret</v>
      </c>
      <c r="D4021" s="73" t="str">
        <f>IFERROR(__xludf.DUMMYFUNCTION("""COMPUTED_VALUE"""),"Winter Fresh")</f>
        <v>Winter Fresh</v>
      </c>
      <c r="E4021" s="82">
        <f>IFERROR(__xludf.DUMMYFUNCTION("""COMPUTED_VALUE"""),43.0)</f>
        <v>43</v>
      </c>
      <c r="F4021" s="82">
        <f>IFERROR(__xludf.DUMMYFUNCTION("""COMPUTED_VALUE"""),17.0)</f>
        <v>17</v>
      </c>
      <c r="G4021" s="86">
        <f>IFERROR(__xludf.DUMMYFUNCTION("""COMPUTED_VALUE"""),26.0)</f>
        <v>26</v>
      </c>
      <c r="H4021" s="86">
        <f>IFERROR(__xludf.DUMMYFUNCTION("""COMPUTED_VALUE"""),0.3953488372093023)</f>
        <v>0.3953488372</v>
      </c>
      <c r="I4021" s="86">
        <f>IFERROR(__xludf.DUMMYFUNCTION("""COMPUTED_VALUE"""),0.3333333333333333)</f>
        <v>0.3333333333</v>
      </c>
      <c r="J4021" s="82">
        <f>IFERROR(__xludf.DUMMYFUNCTION("""COMPUTED_VALUE"""),283.4651162790698)</f>
        <v>283.4651163</v>
      </c>
      <c r="K4021" s="82">
        <f>IFERROR(__xludf.DUMMYFUNCTION("""COMPUTED_VALUE"""),0.6744186046511628)</f>
        <v>0.6744186047</v>
      </c>
      <c r="L4021" s="82">
        <f>IFERROR(__xludf.DUMMYFUNCTION("""COMPUTED_VALUE"""),0.46511627906976744)</f>
        <v>0.4651162791</v>
      </c>
      <c r="M4021" s="82">
        <f>IFERROR(__xludf.DUMMYFUNCTION("""COMPUTED_VALUE"""),1.0465116279069768)</f>
        <v>1.046511628</v>
      </c>
      <c r="N4021" s="82">
        <f>IFERROR(__xludf.DUMMYFUNCTION("""COMPUTED_VALUE"""),2.0232558139534884)</f>
        <v>2.023255814</v>
      </c>
      <c r="O4021" s="82">
        <f>IFERROR(__xludf.DUMMYFUNCTION("""COMPUTED_VALUE"""),329.84496124030994)</f>
        <v>329.8449612</v>
      </c>
      <c r="P4021" s="82">
        <f>IFERROR(__xludf.DUMMYFUNCTION("""COMPUTED_VALUE"""),1.023255813953488)</f>
        <v>1.023255814</v>
      </c>
      <c r="Q4021" s="82">
        <f>IFERROR(__xludf.DUMMYFUNCTION("""COMPUTED_VALUE"""),0.6589147286821704)</f>
        <v>0.6589147287</v>
      </c>
      <c r="R4021" s="82">
        <f>IFERROR(__xludf.DUMMYFUNCTION("""COMPUTED_VALUE"""),0.8527131782945736)</f>
        <v>0.8527131783</v>
      </c>
      <c r="S4021" s="82">
        <f>IFERROR(__xludf.DUMMYFUNCTION("""COMPUTED_VALUE"""),2.3565891472868215)</f>
        <v>2.356589147</v>
      </c>
      <c r="T4021" s="82">
        <f>IFERROR(__xludf.DUMMYFUNCTION("""COMPUTED_VALUE"""),296.6297254294568)</f>
        <v>296.6297254</v>
      </c>
      <c r="U4021" s="82">
        <f>IFERROR(__xludf.DUMMYFUNCTION("""COMPUTED_VALUE"""),0.7960236173671354)</f>
        <v>0.7960236174</v>
      </c>
      <c r="V4021" s="82">
        <f>IFERROR(__xludf.DUMMYFUNCTION("""COMPUTED_VALUE"""),0.4448893313625028)</f>
        <v>0.4448893314</v>
      </c>
      <c r="W4021" s="82">
        <f>IFERROR(__xludf.DUMMYFUNCTION("""COMPUTED_VALUE"""),0.8507850463004928)</f>
        <v>0.8507850463</v>
      </c>
      <c r="X4021" s="82">
        <f>IFERROR(__xludf.DUMMYFUNCTION("""COMPUTED_VALUE"""),2.08434382197785)</f>
        <v>2.084343822</v>
      </c>
      <c r="Y4021" s="82">
        <f>IFERROR(__xludf.DUMMYFUNCTION("""COMPUTED_VALUE"""),291.64435835863287)</f>
        <v>291.6443584</v>
      </c>
      <c r="Z4021" s="82">
        <f>IFERROR(__xludf.DUMMYFUNCTION("""COMPUTED_VALUE"""),0.7445741879028864)</f>
        <v>0.7445741879</v>
      </c>
      <c r="AA4021" s="82">
        <f>IFERROR(__xludf.DUMMYFUNCTION("""COMPUTED_VALUE"""),0.40670046713938607)</f>
        <v>0.4067004671</v>
      </c>
      <c r="AB4021" s="82">
        <f>IFERROR(__xludf.DUMMYFUNCTION("""COMPUTED_VALUE"""),0.8979969687241842)</f>
        <v>0.8979969687</v>
      </c>
      <c r="AC4021" s="82">
        <f>IFERROR(__xludf.DUMMYFUNCTION("""COMPUTED_VALUE"""),2.021769158749066)</f>
        <v>2.021769159</v>
      </c>
      <c r="AD4021" s="82">
        <f>IFERROR(__xludf.DUMMYFUNCTION("""COMPUTED_VALUE"""),0.9719547392392719)</f>
        <v>0.9719547392</v>
      </c>
      <c r="AE4021" s="82">
        <f>IFERROR(__xludf.DUMMYFUNCTION("""COMPUTED_VALUE"""),0.905777578122445)</f>
        <v>0.9057775781</v>
      </c>
      <c r="AF4021" s="82">
        <f>IFERROR(__xludf.DUMMYFUNCTION("""COMPUTED_VALUE"""),1.1436335009429945)</f>
        <v>1.143633501</v>
      </c>
      <c r="AG4021" s="82">
        <f>IFERROR(__xludf.DUMMYFUNCTION("""COMPUTED_VALUE"""),1.165384365822295)</f>
        <v>1.165384366</v>
      </c>
      <c r="AH4021" s="82">
        <f>IFERROR(__xludf.DUMMYFUNCTION("""COMPUTED_VALUE"""),1.0007353239107388)</f>
        <v>1.000735324</v>
      </c>
      <c r="AI4021" s="82">
        <f>IFERROR(__xludf.DUMMYFUNCTION("""COMPUTED_VALUE"""),1.1119754123183863)</f>
        <v>1.111975412</v>
      </c>
      <c r="AJ4021" s="82">
        <f>IFERROR(__xludf.DUMMYFUNCTION("""COMPUTED_VALUE"""),1.2854591140623788)</f>
        <v>1.285459114</v>
      </c>
      <c r="AK4021" s="82">
        <f>IFERROR(__xludf.DUMMYFUNCTION("""COMPUTED_VALUE"""),1.4810755894374916)</f>
        <v>1.481075589</v>
      </c>
      <c r="AL4021" s="82">
        <f>IFERROR(__xludf.DUMMYFUNCTION("""COMPUTED_VALUE"""),1.0022662974654586)</f>
        <v>1.002266297</v>
      </c>
      <c r="AM4021" s="82">
        <f>IFERROR(__xludf.DUMMYFUNCTION("""COMPUTED_VALUE"""),1.130614403649891)</f>
        <v>1.130614404</v>
      </c>
      <c r="AN4021" s="82">
        <f>IFERROR(__xludf.DUMMYFUNCTION("""COMPUTED_VALUE"""),1.0212724357670462)</f>
        <v>1.021272436</v>
      </c>
      <c r="AO4021" s="82">
        <f>IFERROR(__xludf.DUMMYFUNCTION("""COMPUTED_VALUE"""),0.9280177860240528)</f>
        <v>0.928017786</v>
      </c>
      <c r="AP4021" s="82">
        <f>IFERROR(__xludf.DUMMYFUNCTION("""COMPUTED_VALUE"""),1.1140322302301822)</f>
        <v>1.11403223</v>
      </c>
      <c r="AQ4021" s="82">
        <f>IFERROR(__xludf.DUMMYFUNCTION("""COMPUTED_VALUE"""),1.302888775984957)</f>
        <v>1.302888776</v>
      </c>
      <c r="AR4021" s="82">
        <f>IFERROR(__xludf.DUMMYFUNCTION("""COMPUTED_VALUE"""),1.0467976322985086)</f>
        <v>1.046797632</v>
      </c>
      <c r="AS4021" s="82">
        <f>IFERROR(__xludf.DUMMYFUNCTION("""COMPUTED_VALUE"""),294.0)</f>
        <v>294</v>
      </c>
      <c r="AT4021" s="82">
        <f>IFERROR(__xludf.DUMMYFUNCTION("""COMPUTED_VALUE"""),0.8244062216577103)</f>
        <v>0.8244062217</v>
      </c>
      <c r="AU4021" s="82">
        <f>IFERROR(__xludf.DUMMYFUNCTION("""COMPUTED_VALUE"""),1.7849640152759978)</f>
        <v>1.784964015</v>
      </c>
      <c r="AV4021" s="82">
        <f>IFERROR(__xludf.DUMMYFUNCTION("""COMPUTED_VALUE"""),45.9973075168854)</f>
        <v>45.99730752</v>
      </c>
      <c r="AW4021" s="82">
        <f t="shared" si="1"/>
        <v>-2.291485592</v>
      </c>
      <c r="AX4021" s="83">
        <f t="array" ref="AX4021">IFERROR(DGET('SBV Import'!A:G,"SBV",{"RSC ID","Tier";B4021,A4021}))</f>
        <v>42.36217065</v>
      </c>
      <c r="AY4021" s="82">
        <f t="shared" si="2"/>
        <v>-2.631664346</v>
      </c>
      <c r="AZ4021" s="82">
        <v>0.3401787536666232</v>
      </c>
      <c r="BA4021" s="84">
        <v>4000.0</v>
      </c>
      <c r="BB4021" s="84" t="b">
        <f>IFERROR(__xludf.DUMMYFUNCTION("iferror(if(A4021="""",,E4021&gt;=FILTER(Constants!$F$2:$F$10,Constants!$A$2:$A$10=A4021)))"),TRUE)</f>
        <v>1</v>
      </c>
    </row>
    <row r="4022">
      <c r="A4022" s="89" t="str">
        <f>IFERROR(__xludf.DUMMYFUNCTION("""COMPUTED_VALUE"""),"Amateur")</f>
        <v>Amateur</v>
      </c>
      <c r="B4022" s="87" t="str">
        <f>IFERROR(__xludf.DUMMYFUNCTION("""COMPUTED_VALUE"""),"RSC005925")</f>
        <v>RSC005925</v>
      </c>
      <c r="C4022" s="73" t="str">
        <f>IFERROR(__xludf.DUMMYFUNCTION("""COMPUTED_VALUE"""),"Emily26210")</f>
        <v>Emily26210</v>
      </c>
      <c r="D4022" s="73" t="str">
        <f>IFERROR(__xludf.DUMMYFUNCTION("""COMPUTED_VALUE"""),"Amaranth")</f>
        <v>Amaranth</v>
      </c>
      <c r="E4022" s="82">
        <f>IFERROR(__xludf.DUMMYFUNCTION("""COMPUTED_VALUE"""),38.0)</f>
        <v>38</v>
      </c>
      <c r="F4022" s="82">
        <f>IFERROR(__xludf.DUMMYFUNCTION("""COMPUTED_VALUE"""),8.0)</f>
        <v>8</v>
      </c>
      <c r="G4022" s="86">
        <f>IFERROR(__xludf.DUMMYFUNCTION("""COMPUTED_VALUE"""),30.0)</f>
        <v>30</v>
      </c>
      <c r="H4022" s="86">
        <f>IFERROR(__xludf.DUMMYFUNCTION("""COMPUTED_VALUE"""),0.21052631578947367)</f>
        <v>0.2105263158</v>
      </c>
      <c r="I4022" s="86">
        <f>IFERROR(__xludf.DUMMYFUNCTION("""COMPUTED_VALUE"""),0.3218390804597701)</f>
        <v>0.3218390805</v>
      </c>
      <c r="J4022" s="82">
        <f>IFERROR(__xludf.DUMMYFUNCTION("""COMPUTED_VALUE"""),307.0)</f>
        <v>307</v>
      </c>
      <c r="K4022" s="82">
        <f>IFERROR(__xludf.DUMMYFUNCTION("""COMPUTED_VALUE"""),0.7368421052631579)</f>
        <v>0.7368421053</v>
      </c>
      <c r="L4022" s="82">
        <f>IFERROR(__xludf.DUMMYFUNCTION("""COMPUTED_VALUE"""),0.3157894736842105)</f>
        <v>0.3157894737</v>
      </c>
      <c r="M4022" s="82">
        <f>IFERROR(__xludf.DUMMYFUNCTION("""COMPUTED_VALUE"""),1.2105263157894737)</f>
        <v>1.210526316</v>
      </c>
      <c r="N4022" s="82">
        <f>IFERROR(__xludf.DUMMYFUNCTION("""COMPUTED_VALUE"""),2.289473684210526)</f>
        <v>2.289473684</v>
      </c>
      <c r="O4022" s="82">
        <f>IFERROR(__xludf.DUMMYFUNCTION("""COMPUTED_VALUE"""),345.9451754385965)</f>
        <v>345.9451754</v>
      </c>
      <c r="P4022" s="82">
        <f>IFERROR(__xludf.DUMMYFUNCTION("""COMPUTED_VALUE"""),1.1688596491228067)</f>
        <v>1.168859649</v>
      </c>
      <c r="Q4022" s="82">
        <f>IFERROR(__xludf.DUMMYFUNCTION("""COMPUTED_VALUE"""),0.6403508771929826)</f>
        <v>0.6403508772</v>
      </c>
      <c r="R4022" s="82">
        <f>IFERROR(__xludf.DUMMYFUNCTION("""COMPUTED_VALUE"""),0.8333333333333336)</f>
        <v>0.8333333333</v>
      </c>
      <c r="S4022" s="82">
        <f>IFERROR(__xludf.DUMMYFUNCTION("""COMPUTED_VALUE"""),2.6535087719298245)</f>
        <v>2.653508772</v>
      </c>
      <c r="T4022" s="82">
        <f>IFERROR(__xludf.DUMMYFUNCTION("""COMPUTED_VALUE"""),299.8011948930651)</f>
        <v>299.8011949</v>
      </c>
      <c r="U4022" s="82">
        <f>IFERROR(__xludf.DUMMYFUNCTION("""COMPUTED_VALUE"""),0.8309445781188881)</f>
        <v>0.8309445781</v>
      </c>
      <c r="V4022" s="82">
        <f>IFERROR(__xludf.DUMMYFUNCTION("""COMPUTED_VALUE"""),0.4249628282614206)</f>
        <v>0.4249628283</v>
      </c>
      <c r="W4022" s="82">
        <f>IFERROR(__xludf.DUMMYFUNCTION("""COMPUTED_VALUE"""),0.8711647285355838)</f>
        <v>0.8711647285</v>
      </c>
      <c r="X4022" s="82">
        <f>IFERROR(__xludf.DUMMYFUNCTION("""COMPUTED_VALUE"""),2.1182323702346193)</f>
        <v>2.11823237</v>
      </c>
      <c r="Y4022" s="82">
        <f>IFERROR(__xludf.DUMMYFUNCTION("""COMPUTED_VALUE"""),286.33171189385496)</f>
        <v>286.3317119</v>
      </c>
      <c r="Z4022" s="82">
        <f>IFERROR(__xludf.DUMMYFUNCTION("""COMPUTED_VALUE"""),0.7081926937460619)</f>
        <v>0.7081926937</v>
      </c>
      <c r="AA4022" s="82">
        <f>IFERROR(__xludf.DUMMYFUNCTION("""COMPUTED_VALUE"""),0.3958495770027456)</f>
        <v>0.395849577</v>
      </c>
      <c r="AB4022" s="82">
        <f>IFERROR(__xludf.DUMMYFUNCTION("""COMPUTED_VALUE"""),0.8860170252685776)</f>
        <v>0.8860170253</v>
      </c>
      <c r="AC4022" s="82">
        <f>IFERROR(__xludf.DUMMYFUNCTION("""COMPUTED_VALUE"""),2.0001525479482907)</f>
        <v>2.000152548</v>
      </c>
      <c r="AD4022" s="82">
        <f>IFERROR(__xludf.DUMMYFUNCTION("""COMPUTED_VALUE"""),1.0721830214663994)</f>
        <v>1.072183021</v>
      </c>
      <c r="AE4022" s="82">
        <f>IFERROR(__xludf.DUMMYFUNCTION("""COMPUTED_VALUE"""),1.0404542602177267)</f>
        <v>1.04045426</v>
      </c>
      <c r="AF4022" s="82">
        <f>IFERROR(__xludf.DUMMYFUNCTION("""COMPUTED_VALUE"""),0.7977511964905301)</f>
        <v>0.7977511965</v>
      </c>
      <c r="AG4022" s="82">
        <f>IFERROR(__xludf.DUMMYFUNCTION("""COMPUTED_VALUE"""),1.3662562696495903)</f>
        <v>1.36625627</v>
      </c>
      <c r="AH4022" s="82">
        <f>IFERROR(__xludf.DUMMYFUNCTION("""COMPUTED_VALUE"""),1.1446495351362147)</f>
        <v>1.144649535</v>
      </c>
      <c r="AI4022" s="82">
        <f>IFERROR(__xludf.DUMMYFUNCTION("""COMPUTED_VALUE"""),1.1539152656212406)</f>
        <v>1.153915266</v>
      </c>
      <c r="AJ4022" s="82">
        <f>IFERROR(__xludf.DUMMYFUNCTION("""COMPUTED_VALUE"""),1.406663789501941)</f>
        <v>1.40666379</v>
      </c>
      <c r="AK4022" s="82">
        <f>IFERROR(__xludf.DUMMYFUNCTION("""COMPUTED_VALUE"""),1.5068397389313861)</f>
        <v>1.506839739</v>
      </c>
      <c r="AL4022" s="82">
        <f>IFERROR(__xludf.DUMMYFUNCTION("""COMPUTED_VALUE"""),0.9565737753572229)</f>
        <v>0.9565737754</v>
      </c>
      <c r="AM4022" s="82">
        <f>IFERROR(__xludf.DUMMYFUNCTION("""COMPUTED_VALUE"""),1.2526995664955856)</f>
        <v>1.252699566</v>
      </c>
      <c r="AN4022" s="82">
        <f>IFERROR(__xludf.DUMMYFUNCTION("""COMPUTED_VALUE"""),1.1060642730790693)</f>
        <v>1.106064273</v>
      </c>
      <c r="AO4022" s="82">
        <f>IFERROR(__xludf.DUMMYFUNCTION("""COMPUTED_VALUE"""),1.013914169122468)</f>
        <v>1.013914169</v>
      </c>
      <c r="AP4022" s="82">
        <f>IFERROR(__xludf.DUMMYFUNCTION("""COMPUTED_VALUE"""),0.7563692510510184)</f>
        <v>0.7563692511</v>
      </c>
      <c r="AQ4022" s="82">
        <f>IFERROR(__xludf.DUMMYFUNCTION("""COMPUTED_VALUE"""),1.5070842098820143)</f>
        <v>1.50708421</v>
      </c>
      <c r="AR4022" s="82">
        <f>IFERROR(__xludf.DUMMYFUNCTION("""COMPUTED_VALUE"""),1.1845341628641017)</f>
        <v>1.184534163</v>
      </c>
      <c r="AS4022" s="82">
        <f>IFERROR(__xludf.DUMMYFUNCTION("""COMPUTED_VALUE"""),164.0)</f>
        <v>164</v>
      </c>
      <c r="AT4022" s="82">
        <f>IFERROR(__xludf.DUMMYFUNCTION("""COMPUTED_VALUE"""),0.5925971071585763)</f>
        <v>0.5925971072</v>
      </c>
      <c r="AU4022" s="82">
        <f>IFERROR(__xludf.DUMMYFUNCTION("""COMPUTED_VALUE"""),1.7745517428752013)</f>
        <v>1.774551743</v>
      </c>
      <c r="AV4022" s="82">
        <f>IFERROR(__xludf.DUMMYFUNCTION("""COMPUTED_VALUE"""),45.79252024283358)</f>
        <v>45.79252024</v>
      </c>
      <c r="AW4022" s="82">
        <f t="shared" si="1"/>
        <v>-2.308541378</v>
      </c>
      <c r="AX4022" s="83">
        <f t="array" ref="AX4022">IFERROR(DGET('SBV Import'!A:G,"SBV",{"RSC ID","Tier";B4022,A4022}))</f>
        <v>46.94907282</v>
      </c>
      <c r="AY4022" s="82">
        <f t="shared" si="2"/>
        <v>-2.215159196</v>
      </c>
      <c r="AZ4022" s="82">
        <v>0.09338218231004536</v>
      </c>
      <c r="BA4022" s="84">
        <v>4000.0</v>
      </c>
      <c r="BB4022" s="84" t="b">
        <f>IFERROR(__xludf.DUMMYFUNCTION("iferror(if(A4022="""",,E4022&gt;=FILTER(Constants!$F$2:$F$10,Constants!$A$2:$A$10=A4022)))"),TRUE)</f>
        <v>1</v>
      </c>
    </row>
    <row r="4023">
      <c r="A4023" s="89" t="str">
        <f>IFERROR(__xludf.DUMMYFUNCTION("""COMPUTED_VALUE"""),"Amateur")</f>
        <v>Amateur</v>
      </c>
      <c r="B4023" s="87" t="str">
        <f>IFERROR(__xludf.DUMMYFUNCTION("""COMPUTED_VALUE"""),"RSC007948")</f>
        <v>RSC007948</v>
      </c>
      <c r="C4023" s="73" t="str">
        <f>IFERROR(__xludf.DUMMYFUNCTION("""COMPUTED_VALUE"""),"MasterOfDaTurtle")</f>
        <v>MasterOfDaTurtle</v>
      </c>
      <c r="D4023" s="73"/>
      <c r="E4023" s="82">
        <f>IFERROR(__xludf.DUMMYFUNCTION("""COMPUTED_VALUE"""),14.0)</f>
        <v>14</v>
      </c>
      <c r="F4023" s="82">
        <f>IFERROR(__xludf.DUMMYFUNCTION("""COMPUTED_VALUE"""),3.0)</f>
        <v>3</v>
      </c>
      <c r="G4023" s="86">
        <f>IFERROR(__xludf.DUMMYFUNCTION("""COMPUTED_VALUE"""),11.0)</f>
        <v>11</v>
      </c>
      <c r="H4023" s="86">
        <f>IFERROR(__xludf.DUMMYFUNCTION("""COMPUTED_VALUE"""),0.21428571428571427)</f>
        <v>0.2142857143</v>
      </c>
      <c r="I4023" s="86">
        <f>IFERROR(__xludf.DUMMYFUNCTION("""COMPUTED_VALUE"""),0.32142857142857145)</f>
        <v>0.3214285714</v>
      </c>
      <c r="J4023" s="82">
        <f>IFERROR(__xludf.DUMMYFUNCTION("""COMPUTED_VALUE"""),257.57142857142856)</f>
        <v>257.5714286</v>
      </c>
      <c r="K4023" s="82">
        <f>IFERROR(__xludf.DUMMYFUNCTION("""COMPUTED_VALUE"""),0.6428571428571429)</f>
        <v>0.6428571429</v>
      </c>
      <c r="L4023" s="82">
        <f>IFERROR(__xludf.DUMMYFUNCTION("""COMPUTED_VALUE"""),0.42857142857142855)</f>
        <v>0.4285714286</v>
      </c>
      <c r="M4023" s="82">
        <f>IFERROR(__xludf.DUMMYFUNCTION("""COMPUTED_VALUE"""),0.35714285714285715)</f>
        <v>0.3571428571</v>
      </c>
      <c r="N4023" s="82">
        <f>IFERROR(__xludf.DUMMYFUNCTION("""COMPUTED_VALUE"""),2.0)</f>
        <v>2</v>
      </c>
      <c r="O4023" s="82">
        <f>IFERROR(__xludf.DUMMYFUNCTION("""COMPUTED_VALUE"""),304.0654761904762)</f>
        <v>304.0654762</v>
      </c>
      <c r="P4023" s="82">
        <f>IFERROR(__xludf.DUMMYFUNCTION("""COMPUTED_VALUE"""),0.9583333333333331)</f>
        <v>0.9583333333</v>
      </c>
      <c r="Q4023" s="82">
        <f>IFERROR(__xludf.DUMMYFUNCTION("""COMPUTED_VALUE"""),0.4404761904761905)</f>
        <v>0.4404761905</v>
      </c>
      <c r="R4023" s="82">
        <f>IFERROR(__xludf.DUMMYFUNCTION("""COMPUTED_VALUE"""),0.8690476190476188)</f>
        <v>0.869047619</v>
      </c>
      <c r="S4023" s="82">
        <f>IFERROR(__xludf.DUMMYFUNCTION("""COMPUTED_VALUE"""),2.0952380952380945)</f>
        <v>2.095238095</v>
      </c>
      <c r="T4023" s="82">
        <f>IFERROR(__xludf.DUMMYFUNCTION("""COMPUTED_VALUE"""),282.0253086115132)</f>
        <v>282.0253086</v>
      </c>
      <c r="U4023" s="82">
        <f>IFERROR(__xludf.DUMMYFUNCTION("""COMPUTED_VALUE"""),0.7496590478175618)</f>
        <v>0.7496590478</v>
      </c>
      <c r="V4023" s="82">
        <f>IFERROR(__xludf.DUMMYFUNCTION("""COMPUTED_VALUE"""),0.3752011623300244)</f>
        <v>0.3752011623</v>
      </c>
      <c r="W4023" s="82">
        <f>IFERROR(__xludf.DUMMYFUNCTION("""COMPUTED_VALUE"""),0.8094822038320063)</f>
        <v>0.8094822038</v>
      </c>
      <c r="X4023" s="82">
        <f>IFERROR(__xludf.DUMMYFUNCTION("""COMPUTED_VALUE"""),1.9599699128048857)</f>
        <v>1.959969913</v>
      </c>
      <c r="Y4023" s="82">
        <f>IFERROR(__xludf.DUMMYFUNCTION("""COMPUTED_VALUE"""),289.61617703221555)</f>
        <v>289.616177</v>
      </c>
      <c r="Z4023" s="82">
        <f>IFERROR(__xludf.DUMMYFUNCTION("""COMPUTED_VALUE"""),0.7545882437852273)</f>
        <v>0.7545882438</v>
      </c>
      <c r="AA4023" s="82">
        <f>IFERROR(__xludf.DUMMYFUNCTION("""COMPUTED_VALUE"""),0.4088210757770491)</f>
        <v>0.4088210758</v>
      </c>
      <c r="AB4023" s="82">
        <f>IFERROR(__xludf.DUMMYFUNCTION("""COMPUTED_VALUE"""),0.8391263978447814)</f>
        <v>0.8391263978</v>
      </c>
      <c r="AC4023" s="82">
        <f>IFERROR(__xludf.DUMMYFUNCTION("""COMPUTED_VALUE"""),2.0248573501175025)</f>
        <v>2.02485735</v>
      </c>
      <c r="AD4023" s="82">
        <f>IFERROR(__xludf.DUMMYFUNCTION("""COMPUTED_VALUE"""),0.8893544249179752)</f>
        <v>0.8893544249</v>
      </c>
      <c r="AE4023" s="82">
        <f>IFERROR(__xludf.DUMMYFUNCTION("""COMPUTED_VALUE"""),0.8519310341125782)</f>
        <v>0.8519310341</v>
      </c>
      <c r="AF4023" s="82">
        <f>IFERROR(__xludf.DUMMYFUNCTION("""COMPUTED_VALUE"""),1.048310505413254)</f>
        <v>1.048310505</v>
      </c>
      <c r="AG4023" s="82">
        <f>IFERROR(__xludf.DUMMYFUNCTION("""COMPUTED_VALUE"""),0.4256127063338081)</f>
        <v>0.4256127063</v>
      </c>
      <c r="AH4023" s="82">
        <f>IFERROR(__xludf.DUMMYFUNCTION("""COMPUTED_VALUE"""),0.9877239005917824)</f>
        <v>0.9877239006</v>
      </c>
      <c r="AI4023" s="82">
        <f>IFERROR(__xludf.DUMMYFUNCTION("""COMPUTED_VALUE"""),1.078149608939257)</f>
        <v>1.078149609</v>
      </c>
      <c r="AJ4023" s="82">
        <f>IFERROR(__xludf.DUMMYFUNCTION("""COMPUTED_VALUE"""),1.2783589234643036)</f>
        <v>1.278358923</v>
      </c>
      <c r="AK4023" s="82">
        <f>IFERROR(__xludf.DUMMYFUNCTION("""COMPUTED_VALUE"""),1.173973416662155)</f>
        <v>1.173973417</v>
      </c>
      <c r="AL4023" s="82">
        <f>IFERROR(__xludf.DUMMYFUNCTION("""COMPUTED_VALUE"""),1.0735845889305977)</f>
        <v>1.073584589</v>
      </c>
      <c r="AM4023" s="82">
        <f>IFERROR(__xludf.DUMMYFUNCTION("""COMPUTED_VALUE"""),1.0690154382215125)</f>
        <v>1.069015438</v>
      </c>
      <c r="AN4023" s="82">
        <f>IFERROR(__xludf.DUMMYFUNCTION("""COMPUTED_VALUE"""),0.9279822635465621)</f>
        <v>0.9279822635</v>
      </c>
      <c r="AO4023" s="82">
        <f>IFERROR(__xludf.DUMMYFUNCTION("""COMPUTED_VALUE"""),0.8845883822446022)</f>
        <v>0.8845883822</v>
      </c>
      <c r="AP4023" s="82">
        <f>IFERROR(__xludf.DUMMYFUNCTION("""COMPUTED_VALUE"""),1.0265011264263821)</f>
        <v>1.026501126</v>
      </c>
      <c r="AQ4023" s="82">
        <f>IFERROR(__xludf.DUMMYFUNCTION("""COMPUTED_VALUE"""),0.444636645772644)</f>
        <v>0.4446366458</v>
      </c>
      <c r="AR4023" s="82">
        <f>IFERROR(__xludf.DUMMYFUNCTION("""COMPUTED_VALUE"""),1.0347654756054223)</f>
        <v>1.034765476</v>
      </c>
      <c r="AS4023" s="82">
        <f>IFERROR(__xludf.DUMMYFUNCTION("""COMPUTED_VALUE"""),82.0)</f>
        <v>82</v>
      </c>
      <c r="AT4023" s="82">
        <f>IFERROR(__xludf.DUMMYFUNCTION("""COMPUTED_VALUE"""),0.790076846643886)</f>
        <v>0.7900768466</v>
      </c>
      <c r="AU4023" s="82">
        <f>IFERROR(__xludf.DUMMYFUNCTION("""COMPUTED_VALUE"""),1.7263265643097025)</f>
        <v>1.726326564</v>
      </c>
      <c r="AV4023" s="82">
        <f>IFERROR(__xludf.DUMMYFUNCTION("""COMPUTED_VALUE"""),44.84403344965911)</f>
        <v>44.84403345</v>
      </c>
      <c r="AW4023" s="82">
        <f t="shared" si="1"/>
        <v>-2.390615908</v>
      </c>
      <c r="AX4023" s="83">
        <f t="array" ref="AX4023">IFERROR(DGET('SBV Import'!A:G,"SBV",{"RSC ID","Tier";B4023,A4023}))</f>
        <v>40.52945632</v>
      </c>
      <c r="AY4023" s="82">
        <f t="shared" si="2"/>
        <v>-2.837602973</v>
      </c>
      <c r="AZ4023" s="82">
        <v>0.44698706498388896</v>
      </c>
      <c r="BA4023" s="84">
        <v>4000.0</v>
      </c>
      <c r="BB4023" s="84" t="b">
        <f>IFERROR(__xludf.DUMMYFUNCTION("iferror(if(A4023="""",,E4023&gt;=FILTER(Constants!$F$2:$F$10,Constants!$A$2:$A$10=A4023)))"),TRUE)</f>
        <v>1</v>
      </c>
    </row>
    <row r="4024">
      <c r="A4024" s="89" t="str">
        <f>IFERROR(__xludf.DUMMYFUNCTION("""COMPUTED_VALUE"""),"Amateur")</f>
        <v>Amateur</v>
      </c>
      <c r="B4024" s="87" t="str">
        <f>IFERROR(__xludf.DUMMYFUNCTION("""COMPUTED_VALUE"""),"RSC007921")</f>
        <v>RSC007921</v>
      </c>
      <c r="C4024" s="73" t="str">
        <f>IFERROR(__xludf.DUMMYFUNCTION("""COMPUTED_VALUE"""),"sXCyBeast")</f>
        <v>sXCyBeast</v>
      </c>
      <c r="D4024" s="73" t="str">
        <f>IFERROR(__xludf.DUMMYFUNCTION("""COMPUTED_VALUE"""),"Surprise")</f>
        <v>Surprise</v>
      </c>
      <c r="E4024" s="82">
        <f>IFERROR(__xludf.DUMMYFUNCTION("""COMPUTED_VALUE"""),29.0)</f>
        <v>29</v>
      </c>
      <c r="F4024" s="82">
        <f>IFERROR(__xludf.DUMMYFUNCTION("""COMPUTED_VALUE"""),14.0)</f>
        <v>14</v>
      </c>
      <c r="G4024" s="86">
        <f>IFERROR(__xludf.DUMMYFUNCTION("""COMPUTED_VALUE"""),15.0)</f>
        <v>15</v>
      </c>
      <c r="H4024" s="86">
        <f>IFERROR(__xludf.DUMMYFUNCTION("""COMPUTED_VALUE"""),0.4827586206896552)</f>
        <v>0.4827586207</v>
      </c>
      <c r="I4024" s="86">
        <f>IFERROR(__xludf.DUMMYFUNCTION("""COMPUTED_VALUE"""),0.26666666666666666)</f>
        <v>0.2666666667</v>
      </c>
      <c r="J4024" s="82">
        <f>IFERROR(__xludf.DUMMYFUNCTION("""COMPUTED_VALUE"""),229.10344827586206)</f>
        <v>229.1034483</v>
      </c>
      <c r="K4024" s="82">
        <f>IFERROR(__xludf.DUMMYFUNCTION("""COMPUTED_VALUE"""),0.41379310344827586)</f>
        <v>0.4137931034</v>
      </c>
      <c r="L4024" s="82">
        <f>IFERROR(__xludf.DUMMYFUNCTION("""COMPUTED_VALUE"""),0.5172413793103449)</f>
        <v>0.5172413793</v>
      </c>
      <c r="M4024" s="82">
        <f>IFERROR(__xludf.DUMMYFUNCTION("""COMPUTED_VALUE"""),0.5172413793103449)</f>
        <v>0.5172413793</v>
      </c>
      <c r="N4024" s="82">
        <f>IFERROR(__xludf.DUMMYFUNCTION("""COMPUTED_VALUE"""),1.5517241379310345)</f>
        <v>1.551724138</v>
      </c>
      <c r="O4024" s="82">
        <f>IFERROR(__xludf.DUMMYFUNCTION("""COMPUTED_VALUE"""),292.2040229885058)</f>
        <v>292.204023</v>
      </c>
      <c r="P4024" s="82">
        <f>IFERROR(__xludf.DUMMYFUNCTION("""COMPUTED_VALUE"""),0.8448275862068966)</f>
        <v>0.8448275862</v>
      </c>
      <c r="Q4024" s="82">
        <f>IFERROR(__xludf.DUMMYFUNCTION("""COMPUTED_VALUE"""),0.38218390804597696)</f>
        <v>0.382183908</v>
      </c>
      <c r="R4024" s="82">
        <f>IFERROR(__xludf.DUMMYFUNCTION("""COMPUTED_VALUE"""),0.8275862068965516)</f>
        <v>0.8275862069</v>
      </c>
      <c r="S4024" s="82">
        <f>IFERROR(__xludf.DUMMYFUNCTION("""COMPUTED_VALUE"""),1.775862068965517)</f>
        <v>1.775862069</v>
      </c>
      <c r="T4024" s="82">
        <f>IFERROR(__xludf.DUMMYFUNCTION("""COMPUTED_VALUE"""),305.11316252516093)</f>
        <v>305.1131625</v>
      </c>
      <c r="U4024" s="82">
        <f>IFERROR(__xludf.DUMMYFUNCTION("""COMPUTED_VALUE"""),0.8344441721796134)</f>
        <v>0.8344441722</v>
      </c>
      <c r="V4024" s="82">
        <f>IFERROR(__xludf.DUMMYFUNCTION("""COMPUTED_VALUE"""),0.4637005571884881)</f>
        <v>0.4637005572</v>
      </c>
      <c r="W4024" s="82">
        <f>IFERROR(__xludf.DUMMYFUNCTION("""COMPUTED_VALUE"""),0.9140937226573285)</f>
        <v>0.9140937227</v>
      </c>
      <c r="X4024" s="82">
        <f>IFERROR(__xludf.DUMMYFUNCTION("""COMPUTED_VALUE"""),2.1022583395320718)</f>
        <v>2.10225834</v>
      </c>
      <c r="Y4024" s="82">
        <f>IFERROR(__xludf.DUMMYFUNCTION("""COMPUTED_VALUE"""),289.4363123600047)</f>
        <v>289.4363124</v>
      </c>
      <c r="Z4024" s="82">
        <f>IFERROR(__xludf.DUMMYFUNCTION("""COMPUTED_VALUE"""),0.7311210200232192)</f>
        <v>0.73112102</v>
      </c>
      <c r="AA4024" s="82">
        <f>IFERROR(__xludf.DUMMYFUNCTION("""COMPUTED_VALUE"""),0.43237269372712644)</f>
        <v>0.4323726937</v>
      </c>
      <c r="AB4024" s="82">
        <f>IFERROR(__xludf.DUMMYFUNCTION("""COMPUTED_VALUE"""),0.8556982175796042)</f>
        <v>0.8556982176</v>
      </c>
      <c r="AC4024" s="82">
        <f>IFERROR(__xludf.DUMMYFUNCTION("""COMPUTED_VALUE"""),2.0721534979711937)</f>
        <v>2.072153498</v>
      </c>
      <c r="AD4024" s="82">
        <f>IFERROR(__xludf.DUMMYFUNCTION("""COMPUTED_VALUE"""),0.7915504672091737)</f>
        <v>0.7915504672</v>
      </c>
      <c r="AE4024" s="82">
        <f>IFERROR(__xludf.DUMMYFUNCTION("""COMPUTED_VALUE"""),0.5659707382440385)</f>
        <v>0.5659707382</v>
      </c>
      <c r="AF4024" s="82">
        <f>IFERROR(__xludf.DUMMYFUNCTION("""COMPUTED_VALUE"""),1.1962859514823563)</f>
        <v>1.196285951</v>
      </c>
      <c r="AG4024" s="82">
        <f>IFERROR(__xludf.DUMMYFUNCTION("""COMPUTED_VALUE"""),0.6044670523837181)</f>
        <v>0.6044670524</v>
      </c>
      <c r="AH4024" s="82">
        <f>IFERROR(__xludf.DUMMYFUNCTION("""COMPUTED_VALUE"""),0.7488461349269242)</f>
        <v>0.7488461349</v>
      </c>
      <c r="AI4024" s="82">
        <f>IFERROR(__xludf.DUMMYFUNCTION("""COMPUTED_VALUE"""),0.9576906501515137)</f>
        <v>0.9576906502</v>
      </c>
      <c r="AJ4024" s="82">
        <f>IFERROR(__xludf.DUMMYFUNCTION("""COMPUTED_VALUE"""),1.0124435095521862)</f>
        <v>1.01244351</v>
      </c>
      <c r="AK4024" s="82">
        <f>IFERROR(__xludf.DUMMYFUNCTION("""COMPUTED_VALUE"""),0.8242041164738654)</f>
        <v>0.8242041165</v>
      </c>
      <c r="AL4024" s="82">
        <f>IFERROR(__xludf.DUMMYFUNCTION("""COMPUTED_VALUE"""),0.9053625316348372)</f>
        <v>0.9053625316</v>
      </c>
      <c r="AM4024" s="82">
        <f>IFERROR(__xludf.DUMMYFUNCTION("""COMPUTED_VALUE"""),0.8447401708777593)</f>
        <v>0.8447401709</v>
      </c>
      <c r="AN4024" s="82">
        <f>IFERROR(__xludf.DUMMYFUNCTION("""COMPUTED_VALUE"""),0.8254173908050474)</f>
        <v>0.8254173908</v>
      </c>
      <c r="AO4024" s="82">
        <f>IFERROR(__xludf.DUMMYFUNCTION("""COMPUTED_VALUE"""),0.5693902230539968)</f>
        <v>0.5693902231</v>
      </c>
      <c r="AP4024" s="82">
        <f>IFERROR(__xludf.DUMMYFUNCTION("""COMPUTED_VALUE"""),1.238880669824944)</f>
        <v>1.23888067</v>
      </c>
      <c r="AQ4024" s="82">
        <f>IFERROR(__xludf.DUMMYFUNCTION("""COMPUTED_VALUE"""),0.6439565214638293)</f>
        <v>0.6439565215</v>
      </c>
      <c r="AR4024" s="82">
        <f>IFERROR(__xludf.DUMMYFUNCTION("""COMPUTED_VALUE"""),0.8028352827973103)</f>
        <v>0.8028352828</v>
      </c>
      <c r="AS4024" s="82">
        <f>IFERROR(__xludf.DUMMYFUNCTION("""COMPUTED_VALUE"""),189.0)</f>
        <v>189</v>
      </c>
      <c r="AT4024" s="82">
        <f>IFERROR(__xludf.DUMMYFUNCTION("""COMPUTED_VALUE"""),0.8553659117333544)</f>
        <v>0.8553659117</v>
      </c>
      <c r="AU4024" s="82">
        <f>IFERROR(__xludf.DUMMYFUNCTION("""COMPUTED_VALUE"""),1.5911552111165714)</f>
        <v>1.591155211</v>
      </c>
      <c r="AV4024" s="82">
        <f>IFERROR(__xludf.DUMMYFUNCTION("""COMPUTED_VALUE"""),42.185500145421024)</f>
        <v>42.18550015</v>
      </c>
      <c r="AW4024" s="82">
        <f t="shared" si="1"/>
        <v>-2.650411589</v>
      </c>
      <c r="AX4024" s="83">
        <f t="array" ref="AX4024">IFERROR(DGET('SBV Import'!A:G,"SBV",{"RSC ID","Tier";B4024,A4024}))</f>
        <v>40.17306393</v>
      </c>
      <c r="AY4024" s="82">
        <f t="shared" si="2"/>
        <v>-2.880755655</v>
      </c>
      <c r="AZ4024" s="82">
        <v>0.230344065826797</v>
      </c>
      <c r="BA4024" s="84">
        <v>4000.0</v>
      </c>
      <c r="BB4024" s="84" t="b">
        <f>IFERROR(__xludf.DUMMYFUNCTION("iferror(if(A4024="""",,E4024&gt;=FILTER(Constants!$F$2:$F$10,Constants!$A$2:$A$10=A4024)))"),TRUE)</f>
        <v>1</v>
      </c>
    </row>
    <row r="4025">
      <c r="A4025" s="89" t="str">
        <f>IFERROR(__xludf.DUMMYFUNCTION("""COMPUTED_VALUE"""),"Amateur")</f>
        <v>Amateur</v>
      </c>
      <c r="B4025" s="87" t="str">
        <f>IFERROR(__xludf.DUMMYFUNCTION("""COMPUTED_VALUE"""),"RSC006137")</f>
        <v>RSC006137</v>
      </c>
      <c r="C4025" s="73" t="str">
        <f>IFERROR(__xludf.DUMMYFUNCTION("""COMPUTED_VALUE"""),"FULLBL00DN8V")</f>
        <v>FULLBL00DN8V</v>
      </c>
      <c r="D4025" s="73" t="str">
        <f>IFERROR(__xludf.DUMMYFUNCTION("""COMPUTED_VALUE"""),"Winter Fresh")</f>
        <v>Winter Fresh</v>
      </c>
      <c r="E4025" s="82">
        <f>IFERROR(__xludf.DUMMYFUNCTION("""COMPUTED_VALUE"""),43.0)</f>
        <v>43</v>
      </c>
      <c r="F4025" s="82">
        <f>IFERROR(__xludf.DUMMYFUNCTION("""COMPUTED_VALUE"""),17.0)</f>
        <v>17</v>
      </c>
      <c r="G4025" s="86">
        <f>IFERROR(__xludf.DUMMYFUNCTION("""COMPUTED_VALUE"""),26.0)</f>
        <v>26</v>
      </c>
      <c r="H4025" s="86">
        <f>IFERROR(__xludf.DUMMYFUNCTION("""COMPUTED_VALUE"""),0.3953488372093023)</f>
        <v>0.3953488372</v>
      </c>
      <c r="I4025" s="86">
        <f>IFERROR(__xludf.DUMMYFUNCTION("""COMPUTED_VALUE"""),0.38961038961038963)</f>
        <v>0.3896103896</v>
      </c>
      <c r="J4025" s="82">
        <f>IFERROR(__xludf.DUMMYFUNCTION("""COMPUTED_VALUE"""),245.69767441860466)</f>
        <v>245.6976744</v>
      </c>
      <c r="K4025" s="82">
        <f>IFERROR(__xludf.DUMMYFUNCTION("""COMPUTED_VALUE"""),0.6976744186046512)</f>
        <v>0.6976744186</v>
      </c>
      <c r="L4025" s="82">
        <f>IFERROR(__xludf.DUMMYFUNCTION("""COMPUTED_VALUE"""),0.46511627906976744)</f>
        <v>0.4651162791</v>
      </c>
      <c r="M4025" s="82">
        <f>IFERROR(__xludf.DUMMYFUNCTION("""COMPUTED_VALUE"""),0.6744186046511628)</f>
        <v>0.6744186047</v>
      </c>
      <c r="N4025" s="82">
        <f>IFERROR(__xludf.DUMMYFUNCTION("""COMPUTED_VALUE"""),1.7906976744186047)</f>
        <v>1.790697674</v>
      </c>
      <c r="O4025" s="82">
        <f>IFERROR(__xludf.DUMMYFUNCTION("""COMPUTED_VALUE"""),329.84496124030994)</f>
        <v>329.8449612</v>
      </c>
      <c r="P4025" s="82">
        <f>IFERROR(__xludf.DUMMYFUNCTION("""COMPUTED_VALUE"""),1.023255813953488)</f>
        <v>1.023255814</v>
      </c>
      <c r="Q4025" s="82">
        <f>IFERROR(__xludf.DUMMYFUNCTION("""COMPUTED_VALUE"""),0.6589147286821704)</f>
        <v>0.6589147287</v>
      </c>
      <c r="R4025" s="82">
        <f>IFERROR(__xludf.DUMMYFUNCTION("""COMPUTED_VALUE"""),0.8527131782945736)</f>
        <v>0.8527131783</v>
      </c>
      <c r="S4025" s="82">
        <f>IFERROR(__xludf.DUMMYFUNCTION("""COMPUTED_VALUE"""),2.3565891472868215)</f>
        <v>2.356589147</v>
      </c>
      <c r="T4025" s="82">
        <f>IFERROR(__xludf.DUMMYFUNCTION("""COMPUTED_VALUE"""),296.6297254294568)</f>
        <v>296.6297254</v>
      </c>
      <c r="U4025" s="82">
        <f>IFERROR(__xludf.DUMMYFUNCTION("""COMPUTED_VALUE"""),0.7960236173671354)</f>
        <v>0.7960236174</v>
      </c>
      <c r="V4025" s="82">
        <f>IFERROR(__xludf.DUMMYFUNCTION("""COMPUTED_VALUE"""),0.4448893313625028)</f>
        <v>0.4448893314</v>
      </c>
      <c r="W4025" s="82">
        <f>IFERROR(__xludf.DUMMYFUNCTION("""COMPUTED_VALUE"""),0.8507850463004928)</f>
        <v>0.8507850463</v>
      </c>
      <c r="X4025" s="82">
        <f>IFERROR(__xludf.DUMMYFUNCTION("""COMPUTED_VALUE"""),2.08434382197785)</f>
        <v>2.084343822</v>
      </c>
      <c r="Y4025" s="82">
        <f>IFERROR(__xludf.DUMMYFUNCTION("""COMPUTED_VALUE"""),291.64435835863287)</f>
        <v>291.6443584</v>
      </c>
      <c r="Z4025" s="82">
        <f>IFERROR(__xludf.DUMMYFUNCTION("""COMPUTED_VALUE"""),0.7445741879028864)</f>
        <v>0.7445741879</v>
      </c>
      <c r="AA4025" s="82">
        <f>IFERROR(__xludf.DUMMYFUNCTION("""COMPUTED_VALUE"""),0.40670046713938607)</f>
        <v>0.4067004671</v>
      </c>
      <c r="AB4025" s="82">
        <f>IFERROR(__xludf.DUMMYFUNCTION("""COMPUTED_VALUE"""),0.8979969687241842)</f>
        <v>0.8979969687</v>
      </c>
      <c r="AC4025" s="82">
        <f>IFERROR(__xludf.DUMMYFUNCTION("""COMPUTED_VALUE"""),2.021769158749066)</f>
        <v>2.021769159</v>
      </c>
      <c r="AD4025" s="82">
        <f>IFERROR(__xludf.DUMMYFUNCTION("""COMPUTED_VALUE"""),0.8424564623892778)</f>
        <v>0.8424564624</v>
      </c>
      <c r="AE4025" s="82">
        <f>IFERROR(__xludf.DUMMYFUNCTION("""COMPUTED_VALUE"""),0.9370112877128742)</f>
        <v>0.9370112877</v>
      </c>
      <c r="AF4025" s="82">
        <f>IFERROR(__xludf.DUMMYFUNCTION("""COMPUTED_VALUE"""),1.1436335009429945)</f>
        <v>1.143633501</v>
      </c>
      <c r="AG4025" s="82">
        <f>IFERROR(__xludf.DUMMYFUNCTION("""COMPUTED_VALUE"""),0.7510254801965901)</f>
        <v>0.7510254802</v>
      </c>
      <c r="AH4025" s="82">
        <f>IFERROR(__xludf.DUMMYFUNCTION("""COMPUTED_VALUE"""),0.8857082751853667)</f>
        <v>0.8857082752</v>
      </c>
      <c r="AI4025" s="82">
        <f>IFERROR(__xludf.DUMMYFUNCTION("""COMPUTED_VALUE"""),1.1119754123183863)</f>
        <v>1.111975412</v>
      </c>
      <c r="AJ4025" s="82">
        <f>IFERROR(__xludf.DUMMYFUNCTION("""COMPUTED_VALUE"""),1.2854591140623788)</f>
        <v>1.285459114</v>
      </c>
      <c r="AK4025" s="82">
        <f>IFERROR(__xludf.DUMMYFUNCTION("""COMPUTED_VALUE"""),1.4810755894374916)</f>
        <v>1.481075589</v>
      </c>
      <c r="AL4025" s="82">
        <f>IFERROR(__xludf.DUMMYFUNCTION("""COMPUTED_VALUE"""),1.0022662974654586)</f>
        <v>1.002266297</v>
      </c>
      <c r="AM4025" s="82">
        <f>IFERROR(__xludf.DUMMYFUNCTION("""COMPUTED_VALUE"""),1.130614403649891)</f>
        <v>1.130614404</v>
      </c>
      <c r="AN4025" s="82">
        <f>IFERROR(__xludf.DUMMYFUNCTION("""COMPUTED_VALUE"""),0.8852033213453805)</f>
        <v>0.8852033213</v>
      </c>
      <c r="AO4025" s="82">
        <f>IFERROR(__xludf.DUMMYFUNCTION("""COMPUTED_VALUE"""),0.9600183993352271)</f>
        <v>0.9600183993</v>
      </c>
      <c r="AP4025" s="82">
        <f>IFERROR(__xludf.DUMMYFUNCTION("""COMPUTED_VALUE"""),1.1140322302301822)</f>
        <v>1.11403223</v>
      </c>
      <c r="AQ4025" s="82">
        <f>IFERROR(__xludf.DUMMYFUNCTION("""COMPUTED_VALUE"""),0.8396394334125277)</f>
        <v>0.8396394334</v>
      </c>
      <c r="AR4025" s="82">
        <f>IFERROR(__xludf.DUMMYFUNCTION("""COMPUTED_VALUE"""),0.9264760653676455)</f>
        <v>0.9264760654</v>
      </c>
      <c r="AS4025" s="82">
        <f>IFERROR(__xludf.DUMMYFUNCTION("""COMPUTED_VALUE"""),294.0)</f>
        <v>294</v>
      </c>
      <c r="AT4025" s="82">
        <f>IFERROR(__xludf.DUMMYFUNCTION("""COMPUTED_VALUE"""),0.8244062216577103)</f>
        <v>0.8244062217</v>
      </c>
      <c r="AU4025" s="82">
        <f>IFERROR(__xludf.DUMMYFUNCTION("""COMPUTED_VALUE"""),1.564994548140103)</f>
        <v>1.564994548</v>
      </c>
      <c r="AV4025" s="82">
        <f>IFERROR(__xludf.DUMMYFUNCTION("""COMPUTED_VALUE"""),41.67097549104016)</f>
        <v>41.67097549</v>
      </c>
      <c r="AW4025" s="82">
        <f t="shared" si="1"/>
        <v>-2.706313179</v>
      </c>
      <c r="AX4025" s="83">
        <f t="array" ref="AX4025">IFERROR(DGET('SBV Import'!A:G,"SBV",{"RSC ID","Tier";B4025,A4025}))</f>
        <v>31.36026765</v>
      </c>
      <c r="AY4025" s="82">
        <f t="shared" si="2"/>
        <v>-4.38677731</v>
      </c>
      <c r="AZ4025" s="82">
        <v>1.680464130914027</v>
      </c>
      <c r="BA4025" s="84">
        <v>4000.0</v>
      </c>
      <c r="BB4025" s="84" t="b">
        <f>IFERROR(__xludf.DUMMYFUNCTION("iferror(if(A4025="""",,E4025&gt;=FILTER(Constants!$F$2:$F$10,Constants!$A$2:$A$10=A4025)))"),TRUE)</f>
        <v>1</v>
      </c>
    </row>
    <row r="4026">
      <c r="A4026" s="89" t="str">
        <f>IFERROR(__xludf.DUMMYFUNCTION("""COMPUTED_VALUE"""),"Amateur")</f>
        <v>Amateur</v>
      </c>
      <c r="B4026" s="87" t="str">
        <f>IFERROR(__xludf.DUMMYFUNCTION("""COMPUTED_VALUE"""),"RSC000654")</f>
        <v>RSC000654</v>
      </c>
      <c r="C4026" s="73" t="str">
        <f>IFERROR(__xludf.DUMMYFUNCTION("""COMPUTED_VALUE"""),"Rocci")</f>
        <v>Rocci</v>
      </c>
      <c r="D4026" s="73"/>
      <c r="E4026" s="82">
        <f>IFERROR(__xludf.DUMMYFUNCTION("""COMPUTED_VALUE"""),29.0)</f>
        <v>29</v>
      </c>
      <c r="F4026" s="82">
        <f>IFERROR(__xludf.DUMMYFUNCTION("""COMPUTED_VALUE"""),12.0)</f>
        <v>12</v>
      </c>
      <c r="G4026" s="86">
        <f>IFERROR(__xludf.DUMMYFUNCTION("""COMPUTED_VALUE"""),17.0)</f>
        <v>17</v>
      </c>
      <c r="H4026" s="86">
        <f>IFERROR(__xludf.DUMMYFUNCTION("""COMPUTED_VALUE"""),0.41379310344827586)</f>
        <v>0.4137931034</v>
      </c>
      <c r="I4026" s="86">
        <f>IFERROR(__xludf.DUMMYFUNCTION("""COMPUTED_VALUE"""),0.35)</f>
        <v>0.35</v>
      </c>
      <c r="J4026" s="82">
        <f>IFERROR(__xludf.DUMMYFUNCTION("""COMPUTED_VALUE"""),253.68965517241378)</f>
        <v>253.6896552</v>
      </c>
      <c r="K4026" s="82">
        <f>IFERROR(__xludf.DUMMYFUNCTION("""COMPUTED_VALUE"""),0.4827586206896552)</f>
        <v>0.4827586207</v>
      </c>
      <c r="L4026" s="82">
        <f>IFERROR(__xludf.DUMMYFUNCTION("""COMPUTED_VALUE"""),0.3793103448275862)</f>
        <v>0.3793103448</v>
      </c>
      <c r="M4026" s="82">
        <f>IFERROR(__xludf.DUMMYFUNCTION("""COMPUTED_VALUE"""),1.1379310344827587)</f>
        <v>1.137931034</v>
      </c>
      <c r="N4026" s="82">
        <f>IFERROR(__xludf.DUMMYFUNCTION("""COMPUTED_VALUE"""),1.3793103448275863)</f>
        <v>1.379310345</v>
      </c>
      <c r="O4026" s="82">
        <f>IFERROR(__xludf.DUMMYFUNCTION("""COMPUTED_VALUE"""),309.0603448275862)</f>
        <v>309.0603448</v>
      </c>
      <c r="P4026" s="82">
        <f>IFERROR(__xludf.DUMMYFUNCTION("""COMPUTED_VALUE"""),0.8534482758620688)</f>
        <v>0.8534482759</v>
      </c>
      <c r="Q4026" s="82">
        <f>IFERROR(__xludf.DUMMYFUNCTION("""COMPUTED_VALUE"""),0.46551724137931033)</f>
        <v>0.4655172414</v>
      </c>
      <c r="R4026" s="82">
        <f>IFERROR(__xludf.DUMMYFUNCTION("""COMPUTED_VALUE"""),0.7844827586206895)</f>
        <v>0.7844827586</v>
      </c>
      <c r="S4026" s="82">
        <f>IFERROR(__xludf.DUMMYFUNCTION("""COMPUTED_VALUE"""),2.2097701149425286)</f>
        <v>2.209770115</v>
      </c>
      <c r="T4026" s="82">
        <f>IFERROR(__xludf.DUMMYFUNCTION("""COMPUTED_VALUE"""),309.11292367728487)</f>
        <v>309.1129237</v>
      </c>
      <c r="U4026" s="82">
        <f>IFERROR(__xludf.DUMMYFUNCTION("""COMPUTED_VALUE"""),0.8144923971170878)</f>
        <v>0.8144923971</v>
      </c>
      <c r="V4026" s="82">
        <f>IFERROR(__xludf.DUMMYFUNCTION("""COMPUTED_VALUE"""),0.4744657498117382)</f>
        <v>0.4744657498</v>
      </c>
      <c r="W4026" s="82">
        <f>IFERROR(__xludf.DUMMYFUNCTION("""COMPUTED_VALUE"""),0.8977029010358352)</f>
        <v>0.897702901</v>
      </c>
      <c r="X4026" s="82">
        <f>IFERROR(__xludf.DUMMYFUNCTION("""COMPUTED_VALUE"""),2.18651027328949)</f>
        <v>2.186510273</v>
      </c>
      <c r="Y4026" s="82">
        <f>IFERROR(__xludf.DUMMYFUNCTION("""COMPUTED_VALUE"""),290.74260044175765)</f>
        <v>290.7426004</v>
      </c>
      <c r="Z4026" s="82">
        <f>IFERROR(__xludf.DUMMYFUNCTION("""COMPUTED_VALUE"""),0.7298772022149735)</f>
        <v>0.7298772022</v>
      </c>
      <c r="AA4026" s="82">
        <f>IFERROR(__xludf.DUMMYFUNCTION("""COMPUTED_VALUE"""),0.40877499936024697)</f>
        <v>0.4087749994</v>
      </c>
      <c r="AB4026" s="82">
        <f>IFERROR(__xludf.DUMMYFUNCTION("""COMPUTED_VALUE"""),0.9103344294498247)</f>
        <v>0.9103344294</v>
      </c>
      <c r="AC4026" s="82">
        <f>IFERROR(__xludf.DUMMYFUNCTION("""COMPUTED_VALUE"""),2.0070875813076383)</f>
        <v>2.007087581</v>
      </c>
      <c r="AD4026" s="82">
        <f>IFERROR(__xludf.DUMMYFUNCTION("""COMPUTED_VALUE"""),0.8725575639309644)</f>
        <v>0.8725575639</v>
      </c>
      <c r="AE4026" s="82">
        <f>IFERROR(__xludf.DUMMYFUNCTION("""COMPUTED_VALUE"""),0.6614244412959023)</f>
        <v>0.6614244413</v>
      </c>
      <c r="AF4026" s="82">
        <f>IFERROR(__xludf.DUMMYFUNCTION("""COMPUTED_VALUE"""),0.9279196267414239)</f>
        <v>0.9279196267</v>
      </c>
      <c r="AG4026" s="82">
        <f>IFERROR(__xludf.DUMMYFUNCTION("""COMPUTED_VALUE"""),1.2500142779071706)</f>
        <v>1.250014278</v>
      </c>
      <c r="AH4026" s="82">
        <f>IFERROR(__xludf.DUMMYFUNCTION("""COMPUTED_VALUE"""),0.6872198092765595)</f>
        <v>0.6872198093</v>
      </c>
      <c r="AI4026" s="82">
        <f>IFERROR(__xludf.DUMMYFUNCTION("""COMPUTED_VALUE"""),0.9998299040717122)</f>
        <v>0.9998299041</v>
      </c>
      <c r="AJ4026" s="82">
        <f>IFERROR(__xludf.DUMMYFUNCTION("""COMPUTED_VALUE"""),1.0478284129880968)</f>
        <v>1.047828413</v>
      </c>
      <c r="AK4026" s="82">
        <f>IFERROR(__xludf.DUMMYFUNCTION("""COMPUTED_VALUE"""),0.9811398221347304)</f>
        <v>0.9811398221</v>
      </c>
      <c r="AL4026" s="82">
        <f>IFERROR(__xludf.DUMMYFUNCTION("""COMPUTED_VALUE"""),0.873877936359007)</f>
        <v>0.8738779364</v>
      </c>
      <c r="AM4026" s="82">
        <f>IFERROR(__xludf.DUMMYFUNCTION("""COMPUTED_VALUE"""),1.010637883543097)</f>
        <v>1.010637884</v>
      </c>
      <c r="AN4026" s="82">
        <f>IFERROR(__xludf.DUMMYFUNCTION("""COMPUTED_VALUE"""),0.9139969512571844)</f>
        <v>0.9139969513</v>
      </c>
      <c r="AO4026" s="82">
        <f>IFERROR(__xludf.DUMMYFUNCTION("""COMPUTED_VALUE"""),0.6642885935629963)</f>
        <v>0.6642885936</v>
      </c>
      <c r="AP4026" s="82">
        <f>IFERROR(__xludf.DUMMYFUNCTION("""COMPUTED_VALUE"""),0.9085124912049588)</f>
        <v>0.9085124912</v>
      </c>
      <c r="AQ4026" s="82">
        <f>IFERROR(__xludf.DUMMYFUNCTION("""COMPUTED_VALUE"""),1.4167043472204244)</f>
        <v>1.416704347</v>
      </c>
      <c r="AR4026" s="82">
        <f>IFERROR(__xludf.DUMMYFUNCTION("""COMPUTED_VALUE"""),0.7136313624864982)</f>
        <v>0.7136313625</v>
      </c>
      <c r="AS4026" s="82">
        <f>IFERROR(__xludf.DUMMYFUNCTION("""COMPUTED_VALUE"""),159.0)</f>
        <v>159</v>
      </c>
      <c r="AT4026" s="82">
        <f>IFERROR(__xludf.DUMMYFUNCTION("""COMPUTED_VALUE"""),0.7998222223081449)</f>
        <v>0.7998222223</v>
      </c>
      <c r="AU4026" s="82">
        <f>IFERROR(__xludf.DUMMYFUNCTION("""COMPUTED_VALUE"""),1.360053161852455)</f>
        <v>1.360053162</v>
      </c>
      <c r="AV4026" s="82">
        <f>IFERROR(__xludf.DUMMYFUNCTION("""COMPUTED_VALUE"""),37.640213883704845)</f>
        <v>37.64021388</v>
      </c>
      <c r="AW4026" s="82">
        <f t="shared" si="1"/>
        <v>-3.22045761</v>
      </c>
      <c r="AX4026" s="83">
        <f t="array" ref="AX4026">IFERROR(DGET('SBV Import'!A:G,"SBV",{"RSC ID","Tier";B4026,A4026}))</f>
        <v>36.90810094</v>
      </c>
      <c r="AY4026" s="82">
        <f t="shared" si="2"/>
        <v>-3.330536031</v>
      </c>
      <c r="AZ4026" s="82">
        <v>0.11007842164322756</v>
      </c>
      <c r="BA4026" s="84">
        <v>4000.0</v>
      </c>
      <c r="BB4026" s="84" t="b">
        <f>IFERROR(__xludf.DUMMYFUNCTION("iferror(if(A4026="""",,E4026&gt;=FILTER(Constants!$F$2:$F$10,Constants!$A$2:$A$10=A4026)))"),TRUE)</f>
        <v>1</v>
      </c>
    </row>
    <row r="4027">
      <c r="A4027" s="89" t="str">
        <f>IFERROR(__xludf.DUMMYFUNCTION("""COMPUTED_VALUE"""),"Amateur")</f>
        <v>Amateur</v>
      </c>
      <c r="B4027" s="87" t="str">
        <f>IFERROR(__xludf.DUMMYFUNCTION("""COMPUTED_VALUE"""),"RSC007573")</f>
        <v>RSC007573</v>
      </c>
      <c r="C4027" s="73" t="str">
        <f>IFERROR(__xludf.DUMMYFUNCTION("""COMPUTED_VALUE"""),"zag_42")</f>
        <v>zag_42</v>
      </c>
      <c r="D4027" s="73" t="str">
        <f>IFERROR(__xludf.DUMMYFUNCTION("""COMPUTED_VALUE"""),"Garlic Knots")</f>
        <v>Garlic Knots</v>
      </c>
      <c r="E4027" s="82">
        <f>IFERROR(__xludf.DUMMYFUNCTION("""COMPUTED_VALUE"""),33.0)</f>
        <v>33</v>
      </c>
      <c r="F4027" s="82">
        <f>IFERROR(__xludf.DUMMYFUNCTION("""COMPUTED_VALUE"""),16.0)</f>
        <v>16</v>
      </c>
      <c r="G4027" s="86">
        <f>IFERROR(__xludf.DUMMYFUNCTION("""COMPUTED_VALUE"""),17.0)</f>
        <v>17</v>
      </c>
      <c r="H4027" s="86">
        <f>IFERROR(__xludf.DUMMYFUNCTION("""COMPUTED_VALUE"""),0.48484848484848486)</f>
        <v>0.4848484848</v>
      </c>
      <c r="I4027" s="86">
        <f>IFERROR(__xludf.DUMMYFUNCTION("""COMPUTED_VALUE"""),0.40909090909090906)</f>
        <v>0.4090909091</v>
      </c>
      <c r="J4027" s="82">
        <f>IFERROR(__xludf.DUMMYFUNCTION("""COMPUTED_VALUE"""),212.03030303030303)</f>
        <v>212.030303</v>
      </c>
      <c r="K4027" s="82">
        <f>IFERROR(__xludf.DUMMYFUNCTION("""COMPUTED_VALUE"""),0.5454545454545454)</f>
        <v>0.5454545455</v>
      </c>
      <c r="L4027" s="82">
        <f>IFERROR(__xludf.DUMMYFUNCTION("""COMPUTED_VALUE"""),0.3333333333333333)</f>
        <v>0.3333333333</v>
      </c>
      <c r="M4027" s="82">
        <f>IFERROR(__xludf.DUMMYFUNCTION("""COMPUTED_VALUE"""),0.6666666666666666)</f>
        <v>0.6666666667</v>
      </c>
      <c r="N4027" s="82">
        <f>IFERROR(__xludf.DUMMYFUNCTION("""COMPUTED_VALUE"""),1.3333333333333333)</f>
        <v>1.333333333</v>
      </c>
      <c r="O4027" s="82">
        <f>IFERROR(__xludf.DUMMYFUNCTION("""COMPUTED_VALUE"""),290.7575757575758)</f>
        <v>290.7575758</v>
      </c>
      <c r="P4027" s="82">
        <f>IFERROR(__xludf.DUMMYFUNCTION("""COMPUTED_VALUE"""),0.6565656565656565)</f>
        <v>0.6565656566</v>
      </c>
      <c r="Q4027" s="82">
        <f>IFERROR(__xludf.DUMMYFUNCTION("""COMPUTED_VALUE"""),0.35101010101010105)</f>
        <v>0.351010101</v>
      </c>
      <c r="R4027" s="82">
        <f>IFERROR(__xludf.DUMMYFUNCTION("""COMPUTED_VALUE"""),0.9949494949494953)</f>
        <v>0.9949494949</v>
      </c>
      <c r="S4027" s="82">
        <f>IFERROR(__xludf.DUMMYFUNCTION("""COMPUTED_VALUE"""),2.0959595959595956)</f>
        <v>2.095959596</v>
      </c>
      <c r="T4027" s="82">
        <f>IFERROR(__xludf.DUMMYFUNCTION("""COMPUTED_VALUE"""),288.62180527594745)</f>
        <v>288.6218053</v>
      </c>
      <c r="U4027" s="82">
        <f>IFERROR(__xludf.DUMMYFUNCTION("""COMPUTED_VALUE"""),0.7610892216133721)</f>
        <v>0.7610892216</v>
      </c>
      <c r="V4027" s="82">
        <f>IFERROR(__xludf.DUMMYFUNCTION("""COMPUTED_VALUE"""),0.43096034614969164)</f>
        <v>0.4309603461</v>
      </c>
      <c r="W4027" s="82">
        <f>IFERROR(__xludf.DUMMYFUNCTION("""COMPUTED_VALUE"""),0.874849605318067)</f>
        <v>0.8748496053</v>
      </c>
      <c r="X4027" s="82">
        <f>IFERROR(__xludf.DUMMYFUNCTION("""COMPUTED_VALUE"""),2.0298539072285218)</f>
        <v>2.029853907</v>
      </c>
      <c r="Y4027" s="82">
        <f>IFERROR(__xludf.DUMMYFUNCTION("""COMPUTED_VALUE"""),303.1471606433853)</f>
        <v>303.1471606</v>
      </c>
      <c r="Z4027" s="82">
        <f>IFERROR(__xludf.DUMMYFUNCTION("""COMPUTED_VALUE"""),0.8364904575096804)</f>
        <v>0.8364904575</v>
      </c>
      <c r="AA4027" s="82">
        <f>IFERROR(__xludf.DUMMYFUNCTION("""COMPUTED_VALUE"""),0.4935519453931514)</f>
        <v>0.4935519454</v>
      </c>
      <c r="AB4027" s="82">
        <f>IFERROR(__xludf.DUMMYFUNCTION("""COMPUTED_VALUE"""),0.8643808287553529)</f>
        <v>0.8643808288</v>
      </c>
      <c r="AC4027" s="82">
        <f>IFERROR(__xludf.DUMMYFUNCTION("""COMPUTED_VALUE"""),2.168839518371478)</f>
        <v>2.168839518</v>
      </c>
      <c r="AD4027" s="82">
        <f>IFERROR(__xludf.DUMMYFUNCTION("""COMPUTED_VALUE"""),0.6994302786155077)</f>
        <v>0.6994302786</v>
      </c>
      <c r="AE4027" s="82">
        <f>IFERROR(__xludf.DUMMYFUNCTION("""COMPUTED_VALUE"""),0.6520750363111382)</f>
        <v>0.6520750363</v>
      </c>
      <c r="AF4027" s="82">
        <f>IFERROR(__xludf.DUMMYFUNCTION("""COMPUTED_VALUE"""),0.6753763944093223)</f>
        <v>0.6753763944</v>
      </c>
      <c r="AG4027" s="82">
        <f>IFERROR(__xludf.DUMMYFUNCTION("""COMPUTED_VALUE"""),0.7712649847019621)</f>
        <v>0.7712649847</v>
      </c>
      <c r="AH4027" s="82">
        <f>IFERROR(__xludf.DUMMYFUNCTION("""COMPUTED_VALUE"""),0.6147680923549829)</f>
        <v>0.6147680924</v>
      </c>
      <c r="AI4027" s="82">
        <f>IFERROR(__xludf.DUMMYFUNCTION("""COMPUTED_VALUE"""),1.0073998930177377)</f>
        <v>1.007399893</v>
      </c>
      <c r="AJ4027" s="82">
        <f>IFERROR(__xludf.DUMMYFUNCTION("""COMPUTED_VALUE"""),0.8626658188298285)</f>
        <v>0.8626658188</v>
      </c>
      <c r="AK4027" s="82">
        <f>IFERROR(__xludf.DUMMYFUNCTION("""COMPUTED_VALUE"""),0.8144835230111396)</f>
        <v>0.814483523</v>
      </c>
      <c r="AL4027" s="82">
        <f>IFERROR(__xludf.DUMMYFUNCTION("""COMPUTED_VALUE"""),1.1372806124634003)</f>
        <v>1.137280612</v>
      </c>
      <c r="AM4027" s="82">
        <f>IFERROR(__xludf.DUMMYFUNCTION("""COMPUTED_VALUE"""),1.0325667224107433)</f>
        <v>1.032566722</v>
      </c>
      <c r="AN4027" s="82">
        <f>IFERROR(__xludf.DUMMYFUNCTION("""COMPUTED_VALUE"""),0.7639060032310975)</f>
        <v>0.7639060032</v>
      </c>
      <c r="AO4027" s="82">
        <f>IFERROR(__xludf.DUMMYFUNCTION("""COMPUTED_VALUE"""),0.7505598394802684)</f>
        <v>0.7505598395</v>
      </c>
      <c r="AP4027" s="82">
        <f>IFERROR(__xludf.DUMMYFUNCTION("""COMPUTED_VALUE"""),0.7983897649982972)</f>
        <v>0.798389765</v>
      </c>
      <c r="AQ4027" s="82">
        <f>IFERROR(__xludf.DUMMYFUNCTION("""COMPUTED_VALUE"""),0.8299884054422687)</f>
        <v>0.8299884054</v>
      </c>
      <c r="AR4027" s="82">
        <f>IFERROR(__xludf.DUMMYFUNCTION("""COMPUTED_VALUE"""),0.6898436504036147)</f>
        <v>0.6898436504</v>
      </c>
      <c r="AS4027" s="82">
        <f>IFERROR(__xludf.DUMMYFUNCTION("""COMPUTED_VALUE"""),162.0)</f>
        <v>162</v>
      </c>
      <c r="AT4027" s="82">
        <f>IFERROR(__xludf.DUMMYFUNCTION("""COMPUTED_VALUE"""),0.8303786441446462)</f>
        <v>0.8303786441</v>
      </c>
      <c r="AU4027" s="82">
        <f>IFERROR(__xludf.DUMMYFUNCTION("""COMPUTED_VALUE"""),1.203888964388485)</f>
        <v>1.203888964</v>
      </c>
      <c r="AV4027" s="82">
        <f>IFERROR(__xludf.DUMMYFUNCTION("""COMPUTED_VALUE"""),34.56879593840699)</f>
        <v>34.56879594</v>
      </c>
      <c r="AW4027" s="82">
        <f t="shared" si="1"/>
        <v>-3.723902062</v>
      </c>
      <c r="AX4027" s="83">
        <f t="array" ref="AX4027">IFERROR(DGET('SBV Import'!A:G,"SBV",{"RSC ID","Tier";B4027,A4027}))</f>
        <v>19.68743493</v>
      </c>
      <c r="AY4027" s="82">
        <f t="shared" si="2"/>
        <v>-8.876263024</v>
      </c>
      <c r="AZ4027" s="82">
        <v>5.152360962041278</v>
      </c>
      <c r="BA4027" s="84">
        <v>4000.0</v>
      </c>
      <c r="BB4027" s="84" t="b">
        <f>IFERROR(__xludf.DUMMYFUNCTION("iferror(if(A4027="""",,E4027&gt;=FILTER(Constants!$F$2:$F$10,Constants!$A$2:$A$10=A4027)))"),TRUE)</f>
        <v>1</v>
      </c>
    </row>
    <row r="4028">
      <c r="A4028" s="89" t="str">
        <f>IFERROR(__xludf.DUMMYFUNCTION("""COMPUTED_VALUE"""),"Amateur")</f>
        <v>Amateur</v>
      </c>
      <c r="B4028" s="87" t="str">
        <f>IFERROR(__xludf.DUMMYFUNCTION("""COMPUTED_VALUE"""),"RSC000146")</f>
        <v>RSC000146</v>
      </c>
      <c r="C4028" s="73" t="str">
        <f>IFERROR(__xludf.DUMMYFUNCTION("""COMPUTED_VALUE"""),"EtherealDoom989")</f>
        <v>EtherealDoom989</v>
      </c>
      <c r="D4028" s="73" t="str">
        <f>IFERROR(__xludf.DUMMYFUNCTION("""COMPUTED_VALUE"""),"Surprise")</f>
        <v>Surprise</v>
      </c>
      <c r="E4028" s="82">
        <f>IFERROR(__xludf.DUMMYFUNCTION("""COMPUTED_VALUE"""),28.0)</f>
        <v>28</v>
      </c>
      <c r="F4028" s="82">
        <f>IFERROR(__xludf.DUMMYFUNCTION("""COMPUTED_VALUE"""),13.0)</f>
        <v>13</v>
      </c>
      <c r="G4028" s="86">
        <f>IFERROR(__xludf.DUMMYFUNCTION("""COMPUTED_VALUE"""),15.0)</f>
        <v>15</v>
      </c>
      <c r="H4028" s="86">
        <f>IFERROR(__xludf.DUMMYFUNCTION("""COMPUTED_VALUE"""),0.4642857142857143)</f>
        <v>0.4642857143</v>
      </c>
      <c r="I4028" s="86">
        <f>IFERROR(__xludf.DUMMYFUNCTION("""COMPUTED_VALUE"""),0.36585365853658536)</f>
        <v>0.3658536585</v>
      </c>
      <c r="J4028" s="82">
        <f>IFERROR(__xludf.DUMMYFUNCTION("""COMPUTED_VALUE"""),200.03571428571428)</f>
        <v>200.0357143</v>
      </c>
      <c r="K4028" s="82">
        <f>IFERROR(__xludf.DUMMYFUNCTION("""COMPUTED_VALUE"""),0.5357142857142857)</f>
        <v>0.5357142857</v>
      </c>
      <c r="L4028" s="82">
        <f>IFERROR(__xludf.DUMMYFUNCTION("""COMPUTED_VALUE"""),0.25)</f>
        <v>0.25</v>
      </c>
      <c r="M4028" s="82">
        <f>IFERROR(__xludf.DUMMYFUNCTION("""COMPUTED_VALUE"""),0.2857142857142857)</f>
        <v>0.2857142857</v>
      </c>
      <c r="N4028" s="82">
        <f>IFERROR(__xludf.DUMMYFUNCTION("""COMPUTED_VALUE"""),1.4642857142857142)</f>
        <v>1.464285714</v>
      </c>
      <c r="O4028" s="82">
        <f>IFERROR(__xludf.DUMMYFUNCTION("""COMPUTED_VALUE"""),291.6220238095238)</f>
        <v>291.6220238</v>
      </c>
      <c r="P4028" s="82">
        <f>IFERROR(__xludf.DUMMYFUNCTION("""COMPUTED_VALUE"""),0.806547619047619)</f>
        <v>0.806547619</v>
      </c>
      <c r="Q4028" s="82">
        <f>IFERROR(__xludf.DUMMYFUNCTION("""COMPUTED_VALUE"""),0.41071428571428564)</f>
        <v>0.4107142857</v>
      </c>
      <c r="R4028" s="82">
        <f>IFERROR(__xludf.DUMMYFUNCTION("""COMPUTED_VALUE"""),0.794642857142857)</f>
        <v>0.7946428571</v>
      </c>
      <c r="S4028" s="82">
        <f>IFERROR(__xludf.DUMMYFUNCTION("""COMPUTED_VALUE"""),1.961309523809523)</f>
        <v>1.961309524</v>
      </c>
      <c r="T4028" s="82">
        <f>IFERROR(__xludf.DUMMYFUNCTION("""COMPUTED_VALUE"""),299.0673493388996)</f>
        <v>299.0673493</v>
      </c>
      <c r="U4028" s="82">
        <f>IFERROR(__xludf.DUMMYFUNCTION("""COMPUTED_VALUE"""),0.7750466913840011)</f>
        <v>0.7750466914</v>
      </c>
      <c r="V4028" s="82">
        <f>IFERROR(__xludf.DUMMYFUNCTION("""COMPUTED_VALUE"""),0.46457778398130384)</f>
        <v>0.464577784</v>
      </c>
      <c r="W4028" s="82">
        <f>IFERROR(__xludf.DUMMYFUNCTION("""COMPUTED_VALUE"""),0.8935135598124815)</f>
        <v>0.8935135598</v>
      </c>
      <c r="X4028" s="82">
        <f>IFERROR(__xludf.DUMMYFUNCTION("""COMPUTED_VALUE"""),2.0925697097663205)</f>
        <v>2.09256971</v>
      </c>
      <c r="Y4028" s="82">
        <f>IFERROR(__xludf.DUMMYFUNCTION("""COMPUTED_VALUE"""),302.6822216965093)</f>
        <v>302.6822217</v>
      </c>
      <c r="Z4028" s="82">
        <f>IFERROR(__xludf.DUMMYFUNCTION("""COMPUTED_VALUE"""),0.8269839120252277)</f>
        <v>0.826983912</v>
      </c>
      <c r="AA4028" s="82">
        <f>IFERROR(__xludf.DUMMYFUNCTION("""COMPUTED_VALUE"""),0.4705188990858171)</f>
        <v>0.4705188991</v>
      </c>
      <c r="AB4028" s="82">
        <f>IFERROR(__xludf.DUMMYFUNCTION("""COMPUTED_VALUE"""),0.8687597211862252)</f>
        <v>0.8687597212</v>
      </c>
      <c r="AC4028" s="82">
        <f>IFERROR(__xludf.DUMMYFUNCTION("""COMPUTED_VALUE"""),2.188744909996481)</f>
        <v>2.18874491</v>
      </c>
      <c r="AD4028" s="82">
        <f>IFERROR(__xludf.DUMMYFUNCTION("""COMPUTED_VALUE"""),0.6608769856535687)</f>
        <v>0.6608769857</v>
      </c>
      <c r="AE4028" s="82">
        <f>IFERROR(__xludf.DUMMYFUNCTION("""COMPUTED_VALUE"""),0.6477928747154919)</f>
        <v>0.6477928747</v>
      </c>
      <c r="AF4028" s="82">
        <f>IFERROR(__xludf.DUMMYFUNCTION("""COMPUTED_VALUE"""),0.5313282856134605)</f>
        <v>0.5313282856</v>
      </c>
      <c r="AG4028" s="82">
        <f>IFERROR(__xludf.DUMMYFUNCTION("""COMPUTED_VALUE"""),0.328876073264728)</f>
        <v>0.3288760733</v>
      </c>
      <c r="AH4028" s="82">
        <f>IFERROR(__xludf.DUMMYFUNCTION("""COMPUTED_VALUE"""),0.6690070220599934)</f>
        <v>0.6690070221</v>
      </c>
      <c r="AI4028" s="82">
        <f>IFERROR(__xludf.DUMMYFUNCTION("""COMPUTED_VALUE"""),0.9751048533187123)</f>
        <v>0.9751048533</v>
      </c>
      <c r="AJ4028" s="82">
        <f>IFERROR(__xludf.DUMMYFUNCTION("""COMPUTED_VALUE"""),1.0406439096041642)</f>
        <v>1.04064391</v>
      </c>
      <c r="AK4028" s="82">
        <f>IFERROR(__xludf.DUMMYFUNCTION("""COMPUTED_VALUE"""),0.8840592466445063)</f>
        <v>0.8840592466</v>
      </c>
      <c r="AL4028" s="82">
        <f>IFERROR(__xludf.DUMMYFUNCTION("""COMPUTED_VALUE"""),0.8893461642704402)</f>
        <v>0.8893461643</v>
      </c>
      <c r="AM4028" s="82">
        <f>IFERROR(__xludf.DUMMYFUNCTION("""COMPUTED_VALUE"""),0.9372732075093185)</f>
        <v>0.9372732075</v>
      </c>
      <c r="AN4028" s="82">
        <f>IFERROR(__xludf.DUMMYFUNCTION("""COMPUTED_VALUE"""),0.7206917163233908)</f>
        <v>0.7206917163</v>
      </c>
      <c r="AO4028" s="82">
        <f>IFERROR(__xludf.DUMMYFUNCTION("""COMPUTED_VALUE"""),0.7371569852038351)</f>
        <v>0.7371569852</v>
      </c>
      <c r="AP4028" s="82">
        <f>IFERROR(__xludf.DUMMYFUNCTION("""COMPUTED_VALUE"""),0.5987923237487229)</f>
        <v>0.5987923237</v>
      </c>
      <c r="AQ4028" s="82">
        <f>IFERROR(__xludf.DUMMYFUNCTION("""COMPUTED_VALUE"""),0.35570931661811517)</f>
        <v>0.3557093166</v>
      </c>
      <c r="AR4028" s="82">
        <f>IFERROR(__xludf.DUMMYFUNCTION("""COMPUTED_VALUE"""),0.7575961517825412)</f>
        <v>0.7575961518</v>
      </c>
      <c r="AS4028" s="82">
        <f>IFERROR(__xludf.DUMMYFUNCTION("""COMPUTED_VALUE"""),136.0)</f>
        <v>136</v>
      </c>
      <c r="AT4028" s="82">
        <f>IFERROR(__xludf.DUMMYFUNCTION("""COMPUTED_VALUE"""),0.7741153927937016)</f>
        <v>0.7741153928</v>
      </c>
      <c r="AU4028" s="82">
        <f>IFERROR(__xludf.DUMMYFUNCTION("""COMPUTED_VALUE"""),1.0387369916694178)</f>
        <v>1.038736992</v>
      </c>
      <c r="AV4028" s="82">
        <f>IFERROR(__xludf.DUMMYFUNCTION("""COMPUTED_VALUE"""),31.320607551131378)</f>
        <v>31.32060755</v>
      </c>
      <c r="AW4028" s="82">
        <f t="shared" si="1"/>
        <v>-4.396014902</v>
      </c>
      <c r="AX4028" s="83">
        <f t="array" ref="AX4028">IFERROR(DGET('SBV Import'!A:G,"SBV",{"RSC ID","Tier";B4028,A4028}))</f>
        <v>18.05475617</v>
      </c>
      <c r="AY4028" s="82">
        <f t="shared" si="2"/>
        <v>-9.93460474</v>
      </c>
      <c r="AZ4028" s="82">
        <v>5.538589838486378</v>
      </c>
      <c r="BA4028" s="84">
        <v>4000.0</v>
      </c>
      <c r="BB4028" s="84" t="b">
        <f>IFERROR(__xludf.DUMMYFUNCTION("iferror(if(A4028="""",,E4028&gt;=FILTER(Constants!$F$2:$F$10,Constants!$A$2:$A$10=A4028)))"),TRUE)</f>
        <v>1</v>
      </c>
    </row>
    <row r="4029">
      <c r="A4029" s="89" t="str">
        <f>IFERROR(__xludf.DUMMYFUNCTION("""COMPUTED_VALUE"""),"Amateur")</f>
        <v>Amateur</v>
      </c>
      <c r="B4029" s="87" t="str">
        <f>IFERROR(__xludf.DUMMYFUNCTION("""COMPUTED_VALUE"""),"RSC007632")</f>
        <v>RSC007632</v>
      </c>
      <c r="C4029" s="73" t="str">
        <f>IFERROR(__xludf.DUMMYFUNCTION("""COMPUTED_VALUE"""),"yournewSTEPDADDI")</f>
        <v>yournewSTEPDADDI</v>
      </c>
      <c r="D4029" s="73" t="str">
        <f>IFERROR(__xludf.DUMMYFUNCTION("""COMPUTED_VALUE"""),"Kiwis")</f>
        <v>Kiwis</v>
      </c>
      <c r="E4029" s="82">
        <f>IFERROR(__xludf.DUMMYFUNCTION("""COMPUTED_VALUE"""),39.0)</f>
        <v>39</v>
      </c>
      <c r="F4029" s="82">
        <f>IFERROR(__xludf.DUMMYFUNCTION("""COMPUTED_VALUE"""),9.0)</f>
        <v>9</v>
      </c>
      <c r="G4029" s="86">
        <f>IFERROR(__xludf.DUMMYFUNCTION("""COMPUTED_VALUE"""),30.0)</f>
        <v>30</v>
      </c>
      <c r="H4029" s="86">
        <f>IFERROR(__xludf.DUMMYFUNCTION("""COMPUTED_VALUE"""),0.23076923076923078)</f>
        <v>0.2307692308</v>
      </c>
      <c r="I4029" s="86">
        <f>IFERROR(__xludf.DUMMYFUNCTION("""COMPUTED_VALUE"""),0.3442622950819672)</f>
        <v>0.3442622951</v>
      </c>
      <c r="J4029" s="82">
        <f>IFERROR(__xludf.DUMMYFUNCTION("""COMPUTED_VALUE"""),263.28205128205127)</f>
        <v>263.2820513</v>
      </c>
      <c r="K4029" s="82">
        <f>IFERROR(__xludf.DUMMYFUNCTION("""COMPUTED_VALUE"""),0.5384615384615384)</f>
        <v>0.5384615385</v>
      </c>
      <c r="L4029" s="82">
        <f>IFERROR(__xludf.DUMMYFUNCTION("""COMPUTED_VALUE"""),0.28205128205128205)</f>
        <v>0.2820512821</v>
      </c>
      <c r="M4029" s="82">
        <f>IFERROR(__xludf.DUMMYFUNCTION("""COMPUTED_VALUE"""),0.8717948717948718)</f>
        <v>0.8717948718</v>
      </c>
      <c r="N4029" s="82">
        <f>IFERROR(__xludf.DUMMYFUNCTION("""COMPUTED_VALUE"""),1.564102564102564)</f>
        <v>1.564102564</v>
      </c>
      <c r="O4029" s="82">
        <f>IFERROR(__xludf.DUMMYFUNCTION("""COMPUTED_VALUE"""),356.7200854700855)</f>
        <v>356.7200855</v>
      </c>
      <c r="P4029" s="82">
        <f>IFERROR(__xludf.DUMMYFUNCTION("""COMPUTED_VALUE"""),1.2585470085470085)</f>
        <v>1.258547009</v>
      </c>
      <c r="Q4029" s="82">
        <f>IFERROR(__xludf.DUMMYFUNCTION("""COMPUTED_VALUE"""),0.6752136752136755)</f>
        <v>0.6752136752</v>
      </c>
      <c r="R4029" s="82">
        <f>IFERROR(__xludf.DUMMYFUNCTION("""COMPUTED_VALUE"""),0.7756410256410257)</f>
        <v>0.7756410256</v>
      </c>
      <c r="S4029" s="82">
        <f>IFERROR(__xludf.DUMMYFUNCTION("""COMPUTED_VALUE"""),2.7991452991452994)</f>
        <v>2.799145299</v>
      </c>
      <c r="T4029" s="82">
        <f>IFERROR(__xludf.DUMMYFUNCTION("""COMPUTED_VALUE"""),306.7462065624746)</f>
        <v>306.7462066</v>
      </c>
      <c r="U4029" s="82">
        <f>IFERROR(__xludf.DUMMYFUNCTION("""COMPUTED_VALUE"""),0.859835320149343)</f>
        <v>0.8598353201</v>
      </c>
      <c r="V4029" s="82">
        <f>IFERROR(__xludf.DUMMYFUNCTION("""COMPUTED_VALUE"""),0.45247738078501526)</f>
        <v>0.4524773808</v>
      </c>
      <c r="W4029" s="82">
        <f>IFERROR(__xludf.DUMMYFUNCTION("""COMPUTED_VALUE"""),0.8817646933266249)</f>
        <v>0.8817646933</v>
      </c>
      <c r="X4029" s="82">
        <f>IFERROR(__xludf.DUMMYFUNCTION("""COMPUTED_VALUE"""),2.1610469790382876)</f>
        <v>2.161046979</v>
      </c>
      <c r="Y4029" s="82">
        <f>IFERROR(__xludf.DUMMYFUNCTION("""COMPUTED_VALUE"""),286.685677805483)</f>
        <v>286.6856778</v>
      </c>
      <c r="Z4029" s="82">
        <f>IFERROR(__xludf.DUMMYFUNCTION("""COMPUTED_VALUE"""),0.7058301519499596)</f>
        <v>0.7058301519</v>
      </c>
      <c r="AA4029" s="82">
        <f>IFERROR(__xludf.DUMMYFUNCTION("""COMPUTED_VALUE"""),0.3981918269497918)</f>
        <v>0.3981918269</v>
      </c>
      <c r="AB4029" s="82">
        <f>IFERROR(__xludf.DUMMYFUNCTION("""COMPUTED_VALUE"""),0.8891803454104115)</f>
        <v>0.8891803454</v>
      </c>
      <c r="AC4029" s="82">
        <f>IFERROR(__xludf.DUMMYFUNCTION("""COMPUTED_VALUE"""),1.9991737694728295)</f>
        <v>1.999173769</v>
      </c>
      <c r="AD4029" s="82">
        <f>IFERROR(__xludf.DUMMYFUNCTION("""COMPUTED_VALUE"""),0.9183648562335536)</f>
        <v>0.9183648562</v>
      </c>
      <c r="AE4029" s="82">
        <f>IFERROR(__xludf.DUMMYFUNCTION("""COMPUTED_VALUE"""),0.7628769286406358)</f>
        <v>0.7628769286</v>
      </c>
      <c r="AF4029" s="82">
        <f>IFERROR(__xludf.DUMMYFUNCTION("""COMPUTED_VALUE"""),0.7083301639107877)</f>
        <v>0.7083301639</v>
      </c>
      <c r="AG4029" s="82">
        <f>IFERROR(__xludf.DUMMYFUNCTION("""COMPUTED_VALUE"""),0.9804477531411075)</f>
        <v>0.9804477531</v>
      </c>
      <c r="AH4029" s="82">
        <f>IFERROR(__xludf.DUMMYFUNCTION("""COMPUTED_VALUE"""),0.7823744928961371)</f>
        <v>0.7823744929</v>
      </c>
      <c r="AI4029" s="82">
        <f>IFERROR(__xludf.DUMMYFUNCTION("""COMPUTED_VALUE"""),1.1629160453771832)</f>
        <v>1.162916045</v>
      </c>
      <c r="AJ4029" s="82">
        <f>IFERROR(__xludf.DUMMYFUNCTION("""COMPUTED_VALUE"""),1.4637070367479368)</f>
        <v>1.463707037</v>
      </c>
      <c r="AK4029" s="82">
        <f>IFERROR(__xludf.DUMMYFUNCTION("""COMPUTED_VALUE"""),1.4922595114969703)</f>
        <v>1.492259511</v>
      </c>
      <c r="AL4029" s="82">
        <f>IFERROR(__xludf.DUMMYFUNCTION("""COMPUTED_VALUE"""),0.8796462724253252)</f>
        <v>0.8796462724</v>
      </c>
      <c r="AM4029" s="82">
        <f>IFERROR(__xludf.DUMMYFUNCTION("""COMPUTED_VALUE"""),1.2952727665323496)</f>
        <v>1.295272767</v>
      </c>
      <c r="AN4029" s="82">
        <f>IFERROR(__xludf.DUMMYFUNCTION("""COMPUTED_VALUE"""),0.9485565819740986)</f>
        <v>0.948556582</v>
      </c>
      <c r="AO4029" s="82">
        <f>IFERROR(__xludf.DUMMYFUNCTION("""COMPUTED_VALUE"""),0.7409372774356496)</f>
        <v>0.7409372774</v>
      </c>
      <c r="AP4029" s="82">
        <f>IFERROR(__xludf.DUMMYFUNCTION("""COMPUTED_VALUE"""),0.6755605703831745)</f>
        <v>0.6755605704</v>
      </c>
      <c r="AQ4029" s="82">
        <f>IFERROR(__xludf.DUMMYFUNCTION("""COMPUTED_VALUE"""),1.0853694532706593)</f>
        <v>1.085369453</v>
      </c>
      <c r="AR4029" s="82">
        <f>IFERROR(__xludf.DUMMYFUNCTION("""COMPUTED_VALUE"""),0.8092396668196251)</f>
        <v>0.8092396668</v>
      </c>
      <c r="AS4029" s="82">
        <f>IFERROR(__xludf.DUMMYFUNCTION("""COMPUTED_VALUE"""),178.0)</f>
        <v>178</v>
      </c>
      <c r="AT4029" s="82">
        <f>IFERROR(__xludf.DUMMYFUNCTION("""COMPUTED_VALUE"""),0.5862780891787196)</f>
        <v>0.5862780892</v>
      </c>
      <c r="AU4029" s="82">
        <f>IFERROR(__xludf.DUMMYFUNCTION("""COMPUTED_VALUE"""),0.9207571059109002)</f>
        <v>0.9207571059</v>
      </c>
      <c r="AV4029" s="82">
        <f>IFERROR(__xludf.DUMMYFUNCTION("""COMPUTED_VALUE"""),29.000193882777552)</f>
        <v>29.00019388</v>
      </c>
      <c r="AW4029" s="82">
        <f t="shared" si="1"/>
        <v>-4.988616789</v>
      </c>
      <c r="AX4029" s="83">
        <f t="array" ref="AX4029">IFERROR(DGET('SBV Import'!A:G,"SBV",{"RSC ID","Tier";B4029,A4029}))</f>
        <v>25.7003002</v>
      </c>
      <c r="AY4029" s="82">
        <f t="shared" si="2"/>
        <v>-6.041264449</v>
      </c>
      <c r="AZ4029" s="82">
        <v>1.0526476602422603</v>
      </c>
      <c r="BA4029" s="84">
        <v>4000.0</v>
      </c>
      <c r="BB4029" s="84" t="b">
        <f>IFERROR(__xludf.DUMMYFUNCTION("iferror(if(A4029="""",,E4029&gt;=FILTER(Constants!$F$2:$F$10,Constants!$A$2:$A$10=A4029)))"),TRUE)</f>
        <v>1</v>
      </c>
    </row>
    <row r="4030">
      <c r="A4030" s="89" t="str">
        <f>IFERROR(__xludf.DUMMYFUNCTION("""COMPUTED_VALUE"""),"Amateur")</f>
        <v>Amateur</v>
      </c>
      <c r="B4030" s="87" t="str">
        <f>IFERROR(__xludf.DUMMYFUNCTION("""COMPUTED_VALUE"""),"RSC007393")</f>
        <v>RSC007393</v>
      </c>
      <c r="C4030" s="73" t="str">
        <f>IFERROR(__xludf.DUMMYFUNCTION("""COMPUTED_VALUE"""),"Ubfghki9442")</f>
        <v>Ubfghki9442</v>
      </c>
      <c r="D4030" s="73" t="str">
        <f>IFERROR(__xludf.DUMMYFUNCTION("""COMPUTED_VALUE"""),"Kiwis")</f>
        <v>Kiwis</v>
      </c>
      <c r="E4030" s="82">
        <f>IFERROR(__xludf.DUMMYFUNCTION("""COMPUTED_VALUE"""),6.0)</f>
        <v>6</v>
      </c>
      <c r="F4030" s="82">
        <f>IFERROR(__xludf.DUMMYFUNCTION("""COMPUTED_VALUE"""),3.0)</f>
        <v>3</v>
      </c>
      <c r="G4030" s="86">
        <f>IFERROR(__xludf.DUMMYFUNCTION("""COMPUTED_VALUE"""),3.0)</f>
        <v>3</v>
      </c>
      <c r="H4030" s="86">
        <f>IFERROR(__xludf.DUMMYFUNCTION("""COMPUTED_VALUE"""),0.5)</f>
        <v>0.5</v>
      </c>
      <c r="I4030" s="86">
        <f>IFERROR(__xludf.DUMMYFUNCTION("""COMPUTED_VALUE"""),0.5)</f>
        <v>0.5</v>
      </c>
      <c r="J4030" s="82">
        <f>IFERROR(__xludf.DUMMYFUNCTION("""COMPUTED_VALUE"""),158.16666666666666)</f>
        <v>158.1666667</v>
      </c>
      <c r="K4030" s="82">
        <f>IFERROR(__xludf.DUMMYFUNCTION("""COMPUTED_VALUE"""),0.5)</f>
        <v>0.5</v>
      </c>
      <c r="L4030" s="82">
        <f>IFERROR(__xludf.DUMMYFUNCTION("""COMPUTED_VALUE"""),0.3333333333333333)</f>
        <v>0.3333333333</v>
      </c>
      <c r="M4030" s="82">
        <f>IFERROR(__xludf.DUMMYFUNCTION("""COMPUTED_VALUE"""),0.16666666666666666)</f>
        <v>0.1666666667</v>
      </c>
      <c r="N4030" s="82">
        <f>IFERROR(__xludf.DUMMYFUNCTION("""COMPUTED_VALUE"""),1.0)</f>
        <v>1</v>
      </c>
      <c r="O4030" s="82">
        <f>IFERROR(__xludf.DUMMYFUNCTION("""COMPUTED_VALUE"""),267.69444444444446)</f>
        <v>267.6944444</v>
      </c>
      <c r="P4030" s="82">
        <f>IFERROR(__xludf.DUMMYFUNCTION("""COMPUTED_VALUE"""),0.5972222222222222)</f>
        <v>0.5972222222</v>
      </c>
      <c r="Q4030" s="82">
        <f>IFERROR(__xludf.DUMMYFUNCTION("""COMPUTED_VALUE"""),0.4305555555555556)</f>
        <v>0.4305555556</v>
      </c>
      <c r="R4030" s="82">
        <f>IFERROR(__xludf.DUMMYFUNCTION("""COMPUTED_VALUE"""),0.6249999999999999)</f>
        <v>0.625</v>
      </c>
      <c r="S4030" s="82">
        <f>IFERROR(__xludf.DUMMYFUNCTION("""COMPUTED_VALUE"""),2.4722222222222223)</f>
        <v>2.472222222</v>
      </c>
      <c r="T4030" s="82">
        <f>IFERROR(__xludf.DUMMYFUNCTION("""COMPUTED_VALUE"""),298.09133795362106)</f>
        <v>298.091338</v>
      </c>
      <c r="U4030" s="82">
        <f>IFERROR(__xludf.DUMMYFUNCTION("""COMPUTED_VALUE"""),0.7636981970844854)</f>
        <v>0.7636981971</v>
      </c>
      <c r="V4030" s="82">
        <f>IFERROR(__xludf.DUMMYFUNCTION("""COMPUTED_VALUE"""),0.44497257091849357)</f>
        <v>0.4449725709</v>
      </c>
      <c r="W4030" s="82">
        <f>IFERROR(__xludf.DUMMYFUNCTION("""COMPUTED_VALUE"""),0.8203346463527894)</f>
        <v>0.8203346464</v>
      </c>
      <c r="X4030" s="82">
        <f>IFERROR(__xludf.DUMMYFUNCTION("""COMPUTED_VALUE"""),2.197325814911136)</f>
        <v>2.197325815</v>
      </c>
      <c r="Y4030" s="82">
        <f>IFERROR(__xludf.DUMMYFUNCTION("""COMPUTED_VALUE"""),294.022934520428)</f>
        <v>294.0229345</v>
      </c>
      <c r="Z4030" s="82">
        <f>IFERROR(__xludf.DUMMYFUNCTION("""COMPUTED_VALUE"""),0.7594163732498506)</f>
        <v>0.7594163732</v>
      </c>
      <c r="AA4030" s="82">
        <f>IFERROR(__xludf.DUMMYFUNCTION("""COMPUTED_VALUE"""),0.4132880225096318)</f>
        <v>0.4132880225</v>
      </c>
      <c r="AB4030" s="82">
        <f>IFERROR(__xludf.DUMMYFUNCTION("""COMPUTED_VALUE"""),0.9505343125379074)</f>
        <v>0.9505343125</v>
      </c>
      <c r="AC4030" s="82">
        <f>IFERROR(__xludf.DUMMYFUNCTION("""COMPUTED_VALUE"""),1.9942106390215117)</f>
        <v>1.994210639</v>
      </c>
      <c r="AD4030" s="82">
        <f>IFERROR(__xludf.DUMMYFUNCTION("""COMPUTED_VALUE"""),0.5379398954868863)</f>
        <v>0.5379398955</v>
      </c>
      <c r="AE4030" s="82">
        <f>IFERROR(__xludf.DUMMYFUNCTION("""COMPUTED_VALUE"""),0.6584003421736844)</f>
        <v>0.6584003422</v>
      </c>
      <c r="AF4030" s="82">
        <f>IFERROR(__xludf.DUMMYFUNCTION("""COMPUTED_VALUE"""),0.8065400282089348)</f>
        <v>0.8065400282</v>
      </c>
      <c r="AG4030" s="82">
        <f>IFERROR(__xludf.DUMMYFUNCTION("""COMPUTED_VALUE"""),0.1753399792814107)</f>
        <v>0.1753399793</v>
      </c>
      <c r="AH4030" s="82">
        <f>IFERROR(__xludf.DUMMYFUNCTION("""COMPUTED_VALUE"""),0.501451541994914)</f>
        <v>0.501451542</v>
      </c>
      <c r="AI4030" s="82">
        <f>IFERROR(__xludf.DUMMYFUNCTION("""COMPUTED_VALUE"""),0.8980282563128152)</f>
        <v>0.8980282563</v>
      </c>
      <c r="AJ4030" s="82">
        <f>IFERROR(__xludf.DUMMYFUNCTION("""COMPUTED_VALUE"""),0.7820133980965173)</f>
        <v>0.7820133981</v>
      </c>
      <c r="AK4030" s="82">
        <f>IFERROR(__xludf.DUMMYFUNCTION("""COMPUTED_VALUE"""),0.9676002155971569)</f>
        <v>0.9676002156</v>
      </c>
      <c r="AL4030" s="82">
        <f>IFERROR(__xludf.DUMMYFUNCTION("""COMPUTED_VALUE"""),0.7618841929677748)</f>
        <v>0.761884193</v>
      </c>
      <c r="AM4030" s="82">
        <f>IFERROR(__xludf.DUMMYFUNCTION("""COMPUTED_VALUE"""),1.1251049823588422)</f>
        <v>1.125104982</v>
      </c>
      <c r="AN4030" s="82">
        <f>IFERROR(__xludf.DUMMYFUNCTION("""COMPUTED_VALUE"""),0.5698452742410623)</f>
        <v>0.5698452742</v>
      </c>
      <c r="AO4030" s="82">
        <f>IFERROR(__xludf.DUMMYFUNCTION("""COMPUTED_VALUE"""),0.6880131861902461)</f>
        <v>0.6880131862</v>
      </c>
      <c r="AP4030" s="82">
        <f>IFERROR(__xludf.DUMMYFUNCTION("""COMPUTED_VALUE"""),0.7983897649982972)</f>
        <v>0.798389765</v>
      </c>
      <c r="AQ4030" s="82">
        <f>IFERROR(__xludf.DUMMYFUNCTION("""COMPUTED_VALUE"""),0.20749710136056718)</f>
        <v>0.2074971014</v>
      </c>
      <c r="AR4030" s="82">
        <f>IFERROR(__xludf.DUMMYFUNCTION("""COMPUTED_VALUE"""),0.5173827378027112)</f>
        <v>0.5173827378</v>
      </c>
      <c r="AS4030" s="82">
        <f>IFERROR(__xludf.DUMMYFUNCTION("""COMPUTED_VALUE"""),30.0)</f>
        <v>30</v>
      </c>
      <c r="AT4030" s="82">
        <f>IFERROR(__xludf.DUMMYFUNCTION("""COMPUTED_VALUE"""),0.8555085771982943)</f>
        <v>0.8555085772</v>
      </c>
      <c r="AU4030" s="82">
        <f>IFERROR(__xludf.DUMMYFUNCTION("""COMPUTED_VALUE"""),0.8656738773817628)</f>
        <v>0.8656738774</v>
      </c>
      <c r="AV4030" s="82">
        <f>IFERROR(__xludf.DUMMYFUNCTION("""COMPUTED_VALUE"""),27.91682381885257)</f>
        <v>27.91682382</v>
      </c>
      <c r="AW4030" s="82">
        <f t="shared" si="1"/>
        <v>-5.304201326</v>
      </c>
      <c r="AX4030" s="83">
        <f t="array" ref="AX4030">IFERROR(DGET('SBV Import'!A:G,"SBV",{"RSC ID","Tier";B4030,A4030}))</f>
        <v>2.859625989</v>
      </c>
      <c r="AY4030" s="82">
        <f t="shared" si="2"/>
        <v>-33.70018234</v>
      </c>
      <c r="AZ4030" s="82">
        <v>28.395981013424525</v>
      </c>
      <c r="BA4030" s="84">
        <v>4000.0</v>
      </c>
      <c r="BB4030" s="84" t="b">
        <f>IFERROR(__xludf.DUMMYFUNCTION("iferror(if(A4030="""",,E4030&gt;=FILTER(Constants!$F$2:$F$10,Constants!$A$2:$A$10=A4030)))"),TRUE)</f>
        <v>1</v>
      </c>
    </row>
    <row r="4031">
      <c r="A4031" s="89" t="str">
        <f>IFERROR(__xludf.DUMMYFUNCTION("""COMPUTED_VALUE"""),"Amateur")</f>
        <v>Amateur</v>
      </c>
      <c r="B4031" s="87" t="str">
        <f>IFERROR(__xludf.DUMMYFUNCTION("""COMPUTED_VALUE"""),"RSC007993")</f>
        <v>RSC007993</v>
      </c>
      <c r="C4031" s="73" t="str">
        <f>IFERROR(__xludf.DUMMYFUNCTION("""COMPUTED_VALUE"""),"Origami Box")</f>
        <v>Origami Box</v>
      </c>
      <c r="D4031" s="73" t="str">
        <f>IFERROR(__xludf.DUMMYFUNCTION("""COMPUTED_VALUE"""),"Aeon Ale")</f>
        <v>Aeon Ale</v>
      </c>
      <c r="E4031" s="82">
        <f>IFERROR(__xludf.DUMMYFUNCTION("""COMPUTED_VALUE"""),15.0)</f>
        <v>15</v>
      </c>
      <c r="F4031" s="82">
        <f>IFERROR(__xludf.DUMMYFUNCTION("""COMPUTED_VALUE"""),5.0)</f>
        <v>5</v>
      </c>
      <c r="G4031" s="86">
        <f>IFERROR(__xludf.DUMMYFUNCTION("""COMPUTED_VALUE"""),10.0)</f>
        <v>10</v>
      </c>
      <c r="H4031" s="86">
        <f>IFERROR(__xludf.DUMMYFUNCTION("""COMPUTED_VALUE"""),0.3333333333333333)</f>
        <v>0.3333333333</v>
      </c>
      <c r="I4031" s="86">
        <f>IFERROR(__xludf.DUMMYFUNCTION("""COMPUTED_VALUE"""),0.33333333333333337)</f>
        <v>0.3333333333</v>
      </c>
      <c r="J4031" s="82">
        <f>IFERROR(__xludf.DUMMYFUNCTION("""COMPUTED_VALUE"""),191.6)</f>
        <v>191.6</v>
      </c>
      <c r="K4031" s="82">
        <f>IFERROR(__xludf.DUMMYFUNCTION("""COMPUTED_VALUE"""),0.4)</f>
        <v>0.4</v>
      </c>
      <c r="L4031" s="82">
        <f>IFERROR(__xludf.DUMMYFUNCTION("""COMPUTED_VALUE"""),0.2)</f>
        <v>0.2</v>
      </c>
      <c r="M4031" s="82">
        <f>IFERROR(__xludf.DUMMYFUNCTION("""COMPUTED_VALUE"""),0.8666666666666667)</f>
        <v>0.8666666667</v>
      </c>
      <c r="N4031" s="82">
        <f>IFERROR(__xludf.DUMMYFUNCTION("""COMPUTED_VALUE"""),1.2)</f>
        <v>1.2</v>
      </c>
      <c r="O4031" s="82">
        <f>IFERROR(__xludf.DUMMYFUNCTION("""COMPUTED_VALUE"""),308.12222222222226)</f>
        <v>308.1222222</v>
      </c>
      <c r="P4031" s="82">
        <f>IFERROR(__xludf.DUMMYFUNCTION("""COMPUTED_VALUE"""),0.9055555555555556)</f>
        <v>0.9055555556</v>
      </c>
      <c r="Q4031" s="82">
        <f>IFERROR(__xludf.DUMMYFUNCTION("""COMPUTED_VALUE"""),0.5111111111111111)</f>
        <v>0.5111111111</v>
      </c>
      <c r="R4031" s="82">
        <f>IFERROR(__xludf.DUMMYFUNCTION("""COMPUTED_VALUE"""),0.711111111111111)</f>
        <v>0.7111111111</v>
      </c>
      <c r="S4031" s="82">
        <f>IFERROR(__xludf.DUMMYFUNCTION("""COMPUTED_VALUE"""),2.3833333333333333)</f>
        <v>2.383333333</v>
      </c>
      <c r="T4031" s="82">
        <f>IFERROR(__xludf.DUMMYFUNCTION("""COMPUTED_VALUE"""),302.1155637216429)</f>
        <v>302.1155637</v>
      </c>
      <c r="U4031" s="82">
        <f>IFERROR(__xludf.DUMMYFUNCTION("""COMPUTED_VALUE"""),0.8021457509883658)</f>
        <v>0.802145751</v>
      </c>
      <c r="V4031" s="82">
        <f>IFERROR(__xludf.DUMMYFUNCTION("""COMPUTED_VALUE"""),0.45484378335071424)</f>
        <v>0.4548437834</v>
      </c>
      <c r="W4031" s="82">
        <f>IFERROR(__xludf.DUMMYFUNCTION("""COMPUTED_VALUE"""),0.904188256033294)</f>
        <v>0.904188256</v>
      </c>
      <c r="X4031" s="82">
        <f>IFERROR(__xludf.DUMMYFUNCTION("""COMPUTED_VALUE"""),2.1835200252466263)</f>
        <v>2.183520025</v>
      </c>
      <c r="Y4031" s="82">
        <f>IFERROR(__xludf.DUMMYFUNCTION("""COMPUTED_VALUE"""),303.0407110990838)</f>
        <v>303.0407111</v>
      </c>
      <c r="Z4031" s="82">
        <f>IFERROR(__xludf.DUMMYFUNCTION("""COMPUTED_VALUE"""),0.8248960332574832)</f>
        <v>0.8248960333</v>
      </c>
      <c r="AA4031" s="82">
        <f>IFERROR(__xludf.DUMMYFUNCTION("""COMPUTED_VALUE"""),0.48538253691686245)</f>
        <v>0.4853825369</v>
      </c>
      <c r="AB4031" s="82">
        <f>IFERROR(__xludf.DUMMYFUNCTION("""COMPUTED_VALUE"""),0.9121950917011773)</f>
        <v>0.9121950917</v>
      </c>
      <c r="AC4031" s="82">
        <f>IFERROR(__xludf.DUMMYFUNCTION("""COMPUTED_VALUE"""),2.1323604302601917)</f>
        <v>2.13236043</v>
      </c>
      <c r="AD4031" s="82">
        <f>IFERROR(__xludf.DUMMYFUNCTION("""COMPUTED_VALUE"""),0.6322582840605645)</f>
        <v>0.6322582841</v>
      </c>
      <c r="AE4031" s="82">
        <f>IFERROR(__xludf.DUMMYFUNCTION("""COMPUTED_VALUE"""),0.4849095932979762)</f>
        <v>0.4849095933</v>
      </c>
      <c r="AF4031" s="82">
        <f>IFERROR(__xludf.DUMMYFUNCTION("""COMPUTED_VALUE"""),0.41204613843422333)</f>
        <v>0.4120461384</v>
      </c>
      <c r="AG4031" s="82">
        <f>IFERROR(__xludf.DUMMYFUNCTION("""COMPUTED_VALUE"""),0.9500891580663919)</f>
        <v>0.9500891581</v>
      </c>
      <c r="AH4031" s="82">
        <f>IFERROR(__xludf.DUMMYFUNCTION("""COMPUTED_VALUE"""),0.5627566442196525)</f>
        <v>0.5627566442</v>
      </c>
      <c r="AI4031" s="82">
        <f>IFERROR(__xludf.DUMMYFUNCTION("""COMPUTED_VALUE"""),1.0198819896154494)</f>
        <v>1.01988199</v>
      </c>
      <c r="AJ4031" s="82">
        <f>IFERROR(__xludf.DUMMYFUNCTION("""COMPUTED_VALUE"""),1.128916477385529)</f>
        <v>1.128916477</v>
      </c>
      <c r="AK4031" s="82">
        <f>IFERROR(__xludf.DUMMYFUNCTION("""COMPUTED_VALUE"""),1.1237069293239323)</f>
        <v>1.123706929</v>
      </c>
      <c r="AL4031" s="82">
        <f>IFERROR(__xludf.DUMMYFUNCTION("""COMPUTED_VALUE"""),0.7864635559753681)</f>
        <v>0.786463556</v>
      </c>
      <c r="AM4031" s="82">
        <f>IFERROR(__xludf.DUMMYFUNCTION("""COMPUTED_VALUE"""),1.091509720898547)</f>
        <v>1.091509721</v>
      </c>
      <c r="AN4031" s="82">
        <f>IFERROR(__xludf.DUMMYFUNCTION("""COMPUTED_VALUE"""),0.6902993964884354)</f>
        <v>0.6902993965</v>
      </c>
      <c r="AO4031" s="82">
        <f>IFERROR(__xludf.DUMMYFUNCTION("""COMPUTED_VALUE"""),0.5504105489521969)</f>
        <v>0.550410549</v>
      </c>
      <c r="AP4031" s="82">
        <f>IFERROR(__xludf.DUMMYFUNCTION("""COMPUTED_VALUE"""),0.4790338589989783)</f>
        <v>0.479033859</v>
      </c>
      <c r="AQ4031" s="82">
        <f>IFERROR(__xludf.DUMMYFUNCTION("""COMPUTED_VALUE"""),1.0789849270749494)</f>
        <v>1.078984927</v>
      </c>
      <c r="AR4031" s="82">
        <f>IFERROR(__xludf.DUMMYFUNCTION("""COMPUTED_VALUE"""),0.6208592853632533)</f>
        <v>0.6208592854</v>
      </c>
      <c r="AS4031" s="82">
        <f>IFERROR(__xludf.DUMMYFUNCTION("""COMPUTED_VALUE"""),52.0)</f>
        <v>52</v>
      </c>
      <c r="AT4031" s="82">
        <f>IFERROR(__xludf.DUMMYFUNCTION("""COMPUTED_VALUE"""),0.6013846394490071)</f>
        <v>0.6013846394</v>
      </c>
      <c r="AU4031" s="82">
        <f>IFERROR(__xludf.DUMMYFUNCTION("""COMPUTED_VALUE"""),0.4595510872715652)</f>
        <v>0.4595510873</v>
      </c>
      <c r="AV4031" s="82">
        <f>IFERROR(__xludf.DUMMYFUNCTION("""COMPUTED_VALUE"""),19.92925147003244)</f>
        <v>19.92925147</v>
      </c>
      <c r="AW4031" s="82">
        <f t="shared" si="1"/>
        <v>-8.732017773</v>
      </c>
      <c r="AX4031" s="83">
        <f t="array" ref="AX4031">IFERROR(DGET('SBV Import'!A:G,"SBV",{"RSC ID","Tier";B4031,A4031}))</f>
        <v>11.52516065</v>
      </c>
      <c r="AY4031" s="82">
        <f t="shared" si="2"/>
        <v>-16.15432354</v>
      </c>
      <c r="AZ4031" s="82">
        <v>7.422305770860033</v>
      </c>
      <c r="BA4031" s="84">
        <v>4000.0</v>
      </c>
      <c r="BB4031" s="84" t="b">
        <f>IFERROR(__xludf.DUMMYFUNCTION("iferror(if(A4031="""",,E4031&gt;=FILTER(Constants!$F$2:$F$10,Constants!$A$2:$A$10=A4031)))"),TRUE)</f>
        <v>1</v>
      </c>
    </row>
    <row r="4032">
      <c r="A4032" s="89" t="str">
        <f>IFERROR(__xludf.DUMMYFUNCTION("""COMPUTED_VALUE"""),"Amateur")</f>
        <v>Amateur</v>
      </c>
      <c r="B4032" s="87" t="str">
        <f>IFERROR(__xludf.DUMMYFUNCTION("""COMPUTED_VALUE"""),"RSC007678")</f>
        <v>RSC007678</v>
      </c>
      <c r="C4032" s="73" t="str">
        <f>IFERROR(__xludf.DUMMYFUNCTION("""COMPUTED_VALUE"""),"SavedHawk")</f>
        <v>SavedHawk</v>
      </c>
      <c r="D4032" s="73" t="str">
        <f>IFERROR(__xludf.DUMMYFUNCTION("""COMPUTED_VALUE"""),"Kiwis")</f>
        <v>Kiwis</v>
      </c>
      <c r="E4032" s="82">
        <f>IFERROR(__xludf.DUMMYFUNCTION("""COMPUTED_VALUE"""),35.0)</f>
        <v>35</v>
      </c>
      <c r="F4032" s="82">
        <f>IFERROR(__xludf.DUMMYFUNCTION("""COMPUTED_VALUE"""),6.0)</f>
        <v>6</v>
      </c>
      <c r="G4032" s="86">
        <f>IFERROR(__xludf.DUMMYFUNCTION("""COMPUTED_VALUE"""),29.0)</f>
        <v>29</v>
      </c>
      <c r="H4032" s="86">
        <f>IFERROR(__xludf.DUMMYFUNCTION("""COMPUTED_VALUE"""),0.17142857142857143)</f>
        <v>0.1714285714</v>
      </c>
      <c r="I4032" s="86">
        <f>IFERROR(__xludf.DUMMYFUNCTION("""COMPUTED_VALUE"""),0.16666666666666669)</f>
        <v>0.1666666667</v>
      </c>
      <c r="J4032" s="82">
        <f>IFERROR(__xludf.DUMMYFUNCTION("""COMPUTED_VALUE"""),186.74285714285713)</f>
        <v>186.7428571</v>
      </c>
      <c r="K4032" s="82">
        <f>IFERROR(__xludf.DUMMYFUNCTION("""COMPUTED_VALUE"""),0.17142857142857143)</f>
        <v>0.1714285714</v>
      </c>
      <c r="L4032" s="82">
        <f>IFERROR(__xludf.DUMMYFUNCTION("""COMPUTED_VALUE"""),0.34285714285714286)</f>
        <v>0.3428571429</v>
      </c>
      <c r="M4032" s="82">
        <f>IFERROR(__xludf.DUMMYFUNCTION("""COMPUTED_VALUE"""),0.8857142857142857)</f>
        <v>0.8857142857</v>
      </c>
      <c r="N4032" s="82">
        <f>IFERROR(__xludf.DUMMYFUNCTION("""COMPUTED_VALUE"""),1.0285714285714285)</f>
        <v>1.028571429</v>
      </c>
      <c r="O4032" s="82">
        <f>IFERROR(__xludf.DUMMYFUNCTION("""COMPUTED_VALUE"""),362.2523809523809)</f>
        <v>362.252381</v>
      </c>
      <c r="P4032" s="82">
        <f>IFERROR(__xludf.DUMMYFUNCTION("""COMPUTED_VALUE"""),1.285714285714286)</f>
        <v>1.285714286</v>
      </c>
      <c r="Q4032" s="82">
        <f>IFERROR(__xludf.DUMMYFUNCTION("""COMPUTED_VALUE"""),0.7380952380952384)</f>
        <v>0.7380952381</v>
      </c>
      <c r="R4032" s="82">
        <f>IFERROR(__xludf.DUMMYFUNCTION("""COMPUTED_VALUE"""),0.7499999999999998)</f>
        <v>0.75</v>
      </c>
      <c r="S4032" s="82">
        <f>IFERROR(__xludf.DUMMYFUNCTION("""COMPUTED_VALUE"""),2.9000000000000012)</f>
        <v>2.9</v>
      </c>
      <c r="T4032" s="82">
        <f>IFERROR(__xludf.DUMMYFUNCTION("""COMPUTED_VALUE"""),310.3612797539738)</f>
        <v>310.3612798</v>
      </c>
      <c r="U4032" s="82">
        <f>IFERROR(__xludf.DUMMYFUNCTION("""COMPUTED_VALUE"""),0.8744710130762878)</f>
        <v>0.8744710131</v>
      </c>
      <c r="V4032" s="82">
        <f>IFERROR(__xludf.DUMMYFUNCTION("""COMPUTED_VALUE"""),0.47010545646222723)</f>
        <v>0.4701054565</v>
      </c>
      <c r="W4032" s="82">
        <f>IFERROR(__xludf.DUMMYFUNCTION("""COMPUTED_VALUE"""),0.8956731101852599)</f>
        <v>0.8956731102</v>
      </c>
      <c r="X4032" s="82">
        <f>IFERROR(__xludf.DUMMYFUNCTION("""COMPUTED_VALUE"""),2.1890904471880055)</f>
        <v>2.189090447</v>
      </c>
      <c r="Y4032" s="82">
        <f>IFERROR(__xludf.DUMMYFUNCTION("""COMPUTED_VALUE"""),284.79853928295154)</f>
        <v>284.7985393</v>
      </c>
      <c r="Z4032" s="82">
        <f>IFERROR(__xludf.DUMMYFUNCTION("""COMPUTED_VALUE"""),0.6892471184791115)</f>
        <v>0.6892471185</v>
      </c>
      <c r="AA4032" s="82">
        <f>IFERROR(__xludf.DUMMYFUNCTION("""COMPUTED_VALUE"""),0.3896208637047003)</f>
        <v>0.3896208637</v>
      </c>
      <c r="AB4032" s="82">
        <f>IFERROR(__xludf.DUMMYFUNCTION("""COMPUTED_VALUE"""),0.8945165466462397)</f>
        <v>0.8945165466</v>
      </c>
      <c r="AC4032" s="82">
        <f>IFERROR(__xludf.DUMMYFUNCTION("""COMPUTED_VALUE"""),1.986283980121684)</f>
        <v>1.98628398</v>
      </c>
      <c r="AD4032" s="82">
        <f>IFERROR(__xludf.DUMMYFUNCTION("""COMPUTED_VALUE"""),0.6557015973924127)</f>
        <v>0.6557015974</v>
      </c>
      <c r="AE4032" s="82">
        <f>IFERROR(__xludf.DUMMYFUNCTION("""COMPUTED_VALUE"""),0.24871858994034635)</f>
        <v>0.2487185899</v>
      </c>
      <c r="AF4032" s="82">
        <f>IFERROR(__xludf.DUMMYFUNCTION("""COMPUTED_VALUE"""),0.8799763431482962)</f>
        <v>0.8799763431</v>
      </c>
      <c r="AG4032" s="82">
        <f>IFERROR(__xludf.DUMMYFUNCTION("""COMPUTED_VALUE"""),0.9901597561666625)</f>
        <v>0.9901597562</v>
      </c>
      <c r="AH4032" s="82">
        <f>IFERROR(__xludf.DUMMYFUNCTION("""COMPUTED_VALUE"""),0.5178370458933148)</f>
        <v>0.5178370459</v>
      </c>
      <c r="AI4032" s="82">
        <f>IFERROR(__xludf.DUMMYFUNCTION("""COMPUTED_VALUE"""),1.167195795943172)</f>
        <v>1.167195796</v>
      </c>
      <c r="AJ4032" s="82">
        <f>IFERROR(__xludf.DUMMYFUNCTION("""COMPUTED_VALUE"""),1.4702766203665139)</f>
        <v>1.47027662</v>
      </c>
      <c r="AK4032" s="82">
        <f>IFERROR(__xludf.DUMMYFUNCTION("""COMPUTED_VALUE"""),1.570063116581894)</f>
        <v>1.570063117</v>
      </c>
      <c r="AL4032" s="82">
        <f>IFERROR(__xludf.DUMMYFUNCTION("""COMPUTED_VALUE"""),0.8373590671320598)</f>
        <v>0.8373590671</v>
      </c>
      <c r="AM4032" s="82">
        <f>IFERROR(__xludf.DUMMYFUNCTION("""COMPUTED_VALUE"""),1.3247511100901264)</f>
        <v>1.32475111</v>
      </c>
      <c r="AN4032" s="82">
        <f>IFERROR(__xludf.DUMMYFUNCTION("""COMPUTED_VALUE"""),0.6728000082684781)</f>
        <v>0.6728000083</v>
      </c>
      <c r="AO4032" s="82">
        <f>IFERROR(__xludf.DUMMYFUNCTION("""COMPUTED_VALUE"""),0.23589023526522723)</f>
        <v>0.2358902353</v>
      </c>
      <c r="AP4032" s="82">
        <f>IFERROR(__xludf.DUMMYFUNCTION("""COMPUTED_VALUE"""),0.8212009011411057)</f>
        <v>0.8212009011</v>
      </c>
      <c r="AQ4032" s="82">
        <f>IFERROR(__xludf.DUMMYFUNCTION("""COMPUTED_VALUE"""),1.1026988815161571)</f>
        <v>1.102698882</v>
      </c>
      <c r="AR4032" s="82">
        <f>IFERROR(__xludf.DUMMYFUNCTION("""COMPUTED_VALUE"""),0.5321651017399314)</f>
        <v>0.5321651017</v>
      </c>
      <c r="AS4032" s="82">
        <f>IFERROR(__xludf.DUMMYFUNCTION("""COMPUTED_VALUE"""),138.0)</f>
        <v>138</v>
      </c>
      <c r="AT4032" s="82">
        <f>IFERROR(__xludf.DUMMYFUNCTION("""COMPUTED_VALUE"""),0.5099065037347376)</f>
        <v>0.5099065037</v>
      </c>
      <c r="AU4032" s="82">
        <f>IFERROR(__xludf.DUMMYFUNCTION("""COMPUTED_VALUE"""),-0.0408336553117547)</f>
        <v>-0.04083365531</v>
      </c>
      <c r="AV4032" s="82">
        <f>IFERROR(__xludf.DUMMYFUNCTION("""COMPUTED_VALUE"""),10.087746804545688)</f>
        <v>10.0877468</v>
      </c>
      <c r="AW4032" s="82">
        <f t="shared" si="1"/>
        <v>-18.11932166</v>
      </c>
      <c r="AX4032" s="83">
        <f t="array" ref="AX4032">IFERROR(DGET('SBV Import'!A:G,"SBV",{"RSC ID","Tier";B4032,A4032}))</f>
        <v>9.750844778</v>
      </c>
      <c r="AY4032" s="82">
        <f t="shared" si="2"/>
        <v>-18.62106656</v>
      </c>
      <c r="AZ4032" s="82">
        <v>0.5017449006447592</v>
      </c>
      <c r="BA4032" s="84">
        <v>4000.0</v>
      </c>
      <c r="BB4032" s="84" t="b">
        <f>IFERROR(__xludf.DUMMYFUNCTION("iferror(if(A4032="""",,E4032&gt;=FILTER(Constants!$F$2:$F$10,Constants!$A$2:$A$10=A4032)))"),TRUE)</f>
        <v>1</v>
      </c>
    </row>
    <row r="4033">
      <c r="A4033" s="89" t="str">
        <f>IFERROR(__xludf.DUMMYFUNCTION("""COMPUTED_VALUE"""),"Amateur")</f>
        <v>Amateur</v>
      </c>
      <c r="B4033" s="87" t="str">
        <f>IFERROR(__xludf.DUMMYFUNCTION("""COMPUTED_VALUE"""),"RSC000968")</f>
        <v>RSC000968</v>
      </c>
      <c r="C4033" s="73" t="str">
        <f>IFERROR(__xludf.DUMMYFUNCTION("""COMPUTED_VALUE"""),"Tsg_raven5336")</f>
        <v>Tsg_raven5336</v>
      </c>
      <c r="D4033" s="73"/>
      <c r="E4033" s="82">
        <f>IFERROR(__xludf.DUMMYFUNCTION("""COMPUTED_VALUE"""),6.0)</f>
        <v>6</v>
      </c>
      <c r="F4033" s="82">
        <f>IFERROR(__xludf.DUMMYFUNCTION("""COMPUTED_VALUE"""),3.0)</f>
        <v>3</v>
      </c>
      <c r="G4033" s="86">
        <f>IFERROR(__xludf.DUMMYFUNCTION("""COMPUTED_VALUE"""),3.0)</f>
        <v>3</v>
      </c>
      <c r="H4033" s="86">
        <f>IFERROR(__xludf.DUMMYFUNCTION("""COMPUTED_VALUE"""),0.5)</f>
        <v>0.5</v>
      </c>
      <c r="I4033" s="86">
        <f>IFERROR(__xludf.DUMMYFUNCTION("""COMPUTED_VALUE"""),0.0)</f>
        <v>0</v>
      </c>
      <c r="J4033" s="82">
        <f>IFERROR(__xludf.DUMMYFUNCTION("""COMPUTED_VALUE"""),160.0)</f>
        <v>160</v>
      </c>
      <c r="K4033" s="82">
        <f>IFERROR(__xludf.DUMMYFUNCTION("""COMPUTED_VALUE"""),0.0)</f>
        <v>0</v>
      </c>
      <c r="L4033" s="82">
        <f>IFERROR(__xludf.DUMMYFUNCTION("""COMPUTED_VALUE"""),0.0)</f>
        <v>0</v>
      </c>
      <c r="M4033" s="82">
        <f>IFERROR(__xludf.DUMMYFUNCTION("""COMPUTED_VALUE"""),0.8333333333333334)</f>
        <v>0.8333333333</v>
      </c>
      <c r="N4033" s="82">
        <f>IFERROR(__xludf.DUMMYFUNCTION("""COMPUTED_VALUE"""),0.6666666666666666)</f>
        <v>0.6666666667</v>
      </c>
      <c r="O4033" s="82">
        <f>IFERROR(__xludf.DUMMYFUNCTION("""COMPUTED_VALUE"""),281.23611111111114)</f>
        <v>281.2361111</v>
      </c>
      <c r="P4033" s="82">
        <f>IFERROR(__xludf.DUMMYFUNCTION("""COMPUTED_VALUE"""),0.5694444444444444)</f>
        <v>0.5694444444</v>
      </c>
      <c r="Q4033" s="82">
        <f>IFERROR(__xludf.DUMMYFUNCTION("""COMPUTED_VALUE"""),0.27777777777777773)</f>
        <v>0.2777777778</v>
      </c>
      <c r="R4033" s="82">
        <f>IFERROR(__xludf.DUMMYFUNCTION("""COMPUTED_VALUE"""),1.125)</f>
        <v>1.125</v>
      </c>
      <c r="S4033" s="82">
        <f>IFERROR(__xludf.DUMMYFUNCTION("""COMPUTED_VALUE"""),1.8472222222222223)</f>
        <v>1.847222222</v>
      </c>
      <c r="T4033" s="82">
        <f>IFERROR(__xludf.DUMMYFUNCTION("""COMPUTED_VALUE"""),295.87502199145274)</f>
        <v>295.875022</v>
      </c>
      <c r="U4033" s="82">
        <f>IFERROR(__xludf.DUMMYFUNCTION("""COMPUTED_VALUE"""),0.7531467134770135)</f>
        <v>0.7531467135</v>
      </c>
      <c r="V4033" s="82">
        <f>IFERROR(__xludf.DUMMYFUNCTION("""COMPUTED_VALUE"""),0.4321804330061829)</f>
        <v>0.432180433</v>
      </c>
      <c r="W4033" s="82">
        <f>IFERROR(__xludf.DUMMYFUNCTION("""COMPUTED_VALUE"""),0.8549470096992847)</f>
        <v>0.8549470097</v>
      </c>
      <c r="X4033" s="82">
        <f>IFERROR(__xludf.DUMMYFUNCTION("""COMPUTED_VALUE"""),2.1954797645899773)</f>
        <v>2.195479765</v>
      </c>
      <c r="Y4033" s="82">
        <f>IFERROR(__xludf.DUMMYFUNCTION("""COMPUTED_VALUE"""),300.71006729423306)</f>
        <v>300.7100673</v>
      </c>
      <c r="Z4033" s="82">
        <f>IFERROR(__xludf.DUMMYFUNCTION("""COMPUTED_VALUE"""),0.7777953128395158)</f>
        <v>0.7777953128</v>
      </c>
      <c r="AA4033" s="82">
        <f>IFERROR(__xludf.DUMMYFUNCTION("""COMPUTED_VALUE"""),0.46644917353477794)</f>
        <v>0.4664491735</v>
      </c>
      <c r="AB4033" s="82">
        <f>IFERROR(__xludf.DUMMYFUNCTION("""COMPUTED_VALUE"""),0.9642154927366972)</f>
        <v>0.9642154927</v>
      </c>
      <c r="AC4033" s="82">
        <f>IFERROR(__xludf.DUMMYFUNCTION("""COMPUTED_VALUE"""),2.053373440420808)</f>
        <v>2.05337344</v>
      </c>
      <c r="AD4033" s="82">
        <f>IFERROR(__xludf.DUMMYFUNCTION("""COMPUTED_VALUE"""),0.532073972247315)</f>
        <v>0.5320739722</v>
      </c>
      <c r="AE4033" s="82">
        <f>IFERROR(__xludf.DUMMYFUNCTION("""COMPUTED_VALUE"""),0.0)</f>
        <v>0</v>
      </c>
      <c r="AF4033" s="82">
        <f>IFERROR(__xludf.DUMMYFUNCTION("""COMPUTED_VALUE"""),0.0)</f>
        <v>0</v>
      </c>
      <c r="AG4033" s="82">
        <f>IFERROR(__xludf.DUMMYFUNCTION("""COMPUTED_VALUE"""),0.8642604683400328)</f>
        <v>0.8642604683</v>
      </c>
      <c r="AH4033" s="82">
        <f>IFERROR(__xludf.DUMMYFUNCTION("""COMPUTED_VALUE"""),0.32466898302241765)</f>
        <v>0.324668983</v>
      </c>
      <c r="AI4033" s="82">
        <f>IFERROR(__xludf.DUMMYFUNCTION("""COMPUTED_VALUE"""),0.9505233298106371)</f>
        <v>0.9505233298</v>
      </c>
      <c r="AJ4033" s="82">
        <f>IFERROR(__xludf.DUMMYFUNCTION("""COMPUTED_VALUE"""),0.7560870070261871)</f>
        <v>0.756087007</v>
      </c>
      <c r="AK4033" s="82">
        <f>IFERROR(__xludf.DUMMYFUNCTION("""COMPUTED_VALUE"""),0.6427356644667986)</f>
        <v>0.6427356645</v>
      </c>
      <c r="AL4033" s="82">
        <f>IFERROR(__xludf.DUMMYFUNCTION("""COMPUTED_VALUE"""),1.3158710273701086)</f>
        <v>1.315871027</v>
      </c>
      <c r="AM4033" s="82">
        <f>IFERROR(__xludf.DUMMYFUNCTION("""COMPUTED_VALUE"""),0.84137519826661)</f>
        <v>0.8413751983</v>
      </c>
      <c r="AN4033" s="82">
        <f>IFERROR(__xludf.DUMMYFUNCTION("""COMPUTED_VALUE"""),0.5764504354809482)</f>
        <v>0.5764504355</v>
      </c>
      <c r="AO4033" s="82">
        <f>IFERROR(__xludf.DUMMYFUNCTION("""COMPUTED_VALUE"""),0.0)</f>
        <v>0</v>
      </c>
      <c r="AP4033" s="82">
        <f>IFERROR(__xludf.DUMMYFUNCTION("""COMPUTED_VALUE"""),0.0)</f>
        <v>0</v>
      </c>
      <c r="AQ4033" s="82">
        <f>IFERROR(__xludf.DUMMYFUNCTION("""COMPUTED_VALUE"""),1.0374855068028361)</f>
        <v>1.037485507</v>
      </c>
      <c r="AR4033" s="82">
        <f>IFERROR(__xludf.DUMMYFUNCTION("""COMPUTED_VALUE"""),0.34492182520180736)</f>
        <v>0.3449218252</v>
      </c>
      <c r="AS4033" s="82">
        <f>IFERROR(__xludf.DUMMYFUNCTION("""COMPUTED_VALUE"""),23.0)</f>
        <v>23</v>
      </c>
      <c r="AT4033" s="82">
        <f>IFERROR(__xludf.DUMMYFUNCTION("""COMPUTED_VALUE"""),0.7893731668945888)</f>
        <v>0.7893731669</v>
      </c>
      <c r="AU4033" s="82">
        <f>IFERROR(__xludf.DUMMYFUNCTION("""COMPUTED_VALUE"""),-0.24930468338498837)</f>
        <v>-0.2493046834</v>
      </c>
      <c r="AV4033" s="82">
        <f>IFERROR(__xludf.DUMMYFUNCTION("""COMPUTED_VALUE"""),5.9875646430963485)</f>
        <v>5.987564643</v>
      </c>
      <c r="AW4033" s="82">
        <f t="shared" si="1"/>
        <v>-25.53511856</v>
      </c>
      <c r="AX4033" s="83">
        <f t="array" ref="AX4033">IFERROR(DGET('SBV Import'!A:G,"SBV",{"RSC ID","Tier";B4033,A4033}))</f>
        <v>-7.472453493</v>
      </c>
      <c r="AY4033" s="82">
        <f t="shared" si="2"/>
        <v>-92.97687949</v>
      </c>
      <c r="AZ4033" s="82">
        <v>67.441760927481</v>
      </c>
      <c r="BA4033" s="84">
        <v>4000.0</v>
      </c>
      <c r="BB4033" s="84" t="b">
        <f>IFERROR(__xludf.DUMMYFUNCTION("iferror(if(A4033="""",,E4033&gt;=FILTER(Constants!$F$2:$F$10,Constants!$A$2:$A$10=A4033)))"),TRUE)</f>
        <v>1</v>
      </c>
    </row>
    <row r="4034">
      <c r="A4034" s="89" t="str">
        <f>IFERROR(__xludf.DUMMYFUNCTION("""COMPUTED_VALUE"""),"Amateur")</f>
        <v>Amateur</v>
      </c>
      <c r="B4034" s="87" t="str">
        <f>IFERROR(__xludf.DUMMYFUNCTION("""COMPUTED_VALUE"""),"RSC006022")</f>
        <v>RSC006022</v>
      </c>
      <c r="C4034" s="73" t="str">
        <f>IFERROR(__xludf.DUMMYFUNCTION("""COMPUTED_VALUE"""),"N0MrThomasMn")</f>
        <v>N0MrThomasMn</v>
      </c>
      <c r="D4034" s="73"/>
      <c r="E4034" s="82">
        <f>IFERROR(__xludf.DUMMYFUNCTION("""COMPUTED_VALUE"""),8.0)</f>
        <v>8</v>
      </c>
      <c r="F4034" s="82">
        <f>IFERROR(__xludf.DUMMYFUNCTION("""COMPUTED_VALUE"""),0.0)</f>
        <v>0</v>
      </c>
      <c r="G4034" s="86">
        <f>IFERROR(__xludf.DUMMYFUNCTION("""COMPUTED_VALUE"""),8.0)</f>
        <v>8</v>
      </c>
      <c r="H4034" s="86">
        <f>IFERROR(__xludf.DUMMYFUNCTION("""COMPUTED_VALUE"""),0.0)</f>
        <v>0</v>
      </c>
      <c r="I4034" s="86">
        <f>IFERROR(__xludf.DUMMYFUNCTION("""COMPUTED_VALUE"""),0.4444444444444444)</f>
        <v>0.4444444444</v>
      </c>
      <c r="J4034" s="82">
        <f>IFERROR(__xludf.DUMMYFUNCTION("""COMPUTED_VALUE"""),205.125)</f>
        <v>205.125</v>
      </c>
      <c r="K4034" s="82">
        <f>IFERROR(__xludf.DUMMYFUNCTION("""COMPUTED_VALUE"""),0.5)</f>
        <v>0.5</v>
      </c>
      <c r="L4034" s="82">
        <f>IFERROR(__xludf.DUMMYFUNCTION("""COMPUTED_VALUE"""),0.25)</f>
        <v>0.25</v>
      </c>
      <c r="M4034" s="82">
        <f>IFERROR(__xludf.DUMMYFUNCTION("""COMPUTED_VALUE"""),0.5)</f>
        <v>0.5</v>
      </c>
      <c r="N4034" s="82">
        <f>IFERROR(__xludf.DUMMYFUNCTION("""COMPUTED_VALUE"""),1.125)</f>
        <v>1.125</v>
      </c>
      <c r="O4034" s="82">
        <f>IFERROR(__xludf.DUMMYFUNCTION("""COMPUTED_VALUE"""),429.3958333333333)</f>
        <v>429.3958333</v>
      </c>
      <c r="P4034" s="82">
        <f>IFERROR(__xludf.DUMMYFUNCTION("""COMPUTED_VALUE"""),1.7187499999999998)</f>
        <v>1.71875</v>
      </c>
      <c r="Q4034" s="82">
        <f>IFERROR(__xludf.DUMMYFUNCTION("""COMPUTED_VALUE"""),1.1770833333333333)</f>
        <v>1.177083333</v>
      </c>
      <c r="R4034" s="82">
        <f>IFERROR(__xludf.DUMMYFUNCTION("""COMPUTED_VALUE"""),0.5416666666666666)</f>
        <v>0.5416666667</v>
      </c>
      <c r="S4034" s="82">
        <f>IFERROR(__xludf.DUMMYFUNCTION("""COMPUTED_VALUE"""),3.2604166666666665)</f>
        <v>3.260416667</v>
      </c>
      <c r="T4034" s="82">
        <f>IFERROR(__xludf.DUMMYFUNCTION("""COMPUTED_VALUE"""),288.6392884892885)</f>
        <v>288.6392885</v>
      </c>
      <c r="U4034" s="82">
        <f>IFERROR(__xludf.DUMMYFUNCTION("""COMPUTED_VALUE"""),0.7172690417684697)</f>
        <v>0.7172690418</v>
      </c>
      <c r="V4034" s="82">
        <f>IFERROR(__xludf.DUMMYFUNCTION("""COMPUTED_VALUE"""),0.4468656020858538)</f>
        <v>0.4468656021</v>
      </c>
      <c r="W4034" s="82">
        <f>IFERROR(__xludf.DUMMYFUNCTION("""COMPUTED_VALUE"""),0.8163942290229473)</f>
        <v>0.816394229</v>
      </c>
      <c r="X4034" s="82">
        <f>IFERROR(__xludf.DUMMYFUNCTION("""COMPUTED_VALUE"""),2.123223942660441)</f>
        <v>2.123223943</v>
      </c>
      <c r="Y4034" s="82">
        <f>IFERROR(__xludf.DUMMYFUNCTION("""COMPUTED_VALUE"""),297.2994319045699)</f>
        <v>297.2994319</v>
      </c>
      <c r="Z4034" s="82">
        <f>IFERROR(__xludf.DUMMYFUNCTION("""COMPUTED_VALUE"""),0.7573835260584406)</f>
        <v>0.7573835261</v>
      </c>
      <c r="AA4034" s="82">
        <f>IFERROR(__xludf.DUMMYFUNCTION("""COMPUTED_VALUE"""),0.43551461137035136)</f>
        <v>0.4355146114</v>
      </c>
      <c r="AB4034" s="82">
        <f>IFERROR(__xludf.DUMMYFUNCTION("""COMPUTED_VALUE"""),0.9528633973380352)</f>
        <v>0.9528633973</v>
      </c>
      <c r="AC4034" s="82">
        <f>IFERROR(__xludf.DUMMYFUNCTION("""COMPUTED_VALUE"""),2.0519596866040417)</f>
        <v>2.051959687</v>
      </c>
      <c r="AD4034" s="82">
        <f>IFERROR(__xludf.DUMMYFUNCTION("""COMPUTED_VALUE"""),0.6899609551418284)</f>
        <v>0.6899609551</v>
      </c>
      <c r="AE4034" s="82">
        <f>IFERROR(__xludf.DUMMYFUNCTION("""COMPUTED_VALUE"""),0.6601675146039807)</f>
        <v>0.6601675146</v>
      </c>
      <c r="AF4034" s="82">
        <f>IFERROR(__xludf.DUMMYFUNCTION("""COMPUTED_VALUE"""),0.574033553577852)</f>
        <v>0.5740335536</v>
      </c>
      <c r="AG4034" s="82">
        <f>IFERROR(__xludf.DUMMYFUNCTION("""COMPUTED_VALUE"""),0.5247341868696226)</f>
        <v>0.5247341869</v>
      </c>
      <c r="AH4034" s="82">
        <f>IFERROR(__xludf.DUMMYFUNCTION("""COMPUTED_VALUE"""),0.5482563850276493)</f>
        <v>0.548256385</v>
      </c>
      <c r="AI4034" s="82">
        <f>IFERROR(__xludf.DUMMYFUNCTION("""COMPUTED_VALUE"""),1.4876555287422986)</f>
        <v>1.487655529</v>
      </c>
      <c r="AJ4034" s="82">
        <f>IFERROR(__xludf.DUMMYFUNCTION("""COMPUTED_VALUE"""),2.396241716723642)</f>
        <v>2.396241717</v>
      </c>
      <c r="AK4034" s="82">
        <f>IFERROR(__xludf.DUMMYFUNCTION("""COMPUTED_VALUE"""),2.6340880296872498)</f>
        <v>2.63408803</v>
      </c>
      <c r="AL4034" s="82">
        <f>IFERROR(__xludf.DUMMYFUNCTION("""COMPUTED_VALUE"""),0.663486643352352)</f>
        <v>0.6634866434</v>
      </c>
      <c r="AM4034" s="82">
        <f>IFERROR(__xludf.DUMMYFUNCTION("""COMPUTED_VALUE"""),1.5355971648385336)</f>
        <v>1.535597165</v>
      </c>
      <c r="AN4034" s="82">
        <f>IFERROR(__xludf.DUMMYFUNCTION("""COMPUTED_VALUE"""),0.7390274723626844)</f>
        <v>0.7390274724</v>
      </c>
      <c r="AO4034" s="82">
        <f>IFERROR(__xludf.DUMMYFUNCTION("""COMPUTED_VALUE"""),0.6880131861902461)</f>
        <v>0.6880131862</v>
      </c>
      <c r="AP4034" s="82">
        <f>IFERROR(__xludf.DUMMYFUNCTION("""COMPUTED_VALUE"""),0.5987923237487229)</f>
        <v>0.5987923237</v>
      </c>
      <c r="AQ4034" s="82">
        <f>IFERROR(__xludf.DUMMYFUNCTION("""COMPUTED_VALUE"""),0.6224913040817016)</f>
        <v>0.6224913041</v>
      </c>
      <c r="AR4034" s="82">
        <f>IFERROR(__xludf.DUMMYFUNCTION("""COMPUTED_VALUE"""),0.58205558002805)</f>
        <v>0.58205558</v>
      </c>
      <c r="AS4034" s="82">
        <f>IFERROR(__xludf.DUMMYFUNCTION("""COMPUTED_VALUE"""),28.0)</f>
        <v>28</v>
      </c>
      <c r="AT4034" s="82">
        <f>IFERROR(__xludf.DUMMYFUNCTION("""COMPUTED_VALUE"""),0.32743203820014577)</f>
        <v>0.3274320382</v>
      </c>
      <c r="AU4034" s="82">
        <f>IFERROR(__xludf.DUMMYFUNCTION("""COMPUTED_VALUE"""),-0.6470546044315719)</f>
        <v>-0.6470546044</v>
      </c>
      <c r="AV4034" s="82">
        <f>IFERROR(__xludf.DUMMYFUNCTION("""COMPUTED_VALUE"""),-1.8353311619753612)</f>
        <v>-1.835331162</v>
      </c>
      <c r="AW4034" s="82">
        <f t="shared" si="1"/>
        <v>-52.44685945</v>
      </c>
      <c r="AX4034" s="83">
        <f t="array" ref="AX4034">IFERROR(DGET('SBV Import'!A:G,"SBV",{"RSC ID","Tier";B4034,A4034}))</f>
        <v>7.086985061</v>
      </c>
      <c r="AY4034" s="82">
        <f t="shared" si="2"/>
        <v>-23.23776379</v>
      </c>
      <c r="AZ4034" s="82">
        <v>29.20909565614011</v>
      </c>
      <c r="BA4034" s="84">
        <v>4000.0</v>
      </c>
      <c r="BB4034" s="84" t="b">
        <f>IFERROR(__xludf.DUMMYFUNCTION("iferror(if(A4034="""",,E4034&gt;=FILTER(Constants!$F$2:$F$10,Constants!$A$2:$A$10=A4034)))"),TRUE)</f>
        <v>1</v>
      </c>
    </row>
    <row r="4035">
      <c r="A4035" s="89" t="str">
        <f>IFERROR(__xludf.DUMMYFUNCTION("""COMPUTED_VALUE"""),"Amateur")</f>
        <v>Amateur</v>
      </c>
      <c r="B4035" s="87" t="str">
        <f>IFERROR(__xludf.DUMMYFUNCTION("""COMPUTED_VALUE"""),"RSC007587")</f>
        <v>RSC007587</v>
      </c>
      <c r="C4035" s="73" t="str">
        <f>IFERROR(__xludf.DUMMYFUNCTION("""COMPUTED_VALUE"""),"ShortyoShire")</f>
        <v>ShortyoShire</v>
      </c>
      <c r="D4035" s="73" t="str">
        <f>IFERROR(__xludf.DUMMYFUNCTION("""COMPUTED_VALUE"""),"Aloof Goofs")</f>
        <v>Aloof Goofs</v>
      </c>
      <c r="E4035" s="82">
        <f>IFERROR(__xludf.DUMMYFUNCTION("""COMPUTED_VALUE"""),9.0)</f>
        <v>9</v>
      </c>
      <c r="F4035" s="82">
        <f>IFERROR(__xludf.DUMMYFUNCTION("""COMPUTED_VALUE"""),3.0)</f>
        <v>3</v>
      </c>
      <c r="G4035" s="86">
        <f>IFERROR(__xludf.DUMMYFUNCTION("""COMPUTED_VALUE"""),6.0)</f>
        <v>6</v>
      </c>
      <c r="H4035" s="86">
        <f>IFERROR(__xludf.DUMMYFUNCTION("""COMPUTED_VALUE"""),0.3333333333333333)</f>
        <v>0.3333333333</v>
      </c>
      <c r="I4035" s="86">
        <f>IFERROR(__xludf.DUMMYFUNCTION("""COMPUTED_VALUE"""),0.16666666666666666)</f>
        <v>0.1666666667</v>
      </c>
      <c r="J4035" s="82">
        <f>IFERROR(__xludf.DUMMYFUNCTION("""COMPUTED_VALUE"""),125.22222222222223)</f>
        <v>125.2222222</v>
      </c>
      <c r="K4035" s="82">
        <f>IFERROR(__xludf.DUMMYFUNCTION("""COMPUTED_VALUE"""),0.1111111111111111)</f>
        <v>0.1111111111</v>
      </c>
      <c r="L4035" s="82">
        <f>IFERROR(__xludf.DUMMYFUNCTION("""COMPUTED_VALUE"""),0.0)</f>
        <v>0</v>
      </c>
      <c r="M4035" s="82">
        <f>IFERROR(__xludf.DUMMYFUNCTION("""COMPUTED_VALUE"""),0.5555555555555556)</f>
        <v>0.5555555556</v>
      </c>
      <c r="N4035" s="82">
        <f>IFERROR(__xludf.DUMMYFUNCTION("""COMPUTED_VALUE"""),0.6666666666666666)</f>
        <v>0.6666666667</v>
      </c>
      <c r="O4035" s="82">
        <f>IFERROR(__xludf.DUMMYFUNCTION("""COMPUTED_VALUE"""),355.00925925925924)</f>
        <v>355.0092593</v>
      </c>
      <c r="P4035" s="82">
        <f>IFERROR(__xludf.DUMMYFUNCTION("""COMPUTED_VALUE"""),1.2777777777777777)</f>
        <v>1.277777778</v>
      </c>
      <c r="Q4035" s="82">
        <f>IFERROR(__xludf.DUMMYFUNCTION("""COMPUTED_VALUE"""),0.8148148148148147)</f>
        <v>0.8148148148</v>
      </c>
      <c r="R4035" s="82">
        <f>IFERROR(__xludf.DUMMYFUNCTION("""COMPUTED_VALUE"""),0.5925925925925926)</f>
        <v>0.5925925926</v>
      </c>
      <c r="S4035" s="82">
        <f>IFERROR(__xludf.DUMMYFUNCTION("""COMPUTED_VALUE"""),2.657407407407407)</f>
        <v>2.657407407</v>
      </c>
      <c r="T4035" s="82">
        <f>IFERROR(__xludf.DUMMYFUNCTION("""COMPUTED_VALUE"""),287.41082482525746)</f>
        <v>287.4108248</v>
      </c>
      <c r="U4035" s="82">
        <f>IFERROR(__xludf.DUMMYFUNCTION("""COMPUTED_VALUE"""),0.7098632643127473)</f>
        <v>0.7098632643</v>
      </c>
      <c r="V4035" s="82">
        <f>IFERROR(__xludf.DUMMYFUNCTION("""COMPUTED_VALUE"""),0.439046383135215)</f>
        <v>0.4390463831</v>
      </c>
      <c r="W4035" s="82">
        <f>IFERROR(__xludf.DUMMYFUNCTION("""COMPUTED_VALUE"""),0.8492696317994475)</f>
        <v>0.8492696318</v>
      </c>
      <c r="X4035" s="82">
        <f>IFERROR(__xludf.DUMMYFUNCTION("""COMPUTED_VALUE"""),2.0460784516125825)</f>
        <v>2.046078452</v>
      </c>
      <c r="Y4035" s="82">
        <f>IFERROR(__xludf.DUMMYFUNCTION("""COMPUTED_VALUE"""),303.730175753755)</f>
        <v>303.7301758</v>
      </c>
      <c r="Z4035" s="82">
        <f>IFERROR(__xludf.DUMMYFUNCTION("""COMPUTED_VALUE"""),0.8222606497547003)</f>
        <v>0.8222606498</v>
      </c>
      <c r="AA4035" s="82">
        <f>IFERROR(__xludf.DUMMYFUNCTION("""COMPUTED_VALUE"""),0.4594866262411947)</f>
        <v>0.4594866262</v>
      </c>
      <c r="AB4035" s="82">
        <f>IFERROR(__xludf.DUMMYFUNCTION("""COMPUTED_VALUE"""),0.8977390354722152)</f>
        <v>0.8977390355</v>
      </c>
      <c r="AC4035" s="82">
        <f>IFERROR(__xludf.DUMMYFUNCTION("""COMPUTED_VALUE"""),2.16644747086953)</f>
        <v>2.166447471</v>
      </c>
      <c r="AD4035" s="82">
        <f>IFERROR(__xludf.DUMMYFUNCTION("""COMPUTED_VALUE"""),0.4122811370699775)</f>
        <v>0.4122811371</v>
      </c>
      <c r="AE4035" s="82">
        <f>IFERROR(__xludf.DUMMYFUNCTION("""COMPUTED_VALUE"""),0.1351288197291919)</f>
        <v>0.1351288197</v>
      </c>
      <c r="AF4035" s="82">
        <f>IFERROR(__xludf.DUMMYFUNCTION("""COMPUTED_VALUE"""),0.0)</f>
        <v>0</v>
      </c>
      <c r="AG4035" s="82">
        <f>IFERROR(__xludf.DUMMYFUNCTION("""COMPUTED_VALUE"""),0.6188385862750533)</f>
        <v>0.6188385863</v>
      </c>
      <c r="AH4035" s="82">
        <f>IFERROR(__xludf.DUMMYFUNCTION("""COMPUTED_VALUE"""),0.30772343923902845)</f>
        <v>0.3077234392</v>
      </c>
      <c r="AI4035" s="82">
        <f>IFERROR(__xludf.DUMMYFUNCTION("""COMPUTED_VALUE"""),1.2351979417445424)</f>
        <v>1.235197942</v>
      </c>
      <c r="AJ4035" s="82">
        <f>IFERROR(__xludf.DUMMYFUNCTION("""COMPUTED_VALUE"""),1.8000336712942255)</f>
        <v>1.800033671</v>
      </c>
      <c r="AK4035" s="82">
        <f>IFERROR(__xludf.DUMMYFUNCTION("""COMPUTED_VALUE"""),1.8558741083259822)</f>
        <v>1.855874108</v>
      </c>
      <c r="AL4035" s="82">
        <f>IFERROR(__xludf.DUMMYFUNCTION("""COMPUTED_VALUE"""),0.6977673172382214)</f>
        <v>0.6977673172</v>
      </c>
      <c r="AM4035" s="82">
        <f>IFERROR(__xludf.DUMMYFUNCTION("""COMPUTED_VALUE"""),1.2987807995890948)</f>
        <v>1.2987808</v>
      </c>
      <c r="AN4035" s="82">
        <f>IFERROR(__xludf.DUMMYFUNCTION("""COMPUTED_VALUE"""),0.45115252832432545)</f>
        <v>0.4511525283</v>
      </c>
      <c r="AO4035" s="82">
        <f>IFERROR(__xludf.DUMMYFUNCTION("""COMPUTED_VALUE"""),0.152891819153388)</f>
        <v>0.1528918192</v>
      </c>
      <c r="AP4035" s="82">
        <f>IFERROR(__xludf.DUMMYFUNCTION("""COMPUTED_VALUE"""),0.0)</f>
        <v>0</v>
      </c>
      <c r="AQ4035" s="82">
        <f>IFERROR(__xludf.DUMMYFUNCTION("""COMPUTED_VALUE"""),0.691657004535224)</f>
        <v>0.6916570045</v>
      </c>
      <c r="AR4035" s="82">
        <f>IFERROR(__xludf.DUMMYFUNCTION("""COMPUTED_VALUE"""),0.34492182520180736)</f>
        <v>0.3449218252</v>
      </c>
      <c r="AS4035" s="82">
        <f>IFERROR(__xludf.DUMMYFUNCTION("""COMPUTED_VALUE"""),51.0)</f>
        <v>51</v>
      </c>
      <c r="AT4035" s="82">
        <f>IFERROR(__xludf.DUMMYFUNCTION("""COMPUTED_VALUE"""),0.6782675490969696)</f>
        <v>0.6782675491</v>
      </c>
      <c r="AU4035" s="82">
        <f>IFERROR(__xludf.DUMMYFUNCTION("""COMPUTED_VALUE"""),-1.362626968515207)</f>
        <v>-1.362626969</v>
      </c>
      <c r="AV4035" s="82">
        <f>IFERROR(__xludf.DUMMYFUNCTION("""COMPUTED_VALUE"""),-15.909119110155757)</f>
        <v>-15.90911911</v>
      </c>
      <c r="AW4035" s="82">
        <f t="shared" si="1"/>
        <v>-238.6646357</v>
      </c>
      <c r="AX4035" s="83">
        <f t="array" ref="AX4035">IFERROR(DGET('SBV Import'!A:G,"SBV",{"RSC ID","Tier";B4035,A4035}))</f>
        <v>-15.16984261</v>
      </c>
      <c r="AY4035" s="82">
        <f t="shared" si="2"/>
        <v>-218.8317759</v>
      </c>
      <c r="AZ4035" s="82">
        <v>19.832859719882492</v>
      </c>
      <c r="BA4035" s="84">
        <v>4000.0</v>
      </c>
      <c r="BB4035" s="84" t="b">
        <f>IFERROR(__xludf.DUMMYFUNCTION("iferror(if(A4035="""",,E4035&gt;=FILTER(Constants!$F$2:$F$10,Constants!$A$2:$A$10=A4035)))"),TRUE)</f>
        <v>1</v>
      </c>
    </row>
    <row r="4036">
      <c r="A4036" s="89"/>
      <c r="B4036" s="87"/>
      <c r="C4036" s="73"/>
      <c r="D4036" s="73"/>
      <c r="E4036" s="82"/>
      <c r="F4036" s="82"/>
      <c r="G4036" s="86"/>
      <c r="H4036" s="86"/>
      <c r="I4036" s="86"/>
      <c r="J4036" s="82"/>
      <c r="K4036" s="82"/>
      <c r="L4036" s="82"/>
      <c r="M4036" s="82"/>
      <c r="N4036" s="82"/>
      <c r="O4036" s="82"/>
      <c r="P4036" s="82"/>
      <c r="Q4036" s="82"/>
      <c r="R4036" s="82"/>
      <c r="S4036" s="82"/>
      <c r="T4036" s="82"/>
      <c r="U4036" s="82"/>
      <c r="V4036" s="82"/>
      <c r="W4036" s="82"/>
      <c r="X4036" s="82"/>
      <c r="Y4036" s="82"/>
      <c r="Z4036" s="82"/>
      <c r="AA4036" s="82"/>
      <c r="AB4036" s="82"/>
      <c r="AC4036" s="82"/>
      <c r="AD4036" s="82"/>
      <c r="AE4036" s="82"/>
      <c r="AF4036" s="82"/>
      <c r="AG4036" s="82"/>
      <c r="AH4036" s="82"/>
      <c r="AI4036" s="82"/>
      <c r="AJ4036" s="82"/>
      <c r="AK4036" s="82"/>
      <c r="AL4036" s="82"/>
      <c r="AM4036" s="82"/>
      <c r="AN4036" s="82">
        <f>IFERROR(__xludf.DUMMYFUNCTION("""COMPUTED_VALUE"""),0.0)</f>
        <v>0</v>
      </c>
      <c r="AO4036" s="82">
        <f>IFERROR(__xludf.DUMMYFUNCTION("""COMPUTED_VALUE"""),0.0)</f>
        <v>0</v>
      </c>
      <c r="AP4036" s="82">
        <f>IFERROR(__xludf.DUMMYFUNCTION("""COMPUTED_VALUE"""),0.0)</f>
        <v>0</v>
      </c>
      <c r="AQ4036" s="82">
        <f>IFERROR(__xludf.DUMMYFUNCTION("""COMPUTED_VALUE"""),0.0)</f>
        <v>0</v>
      </c>
      <c r="AR4036" s="82">
        <f>IFERROR(__xludf.DUMMYFUNCTION("""COMPUTED_VALUE"""),0.0)</f>
        <v>0</v>
      </c>
      <c r="AS4036" s="82"/>
      <c r="AT4036" s="82">
        <f>IFERROR(__xludf.DUMMYFUNCTION("""COMPUTED_VALUE"""),0.0)</f>
        <v>0</v>
      </c>
      <c r="AU4036" s="82"/>
      <c r="AV4036" s="82"/>
      <c r="AW4036" s="82" t="str">
        <f t="shared" si="1"/>
        <v/>
      </c>
      <c r="AX4036" s="83" t="str">
        <f t="array" ref="AX4036">IFERROR(DGET('SBV Import'!A:G,"SBV",{"RSC ID","Tier";B4036,A4036}))</f>
        <v/>
      </c>
      <c r="AY4036" s="82" t="str">
        <f t="shared" si="2"/>
        <v/>
      </c>
      <c r="AZ4036" s="82"/>
      <c r="BA4036" s="84" t="s">
        <v>152</v>
      </c>
      <c r="BB4036" s="84" t="str">
        <f>IFERROR(__xludf.DUMMYFUNCTION("iferror(if(A4036="""",,E4036&gt;=FILTER(Constants!$F$2:$F$10,Constants!$A$2:$A$10=A4036)))"),"")</f>
        <v/>
      </c>
    </row>
    <row r="4037">
      <c r="A4037" s="89"/>
      <c r="B4037" s="87"/>
      <c r="C4037" s="73"/>
      <c r="D4037" s="73"/>
      <c r="E4037" s="82"/>
      <c r="F4037" s="82"/>
      <c r="G4037" s="86"/>
      <c r="H4037" s="86"/>
      <c r="I4037" s="86"/>
      <c r="J4037" s="82"/>
      <c r="K4037" s="82"/>
      <c r="L4037" s="82"/>
      <c r="M4037" s="82"/>
      <c r="N4037" s="82"/>
      <c r="O4037" s="82"/>
      <c r="P4037" s="82"/>
      <c r="Q4037" s="82"/>
      <c r="R4037" s="82"/>
      <c r="S4037" s="82"/>
      <c r="T4037" s="82"/>
      <c r="U4037" s="82"/>
      <c r="V4037" s="82"/>
      <c r="W4037" s="82"/>
      <c r="X4037" s="82"/>
      <c r="Y4037" s="82"/>
      <c r="Z4037" s="82"/>
      <c r="AA4037" s="82"/>
      <c r="AB4037" s="82"/>
      <c r="AC4037" s="82"/>
      <c r="AD4037" s="82"/>
      <c r="AE4037" s="82"/>
      <c r="AF4037" s="82"/>
      <c r="AG4037" s="82"/>
      <c r="AH4037" s="82"/>
      <c r="AI4037" s="82"/>
      <c r="AJ4037" s="82"/>
      <c r="AK4037" s="82"/>
      <c r="AL4037" s="82"/>
      <c r="AM4037" s="82"/>
      <c r="AN4037" s="82">
        <f>IFERROR(__xludf.DUMMYFUNCTION("""COMPUTED_VALUE"""),0.0)</f>
        <v>0</v>
      </c>
      <c r="AO4037" s="82">
        <f>IFERROR(__xludf.DUMMYFUNCTION("""COMPUTED_VALUE"""),0.0)</f>
        <v>0</v>
      </c>
      <c r="AP4037" s="82">
        <f>IFERROR(__xludf.DUMMYFUNCTION("""COMPUTED_VALUE"""),0.0)</f>
        <v>0</v>
      </c>
      <c r="AQ4037" s="82">
        <f>IFERROR(__xludf.DUMMYFUNCTION("""COMPUTED_VALUE"""),0.0)</f>
        <v>0</v>
      </c>
      <c r="AR4037" s="82">
        <f>IFERROR(__xludf.DUMMYFUNCTION("""COMPUTED_VALUE"""),0.0)</f>
        <v>0</v>
      </c>
      <c r="AS4037" s="82"/>
      <c r="AT4037" s="82">
        <f>IFERROR(__xludf.DUMMYFUNCTION("""COMPUTED_VALUE"""),0.0)</f>
        <v>0</v>
      </c>
      <c r="AU4037" s="82"/>
      <c r="AV4037" s="82"/>
      <c r="AW4037" s="82" t="str">
        <f t="shared" si="1"/>
        <v/>
      </c>
      <c r="AX4037" s="83" t="str">
        <f t="array" ref="AX4037">IFERROR(DGET('SBV Import'!A:G,"SBV",{"RSC ID","Tier";B4037,A4037}))</f>
        <v/>
      </c>
      <c r="AY4037" s="82" t="str">
        <f t="shared" si="2"/>
        <v/>
      </c>
      <c r="AZ4037" s="82"/>
      <c r="BA4037" s="84" t="s">
        <v>152</v>
      </c>
      <c r="BB4037" s="84" t="str">
        <f>IFERROR(__xludf.DUMMYFUNCTION("iferror(if(A4037="""",,E4037&gt;=FILTER(Constants!$F$2:$F$10,Constants!$A$2:$A$10=A4037)))"),"")</f>
        <v/>
      </c>
    </row>
    <row r="4038">
      <c r="A4038" s="89"/>
      <c r="B4038" s="87"/>
      <c r="C4038" s="73"/>
      <c r="D4038" s="73"/>
      <c r="E4038" s="82"/>
      <c r="F4038" s="82"/>
      <c r="G4038" s="86"/>
      <c r="H4038" s="86"/>
      <c r="I4038" s="86"/>
      <c r="J4038" s="82"/>
      <c r="K4038" s="82"/>
      <c r="L4038" s="82"/>
      <c r="M4038" s="82"/>
      <c r="N4038" s="82"/>
      <c r="O4038" s="82"/>
      <c r="P4038" s="82"/>
      <c r="Q4038" s="82"/>
      <c r="R4038" s="82"/>
      <c r="S4038" s="82"/>
      <c r="T4038" s="82"/>
      <c r="U4038" s="82"/>
      <c r="V4038" s="82"/>
      <c r="W4038" s="82"/>
      <c r="X4038" s="82"/>
      <c r="Y4038" s="82"/>
      <c r="Z4038" s="82"/>
      <c r="AA4038" s="82"/>
      <c r="AB4038" s="82"/>
      <c r="AC4038" s="82"/>
      <c r="AD4038" s="82"/>
      <c r="AE4038" s="82"/>
      <c r="AF4038" s="82"/>
      <c r="AG4038" s="82"/>
      <c r="AH4038" s="82"/>
      <c r="AI4038" s="82"/>
      <c r="AJ4038" s="82"/>
      <c r="AK4038" s="82"/>
      <c r="AL4038" s="82"/>
      <c r="AM4038" s="82"/>
      <c r="AN4038" s="82">
        <f>IFERROR(__xludf.DUMMYFUNCTION("""COMPUTED_VALUE"""),0.0)</f>
        <v>0</v>
      </c>
      <c r="AO4038" s="82">
        <f>IFERROR(__xludf.DUMMYFUNCTION("""COMPUTED_VALUE"""),0.0)</f>
        <v>0</v>
      </c>
      <c r="AP4038" s="82">
        <f>IFERROR(__xludf.DUMMYFUNCTION("""COMPUTED_VALUE"""),0.0)</f>
        <v>0</v>
      </c>
      <c r="AQ4038" s="82">
        <f>IFERROR(__xludf.DUMMYFUNCTION("""COMPUTED_VALUE"""),0.0)</f>
        <v>0</v>
      </c>
      <c r="AR4038" s="82">
        <f>IFERROR(__xludf.DUMMYFUNCTION("""COMPUTED_VALUE"""),0.0)</f>
        <v>0</v>
      </c>
      <c r="AS4038" s="82"/>
      <c r="AT4038" s="82">
        <f>IFERROR(__xludf.DUMMYFUNCTION("""COMPUTED_VALUE"""),0.0)</f>
        <v>0</v>
      </c>
      <c r="AU4038" s="82"/>
      <c r="AV4038" s="82"/>
      <c r="AW4038" s="82" t="str">
        <f t="shared" si="1"/>
        <v/>
      </c>
      <c r="AX4038" s="83" t="str">
        <f t="array" ref="AX4038">IFERROR(DGET('SBV Import'!A:G,"SBV",{"RSC ID","Tier";B4038,A4038}))</f>
        <v/>
      </c>
      <c r="AY4038" s="82" t="str">
        <f t="shared" si="2"/>
        <v/>
      </c>
      <c r="AZ4038" s="82"/>
      <c r="BA4038" s="84" t="s">
        <v>152</v>
      </c>
      <c r="BB4038" s="84" t="str">
        <f>IFERROR(__xludf.DUMMYFUNCTION("iferror(if(A4038="""",,E4038&gt;=FILTER(Constants!$F$2:$F$10,Constants!$A$2:$A$10=A4038)))"),"")</f>
        <v/>
      </c>
    </row>
    <row r="4039">
      <c r="A4039" s="89"/>
      <c r="B4039" s="87"/>
      <c r="C4039" s="73"/>
      <c r="D4039" s="73"/>
      <c r="E4039" s="82"/>
      <c r="F4039" s="82"/>
      <c r="G4039" s="86"/>
      <c r="H4039" s="86"/>
      <c r="I4039" s="86"/>
      <c r="J4039" s="82"/>
      <c r="K4039" s="82"/>
      <c r="L4039" s="82"/>
      <c r="M4039" s="82"/>
      <c r="N4039" s="82"/>
      <c r="O4039" s="82"/>
      <c r="P4039" s="82"/>
      <c r="Q4039" s="82"/>
      <c r="R4039" s="82"/>
      <c r="S4039" s="82"/>
      <c r="T4039" s="82"/>
      <c r="U4039" s="82"/>
      <c r="V4039" s="82"/>
      <c r="W4039" s="82"/>
      <c r="X4039" s="82"/>
      <c r="Y4039" s="82"/>
      <c r="Z4039" s="82"/>
      <c r="AA4039" s="82"/>
      <c r="AB4039" s="82"/>
      <c r="AC4039" s="82"/>
      <c r="AD4039" s="82"/>
      <c r="AE4039" s="82"/>
      <c r="AF4039" s="82"/>
      <c r="AG4039" s="82"/>
      <c r="AH4039" s="82"/>
      <c r="AI4039" s="82"/>
      <c r="AJ4039" s="82"/>
      <c r="AK4039" s="82"/>
      <c r="AL4039" s="82"/>
      <c r="AM4039" s="82"/>
      <c r="AN4039" s="82">
        <f>IFERROR(__xludf.DUMMYFUNCTION("""COMPUTED_VALUE"""),0.0)</f>
        <v>0</v>
      </c>
      <c r="AO4039" s="82">
        <f>IFERROR(__xludf.DUMMYFUNCTION("""COMPUTED_VALUE"""),0.0)</f>
        <v>0</v>
      </c>
      <c r="AP4039" s="82">
        <f>IFERROR(__xludf.DUMMYFUNCTION("""COMPUTED_VALUE"""),0.0)</f>
        <v>0</v>
      </c>
      <c r="AQ4039" s="82">
        <f>IFERROR(__xludf.DUMMYFUNCTION("""COMPUTED_VALUE"""),0.0)</f>
        <v>0</v>
      </c>
      <c r="AR4039" s="82">
        <f>IFERROR(__xludf.DUMMYFUNCTION("""COMPUTED_VALUE"""),0.0)</f>
        <v>0</v>
      </c>
      <c r="AS4039" s="82"/>
      <c r="AT4039" s="82">
        <f>IFERROR(__xludf.DUMMYFUNCTION("""COMPUTED_VALUE"""),0.0)</f>
        <v>0</v>
      </c>
      <c r="AU4039" s="82"/>
      <c r="AV4039" s="82"/>
      <c r="AW4039" s="82" t="str">
        <f t="shared" si="1"/>
        <v/>
      </c>
      <c r="AX4039" s="83" t="str">
        <f t="array" ref="AX4039">IFERROR(DGET('SBV Import'!A:G,"SBV",{"RSC ID","Tier";B4039,A4039}))</f>
        <v/>
      </c>
      <c r="AY4039" s="82" t="str">
        <f t="shared" si="2"/>
        <v/>
      </c>
      <c r="AZ4039" s="82"/>
      <c r="BA4039" s="84" t="s">
        <v>152</v>
      </c>
      <c r="BB4039" s="84" t="str">
        <f>IFERROR(__xludf.DUMMYFUNCTION("iferror(if(A4039="""",,E4039&gt;=FILTER(Constants!$F$2:$F$10,Constants!$A$2:$A$10=A4039)))"),"")</f>
        <v/>
      </c>
    </row>
    <row r="4040">
      <c r="A4040" s="89"/>
      <c r="B4040" s="87"/>
      <c r="C4040" s="73"/>
      <c r="D4040" s="73"/>
      <c r="E4040" s="82"/>
      <c r="F4040" s="82"/>
      <c r="G4040" s="86"/>
      <c r="H4040" s="86"/>
      <c r="I4040" s="86"/>
      <c r="J4040" s="82"/>
      <c r="K4040" s="82"/>
      <c r="L4040" s="82"/>
      <c r="M4040" s="82"/>
      <c r="N4040" s="82"/>
      <c r="O4040" s="82"/>
      <c r="P4040" s="82"/>
      <c r="Q4040" s="82"/>
      <c r="R4040" s="82"/>
      <c r="S4040" s="82"/>
      <c r="T4040" s="82"/>
      <c r="U4040" s="82"/>
      <c r="V4040" s="82"/>
      <c r="W4040" s="82"/>
      <c r="X4040" s="82"/>
      <c r="Y4040" s="82"/>
      <c r="Z4040" s="82"/>
      <c r="AA4040" s="82"/>
      <c r="AB4040" s="82"/>
      <c r="AC4040" s="82"/>
      <c r="AD4040" s="82"/>
      <c r="AE4040" s="82"/>
      <c r="AF4040" s="82"/>
      <c r="AG4040" s="82"/>
      <c r="AH4040" s="82"/>
      <c r="AI4040" s="82"/>
      <c r="AJ4040" s="82"/>
      <c r="AK4040" s="82"/>
      <c r="AL4040" s="82"/>
      <c r="AM4040" s="82"/>
      <c r="AN4040" s="82">
        <f>IFERROR(__xludf.DUMMYFUNCTION("""COMPUTED_VALUE"""),0.0)</f>
        <v>0</v>
      </c>
      <c r="AO4040" s="82">
        <f>IFERROR(__xludf.DUMMYFUNCTION("""COMPUTED_VALUE"""),0.0)</f>
        <v>0</v>
      </c>
      <c r="AP4040" s="82">
        <f>IFERROR(__xludf.DUMMYFUNCTION("""COMPUTED_VALUE"""),0.0)</f>
        <v>0</v>
      </c>
      <c r="AQ4040" s="82">
        <f>IFERROR(__xludf.DUMMYFUNCTION("""COMPUTED_VALUE"""),0.0)</f>
        <v>0</v>
      </c>
      <c r="AR4040" s="82">
        <f>IFERROR(__xludf.DUMMYFUNCTION("""COMPUTED_VALUE"""),0.0)</f>
        <v>0</v>
      </c>
      <c r="AS4040" s="82"/>
      <c r="AT4040" s="82">
        <f>IFERROR(__xludf.DUMMYFUNCTION("""COMPUTED_VALUE"""),0.0)</f>
        <v>0</v>
      </c>
      <c r="AU4040" s="82"/>
      <c r="AV4040" s="82"/>
      <c r="AW4040" s="82" t="str">
        <f t="shared" si="1"/>
        <v/>
      </c>
      <c r="AX4040" s="83" t="str">
        <f t="array" ref="AX4040">IFERROR(DGET('SBV Import'!A:G,"SBV",{"RSC ID","Tier";B4040,A4040}))</f>
        <v/>
      </c>
      <c r="AY4040" s="82" t="str">
        <f t="shared" si="2"/>
        <v/>
      </c>
      <c r="AZ4040" s="82"/>
      <c r="BA4040" s="84" t="s">
        <v>152</v>
      </c>
      <c r="BB4040" s="84" t="str">
        <f>IFERROR(__xludf.DUMMYFUNCTION("iferror(if(A4040="""",,E4040&gt;=FILTER(Constants!$F$2:$F$10,Constants!$A$2:$A$10=A4040)))"),"")</f>
        <v/>
      </c>
    </row>
    <row r="4041">
      <c r="A4041" s="89"/>
      <c r="B4041" s="87"/>
      <c r="C4041" s="73"/>
      <c r="D4041" s="73"/>
      <c r="E4041" s="82"/>
      <c r="F4041" s="82"/>
      <c r="G4041" s="86"/>
      <c r="H4041" s="86"/>
      <c r="I4041" s="86"/>
      <c r="J4041" s="82"/>
      <c r="K4041" s="82"/>
      <c r="L4041" s="82"/>
      <c r="M4041" s="82"/>
      <c r="N4041" s="82"/>
      <c r="O4041" s="82"/>
      <c r="P4041" s="82"/>
      <c r="Q4041" s="82"/>
      <c r="R4041" s="82"/>
      <c r="S4041" s="82"/>
      <c r="T4041" s="82"/>
      <c r="U4041" s="82"/>
      <c r="V4041" s="82"/>
      <c r="W4041" s="82"/>
      <c r="X4041" s="82"/>
      <c r="Y4041" s="82"/>
      <c r="Z4041" s="82"/>
      <c r="AA4041" s="82"/>
      <c r="AB4041" s="82"/>
      <c r="AC4041" s="82"/>
      <c r="AD4041" s="82"/>
      <c r="AE4041" s="82"/>
      <c r="AF4041" s="82"/>
      <c r="AG4041" s="82"/>
      <c r="AH4041" s="82"/>
      <c r="AI4041" s="82"/>
      <c r="AJ4041" s="82"/>
      <c r="AK4041" s="82"/>
      <c r="AL4041" s="82"/>
      <c r="AM4041" s="82"/>
      <c r="AN4041" s="82">
        <f>IFERROR(__xludf.DUMMYFUNCTION("""COMPUTED_VALUE"""),0.0)</f>
        <v>0</v>
      </c>
      <c r="AO4041" s="82">
        <f>IFERROR(__xludf.DUMMYFUNCTION("""COMPUTED_VALUE"""),0.0)</f>
        <v>0</v>
      </c>
      <c r="AP4041" s="82">
        <f>IFERROR(__xludf.DUMMYFUNCTION("""COMPUTED_VALUE"""),0.0)</f>
        <v>0</v>
      </c>
      <c r="AQ4041" s="82">
        <f>IFERROR(__xludf.DUMMYFUNCTION("""COMPUTED_VALUE"""),0.0)</f>
        <v>0</v>
      </c>
      <c r="AR4041" s="82">
        <f>IFERROR(__xludf.DUMMYFUNCTION("""COMPUTED_VALUE"""),0.0)</f>
        <v>0</v>
      </c>
      <c r="AS4041" s="82"/>
      <c r="AT4041" s="82">
        <f>IFERROR(__xludf.DUMMYFUNCTION("""COMPUTED_VALUE"""),0.0)</f>
        <v>0</v>
      </c>
      <c r="AU4041" s="82"/>
      <c r="AV4041" s="82"/>
      <c r="AW4041" s="82" t="str">
        <f t="shared" si="1"/>
        <v/>
      </c>
      <c r="AX4041" s="83" t="str">
        <f t="array" ref="AX4041">IFERROR(DGET('SBV Import'!A:G,"SBV",{"RSC ID","Tier";B4041,A4041}))</f>
        <v/>
      </c>
      <c r="AY4041" s="82" t="str">
        <f t="shared" si="2"/>
        <v/>
      </c>
      <c r="AZ4041" s="82"/>
      <c r="BA4041" s="84" t="s">
        <v>152</v>
      </c>
      <c r="BB4041" s="84" t="str">
        <f>IFERROR(__xludf.DUMMYFUNCTION("iferror(if(A4041="""",,E4041&gt;=FILTER(Constants!$F$2:$F$10,Constants!$A$2:$A$10=A4041)))"),"")</f>
        <v/>
      </c>
    </row>
    <row r="4042">
      <c r="A4042" s="89"/>
      <c r="B4042" s="87"/>
      <c r="C4042" s="73"/>
      <c r="D4042" s="73"/>
      <c r="E4042" s="82"/>
      <c r="F4042" s="82"/>
      <c r="G4042" s="86"/>
      <c r="H4042" s="86"/>
      <c r="I4042" s="86"/>
      <c r="J4042" s="82"/>
      <c r="K4042" s="82"/>
      <c r="L4042" s="82"/>
      <c r="M4042" s="82"/>
      <c r="N4042" s="82"/>
      <c r="O4042" s="82"/>
      <c r="P4042" s="82"/>
      <c r="Q4042" s="82"/>
      <c r="R4042" s="82"/>
      <c r="S4042" s="82"/>
      <c r="T4042" s="82"/>
      <c r="U4042" s="82"/>
      <c r="V4042" s="82"/>
      <c r="W4042" s="82"/>
      <c r="X4042" s="82"/>
      <c r="Y4042" s="82"/>
      <c r="Z4042" s="82"/>
      <c r="AA4042" s="82"/>
      <c r="AB4042" s="82"/>
      <c r="AC4042" s="82"/>
      <c r="AD4042" s="82"/>
      <c r="AE4042" s="82"/>
      <c r="AF4042" s="82"/>
      <c r="AG4042" s="82"/>
      <c r="AH4042" s="82"/>
      <c r="AI4042" s="82"/>
      <c r="AJ4042" s="82"/>
      <c r="AK4042" s="82"/>
      <c r="AL4042" s="82"/>
      <c r="AM4042" s="82"/>
      <c r="AN4042" s="82">
        <f>IFERROR(__xludf.DUMMYFUNCTION("""COMPUTED_VALUE"""),0.0)</f>
        <v>0</v>
      </c>
      <c r="AO4042" s="82">
        <f>IFERROR(__xludf.DUMMYFUNCTION("""COMPUTED_VALUE"""),0.0)</f>
        <v>0</v>
      </c>
      <c r="AP4042" s="82">
        <f>IFERROR(__xludf.DUMMYFUNCTION("""COMPUTED_VALUE"""),0.0)</f>
        <v>0</v>
      </c>
      <c r="AQ4042" s="82">
        <f>IFERROR(__xludf.DUMMYFUNCTION("""COMPUTED_VALUE"""),0.0)</f>
        <v>0</v>
      </c>
      <c r="AR4042" s="82">
        <f>IFERROR(__xludf.DUMMYFUNCTION("""COMPUTED_VALUE"""),0.0)</f>
        <v>0</v>
      </c>
      <c r="AS4042" s="82"/>
      <c r="AT4042" s="82">
        <f>IFERROR(__xludf.DUMMYFUNCTION("""COMPUTED_VALUE"""),0.0)</f>
        <v>0</v>
      </c>
      <c r="AU4042" s="82"/>
      <c r="AV4042" s="82"/>
      <c r="AW4042" s="82" t="str">
        <f t="shared" si="1"/>
        <v/>
      </c>
      <c r="AX4042" s="83" t="str">
        <f t="array" ref="AX4042">IFERROR(DGET('SBV Import'!A:G,"SBV",{"RSC ID","Tier";B4042,A4042}))</f>
        <v/>
      </c>
      <c r="AY4042" s="82" t="str">
        <f t="shared" si="2"/>
        <v/>
      </c>
      <c r="AZ4042" s="82"/>
      <c r="BA4042" s="84" t="s">
        <v>152</v>
      </c>
      <c r="BB4042" s="84" t="str">
        <f>IFERROR(__xludf.DUMMYFUNCTION("iferror(if(A4042="""",,E4042&gt;=FILTER(Constants!$F$2:$F$10,Constants!$A$2:$A$10=A4042)))"),"")</f>
        <v/>
      </c>
    </row>
    <row r="4043">
      <c r="A4043" s="89"/>
      <c r="B4043" s="87"/>
      <c r="C4043" s="73"/>
      <c r="D4043" s="73"/>
      <c r="E4043" s="82"/>
      <c r="F4043" s="82"/>
      <c r="G4043" s="86"/>
      <c r="H4043" s="86"/>
      <c r="I4043" s="86"/>
      <c r="J4043" s="82"/>
      <c r="K4043" s="82"/>
      <c r="L4043" s="82"/>
      <c r="M4043" s="82"/>
      <c r="N4043" s="82"/>
      <c r="O4043" s="82"/>
      <c r="P4043" s="82"/>
      <c r="Q4043" s="82"/>
      <c r="R4043" s="82"/>
      <c r="S4043" s="82"/>
      <c r="T4043" s="82"/>
      <c r="U4043" s="82"/>
      <c r="V4043" s="82"/>
      <c r="W4043" s="82"/>
      <c r="X4043" s="82"/>
      <c r="Y4043" s="82"/>
      <c r="Z4043" s="82"/>
      <c r="AA4043" s="82"/>
      <c r="AB4043" s="82"/>
      <c r="AC4043" s="82"/>
      <c r="AD4043" s="82"/>
      <c r="AE4043" s="82"/>
      <c r="AF4043" s="82"/>
      <c r="AG4043" s="82"/>
      <c r="AH4043" s="82"/>
      <c r="AI4043" s="82"/>
      <c r="AJ4043" s="82"/>
      <c r="AK4043" s="82"/>
      <c r="AL4043" s="82"/>
      <c r="AM4043" s="82"/>
      <c r="AN4043" s="82">
        <f>IFERROR(__xludf.DUMMYFUNCTION("""COMPUTED_VALUE"""),0.0)</f>
        <v>0</v>
      </c>
      <c r="AO4043" s="82">
        <f>IFERROR(__xludf.DUMMYFUNCTION("""COMPUTED_VALUE"""),0.0)</f>
        <v>0</v>
      </c>
      <c r="AP4043" s="82">
        <f>IFERROR(__xludf.DUMMYFUNCTION("""COMPUTED_VALUE"""),0.0)</f>
        <v>0</v>
      </c>
      <c r="AQ4043" s="82">
        <f>IFERROR(__xludf.DUMMYFUNCTION("""COMPUTED_VALUE"""),0.0)</f>
        <v>0</v>
      </c>
      <c r="AR4043" s="82">
        <f>IFERROR(__xludf.DUMMYFUNCTION("""COMPUTED_VALUE"""),0.0)</f>
        <v>0</v>
      </c>
      <c r="AS4043" s="82"/>
      <c r="AT4043" s="82">
        <f>IFERROR(__xludf.DUMMYFUNCTION("""COMPUTED_VALUE"""),0.0)</f>
        <v>0</v>
      </c>
      <c r="AU4043" s="82"/>
      <c r="AV4043" s="82"/>
      <c r="AW4043" s="82" t="str">
        <f t="shared" si="1"/>
        <v/>
      </c>
      <c r="AX4043" s="83" t="str">
        <f t="array" ref="AX4043">IFERROR(DGET('SBV Import'!A:G,"SBV",{"RSC ID","Tier";B4043,A4043}))</f>
        <v/>
      </c>
      <c r="AY4043" s="82" t="str">
        <f t="shared" si="2"/>
        <v/>
      </c>
      <c r="AZ4043" s="82"/>
      <c r="BA4043" s="84" t="s">
        <v>152</v>
      </c>
      <c r="BB4043" s="84" t="str">
        <f>IFERROR(__xludf.DUMMYFUNCTION("iferror(if(A4043="""",,E4043&gt;=FILTER(Constants!$F$2:$F$10,Constants!$A$2:$A$10=A4043)))"),"")</f>
        <v/>
      </c>
    </row>
    <row r="4044">
      <c r="A4044" s="89"/>
      <c r="B4044" s="87"/>
      <c r="C4044" s="73"/>
      <c r="D4044" s="73"/>
      <c r="E4044" s="82"/>
      <c r="F4044" s="82"/>
      <c r="G4044" s="86"/>
      <c r="H4044" s="86"/>
      <c r="I4044" s="86"/>
      <c r="J4044" s="82"/>
      <c r="K4044" s="82"/>
      <c r="L4044" s="82"/>
      <c r="M4044" s="82"/>
      <c r="N4044" s="82"/>
      <c r="O4044" s="82"/>
      <c r="P4044" s="82"/>
      <c r="Q4044" s="82"/>
      <c r="R4044" s="82"/>
      <c r="S4044" s="82"/>
      <c r="T4044" s="82"/>
      <c r="U4044" s="82"/>
      <c r="V4044" s="82"/>
      <c r="W4044" s="82"/>
      <c r="X4044" s="82"/>
      <c r="Y4044" s="82"/>
      <c r="Z4044" s="82"/>
      <c r="AA4044" s="82"/>
      <c r="AB4044" s="82"/>
      <c r="AC4044" s="82"/>
      <c r="AD4044" s="82"/>
      <c r="AE4044" s="82"/>
      <c r="AF4044" s="82"/>
      <c r="AG4044" s="82"/>
      <c r="AH4044" s="82"/>
      <c r="AI4044" s="82"/>
      <c r="AJ4044" s="82"/>
      <c r="AK4044" s="82"/>
      <c r="AL4044" s="82"/>
      <c r="AM4044" s="82"/>
      <c r="AN4044" s="82">
        <f>IFERROR(__xludf.DUMMYFUNCTION("""COMPUTED_VALUE"""),0.0)</f>
        <v>0</v>
      </c>
      <c r="AO4044" s="82">
        <f>IFERROR(__xludf.DUMMYFUNCTION("""COMPUTED_VALUE"""),0.0)</f>
        <v>0</v>
      </c>
      <c r="AP4044" s="82">
        <f>IFERROR(__xludf.DUMMYFUNCTION("""COMPUTED_VALUE"""),0.0)</f>
        <v>0</v>
      </c>
      <c r="AQ4044" s="82">
        <f>IFERROR(__xludf.DUMMYFUNCTION("""COMPUTED_VALUE"""),0.0)</f>
        <v>0</v>
      </c>
      <c r="AR4044" s="82">
        <f>IFERROR(__xludf.DUMMYFUNCTION("""COMPUTED_VALUE"""),0.0)</f>
        <v>0</v>
      </c>
      <c r="AS4044" s="82"/>
      <c r="AT4044" s="82">
        <f>IFERROR(__xludf.DUMMYFUNCTION("""COMPUTED_VALUE"""),0.0)</f>
        <v>0</v>
      </c>
      <c r="AU4044" s="82"/>
      <c r="AV4044" s="82"/>
      <c r="AW4044" s="82" t="str">
        <f t="shared" si="1"/>
        <v/>
      </c>
      <c r="AX4044" s="83" t="str">
        <f t="array" ref="AX4044">IFERROR(DGET('SBV Import'!A:G,"SBV",{"RSC ID","Tier";B4044,A4044}))</f>
        <v/>
      </c>
      <c r="AY4044" s="82" t="str">
        <f t="shared" si="2"/>
        <v/>
      </c>
      <c r="AZ4044" s="82"/>
      <c r="BA4044" s="84" t="s">
        <v>152</v>
      </c>
      <c r="BB4044" s="84" t="str">
        <f>IFERROR(__xludf.DUMMYFUNCTION("iferror(if(A4044="""",,E4044&gt;=FILTER(Constants!$F$2:$F$10,Constants!$A$2:$A$10=A4044)))"),"")</f>
        <v/>
      </c>
    </row>
    <row r="4045">
      <c r="A4045" s="89"/>
      <c r="B4045" s="87"/>
      <c r="C4045" s="73"/>
      <c r="D4045" s="73"/>
      <c r="E4045" s="82"/>
      <c r="F4045" s="82"/>
      <c r="G4045" s="86"/>
      <c r="H4045" s="86"/>
      <c r="I4045" s="86"/>
      <c r="J4045" s="82"/>
      <c r="K4045" s="82"/>
      <c r="L4045" s="82"/>
      <c r="M4045" s="82"/>
      <c r="N4045" s="82"/>
      <c r="O4045" s="82"/>
      <c r="P4045" s="82"/>
      <c r="Q4045" s="82"/>
      <c r="R4045" s="82"/>
      <c r="S4045" s="82"/>
      <c r="T4045" s="82"/>
      <c r="U4045" s="82"/>
      <c r="V4045" s="82"/>
      <c r="W4045" s="82"/>
      <c r="X4045" s="82"/>
      <c r="Y4045" s="82"/>
      <c r="Z4045" s="82"/>
      <c r="AA4045" s="82"/>
      <c r="AB4045" s="82"/>
      <c r="AC4045" s="82"/>
      <c r="AD4045" s="82"/>
      <c r="AE4045" s="82"/>
      <c r="AF4045" s="82"/>
      <c r="AG4045" s="82"/>
      <c r="AH4045" s="82"/>
      <c r="AI4045" s="82"/>
      <c r="AJ4045" s="82"/>
      <c r="AK4045" s="82"/>
      <c r="AL4045" s="82"/>
      <c r="AM4045" s="82"/>
      <c r="AN4045" s="82">
        <f>IFERROR(__xludf.DUMMYFUNCTION("""COMPUTED_VALUE"""),0.0)</f>
        <v>0</v>
      </c>
      <c r="AO4045" s="82">
        <f>IFERROR(__xludf.DUMMYFUNCTION("""COMPUTED_VALUE"""),0.0)</f>
        <v>0</v>
      </c>
      <c r="AP4045" s="82">
        <f>IFERROR(__xludf.DUMMYFUNCTION("""COMPUTED_VALUE"""),0.0)</f>
        <v>0</v>
      </c>
      <c r="AQ4045" s="82">
        <f>IFERROR(__xludf.DUMMYFUNCTION("""COMPUTED_VALUE"""),0.0)</f>
        <v>0</v>
      </c>
      <c r="AR4045" s="82">
        <f>IFERROR(__xludf.DUMMYFUNCTION("""COMPUTED_VALUE"""),0.0)</f>
        <v>0</v>
      </c>
      <c r="AS4045" s="82"/>
      <c r="AT4045" s="82">
        <f>IFERROR(__xludf.DUMMYFUNCTION("""COMPUTED_VALUE"""),0.0)</f>
        <v>0</v>
      </c>
      <c r="AU4045" s="82"/>
      <c r="AV4045" s="82"/>
      <c r="AW4045" s="82" t="str">
        <f t="shared" si="1"/>
        <v/>
      </c>
      <c r="AX4045" s="83" t="str">
        <f t="array" ref="AX4045">IFERROR(DGET('SBV Import'!A:G,"SBV",{"RSC ID","Tier";B4045,A4045}))</f>
        <v/>
      </c>
      <c r="AY4045" s="82" t="str">
        <f t="shared" si="2"/>
        <v/>
      </c>
      <c r="AZ4045" s="82"/>
      <c r="BA4045" s="84" t="s">
        <v>152</v>
      </c>
      <c r="BB4045" s="84" t="str">
        <f>IFERROR(__xludf.DUMMYFUNCTION("iferror(if(A4045="""",,E4045&gt;=FILTER(Constants!$F$2:$F$10,Constants!$A$2:$A$10=A4045)))"),"")</f>
        <v/>
      </c>
    </row>
    <row r="4046">
      <c r="A4046" s="89"/>
      <c r="B4046" s="87"/>
      <c r="C4046" s="73"/>
      <c r="D4046" s="73"/>
      <c r="E4046" s="82"/>
      <c r="F4046" s="82"/>
      <c r="G4046" s="86"/>
      <c r="H4046" s="86"/>
      <c r="I4046" s="86"/>
      <c r="J4046" s="82"/>
      <c r="K4046" s="82"/>
      <c r="L4046" s="82"/>
      <c r="M4046" s="82"/>
      <c r="N4046" s="82"/>
      <c r="O4046" s="82"/>
      <c r="P4046" s="82"/>
      <c r="Q4046" s="82"/>
      <c r="R4046" s="82"/>
      <c r="S4046" s="82"/>
      <c r="T4046" s="82"/>
      <c r="U4046" s="82"/>
      <c r="V4046" s="82"/>
      <c r="W4046" s="82"/>
      <c r="X4046" s="82"/>
      <c r="Y4046" s="82"/>
      <c r="Z4046" s="82"/>
      <c r="AA4046" s="82"/>
      <c r="AB4046" s="82"/>
      <c r="AC4046" s="82"/>
      <c r="AD4046" s="82"/>
      <c r="AE4046" s="82"/>
      <c r="AF4046" s="82"/>
      <c r="AG4046" s="82"/>
      <c r="AH4046" s="82"/>
      <c r="AI4046" s="82"/>
      <c r="AJ4046" s="82"/>
      <c r="AK4046" s="82"/>
      <c r="AL4046" s="82"/>
      <c r="AM4046" s="82"/>
      <c r="AN4046" s="82">
        <f>IFERROR(__xludf.DUMMYFUNCTION("""COMPUTED_VALUE"""),0.0)</f>
        <v>0</v>
      </c>
      <c r="AO4046" s="82">
        <f>IFERROR(__xludf.DUMMYFUNCTION("""COMPUTED_VALUE"""),0.0)</f>
        <v>0</v>
      </c>
      <c r="AP4046" s="82">
        <f>IFERROR(__xludf.DUMMYFUNCTION("""COMPUTED_VALUE"""),0.0)</f>
        <v>0</v>
      </c>
      <c r="AQ4046" s="82">
        <f>IFERROR(__xludf.DUMMYFUNCTION("""COMPUTED_VALUE"""),0.0)</f>
        <v>0</v>
      </c>
      <c r="AR4046" s="82">
        <f>IFERROR(__xludf.DUMMYFUNCTION("""COMPUTED_VALUE"""),0.0)</f>
        <v>0</v>
      </c>
      <c r="AS4046" s="82"/>
      <c r="AT4046" s="82">
        <f>IFERROR(__xludf.DUMMYFUNCTION("""COMPUTED_VALUE"""),0.0)</f>
        <v>0</v>
      </c>
      <c r="AU4046" s="82"/>
      <c r="AV4046" s="82"/>
      <c r="AW4046" s="82" t="str">
        <f t="shared" si="1"/>
        <v/>
      </c>
      <c r="AX4046" s="83" t="str">
        <f t="array" ref="AX4046">IFERROR(DGET('SBV Import'!A:G,"SBV",{"RSC ID","Tier";B4046,A4046}))</f>
        <v/>
      </c>
      <c r="AY4046" s="82" t="str">
        <f t="shared" si="2"/>
        <v/>
      </c>
      <c r="AZ4046" s="82"/>
      <c r="BA4046" s="84" t="s">
        <v>152</v>
      </c>
      <c r="BB4046" s="84" t="str">
        <f>IFERROR(__xludf.DUMMYFUNCTION("iferror(if(A4046="""",,E4046&gt;=FILTER(Constants!$F$2:$F$10,Constants!$A$2:$A$10=A4046)))"),"")</f>
        <v/>
      </c>
    </row>
    <row r="4047">
      <c r="A4047" s="89"/>
      <c r="B4047" s="87"/>
      <c r="C4047" s="73"/>
      <c r="D4047" s="73"/>
      <c r="E4047" s="82"/>
      <c r="F4047" s="82"/>
      <c r="G4047" s="86"/>
      <c r="H4047" s="86"/>
      <c r="I4047" s="86"/>
      <c r="J4047" s="82"/>
      <c r="K4047" s="82"/>
      <c r="L4047" s="82"/>
      <c r="M4047" s="82"/>
      <c r="N4047" s="82"/>
      <c r="O4047" s="82"/>
      <c r="P4047" s="82"/>
      <c r="Q4047" s="82"/>
      <c r="R4047" s="82"/>
      <c r="S4047" s="82"/>
      <c r="T4047" s="82"/>
      <c r="U4047" s="82"/>
      <c r="V4047" s="82"/>
      <c r="W4047" s="82"/>
      <c r="X4047" s="82"/>
      <c r="Y4047" s="82"/>
      <c r="Z4047" s="82"/>
      <c r="AA4047" s="82"/>
      <c r="AB4047" s="82"/>
      <c r="AC4047" s="82"/>
      <c r="AD4047" s="82"/>
      <c r="AE4047" s="82"/>
      <c r="AF4047" s="82"/>
      <c r="AG4047" s="82"/>
      <c r="AH4047" s="82"/>
      <c r="AI4047" s="82"/>
      <c r="AJ4047" s="82"/>
      <c r="AK4047" s="82"/>
      <c r="AL4047" s="82"/>
      <c r="AM4047" s="82"/>
      <c r="AN4047" s="82">
        <f>IFERROR(__xludf.DUMMYFUNCTION("""COMPUTED_VALUE"""),0.0)</f>
        <v>0</v>
      </c>
      <c r="AO4047" s="82">
        <f>IFERROR(__xludf.DUMMYFUNCTION("""COMPUTED_VALUE"""),0.0)</f>
        <v>0</v>
      </c>
      <c r="AP4047" s="82">
        <f>IFERROR(__xludf.DUMMYFUNCTION("""COMPUTED_VALUE"""),0.0)</f>
        <v>0</v>
      </c>
      <c r="AQ4047" s="82">
        <f>IFERROR(__xludf.DUMMYFUNCTION("""COMPUTED_VALUE"""),0.0)</f>
        <v>0</v>
      </c>
      <c r="AR4047" s="82">
        <f>IFERROR(__xludf.DUMMYFUNCTION("""COMPUTED_VALUE"""),0.0)</f>
        <v>0</v>
      </c>
      <c r="AS4047" s="82"/>
      <c r="AT4047" s="82">
        <f>IFERROR(__xludf.DUMMYFUNCTION("""COMPUTED_VALUE"""),0.0)</f>
        <v>0</v>
      </c>
      <c r="AU4047" s="82"/>
      <c r="AV4047" s="82"/>
      <c r="AW4047" s="82" t="str">
        <f t="shared" si="1"/>
        <v/>
      </c>
      <c r="AX4047" s="83" t="str">
        <f t="array" ref="AX4047">IFERROR(DGET('SBV Import'!A:G,"SBV",{"RSC ID","Tier";B4047,A4047}))</f>
        <v/>
      </c>
      <c r="AY4047" s="82" t="str">
        <f t="shared" si="2"/>
        <v/>
      </c>
      <c r="AZ4047" s="82"/>
      <c r="BA4047" s="84" t="s">
        <v>152</v>
      </c>
      <c r="BB4047" s="84" t="str">
        <f>IFERROR(__xludf.DUMMYFUNCTION("iferror(if(A4047="""",,E4047&gt;=FILTER(Constants!$F$2:$F$10,Constants!$A$2:$A$10=A4047)))"),"")</f>
        <v/>
      </c>
    </row>
    <row r="4048">
      <c r="A4048" s="89"/>
      <c r="B4048" s="87"/>
      <c r="C4048" s="73"/>
      <c r="D4048" s="73"/>
      <c r="E4048" s="82"/>
      <c r="F4048" s="82"/>
      <c r="G4048" s="86"/>
      <c r="H4048" s="86"/>
      <c r="I4048" s="86"/>
      <c r="J4048" s="82"/>
      <c r="K4048" s="82"/>
      <c r="L4048" s="82"/>
      <c r="M4048" s="82"/>
      <c r="N4048" s="82"/>
      <c r="O4048" s="82"/>
      <c r="P4048" s="82"/>
      <c r="Q4048" s="82"/>
      <c r="R4048" s="82"/>
      <c r="S4048" s="82"/>
      <c r="T4048" s="82"/>
      <c r="U4048" s="82"/>
      <c r="V4048" s="82"/>
      <c r="W4048" s="82"/>
      <c r="X4048" s="82"/>
      <c r="Y4048" s="82"/>
      <c r="Z4048" s="82"/>
      <c r="AA4048" s="82"/>
      <c r="AB4048" s="82"/>
      <c r="AC4048" s="82"/>
      <c r="AD4048" s="82"/>
      <c r="AE4048" s="82"/>
      <c r="AF4048" s="82"/>
      <c r="AG4048" s="82"/>
      <c r="AH4048" s="82"/>
      <c r="AI4048" s="82"/>
      <c r="AJ4048" s="82"/>
      <c r="AK4048" s="82"/>
      <c r="AL4048" s="82"/>
      <c r="AM4048" s="82"/>
      <c r="AN4048" s="82">
        <f>IFERROR(__xludf.DUMMYFUNCTION("""COMPUTED_VALUE"""),0.0)</f>
        <v>0</v>
      </c>
      <c r="AO4048" s="82">
        <f>IFERROR(__xludf.DUMMYFUNCTION("""COMPUTED_VALUE"""),0.0)</f>
        <v>0</v>
      </c>
      <c r="AP4048" s="82">
        <f>IFERROR(__xludf.DUMMYFUNCTION("""COMPUTED_VALUE"""),0.0)</f>
        <v>0</v>
      </c>
      <c r="AQ4048" s="82">
        <f>IFERROR(__xludf.DUMMYFUNCTION("""COMPUTED_VALUE"""),0.0)</f>
        <v>0</v>
      </c>
      <c r="AR4048" s="82">
        <f>IFERROR(__xludf.DUMMYFUNCTION("""COMPUTED_VALUE"""),0.0)</f>
        <v>0</v>
      </c>
      <c r="AS4048" s="82"/>
      <c r="AT4048" s="82">
        <f>IFERROR(__xludf.DUMMYFUNCTION("""COMPUTED_VALUE"""),0.0)</f>
        <v>0</v>
      </c>
      <c r="AU4048" s="82"/>
      <c r="AV4048" s="82"/>
      <c r="AW4048" s="82" t="str">
        <f t="shared" si="1"/>
        <v/>
      </c>
      <c r="AX4048" s="83" t="str">
        <f t="array" ref="AX4048">IFERROR(DGET('SBV Import'!A:G,"SBV",{"RSC ID","Tier";B4048,A4048}))</f>
        <v/>
      </c>
      <c r="AY4048" s="82" t="str">
        <f t="shared" si="2"/>
        <v/>
      </c>
      <c r="AZ4048" s="82"/>
      <c r="BA4048" s="84" t="s">
        <v>152</v>
      </c>
      <c r="BB4048" s="84" t="str">
        <f>IFERROR(__xludf.DUMMYFUNCTION("iferror(if(A4048="""",,E4048&gt;=FILTER(Constants!$F$2:$F$10,Constants!$A$2:$A$10=A4048)))"),"")</f>
        <v/>
      </c>
    </row>
    <row r="4049">
      <c r="A4049" s="89"/>
      <c r="B4049" s="87"/>
      <c r="C4049" s="73"/>
      <c r="D4049" s="73"/>
      <c r="E4049" s="82"/>
      <c r="F4049" s="82"/>
      <c r="G4049" s="86"/>
      <c r="H4049" s="86"/>
      <c r="I4049" s="86"/>
      <c r="J4049" s="82"/>
      <c r="K4049" s="82"/>
      <c r="L4049" s="82"/>
      <c r="M4049" s="82"/>
      <c r="N4049" s="82"/>
      <c r="O4049" s="82"/>
      <c r="P4049" s="82"/>
      <c r="Q4049" s="82"/>
      <c r="R4049" s="82"/>
      <c r="S4049" s="82"/>
      <c r="T4049" s="82"/>
      <c r="U4049" s="82"/>
      <c r="V4049" s="82"/>
      <c r="W4049" s="82"/>
      <c r="X4049" s="82"/>
      <c r="Y4049" s="82"/>
      <c r="Z4049" s="82"/>
      <c r="AA4049" s="82"/>
      <c r="AB4049" s="82"/>
      <c r="AC4049" s="82"/>
      <c r="AD4049" s="82"/>
      <c r="AE4049" s="82"/>
      <c r="AF4049" s="82"/>
      <c r="AG4049" s="82"/>
      <c r="AH4049" s="82"/>
      <c r="AI4049" s="82"/>
      <c r="AJ4049" s="82"/>
      <c r="AK4049" s="82"/>
      <c r="AL4049" s="82"/>
      <c r="AM4049" s="82"/>
      <c r="AN4049" s="82">
        <f>IFERROR(__xludf.DUMMYFUNCTION("""COMPUTED_VALUE"""),0.0)</f>
        <v>0</v>
      </c>
      <c r="AO4049" s="82">
        <f>IFERROR(__xludf.DUMMYFUNCTION("""COMPUTED_VALUE"""),0.0)</f>
        <v>0</v>
      </c>
      <c r="AP4049" s="82">
        <f>IFERROR(__xludf.DUMMYFUNCTION("""COMPUTED_VALUE"""),0.0)</f>
        <v>0</v>
      </c>
      <c r="AQ4049" s="82">
        <f>IFERROR(__xludf.DUMMYFUNCTION("""COMPUTED_VALUE"""),0.0)</f>
        <v>0</v>
      </c>
      <c r="AR4049" s="82">
        <f>IFERROR(__xludf.DUMMYFUNCTION("""COMPUTED_VALUE"""),0.0)</f>
        <v>0</v>
      </c>
      <c r="AS4049" s="82"/>
      <c r="AT4049" s="82">
        <f>IFERROR(__xludf.DUMMYFUNCTION("""COMPUTED_VALUE"""),0.0)</f>
        <v>0</v>
      </c>
      <c r="AU4049" s="82"/>
      <c r="AV4049" s="82"/>
      <c r="AW4049" s="82" t="str">
        <f t="shared" si="1"/>
        <v/>
      </c>
      <c r="AX4049" s="83" t="str">
        <f t="array" ref="AX4049">IFERROR(DGET('SBV Import'!A:G,"SBV",{"RSC ID","Tier";B4049,A4049}))</f>
        <v/>
      </c>
      <c r="AY4049" s="82" t="str">
        <f t="shared" si="2"/>
        <v/>
      </c>
      <c r="AZ4049" s="82"/>
      <c r="BA4049" s="84" t="s">
        <v>152</v>
      </c>
      <c r="BB4049" s="84" t="str">
        <f>IFERROR(__xludf.DUMMYFUNCTION("iferror(if(A4049="""",,E4049&gt;=FILTER(Constants!$F$2:$F$10,Constants!$A$2:$A$10=A4049)))"),"")</f>
        <v/>
      </c>
    </row>
    <row r="4050">
      <c r="A4050" s="89"/>
      <c r="B4050" s="87"/>
      <c r="C4050" s="73"/>
      <c r="D4050" s="73"/>
      <c r="E4050" s="82"/>
      <c r="F4050" s="82"/>
      <c r="G4050" s="86"/>
      <c r="H4050" s="86"/>
      <c r="I4050" s="86"/>
      <c r="J4050" s="82"/>
      <c r="K4050" s="82"/>
      <c r="L4050" s="82"/>
      <c r="M4050" s="82"/>
      <c r="N4050" s="82"/>
      <c r="O4050" s="82"/>
      <c r="P4050" s="82"/>
      <c r="Q4050" s="82"/>
      <c r="R4050" s="82"/>
      <c r="S4050" s="82"/>
      <c r="T4050" s="82"/>
      <c r="U4050" s="82"/>
      <c r="V4050" s="82"/>
      <c r="W4050" s="82"/>
      <c r="X4050" s="82"/>
      <c r="Y4050" s="82"/>
      <c r="Z4050" s="82"/>
      <c r="AA4050" s="82"/>
      <c r="AB4050" s="82"/>
      <c r="AC4050" s="82"/>
      <c r="AD4050" s="82"/>
      <c r="AE4050" s="82"/>
      <c r="AF4050" s="82"/>
      <c r="AG4050" s="82"/>
      <c r="AH4050" s="82"/>
      <c r="AI4050" s="82"/>
      <c r="AJ4050" s="82"/>
      <c r="AK4050" s="82"/>
      <c r="AL4050" s="82"/>
      <c r="AM4050" s="82"/>
      <c r="AN4050" s="82">
        <f>IFERROR(__xludf.DUMMYFUNCTION("""COMPUTED_VALUE"""),0.0)</f>
        <v>0</v>
      </c>
      <c r="AO4050" s="82">
        <f>IFERROR(__xludf.DUMMYFUNCTION("""COMPUTED_VALUE"""),0.0)</f>
        <v>0</v>
      </c>
      <c r="AP4050" s="82">
        <f>IFERROR(__xludf.DUMMYFUNCTION("""COMPUTED_VALUE"""),0.0)</f>
        <v>0</v>
      </c>
      <c r="AQ4050" s="82">
        <f>IFERROR(__xludf.DUMMYFUNCTION("""COMPUTED_VALUE"""),0.0)</f>
        <v>0</v>
      </c>
      <c r="AR4050" s="82">
        <f>IFERROR(__xludf.DUMMYFUNCTION("""COMPUTED_VALUE"""),0.0)</f>
        <v>0</v>
      </c>
      <c r="AS4050" s="82"/>
      <c r="AT4050" s="82">
        <f>IFERROR(__xludf.DUMMYFUNCTION("""COMPUTED_VALUE"""),0.0)</f>
        <v>0</v>
      </c>
      <c r="AU4050" s="82"/>
      <c r="AV4050" s="82"/>
      <c r="AW4050" s="82" t="str">
        <f t="shared" si="1"/>
        <v/>
      </c>
      <c r="AX4050" s="83" t="str">
        <f t="array" ref="AX4050">IFERROR(DGET('SBV Import'!A:G,"SBV",{"RSC ID","Tier";B4050,A4050}))</f>
        <v/>
      </c>
      <c r="AY4050" s="82" t="str">
        <f t="shared" si="2"/>
        <v/>
      </c>
      <c r="AZ4050" s="82"/>
      <c r="BA4050" s="84" t="s">
        <v>152</v>
      </c>
      <c r="BB4050" s="84" t="str">
        <f>IFERROR(__xludf.DUMMYFUNCTION("iferror(if(A4050="""",,E4050&gt;=FILTER(Constants!$F$2:$F$10,Constants!$A$2:$A$10=A4050)))"),"")</f>
        <v/>
      </c>
    </row>
    <row r="4051">
      <c r="A4051" s="89"/>
      <c r="B4051" s="87"/>
      <c r="C4051" s="73"/>
      <c r="D4051" s="73"/>
      <c r="E4051" s="82"/>
      <c r="F4051" s="82"/>
      <c r="G4051" s="86"/>
      <c r="H4051" s="86"/>
      <c r="I4051" s="86"/>
      <c r="J4051" s="82"/>
      <c r="K4051" s="82"/>
      <c r="L4051" s="82"/>
      <c r="M4051" s="82"/>
      <c r="N4051" s="82"/>
      <c r="O4051" s="82"/>
      <c r="P4051" s="82"/>
      <c r="Q4051" s="82"/>
      <c r="R4051" s="82"/>
      <c r="S4051" s="82"/>
      <c r="T4051" s="82"/>
      <c r="U4051" s="82"/>
      <c r="V4051" s="82"/>
      <c r="W4051" s="82"/>
      <c r="X4051" s="82"/>
      <c r="Y4051" s="82"/>
      <c r="Z4051" s="82"/>
      <c r="AA4051" s="82"/>
      <c r="AB4051" s="82"/>
      <c r="AC4051" s="82"/>
      <c r="AD4051" s="82"/>
      <c r="AE4051" s="82"/>
      <c r="AF4051" s="82"/>
      <c r="AG4051" s="82"/>
      <c r="AH4051" s="82"/>
      <c r="AI4051" s="82"/>
      <c r="AJ4051" s="82"/>
      <c r="AK4051" s="82"/>
      <c r="AL4051" s="82"/>
      <c r="AM4051" s="82"/>
      <c r="AN4051" s="82">
        <f>IFERROR(__xludf.DUMMYFUNCTION("""COMPUTED_VALUE"""),0.0)</f>
        <v>0</v>
      </c>
      <c r="AO4051" s="82">
        <f>IFERROR(__xludf.DUMMYFUNCTION("""COMPUTED_VALUE"""),0.0)</f>
        <v>0</v>
      </c>
      <c r="AP4051" s="82">
        <f>IFERROR(__xludf.DUMMYFUNCTION("""COMPUTED_VALUE"""),0.0)</f>
        <v>0</v>
      </c>
      <c r="AQ4051" s="82">
        <f>IFERROR(__xludf.DUMMYFUNCTION("""COMPUTED_VALUE"""),0.0)</f>
        <v>0</v>
      </c>
      <c r="AR4051" s="82">
        <f>IFERROR(__xludf.DUMMYFUNCTION("""COMPUTED_VALUE"""),0.0)</f>
        <v>0</v>
      </c>
      <c r="AS4051" s="82"/>
      <c r="AT4051" s="82">
        <f>IFERROR(__xludf.DUMMYFUNCTION("""COMPUTED_VALUE"""),0.0)</f>
        <v>0</v>
      </c>
      <c r="AU4051" s="82"/>
      <c r="AV4051" s="82"/>
      <c r="AW4051" s="82" t="str">
        <f t="shared" si="1"/>
        <v/>
      </c>
      <c r="AX4051" s="83" t="str">
        <f t="array" ref="AX4051">IFERROR(DGET('SBV Import'!A:G,"SBV",{"RSC ID","Tier";B4051,A4051}))</f>
        <v/>
      </c>
      <c r="AY4051" s="82" t="str">
        <f t="shared" si="2"/>
        <v/>
      </c>
      <c r="AZ4051" s="82"/>
      <c r="BA4051" s="84" t="s">
        <v>152</v>
      </c>
      <c r="BB4051" s="84" t="str">
        <f>IFERROR(__xludf.DUMMYFUNCTION("iferror(if(A4051="""",,E4051&gt;=FILTER(Constants!$F$2:$F$10,Constants!$A$2:$A$10=A4051)))"),"")</f>
        <v/>
      </c>
    </row>
    <row r="4052">
      <c r="A4052" s="89"/>
      <c r="B4052" s="87"/>
      <c r="C4052" s="73"/>
      <c r="D4052" s="73"/>
      <c r="E4052" s="82"/>
      <c r="F4052" s="82"/>
      <c r="G4052" s="86"/>
      <c r="H4052" s="86"/>
      <c r="I4052" s="86"/>
      <c r="J4052" s="82"/>
      <c r="K4052" s="82"/>
      <c r="L4052" s="82"/>
      <c r="M4052" s="82"/>
      <c r="N4052" s="82"/>
      <c r="O4052" s="82"/>
      <c r="P4052" s="82"/>
      <c r="Q4052" s="82"/>
      <c r="R4052" s="82"/>
      <c r="S4052" s="82"/>
      <c r="T4052" s="82"/>
      <c r="U4052" s="82"/>
      <c r="V4052" s="82"/>
      <c r="W4052" s="82"/>
      <c r="X4052" s="82"/>
      <c r="Y4052" s="82"/>
      <c r="Z4052" s="82"/>
      <c r="AA4052" s="82"/>
      <c r="AB4052" s="82"/>
      <c r="AC4052" s="82"/>
      <c r="AD4052" s="82"/>
      <c r="AE4052" s="82"/>
      <c r="AF4052" s="82"/>
      <c r="AG4052" s="82"/>
      <c r="AH4052" s="82"/>
      <c r="AI4052" s="82"/>
      <c r="AJ4052" s="82"/>
      <c r="AK4052" s="82"/>
      <c r="AL4052" s="82"/>
      <c r="AM4052" s="82"/>
      <c r="AN4052" s="82">
        <f>IFERROR(__xludf.DUMMYFUNCTION("""COMPUTED_VALUE"""),0.0)</f>
        <v>0</v>
      </c>
      <c r="AO4052" s="82">
        <f>IFERROR(__xludf.DUMMYFUNCTION("""COMPUTED_VALUE"""),0.0)</f>
        <v>0</v>
      </c>
      <c r="AP4052" s="82">
        <f>IFERROR(__xludf.DUMMYFUNCTION("""COMPUTED_VALUE"""),0.0)</f>
        <v>0</v>
      </c>
      <c r="AQ4052" s="82">
        <f>IFERROR(__xludf.DUMMYFUNCTION("""COMPUTED_VALUE"""),0.0)</f>
        <v>0</v>
      </c>
      <c r="AR4052" s="82">
        <f>IFERROR(__xludf.DUMMYFUNCTION("""COMPUTED_VALUE"""),0.0)</f>
        <v>0</v>
      </c>
      <c r="AS4052" s="82"/>
      <c r="AT4052" s="82">
        <f>IFERROR(__xludf.DUMMYFUNCTION("""COMPUTED_VALUE"""),0.0)</f>
        <v>0</v>
      </c>
      <c r="AU4052" s="82"/>
      <c r="AV4052" s="82"/>
      <c r="AW4052" s="82" t="str">
        <f t="shared" si="1"/>
        <v/>
      </c>
      <c r="AX4052" s="83" t="str">
        <f t="array" ref="AX4052">IFERROR(DGET('SBV Import'!A:G,"SBV",{"RSC ID","Tier";B4052,A4052}))</f>
        <v/>
      </c>
      <c r="AY4052" s="82" t="str">
        <f t="shared" si="2"/>
        <v/>
      </c>
      <c r="AZ4052" s="82"/>
      <c r="BA4052" s="84" t="s">
        <v>152</v>
      </c>
      <c r="BB4052" s="84" t="str">
        <f>IFERROR(__xludf.DUMMYFUNCTION("iferror(if(A4052="""",,E4052&gt;=FILTER(Constants!$F$2:$F$10,Constants!$A$2:$A$10=A4052)))"),"")</f>
        <v/>
      </c>
    </row>
    <row r="4053">
      <c r="A4053" s="89"/>
      <c r="B4053" s="87"/>
      <c r="C4053" s="73"/>
      <c r="D4053" s="73"/>
      <c r="E4053" s="82"/>
      <c r="F4053" s="82"/>
      <c r="G4053" s="86"/>
      <c r="H4053" s="86"/>
      <c r="I4053" s="86"/>
      <c r="J4053" s="82"/>
      <c r="K4053" s="82"/>
      <c r="L4053" s="82"/>
      <c r="M4053" s="82"/>
      <c r="N4053" s="82"/>
      <c r="O4053" s="82"/>
      <c r="P4053" s="82"/>
      <c r="Q4053" s="82"/>
      <c r="R4053" s="82"/>
      <c r="S4053" s="82"/>
      <c r="T4053" s="82"/>
      <c r="U4053" s="82"/>
      <c r="V4053" s="82"/>
      <c r="W4053" s="82"/>
      <c r="X4053" s="82"/>
      <c r="Y4053" s="82"/>
      <c r="Z4053" s="82"/>
      <c r="AA4053" s="82"/>
      <c r="AB4053" s="82"/>
      <c r="AC4053" s="82"/>
      <c r="AD4053" s="82"/>
      <c r="AE4053" s="82"/>
      <c r="AF4053" s="82"/>
      <c r="AG4053" s="82"/>
      <c r="AH4053" s="82"/>
      <c r="AI4053" s="82"/>
      <c r="AJ4053" s="82"/>
      <c r="AK4053" s="82"/>
      <c r="AL4053" s="82"/>
      <c r="AM4053" s="82"/>
      <c r="AN4053" s="82">
        <f>IFERROR(__xludf.DUMMYFUNCTION("""COMPUTED_VALUE"""),0.0)</f>
        <v>0</v>
      </c>
      <c r="AO4053" s="82">
        <f>IFERROR(__xludf.DUMMYFUNCTION("""COMPUTED_VALUE"""),0.0)</f>
        <v>0</v>
      </c>
      <c r="AP4053" s="82">
        <f>IFERROR(__xludf.DUMMYFUNCTION("""COMPUTED_VALUE"""),0.0)</f>
        <v>0</v>
      </c>
      <c r="AQ4053" s="82">
        <f>IFERROR(__xludf.DUMMYFUNCTION("""COMPUTED_VALUE"""),0.0)</f>
        <v>0</v>
      </c>
      <c r="AR4053" s="82">
        <f>IFERROR(__xludf.DUMMYFUNCTION("""COMPUTED_VALUE"""),0.0)</f>
        <v>0</v>
      </c>
      <c r="AS4053" s="82"/>
      <c r="AT4053" s="82">
        <f>IFERROR(__xludf.DUMMYFUNCTION("""COMPUTED_VALUE"""),0.0)</f>
        <v>0</v>
      </c>
      <c r="AU4053" s="82"/>
      <c r="AV4053" s="82"/>
      <c r="AW4053" s="82" t="str">
        <f t="shared" si="1"/>
        <v/>
      </c>
      <c r="AX4053" s="83" t="str">
        <f t="array" ref="AX4053">IFERROR(DGET('SBV Import'!A:G,"SBV",{"RSC ID","Tier";B4053,A4053}))</f>
        <v/>
      </c>
      <c r="AY4053" s="82" t="str">
        <f t="shared" si="2"/>
        <v/>
      </c>
      <c r="AZ4053" s="82"/>
      <c r="BA4053" s="84" t="s">
        <v>152</v>
      </c>
      <c r="BB4053" s="84" t="str">
        <f>IFERROR(__xludf.DUMMYFUNCTION("iferror(if(A4053="""",,E4053&gt;=FILTER(Constants!$F$2:$F$10,Constants!$A$2:$A$10=A4053)))"),"")</f>
        <v/>
      </c>
    </row>
    <row r="4054">
      <c r="A4054" s="89"/>
      <c r="B4054" s="87"/>
      <c r="C4054" s="73"/>
      <c r="D4054" s="73"/>
      <c r="E4054" s="82"/>
      <c r="F4054" s="82"/>
      <c r="G4054" s="86"/>
      <c r="H4054" s="86"/>
      <c r="I4054" s="86"/>
      <c r="J4054" s="82"/>
      <c r="K4054" s="82"/>
      <c r="L4054" s="82"/>
      <c r="M4054" s="82"/>
      <c r="N4054" s="82"/>
      <c r="O4054" s="82"/>
      <c r="P4054" s="82"/>
      <c r="Q4054" s="82"/>
      <c r="R4054" s="82"/>
      <c r="S4054" s="82"/>
      <c r="T4054" s="82"/>
      <c r="U4054" s="82"/>
      <c r="V4054" s="82"/>
      <c r="W4054" s="82"/>
      <c r="X4054" s="82"/>
      <c r="Y4054" s="82"/>
      <c r="Z4054" s="82"/>
      <c r="AA4054" s="82"/>
      <c r="AB4054" s="82"/>
      <c r="AC4054" s="82"/>
      <c r="AD4054" s="82"/>
      <c r="AE4054" s="82"/>
      <c r="AF4054" s="82"/>
      <c r="AG4054" s="82"/>
      <c r="AH4054" s="82"/>
      <c r="AI4054" s="82"/>
      <c r="AJ4054" s="82"/>
      <c r="AK4054" s="82"/>
      <c r="AL4054" s="82"/>
      <c r="AM4054" s="82"/>
      <c r="AN4054" s="82">
        <f>IFERROR(__xludf.DUMMYFUNCTION("""COMPUTED_VALUE"""),0.0)</f>
        <v>0</v>
      </c>
      <c r="AO4054" s="82">
        <f>IFERROR(__xludf.DUMMYFUNCTION("""COMPUTED_VALUE"""),0.0)</f>
        <v>0</v>
      </c>
      <c r="AP4054" s="82">
        <f>IFERROR(__xludf.DUMMYFUNCTION("""COMPUTED_VALUE"""),0.0)</f>
        <v>0</v>
      </c>
      <c r="AQ4054" s="82">
        <f>IFERROR(__xludf.DUMMYFUNCTION("""COMPUTED_VALUE"""),0.0)</f>
        <v>0</v>
      </c>
      <c r="AR4054" s="82">
        <f>IFERROR(__xludf.DUMMYFUNCTION("""COMPUTED_VALUE"""),0.0)</f>
        <v>0</v>
      </c>
      <c r="AS4054" s="82"/>
      <c r="AT4054" s="82">
        <f>IFERROR(__xludf.DUMMYFUNCTION("""COMPUTED_VALUE"""),0.0)</f>
        <v>0</v>
      </c>
      <c r="AU4054" s="82"/>
      <c r="AV4054" s="82"/>
      <c r="AW4054" s="82" t="str">
        <f t="shared" si="1"/>
        <v/>
      </c>
      <c r="AX4054" s="83" t="str">
        <f t="array" ref="AX4054">IFERROR(DGET('SBV Import'!A:G,"SBV",{"RSC ID","Tier";B4054,A4054}))</f>
        <v/>
      </c>
      <c r="AY4054" s="82" t="str">
        <f t="shared" si="2"/>
        <v/>
      </c>
      <c r="AZ4054" s="82"/>
      <c r="BA4054" s="84" t="s">
        <v>152</v>
      </c>
      <c r="BB4054" s="84" t="str">
        <f>IFERROR(__xludf.DUMMYFUNCTION("iferror(if(A4054="""",,E4054&gt;=FILTER(Constants!$F$2:$F$10,Constants!$A$2:$A$10=A4054)))"),"")</f>
        <v/>
      </c>
    </row>
    <row r="4055">
      <c r="A4055" s="89"/>
      <c r="B4055" s="87"/>
      <c r="C4055" s="73"/>
      <c r="D4055" s="73"/>
      <c r="E4055" s="82"/>
      <c r="F4055" s="82"/>
      <c r="G4055" s="86"/>
      <c r="H4055" s="86"/>
      <c r="I4055" s="86"/>
      <c r="J4055" s="82"/>
      <c r="K4055" s="82"/>
      <c r="L4055" s="82"/>
      <c r="M4055" s="82"/>
      <c r="N4055" s="82"/>
      <c r="O4055" s="82"/>
      <c r="P4055" s="82"/>
      <c r="Q4055" s="82"/>
      <c r="R4055" s="82"/>
      <c r="S4055" s="82"/>
      <c r="T4055" s="82"/>
      <c r="U4055" s="82"/>
      <c r="V4055" s="82"/>
      <c r="W4055" s="82"/>
      <c r="X4055" s="82"/>
      <c r="Y4055" s="82"/>
      <c r="Z4055" s="82"/>
      <c r="AA4055" s="82"/>
      <c r="AB4055" s="82"/>
      <c r="AC4055" s="82"/>
      <c r="AD4055" s="82"/>
      <c r="AE4055" s="82"/>
      <c r="AF4055" s="82"/>
      <c r="AG4055" s="82"/>
      <c r="AH4055" s="82"/>
      <c r="AI4055" s="82"/>
      <c r="AJ4055" s="82"/>
      <c r="AK4055" s="82"/>
      <c r="AL4055" s="82"/>
      <c r="AM4055" s="82"/>
      <c r="AN4055" s="82">
        <f>IFERROR(__xludf.DUMMYFUNCTION("""COMPUTED_VALUE"""),0.0)</f>
        <v>0</v>
      </c>
      <c r="AO4055" s="82">
        <f>IFERROR(__xludf.DUMMYFUNCTION("""COMPUTED_VALUE"""),0.0)</f>
        <v>0</v>
      </c>
      <c r="AP4055" s="82">
        <f>IFERROR(__xludf.DUMMYFUNCTION("""COMPUTED_VALUE"""),0.0)</f>
        <v>0</v>
      </c>
      <c r="AQ4055" s="82">
        <f>IFERROR(__xludf.DUMMYFUNCTION("""COMPUTED_VALUE"""),0.0)</f>
        <v>0</v>
      </c>
      <c r="AR4055" s="82">
        <f>IFERROR(__xludf.DUMMYFUNCTION("""COMPUTED_VALUE"""),0.0)</f>
        <v>0</v>
      </c>
      <c r="AS4055" s="82"/>
      <c r="AT4055" s="82">
        <f>IFERROR(__xludf.DUMMYFUNCTION("""COMPUTED_VALUE"""),0.0)</f>
        <v>0</v>
      </c>
      <c r="AU4055" s="82"/>
      <c r="AV4055" s="82"/>
      <c r="AW4055" s="82" t="str">
        <f t="shared" si="1"/>
        <v/>
      </c>
      <c r="AX4055" s="83" t="str">
        <f t="array" ref="AX4055">IFERROR(DGET('SBV Import'!A:G,"SBV",{"RSC ID","Tier";B4055,A4055}))</f>
        <v/>
      </c>
      <c r="AY4055" s="82" t="str">
        <f t="shared" si="2"/>
        <v/>
      </c>
      <c r="AZ4055" s="82"/>
      <c r="BA4055" s="84" t="s">
        <v>152</v>
      </c>
      <c r="BB4055" s="84" t="str">
        <f>IFERROR(__xludf.DUMMYFUNCTION("iferror(if(A4055="""",,E4055&gt;=FILTER(Constants!$F$2:$F$10,Constants!$A$2:$A$10=A4055)))"),"")</f>
        <v/>
      </c>
    </row>
    <row r="4056">
      <c r="A4056" s="89"/>
      <c r="B4056" s="87"/>
      <c r="C4056" s="73"/>
      <c r="D4056" s="73"/>
      <c r="E4056" s="82"/>
      <c r="F4056" s="82"/>
      <c r="G4056" s="86"/>
      <c r="H4056" s="86"/>
      <c r="I4056" s="86"/>
      <c r="J4056" s="82"/>
      <c r="K4056" s="82"/>
      <c r="L4056" s="82"/>
      <c r="M4056" s="82"/>
      <c r="N4056" s="82"/>
      <c r="O4056" s="82"/>
      <c r="P4056" s="82"/>
      <c r="Q4056" s="82"/>
      <c r="R4056" s="82"/>
      <c r="S4056" s="82"/>
      <c r="T4056" s="82"/>
      <c r="U4056" s="82"/>
      <c r="V4056" s="82"/>
      <c r="W4056" s="82"/>
      <c r="X4056" s="82"/>
      <c r="Y4056" s="82"/>
      <c r="Z4056" s="82"/>
      <c r="AA4056" s="82"/>
      <c r="AB4056" s="82"/>
      <c r="AC4056" s="82"/>
      <c r="AD4056" s="82"/>
      <c r="AE4056" s="82"/>
      <c r="AF4056" s="82"/>
      <c r="AG4056" s="82"/>
      <c r="AH4056" s="82"/>
      <c r="AI4056" s="82"/>
      <c r="AJ4056" s="82"/>
      <c r="AK4056" s="82"/>
      <c r="AL4056" s="82"/>
      <c r="AM4056" s="82"/>
      <c r="AN4056" s="82">
        <f>IFERROR(__xludf.DUMMYFUNCTION("""COMPUTED_VALUE"""),0.0)</f>
        <v>0</v>
      </c>
      <c r="AO4056" s="82">
        <f>IFERROR(__xludf.DUMMYFUNCTION("""COMPUTED_VALUE"""),0.0)</f>
        <v>0</v>
      </c>
      <c r="AP4056" s="82">
        <f>IFERROR(__xludf.DUMMYFUNCTION("""COMPUTED_VALUE"""),0.0)</f>
        <v>0</v>
      </c>
      <c r="AQ4056" s="82">
        <f>IFERROR(__xludf.DUMMYFUNCTION("""COMPUTED_VALUE"""),0.0)</f>
        <v>0</v>
      </c>
      <c r="AR4056" s="82">
        <f>IFERROR(__xludf.DUMMYFUNCTION("""COMPUTED_VALUE"""),0.0)</f>
        <v>0</v>
      </c>
      <c r="AS4056" s="82"/>
      <c r="AT4056" s="82">
        <f>IFERROR(__xludf.DUMMYFUNCTION("""COMPUTED_VALUE"""),0.0)</f>
        <v>0</v>
      </c>
      <c r="AU4056" s="82"/>
      <c r="AV4056" s="82"/>
      <c r="AW4056" s="82" t="str">
        <f t="shared" si="1"/>
        <v/>
      </c>
      <c r="AX4056" s="83" t="str">
        <f t="array" ref="AX4056">IFERROR(DGET('SBV Import'!A:G,"SBV",{"RSC ID","Tier";B4056,A4056}))</f>
        <v/>
      </c>
      <c r="AY4056" s="82" t="str">
        <f t="shared" si="2"/>
        <v/>
      </c>
      <c r="AZ4056" s="82"/>
      <c r="BA4056" s="84" t="s">
        <v>152</v>
      </c>
      <c r="BB4056" s="84" t="str">
        <f>IFERROR(__xludf.DUMMYFUNCTION("iferror(if(A4056="""",,E4056&gt;=FILTER(Constants!$F$2:$F$10,Constants!$A$2:$A$10=A4056)))"),"")</f>
        <v/>
      </c>
    </row>
    <row r="4057">
      <c r="A4057" s="89"/>
      <c r="B4057" s="87"/>
      <c r="C4057" s="73"/>
      <c r="D4057" s="73"/>
      <c r="E4057" s="82"/>
      <c r="F4057" s="82"/>
      <c r="G4057" s="86"/>
      <c r="H4057" s="86"/>
      <c r="I4057" s="86"/>
      <c r="J4057" s="82"/>
      <c r="K4057" s="82"/>
      <c r="L4057" s="82"/>
      <c r="M4057" s="82"/>
      <c r="N4057" s="82"/>
      <c r="O4057" s="82"/>
      <c r="P4057" s="82"/>
      <c r="Q4057" s="82"/>
      <c r="R4057" s="82"/>
      <c r="S4057" s="82"/>
      <c r="T4057" s="82"/>
      <c r="U4057" s="82"/>
      <c r="V4057" s="82"/>
      <c r="W4057" s="82"/>
      <c r="X4057" s="82"/>
      <c r="Y4057" s="82"/>
      <c r="Z4057" s="82"/>
      <c r="AA4057" s="82"/>
      <c r="AB4057" s="82"/>
      <c r="AC4057" s="82"/>
      <c r="AD4057" s="82"/>
      <c r="AE4057" s="82"/>
      <c r="AF4057" s="82"/>
      <c r="AG4057" s="82"/>
      <c r="AH4057" s="82"/>
      <c r="AI4057" s="82"/>
      <c r="AJ4057" s="82"/>
      <c r="AK4057" s="82"/>
      <c r="AL4057" s="82"/>
      <c r="AM4057" s="82"/>
      <c r="AN4057" s="82">
        <f>IFERROR(__xludf.DUMMYFUNCTION("""COMPUTED_VALUE"""),0.0)</f>
        <v>0</v>
      </c>
      <c r="AO4057" s="82">
        <f>IFERROR(__xludf.DUMMYFUNCTION("""COMPUTED_VALUE"""),0.0)</f>
        <v>0</v>
      </c>
      <c r="AP4057" s="82">
        <f>IFERROR(__xludf.DUMMYFUNCTION("""COMPUTED_VALUE"""),0.0)</f>
        <v>0</v>
      </c>
      <c r="AQ4057" s="82">
        <f>IFERROR(__xludf.DUMMYFUNCTION("""COMPUTED_VALUE"""),0.0)</f>
        <v>0</v>
      </c>
      <c r="AR4057" s="82">
        <f>IFERROR(__xludf.DUMMYFUNCTION("""COMPUTED_VALUE"""),0.0)</f>
        <v>0</v>
      </c>
      <c r="AS4057" s="82"/>
      <c r="AT4057" s="82">
        <f>IFERROR(__xludf.DUMMYFUNCTION("""COMPUTED_VALUE"""),0.0)</f>
        <v>0</v>
      </c>
      <c r="AU4057" s="82"/>
      <c r="AV4057" s="82"/>
      <c r="AW4057" s="82" t="str">
        <f t="shared" si="1"/>
        <v/>
      </c>
      <c r="AX4057" s="83" t="str">
        <f t="array" ref="AX4057">IFERROR(DGET('SBV Import'!A:G,"SBV",{"RSC ID","Tier";B4057,A4057}))</f>
        <v/>
      </c>
      <c r="AY4057" s="82" t="str">
        <f t="shared" si="2"/>
        <v/>
      </c>
      <c r="AZ4057" s="82"/>
      <c r="BA4057" s="84" t="s">
        <v>152</v>
      </c>
      <c r="BB4057" s="84" t="str">
        <f>IFERROR(__xludf.DUMMYFUNCTION("iferror(if(A4057="""",,E4057&gt;=FILTER(Constants!$F$2:$F$10,Constants!$A$2:$A$10=A4057)))"),"")</f>
        <v/>
      </c>
    </row>
    <row r="4058">
      <c r="A4058" s="89"/>
      <c r="B4058" s="87"/>
      <c r="C4058" s="73"/>
      <c r="D4058" s="73"/>
      <c r="E4058" s="82"/>
      <c r="F4058" s="82"/>
      <c r="G4058" s="86"/>
      <c r="H4058" s="86"/>
      <c r="I4058" s="86"/>
      <c r="J4058" s="82"/>
      <c r="K4058" s="82"/>
      <c r="L4058" s="82"/>
      <c r="M4058" s="82"/>
      <c r="N4058" s="82"/>
      <c r="O4058" s="82"/>
      <c r="P4058" s="82"/>
      <c r="Q4058" s="82"/>
      <c r="R4058" s="82"/>
      <c r="S4058" s="82"/>
      <c r="T4058" s="82"/>
      <c r="U4058" s="82"/>
      <c r="V4058" s="82"/>
      <c r="W4058" s="82"/>
      <c r="X4058" s="82"/>
      <c r="Y4058" s="82"/>
      <c r="Z4058" s="82"/>
      <c r="AA4058" s="82"/>
      <c r="AB4058" s="82"/>
      <c r="AC4058" s="82"/>
      <c r="AD4058" s="82"/>
      <c r="AE4058" s="82"/>
      <c r="AF4058" s="82"/>
      <c r="AG4058" s="82"/>
      <c r="AH4058" s="82"/>
      <c r="AI4058" s="82"/>
      <c r="AJ4058" s="82"/>
      <c r="AK4058" s="82"/>
      <c r="AL4058" s="82"/>
      <c r="AM4058" s="82"/>
      <c r="AN4058" s="82">
        <f>IFERROR(__xludf.DUMMYFUNCTION("""COMPUTED_VALUE"""),0.0)</f>
        <v>0</v>
      </c>
      <c r="AO4058" s="82">
        <f>IFERROR(__xludf.DUMMYFUNCTION("""COMPUTED_VALUE"""),0.0)</f>
        <v>0</v>
      </c>
      <c r="AP4058" s="82">
        <f>IFERROR(__xludf.DUMMYFUNCTION("""COMPUTED_VALUE"""),0.0)</f>
        <v>0</v>
      </c>
      <c r="AQ4058" s="82">
        <f>IFERROR(__xludf.DUMMYFUNCTION("""COMPUTED_VALUE"""),0.0)</f>
        <v>0</v>
      </c>
      <c r="AR4058" s="82">
        <f>IFERROR(__xludf.DUMMYFUNCTION("""COMPUTED_VALUE"""),0.0)</f>
        <v>0</v>
      </c>
      <c r="AS4058" s="82"/>
      <c r="AT4058" s="82">
        <f>IFERROR(__xludf.DUMMYFUNCTION("""COMPUTED_VALUE"""),0.0)</f>
        <v>0</v>
      </c>
      <c r="AU4058" s="82"/>
      <c r="AV4058" s="82"/>
      <c r="AW4058" s="82" t="str">
        <f t="shared" si="1"/>
        <v/>
      </c>
      <c r="AX4058" s="83" t="str">
        <f t="array" ref="AX4058">IFERROR(DGET('SBV Import'!A:G,"SBV",{"RSC ID","Tier";B4058,A4058}))</f>
        <v/>
      </c>
      <c r="AY4058" s="82" t="str">
        <f t="shared" si="2"/>
        <v/>
      </c>
      <c r="AZ4058" s="82"/>
      <c r="BA4058" s="84" t="s">
        <v>152</v>
      </c>
      <c r="BB4058" s="84" t="str">
        <f>IFERROR(__xludf.DUMMYFUNCTION("iferror(if(A4058="""",,E4058&gt;=FILTER(Constants!$F$2:$F$10,Constants!$A$2:$A$10=A4058)))"),"")</f>
        <v/>
      </c>
    </row>
    <row r="4059">
      <c r="A4059" s="89"/>
      <c r="B4059" s="87"/>
      <c r="C4059" s="73"/>
      <c r="D4059" s="73"/>
      <c r="E4059" s="82"/>
      <c r="F4059" s="82"/>
      <c r="G4059" s="86"/>
      <c r="H4059" s="86"/>
      <c r="I4059" s="86"/>
      <c r="J4059" s="82"/>
      <c r="K4059" s="82"/>
      <c r="L4059" s="82"/>
      <c r="M4059" s="82"/>
      <c r="N4059" s="82"/>
      <c r="O4059" s="82"/>
      <c r="P4059" s="82"/>
      <c r="Q4059" s="82"/>
      <c r="R4059" s="82"/>
      <c r="S4059" s="82"/>
      <c r="T4059" s="82"/>
      <c r="U4059" s="82"/>
      <c r="V4059" s="82"/>
      <c r="W4059" s="82"/>
      <c r="X4059" s="82"/>
      <c r="Y4059" s="82"/>
      <c r="Z4059" s="82"/>
      <c r="AA4059" s="82"/>
      <c r="AB4059" s="82"/>
      <c r="AC4059" s="82"/>
      <c r="AD4059" s="82"/>
      <c r="AE4059" s="82"/>
      <c r="AF4059" s="82"/>
      <c r="AG4059" s="82"/>
      <c r="AH4059" s="82"/>
      <c r="AI4059" s="82"/>
      <c r="AJ4059" s="82"/>
      <c r="AK4059" s="82"/>
      <c r="AL4059" s="82"/>
      <c r="AM4059" s="82"/>
      <c r="AN4059" s="82">
        <f>IFERROR(__xludf.DUMMYFUNCTION("""COMPUTED_VALUE"""),0.0)</f>
        <v>0</v>
      </c>
      <c r="AO4059" s="82">
        <f>IFERROR(__xludf.DUMMYFUNCTION("""COMPUTED_VALUE"""),0.0)</f>
        <v>0</v>
      </c>
      <c r="AP4059" s="82">
        <f>IFERROR(__xludf.DUMMYFUNCTION("""COMPUTED_VALUE"""),0.0)</f>
        <v>0</v>
      </c>
      <c r="AQ4059" s="82">
        <f>IFERROR(__xludf.DUMMYFUNCTION("""COMPUTED_VALUE"""),0.0)</f>
        <v>0</v>
      </c>
      <c r="AR4059" s="82">
        <f>IFERROR(__xludf.DUMMYFUNCTION("""COMPUTED_VALUE"""),0.0)</f>
        <v>0</v>
      </c>
      <c r="AS4059" s="82"/>
      <c r="AT4059" s="82">
        <f>IFERROR(__xludf.DUMMYFUNCTION("""COMPUTED_VALUE"""),0.0)</f>
        <v>0</v>
      </c>
      <c r="AU4059" s="82"/>
      <c r="AV4059" s="82"/>
      <c r="AW4059" s="82" t="str">
        <f t="shared" si="1"/>
        <v/>
      </c>
      <c r="AX4059" s="83" t="str">
        <f t="array" ref="AX4059">IFERROR(DGET('SBV Import'!A:G,"SBV",{"RSC ID","Tier";B4059,A4059}))</f>
        <v/>
      </c>
      <c r="AY4059" s="82" t="str">
        <f t="shared" si="2"/>
        <v/>
      </c>
      <c r="AZ4059" s="82"/>
      <c r="BA4059" s="84" t="s">
        <v>152</v>
      </c>
      <c r="BB4059" s="84" t="str">
        <f>IFERROR(__xludf.DUMMYFUNCTION("iferror(if(A4059="""",,E4059&gt;=FILTER(Constants!$F$2:$F$10,Constants!$A$2:$A$10=A4059)))"),"")</f>
        <v/>
      </c>
    </row>
    <row r="4060">
      <c r="A4060" s="89"/>
      <c r="B4060" s="87"/>
      <c r="C4060" s="73"/>
      <c r="D4060" s="73"/>
      <c r="E4060" s="82"/>
      <c r="F4060" s="82"/>
      <c r="G4060" s="86"/>
      <c r="H4060" s="86"/>
      <c r="I4060" s="86"/>
      <c r="J4060" s="82"/>
      <c r="K4060" s="82"/>
      <c r="L4060" s="82"/>
      <c r="M4060" s="82"/>
      <c r="N4060" s="82"/>
      <c r="O4060" s="82"/>
      <c r="P4060" s="82"/>
      <c r="Q4060" s="82"/>
      <c r="R4060" s="82"/>
      <c r="S4060" s="82"/>
      <c r="T4060" s="82"/>
      <c r="U4060" s="82"/>
      <c r="V4060" s="82"/>
      <c r="W4060" s="82"/>
      <c r="X4060" s="82"/>
      <c r="Y4060" s="82"/>
      <c r="Z4060" s="82"/>
      <c r="AA4060" s="82"/>
      <c r="AB4060" s="82"/>
      <c r="AC4060" s="82"/>
      <c r="AD4060" s="82"/>
      <c r="AE4060" s="82"/>
      <c r="AF4060" s="82"/>
      <c r="AG4060" s="82"/>
      <c r="AH4060" s="82"/>
      <c r="AI4060" s="82"/>
      <c r="AJ4060" s="82"/>
      <c r="AK4060" s="82"/>
      <c r="AL4060" s="82"/>
      <c r="AM4060" s="82"/>
      <c r="AN4060" s="82">
        <f>IFERROR(__xludf.DUMMYFUNCTION("""COMPUTED_VALUE"""),0.0)</f>
        <v>0</v>
      </c>
      <c r="AO4060" s="82">
        <f>IFERROR(__xludf.DUMMYFUNCTION("""COMPUTED_VALUE"""),0.0)</f>
        <v>0</v>
      </c>
      <c r="AP4060" s="82">
        <f>IFERROR(__xludf.DUMMYFUNCTION("""COMPUTED_VALUE"""),0.0)</f>
        <v>0</v>
      </c>
      <c r="AQ4060" s="82">
        <f>IFERROR(__xludf.DUMMYFUNCTION("""COMPUTED_VALUE"""),0.0)</f>
        <v>0</v>
      </c>
      <c r="AR4060" s="82">
        <f>IFERROR(__xludf.DUMMYFUNCTION("""COMPUTED_VALUE"""),0.0)</f>
        <v>0</v>
      </c>
      <c r="AS4060" s="82"/>
      <c r="AT4060" s="82">
        <f>IFERROR(__xludf.DUMMYFUNCTION("""COMPUTED_VALUE"""),0.0)</f>
        <v>0</v>
      </c>
      <c r="AU4060" s="82"/>
      <c r="AV4060" s="82"/>
      <c r="AW4060" s="82" t="str">
        <f t="shared" si="1"/>
        <v/>
      </c>
      <c r="AX4060" s="83" t="str">
        <f t="array" ref="AX4060">IFERROR(DGET('SBV Import'!A:G,"SBV",{"RSC ID","Tier";B4060,A4060}))</f>
        <v/>
      </c>
      <c r="AY4060" s="82" t="str">
        <f t="shared" si="2"/>
        <v/>
      </c>
      <c r="AZ4060" s="82"/>
      <c r="BA4060" s="84" t="s">
        <v>152</v>
      </c>
      <c r="BB4060" s="84" t="str">
        <f>IFERROR(__xludf.DUMMYFUNCTION("iferror(if(A4060="""",,E4060&gt;=FILTER(Constants!$F$2:$F$10,Constants!$A$2:$A$10=A4060)))"),"")</f>
        <v/>
      </c>
    </row>
    <row r="4061">
      <c r="A4061" s="89"/>
      <c r="B4061" s="87"/>
      <c r="C4061" s="73"/>
      <c r="D4061" s="73"/>
      <c r="E4061" s="82"/>
      <c r="F4061" s="82"/>
      <c r="G4061" s="86"/>
      <c r="H4061" s="86"/>
      <c r="I4061" s="86"/>
      <c r="J4061" s="82"/>
      <c r="K4061" s="82"/>
      <c r="L4061" s="82"/>
      <c r="M4061" s="82"/>
      <c r="N4061" s="82"/>
      <c r="O4061" s="82"/>
      <c r="P4061" s="82"/>
      <c r="Q4061" s="82"/>
      <c r="R4061" s="82"/>
      <c r="S4061" s="82"/>
      <c r="T4061" s="82"/>
      <c r="U4061" s="82"/>
      <c r="V4061" s="82"/>
      <c r="W4061" s="82"/>
      <c r="X4061" s="82"/>
      <c r="Y4061" s="82"/>
      <c r="Z4061" s="82"/>
      <c r="AA4061" s="82"/>
      <c r="AB4061" s="82"/>
      <c r="AC4061" s="82"/>
      <c r="AD4061" s="82"/>
      <c r="AE4061" s="82"/>
      <c r="AF4061" s="82"/>
      <c r="AG4061" s="82"/>
      <c r="AH4061" s="82"/>
      <c r="AI4061" s="82"/>
      <c r="AJ4061" s="82"/>
      <c r="AK4061" s="82"/>
      <c r="AL4061" s="82"/>
      <c r="AM4061" s="82"/>
      <c r="AN4061" s="82">
        <f>IFERROR(__xludf.DUMMYFUNCTION("""COMPUTED_VALUE"""),0.0)</f>
        <v>0</v>
      </c>
      <c r="AO4061" s="82">
        <f>IFERROR(__xludf.DUMMYFUNCTION("""COMPUTED_VALUE"""),0.0)</f>
        <v>0</v>
      </c>
      <c r="AP4061" s="82">
        <f>IFERROR(__xludf.DUMMYFUNCTION("""COMPUTED_VALUE"""),0.0)</f>
        <v>0</v>
      </c>
      <c r="AQ4061" s="82">
        <f>IFERROR(__xludf.DUMMYFUNCTION("""COMPUTED_VALUE"""),0.0)</f>
        <v>0</v>
      </c>
      <c r="AR4061" s="82">
        <f>IFERROR(__xludf.DUMMYFUNCTION("""COMPUTED_VALUE"""),0.0)</f>
        <v>0</v>
      </c>
      <c r="AS4061" s="82"/>
      <c r="AT4061" s="82">
        <f>IFERROR(__xludf.DUMMYFUNCTION("""COMPUTED_VALUE"""),0.0)</f>
        <v>0</v>
      </c>
      <c r="AU4061" s="82"/>
      <c r="AV4061" s="82"/>
      <c r="AW4061" s="82" t="str">
        <f t="shared" si="1"/>
        <v/>
      </c>
      <c r="AX4061" s="83" t="str">
        <f t="array" ref="AX4061">IFERROR(DGET('SBV Import'!A:G,"SBV",{"RSC ID","Tier";B4061,A4061}))</f>
        <v/>
      </c>
      <c r="AY4061" s="82" t="str">
        <f t="shared" si="2"/>
        <v/>
      </c>
      <c r="AZ4061" s="82"/>
      <c r="BA4061" s="84" t="s">
        <v>152</v>
      </c>
      <c r="BB4061" s="84" t="str">
        <f>IFERROR(__xludf.DUMMYFUNCTION("iferror(if(A4061="""",,E4061&gt;=FILTER(Constants!$F$2:$F$10,Constants!$A$2:$A$10=A4061)))"),"")</f>
        <v/>
      </c>
    </row>
    <row r="4062">
      <c r="A4062" s="89"/>
      <c r="B4062" s="87"/>
      <c r="C4062" s="73"/>
      <c r="D4062" s="73"/>
      <c r="E4062" s="82"/>
      <c r="F4062" s="82"/>
      <c r="G4062" s="86"/>
      <c r="H4062" s="86"/>
      <c r="I4062" s="86"/>
      <c r="J4062" s="82"/>
      <c r="K4062" s="82"/>
      <c r="L4062" s="82"/>
      <c r="M4062" s="82"/>
      <c r="N4062" s="82"/>
      <c r="O4062" s="82"/>
      <c r="P4062" s="82"/>
      <c r="Q4062" s="82"/>
      <c r="R4062" s="82"/>
      <c r="S4062" s="82"/>
      <c r="T4062" s="82"/>
      <c r="U4062" s="82"/>
      <c r="V4062" s="82"/>
      <c r="W4062" s="82"/>
      <c r="X4062" s="82"/>
      <c r="Y4062" s="82"/>
      <c r="Z4062" s="82"/>
      <c r="AA4062" s="82"/>
      <c r="AB4062" s="82"/>
      <c r="AC4062" s="82"/>
      <c r="AD4062" s="82"/>
      <c r="AE4062" s="82"/>
      <c r="AF4062" s="82"/>
      <c r="AG4062" s="82"/>
      <c r="AH4062" s="82"/>
      <c r="AI4062" s="82"/>
      <c r="AJ4062" s="82"/>
      <c r="AK4062" s="82"/>
      <c r="AL4062" s="82"/>
      <c r="AM4062" s="82"/>
      <c r="AN4062" s="82">
        <f>IFERROR(__xludf.DUMMYFUNCTION("""COMPUTED_VALUE"""),0.0)</f>
        <v>0</v>
      </c>
      <c r="AO4062" s="82">
        <f>IFERROR(__xludf.DUMMYFUNCTION("""COMPUTED_VALUE"""),0.0)</f>
        <v>0</v>
      </c>
      <c r="AP4062" s="82">
        <f>IFERROR(__xludf.DUMMYFUNCTION("""COMPUTED_VALUE"""),0.0)</f>
        <v>0</v>
      </c>
      <c r="AQ4062" s="82">
        <f>IFERROR(__xludf.DUMMYFUNCTION("""COMPUTED_VALUE"""),0.0)</f>
        <v>0</v>
      </c>
      <c r="AR4062" s="82">
        <f>IFERROR(__xludf.DUMMYFUNCTION("""COMPUTED_VALUE"""),0.0)</f>
        <v>0</v>
      </c>
      <c r="AS4062" s="82"/>
      <c r="AT4062" s="82">
        <f>IFERROR(__xludf.DUMMYFUNCTION("""COMPUTED_VALUE"""),0.0)</f>
        <v>0</v>
      </c>
      <c r="AU4062" s="82"/>
      <c r="AV4062" s="82"/>
      <c r="AW4062" s="82" t="str">
        <f t="shared" si="1"/>
        <v/>
      </c>
      <c r="AX4062" s="83" t="str">
        <f t="array" ref="AX4062">IFERROR(DGET('SBV Import'!A:G,"SBV",{"RSC ID","Tier";B4062,A4062}))</f>
        <v/>
      </c>
      <c r="AY4062" s="82" t="str">
        <f t="shared" si="2"/>
        <v/>
      </c>
      <c r="AZ4062" s="82"/>
      <c r="BA4062" s="84" t="s">
        <v>152</v>
      </c>
      <c r="BB4062" s="84" t="str">
        <f>IFERROR(__xludf.DUMMYFUNCTION("iferror(if(A4062="""",,E4062&gt;=FILTER(Constants!$F$2:$F$10,Constants!$A$2:$A$10=A4062)))"),"")</f>
        <v/>
      </c>
    </row>
    <row r="4063">
      <c r="A4063" s="89"/>
      <c r="B4063" s="87"/>
      <c r="C4063" s="73"/>
      <c r="D4063" s="73"/>
      <c r="E4063" s="82"/>
      <c r="F4063" s="82"/>
      <c r="G4063" s="86"/>
      <c r="H4063" s="86"/>
      <c r="I4063" s="86"/>
      <c r="J4063" s="82"/>
      <c r="K4063" s="82"/>
      <c r="L4063" s="82"/>
      <c r="M4063" s="82"/>
      <c r="N4063" s="82"/>
      <c r="O4063" s="82"/>
      <c r="P4063" s="82"/>
      <c r="Q4063" s="82"/>
      <c r="R4063" s="82"/>
      <c r="S4063" s="82"/>
      <c r="T4063" s="82"/>
      <c r="U4063" s="82"/>
      <c r="V4063" s="82"/>
      <c r="W4063" s="82"/>
      <c r="X4063" s="82"/>
      <c r="Y4063" s="82"/>
      <c r="Z4063" s="82"/>
      <c r="AA4063" s="82"/>
      <c r="AB4063" s="82"/>
      <c r="AC4063" s="82"/>
      <c r="AD4063" s="82"/>
      <c r="AE4063" s="82"/>
      <c r="AF4063" s="82"/>
      <c r="AG4063" s="82"/>
      <c r="AH4063" s="82"/>
      <c r="AI4063" s="82"/>
      <c r="AJ4063" s="82"/>
      <c r="AK4063" s="82"/>
      <c r="AL4063" s="82"/>
      <c r="AM4063" s="82"/>
      <c r="AN4063" s="82">
        <f>IFERROR(__xludf.DUMMYFUNCTION("""COMPUTED_VALUE"""),0.0)</f>
        <v>0</v>
      </c>
      <c r="AO4063" s="82">
        <f>IFERROR(__xludf.DUMMYFUNCTION("""COMPUTED_VALUE"""),0.0)</f>
        <v>0</v>
      </c>
      <c r="AP4063" s="82">
        <f>IFERROR(__xludf.DUMMYFUNCTION("""COMPUTED_VALUE"""),0.0)</f>
        <v>0</v>
      </c>
      <c r="AQ4063" s="82">
        <f>IFERROR(__xludf.DUMMYFUNCTION("""COMPUTED_VALUE"""),0.0)</f>
        <v>0</v>
      </c>
      <c r="AR4063" s="82">
        <f>IFERROR(__xludf.DUMMYFUNCTION("""COMPUTED_VALUE"""),0.0)</f>
        <v>0</v>
      </c>
      <c r="AS4063" s="82"/>
      <c r="AT4063" s="82">
        <f>IFERROR(__xludf.DUMMYFUNCTION("""COMPUTED_VALUE"""),0.0)</f>
        <v>0</v>
      </c>
      <c r="AU4063" s="82"/>
      <c r="AV4063" s="82"/>
      <c r="AW4063" s="82" t="str">
        <f t="shared" si="1"/>
        <v/>
      </c>
      <c r="AX4063" s="83" t="str">
        <f t="array" ref="AX4063">IFERROR(DGET('SBV Import'!A:G,"SBV",{"RSC ID","Tier";B4063,A4063}))</f>
        <v/>
      </c>
      <c r="AY4063" s="82" t="str">
        <f t="shared" si="2"/>
        <v/>
      </c>
      <c r="AZ4063" s="82"/>
      <c r="BA4063" s="84" t="s">
        <v>152</v>
      </c>
      <c r="BB4063" s="84" t="str">
        <f>IFERROR(__xludf.DUMMYFUNCTION("iferror(if(A4063="""",,E4063&gt;=FILTER(Constants!$F$2:$F$10,Constants!$A$2:$A$10=A4063)))"),"")</f>
        <v/>
      </c>
    </row>
    <row r="4064">
      <c r="A4064" s="89"/>
      <c r="B4064" s="87"/>
      <c r="C4064" s="73"/>
      <c r="D4064" s="73"/>
      <c r="E4064" s="82"/>
      <c r="F4064" s="82"/>
      <c r="G4064" s="86"/>
      <c r="H4064" s="86"/>
      <c r="I4064" s="86"/>
      <c r="J4064" s="82"/>
      <c r="K4064" s="82"/>
      <c r="L4064" s="82"/>
      <c r="M4064" s="82"/>
      <c r="N4064" s="82"/>
      <c r="O4064" s="82"/>
      <c r="P4064" s="82"/>
      <c r="Q4064" s="82"/>
      <c r="R4064" s="82"/>
      <c r="S4064" s="82"/>
      <c r="T4064" s="82"/>
      <c r="U4064" s="82"/>
      <c r="V4064" s="82"/>
      <c r="W4064" s="82"/>
      <c r="X4064" s="82"/>
      <c r="Y4064" s="82"/>
      <c r="Z4064" s="82"/>
      <c r="AA4064" s="82"/>
      <c r="AB4064" s="82"/>
      <c r="AC4064" s="82"/>
      <c r="AD4064" s="82"/>
      <c r="AE4064" s="82"/>
      <c r="AF4064" s="82"/>
      <c r="AG4064" s="82"/>
      <c r="AH4064" s="82"/>
      <c r="AI4064" s="82"/>
      <c r="AJ4064" s="82"/>
      <c r="AK4064" s="82"/>
      <c r="AL4064" s="82"/>
      <c r="AM4064" s="82"/>
      <c r="AN4064" s="82">
        <f>IFERROR(__xludf.DUMMYFUNCTION("""COMPUTED_VALUE"""),0.0)</f>
        <v>0</v>
      </c>
      <c r="AO4064" s="82">
        <f>IFERROR(__xludf.DUMMYFUNCTION("""COMPUTED_VALUE"""),0.0)</f>
        <v>0</v>
      </c>
      <c r="AP4064" s="82">
        <f>IFERROR(__xludf.DUMMYFUNCTION("""COMPUTED_VALUE"""),0.0)</f>
        <v>0</v>
      </c>
      <c r="AQ4064" s="82">
        <f>IFERROR(__xludf.DUMMYFUNCTION("""COMPUTED_VALUE"""),0.0)</f>
        <v>0</v>
      </c>
      <c r="AR4064" s="82">
        <f>IFERROR(__xludf.DUMMYFUNCTION("""COMPUTED_VALUE"""),0.0)</f>
        <v>0</v>
      </c>
      <c r="AS4064" s="82"/>
      <c r="AT4064" s="82">
        <f>IFERROR(__xludf.DUMMYFUNCTION("""COMPUTED_VALUE"""),0.0)</f>
        <v>0</v>
      </c>
      <c r="AU4064" s="82"/>
      <c r="AV4064" s="82"/>
      <c r="AW4064" s="82" t="str">
        <f t="shared" si="1"/>
        <v/>
      </c>
      <c r="AX4064" s="83" t="str">
        <f t="array" ref="AX4064">IFERROR(DGET('SBV Import'!A:G,"SBV",{"RSC ID","Tier";B4064,A4064}))</f>
        <v/>
      </c>
      <c r="AY4064" s="82" t="str">
        <f t="shared" si="2"/>
        <v/>
      </c>
      <c r="AZ4064" s="82"/>
      <c r="BA4064" s="84" t="s">
        <v>152</v>
      </c>
      <c r="BB4064" s="84" t="str">
        <f>IFERROR(__xludf.DUMMYFUNCTION("iferror(if(A4064="""",,E4064&gt;=FILTER(Constants!$F$2:$F$10,Constants!$A$2:$A$10=A4064)))"),"")</f>
        <v/>
      </c>
    </row>
    <row r="4065">
      <c r="A4065" s="89"/>
      <c r="B4065" s="87"/>
      <c r="C4065" s="73"/>
      <c r="D4065" s="73"/>
      <c r="E4065" s="82"/>
      <c r="F4065" s="82"/>
      <c r="G4065" s="86"/>
      <c r="H4065" s="86"/>
      <c r="I4065" s="86"/>
      <c r="J4065" s="82"/>
      <c r="K4065" s="82"/>
      <c r="L4065" s="82"/>
      <c r="M4065" s="82"/>
      <c r="N4065" s="82"/>
      <c r="O4065" s="82"/>
      <c r="P4065" s="82"/>
      <c r="Q4065" s="82"/>
      <c r="R4065" s="82"/>
      <c r="S4065" s="82"/>
      <c r="T4065" s="82"/>
      <c r="U4065" s="82"/>
      <c r="V4065" s="82"/>
      <c r="W4065" s="82"/>
      <c r="X4065" s="82"/>
      <c r="Y4065" s="82"/>
      <c r="Z4065" s="82"/>
      <c r="AA4065" s="82"/>
      <c r="AB4065" s="82"/>
      <c r="AC4065" s="82"/>
      <c r="AD4065" s="82"/>
      <c r="AE4065" s="82"/>
      <c r="AF4065" s="82"/>
      <c r="AG4065" s="82"/>
      <c r="AH4065" s="82"/>
      <c r="AI4065" s="82"/>
      <c r="AJ4065" s="82"/>
      <c r="AK4065" s="82"/>
      <c r="AL4065" s="82"/>
      <c r="AM4065" s="82"/>
      <c r="AN4065" s="82">
        <f>IFERROR(__xludf.DUMMYFUNCTION("""COMPUTED_VALUE"""),0.0)</f>
        <v>0</v>
      </c>
      <c r="AO4065" s="82">
        <f>IFERROR(__xludf.DUMMYFUNCTION("""COMPUTED_VALUE"""),0.0)</f>
        <v>0</v>
      </c>
      <c r="AP4065" s="82">
        <f>IFERROR(__xludf.DUMMYFUNCTION("""COMPUTED_VALUE"""),0.0)</f>
        <v>0</v>
      </c>
      <c r="AQ4065" s="82">
        <f>IFERROR(__xludf.DUMMYFUNCTION("""COMPUTED_VALUE"""),0.0)</f>
        <v>0</v>
      </c>
      <c r="AR4065" s="82">
        <f>IFERROR(__xludf.DUMMYFUNCTION("""COMPUTED_VALUE"""),0.0)</f>
        <v>0</v>
      </c>
      <c r="AS4065" s="82"/>
      <c r="AT4065" s="82">
        <f>IFERROR(__xludf.DUMMYFUNCTION("""COMPUTED_VALUE"""),0.0)</f>
        <v>0</v>
      </c>
      <c r="AU4065" s="82"/>
      <c r="AV4065" s="82"/>
      <c r="AW4065" s="82" t="str">
        <f t="shared" si="1"/>
        <v/>
      </c>
      <c r="AX4065" s="83" t="str">
        <f t="array" ref="AX4065">IFERROR(DGET('SBV Import'!A:G,"SBV",{"RSC ID","Tier";B4065,A4065}))</f>
        <v/>
      </c>
      <c r="AY4065" s="82" t="str">
        <f t="shared" si="2"/>
        <v/>
      </c>
      <c r="AZ4065" s="82"/>
      <c r="BA4065" s="84" t="s">
        <v>152</v>
      </c>
      <c r="BB4065" s="84" t="str">
        <f>IFERROR(__xludf.DUMMYFUNCTION("iferror(if(A4065="""",,E4065&gt;=FILTER(Constants!$F$2:$F$10,Constants!$A$2:$A$10=A4065)))"),"")</f>
        <v/>
      </c>
    </row>
    <row r="4066">
      <c r="A4066" s="89"/>
      <c r="B4066" s="87"/>
      <c r="C4066" s="73"/>
      <c r="D4066" s="73"/>
      <c r="E4066" s="82"/>
      <c r="F4066" s="82"/>
      <c r="G4066" s="86"/>
      <c r="H4066" s="86"/>
      <c r="I4066" s="86"/>
      <c r="J4066" s="82"/>
      <c r="K4066" s="82"/>
      <c r="L4066" s="82"/>
      <c r="M4066" s="82"/>
      <c r="N4066" s="82"/>
      <c r="O4066" s="82"/>
      <c r="P4066" s="82"/>
      <c r="Q4066" s="82"/>
      <c r="R4066" s="82"/>
      <c r="S4066" s="82"/>
      <c r="T4066" s="82"/>
      <c r="U4066" s="82"/>
      <c r="V4066" s="82"/>
      <c r="W4066" s="82"/>
      <c r="X4066" s="82"/>
      <c r="Y4066" s="82"/>
      <c r="Z4066" s="82"/>
      <c r="AA4066" s="82"/>
      <c r="AB4066" s="82"/>
      <c r="AC4066" s="82"/>
      <c r="AD4066" s="82"/>
      <c r="AE4066" s="82"/>
      <c r="AF4066" s="82"/>
      <c r="AG4066" s="82"/>
      <c r="AH4066" s="82"/>
      <c r="AI4066" s="82"/>
      <c r="AJ4066" s="82"/>
      <c r="AK4066" s="82"/>
      <c r="AL4066" s="82"/>
      <c r="AM4066" s="82"/>
      <c r="AN4066" s="82">
        <f>IFERROR(__xludf.DUMMYFUNCTION("""COMPUTED_VALUE"""),0.0)</f>
        <v>0</v>
      </c>
      <c r="AO4066" s="82">
        <f>IFERROR(__xludf.DUMMYFUNCTION("""COMPUTED_VALUE"""),0.0)</f>
        <v>0</v>
      </c>
      <c r="AP4066" s="82">
        <f>IFERROR(__xludf.DUMMYFUNCTION("""COMPUTED_VALUE"""),0.0)</f>
        <v>0</v>
      </c>
      <c r="AQ4066" s="82">
        <f>IFERROR(__xludf.DUMMYFUNCTION("""COMPUTED_VALUE"""),0.0)</f>
        <v>0</v>
      </c>
      <c r="AR4066" s="82">
        <f>IFERROR(__xludf.DUMMYFUNCTION("""COMPUTED_VALUE"""),0.0)</f>
        <v>0</v>
      </c>
      <c r="AS4066" s="82"/>
      <c r="AT4066" s="82">
        <f>IFERROR(__xludf.DUMMYFUNCTION("""COMPUTED_VALUE"""),0.0)</f>
        <v>0</v>
      </c>
      <c r="AU4066" s="82"/>
      <c r="AV4066" s="82"/>
      <c r="AW4066" s="82" t="str">
        <f t="shared" si="1"/>
        <v/>
      </c>
      <c r="AX4066" s="83" t="str">
        <f t="array" ref="AX4066">IFERROR(DGET('SBV Import'!A:G,"SBV",{"RSC ID","Tier";B4066,A4066}))</f>
        <v/>
      </c>
      <c r="AY4066" s="82" t="str">
        <f t="shared" si="2"/>
        <v/>
      </c>
      <c r="AZ4066" s="82"/>
      <c r="BA4066" s="84" t="s">
        <v>152</v>
      </c>
      <c r="BB4066" s="84" t="str">
        <f>IFERROR(__xludf.DUMMYFUNCTION("iferror(if(A4066="""",,E4066&gt;=FILTER(Constants!$F$2:$F$10,Constants!$A$2:$A$10=A4066)))"),"")</f>
        <v/>
      </c>
    </row>
    <row r="4067">
      <c r="A4067" s="89"/>
      <c r="B4067" s="87"/>
      <c r="C4067" s="73"/>
      <c r="D4067" s="73"/>
      <c r="E4067" s="82"/>
      <c r="F4067" s="82"/>
      <c r="G4067" s="86"/>
      <c r="H4067" s="86"/>
      <c r="I4067" s="86"/>
      <c r="J4067" s="82"/>
      <c r="K4067" s="82"/>
      <c r="L4067" s="82"/>
      <c r="M4067" s="82"/>
      <c r="N4067" s="82"/>
      <c r="O4067" s="82"/>
      <c r="P4067" s="82"/>
      <c r="Q4067" s="82"/>
      <c r="R4067" s="82"/>
      <c r="S4067" s="82"/>
      <c r="T4067" s="82"/>
      <c r="U4067" s="82"/>
      <c r="V4067" s="82"/>
      <c r="W4067" s="82"/>
      <c r="X4067" s="82"/>
      <c r="Y4067" s="82"/>
      <c r="Z4067" s="82"/>
      <c r="AA4067" s="82"/>
      <c r="AB4067" s="82"/>
      <c r="AC4067" s="82"/>
      <c r="AD4067" s="82"/>
      <c r="AE4067" s="82"/>
      <c r="AF4067" s="82"/>
      <c r="AG4067" s="82"/>
      <c r="AH4067" s="82"/>
      <c r="AI4067" s="82"/>
      <c r="AJ4067" s="82"/>
      <c r="AK4067" s="82"/>
      <c r="AL4067" s="82"/>
      <c r="AM4067" s="82"/>
      <c r="AN4067" s="82">
        <f>IFERROR(__xludf.DUMMYFUNCTION("""COMPUTED_VALUE"""),0.0)</f>
        <v>0</v>
      </c>
      <c r="AO4067" s="82">
        <f>IFERROR(__xludf.DUMMYFUNCTION("""COMPUTED_VALUE"""),0.0)</f>
        <v>0</v>
      </c>
      <c r="AP4067" s="82">
        <f>IFERROR(__xludf.DUMMYFUNCTION("""COMPUTED_VALUE"""),0.0)</f>
        <v>0</v>
      </c>
      <c r="AQ4067" s="82">
        <f>IFERROR(__xludf.DUMMYFUNCTION("""COMPUTED_VALUE"""),0.0)</f>
        <v>0</v>
      </c>
      <c r="AR4067" s="82">
        <f>IFERROR(__xludf.DUMMYFUNCTION("""COMPUTED_VALUE"""),0.0)</f>
        <v>0</v>
      </c>
      <c r="AS4067" s="82"/>
      <c r="AT4067" s="82">
        <f>IFERROR(__xludf.DUMMYFUNCTION("""COMPUTED_VALUE"""),0.0)</f>
        <v>0</v>
      </c>
      <c r="AU4067" s="82"/>
      <c r="AV4067" s="82"/>
      <c r="AW4067" s="82" t="str">
        <f t="shared" si="1"/>
        <v/>
      </c>
      <c r="AX4067" s="83" t="str">
        <f t="array" ref="AX4067">IFERROR(DGET('SBV Import'!A:G,"SBV",{"RSC ID","Tier";B4067,A4067}))</f>
        <v/>
      </c>
      <c r="AY4067" s="82" t="str">
        <f t="shared" si="2"/>
        <v/>
      </c>
      <c r="AZ4067" s="82"/>
      <c r="BA4067" s="84" t="s">
        <v>152</v>
      </c>
      <c r="BB4067" s="84" t="str">
        <f>IFERROR(__xludf.DUMMYFUNCTION("iferror(if(A4067="""",,E4067&gt;=FILTER(Constants!$F$2:$F$10,Constants!$A$2:$A$10=A4067)))"),"")</f>
        <v/>
      </c>
    </row>
    <row r="4068">
      <c r="A4068" s="89"/>
      <c r="B4068" s="87"/>
      <c r="C4068" s="73"/>
      <c r="D4068" s="73"/>
      <c r="E4068" s="82"/>
      <c r="F4068" s="82"/>
      <c r="G4068" s="86"/>
      <c r="H4068" s="86"/>
      <c r="I4068" s="86"/>
      <c r="J4068" s="82"/>
      <c r="K4068" s="82"/>
      <c r="L4068" s="82"/>
      <c r="M4068" s="82"/>
      <c r="N4068" s="82"/>
      <c r="O4068" s="82"/>
      <c r="P4068" s="82"/>
      <c r="Q4068" s="82"/>
      <c r="R4068" s="82"/>
      <c r="S4068" s="82"/>
      <c r="T4068" s="82"/>
      <c r="U4068" s="82"/>
      <c r="V4068" s="82"/>
      <c r="W4068" s="82"/>
      <c r="X4068" s="82"/>
      <c r="Y4068" s="82"/>
      <c r="Z4068" s="82"/>
      <c r="AA4068" s="82"/>
      <c r="AB4068" s="82"/>
      <c r="AC4068" s="82"/>
      <c r="AD4068" s="82"/>
      <c r="AE4068" s="82"/>
      <c r="AF4068" s="82"/>
      <c r="AG4068" s="82"/>
      <c r="AH4068" s="82"/>
      <c r="AI4068" s="82"/>
      <c r="AJ4068" s="82"/>
      <c r="AK4068" s="82"/>
      <c r="AL4068" s="82"/>
      <c r="AM4068" s="82"/>
      <c r="AN4068" s="82">
        <f>IFERROR(__xludf.DUMMYFUNCTION("""COMPUTED_VALUE"""),0.0)</f>
        <v>0</v>
      </c>
      <c r="AO4068" s="82">
        <f>IFERROR(__xludf.DUMMYFUNCTION("""COMPUTED_VALUE"""),0.0)</f>
        <v>0</v>
      </c>
      <c r="AP4068" s="82">
        <f>IFERROR(__xludf.DUMMYFUNCTION("""COMPUTED_VALUE"""),0.0)</f>
        <v>0</v>
      </c>
      <c r="AQ4068" s="82">
        <f>IFERROR(__xludf.DUMMYFUNCTION("""COMPUTED_VALUE"""),0.0)</f>
        <v>0</v>
      </c>
      <c r="AR4068" s="82">
        <f>IFERROR(__xludf.DUMMYFUNCTION("""COMPUTED_VALUE"""),0.0)</f>
        <v>0</v>
      </c>
      <c r="AS4068" s="82"/>
      <c r="AT4068" s="82">
        <f>IFERROR(__xludf.DUMMYFUNCTION("""COMPUTED_VALUE"""),0.0)</f>
        <v>0</v>
      </c>
      <c r="AU4068" s="82"/>
      <c r="AV4068" s="82"/>
      <c r="AW4068" s="82" t="str">
        <f t="shared" si="1"/>
        <v/>
      </c>
      <c r="AX4068" s="83" t="str">
        <f t="array" ref="AX4068">IFERROR(DGET('SBV Import'!A:G,"SBV",{"RSC ID","Tier";B4068,A4068}))</f>
        <v/>
      </c>
      <c r="AY4068" s="82" t="str">
        <f t="shared" si="2"/>
        <v/>
      </c>
      <c r="AZ4068" s="82"/>
      <c r="BA4068" s="84" t="s">
        <v>152</v>
      </c>
      <c r="BB4068" s="84" t="str">
        <f>IFERROR(__xludf.DUMMYFUNCTION("iferror(if(A4068="""",,E4068&gt;=FILTER(Constants!$F$2:$F$10,Constants!$A$2:$A$10=A4068)))"),"")</f>
        <v/>
      </c>
    </row>
    <row r="4069">
      <c r="A4069" s="89"/>
      <c r="B4069" s="87"/>
      <c r="C4069" s="73"/>
      <c r="D4069" s="73"/>
      <c r="E4069" s="82"/>
      <c r="F4069" s="82"/>
      <c r="G4069" s="86"/>
      <c r="H4069" s="86"/>
      <c r="I4069" s="86"/>
      <c r="J4069" s="82"/>
      <c r="K4069" s="82"/>
      <c r="L4069" s="82"/>
      <c r="M4069" s="82"/>
      <c r="N4069" s="82"/>
      <c r="O4069" s="82"/>
      <c r="P4069" s="82"/>
      <c r="Q4069" s="82"/>
      <c r="R4069" s="82"/>
      <c r="S4069" s="82"/>
      <c r="T4069" s="82"/>
      <c r="U4069" s="82"/>
      <c r="V4069" s="82"/>
      <c r="W4069" s="82"/>
      <c r="X4069" s="82"/>
      <c r="Y4069" s="82"/>
      <c r="Z4069" s="82"/>
      <c r="AA4069" s="82"/>
      <c r="AB4069" s="82"/>
      <c r="AC4069" s="82"/>
      <c r="AD4069" s="82"/>
      <c r="AE4069" s="82"/>
      <c r="AF4069" s="82"/>
      <c r="AG4069" s="82"/>
      <c r="AH4069" s="82"/>
      <c r="AI4069" s="82"/>
      <c r="AJ4069" s="82"/>
      <c r="AK4069" s="82"/>
      <c r="AL4069" s="82"/>
      <c r="AM4069" s="82"/>
      <c r="AN4069" s="82">
        <f>IFERROR(__xludf.DUMMYFUNCTION("""COMPUTED_VALUE"""),0.0)</f>
        <v>0</v>
      </c>
      <c r="AO4069" s="82">
        <f>IFERROR(__xludf.DUMMYFUNCTION("""COMPUTED_VALUE"""),0.0)</f>
        <v>0</v>
      </c>
      <c r="AP4069" s="82">
        <f>IFERROR(__xludf.DUMMYFUNCTION("""COMPUTED_VALUE"""),0.0)</f>
        <v>0</v>
      </c>
      <c r="AQ4069" s="82">
        <f>IFERROR(__xludf.DUMMYFUNCTION("""COMPUTED_VALUE"""),0.0)</f>
        <v>0</v>
      </c>
      <c r="AR4069" s="82">
        <f>IFERROR(__xludf.DUMMYFUNCTION("""COMPUTED_VALUE"""),0.0)</f>
        <v>0</v>
      </c>
      <c r="AS4069" s="82"/>
      <c r="AT4069" s="82">
        <f>IFERROR(__xludf.DUMMYFUNCTION("""COMPUTED_VALUE"""),0.0)</f>
        <v>0</v>
      </c>
      <c r="AU4069" s="82"/>
      <c r="AV4069" s="82"/>
      <c r="AW4069" s="82" t="str">
        <f t="shared" si="1"/>
        <v/>
      </c>
      <c r="AX4069" s="83" t="str">
        <f t="array" ref="AX4069">IFERROR(DGET('SBV Import'!A:G,"SBV",{"RSC ID","Tier";B4069,A4069}))</f>
        <v/>
      </c>
      <c r="AY4069" s="82" t="str">
        <f t="shared" si="2"/>
        <v/>
      </c>
      <c r="AZ4069" s="82"/>
      <c r="BA4069" s="84" t="s">
        <v>152</v>
      </c>
      <c r="BB4069" s="84" t="str">
        <f>IFERROR(__xludf.DUMMYFUNCTION("iferror(if(A4069="""",,E4069&gt;=FILTER(Constants!$F$2:$F$10,Constants!$A$2:$A$10=A4069)))"),"")</f>
        <v/>
      </c>
    </row>
    <row r="4070">
      <c r="A4070" s="89"/>
      <c r="B4070" s="87"/>
      <c r="C4070" s="73"/>
      <c r="D4070" s="73"/>
      <c r="E4070" s="82"/>
      <c r="F4070" s="82"/>
      <c r="G4070" s="86"/>
      <c r="H4070" s="86"/>
      <c r="I4070" s="86"/>
      <c r="J4070" s="82"/>
      <c r="K4070" s="82"/>
      <c r="L4070" s="82"/>
      <c r="M4070" s="82"/>
      <c r="N4070" s="82"/>
      <c r="O4070" s="82"/>
      <c r="P4070" s="82"/>
      <c r="Q4070" s="82"/>
      <c r="R4070" s="82"/>
      <c r="S4070" s="82"/>
      <c r="T4070" s="82"/>
      <c r="U4070" s="82"/>
      <c r="V4070" s="82"/>
      <c r="W4070" s="82"/>
      <c r="X4070" s="82"/>
      <c r="Y4070" s="82"/>
      <c r="Z4070" s="82"/>
      <c r="AA4070" s="82"/>
      <c r="AB4070" s="82"/>
      <c r="AC4070" s="82"/>
      <c r="AD4070" s="82"/>
      <c r="AE4070" s="82"/>
      <c r="AF4070" s="82"/>
      <c r="AG4070" s="82"/>
      <c r="AH4070" s="82"/>
      <c r="AI4070" s="82"/>
      <c r="AJ4070" s="82"/>
      <c r="AK4070" s="82"/>
      <c r="AL4070" s="82"/>
      <c r="AM4070" s="82"/>
      <c r="AN4070" s="82">
        <f>IFERROR(__xludf.DUMMYFUNCTION("""COMPUTED_VALUE"""),0.0)</f>
        <v>0</v>
      </c>
      <c r="AO4070" s="82">
        <f>IFERROR(__xludf.DUMMYFUNCTION("""COMPUTED_VALUE"""),0.0)</f>
        <v>0</v>
      </c>
      <c r="AP4070" s="82">
        <f>IFERROR(__xludf.DUMMYFUNCTION("""COMPUTED_VALUE"""),0.0)</f>
        <v>0</v>
      </c>
      <c r="AQ4070" s="82">
        <f>IFERROR(__xludf.DUMMYFUNCTION("""COMPUTED_VALUE"""),0.0)</f>
        <v>0</v>
      </c>
      <c r="AR4070" s="82">
        <f>IFERROR(__xludf.DUMMYFUNCTION("""COMPUTED_VALUE"""),0.0)</f>
        <v>0</v>
      </c>
      <c r="AS4070" s="82"/>
      <c r="AT4070" s="82">
        <f>IFERROR(__xludf.DUMMYFUNCTION("""COMPUTED_VALUE"""),0.0)</f>
        <v>0</v>
      </c>
      <c r="AU4070" s="82"/>
      <c r="AV4070" s="82"/>
      <c r="AW4070" s="82" t="str">
        <f t="shared" si="1"/>
        <v/>
      </c>
      <c r="AX4070" s="83" t="str">
        <f t="array" ref="AX4070">IFERROR(DGET('SBV Import'!A:G,"SBV",{"RSC ID","Tier";B4070,A4070}))</f>
        <v/>
      </c>
      <c r="AY4070" s="82" t="str">
        <f t="shared" si="2"/>
        <v/>
      </c>
      <c r="AZ4070" s="82"/>
      <c r="BA4070" s="84" t="s">
        <v>152</v>
      </c>
      <c r="BB4070" s="84" t="str">
        <f>IFERROR(__xludf.DUMMYFUNCTION("iferror(if(A4070="""",,E4070&gt;=FILTER(Constants!$F$2:$F$10,Constants!$A$2:$A$10=A4070)))"),"")</f>
        <v/>
      </c>
    </row>
    <row r="4071">
      <c r="A4071" s="89"/>
      <c r="B4071" s="87"/>
      <c r="C4071" s="73"/>
      <c r="D4071" s="73"/>
      <c r="E4071" s="82"/>
      <c r="F4071" s="82"/>
      <c r="G4071" s="86"/>
      <c r="H4071" s="86"/>
      <c r="I4071" s="86"/>
      <c r="J4071" s="82"/>
      <c r="K4071" s="82"/>
      <c r="L4071" s="82"/>
      <c r="M4071" s="82"/>
      <c r="N4071" s="82"/>
      <c r="O4071" s="82"/>
      <c r="P4071" s="82"/>
      <c r="Q4071" s="82"/>
      <c r="R4071" s="82"/>
      <c r="S4071" s="82"/>
      <c r="T4071" s="82"/>
      <c r="U4071" s="82"/>
      <c r="V4071" s="82"/>
      <c r="W4071" s="82"/>
      <c r="X4071" s="82"/>
      <c r="Y4071" s="82"/>
      <c r="Z4071" s="82"/>
      <c r="AA4071" s="82"/>
      <c r="AB4071" s="82"/>
      <c r="AC4071" s="82"/>
      <c r="AD4071" s="82"/>
      <c r="AE4071" s="82"/>
      <c r="AF4071" s="82"/>
      <c r="AG4071" s="82"/>
      <c r="AH4071" s="82"/>
      <c r="AI4071" s="82"/>
      <c r="AJ4071" s="82"/>
      <c r="AK4071" s="82"/>
      <c r="AL4071" s="82"/>
      <c r="AM4071" s="82"/>
      <c r="AN4071" s="82">
        <f>IFERROR(__xludf.DUMMYFUNCTION("""COMPUTED_VALUE"""),0.0)</f>
        <v>0</v>
      </c>
      <c r="AO4071" s="82">
        <f>IFERROR(__xludf.DUMMYFUNCTION("""COMPUTED_VALUE"""),0.0)</f>
        <v>0</v>
      </c>
      <c r="AP4071" s="82">
        <f>IFERROR(__xludf.DUMMYFUNCTION("""COMPUTED_VALUE"""),0.0)</f>
        <v>0</v>
      </c>
      <c r="AQ4071" s="82">
        <f>IFERROR(__xludf.DUMMYFUNCTION("""COMPUTED_VALUE"""),0.0)</f>
        <v>0</v>
      </c>
      <c r="AR4071" s="82">
        <f>IFERROR(__xludf.DUMMYFUNCTION("""COMPUTED_VALUE"""),0.0)</f>
        <v>0</v>
      </c>
      <c r="AS4071" s="82"/>
      <c r="AT4071" s="82">
        <f>IFERROR(__xludf.DUMMYFUNCTION("""COMPUTED_VALUE"""),0.0)</f>
        <v>0</v>
      </c>
      <c r="AU4071" s="82"/>
      <c r="AV4071" s="82"/>
      <c r="AW4071" s="82" t="str">
        <f t="shared" si="1"/>
        <v/>
      </c>
      <c r="AX4071" s="83" t="str">
        <f t="array" ref="AX4071">IFERROR(DGET('SBV Import'!A:G,"SBV",{"RSC ID","Tier";B4071,A4071}))</f>
        <v/>
      </c>
      <c r="AY4071" s="82" t="str">
        <f t="shared" si="2"/>
        <v/>
      </c>
      <c r="AZ4071" s="82"/>
      <c r="BA4071" s="84" t="s">
        <v>152</v>
      </c>
      <c r="BB4071" s="84" t="str">
        <f>IFERROR(__xludf.DUMMYFUNCTION("iferror(if(A4071="""",,E4071&gt;=FILTER(Constants!$F$2:$F$10,Constants!$A$2:$A$10=A4071)))"),"")</f>
        <v/>
      </c>
    </row>
    <row r="4072">
      <c r="A4072" s="89"/>
      <c r="B4072" s="87"/>
      <c r="C4072" s="73"/>
      <c r="D4072" s="73"/>
      <c r="E4072" s="82"/>
      <c r="F4072" s="82"/>
      <c r="G4072" s="86"/>
      <c r="H4072" s="86"/>
      <c r="I4072" s="86"/>
      <c r="J4072" s="82"/>
      <c r="K4072" s="82"/>
      <c r="L4072" s="82"/>
      <c r="M4072" s="82"/>
      <c r="N4072" s="82"/>
      <c r="O4072" s="82"/>
      <c r="P4072" s="82"/>
      <c r="Q4072" s="82"/>
      <c r="R4072" s="82"/>
      <c r="S4072" s="82"/>
      <c r="T4072" s="82"/>
      <c r="U4072" s="82"/>
      <c r="V4072" s="82"/>
      <c r="W4072" s="82"/>
      <c r="X4072" s="82"/>
      <c r="Y4072" s="82"/>
      <c r="Z4072" s="82"/>
      <c r="AA4072" s="82"/>
      <c r="AB4072" s="82"/>
      <c r="AC4072" s="82"/>
      <c r="AD4072" s="82"/>
      <c r="AE4072" s="82"/>
      <c r="AF4072" s="82"/>
      <c r="AG4072" s="82"/>
      <c r="AH4072" s="82"/>
      <c r="AI4072" s="82"/>
      <c r="AJ4072" s="82"/>
      <c r="AK4072" s="82"/>
      <c r="AL4072" s="82"/>
      <c r="AM4072" s="82"/>
      <c r="AN4072" s="82">
        <f>IFERROR(__xludf.DUMMYFUNCTION("""COMPUTED_VALUE"""),0.0)</f>
        <v>0</v>
      </c>
      <c r="AO4072" s="82">
        <f>IFERROR(__xludf.DUMMYFUNCTION("""COMPUTED_VALUE"""),0.0)</f>
        <v>0</v>
      </c>
      <c r="AP4072" s="82">
        <f>IFERROR(__xludf.DUMMYFUNCTION("""COMPUTED_VALUE"""),0.0)</f>
        <v>0</v>
      </c>
      <c r="AQ4072" s="82">
        <f>IFERROR(__xludf.DUMMYFUNCTION("""COMPUTED_VALUE"""),0.0)</f>
        <v>0</v>
      </c>
      <c r="AR4072" s="82">
        <f>IFERROR(__xludf.DUMMYFUNCTION("""COMPUTED_VALUE"""),0.0)</f>
        <v>0</v>
      </c>
      <c r="AS4072" s="82"/>
      <c r="AT4072" s="82">
        <f>IFERROR(__xludf.DUMMYFUNCTION("""COMPUTED_VALUE"""),0.0)</f>
        <v>0</v>
      </c>
      <c r="AU4072" s="82"/>
      <c r="AV4072" s="82"/>
      <c r="AW4072" s="82" t="str">
        <f t="shared" si="1"/>
        <v/>
      </c>
      <c r="AX4072" s="83" t="str">
        <f t="array" ref="AX4072">IFERROR(DGET('SBV Import'!A:G,"SBV",{"RSC ID","Tier";B4072,A4072}))</f>
        <v/>
      </c>
      <c r="AY4072" s="82" t="str">
        <f t="shared" si="2"/>
        <v/>
      </c>
      <c r="AZ4072" s="82"/>
      <c r="BA4072" s="84" t="s">
        <v>152</v>
      </c>
      <c r="BB4072" s="84" t="str">
        <f>IFERROR(__xludf.DUMMYFUNCTION("iferror(if(A4072="""",,E4072&gt;=FILTER(Constants!$F$2:$F$10,Constants!$A$2:$A$10=A4072)))"),"")</f>
        <v/>
      </c>
    </row>
    <row r="4073">
      <c r="A4073" s="89"/>
      <c r="B4073" s="87"/>
      <c r="C4073" s="73"/>
      <c r="D4073" s="73"/>
      <c r="E4073" s="82"/>
      <c r="F4073" s="82"/>
      <c r="G4073" s="86"/>
      <c r="H4073" s="86"/>
      <c r="I4073" s="86"/>
      <c r="J4073" s="82"/>
      <c r="K4073" s="82"/>
      <c r="L4073" s="82"/>
      <c r="M4073" s="82"/>
      <c r="N4073" s="82"/>
      <c r="O4073" s="82"/>
      <c r="P4073" s="82"/>
      <c r="Q4073" s="82"/>
      <c r="R4073" s="82"/>
      <c r="S4073" s="82"/>
      <c r="T4073" s="82"/>
      <c r="U4073" s="82"/>
      <c r="V4073" s="82"/>
      <c r="W4073" s="82"/>
      <c r="X4073" s="82"/>
      <c r="Y4073" s="82"/>
      <c r="Z4073" s="82"/>
      <c r="AA4073" s="82"/>
      <c r="AB4073" s="82"/>
      <c r="AC4073" s="82"/>
      <c r="AD4073" s="82"/>
      <c r="AE4073" s="82"/>
      <c r="AF4073" s="82"/>
      <c r="AG4073" s="82"/>
      <c r="AH4073" s="82"/>
      <c r="AI4073" s="82"/>
      <c r="AJ4073" s="82"/>
      <c r="AK4073" s="82"/>
      <c r="AL4073" s="82"/>
      <c r="AM4073" s="82"/>
      <c r="AN4073" s="82">
        <f>IFERROR(__xludf.DUMMYFUNCTION("""COMPUTED_VALUE"""),0.0)</f>
        <v>0</v>
      </c>
      <c r="AO4073" s="82">
        <f>IFERROR(__xludf.DUMMYFUNCTION("""COMPUTED_VALUE"""),0.0)</f>
        <v>0</v>
      </c>
      <c r="AP4073" s="82">
        <f>IFERROR(__xludf.DUMMYFUNCTION("""COMPUTED_VALUE"""),0.0)</f>
        <v>0</v>
      </c>
      <c r="AQ4073" s="82">
        <f>IFERROR(__xludf.DUMMYFUNCTION("""COMPUTED_VALUE"""),0.0)</f>
        <v>0</v>
      </c>
      <c r="AR4073" s="82">
        <f>IFERROR(__xludf.DUMMYFUNCTION("""COMPUTED_VALUE"""),0.0)</f>
        <v>0</v>
      </c>
      <c r="AS4073" s="82"/>
      <c r="AT4073" s="82">
        <f>IFERROR(__xludf.DUMMYFUNCTION("""COMPUTED_VALUE"""),0.0)</f>
        <v>0</v>
      </c>
      <c r="AU4073" s="82"/>
      <c r="AV4073" s="82"/>
      <c r="AW4073" s="82" t="str">
        <f t="shared" si="1"/>
        <v/>
      </c>
      <c r="AX4073" s="83" t="str">
        <f t="array" ref="AX4073">IFERROR(DGET('SBV Import'!A:G,"SBV",{"RSC ID","Tier";B4073,A4073}))</f>
        <v/>
      </c>
      <c r="AY4073" s="82" t="str">
        <f t="shared" si="2"/>
        <v/>
      </c>
      <c r="AZ4073" s="82"/>
      <c r="BA4073" s="84" t="s">
        <v>152</v>
      </c>
      <c r="BB4073" s="84" t="str">
        <f>IFERROR(__xludf.DUMMYFUNCTION("iferror(if(A4073="""",,E4073&gt;=FILTER(Constants!$F$2:$F$10,Constants!$A$2:$A$10=A4073)))"),"")</f>
        <v/>
      </c>
    </row>
    <row r="4074">
      <c r="A4074" s="89"/>
      <c r="B4074" s="87"/>
      <c r="C4074" s="73"/>
      <c r="D4074" s="73"/>
      <c r="E4074" s="82"/>
      <c r="F4074" s="82"/>
      <c r="G4074" s="86"/>
      <c r="H4074" s="86"/>
      <c r="I4074" s="86"/>
      <c r="J4074" s="82"/>
      <c r="K4074" s="82"/>
      <c r="L4074" s="82"/>
      <c r="M4074" s="82"/>
      <c r="N4074" s="82"/>
      <c r="O4074" s="82"/>
      <c r="P4074" s="82"/>
      <c r="Q4074" s="82"/>
      <c r="R4074" s="82"/>
      <c r="S4074" s="82"/>
      <c r="T4074" s="82"/>
      <c r="U4074" s="82"/>
      <c r="V4074" s="82"/>
      <c r="W4074" s="82"/>
      <c r="X4074" s="82"/>
      <c r="Y4074" s="82"/>
      <c r="Z4074" s="82"/>
      <c r="AA4074" s="82"/>
      <c r="AB4074" s="82"/>
      <c r="AC4074" s="82"/>
      <c r="AD4074" s="82"/>
      <c r="AE4074" s="82"/>
      <c r="AF4074" s="82"/>
      <c r="AG4074" s="82"/>
      <c r="AH4074" s="82"/>
      <c r="AI4074" s="82"/>
      <c r="AJ4074" s="82"/>
      <c r="AK4074" s="82"/>
      <c r="AL4074" s="82"/>
      <c r="AM4074" s="82"/>
      <c r="AN4074" s="82">
        <f>IFERROR(__xludf.DUMMYFUNCTION("""COMPUTED_VALUE"""),0.0)</f>
        <v>0</v>
      </c>
      <c r="AO4074" s="82">
        <f>IFERROR(__xludf.DUMMYFUNCTION("""COMPUTED_VALUE"""),0.0)</f>
        <v>0</v>
      </c>
      <c r="AP4074" s="82">
        <f>IFERROR(__xludf.DUMMYFUNCTION("""COMPUTED_VALUE"""),0.0)</f>
        <v>0</v>
      </c>
      <c r="AQ4074" s="82">
        <f>IFERROR(__xludf.DUMMYFUNCTION("""COMPUTED_VALUE"""),0.0)</f>
        <v>0</v>
      </c>
      <c r="AR4074" s="82">
        <f>IFERROR(__xludf.DUMMYFUNCTION("""COMPUTED_VALUE"""),0.0)</f>
        <v>0</v>
      </c>
      <c r="AS4074" s="82"/>
      <c r="AT4074" s="82">
        <f>IFERROR(__xludf.DUMMYFUNCTION("""COMPUTED_VALUE"""),0.0)</f>
        <v>0</v>
      </c>
      <c r="AU4074" s="82"/>
      <c r="AV4074" s="82"/>
      <c r="AW4074" s="82" t="str">
        <f t="shared" si="1"/>
        <v/>
      </c>
      <c r="AX4074" s="83" t="str">
        <f t="array" ref="AX4074">IFERROR(DGET('SBV Import'!A:G,"SBV",{"RSC ID","Tier";B4074,A4074}))</f>
        <v/>
      </c>
      <c r="AY4074" s="82" t="str">
        <f t="shared" si="2"/>
        <v/>
      </c>
      <c r="AZ4074" s="82"/>
      <c r="BA4074" s="84" t="s">
        <v>152</v>
      </c>
      <c r="BB4074" s="84" t="str">
        <f>IFERROR(__xludf.DUMMYFUNCTION("iferror(if(A4074="""",,E4074&gt;=FILTER(Constants!$F$2:$F$10,Constants!$A$2:$A$10=A4074)))"),"")</f>
        <v/>
      </c>
    </row>
    <row r="4075">
      <c r="A4075" s="89"/>
      <c r="B4075" s="87"/>
      <c r="C4075" s="73"/>
      <c r="D4075" s="73"/>
      <c r="E4075" s="82"/>
      <c r="F4075" s="82"/>
      <c r="G4075" s="86"/>
      <c r="H4075" s="86"/>
      <c r="I4075" s="86"/>
      <c r="J4075" s="82"/>
      <c r="K4075" s="82"/>
      <c r="L4075" s="82"/>
      <c r="M4075" s="82"/>
      <c r="N4075" s="82"/>
      <c r="O4075" s="82"/>
      <c r="P4075" s="82"/>
      <c r="Q4075" s="82"/>
      <c r="R4075" s="82"/>
      <c r="S4075" s="82"/>
      <c r="T4075" s="82"/>
      <c r="U4075" s="82"/>
      <c r="V4075" s="82"/>
      <c r="W4075" s="82"/>
      <c r="X4075" s="82"/>
      <c r="Y4075" s="82"/>
      <c r="Z4075" s="82"/>
      <c r="AA4075" s="82"/>
      <c r="AB4075" s="82"/>
      <c r="AC4075" s="82"/>
      <c r="AD4075" s="82"/>
      <c r="AE4075" s="82"/>
      <c r="AF4075" s="82"/>
      <c r="AG4075" s="82"/>
      <c r="AH4075" s="82"/>
      <c r="AI4075" s="82"/>
      <c r="AJ4075" s="82"/>
      <c r="AK4075" s="82"/>
      <c r="AL4075" s="82"/>
      <c r="AM4075" s="82"/>
      <c r="AN4075" s="82">
        <f>IFERROR(__xludf.DUMMYFUNCTION("""COMPUTED_VALUE"""),0.0)</f>
        <v>0</v>
      </c>
      <c r="AO4075" s="82">
        <f>IFERROR(__xludf.DUMMYFUNCTION("""COMPUTED_VALUE"""),0.0)</f>
        <v>0</v>
      </c>
      <c r="AP4075" s="82">
        <f>IFERROR(__xludf.DUMMYFUNCTION("""COMPUTED_VALUE"""),0.0)</f>
        <v>0</v>
      </c>
      <c r="AQ4075" s="82">
        <f>IFERROR(__xludf.DUMMYFUNCTION("""COMPUTED_VALUE"""),0.0)</f>
        <v>0</v>
      </c>
      <c r="AR4075" s="82">
        <f>IFERROR(__xludf.DUMMYFUNCTION("""COMPUTED_VALUE"""),0.0)</f>
        <v>0</v>
      </c>
      <c r="AS4075" s="82"/>
      <c r="AT4075" s="82">
        <f>IFERROR(__xludf.DUMMYFUNCTION("""COMPUTED_VALUE"""),0.0)</f>
        <v>0</v>
      </c>
      <c r="AU4075" s="82"/>
      <c r="AV4075" s="82"/>
      <c r="AW4075" s="82" t="str">
        <f t="shared" si="1"/>
        <v/>
      </c>
      <c r="AX4075" s="83" t="str">
        <f t="array" ref="AX4075">IFERROR(DGET('SBV Import'!A:G,"SBV",{"RSC ID","Tier";B4075,A4075}))</f>
        <v/>
      </c>
      <c r="AY4075" s="82" t="str">
        <f t="shared" si="2"/>
        <v/>
      </c>
      <c r="AZ4075" s="82"/>
      <c r="BA4075" s="84" t="s">
        <v>152</v>
      </c>
      <c r="BB4075" s="84" t="str">
        <f>IFERROR(__xludf.DUMMYFUNCTION("iferror(if(A4075="""",,E4075&gt;=FILTER(Constants!$F$2:$F$10,Constants!$A$2:$A$10=A4075)))"),"")</f>
        <v/>
      </c>
    </row>
    <row r="4076">
      <c r="A4076" s="89"/>
      <c r="B4076" s="87"/>
      <c r="C4076" s="73"/>
      <c r="D4076" s="73"/>
      <c r="E4076" s="82"/>
      <c r="F4076" s="82"/>
      <c r="G4076" s="86"/>
      <c r="H4076" s="86"/>
      <c r="I4076" s="86"/>
      <c r="J4076" s="82"/>
      <c r="K4076" s="82"/>
      <c r="L4076" s="82"/>
      <c r="M4076" s="82"/>
      <c r="N4076" s="82"/>
      <c r="O4076" s="82"/>
      <c r="P4076" s="82"/>
      <c r="Q4076" s="82"/>
      <c r="R4076" s="82"/>
      <c r="S4076" s="82"/>
      <c r="T4076" s="82"/>
      <c r="U4076" s="82"/>
      <c r="V4076" s="82"/>
      <c r="W4076" s="82"/>
      <c r="X4076" s="82"/>
      <c r="Y4076" s="82"/>
      <c r="Z4076" s="82"/>
      <c r="AA4076" s="82"/>
      <c r="AB4076" s="82"/>
      <c r="AC4076" s="82"/>
      <c r="AD4076" s="82"/>
      <c r="AE4076" s="82"/>
      <c r="AF4076" s="82"/>
      <c r="AG4076" s="82"/>
      <c r="AH4076" s="82"/>
      <c r="AI4076" s="82"/>
      <c r="AJ4076" s="82"/>
      <c r="AK4076" s="82"/>
      <c r="AL4076" s="82"/>
      <c r="AM4076" s="82"/>
      <c r="AN4076" s="82">
        <f>IFERROR(__xludf.DUMMYFUNCTION("""COMPUTED_VALUE"""),0.0)</f>
        <v>0</v>
      </c>
      <c r="AO4076" s="82">
        <f>IFERROR(__xludf.DUMMYFUNCTION("""COMPUTED_VALUE"""),0.0)</f>
        <v>0</v>
      </c>
      <c r="AP4076" s="82">
        <f>IFERROR(__xludf.DUMMYFUNCTION("""COMPUTED_VALUE"""),0.0)</f>
        <v>0</v>
      </c>
      <c r="AQ4076" s="82">
        <f>IFERROR(__xludf.DUMMYFUNCTION("""COMPUTED_VALUE"""),0.0)</f>
        <v>0</v>
      </c>
      <c r="AR4076" s="82">
        <f>IFERROR(__xludf.DUMMYFUNCTION("""COMPUTED_VALUE"""),0.0)</f>
        <v>0</v>
      </c>
      <c r="AS4076" s="82"/>
      <c r="AT4076" s="82">
        <f>IFERROR(__xludf.DUMMYFUNCTION("""COMPUTED_VALUE"""),0.0)</f>
        <v>0</v>
      </c>
      <c r="AU4076" s="82"/>
      <c r="AV4076" s="82"/>
      <c r="AW4076" s="82" t="str">
        <f t="shared" si="1"/>
        <v/>
      </c>
      <c r="AX4076" s="83" t="str">
        <f t="array" ref="AX4076">IFERROR(DGET('SBV Import'!A:G,"SBV",{"RSC ID","Tier";B4076,A4076}))</f>
        <v/>
      </c>
      <c r="AY4076" s="82" t="str">
        <f t="shared" si="2"/>
        <v/>
      </c>
      <c r="AZ4076" s="82"/>
      <c r="BA4076" s="84" t="s">
        <v>152</v>
      </c>
      <c r="BB4076" s="84" t="str">
        <f>IFERROR(__xludf.DUMMYFUNCTION("iferror(if(A4076="""",,E4076&gt;=FILTER(Constants!$F$2:$F$10,Constants!$A$2:$A$10=A4076)))"),"")</f>
        <v/>
      </c>
    </row>
    <row r="4077">
      <c r="A4077" s="89"/>
      <c r="B4077" s="87"/>
      <c r="C4077" s="73"/>
      <c r="D4077" s="73"/>
      <c r="E4077" s="82"/>
      <c r="F4077" s="82"/>
      <c r="G4077" s="86"/>
      <c r="H4077" s="86"/>
      <c r="I4077" s="86"/>
      <c r="J4077" s="82"/>
      <c r="K4077" s="82"/>
      <c r="L4077" s="82"/>
      <c r="M4077" s="82"/>
      <c r="N4077" s="82"/>
      <c r="O4077" s="82"/>
      <c r="P4077" s="82"/>
      <c r="Q4077" s="82"/>
      <c r="R4077" s="82"/>
      <c r="S4077" s="82"/>
      <c r="T4077" s="82"/>
      <c r="U4077" s="82"/>
      <c r="V4077" s="82"/>
      <c r="W4077" s="82"/>
      <c r="X4077" s="82"/>
      <c r="Y4077" s="82"/>
      <c r="Z4077" s="82"/>
      <c r="AA4077" s="82"/>
      <c r="AB4077" s="82"/>
      <c r="AC4077" s="82"/>
      <c r="AD4077" s="82"/>
      <c r="AE4077" s="82"/>
      <c r="AF4077" s="82"/>
      <c r="AG4077" s="82"/>
      <c r="AH4077" s="82"/>
      <c r="AI4077" s="82"/>
      <c r="AJ4077" s="82"/>
      <c r="AK4077" s="82"/>
      <c r="AL4077" s="82"/>
      <c r="AM4077" s="82"/>
      <c r="AN4077" s="82">
        <f>IFERROR(__xludf.DUMMYFUNCTION("""COMPUTED_VALUE"""),0.0)</f>
        <v>0</v>
      </c>
      <c r="AO4077" s="82">
        <f>IFERROR(__xludf.DUMMYFUNCTION("""COMPUTED_VALUE"""),0.0)</f>
        <v>0</v>
      </c>
      <c r="AP4077" s="82">
        <f>IFERROR(__xludf.DUMMYFUNCTION("""COMPUTED_VALUE"""),0.0)</f>
        <v>0</v>
      </c>
      <c r="AQ4077" s="82">
        <f>IFERROR(__xludf.DUMMYFUNCTION("""COMPUTED_VALUE"""),0.0)</f>
        <v>0</v>
      </c>
      <c r="AR4077" s="82">
        <f>IFERROR(__xludf.DUMMYFUNCTION("""COMPUTED_VALUE"""),0.0)</f>
        <v>0</v>
      </c>
      <c r="AS4077" s="82"/>
      <c r="AT4077" s="82">
        <f>IFERROR(__xludf.DUMMYFUNCTION("""COMPUTED_VALUE"""),0.0)</f>
        <v>0</v>
      </c>
      <c r="AU4077" s="82"/>
      <c r="AV4077" s="82"/>
      <c r="AW4077" s="82" t="str">
        <f t="shared" si="1"/>
        <v/>
      </c>
      <c r="AX4077" s="83" t="str">
        <f t="array" ref="AX4077">IFERROR(DGET('SBV Import'!A:G,"SBV",{"RSC ID","Tier";B4077,A4077}))</f>
        <v/>
      </c>
      <c r="AY4077" s="82" t="str">
        <f t="shared" si="2"/>
        <v/>
      </c>
      <c r="AZ4077" s="82"/>
      <c r="BA4077" s="84" t="s">
        <v>152</v>
      </c>
      <c r="BB4077" s="84" t="str">
        <f>IFERROR(__xludf.DUMMYFUNCTION("iferror(if(A4077="""",,E4077&gt;=FILTER(Constants!$F$2:$F$10,Constants!$A$2:$A$10=A4077)))"),"")</f>
        <v/>
      </c>
    </row>
    <row r="4078">
      <c r="A4078" s="89"/>
      <c r="B4078" s="87"/>
      <c r="C4078" s="73"/>
      <c r="D4078" s="73"/>
      <c r="E4078" s="82"/>
      <c r="F4078" s="82"/>
      <c r="G4078" s="86"/>
      <c r="H4078" s="86"/>
      <c r="I4078" s="86"/>
      <c r="J4078" s="82"/>
      <c r="K4078" s="82"/>
      <c r="L4078" s="82"/>
      <c r="M4078" s="82"/>
      <c r="N4078" s="82"/>
      <c r="O4078" s="82"/>
      <c r="P4078" s="82"/>
      <c r="Q4078" s="82"/>
      <c r="R4078" s="82"/>
      <c r="S4078" s="82"/>
      <c r="T4078" s="82"/>
      <c r="U4078" s="82"/>
      <c r="V4078" s="82"/>
      <c r="W4078" s="82"/>
      <c r="X4078" s="82"/>
      <c r="Y4078" s="82"/>
      <c r="Z4078" s="82"/>
      <c r="AA4078" s="82"/>
      <c r="AB4078" s="82"/>
      <c r="AC4078" s="82"/>
      <c r="AD4078" s="82"/>
      <c r="AE4078" s="82"/>
      <c r="AF4078" s="82"/>
      <c r="AG4078" s="82"/>
      <c r="AH4078" s="82"/>
      <c r="AI4078" s="82"/>
      <c r="AJ4078" s="82"/>
      <c r="AK4078" s="82"/>
      <c r="AL4078" s="82"/>
      <c r="AM4078" s="82"/>
      <c r="AN4078" s="82">
        <f>IFERROR(__xludf.DUMMYFUNCTION("""COMPUTED_VALUE"""),0.0)</f>
        <v>0</v>
      </c>
      <c r="AO4078" s="82">
        <f>IFERROR(__xludf.DUMMYFUNCTION("""COMPUTED_VALUE"""),0.0)</f>
        <v>0</v>
      </c>
      <c r="AP4078" s="82">
        <f>IFERROR(__xludf.DUMMYFUNCTION("""COMPUTED_VALUE"""),0.0)</f>
        <v>0</v>
      </c>
      <c r="AQ4078" s="82">
        <f>IFERROR(__xludf.DUMMYFUNCTION("""COMPUTED_VALUE"""),0.0)</f>
        <v>0</v>
      </c>
      <c r="AR4078" s="82">
        <f>IFERROR(__xludf.DUMMYFUNCTION("""COMPUTED_VALUE"""),0.0)</f>
        <v>0</v>
      </c>
      <c r="AS4078" s="82"/>
      <c r="AT4078" s="82">
        <f>IFERROR(__xludf.DUMMYFUNCTION("""COMPUTED_VALUE"""),0.0)</f>
        <v>0</v>
      </c>
      <c r="AU4078" s="82"/>
      <c r="AV4078" s="82"/>
      <c r="AW4078" s="82" t="str">
        <f t="shared" si="1"/>
        <v/>
      </c>
      <c r="AX4078" s="83" t="str">
        <f t="array" ref="AX4078">IFERROR(DGET('SBV Import'!A:G,"SBV",{"RSC ID","Tier";B4078,A4078}))</f>
        <v/>
      </c>
      <c r="AY4078" s="82" t="str">
        <f t="shared" si="2"/>
        <v/>
      </c>
      <c r="AZ4078" s="82"/>
      <c r="BA4078" s="84" t="s">
        <v>152</v>
      </c>
      <c r="BB4078" s="84" t="str">
        <f>IFERROR(__xludf.DUMMYFUNCTION("iferror(if(A4078="""",,E4078&gt;=FILTER(Constants!$F$2:$F$10,Constants!$A$2:$A$10=A4078)))"),"")</f>
        <v/>
      </c>
    </row>
    <row r="4079">
      <c r="A4079" s="89"/>
      <c r="B4079" s="87"/>
      <c r="C4079" s="73"/>
      <c r="D4079" s="73"/>
      <c r="E4079" s="82"/>
      <c r="F4079" s="82"/>
      <c r="G4079" s="86"/>
      <c r="H4079" s="86"/>
      <c r="I4079" s="86"/>
      <c r="J4079" s="82"/>
      <c r="K4079" s="82"/>
      <c r="L4079" s="82"/>
      <c r="M4079" s="82"/>
      <c r="N4079" s="82"/>
      <c r="O4079" s="82"/>
      <c r="P4079" s="82"/>
      <c r="Q4079" s="82"/>
      <c r="R4079" s="82"/>
      <c r="S4079" s="82"/>
      <c r="T4079" s="82"/>
      <c r="U4079" s="82"/>
      <c r="V4079" s="82"/>
      <c r="W4079" s="82"/>
      <c r="X4079" s="82"/>
      <c r="Y4079" s="82"/>
      <c r="Z4079" s="82"/>
      <c r="AA4079" s="82"/>
      <c r="AB4079" s="82"/>
      <c r="AC4079" s="82"/>
      <c r="AD4079" s="82"/>
      <c r="AE4079" s="82"/>
      <c r="AF4079" s="82"/>
      <c r="AG4079" s="82"/>
      <c r="AH4079" s="82"/>
      <c r="AI4079" s="82"/>
      <c r="AJ4079" s="82"/>
      <c r="AK4079" s="82"/>
      <c r="AL4079" s="82"/>
      <c r="AM4079" s="82"/>
      <c r="AN4079" s="82">
        <f>IFERROR(__xludf.DUMMYFUNCTION("""COMPUTED_VALUE"""),0.0)</f>
        <v>0</v>
      </c>
      <c r="AO4079" s="82">
        <f>IFERROR(__xludf.DUMMYFUNCTION("""COMPUTED_VALUE"""),0.0)</f>
        <v>0</v>
      </c>
      <c r="AP4079" s="82">
        <f>IFERROR(__xludf.DUMMYFUNCTION("""COMPUTED_VALUE"""),0.0)</f>
        <v>0</v>
      </c>
      <c r="AQ4079" s="82">
        <f>IFERROR(__xludf.DUMMYFUNCTION("""COMPUTED_VALUE"""),0.0)</f>
        <v>0</v>
      </c>
      <c r="AR4079" s="82">
        <f>IFERROR(__xludf.DUMMYFUNCTION("""COMPUTED_VALUE"""),0.0)</f>
        <v>0</v>
      </c>
      <c r="AS4079" s="82"/>
      <c r="AT4079" s="82">
        <f>IFERROR(__xludf.DUMMYFUNCTION("""COMPUTED_VALUE"""),0.0)</f>
        <v>0</v>
      </c>
      <c r="AU4079" s="82"/>
      <c r="AV4079" s="82"/>
      <c r="AW4079" s="82" t="str">
        <f t="shared" si="1"/>
        <v/>
      </c>
      <c r="AX4079" s="83" t="str">
        <f t="array" ref="AX4079">IFERROR(DGET('SBV Import'!A:G,"SBV",{"RSC ID","Tier";B4079,A4079}))</f>
        <v/>
      </c>
      <c r="AY4079" s="82" t="str">
        <f t="shared" si="2"/>
        <v/>
      </c>
      <c r="AZ4079" s="82"/>
      <c r="BA4079" s="84" t="s">
        <v>152</v>
      </c>
      <c r="BB4079" s="84" t="str">
        <f>IFERROR(__xludf.DUMMYFUNCTION("iferror(if(A4079="""",,E4079&gt;=FILTER(Constants!$F$2:$F$10,Constants!$A$2:$A$10=A4079)))"),"")</f>
        <v/>
      </c>
    </row>
    <row r="4080">
      <c r="A4080" s="89"/>
      <c r="B4080" s="87"/>
      <c r="C4080" s="73"/>
      <c r="D4080" s="73"/>
      <c r="E4080" s="82"/>
      <c r="F4080" s="82"/>
      <c r="G4080" s="86"/>
      <c r="H4080" s="86"/>
      <c r="I4080" s="86"/>
      <c r="J4080" s="82"/>
      <c r="K4080" s="82"/>
      <c r="L4080" s="82"/>
      <c r="M4080" s="82"/>
      <c r="N4080" s="82"/>
      <c r="O4080" s="82"/>
      <c r="P4080" s="82"/>
      <c r="Q4080" s="82"/>
      <c r="R4080" s="82"/>
      <c r="S4080" s="82"/>
      <c r="T4080" s="82"/>
      <c r="U4080" s="82"/>
      <c r="V4080" s="82"/>
      <c r="W4080" s="82"/>
      <c r="X4080" s="82"/>
      <c r="Y4080" s="82"/>
      <c r="Z4080" s="82"/>
      <c r="AA4080" s="82"/>
      <c r="AB4080" s="82"/>
      <c r="AC4080" s="82"/>
      <c r="AD4080" s="82"/>
      <c r="AE4080" s="82"/>
      <c r="AF4080" s="82"/>
      <c r="AG4080" s="82"/>
      <c r="AH4080" s="82"/>
      <c r="AI4080" s="82"/>
      <c r="AJ4080" s="82"/>
      <c r="AK4080" s="82"/>
      <c r="AL4080" s="82"/>
      <c r="AM4080" s="82"/>
      <c r="AN4080" s="82">
        <f>IFERROR(__xludf.DUMMYFUNCTION("""COMPUTED_VALUE"""),0.0)</f>
        <v>0</v>
      </c>
      <c r="AO4080" s="82">
        <f>IFERROR(__xludf.DUMMYFUNCTION("""COMPUTED_VALUE"""),0.0)</f>
        <v>0</v>
      </c>
      <c r="AP4080" s="82">
        <f>IFERROR(__xludf.DUMMYFUNCTION("""COMPUTED_VALUE"""),0.0)</f>
        <v>0</v>
      </c>
      <c r="AQ4080" s="82">
        <f>IFERROR(__xludf.DUMMYFUNCTION("""COMPUTED_VALUE"""),0.0)</f>
        <v>0</v>
      </c>
      <c r="AR4080" s="82">
        <f>IFERROR(__xludf.DUMMYFUNCTION("""COMPUTED_VALUE"""),0.0)</f>
        <v>0</v>
      </c>
      <c r="AS4080" s="82"/>
      <c r="AT4080" s="82">
        <f>IFERROR(__xludf.DUMMYFUNCTION("""COMPUTED_VALUE"""),0.0)</f>
        <v>0</v>
      </c>
      <c r="AU4080" s="82"/>
      <c r="AV4080" s="82"/>
      <c r="AW4080" s="82" t="str">
        <f t="shared" si="1"/>
        <v/>
      </c>
      <c r="AX4080" s="83" t="str">
        <f t="array" ref="AX4080">IFERROR(DGET('SBV Import'!A:G,"SBV",{"RSC ID","Tier";B4080,A4080}))</f>
        <v/>
      </c>
      <c r="AY4080" s="82" t="str">
        <f t="shared" si="2"/>
        <v/>
      </c>
      <c r="AZ4080" s="82"/>
      <c r="BA4080" s="84" t="s">
        <v>152</v>
      </c>
      <c r="BB4080" s="84" t="str">
        <f>IFERROR(__xludf.DUMMYFUNCTION("iferror(if(A4080="""",,E4080&gt;=FILTER(Constants!$F$2:$F$10,Constants!$A$2:$A$10=A4080)))"),"")</f>
        <v/>
      </c>
    </row>
    <row r="4081">
      <c r="A4081" s="89"/>
      <c r="B4081" s="87"/>
      <c r="C4081" s="73"/>
      <c r="D4081" s="73"/>
      <c r="E4081" s="82"/>
      <c r="F4081" s="82"/>
      <c r="G4081" s="86"/>
      <c r="H4081" s="86"/>
      <c r="I4081" s="86"/>
      <c r="J4081" s="82"/>
      <c r="K4081" s="82"/>
      <c r="L4081" s="82"/>
      <c r="M4081" s="82"/>
      <c r="N4081" s="82"/>
      <c r="O4081" s="82"/>
      <c r="P4081" s="82"/>
      <c r="Q4081" s="82"/>
      <c r="R4081" s="82"/>
      <c r="S4081" s="82"/>
      <c r="T4081" s="82"/>
      <c r="U4081" s="82"/>
      <c r="V4081" s="82"/>
      <c r="W4081" s="82"/>
      <c r="X4081" s="82"/>
      <c r="Y4081" s="82"/>
      <c r="Z4081" s="82"/>
      <c r="AA4081" s="82"/>
      <c r="AB4081" s="82"/>
      <c r="AC4081" s="82"/>
      <c r="AD4081" s="82"/>
      <c r="AE4081" s="82"/>
      <c r="AF4081" s="82"/>
      <c r="AG4081" s="82"/>
      <c r="AH4081" s="82"/>
      <c r="AI4081" s="82"/>
      <c r="AJ4081" s="82"/>
      <c r="AK4081" s="82"/>
      <c r="AL4081" s="82"/>
      <c r="AM4081" s="82"/>
      <c r="AN4081" s="82">
        <f>IFERROR(__xludf.DUMMYFUNCTION("""COMPUTED_VALUE"""),0.0)</f>
        <v>0</v>
      </c>
      <c r="AO4081" s="82">
        <f>IFERROR(__xludf.DUMMYFUNCTION("""COMPUTED_VALUE"""),0.0)</f>
        <v>0</v>
      </c>
      <c r="AP4081" s="82">
        <f>IFERROR(__xludf.DUMMYFUNCTION("""COMPUTED_VALUE"""),0.0)</f>
        <v>0</v>
      </c>
      <c r="AQ4081" s="82">
        <f>IFERROR(__xludf.DUMMYFUNCTION("""COMPUTED_VALUE"""),0.0)</f>
        <v>0</v>
      </c>
      <c r="AR4081" s="82">
        <f>IFERROR(__xludf.DUMMYFUNCTION("""COMPUTED_VALUE"""),0.0)</f>
        <v>0</v>
      </c>
      <c r="AS4081" s="82"/>
      <c r="AT4081" s="82">
        <f>IFERROR(__xludf.DUMMYFUNCTION("""COMPUTED_VALUE"""),0.0)</f>
        <v>0</v>
      </c>
      <c r="AU4081" s="82"/>
      <c r="AV4081" s="82"/>
      <c r="AW4081" s="82" t="str">
        <f t="shared" si="1"/>
        <v/>
      </c>
      <c r="AX4081" s="83" t="str">
        <f t="array" ref="AX4081">IFERROR(DGET('SBV Import'!A:G,"SBV",{"RSC ID","Tier";B4081,A4081}))</f>
        <v/>
      </c>
      <c r="AY4081" s="82" t="str">
        <f t="shared" si="2"/>
        <v/>
      </c>
      <c r="AZ4081" s="82"/>
      <c r="BA4081" s="84" t="s">
        <v>152</v>
      </c>
      <c r="BB4081" s="84" t="str">
        <f>IFERROR(__xludf.DUMMYFUNCTION("iferror(if(A4081="""",,E4081&gt;=FILTER(Constants!$F$2:$F$10,Constants!$A$2:$A$10=A4081)))"),"")</f>
        <v/>
      </c>
    </row>
    <row r="4082">
      <c r="A4082" s="89"/>
      <c r="B4082" s="87"/>
      <c r="C4082" s="73"/>
      <c r="D4082" s="73"/>
      <c r="E4082" s="82"/>
      <c r="F4082" s="82"/>
      <c r="G4082" s="86"/>
      <c r="H4082" s="86"/>
      <c r="I4082" s="86"/>
      <c r="J4082" s="82"/>
      <c r="K4082" s="82"/>
      <c r="L4082" s="82"/>
      <c r="M4082" s="82"/>
      <c r="N4082" s="82"/>
      <c r="O4082" s="82"/>
      <c r="P4082" s="82"/>
      <c r="Q4082" s="82"/>
      <c r="R4082" s="82"/>
      <c r="S4082" s="82"/>
      <c r="T4082" s="82"/>
      <c r="U4082" s="82"/>
      <c r="V4082" s="82"/>
      <c r="W4082" s="82"/>
      <c r="X4082" s="82"/>
      <c r="Y4082" s="82"/>
      <c r="Z4082" s="82"/>
      <c r="AA4082" s="82"/>
      <c r="AB4082" s="82"/>
      <c r="AC4082" s="82"/>
      <c r="AD4082" s="82"/>
      <c r="AE4082" s="82"/>
      <c r="AF4082" s="82"/>
      <c r="AG4082" s="82"/>
      <c r="AH4082" s="82"/>
      <c r="AI4082" s="82"/>
      <c r="AJ4082" s="82"/>
      <c r="AK4082" s="82"/>
      <c r="AL4082" s="82"/>
      <c r="AM4082" s="82"/>
      <c r="AN4082" s="82">
        <f>IFERROR(__xludf.DUMMYFUNCTION("""COMPUTED_VALUE"""),0.0)</f>
        <v>0</v>
      </c>
      <c r="AO4082" s="82">
        <f>IFERROR(__xludf.DUMMYFUNCTION("""COMPUTED_VALUE"""),0.0)</f>
        <v>0</v>
      </c>
      <c r="AP4082" s="82">
        <f>IFERROR(__xludf.DUMMYFUNCTION("""COMPUTED_VALUE"""),0.0)</f>
        <v>0</v>
      </c>
      <c r="AQ4082" s="82">
        <f>IFERROR(__xludf.DUMMYFUNCTION("""COMPUTED_VALUE"""),0.0)</f>
        <v>0</v>
      </c>
      <c r="AR4082" s="82">
        <f>IFERROR(__xludf.DUMMYFUNCTION("""COMPUTED_VALUE"""),0.0)</f>
        <v>0</v>
      </c>
      <c r="AS4082" s="82"/>
      <c r="AT4082" s="82">
        <f>IFERROR(__xludf.DUMMYFUNCTION("""COMPUTED_VALUE"""),0.0)</f>
        <v>0</v>
      </c>
      <c r="AU4082" s="82"/>
      <c r="AV4082" s="82"/>
      <c r="AW4082" s="82" t="str">
        <f t="shared" si="1"/>
        <v/>
      </c>
      <c r="AX4082" s="83" t="str">
        <f t="array" ref="AX4082">IFERROR(DGET('SBV Import'!A:G,"SBV",{"RSC ID","Tier";B4082,A4082}))</f>
        <v/>
      </c>
      <c r="AY4082" s="82" t="str">
        <f t="shared" si="2"/>
        <v/>
      </c>
      <c r="AZ4082" s="82"/>
      <c r="BA4082" s="84" t="s">
        <v>152</v>
      </c>
      <c r="BB4082" s="84" t="str">
        <f>IFERROR(__xludf.DUMMYFUNCTION("iferror(if(A4082="""",,E4082&gt;=FILTER(Constants!$F$2:$F$10,Constants!$A$2:$A$10=A4082)))"),"")</f>
        <v/>
      </c>
    </row>
    <row r="4083">
      <c r="A4083" s="89"/>
      <c r="B4083" s="87"/>
      <c r="C4083" s="73"/>
      <c r="D4083" s="73"/>
      <c r="E4083" s="82"/>
      <c r="F4083" s="82"/>
      <c r="G4083" s="86"/>
      <c r="H4083" s="86"/>
      <c r="I4083" s="86"/>
      <c r="J4083" s="82"/>
      <c r="K4083" s="82"/>
      <c r="L4083" s="82"/>
      <c r="M4083" s="82"/>
      <c r="N4083" s="82"/>
      <c r="O4083" s="82"/>
      <c r="P4083" s="82"/>
      <c r="Q4083" s="82"/>
      <c r="R4083" s="82"/>
      <c r="S4083" s="82"/>
      <c r="T4083" s="82"/>
      <c r="U4083" s="82"/>
      <c r="V4083" s="82"/>
      <c r="W4083" s="82"/>
      <c r="X4083" s="82"/>
      <c r="Y4083" s="82"/>
      <c r="Z4083" s="82"/>
      <c r="AA4083" s="82"/>
      <c r="AB4083" s="82"/>
      <c r="AC4083" s="82"/>
      <c r="AD4083" s="82"/>
      <c r="AE4083" s="82"/>
      <c r="AF4083" s="82"/>
      <c r="AG4083" s="82"/>
      <c r="AH4083" s="82"/>
      <c r="AI4083" s="82"/>
      <c r="AJ4083" s="82"/>
      <c r="AK4083" s="82"/>
      <c r="AL4083" s="82"/>
      <c r="AM4083" s="82"/>
      <c r="AN4083" s="82">
        <f>IFERROR(__xludf.DUMMYFUNCTION("""COMPUTED_VALUE"""),0.0)</f>
        <v>0</v>
      </c>
      <c r="AO4083" s="82">
        <f>IFERROR(__xludf.DUMMYFUNCTION("""COMPUTED_VALUE"""),0.0)</f>
        <v>0</v>
      </c>
      <c r="AP4083" s="82">
        <f>IFERROR(__xludf.DUMMYFUNCTION("""COMPUTED_VALUE"""),0.0)</f>
        <v>0</v>
      </c>
      <c r="AQ4083" s="82">
        <f>IFERROR(__xludf.DUMMYFUNCTION("""COMPUTED_VALUE"""),0.0)</f>
        <v>0</v>
      </c>
      <c r="AR4083" s="82">
        <f>IFERROR(__xludf.DUMMYFUNCTION("""COMPUTED_VALUE"""),0.0)</f>
        <v>0</v>
      </c>
      <c r="AS4083" s="82"/>
      <c r="AT4083" s="82">
        <f>IFERROR(__xludf.DUMMYFUNCTION("""COMPUTED_VALUE"""),0.0)</f>
        <v>0</v>
      </c>
      <c r="AU4083" s="82"/>
      <c r="AV4083" s="82"/>
      <c r="AW4083" s="82" t="str">
        <f t="shared" si="1"/>
        <v/>
      </c>
      <c r="AX4083" s="83" t="str">
        <f t="array" ref="AX4083">IFERROR(DGET('SBV Import'!A:G,"SBV",{"RSC ID","Tier";B4083,A4083}))</f>
        <v/>
      </c>
      <c r="AY4083" s="82" t="str">
        <f t="shared" si="2"/>
        <v/>
      </c>
      <c r="AZ4083" s="82"/>
      <c r="BA4083" s="84" t="s">
        <v>152</v>
      </c>
      <c r="BB4083" s="84" t="str">
        <f>IFERROR(__xludf.DUMMYFUNCTION("iferror(if(A4083="""",,E4083&gt;=FILTER(Constants!$F$2:$F$10,Constants!$A$2:$A$10=A4083)))"),"")</f>
        <v/>
      </c>
    </row>
    <row r="4084">
      <c r="A4084" s="89"/>
      <c r="B4084" s="87"/>
      <c r="C4084" s="73"/>
      <c r="D4084" s="73"/>
      <c r="E4084" s="82"/>
      <c r="F4084" s="82"/>
      <c r="G4084" s="86"/>
      <c r="H4084" s="86"/>
      <c r="I4084" s="86"/>
      <c r="J4084" s="82"/>
      <c r="K4084" s="82"/>
      <c r="L4084" s="82"/>
      <c r="M4084" s="82"/>
      <c r="N4084" s="82"/>
      <c r="O4084" s="82"/>
      <c r="P4084" s="82"/>
      <c r="Q4084" s="82"/>
      <c r="R4084" s="82"/>
      <c r="S4084" s="82"/>
      <c r="T4084" s="82"/>
      <c r="U4084" s="82"/>
      <c r="V4084" s="82"/>
      <c r="W4084" s="82"/>
      <c r="X4084" s="82"/>
      <c r="Y4084" s="82"/>
      <c r="Z4084" s="82"/>
      <c r="AA4084" s="82"/>
      <c r="AB4084" s="82"/>
      <c r="AC4084" s="82"/>
      <c r="AD4084" s="82"/>
      <c r="AE4084" s="82"/>
      <c r="AF4084" s="82"/>
      <c r="AG4084" s="82"/>
      <c r="AH4084" s="82"/>
      <c r="AI4084" s="82"/>
      <c r="AJ4084" s="82"/>
      <c r="AK4084" s="82"/>
      <c r="AL4084" s="82"/>
      <c r="AM4084" s="82"/>
      <c r="AN4084" s="82">
        <f>IFERROR(__xludf.DUMMYFUNCTION("""COMPUTED_VALUE"""),0.0)</f>
        <v>0</v>
      </c>
      <c r="AO4084" s="82">
        <f>IFERROR(__xludf.DUMMYFUNCTION("""COMPUTED_VALUE"""),0.0)</f>
        <v>0</v>
      </c>
      <c r="AP4084" s="82">
        <f>IFERROR(__xludf.DUMMYFUNCTION("""COMPUTED_VALUE"""),0.0)</f>
        <v>0</v>
      </c>
      <c r="AQ4084" s="82">
        <f>IFERROR(__xludf.DUMMYFUNCTION("""COMPUTED_VALUE"""),0.0)</f>
        <v>0</v>
      </c>
      <c r="AR4084" s="82">
        <f>IFERROR(__xludf.DUMMYFUNCTION("""COMPUTED_VALUE"""),0.0)</f>
        <v>0</v>
      </c>
      <c r="AS4084" s="82"/>
      <c r="AT4084" s="82">
        <f>IFERROR(__xludf.DUMMYFUNCTION("""COMPUTED_VALUE"""),0.0)</f>
        <v>0</v>
      </c>
      <c r="AU4084" s="82"/>
      <c r="AV4084" s="82"/>
      <c r="AW4084" s="82" t="str">
        <f t="shared" si="1"/>
        <v/>
      </c>
      <c r="AX4084" s="83" t="str">
        <f t="array" ref="AX4084">IFERROR(DGET('SBV Import'!A:G,"SBV",{"RSC ID","Tier";B4084,A4084}))</f>
        <v/>
      </c>
      <c r="AY4084" s="82" t="str">
        <f t="shared" si="2"/>
        <v/>
      </c>
      <c r="AZ4084" s="82"/>
      <c r="BA4084" s="84" t="s">
        <v>152</v>
      </c>
      <c r="BB4084" s="84" t="str">
        <f>IFERROR(__xludf.DUMMYFUNCTION("iferror(if(A4084="""",,E4084&gt;=FILTER(Constants!$F$2:$F$10,Constants!$A$2:$A$10=A4084)))"),"")</f>
        <v/>
      </c>
    </row>
    <row r="4085">
      <c r="A4085" s="89"/>
      <c r="B4085" s="87"/>
      <c r="C4085" s="73"/>
      <c r="D4085" s="73"/>
      <c r="E4085" s="82"/>
      <c r="F4085" s="82"/>
      <c r="G4085" s="86"/>
      <c r="H4085" s="86"/>
      <c r="I4085" s="86"/>
      <c r="J4085" s="82"/>
      <c r="K4085" s="82"/>
      <c r="L4085" s="82"/>
      <c r="M4085" s="82"/>
      <c r="N4085" s="82"/>
      <c r="O4085" s="82"/>
      <c r="P4085" s="82"/>
      <c r="Q4085" s="82"/>
      <c r="R4085" s="82"/>
      <c r="S4085" s="82"/>
      <c r="T4085" s="82"/>
      <c r="U4085" s="82"/>
      <c r="V4085" s="82"/>
      <c r="W4085" s="82"/>
      <c r="X4085" s="82"/>
      <c r="Y4085" s="82"/>
      <c r="Z4085" s="82"/>
      <c r="AA4085" s="82"/>
      <c r="AB4085" s="82"/>
      <c r="AC4085" s="82"/>
      <c r="AD4085" s="82"/>
      <c r="AE4085" s="82"/>
      <c r="AF4085" s="82"/>
      <c r="AG4085" s="82"/>
      <c r="AH4085" s="82"/>
      <c r="AI4085" s="82"/>
      <c r="AJ4085" s="82"/>
      <c r="AK4085" s="82"/>
      <c r="AL4085" s="82"/>
      <c r="AM4085" s="82"/>
      <c r="AN4085" s="82">
        <f>IFERROR(__xludf.DUMMYFUNCTION("""COMPUTED_VALUE"""),0.0)</f>
        <v>0</v>
      </c>
      <c r="AO4085" s="82">
        <f>IFERROR(__xludf.DUMMYFUNCTION("""COMPUTED_VALUE"""),0.0)</f>
        <v>0</v>
      </c>
      <c r="AP4085" s="82">
        <f>IFERROR(__xludf.DUMMYFUNCTION("""COMPUTED_VALUE"""),0.0)</f>
        <v>0</v>
      </c>
      <c r="AQ4085" s="82">
        <f>IFERROR(__xludf.DUMMYFUNCTION("""COMPUTED_VALUE"""),0.0)</f>
        <v>0</v>
      </c>
      <c r="AR4085" s="82">
        <f>IFERROR(__xludf.DUMMYFUNCTION("""COMPUTED_VALUE"""),0.0)</f>
        <v>0</v>
      </c>
      <c r="AS4085" s="82"/>
      <c r="AT4085" s="82">
        <f>IFERROR(__xludf.DUMMYFUNCTION("""COMPUTED_VALUE"""),0.0)</f>
        <v>0</v>
      </c>
      <c r="AU4085" s="82"/>
      <c r="AV4085" s="82"/>
      <c r="AW4085" s="82" t="str">
        <f t="shared" si="1"/>
        <v/>
      </c>
      <c r="AX4085" s="83" t="str">
        <f t="array" ref="AX4085">IFERROR(DGET('SBV Import'!A:G,"SBV",{"RSC ID","Tier";B4085,A4085}))</f>
        <v/>
      </c>
      <c r="AY4085" s="82" t="str">
        <f t="shared" si="2"/>
        <v/>
      </c>
      <c r="AZ4085" s="82"/>
      <c r="BA4085" s="84" t="s">
        <v>152</v>
      </c>
      <c r="BB4085" s="84" t="str">
        <f>IFERROR(__xludf.DUMMYFUNCTION("iferror(if(A4085="""",,E4085&gt;=FILTER(Constants!$F$2:$F$10,Constants!$A$2:$A$10=A4085)))"),"")</f>
        <v/>
      </c>
    </row>
    <row r="4086">
      <c r="A4086" s="89"/>
      <c r="B4086" s="87"/>
      <c r="C4086" s="73"/>
      <c r="D4086" s="73"/>
      <c r="E4086" s="82"/>
      <c r="F4086" s="82"/>
      <c r="G4086" s="86"/>
      <c r="H4086" s="86"/>
      <c r="I4086" s="86"/>
      <c r="J4086" s="82"/>
      <c r="K4086" s="82"/>
      <c r="L4086" s="82"/>
      <c r="M4086" s="82"/>
      <c r="N4086" s="82"/>
      <c r="O4086" s="82"/>
      <c r="P4086" s="82"/>
      <c r="Q4086" s="82"/>
      <c r="R4086" s="82"/>
      <c r="S4086" s="82"/>
      <c r="T4086" s="82"/>
      <c r="U4086" s="82"/>
      <c r="V4086" s="82"/>
      <c r="W4086" s="82"/>
      <c r="X4086" s="82"/>
      <c r="Y4086" s="82"/>
      <c r="Z4086" s="82"/>
      <c r="AA4086" s="82"/>
      <c r="AB4086" s="82"/>
      <c r="AC4086" s="82"/>
      <c r="AD4086" s="82"/>
      <c r="AE4086" s="82"/>
      <c r="AF4086" s="82"/>
      <c r="AG4086" s="82"/>
      <c r="AH4086" s="82"/>
      <c r="AI4086" s="82"/>
      <c r="AJ4086" s="82"/>
      <c r="AK4086" s="82"/>
      <c r="AL4086" s="82"/>
      <c r="AM4086" s="82"/>
      <c r="AN4086" s="82">
        <f>IFERROR(__xludf.DUMMYFUNCTION("""COMPUTED_VALUE"""),0.0)</f>
        <v>0</v>
      </c>
      <c r="AO4086" s="82">
        <f>IFERROR(__xludf.DUMMYFUNCTION("""COMPUTED_VALUE"""),0.0)</f>
        <v>0</v>
      </c>
      <c r="AP4086" s="82">
        <f>IFERROR(__xludf.DUMMYFUNCTION("""COMPUTED_VALUE"""),0.0)</f>
        <v>0</v>
      </c>
      <c r="AQ4086" s="82">
        <f>IFERROR(__xludf.DUMMYFUNCTION("""COMPUTED_VALUE"""),0.0)</f>
        <v>0</v>
      </c>
      <c r="AR4086" s="82">
        <f>IFERROR(__xludf.DUMMYFUNCTION("""COMPUTED_VALUE"""),0.0)</f>
        <v>0</v>
      </c>
      <c r="AS4086" s="82"/>
      <c r="AT4086" s="82">
        <f>IFERROR(__xludf.DUMMYFUNCTION("""COMPUTED_VALUE"""),0.0)</f>
        <v>0</v>
      </c>
      <c r="AU4086" s="82"/>
      <c r="AV4086" s="82"/>
      <c r="AW4086" s="82" t="str">
        <f t="shared" si="1"/>
        <v/>
      </c>
      <c r="AX4086" s="83" t="str">
        <f t="array" ref="AX4086">IFERROR(DGET('SBV Import'!A:G,"SBV",{"RSC ID","Tier";B4086,A4086}))</f>
        <v/>
      </c>
      <c r="AY4086" s="82" t="str">
        <f t="shared" si="2"/>
        <v/>
      </c>
      <c r="AZ4086" s="82"/>
      <c r="BA4086" s="84" t="s">
        <v>152</v>
      </c>
      <c r="BB4086" s="84" t="str">
        <f>IFERROR(__xludf.DUMMYFUNCTION("iferror(if(A4086="""",,E4086&gt;=FILTER(Constants!$F$2:$F$10,Constants!$A$2:$A$10=A4086)))"),"")</f>
        <v/>
      </c>
    </row>
    <row r="4087">
      <c r="A4087" s="89"/>
      <c r="B4087" s="87"/>
      <c r="C4087" s="73"/>
      <c r="D4087" s="73"/>
      <c r="E4087" s="82"/>
      <c r="F4087" s="82"/>
      <c r="G4087" s="86"/>
      <c r="H4087" s="86"/>
      <c r="I4087" s="86"/>
      <c r="J4087" s="82"/>
      <c r="K4087" s="82"/>
      <c r="L4087" s="82"/>
      <c r="M4087" s="82"/>
      <c r="N4087" s="82"/>
      <c r="O4087" s="82"/>
      <c r="P4087" s="82"/>
      <c r="Q4087" s="82"/>
      <c r="R4087" s="82"/>
      <c r="S4087" s="82"/>
      <c r="T4087" s="82"/>
      <c r="U4087" s="82"/>
      <c r="V4087" s="82"/>
      <c r="W4087" s="82"/>
      <c r="X4087" s="82"/>
      <c r="Y4087" s="82"/>
      <c r="Z4087" s="82"/>
      <c r="AA4087" s="82"/>
      <c r="AB4087" s="82"/>
      <c r="AC4087" s="82"/>
      <c r="AD4087" s="82"/>
      <c r="AE4087" s="82"/>
      <c r="AF4087" s="82"/>
      <c r="AG4087" s="82"/>
      <c r="AH4087" s="82"/>
      <c r="AI4087" s="82"/>
      <c r="AJ4087" s="82"/>
      <c r="AK4087" s="82"/>
      <c r="AL4087" s="82"/>
      <c r="AM4087" s="82"/>
      <c r="AN4087" s="82">
        <f>IFERROR(__xludf.DUMMYFUNCTION("""COMPUTED_VALUE"""),0.0)</f>
        <v>0</v>
      </c>
      <c r="AO4087" s="82">
        <f>IFERROR(__xludf.DUMMYFUNCTION("""COMPUTED_VALUE"""),0.0)</f>
        <v>0</v>
      </c>
      <c r="AP4087" s="82">
        <f>IFERROR(__xludf.DUMMYFUNCTION("""COMPUTED_VALUE"""),0.0)</f>
        <v>0</v>
      </c>
      <c r="AQ4087" s="82">
        <f>IFERROR(__xludf.DUMMYFUNCTION("""COMPUTED_VALUE"""),0.0)</f>
        <v>0</v>
      </c>
      <c r="AR4087" s="82">
        <f>IFERROR(__xludf.DUMMYFUNCTION("""COMPUTED_VALUE"""),0.0)</f>
        <v>0</v>
      </c>
      <c r="AS4087" s="82"/>
      <c r="AT4087" s="82">
        <f>IFERROR(__xludf.DUMMYFUNCTION("""COMPUTED_VALUE"""),0.0)</f>
        <v>0</v>
      </c>
      <c r="AU4087" s="82"/>
      <c r="AV4087" s="82"/>
      <c r="AW4087" s="82" t="str">
        <f t="shared" si="1"/>
        <v/>
      </c>
      <c r="AX4087" s="83" t="str">
        <f t="array" ref="AX4087">IFERROR(DGET('SBV Import'!A:G,"SBV",{"RSC ID","Tier";B4087,A4087}))</f>
        <v/>
      </c>
      <c r="AY4087" s="82" t="str">
        <f t="shared" si="2"/>
        <v/>
      </c>
      <c r="AZ4087" s="82"/>
      <c r="BA4087" s="84" t="s">
        <v>152</v>
      </c>
      <c r="BB4087" s="84" t="str">
        <f>IFERROR(__xludf.DUMMYFUNCTION("iferror(if(A4087="""",,E4087&gt;=FILTER(Constants!$F$2:$F$10,Constants!$A$2:$A$10=A4087)))"),"")</f>
        <v/>
      </c>
    </row>
    <row r="4088">
      <c r="A4088" s="89"/>
      <c r="B4088" s="87"/>
      <c r="C4088" s="73"/>
      <c r="D4088" s="73"/>
      <c r="E4088" s="82"/>
      <c r="F4088" s="82"/>
      <c r="G4088" s="86"/>
      <c r="H4088" s="86"/>
      <c r="I4088" s="86"/>
      <c r="J4088" s="82"/>
      <c r="K4088" s="82"/>
      <c r="L4088" s="82"/>
      <c r="M4088" s="82"/>
      <c r="N4088" s="82"/>
      <c r="O4088" s="82"/>
      <c r="P4088" s="82"/>
      <c r="Q4088" s="82"/>
      <c r="R4088" s="82"/>
      <c r="S4088" s="82"/>
      <c r="T4088" s="82"/>
      <c r="U4088" s="82"/>
      <c r="V4088" s="82"/>
      <c r="W4088" s="82"/>
      <c r="X4088" s="82"/>
      <c r="Y4088" s="82"/>
      <c r="Z4088" s="82"/>
      <c r="AA4088" s="82"/>
      <c r="AB4088" s="82"/>
      <c r="AC4088" s="82"/>
      <c r="AD4088" s="82"/>
      <c r="AE4088" s="82"/>
      <c r="AF4088" s="82"/>
      <c r="AG4088" s="82"/>
      <c r="AH4088" s="82"/>
      <c r="AI4088" s="82"/>
      <c r="AJ4088" s="82"/>
      <c r="AK4088" s="82"/>
      <c r="AL4088" s="82"/>
      <c r="AM4088" s="82"/>
      <c r="AN4088" s="82">
        <f>IFERROR(__xludf.DUMMYFUNCTION("""COMPUTED_VALUE"""),0.0)</f>
        <v>0</v>
      </c>
      <c r="AO4088" s="82">
        <f>IFERROR(__xludf.DUMMYFUNCTION("""COMPUTED_VALUE"""),0.0)</f>
        <v>0</v>
      </c>
      <c r="AP4088" s="82">
        <f>IFERROR(__xludf.DUMMYFUNCTION("""COMPUTED_VALUE"""),0.0)</f>
        <v>0</v>
      </c>
      <c r="AQ4088" s="82">
        <f>IFERROR(__xludf.DUMMYFUNCTION("""COMPUTED_VALUE"""),0.0)</f>
        <v>0</v>
      </c>
      <c r="AR4088" s="82">
        <f>IFERROR(__xludf.DUMMYFUNCTION("""COMPUTED_VALUE"""),0.0)</f>
        <v>0</v>
      </c>
      <c r="AS4088" s="82"/>
      <c r="AT4088" s="82">
        <f>IFERROR(__xludf.DUMMYFUNCTION("""COMPUTED_VALUE"""),0.0)</f>
        <v>0</v>
      </c>
      <c r="AU4088" s="82"/>
      <c r="AV4088" s="82"/>
      <c r="AW4088" s="82" t="str">
        <f t="shared" si="1"/>
        <v/>
      </c>
      <c r="AX4088" s="83" t="str">
        <f t="array" ref="AX4088">IFERROR(DGET('SBV Import'!A:G,"SBV",{"RSC ID","Tier";B4088,A4088}))</f>
        <v/>
      </c>
      <c r="AY4088" s="82" t="str">
        <f t="shared" si="2"/>
        <v/>
      </c>
      <c r="AZ4088" s="82"/>
      <c r="BA4088" s="84" t="s">
        <v>152</v>
      </c>
      <c r="BB4088" s="84" t="str">
        <f>IFERROR(__xludf.DUMMYFUNCTION("iferror(if(A4088="""",,E4088&gt;=FILTER(Constants!$F$2:$F$10,Constants!$A$2:$A$10=A4088)))"),"")</f>
        <v/>
      </c>
    </row>
    <row r="4089">
      <c r="A4089" s="89"/>
      <c r="B4089" s="87"/>
      <c r="C4089" s="73"/>
      <c r="D4089" s="73"/>
      <c r="E4089" s="82"/>
      <c r="F4089" s="82"/>
      <c r="G4089" s="86"/>
      <c r="H4089" s="86"/>
      <c r="I4089" s="86"/>
      <c r="J4089" s="82"/>
      <c r="K4089" s="82"/>
      <c r="L4089" s="82"/>
      <c r="M4089" s="82"/>
      <c r="N4089" s="82"/>
      <c r="O4089" s="82"/>
      <c r="P4089" s="82"/>
      <c r="Q4089" s="82"/>
      <c r="R4089" s="82"/>
      <c r="S4089" s="82"/>
      <c r="T4089" s="82"/>
      <c r="U4089" s="82"/>
      <c r="V4089" s="82"/>
      <c r="W4089" s="82"/>
      <c r="X4089" s="82"/>
      <c r="Y4089" s="82"/>
      <c r="Z4089" s="82"/>
      <c r="AA4089" s="82"/>
      <c r="AB4089" s="82"/>
      <c r="AC4089" s="82"/>
      <c r="AD4089" s="82"/>
      <c r="AE4089" s="82"/>
      <c r="AF4089" s="82"/>
      <c r="AG4089" s="82"/>
      <c r="AH4089" s="82"/>
      <c r="AI4089" s="82"/>
      <c r="AJ4089" s="82"/>
      <c r="AK4089" s="82"/>
      <c r="AL4089" s="82"/>
      <c r="AM4089" s="82"/>
      <c r="AN4089" s="82">
        <f>IFERROR(__xludf.DUMMYFUNCTION("""COMPUTED_VALUE"""),0.0)</f>
        <v>0</v>
      </c>
      <c r="AO4089" s="82">
        <f>IFERROR(__xludf.DUMMYFUNCTION("""COMPUTED_VALUE"""),0.0)</f>
        <v>0</v>
      </c>
      <c r="AP4089" s="82">
        <f>IFERROR(__xludf.DUMMYFUNCTION("""COMPUTED_VALUE"""),0.0)</f>
        <v>0</v>
      </c>
      <c r="AQ4089" s="82">
        <f>IFERROR(__xludf.DUMMYFUNCTION("""COMPUTED_VALUE"""),0.0)</f>
        <v>0</v>
      </c>
      <c r="AR4089" s="82">
        <f>IFERROR(__xludf.DUMMYFUNCTION("""COMPUTED_VALUE"""),0.0)</f>
        <v>0</v>
      </c>
      <c r="AS4089" s="82"/>
      <c r="AT4089" s="82">
        <f>IFERROR(__xludf.DUMMYFUNCTION("""COMPUTED_VALUE"""),0.0)</f>
        <v>0</v>
      </c>
      <c r="AU4089" s="82"/>
      <c r="AV4089" s="82"/>
      <c r="AW4089" s="82" t="str">
        <f t="shared" si="1"/>
        <v/>
      </c>
      <c r="AX4089" s="83" t="str">
        <f t="array" ref="AX4089">IFERROR(DGET('SBV Import'!A:G,"SBV",{"RSC ID","Tier";B4089,A4089}))</f>
        <v/>
      </c>
      <c r="AY4089" s="82" t="str">
        <f t="shared" si="2"/>
        <v/>
      </c>
      <c r="AZ4089" s="82"/>
      <c r="BA4089" s="84" t="s">
        <v>152</v>
      </c>
      <c r="BB4089" s="84" t="str">
        <f>IFERROR(__xludf.DUMMYFUNCTION("iferror(if(A4089="""",,E4089&gt;=FILTER(Constants!$F$2:$F$10,Constants!$A$2:$A$10=A4089)))"),"")</f>
        <v/>
      </c>
    </row>
    <row r="4090">
      <c r="A4090" s="89"/>
      <c r="B4090" s="87"/>
      <c r="C4090" s="73"/>
      <c r="D4090" s="73"/>
      <c r="E4090" s="82"/>
      <c r="F4090" s="82"/>
      <c r="G4090" s="86"/>
      <c r="H4090" s="86"/>
      <c r="I4090" s="86"/>
      <c r="J4090" s="82"/>
      <c r="K4090" s="82"/>
      <c r="L4090" s="82"/>
      <c r="M4090" s="82"/>
      <c r="N4090" s="82"/>
      <c r="O4090" s="82"/>
      <c r="P4090" s="82"/>
      <c r="Q4090" s="82"/>
      <c r="R4090" s="82"/>
      <c r="S4090" s="82"/>
      <c r="T4090" s="82"/>
      <c r="U4090" s="82"/>
      <c r="V4090" s="82"/>
      <c r="W4090" s="82"/>
      <c r="X4090" s="82"/>
      <c r="Y4090" s="82"/>
      <c r="Z4090" s="82"/>
      <c r="AA4090" s="82"/>
      <c r="AB4090" s="82"/>
      <c r="AC4090" s="82"/>
      <c r="AD4090" s="82"/>
      <c r="AE4090" s="82"/>
      <c r="AF4090" s="82"/>
      <c r="AG4090" s="82"/>
      <c r="AH4090" s="82"/>
      <c r="AI4090" s="82"/>
      <c r="AJ4090" s="82"/>
      <c r="AK4090" s="82"/>
      <c r="AL4090" s="82"/>
      <c r="AM4090" s="82"/>
      <c r="AN4090" s="82">
        <f>IFERROR(__xludf.DUMMYFUNCTION("""COMPUTED_VALUE"""),0.0)</f>
        <v>0</v>
      </c>
      <c r="AO4090" s="82">
        <f>IFERROR(__xludf.DUMMYFUNCTION("""COMPUTED_VALUE"""),0.0)</f>
        <v>0</v>
      </c>
      <c r="AP4090" s="82">
        <f>IFERROR(__xludf.DUMMYFUNCTION("""COMPUTED_VALUE"""),0.0)</f>
        <v>0</v>
      </c>
      <c r="AQ4090" s="82">
        <f>IFERROR(__xludf.DUMMYFUNCTION("""COMPUTED_VALUE"""),0.0)</f>
        <v>0</v>
      </c>
      <c r="AR4090" s="82">
        <f>IFERROR(__xludf.DUMMYFUNCTION("""COMPUTED_VALUE"""),0.0)</f>
        <v>0</v>
      </c>
      <c r="AS4090" s="82"/>
      <c r="AT4090" s="82">
        <f>IFERROR(__xludf.DUMMYFUNCTION("""COMPUTED_VALUE"""),0.0)</f>
        <v>0</v>
      </c>
      <c r="AU4090" s="82"/>
      <c r="AV4090" s="82"/>
      <c r="AW4090" s="82" t="str">
        <f t="shared" si="1"/>
        <v/>
      </c>
      <c r="AX4090" s="83" t="str">
        <f t="array" ref="AX4090">IFERROR(DGET('SBV Import'!A:G,"SBV",{"RSC ID","Tier";B4090,A4090}))</f>
        <v/>
      </c>
      <c r="AY4090" s="82" t="str">
        <f t="shared" si="2"/>
        <v/>
      </c>
      <c r="AZ4090" s="82"/>
      <c r="BA4090" s="84" t="s">
        <v>152</v>
      </c>
      <c r="BB4090" s="84" t="str">
        <f>IFERROR(__xludf.DUMMYFUNCTION("iferror(if(A4090="""",,E4090&gt;=FILTER(Constants!$F$2:$F$10,Constants!$A$2:$A$10=A4090)))"),"")</f>
        <v/>
      </c>
    </row>
    <row r="4091">
      <c r="A4091" s="89"/>
      <c r="B4091" s="87"/>
      <c r="C4091" s="73"/>
      <c r="D4091" s="73"/>
      <c r="E4091" s="82"/>
      <c r="F4091" s="82"/>
      <c r="G4091" s="86"/>
      <c r="H4091" s="86"/>
      <c r="I4091" s="86"/>
      <c r="J4091" s="82"/>
      <c r="K4091" s="82"/>
      <c r="L4091" s="82"/>
      <c r="M4091" s="82"/>
      <c r="N4091" s="82"/>
      <c r="O4091" s="82"/>
      <c r="P4091" s="82"/>
      <c r="Q4091" s="82"/>
      <c r="R4091" s="82"/>
      <c r="S4091" s="82"/>
      <c r="T4091" s="82"/>
      <c r="U4091" s="82"/>
      <c r="V4091" s="82"/>
      <c r="W4091" s="82"/>
      <c r="X4091" s="82"/>
      <c r="Y4091" s="82"/>
      <c r="Z4091" s="82"/>
      <c r="AA4091" s="82"/>
      <c r="AB4091" s="82"/>
      <c r="AC4091" s="82"/>
      <c r="AD4091" s="82"/>
      <c r="AE4091" s="82"/>
      <c r="AF4091" s="82"/>
      <c r="AG4091" s="82"/>
      <c r="AH4091" s="82"/>
      <c r="AI4091" s="82"/>
      <c r="AJ4091" s="82"/>
      <c r="AK4091" s="82"/>
      <c r="AL4091" s="82"/>
      <c r="AM4091" s="82"/>
      <c r="AN4091" s="82">
        <f>IFERROR(__xludf.DUMMYFUNCTION("""COMPUTED_VALUE"""),0.0)</f>
        <v>0</v>
      </c>
      <c r="AO4091" s="82">
        <f>IFERROR(__xludf.DUMMYFUNCTION("""COMPUTED_VALUE"""),0.0)</f>
        <v>0</v>
      </c>
      <c r="AP4091" s="82">
        <f>IFERROR(__xludf.DUMMYFUNCTION("""COMPUTED_VALUE"""),0.0)</f>
        <v>0</v>
      </c>
      <c r="AQ4091" s="82">
        <f>IFERROR(__xludf.DUMMYFUNCTION("""COMPUTED_VALUE"""),0.0)</f>
        <v>0</v>
      </c>
      <c r="AR4091" s="82">
        <f>IFERROR(__xludf.DUMMYFUNCTION("""COMPUTED_VALUE"""),0.0)</f>
        <v>0</v>
      </c>
      <c r="AS4091" s="82"/>
      <c r="AT4091" s="82">
        <f>IFERROR(__xludf.DUMMYFUNCTION("""COMPUTED_VALUE"""),0.0)</f>
        <v>0</v>
      </c>
      <c r="AU4091" s="82"/>
      <c r="AV4091" s="82"/>
      <c r="AW4091" s="82" t="str">
        <f t="shared" si="1"/>
        <v/>
      </c>
      <c r="AX4091" s="83" t="str">
        <f t="array" ref="AX4091">IFERROR(DGET('SBV Import'!A:G,"SBV",{"RSC ID","Tier";B4091,A4091}))</f>
        <v/>
      </c>
      <c r="AY4091" s="82" t="str">
        <f t="shared" si="2"/>
        <v/>
      </c>
      <c r="AZ4091" s="82"/>
      <c r="BA4091" s="84" t="s">
        <v>152</v>
      </c>
      <c r="BB4091" s="84" t="str">
        <f>IFERROR(__xludf.DUMMYFUNCTION("iferror(if(A4091="""",,E4091&gt;=FILTER(Constants!$F$2:$F$10,Constants!$A$2:$A$10=A4091)))"),"")</f>
        <v/>
      </c>
    </row>
    <row r="4092">
      <c r="A4092" s="89"/>
      <c r="B4092" s="87"/>
      <c r="C4092" s="73"/>
      <c r="D4092" s="73"/>
      <c r="E4092" s="82"/>
      <c r="F4092" s="82"/>
      <c r="G4092" s="86"/>
      <c r="H4092" s="86"/>
      <c r="I4092" s="86"/>
      <c r="J4092" s="82"/>
      <c r="K4092" s="82"/>
      <c r="L4092" s="82"/>
      <c r="M4092" s="82"/>
      <c r="N4092" s="82"/>
      <c r="O4092" s="82"/>
      <c r="P4092" s="82"/>
      <c r="Q4092" s="82"/>
      <c r="R4092" s="82"/>
      <c r="S4092" s="82"/>
      <c r="T4092" s="82"/>
      <c r="U4092" s="82"/>
      <c r="V4092" s="82"/>
      <c r="W4092" s="82"/>
      <c r="X4092" s="82"/>
      <c r="Y4092" s="82"/>
      <c r="Z4092" s="82"/>
      <c r="AA4092" s="82"/>
      <c r="AB4092" s="82"/>
      <c r="AC4092" s="82"/>
      <c r="AD4092" s="82"/>
      <c r="AE4092" s="82"/>
      <c r="AF4092" s="82"/>
      <c r="AG4092" s="82"/>
      <c r="AH4092" s="82"/>
      <c r="AI4092" s="82"/>
      <c r="AJ4092" s="82"/>
      <c r="AK4092" s="82"/>
      <c r="AL4092" s="82"/>
      <c r="AM4092" s="82"/>
      <c r="AN4092" s="82">
        <f>IFERROR(__xludf.DUMMYFUNCTION("""COMPUTED_VALUE"""),0.0)</f>
        <v>0</v>
      </c>
      <c r="AO4092" s="82">
        <f>IFERROR(__xludf.DUMMYFUNCTION("""COMPUTED_VALUE"""),0.0)</f>
        <v>0</v>
      </c>
      <c r="AP4092" s="82">
        <f>IFERROR(__xludf.DUMMYFUNCTION("""COMPUTED_VALUE"""),0.0)</f>
        <v>0</v>
      </c>
      <c r="AQ4092" s="82">
        <f>IFERROR(__xludf.DUMMYFUNCTION("""COMPUTED_VALUE"""),0.0)</f>
        <v>0</v>
      </c>
      <c r="AR4092" s="82">
        <f>IFERROR(__xludf.DUMMYFUNCTION("""COMPUTED_VALUE"""),0.0)</f>
        <v>0</v>
      </c>
      <c r="AS4092" s="82"/>
      <c r="AT4092" s="82">
        <f>IFERROR(__xludf.DUMMYFUNCTION("""COMPUTED_VALUE"""),0.0)</f>
        <v>0</v>
      </c>
      <c r="AU4092" s="82"/>
      <c r="AV4092" s="82"/>
      <c r="AW4092" s="82" t="str">
        <f t="shared" si="1"/>
        <v/>
      </c>
      <c r="AX4092" s="83" t="str">
        <f t="array" ref="AX4092">IFERROR(DGET('SBV Import'!A:G,"SBV",{"RSC ID","Tier";B4092,A4092}))</f>
        <v/>
      </c>
      <c r="AY4092" s="82" t="str">
        <f t="shared" si="2"/>
        <v/>
      </c>
      <c r="AZ4092" s="82"/>
      <c r="BA4092" s="84" t="s">
        <v>152</v>
      </c>
      <c r="BB4092" s="84" t="str">
        <f>IFERROR(__xludf.DUMMYFUNCTION("iferror(if(A4092="""",,E4092&gt;=FILTER(Constants!$F$2:$F$10,Constants!$A$2:$A$10=A4092)))"),"")</f>
        <v/>
      </c>
    </row>
    <row r="4093">
      <c r="A4093" s="89"/>
      <c r="B4093" s="87"/>
      <c r="C4093" s="73"/>
      <c r="D4093" s="73"/>
      <c r="E4093" s="82"/>
      <c r="F4093" s="82"/>
      <c r="G4093" s="86"/>
      <c r="H4093" s="86"/>
      <c r="I4093" s="86"/>
      <c r="J4093" s="82"/>
      <c r="K4093" s="82"/>
      <c r="L4093" s="82"/>
      <c r="M4093" s="82"/>
      <c r="N4093" s="82"/>
      <c r="O4093" s="82"/>
      <c r="P4093" s="82"/>
      <c r="Q4093" s="82"/>
      <c r="R4093" s="82"/>
      <c r="S4093" s="82"/>
      <c r="T4093" s="82"/>
      <c r="U4093" s="82"/>
      <c r="V4093" s="82"/>
      <c r="W4093" s="82"/>
      <c r="X4093" s="82"/>
      <c r="Y4093" s="82"/>
      <c r="Z4093" s="82"/>
      <c r="AA4093" s="82"/>
      <c r="AB4093" s="82"/>
      <c r="AC4093" s="82"/>
      <c r="AD4093" s="82"/>
      <c r="AE4093" s="82"/>
      <c r="AF4093" s="82"/>
      <c r="AG4093" s="82"/>
      <c r="AH4093" s="82"/>
      <c r="AI4093" s="82"/>
      <c r="AJ4093" s="82"/>
      <c r="AK4093" s="82"/>
      <c r="AL4093" s="82"/>
      <c r="AM4093" s="82"/>
      <c r="AN4093" s="82">
        <f>IFERROR(__xludf.DUMMYFUNCTION("""COMPUTED_VALUE"""),0.0)</f>
        <v>0</v>
      </c>
      <c r="AO4093" s="82">
        <f>IFERROR(__xludf.DUMMYFUNCTION("""COMPUTED_VALUE"""),0.0)</f>
        <v>0</v>
      </c>
      <c r="AP4093" s="82">
        <f>IFERROR(__xludf.DUMMYFUNCTION("""COMPUTED_VALUE"""),0.0)</f>
        <v>0</v>
      </c>
      <c r="AQ4093" s="82">
        <f>IFERROR(__xludf.DUMMYFUNCTION("""COMPUTED_VALUE"""),0.0)</f>
        <v>0</v>
      </c>
      <c r="AR4093" s="82">
        <f>IFERROR(__xludf.DUMMYFUNCTION("""COMPUTED_VALUE"""),0.0)</f>
        <v>0</v>
      </c>
      <c r="AS4093" s="82"/>
      <c r="AT4093" s="82">
        <f>IFERROR(__xludf.DUMMYFUNCTION("""COMPUTED_VALUE"""),0.0)</f>
        <v>0</v>
      </c>
      <c r="AU4093" s="82"/>
      <c r="AV4093" s="82"/>
      <c r="AW4093" s="82" t="str">
        <f t="shared" si="1"/>
        <v/>
      </c>
      <c r="AX4093" s="83" t="str">
        <f t="array" ref="AX4093">IFERROR(DGET('SBV Import'!A:G,"SBV",{"RSC ID","Tier";B4093,A4093}))</f>
        <v/>
      </c>
      <c r="AY4093" s="82" t="str">
        <f t="shared" si="2"/>
        <v/>
      </c>
      <c r="AZ4093" s="82"/>
      <c r="BA4093" s="84" t="s">
        <v>152</v>
      </c>
      <c r="BB4093" s="84" t="str">
        <f>IFERROR(__xludf.DUMMYFUNCTION("iferror(if(A4093="""",,E4093&gt;=FILTER(Constants!$F$2:$F$10,Constants!$A$2:$A$10=A4093)))"),"")</f>
        <v/>
      </c>
    </row>
    <row r="4094">
      <c r="A4094" s="89"/>
      <c r="B4094" s="87"/>
      <c r="C4094" s="73"/>
      <c r="D4094" s="73"/>
      <c r="E4094" s="82"/>
      <c r="F4094" s="82"/>
      <c r="G4094" s="86"/>
      <c r="H4094" s="86"/>
      <c r="I4094" s="86"/>
      <c r="J4094" s="82"/>
      <c r="K4094" s="82"/>
      <c r="L4094" s="82"/>
      <c r="M4094" s="82"/>
      <c r="N4094" s="82"/>
      <c r="O4094" s="82"/>
      <c r="P4094" s="82"/>
      <c r="Q4094" s="82"/>
      <c r="R4094" s="82"/>
      <c r="S4094" s="82"/>
      <c r="T4094" s="82"/>
      <c r="U4094" s="82"/>
      <c r="V4094" s="82"/>
      <c r="W4094" s="82"/>
      <c r="X4094" s="82"/>
      <c r="Y4094" s="82"/>
      <c r="Z4094" s="82"/>
      <c r="AA4094" s="82"/>
      <c r="AB4094" s="82"/>
      <c r="AC4094" s="82"/>
      <c r="AD4094" s="82"/>
      <c r="AE4094" s="82"/>
      <c r="AF4094" s="82"/>
      <c r="AG4094" s="82"/>
      <c r="AH4094" s="82"/>
      <c r="AI4094" s="82"/>
      <c r="AJ4094" s="82"/>
      <c r="AK4094" s="82"/>
      <c r="AL4094" s="82"/>
      <c r="AM4094" s="82"/>
      <c r="AN4094" s="82">
        <f>IFERROR(__xludf.DUMMYFUNCTION("""COMPUTED_VALUE"""),0.0)</f>
        <v>0</v>
      </c>
      <c r="AO4094" s="82">
        <f>IFERROR(__xludf.DUMMYFUNCTION("""COMPUTED_VALUE"""),0.0)</f>
        <v>0</v>
      </c>
      <c r="AP4094" s="82">
        <f>IFERROR(__xludf.DUMMYFUNCTION("""COMPUTED_VALUE"""),0.0)</f>
        <v>0</v>
      </c>
      <c r="AQ4094" s="82">
        <f>IFERROR(__xludf.DUMMYFUNCTION("""COMPUTED_VALUE"""),0.0)</f>
        <v>0</v>
      </c>
      <c r="AR4094" s="82">
        <f>IFERROR(__xludf.DUMMYFUNCTION("""COMPUTED_VALUE"""),0.0)</f>
        <v>0</v>
      </c>
      <c r="AS4094" s="82"/>
      <c r="AT4094" s="82">
        <f>IFERROR(__xludf.DUMMYFUNCTION("""COMPUTED_VALUE"""),0.0)</f>
        <v>0</v>
      </c>
      <c r="AU4094" s="82"/>
      <c r="AV4094" s="82"/>
      <c r="AW4094" s="82" t="str">
        <f t="shared" si="1"/>
        <v/>
      </c>
      <c r="AX4094" s="83" t="str">
        <f t="array" ref="AX4094">IFERROR(DGET('SBV Import'!A:G,"SBV",{"RSC ID","Tier";B4094,A4094}))</f>
        <v/>
      </c>
      <c r="AY4094" s="82" t="str">
        <f t="shared" si="2"/>
        <v/>
      </c>
      <c r="AZ4094" s="82"/>
      <c r="BA4094" s="84" t="s">
        <v>152</v>
      </c>
      <c r="BB4094" s="84" t="str">
        <f>IFERROR(__xludf.DUMMYFUNCTION("iferror(if(A4094="""",,E4094&gt;=FILTER(Constants!$F$2:$F$10,Constants!$A$2:$A$10=A4094)))"),"")</f>
        <v/>
      </c>
    </row>
    <row r="4095">
      <c r="A4095" s="89"/>
      <c r="B4095" s="87"/>
      <c r="C4095" s="73"/>
      <c r="D4095" s="73"/>
      <c r="E4095" s="82"/>
      <c r="F4095" s="82"/>
      <c r="G4095" s="86"/>
      <c r="H4095" s="86"/>
      <c r="I4095" s="86"/>
      <c r="J4095" s="82"/>
      <c r="K4095" s="82"/>
      <c r="L4095" s="82"/>
      <c r="M4095" s="82"/>
      <c r="N4095" s="82"/>
      <c r="O4095" s="82"/>
      <c r="P4095" s="82"/>
      <c r="Q4095" s="82"/>
      <c r="R4095" s="82"/>
      <c r="S4095" s="82"/>
      <c r="T4095" s="82"/>
      <c r="U4095" s="82"/>
      <c r="V4095" s="82"/>
      <c r="W4095" s="82"/>
      <c r="X4095" s="82"/>
      <c r="Y4095" s="82"/>
      <c r="Z4095" s="82"/>
      <c r="AA4095" s="82"/>
      <c r="AB4095" s="82"/>
      <c r="AC4095" s="82"/>
      <c r="AD4095" s="82"/>
      <c r="AE4095" s="82"/>
      <c r="AF4095" s="82"/>
      <c r="AG4095" s="82"/>
      <c r="AH4095" s="82"/>
      <c r="AI4095" s="82"/>
      <c r="AJ4095" s="82"/>
      <c r="AK4095" s="82"/>
      <c r="AL4095" s="82"/>
      <c r="AM4095" s="82"/>
      <c r="AN4095" s="82">
        <f>IFERROR(__xludf.DUMMYFUNCTION("""COMPUTED_VALUE"""),0.0)</f>
        <v>0</v>
      </c>
      <c r="AO4095" s="82">
        <f>IFERROR(__xludf.DUMMYFUNCTION("""COMPUTED_VALUE"""),0.0)</f>
        <v>0</v>
      </c>
      <c r="AP4095" s="82">
        <f>IFERROR(__xludf.DUMMYFUNCTION("""COMPUTED_VALUE"""),0.0)</f>
        <v>0</v>
      </c>
      <c r="AQ4095" s="82">
        <f>IFERROR(__xludf.DUMMYFUNCTION("""COMPUTED_VALUE"""),0.0)</f>
        <v>0</v>
      </c>
      <c r="AR4095" s="82">
        <f>IFERROR(__xludf.DUMMYFUNCTION("""COMPUTED_VALUE"""),0.0)</f>
        <v>0</v>
      </c>
      <c r="AS4095" s="82"/>
      <c r="AT4095" s="82">
        <f>IFERROR(__xludf.DUMMYFUNCTION("""COMPUTED_VALUE"""),0.0)</f>
        <v>0</v>
      </c>
      <c r="AU4095" s="82"/>
      <c r="AV4095" s="82"/>
      <c r="AW4095" s="82" t="str">
        <f t="shared" si="1"/>
        <v/>
      </c>
      <c r="AX4095" s="83" t="str">
        <f t="array" ref="AX4095">IFERROR(DGET('SBV Import'!A:G,"SBV",{"RSC ID","Tier";B4095,A4095}))</f>
        <v/>
      </c>
      <c r="AY4095" s="82" t="str">
        <f t="shared" si="2"/>
        <v/>
      </c>
      <c r="AZ4095" s="82"/>
      <c r="BA4095" s="84" t="s">
        <v>152</v>
      </c>
      <c r="BB4095" s="84" t="str">
        <f>IFERROR(__xludf.DUMMYFUNCTION("iferror(if(A4095="""",,E4095&gt;=FILTER(Constants!$F$2:$F$10,Constants!$A$2:$A$10=A4095)))"),"")</f>
        <v/>
      </c>
    </row>
    <row r="4096">
      <c r="A4096" s="89"/>
      <c r="B4096" s="87"/>
      <c r="C4096" s="73"/>
      <c r="D4096" s="73"/>
      <c r="E4096" s="82"/>
      <c r="F4096" s="82"/>
      <c r="G4096" s="86"/>
      <c r="H4096" s="86"/>
      <c r="I4096" s="86"/>
      <c r="J4096" s="82"/>
      <c r="K4096" s="82"/>
      <c r="L4096" s="82"/>
      <c r="M4096" s="82"/>
      <c r="N4096" s="82"/>
      <c r="O4096" s="82"/>
      <c r="P4096" s="82"/>
      <c r="Q4096" s="82"/>
      <c r="R4096" s="82"/>
      <c r="S4096" s="82"/>
      <c r="T4096" s="82"/>
      <c r="U4096" s="82"/>
      <c r="V4096" s="82"/>
      <c r="W4096" s="82"/>
      <c r="X4096" s="82"/>
      <c r="Y4096" s="82"/>
      <c r="Z4096" s="82"/>
      <c r="AA4096" s="82"/>
      <c r="AB4096" s="82"/>
      <c r="AC4096" s="82"/>
      <c r="AD4096" s="82"/>
      <c r="AE4096" s="82"/>
      <c r="AF4096" s="82"/>
      <c r="AG4096" s="82"/>
      <c r="AH4096" s="82"/>
      <c r="AI4096" s="82"/>
      <c r="AJ4096" s="82"/>
      <c r="AK4096" s="82"/>
      <c r="AL4096" s="82"/>
      <c r="AM4096" s="82"/>
      <c r="AN4096" s="82">
        <f>IFERROR(__xludf.DUMMYFUNCTION("""COMPUTED_VALUE"""),0.0)</f>
        <v>0</v>
      </c>
      <c r="AO4096" s="82">
        <f>IFERROR(__xludf.DUMMYFUNCTION("""COMPUTED_VALUE"""),0.0)</f>
        <v>0</v>
      </c>
      <c r="AP4096" s="82">
        <f>IFERROR(__xludf.DUMMYFUNCTION("""COMPUTED_VALUE"""),0.0)</f>
        <v>0</v>
      </c>
      <c r="AQ4096" s="82">
        <f>IFERROR(__xludf.DUMMYFUNCTION("""COMPUTED_VALUE"""),0.0)</f>
        <v>0</v>
      </c>
      <c r="AR4096" s="82">
        <f>IFERROR(__xludf.DUMMYFUNCTION("""COMPUTED_VALUE"""),0.0)</f>
        <v>0</v>
      </c>
      <c r="AS4096" s="82"/>
      <c r="AT4096" s="82">
        <f>IFERROR(__xludf.DUMMYFUNCTION("""COMPUTED_VALUE"""),0.0)</f>
        <v>0</v>
      </c>
      <c r="AU4096" s="82"/>
      <c r="AV4096" s="82"/>
      <c r="AW4096" s="82" t="str">
        <f t="shared" si="1"/>
        <v/>
      </c>
      <c r="AX4096" s="83" t="str">
        <f t="array" ref="AX4096">IFERROR(DGET('SBV Import'!A:G,"SBV",{"RSC ID","Tier";B4096,A4096}))</f>
        <v/>
      </c>
      <c r="AY4096" s="82" t="str">
        <f t="shared" si="2"/>
        <v/>
      </c>
      <c r="AZ4096" s="82"/>
      <c r="BA4096" s="84" t="s">
        <v>152</v>
      </c>
      <c r="BB4096" s="84" t="str">
        <f>IFERROR(__xludf.DUMMYFUNCTION("iferror(if(A4096="""",,E4096&gt;=FILTER(Constants!$F$2:$F$10,Constants!$A$2:$A$10=A4096)))"),"")</f>
        <v/>
      </c>
    </row>
    <row r="4097">
      <c r="A4097" s="89"/>
      <c r="B4097" s="87"/>
      <c r="C4097" s="73"/>
      <c r="D4097" s="73"/>
      <c r="E4097" s="82"/>
      <c r="F4097" s="82"/>
      <c r="G4097" s="86"/>
      <c r="H4097" s="86"/>
      <c r="I4097" s="86"/>
      <c r="J4097" s="82"/>
      <c r="K4097" s="82"/>
      <c r="L4097" s="82"/>
      <c r="M4097" s="82"/>
      <c r="N4097" s="82"/>
      <c r="O4097" s="82"/>
      <c r="P4097" s="82"/>
      <c r="Q4097" s="82"/>
      <c r="R4097" s="82"/>
      <c r="S4097" s="82"/>
      <c r="T4097" s="82"/>
      <c r="U4097" s="82"/>
      <c r="V4097" s="82"/>
      <c r="W4097" s="82"/>
      <c r="X4097" s="82"/>
      <c r="Y4097" s="82"/>
      <c r="Z4097" s="82"/>
      <c r="AA4097" s="82"/>
      <c r="AB4097" s="82"/>
      <c r="AC4097" s="82"/>
      <c r="AD4097" s="82"/>
      <c r="AE4097" s="82"/>
      <c r="AF4097" s="82"/>
      <c r="AG4097" s="82"/>
      <c r="AH4097" s="82"/>
      <c r="AI4097" s="82"/>
      <c r="AJ4097" s="82"/>
      <c r="AK4097" s="82"/>
      <c r="AL4097" s="82"/>
      <c r="AM4097" s="82"/>
      <c r="AN4097" s="82">
        <f>IFERROR(__xludf.DUMMYFUNCTION("""COMPUTED_VALUE"""),0.0)</f>
        <v>0</v>
      </c>
      <c r="AO4097" s="82">
        <f>IFERROR(__xludf.DUMMYFUNCTION("""COMPUTED_VALUE"""),0.0)</f>
        <v>0</v>
      </c>
      <c r="AP4097" s="82">
        <f>IFERROR(__xludf.DUMMYFUNCTION("""COMPUTED_VALUE"""),0.0)</f>
        <v>0</v>
      </c>
      <c r="AQ4097" s="82">
        <f>IFERROR(__xludf.DUMMYFUNCTION("""COMPUTED_VALUE"""),0.0)</f>
        <v>0</v>
      </c>
      <c r="AR4097" s="82">
        <f>IFERROR(__xludf.DUMMYFUNCTION("""COMPUTED_VALUE"""),0.0)</f>
        <v>0</v>
      </c>
      <c r="AS4097" s="82"/>
      <c r="AT4097" s="82">
        <f>IFERROR(__xludf.DUMMYFUNCTION("""COMPUTED_VALUE"""),0.0)</f>
        <v>0</v>
      </c>
      <c r="AU4097" s="82"/>
      <c r="AV4097" s="82"/>
      <c r="AW4097" s="82" t="str">
        <f t="shared" si="1"/>
        <v/>
      </c>
      <c r="AX4097" s="83" t="str">
        <f t="array" ref="AX4097">IFERROR(DGET('SBV Import'!A:G,"SBV",{"RSC ID","Tier";B4097,A4097}))</f>
        <v/>
      </c>
      <c r="AY4097" s="82" t="str">
        <f t="shared" si="2"/>
        <v/>
      </c>
      <c r="AZ4097" s="82"/>
      <c r="BA4097" s="84" t="s">
        <v>152</v>
      </c>
      <c r="BB4097" s="84" t="str">
        <f>IFERROR(__xludf.DUMMYFUNCTION("iferror(if(A4097="""",,E4097&gt;=FILTER(Constants!$F$2:$F$10,Constants!$A$2:$A$10=A4097)))"),"")</f>
        <v/>
      </c>
    </row>
    <row r="4098">
      <c r="A4098" s="89"/>
      <c r="B4098" s="87"/>
      <c r="C4098" s="73"/>
      <c r="D4098" s="73"/>
      <c r="E4098" s="82"/>
      <c r="F4098" s="82"/>
      <c r="G4098" s="86"/>
      <c r="H4098" s="86"/>
      <c r="I4098" s="86"/>
      <c r="J4098" s="82"/>
      <c r="K4098" s="82"/>
      <c r="L4098" s="82"/>
      <c r="M4098" s="82"/>
      <c r="N4098" s="82"/>
      <c r="O4098" s="82"/>
      <c r="P4098" s="82"/>
      <c r="Q4098" s="82"/>
      <c r="R4098" s="82"/>
      <c r="S4098" s="82"/>
      <c r="T4098" s="82"/>
      <c r="U4098" s="82"/>
      <c r="V4098" s="82"/>
      <c r="W4098" s="82"/>
      <c r="X4098" s="82"/>
      <c r="Y4098" s="82"/>
      <c r="Z4098" s="82"/>
      <c r="AA4098" s="82"/>
      <c r="AB4098" s="82"/>
      <c r="AC4098" s="82"/>
      <c r="AD4098" s="82"/>
      <c r="AE4098" s="82"/>
      <c r="AF4098" s="82"/>
      <c r="AG4098" s="82"/>
      <c r="AH4098" s="82"/>
      <c r="AI4098" s="82"/>
      <c r="AJ4098" s="82"/>
      <c r="AK4098" s="82"/>
      <c r="AL4098" s="82"/>
      <c r="AM4098" s="82"/>
      <c r="AN4098" s="82">
        <f>IFERROR(__xludf.DUMMYFUNCTION("""COMPUTED_VALUE"""),0.0)</f>
        <v>0</v>
      </c>
      <c r="AO4098" s="82">
        <f>IFERROR(__xludf.DUMMYFUNCTION("""COMPUTED_VALUE"""),0.0)</f>
        <v>0</v>
      </c>
      <c r="AP4098" s="82">
        <f>IFERROR(__xludf.DUMMYFUNCTION("""COMPUTED_VALUE"""),0.0)</f>
        <v>0</v>
      </c>
      <c r="AQ4098" s="82">
        <f>IFERROR(__xludf.DUMMYFUNCTION("""COMPUTED_VALUE"""),0.0)</f>
        <v>0</v>
      </c>
      <c r="AR4098" s="82">
        <f>IFERROR(__xludf.DUMMYFUNCTION("""COMPUTED_VALUE"""),0.0)</f>
        <v>0</v>
      </c>
      <c r="AS4098" s="82"/>
      <c r="AT4098" s="82">
        <f>IFERROR(__xludf.DUMMYFUNCTION("""COMPUTED_VALUE"""),0.0)</f>
        <v>0</v>
      </c>
      <c r="AU4098" s="82"/>
      <c r="AV4098" s="82"/>
      <c r="AW4098" s="82" t="str">
        <f t="shared" si="1"/>
        <v/>
      </c>
      <c r="AX4098" s="83" t="str">
        <f t="array" ref="AX4098">IFERROR(DGET('SBV Import'!A:G,"SBV",{"RSC ID","Tier";B4098,A4098}))</f>
        <v/>
      </c>
      <c r="AY4098" s="82" t="str">
        <f t="shared" si="2"/>
        <v/>
      </c>
      <c r="AZ4098" s="82"/>
      <c r="BA4098" s="84" t="s">
        <v>152</v>
      </c>
      <c r="BB4098" s="84" t="str">
        <f>IFERROR(__xludf.DUMMYFUNCTION("iferror(if(A4098="""",,E4098&gt;=FILTER(Constants!$F$2:$F$10,Constants!$A$2:$A$10=A4098)))"),"")</f>
        <v/>
      </c>
    </row>
    <row r="4099">
      <c r="A4099" s="89"/>
      <c r="B4099" s="87"/>
      <c r="C4099" s="73"/>
      <c r="D4099" s="73"/>
      <c r="E4099" s="82"/>
      <c r="F4099" s="82"/>
      <c r="G4099" s="86"/>
      <c r="H4099" s="86"/>
      <c r="I4099" s="86"/>
      <c r="J4099" s="82"/>
      <c r="K4099" s="82"/>
      <c r="L4099" s="82"/>
      <c r="M4099" s="82"/>
      <c r="N4099" s="82"/>
      <c r="O4099" s="82"/>
      <c r="P4099" s="82"/>
      <c r="Q4099" s="82"/>
      <c r="R4099" s="82"/>
      <c r="S4099" s="82"/>
      <c r="T4099" s="82"/>
      <c r="U4099" s="82"/>
      <c r="V4099" s="82"/>
      <c r="W4099" s="82"/>
      <c r="X4099" s="82"/>
      <c r="Y4099" s="82"/>
      <c r="Z4099" s="82"/>
      <c r="AA4099" s="82"/>
      <c r="AB4099" s="82"/>
      <c r="AC4099" s="82"/>
      <c r="AD4099" s="82"/>
      <c r="AE4099" s="82"/>
      <c r="AF4099" s="82"/>
      <c r="AG4099" s="82"/>
      <c r="AH4099" s="82"/>
      <c r="AI4099" s="82"/>
      <c r="AJ4099" s="82"/>
      <c r="AK4099" s="82"/>
      <c r="AL4099" s="82"/>
      <c r="AM4099" s="82"/>
      <c r="AN4099" s="82">
        <f>IFERROR(__xludf.DUMMYFUNCTION("""COMPUTED_VALUE"""),0.0)</f>
        <v>0</v>
      </c>
      <c r="AO4099" s="82">
        <f>IFERROR(__xludf.DUMMYFUNCTION("""COMPUTED_VALUE"""),0.0)</f>
        <v>0</v>
      </c>
      <c r="AP4099" s="82">
        <f>IFERROR(__xludf.DUMMYFUNCTION("""COMPUTED_VALUE"""),0.0)</f>
        <v>0</v>
      </c>
      <c r="AQ4099" s="82">
        <f>IFERROR(__xludf.DUMMYFUNCTION("""COMPUTED_VALUE"""),0.0)</f>
        <v>0</v>
      </c>
      <c r="AR4099" s="82">
        <f>IFERROR(__xludf.DUMMYFUNCTION("""COMPUTED_VALUE"""),0.0)</f>
        <v>0</v>
      </c>
      <c r="AS4099" s="82"/>
      <c r="AT4099" s="82">
        <f>IFERROR(__xludf.DUMMYFUNCTION("""COMPUTED_VALUE"""),0.0)</f>
        <v>0</v>
      </c>
      <c r="AU4099" s="82"/>
      <c r="AV4099" s="82"/>
      <c r="AW4099" s="82" t="str">
        <f t="shared" si="1"/>
        <v/>
      </c>
      <c r="AX4099" s="83" t="str">
        <f t="array" ref="AX4099">IFERROR(DGET('SBV Import'!A:G,"SBV",{"RSC ID","Tier";B4099,A4099}))</f>
        <v/>
      </c>
      <c r="AY4099" s="82" t="str">
        <f t="shared" si="2"/>
        <v/>
      </c>
      <c r="AZ4099" s="82"/>
      <c r="BA4099" s="84" t="s">
        <v>152</v>
      </c>
      <c r="BB4099" s="84" t="str">
        <f>IFERROR(__xludf.DUMMYFUNCTION("iferror(if(A4099="""",,E4099&gt;=FILTER(Constants!$F$2:$F$10,Constants!$A$2:$A$10=A4099)))"),"")</f>
        <v/>
      </c>
    </row>
    <row r="4100">
      <c r="A4100" s="89"/>
      <c r="B4100" s="87"/>
      <c r="C4100" s="73"/>
      <c r="D4100" s="73"/>
      <c r="E4100" s="82"/>
      <c r="F4100" s="82"/>
      <c r="G4100" s="86"/>
      <c r="H4100" s="86"/>
      <c r="I4100" s="86"/>
      <c r="J4100" s="82"/>
      <c r="K4100" s="82"/>
      <c r="L4100" s="82"/>
      <c r="M4100" s="82"/>
      <c r="N4100" s="82"/>
      <c r="O4100" s="82"/>
      <c r="P4100" s="82"/>
      <c r="Q4100" s="82"/>
      <c r="R4100" s="82"/>
      <c r="S4100" s="82"/>
      <c r="T4100" s="82"/>
      <c r="U4100" s="82"/>
      <c r="V4100" s="82"/>
      <c r="W4100" s="82"/>
      <c r="X4100" s="82"/>
      <c r="Y4100" s="82"/>
      <c r="Z4100" s="82"/>
      <c r="AA4100" s="82"/>
      <c r="AB4100" s="82"/>
      <c r="AC4100" s="82"/>
      <c r="AD4100" s="82"/>
      <c r="AE4100" s="82"/>
      <c r="AF4100" s="82"/>
      <c r="AG4100" s="82"/>
      <c r="AH4100" s="82"/>
      <c r="AI4100" s="82"/>
      <c r="AJ4100" s="82"/>
      <c r="AK4100" s="82"/>
      <c r="AL4100" s="82"/>
      <c r="AM4100" s="82"/>
      <c r="AN4100" s="82">
        <f>IFERROR(__xludf.DUMMYFUNCTION("""COMPUTED_VALUE"""),0.0)</f>
        <v>0</v>
      </c>
      <c r="AO4100" s="82">
        <f>IFERROR(__xludf.DUMMYFUNCTION("""COMPUTED_VALUE"""),0.0)</f>
        <v>0</v>
      </c>
      <c r="AP4100" s="82">
        <f>IFERROR(__xludf.DUMMYFUNCTION("""COMPUTED_VALUE"""),0.0)</f>
        <v>0</v>
      </c>
      <c r="AQ4100" s="82">
        <f>IFERROR(__xludf.DUMMYFUNCTION("""COMPUTED_VALUE"""),0.0)</f>
        <v>0</v>
      </c>
      <c r="AR4100" s="82">
        <f>IFERROR(__xludf.DUMMYFUNCTION("""COMPUTED_VALUE"""),0.0)</f>
        <v>0</v>
      </c>
      <c r="AS4100" s="82"/>
      <c r="AT4100" s="82">
        <f>IFERROR(__xludf.DUMMYFUNCTION("""COMPUTED_VALUE"""),0.0)</f>
        <v>0</v>
      </c>
      <c r="AU4100" s="82"/>
      <c r="AV4100" s="82"/>
      <c r="AW4100" s="82" t="str">
        <f t="shared" si="1"/>
        <v/>
      </c>
      <c r="AX4100" s="83" t="str">
        <f t="array" ref="AX4100">IFERROR(DGET('SBV Import'!A:G,"SBV",{"RSC ID","Tier";B4100,A4100}))</f>
        <v/>
      </c>
      <c r="AY4100" s="82" t="str">
        <f t="shared" si="2"/>
        <v/>
      </c>
      <c r="AZ4100" s="82"/>
      <c r="BA4100" s="84" t="s">
        <v>152</v>
      </c>
      <c r="BB4100" s="84" t="str">
        <f>IFERROR(__xludf.DUMMYFUNCTION("iferror(if(A4100="""",,E4100&gt;=FILTER(Constants!$F$2:$F$10,Constants!$A$2:$A$10=A4100)))"),"")</f>
        <v/>
      </c>
    </row>
    <row r="4101">
      <c r="A4101" s="89"/>
      <c r="B4101" s="87"/>
      <c r="C4101" s="73"/>
      <c r="D4101" s="73"/>
      <c r="E4101" s="82"/>
      <c r="F4101" s="82"/>
      <c r="G4101" s="86"/>
      <c r="H4101" s="86"/>
      <c r="I4101" s="86"/>
      <c r="J4101" s="82"/>
      <c r="K4101" s="82"/>
      <c r="L4101" s="82"/>
      <c r="M4101" s="82"/>
      <c r="N4101" s="82"/>
      <c r="O4101" s="82"/>
      <c r="P4101" s="82"/>
      <c r="Q4101" s="82"/>
      <c r="R4101" s="82"/>
      <c r="S4101" s="82"/>
      <c r="T4101" s="82"/>
      <c r="U4101" s="82"/>
      <c r="V4101" s="82"/>
      <c r="W4101" s="82"/>
      <c r="X4101" s="82"/>
      <c r="Y4101" s="82"/>
      <c r="Z4101" s="82"/>
      <c r="AA4101" s="82"/>
      <c r="AB4101" s="82"/>
      <c r="AC4101" s="82"/>
      <c r="AD4101" s="82"/>
      <c r="AE4101" s="82"/>
      <c r="AF4101" s="82"/>
      <c r="AG4101" s="82"/>
      <c r="AH4101" s="82"/>
      <c r="AI4101" s="82"/>
      <c r="AJ4101" s="82"/>
      <c r="AK4101" s="82"/>
      <c r="AL4101" s="82"/>
      <c r="AM4101" s="82"/>
      <c r="AN4101" s="82">
        <f>IFERROR(__xludf.DUMMYFUNCTION("""COMPUTED_VALUE"""),0.0)</f>
        <v>0</v>
      </c>
      <c r="AO4101" s="82">
        <f>IFERROR(__xludf.DUMMYFUNCTION("""COMPUTED_VALUE"""),0.0)</f>
        <v>0</v>
      </c>
      <c r="AP4101" s="82">
        <f>IFERROR(__xludf.DUMMYFUNCTION("""COMPUTED_VALUE"""),0.0)</f>
        <v>0</v>
      </c>
      <c r="AQ4101" s="82">
        <f>IFERROR(__xludf.DUMMYFUNCTION("""COMPUTED_VALUE"""),0.0)</f>
        <v>0</v>
      </c>
      <c r="AR4101" s="82">
        <f>IFERROR(__xludf.DUMMYFUNCTION("""COMPUTED_VALUE"""),0.0)</f>
        <v>0</v>
      </c>
      <c r="AS4101" s="82"/>
      <c r="AT4101" s="82">
        <f>IFERROR(__xludf.DUMMYFUNCTION("""COMPUTED_VALUE"""),0.0)</f>
        <v>0</v>
      </c>
      <c r="AU4101" s="82"/>
      <c r="AV4101" s="82"/>
      <c r="AW4101" s="82" t="str">
        <f t="shared" si="1"/>
        <v/>
      </c>
      <c r="AX4101" s="83" t="str">
        <f t="array" ref="AX4101">IFERROR(DGET('SBV Import'!A:G,"SBV",{"RSC ID","Tier";B4101,A4101}))</f>
        <v/>
      </c>
      <c r="AY4101" s="82" t="str">
        <f t="shared" si="2"/>
        <v/>
      </c>
      <c r="AZ4101" s="82"/>
      <c r="BA4101" s="84" t="s">
        <v>152</v>
      </c>
      <c r="BB4101" s="84" t="str">
        <f>IFERROR(__xludf.DUMMYFUNCTION("iferror(if(A4101="""",,E4101&gt;=FILTER(Constants!$F$2:$F$10,Constants!$A$2:$A$10=A4101)))"),"")</f>
        <v/>
      </c>
    </row>
    <row r="4102">
      <c r="A4102" s="89"/>
      <c r="B4102" s="87"/>
      <c r="C4102" s="73"/>
      <c r="D4102" s="73"/>
      <c r="E4102" s="82"/>
      <c r="F4102" s="82"/>
      <c r="G4102" s="86"/>
      <c r="H4102" s="86"/>
      <c r="I4102" s="86"/>
      <c r="J4102" s="82"/>
      <c r="K4102" s="82"/>
      <c r="L4102" s="82"/>
      <c r="M4102" s="82"/>
      <c r="N4102" s="82"/>
      <c r="O4102" s="82"/>
      <c r="P4102" s="82"/>
      <c r="Q4102" s="82"/>
      <c r="R4102" s="82"/>
      <c r="S4102" s="82"/>
      <c r="T4102" s="82"/>
      <c r="U4102" s="82"/>
      <c r="V4102" s="82"/>
      <c r="W4102" s="82"/>
      <c r="X4102" s="82"/>
      <c r="Y4102" s="82"/>
      <c r="Z4102" s="82"/>
      <c r="AA4102" s="82"/>
      <c r="AB4102" s="82"/>
      <c r="AC4102" s="82"/>
      <c r="AD4102" s="82"/>
      <c r="AE4102" s="82"/>
      <c r="AF4102" s="82"/>
      <c r="AG4102" s="82"/>
      <c r="AH4102" s="82"/>
      <c r="AI4102" s="82"/>
      <c r="AJ4102" s="82"/>
      <c r="AK4102" s="82"/>
      <c r="AL4102" s="82"/>
      <c r="AM4102" s="82"/>
      <c r="AN4102" s="82">
        <f>IFERROR(__xludf.DUMMYFUNCTION("""COMPUTED_VALUE"""),0.0)</f>
        <v>0</v>
      </c>
      <c r="AO4102" s="82">
        <f>IFERROR(__xludf.DUMMYFUNCTION("""COMPUTED_VALUE"""),0.0)</f>
        <v>0</v>
      </c>
      <c r="AP4102" s="82">
        <f>IFERROR(__xludf.DUMMYFUNCTION("""COMPUTED_VALUE"""),0.0)</f>
        <v>0</v>
      </c>
      <c r="AQ4102" s="82">
        <f>IFERROR(__xludf.DUMMYFUNCTION("""COMPUTED_VALUE"""),0.0)</f>
        <v>0</v>
      </c>
      <c r="AR4102" s="82">
        <f>IFERROR(__xludf.DUMMYFUNCTION("""COMPUTED_VALUE"""),0.0)</f>
        <v>0</v>
      </c>
      <c r="AS4102" s="82"/>
      <c r="AT4102" s="82">
        <f>IFERROR(__xludf.DUMMYFUNCTION("""COMPUTED_VALUE"""),0.0)</f>
        <v>0</v>
      </c>
      <c r="AU4102" s="82"/>
      <c r="AV4102" s="82"/>
      <c r="AW4102" s="82" t="str">
        <f t="shared" si="1"/>
        <v/>
      </c>
      <c r="AX4102" s="83" t="str">
        <f t="array" ref="AX4102">IFERROR(DGET('SBV Import'!A:G,"SBV",{"RSC ID","Tier";B4102,A4102}))</f>
        <v/>
      </c>
      <c r="AY4102" s="82" t="str">
        <f t="shared" si="2"/>
        <v/>
      </c>
      <c r="AZ4102" s="82"/>
      <c r="BA4102" s="84" t="s">
        <v>152</v>
      </c>
      <c r="BB4102" s="84" t="str">
        <f>IFERROR(__xludf.DUMMYFUNCTION("iferror(if(A4102="""",,E4102&gt;=FILTER(Constants!$F$2:$F$10,Constants!$A$2:$A$10=A4102)))"),"")</f>
        <v/>
      </c>
    </row>
    <row r="4103">
      <c r="A4103" s="89"/>
      <c r="B4103" s="87"/>
      <c r="C4103" s="73"/>
      <c r="D4103" s="73"/>
      <c r="E4103" s="82"/>
      <c r="F4103" s="82"/>
      <c r="G4103" s="86"/>
      <c r="H4103" s="86"/>
      <c r="I4103" s="86"/>
      <c r="J4103" s="82"/>
      <c r="K4103" s="82"/>
      <c r="L4103" s="82"/>
      <c r="M4103" s="82"/>
      <c r="N4103" s="82"/>
      <c r="O4103" s="82"/>
      <c r="P4103" s="82"/>
      <c r="Q4103" s="82"/>
      <c r="R4103" s="82"/>
      <c r="S4103" s="82"/>
      <c r="T4103" s="82"/>
      <c r="U4103" s="82"/>
      <c r="V4103" s="82"/>
      <c r="W4103" s="82"/>
      <c r="X4103" s="82"/>
      <c r="Y4103" s="82"/>
      <c r="Z4103" s="82"/>
      <c r="AA4103" s="82"/>
      <c r="AB4103" s="82"/>
      <c r="AC4103" s="82"/>
      <c r="AD4103" s="82"/>
      <c r="AE4103" s="82"/>
      <c r="AF4103" s="82"/>
      <c r="AG4103" s="82"/>
      <c r="AH4103" s="82"/>
      <c r="AI4103" s="82"/>
      <c r="AJ4103" s="82"/>
      <c r="AK4103" s="82"/>
      <c r="AL4103" s="82"/>
      <c r="AM4103" s="82"/>
      <c r="AN4103" s="82">
        <f>IFERROR(__xludf.DUMMYFUNCTION("""COMPUTED_VALUE"""),0.0)</f>
        <v>0</v>
      </c>
      <c r="AO4103" s="82">
        <f>IFERROR(__xludf.DUMMYFUNCTION("""COMPUTED_VALUE"""),0.0)</f>
        <v>0</v>
      </c>
      <c r="AP4103" s="82">
        <f>IFERROR(__xludf.DUMMYFUNCTION("""COMPUTED_VALUE"""),0.0)</f>
        <v>0</v>
      </c>
      <c r="AQ4103" s="82">
        <f>IFERROR(__xludf.DUMMYFUNCTION("""COMPUTED_VALUE"""),0.0)</f>
        <v>0</v>
      </c>
      <c r="AR4103" s="82">
        <f>IFERROR(__xludf.DUMMYFUNCTION("""COMPUTED_VALUE"""),0.0)</f>
        <v>0</v>
      </c>
      <c r="AS4103" s="82"/>
      <c r="AT4103" s="82">
        <f>IFERROR(__xludf.DUMMYFUNCTION("""COMPUTED_VALUE"""),0.0)</f>
        <v>0</v>
      </c>
      <c r="AU4103" s="82"/>
      <c r="AV4103" s="82"/>
      <c r="AW4103" s="82" t="str">
        <f t="shared" si="1"/>
        <v/>
      </c>
      <c r="AX4103" s="83" t="str">
        <f t="array" ref="AX4103">IFERROR(DGET('SBV Import'!A:G,"SBV",{"RSC ID","Tier";B4103,A4103}))</f>
        <v/>
      </c>
      <c r="AY4103" s="82" t="str">
        <f t="shared" si="2"/>
        <v/>
      </c>
      <c r="AZ4103" s="82"/>
      <c r="BA4103" s="84" t="s">
        <v>152</v>
      </c>
      <c r="BB4103" s="84" t="str">
        <f>IFERROR(__xludf.DUMMYFUNCTION("iferror(if(A4103="""",,E4103&gt;=FILTER(Constants!$F$2:$F$10,Constants!$A$2:$A$10=A4103)))"),"")</f>
        <v/>
      </c>
    </row>
    <row r="4104">
      <c r="A4104" s="89"/>
      <c r="B4104" s="87"/>
      <c r="C4104" s="73"/>
      <c r="D4104" s="73"/>
      <c r="E4104" s="82"/>
      <c r="F4104" s="82"/>
      <c r="G4104" s="86"/>
      <c r="H4104" s="86"/>
      <c r="I4104" s="86"/>
      <c r="J4104" s="82"/>
      <c r="K4104" s="82"/>
      <c r="L4104" s="82"/>
      <c r="M4104" s="82"/>
      <c r="N4104" s="82"/>
      <c r="O4104" s="82"/>
      <c r="P4104" s="82"/>
      <c r="Q4104" s="82"/>
      <c r="R4104" s="82"/>
      <c r="S4104" s="82"/>
      <c r="T4104" s="82"/>
      <c r="U4104" s="82"/>
      <c r="V4104" s="82"/>
      <c r="W4104" s="82"/>
      <c r="X4104" s="82"/>
      <c r="Y4104" s="82"/>
      <c r="Z4104" s="82"/>
      <c r="AA4104" s="82"/>
      <c r="AB4104" s="82"/>
      <c r="AC4104" s="82"/>
      <c r="AD4104" s="82"/>
      <c r="AE4104" s="82"/>
      <c r="AF4104" s="82"/>
      <c r="AG4104" s="82"/>
      <c r="AH4104" s="82"/>
      <c r="AI4104" s="82"/>
      <c r="AJ4104" s="82"/>
      <c r="AK4104" s="82"/>
      <c r="AL4104" s="82"/>
      <c r="AM4104" s="82"/>
      <c r="AN4104" s="82">
        <f>IFERROR(__xludf.DUMMYFUNCTION("""COMPUTED_VALUE"""),0.0)</f>
        <v>0</v>
      </c>
      <c r="AO4104" s="82">
        <f>IFERROR(__xludf.DUMMYFUNCTION("""COMPUTED_VALUE"""),0.0)</f>
        <v>0</v>
      </c>
      <c r="AP4104" s="82">
        <f>IFERROR(__xludf.DUMMYFUNCTION("""COMPUTED_VALUE"""),0.0)</f>
        <v>0</v>
      </c>
      <c r="AQ4104" s="82">
        <f>IFERROR(__xludf.DUMMYFUNCTION("""COMPUTED_VALUE"""),0.0)</f>
        <v>0</v>
      </c>
      <c r="AR4104" s="82">
        <f>IFERROR(__xludf.DUMMYFUNCTION("""COMPUTED_VALUE"""),0.0)</f>
        <v>0</v>
      </c>
      <c r="AS4104" s="82"/>
      <c r="AT4104" s="82">
        <f>IFERROR(__xludf.DUMMYFUNCTION("""COMPUTED_VALUE"""),0.0)</f>
        <v>0</v>
      </c>
      <c r="AU4104" s="82"/>
      <c r="AV4104" s="82"/>
      <c r="AW4104" s="82" t="str">
        <f t="shared" si="1"/>
        <v/>
      </c>
      <c r="AX4104" s="83" t="str">
        <f t="array" ref="AX4104">IFERROR(DGET('SBV Import'!A:G,"SBV",{"RSC ID","Tier";B4104,A4104}))</f>
        <v/>
      </c>
      <c r="AY4104" s="82" t="str">
        <f t="shared" si="2"/>
        <v/>
      </c>
      <c r="AZ4104" s="82"/>
      <c r="BA4104" s="84" t="s">
        <v>152</v>
      </c>
      <c r="BB4104" s="84" t="str">
        <f>IFERROR(__xludf.DUMMYFUNCTION("iferror(if(A4104="""",,E4104&gt;=FILTER(Constants!$F$2:$F$10,Constants!$A$2:$A$10=A4104)))"),"")</f>
        <v/>
      </c>
    </row>
    <row r="4105">
      <c r="A4105" s="89"/>
      <c r="B4105" s="87"/>
      <c r="C4105" s="73"/>
      <c r="D4105" s="73"/>
      <c r="E4105" s="82"/>
      <c r="F4105" s="82"/>
      <c r="G4105" s="86"/>
      <c r="H4105" s="86"/>
      <c r="I4105" s="86"/>
      <c r="J4105" s="82"/>
      <c r="K4105" s="82"/>
      <c r="L4105" s="82"/>
      <c r="M4105" s="82"/>
      <c r="N4105" s="82"/>
      <c r="O4105" s="82"/>
      <c r="P4105" s="82"/>
      <c r="Q4105" s="82"/>
      <c r="R4105" s="82"/>
      <c r="S4105" s="82"/>
      <c r="T4105" s="82"/>
      <c r="U4105" s="82"/>
      <c r="V4105" s="82"/>
      <c r="W4105" s="82"/>
      <c r="X4105" s="82"/>
      <c r="Y4105" s="82"/>
      <c r="Z4105" s="82"/>
      <c r="AA4105" s="82"/>
      <c r="AB4105" s="82"/>
      <c r="AC4105" s="82"/>
      <c r="AD4105" s="82"/>
      <c r="AE4105" s="82"/>
      <c r="AF4105" s="82"/>
      <c r="AG4105" s="82"/>
      <c r="AH4105" s="82"/>
      <c r="AI4105" s="82"/>
      <c r="AJ4105" s="82"/>
      <c r="AK4105" s="82"/>
      <c r="AL4105" s="82"/>
      <c r="AM4105" s="82"/>
      <c r="AN4105" s="82">
        <f>IFERROR(__xludf.DUMMYFUNCTION("""COMPUTED_VALUE"""),0.0)</f>
        <v>0</v>
      </c>
      <c r="AO4105" s="82">
        <f>IFERROR(__xludf.DUMMYFUNCTION("""COMPUTED_VALUE"""),0.0)</f>
        <v>0</v>
      </c>
      <c r="AP4105" s="82">
        <f>IFERROR(__xludf.DUMMYFUNCTION("""COMPUTED_VALUE"""),0.0)</f>
        <v>0</v>
      </c>
      <c r="AQ4105" s="82">
        <f>IFERROR(__xludf.DUMMYFUNCTION("""COMPUTED_VALUE"""),0.0)</f>
        <v>0</v>
      </c>
      <c r="AR4105" s="82">
        <f>IFERROR(__xludf.DUMMYFUNCTION("""COMPUTED_VALUE"""),0.0)</f>
        <v>0</v>
      </c>
      <c r="AS4105" s="82"/>
      <c r="AT4105" s="82">
        <f>IFERROR(__xludf.DUMMYFUNCTION("""COMPUTED_VALUE"""),0.0)</f>
        <v>0</v>
      </c>
      <c r="AU4105" s="82"/>
      <c r="AV4105" s="82"/>
      <c r="AW4105" s="82" t="str">
        <f t="shared" si="1"/>
        <v/>
      </c>
      <c r="AX4105" s="83" t="str">
        <f t="array" ref="AX4105">IFERROR(DGET('SBV Import'!A:G,"SBV",{"RSC ID","Tier";B4105,A4105}))</f>
        <v/>
      </c>
      <c r="AY4105" s="82" t="str">
        <f t="shared" si="2"/>
        <v/>
      </c>
      <c r="AZ4105" s="82"/>
      <c r="BA4105" s="84" t="s">
        <v>152</v>
      </c>
      <c r="BB4105" s="84" t="str">
        <f>IFERROR(__xludf.DUMMYFUNCTION("iferror(if(A4105="""",,E4105&gt;=FILTER(Constants!$F$2:$F$10,Constants!$A$2:$A$10=A4105)))"),"")</f>
        <v/>
      </c>
    </row>
    <row r="4106">
      <c r="A4106" s="89"/>
      <c r="B4106" s="87"/>
      <c r="C4106" s="73"/>
      <c r="D4106" s="73"/>
      <c r="E4106" s="82"/>
      <c r="F4106" s="82"/>
      <c r="G4106" s="86"/>
      <c r="H4106" s="86"/>
      <c r="I4106" s="86"/>
      <c r="J4106" s="82"/>
      <c r="K4106" s="82"/>
      <c r="L4106" s="82"/>
      <c r="M4106" s="82"/>
      <c r="N4106" s="82"/>
      <c r="O4106" s="82"/>
      <c r="P4106" s="82"/>
      <c r="Q4106" s="82"/>
      <c r="R4106" s="82"/>
      <c r="S4106" s="82"/>
      <c r="T4106" s="82"/>
      <c r="U4106" s="82"/>
      <c r="V4106" s="82"/>
      <c r="W4106" s="82"/>
      <c r="X4106" s="82"/>
      <c r="Y4106" s="82"/>
      <c r="Z4106" s="82"/>
      <c r="AA4106" s="82"/>
      <c r="AB4106" s="82"/>
      <c r="AC4106" s="82"/>
      <c r="AD4106" s="82"/>
      <c r="AE4106" s="82"/>
      <c r="AF4106" s="82"/>
      <c r="AG4106" s="82"/>
      <c r="AH4106" s="82"/>
      <c r="AI4106" s="82"/>
      <c r="AJ4106" s="82"/>
      <c r="AK4106" s="82"/>
      <c r="AL4106" s="82"/>
      <c r="AM4106" s="82"/>
      <c r="AN4106" s="82">
        <f>IFERROR(__xludf.DUMMYFUNCTION("""COMPUTED_VALUE"""),0.0)</f>
        <v>0</v>
      </c>
      <c r="AO4106" s="82">
        <f>IFERROR(__xludf.DUMMYFUNCTION("""COMPUTED_VALUE"""),0.0)</f>
        <v>0</v>
      </c>
      <c r="AP4106" s="82">
        <f>IFERROR(__xludf.DUMMYFUNCTION("""COMPUTED_VALUE"""),0.0)</f>
        <v>0</v>
      </c>
      <c r="AQ4106" s="82">
        <f>IFERROR(__xludf.DUMMYFUNCTION("""COMPUTED_VALUE"""),0.0)</f>
        <v>0</v>
      </c>
      <c r="AR4106" s="82">
        <f>IFERROR(__xludf.DUMMYFUNCTION("""COMPUTED_VALUE"""),0.0)</f>
        <v>0</v>
      </c>
      <c r="AS4106" s="82"/>
      <c r="AT4106" s="82">
        <f>IFERROR(__xludf.DUMMYFUNCTION("""COMPUTED_VALUE"""),0.0)</f>
        <v>0</v>
      </c>
      <c r="AU4106" s="82"/>
      <c r="AV4106" s="82"/>
      <c r="AW4106" s="82" t="str">
        <f t="shared" si="1"/>
        <v/>
      </c>
      <c r="AX4106" s="83" t="str">
        <f t="array" ref="AX4106">IFERROR(DGET('SBV Import'!A:G,"SBV",{"RSC ID","Tier";B4106,A4106}))</f>
        <v/>
      </c>
      <c r="AY4106" s="82" t="str">
        <f t="shared" si="2"/>
        <v/>
      </c>
      <c r="AZ4106" s="82"/>
      <c r="BA4106" s="84" t="s">
        <v>152</v>
      </c>
      <c r="BB4106" s="84" t="str">
        <f>IFERROR(__xludf.DUMMYFUNCTION("iferror(if(A4106="""",,E4106&gt;=FILTER(Constants!$F$2:$F$10,Constants!$A$2:$A$10=A4106)))"),"")</f>
        <v/>
      </c>
    </row>
    <row r="4107">
      <c r="A4107" s="89"/>
      <c r="B4107" s="87"/>
      <c r="C4107" s="73"/>
      <c r="D4107" s="73"/>
      <c r="E4107" s="82"/>
      <c r="F4107" s="82"/>
      <c r="G4107" s="86"/>
      <c r="H4107" s="86"/>
      <c r="I4107" s="86"/>
      <c r="J4107" s="82"/>
      <c r="K4107" s="82"/>
      <c r="L4107" s="82"/>
      <c r="M4107" s="82"/>
      <c r="N4107" s="82"/>
      <c r="O4107" s="82"/>
      <c r="P4107" s="82"/>
      <c r="Q4107" s="82"/>
      <c r="R4107" s="82"/>
      <c r="S4107" s="82"/>
      <c r="T4107" s="82"/>
      <c r="U4107" s="82"/>
      <c r="V4107" s="82"/>
      <c r="W4107" s="82"/>
      <c r="X4107" s="82"/>
      <c r="Y4107" s="82"/>
      <c r="Z4107" s="82"/>
      <c r="AA4107" s="82"/>
      <c r="AB4107" s="82"/>
      <c r="AC4107" s="82"/>
      <c r="AD4107" s="82"/>
      <c r="AE4107" s="82"/>
      <c r="AF4107" s="82"/>
      <c r="AG4107" s="82"/>
      <c r="AH4107" s="82"/>
      <c r="AI4107" s="82"/>
      <c r="AJ4107" s="82"/>
      <c r="AK4107" s="82"/>
      <c r="AL4107" s="82"/>
      <c r="AM4107" s="82"/>
      <c r="AN4107" s="82">
        <f>IFERROR(__xludf.DUMMYFUNCTION("""COMPUTED_VALUE"""),0.0)</f>
        <v>0</v>
      </c>
      <c r="AO4107" s="82">
        <f>IFERROR(__xludf.DUMMYFUNCTION("""COMPUTED_VALUE"""),0.0)</f>
        <v>0</v>
      </c>
      <c r="AP4107" s="82">
        <f>IFERROR(__xludf.DUMMYFUNCTION("""COMPUTED_VALUE"""),0.0)</f>
        <v>0</v>
      </c>
      <c r="AQ4107" s="82">
        <f>IFERROR(__xludf.DUMMYFUNCTION("""COMPUTED_VALUE"""),0.0)</f>
        <v>0</v>
      </c>
      <c r="AR4107" s="82">
        <f>IFERROR(__xludf.DUMMYFUNCTION("""COMPUTED_VALUE"""),0.0)</f>
        <v>0</v>
      </c>
      <c r="AS4107" s="82"/>
      <c r="AT4107" s="82">
        <f>IFERROR(__xludf.DUMMYFUNCTION("""COMPUTED_VALUE"""),0.0)</f>
        <v>0</v>
      </c>
      <c r="AU4107" s="82"/>
      <c r="AV4107" s="82"/>
      <c r="AW4107" s="82" t="str">
        <f t="shared" si="1"/>
        <v/>
      </c>
      <c r="AX4107" s="83" t="str">
        <f t="array" ref="AX4107">IFERROR(DGET('SBV Import'!A:G,"SBV",{"RSC ID","Tier";B4107,A4107}))</f>
        <v/>
      </c>
      <c r="AY4107" s="82" t="str">
        <f t="shared" si="2"/>
        <v/>
      </c>
      <c r="AZ4107" s="82"/>
      <c r="BA4107" s="84" t="s">
        <v>152</v>
      </c>
      <c r="BB4107" s="84" t="str">
        <f>IFERROR(__xludf.DUMMYFUNCTION("iferror(if(A4107="""",,E4107&gt;=FILTER(Constants!$F$2:$F$10,Constants!$A$2:$A$10=A4107)))"),"")</f>
        <v/>
      </c>
    </row>
    <row r="4108">
      <c r="A4108" s="89"/>
      <c r="B4108" s="87"/>
      <c r="C4108" s="73"/>
      <c r="D4108" s="73"/>
      <c r="E4108" s="82"/>
      <c r="F4108" s="82"/>
      <c r="G4108" s="86"/>
      <c r="H4108" s="86"/>
      <c r="I4108" s="86"/>
      <c r="J4108" s="82"/>
      <c r="K4108" s="82"/>
      <c r="L4108" s="82"/>
      <c r="M4108" s="82"/>
      <c r="N4108" s="82"/>
      <c r="O4108" s="82"/>
      <c r="P4108" s="82"/>
      <c r="Q4108" s="82"/>
      <c r="R4108" s="82"/>
      <c r="S4108" s="82"/>
      <c r="T4108" s="82"/>
      <c r="U4108" s="82"/>
      <c r="V4108" s="82"/>
      <c r="W4108" s="82"/>
      <c r="X4108" s="82"/>
      <c r="Y4108" s="82"/>
      <c r="Z4108" s="82"/>
      <c r="AA4108" s="82"/>
      <c r="AB4108" s="82"/>
      <c r="AC4108" s="82"/>
      <c r="AD4108" s="82"/>
      <c r="AE4108" s="82"/>
      <c r="AF4108" s="82"/>
      <c r="AG4108" s="82"/>
      <c r="AH4108" s="82"/>
      <c r="AI4108" s="82"/>
      <c r="AJ4108" s="82"/>
      <c r="AK4108" s="82"/>
      <c r="AL4108" s="82"/>
      <c r="AM4108" s="82"/>
      <c r="AN4108" s="82">
        <f>IFERROR(__xludf.DUMMYFUNCTION("""COMPUTED_VALUE"""),0.0)</f>
        <v>0</v>
      </c>
      <c r="AO4108" s="82">
        <f>IFERROR(__xludf.DUMMYFUNCTION("""COMPUTED_VALUE"""),0.0)</f>
        <v>0</v>
      </c>
      <c r="AP4108" s="82">
        <f>IFERROR(__xludf.DUMMYFUNCTION("""COMPUTED_VALUE"""),0.0)</f>
        <v>0</v>
      </c>
      <c r="AQ4108" s="82">
        <f>IFERROR(__xludf.DUMMYFUNCTION("""COMPUTED_VALUE"""),0.0)</f>
        <v>0</v>
      </c>
      <c r="AR4108" s="82">
        <f>IFERROR(__xludf.DUMMYFUNCTION("""COMPUTED_VALUE"""),0.0)</f>
        <v>0</v>
      </c>
      <c r="AS4108" s="82"/>
      <c r="AT4108" s="82">
        <f>IFERROR(__xludf.DUMMYFUNCTION("""COMPUTED_VALUE"""),0.0)</f>
        <v>0</v>
      </c>
      <c r="AU4108" s="82"/>
      <c r="AV4108" s="82"/>
      <c r="AW4108" s="82" t="str">
        <f t="shared" si="1"/>
        <v/>
      </c>
      <c r="AX4108" s="83" t="str">
        <f t="array" ref="AX4108">IFERROR(DGET('SBV Import'!A:G,"SBV",{"RSC ID","Tier";B4108,A4108}))</f>
        <v/>
      </c>
      <c r="AY4108" s="82" t="str">
        <f t="shared" si="2"/>
        <v/>
      </c>
      <c r="AZ4108" s="82"/>
      <c r="BA4108" s="84" t="s">
        <v>152</v>
      </c>
      <c r="BB4108" s="84" t="str">
        <f>IFERROR(__xludf.DUMMYFUNCTION("iferror(if(A4108="""",,E4108&gt;=FILTER(Constants!$F$2:$F$10,Constants!$A$2:$A$10=A4108)))"),"")</f>
        <v/>
      </c>
    </row>
    <row r="4109">
      <c r="A4109" s="89"/>
      <c r="B4109" s="87"/>
      <c r="C4109" s="73"/>
      <c r="D4109" s="73"/>
      <c r="E4109" s="82"/>
      <c r="F4109" s="82"/>
      <c r="G4109" s="86"/>
      <c r="H4109" s="86"/>
      <c r="I4109" s="86"/>
      <c r="J4109" s="82"/>
      <c r="K4109" s="82"/>
      <c r="L4109" s="82"/>
      <c r="M4109" s="82"/>
      <c r="N4109" s="82"/>
      <c r="O4109" s="82"/>
      <c r="P4109" s="82"/>
      <c r="Q4109" s="82"/>
      <c r="R4109" s="82"/>
      <c r="S4109" s="82"/>
      <c r="T4109" s="82"/>
      <c r="U4109" s="82"/>
      <c r="V4109" s="82"/>
      <c r="W4109" s="82"/>
      <c r="X4109" s="82"/>
      <c r="Y4109" s="82"/>
      <c r="Z4109" s="82"/>
      <c r="AA4109" s="82"/>
      <c r="AB4109" s="82"/>
      <c r="AC4109" s="82"/>
      <c r="AD4109" s="82"/>
      <c r="AE4109" s="82"/>
      <c r="AF4109" s="82"/>
      <c r="AG4109" s="82"/>
      <c r="AH4109" s="82"/>
      <c r="AI4109" s="82"/>
      <c r="AJ4109" s="82"/>
      <c r="AK4109" s="82"/>
      <c r="AL4109" s="82"/>
      <c r="AM4109" s="82"/>
      <c r="AN4109" s="82">
        <f>IFERROR(__xludf.DUMMYFUNCTION("""COMPUTED_VALUE"""),0.0)</f>
        <v>0</v>
      </c>
      <c r="AO4109" s="82">
        <f>IFERROR(__xludf.DUMMYFUNCTION("""COMPUTED_VALUE"""),0.0)</f>
        <v>0</v>
      </c>
      <c r="AP4109" s="82">
        <f>IFERROR(__xludf.DUMMYFUNCTION("""COMPUTED_VALUE"""),0.0)</f>
        <v>0</v>
      </c>
      <c r="AQ4109" s="82">
        <f>IFERROR(__xludf.DUMMYFUNCTION("""COMPUTED_VALUE"""),0.0)</f>
        <v>0</v>
      </c>
      <c r="AR4109" s="82">
        <f>IFERROR(__xludf.DUMMYFUNCTION("""COMPUTED_VALUE"""),0.0)</f>
        <v>0</v>
      </c>
      <c r="AS4109" s="82"/>
      <c r="AT4109" s="82">
        <f>IFERROR(__xludf.DUMMYFUNCTION("""COMPUTED_VALUE"""),0.0)</f>
        <v>0</v>
      </c>
      <c r="AU4109" s="82"/>
      <c r="AV4109" s="82"/>
      <c r="AW4109" s="82" t="str">
        <f t="shared" si="1"/>
        <v/>
      </c>
      <c r="AX4109" s="83" t="str">
        <f t="array" ref="AX4109">IFERROR(DGET('SBV Import'!A:G,"SBV",{"RSC ID","Tier";B4109,A4109}))</f>
        <v/>
      </c>
      <c r="AY4109" s="82" t="str">
        <f t="shared" si="2"/>
        <v/>
      </c>
      <c r="AZ4109" s="82"/>
      <c r="BA4109" s="84" t="s">
        <v>152</v>
      </c>
      <c r="BB4109" s="84" t="str">
        <f>IFERROR(__xludf.DUMMYFUNCTION("iferror(if(A4109="""",,E4109&gt;=FILTER(Constants!$F$2:$F$10,Constants!$A$2:$A$10=A4109)))"),"")</f>
        <v/>
      </c>
    </row>
    <row r="4110">
      <c r="A4110" s="89"/>
      <c r="B4110" s="87"/>
      <c r="C4110" s="73"/>
      <c r="D4110" s="73"/>
      <c r="E4110" s="82"/>
      <c r="F4110" s="82"/>
      <c r="G4110" s="86"/>
      <c r="H4110" s="86"/>
      <c r="I4110" s="86"/>
      <c r="J4110" s="82"/>
      <c r="K4110" s="82"/>
      <c r="L4110" s="82"/>
      <c r="M4110" s="82"/>
      <c r="N4110" s="82"/>
      <c r="O4110" s="82"/>
      <c r="P4110" s="82"/>
      <c r="Q4110" s="82"/>
      <c r="R4110" s="82"/>
      <c r="S4110" s="82"/>
      <c r="T4110" s="82"/>
      <c r="U4110" s="82"/>
      <c r="V4110" s="82"/>
      <c r="W4110" s="82"/>
      <c r="X4110" s="82"/>
      <c r="Y4110" s="82"/>
      <c r="Z4110" s="82"/>
      <c r="AA4110" s="82"/>
      <c r="AB4110" s="82"/>
      <c r="AC4110" s="82"/>
      <c r="AD4110" s="82"/>
      <c r="AE4110" s="82"/>
      <c r="AF4110" s="82"/>
      <c r="AG4110" s="82"/>
      <c r="AH4110" s="82"/>
      <c r="AI4110" s="82"/>
      <c r="AJ4110" s="82"/>
      <c r="AK4110" s="82"/>
      <c r="AL4110" s="82"/>
      <c r="AM4110" s="82"/>
      <c r="AN4110" s="82">
        <f>IFERROR(__xludf.DUMMYFUNCTION("""COMPUTED_VALUE"""),0.0)</f>
        <v>0</v>
      </c>
      <c r="AO4110" s="82">
        <f>IFERROR(__xludf.DUMMYFUNCTION("""COMPUTED_VALUE"""),0.0)</f>
        <v>0</v>
      </c>
      <c r="AP4110" s="82">
        <f>IFERROR(__xludf.DUMMYFUNCTION("""COMPUTED_VALUE"""),0.0)</f>
        <v>0</v>
      </c>
      <c r="AQ4110" s="82">
        <f>IFERROR(__xludf.DUMMYFUNCTION("""COMPUTED_VALUE"""),0.0)</f>
        <v>0</v>
      </c>
      <c r="AR4110" s="82">
        <f>IFERROR(__xludf.DUMMYFUNCTION("""COMPUTED_VALUE"""),0.0)</f>
        <v>0</v>
      </c>
      <c r="AS4110" s="82"/>
      <c r="AT4110" s="82">
        <f>IFERROR(__xludf.DUMMYFUNCTION("""COMPUTED_VALUE"""),0.0)</f>
        <v>0</v>
      </c>
      <c r="AU4110" s="82"/>
      <c r="AV4110" s="82"/>
      <c r="AW4110" s="82" t="str">
        <f t="shared" si="1"/>
        <v/>
      </c>
      <c r="AX4110" s="83" t="str">
        <f t="array" ref="AX4110">IFERROR(DGET('SBV Import'!A:G,"SBV",{"RSC ID","Tier";B4110,A4110}))</f>
        <v/>
      </c>
      <c r="AY4110" s="82" t="str">
        <f t="shared" si="2"/>
        <v/>
      </c>
      <c r="AZ4110" s="82"/>
      <c r="BA4110" s="84" t="s">
        <v>152</v>
      </c>
      <c r="BB4110" s="84" t="str">
        <f>IFERROR(__xludf.DUMMYFUNCTION("iferror(if(A4110="""",,E4110&gt;=FILTER(Constants!$F$2:$F$10,Constants!$A$2:$A$10=A4110)))"),"")</f>
        <v/>
      </c>
    </row>
    <row r="4111">
      <c r="A4111" s="89"/>
      <c r="B4111" s="87"/>
      <c r="C4111" s="73"/>
      <c r="D4111" s="73"/>
      <c r="E4111" s="82"/>
      <c r="F4111" s="82"/>
      <c r="G4111" s="86"/>
      <c r="H4111" s="86"/>
      <c r="I4111" s="86"/>
      <c r="J4111" s="82"/>
      <c r="K4111" s="82"/>
      <c r="L4111" s="82"/>
      <c r="M4111" s="82"/>
      <c r="N4111" s="82"/>
      <c r="O4111" s="82"/>
      <c r="P4111" s="82"/>
      <c r="Q4111" s="82"/>
      <c r="R4111" s="82"/>
      <c r="S4111" s="82"/>
      <c r="T4111" s="82"/>
      <c r="U4111" s="82"/>
      <c r="V4111" s="82"/>
      <c r="W4111" s="82"/>
      <c r="X4111" s="82"/>
      <c r="Y4111" s="82"/>
      <c r="Z4111" s="82"/>
      <c r="AA4111" s="82"/>
      <c r="AB4111" s="82"/>
      <c r="AC4111" s="82"/>
      <c r="AD4111" s="82"/>
      <c r="AE4111" s="82"/>
      <c r="AF4111" s="82"/>
      <c r="AG4111" s="82"/>
      <c r="AH4111" s="82"/>
      <c r="AI4111" s="82"/>
      <c r="AJ4111" s="82"/>
      <c r="AK4111" s="82"/>
      <c r="AL4111" s="82"/>
      <c r="AM4111" s="82"/>
      <c r="AN4111" s="82">
        <f>IFERROR(__xludf.DUMMYFUNCTION("""COMPUTED_VALUE"""),0.0)</f>
        <v>0</v>
      </c>
      <c r="AO4111" s="82">
        <f>IFERROR(__xludf.DUMMYFUNCTION("""COMPUTED_VALUE"""),0.0)</f>
        <v>0</v>
      </c>
      <c r="AP4111" s="82">
        <f>IFERROR(__xludf.DUMMYFUNCTION("""COMPUTED_VALUE"""),0.0)</f>
        <v>0</v>
      </c>
      <c r="AQ4111" s="82">
        <f>IFERROR(__xludf.DUMMYFUNCTION("""COMPUTED_VALUE"""),0.0)</f>
        <v>0</v>
      </c>
      <c r="AR4111" s="82">
        <f>IFERROR(__xludf.DUMMYFUNCTION("""COMPUTED_VALUE"""),0.0)</f>
        <v>0</v>
      </c>
      <c r="AS4111" s="82"/>
      <c r="AT4111" s="82">
        <f>IFERROR(__xludf.DUMMYFUNCTION("""COMPUTED_VALUE"""),0.0)</f>
        <v>0</v>
      </c>
      <c r="AU4111" s="82"/>
      <c r="AV4111" s="82"/>
      <c r="AW4111" s="82" t="str">
        <f t="shared" si="1"/>
        <v/>
      </c>
      <c r="AX4111" s="83" t="str">
        <f t="array" ref="AX4111">IFERROR(DGET('SBV Import'!A:G,"SBV",{"RSC ID","Tier";B4111,A4111}))</f>
        <v/>
      </c>
      <c r="AY4111" s="82" t="str">
        <f t="shared" si="2"/>
        <v/>
      </c>
      <c r="AZ4111" s="82"/>
      <c r="BA4111" s="84" t="s">
        <v>152</v>
      </c>
      <c r="BB4111" s="84" t="str">
        <f>IFERROR(__xludf.DUMMYFUNCTION("iferror(if(A4111="""",,E4111&gt;=FILTER(Constants!$F$2:$F$10,Constants!$A$2:$A$10=A4111)))"),"")</f>
        <v/>
      </c>
    </row>
    <row r="4112">
      <c r="A4112" s="89"/>
      <c r="B4112" s="87"/>
      <c r="C4112" s="73"/>
      <c r="D4112" s="73"/>
      <c r="E4112" s="82"/>
      <c r="F4112" s="82"/>
      <c r="G4112" s="86"/>
      <c r="H4112" s="86"/>
      <c r="I4112" s="86"/>
      <c r="J4112" s="82"/>
      <c r="K4112" s="82"/>
      <c r="L4112" s="82"/>
      <c r="M4112" s="82"/>
      <c r="N4112" s="82"/>
      <c r="O4112" s="82"/>
      <c r="P4112" s="82"/>
      <c r="Q4112" s="82"/>
      <c r="R4112" s="82"/>
      <c r="S4112" s="82"/>
      <c r="T4112" s="82"/>
      <c r="U4112" s="82"/>
      <c r="V4112" s="82"/>
      <c r="W4112" s="82"/>
      <c r="X4112" s="82"/>
      <c r="Y4112" s="82"/>
      <c r="Z4112" s="82"/>
      <c r="AA4112" s="82"/>
      <c r="AB4112" s="82"/>
      <c r="AC4112" s="82"/>
      <c r="AD4112" s="82"/>
      <c r="AE4112" s="82"/>
      <c r="AF4112" s="82"/>
      <c r="AG4112" s="82"/>
      <c r="AH4112" s="82"/>
      <c r="AI4112" s="82"/>
      <c r="AJ4112" s="82"/>
      <c r="AK4112" s="82"/>
      <c r="AL4112" s="82"/>
      <c r="AM4112" s="82"/>
      <c r="AN4112" s="82">
        <f>IFERROR(__xludf.DUMMYFUNCTION("""COMPUTED_VALUE"""),0.0)</f>
        <v>0</v>
      </c>
      <c r="AO4112" s="82">
        <f>IFERROR(__xludf.DUMMYFUNCTION("""COMPUTED_VALUE"""),0.0)</f>
        <v>0</v>
      </c>
      <c r="AP4112" s="82">
        <f>IFERROR(__xludf.DUMMYFUNCTION("""COMPUTED_VALUE"""),0.0)</f>
        <v>0</v>
      </c>
      <c r="AQ4112" s="82">
        <f>IFERROR(__xludf.DUMMYFUNCTION("""COMPUTED_VALUE"""),0.0)</f>
        <v>0</v>
      </c>
      <c r="AR4112" s="82">
        <f>IFERROR(__xludf.DUMMYFUNCTION("""COMPUTED_VALUE"""),0.0)</f>
        <v>0</v>
      </c>
      <c r="AS4112" s="82"/>
      <c r="AT4112" s="82">
        <f>IFERROR(__xludf.DUMMYFUNCTION("""COMPUTED_VALUE"""),0.0)</f>
        <v>0</v>
      </c>
      <c r="AU4112" s="82"/>
      <c r="AV4112" s="82"/>
      <c r="AW4112" s="82" t="str">
        <f t="shared" si="1"/>
        <v/>
      </c>
      <c r="AX4112" s="83" t="str">
        <f t="array" ref="AX4112">IFERROR(DGET('SBV Import'!A:G,"SBV",{"RSC ID","Tier";B4112,A4112}))</f>
        <v/>
      </c>
      <c r="AY4112" s="82" t="str">
        <f t="shared" si="2"/>
        <v/>
      </c>
      <c r="AZ4112" s="82"/>
      <c r="BA4112" s="84" t="s">
        <v>152</v>
      </c>
      <c r="BB4112" s="84" t="str">
        <f>IFERROR(__xludf.DUMMYFUNCTION("iferror(if(A4112="""",,E4112&gt;=FILTER(Constants!$F$2:$F$10,Constants!$A$2:$A$10=A4112)))"),"")</f>
        <v/>
      </c>
    </row>
    <row r="4113">
      <c r="A4113" s="89"/>
      <c r="B4113" s="87"/>
      <c r="C4113" s="73"/>
      <c r="D4113" s="73"/>
      <c r="E4113" s="82"/>
      <c r="F4113" s="82"/>
      <c r="G4113" s="86"/>
      <c r="H4113" s="86"/>
      <c r="I4113" s="86"/>
      <c r="J4113" s="82"/>
      <c r="K4113" s="82"/>
      <c r="L4113" s="82"/>
      <c r="M4113" s="82"/>
      <c r="N4113" s="82"/>
      <c r="O4113" s="82"/>
      <c r="P4113" s="82"/>
      <c r="Q4113" s="82"/>
      <c r="R4113" s="82"/>
      <c r="S4113" s="82"/>
      <c r="T4113" s="82"/>
      <c r="U4113" s="82"/>
      <c r="V4113" s="82"/>
      <c r="W4113" s="82"/>
      <c r="X4113" s="82"/>
      <c r="Y4113" s="82"/>
      <c r="Z4113" s="82"/>
      <c r="AA4113" s="82"/>
      <c r="AB4113" s="82"/>
      <c r="AC4113" s="82"/>
      <c r="AD4113" s="82"/>
      <c r="AE4113" s="82"/>
      <c r="AF4113" s="82"/>
      <c r="AG4113" s="82"/>
      <c r="AH4113" s="82"/>
      <c r="AI4113" s="82"/>
      <c r="AJ4113" s="82"/>
      <c r="AK4113" s="82"/>
      <c r="AL4113" s="82"/>
      <c r="AM4113" s="82"/>
      <c r="AN4113" s="82">
        <f>IFERROR(__xludf.DUMMYFUNCTION("""COMPUTED_VALUE"""),0.0)</f>
        <v>0</v>
      </c>
      <c r="AO4113" s="82">
        <f>IFERROR(__xludf.DUMMYFUNCTION("""COMPUTED_VALUE"""),0.0)</f>
        <v>0</v>
      </c>
      <c r="AP4113" s="82">
        <f>IFERROR(__xludf.DUMMYFUNCTION("""COMPUTED_VALUE"""),0.0)</f>
        <v>0</v>
      </c>
      <c r="AQ4113" s="82">
        <f>IFERROR(__xludf.DUMMYFUNCTION("""COMPUTED_VALUE"""),0.0)</f>
        <v>0</v>
      </c>
      <c r="AR4113" s="82">
        <f>IFERROR(__xludf.DUMMYFUNCTION("""COMPUTED_VALUE"""),0.0)</f>
        <v>0</v>
      </c>
      <c r="AS4113" s="82"/>
      <c r="AT4113" s="82">
        <f>IFERROR(__xludf.DUMMYFUNCTION("""COMPUTED_VALUE"""),0.0)</f>
        <v>0</v>
      </c>
      <c r="AU4113" s="82"/>
      <c r="AV4113" s="82"/>
      <c r="AW4113" s="82" t="str">
        <f t="shared" si="1"/>
        <v/>
      </c>
      <c r="AX4113" s="83" t="str">
        <f t="array" ref="AX4113">IFERROR(DGET('SBV Import'!A:G,"SBV",{"RSC ID","Tier";B4113,A4113}))</f>
        <v/>
      </c>
      <c r="AY4113" s="82" t="str">
        <f t="shared" si="2"/>
        <v/>
      </c>
      <c r="AZ4113" s="82"/>
      <c r="BA4113" s="84" t="s">
        <v>152</v>
      </c>
      <c r="BB4113" s="84" t="str">
        <f>IFERROR(__xludf.DUMMYFUNCTION("iferror(if(A4113="""",,E4113&gt;=FILTER(Constants!$F$2:$F$10,Constants!$A$2:$A$10=A4113)))"),"")</f>
        <v/>
      </c>
    </row>
    <row r="4114">
      <c r="A4114" s="89"/>
      <c r="B4114" s="87"/>
      <c r="C4114" s="73"/>
      <c r="D4114" s="73"/>
      <c r="E4114" s="82"/>
      <c r="F4114" s="82"/>
      <c r="G4114" s="86"/>
      <c r="H4114" s="86"/>
      <c r="I4114" s="86"/>
      <c r="J4114" s="82"/>
      <c r="K4114" s="82"/>
      <c r="L4114" s="82"/>
      <c r="M4114" s="82"/>
      <c r="N4114" s="82"/>
      <c r="O4114" s="82"/>
      <c r="P4114" s="82"/>
      <c r="Q4114" s="82"/>
      <c r="R4114" s="82"/>
      <c r="S4114" s="82"/>
      <c r="T4114" s="82"/>
      <c r="U4114" s="82"/>
      <c r="V4114" s="82"/>
      <c r="W4114" s="82"/>
      <c r="X4114" s="82"/>
      <c r="Y4114" s="82"/>
      <c r="Z4114" s="82"/>
      <c r="AA4114" s="82"/>
      <c r="AB4114" s="82"/>
      <c r="AC4114" s="82"/>
      <c r="AD4114" s="82"/>
      <c r="AE4114" s="82"/>
      <c r="AF4114" s="82"/>
      <c r="AG4114" s="82"/>
      <c r="AH4114" s="82"/>
      <c r="AI4114" s="82"/>
      <c r="AJ4114" s="82"/>
      <c r="AK4114" s="82"/>
      <c r="AL4114" s="82"/>
      <c r="AM4114" s="82"/>
      <c r="AN4114" s="82">
        <f>IFERROR(__xludf.DUMMYFUNCTION("""COMPUTED_VALUE"""),0.0)</f>
        <v>0</v>
      </c>
      <c r="AO4114" s="82">
        <f>IFERROR(__xludf.DUMMYFUNCTION("""COMPUTED_VALUE"""),0.0)</f>
        <v>0</v>
      </c>
      <c r="AP4114" s="82">
        <f>IFERROR(__xludf.DUMMYFUNCTION("""COMPUTED_VALUE"""),0.0)</f>
        <v>0</v>
      </c>
      <c r="AQ4114" s="82">
        <f>IFERROR(__xludf.DUMMYFUNCTION("""COMPUTED_VALUE"""),0.0)</f>
        <v>0</v>
      </c>
      <c r="AR4114" s="82">
        <f>IFERROR(__xludf.DUMMYFUNCTION("""COMPUTED_VALUE"""),0.0)</f>
        <v>0</v>
      </c>
      <c r="AS4114" s="82"/>
      <c r="AT4114" s="82">
        <f>IFERROR(__xludf.DUMMYFUNCTION("""COMPUTED_VALUE"""),0.0)</f>
        <v>0</v>
      </c>
      <c r="AU4114" s="82"/>
      <c r="AV4114" s="82"/>
      <c r="AW4114" s="82" t="str">
        <f t="shared" si="1"/>
        <v/>
      </c>
      <c r="AX4114" s="83" t="str">
        <f t="array" ref="AX4114">IFERROR(DGET('SBV Import'!A:G,"SBV",{"RSC ID","Tier";B4114,A4114}))</f>
        <v/>
      </c>
      <c r="AY4114" s="82" t="str">
        <f t="shared" si="2"/>
        <v/>
      </c>
      <c r="AZ4114" s="82"/>
      <c r="BA4114" s="84" t="s">
        <v>152</v>
      </c>
      <c r="BB4114" s="84" t="str">
        <f>IFERROR(__xludf.DUMMYFUNCTION("iferror(if(A4114="""",,E4114&gt;=FILTER(Constants!$F$2:$F$10,Constants!$A$2:$A$10=A4114)))"),"")</f>
        <v/>
      </c>
    </row>
    <row r="4115">
      <c r="A4115" s="89"/>
      <c r="B4115" s="87"/>
      <c r="C4115" s="73"/>
      <c r="D4115" s="73"/>
      <c r="E4115" s="82"/>
      <c r="F4115" s="82"/>
      <c r="G4115" s="86"/>
      <c r="H4115" s="86"/>
      <c r="I4115" s="86"/>
      <c r="J4115" s="82"/>
      <c r="K4115" s="82"/>
      <c r="L4115" s="82"/>
      <c r="M4115" s="82"/>
      <c r="N4115" s="82"/>
      <c r="O4115" s="82"/>
      <c r="P4115" s="82"/>
      <c r="Q4115" s="82"/>
      <c r="R4115" s="82"/>
      <c r="S4115" s="82"/>
      <c r="T4115" s="82"/>
      <c r="U4115" s="82"/>
      <c r="V4115" s="82"/>
      <c r="W4115" s="82"/>
      <c r="X4115" s="82"/>
      <c r="Y4115" s="82"/>
      <c r="Z4115" s="82"/>
      <c r="AA4115" s="82"/>
      <c r="AB4115" s="82"/>
      <c r="AC4115" s="82"/>
      <c r="AD4115" s="82"/>
      <c r="AE4115" s="82"/>
      <c r="AF4115" s="82"/>
      <c r="AG4115" s="82"/>
      <c r="AH4115" s="82"/>
      <c r="AI4115" s="82"/>
      <c r="AJ4115" s="82"/>
      <c r="AK4115" s="82"/>
      <c r="AL4115" s="82"/>
      <c r="AM4115" s="82"/>
      <c r="AN4115" s="82">
        <f>IFERROR(__xludf.DUMMYFUNCTION("""COMPUTED_VALUE"""),0.0)</f>
        <v>0</v>
      </c>
      <c r="AO4115" s="82">
        <f>IFERROR(__xludf.DUMMYFUNCTION("""COMPUTED_VALUE"""),0.0)</f>
        <v>0</v>
      </c>
      <c r="AP4115" s="82">
        <f>IFERROR(__xludf.DUMMYFUNCTION("""COMPUTED_VALUE"""),0.0)</f>
        <v>0</v>
      </c>
      <c r="AQ4115" s="82">
        <f>IFERROR(__xludf.DUMMYFUNCTION("""COMPUTED_VALUE"""),0.0)</f>
        <v>0</v>
      </c>
      <c r="AR4115" s="82">
        <f>IFERROR(__xludf.DUMMYFUNCTION("""COMPUTED_VALUE"""),0.0)</f>
        <v>0</v>
      </c>
      <c r="AS4115" s="82"/>
      <c r="AT4115" s="82">
        <f>IFERROR(__xludf.DUMMYFUNCTION("""COMPUTED_VALUE"""),0.0)</f>
        <v>0</v>
      </c>
      <c r="AU4115" s="82"/>
      <c r="AV4115" s="82"/>
      <c r="AW4115" s="82" t="str">
        <f t="shared" si="1"/>
        <v/>
      </c>
      <c r="AX4115" s="83" t="str">
        <f t="array" ref="AX4115">IFERROR(DGET('SBV Import'!A:G,"SBV",{"RSC ID","Tier";B4115,A4115}))</f>
        <v/>
      </c>
      <c r="AY4115" s="82" t="str">
        <f t="shared" si="2"/>
        <v/>
      </c>
      <c r="AZ4115" s="82"/>
      <c r="BA4115" s="84" t="s">
        <v>152</v>
      </c>
      <c r="BB4115" s="84" t="str">
        <f>IFERROR(__xludf.DUMMYFUNCTION("iferror(if(A4115="""",,E4115&gt;=FILTER(Constants!$F$2:$F$10,Constants!$A$2:$A$10=A4115)))"),"")</f>
        <v/>
      </c>
    </row>
    <row r="4116">
      <c r="A4116" s="89"/>
      <c r="B4116" s="87"/>
      <c r="C4116" s="73"/>
      <c r="D4116" s="73"/>
      <c r="E4116" s="82"/>
      <c r="F4116" s="82"/>
      <c r="G4116" s="86"/>
      <c r="H4116" s="86"/>
      <c r="I4116" s="86"/>
      <c r="J4116" s="82"/>
      <c r="K4116" s="82"/>
      <c r="L4116" s="82"/>
      <c r="M4116" s="82"/>
      <c r="N4116" s="82"/>
      <c r="O4116" s="82"/>
      <c r="P4116" s="82"/>
      <c r="Q4116" s="82"/>
      <c r="R4116" s="82"/>
      <c r="S4116" s="82"/>
      <c r="T4116" s="82"/>
      <c r="U4116" s="82"/>
      <c r="V4116" s="82"/>
      <c r="W4116" s="82"/>
      <c r="X4116" s="82"/>
      <c r="Y4116" s="82"/>
      <c r="Z4116" s="82"/>
      <c r="AA4116" s="82"/>
      <c r="AB4116" s="82"/>
      <c r="AC4116" s="82"/>
      <c r="AD4116" s="82"/>
      <c r="AE4116" s="82"/>
      <c r="AF4116" s="82"/>
      <c r="AG4116" s="82"/>
      <c r="AH4116" s="82"/>
      <c r="AI4116" s="82"/>
      <c r="AJ4116" s="82"/>
      <c r="AK4116" s="82"/>
      <c r="AL4116" s="82"/>
      <c r="AM4116" s="82"/>
      <c r="AN4116" s="82">
        <f>IFERROR(__xludf.DUMMYFUNCTION("""COMPUTED_VALUE"""),0.0)</f>
        <v>0</v>
      </c>
      <c r="AO4116" s="82">
        <f>IFERROR(__xludf.DUMMYFUNCTION("""COMPUTED_VALUE"""),0.0)</f>
        <v>0</v>
      </c>
      <c r="AP4116" s="82">
        <f>IFERROR(__xludf.DUMMYFUNCTION("""COMPUTED_VALUE"""),0.0)</f>
        <v>0</v>
      </c>
      <c r="AQ4116" s="82">
        <f>IFERROR(__xludf.DUMMYFUNCTION("""COMPUTED_VALUE"""),0.0)</f>
        <v>0</v>
      </c>
      <c r="AR4116" s="82">
        <f>IFERROR(__xludf.DUMMYFUNCTION("""COMPUTED_VALUE"""),0.0)</f>
        <v>0</v>
      </c>
      <c r="AS4116" s="82"/>
      <c r="AT4116" s="82">
        <f>IFERROR(__xludf.DUMMYFUNCTION("""COMPUTED_VALUE"""),0.0)</f>
        <v>0</v>
      </c>
      <c r="AU4116" s="82"/>
      <c r="AV4116" s="82"/>
      <c r="AW4116" s="82" t="str">
        <f t="shared" si="1"/>
        <v/>
      </c>
      <c r="AX4116" s="83" t="str">
        <f t="array" ref="AX4116">IFERROR(DGET('SBV Import'!A:G,"SBV",{"RSC ID","Tier";B4116,A4116}))</f>
        <v/>
      </c>
      <c r="AY4116" s="82" t="str">
        <f t="shared" si="2"/>
        <v/>
      </c>
      <c r="AZ4116" s="82"/>
      <c r="BA4116" s="84" t="s">
        <v>152</v>
      </c>
      <c r="BB4116" s="84" t="str">
        <f>IFERROR(__xludf.DUMMYFUNCTION("iferror(if(A4116="""",,E4116&gt;=FILTER(Constants!$F$2:$F$10,Constants!$A$2:$A$10=A4116)))"),"")</f>
        <v/>
      </c>
    </row>
    <row r="4117">
      <c r="A4117" s="89"/>
      <c r="B4117" s="87"/>
      <c r="C4117" s="73"/>
      <c r="D4117" s="73"/>
      <c r="E4117" s="82"/>
      <c r="F4117" s="82"/>
      <c r="G4117" s="86"/>
      <c r="H4117" s="86"/>
      <c r="I4117" s="86"/>
      <c r="J4117" s="82"/>
      <c r="K4117" s="82"/>
      <c r="L4117" s="82"/>
      <c r="M4117" s="82"/>
      <c r="N4117" s="82"/>
      <c r="O4117" s="82"/>
      <c r="P4117" s="82"/>
      <c r="Q4117" s="82"/>
      <c r="R4117" s="82"/>
      <c r="S4117" s="82"/>
      <c r="T4117" s="82"/>
      <c r="U4117" s="82"/>
      <c r="V4117" s="82"/>
      <c r="W4117" s="82"/>
      <c r="X4117" s="82"/>
      <c r="Y4117" s="82"/>
      <c r="Z4117" s="82"/>
      <c r="AA4117" s="82"/>
      <c r="AB4117" s="82"/>
      <c r="AC4117" s="82"/>
      <c r="AD4117" s="82"/>
      <c r="AE4117" s="82"/>
      <c r="AF4117" s="82"/>
      <c r="AG4117" s="82"/>
      <c r="AH4117" s="82"/>
      <c r="AI4117" s="82"/>
      <c r="AJ4117" s="82"/>
      <c r="AK4117" s="82"/>
      <c r="AL4117" s="82"/>
      <c r="AM4117" s="82"/>
      <c r="AN4117" s="82">
        <f>IFERROR(__xludf.DUMMYFUNCTION("""COMPUTED_VALUE"""),0.0)</f>
        <v>0</v>
      </c>
      <c r="AO4117" s="82">
        <f>IFERROR(__xludf.DUMMYFUNCTION("""COMPUTED_VALUE"""),0.0)</f>
        <v>0</v>
      </c>
      <c r="AP4117" s="82">
        <f>IFERROR(__xludf.DUMMYFUNCTION("""COMPUTED_VALUE"""),0.0)</f>
        <v>0</v>
      </c>
      <c r="AQ4117" s="82">
        <f>IFERROR(__xludf.DUMMYFUNCTION("""COMPUTED_VALUE"""),0.0)</f>
        <v>0</v>
      </c>
      <c r="AR4117" s="82">
        <f>IFERROR(__xludf.DUMMYFUNCTION("""COMPUTED_VALUE"""),0.0)</f>
        <v>0</v>
      </c>
      <c r="AS4117" s="82"/>
      <c r="AT4117" s="82">
        <f>IFERROR(__xludf.DUMMYFUNCTION("""COMPUTED_VALUE"""),0.0)</f>
        <v>0</v>
      </c>
      <c r="AU4117" s="82"/>
      <c r="AV4117" s="82"/>
      <c r="AW4117" s="82" t="str">
        <f t="shared" si="1"/>
        <v/>
      </c>
      <c r="AX4117" s="83" t="str">
        <f t="array" ref="AX4117">IFERROR(DGET('SBV Import'!A:G,"SBV",{"RSC ID","Tier";B4117,A4117}))</f>
        <v/>
      </c>
      <c r="AY4117" s="82" t="str">
        <f t="shared" si="2"/>
        <v/>
      </c>
      <c r="AZ4117" s="82"/>
      <c r="BA4117" s="84" t="s">
        <v>152</v>
      </c>
      <c r="BB4117" s="84" t="str">
        <f>IFERROR(__xludf.DUMMYFUNCTION("iferror(if(A4117="""",,E4117&gt;=FILTER(Constants!$F$2:$F$10,Constants!$A$2:$A$10=A4117)))"),"")</f>
        <v/>
      </c>
    </row>
    <row r="4118">
      <c r="A4118" s="89"/>
      <c r="B4118" s="87"/>
      <c r="C4118" s="73"/>
      <c r="D4118" s="73"/>
      <c r="E4118" s="82"/>
      <c r="F4118" s="82"/>
      <c r="G4118" s="86"/>
      <c r="H4118" s="86"/>
      <c r="I4118" s="86"/>
      <c r="J4118" s="82"/>
      <c r="K4118" s="82"/>
      <c r="L4118" s="82"/>
      <c r="M4118" s="82"/>
      <c r="N4118" s="82"/>
      <c r="O4118" s="82"/>
      <c r="P4118" s="82"/>
      <c r="Q4118" s="82"/>
      <c r="R4118" s="82"/>
      <c r="S4118" s="82"/>
      <c r="T4118" s="82"/>
      <c r="U4118" s="82"/>
      <c r="V4118" s="82"/>
      <c r="W4118" s="82"/>
      <c r="X4118" s="82"/>
      <c r="Y4118" s="82"/>
      <c r="Z4118" s="82"/>
      <c r="AA4118" s="82"/>
      <c r="AB4118" s="82"/>
      <c r="AC4118" s="82"/>
      <c r="AD4118" s="82"/>
      <c r="AE4118" s="82"/>
      <c r="AF4118" s="82"/>
      <c r="AG4118" s="82"/>
      <c r="AH4118" s="82"/>
      <c r="AI4118" s="82"/>
      <c r="AJ4118" s="82"/>
      <c r="AK4118" s="82"/>
      <c r="AL4118" s="82"/>
      <c r="AM4118" s="82"/>
      <c r="AN4118" s="82">
        <f>IFERROR(__xludf.DUMMYFUNCTION("""COMPUTED_VALUE"""),0.0)</f>
        <v>0</v>
      </c>
      <c r="AO4118" s="82">
        <f>IFERROR(__xludf.DUMMYFUNCTION("""COMPUTED_VALUE"""),0.0)</f>
        <v>0</v>
      </c>
      <c r="AP4118" s="82">
        <f>IFERROR(__xludf.DUMMYFUNCTION("""COMPUTED_VALUE"""),0.0)</f>
        <v>0</v>
      </c>
      <c r="AQ4118" s="82">
        <f>IFERROR(__xludf.DUMMYFUNCTION("""COMPUTED_VALUE"""),0.0)</f>
        <v>0</v>
      </c>
      <c r="AR4118" s="82">
        <f>IFERROR(__xludf.DUMMYFUNCTION("""COMPUTED_VALUE"""),0.0)</f>
        <v>0</v>
      </c>
      <c r="AS4118" s="82"/>
      <c r="AT4118" s="82">
        <f>IFERROR(__xludf.DUMMYFUNCTION("""COMPUTED_VALUE"""),0.0)</f>
        <v>0</v>
      </c>
      <c r="AU4118" s="82"/>
      <c r="AV4118" s="82"/>
      <c r="AW4118" s="82" t="str">
        <f t="shared" si="1"/>
        <v/>
      </c>
      <c r="AX4118" s="83" t="str">
        <f t="array" ref="AX4118">IFERROR(DGET('SBV Import'!A:G,"SBV",{"RSC ID","Tier";B4118,A4118}))</f>
        <v/>
      </c>
      <c r="AY4118" s="82" t="str">
        <f t="shared" si="2"/>
        <v/>
      </c>
      <c r="AZ4118" s="82"/>
      <c r="BA4118" s="84" t="s">
        <v>152</v>
      </c>
      <c r="BB4118" s="84" t="str">
        <f>IFERROR(__xludf.DUMMYFUNCTION("iferror(if(A4118="""",,E4118&gt;=FILTER(Constants!$F$2:$F$10,Constants!$A$2:$A$10=A4118)))"),"")</f>
        <v/>
      </c>
    </row>
    <row r="4119">
      <c r="A4119" s="89"/>
      <c r="B4119" s="87"/>
      <c r="C4119" s="73"/>
      <c r="D4119" s="73"/>
      <c r="E4119" s="82"/>
      <c r="F4119" s="82"/>
      <c r="G4119" s="86"/>
      <c r="H4119" s="86"/>
      <c r="I4119" s="86"/>
      <c r="J4119" s="82"/>
      <c r="K4119" s="82"/>
      <c r="L4119" s="82"/>
      <c r="M4119" s="82"/>
      <c r="N4119" s="82"/>
      <c r="O4119" s="82"/>
      <c r="P4119" s="82"/>
      <c r="Q4119" s="82"/>
      <c r="R4119" s="82"/>
      <c r="S4119" s="82"/>
      <c r="T4119" s="82"/>
      <c r="U4119" s="82"/>
      <c r="V4119" s="82"/>
      <c r="W4119" s="82"/>
      <c r="X4119" s="82"/>
      <c r="Y4119" s="82"/>
      <c r="Z4119" s="82"/>
      <c r="AA4119" s="82"/>
      <c r="AB4119" s="82"/>
      <c r="AC4119" s="82"/>
      <c r="AD4119" s="82"/>
      <c r="AE4119" s="82"/>
      <c r="AF4119" s="82"/>
      <c r="AG4119" s="82"/>
      <c r="AH4119" s="82"/>
      <c r="AI4119" s="82"/>
      <c r="AJ4119" s="82"/>
      <c r="AK4119" s="82"/>
      <c r="AL4119" s="82"/>
      <c r="AM4119" s="82"/>
      <c r="AN4119" s="82">
        <f>IFERROR(__xludf.DUMMYFUNCTION("""COMPUTED_VALUE"""),0.0)</f>
        <v>0</v>
      </c>
      <c r="AO4119" s="82">
        <f>IFERROR(__xludf.DUMMYFUNCTION("""COMPUTED_VALUE"""),0.0)</f>
        <v>0</v>
      </c>
      <c r="AP4119" s="82">
        <f>IFERROR(__xludf.DUMMYFUNCTION("""COMPUTED_VALUE"""),0.0)</f>
        <v>0</v>
      </c>
      <c r="AQ4119" s="82">
        <f>IFERROR(__xludf.DUMMYFUNCTION("""COMPUTED_VALUE"""),0.0)</f>
        <v>0</v>
      </c>
      <c r="AR4119" s="82">
        <f>IFERROR(__xludf.DUMMYFUNCTION("""COMPUTED_VALUE"""),0.0)</f>
        <v>0</v>
      </c>
      <c r="AS4119" s="82"/>
      <c r="AT4119" s="82">
        <f>IFERROR(__xludf.DUMMYFUNCTION("""COMPUTED_VALUE"""),0.0)</f>
        <v>0</v>
      </c>
      <c r="AU4119" s="82"/>
      <c r="AV4119" s="82"/>
      <c r="AW4119" s="82" t="str">
        <f t="shared" si="1"/>
        <v/>
      </c>
      <c r="AX4119" s="83" t="str">
        <f t="array" ref="AX4119">IFERROR(DGET('SBV Import'!A:G,"SBV",{"RSC ID","Tier";B4119,A4119}))</f>
        <v/>
      </c>
      <c r="AY4119" s="82" t="str">
        <f t="shared" si="2"/>
        <v/>
      </c>
      <c r="AZ4119" s="82"/>
      <c r="BA4119" s="84" t="s">
        <v>152</v>
      </c>
      <c r="BB4119" s="84" t="str">
        <f>IFERROR(__xludf.DUMMYFUNCTION("iferror(if(A4119="""",,E4119&gt;=FILTER(Constants!$F$2:$F$10,Constants!$A$2:$A$10=A4119)))"),"")</f>
        <v/>
      </c>
    </row>
    <row r="4120">
      <c r="A4120" s="89"/>
      <c r="B4120" s="87"/>
      <c r="C4120" s="73"/>
      <c r="D4120" s="73"/>
      <c r="E4120" s="82"/>
      <c r="F4120" s="82"/>
      <c r="G4120" s="86"/>
      <c r="H4120" s="86"/>
      <c r="I4120" s="86"/>
      <c r="J4120" s="82"/>
      <c r="K4120" s="82"/>
      <c r="L4120" s="82"/>
      <c r="M4120" s="82"/>
      <c r="N4120" s="82"/>
      <c r="O4120" s="82"/>
      <c r="P4120" s="82"/>
      <c r="Q4120" s="82"/>
      <c r="R4120" s="82"/>
      <c r="S4120" s="82"/>
      <c r="T4120" s="82"/>
      <c r="U4120" s="82"/>
      <c r="V4120" s="82"/>
      <c r="W4120" s="82"/>
      <c r="X4120" s="82"/>
      <c r="Y4120" s="82"/>
      <c r="Z4120" s="82"/>
      <c r="AA4120" s="82"/>
      <c r="AB4120" s="82"/>
      <c r="AC4120" s="82"/>
      <c r="AD4120" s="82"/>
      <c r="AE4120" s="82"/>
      <c r="AF4120" s="82"/>
      <c r="AG4120" s="82"/>
      <c r="AH4120" s="82"/>
      <c r="AI4120" s="82"/>
      <c r="AJ4120" s="82"/>
      <c r="AK4120" s="82"/>
      <c r="AL4120" s="82"/>
      <c r="AM4120" s="82"/>
      <c r="AN4120" s="82">
        <f>IFERROR(__xludf.DUMMYFUNCTION("""COMPUTED_VALUE"""),0.0)</f>
        <v>0</v>
      </c>
      <c r="AO4120" s="82">
        <f>IFERROR(__xludf.DUMMYFUNCTION("""COMPUTED_VALUE"""),0.0)</f>
        <v>0</v>
      </c>
      <c r="AP4120" s="82">
        <f>IFERROR(__xludf.DUMMYFUNCTION("""COMPUTED_VALUE"""),0.0)</f>
        <v>0</v>
      </c>
      <c r="AQ4120" s="82">
        <f>IFERROR(__xludf.DUMMYFUNCTION("""COMPUTED_VALUE"""),0.0)</f>
        <v>0</v>
      </c>
      <c r="AR4120" s="82">
        <f>IFERROR(__xludf.DUMMYFUNCTION("""COMPUTED_VALUE"""),0.0)</f>
        <v>0</v>
      </c>
      <c r="AS4120" s="82"/>
      <c r="AT4120" s="82">
        <f>IFERROR(__xludf.DUMMYFUNCTION("""COMPUTED_VALUE"""),0.0)</f>
        <v>0</v>
      </c>
      <c r="AU4120" s="82"/>
      <c r="AV4120" s="82"/>
      <c r="AW4120" s="82" t="str">
        <f t="shared" si="1"/>
        <v/>
      </c>
      <c r="AX4120" s="83" t="str">
        <f t="array" ref="AX4120">IFERROR(DGET('SBV Import'!A:G,"SBV",{"RSC ID","Tier";B4120,A4120}))</f>
        <v/>
      </c>
      <c r="AY4120" s="82" t="str">
        <f t="shared" si="2"/>
        <v/>
      </c>
      <c r="AZ4120" s="82"/>
      <c r="BA4120" s="84" t="s">
        <v>152</v>
      </c>
      <c r="BB4120" s="84" t="str">
        <f>IFERROR(__xludf.DUMMYFUNCTION("iferror(if(A4120="""",,E4120&gt;=FILTER(Constants!$F$2:$F$10,Constants!$A$2:$A$10=A4120)))"),"")</f>
        <v/>
      </c>
    </row>
    <row r="4121">
      <c r="A4121" s="89"/>
      <c r="B4121" s="87"/>
      <c r="C4121" s="73"/>
      <c r="D4121" s="73"/>
      <c r="E4121" s="82"/>
      <c r="F4121" s="82"/>
      <c r="G4121" s="86"/>
      <c r="H4121" s="86"/>
      <c r="I4121" s="86"/>
      <c r="J4121" s="82"/>
      <c r="K4121" s="82"/>
      <c r="L4121" s="82"/>
      <c r="M4121" s="82"/>
      <c r="N4121" s="82"/>
      <c r="O4121" s="82"/>
      <c r="P4121" s="82"/>
      <c r="Q4121" s="82"/>
      <c r="R4121" s="82"/>
      <c r="S4121" s="82"/>
      <c r="T4121" s="82"/>
      <c r="U4121" s="82"/>
      <c r="V4121" s="82"/>
      <c r="W4121" s="82"/>
      <c r="X4121" s="82"/>
      <c r="Y4121" s="82"/>
      <c r="Z4121" s="82"/>
      <c r="AA4121" s="82"/>
      <c r="AB4121" s="82"/>
      <c r="AC4121" s="82"/>
      <c r="AD4121" s="82"/>
      <c r="AE4121" s="82"/>
      <c r="AF4121" s="82"/>
      <c r="AG4121" s="82"/>
      <c r="AH4121" s="82"/>
      <c r="AI4121" s="82"/>
      <c r="AJ4121" s="82"/>
      <c r="AK4121" s="82"/>
      <c r="AL4121" s="82"/>
      <c r="AM4121" s="82"/>
      <c r="AN4121" s="82">
        <f>IFERROR(__xludf.DUMMYFUNCTION("""COMPUTED_VALUE"""),0.0)</f>
        <v>0</v>
      </c>
      <c r="AO4121" s="82">
        <f>IFERROR(__xludf.DUMMYFUNCTION("""COMPUTED_VALUE"""),0.0)</f>
        <v>0</v>
      </c>
      <c r="AP4121" s="82">
        <f>IFERROR(__xludf.DUMMYFUNCTION("""COMPUTED_VALUE"""),0.0)</f>
        <v>0</v>
      </c>
      <c r="AQ4121" s="82">
        <f>IFERROR(__xludf.DUMMYFUNCTION("""COMPUTED_VALUE"""),0.0)</f>
        <v>0</v>
      </c>
      <c r="AR4121" s="82">
        <f>IFERROR(__xludf.DUMMYFUNCTION("""COMPUTED_VALUE"""),0.0)</f>
        <v>0</v>
      </c>
      <c r="AS4121" s="82"/>
      <c r="AT4121" s="82">
        <f>IFERROR(__xludf.DUMMYFUNCTION("""COMPUTED_VALUE"""),0.0)</f>
        <v>0</v>
      </c>
      <c r="AU4121" s="82"/>
      <c r="AV4121" s="82"/>
      <c r="AW4121" s="82" t="str">
        <f t="shared" si="1"/>
        <v/>
      </c>
      <c r="AX4121" s="83" t="str">
        <f t="array" ref="AX4121">IFERROR(DGET('SBV Import'!A:G,"SBV",{"RSC ID","Tier";B4121,A4121}))</f>
        <v/>
      </c>
      <c r="AY4121" s="82" t="str">
        <f t="shared" si="2"/>
        <v/>
      </c>
      <c r="AZ4121" s="82"/>
      <c r="BA4121" s="84" t="s">
        <v>152</v>
      </c>
      <c r="BB4121" s="84" t="str">
        <f>IFERROR(__xludf.DUMMYFUNCTION("iferror(if(A4121="""",,E4121&gt;=FILTER(Constants!$F$2:$F$10,Constants!$A$2:$A$10=A4121)))"),"")</f>
        <v/>
      </c>
    </row>
    <row r="4122">
      <c r="A4122" s="89"/>
      <c r="B4122" s="87"/>
      <c r="C4122" s="73"/>
      <c r="D4122" s="73"/>
      <c r="E4122" s="82"/>
      <c r="F4122" s="82"/>
      <c r="G4122" s="86"/>
      <c r="H4122" s="86"/>
      <c r="I4122" s="86"/>
      <c r="J4122" s="82"/>
      <c r="K4122" s="82"/>
      <c r="L4122" s="82"/>
      <c r="M4122" s="82"/>
      <c r="N4122" s="82"/>
      <c r="O4122" s="82"/>
      <c r="P4122" s="82"/>
      <c r="Q4122" s="82"/>
      <c r="R4122" s="82"/>
      <c r="S4122" s="82"/>
      <c r="T4122" s="82"/>
      <c r="U4122" s="82"/>
      <c r="V4122" s="82"/>
      <c r="W4122" s="82"/>
      <c r="X4122" s="82"/>
      <c r="Y4122" s="82"/>
      <c r="Z4122" s="82"/>
      <c r="AA4122" s="82"/>
      <c r="AB4122" s="82"/>
      <c r="AC4122" s="82"/>
      <c r="AD4122" s="82"/>
      <c r="AE4122" s="82"/>
      <c r="AF4122" s="82"/>
      <c r="AG4122" s="82"/>
      <c r="AH4122" s="82"/>
      <c r="AI4122" s="82"/>
      <c r="AJ4122" s="82"/>
      <c r="AK4122" s="82"/>
      <c r="AL4122" s="82"/>
      <c r="AM4122" s="82"/>
      <c r="AN4122" s="82">
        <f>IFERROR(__xludf.DUMMYFUNCTION("""COMPUTED_VALUE"""),0.0)</f>
        <v>0</v>
      </c>
      <c r="AO4122" s="82">
        <f>IFERROR(__xludf.DUMMYFUNCTION("""COMPUTED_VALUE"""),0.0)</f>
        <v>0</v>
      </c>
      <c r="AP4122" s="82">
        <f>IFERROR(__xludf.DUMMYFUNCTION("""COMPUTED_VALUE"""),0.0)</f>
        <v>0</v>
      </c>
      <c r="AQ4122" s="82">
        <f>IFERROR(__xludf.DUMMYFUNCTION("""COMPUTED_VALUE"""),0.0)</f>
        <v>0</v>
      </c>
      <c r="AR4122" s="82">
        <f>IFERROR(__xludf.DUMMYFUNCTION("""COMPUTED_VALUE"""),0.0)</f>
        <v>0</v>
      </c>
      <c r="AS4122" s="82"/>
      <c r="AT4122" s="82">
        <f>IFERROR(__xludf.DUMMYFUNCTION("""COMPUTED_VALUE"""),0.0)</f>
        <v>0</v>
      </c>
      <c r="AU4122" s="82"/>
      <c r="AV4122" s="82"/>
      <c r="AW4122" s="82" t="str">
        <f t="shared" si="1"/>
        <v/>
      </c>
      <c r="AX4122" s="83" t="str">
        <f t="array" ref="AX4122">IFERROR(DGET('SBV Import'!A:G,"SBV",{"RSC ID","Tier";B4122,A4122}))</f>
        <v/>
      </c>
      <c r="AY4122" s="82" t="str">
        <f t="shared" si="2"/>
        <v/>
      </c>
      <c r="AZ4122" s="82"/>
      <c r="BA4122" s="84" t="s">
        <v>152</v>
      </c>
      <c r="BB4122" s="84" t="str">
        <f>IFERROR(__xludf.DUMMYFUNCTION("iferror(if(A4122="""",,E4122&gt;=FILTER(Constants!$F$2:$F$10,Constants!$A$2:$A$10=A4122)))"),"")</f>
        <v/>
      </c>
    </row>
    <row r="4123">
      <c r="A4123" s="89"/>
      <c r="B4123" s="87"/>
      <c r="C4123" s="73"/>
      <c r="D4123" s="73"/>
      <c r="E4123" s="82"/>
      <c r="F4123" s="82"/>
      <c r="G4123" s="86"/>
      <c r="H4123" s="86"/>
      <c r="I4123" s="86"/>
      <c r="J4123" s="82"/>
      <c r="K4123" s="82"/>
      <c r="L4123" s="82"/>
      <c r="M4123" s="82"/>
      <c r="N4123" s="82"/>
      <c r="O4123" s="82"/>
      <c r="P4123" s="82"/>
      <c r="Q4123" s="82"/>
      <c r="R4123" s="82"/>
      <c r="S4123" s="82"/>
      <c r="T4123" s="82"/>
      <c r="U4123" s="82"/>
      <c r="V4123" s="82"/>
      <c r="W4123" s="82"/>
      <c r="X4123" s="82"/>
      <c r="Y4123" s="82"/>
      <c r="Z4123" s="82"/>
      <c r="AA4123" s="82"/>
      <c r="AB4123" s="82"/>
      <c r="AC4123" s="82"/>
      <c r="AD4123" s="82"/>
      <c r="AE4123" s="82"/>
      <c r="AF4123" s="82"/>
      <c r="AG4123" s="82"/>
      <c r="AH4123" s="82"/>
      <c r="AI4123" s="82"/>
      <c r="AJ4123" s="82"/>
      <c r="AK4123" s="82"/>
      <c r="AL4123" s="82"/>
      <c r="AM4123" s="82"/>
      <c r="AN4123" s="82">
        <f>IFERROR(__xludf.DUMMYFUNCTION("""COMPUTED_VALUE"""),0.0)</f>
        <v>0</v>
      </c>
      <c r="AO4123" s="82">
        <f>IFERROR(__xludf.DUMMYFUNCTION("""COMPUTED_VALUE"""),0.0)</f>
        <v>0</v>
      </c>
      <c r="AP4123" s="82">
        <f>IFERROR(__xludf.DUMMYFUNCTION("""COMPUTED_VALUE"""),0.0)</f>
        <v>0</v>
      </c>
      <c r="AQ4123" s="82">
        <f>IFERROR(__xludf.DUMMYFUNCTION("""COMPUTED_VALUE"""),0.0)</f>
        <v>0</v>
      </c>
      <c r="AR4123" s="82">
        <f>IFERROR(__xludf.DUMMYFUNCTION("""COMPUTED_VALUE"""),0.0)</f>
        <v>0</v>
      </c>
      <c r="AS4123" s="82"/>
      <c r="AT4123" s="82">
        <f>IFERROR(__xludf.DUMMYFUNCTION("""COMPUTED_VALUE"""),0.0)</f>
        <v>0</v>
      </c>
      <c r="AU4123" s="82"/>
      <c r="AV4123" s="82"/>
      <c r="AW4123" s="82" t="str">
        <f t="shared" si="1"/>
        <v/>
      </c>
      <c r="AX4123" s="83" t="str">
        <f t="array" ref="AX4123">IFERROR(DGET('SBV Import'!A:G,"SBV",{"RSC ID","Tier";B4123,A4123}))</f>
        <v/>
      </c>
      <c r="AY4123" s="82" t="str">
        <f t="shared" si="2"/>
        <v/>
      </c>
      <c r="AZ4123" s="82"/>
      <c r="BA4123" s="84" t="s">
        <v>152</v>
      </c>
      <c r="BB4123" s="84" t="str">
        <f>IFERROR(__xludf.DUMMYFUNCTION("iferror(if(A4123="""",,E4123&gt;=FILTER(Constants!$F$2:$F$10,Constants!$A$2:$A$10=A4123)))"),"")</f>
        <v/>
      </c>
    </row>
    <row r="4124">
      <c r="A4124" s="89"/>
      <c r="B4124" s="87"/>
      <c r="C4124" s="73"/>
      <c r="D4124" s="73"/>
      <c r="E4124" s="82"/>
      <c r="F4124" s="82"/>
      <c r="G4124" s="86"/>
      <c r="H4124" s="86"/>
      <c r="I4124" s="86"/>
      <c r="J4124" s="82"/>
      <c r="K4124" s="82"/>
      <c r="L4124" s="82"/>
      <c r="M4124" s="82"/>
      <c r="N4124" s="82"/>
      <c r="O4124" s="82"/>
      <c r="P4124" s="82"/>
      <c r="Q4124" s="82"/>
      <c r="R4124" s="82"/>
      <c r="S4124" s="82"/>
      <c r="T4124" s="82"/>
      <c r="U4124" s="82"/>
      <c r="V4124" s="82"/>
      <c r="W4124" s="82"/>
      <c r="X4124" s="82"/>
      <c r="Y4124" s="82"/>
      <c r="Z4124" s="82"/>
      <c r="AA4124" s="82"/>
      <c r="AB4124" s="82"/>
      <c r="AC4124" s="82"/>
      <c r="AD4124" s="82"/>
      <c r="AE4124" s="82"/>
      <c r="AF4124" s="82"/>
      <c r="AG4124" s="82"/>
      <c r="AH4124" s="82"/>
      <c r="AI4124" s="82"/>
      <c r="AJ4124" s="82"/>
      <c r="AK4124" s="82"/>
      <c r="AL4124" s="82"/>
      <c r="AM4124" s="82"/>
      <c r="AN4124" s="82">
        <f>IFERROR(__xludf.DUMMYFUNCTION("""COMPUTED_VALUE"""),0.0)</f>
        <v>0</v>
      </c>
      <c r="AO4124" s="82">
        <f>IFERROR(__xludf.DUMMYFUNCTION("""COMPUTED_VALUE"""),0.0)</f>
        <v>0</v>
      </c>
      <c r="AP4124" s="82">
        <f>IFERROR(__xludf.DUMMYFUNCTION("""COMPUTED_VALUE"""),0.0)</f>
        <v>0</v>
      </c>
      <c r="AQ4124" s="82">
        <f>IFERROR(__xludf.DUMMYFUNCTION("""COMPUTED_VALUE"""),0.0)</f>
        <v>0</v>
      </c>
      <c r="AR4124" s="82">
        <f>IFERROR(__xludf.DUMMYFUNCTION("""COMPUTED_VALUE"""),0.0)</f>
        <v>0</v>
      </c>
      <c r="AS4124" s="82"/>
      <c r="AT4124" s="82">
        <f>IFERROR(__xludf.DUMMYFUNCTION("""COMPUTED_VALUE"""),0.0)</f>
        <v>0</v>
      </c>
      <c r="AU4124" s="82"/>
      <c r="AV4124" s="82"/>
      <c r="AW4124" s="82" t="str">
        <f t="shared" si="1"/>
        <v/>
      </c>
      <c r="AX4124" s="83" t="str">
        <f t="array" ref="AX4124">IFERROR(DGET('SBV Import'!A:G,"SBV",{"RSC ID","Tier";B4124,A4124}))</f>
        <v/>
      </c>
      <c r="AY4124" s="82" t="str">
        <f t="shared" si="2"/>
        <v/>
      </c>
      <c r="AZ4124" s="82"/>
      <c r="BA4124" s="84" t="s">
        <v>152</v>
      </c>
      <c r="BB4124" s="84" t="str">
        <f>IFERROR(__xludf.DUMMYFUNCTION("iferror(if(A4124="""",,E4124&gt;=FILTER(Constants!$F$2:$F$10,Constants!$A$2:$A$10=A4124)))"),"")</f>
        <v/>
      </c>
    </row>
    <row r="4125">
      <c r="A4125" s="89"/>
      <c r="B4125" s="87"/>
      <c r="C4125" s="73"/>
      <c r="D4125" s="73"/>
      <c r="E4125" s="82"/>
      <c r="F4125" s="82"/>
      <c r="G4125" s="86"/>
      <c r="H4125" s="86"/>
      <c r="I4125" s="86"/>
      <c r="J4125" s="82"/>
      <c r="K4125" s="82"/>
      <c r="L4125" s="82"/>
      <c r="M4125" s="82"/>
      <c r="N4125" s="82"/>
      <c r="O4125" s="82"/>
      <c r="P4125" s="82"/>
      <c r="Q4125" s="82"/>
      <c r="R4125" s="82"/>
      <c r="S4125" s="82"/>
      <c r="T4125" s="82"/>
      <c r="U4125" s="82"/>
      <c r="V4125" s="82"/>
      <c r="W4125" s="82"/>
      <c r="X4125" s="82"/>
      <c r="Y4125" s="82"/>
      <c r="Z4125" s="82"/>
      <c r="AA4125" s="82"/>
      <c r="AB4125" s="82"/>
      <c r="AC4125" s="82"/>
      <c r="AD4125" s="82"/>
      <c r="AE4125" s="82"/>
      <c r="AF4125" s="82"/>
      <c r="AG4125" s="82"/>
      <c r="AH4125" s="82"/>
      <c r="AI4125" s="82"/>
      <c r="AJ4125" s="82"/>
      <c r="AK4125" s="82"/>
      <c r="AL4125" s="82"/>
      <c r="AM4125" s="82"/>
      <c r="AN4125" s="82">
        <f>IFERROR(__xludf.DUMMYFUNCTION("""COMPUTED_VALUE"""),0.0)</f>
        <v>0</v>
      </c>
      <c r="AO4125" s="82">
        <f>IFERROR(__xludf.DUMMYFUNCTION("""COMPUTED_VALUE"""),0.0)</f>
        <v>0</v>
      </c>
      <c r="AP4125" s="82">
        <f>IFERROR(__xludf.DUMMYFUNCTION("""COMPUTED_VALUE"""),0.0)</f>
        <v>0</v>
      </c>
      <c r="AQ4125" s="82">
        <f>IFERROR(__xludf.DUMMYFUNCTION("""COMPUTED_VALUE"""),0.0)</f>
        <v>0</v>
      </c>
      <c r="AR4125" s="82">
        <f>IFERROR(__xludf.DUMMYFUNCTION("""COMPUTED_VALUE"""),0.0)</f>
        <v>0</v>
      </c>
      <c r="AS4125" s="82"/>
      <c r="AT4125" s="82">
        <f>IFERROR(__xludf.DUMMYFUNCTION("""COMPUTED_VALUE"""),0.0)</f>
        <v>0</v>
      </c>
      <c r="AU4125" s="82"/>
      <c r="AV4125" s="82"/>
      <c r="AW4125" s="82" t="str">
        <f t="shared" si="1"/>
        <v/>
      </c>
      <c r="AX4125" s="83" t="str">
        <f t="array" ref="AX4125">IFERROR(DGET('SBV Import'!A:G,"SBV",{"RSC ID","Tier";B4125,A4125}))</f>
        <v/>
      </c>
      <c r="AY4125" s="82" t="str">
        <f t="shared" si="2"/>
        <v/>
      </c>
      <c r="AZ4125" s="82"/>
      <c r="BA4125" s="84" t="s">
        <v>152</v>
      </c>
      <c r="BB4125" s="84" t="str">
        <f>IFERROR(__xludf.DUMMYFUNCTION("iferror(if(A4125="""",,E4125&gt;=FILTER(Constants!$F$2:$F$10,Constants!$A$2:$A$10=A4125)))"),"")</f>
        <v/>
      </c>
    </row>
    <row r="4126">
      <c r="A4126" s="89"/>
      <c r="B4126" s="87"/>
      <c r="C4126" s="73"/>
      <c r="D4126" s="73"/>
      <c r="E4126" s="82"/>
      <c r="F4126" s="82"/>
      <c r="G4126" s="86"/>
      <c r="H4126" s="86"/>
      <c r="I4126" s="86"/>
      <c r="J4126" s="82"/>
      <c r="K4126" s="82"/>
      <c r="L4126" s="82"/>
      <c r="M4126" s="82"/>
      <c r="N4126" s="82"/>
      <c r="O4126" s="82"/>
      <c r="P4126" s="82"/>
      <c r="Q4126" s="82"/>
      <c r="R4126" s="82"/>
      <c r="S4126" s="82"/>
      <c r="T4126" s="82"/>
      <c r="U4126" s="82"/>
      <c r="V4126" s="82"/>
      <c r="W4126" s="82"/>
      <c r="X4126" s="82"/>
      <c r="Y4126" s="82"/>
      <c r="Z4126" s="82"/>
      <c r="AA4126" s="82"/>
      <c r="AB4126" s="82"/>
      <c r="AC4126" s="82"/>
      <c r="AD4126" s="82"/>
      <c r="AE4126" s="82"/>
      <c r="AF4126" s="82"/>
      <c r="AG4126" s="82"/>
      <c r="AH4126" s="82"/>
      <c r="AI4126" s="82"/>
      <c r="AJ4126" s="82"/>
      <c r="AK4126" s="82"/>
      <c r="AL4126" s="82"/>
      <c r="AM4126" s="82"/>
      <c r="AN4126" s="82">
        <f>IFERROR(__xludf.DUMMYFUNCTION("""COMPUTED_VALUE"""),0.0)</f>
        <v>0</v>
      </c>
      <c r="AO4126" s="82">
        <f>IFERROR(__xludf.DUMMYFUNCTION("""COMPUTED_VALUE"""),0.0)</f>
        <v>0</v>
      </c>
      <c r="AP4126" s="82">
        <f>IFERROR(__xludf.DUMMYFUNCTION("""COMPUTED_VALUE"""),0.0)</f>
        <v>0</v>
      </c>
      <c r="AQ4126" s="82">
        <f>IFERROR(__xludf.DUMMYFUNCTION("""COMPUTED_VALUE"""),0.0)</f>
        <v>0</v>
      </c>
      <c r="AR4126" s="82">
        <f>IFERROR(__xludf.DUMMYFUNCTION("""COMPUTED_VALUE"""),0.0)</f>
        <v>0</v>
      </c>
      <c r="AS4126" s="82"/>
      <c r="AT4126" s="82">
        <f>IFERROR(__xludf.DUMMYFUNCTION("""COMPUTED_VALUE"""),0.0)</f>
        <v>0</v>
      </c>
      <c r="AU4126" s="82"/>
      <c r="AV4126" s="82"/>
      <c r="AW4126" s="82" t="str">
        <f t="shared" si="1"/>
        <v/>
      </c>
      <c r="AX4126" s="83" t="str">
        <f t="array" ref="AX4126">IFERROR(DGET('SBV Import'!A:G,"SBV",{"RSC ID","Tier";B4126,A4126}))</f>
        <v/>
      </c>
      <c r="AY4126" s="82" t="str">
        <f t="shared" si="2"/>
        <v/>
      </c>
      <c r="AZ4126" s="82"/>
      <c r="BA4126" s="84" t="s">
        <v>152</v>
      </c>
      <c r="BB4126" s="84" t="str">
        <f>IFERROR(__xludf.DUMMYFUNCTION("iferror(if(A4126="""",,E4126&gt;=FILTER(Constants!$F$2:$F$10,Constants!$A$2:$A$10=A4126)))"),"")</f>
        <v/>
      </c>
    </row>
    <row r="4127">
      <c r="A4127" s="89"/>
      <c r="B4127" s="87"/>
      <c r="C4127" s="73"/>
      <c r="D4127" s="73"/>
      <c r="E4127" s="82"/>
      <c r="F4127" s="82"/>
      <c r="G4127" s="86"/>
      <c r="H4127" s="86"/>
      <c r="I4127" s="86"/>
      <c r="J4127" s="82"/>
      <c r="K4127" s="82"/>
      <c r="L4127" s="82"/>
      <c r="M4127" s="82"/>
      <c r="N4127" s="82"/>
      <c r="O4127" s="82"/>
      <c r="P4127" s="82"/>
      <c r="Q4127" s="82"/>
      <c r="R4127" s="82"/>
      <c r="S4127" s="82"/>
      <c r="T4127" s="82"/>
      <c r="U4127" s="82"/>
      <c r="V4127" s="82"/>
      <c r="W4127" s="82"/>
      <c r="X4127" s="82"/>
      <c r="Y4127" s="82"/>
      <c r="Z4127" s="82"/>
      <c r="AA4127" s="82"/>
      <c r="AB4127" s="82"/>
      <c r="AC4127" s="82"/>
      <c r="AD4127" s="82"/>
      <c r="AE4127" s="82"/>
      <c r="AF4127" s="82"/>
      <c r="AG4127" s="82"/>
      <c r="AH4127" s="82"/>
      <c r="AI4127" s="82"/>
      <c r="AJ4127" s="82"/>
      <c r="AK4127" s="82"/>
      <c r="AL4127" s="82"/>
      <c r="AM4127" s="82"/>
      <c r="AN4127" s="82">
        <f>IFERROR(__xludf.DUMMYFUNCTION("""COMPUTED_VALUE"""),0.0)</f>
        <v>0</v>
      </c>
      <c r="AO4127" s="82">
        <f>IFERROR(__xludf.DUMMYFUNCTION("""COMPUTED_VALUE"""),0.0)</f>
        <v>0</v>
      </c>
      <c r="AP4127" s="82">
        <f>IFERROR(__xludf.DUMMYFUNCTION("""COMPUTED_VALUE"""),0.0)</f>
        <v>0</v>
      </c>
      <c r="AQ4127" s="82">
        <f>IFERROR(__xludf.DUMMYFUNCTION("""COMPUTED_VALUE"""),0.0)</f>
        <v>0</v>
      </c>
      <c r="AR4127" s="82">
        <f>IFERROR(__xludf.DUMMYFUNCTION("""COMPUTED_VALUE"""),0.0)</f>
        <v>0</v>
      </c>
      <c r="AS4127" s="82"/>
      <c r="AT4127" s="82">
        <f>IFERROR(__xludf.DUMMYFUNCTION("""COMPUTED_VALUE"""),0.0)</f>
        <v>0</v>
      </c>
      <c r="AU4127" s="82"/>
      <c r="AV4127" s="82"/>
      <c r="AW4127" s="82" t="str">
        <f t="shared" si="1"/>
        <v/>
      </c>
      <c r="AX4127" s="83" t="str">
        <f t="array" ref="AX4127">IFERROR(DGET('SBV Import'!A:G,"SBV",{"RSC ID","Tier";B4127,A4127}))</f>
        <v/>
      </c>
      <c r="AY4127" s="82" t="str">
        <f t="shared" si="2"/>
        <v/>
      </c>
      <c r="AZ4127" s="82"/>
      <c r="BA4127" s="84" t="s">
        <v>152</v>
      </c>
      <c r="BB4127" s="84" t="str">
        <f>IFERROR(__xludf.DUMMYFUNCTION("iferror(if(A4127="""",,E4127&gt;=FILTER(Constants!$F$2:$F$10,Constants!$A$2:$A$10=A4127)))"),"")</f>
        <v/>
      </c>
    </row>
    <row r="4128">
      <c r="A4128" s="89"/>
      <c r="B4128" s="87"/>
      <c r="C4128" s="73"/>
      <c r="D4128" s="73"/>
      <c r="E4128" s="82"/>
      <c r="F4128" s="82"/>
      <c r="G4128" s="86"/>
      <c r="H4128" s="86"/>
      <c r="I4128" s="86"/>
      <c r="J4128" s="82"/>
      <c r="K4128" s="82"/>
      <c r="L4128" s="82"/>
      <c r="M4128" s="82"/>
      <c r="N4128" s="82"/>
      <c r="O4128" s="82"/>
      <c r="P4128" s="82"/>
      <c r="Q4128" s="82"/>
      <c r="R4128" s="82"/>
      <c r="S4128" s="82"/>
      <c r="T4128" s="82"/>
      <c r="U4128" s="82"/>
      <c r="V4128" s="82"/>
      <c r="W4128" s="82"/>
      <c r="X4128" s="82"/>
      <c r="Y4128" s="82"/>
      <c r="Z4128" s="82"/>
      <c r="AA4128" s="82"/>
      <c r="AB4128" s="82"/>
      <c r="AC4128" s="82"/>
      <c r="AD4128" s="82"/>
      <c r="AE4128" s="82"/>
      <c r="AF4128" s="82"/>
      <c r="AG4128" s="82"/>
      <c r="AH4128" s="82"/>
      <c r="AI4128" s="82"/>
      <c r="AJ4128" s="82"/>
      <c r="AK4128" s="82"/>
      <c r="AL4128" s="82"/>
      <c r="AM4128" s="82"/>
      <c r="AN4128" s="82">
        <f>IFERROR(__xludf.DUMMYFUNCTION("""COMPUTED_VALUE"""),0.0)</f>
        <v>0</v>
      </c>
      <c r="AO4128" s="82">
        <f>IFERROR(__xludf.DUMMYFUNCTION("""COMPUTED_VALUE"""),0.0)</f>
        <v>0</v>
      </c>
      <c r="AP4128" s="82">
        <f>IFERROR(__xludf.DUMMYFUNCTION("""COMPUTED_VALUE"""),0.0)</f>
        <v>0</v>
      </c>
      <c r="AQ4128" s="82">
        <f>IFERROR(__xludf.DUMMYFUNCTION("""COMPUTED_VALUE"""),0.0)</f>
        <v>0</v>
      </c>
      <c r="AR4128" s="82">
        <f>IFERROR(__xludf.DUMMYFUNCTION("""COMPUTED_VALUE"""),0.0)</f>
        <v>0</v>
      </c>
      <c r="AS4128" s="82"/>
      <c r="AT4128" s="82">
        <f>IFERROR(__xludf.DUMMYFUNCTION("""COMPUTED_VALUE"""),0.0)</f>
        <v>0</v>
      </c>
      <c r="AU4128" s="82"/>
      <c r="AV4128" s="82"/>
      <c r="AW4128" s="82" t="str">
        <f t="shared" si="1"/>
        <v/>
      </c>
      <c r="AX4128" s="83" t="str">
        <f t="array" ref="AX4128">IFERROR(DGET('SBV Import'!A:G,"SBV",{"RSC ID","Tier";B4128,A4128}))</f>
        <v/>
      </c>
      <c r="AY4128" s="82" t="str">
        <f t="shared" si="2"/>
        <v/>
      </c>
      <c r="AZ4128" s="82"/>
      <c r="BA4128" s="84" t="s">
        <v>152</v>
      </c>
      <c r="BB4128" s="84" t="str">
        <f>IFERROR(__xludf.DUMMYFUNCTION("iferror(if(A4128="""",,E4128&gt;=FILTER(Constants!$F$2:$F$10,Constants!$A$2:$A$10=A4128)))"),"")</f>
        <v/>
      </c>
    </row>
    <row r="4129">
      <c r="A4129" s="89"/>
      <c r="B4129" s="87"/>
      <c r="C4129" s="73"/>
      <c r="D4129" s="73"/>
      <c r="E4129" s="82"/>
      <c r="F4129" s="82"/>
      <c r="G4129" s="86"/>
      <c r="H4129" s="86"/>
      <c r="I4129" s="86"/>
      <c r="J4129" s="82"/>
      <c r="K4129" s="82"/>
      <c r="L4129" s="82"/>
      <c r="M4129" s="82"/>
      <c r="N4129" s="82"/>
      <c r="O4129" s="82"/>
      <c r="P4129" s="82"/>
      <c r="Q4129" s="82"/>
      <c r="R4129" s="82"/>
      <c r="S4129" s="82"/>
      <c r="T4129" s="82"/>
      <c r="U4129" s="82"/>
      <c r="V4129" s="82"/>
      <c r="W4129" s="82"/>
      <c r="X4129" s="82"/>
      <c r="Y4129" s="82"/>
      <c r="Z4129" s="82"/>
      <c r="AA4129" s="82"/>
      <c r="AB4129" s="82"/>
      <c r="AC4129" s="82"/>
      <c r="AD4129" s="82"/>
      <c r="AE4129" s="82"/>
      <c r="AF4129" s="82"/>
      <c r="AG4129" s="82"/>
      <c r="AH4129" s="82"/>
      <c r="AI4129" s="82"/>
      <c r="AJ4129" s="82"/>
      <c r="AK4129" s="82"/>
      <c r="AL4129" s="82"/>
      <c r="AM4129" s="82"/>
      <c r="AN4129" s="82">
        <f>IFERROR(__xludf.DUMMYFUNCTION("""COMPUTED_VALUE"""),0.0)</f>
        <v>0</v>
      </c>
      <c r="AO4129" s="82">
        <f>IFERROR(__xludf.DUMMYFUNCTION("""COMPUTED_VALUE"""),0.0)</f>
        <v>0</v>
      </c>
      <c r="AP4129" s="82">
        <f>IFERROR(__xludf.DUMMYFUNCTION("""COMPUTED_VALUE"""),0.0)</f>
        <v>0</v>
      </c>
      <c r="AQ4129" s="82">
        <f>IFERROR(__xludf.DUMMYFUNCTION("""COMPUTED_VALUE"""),0.0)</f>
        <v>0</v>
      </c>
      <c r="AR4129" s="82">
        <f>IFERROR(__xludf.DUMMYFUNCTION("""COMPUTED_VALUE"""),0.0)</f>
        <v>0</v>
      </c>
      <c r="AS4129" s="82"/>
      <c r="AT4129" s="82">
        <f>IFERROR(__xludf.DUMMYFUNCTION("""COMPUTED_VALUE"""),0.0)</f>
        <v>0</v>
      </c>
      <c r="AU4129" s="82"/>
      <c r="AV4129" s="82"/>
      <c r="AW4129" s="82" t="str">
        <f t="shared" si="1"/>
        <v/>
      </c>
      <c r="AX4129" s="83" t="str">
        <f t="array" ref="AX4129">IFERROR(DGET('SBV Import'!A:G,"SBV",{"RSC ID","Tier";B4129,A4129}))</f>
        <v/>
      </c>
      <c r="AY4129" s="82" t="str">
        <f t="shared" si="2"/>
        <v/>
      </c>
      <c r="AZ4129" s="82"/>
      <c r="BA4129" s="84" t="s">
        <v>152</v>
      </c>
      <c r="BB4129" s="84" t="str">
        <f>IFERROR(__xludf.DUMMYFUNCTION("iferror(if(A4129="""",,E4129&gt;=FILTER(Constants!$F$2:$F$10,Constants!$A$2:$A$10=A4129)))"),"")</f>
        <v/>
      </c>
    </row>
    <row r="4130">
      <c r="A4130" s="89"/>
      <c r="B4130" s="87"/>
      <c r="C4130" s="73"/>
      <c r="D4130" s="73"/>
      <c r="E4130" s="82"/>
      <c r="F4130" s="82"/>
      <c r="G4130" s="86"/>
      <c r="H4130" s="86"/>
      <c r="I4130" s="86"/>
      <c r="J4130" s="82"/>
      <c r="K4130" s="82"/>
      <c r="L4130" s="82"/>
      <c r="M4130" s="82"/>
      <c r="N4130" s="82"/>
      <c r="O4130" s="82"/>
      <c r="P4130" s="82"/>
      <c r="Q4130" s="82"/>
      <c r="R4130" s="82"/>
      <c r="S4130" s="82"/>
      <c r="T4130" s="82"/>
      <c r="U4130" s="82"/>
      <c r="V4130" s="82"/>
      <c r="W4130" s="82"/>
      <c r="X4130" s="82"/>
      <c r="Y4130" s="82"/>
      <c r="Z4130" s="82"/>
      <c r="AA4130" s="82"/>
      <c r="AB4130" s="82"/>
      <c r="AC4130" s="82"/>
      <c r="AD4130" s="82"/>
      <c r="AE4130" s="82"/>
      <c r="AF4130" s="82"/>
      <c r="AG4130" s="82"/>
      <c r="AH4130" s="82"/>
      <c r="AI4130" s="82"/>
      <c r="AJ4130" s="82"/>
      <c r="AK4130" s="82"/>
      <c r="AL4130" s="82"/>
      <c r="AM4130" s="82"/>
      <c r="AN4130" s="82">
        <f>IFERROR(__xludf.DUMMYFUNCTION("""COMPUTED_VALUE"""),0.0)</f>
        <v>0</v>
      </c>
      <c r="AO4130" s="82">
        <f>IFERROR(__xludf.DUMMYFUNCTION("""COMPUTED_VALUE"""),0.0)</f>
        <v>0</v>
      </c>
      <c r="AP4130" s="82">
        <f>IFERROR(__xludf.DUMMYFUNCTION("""COMPUTED_VALUE"""),0.0)</f>
        <v>0</v>
      </c>
      <c r="AQ4130" s="82">
        <f>IFERROR(__xludf.DUMMYFUNCTION("""COMPUTED_VALUE"""),0.0)</f>
        <v>0</v>
      </c>
      <c r="AR4130" s="82">
        <f>IFERROR(__xludf.DUMMYFUNCTION("""COMPUTED_VALUE"""),0.0)</f>
        <v>0</v>
      </c>
      <c r="AS4130" s="82"/>
      <c r="AT4130" s="82">
        <f>IFERROR(__xludf.DUMMYFUNCTION("""COMPUTED_VALUE"""),0.0)</f>
        <v>0</v>
      </c>
      <c r="AU4130" s="82"/>
      <c r="AV4130" s="82"/>
      <c r="AW4130" s="82" t="str">
        <f t="shared" si="1"/>
        <v/>
      </c>
      <c r="AX4130" s="83" t="str">
        <f t="array" ref="AX4130">IFERROR(DGET('SBV Import'!A:G,"SBV",{"RSC ID","Tier";B4130,A4130}))</f>
        <v/>
      </c>
      <c r="AY4130" s="82" t="str">
        <f t="shared" si="2"/>
        <v/>
      </c>
      <c r="AZ4130" s="82"/>
      <c r="BA4130" s="84" t="s">
        <v>152</v>
      </c>
      <c r="BB4130" s="84" t="str">
        <f>IFERROR(__xludf.DUMMYFUNCTION("iferror(if(A4130="""",,E4130&gt;=FILTER(Constants!$F$2:$F$10,Constants!$A$2:$A$10=A4130)))"),"")</f>
        <v/>
      </c>
    </row>
    <row r="4131">
      <c r="A4131" s="89"/>
      <c r="B4131" s="87"/>
      <c r="C4131" s="73"/>
      <c r="D4131" s="73"/>
      <c r="E4131" s="82"/>
      <c r="F4131" s="82"/>
      <c r="G4131" s="86"/>
      <c r="H4131" s="86"/>
      <c r="I4131" s="86"/>
      <c r="J4131" s="82"/>
      <c r="K4131" s="82"/>
      <c r="L4131" s="82"/>
      <c r="M4131" s="82"/>
      <c r="N4131" s="82"/>
      <c r="O4131" s="82"/>
      <c r="P4131" s="82"/>
      <c r="Q4131" s="82"/>
      <c r="R4131" s="82"/>
      <c r="S4131" s="82"/>
      <c r="T4131" s="82"/>
      <c r="U4131" s="82"/>
      <c r="V4131" s="82"/>
      <c r="W4131" s="82"/>
      <c r="X4131" s="82"/>
      <c r="Y4131" s="82"/>
      <c r="Z4131" s="82"/>
      <c r="AA4131" s="82"/>
      <c r="AB4131" s="82"/>
      <c r="AC4131" s="82"/>
      <c r="AD4131" s="82"/>
      <c r="AE4131" s="82"/>
      <c r="AF4131" s="82"/>
      <c r="AG4131" s="82"/>
      <c r="AH4131" s="82"/>
      <c r="AI4131" s="82"/>
      <c r="AJ4131" s="82"/>
      <c r="AK4131" s="82"/>
      <c r="AL4131" s="82"/>
      <c r="AM4131" s="82"/>
      <c r="AN4131" s="82">
        <f>IFERROR(__xludf.DUMMYFUNCTION("""COMPUTED_VALUE"""),0.0)</f>
        <v>0</v>
      </c>
      <c r="AO4131" s="82">
        <f>IFERROR(__xludf.DUMMYFUNCTION("""COMPUTED_VALUE"""),0.0)</f>
        <v>0</v>
      </c>
      <c r="AP4131" s="82">
        <f>IFERROR(__xludf.DUMMYFUNCTION("""COMPUTED_VALUE"""),0.0)</f>
        <v>0</v>
      </c>
      <c r="AQ4131" s="82">
        <f>IFERROR(__xludf.DUMMYFUNCTION("""COMPUTED_VALUE"""),0.0)</f>
        <v>0</v>
      </c>
      <c r="AR4131" s="82">
        <f>IFERROR(__xludf.DUMMYFUNCTION("""COMPUTED_VALUE"""),0.0)</f>
        <v>0</v>
      </c>
      <c r="AS4131" s="82"/>
      <c r="AT4131" s="82">
        <f>IFERROR(__xludf.DUMMYFUNCTION("""COMPUTED_VALUE"""),0.0)</f>
        <v>0</v>
      </c>
      <c r="AU4131" s="82"/>
      <c r="AV4131" s="82"/>
      <c r="AW4131" s="82" t="str">
        <f t="shared" si="1"/>
        <v/>
      </c>
      <c r="AX4131" s="83" t="str">
        <f t="array" ref="AX4131">IFERROR(DGET('SBV Import'!A:G,"SBV",{"RSC ID","Tier";B4131,A4131}))</f>
        <v/>
      </c>
      <c r="AY4131" s="82" t="str">
        <f t="shared" si="2"/>
        <v/>
      </c>
      <c r="AZ4131" s="82"/>
      <c r="BA4131" s="84" t="s">
        <v>152</v>
      </c>
      <c r="BB4131" s="84" t="str">
        <f>IFERROR(__xludf.DUMMYFUNCTION("iferror(if(A4131="""",,E4131&gt;=FILTER(Constants!$F$2:$F$10,Constants!$A$2:$A$10=A4131)))"),"")</f>
        <v/>
      </c>
    </row>
    <row r="4132">
      <c r="A4132" s="89"/>
      <c r="B4132" s="87"/>
      <c r="C4132" s="73"/>
      <c r="D4132" s="73"/>
      <c r="E4132" s="82"/>
      <c r="F4132" s="82"/>
      <c r="G4132" s="86"/>
      <c r="H4132" s="86"/>
      <c r="I4132" s="86"/>
      <c r="J4132" s="82"/>
      <c r="K4132" s="82"/>
      <c r="L4132" s="82"/>
      <c r="M4132" s="82"/>
      <c r="N4132" s="82"/>
      <c r="O4132" s="82"/>
      <c r="P4132" s="82"/>
      <c r="Q4132" s="82"/>
      <c r="R4132" s="82"/>
      <c r="S4132" s="82"/>
      <c r="T4132" s="82"/>
      <c r="U4132" s="82"/>
      <c r="V4132" s="82"/>
      <c r="W4132" s="82"/>
      <c r="X4132" s="82"/>
      <c r="Y4132" s="82"/>
      <c r="Z4132" s="82"/>
      <c r="AA4132" s="82"/>
      <c r="AB4132" s="82"/>
      <c r="AC4132" s="82"/>
      <c r="AD4132" s="82"/>
      <c r="AE4132" s="82"/>
      <c r="AF4132" s="82"/>
      <c r="AG4132" s="82"/>
      <c r="AH4132" s="82"/>
      <c r="AI4132" s="82"/>
      <c r="AJ4132" s="82"/>
      <c r="AK4132" s="82"/>
      <c r="AL4132" s="82"/>
      <c r="AM4132" s="82"/>
      <c r="AN4132" s="82">
        <f>IFERROR(__xludf.DUMMYFUNCTION("""COMPUTED_VALUE"""),0.0)</f>
        <v>0</v>
      </c>
      <c r="AO4132" s="82">
        <f>IFERROR(__xludf.DUMMYFUNCTION("""COMPUTED_VALUE"""),0.0)</f>
        <v>0</v>
      </c>
      <c r="AP4132" s="82">
        <f>IFERROR(__xludf.DUMMYFUNCTION("""COMPUTED_VALUE"""),0.0)</f>
        <v>0</v>
      </c>
      <c r="AQ4132" s="82">
        <f>IFERROR(__xludf.DUMMYFUNCTION("""COMPUTED_VALUE"""),0.0)</f>
        <v>0</v>
      </c>
      <c r="AR4132" s="82">
        <f>IFERROR(__xludf.DUMMYFUNCTION("""COMPUTED_VALUE"""),0.0)</f>
        <v>0</v>
      </c>
      <c r="AS4132" s="82"/>
      <c r="AT4132" s="82">
        <f>IFERROR(__xludf.DUMMYFUNCTION("""COMPUTED_VALUE"""),0.0)</f>
        <v>0</v>
      </c>
      <c r="AU4132" s="82"/>
      <c r="AV4132" s="82"/>
      <c r="AW4132" s="82" t="str">
        <f t="shared" si="1"/>
        <v/>
      </c>
      <c r="AX4132" s="83" t="str">
        <f t="array" ref="AX4132">IFERROR(DGET('SBV Import'!A:G,"SBV",{"RSC ID","Tier";B4132,A4132}))</f>
        <v/>
      </c>
      <c r="AY4132" s="82" t="str">
        <f t="shared" si="2"/>
        <v/>
      </c>
      <c r="AZ4132" s="82"/>
      <c r="BA4132" s="84" t="s">
        <v>152</v>
      </c>
      <c r="BB4132" s="84" t="str">
        <f>IFERROR(__xludf.DUMMYFUNCTION("iferror(if(A4132="""",,E4132&gt;=FILTER(Constants!$F$2:$F$10,Constants!$A$2:$A$10=A4132)))"),"")</f>
        <v/>
      </c>
    </row>
    <row r="4133">
      <c r="A4133" s="89"/>
      <c r="B4133" s="87"/>
      <c r="C4133" s="73"/>
      <c r="D4133" s="73"/>
      <c r="E4133" s="82"/>
      <c r="F4133" s="82"/>
      <c r="G4133" s="86"/>
      <c r="H4133" s="86"/>
      <c r="I4133" s="86"/>
      <c r="J4133" s="82"/>
      <c r="K4133" s="82"/>
      <c r="L4133" s="82"/>
      <c r="M4133" s="82"/>
      <c r="N4133" s="82"/>
      <c r="O4133" s="82"/>
      <c r="P4133" s="82"/>
      <c r="Q4133" s="82"/>
      <c r="R4133" s="82"/>
      <c r="S4133" s="82"/>
      <c r="T4133" s="82"/>
      <c r="U4133" s="82"/>
      <c r="V4133" s="82"/>
      <c r="W4133" s="82"/>
      <c r="X4133" s="82"/>
      <c r="Y4133" s="82"/>
      <c r="Z4133" s="82"/>
      <c r="AA4133" s="82"/>
      <c r="AB4133" s="82"/>
      <c r="AC4133" s="82"/>
      <c r="AD4133" s="82"/>
      <c r="AE4133" s="82"/>
      <c r="AF4133" s="82"/>
      <c r="AG4133" s="82"/>
      <c r="AH4133" s="82"/>
      <c r="AI4133" s="82"/>
      <c r="AJ4133" s="82"/>
      <c r="AK4133" s="82"/>
      <c r="AL4133" s="82"/>
      <c r="AM4133" s="82"/>
      <c r="AN4133" s="82">
        <f>IFERROR(__xludf.DUMMYFUNCTION("""COMPUTED_VALUE"""),0.0)</f>
        <v>0</v>
      </c>
      <c r="AO4133" s="82">
        <f>IFERROR(__xludf.DUMMYFUNCTION("""COMPUTED_VALUE"""),0.0)</f>
        <v>0</v>
      </c>
      <c r="AP4133" s="82">
        <f>IFERROR(__xludf.DUMMYFUNCTION("""COMPUTED_VALUE"""),0.0)</f>
        <v>0</v>
      </c>
      <c r="AQ4133" s="82">
        <f>IFERROR(__xludf.DUMMYFUNCTION("""COMPUTED_VALUE"""),0.0)</f>
        <v>0</v>
      </c>
      <c r="AR4133" s="82">
        <f>IFERROR(__xludf.DUMMYFUNCTION("""COMPUTED_VALUE"""),0.0)</f>
        <v>0</v>
      </c>
      <c r="AS4133" s="82"/>
      <c r="AT4133" s="82">
        <f>IFERROR(__xludf.DUMMYFUNCTION("""COMPUTED_VALUE"""),0.0)</f>
        <v>0</v>
      </c>
      <c r="AU4133" s="82"/>
      <c r="AV4133" s="82"/>
      <c r="AW4133" s="82" t="str">
        <f t="shared" si="1"/>
        <v/>
      </c>
      <c r="AX4133" s="83" t="str">
        <f t="array" ref="AX4133">IFERROR(DGET('SBV Import'!A:G,"SBV",{"RSC ID","Tier";B4133,A4133}))</f>
        <v/>
      </c>
      <c r="AY4133" s="82" t="str">
        <f t="shared" si="2"/>
        <v/>
      </c>
      <c r="AZ4133" s="82"/>
      <c r="BA4133" s="84" t="s">
        <v>152</v>
      </c>
      <c r="BB4133" s="84" t="str">
        <f>IFERROR(__xludf.DUMMYFUNCTION("iferror(if(A4133="""",,E4133&gt;=FILTER(Constants!$F$2:$F$10,Constants!$A$2:$A$10=A4133)))"),"")</f>
        <v/>
      </c>
    </row>
    <row r="4134">
      <c r="A4134" s="89"/>
      <c r="B4134" s="87"/>
      <c r="C4134" s="73"/>
      <c r="D4134" s="73"/>
      <c r="E4134" s="82"/>
      <c r="F4134" s="82"/>
      <c r="G4134" s="86"/>
      <c r="H4134" s="86"/>
      <c r="I4134" s="86"/>
      <c r="J4134" s="82"/>
      <c r="K4134" s="82"/>
      <c r="L4134" s="82"/>
      <c r="M4134" s="82"/>
      <c r="N4134" s="82"/>
      <c r="O4134" s="82"/>
      <c r="P4134" s="82"/>
      <c r="Q4134" s="82"/>
      <c r="R4134" s="82"/>
      <c r="S4134" s="82"/>
      <c r="T4134" s="82"/>
      <c r="U4134" s="82"/>
      <c r="V4134" s="82"/>
      <c r="W4134" s="82"/>
      <c r="X4134" s="82"/>
      <c r="Y4134" s="82"/>
      <c r="Z4134" s="82"/>
      <c r="AA4134" s="82"/>
      <c r="AB4134" s="82"/>
      <c r="AC4134" s="82"/>
      <c r="AD4134" s="82"/>
      <c r="AE4134" s="82"/>
      <c r="AF4134" s="82"/>
      <c r="AG4134" s="82"/>
      <c r="AH4134" s="82"/>
      <c r="AI4134" s="82"/>
      <c r="AJ4134" s="82"/>
      <c r="AK4134" s="82"/>
      <c r="AL4134" s="82"/>
      <c r="AM4134" s="82"/>
      <c r="AN4134" s="82">
        <f>IFERROR(__xludf.DUMMYFUNCTION("""COMPUTED_VALUE"""),0.0)</f>
        <v>0</v>
      </c>
      <c r="AO4134" s="82">
        <f>IFERROR(__xludf.DUMMYFUNCTION("""COMPUTED_VALUE"""),0.0)</f>
        <v>0</v>
      </c>
      <c r="AP4134" s="82">
        <f>IFERROR(__xludf.DUMMYFUNCTION("""COMPUTED_VALUE"""),0.0)</f>
        <v>0</v>
      </c>
      <c r="AQ4134" s="82">
        <f>IFERROR(__xludf.DUMMYFUNCTION("""COMPUTED_VALUE"""),0.0)</f>
        <v>0</v>
      </c>
      <c r="AR4134" s="82">
        <f>IFERROR(__xludf.DUMMYFUNCTION("""COMPUTED_VALUE"""),0.0)</f>
        <v>0</v>
      </c>
      <c r="AS4134" s="82"/>
      <c r="AT4134" s="82">
        <f>IFERROR(__xludf.DUMMYFUNCTION("""COMPUTED_VALUE"""),0.0)</f>
        <v>0</v>
      </c>
      <c r="AU4134" s="82"/>
      <c r="AV4134" s="82"/>
      <c r="AW4134" s="82" t="str">
        <f t="shared" si="1"/>
        <v/>
      </c>
      <c r="AX4134" s="83" t="str">
        <f t="array" ref="AX4134">IFERROR(DGET('SBV Import'!A:G,"SBV",{"RSC ID","Tier";B4134,A4134}))</f>
        <v/>
      </c>
      <c r="AY4134" s="82" t="str">
        <f t="shared" si="2"/>
        <v/>
      </c>
      <c r="AZ4134" s="82"/>
      <c r="BA4134" s="84" t="s">
        <v>152</v>
      </c>
      <c r="BB4134" s="84" t="str">
        <f>IFERROR(__xludf.DUMMYFUNCTION("iferror(if(A4134="""",,E4134&gt;=FILTER(Constants!$F$2:$F$10,Constants!$A$2:$A$10=A4134)))"),"")</f>
        <v/>
      </c>
    </row>
    <row r="4135">
      <c r="A4135" s="89"/>
      <c r="B4135" s="87"/>
      <c r="C4135" s="73"/>
      <c r="D4135" s="73"/>
      <c r="E4135" s="82"/>
      <c r="F4135" s="82"/>
      <c r="G4135" s="86"/>
      <c r="H4135" s="86"/>
      <c r="I4135" s="86"/>
      <c r="J4135" s="82"/>
      <c r="K4135" s="82"/>
      <c r="L4135" s="82"/>
      <c r="M4135" s="82"/>
      <c r="N4135" s="82"/>
      <c r="O4135" s="82"/>
      <c r="P4135" s="82"/>
      <c r="Q4135" s="82"/>
      <c r="R4135" s="82"/>
      <c r="S4135" s="82"/>
      <c r="T4135" s="82"/>
      <c r="U4135" s="82"/>
      <c r="V4135" s="82"/>
      <c r="W4135" s="82"/>
      <c r="X4135" s="82"/>
      <c r="Y4135" s="82"/>
      <c r="Z4135" s="82"/>
      <c r="AA4135" s="82"/>
      <c r="AB4135" s="82"/>
      <c r="AC4135" s="82"/>
      <c r="AD4135" s="82"/>
      <c r="AE4135" s="82"/>
      <c r="AF4135" s="82"/>
      <c r="AG4135" s="82"/>
      <c r="AH4135" s="82"/>
      <c r="AI4135" s="82"/>
      <c r="AJ4135" s="82"/>
      <c r="AK4135" s="82"/>
      <c r="AL4135" s="82"/>
      <c r="AM4135" s="82"/>
      <c r="AN4135" s="82">
        <f>IFERROR(__xludf.DUMMYFUNCTION("""COMPUTED_VALUE"""),0.0)</f>
        <v>0</v>
      </c>
      <c r="AO4135" s="82">
        <f>IFERROR(__xludf.DUMMYFUNCTION("""COMPUTED_VALUE"""),0.0)</f>
        <v>0</v>
      </c>
      <c r="AP4135" s="82">
        <f>IFERROR(__xludf.DUMMYFUNCTION("""COMPUTED_VALUE"""),0.0)</f>
        <v>0</v>
      </c>
      <c r="AQ4135" s="82">
        <f>IFERROR(__xludf.DUMMYFUNCTION("""COMPUTED_VALUE"""),0.0)</f>
        <v>0</v>
      </c>
      <c r="AR4135" s="82">
        <f>IFERROR(__xludf.DUMMYFUNCTION("""COMPUTED_VALUE"""),0.0)</f>
        <v>0</v>
      </c>
      <c r="AS4135" s="82"/>
      <c r="AT4135" s="82">
        <f>IFERROR(__xludf.DUMMYFUNCTION("""COMPUTED_VALUE"""),0.0)</f>
        <v>0</v>
      </c>
      <c r="AU4135" s="82"/>
      <c r="AV4135" s="82"/>
      <c r="AW4135" s="82" t="str">
        <f t="shared" si="1"/>
        <v/>
      </c>
      <c r="AX4135" s="83" t="str">
        <f t="array" ref="AX4135">IFERROR(DGET('SBV Import'!A:G,"SBV",{"RSC ID","Tier";B4135,A4135}))</f>
        <v/>
      </c>
      <c r="AY4135" s="82" t="str">
        <f t="shared" si="2"/>
        <v/>
      </c>
      <c r="AZ4135" s="82"/>
      <c r="BA4135" s="84" t="s">
        <v>152</v>
      </c>
      <c r="BB4135" s="84" t="str">
        <f>IFERROR(__xludf.DUMMYFUNCTION("iferror(if(A4135="""",,E4135&gt;=FILTER(Constants!$F$2:$F$10,Constants!$A$2:$A$10=A4135)))"),"")</f>
        <v/>
      </c>
    </row>
    <row r="4136">
      <c r="A4136" s="89"/>
      <c r="B4136" s="87"/>
      <c r="C4136" s="73"/>
      <c r="D4136" s="73"/>
      <c r="E4136" s="82"/>
      <c r="F4136" s="82"/>
      <c r="G4136" s="86"/>
      <c r="H4136" s="86"/>
      <c r="I4136" s="86"/>
      <c r="J4136" s="82"/>
      <c r="K4136" s="82"/>
      <c r="L4136" s="82"/>
      <c r="M4136" s="82"/>
      <c r="N4136" s="82"/>
      <c r="O4136" s="82"/>
      <c r="P4136" s="82"/>
      <c r="Q4136" s="82"/>
      <c r="R4136" s="82"/>
      <c r="S4136" s="82"/>
      <c r="T4136" s="82"/>
      <c r="U4136" s="82"/>
      <c r="V4136" s="82"/>
      <c r="W4136" s="82"/>
      <c r="X4136" s="82"/>
      <c r="Y4136" s="82"/>
      <c r="Z4136" s="82"/>
      <c r="AA4136" s="82"/>
      <c r="AB4136" s="82"/>
      <c r="AC4136" s="82"/>
      <c r="AD4136" s="82"/>
      <c r="AE4136" s="82"/>
      <c r="AF4136" s="82"/>
      <c r="AG4136" s="82"/>
      <c r="AH4136" s="82"/>
      <c r="AI4136" s="82"/>
      <c r="AJ4136" s="82"/>
      <c r="AK4136" s="82"/>
      <c r="AL4136" s="82"/>
      <c r="AM4136" s="82"/>
      <c r="AN4136" s="82">
        <f>IFERROR(__xludf.DUMMYFUNCTION("""COMPUTED_VALUE"""),0.0)</f>
        <v>0</v>
      </c>
      <c r="AO4136" s="82">
        <f>IFERROR(__xludf.DUMMYFUNCTION("""COMPUTED_VALUE"""),0.0)</f>
        <v>0</v>
      </c>
      <c r="AP4136" s="82">
        <f>IFERROR(__xludf.DUMMYFUNCTION("""COMPUTED_VALUE"""),0.0)</f>
        <v>0</v>
      </c>
      <c r="AQ4136" s="82">
        <f>IFERROR(__xludf.DUMMYFUNCTION("""COMPUTED_VALUE"""),0.0)</f>
        <v>0</v>
      </c>
      <c r="AR4136" s="82">
        <f>IFERROR(__xludf.DUMMYFUNCTION("""COMPUTED_VALUE"""),0.0)</f>
        <v>0</v>
      </c>
      <c r="AS4136" s="82"/>
      <c r="AT4136" s="82">
        <f>IFERROR(__xludf.DUMMYFUNCTION("""COMPUTED_VALUE"""),0.0)</f>
        <v>0</v>
      </c>
      <c r="AU4136" s="82"/>
      <c r="AV4136" s="82"/>
      <c r="AW4136" s="82" t="str">
        <f t="shared" si="1"/>
        <v/>
      </c>
      <c r="AX4136" s="83" t="str">
        <f t="array" ref="AX4136">IFERROR(DGET('SBV Import'!A:G,"SBV",{"RSC ID","Tier";B4136,A4136}))</f>
        <v/>
      </c>
      <c r="AY4136" s="82" t="str">
        <f t="shared" si="2"/>
        <v/>
      </c>
      <c r="AZ4136" s="82"/>
      <c r="BA4136" s="84" t="s">
        <v>152</v>
      </c>
      <c r="BB4136" s="84" t="str">
        <f>IFERROR(__xludf.DUMMYFUNCTION("iferror(if(A4136="""",,E4136&gt;=FILTER(Constants!$F$2:$F$10,Constants!$A$2:$A$10=A4136)))"),"")</f>
        <v/>
      </c>
    </row>
    <row r="4137">
      <c r="A4137" s="89"/>
      <c r="B4137" s="87"/>
      <c r="C4137" s="73"/>
      <c r="D4137" s="73"/>
      <c r="E4137" s="82"/>
      <c r="F4137" s="82"/>
      <c r="G4137" s="86"/>
      <c r="H4137" s="86"/>
      <c r="I4137" s="86"/>
      <c r="J4137" s="82"/>
      <c r="K4137" s="82"/>
      <c r="L4137" s="82"/>
      <c r="M4137" s="82"/>
      <c r="N4137" s="82"/>
      <c r="O4137" s="82"/>
      <c r="P4137" s="82"/>
      <c r="Q4137" s="82"/>
      <c r="R4137" s="82"/>
      <c r="S4137" s="82"/>
      <c r="T4137" s="82"/>
      <c r="U4137" s="82"/>
      <c r="V4137" s="82"/>
      <c r="W4137" s="82"/>
      <c r="X4137" s="82"/>
      <c r="Y4137" s="82"/>
      <c r="Z4137" s="82"/>
      <c r="AA4137" s="82"/>
      <c r="AB4137" s="82"/>
      <c r="AC4137" s="82"/>
      <c r="AD4137" s="82"/>
      <c r="AE4137" s="82"/>
      <c r="AF4137" s="82"/>
      <c r="AG4137" s="82"/>
      <c r="AH4137" s="82"/>
      <c r="AI4137" s="82"/>
      <c r="AJ4137" s="82"/>
      <c r="AK4137" s="82"/>
      <c r="AL4137" s="82"/>
      <c r="AM4137" s="82"/>
      <c r="AN4137" s="82">
        <f>IFERROR(__xludf.DUMMYFUNCTION("""COMPUTED_VALUE"""),0.0)</f>
        <v>0</v>
      </c>
      <c r="AO4137" s="82">
        <f>IFERROR(__xludf.DUMMYFUNCTION("""COMPUTED_VALUE"""),0.0)</f>
        <v>0</v>
      </c>
      <c r="AP4137" s="82">
        <f>IFERROR(__xludf.DUMMYFUNCTION("""COMPUTED_VALUE"""),0.0)</f>
        <v>0</v>
      </c>
      <c r="AQ4137" s="82">
        <f>IFERROR(__xludf.DUMMYFUNCTION("""COMPUTED_VALUE"""),0.0)</f>
        <v>0</v>
      </c>
      <c r="AR4137" s="82">
        <f>IFERROR(__xludf.DUMMYFUNCTION("""COMPUTED_VALUE"""),0.0)</f>
        <v>0</v>
      </c>
      <c r="AS4137" s="82"/>
      <c r="AT4137" s="82">
        <f>IFERROR(__xludf.DUMMYFUNCTION("""COMPUTED_VALUE"""),0.0)</f>
        <v>0</v>
      </c>
      <c r="AU4137" s="82"/>
      <c r="AV4137" s="82"/>
      <c r="AW4137" s="82" t="str">
        <f t="shared" si="1"/>
        <v/>
      </c>
      <c r="AX4137" s="83" t="str">
        <f t="array" ref="AX4137">IFERROR(DGET('SBV Import'!A:G,"SBV",{"RSC ID","Tier";B4137,A4137}))</f>
        <v/>
      </c>
      <c r="AY4137" s="82" t="str">
        <f t="shared" si="2"/>
        <v/>
      </c>
      <c r="AZ4137" s="82"/>
      <c r="BA4137" s="84" t="s">
        <v>152</v>
      </c>
      <c r="BB4137" s="84" t="str">
        <f>IFERROR(__xludf.DUMMYFUNCTION("iferror(if(A4137="""",,E4137&gt;=FILTER(Constants!$F$2:$F$10,Constants!$A$2:$A$10=A4137)))"),"")</f>
        <v/>
      </c>
    </row>
    <row r="4138">
      <c r="A4138" s="89"/>
      <c r="B4138" s="87"/>
      <c r="C4138" s="73"/>
      <c r="D4138" s="73"/>
      <c r="E4138" s="82"/>
      <c r="F4138" s="82"/>
      <c r="G4138" s="86"/>
      <c r="H4138" s="86"/>
      <c r="I4138" s="86"/>
      <c r="J4138" s="82"/>
      <c r="K4138" s="82"/>
      <c r="L4138" s="82"/>
      <c r="M4138" s="82"/>
      <c r="N4138" s="82"/>
      <c r="O4138" s="82"/>
      <c r="P4138" s="82"/>
      <c r="Q4138" s="82"/>
      <c r="R4138" s="82"/>
      <c r="S4138" s="82"/>
      <c r="T4138" s="82"/>
      <c r="U4138" s="82"/>
      <c r="V4138" s="82"/>
      <c r="W4138" s="82"/>
      <c r="X4138" s="82"/>
      <c r="Y4138" s="82"/>
      <c r="Z4138" s="82"/>
      <c r="AA4138" s="82"/>
      <c r="AB4138" s="82"/>
      <c r="AC4138" s="82"/>
      <c r="AD4138" s="82"/>
      <c r="AE4138" s="82"/>
      <c r="AF4138" s="82"/>
      <c r="AG4138" s="82"/>
      <c r="AH4138" s="82"/>
      <c r="AI4138" s="82"/>
      <c r="AJ4138" s="82"/>
      <c r="AK4138" s="82"/>
      <c r="AL4138" s="82"/>
      <c r="AM4138" s="82"/>
      <c r="AN4138" s="82">
        <f>IFERROR(__xludf.DUMMYFUNCTION("""COMPUTED_VALUE"""),0.0)</f>
        <v>0</v>
      </c>
      <c r="AO4138" s="82">
        <f>IFERROR(__xludf.DUMMYFUNCTION("""COMPUTED_VALUE"""),0.0)</f>
        <v>0</v>
      </c>
      <c r="AP4138" s="82">
        <f>IFERROR(__xludf.DUMMYFUNCTION("""COMPUTED_VALUE"""),0.0)</f>
        <v>0</v>
      </c>
      <c r="AQ4138" s="82">
        <f>IFERROR(__xludf.DUMMYFUNCTION("""COMPUTED_VALUE"""),0.0)</f>
        <v>0</v>
      </c>
      <c r="AR4138" s="82">
        <f>IFERROR(__xludf.DUMMYFUNCTION("""COMPUTED_VALUE"""),0.0)</f>
        <v>0</v>
      </c>
      <c r="AS4138" s="82"/>
      <c r="AT4138" s="82">
        <f>IFERROR(__xludf.DUMMYFUNCTION("""COMPUTED_VALUE"""),0.0)</f>
        <v>0</v>
      </c>
      <c r="AU4138" s="82"/>
      <c r="AV4138" s="82"/>
      <c r="AW4138" s="82" t="str">
        <f t="shared" si="1"/>
        <v/>
      </c>
      <c r="AX4138" s="83" t="str">
        <f t="array" ref="AX4138">IFERROR(DGET('SBV Import'!A:G,"SBV",{"RSC ID","Tier";B4138,A4138}))</f>
        <v/>
      </c>
      <c r="AY4138" s="82" t="str">
        <f t="shared" si="2"/>
        <v/>
      </c>
      <c r="AZ4138" s="82"/>
      <c r="BA4138" s="84" t="s">
        <v>152</v>
      </c>
      <c r="BB4138" s="84" t="str">
        <f>IFERROR(__xludf.DUMMYFUNCTION("iferror(if(A4138="""",,E4138&gt;=FILTER(Constants!$F$2:$F$10,Constants!$A$2:$A$10=A4138)))"),"")</f>
        <v/>
      </c>
    </row>
    <row r="4139">
      <c r="A4139" s="89"/>
      <c r="B4139" s="87"/>
      <c r="C4139" s="73"/>
      <c r="D4139" s="73"/>
      <c r="E4139" s="82"/>
      <c r="F4139" s="82"/>
      <c r="G4139" s="86"/>
      <c r="H4139" s="86"/>
      <c r="I4139" s="86"/>
      <c r="J4139" s="82"/>
      <c r="K4139" s="82"/>
      <c r="L4139" s="82"/>
      <c r="M4139" s="82"/>
      <c r="N4139" s="82"/>
      <c r="O4139" s="82"/>
      <c r="P4139" s="82"/>
      <c r="Q4139" s="82"/>
      <c r="R4139" s="82"/>
      <c r="S4139" s="82"/>
      <c r="T4139" s="82"/>
      <c r="U4139" s="82"/>
      <c r="V4139" s="82"/>
      <c r="W4139" s="82"/>
      <c r="X4139" s="82"/>
      <c r="Y4139" s="82"/>
      <c r="Z4139" s="82"/>
      <c r="AA4139" s="82"/>
      <c r="AB4139" s="82"/>
      <c r="AC4139" s="82"/>
      <c r="AD4139" s="82"/>
      <c r="AE4139" s="82"/>
      <c r="AF4139" s="82"/>
      <c r="AG4139" s="82"/>
      <c r="AH4139" s="82"/>
      <c r="AI4139" s="82"/>
      <c r="AJ4139" s="82"/>
      <c r="AK4139" s="82"/>
      <c r="AL4139" s="82"/>
      <c r="AM4139" s="82"/>
      <c r="AN4139" s="82">
        <f>IFERROR(__xludf.DUMMYFUNCTION("""COMPUTED_VALUE"""),0.0)</f>
        <v>0</v>
      </c>
      <c r="AO4139" s="82">
        <f>IFERROR(__xludf.DUMMYFUNCTION("""COMPUTED_VALUE"""),0.0)</f>
        <v>0</v>
      </c>
      <c r="AP4139" s="82">
        <f>IFERROR(__xludf.DUMMYFUNCTION("""COMPUTED_VALUE"""),0.0)</f>
        <v>0</v>
      </c>
      <c r="AQ4139" s="82">
        <f>IFERROR(__xludf.DUMMYFUNCTION("""COMPUTED_VALUE"""),0.0)</f>
        <v>0</v>
      </c>
      <c r="AR4139" s="82">
        <f>IFERROR(__xludf.DUMMYFUNCTION("""COMPUTED_VALUE"""),0.0)</f>
        <v>0</v>
      </c>
      <c r="AS4139" s="82"/>
      <c r="AT4139" s="82">
        <f>IFERROR(__xludf.DUMMYFUNCTION("""COMPUTED_VALUE"""),0.0)</f>
        <v>0</v>
      </c>
      <c r="AU4139" s="82"/>
      <c r="AV4139" s="82"/>
      <c r="AW4139" s="82" t="str">
        <f t="shared" si="1"/>
        <v/>
      </c>
      <c r="AX4139" s="83" t="str">
        <f t="array" ref="AX4139">IFERROR(DGET('SBV Import'!A:G,"SBV",{"RSC ID","Tier";B4139,A4139}))</f>
        <v/>
      </c>
      <c r="AY4139" s="82" t="str">
        <f t="shared" si="2"/>
        <v/>
      </c>
      <c r="AZ4139" s="82"/>
      <c r="BA4139" s="84" t="s">
        <v>152</v>
      </c>
      <c r="BB4139" s="84" t="str">
        <f>IFERROR(__xludf.DUMMYFUNCTION("iferror(if(A4139="""",,E4139&gt;=FILTER(Constants!$F$2:$F$10,Constants!$A$2:$A$10=A4139)))"),"")</f>
        <v/>
      </c>
    </row>
    <row r="4140">
      <c r="A4140" s="89"/>
      <c r="B4140" s="87"/>
      <c r="C4140" s="73"/>
      <c r="D4140" s="73"/>
      <c r="E4140" s="82"/>
      <c r="F4140" s="82"/>
      <c r="G4140" s="86"/>
      <c r="H4140" s="86"/>
      <c r="I4140" s="86"/>
      <c r="J4140" s="82"/>
      <c r="K4140" s="82"/>
      <c r="L4140" s="82"/>
      <c r="M4140" s="82"/>
      <c r="N4140" s="82"/>
      <c r="O4140" s="82"/>
      <c r="P4140" s="82"/>
      <c r="Q4140" s="82"/>
      <c r="R4140" s="82"/>
      <c r="S4140" s="82"/>
      <c r="T4140" s="82"/>
      <c r="U4140" s="82"/>
      <c r="V4140" s="82"/>
      <c r="W4140" s="82"/>
      <c r="X4140" s="82"/>
      <c r="Y4140" s="82"/>
      <c r="Z4140" s="82"/>
      <c r="AA4140" s="82"/>
      <c r="AB4140" s="82"/>
      <c r="AC4140" s="82"/>
      <c r="AD4140" s="82"/>
      <c r="AE4140" s="82"/>
      <c r="AF4140" s="82"/>
      <c r="AG4140" s="82"/>
      <c r="AH4140" s="82"/>
      <c r="AI4140" s="82"/>
      <c r="AJ4140" s="82"/>
      <c r="AK4140" s="82"/>
      <c r="AL4140" s="82"/>
      <c r="AM4140" s="82"/>
      <c r="AN4140" s="82">
        <f>IFERROR(__xludf.DUMMYFUNCTION("""COMPUTED_VALUE"""),0.0)</f>
        <v>0</v>
      </c>
      <c r="AO4140" s="82">
        <f>IFERROR(__xludf.DUMMYFUNCTION("""COMPUTED_VALUE"""),0.0)</f>
        <v>0</v>
      </c>
      <c r="AP4140" s="82">
        <f>IFERROR(__xludf.DUMMYFUNCTION("""COMPUTED_VALUE"""),0.0)</f>
        <v>0</v>
      </c>
      <c r="AQ4140" s="82">
        <f>IFERROR(__xludf.DUMMYFUNCTION("""COMPUTED_VALUE"""),0.0)</f>
        <v>0</v>
      </c>
      <c r="AR4140" s="82">
        <f>IFERROR(__xludf.DUMMYFUNCTION("""COMPUTED_VALUE"""),0.0)</f>
        <v>0</v>
      </c>
      <c r="AS4140" s="82"/>
      <c r="AT4140" s="82">
        <f>IFERROR(__xludf.DUMMYFUNCTION("""COMPUTED_VALUE"""),0.0)</f>
        <v>0</v>
      </c>
      <c r="AU4140" s="82"/>
      <c r="AV4140" s="82"/>
      <c r="AW4140" s="82" t="str">
        <f t="shared" si="1"/>
        <v/>
      </c>
      <c r="AX4140" s="83" t="str">
        <f t="array" ref="AX4140">IFERROR(DGET('SBV Import'!A:G,"SBV",{"RSC ID","Tier";B4140,A4140}))</f>
        <v/>
      </c>
      <c r="AY4140" s="82" t="str">
        <f t="shared" si="2"/>
        <v/>
      </c>
      <c r="AZ4140" s="82"/>
      <c r="BA4140" s="84" t="s">
        <v>152</v>
      </c>
      <c r="BB4140" s="84" t="str">
        <f>IFERROR(__xludf.DUMMYFUNCTION("iferror(if(A4140="""",,E4140&gt;=FILTER(Constants!$F$2:$F$10,Constants!$A$2:$A$10=A4140)))"),"")</f>
        <v/>
      </c>
    </row>
    <row r="4141">
      <c r="A4141" s="89"/>
      <c r="B4141" s="87"/>
      <c r="C4141" s="73"/>
      <c r="D4141" s="73"/>
      <c r="E4141" s="82"/>
      <c r="F4141" s="82"/>
      <c r="G4141" s="86"/>
      <c r="H4141" s="86"/>
      <c r="I4141" s="86"/>
      <c r="J4141" s="82"/>
      <c r="K4141" s="82"/>
      <c r="L4141" s="82"/>
      <c r="M4141" s="82"/>
      <c r="N4141" s="82"/>
      <c r="O4141" s="82"/>
      <c r="P4141" s="82"/>
      <c r="Q4141" s="82"/>
      <c r="R4141" s="82"/>
      <c r="S4141" s="82"/>
      <c r="T4141" s="82"/>
      <c r="U4141" s="82"/>
      <c r="V4141" s="82"/>
      <c r="W4141" s="82"/>
      <c r="X4141" s="82"/>
      <c r="Y4141" s="82"/>
      <c r="Z4141" s="82"/>
      <c r="AA4141" s="82"/>
      <c r="AB4141" s="82"/>
      <c r="AC4141" s="82"/>
      <c r="AD4141" s="82"/>
      <c r="AE4141" s="82"/>
      <c r="AF4141" s="82"/>
      <c r="AG4141" s="82"/>
      <c r="AH4141" s="82"/>
      <c r="AI4141" s="82"/>
      <c r="AJ4141" s="82"/>
      <c r="AK4141" s="82"/>
      <c r="AL4141" s="82"/>
      <c r="AM4141" s="82"/>
      <c r="AN4141" s="82">
        <f>IFERROR(__xludf.DUMMYFUNCTION("""COMPUTED_VALUE"""),0.0)</f>
        <v>0</v>
      </c>
      <c r="AO4141" s="82">
        <f>IFERROR(__xludf.DUMMYFUNCTION("""COMPUTED_VALUE"""),0.0)</f>
        <v>0</v>
      </c>
      <c r="AP4141" s="82">
        <f>IFERROR(__xludf.DUMMYFUNCTION("""COMPUTED_VALUE"""),0.0)</f>
        <v>0</v>
      </c>
      <c r="AQ4141" s="82">
        <f>IFERROR(__xludf.DUMMYFUNCTION("""COMPUTED_VALUE"""),0.0)</f>
        <v>0</v>
      </c>
      <c r="AR4141" s="82">
        <f>IFERROR(__xludf.DUMMYFUNCTION("""COMPUTED_VALUE"""),0.0)</f>
        <v>0</v>
      </c>
      <c r="AS4141" s="82"/>
      <c r="AT4141" s="82">
        <f>IFERROR(__xludf.DUMMYFUNCTION("""COMPUTED_VALUE"""),0.0)</f>
        <v>0</v>
      </c>
      <c r="AU4141" s="82"/>
      <c r="AV4141" s="82"/>
      <c r="AW4141" s="82" t="str">
        <f t="shared" si="1"/>
        <v/>
      </c>
      <c r="AX4141" s="83" t="str">
        <f t="array" ref="AX4141">IFERROR(DGET('SBV Import'!A:G,"SBV",{"RSC ID","Tier";B4141,A4141}))</f>
        <v/>
      </c>
      <c r="AY4141" s="82" t="str">
        <f t="shared" si="2"/>
        <v/>
      </c>
      <c r="AZ4141" s="82"/>
      <c r="BA4141" s="84" t="s">
        <v>152</v>
      </c>
      <c r="BB4141" s="84" t="str">
        <f>IFERROR(__xludf.DUMMYFUNCTION("iferror(if(A4141="""",,E4141&gt;=FILTER(Constants!$F$2:$F$10,Constants!$A$2:$A$10=A4141)))"),"")</f>
        <v/>
      </c>
    </row>
    <row r="4142">
      <c r="A4142" s="89"/>
      <c r="B4142" s="87"/>
      <c r="C4142" s="73"/>
      <c r="D4142" s="73"/>
      <c r="E4142" s="82"/>
      <c r="F4142" s="82"/>
      <c r="G4142" s="86"/>
      <c r="H4142" s="86"/>
      <c r="I4142" s="86"/>
      <c r="J4142" s="82"/>
      <c r="K4142" s="82"/>
      <c r="L4142" s="82"/>
      <c r="M4142" s="82"/>
      <c r="N4142" s="82"/>
      <c r="O4142" s="82"/>
      <c r="P4142" s="82"/>
      <c r="Q4142" s="82"/>
      <c r="R4142" s="82"/>
      <c r="S4142" s="82"/>
      <c r="T4142" s="82"/>
      <c r="U4142" s="82"/>
      <c r="V4142" s="82"/>
      <c r="W4142" s="82"/>
      <c r="X4142" s="82"/>
      <c r="Y4142" s="82"/>
      <c r="Z4142" s="82"/>
      <c r="AA4142" s="82"/>
      <c r="AB4142" s="82"/>
      <c r="AC4142" s="82"/>
      <c r="AD4142" s="82"/>
      <c r="AE4142" s="82"/>
      <c r="AF4142" s="82"/>
      <c r="AG4142" s="82"/>
      <c r="AH4142" s="82"/>
      <c r="AI4142" s="82"/>
      <c r="AJ4142" s="82"/>
      <c r="AK4142" s="82"/>
      <c r="AL4142" s="82"/>
      <c r="AM4142" s="82"/>
      <c r="AN4142" s="82">
        <f>IFERROR(__xludf.DUMMYFUNCTION("""COMPUTED_VALUE"""),0.0)</f>
        <v>0</v>
      </c>
      <c r="AO4142" s="82">
        <f>IFERROR(__xludf.DUMMYFUNCTION("""COMPUTED_VALUE"""),0.0)</f>
        <v>0</v>
      </c>
      <c r="AP4142" s="82">
        <f>IFERROR(__xludf.DUMMYFUNCTION("""COMPUTED_VALUE"""),0.0)</f>
        <v>0</v>
      </c>
      <c r="AQ4142" s="82">
        <f>IFERROR(__xludf.DUMMYFUNCTION("""COMPUTED_VALUE"""),0.0)</f>
        <v>0</v>
      </c>
      <c r="AR4142" s="82">
        <f>IFERROR(__xludf.DUMMYFUNCTION("""COMPUTED_VALUE"""),0.0)</f>
        <v>0</v>
      </c>
      <c r="AS4142" s="82"/>
      <c r="AT4142" s="82">
        <f>IFERROR(__xludf.DUMMYFUNCTION("""COMPUTED_VALUE"""),0.0)</f>
        <v>0</v>
      </c>
      <c r="AU4142" s="82"/>
      <c r="AV4142" s="82"/>
      <c r="AW4142" s="82" t="str">
        <f t="shared" si="1"/>
        <v/>
      </c>
      <c r="AX4142" s="83" t="str">
        <f t="array" ref="AX4142">IFERROR(DGET('SBV Import'!A:G,"SBV",{"RSC ID","Tier";B4142,A4142}))</f>
        <v/>
      </c>
      <c r="AY4142" s="82" t="str">
        <f t="shared" si="2"/>
        <v/>
      </c>
      <c r="AZ4142" s="82"/>
      <c r="BA4142" s="84" t="s">
        <v>152</v>
      </c>
      <c r="BB4142" s="84" t="str">
        <f>IFERROR(__xludf.DUMMYFUNCTION("iferror(if(A4142="""",,E4142&gt;=FILTER(Constants!$F$2:$F$10,Constants!$A$2:$A$10=A4142)))"),"")</f>
        <v/>
      </c>
    </row>
    <row r="4143">
      <c r="A4143" s="89"/>
      <c r="B4143" s="87"/>
      <c r="C4143" s="73"/>
      <c r="D4143" s="73"/>
      <c r="E4143" s="82"/>
      <c r="F4143" s="82"/>
      <c r="G4143" s="86"/>
      <c r="H4143" s="86"/>
      <c r="I4143" s="86"/>
      <c r="J4143" s="82"/>
      <c r="K4143" s="82"/>
      <c r="L4143" s="82"/>
      <c r="M4143" s="82"/>
      <c r="N4143" s="82"/>
      <c r="O4143" s="82"/>
      <c r="P4143" s="82"/>
      <c r="Q4143" s="82"/>
      <c r="R4143" s="82"/>
      <c r="S4143" s="82"/>
      <c r="T4143" s="82"/>
      <c r="U4143" s="82"/>
      <c r="V4143" s="82"/>
      <c r="W4143" s="82"/>
      <c r="X4143" s="82"/>
      <c r="Y4143" s="82"/>
      <c r="Z4143" s="82"/>
      <c r="AA4143" s="82"/>
      <c r="AB4143" s="82"/>
      <c r="AC4143" s="82"/>
      <c r="AD4143" s="82"/>
      <c r="AE4143" s="82"/>
      <c r="AF4143" s="82"/>
      <c r="AG4143" s="82"/>
      <c r="AH4143" s="82"/>
      <c r="AI4143" s="82"/>
      <c r="AJ4143" s="82"/>
      <c r="AK4143" s="82"/>
      <c r="AL4143" s="82"/>
      <c r="AM4143" s="82"/>
      <c r="AN4143" s="82">
        <f>IFERROR(__xludf.DUMMYFUNCTION("""COMPUTED_VALUE"""),0.0)</f>
        <v>0</v>
      </c>
      <c r="AO4143" s="82">
        <f>IFERROR(__xludf.DUMMYFUNCTION("""COMPUTED_VALUE"""),0.0)</f>
        <v>0</v>
      </c>
      <c r="AP4143" s="82">
        <f>IFERROR(__xludf.DUMMYFUNCTION("""COMPUTED_VALUE"""),0.0)</f>
        <v>0</v>
      </c>
      <c r="AQ4143" s="82">
        <f>IFERROR(__xludf.DUMMYFUNCTION("""COMPUTED_VALUE"""),0.0)</f>
        <v>0</v>
      </c>
      <c r="AR4143" s="82">
        <f>IFERROR(__xludf.DUMMYFUNCTION("""COMPUTED_VALUE"""),0.0)</f>
        <v>0</v>
      </c>
      <c r="AS4143" s="82"/>
      <c r="AT4143" s="82">
        <f>IFERROR(__xludf.DUMMYFUNCTION("""COMPUTED_VALUE"""),0.0)</f>
        <v>0</v>
      </c>
      <c r="AU4143" s="82"/>
      <c r="AV4143" s="82"/>
      <c r="AW4143" s="82" t="str">
        <f t="shared" si="1"/>
        <v/>
      </c>
      <c r="AX4143" s="83" t="str">
        <f t="array" ref="AX4143">IFERROR(DGET('SBV Import'!A:G,"SBV",{"RSC ID","Tier";B4143,A4143}))</f>
        <v/>
      </c>
      <c r="AY4143" s="82" t="str">
        <f t="shared" si="2"/>
        <v/>
      </c>
      <c r="AZ4143" s="82"/>
      <c r="BA4143" s="84" t="s">
        <v>152</v>
      </c>
      <c r="BB4143" s="84" t="str">
        <f>IFERROR(__xludf.DUMMYFUNCTION("iferror(if(A4143="""",,E4143&gt;=FILTER(Constants!$F$2:$F$10,Constants!$A$2:$A$10=A4143)))"),"")</f>
        <v/>
      </c>
    </row>
    <row r="4144">
      <c r="A4144" s="89"/>
      <c r="B4144" s="87"/>
      <c r="C4144" s="73"/>
      <c r="D4144" s="73"/>
      <c r="E4144" s="82"/>
      <c r="F4144" s="82"/>
      <c r="G4144" s="86"/>
      <c r="H4144" s="86"/>
      <c r="I4144" s="86"/>
      <c r="J4144" s="82"/>
      <c r="K4144" s="82"/>
      <c r="L4144" s="82"/>
      <c r="M4144" s="82"/>
      <c r="N4144" s="82"/>
      <c r="O4144" s="82"/>
      <c r="P4144" s="82"/>
      <c r="Q4144" s="82"/>
      <c r="R4144" s="82"/>
      <c r="S4144" s="82"/>
      <c r="T4144" s="82"/>
      <c r="U4144" s="82"/>
      <c r="V4144" s="82"/>
      <c r="W4144" s="82"/>
      <c r="X4144" s="82"/>
      <c r="Y4144" s="82"/>
      <c r="Z4144" s="82"/>
      <c r="AA4144" s="82"/>
      <c r="AB4144" s="82"/>
      <c r="AC4144" s="82"/>
      <c r="AD4144" s="82"/>
      <c r="AE4144" s="82"/>
      <c r="AF4144" s="82"/>
      <c r="AG4144" s="82"/>
      <c r="AH4144" s="82"/>
      <c r="AI4144" s="82"/>
      <c r="AJ4144" s="82"/>
      <c r="AK4144" s="82"/>
      <c r="AL4144" s="82"/>
      <c r="AM4144" s="82"/>
      <c r="AN4144" s="82">
        <f>IFERROR(__xludf.DUMMYFUNCTION("""COMPUTED_VALUE"""),0.0)</f>
        <v>0</v>
      </c>
      <c r="AO4144" s="82">
        <f>IFERROR(__xludf.DUMMYFUNCTION("""COMPUTED_VALUE"""),0.0)</f>
        <v>0</v>
      </c>
      <c r="AP4144" s="82">
        <f>IFERROR(__xludf.DUMMYFUNCTION("""COMPUTED_VALUE"""),0.0)</f>
        <v>0</v>
      </c>
      <c r="AQ4144" s="82">
        <f>IFERROR(__xludf.DUMMYFUNCTION("""COMPUTED_VALUE"""),0.0)</f>
        <v>0</v>
      </c>
      <c r="AR4144" s="82">
        <f>IFERROR(__xludf.DUMMYFUNCTION("""COMPUTED_VALUE"""),0.0)</f>
        <v>0</v>
      </c>
      <c r="AS4144" s="82"/>
      <c r="AT4144" s="82">
        <f>IFERROR(__xludf.DUMMYFUNCTION("""COMPUTED_VALUE"""),0.0)</f>
        <v>0</v>
      </c>
      <c r="AU4144" s="82"/>
      <c r="AV4144" s="82"/>
      <c r="AW4144" s="82" t="str">
        <f t="shared" si="1"/>
        <v/>
      </c>
      <c r="AX4144" s="83" t="str">
        <f t="array" ref="AX4144">IFERROR(DGET('SBV Import'!A:G,"SBV",{"RSC ID","Tier";B4144,A4144}))</f>
        <v/>
      </c>
      <c r="AY4144" s="82" t="str">
        <f t="shared" si="2"/>
        <v/>
      </c>
      <c r="AZ4144" s="82"/>
      <c r="BA4144" s="84" t="s">
        <v>152</v>
      </c>
      <c r="BB4144" s="84" t="str">
        <f>IFERROR(__xludf.DUMMYFUNCTION("iferror(if(A4144="""",,E4144&gt;=FILTER(Constants!$F$2:$F$10,Constants!$A$2:$A$10=A4144)))"),"")</f>
        <v/>
      </c>
    </row>
    <row r="4145">
      <c r="A4145" s="89"/>
      <c r="B4145" s="87"/>
      <c r="C4145" s="73"/>
      <c r="D4145" s="73"/>
      <c r="E4145" s="82"/>
      <c r="F4145" s="82"/>
      <c r="G4145" s="86"/>
      <c r="H4145" s="86"/>
      <c r="I4145" s="86"/>
      <c r="J4145" s="82"/>
      <c r="K4145" s="82"/>
      <c r="L4145" s="82"/>
      <c r="M4145" s="82"/>
      <c r="N4145" s="82"/>
      <c r="O4145" s="82"/>
      <c r="P4145" s="82"/>
      <c r="Q4145" s="82"/>
      <c r="R4145" s="82"/>
      <c r="S4145" s="82"/>
      <c r="T4145" s="82"/>
      <c r="U4145" s="82"/>
      <c r="V4145" s="82"/>
      <c r="W4145" s="82"/>
      <c r="X4145" s="82"/>
      <c r="Y4145" s="82"/>
      <c r="Z4145" s="82"/>
      <c r="AA4145" s="82"/>
      <c r="AB4145" s="82"/>
      <c r="AC4145" s="82"/>
      <c r="AD4145" s="82"/>
      <c r="AE4145" s="82"/>
      <c r="AF4145" s="82"/>
      <c r="AG4145" s="82"/>
      <c r="AH4145" s="82"/>
      <c r="AI4145" s="82"/>
      <c r="AJ4145" s="82"/>
      <c r="AK4145" s="82"/>
      <c r="AL4145" s="82"/>
      <c r="AM4145" s="82"/>
      <c r="AN4145" s="82">
        <f>IFERROR(__xludf.DUMMYFUNCTION("""COMPUTED_VALUE"""),0.0)</f>
        <v>0</v>
      </c>
      <c r="AO4145" s="82">
        <f>IFERROR(__xludf.DUMMYFUNCTION("""COMPUTED_VALUE"""),0.0)</f>
        <v>0</v>
      </c>
      <c r="AP4145" s="82">
        <f>IFERROR(__xludf.DUMMYFUNCTION("""COMPUTED_VALUE"""),0.0)</f>
        <v>0</v>
      </c>
      <c r="AQ4145" s="82">
        <f>IFERROR(__xludf.DUMMYFUNCTION("""COMPUTED_VALUE"""),0.0)</f>
        <v>0</v>
      </c>
      <c r="AR4145" s="82">
        <f>IFERROR(__xludf.DUMMYFUNCTION("""COMPUTED_VALUE"""),0.0)</f>
        <v>0</v>
      </c>
      <c r="AS4145" s="82"/>
      <c r="AT4145" s="82">
        <f>IFERROR(__xludf.DUMMYFUNCTION("""COMPUTED_VALUE"""),0.0)</f>
        <v>0</v>
      </c>
      <c r="AU4145" s="82"/>
      <c r="AV4145" s="82"/>
      <c r="AW4145" s="82" t="str">
        <f t="shared" si="1"/>
        <v/>
      </c>
      <c r="AX4145" s="83" t="str">
        <f t="array" ref="AX4145">IFERROR(DGET('SBV Import'!A:G,"SBV",{"RSC ID","Tier";B4145,A4145}))</f>
        <v/>
      </c>
      <c r="AY4145" s="82" t="str">
        <f t="shared" si="2"/>
        <v/>
      </c>
      <c r="AZ4145" s="82"/>
      <c r="BA4145" s="84" t="s">
        <v>152</v>
      </c>
      <c r="BB4145" s="84" t="str">
        <f>IFERROR(__xludf.DUMMYFUNCTION("iferror(if(A4145="""",,E4145&gt;=FILTER(Constants!$F$2:$F$10,Constants!$A$2:$A$10=A4145)))"),"")</f>
        <v/>
      </c>
    </row>
    <row r="4146">
      <c r="A4146" s="89"/>
      <c r="B4146" s="87"/>
      <c r="C4146" s="73"/>
      <c r="D4146" s="73"/>
      <c r="E4146" s="82"/>
      <c r="F4146" s="82"/>
      <c r="G4146" s="86"/>
      <c r="H4146" s="86"/>
      <c r="I4146" s="86"/>
      <c r="J4146" s="82"/>
      <c r="K4146" s="82"/>
      <c r="L4146" s="82"/>
      <c r="M4146" s="82"/>
      <c r="N4146" s="82"/>
      <c r="O4146" s="82"/>
      <c r="P4146" s="82"/>
      <c r="Q4146" s="82"/>
      <c r="R4146" s="82"/>
      <c r="S4146" s="82"/>
      <c r="T4146" s="82"/>
      <c r="U4146" s="82"/>
      <c r="V4146" s="82"/>
      <c r="W4146" s="82"/>
      <c r="X4146" s="82"/>
      <c r="Y4146" s="82"/>
      <c r="Z4146" s="82"/>
      <c r="AA4146" s="82"/>
      <c r="AB4146" s="82"/>
      <c r="AC4146" s="82"/>
      <c r="AD4146" s="82"/>
      <c r="AE4146" s="82"/>
      <c r="AF4146" s="82"/>
      <c r="AG4146" s="82"/>
      <c r="AH4146" s="82"/>
      <c r="AI4146" s="82"/>
      <c r="AJ4146" s="82"/>
      <c r="AK4146" s="82"/>
      <c r="AL4146" s="82"/>
      <c r="AM4146" s="82"/>
      <c r="AN4146" s="82">
        <f>IFERROR(__xludf.DUMMYFUNCTION("""COMPUTED_VALUE"""),0.0)</f>
        <v>0</v>
      </c>
      <c r="AO4146" s="82">
        <f>IFERROR(__xludf.DUMMYFUNCTION("""COMPUTED_VALUE"""),0.0)</f>
        <v>0</v>
      </c>
      <c r="AP4146" s="82">
        <f>IFERROR(__xludf.DUMMYFUNCTION("""COMPUTED_VALUE"""),0.0)</f>
        <v>0</v>
      </c>
      <c r="AQ4146" s="82">
        <f>IFERROR(__xludf.DUMMYFUNCTION("""COMPUTED_VALUE"""),0.0)</f>
        <v>0</v>
      </c>
      <c r="AR4146" s="82">
        <f>IFERROR(__xludf.DUMMYFUNCTION("""COMPUTED_VALUE"""),0.0)</f>
        <v>0</v>
      </c>
      <c r="AS4146" s="82"/>
      <c r="AT4146" s="82">
        <f>IFERROR(__xludf.DUMMYFUNCTION("""COMPUTED_VALUE"""),0.0)</f>
        <v>0</v>
      </c>
      <c r="AU4146" s="82"/>
      <c r="AV4146" s="82"/>
      <c r="AW4146" s="82" t="str">
        <f t="shared" si="1"/>
        <v/>
      </c>
      <c r="AX4146" s="83" t="str">
        <f t="array" ref="AX4146">IFERROR(DGET('SBV Import'!A:G,"SBV",{"RSC ID","Tier";B4146,A4146}))</f>
        <v/>
      </c>
      <c r="AY4146" s="82" t="str">
        <f t="shared" si="2"/>
        <v/>
      </c>
      <c r="AZ4146" s="82"/>
      <c r="BA4146" s="84" t="s">
        <v>152</v>
      </c>
      <c r="BB4146" s="84" t="str">
        <f>IFERROR(__xludf.DUMMYFUNCTION("iferror(if(A4146="""",,E4146&gt;=FILTER(Constants!$F$2:$F$10,Constants!$A$2:$A$10=A4146)))"),"")</f>
        <v/>
      </c>
    </row>
    <row r="4147">
      <c r="A4147" s="89"/>
      <c r="B4147" s="87"/>
      <c r="C4147" s="73"/>
      <c r="D4147" s="73"/>
      <c r="E4147" s="82"/>
      <c r="F4147" s="82"/>
      <c r="G4147" s="86"/>
      <c r="H4147" s="86"/>
      <c r="I4147" s="86"/>
      <c r="J4147" s="82"/>
      <c r="K4147" s="82"/>
      <c r="L4147" s="82"/>
      <c r="M4147" s="82"/>
      <c r="N4147" s="82"/>
      <c r="O4147" s="82"/>
      <c r="P4147" s="82"/>
      <c r="Q4147" s="82"/>
      <c r="R4147" s="82"/>
      <c r="S4147" s="82"/>
      <c r="T4147" s="82"/>
      <c r="U4147" s="82"/>
      <c r="V4147" s="82"/>
      <c r="W4147" s="82"/>
      <c r="X4147" s="82"/>
      <c r="Y4147" s="82"/>
      <c r="Z4147" s="82"/>
      <c r="AA4147" s="82"/>
      <c r="AB4147" s="82"/>
      <c r="AC4147" s="82"/>
      <c r="AD4147" s="82"/>
      <c r="AE4147" s="82"/>
      <c r="AF4147" s="82"/>
      <c r="AG4147" s="82"/>
      <c r="AH4147" s="82"/>
      <c r="AI4147" s="82"/>
      <c r="AJ4147" s="82"/>
      <c r="AK4147" s="82"/>
      <c r="AL4147" s="82"/>
      <c r="AM4147" s="82"/>
      <c r="AN4147" s="82">
        <f>IFERROR(__xludf.DUMMYFUNCTION("""COMPUTED_VALUE"""),0.0)</f>
        <v>0</v>
      </c>
      <c r="AO4147" s="82">
        <f>IFERROR(__xludf.DUMMYFUNCTION("""COMPUTED_VALUE"""),0.0)</f>
        <v>0</v>
      </c>
      <c r="AP4147" s="82">
        <f>IFERROR(__xludf.DUMMYFUNCTION("""COMPUTED_VALUE"""),0.0)</f>
        <v>0</v>
      </c>
      <c r="AQ4147" s="82">
        <f>IFERROR(__xludf.DUMMYFUNCTION("""COMPUTED_VALUE"""),0.0)</f>
        <v>0</v>
      </c>
      <c r="AR4147" s="82">
        <f>IFERROR(__xludf.DUMMYFUNCTION("""COMPUTED_VALUE"""),0.0)</f>
        <v>0</v>
      </c>
      <c r="AS4147" s="82"/>
      <c r="AT4147" s="82">
        <f>IFERROR(__xludf.DUMMYFUNCTION("""COMPUTED_VALUE"""),0.0)</f>
        <v>0</v>
      </c>
      <c r="AU4147" s="82"/>
      <c r="AV4147" s="82"/>
      <c r="AW4147" s="82" t="str">
        <f t="shared" si="1"/>
        <v/>
      </c>
      <c r="AX4147" s="83" t="str">
        <f t="array" ref="AX4147">IFERROR(DGET('SBV Import'!A:G,"SBV",{"RSC ID","Tier";B4147,A4147}))</f>
        <v/>
      </c>
      <c r="AY4147" s="82" t="str">
        <f t="shared" si="2"/>
        <v/>
      </c>
      <c r="AZ4147" s="82"/>
      <c r="BA4147" s="84" t="s">
        <v>152</v>
      </c>
      <c r="BB4147" s="84" t="str">
        <f>IFERROR(__xludf.DUMMYFUNCTION("iferror(if(A4147="""",,E4147&gt;=FILTER(Constants!$F$2:$F$10,Constants!$A$2:$A$10=A4147)))"),"")</f>
        <v/>
      </c>
    </row>
    <row r="4148">
      <c r="A4148" s="89"/>
      <c r="B4148" s="87"/>
      <c r="C4148" s="73"/>
      <c r="D4148" s="73"/>
      <c r="E4148" s="82"/>
      <c r="F4148" s="82"/>
      <c r="G4148" s="86"/>
      <c r="H4148" s="86"/>
      <c r="I4148" s="86"/>
      <c r="J4148" s="82"/>
      <c r="K4148" s="82"/>
      <c r="L4148" s="82"/>
      <c r="M4148" s="82"/>
      <c r="N4148" s="82"/>
      <c r="O4148" s="82"/>
      <c r="P4148" s="82"/>
      <c r="Q4148" s="82"/>
      <c r="R4148" s="82"/>
      <c r="S4148" s="82"/>
      <c r="T4148" s="82"/>
      <c r="U4148" s="82"/>
      <c r="V4148" s="82"/>
      <c r="W4148" s="82"/>
      <c r="X4148" s="82"/>
      <c r="Y4148" s="82"/>
      <c r="Z4148" s="82"/>
      <c r="AA4148" s="82"/>
      <c r="AB4148" s="82"/>
      <c r="AC4148" s="82"/>
      <c r="AD4148" s="82"/>
      <c r="AE4148" s="82"/>
      <c r="AF4148" s="82"/>
      <c r="AG4148" s="82"/>
      <c r="AH4148" s="82"/>
      <c r="AI4148" s="82"/>
      <c r="AJ4148" s="82"/>
      <c r="AK4148" s="82"/>
      <c r="AL4148" s="82"/>
      <c r="AM4148" s="82"/>
      <c r="AN4148" s="82">
        <f>IFERROR(__xludf.DUMMYFUNCTION("""COMPUTED_VALUE"""),0.0)</f>
        <v>0</v>
      </c>
      <c r="AO4148" s="82">
        <f>IFERROR(__xludf.DUMMYFUNCTION("""COMPUTED_VALUE"""),0.0)</f>
        <v>0</v>
      </c>
      <c r="AP4148" s="82">
        <f>IFERROR(__xludf.DUMMYFUNCTION("""COMPUTED_VALUE"""),0.0)</f>
        <v>0</v>
      </c>
      <c r="AQ4148" s="82">
        <f>IFERROR(__xludf.DUMMYFUNCTION("""COMPUTED_VALUE"""),0.0)</f>
        <v>0</v>
      </c>
      <c r="AR4148" s="82">
        <f>IFERROR(__xludf.DUMMYFUNCTION("""COMPUTED_VALUE"""),0.0)</f>
        <v>0</v>
      </c>
      <c r="AS4148" s="82"/>
      <c r="AT4148" s="82">
        <f>IFERROR(__xludf.DUMMYFUNCTION("""COMPUTED_VALUE"""),0.0)</f>
        <v>0</v>
      </c>
      <c r="AU4148" s="82"/>
      <c r="AV4148" s="82"/>
      <c r="AW4148" s="82" t="str">
        <f t="shared" si="1"/>
        <v/>
      </c>
      <c r="AX4148" s="83" t="str">
        <f t="array" ref="AX4148">IFERROR(DGET('SBV Import'!A:G,"SBV",{"RSC ID","Tier";B4148,A4148}))</f>
        <v/>
      </c>
      <c r="AY4148" s="82" t="str">
        <f t="shared" si="2"/>
        <v/>
      </c>
      <c r="AZ4148" s="82"/>
      <c r="BA4148" s="84" t="s">
        <v>152</v>
      </c>
      <c r="BB4148" s="84" t="str">
        <f>IFERROR(__xludf.DUMMYFUNCTION("iferror(if(A4148="""",,E4148&gt;=FILTER(Constants!$F$2:$F$10,Constants!$A$2:$A$10=A4148)))"),"")</f>
        <v/>
      </c>
    </row>
    <row r="4149">
      <c r="A4149" s="89"/>
      <c r="B4149" s="87"/>
      <c r="C4149" s="73"/>
      <c r="D4149" s="73"/>
      <c r="E4149" s="82"/>
      <c r="F4149" s="82"/>
      <c r="G4149" s="86"/>
      <c r="H4149" s="86"/>
      <c r="I4149" s="86"/>
      <c r="J4149" s="82"/>
      <c r="K4149" s="82"/>
      <c r="L4149" s="82"/>
      <c r="M4149" s="82"/>
      <c r="N4149" s="82"/>
      <c r="O4149" s="82"/>
      <c r="P4149" s="82"/>
      <c r="Q4149" s="82"/>
      <c r="R4149" s="82"/>
      <c r="S4149" s="82"/>
      <c r="T4149" s="82"/>
      <c r="U4149" s="82"/>
      <c r="V4149" s="82"/>
      <c r="W4149" s="82"/>
      <c r="X4149" s="82"/>
      <c r="Y4149" s="82"/>
      <c r="Z4149" s="82"/>
      <c r="AA4149" s="82"/>
      <c r="AB4149" s="82"/>
      <c r="AC4149" s="82"/>
      <c r="AD4149" s="82"/>
      <c r="AE4149" s="82"/>
      <c r="AF4149" s="82"/>
      <c r="AG4149" s="82"/>
      <c r="AH4149" s="82"/>
      <c r="AI4149" s="82"/>
      <c r="AJ4149" s="82"/>
      <c r="AK4149" s="82"/>
      <c r="AL4149" s="82"/>
      <c r="AM4149" s="82"/>
      <c r="AN4149" s="82">
        <f>IFERROR(__xludf.DUMMYFUNCTION("""COMPUTED_VALUE"""),0.0)</f>
        <v>0</v>
      </c>
      <c r="AO4149" s="82">
        <f>IFERROR(__xludf.DUMMYFUNCTION("""COMPUTED_VALUE"""),0.0)</f>
        <v>0</v>
      </c>
      <c r="AP4149" s="82">
        <f>IFERROR(__xludf.DUMMYFUNCTION("""COMPUTED_VALUE"""),0.0)</f>
        <v>0</v>
      </c>
      <c r="AQ4149" s="82">
        <f>IFERROR(__xludf.DUMMYFUNCTION("""COMPUTED_VALUE"""),0.0)</f>
        <v>0</v>
      </c>
      <c r="AR4149" s="82">
        <f>IFERROR(__xludf.DUMMYFUNCTION("""COMPUTED_VALUE"""),0.0)</f>
        <v>0</v>
      </c>
      <c r="AS4149" s="82"/>
      <c r="AT4149" s="82">
        <f>IFERROR(__xludf.DUMMYFUNCTION("""COMPUTED_VALUE"""),0.0)</f>
        <v>0</v>
      </c>
      <c r="AU4149" s="82"/>
      <c r="AV4149" s="82"/>
      <c r="AW4149" s="82" t="str">
        <f t="shared" si="1"/>
        <v/>
      </c>
      <c r="AX4149" s="83" t="str">
        <f t="array" ref="AX4149">IFERROR(DGET('SBV Import'!A:G,"SBV",{"RSC ID","Tier";B4149,A4149}))</f>
        <v/>
      </c>
      <c r="AY4149" s="82" t="str">
        <f t="shared" si="2"/>
        <v/>
      </c>
      <c r="AZ4149" s="82"/>
      <c r="BA4149" s="84" t="s">
        <v>152</v>
      </c>
      <c r="BB4149" s="84" t="str">
        <f>IFERROR(__xludf.DUMMYFUNCTION("iferror(if(A4149="""",,E4149&gt;=FILTER(Constants!$F$2:$F$10,Constants!$A$2:$A$10=A4149)))"),"")</f>
        <v/>
      </c>
    </row>
    <row r="4150">
      <c r="A4150" s="89"/>
      <c r="B4150" s="87"/>
      <c r="C4150" s="73"/>
      <c r="D4150" s="73"/>
      <c r="E4150" s="82"/>
      <c r="F4150" s="82"/>
      <c r="G4150" s="86"/>
      <c r="H4150" s="86"/>
      <c r="I4150" s="86"/>
      <c r="J4150" s="82"/>
      <c r="K4150" s="82"/>
      <c r="L4150" s="82"/>
      <c r="M4150" s="82"/>
      <c r="N4150" s="82"/>
      <c r="O4150" s="82"/>
      <c r="P4150" s="82"/>
      <c r="Q4150" s="82"/>
      <c r="R4150" s="82"/>
      <c r="S4150" s="82"/>
      <c r="T4150" s="82"/>
      <c r="U4150" s="82"/>
      <c r="V4150" s="82"/>
      <c r="W4150" s="82"/>
      <c r="X4150" s="82"/>
      <c r="Y4150" s="82"/>
      <c r="Z4150" s="82"/>
      <c r="AA4150" s="82"/>
      <c r="AB4150" s="82"/>
      <c r="AC4150" s="82"/>
      <c r="AD4150" s="82"/>
      <c r="AE4150" s="82"/>
      <c r="AF4150" s="82"/>
      <c r="AG4150" s="82"/>
      <c r="AH4150" s="82"/>
      <c r="AI4150" s="82"/>
      <c r="AJ4150" s="82"/>
      <c r="AK4150" s="82"/>
      <c r="AL4150" s="82"/>
      <c r="AM4150" s="82"/>
      <c r="AN4150" s="82">
        <f>IFERROR(__xludf.DUMMYFUNCTION("""COMPUTED_VALUE"""),0.0)</f>
        <v>0</v>
      </c>
      <c r="AO4150" s="82">
        <f>IFERROR(__xludf.DUMMYFUNCTION("""COMPUTED_VALUE"""),0.0)</f>
        <v>0</v>
      </c>
      <c r="AP4150" s="82">
        <f>IFERROR(__xludf.DUMMYFUNCTION("""COMPUTED_VALUE"""),0.0)</f>
        <v>0</v>
      </c>
      <c r="AQ4150" s="82">
        <f>IFERROR(__xludf.DUMMYFUNCTION("""COMPUTED_VALUE"""),0.0)</f>
        <v>0</v>
      </c>
      <c r="AR4150" s="82">
        <f>IFERROR(__xludf.DUMMYFUNCTION("""COMPUTED_VALUE"""),0.0)</f>
        <v>0</v>
      </c>
      <c r="AS4150" s="82"/>
      <c r="AT4150" s="82">
        <f>IFERROR(__xludf.DUMMYFUNCTION("""COMPUTED_VALUE"""),0.0)</f>
        <v>0</v>
      </c>
      <c r="AU4150" s="82"/>
      <c r="AV4150" s="82"/>
      <c r="AW4150" s="82" t="str">
        <f t="shared" si="1"/>
        <v/>
      </c>
      <c r="AX4150" s="83" t="str">
        <f t="array" ref="AX4150">IFERROR(DGET('SBV Import'!A:G,"SBV",{"RSC ID","Tier";B4150,A4150}))</f>
        <v/>
      </c>
      <c r="AY4150" s="82" t="str">
        <f t="shared" si="2"/>
        <v/>
      </c>
      <c r="AZ4150" s="82"/>
      <c r="BA4150" s="84" t="s">
        <v>152</v>
      </c>
      <c r="BB4150" s="84" t="str">
        <f>IFERROR(__xludf.DUMMYFUNCTION("iferror(if(A4150="""",,E4150&gt;=FILTER(Constants!$F$2:$F$10,Constants!$A$2:$A$10=A4150)))"),"")</f>
        <v/>
      </c>
    </row>
    <row r="4151">
      <c r="A4151" s="89"/>
      <c r="B4151" s="87"/>
      <c r="C4151" s="73"/>
      <c r="D4151" s="73"/>
      <c r="E4151" s="82"/>
      <c r="F4151" s="82"/>
      <c r="G4151" s="86"/>
      <c r="H4151" s="86"/>
      <c r="I4151" s="86"/>
      <c r="J4151" s="82"/>
      <c r="K4151" s="82"/>
      <c r="L4151" s="82"/>
      <c r="M4151" s="82"/>
      <c r="N4151" s="82"/>
      <c r="O4151" s="82"/>
      <c r="P4151" s="82"/>
      <c r="Q4151" s="82"/>
      <c r="R4151" s="82"/>
      <c r="S4151" s="82"/>
      <c r="T4151" s="82"/>
      <c r="U4151" s="82"/>
      <c r="V4151" s="82"/>
      <c r="W4151" s="82"/>
      <c r="X4151" s="82"/>
      <c r="Y4151" s="82"/>
      <c r="Z4151" s="82"/>
      <c r="AA4151" s="82"/>
      <c r="AB4151" s="82"/>
      <c r="AC4151" s="82"/>
      <c r="AD4151" s="82"/>
      <c r="AE4151" s="82"/>
      <c r="AF4151" s="82"/>
      <c r="AG4151" s="82"/>
      <c r="AH4151" s="82"/>
      <c r="AI4151" s="82"/>
      <c r="AJ4151" s="82"/>
      <c r="AK4151" s="82"/>
      <c r="AL4151" s="82"/>
      <c r="AM4151" s="82"/>
      <c r="AN4151" s="82">
        <f>IFERROR(__xludf.DUMMYFUNCTION("""COMPUTED_VALUE"""),0.0)</f>
        <v>0</v>
      </c>
      <c r="AO4151" s="82">
        <f>IFERROR(__xludf.DUMMYFUNCTION("""COMPUTED_VALUE"""),0.0)</f>
        <v>0</v>
      </c>
      <c r="AP4151" s="82">
        <f>IFERROR(__xludf.DUMMYFUNCTION("""COMPUTED_VALUE"""),0.0)</f>
        <v>0</v>
      </c>
      <c r="AQ4151" s="82">
        <f>IFERROR(__xludf.DUMMYFUNCTION("""COMPUTED_VALUE"""),0.0)</f>
        <v>0</v>
      </c>
      <c r="AR4151" s="82">
        <f>IFERROR(__xludf.DUMMYFUNCTION("""COMPUTED_VALUE"""),0.0)</f>
        <v>0</v>
      </c>
      <c r="AS4151" s="82"/>
      <c r="AT4151" s="82">
        <f>IFERROR(__xludf.DUMMYFUNCTION("""COMPUTED_VALUE"""),0.0)</f>
        <v>0</v>
      </c>
      <c r="AU4151" s="82"/>
      <c r="AV4151" s="82"/>
      <c r="AW4151" s="82" t="str">
        <f t="shared" si="1"/>
        <v/>
      </c>
      <c r="AX4151" s="83" t="str">
        <f t="array" ref="AX4151">IFERROR(DGET('SBV Import'!A:G,"SBV",{"RSC ID","Tier";B4151,A4151}))</f>
        <v/>
      </c>
      <c r="AY4151" s="82" t="str">
        <f t="shared" si="2"/>
        <v/>
      </c>
      <c r="AZ4151" s="82"/>
      <c r="BA4151" s="84" t="s">
        <v>152</v>
      </c>
      <c r="BB4151" s="84" t="str">
        <f>IFERROR(__xludf.DUMMYFUNCTION("iferror(if(A4151="""",,E4151&gt;=FILTER(Constants!$F$2:$F$10,Constants!$A$2:$A$10=A4151)))"),"")</f>
        <v/>
      </c>
    </row>
    <row r="4152">
      <c r="A4152" s="89"/>
      <c r="B4152" s="87"/>
      <c r="C4152" s="73"/>
      <c r="D4152" s="73"/>
      <c r="E4152" s="82"/>
      <c r="F4152" s="82"/>
      <c r="G4152" s="86"/>
      <c r="H4152" s="86"/>
      <c r="I4152" s="86"/>
      <c r="J4152" s="82"/>
      <c r="K4152" s="82"/>
      <c r="L4152" s="82"/>
      <c r="M4152" s="82"/>
      <c r="N4152" s="82"/>
      <c r="O4152" s="82"/>
      <c r="P4152" s="82"/>
      <c r="Q4152" s="82"/>
      <c r="R4152" s="82"/>
      <c r="S4152" s="82"/>
      <c r="T4152" s="82"/>
      <c r="U4152" s="82"/>
      <c r="V4152" s="82"/>
      <c r="W4152" s="82"/>
      <c r="X4152" s="82"/>
      <c r="Y4152" s="82"/>
      <c r="Z4152" s="82"/>
      <c r="AA4152" s="82"/>
      <c r="AB4152" s="82"/>
      <c r="AC4152" s="82"/>
      <c r="AD4152" s="82"/>
      <c r="AE4152" s="82"/>
      <c r="AF4152" s="82"/>
      <c r="AG4152" s="82"/>
      <c r="AH4152" s="82"/>
      <c r="AI4152" s="82"/>
      <c r="AJ4152" s="82"/>
      <c r="AK4152" s="82"/>
      <c r="AL4152" s="82"/>
      <c r="AM4152" s="82"/>
      <c r="AN4152" s="82">
        <f>IFERROR(__xludf.DUMMYFUNCTION("""COMPUTED_VALUE"""),0.0)</f>
        <v>0</v>
      </c>
      <c r="AO4152" s="82">
        <f>IFERROR(__xludf.DUMMYFUNCTION("""COMPUTED_VALUE"""),0.0)</f>
        <v>0</v>
      </c>
      <c r="AP4152" s="82">
        <f>IFERROR(__xludf.DUMMYFUNCTION("""COMPUTED_VALUE"""),0.0)</f>
        <v>0</v>
      </c>
      <c r="AQ4152" s="82">
        <f>IFERROR(__xludf.DUMMYFUNCTION("""COMPUTED_VALUE"""),0.0)</f>
        <v>0</v>
      </c>
      <c r="AR4152" s="82">
        <f>IFERROR(__xludf.DUMMYFUNCTION("""COMPUTED_VALUE"""),0.0)</f>
        <v>0</v>
      </c>
      <c r="AS4152" s="82"/>
      <c r="AT4152" s="82">
        <f>IFERROR(__xludf.DUMMYFUNCTION("""COMPUTED_VALUE"""),0.0)</f>
        <v>0</v>
      </c>
      <c r="AU4152" s="82"/>
      <c r="AV4152" s="82"/>
      <c r="AW4152" s="82" t="str">
        <f t="shared" si="1"/>
        <v/>
      </c>
      <c r="AX4152" s="83" t="str">
        <f t="array" ref="AX4152">IFERROR(DGET('SBV Import'!A:G,"SBV",{"RSC ID","Tier";B4152,A4152}))</f>
        <v/>
      </c>
      <c r="AY4152" s="82" t="str">
        <f t="shared" si="2"/>
        <v/>
      </c>
      <c r="AZ4152" s="82"/>
      <c r="BA4152" s="84" t="s">
        <v>152</v>
      </c>
      <c r="BB4152" s="84" t="str">
        <f>IFERROR(__xludf.DUMMYFUNCTION("iferror(if(A4152="""",,E4152&gt;=FILTER(Constants!$F$2:$F$10,Constants!$A$2:$A$10=A4152)))"),"")</f>
        <v/>
      </c>
    </row>
    <row r="4153">
      <c r="A4153" s="89"/>
      <c r="B4153" s="87"/>
      <c r="C4153" s="73"/>
      <c r="D4153" s="73"/>
      <c r="E4153" s="82"/>
      <c r="F4153" s="82"/>
      <c r="G4153" s="86"/>
      <c r="H4153" s="86"/>
      <c r="I4153" s="86"/>
      <c r="J4153" s="82"/>
      <c r="K4153" s="82"/>
      <c r="L4153" s="82"/>
      <c r="M4153" s="82"/>
      <c r="N4153" s="82"/>
      <c r="O4153" s="82"/>
      <c r="P4153" s="82"/>
      <c r="Q4153" s="82"/>
      <c r="R4153" s="82"/>
      <c r="S4153" s="82"/>
      <c r="T4153" s="82"/>
      <c r="U4153" s="82"/>
      <c r="V4153" s="82"/>
      <c r="W4153" s="82"/>
      <c r="X4153" s="82"/>
      <c r="Y4153" s="82"/>
      <c r="Z4153" s="82"/>
      <c r="AA4153" s="82"/>
      <c r="AB4153" s="82"/>
      <c r="AC4153" s="82"/>
      <c r="AD4153" s="82"/>
      <c r="AE4153" s="82"/>
      <c r="AF4153" s="82"/>
      <c r="AG4153" s="82"/>
      <c r="AH4153" s="82"/>
      <c r="AI4153" s="82"/>
      <c r="AJ4153" s="82"/>
      <c r="AK4153" s="82"/>
      <c r="AL4153" s="82"/>
      <c r="AM4153" s="82"/>
      <c r="AN4153" s="82">
        <f>IFERROR(__xludf.DUMMYFUNCTION("""COMPUTED_VALUE"""),0.0)</f>
        <v>0</v>
      </c>
      <c r="AO4153" s="82">
        <f>IFERROR(__xludf.DUMMYFUNCTION("""COMPUTED_VALUE"""),0.0)</f>
        <v>0</v>
      </c>
      <c r="AP4153" s="82">
        <f>IFERROR(__xludf.DUMMYFUNCTION("""COMPUTED_VALUE"""),0.0)</f>
        <v>0</v>
      </c>
      <c r="AQ4153" s="82">
        <f>IFERROR(__xludf.DUMMYFUNCTION("""COMPUTED_VALUE"""),0.0)</f>
        <v>0</v>
      </c>
      <c r="AR4153" s="82">
        <f>IFERROR(__xludf.DUMMYFUNCTION("""COMPUTED_VALUE"""),0.0)</f>
        <v>0</v>
      </c>
      <c r="AS4153" s="82"/>
      <c r="AT4153" s="82">
        <f>IFERROR(__xludf.DUMMYFUNCTION("""COMPUTED_VALUE"""),0.0)</f>
        <v>0</v>
      </c>
      <c r="AU4153" s="82"/>
      <c r="AV4153" s="82"/>
      <c r="AW4153" s="82" t="str">
        <f t="shared" si="1"/>
        <v/>
      </c>
      <c r="AX4153" s="83" t="str">
        <f t="array" ref="AX4153">IFERROR(DGET('SBV Import'!A:G,"SBV",{"RSC ID","Tier";B4153,A4153}))</f>
        <v/>
      </c>
      <c r="AY4153" s="82" t="str">
        <f t="shared" si="2"/>
        <v/>
      </c>
      <c r="AZ4153" s="82"/>
      <c r="BA4153" s="84" t="s">
        <v>152</v>
      </c>
      <c r="BB4153" s="84" t="str">
        <f>IFERROR(__xludf.DUMMYFUNCTION("iferror(if(A4153="""",,E4153&gt;=FILTER(Constants!$F$2:$F$10,Constants!$A$2:$A$10=A4153)))"),"")</f>
        <v/>
      </c>
    </row>
    <row r="4154">
      <c r="A4154" s="89"/>
      <c r="B4154" s="87"/>
      <c r="C4154" s="73"/>
      <c r="D4154" s="73"/>
      <c r="E4154" s="82"/>
      <c r="F4154" s="82"/>
      <c r="G4154" s="86"/>
      <c r="H4154" s="86"/>
      <c r="I4154" s="86"/>
      <c r="J4154" s="82"/>
      <c r="K4154" s="82"/>
      <c r="L4154" s="82"/>
      <c r="M4154" s="82"/>
      <c r="N4154" s="82"/>
      <c r="O4154" s="82"/>
      <c r="P4154" s="82"/>
      <c r="Q4154" s="82"/>
      <c r="R4154" s="82"/>
      <c r="S4154" s="82"/>
      <c r="T4154" s="82"/>
      <c r="U4154" s="82"/>
      <c r="V4154" s="82"/>
      <c r="W4154" s="82"/>
      <c r="X4154" s="82"/>
      <c r="Y4154" s="82"/>
      <c r="Z4154" s="82"/>
      <c r="AA4154" s="82"/>
      <c r="AB4154" s="82"/>
      <c r="AC4154" s="82"/>
      <c r="AD4154" s="82"/>
      <c r="AE4154" s="82"/>
      <c r="AF4154" s="82"/>
      <c r="AG4154" s="82"/>
      <c r="AH4154" s="82"/>
      <c r="AI4154" s="82"/>
      <c r="AJ4154" s="82"/>
      <c r="AK4154" s="82"/>
      <c r="AL4154" s="82"/>
      <c r="AM4154" s="82"/>
      <c r="AN4154" s="82">
        <f>IFERROR(__xludf.DUMMYFUNCTION("""COMPUTED_VALUE"""),0.0)</f>
        <v>0</v>
      </c>
      <c r="AO4154" s="82">
        <f>IFERROR(__xludf.DUMMYFUNCTION("""COMPUTED_VALUE"""),0.0)</f>
        <v>0</v>
      </c>
      <c r="AP4154" s="82">
        <f>IFERROR(__xludf.DUMMYFUNCTION("""COMPUTED_VALUE"""),0.0)</f>
        <v>0</v>
      </c>
      <c r="AQ4154" s="82">
        <f>IFERROR(__xludf.DUMMYFUNCTION("""COMPUTED_VALUE"""),0.0)</f>
        <v>0</v>
      </c>
      <c r="AR4154" s="82">
        <f>IFERROR(__xludf.DUMMYFUNCTION("""COMPUTED_VALUE"""),0.0)</f>
        <v>0</v>
      </c>
      <c r="AS4154" s="82"/>
      <c r="AT4154" s="82">
        <f>IFERROR(__xludf.DUMMYFUNCTION("""COMPUTED_VALUE"""),0.0)</f>
        <v>0</v>
      </c>
      <c r="AU4154" s="82"/>
      <c r="AV4154" s="82"/>
      <c r="AW4154" s="82" t="str">
        <f t="shared" si="1"/>
        <v/>
      </c>
      <c r="AX4154" s="83" t="str">
        <f t="array" ref="AX4154">IFERROR(DGET('SBV Import'!A:G,"SBV",{"RSC ID","Tier";B4154,A4154}))</f>
        <v/>
      </c>
      <c r="AY4154" s="82" t="str">
        <f t="shared" si="2"/>
        <v/>
      </c>
      <c r="AZ4154" s="82"/>
      <c r="BA4154" s="84" t="s">
        <v>152</v>
      </c>
      <c r="BB4154" s="84" t="str">
        <f>IFERROR(__xludf.DUMMYFUNCTION("iferror(if(A4154="""",,E4154&gt;=FILTER(Constants!$F$2:$F$10,Constants!$A$2:$A$10=A4154)))"),"")</f>
        <v/>
      </c>
    </row>
    <row r="4155">
      <c r="A4155" s="89"/>
      <c r="B4155" s="87"/>
      <c r="C4155" s="73"/>
      <c r="D4155" s="73"/>
      <c r="E4155" s="82"/>
      <c r="F4155" s="82"/>
      <c r="G4155" s="86"/>
      <c r="H4155" s="86"/>
      <c r="I4155" s="86"/>
      <c r="J4155" s="82"/>
      <c r="K4155" s="82"/>
      <c r="L4155" s="82"/>
      <c r="M4155" s="82"/>
      <c r="N4155" s="82"/>
      <c r="O4155" s="82"/>
      <c r="P4155" s="82"/>
      <c r="Q4155" s="82"/>
      <c r="R4155" s="82"/>
      <c r="S4155" s="82"/>
      <c r="T4155" s="82"/>
      <c r="U4155" s="82"/>
      <c r="V4155" s="82"/>
      <c r="W4155" s="82"/>
      <c r="X4155" s="82"/>
      <c r="Y4155" s="82"/>
      <c r="Z4155" s="82"/>
      <c r="AA4155" s="82"/>
      <c r="AB4155" s="82"/>
      <c r="AC4155" s="82"/>
      <c r="AD4155" s="82"/>
      <c r="AE4155" s="82"/>
      <c r="AF4155" s="82"/>
      <c r="AG4155" s="82"/>
      <c r="AH4155" s="82"/>
      <c r="AI4155" s="82"/>
      <c r="AJ4155" s="82"/>
      <c r="AK4155" s="82"/>
      <c r="AL4155" s="82"/>
      <c r="AM4155" s="82"/>
      <c r="AN4155" s="82">
        <f>IFERROR(__xludf.DUMMYFUNCTION("""COMPUTED_VALUE"""),0.0)</f>
        <v>0</v>
      </c>
      <c r="AO4155" s="82">
        <f>IFERROR(__xludf.DUMMYFUNCTION("""COMPUTED_VALUE"""),0.0)</f>
        <v>0</v>
      </c>
      <c r="AP4155" s="82">
        <f>IFERROR(__xludf.DUMMYFUNCTION("""COMPUTED_VALUE"""),0.0)</f>
        <v>0</v>
      </c>
      <c r="AQ4155" s="82">
        <f>IFERROR(__xludf.DUMMYFUNCTION("""COMPUTED_VALUE"""),0.0)</f>
        <v>0</v>
      </c>
      <c r="AR4155" s="82">
        <f>IFERROR(__xludf.DUMMYFUNCTION("""COMPUTED_VALUE"""),0.0)</f>
        <v>0</v>
      </c>
      <c r="AS4155" s="82"/>
      <c r="AT4155" s="82">
        <f>IFERROR(__xludf.DUMMYFUNCTION("""COMPUTED_VALUE"""),0.0)</f>
        <v>0</v>
      </c>
      <c r="AU4155" s="82"/>
      <c r="AV4155" s="82"/>
      <c r="AW4155" s="82" t="str">
        <f t="shared" si="1"/>
        <v/>
      </c>
      <c r="AX4155" s="83" t="str">
        <f t="array" ref="AX4155">IFERROR(DGET('SBV Import'!A:G,"SBV",{"RSC ID","Tier";B4155,A4155}))</f>
        <v/>
      </c>
      <c r="AY4155" s="82" t="str">
        <f t="shared" si="2"/>
        <v/>
      </c>
      <c r="AZ4155" s="82"/>
      <c r="BA4155" s="84" t="s">
        <v>152</v>
      </c>
      <c r="BB4155" s="84" t="str">
        <f>IFERROR(__xludf.DUMMYFUNCTION("iferror(if(A4155="""",,E4155&gt;=FILTER(Constants!$F$2:$F$10,Constants!$A$2:$A$10=A4155)))"),"")</f>
        <v/>
      </c>
    </row>
    <row r="4156">
      <c r="A4156" s="89"/>
      <c r="B4156" s="87"/>
      <c r="C4156" s="73"/>
      <c r="D4156" s="73"/>
      <c r="E4156" s="82"/>
      <c r="F4156" s="82"/>
      <c r="G4156" s="86"/>
      <c r="H4156" s="86"/>
      <c r="I4156" s="86"/>
      <c r="J4156" s="82"/>
      <c r="K4156" s="82"/>
      <c r="L4156" s="82"/>
      <c r="M4156" s="82"/>
      <c r="N4156" s="82"/>
      <c r="O4156" s="82"/>
      <c r="P4156" s="82"/>
      <c r="Q4156" s="82"/>
      <c r="R4156" s="82"/>
      <c r="S4156" s="82"/>
      <c r="T4156" s="82"/>
      <c r="U4156" s="82"/>
      <c r="V4156" s="82"/>
      <c r="W4156" s="82"/>
      <c r="X4156" s="82"/>
      <c r="Y4156" s="82"/>
      <c r="Z4156" s="82"/>
      <c r="AA4156" s="82"/>
      <c r="AB4156" s="82"/>
      <c r="AC4156" s="82"/>
      <c r="AD4156" s="82"/>
      <c r="AE4156" s="82"/>
      <c r="AF4156" s="82"/>
      <c r="AG4156" s="82"/>
      <c r="AH4156" s="82"/>
      <c r="AI4156" s="82"/>
      <c r="AJ4156" s="82"/>
      <c r="AK4156" s="82"/>
      <c r="AL4156" s="82"/>
      <c r="AM4156" s="82"/>
      <c r="AN4156" s="82">
        <f>IFERROR(__xludf.DUMMYFUNCTION("""COMPUTED_VALUE"""),0.0)</f>
        <v>0</v>
      </c>
      <c r="AO4156" s="82">
        <f>IFERROR(__xludf.DUMMYFUNCTION("""COMPUTED_VALUE"""),0.0)</f>
        <v>0</v>
      </c>
      <c r="AP4156" s="82">
        <f>IFERROR(__xludf.DUMMYFUNCTION("""COMPUTED_VALUE"""),0.0)</f>
        <v>0</v>
      </c>
      <c r="AQ4156" s="82">
        <f>IFERROR(__xludf.DUMMYFUNCTION("""COMPUTED_VALUE"""),0.0)</f>
        <v>0</v>
      </c>
      <c r="AR4156" s="82">
        <f>IFERROR(__xludf.DUMMYFUNCTION("""COMPUTED_VALUE"""),0.0)</f>
        <v>0</v>
      </c>
      <c r="AS4156" s="82"/>
      <c r="AT4156" s="82">
        <f>IFERROR(__xludf.DUMMYFUNCTION("""COMPUTED_VALUE"""),0.0)</f>
        <v>0</v>
      </c>
      <c r="AU4156" s="82"/>
      <c r="AV4156" s="82"/>
      <c r="AW4156" s="82" t="str">
        <f t="shared" si="1"/>
        <v/>
      </c>
      <c r="AX4156" s="83" t="str">
        <f t="array" ref="AX4156">IFERROR(DGET('SBV Import'!A:G,"SBV",{"RSC ID","Tier";B4156,A4156}))</f>
        <v/>
      </c>
      <c r="AY4156" s="82" t="str">
        <f t="shared" si="2"/>
        <v/>
      </c>
      <c r="AZ4156" s="82"/>
      <c r="BA4156" s="84" t="s">
        <v>152</v>
      </c>
      <c r="BB4156" s="84" t="str">
        <f>IFERROR(__xludf.DUMMYFUNCTION("iferror(if(A4156="""",,E4156&gt;=FILTER(Constants!$F$2:$F$10,Constants!$A$2:$A$10=A4156)))"),"")</f>
        <v/>
      </c>
    </row>
    <row r="4157">
      <c r="A4157" s="89"/>
      <c r="B4157" s="87"/>
      <c r="C4157" s="73"/>
      <c r="D4157" s="73"/>
      <c r="E4157" s="82"/>
      <c r="F4157" s="82"/>
      <c r="G4157" s="86"/>
      <c r="H4157" s="86"/>
      <c r="I4157" s="86"/>
      <c r="J4157" s="82"/>
      <c r="K4157" s="82"/>
      <c r="L4157" s="82"/>
      <c r="M4157" s="82"/>
      <c r="N4157" s="82"/>
      <c r="O4157" s="82"/>
      <c r="P4157" s="82"/>
      <c r="Q4157" s="82"/>
      <c r="R4157" s="82"/>
      <c r="S4157" s="82"/>
      <c r="T4157" s="82"/>
      <c r="U4157" s="82"/>
      <c r="V4157" s="82"/>
      <c r="W4157" s="82"/>
      <c r="X4157" s="82"/>
      <c r="Y4157" s="82"/>
      <c r="Z4157" s="82"/>
      <c r="AA4157" s="82"/>
      <c r="AB4157" s="82"/>
      <c r="AC4157" s="82"/>
      <c r="AD4157" s="82"/>
      <c r="AE4157" s="82"/>
      <c r="AF4157" s="82"/>
      <c r="AG4157" s="82"/>
      <c r="AH4157" s="82"/>
      <c r="AI4157" s="82"/>
      <c r="AJ4157" s="82"/>
      <c r="AK4157" s="82"/>
      <c r="AL4157" s="82"/>
      <c r="AM4157" s="82"/>
      <c r="AN4157" s="82">
        <f>IFERROR(__xludf.DUMMYFUNCTION("""COMPUTED_VALUE"""),0.0)</f>
        <v>0</v>
      </c>
      <c r="AO4157" s="82">
        <f>IFERROR(__xludf.DUMMYFUNCTION("""COMPUTED_VALUE"""),0.0)</f>
        <v>0</v>
      </c>
      <c r="AP4157" s="82">
        <f>IFERROR(__xludf.DUMMYFUNCTION("""COMPUTED_VALUE"""),0.0)</f>
        <v>0</v>
      </c>
      <c r="AQ4157" s="82">
        <f>IFERROR(__xludf.DUMMYFUNCTION("""COMPUTED_VALUE"""),0.0)</f>
        <v>0</v>
      </c>
      <c r="AR4157" s="82">
        <f>IFERROR(__xludf.DUMMYFUNCTION("""COMPUTED_VALUE"""),0.0)</f>
        <v>0</v>
      </c>
      <c r="AS4157" s="82"/>
      <c r="AT4157" s="82">
        <f>IFERROR(__xludf.DUMMYFUNCTION("""COMPUTED_VALUE"""),0.0)</f>
        <v>0</v>
      </c>
      <c r="AU4157" s="82"/>
      <c r="AV4157" s="82"/>
      <c r="AW4157" s="82" t="str">
        <f t="shared" si="1"/>
        <v/>
      </c>
      <c r="AX4157" s="83" t="str">
        <f t="array" ref="AX4157">IFERROR(DGET('SBV Import'!A:G,"SBV",{"RSC ID","Tier";B4157,A4157}))</f>
        <v/>
      </c>
      <c r="AY4157" s="82" t="str">
        <f t="shared" si="2"/>
        <v/>
      </c>
      <c r="AZ4157" s="82"/>
      <c r="BA4157" s="84" t="s">
        <v>152</v>
      </c>
      <c r="BB4157" s="84" t="str">
        <f>IFERROR(__xludf.DUMMYFUNCTION("iferror(if(A4157="""",,E4157&gt;=FILTER(Constants!$F$2:$F$10,Constants!$A$2:$A$10=A4157)))"),"")</f>
        <v/>
      </c>
    </row>
    <row r="4158">
      <c r="A4158" s="89"/>
      <c r="B4158" s="87"/>
      <c r="C4158" s="73"/>
      <c r="D4158" s="73"/>
      <c r="E4158" s="82"/>
      <c r="F4158" s="82"/>
      <c r="G4158" s="86"/>
      <c r="H4158" s="86"/>
      <c r="I4158" s="86"/>
      <c r="J4158" s="82"/>
      <c r="K4158" s="82"/>
      <c r="L4158" s="82"/>
      <c r="M4158" s="82"/>
      <c r="N4158" s="82"/>
      <c r="O4158" s="82"/>
      <c r="P4158" s="82"/>
      <c r="Q4158" s="82"/>
      <c r="R4158" s="82"/>
      <c r="S4158" s="82"/>
      <c r="T4158" s="82"/>
      <c r="U4158" s="82"/>
      <c r="V4158" s="82"/>
      <c r="W4158" s="82"/>
      <c r="X4158" s="82"/>
      <c r="Y4158" s="82"/>
      <c r="Z4158" s="82"/>
      <c r="AA4158" s="82"/>
      <c r="AB4158" s="82"/>
      <c r="AC4158" s="82"/>
      <c r="AD4158" s="82"/>
      <c r="AE4158" s="82"/>
      <c r="AF4158" s="82"/>
      <c r="AG4158" s="82"/>
      <c r="AH4158" s="82"/>
      <c r="AI4158" s="82"/>
      <c r="AJ4158" s="82"/>
      <c r="AK4158" s="82"/>
      <c r="AL4158" s="82"/>
      <c r="AM4158" s="82"/>
      <c r="AN4158" s="82">
        <f>IFERROR(__xludf.DUMMYFUNCTION("""COMPUTED_VALUE"""),0.0)</f>
        <v>0</v>
      </c>
      <c r="AO4158" s="82">
        <f>IFERROR(__xludf.DUMMYFUNCTION("""COMPUTED_VALUE"""),0.0)</f>
        <v>0</v>
      </c>
      <c r="AP4158" s="82">
        <f>IFERROR(__xludf.DUMMYFUNCTION("""COMPUTED_VALUE"""),0.0)</f>
        <v>0</v>
      </c>
      <c r="AQ4158" s="82">
        <f>IFERROR(__xludf.DUMMYFUNCTION("""COMPUTED_VALUE"""),0.0)</f>
        <v>0</v>
      </c>
      <c r="AR4158" s="82">
        <f>IFERROR(__xludf.DUMMYFUNCTION("""COMPUTED_VALUE"""),0.0)</f>
        <v>0</v>
      </c>
      <c r="AS4158" s="82"/>
      <c r="AT4158" s="82">
        <f>IFERROR(__xludf.DUMMYFUNCTION("""COMPUTED_VALUE"""),0.0)</f>
        <v>0</v>
      </c>
      <c r="AU4158" s="82"/>
      <c r="AV4158" s="82"/>
      <c r="AW4158" s="82" t="str">
        <f t="shared" si="1"/>
        <v/>
      </c>
      <c r="AX4158" s="83" t="str">
        <f t="array" ref="AX4158">IFERROR(DGET('SBV Import'!A:G,"SBV",{"RSC ID","Tier";B4158,A4158}))</f>
        <v/>
      </c>
      <c r="AY4158" s="82" t="str">
        <f t="shared" si="2"/>
        <v/>
      </c>
      <c r="AZ4158" s="82"/>
      <c r="BA4158" s="84" t="s">
        <v>152</v>
      </c>
      <c r="BB4158" s="84" t="str">
        <f>IFERROR(__xludf.DUMMYFUNCTION("iferror(if(A4158="""",,E4158&gt;=FILTER(Constants!$F$2:$F$10,Constants!$A$2:$A$10=A4158)))"),"")</f>
        <v/>
      </c>
    </row>
    <row r="4159">
      <c r="A4159" s="89"/>
      <c r="B4159" s="87"/>
      <c r="C4159" s="73"/>
      <c r="D4159" s="73"/>
      <c r="E4159" s="82"/>
      <c r="F4159" s="82"/>
      <c r="G4159" s="86"/>
      <c r="H4159" s="86"/>
      <c r="I4159" s="86"/>
      <c r="J4159" s="82"/>
      <c r="K4159" s="82"/>
      <c r="L4159" s="82"/>
      <c r="M4159" s="82"/>
      <c r="N4159" s="82"/>
      <c r="O4159" s="82"/>
      <c r="P4159" s="82"/>
      <c r="Q4159" s="82"/>
      <c r="R4159" s="82"/>
      <c r="S4159" s="82"/>
      <c r="T4159" s="82"/>
      <c r="U4159" s="82"/>
      <c r="V4159" s="82"/>
      <c r="W4159" s="82"/>
      <c r="X4159" s="82"/>
      <c r="Y4159" s="82"/>
      <c r="Z4159" s="82"/>
      <c r="AA4159" s="82"/>
      <c r="AB4159" s="82"/>
      <c r="AC4159" s="82"/>
      <c r="AD4159" s="82"/>
      <c r="AE4159" s="82"/>
      <c r="AF4159" s="82"/>
      <c r="AG4159" s="82"/>
      <c r="AH4159" s="82"/>
      <c r="AI4159" s="82"/>
      <c r="AJ4159" s="82"/>
      <c r="AK4159" s="82"/>
      <c r="AL4159" s="82"/>
      <c r="AM4159" s="82"/>
      <c r="AN4159" s="82">
        <f>IFERROR(__xludf.DUMMYFUNCTION("""COMPUTED_VALUE"""),0.0)</f>
        <v>0</v>
      </c>
      <c r="AO4159" s="82">
        <f>IFERROR(__xludf.DUMMYFUNCTION("""COMPUTED_VALUE"""),0.0)</f>
        <v>0</v>
      </c>
      <c r="AP4159" s="82">
        <f>IFERROR(__xludf.DUMMYFUNCTION("""COMPUTED_VALUE"""),0.0)</f>
        <v>0</v>
      </c>
      <c r="AQ4159" s="82">
        <f>IFERROR(__xludf.DUMMYFUNCTION("""COMPUTED_VALUE"""),0.0)</f>
        <v>0</v>
      </c>
      <c r="AR4159" s="82">
        <f>IFERROR(__xludf.DUMMYFUNCTION("""COMPUTED_VALUE"""),0.0)</f>
        <v>0</v>
      </c>
      <c r="AS4159" s="82"/>
      <c r="AT4159" s="82">
        <f>IFERROR(__xludf.DUMMYFUNCTION("""COMPUTED_VALUE"""),0.0)</f>
        <v>0</v>
      </c>
      <c r="AU4159" s="82"/>
      <c r="AV4159" s="82"/>
      <c r="AW4159" s="82" t="str">
        <f t="shared" si="1"/>
        <v/>
      </c>
      <c r="AX4159" s="83" t="str">
        <f t="array" ref="AX4159">IFERROR(DGET('SBV Import'!A:G,"SBV",{"RSC ID","Tier";B4159,A4159}))</f>
        <v/>
      </c>
      <c r="AY4159" s="82" t="str">
        <f t="shared" si="2"/>
        <v/>
      </c>
      <c r="AZ4159" s="82"/>
      <c r="BA4159" s="84" t="s">
        <v>152</v>
      </c>
      <c r="BB4159" s="84" t="str">
        <f>IFERROR(__xludf.DUMMYFUNCTION("iferror(if(A4159="""",,E4159&gt;=FILTER(Constants!$F$2:$F$10,Constants!$A$2:$A$10=A4159)))"),"")</f>
        <v/>
      </c>
    </row>
    <row r="4160">
      <c r="A4160" s="89"/>
      <c r="B4160" s="87"/>
      <c r="C4160" s="73"/>
      <c r="D4160" s="73"/>
      <c r="E4160" s="82"/>
      <c r="F4160" s="82"/>
      <c r="G4160" s="86"/>
      <c r="H4160" s="86"/>
      <c r="I4160" s="86"/>
      <c r="J4160" s="82"/>
      <c r="K4160" s="82"/>
      <c r="L4160" s="82"/>
      <c r="M4160" s="82"/>
      <c r="N4160" s="82"/>
      <c r="O4160" s="82"/>
      <c r="P4160" s="82"/>
      <c r="Q4160" s="82"/>
      <c r="R4160" s="82"/>
      <c r="S4160" s="82"/>
      <c r="T4160" s="82"/>
      <c r="U4160" s="82"/>
      <c r="V4160" s="82"/>
      <c r="W4160" s="82"/>
      <c r="X4160" s="82"/>
      <c r="Y4160" s="82"/>
      <c r="Z4160" s="82"/>
      <c r="AA4160" s="82"/>
      <c r="AB4160" s="82"/>
      <c r="AC4160" s="82"/>
      <c r="AD4160" s="82"/>
      <c r="AE4160" s="82"/>
      <c r="AF4160" s="82"/>
      <c r="AG4160" s="82"/>
      <c r="AH4160" s="82"/>
      <c r="AI4160" s="82"/>
      <c r="AJ4160" s="82"/>
      <c r="AK4160" s="82"/>
      <c r="AL4160" s="82"/>
      <c r="AM4160" s="82"/>
      <c r="AN4160" s="82">
        <f>IFERROR(__xludf.DUMMYFUNCTION("""COMPUTED_VALUE"""),0.0)</f>
        <v>0</v>
      </c>
      <c r="AO4160" s="82">
        <f>IFERROR(__xludf.DUMMYFUNCTION("""COMPUTED_VALUE"""),0.0)</f>
        <v>0</v>
      </c>
      <c r="AP4160" s="82">
        <f>IFERROR(__xludf.DUMMYFUNCTION("""COMPUTED_VALUE"""),0.0)</f>
        <v>0</v>
      </c>
      <c r="AQ4160" s="82">
        <f>IFERROR(__xludf.DUMMYFUNCTION("""COMPUTED_VALUE"""),0.0)</f>
        <v>0</v>
      </c>
      <c r="AR4160" s="82">
        <f>IFERROR(__xludf.DUMMYFUNCTION("""COMPUTED_VALUE"""),0.0)</f>
        <v>0</v>
      </c>
      <c r="AS4160" s="82"/>
      <c r="AT4160" s="82">
        <f>IFERROR(__xludf.DUMMYFUNCTION("""COMPUTED_VALUE"""),0.0)</f>
        <v>0</v>
      </c>
      <c r="AU4160" s="82"/>
      <c r="AV4160" s="82"/>
      <c r="AW4160" s="82" t="str">
        <f t="shared" si="1"/>
        <v/>
      </c>
      <c r="AX4160" s="83" t="str">
        <f t="array" ref="AX4160">IFERROR(DGET('SBV Import'!A:G,"SBV",{"RSC ID","Tier";B4160,A4160}))</f>
        <v/>
      </c>
      <c r="AY4160" s="82" t="str">
        <f t="shared" si="2"/>
        <v/>
      </c>
      <c r="AZ4160" s="82"/>
      <c r="BA4160" s="84" t="s">
        <v>152</v>
      </c>
      <c r="BB4160" s="84" t="str">
        <f>IFERROR(__xludf.DUMMYFUNCTION("iferror(if(A4160="""",,E4160&gt;=FILTER(Constants!$F$2:$F$10,Constants!$A$2:$A$10=A4160)))"),"")</f>
        <v/>
      </c>
    </row>
    <row r="4161">
      <c r="A4161" s="89"/>
      <c r="B4161" s="87"/>
      <c r="C4161" s="73"/>
      <c r="D4161" s="73"/>
      <c r="E4161" s="82"/>
      <c r="F4161" s="82"/>
      <c r="G4161" s="86"/>
      <c r="H4161" s="86"/>
      <c r="I4161" s="86"/>
      <c r="J4161" s="82"/>
      <c r="K4161" s="82"/>
      <c r="L4161" s="82"/>
      <c r="M4161" s="82"/>
      <c r="N4161" s="82"/>
      <c r="O4161" s="82"/>
      <c r="P4161" s="82"/>
      <c r="Q4161" s="82"/>
      <c r="R4161" s="82"/>
      <c r="S4161" s="82"/>
      <c r="T4161" s="82"/>
      <c r="U4161" s="82"/>
      <c r="V4161" s="82"/>
      <c r="W4161" s="82"/>
      <c r="X4161" s="82"/>
      <c r="Y4161" s="82"/>
      <c r="Z4161" s="82"/>
      <c r="AA4161" s="82"/>
      <c r="AB4161" s="82"/>
      <c r="AC4161" s="82"/>
      <c r="AD4161" s="82"/>
      <c r="AE4161" s="82"/>
      <c r="AF4161" s="82"/>
      <c r="AG4161" s="82"/>
      <c r="AH4161" s="82"/>
      <c r="AI4161" s="82"/>
      <c r="AJ4161" s="82"/>
      <c r="AK4161" s="82"/>
      <c r="AL4161" s="82"/>
      <c r="AM4161" s="82"/>
      <c r="AN4161" s="82">
        <f>IFERROR(__xludf.DUMMYFUNCTION("""COMPUTED_VALUE"""),0.0)</f>
        <v>0</v>
      </c>
      <c r="AO4161" s="82">
        <f>IFERROR(__xludf.DUMMYFUNCTION("""COMPUTED_VALUE"""),0.0)</f>
        <v>0</v>
      </c>
      <c r="AP4161" s="82">
        <f>IFERROR(__xludf.DUMMYFUNCTION("""COMPUTED_VALUE"""),0.0)</f>
        <v>0</v>
      </c>
      <c r="AQ4161" s="82">
        <f>IFERROR(__xludf.DUMMYFUNCTION("""COMPUTED_VALUE"""),0.0)</f>
        <v>0</v>
      </c>
      <c r="AR4161" s="82">
        <f>IFERROR(__xludf.DUMMYFUNCTION("""COMPUTED_VALUE"""),0.0)</f>
        <v>0</v>
      </c>
      <c r="AS4161" s="82"/>
      <c r="AT4161" s="82">
        <f>IFERROR(__xludf.DUMMYFUNCTION("""COMPUTED_VALUE"""),0.0)</f>
        <v>0</v>
      </c>
      <c r="AU4161" s="82"/>
      <c r="AV4161" s="82"/>
      <c r="AW4161" s="82" t="str">
        <f t="shared" si="1"/>
        <v/>
      </c>
      <c r="AX4161" s="83" t="str">
        <f t="array" ref="AX4161">IFERROR(DGET('SBV Import'!A:G,"SBV",{"RSC ID","Tier";B4161,A4161}))</f>
        <v/>
      </c>
      <c r="AY4161" s="82" t="str">
        <f t="shared" si="2"/>
        <v/>
      </c>
      <c r="AZ4161" s="82"/>
      <c r="BA4161" s="84" t="s">
        <v>152</v>
      </c>
      <c r="BB4161" s="84" t="str">
        <f>IFERROR(__xludf.DUMMYFUNCTION("iferror(if(A4161="""",,E4161&gt;=FILTER(Constants!$F$2:$F$10,Constants!$A$2:$A$10=A4161)))"),"")</f>
        <v/>
      </c>
    </row>
    <row r="4162">
      <c r="A4162" s="89"/>
      <c r="B4162" s="87"/>
      <c r="C4162" s="73"/>
      <c r="D4162" s="73"/>
      <c r="E4162" s="82"/>
      <c r="F4162" s="82"/>
      <c r="G4162" s="86"/>
      <c r="H4162" s="86"/>
      <c r="I4162" s="86"/>
      <c r="J4162" s="82"/>
      <c r="K4162" s="82"/>
      <c r="L4162" s="82"/>
      <c r="M4162" s="82"/>
      <c r="N4162" s="82"/>
      <c r="O4162" s="82"/>
      <c r="P4162" s="82"/>
      <c r="Q4162" s="82"/>
      <c r="R4162" s="82"/>
      <c r="S4162" s="82"/>
      <c r="T4162" s="82"/>
      <c r="U4162" s="82"/>
      <c r="V4162" s="82"/>
      <c r="W4162" s="82"/>
      <c r="X4162" s="82"/>
      <c r="Y4162" s="82"/>
      <c r="Z4162" s="82"/>
      <c r="AA4162" s="82"/>
      <c r="AB4162" s="82"/>
      <c r="AC4162" s="82"/>
      <c r="AD4162" s="82"/>
      <c r="AE4162" s="82"/>
      <c r="AF4162" s="82"/>
      <c r="AG4162" s="82"/>
      <c r="AH4162" s="82"/>
      <c r="AI4162" s="82"/>
      <c r="AJ4162" s="82"/>
      <c r="AK4162" s="82"/>
      <c r="AL4162" s="82"/>
      <c r="AM4162" s="82"/>
      <c r="AN4162" s="82">
        <f>IFERROR(__xludf.DUMMYFUNCTION("""COMPUTED_VALUE"""),0.0)</f>
        <v>0</v>
      </c>
      <c r="AO4162" s="82">
        <f>IFERROR(__xludf.DUMMYFUNCTION("""COMPUTED_VALUE"""),0.0)</f>
        <v>0</v>
      </c>
      <c r="AP4162" s="82">
        <f>IFERROR(__xludf.DUMMYFUNCTION("""COMPUTED_VALUE"""),0.0)</f>
        <v>0</v>
      </c>
      <c r="AQ4162" s="82">
        <f>IFERROR(__xludf.DUMMYFUNCTION("""COMPUTED_VALUE"""),0.0)</f>
        <v>0</v>
      </c>
      <c r="AR4162" s="82">
        <f>IFERROR(__xludf.DUMMYFUNCTION("""COMPUTED_VALUE"""),0.0)</f>
        <v>0</v>
      </c>
      <c r="AS4162" s="82"/>
      <c r="AT4162" s="82">
        <f>IFERROR(__xludf.DUMMYFUNCTION("""COMPUTED_VALUE"""),0.0)</f>
        <v>0</v>
      </c>
      <c r="AU4162" s="82"/>
      <c r="AV4162" s="82"/>
      <c r="AW4162" s="82" t="str">
        <f t="shared" si="1"/>
        <v/>
      </c>
      <c r="AX4162" s="83" t="str">
        <f t="array" ref="AX4162">IFERROR(DGET('SBV Import'!A:G,"SBV",{"RSC ID","Tier";B4162,A4162}))</f>
        <v/>
      </c>
      <c r="AY4162" s="82" t="str">
        <f t="shared" si="2"/>
        <v/>
      </c>
      <c r="AZ4162" s="82"/>
      <c r="BA4162" s="84" t="s">
        <v>152</v>
      </c>
      <c r="BB4162" s="84" t="str">
        <f>IFERROR(__xludf.DUMMYFUNCTION("iferror(if(A4162="""",,E4162&gt;=FILTER(Constants!$F$2:$F$10,Constants!$A$2:$A$10=A4162)))"),"")</f>
        <v/>
      </c>
    </row>
    <row r="4163">
      <c r="A4163" s="89"/>
      <c r="B4163" s="87"/>
      <c r="C4163" s="73"/>
      <c r="D4163" s="73"/>
      <c r="E4163" s="82"/>
      <c r="F4163" s="82"/>
      <c r="G4163" s="86"/>
      <c r="H4163" s="86"/>
      <c r="I4163" s="86"/>
      <c r="J4163" s="82"/>
      <c r="K4163" s="82"/>
      <c r="L4163" s="82"/>
      <c r="M4163" s="82"/>
      <c r="N4163" s="82"/>
      <c r="O4163" s="82"/>
      <c r="P4163" s="82"/>
      <c r="Q4163" s="82"/>
      <c r="R4163" s="82"/>
      <c r="S4163" s="82"/>
      <c r="T4163" s="82"/>
      <c r="U4163" s="82"/>
      <c r="V4163" s="82"/>
      <c r="W4163" s="82"/>
      <c r="X4163" s="82"/>
      <c r="Y4163" s="82"/>
      <c r="Z4163" s="82"/>
      <c r="AA4163" s="82"/>
      <c r="AB4163" s="82"/>
      <c r="AC4163" s="82"/>
      <c r="AD4163" s="82"/>
      <c r="AE4163" s="82"/>
      <c r="AF4163" s="82"/>
      <c r="AG4163" s="82"/>
      <c r="AH4163" s="82"/>
      <c r="AI4163" s="82"/>
      <c r="AJ4163" s="82"/>
      <c r="AK4163" s="82"/>
      <c r="AL4163" s="82"/>
      <c r="AM4163" s="82"/>
      <c r="AN4163" s="82">
        <f>IFERROR(__xludf.DUMMYFUNCTION("""COMPUTED_VALUE"""),0.0)</f>
        <v>0</v>
      </c>
      <c r="AO4163" s="82">
        <f>IFERROR(__xludf.DUMMYFUNCTION("""COMPUTED_VALUE"""),0.0)</f>
        <v>0</v>
      </c>
      <c r="AP4163" s="82">
        <f>IFERROR(__xludf.DUMMYFUNCTION("""COMPUTED_VALUE"""),0.0)</f>
        <v>0</v>
      </c>
      <c r="AQ4163" s="82">
        <f>IFERROR(__xludf.DUMMYFUNCTION("""COMPUTED_VALUE"""),0.0)</f>
        <v>0</v>
      </c>
      <c r="AR4163" s="82">
        <f>IFERROR(__xludf.DUMMYFUNCTION("""COMPUTED_VALUE"""),0.0)</f>
        <v>0</v>
      </c>
      <c r="AS4163" s="82"/>
      <c r="AT4163" s="82">
        <f>IFERROR(__xludf.DUMMYFUNCTION("""COMPUTED_VALUE"""),0.0)</f>
        <v>0</v>
      </c>
      <c r="AU4163" s="82"/>
      <c r="AV4163" s="82"/>
      <c r="AW4163" s="82" t="str">
        <f t="shared" si="1"/>
        <v/>
      </c>
      <c r="AX4163" s="83" t="str">
        <f t="array" ref="AX4163">IFERROR(DGET('SBV Import'!A:G,"SBV",{"RSC ID","Tier";B4163,A4163}))</f>
        <v/>
      </c>
      <c r="AY4163" s="82" t="str">
        <f t="shared" si="2"/>
        <v/>
      </c>
      <c r="AZ4163" s="82"/>
      <c r="BA4163" s="84" t="s">
        <v>152</v>
      </c>
      <c r="BB4163" s="84" t="str">
        <f>IFERROR(__xludf.DUMMYFUNCTION("iferror(if(A4163="""",,E4163&gt;=FILTER(Constants!$F$2:$F$10,Constants!$A$2:$A$10=A4163)))"),"")</f>
        <v/>
      </c>
    </row>
    <row r="4164">
      <c r="A4164" s="89"/>
      <c r="B4164" s="87"/>
      <c r="C4164" s="73"/>
      <c r="D4164" s="73"/>
      <c r="E4164" s="82"/>
      <c r="F4164" s="82"/>
      <c r="G4164" s="86"/>
      <c r="H4164" s="86"/>
      <c r="I4164" s="86"/>
      <c r="J4164" s="82"/>
      <c r="K4164" s="82"/>
      <c r="L4164" s="82"/>
      <c r="M4164" s="82"/>
      <c r="N4164" s="82"/>
      <c r="O4164" s="82"/>
      <c r="P4164" s="82"/>
      <c r="Q4164" s="82"/>
      <c r="R4164" s="82"/>
      <c r="S4164" s="82"/>
      <c r="T4164" s="82"/>
      <c r="U4164" s="82"/>
      <c r="V4164" s="82"/>
      <c r="W4164" s="82"/>
      <c r="X4164" s="82"/>
      <c r="Y4164" s="82"/>
      <c r="Z4164" s="82"/>
      <c r="AA4164" s="82"/>
      <c r="AB4164" s="82"/>
      <c r="AC4164" s="82"/>
      <c r="AD4164" s="82"/>
      <c r="AE4164" s="82"/>
      <c r="AF4164" s="82"/>
      <c r="AG4164" s="82"/>
      <c r="AH4164" s="82"/>
      <c r="AI4164" s="82"/>
      <c r="AJ4164" s="82"/>
      <c r="AK4164" s="82"/>
      <c r="AL4164" s="82"/>
      <c r="AM4164" s="82"/>
      <c r="AN4164" s="82">
        <f>IFERROR(__xludf.DUMMYFUNCTION("""COMPUTED_VALUE"""),0.0)</f>
        <v>0</v>
      </c>
      <c r="AO4164" s="82">
        <f>IFERROR(__xludf.DUMMYFUNCTION("""COMPUTED_VALUE"""),0.0)</f>
        <v>0</v>
      </c>
      <c r="AP4164" s="82">
        <f>IFERROR(__xludf.DUMMYFUNCTION("""COMPUTED_VALUE"""),0.0)</f>
        <v>0</v>
      </c>
      <c r="AQ4164" s="82">
        <f>IFERROR(__xludf.DUMMYFUNCTION("""COMPUTED_VALUE"""),0.0)</f>
        <v>0</v>
      </c>
      <c r="AR4164" s="82">
        <f>IFERROR(__xludf.DUMMYFUNCTION("""COMPUTED_VALUE"""),0.0)</f>
        <v>0</v>
      </c>
      <c r="AS4164" s="82"/>
      <c r="AT4164" s="82">
        <f>IFERROR(__xludf.DUMMYFUNCTION("""COMPUTED_VALUE"""),0.0)</f>
        <v>0</v>
      </c>
      <c r="AU4164" s="82"/>
      <c r="AV4164" s="82"/>
      <c r="AW4164" s="82" t="str">
        <f t="shared" si="1"/>
        <v/>
      </c>
      <c r="AX4164" s="83" t="str">
        <f t="array" ref="AX4164">IFERROR(DGET('SBV Import'!A:G,"SBV",{"RSC ID","Tier";B4164,A4164}))</f>
        <v/>
      </c>
      <c r="AY4164" s="82" t="str">
        <f t="shared" si="2"/>
        <v/>
      </c>
      <c r="AZ4164" s="82"/>
      <c r="BA4164" s="84" t="s">
        <v>152</v>
      </c>
      <c r="BB4164" s="84" t="str">
        <f>IFERROR(__xludf.DUMMYFUNCTION("iferror(if(A4164="""",,E4164&gt;=FILTER(Constants!$F$2:$F$10,Constants!$A$2:$A$10=A4164)))"),"")</f>
        <v/>
      </c>
    </row>
    <row r="4165">
      <c r="A4165" s="89"/>
      <c r="B4165" s="87"/>
      <c r="C4165" s="73"/>
      <c r="D4165" s="73"/>
      <c r="E4165" s="82"/>
      <c r="F4165" s="82"/>
      <c r="G4165" s="86"/>
      <c r="H4165" s="86"/>
      <c r="I4165" s="86"/>
      <c r="J4165" s="82"/>
      <c r="K4165" s="82"/>
      <c r="L4165" s="82"/>
      <c r="M4165" s="82"/>
      <c r="N4165" s="82"/>
      <c r="O4165" s="82"/>
      <c r="P4165" s="82"/>
      <c r="Q4165" s="82"/>
      <c r="R4165" s="82"/>
      <c r="S4165" s="82"/>
      <c r="T4165" s="82"/>
      <c r="U4165" s="82"/>
      <c r="V4165" s="82"/>
      <c r="W4165" s="82"/>
      <c r="X4165" s="82"/>
      <c r="Y4165" s="82"/>
      <c r="Z4165" s="82"/>
      <c r="AA4165" s="82"/>
      <c r="AB4165" s="82"/>
      <c r="AC4165" s="82"/>
      <c r="AD4165" s="82"/>
      <c r="AE4165" s="82"/>
      <c r="AF4165" s="82"/>
      <c r="AG4165" s="82"/>
      <c r="AH4165" s="82"/>
      <c r="AI4165" s="82"/>
      <c r="AJ4165" s="82"/>
      <c r="AK4165" s="82"/>
      <c r="AL4165" s="82"/>
      <c r="AM4165" s="82"/>
      <c r="AN4165" s="82">
        <f>IFERROR(__xludf.DUMMYFUNCTION("""COMPUTED_VALUE"""),0.0)</f>
        <v>0</v>
      </c>
      <c r="AO4165" s="82">
        <f>IFERROR(__xludf.DUMMYFUNCTION("""COMPUTED_VALUE"""),0.0)</f>
        <v>0</v>
      </c>
      <c r="AP4165" s="82">
        <f>IFERROR(__xludf.DUMMYFUNCTION("""COMPUTED_VALUE"""),0.0)</f>
        <v>0</v>
      </c>
      <c r="AQ4165" s="82">
        <f>IFERROR(__xludf.DUMMYFUNCTION("""COMPUTED_VALUE"""),0.0)</f>
        <v>0</v>
      </c>
      <c r="AR4165" s="82">
        <f>IFERROR(__xludf.DUMMYFUNCTION("""COMPUTED_VALUE"""),0.0)</f>
        <v>0</v>
      </c>
      <c r="AS4165" s="82"/>
      <c r="AT4165" s="82">
        <f>IFERROR(__xludf.DUMMYFUNCTION("""COMPUTED_VALUE"""),0.0)</f>
        <v>0</v>
      </c>
      <c r="AU4165" s="82"/>
      <c r="AV4165" s="82"/>
      <c r="AW4165" s="82" t="str">
        <f t="shared" si="1"/>
        <v/>
      </c>
      <c r="AX4165" s="83" t="str">
        <f t="array" ref="AX4165">IFERROR(DGET('SBV Import'!A:G,"SBV",{"RSC ID","Tier";B4165,A4165}))</f>
        <v/>
      </c>
      <c r="AY4165" s="82" t="str">
        <f t="shared" si="2"/>
        <v/>
      </c>
      <c r="AZ4165" s="82"/>
      <c r="BA4165" s="84" t="s">
        <v>152</v>
      </c>
      <c r="BB4165" s="84" t="str">
        <f>IFERROR(__xludf.DUMMYFUNCTION("iferror(if(A4165="""",,E4165&gt;=FILTER(Constants!$F$2:$F$10,Constants!$A$2:$A$10=A4165)))"),"")</f>
        <v/>
      </c>
    </row>
    <row r="4166">
      <c r="A4166" s="89"/>
      <c r="B4166" s="87"/>
      <c r="C4166" s="73"/>
      <c r="D4166" s="73"/>
      <c r="E4166" s="82"/>
      <c r="F4166" s="82"/>
      <c r="G4166" s="86"/>
      <c r="H4166" s="86"/>
      <c r="I4166" s="86"/>
      <c r="J4166" s="82"/>
      <c r="K4166" s="82"/>
      <c r="L4166" s="82"/>
      <c r="M4166" s="82"/>
      <c r="N4166" s="82"/>
      <c r="O4166" s="82"/>
      <c r="P4166" s="82"/>
      <c r="Q4166" s="82"/>
      <c r="R4166" s="82"/>
      <c r="S4166" s="82"/>
      <c r="T4166" s="82"/>
      <c r="U4166" s="82"/>
      <c r="V4166" s="82"/>
      <c r="W4166" s="82"/>
      <c r="X4166" s="82"/>
      <c r="Y4166" s="82"/>
      <c r="Z4166" s="82"/>
      <c r="AA4166" s="82"/>
      <c r="AB4166" s="82"/>
      <c r="AC4166" s="82"/>
      <c r="AD4166" s="82"/>
      <c r="AE4166" s="82"/>
      <c r="AF4166" s="82"/>
      <c r="AG4166" s="82"/>
      <c r="AH4166" s="82"/>
      <c r="AI4166" s="82"/>
      <c r="AJ4166" s="82"/>
      <c r="AK4166" s="82"/>
      <c r="AL4166" s="82"/>
      <c r="AM4166" s="82"/>
      <c r="AN4166" s="82">
        <f>IFERROR(__xludf.DUMMYFUNCTION("""COMPUTED_VALUE"""),0.0)</f>
        <v>0</v>
      </c>
      <c r="AO4166" s="82">
        <f>IFERROR(__xludf.DUMMYFUNCTION("""COMPUTED_VALUE"""),0.0)</f>
        <v>0</v>
      </c>
      <c r="AP4166" s="82">
        <f>IFERROR(__xludf.DUMMYFUNCTION("""COMPUTED_VALUE"""),0.0)</f>
        <v>0</v>
      </c>
      <c r="AQ4166" s="82">
        <f>IFERROR(__xludf.DUMMYFUNCTION("""COMPUTED_VALUE"""),0.0)</f>
        <v>0</v>
      </c>
      <c r="AR4166" s="82">
        <f>IFERROR(__xludf.DUMMYFUNCTION("""COMPUTED_VALUE"""),0.0)</f>
        <v>0</v>
      </c>
      <c r="AS4166" s="82"/>
      <c r="AT4166" s="82">
        <f>IFERROR(__xludf.DUMMYFUNCTION("""COMPUTED_VALUE"""),0.0)</f>
        <v>0</v>
      </c>
      <c r="AU4166" s="82"/>
      <c r="AV4166" s="82"/>
      <c r="AW4166" s="82" t="str">
        <f t="shared" si="1"/>
        <v/>
      </c>
      <c r="AX4166" s="83" t="str">
        <f t="array" ref="AX4166">IFERROR(DGET('SBV Import'!A:G,"SBV",{"RSC ID","Tier";B4166,A4166}))</f>
        <v/>
      </c>
      <c r="AY4166" s="82" t="str">
        <f t="shared" si="2"/>
        <v/>
      </c>
      <c r="AZ4166" s="82"/>
      <c r="BA4166" s="84" t="s">
        <v>152</v>
      </c>
      <c r="BB4166" s="84" t="str">
        <f>IFERROR(__xludf.DUMMYFUNCTION("iferror(if(A4166="""",,E4166&gt;=FILTER(Constants!$F$2:$F$10,Constants!$A$2:$A$10=A4166)))"),"")</f>
        <v/>
      </c>
    </row>
    <row r="4167">
      <c r="A4167" s="89"/>
      <c r="B4167" s="87"/>
      <c r="C4167" s="73"/>
      <c r="D4167" s="73"/>
      <c r="E4167" s="82"/>
      <c r="F4167" s="82"/>
      <c r="G4167" s="86"/>
      <c r="H4167" s="86"/>
      <c r="I4167" s="86"/>
      <c r="J4167" s="82"/>
      <c r="K4167" s="82"/>
      <c r="L4167" s="82"/>
      <c r="M4167" s="82"/>
      <c r="N4167" s="82"/>
      <c r="O4167" s="82"/>
      <c r="P4167" s="82"/>
      <c r="Q4167" s="82"/>
      <c r="R4167" s="82"/>
      <c r="S4167" s="82"/>
      <c r="T4167" s="82"/>
      <c r="U4167" s="82"/>
      <c r="V4167" s="82"/>
      <c r="W4167" s="82"/>
      <c r="X4167" s="82"/>
      <c r="Y4167" s="82"/>
      <c r="Z4167" s="82"/>
      <c r="AA4167" s="82"/>
      <c r="AB4167" s="82"/>
      <c r="AC4167" s="82"/>
      <c r="AD4167" s="82"/>
      <c r="AE4167" s="82"/>
      <c r="AF4167" s="82"/>
      <c r="AG4167" s="82"/>
      <c r="AH4167" s="82"/>
      <c r="AI4167" s="82"/>
      <c r="AJ4167" s="82"/>
      <c r="AK4167" s="82"/>
      <c r="AL4167" s="82"/>
      <c r="AM4167" s="82"/>
      <c r="AN4167" s="82">
        <f>IFERROR(__xludf.DUMMYFUNCTION("""COMPUTED_VALUE"""),0.0)</f>
        <v>0</v>
      </c>
      <c r="AO4167" s="82">
        <f>IFERROR(__xludf.DUMMYFUNCTION("""COMPUTED_VALUE"""),0.0)</f>
        <v>0</v>
      </c>
      <c r="AP4167" s="82">
        <f>IFERROR(__xludf.DUMMYFUNCTION("""COMPUTED_VALUE"""),0.0)</f>
        <v>0</v>
      </c>
      <c r="AQ4167" s="82">
        <f>IFERROR(__xludf.DUMMYFUNCTION("""COMPUTED_VALUE"""),0.0)</f>
        <v>0</v>
      </c>
      <c r="AR4167" s="82">
        <f>IFERROR(__xludf.DUMMYFUNCTION("""COMPUTED_VALUE"""),0.0)</f>
        <v>0</v>
      </c>
      <c r="AS4167" s="82"/>
      <c r="AT4167" s="82">
        <f>IFERROR(__xludf.DUMMYFUNCTION("""COMPUTED_VALUE"""),0.0)</f>
        <v>0</v>
      </c>
      <c r="AU4167" s="82"/>
      <c r="AV4167" s="82"/>
      <c r="AW4167" s="82" t="str">
        <f t="shared" si="1"/>
        <v/>
      </c>
      <c r="AX4167" s="83" t="str">
        <f t="array" ref="AX4167">IFERROR(DGET('SBV Import'!A:G,"SBV",{"RSC ID","Tier";B4167,A4167}))</f>
        <v/>
      </c>
      <c r="AY4167" s="82" t="str">
        <f t="shared" si="2"/>
        <v/>
      </c>
      <c r="AZ4167" s="82"/>
      <c r="BA4167" s="84" t="s">
        <v>152</v>
      </c>
      <c r="BB4167" s="84" t="str">
        <f>IFERROR(__xludf.DUMMYFUNCTION("iferror(if(A4167="""",,E4167&gt;=FILTER(Constants!$F$2:$F$10,Constants!$A$2:$A$10=A4167)))"),"")</f>
        <v/>
      </c>
    </row>
    <row r="4168">
      <c r="A4168" s="89"/>
      <c r="B4168" s="87"/>
      <c r="C4168" s="73"/>
      <c r="D4168" s="73"/>
      <c r="E4168" s="82"/>
      <c r="F4168" s="82"/>
      <c r="G4168" s="86"/>
      <c r="H4168" s="86"/>
      <c r="I4168" s="86"/>
      <c r="J4168" s="82"/>
      <c r="K4168" s="82"/>
      <c r="L4168" s="82"/>
      <c r="M4168" s="82"/>
      <c r="N4168" s="82"/>
      <c r="O4168" s="82"/>
      <c r="P4168" s="82"/>
      <c r="Q4168" s="82"/>
      <c r="R4168" s="82"/>
      <c r="S4168" s="82"/>
      <c r="T4168" s="82"/>
      <c r="U4168" s="82"/>
      <c r="V4168" s="82"/>
      <c r="W4168" s="82"/>
      <c r="X4168" s="82"/>
      <c r="Y4168" s="82"/>
      <c r="Z4168" s="82"/>
      <c r="AA4168" s="82"/>
      <c r="AB4168" s="82"/>
      <c r="AC4168" s="82"/>
      <c r="AD4168" s="82"/>
      <c r="AE4168" s="82"/>
      <c r="AF4168" s="82"/>
      <c r="AG4168" s="82"/>
      <c r="AH4168" s="82"/>
      <c r="AI4168" s="82"/>
      <c r="AJ4168" s="82"/>
      <c r="AK4168" s="82"/>
      <c r="AL4168" s="82"/>
      <c r="AM4168" s="82"/>
      <c r="AN4168" s="82">
        <f>IFERROR(__xludf.DUMMYFUNCTION("""COMPUTED_VALUE"""),0.0)</f>
        <v>0</v>
      </c>
      <c r="AO4168" s="82">
        <f>IFERROR(__xludf.DUMMYFUNCTION("""COMPUTED_VALUE"""),0.0)</f>
        <v>0</v>
      </c>
      <c r="AP4168" s="82">
        <f>IFERROR(__xludf.DUMMYFUNCTION("""COMPUTED_VALUE"""),0.0)</f>
        <v>0</v>
      </c>
      <c r="AQ4168" s="82">
        <f>IFERROR(__xludf.DUMMYFUNCTION("""COMPUTED_VALUE"""),0.0)</f>
        <v>0</v>
      </c>
      <c r="AR4168" s="82">
        <f>IFERROR(__xludf.DUMMYFUNCTION("""COMPUTED_VALUE"""),0.0)</f>
        <v>0</v>
      </c>
      <c r="AS4168" s="82"/>
      <c r="AT4168" s="82">
        <f>IFERROR(__xludf.DUMMYFUNCTION("""COMPUTED_VALUE"""),0.0)</f>
        <v>0</v>
      </c>
      <c r="AU4168" s="82"/>
      <c r="AV4168" s="82"/>
      <c r="AW4168" s="82" t="str">
        <f t="shared" si="1"/>
        <v/>
      </c>
      <c r="AX4168" s="83" t="str">
        <f t="array" ref="AX4168">IFERROR(DGET('SBV Import'!A:G,"SBV",{"RSC ID","Tier";B4168,A4168}))</f>
        <v/>
      </c>
      <c r="AY4168" s="82" t="str">
        <f t="shared" si="2"/>
        <v/>
      </c>
      <c r="AZ4168" s="82"/>
      <c r="BA4168" s="84" t="s">
        <v>152</v>
      </c>
      <c r="BB4168" s="84" t="str">
        <f>IFERROR(__xludf.DUMMYFUNCTION("iferror(if(A4168="""",,E4168&gt;=FILTER(Constants!$F$2:$F$10,Constants!$A$2:$A$10=A4168)))"),"")</f>
        <v/>
      </c>
    </row>
    <row r="4169">
      <c r="A4169" s="89"/>
      <c r="B4169" s="87"/>
      <c r="C4169" s="73"/>
      <c r="D4169" s="73"/>
      <c r="E4169" s="82"/>
      <c r="F4169" s="82"/>
      <c r="G4169" s="86"/>
      <c r="H4169" s="86"/>
      <c r="I4169" s="86"/>
      <c r="J4169" s="82"/>
      <c r="K4169" s="82"/>
      <c r="L4169" s="82"/>
      <c r="M4169" s="82"/>
      <c r="N4169" s="82"/>
      <c r="O4169" s="82"/>
      <c r="P4169" s="82"/>
      <c r="Q4169" s="82"/>
      <c r="R4169" s="82"/>
      <c r="S4169" s="82"/>
      <c r="T4169" s="82"/>
      <c r="U4169" s="82"/>
      <c r="V4169" s="82"/>
      <c r="W4169" s="82"/>
      <c r="X4169" s="82"/>
      <c r="Y4169" s="82"/>
      <c r="Z4169" s="82"/>
      <c r="AA4169" s="82"/>
      <c r="AB4169" s="82"/>
      <c r="AC4169" s="82"/>
      <c r="AD4169" s="82"/>
      <c r="AE4169" s="82"/>
      <c r="AF4169" s="82"/>
      <c r="AG4169" s="82"/>
      <c r="AH4169" s="82"/>
      <c r="AI4169" s="82"/>
      <c r="AJ4169" s="82"/>
      <c r="AK4169" s="82"/>
      <c r="AL4169" s="82"/>
      <c r="AM4169" s="82"/>
      <c r="AN4169" s="82">
        <f>IFERROR(__xludf.DUMMYFUNCTION("""COMPUTED_VALUE"""),0.0)</f>
        <v>0</v>
      </c>
      <c r="AO4169" s="82">
        <f>IFERROR(__xludf.DUMMYFUNCTION("""COMPUTED_VALUE"""),0.0)</f>
        <v>0</v>
      </c>
      <c r="AP4169" s="82">
        <f>IFERROR(__xludf.DUMMYFUNCTION("""COMPUTED_VALUE"""),0.0)</f>
        <v>0</v>
      </c>
      <c r="AQ4169" s="82">
        <f>IFERROR(__xludf.DUMMYFUNCTION("""COMPUTED_VALUE"""),0.0)</f>
        <v>0</v>
      </c>
      <c r="AR4169" s="82">
        <f>IFERROR(__xludf.DUMMYFUNCTION("""COMPUTED_VALUE"""),0.0)</f>
        <v>0</v>
      </c>
      <c r="AS4169" s="82"/>
      <c r="AT4169" s="82">
        <f>IFERROR(__xludf.DUMMYFUNCTION("""COMPUTED_VALUE"""),0.0)</f>
        <v>0</v>
      </c>
      <c r="AU4169" s="82"/>
      <c r="AV4169" s="82"/>
      <c r="AW4169" s="82" t="str">
        <f t="shared" si="1"/>
        <v/>
      </c>
      <c r="AX4169" s="83" t="str">
        <f t="array" ref="AX4169">IFERROR(DGET('SBV Import'!A:G,"SBV",{"RSC ID","Tier";B4169,A4169}))</f>
        <v/>
      </c>
      <c r="AY4169" s="82" t="str">
        <f t="shared" si="2"/>
        <v/>
      </c>
      <c r="AZ4169" s="82"/>
      <c r="BA4169" s="84" t="s">
        <v>152</v>
      </c>
      <c r="BB4169" s="84" t="str">
        <f>IFERROR(__xludf.DUMMYFUNCTION("iferror(if(A4169="""",,E4169&gt;=FILTER(Constants!$F$2:$F$10,Constants!$A$2:$A$10=A4169)))"),"")</f>
        <v/>
      </c>
    </row>
    <row r="4170">
      <c r="A4170" s="89"/>
      <c r="B4170" s="87"/>
      <c r="C4170" s="73"/>
      <c r="D4170" s="73"/>
      <c r="E4170" s="82"/>
      <c r="F4170" s="82"/>
      <c r="G4170" s="86"/>
      <c r="H4170" s="86"/>
      <c r="I4170" s="86"/>
      <c r="J4170" s="82"/>
      <c r="K4170" s="82"/>
      <c r="L4170" s="82"/>
      <c r="M4170" s="82"/>
      <c r="N4170" s="82"/>
      <c r="O4170" s="82"/>
      <c r="P4170" s="82"/>
      <c r="Q4170" s="82"/>
      <c r="R4170" s="82"/>
      <c r="S4170" s="82"/>
      <c r="T4170" s="82"/>
      <c r="U4170" s="82"/>
      <c r="V4170" s="82"/>
      <c r="W4170" s="82"/>
      <c r="X4170" s="82"/>
      <c r="Y4170" s="82"/>
      <c r="Z4170" s="82"/>
      <c r="AA4170" s="82"/>
      <c r="AB4170" s="82"/>
      <c r="AC4170" s="82"/>
      <c r="AD4170" s="82"/>
      <c r="AE4170" s="82"/>
      <c r="AF4170" s="82"/>
      <c r="AG4170" s="82"/>
      <c r="AH4170" s="82"/>
      <c r="AI4170" s="82"/>
      <c r="AJ4170" s="82"/>
      <c r="AK4170" s="82"/>
      <c r="AL4170" s="82"/>
      <c r="AM4170" s="82"/>
      <c r="AN4170" s="82">
        <f>IFERROR(__xludf.DUMMYFUNCTION("""COMPUTED_VALUE"""),0.0)</f>
        <v>0</v>
      </c>
      <c r="AO4170" s="82">
        <f>IFERROR(__xludf.DUMMYFUNCTION("""COMPUTED_VALUE"""),0.0)</f>
        <v>0</v>
      </c>
      <c r="AP4170" s="82">
        <f>IFERROR(__xludf.DUMMYFUNCTION("""COMPUTED_VALUE"""),0.0)</f>
        <v>0</v>
      </c>
      <c r="AQ4170" s="82">
        <f>IFERROR(__xludf.DUMMYFUNCTION("""COMPUTED_VALUE"""),0.0)</f>
        <v>0</v>
      </c>
      <c r="AR4170" s="82">
        <f>IFERROR(__xludf.DUMMYFUNCTION("""COMPUTED_VALUE"""),0.0)</f>
        <v>0</v>
      </c>
      <c r="AS4170" s="82"/>
      <c r="AT4170" s="82">
        <f>IFERROR(__xludf.DUMMYFUNCTION("""COMPUTED_VALUE"""),0.0)</f>
        <v>0</v>
      </c>
      <c r="AU4170" s="82"/>
      <c r="AV4170" s="82"/>
      <c r="AW4170" s="82" t="str">
        <f t="shared" si="1"/>
        <v/>
      </c>
      <c r="AX4170" s="83" t="str">
        <f t="array" ref="AX4170">IFERROR(DGET('SBV Import'!A:G,"SBV",{"RSC ID","Tier";B4170,A4170}))</f>
        <v/>
      </c>
      <c r="AY4170" s="82" t="str">
        <f t="shared" si="2"/>
        <v/>
      </c>
      <c r="AZ4170" s="82"/>
      <c r="BA4170" s="84" t="s">
        <v>152</v>
      </c>
      <c r="BB4170" s="84" t="str">
        <f>IFERROR(__xludf.DUMMYFUNCTION("iferror(if(A4170="""",,E4170&gt;=FILTER(Constants!$F$2:$F$10,Constants!$A$2:$A$10=A4170)))"),"")</f>
        <v/>
      </c>
    </row>
    <row r="4171">
      <c r="A4171" s="89"/>
      <c r="B4171" s="87"/>
      <c r="C4171" s="73"/>
      <c r="D4171" s="73"/>
      <c r="E4171" s="82"/>
      <c r="F4171" s="82"/>
      <c r="G4171" s="86"/>
      <c r="H4171" s="86"/>
      <c r="I4171" s="86"/>
      <c r="J4171" s="82"/>
      <c r="K4171" s="82"/>
      <c r="L4171" s="82"/>
      <c r="M4171" s="82"/>
      <c r="N4171" s="82"/>
      <c r="O4171" s="82"/>
      <c r="P4171" s="82"/>
      <c r="Q4171" s="82"/>
      <c r="R4171" s="82"/>
      <c r="S4171" s="82"/>
      <c r="T4171" s="82"/>
      <c r="U4171" s="82"/>
      <c r="V4171" s="82"/>
      <c r="W4171" s="82"/>
      <c r="X4171" s="82"/>
      <c r="Y4171" s="82"/>
      <c r="Z4171" s="82"/>
      <c r="AA4171" s="82"/>
      <c r="AB4171" s="82"/>
      <c r="AC4171" s="82"/>
      <c r="AD4171" s="82"/>
      <c r="AE4171" s="82"/>
      <c r="AF4171" s="82"/>
      <c r="AG4171" s="82"/>
      <c r="AH4171" s="82"/>
      <c r="AI4171" s="82"/>
      <c r="AJ4171" s="82"/>
      <c r="AK4171" s="82"/>
      <c r="AL4171" s="82"/>
      <c r="AM4171" s="82"/>
      <c r="AN4171" s="82">
        <f>IFERROR(__xludf.DUMMYFUNCTION("""COMPUTED_VALUE"""),0.0)</f>
        <v>0</v>
      </c>
      <c r="AO4171" s="82">
        <f>IFERROR(__xludf.DUMMYFUNCTION("""COMPUTED_VALUE"""),0.0)</f>
        <v>0</v>
      </c>
      <c r="AP4171" s="82">
        <f>IFERROR(__xludf.DUMMYFUNCTION("""COMPUTED_VALUE"""),0.0)</f>
        <v>0</v>
      </c>
      <c r="AQ4171" s="82">
        <f>IFERROR(__xludf.DUMMYFUNCTION("""COMPUTED_VALUE"""),0.0)</f>
        <v>0</v>
      </c>
      <c r="AR4171" s="82">
        <f>IFERROR(__xludf.DUMMYFUNCTION("""COMPUTED_VALUE"""),0.0)</f>
        <v>0</v>
      </c>
      <c r="AS4171" s="82"/>
      <c r="AT4171" s="82">
        <f>IFERROR(__xludf.DUMMYFUNCTION("""COMPUTED_VALUE"""),0.0)</f>
        <v>0</v>
      </c>
      <c r="AU4171" s="82"/>
      <c r="AV4171" s="82"/>
      <c r="AW4171" s="82" t="str">
        <f t="shared" si="1"/>
        <v/>
      </c>
      <c r="AX4171" s="83" t="str">
        <f t="array" ref="AX4171">IFERROR(DGET('SBV Import'!A:G,"SBV",{"RSC ID","Tier";B4171,A4171}))</f>
        <v/>
      </c>
      <c r="AY4171" s="82" t="str">
        <f t="shared" si="2"/>
        <v/>
      </c>
      <c r="AZ4171" s="82"/>
      <c r="BA4171" s="84" t="s">
        <v>152</v>
      </c>
      <c r="BB4171" s="84" t="str">
        <f>IFERROR(__xludf.DUMMYFUNCTION("iferror(if(A4171="""",,E4171&gt;=FILTER(Constants!$F$2:$F$10,Constants!$A$2:$A$10=A4171)))"),"")</f>
        <v/>
      </c>
    </row>
    <row r="4172">
      <c r="A4172" s="89"/>
      <c r="B4172" s="87"/>
      <c r="C4172" s="73"/>
      <c r="D4172" s="73"/>
      <c r="E4172" s="82"/>
      <c r="F4172" s="82"/>
      <c r="G4172" s="86"/>
      <c r="H4172" s="86"/>
      <c r="I4172" s="86"/>
      <c r="J4172" s="82"/>
      <c r="K4172" s="82"/>
      <c r="L4172" s="82"/>
      <c r="M4172" s="82"/>
      <c r="N4172" s="82"/>
      <c r="O4172" s="82"/>
      <c r="P4172" s="82"/>
      <c r="Q4172" s="82"/>
      <c r="R4172" s="82"/>
      <c r="S4172" s="82"/>
      <c r="T4172" s="82"/>
      <c r="U4172" s="82"/>
      <c r="V4172" s="82"/>
      <c r="W4172" s="82"/>
      <c r="X4172" s="82"/>
      <c r="Y4172" s="82"/>
      <c r="Z4172" s="82"/>
      <c r="AA4172" s="82"/>
      <c r="AB4172" s="82"/>
      <c r="AC4172" s="82"/>
      <c r="AD4172" s="82"/>
      <c r="AE4172" s="82"/>
      <c r="AF4172" s="82"/>
      <c r="AG4172" s="82"/>
      <c r="AH4172" s="82"/>
      <c r="AI4172" s="82"/>
      <c r="AJ4172" s="82"/>
      <c r="AK4172" s="82"/>
      <c r="AL4172" s="82"/>
      <c r="AM4172" s="82"/>
      <c r="AN4172" s="82">
        <f>IFERROR(__xludf.DUMMYFUNCTION("""COMPUTED_VALUE"""),0.0)</f>
        <v>0</v>
      </c>
      <c r="AO4172" s="82">
        <f>IFERROR(__xludf.DUMMYFUNCTION("""COMPUTED_VALUE"""),0.0)</f>
        <v>0</v>
      </c>
      <c r="AP4172" s="82">
        <f>IFERROR(__xludf.DUMMYFUNCTION("""COMPUTED_VALUE"""),0.0)</f>
        <v>0</v>
      </c>
      <c r="AQ4172" s="82">
        <f>IFERROR(__xludf.DUMMYFUNCTION("""COMPUTED_VALUE"""),0.0)</f>
        <v>0</v>
      </c>
      <c r="AR4172" s="82">
        <f>IFERROR(__xludf.DUMMYFUNCTION("""COMPUTED_VALUE"""),0.0)</f>
        <v>0</v>
      </c>
      <c r="AS4172" s="82"/>
      <c r="AT4172" s="82">
        <f>IFERROR(__xludf.DUMMYFUNCTION("""COMPUTED_VALUE"""),0.0)</f>
        <v>0</v>
      </c>
      <c r="AU4172" s="82"/>
      <c r="AV4172" s="82"/>
      <c r="AW4172" s="82" t="str">
        <f t="shared" si="1"/>
        <v/>
      </c>
      <c r="AX4172" s="83" t="str">
        <f t="array" ref="AX4172">IFERROR(DGET('SBV Import'!A:G,"SBV",{"RSC ID","Tier";B4172,A4172}))</f>
        <v/>
      </c>
      <c r="AY4172" s="82" t="str">
        <f t="shared" si="2"/>
        <v/>
      </c>
      <c r="AZ4172" s="82"/>
      <c r="BA4172" s="84" t="s">
        <v>152</v>
      </c>
      <c r="BB4172" s="84" t="str">
        <f>IFERROR(__xludf.DUMMYFUNCTION("iferror(if(A4172="""",,E4172&gt;=FILTER(Constants!$F$2:$F$10,Constants!$A$2:$A$10=A4172)))"),"")</f>
        <v/>
      </c>
    </row>
    <row r="4173">
      <c r="A4173" s="89"/>
      <c r="B4173" s="87"/>
      <c r="C4173" s="73"/>
      <c r="D4173" s="73"/>
      <c r="E4173" s="82"/>
      <c r="F4173" s="82"/>
      <c r="G4173" s="86"/>
      <c r="H4173" s="86"/>
      <c r="I4173" s="86"/>
      <c r="J4173" s="82"/>
      <c r="K4173" s="82"/>
      <c r="L4173" s="82"/>
      <c r="M4173" s="82"/>
      <c r="N4173" s="82"/>
      <c r="O4173" s="82"/>
      <c r="P4173" s="82"/>
      <c r="Q4173" s="82"/>
      <c r="R4173" s="82"/>
      <c r="S4173" s="82"/>
      <c r="T4173" s="82"/>
      <c r="U4173" s="82"/>
      <c r="V4173" s="82"/>
      <c r="W4173" s="82"/>
      <c r="X4173" s="82"/>
      <c r="Y4173" s="82"/>
      <c r="Z4173" s="82"/>
      <c r="AA4173" s="82"/>
      <c r="AB4173" s="82"/>
      <c r="AC4173" s="82"/>
      <c r="AD4173" s="82"/>
      <c r="AE4173" s="82"/>
      <c r="AF4173" s="82"/>
      <c r="AG4173" s="82"/>
      <c r="AH4173" s="82"/>
      <c r="AI4173" s="82"/>
      <c r="AJ4173" s="82"/>
      <c r="AK4173" s="82"/>
      <c r="AL4173" s="82"/>
      <c r="AM4173" s="82"/>
      <c r="AN4173" s="82">
        <f>IFERROR(__xludf.DUMMYFUNCTION("""COMPUTED_VALUE"""),0.0)</f>
        <v>0</v>
      </c>
      <c r="AO4173" s="82">
        <f>IFERROR(__xludf.DUMMYFUNCTION("""COMPUTED_VALUE"""),0.0)</f>
        <v>0</v>
      </c>
      <c r="AP4173" s="82">
        <f>IFERROR(__xludf.DUMMYFUNCTION("""COMPUTED_VALUE"""),0.0)</f>
        <v>0</v>
      </c>
      <c r="AQ4173" s="82">
        <f>IFERROR(__xludf.DUMMYFUNCTION("""COMPUTED_VALUE"""),0.0)</f>
        <v>0</v>
      </c>
      <c r="AR4173" s="82">
        <f>IFERROR(__xludf.DUMMYFUNCTION("""COMPUTED_VALUE"""),0.0)</f>
        <v>0</v>
      </c>
      <c r="AS4173" s="82"/>
      <c r="AT4173" s="82">
        <f>IFERROR(__xludf.DUMMYFUNCTION("""COMPUTED_VALUE"""),0.0)</f>
        <v>0</v>
      </c>
      <c r="AU4173" s="82"/>
      <c r="AV4173" s="82"/>
      <c r="AW4173" s="82" t="str">
        <f t="shared" si="1"/>
        <v/>
      </c>
      <c r="AX4173" s="83" t="str">
        <f t="array" ref="AX4173">IFERROR(DGET('SBV Import'!A:G,"SBV",{"RSC ID","Tier";B4173,A4173}))</f>
        <v/>
      </c>
      <c r="AY4173" s="82" t="str">
        <f t="shared" si="2"/>
        <v/>
      </c>
      <c r="AZ4173" s="82"/>
      <c r="BA4173" s="84" t="s">
        <v>152</v>
      </c>
      <c r="BB4173" s="84" t="str">
        <f>IFERROR(__xludf.DUMMYFUNCTION("iferror(if(A4173="""",,E4173&gt;=FILTER(Constants!$F$2:$F$10,Constants!$A$2:$A$10=A4173)))"),"")</f>
        <v/>
      </c>
    </row>
    <row r="4174">
      <c r="A4174" s="89"/>
      <c r="B4174" s="87"/>
      <c r="C4174" s="73"/>
      <c r="D4174" s="73"/>
      <c r="E4174" s="82"/>
      <c r="F4174" s="82"/>
      <c r="G4174" s="86"/>
      <c r="H4174" s="86"/>
      <c r="I4174" s="86"/>
      <c r="J4174" s="82"/>
      <c r="K4174" s="82"/>
      <c r="L4174" s="82"/>
      <c r="M4174" s="82"/>
      <c r="N4174" s="82"/>
      <c r="O4174" s="82"/>
      <c r="P4174" s="82"/>
      <c r="Q4174" s="82"/>
      <c r="R4174" s="82"/>
      <c r="S4174" s="82"/>
      <c r="T4174" s="82"/>
      <c r="U4174" s="82"/>
      <c r="V4174" s="82"/>
      <c r="W4174" s="82"/>
      <c r="X4174" s="82"/>
      <c r="Y4174" s="82"/>
      <c r="Z4174" s="82"/>
      <c r="AA4174" s="82"/>
      <c r="AB4174" s="82"/>
      <c r="AC4174" s="82"/>
      <c r="AD4174" s="82"/>
      <c r="AE4174" s="82"/>
      <c r="AF4174" s="82"/>
      <c r="AG4174" s="82"/>
      <c r="AH4174" s="82"/>
      <c r="AI4174" s="82"/>
      <c r="AJ4174" s="82"/>
      <c r="AK4174" s="82"/>
      <c r="AL4174" s="82"/>
      <c r="AM4174" s="82"/>
      <c r="AN4174" s="82">
        <f>IFERROR(__xludf.DUMMYFUNCTION("""COMPUTED_VALUE"""),0.0)</f>
        <v>0</v>
      </c>
      <c r="AO4174" s="82">
        <f>IFERROR(__xludf.DUMMYFUNCTION("""COMPUTED_VALUE"""),0.0)</f>
        <v>0</v>
      </c>
      <c r="AP4174" s="82">
        <f>IFERROR(__xludf.DUMMYFUNCTION("""COMPUTED_VALUE"""),0.0)</f>
        <v>0</v>
      </c>
      <c r="AQ4174" s="82">
        <f>IFERROR(__xludf.DUMMYFUNCTION("""COMPUTED_VALUE"""),0.0)</f>
        <v>0</v>
      </c>
      <c r="AR4174" s="82">
        <f>IFERROR(__xludf.DUMMYFUNCTION("""COMPUTED_VALUE"""),0.0)</f>
        <v>0</v>
      </c>
      <c r="AS4174" s="82"/>
      <c r="AT4174" s="82">
        <f>IFERROR(__xludf.DUMMYFUNCTION("""COMPUTED_VALUE"""),0.0)</f>
        <v>0</v>
      </c>
      <c r="AU4174" s="82"/>
      <c r="AV4174" s="82"/>
      <c r="AW4174" s="82" t="str">
        <f t="shared" si="1"/>
        <v/>
      </c>
      <c r="AX4174" s="83" t="str">
        <f t="array" ref="AX4174">IFERROR(DGET('SBV Import'!A:G,"SBV",{"RSC ID","Tier";B4174,A4174}))</f>
        <v/>
      </c>
      <c r="AY4174" s="82" t="str">
        <f t="shared" si="2"/>
        <v/>
      </c>
      <c r="AZ4174" s="82"/>
      <c r="BA4174" s="84" t="s">
        <v>152</v>
      </c>
      <c r="BB4174" s="84" t="str">
        <f>IFERROR(__xludf.DUMMYFUNCTION("iferror(if(A4174="""",,E4174&gt;=FILTER(Constants!$F$2:$F$10,Constants!$A$2:$A$10=A4174)))"),"")</f>
        <v/>
      </c>
    </row>
    <row r="4175">
      <c r="A4175" s="89"/>
      <c r="B4175" s="87"/>
      <c r="C4175" s="73"/>
      <c r="D4175" s="73"/>
      <c r="E4175" s="82"/>
      <c r="F4175" s="82"/>
      <c r="G4175" s="86"/>
      <c r="H4175" s="86"/>
      <c r="I4175" s="86"/>
      <c r="J4175" s="82"/>
      <c r="K4175" s="82"/>
      <c r="L4175" s="82"/>
      <c r="M4175" s="82"/>
      <c r="N4175" s="82"/>
      <c r="O4175" s="82"/>
      <c r="P4175" s="82"/>
      <c r="Q4175" s="82"/>
      <c r="R4175" s="82"/>
      <c r="S4175" s="82"/>
      <c r="T4175" s="82"/>
      <c r="U4175" s="82"/>
      <c r="V4175" s="82"/>
      <c r="W4175" s="82"/>
      <c r="X4175" s="82"/>
      <c r="Y4175" s="82"/>
      <c r="Z4175" s="82"/>
      <c r="AA4175" s="82"/>
      <c r="AB4175" s="82"/>
      <c r="AC4175" s="82"/>
      <c r="AD4175" s="82"/>
      <c r="AE4175" s="82"/>
      <c r="AF4175" s="82"/>
      <c r="AG4175" s="82"/>
      <c r="AH4175" s="82"/>
      <c r="AI4175" s="82"/>
      <c r="AJ4175" s="82"/>
      <c r="AK4175" s="82"/>
      <c r="AL4175" s="82"/>
      <c r="AM4175" s="82"/>
      <c r="AN4175" s="82">
        <f>IFERROR(__xludf.DUMMYFUNCTION("""COMPUTED_VALUE"""),0.0)</f>
        <v>0</v>
      </c>
      <c r="AO4175" s="82">
        <f>IFERROR(__xludf.DUMMYFUNCTION("""COMPUTED_VALUE"""),0.0)</f>
        <v>0</v>
      </c>
      <c r="AP4175" s="82">
        <f>IFERROR(__xludf.DUMMYFUNCTION("""COMPUTED_VALUE"""),0.0)</f>
        <v>0</v>
      </c>
      <c r="AQ4175" s="82">
        <f>IFERROR(__xludf.DUMMYFUNCTION("""COMPUTED_VALUE"""),0.0)</f>
        <v>0</v>
      </c>
      <c r="AR4175" s="82">
        <f>IFERROR(__xludf.DUMMYFUNCTION("""COMPUTED_VALUE"""),0.0)</f>
        <v>0</v>
      </c>
      <c r="AS4175" s="82"/>
      <c r="AT4175" s="82">
        <f>IFERROR(__xludf.DUMMYFUNCTION("""COMPUTED_VALUE"""),0.0)</f>
        <v>0</v>
      </c>
      <c r="AU4175" s="82"/>
      <c r="AV4175" s="82"/>
      <c r="AW4175" s="82" t="str">
        <f t="shared" si="1"/>
        <v/>
      </c>
      <c r="AX4175" s="83" t="str">
        <f t="array" ref="AX4175">IFERROR(DGET('SBV Import'!A:G,"SBV",{"RSC ID","Tier";B4175,A4175}))</f>
        <v/>
      </c>
      <c r="AY4175" s="82" t="str">
        <f t="shared" si="2"/>
        <v/>
      </c>
      <c r="AZ4175" s="82"/>
      <c r="BA4175" s="84" t="s">
        <v>152</v>
      </c>
      <c r="BB4175" s="84" t="str">
        <f>IFERROR(__xludf.DUMMYFUNCTION("iferror(if(A4175="""",,E4175&gt;=FILTER(Constants!$F$2:$F$10,Constants!$A$2:$A$10=A4175)))"),"")</f>
        <v/>
      </c>
    </row>
    <row r="4176">
      <c r="A4176" s="89"/>
      <c r="B4176" s="87"/>
      <c r="C4176" s="73"/>
      <c r="D4176" s="73"/>
      <c r="E4176" s="82"/>
      <c r="F4176" s="82"/>
      <c r="G4176" s="86"/>
      <c r="H4176" s="86"/>
      <c r="I4176" s="86"/>
      <c r="J4176" s="82"/>
      <c r="K4176" s="82"/>
      <c r="L4176" s="82"/>
      <c r="M4176" s="82"/>
      <c r="N4176" s="82"/>
      <c r="O4176" s="82"/>
      <c r="P4176" s="82"/>
      <c r="Q4176" s="82"/>
      <c r="R4176" s="82"/>
      <c r="S4176" s="82"/>
      <c r="T4176" s="82"/>
      <c r="U4176" s="82"/>
      <c r="V4176" s="82"/>
      <c r="W4176" s="82"/>
      <c r="X4176" s="82"/>
      <c r="Y4176" s="82"/>
      <c r="Z4176" s="82"/>
      <c r="AA4176" s="82"/>
      <c r="AB4176" s="82"/>
      <c r="AC4176" s="82"/>
      <c r="AD4176" s="82"/>
      <c r="AE4176" s="82"/>
      <c r="AF4176" s="82"/>
      <c r="AG4176" s="82"/>
      <c r="AH4176" s="82"/>
      <c r="AI4176" s="82"/>
      <c r="AJ4176" s="82"/>
      <c r="AK4176" s="82"/>
      <c r="AL4176" s="82"/>
      <c r="AM4176" s="82"/>
      <c r="AN4176" s="82">
        <f>IFERROR(__xludf.DUMMYFUNCTION("""COMPUTED_VALUE"""),0.0)</f>
        <v>0</v>
      </c>
      <c r="AO4176" s="82">
        <f>IFERROR(__xludf.DUMMYFUNCTION("""COMPUTED_VALUE"""),0.0)</f>
        <v>0</v>
      </c>
      <c r="AP4176" s="82">
        <f>IFERROR(__xludf.DUMMYFUNCTION("""COMPUTED_VALUE"""),0.0)</f>
        <v>0</v>
      </c>
      <c r="AQ4176" s="82">
        <f>IFERROR(__xludf.DUMMYFUNCTION("""COMPUTED_VALUE"""),0.0)</f>
        <v>0</v>
      </c>
      <c r="AR4176" s="82">
        <f>IFERROR(__xludf.DUMMYFUNCTION("""COMPUTED_VALUE"""),0.0)</f>
        <v>0</v>
      </c>
      <c r="AS4176" s="82"/>
      <c r="AT4176" s="82">
        <f>IFERROR(__xludf.DUMMYFUNCTION("""COMPUTED_VALUE"""),0.0)</f>
        <v>0</v>
      </c>
      <c r="AU4176" s="82"/>
      <c r="AV4176" s="82"/>
      <c r="AW4176" s="82" t="str">
        <f t="shared" si="1"/>
        <v/>
      </c>
      <c r="AX4176" s="83" t="str">
        <f t="array" ref="AX4176">IFERROR(DGET('SBV Import'!A:G,"SBV",{"RSC ID","Tier";B4176,A4176}))</f>
        <v/>
      </c>
      <c r="AY4176" s="82" t="str">
        <f t="shared" si="2"/>
        <v/>
      </c>
      <c r="AZ4176" s="82"/>
      <c r="BA4176" s="84" t="s">
        <v>152</v>
      </c>
      <c r="BB4176" s="84" t="str">
        <f>IFERROR(__xludf.DUMMYFUNCTION("iferror(if(A4176="""",,E4176&gt;=FILTER(Constants!$F$2:$F$10,Constants!$A$2:$A$10=A4176)))"),"")</f>
        <v/>
      </c>
    </row>
    <row r="4177">
      <c r="A4177" s="89"/>
      <c r="B4177" s="87"/>
      <c r="C4177" s="73"/>
      <c r="D4177" s="73"/>
      <c r="E4177" s="82"/>
      <c r="F4177" s="82"/>
      <c r="G4177" s="86"/>
      <c r="H4177" s="86"/>
      <c r="I4177" s="86"/>
      <c r="J4177" s="82"/>
      <c r="K4177" s="82"/>
      <c r="L4177" s="82"/>
      <c r="M4177" s="82"/>
      <c r="N4177" s="82"/>
      <c r="O4177" s="82"/>
      <c r="P4177" s="82"/>
      <c r="Q4177" s="82"/>
      <c r="R4177" s="82"/>
      <c r="S4177" s="82"/>
      <c r="T4177" s="82"/>
      <c r="U4177" s="82"/>
      <c r="V4177" s="82"/>
      <c r="W4177" s="82"/>
      <c r="X4177" s="82"/>
      <c r="Y4177" s="82"/>
      <c r="Z4177" s="82"/>
      <c r="AA4177" s="82"/>
      <c r="AB4177" s="82"/>
      <c r="AC4177" s="82"/>
      <c r="AD4177" s="82"/>
      <c r="AE4177" s="82"/>
      <c r="AF4177" s="82"/>
      <c r="AG4177" s="82"/>
      <c r="AH4177" s="82"/>
      <c r="AI4177" s="82"/>
      <c r="AJ4177" s="82"/>
      <c r="AK4177" s="82"/>
      <c r="AL4177" s="82"/>
      <c r="AM4177" s="82"/>
      <c r="AN4177" s="82">
        <f>IFERROR(__xludf.DUMMYFUNCTION("""COMPUTED_VALUE"""),0.0)</f>
        <v>0</v>
      </c>
      <c r="AO4177" s="82">
        <f>IFERROR(__xludf.DUMMYFUNCTION("""COMPUTED_VALUE"""),0.0)</f>
        <v>0</v>
      </c>
      <c r="AP4177" s="82">
        <f>IFERROR(__xludf.DUMMYFUNCTION("""COMPUTED_VALUE"""),0.0)</f>
        <v>0</v>
      </c>
      <c r="AQ4177" s="82">
        <f>IFERROR(__xludf.DUMMYFUNCTION("""COMPUTED_VALUE"""),0.0)</f>
        <v>0</v>
      </c>
      <c r="AR4177" s="82">
        <f>IFERROR(__xludf.DUMMYFUNCTION("""COMPUTED_VALUE"""),0.0)</f>
        <v>0</v>
      </c>
      <c r="AS4177" s="82"/>
      <c r="AT4177" s="82">
        <f>IFERROR(__xludf.DUMMYFUNCTION("""COMPUTED_VALUE"""),0.0)</f>
        <v>0</v>
      </c>
      <c r="AU4177" s="82"/>
      <c r="AV4177" s="82"/>
      <c r="AW4177" s="82" t="str">
        <f t="shared" si="1"/>
        <v/>
      </c>
      <c r="AX4177" s="83" t="str">
        <f t="array" ref="AX4177">IFERROR(DGET('SBV Import'!A:G,"SBV",{"RSC ID","Tier";B4177,A4177}))</f>
        <v/>
      </c>
      <c r="AY4177" s="82" t="str">
        <f t="shared" si="2"/>
        <v/>
      </c>
      <c r="AZ4177" s="82"/>
      <c r="BA4177" s="84" t="s">
        <v>152</v>
      </c>
      <c r="BB4177" s="84" t="str">
        <f>IFERROR(__xludf.DUMMYFUNCTION("iferror(if(A4177="""",,E4177&gt;=FILTER(Constants!$F$2:$F$10,Constants!$A$2:$A$10=A4177)))"),"")</f>
        <v/>
      </c>
    </row>
    <row r="4178">
      <c r="A4178" s="89"/>
      <c r="B4178" s="87"/>
      <c r="C4178" s="73"/>
      <c r="D4178" s="73"/>
      <c r="E4178" s="82"/>
      <c r="F4178" s="82"/>
      <c r="G4178" s="86"/>
      <c r="H4178" s="86"/>
      <c r="I4178" s="86"/>
      <c r="J4178" s="82"/>
      <c r="K4178" s="82"/>
      <c r="L4178" s="82"/>
      <c r="M4178" s="82"/>
      <c r="N4178" s="82"/>
      <c r="O4178" s="82"/>
      <c r="P4178" s="82"/>
      <c r="Q4178" s="82"/>
      <c r="R4178" s="82"/>
      <c r="S4178" s="82"/>
      <c r="T4178" s="82"/>
      <c r="U4178" s="82"/>
      <c r="V4178" s="82"/>
      <c r="W4178" s="82"/>
      <c r="X4178" s="82"/>
      <c r="Y4178" s="82"/>
      <c r="Z4178" s="82"/>
      <c r="AA4178" s="82"/>
      <c r="AB4178" s="82"/>
      <c r="AC4178" s="82"/>
      <c r="AD4178" s="82"/>
      <c r="AE4178" s="82"/>
      <c r="AF4178" s="82"/>
      <c r="AG4178" s="82"/>
      <c r="AH4178" s="82"/>
      <c r="AI4178" s="82"/>
      <c r="AJ4178" s="82"/>
      <c r="AK4178" s="82"/>
      <c r="AL4178" s="82"/>
      <c r="AM4178" s="82"/>
      <c r="AN4178" s="82">
        <f>IFERROR(__xludf.DUMMYFUNCTION("""COMPUTED_VALUE"""),0.0)</f>
        <v>0</v>
      </c>
      <c r="AO4178" s="82">
        <f>IFERROR(__xludf.DUMMYFUNCTION("""COMPUTED_VALUE"""),0.0)</f>
        <v>0</v>
      </c>
      <c r="AP4178" s="82">
        <f>IFERROR(__xludf.DUMMYFUNCTION("""COMPUTED_VALUE"""),0.0)</f>
        <v>0</v>
      </c>
      <c r="AQ4178" s="82">
        <f>IFERROR(__xludf.DUMMYFUNCTION("""COMPUTED_VALUE"""),0.0)</f>
        <v>0</v>
      </c>
      <c r="AR4178" s="82">
        <f>IFERROR(__xludf.DUMMYFUNCTION("""COMPUTED_VALUE"""),0.0)</f>
        <v>0</v>
      </c>
      <c r="AS4178" s="82"/>
      <c r="AT4178" s="82">
        <f>IFERROR(__xludf.DUMMYFUNCTION("""COMPUTED_VALUE"""),0.0)</f>
        <v>0</v>
      </c>
      <c r="AU4178" s="82"/>
      <c r="AV4178" s="82"/>
      <c r="AW4178" s="82" t="str">
        <f t="shared" si="1"/>
        <v/>
      </c>
      <c r="AX4178" s="83" t="str">
        <f t="array" ref="AX4178">IFERROR(DGET('SBV Import'!A:G,"SBV",{"RSC ID","Tier";B4178,A4178}))</f>
        <v/>
      </c>
      <c r="AY4178" s="82" t="str">
        <f t="shared" si="2"/>
        <v/>
      </c>
      <c r="AZ4178" s="82"/>
      <c r="BA4178" s="84" t="s">
        <v>152</v>
      </c>
      <c r="BB4178" s="84" t="str">
        <f>IFERROR(__xludf.DUMMYFUNCTION("iferror(if(A4178="""",,E4178&gt;=FILTER(Constants!$F$2:$F$10,Constants!$A$2:$A$10=A4178)))"),"")</f>
        <v/>
      </c>
    </row>
    <row r="4179">
      <c r="A4179" s="89"/>
      <c r="B4179" s="87"/>
      <c r="C4179" s="73"/>
      <c r="D4179" s="73"/>
      <c r="E4179" s="82"/>
      <c r="F4179" s="82"/>
      <c r="G4179" s="86"/>
      <c r="H4179" s="86"/>
      <c r="I4179" s="86"/>
      <c r="J4179" s="82"/>
      <c r="K4179" s="82"/>
      <c r="L4179" s="82"/>
      <c r="M4179" s="82"/>
      <c r="N4179" s="82"/>
      <c r="O4179" s="82"/>
      <c r="P4179" s="82"/>
      <c r="Q4179" s="82"/>
      <c r="R4179" s="82"/>
      <c r="S4179" s="82"/>
      <c r="T4179" s="82"/>
      <c r="U4179" s="82"/>
      <c r="V4179" s="82"/>
      <c r="W4179" s="82"/>
      <c r="X4179" s="82"/>
      <c r="Y4179" s="82"/>
      <c r="Z4179" s="82"/>
      <c r="AA4179" s="82"/>
      <c r="AB4179" s="82"/>
      <c r="AC4179" s="82"/>
      <c r="AD4179" s="82"/>
      <c r="AE4179" s="82"/>
      <c r="AF4179" s="82"/>
      <c r="AG4179" s="82"/>
      <c r="AH4179" s="82"/>
      <c r="AI4179" s="82"/>
      <c r="AJ4179" s="82"/>
      <c r="AK4179" s="82"/>
      <c r="AL4179" s="82"/>
      <c r="AM4179" s="82"/>
      <c r="AN4179" s="82">
        <f>IFERROR(__xludf.DUMMYFUNCTION("""COMPUTED_VALUE"""),0.0)</f>
        <v>0</v>
      </c>
      <c r="AO4179" s="82">
        <f>IFERROR(__xludf.DUMMYFUNCTION("""COMPUTED_VALUE"""),0.0)</f>
        <v>0</v>
      </c>
      <c r="AP4179" s="82">
        <f>IFERROR(__xludf.DUMMYFUNCTION("""COMPUTED_VALUE"""),0.0)</f>
        <v>0</v>
      </c>
      <c r="AQ4179" s="82">
        <f>IFERROR(__xludf.DUMMYFUNCTION("""COMPUTED_VALUE"""),0.0)</f>
        <v>0</v>
      </c>
      <c r="AR4179" s="82">
        <f>IFERROR(__xludf.DUMMYFUNCTION("""COMPUTED_VALUE"""),0.0)</f>
        <v>0</v>
      </c>
      <c r="AS4179" s="82"/>
      <c r="AT4179" s="82">
        <f>IFERROR(__xludf.DUMMYFUNCTION("""COMPUTED_VALUE"""),0.0)</f>
        <v>0</v>
      </c>
      <c r="AU4179" s="82"/>
      <c r="AV4179" s="82"/>
      <c r="AW4179" s="82" t="str">
        <f t="shared" si="1"/>
        <v/>
      </c>
      <c r="AX4179" s="83" t="str">
        <f t="array" ref="AX4179">IFERROR(DGET('SBV Import'!A:G,"SBV",{"RSC ID","Tier";B4179,A4179}))</f>
        <v/>
      </c>
      <c r="AY4179" s="82" t="str">
        <f t="shared" si="2"/>
        <v/>
      </c>
      <c r="AZ4179" s="82"/>
      <c r="BA4179" s="84" t="s">
        <v>152</v>
      </c>
      <c r="BB4179" s="84" t="str">
        <f>IFERROR(__xludf.DUMMYFUNCTION("iferror(if(A4179="""",,E4179&gt;=FILTER(Constants!$F$2:$F$10,Constants!$A$2:$A$10=A4179)))"),"")</f>
        <v/>
      </c>
    </row>
    <row r="4180">
      <c r="A4180" s="89"/>
      <c r="B4180" s="87"/>
      <c r="C4180" s="73"/>
      <c r="D4180" s="73"/>
      <c r="E4180" s="82"/>
      <c r="F4180" s="82"/>
      <c r="G4180" s="86"/>
      <c r="H4180" s="86"/>
      <c r="I4180" s="86"/>
      <c r="J4180" s="82"/>
      <c r="K4180" s="82"/>
      <c r="L4180" s="82"/>
      <c r="M4180" s="82"/>
      <c r="N4180" s="82"/>
      <c r="O4180" s="82"/>
      <c r="P4180" s="82"/>
      <c r="Q4180" s="82"/>
      <c r="R4180" s="82"/>
      <c r="S4180" s="82"/>
      <c r="T4180" s="82"/>
      <c r="U4180" s="82"/>
      <c r="V4180" s="82"/>
      <c r="W4180" s="82"/>
      <c r="X4180" s="82"/>
      <c r="Y4180" s="82"/>
      <c r="Z4180" s="82"/>
      <c r="AA4180" s="82"/>
      <c r="AB4180" s="82"/>
      <c r="AC4180" s="82"/>
      <c r="AD4180" s="82"/>
      <c r="AE4180" s="82"/>
      <c r="AF4180" s="82"/>
      <c r="AG4180" s="82"/>
      <c r="AH4180" s="82"/>
      <c r="AI4180" s="82"/>
      <c r="AJ4180" s="82"/>
      <c r="AK4180" s="82"/>
      <c r="AL4180" s="82"/>
      <c r="AM4180" s="82"/>
      <c r="AN4180" s="82">
        <f>IFERROR(__xludf.DUMMYFUNCTION("""COMPUTED_VALUE"""),0.0)</f>
        <v>0</v>
      </c>
      <c r="AO4180" s="82">
        <f>IFERROR(__xludf.DUMMYFUNCTION("""COMPUTED_VALUE"""),0.0)</f>
        <v>0</v>
      </c>
      <c r="AP4180" s="82">
        <f>IFERROR(__xludf.DUMMYFUNCTION("""COMPUTED_VALUE"""),0.0)</f>
        <v>0</v>
      </c>
      <c r="AQ4180" s="82">
        <f>IFERROR(__xludf.DUMMYFUNCTION("""COMPUTED_VALUE"""),0.0)</f>
        <v>0</v>
      </c>
      <c r="AR4180" s="82">
        <f>IFERROR(__xludf.DUMMYFUNCTION("""COMPUTED_VALUE"""),0.0)</f>
        <v>0</v>
      </c>
      <c r="AS4180" s="82"/>
      <c r="AT4180" s="82">
        <f>IFERROR(__xludf.DUMMYFUNCTION("""COMPUTED_VALUE"""),0.0)</f>
        <v>0</v>
      </c>
      <c r="AU4180" s="82"/>
      <c r="AV4180" s="82"/>
      <c r="AW4180" s="82" t="str">
        <f t="shared" si="1"/>
        <v/>
      </c>
      <c r="AX4180" s="83" t="str">
        <f t="array" ref="AX4180">IFERROR(DGET('SBV Import'!A:G,"SBV",{"RSC ID","Tier";B4180,A4180}))</f>
        <v/>
      </c>
      <c r="AY4180" s="82" t="str">
        <f t="shared" si="2"/>
        <v/>
      </c>
      <c r="AZ4180" s="82"/>
      <c r="BA4180" s="84" t="s">
        <v>152</v>
      </c>
      <c r="BB4180" s="84" t="str">
        <f>IFERROR(__xludf.DUMMYFUNCTION("iferror(if(A4180="""",,E4180&gt;=FILTER(Constants!$F$2:$F$10,Constants!$A$2:$A$10=A4180)))"),"")</f>
        <v/>
      </c>
    </row>
    <row r="4181">
      <c r="A4181" s="89"/>
      <c r="B4181" s="87"/>
      <c r="C4181" s="73"/>
      <c r="D4181" s="73"/>
      <c r="E4181" s="82"/>
      <c r="F4181" s="82"/>
      <c r="G4181" s="86"/>
      <c r="H4181" s="86"/>
      <c r="I4181" s="86"/>
      <c r="J4181" s="82"/>
      <c r="K4181" s="82"/>
      <c r="L4181" s="82"/>
      <c r="M4181" s="82"/>
      <c r="N4181" s="82"/>
      <c r="O4181" s="82"/>
      <c r="P4181" s="82"/>
      <c r="Q4181" s="82"/>
      <c r="R4181" s="82"/>
      <c r="S4181" s="82"/>
      <c r="T4181" s="82"/>
      <c r="U4181" s="82"/>
      <c r="V4181" s="82"/>
      <c r="W4181" s="82"/>
      <c r="X4181" s="82"/>
      <c r="Y4181" s="82"/>
      <c r="Z4181" s="82"/>
      <c r="AA4181" s="82"/>
      <c r="AB4181" s="82"/>
      <c r="AC4181" s="82"/>
      <c r="AD4181" s="82"/>
      <c r="AE4181" s="82"/>
      <c r="AF4181" s="82"/>
      <c r="AG4181" s="82"/>
      <c r="AH4181" s="82"/>
      <c r="AI4181" s="82"/>
      <c r="AJ4181" s="82"/>
      <c r="AK4181" s="82"/>
      <c r="AL4181" s="82"/>
      <c r="AM4181" s="82"/>
      <c r="AN4181" s="82">
        <f>IFERROR(__xludf.DUMMYFUNCTION("""COMPUTED_VALUE"""),0.0)</f>
        <v>0</v>
      </c>
      <c r="AO4181" s="82">
        <f>IFERROR(__xludf.DUMMYFUNCTION("""COMPUTED_VALUE"""),0.0)</f>
        <v>0</v>
      </c>
      <c r="AP4181" s="82">
        <f>IFERROR(__xludf.DUMMYFUNCTION("""COMPUTED_VALUE"""),0.0)</f>
        <v>0</v>
      </c>
      <c r="AQ4181" s="82">
        <f>IFERROR(__xludf.DUMMYFUNCTION("""COMPUTED_VALUE"""),0.0)</f>
        <v>0</v>
      </c>
      <c r="AR4181" s="82">
        <f>IFERROR(__xludf.DUMMYFUNCTION("""COMPUTED_VALUE"""),0.0)</f>
        <v>0</v>
      </c>
      <c r="AS4181" s="82"/>
      <c r="AT4181" s="82">
        <f>IFERROR(__xludf.DUMMYFUNCTION("""COMPUTED_VALUE"""),0.0)</f>
        <v>0</v>
      </c>
      <c r="AU4181" s="82"/>
      <c r="AV4181" s="82"/>
      <c r="AW4181" s="82" t="str">
        <f t="shared" si="1"/>
        <v/>
      </c>
      <c r="AX4181" s="83" t="str">
        <f t="array" ref="AX4181">IFERROR(DGET('SBV Import'!A:G,"SBV",{"RSC ID","Tier";B4181,A4181}))</f>
        <v/>
      </c>
      <c r="AY4181" s="82" t="str">
        <f t="shared" si="2"/>
        <v/>
      </c>
      <c r="AZ4181" s="82"/>
      <c r="BA4181" s="84" t="s">
        <v>152</v>
      </c>
      <c r="BB4181" s="84" t="str">
        <f>IFERROR(__xludf.DUMMYFUNCTION("iferror(if(A4181="""",,E4181&gt;=FILTER(Constants!$F$2:$F$10,Constants!$A$2:$A$10=A4181)))"),"")</f>
        <v/>
      </c>
    </row>
    <row r="4182">
      <c r="A4182" s="89"/>
      <c r="B4182" s="87"/>
      <c r="C4182" s="73"/>
      <c r="D4182" s="73"/>
      <c r="E4182" s="82"/>
      <c r="F4182" s="82"/>
      <c r="G4182" s="86"/>
      <c r="H4182" s="86"/>
      <c r="I4182" s="86"/>
      <c r="J4182" s="82"/>
      <c r="K4182" s="82"/>
      <c r="L4182" s="82"/>
      <c r="M4182" s="82"/>
      <c r="N4182" s="82"/>
      <c r="O4182" s="82"/>
      <c r="P4182" s="82"/>
      <c r="Q4182" s="82"/>
      <c r="R4182" s="82"/>
      <c r="S4182" s="82"/>
      <c r="T4182" s="82"/>
      <c r="U4182" s="82"/>
      <c r="V4182" s="82"/>
      <c r="W4182" s="82"/>
      <c r="X4182" s="82"/>
      <c r="Y4182" s="82"/>
      <c r="Z4182" s="82"/>
      <c r="AA4182" s="82"/>
      <c r="AB4182" s="82"/>
      <c r="AC4182" s="82"/>
      <c r="AD4182" s="82"/>
      <c r="AE4182" s="82"/>
      <c r="AF4182" s="82"/>
      <c r="AG4182" s="82"/>
      <c r="AH4182" s="82"/>
      <c r="AI4182" s="82"/>
      <c r="AJ4182" s="82"/>
      <c r="AK4182" s="82"/>
      <c r="AL4182" s="82"/>
      <c r="AM4182" s="82"/>
      <c r="AN4182" s="82">
        <f>IFERROR(__xludf.DUMMYFUNCTION("""COMPUTED_VALUE"""),0.0)</f>
        <v>0</v>
      </c>
      <c r="AO4182" s="82">
        <f>IFERROR(__xludf.DUMMYFUNCTION("""COMPUTED_VALUE"""),0.0)</f>
        <v>0</v>
      </c>
      <c r="AP4182" s="82">
        <f>IFERROR(__xludf.DUMMYFUNCTION("""COMPUTED_VALUE"""),0.0)</f>
        <v>0</v>
      </c>
      <c r="AQ4182" s="82">
        <f>IFERROR(__xludf.DUMMYFUNCTION("""COMPUTED_VALUE"""),0.0)</f>
        <v>0</v>
      </c>
      <c r="AR4182" s="82">
        <f>IFERROR(__xludf.DUMMYFUNCTION("""COMPUTED_VALUE"""),0.0)</f>
        <v>0</v>
      </c>
      <c r="AS4182" s="82"/>
      <c r="AT4182" s="82">
        <f>IFERROR(__xludf.DUMMYFUNCTION("""COMPUTED_VALUE"""),0.0)</f>
        <v>0</v>
      </c>
      <c r="AU4182" s="82"/>
      <c r="AV4182" s="82"/>
      <c r="AW4182" s="82" t="str">
        <f t="shared" si="1"/>
        <v/>
      </c>
      <c r="AX4182" s="83" t="str">
        <f t="array" ref="AX4182">IFERROR(DGET('SBV Import'!A:G,"SBV",{"RSC ID","Tier";B4182,A4182}))</f>
        <v/>
      </c>
      <c r="AY4182" s="82" t="str">
        <f t="shared" si="2"/>
        <v/>
      </c>
      <c r="AZ4182" s="82"/>
      <c r="BA4182" s="84" t="s">
        <v>152</v>
      </c>
      <c r="BB4182" s="84" t="str">
        <f>IFERROR(__xludf.DUMMYFUNCTION("iferror(if(A4182="""",,E4182&gt;=FILTER(Constants!$F$2:$F$10,Constants!$A$2:$A$10=A4182)))"),"")</f>
        <v/>
      </c>
    </row>
    <row r="4183">
      <c r="A4183" s="89"/>
      <c r="B4183" s="87"/>
      <c r="C4183" s="73"/>
      <c r="D4183" s="73"/>
      <c r="E4183" s="82"/>
      <c r="F4183" s="82"/>
      <c r="G4183" s="86"/>
      <c r="H4183" s="86"/>
      <c r="I4183" s="86"/>
      <c r="J4183" s="82"/>
      <c r="K4183" s="82"/>
      <c r="L4183" s="82"/>
      <c r="M4183" s="82"/>
      <c r="N4183" s="82"/>
      <c r="O4183" s="82"/>
      <c r="P4183" s="82"/>
      <c r="Q4183" s="82"/>
      <c r="R4183" s="82"/>
      <c r="S4183" s="82"/>
      <c r="T4183" s="82"/>
      <c r="U4183" s="82"/>
      <c r="V4183" s="82"/>
      <c r="W4183" s="82"/>
      <c r="X4183" s="82"/>
      <c r="Y4183" s="82"/>
      <c r="Z4183" s="82"/>
      <c r="AA4183" s="82"/>
      <c r="AB4183" s="82"/>
      <c r="AC4183" s="82"/>
      <c r="AD4183" s="82"/>
      <c r="AE4183" s="82"/>
      <c r="AF4183" s="82"/>
      <c r="AG4183" s="82"/>
      <c r="AH4183" s="82"/>
      <c r="AI4183" s="82"/>
      <c r="AJ4183" s="82"/>
      <c r="AK4183" s="82"/>
      <c r="AL4183" s="82"/>
      <c r="AM4183" s="82"/>
      <c r="AN4183" s="82">
        <f>IFERROR(__xludf.DUMMYFUNCTION("""COMPUTED_VALUE"""),0.0)</f>
        <v>0</v>
      </c>
      <c r="AO4183" s="82">
        <f>IFERROR(__xludf.DUMMYFUNCTION("""COMPUTED_VALUE"""),0.0)</f>
        <v>0</v>
      </c>
      <c r="AP4183" s="82">
        <f>IFERROR(__xludf.DUMMYFUNCTION("""COMPUTED_VALUE"""),0.0)</f>
        <v>0</v>
      </c>
      <c r="AQ4183" s="82">
        <f>IFERROR(__xludf.DUMMYFUNCTION("""COMPUTED_VALUE"""),0.0)</f>
        <v>0</v>
      </c>
      <c r="AR4183" s="82">
        <f>IFERROR(__xludf.DUMMYFUNCTION("""COMPUTED_VALUE"""),0.0)</f>
        <v>0</v>
      </c>
      <c r="AS4183" s="82"/>
      <c r="AT4183" s="82">
        <f>IFERROR(__xludf.DUMMYFUNCTION("""COMPUTED_VALUE"""),0.0)</f>
        <v>0</v>
      </c>
      <c r="AU4183" s="82"/>
      <c r="AV4183" s="82"/>
      <c r="AW4183" s="82" t="str">
        <f t="shared" si="1"/>
        <v/>
      </c>
      <c r="AX4183" s="83" t="str">
        <f t="array" ref="AX4183">IFERROR(DGET('SBV Import'!A:G,"SBV",{"RSC ID","Tier";B4183,A4183}))</f>
        <v/>
      </c>
      <c r="AY4183" s="82" t="str">
        <f t="shared" si="2"/>
        <v/>
      </c>
      <c r="AZ4183" s="82"/>
      <c r="BA4183" s="84" t="s">
        <v>152</v>
      </c>
      <c r="BB4183" s="84" t="str">
        <f>IFERROR(__xludf.DUMMYFUNCTION("iferror(if(A4183="""",,E4183&gt;=FILTER(Constants!$F$2:$F$10,Constants!$A$2:$A$10=A4183)))"),"")</f>
        <v/>
      </c>
    </row>
    <row r="4184">
      <c r="A4184" s="89"/>
      <c r="B4184" s="87"/>
      <c r="C4184" s="73"/>
      <c r="D4184" s="73"/>
      <c r="E4184" s="82"/>
      <c r="F4184" s="82"/>
      <c r="G4184" s="86"/>
      <c r="H4184" s="86"/>
      <c r="I4184" s="86"/>
      <c r="J4184" s="82"/>
      <c r="K4184" s="82"/>
      <c r="L4184" s="82"/>
      <c r="M4184" s="82"/>
      <c r="N4184" s="82"/>
      <c r="O4184" s="82"/>
      <c r="P4184" s="82"/>
      <c r="Q4184" s="82"/>
      <c r="R4184" s="82"/>
      <c r="S4184" s="82"/>
      <c r="T4184" s="82"/>
      <c r="U4184" s="82"/>
      <c r="V4184" s="82"/>
      <c r="W4184" s="82"/>
      <c r="X4184" s="82"/>
      <c r="Y4184" s="82"/>
      <c r="Z4184" s="82"/>
      <c r="AA4184" s="82"/>
      <c r="AB4184" s="82"/>
      <c r="AC4184" s="82"/>
      <c r="AD4184" s="82"/>
      <c r="AE4184" s="82"/>
      <c r="AF4184" s="82"/>
      <c r="AG4184" s="82"/>
      <c r="AH4184" s="82"/>
      <c r="AI4184" s="82"/>
      <c r="AJ4184" s="82"/>
      <c r="AK4184" s="82"/>
      <c r="AL4184" s="82"/>
      <c r="AM4184" s="82"/>
      <c r="AN4184" s="82">
        <f>IFERROR(__xludf.DUMMYFUNCTION("""COMPUTED_VALUE"""),0.0)</f>
        <v>0</v>
      </c>
      <c r="AO4184" s="82">
        <f>IFERROR(__xludf.DUMMYFUNCTION("""COMPUTED_VALUE"""),0.0)</f>
        <v>0</v>
      </c>
      <c r="AP4184" s="82">
        <f>IFERROR(__xludf.DUMMYFUNCTION("""COMPUTED_VALUE"""),0.0)</f>
        <v>0</v>
      </c>
      <c r="AQ4184" s="82">
        <f>IFERROR(__xludf.DUMMYFUNCTION("""COMPUTED_VALUE"""),0.0)</f>
        <v>0</v>
      </c>
      <c r="AR4184" s="82">
        <f>IFERROR(__xludf.DUMMYFUNCTION("""COMPUTED_VALUE"""),0.0)</f>
        <v>0</v>
      </c>
      <c r="AS4184" s="82"/>
      <c r="AT4184" s="82">
        <f>IFERROR(__xludf.DUMMYFUNCTION("""COMPUTED_VALUE"""),0.0)</f>
        <v>0</v>
      </c>
      <c r="AU4184" s="82"/>
      <c r="AV4184" s="82"/>
      <c r="AW4184" s="82" t="str">
        <f t="shared" si="1"/>
        <v/>
      </c>
      <c r="AX4184" s="83" t="str">
        <f t="array" ref="AX4184">IFERROR(DGET('SBV Import'!A:G,"SBV",{"RSC ID","Tier";B4184,A4184}))</f>
        <v/>
      </c>
      <c r="AY4184" s="82" t="str">
        <f t="shared" si="2"/>
        <v/>
      </c>
      <c r="AZ4184" s="82"/>
      <c r="BA4184" s="84" t="s">
        <v>152</v>
      </c>
      <c r="BB4184" s="84" t="str">
        <f>IFERROR(__xludf.DUMMYFUNCTION("iferror(if(A4184="""",,E4184&gt;=FILTER(Constants!$F$2:$F$10,Constants!$A$2:$A$10=A4184)))"),"")</f>
        <v/>
      </c>
    </row>
    <row r="4185">
      <c r="A4185" s="89"/>
      <c r="B4185" s="87"/>
      <c r="C4185" s="73"/>
      <c r="D4185" s="73"/>
      <c r="E4185" s="82"/>
      <c r="F4185" s="82"/>
      <c r="G4185" s="86"/>
      <c r="H4185" s="86"/>
      <c r="I4185" s="86"/>
      <c r="J4185" s="82"/>
      <c r="K4185" s="82"/>
      <c r="L4185" s="82"/>
      <c r="M4185" s="82"/>
      <c r="N4185" s="82"/>
      <c r="O4185" s="82"/>
      <c r="P4185" s="82"/>
      <c r="Q4185" s="82"/>
      <c r="R4185" s="82"/>
      <c r="S4185" s="82"/>
      <c r="T4185" s="82"/>
      <c r="U4185" s="82"/>
      <c r="V4185" s="82"/>
      <c r="W4185" s="82"/>
      <c r="X4185" s="82"/>
      <c r="Y4185" s="82"/>
      <c r="Z4185" s="82"/>
      <c r="AA4185" s="82"/>
      <c r="AB4185" s="82"/>
      <c r="AC4185" s="82"/>
      <c r="AD4185" s="82"/>
      <c r="AE4185" s="82"/>
      <c r="AF4185" s="82"/>
      <c r="AG4185" s="82"/>
      <c r="AH4185" s="82"/>
      <c r="AI4185" s="82"/>
      <c r="AJ4185" s="82"/>
      <c r="AK4185" s="82"/>
      <c r="AL4185" s="82"/>
      <c r="AM4185" s="82"/>
      <c r="AN4185" s="82">
        <f>IFERROR(__xludf.DUMMYFUNCTION("""COMPUTED_VALUE"""),0.0)</f>
        <v>0</v>
      </c>
      <c r="AO4185" s="82">
        <f>IFERROR(__xludf.DUMMYFUNCTION("""COMPUTED_VALUE"""),0.0)</f>
        <v>0</v>
      </c>
      <c r="AP4185" s="82">
        <f>IFERROR(__xludf.DUMMYFUNCTION("""COMPUTED_VALUE"""),0.0)</f>
        <v>0</v>
      </c>
      <c r="AQ4185" s="82">
        <f>IFERROR(__xludf.DUMMYFUNCTION("""COMPUTED_VALUE"""),0.0)</f>
        <v>0</v>
      </c>
      <c r="AR4185" s="82">
        <f>IFERROR(__xludf.DUMMYFUNCTION("""COMPUTED_VALUE"""),0.0)</f>
        <v>0</v>
      </c>
      <c r="AS4185" s="82"/>
      <c r="AT4185" s="82">
        <f>IFERROR(__xludf.DUMMYFUNCTION("""COMPUTED_VALUE"""),0.0)</f>
        <v>0</v>
      </c>
      <c r="AU4185" s="82"/>
      <c r="AV4185" s="82"/>
      <c r="AW4185" s="82" t="str">
        <f t="shared" si="1"/>
        <v/>
      </c>
      <c r="AX4185" s="83" t="str">
        <f t="array" ref="AX4185">IFERROR(DGET('SBV Import'!A:G,"SBV",{"RSC ID","Tier";B4185,A4185}))</f>
        <v/>
      </c>
      <c r="AY4185" s="82" t="str">
        <f t="shared" si="2"/>
        <v/>
      </c>
      <c r="AZ4185" s="82"/>
      <c r="BA4185" s="84" t="s">
        <v>152</v>
      </c>
      <c r="BB4185" s="84" t="str">
        <f>IFERROR(__xludf.DUMMYFUNCTION("iferror(if(A4185="""",,E4185&gt;=FILTER(Constants!$F$2:$F$10,Constants!$A$2:$A$10=A4185)))"),"")</f>
        <v/>
      </c>
    </row>
    <row r="4186">
      <c r="A4186" s="89"/>
      <c r="B4186" s="87"/>
      <c r="C4186" s="73"/>
      <c r="D4186" s="73"/>
      <c r="E4186" s="82"/>
      <c r="F4186" s="82"/>
      <c r="G4186" s="86"/>
      <c r="H4186" s="86"/>
      <c r="I4186" s="86"/>
      <c r="J4186" s="82"/>
      <c r="K4186" s="82"/>
      <c r="L4186" s="82"/>
      <c r="M4186" s="82"/>
      <c r="N4186" s="82"/>
      <c r="O4186" s="82"/>
      <c r="P4186" s="82"/>
      <c r="Q4186" s="82"/>
      <c r="R4186" s="82"/>
      <c r="S4186" s="82"/>
      <c r="T4186" s="82"/>
      <c r="U4186" s="82"/>
      <c r="V4186" s="82"/>
      <c r="W4186" s="82"/>
      <c r="X4186" s="82"/>
      <c r="Y4186" s="82"/>
      <c r="Z4186" s="82"/>
      <c r="AA4186" s="82"/>
      <c r="AB4186" s="82"/>
      <c r="AC4186" s="82"/>
      <c r="AD4186" s="82"/>
      <c r="AE4186" s="82"/>
      <c r="AF4186" s="82"/>
      <c r="AG4186" s="82"/>
      <c r="AH4186" s="82"/>
      <c r="AI4186" s="82"/>
      <c r="AJ4186" s="82"/>
      <c r="AK4186" s="82"/>
      <c r="AL4186" s="82"/>
      <c r="AM4186" s="82"/>
      <c r="AN4186" s="82">
        <f>IFERROR(__xludf.DUMMYFUNCTION("""COMPUTED_VALUE"""),0.0)</f>
        <v>0</v>
      </c>
      <c r="AO4186" s="82">
        <f>IFERROR(__xludf.DUMMYFUNCTION("""COMPUTED_VALUE"""),0.0)</f>
        <v>0</v>
      </c>
      <c r="AP4186" s="82">
        <f>IFERROR(__xludf.DUMMYFUNCTION("""COMPUTED_VALUE"""),0.0)</f>
        <v>0</v>
      </c>
      <c r="AQ4186" s="82">
        <f>IFERROR(__xludf.DUMMYFUNCTION("""COMPUTED_VALUE"""),0.0)</f>
        <v>0</v>
      </c>
      <c r="AR4186" s="82">
        <f>IFERROR(__xludf.DUMMYFUNCTION("""COMPUTED_VALUE"""),0.0)</f>
        <v>0</v>
      </c>
      <c r="AS4186" s="82"/>
      <c r="AT4186" s="82">
        <f>IFERROR(__xludf.DUMMYFUNCTION("""COMPUTED_VALUE"""),0.0)</f>
        <v>0</v>
      </c>
      <c r="AU4186" s="82"/>
      <c r="AV4186" s="82"/>
      <c r="AW4186" s="82" t="str">
        <f t="shared" si="1"/>
        <v/>
      </c>
      <c r="AX4186" s="83" t="str">
        <f t="array" ref="AX4186">IFERROR(DGET('SBV Import'!A:G,"SBV",{"RSC ID","Tier";B4186,A4186}))</f>
        <v/>
      </c>
      <c r="AY4186" s="82" t="str">
        <f t="shared" si="2"/>
        <v/>
      </c>
      <c r="AZ4186" s="82"/>
      <c r="BA4186" s="84" t="s">
        <v>152</v>
      </c>
      <c r="BB4186" s="84" t="str">
        <f>IFERROR(__xludf.DUMMYFUNCTION("iferror(if(A4186="""",,E4186&gt;=FILTER(Constants!$F$2:$F$10,Constants!$A$2:$A$10=A4186)))"),"")</f>
        <v/>
      </c>
    </row>
    <row r="4187">
      <c r="A4187" s="89"/>
      <c r="B4187" s="87"/>
      <c r="C4187" s="73"/>
      <c r="D4187" s="73"/>
      <c r="E4187" s="82"/>
      <c r="F4187" s="82"/>
      <c r="G4187" s="86"/>
      <c r="H4187" s="86"/>
      <c r="I4187" s="86"/>
      <c r="J4187" s="82"/>
      <c r="K4187" s="82"/>
      <c r="L4187" s="82"/>
      <c r="M4187" s="82"/>
      <c r="N4187" s="82"/>
      <c r="O4187" s="82"/>
      <c r="P4187" s="82"/>
      <c r="Q4187" s="82"/>
      <c r="R4187" s="82"/>
      <c r="S4187" s="82"/>
      <c r="T4187" s="82"/>
      <c r="U4187" s="82"/>
      <c r="V4187" s="82"/>
      <c r="W4187" s="82"/>
      <c r="X4187" s="82"/>
      <c r="Y4187" s="82"/>
      <c r="Z4187" s="82"/>
      <c r="AA4187" s="82"/>
      <c r="AB4187" s="82"/>
      <c r="AC4187" s="82"/>
      <c r="AD4187" s="82"/>
      <c r="AE4187" s="82"/>
      <c r="AF4187" s="82"/>
      <c r="AG4187" s="82"/>
      <c r="AH4187" s="82"/>
      <c r="AI4187" s="82"/>
      <c r="AJ4187" s="82"/>
      <c r="AK4187" s="82"/>
      <c r="AL4187" s="82"/>
      <c r="AM4187" s="82"/>
      <c r="AN4187" s="82">
        <f>IFERROR(__xludf.DUMMYFUNCTION("""COMPUTED_VALUE"""),0.0)</f>
        <v>0</v>
      </c>
      <c r="AO4187" s="82">
        <f>IFERROR(__xludf.DUMMYFUNCTION("""COMPUTED_VALUE"""),0.0)</f>
        <v>0</v>
      </c>
      <c r="AP4187" s="82">
        <f>IFERROR(__xludf.DUMMYFUNCTION("""COMPUTED_VALUE"""),0.0)</f>
        <v>0</v>
      </c>
      <c r="AQ4187" s="82">
        <f>IFERROR(__xludf.DUMMYFUNCTION("""COMPUTED_VALUE"""),0.0)</f>
        <v>0</v>
      </c>
      <c r="AR4187" s="82">
        <f>IFERROR(__xludf.DUMMYFUNCTION("""COMPUTED_VALUE"""),0.0)</f>
        <v>0</v>
      </c>
      <c r="AS4187" s="82"/>
      <c r="AT4187" s="82">
        <f>IFERROR(__xludf.DUMMYFUNCTION("""COMPUTED_VALUE"""),0.0)</f>
        <v>0</v>
      </c>
      <c r="AU4187" s="82"/>
      <c r="AV4187" s="82"/>
      <c r="AW4187" s="82" t="str">
        <f t="shared" si="1"/>
        <v/>
      </c>
      <c r="AX4187" s="83" t="str">
        <f t="array" ref="AX4187">IFERROR(DGET('SBV Import'!A:G,"SBV",{"RSC ID","Tier";B4187,A4187}))</f>
        <v/>
      </c>
      <c r="AY4187" s="82" t="str">
        <f t="shared" si="2"/>
        <v/>
      </c>
      <c r="AZ4187" s="82"/>
      <c r="BA4187" s="84" t="s">
        <v>152</v>
      </c>
      <c r="BB4187" s="84" t="str">
        <f>IFERROR(__xludf.DUMMYFUNCTION("iferror(if(A4187="""",,E4187&gt;=FILTER(Constants!$F$2:$F$10,Constants!$A$2:$A$10=A4187)))"),"")</f>
        <v/>
      </c>
    </row>
    <row r="4188">
      <c r="A4188" s="89"/>
      <c r="B4188" s="87"/>
      <c r="C4188" s="73"/>
      <c r="D4188" s="73"/>
      <c r="E4188" s="82"/>
      <c r="F4188" s="82"/>
      <c r="G4188" s="86"/>
      <c r="H4188" s="86"/>
      <c r="I4188" s="86"/>
      <c r="J4188" s="82"/>
      <c r="K4188" s="82"/>
      <c r="L4188" s="82"/>
      <c r="M4188" s="82"/>
      <c r="N4188" s="82"/>
      <c r="O4188" s="82"/>
      <c r="P4188" s="82"/>
      <c r="Q4188" s="82"/>
      <c r="R4188" s="82"/>
      <c r="S4188" s="82"/>
      <c r="T4188" s="82"/>
      <c r="U4188" s="82"/>
      <c r="V4188" s="82"/>
      <c r="W4188" s="82"/>
      <c r="X4188" s="82"/>
      <c r="Y4188" s="82"/>
      <c r="Z4188" s="82"/>
      <c r="AA4188" s="82"/>
      <c r="AB4188" s="82"/>
      <c r="AC4188" s="82"/>
      <c r="AD4188" s="82"/>
      <c r="AE4188" s="82"/>
      <c r="AF4188" s="82"/>
      <c r="AG4188" s="82"/>
      <c r="AH4188" s="82"/>
      <c r="AI4188" s="82"/>
      <c r="AJ4188" s="82"/>
      <c r="AK4188" s="82"/>
      <c r="AL4188" s="82"/>
      <c r="AM4188" s="82"/>
      <c r="AN4188" s="82">
        <f>IFERROR(__xludf.DUMMYFUNCTION("""COMPUTED_VALUE"""),0.0)</f>
        <v>0</v>
      </c>
      <c r="AO4188" s="82">
        <f>IFERROR(__xludf.DUMMYFUNCTION("""COMPUTED_VALUE"""),0.0)</f>
        <v>0</v>
      </c>
      <c r="AP4188" s="82">
        <f>IFERROR(__xludf.DUMMYFUNCTION("""COMPUTED_VALUE"""),0.0)</f>
        <v>0</v>
      </c>
      <c r="AQ4188" s="82">
        <f>IFERROR(__xludf.DUMMYFUNCTION("""COMPUTED_VALUE"""),0.0)</f>
        <v>0</v>
      </c>
      <c r="AR4188" s="82">
        <f>IFERROR(__xludf.DUMMYFUNCTION("""COMPUTED_VALUE"""),0.0)</f>
        <v>0</v>
      </c>
      <c r="AS4188" s="82"/>
      <c r="AT4188" s="82">
        <f>IFERROR(__xludf.DUMMYFUNCTION("""COMPUTED_VALUE"""),0.0)</f>
        <v>0</v>
      </c>
      <c r="AU4188" s="82"/>
      <c r="AV4188" s="82"/>
      <c r="AW4188" s="82" t="str">
        <f t="shared" si="1"/>
        <v/>
      </c>
      <c r="AX4188" s="83" t="str">
        <f t="array" ref="AX4188">IFERROR(DGET('SBV Import'!A:G,"SBV",{"RSC ID","Tier";B4188,A4188}))</f>
        <v/>
      </c>
      <c r="AY4188" s="82" t="str">
        <f t="shared" si="2"/>
        <v/>
      </c>
      <c r="AZ4188" s="82"/>
      <c r="BA4188" s="84" t="s">
        <v>152</v>
      </c>
      <c r="BB4188" s="84" t="str">
        <f>IFERROR(__xludf.DUMMYFUNCTION("iferror(if(A4188="""",,E4188&gt;=FILTER(Constants!$F$2:$F$10,Constants!$A$2:$A$10=A4188)))"),"")</f>
        <v/>
      </c>
    </row>
    <row r="4189">
      <c r="A4189" s="89"/>
      <c r="B4189" s="87"/>
      <c r="C4189" s="73"/>
      <c r="D4189" s="73"/>
      <c r="E4189" s="82"/>
      <c r="F4189" s="82"/>
      <c r="G4189" s="86"/>
      <c r="H4189" s="86"/>
      <c r="I4189" s="86"/>
      <c r="J4189" s="82"/>
      <c r="K4189" s="82"/>
      <c r="L4189" s="82"/>
      <c r="M4189" s="82"/>
      <c r="N4189" s="82"/>
      <c r="O4189" s="82"/>
      <c r="P4189" s="82"/>
      <c r="Q4189" s="82"/>
      <c r="R4189" s="82"/>
      <c r="S4189" s="82"/>
      <c r="T4189" s="82"/>
      <c r="U4189" s="82"/>
      <c r="V4189" s="82"/>
      <c r="W4189" s="82"/>
      <c r="X4189" s="82"/>
      <c r="Y4189" s="82"/>
      <c r="Z4189" s="82"/>
      <c r="AA4189" s="82"/>
      <c r="AB4189" s="82"/>
      <c r="AC4189" s="82"/>
      <c r="AD4189" s="82"/>
      <c r="AE4189" s="82"/>
      <c r="AF4189" s="82"/>
      <c r="AG4189" s="82"/>
      <c r="AH4189" s="82"/>
      <c r="AI4189" s="82"/>
      <c r="AJ4189" s="82"/>
      <c r="AK4189" s="82"/>
      <c r="AL4189" s="82"/>
      <c r="AM4189" s="82"/>
      <c r="AN4189" s="82">
        <f>IFERROR(__xludf.DUMMYFUNCTION("""COMPUTED_VALUE"""),0.0)</f>
        <v>0</v>
      </c>
      <c r="AO4189" s="82">
        <f>IFERROR(__xludf.DUMMYFUNCTION("""COMPUTED_VALUE"""),0.0)</f>
        <v>0</v>
      </c>
      <c r="AP4189" s="82">
        <f>IFERROR(__xludf.DUMMYFUNCTION("""COMPUTED_VALUE"""),0.0)</f>
        <v>0</v>
      </c>
      <c r="AQ4189" s="82">
        <f>IFERROR(__xludf.DUMMYFUNCTION("""COMPUTED_VALUE"""),0.0)</f>
        <v>0</v>
      </c>
      <c r="AR4189" s="82">
        <f>IFERROR(__xludf.DUMMYFUNCTION("""COMPUTED_VALUE"""),0.0)</f>
        <v>0</v>
      </c>
      <c r="AS4189" s="82"/>
      <c r="AT4189" s="82">
        <f>IFERROR(__xludf.DUMMYFUNCTION("""COMPUTED_VALUE"""),0.0)</f>
        <v>0</v>
      </c>
      <c r="AU4189" s="82"/>
      <c r="AV4189" s="82"/>
      <c r="AW4189" s="82" t="str">
        <f t="shared" si="1"/>
        <v/>
      </c>
      <c r="AX4189" s="83" t="str">
        <f t="array" ref="AX4189">IFERROR(DGET('SBV Import'!A:G,"SBV",{"RSC ID","Tier";B4189,A4189}))</f>
        <v/>
      </c>
      <c r="AY4189" s="82" t="str">
        <f t="shared" si="2"/>
        <v/>
      </c>
      <c r="AZ4189" s="82"/>
      <c r="BA4189" s="84" t="s">
        <v>152</v>
      </c>
      <c r="BB4189" s="84" t="str">
        <f>IFERROR(__xludf.DUMMYFUNCTION("iferror(if(A4189="""",,E4189&gt;=FILTER(Constants!$F$2:$F$10,Constants!$A$2:$A$10=A4189)))"),"")</f>
        <v/>
      </c>
    </row>
    <row r="4190">
      <c r="A4190" s="89"/>
      <c r="B4190" s="87"/>
      <c r="C4190" s="73"/>
      <c r="D4190" s="73"/>
      <c r="E4190" s="82"/>
      <c r="F4190" s="82"/>
      <c r="G4190" s="86"/>
      <c r="H4190" s="86"/>
      <c r="I4190" s="86"/>
      <c r="J4190" s="82"/>
      <c r="K4190" s="82"/>
      <c r="L4190" s="82"/>
      <c r="M4190" s="82"/>
      <c r="N4190" s="82"/>
      <c r="O4190" s="82"/>
      <c r="P4190" s="82"/>
      <c r="Q4190" s="82"/>
      <c r="R4190" s="82"/>
      <c r="S4190" s="82"/>
      <c r="T4190" s="82"/>
      <c r="U4190" s="82"/>
      <c r="V4190" s="82"/>
      <c r="W4190" s="82"/>
      <c r="X4190" s="82"/>
      <c r="Y4190" s="82"/>
      <c r="Z4190" s="82"/>
      <c r="AA4190" s="82"/>
      <c r="AB4190" s="82"/>
      <c r="AC4190" s="82"/>
      <c r="AD4190" s="82"/>
      <c r="AE4190" s="82"/>
      <c r="AF4190" s="82"/>
      <c r="AG4190" s="82"/>
      <c r="AH4190" s="82"/>
      <c r="AI4190" s="82"/>
      <c r="AJ4190" s="82"/>
      <c r="AK4190" s="82"/>
      <c r="AL4190" s="82"/>
      <c r="AM4190" s="82"/>
      <c r="AN4190" s="82">
        <f>IFERROR(__xludf.DUMMYFUNCTION("""COMPUTED_VALUE"""),0.0)</f>
        <v>0</v>
      </c>
      <c r="AO4190" s="82">
        <f>IFERROR(__xludf.DUMMYFUNCTION("""COMPUTED_VALUE"""),0.0)</f>
        <v>0</v>
      </c>
      <c r="AP4190" s="82">
        <f>IFERROR(__xludf.DUMMYFUNCTION("""COMPUTED_VALUE"""),0.0)</f>
        <v>0</v>
      </c>
      <c r="AQ4190" s="82">
        <f>IFERROR(__xludf.DUMMYFUNCTION("""COMPUTED_VALUE"""),0.0)</f>
        <v>0</v>
      </c>
      <c r="AR4190" s="82">
        <f>IFERROR(__xludf.DUMMYFUNCTION("""COMPUTED_VALUE"""),0.0)</f>
        <v>0</v>
      </c>
      <c r="AS4190" s="82"/>
      <c r="AT4190" s="82">
        <f>IFERROR(__xludf.DUMMYFUNCTION("""COMPUTED_VALUE"""),0.0)</f>
        <v>0</v>
      </c>
      <c r="AU4190" s="82"/>
      <c r="AV4190" s="82"/>
      <c r="AW4190" s="82" t="str">
        <f t="shared" si="1"/>
        <v/>
      </c>
      <c r="AX4190" s="83" t="str">
        <f t="array" ref="AX4190">IFERROR(DGET('SBV Import'!A:G,"SBV",{"RSC ID","Tier";B4190,A4190}))</f>
        <v/>
      </c>
      <c r="AY4190" s="82" t="str">
        <f t="shared" si="2"/>
        <v/>
      </c>
      <c r="AZ4190" s="82"/>
      <c r="BA4190" s="84" t="s">
        <v>152</v>
      </c>
      <c r="BB4190" s="84" t="str">
        <f>IFERROR(__xludf.DUMMYFUNCTION("iferror(if(A4190="""",,E4190&gt;=FILTER(Constants!$F$2:$F$10,Constants!$A$2:$A$10=A4190)))"),"")</f>
        <v/>
      </c>
    </row>
    <row r="4191">
      <c r="A4191" s="89"/>
      <c r="B4191" s="87"/>
      <c r="C4191" s="73"/>
      <c r="D4191" s="73"/>
      <c r="E4191" s="82"/>
      <c r="F4191" s="82"/>
      <c r="G4191" s="86"/>
      <c r="H4191" s="86"/>
      <c r="I4191" s="86"/>
      <c r="J4191" s="82"/>
      <c r="K4191" s="82"/>
      <c r="L4191" s="82"/>
      <c r="M4191" s="82"/>
      <c r="N4191" s="82"/>
      <c r="O4191" s="82"/>
      <c r="P4191" s="82"/>
      <c r="Q4191" s="82"/>
      <c r="R4191" s="82"/>
      <c r="S4191" s="82"/>
      <c r="T4191" s="82"/>
      <c r="U4191" s="82"/>
      <c r="V4191" s="82"/>
      <c r="W4191" s="82"/>
      <c r="X4191" s="82"/>
      <c r="Y4191" s="82"/>
      <c r="Z4191" s="82"/>
      <c r="AA4191" s="82"/>
      <c r="AB4191" s="82"/>
      <c r="AC4191" s="82"/>
      <c r="AD4191" s="82"/>
      <c r="AE4191" s="82"/>
      <c r="AF4191" s="82"/>
      <c r="AG4191" s="82"/>
      <c r="AH4191" s="82"/>
      <c r="AI4191" s="82"/>
      <c r="AJ4191" s="82"/>
      <c r="AK4191" s="82"/>
      <c r="AL4191" s="82"/>
      <c r="AM4191" s="82"/>
      <c r="AN4191" s="82">
        <f>IFERROR(__xludf.DUMMYFUNCTION("""COMPUTED_VALUE"""),0.0)</f>
        <v>0</v>
      </c>
      <c r="AO4191" s="82">
        <f>IFERROR(__xludf.DUMMYFUNCTION("""COMPUTED_VALUE"""),0.0)</f>
        <v>0</v>
      </c>
      <c r="AP4191" s="82">
        <f>IFERROR(__xludf.DUMMYFUNCTION("""COMPUTED_VALUE"""),0.0)</f>
        <v>0</v>
      </c>
      <c r="AQ4191" s="82">
        <f>IFERROR(__xludf.DUMMYFUNCTION("""COMPUTED_VALUE"""),0.0)</f>
        <v>0</v>
      </c>
      <c r="AR4191" s="82">
        <f>IFERROR(__xludf.DUMMYFUNCTION("""COMPUTED_VALUE"""),0.0)</f>
        <v>0</v>
      </c>
      <c r="AS4191" s="82"/>
      <c r="AT4191" s="82">
        <f>IFERROR(__xludf.DUMMYFUNCTION("""COMPUTED_VALUE"""),0.0)</f>
        <v>0</v>
      </c>
      <c r="AU4191" s="82"/>
      <c r="AV4191" s="82"/>
      <c r="AW4191" s="82" t="str">
        <f t="shared" si="1"/>
        <v/>
      </c>
      <c r="AX4191" s="83" t="str">
        <f t="array" ref="AX4191">IFERROR(DGET('SBV Import'!A:G,"SBV",{"RSC ID","Tier";B4191,A4191}))</f>
        <v/>
      </c>
      <c r="AY4191" s="82" t="str">
        <f t="shared" si="2"/>
        <v/>
      </c>
      <c r="AZ4191" s="82"/>
      <c r="BA4191" s="84" t="s">
        <v>152</v>
      </c>
      <c r="BB4191" s="84" t="str">
        <f>IFERROR(__xludf.DUMMYFUNCTION("iferror(if(A4191="""",,E4191&gt;=FILTER(Constants!$F$2:$F$10,Constants!$A$2:$A$10=A4191)))"),"")</f>
        <v/>
      </c>
    </row>
    <row r="4192">
      <c r="A4192" s="89"/>
      <c r="B4192" s="87"/>
      <c r="C4192" s="73"/>
      <c r="D4192" s="73"/>
      <c r="E4192" s="82"/>
      <c r="F4192" s="82"/>
      <c r="G4192" s="86"/>
      <c r="H4192" s="86"/>
      <c r="I4192" s="86"/>
      <c r="J4192" s="82"/>
      <c r="K4192" s="82"/>
      <c r="L4192" s="82"/>
      <c r="M4192" s="82"/>
      <c r="N4192" s="82"/>
      <c r="O4192" s="82"/>
      <c r="P4192" s="82"/>
      <c r="Q4192" s="82"/>
      <c r="R4192" s="82"/>
      <c r="S4192" s="82"/>
      <c r="T4192" s="82"/>
      <c r="U4192" s="82"/>
      <c r="V4192" s="82"/>
      <c r="W4192" s="82"/>
      <c r="X4192" s="82"/>
      <c r="Y4192" s="82"/>
      <c r="Z4192" s="82"/>
      <c r="AA4192" s="82"/>
      <c r="AB4192" s="82"/>
      <c r="AC4192" s="82"/>
      <c r="AD4192" s="82"/>
      <c r="AE4192" s="82"/>
      <c r="AF4192" s="82"/>
      <c r="AG4192" s="82"/>
      <c r="AH4192" s="82"/>
      <c r="AI4192" s="82"/>
      <c r="AJ4192" s="82"/>
      <c r="AK4192" s="82"/>
      <c r="AL4192" s="82"/>
      <c r="AM4192" s="82"/>
      <c r="AN4192" s="82">
        <f>IFERROR(__xludf.DUMMYFUNCTION("""COMPUTED_VALUE"""),0.0)</f>
        <v>0</v>
      </c>
      <c r="AO4192" s="82">
        <f>IFERROR(__xludf.DUMMYFUNCTION("""COMPUTED_VALUE"""),0.0)</f>
        <v>0</v>
      </c>
      <c r="AP4192" s="82">
        <f>IFERROR(__xludf.DUMMYFUNCTION("""COMPUTED_VALUE"""),0.0)</f>
        <v>0</v>
      </c>
      <c r="AQ4192" s="82">
        <f>IFERROR(__xludf.DUMMYFUNCTION("""COMPUTED_VALUE"""),0.0)</f>
        <v>0</v>
      </c>
      <c r="AR4192" s="82">
        <f>IFERROR(__xludf.DUMMYFUNCTION("""COMPUTED_VALUE"""),0.0)</f>
        <v>0</v>
      </c>
      <c r="AS4192" s="82"/>
      <c r="AT4192" s="82">
        <f>IFERROR(__xludf.DUMMYFUNCTION("""COMPUTED_VALUE"""),0.0)</f>
        <v>0</v>
      </c>
      <c r="AU4192" s="82"/>
      <c r="AV4192" s="82"/>
      <c r="AW4192" s="82" t="str">
        <f t="shared" si="1"/>
        <v/>
      </c>
      <c r="AX4192" s="83" t="str">
        <f t="array" ref="AX4192">IFERROR(DGET('SBV Import'!A:G,"SBV",{"RSC ID","Tier";B4192,A4192}))</f>
        <v/>
      </c>
      <c r="AY4192" s="82" t="str">
        <f t="shared" si="2"/>
        <v/>
      </c>
      <c r="AZ4192" s="82"/>
      <c r="BA4192" s="84" t="s">
        <v>152</v>
      </c>
      <c r="BB4192" s="84" t="str">
        <f>IFERROR(__xludf.DUMMYFUNCTION("iferror(if(A4192="""",,E4192&gt;=FILTER(Constants!$F$2:$F$10,Constants!$A$2:$A$10=A4192)))"),"")</f>
        <v/>
      </c>
    </row>
    <row r="4193">
      <c r="A4193" s="89"/>
      <c r="B4193" s="87"/>
      <c r="C4193" s="73"/>
      <c r="D4193" s="73"/>
      <c r="E4193" s="82"/>
      <c r="F4193" s="82"/>
      <c r="G4193" s="86"/>
      <c r="H4193" s="86"/>
      <c r="I4193" s="86"/>
      <c r="J4193" s="82"/>
      <c r="K4193" s="82"/>
      <c r="L4193" s="82"/>
      <c r="M4193" s="82"/>
      <c r="N4193" s="82"/>
      <c r="O4193" s="82"/>
      <c r="P4193" s="82"/>
      <c r="Q4193" s="82"/>
      <c r="R4193" s="82"/>
      <c r="S4193" s="82"/>
      <c r="T4193" s="82"/>
      <c r="U4193" s="82"/>
      <c r="V4193" s="82"/>
      <c r="W4193" s="82"/>
      <c r="X4193" s="82"/>
      <c r="Y4193" s="82"/>
      <c r="Z4193" s="82"/>
      <c r="AA4193" s="82"/>
      <c r="AB4193" s="82"/>
      <c r="AC4193" s="82"/>
      <c r="AD4193" s="82"/>
      <c r="AE4193" s="82"/>
      <c r="AF4193" s="82"/>
      <c r="AG4193" s="82"/>
      <c r="AH4193" s="82"/>
      <c r="AI4193" s="82"/>
      <c r="AJ4193" s="82"/>
      <c r="AK4193" s="82"/>
      <c r="AL4193" s="82"/>
      <c r="AM4193" s="82"/>
      <c r="AN4193" s="82">
        <f>IFERROR(__xludf.DUMMYFUNCTION("""COMPUTED_VALUE"""),0.0)</f>
        <v>0</v>
      </c>
      <c r="AO4193" s="82">
        <f>IFERROR(__xludf.DUMMYFUNCTION("""COMPUTED_VALUE"""),0.0)</f>
        <v>0</v>
      </c>
      <c r="AP4193" s="82">
        <f>IFERROR(__xludf.DUMMYFUNCTION("""COMPUTED_VALUE"""),0.0)</f>
        <v>0</v>
      </c>
      <c r="AQ4193" s="82">
        <f>IFERROR(__xludf.DUMMYFUNCTION("""COMPUTED_VALUE"""),0.0)</f>
        <v>0</v>
      </c>
      <c r="AR4193" s="82">
        <f>IFERROR(__xludf.DUMMYFUNCTION("""COMPUTED_VALUE"""),0.0)</f>
        <v>0</v>
      </c>
      <c r="AS4193" s="82"/>
      <c r="AT4193" s="82">
        <f>IFERROR(__xludf.DUMMYFUNCTION("""COMPUTED_VALUE"""),0.0)</f>
        <v>0</v>
      </c>
      <c r="AU4193" s="82"/>
      <c r="AV4193" s="82"/>
      <c r="AW4193" s="82" t="str">
        <f t="shared" si="1"/>
        <v/>
      </c>
      <c r="AX4193" s="83" t="str">
        <f t="array" ref="AX4193">IFERROR(DGET('SBV Import'!A:G,"SBV",{"RSC ID","Tier";B4193,A4193}))</f>
        <v/>
      </c>
      <c r="AY4193" s="82" t="str">
        <f t="shared" si="2"/>
        <v/>
      </c>
      <c r="AZ4193" s="82"/>
      <c r="BA4193" s="84" t="s">
        <v>152</v>
      </c>
      <c r="BB4193" s="84" t="str">
        <f>IFERROR(__xludf.DUMMYFUNCTION("iferror(if(A4193="""",,E4193&gt;=FILTER(Constants!$F$2:$F$10,Constants!$A$2:$A$10=A4193)))"),"")</f>
        <v/>
      </c>
    </row>
    <row r="4194">
      <c r="A4194" s="89"/>
      <c r="B4194" s="87"/>
      <c r="C4194" s="73"/>
      <c r="D4194" s="73"/>
      <c r="E4194" s="82"/>
      <c r="F4194" s="82"/>
      <c r="G4194" s="86"/>
      <c r="H4194" s="86"/>
      <c r="I4194" s="86"/>
      <c r="J4194" s="82"/>
      <c r="K4194" s="82"/>
      <c r="L4194" s="82"/>
      <c r="M4194" s="82"/>
      <c r="N4194" s="82"/>
      <c r="O4194" s="82"/>
      <c r="P4194" s="82"/>
      <c r="Q4194" s="82"/>
      <c r="R4194" s="82"/>
      <c r="S4194" s="82"/>
      <c r="T4194" s="82"/>
      <c r="U4194" s="82"/>
      <c r="V4194" s="82"/>
      <c r="W4194" s="82"/>
      <c r="X4194" s="82"/>
      <c r="Y4194" s="82"/>
      <c r="Z4194" s="82"/>
      <c r="AA4194" s="82"/>
      <c r="AB4194" s="82"/>
      <c r="AC4194" s="82"/>
      <c r="AD4194" s="82"/>
      <c r="AE4194" s="82"/>
      <c r="AF4194" s="82"/>
      <c r="AG4194" s="82"/>
      <c r="AH4194" s="82"/>
      <c r="AI4194" s="82"/>
      <c r="AJ4194" s="82"/>
      <c r="AK4194" s="82"/>
      <c r="AL4194" s="82"/>
      <c r="AM4194" s="82"/>
      <c r="AN4194" s="82">
        <f>IFERROR(__xludf.DUMMYFUNCTION("""COMPUTED_VALUE"""),0.0)</f>
        <v>0</v>
      </c>
      <c r="AO4194" s="82">
        <f>IFERROR(__xludf.DUMMYFUNCTION("""COMPUTED_VALUE"""),0.0)</f>
        <v>0</v>
      </c>
      <c r="AP4194" s="82">
        <f>IFERROR(__xludf.DUMMYFUNCTION("""COMPUTED_VALUE"""),0.0)</f>
        <v>0</v>
      </c>
      <c r="AQ4194" s="82">
        <f>IFERROR(__xludf.DUMMYFUNCTION("""COMPUTED_VALUE"""),0.0)</f>
        <v>0</v>
      </c>
      <c r="AR4194" s="82">
        <f>IFERROR(__xludf.DUMMYFUNCTION("""COMPUTED_VALUE"""),0.0)</f>
        <v>0</v>
      </c>
      <c r="AS4194" s="82"/>
      <c r="AT4194" s="82">
        <f>IFERROR(__xludf.DUMMYFUNCTION("""COMPUTED_VALUE"""),0.0)</f>
        <v>0</v>
      </c>
      <c r="AU4194" s="82"/>
      <c r="AV4194" s="82"/>
      <c r="AW4194" s="82" t="str">
        <f t="shared" si="1"/>
        <v/>
      </c>
      <c r="AX4194" s="83" t="str">
        <f t="array" ref="AX4194">IFERROR(DGET('SBV Import'!A:G,"SBV",{"RSC ID","Tier";B4194,A4194}))</f>
        <v/>
      </c>
      <c r="AY4194" s="82" t="str">
        <f t="shared" si="2"/>
        <v/>
      </c>
      <c r="AZ4194" s="82"/>
      <c r="BA4194" s="84" t="s">
        <v>152</v>
      </c>
      <c r="BB4194" s="84" t="str">
        <f>IFERROR(__xludf.DUMMYFUNCTION("iferror(if(A4194="""",,E4194&gt;=FILTER(Constants!$F$2:$F$10,Constants!$A$2:$A$10=A4194)))"),"")</f>
        <v/>
      </c>
    </row>
    <row r="4195">
      <c r="A4195" s="89"/>
      <c r="B4195" s="87"/>
      <c r="C4195" s="73"/>
      <c r="D4195" s="73"/>
      <c r="E4195" s="82"/>
      <c r="F4195" s="82"/>
      <c r="G4195" s="86"/>
      <c r="H4195" s="86"/>
      <c r="I4195" s="86"/>
      <c r="J4195" s="82"/>
      <c r="K4195" s="82"/>
      <c r="L4195" s="82"/>
      <c r="M4195" s="82"/>
      <c r="N4195" s="82"/>
      <c r="O4195" s="82"/>
      <c r="P4195" s="82"/>
      <c r="Q4195" s="82"/>
      <c r="R4195" s="82"/>
      <c r="S4195" s="82"/>
      <c r="T4195" s="82"/>
      <c r="U4195" s="82"/>
      <c r="V4195" s="82"/>
      <c r="W4195" s="82"/>
      <c r="X4195" s="82"/>
      <c r="Y4195" s="82"/>
      <c r="Z4195" s="82"/>
      <c r="AA4195" s="82"/>
      <c r="AB4195" s="82"/>
      <c r="AC4195" s="82"/>
      <c r="AD4195" s="82"/>
      <c r="AE4195" s="82"/>
      <c r="AF4195" s="82"/>
      <c r="AG4195" s="82"/>
      <c r="AH4195" s="82"/>
      <c r="AI4195" s="82"/>
      <c r="AJ4195" s="82"/>
      <c r="AK4195" s="82"/>
      <c r="AL4195" s="82"/>
      <c r="AM4195" s="82"/>
      <c r="AN4195" s="82">
        <f>IFERROR(__xludf.DUMMYFUNCTION("""COMPUTED_VALUE"""),0.0)</f>
        <v>0</v>
      </c>
      <c r="AO4195" s="82">
        <f>IFERROR(__xludf.DUMMYFUNCTION("""COMPUTED_VALUE"""),0.0)</f>
        <v>0</v>
      </c>
      <c r="AP4195" s="82">
        <f>IFERROR(__xludf.DUMMYFUNCTION("""COMPUTED_VALUE"""),0.0)</f>
        <v>0</v>
      </c>
      <c r="AQ4195" s="82">
        <f>IFERROR(__xludf.DUMMYFUNCTION("""COMPUTED_VALUE"""),0.0)</f>
        <v>0</v>
      </c>
      <c r="AR4195" s="82">
        <f>IFERROR(__xludf.DUMMYFUNCTION("""COMPUTED_VALUE"""),0.0)</f>
        <v>0</v>
      </c>
      <c r="AS4195" s="82"/>
      <c r="AT4195" s="82">
        <f>IFERROR(__xludf.DUMMYFUNCTION("""COMPUTED_VALUE"""),0.0)</f>
        <v>0</v>
      </c>
      <c r="AU4195" s="82"/>
      <c r="AV4195" s="82"/>
      <c r="AW4195" s="82" t="str">
        <f t="shared" si="1"/>
        <v/>
      </c>
      <c r="AX4195" s="83" t="str">
        <f t="array" ref="AX4195">IFERROR(DGET('SBV Import'!A:G,"SBV",{"RSC ID","Tier";B4195,A4195}))</f>
        <v/>
      </c>
      <c r="AY4195" s="82" t="str">
        <f t="shared" si="2"/>
        <v/>
      </c>
      <c r="AZ4195" s="82"/>
      <c r="BA4195" s="84" t="s">
        <v>152</v>
      </c>
      <c r="BB4195" s="84" t="str">
        <f>IFERROR(__xludf.DUMMYFUNCTION("iferror(if(A4195="""",,E4195&gt;=FILTER(Constants!$F$2:$F$10,Constants!$A$2:$A$10=A4195)))"),"")</f>
        <v/>
      </c>
    </row>
    <row r="4196">
      <c r="A4196" s="89"/>
      <c r="B4196" s="87"/>
      <c r="C4196" s="73"/>
      <c r="D4196" s="73"/>
      <c r="E4196" s="82"/>
      <c r="F4196" s="82"/>
      <c r="G4196" s="86"/>
      <c r="H4196" s="86"/>
      <c r="I4196" s="86"/>
      <c r="J4196" s="82"/>
      <c r="K4196" s="82"/>
      <c r="L4196" s="82"/>
      <c r="M4196" s="82"/>
      <c r="N4196" s="82"/>
      <c r="O4196" s="82"/>
      <c r="P4196" s="82"/>
      <c r="Q4196" s="82"/>
      <c r="R4196" s="82"/>
      <c r="S4196" s="82"/>
      <c r="T4196" s="82"/>
      <c r="U4196" s="82"/>
      <c r="V4196" s="82"/>
      <c r="W4196" s="82"/>
      <c r="X4196" s="82"/>
      <c r="Y4196" s="82"/>
      <c r="Z4196" s="82"/>
      <c r="AA4196" s="82"/>
      <c r="AB4196" s="82"/>
      <c r="AC4196" s="82"/>
      <c r="AD4196" s="82"/>
      <c r="AE4196" s="82"/>
      <c r="AF4196" s="82"/>
      <c r="AG4196" s="82"/>
      <c r="AH4196" s="82"/>
      <c r="AI4196" s="82"/>
      <c r="AJ4196" s="82"/>
      <c r="AK4196" s="82"/>
      <c r="AL4196" s="82"/>
      <c r="AM4196" s="82"/>
      <c r="AN4196" s="82">
        <f>IFERROR(__xludf.DUMMYFUNCTION("""COMPUTED_VALUE"""),0.0)</f>
        <v>0</v>
      </c>
      <c r="AO4196" s="82">
        <f>IFERROR(__xludf.DUMMYFUNCTION("""COMPUTED_VALUE"""),0.0)</f>
        <v>0</v>
      </c>
      <c r="AP4196" s="82">
        <f>IFERROR(__xludf.DUMMYFUNCTION("""COMPUTED_VALUE"""),0.0)</f>
        <v>0</v>
      </c>
      <c r="AQ4196" s="82">
        <f>IFERROR(__xludf.DUMMYFUNCTION("""COMPUTED_VALUE"""),0.0)</f>
        <v>0</v>
      </c>
      <c r="AR4196" s="82">
        <f>IFERROR(__xludf.DUMMYFUNCTION("""COMPUTED_VALUE"""),0.0)</f>
        <v>0</v>
      </c>
      <c r="AS4196" s="82"/>
      <c r="AT4196" s="82">
        <f>IFERROR(__xludf.DUMMYFUNCTION("""COMPUTED_VALUE"""),0.0)</f>
        <v>0</v>
      </c>
      <c r="AU4196" s="82"/>
      <c r="AV4196" s="82"/>
      <c r="AW4196" s="82" t="str">
        <f t="shared" si="1"/>
        <v/>
      </c>
      <c r="AX4196" s="83" t="str">
        <f t="array" ref="AX4196">IFERROR(DGET('SBV Import'!A:G,"SBV",{"RSC ID","Tier";B4196,A4196}))</f>
        <v/>
      </c>
      <c r="AY4196" s="82" t="str">
        <f t="shared" si="2"/>
        <v/>
      </c>
      <c r="AZ4196" s="82"/>
      <c r="BA4196" s="84" t="s">
        <v>152</v>
      </c>
      <c r="BB4196" s="84" t="str">
        <f>IFERROR(__xludf.DUMMYFUNCTION("iferror(if(A4196="""",,E4196&gt;=FILTER(Constants!$F$2:$F$10,Constants!$A$2:$A$10=A4196)))"),"")</f>
        <v/>
      </c>
    </row>
    <row r="4197">
      <c r="A4197" s="89"/>
      <c r="B4197" s="87"/>
      <c r="C4197" s="73"/>
      <c r="D4197" s="73"/>
      <c r="E4197" s="82"/>
      <c r="F4197" s="82"/>
      <c r="G4197" s="86"/>
      <c r="H4197" s="86"/>
      <c r="I4197" s="86"/>
      <c r="J4197" s="82"/>
      <c r="K4197" s="82"/>
      <c r="L4197" s="82"/>
      <c r="M4197" s="82"/>
      <c r="N4197" s="82"/>
      <c r="O4197" s="82"/>
      <c r="P4197" s="82"/>
      <c r="Q4197" s="82"/>
      <c r="R4197" s="82"/>
      <c r="S4197" s="82"/>
      <c r="T4197" s="82"/>
      <c r="U4197" s="82"/>
      <c r="V4197" s="82"/>
      <c r="W4197" s="82"/>
      <c r="X4197" s="82"/>
      <c r="Y4197" s="82"/>
      <c r="Z4197" s="82"/>
      <c r="AA4197" s="82"/>
      <c r="AB4197" s="82"/>
      <c r="AC4197" s="82"/>
      <c r="AD4197" s="82"/>
      <c r="AE4197" s="82"/>
      <c r="AF4197" s="82"/>
      <c r="AG4197" s="82"/>
      <c r="AH4197" s="82"/>
      <c r="AI4197" s="82"/>
      <c r="AJ4197" s="82"/>
      <c r="AK4197" s="82"/>
      <c r="AL4197" s="82"/>
      <c r="AM4197" s="82"/>
      <c r="AN4197" s="82">
        <f>IFERROR(__xludf.DUMMYFUNCTION("""COMPUTED_VALUE"""),0.0)</f>
        <v>0</v>
      </c>
      <c r="AO4197" s="82">
        <f>IFERROR(__xludf.DUMMYFUNCTION("""COMPUTED_VALUE"""),0.0)</f>
        <v>0</v>
      </c>
      <c r="AP4197" s="82">
        <f>IFERROR(__xludf.DUMMYFUNCTION("""COMPUTED_VALUE"""),0.0)</f>
        <v>0</v>
      </c>
      <c r="AQ4197" s="82">
        <f>IFERROR(__xludf.DUMMYFUNCTION("""COMPUTED_VALUE"""),0.0)</f>
        <v>0</v>
      </c>
      <c r="AR4197" s="82">
        <f>IFERROR(__xludf.DUMMYFUNCTION("""COMPUTED_VALUE"""),0.0)</f>
        <v>0</v>
      </c>
      <c r="AS4197" s="82"/>
      <c r="AT4197" s="82">
        <f>IFERROR(__xludf.DUMMYFUNCTION("""COMPUTED_VALUE"""),0.0)</f>
        <v>0</v>
      </c>
      <c r="AU4197" s="82"/>
      <c r="AV4197" s="82"/>
      <c r="AW4197" s="82" t="str">
        <f t="shared" si="1"/>
        <v/>
      </c>
      <c r="AX4197" s="83" t="str">
        <f t="array" ref="AX4197">IFERROR(DGET('SBV Import'!A:G,"SBV",{"RSC ID","Tier";B4197,A4197}))</f>
        <v/>
      </c>
      <c r="AY4197" s="82" t="str">
        <f t="shared" si="2"/>
        <v/>
      </c>
      <c r="AZ4197" s="82"/>
      <c r="BA4197" s="84" t="s">
        <v>152</v>
      </c>
      <c r="BB4197" s="84" t="str">
        <f>IFERROR(__xludf.DUMMYFUNCTION("iferror(if(A4197="""",,E4197&gt;=FILTER(Constants!$F$2:$F$10,Constants!$A$2:$A$10=A4197)))"),"")</f>
        <v/>
      </c>
    </row>
    <row r="4198">
      <c r="A4198" s="89"/>
      <c r="B4198" s="87"/>
      <c r="C4198" s="73"/>
      <c r="D4198" s="73"/>
      <c r="E4198" s="82"/>
      <c r="F4198" s="82"/>
      <c r="G4198" s="86"/>
      <c r="H4198" s="86"/>
      <c r="I4198" s="86"/>
      <c r="J4198" s="82"/>
      <c r="K4198" s="82"/>
      <c r="L4198" s="82"/>
      <c r="M4198" s="82"/>
      <c r="N4198" s="82"/>
      <c r="O4198" s="82"/>
      <c r="P4198" s="82"/>
      <c r="Q4198" s="82"/>
      <c r="R4198" s="82"/>
      <c r="S4198" s="82"/>
      <c r="T4198" s="82"/>
      <c r="U4198" s="82"/>
      <c r="V4198" s="82"/>
      <c r="W4198" s="82"/>
      <c r="X4198" s="82"/>
      <c r="Y4198" s="82"/>
      <c r="Z4198" s="82"/>
      <c r="AA4198" s="82"/>
      <c r="AB4198" s="82"/>
      <c r="AC4198" s="82"/>
      <c r="AD4198" s="82"/>
      <c r="AE4198" s="82"/>
      <c r="AF4198" s="82"/>
      <c r="AG4198" s="82"/>
      <c r="AH4198" s="82"/>
      <c r="AI4198" s="82"/>
      <c r="AJ4198" s="82"/>
      <c r="AK4198" s="82"/>
      <c r="AL4198" s="82"/>
      <c r="AM4198" s="82"/>
      <c r="AN4198" s="82">
        <f>IFERROR(__xludf.DUMMYFUNCTION("""COMPUTED_VALUE"""),0.0)</f>
        <v>0</v>
      </c>
      <c r="AO4198" s="82">
        <f>IFERROR(__xludf.DUMMYFUNCTION("""COMPUTED_VALUE"""),0.0)</f>
        <v>0</v>
      </c>
      <c r="AP4198" s="82">
        <f>IFERROR(__xludf.DUMMYFUNCTION("""COMPUTED_VALUE"""),0.0)</f>
        <v>0</v>
      </c>
      <c r="AQ4198" s="82">
        <f>IFERROR(__xludf.DUMMYFUNCTION("""COMPUTED_VALUE"""),0.0)</f>
        <v>0</v>
      </c>
      <c r="AR4198" s="82">
        <f>IFERROR(__xludf.DUMMYFUNCTION("""COMPUTED_VALUE"""),0.0)</f>
        <v>0</v>
      </c>
      <c r="AS4198" s="82"/>
      <c r="AT4198" s="82">
        <f>IFERROR(__xludf.DUMMYFUNCTION("""COMPUTED_VALUE"""),0.0)</f>
        <v>0</v>
      </c>
      <c r="AU4198" s="82"/>
      <c r="AV4198" s="82"/>
      <c r="AW4198" s="82" t="str">
        <f t="shared" si="1"/>
        <v/>
      </c>
      <c r="AX4198" s="83" t="str">
        <f t="array" ref="AX4198">IFERROR(DGET('SBV Import'!A:G,"SBV",{"RSC ID","Tier";B4198,A4198}))</f>
        <v/>
      </c>
      <c r="AY4198" s="82" t="str">
        <f t="shared" si="2"/>
        <v/>
      </c>
      <c r="AZ4198" s="82"/>
      <c r="BA4198" s="84" t="s">
        <v>152</v>
      </c>
      <c r="BB4198" s="84" t="str">
        <f>IFERROR(__xludf.DUMMYFUNCTION("iferror(if(A4198="""",,E4198&gt;=FILTER(Constants!$F$2:$F$10,Constants!$A$2:$A$10=A4198)))"),"")</f>
        <v/>
      </c>
    </row>
    <row r="4199">
      <c r="A4199" s="89"/>
      <c r="B4199" s="87"/>
      <c r="C4199" s="73"/>
      <c r="D4199" s="73"/>
      <c r="E4199" s="82"/>
      <c r="F4199" s="82"/>
      <c r="G4199" s="86"/>
      <c r="H4199" s="86"/>
      <c r="I4199" s="86"/>
      <c r="J4199" s="82"/>
      <c r="K4199" s="82"/>
      <c r="L4199" s="82"/>
      <c r="M4199" s="82"/>
      <c r="N4199" s="82"/>
      <c r="O4199" s="82"/>
      <c r="P4199" s="82"/>
      <c r="Q4199" s="82"/>
      <c r="R4199" s="82"/>
      <c r="S4199" s="82"/>
      <c r="T4199" s="82"/>
      <c r="U4199" s="82"/>
      <c r="V4199" s="82"/>
      <c r="W4199" s="82"/>
      <c r="X4199" s="82"/>
      <c r="Y4199" s="82"/>
      <c r="Z4199" s="82"/>
      <c r="AA4199" s="82"/>
      <c r="AB4199" s="82"/>
      <c r="AC4199" s="82"/>
      <c r="AD4199" s="82"/>
      <c r="AE4199" s="82"/>
      <c r="AF4199" s="82"/>
      <c r="AG4199" s="82"/>
      <c r="AH4199" s="82"/>
      <c r="AI4199" s="82"/>
      <c r="AJ4199" s="82"/>
      <c r="AK4199" s="82"/>
      <c r="AL4199" s="82"/>
      <c r="AM4199" s="82"/>
      <c r="AN4199" s="82">
        <f>IFERROR(__xludf.DUMMYFUNCTION("""COMPUTED_VALUE"""),0.0)</f>
        <v>0</v>
      </c>
      <c r="AO4199" s="82">
        <f>IFERROR(__xludf.DUMMYFUNCTION("""COMPUTED_VALUE"""),0.0)</f>
        <v>0</v>
      </c>
      <c r="AP4199" s="82">
        <f>IFERROR(__xludf.DUMMYFUNCTION("""COMPUTED_VALUE"""),0.0)</f>
        <v>0</v>
      </c>
      <c r="AQ4199" s="82">
        <f>IFERROR(__xludf.DUMMYFUNCTION("""COMPUTED_VALUE"""),0.0)</f>
        <v>0</v>
      </c>
      <c r="AR4199" s="82">
        <f>IFERROR(__xludf.DUMMYFUNCTION("""COMPUTED_VALUE"""),0.0)</f>
        <v>0</v>
      </c>
      <c r="AS4199" s="82"/>
      <c r="AT4199" s="82">
        <f>IFERROR(__xludf.DUMMYFUNCTION("""COMPUTED_VALUE"""),0.0)</f>
        <v>0</v>
      </c>
      <c r="AU4199" s="82"/>
      <c r="AV4199" s="82"/>
      <c r="AW4199" s="82" t="str">
        <f t="shared" si="1"/>
        <v/>
      </c>
      <c r="AX4199" s="83" t="str">
        <f t="array" ref="AX4199">IFERROR(DGET('SBV Import'!A:G,"SBV",{"RSC ID","Tier";B4199,A4199}))</f>
        <v/>
      </c>
      <c r="AY4199" s="82" t="str">
        <f t="shared" si="2"/>
        <v/>
      </c>
      <c r="AZ4199" s="82"/>
      <c r="BA4199" s="84" t="s">
        <v>152</v>
      </c>
      <c r="BB4199" s="84" t="str">
        <f>IFERROR(__xludf.DUMMYFUNCTION("iferror(if(A4199="""",,E4199&gt;=FILTER(Constants!$F$2:$F$10,Constants!$A$2:$A$10=A4199)))"),"")</f>
        <v/>
      </c>
    </row>
    <row r="4200">
      <c r="A4200" s="89"/>
      <c r="B4200" s="87"/>
      <c r="C4200" s="73"/>
      <c r="D4200" s="73"/>
      <c r="E4200" s="82"/>
      <c r="F4200" s="82"/>
      <c r="G4200" s="86"/>
      <c r="H4200" s="86"/>
      <c r="I4200" s="86"/>
      <c r="J4200" s="82"/>
      <c r="K4200" s="82"/>
      <c r="L4200" s="82"/>
      <c r="M4200" s="82"/>
      <c r="N4200" s="82"/>
      <c r="O4200" s="82"/>
      <c r="P4200" s="82"/>
      <c r="Q4200" s="82"/>
      <c r="R4200" s="82"/>
      <c r="S4200" s="82"/>
      <c r="T4200" s="82"/>
      <c r="U4200" s="82"/>
      <c r="V4200" s="82"/>
      <c r="W4200" s="82"/>
      <c r="X4200" s="82"/>
      <c r="Y4200" s="82"/>
      <c r="Z4200" s="82"/>
      <c r="AA4200" s="82"/>
      <c r="AB4200" s="82"/>
      <c r="AC4200" s="82"/>
      <c r="AD4200" s="82"/>
      <c r="AE4200" s="82"/>
      <c r="AF4200" s="82"/>
      <c r="AG4200" s="82"/>
      <c r="AH4200" s="82"/>
      <c r="AI4200" s="82"/>
      <c r="AJ4200" s="82"/>
      <c r="AK4200" s="82"/>
      <c r="AL4200" s="82"/>
      <c r="AM4200" s="82"/>
      <c r="AN4200" s="82">
        <f>IFERROR(__xludf.DUMMYFUNCTION("""COMPUTED_VALUE"""),0.0)</f>
        <v>0</v>
      </c>
      <c r="AO4200" s="82">
        <f>IFERROR(__xludf.DUMMYFUNCTION("""COMPUTED_VALUE"""),0.0)</f>
        <v>0</v>
      </c>
      <c r="AP4200" s="82">
        <f>IFERROR(__xludf.DUMMYFUNCTION("""COMPUTED_VALUE"""),0.0)</f>
        <v>0</v>
      </c>
      <c r="AQ4200" s="82">
        <f>IFERROR(__xludf.DUMMYFUNCTION("""COMPUTED_VALUE"""),0.0)</f>
        <v>0</v>
      </c>
      <c r="AR4200" s="82">
        <f>IFERROR(__xludf.DUMMYFUNCTION("""COMPUTED_VALUE"""),0.0)</f>
        <v>0</v>
      </c>
      <c r="AS4200" s="82"/>
      <c r="AT4200" s="82">
        <f>IFERROR(__xludf.DUMMYFUNCTION("""COMPUTED_VALUE"""),0.0)</f>
        <v>0</v>
      </c>
      <c r="AU4200" s="82"/>
      <c r="AV4200" s="82"/>
      <c r="AW4200" s="82" t="str">
        <f t="shared" si="1"/>
        <v/>
      </c>
      <c r="AX4200" s="83" t="str">
        <f t="array" ref="AX4200">IFERROR(DGET('SBV Import'!A:G,"SBV",{"RSC ID","Tier";B4200,A4200}))</f>
        <v/>
      </c>
      <c r="AY4200" s="82" t="str">
        <f t="shared" si="2"/>
        <v/>
      </c>
      <c r="AZ4200" s="82"/>
      <c r="BA4200" s="84" t="s">
        <v>152</v>
      </c>
      <c r="BB4200" s="84" t="str">
        <f>IFERROR(__xludf.DUMMYFUNCTION("iferror(if(A4200="""",,E4200&gt;=FILTER(Constants!$F$2:$F$10,Constants!$A$2:$A$10=A4200)))"),"")</f>
        <v/>
      </c>
    </row>
    <row r="4201">
      <c r="A4201" s="89"/>
      <c r="B4201" s="87"/>
      <c r="C4201" s="73"/>
      <c r="D4201" s="73"/>
      <c r="E4201" s="82"/>
      <c r="F4201" s="82"/>
      <c r="G4201" s="86"/>
      <c r="H4201" s="86"/>
      <c r="I4201" s="86"/>
      <c r="J4201" s="82"/>
      <c r="K4201" s="82"/>
      <c r="L4201" s="82"/>
      <c r="M4201" s="82"/>
      <c r="N4201" s="82"/>
      <c r="O4201" s="82"/>
      <c r="P4201" s="82"/>
      <c r="Q4201" s="82"/>
      <c r="R4201" s="82"/>
      <c r="S4201" s="82"/>
      <c r="T4201" s="82"/>
      <c r="U4201" s="82"/>
      <c r="V4201" s="82"/>
      <c r="W4201" s="82"/>
      <c r="X4201" s="82"/>
      <c r="Y4201" s="82"/>
      <c r="Z4201" s="82"/>
      <c r="AA4201" s="82"/>
      <c r="AB4201" s="82"/>
      <c r="AC4201" s="82"/>
      <c r="AD4201" s="82"/>
      <c r="AE4201" s="82"/>
      <c r="AF4201" s="82"/>
      <c r="AG4201" s="82"/>
      <c r="AH4201" s="82"/>
      <c r="AI4201" s="82"/>
      <c r="AJ4201" s="82"/>
      <c r="AK4201" s="82"/>
      <c r="AL4201" s="82"/>
      <c r="AM4201" s="82"/>
      <c r="AN4201" s="82">
        <f>IFERROR(__xludf.DUMMYFUNCTION("""COMPUTED_VALUE"""),0.0)</f>
        <v>0</v>
      </c>
      <c r="AO4201" s="82">
        <f>IFERROR(__xludf.DUMMYFUNCTION("""COMPUTED_VALUE"""),0.0)</f>
        <v>0</v>
      </c>
      <c r="AP4201" s="82">
        <f>IFERROR(__xludf.DUMMYFUNCTION("""COMPUTED_VALUE"""),0.0)</f>
        <v>0</v>
      </c>
      <c r="AQ4201" s="82">
        <f>IFERROR(__xludf.DUMMYFUNCTION("""COMPUTED_VALUE"""),0.0)</f>
        <v>0</v>
      </c>
      <c r="AR4201" s="82">
        <f>IFERROR(__xludf.DUMMYFUNCTION("""COMPUTED_VALUE"""),0.0)</f>
        <v>0</v>
      </c>
      <c r="AS4201" s="82"/>
      <c r="AT4201" s="82">
        <f>IFERROR(__xludf.DUMMYFUNCTION("""COMPUTED_VALUE"""),0.0)</f>
        <v>0</v>
      </c>
      <c r="AU4201" s="82"/>
      <c r="AV4201" s="82"/>
      <c r="AW4201" s="82" t="str">
        <f t="shared" si="1"/>
        <v/>
      </c>
      <c r="AX4201" s="83" t="str">
        <f t="array" ref="AX4201">IFERROR(DGET('SBV Import'!A:G,"SBV",{"RSC ID","Tier";B4201,A4201}))</f>
        <v/>
      </c>
      <c r="AY4201" s="82" t="str">
        <f t="shared" si="2"/>
        <v/>
      </c>
      <c r="AZ4201" s="82"/>
      <c r="BA4201" s="84" t="s">
        <v>152</v>
      </c>
      <c r="BB4201" s="84" t="str">
        <f>IFERROR(__xludf.DUMMYFUNCTION("iferror(if(A4201="""",,E4201&gt;=FILTER(Constants!$F$2:$F$10,Constants!$A$2:$A$10=A4201)))"),"")</f>
        <v/>
      </c>
    </row>
    <row r="4202">
      <c r="A4202" s="89"/>
      <c r="B4202" s="87"/>
      <c r="C4202" s="73"/>
      <c r="D4202" s="73"/>
      <c r="E4202" s="82"/>
      <c r="F4202" s="82"/>
      <c r="G4202" s="86"/>
      <c r="H4202" s="86"/>
      <c r="I4202" s="86"/>
      <c r="J4202" s="82"/>
      <c r="K4202" s="82"/>
      <c r="L4202" s="82"/>
      <c r="M4202" s="82"/>
      <c r="N4202" s="82"/>
      <c r="O4202" s="82"/>
      <c r="P4202" s="82"/>
      <c r="Q4202" s="82"/>
      <c r="R4202" s="82"/>
      <c r="S4202" s="82"/>
      <c r="T4202" s="82"/>
      <c r="U4202" s="82"/>
      <c r="V4202" s="82"/>
      <c r="W4202" s="82"/>
      <c r="X4202" s="82"/>
      <c r="Y4202" s="82"/>
      <c r="Z4202" s="82"/>
      <c r="AA4202" s="82"/>
      <c r="AB4202" s="82"/>
      <c r="AC4202" s="82"/>
      <c r="AD4202" s="82"/>
      <c r="AE4202" s="82"/>
      <c r="AF4202" s="82"/>
      <c r="AG4202" s="82"/>
      <c r="AH4202" s="82"/>
      <c r="AI4202" s="82"/>
      <c r="AJ4202" s="82"/>
      <c r="AK4202" s="82"/>
      <c r="AL4202" s="82"/>
      <c r="AM4202" s="82"/>
      <c r="AN4202" s="82">
        <f>IFERROR(__xludf.DUMMYFUNCTION("""COMPUTED_VALUE"""),0.0)</f>
        <v>0</v>
      </c>
      <c r="AO4202" s="82">
        <f>IFERROR(__xludf.DUMMYFUNCTION("""COMPUTED_VALUE"""),0.0)</f>
        <v>0</v>
      </c>
      <c r="AP4202" s="82">
        <f>IFERROR(__xludf.DUMMYFUNCTION("""COMPUTED_VALUE"""),0.0)</f>
        <v>0</v>
      </c>
      <c r="AQ4202" s="82">
        <f>IFERROR(__xludf.DUMMYFUNCTION("""COMPUTED_VALUE"""),0.0)</f>
        <v>0</v>
      </c>
      <c r="AR4202" s="82">
        <f>IFERROR(__xludf.DUMMYFUNCTION("""COMPUTED_VALUE"""),0.0)</f>
        <v>0</v>
      </c>
      <c r="AS4202" s="82"/>
      <c r="AT4202" s="82">
        <f>IFERROR(__xludf.DUMMYFUNCTION("""COMPUTED_VALUE"""),0.0)</f>
        <v>0</v>
      </c>
      <c r="AU4202" s="82"/>
      <c r="AV4202" s="82"/>
      <c r="AW4202" s="82" t="str">
        <f t="shared" si="1"/>
        <v/>
      </c>
      <c r="AX4202" s="83" t="str">
        <f t="array" ref="AX4202">IFERROR(DGET('SBV Import'!A:G,"SBV",{"RSC ID","Tier";B4202,A4202}))</f>
        <v/>
      </c>
      <c r="AY4202" s="82" t="str">
        <f t="shared" si="2"/>
        <v/>
      </c>
      <c r="AZ4202" s="82"/>
      <c r="BA4202" s="84" t="s">
        <v>152</v>
      </c>
      <c r="BB4202" s="84" t="str">
        <f>IFERROR(__xludf.DUMMYFUNCTION("iferror(if(A4202="""",,E4202&gt;=FILTER(Constants!$F$2:$F$10,Constants!$A$2:$A$10=A4202)))"),"")</f>
        <v/>
      </c>
    </row>
    <row r="4203">
      <c r="A4203" s="89"/>
      <c r="B4203" s="87"/>
      <c r="C4203" s="73"/>
      <c r="D4203" s="73"/>
      <c r="E4203" s="82"/>
      <c r="F4203" s="82"/>
      <c r="G4203" s="86"/>
      <c r="H4203" s="86"/>
      <c r="I4203" s="86"/>
      <c r="J4203" s="82"/>
      <c r="K4203" s="82"/>
      <c r="L4203" s="82"/>
      <c r="M4203" s="82"/>
      <c r="N4203" s="82"/>
      <c r="O4203" s="82"/>
      <c r="P4203" s="82"/>
      <c r="Q4203" s="82"/>
      <c r="R4203" s="82"/>
      <c r="S4203" s="82"/>
      <c r="T4203" s="82"/>
      <c r="U4203" s="82"/>
      <c r="V4203" s="82"/>
      <c r="W4203" s="82"/>
      <c r="X4203" s="82"/>
      <c r="Y4203" s="82"/>
      <c r="Z4203" s="82"/>
      <c r="AA4203" s="82"/>
      <c r="AB4203" s="82"/>
      <c r="AC4203" s="82"/>
      <c r="AD4203" s="82"/>
      <c r="AE4203" s="82"/>
      <c r="AF4203" s="82"/>
      <c r="AG4203" s="82"/>
      <c r="AH4203" s="82"/>
      <c r="AI4203" s="82"/>
      <c r="AJ4203" s="82"/>
      <c r="AK4203" s="82"/>
      <c r="AL4203" s="82"/>
      <c r="AM4203" s="82"/>
      <c r="AN4203" s="82">
        <f>IFERROR(__xludf.DUMMYFUNCTION("""COMPUTED_VALUE"""),0.0)</f>
        <v>0</v>
      </c>
      <c r="AO4203" s="82">
        <f>IFERROR(__xludf.DUMMYFUNCTION("""COMPUTED_VALUE"""),0.0)</f>
        <v>0</v>
      </c>
      <c r="AP4203" s="82">
        <f>IFERROR(__xludf.DUMMYFUNCTION("""COMPUTED_VALUE"""),0.0)</f>
        <v>0</v>
      </c>
      <c r="AQ4203" s="82">
        <f>IFERROR(__xludf.DUMMYFUNCTION("""COMPUTED_VALUE"""),0.0)</f>
        <v>0</v>
      </c>
      <c r="AR4203" s="82">
        <f>IFERROR(__xludf.DUMMYFUNCTION("""COMPUTED_VALUE"""),0.0)</f>
        <v>0</v>
      </c>
      <c r="AS4203" s="82"/>
      <c r="AT4203" s="82">
        <f>IFERROR(__xludf.DUMMYFUNCTION("""COMPUTED_VALUE"""),0.0)</f>
        <v>0</v>
      </c>
      <c r="AU4203" s="82"/>
      <c r="AV4203" s="82"/>
      <c r="AW4203" s="82" t="str">
        <f t="shared" si="1"/>
        <v/>
      </c>
      <c r="AX4203" s="83" t="str">
        <f t="array" ref="AX4203">IFERROR(DGET('SBV Import'!A:G,"SBV",{"RSC ID","Tier";B4203,A4203}))</f>
        <v/>
      </c>
      <c r="AY4203" s="82" t="str">
        <f t="shared" si="2"/>
        <v/>
      </c>
      <c r="AZ4203" s="82"/>
      <c r="BA4203" s="84" t="s">
        <v>152</v>
      </c>
      <c r="BB4203" s="84" t="str">
        <f>IFERROR(__xludf.DUMMYFUNCTION("iferror(if(A4203="""",,E4203&gt;=FILTER(Constants!$F$2:$F$10,Constants!$A$2:$A$10=A4203)))"),"")</f>
        <v/>
      </c>
    </row>
    <row r="4204">
      <c r="A4204" s="89"/>
      <c r="B4204" s="87"/>
      <c r="C4204" s="73"/>
      <c r="D4204" s="73"/>
      <c r="E4204" s="82"/>
      <c r="F4204" s="82"/>
      <c r="G4204" s="86"/>
      <c r="H4204" s="86"/>
      <c r="I4204" s="86"/>
      <c r="J4204" s="82"/>
      <c r="K4204" s="82"/>
      <c r="L4204" s="82"/>
      <c r="M4204" s="82"/>
      <c r="N4204" s="82"/>
      <c r="O4204" s="82"/>
      <c r="P4204" s="82"/>
      <c r="Q4204" s="82"/>
      <c r="R4204" s="82"/>
      <c r="S4204" s="82"/>
      <c r="T4204" s="82"/>
      <c r="U4204" s="82"/>
      <c r="V4204" s="82"/>
      <c r="W4204" s="82"/>
      <c r="X4204" s="82"/>
      <c r="Y4204" s="82"/>
      <c r="Z4204" s="82"/>
      <c r="AA4204" s="82"/>
      <c r="AB4204" s="82"/>
      <c r="AC4204" s="82"/>
      <c r="AD4204" s="82"/>
      <c r="AE4204" s="82"/>
      <c r="AF4204" s="82"/>
      <c r="AG4204" s="82"/>
      <c r="AH4204" s="82"/>
      <c r="AI4204" s="82"/>
      <c r="AJ4204" s="82"/>
      <c r="AK4204" s="82"/>
      <c r="AL4204" s="82"/>
      <c r="AM4204" s="82"/>
      <c r="AN4204" s="82">
        <f>IFERROR(__xludf.DUMMYFUNCTION("""COMPUTED_VALUE"""),0.0)</f>
        <v>0</v>
      </c>
      <c r="AO4204" s="82">
        <f>IFERROR(__xludf.DUMMYFUNCTION("""COMPUTED_VALUE"""),0.0)</f>
        <v>0</v>
      </c>
      <c r="AP4204" s="82">
        <f>IFERROR(__xludf.DUMMYFUNCTION("""COMPUTED_VALUE"""),0.0)</f>
        <v>0</v>
      </c>
      <c r="AQ4204" s="82">
        <f>IFERROR(__xludf.DUMMYFUNCTION("""COMPUTED_VALUE"""),0.0)</f>
        <v>0</v>
      </c>
      <c r="AR4204" s="82">
        <f>IFERROR(__xludf.DUMMYFUNCTION("""COMPUTED_VALUE"""),0.0)</f>
        <v>0</v>
      </c>
      <c r="AS4204" s="82"/>
      <c r="AT4204" s="82">
        <f>IFERROR(__xludf.DUMMYFUNCTION("""COMPUTED_VALUE"""),0.0)</f>
        <v>0</v>
      </c>
      <c r="AU4204" s="82"/>
      <c r="AV4204" s="82"/>
      <c r="AW4204" s="82" t="str">
        <f t="shared" si="1"/>
        <v/>
      </c>
      <c r="AX4204" s="83" t="str">
        <f t="array" ref="AX4204">IFERROR(DGET('SBV Import'!A:G,"SBV",{"RSC ID","Tier";B4204,A4204}))</f>
        <v/>
      </c>
      <c r="AY4204" s="82" t="str">
        <f t="shared" si="2"/>
        <v/>
      </c>
      <c r="AZ4204" s="82"/>
      <c r="BA4204" s="84" t="s">
        <v>152</v>
      </c>
      <c r="BB4204" s="84" t="str">
        <f>IFERROR(__xludf.DUMMYFUNCTION("iferror(if(A4204="""",,E4204&gt;=FILTER(Constants!$F$2:$F$10,Constants!$A$2:$A$10=A4204)))"),"")</f>
        <v/>
      </c>
    </row>
    <row r="4205">
      <c r="A4205" s="89"/>
      <c r="B4205" s="87"/>
      <c r="C4205" s="73"/>
      <c r="D4205" s="73"/>
      <c r="E4205" s="82"/>
      <c r="F4205" s="82"/>
      <c r="G4205" s="86"/>
      <c r="H4205" s="86"/>
      <c r="I4205" s="86"/>
      <c r="J4205" s="82"/>
      <c r="K4205" s="82"/>
      <c r="L4205" s="82"/>
      <c r="M4205" s="82"/>
      <c r="N4205" s="82"/>
      <c r="O4205" s="82"/>
      <c r="P4205" s="82"/>
      <c r="Q4205" s="82"/>
      <c r="R4205" s="82"/>
      <c r="S4205" s="82"/>
      <c r="T4205" s="82"/>
      <c r="U4205" s="82"/>
      <c r="V4205" s="82"/>
      <c r="W4205" s="82"/>
      <c r="X4205" s="82"/>
      <c r="Y4205" s="82"/>
      <c r="Z4205" s="82"/>
      <c r="AA4205" s="82"/>
      <c r="AB4205" s="82"/>
      <c r="AC4205" s="82"/>
      <c r="AD4205" s="82"/>
      <c r="AE4205" s="82"/>
      <c r="AF4205" s="82"/>
      <c r="AG4205" s="82"/>
      <c r="AH4205" s="82"/>
      <c r="AI4205" s="82"/>
      <c r="AJ4205" s="82"/>
      <c r="AK4205" s="82"/>
      <c r="AL4205" s="82"/>
      <c r="AM4205" s="82"/>
      <c r="AN4205" s="82">
        <f>IFERROR(__xludf.DUMMYFUNCTION("""COMPUTED_VALUE"""),0.0)</f>
        <v>0</v>
      </c>
      <c r="AO4205" s="82">
        <f>IFERROR(__xludf.DUMMYFUNCTION("""COMPUTED_VALUE"""),0.0)</f>
        <v>0</v>
      </c>
      <c r="AP4205" s="82">
        <f>IFERROR(__xludf.DUMMYFUNCTION("""COMPUTED_VALUE"""),0.0)</f>
        <v>0</v>
      </c>
      <c r="AQ4205" s="82">
        <f>IFERROR(__xludf.DUMMYFUNCTION("""COMPUTED_VALUE"""),0.0)</f>
        <v>0</v>
      </c>
      <c r="AR4205" s="82">
        <f>IFERROR(__xludf.DUMMYFUNCTION("""COMPUTED_VALUE"""),0.0)</f>
        <v>0</v>
      </c>
      <c r="AS4205" s="82"/>
      <c r="AT4205" s="82">
        <f>IFERROR(__xludf.DUMMYFUNCTION("""COMPUTED_VALUE"""),0.0)</f>
        <v>0</v>
      </c>
      <c r="AU4205" s="82"/>
      <c r="AV4205" s="82"/>
      <c r="AW4205" s="82" t="str">
        <f t="shared" si="1"/>
        <v/>
      </c>
      <c r="AX4205" s="83" t="str">
        <f t="array" ref="AX4205">IFERROR(DGET('SBV Import'!A:G,"SBV",{"RSC ID","Tier";B4205,A4205}))</f>
        <v/>
      </c>
      <c r="AY4205" s="82" t="str">
        <f t="shared" si="2"/>
        <v/>
      </c>
      <c r="AZ4205" s="82"/>
      <c r="BA4205" s="84" t="s">
        <v>152</v>
      </c>
      <c r="BB4205" s="84" t="str">
        <f>IFERROR(__xludf.DUMMYFUNCTION("iferror(if(A4205="""",,E4205&gt;=FILTER(Constants!$F$2:$F$10,Constants!$A$2:$A$10=A4205)))"),"")</f>
        <v/>
      </c>
    </row>
    <row r="4206">
      <c r="A4206" s="89"/>
      <c r="B4206" s="87"/>
      <c r="C4206" s="73"/>
      <c r="D4206" s="73"/>
      <c r="E4206" s="82"/>
      <c r="F4206" s="82"/>
      <c r="G4206" s="86"/>
      <c r="H4206" s="86"/>
      <c r="I4206" s="86"/>
      <c r="J4206" s="82"/>
      <c r="K4206" s="82"/>
      <c r="L4206" s="82"/>
      <c r="M4206" s="82"/>
      <c r="N4206" s="82"/>
      <c r="O4206" s="82"/>
      <c r="P4206" s="82"/>
      <c r="Q4206" s="82"/>
      <c r="R4206" s="82"/>
      <c r="S4206" s="82"/>
      <c r="T4206" s="82"/>
      <c r="U4206" s="82"/>
      <c r="V4206" s="82"/>
      <c r="W4206" s="82"/>
      <c r="X4206" s="82"/>
      <c r="Y4206" s="82"/>
      <c r="Z4206" s="82"/>
      <c r="AA4206" s="82"/>
      <c r="AB4206" s="82"/>
      <c r="AC4206" s="82"/>
      <c r="AD4206" s="82"/>
      <c r="AE4206" s="82"/>
      <c r="AF4206" s="82"/>
      <c r="AG4206" s="82"/>
      <c r="AH4206" s="82"/>
      <c r="AI4206" s="82"/>
      <c r="AJ4206" s="82"/>
      <c r="AK4206" s="82"/>
      <c r="AL4206" s="82"/>
      <c r="AM4206" s="82"/>
      <c r="AN4206" s="82">
        <f>IFERROR(__xludf.DUMMYFUNCTION("""COMPUTED_VALUE"""),0.0)</f>
        <v>0</v>
      </c>
      <c r="AO4206" s="82">
        <f>IFERROR(__xludf.DUMMYFUNCTION("""COMPUTED_VALUE"""),0.0)</f>
        <v>0</v>
      </c>
      <c r="AP4206" s="82">
        <f>IFERROR(__xludf.DUMMYFUNCTION("""COMPUTED_VALUE"""),0.0)</f>
        <v>0</v>
      </c>
      <c r="AQ4206" s="82">
        <f>IFERROR(__xludf.DUMMYFUNCTION("""COMPUTED_VALUE"""),0.0)</f>
        <v>0</v>
      </c>
      <c r="AR4206" s="82">
        <f>IFERROR(__xludf.DUMMYFUNCTION("""COMPUTED_VALUE"""),0.0)</f>
        <v>0</v>
      </c>
      <c r="AS4206" s="82"/>
      <c r="AT4206" s="82">
        <f>IFERROR(__xludf.DUMMYFUNCTION("""COMPUTED_VALUE"""),0.0)</f>
        <v>0</v>
      </c>
      <c r="AU4206" s="82"/>
      <c r="AV4206" s="82"/>
      <c r="AW4206" s="82" t="str">
        <f t="shared" si="1"/>
        <v/>
      </c>
      <c r="AX4206" s="83" t="str">
        <f t="array" ref="AX4206">IFERROR(DGET('SBV Import'!A:G,"SBV",{"RSC ID","Tier";B4206,A4206}))</f>
        <v/>
      </c>
      <c r="AY4206" s="82" t="str">
        <f t="shared" si="2"/>
        <v/>
      </c>
      <c r="AZ4206" s="82"/>
      <c r="BA4206" s="84" t="s">
        <v>152</v>
      </c>
      <c r="BB4206" s="84" t="str">
        <f>IFERROR(__xludf.DUMMYFUNCTION("iferror(if(A4206="""",,E4206&gt;=FILTER(Constants!$F$2:$F$10,Constants!$A$2:$A$10=A4206)))"),"")</f>
        <v/>
      </c>
    </row>
    <row r="4207">
      <c r="A4207" s="89"/>
      <c r="B4207" s="87"/>
      <c r="C4207" s="73"/>
      <c r="D4207" s="73"/>
      <c r="E4207" s="82"/>
      <c r="F4207" s="82"/>
      <c r="G4207" s="86"/>
      <c r="H4207" s="86"/>
      <c r="I4207" s="86"/>
      <c r="J4207" s="82"/>
      <c r="K4207" s="82"/>
      <c r="L4207" s="82"/>
      <c r="M4207" s="82"/>
      <c r="N4207" s="82"/>
      <c r="O4207" s="82"/>
      <c r="P4207" s="82"/>
      <c r="Q4207" s="82"/>
      <c r="R4207" s="82"/>
      <c r="S4207" s="82"/>
      <c r="T4207" s="82"/>
      <c r="U4207" s="82"/>
      <c r="V4207" s="82"/>
      <c r="W4207" s="82"/>
      <c r="X4207" s="82"/>
      <c r="Y4207" s="82"/>
      <c r="Z4207" s="82"/>
      <c r="AA4207" s="82"/>
      <c r="AB4207" s="82"/>
      <c r="AC4207" s="82"/>
      <c r="AD4207" s="82"/>
      <c r="AE4207" s="82"/>
      <c r="AF4207" s="82"/>
      <c r="AG4207" s="82"/>
      <c r="AH4207" s="82"/>
      <c r="AI4207" s="82"/>
      <c r="AJ4207" s="82"/>
      <c r="AK4207" s="82"/>
      <c r="AL4207" s="82"/>
      <c r="AM4207" s="82"/>
      <c r="AN4207" s="82">
        <f>IFERROR(__xludf.DUMMYFUNCTION("""COMPUTED_VALUE"""),0.0)</f>
        <v>0</v>
      </c>
      <c r="AO4207" s="82">
        <f>IFERROR(__xludf.DUMMYFUNCTION("""COMPUTED_VALUE"""),0.0)</f>
        <v>0</v>
      </c>
      <c r="AP4207" s="82">
        <f>IFERROR(__xludf.DUMMYFUNCTION("""COMPUTED_VALUE"""),0.0)</f>
        <v>0</v>
      </c>
      <c r="AQ4207" s="82">
        <f>IFERROR(__xludf.DUMMYFUNCTION("""COMPUTED_VALUE"""),0.0)</f>
        <v>0</v>
      </c>
      <c r="AR4207" s="82">
        <f>IFERROR(__xludf.DUMMYFUNCTION("""COMPUTED_VALUE"""),0.0)</f>
        <v>0</v>
      </c>
      <c r="AS4207" s="82"/>
      <c r="AT4207" s="82">
        <f>IFERROR(__xludf.DUMMYFUNCTION("""COMPUTED_VALUE"""),0.0)</f>
        <v>0</v>
      </c>
      <c r="AU4207" s="82"/>
      <c r="AV4207" s="82"/>
      <c r="AW4207" s="82" t="str">
        <f t="shared" si="1"/>
        <v/>
      </c>
      <c r="AX4207" s="83" t="str">
        <f t="array" ref="AX4207">IFERROR(DGET('SBV Import'!A:G,"SBV",{"RSC ID","Tier";B4207,A4207}))</f>
        <v/>
      </c>
      <c r="AY4207" s="82" t="str">
        <f t="shared" si="2"/>
        <v/>
      </c>
      <c r="AZ4207" s="82"/>
      <c r="BA4207" s="84" t="s">
        <v>152</v>
      </c>
      <c r="BB4207" s="84" t="str">
        <f>IFERROR(__xludf.DUMMYFUNCTION("iferror(if(A4207="""",,E4207&gt;=FILTER(Constants!$F$2:$F$10,Constants!$A$2:$A$10=A4207)))"),"")</f>
        <v/>
      </c>
    </row>
    <row r="4208">
      <c r="A4208" s="89"/>
      <c r="B4208" s="87"/>
      <c r="C4208" s="73"/>
      <c r="D4208" s="73"/>
      <c r="E4208" s="82"/>
      <c r="F4208" s="82"/>
      <c r="G4208" s="86"/>
      <c r="H4208" s="86"/>
      <c r="I4208" s="86"/>
      <c r="J4208" s="82"/>
      <c r="K4208" s="82"/>
      <c r="L4208" s="82"/>
      <c r="M4208" s="82"/>
      <c r="N4208" s="82"/>
      <c r="O4208" s="82"/>
      <c r="P4208" s="82"/>
      <c r="Q4208" s="82"/>
      <c r="R4208" s="82"/>
      <c r="S4208" s="82"/>
      <c r="T4208" s="82"/>
      <c r="U4208" s="82"/>
      <c r="V4208" s="82"/>
      <c r="W4208" s="82"/>
      <c r="X4208" s="82"/>
      <c r="Y4208" s="82"/>
      <c r="Z4208" s="82"/>
      <c r="AA4208" s="82"/>
      <c r="AB4208" s="82"/>
      <c r="AC4208" s="82"/>
      <c r="AD4208" s="82"/>
      <c r="AE4208" s="82"/>
      <c r="AF4208" s="82"/>
      <c r="AG4208" s="82"/>
      <c r="AH4208" s="82"/>
      <c r="AI4208" s="82"/>
      <c r="AJ4208" s="82"/>
      <c r="AK4208" s="82"/>
      <c r="AL4208" s="82"/>
      <c r="AM4208" s="82"/>
      <c r="AN4208" s="82">
        <f>IFERROR(__xludf.DUMMYFUNCTION("""COMPUTED_VALUE"""),0.0)</f>
        <v>0</v>
      </c>
      <c r="AO4208" s="82">
        <f>IFERROR(__xludf.DUMMYFUNCTION("""COMPUTED_VALUE"""),0.0)</f>
        <v>0</v>
      </c>
      <c r="AP4208" s="82">
        <f>IFERROR(__xludf.DUMMYFUNCTION("""COMPUTED_VALUE"""),0.0)</f>
        <v>0</v>
      </c>
      <c r="AQ4208" s="82">
        <f>IFERROR(__xludf.DUMMYFUNCTION("""COMPUTED_VALUE"""),0.0)</f>
        <v>0</v>
      </c>
      <c r="AR4208" s="82">
        <f>IFERROR(__xludf.DUMMYFUNCTION("""COMPUTED_VALUE"""),0.0)</f>
        <v>0</v>
      </c>
      <c r="AS4208" s="82"/>
      <c r="AT4208" s="82">
        <f>IFERROR(__xludf.DUMMYFUNCTION("""COMPUTED_VALUE"""),0.0)</f>
        <v>0</v>
      </c>
      <c r="AU4208" s="82"/>
      <c r="AV4208" s="82"/>
      <c r="AW4208" s="82" t="str">
        <f t="shared" si="1"/>
        <v/>
      </c>
      <c r="AX4208" s="83" t="str">
        <f t="array" ref="AX4208">IFERROR(DGET('SBV Import'!A:G,"SBV",{"RSC ID","Tier";B4208,A4208}))</f>
        <v/>
      </c>
      <c r="AY4208" s="82" t="str">
        <f t="shared" si="2"/>
        <v/>
      </c>
      <c r="AZ4208" s="82"/>
      <c r="BA4208" s="84" t="s">
        <v>152</v>
      </c>
      <c r="BB4208" s="84" t="str">
        <f>IFERROR(__xludf.DUMMYFUNCTION("iferror(if(A4208="""",,E4208&gt;=FILTER(Constants!$F$2:$F$10,Constants!$A$2:$A$10=A4208)))"),"")</f>
        <v/>
      </c>
    </row>
    <row r="4209">
      <c r="A4209" s="89"/>
      <c r="B4209" s="87"/>
      <c r="C4209" s="73"/>
      <c r="D4209" s="73"/>
      <c r="E4209" s="82"/>
      <c r="F4209" s="82"/>
      <c r="G4209" s="86"/>
      <c r="H4209" s="86"/>
      <c r="I4209" s="86"/>
      <c r="J4209" s="82"/>
      <c r="K4209" s="82"/>
      <c r="L4209" s="82"/>
      <c r="M4209" s="82"/>
      <c r="N4209" s="82"/>
      <c r="O4209" s="82"/>
      <c r="P4209" s="82"/>
      <c r="Q4209" s="82"/>
      <c r="R4209" s="82"/>
      <c r="S4209" s="82"/>
      <c r="T4209" s="82"/>
      <c r="U4209" s="82"/>
      <c r="V4209" s="82"/>
      <c r="W4209" s="82"/>
      <c r="X4209" s="82"/>
      <c r="Y4209" s="82"/>
      <c r="Z4209" s="82"/>
      <c r="AA4209" s="82"/>
      <c r="AB4209" s="82"/>
      <c r="AC4209" s="82"/>
      <c r="AD4209" s="82"/>
      <c r="AE4209" s="82"/>
      <c r="AF4209" s="82"/>
      <c r="AG4209" s="82"/>
      <c r="AH4209" s="82"/>
      <c r="AI4209" s="82"/>
      <c r="AJ4209" s="82"/>
      <c r="AK4209" s="82"/>
      <c r="AL4209" s="82"/>
      <c r="AM4209" s="82"/>
      <c r="AN4209" s="82">
        <f>IFERROR(__xludf.DUMMYFUNCTION("""COMPUTED_VALUE"""),0.0)</f>
        <v>0</v>
      </c>
      <c r="AO4209" s="82">
        <f>IFERROR(__xludf.DUMMYFUNCTION("""COMPUTED_VALUE"""),0.0)</f>
        <v>0</v>
      </c>
      <c r="AP4209" s="82">
        <f>IFERROR(__xludf.DUMMYFUNCTION("""COMPUTED_VALUE"""),0.0)</f>
        <v>0</v>
      </c>
      <c r="AQ4209" s="82">
        <f>IFERROR(__xludf.DUMMYFUNCTION("""COMPUTED_VALUE"""),0.0)</f>
        <v>0</v>
      </c>
      <c r="AR4209" s="82">
        <f>IFERROR(__xludf.DUMMYFUNCTION("""COMPUTED_VALUE"""),0.0)</f>
        <v>0</v>
      </c>
      <c r="AS4209" s="82"/>
      <c r="AT4209" s="82">
        <f>IFERROR(__xludf.DUMMYFUNCTION("""COMPUTED_VALUE"""),0.0)</f>
        <v>0</v>
      </c>
      <c r="AU4209" s="82"/>
      <c r="AV4209" s="82"/>
      <c r="AW4209" s="82" t="str">
        <f t="shared" si="1"/>
        <v/>
      </c>
      <c r="AX4209" s="83" t="str">
        <f t="array" ref="AX4209">IFERROR(DGET('SBV Import'!A:G,"SBV",{"RSC ID","Tier";B4209,A4209}))</f>
        <v/>
      </c>
      <c r="AY4209" s="82" t="str">
        <f t="shared" si="2"/>
        <v/>
      </c>
      <c r="AZ4209" s="82"/>
      <c r="BA4209" s="84" t="s">
        <v>152</v>
      </c>
      <c r="BB4209" s="84" t="str">
        <f>IFERROR(__xludf.DUMMYFUNCTION("iferror(if(A4209="""",,E4209&gt;=FILTER(Constants!$F$2:$F$10,Constants!$A$2:$A$10=A4209)))"),"")</f>
        <v/>
      </c>
    </row>
    <row r="4210">
      <c r="A4210" s="89"/>
      <c r="B4210" s="87"/>
      <c r="C4210" s="73"/>
      <c r="D4210" s="73"/>
      <c r="E4210" s="82"/>
      <c r="F4210" s="82"/>
      <c r="G4210" s="86"/>
      <c r="H4210" s="86"/>
      <c r="I4210" s="86"/>
      <c r="J4210" s="82"/>
      <c r="K4210" s="82"/>
      <c r="L4210" s="82"/>
      <c r="M4210" s="82"/>
      <c r="N4210" s="82"/>
      <c r="O4210" s="82"/>
      <c r="P4210" s="82"/>
      <c r="Q4210" s="82"/>
      <c r="R4210" s="82"/>
      <c r="S4210" s="82"/>
      <c r="T4210" s="82"/>
      <c r="U4210" s="82"/>
      <c r="V4210" s="82"/>
      <c r="W4210" s="82"/>
      <c r="X4210" s="82"/>
      <c r="Y4210" s="82"/>
      <c r="Z4210" s="82"/>
      <c r="AA4210" s="82"/>
      <c r="AB4210" s="82"/>
      <c r="AC4210" s="82"/>
      <c r="AD4210" s="82"/>
      <c r="AE4210" s="82"/>
      <c r="AF4210" s="82"/>
      <c r="AG4210" s="82"/>
      <c r="AH4210" s="82"/>
      <c r="AI4210" s="82"/>
      <c r="AJ4210" s="82"/>
      <c r="AK4210" s="82"/>
      <c r="AL4210" s="82"/>
      <c r="AM4210" s="82"/>
      <c r="AN4210" s="82">
        <f>IFERROR(__xludf.DUMMYFUNCTION("""COMPUTED_VALUE"""),0.0)</f>
        <v>0</v>
      </c>
      <c r="AO4210" s="82">
        <f>IFERROR(__xludf.DUMMYFUNCTION("""COMPUTED_VALUE"""),0.0)</f>
        <v>0</v>
      </c>
      <c r="AP4210" s="82">
        <f>IFERROR(__xludf.DUMMYFUNCTION("""COMPUTED_VALUE"""),0.0)</f>
        <v>0</v>
      </c>
      <c r="AQ4210" s="82">
        <f>IFERROR(__xludf.DUMMYFUNCTION("""COMPUTED_VALUE"""),0.0)</f>
        <v>0</v>
      </c>
      <c r="AR4210" s="82">
        <f>IFERROR(__xludf.DUMMYFUNCTION("""COMPUTED_VALUE"""),0.0)</f>
        <v>0</v>
      </c>
      <c r="AS4210" s="82"/>
      <c r="AT4210" s="82">
        <f>IFERROR(__xludf.DUMMYFUNCTION("""COMPUTED_VALUE"""),0.0)</f>
        <v>0</v>
      </c>
      <c r="AU4210" s="82"/>
      <c r="AV4210" s="82"/>
      <c r="AW4210" s="82" t="str">
        <f t="shared" si="1"/>
        <v/>
      </c>
      <c r="AX4210" s="83" t="str">
        <f t="array" ref="AX4210">IFERROR(DGET('SBV Import'!A:G,"SBV",{"RSC ID","Tier";B4210,A4210}))</f>
        <v/>
      </c>
      <c r="AY4210" s="82" t="str">
        <f t="shared" si="2"/>
        <v/>
      </c>
      <c r="AZ4210" s="82"/>
      <c r="BA4210" s="84" t="s">
        <v>152</v>
      </c>
      <c r="BB4210" s="84" t="str">
        <f>IFERROR(__xludf.DUMMYFUNCTION("iferror(if(A4210="""",,E4210&gt;=FILTER(Constants!$F$2:$F$10,Constants!$A$2:$A$10=A4210)))"),"")</f>
        <v/>
      </c>
    </row>
    <row r="4211">
      <c r="A4211" s="89"/>
      <c r="B4211" s="87"/>
      <c r="C4211" s="73"/>
      <c r="D4211" s="73"/>
      <c r="E4211" s="82"/>
      <c r="F4211" s="82"/>
      <c r="G4211" s="86"/>
      <c r="H4211" s="86"/>
      <c r="I4211" s="86"/>
      <c r="J4211" s="82"/>
      <c r="K4211" s="82"/>
      <c r="L4211" s="82"/>
      <c r="M4211" s="82"/>
      <c r="N4211" s="82"/>
      <c r="O4211" s="82"/>
      <c r="P4211" s="82"/>
      <c r="Q4211" s="82"/>
      <c r="R4211" s="82"/>
      <c r="S4211" s="82"/>
      <c r="T4211" s="82"/>
      <c r="U4211" s="82"/>
      <c r="V4211" s="82"/>
      <c r="W4211" s="82"/>
      <c r="X4211" s="82"/>
      <c r="Y4211" s="82"/>
      <c r="Z4211" s="82"/>
      <c r="AA4211" s="82"/>
      <c r="AB4211" s="82"/>
      <c r="AC4211" s="82"/>
      <c r="AD4211" s="82"/>
      <c r="AE4211" s="82"/>
      <c r="AF4211" s="82"/>
      <c r="AG4211" s="82"/>
      <c r="AH4211" s="82"/>
      <c r="AI4211" s="82"/>
      <c r="AJ4211" s="82"/>
      <c r="AK4211" s="82"/>
      <c r="AL4211" s="82"/>
      <c r="AM4211" s="82"/>
      <c r="AN4211" s="82">
        <f>IFERROR(__xludf.DUMMYFUNCTION("""COMPUTED_VALUE"""),0.0)</f>
        <v>0</v>
      </c>
      <c r="AO4211" s="82">
        <f>IFERROR(__xludf.DUMMYFUNCTION("""COMPUTED_VALUE"""),0.0)</f>
        <v>0</v>
      </c>
      <c r="AP4211" s="82">
        <f>IFERROR(__xludf.DUMMYFUNCTION("""COMPUTED_VALUE"""),0.0)</f>
        <v>0</v>
      </c>
      <c r="AQ4211" s="82">
        <f>IFERROR(__xludf.DUMMYFUNCTION("""COMPUTED_VALUE"""),0.0)</f>
        <v>0</v>
      </c>
      <c r="AR4211" s="82">
        <f>IFERROR(__xludf.DUMMYFUNCTION("""COMPUTED_VALUE"""),0.0)</f>
        <v>0</v>
      </c>
      <c r="AS4211" s="82"/>
      <c r="AT4211" s="82">
        <f>IFERROR(__xludf.DUMMYFUNCTION("""COMPUTED_VALUE"""),0.0)</f>
        <v>0</v>
      </c>
      <c r="AU4211" s="82"/>
      <c r="AV4211" s="82"/>
      <c r="AW4211" s="82" t="str">
        <f t="shared" si="1"/>
        <v/>
      </c>
      <c r="AX4211" s="83" t="str">
        <f t="array" ref="AX4211">IFERROR(DGET('SBV Import'!A:G,"SBV",{"RSC ID","Tier";B4211,A4211}))</f>
        <v/>
      </c>
      <c r="AY4211" s="82" t="str">
        <f t="shared" si="2"/>
        <v/>
      </c>
      <c r="AZ4211" s="82"/>
      <c r="BA4211" s="84" t="s">
        <v>152</v>
      </c>
      <c r="BB4211" s="84" t="str">
        <f>IFERROR(__xludf.DUMMYFUNCTION("iferror(if(A4211="""",,E4211&gt;=FILTER(Constants!$F$2:$F$10,Constants!$A$2:$A$10=A4211)))"),"")</f>
        <v/>
      </c>
    </row>
    <row r="4212">
      <c r="A4212" s="89"/>
      <c r="B4212" s="87"/>
      <c r="C4212" s="73"/>
      <c r="D4212" s="73"/>
      <c r="E4212" s="82"/>
      <c r="F4212" s="82"/>
      <c r="G4212" s="86"/>
      <c r="H4212" s="86"/>
      <c r="I4212" s="86"/>
      <c r="J4212" s="82"/>
      <c r="K4212" s="82"/>
      <c r="L4212" s="82"/>
      <c r="M4212" s="82"/>
      <c r="N4212" s="82"/>
      <c r="O4212" s="82"/>
      <c r="P4212" s="82"/>
      <c r="Q4212" s="82"/>
      <c r="R4212" s="82"/>
      <c r="S4212" s="82"/>
      <c r="T4212" s="82"/>
      <c r="U4212" s="82"/>
      <c r="V4212" s="82"/>
      <c r="W4212" s="82"/>
      <c r="X4212" s="82"/>
      <c r="Y4212" s="82"/>
      <c r="Z4212" s="82"/>
      <c r="AA4212" s="82"/>
      <c r="AB4212" s="82"/>
      <c r="AC4212" s="82"/>
      <c r="AD4212" s="82"/>
      <c r="AE4212" s="82"/>
      <c r="AF4212" s="82"/>
      <c r="AG4212" s="82"/>
      <c r="AH4212" s="82"/>
      <c r="AI4212" s="82"/>
      <c r="AJ4212" s="82"/>
      <c r="AK4212" s="82"/>
      <c r="AL4212" s="82"/>
      <c r="AM4212" s="82"/>
      <c r="AN4212" s="82">
        <f>IFERROR(__xludf.DUMMYFUNCTION("""COMPUTED_VALUE"""),0.0)</f>
        <v>0</v>
      </c>
      <c r="AO4212" s="82">
        <f>IFERROR(__xludf.DUMMYFUNCTION("""COMPUTED_VALUE"""),0.0)</f>
        <v>0</v>
      </c>
      <c r="AP4212" s="82">
        <f>IFERROR(__xludf.DUMMYFUNCTION("""COMPUTED_VALUE"""),0.0)</f>
        <v>0</v>
      </c>
      <c r="AQ4212" s="82">
        <f>IFERROR(__xludf.DUMMYFUNCTION("""COMPUTED_VALUE"""),0.0)</f>
        <v>0</v>
      </c>
      <c r="AR4212" s="82">
        <f>IFERROR(__xludf.DUMMYFUNCTION("""COMPUTED_VALUE"""),0.0)</f>
        <v>0</v>
      </c>
      <c r="AS4212" s="82"/>
      <c r="AT4212" s="82">
        <f>IFERROR(__xludf.DUMMYFUNCTION("""COMPUTED_VALUE"""),0.0)</f>
        <v>0</v>
      </c>
      <c r="AU4212" s="82"/>
      <c r="AV4212" s="82"/>
      <c r="AW4212" s="82" t="str">
        <f t="shared" si="1"/>
        <v/>
      </c>
      <c r="AX4212" s="83" t="str">
        <f t="array" ref="AX4212">IFERROR(DGET('SBV Import'!A:G,"SBV",{"RSC ID","Tier";B4212,A4212}))</f>
        <v/>
      </c>
      <c r="AY4212" s="82" t="str">
        <f t="shared" si="2"/>
        <v/>
      </c>
      <c r="AZ4212" s="82"/>
      <c r="BA4212" s="84" t="s">
        <v>152</v>
      </c>
      <c r="BB4212" s="84" t="str">
        <f>IFERROR(__xludf.DUMMYFUNCTION("iferror(if(A4212="""",,E4212&gt;=FILTER(Constants!$F$2:$F$10,Constants!$A$2:$A$10=A4212)))"),"")</f>
        <v/>
      </c>
    </row>
    <row r="4213">
      <c r="A4213" s="89"/>
      <c r="B4213" s="87"/>
      <c r="C4213" s="73"/>
      <c r="D4213" s="73"/>
      <c r="E4213" s="82"/>
      <c r="F4213" s="82"/>
      <c r="G4213" s="86"/>
      <c r="H4213" s="86"/>
      <c r="I4213" s="86"/>
      <c r="J4213" s="82"/>
      <c r="K4213" s="82"/>
      <c r="L4213" s="82"/>
      <c r="M4213" s="82"/>
      <c r="N4213" s="82"/>
      <c r="O4213" s="82"/>
      <c r="P4213" s="82"/>
      <c r="Q4213" s="82"/>
      <c r="R4213" s="82"/>
      <c r="S4213" s="82"/>
      <c r="T4213" s="82"/>
      <c r="U4213" s="82"/>
      <c r="V4213" s="82"/>
      <c r="W4213" s="82"/>
      <c r="X4213" s="82"/>
      <c r="Y4213" s="82"/>
      <c r="Z4213" s="82"/>
      <c r="AA4213" s="82"/>
      <c r="AB4213" s="82"/>
      <c r="AC4213" s="82"/>
      <c r="AD4213" s="82"/>
      <c r="AE4213" s="82"/>
      <c r="AF4213" s="82"/>
      <c r="AG4213" s="82"/>
      <c r="AH4213" s="82"/>
      <c r="AI4213" s="82"/>
      <c r="AJ4213" s="82"/>
      <c r="AK4213" s="82"/>
      <c r="AL4213" s="82"/>
      <c r="AM4213" s="82"/>
      <c r="AN4213" s="82">
        <f>IFERROR(__xludf.DUMMYFUNCTION("""COMPUTED_VALUE"""),0.0)</f>
        <v>0</v>
      </c>
      <c r="AO4213" s="82">
        <f>IFERROR(__xludf.DUMMYFUNCTION("""COMPUTED_VALUE"""),0.0)</f>
        <v>0</v>
      </c>
      <c r="AP4213" s="82">
        <f>IFERROR(__xludf.DUMMYFUNCTION("""COMPUTED_VALUE"""),0.0)</f>
        <v>0</v>
      </c>
      <c r="AQ4213" s="82">
        <f>IFERROR(__xludf.DUMMYFUNCTION("""COMPUTED_VALUE"""),0.0)</f>
        <v>0</v>
      </c>
      <c r="AR4213" s="82">
        <f>IFERROR(__xludf.DUMMYFUNCTION("""COMPUTED_VALUE"""),0.0)</f>
        <v>0</v>
      </c>
      <c r="AS4213" s="82"/>
      <c r="AT4213" s="82">
        <f>IFERROR(__xludf.DUMMYFUNCTION("""COMPUTED_VALUE"""),0.0)</f>
        <v>0</v>
      </c>
      <c r="AU4213" s="82"/>
      <c r="AV4213" s="82"/>
      <c r="AW4213" s="82" t="str">
        <f t="shared" si="1"/>
        <v/>
      </c>
      <c r="AX4213" s="83" t="str">
        <f t="array" ref="AX4213">IFERROR(DGET('SBV Import'!A:G,"SBV",{"RSC ID","Tier";B4213,A4213}))</f>
        <v/>
      </c>
      <c r="AY4213" s="82" t="str">
        <f t="shared" si="2"/>
        <v/>
      </c>
      <c r="AZ4213" s="82"/>
      <c r="BA4213" s="84" t="s">
        <v>152</v>
      </c>
      <c r="BB4213" s="84" t="str">
        <f>IFERROR(__xludf.DUMMYFUNCTION("iferror(if(A4213="""",,E4213&gt;=FILTER(Constants!$F$2:$F$10,Constants!$A$2:$A$10=A4213)))"),"")</f>
        <v/>
      </c>
    </row>
    <row r="4214">
      <c r="A4214" s="89"/>
      <c r="B4214" s="87"/>
      <c r="C4214" s="73"/>
      <c r="D4214" s="73"/>
      <c r="E4214" s="82"/>
      <c r="F4214" s="82"/>
      <c r="G4214" s="86"/>
      <c r="H4214" s="86"/>
      <c r="I4214" s="86"/>
      <c r="J4214" s="82"/>
      <c r="K4214" s="82"/>
      <c r="L4214" s="82"/>
      <c r="M4214" s="82"/>
      <c r="N4214" s="82"/>
      <c r="O4214" s="82"/>
      <c r="P4214" s="82"/>
      <c r="Q4214" s="82"/>
      <c r="R4214" s="82"/>
      <c r="S4214" s="82"/>
      <c r="T4214" s="82"/>
      <c r="U4214" s="82"/>
      <c r="V4214" s="82"/>
      <c r="W4214" s="82"/>
      <c r="X4214" s="82"/>
      <c r="Y4214" s="82"/>
      <c r="Z4214" s="82"/>
      <c r="AA4214" s="82"/>
      <c r="AB4214" s="82"/>
      <c r="AC4214" s="82"/>
      <c r="AD4214" s="82"/>
      <c r="AE4214" s="82"/>
      <c r="AF4214" s="82"/>
      <c r="AG4214" s="82"/>
      <c r="AH4214" s="82"/>
      <c r="AI4214" s="82"/>
      <c r="AJ4214" s="82"/>
      <c r="AK4214" s="82"/>
      <c r="AL4214" s="82"/>
      <c r="AM4214" s="82"/>
      <c r="AN4214" s="82">
        <f>IFERROR(__xludf.DUMMYFUNCTION("""COMPUTED_VALUE"""),0.0)</f>
        <v>0</v>
      </c>
      <c r="AO4214" s="82">
        <f>IFERROR(__xludf.DUMMYFUNCTION("""COMPUTED_VALUE"""),0.0)</f>
        <v>0</v>
      </c>
      <c r="AP4214" s="82">
        <f>IFERROR(__xludf.DUMMYFUNCTION("""COMPUTED_VALUE"""),0.0)</f>
        <v>0</v>
      </c>
      <c r="AQ4214" s="82">
        <f>IFERROR(__xludf.DUMMYFUNCTION("""COMPUTED_VALUE"""),0.0)</f>
        <v>0</v>
      </c>
      <c r="AR4214" s="82">
        <f>IFERROR(__xludf.DUMMYFUNCTION("""COMPUTED_VALUE"""),0.0)</f>
        <v>0</v>
      </c>
      <c r="AS4214" s="82"/>
      <c r="AT4214" s="82">
        <f>IFERROR(__xludf.DUMMYFUNCTION("""COMPUTED_VALUE"""),0.0)</f>
        <v>0</v>
      </c>
      <c r="AU4214" s="82"/>
      <c r="AV4214" s="82"/>
      <c r="AW4214" s="82" t="str">
        <f t="shared" si="1"/>
        <v/>
      </c>
      <c r="AX4214" s="83" t="str">
        <f t="array" ref="AX4214">IFERROR(DGET('SBV Import'!A:G,"SBV",{"RSC ID","Tier";B4214,A4214}))</f>
        <v/>
      </c>
      <c r="AY4214" s="82" t="str">
        <f t="shared" si="2"/>
        <v/>
      </c>
      <c r="AZ4214" s="82"/>
      <c r="BA4214" s="84" t="s">
        <v>152</v>
      </c>
      <c r="BB4214" s="84" t="str">
        <f>IFERROR(__xludf.DUMMYFUNCTION("iferror(if(A4214="""",,E4214&gt;=FILTER(Constants!$F$2:$F$10,Constants!$A$2:$A$10=A4214)))"),"")</f>
        <v/>
      </c>
    </row>
    <row r="4215">
      <c r="A4215" s="89"/>
      <c r="B4215" s="87"/>
      <c r="C4215" s="73"/>
      <c r="D4215" s="73"/>
      <c r="E4215" s="82"/>
      <c r="F4215" s="82"/>
      <c r="G4215" s="86"/>
      <c r="H4215" s="86"/>
      <c r="I4215" s="86"/>
      <c r="J4215" s="82"/>
      <c r="K4215" s="82"/>
      <c r="L4215" s="82"/>
      <c r="M4215" s="82"/>
      <c r="N4215" s="82"/>
      <c r="O4215" s="82"/>
      <c r="P4215" s="82"/>
      <c r="Q4215" s="82"/>
      <c r="R4215" s="82"/>
      <c r="S4215" s="82"/>
      <c r="T4215" s="82"/>
      <c r="U4215" s="82"/>
      <c r="V4215" s="82"/>
      <c r="W4215" s="82"/>
      <c r="X4215" s="82"/>
      <c r="Y4215" s="82"/>
      <c r="Z4215" s="82"/>
      <c r="AA4215" s="82"/>
      <c r="AB4215" s="82"/>
      <c r="AC4215" s="82"/>
      <c r="AD4215" s="82"/>
      <c r="AE4215" s="82"/>
      <c r="AF4215" s="82"/>
      <c r="AG4215" s="82"/>
      <c r="AH4215" s="82"/>
      <c r="AI4215" s="82"/>
      <c r="AJ4215" s="82"/>
      <c r="AK4215" s="82"/>
      <c r="AL4215" s="82"/>
      <c r="AM4215" s="82"/>
      <c r="AN4215" s="82">
        <f>IFERROR(__xludf.DUMMYFUNCTION("""COMPUTED_VALUE"""),0.0)</f>
        <v>0</v>
      </c>
      <c r="AO4215" s="82">
        <f>IFERROR(__xludf.DUMMYFUNCTION("""COMPUTED_VALUE"""),0.0)</f>
        <v>0</v>
      </c>
      <c r="AP4215" s="82">
        <f>IFERROR(__xludf.DUMMYFUNCTION("""COMPUTED_VALUE"""),0.0)</f>
        <v>0</v>
      </c>
      <c r="AQ4215" s="82">
        <f>IFERROR(__xludf.DUMMYFUNCTION("""COMPUTED_VALUE"""),0.0)</f>
        <v>0</v>
      </c>
      <c r="AR4215" s="82">
        <f>IFERROR(__xludf.DUMMYFUNCTION("""COMPUTED_VALUE"""),0.0)</f>
        <v>0</v>
      </c>
      <c r="AS4215" s="82"/>
      <c r="AT4215" s="82">
        <f>IFERROR(__xludf.DUMMYFUNCTION("""COMPUTED_VALUE"""),0.0)</f>
        <v>0</v>
      </c>
      <c r="AU4215" s="82"/>
      <c r="AV4215" s="82"/>
      <c r="AW4215" s="82" t="str">
        <f t="shared" si="1"/>
        <v/>
      </c>
      <c r="AX4215" s="83" t="str">
        <f t="array" ref="AX4215">IFERROR(DGET('SBV Import'!A:G,"SBV",{"RSC ID","Tier";B4215,A4215}))</f>
        <v/>
      </c>
      <c r="AY4215" s="82" t="str">
        <f t="shared" si="2"/>
        <v/>
      </c>
      <c r="AZ4215" s="82"/>
      <c r="BA4215" s="84" t="s">
        <v>152</v>
      </c>
      <c r="BB4215" s="84" t="str">
        <f>IFERROR(__xludf.DUMMYFUNCTION("iferror(if(A4215="""",,E4215&gt;=FILTER(Constants!$F$2:$F$10,Constants!$A$2:$A$10=A4215)))"),"")</f>
        <v/>
      </c>
    </row>
    <row r="4216">
      <c r="A4216" s="89"/>
      <c r="B4216" s="87"/>
      <c r="C4216" s="73"/>
      <c r="D4216" s="73"/>
      <c r="E4216" s="82"/>
      <c r="F4216" s="82"/>
      <c r="G4216" s="86"/>
      <c r="H4216" s="86"/>
      <c r="I4216" s="86"/>
      <c r="J4216" s="82"/>
      <c r="K4216" s="82"/>
      <c r="L4216" s="82"/>
      <c r="M4216" s="82"/>
      <c r="N4216" s="82"/>
      <c r="O4216" s="82"/>
      <c r="P4216" s="82"/>
      <c r="Q4216" s="82"/>
      <c r="R4216" s="82"/>
      <c r="S4216" s="82"/>
      <c r="T4216" s="82"/>
      <c r="U4216" s="82"/>
      <c r="V4216" s="82"/>
      <c r="W4216" s="82"/>
      <c r="X4216" s="82"/>
      <c r="Y4216" s="82"/>
      <c r="Z4216" s="82"/>
      <c r="AA4216" s="82"/>
      <c r="AB4216" s="82"/>
      <c r="AC4216" s="82"/>
      <c r="AD4216" s="82"/>
      <c r="AE4216" s="82"/>
      <c r="AF4216" s="82"/>
      <c r="AG4216" s="82"/>
      <c r="AH4216" s="82"/>
      <c r="AI4216" s="82"/>
      <c r="AJ4216" s="82"/>
      <c r="AK4216" s="82"/>
      <c r="AL4216" s="82"/>
      <c r="AM4216" s="82"/>
      <c r="AN4216" s="82">
        <f>IFERROR(__xludf.DUMMYFUNCTION("""COMPUTED_VALUE"""),0.0)</f>
        <v>0</v>
      </c>
      <c r="AO4216" s="82">
        <f>IFERROR(__xludf.DUMMYFUNCTION("""COMPUTED_VALUE"""),0.0)</f>
        <v>0</v>
      </c>
      <c r="AP4216" s="82">
        <f>IFERROR(__xludf.DUMMYFUNCTION("""COMPUTED_VALUE"""),0.0)</f>
        <v>0</v>
      </c>
      <c r="AQ4216" s="82">
        <f>IFERROR(__xludf.DUMMYFUNCTION("""COMPUTED_VALUE"""),0.0)</f>
        <v>0</v>
      </c>
      <c r="AR4216" s="82">
        <f>IFERROR(__xludf.DUMMYFUNCTION("""COMPUTED_VALUE"""),0.0)</f>
        <v>0</v>
      </c>
      <c r="AS4216" s="82"/>
      <c r="AT4216" s="82">
        <f>IFERROR(__xludf.DUMMYFUNCTION("""COMPUTED_VALUE"""),0.0)</f>
        <v>0</v>
      </c>
      <c r="AU4216" s="82"/>
      <c r="AV4216" s="82"/>
      <c r="AW4216" s="82" t="str">
        <f t="shared" si="1"/>
        <v/>
      </c>
      <c r="AX4216" s="83" t="str">
        <f t="array" ref="AX4216">IFERROR(DGET('SBV Import'!A:G,"SBV",{"RSC ID","Tier";B4216,A4216}))</f>
        <v/>
      </c>
      <c r="AY4216" s="82" t="str">
        <f t="shared" si="2"/>
        <v/>
      </c>
      <c r="AZ4216" s="82"/>
      <c r="BA4216" s="84" t="s">
        <v>152</v>
      </c>
      <c r="BB4216" s="84" t="str">
        <f>IFERROR(__xludf.DUMMYFUNCTION("iferror(if(A4216="""",,E4216&gt;=FILTER(Constants!$F$2:$F$10,Constants!$A$2:$A$10=A4216)))"),"")</f>
        <v/>
      </c>
    </row>
    <row r="4217">
      <c r="A4217" s="89"/>
      <c r="B4217" s="87"/>
      <c r="C4217" s="73"/>
      <c r="D4217" s="73"/>
      <c r="E4217" s="82"/>
      <c r="F4217" s="82"/>
      <c r="G4217" s="86"/>
      <c r="H4217" s="86"/>
      <c r="I4217" s="86"/>
      <c r="J4217" s="82"/>
      <c r="K4217" s="82"/>
      <c r="L4217" s="82"/>
      <c r="M4217" s="82"/>
      <c r="N4217" s="82"/>
      <c r="O4217" s="82"/>
      <c r="P4217" s="82"/>
      <c r="Q4217" s="82"/>
      <c r="R4217" s="82"/>
      <c r="S4217" s="82"/>
      <c r="T4217" s="82"/>
      <c r="U4217" s="82"/>
      <c r="V4217" s="82"/>
      <c r="W4217" s="82"/>
      <c r="X4217" s="82"/>
      <c r="Y4217" s="82"/>
      <c r="Z4217" s="82"/>
      <c r="AA4217" s="82"/>
      <c r="AB4217" s="82"/>
      <c r="AC4217" s="82"/>
      <c r="AD4217" s="82"/>
      <c r="AE4217" s="82"/>
      <c r="AF4217" s="82"/>
      <c r="AG4217" s="82"/>
      <c r="AH4217" s="82"/>
      <c r="AI4217" s="82"/>
      <c r="AJ4217" s="82"/>
      <c r="AK4217" s="82"/>
      <c r="AL4217" s="82"/>
      <c r="AM4217" s="82"/>
      <c r="AN4217" s="82">
        <f>IFERROR(__xludf.DUMMYFUNCTION("""COMPUTED_VALUE"""),0.0)</f>
        <v>0</v>
      </c>
      <c r="AO4217" s="82">
        <f>IFERROR(__xludf.DUMMYFUNCTION("""COMPUTED_VALUE"""),0.0)</f>
        <v>0</v>
      </c>
      <c r="AP4217" s="82">
        <f>IFERROR(__xludf.DUMMYFUNCTION("""COMPUTED_VALUE"""),0.0)</f>
        <v>0</v>
      </c>
      <c r="AQ4217" s="82">
        <f>IFERROR(__xludf.DUMMYFUNCTION("""COMPUTED_VALUE"""),0.0)</f>
        <v>0</v>
      </c>
      <c r="AR4217" s="82">
        <f>IFERROR(__xludf.DUMMYFUNCTION("""COMPUTED_VALUE"""),0.0)</f>
        <v>0</v>
      </c>
      <c r="AS4217" s="82"/>
      <c r="AT4217" s="82">
        <f>IFERROR(__xludf.DUMMYFUNCTION("""COMPUTED_VALUE"""),0.0)</f>
        <v>0</v>
      </c>
      <c r="AU4217" s="82"/>
      <c r="AV4217" s="82"/>
      <c r="AW4217" s="82" t="str">
        <f t="shared" si="1"/>
        <v/>
      </c>
      <c r="AX4217" s="83" t="str">
        <f t="array" ref="AX4217">IFERROR(DGET('SBV Import'!A:G,"SBV",{"RSC ID","Tier";B4217,A4217}))</f>
        <v/>
      </c>
      <c r="AY4217" s="82" t="str">
        <f t="shared" si="2"/>
        <v/>
      </c>
      <c r="AZ4217" s="82"/>
      <c r="BA4217" s="84" t="s">
        <v>152</v>
      </c>
      <c r="BB4217" s="84" t="str">
        <f>IFERROR(__xludf.DUMMYFUNCTION("iferror(if(A4217="""",,E4217&gt;=FILTER(Constants!$F$2:$F$10,Constants!$A$2:$A$10=A4217)))"),"")</f>
        <v/>
      </c>
    </row>
    <row r="4218">
      <c r="A4218" s="89"/>
      <c r="B4218" s="87"/>
      <c r="C4218" s="73"/>
      <c r="D4218" s="73"/>
      <c r="E4218" s="82"/>
      <c r="F4218" s="82"/>
      <c r="G4218" s="86"/>
      <c r="H4218" s="86"/>
      <c r="I4218" s="86"/>
      <c r="J4218" s="82"/>
      <c r="K4218" s="82"/>
      <c r="L4218" s="82"/>
      <c r="M4218" s="82"/>
      <c r="N4218" s="82"/>
      <c r="O4218" s="82"/>
      <c r="P4218" s="82"/>
      <c r="Q4218" s="82"/>
      <c r="R4218" s="82"/>
      <c r="S4218" s="82"/>
      <c r="T4218" s="82"/>
      <c r="U4218" s="82"/>
      <c r="V4218" s="82"/>
      <c r="W4218" s="82"/>
      <c r="X4218" s="82"/>
      <c r="Y4218" s="82"/>
      <c r="Z4218" s="82"/>
      <c r="AA4218" s="82"/>
      <c r="AB4218" s="82"/>
      <c r="AC4218" s="82"/>
      <c r="AD4218" s="82"/>
      <c r="AE4218" s="82"/>
      <c r="AF4218" s="82"/>
      <c r="AG4218" s="82"/>
      <c r="AH4218" s="82"/>
      <c r="AI4218" s="82"/>
      <c r="AJ4218" s="82"/>
      <c r="AK4218" s="82"/>
      <c r="AL4218" s="82"/>
      <c r="AM4218" s="82"/>
      <c r="AN4218" s="82">
        <f>IFERROR(__xludf.DUMMYFUNCTION("""COMPUTED_VALUE"""),0.0)</f>
        <v>0</v>
      </c>
      <c r="AO4218" s="82">
        <f>IFERROR(__xludf.DUMMYFUNCTION("""COMPUTED_VALUE"""),0.0)</f>
        <v>0</v>
      </c>
      <c r="AP4218" s="82">
        <f>IFERROR(__xludf.DUMMYFUNCTION("""COMPUTED_VALUE"""),0.0)</f>
        <v>0</v>
      </c>
      <c r="AQ4218" s="82">
        <f>IFERROR(__xludf.DUMMYFUNCTION("""COMPUTED_VALUE"""),0.0)</f>
        <v>0</v>
      </c>
      <c r="AR4218" s="82">
        <f>IFERROR(__xludf.DUMMYFUNCTION("""COMPUTED_VALUE"""),0.0)</f>
        <v>0</v>
      </c>
      <c r="AS4218" s="82"/>
      <c r="AT4218" s="82">
        <f>IFERROR(__xludf.DUMMYFUNCTION("""COMPUTED_VALUE"""),0.0)</f>
        <v>0</v>
      </c>
      <c r="AU4218" s="82"/>
      <c r="AV4218" s="82"/>
      <c r="AW4218" s="82" t="str">
        <f t="shared" si="1"/>
        <v/>
      </c>
      <c r="AX4218" s="83" t="str">
        <f t="array" ref="AX4218">IFERROR(DGET('SBV Import'!A:G,"SBV",{"RSC ID","Tier";B4218,A4218}))</f>
        <v/>
      </c>
      <c r="AY4218" s="82" t="str">
        <f t="shared" si="2"/>
        <v/>
      </c>
      <c r="AZ4218" s="82"/>
      <c r="BA4218" s="84" t="s">
        <v>152</v>
      </c>
      <c r="BB4218" s="84" t="str">
        <f>IFERROR(__xludf.DUMMYFUNCTION("iferror(if(A4218="""",,E4218&gt;=FILTER(Constants!$F$2:$F$10,Constants!$A$2:$A$10=A4218)))"),"")</f>
        <v/>
      </c>
    </row>
    <row r="4219">
      <c r="A4219" s="89"/>
      <c r="B4219" s="87"/>
      <c r="C4219" s="73"/>
      <c r="D4219" s="73"/>
      <c r="E4219" s="82"/>
      <c r="F4219" s="82"/>
      <c r="G4219" s="86"/>
      <c r="H4219" s="86"/>
      <c r="I4219" s="86"/>
      <c r="J4219" s="82"/>
      <c r="K4219" s="82"/>
      <c r="L4219" s="82"/>
      <c r="M4219" s="82"/>
      <c r="N4219" s="82"/>
      <c r="O4219" s="82"/>
      <c r="P4219" s="82"/>
      <c r="Q4219" s="82"/>
      <c r="R4219" s="82"/>
      <c r="S4219" s="82"/>
      <c r="T4219" s="82"/>
      <c r="U4219" s="82"/>
      <c r="V4219" s="82"/>
      <c r="W4219" s="82"/>
      <c r="X4219" s="82"/>
      <c r="Y4219" s="82"/>
      <c r="Z4219" s="82"/>
      <c r="AA4219" s="82"/>
      <c r="AB4219" s="82"/>
      <c r="AC4219" s="82"/>
      <c r="AD4219" s="82"/>
      <c r="AE4219" s="82"/>
      <c r="AF4219" s="82"/>
      <c r="AG4219" s="82"/>
      <c r="AH4219" s="82"/>
      <c r="AI4219" s="82"/>
      <c r="AJ4219" s="82"/>
      <c r="AK4219" s="82"/>
      <c r="AL4219" s="82"/>
      <c r="AM4219" s="82"/>
      <c r="AN4219" s="82">
        <f>IFERROR(__xludf.DUMMYFUNCTION("""COMPUTED_VALUE"""),0.0)</f>
        <v>0</v>
      </c>
      <c r="AO4219" s="82">
        <f>IFERROR(__xludf.DUMMYFUNCTION("""COMPUTED_VALUE"""),0.0)</f>
        <v>0</v>
      </c>
      <c r="AP4219" s="82">
        <f>IFERROR(__xludf.DUMMYFUNCTION("""COMPUTED_VALUE"""),0.0)</f>
        <v>0</v>
      </c>
      <c r="AQ4219" s="82">
        <f>IFERROR(__xludf.DUMMYFUNCTION("""COMPUTED_VALUE"""),0.0)</f>
        <v>0</v>
      </c>
      <c r="AR4219" s="82">
        <f>IFERROR(__xludf.DUMMYFUNCTION("""COMPUTED_VALUE"""),0.0)</f>
        <v>0</v>
      </c>
      <c r="AS4219" s="82"/>
      <c r="AT4219" s="82">
        <f>IFERROR(__xludf.DUMMYFUNCTION("""COMPUTED_VALUE"""),0.0)</f>
        <v>0</v>
      </c>
      <c r="AU4219" s="82"/>
      <c r="AV4219" s="82"/>
      <c r="AW4219" s="82" t="str">
        <f t="shared" si="1"/>
        <v/>
      </c>
      <c r="AX4219" s="83" t="str">
        <f t="array" ref="AX4219">IFERROR(DGET('SBV Import'!A:G,"SBV",{"RSC ID","Tier";B4219,A4219}))</f>
        <v/>
      </c>
      <c r="AY4219" s="82" t="str">
        <f t="shared" si="2"/>
        <v/>
      </c>
      <c r="AZ4219" s="82"/>
      <c r="BA4219" s="84" t="s">
        <v>152</v>
      </c>
      <c r="BB4219" s="84" t="str">
        <f>IFERROR(__xludf.DUMMYFUNCTION("iferror(if(A4219="""",,E4219&gt;=FILTER(Constants!$F$2:$F$10,Constants!$A$2:$A$10=A4219)))"),"")</f>
        <v/>
      </c>
    </row>
    <row r="4220">
      <c r="A4220" s="89"/>
      <c r="B4220" s="87"/>
      <c r="C4220" s="73"/>
      <c r="D4220" s="73"/>
      <c r="E4220" s="82"/>
      <c r="F4220" s="82"/>
      <c r="G4220" s="86"/>
      <c r="H4220" s="86"/>
      <c r="I4220" s="86"/>
      <c r="J4220" s="82"/>
      <c r="K4220" s="82"/>
      <c r="L4220" s="82"/>
      <c r="M4220" s="82"/>
      <c r="N4220" s="82"/>
      <c r="O4220" s="82"/>
      <c r="P4220" s="82"/>
      <c r="Q4220" s="82"/>
      <c r="R4220" s="82"/>
      <c r="S4220" s="82"/>
      <c r="T4220" s="82"/>
      <c r="U4220" s="82"/>
      <c r="V4220" s="82"/>
      <c r="W4220" s="82"/>
      <c r="X4220" s="82"/>
      <c r="Y4220" s="82"/>
      <c r="Z4220" s="82"/>
      <c r="AA4220" s="82"/>
      <c r="AB4220" s="82"/>
      <c r="AC4220" s="82"/>
      <c r="AD4220" s="82"/>
      <c r="AE4220" s="82"/>
      <c r="AF4220" s="82"/>
      <c r="AG4220" s="82"/>
      <c r="AH4220" s="82"/>
      <c r="AI4220" s="82"/>
      <c r="AJ4220" s="82"/>
      <c r="AK4220" s="82"/>
      <c r="AL4220" s="82"/>
      <c r="AM4220" s="82"/>
      <c r="AN4220" s="82">
        <f>IFERROR(__xludf.DUMMYFUNCTION("""COMPUTED_VALUE"""),0.0)</f>
        <v>0</v>
      </c>
      <c r="AO4220" s="82">
        <f>IFERROR(__xludf.DUMMYFUNCTION("""COMPUTED_VALUE"""),0.0)</f>
        <v>0</v>
      </c>
      <c r="AP4220" s="82">
        <f>IFERROR(__xludf.DUMMYFUNCTION("""COMPUTED_VALUE"""),0.0)</f>
        <v>0</v>
      </c>
      <c r="AQ4220" s="82">
        <f>IFERROR(__xludf.DUMMYFUNCTION("""COMPUTED_VALUE"""),0.0)</f>
        <v>0</v>
      </c>
      <c r="AR4220" s="82">
        <f>IFERROR(__xludf.DUMMYFUNCTION("""COMPUTED_VALUE"""),0.0)</f>
        <v>0</v>
      </c>
      <c r="AS4220" s="82"/>
      <c r="AT4220" s="82">
        <f>IFERROR(__xludf.DUMMYFUNCTION("""COMPUTED_VALUE"""),0.0)</f>
        <v>0</v>
      </c>
      <c r="AU4220" s="82"/>
      <c r="AV4220" s="82"/>
      <c r="AW4220" s="82" t="str">
        <f t="shared" si="1"/>
        <v/>
      </c>
      <c r="AX4220" s="83" t="str">
        <f t="array" ref="AX4220">IFERROR(DGET('SBV Import'!A:G,"SBV",{"RSC ID","Tier";B4220,A4220}))</f>
        <v/>
      </c>
      <c r="AY4220" s="82" t="str">
        <f t="shared" si="2"/>
        <v/>
      </c>
      <c r="AZ4220" s="82"/>
      <c r="BA4220" s="84" t="s">
        <v>152</v>
      </c>
      <c r="BB4220" s="84" t="str">
        <f>IFERROR(__xludf.DUMMYFUNCTION("iferror(if(A4220="""",,E4220&gt;=FILTER(Constants!$F$2:$F$10,Constants!$A$2:$A$10=A4220)))"),"")</f>
        <v/>
      </c>
    </row>
    <row r="4221">
      <c r="A4221" s="89"/>
      <c r="B4221" s="87"/>
      <c r="C4221" s="73"/>
      <c r="D4221" s="73"/>
      <c r="E4221" s="82"/>
      <c r="F4221" s="82"/>
      <c r="G4221" s="86"/>
      <c r="H4221" s="86"/>
      <c r="I4221" s="86"/>
      <c r="J4221" s="82"/>
      <c r="K4221" s="82"/>
      <c r="L4221" s="82"/>
      <c r="M4221" s="82"/>
      <c r="N4221" s="82"/>
      <c r="O4221" s="82"/>
      <c r="P4221" s="82"/>
      <c r="Q4221" s="82"/>
      <c r="R4221" s="82"/>
      <c r="S4221" s="82"/>
      <c r="T4221" s="82"/>
      <c r="U4221" s="82"/>
      <c r="V4221" s="82"/>
      <c r="W4221" s="82"/>
      <c r="X4221" s="82"/>
      <c r="Y4221" s="82"/>
      <c r="Z4221" s="82"/>
      <c r="AA4221" s="82"/>
      <c r="AB4221" s="82"/>
      <c r="AC4221" s="82"/>
      <c r="AD4221" s="82"/>
      <c r="AE4221" s="82"/>
      <c r="AF4221" s="82"/>
      <c r="AG4221" s="82"/>
      <c r="AH4221" s="82"/>
      <c r="AI4221" s="82"/>
      <c r="AJ4221" s="82"/>
      <c r="AK4221" s="82"/>
      <c r="AL4221" s="82"/>
      <c r="AM4221" s="82"/>
      <c r="AN4221" s="82">
        <f>IFERROR(__xludf.DUMMYFUNCTION("""COMPUTED_VALUE"""),0.0)</f>
        <v>0</v>
      </c>
      <c r="AO4221" s="82">
        <f>IFERROR(__xludf.DUMMYFUNCTION("""COMPUTED_VALUE"""),0.0)</f>
        <v>0</v>
      </c>
      <c r="AP4221" s="82">
        <f>IFERROR(__xludf.DUMMYFUNCTION("""COMPUTED_VALUE"""),0.0)</f>
        <v>0</v>
      </c>
      <c r="AQ4221" s="82">
        <f>IFERROR(__xludf.DUMMYFUNCTION("""COMPUTED_VALUE"""),0.0)</f>
        <v>0</v>
      </c>
      <c r="AR4221" s="82">
        <f>IFERROR(__xludf.DUMMYFUNCTION("""COMPUTED_VALUE"""),0.0)</f>
        <v>0</v>
      </c>
      <c r="AS4221" s="82"/>
      <c r="AT4221" s="82">
        <f>IFERROR(__xludf.DUMMYFUNCTION("""COMPUTED_VALUE"""),0.0)</f>
        <v>0</v>
      </c>
      <c r="AU4221" s="82"/>
      <c r="AV4221" s="82"/>
      <c r="AW4221" s="82" t="str">
        <f t="shared" si="1"/>
        <v/>
      </c>
      <c r="AX4221" s="83" t="str">
        <f t="array" ref="AX4221">IFERROR(DGET('SBV Import'!A:G,"SBV",{"RSC ID","Tier";B4221,A4221}))</f>
        <v/>
      </c>
      <c r="AY4221" s="82" t="str">
        <f t="shared" si="2"/>
        <v/>
      </c>
      <c r="AZ4221" s="82"/>
      <c r="BA4221" s="84" t="s">
        <v>152</v>
      </c>
      <c r="BB4221" s="84" t="str">
        <f>IFERROR(__xludf.DUMMYFUNCTION("iferror(if(A4221="""",,E4221&gt;=FILTER(Constants!$F$2:$F$10,Constants!$A$2:$A$10=A4221)))"),"")</f>
        <v/>
      </c>
    </row>
    <row r="4222">
      <c r="A4222" s="89"/>
      <c r="B4222" s="87"/>
      <c r="C4222" s="73"/>
      <c r="D4222" s="73"/>
      <c r="E4222" s="82"/>
      <c r="F4222" s="82"/>
      <c r="G4222" s="86"/>
      <c r="H4222" s="86"/>
      <c r="I4222" s="86"/>
      <c r="J4222" s="82"/>
      <c r="K4222" s="82"/>
      <c r="L4222" s="82"/>
      <c r="M4222" s="82"/>
      <c r="N4222" s="82"/>
      <c r="O4222" s="82"/>
      <c r="P4222" s="82"/>
      <c r="Q4222" s="82"/>
      <c r="R4222" s="82"/>
      <c r="S4222" s="82"/>
      <c r="T4222" s="82"/>
      <c r="U4222" s="82"/>
      <c r="V4222" s="82"/>
      <c r="W4222" s="82"/>
      <c r="X4222" s="82"/>
      <c r="Y4222" s="82"/>
      <c r="Z4222" s="82"/>
      <c r="AA4222" s="82"/>
      <c r="AB4222" s="82"/>
      <c r="AC4222" s="82"/>
      <c r="AD4222" s="82"/>
      <c r="AE4222" s="82"/>
      <c r="AF4222" s="82"/>
      <c r="AG4222" s="82"/>
      <c r="AH4222" s="82"/>
      <c r="AI4222" s="82"/>
      <c r="AJ4222" s="82"/>
      <c r="AK4222" s="82"/>
      <c r="AL4222" s="82"/>
      <c r="AM4222" s="82"/>
      <c r="AN4222" s="82">
        <f>IFERROR(__xludf.DUMMYFUNCTION("""COMPUTED_VALUE"""),0.0)</f>
        <v>0</v>
      </c>
      <c r="AO4222" s="82">
        <f>IFERROR(__xludf.DUMMYFUNCTION("""COMPUTED_VALUE"""),0.0)</f>
        <v>0</v>
      </c>
      <c r="AP4222" s="82">
        <f>IFERROR(__xludf.DUMMYFUNCTION("""COMPUTED_VALUE"""),0.0)</f>
        <v>0</v>
      </c>
      <c r="AQ4222" s="82">
        <f>IFERROR(__xludf.DUMMYFUNCTION("""COMPUTED_VALUE"""),0.0)</f>
        <v>0</v>
      </c>
      <c r="AR4222" s="82">
        <f>IFERROR(__xludf.DUMMYFUNCTION("""COMPUTED_VALUE"""),0.0)</f>
        <v>0</v>
      </c>
      <c r="AS4222" s="82"/>
      <c r="AT4222" s="82">
        <f>IFERROR(__xludf.DUMMYFUNCTION("""COMPUTED_VALUE"""),0.0)</f>
        <v>0</v>
      </c>
      <c r="AU4222" s="82"/>
      <c r="AV4222" s="82"/>
      <c r="AW4222" s="82" t="str">
        <f t="shared" si="1"/>
        <v/>
      </c>
      <c r="AX4222" s="83" t="str">
        <f t="array" ref="AX4222">IFERROR(DGET('SBV Import'!A:G,"SBV",{"RSC ID","Tier";B4222,A4222}))</f>
        <v/>
      </c>
      <c r="AY4222" s="82" t="str">
        <f t="shared" si="2"/>
        <v/>
      </c>
      <c r="AZ4222" s="82"/>
      <c r="BA4222" s="84" t="s">
        <v>152</v>
      </c>
      <c r="BB4222" s="84" t="str">
        <f>IFERROR(__xludf.DUMMYFUNCTION("iferror(if(A4222="""",,E4222&gt;=FILTER(Constants!$F$2:$F$10,Constants!$A$2:$A$10=A4222)))"),"")</f>
        <v/>
      </c>
    </row>
    <row r="4223">
      <c r="A4223" s="89"/>
      <c r="B4223" s="87"/>
      <c r="C4223" s="73"/>
      <c r="D4223" s="73"/>
      <c r="E4223" s="82"/>
      <c r="F4223" s="82"/>
      <c r="G4223" s="86"/>
      <c r="H4223" s="86"/>
      <c r="I4223" s="86"/>
      <c r="J4223" s="82"/>
      <c r="K4223" s="82"/>
      <c r="L4223" s="82"/>
      <c r="M4223" s="82"/>
      <c r="N4223" s="82"/>
      <c r="O4223" s="82"/>
      <c r="P4223" s="82"/>
      <c r="Q4223" s="82"/>
      <c r="R4223" s="82"/>
      <c r="S4223" s="82"/>
      <c r="T4223" s="82"/>
      <c r="U4223" s="82"/>
      <c r="V4223" s="82"/>
      <c r="W4223" s="82"/>
      <c r="X4223" s="82"/>
      <c r="Y4223" s="82"/>
      <c r="Z4223" s="82"/>
      <c r="AA4223" s="82"/>
      <c r="AB4223" s="82"/>
      <c r="AC4223" s="82"/>
      <c r="AD4223" s="82"/>
      <c r="AE4223" s="82"/>
      <c r="AF4223" s="82"/>
      <c r="AG4223" s="82"/>
      <c r="AH4223" s="82"/>
      <c r="AI4223" s="82"/>
      <c r="AJ4223" s="82"/>
      <c r="AK4223" s="82"/>
      <c r="AL4223" s="82"/>
      <c r="AM4223" s="82"/>
      <c r="AN4223" s="82">
        <f>IFERROR(__xludf.DUMMYFUNCTION("""COMPUTED_VALUE"""),0.0)</f>
        <v>0</v>
      </c>
      <c r="AO4223" s="82">
        <f>IFERROR(__xludf.DUMMYFUNCTION("""COMPUTED_VALUE"""),0.0)</f>
        <v>0</v>
      </c>
      <c r="AP4223" s="82">
        <f>IFERROR(__xludf.DUMMYFUNCTION("""COMPUTED_VALUE"""),0.0)</f>
        <v>0</v>
      </c>
      <c r="AQ4223" s="82">
        <f>IFERROR(__xludf.DUMMYFUNCTION("""COMPUTED_VALUE"""),0.0)</f>
        <v>0</v>
      </c>
      <c r="AR4223" s="82">
        <f>IFERROR(__xludf.DUMMYFUNCTION("""COMPUTED_VALUE"""),0.0)</f>
        <v>0</v>
      </c>
      <c r="AS4223" s="82"/>
      <c r="AT4223" s="82">
        <f>IFERROR(__xludf.DUMMYFUNCTION("""COMPUTED_VALUE"""),0.0)</f>
        <v>0</v>
      </c>
      <c r="AU4223" s="82"/>
      <c r="AV4223" s="82"/>
      <c r="AW4223" s="82" t="str">
        <f t="shared" si="1"/>
        <v/>
      </c>
      <c r="AX4223" s="83" t="str">
        <f t="array" ref="AX4223">IFERROR(DGET('SBV Import'!A:G,"SBV",{"RSC ID","Tier";B4223,A4223}))</f>
        <v/>
      </c>
      <c r="AY4223" s="82" t="str">
        <f t="shared" si="2"/>
        <v/>
      </c>
      <c r="AZ4223" s="82"/>
      <c r="BA4223" s="84" t="s">
        <v>152</v>
      </c>
      <c r="BB4223" s="84" t="str">
        <f>IFERROR(__xludf.DUMMYFUNCTION("iferror(if(A4223="""",,E4223&gt;=FILTER(Constants!$F$2:$F$10,Constants!$A$2:$A$10=A4223)))"),"")</f>
        <v/>
      </c>
    </row>
    <row r="4224">
      <c r="A4224" s="89"/>
      <c r="B4224" s="87"/>
      <c r="C4224" s="73"/>
      <c r="D4224" s="73"/>
      <c r="E4224" s="82"/>
      <c r="F4224" s="82"/>
      <c r="G4224" s="86"/>
      <c r="H4224" s="86"/>
      <c r="I4224" s="86"/>
      <c r="J4224" s="82"/>
      <c r="K4224" s="82"/>
      <c r="L4224" s="82"/>
      <c r="M4224" s="82"/>
      <c r="N4224" s="82"/>
      <c r="O4224" s="82"/>
      <c r="P4224" s="82"/>
      <c r="Q4224" s="82"/>
      <c r="R4224" s="82"/>
      <c r="S4224" s="82"/>
      <c r="T4224" s="82"/>
      <c r="U4224" s="82"/>
      <c r="V4224" s="82"/>
      <c r="W4224" s="82"/>
      <c r="X4224" s="82"/>
      <c r="Y4224" s="82"/>
      <c r="Z4224" s="82"/>
      <c r="AA4224" s="82"/>
      <c r="AB4224" s="82"/>
      <c r="AC4224" s="82"/>
      <c r="AD4224" s="82"/>
      <c r="AE4224" s="82"/>
      <c r="AF4224" s="82"/>
      <c r="AG4224" s="82"/>
      <c r="AH4224" s="82"/>
      <c r="AI4224" s="82"/>
      <c r="AJ4224" s="82"/>
      <c r="AK4224" s="82"/>
      <c r="AL4224" s="82"/>
      <c r="AM4224" s="82"/>
      <c r="AN4224" s="82">
        <f>IFERROR(__xludf.DUMMYFUNCTION("""COMPUTED_VALUE"""),0.0)</f>
        <v>0</v>
      </c>
      <c r="AO4224" s="82">
        <f>IFERROR(__xludf.DUMMYFUNCTION("""COMPUTED_VALUE"""),0.0)</f>
        <v>0</v>
      </c>
      <c r="AP4224" s="82">
        <f>IFERROR(__xludf.DUMMYFUNCTION("""COMPUTED_VALUE"""),0.0)</f>
        <v>0</v>
      </c>
      <c r="AQ4224" s="82">
        <f>IFERROR(__xludf.DUMMYFUNCTION("""COMPUTED_VALUE"""),0.0)</f>
        <v>0</v>
      </c>
      <c r="AR4224" s="82">
        <f>IFERROR(__xludf.DUMMYFUNCTION("""COMPUTED_VALUE"""),0.0)</f>
        <v>0</v>
      </c>
      <c r="AS4224" s="82"/>
      <c r="AT4224" s="82">
        <f>IFERROR(__xludf.DUMMYFUNCTION("""COMPUTED_VALUE"""),0.0)</f>
        <v>0</v>
      </c>
      <c r="AU4224" s="82"/>
      <c r="AV4224" s="82"/>
      <c r="AW4224" s="82" t="str">
        <f t="shared" si="1"/>
        <v/>
      </c>
      <c r="AX4224" s="83" t="str">
        <f t="array" ref="AX4224">IFERROR(DGET('SBV Import'!A:G,"SBV",{"RSC ID","Tier";B4224,A4224}))</f>
        <v/>
      </c>
      <c r="AY4224" s="82" t="str">
        <f t="shared" si="2"/>
        <v/>
      </c>
      <c r="AZ4224" s="82"/>
      <c r="BA4224" s="84" t="s">
        <v>152</v>
      </c>
      <c r="BB4224" s="84" t="str">
        <f>IFERROR(__xludf.DUMMYFUNCTION("iferror(if(A4224="""",,E4224&gt;=FILTER(Constants!$F$2:$F$10,Constants!$A$2:$A$10=A4224)))"),"")</f>
        <v/>
      </c>
    </row>
    <row r="4225">
      <c r="A4225" s="89"/>
      <c r="B4225" s="87"/>
      <c r="C4225" s="73"/>
      <c r="D4225" s="73"/>
      <c r="E4225" s="82"/>
      <c r="F4225" s="82"/>
      <c r="G4225" s="86"/>
      <c r="H4225" s="86"/>
      <c r="I4225" s="86"/>
      <c r="J4225" s="82"/>
      <c r="K4225" s="82"/>
      <c r="L4225" s="82"/>
      <c r="M4225" s="82"/>
      <c r="N4225" s="82"/>
      <c r="O4225" s="82"/>
      <c r="P4225" s="82"/>
      <c r="Q4225" s="82"/>
      <c r="R4225" s="82"/>
      <c r="S4225" s="82"/>
      <c r="T4225" s="82"/>
      <c r="U4225" s="82"/>
      <c r="V4225" s="82"/>
      <c r="W4225" s="82"/>
      <c r="X4225" s="82"/>
      <c r="Y4225" s="82"/>
      <c r="Z4225" s="82"/>
      <c r="AA4225" s="82"/>
      <c r="AB4225" s="82"/>
      <c r="AC4225" s="82"/>
      <c r="AD4225" s="82"/>
      <c r="AE4225" s="82"/>
      <c r="AF4225" s="82"/>
      <c r="AG4225" s="82"/>
      <c r="AH4225" s="82"/>
      <c r="AI4225" s="82"/>
      <c r="AJ4225" s="82"/>
      <c r="AK4225" s="82"/>
      <c r="AL4225" s="82"/>
      <c r="AM4225" s="82"/>
      <c r="AN4225" s="82">
        <f>IFERROR(__xludf.DUMMYFUNCTION("""COMPUTED_VALUE"""),0.0)</f>
        <v>0</v>
      </c>
      <c r="AO4225" s="82">
        <f>IFERROR(__xludf.DUMMYFUNCTION("""COMPUTED_VALUE"""),0.0)</f>
        <v>0</v>
      </c>
      <c r="AP4225" s="82">
        <f>IFERROR(__xludf.DUMMYFUNCTION("""COMPUTED_VALUE"""),0.0)</f>
        <v>0</v>
      </c>
      <c r="AQ4225" s="82">
        <f>IFERROR(__xludf.DUMMYFUNCTION("""COMPUTED_VALUE"""),0.0)</f>
        <v>0</v>
      </c>
      <c r="AR4225" s="82">
        <f>IFERROR(__xludf.DUMMYFUNCTION("""COMPUTED_VALUE"""),0.0)</f>
        <v>0</v>
      </c>
      <c r="AS4225" s="82"/>
      <c r="AT4225" s="82">
        <f>IFERROR(__xludf.DUMMYFUNCTION("""COMPUTED_VALUE"""),0.0)</f>
        <v>0</v>
      </c>
      <c r="AU4225" s="82"/>
      <c r="AV4225" s="82"/>
      <c r="AW4225" s="82" t="str">
        <f t="shared" si="1"/>
        <v/>
      </c>
      <c r="AX4225" s="83" t="str">
        <f t="array" ref="AX4225">IFERROR(DGET('SBV Import'!A:G,"SBV",{"RSC ID","Tier";B4225,A4225}))</f>
        <v/>
      </c>
      <c r="AY4225" s="82" t="str">
        <f t="shared" si="2"/>
        <v/>
      </c>
      <c r="AZ4225" s="82"/>
      <c r="BA4225" s="84" t="s">
        <v>152</v>
      </c>
      <c r="BB4225" s="84" t="str">
        <f>IFERROR(__xludf.DUMMYFUNCTION("iferror(if(A4225="""",,E4225&gt;=FILTER(Constants!$F$2:$F$10,Constants!$A$2:$A$10=A4225)))"),"")</f>
        <v/>
      </c>
    </row>
    <row r="4226">
      <c r="A4226" s="89"/>
      <c r="B4226" s="87"/>
      <c r="C4226" s="73"/>
      <c r="D4226" s="73"/>
      <c r="E4226" s="82"/>
      <c r="F4226" s="82"/>
      <c r="G4226" s="86"/>
      <c r="H4226" s="86"/>
      <c r="I4226" s="86"/>
      <c r="J4226" s="82"/>
      <c r="K4226" s="82"/>
      <c r="L4226" s="82"/>
      <c r="M4226" s="82"/>
      <c r="N4226" s="82"/>
      <c r="O4226" s="82"/>
      <c r="P4226" s="82"/>
      <c r="Q4226" s="82"/>
      <c r="R4226" s="82"/>
      <c r="S4226" s="82"/>
      <c r="T4226" s="82"/>
      <c r="U4226" s="82"/>
      <c r="V4226" s="82"/>
      <c r="W4226" s="82"/>
      <c r="X4226" s="82"/>
      <c r="Y4226" s="82"/>
      <c r="Z4226" s="82"/>
      <c r="AA4226" s="82"/>
      <c r="AB4226" s="82"/>
      <c r="AC4226" s="82"/>
      <c r="AD4226" s="82"/>
      <c r="AE4226" s="82"/>
      <c r="AF4226" s="82"/>
      <c r="AG4226" s="82"/>
      <c r="AH4226" s="82"/>
      <c r="AI4226" s="82"/>
      <c r="AJ4226" s="82"/>
      <c r="AK4226" s="82"/>
      <c r="AL4226" s="82"/>
      <c r="AM4226" s="82"/>
      <c r="AN4226" s="82">
        <f>IFERROR(__xludf.DUMMYFUNCTION("""COMPUTED_VALUE"""),0.0)</f>
        <v>0</v>
      </c>
      <c r="AO4226" s="82">
        <f>IFERROR(__xludf.DUMMYFUNCTION("""COMPUTED_VALUE"""),0.0)</f>
        <v>0</v>
      </c>
      <c r="AP4226" s="82">
        <f>IFERROR(__xludf.DUMMYFUNCTION("""COMPUTED_VALUE"""),0.0)</f>
        <v>0</v>
      </c>
      <c r="AQ4226" s="82">
        <f>IFERROR(__xludf.DUMMYFUNCTION("""COMPUTED_VALUE"""),0.0)</f>
        <v>0</v>
      </c>
      <c r="AR4226" s="82">
        <f>IFERROR(__xludf.DUMMYFUNCTION("""COMPUTED_VALUE"""),0.0)</f>
        <v>0</v>
      </c>
      <c r="AS4226" s="82"/>
      <c r="AT4226" s="82">
        <f>IFERROR(__xludf.DUMMYFUNCTION("""COMPUTED_VALUE"""),0.0)</f>
        <v>0</v>
      </c>
      <c r="AU4226" s="82"/>
      <c r="AV4226" s="82"/>
      <c r="AW4226" s="82" t="str">
        <f t="shared" si="1"/>
        <v/>
      </c>
      <c r="AX4226" s="83" t="str">
        <f t="array" ref="AX4226">IFERROR(DGET('SBV Import'!A:G,"SBV",{"RSC ID","Tier";B4226,A4226}))</f>
        <v/>
      </c>
      <c r="AY4226" s="82" t="str">
        <f t="shared" si="2"/>
        <v/>
      </c>
      <c r="AZ4226" s="82"/>
      <c r="BA4226" s="84" t="s">
        <v>152</v>
      </c>
      <c r="BB4226" s="84" t="str">
        <f>IFERROR(__xludf.DUMMYFUNCTION("iferror(if(A4226="""",,E4226&gt;=FILTER(Constants!$F$2:$F$10,Constants!$A$2:$A$10=A4226)))"),"")</f>
        <v/>
      </c>
    </row>
    <row r="4227">
      <c r="A4227" s="89"/>
      <c r="B4227" s="87"/>
      <c r="C4227" s="73"/>
      <c r="D4227" s="73"/>
      <c r="E4227" s="82"/>
      <c r="F4227" s="82"/>
      <c r="G4227" s="86"/>
      <c r="H4227" s="86"/>
      <c r="I4227" s="86"/>
      <c r="J4227" s="82"/>
      <c r="K4227" s="82"/>
      <c r="L4227" s="82"/>
      <c r="M4227" s="82"/>
      <c r="N4227" s="82"/>
      <c r="O4227" s="82"/>
      <c r="P4227" s="82"/>
      <c r="Q4227" s="82"/>
      <c r="R4227" s="82"/>
      <c r="S4227" s="82"/>
      <c r="T4227" s="82"/>
      <c r="U4227" s="82"/>
      <c r="V4227" s="82"/>
      <c r="W4227" s="82"/>
      <c r="X4227" s="82"/>
      <c r="Y4227" s="82"/>
      <c r="Z4227" s="82"/>
      <c r="AA4227" s="82"/>
      <c r="AB4227" s="82"/>
      <c r="AC4227" s="82"/>
      <c r="AD4227" s="82"/>
      <c r="AE4227" s="82"/>
      <c r="AF4227" s="82"/>
      <c r="AG4227" s="82"/>
      <c r="AH4227" s="82"/>
      <c r="AI4227" s="82"/>
      <c r="AJ4227" s="82"/>
      <c r="AK4227" s="82"/>
      <c r="AL4227" s="82"/>
      <c r="AM4227" s="82"/>
      <c r="AN4227" s="82">
        <f>IFERROR(__xludf.DUMMYFUNCTION("""COMPUTED_VALUE"""),0.0)</f>
        <v>0</v>
      </c>
      <c r="AO4227" s="82">
        <f>IFERROR(__xludf.DUMMYFUNCTION("""COMPUTED_VALUE"""),0.0)</f>
        <v>0</v>
      </c>
      <c r="AP4227" s="82">
        <f>IFERROR(__xludf.DUMMYFUNCTION("""COMPUTED_VALUE"""),0.0)</f>
        <v>0</v>
      </c>
      <c r="AQ4227" s="82">
        <f>IFERROR(__xludf.DUMMYFUNCTION("""COMPUTED_VALUE"""),0.0)</f>
        <v>0</v>
      </c>
      <c r="AR4227" s="82">
        <f>IFERROR(__xludf.DUMMYFUNCTION("""COMPUTED_VALUE"""),0.0)</f>
        <v>0</v>
      </c>
      <c r="AS4227" s="82"/>
      <c r="AT4227" s="82">
        <f>IFERROR(__xludf.DUMMYFUNCTION("""COMPUTED_VALUE"""),0.0)</f>
        <v>0</v>
      </c>
      <c r="AU4227" s="82"/>
      <c r="AV4227" s="82"/>
      <c r="AW4227" s="82" t="str">
        <f t="shared" si="1"/>
        <v/>
      </c>
      <c r="AX4227" s="83" t="str">
        <f t="array" ref="AX4227">IFERROR(DGET('SBV Import'!A:G,"SBV",{"RSC ID","Tier";B4227,A4227}))</f>
        <v/>
      </c>
      <c r="AY4227" s="82" t="str">
        <f t="shared" si="2"/>
        <v/>
      </c>
      <c r="AZ4227" s="82"/>
      <c r="BA4227" s="84" t="s">
        <v>152</v>
      </c>
      <c r="BB4227" s="84" t="str">
        <f>IFERROR(__xludf.DUMMYFUNCTION("iferror(if(A4227="""",,E4227&gt;=FILTER(Constants!$F$2:$F$10,Constants!$A$2:$A$10=A4227)))"),"")</f>
        <v/>
      </c>
    </row>
    <row r="4228">
      <c r="A4228" s="89"/>
      <c r="B4228" s="87"/>
      <c r="C4228" s="73"/>
      <c r="D4228" s="73"/>
      <c r="E4228" s="82"/>
      <c r="F4228" s="82"/>
      <c r="G4228" s="86"/>
      <c r="H4228" s="86"/>
      <c r="I4228" s="86"/>
      <c r="J4228" s="82"/>
      <c r="K4228" s="82"/>
      <c r="L4228" s="82"/>
      <c r="M4228" s="82"/>
      <c r="N4228" s="82"/>
      <c r="O4228" s="82"/>
      <c r="P4228" s="82"/>
      <c r="Q4228" s="82"/>
      <c r="R4228" s="82"/>
      <c r="S4228" s="82"/>
      <c r="T4228" s="82"/>
      <c r="U4228" s="82"/>
      <c r="V4228" s="82"/>
      <c r="W4228" s="82"/>
      <c r="X4228" s="82"/>
      <c r="Y4228" s="82"/>
      <c r="Z4228" s="82"/>
      <c r="AA4228" s="82"/>
      <c r="AB4228" s="82"/>
      <c r="AC4228" s="82"/>
      <c r="AD4228" s="82"/>
      <c r="AE4228" s="82"/>
      <c r="AF4228" s="82"/>
      <c r="AG4228" s="82"/>
      <c r="AH4228" s="82"/>
      <c r="AI4228" s="82"/>
      <c r="AJ4228" s="82"/>
      <c r="AK4228" s="82"/>
      <c r="AL4228" s="82"/>
      <c r="AM4228" s="82"/>
      <c r="AN4228" s="82">
        <f>IFERROR(__xludf.DUMMYFUNCTION("""COMPUTED_VALUE"""),0.0)</f>
        <v>0</v>
      </c>
      <c r="AO4228" s="82">
        <f>IFERROR(__xludf.DUMMYFUNCTION("""COMPUTED_VALUE"""),0.0)</f>
        <v>0</v>
      </c>
      <c r="AP4228" s="82">
        <f>IFERROR(__xludf.DUMMYFUNCTION("""COMPUTED_VALUE"""),0.0)</f>
        <v>0</v>
      </c>
      <c r="AQ4228" s="82">
        <f>IFERROR(__xludf.DUMMYFUNCTION("""COMPUTED_VALUE"""),0.0)</f>
        <v>0</v>
      </c>
      <c r="AR4228" s="82">
        <f>IFERROR(__xludf.DUMMYFUNCTION("""COMPUTED_VALUE"""),0.0)</f>
        <v>0</v>
      </c>
      <c r="AS4228" s="82"/>
      <c r="AT4228" s="82">
        <f>IFERROR(__xludf.DUMMYFUNCTION("""COMPUTED_VALUE"""),0.0)</f>
        <v>0</v>
      </c>
      <c r="AU4228" s="82"/>
      <c r="AV4228" s="82"/>
      <c r="AW4228" s="82" t="str">
        <f t="shared" si="1"/>
        <v/>
      </c>
      <c r="AX4228" s="83" t="str">
        <f t="array" ref="AX4228">IFERROR(DGET('SBV Import'!A:G,"SBV",{"RSC ID","Tier";B4228,A4228}))</f>
        <v/>
      </c>
      <c r="AY4228" s="82" t="str">
        <f t="shared" si="2"/>
        <v/>
      </c>
      <c r="AZ4228" s="82"/>
      <c r="BA4228" s="84" t="s">
        <v>152</v>
      </c>
      <c r="BB4228" s="84" t="str">
        <f>IFERROR(__xludf.DUMMYFUNCTION("iferror(if(A4228="""",,E4228&gt;=FILTER(Constants!$F$2:$F$10,Constants!$A$2:$A$10=A4228)))"),"")</f>
        <v/>
      </c>
    </row>
    <row r="4229">
      <c r="A4229" s="89"/>
      <c r="B4229" s="87"/>
      <c r="C4229" s="73"/>
      <c r="D4229" s="73"/>
      <c r="E4229" s="82"/>
      <c r="F4229" s="82"/>
      <c r="G4229" s="86"/>
      <c r="H4229" s="86"/>
      <c r="I4229" s="86"/>
      <c r="J4229" s="82"/>
      <c r="K4229" s="82"/>
      <c r="L4229" s="82"/>
      <c r="M4229" s="82"/>
      <c r="N4229" s="82"/>
      <c r="O4229" s="82"/>
      <c r="P4229" s="82"/>
      <c r="Q4229" s="82"/>
      <c r="R4229" s="82"/>
      <c r="S4229" s="82"/>
      <c r="T4229" s="82"/>
      <c r="U4229" s="82"/>
      <c r="V4229" s="82"/>
      <c r="W4229" s="82"/>
      <c r="X4229" s="82"/>
      <c r="Y4229" s="82"/>
      <c r="Z4229" s="82"/>
      <c r="AA4229" s="82"/>
      <c r="AB4229" s="82"/>
      <c r="AC4229" s="82"/>
      <c r="AD4229" s="82"/>
      <c r="AE4229" s="82"/>
      <c r="AF4229" s="82"/>
      <c r="AG4229" s="82"/>
      <c r="AH4229" s="82"/>
      <c r="AI4229" s="82"/>
      <c r="AJ4229" s="82"/>
      <c r="AK4229" s="82"/>
      <c r="AL4229" s="82"/>
      <c r="AM4229" s="82"/>
      <c r="AN4229" s="82">
        <f>IFERROR(__xludf.DUMMYFUNCTION("""COMPUTED_VALUE"""),0.0)</f>
        <v>0</v>
      </c>
      <c r="AO4229" s="82">
        <f>IFERROR(__xludf.DUMMYFUNCTION("""COMPUTED_VALUE"""),0.0)</f>
        <v>0</v>
      </c>
      <c r="AP4229" s="82">
        <f>IFERROR(__xludf.DUMMYFUNCTION("""COMPUTED_VALUE"""),0.0)</f>
        <v>0</v>
      </c>
      <c r="AQ4229" s="82">
        <f>IFERROR(__xludf.DUMMYFUNCTION("""COMPUTED_VALUE"""),0.0)</f>
        <v>0</v>
      </c>
      <c r="AR4229" s="82">
        <f>IFERROR(__xludf.DUMMYFUNCTION("""COMPUTED_VALUE"""),0.0)</f>
        <v>0</v>
      </c>
      <c r="AS4229" s="82"/>
      <c r="AT4229" s="82">
        <f>IFERROR(__xludf.DUMMYFUNCTION("""COMPUTED_VALUE"""),0.0)</f>
        <v>0</v>
      </c>
      <c r="AU4229" s="82"/>
      <c r="AV4229" s="82"/>
      <c r="AW4229" s="82" t="str">
        <f t="shared" si="1"/>
        <v/>
      </c>
      <c r="AX4229" s="83" t="str">
        <f t="array" ref="AX4229">IFERROR(DGET('SBV Import'!A:G,"SBV",{"RSC ID","Tier";B4229,A4229}))</f>
        <v/>
      </c>
      <c r="AY4229" s="82" t="str">
        <f t="shared" si="2"/>
        <v/>
      </c>
      <c r="AZ4229" s="82"/>
      <c r="BA4229" s="84" t="s">
        <v>152</v>
      </c>
      <c r="BB4229" s="84" t="str">
        <f>IFERROR(__xludf.DUMMYFUNCTION("iferror(if(A4229="""",,E4229&gt;=FILTER(Constants!$F$2:$F$10,Constants!$A$2:$A$10=A4229)))"),"")</f>
        <v/>
      </c>
    </row>
    <row r="4230">
      <c r="A4230" s="89"/>
      <c r="B4230" s="87"/>
      <c r="C4230" s="73"/>
      <c r="D4230" s="73"/>
      <c r="E4230" s="82"/>
      <c r="F4230" s="82"/>
      <c r="G4230" s="86"/>
      <c r="H4230" s="86"/>
      <c r="I4230" s="86"/>
      <c r="J4230" s="82"/>
      <c r="K4230" s="82"/>
      <c r="L4230" s="82"/>
      <c r="M4230" s="82"/>
      <c r="N4230" s="82"/>
      <c r="O4230" s="82"/>
      <c r="P4230" s="82"/>
      <c r="Q4230" s="82"/>
      <c r="R4230" s="82"/>
      <c r="S4230" s="82"/>
      <c r="T4230" s="82"/>
      <c r="U4230" s="82"/>
      <c r="V4230" s="82"/>
      <c r="W4230" s="82"/>
      <c r="X4230" s="82"/>
      <c r="Y4230" s="82"/>
      <c r="Z4230" s="82"/>
      <c r="AA4230" s="82"/>
      <c r="AB4230" s="82"/>
      <c r="AC4230" s="82"/>
      <c r="AD4230" s="82"/>
      <c r="AE4230" s="82"/>
      <c r="AF4230" s="82"/>
      <c r="AG4230" s="82"/>
      <c r="AH4230" s="82"/>
      <c r="AI4230" s="82"/>
      <c r="AJ4230" s="82"/>
      <c r="AK4230" s="82"/>
      <c r="AL4230" s="82"/>
      <c r="AM4230" s="82"/>
      <c r="AN4230" s="82">
        <f>IFERROR(__xludf.DUMMYFUNCTION("""COMPUTED_VALUE"""),0.0)</f>
        <v>0</v>
      </c>
      <c r="AO4230" s="82">
        <f>IFERROR(__xludf.DUMMYFUNCTION("""COMPUTED_VALUE"""),0.0)</f>
        <v>0</v>
      </c>
      <c r="AP4230" s="82">
        <f>IFERROR(__xludf.DUMMYFUNCTION("""COMPUTED_VALUE"""),0.0)</f>
        <v>0</v>
      </c>
      <c r="AQ4230" s="82">
        <f>IFERROR(__xludf.DUMMYFUNCTION("""COMPUTED_VALUE"""),0.0)</f>
        <v>0</v>
      </c>
      <c r="AR4230" s="82">
        <f>IFERROR(__xludf.DUMMYFUNCTION("""COMPUTED_VALUE"""),0.0)</f>
        <v>0</v>
      </c>
      <c r="AS4230" s="82"/>
      <c r="AT4230" s="82">
        <f>IFERROR(__xludf.DUMMYFUNCTION("""COMPUTED_VALUE"""),0.0)</f>
        <v>0</v>
      </c>
      <c r="AU4230" s="82"/>
      <c r="AV4230" s="82"/>
      <c r="AW4230" s="82" t="str">
        <f t="shared" si="1"/>
        <v/>
      </c>
      <c r="AX4230" s="83" t="str">
        <f t="array" ref="AX4230">IFERROR(DGET('SBV Import'!A:G,"SBV",{"RSC ID","Tier";B4230,A4230}))</f>
        <v/>
      </c>
      <c r="AY4230" s="82" t="str">
        <f t="shared" si="2"/>
        <v/>
      </c>
      <c r="AZ4230" s="82"/>
      <c r="BA4230" s="84" t="s">
        <v>152</v>
      </c>
      <c r="BB4230" s="84" t="str">
        <f>IFERROR(__xludf.DUMMYFUNCTION("iferror(if(A4230="""",,E4230&gt;=FILTER(Constants!$F$2:$F$10,Constants!$A$2:$A$10=A4230)))"),"")</f>
        <v/>
      </c>
    </row>
    <row r="4231">
      <c r="A4231" s="89"/>
      <c r="B4231" s="87"/>
      <c r="C4231" s="73"/>
      <c r="D4231" s="73"/>
      <c r="E4231" s="82"/>
      <c r="F4231" s="82"/>
      <c r="G4231" s="86"/>
      <c r="H4231" s="86"/>
      <c r="I4231" s="86"/>
      <c r="J4231" s="82"/>
      <c r="K4231" s="82"/>
      <c r="L4231" s="82"/>
      <c r="M4231" s="82"/>
      <c r="N4231" s="82"/>
      <c r="O4231" s="82"/>
      <c r="P4231" s="82"/>
      <c r="Q4231" s="82"/>
      <c r="R4231" s="82"/>
      <c r="S4231" s="82"/>
      <c r="T4231" s="82"/>
      <c r="U4231" s="82"/>
      <c r="V4231" s="82"/>
      <c r="W4231" s="82"/>
      <c r="X4231" s="82"/>
      <c r="Y4231" s="82"/>
      <c r="Z4231" s="82"/>
      <c r="AA4231" s="82"/>
      <c r="AB4231" s="82"/>
      <c r="AC4231" s="82"/>
      <c r="AD4231" s="82"/>
      <c r="AE4231" s="82"/>
      <c r="AF4231" s="82"/>
      <c r="AG4231" s="82"/>
      <c r="AH4231" s="82"/>
      <c r="AI4231" s="82"/>
      <c r="AJ4231" s="82"/>
      <c r="AK4231" s="82"/>
      <c r="AL4231" s="82"/>
      <c r="AM4231" s="82"/>
      <c r="AN4231" s="82">
        <f>IFERROR(__xludf.DUMMYFUNCTION("""COMPUTED_VALUE"""),0.0)</f>
        <v>0</v>
      </c>
      <c r="AO4231" s="82">
        <f>IFERROR(__xludf.DUMMYFUNCTION("""COMPUTED_VALUE"""),0.0)</f>
        <v>0</v>
      </c>
      <c r="AP4231" s="82">
        <f>IFERROR(__xludf.DUMMYFUNCTION("""COMPUTED_VALUE"""),0.0)</f>
        <v>0</v>
      </c>
      <c r="AQ4231" s="82">
        <f>IFERROR(__xludf.DUMMYFUNCTION("""COMPUTED_VALUE"""),0.0)</f>
        <v>0</v>
      </c>
      <c r="AR4231" s="82">
        <f>IFERROR(__xludf.DUMMYFUNCTION("""COMPUTED_VALUE"""),0.0)</f>
        <v>0</v>
      </c>
      <c r="AS4231" s="82"/>
      <c r="AT4231" s="82">
        <f>IFERROR(__xludf.DUMMYFUNCTION("""COMPUTED_VALUE"""),0.0)</f>
        <v>0</v>
      </c>
      <c r="AU4231" s="82"/>
      <c r="AV4231" s="82"/>
      <c r="AW4231" s="82" t="str">
        <f t="shared" si="1"/>
        <v/>
      </c>
      <c r="AX4231" s="83" t="str">
        <f t="array" ref="AX4231">IFERROR(DGET('SBV Import'!A:G,"SBV",{"RSC ID","Tier";B4231,A4231}))</f>
        <v/>
      </c>
      <c r="AY4231" s="82" t="str">
        <f t="shared" si="2"/>
        <v/>
      </c>
      <c r="AZ4231" s="82"/>
      <c r="BA4231" s="84" t="s">
        <v>152</v>
      </c>
      <c r="BB4231" s="84" t="str">
        <f>IFERROR(__xludf.DUMMYFUNCTION("iferror(if(A4231="""",,E4231&gt;=FILTER(Constants!$F$2:$F$10,Constants!$A$2:$A$10=A4231)))"),"")</f>
        <v/>
      </c>
    </row>
    <row r="4232">
      <c r="A4232" s="89"/>
      <c r="B4232" s="87"/>
      <c r="C4232" s="73"/>
      <c r="D4232" s="73"/>
      <c r="E4232" s="82"/>
      <c r="F4232" s="82"/>
      <c r="G4232" s="86"/>
      <c r="H4232" s="86"/>
      <c r="I4232" s="86"/>
      <c r="J4232" s="82"/>
      <c r="K4232" s="82"/>
      <c r="L4232" s="82"/>
      <c r="M4232" s="82"/>
      <c r="N4232" s="82"/>
      <c r="O4232" s="82"/>
      <c r="P4232" s="82"/>
      <c r="Q4232" s="82"/>
      <c r="R4232" s="82"/>
      <c r="S4232" s="82"/>
      <c r="T4232" s="82"/>
      <c r="U4232" s="82"/>
      <c r="V4232" s="82"/>
      <c r="W4232" s="82"/>
      <c r="X4232" s="82"/>
      <c r="Y4232" s="82"/>
      <c r="Z4232" s="82"/>
      <c r="AA4232" s="82"/>
      <c r="AB4232" s="82"/>
      <c r="AC4232" s="82"/>
      <c r="AD4232" s="82"/>
      <c r="AE4232" s="82"/>
      <c r="AF4232" s="82"/>
      <c r="AG4232" s="82"/>
      <c r="AH4232" s="82"/>
      <c r="AI4232" s="82"/>
      <c r="AJ4232" s="82"/>
      <c r="AK4232" s="82"/>
      <c r="AL4232" s="82"/>
      <c r="AM4232" s="82"/>
      <c r="AN4232" s="82">
        <f>IFERROR(__xludf.DUMMYFUNCTION("""COMPUTED_VALUE"""),0.0)</f>
        <v>0</v>
      </c>
      <c r="AO4232" s="82">
        <f>IFERROR(__xludf.DUMMYFUNCTION("""COMPUTED_VALUE"""),0.0)</f>
        <v>0</v>
      </c>
      <c r="AP4232" s="82">
        <f>IFERROR(__xludf.DUMMYFUNCTION("""COMPUTED_VALUE"""),0.0)</f>
        <v>0</v>
      </c>
      <c r="AQ4232" s="82">
        <f>IFERROR(__xludf.DUMMYFUNCTION("""COMPUTED_VALUE"""),0.0)</f>
        <v>0</v>
      </c>
      <c r="AR4232" s="82">
        <f>IFERROR(__xludf.DUMMYFUNCTION("""COMPUTED_VALUE"""),0.0)</f>
        <v>0</v>
      </c>
      <c r="AS4232" s="82"/>
      <c r="AT4232" s="82">
        <f>IFERROR(__xludf.DUMMYFUNCTION("""COMPUTED_VALUE"""),0.0)</f>
        <v>0</v>
      </c>
      <c r="AU4232" s="82"/>
      <c r="AV4232" s="82"/>
      <c r="AW4232" s="82" t="str">
        <f t="shared" si="1"/>
        <v/>
      </c>
      <c r="AX4232" s="83" t="str">
        <f t="array" ref="AX4232">IFERROR(DGET('SBV Import'!A:G,"SBV",{"RSC ID","Tier";B4232,A4232}))</f>
        <v/>
      </c>
      <c r="AY4232" s="82" t="str">
        <f t="shared" si="2"/>
        <v/>
      </c>
      <c r="AZ4232" s="82"/>
      <c r="BA4232" s="84" t="s">
        <v>152</v>
      </c>
      <c r="BB4232" s="84" t="str">
        <f>IFERROR(__xludf.DUMMYFUNCTION("iferror(if(A4232="""",,E4232&gt;=FILTER(Constants!$F$2:$F$10,Constants!$A$2:$A$10=A4232)))"),"")</f>
        <v/>
      </c>
    </row>
    <row r="4233">
      <c r="A4233" s="89"/>
      <c r="B4233" s="87"/>
      <c r="C4233" s="73"/>
      <c r="D4233" s="73"/>
      <c r="E4233" s="82"/>
      <c r="F4233" s="82"/>
      <c r="G4233" s="86"/>
      <c r="H4233" s="86"/>
      <c r="I4233" s="86"/>
      <c r="J4233" s="82"/>
      <c r="K4233" s="82"/>
      <c r="L4233" s="82"/>
      <c r="M4233" s="82"/>
      <c r="N4233" s="82"/>
      <c r="O4233" s="82"/>
      <c r="P4233" s="82"/>
      <c r="Q4233" s="82"/>
      <c r="R4233" s="82"/>
      <c r="S4233" s="82"/>
      <c r="T4233" s="82"/>
      <c r="U4233" s="82"/>
      <c r="V4233" s="82"/>
      <c r="W4233" s="82"/>
      <c r="X4233" s="82"/>
      <c r="Y4233" s="82"/>
      <c r="Z4233" s="82"/>
      <c r="AA4233" s="82"/>
      <c r="AB4233" s="82"/>
      <c r="AC4233" s="82"/>
      <c r="AD4233" s="82"/>
      <c r="AE4233" s="82"/>
      <c r="AF4233" s="82"/>
      <c r="AG4233" s="82"/>
      <c r="AH4233" s="82"/>
      <c r="AI4233" s="82"/>
      <c r="AJ4233" s="82"/>
      <c r="AK4233" s="82"/>
      <c r="AL4233" s="82"/>
      <c r="AM4233" s="82"/>
      <c r="AN4233" s="82">
        <f>IFERROR(__xludf.DUMMYFUNCTION("""COMPUTED_VALUE"""),0.0)</f>
        <v>0</v>
      </c>
      <c r="AO4233" s="82">
        <f>IFERROR(__xludf.DUMMYFUNCTION("""COMPUTED_VALUE"""),0.0)</f>
        <v>0</v>
      </c>
      <c r="AP4233" s="82">
        <f>IFERROR(__xludf.DUMMYFUNCTION("""COMPUTED_VALUE"""),0.0)</f>
        <v>0</v>
      </c>
      <c r="AQ4233" s="82">
        <f>IFERROR(__xludf.DUMMYFUNCTION("""COMPUTED_VALUE"""),0.0)</f>
        <v>0</v>
      </c>
      <c r="AR4233" s="82">
        <f>IFERROR(__xludf.DUMMYFUNCTION("""COMPUTED_VALUE"""),0.0)</f>
        <v>0</v>
      </c>
      <c r="AS4233" s="82"/>
      <c r="AT4233" s="82">
        <f>IFERROR(__xludf.DUMMYFUNCTION("""COMPUTED_VALUE"""),0.0)</f>
        <v>0</v>
      </c>
      <c r="AU4233" s="82"/>
      <c r="AV4233" s="82"/>
      <c r="AW4233" s="82" t="str">
        <f t="shared" si="1"/>
        <v/>
      </c>
      <c r="AX4233" s="83" t="str">
        <f t="array" ref="AX4233">IFERROR(DGET('SBV Import'!A:G,"SBV",{"RSC ID","Tier";B4233,A4233}))</f>
        <v/>
      </c>
      <c r="AY4233" s="82" t="str">
        <f t="shared" si="2"/>
        <v/>
      </c>
      <c r="AZ4233" s="82"/>
      <c r="BA4233" s="84" t="s">
        <v>152</v>
      </c>
      <c r="BB4233" s="84" t="str">
        <f>IFERROR(__xludf.DUMMYFUNCTION("iferror(if(A4233="""",,E4233&gt;=FILTER(Constants!$F$2:$F$10,Constants!$A$2:$A$10=A4233)))"),"")</f>
        <v/>
      </c>
    </row>
    <row r="4234">
      <c r="A4234" s="89"/>
      <c r="B4234" s="87"/>
      <c r="C4234" s="73"/>
      <c r="D4234" s="73"/>
      <c r="E4234" s="82"/>
      <c r="F4234" s="82"/>
      <c r="G4234" s="86"/>
      <c r="H4234" s="86"/>
      <c r="I4234" s="86"/>
      <c r="J4234" s="82"/>
      <c r="K4234" s="82"/>
      <c r="L4234" s="82"/>
      <c r="M4234" s="82"/>
      <c r="N4234" s="82"/>
      <c r="O4234" s="82"/>
      <c r="P4234" s="82"/>
      <c r="Q4234" s="82"/>
      <c r="R4234" s="82"/>
      <c r="S4234" s="82"/>
      <c r="T4234" s="82"/>
      <c r="U4234" s="82"/>
      <c r="V4234" s="82"/>
      <c r="W4234" s="82"/>
      <c r="X4234" s="82"/>
      <c r="Y4234" s="82"/>
      <c r="Z4234" s="82"/>
      <c r="AA4234" s="82"/>
      <c r="AB4234" s="82"/>
      <c r="AC4234" s="82"/>
      <c r="AD4234" s="82"/>
      <c r="AE4234" s="82"/>
      <c r="AF4234" s="82"/>
      <c r="AG4234" s="82"/>
      <c r="AH4234" s="82"/>
      <c r="AI4234" s="82"/>
      <c r="AJ4234" s="82"/>
      <c r="AK4234" s="82"/>
      <c r="AL4234" s="82"/>
      <c r="AM4234" s="82"/>
      <c r="AN4234" s="82">
        <f>IFERROR(__xludf.DUMMYFUNCTION("""COMPUTED_VALUE"""),0.0)</f>
        <v>0</v>
      </c>
      <c r="AO4234" s="82">
        <f>IFERROR(__xludf.DUMMYFUNCTION("""COMPUTED_VALUE"""),0.0)</f>
        <v>0</v>
      </c>
      <c r="AP4234" s="82">
        <f>IFERROR(__xludf.DUMMYFUNCTION("""COMPUTED_VALUE"""),0.0)</f>
        <v>0</v>
      </c>
      <c r="AQ4234" s="82">
        <f>IFERROR(__xludf.DUMMYFUNCTION("""COMPUTED_VALUE"""),0.0)</f>
        <v>0</v>
      </c>
      <c r="AR4234" s="82">
        <f>IFERROR(__xludf.DUMMYFUNCTION("""COMPUTED_VALUE"""),0.0)</f>
        <v>0</v>
      </c>
      <c r="AS4234" s="82"/>
      <c r="AT4234" s="82">
        <f>IFERROR(__xludf.DUMMYFUNCTION("""COMPUTED_VALUE"""),0.0)</f>
        <v>0</v>
      </c>
      <c r="AU4234" s="82"/>
      <c r="AV4234" s="82"/>
      <c r="AW4234" s="82" t="str">
        <f t="shared" si="1"/>
        <v/>
      </c>
      <c r="AX4234" s="83" t="str">
        <f t="array" ref="AX4234">IFERROR(DGET('SBV Import'!A:G,"SBV",{"RSC ID","Tier";B4234,A4234}))</f>
        <v/>
      </c>
      <c r="AY4234" s="82" t="str">
        <f t="shared" si="2"/>
        <v/>
      </c>
      <c r="AZ4234" s="82"/>
      <c r="BA4234" s="84" t="s">
        <v>152</v>
      </c>
      <c r="BB4234" s="84" t="str">
        <f>IFERROR(__xludf.DUMMYFUNCTION("iferror(if(A4234="""",,E4234&gt;=FILTER(Constants!$F$2:$F$10,Constants!$A$2:$A$10=A4234)))"),"")</f>
        <v/>
      </c>
    </row>
    <row r="4235">
      <c r="A4235" s="89"/>
      <c r="B4235" s="87"/>
      <c r="C4235" s="73"/>
      <c r="D4235" s="73"/>
      <c r="E4235" s="82"/>
      <c r="F4235" s="82"/>
      <c r="G4235" s="86"/>
      <c r="H4235" s="86"/>
      <c r="I4235" s="86"/>
      <c r="J4235" s="82"/>
      <c r="K4235" s="82"/>
      <c r="L4235" s="82"/>
      <c r="M4235" s="82"/>
      <c r="N4235" s="82"/>
      <c r="O4235" s="82"/>
      <c r="P4235" s="82"/>
      <c r="Q4235" s="82"/>
      <c r="R4235" s="82"/>
      <c r="S4235" s="82"/>
      <c r="T4235" s="82"/>
      <c r="U4235" s="82"/>
      <c r="V4235" s="82"/>
      <c r="W4235" s="82"/>
      <c r="X4235" s="82"/>
      <c r="Y4235" s="82"/>
      <c r="Z4235" s="82"/>
      <c r="AA4235" s="82"/>
      <c r="AB4235" s="82"/>
      <c r="AC4235" s="82"/>
      <c r="AD4235" s="82"/>
      <c r="AE4235" s="82"/>
      <c r="AF4235" s="82"/>
      <c r="AG4235" s="82"/>
      <c r="AH4235" s="82"/>
      <c r="AI4235" s="82"/>
      <c r="AJ4235" s="82"/>
      <c r="AK4235" s="82"/>
      <c r="AL4235" s="82"/>
      <c r="AM4235" s="82"/>
      <c r="AN4235" s="82">
        <f>IFERROR(__xludf.DUMMYFUNCTION("""COMPUTED_VALUE"""),0.0)</f>
        <v>0</v>
      </c>
      <c r="AO4235" s="82">
        <f>IFERROR(__xludf.DUMMYFUNCTION("""COMPUTED_VALUE"""),0.0)</f>
        <v>0</v>
      </c>
      <c r="AP4235" s="82">
        <f>IFERROR(__xludf.DUMMYFUNCTION("""COMPUTED_VALUE"""),0.0)</f>
        <v>0</v>
      </c>
      <c r="AQ4235" s="82">
        <f>IFERROR(__xludf.DUMMYFUNCTION("""COMPUTED_VALUE"""),0.0)</f>
        <v>0</v>
      </c>
      <c r="AR4235" s="82">
        <f>IFERROR(__xludf.DUMMYFUNCTION("""COMPUTED_VALUE"""),0.0)</f>
        <v>0</v>
      </c>
      <c r="AS4235" s="82"/>
      <c r="AT4235" s="82">
        <f>IFERROR(__xludf.DUMMYFUNCTION("""COMPUTED_VALUE"""),0.0)</f>
        <v>0</v>
      </c>
      <c r="AU4235" s="82"/>
      <c r="AV4235" s="82"/>
      <c r="AW4235" s="82" t="str">
        <f t="shared" si="1"/>
        <v/>
      </c>
      <c r="AX4235" s="83" t="str">
        <f t="array" ref="AX4235">IFERROR(DGET('SBV Import'!A:G,"SBV",{"RSC ID","Tier";B4235,A4235}))</f>
        <v/>
      </c>
      <c r="AY4235" s="82" t="str">
        <f t="shared" si="2"/>
        <v/>
      </c>
      <c r="AZ4235" s="82"/>
      <c r="BA4235" s="84" t="s">
        <v>152</v>
      </c>
      <c r="BB4235" s="84" t="str">
        <f>IFERROR(__xludf.DUMMYFUNCTION("iferror(if(A4235="""",,E4235&gt;=FILTER(Constants!$F$2:$F$10,Constants!$A$2:$A$10=A4235)))"),"")</f>
        <v/>
      </c>
    </row>
    <row r="4236">
      <c r="A4236" s="89"/>
      <c r="B4236" s="87"/>
      <c r="C4236" s="73"/>
      <c r="D4236" s="73"/>
      <c r="E4236" s="82"/>
      <c r="F4236" s="82"/>
      <c r="G4236" s="86"/>
      <c r="H4236" s="86"/>
      <c r="I4236" s="86"/>
      <c r="J4236" s="82"/>
      <c r="K4236" s="82"/>
      <c r="L4236" s="82"/>
      <c r="M4236" s="82"/>
      <c r="N4236" s="82"/>
      <c r="O4236" s="82"/>
      <c r="P4236" s="82"/>
      <c r="Q4236" s="82"/>
      <c r="R4236" s="82"/>
      <c r="S4236" s="82"/>
      <c r="T4236" s="82"/>
      <c r="U4236" s="82"/>
      <c r="V4236" s="82"/>
      <c r="W4236" s="82"/>
      <c r="X4236" s="82"/>
      <c r="Y4236" s="82"/>
      <c r="Z4236" s="82"/>
      <c r="AA4236" s="82"/>
      <c r="AB4236" s="82"/>
      <c r="AC4236" s="82"/>
      <c r="AD4236" s="82"/>
      <c r="AE4236" s="82"/>
      <c r="AF4236" s="82"/>
      <c r="AG4236" s="82"/>
      <c r="AH4236" s="82"/>
      <c r="AI4236" s="82"/>
      <c r="AJ4236" s="82"/>
      <c r="AK4236" s="82"/>
      <c r="AL4236" s="82"/>
      <c r="AM4236" s="82"/>
      <c r="AN4236" s="82">
        <f>IFERROR(__xludf.DUMMYFUNCTION("""COMPUTED_VALUE"""),0.0)</f>
        <v>0</v>
      </c>
      <c r="AO4236" s="82">
        <f>IFERROR(__xludf.DUMMYFUNCTION("""COMPUTED_VALUE"""),0.0)</f>
        <v>0</v>
      </c>
      <c r="AP4236" s="82">
        <f>IFERROR(__xludf.DUMMYFUNCTION("""COMPUTED_VALUE"""),0.0)</f>
        <v>0</v>
      </c>
      <c r="AQ4236" s="82">
        <f>IFERROR(__xludf.DUMMYFUNCTION("""COMPUTED_VALUE"""),0.0)</f>
        <v>0</v>
      </c>
      <c r="AR4236" s="82">
        <f>IFERROR(__xludf.DUMMYFUNCTION("""COMPUTED_VALUE"""),0.0)</f>
        <v>0</v>
      </c>
      <c r="AS4236" s="82"/>
      <c r="AT4236" s="82">
        <f>IFERROR(__xludf.DUMMYFUNCTION("""COMPUTED_VALUE"""),0.0)</f>
        <v>0</v>
      </c>
      <c r="AU4236" s="82"/>
      <c r="AV4236" s="82"/>
      <c r="AW4236" s="82" t="str">
        <f t="shared" si="1"/>
        <v/>
      </c>
      <c r="AX4236" s="83" t="str">
        <f t="array" ref="AX4236">IFERROR(DGET('SBV Import'!A:G,"SBV",{"RSC ID","Tier";B4236,A4236}))</f>
        <v/>
      </c>
      <c r="AY4236" s="82" t="str">
        <f t="shared" si="2"/>
        <v/>
      </c>
      <c r="AZ4236" s="82"/>
      <c r="BA4236" s="84" t="s">
        <v>152</v>
      </c>
      <c r="BB4236" s="84" t="str">
        <f>IFERROR(__xludf.DUMMYFUNCTION("iferror(if(A4236="""",,E4236&gt;=FILTER(Constants!$F$2:$F$10,Constants!$A$2:$A$10=A4236)))"),"")</f>
        <v/>
      </c>
    </row>
    <row r="4237">
      <c r="A4237" s="89"/>
      <c r="B4237" s="87"/>
      <c r="C4237" s="73"/>
      <c r="D4237" s="73"/>
      <c r="E4237" s="82"/>
      <c r="F4237" s="82"/>
      <c r="G4237" s="86"/>
      <c r="H4237" s="86"/>
      <c r="I4237" s="86"/>
      <c r="J4237" s="82"/>
      <c r="K4237" s="82"/>
      <c r="L4237" s="82"/>
      <c r="M4237" s="82"/>
      <c r="N4237" s="82"/>
      <c r="O4237" s="82"/>
      <c r="P4237" s="82"/>
      <c r="Q4237" s="82"/>
      <c r="R4237" s="82"/>
      <c r="S4237" s="82"/>
      <c r="T4237" s="82"/>
      <c r="U4237" s="82"/>
      <c r="V4237" s="82"/>
      <c r="W4237" s="82"/>
      <c r="X4237" s="82"/>
      <c r="Y4237" s="82"/>
      <c r="Z4237" s="82"/>
      <c r="AA4237" s="82"/>
      <c r="AB4237" s="82"/>
      <c r="AC4237" s="82"/>
      <c r="AD4237" s="82"/>
      <c r="AE4237" s="82"/>
      <c r="AF4237" s="82"/>
      <c r="AG4237" s="82"/>
      <c r="AH4237" s="82"/>
      <c r="AI4237" s="82"/>
      <c r="AJ4237" s="82"/>
      <c r="AK4237" s="82"/>
      <c r="AL4237" s="82"/>
      <c r="AM4237" s="82"/>
      <c r="AN4237" s="82">
        <f>IFERROR(__xludf.DUMMYFUNCTION("""COMPUTED_VALUE"""),0.0)</f>
        <v>0</v>
      </c>
      <c r="AO4237" s="82">
        <f>IFERROR(__xludf.DUMMYFUNCTION("""COMPUTED_VALUE"""),0.0)</f>
        <v>0</v>
      </c>
      <c r="AP4237" s="82">
        <f>IFERROR(__xludf.DUMMYFUNCTION("""COMPUTED_VALUE"""),0.0)</f>
        <v>0</v>
      </c>
      <c r="AQ4237" s="82">
        <f>IFERROR(__xludf.DUMMYFUNCTION("""COMPUTED_VALUE"""),0.0)</f>
        <v>0</v>
      </c>
      <c r="AR4237" s="82">
        <f>IFERROR(__xludf.DUMMYFUNCTION("""COMPUTED_VALUE"""),0.0)</f>
        <v>0</v>
      </c>
      <c r="AS4237" s="82"/>
      <c r="AT4237" s="82">
        <f>IFERROR(__xludf.DUMMYFUNCTION("""COMPUTED_VALUE"""),0.0)</f>
        <v>0</v>
      </c>
      <c r="AU4237" s="82"/>
      <c r="AV4237" s="82"/>
      <c r="AW4237" s="82" t="str">
        <f t="shared" si="1"/>
        <v/>
      </c>
      <c r="AX4237" s="83" t="str">
        <f t="array" ref="AX4237">IFERROR(DGET('SBV Import'!A:G,"SBV",{"RSC ID","Tier";B4237,A4237}))</f>
        <v/>
      </c>
      <c r="AY4237" s="82" t="str">
        <f t="shared" si="2"/>
        <v/>
      </c>
      <c r="AZ4237" s="82"/>
      <c r="BA4237" s="84" t="s">
        <v>152</v>
      </c>
      <c r="BB4237" s="84" t="str">
        <f>IFERROR(__xludf.DUMMYFUNCTION("iferror(if(A4237="""",,E4237&gt;=FILTER(Constants!$F$2:$F$10,Constants!$A$2:$A$10=A4237)))"),"")</f>
        <v/>
      </c>
    </row>
    <row r="4238">
      <c r="A4238" s="89"/>
      <c r="B4238" s="87"/>
      <c r="C4238" s="73"/>
      <c r="D4238" s="73"/>
      <c r="E4238" s="82"/>
      <c r="F4238" s="82"/>
      <c r="G4238" s="86"/>
      <c r="H4238" s="86"/>
      <c r="I4238" s="86"/>
      <c r="J4238" s="82"/>
      <c r="K4238" s="82"/>
      <c r="L4238" s="82"/>
      <c r="M4238" s="82"/>
      <c r="N4238" s="82"/>
      <c r="O4238" s="82"/>
      <c r="P4238" s="82"/>
      <c r="Q4238" s="82"/>
      <c r="R4238" s="82"/>
      <c r="S4238" s="82"/>
      <c r="T4238" s="82"/>
      <c r="U4238" s="82"/>
      <c r="V4238" s="82"/>
      <c r="W4238" s="82"/>
      <c r="X4238" s="82"/>
      <c r="Y4238" s="82"/>
      <c r="Z4238" s="82"/>
      <c r="AA4238" s="82"/>
      <c r="AB4238" s="82"/>
      <c r="AC4238" s="82"/>
      <c r="AD4238" s="82"/>
      <c r="AE4238" s="82"/>
      <c r="AF4238" s="82"/>
      <c r="AG4238" s="82"/>
      <c r="AH4238" s="82"/>
      <c r="AI4238" s="82"/>
      <c r="AJ4238" s="82"/>
      <c r="AK4238" s="82"/>
      <c r="AL4238" s="82"/>
      <c r="AM4238" s="82"/>
      <c r="AN4238" s="82">
        <f>IFERROR(__xludf.DUMMYFUNCTION("""COMPUTED_VALUE"""),0.0)</f>
        <v>0</v>
      </c>
      <c r="AO4238" s="82">
        <f>IFERROR(__xludf.DUMMYFUNCTION("""COMPUTED_VALUE"""),0.0)</f>
        <v>0</v>
      </c>
      <c r="AP4238" s="82">
        <f>IFERROR(__xludf.DUMMYFUNCTION("""COMPUTED_VALUE"""),0.0)</f>
        <v>0</v>
      </c>
      <c r="AQ4238" s="82">
        <f>IFERROR(__xludf.DUMMYFUNCTION("""COMPUTED_VALUE"""),0.0)</f>
        <v>0</v>
      </c>
      <c r="AR4238" s="82">
        <f>IFERROR(__xludf.DUMMYFUNCTION("""COMPUTED_VALUE"""),0.0)</f>
        <v>0</v>
      </c>
      <c r="AS4238" s="82"/>
      <c r="AT4238" s="82">
        <f>IFERROR(__xludf.DUMMYFUNCTION("""COMPUTED_VALUE"""),0.0)</f>
        <v>0</v>
      </c>
      <c r="AU4238" s="82"/>
      <c r="AV4238" s="82"/>
      <c r="AW4238" s="82" t="str">
        <f t="shared" si="1"/>
        <v/>
      </c>
      <c r="AX4238" s="83" t="str">
        <f t="array" ref="AX4238">IFERROR(DGET('SBV Import'!A:G,"SBV",{"RSC ID","Tier";B4238,A4238}))</f>
        <v/>
      </c>
      <c r="AY4238" s="82" t="str">
        <f t="shared" si="2"/>
        <v/>
      </c>
      <c r="AZ4238" s="82"/>
      <c r="BA4238" s="84" t="s">
        <v>152</v>
      </c>
      <c r="BB4238" s="84" t="str">
        <f>IFERROR(__xludf.DUMMYFUNCTION("iferror(if(A4238="""",,E4238&gt;=FILTER(Constants!$F$2:$F$10,Constants!$A$2:$A$10=A4238)))"),"")</f>
        <v/>
      </c>
    </row>
    <row r="4239">
      <c r="A4239" s="89"/>
      <c r="B4239" s="87"/>
      <c r="C4239" s="73"/>
      <c r="D4239" s="73"/>
      <c r="E4239" s="82"/>
      <c r="F4239" s="82"/>
      <c r="G4239" s="86"/>
      <c r="H4239" s="86"/>
      <c r="I4239" s="86"/>
      <c r="J4239" s="82"/>
      <c r="K4239" s="82"/>
      <c r="L4239" s="82"/>
      <c r="M4239" s="82"/>
      <c r="N4239" s="82"/>
      <c r="O4239" s="82"/>
      <c r="P4239" s="82"/>
      <c r="Q4239" s="82"/>
      <c r="R4239" s="82"/>
      <c r="S4239" s="82"/>
      <c r="T4239" s="82"/>
      <c r="U4239" s="82"/>
      <c r="V4239" s="82"/>
      <c r="W4239" s="82"/>
      <c r="X4239" s="82"/>
      <c r="Y4239" s="82"/>
      <c r="Z4239" s="82"/>
      <c r="AA4239" s="82"/>
      <c r="AB4239" s="82"/>
      <c r="AC4239" s="82"/>
      <c r="AD4239" s="82"/>
      <c r="AE4239" s="82"/>
      <c r="AF4239" s="82"/>
      <c r="AG4239" s="82"/>
      <c r="AH4239" s="82"/>
      <c r="AI4239" s="82"/>
      <c r="AJ4239" s="82"/>
      <c r="AK4239" s="82"/>
      <c r="AL4239" s="82"/>
      <c r="AM4239" s="82"/>
      <c r="AN4239" s="82">
        <f>IFERROR(__xludf.DUMMYFUNCTION("""COMPUTED_VALUE"""),0.0)</f>
        <v>0</v>
      </c>
      <c r="AO4239" s="82">
        <f>IFERROR(__xludf.DUMMYFUNCTION("""COMPUTED_VALUE"""),0.0)</f>
        <v>0</v>
      </c>
      <c r="AP4239" s="82">
        <f>IFERROR(__xludf.DUMMYFUNCTION("""COMPUTED_VALUE"""),0.0)</f>
        <v>0</v>
      </c>
      <c r="AQ4239" s="82">
        <f>IFERROR(__xludf.DUMMYFUNCTION("""COMPUTED_VALUE"""),0.0)</f>
        <v>0</v>
      </c>
      <c r="AR4239" s="82">
        <f>IFERROR(__xludf.DUMMYFUNCTION("""COMPUTED_VALUE"""),0.0)</f>
        <v>0</v>
      </c>
      <c r="AS4239" s="82"/>
      <c r="AT4239" s="82">
        <f>IFERROR(__xludf.DUMMYFUNCTION("""COMPUTED_VALUE"""),0.0)</f>
        <v>0</v>
      </c>
      <c r="AU4239" s="82"/>
      <c r="AV4239" s="82"/>
      <c r="AW4239" s="82" t="str">
        <f t="shared" si="1"/>
        <v/>
      </c>
      <c r="AX4239" s="83" t="str">
        <f t="array" ref="AX4239">IFERROR(DGET('SBV Import'!A:G,"SBV",{"RSC ID","Tier";B4239,A4239}))</f>
        <v/>
      </c>
      <c r="AY4239" s="82" t="str">
        <f t="shared" si="2"/>
        <v/>
      </c>
      <c r="AZ4239" s="82"/>
      <c r="BA4239" s="84" t="s">
        <v>152</v>
      </c>
      <c r="BB4239" s="84" t="str">
        <f>IFERROR(__xludf.DUMMYFUNCTION("iferror(if(A4239="""",,E4239&gt;=FILTER(Constants!$F$2:$F$10,Constants!$A$2:$A$10=A4239)))"),"")</f>
        <v/>
      </c>
    </row>
    <row r="4240">
      <c r="A4240" s="89"/>
      <c r="B4240" s="87"/>
      <c r="C4240" s="73"/>
      <c r="D4240" s="73"/>
      <c r="E4240" s="82"/>
      <c r="F4240" s="82"/>
      <c r="G4240" s="86"/>
      <c r="H4240" s="86"/>
      <c r="I4240" s="86"/>
      <c r="J4240" s="82"/>
      <c r="K4240" s="82"/>
      <c r="L4240" s="82"/>
      <c r="M4240" s="82"/>
      <c r="N4240" s="82"/>
      <c r="O4240" s="82"/>
      <c r="P4240" s="82"/>
      <c r="Q4240" s="82"/>
      <c r="R4240" s="82"/>
      <c r="S4240" s="82"/>
      <c r="T4240" s="82"/>
      <c r="U4240" s="82"/>
      <c r="V4240" s="82"/>
      <c r="W4240" s="82"/>
      <c r="X4240" s="82"/>
      <c r="Y4240" s="82"/>
      <c r="Z4240" s="82"/>
      <c r="AA4240" s="82"/>
      <c r="AB4240" s="82"/>
      <c r="AC4240" s="82"/>
      <c r="AD4240" s="82"/>
      <c r="AE4240" s="82"/>
      <c r="AF4240" s="82"/>
      <c r="AG4240" s="82"/>
      <c r="AH4240" s="82"/>
      <c r="AI4240" s="82"/>
      <c r="AJ4240" s="82"/>
      <c r="AK4240" s="82"/>
      <c r="AL4240" s="82"/>
      <c r="AM4240" s="82"/>
      <c r="AN4240" s="82">
        <f>IFERROR(__xludf.DUMMYFUNCTION("""COMPUTED_VALUE"""),0.0)</f>
        <v>0</v>
      </c>
      <c r="AO4240" s="82">
        <f>IFERROR(__xludf.DUMMYFUNCTION("""COMPUTED_VALUE"""),0.0)</f>
        <v>0</v>
      </c>
      <c r="AP4240" s="82">
        <f>IFERROR(__xludf.DUMMYFUNCTION("""COMPUTED_VALUE"""),0.0)</f>
        <v>0</v>
      </c>
      <c r="AQ4240" s="82">
        <f>IFERROR(__xludf.DUMMYFUNCTION("""COMPUTED_VALUE"""),0.0)</f>
        <v>0</v>
      </c>
      <c r="AR4240" s="82">
        <f>IFERROR(__xludf.DUMMYFUNCTION("""COMPUTED_VALUE"""),0.0)</f>
        <v>0</v>
      </c>
      <c r="AS4240" s="82"/>
      <c r="AT4240" s="82">
        <f>IFERROR(__xludf.DUMMYFUNCTION("""COMPUTED_VALUE"""),0.0)</f>
        <v>0</v>
      </c>
      <c r="AU4240" s="82"/>
      <c r="AV4240" s="82"/>
      <c r="AW4240" s="82" t="str">
        <f t="shared" si="1"/>
        <v/>
      </c>
      <c r="AX4240" s="83" t="str">
        <f t="array" ref="AX4240">IFERROR(DGET('SBV Import'!A:G,"SBV",{"RSC ID","Tier";B4240,A4240}))</f>
        <v/>
      </c>
      <c r="AY4240" s="82" t="str">
        <f t="shared" si="2"/>
        <v/>
      </c>
      <c r="AZ4240" s="82"/>
      <c r="BA4240" s="84" t="s">
        <v>152</v>
      </c>
      <c r="BB4240" s="84" t="str">
        <f>IFERROR(__xludf.DUMMYFUNCTION("iferror(if(A4240="""",,E4240&gt;=FILTER(Constants!$F$2:$F$10,Constants!$A$2:$A$10=A4240)))"),"")</f>
        <v/>
      </c>
    </row>
    <row r="4241">
      <c r="A4241" s="89"/>
      <c r="B4241" s="87"/>
      <c r="C4241" s="73"/>
      <c r="D4241" s="73"/>
      <c r="E4241" s="82"/>
      <c r="F4241" s="82"/>
      <c r="G4241" s="86"/>
      <c r="H4241" s="86"/>
      <c r="I4241" s="86"/>
      <c r="J4241" s="82"/>
      <c r="K4241" s="82"/>
      <c r="L4241" s="82"/>
      <c r="M4241" s="82"/>
      <c r="N4241" s="82"/>
      <c r="O4241" s="82"/>
      <c r="P4241" s="82"/>
      <c r="Q4241" s="82"/>
      <c r="R4241" s="82"/>
      <c r="S4241" s="82"/>
      <c r="T4241" s="82"/>
      <c r="U4241" s="82"/>
      <c r="V4241" s="82"/>
      <c r="W4241" s="82"/>
      <c r="X4241" s="82"/>
      <c r="Y4241" s="82"/>
      <c r="Z4241" s="82"/>
      <c r="AA4241" s="82"/>
      <c r="AB4241" s="82"/>
      <c r="AC4241" s="82"/>
      <c r="AD4241" s="82"/>
      <c r="AE4241" s="82"/>
      <c r="AF4241" s="82"/>
      <c r="AG4241" s="82"/>
      <c r="AH4241" s="82"/>
      <c r="AI4241" s="82"/>
      <c r="AJ4241" s="82"/>
      <c r="AK4241" s="82"/>
      <c r="AL4241" s="82"/>
      <c r="AM4241" s="82"/>
      <c r="AN4241" s="82">
        <f>IFERROR(__xludf.DUMMYFUNCTION("""COMPUTED_VALUE"""),0.0)</f>
        <v>0</v>
      </c>
      <c r="AO4241" s="82">
        <f>IFERROR(__xludf.DUMMYFUNCTION("""COMPUTED_VALUE"""),0.0)</f>
        <v>0</v>
      </c>
      <c r="AP4241" s="82">
        <f>IFERROR(__xludf.DUMMYFUNCTION("""COMPUTED_VALUE"""),0.0)</f>
        <v>0</v>
      </c>
      <c r="AQ4241" s="82">
        <f>IFERROR(__xludf.DUMMYFUNCTION("""COMPUTED_VALUE"""),0.0)</f>
        <v>0</v>
      </c>
      <c r="AR4241" s="82">
        <f>IFERROR(__xludf.DUMMYFUNCTION("""COMPUTED_VALUE"""),0.0)</f>
        <v>0</v>
      </c>
      <c r="AS4241" s="82"/>
      <c r="AT4241" s="82">
        <f>IFERROR(__xludf.DUMMYFUNCTION("""COMPUTED_VALUE"""),0.0)</f>
        <v>0</v>
      </c>
      <c r="AU4241" s="82"/>
      <c r="AV4241" s="82"/>
      <c r="AW4241" s="82" t="str">
        <f t="shared" si="1"/>
        <v/>
      </c>
      <c r="AX4241" s="83" t="str">
        <f t="array" ref="AX4241">IFERROR(DGET('SBV Import'!A:G,"SBV",{"RSC ID","Tier";B4241,A4241}))</f>
        <v/>
      </c>
      <c r="AY4241" s="82" t="str">
        <f t="shared" si="2"/>
        <v/>
      </c>
      <c r="AZ4241" s="82"/>
      <c r="BA4241" s="84" t="s">
        <v>152</v>
      </c>
      <c r="BB4241" s="84" t="str">
        <f>IFERROR(__xludf.DUMMYFUNCTION("iferror(if(A4241="""",,E4241&gt;=FILTER(Constants!$F$2:$F$10,Constants!$A$2:$A$10=A4241)))"),"")</f>
        <v/>
      </c>
    </row>
    <row r="4242">
      <c r="A4242" s="89"/>
      <c r="B4242" s="87"/>
      <c r="C4242" s="73"/>
      <c r="D4242" s="73"/>
      <c r="E4242" s="82"/>
      <c r="F4242" s="82"/>
      <c r="G4242" s="86"/>
      <c r="H4242" s="86"/>
      <c r="I4242" s="86"/>
      <c r="J4242" s="82"/>
      <c r="K4242" s="82"/>
      <c r="L4242" s="82"/>
      <c r="M4242" s="82"/>
      <c r="N4242" s="82"/>
      <c r="O4242" s="82"/>
      <c r="P4242" s="82"/>
      <c r="Q4242" s="82"/>
      <c r="R4242" s="82"/>
      <c r="S4242" s="82"/>
      <c r="T4242" s="82"/>
      <c r="U4242" s="82"/>
      <c r="V4242" s="82"/>
      <c r="W4242" s="82"/>
      <c r="X4242" s="82"/>
      <c r="Y4242" s="82"/>
      <c r="Z4242" s="82"/>
      <c r="AA4242" s="82"/>
      <c r="AB4242" s="82"/>
      <c r="AC4242" s="82"/>
      <c r="AD4242" s="82"/>
      <c r="AE4242" s="82"/>
      <c r="AF4242" s="82"/>
      <c r="AG4242" s="82"/>
      <c r="AH4242" s="82"/>
      <c r="AI4242" s="82"/>
      <c r="AJ4242" s="82"/>
      <c r="AK4242" s="82"/>
      <c r="AL4242" s="82"/>
      <c r="AM4242" s="82"/>
      <c r="AN4242" s="82">
        <f>IFERROR(__xludf.DUMMYFUNCTION("""COMPUTED_VALUE"""),0.0)</f>
        <v>0</v>
      </c>
      <c r="AO4242" s="82">
        <f>IFERROR(__xludf.DUMMYFUNCTION("""COMPUTED_VALUE"""),0.0)</f>
        <v>0</v>
      </c>
      <c r="AP4242" s="82">
        <f>IFERROR(__xludf.DUMMYFUNCTION("""COMPUTED_VALUE"""),0.0)</f>
        <v>0</v>
      </c>
      <c r="AQ4242" s="82">
        <f>IFERROR(__xludf.DUMMYFUNCTION("""COMPUTED_VALUE"""),0.0)</f>
        <v>0</v>
      </c>
      <c r="AR4242" s="82">
        <f>IFERROR(__xludf.DUMMYFUNCTION("""COMPUTED_VALUE"""),0.0)</f>
        <v>0</v>
      </c>
      <c r="AS4242" s="82"/>
      <c r="AT4242" s="82">
        <f>IFERROR(__xludf.DUMMYFUNCTION("""COMPUTED_VALUE"""),0.0)</f>
        <v>0</v>
      </c>
      <c r="AU4242" s="82"/>
      <c r="AV4242" s="82"/>
      <c r="AW4242" s="82" t="str">
        <f t="shared" si="1"/>
        <v/>
      </c>
      <c r="AX4242" s="83" t="str">
        <f t="array" ref="AX4242">IFERROR(DGET('SBV Import'!A:G,"SBV",{"RSC ID","Tier";B4242,A4242}))</f>
        <v/>
      </c>
      <c r="AY4242" s="82" t="str">
        <f t="shared" si="2"/>
        <v/>
      </c>
      <c r="AZ4242" s="82"/>
      <c r="BA4242" s="84" t="s">
        <v>152</v>
      </c>
      <c r="BB4242" s="84" t="str">
        <f>IFERROR(__xludf.DUMMYFUNCTION("iferror(if(A4242="""",,E4242&gt;=FILTER(Constants!$F$2:$F$10,Constants!$A$2:$A$10=A4242)))"),"")</f>
        <v/>
      </c>
    </row>
    <row r="4243">
      <c r="A4243" s="89"/>
      <c r="B4243" s="87"/>
      <c r="C4243" s="73"/>
      <c r="D4243" s="73"/>
      <c r="E4243" s="82"/>
      <c r="F4243" s="82"/>
      <c r="G4243" s="86"/>
      <c r="H4243" s="86"/>
      <c r="I4243" s="86"/>
      <c r="J4243" s="82"/>
      <c r="K4243" s="82"/>
      <c r="L4243" s="82"/>
      <c r="M4243" s="82"/>
      <c r="N4243" s="82"/>
      <c r="O4243" s="82"/>
      <c r="P4243" s="82"/>
      <c r="Q4243" s="82"/>
      <c r="R4243" s="82"/>
      <c r="S4243" s="82"/>
      <c r="T4243" s="82"/>
      <c r="U4243" s="82"/>
      <c r="V4243" s="82"/>
      <c r="W4243" s="82"/>
      <c r="X4243" s="82"/>
      <c r="Y4243" s="82"/>
      <c r="Z4243" s="82"/>
      <c r="AA4243" s="82"/>
      <c r="AB4243" s="82"/>
      <c r="AC4243" s="82"/>
      <c r="AD4243" s="82"/>
      <c r="AE4243" s="82"/>
      <c r="AF4243" s="82"/>
      <c r="AG4243" s="82"/>
      <c r="AH4243" s="82"/>
      <c r="AI4243" s="82"/>
      <c r="AJ4243" s="82"/>
      <c r="AK4243" s="82"/>
      <c r="AL4243" s="82"/>
      <c r="AM4243" s="82"/>
      <c r="AN4243" s="82">
        <f>IFERROR(__xludf.DUMMYFUNCTION("""COMPUTED_VALUE"""),0.0)</f>
        <v>0</v>
      </c>
      <c r="AO4243" s="82">
        <f>IFERROR(__xludf.DUMMYFUNCTION("""COMPUTED_VALUE"""),0.0)</f>
        <v>0</v>
      </c>
      <c r="AP4243" s="82">
        <f>IFERROR(__xludf.DUMMYFUNCTION("""COMPUTED_VALUE"""),0.0)</f>
        <v>0</v>
      </c>
      <c r="AQ4243" s="82">
        <f>IFERROR(__xludf.DUMMYFUNCTION("""COMPUTED_VALUE"""),0.0)</f>
        <v>0</v>
      </c>
      <c r="AR4243" s="82">
        <f>IFERROR(__xludf.DUMMYFUNCTION("""COMPUTED_VALUE"""),0.0)</f>
        <v>0</v>
      </c>
      <c r="AS4243" s="82"/>
      <c r="AT4243" s="82">
        <f>IFERROR(__xludf.DUMMYFUNCTION("""COMPUTED_VALUE"""),0.0)</f>
        <v>0</v>
      </c>
      <c r="AU4243" s="82"/>
      <c r="AV4243" s="82"/>
      <c r="AW4243" s="82" t="str">
        <f t="shared" si="1"/>
        <v/>
      </c>
      <c r="AX4243" s="83" t="str">
        <f t="array" ref="AX4243">IFERROR(DGET('SBV Import'!A:G,"SBV",{"RSC ID","Tier";B4243,A4243}))</f>
        <v/>
      </c>
      <c r="AY4243" s="82" t="str">
        <f t="shared" si="2"/>
        <v/>
      </c>
      <c r="AZ4243" s="82"/>
      <c r="BA4243" s="84" t="s">
        <v>152</v>
      </c>
      <c r="BB4243" s="84" t="str">
        <f>IFERROR(__xludf.DUMMYFUNCTION("iferror(if(A4243="""",,E4243&gt;=FILTER(Constants!$F$2:$F$10,Constants!$A$2:$A$10=A4243)))"),"")</f>
        <v/>
      </c>
    </row>
    <row r="4244">
      <c r="A4244" s="89"/>
      <c r="B4244" s="87"/>
      <c r="C4244" s="73"/>
      <c r="D4244" s="73"/>
      <c r="E4244" s="82"/>
      <c r="F4244" s="82"/>
      <c r="G4244" s="86"/>
      <c r="H4244" s="86"/>
      <c r="I4244" s="86"/>
      <c r="J4244" s="82"/>
      <c r="K4244" s="82"/>
      <c r="L4244" s="82"/>
      <c r="M4244" s="82"/>
      <c r="N4244" s="82"/>
      <c r="O4244" s="82"/>
      <c r="P4244" s="82"/>
      <c r="Q4244" s="82"/>
      <c r="R4244" s="82"/>
      <c r="S4244" s="82"/>
      <c r="T4244" s="82"/>
      <c r="U4244" s="82"/>
      <c r="V4244" s="82"/>
      <c r="W4244" s="82"/>
      <c r="X4244" s="82"/>
      <c r="Y4244" s="82"/>
      <c r="Z4244" s="82"/>
      <c r="AA4244" s="82"/>
      <c r="AB4244" s="82"/>
      <c r="AC4244" s="82"/>
      <c r="AD4244" s="82"/>
      <c r="AE4244" s="82"/>
      <c r="AF4244" s="82"/>
      <c r="AG4244" s="82"/>
      <c r="AH4244" s="82"/>
      <c r="AI4244" s="82"/>
      <c r="AJ4244" s="82"/>
      <c r="AK4244" s="82"/>
      <c r="AL4244" s="82"/>
      <c r="AM4244" s="82"/>
      <c r="AN4244" s="82">
        <f>IFERROR(__xludf.DUMMYFUNCTION("""COMPUTED_VALUE"""),0.0)</f>
        <v>0</v>
      </c>
      <c r="AO4244" s="82">
        <f>IFERROR(__xludf.DUMMYFUNCTION("""COMPUTED_VALUE"""),0.0)</f>
        <v>0</v>
      </c>
      <c r="AP4244" s="82">
        <f>IFERROR(__xludf.DUMMYFUNCTION("""COMPUTED_VALUE"""),0.0)</f>
        <v>0</v>
      </c>
      <c r="AQ4244" s="82">
        <f>IFERROR(__xludf.DUMMYFUNCTION("""COMPUTED_VALUE"""),0.0)</f>
        <v>0</v>
      </c>
      <c r="AR4244" s="82">
        <f>IFERROR(__xludf.DUMMYFUNCTION("""COMPUTED_VALUE"""),0.0)</f>
        <v>0</v>
      </c>
      <c r="AS4244" s="82"/>
      <c r="AT4244" s="82">
        <f>IFERROR(__xludf.DUMMYFUNCTION("""COMPUTED_VALUE"""),0.0)</f>
        <v>0</v>
      </c>
      <c r="AU4244" s="82"/>
      <c r="AV4244" s="82"/>
      <c r="AW4244" s="82" t="str">
        <f t="shared" si="1"/>
        <v/>
      </c>
      <c r="AX4244" s="83" t="str">
        <f t="array" ref="AX4244">IFERROR(DGET('SBV Import'!A:G,"SBV",{"RSC ID","Tier";B4244,A4244}))</f>
        <v/>
      </c>
      <c r="AY4244" s="82" t="str">
        <f t="shared" si="2"/>
        <v/>
      </c>
      <c r="AZ4244" s="82"/>
      <c r="BA4244" s="84" t="s">
        <v>152</v>
      </c>
      <c r="BB4244" s="84" t="str">
        <f>IFERROR(__xludf.DUMMYFUNCTION("iferror(if(A4244="""",,E4244&gt;=FILTER(Constants!$F$2:$F$10,Constants!$A$2:$A$10=A4244)))"),"")</f>
        <v/>
      </c>
    </row>
    <row r="4245">
      <c r="A4245" s="89"/>
      <c r="B4245" s="87"/>
      <c r="C4245" s="73"/>
      <c r="D4245" s="73"/>
      <c r="E4245" s="82"/>
      <c r="F4245" s="82"/>
      <c r="G4245" s="86"/>
      <c r="H4245" s="86"/>
      <c r="I4245" s="86"/>
      <c r="J4245" s="82"/>
      <c r="K4245" s="82"/>
      <c r="L4245" s="82"/>
      <c r="M4245" s="82"/>
      <c r="N4245" s="82"/>
      <c r="O4245" s="82"/>
      <c r="P4245" s="82"/>
      <c r="Q4245" s="82"/>
      <c r="R4245" s="82"/>
      <c r="S4245" s="82"/>
      <c r="T4245" s="82"/>
      <c r="U4245" s="82"/>
      <c r="V4245" s="82"/>
      <c r="W4245" s="82"/>
      <c r="X4245" s="82"/>
      <c r="Y4245" s="82"/>
      <c r="Z4245" s="82"/>
      <c r="AA4245" s="82"/>
      <c r="AB4245" s="82"/>
      <c r="AC4245" s="82"/>
      <c r="AD4245" s="82"/>
      <c r="AE4245" s="82"/>
      <c r="AF4245" s="82"/>
      <c r="AG4245" s="82"/>
      <c r="AH4245" s="82"/>
      <c r="AI4245" s="82"/>
      <c r="AJ4245" s="82"/>
      <c r="AK4245" s="82"/>
      <c r="AL4245" s="82"/>
      <c r="AM4245" s="82"/>
      <c r="AN4245" s="82">
        <f>IFERROR(__xludf.DUMMYFUNCTION("""COMPUTED_VALUE"""),0.0)</f>
        <v>0</v>
      </c>
      <c r="AO4245" s="82">
        <f>IFERROR(__xludf.DUMMYFUNCTION("""COMPUTED_VALUE"""),0.0)</f>
        <v>0</v>
      </c>
      <c r="AP4245" s="82">
        <f>IFERROR(__xludf.DUMMYFUNCTION("""COMPUTED_VALUE"""),0.0)</f>
        <v>0</v>
      </c>
      <c r="AQ4245" s="82">
        <f>IFERROR(__xludf.DUMMYFUNCTION("""COMPUTED_VALUE"""),0.0)</f>
        <v>0</v>
      </c>
      <c r="AR4245" s="82">
        <f>IFERROR(__xludf.DUMMYFUNCTION("""COMPUTED_VALUE"""),0.0)</f>
        <v>0</v>
      </c>
      <c r="AS4245" s="82"/>
      <c r="AT4245" s="82">
        <f>IFERROR(__xludf.DUMMYFUNCTION("""COMPUTED_VALUE"""),0.0)</f>
        <v>0</v>
      </c>
      <c r="AU4245" s="82"/>
      <c r="AV4245" s="82"/>
      <c r="AW4245" s="82" t="str">
        <f t="shared" si="1"/>
        <v/>
      </c>
      <c r="AX4245" s="83" t="str">
        <f t="array" ref="AX4245">IFERROR(DGET('SBV Import'!A:G,"SBV",{"RSC ID","Tier";B4245,A4245}))</f>
        <v/>
      </c>
      <c r="AY4245" s="82" t="str">
        <f t="shared" si="2"/>
        <v/>
      </c>
      <c r="AZ4245" s="82"/>
      <c r="BA4245" s="84" t="s">
        <v>152</v>
      </c>
      <c r="BB4245" s="84" t="str">
        <f>IFERROR(__xludf.DUMMYFUNCTION("iferror(if(A4245="""",,E4245&gt;=FILTER(Constants!$F$2:$F$10,Constants!$A$2:$A$10=A4245)))"),"")</f>
        <v/>
      </c>
    </row>
    <row r="4246">
      <c r="A4246" s="89"/>
      <c r="B4246" s="87"/>
      <c r="C4246" s="73"/>
      <c r="D4246" s="73"/>
      <c r="E4246" s="82"/>
      <c r="F4246" s="82"/>
      <c r="G4246" s="86"/>
      <c r="H4246" s="86"/>
      <c r="I4246" s="86"/>
      <c r="J4246" s="82"/>
      <c r="K4246" s="82"/>
      <c r="L4246" s="82"/>
      <c r="M4246" s="82"/>
      <c r="N4246" s="82"/>
      <c r="O4246" s="82"/>
      <c r="P4246" s="82"/>
      <c r="Q4246" s="82"/>
      <c r="R4246" s="82"/>
      <c r="S4246" s="82"/>
      <c r="T4246" s="82"/>
      <c r="U4246" s="82"/>
      <c r="V4246" s="82"/>
      <c r="W4246" s="82"/>
      <c r="X4246" s="82"/>
      <c r="Y4246" s="82"/>
      <c r="Z4246" s="82"/>
      <c r="AA4246" s="82"/>
      <c r="AB4246" s="82"/>
      <c r="AC4246" s="82"/>
      <c r="AD4246" s="82"/>
      <c r="AE4246" s="82"/>
      <c r="AF4246" s="82"/>
      <c r="AG4246" s="82"/>
      <c r="AH4246" s="82"/>
      <c r="AI4246" s="82"/>
      <c r="AJ4246" s="82"/>
      <c r="AK4246" s="82"/>
      <c r="AL4246" s="82"/>
      <c r="AM4246" s="82"/>
      <c r="AN4246" s="82">
        <f>IFERROR(__xludf.DUMMYFUNCTION("""COMPUTED_VALUE"""),0.0)</f>
        <v>0</v>
      </c>
      <c r="AO4246" s="82">
        <f>IFERROR(__xludf.DUMMYFUNCTION("""COMPUTED_VALUE"""),0.0)</f>
        <v>0</v>
      </c>
      <c r="AP4246" s="82">
        <f>IFERROR(__xludf.DUMMYFUNCTION("""COMPUTED_VALUE"""),0.0)</f>
        <v>0</v>
      </c>
      <c r="AQ4246" s="82">
        <f>IFERROR(__xludf.DUMMYFUNCTION("""COMPUTED_VALUE"""),0.0)</f>
        <v>0</v>
      </c>
      <c r="AR4246" s="82">
        <f>IFERROR(__xludf.DUMMYFUNCTION("""COMPUTED_VALUE"""),0.0)</f>
        <v>0</v>
      </c>
      <c r="AS4246" s="82"/>
      <c r="AT4246" s="82">
        <f>IFERROR(__xludf.DUMMYFUNCTION("""COMPUTED_VALUE"""),0.0)</f>
        <v>0</v>
      </c>
      <c r="AU4246" s="82"/>
      <c r="AV4246" s="82"/>
      <c r="AW4246" s="82" t="str">
        <f t="shared" si="1"/>
        <v/>
      </c>
      <c r="AX4246" s="83" t="str">
        <f t="array" ref="AX4246">IFERROR(DGET('SBV Import'!A:G,"SBV",{"RSC ID","Tier";B4246,A4246}))</f>
        <v/>
      </c>
      <c r="AY4246" s="82" t="str">
        <f t="shared" si="2"/>
        <v/>
      </c>
      <c r="AZ4246" s="82"/>
      <c r="BA4246" s="84" t="s">
        <v>152</v>
      </c>
      <c r="BB4246" s="84" t="str">
        <f>IFERROR(__xludf.DUMMYFUNCTION("iferror(if(A4246="""",,E4246&gt;=FILTER(Constants!$F$2:$F$10,Constants!$A$2:$A$10=A4246)))"),"")</f>
        <v/>
      </c>
    </row>
    <row r="4247">
      <c r="A4247" s="89"/>
      <c r="B4247" s="87"/>
      <c r="C4247" s="73"/>
      <c r="D4247" s="73"/>
      <c r="E4247" s="82"/>
      <c r="F4247" s="82"/>
      <c r="G4247" s="86"/>
      <c r="H4247" s="86"/>
      <c r="I4247" s="86"/>
      <c r="J4247" s="82"/>
      <c r="K4247" s="82"/>
      <c r="L4247" s="82"/>
      <c r="M4247" s="82"/>
      <c r="N4247" s="82"/>
      <c r="O4247" s="82"/>
      <c r="P4247" s="82"/>
      <c r="Q4247" s="82"/>
      <c r="R4247" s="82"/>
      <c r="S4247" s="82"/>
      <c r="T4247" s="82"/>
      <c r="U4247" s="82"/>
      <c r="V4247" s="82"/>
      <c r="W4247" s="82"/>
      <c r="X4247" s="82"/>
      <c r="Y4247" s="82"/>
      <c r="Z4247" s="82"/>
      <c r="AA4247" s="82"/>
      <c r="AB4247" s="82"/>
      <c r="AC4247" s="82"/>
      <c r="AD4247" s="82"/>
      <c r="AE4247" s="82"/>
      <c r="AF4247" s="82"/>
      <c r="AG4247" s="82"/>
      <c r="AH4247" s="82"/>
      <c r="AI4247" s="82"/>
      <c r="AJ4247" s="82"/>
      <c r="AK4247" s="82"/>
      <c r="AL4247" s="82"/>
      <c r="AM4247" s="82"/>
      <c r="AN4247" s="82">
        <f>IFERROR(__xludf.DUMMYFUNCTION("""COMPUTED_VALUE"""),0.0)</f>
        <v>0</v>
      </c>
      <c r="AO4247" s="82">
        <f>IFERROR(__xludf.DUMMYFUNCTION("""COMPUTED_VALUE"""),0.0)</f>
        <v>0</v>
      </c>
      <c r="AP4247" s="82">
        <f>IFERROR(__xludf.DUMMYFUNCTION("""COMPUTED_VALUE"""),0.0)</f>
        <v>0</v>
      </c>
      <c r="AQ4247" s="82">
        <f>IFERROR(__xludf.DUMMYFUNCTION("""COMPUTED_VALUE"""),0.0)</f>
        <v>0</v>
      </c>
      <c r="AR4247" s="82">
        <f>IFERROR(__xludf.DUMMYFUNCTION("""COMPUTED_VALUE"""),0.0)</f>
        <v>0</v>
      </c>
      <c r="AS4247" s="82"/>
      <c r="AT4247" s="82">
        <f>IFERROR(__xludf.DUMMYFUNCTION("""COMPUTED_VALUE"""),0.0)</f>
        <v>0</v>
      </c>
      <c r="AU4247" s="82"/>
      <c r="AV4247" s="82"/>
      <c r="AW4247" s="82" t="str">
        <f t="shared" si="1"/>
        <v/>
      </c>
      <c r="AX4247" s="83" t="str">
        <f t="array" ref="AX4247">IFERROR(DGET('SBV Import'!A:G,"SBV",{"RSC ID","Tier";B4247,A4247}))</f>
        <v/>
      </c>
      <c r="AY4247" s="82" t="str">
        <f t="shared" si="2"/>
        <v/>
      </c>
      <c r="AZ4247" s="82"/>
      <c r="BA4247" s="84" t="s">
        <v>152</v>
      </c>
      <c r="BB4247" s="84" t="str">
        <f>IFERROR(__xludf.DUMMYFUNCTION("iferror(if(A4247="""",,E4247&gt;=FILTER(Constants!$F$2:$F$10,Constants!$A$2:$A$10=A4247)))"),"")</f>
        <v/>
      </c>
    </row>
    <row r="4248">
      <c r="A4248" s="89"/>
      <c r="B4248" s="87"/>
      <c r="C4248" s="73"/>
      <c r="D4248" s="73"/>
      <c r="E4248" s="82"/>
      <c r="F4248" s="82"/>
      <c r="G4248" s="86"/>
      <c r="H4248" s="86"/>
      <c r="I4248" s="86"/>
      <c r="J4248" s="82"/>
      <c r="K4248" s="82"/>
      <c r="L4248" s="82"/>
      <c r="M4248" s="82"/>
      <c r="N4248" s="82"/>
      <c r="O4248" s="82"/>
      <c r="P4248" s="82"/>
      <c r="Q4248" s="82"/>
      <c r="R4248" s="82"/>
      <c r="S4248" s="82"/>
      <c r="T4248" s="82"/>
      <c r="U4248" s="82"/>
      <c r="V4248" s="82"/>
      <c r="W4248" s="82"/>
      <c r="X4248" s="82"/>
      <c r="Y4248" s="82"/>
      <c r="Z4248" s="82"/>
      <c r="AA4248" s="82"/>
      <c r="AB4248" s="82"/>
      <c r="AC4248" s="82"/>
      <c r="AD4248" s="82"/>
      <c r="AE4248" s="82"/>
      <c r="AF4248" s="82"/>
      <c r="AG4248" s="82"/>
      <c r="AH4248" s="82"/>
      <c r="AI4248" s="82"/>
      <c r="AJ4248" s="82"/>
      <c r="AK4248" s="82"/>
      <c r="AL4248" s="82"/>
      <c r="AM4248" s="82"/>
      <c r="AN4248" s="82">
        <f>IFERROR(__xludf.DUMMYFUNCTION("""COMPUTED_VALUE"""),0.0)</f>
        <v>0</v>
      </c>
      <c r="AO4248" s="82">
        <f>IFERROR(__xludf.DUMMYFUNCTION("""COMPUTED_VALUE"""),0.0)</f>
        <v>0</v>
      </c>
      <c r="AP4248" s="82">
        <f>IFERROR(__xludf.DUMMYFUNCTION("""COMPUTED_VALUE"""),0.0)</f>
        <v>0</v>
      </c>
      <c r="AQ4248" s="82">
        <f>IFERROR(__xludf.DUMMYFUNCTION("""COMPUTED_VALUE"""),0.0)</f>
        <v>0</v>
      </c>
      <c r="AR4248" s="82">
        <f>IFERROR(__xludf.DUMMYFUNCTION("""COMPUTED_VALUE"""),0.0)</f>
        <v>0</v>
      </c>
      <c r="AS4248" s="82"/>
      <c r="AT4248" s="82">
        <f>IFERROR(__xludf.DUMMYFUNCTION("""COMPUTED_VALUE"""),0.0)</f>
        <v>0</v>
      </c>
      <c r="AU4248" s="82"/>
      <c r="AV4248" s="82"/>
      <c r="AW4248" s="82" t="str">
        <f t="shared" si="1"/>
        <v/>
      </c>
      <c r="AX4248" s="83" t="str">
        <f t="array" ref="AX4248">IFERROR(DGET('SBV Import'!A:G,"SBV",{"RSC ID","Tier";B4248,A4248}))</f>
        <v/>
      </c>
      <c r="AY4248" s="82" t="str">
        <f t="shared" si="2"/>
        <v/>
      </c>
      <c r="AZ4248" s="82"/>
      <c r="BA4248" s="84" t="s">
        <v>152</v>
      </c>
      <c r="BB4248" s="84" t="str">
        <f>IFERROR(__xludf.DUMMYFUNCTION("iferror(if(A4248="""",,E4248&gt;=FILTER(Constants!$F$2:$F$10,Constants!$A$2:$A$10=A4248)))"),"")</f>
        <v/>
      </c>
    </row>
    <row r="4249">
      <c r="A4249" s="89"/>
      <c r="B4249" s="87"/>
      <c r="C4249" s="73"/>
      <c r="D4249" s="73"/>
      <c r="E4249" s="82"/>
      <c r="F4249" s="82"/>
      <c r="G4249" s="86"/>
      <c r="H4249" s="86"/>
      <c r="I4249" s="86"/>
      <c r="J4249" s="82"/>
      <c r="K4249" s="82"/>
      <c r="L4249" s="82"/>
      <c r="M4249" s="82"/>
      <c r="N4249" s="82"/>
      <c r="O4249" s="82"/>
      <c r="P4249" s="82"/>
      <c r="Q4249" s="82"/>
      <c r="R4249" s="82"/>
      <c r="S4249" s="82"/>
      <c r="T4249" s="82"/>
      <c r="U4249" s="82"/>
      <c r="V4249" s="82"/>
      <c r="W4249" s="82"/>
      <c r="X4249" s="82"/>
      <c r="Y4249" s="82"/>
      <c r="Z4249" s="82"/>
      <c r="AA4249" s="82"/>
      <c r="AB4249" s="82"/>
      <c r="AC4249" s="82"/>
      <c r="AD4249" s="82"/>
      <c r="AE4249" s="82"/>
      <c r="AF4249" s="82"/>
      <c r="AG4249" s="82"/>
      <c r="AH4249" s="82"/>
      <c r="AI4249" s="82"/>
      <c r="AJ4249" s="82"/>
      <c r="AK4249" s="82"/>
      <c r="AL4249" s="82"/>
      <c r="AM4249" s="82"/>
      <c r="AN4249" s="82">
        <f>IFERROR(__xludf.DUMMYFUNCTION("""COMPUTED_VALUE"""),0.0)</f>
        <v>0</v>
      </c>
      <c r="AO4249" s="82">
        <f>IFERROR(__xludf.DUMMYFUNCTION("""COMPUTED_VALUE"""),0.0)</f>
        <v>0</v>
      </c>
      <c r="AP4249" s="82">
        <f>IFERROR(__xludf.DUMMYFUNCTION("""COMPUTED_VALUE"""),0.0)</f>
        <v>0</v>
      </c>
      <c r="AQ4249" s="82">
        <f>IFERROR(__xludf.DUMMYFUNCTION("""COMPUTED_VALUE"""),0.0)</f>
        <v>0</v>
      </c>
      <c r="AR4249" s="82">
        <f>IFERROR(__xludf.DUMMYFUNCTION("""COMPUTED_VALUE"""),0.0)</f>
        <v>0</v>
      </c>
      <c r="AS4249" s="82"/>
      <c r="AT4249" s="82">
        <f>IFERROR(__xludf.DUMMYFUNCTION("""COMPUTED_VALUE"""),0.0)</f>
        <v>0</v>
      </c>
      <c r="AU4249" s="82"/>
      <c r="AV4249" s="82"/>
      <c r="AW4249" s="82" t="str">
        <f t="shared" si="1"/>
        <v/>
      </c>
      <c r="AX4249" s="83" t="str">
        <f t="array" ref="AX4249">IFERROR(DGET('SBV Import'!A:G,"SBV",{"RSC ID","Tier";B4249,A4249}))</f>
        <v/>
      </c>
      <c r="AY4249" s="82" t="str">
        <f t="shared" si="2"/>
        <v/>
      </c>
      <c r="AZ4249" s="82"/>
      <c r="BA4249" s="84" t="s">
        <v>152</v>
      </c>
      <c r="BB4249" s="84" t="str">
        <f>IFERROR(__xludf.DUMMYFUNCTION("iferror(if(A4249="""",,E4249&gt;=FILTER(Constants!$F$2:$F$10,Constants!$A$2:$A$10=A4249)))"),"")</f>
        <v/>
      </c>
    </row>
    <row r="4250">
      <c r="A4250" s="89"/>
      <c r="B4250" s="87"/>
      <c r="C4250" s="73"/>
      <c r="D4250" s="73"/>
      <c r="E4250" s="82"/>
      <c r="F4250" s="82"/>
      <c r="G4250" s="86"/>
      <c r="H4250" s="86"/>
      <c r="I4250" s="86"/>
      <c r="J4250" s="82"/>
      <c r="K4250" s="82"/>
      <c r="L4250" s="82"/>
      <c r="M4250" s="82"/>
      <c r="N4250" s="82"/>
      <c r="O4250" s="82"/>
      <c r="P4250" s="82"/>
      <c r="Q4250" s="82"/>
      <c r="R4250" s="82"/>
      <c r="S4250" s="82"/>
      <c r="T4250" s="82"/>
      <c r="U4250" s="82"/>
      <c r="V4250" s="82"/>
      <c r="W4250" s="82"/>
      <c r="X4250" s="82"/>
      <c r="Y4250" s="82"/>
      <c r="Z4250" s="82"/>
      <c r="AA4250" s="82"/>
      <c r="AB4250" s="82"/>
      <c r="AC4250" s="82"/>
      <c r="AD4250" s="82"/>
      <c r="AE4250" s="82"/>
      <c r="AF4250" s="82"/>
      <c r="AG4250" s="82"/>
      <c r="AH4250" s="82"/>
      <c r="AI4250" s="82"/>
      <c r="AJ4250" s="82"/>
      <c r="AK4250" s="82"/>
      <c r="AL4250" s="82"/>
      <c r="AM4250" s="82"/>
      <c r="AN4250" s="82">
        <f>IFERROR(__xludf.DUMMYFUNCTION("""COMPUTED_VALUE"""),0.0)</f>
        <v>0</v>
      </c>
      <c r="AO4250" s="82">
        <f>IFERROR(__xludf.DUMMYFUNCTION("""COMPUTED_VALUE"""),0.0)</f>
        <v>0</v>
      </c>
      <c r="AP4250" s="82">
        <f>IFERROR(__xludf.DUMMYFUNCTION("""COMPUTED_VALUE"""),0.0)</f>
        <v>0</v>
      </c>
      <c r="AQ4250" s="82">
        <f>IFERROR(__xludf.DUMMYFUNCTION("""COMPUTED_VALUE"""),0.0)</f>
        <v>0</v>
      </c>
      <c r="AR4250" s="82">
        <f>IFERROR(__xludf.DUMMYFUNCTION("""COMPUTED_VALUE"""),0.0)</f>
        <v>0</v>
      </c>
      <c r="AS4250" s="82"/>
      <c r="AT4250" s="82">
        <f>IFERROR(__xludf.DUMMYFUNCTION("""COMPUTED_VALUE"""),0.0)</f>
        <v>0</v>
      </c>
      <c r="AU4250" s="82"/>
      <c r="AV4250" s="82"/>
      <c r="AW4250" s="82" t="str">
        <f t="shared" si="1"/>
        <v/>
      </c>
      <c r="AX4250" s="83" t="str">
        <f t="array" ref="AX4250">IFERROR(DGET('SBV Import'!A:G,"SBV",{"RSC ID","Tier";B4250,A4250}))</f>
        <v/>
      </c>
      <c r="AY4250" s="82" t="str">
        <f t="shared" si="2"/>
        <v/>
      </c>
      <c r="AZ4250" s="82"/>
      <c r="BA4250" s="84" t="s">
        <v>152</v>
      </c>
      <c r="BB4250" s="84" t="str">
        <f>IFERROR(__xludf.DUMMYFUNCTION("iferror(if(A4250="""",,E4250&gt;=FILTER(Constants!$F$2:$F$10,Constants!$A$2:$A$10=A4250)))"),"")</f>
        <v/>
      </c>
    </row>
    <row r="4251">
      <c r="A4251" s="89"/>
      <c r="B4251" s="87"/>
      <c r="C4251" s="73"/>
      <c r="D4251" s="73"/>
      <c r="E4251" s="82"/>
      <c r="F4251" s="82"/>
      <c r="G4251" s="86"/>
      <c r="H4251" s="86"/>
      <c r="I4251" s="86"/>
      <c r="J4251" s="82"/>
      <c r="K4251" s="82"/>
      <c r="L4251" s="82"/>
      <c r="M4251" s="82"/>
      <c r="N4251" s="82"/>
      <c r="O4251" s="82"/>
      <c r="P4251" s="82"/>
      <c r="Q4251" s="82"/>
      <c r="R4251" s="82"/>
      <c r="S4251" s="82"/>
      <c r="T4251" s="82"/>
      <c r="U4251" s="82"/>
      <c r="V4251" s="82"/>
      <c r="W4251" s="82"/>
      <c r="X4251" s="82"/>
      <c r="Y4251" s="82"/>
      <c r="Z4251" s="82"/>
      <c r="AA4251" s="82"/>
      <c r="AB4251" s="82"/>
      <c r="AC4251" s="82"/>
      <c r="AD4251" s="82"/>
      <c r="AE4251" s="82"/>
      <c r="AF4251" s="82"/>
      <c r="AG4251" s="82"/>
      <c r="AH4251" s="82"/>
      <c r="AI4251" s="82"/>
      <c r="AJ4251" s="82"/>
      <c r="AK4251" s="82"/>
      <c r="AL4251" s="82"/>
      <c r="AM4251" s="82"/>
      <c r="AN4251" s="82">
        <f>IFERROR(__xludf.DUMMYFUNCTION("""COMPUTED_VALUE"""),0.0)</f>
        <v>0</v>
      </c>
      <c r="AO4251" s="82">
        <f>IFERROR(__xludf.DUMMYFUNCTION("""COMPUTED_VALUE"""),0.0)</f>
        <v>0</v>
      </c>
      <c r="AP4251" s="82">
        <f>IFERROR(__xludf.DUMMYFUNCTION("""COMPUTED_VALUE"""),0.0)</f>
        <v>0</v>
      </c>
      <c r="AQ4251" s="82">
        <f>IFERROR(__xludf.DUMMYFUNCTION("""COMPUTED_VALUE"""),0.0)</f>
        <v>0</v>
      </c>
      <c r="AR4251" s="82">
        <f>IFERROR(__xludf.DUMMYFUNCTION("""COMPUTED_VALUE"""),0.0)</f>
        <v>0</v>
      </c>
      <c r="AS4251" s="82"/>
      <c r="AT4251" s="82">
        <f>IFERROR(__xludf.DUMMYFUNCTION("""COMPUTED_VALUE"""),0.0)</f>
        <v>0</v>
      </c>
      <c r="AU4251" s="82"/>
      <c r="AV4251" s="82"/>
      <c r="AW4251" s="82" t="str">
        <f t="shared" si="1"/>
        <v/>
      </c>
      <c r="AX4251" s="83" t="str">
        <f t="array" ref="AX4251">IFERROR(DGET('SBV Import'!A:G,"SBV",{"RSC ID","Tier";B4251,A4251}))</f>
        <v/>
      </c>
      <c r="AY4251" s="82" t="str">
        <f t="shared" si="2"/>
        <v/>
      </c>
      <c r="AZ4251" s="82"/>
      <c r="BA4251" s="84" t="s">
        <v>152</v>
      </c>
      <c r="BB4251" s="84" t="str">
        <f>IFERROR(__xludf.DUMMYFUNCTION("iferror(if(A4251="""",,E4251&gt;=FILTER(Constants!$F$2:$F$10,Constants!$A$2:$A$10=A4251)))"),"")</f>
        <v/>
      </c>
    </row>
    <row r="4252">
      <c r="A4252" s="89"/>
      <c r="B4252" s="87"/>
      <c r="C4252" s="73"/>
      <c r="D4252" s="73"/>
      <c r="E4252" s="82"/>
      <c r="F4252" s="82"/>
      <c r="G4252" s="86"/>
      <c r="H4252" s="86"/>
      <c r="I4252" s="86"/>
      <c r="J4252" s="82"/>
      <c r="K4252" s="82"/>
      <c r="L4252" s="82"/>
      <c r="M4252" s="82"/>
      <c r="N4252" s="82"/>
      <c r="O4252" s="82"/>
      <c r="P4252" s="82"/>
      <c r="Q4252" s="82"/>
      <c r="R4252" s="82"/>
      <c r="S4252" s="82"/>
      <c r="T4252" s="82"/>
      <c r="U4252" s="82"/>
      <c r="V4252" s="82"/>
      <c r="W4252" s="82"/>
      <c r="X4252" s="82"/>
      <c r="Y4252" s="82"/>
      <c r="Z4252" s="82"/>
      <c r="AA4252" s="82"/>
      <c r="AB4252" s="82"/>
      <c r="AC4252" s="82"/>
      <c r="AD4252" s="82"/>
      <c r="AE4252" s="82"/>
      <c r="AF4252" s="82"/>
      <c r="AG4252" s="82"/>
      <c r="AH4252" s="82"/>
      <c r="AI4252" s="82"/>
      <c r="AJ4252" s="82"/>
      <c r="AK4252" s="82"/>
      <c r="AL4252" s="82"/>
      <c r="AM4252" s="82"/>
      <c r="AN4252" s="82">
        <f>IFERROR(__xludf.DUMMYFUNCTION("""COMPUTED_VALUE"""),0.0)</f>
        <v>0</v>
      </c>
      <c r="AO4252" s="82">
        <f>IFERROR(__xludf.DUMMYFUNCTION("""COMPUTED_VALUE"""),0.0)</f>
        <v>0</v>
      </c>
      <c r="AP4252" s="82">
        <f>IFERROR(__xludf.DUMMYFUNCTION("""COMPUTED_VALUE"""),0.0)</f>
        <v>0</v>
      </c>
      <c r="AQ4252" s="82">
        <f>IFERROR(__xludf.DUMMYFUNCTION("""COMPUTED_VALUE"""),0.0)</f>
        <v>0</v>
      </c>
      <c r="AR4252" s="82">
        <f>IFERROR(__xludf.DUMMYFUNCTION("""COMPUTED_VALUE"""),0.0)</f>
        <v>0</v>
      </c>
      <c r="AS4252" s="82"/>
      <c r="AT4252" s="82">
        <f>IFERROR(__xludf.DUMMYFUNCTION("""COMPUTED_VALUE"""),0.0)</f>
        <v>0</v>
      </c>
      <c r="AU4252" s="82"/>
      <c r="AV4252" s="82"/>
      <c r="AW4252" s="82" t="str">
        <f t="shared" si="1"/>
        <v/>
      </c>
      <c r="AX4252" s="83" t="str">
        <f t="array" ref="AX4252">IFERROR(DGET('SBV Import'!A:G,"SBV",{"RSC ID","Tier";B4252,A4252}))</f>
        <v/>
      </c>
      <c r="AY4252" s="82" t="str">
        <f t="shared" si="2"/>
        <v/>
      </c>
      <c r="AZ4252" s="82"/>
      <c r="BA4252" s="84" t="s">
        <v>152</v>
      </c>
      <c r="BB4252" s="84" t="str">
        <f>IFERROR(__xludf.DUMMYFUNCTION("iferror(if(A4252="""",,E4252&gt;=FILTER(Constants!$F$2:$F$10,Constants!$A$2:$A$10=A4252)))"),"")</f>
        <v/>
      </c>
    </row>
    <row r="4253">
      <c r="A4253" s="89"/>
      <c r="B4253" s="87"/>
      <c r="C4253" s="73"/>
      <c r="D4253" s="73"/>
      <c r="E4253" s="82"/>
      <c r="F4253" s="82"/>
      <c r="G4253" s="86"/>
      <c r="H4253" s="86"/>
      <c r="I4253" s="86"/>
      <c r="J4253" s="82"/>
      <c r="K4253" s="82"/>
      <c r="L4253" s="82"/>
      <c r="M4253" s="82"/>
      <c r="N4253" s="82"/>
      <c r="O4253" s="82"/>
      <c r="P4253" s="82"/>
      <c r="Q4253" s="82"/>
      <c r="R4253" s="82"/>
      <c r="S4253" s="82"/>
      <c r="T4253" s="82"/>
      <c r="U4253" s="82"/>
      <c r="V4253" s="82"/>
      <c r="W4253" s="82"/>
      <c r="X4253" s="82"/>
      <c r="Y4253" s="82"/>
      <c r="Z4253" s="82"/>
      <c r="AA4253" s="82"/>
      <c r="AB4253" s="82"/>
      <c r="AC4253" s="82"/>
      <c r="AD4253" s="82"/>
      <c r="AE4253" s="82"/>
      <c r="AF4253" s="82"/>
      <c r="AG4253" s="82"/>
      <c r="AH4253" s="82"/>
      <c r="AI4253" s="82"/>
      <c r="AJ4253" s="82"/>
      <c r="AK4253" s="82"/>
      <c r="AL4253" s="82"/>
      <c r="AM4253" s="82"/>
      <c r="AN4253" s="82">
        <f>IFERROR(__xludf.DUMMYFUNCTION("""COMPUTED_VALUE"""),0.0)</f>
        <v>0</v>
      </c>
      <c r="AO4253" s="82">
        <f>IFERROR(__xludf.DUMMYFUNCTION("""COMPUTED_VALUE"""),0.0)</f>
        <v>0</v>
      </c>
      <c r="AP4253" s="82">
        <f>IFERROR(__xludf.DUMMYFUNCTION("""COMPUTED_VALUE"""),0.0)</f>
        <v>0</v>
      </c>
      <c r="AQ4253" s="82">
        <f>IFERROR(__xludf.DUMMYFUNCTION("""COMPUTED_VALUE"""),0.0)</f>
        <v>0</v>
      </c>
      <c r="AR4253" s="82">
        <f>IFERROR(__xludf.DUMMYFUNCTION("""COMPUTED_VALUE"""),0.0)</f>
        <v>0</v>
      </c>
      <c r="AS4253" s="82"/>
      <c r="AT4253" s="82">
        <f>IFERROR(__xludf.DUMMYFUNCTION("""COMPUTED_VALUE"""),0.0)</f>
        <v>0</v>
      </c>
      <c r="AU4253" s="82"/>
      <c r="AV4253" s="82"/>
      <c r="AW4253" s="82" t="str">
        <f t="shared" si="1"/>
        <v/>
      </c>
      <c r="AX4253" s="83" t="str">
        <f t="array" ref="AX4253">IFERROR(DGET('SBV Import'!A:G,"SBV",{"RSC ID","Tier";B4253,A4253}))</f>
        <v/>
      </c>
      <c r="AY4253" s="82" t="str">
        <f t="shared" si="2"/>
        <v/>
      </c>
      <c r="AZ4253" s="82"/>
      <c r="BA4253" s="84" t="s">
        <v>152</v>
      </c>
      <c r="BB4253" s="84" t="str">
        <f>IFERROR(__xludf.DUMMYFUNCTION("iferror(if(A4253="""",,E4253&gt;=FILTER(Constants!$F$2:$F$10,Constants!$A$2:$A$10=A4253)))"),"")</f>
        <v/>
      </c>
    </row>
    <row r="4254">
      <c r="A4254" s="89"/>
      <c r="B4254" s="87"/>
      <c r="C4254" s="73"/>
      <c r="D4254" s="73"/>
      <c r="E4254" s="82"/>
      <c r="F4254" s="82"/>
      <c r="G4254" s="86"/>
      <c r="H4254" s="86"/>
      <c r="I4254" s="86"/>
      <c r="J4254" s="82"/>
      <c r="K4254" s="82"/>
      <c r="L4254" s="82"/>
      <c r="M4254" s="82"/>
      <c r="N4254" s="82"/>
      <c r="O4254" s="82"/>
      <c r="P4254" s="82"/>
      <c r="Q4254" s="82"/>
      <c r="R4254" s="82"/>
      <c r="S4254" s="82"/>
      <c r="T4254" s="82"/>
      <c r="U4254" s="82"/>
      <c r="V4254" s="82"/>
      <c r="W4254" s="82"/>
      <c r="X4254" s="82"/>
      <c r="Y4254" s="82"/>
      <c r="Z4254" s="82"/>
      <c r="AA4254" s="82"/>
      <c r="AB4254" s="82"/>
      <c r="AC4254" s="82"/>
      <c r="AD4254" s="82"/>
      <c r="AE4254" s="82"/>
      <c r="AF4254" s="82"/>
      <c r="AG4254" s="82"/>
      <c r="AH4254" s="82"/>
      <c r="AI4254" s="82"/>
      <c r="AJ4254" s="82"/>
      <c r="AK4254" s="82"/>
      <c r="AL4254" s="82"/>
      <c r="AM4254" s="82"/>
      <c r="AN4254" s="82">
        <f>IFERROR(__xludf.DUMMYFUNCTION("""COMPUTED_VALUE"""),0.0)</f>
        <v>0</v>
      </c>
      <c r="AO4254" s="82">
        <f>IFERROR(__xludf.DUMMYFUNCTION("""COMPUTED_VALUE"""),0.0)</f>
        <v>0</v>
      </c>
      <c r="AP4254" s="82">
        <f>IFERROR(__xludf.DUMMYFUNCTION("""COMPUTED_VALUE"""),0.0)</f>
        <v>0</v>
      </c>
      <c r="AQ4254" s="82">
        <f>IFERROR(__xludf.DUMMYFUNCTION("""COMPUTED_VALUE"""),0.0)</f>
        <v>0</v>
      </c>
      <c r="AR4254" s="82">
        <f>IFERROR(__xludf.DUMMYFUNCTION("""COMPUTED_VALUE"""),0.0)</f>
        <v>0</v>
      </c>
      <c r="AS4254" s="82"/>
      <c r="AT4254" s="82">
        <f>IFERROR(__xludf.DUMMYFUNCTION("""COMPUTED_VALUE"""),0.0)</f>
        <v>0</v>
      </c>
      <c r="AU4254" s="82"/>
      <c r="AV4254" s="82"/>
      <c r="AW4254" s="82" t="str">
        <f t="shared" si="1"/>
        <v/>
      </c>
      <c r="AX4254" s="83" t="str">
        <f t="array" ref="AX4254">IFERROR(DGET('SBV Import'!A:G,"SBV",{"RSC ID","Tier";B4254,A4254}))</f>
        <v/>
      </c>
      <c r="AY4254" s="82" t="str">
        <f t="shared" si="2"/>
        <v/>
      </c>
      <c r="AZ4254" s="82"/>
      <c r="BA4254" s="84" t="s">
        <v>152</v>
      </c>
      <c r="BB4254" s="84" t="str">
        <f>IFERROR(__xludf.DUMMYFUNCTION("iferror(if(A4254="""",,E4254&gt;=FILTER(Constants!$F$2:$F$10,Constants!$A$2:$A$10=A4254)))"),"")</f>
        <v/>
      </c>
    </row>
    <row r="4255">
      <c r="A4255" s="89"/>
      <c r="B4255" s="87"/>
      <c r="C4255" s="73"/>
      <c r="D4255" s="73"/>
      <c r="E4255" s="82"/>
      <c r="F4255" s="82"/>
      <c r="G4255" s="86"/>
      <c r="H4255" s="86"/>
      <c r="I4255" s="86"/>
      <c r="J4255" s="82"/>
      <c r="K4255" s="82"/>
      <c r="L4255" s="82"/>
      <c r="M4255" s="82"/>
      <c r="N4255" s="82"/>
      <c r="O4255" s="82"/>
      <c r="P4255" s="82"/>
      <c r="Q4255" s="82"/>
      <c r="R4255" s="82"/>
      <c r="S4255" s="82"/>
      <c r="T4255" s="82"/>
      <c r="U4255" s="82"/>
      <c r="V4255" s="82"/>
      <c r="W4255" s="82"/>
      <c r="X4255" s="82"/>
      <c r="Y4255" s="82"/>
      <c r="Z4255" s="82"/>
      <c r="AA4255" s="82"/>
      <c r="AB4255" s="82"/>
      <c r="AC4255" s="82"/>
      <c r="AD4255" s="82"/>
      <c r="AE4255" s="82"/>
      <c r="AF4255" s="82"/>
      <c r="AG4255" s="82"/>
      <c r="AH4255" s="82"/>
      <c r="AI4255" s="82"/>
      <c r="AJ4255" s="82"/>
      <c r="AK4255" s="82"/>
      <c r="AL4255" s="82"/>
      <c r="AM4255" s="82"/>
      <c r="AN4255" s="82">
        <f>IFERROR(__xludf.DUMMYFUNCTION("""COMPUTED_VALUE"""),0.0)</f>
        <v>0</v>
      </c>
      <c r="AO4255" s="82">
        <f>IFERROR(__xludf.DUMMYFUNCTION("""COMPUTED_VALUE"""),0.0)</f>
        <v>0</v>
      </c>
      <c r="AP4255" s="82">
        <f>IFERROR(__xludf.DUMMYFUNCTION("""COMPUTED_VALUE"""),0.0)</f>
        <v>0</v>
      </c>
      <c r="AQ4255" s="82">
        <f>IFERROR(__xludf.DUMMYFUNCTION("""COMPUTED_VALUE"""),0.0)</f>
        <v>0</v>
      </c>
      <c r="AR4255" s="82">
        <f>IFERROR(__xludf.DUMMYFUNCTION("""COMPUTED_VALUE"""),0.0)</f>
        <v>0</v>
      </c>
      <c r="AS4255" s="82"/>
      <c r="AT4255" s="82">
        <f>IFERROR(__xludf.DUMMYFUNCTION("""COMPUTED_VALUE"""),0.0)</f>
        <v>0</v>
      </c>
      <c r="AU4255" s="82"/>
      <c r="AV4255" s="82"/>
      <c r="AW4255" s="82" t="str">
        <f t="shared" si="1"/>
        <v/>
      </c>
      <c r="AX4255" s="83" t="str">
        <f t="array" ref="AX4255">IFERROR(DGET('SBV Import'!A:G,"SBV",{"RSC ID","Tier";B4255,A4255}))</f>
        <v/>
      </c>
      <c r="AY4255" s="82" t="str">
        <f t="shared" si="2"/>
        <v/>
      </c>
      <c r="AZ4255" s="82"/>
      <c r="BA4255" s="84" t="s">
        <v>152</v>
      </c>
      <c r="BB4255" s="84" t="str">
        <f>IFERROR(__xludf.DUMMYFUNCTION("iferror(if(A4255="""",,E4255&gt;=FILTER(Constants!$F$2:$F$10,Constants!$A$2:$A$10=A4255)))"),"")</f>
        <v/>
      </c>
    </row>
    <row r="4256">
      <c r="A4256" s="89"/>
      <c r="B4256" s="87"/>
      <c r="C4256" s="73"/>
      <c r="D4256" s="73"/>
      <c r="E4256" s="82"/>
      <c r="F4256" s="82"/>
      <c r="G4256" s="86"/>
      <c r="H4256" s="86"/>
      <c r="I4256" s="86"/>
      <c r="J4256" s="82"/>
      <c r="K4256" s="82"/>
      <c r="L4256" s="82"/>
      <c r="M4256" s="82"/>
      <c r="N4256" s="82"/>
      <c r="O4256" s="82"/>
      <c r="P4256" s="82"/>
      <c r="Q4256" s="82"/>
      <c r="R4256" s="82"/>
      <c r="S4256" s="82"/>
      <c r="T4256" s="82"/>
      <c r="U4256" s="82"/>
      <c r="V4256" s="82"/>
      <c r="W4256" s="82"/>
      <c r="X4256" s="82"/>
      <c r="Y4256" s="82"/>
      <c r="Z4256" s="82"/>
      <c r="AA4256" s="82"/>
      <c r="AB4256" s="82"/>
      <c r="AC4256" s="82"/>
      <c r="AD4256" s="82"/>
      <c r="AE4256" s="82"/>
      <c r="AF4256" s="82"/>
      <c r="AG4256" s="82"/>
      <c r="AH4256" s="82"/>
      <c r="AI4256" s="82"/>
      <c r="AJ4256" s="82"/>
      <c r="AK4256" s="82"/>
      <c r="AL4256" s="82"/>
      <c r="AM4256" s="82"/>
      <c r="AN4256" s="82">
        <f>IFERROR(__xludf.DUMMYFUNCTION("""COMPUTED_VALUE"""),0.0)</f>
        <v>0</v>
      </c>
      <c r="AO4256" s="82">
        <f>IFERROR(__xludf.DUMMYFUNCTION("""COMPUTED_VALUE"""),0.0)</f>
        <v>0</v>
      </c>
      <c r="AP4256" s="82">
        <f>IFERROR(__xludf.DUMMYFUNCTION("""COMPUTED_VALUE"""),0.0)</f>
        <v>0</v>
      </c>
      <c r="AQ4256" s="82">
        <f>IFERROR(__xludf.DUMMYFUNCTION("""COMPUTED_VALUE"""),0.0)</f>
        <v>0</v>
      </c>
      <c r="AR4256" s="82">
        <f>IFERROR(__xludf.DUMMYFUNCTION("""COMPUTED_VALUE"""),0.0)</f>
        <v>0</v>
      </c>
      <c r="AS4256" s="82"/>
      <c r="AT4256" s="82">
        <f>IFERROR(__xludf.DUMMYFUNCTION("""COMPUTED_VALUE"""),0.0)</f>
        <v>0</v>
      </c>
      <c r="AU4256" s="82"/>
      <c r="AV4256" s="82"/>
      <c r="AW4256" s="82" t="str">
        <f t="shared" si="1"/>
        <v/>
      </c>
      <c r="AX4256" s="83" t="str">
        <f t="array" ref="AX4256">IFERROR(DGET('SBV Import'!A:G,"SBV",{"RSC ID","Tier";B4256,A4256}))</f>
        <v/>
      </c>
      <c r="AY4256" s="82" t="str">
        <f t="shared" si="2"/>
        <v/>
      </c>
      <c r="AZ4256" s="82"/>
      <c r="BA4256" s="84" t="s">
        <v>152</v>
      </c>
      <c r="BB4256" s="84" t="str">
        <f>IFERROR(__xludf.DUMMYFUNCTION("iferror(if(A4256="""",,E4256&gt;=FILTER(Constants!$F$2:$F$10,Constants!$A$2:$A$10=A4256)))"),"")</f>
        <v/>
      </c>
    </row>
    <row r="4257">
      <c r="A4257" s="89"/>
      <c r="B4257" s="87"/>
      <c r="C4257" s="73"/>
      <c r="D4257" s="73"/>
      <c r="E4257" s="82"/>
      <c r="F4257" s="82"/>
      <c r="G4257" s="86"/>
      <c r="H4257" s="86"/>
      <c r="I4257" s="86"/>
      <c r="J4257" s="82"/>
      <c r="K4257" s="82"/>
      <c r="L4257" s="82"/>
      <c r="M4257" s="82"/>
      <c r="N4257" s="82"/>
      <c r="O4257" s="82"/>
      <c r="P4257" s="82"/>
      <c r="Q4257" s="82"/>
      <c r="R4257" s="82"/>
      <c r="S4257" s="82"/>
      <c r="T4257" s="82"/>
      <c r="U4257" s="82"/>
      <c r="V4257" s="82"/>
      <c r="W4257" s="82"/>
      <c r="X4257" s="82"/>
      <c r="Y4257" s="82"/>
      <c r="Z4257" s="82"/>
      <c r="AA4257" s="82"/>
      <c r="AB4257" s="82"/>
      <c r="AC4257" s="82"/>
      <c r="AD4257" s="82"/>
      <c r="AE4257" s="82"/>
      <c r="AF4257" s="82"/>
      <c r="AG4257" s="82"/>
      <c r="AH4257" s="82"/>
      <c r="AI4257" s="82"/>
      <c r="AJ4257" s="82"/>
      <c r="AK4257" s="82"/>
      <c r="AL4257" s="82"/>
      <c r="AM4257" s="82"/>
      <c r="AN4257" s="82">
        <f>IFERROR(__xludf.DUMMYFUNCTION("""COMPUTED_VALUE"""),0.0)</f>
        <v>0</v>
      </c>
      <c r="AO4257" s="82">
        <f>IFERROR(__xludf.DUMMYFUNCTION("""COMPUTED_VALUE"""),0.0)</f>
        <v>0</v>
      </c>
      <c r="AP4257" s="82">
        <f>IFERROR(__xludf.DUMMYFUNCTION("""COMPUTED_VALUE"""),0.0)</f>
        <v>0</v>
      </c>
      <c r="AQ4257" s="82">
        <f>IFERROR(__xludf.DUMMYFUNCTION("""COMPUTED_VALUE"""),0.0)</f>
        <v>0</v>
      </c>
      <c r="AR4257" s="82">
        <f>IFERROR(__xludf.DUMMYFUNCTION("""COMPUTED_VALUE"""),0.0)</f>
        <v>0</v>
      </c>
      <c r="AS4257" s="82"/>
      <c r="AT4257" s="82">
        <f>IFERROR(__xludf.DUMMYFUNCTION("""COMPUTED_VALUE"""),0.0)</f>
        <v>0</v>
      </c>
      <c r="AU4257" s="82"/>
      <c r="AV4257" s="82"/>
      <c r="AW4257" s="82" t="str">
        <f t="shared" si="1"/>
        <v/>
      </c>
      <c r="AX4257" s="83" t="str">
        <f t="array" ref="AX4257">IFERROR(DGET('SBV Import'!A:G,"SBV",{"RSC ID","Tier";B4257,A4257}))</f>
        <v/>
      </c>
      <c r="AY4257" s="82" t="str">
        <f t="shared" si="2"/>
        <v/>
      </c>
      <c r="AZ4257" s="82"/>
      <c r="BA4257" s="84" t="s">
        <v>152</v>
      </c>
      <c r="BB4257" s="84" t="str">
        <f>IFERROR(__xludf.DUMMYFUNCTION("iferror(if(A4257="""",,E4257&gt;=FILTER(Constants!$F$2:$F$10,Constants!$A$2:$A$10=A4257)))"),"")</f>
        <v/>
      </c>
    </row>
    <row r="4258">
      <c r="A4258" s="89"/>
      <c r="B4258" s="87"/>
      <c r="C4258" s="73"/>
      <c r="D4258" s="73"/>
      <c r="E4258" s="82"/>
      <c r="F4258" s="82"/>
      <c r="G4258" s="86"/>
      <c r="H4258" s="86"/>
      <c r="I4258" s="86"/>
      <c r="J4258" s="82"/>
      <c r="K4258" s="82"/>
      <c r="L4258" s="82"/>
      <c r="M4258" s="82"/>
      <c r="N4258" s="82"/>
      <c r="O4258" s="82"/>
      <c r="P4258" s="82"/>
      <c r="Q4258" s="82"/>
      <c r="R4258" s="82"/>
      <c r="S4258" s="82"/>
      <c r="T4258" s="82"/>
      <c r="U4258" s="82"/>
      <c r="V4258" s="82"/>
      <c r="W4258" s="82"/>
      <c r="X4258" s="82"/>
      <c r="Y4258" s="82"/>
      <c r="Z4258" s="82"/>
      <c r="AA4258" s="82"/>
      <c r="AB4258" s="82"/>
      <c r="AC4258" s="82"/>
      <c r="AD4258" s="82"/>
      <c r="AE4258" s="82"/>
      <c r="AF4258" s="82"/>
      <c r="AG4258" s="82"/>
      <c r="AH4258" s="82"/>
      <c r="AI4258" s="82"/>
      <c r="AJ4258" s="82"/>
      <c r="AK4258" s="82"/>
      <c r="AL4258" s="82"/>
      <c r="AM4258" s="82"/>
      <c r="AN4258" s="82">
        <f>IFERROR(__xludf.DUMMYFUNCTION("""COMPUTED_VALUE"""),0.0)</f>
        <v>0</v>
      </c>
      <c r="AO4258" s="82">
        <f>IFERROR(__xludf.DUMMYFUNCTION("""COMPUTED_VALUE"""),0.0)</f>
        <v>0</v>
      </c>
      <c r="AP4258" s="82">
        <f>IFERROR(__xludf.DUMMYFUNCTION("""COMPUTED_VALUE"""),0.0)</f>
        <v>0</v>
      </c>
      <c r="AQ4258" s="82">
        <f>IFERROR(__xludf.DUMMYFUNCTION("""COMPUTED_VALUE"""),0.0)</f>
        <v>0</v>
      </c>
      <c r="AR4258" s="82">
        <f>IFERROR(__xludf.DUMMYFUNCTION("""COMPUTED_VALUE"""),0.0)</f>
        <v>0</v>
      </c>
      <c r="AS4258" s="82"/>
      <c r="AT4258" s="82">
        <f>IFERROR(__xludf.DUMMYFUNCTION("""COMPUTED_VALUE"""),0.0)</f>
        <v>0</v>
      </c>
      <c r="AU4258" s="82"/>
      <c r="AV4258" s="82"/>
      <c r="AW4258" s="82" t="str">
        <f t="shared" si="1"/>
        <v/>
      </c>
      <c r="AX4258" s="83" t="str">
        <f t="array" ref="AX4258">IFERROR(DGET('SBV Import'!A:G,"SBV",{"RSC ID","Tier";B4258,A4258}))</f>
        <v/>
      </c>
      <c r="AY4258" s="82" t="str">
        <f t="shared" si="2"/>
        <v/>
      </c>
      <c r="AZ4258" s="82"/>
      <c r="BA4258" s="84" t="s">
        <v>152</v>
      </c>
      <c r="BB4258" s="84" t="str">
        <f>IFERROR(__xludf.DUMMYFUNCTION("iferror(if(A4258="""",,E4258&gt;=FILTER(Constants!$F$2:$F$10,Constants!$A$2:$A$10=A4258)))"),"")</f>
        <v/>
      </c>
    </row>
    <row r="4259">
      <c r="A4259" s="89"/>
      <c r="B4259" s="87"/>
      <c r="C4259" s="73"/>
      <c r="D4259" s="73"/>
      <c r="E4259" s="82"/>
      <c r="F4259" s="82"/>
      <c r="G4259" s="86"/>
      <c r="H4259" s="86"/>
      <c r="I4259" s="86"/>
      <c r="J4259" s="82"/>
      <c r="K4259" s="82"/>
      <c r="L4259" s="82"/>
      <c r="M4259" s="82"/>
      <c r="N4259" s="82"/>
      <c r="O4259" s="82"/>
      <c r="P4259" s="82"/>
      <c r="Q4259" s="82"/>
      <c r="R4259" s="82"/>
      <c r="S4259" s="82"/>
      <c r="T4259" s="82"/>
      <c r="U4259" s="82"/>
      <c r="V4259" s="82"/>
      <c r="W4259" s="82"/>
      <c r="X4259" s="82"/>
      <c r="Y4259" s="82"/>
      <c r="Z4259" s="82"/>
      <c r="AA4259" s="82"/>
      <c r="AB4259" s="82"/>
      <c r="AC4259" s="82"/>
      <c r="AD4259" s="82"/>
      <c r="AE4259" s="82"/>
      <c r="AF4259" s="82"/>
      <c r="AG4259" s="82"/>
      <c r="AH4259" s="82"/>
      <c r="AI4259" s="82"/>
      <c r="AJ4259" s="82"/>
      <c r="AK4259" s="82"/>
      <c r="AL4259" s="82"/>
      <c r="AM4259" s="82"/>
      <c r="AN4259" s="82">
        <f>IFERROR(__xludf.DUMMYFUNCTION("""COMPUTED_VALUE"""),0.0)</f>
        <v>0</v>
      </c>
      <c r="AO4259" s="82">
        <f>IFERROR(__xludf.DUMMYFUNCTION("""COMPUTED_VALUE"""),0.0)</f>
        <v>0</v>
      </c>
      <c r="AP4259" s="82">
        <f>IFERROR(__xludf.DUMMYFUNCTION("""COMPUTED_VALUE"""),0.0)</f>
        <v>0</v>
      </c>
      <c r="AQ4259" s="82">
        <f>IFERROR(__xludf.DUMMYFUNCTION("""COMPUTED_VALUE"""),0.0)</f>
        <v>0</v>
      </c>
      <c r="AR4259" s="82">
        <f>IFERROR(__xludf.DUMMYFUNCTION("""COMPUTED_VALUE"""),0.0)</f>
        <v>0</v>
      </c>
      <c r="AS4259" s="82"/>
      <c r="AT4259" s="82">
        <f>IFERROR(__xludf.DUMMYFUNCTION("""COMPUTED_VALUE"""),0.0)</f>
        <v>0</v>
      </c>
      <c r="AU4259" s="82"/>
      <c r="AV4259" s="82"/>
      <c r="AW4259" s="82" t="str">
        <f t="shared" si="1"/>
        <v/>
      </c>
      <c r="AX4259" s="83" t="str">
        <f t="array" ref="AX4259">IFERROR(DGET('SBV Import'!A:G,"SBV",{"RSC ID","Tier";B4259,A4259}))</f>
        <v/>
      </c>
      <c r="AY4259" s="82" t="str">
        <f t="shared" si="2"/>
        <v/>
      </c>
      <c r="AZ4259" s="82"/>
      <c r="BA4259" s="84" t="s">
        <v>152</v>
      </c>
      <c r="BB4259" s="84" t="str">
        <f>IFERROR(__xludf.DUMMYFUNCTION("iferror(if(A4259="""",,E4259&gt;=FILTER(Constants!$F$2:$F$10,Constants!$A$2:$A$10=A4259)))"),"")</f>
        <v/>
      </c>
    </row>
    <row r="4260">
      <c r="A4260" s="89"/>
      <c r="B4260" s="87"/>
      <c r="C4260" s="73"/>
      <c r="D4260" s="73"/>
      <c r="E4260" s="82"/>
      <c r="F4260" s="82"/>
      <c r="G4260" s="86"/>
      <c r="H4260" s="86"/>
      <c r="I4260" s="86"/>
      <c r="J4260" s="82"/>
      <c r="K4260" s="82"/>
      <c r="L4260" s="82"/>
      <c r="M4260" s="82"/>
      <c r="N4260" s="82"/>
      <c r="O4260" s="82"/>
      <c r="P4260" s="82"/>
      <c r="Q4260" s="82"/>
      <c r="R4260" s="82"/>
      <c r="S4260" s="82"/>
      <c r="T4260" s="82"/>
      <c r="U4260" s="82"/>
      <c r="V4260" s="82"/>
      <c r="W4260" s="82"/>
      <c r="X4260" s="82"/>
      <c r="Y4260" s="82"/>
      <c r="Z4260" s="82"/>
      <c r="AA4260" s="82"/>
      <c r="AB4260" s="82"/>
      <c r="AC4260" s="82"/>
      <c r="AD4260" s="82"/>
      <c r="AE4260" s="82"/>
      <c r="AF4260" s="82"/>
      <c r="AG4260" s="82"/>
      <c r="AH4260" s="82"/>
      <c r="AI4260" s="82"/>
      <c r="AJ4260" s="82"/>
      <c r="AK4260" s="82"/>
      <c r="AL4260" s="82"/>
      <c r="AM4260" s="82"/>
      <c r="AN4260" s="82">
        <f>IFERROR(__xludf.DUMMYFUNCTION("""COMPUTED_VALUE"""),0.0)</f>
        <v>0</v>
      </c>
      <c r="AO4260" s="82">
        <f>IFERROR(__xludf.DUMMYFUNCTION("""COMPUTED_VALUE"""),0.0)</f>
        <v>0</v>
      </c>
      <c r="AP4260" s="82">
        <f>IFERROR(__xludf.DUMMYFUNCTION("""COMPUTED_VALUE"""),0.0)</f>
        <v>0</v>
      </c>
      <c r="AQ4260" s="82">
        <f>IFERROR(__xludf.DUMMYFUNCTION("""COMPUTED_VALUE"""),0.0)</f>
        <v>0</v>
      </c>
      <c r="AR4260" s="82">
        <f>IFERROR(__xludf.DUMMYFUNCTION("""COMPUTED_VALUE"""),0.0)</f>
        <v>0</v>
      </c>
      <c r="AS4260" s="82"/>
      <c r="AT4260" s="82">
        <f>IFERROR(__xludf.DUMMYFUNCTION("""COMPUTED_VALUE"""),0.0)</f>
        <v>0</v>
      </c>
      <c r="AU4260" s="82"/>
      <c r="AV4260" s="82"/>
      <c r="AW4260" s="82" t="str">
        <f t="shared" si="1"/>
        <v/>
      </c>
      <c r="AX4260" s="83" t="str">
        <f t="array" ref="AX4260">IFERROR(DGET('SBV Import'!A:G,"SBV",{"RSC ID","Tier";B4260,A4260}))</f>
        <v/>
      </c>
      <c r="AY4260" s="82" t="str">
        <f t="shared" si="2"/>
        <v/>
      </c>
      <c r="AZ4260" s="82"/>
      <c r="BA4260" s="84" t="s">
        <v>152</v>
      </c>
      <c r="BB4260" s="84" t="str">
        <f>IFERROR(__xludf.DUMMYFUNCTION("iferror(if(A4260="""",,E4260&gt;=FILTER(Constants!$F$2:$F$10,Constants!$A$2:$A$10=A4260)))"),"")</f>
        <v/>
      </c>
    </row>
    <row r="4261">
      <c r="A4261" s="89"/>
      <c r="B4261" s="87"/>
      <c r="C4261" s="73"/>
      <c r="D4261" s="73"/>
      <c r="E4261" s="82"/>
      <c r="F4261" s="82"/>
      <c r="G4261" s="86"/>
      <c r="H4261" s="86"/>
      <c r="I4261" s="86"/>
      <c r="J4261" s="82"/>
      <c r="K4261" s="82"/>
      <c r="L4261" s="82"/>
      <c r="M4261" s="82"/>
      <c r="N4261" s="82"/>
      <c r="O4261" s="82"/>
      <c r="P4261" s="82"/>
      <c r="Q4261" s="82"/>
      <c r="R4261" s="82"/>
      <c r="S4261" s="82"/>
      <c r="T4261" s="82"/>
      <c r="U4261" s="82"/>
      <c r="V4261" s="82"/>
      <c r="W4261" s="82"/>
      <c r="X4261" s="82"/>
      <c r="Y4261" s="82"/>
      <c r="Z4261" s="82"/>
      <c r="AA4261" s="82"/>
      <c r="AB4261" s="82"/>
      <c r="AC4261" s="82"/>
      <c r="AD4261" s="82"/>
      <c r="AE4261" s="82"/>
      <c r="AF4261" s="82"/>
      <c r="AG4261" s="82"/>
      <c r="AH4261" s="82"/>
      <c r="AI4261" s="82"/>
      <c r="AJ4261" s="82"/>
      <c r="AK4261" s="82"/>
      <c r="AL4261" s="82"/>
      <c r="AM4261" s="82"/>
      <c r="AN4261" s="82">
        <f>IFERROR(__xludf.DUMMYFUNCTION("""COMPUTED_VALUE"""),0.0)</f>
        <v>0</v>
      </c>
      <c r="AO4261" s="82">
        <f>IFERROR(__xludf.DUMMYFUNCTION("""COMPUTED_VALUE"""),0.0)</f>
        <v>0</v>
      </c>
      <c r="AP4261" s="82">
        <f>IFERROR(__xludf.DUMMYFUNCTION("""COMPUTED_VALUE"""),0.0)</f>
        <v>0</v>
      </c>
      <c r="AQ4261" s="82">
        <f>IFERROR(__xludf.DUMMYFUNCTION("""COMPUTED_VALUE"""),0.0)</f>
        <v>0</v>
      </c>
      <c r="AR4261" s="82">
        <f>IFERROR(__xludf.DUMMYFUNCTION("""COMPUTED_VALUE"""),0.0)</f>
        <v>0</v>
      </c>
      <c r="AS4261" s="82"/>
      <c r="AT4261" s="82">
        <f>IFERROR(__xludf.DUMMYFUNCTION("""COMPUTED_VALUE"""),0.0)</f>
        <v>0</v>
      </c>
      <c r="AU4261" s="82"/>
      <c r="AV4261" s="82"/>
      <c r="AW4261" s="82" t="str">
        <f t="shared" si="1"/>
        <v/>
      </c>
      <c r="AX4261" s="83" t="str">
        <f t="array" ref="AX4261">IFERROR(DGET('SBV Import'!A:G,"SBV",{"RSC ID","Tier";B4261,A4261}))</f>
        <v/>
      </c>
      <c r="AY4261" s="82" t="str">
        <f t="shared" si="2"/>
        <v/>
      </c>
      <c r="AZ4261" s="82"/>
      <c r="BA4261" s="84" t="s">
        <v>152</v>
      </c>
      <c r="BB4261" s="84" t="str">
        <f>IFERROR(__xludf.DUMMYFUNCTION("iferror(if(A4261="""",,E4261&gt;=FILTER(Constants!$F$2:$F$10,Constants!$A$2:$A$10=A4261)))"),"")</f>
        <v/>
      </c>
    </row>
    <row r="4262">
      <c r="A4262" s="89"/>
      <c r="B4262" s="87"/>
      <c r="C4262" s="73"/>
      <c r="D4262" s="73"/>
      <c r="E4262" s="82"/>
      <c r="F4262" s="82"/>
      <c r="G4262" s="86"/>
      <c r="H4262" s="86"/>
      <c r="I4262" s="86"/>
      <c r="J4262" s="82"/>
      <c r="K4262" s="82"/>
      <c r="L4262" s="82"/>
      <c r="M4262" s="82"/>
      <c r="N4262" s="82"/>
      <c r="O4262" s="82"/>
      <c r="P4262" s="82"/>
      <c r="Q4262" s="82"/>
      <c r="R4262" s="82"/>
      <c r="S4262" s="82"/>
      <c r="T4262" s="82"/>
      <c r="U4262" s="82"/>
      <c r="V4262" s="82"/>
      <c r="W4262" s="82"/>
      <c r="X4262" s="82"/>
      <c r="Y4262" s="82"/>
      <c r="Z4262" s="82"/>
      <c r="AA4262" s="82"/>
      <c r="AB4262" s="82"/>
      <c r="AC4262" s="82"/>
      <c r="AD4262" s="82"/>
      <c r="AE4262" s="82"/>
      <c r="AF4262" s="82"/>
      <c r="AG4262" s="82"/>
      <c r="AH4262" s="82"/>
      <c r="AI4262" s="82"/>
      <c r="AJ4262" s="82"/>
      <c r="AK4262" s="82"/>
      <c r="AL4262" s="82"/>
      <c r="AM4262" s="82"/>
      <c r="AN4262" s="82">
        <f>IFERROR(__xludf.DUMMYFUNCTION("""COMPUTED_VALUE"""),0.0)</f>
        <v>0</v>
      </c>
      <c r="AO4262" s="82">
        <f>IFERROR(__xludf.DUMMYFUNCTION("""COMPUTED_VALUE"""),0.0)</f>
        <v>0</v>
      </c>
      <c r="AP4262" s="82">
        <f>IFERROR(__xludf.DUMMYFUNCTION("""COMPUTED_VALUE"""),0.0)</f>
        <v>0</v>
      </c>
      <c r="AQ4262" s="82">
        <f>IFERROR(__xludf.DUMMYFUNCTION("""COMPUTED_VALUE"""),0.0)</f>
        <v>0</v>
      </c>
      <c r="AR4262" s="82">
        <f>IFERROR(__xludf.DUMMYFUNCTION("""COMPUTED_VALUE"""),0.0)</f>
        <v>0</v>
      </c>
      <c r="AS4262" s="82"/>
      <c r="AT4262" s="82">
        <f>IFERROR(__xludf.DUMMYFUNCTION("""COMPUTED_VALUE"""),0.0)</f>
        <v>0</v>
      </c>
      <c r="AU4262" s="82"/>
      <c r="AV4262" s="82"/>
      <c r="AW4262" s="82" t="str">
        <f t="shared" si="1"/>
        <v/>
      </c>
      <c r="AX4262" s="83" t="str">
        <f t="array" ref="AX4262">IFERROR(DGET('SBV Import'!A:G,"SBV",{"RSC ID","Tier";B4262,A4262}))</f>
        <v/>
      </c>
      <c r="AY4262" s="82" t="str">
        <f t="shared" si="2"/>
        <v/>
      </c>
      <c r="AZ4262" s="82"/>
      <c r="BA4262" s="84" t="s">
        <v>152</v>
      </c>
      <c r="BB4262" s="84" t="str">
        <f>IFERROR(__xludf.DUMMYFUNCTION("iferror(if(A4262="""",,E4262&gt;=FILTER(Constants!$F$2:$F$10,Constants!$A$2:$A$10=A4262)))"),"")</f>
        <v/>
      </c>
    </row>
    <row r="4263">
      <c r="A4263" s="89"/>
      <c r="B4263" s="87"/>
      <c r="C4263" s="73"/>
      <c r="D4263" s="73"/>
      <c r="E4263" s="82"/>
      <c r="F4263" s="82"/>
      <c r="G4263" s="86"/>
      <c r="H4263" s="86"/>
      <c r="I4263" s="86"/>
      <c r="J4263" s="82"/>
      <c r="K4263" s="82"/>
      <c r="L4263" s="82"/>
      <c r="M4263" s="82"/>
      <c r="N4263" s="82"/>
      <c r="O4263" s="82"/>
      <c r="P4263" s="82"/>
      <c r="Q4263" s="82"/>
      <c r="R4263" s="82"/>
      <c r="S4263" s="82"/>
      <c r="T4263" s="82"/>
      <c r="U4263" s="82"/>
      <c r="V4263" s="82"/>
      <c r="W4263" s="82"/>
      <c r="X4263" s="82"/>
      <c r="Y4263" s="82"/>
      <c r="Z4263" s="82"/>
      <c r="AA4263" s="82"/>
      <c r="AB4263" s="82"/>
      <c r="AC4263" s="82"/>
      <c r="AD4263" s="82"/>
      <c r="AE4263" s="82"/>
      <c r="AF4263" s="82"/>
      <c r="AG4263" s="82"/>
      <c r="AH4263" s="82"/>
      <c r="AI4263" s="82"/>
      <c r="AJ4263" s="82"/>
      <c r="AK4263" s="82"/>
      <c r="AL4263" s="82"/>
      <c r="AM4263" s="82"/>
      <c r="AN4263" s="82">
        <f>IFERROR(__xludf.DUMMYFUNCTION("""COMPUTED_VALUE"""),0.0)</f>
        <v>0</v>
      </c>
      <c r="AO4263" s="82">
        <f>IFERROR(__xludf.DUMMYFUNCTION("""COMPUTED_VALUE"""),0.0)</f>
        <v>0</v>
      </c>
      <c r="AP4263" s="82">
        <f>IFERROR(__xludf.DUMMYFUNCTION("""COMPUTED_VALUE"""),0.0)</f>
        <v>0</v>
      </c>
      <c r="AQ4263" s="82">
        <f>IFERROR(__xludf.DUMMYFUNCTION("""COMPUTED_VALUE"""),0.0)</f>
        <v>0</v>
      </c>
      <c r="AR4263" s="82">
        <f>IFERROR(__xludf.DUMMYFUNCTION("""COMPUTED_VALUE"""),0.0)</f>
        <v>0</v>
      </c>
      <c r="AS4263" s="82"/>
      <c r="AT4263" s="82">
        <f>IFERROR(__xludf.DUMMYFUNCTION("""COMPUTED_VALUE"""),0.0)</f>
        <v>0</v>
      </c>
      <c r="AU4263" s="82"/>
      <c r="AV4263" s="82"/>
      <c r="AW4263" s="82" t="str">
        <f t="shared" si="1"/>
        <v/>
      </c>
      <c r="AX4263" s="83" t="str">
        <f t="array" ref="AX4263">IFERROR(DGET('SBV Import'!A:G,"SBV",{"RSC ID","Tier";B4263,A4263}))</f>
        <v/>
      </c>
      <c r="AY4263" s="82" t="str">
        <f t="shared" si="2"/>
        <v/>
      </c>
      <c r="AZ4263" s="82"/>
      <c r="BA4263" s="84" t="s">
        <v>152</v>
      </c>
      <c r="BB4263" s="84" t="str">
        <f>IFERROR(__xludf.DUMMYFUNCTION("iferror(if(A4263="""",,E4263&gt;=FILTER(Constants!$F$2:$F$10,Constants!$A$2:$A$10=A4263)))"),"")</f>
        <v/>
      </c>
    </row>
    <row r="4264">
      <c r="A4264" s="89"/>
      <c r="B4264" s="87"/>
      <c r="C4264" s="73"/>
      <c r="D4264" s="73"/>
      <c r="E4264" s="82"/>
      <c r="F4264" s="82"/>
      <c r="G4264" s="86"/>
      <c r="H4264" s="86"/>
      <c r="I4264" s="86"/>
      <c r="J4264" s="82"/>
      <c r="K4264" s="82"/>
      <c r="L4264" s="82"/>
      <c r="M4264" s="82"/>
      <c r="N4264" s="82"/>
      <c r="O4264" s="82"/>
      <c r="P4264" s="82"/>
      <c r="Q4264" s="82"/>
      <c r="R4264" s="82"/>
      <c r="S4264" s="82"/>
      <c r="T4264" s="82"/>
      <c r="U4264" s="82"/>
      <c r="V4264" s="82"/>
      <c r="W4264" s="82"/>
      <c r="X4264" s="82"/>
      <c r="Y4264" s="82"/>
      <c r="Z4264" s="82"/>
      <c r="AA4264" s="82"/>
      <c r="AB4264" s="82"/>
      <c r="AC4264" s="82"/>
      <c r="AD4264" s="82"/>
      <c r="AE4264" s="82"/>
      <c r="AF4264" s="82"/>
      <c r="AG4264" s="82"/>
      <c r="AH4264" s="82"/>
      <c r="AI4264" s="82"/>
      <c r="AJ4264" s="82"/>
      <c r="AK4264" s="82"/>
      <c r="AL4264" s="82"/>
      <c r="AM4264" s="82"/>
      <c r="AN4264" s="82">
        <f>IFERROR(__xludf.DUMMYFUNCTION("""COMPUTED_VALUE"""),0.0)</f>
        <v>0</v>
      </c>
      <c r="AO4264" s="82">
        <f>IFERROR(__xludf.DUMMYFUNCTION("""COMPUTED_VALUE"""),0.0)</f>
        <v>0</v>
      </c>
      <c r="AP4264" s="82">
        <f>IFERROR(__xludf.DUMMYFUNCTION("""COMPUTED_VALUE"""),0.0)</f>
        <v>0</v>
      </c>
      <c r="AQ4264" s="82">
        <f>IFERROR(__xludf.DUMMYFUNCTION("""COMPUTED_VALUE"""),0.0)</f>
        <v>0</v>
      </c>
      <c r="AR4264" s="82">
        <f>IFERROR(__xludf.DUMMYFUNCTION("""COMPUTED_VALUE"""),0.0)</f>
        <v>0</v>
      </c>
      <c r="AS4264" s="82"/>
      <c r="AT4264" s="82">
        <f>IFERROR(__xludf.DUMMYFUNCTION("""COMPUTED_VALUE"""),0.0)</f>
        <v>0</v>
      </c>
      <c r="AU4264" s="82"/>
      <c r="AV4264" s="82"/>
      <c r="AW4264" s="82" t="str">
        <f t="shared" si="1"/>
        <v/>
      </c>
      <c r="AX4264" s="83" t="str">
        <f t="array" ref="AX4264">IFERROR(DGET('SBV Import'!A:G,"SBV",{"RSC ID","Tier";B4264,A4264}))</f>
        <v/>
      </c>
      <c r="AY4264" s="82" t="str">
        <f t="shared" si="2"/>
        <v/>
      </c>
      <c r="AZ4264" s="82"/>
      <c r="BA4264" s="84" t="s">
        <v>152</v>
      </c>
      <c r="BB4264" s="84" t="str">
        <f>IFERROR(__xludf.DUMMYFUNCTION("iferror(if(A4264="""",,E4264&gt;=FILTER(Constants!$F$2:$F$10,Constants!$A$2:$A$10=A4264)))"),"")</f>
        <v/>
      </c>
    </row>
    <row r="4265">
      <c r="A4265" s="89"/>
      <c r="B4265" s="87"/>
      <c r="C4265" s="73"/>
      <c r="D4265" s="73"/>
      <c r="E4265" s="82"/>
      <c r="F4265" s="82"/>
      <c r="G4265" s="86"/>
      <c r="H4265" s="86"/>
      <c r="I4265" s="86"/>
      <c r="J4265" s="82"/>
      <c r="K4265" s="82"/>
      <c r="L4265" s="82"/>
      <c r="M4265" s="82"/>
      <c r="N4265" s="82"/>
      <c r="O4265" s="82"/>
      <c r="P4265" s="82"/>
      <c r="Q4265" s="82"/>
      <c r="R4265" s="82"/>
      <c r="S4265" s="82"/>
      <c r="T4265" s="82"/>
      <c r="U4265" s="82"/>
      <c r="V4265" s="82"/>
      <c r="W4265" s="82"/>
      <c r="X4265" s="82"/>
      <c r="Y4265" s="82"/>
      <c r="Z4265" s="82"/>
      <c r="AA4265" s="82"/>
      <c r="AB4265" s="82"/>
      <c r="AC4265" s="82"/>
      <c r="AD4265" s="82"/>
      <c r="AE4265" s="82"/>
      <c r="AF4265" s="82"/>
      <c r="AG4265" s="82"/>
      <c r="AH4265" s="82"/>
      <c r="AI4265" s="82"/>
      <c r="AJ4265" s="82"/>
      <c r="AK4265" s="82"/>
      <c r="AL4265" s="82"/>
      <c r="AM4265" s="82"/>
      <c r="AN4265" s="82">
        <f>IFERROR(__xludf.DUMMYFUNCTION("""COMPUTED_VALUE"""),0.0)</f>
        <v>0</v>
      </c>
      <c r="AO4265" s="82">
        <f>IFERROR(__xludf.DUMMYFUNCTION("""COMPUTED_VALUE"""),0.0)</f>
        <v>0</v>
      </c>
      <c r="AP4265" s="82">
        <f>IFERROR(__xludf.DUMMYFUNCTION("""COMPUTED_VALUE"""),0.0)</f>
        <v>0</v>
      </c>
      <c r="AQ4265" s="82">
        <f>IFERROR(__xludf.DUMMYFUNCTION("""COMPUTED_VALUE"""),0.0)</f>
        <v>0</v>
      </c>
      <c r="AR4265" s="82">
        <f>IFERROR(__xludf.DUMMYFUNCTION("""COMPUTED_VALUE"""),0.0)</f>
        <v>0</v>
      </c>
      <c r="AS4265" s="82"/>
      <c r="AT4265" s="82">
        <f>IFERROR(__xludf.DUMMYFUNCTION("""COMPUTED_VALUE"""),0.0)</f>
        <v>0</v>
      </c>
      <c r="AU4265" s="82"/>
      <c r="AV4265" s="82"/>
      <c r="AW4265" s="82" t="str">
        <f t="shared" si="1"/>
        <v/>
      </c>
      <c r="AX4265" s="83" t="str">
        <f t="array" ref="AX4265">IFERROR(DGET('SBV Import'!A:G,"SBV",{"RSC ID","Tier";B4265,A4265}))</f>
        <v/>
      </c>
      <c r="AY4265" s="82" t="str">
        <f t="shared" si="2"/>
        <v/>
      </c>
      <c r="AZ4265" s="82"/>
      <c r="BA4265" s="84" t="s">
        <v>152</v>
      </c>
      <c r="BB4265" s="84" t="str">
        <f>IFERROR(__xludf.DUMMYFUNCTION("iferror(if(A4265="""",,E4265&gt;=FILTER(Constants!$F$2:$F$10,Constants!$A$2:$A$10=A4265)))"),"")</f>
        <v/>
      </c>
    </row>
    <row r="4266">
      <c r="A4266" s="89"/>
      <c r="B4266" s="87"/>
      <c r="C4266" s="73"/>
      <c r="D4266" s="73"/>
      <c r="E4266" s="82"/>
      <c r="F4266" s="82"/>
      <c r="G4266" s="86"/>
      <c r="H4266" s="86"/>
      <c r="I4266" s="86"/>
      <c r="J4266" s="82"/>
      <c r="K4266" s="82"/>
      <c r="L4266" s="82"/>
      <c r="M4266" s="82"/>
      <c r="N4266" s="82"/>
      <c r="O4266" s="82"/>
      <c r="P4266" s="82"/>
      <c r="Q4266" s="82"/>
      <c r="R4266" s="82"/>
      <c r="S4266" s="82"/>
      <c r="T4266" s="82"/>
      <c r="U4266" s="82"/>
      <c r="V4266" s="82"/>
      <c r="W4266" s="82"/>
      <c r="X4266" s="82"/>
      <c r="Y4266" s="82"/>
      <c r="Z4266" s="82"/>
      <c r="AA4266" s="82"/>
      <c r="AB4266" s="82"/>
      <c r="AC4266" s="82"/>
      <c r="AD4266" s="82"/>
      <c r="AE4266" s="82"/>
      <c r="AF4266" s="82"/>
      <c r="AG4266" s="82"/>
      <c r="AH4266" s="82"/>
      <c r="AI4266" s="82"/>
      <c r="AJ4266" s="82"/>
      <c r="AK4266" s="82"/>
      <c r="AL4266" s="82"/>
      <c r="AM4266" s="82"/>
      <c r="AN4266" s="82">
        <f>IFERROR(__xludf.DUMMYFUNCTION("""COMPUTED_VALUE"""),0.0)</f>
        <v>0</v>
      </c>
      <c r="AO4266" s="82">
        <f>IFERROR(__xludf.DUMMYFUNCTION("""COMPUTED_VALUE"""),0.0)</f>
        <v>0</v>
      </c>
      <c r="AP4266" s="82">
        <f>IFERROR(__xludf.DUMMYFUNCTION("""COMPUTED_VALUE"""),0.0)</f>
        <v>0</v>
      </c>
      <c r="AQ4266" s="82">
        <f>IFERROR(__xludf.DUMMYFUNCTION("""COMPUTED_VALUE"""),0.0)</f>
        <v>0</v>
      </c>
      <c r="AR4266" s="82">
        <f>IFERROR(__xludf.DUMMYFUNCTION("""COMPUTED_VALUE"""),0.0)</f>
        <v>0</v>
      </c>
      <c r="AS4266" s="82"/>
      <c r="AT4266" s="82">
        <f>IFERROR(__xludf.DUMMYFUNCTION("""COMPUTED_VALUE"""),0.0)</f>
        <v>0</v>
      </c>
      <c r="AU4266" s="82"/>
      <c r="AV4266" s="82"/>
      <c r="AW4266" s="82" t="str">
        <f t="shared" si="1"/>
        <v/>
      </c>
      <c r="AX4266" s="83" t="str">
        <f t="array" ref="AX4266">IFERROR(DGET('SBV Import'!A:G,"SBV",{"RSC ID","Tier";B4266,A4266}))</f>
        <v/>
      </c>
      <c r="AY4266" s="82" t="str">
        <f t="shared" si="2"/>
        <v/>
      </c>
      <c r="AZ4266" s="82"/>
      <c r="BA4266" s="84" t="s">
        <v>152</v>
      </c>
      <c r="BB4266" s="84" t="str">
        <f>IFERROR(__xludf.DUMMYFUNCTION("iferror(if(A4266="""",,E4266&gt;=FILTER(Constants!$F$2:$F$10,Constants!$A$2:$A$10=A4266)))"),"")</f>
        <v/>
      </c>
    </row>
    <row r="4267">
      <c r="A4267" s="89"/>
      <c r="B4267" s="87"/>
      <c r="C4267" s="73"/>
      <c r="D4267" s="73"/>
      <c r="E4267" s="82"/>
      <c r="F4267" s="82"/>
      <c r="G4267" s="86"/>
      <c r="H4267" s="86"/>
      <c r="I4267" s="86"/>
      <c r="J4267" s="82"/>
      <c r="K4267" s="82"/>
      <c r="L4267" s="82"/>
      <c r="M4267" s="82"/>
      <c r="N4267" s="82"/>
      <c r="O4267" s="82"/>
      <c r="P4267" s="82"/>
      <c r="Q4267" s="82"/>
      <c r="R4267" s="82"/>
      <c r="S4267" s="82"/>
      <c r="T4267" s="82"/>
      <c r="U4267" s="82"/>
      <c r="V4267" s="82"/>
      <c r="W4267" s="82"/>
      <c r="X4267" s="82"/>
      <c r="Y4267" s="82"/>
      <c r="Z4267" s="82"/>
      <c r="AA4267" s="82"/>
      <c r="AB4267" s="82"/>
      <c r="AC4267" s="82"/>
      <c r="AD4267" s="82"/>
      <c r="AE4267" s="82"/>
      <c r="AF4267" s="82"/>
      <c r="AG4267" s="82"/>
      <c r="AH4267" s="82"/>
      <c r="AI4267" s="82"/>
      <c r="AJ4267" s="82"/>
      <c r="AK4267" s="82"/>
      <c r="AL4267" s="82"/>
      <c r="AM4267" s="82"/>
      <c r="AN4267" s="82">
        <f>IFERROR(__xludf.DUMMYFUNCTION("""COMPUTED_VALUE"""),0.0)</f>
        <v>0</v>
      </c>
      <c r="AO4267" s="82">
        <f>IFERROR(__xludf.DUMMYFUNCTION("""COMPUTED_VALUE"""),0.0)</f>
        <v>0</v>
      </c>
      <c r="AP4267" s="82">
        <f>IFERROR(__xludf.DUMMYFUNCTION("""COMPUTED_VALUE"""),0.0)</f>
        <v>0</v>
      </c>
      <c r="AQ4267" s="82">
        <f>IFERROR(__xludf.DUMMYFUNCTION("""COMPUTED_VALUE"""),0.0)</f>
        <v>0</v>
      </c>
      <c r="AR4267" s="82">
        <f>IFERROR(__xludf.DUMMYFUNCTION("""COMPUTED_VALUE"""),0.0)</f>
        <v>0</v>
      </c>
      <c r="AS4267" s="82"/>
      <c r="AT4267" s="82">
        <f>IFERROR(__xludf.DUMMYFUNCTION("""COMPUTED_VALUE"""),0.0)</f>
        <v>0</v>
      </c>
      <c r="AU4267" s="82"/>
      <c r="AV4267" s="82"/>
      <c r="AW4267" s="82" t="str">
        <f t="shared" si="1"/>
        <v/>
      </c>
      <c r="AX4267" s="83" t="str">
        <f t="array" ref="AX4267">IFERROR(DGET('SBV Import'!A:G,"SBV",{"RSC ID","Tier";B4267,A4267}))</f>
        <v/>
      </c>
      <c r="AY4267" s="82" t="str">
        <f t="shared" si="2"/>
        <v/>
      </c>
      <c r="AZ4267" s="82"/>
      <c r="BA4267" s="84" t="s">
        <v>152</v>
      </c>
      <c r="BB4267" s="84" t="str">
        <f>IFERROR(__xludf.DUMMYFUNCTION("iferror(if(A4267="""",,E4267&gt;=FILTER(Constants!$F$2:$F$10,Constants!$A$2:$A$10=A4267)))"),"")</f>
        <v/>
      </c>
    </row>
    <row r="4268">
      <c r="A4268" s="89"/>
      <c r="B4268" s="87"/>
      <c r="C4268" s="73"/>
      <c r="D4268" s="73"/>
      <c r="E4268" s="82"/>
      <c r="F4268" s="82"/>
      <c r="G4268" s="86"/>
      <c r="H4268" s="86"/>
      <c r="I4268" s="86"/>
      <c r="J4268" s="82"/>
      <c r="K4268" s="82"/>
      <c r="L4268" s="82"/>
      <c r="M4268" s="82"/>
      <c r="N4268" s="82"/>
      <c r="O4268" s="82"/>
      <c r="P4268" s="82"/>
      <c r="Q4268" s="82"/>
      <c r="R4268" s="82"/>
      <c r="S4268" s="82"/>
      <c r="T4268" s="82"/>
      <c r="U4268" s="82"/>
      <c r="V4268" s="82"/>
      <c r="W4268" s="82"/>
      <c r="X4268" s="82"/>
      <c r="Y4268" s="82"/>
      <c r="Z4268" s="82"/>
      <c r="AA4268" s="82"/>
      <c r="AB4268" s="82"/>
      <c r="AC4268" s="82"/>
      <c r="AD4268" s="82"/>
      <c r="AE4268" s="82"/>
      <c r="AF4268" s="82"/>
      <c r="AG4268" s="82"/>
      <c r="AH4268" s="82"/>
      <c r="AI4268" s="82"/>
      <c r="AJ4268" s="82"/>
      <c r="AK4268" s="82"/>
      <c r="AL4268" s="82"/>
      <c r="AM4268" s="82"/>
      <c r="AN4268" s="82">
        <f>IFERROR(__xludf.DUMMYFUNCTION("""COMPUTED_VALUE"""),0.0)</f>
        <v>0</v>
      </c>
      <c r="AO4268" s="82">
        <f>IFERROR(__xludf.DUMMYFUNCTION("""COMPUTED_VALUE"""),0.0)</f>
        <v>0</v>
      </c>
      <c r="AP4268" s="82">
        <f>IFERROR(__xludf.DUMMYFUNCTION("""COMPUTED_VALUE"""),0.0)</f>
        <v>0</v>
      </c>
      <c r="AQ4268" s="82">
        <f>IFERROR(__xludf.DUMMYFUNCTION("""COMPUTED_VALUE"""),0.0)</f>
        <v>0</v>
      </c>
      <c r="AR4268" s="82">
        <f>IFERROR(__xludf.DUMMYFUNCTION("""COMPUTED_VALUE"""),0.0)</f>
        <v>0</v>
      </c>
      <c r="AS4268" s="82"/>
      <c r="AT4268" s="82">
        <f>IFERROR(__xludf.DUMMYFUNCTION("""COMPUTED_VALUE"""),0.0)</f>
        <v>0</v>
      </c>
      <c r="AU4268" s="82"/>
      <c r="AV4268" s="82"/>
      <c r="AW4268" s="82" t="str">
        <f t="shared" si="1"/>
        <v/>
      </c>
      <c r="AX4268" s="83" t="str">
        <f t="array" ref="AX4268">IFERROR(DGET('SBV Import'!A:G,"SBV",{"RSC ID","Tier";B4268,A4268}))</f>
        <v/>
      </c>
      <c r="AY4268" s="82" t="str">
        <f t="shared" si="2"/>
        <v/>
      </c>
      <c r="AZ4268" s="82"/>
      <c r="BA4268" s="84" t="s">
        <v>152</v>
      </c>
      <c r="BB4268" s="84" t="str">
        <f>IFERROR(__xludf.DUMMYFUNCTION("iferror(if(A4268="""",,E4268&gt;=FILTER(Constants!$F$2:$F$10,Constants!$A$2:$A$10=A4268)))"),"")</f>
        <v/>
      </c>
    </row>
    <row r="4269">
      <c r="A4269" s="89"/>
      <c r="B4269" s="87"/>
      <c r="C4269" s="73"/>
      <c r="D4269" s="73"/>
      <c r="E4269" s="82"/>
      <c r="F4269" s="82"/>
      <c r="G4269" s="86"/>
      <c r="H4269" s="86"/>
      <c r="I4269" s="86"/>
      <c r="J4269" s="82"/>
      <c r="K4269" s="82"/>
      <c r="L4269" s="82"/>
      <c r="M4269" s="82"/>
      <c r="N4269" s="82"/>
      <c r="O4269" s="82"/>
      <c r="P4269" s="82"/>
      <c r="Q4269" s="82"/>
      <c r="R4269" s="82"/>
      <c r="S4269" s="82"/>
      <c r="T4269" s="82"/>
      <c r="U4269" s="82"/>
      <c r="V4269" s="82"/>
      <c r="W4269" s="82"/>
      <c r="X4269" s="82"/>
      <c r="Y4269" s="82"/>
      <c r="Z4269" s="82"/>
      <c r="AA4269" s="82"/>
      <c r="AB4269" s="82"/>
      <c r="AC4269" s="82"/>
      <c r="AD4269" s="82"/>
      <c r="AE4269" s="82"/>
      <c r="AF4269" s="82"/>
      <c r="AG4269" s="82"/>
      <c r="AH4269" s="82"/>
      <c r="AI4269" s="82"/>
      <c r="AJ4269" s="82"/>
      <c r="AK4269" s="82"/>
      <c r="AL4269" s="82"/>
      <c r="AM4269" s="82"/>
      <c r="AN4269" s="82">
        <f>IFERROR(__xludf.DUMMYFUNCTION("""COMPUTED_VALUE"""),0.0)</f>
        <v>0</v>
      </c>
      <c r="AO4269" s="82">
        <f>IFERROR(__xludf.DUMMYFUNCTION("""COMPUTED_VALUE"""),0.0)</f>
        <v>0</v>
      </c>
      <c r="AP4269" s="82">
        <f>IFERROR(__xludf.DUMMYFUNCTION("""COMPUTED_VALUE"""),0.0)</f>
        <v>0</v>
      </c>
      <c r="AQ4269" s="82">
        <f>IFERROR(__xludf.DUMMYFUNCTION("""COMPUTED_VALUE"""),0.0)</f>
        <v>0</v>
      </c>
      <c r="AR4269" s="82">
        <f>IFERROR(__xludf.DUMMYFUNCTION("""COMPUTED_VALUE"""),0.0)</f>
        <v>0</v>
      </c>
      <c r="AS4269" s="82"/>
      <c r="AT4269" s="82">
        <f>IFERROR(__xludf.DUMMYFUNCTION("""COMPUTED_VALUE"""),0.0)</f>
        <v>0</v>
      </c>
      <c r="AU4269" s="82"/>
      <c r="AV4269" s="82"/>
      <c r="AW4269" s="82" t="str">
        <f t="shared" si="1"/>
        <v/>
      </c>
      <c r="AX4269" s="83" t="str">
        <f t="array" ref="AX4269">IFERROR(DGET('SBV Import'!A:G,"SBV",{"RSC ID","Tier";B4269,A4269}))</f>
        <v/>
      </c>
      <c r="AY4269" s="82" t="str">
        <f t="shared" si="2"/>
        <v/>
      </c>
      <c r="AZ4269" s="82"/>
      <c r="BA4269" s="84" t="s">
        <v>152</v>
      </c>
      <c r="BB4269" s="84" t="str">
        <f>IFERROR(__xludf.DUMMYFUNCTION("iferror(if(A4269="""",,E4269&gt;=FILTER(Constants!$F$2:$F$10,Constants!$A$2:$A$10=A4269)))"),"")</f>
        <v/>
      </c>
    </row>
    <row r="4270">
      <c r="A4270" s="89"/>
      <c r="B4270" s="87"/>
      <c r="C4270" s="73"/>
      <c r="D4270" s="73"/>
      <c r="E4270" s="82"/>
      <c r="F4270" s="82"/>
      <c r="G4270" s="86"/>
      <c r="H4270" s="86"/>
      <c r="I4270" s="86"/>
      <c r="J4270" s="82"/>
      <c r="K4270" s="82"/>
      <c r="L4270" s="82"/>
      <c r="M4270" s="82"/>
      <c r="N4270" s="82"/>
      <c r="O4270" s="82"/>
      <c r="P4270" s="82"/>
      <c r="Q4270" s="82"/>
      <c r="R4270" s="82"/>
      <c r="S4270" s="82"/>
      <c r="T4270" s="82"/>
      <c r="U4270" s="82"/>
      <c r="V4270" s="82"/>
      <c r="W4270" s="82"/>
      <c r="X4270" s="82"/>
      <c r="Y4270" s="82"/>
      <c r="Z4270" s="82"/>
      <c r="AA4270" s="82"/>
      <c r="AB4270" s="82"/>
      <c r="AC4270" s="82"/>
      <c r="AD4270" s="82"/>
      <c r="AE4270" s="82"/>
      <c r="AF4270" s="82"/>
      <c r="AG4270" s="82"/>
      <c r="AH4270" s="82"/>
      <c r="AI4270" s="82"/>
      <c r="AJ4270" s="82"/>
      <c r="AK4270" s="82"/>
      <c r="AL4270" s="82"/>
      <c r="AM4270" s="82"/>
      <c r="AN4270" s="82">
        <f>IFERROR(__xludf.DUMMYFUNCTION("""COMPUTED_VALUE"""),0.0)</f>
        <v>0</v>
      </c>
      <c r="AO4270" s="82">
        <f>IFERROR(__xludf.DUMMYFUNCTION("""COMPUTED_VALUE"""),0.0)</f>
        <v>0</v>
      </c>
      <c r="AP4270" s="82">
        <f>IFERROR(__xludf.DUMMYFUNCTION("""COMPUTED_VALUE"""),0.0)</f>
        <v>0</v>
      </c>
      <c r="AQ4270" s="82">
        <f>IFERROR(__xludf.DUMMYFUNCTION("""COMPUTED_VALUE"""),0.0)</f>
        <v>0</v>
      </c>
      <c r="AR4270" s="82">
        <f>IFERROR(__xludf.DUMMYFUNCTION("""COMPUTED_VALUE"""),0.0)</f>
        <v>0</v>
      </c>
      <c r="AS4270" s="82"/>
      <c r="AT4270" s="82">
        <f>IFERROR(__xludf.DUMMYFUNCTION("""COMPUTED_VALUE"""),0.0)</f>
        <v>0</v>
      </c>
      <c r="AU4270" s="82"/>
      <c r="AV4270" s="82"/>
      <c r="AW4270" s="82" t="str">
        <f t="shared" si="1"/>
        <v/>
      </c>
      <c r="AX4270" s="83" t="str">
        <f t="array" ref="AX4270">IFERROR(DGET('SBV Import'!A:G,"SBV",{"RSC ID","Tier";B4270,A4270}))</f>
        <v/>
      </c>
      <c r="AY4270" s="82" t="str">
        <f t="shared" si="2"/>
        <v/>
      </c>
      <c r="AZ4270" s="82"/>
      <c r="BA4270" s="84" t="s">
        <v>152</v>
      </c>
      <c r="BB4270" s="84" t="str">
        <f>IFERROR(__xludf.DUMMYFUNCTION("iferror(if(A4270="""",,E4270&gt;=FILTER(Constants!$F$2:$F$10,Constants!$A$2:$A$10=A4270)))"),"")</f>
        <v/>
      </c>
    </row>
    <row r="4271">
      <c r="A4271" s="89"/>
      <c r="B4271" s="87"/>
      <c r="C4271" s="73"/>
      <c r="D4271" s="73"/>
      <c r="E4271" s="82"/>
      <c r="F4271" s="82"/>
      <c r="G4271" s="86"/>
      <c r="H4271" s="86"/>
      <c r="I4271" s="86"/>
      <c r="J4271" s="82"/>
      <c r="K4271" s="82"/>
      <c r="L4271" s="82"/>
      <c r="M4271" s="82"/>
      <c r="N4271" s="82"/>
      <c r="O4271" s="82"/>
      <c r="P4271" s="82"/>
      <c r="Q4271" s="82"/>
      <c r="R4271" s="82"/>
      <c r="S4271" s="82"/>
      <c r="T4271" s="82"/>
      <c r="U4271" s="82"/>
      <c r="V4271" s="82"/>
      <c r="W4271" s="82"/>
      <c r="X4271" s="82"/>
      <c r="Y4271" s="82"/>
      <c r="Z4271" s="82"/>
      <c r="AA4271" s="82"/>
      <c r="AB4271" s="82"/>
      <c r="AC4271" s="82"/>
      <c r="AD4271" s="82"/>
      <c r="AE4271" s="82"/>
      <c r="AF4271" s="82"/>
      <c r="AG4271" s="82"/>
      <c r="AH4271" s="82"/>
      <c r="AI4271" s="82"/>
      <c r="AJ4271" s="82"/>
      <c r="AK4271" s="82"/>
      <c r="AL4271" s="82"/>
      <c r="AM4271" s="82"/>
      <c r="AN4271" s="82">
        <f>IFERROR(__xludf.DUMMYFUNCTION("""COMPUTED_VALUE"""),0.0)</f>
        <v>0</v>
      </c>
      <c r="AO4271" s="82">
        <f>IFERROR(__xludf.DUMMYFUNCTION("""COMPUTED_VALUE"""),0.0)</f>
        <v>0</v>
      </c>
      <c r="AP4271" s="82">
        <f>IFERROR(__xludf.DUMMYFUNCTION("""COMPUTED_VALUE"""),0.0)</f>
        <v>0</v>
      </c>
      <c r="AQ4271" s="82">
        <f>IFERROR(__xludf.DUMMYFUNCTION("""COMPUTED_VALUE"""),0.0)</f>
        <v>0</v>
      </c>
      <c r="AR4271" s="82">
        <f>IFERROR(__xludf.DUMMYFUNCTION("""COMPUTED_VALUE"""),0.0)</f>
        <v>0</v>
      </c>
      <c r="AS4271" s="82"/>
      <c r="AT4271" s="82">
        <f>IFERROR(__xludf.DUMMYFUNCTION("""COMPUTED_VALUE"""),0.0)</f>
        <v>0</v>
      </c>
      <c r="AU4271" s="82"/>
      <c r="AV4271" s="82"/>
      <c r="AW4271" s="82" t="str">
        <f t="shared" si="1"/>
        <v/>
      </c>
      <c r="AX4271" s="83" t="str">
        <f t="array" ref="AX4271">IFERROR(DGET('SBV Import'!A:G,"SBV",{"RSC ID","Tier";B4271,A4271}))</f>
        <v/>
      </c>
      <c r="AY4271" s="82" t="str">
        <f t="shared" si="2"/>
        <v/>
      </c>
      <c r="AZ4271" s="82"/>
      <c r="BA4271" s="84" t="s">
        <v>152</v>
      </c>
      <c r="BB4271" s="84" t="str">
        <f>IFERROR(__xludf.DUMMYFUNCTION("iferror(if(A4271="""",,E4271&gt;=FILTER(Constants!$F$2:$F$10,Constants!$A$2:$A$10=A4271)))"),"")</f>
        <v/>
      </c>
    </row>
    <row r="4272">
      <c r="A4272" s="89"/>
      <c r="B4272" s="87"/>
      <c r="C4272" s="73"/>
      <c r="D4272" s="73"/>
      <c r="E4272" s="82"/>
      <c r="F4272" s="82"/>
      <c r="G4272" s="86"/>
      <c r="H4272" s="86"/>
      <c r="I4272" s="86"/>
      <c r="J4272" s="82"/>
      <c r="K4272" s="82"/>
      <c r="L4272" s="82"/>
      <c r="M4272" s="82"/>
      <c r="N4272" s="82"/>
      <c r="O4272" s="82"/>
      <c r="P4272" s="82"/>
      <c r="Q4272" s="82"/>
      <c r="R4272" s="82"/>
      <c r="S4272" s="82"/>
      <c r="T4272" s="82"/>
      <c r="U4272" s="82"/>
      <c r="V4272" s="82"/>
      <c r="W4272" s="82"/>
      <c r="X4272" s="82"/>
      <c r="Y4272" s="82"/>
      <c r="Z4272" s="82"/>
      <c r="AA4272" s="82"/>
      <c r="AB4272" s="82"/>
      <c r="AC4272" s="82"/>
      <c r="AD4272" s="82"/>
      <c r="AE4272" s="82"/>
      <c r="AF4272" s="82"/>
      <c r="AG4272" s="82"/>
      <c r="AH4272" s="82"/>
      <c r="AI4272" s="82"/>
      <c r="AJ4272" s="82"/>
      <c r="AK4272" s="82"/>
      <c r="AL4272" s="82"/>
      <c r="AM4272" s="82"/>
      <c r="AN4272" s="82">
        <f>IFERROR(__xludf.DUMMYFUNCTION("""COMPUTED_VALUE"""),0.0)</f>
        <v>0</v>
      </c>
      <c r="AO4272" s="82">
        <f>IFERROR(__xludf.DUMMYFUNCTION("""COMPUTED_VALUE"""),0.0)</f>
        <v>0</v>
      </c>
      <c r="AP4272" s="82">
        <f>IFERROR(__xludf.DUMMYFUNCTION("""COMPUTED_VALUE"""),0.0)</f>
        <v>0</v>
      </c>
      <c r="AQ4272" s="82">
        <f>IFERROR(__xludf.DUMMYFUNCTION("""COMPUTED_VALUE"""),0.0)</f>
        <v>0</v>
      </c>
      <c r="AR4272" s="82">
        <f>IFERROR(__xludf.DUMMYFUNCTION("""COMPUTED_VALUE"""),0.0)</f>
        <v>0</v>
      </c>
      <c r="AS4272" s="82"/>
      <c r="AT4272" s="82">
        <f>IFERROR(__xludf.DUMMYFUNCTION("""COMPUTED_VALUE"""),0.0)</f>
        <v>0</v>
      </c>
      <c r="AU4272" s="82"/>
      <c r="AV4272" s="82"/>
      <c r="AW4272" s="82" t="str">
        <f t="shared" si="1"/>
        <v/>
      </c>
      <c r="AX4272" s="83" t="str">
        <f t="array" ref="AX4272">IFERROR(DGET('SBV Import'!A:G,"SBV",{"RSC ID","Tier";B4272,A4272}))</f>
        <v/>
      </c>
      <c r="AY4272" s="82" t="str">
        <f t="shared" si="2"/>
        <v/>
      </c>
      <c r="AZ4272" s="82"/>
      <c r="BA4272" s="84" t="s">
        <v>152</v>
      </c>
      <c r="BB4272" s="84" t="str">
        <f>IFERROR(__xludf.DUMMYFUNCTION("iferror(if(A4272="""",,E4272&gt;=FILTER(Constants!$F$2:$F$10,Constants!$A$2:$A$10=A4272)))"),"")</f>
        <v/>
      </c>
    </row>
    <row r="4273">
      <c r="A4273" s="89"/>
      <c r="B4273" s="87"/>
      <c r="C4273" s="73"/>
      <c r="D4273" s="73"/>
      <c r="E4273" s="82"/>
      <c r="F4273" s="82"/>
      <c r="G4273" s="86"/>
      <c r="H4273" s="86"/>
      <c r="I4273" s="86"/>
      <c r="J4273" s="82"/>
      <c r="K4273" s="82"/>
      <c r="L4273" s="82"/>
      <c r="M4273" s="82"/>
      <c r="N4273" s="82"/>
      <c r="O4273" s="82"/>
      <c r="P4273" s="82"/>
      <c r="Q4273" s="82"/>
      <c r="R4273" s="82"/>
      <c r="S4273" s="82"/>
      <c r="T4273" s="82"/>
      <c r="U4273" s="82"/>
      <c r="V4273" s="82"/>
      <c r="W4273" s="82"/>
      <c r="X4273" s="82"/>
      <c r="Y4273" s="82"/>
      <c r="Z4273" s="82"/>
      <c r="AA4273" s="82"/>
      <c r="AB4273" s="82"/>
      <c r="AC4273" s="82"/>
      <c r="AD4273" s="82"/>
      <c r="AE4273" s="82"/>
      <c r="AF4273" s="82"/>
      <c r="AG4273" s="82"/>
      <c r="AH4273" s="82"/>
      <c r="AI4273" s="82"/>
      <c r="AJ4273" s="82"/>
      <c r="AK4273" s="82"/>
      <c r="AL4273" s="82"/>
      <c r="AM4273" s="82"/>
      <c r="AN4273" s="82">
        <f>IFERROR(__xludf.DUMMYFUNCTION("""COMPUTED_VALUE"""),0.0)</f>
        <v>0</v>
      </c>
      <c r="AO4273" s="82">
        <f>IFERROR(__xludf.DUMMYFUNCTION("""COMPUTED_VALUE"""),0.0)</f>
        <v>0</v>
      </c>
      <c r="AP4273" s="82">
        <f>IFERROR(__xludf.DUMMYFUNCTION("""COMPUTED_VALUE"""),0.0)</f>
        <v>0</v>
      </c>
      <c r="AQ4273" s="82">
        <f>IFERROR(__xludf.DUMMYFUNCTION("""COMPUTED_VALUE"""),0.0)</f>
        <v>0</v>
      </c>
      <c r="AR4273" s="82">
        <f>IFERROR(__xludf.DUMMYFUNCTION("""COMPUTED_VALUE"""),0.0)</f>
        <v>0</v>
      </c>
      <c r="AS4273" s="82"/>
      <c r="AT4273" s="82">
        <f>IFERROR(__xludf.DUMMYFUNCTION("""COMPUTED_VALUE"""),0.0)</f>
        <v>0</v>
      </c>
      <c r="AU4273" s="82"/>
      <c r="AV4273" s="82"/>
      <c r="AW4273" s="82" t="str">
        <f t="shared" si="1"/>
        <v/>
      </c>
      <c r="AX4273" s="83" t="str">
        <f t="array" ref="AX4273">IFERROR(DGET('SBV Import'!A:G,"SBV",{"RSC ID","Tier";B4273,A4273}))</f>
        <v/>
      </c>
      <c r="AY4273" s="82" t="str">
        <f t="shared" si="2"/>
        <v/>
      </c>
      <c r="AZ4273" s="82"/>
      <c r="BA4273" s="84" t="s">
        <v>152</v>
      </c>
      <c r="BB4273" s="84" t="str">
        <f>IFERROR(__xludf.DUMMYFUNCTION("iferror(if(A4273="""",,E4273&gt;=FILTER(Constants!$F$2:$F$10,Constants!$A$2:$A$10=A4273)))"),"")</f>
        <v/>
      </c>
    </row>
    <row r="4274">
      <c r="A4274" s="89"/>
      <c r="B4274" s="87"/>
      <c r="C4274" s="73"/>
      <c r="D4274" s="73"/>
      <c r="E4274" s="82"/>
      <c r="F4274" s="82"/>
      <c r="G4274" s="86"/>
      <c r="H4274" s="86"/>
      <c r="I4274" s="86"/>
      <c r="J4274" s="82"/>
      <c r="K4274" s="82"/>
      <c r="L4274" s="82"/>
      <c r="M4274" s="82"/>
      <c r="N4274" s="82"/>
      <c r="O4274" s="82"/>
      <c r="P4274" s="82"/>
      <c r="Q4274" s="82"/>
      <c r="R4274" s="82"/>
      <c r="S4274" s="82"/>
      <c r="T4274" s="82"/>
      <c r="U4274" s="82"/>
      <c r="V4274" s="82"/>
      <c r="W4274" s="82"/>
      <c r="X4274" s="82"/>
      <c r="Y4274" s="82"/>
      <c r="Z4274" s="82"/>
      <c r="AA4274" s="82"/>
      <c r="AB4274" s="82"/>
      <c r="AC4274" s="82"/>
      <c r="AD4274" s="82"/>
      <c r="AE4274" s="82"/>
      <c r="AF4274" s="82"/>
      <c r="AG4274" s="82"/>
      <c r="AH4274" s="82"/>
      <c r="AI4274" s="82"/>
      <c r="AJ4274" s="82"/>
      <c r="AK4274" s="82"/>
      <c r="AL4274" s="82"/>
      <c r="AM4274" s="82"/>
      <c r="AN4274" s="82">
        <f>IFERROR(__xludf.DUMMYFUNCTION("""COMPUTED_VALUE"""),0.0)</f>
        <v>0</v>
      </c>
      <c r="AO4274" s="82">
        <f>IFERROR(__xludf.DUMMYFUNCTION("""COMPUTED_VALUE"""),0.0)</f>
        <v>0</v>
      </c>
      <c r="AP4274" s="82">
        <f>IFERROR(__xludf.DUMMYFUNCTION("""COMPUTED_VALUE"""),0.0)</f>
        <v>0</v>
      </c>
      <c r="AQ4274" s="82">
        <f>IFERROR(__xludf.DUMMYFUNCTION("""COMPUTED_VALUE"""),0.0)</f>
        <v>0</v>
      </c>
      <c r="AR4274" s="82">
        <f>IFERROR(__xludf.DUMMYFUNCTION("""COMPUTED_VALUE"""),0.0)</f>
        <v>0</v>
      </c>
      <c r="AS4274" s="82"/>
      <c r="AT4274" s="82">
        <f>IFERROR(__xludf.DUMMYFUNCTION("""COMPUTED_VALUE"""),0.0)</f>
        <v>0</v>
      </c>
      <c r="AU4274" s="82"/>
      <c r="AV4274" s="82"/>
      <c r="AW4274" s="82" t="str">
        <f t="shared" si="1"/>
        <v/>
      </c>
      <c r="AX4274" s="83" t="str">
        <f t="array" ref="AX4274">IFERROR(DGET('SBV Import'!A:G,"SBV",{"RSC ID","Tier";B4274,A4274}))</f>
        <v/>
      </c>
      <c r="AY4274" s="82" t="str">
        <f t="shared" si="2"/>
        <v/>
      </c>
      <c r="AZ4274" s="82"/>
      <c r="BA4274" s="84" t="s">
        <v>152</v>
      </c>
      <c r="BB4274" s="84" t="str">
        <f>IFERROR(__xludf.DUMMYFUNCTION("iferror(if(A4274="""",,E4274&gt;=FILTER(Constants!$F$2:$F$10,Constants!$A$2:$A$10=A4274)))"),"")</f>
        <v/>
      </c>
    </row>
    <row r="4275">
      <c r="A4275" s="89"/>
      <c r="B4275" s="87"/>
      <c r="C4275" s="73"/>
      <c r="D4275" s="73"/>
      <c r="E4275" s="82"/>
      <c r="F4275" s="82"/>
      <c r="G4275" s="86"/>
      <c r="H4275" s="86"/>
      <c r="I4275" s="86"/>
      <c r="J4275" s="82"/>
      <c r="K4275" s="82"/>
      <c r="L4275" s="82"/>
      <c r="M4275" s="82"/>
      <c r="N4275" s="82"/>
      <c r="O4275" s="82"/>
      <c r="P4275" s="82"/>
      <c r="Q4275" s="82"/>
      <c r="R4275" s="82"/>
      <c r="S4275" s="82"/>
      <c r="T4275" s="82"/>
      <c r="U4275" s="82"/>
      <c r="V4275" s="82"/>
      <c r="W4275" s="82"/>
      <c r="X4275" s="82"/>
      <c r="Y4275" s="82"/>
      <c r="Z4275" s="82"/>
      <c r="AA4275" s="82"/>
      <c r="AB4275" s="82"/>
      <c r="AC4275" s="82"/>
      <c r="AD4275" s="82"/>
      <c r="AE4275" s="82"/>
      <c r="AF4275" s="82"/>
      <c r="AG4275" s="82"/>
      <c r="AH4275" s="82"/>
      <c r="AI4275" s="82"/>
      <c r="AJ4275" s="82"/>
      <c r="AK4275" s="82"/>
      <c r="AL4275" s="82"/>
      <c r="AM4275" s="82"/>
      <c r="AN4275" s="82">
        <f>IFERROR(__xludf.DUMMYFUNCTION("""COMPUTED_VALUE"""),0.0)</f>
        <v>0</v>
      </c>
      <c r="AO4275" s="82">
        <f>IFERROR(__xludf.DUMMYFUNCTION("""COMPUTED_VALUE"""),0.0)</f>
        <v>0</v>
      </c>
      <c r="AP4275" s="82">
        <f>IFERROR(__xludf.DUMMYFUNCTION("""COMPUTED_VALUE"""),0.0)</f>
        <v>0</v>
      </c>
      <c r="AQ4275" s="82">
        <f>IFERROR(__xludf.DUMMYFUNCTION("""COMPUTED_VALUE"""),0.0)</f>
        <v>0</v>
      </c>
      <c r="AR4275" s="82">
        <f>IFERROR(__xludf.DUMMYFUNCTION("""COMPUTED_VALUE"""),0.0)</f>
        <v>0</v>
      </c>
      <c r="AS4275" s="82"/>
      <c r="AT4275" s="82">
        <f>IFERROR(__xludf.DUMMYFUNCTION("""COMPUTED_VALUE"""),0.0)</f>
        <v>0</v>
      </c>
      <c r="AU4275" s="82"/>
      <c r="AV4275" s="82"/>
      <c r="AW4275" s="82" t="str">
        <f t="shared" si="1"/>
        <v/>
      </c>
      <c r="AX4275" s="83" t="str">
        <f t="array" ref="AX4275">IFERROR(DGET('SBV Import'!A:G,"SBV",{"RSC ID","Tier";B4275,A4275}))</f>
        <v/>
      </c>
      <c r="AY4275" s="82" t="str">
        <f t="shared" si="2"/>
        <v/>
      </c>
      <c r="AZ4275" s="82"/>
      <c r="BA4275" s="84" t="s">
        <v>152</v>
      </c>
      <c r="BB4275" s="84" t="str">
        <f>IFERROR(__xludf.DUMMYFUNCTION("iferror(if(A4275="""",,E4275&gt;=FILTER(Constants!$F$2:$F$10,Constants!$A$2:$A$10=A4275)))"),"")</f>
        <v/>
      </c>
    </row>
    <row r="4276">
      <c r="A4276" s="89"/>
      <c r="B4276" s="87"/>
      <c r="C4276" s="73"/>
      <c r="D4276" s="73"/>
      <c r="E4276" s="82"/>
      <c r="F4276" s="82"/>
      <c r="G4276" s="86"/>
      <c r="H4276" s="86"/>
      <c r="I4276" s="86"/>
      <c r="J4276" s="82"/>
      <c r="K4276" s="82"/>
      <c r="L4276" s="82"/>
      <c r="M4276" s="82"/>
      <c r="N4276" s="82"/>
      <c r="O4276" s="82"/>
      <c r="P4276" s="82"/>
      <c r="Q4276" s="82"/>
      <c r="R4276" s="82"/>
      <c r="S4276" s="82"/>
      <c r="T4276" s="82"/>
      <c r="U4276" s="82"/>
      <c r="V4276" s="82"/>
      <c r="W4276" s="82"/>
      <c r="X4276" s="82"/>
      <c r="Y4276" s="82"/>
      <c r="Z4276" s="82"/>
      <c r="AA4276" s="82"/>
      <c r="AB4276" s="82"/>
      <c r="AC4276" s="82"/>
      <c r="AD4276" s="82"/>
      <c r="AE4276" s="82"/>
      <c r="AF4276" s="82"/>
      <c r="AG4276" s="82"/>
      <c r="AH4276" s="82"/>
      <c r="AI4276" s="82"/>
      <c r="AJ4276" s="82"/>
      <c r="AK4276" s="82"/>
      <c r="AL4276" s="82"/>
      <c r="AM4276" s="82"/>
      <c r="AN4276" s="82">
        <f>IFERROR(__xludf.DUMMYFUNCTION("""COMPUTED_VALUE"""),0.0)</f>
        <v>0</v>
      </c>
      <c r="AO4276" s="82">
        <f>IFERROR(__xludf.DUMMYFUNCTION("""COMPUTED_VALUE"""),0.0)</f>
        <v>0</v>
      </c>
      <c r="AP4276" s="82">
        <f>IFERROR(__xludf.DUMMYFUNCTION("""COMPUTED_VALUE"""),0.0)</f>
        <v>0</v>
      </c>
      <c r="AQ4276" s="82">
        <f>IFERROR(__xludf.DUMMYFUNCTION("""COMPUTED_VALUE"""),0.0)</f>
        <v>0</v>
      </c>
      <c r="AR4276" s="82">
        <f>IFERROR(__xludf.DUMMYFUNCTION("""COMPUTED_VALUE"""),0.0)</f>
        <v>0</v>
      </c>
      <c r="AS4276" s="82"/>
      <c r="AT4276" s="82">
        <f>IFERROR(__xludf.DUMMYFUNCTION("""COMPUTED_VALUE"""),0.0)</f>
        <v>0</v>
      </c>
      <c r="AU4276" s="82"/>
      <c r="AV4276" s="82"/>
      <c r="AW4276" s="82" t="str">
        <f t="shared" si="1"/>
        <v/>
      </c>
      <c r="AX4276" s="83" t="str">
        <f t="array" ref="AX4276">IFERROR(DGET('SBV Import'!A:G,"SBV",{"RSC ID","Tier";B4276,A4276}))</f>
        <v/>
      </c>
      <c r="AY4276" s="82" t="str">
        <f t="shared" si="2"/>
        <v/>
      </c>
      <c r="AZ4276" s="82"/>
      <c r="BA4276" s="84" t="s">
        <v>152</v>
      </c>
      <c r="BB4276" s="84" t="str">
        <f>IFERROR(__xludf.DUMMYFUNCTION("iferror(if(A4276="""",,E4276&gt;=FILTER(Constants!$F$2:$F$10,Constants!$A$2:$A$10=A4276)))"),"")</f>
        <v/>
      </c>
    </row>
    <row r="4277">
      <c r="A4277" s="89"/>
      <c r="B4277" s="87"/>
      <c r="C4277" s="73"/>
      <c r="D4277" s="73"/>
      <c r="E4277" s="82"/>
      <c r="F4277" s="82"/>
      <c r="G4277" s="86"/>
      <c r="H4277" s="86"/>
      <c r="I4277" s="86"/>
      <c r="J4277" s="82"/>
      <c r="K4277" s="82"/>
      <c r="L4277" s="82"/>
      <c r="M4277" s="82"/>
      <c r="N4277" s="82"/>
      <c r="O4277" s="82"/>
      <c r="P4277" s="82"/>
      <c r="Q4277" s="82"/>
      <c r="R4277" s="82"/>
      <c r="S4277" s="82"/>
      <c r="T4277" s="82"/>
      <c r="U4277" s="82"/>
      <c r="V4277" s="82"/>
      <c r="W4277" s="82"/>
      <c r="X4277" s="82"/>
      <c r="Y4277" s="82"/>
      <c r="Z4277" s="82"/>
      <c r="AA4277" s="82"/>
      <c r="AB4277" s="82"/>
      <c r="AC4277" s="82"/>
      <c r="AD4277" s="82"/>
      <c r="AE4277" s="82"/>
      <c r="AF4277" s="82"/>
      <c r="AG4277" s="82"/>
      <c r="AH4277" s="82"/>
      <c r="AI4277" s="82"/>
      <c r="AJ4277" s="82"/>
      <c r="AK4277" s="82"/>
      <c r="AL4277" s="82"/>
      <c r="AM4277" s="82"/>
      <c r="AN4277" s="82">
        <f>IFERROR(__xludf.DUMMYFUNCTION("""COMPUTED_VALUE"""),0.0)</f>
        <v>0</v>
      </c>
      <c r="AO4277" s="82">
        <f>IFERROR(__xludf.DUMMYFUNCTION("""COMPUTED_VALUE"""),0.0)</f>
        <v>0</v>
      </c>
      <c r="AP4277" s="82">
        <f>IFERROR(__xludf.DUMMYFUNCTION("""COMPUTED_VALUE"""),0.0)</f>
        <v>0</v>
      </c>
      <c r="AQ4277" s="82">
        <f>IFERROR(__xludf.DUMMYFUNCTION("""COMPUTED_VALUE"""),0.0)</f>
        <v>0</v>
      </c>
      <c r="AR4277" s="82">
        <f>IFERROR(__xludf.DUMMYFUNCTION("""COMPUTED_VALUE"""),0.0)</f>
        <v>0</v>
      </c>
      <c r="AS4277" s="82"/>
      <c r="AT4277" s="82">
        <f>IFERROR(__xludf.DUMMYFUNCTION("""COMPUTED_VALUE"""),0.0)</f>
        <v>0</v>
      </c>
      <c r="AU4277" s="82"/>
      <c r="AV4277" s="82"/>
      <c r="AW4277" s="82" t="str">
        <f t="shared" si="1"/>
        <v/>
      </c>
      <c r="AX4277" s="83" t="str">
        <f t="array" ref="AX4277">IFERROR(DGET('SBV Import'!A:G,"SBV",{"RSC ID","Tier";B4277,A4277}))</f>
        <v/>
      </c>
      <c r="AY4277" s="82" t="str">
        <f t="shared" si="2"/>
        <v/>
      </c>
      <c r="AZ4277" s="82"/>
      <c r="BA4277" s="84" t="s">
        <v>152</v>
      </c>
      <c r="BB4277" s="84" t="str">
        <f>IFERROR(__xludf.DUMMYFUNCTION("iferror(if(A4277="""",,E4277&gt;=FILTER(Constants!$F$2:$F$10,Constants!$A$2:$A$10=A4277)))"),"")</f>
        <v/>
      </c>
    </row>
    <row r="4278">
      <c r="A4278" s="89"/>
      <c r="B4278" s="87"/>
      <c r="C4278" s="73"/>
      <c r="D4278" s="73"/>
      <c r="E4278" s="82"/>
      <c r="F4278" s="82"/>
      <c r="G4278" s="86"/>
      <c r="H4278" s="86"/>
      <c r="I4278" s="86"/>
      <c r="J4278" s="82"/>
      <c r="K4278" s="82"/>
      <c r="L4278" s="82"/>
      <c r="M4278" s="82"/>
      <c r="N4278" s="82"/>
      <c r="O4278" s="82"/>
      <c r="P4278" s="82"/>
      <c r="Q4278" s="82"/>
      <c r="R4278" s="82"/>
      <c r="S4278" s="82"/>
      <c r="T4278" s="82"/>
      <c r="U4278" s="82"/>
      <c r="V4278" s="82"/>
      <c r="W4278" s="82"/>
      <c r="X4278" s="82"/>
      <c r="Y4278" s="82"/>
      <c r="Z4278" s="82"/>
      <c r="AA4278" s="82"/>
      <c r="AB4278" s="82"/>
      <c r="AC4278" s="82"/>
      <c r="AD4278" s="82"/>
      <c r="AE4278" s="82"/>
      <c r="AF4278" s="82"/>
      <c r="AG4278" s="82"/>
      <c r="AH4278" s="82"/>
      <c r="AI4278" s="82"/>
      <c r="AJ4278" s="82"/>
      <c r="AK4278" s="82"/>
      <c r="AL4278" s="82"/>
      <c r="AM4278" s="82"/>
      <c r="AN4278" s="82">
        <f>IFERROR(__xludf.DUMMYFUNCTION("""COMPUTED_VALUE"""),0.0)</f>
        <v>0</v>
      </c>
      <c r="AO4278" s="82">
        <f>IFERROR(__xludf.DUMMYFUNCTION("""COMPUTED_VALUE"""),0.0)</f>
        <v>0</v>
      </c>
      <c r="AP4278" s="82">
        <f>IFERROR(__xludf.DUMMYFUNCTION("""COMPUTED_VALUE"""),0.0)</f>
        <v>0</v>
      </c>
      <c r="AQ4278" s="82">
        <f>IFERROR(__xludf.DUMMYFUNCTION("""COMPUTED_VALUE"""),0.0)</f>
        <v>0</v>
      </c>
      <c r="AR4278" s="82">
        <f>IFERROR(__xludf.DUMMYFUNCTION("""COMPUTED_VALUE"""),0.0)</f>
        <v>0</v>
      </c>
      <c r="AS4278" s="82"/>
      <c r="AT4278" s="82">
        <f>IFERROR(__xludf.DUMMYFUNCTION("""COMPUTED_VALUE"""),0.0)</f>
        <v>0</v>
      </c>
      <c r="AU4278" s="82"/>
      <c r="AV4278" s="82"/>
      <c r="AW4278" s="82" t="str">
        <f t="shared" si="1"/>
        <v/>
      </c>
      <c r="AX4278" s="83" t="str">
        <f t="array" ref="AX4278">IFERROR(DGET('SBV Import'!A:G,"SBV",{"RSC ID","Tier";B4278,A4278}))</f>
        <v/>
      </c>
      <c r="AY4278" s="82" t="str">
        <f t="shared" si="2"/>
        <v/>
      </c>
      <c r="AZ4278" s="82"/>
      <c r="BA4278" s="84" t="s">
        <v>152</v>
      </c>
      <c r="BB4278" s="84" t="str">
        <f>IFERROR(__xludf.DUMMYFUNCTION("iferror(if(A4278="""",,E4278&gt;=FILTER(Constants!$F$2:$F$10,Constants!$A$2:$A$10=A4278)))"),"")</f>
        <v/>
      </c>
    </row>
    <row r="4279">
      <c r="A4279" s="89"/>
      <c r="B4279" s="87"/>
      <c r="C4279" s="73"/>
      <c r="D4279" s="73"/>
      <c r="E4279" s="82"/>
      <c r="F4279" s="82"/>
      <c r="G4279" s="86"/>
      <c r="H4279" s="86"/>
      <c r="I4279" s="86"/>
      <c r="J4279" s="82"/>
      <c r="K4279" s="82"/>
      <c r="L4279" s="82"/>
      <c r="M4279" s="82"/>
      <c r="N4279" s="82"/>
      <c r="O4279" s="82"/>
      <c r="P4279" s="82"/>
      <c r="Q4279" s="82"/>
      <c r="R4279" s="82"/>
      <c r="S4279" s="82"/>
      <c r="T4279" s="82"/>
      <c r="U4279" s="82"/>
      <c r="V4279" s="82"/>
      <c r="W4279" s="82"/>
      <c r="X4279" s="82"/>
      <c r="Y4279" s="82"/>
      <c r="Z4279" s="82"/>
      <c r="AA4279" s="82"/>
      <c r="AB4279" s="82"/>
      <c r="AC4279" s="82"/>
      <c r="AD4279" s="82"/>
      <c r="AE4279" s="82"/>
      <c r="AF4279" s="82"/>
      <c r="AG4279" s="82"/>
      <c r="AH4279" s="82"/>
      <c r="AI4279" s="82"/>
      <c r="AJ4279" s="82"/>
      <c r="AK4279" s="82"/>
      <c r="AL4279" s="82"/>
      <c r="AM4279" s="82"/>
      <c r="AN4279" s="82">
        <f>IFERROR(__xludf.DUMMYFUNCTION("""COMPUTED_VALUE"""),0.0)</f>
        <v>0</v>
      </c>
      <c r="AO4279" s="82">
        <f>IFERROR(__xludf.DUMMYFUNCTION("""COMPUTED_VALUE"""),0.0)</f>
        <v>0</v>
      </c>
      <c r="AP4279" s="82">
        <f>IFERROR(__xludf.DUMMYFUNCTION("""COMPUTED_VALUE"""),0.0)</f>
        <v>0</v>
      </c>
      <c r="AQ4279" s="82">
        <f>IFERROR(__xludf.DUMMYFUNCTION("""COMPUTED_VALUE"""),0.0)</f>
        <v>0</v>
      </c>
      <c r="AR4279" s="82">
        <f>IFERROR(__xludf.DUMMYFUNCTION("""COMPUTED_VALUE"""),0.0)</f>
        <v>0</v>
      </c>
      <c r="AS4279" s="82"/>
      <c r="AT4279" s="82">
        <f>IFERROR(__xludf.DUMMYFUNCTION("""COMPUTED_VALUE"""),0.0)</f>
        <v>0</v>
      </c>
      <c r="AU4279" s="82"/>
      <c r="AV4279" s="82"/>
      <c r="AW4279" s="82" t="str">
        <f t="shared" si="1"/>
        <v/>
      </c>
      <c r="AX4279" s="83" t="str">
        <f t="array" ref="AX4279">IFERROR(DGET('SBV Import'!A:G,"SBV",{"RSC ID","Tier";B4279,A4279}))</f>
        <v/>
      </c>
      <c r="AY4279" s="82" t="str">
        <f t="shared" si="2"/>
        <v/>
      </c>
      <c r="AZ4279" s="82"/>
      <c r="BA4279" s="84" t="s">
        <v>152</v>
      </c>
      <c r="BB4279" s="84" t="str">
        <f>IFERROR(__xludf.DUMMYFUNCTION("iferror(if(A4279="""",,E4279&gt;=FILTER(Constants!$F$2:$F$10,Constants!$A$2:$A$10=A4279)))"),"")</f>
        <v/>
      </c>
    </row>
    <row r="4280">
      <c r="A4280" s="89"/>
      <c r="B4280" s="87"/>
      <c r="C4280" s="73"/>
      <c r="D4280" s="73"/>
      <c r="E4280" s="82"/>
      <c r="F4280" s="82"/>
      <c r="G4280" s="86"/>
      <c r="H4280" s="86"/>
      <c r="I4280" s="86"/>
      <c r="J4280" s="82"/>
      <c r="K4280" s="82"/>
      <c r="L4280" s="82"/>
      <c r="M4280" s="82"/>
      <c r="N4280" s="82"/>
      <c r="O4280" s="82"/>
      <c r="P4280" s="82"/>
      <c r="Q4280" s="82"/>
      <c r="R4280" s="82"/>
      <c r="S4280" s="82"/>
      <c r="T4280" s="82"/>
      <c r="U4280" s="82"/>
      <c r="V4280" s="82"/>
      <c r="W4280" s="82"/>
      <c r="X4280" s="82"/>
      <c r="Y4280" s="82"/>
      <c r="Z4280" s="82"/>
      <c r="AA4280" s="82"/>
      <c r="AB4280" s="82"/>
      <c r="AC4280" s="82"/>
      <c r="AD4280" s="82"/>
      <c r="AE4280" s="82"/>
      <c r="AF4280" s="82"/>
      <c r="AG4280" s="82"/>
      <c r="AH4280" s="82"/>
      <c r="AI4280" s="82"/>
      <c r="AJ4280" s="82"/>
      <c r="AK4280" s="82"/>
      <c r="AL4280" s="82"/>
      <c r="AM4280" s="82"/>
      <c r="AN4280" s="82">
        <f>IFERROR(__xludf.DUMMYFUNCTION("""COMPUTED_VALUE"""),0.0)</f>
        <v>0</v>
      </c>
      <c r="AO4280" s="82">
        <f>IFERROR(__xludf.DUMMYFUNCTION("""COMPUTED_VALUE"""),0.0)</f>
        <v>0</v>
      </c>
      <c r="AP4280" s="82">
        <f>IFERROR(__xludf.DUMMYFUNCTION("""COMPUTED_VALUE"""),0.0)</f>
        <v>0</v>
      </c>
      <c r="AQ4280" s="82">
        <f>IFERROR(__xludf.DUMMYFUNCTION("""COMPUTED_VALUE"""),0.0)</f>
        <v>0</v>
      </c>
      <c r="AR4280" s="82">
        <f>IFERROR(__xludf.DUMMYFUNCTION("""COMPUTED_VALUE"""),0.0)</f>
        <v>0</v>
      </c>
      <c r="AS4280" s="82"/>
      <c r="AT4280" s="82">
        <f>IFERROR(__xludf.DUMMYFUNCTION("""COMPUTED_VALUE"""),0.0)</f>
        <v>0</v>
      </c>
      <c r="AU4280" s="82"/>
      <c r="AV4280" s="82"/>
      <c r="AW4280" s="82" t="str">
        <f t="shared" si="1"/>
        <v/>
      </c>
      <c r="AX4280" s="83" t="str">
        <f t="array" ref="AX4280">IFERROR(DGET('SBV Import'!A:G,"SBV",{"RSC ID","Tier";B4280,A4280}))</f>
        <v/>
      </c>
      <c r="AY4280" s="82" t="str">
        <f t="shared" si="2"/>
        <v/>
      </c>
      <c r="AZ4280" s="82"/>
      <c r="BA4280" s="84" t="s">
        <v>152</v>
      </c>
      <c r="BB4280" s="84" t="str">
        <f>IFERROR(__xludf.DUMMYFUNCTION("iferror(if(A4280="""",,E4280&gt;=FILTER(Constants!$F$2:$F$10,Constants!$A$2:$A$10=A4280)))"),"")</f>
        <v/>
      </c>
    </row>
    <row r="4281">
      <c r="A4281" s="89"/>
      <c r="B4281" s="87"/>
      <c r="C4281" s="73"/>
      <c r="D4281" s="73"/>
      <c r="E4281" s="82"/>
      <c r="F4281" s="82"/>
      <c r="G4281" s="86"/>
      <c r="H4281" s="86"/>
      <c r="I4281" s="86"/>
      <c r="J4281" s="82"/>
      <c r="K4281" s="82"/>
      <c r="L4281" s="82"/>
      <c r="M4281" s="82"/>
      <c r="N4281" s="82"/>
      <c r="O4281" s="82"/>
      <c r="P4281" s="82"/>
      <c r="Q4281" s="82"/>
      <c r="R4281" s="82"/>
      <c r="S4281" s="82"/>
      <c r="T4281" s="82"/>
      <c r="U4281" s="82"/>
      <c r="V4281" s="82"/>
      <c r="W4281" s="82"/>
      <c r="X4281" s="82"/>
      <c r="Y4281" s="82"/>
      <c r="Z4281" s="82"/>
      <c r="AA4281" s="82"/>
      <c r="AB4281" s="82"/>
      <c r="AC4281" s="82"/>
      <c r="AD4281" s="82"/>
      <c r="AE4281" s="82"/>
      <c r="AF4281" s="82"/>
      <c r="AG4281" s="82"/>
      <c r="AH4281" s="82"/>
      <c r="AI4281" s="82"/>
      <c r="AJ4281" s="82"/>
      <c r="AK4281" s="82"/>
      <c r="AL4281" s="82"/>
      <c r="AM4281" s="82"/>
      <c r="AN4281" s="82">
        <f>IFERROR(__xludf.DUMMYFUNCTION("""COMPUTED_VALUE"""),0.0)</f>
        <v>0</v>
      </c>
      <c r="AO4281" s="82">
        <f>IFERROR(__xludf.DUMMYFUNCTION("""COMPUTED_VALUE"""),0.0)</f>
        <v>0</v>
      </c>
      <c r="AP4281" s="82">
        <f>IFERROR(__xludf.DUMMYFUNCTION("""COMPUTED_VALUE"""),0.0)</f>
        <v>0</v>
      </c>
      <c r="AQ4281" s="82">
        <f>IFERROR(__xludf.DUMMYFUNCTION("""COMPUTED_VALUE"""),0.0)</f>
        <v>0</v>
      </c>
      <c r="AR4281" s="82">
        <f>IFERROR(__xludf.DUMMYFUNCTION("""COMPUTED_VALUE"""),0.0)</f>
        <v>0</v>
      </c>
      <c r="AS4281" s="82"/>
      <c r="AT4281" s="82">
        <f>IFERROR(__xludf.DUMMYFUNCTION("""COMPUTED_VALUE"""),0.0)</f>
        <v>0</v>
      </c>
      <c r="AU4281" s="82"/>
      <c r="AV4281" s="82"/>
      <c r="AW4281" s="82" t="str">
        <f t="shared" si="1"/>
        <v/>
      </c>
      <c r="AX4281" s="83" t="str">
        <f t="array" ref="AX4281">IFERROR(DGET('SBV Import'!A:G,"SBV",{"RSC ID","Tier";B4281,A4281}))</f>
        <v/>
      </c>
      <c r="AY4281" s="82" t="str">
        <f t="shared" si="2"/>
        <v/>
      </c>
      <c r="AZ4281" s="82"/>
      <c r="BA4281" s="84" t="s">
        <v>152</v>
      </c>
      <c r="BB4281" s="84" t="str">
        <f>IFERROR(__xludf.DUMMYFUNCTION("iferror(if(A4281="""",,E4281&gt;=FILTER(Constants!$F$2:$F$10,Constants!$A$2:$A$10=A4281)))"),"")</f>
        <v/>
      </c>
    </row>
    <row r="4282">
      <c r="A4282" s="89"/>
      <c r="B4282" s="87"/>
      <c r="C4282" s="73"/>
      <c r="D4282" s="73"/>
      <c r="E4282" s="82"/>
      <c r="F4282" s="82"/>
      <c r="G4282" s="86"/>
      <c r="H4282" s="86"/>
      <c r="I4282" s="86"/>
      <c r="J4282" s="82"/>
      <c r="K4282" s="82"/>
      <c r="L4282" s="82"/>
      <c r="M4282" s="82"/>
      <c r="N4282" s="82"/>
      <c r="O4282" s="82"/>
      <c r="P4282" s="82"/>
      <c r="Q4282" s="82"/>
      <c r="R4282" s="82"/>
      <c r="S4282" s="82"/>
      <c r="T4282" s="82"/>
      <c r="U4282" s="82"/>
      <c r="V4282" s="82"/>
      <c r="W4282" s="82"/>
      <c r="X4282" s="82"/>
      <c r="Y4282" s="82"/>
      <c r="Z4282" s="82"/>
      <c r="AA4282" s="82"/>
      <c r="AB4282" s="82"/>
      <c r="AC4282" s="82"/>
      <c r="AD4282" s="82"/>
      <c r="AE4282" s="82"/>
      <c r="AF4282" s="82"/>
      <c r="AG4282" s="82"/>
      <c r="AH4282" s="82"/>
      <c r="AI4282" s="82"/>
      <c r="AJ4282" s="82"/>
      <c r="AK4282" s="82"/>
      <c r="AL4282" s="82"/>
      <c r="AM4282" s="82"/>
      <c r="AN4282" s="82">
        <f>IFERROR(__xludf.DUMMYFUNCTION("""COMPUTED_VALUE"""),0.0)</f>
        <v>0</v>
      </c>
      <c r="AO4282" s="82">
        <f>IFERROR(__xludf.DUMMYFUNCTION("""COMPUTED_VALUE"""),0.0)</f>
        <v>0</v>
      </c>
      <c r="AP4282" s="82">
        <f>IFERROR(__xludf.DUMMYFUNCTION("""COMPUTED_VALUE"""),0.0)</f>
        <v>0</v>
      </c>
      <c r="AQ4282" s="82">
        <f>IFERROR(__xludf.DUMMYFUNCTION("""COMPUTED_VALUE"""),0.0)</f>
        <v>0</v>
      </c>
      <c r="AR4282" s="82">
        <f>IFERROR(__xludf.DUMMYFUNCTION("""COMPUTED_VALUE"""),0.0)</f>
        <v>0</v>
      </c>
      <c r="AS4282" s="82"/>
      <c r="AT4282" s="82">
        <f>IFERROR(__xludf.DUMMYFUNCTION("""COMPUTED_VALUE"""),0.0)</f>
        <v>0</v>
      </c>
      <c r="AU4282" s="82"/>
      <c r="AV4282" s="82"/>
      <c r="AW4282" s="82" t="str">
        <f t="shared" si="1"/>
        <v/>
      </c>
      <c r="AX4282" s="83" t="str">
        <f t="array" ref="AX4282">IFERROR(DGET('SBV Import'!A:G,"SBV",{"RSC ID","Tier";B4282,A4282}))</f>
        <v/>
      </c>
      <c r="AY4282" s="82" t="str">
        <f t="shared" si="2"/>
        <v/>
      </c>
      <c r="AZ4282" s="82"/>
      <c r="BA4282" s="84" t="s">
        <v>152</v>
      </c>
      <c r="BB4282" s="84" t="str">
        <f>IFERROR(__xludf.DUMMYFUNCTION("iferror(if(A4282="""",,E4282&gt;=FILTER(Constants!$F$2:$F$10,Constants!$A$2:$A$10=A4282)))"),"")</f>
        <v/>
      </c>
    </row>
    <row r="4283">
      <c r="A4283" s="89"/>
      <c r="B4283" s="87"/>
      <c r="C4283" s="73"/>
      <c r="D4283" s="73"/>
      <c r="E4283" s="82"/>
      <c r="F4283" s="82"/>
      <c r="G4283" s="86"/>
      <c r="H4283" s="86"/>
      <c r="I4283" s="86"/>
      <c r="J4283" s="82"/>
      <c r="K4283" s="82"/>
      <c r="L4283" s="82"/>
      <c r="M4283" s="82"/>
      <c r="N4283" s="82"/>
      <c r="O4283" s="82"/>
      <c r="P4283" s="82"/>
      <c r="Q4283" s="82"/>
      <c r="R4283" s="82"/>
      <c r="S4283" s="82"/>
      <c r="T4283" s="82"/>
      <c r="U4283" s="82"/>
      <c r="V4283" s="82"/>
      <c r="W4283" s="82"/>
      <c r="X4283" s="82"/>
      <c r="Y4283" s="82"/>
      <c r="Z4283" s="82"/>
      <c r="AA4283" s="82"/>
      <c r="AB4283" s="82"/>
      <c r="AC4283" s="82"/>
      <c r="AD4283" s="82"/>
      <c r="AE4283" s="82"/>
      <c r="AF4283" s="82"/>
      <c r="AG4283" s="82"/>
      <c r="AH4283" s="82"/>
      <c r="AI4283" s="82"/>
      <c r="AJ4283" s="82"/>
      <c r="AK4283" s="82"/>
      <c r="AL4283" s="82"/>
      <c r="AM4283" s="82"/>
      <c r="AN4283" s="82">
        <f>IFERROR(__xludf.DUMMYFUNCTION("""COMPUTED_VALUE"""),0.0)</f>
        <v>0</v>
      </c>
      <c r="AO4283" s="82">
        <f>IFERROR(__xludf.DUMMYFUNCTION("""COMPUTED_VALUE"""),0.0)</f>
        <v>0</v>
      </c>
      <c r="AP4283" s="82">
        <f>IFERROR(__xludf.DUMMYFUNCTION("""COMPUTED_VALUE"""),0.0)</f>
        <v>0</v>
      </c>
      <c r="AQ4283" s="82">
        <f>IFERROR(__xludf.DUMMYFUNCTION("""COMPUTED_VALUE"""),0.0)</f>
        <v>0</v>
      </c>
      <c r="AR4283" s="82">
        <f>IFERROR(__xludf.DUMMYFUNCTION("""COMPUTED_VALUE"""),0.0)</f>
        <v>0</v>
      </c>
      <c r="AS4283" s="82"/>
      <c r="AT4283" s="82">
        <f>IFERROR(__xludf.DUMMYFUNCTION("""COMPUTED_VALUE"""),0.0)</f>
        <v>0</v>
      </c>
      <c r="AU4283" s="82"/>
      <c r="AV4283" s="82"/>
      <c r="AW4283" s="82" t="str">
        <f t="shared" si="1"/>
        <v/>
      </c>
      <c r="AX4283" s="83" t="str">
        <f t="array" ref="AX4283">IFERROR(DGET('SBV Import'!A:G,"SBV",{"RSC ID","Tier";B4283,A4283}))</f>
        <v/>
      </c>
      <c r="AY4283" s="82" t="str">
        <f t="shared" si="2"/>
        <v/>
      </c>
      <c r="AZ4283" s="82"/>
      <c r="BA4283" s="84" t="s">
        <v>152</v>
      </c>
      <c r="BB4283" s="84" t="str">
        <f>IFERROR(__xludf.DUMMYFUNCTION("iferror(if(A4283="""",,E4283&gt;=FILTER(Constants!$F$2:$F$10,Constants!$A$2:$A$10=A4283)))"),"")</f>
        <v/>
      </c>
    </row>
    <row r="4284">
      <c r="A4284" s="89"/>
      <c r="B4284" s="87"/>
      <c r="C4284" s="73"/>
      <c r="D4284" s="73"/>
      <c r="E4284" s="82"/>
      <c r="F4284" s="82"/>
      <c r="G4284" s="86"/>
      <c r="H4284" s="86"/>
      <c r="I4284" s="86"/>
      <c r="J4284" s="82"/>
      <c r="K4284" s="82"/>
      <c r="L4284" s="82"/>
      <c r="M4284" s="82"/>
      <c r="N4284" s="82"/>
      <c r="O4284" s="82"/>
      <c r="P4284" s="82"/>
      <c r="Q4284" s="82"/>
      <c r="R4284" s="82"/>
      <c r="S4284" s="82"/>
      <c r="T4284" s="82"/>
      <c r="U4284" s="82"/>
      <c r="V4284" s="82"/>
      <c r="W4284" s="82"/>
      <c r="X4284" s="82"/>
      <c r="Y4284" s="82"/>
      <c r="Z4284" s="82"/>
      <c r="AA4284" s="82"/>
      <c r="AB4284" s="82"/>
      <c r="AC4284" s="82"/>
      <c r="AD4284" s="82"/>
      <c r="AE4284" s="82"/>
      <c r="AF4284" s="82"/>
      <c r="AG4284" s="82"/>
      <c r="AH4284" s="82"/>
      <c r="AI4284" s="82"/>
      <c r="AJ4284" s="82"/>
      <c r="AK4284" s="82"/>
      <c r="AL4284" s="82"/>
      <c r="AM4284" s="82"/>
      <c r="AN4284" s="82">
        <f>IFERROR(__xludf.DUMMYFUNCTION("""COMPUTED_VALUE"""),0.0)</f>
        <v>0</v>
      </c>
      <c r="AO4284" s="82">
        <f>IFERROR(__xludf.DUMMYFUNCTION("""COMPUTED_VALUE"""),0.0)</f>
        <v>0</v>
      </c>
      <c r="AP4284" s="82">
        <f>IFERROR(__xludf.DUMMYFUNCTION("""COMPUTED_VALUE"""),0.0)</f>
        <v>0</v>
      </c>
      <c r="AQ4284" s="82">
        <f>IFERROR(__xludf.DUMMYFUNCTION("""COMPUTED_VALUE"""),0.0)</f>
        <v>0</v>
      </c>
      <c r="AR4284" s="82">
        <f>IFERROR(__xludf.DUMMYFUNCTION("""COMPUTED_VALUE"""),0.0)</f>
        <v>0</v>
      </c>
      <c r="AS4284" s="82"/>
      <c r="AT4284" s="82">
        <f>IFERROR(__xludf.DUMMYFUNCTION("""COMPUTED_VALUE"""),0.0)</f>
        <v>0</v>
      </c>
      <c r="AU4284" s="82"/>
      <c r="AV4284" s="82"/>
      <c r="AW4284" s="82" t="str">
        <f t="shared" si="1"/>
        <v/>
      </c>
      <c r="AX4284" s="83" t="str">
        <f t="array" ref="AX4284">IFERROR(DGET('SBV Import'!A:G,"SBV",{"RSC ID","Tier";B4284,A4284}))</f>
        <v/>
      </c>
      <c r="AY4284" s="82" t="str">
        <f t="shared" si="2"/>
        <v/>
      </c>
      <c r="AZ4284" s="82"/>
      <c r="BA4284" s="84" t="s">
        <v>152</v>
      </c>
      <c r="BB4284" s="84" t="str">
        <f>IFERROR(__xludf.DUMMYFUNCTION("iferror(if(A4284="""",,E4284&gt;=FILTER(Constants!$F$2:$F$10,Constants!$A$2:$A$10=A4284)))"),"")</f>
        <v/>
      </c>
    </row>
    <row r="4285">
      <c r="A4285" s="89"/>
      <c r="B4285" s="87"/>
      <c r="C4285" s="73"/>
      <c r="D4285" s="73"/>
      <c r="E4285" s="82"/>
      <c r="F4285" s="82"/>
      <c r="G4285" s="86"/>
      <c r="H4285" s="86"/>
      <c r="I4285" s="86"/>
      <c r="J4285" s="82"/>
      <c r="K4285" s="82"/>
      <c r="L4285" s="82"/>
      <c r="M4285" s="82"/>
      <c r="N4285" s="82"/>
      <c r="O4285" s="82"/>
      <c r="P4285" s="82"/>
      <c r="Q4285" s="82"/>
      <c r="R4285" s="82"/>
      <c r="S4285" s="82"/>
      <c r="T4285" s="82"/>
      <c r="U4285" s="82"/>
      <c r="V4285" s="82"/>
      <c r="W4285" s="82"/>
      <c r="X4285" s="82"/>
      <c r="Y4285" s="82"/>
      <c r="Z4285" s="82"/>
      <c r="AA4285" s="82"/>
      <c r="AB4285" s="82"/>
      <c r="AC4285" s="82"/>
      <c r="AD4285" s="82"/>
      <c r="AE4285" s="82"/>
      <c r="AF4285" s="82"/>
      <c r="AG4285" s="82"/>
      <c r="AH4285" s="82"/>
      <c r="AI4285" s="82"/>
      <c r="AJ4285" s="82"/>
      <c r="AK4285" s="82"/>
      <c r="AL4285" s="82"/>
      <c r="AM4285" s="82"/>
      <c r="AN4285" s="82">
        <f>IFERROR(__xludf.DUMMYFUNCTION("""COMPUTED_VALUE"""),0.0)</f>
        <v>0</v>
      </c>
      <c r="AO4285" s="82">
        <f>IFERROR(__xludf.DUMMYFUNCTION("""COMPUTED_VALUE"""),0.0)</f>
        <v>0</v>
      </c>
      <c r="AP4285" s="82">
        <f>IFERROR(__xludf.DUMMYFUNCTION("""COMPUTED_VALUE"""),0.0)</f>
        <v>0</v>
      </c>
      <c r="AQ4285" s="82">
        <f>IFERROR(__xludf.DUMMYFUNCTION("""COMPUTED_VALUE"""),0.0)</f>
        <v>0</v>
      </c>
      <c r="AR4285" s="82">
        <f>IFERROR(__xludf.DUMMYFUNCTION("""COMPUTED_VALUE"""),0.0)</f>
        <v>0</v>
      </c>
      <c r="AS4285" s="82"/>
      <c r="AT4285" s="82">
        <f>IFERROR(__xludf.DUMMYFUNCTION("""COMPUTED_VALUE"""),0.0)</f>
        <v>0</v>
      </c>
      <c r="AU4285" s="82"/>
      <c r="AV4285" s="82"/>
      <c r="AW4285" s="82" t="str">
        <f t="shared" si="1"/>
        <v/>
      </c>
      <c r="AX4285" s="83" t="str">
        <f t="array" ref="AX4285">IFERROR(DGET('SBV Import'!A:G,"SBV",{"RSC ID","Tier";B4285,A4285}))</f>
        <v/>
      </c>
      <c r="AY4285" s="82" t="str">
        <f t="shared" si="2"/>
        <v/>
      </c>
      <c r="AZ4285" s="82"/>
      <c r="BA4285" s="84" t="s">
        <v>152</v>
      </c>
      <c r="BB4285" s="84" t="str">
        <f>IFERROR(__xludf.DUMMYFUNCTION("iferror(if(A4285="""",,E4285&gt;=FILTER(Constants!$F$2:$F$10,Constants!$A$2:$A$10=A4285)))"),"")</f>
        <v/>
      </c>
    </row>
    <row r="4286">
      <c r="A4286" s="89"/>
      <c r="B4286" s="87"/>
      <c r="C4286" s="73"/>
      <c r="D4286" s="73"/>
      <c r="E4286" s="82"/>
      <c r="F4286" s="82"/>
      <c r="G4286" s="86"/>
      <c r="H4286" s="86"/>
      <c r="I4286" s="86"/>
      <c r="J4286" s="82"/>
      <c r="K4286" s="82"/>
      <c r="L4286" s="82"/>
      <c r="M4286" s="82"/>
      <c r="N4286" s="82"/>
      <c r="O4286" s="82"/>
      <c r="P4286" s="82"/>
      <c r="Q4286" s="82"/>
      <c r="R4286" s="82"/>
      <c r="S4286" s="82"/>
      <c r="T4286" s="82"/>
      <c r="U4286" s="82"/>
      <c r="V4286" s="82"/>
      <c r="W4286" s="82"/>
      <c r="X4286" s="82"/>
      <c r="Y4286" s="82"/>
      <c r="Z4286" s="82"/>
      <c r="AA4286" s="82"/>
      <c r="AB4286" s="82"/>
      <c r="AC4286" s="82"/>
      <c r="AD4286" s="82"/>
      <c r="AE4286" s="82"/>
      <c r="AF4286" s="82"/>
      <c r="AG4286" s="82"/>
      <c r="AH4286" s="82"/>
      <c r="AI4286" s="82"/>
      <c r="AJ4286" s="82"/>
      <c r="AK4286" s="82"/>
      <c r="AL4286" s="82"/>
      <c r="AM4286" s="82"/>
      <c r="AN4286" s="82">
        <f>IFERROR(__xludf.DUMMYFUNCTION("""COMPUTED_VALUE"""),0.0)</f>
        <v>0</v>
      </c>
      <c r="AO4286" s="82">
        <f>IFERROR(__xludf.DUMMYFUNCTION("""COMPUTED_VALUE"""),0.0)</f>
        <v>0</v>
      </c>
      <c r="AP4286" s="82">
        <f>IFERROR(__xludf.DUMMYFUNCTION("""COMPUTED_VALUE"""),0.0)</f>
        <v>0</v>
      </c>
      <c r="AQ4286" s="82">
        <f>IFERROR(__xludf.DUMMYFUNCTION("""COMPUTED_VALUE"""),0.0)</f>
        <v>0</v>
      </c>
      <c r="AR4286" s="82">
        <f>IFERROR(__xludf.DUMMYFUNCTION("""COMPUTED_VALUE"""),0.0)</f>
        <v>0</v>
      </c>
      <c r="AS4286" s="82"/>
      <c r="AT4286" s="82">
        <f>IFERROR(__xludf.DUMMYFUNCTION("""COMPUTED_VALUE"""),0.0)</f>
        <v>0</v>
      </c>
      <c r="AU4286" s="82"/>
      <c r="AV4286" s="82"/>
      <c r="AW4286" s="82" t="str">
        <f t="shared" si="1"/>
        <v/>
      </c>
      <c r="AX4286" s="83" t="str">
        <f t="array" ref="AX4286">IFERROR(DGET('SBV Import'!A:G,"SBV",{"RSC ID","Tier";B4286,A4286}))</f>
        <v/>
      </c>
      <c r="AY4286" s="82" t="str">
        <f t="shared" si="2"/>
        <v/>
      </c>
      <c r="AZ4286" s="82"/>
      <c r="BA4286" s="84" t="s">
        <v>152</v>
      </c>
      <c r="BB4286" s="84" t="str">
        <f>IFERROR(__xludf.DUMMYFUNCTION("iferror(if(A4286="""",,E4286&gt;=FILTER(Constants!$F$2:$F$10,Constants!$A$2:$A$10=A4286)))"),"")</f>
        <v/>
      </c>
    </row>
    <row r="4287">
      <c r="A4287" s="89"/>
      <c r="B4287" s="87"/>
      <c r="C4287" s="73"/>
      <c r="D4287" s="73"/>
      <c r="E4287" s="82"/>
      <c r="F4287" s="82"/>
      <c r="G4287" s="86"/>
      <c r="H4287" s="86"/>
      <c r="I4287" s="86"/>
      <c r="J4287" s="82"/>
      <c r="K4287" s="82"/>
      <c r="L4287" s="82"/>
      <c r="M4287" s="82"/>
      <c r="N4287" s="82"/>
      <c r="O4287" s="82"/>
      <c r="P4287" s="82"/>
      <c r="Q4287" s="82"/>
      <c r="R4287" s="82"/>
      <c r="S4287" s="82"/>
      <c r="T4287" s="82"/>
      <c r="U4287" s="82"/>
      <c r="V4287" s="82"/>
      <c r="W4287" s="82"/>
      <c r="X4287" s="82"/>
      <c r="Y4287" s="82"/>
      <c r="Z4287" s="82"/>
      <c r="AA4287" s="82"/>
      <c r="AB4287" s="82"/>
      <c r="AC4287" s="82"/>
      <c r="AD4287" s="82"/>
      <c r="AE4287" s="82"/>
      <c r="AF4287" s="82"/>
      <c r="AG4287" s="82"/>
      <c r="AH4287" s="82"/>
      <c r="AI4287" s="82"/>
      <c r="AJ4287" s="82"/>
      <c r="AK4287" s="82"/>
      <c r="AL4287" s="82"/>
      <c r="AM4287" s="82"/>
      <c r="AN4287" s="82">
        <f>IFERROR(__xludf.DUMMYFUNCTION("""COMPUTED_VALUE"""),0.0)</f>
        <v>0</v>
      </c>
      <c r="AO4287" s="82">
        <f>IFERROR(__xludf.DUMMYFUNCTION("""COMPUTED_VALUE"""),0.0)</f>
        <v>0</v>
      </c>
      <c r="AP4287" s="82">
        <f>IFERROR(__xludf.DUMMYFUNCTION("""COMPUTED_VALUE"""),0.0)</f>
        <v>0</v>
      </c>
      <c r="AQ4287" s="82">
        <f>IFERROR(__xludf.DUMMYFUNCTION("""COMPUTED_VALUE"""),0.0)</f>
        <v>0</v>
      </c>
      <c r="AR4287" s="82">
        <f>IFERROR(__xludf.DUMMYFUNCTION("""COMPUTED_VALUE"""),0.0)</f>
        <v>0</v>
      </c>
      <c r="AS4287" s="82"/>
      <c r="AT4287" s="82">
        <f>IFERROR(__xludf.DUMMYFUNCTION("""COMPUTED_VALUE"""),0.0)</f>
        <v>0</v>
      </c>
      <c r="AU4287" s="82"/>
      <c r="AV4287" s="82"/>
      <c r="AW4287" s="82" t="str">
        <f t="shared" si="1"/>
        <v/>
      </c>
      <c r="AX4287" s="83" t="str">
        <f t="array" ref="AX4287">IFERROR(DGET('SBV Import'!A:G,"SBV",{"RSC ID","Tier";B4287,A4287}))</f>
        <v/>
      </c>
      <c r="AY4287" s="82" t="str">
        <f t="shared" si="2"/>
        <v/>
      </c>
      <c r="AZ4287" s="82"/>
      <c r="BA4287" s="84" t="s">
        <v>152</v>
      </c>
      <c r="BB4287" s="84" t="str">
        <f>IFERROR(__xludf.DUMMYFUNCTION("iferror(if(A4287="""",,E4287&gt;=FILTER(Constants!$F$2:$F$10,Constants!$A$2:$A$10=A4287)))"),"")</f>
        <v/>
      </c>
    </row>
    <row r="4288">
      <c r="A4288" s="89"/>
      <c r="B4288" s="87"/>
      <c r="C4288" s="73"/>
      <c r="D4288" s="73"/>
      <c r="E4288" s="82"/>
      <c r="F4288" s="82"/>
      <c r="G4288" s="86"/>
      <c r="H4288" s="86"/>
      <c r="I4288" s="86"/>
      <c r="J4288" s="82"/>
      <c r="K4288" s="82"/>
      <c r="L4288" s="82"/>
      <c r="M4288" s="82"/>
      <c r="N4288" s="82"/>
      <c r="O4288" s="82"/>
      <c r="P4288" s="82"/>
      <c r="Q4288" s="82"/>
      <c r="R4288" s="82"/>
      <c r="S4288" s="82"/>
      <c r="T4288" s="82"/>
      <c r="U4288" s="82"/>
      <c r="V4288" s="82"/>
      <c r="W4288" s="82"/>
      <c r="X4288" s="82"/>
      <c r="Y4288" s="82"/>
      <c r="Z4288" s="82"/>
      <c r="AA4288" s="82"/>
      <c r="AB4288" s="82"/>
      <c r="AC4288" s="82"/>
      <c r="AD4288" s="82"/>
      <c r="AE4288" s="82"/>
      <c r="AF4288" s="82"/>
      <c r="AG4288" s="82"/>
      <c r="AH4288" s="82"/>
      <c r="AI4288" s="82"/>
      <c r="AJ4288" s="82"/>
      <c r="AK4288" s="82"/>
      <c r="AL4288" s="82"/>
      <c r="AM4288" s="82"/>
      <c r="AN4288" s="82">
        <f>IFERROR(__xludf.DUMMYFUNCTION("""COMPUTED_VALUE"""),0.0)</f>
        <v>0</v>
      </c>
      <c r="AO4288" s="82">
        <f>IFERROR(__xludf.DUMMYFUNCTION("""COMPUTED_VALUE"""),0.0)</f>
        <v>0</v>
      </c>
      <c r="AP4288" s="82">
        <f>IFERROR(__xludf.DUMMYFUNCTION("""COMPUTED_VALUE"""),0.0)</f>
        <v>0</v>
      </c>
      <c r="AQ4288" s="82">
        <f>IFERROR(__xludf.DUMMYFUNCTION("""COMPUTED_VALUE"""),0.0)</f>
        <v>0</v>
      </c>
      <c r="AR4288" s="82">
        <f>IFERROR(__xludf.DUMMYFUNCTION("""COMPUTED_VALUE"""),0.0)</f>
        <v>0</v>
      </c>
      <c r="AS4288" s="82"/>
      <c r="AT4288" s="82">
        <f>IFERROR(__xludf.DUMMYFUNCTION("""COMPUTED_VALUE"""),0.0)</f>
        <v>0</v>
      </c>
      <c r="AU4288" s="82"/>
      <c r="AV4288" s="82"/>
      <c r="AW4288" s="82" t="str">
        <f t="shared" si="1"/>
        <v/>
      </c>
      <c r="AX4288" s="83" t="str">
        <f t="array" ref="AX4288">IFERROR(DGET('SBV Import'!A:G,"SBV",{"RSC ID","Tier";B4288,A4288}))</f>
        <v/>
      </c>
      <c r="AY4288" s="82" t="str">
        <f t="shared" si="2"/>
        <v/>
      </c>
      <c r="AZ4288" s="82"/>
      <c r="BA4288" s="84" t="s">
        <v>152</v>
      </c>
      <c r="BB4288" s="84" t="str">
        <f>IFERROR(__xludf.DUMMYFUNCTION("iferror(if(A4288="""",,E4288&gt;=FILTER(Constants!$F$2:$F$10,Constants!$A$2:$A$10=A4288)))"),"")</f>
        <v/>
      </c>
    </row>
    <row r="4289">
      <c r="A4289" s="89"/>
      <c r="B4289" s="87"/>
      <c r="C4289" s="73"/>
      <c r="D4289" s="73"/>
      <c r="E4289" s="82"/>
      <c r="F4289" s="82"/>
      <c r="G4289" s="86"/>
      <c r="H4289" s="86"/>
      <c r="I4289" s="86"/>
      <c r="J4289" s="82"/>
      <c r="K4289" s="82"/>
      <c r="L4289" s="82"/>
      <c r="M4289" s="82"/>
      <c r="N4289" s="82"/>
      <c r="O4289" s="82"/>
      <c r="P4289" s="82"/>
      <c r="Q4289" s="82"/>
      <c r="R4289" s="82"/>
      <c r="S4289" s="82"/>
      <c r="T4289" s="82"/>
      <c r="U4289" s="82"/>
      <c r="V4289" s="82"/>
      <c r="W4289" s="82"/>
      <c r="X4289" s="82"/>
      <c r="Y4289" s="82"/>
      <c r="Z4289" s="82"/>
      <c r="AA4289" s="82"/>
      <c r="AB4289" s="82"/>
      <c r="AC4289" s="82"/>
      <c r="AD4289" s="82"/>
      <c r="AE4289" s="82"/>
      <c r="AF4289" s="82"/>
      <c r="AG4289" s="82"/>
      <c r="AH4289" s="82"/>
      <c r="AI4289" s="82"/>
      <c r="AJ4289" s="82"/>
      <c r="AK4289" s="82"/>
      <c r="AL4289" s="82"/>
      <c r="AM4289" s="82"/>
      <c r="AN4289" s="82">
        <f>IFERROR(__xludf.DUMMYFUNCTION("""COMPUTED_VALUE"""),0.0)</f>
        <v>0</v>
      </c>
      <c r="AO4289" s="82">
        <f>IFERROR(__xludf.DUMMYFUNCTION("""COMPUTED_VALUE"""),0.0)</f>
        <v>0</v>
      </c>
      <c r="AP4289" s="82">
        <f>IFERROR(__xludf.DUMMYFUNCTION("""COMPUTED_VALUE"""),0.0)</f>
        <v>0</v>
      </c>
      <c r="AQ4289" s="82">
        <f>IFERROR(__xludf.DUMMYFUNCTION("""COMPUTED_VALUE"""),0.0)</f>
        <v>0</v>
      </c>
      <c r="AR4289" s="82">
        <f>IFERROR(__xludf.DUMMYFUNCTION("""COMPUTED_VALUE"""),0.0)</f>
        <v>0</v>
      </c>
      <c r="AS4289" s="82"/>
      <c r="AT4289" s="82">
        <f>IFERROR(__xludf.DUMMYFUNCTION("""COMPUTED_VALUE"""),0.0)</f>
        <v>0</v>
      </c>
      <c r="AU4289" s="82"/>
      <c r="AV4289" s="82"/>
      <c r="AW4289" s="82" t="str">
        <f t="shared" si="1"/>
        <v/>
      </c>
      <c r="AX4289" s="83" t="str">
        <f t="array" ref="AX4289">IFERROR(DGET('SBV Import'!A:G,"SBV",{"RSC ID","Tier";B4289,A4289}))</f>
        <v/>
      </c>
      <c r="AY4289" s="82" t="str">
        <f t="shared" si="2"/>
        <v/>
      </c>
      <c r="AZ4289" s="82"/>
      <c r="BA4289" s="84" t="s">
        <v>152</v>
      </c>
      <c r="BB4289" s="84" t="str">
        <f>IFERROR(__xludf.DUMMYFUNCTION("iferror(if(A4289="""",,E4289&gt;=FILTER(Constants!$F$2:$F$10,Constants!$A$2:$A$10=A4289)))"),"")</f>
        <v/>
      </c>
    </row>
    <row r="4290">
      <c r="A4290" s="89"/>
      <c r="B4290" s="87"/>
      <c r="C4290" s="73"/>
      <c r="D4290" s="73"/>
      <c r="E4290" s="82"/>
      <c r="F4290" s="82"/>
      <c r="G4290" s="86"/>
      <c r="H4290" s="86"/>
      <c r="I4290" s="86"/>
      <c r="J4290" s="82"/>
      <c r="K4290" s="82"/>
      <c r="L4290" s="82"/>
      <c r="M4290" s="82"/>
      <c r="N4290" s="82"/>
      <c r="O4290" s="82"/>
      <c r="P4290" s="82"/>
      <c r="Q4290" s="82"/>
      <c r="R4290" s="82"/>
      <c r="S4290" s="82"/>
      <c r="T4290" s="82"/>
      <c r="U4290" s="82"/>
      <c r="V4290" s="82"/>
      <c r="W4290" s="82"/>
      <c r="X4290" s="82"/>
      <c r="Y4290" s="82"/>
      <c r="Z4290" s="82"/>
      <c r="AA4290" s="82"/>
      <c r="AB4290" s="82"/>
      <c r="AC4290" s="82"/>
      <c r="AD4290" s="82"/>
      <c r="AE4290" s="82"/>
      <c r="AF4290" s="82"/>
      <c r="AG4290" s="82"/>
      <c r="AH4290" s="82"/>
      <c r="AI4290" s="82"/>
      <c r="AJ4290" s="82"/>
      <c r="AK4290" s="82"/>
      <c r="AL4290" s="82"/>
      <c r="AM4290" s="82"/>
      <c r="AN4290" s="82">
        <f>IFERROR(__xludf.DUMMYFUNCTION("""COMPUTED_VALUE"""),0.0)</f>
        <v>0</v>
      </c>
      <c r="AO4290" s="82">
        <f>IFERROR(__xludf.DUMMYFUNCTION("""COMPUTED_VALUE"""),0.0)</f>
        <v>0</v>
      </c>
      <c r="AP4290" s="82">
        <f>IFERROR(__xludf.DUMMYFUNCTION("""COMPUTED_VALUE"""),0.0)</f>
        <v>0</v>
      </c>
      <c r="AQ4290" s="82">
        <f>IFERROR(__xludf.DUMMYFUNCTION("""COMPUTED_VALUE"""),0.0)</f>
        <v>0</v>
      </c>
      <c r="AR4290" s="82">
        <f>IFERROR(__xludf.DUMMYFUNCTION("""COMPUTED_VALUE"""),0.0)</f>
        <v>0</v>
      </c>
      <c r="AS4290" s="82"/>
      <c r="AT4290" s="82">
        <f>IFERROR(__xludf.DUMMYFUNCTION("""COMPUTED_VALUE"""),0.0)</f>
        <v>0</v>
      </c>
      <c r="AU4290" s="82"/>
      <c r="AV4290" s="82"/>
      <c r="AW4290" s="82" t="str">
        <f t="shared" si="1"/>
        <v/>
      </c>
      <c r="AX4290" s="83" t="str">
        <f t="array" ref="AX4290">IFERROR(DGET('SBV Import'!A:G,"SBV",{"RSC ID","Tier";B4290,A4290}))</f>
        <v/>
      </c>
      <c r="AY4290" s="82" t="str">
        <f t="shared" si="2"/>
        <v/>
      </c>
      <c r="AZ4290" s="82"/>
      <c r="BA4290" s="84" t="s">
        <v>152</v>
      </c>
      <c r="BB4290" s="84" t="str">
        <f>IFERROR(__xludf.DUMMYFUNCTION("iferror(if(A4290="""",,E4290&gt;=FILTER(Constants!$F$2:$F$10,Constants!$A$2:$A$10=A4290)))"),"")</f>
        <v/>
      </c>
    </row>
    <row r="4291">
      <c r="A4291" s="89"/>
      <c r="B4291" s="87"/>
      <c r="C4291" s="73"/>
      <c r="D4291" s="73"/>
      <c r="E4291" s="82"/>
      <c r="F4291" s="82"/>
      <c r="G4291" s="86"/>
      <c r="H4291" s="86"/>
      <c r="I4291" s="86"/>
      <c r="J4291" s="82"/>
      <c r="K4291" s="82"/>
      <c r="L4291" s="82"/>
      <c r="M4291" s="82"/>
      <c r="N4291" s="82"/>
      <c r="O4291" s="82"/>
      <c r="P4291" s="82"/>
      <c r="Q4291" s="82"/>
      <c r="R4291" s="82"/>
      <c r="S4291" s="82"/>
      <c r="T4291" s="82"/>
      <c r="U4291" s="82"/>
      <c r="V4291" s="82"/>
      <c r="W4291" s="82"/>
      <c r="X4291" s="82"/>
      <c r="Y4291" s="82"/>
      <c r="Z4291" s="82"/>
      <c r="AA4291" s="82"/>
      <c r="AB4291" s="82"/>
      <c r="AC4291" s="82"/>
      <c r="AD4291" s="82"/>
      <c r="AE4291" s="82"/>
      <c r="AF4291" s="82"/>
      <c r="AG4291" s="82"/>
      <c r="AH4291" s="82"/>
      <c r="AI4291" s="82"/>
      <c r="AJ4291" s="82"/>
      <c r="AK4291" s="82"/>
      <c r="AL4291" s="82"/>
      <c r="AM4291" s="82"/>
      <c r="AN4291" s="82">
        <f>IFERROR(__xludf.DUMMYFUNCTION("""COMPUTED_VALUE"""),0.0)</f>
        <v>0</v>
      </c>
      <c r="AO4291" s="82">
        <f>IFERROR(__xludf.DUMMYFUNCTION("""COMPUTED_VALUE"""),0.0)</f>
        <v>0</v>
      </c>
      <c r="AP4291" s="82">
        <f>IFERROR(__xludf.DUMMYFUNCTION("""COMPUTED_VALUE"""),0.0)</f>
        <v>0</v>
      </c>
      <c r="AQ4291" s="82">
        <f>IFERROR(__xludf.DUMMYFUNCTION("""COMPUTED_VALUE"""),0.0)</f>
        <v>0</v>
      </c>
      <c r="AR4291" s="82">
        <f>IFERROR(__xludf.DUMMYFUNCTION("""COMPUTED_VALUE"""),0.0)</f>
        <v>0</v>
      </c>
      <c r="AS4291" s="82"/>
      <c r="AT4291" s="82">
        <f>IFERROR(__xludf.DUMMYFUNCTION("""COMPUTED_VALUE"""),0.0)</f>
        <v>0</v>
      </c>
      <c r="AU4291" s="82"/>
      <c r="AV4291" s="82"/>
      <c r="AW4291" s="82" t="str">
        <f t="shared" si="1"/>
        <v/>
      </c>
      <c r="AX4291" s="83" t="str">
        <f t="array" ref="AX4291">IFERROR(DGET('SBV Import'!A:G,"SBV",{"RSC ID","Tier";B4291,A4291}))</f>
        <v/>
      </c>
      <c r="AY4291" s="82" t="str">
        <f t="shared" si="2"/>
        <v/>
      </c>
      <c r="AZ4291" s="82"/>
      <c r="BA4291" s="84" t="s">
        <v>152</v>
      </c>
      <c r="BB4291" s="84" t="str">
        <f>IFERROR(__xludf.DUMMYFUNCTION("iferror(if(A4291="""",,E4291&gt;=FILTER(Constants!$F$2:$F$10,Constants!$A$2:$A$10=A4291)))"),"")</f>
        <v/>
      </c>
    </row>
    <row r="4292">
      <c r="A4292" s="89"/>
      <c r="B4292" s="87"/>
      <c r="C4292" s="73"/>
      <c r="D4292" s="73"/>
      <c r="E4292" s="82"/>
      <c r="F4292" s="82"/>
      <c r="G4292" s="86"/>
      <c r="H4292" s="86"/>
      <c r="I4292" s="86"/>
      <c r="J4292" s="82"/>
      <c r="K4292" s="82"/>
      <c r="L4292" s="82"/>
      <c r="M4292" s="82"/>
      <c r="N4292" s="82"/>
      <c r="O4292" s="82"/>
      <c r="P4292" s="82"/>
      <c r="Q4292" s="82"/>
      <c r="R4292" s="82"/>
      <c r="S4292" s="82"/>
      <c r="T4292" s="82"/>
      <c r="U4292" s="82"/>
      <c r="V4292" s="82"/>
      <c r="W4292" s="82"/>
      <c r="X4292" s="82"/>
      <c r="Y4292" s="82"/>
      <c r="Z4292" s="82"/>
      <c r="AA4292" s="82"/>
      <c r="AB4292" s="82"/>
      <c r="AC4292" s="82"/>
      <c r="AD4292" s="82"/>
      <c r="AE4292" s="82"/>
      <c r="AF4292" s="82"/>
      <c r="AG4292" s="82"/>
      <c r="AH4292" s="82"/>
      <c r="AI4292" s="82"/>
      <c r="AJ4292" s="82"/>
      <c r="AK4292" s="82"/>
      <c r="AL4292" s="82"/>
      <c r="AM4292" s="82"/>
      <c r="AN4292" s="82">
        <f>IFERROR(__xludf.DUMMYFUNCTION("""COMPUTED_VALUE"""),0.0)</f>
        <v>0</v>
      </c>
      <c r="AO4292" s="82">
        <f>IFERROR(__xludf.DUMMYFUNCTION("""COMPUTED_VALUE"""),0.0)</f>
        <v>0</v>
      </c>
      <c r="AP4292" s="82">
        <f>IFERROR(__xludf.DUMMYFUNCTION("""COMPUTED_VALUE"""),0.0)</f>
        <v>0</v>
      </c>
      <c r="AQ4292" s="82">
        <f>IFERROR(__xludf.DUMMYFUNCTION("""COMPUTED_VALUE"""),0.0)</f>
        <v>0</v>
      </c>
      <c r="AR4292" s="82">
        <f>IFERROR(__xludf.DUMMYFUNCTION("""COMPUTED_VALUE"""),0.0)</f>
        <v>0</v>
      </c>
      <c r="AS4292" s="82"/>
      <c r="AT4292" s="82">
        <f>IFERROR(__xludf.DUMMYFUNCTION("""COMPUTED_VALUE"""),0.0)</f>
        <v>0</v>
      </c>
      <c r="AU4292" s="82"/>
      <c r="AV4292" s="82"/>
      <c r="AW4292" s="82" t="str">
        <f t="shared" si="1"/>
        <v/>
      </c>
      <c r="AX4292" s="83" t="str">
        <f t="array" ref="AX4292">IFERROR(DGET('SBV Import'!A:G,"SBV",{"RSC ID","Tier";B4292,A4292}))</f>
        <v/>
      </c>
      <c r="AY4292" s="82" t="str">
        <f t="shared" si="2"/>
        <v/>
      </c>
      <c r="AZ4292" s="82"/>
      <c r="BA4292" s="84" t="s">
        <v>152</v>
      </c>
      <c r="BB4292" s="84" t="str">
        <f>IFERROR(__xludf.DUMMYFUNCTION("iferror(if(A4292="""",,E4292&gt;=FILTER(Constants!$F$2:$F$10,Constants!$A$2:$A$10=A4292)))"),"")</f>
        <v/>
      </c>
    </row>
    <row r="4293">
      <c r="A4293" s="89"/>
      <c r="B4293" s="87"/>
      <c r="C4293" s="73"/>
      <c r="D4293" s="73"/>
      <c r="E4293" s="82"/>
      <c r="F4293" s="82"/>
      <c r="G4293" s="86"/>
      <c r="H4293" s="86"/>
      <c r="I4293" s="86"/>
      <c r="J4293" s="82"/>
      <c r="K4293" s="82"/>
      <c r="L4293" s="82"/>
      <c r="M4293" s="82"/>
      <c r="N4293" s="82"/>
      <c r="O4293" s="82"/>
      <c r="P4293" s="82"/>
      <c r="Q4293" s="82"/>
      <c r="R4293" s="82"/>
      <c r="S4293" s="82"/>
      <c r="T4293" s="82"/>
      <c r="U4293" s="82"/>
      <c r="V4293" s="82"/>
      <c r="W4293" s="82"/>
      <c r="X4293" s="82"/>
      <c r="Y4293" s="82"/>
      <c r="Z4293" s="82"/>
      <c r="AA4293" s="82"/>
      <c r="AB4293" s="82"/>
      <c r="AC4293" s="82"/>
      <c r="AD4293" s="82"/>
      <c r="AE4293" s="82"/>
      <c r="AF4293" s="82"/>
      <c r="AG4293" s="82"/>
      <c r="AH4293" s="82"/>
      <c r="AI4293" s="82"/>
      <c r="AJ4293" s="82"/>
      <c r="AK4293" s="82"/>
      <c r="AL4293" s="82"/>
      <c r="AM4293" s="82"/>
      <c r="AN4293" s="82">
        <f>IFERROR(__xludf.DUMMYFUNCTION("""COMPUTED_VALUE"""),0.0)</f>
        <v>0</v>
      </c>
      <c r="AO4293" s="82">
        <f>IFERROR(__xludf.DUMMYFUNCTION("""COMPUTED_VALUE"""),0.0)</f>
        <v>0</v>
      </c>
      <c r="AP4293" s="82">
        <f>IFERROR(__xludf.DUMMYFUNCTION("""COMPUTED_VALUE"""),0.0)</f>
        <v>0</v>
      </c>
      <c r="AQ4293" s="82">
        <f>IFERROR(__xludf.DUMMYFUNCTION("""COMPUTED_VALUE"""),0.0)</f>
        <v>0</v>
      </c>
      <c r="AR4293" s="82">
        <f>IFERROR(__xludf.DUMMYFUNCTION("""COMPUTED_VALUE"""),0.0)</f>
        <v>0</v>
      </c>
      <c r="AS4293" s="82"/>
      <c r="AT4293" s="82">
        <f>IFERROR(__xludf.DUMMYFUNCTION("""COMPUTED_VALUE"""),0.0)</f>
        <v>0</v>
      </c>
      <c r="AU4293" s="82"/>
      <c r="AV4293" s="82"/>
      <c r="AW4293" s="82" t="str">
        <f t="shared" si="1"/>
        <v/>
      </c>
      <c r="AX4293" s="83" t="str">
        <f t="array" ref="AX4293">IFERROR(DGET('SBV Import'!A:G,"SBV",{"RSC ID","Tier";B4293,A4293}))</f>
        <v/>
      </c>
      <c r="AY4293" s="82" t="str">
        <f t="shared" si="2"/>
        <v/>
      </c>
      <c r="AZ4293" s="82"/>
      <c r="BA4293" s="84" t="s">
        <v>152</v>
      </c>
      <c r="BB4293" s="84" t="str">
        <f>IFERROR(__xludf.DUMMYFUNCTION("iferror(if(A4293="""",,E4293&gt;=FILTER(Constants!$F$2:$F$10,Constants!$A$2:$A$10=A4293)))"),"")</f>
        <v/>
      </c>
    </row>
    <row r="4294">
      <c r="A4294" s="89"/>
      <c r="B4294" s="87"/>
      <c r="C4294" s="73"/>
      <c r="D4294" s="73"/>
      <c r="E4294" s="82"/>
      <c r="F4294" s="82"/>
      <c r="G4294" s="86"/>
      <c r="H4294" s="86"/>
      <c r="I4294" s="86"/>
      <c r="J4294" s="82"/>
      <c r="K4294" s="82"/>
      <c r="L4294" s="82"/>
      <c r="M4294" s="82"/>
      <c r="N4294" s="82"/>
      <c r="O4294" s="82"/>
      <c r="P4294" s="82"/>
      <c r="Q4294" s="82"/>
      <c r="R4294" s="82"/>
      <c r="S4294" s="82"/>
      <c r="T4294" s="82"/>
      <c r="U4294" s="82"/>
      <c r="V4294" s="82"/>
      <c r="W4294" s="82"/>
      <c r="X4294" s="82"/>
      <c r="Y4294" s="82"/>
      <c r="Z4294" s="82"/>
      <c r="AA4294" s="82"/>
      <c r="AB4294" s="82"/>
      <c r="AC4294" s="82"/>
      <c r="AD4294" s="82"/>
      <c r="AE4294" s="82"/>
      <c r="AF4294" s="82"/>
      <c r="AG4294" s="82"/>
      <c r="AH4294" s="82"/>
      <c r="AI4294" s="82"/>
      <c r="AJ4294" s="82"/>
      <c r="AK4294" s="82"/>
      <c r="AL4294" s="82"/>
      <c r="AM4294" s="82"/>
      <c r="AN4294" s="82">
        <f>IFERROR(__xludf.DUMMYFUNCTION("""COMPUTED_VALUE"""),0.0)</f>
        <v>0</v>
      </c>
      <c r="AO4294" s="82">
        <f>IFERROR(__xludf.DUMMYFUNCTION("""COMPUTED_VALUE"""),0.0)</f>
        <v>0</v>
      </c>
      <c r="AP4294" s="82">
        <f>IFERROR(__xludf.DUMMYFUNCTION("""COMPUTED_VALUE"""),0.0)</f>
        <v>0</v>
      </c>
      <c r="AQ4294" s="82">
        <f>IFERROR(__xludf.DUMMYFUNCTION("""COMPUTED_VALUE"""),0.0)</f>
        <v>0</v>
      </c>
      <c r="AR4294" s="82">
        <f>IFERROR(__xludf.DUMMYFUNCTION("""COMPUTED_VALUE"""),0.0)</f>
        <v>0</v>
      </c>
      <c r="AS4294" s="82"/>
      <c r="AT4294" s="82">
        <f>IFERROR(__xludf.DUMMYFUNCTION("""COMPUTED_VALUE"""),0.0)</f>
        <v>0</v>
      </c>
      <c r="AU4294" s="82"/>
      <c r="AV4294" s="82"/>
      <c r="AW4294" s="82" t="str">
        <f t="shared" si="1"/>
        <v/>
      </c>
      <c r="AX4294" s="83" t="str">
        <f t="array" ref="AX4294">IFERROR(DGET('SBV Import'!A:G,"SBV",{"RSC ID","Tier";B4294,A4294}))</f>
        <v/>
      </c>
      <c r="AY4294" s="82" t="str">
        <f t="shared" si="2"/>
        <v/>
      </c>
      <c r="AZ4294" s="82"/>
      <c r="BA4294" s="84" t="s">
        <v>152</v>
      </c>
      <c r="BB4294" s="84" t="str">
        <f>IFERROR(__xludf.DUMMYFUNCTION("iferror(if(A4294="""",,E4294&gt;=FILTER(Constants!$F$2:$F$10,Constants!$A$2:$A$10=A4294)))"),"")</f>
        <v/>
      </c>
    </row>
    <row r="4295">
      <c r="A4295" s="89"/>
      <c r="B4295" s="87"/>
      <c r="C4295" s="73"/>
      <c r="D4295" s="73"/>
      <c r="E4295" s="82"/>
      <c r="F4295" s="82"/>
      <c r="G4295" s="86"/>
      <c r="H4295" s="86"/>
      <c r="I4295" s="86"/>
      <c r="J4295" s="82"/>
      <c r="K4295" s="82"/>
      <c r="L4295" s="82"/>
      <c r="M4295" s="82"/>
      <c r="N4295" s="82"/>
      <c r="O4295" s="82"/>
      <c r="P4295" s="82"/>
      <c r="Q4295" s="82"/>
      <c r="R4295" s="82"/>
      <c r="S4295" s="82"/>
      <c r="T4295" s="82"/>
      <c r="U4295" s="82"/>
      <c r="V4295" s="82"/>
      <c r="W4295" s="82"/>
      <c r="X4295" s="82"/>
      <c r="Y4295" s="82"/>
      <c r="Z4295" s="82"/>
      <c r="AA4295" s="82"/>
      <c r="AB4295" s="82"/>
      <c r="AC4295" s="82"/>
      <c r="AD4295" s="82"/>
      <c r="AE4295" s="82"/>
      <c r="AF4295" s="82"/>
      <c r="AG4295" s="82"/>
      <c r="AH4295" s="82"/>
      <c r="AI4295" s="82"/>
      <c r="AJ4295" s="82"/>
      <c r="AK4295" s="82"/>
      <c r="AL4295" s="82"/>
      <c r="AM4295" s="82"/>
      <c r="AN4295" s="82">
        <f>IFERROR(__xludf.DUMMYFUNCTION("""COMPUTED_VALUE"""),0.0)</f>
        <v>0</v>
      </c>
      <c r="AO4295" s="82">
        <f>IFERROR(__xludf.DUMMYFUNCTION("""COMPUTED_VALUE"""),0.0)</f>
        <v>0</v>
      </c>
      <c r="AP4295" s="82">
        <f>IFERROR(__xludf.DUMMYFUNCTION("""COMPUTED_VALUE"""),0.0)</f>
        <v>0</v>
      </c>
      <c r="AQ4295" s="82">
        <f>IFERROR(__xludf.DUMMYFUNCTION("""COMPUTED_VALUE"""),0.0)</f>
        <v>0</v>
      </c>
      <c r="AR4295" s="82">
        <f>IFERROR(__xludf.DUMMYFUNCTION("""COMPUTED_VALUE"""),0.0)</f>
        <v>0</v>
      </c>
      <c r="AS4295" s="82"/>
      <c r="AT4295" s="82">
        <f>IFERROR(__xludf.DUMMYFUNCTION("""COMPUTED_VALUE"""),0.0)</f>
        <v>0</v>
      </c>
      <c r="AU4295" s="82"/>
      <c r="AV4295" s="82"/>
      <c r="AW4295" s="82" t="str">
        <f t="shared" si="1"/>
        <v/>
      </c>
      <c r="AX4295" s="83" t="str">
        <f t="array" ref="AX4295">IFERROR(DGET('SBV Import'!A:G,"SBV",{"RSC ID","Tier";B4295,A4295}))</f>
        <v/>
      </c>
      <c r="AY4295" s="82" t="str">
        <f t="shared" si="2"/>
        <v/>
      </c>
      <c r="AZ4295" s="82"/>
      <c r="BA4295" s="84" t="s">
        <v>152</v>
      </c>
      <c r="BB4295" s="84" t="str">
        <f>IFERROR(__xludf.DUMMYFUNCTION("iferror(if(A4295="""",,E4295&gt;=FILTER(Constants!$F$2:$F$10,Constants!$A$2:$A$10=A4295)))"),"")</f>
        <v/>
      </c>
    </row>
    <row r="4296">
      <c r="A4296" s="89"/>
      <c r="B4296" s="87"/>
      <c r="C4296" s="73"/>
      <c r="D4296" s="73"/>
      <c r="E4296" s="82"/>
      <c r="F4296" s="82"/>
      <c r="G4296" s="86"/>
      <c r="H4296" s="86"/>
      <c r="I4296" s="86"/>
      <c r="J4296" s="82"/>
      <c r="K4296" s="82"/>
      <c r="L4296" s="82"/>
      <c r="M4296" s="82"/>
      <c r="N4296" s="82"/>
      <c r="O4296" s="82"/>
      <c r="P4296" s="82"/>
      <c r="Q4296" s="82"/>
      <c r="R4296" s="82"/>
      <c r="S4296" s="82"/>
      <c r="T4296" s="82"/>
      <c r="U4296" s="82"/>
      <c r="V4296" s="82"/>
      <c r="W4296" s="82"/>
      <c r="X4296" s="82"/>
      <c r="Y4296" s="82"/>
      <c r="Z4296" s="82"/>
      <c r="AA4296" s="82"/>
      <c r="AB4296" s="82"/>
      <c r="AC4296" s="82"/>
      <c r="AD4296" s="82"/>
      <c r="AE4296" s="82"/>
      <c r="AF4296" s="82"/>
      <c r="AG4296" s="82"/>
      <c r="AH4296" s="82"/>
      <c r="AI4296" s="82"/>
      <c r="AJ4296" s="82"/>
      <c r="AK4296" s="82"/>
      <c r="AL4296" s="82"/>
      <c r="AM4296" s="82"/>
      <c r="AN4296" s="82">
        <f>IFERROR(__xludf.DUMMYFUNCTION("""COMPUTED_VALUE"""),0.0)</f>
        <v>0</v>
      </c>
      <c r="AO4296" s="82">
        <f>IFERROR(__xludf.DUMMYFUNCTION("""COMPUTED_VALUE"""),0.0)</f>
        <v>0</v>
      </c>
      <c r="AP4296" s="82">
        <f>IFERROR(__xludf.DUMMYFUNCTION("""COMPUTED_VALUE"""),0.0)</f>
        <v>0</v>
      </c>
      <c r="AQ4296" s="82">
        <f>IFERROR(__xludf.DUMMYFUNCTION("""COMPUTED_VALUE"""),0.0)</f>
        <v>0</v>
      </c>
      <c r="AR4296" s="82">
        <f>IFERROR(__xludf.DUMMYFUNCTION("""COMPUTED_VALUE"""),0.0)</f>
        <v>0</v>
      </c>
      <c r="AS4296" s="82"/>
      <c r="AT4296" s="82">
        <f>IFERROR(__xludf.DUMMYFUNCTION("""COMPUTED_VALUE"""),0.0)</f>
        <v>0</v>
      </c>
      <c r="AU4296" s="82"/>
      <c r="AV4296" s="82"/>
      <c r="AW4296" s="82" t="str">
        <f t="shared" si="1"/>
        <v/>
      </c>
      <c r="AX4296" s="83" t="str">
        <f t="array" ref="AX4296">IFERROR(DGET('SBV Import'!A:G,"SBV",{"RSC ID","Tier";B4296,A4296}))</f>
        <v/>
      </c>
      <c r="AY4296" s="82" t="str">
        <f t="shared" si="2"/>
        <v/>
      </c>
      <c r="AZ4296" s="82"/>
      <c r="BA4296" s="84" t="s">
        <v>152</v>
      </c>
      <c r="BB4296" s="84" t="str">
        <f>IFERROR(__xludf.DUMMYFUNCTION("iferror(if(A4296="""",,E4296&gt;=FILTER(Constants!$F$2:$F$10,Constants!$A$2:$A$10=A4296)))"),"")</f>
        <v/>
      </c>
    </row>
    <row r="4297">
      <c r="A4297" s="89"/>
      <c r="B4297" s="87"/>
      <c r="C4297" s="73"/>
      <c r="D4297" s="73"/>
      <c r="E4297" s="82"/>
      <c r="F4297" s="82"/>
      <c r="G4297" s="86"/>
      <c r="H4297" s="86"/>
      <c r="I4297" s="86"/>
      <c r="J4297" s="82"/>
      <c r="K4297" s="82"/>
      <c r="L4297" s="82"/>
      <c r="M4297" s="82"/>
      <c r="N4297" s="82"/>
      <c r="O4297" s="82"/>
      <c r="P4297" s="82"/>
      <c r="Q4297" s="82"/>
      <c r="R4297" s="82"/>
      <c r="S4297" s="82"/>
      <c r="T4297" s="82"/>
      <c r="U4297" s="82"/>
      <c r="V4297" s="82"/>
      <c r="W4297" s="82"/>
      <c r="X4297" s="82"/>
      <c r="Y4297" s="82"/>
      <c r="Z4297" s="82"/>
      <c r="AA4297" s="82"/>
      <c r="AB4297" s="82"/>
      <c r="AC4297" s="82"/>
      <c r="AD4297" s="82"/>
      <c r="AE4297" s="82"/>
      <c r="AF4297" s="82"/>
      <c r="AG4297" s="82"/>
      <c r="AH4297" s="82"/>
      <c r="AI4297" s="82"/>
      <c r="AJ4297" s="82"/>
      <c r="AK4297" s="82"/>
      <c r="AL4297" s="82"/>
      <c r="AM4297" s="82"/>
      <c r="AN4297" s="82">
        <f>IFERROR(__xludf.DUMMYFUNCTION("""COMPUTED_VALUE"""),0.0)</f>
        <v>0</v>
      </c>
      <c r="AO4297" s="82">
        <f>IFERROR(__xludf.DUMMYFUNCTION("""COMPUTED_VALUE"""),0.0)</f>
        <v>0</v>
      </c>
      <c r="AP4297" s="82">
        <f>IFERROR(__xludf.DUMMYFUNCTION("""COMPUTED_VALUE"""),0.0)</f>
        <v>0</v>
      </c>
      <c r="AQ4297" s="82">
        <f>IFERROR(__xludf.DUMMYFUNCTION("""COMPUTED_VALUE"""),0.0)</f>
        <v>0</v>
      </c>
      <c r="AR4297" s="82">
        <f>IFERROR(__xludf.DUMMYFUNCTION("""COMPUTED_VALUE"""),0.0)</f>
        <v>0</v>
      </c>
      <c r="AS4297" s="82"/>
      <c r="AT4297" s="82">
        <f>IFERROR(__xludf.DUMMYFUNCTION("""COMPUTED_VALUE"""),0.0)</f>
        <v>0</v>
      </c>
      <c r="AU4297" s="82"/>
      <c r="AV4297" s="82"/>
      <c r="AW4297" s="82" t="str">
        <f t="shared" si="1"/>
        <v/>
      </c>
      <c r="AX4297" s="83" t="str">
        <f t="array" ref="AX4297">IFERROR(DGET('SBV Import'!A:G,"SBV",{"RSC ID","Tier";B4297,A4297}))</f>
        <v/>
      </c>
      <c r="AY4297" s="82" t="str">
        <f t="shared" si="2"/>
        <v/>
      </c>
      <c r="AZ4297" s="82"/>
      <c r="BA4297" s="84" t="s">
        <v>152</v>
      </c>
      <c r="BB4297" s="84" t="str">
        <f>IFERROR(__xludf.DUMMYFUNCTION("iferror(if(A4297="""",,E4297&gt;=FILTER(Constants!$F$2:$F$10,Constants!$A$2:$A$10=A4297)))"),"")</f>
        <v/>
      </c>
    </row>
    <row r="4298">
      <c r="A4298" s="89"/>
      <c r="B4298" s="87"/>
      <c r="C4298" s="73"/>
      <c r="D4298" s="73"/>
      <c r="E4298" s="82"/>
      <c r="F4298" s="82"/>
      <c r="G4298" s="86"/>
      <c r="H4298" s="86"/>
      <c r="I4298" s="86"/>
      <c r="J4298" s="82"/>
      <c r="K4298" s="82"/>
      <c r="L4298" s="82"/>
      <c r="M4298" s="82"/>
      <c r="N4298" s="82"/>
      <c r="O4298" s="82"/>
      <c r="P4298" s="82"/>
      <c r="Q4298" s="82"/>
      <c r="R4298" s="82"/>
      <c r="S4298" s="82"/>
      <c r="T4298" s="82"/>
      <c r="U4298" s="82"/>
      <c r="V4298" s="82"/>
      <c r="W4298" s="82"/>
      <c r="X4298" s="82"/>
      <c r="Y4298" s="82"/>
      <c r="Z4298" s="82"/>
      <c r="AA4298" s="82"/>
      <c r="AB4298" s="82"/>
      <c r="AC4298" s="82"/>
      <c r="AD4298" s="82"/>
      <c r="AE4298" s="82"/>
      <c r="AF4298" s="82"/>
      <c r="AG4298" s="82"/>
      <c r="AH4298" s="82"/>
      <c r="AI4298" s="82"/>
      <c r="AJ4298" s="82"/>
      <c r="AK4298" s="82"/>
      <c r="AL4298" s="82"/>
      <c r="AM4298" s="82"/>
      <c r="AN4298" s="82">
        <f>IFERROR(__xludf.DUMMYFUNCTION("""COMPUTED_VALUE"""),0.0)</f>
        <v>0</v>
      </c>
      <c r="AO4298" s="82">
        <f>IFERROR(__xludf.DUMMYFUNCTION("""COMPUTED_VALUE"""),0.0)</f>
        <v>0</v>
      </c>
      <c r="AP4298" s="82">
        <f>IFERROR(__xludf.DUMMYFUNCTION("""COMPUTED_VALUE"""),0.0)</f>
        <v>0</v>
      </c>
      <c r="AQ4298" s="82">
        <f>IFERROR(__xludf.DUMMYFUNCTION("""COMPUTED_VALUE"""),0.0)</f>
        <v>0</v>
      </c>
      <c r="AR4298" s="82">
        <f>IFERROR(__xludf.DUMMYFUNCTION("""COMPUTED_VALUE"""),0.0)</f>
        <v>0</v>
      </c>
      <c r="AS4298" s="82"/>
      <c r="AT4298" s="82">
        <f>IFERROR(__xludf.DUMMYFUNCTION("""COMPUTED_VALUE"""),0.0)</f>
        <v>0</v>
      </c>
      <c r="AU4298" s="82"/>
      <c r="AV4298" s="82"/>
      <c r="AW4298" s="82" t="str">
        <f t="shared" si="1"/>
        <v/>
      </c>
      <c r="AX4298" s="83" t="str">
        <f t="array" ref="AX4298">IFERROR(DGET('SBV Import'!A:G,"SBV",{"RSC ID","Tier";B4298,A4298}))</f>
        <v/>
      </c>
      <c r="AY4298" s="82" t="str">
        <f t="shared" si="2"/>
        <v/>
      </c>
      <c r="AZ4298" s="82"/>
      <c r="BA4298" s="84" t="s">
        <v>152</v>
      </c>
      <c r="BB4298" s="84" t="str">
        <f>IFERROR(__xludf.DUMMYFUNCTION("iferror(if(A4298="""",,E4298&gt;=FILTER(Constants!$F$2:$F$10,Constants!$A$2:$A$10=A4298)))"),"")</f>
        <v/>
      </c>
    </row>
    <row r="4299">
      <c r="A4299" s="89"/>
      <c r="B4299" s="87"/>
      <c r="C4299" s="73"/>
      <c r="D4299" s="73"/>
      <c r="E4299" s="82"/>
      <c r="F4299" s="82"/>
      <c r="G4299" s="86"/>
      <c r="H4299" s="86"/>
      <c r="I4299" s="86"/>
      <c r="J4299" s="82"/>
      <c r="K4299" s="82"/>
      <c r="L4299" s="82"/>
      <c r="M4299" s="82"/>
      <c r="N4299" s="82"/>
      <c r="O4299" s="82"/>
      <c r="P4299" s="82"/>
      <c r="Q4299" s="82"/>
      <c r="R4299" s="82"/>
      <c r="S4299" s="82"/>
      <c r="T4299" s="82"/>
      <c r="U4299" s="82"/>
      <c r="V4299" s="82"/>
      <c r="W4299" s="82"/>
      <c r="X4299" s="82"/>
      <c r="Y4299" s="82"/>
      <c r="Z4299" s="82"/>
      <c r="AA4299" s="82"/>
      <c r="AB4299" s="82"/>
      <c r="AC4299" s="82"/>
      <c r="AD4299" s="82"/>
      <c r="AE4299" s="82"/>
      <c r="AF4299" s="82"/>
      <c r="AG4299" s="82"/>
      <c r="AH4299" s="82"/>
      <c r="AI4299" s="82"/>
      <c r="AJ4299" s="82"/>
      <c r="AK4299" s="82"/>
      <c r="AL4299" s="82"/>
      <c r="AM4299" s="82"/>
      <c r="AN4299" s="82"/>
      <c r="AO4299" s="82"/>
      <c r="AP4299" s="82"/>
      <c r="AQ4299" s="82"/>
      <c r="AR4299" s="82"/>
      <c r="AS4299" s="82"/>
      <c r="AT4299" s="82"/>
      <c r="AU4299" s="82"/>
      <c r="AV4299" s="82"/>
      <c r="AW4299" s="82" t="str">
        <f t="shared" si="1"/>
        <v/>
      </c>
      <c r="AX4299" s="83" t="str">
        <f t="array" ref="AX4299">IFERROR(DGET('SBV Import'!A:G,"SBV",{"RSC ID","Tier";B4299,A4299}))</f>
        <v/>
      </c>
      <c r="AY4299" s="82" t="str">
        <f t="shared" si="2"/>
        <v/>
      </c>
      <c r="AZ4299" s="82"/>
      <c r="BA4299" s="84" t="s">
        <v>152</v>
      </c>
      <c r="BB4299" s="84" t="str">
        <f>IFERROR(__xludf.DUMMYFUNCTION("iferror(if(A4299="""",,E4299&gt;=FILTER(Constants!$F$2:$F$10,Constants!$A$2:$A$10=A4299)))"),"")</f>
        <v/>
      </c>
    </row>
    <row r="4300">
      <c r="A4300" s="89"/>
      <c r="B4300" s="87"/>
      <c r="C4300" s="73"/>
      <c r="D4300" s="73"/>
      <c r="E4300" s="82"/>
      <c r="F4300" s="82"/>
      <c r="G4300" s="86"/>
      <c r="H4300" s="86"/>
      <c r="I4300" s="86"/>
      <c r="J4300" s="82"/>
      <c r="K4300" s="82"/>
      <c r="L4300" s="82"/>
      <c r="M4300" s="82"/>
      <c r="N4300" s="82"/>
      <c r="O4300" s="82"/>
      <c r="P4300" s="82"/>
      <c r="Q4300" s="82"/>
      <c r="R4300" s="82"/>
      <c r="S4300" s="82"/>
      <c r="T4300" s="82"/>
      <c r="U4300" s="82"/>
      <c r="V4300" s="82"/>
      <c r="W4300" s="82"/>
      <c r="X4300" s="82"/>
      <c r="Y4300" s="82"/>
      <c r="Z4300" s="82"/>
      <c r="AA4300" s="82"/>
      <c r="AB4300" s="82"/>
      <c r="AC4300" s="82"/>
      <c r="AD4300" s="82"/>
      <c r="AE4300" s="82"/>
      <c r="AF4300" s="82"/>
      <c r="AG4300" s="82"/>
      <c r="AH4300" s="82"/>
      <c r="AI4300" s="82"/>
      <c r="AJ4300" s="82"/>
      <c r="AK4300" s="82"/>
      <c r="AL4300" s="82"/>
      <c r="AM4300" s="82"/>
      <c r="AN4300" s="82"/>
      <c r="AO4300" s="82"/>
      <c r="AP4300" s="82"/>
      <c r="AQ4300" s="82"/>
      <c r="AR4300" s="82"/>
      <c r="AS4300" s="82"/>
      <c r="AT4300" s="82"/>
      <c r="AU4300" s="82"/>
      <c r="AV4300" s="82"/>
      <c r="AW4300" s="82" t="str">
        <f t="shared" si="1"/>
        <v/>
      </c>
      <c r="AX4300" s="83" t="str">
        <f t="array" ref="AX4300">IFERROR(DGET('SBV Import'!A:G,"SBV",{"RSC ID","Tier";B4300,A4300}))</f>
        <v/>
      </c>
      <c r="AY4300" s="82" t="str">
        <f t="shared" si="2"/>
        <v/>
      </c>
      <c r="AZ4300" s="82"/>
      <c r="BA4300" s="84" t="s">
        <v>152</v>
      </c>
      <c r="BB4300" s="84" t="str">
        <f>IFERROR(__xludf.DUMMYFUNCTION("iferror(if(A4300="""",,E4300&gt;=FILTER(Constants!$F$2:$F$10,Constants!$A$2:$A$10=A4300)))"),"")</f>
        <v/>
      </c>
    </row>
    <row r="4301">
      <c r="A4301" s="89"/>
      <c r="B4301" s="87"/>
      <c r="C4301" s="73"/>
      <c r="D4301" s="73"/>
      <c r="E4301" s="82"/>
      <c r="F4301" s="82"/>
      <c r="G4301" s="86"/>
      <c r="H4301" s="86"/>
      <c r="I4301" s="86"/>
      <c r="J4301" s="82"/>
      <c r="K4301" s="82"/>
      <c r="L4301" s="82"/>
      <c r="M4301" s="82"/>
      <c r="N4301" s="82"/>
      <c r="O4301" s="82"/>
      <c r="P4301" s="82"/>
      <c r="Q4301" s="82"/>
      <c r="R4301" s="82"/>
      <c r="S4301" s="82"/>
      <c r="T4301" s="82"/>
      <c r="U4301" s="82"/>
      <c r="V4301" s="82"/>
      <c r="W4301" s="82"/>
      <c r="X4301" s="82"/>
      <c r="Y4301" s="82"/>
      <c r="Z4301" s="82"/>
      <c r="AA4301" s="82"/>
      <c r="AB4301" s="82"/>
      <c r="AC4301" s="82"/>
      <c r="AD4301" s="82"/>
      <c r="AE4301" s="82"/>
      <c r="AF4301" s="82"/>
      <c r="AG4301" s="82"/>
      <c r="AH4301" s="82"/>
      <c r="AI4301" s="82"/>
      <c r="AJ4301" s="82"/>
      <c r="AK4301" s="82"/>
      <c r="AL4301" s="82"/>
      <c r="AM4301" s="82"/>
      <c r="AN4301" s="82"/>
      <c r="AO4301" s="82"/>
      <c r="AP4301" s="82"/>
      <c r="AQ4301" s="82"/>
      <c r="AR4301" s="82"/>
      <c r="AS4301" s="82"/>
      <c r="AT4301" s="82"/>
      <c r="AU4301" s="82"/>
      <c r="AV4301" s="82"/>
      <c r="AW4301" s="82" t="str">
        <f t="shared" si="1"/>
        <v/>
      </c>
      <c r="AX4301" s="83" t="str">
        <f t="array" ref="AX4301">IFERROR(DGET('SBV Import'!A:G,"SBV",{"RSC ID","Tier";B4301,A4301}))</f>
        <v/>
      </c>
      <c r="AY4301" s="82" t="str">
        <f t="shared" si="2"/>
        <v/>
      </c>
      <c r="AZ4301" s="82"/>
      <c r="BA4301" s="84" t="s">
        <v>152</v>
      </c>
      <c r="BB4301" s="84" t="str">
        <f>IFERROR(__xludf.DUMMYFUNCTION("iferror(if(A4301="""",,E4301&gt;=FILTER(Constants!$F$2:$F$10,Constants!$A$2:$A$10=A4301)))"),"")</f>
        <v/>
      </c>
    </row>
    <row r="4302">
      <c r="A4302" s="89"/>
      <c r="B4302" s="87"/>
      <c r="C4302" s="73"/>
      <c r="D4302" s="73"/>
      <c r="E4302" s="82"/>
      <c r="F4302" s="82"/>
      <c r="G4302" s="86"/>
      <c r="H4302" s="86"/>
      <c r="I4302" s="86"/>
      <c r="J4302" s="82"/>
      <c r="K4302" s="82"/>
      <c r="L4302" s="82"/>
      <c r="M4302" s="82"/>
      <c r="N4302" s="82"/>
      <c r="O4302" s="82"/>
      <c r="P4302" s="82"/>
      <c r="Q4302" s="82"/>
      <c r="R4302" s="82"/>
      <c r="S4302" s="82"/>
      <c r="T4302" s="82"/>
      <c r="U4302" s="82"/>
      <c r="V4302" s="82"/>
      <c r="W4302" s="82"/>
      <c r="X4302" s="82"/>
      <c r="Y4302" s="82"/>
      <c r="Z4302" s="82"/>
      <c r="AA4302" s="82"/>
      <c r="AB4302" s="82"/>
      <c r="AC4302" s="82"/>
      <c r="AD4302" s="82"/>
      <c r="AE4302" s="82"/>
      <c r="AF4302" s="82"/>
      <c r="AG4302" s="82"/>
      <c r="AH4302" s="82"/>
      <c r="AI4302" s="82"/>
      <c r="AJ4302" s="82"/>
      <c r="AK4302" s="82"/>
      <c r="AL4302" s="82"/>
      <c r="AM4302" s="82"/>
      <c r="AN4302" s="82"/>
      <c r="AO4302" s="82"/>
      <c r="AP4302" s="82"/>
      <c r="AQ4302" s="82"/>
      <c r="AR4302" s="82"/>
      <c r="AS4302" s="82"/>
      <c r="AT4302" s="82"/>
      <c r="AU4302" s="82"/>
      <c r="AV4302" s="82"/>
      <c r="AW4302" s="82" t="str">
        <f t="shared" si="1"/>
        <v/>
      </c>
      <c r="AX4302" s="83" t="str">
        <f t="array" ref="AX4302">IFERROR(DGET('SBV Import'!A:G,"SBV",{"RSC ID","Tier";B4302,A4302}))</f>
        <v/>
      </c>
      <c r="AY4302" s="82" t="str">
        <f t="shared" si="2"/>
        <v/>
      </c>
      <c r="AZ4302" s="82"/>
      <c r="BA4302" s="84" t="s">
        <v>152</v>
      </c>
      <c r="BB4302" s="84" t="str">
        <f>IFERROR(__xludf.DUMMYFUNCTION("iferror(if(A4302="""",,E4302&gt;=FILTER(Constants!$F$2:$F$10,Constants!$A$2:$A$10=A4302)))"),"")</f>
        <v/>
      </c>
    </row>
    <row r="4303">
      <c r="A4303" s="89"/>
      <c r="B4303" s="87"/>
      <c r="C4303" s="73"/>
      <c r="D4303" s="73"/>
      <c r="E4303" s="82"/>
      <c r="F4303" s="82"/>
      <c r="G4303" s="86"/>
      <c r="H4303" s="86"/>
      <c r="I4303" s="86"/>
      <c r="J4303" s="82"/>
      <c r="K4303" s="82"/>
      <c r="L4303" s="82"/>
      <c r="M4303" s="82"/>
      <c r="N4303" s="82"/>
      <c r="O4303" s="82"/>
      <c r="P4303" s="82"/>
      <c r="Q4303" s="82"/>
      <c r="R4303" s="82"/>
      <c r="S4303" s="82"/>
      <c r="T4303" s="82"/>
      <c r="U4303" s="82"/>
      <c r="V4303" s="82"/>
      <c r="W4303" s="82"/>
      <c r="X4303" s="82"/>
      <c r="Y4303" s="82"/>
      <c r="Z4303" s="82"/>
      <c r="AA4303" s="82"/>
      <c r="AB4303" s="82"/>
      <c r="AC4303" s="82"/>
      <c r="AD4303" s="82"/>
      <c r="AE4303" s="82"/>
      <c r="AF4303" s="82"/>
      <c r="AG4303" s="82"/>
      <c r="AH4303" s="82"/>
      <c r="AI4303" s="82"/>
      <c r="AJ4303" s="82"/>
      <c r="AK4303" s="82"/>
      <c r="AL4303" s="82"/>
      <c r="AM4303" s="82"/>
      <c r="AN4303" s="82"/>
      <c r="AO4303" s="82"/>
      <c r="AP4303" s="82"/>
      <c r="AQ4303" s="82"/>
      <c r="AR4303" s="82"/>
      <c r="AS4303" s="82"/>
      <c r="AT4303" s="82"/>
      <c r="AU4303" s="82"/>
      <c r="AV4303" s="82"/>
      <c r="AW4303" s="82" t="str">
        <f t="shared" si="1"/>
        <v/>
      </c>
      <c r="AX4303" s="83" t="str">
        <f t="array" ref="AX4303">IFERROR(DGET('SBV Import'!A:G,"SBV",{"RSC ID","Tier";B4303,A4303}))</f>
        <v/>
      </c>
      <c r="AY4303" s="82" t="str">
        <f t="shared" si="2"/>
        <v/>
      </c>
      <c r="AZ4303" s="82"/>
      <c r="BA4303" s="84" t="s">
        <v>152</v>
      </c>
      <c r="BB4303" s="84" t="str">
        <f>IFERROR(__xludf.DUMMYFUNCTION("iferror(if(A4303="""",,E4303&gt;=FILTER(Constants!$F$2:$F$10,Constants!$A$2:$A$10=A4303)))"),"")</f>
        <v/>
      </c>
    </row>
    <row r="4304">
      <c r="A4304" s="89"/>
      <c r="B4304" s="87"/>
      <c r="C4304" s="73"/>
      <c r="D4304" s="73"/>
      <c r="E4304" s="82"/>
      <c r="F4304" s="82"/>
      <c r="G4304" s="86"/>
      <c r="H4304" s="86"/>
      <c r="I4304" s="86"/>
      <c r="J4304" s="82"/>
      <c r="K4304" s="82"/>
      <c r="L4304" s="82"/>
      <c r="M4304" s="82"/>
      <c r="N4304" s="82"/>
      <c r="O4304" s="82"/>
      <c r="P4304" s="82"/>
      <c r="Q4304" s="82"/>
      <c r="R4304" s="82"/>
      <c r="S4304" s="82"/>
      <c r="T4304" s="82"/>
      <c r="U4304" s="82"/>
      <c r="V4304" s="82"/>
      <c r="W4304" s="82"/>
      <c r="X4304" s="82"/>
      <c r="Y4304" s="82"/>
      <c r="Z4304" s="82"/>
      <c r="AA4304" s="82"/>
      <c r="AB4304" s="82"/>
      <c r="AC4304" s="82"/>
      <c r="AD4304" s="82"/>
      <c r="AE4304" s="82"/>
      <c r="AF4304" s="82"/>
      <c r="AG4304" s="82"/>
      <c r="AH4304" s="82"/>
      <c r="AI4304" s="82"/>
      <c r="AJ4304" s="82"/>
      <c r="AK4304" s="82"/>
      <c r="AL4304" s="82"/>
      <c r="AM4304" s="82"/>
      <c r="AN4304" s="82"/>
      <c r="AO4304" s="82"/>
      <c r="AP4304" s="82"/>
      <c r="AQ4304" s="82"/>
      <c r="AR4304" s="82"/>
      <c r="AS4304" s="82"/>
      <c r="AT4304" s="82"/>
      <c r="AU4304" s="82"/>
      <c r="AV4304" s="82"/>
      <c r="AW4304" s="82" t="str">
        <f t="shared" si="1"/>
        <v/>
      </c>
      <c r="AX4304" s="83" t="str">
        <f t="array" ref="AX4304">IFERROR(DGET('SBV Import'!A:G,"SBV",{"RSC ID","Tier";B4304,A4304}))</f>
        <v/>
      </c>
      <c r="AY4304" s="82" t="str">
        <f t="shared" si="2"/>
        <v/>
      </c>
      <c r="AZ4304" s="82"/>
      <c r="BA4304" s="84" t="s">
        <v>152</v>
      </c>
      <c r="BB4304" s="84" t="str">
        <f>IFERROR(__xludf.DUMMYFUNCTION("iferror(if(A4304="""",,E4304&gt;=FILTER(Constants!$F$2:$F$10,Constants!$A$2:$A$10=A4304)))"),"")</f>
        <v/>
      </c>
    </row>
    <row r="4305">
      <c r="A4305" s="89"/>
      <c r="B4305" s="87"/>
      <c r="C4305" s="73"/>
      <c r="D4305" s="73"/>
      <c r="E4305" s="82"/>
      <c r="F4305" s="82"/>
      <c r="G4305" s="86"/>
      <c r="H4305" s="86"/>
      <c r="I4305" s="86"/>
      <c r="J4305" s="82"/>
      <c r="K4305" s="82"/>
      <c r="L4305" s="82"/>
      <c r="M4305" s="82"/>
      <c r="N4305" s="82"/>
      <c r="O4305" s="82"/>
      <c r="P4305" s="82"/>
      <c r="Q4305" s="82"/>
      <c r="R4305" s="82"/>
      <c r="S4305" s="82"/>
      <c r="T4305" s="82"/>
      <c r="U4305" s="82"/>
      <c r="V4305" s="82"/>
      <c r="W4305" s="82"/>
      <c r="X4305" s="82"/>
      <c r="Y4305" s="82"/>
      <c r="Z4305" s="82"/>
      <c r="AA4305" s="82"/>
      <c r="AB4305" s="82"/>
      <c r="AC4305" s="82"/>
      <c r="AD4305" s="82"/>
      <c r="AE4305" s="82"/>
      <c r="AF4305" s="82"/>
      <c r="AG4305" s="82"/>
      <c r="AH4305" s="82"/>
      <c r="AI4305" s="82"/>
      <c r="AJ4305" s="82"/>
      <c r="AK4305" s="82"/>
      <c r="AL4305" s="82"/>
      <c r="AM4305" s="82"/>
      <c r="AN4305" s="82"/>
      <c r="AO4305" s="82"/>
      <c r="AP4305" s="82"/>
      <c r="AQ4305" s="82"/>
      <c r="AR4305" s="82"/>
      <c r="AS4305" s="82"/>
      <c r="AT4305" s="82"/>
      <c r="AU4305" s="82"/>
      <c r="AV4305" s="82"/>
      <c r="AW4305" s="82" t="str">
        <f t="shared" si="1"/>
        <v/>
      </c>
      <c r="AX4305" s="83" t="str">
        <f t="array" ref="AX4305">IFERROR(DGET('SBV Import'!A:G,"SBV",{"RSC ID","Tier";B4305,A4305}))</f>
        <v/>
      </c>
      <c r="AY4305" s="82" t="str">
        <f t="shared" si="2"/>
        <v/>
      </c>
      <c r="AZ4305" s="82"/>
      <c r="BA4305" s="84" t="s">
        <v>152</v>
      </c>
      <c r="BB4305" s="84" t="str">
        <f>IFERROR(__xludf.DUMMYFUNCTION("iferror(if(A4305="""",,E4305&gt;=FILTER(Constants!$F$2:$F$10,Constants!$A$2:$A$10=A4305)))"),"")</f>
        <v/>
      </c>
    </row>
    <row r="4306">
      <c r="A4306" s="89"/>
      <c r="B4306" s="87"/>
      <c r="C4306" s="73"/>
      <c r="D4306" s="73"/>
      <c r="E4306" s="82"/>
      <c r="F4306" s="82"/>
      <c r="G4306" s="86"/>
      <c r="H4306" s="86"/>
      <c r="I4306" s="86"/>
      <c r="J4306" s="82"/>
      <c r="K4306" s="82"/>
      <c r="L4306" s="82"/>
      <c r="M4306" s="82"/>
      <c r="N4306" s="82"/>
      <c r="O4306" s="82"/>
      <c r="P4306" s="82"/>
      <c r="Q4306" s="82"/>
      <c r="R4306" s="82"/>
      <c r="S4306" s="82"/>
      <c r="T4306" s="82"/>
      <c r="U4306" s="82"/>
      <c r="V4306" s="82"/>
      <c r="W4306" s="82"/>
      <c r="X4306" s="82"/>
      <c r="Y4306" s="82"/>
      <c r="Z4306" s="82"/>
      <c r="AA4306" s="82"/>
      <c r="AB4306" s="82"/>
      <c r="AC4306" s="82"/>
      <c r="AD4306" s="82"/>
      <c r="AE4306" s="82"/>
      <c r="AF4306" s="82"/>
      <c r="AG4306" s="82"/>
      <c r="AH4306" s="82"/>
      <c r="AI4306" s="82"/>
      <c r="AJ4306" s="82"/>
      <c r="AK4306" s="82"/>
      <c r="AL4306" s="82"/>
      <c r="AM4306" s="82"/>
      <c r="AN4306" s="82"/>
      <c r="AO4306" s="82"/>
      <c r="AP4306" s="82"/>
      <c r="AQ4306" s="82"/>
      <c r="AR4306" s="82"/>
      <c r="AS4306" s="82"/>
      <c r="AT4306" s="82"/>
      <c r="AU4306" s="82"/>
      <c r="AV4306" s="82"/>
      <c r="AW4306" s="82" t="str">
        <f t="shared" si="1"/>
        <v/>
      </c>
      <c r="AX4306" s="83" t="str">
        <f t="array" ref="AX4306">IFERROR(DGET('SBV Import'!A:G,"SBV",{"RSC ID","Tier";B4306,A4306}))</f>
        <v/>
      </c>
      <c r="AY4306" s="82" t="str">
        <f t="shared" si="2"/>
        <v/>
      </c>
      <c r="AZ4306" s="82"/>
      <c r="BA4306" s="84" t="s">
        <v>152</v>
      </c>
      <c r="BB4306" s="84" t="str">
        <f>IFERROR(__xludf.DUMMYFUNCTION("iferror(if(A4306="""",,E4306&gt;=FILTER(Constants!$F$2:$F$10,Constants!$A$2:$A$10=A4306)))"),"")</f>
        <v/>
      </c>
    </row>
    <row r="4307">
      <c r="A4307" s="89"/>
      <c r="B4307" s="87"/>
      <c r="C4307" s="73"/>
      <c r="D4307" s="73"/>
      <c r="E4307" s="82"/>
      <c r="F4307" s="82"/>
      <c r="G4307" s="86"/>
      <c r="H4307" s="86"/>
      <c r="I4307" s="86"/>
      <c r="J4307" s="82"/>
      <c r="K4307" s="82"/>
      <c r="L4307" s="82"/>
      <c r="M4307" s="82"/>
      <c r="N4307" s="82"/>
      <c r="O4307" s="82"/>
      <c r="P4307" s="82"/>
      <c r="Q4307" s="82"/>
      <c r="R4307" s="82"/>
      <c r="S4307" s="82"/>
      <c r="T4307" s="82"/>
      <c r="U4307" s="82"/>
      <c r="V4307" s="82"/>
      <c r="W4307" s="82"/>
      <c r="X4307" s="82"/>
      <c r="Y4307" s="82"/>
      <c r="Z4307" s="82"/>
      <c r="AA4307" s="82"/>
      <c r="AB4307" s="82"/>
      <c r="AC4307" s="82"/>
      <c r="AD4307" s="82"/>
      <c r="AE4307" s="82"/>
      <c r="AF4307" s="82"/>
      <c r="AG4307" s="82"/>
      <c r="AH4307" s="82"/>
      <c r="AI4307" s="82"/>
      <c r="AJ4307" s="82"/>
      <c r="AK4307" s="82"/>
      <c r="AL4307" s="82"/>
      <c r="AM4307" s="82"/>
      <c r="AN4307" s="82"/>
      <c r="AO4307" s="82"/>
      <c r="AP4307" s="82"/>
      <c r="AQ4307" s="82"/>
      <c r="AR4307" s="82"/>
      <c r="AS4307" s="82"/>
      <c r="AT4307" s="82"/>
      <c r="AU4307" s="82"/>
      <c r="AV4307" s="82"/>
      <c r="AW4307" s="82" t="str">
        <f t="shared" si="1"/>
        <v/>
      </c>
      <c r="AX4307" s="83" t="str">
        <f t="array" ref="AX4307">IFERROR(DGET('SBV Import'!A:G,"SBV",{"RSC ID","Tier";B4307,A4307}))</f>
        <v/>
      </c>
      <c r="AY4307" s="82" t="str">
        <f t="shared" si="2"/>
        <v/>
      </c>
      <c r="AZ4307" s="82"/>
      <c r="BA4307" s="84" t="s">
        <v>152</v>
      </c>
      <c r="BB4307" s="84" t="str">
        <f>IFERROR(__xludf.DUMMYFUNCTION("iferror(if(A4307="""",,E4307&gt;=FILTER(Constants!$F$2:$F$10,Constants!$A$2:$A$10=A4307)))"),"")</f>
        <v/>
      </c>
    </row>
    <row r="4308">
      <c r="A4308" s="89"/>
      <c r="B4308" s="87"/>
      <c r="C4308" s="73"/>
      <c r="D4308" s="73"/>
      <c r="E4308" s="82"/>
      <c r="F4308" s="82"/>
      <c r="G4308" s="86"/>
      <c r="H4308" s="86"/>
      <c r="I4308" s="86"/>
      <c r="J4308" s="82"/>
      <c r="K4308" s="82"/>
      <c r="L4308" s="82"/>
      <c r="M4308" s="82"/>
      <c r="N4308" s="82"/>
      <c r="O4308" s="82"/>
      <c r="P4308" s="82"/>
      <c r="Q4308" s="82"/>
      <c r="R4308" s="82"/>
      <c r="S4308" s="82"/>
      <c r="T4308" s="82"/>
      <c r="U4308" s="82"/>
      <c r="V4308" s="82"/>
      <c r="W4308" s="82"/>
      <c r="X4308" s="82"/>
      <c r="Y4308" s="82"/>
      <c r="Z4308" s="82"/>
      <c r="AA4308" s="82"/>
      <c r="AB4308" s="82"/>
      <c r="AC4308" s="82"/>
      <c r="AD4308" s="82"/>
      <c r="AE4308" s="82"/>
      <c r="AF4308" s="82"/>
      <c r="AG4308" s="82"/>
      <c r="AH4308" s="82"/>
      <c r="AI4308" s="82"/>
      <c r="AJ4308" s="82"/>
      <c r="AK4308" s="82"/>
      <c r="AL4308" s="82"/>
      <c r="AM4308" s="82"/>
      <c r="AN4308" s="82"/>
      <c r="AO4308" s="82"/>
      <c r="AP4308" s="82"/>
      <c r="AQ4308" s="82"/>
      <c r="AR4308" s="82"/>
      <c r="AS4308" s="82"/>
      <c r="AT4308" s="82"/>
      <c r="AU4308" s="82"/>
      <c r="AV4308" s="82"/>
      <c r="AW4308" s="82" t="str">
        <f t="shared" si="1"/>
        <v/>
      </c>
      <c r="AX4308" s="83" t="str">
        <f t="array" ref="AX4308">IFERROR(DGET('SBV Import'!A:G,"SBV",{"RSC ID","Tier";B4308,A4308}))</f>
        <v/>
      </c>
      <c r="AY4308" s="82" t="str">
        <f t="shared" si="2"/>
        <v/>
      </c>
      <c r="AZ4308" s="82"/>
      <c r="BA4308" s="84" t="s">
        <v>152</v>
      </c>
      <c r="BB4308" s="84" t="str">
        <f>IFERROR(__xludf.DUMMYFUNCTION("iferror(if(A4308="""",,E4308&gt;=FILTER(Constants!$F$2:$F$10,Constants!$A$2:$A$10=A4308)))"),"")</f>
        <v/>
      </c>
    </row>
    <row r="4309">
      <c r="A4309" s="89"/>
      <c r="B4309" s="87"/>
      <c r="C4309" s="73"/>
      <c r="D4309" s="73"/>
      <c r="E4309" s="82"/>
      <c r="F4309" s="82"/>
      <c r="G4309" s="86"/>
      <c r="H4309" s="86"/>
      <c r="I4309" s="86"/>
      <c r="J4309" s="82"/>
      <c r="K4309" s="82"/>
      <c r="L4309" s="82"/>
      <c r="M4309" s="82"/>
      <c r="N4309" s="82"/>
      <c r="O4309" s="82"/>
      <c r="P4309" s="82"/>
      <c r="Q4309" s="82"/>
      <c r="R4309" s="82"/>
      <c r="S4309" s="82"/>
      <c r="T4309" s="82"/>
      <c r="U4309" s="82"/>
      <c r="V4309" s="82"/>
      <c r="W4309" s="82"/>
      <c r="X4309" s="82"/>
      <c r="Y4309" s="82"/>
      <c r="Z4309" s="82"/>
      <c r="AA4309" s="82"/>
      <c r="AB4309" s="82"/>
      <c r="AC4309" s="82"/>
      <c r="AD4309" s="82"/>
      <c r="AE4309" s="82"/>
      <c r="AF4309" s="82"/>
      <c r="AG4309" s="82"/>
      <c r="AH4309" s="82"/>
      <c r="AI4309" s="82"/>
      <c r="AJ4309" s="82"/>
      <c r="AK4309" s="82"/>
      <c r="AL4309" s="82"/>
      <c r="AM4309" s="82"/>
      <c r="AN4309" s="82"/>
      <c r="AO4309" s="82"/>
      <c r="AP4309" s="82"/>
      <c r="AQ4309" s="82"/>
      <c r="AR4309" s="82"/>
      <c r="AS4309" s="82"/>
      <c r="AT4309" s="82"/>
      <c r="AU4309" s="82"/>
      <c r="AV4309" s="82"/>
      <c r="AW4309" s="82" t="str">
        <f t="shared" si="1"/>
        <v/>
      </c>
      <c r="AX4309" s="83" t="str">
        <f t="array" ref="AX4309">IFERROR(DGET('SBV Import'!A:G,"SBV",{"RSC ID","Tier";B4309,A4309}))</f>
        <v/>
      </c>
      <c r="AY4309" s="82" t="str">
        <f t="shared" si="2"/>
        <v/>
      </c>
      <c r="AZ4309" s="82"/>
      <c r="BA4309" s="84" t="s">
        <v>152</v>
      </c>
      <c r="BB4309" s="84" t="str">
        <f>IFERROR(__xludf.DUMMYFUNCTION("iferror(if(A4309="""",,E4309&gt;=FILTER(Constants!$F$2:$F$10,Constants!$A$2:$A$10=A4309)))"),"")</f>
        <v/>
      </c>
    </row>
    <row r="4310">
      <c r="A4310" s="89"/>
      <c r="B4310" s="87"/>
      <c r="C4310" s="73"/>
      <c r="D4310" s="73"/>
      <c r="E4310" s="82"/>
      <c r="F4310" s="82"/>
      <c r="G4310" s="86"/>
      <c r="H4310" s="86"/>
      <c r="I4310" s="86"/>
      <c r="J4310" s="82"/>
      <c r="K4310" s="82"/>
      <c r="L4310" s="82"/>
      <c r="M4310" s="82"/>
      <c r="N4310" s="82"/>
      <c r="O4310" s="82"/>
      <c r="P4310" s="82"/>
      <c r="Q4310" s="82"/>
      <c r="R4310" s="82"/>
      <c r="S4310" s="82"/>
      <c r="T4310" s="82"/>
      <c r="U4310" s="82"/>
      <c r="V4310" s="82"/>
      <c r="W4310" s="82"/>
      <c r="X4310" s="82"/>
      <c r="Y4310" s="82"/>
      <c r="Z4310" s="82"/>
      <c r="AA4310" s="82"/>
      <c r="AB4310" s="82"/>
      <c r="AC4310" s="82"/>
      <c r="AD4310" s="82"/>
      <c r="AE4310" s="82"/>
      <c r="AF4310" s="82"/>
      <c r="AG4310" s="82"/>
      <c r="AH4310" s="82"/>
      <c r="AI4310" s="82"/>
      <c r="AJ4310" s="82"/>
      <c r="AK4310" s="82"/>
      <c r="AL4310" s="82"/>
      <c r="AM4310" s="82"/>
      <c r="AN4310" s="82"/>
      <c r="AO4310" s="82"/>
      <c r="AP4310" s="82"/>
      <c r="AQ4310" s="82"/>
      <c r="AR4310" s="82"/>
      <c r="AS4310" s="82"/>
      <c r="AT4310" s="82"/>
      <c r="AU4310" s="82"/>
      <c r="AV4310" s="82"/>
      <c r="AW4310" s="82" t="str">
        <f t="shared" si="1"/>
        <v/>
      </c>
      <c r="AX4310" s="83" t="str">
        <f t="array" ref="AX4310">IFERROR(DGET('SBV Import'!A:G,"SBV",{"RSC ID","Tier";B4310,A4310}))</f>
        <v/>
      </c>
      <c r="AY4310" s="82" t="str">
        <f t="shared" si="2"/>
        <v/>
      </c>
      <c r="AZ4310" s="82"/>
      <c r="BA4310" s="84" t="s">
        <v>152</v>
      </c>
      <c r="BB4310" s="84" t="str">
        <f>IFERROR(__xludf.DUMMYFUNCTION("iferror(if(A4310="""",,E4310&gt;=FILTER(Constants!$F$2:$F$10,Constants!$A$2:$A$10=A4310)))"),"")</f>
        <v/>
      </c>
    </row>
    <row r="4311">
      <c r="A4311" s="89"/>
      <c r="B4311" s="87"/>
      <c r="C4311" s="73"/>
      <c r="D4311" s="73"/>
      <c r="E4311" s="82"/>
      <c r="F4311" s="82"/>
      <c r="G4311" s="86"/>
      <c r="H4311" s="86"/>
      <c r="I4311" s="86"/>
      <c r="J4311" s="82"/>
      <c r="K4311" s="82"/>
      <c r="L4311" s="82"/>
      <c r="M4311" s="82"/>
      <c r="N4311" s="82"/>
      <c r="O4311" s="82"/>
      <c r="P4311" s="82"/>
      <c r="Q4311" s="82"/>
      <c r="R4311" s="82"/>
      <c r="S4311" s="82"/>
      <c r="T4311" s="82"/>
      <c r="U4311" s="82"/>
      <c r="V4311" s="82"/>
      <c r="W4311" s="82"/>
      <c r="X4311" s="82"/>
      <c r="Y4311" s="82"/>
      <c r="Z4311" s="82"/>
      <c r="AA4311" s="82"/>
      <c r="AB4311" s="82"/>
      <c r="AC4311" s="82"/>
      <c r="AD4311" s="82"/>
      <c r="AE4311" s="82"/>
      <c r="AF4311" s="82"/>
      <c r="AG4311" s="82"/>
      <c r="AH4311" s="82"/>
      <c r="AI4311" s="82"/>
      <c r="AJ4311" s="82"/>
      <c r="AK4311" s="82"/>
      <c r="AL4311" s="82"/>
      <c r="AM4311" s="82"/>
      <c r="AN4311" s="82"/>
      <c r="AO4311" s="82"/>
      <c r="AP4311" s="82"/>
      <c r="AQ4311" s="82"/>
      <c r="AR4311" s="82"/>
      <c r="AS4311" s="82"/>
      <c r="AT4311" s="82"/>
      <c r="AU4311" s="82"/>
      <c r="AV4311" s="82"/>
      <c r="AW4311" s="82" t="str">
        <f t="shared" si="1"/>
        <v/>
      </c>
      <c r="AX4311" s="83" t="str">
        <f t="array" ref="AX4311">IFERROR(DGET('SBV Import'!A:G,"SBV",{"RSC ID","Tier";B4311,A4311}))</f>
        <v/>
      </c>
      <c r="AY4311" s="82" t="str">
        <f t="shared" si="2"/>
        <v/>
      </c>
      <c r="AZ4311" s="82"/>
      <c r="BA4311" s="84" t="s">
        <v>152</v>
      </c>
      <c r="BB4311" s="84" t="str">
        <f>IFERROR(__xludf.DUMMYFUNCTION("iferror(if(A4311="""",,E4311&gt;=FILTER(Constants!$F$2:$F$10,Constants!$A$2:$A$10=A4311)))"),"")</f>
        <v/>
      </c>
    </row>
    <row r="4312">
      <c r="A4312" s="89"/>
      <c r="B4312" s="87"/>
      <c r="C4312" s="73"/>
      <c r="D4312" s="73"/>
      <c r="E4312" s="82"/>
      <c r="F4312" s="82"/>
      <c r="G4312" s="86"/>
      <c r="H4312" s="86"/>
      <c r="I4312" s="86"/>
      <c r="J4312" s="82"/>
      <c r="K4312" s="82"/>
      <c r="L4312" s="82"/>
      <c r="M4312" s="82"/>
      <c r="N4312" s="82"/>
      <c r="O4312" s="82"/>
      <c r="P4312" s="82"/>
      <c r="Q4312" s="82"/>
      <c r="R4312" s="82"/>
      <c r="S4312" s="82"/>
      <c r="T4312" s="82"/>
      <c r="U4312" s="82"/>
      <c r="V4312" s="82"/>
      <c r="W4312" s="82"/>
      <c r="X4312" s="82"/>
      <c r="Y4312" s="82"/>
      <c r="Z4312" s="82"/>
      <c r="AA4312" s="82"/>
      <c r="AB4312" s="82"/>
      <c r="AC4312" s="82"/>
      <c r="AD4312" s="82"/>
      <c r="AE4312" s="82"/>
      <c r="AF4312" s="82"/>
      <c r="AG4312" s="82"/>
      <c r="AH4312" s="82"/>
      <c r="AI4312" s="82"/>
      <c r="AJ4312" s="82"/>
      <c r="AK4312" s="82"/>
      <c r="AL4312" s="82"/>
      <c r="AM4312" s="82"/>
      <c r="AN4312" s="82"/>
      <c r="AO4312" s="82"/>
      <c r="AP4312" s="82"/>
      <c r="AQ4312" s="82"/>
      <c r="AR4312" s="82"/>
      <c r="AS4312" s="82"/>
      <c r="AT4312" s="82"/>
      <c r="AU4312" s="82"/>
      <c r="AV4312" s="82"/>
      <c r="AW4312" s="82" t="str">
        <f t="shared" si="1"/>
        <v/>
      </c>
      <c r="AX4312" s="83" t="str">
        <f t="array" ref="AX4312">IFERROR(DGET('SBV Import'!A:G,"SBV",{"RSC ID","Tier";B4312,A4312}))</f>
        <v/>
      </c>
      <c r="AY4312" s="82" t="str">
        <f t="shared" si="2"/>
        <v/>
      </c>
      <c r="AZ4312" s="82"/>
      <c r="BA4312" s="84" t="s">
        <v>152</v>
      </c>
      <c r="BB4312" s="84" t="str">
        <f>IFERROR(__xludf.DUMMYFUNCTION("iferror(if(A4312="""",,E4312&gt;=FILTER(Constants!$F$2:$F$10,Constants!$A$2:$A$10=A4312)))"),"")</f>
        <v/>
      </c>
    </row>
    <row r="4313">
      <c r="A4313" s="89"/>
      <c r="B4313" s="87"/>
      <c r="C4313" s="73"/>
      <c r="D4313" s="73"/>
      <c r="E4313" s="82"/>
      <c r="F4313" s="82"/>
      <c r="G4313" s="86"/>
      <c r="H4313" s="86"/>
      <c r="I4313" s="86"/>
      <c r="J4313" s="82"/>
      <c r="K4313" s="82"/>
      <c r="L4313" s="82"/>
      <c r="M4313" s="82"/>
      <c r="N4313" s="82"/>
      <c r="O4313" s="82"/>
      <c r="P4313" s="82"/>
      <c r="Q4313" s="82"/>
      <c r="R4313" s="82"/>
      <c r="S4313" s="82"/>
      <c r="T4313" s="82"/>
      <c r="U4313" s="82"/>
      <c r="V4313" s="82"/>
      <c r="W4313" s="82"/>
      <c r="X4313" s="82"/>
      <c r="Y4313" s="82"/>
      <c r="Z4313" s="82"/>
      <c r="AA4313" s="82"/>
      <c r="AB4313" s="82"/>
      <c r="AC4313" s="82"/>
      <c r="AD4313" s="82"/>
      <c r="AE4313" s="82"/>
      <c r="AF4313" s="82"/>
      <c r="AG4313" s="82"/>
      <c r="AH4313" s="82"/>
      <c r="AI4313" s="82"/>
      <c r="AJ4313" s="82"/>
      <c r="AK4313" s="82"/>
      <c r="AL4313" s="82"/>
      <c r="AM4313" s="82"/>
      <c r="AN4313" s="82"/>
      <c r="AO4313" s="82"/>
      <c r="AP4313" s="82"/>
      <c r="AQ4313" s="82"/>
      <c r="AR4313" s="82"/>
      <c r="AS4313" s="82"/>
      <c r="AT4313" s="82"/>
      <c r="AU4313" s="82"/>
      <c r="AV4313" s="82"/>
      <c r="AW4313" s="82" t="str">
        <f t="shared" si="1"/>
        <v/>
      </c>
      <c r="AX4313" s="83" t="str">
        <f t="array" ref="AX4313">IFERROR(DGET('SBV Import'!A:G,"SBV",{"RSC ID","Tier";B4313,A4313}))</f>
        <v/>
      </c>
      <c r="AY4313" s="82" t="str">
        <f t="shared" si="2"/>
        <v/>
      </c>
      <c r="AZ4313" s="82"/>
      <c r="BA4313" s="84" t="s">
        <v>152</v>
      </c>
      <c r="BB4313" s="84" t="str">
        <f>IFERROR(__xludf.DUMMYFUNCTION("iferror(if(A4313="""",,E4313&gt;=FILTER(Constants!$F$2:$F$10,Constants!$A$2:$A$10=A4313)))"),"")</f>
        <v/>
      </c>
    </row>
    <row r="4314">
      <c r="A4314" s="89"/>
      <c r="B4314" s="87"/>
      <c r="C4314" s="73"/>
      <c r="D4314" s="73"/>
      <c r="E4314" s="82"/>
      <c r="F4314" s="82"/>
      <c r="G4314" s="86"/>
      <c r="H4314" s="86"/>
      <c r="I4314" s="86"/>
      <c r="J4314" s="82"/>
      <c r="K4314" s="82"/>
      <c r="L4314" s="82"/>
      <c r="M4314" s="82"/>
      <c r="N4314" s="82"/>
      <c r="O4314" s="82"/>
      <c r="P4314" s="82"/>
      <c r="Q4314" s="82"/>
      <c r="R4314" s="82"/>
      <c r="S4314" s="82"/>
      <c r="T4314" s="82"/>
      <c r="U4314" s="82"/>
      <c r="V4314" s="82"/>
      <c r="W4314" s="82"/>
      <c r="X4314" s="82"/>
      <c r="Y4314" s="82"/>
      <c r="Z4314" s="82"/>
      <c r="AA4314" s="82"/>
      <c r="AB4314" s="82"/>
      <c r="AC4314" s="82"/>
      <c r="AD4314" s="82"/>
      <c r="AE4314" s="82"/>
      <c r="AF4314" s="82"/>
      <c r="AG4314" s="82"/>
      <c r="AH4314" s="82"/>
      <c r="AI4314" s="82"/>
      <c r="AJ4314" s="82"/>
      <c r="AK4314" s="82"/>
      <c r="AL4314" s="82"/>
      <c r="AM4314" s="82"/>
      <c r="AN4314" s="82"/>
      <c r="AO4314" s="82"/>
      <c r="AP4314" s="82"/>
      <c r="AQ4314" s="82"/>
      <c r="AR4314" s="82"/>
      <c r="AS4314" s="82"/>
      <c r="AT4314" s="82"/>
      <c r="AU4314" s="82"/>
      <c r="AV4314" s="82"/>
      <c r="AW4314" s="82" t="str">
        <f t="shared" si="1"/>
        <v/>
      </c>
      <c r="AX4314" s="83" t="str">
        <f t="array" ref="AX4314">IFERROR(DGET('SBV Import'!A:G,"SBV",{"RSC ID","Tier";B4314,A4314}))</f>
        <v/>
      </c>
      <c r="AY4314" s="82" t="str">
        <f t="shared" si="2"/>
        <v/>
      </c>
      <c r="AZ4314" s="82"/>
      <c r="BA4314" s="84" t="s">
        <v>152</v>
      </c>
      <c r="BB4314" s="84" t="str">
        <f>IFERROR(__xludf.DUMMYFUNCTION("iferror(if(A4314="""",,E4314&gt;=FILTER(Constants!$F$2:$F$10,Constants!$A$2:$A$10=A4314)))"),"")</f>
        <v/>
      </c>
    </row>
    <row r="4315">
      <c r="A4315" s="89"/>
      <c r="B4315" s="87"/>
      <c r="C4315" s="73"/>
      <c r="D4315" s="73"/>
      <c r="E4315" s="82"/>
      <c r="F4315" s="82"/>
      <c r="G4315" s="86"/>
      <c r="H4315" s="86"/>
      <c r="I4315" s="86"/>
      <c r="J4315" s="82"/>
      <c r="K4315" s="82"/>
      <c r="L4315" s="82"/>
      <c r="M4315" s="82"/>
      <c r="N4315" s="82"/>
      <c r="O4315" s="82"/>
      <c r="P4315" s="82"/>
      <c r="Q4315" s="82"/>
      <c r="R4315" s="82"/>
      <c r="S4315" s="82"/>
      <c r="T4315" s="82"/>
      <c r="U4315" s="82"/>
      <c r="V4315" s="82"/>
      <c r="W4315" s="82"/>
      <c r="X4315" s="82"/>
      <c r="Y4315" s="82"/>
      <c r="Z4315" s="82"/>
      <c r="AA4315" s="82"/>
      <c r="AB4315" s="82"/>
      <c r="AC4315" s="82"/>
      <c r="AD4315" s="82"/>
      <c r="AE4315" s="82"/>
      <c r="AF4315" s="82"/>
      <c r="AG4315" s="82"/>
      <c r="AH4315" s="82"/>
      <c r="AI4315" s="82"/>
      <c r="AJ4315" s="82"/>
      <c r="AK4315" s="82"/>
      <c r="AL4315" s="82"/>
      <c r="AM4315" s="82"/>
      <c r="AN4315" s="82"/>
      <c r="AO4315" s="82"/>
      <c r="AP4315" s="82"/>
      <c r="AQ4315" s="82"/>
      <c r="AR4315" s="82"/>
      <c r="AS4315" s="82"/>
      <c r="AT4315" s="82"/>
      <c r="AU4315" s="82"/>
      <c r="AV4315" s="82"/>
      <c r="AW4315" s="82" t="str">
        <f t="shared" si="1"/>
        <v/>
      </c>
      <c r="AX4315" s="83" t="str">
        <f t="array" ref="AX4315">IFERROR(DGET('SBV Import'!A:G,"SBV",{"RSC ID","Tier";B4315,A4315}))</f>
        <v/>
      </c>
      <c r="AY4315" s="82" t="str">
        <f t="shared" si="2"/>
        <v/>
      </c>
      <c r="AZ4315" s="82"/>
      <c r="BA4315" s="84" t="s">
        <v>152</v>
      </c>
      <c r="BB4315" s="84" t="str">
        <f>IFERROR(__xludf.DUMMYFUNCTION("iferror(if(A4315="""",,E4315&gt;=FILTER(Constants!$F$2:$F$10,Constants!$A$2:$A$10=A4315)))"),"")</f>
        <v/>
      </c>
    </row>
    <row r="4316">
      <c r="A4316" s="89"/>
      <c r="B4316" s="87"/>
      <c r="C4316" s="73"/>
      <c r="D4316" s="73"/>
      <c r="E4316" s="82"/>
      <c r="F4316" s="82"/>
      <c r="G4316" s="86"/>
      <c r="H4316" s="86"/>
      <c r="I4316" s="86"/>
      <c r="J4316" s="82"/>
      <c r="K4316" s="82"/>
      <c r="L4316" s="82"/>
      <c r="M4316" s="82"/>
      <c r="N4316" s="82"/>
      <c r="O4316" s="82"/>
      <c r="P4316" s="82"/>
      <c r="Q4316" s="82"/>
      <c r="R4316" s="82"/>
      <c r="S4316" s="82"/>
      <c r="T4316" s="82"/>
      <c r="U4316" s="82"/>
      <c r="V4316" s="82"/>
      <c r="W4316" s="82"/>
      <c r="X4316" s="82"/>
      <c r="Y4316" s="82"/>
      <c r="Z4316" s="82"/>
      <c r="AA4316" s="82"/>
      <c r="AB4316" s="82"/>
      <c r="AC4316" s="82"/>
      <c r="AD4316" s="82"/>
      <c r="AE4316" s="82"/>
      <c r="AF4316" s="82"/>
      <c r="AG4316" s="82"/>
      <c r="AH4316" s="82"/>
      <c r="AI4316" s="82"/>
      <c r="AJ4316" s="82"/>
      <c r="AK4316" s="82"/>
      <c r="AL4316" s="82"/>
      <c r="AM4316" s="82"/>
      <c r="AN4316" s="82"/>
      <c r="AO4316" s="82"/>
      <c r="AP4316" s="82"/>
      <c r="AQ4316" s="82"/>
      <c r="AR4316" s="82"/>
      <c r="AS4316" s="82"/>
      <c r="AT4316" s="82"/>
      <c r="AU4316" s="82"/>
      <c r="AV4316" s="82"/>
      <c r="AW4316" s="82" t="str">
        <f t="shared" si="1"/>
        <v/>
      </c>
      <c r="AX4316" s="83" t="str">
        <f t="array" ref="AX4316">IFERROR(DGET('SBV Import'!A:G,"SBV",{"RSC ID","Tier";B4316,A4316}))</f>
        <v/>
      </c>
      <c r="AY4316" s="82" t="str">
        <f t="shared" si="2"/>
        <v/>
      </c>
      <c r="AZ4316" s="82"/>
      <c r="BA4316" s="84" t="s">
        <v>152</v>
      </c>
      <c r="BB4316" s="84" t="str">
        <f>IFERROR(__xludf.DUMMYFUNCTION("iferror(if(A4316="""",,E4316&gt;=FILTER(Constants!$F$2:$F$10,Constants!$A$2:$A$10=A4316)))"),"")</f>
        <v/>
      </c>
    </row>
    <row r="4317">
      <c r="A4317" s="89"/>
      <c r="B4317" s="87"/>
      <c r="C4317" s="73"/>
      <c r="D4317" s="73"/>
      <c r="E4317" s="82"/>
      <c r="F4317" s="82"/>
      <c r="G4317" s="86"/>
      <c r="H4317" s="86"/>
      <c r="I4317" s="86"/>
      <c r="J4317" s="82"/>
      <c r="K4317" s="82"/>
      <c r="L4317" s="82"/>
      <c r="M4317" s="82"/>
      <c r="N4317" s="82"/>
      <c r="O4317" s="82"/>
      <c r="P4317" s="82"/>
      <c r="Q4317" s="82"/>
      <c r="R4317" s="82"/>
      <c r="S4317" s="82"/>
      <c r="T4317" s="82"/>
      <c r="U4317" s="82"/>
      <c r="V4317" s="82"/>
      <c r="W4317" s="82"/>
      <c r="X4317" s="82"/>
      <c r="Y4317" s="82"/>
      <c r="Z4317" s="82"/>
      <c r="AA4317" s="82"/>
      <c r="AB4317" s="82"/>
      <c r="AC4317" s="82"/>
      <c r="AD4317" s="82"/>
      <c r="AE4317" s="82"/>
      <c r="AF4317" s="82"/>
      <c r="AG4317" s="82"/>
      <c r="AH4317" s="82"/>
      <c r="AI4317" s="82"/>
      <c r="AJ4317" s="82"/>
      <c r="AK4317" s="82"/>
      <c r="AL4317" s="82"/>
      <c r="AM4317" s="82"/>
      <c r="AN4317" s="82"/>
      <c r="AO4317" s="82"/>
      <c r="AP4317" s="82"/>
      <c r="AQ4317" s="82"/>
      <c r="AR4317" s="82"/>
      <c r="AS4317" s="82"/>
      <c r="AT4317" s="82"/>
      <c r="AU4317" s="82"/>
      <c r="AV4317" s="82"/>
      <c r="AW4317" s="82" t="str">
        <f t="shared" si="1"/>
        <v/>
      </c>
      <c r="AX4317" s="83" t="str">
        <f t="array" ref="AX4317">IFERROR(DGET('SBV Import'!A:G,"SBV",{"RSC ID","Tier";B4317,A4317}))</f>
        <v/>
      </c>
      <c r="AY4317" s="82" t="str">
        <f t="shared" si="2"/>
        <v/>
      </c>
      <c r="AZ4317" s="82"/>
      <c r="BA4317" s="84" t="s">
        <v>152</v>
      </c>
      <c r="BB4317" s="84" t="str">
        <f>IFERROR(__xludf.DUMMYFUNCTION("iferror(if(A4317="""",,E4317&gt;=FILTER(Constants!$F$2:$F$10,Constants!$A$2:$A$10=A4317)))"),"")</f>
        <v/>
      </c>
    </row>
    <row r="4318">
      <c r="A4318" s="89"/>
      <c r="B4318" s="87"/>
      <c r="C4318" s="73"/>
      <c r="D4318" s="73"/>
      <c r="E4318" s="82"/>
      <c r="F4318" s="82"/>
      <c r="G4318" s="86"/>
      <c r="H4318" s="86"/>
      <c r="I4318" s="86"/>
      <c r="J4318" s="82"/>
      <c r="K4318" s="82"/>
      <c r="L4318" s="82"/>
      <c r="M4318" s="82"/>
      <c r="N4318" s="82"/>
      <c r="O4318" s="82"/>
      <c r="P4318" s="82"/>
      <c r="Q4318" s="82"/>
      <c r="R4318" s="82"/>
      <c r="S4318" s="82"/>
      <c r="T4318" s="82"/>
      <c r="U4318" s="82"/>
      <c r="V4318" s="82"/>
      <c r="W4318" s="82"/>
      <c r="X4318" s="82"/>
      <c r="Y4318" s="82"/>
      <c r="Z4318" s="82"/>
      <c r="AA4318" s="82"/>
      <c r="AB4318" s="82"/>
      <c r="AC4318" s="82"/>
      <c r="AD4318" s="82"/>
      <c r="AE4318" s="82"/>
      <c r="AF4318" s="82"/>
      <c r="AG4318" s="82"/>
      <c r="AH4318" s="82"/>
      <c r="AI4318" s="82"/>
      <c r="AJ4318" s="82"/>
      <c r="AK4318" s="82"/>
      <c r="AL4318" s="82"/>
      <c r="AM4318" s="82"/>
      <c r="AN4318" s="82"/>
      <c r="AO4318" s="82"/>
      <c r="AP4318" s="82"/>
      <c r="AQ4318" s="82"/>
      <c r="AR4318" s="82"/>
      <c r="AS4318" s="82"/>
      <c r="AT4318" s="82"/>
      <c r="AU4318" s="82"/>
      <c r="AV4318" s="82"/>
      <c r="AW4318" s="82" t="str">
        <f t="shared" si="1"/>
        <v/>
      </c>
      <c r="AX4318" s="83" t="str">
        <f t="array" ref="AX4318">IFERROR(DGET('SBV Import'!A:G,"SBV",{"RSC ID","Tier";B4318,A4318}))</f>
        <v/>
      </c>
      <c r="AY4318" s="82" t="str">
        <f t="shared" si="2"/>
        <v/>
      </c>
      <c r="AZ4318" s="82"/>
      <c r="BA4318" s="84" t="s">
        <v>152</v>
      </c>
      <c r="BB4318" s="84" t="str">
        <f>IFERROR(__xludf.DUMMYFUNCTION("iferror(if(A4318="""",,E4318&gt;=FILTER(Constants!$F$2:$F$10,Constants!$A$2:$A$10=A4318)))"),"")</f>
        <v/>
      </c>
    </row>
    <row r="4319">
      <c r="A4319" s="89"/>
      <c r="B4319" s="87"/>
      <c r="C4319" s="73"/>
      <c r="D4319" s="73"/>
      <c r="E4319" s="82"/>
      <c r="F4319" s="82"/>
      <c r="G4319" s="86"/>
      <c r="H4319" s="86"/>
      <c r="I4319" s="86"/>
      <c r="J4319" s="82"/>
      <c r="K4319" s="82"/>
      <c r="L4319" s="82"/>
      <c r="M4319" s="82"/>
      <c r="N4319" s="82"/>
      <c r="O4319" s="82"/>
      <c r="P4319" s="82"/>
      <c r="Q4319" s="82"/>
      <c r="R4319" s="82"/>
      <c r="S4319" s="82"/>
      <c r="T4319" s="82"/>
      <c r="U4319" s="82"/>
      <c r="V4319" s="82"/>
      <c r="W4319" s="82"/>
      <c r="X4319" s="82"/>
      <c r="Y4319" s="82"/>
      <c r="Z4319" s="82"/>
      <c r="AA4319" s="82"/>
      <c r="AB4319" s="82"/>
      <c r="AC4319" s="82"/>
      <c r="AD4319" s="82"/>
      <c r="AE4319" s="82"/>
      <c r="AF4319" s="82"/>
      <c r="AG4319" s="82"/>
      <c r="AH4319" s="82"/>
      <c r="AI4319" s="82"/>
      <c r="AJ4319" s="82"/>
      <c r="AK4319" s="82"/>
      <c r="AL4319" s="82"/>
      <c r="AM4319" s="82"/>
      <c r="AN4319" s="82"/>
      <c r="AO4319" s="82"/>
      <c r="AP4319" s="82"/>
      <c r="AQ4319" s="82"/>
      <c r="AR4319" s="82"/>
      <c r="AS4319" s="82"/>
      <c r="AT4319" s="82"/>
      <c r="AU4319" s="82"/>
      <c r="AV4319" s="82"/>
      <c r="AW4319" s="82" t="str">
        <f t="shared" si="1"/>
        <v/>
      </c>
      <c r="AX4319" s="83" t="str">
        <f t="array" ref="AX4319">IFERROR(DGET('SBV Import'!A:G,"SBV",{"RSC ID","Tier";B4319,A4319}))</f>
        <v/>
      </c>
      <c r="AY4319" s="82" t="str">
        <f t="shared" si="2"/>
        <v/>
      </c>
      <c r="AZ4319" s="82"/>
      <c r="BA4319" s="84" t="s">
        <v>152</v>
      </c>
      <c r="BB4319" s="84" t="str">
        <f>IFERROR(__xludf.DUMMYFUNCTION("iferror(if(A4319="""",,E4319&gt;=FILTER(Constants!$F$2:$F$10,Constants!$A$2:$A$10=A4319)))"),"")</f>
        <v/>
      </c>
    </row>
    <row r="4320">
      <c r="A4320" s="89"/>
      <c r="B4320" s="87"/>
      <c r="C4320" s="73"/>
      <c r="D4320" s="73"/>
      <c r="E4320" s="82"/>
      <c r="F4320" s="82"/>
      <c r="G4320" s="86"/>
      <c r="H4320" s="86"/>
      <c r="I4320" s="86"/>
      <c r="J4320" s="82"/>
      <c r="K4320" s="82"/>
      <c r="L4320" s="82"/>
      <c r="M4320" s="82"/>
      <c r="N4320" s="82"/>
      <c r="O4320" s="82"/>
      <c r="P4320" s="82"/>
      <c r="Q4320" s="82"/>
      <c r="R4320" s="82"/>
      <c r="S4320" s="82"/>
      <c r="T4320" s="82"/>
      <c r="U4320" s="82"/>
      <c r="V4320" s="82"/>
      <c r="W4320" s="82"/>
      <c r="X4320" s="82"/>
      <c r="Y4320" s="82"/>
      <c r="Z4320" s="82"/>
      <c r="AA4320" s="82"/>
      <c r="AB4320" s="82"/>
      <c r="AC4320" s="82"/>
      <c r="AD4320" s="82"/>
      <c r="AE4320" s="82"/>
      <c r="AF4320" s="82"/>
      <c r="AG4320" s="82"/>
      <c r="AH4320" s="82"/>
      <c r="AI4320" s="82"/>
      <c r="AJ4320" s="82"/>
      <c r="AK4320" s="82"/>
      <c r="AL4320" s="82"/>
      <c r="AM4320" s="82"/>
      <c r="AN4320" s="82"/>
      <c r="AO4320" s="82"/>
      <c r="AP4320" s="82"/>
      <c r="AQ4320" s="82"/>
      <c r="AR4320" s="82"/>
      <c r="AS4320" s="82"/>
      <c r="AT4320" s="82"/>
      <c r="AU4320" s="82"/>
      <c r="AV4320" s="82"/>
      <c r="AW4320" s="82" t="str">
        <f t="shared" si="1"/>
        <v/>
      </c>
      <c r="AX4320" s="83" t="str">
        <f t="array" ref="AX4320">IFERROR(DGET('SBV Import'!A:G,"SBV",{"RSC ID","Tier";B4320,A4320}))</f>
        <v/>
      </c>
      <c r="AY4320" s="82" t="str">
        <f t="shared" si="2"/>
        <v/>
      </c>
      <c r="AZ4320" s="82"/>
      <c r="BA4320" s="84" t="s">
        <v>152</v>
      </c>
      <c r="BB4320" s="84" t="str">
        <f>IFERROR(__xludf.DUMMYFUNCTION("iferror(if(A4320="""",,E4320&gt;=FILTER(Constants!$F$2:$F$10,Constants!$A$2:$A$10=A4320)))"),"")</f>
        <v/>
      </c>
    </row>
    <row r="4321">
      <c r="A4321" s="89"/>
      <c r="B4321" s="87"/>
      <c r="C4321" s="73"/>
      <c r="D4321" s="73"/>
      <c r="E4321" s="82"/>
      <c r="F4321" s="82"/>
      <c r="G4321" s="86"/>
      <c r="H4321" s="86"/>
      <c r="I4321" s="86"/>
      <c r="J4321" s="82"/>
      <c r="K4321" s="82"/>
      <c r="L4321" s="82"/>
      <c r="M4321" s="82"/>
      <c r="N4321" s="82"/>
      <c r="O4321" s="82"/>
      <c r="P4321" s="82"/>
      <c r="Q4321" s="82"/>
      <c r="R4321" s="82"/>
      <c r="S4321" s="82"/>
      <c r="T4321" s="82"/>
      <c r="U4321" s="82"/>
      <c r="V4321" s="82"/>
      <c r="W4321" s="82"/>
      <c r="X4321" s="82"/>
      <c r="Y4321" s="82"/>
      <c r="Z4321" s="82"/>
      <c r="AA4321" s="82"/>
      <c r="AB4321" s="82"/>
      <c r="AC4321" s="82"/>
      <c r="AD4321" s="82"/>
      <c r="AE4321" s="82"/>
      <c r="AF4321" s="82"/>
      <c r="AG4321" s="82"/>
      <c r="AH4321" s="82"/>
      <c r="AI4321" s="82"/>
      <c r="AJ4321" s="82"/>
      <c r="AK4321" s="82"/>
      <c r="AL4321" s="82"/>
      <c r="AM4321" s="82"/>
      <c r="AN4321" s="82"/>
      <c r="AO4321" s="82"/>
      <c r="AP4321" s="82"/>
      <c r="AQ4321" s="82"/>
      <c r="AR4321" s="82"/>
      <c r="AS4321" s="82"/>
      <c r="AT4321" s="82"/>
      <c r="AU4321" s="82"/>
      <c r="AV4321" s="82"/>
      <c r="AW4321" s="82" t="str">
        <f t="shared" si="1"/>
        <v/>
      </c>
      <c r="AX4321" s="83" t="str">
        <f t="array" ref="AX4321">IFERROR(DGET('SBV Import'!A:G,"SBV",{"RSC ID","Tier";B4321,A4321}))</f>
        <v/>
      </c>
      <c r="AY4321" s="82" t="str">
        <f t="shared" si="2"/>
        <v/>
      </c>
      <c r="AZ4321" s="82"/>
      <c r="BA4321" s="84" t="s">
        <v>152</v>
      </c>
      <c r="BB4321" s="84" t="str">
        <f>IFERROR(__xludf.DUMMYFUNCTION("iferror(if(A4321="""",,E4321&gt;=FILTER(Constants!$F$2:$F$10,Constants!$A$2:$A$10=A4321)))"),"")</f>
        <v/>
      </c>
    </row>
    <row r="4322">
      <c r="A4322" s="89"/>
      <c r="B4322" s="87"/>
      <c r="C4322" s="73"/>
      <c r="D4322" s="73"/>
      <c r="E4322" s="82"/>
      <c r="F4322" s="82"/>
      <c r="G4322" s="86"/>
      <c r="H4322" s="86"/>
      <c r="I4322" s="86"/>
      <c r="J4322" s="82"/>
      <c r="K4322" s="82"/>
      <c r="L4322" s="82"/>
      <c r="M4322" s="82"/>
      <c r="N4322" s="82"/>
      <c r="O4322" s="82"/>
      <c r="P4322" s="82"/>
      <c r="Q4322" s="82"/>
      <c r="R4322" s="82"/>
      <c r="S4322" s="82"/>
      <c r="T4322" s="82"/>
      <c r="U4322" s="82"/>
      <c r="V4322" s="82"/>
      <c r="W4322" s="82"/>
      <c r="X4322" s="82"/>
      <c r="Y4322" s="82"/>
      <c r="Z4322" s="82"/>
      <c r="AA4322" s="82"/>
      <c r="AB4322" s="82"/>
      <c r="AC4322" s="82"/>
      <c r="AD4322" s="82"/>
      <c r="AE4322" s="82"/>
      <c r="AF4322" s="82"/>
      <c r="AG4322" s="82"/>
      <c r="AH4322" s="82"/>
      <c r="AI4322" s="82"/>
      <c r="AJ4322" s="82"/>
      <c r="AK4322" s="82"/>
      <c r="AL4322" s="82"/>
      <c r="AM4322" s="82"/>
      <c r="AN4322" s="82"/>
      <c r="AO4322" s="82"/>
      <c r="AP4322" s="82"/>
      <c r="AQ4322" s="82"/>
      <c r="AR4322" s="82"/>
      <c r="AS4322" s="82"/>
      <c r="AT4322" s="82"/>
      <c r="AU4322" s="82"/>
      <c r="AV4322" s="82"/>
      <c r="AW4322" s="82" t="str">
        <f t="shared" si="1"/>
        <v/>
      </c>
      <c r="AX4322" s="83" t="str">
        <f t="array" ref="AX4322">IFERROR(DGET('SBV Import'!A:G,"SBV",{"RSC ID","Tier";B4322,A4322}))</f>
        <v/>
      </c>
      <c r="AY4322" s="82" t="str">
        <f t="shared" si="2"/>
        <v/>
      </c>
      <c r="AZ4322" s="82"/>
      <c r="BA4322" s="84" t="s">
        <v>152</v>
      </c>
      <c r="BB4322" s="84" t="str">
        <f>IFERROR(__xludf.DUMMYFUNCTION("iferror(if(A4322="""",,E4322&gt;=FILTER(Constants!$F$2:$F$10,Constants!$A$2:$A$10=A4322)))"),"")</f>
        <v/>
      </c>
    </row>
    <row r="4323">
      <c r="A4323" s="89"/>
      <c r="B4323" s="87"/>
      <c r="C4323" s="73"/>
      <c r="D4323" s="73"/>
      <c r="E4323" s="82"/>
      <c r="F4323" s="82"/>
      <c r="G4323" s="86"/>
      <c r="H4323" s="86"/>
      <c r="I4323" s="86"/>
      <c r="J4323" s="82"/>
      <c r="K4323" s="82"/>
      <c r="L4323" s="82"/>
      <c r="M4323" s="82"/>
      <c r="N4323" s="82"/>
      <c r="O4323" s="82"/>
      <c r="P4323" s="82"/>
      <c r="Q4323" s="82"/>
      <c r="R4323" s="82"/>
      <c r="S4323" s="82"/>
      <c r="T4323" s="82"/>
      <c r="U4323" s="82"/>
      <c r="V4323" s="82"/>
      <c r="W4323" s="82"/>
      <c r="X4323" s="82"/>
      <c r="Y4323" s="82"/>
      <c r="Z4323" s="82"/>
      <c r="AA4323" s="82"/>
      <c r="AB4323" s="82"/>
      <c r="AC4323" s="82"/>
      <c r="AD4323" s="82"/>
      <c r="AE4323" s="82"/>
      <c r="AF4323" s="82"/>
      <c r="AG4323" s="82"/>
      <c r="AH4323" s="82"/>
      <c r="AI4323" s="82"/>
      <c r="AJ4323" s="82"/>
      <c r="AK4323" s="82"/>
      <c r="AL4323" s="82"/>
      <c r="AM4323" s="82"/>
      <c r="AN4323" s="82"/>
      <c r="AO4323" s="82"/>
      <c r="AP4323" s="82"/>
      <c r="AQ4323" s="82"/>
      <c r="AR4323" s="82"/>
      <c r="AS4323" s="82"/>
      <c r="AT4323" s="82"/>
      <c r="AU4323" s="82"/>
      <c r="AV4323" s="82"/>
      <c r="AW4323" s="82" t="str">
        <f t="shared" si="1"/>
        <v/>
      </c>
      <c r="AX4323" s="83" t="str">
        <f t="array" ref="AX4323">IFERROR(DGET('SBV Import'!A:G,"SBV",{"RSC ID","Tier";B4323,A4323}))</f>
        <v/>
      </c>
      <c r="AY4323" s="82" t="str">
        <f t="shared" si="2"/>
        <v/>
      </c>
      <c r="AZ4323" s="82"/>
      <c r="BA4323" s="84" t="s">
        <v>152</v>
      </c>
      <c r="BB4323" s="84" t="str">
        <f>IFERROR(__xludf.DUMMYFUNCTION("iferror(if(A4323="""",,E4323&gt;=FILTER(Constants!$F$2:$F$10,Constants!$A$2:$A$10=A4323)))"),"")</f>
        <v/>
      </c>
    </row>
    <row r="4324">
      <c r="A4324" s="89"/>
      <c r="B4324" s="87"/>
      <c r="C4324" s="73"/>
      <c r="D4324" s="73"/>
      <c r="E4324" s="82"/>
      <c r="F4324" s="82"/>
      <c r="G4324" s="86"/>
      <c r="H4324" s="86"/>
      <c r="I4324" s="86"/>
      <c r="J4324" s="82"/>
      <c r="K4324" s="82"/>
      <c r="L4324" s="82"/>
      <c r="M4324" s="82"/>
      <c r="N4324" s="82"/>
      <c r="O4324" s="82"/>
      <c r="P4324" s="82"/>
      <c r="Q4324" s="82"/>
      <c r="R4324" s="82"/>
      <c r="S4324" s="82"/>
      <c r="T4324" s="82"/>
      <c r="U4324" s="82"/>
      <c r="V4324" s="82"/>
      <c r="W4324" s="82"/>
      <c r="X4324" s="82"/>
      <c r="Y4324" s="82"/>
      <c r="Z4324" s="82"/>
      <c r="AA4324" s="82"/>
      <c r="AB4324" s="82"/>
      <c r="AC4324" s="82"/>
      <c r="AD4324" s="82"/>
      <c r="AE4324" s="82"/>
      <c r="AF4324" s="82"/>
      <c r="AG4324" s="82"/>
      <c r="AH4324" s="82"/>
      <c r="AI4324" s="82"/>
      <c r="AJ4324" s="82"/>
      <c r="AK4324" s="82"/>
      <c r="AL4324" s="82"/>
      <c r="AM4324" s="82"/>
      <c r="AN4324" s="82"/>
      <c r="AO4324" s="82"/>
      <c r="AP4324" s="82"/>
      <c r="AQ4324" s="82"/>
      <c r="AR4324" s="82"/>
      <c r="AS4324" s="82"/>
      <c r="AT4324" s="82"/>
      <c r="AU4324" s="82"/>
      <c r="AV4324" s="82"/>
      <c r="AW4324" s="82" t="str">
        <f t="shared" si="1"/>
        <v/>
      </c>
      <c r="AX4324" s="83" t="str">
        <f t="array" ref="AX4324">IFERROR(DGET('SBV Import'!A:G,"SBV",{"RSC ID","Tier";B4324,A4324}))</f>
        <v/>
      </c>
      <c r="AY4324" s="82" t="str">
        <f t="shared" si="2"/>
        <v/>
      </c>
      <c r="AZ4324" s="82"/>
      <c r="BA4324" s="84" t="s">
        <v>152</v>
      </c>
      <c r="BB4324" s="84" t="str">
        <f>IFERROR(__xludf.DUMMYFUNCTION("iferror(if(A4324="""",,E4324&gt;=FILTER(Constants!$F$2:$F$10,Constants!$A$2:$A$10=A4324)))"),"")</f>
        <v/>
      </c>
    </row>
    <row r="4325">
      <c r="A4325" s="89"/>
      <c r="B4325" s="87"/>
      <c r="C4325" s="73"/>
      <c r="D4325" s="73"/>
      <c r="E4325" s="82"/>
      <c r="F4325" s="82"/>
      <c r="G4325" s="86"/>
      <c r="H4325" s="86"/>
      <c r="I4325" s="86"/>
      <c r="J4325" s="82"/>
      <c r="K4325" s="82"/>
      <c r="L4325" s="82"/>
      <c r="M4325" s="82"/>
      <c r="N4325" s="82"/>
      <c r="O4325" s="82"/>
      <c r="P4325" s="82"/>
      <c r="Q4325" s="82"/>
      <c r="R4325" s="82"/>
      <c r="S4325" s="82"/>
      <c r="T4325" s="82"/>
      <c r="U4325" s="82"/>
      <c r="V4325" s="82"/>
      <c r="W4325" s="82"/>
      <c r="X4325" s="82"/>
      <c r="Y4325" s="82"/>
      <c r="Z4325" s="82"/>
      <c r="AA4325" s="82"/>
      <c r="AB4325" s="82"/>
      <c r="AC4325" s="82"/>
      <c r="AD4325" s="82"/>
      <c r="AE4325" s="82"/>
      <c r="AF4325" s="82"/>
      <c r="AG4325" s="82"/>
      <c r="AH4325" s="82"/>
      <c r="AI4325" s="82"/>
      <c r="AJ4325" s="82"/>
      <c r="AK4325" s="82"/>
      <c r="AL4325" s="82"/>
      <c r="AM4325" s="82"/>
      <c r="AN4325" s="82"/>
      <c r="AO4325" s="82"/>
      <c r="AP4325" s="82"/>
      <c r="AQ4325" s="82"/>
      <c r="AR4325" s="82"/>
      <c r="AS4325" s="82"/>
      <c r="AT4325" s="82"/>
      <c r="AU4325" s="82"/>
      <c r="AV4325" s="82"/>
      <c r="AW4325" s="82" t="str">
        <f t="shared" si="1"/>
        <v/>
      </c>
      <c r="AX4325" s="83" t="str">
        <f t="array" ref="AX4325">IFERROR(DGET('SBV Import'!A:G,"SBV",{"RSC ID","Tier";B4325,A4325}))</f>
        <v/>
      </c>
      <c r="AY4325" s="82" t="str">
        <f t="shared" si="2"/>
        <v/>
      </c>
      <c r="AZ4325" s="82"/>
      <c r="BA4325" s="84" t="s">
        <v>152</v>
      </c>
      <c r="BB4325" s="84" t="str">
        <f>IFERROR(__xludf.DUMMYFUNCTION("iferror(if(A4325="""",,E4325&gt;=FILTER(Constants!$F$2:$F$10,Constants!$A$2:$A$10=A4325)))"),"")</f>
        <v/>
      </c>
    </row>
    <row r="4326">
      <c r="A4326" s="89"/>
      <c r="B4326" s="87"/>
      <c r="C4326" s="73"/>
      <c r="D4326" s="73"/>
      <c r="E4326" s="82"/>
      <c r="F4326" s="82"/>
      <c r="G4326" s="86"/>
      <c r="H4326" s="86"/>
      <c r="I4326" s="86"/>
      <c r="J4326" s="82"/>
      <c r="K4326" s="82"/>
      <c r="L4326" s="82"/>
      <c r="M4326" s="82"/>
      <c r="N4326" s="82"/>
      <c r="O4326" s="82"/>
      <c r="P4326" s="82"/>
      <c r="Q4326" s="82"/>
      <c r="R4326" s="82"/>
      <c r="S4326" s="82"/>
      <c r="T4326" s="82"/>
      <c r="U4326" s="82"/>
      <c r="V4326" s="82"/>
      <c r="W4326" s="82"/>
      <c r="X4326" s="82"/>
      <c r="Y4326" s="82"/>
      <c r="Z4326" s="82"/>
      <c r="AA4326" s="82"/>
      <c r="AB4326" s="82"/>
      <c r="AC4326" s="82"/>
      <c r="AD4326" s="82"/>
      <c r="AE4326" s="82"/>
      <c r="AF4326" s="82"/>
      <c r="AG4326" s="82"/>
      <c r="AH4326" s="82"/>
      <c r="AI4326" s="82"/>
      <c r="AJ4326" s="82"/>
      <c r="AK4326" s="82"/>
      <c r="AL4326" s="82"/>
      <c r="AM4326" s="82"/>
      <c r="AN4326" s="82"/>
      <c r="AO4326" s="82"/>
      <c r="AP4326" s="82"/>
      <c r="AQ4326" s="82"/>
      <c r="AR4326" s="82"/>
      <c r="AS4326" s="82"/>
      <c r="AT4326" s="82"/>
      <c r="AU4326" s="82"/>
      <c r="AV4326" s="82"/>
      <c r="AW4326" s="82" t="str">
        <f t="shared" si="1"/>
        <v/>
      </c>
      <c r="AX4326" s="83" t="str">
        <f t="array" ref="AX4326">IFERROR(DGET('SBV Import'!A:G,"SBV",{"RSC ID","Tier";B4326,A4326}))</f>
        <v/>
      </c>
      <c r="AY4326" s="82" t="str">
        <f t="shared" si="2"/>
        <v/>
      </c>
      <c r="AZ4326" s="82"/>
      <c r="BA4326" s="84" t="s">
        <v>152</v>
      </c>
      <c r="BB4326" s="84" t="str">
        <f>IFERROR(__xludf.DUMMYFUNCTION("iferror(if(A4326="""",,E4326&gt;=FILTER(Constants!$F$2:$F$10,Constants!$A$2:$A$10=A4326)))"),"")</f>
        <v/>
      </c>
    </row>
    <row r="4327">
      <c r="A4327" s="89"/>
      <c r="B4327" s="87"/>
      <c r="C4327" s="73"/>
      <c r="D4327" s="73"/>
      <c r="E4327" s="82"/>
      <c r="F4327" s="82"/>
      <c r="G4327" s="86"/>
      <c r="H4327" s="86"/>
      <c r="I4327" s="86"/>
      <c r="J4327" s="82"/>
      <c r="K4327" s="82"/>
      <c r="L4327" s="82"/>
      <c r="M4327" s="82"/>
      <c r="N4327" s="82"/>
      <c r="O4327" s="82"/>
      <c r="P4327" s="82"/>
      <c r="Q4327" s="82"/>
      <c r="R4327" s="82"/>
      <c r="S4327" s="82"/>
      <c r="T4327" s="82"/>
      <c r="U4327" s="82"/>
      <c r="V4327" s="82"/>
      <c r="W4327" s="82"/>
      <c r="X4327" s="82"/>
      <c r="Y4327" s="82"/>
      <c r="Z4327" s="82"/>
      <c r="AA4327" s="82"/>
      <c r="AB4327" s="82"/>
      <c r="AC4327" s="82"/>
      <c r="AD4327" s="82"/>
      <c r="AE4327" s="82"/>
      <c r="AF4327" s="82"/>
      <c r="AG4327" s="82"/>
      <c r="AH4327" s="82"/>
      <c r="AI4327" s="82"/>
      <c r="AJ4327" s="82"/>
      <c r="AK4327" s="82"/>
      <c r="AL4327" s="82"/>
      <c r="AM4327" s="82"/>
      <c r="AN4327" s="82"/>
      <c r="AO4327" s="82"/>
      <c r="AP4327" s="82"/>
      <c r="AQ4327" s="82"/>
      <c r="AR4327" s="82"/>
      <c r="AS4327" s="82"/>
      <c r="AT4327" s="82"/>
      <c r="AU4327" s="82"/>
      <c r="AV4327" s="82"/>
      <c r="AW4327" s="82" t="str">
        <f t="shared" si="1"/>
        <v/>
      </c>
      <c r="AX4327" s="83" t="str">
        <f t="array" ref="AX4327">IFERROR(DGET('SBV Import'!A:G,"SBV",{"RSC ID","Tier";B4327,A4327}))</f>
        <v/>
      </c>
      <c r="AY4327" s="82" t="str">
        <f t="shared" si="2"/>
        <v/>
      </c>
      <c r="AZ4327" s="82"/>
      <c r="BA4327" s="84" t="s">
        <v>152</v>
      </c>
      <c r="BB4327" s="84" t="str">
        <f>IFERROR(__xludf.DUMMYFUNCTION("iferror(if(A4327="""",,E4327&gt;=FILTER(Constants!$F$2:$F$10,Constants!$A$2:$A$10=A4327)))"),"")</f>
        <v/>
      </c>
    </row>
    <row r="4328">
      <c r="A4328" s="89"/>
      <c r="B4328" s="87"/>
      <c r="C4328" s="73"/>
      <c r="D4328" s="73"/>
      <c r="E4328" s="82"/>
      <c r="F4328" s="82"/>
      <c r="G4328" s="86"/>
      <c r="H4328" s="86"/>
      <c r="I4328" s="86"/>
      <c r="J4328" s="82"/>
      <c r="K4328" s="82"/>
      <c r="L4328" s="82"/>
      <c r="M4328" s="82"/>
      <c r="N4328" s="82"/>
      <c r="O4328" s="82"/>
      <c r="P4328" s="82"/>
      <c r="Q4328" s="82"/>
      <c r="R4328" s="82"/>
      <c r="S4328" s="82"/>
      <c r="T4328" s="82"/>
      <c r="U4328" s="82"/>
      <c r="V4328" s="82"/>
      <c r="W4328" s="82"/>
      <c r="X4328" s="82"/>
      <c r="Y4328" s="82"/>
      <c r="Z4328" s="82"/>
      <c r="AA4328" s="82"/>
      <c r="AB4328" s="82"/>
      <c r="AC4328" s="82"/>
      <c r="AD4328" s="82"/>
      <c r="AE4328" s="82"/>
      <c r="AF4328" s="82"/>
      <c r="AG4328" s="82"/>
      <c r="AH4328" s="82"/>
      <c r="AI4328" s="82"/>
      <c r="AJ4328" s="82"/>
      <c r="AK4328" s="82"/>
      <c r="AL4328" s="82"/>
      <c r="AM4328" s="82"/>
      <c r="AN4328" s="82"/>
      <c r="AO4328" s="82"/>
      <c r="AP4328" s="82"/>
      <c r="AQ4328" s="82"/>
      <c r="AR4328" s="82"/>
      <c r="AS4328" s="82"/>
      <c r="AT4328" s="82"/>
      <c r="AU4328" s="82"/>
      <c r="AV4328" s="82"/>
      <c r="AW4328" s="82" t="str">
        <f t="shared" si="1"/>
        <v/>
      </c>
      <c r="AX4328" s="83" t="str">
        <f t="array" ref="AX4328">IFERROR(DGET('SBV Import'!A:G,"SBV",{"RSC ID","Tier";B4328,A4328}))</f>
        <v/>
      </c>
      <c r="AY4328" s="82" t="str">
        <f t="shared" si="2"/>
        <v/>
      </c>
      <c r="AZ4328" s="82"/>
      <c r="BA4328" s="84" t="s">
        <v>152</v>
      </c>
      <c r="BB4328" s="84" t="str">
        <f>IFERROR(__xludf.DUMMYFUNCTION("iferror(if(A4328="""",,E4328&gt;=FILTER(Constants!$F$2:$F$10,Constants!$A$2:$A$10=A4328)))"),"")</f>
        <v/>
      </c>
    </row>
    <row r="4329">
      <c r="A4329" s="89"/>
      <c r="B4329" s="87"/>
      <c r="C4329" s="73"/>
      <c r="D4329" s="73"/>
      <c r="E4329" s="82"/>
      <c r="F4329" s="82"/>
      <c r="G4329" s="86"/>
      <c r="H4329" s="86"/>
      <c r="I4329" s="86"/>
      <c r="J4329" s="82"/>
      <c r="K4329" s="82"/>
      <c r="L4329" s="82"/>
      <c r="M4329" s="82"/>
      <c r="N4329" s="82"/>
      <c r="O4329" s="82"/>
      <c r="P4329" s="82"/>
      <c r="Q4329" s="82"/>
      <c r="R4329" s="82"/>
      <c r="S4329" s="82"/>
      <c r="T4329" s="82"/>
      <c r="U4329" s="82"/>
      <c r="V4329" s="82"/>
      <c r="W4329" s="82"/>
      <c r="X4329" s="82"/>
      <c r="Y4329" s="82"/>
      <c r="Z4329" s="82"/>
      <c r="AA4329" s="82"/>
      <c r="AB4329" s="82"/>
      <c r="AC4329" s="82"/>
      <c r="AD4329" s="82"/>
      <c r="AE4329" s="82"/>
      <c r="AF4329" s="82"/>
      <c r="AG4329" s="82"/>
      <c r="AH4329" s="82"/>
      <c r="AI4329" s="82"/>
      <c r="AJ4329" s="82"/>
      <c r="AK4329" s="82"/>
      <c r="AL4329" s="82"/>
      <c r="AM4329" s="82"/>
      <c r="AN4329" s="82"/>
      <c r="AO4329" s="82"/>
      <c r="AP4329" s="82"/>
      <c r="AQ4329" s="82"/>
      <c r="AR4329" s="82"/>
      <c r="AS4329" s="82"/>
      <c r="AT4329" s="82"/>
      <c r="AU4329" s="82"/>
      <c r="AV4329" s="82"/>
      <c r="AW4329" s="82" t="str">
        <f t="shared" si="1"/>
        <v/>
      </c>
      <c r="AX4329" s="83" t="str">
        <f t="array" ref="AX4329">IFERROR(DGET('SBV Import'!A:G,"SBV",{"RSC ID","Tier";B4329,A4329}))</f>
        <v/>
      </c>
      <c r="AY4329" s="82" t="str">
        <f t="shared" si="2"/>
        <v/>
      </c>
      <c r="AZ4329" s="82"/>
      <c r="BA4329" s="84" t="s">
        <v>152</v>
      </c>
      <c r="BB4329" s="84" t="str">
        <f>IFERROR(__xludf.DUMMYFUNCTION("iferror(if(A4329="""",,E4329&gt;=FILTER(Constants!$F$2:$F$10,Constants!$A$2:$A$10=A4329)))"),"")</f>
        <v/>
      </c>
    </row>
    <row r="4330">
      <c r="A4330" s="89"/>
      <c r="B4330" s="87"/>
      <c r="C4330" s="73"/>
      <c r="D4330" s="73"/>
      <c r="E4330" s="82"/>
      <c r="F4330" s="82"/>
      <c r="G4330" s="86"/>
      <c r="H4330" s="86"/>
      <c r="I4330" s="86"/>
      <c r="J4330" s="82"/>
      <c r="K4330" s="82"/>
      <c r="L4330" s="82"/>
      <c r="M4330" s="82"/>
      <c r="N4330" s="82"/>
      <c r="O4330" s="82"/>
      <c r="P4330" s="82"/>
      <c r="Q4330" s="82"/>
      <c r="R4330" s="82"/>
      <c r="S4330" s="82"/>
      <c r="T4330" s="82"/>
      <c r="U4330" s="82"/>
      <c r="V4330" s="82"/>
      <c r="W4330" s="82"/>
      <c r="X4330" s="82"/>
      <c r="Y4330" s="82"/>
      <c r="Z4330" s="82"/>
      <c r="AA4330" s="82"/>
      <c r="AB4330" s="82"/>
      <c r="AC4330" s="82"/>
      <c r="AD4330" s="82"/>
      <c r="AE4330" s="82"/>
      <c r="AF4330" s="82"/>
      <c r="AG4330" s="82"/>
      <c r="AH4330" s="82"/>
      <c r="AI4330" s="82"/>
      <c r="AJ4330" s="82"/>
      <c r="AK4330" s="82"/>
      <c r="AL4330" s="82"/>
      <c r="AM4330" s="82"/>
      <c r="AN4330" s="82"/>
      <c r="AO4330" s="82"/>
      <c r="AP4330" s="82"/>
      <c r="AQ4330" s="82"/>
      <c r="AR4330" s="82"/>
      <c r="AS4330" s="82"/>
      <c r="AT4330" s="82"/>
      <c r="AU4330" s="82"/>
      <c r="AV4330" s="82"/>
      <c r="AW4330" s="82" t="str">
        <f t="shared" si="1"/>
        <v/>
      </c>
      <c r="AX4330" s="83" t="str">
        <f t="array" ref="AX4330">IFERROR(DGET('SBV Import'!A:G,"SBV",{"RSC ID","Tier";B4330,A4330}))</f>
        <v/>
      </c>
      <c r="AY4330" s="82" t="str">
        <f t="shared" si="2"/>
        <v/>
      </c>
      <c r="AZ4330" s="82"/>
      <c r="BA4330" s="84" t="s">
        <v>152</v>
      </c>
      <c r="BB4330" s="84" t="str">
        <f>IFERROR(__xludf.DUMMYFUNCTION("iferror(if(A4330="""",,E4330&gt;=FILTER(Constants!$F$2:$F$10,Constants!$A$2:$A$10=A4330)))"),"")</f>
        <v/>
      </c>
    </row>
    <row r="4331">
      <c r="A4331" s="89"/>
      <c r="B4331" s="87"/>
      <c r="C4331" s="73"/>
      <c r="D4331" s="73"/>
      <c r="E4331" s="82"/>
      <c r="F4331" s="82"/>
      <c r="G4331" s="86"/>
      <c r="H4331" s="86"/>
      <c r="I4331" s="86"/>
      <c r="J4331" s="82"/>
      <c r="K4331" s="82"/>
      <c r="L4331" s="82"/>
      <c r="M4331" s="82"/>
      <c r="N4331" s="82"/>
      <c r="O4331" s="82"/>
      <c r="P4331" s="82"/>
      <c r="Q4331" s="82"/>
      <c r="R4331" s="82"/>
      <c r="S4331" s="82"/>
      <c r="T4331" s="82"/>
      <c r="U4331" s="82"/>
      <c r="V4331" s="82"/>
      <c r="W4331" s="82"/>
      <c r="X4331" s="82"/>
      <c r="Y4331" s="82"/>
      <c r="Z4331" s="82"/>
      <c r="AA4331" s="82"/>
      <c r="AB4331" s="82"/>
      <c r="AC4331" s="82"/>
      <c r="AD4331" s="82"/>
      <c r="AE4331" s="82"/>
      <c r="AF4331" s="82"/>
      <c r="AG4331" s="82"/>
      <c r="AH4331" s="82"/>
      <c r="AI4331" s="82"/>
      <c r="AJ4331" s="82"/>
      <c r="AK4331" s="82"/>
      <c r="AL4331" s="82"/>
      <c r="AM4331" s="82"/>
      <c r="AN4331" s="82"/>
      <c r="AO4331" s="82"/>
      <c r="AP4331" s="82"/>
      <c r="AQ4331" s="82"/>
      <c r="AR4331" s="82"/>
      <c r="AS4331" s="82"/>
      <c r="AT4331" s="82"/>
      <c r="AU4331" s="82"/>
      <c r="AV4331" s="82"/>
      <c r="AW4331" s="82" t="str">
        <f t="shared" si="1"/>
        <v/>
      </c>
      <c r="AX4331" s="83" t="str">
        <f t="array" ref="AX4331">IFERROR(DGET('SBV Import'!A:G,"SBV",{"RSC ID","Tier";B4331,A4331}))</f>
        <v/>
      </c>
      <c r="AY4331" s="82" t="str">
        <f t="shared" si="2"/>
        <v/>
      </c>
      <c r="AZ4331" s="82"/>
      <c r="BA4331" s="84" t="s">
        <v>152</v>
      </c>
      <c r="BB4331" s="84" t="str">
        <f>IFERROR(__xludf.DUMMYFUNCTION("iferror(if(A4331="""",,E4331&gt;=FILTER(Constants!$F$2:$F$10,Constants!$A$2:$A$10=A4331)))"),"")</f>
        <v/>
      </c>
    </row>
    <row r="4332">
      <c r="A4332" s="89"/>
      <c r="B4332" s="87"/>
      <c r="C4332" s="73"/>
      <c r="D4332" s="73"/>
      <c r="E4332" s="82"/>
      <c r="F4332" s="82"/>
      <c r="G4332" s="86"/>
      <c r="H4332" s="86"/>
      <c r="I4332" s="86"/>
      <c r="J4332" s="82"/>
      <c r="K4332" s="82"/>
      <c r="L4332" s="82"/>
      <c r="M4332" s="82"/>
      <c r="N4332" s="82"/>
      <c r="O4332" s="82"/>
      <c r="P4332" s="82"/>
      <c r="Q4332" s="82"/>
      <c r="R4332" s="82"/>
      <c r="S4332" s="82"/>
      <c r="T4332" s="82"/>
      <c r="U4332" s="82"/>
      <c r="V4332" s="82"/>
      <c r="W4332" s="82"/>
      <c r="X4332" s="82"/>
      <c r="Y4332" s="82"/>
      <c r="Z4332" s="82"/>
      <c r="AA4332" s="82"/>
      <c r="AB4332" s="82"/>
      <c r="AC4332" s="82"/>
      <c r="AD4332" s="82"/>
      <c r="AE4332" s="82"/>
      <c r="AF4332" s="82"/>
      <c r="AG4332" s="82"/>
      <c r="AH4332" s="82"/>
      <c r="AI4332" s="82"/>
      <c r="AJ4332" s="82"/>
      <c r="AK4332" s="82"/>
      <c r="AL4332" s="82"/>
      <c r="AM4332" s="82"/>
      <c r="AN4332" s="82"/>
      <c r="AO4332" s="82"/>
      <c r="AP4332" s="82"/>
      <c r="AQ4332" s="82"/>
      <c r="AR4332" s="82"/>
      <c r="AS4332" s="82"/>
      <c r="AT4332" s="82"/>
      <c r="AU4332" s="82"/>
      <c r="AV4332" s="82"/>
      <c r="AW4332" s="82" t="str">
        <f t="shared" si="1"/>
        <v/>
      </c>
      <c r="AX4332" s="83" t="str">
        <f t="array" ref="AX4332">IFERROR(DGET('SBV Import'!A:G,"SBV",{"RSC ID","Tier";B4332,A4332}))</f>
        <v/>
      </c>
      <c r="AY4332" s="82" t="str">
        <f t="shared" si="2"/>
        <v/>
      </c>
      <c r="AZ4332" s="82"/>
      <c r="BA4332" s="84" t="s">
        <v>152</v>
      </c>
      <c r="BB4332" s="84" t="str">
        <f>IFERROR(__xludf.DUMMYFUNCTION("iferror(if(A4332="""",,E4332&gt;=FILTER(Constants!$F$2:$F$10,Constants!$A$2:$A$10=A4332)))"),"")</f>
        <v/>
      </c>
    </row>
    <row r="4333">
      <c r="A4333" s="89"/>
      <c r="B4333" s="87"/>
      <c r="C4333" s="73"/>
      <c r="D4333" s="73"/>
      <c r="E4333" s="82"/>
      <c r="F4333" s="82"/>
      <c r="G4333" s="86"/>
      <c r="H4333" s="86"/>
      <c r="I4333" s="86"/>
      <c r="J4333" s="82"/>
      <c r="K4333" s="82"/>
      <c r="L4333" s="82"/>
      <c r="M4333" s="82"/>
      <c r="N4333" s="82"/>
      <c r="O4333" s="82"/>
      <c r="P4333" s="82"/>
      <c r="Q4333" s="82"/>
      <c r="R4333" s="82"/>
      <c r="S4333" s="82"/>
      <c r="T4333" s="82"/>
      <c r="U4333" s="82"/>
      <c r="V4333" s="82"/>
      <c r="W4333" s="82"/>
      <c r="X4333" s="82"/>
      <c r="Y4333" s="82"/>
      <c r="Z4333" s="82"/>
      <c r="AA4333" s="82"/>
      <c r="AB4333" s="82"/>
      <c r="AC4333" s="82"/>
      <c r="AD4333" s="82"/>
      <c r="AE4333" s="82"/>
      <c r="AF4333" s="82"/>
      <c r="AG4333" s="82"/>
      <c r="AH4333" s="82"/>
      <c r="AI4333" s="82"/>
      <c r="AJ4333" s="82"/>
      <c r="AK4333" s="82"/>
      <c r="AL4333" s="82"/>
      <c r="AM4333" s="82"/>
      <c r="AN4333" s="82"/>
      <c r="AO4333" s="82"/>
      <c r="AP4333" s="82"/>
      <c r="AQ4333" s="82"/>
      <c r="AR4333" s="82"/>
      <c r="AS4333" s="82"/>
      <c r="AT4333" s="82"/>
      <c r="AU4333" s="82"/>
      <c r="AV4333" s="82"/>
      <c r="AW4333" s="82" t="str">
        <f t="shared" si="1"/>
        <v/>
      </c>
      <c r="AX4333" s="83" t="str">
        <f t="array" ref="AX4333">IFERROR(DGET('SBV Import'!A:G,"SBV",{"RSC ID","Tier";B4333,A4333}))</f>
        <v/>
      </c>
      <c r="AY4333" s="82" t="str">
        <f t="shared" si="2"/>
        <v/>
      </c>
      <c r="AZ4333" s="82"/>
      <c r="BA4333" s="84" t="s">
        <v>152</v>
      </c>
      <c r="BB4333" s="84" t="str">
        <f>IFERROR(__xludf.DUMMYFUNCTION("iferror(if(A4333="""",,E4333&gt;=FILTER(Constants!$F$2:$F$10,Constants!$A$2:$A$10=A4333)))"),"")</f>
        <v/>
      </c>
    </row>
    <row r="4334">
      <c r="A4334" s="89"/>
      <c r="B4334" s="87"/>
      <c r="C4334" s="73"/>
      <c r="D4334" s="73"/>
      <c r="E4334" s="82"/>
      <c r="F4334" s="82"/>
      <c r="G4334" s="86"/>
      <c r="H4334" s="86"/>
      <c r="I4334" s="86"/>
      <c r="J4334" s="82"/>
      <c r="K4334" s="82"/>
      <c r="L4334" s="82"/>
      <c r="M4334" s="82"/>
      <c r="N4334" s="82"/>
      <c r="O4334" s="82"/>
      <c r="P4334" s="82"/>
      <c r="Q4334" s="82"/>
      <c r="R4334" s="82"/>
      <c r="S4334" s="82"/>
      <c r="T4334" s="82"/>
      <c r="U4334" s="82"/>
      <c r="V4334" s="82"/>
      <c r="W4334" s="82"/>
      <c r="X4334" s="82"/>
      <c r="Y4334" s="82"/>
      <c r="Z4334" s="82"/>
      <c r="AA4334" s="82"/>
      <c r="AB4334" s="82"/>
      <c r="AC4334" s="82"/>
      <c r="AD4334" s="82"/>
      <c r="AE4334" s="82"/>
      <c r="AF4334" s="82"/>
      <c r="AG4334" s="82"/>
      <c r="AH4334" s="82"/>
      <c r="AI4334" s="82"/>
      <c r="AJ4334" s="82"/>
      <c r="AK4334" s="82"/>
      <c r="AL4334" s="82"/>
      <c r="AM4334" s="82"/>
      <c r="AN4334" s="82"/>
      <c r="AO4334" s="82"/>
      <c r="AP4334" s="82"/>
      <c r="AQ4334" s="82"/>
      <c r="AR4334" s="82"/>
      <c r="AS4334" s="82"/>
      <c r="AT4334" s="82"/>
      <c r="AU4334" s="82"/>
      <c r="AV4334" s="82"/>
      <c r="AW4334" s="82" t="str">
        <f t="shared" si="1"/>
        <v/>
      </c>
      <c r="AX4334" s="83" t="str">
        <f t="array" ref="AX4334">IFERROR(DGET('SBV Import'!A:G,"SBV",{"RSC ID","Tier";B4334,A4334}))</f>
        <v/>
      </c>
      <c r="AY4334" s="82" t="str">
        <f t="shared" si="2"/>
        <v/>
      </c>
      <c r="AZ4334" s="82"/>
      <c r="BA4334" s="84" t="s">
        <v>152</v>
      </c>
      <c r="BB4334" s="84" t="str">
        <f>IFERROR(__xludf.DUMMYFUNCTION("iferror(if(A4334="""",,E4334&gt;=FILTER(Constants!$F$2:$F$10,Constants!$A$2:$A$10=A4334)))"),"")</f>
        <v/>
      </c>
    </row>
    <row r="4335">
      <c r="A4335" s="89"/>
      <c r="B4335" s="87"/>
      <c r="C4335" s="73"/>
      <c r="D4335" s="73"/>
      <c r="E4335" s="82"/>
      <c r="F4335" s="82"/>
      <c r="G4335" s="86"/>
      <c r="H4335" s="86"/>
      <c r="I4335" s="86"/>
      <c r="J4335" s="82"/>
      <c r="K4335" s="82"/>
      <c r="L4335" s="82"/>
      <c r="M4335" s="82"/>
      <c r="N4335" s="82"/>
      <c r="O4335" s="82"/>
      <c r="P4335" s="82"/>
      <c r="Q4335" s="82"/>
      <c r="R4335" s="82"/>
      <c r="S4335" s="82"/>
      <c r="T4335" s="82"/>
      <c r="U4335" s="82"/>
      <c r="V4335" s="82"/>
      <c r="W4335" s="82"/>
      <c r="X4335" s="82"/>
      <c r="Y4335" s="82"/>
      <c r="Z4335" s="82"/>
      <c r="AA4335" s="82"/>
      <c r="AB4335" s="82"/>
      <c r="AC4335" s="82"/>
      <c r="AD4335" s="82"/>
      <c r="AE4335" s="82"/>
      <c r="AF4335" s="82"/>
      <c r="AG4335" s="82"/>
      <c r="AH4335" s="82"/>
      <c r="AI4335" s="82"/>
      <c r="AJ4335" s="82"/>
      <c r="AK4335" s="82"/>
      <c r="AL4335" s="82"/>
      <c r="AM4335" s="82"/>
      <c r="AN4335" s="82"/>
      <c r="AO4335" s="82"/>
      <c r="AP4335" s="82"/>
      <c r="AQ4335" s="82"/>
      <c r="AR4335" s="82"/>
      <c r="AS4335" s="82"/>
      <c r="AT4335" s="82"/>
      <c r="AU4335" s="82"/>
      <c r="AV4335" s="82"/>
      <c r="AW4335" s="82" t="str">
        <f t="shared" si="1"/>
        <v/>
      </c>
      <c r="AX4335" s="83" t="str">
        <f t="array" ref="AX4335">IFERROR(DGET('SBV Import'!A:G,"SBV",{"RSC ID","Tier";B4335,A4335}))</f>
        <v/>
      </c>
      <c r="AY4335" s="82" t="str">
        <f t="shared" si="2"/>
        <v/>
      </c>
      <c r="AZ4335" s="82"/>
      <c r="BA4335" s="84" t="s">
        <v>152</v>
      </c>
      <c r="BB4335" s="84" t="str">
        <f>IFERROR(__xludf.DUMMYFUNCTION("iferror(if(A4335="""",,E4335&gt;=FILTER(Constants!$F$2:$F$10,Constants!$A$2:$A$10=A4335)))"),"")</f>
        <v/>
      </c>
    </row>
    <row r="4336">
      <c r="A4336" s="89"/>
      <c r="B4336" s="87"/>
      <c r="C4336" s="73"/>
      <c r="D4336" s="73"/>
      <c r="E4336" s="82"/>
      <c r="F4336" s="82"/>
      <c r="G4336" s="86"/>
      <c r="H4336" s="86"/>
      <c r="I4336" s="86"/>
      <c r="J4336" s="82"/>
      <c r="K4336" s="82"/>
      <c r="L4336" s="82"/>
      <c r="M4336" s="82"/>
      <c r="N4336" s="82"/>
      <c r="O4336" s="82"/>
      <c r="P4336" s="82"/>
      <c r="Q4336" s="82"/>
      <c r="R4336" s="82"/>
      <c r="S4336" s="82"/>
      <c r="T4336" s="82"/>
      <c r="U4336" s="82"/>
      <c r="V4336" s="82"/>
      <c r="W4336" s="82"/>
      <c r="X4336" s="82"/>
      <c r="Y4336" s="82"/>
      <c r="Z4336" s="82"/>
      <c r="AA4336" s="82"/>
      <c r="AB4336" s="82"/>
      <c r="AC4336" s="82"/>
      <c r="AD4336" s="82"/>
      <c r="AE4336" s="82"/>
      <c r="AF4336" s="82"/>
      <c r="AG4336" s="82"/>
      <c r="AH4336" s="82"/>
      <c r="AI4336" s="82"/>
      <c r="AJ4336" s="82"/>
      <c r="AK4336" s="82"/>
      <c r="AL4336" s="82"/>
      <c r="AM4336" s="82"/>
      <c r="AN4336" s="82"/>
      <c r="AO4336" s="82"/>
      <c r="AP4336" s="82"/>
      <c r="AQ4336" s="82"/>
      <c r="AR4336" s="82"/>
      <c r="AS4336" s="82"/>
      <c r="AT4336" s="82"/>
      <c r="AU4336" s="82"/>
      <c r="AV4336" s="82"/>
      <c r="AW4336" s="82" t="str">
        <f t="shared" si="1"/>
        <v/>
      </c>
      <c r="AX4336" s="83" t="str">
        <f t="array" ref="AX4336">IFERROR(DGET('SBV Import'!A:G,"SBV",{"RSC ID","Tier";B4336,A4336}))</f>
        <v/>
      </c>
      <c r="AY4336" s="82" t="str">
        <f t="shared" si="2"/>
        <v/>
      </c>
      <c r="AZ4336" s="82"/>
      <c r="BA4336" s="84" t="s">
        <v>152</v>
      </c>
      <c r="BB4336" s="84" t="str">
        <f>IFERROR(__xludf.DUMMYFUNCTION("iferror(if(A4336="""",,E4336&gt;=FILTER(Constants!$F$2:$F$10,Constants!$A$2:$A$10=A4336)))"),"")</f>
        <v/>
      </c>
    </row>
    <row r="4337">
      <c r="A4337" s="89"/>
      <c r="B4337" s="87"/>
      <c r="C4337" s="73"/>
      <c r="D4337" s="73"/>
      <c r="E4337" s="82"/>
      <c r="F4337" s="82"/>
      <c r="G4337" s="86"/>
      <c r="H4337" s="86"/>
      <c r="I4337" s="86"/>
      <c r="J4337" s="82"/>
      <c r="K4337" s="82"/>
      <c r="L4337" s="82"/>
      <c r="M4337" s="82"/>
      <c r="N4337" s="82"/>
      <c r="O4337" s="82"/>
      <c r="P4337" s="82"/>
      <c r="Q4337" s="82"/>
      <c r="R4337" s="82"/>
      <c r="S4337" s="82"/>
      <c r="T4337" s="82"/>
      <c r="U4337" s="82"/>
      <c r="V4337" s="82"/>
      <c r="W4337" s="82"/>
      <c r="X4337" s="82"/>
      <c r="Y4337" s="82"/>
      <c r="Z4337" s="82"/>
      <c r="AA4337" s="82"/>
      <c r="AB4337" s="82"/>
      <c r="AC4337" s="82"/>
      <c r="AD4337" s="82"/>
      <c r="AE4337" s="82"/>
      <c r="AF4337" s="82"/>
      <c r="AG4337" s="82"/>
      <c r="AH4337" s="82"/>
      <c r="AI4337" s="82"/>
      <c r="AJ4337" s="82"/>
      <c r="AK4337" s="82"/>
      <c r="AL4337" s="82"/>
      <c r="AM4337" s="82"/>
      <c r="AN4337" s="82"/>
      <c r="AO4337" s="82"/>
      <c r="AP4337" s="82"/>
      <c r="AQ4337" s="82"/>
      <c r="AR4337" s="82"/>
      <c r="AS4337" s="82"/>
      <c r="AT4337" s="82"/>
      <c r="AU4337" s="82"/>
      <c r="AV4337" s="82"/>
      <c r="AW4337" s="82" t="str">
        <f t="shared" si="1"/>
        <v/>
      </c>
      <c r="AX4337" s="83" t="str">
        <f t="array" ref="AX4337">IFERROR(DGET('SBV Import'!A:G,"SBV",{"RSC ID","Tier";B4337,A4337}))</f>
        <v/>
      </c>
      <c r="AY4337" s="82" t="str">
        <f t="shared" si="2"/>
        <v/>
      </c>
      <c r="AZ4337" s="82"/>
      <c r="BA4337" s="84" t="s">
        <v>152</v>
      </c>
      <c r="BB4337" s="84" t="str">
        <f>IFERROR(__xludf.DUMMYFUNCTION("iferror(if(A4337="""",,E4337&gt;=FILTER(Constants!$F$2:$F$10,Constants!$A$2:$A$10=A4337)))"),"")</f>
        <v/>
      </c>
    </row>
    <row r="4338">
      <c r="A4338" s="89"/>
      <c r="B4338" s="87"/>
      <c r="C4338" s="73"/>
      <c r="D4338" s="73"/>
      <c r="E4338" s="82"/>
      <c r="F4338" s="82"/>
      <c r="G4338" s="86"/>
      <c r="H4338" s="86"/>
      <c r="I4338" s="86"/>
      <c r="J4338" s="82"/>
      <c r="K4338" s="82"/>
      <c r="L4338" s="82"/>
      <c r="M4338" s="82"/>
      <c r="N4338" s="82"/>
      <c r="O4338" s="82"/>
      <c r="P4338" s="82"/>
      <c r="Q4338" s="82"/>
      <c r="R4338" s="82"/>
      <c r="S4338" s="82"/>
      <c r="T4338" s="82"/>
      <c r="U4338" s="82"/>
      <c r="V4338" s="82"/>
      <c r="W4338" s="82"/>
      <c r="X4338" s="82"/>
      <c r="Y4338" s="82"/>
      <c r="Z4338" s="82"/>
      <c r="AA4338" s="82"/>
      <c r="AB4338" s="82"/>
      <c r="AC4338" s="82"/>
      <c r="AD4338" s="82"/>
      <c r="AE4338" s="82"/>
      <c r="AF4338" s="82"/>
      <c r="AG4338" s="82"/>
      <c r="AH4338" s="82"/>
      <c r="AI4338" s="82"/>
      <c r="AJ4338" s="82"/>
      <c r="AK4338" s="82"/>
      <c r="AL4338" s="82"/>
      <c r="AM4338" s="82"/>
      <c r="AN4338" s="82"/>
      <c r="AO4338" s="82"/>
      <c r="AP4338" s="82"/>
      <c r="AQ4338" s="82"/>
      <c r="AR4338" s="82"/>
      <c r="AS4338" s="82"/>
      <c r="AT4338" s="82"/>
      <c r="AU4338" s="82"/>
      <c r="AV4338" s="82"/>
      <c r="AW4338" s="82" t="str">
        <f t="shared" si="1"/>
        <v/>
      </c>
      <c r="AX4338" s="83" t="str">
        <f t="array" ref="AX4338">IFERROR(DGET('SBV Import'!A:G,"SBV",{"RSC ID","Tier";B4338,A4338}))</f>
        <v/>
      </c>
      <c r="AY4338" s="82" t="str">
        <f t="shared" si="2"/>
        <v/>
      </c>
      <c r="AZ4338" s="82"/>
      <c r="BA4338" s="84" t="s">
        <v>152</v>
      </c>
      <c r="BB4338" s="84" t="str">
        <f>IFERROR(__xludf.DUMMYFUNCTION("iferror(if(A4338="""",,E4338&gt;=FILTER(Constants!$F$2:$F$10,Constants!$A$2:$A$10=A4338)))"),"")</f>
        <v/>
      </c>
    </row>
    <row r="4339">
      <c r="A4339" s="89"/>
      <c r="B4339" s="87"/>
      <c r="C4339" s="73"/>
      <c r="D4339" s="73"/>
      <c r="E4339" s="82"/>
      <c r="F4339" s="82"/>
      <c r="G4339" s="86"/>
      <c r="H4339" s="86"/>
      <c r="I4339" s="86"/>
      <c r="J4339" s="82"/>
      <c r="K4339" s="82"/>
      <c r="L4339" s="82"/>
      <c r="M4339" s="82"/>
      <c r="N4339" s="82"/>
      <c r="O4339" s="82"/>
      <c r="P4339" s="82"/>
      <c r="Q4339" s="82"/>
      <c r="R4339" s="82"/>
      <c r="S4339" s="82"/>
      <c r="T4339" s="82"/>
      <c r="U4339" s="82"/>
      <c r="V4339" s="82"/>
      <c r="W4339" s="82"/>
      <c r="X4339" s="82"/>
      <c r="Y4339" s="82"/>
      <c r="Z4339" s="82"/>
      <c r="AA4339" s="82"/>
      <c r="AB4339" s="82"/>
      <c r="AC4339" s="82"/>
      <c r="AD4339" s="82"/>
      <c r="AE4339" s="82"/>
      <c r="AF4339" s="82"/>
      <c r="AG4339" s="82"/>
      <c r="AH4339" s="82"/>
      <c r="AI4339" s="82"/>
      <c r="AJ4339" s="82"/>
      <c r="AK4339" s="82"/>
      <c r="AL4339" s="82"/>
      <c r="AM4339" s="82"/>
      <c r="AN4339" s="82"/>
      <c r="AO4339" s="82"/>
      <c r="AP4339" s="82"/>
      <c r="AQ4339" s="82"/>
      <c r="AR4339" s="82"/>
      <c r="AS4339" s="82"/>
      <c r="AT4339" s="82"/>
      <c r="AU4339" s="82"/>
      <c r="AV4339" s="82"/>
      <c r="AW4339" s="82" t="str">
        <f t="shared" si="1"/>
        <v/>
      </c>
      <c r="AX4339" s="83" t="str">
        <f t="array" ref="AX4339">IFERROR(DGET('SBV Import'!A:G,"SBV",{"RSC ID","Tier";B4339,A4339}))</f>
        <v/>
      </c>
      <c r="AY4339" s="82" t="str">
        <f t="shared" si="2"/>
        <v/>
      </c>
      <c r="AZ4339" s="82"/>
      <c r="BA4339" s="84" t="s">
        <v>152</v>
      </c>
      <c r="BB4339" s="84" t="str">
        <f>IFERROR(__xludf.DUMMYFUNCTION("iferror(if(A4339="""",,E4339&gt;=FILTER(Constants!$F$2:$F$10,Constants!$A$2:$A$10=A4339)))"),"")</f>
        <v/>
      </c>
    </row>
    <row r="4340">
      <c r="A4340" s="89"/>
      <c r="B4340" s="87"/>
      <c r="C4340" s="73"/>
      <c r="D4340" s="73"/>
      <c r="E4340" s="82"/>
      <c r="F4340" s="82"/>
      <c r="G4340" s="86"/>
      <c r="H4340" s="86"/>
      <c r="I4340" s="86"/>
      <c r="J4340" s="82"/>
      <c r="K4340" s="82"/>
      <c r="L4340" s="82"/>
      <c r="M4340" s="82"/>
      <c r="N4340" s="82"/>
      <c r="O4340" s="82"/>
      <c r="P4340" s="82"/>
      <c r="Q4340" s="82"/>
      <c r="R4340" s="82"/>
      <c r="S4340" s="82"/>
      <c r="T4340" s="82"/>
      <c r="U4340" s="82"/>
      <c r="V4340" s="82"/>
      <c r="W4340" s="82"/>
      <c r="X4340" s="82"/>
      <c r="Y4340" s="82"/>
      <c r="Z4340" s="82"/>
      <c r="AA4340" s="82"/>
      <c r="AB4340" s="82"/>
      <c r="AC4340" s="82"/>
      <c r="AD4340" s="82"/>
      <c r="AE4340" s="82"/>
      <c r="AF4340" s="82"/>
      <c r="AG4340" s="82"/>
      <c r="AH4340" s="82"/>
      <c r="AI4340" s="82"/>
      <c r="AJ4340" s="82"/>
      <c r="AK4340" s="82"/>
      <c r="AL4340" s="82"/>
      <c r="AM4340" s="82"/>
      <c r="AN4340" s="82"/>
      <c r="AO4340" s="82"/>
      <c r="AP4340" s="82"/>
      <c r="AQ4340" s="82"/>
      <c r="AR4340" s="82"/>
      <c r="AS4340" s="82"/>
      <c r="AT4340" s="82"/>
      <c r="AU4340" s="82"/>
      <c r="AV4340" s="82"/>
      <c r="AW4340" s="82" t="str">
        <f t="shared" si="1"/>
        <v/>
      </c>
      <c r="AX4340" s="83" t="str">
        <f t="array" ref="AX4340">IFERROR(DGET('SBV Import'!A:G,"SBV",{"RSC ID","Tier";B4340,A4340}))</f>
        <v/>
      </c>
      <c r="AY4340" s="82" t="str">
        <f t="shared" si="2"/>
        <v/>
      </c>
      <c r="AZ4340" s="82"/>
      <c r="BA4340" s="84" t="s">
        <v>152</v>
      </c>
      <c r="BB4340" s="84" t="str">
        <f>IFERROR(__xludf.DUMMYFUNCTION("iferror(if(A4340="""",,E4340&gt;=FILTER(Constants!$F$2:$F$10,Constants!$A$2:$A$10=A4340)))"),"")</f>
        <v/>
      </c>
    </row>
    <row r="4341">
      <c r="A4341" s="89"/>
      <c r="B4341" s="87"/>
      <c r="C4341" s="73"/>
      <c r="D4341" s="73"/>
      <c r="E4341" s="82"/>
      <c r="F4341" s="82"/>
      <c r="G4341" s="86"/>
      <c r="H4341" s="86"/>
      <c r="I4341" s="86"/>
      <c r="J4341" s="82"/>
      <c r="K4341" s="82"/>
      <c r="L4341" s="82"/>
      <c r="M4341" s="82"/>
      <c r="N4341" s="82"/>
      <c r="O4341" s="82"/>
      <c r="P4341" s="82"/>
      <c r="Q4341" s="82"/>
      <c r="R4341" s="82"/>
      <c r="S4341" s="82"/>
      <c r="T4341" s="82"/>
      <c r="U4341" s="82"/>
      <c r="V4341" s="82"/>
      <c r="W4341" s="82"/>
      <c r="X4341" s="82"/>
      <c r="Y4341" s="82"/>
      <c r="Z4341" s="82"/>
      <c r="AA4341" s="82"/>
      <c r="AB4341" s="82"/>
      <c r="AC4341" s="82"/>
      <c r="AD4341" s="82"/>
      <c r="AE4341" s="82"/>
      <c r="AF4341" s="82"/>
      <c r="AG4341" s="82"/>
      <c r="AH4341" s="82"/>
      <c r="AI4341" s="82"/>
      <c r="AJ4341" s="82"/>
      <c r="AK4341" s="82"/>
      <c r="AL4341" s="82"/>
      <c r="AM4341" s="82"/>
      <c r="AN4341" s="82"/>
      <c r="AO4341" s="82"/>
      <c r="AP4341" s="82"/>
      <c r="AQ4341" s="82"/>
      <c r="AR4341" s="82"/>
      <c r="AS4341" s="82"/>
      <c r="AT4341" s="82"/>
      <c r="AU4341" s="82"/>
      <c r="AV4341" s="82"/>
      <c r="AW4341" s="82" t="str">
        <f t="shared" si="1"/>
        <v/>
      </c>
      <c r="AX4341" s="83" t="str">
        <f t="array" ref="AX4341">IFERROR(DGET('SBV Import'!A:G,"SBV",{"RSC ID","Tier";B4341,A4341}))</f>
        <v/>
      </c>
      <c r="AY4341" s="82" t="str">
        <f t="shared" si="2"/>
        <v/>
      </c>
      <c r="AZ4341" s="82"/>
      <c r="BA4341" s="84" t="s">
        <v>152</v>
      </c>
      <c r="BB4341" s="84" t="str">
        <f>IFERROR(__xludf.DUMMYFUNCTION("iferror(if(A4341="""",,E4341&gt;=FILTER(Constants!$F$2:$F$10,Constants!$A$2:$A$10=A4341)))"),"")</f>
        <v/>
      </c>
    </row>
    <row r="4342">
      <c r="A4342" s="89"/>
      <c r="B4342" s="87"/>
      <c r="C4342" s="73"/>
      <c r="D4342" s="73"/>
      <c r="E4342" s="82"/>
      <c r="F4342" s="82"/>
      <c r="G4342" s="86"/>
      <c r="H4342" s="86"/>
      <c r="I4342" s="86"/>
      <c r="J4342" s="82"/>
      <c r="K4342" s="82"/>
      <c r="L4342" s="82"/>
      <c r="M4342" s="82"/>
      <c r="N4342" s="82"/>
      <c r="O4342" s="82"/>
      <c r="P4342" s="82"/>
      <c r="Q4342" s="82"/>
      <c r="R4342" s="82"/>
      <c r="S4342" s="82"/>
      <c r="T4342" s="82"/>
      <c r="U4342" s="82"/>
      <c r="V4342" s="82"/>
      <c r="W4342" s="82"/>
      <c r="X4342" s="82"/>
      <c r="Y4342" s="82"/>
      <c r="Z4342" s="82"/>
      <c r="AA4342" s="82"/>
      <c r="AB4342" s="82"/>
      <c r="AC4342" s="82"/>
      <c r="AD4342" s="82"/>
      <c r="AE4342" s="82"/>
      <c r="AF4342" s="82"/>
      <c r="AG4342" s="82"/>
      <c r="AH4342" s="82"/>
      <c r="AI4342" s="82"/>
      <c r="AJ4342" s="82"/>
      <c r="AK4342" s="82"/>
      <c r="AL4342" s="82"/>
      <c r="AM4342" s="82"/>
      <c r="AN4342" s="82"/>
      <c r="AO4342" s="82"/>
      <c r="AP4342" s="82"/>
      <c r="AQ4342" s="82"/>
      <c r="AR4342" s="82"/>
      <c r="AS4342" s="82"/>
      <c r="AT4342" s="82"/>
      <c r="AU4342" s="82"/>
      <c r="AV4342" s="82"/>
      <c r="AW4342" s="82" t="str">
        <f t="shared" si="1"/>
        <v/>
      </c>
      <c r="AX4342" s="83" t="str">
        <f t="array" ref="AX4342">IFERROR(DGET('SBV Import'!A:G,"SBV",{"RSC ID","Tier";B4342,A4342}))</f>
        <v/>
      </c>
      <c r="AY4342" s="82" t="str">
        <f t="shared" si="2"/>
        <v/>
      </c>
      <c r="AZ4342" s="82"/>
      <c r="BA4342" s="84" t="s">
        <v>152</v>
      </c>
      <c r="BB4342" s="84" t="str">
        <f>IFERROR(__xludf.DUMMYFUNCTION("iferror(if(A4342="""",,E4342&gt;=FILTER(Constants!$F$2:$F$10,Constants!$A$2:$A$10=A4342)))"),"")</f>
        <v/>
      </c>
    </row>
    <row r="4343">
      <c r="A4343" s="89"/>
      <c r="B4343" s="87"/>
      <c r="C4343" s="73"/>
      <c r="D4343" s="73"/>
      <c r="E4343" s="82"/>
      <c r="F4343" s="82"/>
      <c r="G4343" s="86"/>
      <c r="H4343" s="86"/>
      <c r="I4343" s="86"/>
      <c r="J4343" s="82"/>
      <c r="K4343" s="82"/>
      <c r="L4343" s="82"/>
      <c r="M4343" s="82"/>
      <c r="N4343" s="82"/>
      <c r="O4343" s="82"/>
      <c r="P4343" s="82"/>
      <c r="Q4343" s="82"/>
      <c r="R4343" s="82"/>
      <c r="S4343" s="82"/>
      <c r="T4343" s="82"/>
      <c r="U4343" s="82"/>
      <c r="V4343" s="82"/>
      <c r="W4343" s="82"/>
      <c r="X4343" s="82"/>
      <c r="Y4343" s="82"/>
      <c r="Z4343" s="82"/>
      <c r="AA4343" s="82"/>
      <c r="AB4343" s="82"/>
      <c r="AC4343" s="82"/>
      <c r="AD4343" s="82"/>
      <c r="AE4343" s="82"/>
      <c r="AF4343" s="82"/>
      <c r="AG4343" s="82"/>
      <c r="AH4343" s="82"/>
      <c r="AI4343" s="82"/>
      <c r="AJ4343" s="82"/>
      <c r="AK4343" s="82"/>
      <c r="AL4343" s="82"/>
      <c r="AM4343" s="82"/>
      <c r="AN4343" s="82"/>
      <c r="AO4343" s="82"/>
      <c r="AP4343" s="82"/>
      <c r="AQ4343" s="82"/>
      <c r="AR4343" s="82"/>
      <c r="AS4343" s="82"/>
      <c r="AT4343" s="82"/>
      <c r="AU4343" s="82"/>
      <c r="AV4343" s="82"/>
      <c r="AW4343" s="82" t="str">
        <f t="shared" si="1"/>
        <v/>
      </c>
      <c r="AX4343" s="83" t="str">
        <f t="array" ref="AX4343">IFERROR(DGET('SBV Import'!A:G,"SBV",{"RSC ID","Tier";B4343,A4343}))</f>
        <v/>
      </c>
      <c r="AY4343" s="82" t="str">
        <f t="shared" si="2"/>
        <v/>
      </c>
      <c r="AZ4343" s="82"/>
      <c r="BA4343" s="84" t="s">
        <v>152</v>
      </c>
      <c r="BB4343" s="84" t="str">
        <f>IFERROR(__xludf.DUMMYFUNCTION("iferror(if(A4343="""",,E4343&gt;=FILTER(Constants!$F$2:$F$10,Constants!$A$2:$A$10=A4343)))"),"")</f>
        <v/>
      </c>
    </row>
    <row r="4344">
      <c r="A4344" s="89"/>
      <c r="B4344" s="87"/>
      <c r="C4344" s="73"/>
      <c r="D4344" s="73"/>
      <c r="E4344" s="82"/>
      <c r="F4344" s="82"/>
      <c r="G4344" s="86"/>
      <c r="H4344" s="86"/>
      <c r="I4344" s="86"/>
      <c r="J4344" s="82"/>
      <c r="K4344" s="82"/>
      <c r="L4344" s="82"/>
      <c r="M4344" s="82"/>
      <c r="N4344" s="82"/>
      <c r="O4344" s="82"/>
      <c r="P4344" s="82"/>
      <c r="Q4344" s="82"/>
      <c r="R4344" s="82"/>
      <c r="S4344" s="82"/>
      <c r="T4344" s="82"/>
      <c r="U4344" s="82"/>
      <c r="V4344" s="82"/>
      <c r="W4344" s="82"/>
      <c r="X4344" s="82"/>
      <c r="Y4344" s="82"/>
      <c r="Z4344" s="82"/>
      <c r="AA4344" s="82"/>
      <c r="AB4344" s="82"/>
      <c r="AC4344" s="82"/>
      <c r="AD4344" s="82"/>
      <c r="AE4344" s="82"/>
      <c r="AF4344" s="82"/>
      <c r="AG4344" s="82"/>
      <c r="AH4344" s="82"/>
      <c r="AI4344" s="82"/>
      <c r="AJ4344" s="82"/>
      <c r="AK4344" s="82"/>
      <c r="AL4344" s="82"/>
      <c r="AM4344" s="82"/>
      <c r="AN4344" s="82"/>
      <c r="AO4344" s="82"/>
      <c r="AP4344" s="82"/>
      <c r="AQ4344" s="82"/>
      <c r="AR4344" s="82"/>
      <c r="AS4344" s="82"/>
      <c r="AT4344" s="82"/>
      <c r="AU4344" s="82"/>
      <c r="AV4344" s="82"/>
      <c r="AW4344" s="82" t="str">
        <f t="shared" si="1"/>
        <v/>
      </c>
      <c r="AX4344" s="83" t="str">
        <f t="array" ref="AX4344">IFERROR(DGET('SBV Import'!A:G,"SBV",{"RSC ID","Tier";B4344,A4344}))</f>
        <v/>
      </c>
      <c r="AY4344" s="82" t="str">
        <f t="shared" si="2"/>
        <v/>
      </c>
      <c r="AZ4344" s="82"/>
      <c r="BA4344" s="84" t="s">
        <v>152</v>
      </c>
      <c r="BB4344" s="84" t="str">
        <f>IFERROR(__xludf.DUMMYFUNCTION("iferror(if(A4344="""",,E4344&gt;=FILTER(Constants!$F$2:$F$10,Constants!$A$2:$A$10=A4344)))"),"")</f>
        <v/>
      </c>
    </row>
    <row r="4345">
      <c r="A4345" s="89"/>
      <c r="B4345" s="87"/>
      <c r="C4345" s="73"/>
      <c r="D4345" s="73"/>
      <c r="E4345" s="82"/>
      <c r="F4345" s="82"/>
      <c r="G4345" s="86"/>
      <c r="H4345" s="86"/>
      <c r="I4345" s="86"/>
      <c r="J4345" s="82"/>
      <c r="K4345" s="82"/>
      <c r="L4345" s="82"/>
      <c r="M4345" s="82"/>
      <c r="N4345" s="82"/>
      <c r="O4345" s="82"/>
      <c r="P4345" s="82"/>
      <c r="Q4345" s="82"/>
      <c r="R4345" s="82"/>
      <c r="S4345" s="82"/>
      <c r="T4345" s="82"/>
      <c r="U4345" s="82"/>
      <c r="V4345" s="82"/>
      <c r="W4345" s="82"/>
      <c r="X4345" s="82"/>
      <c r="Y4345" s="82"/>
      <c r="Z4345" s="82"/>
      <c r="AA4345" s="82"/>
      <c r="AB4345" s="82"/>
      <c r="AC4345" s="82"/>
      <c r="AD4345" s="82"/>
      <c r="AE4345" s="82"/>
      <c r="AF4345" s="82"/>
      <c r="AG4345" s="82"/>
      <c r="AH4345" s="82"/>
      <c r="AI4345" s="82"/>
      <c r="AJ4345" s="82"/>
      <c r="AK4345" s="82"/>
      <c r="AL4345" s="82"/>
      <c r="AM4345" s="82"/>
      <c r="AN4345" s="82"/>
      <c r="AO4345" s="82"/>
      <c r="AP4345" s="82"/>
      <c r="AQ4345" s="82"/>
      <c r="AR4345" s="82"/>
      <c r="AS4345" s="82"/>
      <c r="AT4345" s="82"/>
      <c r="AU4345" s="82"/>
      <c r="AV4345" s="82"/>
      <c r="AW4345" s="82" t="str">
        <f t="shared" si="1"/>
        <v/>
      </c>
      <c r="AX4345" s="83" t="str">
        <f t="array" ref="AX4345">IFERROR(DGET('SBV Import'!A:G,"SBV",{"RSC ID","Tier";B4345,A4345}))</f>
        <v/>
      </c>
      <c r="AY4345" s="82" t="str">
        <f t="shared" si="2"/>
        <v/>
      </c>
      <c r="AZ4345" s="82"/>
      <c r="BA4345" s="84" t="s">
        <v>152</v>
      </c>
      <c r="BB4345" s="84" t="str">
        <f>IFERROR(__xludf.DUMMYFUNCTION("iferror(if(A4345="""",,E4345&gt;=FILTER(Constants!$F$2:$F$10,Constants!$A$2:$A$10=A4345)))"),"")</f>
        <v/>
      </c>
    </row>
    <row r="4346">
      <c r="A4346" s="89"/>
      <c r="B4346" s="87"/>
      <c r="C4346" s="73"/>
      <c r="D4346" s="73"/>
      <c r="E4346" s="82"/>
      <c r="F4346" s="82"/>
      <c r="G4346" s="86"/>
      <c r="H4346" s="86"/>
      <c r="I4346" s="86"/>
      <c r="J4346" s="82"/>
      <c r="K4346" s="82"/>
      <c r="L4346" s="82"/>
      <c r="M4346" s="82"/>
      <c r="N4346" s="82"/>
      <c r="O4346" s="82"/>
      <c r="P4346" s="82"/>
      <c r="Q4346" s="82"/>
      <c r="R4346" s="82"/>
      <c r="S4346" s="82"/>
      <c r="T4346" s="82"/>
      <c r="U4346" s="82"/>
      <c r="V4346" s="82"/>
      <c r="W4346" s="82"/>
      <c r="X4346" s="82"/>
      <c r="Y4346" s="82"/>
      <c r="Z4346" s="82"/>
      <c r="AA4346" s="82"/>
      <c r="AB4346" s="82"/>
      <c r="AC4346" s="82"/>
      <c r="AD4346" s="82"/>
      <c r="AE4346" s="82"/>
      <c r="AF4346" s="82"/>
      <c r="AG4346" s="82"/>
      <c r="AH4346" s="82"/>
      <c r="AI4346" s="82"/>
      <c r="AJ4346" s="82"/>
      <c r="AK4346" s="82"/>
      <c r="AL4346" s="82"/>
      <c r="AM4346" s="82"/>
      <c r="AN4346" s="82"/>
      <c r="AO4346" s="82"/>
      <c r="AP4346" s="82"/>
      <c r="AQ4346" s="82"/>
      <c r="AR4346" s="82"/>
      <c r="AS4346" s="82"/>
      <c r="AT4346" s="82"/>
      <c r="AU4346" s="82"/>
      <c r="AV4346" s="82"/>
      <c r="AW4346" s="82" t="str">
        <f t="shared" si="1"/>
        <v/>
      </c>
      <c r="AX4346" s="83" t="str">
        <f t="array" ref="AX4346">IFERROR(DGET('SBV Import'!A:G,"SBV",{"RSC ID","Tier";B4346,A4346}))</f>
        <v/>
      </c>
      <c r="AY4346" s="82" t="str">
        <f t="shared" si="2"/>
        <v/>
      </c>
      <c r="AZ4346" s="82"/>
      <c r="BA4346" s="84" t="s">
        <v>152</v>
      </c>
      <c r="BB4346" s="84" t="str">
        <f>IFERROR(__xludf.DUMMYFUNCTION("iferror(if(A4346="""",,E4346&gt;=FILTER(Constants!$F$2:$F$10,Constants!$A$2:$A$10=A4346)))"),"")</f>
        <v/>
      </c>
    </row>
    <row r="4347">
      <c r="A4347" s="89"/>
      <c r="B4347" s="87"/>
      <c r="C4347" s="73"/>
      <c r="D4347" s="73"/>
      <c r="E4347" s="82"/>
      <c r="F4347" s="82"/>
      <c r="G4347" s="86"/>
      <c r="H4347" s="86"/>
      <c r="I4347" s="86"/>
      <c r="J4347" s="82"/>
      <c r="K4347" s="82"/>
      <c r="L4347" s="82"/>
      <c r="M4347" s="82"/>
      <c r="N4347" s="82"/>
      <c r="O4347" s="82"/>
      <c r="P4347" s="82"/>
      <c r="Q4347" s="82"/>
      <c r="R4347" s="82"/>
      <c r="S4347" s="82"/>
      <c r="T4347" s="82"/>
      <c r="U4347" s="82"/>
      <c r="V4347" s="82"/>
      <c r="W4347" s="82"/>
      <c r="X4347" s="82"/>
      <c r="Y4347" s="82"/>
      <c r="Z4347" s="82"/>
      <c r="AA4347" s="82"/>
      <c r="AB4347" s="82"/>
      <c r="AC4347" s="82"/>
      <c r="AD4347" s="82"/>
      <c r="AE4347" s="82"/>
      <c r="AF4347" s="82"/>
      <c r="AG4347" s="82"/>
      <c r="AH4347" s="82"/>
      <c r="AI4347" s="82"/>
      <c r="AJ4347" s="82"/>
      <c r="AK4347" s="82"/>
      <c r="AL4347" s="82"/>
      <c r="AM4347" s="82"/>
      <c r="AN4347" s="82"/>
      <c r="AO4347" s="82"/>
      <c r="AP4347" s="82"/>
      <c r="AQ4347" s="82"/>
      <c r="AR4347" s="82"/>
      <c r="AS4347" s="82"/>
      <c r="AT4347" s="82"/>
      <c r="AU4347" s="82"/>
      <c r="AV4347" s="82"/>
      <c r="AW4347" s="82" t="str">
        <f t="shared" si="1"/>
        <v/>
      </c>
      <c r="AX4347" s="83" t="str">
        <f t="array" ref="AX4347">IFERROR(DGET('SBV Import'!A:G,"SBV",{"RSC ID","Tier";B4347,A4347}))</f>
        <v/>
      </c>
      <c r="AY4347" s="82" t="str">
        <f t="shared" si="2"/>
        <v/>
      </c>
      <c r="AZ4347" s="82"/>
      <c r="BA4347" s="84" t="s">
        <v>152</v>
      </c>
      <c r="BB4347" s="84" t="str">
        <f>IFERROR(__xludf.DUMMYFUNCTION("iferror(if(A4347="""",,E4347&gt;=FILTER(Constants!$F$2:$F$10,Constants!$A$2:$A$10=A4347)))"),"")</f>
        <v/>
      </c>
    </row>
    <row r="4348">
      <c r="A4348" s="89"/>
      <c r="B4348" s="87"/>
      <c r="C4348" s="73"/>
      <c r="D4348" s="73"/>
      <c r="E4348" s="82"/>
      <c r="F4348" s="82"/>
      <c r="G4348" s="86"/>
      <c r="H4348" s="86"/>
      <c r="I4348" s="86"/>
      <c r="J4348" s="82"/>
      <c r="K4348" s="82"/>
      <c r="L4348" s="82"/>
      <c r="M4348" s="82"/>
      <c r="N4348" s="82"/>
      <c r="O4348" s="82"/>
      <c r="P4348" s="82"/>
      <c r="Q4348" s="82"/>
      <c r="R4348" s="82"/>
      <c r="S4348" s="82"/>
      <c r="T4348" s="82"/>
      <c r="U4348" s="82"/>
      <c r="V4348" s="82"/>
      <c r="W4348" s="82"/>
      <c r="X4348" s="82"/>
      <c r="Y4348" s="82"/>
      <c r="Z4348" s="82"/>
      <c r="AA4348" s="82"/>
      <c r="AB4348" s="82"/>
      <c r="AC4348" s="82"/>
      <c r="AD4348" s="82"/>
      <c r="AE4348" s="82"/>
      <c r="AF4348" s="82"/>
      <c r="AG4348" s="82"/>
      <c r="AH4348" s="82"/>
      <c r="AI4348" s="82"/>
      <c r="AJ4348" s="82"/>
      <c r="AK4348" s="82"/>
      <c r="AL4348" s="82"/>
      <c r="AM4348" s="82"/>
      <c r="AN4348" s="82"/>
      <c r="AO4348" s="82"/>
      <c r="AP4348" s="82"/>
      <c r="AQ4348" s="82"/>
      <c r="AR4348" s="82"/>
      <c r="AS4348" s="82"/>
      <c r="AT4348" s="82"/>
      <c r="AU4348" s="82"/>
      <c r="AV4348" s="82"/>
      <c r="AW4348" s="82" t="str">
        <f t="shared" si="1"/>
        <v/>
      </c>
      <c r="AX4348" s="83" t="str">
        <f t="array" ref="AX4348">IFERROR(DGET('SBV Import'!A:G,"SBV",{"RSC ID","Tier";B4348,A4348}))</f>
        <v/>
      </c>
      <c r="AY4348" s="82" t="str">
        <f t="shared" si="2"/>
        <v/>
      </c>
      <c r="AZ4348" s="82"/>
      <c r="BA4348" s="84" t="s">
        <v>152</v>
      </c>
      <c r="BB4348" s="84" t="str">
        <f>IFERROR(__xludf.DUMMYFUNCTION("iferror(if(A4348="""",,E4348&gt;=FILTER(Constants!$F$2:$F$10,Constants!$A$2:$A$10=A4348)))"),"")</f>
        <v/>
      </c>
    </row>
    <row r="4349">
      <c r="A4349" s="89"/>
      <c r="B4349" s="87"/>
      <c r="C4349" s="73"/>
      <c r="D4349" s="73"/>
      <c r="E4349" s="82"/>
      <c r="F4349" s="82"/>
      <c r="G4349" s="86"/>
      <c r="H4349" s="86"/>
      <c r="I4349" s="86"/>
      <c r="J4349" s="82"/>
      <c r="K4349" s="82"/>
      <c r="L4349" s="82"/>
      <c r="M4349" s="82"/>
      <c r="N4349" s="82"/>
      <c r="O4349" s="82"/>
      <c r="P4349" s="82"/>
      <c r="Q4349" s="82"/>
      <c r="R4349" s="82"/>
      <c r="S4349" s="82"/>
      <c r="T4349" s="82"/>
      <c r="U4349" s="82"/>
      <c r="V4349" s="82"/>
      <c r="W4349" s="82"/>
      <c r="X4349" s="82"/>
      <c r="Y4349" s="82"/>
      <c r="Z4349" s="82"/>
      <c r="AA4349" s="82"/>
      <c r="AB4349" s="82"/>
      <c r="AC4349" s="82"/>
      <c r="AD4349" s="82"/>
      <c r="AE4349" s="82"/>
      <c r="AF4349" s="82"/>
      <c r="AG4349" s="82"/>
      <c r="AH4349" s="82"/>
      <c r="AI4349" s="82"/>
      <c r="AJ4349" s="82"/>
      <c r="AK4349" s="82"/>
      <c r="AL4349" s="82"/>
      <c r="AM4349" s="82"/>
      <c r="AN4349" s="82"/>
      <c r="AO4349" s="82"/>
      <c r="AP4349" s="82"/>
      <c r="AQ4349" s="82"/>
      <c r="AR4349" s="82"/>
      <c r="AS4349" s="82"/>
      <c r="AT4349" s="82"/>
      <c r="AU4349" s="82"/>
      <c r="AV4349" s="82"/>
      <c r="AW4349" s="82" t="str">
        <f t="shared" si="1"/>
        <v/>
      </c>
      <c r="AX4349" s="83" t="str">
        <f t="array" ref="AX4349">IFERROR(DGET('SBV Import'!A:G,"SBV",{"RSC ID","Tier";B4349,A4349}))</f>
        <v/>
      </c>
      <c r="AY4349" s="82" t="str">
        <f t="shared" si="2"/>
        <v/>
      </c>
      <c r="AZ4349" s="82"/>
      <c r="BA4349" s="84" t="s">
        <v>152</v>
      </c>
      <c r="BB4349" s="84" t="str">
        <f>IFERROR(__xludf.DUMMYFUNCTION("iferror(if(A4349="""",,E4349&gt;=FILTER(Constants!$F$2:$F$10,Constants!$A$2:$A$10=A4349)))"),"")</f>
        <v/>
      </c>
    </row>
    <row r="4350">
      <c r="A4350" s="89"/>
      <c r="B4350" s="87"/>
      <c r="C4350" s="73"/>
      <c r="D4350" s="73"/>
      <c r="E4350" s="82"/>
      <c r="F4350" s="82"/>
      <c r="G4350" s="86"/>
      <c r="H4350" s="86"/>
      <c r="I4350" s="86"/>
      <c r="J4350" s="82"/>
      <c r="K4350" s="82"/>
      <c r="L4350" s="82"/>
      <c r="M4350" s="82"/>
      <c r="N4350" s="82"/>
      <c r="O4350" s="82"/>
      <c r="P4350" s="82"/>
      <c r="Q4350" s="82"/>
      <c r="R4350" s="82"/>
      <c r="S4350" s="82"/>
      <c r="T4350" s="82"/>
      <c r="U4350" s="82"/>
      <c r="V4350" s="82"/>
      <c r="W4350" s="82"/>
      <c r="X4350" s="82"/>
      <c r="Y4350" s="82"/>
      <c r="Z4350" s="82"/>
      <c r="AA4350" s="82"/>
      <c r="AB4350" s="82"/>
      <c r="AC4350" s="82"/>
      <c r="AD4350" s="82"/>
      <c r="AE4350" s="82"/>
      <c r="AF4350" s="82"/>
      <c r="AG4350" s="82"/>
      <c r="AH4350" s="82"/>
      <c r="AI4350" s="82"/>
      <c r="AJ4350" s="82"/>
      <c r="AK4350" s="82"/>
      <c r="AL4350" s="82"/>
      <c r="AM4350" s="82"/>
      <c r="AN4350" s="82"/>
      <c r="AO4350" s="82"/>
      <c r="AP4350" s="82"/>
      <c r="AQ4350" s="82"/>
      <c r="AR4350" s="82"/>
      <c r="AS4350" s="82"/>
      <c r="AT4350" s="82"/>
      <c r="AU4350" s="82"/>
      <c r="AV4350" s="82"/>
      <c r="AW4350" s="82" t="str">
        <f t="shared" si="1"/>
        <v/>
      </c>
      <c r="AX4350" s="83" t="str">
        <f t="array" ref="AX4350">IFERROR(DGET('SBV Import'!A:G,"SBV",{"RSC ID","Tier";B4350,A4350}))</f>
        <v/>
      </c>
      <c r="AY4350" s="82" t="str">
        <f t="shared" si="2"/>
        <v/>
      </c>
      <c r="AZ4350" s="82"/>
      <c r="BA4350" s="84" t="s">
        <v>152</v>
      </c>
      <c r="BB4350" s="84" t="str">
        <f>IFERROR(__xludf.DUMMYFUNCTION("iferror(if(A4350="""",,E4350&gt;=FILTER(Constants!$F$2:$F$10,Constants!$A$2:$A$10=A4350)))"),"")</f>
        <v/>
      </c>
    </row>
    <row r="4351">
      <c r="A4351" s="89"/>
      <c r="B4351" s="87"/>
      <c r="C4351" s="73"/>
      <c r="D4351" s="73"/>
      <c r="E4351" s="82"/>
      <c r="F4351" s="82"/>
      <c r="G4351" s="86"/>
      <c r="H4351" s="86"/>
      <c r="I4351" s="86"/>
      <c r="J4351" s="82"/>
      <c r="K4351" s="82"/>
      <c r="L4351" s="82"/>
      <c r="M4351" s="82"/>
      <c r="N4351" s="82"/>
      <c r="O4351" s="82"/>
      <c r="P4351" s="82"/>
      <c r="Q4351" s="82"/>
      <c r="R4351" s="82"/>
      <c r="S4351" s="82"/>
      <c r="T4351" s="82"/>
      <c r="U4351" s="82"/>
      <c r="V4351" s="82"/>
      <c r="W4351" s="82"/>
      <c r="X4351" s="82"/>
      <c r="Y4351" s="82"/>
      <c r="Z4351" s="82"/>
      <c r="AA4351" s="82"/>
      <c r="AB4351" s="82"/>
      <c r="AC4351" s="82"/>
      <c r="AD4351" s="82"/>
      <c r="AE4351" s="82"/>
      <c r="AF4351" s="82"/>
      <c r="AG4351" s="82"/>
      <c r="AH4351" s="82"/>
      <c r="AI4351" s="82"/>
      <c r="AJ4351" s="82"/>
      <c r="AK4351" s="82"/>
      <c r="AL4351" s="82"/>
      <c r="AM4351" s="82"/>
      <c r="AN4351" s="82"/>
      <c r="AO4351" s="82"/>
      <c r="AP4351" s="82"/>
      <c r="AQ4351" s="82"/>
      <c r="AR4351" s="82"/>
      <c r="AS4351" s="82"/>
      <c r="AT4351" s="82"/>
      <c r="AU4351" s="82"/>
      <c r="AV4351" s="82"/>
      <c r="AW4351" s="82" t="str">
        <f t="shared" si="1"/>
        <v/>
      </c>
      <c r="AX4351" s="83" t="str">
        <f t="array" ref="AX4351">IFERROR(DGET('SBV Import'!A:G,"SBV",{"RSC ID","Tier";B4351,A4351}))</f>
        <v/>
      </c>
      <c r="AY4351" s="82" t="str">
        <f t="shared" si="2"/>
        <v/>
      </c>
      <c r="AZ4351" s="82"/>
      <c r="BA4351" s="84" t="s">
        <v>152</v>
      </c>
      <c r="BB4351" s="84" t="str">
        <f>IFERROR(__xludf.DUMMYFUNCTION("iferror(if(A4351="""",,E4351&gt;=FILTER(Constants!$F$2:$F$10,Constants!$A$2:$A$10=A4351)))"),"")</f>
        <v/>
      </c>
    </row>
    <row r="4352">
      <c r="A4352" s="89"/>
      <c r="B4352" s="87"/>
      <c r="C4352" s="73"/>
      <c r="D4352" s="73"/>
      <c r="E4352" s="82"/>
      <c r="F4352" s="82"/>
      <c r="G4352" s="86"/>
      <c r="H4352" s="86"/>
      <c r="I4352" s="86"/>
      <c r="J4352" s="82"/>
      <c r="K4352" s="82"/>
      <c r="L4352" s="82"/>
      <c r="M4352" s="82"/>
      <c r="N4352" s="82"/>
      <c r="O4352" s="82"/>
      <c r="P4352" s="82"/>
      <c r="Q4352" s="82"/>
      <c r="R4352" s="82"/>
      <c r="S4352" s="82"/>
      <c r="T4352" s="82"/>
      <c r="U4352" s="82"/>
      <c r="V4352" s="82"/>
      <c r="W4352" s="82"/>
      <c r="X4352" s="82"/>
      <c r="Y4352" s="82"/>
      <c r="Z4352" s="82"/>
      <c r="AA4352" s="82"/>
      <c r="AB4352" s="82"/>
      <c r="AC4352" s="82"/>
      <c r="AD4352" s="82"/>
      <c r="AE4352" s="82"/>
      <c r="AF4352" s="82"/>
      <c r="AG4352" s="82"/>
      <c r="AH4352" s="82"/>
      <c r="AI4352" s="82"/>
      <c r="AJ4352" s="82"/>
      <c r="AK4352" s="82"/>
      <c r="AL4352" s="82"/>
      <c r="AM4352" s="82"/>
      <c r="AN4352" s="82"/>
      <c r="AO4352" s="82"/>
      <c r="AP4352" s="82"/>
      <c r="AQ4352" s="82"/>
      <c r="AR4352" s="82"/>
      <c r="AS4352" s="82"/>
      <c r="AT4352" s="82"/>
      <c r="AU4352" s="82"/>
      <c r="AV4352" s="82"/>
      <c r="AW4352" s="82" t="str">
        <f t="shared" si="1"/>
        <v/>
      </c>
      <c r="AX4352" s="83" t="str">
        <f t="array" ref="AX4352">IFERROR(DGET('SBV Import'!A:G,"SBV",{"RSC ID","Tier";B4352,A4352}))</f>
        <v/>
      </c>
      <c r="AY4352" s="82" t="str">
        <f t="shared" si="2"/>
        <v/>
      </c>
      <c r="AZ4352" s="82"/>
      <c r="BA4352" s="84" t="s">
        <v>152</v>
      </c>
      <c r="BB4352" s="84" t="str">
        <f>IFERROR(__xludf.DUMMYFUNCTION("iferror(if(A4352="""",,E4352&gt;=FILTER(Constants!$F$2:$F$10,Constants!$A$2:$A$10=A4352)))"),"")</f>
        <v/>
      </c>
    </row>
    <row r="4353">
      <c r="A4353" s="89"/>
      <c r="B4353" s="87"/>
      <c r="C4353" s="73"/>
      <c r="D4353" s="73"/>
      <c r="E4353" s="82"/>
      <c r="F4353" s="82"/>
      <c r="G4353" s="86"/>
      <c r="H4353" s="86"/>
      <c r="I4353" s="86"/>
      <c r="J4353" s="82"/>
      <c r="K4353" s="82"/>
      <c r="L4353" s="82"/>
      <c r="M4353" s="82"/>
      <c r="N4353" s="82"/>
      <c r="O4353" s="82"/>
      <c r="P4353" s="82"/>
      <c r="Q4353" s="82"/>
      <c r="R4353" s="82"/>
      <c r="S4353" s="82"/>
      <c r="T4353" s="82"/>
      <c r="U4353" s="82"/>
      <c r="V4353" s="82"/>
      <c r="W4353" s="82"/>
      <c r="X4353" s="82"/>
      <c r="Y4353" s="82"/>
      <c r="Z4353" s="82"/>
      <c r="AA4353" s="82"/>
      <c r="AB4353" s="82"/>
      <c r="AC4353" s="82"/>
      <c r="AD4353" s="82"/>
      <c r="AE4353" s="82"/>
      <c r="AF4353" s="82"/>
      <c r="AG4353" s="82"/>
      <c r="AH4353" s="82"/>
      <c r="AI4353" s="82"/>
      <c r="AJ4353" s="82"/>
      <c r="AK4353" s="82"/>
      <c r="AL4353" s="82"/>
      <c r="AM4353" s="82"/>
      <c r="AN4353" s="82"/>
      <c r="AO4353" s="82"/>
      <c r="AP4353" s="82"/>
      <c r="AQ4353" s="82"/>
      <c r="AR4353" s="82"/>
      <c r="AS4353" s="82"/>
      <c r="AT4353" s="82"/>
      <c r="AU4353" s="82"/>
      <c r="AV4353" s="82"/>
      <c r="AW4353" s="82" t="str">
        <f t="shared" si="1"/>
        <v/>
      </c>
      <c r="AX4353" s="83" t="str">
        <f t="array" ref="AX4353">IFERROR(DGET('SBV Import'!A:G,"SBV",{"RSC ID","Tier";B4353,A4353}))</f>
        <v/>
      </c>
      <c r="AY4353" s="82" t="str">
        <f t="shared" si="2"/>
        <v/>
      </c>
      <c r="AZ4353" s="82"/>
      <c r="BA4353" s="84" t="s">
        <v>152</v>
      </c>
      <c r="BB4353" s="84" t="str">
        <f>IFERROR(__xludf.DUMMYFUNCTION("iferror(if(A4353="""",,E4353&gt;=FILTER(Constants!$F$2:$F$10,Constants!$A$2:$A$10=A4353)))"),"")</f>
        <v/>
      </c>
    </row>
    <row r="4354">
      <c r="A4354" s="89"/>
      <c r="B4354" s="87"/>
      <c r="C4354" s="73"/>
      <c r="D4354" s="73"/>
      <c r="E4354" s="82"/>
      <c r="F4354" s="82"/>
      <c r="G4354" s="86"/>
      <c r="H4354" s="86"/>
      <c r="I4354" s="86"/>
      <c r="J4354" s="82"/>
      <c r="K4354" s="82"/>
      <c r="L4354" s="82"/>
      <c r="M4354" s="82"/>
      <c r="N4354" s="82"/>
      <c r="O4354" s="82"/>
      <c r="P4354" s="82"/>
      <c r="Q4354" s="82"/>
      <c r="R4354" s="82"/>
      <c r="S4354" s="82"/>
      <c r="T4354" s="82"/>
      <c r="U4354" s="82"/>
      <c r="V4354" s="82"/>
      <c r="W4354" s="82"/>
      <c r="X4354" s="82"/>
      <c r="Y4354" s="82"/>
      <c r="Z4354" s="82"/>
      <c r="AA4354" s="82"/>
      <c r="AB4354" s="82"/>
      <c r="AC4354" s="82"/>
      <c r="AD4354" s="82"/>
      <c r="AE4354" s="82"/>
      <c r="AF4354" s="82"/>
      <c r="AG4354" s="82"/>
      <c r="AH4354" s="82"/>
      <c r="AI4354" s="82"/>
      <c r="AJ4354" s="82"/>
      <c r="AK4354" s="82"/>
      <c r="AL4354" s="82"/>
      <c r="AM4354" s="82"/>
      <c r="AN4354" s="82"/>
      <c r="AO4354" s="82"/>
      <c r="AP4354" s="82"/>
      <c r="AQ4354" s="82"/>
      <c r="AR4354" s="82"/>
      <c r="AS4354" s="82"/>
      <c r="AT4354" s="82"/>
      <c r="AU4354" s="82"/>
      <c r="AV4354" s="82"/>
      <c r="AW4354" s="82" t="str">
        <f t="shared" si="1"/>
        <v/>
      </c>
      <c r="AX4354" s="83" t="str">
        <f t="array" ref="AX4354">IFERROR(DGET('SBV Import'!A:G,"SBV",{"RSC ID","Tier";B4354,A4354}))</f>
        <v/>
      </c>
      <c r="AY4354" s="82" t="str">
        <f t="shared" si="2"/>
        <v/>
      </c>
      <c r="AZ4354" s="82"/>
      <c r="BA4354" s="84" t="s">
        <v>152</v>
      </c>
      <c r="BB4354" s="84" t="str">
        <f>IFERROR(__xludf.DUMMYFUNCTION("iferror(if(A4354="""",,E4354&gt;=FILTER(Constants!$F$2:$F$10,Constants!$A$2:$A$10=A4354)))"),"")</f>
        <v/>
      </c>
    </row>
    <row r="4355">
      <c r="A4355" s="89"/>
      <c r="B4355" s="87"/>
      <c r="C4355" s="73"/>
      <c r="D4355" s="73"/>
      <c r="E4355" s="82"/>
      <c r="F4355" s="82"/>
      <c r="G4355" s="86"/>
      <c r="H4355" s="86"/>
      <c r="I4355" s="86"/>
      <c r="J4355" s="82"/>
      <c r="K4355" s="82"/>
      <c r="L4355" s="82"/>
      <c r="M4355" s="82"/>
      <c r="N4355" s="82"/>
      <c r="O4355" s="82"/>
      <c r="P4355" s="82"/>
      <c r="Q4355" s="82"/>
      <c r="R4355" s="82"/>
      <c r="S4355" s="82"/>
      <c r="T4355" s="82"/>
      <c r="U4355" s="82"/>
      <c r="V4355" s="82"/>
      <c r="W4355" s="82"/>
      <c r="X4355" s="82"/>
      <c r="Y4355" s="82"/>
      <c r="Z4355" s="82"/>
      <c r="AA4355" s="82"/>
      <c r="AB4355" s="82"/>
      <c r="AC4355" s="82"/>
      <c r="AD4355" s="82"/>
      <c r="AE4355" s="82"/>
      <c r="AF4355" s="82"/>
      <c r="AG4355" s="82"/>
      <c r="AH4355" s="82"/>
      <c r="AI4355" s="82"/>
      <c r="AJ4355" s="82"/>
      <c r="AK4355" s="82"/>
      <c r="AL4355" s="82"/>
      <c r="AM4355" s="82"/>
      <c r="AN4355" s="82"/>
      <c r="AO4355" s="82"/>
      <c r="AP4355" s="82"/>
      <c r="AQ4355" s="82"/>
      <c r="AR4355" s="82"/>
      <c r="AS4355" s="82"/>
      <c r="AT4355" s="82"/>
      <c r="AU4355" s="82"/>
      <c r="AV4355" s="82"/>
      <c r="AW4355" s="82" t="str">
        <f t="shared" si="1"/>
        <v/>
      </c>
      <c r="AX4355" s="83" t="str">
        <f t="array" ref="AX4355">IFERROR(DGET('SBV Import'!A:G,"SBV",{"RSC ID","Tier";B4355,A4355}))</f>
        <v/>
      </c>
      <c r="AY4355" s="82" t="str">
        <f t="shared" si="2"/>
        <v/>
      </c>
      <c r="AZ4355" s="82"/>
      <c r="BA4355" s="84" t="s">
        <v>152</v>
      </c>
      <c r="BB4355" s="84" t="str">
        <f>IFERROR(__xludf.DUMMYFUNCTION("iferror(if(A4355="""",,E4355&gt;=FILTER(Constants!$F$2:$F$10,Constants!$A$2:$A$10=A4355)))"),"")</f>
        <v/>
      </c>
    </row>
    <row r="4356">
      <c r="A4356" s="89"/>
      <c r="B4356" s="87"/>
      <c r="C4356" s="73"/>
      <c r="D4356" s="73"/>
      <c r="E4356" s="82"/>
      <c r="F4356" s="82"/>
      <c r="G4356" s="86"/>
      <c r="H4356" s="86"/>
      <c r="I4356" s="86"/>
      <c r="J4356" s="82"/>
      <c r="K4356" s="82"/>
      <c r="L4356" s="82"/>
      <c r="M4356" s="82"/>
      <c r="N4356" s="82"/>
      <c r="O4356" s="82"/>
      <c r="P4356" s="82"/>
      <c r="Q4356" s="82"/>
      <c r="R4356" s="82"/>
      <c r="S4356" s="82"/>
      <c r="T4356" s="82"/>
      <c r="U4356" s="82"/>
      <c r="V4356" s="82"/>
      <c r="W4356" s="82"/>
      <c r="X4356" s="82"/>
      <c r="Y4356" s="82"/>
      <c r="Z4356" s="82"/>
      <c r="AA4356" s="82"/>
      <c r="AB4356" s="82"/>
      <c r="AC4356" s="82"/>
      <c r="AD4356" s="82"/>
      <c r="AE4356" s="82"/>
      <c r="AF4356" s="82"/>
      <c r="AG4356" s="82"/>
      <c r="AH4356" s="82"/>
      <c r="AI4356" s="82"/>
      <c r="AJ4356" s="82"/>
      <c r="AK4356" s="82"/>
      <c r="AL4356" s="82"/>
      <c r="AM4356" s="82"/>
      <c r="AN4356" s="82"/>
      <c r="AO4356" s="82"/>
      <c r="AP4356" s="82"/>
      <c r="AQ4356" s="82"/>
      <c r="AR4356" s="82"/>
      <c r="AS4356" s="82"/>
      <c r="AT4356" s="82"/>
      <c r="AU4356" s="82"/>
      <c r="AV4356" s="82"/>
      <c r="AW4356" s="82" t="str">
        <f t="shared" si="1"/>
        <v/>
      </c>
      <c r="AX4356" s="83" t="str">
        <f t="array" ref="AX4356">IFERROR(DGET('SBV Import'!A:G,"SBV",{"RSC ID","Tier";B4356,A4356}))</f>
        <v/>
      </c>
      <c r="AY4356" s="82" t="str">
        <f t="shared" si="2"/>
        <v/>
      </c>
      <c r="AZ4356" s="82"/>
      <c r="BA4356" s="84" t="s">
        <v>152</v>
      </c>
      <c r="BB4356" s="84" t="str">
        <f>IFERROR(__xludf.DUMMYFUNCTION("iferror(if(A4356="""",,E4356&gt;=FILTER(Constants!$F$2:$F$10,Constants!$A$2:$A$10=A4356)))"),"")</f>
        <v/>
      </c>
    </row>
    <row r="4357">
      <c r="A4357" s="89"/>
      <c r="B4357" s="87"/>
      <c r="C4357" s="73"/>
      <c r="D4357" s="73"/>
      <c r="E4357" s="82"/>
      <c r="F4357" s="82"/>
      <c r="G4357" s="86"/>
      <c r="H4357" s="86"/>
      <c r="I4357" s="86"/>
      <c r="J4357" s="82"/>
      <c r="K4357" s="82"/>
      <c r="L4357" s="82"/>
      <c r="M4357" s="82"/>
      <c r="N4357" s="82"/>
      <c r="O4357" s="82"/>
      <c r="P4357" s="82"/>
      <c r="Q4357" s="82"/>
      <c r="R4357" s="82"/>
      <c r="S4357" s="82"/>
      <c r="T4357" s="82"/>
      <c r="U4357" s="82"/>
      <c r="V4357" s="82"/>
      <c r="W4357" s="82"/>
      <c r="X4357" s="82"/>
      <c r="Y4357" s="82"/>
      <c r="Z4357" s="82"/>
      <c r="AA4357" s="82"/>
      <c r="AB4357" s="82"/>
      <c r="AC4357" s="82"/>
      <c r="AD4357" s="82"/>
      <c r="AE4357" s="82"/>
      <c r="AF4357" s="82"/>
      <c r="AG4357" s="82"/>
      <c r="AH4357" s="82"/>
      <c r="AI4357" s="82"/>
      <c r="AJ4357" s="82"/>
      <c r="AK4357" s="82"/>
      <c r="AL4357" s="82"/>
      <c r="AM4357" s="82"/>
      <c r="AN4357" s="82"/>
      <c r="AO4357" s="82"/>
      <c r="AP4357" s="82"/>
      <c r="AQ4357" s="82"/>
      <c r="AR4357" s="82"/>
      <c r="AS4357" s="82"/>
      <c r="AT4357" s="82"/>
      <c r="AU4357" s="82"/>
      <c r="AV4357" s="82"/>
      <c r="AW4357" s="82" t="str">
        <f t="shared" si="1"/>
        <v/>
      </c>
      <c r="AX4357" s="83" t="str">
        <f t="array" ref="AX4357">IFERROR(DGET('SBV Import'!A:G,"SBV",{"RSC ID","Tier";B4357,A4357}))</f>
        <v/>
      </c>
      <c r="AY4357" s="82" t="str">
        <f t="shared" si="2"/>
        <v/>
      </c>
      <c r="AZ4357" s="82"/>
      <c r="BA4357" s="84" t="s">
        <v>152</v>
      </c>
      <c r="BB4357" s="84" t="str">
        <f>IFERROR(__xludf.DUMMYFUNCTION("iferror(if(A4357="""",,E4357&gt;=FILTER(Constants!$F$2:$F$10,Constants!$A$2:$A$10=A4357)))"),"")</f>
        <v/>
      </c>
    </row>
    <row r="4358">
      <c r="A4358" s="89"/>
      <c r="B4358" s="87"/>
      <c r="C4358" s="73"/>
      <c r="D4358" s="73"/>
      <c r="E4358" s="82"/>
      <c r="F4358" s="82"/>
      <c r="G4358" s="86"/>
      <c r="H4358" s="86"/>
      <c r="I4358" s="86"/>
      <c r="J4358" s="82"/>
      <c r="K4358" s="82"/>
      <c r="L4358" s="82"/>
      <c r="M4358" s="82"/>
      <c r="N4358" s="82"/>
      <c r="O4358" s="82"/>
      <c r="P4358" s="82"/>
      <c r="Q4358" s="82"/>
      <c r="R4358" s="82"/>
      <c r="S4358" s="82"/>
      <c r="T4358" s="82"/>
      <c r="U4358" s="82"/>
      <c r="V4358" s="82"/>
      <c r="W4358" s="82"/>
      <c r="X4358" s="82"/>
      <c r="Y4358" s="82"/>
      <c r="Z4358" s="82"/>
      <c r="AA4358" s="82"/>
      <c r="AB4358" s="82"/>
      <c r="AC4358" s="82"/>
      <c r="AD4358" s="82"/>
      <c r="AE4358" s="82"/>
      <c r="AF4358" s="82"/>
      <c r="AG4358" s="82"/>
      <c r="AH4358" s="82"/>
      <c r="AI4358" s="82"/>
      <c r="AJ4358" s="82"/>
      <c r="AK4358" s="82"/>
      <c r="AL4358" s="82"/>
      <c r="AM4358" s="82"/>
      <c r="AN4358" s="82"/>
      <c r="AO4358" s="82"/>
      <c r="AP4358" s="82"/>
      <c r="AQ4358" s="82"/>
      <c r="AR4358" s="82"/>
      <c r="AS4358" s="82"/>
      <c r="AT4358" s="82"/>
      <c r="AU4358" s="82"/>
      <c r="AV4358" s="82"/>
      <c r="AW4358" s="82" t="str">
        <f t="shared" si="1"/>
        <v/>
      </c>
      <c r="AX4358" s="83" t="str">
        <f t="array" ref="AX4358">IFERROR(DGET('SBV Import'!A:G,"SBV",{"RSC ID","Tier";B4358,A4358}))</f>
        <v/>
      </c>
      <c r="AY4358" s="82" t="str">
        <f t="shared" si="2"/>
        <v/>
      </c>
      <c r="AZ4358" s="82"/>
      <c r="BA4358" s="84" t="s">
        <v>152</v>
      </c>
      <c r="BB4358" s="84" t="str">
        <f>IFERROR(__xludf.DUMMYFUNCTION("iferror(if(A4358="""",,E4358&gt;=FILTER(Constants!$F$2:$F$10,Constants!$A$2:$A$10=A4358)))"),"")</f>
        <v/>
      </c>
    </row>
    <row r="4359">
      <c r="A4359" s="89"/>
      <c r="B4359" s="87"/>
      <c r="C4359" s="73"/>
      <c r="D4359" s="73"/>
      <c r="E4359" s="82"/>
      <c r="F4359" s="82"/>
      <c r="G4359" s="86"/>
      <c r="H4359" s="86"/>
      <c r="I4359" s="86"/>
      <c r="J4359" s="82"/>
      <c r="K4359" s="82"/>
      <c r="L4359" s="82"/>
      <c r="M4359" s="82"/>
      <c r="N4359" s="82"/>
      <c r="O4359" s="82"/>
      <c r="P4359" s="82"/>
      <c r="Q4359" s="82"/>
      <c r="R4359" s="82"/>
      <c r="S4359" s="82"/>
      <c r="T4359" s="82"/>
      <c r="U4359" s="82"/>
      <c r="V4359" s="82"/>
      <c r="W4359" s="82"/>
      <c r="X4359" s="82"/>
      <c r="Y4359" s="82"/>
      <c r="Z4359" s="82"/>
      <c r="AA4359" s="82"/>
      <c r="AB4359" s="82"/>
      <c r="AC4359" s="82"/>
      <c r="AD4359" s="82"/>
      <c r="AE4359" s="82"/>
      <c r="AF4359" s="82"/>
      <c r="AG4359" s="82"/>
      <c r="AH4359" s="82"/>
      <c r="AI4359" s="82"/>
      <c r="AJ4359" s="82"/>
      <c r="AK4359" s="82"/>
      <c r="AL4359" s="82"/>
      <c r="AM4359" s="82"/>
      <c r="AN4359" s="82"/>
      <c r="AO4359" s="82"/>
      <c r="AP4359" s="82"/>
      <c r="AQ4359" s="82"/>
      <c r="AR4359" s="82"/>
      <c r="AS4359" s="82"/>
      <c r="AT4359" s="82"/>
      <c r="AU4359" s="82"/>
      <c r="AV4359" s="82"/>
      <c r="AW4359" s="82" t="str">
        <f t="shared" si="1"/>
        <v/>
      </c>
      <c r="AX4359" s="83" t="str">
        <f t="array" ref="AX4359">IFERROR(DGET('SBV Import'!A:G,"SBV",{"RSC ID","Tier";B4359,A4359}))</f>
        <v/>
      </c>
      <c r="AY4359" s="82" t="str">
        <f t="shared" si="2"/>
        <v/>
      </c>
      <c r="AZ4359" s="82"/>
      <c r="BA4359" s="84" t="s">
        <v>152</v>
      </c>
      <c r="BB4359" s="84" t="str">
        <f>IFERROR(__xludf.DUMMYFUNCTION("iferror(if(A4359="""",,E4359&gt;=FILTER(Constants!$F$2:$F$10,Constants!$A$2:$A$10=A4359)))"),"")</f>
        <v/>
      </c>
    </row>
    <row r="4360">
      <c r="A4360" s="89"/>
      <c r="B4360" s="87"/>
      <c r="C4360" s="73"/>
      <c r="D4360" s="73"/>
      <c r="E4360" s="82"/>
      <c r="F4360" s="82"/>
      <c r="G4360" s="86"/>
      <c r="H4360" s="86"/>
      <c r="I4360" s="86"/>
      <c r="J4360" s="82"/>
      <c r="K4360" s="82"/>
      <c r="L4360" s="82"/>
      <c r="M4360" s="82"/>
      <c r="N4360" s="82"/>
      <c r="O4360" s="82"/>
      <c r="P4360" s="82"/>
      <c r="Q4360" s="82"/>
      <c r="R4360" s="82"/>
      <c r="S4360" s="82"/>
      <c r="T4360" s="82"/>
      <c r="U4360" s="82"/>
      <c r="V4360" s="82"/>
      <c r="W4360" s="82"/>
      <c r="X4360" s="82"/>
      <c r="Y4360" s="82"/>
      <c r="Z4360" s="82"/>
      <c r="AA4360" s="82"/>
      <c r="AB4360" s="82"/>
      <c r="AC4360" s="82"/>
      <c r="AD4360" s="82"/>
      <c r="AE4360" s="82"/>
      <c r="AF4360" s="82"/>
      <c r="AG4360" s="82"/>
      <c r="AH4360" s="82"/>
      <c r="AI4360" s="82"/>
      <c r="AJ4360" s="82"/>
      <c r="AK4360" s="82"/>
      <c r="AL4360" s="82"/>
      <c r="AM4360" s="82"/>
      <c r="AN4360" s="82"/>
      <c r="AO4360" s="82"/>
      <c r="AP4360" s="82"/>
      <c r="AQ4360" s="82"/>
      <c r="AR4360" s="82"/>
      <c r="AS4360" s="82"/>
      <c r="AT4360" s="82"/>
      <c r="AU4360" s="82"/>
      <c r="AV4360" s="82"/>
      <c r="AW4360" s="82" t="str">
        <f t="shared" si="1"/>
        <v/>
      </c>
      <c r="AX4360" s="83" t="str">
        <f t="array" ref="AX4360">IFERROR(DGET('SBV Import'!A:G,"SBV",{"RSC ID","Tier";B4360,A4360}))</f>
        <v/>
      </c>
      <c r="AY4360" s="82" t="str">
        <f t="shared" si="2"/>
        <v/>
      </c>
      <c r="AZ4360" s="82"/>
      <c r="BA4360" s="84" t="s">
        <v>152</v>
      </c>
      <c r="BB4360" s="84" t="str">
        <f>IFERROR(__xludf.DUMMYFUNCTION("iferror(if(A4360="""",,E4360&gt;=FILTER(Constants!$F$2:$F$10,Constants!$A$2:$A$10=A4360)))"),"")</f>
        <v/>
      </c>
    </row>
    <row r="4361">
      <c r="A4361" s="89"/>
      <c r="B4361" s="87"/>
      <c r="C4361" s="73"/>
      <c r="D4361" s="73"/>
      <c r="E4361" s="82"/>
      <c r="F4361" s="82"/>
      <c r="G4361" s="86"/>
      <c r="H4361" s="86"/>
      <c r="I4361" s="86"/>
      <c r="J4361" s="82"/>
      <c r="K4361" s="82"/>
      <c r="L4361" s="82"/>
      <c r="M4361" s="82"/>
      <c r="N4361" s="82"/>
      <c r="O4361" s="82"/>
      <c r="P4361" s="82"/>
      <c r="Q4361" s="82"/>
      <c r="R4361" s="82"/>
      <c r="S4361" s="82"/>
      <c r="T4361" s="82"/>
      <c r="U4361" s="82"/>
      <c r="V4361" s="82"/>
      <c r="W4361" s="82"/>
      <c r="X4361" s="82"/>
      <c r="Y4361" s="82"/>
      <c r="Z4361" s="82"/>
      <c r="AA4361" s="82"/>
      <c r="AB4361" s="82"/>
      <c r="AC4361" s="82"/>
      <c r="AD4361" s="82"/>
      <c r="AE4361" s="82"/>
      <c r="AF4361" s="82"/>
      <c r="AG4361" s="82"/>
      <c r="AH4361" s="82"/>
      <c r="AI4361" s="82"/>
      <c r="AJ4361" s="82"/>
      <c r="AK4361" s="82"/>
      <c r="AL4361" s="82"/>
      <c r="AM4361" s="82"/>
      <c r="AN4361" s="82"/>
      <c r="AO4361" s="82"/>
      <c r="AP4361" s="82"/>
      <c r="AQ4361" s="82"/>
      <c r="AR4361" s="82"/>
      <c r="AS4361" s="82"/>
      <c r="AT4361" s="82"/>
      <c r="AU4361" s="82"/>
      <c r="AV4361" s="82"/>
      <c r="AW4361" s="82" t="str">
        <f t="shared" si="1"/>
        <v/>
      </c>
      <c r="AX4361" s="83" t="str">
        <f t="array" ref="AX4361">IFERROR(DGET('SBV Import'!A:G,"SBV",{"RSC ID","Tier";B4361,A4361}))</f>
        <v/>
      </c>
      <c r="AY4361" s="82" t="str">
        <f t="shared" si="2"/>
        <v/>
      </c>
      <c r="AZ4361" s="82"/>
      <c r="BA4361" s="84" t="s">
        <v>152</v>
      </c>
      <c r="BB4361" s="84" t="str">
        <f>IFERROR(__xludf.DUMMYFUNCTION("iferror(if(A4361="""",,E4361&gt;=FILTER(Constants!$F$2:$F$10,Constants!$A$2:$A$10=A4361)))"),"")</f>
        <v/>
      </c>
    </row>
    <row r="4362">
      <c r="A4362" s="89"/>
      <c r="B4362" s="87"/>
      <c r="C4362" s="73"/>
      <c r="D4362" s="73"/>
      <c r="E4362" s="82"/>
      <c r="F4362" s="82"/>
      <c r="G4362" s="86"/>
      <c r="H4362" s="86"/>
      <c r="I4362" s="86"/>
      <c r="J4362" s="82"/>
      <c r="K4362" s="82"/>
      <c r="L4362" s="82"/>
      <c r="M4362" s="82"/>
      <c r="N4362" s="82"/>
      <c r="O4362" s="82"/>
      <c r="P4362" s="82"/>
      <c r="Q4362" s="82"/>
      <c r="R4362" s="82"/>
      <c r="S4362" s="82"/>
      <c r="T4362" s="82"/>
      <c r="U4362" s="82"/>
      <c r="V4362" s="82"/>
      <c r="W4362" s="82"/>
      <c r="X4362" s="82"/>
      <c r="Y4362" s="82"/>
      <c r="Z4362" s="82"/>
      <c r="AA4362" s="82"/>
      <c r="AB4362" s="82"/>
      <c r="AC4362" s="82"/>
      <c r="AD4362" s="82"/>
      <c r="AE4362" s="82"/>
      <c r="AF4362" s="82"/>
      <c r="AG4362" s="82"/>
      <c r="AH4362" s="82"/>
      <c r="AI4362" s="82"/>
      <c r="AJ4362" s="82"/>
      <c r="AK4362" s="82"/>
      <c r="AL4362" s="82"/>
      <c r="AM4362" s="82"/>
      <c r="AN4362" s="82"/>
      <c r="AO4362" s="82"/>
      <c r="AP4362" s="82"/>
      <c r="AQ4362" s="82"/>
      <c r="AR4362" s="82"/>
      <c r="AS4362" s="82"/>
      <c r="AT4362" s="82"/>
      <c r="AU4362" s="82"/>
      <c r="AV4362" s="82"/>
      <c r="AW4362" s="82" t="str">
        <f t="shared" si="1"/>
        <v/>
      </c>
      <c r="AX4362" s="83" t="str">
        <f t="array" ref="AX4362">IFERROR(DGET('SBV Import'!A:G,"SBV",{"RSC ID","Tier";B4362,A4362}))</f>
        <v/>
      </c>
      <c r="AY4362" s="82" t="str">
        <f t="shared" si="2"/>
        <v/>
      </c>
      <c r="AZ4362" s="82"/>
      <c r="BA4362" s="84" t="s">
        <v>152</v>
      </c>
      <c r="BB4362" s="84" t="str">
        <f>IFERROR(__xludf.DUMMYFUNCTION("iferror(if(A4362="""",,E4362&gt;=FILTER(Constants!$F$2:$F$10,Constants!$A$2:$A$10=A4362)))"),"")</f>
        <v/>
      </c>
    </row>
    <row r="4363">
      <c r="A4363" s="89"/>
      <c r="B4363" s="87"/>
      <c r="C4363" s="73"/>
      <c r="D4363" s="73"/>
      <c r="E4363" s="82"/>
      <c r="F4363" s="82"/>
      <c r="G4363" s="86"/>
      <c r="H4363" s="86"/>
      <c r="I4363" s="86"/>
      <c r="J4363" s="82"/>
      <c r="K4363" s="82"/>
      <c r="L4363" s="82"/>
      <c r="M4363" s="82"/>
      <c r="N4363" s="82"/>
      <c r="O4363" s="82"/>
      <c r="P4363" s="82"/>
      <c r="Q4363" s="82"/>
      <c r="R4363" s="82"/>
      <c r="S4363" s="82"/>
      <c r="T4363" s="82"/>
      <c r="U4363" s="82"/>
      <c r="V4363" s="82"/>
      <c r="W4363" s="82"/>
      <c r="X4363" s="82"/>
      <c r="Y4363" s="82"/>
      <c r="Z4363" s="82"/>
      <c r="AA4363" s="82"/>
      <c r="AB4363" s="82"/>
      <c r="AC4363" s="82"/>
      <c r="AD4363" s="82"/>
      <c r="AE4363" s="82"/>
      <c r="AF4363" s="82"/>
      <c r="AG4363" s="82"/>
      <c r="AH4363" s="82"/>
      <c r="AI4363" s="82"/>
      <c r="AJ4363" s="82"/>
      <c r="AK4363" s="82"/>
      <c r="AL4363" s="82"/>
      <c r="AM4363" s="82"/>
      <c r="AN4363" s="82"/>
      <c r="AO4363" s="82"/>
      <c r="AP4363" s="82"/>
      <c r="AQ4363" s="82"/>
      <c r="AR4363" s="82"/>
      <c r="AS4363" s="82"/>
      <c r="AT4363" s="82"/>
      <c r="AU4363" s="82"/>
      <c r="AV4363" s="82"/>
      <c r="AW4363" s="82" t="str">
        <f t="shared" si="1"/>
        <v/>
      </c>
      <c r="AX4363" s="83" t="str">
        <f t="array" ref="AX4363">IFERROR(DGET('SBV Import'!A:G,"SBV",{"RSC ID","Tier";B4363,A4363}))</f>
        <v/>
      </c>
      <c r="AY4363" s="82" t="str">
        <f t="shared" si="2"/>
        <v/>
      </c>
      <c r="AZ4363" s="82"/>
      <c r="BA4363" s="84" t="s">
        <v>152</v>
      </c>
      <c r="BB4363" s="84" t="str">
        <f>IFERROR(__xludf.DUMMYFUNCTION("iferror(if(A4363="""",,E4363&gt;=FILTER(Constants!$F$2:$F$10,Constants!$A$2:$A$10=A4363)))"),"")</f>
        <v/>
      </c>
    </row>
    <row r="4364">
      <c r="A4364" s="89"/>
      <c r="B4364" s="87"/>
      <c r="C4364" s="73"/>
      <c r="D4364" s="73"/>
      <c r="E4364" s="82"/>
      <c r="F4364" s="82"/>
      <c r="G4364" s="86"/>
      <c r="H4364" s="86"/>
      <c r="I4364" s="86"/>
      <c r="J4364" s="82"/>
      <c r="K4364" s="82"/>
      <c r="L4364" s="82"/>
      <c r="M4364" s="82"/>
      <c r="N4364" s="82"/>
      <c r="O4364" s="82"/>
      <c r="P4364" s="82"/>
      <c r="Q4364" s="82"/>
      <c r="R4364" s="82"/>
      <c r="S4364" s="82"/>
      <c r="T4364" s="82"/>
      <c r="U4364" s="82"/>
      <c r="V4364" s="82"/>
      <c r="W4364" s="82"/>
      <c r="X4364" s="82"/>
      <c r="Y4364" s="82"/>
      <c r="Z4364" s="82"/>
      <c r="AA4364" s="82"/>
      <c r="AB4364" s="82"/>
      <c r="AC4364" s="82"/>
      <c r="AD4364" s="82"/>
      <c r="AE4364" s="82"/>
      <c r="AF4364" s="82"/>
      <c r="AG4364" s="82"/>
      <c r="AH4364" s="82"/>
      <c r="AI4364" s="82"/>
      <c r="AJ4364" s="82"/>
      <c r="AK4364" s="82"/>
      <c r="AL4364" s="82"/>
      <c r="AM4364" s="82"/>
      <c r="AN4364" s="82"/>
      <c r="AO4364" s="82"/>
      <c r="AP4364" s="82"/>
      <c r="AQ4364" s="82"/>
      <c r="AR4364" s="82"/>
      <c r="AS4364" s="82"/>
      <c r="AT4364" s="82"/>
      <c r="AU4364" s="82"/>
      <c r="AV4364" s="82"/>
      <c r="AW4364" s="82" t="str">
        <f t="shared" si="1"/>
        <v/>
      </c>
      <c r="AX4364" s="83" t="str">
        <f t="array" ref="AX4364">IFERROR(DGET('SBV Import'!A:G,"SBV",{"RSC ID","Tier";B4364,A4364}))</f>
        <v/>
      </c>
      <c r="AY4364" s="82" t="str">
        <f t="shared" si="2"/>
        <v/>
      </c>
      <c r="AZ4364" s="82"/>
      <c r="BA4364" s="84" t="s">
        <v>152</v>
      </c>
      <c r="BB4364" s="84" t="str">
        <f>IFERROR(__xludf.DUMMYFUNCTION("iferror(if(A4364="""",,E4364&gt;=FILTER(Constants!$F$2:$F$10,Constants!$A$2:$A$10=A4364)))"),"")</f>
        <v/>
      </c>
    </row>
    <row r="4365">
      <c r="A4365" s="89"/>
      <c r="B4365" s="87"/>
      <c r="C4365" s="73"/>
      <c r="D4365" s="73"/>
      <c r="E4365" s="82"/>
      <c r="F4365" s="82"/>
      <c r="G4365" s="86"/>
      <c r="H4365" s="86"/>
      <c r="I4365" s="86"/>
      <c r="J4365" s="82"/>
      <c r="K4365" s="82"/>
      <c r="L4365" s="82"/>
      <c r="M4365" s="82"/>
      <c r="N4365" s="82"/>
      <c r="O4365" s="82"/>
      <c r="P4365" s="82"/>
      <c r="Q4365" s="82"/>
      <c r="R4365" s="82"/>
      <c r="S4365" s="82"/>
      <c r="T4365" s="82"/>
      <c r="U4365" s="82"/>
      <c r="V4365" s="82"/>
      <c r="W4365" s="82"/>
      <c r="X4365" s="82"/>
      <c r="Y4365" s="82"/>
      <c r="Z4365" s="82"/>
      <c r="AA4365" s="82"/>
      <c r="AB4365" s="82"/>
      <c r="AC4365" s="82"/>
      <c r="AD4365" s="82"/>
      <c r="AE4365" s="82"/>
      <c r="AF4365" s="82"/>
      <c r="AG4365" s="82"/>
      <c r="AH4365" s="82"/>
      <c r="AI4365" s="82"/>
      <c r="AJ4365" s="82"/>
      <c r="AK4365" s="82"/>
      <c r="AL4365" s="82"/>
      <c r="AM4365" s="82"/>
      <c r="AN4365" s="82"/>
      <c r="AO4365" s="82"/>
      <c r="AP4365" s="82"/>
      <c r="AQ4365" s="82"/>
      <c r="AR4365" s="82"/>
      <c r="AS4365" s="82"/>
      <c r="AT4365" s="82"/>
      <c r="AU4365" s="82"/>
      <c r="AV4365" s="82"/>
      <c r="AW4365" s="82" t="str">
        <f t="shared" si="1"/>
        <v/>
      </c>
      <c r="AX4365" s="83" t="str">
        <f t="array" ref="AX4365">IFERROR(DGET('SBV Import'!A:G,"SBV",{"RSC ID","Tier";B4365,A4365}))</f>
        <v/>
      </c>
      <c r="AY4365" s="82" t="str">
        <f t="shared" si="2"/>
        <v/>
      </c>
      <c r="AZ4365" s="82"/>
      <c r="BA4365" s="84" t="s">
        <v>152</v>
      </c>
      <c r="BB4365" s="84" t="str">
        <f>IFERROR(__xludf.DUMMYFUNCTION("iferror(if(A4365="""",,E4365&gt;=FILTER(Constants!$F$2:$F$10,Constants!$A$2:$A$10=A4365)))"),"")</f>
        <v/>
      </c>
    </row>
    <row r="4366">
      <c r="A4366" s="89"/>
      <c r="B4366" s="87"/>
      <c r="C4366" s="73"/>
      <c r="D4366" s="73"/>
      <c r="E4366" s="82"/>
      <c r="F4366" s="82"/>
      <c r="G4366" s="86"/>
      <c r="H4366" s="86"/>
      <c r="I4366" s="86"/>
      <c r="J4366" s="82"/>
      <c r="K4366" s="82"/>
      <c r="L4366" s="82"/>
      <c r="M4366" s="82"/>
      <c r="N4366" s="82"/>
      <c r="O4366" s="82"/>
      <c r="P4366" s="82"/>
      <c r="Q4366" s="82"/>
      <c r="R4366" s="82"/>
      <c r="S4366" s="82"/>
      <c r="T4366" s="82"/>
      <c r="U4366" s="82"/>
      <c r="V4366" s="82"/>
      <c r="W4366" s="82"/>
      <c r="X4366" s="82"/>
      <c r="Y4366" s="82"/>
      <c r="Z4366" s="82"/>
      <c r="AA4366" s="82"/>
      <c r="AB4366" s="82"/>
      <c r="AC4366" s="82"/>
      <c r="AD4366" s="82"/>
      <c r="AE4366" s="82"/>
      <c r="AF4366" s="82"/>
      <c r="AG4366" s="82"/>
      <c r="AH4366" s="82"/>
      <c r="AI4366" s="82"/>
      <c r="AJ4366" s="82"/>
      <c r="AK4366" s="82"/>
      <c r="AL4366" s="82"/>
      <c r="AM4366" s="82"/>
      <c r="AN4366" s="82"/>
      <c r="AO4366" s="82"/>
      <c r="AP4366" s="82"/>
      <c r="AQ4366" s="82"/>
      <c r="AR4366" s="82"/>
      <c r="AS4366" s="82"/>
      <c r="AT4366" s="82"/>
      <c r="AU4366" s="82"/>
      <c r="AV4366" s="82"/>
      <c r="AW4366" s="82" t="str">
        <f t="shared" si="1"/>
        <v/>
      </c>
      <c r="AX4366" s="83" t="str">
        <f t="array" ref="AX4366">IFERROR(DGET('SBV Import'!A:G,"SBV",{"RSC ID","Tier";B4366,A4366}))</f>
        <v/>
      </c>
      <c r="AY4366" s="82" t="str">
        <f t="shared" si="2"/>
        <v/>
      </c>
      <c r="AZ4366" s="82"/>
      <c r="BA4366" s="84" t="s">
        <v>152</v>
      </c>
      <c r="BB4366" s="84" t="str">
        <f>IFERROR(__xludf.DUMMYFUNCTION("iferror(if(A4366="""",,E4366&gt;=FILTER(Constants!$F$2:$F$10,Constants!$A$2:$A$10=A4366)))"),"")</f>
        <v/>
      </c>
    </row>
    <row r="4367">
      <c r="A4367" s="89"/>
      <c r="B4367" s="87"/>
      <c r="C4367" s="73"/>
      <c r="D4367" s="73"/>
      <c r="E4367" s="82"/>
      <c r="F4367" s="82"/>
      <c r="G4367" s="86"/>
      <c r="H4367" s="86"/>
      <c r="I4367" s="86"/>
      <c r="J4367" s="82"/>
      <c r="K4367" s="82"/>
      <c r="L4367" s="82"/>
      <c r="M4367" s="82"/>
      <c r="N4367" s="82"/>
      <c r="O4367" s="82"/>
      <c r="P4367" s="82"/>
      <c r="Q4367" s="82"/>
      <c r="R4367" s="82"/>
      <c r="S4367" s="82"/>
      <c r="T4367" s="82"/>
      <c r="U4367" s="82"/>
      <c r="V4367" s="82"/>
      <c r="W4367" s="82"/>
      <c r="X4367" s="82"/>
      <c r="Y4367" s="82"/>
      <c r="Z4367" s="82"/>
      <c r="AA4367" s="82"/>
      <c r="AB4367" s="82"/>
      <c r="AC4367" s="82"/>
      <c r="AD4367" s="82"/>
      <c r="AE4367" s="82"/>
      <c r="AF4367" s="82"/>
      <c r="AG4367" s="82"/>
      <c r="AH4367" s="82"/>
      <c r="AI4367" s="82"/>
      <c r="AJ4367" s="82"/>
      <c r="AK4367" s="82"/>
      <c r="AL4367" s="82"/>
      <c r="AM4367" s="82"/>
      <c r="AN4367" s="82"/>
      <c r="AO4367" s="82"/>
      <c r="AP4367" s="82"/>
      <c r="AQ4367" s="82"/>
      <c r="AR4367" s="82"/>
      <c r="AS4367" s="82"/>
      <c r="AT4367" s="82"/>
      <c r="AU4367" s="82"/>
      <c r="AV4367" s="82"/>
      <c r="AW4367" s="82" t="str">
        <f t="shared" si="1"/>
        <v/>
      </c>
      <c r="AX4367" s="83" t="str">
        <f t="array" ref="AX4367">IFERROR(DGET('SBV Import'!A:G,"SBV",{"RSC ID","Tier";B4367,A4367}))</f>
        <v/>
      </c>
      <c r="AY4367" s="82" t="str">
        <f t="shared" si="2"/>
        <v/>
      </c>
      <c r="AZ4367" s="82"/>
      <c r="BA4367" s="84" t="s">
        <v>152</v>
      </c>
      <c r="BB4367" s="84" t="str">
        <f>IFERROR(__xludf.DUMMYFUNCTION("iferror(if(A4367="""",,E4367&gt;=FILTER(Constants!$F$2:$F$10,Constants!$A$2:$A$10=A4367)))"),"")</f>
        <v/>
      </c>
    </row>
    <row r="4368">
      <c r="A4368" s="89"/>
      <c r="B4368" s="87"/>
      <c r="C4368" s="73"/>
      <c r="D4368" s="73"/>
      <c r="E4368" s="82"/>
      <c r="F4368" s="82"/>
      <c r="G4368" s="86"/>
      <c r="H4368" s="86"/>
      <c r="I4368" s="86"/>
      <c r="J4368" s="82"/>
      <c r="K4368" s="82"/>
      <c r="L4368" s="82"/>
      <c r="M4368" s="82"/>
      <c r="N4368" s="82"/>
      <c r="O4368" s="82"/>
      <c r="P4368" s="82"/>
      <c r="Q4368" s="82"/>
      <c r="R4368" s="82"/>
      <c r="S4368" s="82"/>
      <c r="T4368" s="82"/>
      <c r="U4368" s="82"/>
      <c r="V4368" s="82"/>
      <c r="W4368" s="82"/>
      <c r="X4368" s="82"/>
      <c r="Y4368" s="82"/>
      <c r="Z4368" s="82"/>
      <c r="AA4368" s="82"/>
      <c r="AB4368" s="82"/>
      <c r="AC4368" s="82"/>
      <c r="AD4368" s="82"/>
      <c r="AE4368" s="82"/>
      <c r="AF4368" s="82"/>
      <c r="AG4368" s="82"/>
      <c r="AH4368" s="82"/>
      <c r="AI4368" s="82"/>
      <c r="AJ4368" s="82"/>
      <c r="AK4368" s="82"/>
      <c r="AL4368" s="82"/>
      <c r="AM4368" s="82"/>
      <c r="AN4368" s="82"/>
      <c r="AO4368" s="82"/>
      <c r="AP4368" s="82"/>
      <c r="AQ4368" s="82"/>
      <c r="AR4368" s="82"/>
      <c r="AS4368" s="82"/>
      <c r="AT4368" s="82"/>
      <c r="AU4368" s="82"/>
      <c r="AV4368" s="82"/>
      <c r="AW4368" s="82" t="str">
        <f t="shared" si="1"/>
        <v/>
      </c>
      <c r="AX4368" s="83" t="str">
        <f t="array" ref="AX4368">IFERROR(DGET('SBV Import'!A:G,"SBV",{"RSC ID","Tier";B4368,A4368}))</f>
        <v/>
      </c>
      <c r="AY4368" s="82" t="str">
        <f t="shared" si="2"/>
        <v/>
      </c>
      <c r="AZ4368" s="82"/>
      <c r="BA4368" s="84" t="s">
        <v>152</v>
      </c>
      <c r="BB4368" s="84" t="str">
        <f>IFERROR(__xludf.DUMMYFUNCTION("iferror(if(A4368="""",,E4368&gt;=FILTER(Constants!$F$2:$F$10,Constants!$A$2:$A$10=A4368)))"),"")</f>
        <v/>
      </c>
    </row>
    <row r="4369">
      <c r="A4369" s="89"/>
      <c r="B4369" s="87"/>
      <c r="C4369" s="73"/>
      <c r="D4369" s="73"/>
      <c r="E4369" s="82"/>
      <c r="F4369" s="82"/>
      <c r="G4369" s="86"/>
      <c r="H4369" s="86"/>
      <c r="I4369" s="86"/>
      <c r="J4369" s="82"/>
      <c r="K4369" s="82"/>
      <c r="L4369" s="82"/>
      <c r="M4369" s="82"/>
      <c r="N4369" s="82"/>
      <c r="O4369" s="82"/>
      <c r="P4369" s="82"/>
      <c r="Q4369" s="82"/>
      <c r="R4369" s="82"/>
      <c r="S4369" s="82"/>
      <c r="T4369" s="82"/>
      <c r="U4369" s="82"/>
      <c r="V4369" s="82"/>
      <c r="W4369" s="82"/>
      <c r="X4369" s="82"/>
      <c r="Y4369" s="82"/>
      <c r="Z4369" s="82"/>
      <c r="AA4369" s="82"/>
      <c r="AB4369" s="82"/>
      <c r="AC4369" s="82"/>
      <c r="AD4369" s="82"/>
      <c r="AE4369" s="82"/>
      <c r="AF4369" s="82"/>
      <c r="AG4369" s="82"/>
      <c r="AH4369" s="82"/>
      <c r="AI4369" s="82"/>
      <c r="AJ4369" s="82"/>
      <c r="AK4369" s="82"/>
      <c r="AL4369" s="82"/>
      <c r="AM4369" s="82"/>
      <c r="AN4369" s="82"/>
      <c r="AO4369" s="82"/>
      <c r="AP4369" s="82"/>
      <c r="AQ4369" s="82"/>
      <c r="AR4369" s="82"/>
      <c r="AS4369" s="82"/>
      <c r="AT4369" s="82"/>
      <c r="AU4369" s="82"/>
      <c r="AV4369" s="82"/>
      <c r="AW4369" s="82" t="str">
        <f t="shared" si="1"/>
        <v/>
      </c>
      <c r="AX4369" s="83" t="str">
        <f t="array" ref="AX4369">IFERROR(DGET('SBV Import'!A:G,"SBV",{"RSC ID","Tier";B4369,A4369}))</f>
        <v/>
      </c>
      <c r="AY4369" s="82" t="str">
        <f t="shared" si="2"/>
        <v/>
      </c>
      <c r="AZ4369" s="82"/>
      <c r="BA4369" s="84" t="s">
        <v>152</v>
      </c>
      <c r="BB4369" s="84" t="str">
        <f>IFERROR(__xludf.DUMMYFUNCTION("iferror(if(A4369="""",,E4369&gt;=FILTER(Constants!$F$2:$F$10,Constants!$A$2:$A$10=A4369)))"),"")</f>
        <v/>
      </c>
    </row>
    <row r="4370">
      <c r="A4370" s="89"/>
      <c r="B4370" s="87"/>
      <c r="C4370" s="73"/>
      <c r="D4370" s="73"/>
      <c r="E4370" s="82"/>
      <c r="F4370" s="82"/>
      <c r="G4370" s="86"/>
      <c r="H4370" s="86"/>
      <c r="I4370" s="86"/>
      <c r="J4370" s="82"/>
      <c r="K4370" s="82"/>
      <c r="L4370" s="82"/>
      <c r="M4370" s="82"/>
      <c r="N4370" s="82"/>
      <c r="O4370" s="82"/>
      <c r="P4370" s="82"/>
      <c r="Q4370" s="82"/>
      <c r="R4370" s="82"/>
      <c r="S4370" s="82"/>
      <c r="T4370" s="82"/>
      <c r="U4370" s="82"/>
      <c r="V4370" s="82"/>
      <c r="W4370" s="82"/>
      <c r="X4370" s="82"/>
      <c r="Y4370" s="82"/>
      <c r="Z4370" s="82"/>
      <c r="AA4370" s="82"/>
      <c r="AB4370" s="82"/>
      <c r="AC4370" s="82"/>
      <c r="AD4370" s="82"/>
      <c r="AE4370" s="82"/>
      <c r="AF4370" s="82"/>
      <c r="AG4370" s="82"/>
      <c r="AH4370" s="82"/>
      <c r="AI4370" s="82"/>
      <c r="AJ4370" s="82"/>
      <c r="AK4370" s="82"/>
      <c r="AL4370" s="82"/>
      <c r="AM4370" s="82"/>
      <c r="AN4370" s="82"/>
      <c r="AO4370" s="82"/>
      <c r="AP4370" s="82"/>
      <c r="AQ4370" s="82"/>
      <c r="AR4370" s="82"/>
      <c r="AS4370" s="82"/>
      <c r="AT4370" s="82"/>
      <c r="AU4370" s="82"/>
      <c r="AV4370" s="82"/>
      <c r="AW4370" s="82" t="str">
        <f t="shared" si="1"/>
        <v/>
      </c>
      <c r="AX4370" s="83" t="str">
        <f t="array" ref="AX4370">IFERROR(DGET('SBV Import'!A:G,"SBV",{"RSC ID","Tier";B4370,A4370}))</f>
        <v/>
      </c>
      <c r="AY4370" s="82" t="str">
        <f t="shared" si="2"/>
        <v/>
      </c>
      <c r="AZ4370" s="82"/>
      <c r="BA4370" s="84" t="s">
        <v>152</v>
      </c>
      <c r="BB4370" s="84" t="str">
        <f>IFERROR(__xludf.DUMMYFUNCTION("iferror(if(A4370="""",,E4370&gt;=FILTER(Constants!$F$2:$F$10,Constants!$A$2:$A$10=A4370)))"),"")</f>
        <v/>
      </c>
    </row>
    <row r="4371">
      <c r="A4371" s="89"/>
      <c r="B4371" s="87"/>
      <c r="C4371" s="73"/>
      <c r="D4371" s="73"/>
      <c r="E4371" s="82"/>
      <c r="F4371" s="82"/>
      <c r="G4371" s="86"/>
      <c r="H4371" s="86"/>
      <c r="I4371" s="86"/>
      <c r="J4371" s="82"/>
      <c r="K4371" s="82"/>
      <c r="L4371" s="82"/>
      <c r="M4371" s="82"/>
      <c r="N4371" s="82"/>
      <c r="O4371" s="82"/>
      <c r="P4371" s="82"/>
      <c r="Q4371" s="82"/>
      <c r="R4371" s="82"/>
      <c r="S4371" s="82"/>
      <c r="T4371" s="82"/>
      <c r="U4371" s="82"/>
      <c r="V4371" s="82"/>
      <c r="W4371" s="82"/>
      <c r="X4371" s="82"/>
      <c r="Y4371" s="82"/>
      <c r="Z4371" s="82"/>
      <c r="AA4371" s="82"/>
      <c r="AB4371" s="82"/>
      <c r="AC4371" s="82"/>
      <c r="AD4371" s="82"/>
      <c r="AE4371" s="82"/>
      <c r="AF4371" s="82"/>
      <c r="AG4371" s="82"/>
      <c r="AH4371" s="82"/>
      <c r="AI4371" s="82"/>
      <c r="AJ4371" s="82"/>
      <c r="AK4371" s="82"/>
      <c r="AL4371" s="82"/>
      <c r="AM4371" s="82"/>
      <c r="AN4371" s="82"/>
      <c r="AO4371" s="82"/>
      <c r="AP4371" s="82"/>
      <c r="AQ4371" s="82"/>
      <c r="AR4371" s="82"/>
      <c r="AS4371" s="82"/>
      <c r="AT4371" s="82"/>
      <c r="AU4371" s="82"/>
      <c r="AV4371" s="82"/>
      <c r="AW4371" s="82" t="str">
        <f t="shared" si="1"/>
        <v/>
      </c>
      <c r="AX4371" s="83" t="str">
        <f t="array" ref="AX4371">IFERROR(DGET('SBV Import'!A:G,"SBV",{"RSC ID","Tier";B4371,A4371}))</f>
        <v/>
      </c>
      <c r="AY4371" s="82" t="str">
        <f t="shared" si="2"/>
        <v/>
      </c>
      <c r="AZ4371" s="82"/>
      <c r="BA4371" s="84" t="s">
        <v>152</v>
      </c>
      <c r="BB4371" s="84" t="str">
        <f>IFERROR(__xludf.DUMMYFUNCTION("iferror(if(A4371="""",,E4371&gt;=FILTER(Constants!$F$2:$F$10,Constants!$A$2:$A$10=A4371)))"),"")</f>
        <v/>
      </c>
    </row>
    <row r="4372">
      <c r="A4372" s="89"/>
      <c r="B4372" s="87"/>
      <c r="C4372" s="73"/>
      <c r="D4372" s="73"/>
      <c r="E4372" s="82"/>
      <c r="F4372" s="82"/>
      <c r="G4372" s="86"/>
      <c r="H4372" s="86"/>
      <c r="I4372" s="86"/>
      <c r="J4372" s="82"/>
      <c r="K4372" s="82"/>
      <c r="L4372" s="82"/>
      <c r="M4372" s="82"/>
      <c r="N4372" s="82"/>
      <c r="O4372" s="82"/>
      <c r="P4372" s="82"/>
      <c r="Q4372" s="82"/>
      <c r="R4372" s="82"/>
      <c r="S4372" s="82"/>
      <c r="T4372" s="82"/>
      <c r="U4372" s="82"/>
      <c r="V4372" s="82"/>
      <c r="W4372" s="82"/>
      <c r="X4372" s="82"/>
      <c r="Y4372" s="82"/>
      <c r="Z4372" s="82"/>
      <c r="AA4372" s="82"/>
      <c r="AB4372" s="82"/>
      <c r="AC4372" s="82"/>
      <c r="AD4372" s="82"/>
      <c r="AE4372" s="82"/>
      <c r="AF4372" s="82"/>
      <c r="AG4372" s="82"/>
      <c r="AH4372" s="82"/>
      <c r="AI4372" s="82"/>
      <c r="AJ4372" s="82"/>
      <c r="AK4372" s="82"/>
      <c r="AL4372" s="82"/>
      <c r="AM4372" s="82"/>
      <c r="AN4372" s="82"/>
      <c r="AO4372" s="82"/>
      <c r="AP4372" s="82"/>
      <c r="AQ4372" s="82"/>
      <c r="AR4372" s="82"/>
      <c r="AS4372" s="82"/>
      <c r="AT4372" s="82"/>
      <c r="AU4372" s="82"/>
      <c r="AV4372" s="82"/>
      <c r="AW4372" s="82" t="str">
        <f t="shared" si="1"/>
        <v/>
      </c>
      <c r="AX4372" s="83" t="str">
        <f t="array" ref="AX4372">IFERROR(DGET('SBV Import'!A:G,"SBV",{"RSC ID","Tier";B4372,A4372}))</f>
        <v/>
      </c>
      <c r="AY4372" s="82" t="str">
        <f t="shared" si="2"/>
        <v/>
      </c>
      <c r="AZ4372" s="82"/>
      <c r="BA4372" s="84" t="s">
        <v>152</v>
      </c>
      <c r="BB4372" s="84" t="str">
        <f>IFERROR(__xludf.DUMMYFUNCTION("iferror(if(A4372="""",,E4372&gt;=FILTER(Constants!$F$2:$F$10,Constants!$A$2:$A$10=A4372)))"),"")</f>
        <v/>
      </c>
    </row>
    <row r="4373">
      <c r="A4373" s="89"/>
      <c r="B4373" s="87"/>
      <c r="C4373" s="73"/>
      <c r="D4373" s="73"/>
      <c r="E4373" s="82"/>
      <c r="F4373" s="82"/>
      <c r="G4373" s="86"/>
      <c r="H4373" s="86"/>
      <c r="I4373" s="86"/>
      <c r="J4373" s="82"/>
      <c r="K4373" s="82"/>
      <c r="L4373" s="82"/>
      <c r="M4373" s="82"/>
      <c r="N4373" s="82"/>
      <c r="O4373" s="82"/>
      <c r="P4373" s="82"/>
      <c r="Q4373" s="82"/>
      <c r="R4373" s="82"/>
      <c r="S4373" s="82"/>
      <c r="T4373" s="82"/>
      <c r="U4373" s="82"/>
      <c r="V4373" s="82"/>
      <c r="W4373" s="82"/>
      <c r="X4373" s="82"/>
      <c r="Y4373" s="82"/>
      <c r="Z4373" s="82"/>
      <c r="AA4373" s="82"/>
      <c r="AB4373" s="82"/>
      <c r="AC4373" s="82"/>
      <c r="AD4373" s="82"/>
      <c r="AE4373" s="82"/>
      <c r="AF4373" s="82"/>
      <c r="AG4373" s="82"/>
      <c r="AH4373" s="82"/>
      <c r="AI4373" s="82"/>
      <c r="AJ4373" s="82"/>
      <c r="AK4373" s="82"/>
      <c r="AL4373" s="82"/>
      <c r="AM4373" s="82"/>
      <c r="AN4373" s="82"/>
      <c r="AO4373" s="82"/>
      <c r="AP4373" s="82"/>
      <c r="AQ4373" s="82"/>
      <c r="AR4373" s="82"/>
      <c r="AS4373" s="82"/>
      <c r="AT4373" s="82"/>
      <c r="AU4373" s="82"/>
      <c r="AV4373" s="82"/>
      <c r="AW4373" s="82" t="str">
        <f t="shared" si="1"/>
        <v/>
      </c>
      <c r="AX4373" s="83" t="str">
        <f t="array" ref="AX4373">IFERROR(DGET('SBV Import'!A:G,"SBV",{"RSC ID","Tier";B4373,A4373}))</f>
        <v/>
      </c>
      <c r="AY4373" s="82" t="str">
        <f t="shared" si="2"/>
        <v/>
      </c>
      <c r="AZ4373" s="82"/>
      <c r="BA4373" s="84" t="s">
        <v>152</v>
      </c>
      <c r="BB4373" s="84" t="str">
        <f>IFERROR(__xludf.DUMMYFUNCTION("iferror(if(A4373="""",,E4373&gt;=FILTER(Constants!$F$2:$F$10,Constants!$A$2:$A$10=A4373)))"),"")</f>
        <v/>
      </c>
    </row>
    <row r="4374">
      <c r="A4374" s="89"/>
      <c r="B4374" s="87"/>
      <c r="C4374" s="73"/>
      <c r="D4374" s="73"/>
      <c r="E4374" s="82"/>
      <c r="F4374" s="82"/>
      <c r="G4374" s="86"/>
      <c r="H4374" s="86"/>
      <c r="I4374" s="86"/>
      <c r="J4374" s="82"/>
      <c r="K4374" s="82"/>
      <c r="L4374" s="82"/>
      <c r="M4374" s="82"/>
      <c r="N4374" s="82"/>
      <c r="O4374" s="82"/>
      <c r="P4374" s="82"/>
      <c r="Q4374" s="82"/>
      <c r="R4374" s="82"/>
      <c r="S4374" s="82"/>
      <c r="T4374" s="82"/>
      <c r="U4374" s="82"/>
      <c r="V4374" s="82"/>
      <c r="W4374" s="82"/>
      <c r="X4374" s="82"/>
      <c r="Y4374" s="82"/>
      <c r="Z4374" s="82"/>
      <c r="AA4374" s="82"/>
      <c r="AB4374" s="82"/>
      <c r="AC4374" s="82"/>
      <c r="AD4374" s="82"/>
      <c r="AE4374" s="82"/>
      <c r="AF4374" s="82"/>
      <c r="AG4374" s="82"/>
      <c r="AH4374" s="82"/>
      <c r="AI4374" s="82"/>
      <c r="AJ4374" s="82"/>
      <c r="AK4374" s="82"/>
      <c r="AL4374" s="82"/>
      <c r="AM4374" s="82"/>
      <c r="AN4374" s="82"/>
      <c r="AO4374" s="82"/>
      <c r="AP4374" s="82"/>
      <c r="AQ4374" s="82"/>
      <c r="AR4374" s="82"/>
      <c r="AS4374" s="82"/>
      <c r="AT4374" s="82"/>
      <c r="AU4374" s="82"/>
      <c r="AV4374" s="82"/>
      <c r="AW4374" s="82" t="str">
        <f t="shared" si="1"/>
        <v/>
      </c>
      <c r="AX4374" s="83" t="str">
        <f t="array" ref="AX4374">IFERROR(DGET('SBV Import'!A:G,"SBV",{"RSC ID","Tier";B4374,A4374}))</f>
        <v/>
      </c>
      <c r="AY4374" s="82" t="str">
        <f t="shared" si="2"/>
        <v/>
      </c>
      <c r="AZ4374" s="82"/>
      <c r="BA4374" s="84" t="s">
        <v>152</v>
      </c>
      <c r="BB4374" s="84" t="str">
        <f>IFERROR(__xludf.DUMMYFUNCTION("iferror(if(A4374="""",,E4374&gt;=FILTER(Constants!$F$2:$F$10,Constants!$A$2:$A$10=A4374)))"),"")</f>
        <v/>
      </c>
    </row>
    <row r="4375">
      <c r="A4375" s="89"/>
      <c r="B4375" s="87"/>
      <c r="C4375" s="73"/>
      <c r="D4375" s="73"/>
      <c r="E4375" s="82"/>
      <c r="F4375" s="82"/>
      <c r="G4375" s="86"/>
      <c r="H4375" s="86"/>
      <c r="I4375" s="86"/>
      <c r="J4375" s="82"/>
      <c r="K4375" s="82"/>
      <c r="L4375" s="82"/>
      <c r="M4375" s="82"/>
      <c r="N4375" s="82"/>
      <c r="O4375" s="82"/>
      <c r="P4375" s="82"/>
      <c r="Q4375" s="82"/>
      <c r="R4375" s="82"/>
      <c r="S4375" s="82"/>
      <c r="T4375" s="82"/>
      <c r="U4375" s="82"/>
      <c r="V4375" s="82"/>
      <c r="W4375" s="82"/>
      <c r="X4375" s="82"/>
      <c r="Y4375" s="82"/>
      <c r="Z4375" s="82"/>
      <c r="AA4375" s="82"/>
      <c r="AB4375" s="82"/>
      <c r="AC4375" s="82"/>
      <c r="AD4375" s="82"/>
      <c r="AE4375" s="82"/>
      <c r="AF4375" s="82"/>
      <c r="AG4375" s="82"/>
      <c r="AH4375" s="82"/>
      <c r="AI4375" s="82"/>
      <c r="AJ4375" s="82"/>
      <c r="AK4375" s="82"/>
      <c r="AL4375" s="82"/>
      <c r="AM4375" s="82"/>
      <c r="AN4375" s="82"/>
      <c r="AO4375" s="82"/>
      <c r="AP4375" s="82"/>
      <c r="AQ4375" s="82"/>
      <c r="AR4375" s="82"/>
      <c r="AS4375" s="82"/>
      <c r="AT4375" s="82"/>
      <c r="AU4375" s="82"/>
      <c r="AV4375" s="82"/>
      <c r="AW4375" s="82" t="str">
        <f t="shared" si="1"/>
        <v/>
      </c>
      <c r="AX4375" s="83" t="str">
        <f t="array" ref="AX4375">IFERROR(DGET('SBV Import'!A:G,"SBV",{"RSC ID","Tier";B4375,A4375}))</f>
        <v/>
      </c>
      <c r="AY4375" s="82" t="str">
        <f t="shared" si="2"/>
        <v/>
      </c>
      <c r="AZ4375" s="82"/>
      <c r="BA4375" s="84" t="s">
        <v>152</v>
      </c>
      <c r="BB4375" s="84" t="str">
        <f>IFERROR(__xludf.DUMMYFUNCTION("iferror(if(A4375="""",,E4375&gt;=FILTER(Constants!$F$2:$F$10,Constants!$A$2:$A$10=A4375)))"),"")</f>
        <v/>
      </c>
    </row>
    <row r="4376">
      <c r="A4376" s="89"/>
      <c r="B4376" s="87"/>
      <c r="C4376" s="73"/>
      <c r="D4376" s="73"/>
      <c r="E4376" s="82"/>
      <c r="F4376" s="82"/>
      <c r="G4376" s="86"/>
      <c r="H4376" s="86"/>
      <c r="I4376" s="86"/>
      <c r="J4376" s="82"/>
      <c r="K4376" s="82"/>
      <c r="L4376" s="82"/>
      <c r="M4376" s="82"/>
      <c r="N4376" s="82"/>
      <c r="O4376" s="82"/>
      <c r="P4376" s="82"/>
      <c r="Q4376" s="82"/>
      <c r="R4376" s="82"/>
      <c r="S4376" s="82"/>
      <c r="T4376" s="82"/>
      <c r="U4376" s="82"/>
      <c r="V4376" s="82"/>
      <c r="W4376" s="82"/>
      <c r="X4376" s="82"/>
      <c r="Y4376" s="82"/>
      <c r="Z4376" s="82"/>
      <c r="AA4376" s="82"/>
      <c r="AB4376" s="82"/>
      <c r="AC4376" s="82"/>
      <c r="AD4376" s="82"/>
      <c r="AE4376" s="82"/>
      <c r="AF4376" s="82"/>
      <c r="AG4376" s="82"/>
      <c r="AH4376" s="82"/>
      <c r="AI4376" s="82"/>
      <c r="AJ4376" s="82"/>
      <c r="AK4376" s="82"/>
      <c r="AL4376" s="82"/>
      <c r="AM4376" s="82"/>
      <c r="AN4376" s="82"/>
      <c r="AO4376" s="82"/>
      <c r="AP4376" s="82"/>
      <c r="AQ4376" s="82"/>
      <c r="AR4376" s="82"/>
      <c r="AS4376" s="82"/>
      <c r="AT4376" s="82"/>
      <c r="AU4376" s="82"/>
      <c r="AV4376" s="82"/>
      <c r="AW4376" s="82" t="str">
        <f t="shared" si="1"/>
        <v/>
      </c>
      <c r="AX4376" s="83" t="str">
        <f t="array" ref="AX4376">IFERROR(DGET('SBV Import'!A:G,"SBV",{"RSC ID","Tier";B4376,A4376}))</f>
        <v/>
      </c>
      <c r="AY4376" s="82" t="str">
        <f t="shared" si="2"/>
        <v/>
      </c>
      <c r="AZ4376" s="82"/>
      <c r="BA4376" s="84" t="s">
        <v>152</v>
      </c>
      <c r="BB4376" s="84" t="str">
        <f>IFERROR(__xludf.DUMMYFUNCTION("iferror(if(A4376="""",,E4376&gt;=FILTER(Constants!$F$2:$F$10,Constants!$A$2:$A$10=A4376)))"),"")</f>
        <v/>
      </c>
    </row>
    <row r="4377">
      <c r="A4377" s="89"/>
      <c r="B4377" s="87"/>
      <c r="C4377" s="73"/>
      <c r="D4377" s="73"/>
      <c r="E4377" s="82"/>
      <c r="F4377" s="82"/>
      <c r="G4377" s="86"/>
      <c r="H4377" s="86"/>
      <c r="I4377" s="86"/>
      <c r="J4377" s="82"/>
      <c r="K4377" s="82"/>
      <c r="L4377" s="82"/>
      <c r="M4377" s="82"/>
      <c r="N4377" s="82"/>
      <c r="O4377" s="82"/>
      <c r="P4377" s="82"/>
      <c r="Q4377" s="82"/>
      <c r="R4377" s="82"/>
      <c r="S4377" s="82"/>
      <c r="T4377" s="82"/>
      <c r="U4377" s="82"/>
      <c r="V4377" s="82"/>
      <c r="W4377" s="82"/>
      <c r="X4377" s="82"/>
      <c r="Y4377" s="82"/>
      <c r="Z4377" s="82"/>
      <c r="AA4377" s="82"/>
      <c r="AB4377" s="82"/>
      <c r="AC4377" s="82"/>
      <c r="AD4377" s="82"/>
      <c r="AE4377" s="82"/>
      <c r="AF4377" s="82"/>
      <c r="AG4377" s="82"/>
      <c r="AH4377" s="82"/>
      <c r="AI4377" s="82"/>
      <c r="AJ4377" s="82"/>
      <c r="AK4377" s="82"/>
      <c r="AL4377" s="82"/>
      <c r="AM4377" s="82"/>
      <c r="AN4377" s="82"/>
      <c r="AO4377" s="82"/>
      <c r="AP4377" s="82"/>
      <c r="AQ4377" s="82"/>
      <c r="AR4377" s="82"/>
      <c r="AS4377" s="82"/>
      <c r="AT4377" s="82"/>
      <c r="AU4377" s="82"/>
      <c r="AV4377" s="82"/>
      <c r="AW4377" s="82" t="str">
        <f t="shared" si="1"/>
        <v/>
      </c>
      <c r="AX4377" s="83" t="str">
        <f t="array" ref="AX4377">IFERROR(DGET('SBV Import'!A:G,"SBV",{"RSC ID","Tier";B4377,A4377}))</f>
        <v/>
      </c>
      <c r="AY4377" s="82" t="str">
        <f t="shared" si="2"/>
        <v/>
      </c>
      <c r="AZ4377" s="82"/>
      <c r="BA4377" s="84" t="s">
        <v>152</v>
      </c>
      <c r="BB4377" s="84" t="str">
        <f>IFERROR(__xludf.DUMMYFUNCTION("iferror(if(A4377="""",,E4377&gt;=FILTER(Constants!$F$2:$F$10,Constants!$A$2:$A$10=A4377)))"),"")</f>
        <v/>
      </c>
    </row>
    <row r="4378">
      <c r="A4378" s="89"/>
      <c r="B4378" s="87"/>
      <c r="C4378" s="73"/>
      <c r="D4378" s="73"/>
      <c r="E4378" s="82"/>
      <c r="F4378" s="82"/>
      <c r="G4378" s="86"/>
      <c r="H4378" s="86"/>
      <c r="I4378" s="86"/>
      <c r="J4378" s="82"/>
      <c r="K4378" s="82"/>
      <c r="L4378" s="82"/>
      <c r="M4378" s="82"/>
      <c r="N4378" s="82"/>
      <c r="O4378" s="82"/>
      <c r="P4378" s="82"/>
      <c r="Q4378" s="82"/>
      <c r="R4378" s="82"/>
      <c r="S4378" s="82"/>
      <c r="T4378" s="82"/>
      <c r="U4378" s="82"/>
      <c r="V4378" s="82"/>
      <c r="W4378" s="82"/>
      <c r="X4378" s="82"/>
      <c r="Y4378" s="82"/>
      <c r="Z4378" s="82"/>
      <c r="AA4378" s="82"/>
      <c r="AB4378" s="82"/>
      <c r="AC4378" s="82"/>
      <c r="AD4378" s="82"/>
      <c r="AE4378" s="82"/>
      <c r="AF4378" s="82"/>
      <c r="AG4378" s="82"/>
      <c r="AH4378" s="82"/>
      <c r="AI4378" s="82"/>
      <c r="AJ4378" s="82"/>
      <c r="AK4378" s="82"/>
      <c r="AL4378" s="82"/>
      <c r="AM4378" s="82"/>
      <c r="AN4378" s="82"/>
      <c r="AO4378" s="82"/>
      <c r="AP4378" s="82"/>
      <c r="AQ4378" s="82"/>
      <c r="AR4378" s="82"/>
      <c r="AS4378" s="82"/>
      <c r="AT4378" s="82"/>
      <c r="AU4378" s="82"/>
      <c r="AV4378" s="82"/>
      <c r="AW4378" s="82" t="str">
        <f t="shared" si="1"/>
        <v/>
      </c>
      <c r="AX4378" s="83" t="str">
        <f t="array" ref="AX4378">IFERROR(DGET('SBV Import'!A:G,"SBV",{"RSC ID","Tier";B4378,A4378}))</f>
        <v/>
      </c>
      <c r="AY4378" s="82" t="str">
        <f t="shared" si="2"/>
        <v/>
      </c>
      <c r="AZ4378" s="82"/>
      <c r="BA4378" s="84" t="s">
        <v>152</v>
      </c>
      <c r="BB4378" s="84" t="str">
        <f>IFERROR(__xludf.DUMMYFUNCTION("iferror(if(A4378="""",,E4378&gt;=FILTER(Constants!$F$2:$F$10,Constants!$A$2:$A$10=A4378)))"),"")</f>
        <v/>
      </c>
    </row>
    <row r="4379">
      <c r="A4379" s="89"/>
      <c r="B4379" s="87"/>
      <c r="C4379" s="73"/>
      <c r="D4379" s="73"/>
      <c r="E4379" s="82"/>
      <c r="F4379" s="82"/>
      <c r="G4379" s="86"/>
      <c r="H4379" s="86"/>
      <c r="I4379" s="86"/>
      <c r="J4379" s="82"/>
      <c r="K4379" s="82"/>
      <c r="L4379" s="82"/>
      <c r="M4379" s="82"/>
      <c r="N4379" s="82"/>
      <c r="O4379" s="82"/>
      <c r="P4379" s="82"/>
      <c r="Q4379" s="82"/>
      <c r="R4379" s="82"/>
      <c r="S4379" s="82"/>
      <c r="T4379" s="82"/>
      <c r="U4379" s="82"/>
      <c r="V4379" s="82"/>
      <c r="W4379" s="82"/>
      <c r="X4379" s="82"/>
      <c r="Y4379" s="82"/>
      <c r="Z4379" s="82"/>
      <c r="AA4379" s="82"/>
      <c r="AB4379" s="82"/>
      <c r="AC4379" s="82"/>
      <c r="AD4379" s="82"/>
      <c r="AE4379" s="82"/>
      <c r="AF4379" s="82"/>
      <c r="AG4379" s="82"/>
      <c r="AH4379" s="82"/>
      <c r="AI4379" s="82"/>
      <c r="AJ4379" s="82"/>
      <c r="AK4379" s="82"/>
      <c r="AL4379" s="82"/>
      <c r="AM4379" s="82"/>
      <c r="AN4379" s="82"/>
      <c r="AO4379" s="82"/>
      <c r="AP4379" s="82"/>
      <c r="AQ4379" s="82"/>
      <c r="AR4379" s="82"/>
      <c r="AS4379" s="82"/>
      <c r="AT4379" s="82"/>
      <c r="AU4379" s="82"/>
      <c r="AV4379" s="82"/>
      <c r="AW4379" s="82" t="str">
        <f t="shared" si="1"/>
        <v/>
      </c>
      <c r="AX4379" s="83" t="str">
        <f t="array" ref="AX4379">IFERROR(DGET('SBV Import'!A:G,"SBV",{"RSC ID","Tier";B4379,A4379}))</f>
        <v/>
      </c>
      <c r="AY4379" s="82" t="str">
        <f t="shared" si="2"/>
        <v/>
      </c>
      <c r="AZ4379" s="82"/>
      <c r="BA4379" s="84" t="s">
        <v>152</v>
      </c>
      <c r="BB4379" s="84" t="str">
        <f>IFERROR(__xludf.DUMMYFUNCTION("iferror(if(A4379="""",,E4379&gt;=FILTER(Constants!$F$2:$F$10,Constants!$A$2:$A$10=A4379)))"),"")</f>
        <v/>
      </c>
    </row>
    <row r="4380">
      <c r="A4380" s="89"/>
      <c r="B4380" s="87"/>
      <c r="C4380" s="73"/>
      <c r="D4380" s="73"/>
      <c r="E4380" s="82"/>
      <c r="F4380" s="82"/>
      <c r="G4380" s="86"/>
      <c r="H4380" s="86"/>
      <c r="I4380" s="86"/>
      <c r="J4380" s="82"/>
      <c r="K4380" s="82"/>
      <c r="L4380" s="82"/>
      <c r="M4380" s="82"/>
      <c r="N4380" s="82"/>
      <c r="O4380" s="82"/>
      <c r="P4380" s="82"/>
      <c r="Q4380" s="82"/>
      <c r="R4380" s="82"/>
      <c r="S4380" s="82"/>
      <c r="T4380" s="82"/>
      <c r="U4380" s="82"/>
      <c r="V4380" s="82"/>
      <c r="W4380" s="82"/>
      <c r="X4380" s="82"/>
      <c r="Y4380" s="82"/>
      <c r="Z4380" s="82"/>
      <c r="AA4380" s="82"/>
      <c r="AB4380" s="82"/>
      <c r="AC4380" s="82"/>
      <c r="AD4380" s="82"/>
      <c r="AE4380" s="82"/>
      <c r="AF4380" s="82"/>
      <c r="AG4380" s="82"/>
      <c r="AH4380" s="82"/>
      <c r="AI4380" s="82"/>
      <c r="AJ4380" s="82"/>
      <c r="AK4380" s="82"/>
      <c r="AL4380" s="82"/>
      <c r="AM4380" s="82"/>
      <c r="AN4380" s="82"/>
      <c r="AO4380" s="82"/>
      <c r="AP4380" s="82"/>
      <c r="AQ4380" s="82"/>
      <c r="AR4380" s="82"/>
      <c r="AS4380" s="82"/>
      <c r="AT4380" s="82"/>
      <c r="AU4380" s="82"/>
      <c r="AV4380" s="82"/>
      <c r="AW4380" s="82" t="str">
        <f t="shared" si="1"/>
        <v/>
      </c>
      <c r="AX4380" s="83" t="str">
        <f t="array" ref="AX4380">IFERROR(DGET('SBV Import'!A:G,"SBV",{"RSC ID","Tier";B4380,A4380}))</f>
        <v/>
      </c>
      <c r="AY4380" s="82" t="str">
        <f t="shared" si="2"/>
        <v/>
      </c>
      <c r="AZ4380" s="82"/>
      <c r="BA4380" s="84" t="s">
        <v>152</v>
      </c>
      <c r="BB4380" s="84" t="str">
        <f>IFERROR(__xludf.DUMMYFUNCTION("iferror(if(A4380="""",,E4380&gt;=FILTER(Constants!$F$2:$F$10,Constants!$A$2:$A$10=A4380)))"),"")</f>
        <v/>
      </c>
    </row>
    <row r="4381">
      <c r="A4381" s="89"/>
      <c r="B4381" s="87"/>
      <c r="C4381" s="73"/>
      <c r="D4381" s="73"/>
      <c r="E4381" s="82"/>
      <c r="F4381" s="82"/>
      <c r="G4381" s="86"/>
      <c r="H4381" s="86"/>
      <c r="I4381" s="86"/>
      <c r="J4381" s="82"/>
      <c r="K4381" s="82"/>
      <c r="L4381" s="82"/>
      <c r="M4381" s="82"/>
      <c r="N4381" s="82"/>
      <c r="O4381" s="82"/>
      <c r="P4381" s="82"/>
      <c r="Q4381" s="82"/>
      <c r="R4381" s="82"/>
      <c r="S4381" s="82"/>
      <c r="T4381" s="82"/>
      <c r="U4381" s="82"/>
      <c r="V4381" s="82"/>
      <c r="W4381" s="82"/>
      <c r="X4381" s="82"/>
      <c r="Y4381" s="82"/>
      <c r="Z4381" s="82"/>
      <c r="AA4381" s="82"/>
      <c r="AB4381" s="82"/>
      <c r="AC4381" s="82"/>
      <c r="AD4381" s="82"/>
      <c r="AE4381" s="82"/>
      <c r="AF4381" s="82"/>
      <c r="AG4381" s="82"/>
      <c r="AH4381" s="82"/>
      <c r="AI4381" s="82"/>
      <c r="AJ4381" s="82"/>
      <c r="AK4381" s="82"/>
      <c r="AL4381" s="82"/>
      <c r="AM4381" s="82"/>
      <c r="AN4381" s="82"/>
      <c r="AO4381" s="82"/>
      <c r="AP4381" s="82"/>
      <c r="AQ4381" s="82"/>
      <c r="AR4381" s="82"/>
      <c r="AS4381" s="82"/>
      <c r="AT4381" s="82"/>
      <c r="AU4381" s="82"/>
      <c r="AV4381" s="82"/>
      <c r="AW4381" s="82" t="str">
        <f t="shared" si="1"/>
        <v/>
      </c>
      <c r="AX4381" s="83" t="str">
        <f t="array" ref="AX4381">IFERROR(DGET('SBV Import'!A:G,"SBV",{"RSC ID","Tier";B4381,A4381}))</f>
        <v/>
      </c>
      <c r="AY4381" s="82" t="str">
        <f t="shared" si="2"/>
        <v/>
      </c>
      <c r="AZ4381" s="82"/>
      <c r="BA4381" s="84" t="s">
        <v>152</v>
      </c>
      <c r="BB4381" s="84" t="str">
        <f>IFERROR(__xludf.DUMMYFUNCTION("iferror(if(A4381="""",,E4381&gt;=FILTER(Constants!$F$2:$F$10,Constants!$A$2:$A$10=A4381)))"),"")</f>
        <v/>
      </c>
    </row>
    <row r="4382">
      <c r="A4382" s="89"/>
      <c r="B4382" s="87"/>
      <c r="C4382" s="73"/>
      <c r="D4382" s="73"/>
      <c r="E4382" s="82"/>
      <c r="F4382" s="82"/>
      <c r="G4382" s="86"/>
      <c r="H4382" s="86"/>
      <c r="I4382" s="86"/>
      <c r="J4382" s="82"/>
      <c r="K4382" s="82"/>
      <c r="L4382" s="82"/>
      <c r="M4382" s="82"/>
      <c r="N4382" s="82"/>
      <c r="O4382" s="82"/>
      <c r="P4382" s="82"/>
      <c r="Q4382" s="82"/>
      <c r="R4382" s="82"/>
      <c r="S4382" s="82"/>
      <c r="T4382" s="82"/>
      <c r="U4382" s="82"/>
      <c r="V4382" s="82"/>
      <c r="W4382" s="82"/>
      <c r="X4382" s="82"/>
      <c r="Y4382" s="82"/>
      <c r="Z4382" s="82"/>
      <c r="AA4382" s="82"/>
      <c r="AB4382" s="82"/>
      <c r="AC4382" s="82"/>
      <c r="AD4382" s="82"/>
      <c r="AE4382" s="82"/>
      <c r="AF4382" s="82"/>
      <c r="AG4382" s="82"/>
      <c r="AH4382" s="82"/>
      <c r="AI4382" s="82"/>
      <c r="AJ4382" s="82"/>
      <c r="AK4382" s="82"/>
      <c r="AL4382" s="82"/>
      <c r="AM4382" s="82"/>
      <c r="AN4382" s="82"/>
      <c r="AO4382" s="82"/>
      <c r="AP4382" s="82"/>
      <c r="AQ4382" s="82"/>
      <c r="AR4382" s="82"/>
      <c r="AS4382" s="82"/>
      <c r="AT4382" s="82"/>
      <c r="AU4382" s="82"/>
      <c r="AV4382" s="82"/>
      <c r="AW4382" s="82" t="str">
        <f t="shared" si="1"/>
        <v/>
      </c>
      <c r="AX4382" s="83" t="str">
        <f t="array" ref="AX4382">IFERROR(DGET('SBV Import'!A:G,"SBV",{"RSC ID","Tier";B4382,A4382}))</f>
        <v/>
      </c>
      <c r="AY4382" s="82" t="str">
        <f t="shared" si="2"/>
        <v/>
      </c>
      <c r="AZ4382" s="82"/>
      <c r="BA4382" s="84" t="s">
        <v>152</v>
      </c>
      <c r="BB4382" s="84" t="str">
        <f>IFERROR(__xludf.DUMMYFUNCTION("iferror(if(A4382="""",,E4382&gt;=FILTER(Constants!$F$2:$F$10,Constants!$A$2:$A$10=A4382)))"),"")</f>
        <v/>
      </c>
    </row>
    <row r="4383">
      <c r="A4383" s="89"/>
      <c r="B4383" s="87"/>
      <c r="C4383" s="73"/>
      <c r="D4383" s="73"/>
      <c r="E4383" s="82"/>
      <c r="F4383" s="82"/>
      <c r="G4383" s="86"/>
      <c r="H4383" s="86"/>
      <c r="I4383" s="86"/>
      <c r="J4383" s="82"/>
      <c r="K4383" s="82"/>
      <c r="L4383" s="82"/>
      <c r="M4383" s="82"/>
      <c r="N4383" s="82"/>
      <c r="O4383" s="82"/>
      <c r="P4383" s="82"/>
      <c r="Q4383" s="82"/>
      <c r="R4383" s="82"/>
      <c r="S4383" s="82"/>
      <c r="T4383" s="82"/>
      <c r="U4383" s="82"/>
      <c r="V4383" s="82"/>
      <c r="W4383" s="82"/>
      <c r="X4383" s="82"/>
      <c r="Y4383" s="82"/>
      <c r="Z4383" s="82"/>
      <c r="AA4383" s="82"/>
      <c r="AB4383" s="82"/>
      <c r="AC4383" s="82"/>
      <c r="AD4383" s="82"/>
      <c r="AE4383" s="82"/>
      <c r="AF4383" s="82"/>
      <c r="AG4383" s="82"/>
      <c r="AH4383" s="82"/>
      <c r="AI4383" s="82"/>
      <c r="AJ4383" s="82"/>
      <c r="AK4383" s="82"/>
      <c r="AL4383" s="82"/>
      <c r="AM4383" s="82"/>
      <c r="AN4383" s="82"/>
      <c r="AO4383" s="82"/>
      <c r="AP4383" s="82"/>
      <c r="AQ4383" s="82"/>
      <c r="AR4383" s="82"/>
      <c r="AS4383" s="82"/>
      <c r="AT4383" s="82"/>
      <c r="AU4383" s="82"/>
      <c r="AV4383" s="82"/>
      <c r="AW4383" s="82" t="str">
        <f t="shared" si="1"/>
        <v/>
      </c>
      <c r="AX4383" s="83" t="str">
        <f t="array" ref="AX4383">IFERROR(DGET('SBV Import'!A:G,"SBV",{"RSC ID","Tier";B4383,A4383}))</f>
        <v/>
      </c>
      <c r="AY4383" s="82" t="str">
        <f t="shared" si="2"/>
        <v/>
      </c>
      <c r="AZ4383" s="82"/>
      <c r="BA4383" s="84" t="s">
        <v>152</v>
      </c>
      <c r="BB4383" s="84" t="str">
        <f>IFERROR(__xludf.DUMMYFUNCTION("iferror(if(A4383="""",,E4383&gt;=FILTER(Constants!$F$2:$F$10,Constants!$A$2:$A$10=A4383)))"),"")</f>
        <v/>
      </c>
    </row>
    <row r="4384">
      <c r="A4384" s="89"/>
      <c r="B4384" s="87"/>
      <c r="C4384" s="73"/>
      <c r="D4384" s="73"/>
      <c r="E4384" s="82"/>
      <c r="F4384" s="82"/>
      <c r="G4384" s="86"/>
      <c r="H4384" s="86"/>
      <c r="I4384" s="86"/>
      <c r="J4384" s="82"/>
      <c r="K4384" s="82"/>
      <c r="L4384" s="82"/>
      <c r="M4384" s="82"/>
      <c r="N4384" s="82"/>
      <c r="O4384" s="82"/>
      <c r="P4384" s="82"/>
      <c r="Q4384" s="82"/>
      <c r="R4384" s="82"/>
      <c r="S4384" s="82"/>
      <c r="T4384" s="82"/>
      <c r="U4384" s="82"/>
      <c r="V4384" s="82"/>
      <c r="W4384" s="82"/>
      <c r="X4384" s="82"/>
      <c r="Y4384" s="82"/>
      <c r="Z4384" s="82"/>
      <c r="AA4384" s="82"/>
      <c r="AB4384" s="82"/>
      <c r="AC4384" s="82"/>
      <c r="AD4384" s="82"/>
      <c r="AE4384" s="82"/>
      <c r="AF4384" s="82"/>
      <c r="AG4384" s="82"/>
      <c r="AH4384" s="82"/>
      <c r="AI4384" s="82"/>
      <c r="AJ4384" s="82"/>
      <c r="AK4384" s="82"/>
      <c r="AL4384" s="82"/>
      <c r="AM4384" s="82"/>
      <c r="AN4384" s="82"/>
      <c r="AO4384" s="82"/>
      <c r="AP4384" s="82"/>
      <c r="AQ4384" s="82"/>
      <c r="AR4384" s="82"/>
      <c r="AS4384" s="82"/>
      <c r="AT4384" s="82"/>
      <c r="AU4384" s="82"/>
      <c r="AV4384" s="82"/>
      <c r="AW4384" s="82" t="str">
        <f t="shared" si="1"/>
        <v/>
      </c>
      <c r="AX4384" s="83" t="str">
        <f t="array" ref="AX4384">IFERROR(DGET('SBV Import'!A:G,"SBV",{"RSC ID","Tier";B4384,A4384}))</f>
        <v/>
      </c>
      <c r="AY4384" s="82" t="str">
        <f t="shared" si="2"/>
        <v/>
      </c>
      <c r="AZ4384" s="82"/>
      <c r="BA4384" s="84" t="s">
        <v>152</v>
      </c>
      <c r="BB4384" s="84" t="str">
        <f>IFERROR(__xludf.DUMMYFUNCTION("iferror(if(A4384="""",,E4384&gt;=FILTER(Constants!$F$2:$F$10,Constants!$A$2:$A$10=A4384)))"),"")</f>
        <v/>
      </c>
    </row>
    <row r="4385">
      <c r="A4385" s="89"/>
      <c r="B4385" s="87"/>
      <c r="C4385" s="73"/>
      <c r="D4385" s="73"/>
      <c r="E4385" s="82"/>
      <c r="F4385" s="82"/>
      <c r="G4385" s="86"/>
      <c r="H4385" s="86"/>
      <c r="I4385" s="86"/>
      <c r="J4385" s="82"/>
      <c r="K4385" s="82"/>
      <c r="L4385" s="82"/>
      <c r="M4385" s="82"/>
      <c r="N4385" s="82"/>
      <c r="O4385" s="82"/>
      <c r="P4385" s="82"/>
      <c r="Q4385" s="82"/>
      <c r="R4385" s="82"/>
      <c r="S4385" s="82"/>
      <c r="T4385" s="82"/>
      <c r="U4385" s="82"/>
      <c r="V4385" s="82"/>
      <c r="W4385" s="82"/>
      <c r="X4385" s="82"/>
      <c r="Y4385" s="82"/>
      <c r="Z4385" s="82"/>
      <c r="AA4385" s="82"/>
      <c r="AB4385" s="82"/>
      <c r="AC4385" s="82"/>
      <c r="AD4385" s="82"/>
      <c r="AE4385" s="82"/>
      <c r="AF4385" s="82"/>
      <c r="AG4385" s="82"/>
      <c r="AH4385" s="82"/>
      <c r="AI4385" s="82"/>
      <c r="AJ4385" s="82"/>
      <c r="AK4385" s="82"/>
      <c r="AL4385" s="82"/>
      <c r="AM4385" s="82"/>
      <c r="AN4385" s="82"/>
      <c r="AO4385" s="82"/>
      <c r="AP4385" s="82"/>
      <c r="AQ4385" s="82"/>
      <c r="AR4385" s="82"/>
      <c r="AS4385" s="82"/>
      <c r="AT4385" s="82"/>
      <c r="AU4385" s="82"/>
      <c r="AV4385" s="82"/>
      <c r="AW4385" s="82" t="str">
        <f t="shared" si="1"/>
        <v/>
      </c>
      <c r="AX4385" s="83" t="str">
        <f t="array" ref="AX4385">IFERROR(DGET('SBV Import'!A:G,"SBV",{"RSC ID","Tier";B4385,A4385}))</f>
        <v/>
      </c>
      <c r="AY4385" s="82" t="str">
        <f t="shared" si="2"/>
        <v/>
      </c>
      <c r="AZ4385" s="82"/>
      <c r="BA4385" s="84" t="s">
        <v>152</v>
      </c>
      <c r="BB4385" s="84" t="str">
        <f>IFERROR(__xludf.DUMMYFUNCTION("iferror(if(A4385="""",,E4385&gt;=FILTER(Constants!$F$2:$F$10,Constants!$A$2:$A$10=A4385)))"),"")</f>
        <v/>
      </c>
    </row>
    <row r="4386">
      <c r="A4386" s="89"/>
      <c r="B4386" s="87"/>
      <c r="C4386" s="73"/>
      <c r="D4386" s="73"/>
      <c r="E4386" s="82"/>
      <c r="F4386" s="82"/>
      <c r="G4386" s="86"/>
      <c r="H4386" s="86"/>
      <c r="I4386" s="86"/>
      <c r="J4386" s="82"/>
      <c r="K4386" s="82"/>
      <c r="L4386" s="82"/>
      <c r="M4386" s="82"/>
      <c r="N4386" s="82"/>
      <c r="O4386" s="82"/>
      <c r="P4386" s="82"/>
      <c r="Q4386" s="82"/>
      <c r="R4386" s="82"/>
      <c r="S4386" s="82"/>
      <c r="T4386" s="82"/>
      <c r="U4386" s="82"/>
      <c r="V4386" s="82"/>
      <c r="W4386" s="82"/>
      <c r="X4386" s="82"/>
      <c r="Y4386" s="82"/>
      <c r="Z4386" s="82"/>
      <c r="AA4386" s="82"/>
      <c r="AB4386" s="82"/>
      <c r="AC4386" s="82"/>
      <c r="AD4386" s="82"/>
      <c r="AE4386" s="82"/>
      <c r="AF4386" s="82"/>
      <c r="AG4386" s="82"/>
      <c r="AH4386" s="82"/>
      <c r="AI4386" s="82"/>
      <c r="AJ4386" s="82"/>
      <c r="AK4386" s="82"/>
      <c r="AL4386" s="82"/>
      <c r="AM4386" s="82"/>
      <c r="AN4386" s="82"/>
      <c r="AO4386" s="82"/>
      <c r="AP4386" s="82"/>
      <c r="AQ4386" s="82"/>
      <c r="AR4386" s="82"/>
      <c r="AS4386" s="82"/>
      <c r="AT4386" s="82"/>
      <c r="AU4386" s="82"/>
      <c r="AV4386" s="82"/>
      <c r="AW4386" s="82" t="str">
        <f t="shared" si="1"/>
        <v/>
      </c>
      <c r="AX4386" s="83" t="str">
        <f t="array" ref="AX4386">IFERROR(DGET('SBV Import'!A:G,"SBV",{"RSC ID","Tier";B4386,A4386}))</f>
        <v/>
      </c>
      <c r="AY4386" s="82" t="str">
        <f t="shared" si="2"/>
        <v/>
      </c>
      <c r="AZ4386" s="82"/>
      <c r="BA4386" s="84" t="s">
        <v>152</v>
      </c>
      <c r="BB4386" s="84" t="str">
        <f>IFERROR(__xludf.DUMMYFUNCTION("iferror(if(A4386="""",,E4386&gt;=FILTER(Constants!$F$2:$F$10,Constants!$A$2:$A$10=A4386)))"),"")</f>
        <v/>
      </c>
    </row>
    <row r="4387">
      <c r="A4387" s="89"/>
      <c r="B4387" s="87"/>
      <c r="C4387" s="73"/>
      <c r="D4387" s="73"/>
      <c r="E4387" s="82"/>
      <c r="F4387" s="82"/>
      <c r="G4387" s="86"/>
      <c r="H4387" s="86"/>
      <c r="I4387" s="86"/>
      <c r="J4387" s="82"/>
      <c r="K4387" s="82"/>
      <c r="L4387" s="82"/>
      <c r="M4387" s="82"/>
      <c r="N4387" s="82"/>
      <c r="O4387" s="82"/>
      <c r="P4387" s="82"/>
      <c r="Q4387" s="82"/>
      <c r="R4387" s="82"/>
      <c r="S4387" s="82"/>
      <c r="T4387" s="82"/>
      <c r="U4387" s="82"/>
      <c r="V4387" s="82"/>
      <c r="W4387" s="82"/>
      <c r="X4387" s="82"/>
      <c r="Y4387" s="82"/>
      <c r="Z4387" s="82"/>
      <c r="AA4387" s="82"/>
      <c r="AB4387" s="82"/>
      <c r="AC4387" s="82"/>
      <c r="AD4387" s="82"/>
      <c r="AE4387" s="82"/>
      <c r="AF4387" s="82"/>
      <c r="AG4387" s="82"/>
      <c r="AH4387" s="82"/>
      <c r="AI4387" s="82"/>
      <c r="AJ4387" s="82"/>
      <c r="AK4387" s="82"/>
      <c r="AL4387" s="82"/>
      <c r="AM4387" s="82"/>
      <c r="AN4387" s="82"/>
      <c r="AO4387" s="82"/>
      <c r="AP4387" s="82"/>
      <c r="AQ4387" s="82"/>
      <c r="AR4387" s="82"/>
      <c r="AS4387" s="82"/>
      <c r="AT4387" s="82"/>
      <c r="AU4387" s="82"/>
      <c r="AV4387" s="82"/>
      <c r="AW4387" s="82" t="str">
        <f t="shared" si="1"/>
        <v/>
      </c>
      <c r="AX4387" s="83" t="str">
        <f t="array" ref="AX4387">IFERROR(DGET('SBV Import'!A:G,"SBV",{"RSC ID","Tier";B4387,A4387}))</f>
        <v/>
      </c>
      <c r="AY4387" s="82" t="str">
        <f t="shared" si="2"/>
        <v/>
      </c>
      <c r="AZ4387" s="82"/>
      <c r="BA4387" s="84" t="s">
        <v>152</v>
      </c>
      <c r="BB4387" s="84" t="str">
        <f>IFERROR(__xludf.DUMMYFUNCTION("iferror(if(A4387="""",,E4387&gt;=FILTER(Constants!$F$2:$F$10,Constants!$A$2:$A$10=A4387)))"),"")</f>
        <v/>
      </c>
    </row>
    <row r="4388">
      <c r="A4388" s="89"/>
      <c r="B4388" s="87"/>
      <c r="C4388" s="73"/>
      <c r="D4388" s="73"/>
      <c r="E4388" s="82"/>
      <c r="F4388" s="82"/>
      <c r="G4388" s="86"/>
      <c r="H4388" s="86"/>
      <c r="I4388" s="86"/>
      <c r="J4388" s="82"/>
      <c r="K4388" s="82"/>
      <c r="L4388" s="82"/>
      <c r="M4388" s="82"/>
      <c r="N4388" s="82"/>
      <c r="O4388" s="82"/>
      <c r="P4388" s="82"/>
      <c r="Q4388" s="82"/>
      <c r="R4388" s="82"/>
      <c r="S4388" s="82"/>
      <c r="T4388" s="82"/>
      <c r="U4388" s="82"/>
      <c r="V4388" s="82"/>
      <c r="W4388" s="82"/>
      <c r="X4388" s="82"/>
      <c r="Y4388" s="82"/>
      <c r="Z4388" s="82"/>
      <c r="AA4388" s="82"/>
      <c r="AB4388" s="82"/>
      <c r="AC4388" s="82"/>
      <c r="AD4388" s="82"/>
      <c r="AE4388" s="82"/>
      <c r="AF4388" s="82"/>
      <c r="AG4388" s="82"/>
      <c r="AH4388" s="82"/>
      <c r="AI4388" s="82"/>
      <c r="AJ4388" s="82"/>
      <c r="AK4388" s="82"/>
      <c r="AL4388" s="82"/>
      <c r="AM4388" s="82"/>
      <c r="AN4388" s="82"/>
      <c r="AO4388" s="82"/>
      <c r="AP4388" s="82"/>
      <c r="AQ4388" s="82"/>
      <c r="AR4388" s="82"/>
      <c r="AS4388" s="82"/>
      <c r="AT4388" s="82"/>
      <c r="AU4388" s="82"/>
      <c r="AV4388" s="82"/>
      <c r="AW4388" s="82" t="str">
        <f t="shared" si="1"/>
        <v/>
      </c>
      <c r="AX4388" s="83" t="str">
        <f t="array" ref="AX4388">IFERROR(DGET('SBV Import'!A:G,"SBV",{"RSC ID","Tier";B4388,A4388}))</f>
        <v/>
      </c>
      <c r="AY4388" s="82" t="str">
        <f t="shared" si="2"/>
        <v/>
      </c>
      <c r="AZ4388" s="82"/>
      <c r="BA4388" s="84" t="s">
        <v>152</v>
      </c>
      <c r="BB4388" s="84" t="str">
        <f>IFERROR(__xludf.DUMMYFUNCTION("iferror(if(A4388="""",,E4388&gt;=FILTER(Constants!$F$2:$F$10,Constants!$A$2:$A$10=A4388)))"),"")</f>
        <v/>
      </c>
    </row>
    <row r="4389">
      <c r="A4389" s="89"/>
      <c r="B4389" s="87"/>
      <c r="C4389" s="73"/>
      <c r="D4389" s="73"/>
      <c r="E4389" s="82"/>
      <c r="F4389" s="82"/>
      <c r="G4389" s="86"/>
      <c r="H4389" s="86"/>
      <c r="I4389" s="86"/>
      <c r="J4389" s="82"/>
      <c r="K4389" s="82"/>
      <c r="L4389" s="82"/>
      <c r="M4389" s="82"/>
      <c r="N4389" s="82"/>
      <c r="O4389" s="82"/>
      <c r="P4389" s="82"/>
      <c r="Q4389" s="82"/>
      <c r="R4389" s="82"/>
      <c r="S4389" s="82"/>
      <c r="T4389" s="82"/>
      <c r="U4389" s="82"/>
      <c r="V4389" s="82"/>
      <c r="W4389" s="82"/>
      <c r="X4389" s="82"/>
      <c r="Y4389" s="82"/>
      <c r="Z4389" s="82"/>
      <c r="AA4389" s="82"/>
      <c r="AB4389" s="82"/>
      <c r="AC4389" s="82"/>
      <c r="AD4389" s="82"/>
      <c r="AE4389" s="82"/>
      <c r="AF4389" s="82"/>
      <c r="AG4389" s="82"/>
      <c r="AH4389" s="82"/>
      <c r="AI4389" s="82"/>
      <c r="AJ4389" s="82"/>
      <c r="AK4389" s="82"/>
      <c r="AL4389" s="82"/>
      <c r="AM4389" s="82"/>
      <c r="AN4389" s="82"/>
      <c r="AO4389" s="82"/>
      <c r="AP4389" s="82"/>
      <c r="AQ4389" s="82"/>
      <c r="AR4389" s="82"/>
      <c r="AS4389" s="82"/>
      <c r="AT4389" s="82"/>
      <c r="AU4389" s="82"/>
      <c r="AV4389" s="82"/>
      <c r="AW4389" s="82" t="str">
        <f t="shared" si="1"/>
        <v/>
      </c>
      <c r="AX4389" s="83" t="str">
        <f t="array" ref="AX4389">IFERROR(DGET('SBV Import'!A:G,"SBV",{"RSC ID","Tier";B4389,A4389}))</f>
        <v/>
      </c>
      <c r="AY4389" s="82" t="str">
        <f t="shared" si="2"/>
        <v/>
      </c>
      <c r="AZ4389" s="82"/>
      <c r="BA4389" s="84" t="s">
        <v>152</v>
      </c>
      <c r="BB4389" s="84" t="str">
        <f>IFERROR(__xludf.DUMMYFUNCTION("iferror(if(A4389="""",,E4389&gt;=FILTER(Constants!$F$2:$F$10,Constants!$A$2:$A$10=A4389)))"),"")</f>
        <v/>
      </c>
    </row>
    <row r="4390">
      <c r="A4390" s="89"/>
      <c r="B4390" s="87"/>
      <c r="C4390" s="73"/>
      <c r="D4390" s="73"/>
      <c r="E4390" s="82"/>
      <c r="F4390" s="82"/>
      <c r="G4390" s="86"/>
      <c r="H4390" s="86"/>
      <c r="I4390" s="86"/>
      <c r="J4390" s="82"/>
      <c r="K4390" s="82"/>
      <c r="L4390" s="82"/>
      <c r="M4390" s="82"/>
      <c r="N4390" s="82"/>
      <c r="O4390" s="82"/>
      <c r="P4390" s="82"/>
      <c r="Q4390" s="82"/>
      <c r="R4390" s="82"/>
      <c r="S4390" s="82"/>
      <c r="T4390" s="82"/>
      <c r="U4390" s="82"/>
      <c r="V4390" s="82"/>
      <c r="W4390" s="82"/>
      <c r="X4390" s="82"/>
      <c r="Y4390" s="82"/>
      <c r="Z4390" s="82"/>
      <c r="AA4390" s="82"/>
      <c r="AB4390" s="82"/>
      <c r="AC4390" s="82"/>
      <c r="AD4390" s="82"/>
      <c r="AE4390" s="82"/>
      <c r="AF4390" s="82"/>
      <c r="AG4390" s="82"/>
      <c r="AH4390" s="82"/>
      <c r="AI4390" s="82"/>
      <c r="AJ4390" s="82"/>
      <c r="AK4390" s="82"/>
      <c r="AL4390" s="82"/>
      <c r="AM4390" s="82"/>
      <c r="AN4390" s="82"/>
      <c r="AO4390" s="82"/>
      <c r="AP4390" s="82"/>
      <c r="AQ4390" s="82"/>
      <c r="AR4390" s="82"/>
      <c r="AS4390" s="82"/>
      <c r="AT4390" s="82"/>
      <c r="AU4390" s="82"/>
      <c r="AV4390" s="82"/>
      <c r="AW4390" s="82" t="str">
        <f t="shared" si="1"/>
        <v/>
      </c>
      <c r="AX4390" s="83" t="str">
        <f t="array" ref="AX4390">IFERROR(DGET('SBV Import'!A:G,"SBV",{"RSC ID","Tier";B4390,A4390}))</f>
        <v/>
      </c>
      <c r="AY4390" s="82" t="str">
        <f t="shared" si="2"/>
        <v/>
      </c>
      <c r="AZ4390" s="82"/>
      <c r="BA4390" s="84" t="s">
        <v>152</v>
      </c>
      <c r="BB4390" s="84" t="str">
        <f>IFERROR(__xludf.DUMMYFUNCTION("iferror(if(A4390="""",,E4390&gt;=FILTER(Constants!$F$2:$F$10,Constants!$A$2:$A$10=A4390)))"),"")</f>
        <v/>
      </c>
    </row>
    <row r="4391">
      <c r="A4391" s="89"/>
      <c r="B4391" s="87"/>
      <c r="C4391" s="73"/>
      <c r="D4391" s="73"/>
      <c r="E4391" s="82"/>
      <c r="F4391" s="82"/>
      <c r="G4391" s="86"/>
      <c r="H4391" s="86"/>
      <c r="I4391" s="86"/>
      <c r="J4391" s="82"/>
      <c r="K4391" s="82"/>
      <c r="L4391" s="82"/>
      <c r="M4391" s="82"/>
      <c r="N4391" s="82"/>
      <c r="O4391" s="82"/>
      <c r="P4391" s="82"/>
      <c r="Q4391" s="82"/>
      <c r="R4391" s="82"/>
      <c r="S4391" s="82"/>
      <c r="T4391" s="82"/>
      <c r="U4391" s="82"/>
      <c r="V4391" s="82"/>
      <c r="W4391" s="82"/>
      <c r="X4391" s="82"/>
      <c r="Y4391" s="82"/>
      <c r="Z4391" s="82"/>
      <c r="AA4391" s="82"/>
      <c r="AB4391" s="82"/>
      <c r="AC4391" s="82"/>
      <c r="AD4391" s="82"/>
      <c r="AE4391" s="82"/>
      <c r="AF4391" s="82"/>
      <c r="AG4391" s="82"/>
      <c r="AH4391" s="82"/>
      <c r="AI4391" s="82"/>
      <c r="AJ4391" s="82"/>
      <c r="AK4391" s="82"/>
      <c r="AL4391" s="82"/>
      <c r="AM4391" s="82"/>
      <c r="AN4391" s="82"/>
      <c r="AO4391" s="82"/>
      <c r="AP4391" s="82"/>
      <c r="AQ4391" s="82"/>
      <c r="AR4391" s="82"/>
      <c r="AS4391" s="82"/>
      <c r="AT4391" s="82"/>
      <c r="AU4391" s="82"/>
      <c r="AV4391" s="82"/>
      <c r="AW4391" s="82" t="str">
        <f t="shared" si="1"/>
        <v/>
      </c>
      <c r="AX4391" s="83" t="str">
        <f t="array" ref="AX4391">IFERROR(DGET('SBV Import'!A:G,"SBV",{"RSC ID","Tier";B4391,A4391}))</f>
        <v/>
      </c>
      <c r="AY4391" s="82" t="str">
        <f t="shared" si="2"/>
        <v/>
      </c>
      <c r="AZ4391" s="82"/>
      <c r="BA4391" s="84" t="s">
        <v>152</v>
      </c>
      <c r="BB4391" s="84" t="str">
        <f>IFERROR(__xludf.DUMMYFUNCTION("iferror(if(A4391="""",,E4391&gt;=FILTER(Constants!$F$2:$F$10,Constants!$A$2:$A$10=A4391)))"),"")</f>
        <v/>
      </c>
    </row>
    <row r="4392">
      <c r="A4392" s="89"/>
      <c r="B4392" s="87"/>
      <c r="C4392" s="73"/>
      <c r="D4392" s="73"/>
      <c r="E4392" s="82"/>
      <c r="F4392" s="82"/>
      <c r="G4392" s="86"/>
      <c r="H4392" s="86"/>
      <c r="I4392" s="86"/>
      <c r="J4392" s="82"/>
      <c r="K4392" s="82"/>
      <c r="L4392" s="82"/>
      <c r="M4392" s="82"/>
      <c r="N4392" s="82"/>
      <c r="O4392" s="82"/>
      <c r="P4392" s="82"/>
      <c r="Q4392" s="82"/>
      <c r="R4392" s="82"/>
      <c r="S4392" s="82"/>
      <c r="T4392" s="82"/>
      <c r="U4392" s="82"/>
      <c r="V4392" s="82"/>
      <c r="W4392" s="82"/>
      <c r="X4392" s="82"/>
      <c r="Y4392" s="82"/>
      <c r="Z4392" s="82"/>
      <c r="AA4392" s="82"/>
      <c r="AB4392" s="82"/>
      <c r="AC4392" s="82"/>
      <c r="AD4392" s="82"/>
      <c r="AE4392" s="82"/>
      <c r="AF4392" s="82"/>
      <c r="AG4392" s="82"/>
      <c r="AH4392" s="82"/>
      <c r="AI4392" s="82"/>
      <c r="AJ4392" s="82"/>
      <c r="AK4392" s="82"/>
      <c r="AL4392" s="82"/>
      <c r="AM4392" s="82"/>
      <c r="AN4392" s="82"/>
      <c r="AO4392" s="82"/>
      <c r="AP4392" s="82"/>
      <c r="AQ4392" s="82"/>
      <c r="AR4392" s="82"/>
      <c r="AS4392" s="82"/>
      <c r="AT4392" s="82"/>
      <c r="AU4392" s="82"/>
      <c r="AV4392" s="82"/>
      <c r="AW4392" s="82" t="str">
        <f t="shared" si="1"/>
        <v/>
      </c>
      <c r="AX4392" s="83" t="str">
        <f t="array" ref="AX4392">IFERROR(DGET('SBV Import'!A:G,"SBV",{"RSC ID","Tier";B4392,A4392}))</f>
        <v/>
      </c>
      <c r="AY4392" s="82" t="str">
        <f t="shared" si="2"/>
        <v/>
      </c>
      <c r="AZ4392" s="82"/>
      <c r="BA4392" s="84" t="s">
        <v>152</v>
      </c>
      <c r="BB4392" s="84" t="str">
        <f>IFERROR(__xludf.DUMMYFUNCTION("iferror(if(A4392="""",,E4392&gt;=FILTER(Constants!$F$2:$F$10,Constants!$A$2:$A$10=A4392)))"),"")</f>
        <v/>
      </c>
    </row>
    <row r="4393">
      <c r="A4393" s="89"/>
      <c r="B4393" s="87"/>
      <c r="C4393" s="73"/>
      <c r="D4393" s="73"/>
      <c r="E4393" s="82"/>
      <c r="F4393" s="82"/>
      <c r="G4393" s="86"/>
      <c r="H4393" s="86"/>
      <c r="I4393" s="86"/>
      <c r="J4393" s="82"/>
      <c r="K4393" s="82"/>
      <c r="L4393" s="82"/>
      <c r="M4393" s="82"/>
      <c r="N4393" s="82"/>
      <c r="O4393" s="82"/>
      <c r="P4393" s="82"/>
      <c r="Q4393" s="82"/>
      <c r="R4393" s="82"/>
      <c r="S4393" s="82"/>
      <c r="T4393" s="82"/>
      <c r="U4393" s="82"/>
      <c r="V4393" s="82"/>
      <c r="W4393" s="82"/>
      <c r="X4393" s="82"/>
      <c r="Y4393" s="82"/>
      <c r="Z4393" s="82"/>
      <c r="AA4393" s="82"/>
      <c r="AB4393" s="82"/>
      <c r="AC4393" s="82"/>
      <c r="AD4393" s="82"/>
      <c r="AE4393" s="82"/>
      <c r="AF4393" s="82"/>
      <c r="AG4393" s="82"/>
      <c r="AH4393" s="82"/>
      <c r="AI4393" s="82"/>
      <c r="AJ4393" s="82"/>
      <c r="AK4393" s="82"/>
      <c r="AL4393" s="82"/>
      <c r="AM4393" s="82"/>
      <c r="AN4393" s="82"/>
      <c r="AO4393" s="82"/>
      <c r="AP4393" s="82"/>
      <c r="AQ4393" s="82"/>
      <c r="AR4393" s="82"/>
      <c r="AS4393" s="82"/>
      <c r="AT4393" s="82"/>
      <c r="AU4393" s="82"/>
      <c r="AV4393" s="82"/>
      <c r="AW4393" s="82" t="str">
        <f t="shared" si="1"/>
        <v/>
      </c>
      <c r="AX4393" s="83" t="str">
        <f t="array" ref="AX4393">IFERROR(DGET('SBV Import'!A:G,"SBV",{"RSC ID","Tier";B4393,A4393}))</f>
        <v/>
      </c>
      <c r="AY4393" s="82" t="str">
        <f t="shared" si="2"/>
        <v/>
      </c>
      <c r="AZ4393" s="82"/>
      <c r="BA4393" s="84" t="s">
        <v>152</v>
      </c>
      <c r="BB4393" s="84" t="str">
        <f>IFERROR(__xludf.DUMMYFUNCTION("iferror(if(A4393="""",,E4393&gt;=FILTER(Constants!$F$2:$F$10,Constants!$A$2:$A$10=A4393)))"),"")</f>
        <v/>
      </c>
    </row>
    <row r="4394">
      <c r="A4394" s="89"/>
      <c r="B4394" s="87"/>
      <c r="C4394" s="73"/>
      <c r="D4394" s="73"/>
      <c r="E4394" s="82"/>
      <c r="F4394" s="82"/>
      <c r="G4394" s="86"/>
      <c r="H4394" s="86"/>
      <c r="I4394" s="86"/>
      <c r="J4394" s="82"/>
      <c r="K4394" s="82"/>
      <c r="L4394" s="82"/>
      <c r="M4394" s="82"/>
      <c r="N4394" s="82"/>
      <c r="O4394" s="82"/>
      <c r="P4394" s="82"/>
      <c r="Q4394" s="82"/>
      <c r="R4394" s="82"/>
      <c r="S4394" s="82"/>
      <c r="T4394" s="82"/>
      <c r="U4394" s="82"/>
      <c r="V4394" s="82"/>
      <c r="W4394" s="82"/>
      <c r="X4394" s="82"/>
      <c r="Y4394" s="82"/>
      <c r="Z4394" s="82"/>
      <c r="AA4394" s="82"/>
      <c r="AB4394" s="82"/>
      <c r="AC4394" s="82"/>
      <c r="AD4394" s="82"/>
      <c r="AE4394" s="82"/>
      <c r="AF4394" s="82"/>
      <c r="AG4394" s="82"/>
      <c r="AH4394" s="82"/>
      <c r="AI4394" s="82"/>
      <c r="AJ4394" s="82"/>
      <c r="AK4394" s="82"/>
      <c r="AL4394" s="82"/>
      <c r="AM4394" s="82"/>
      <c r="AN4394" s="82"/>
      <c r="AO4394" s="82"/>
      <c r="AP4394" s="82"/>
      <c r="AQ4394" s="82"/>
      <c r="AR4394" s="82"/>
      <c r="AS4394" s="82"/>
      <c r="AT4394" s="82"/>
      <c r="AU4394" s="82"/>
      <c r="AV4394" s="82"/>
      <c r="AW4394" s="82" t="str">
        <f t="shared" si="1"/>
        <v/>
      </c>
      <c r="AX4394" s="83" t="str">
        <f t="array" ref="AX4394">IFERROR(DGET('SBV Import'!A:G,"SBV",{"RSC ID","Tier";B4394,A4394}))</f>
        <v/>
      </c>
      <c r="AY4394" s="82" t="str">
        <f t="shared" si="2"/>
        <v/>
      </c>
      <c r="AZ4394" s="82"/>
      <c r="BA4394" s="84" t="s">
        <v>152</v>
      </c>
      <c r="BB4394" s="84" t="str">
        <f>IFERROR(__xludf.DUMMYFUNCTION("iferror(if(A4394="""",,E4394&gt;=FILTER(Constants!$F$2:$F$10,Constants!$A$2:$A$10=A4394)))"),"")</f>
        <v/>
      </c>
    </row>
    <row r="4395">
      <c r="A4395" s="89"/>
      <c r="B4395" s="87"/>
      <c r="C4395" s="73"/>
      <c r="D4395" s="73"/>
      <c r="E4395" s="82"/>
      <c r="F4395" s="82"/>
      <c r="G4395" s="86"/>
      <c r="H4395" s="86"/>
      <c r="I4395" s="86"/>
      <c r="J4395" s="82"/>
      <c r="K4395" s="82"/>
      <c r="L4395" s="82"/>
      <c r="M4395" s="82"/>
      <c r="N4395" s="82"/>
      <c r="O4395" s="82"/>
      <c r="P4395" s="82"/>
      <c r="Q4395" s="82"/>
      <c r="R4395" s="82"/>
      <c r="S4395" s="82"/>
      <c r="T4395" s="82"/>
      <c r="U4395" s="82"/>
      <c r="V4395" s="82"/>
      <c r="W4395" s="82"/>
      <c r="X4395" s="82"/>
      <c r="Y4395" s="82"/>
      <c r="Z4395" s="82"/>
      <c r="AA4395" s="82"/>
      <c r="AB4395" s="82"/>
      <c r="AC4395" s="82"/>
      <c r="AD4395" s="82"/>
      <c r="AE4395" s="82"/>
      <c r="AF4395" s="82"/>
      <c r="AG4395" s="82"/>
      <c r="AH4395" s="82"/>
      <c r="AI4395" s="82"/>
      <c r="AJ4395" s="82"/>
      <c r="AK4395" s="82"/>
      <c r="AL4395" s="82"/>
      <c r="AM4395" s="82"/>
      <c r="AN4395" s="82"/>
      <c r="AO4395" s="82"/>
      <c r="AP4395" s="82"/>
      <c r="AQ4395" s="82"/>
      <c r="AR4395" s="82"/>
      <c r="AS4395" s="82"/>
      <c r="AT4395" s="82"/>
      <c r="AU4395" s="82"/>
      <c r="AV4395" s="82"/>
      <c r="AW4395" s="82" t="str">
        <f t="shared" si="1"/>
        <v/>
      </c>
      <c r="AX4395" s="83" t="str">
        <f t="array" ref="AX4395">IFERROR(DGET('SBV Import'!A:G,"SBV",{"RSC ID","Tier";B4395,A4395}))</f>
        <v/>
      </c>
      <c r="AY4395" s="82" t="str">
        <f t="shared" si="2"/>
        <v/>
      </c>
      <c r="AZ4395" s="82"/>
      <c r="BA4395" s="84" t="s">
        <v>152</v>
      </c>
      <c r="BB4395" s="84" t="str">
        <f>IFERROR(__xludf.DUMMYFUNCTION("iferror(if(A4395="""",,E4395&gt;=FILTER(Constants!$F$2:$F$10,Constants!$A$2:$A$10=A4395)))"),"")</f>
        <v/>
      </c>
    </row>
    <row r="4396">
      <c r="A4396" s="89"/>
      <c r="B4396" s="87"/>
      <c r="C4396" s="73"/>
      <c r="D4396" s="73"/>
      <c r="E4396" s="82"/>
      <c r="F4396" s="82"/>
      <c r="G4396" s="86"/>
      <c r="H4396" s="86"/>
      <c r="I4396" s="86"/>
      <c r="J4396" s="82"/>
      <c r="K4396" s="82"/>
      <c r="L4396" s="82"/>
      <c r="M4396" s="82"/>
      <c r="N4396" s="82"/>
      <c r="O4396" s="82"/>
      <c r="P4396" s="82"/>
      <c r="Q4396" s="82"/>
      <c r="R4396" s="82"/>
      <c r="S4396" s="82"/>
      <c r="T4396" s="82"/>
      <c r="U4396" s="82"/>
      <c r="V4396" s="82"/>
      <c r="W4396" s="82"/>
      <c r="X4396" s="82"/>
      <c r="Y4396" s="82"/>
      <c r="Z4396" s="82"/>
      <c r="AA4396" s="82"/>
      <c r="AB4396" s="82"/>
      <c r="AC4396" s="82"/>
      <c r="AD4396" s="82"/>
      <c r="AE4396" s="82"/>
      <c r="AF4396" s="82"/>
      <c r="AG4396" s="82"/>
      <c r="AH4396" s="82"/>
      <c r="AI4396" s="82"/>
      <c r="AJ4396" s="82"/>
      <c r="AK4396" s="82"/>
      <c r="AL4396" s="82"/>
      <c r="AM4396" s="82"/>
      <c r="AN4396" s="82"/>
      <c r="AO4396" s="82"/>
      <c r="AP4396" s="82"/>
      <c r="AQ4396" s="82"/>
      <c r="AR4396" s="82"/>
      <c r="AS4396" s="82"/>
      <c r="AT4396" s="82"/>
      <c r="AU4396" s="82"/>
      <c r="AV4396" s="82"/>
      <c r="AW4396" s="82" t="str">
        <f t="shared" si="1"/>
        <v/>
      </c>
      <c r="AX4396" s="83" t="str">
        <f t="array" ref="AX4396">IFERROR(DGET('SBV Import'!A:G,"SBV",{"RSC ID","Tier";B4396,A4396}))</f>
        <v/>
      </c>
      <c r="AY4396" s="82" t="str">
        <f t="shared" si="2"/>
        <v/>
      </c>
      <c r="AZ4396" s="82"/>
      <c r="BA4396" s="84" t="s">
        <v>152</v>
      </c>
      <c r="BB4396" s="84" t="str">
        <f>IFERROR(__xludf.DUMMYFUNCTION("iferror(if(A4396="""",,E4396&gt;=FILTER(Constants!$F$2:$F$10,Constants!$A$2:$A$10=A4396)))"),"")</f>
        <v/>
      </c>
    </row>
    <row r="4397">
      <c r="A4397" s="89"/>
      <c r="B4397" s="87"/>
      <c r="C4397" s="73"/>
      <c r="D4397" s="73"/>
      <c r="E4397" s="82"/>
      <c r="F4397" s="82"/>
      <c r="G4397" s="86"/>
      <c r="H4397" s="86"/>
      <c r="I4397" s="86"/>
      <c r="J4397" s="82"/>
      <c r="K4397" s="82"/>
      <c r="L4397" s="82"/>
      <c r="M4397" s="82"/>
      <c r="N4397" s="82"/>
      <c r="O4397" s="82"/>
      <c r="P4397" s="82"/>
      <c r="Q4397" s="82"/>
      <c r="R4397" s="82"/>
      <c r="S4397" s="82"/>
      <c r="T4397" s="82"/>
      <c r="U4397" s="82"/>
      <c r="V4397" s="82"/>
      <c r="W4397" s="82"/>
      <c r="X4397" s="82"/>
      <c r="Y4397" s="82"/>
      <c r="Z4397" s="82"/>
      <c r="AA4397" s="82"/>
      <c r="AB4397" s="82"/>
      <c r="AC4397" s="82"/>
      <c r="AD4397" s="82"/>
      <c r="AE4397" s="82"/>
      <c r="AF4397" s="82"/>
      <c r="AG4397" s="82"/>
      <c r="AH4397" s="82"/>
      <c r="AI4397" s="82"/>
      <c r="AJ4397" s="82"/>
      <c r="AK4397" s="82"/>
      <c r="AL4397" s="82"/>
      <c r="AM4397" s="82"/>
      <c r="AN4397" s="82"/>
      <c r="AO4397" s="82"/>
      <c r="AP4397" s="82"/>
      <c r="AQ4397" s="82"/>
      <c r="AR4397" s="82"/>
      <c r="AS4397" s="82"/>
      <c r="AT4397" s="82"/>
      <c r="AU4397" s="82"/>
      <c r="AV4397" s="82"/>
      <c r="AW4397" s="82" t="str">
        <f t="shared" si="1"/>
        <v/>
      </c>
      <c r="AX4397" s="83" t="str">
        <f t="array" ref="AX4397">IFERROR(DGET('SBV Import'!A:G,"SBV",{"RSC ID","Tier";B4397,A4397}))</f>
        <v/>
      </c>
      <c r="AY4397" s="82" t="str">
        <f t="shared" si="2"/>
        <v/>
      </c>
      <c r="AZ4397" s="82"/>
      <c r="BA4397" s="84" t="s">
        <v>152</v>
      </c>
      <c r="BB4397" s="84" t="str">
        <f>IFERROR(__xludf.DUMMYFUNCTION("iferror(if(A4397="""",,E4397&gt;=FILTER(Constants!$F$2:$F$10,Constants!$A$2:$A$10=A4397)))"),"")</f>
        <v/>
      </c>
    </row>
    <row r="4398">
      <c r="A4398" s="89"/>
      <c r="B4398" s="87"/>
      <c r="C4398" s="73"/>
      <c r="D4398" s="73"/>
      <c r="E4398" s="82"/>
      <c r="F4398" s="82"/>
      <c r="G4398" s="86"/>
      <c r="H4398" s="86"/>
      <c r="I4398" s="86"/>
      <c r="J4398" s="82"/>
      <c r="K4398" s="82"/>
      <c r="L4398" s="82"/>
      <c r="M4398" s="82"/>
      <c r="N4398" s="82"/>
      <c r="O4398" s="82"/>
      <c r="P4398" s="82"/>
      <c r="Q4398" s="82"/>
      <c r="R4398" s="82"/>
      <c r="S4398" s="82"/>
      <c r="T4398" s="82"/>
      <c r="U4398" s="82"/>
      <c r="V4398" s="82"/>
      <c r="W4398" s="82"/>
      <c r="X4398" s="82"/>
      <c r="Y4398" s="82"/>
      <c r="Z4398" s="82"/>
      <c r="AA4398" s="82"/>
      <c r="AB4398" s="82"/>
      <c r="AC4398" s="82"/>
      <c r="AD4398" s="82"/>
      <c r="AE4398" s="82"/>
      <c r="AF4398" s="82"/>
      <c r="AG4398" s="82"/>
      <c r="AH4398" s="82"/>
      <c r="AI4398" s="82"/>
      <c r="AJ4398" s="82"/>
      <c r="AK4398" s="82"/>
      <c r="AL4398" s="82"/>
      <c r="AM4398" s="82"/>
      <c r="AN4398" s="82"/>
      <c r="AO4398" s="82"/>
      <c r="AP4398" s="82"/>
      <c r="AQ4398" s="82"/>
      <c r="AR4398" s="82"/>
      <c r="AS4398" s="82"/>
      <c r="AT4398" s="82"/>
      <c r="AU4398" s="82"/>
      <c r="AV4398" s="82"/>
      <c r="AW4398" s="82" t="str">
        <f t="shared" si="1"/>
        <v/>
      </c>
      <c r="AX4398" s="83" t="str">
        <f t="array" ref="AX4398">IFERROR(DGET('SBV Import'!A:G,"SBV",{"RSC ID","Tier";B4398,A4398}))</f>
        <v/>
      </c>
      <c r="AY4398" s="82" t="str">
        <f t="shared" si="2"/>
        <v/>
      </c>
      <c r="AZ4398" s="82"/>
      <c r="BA4398" s="84" t="s">
        <v>152</v>
      </c>
      <c r="BB4398" s="84" t="str">
        <f>IFERROR(__xludf.DUMMYFUNCTION("iferror(if(A4398="""",,E4398&gt;=FILTER(Constants!$F$2:$F$10,Constants!$A$2:$A$10=A4398)))"),"")</f>
        <v/>
      </c>
    </row>
    <row r="4399">
      <c r="A4399" s="89"/>
      <c r="B4399" s="87"/>
      <c r="C4399" s="73"/>
      <c r="D4399" s="73"/>
      <c r="E4399" s="82"/>
      <c r="F4399" s="82"/>
      <c r="G4399" s="86"/>
      <c r="H4399" s="86"/>
      <c r="I4399" s="86"/>
      <c r="J4399" s="82"/>
      <c r="K4399" s="82"/>
      <c r="L4399" s="82"/>
      <c r="M4399" s="82"/>
      <c r="N4399" s="82"/>
      <c r="O4399" s="82"/>
      <c r="P4399" s="82"/>
      <c r="Q4399" s="82"/>
      <c r="R4399" s="82"/>
      <c r="S4399" s="82"/>
      <c r="T4399" s="82"/>
      <c r="U4399" s="82"/>
      <c r="V4399" s="82"/>
      <c r="W4399" s="82"/>
      <c r="X4399" s="82"/>
      <c r="Y4399" s="82"/>
      <c r="Z4399" s="82"/>
      <c r="AA4399" s="82"/>
      <c r="AB4399" s="82"/>
      <c r="AC4399" s="82"/>
      <c r="AD4399" s="82"/>
      <c r="AE4399" s="82"/>
      <c r="AF4399" s="82"/>
      <c r="AG4399" s="82"/>
      <c r="AH4399" s="82"/>
      <c r="AI4399" s="82"/>
      <c r="AJ4399" s="82"/>
      <c r="AK4399" s="82"/>
      <c r="AL4399" s="82"/>
      <c r="AM4399" s="82"/>
      <c r="AN4399" s="82"/>
      <c r="AO4399" s="82"/>
      <c r="AP4399" s="82"/>
      <c r="AQ4399" s="82"/>
      <c r="AR4399" s="82"/>
      <c r="AS4399" s="82"/>
      <c r="AT4399" s="82"/>
      <c r="AU4399" s="82"/>
      <c r="AV4399" s="82"/>
      <c r="AW4399" s="82" t="str">
        <f t="shared" si="1"/>
        <v/>
      </c>
      <c r="AX4399" s="83" t="str">
        <f t="array" ref="AX4399">IFERROR(DGET('SBV Import'!A:G,"SBV",{"RSC ID","Tier";B4399,A4399}))</f>
        <v/>
      </c>
      <c r="AY4399" s="82" t="str">
        <f t="shared" si="2"/>
        <v/>
      </c>
      <c r="AZ4399" s="82"/>
      <c r="BA4399" s="84" t="s">
        <v>152</v>
      </c>
      <c r="BB4399" s="84" t="str">
        <f>IFERROR(__xludf.DUMMYFUNCTION("iferror(if(A4399="""",,E4399&gt;=FILTER(Constants!$F$2:$F$10,Constants!$A$2:$A$10=A4399)))"),"")</f>
        <v/>
      </c>
    </row>
    <row r="4400">
      <c r="A4400" s="89"/>
      <c r="B4400" s="87"/>
      <c r="C4400" s="73"/>
      <c r="D4400" s="73"/>
      <c r="E4400" s="82"/>
      <c r="F4400" s="82"/>
      <c r="G4400" s="86"/>
      <c r="H4400" s="86"/>
      <c r="I4400" s="86"/>
      <c r="J4400" s="82"/>
      <c r="K4400" s="82"/>
      <c r="L4400" s="82"/>
      <c r="M4400" s="82"/>
      <c r="N4400" s="82"/>
      <c r="O4400" s="82"/>
      <c r="P4400" s="82"/>
      <c r="Q4400" s="82"/>
      <c r="R4400" s="82"/>
      <c r="S4400" s="82"/>
      <c r="T4400" s="82"/>
      <c r="U4400" s="82"/>
      <c r="V4400" s="82"/>
      <c r="W4400" s="82"/>
      <c r="X4400" s="82"/>
      <c r="Y4400" s="82"/>
      <c r="Z4400" s="82"/>
      <c r="AA4400" s="82"/>
      <c r="AB4400" s="82"/>
      <c r="AC4400" s="82"/>
      <c r="AD4400" s="82"/>
      <c r="AE4400" s="82"/>
      <c r="AF4400" s="82"/>
      <c r="AG4400" s="82"/>
      <c r="AH4400" s="82"/>
      <c r="AI4400" s="82"/>
      <c r="AJ4400" s="82"/>
      <c r="AK4400" s="82"/>
      <c r="AL4400" s="82"/>
      <c r="AM4400" s="82"/>
      <c r="AN4400" s="82"/>
      <c r="AO4400" s="82"/>
      <c r="AP4400" s="82"/>
      <c r="AQ4400" s="82"/>
      <c r="AR4400" s="82"/>
      <c r="AS4400" s="82"/>
      <c r="AT4400" s="82"/>
      <c r="AU4400" s="82"/>
      <c r="AV4400" s="82"/>
      <c r="AW4400" s="82" t="str">
        <f t="shared" si="1"/>
        <v/>
      </c>
      <c r="AX4400" s="83" t="str">
        <f t="array" ref="AX4400">IFERROR(DGET('SBV Import'!A:G,"SBV",{"RSC ID","Tier";B4400,A4400}))</f>
        <v/>
      </c>
      <c r="AY4400" s="82" t="str">
        <f t="shared" si="2"/>
        <v/>
      </c>
      <c r="AZ4400" s="82"/>
      <c r="BA4400" s="84" t="s">
        <v>152</v>
      </c>
      <c r="BB4400" s="84" t="str">
        <f>IFERROR(__xludf.DUMMYFUNCTION("iferror(if(A4400="""",,E4400&gt;=FILTER(Constants!$F$2:$F$10,Constants!$A$2:$A$10=A4400)))"),"")</f>
        <v/>
      </c>
    </row>
    <row r="4401">
      <c r="A4401" s="89"/>
      <c r="B4401" s="87"/>
      <c r="C4401" s="73"/>
      <c r="D4401" s="73"/>
      <c r="E4401" s="82"/>
      <c r="F4401" s="82"/>
      <c r="G4401" s="86"/>
      <c r="H4401" s="86"/>
      <c r="I4401" s="86"/>
      <c r="J4401" s="82"/>
      <c r="K4401" s="82"/>
      <c r="L4401" s="82"/>
      <c r="M4401" s="82"/>
      <c r="N4401" s="82"/>
      <c r="O4401" s="82"/>
      <c r="P4401" s="82"/>
      <c r="Q4401" s="82"/>
      <c r="R4401" s="82"/>
      <c r="S4401" s="82"/>
      <c r="T4401" s="82"/>
      <c r="U4401" s="82"/>
      <c r="V4401" s="82"/>
      <c r="W4401" s="82"/>
      <c r="X4401" s="82"/>
      <c r="Y4401" s="82"/>
      <c r="Z4401" s="82"/>
      <c r="AA4401" s="82"/>
      <c r="AB4401" s="82"/>
      <c r="AC4401" s="82"/>
      <c r="AD4401" s="82"/>
      <c r="AE4401" s="82"/>
      <c r="AF4401" s="82"/>
      <c r="AG4401" s="82"/>
      <c r="AH4401" s="82"/>
      <c r="AI4401" s="82"/>
      <c r="AJ4401" s="82"/>
      <c r="AK4401" s="82"/>
      <c r="AL4401" s="82"/>
      <c r="AM4401" s="82"/>
      <c r="AN4401" s="82"/>
      <c r="AO4401" s="82"/>
      <c r="AP4401" s="82"/>
      <c r="AQ4401" s="82"/>
      <c r="AR4401" s="82"/>
      <c r="AS4401" s="82"/>
      <c r="AT4401" s="82"/>
      <c r="AU4401" s="82"/>
      <c r="AV4401" s="82"/>
      <c r="AW4401" s="82" t="str">
        <f t="shared" si="1"/>
        <v/>
      </c>
      <c r="AX4401" s="83" t="str">
        <f t="array" ref="AX4401">IFERROR(DGET('SBV Import'!A:G,"SBV",{"RSC ID","Tier";B4401,A4401}))</f>
        <v/>
      </c>
      <c r="AY4401" s="82" t="str">
        <f t="shared" si="2"/>
        <v/>
      </c>
      <c r="AZ4401" s="82"/>
      <c r="BA4401" s="84" t="s">
        <v>152</v>
      </c>
      <c r="BB4401" s="84" t="str">
        <f>IFERROR(__xludf.DUMMYFUNCTION("iferror(if(A4401="""",,E4401&gt;=FILTER(Constants!$F$2:$F$10,Constants!$A$2:$A$10=A4401)))"),"")</f>
        <v/>
      </c>
    </row>
    <row r="4402">
      <c r="A4402" s="89"/>
      <c r="B4402" s="87"/>
      <c r="C4402" s="73"/>
      <c r="D4402" s="73"/>
      <c r="E4402" s="82"/>
      <c r="F4402" s="82"/>
      <c r="G4402" s="86"/>
      <c r="H4402" s="86"/>
      <c r="I4402" s="86"/>
      <c r="J4402" s="82"/>
      <c r="K4402" s="82"/>
      <c r="L4402" s="82"/>
      <c r="M4402" s="82"/>
      <c r="N4402" s="82"/>
      <c r="O4402" s="82"/>
      <c r="P4402" s="82"/>
      <c r="Q4402" s="82"/>
      <c r="R4402" s="82"/>
      <c r="S4402" s="82"/>
      <c r="T4402" s="82"/>
      <c r="U4402" s="82"/>
      <c r="V4402" s="82"/>
      <c r="W4402" s="82"/>
      <c r="X4402" s="82"/>
      <c r="Y4402" s="82"/>
      <c r="Z4402" s="82"/>
      <c r="AA4402" s="82"/>
      <c r="AB4402" s="82"/>
      <c r="AC4402" s="82"/>
      <c r="AD4402" s="82"/>
      <c r="AE4402" s="82"/>
      <c r="AF4402" s="82"/>
      <c r="AG4402" s="82"/>
      <c r="AH4402" s="82"/>
      <c r="AI4402" s="82"/>
      <c r="AJ4402" s="82"/>
      <c r="AK4402" s="82"/>
      <c r="AL4402" s="82"/>
      <c r="AM4402" s="82"/>
      <c r="AN4402" s="82"/>
      <c r="AO4402" s="82"/>
      <c r="AP4402" s="82"/>
      <c r="AQ4402" s="82"/>
      <c r="AR4402" s="82"/>
      <c r="AS4402" s="82"/>
      <c r="AT4402" s="82"/>
      <c r="AU4402" s="82"/>
      <c r="AV4402" s="82"/>
      <c r="AW4402" s="82" t="str">
        <f t="shared" si="1"/>
        <v/>
      </c>
      <c r="AX4402" s="83" t="str">
        <f t="array" ref="AX4402">IFERROR(DGET('SBV Import'!A:G,"SBV",{"RSC ID","Tier";B4402,A4402}))</f>
        <v/>
      </c>
      <c r="AY4402" s="82" t="str">
        <f t="shared" si="2"/>
        <v/>
      </c>
      <c r="AZ4402" s="82"/>
      <c r="BA4402" s="84" t="s">
        <v>152</v>
      </c>
      <c r="BB4402" s="84" t="str">
        <f>IFERROR(__xludf.DUMMYFUNCTION("iferror(if(A4402="""",,E4402&gt;=FILTER(Constants!$F$2:$F$10,Constants!$A$2:$A$10=A4402)))"),"")</f>
        <v/>
      </c>
    </row>
    <row r="4403">
      <c r="A4403" s="89"/>
      <c r="B4403" s="87"/>
      <c r="C4403" s="73"/>
      <c r="D4403" s="73"/>
      <c r="E4403" s="82"/>
      <c r="F4403" s="82"/>
      <c r="G4403" s="86"/>
      <c r="H4403" s="86"/>
      <c r="I4403" s="86"/>
      <c r="J4403" s="82"/>
      <c r="K4403" s="82"/>
      <c r="L4403" s="82"/>
      <c r="M4403" s="82"/>
      <c r="N4403" s="82"/>
      <c r="O4403" s="82"/>
      <c r="P4403" s="82"/>
      <c r="Q4403" s="82"/>
      <c r="R4403" s="82"/>
      <c r="S4403" s="82"/>
      <c r="T4403" s="82"/>
      <c r="U4403" s="82"/>
      <c r="V4403" s="82"/>
      <c r="W4403" s="82"/>
      <c r="X4403" s="82"/>
      <c r="Y4403" s="82"/>
      <c r="Z4403" s="82"/>
      <c r="AA4403" s="82"/>
      <c r="AB4403" s="82"/>
      <c r="AC4403" s="82"/>
      <c r="AD4403" s="82"/>
      <c r="AE4403" s="82"/>
      <c r="AF4403" s="82"/>
      <c r="AG4403" s="82"/>
      <c r="AH4403" s="82"/>
      <c r="AI4403" s="82"/>
      <c r="AJ4403" s="82"/>
      <c r="AK4403" s="82"/>
      <c r="AL4403" s="82"/>
      <c r="AM4403" s="82"/>
      <c r="AN4403" s="82"/>
      <c r="AO4403" s="82"/>
      <c r="AP4403" s="82"/>
      <c r="AQ4403" s="82"/>
      <c r="AR4403" s="82"/>
      <c r="AS4403" s="82"/>
      <c r="AT4403" s="82"/>
      <c r="AU4403" s="82"/>
      <c r="AV4403" s="82"/>
      <c r="AW4403" s="82" t="str">
        <f t="shared" si="1"/>
        <v/>
      </c>
      <c r="AX4403" s="83" t="str">
        <f t="array" ref="AX4403">IFERROR(DGET('SBV Import'!A:G,"SBV",{"RSC ID","Tier";B4403,A4403}))</f>
        <v/>
      </c>
      <c r="AY4403" s="82" t="str">
        <f t="shared" si="2"/>
        <v/>
      </c>
      <c r="AZ4403" s="82"/>
      <c r="BA4403" s="84" t="s">
        <v>152</v>
      </c>
      <c r="BB4403" s="84" t="str">
        <f>IFERROR(__xludf.DUMMYFUNCTION("iferror(if(A4403="""",,E4403&gt;=FILTER(Constants!$F$2:$F$10,Constants!$A$2:$A$10=A4403)))"),"")</f>
        <v/>
      </c>
    </row>
    <row r="4404">
      <c r="A4404" s="89"/>
      <c r="B4404" s="87"/>
      <c r="C4404" s="73"/>
      <c r="D4404" s="73"/>
      <c r="E4404" s="82"/>
      <c r="F4404" s="82"/>
      <c r="G4404" s="86"/>
      <c r="H4404" s="86"/>
      <c r="I4404" s="86"/>
      <c r="J4404" s="82"/>
      <c r="K4404" s="82"/>
      <c r="L4404" s="82"/>
      <c r="M4404" s="82"/>
      <c r="N4404" s="82"/>
      <c r="O4404" s="82"/>
      <c r="P4404" s="82"/>
      <c r="Q4404" s="82"/>
      <c r="R4404" s="82"/>
      <c r="S4404" s="82"/>
      <c r="T4404" s="82"/>
      <c r="U4404" s="82"/>
      <c r="V4404" s="82"/>
      <c r="W4404" s="82"/>
      <c r="X4404" s="82"/>
      <c r="Y4404" s="82"/>
      <c r="Z4404" s="82"/>
      <c r="AA4404" s="82"/>
      <c r="AB4404" s="82"/>
      <c r="AC4404" s="82"/>
      <c r="AD4404" s="82"/>
      <c r="AE4404" s="82"/>
      <c r="AF4404" s="82"/>
      <c r="AG4404" s="82"/>
      <c r="AH4404" s="82"/>
      <c r="AI4404" s="82"/>
      <c r="AJ4404" s="82"/>
      <c r="AK4404" s="82"/>
      <c r="AL4404" s="82"/>
      <c r="AM4404" s="82"/>
      <c r="AN4404" s="82"/>
      <c r="AO4404" s="82"/>
      <c r="AP4404" s="82"/>
      <c r="AQ4404" s="82"/>
      <c r="AR4404" s="82"/>
      <c r="AS4404" s="82"/>
      <c r="AT4404" s="82"/>
      <c r="AU4404" s="82"/>
      <c r="AV4404" s="82"/>
      <c r="AW4404" s="82" t="str">
        <f t="shared" si="1"/>
        <v/>
      </c>
      <c r="AX4404" s="83" t="str">
        <f t="array" ref="AX4404">IFERROR(DGET('SBV Import'!A:G,"SBV",{"RSC ID","Tier";B4404,A4404}))</f>
        <v/>
      </c>
      <c r="AY4404" s="82" t="str">
        <f t="shared" si="2"/>
        <v/>
      </c>
      <c r="AZ4404" s="82"/>
      <c r="BA4404" s="84" t="s">
        <v>152</v>
      </c>
      <c r="BB4404" s="84" t="str">
        <f>IFERROR(__xludf.DUMMYFUNCTION("iferror(if(A4404="""",,E4404&gt;=FILTER(Constants!$F$2:$F$10,Constants!$A$2:$A$10=A4404)))"),"")</f>
        <v/>
      </c>
    </row>
    <row r="4405">
      <c r="A4405" s="89"/>
      <c r="B4405" s="87"/>
      <c r="C4405" s="73"/>
      <c r="D4405" s="73"/>
      <c r="E4405" s="82"/>
      <c r="F4405" s="82"/>
      <c r="G4405" s="86"/>
      <c r="H4405" s="86"/>
      <c r="I4405" s="86"/>
      <c r="J4405" s="82"/>
      <c r="K4405" s="82"/>
      <c r="L4405" s="82"/>
      <c r="M4405" s="82"/>
      <c r="N4405" s="82"/>
      <c r="O4405" s="82"/>
      <c r="P4405" s="82"/>
      <c r="Q4405" s="82"/>
      <c r="R4405" s="82"/>
      <c r="S4405" s="82"/>
      <c r="T4405" s="82"/>
      <c r="U4405" s="82"/>
      <c r="V4405" s="82"/>
      <c r="W4405" s="82"/>
      <c r="X4405" s="82"/>
      <c r="Y4405" s="82"/>
      <c r="Z4405" s="82"/>
      <c r="AA4405" s="82"/>
      <c r="AB4405" s="82"/>
      <c r="AC4405" s="82"/>
      <c r="AD4405" s="82"/>
      <c r="AE4405" s="82"/>
      <c r="AF4405" s="82"/>
      <c r="AG4405" s="82"/>
      <c r="AH4405" s="82"/>
      <c r="AI4405" s="82"/>
      <c r="AJ4405" s="82"/>
      <c r="AK4405" s="82"/>
      <c r="AL4405" s="82"/>
      <c r="AM4405" s="82"/>
      <c r="AN4405" s="82"/>
      <c r="AO4405" s="82"/>
      <c r="AP4405" s="82"/>
      <c r="AQ4405" s="82"/>
      <c r="AR4405" s="82"/>
      <c r="AS4405" s="82"/>
      <c r="AT4405" s="82"/>
      <c r="AU4405" s="82"/>
      <c r="AV4405" s="82"/>
      <c r="AW4405" s="82" t="str">
        <f t="shared" si="1"/>
        <v/>
      </c>
      <c r="AX4405" s="83" t="str">
        <f t="array" ref="AX4405">IFERROR(DGET('SBV Import'!A:G,"SBV",{"RSC ID","Tier";B4405,A4405}))</f>
        <v/>
      </c>
      <c r="AY4405" s="82" t="str">
        <f t="shared" si="2"/>
        <v/>
      </c>
      <c r="AZ4405" s="82"/>
      <c r="BA4405" s="84" t="s">
        <v>152</v>
      </c>
      <c r="BB4405" s="84" t="str">
        <f>IFERROR(__xludf.DUMMYFUNCTION("iferror(if(A4405="""",,E4405&gt;=FILTER(Constants!$F$2:$F$10,Constants!$A$2:$A$10=A4405)))"),"")</f>
        <v/>
      </c>
    </row>
    <row r="4406">
      <c r="A4406" s="89"/>
      <c r="B4406" s="87"/>
      <c r="C4406" s="73"/>
      <c r="D4406" s="73"/>
      <c r="E4406" s="82"/>
      <c r="F4406" s="82"/>
      <c r="G4406" s="86"/>
      <c r="H4406" s="86"/>
      <c r="I4406" s="86"/>
      <c r="J4406" s="82"/>
      <c r="K4406" s="82"/>
      <c r="L4406" s="82"/>
      <c r="M4406" s="82"/>
      <c r="N4406" s="82"/>
      <c r="O4406" s="82"/>
      <c r="P4406" s="82"/>
      <c r="Q4406" s="82"/>
      <c r="R4406" s="82"/>
      <c r="S4406" s="82"/>
      <c r="T4406" s="82"/>
      <c r="U4406" s="82"/>
      <c r="V4406" s="82"/>
      <c r="W4406" s="82"/>
      <c r="X4406" s="82"/>
      <c r="Y4406" s="82"/>
      <c r="Z4406" s="82"/>
      <c r="AA4406" s="82"/>
      <c r="AB4406" s="82"/>
      <c r="AC4406" s="82"/>
      <c r="AD4406" s="82"/>
      <c r="AE4406" s="82"/>
      <c r="AF4406" s="82"/>
      <c r="AG4406" s="82"/>
      <c r="AH4406" s="82"/>
      <c r="AI4406" s="82"/>
      <c r="AJ4406" s="82"/>
      <c r="AK4406" s="82"/>
      <c r="AL4406" s="82"/>
      <c r="AM4406" s="82"/>
      <c r="AN4406" s="82"/>
      <c r="AO4406" s="82"/>
      <c r="AP4406" s="82"/>
      <c r="AQ4406" s="82"/>
      <c r="AR4406" s="82"/>
      <c r="AS4406" s="82"/>
      <c r="AT4406" s="82"/>
      <c r="AU4406" s="82"/>
      <c r="AV4406" s="82"/>
      <c r="AW4406" s="82" t="str">
        <f t="shared" si="1"/>
        <v/>
      </c>
      <c r="AX4406" s="83" t="str">
        <f t="array" ref="AX4406">IFERROR(DGET('SBV Import'!A:G,"SBV",{"RSC ID","Tier";B4406,A4406}))</f>
        <v/>
      </c>
      <c r="AY4406" s="82" t="str">
        <f t="shared" si="2"/>
        <v/>
      </c>
      <c r="AZ4406" s="82"/>
      <c r="BA4406" s="84" t="s">
        <v>152</v>
      </c>
      <c r="BB4406" s="84" t="str">
        <f>IFERROR(__xludf.DUMMYFUNCTION("iferror(if(A4406="""",,E4406&gt;=FILTER(Constants!$F$2:$F$10,Constants!$A$2:$A$10=A4406)))"),"")</f>
        <v/>
      </c>
    </row>
    <row r="4407">
      <c r="A4407" s="89"/>
      <c r="B4407" s="87"/>
      <c r="C4407" s="73"/>
      <c r="D4407" s="73"/>
      <c r="E4407" s="82"/>
      <c r="F4407" s="82"/>
      <c r="G4407" s="86"/>
      <c r="H4407" s="86"/>
      <c r="I4407" s="86"/>
      <c r="J4407" s="82"/>
      <c r="K4407" s="82"/>
      <c r="L4407" s="82"/>
      <c r="M4407" s="82"/>
      <c r="N4407" s="82"/>
      <c r="O4407" s="82"/>
      <c r="P4407" s="82"/>
      <c r="Q4407" s="82"/>
      <c r="R4407" s="82"/>
      <c r="S4407" s="82"/>
      <c r="T4407" s="82"/>
      <c r="U4407" s="82"/>
      <c r="V4407" s="82"/>
      <c r="W4407" s="82"/>
      <c r="X4407" s="82"/>
      <c r="Y4407" s="82"/>
      <c r="Z4407" s="82"/>
      <c r="AA4407" s="82"/>
      <c r="AB4407" s="82"/>
      <c r="AC4407" s="82"/>
      <c r="AD4407" s="82"/>
      <c r="AE4407" s="82"/>
      <c r="AF4407" s="82"/>
      <c r="AG4407" s="82"/>
      <c r="AH4407" s="82"/>
      <c r="AI4407" s="82"/>
      <c r="AJ4407" s="82"/>
      <c r="AK4407" s="82"/>
      <c r="AL4407" s="82"/>
      <c r="AM4407" s="82"/>
      <c r="AN4407" s="82"/>
      <c r="AO4407" s="82"/>
      <c r="AP4407" s="82"/>
      <c r="AQ4407" s="82"/>
      <c r="AR4407" s="82"/>
      <c r="AS4407" s="82"/>
      <c r="AT4407" s="82"/>
      <c r="AU4407" s="82"/>
      <c r="AV4407" s="82"/>
      <c r="AW4407" s="82" t="str">
        <f t="shared" si="1"/>
        <v/>
      </c>
      <c r="AX4407" s="83" t="str">
        <f t="array" ref="AX4407">IFERROR(DGET('SBV Import'!A:G,"SBV",{"RSC ID","Tier";B4407,A4407}))</f>
        <v/>
      </c>
      <c r="AY4407" s="82" t="str">
        <f t="shared" si="2"/>
        <v/>
      </c>
      <c r="AZ4407" s="82"/>
      <c r="BA4407" s="84" t="s">
        <v>152</v>
      </c>
      <c r="BB4407" s="84" t="str">
        <f>IFERROR(__xludf.DUMMYFUNCTION("iferror(if(A4407="""",,E4407&gt;=FILTER(Constants!$F$2:$F$10,Constants!$A$2:$A$10=A4407)))"),"")</f>
        <v/>
      </c>
    </row>
    <row r="4408">
      <c r="A4408" s="89"/>
      <c r="B4408" s="87"/>
      <c r="C4408" s="73"/>
      <c r="D4408" s="73"/>
      <c r="E4408" s="82"/>
      <c r="F4408" s="82"/>
      <c r="G4408" s="86"/>
      <c r="H4408" s="86"/>
      <c r="I4408" s="86"/>
      <c r="J4408" s="82"/>
      <c r="K4408" s="82"/>
      <c r="L4408" s="82"/>
      <c r="M4408" s="82"/>
      <c r="N4408" s="82"/>
      <c r="O4408" s="82"/>
      <c r="P4408" s="82"/>
      <c r="Q4408" s="82"/>
      <c r="R4408" s="82"/>
      <c r="S4408" s="82"/>
      <c r="T4408" s="82"/>
      <c r="U4408" s="82"/>
      <c r="V4408" s="82"/>
      <c r="W4408" s="82"/>
      <c r="X4408" s="82"/>
      <c r="Y4408" s="82"/>
      <c r="Z4408" s="82"/>
      <c r="AA4408" s="82"/>
      <c r="AB4408" s="82"/>
      <c r="AC4408" s="82"/>
      <c r="AD4408" s="82"/>
      <c r="AE4408" s="82"/>
      <c r="AF4408" s="82"/>
      <c r="AG4408" s="82"/>
      <c r="AH4408" s="82"/>
      <c r="AI4408" s="82"/>
      <c r="AJ4408" s="82"/>
      <c r="AK4408" s="82"/>
      <c r="AL4408" s="82"/>
      <c r="AM4408" s="82"/>
      <c r="AN4408" s="82"/>
      <c r="AO4408" s="82"/>
      <c r="AP4408" s="82"/>
      <c r="AQ4408" s="82"/>
      <c r="AR4408" s="82"/>
      <c r="AS4408" s="82"/>
      <c r="AT4408" s="82"/>
      <c r="AU4408" s="82"/>
      <c r="AV4408" s="82"/>
      <c r="AW4408" s="82" t="str">
        <f t="shared" si="1"/>
        <v/>
      </c>
      <c r="AX4408" s="83" t="str">
        <f t="array" ref="AX4408">IFERROR(DGET('SBV Import'!A:G,"SBV",{"RSC ID","Tier";B4408,A4408}))</f>
        <v/>
      </c>
      <c r="AY4408" s="82" t="str">
        <f t="shared" si="2"/>
        <v/>
      </c>
      <c r="AZ4408" s="82"/>
      <c r="BA4408" s="84" t="s">
        <v>152</v>
      </c>
      <c r="BB4408" s="84" t="str">
        <f>IFERROR(__xludf.DUMMYFUNCTION("iferror(if(A4408="""",,E4408&gt;=FILTER(Constants!$F$2:$F$10,Constants!$A$2:$A$10=A4408)))"),"")</f>
        <v/>
      </c>
    </row>
    <row r="4409">
      <c r="A4409" s="89"/>
      <c r="B4409" s="87"/>
      <c r="C4409" s="73"/>
      <c r="D4409" s="73"/>
      <c r="E4409" s="82"/>
      <c r="F4409" s="82"/>
      <c r="G4409" s="86"/>
      <c r="H4409" s="86"/>
      <c r="I4409" s="86"/>
      <c r="J4409" s="82"/>
      <c r="K4409" s="82"/>
      <c r="L4409" s="82"/>
      <c r="M4409" s="82"/>
      <c r="N4409" s="82"/>
      <c r="O4409" s="82"/>
      <c r="P4409" s="82"/>
      <c r="Q4409" s="82"/>
      <c r="R4409" s="82"/>
      <c r="S4409" s="82"/>
      <c r="T4409" s="82"/>
      <c r="U4409" s="82"/>
      <c r="V4409" s="82"/>
      <c r="W4409" s="82"/>
      <c r="X4409" s="82"/>
      <c r="Y4409" s="82"/>
      <c r="Z4409" s="82"/>
      <c r="AA4409" s="82"/>
      <c r="AB4409" s="82"/>
      <c r="AC4409" s="82"/>
      <c r="AD4409" s="82"/>
      <c r="AE4409" s="82"/>
      <c r="AF4409" s="82"/>
      <c r="AG4409" s="82"/>
      <c r="AH4409" s="82"/>
      <c r="AI4409" s="82"/>
      <c r="AJ4409" s="82"/>
      <c r="AK4409" s="82"/>
      <c r="AL4409" s="82"/>
      <c r="AM4409" s="82"/>
      <c r="AN4409" s="82"/>
      <c r="AO4409" s="82"/>
      <c r="AP4409" s="82"/>
      <c r="AQ4409" s="82"/>
      <c r="AR4409" s="82"/>
      <c r="AS4409" s="82"/>
      <c r="AT4409" s="82"/>
      <c r="AU4409" s="82"/>
      <c r="AV4409" s="82"/>
      <c r="AW4409" s="82" t="str">
        <f t="shared" si="1"/>
        <v/>
      </c>
      <c r="AX4409" s="83" t="str">
        <f t="array" ref="AX4409">IFERROR(DGET('SBV Import'!A:G,"SBV",{"RSC ID","Tier";B4409,A4409}))</f>
        <v/>
      </c>
      <c r="AY4409" s="82" t="str">
        <f t="shared" si="2"/>
        <v/>
      </c>
      <c r="AZ4409" s="82"/>
      <c r="BA4409" s="84" t="s">
        <v>152</v>
      </c>
      <c r="BB4409" s="84" t="str">
        <f>IFERROR(__xludf.DUMMYFUNCTION("iferror(if(A4409="""",,E4409&gt;=FILTER(Constants!$F$2:$F$10,Constants!$A$2:$A$10=A4409)))"),"")</f>
        <v/>
      </c>
    </row>
    <row r="4410">
      <c r="A4410" s="89"/>
      <c r="B4410" s="87"/>
      <c r="C4410" s="73"/>
      <c r="D4410" s="73"/>
      <c r="E4410" s="82"/>
      <c r="F4410" s="82"/>
      <c r="G4410" s="86"/>
      <c r="H4410" s="86"/>
      <c r="I4410" s="86"/>
      <c r="J4410" s="82"/>
      <c r="K4410" s="82"/>
      <c r="L4410" s="82"/>
      <c r="M4410" s="82"/>
      <c r="N4410" s="82"/>
      <c r="O4410" s="82"/>
      <c r="P4410" s="82"/>
      <c r="Q4410" s="82"/>
      <c r="R4410" s="82"/>
      <c r="S4410" s="82"/>
      <c r="T4410" s="82"/>
      <c r="U4410" s="82"/>
      <c r="V4410" s="82"/>
      <c r="W4410" s="82"/>
      <c r="X4410" s="82"/>
      <c r="Y4410" s="82"/>
      <c r="Z4410" s="82"/>
      <c r="AA4410" s="82"/>
      <c r="AB4410" s="82"/>
      <c r="AC4410" s="82"/>
      <c r="AD4410" s="82"/>
      <c r="AE4410" s="82"/>
      <c r="AF4410" s="82"/>
      <c r="AG4410" s="82"/>
      <c r="AH4410" s="82"/>
      <c r="AI4410" s="82"/>
      <c r="AJ4410" s="82"/>
      <c r="AK4410" s="82"/>
      <c r="AL4410" s="82"/>
      <c r="AM4410" s="82"/>
      <c r="AN4410" s="82"/>
      <c r="AO4410" s="82"/>
      <c r="AP4410" s="82"/>
      <c r="AQ4410" s="82"/>
      <c r="AR4410" s="82"/>
      <c r="AS4410" s="82"/>
      <c r="AT4410" s="82"/>
      <c r="AU4410" s="82"/>
      <c r="AV4410" s="82"/>
      <c r="AW4410" s="82" t="str">
        <f t="shared" si="1"/>
        <v/>
      </c>
      <c r="AX4410" s="83" t="str">
        <f t="array" ref="AX4410">IFERROR(DGET('SBV Import'!A:G,"SBV",{"RSC ID","Tier";B4410,A4410}))</f>
        <v/>
      </c>
      <c r="AY4410" s="82" t="str">
        <f t="shared" si="2"/>
        <v/>
      </c>
      <c r="AZ4410" s="82"/>
      <c r="BA4410" s="84" t="s">
        <v>152</v>
      </c>
      <c r="BB4410" s="84" t="str">
        <f>IFERROR(__xludf.DUMMYFUNCTION("iferror(if(A4410="""",,E4410&gt;=FILTER(Constants!$F$2:$F$10,Constants!$A$2:$A$10=A4410)))"),"")</f>
        <v/>
      </c>
    </row>
    <row r="4411">
      <c r="A4411" s="89"/>
      <c r="B4411" s="87"/>
      <c r="C4411" s="73"/>
      <c r="D4411" s="73"/>
      <c r="E4411" s="82"/>
      <c r="F4411" s="82"/>
      <c r="G4411" s="86"/>
      <c r="H4411" s="86"/>
      <c r="I4411" s="86"/>
      <c r="J4411" s="82"/>
      <c r="K4411" s="82"/>
      <c r="L4411" s="82"/>
      <c r="M4411" s="82"/>
      <c r="N4411" s="82"/>
      <c r="O4411" s="82"/>
      <c r="P4411" s="82"/>
      <c r="Q4411" s="82"/>
      <c r="R4411" s="82"/>
      <c r="S4411" s="82"/>
      <c r="T4411" s="82"/>
      <c r="U4411" s="82"/>
      <c r="V4411" s="82"/>
      <c r="W4411" s="82"/>
      <c r="X4411" s="82"/>
      <c r="Y4411" s="82"/>
      <c r="Z4411" s="82"/>
      <c r="AA4411" s="82"/>
      <c r="AB4411" s="82"/>
      <c r="AC4411" s="82"/>
      <c r="AD4411" s="82"/>
      <c r="AE4411" s="82"/>
      <c r="AF4411" s="82"/>
      <c r="AG4411" s="82"/>
      <c r="AH4411" s="82"/>
      <c r="AI4411" s="82"/>
      <c r="AJ4411" s="82"/>
      <c r="AK4411" s="82"/>
      <c r="AL4411" s="82"/>
      <c r="AM4411" s="82"/>
      <c r="AN4411" s="82"/>
      <c r="AO4411" s="82"/>
      <c r="AP4411" s="82"/>
      <c r="AQ4411" s="82"/>
      <c r="AR4411" s="82"/>
      <c r="AS4411" s="82"/>
      <c r="AT4411" s="82"/>
      <c r="AU4411" s="82"/>
      <c r="AV4411" s="82"/>
      <c r="AW4411" s="82" t="str">
        <f t="shared" si="1"/>
        <v/>
      </c>
      <c r="AX4411" s="83" t="str">
        <f t="array" ref="AX4411">IFERROR(DGET('SBV Import'!A:G,"SBV",{"RSC ID","Tier";B4411,A4411}))</f>
        <v/>
      </c>
      <c r="AY4411" s="82" t="str">
        <f t="shared" si="2"/>
        <v/>
      </c>
      <c r="AZ4411" s="82"/>
      <c r="BA4411" s="84" t="s">
        <v>152</v>
      </c>
      <c r="BB4411" s="84" t="str">
        <f>IFERROR(__xludf.DUMMYFUNCTION("iferror(if(A4411="""",,E4411&gt;=FILTER(Constants!$F$2:$F$10,Constants!$A$2:$A$10=A4411)))"),"")</f>
        <v/>
      </c>
    </row>
    <row r="4412">
      <c r="A4412" s="89"/>
      <c r="B4412" s="87"/>
      <c r="C4412" s="73"/>
      <c r="D4412" s="73"/>
      <c r="E4412" s="82"/>
      <c r="F4412" s="82"/>
      <c r="G4412" s="86"/>
      <c r="H4412" s="86"/>
      <c r="I4412" s="86"/>
      <c r="J4412" s="82"/>
      <c r="K4412" s="82"/>
      <c r="L4412" s="82"/>
      <c r="M4412" s="82"/>
      <c r="N4412" s="82"/>
      <c r="O4412" s="82"/>
      <c r="P4412" s="82"/>
      <c r="Q4412" s="82"/>
      <c r="R4412" s="82"/>
      <c r="S4412" s="82"/>
      <c r="T4412" s="82"/>
      <c r="U4412" s="82"/>
      <c r="V4412" s="82"/>
      <c r="W4412" s="82"/>
      <c r="X4412" s="82"/>
      <c r="Y4412" s="82"/>
      <c r="Z4412" s="82"/>
      <c r="AA4412" s="82"/>
      <c r="AB4412" s="82"/>
      <c r="AC4412" s="82"/>
      <c r="AD4412" s="82"/>
      <c r="AE4412" s="82"/>
      <c r="AF4412" s="82"/>
      <c r="AG4412" s="82"/>
      <c r="AH4412" s="82"/>
      <c r="AI4412" s="82"/>
      <c r="AJ4412" s="82"/>
      <c r="AK4412" s="82"/>
      <c r="AL4412" s="82"/>
      <c r="AM4412" s="82"/>
      <c r="AN4412" s="82"/>
      <c r="AO4412" s="82"/>
      <c r="AP4412" s="82"/>
      <c r="AQ4412" s="82"/>
      <c r="AR4412" s="82"/>
      <c r="AS4412" s="82"/>
      <c r="AT4412" s="82"/>
      <c r="AU4412" s="82"/>
      <c r="AV4412" s="82"/>
      <c r="AW4412" s="82" t="str">
        <f t="shared" si="1"/>
        <v/>
      </c>
      <c r="AX4412" s="83" t="str">
        <f t="array" ref="AX4412">IFERROR(DGET('SBV Import'!A:G,"SBV",{"RSC ID","Tier";B4412,A4412}))</f>
        <v/>
      </c>
      <c r="AY4412" s="82" t="str">
        <f t="shared" si="2"/>
        <v/>
      </c>
      <c r="AZ4412" s="82"/>
      <c r="BA4412" s="84" t="s">
        <v>152</v>
      </c>
      <c r="BB4412" s="84" t="str">
        <f>IFERROR(__xludf.DUMMYFUNCTION("iferror(if(A4412="""",,E4412&gt;=FILTER(Constants!$F$2:$F$10,Constants!$A$2:$A$10=A4412)))"),"")</f>
        <v/>
      </c>
    </row>
    <row r="4413">
      <c r="A4413" s="89"/>
      <c r="B4413" s="87"/>
      <c r="C4413" s="73"/>
      <c r="D4413" s="73"/>
      <c r="E4413" s="82"/>
      <c r="F4413" s="82"/>
      <c r="G4413" s="86"/>
      <c r="H4413" s="86"/>
      <c r="I4413" s="86"/>
      <c r="J4413" s="82"/>
      <c r="K4413" s="82"/>
      <c r="L4413" s="82"/>
      <c r="M4413" s="82"/>
      <c r="N4413" s="82"/>
      <c r="O4413" s="82"/>
      <c r="P4413" s="82"/>
      <c r="Q4413" s="82"/>
      <c r="R4413" s="82"/>
      <c r="S4413" s="82"/>
      <c r="T4413" s="82"/>
      <c r="U4413" s="82"/>
      <c r="V4413" s="82"/>
      <c r="W4413" s="82"/>
      <c r="X4413" s="82"/>
      <c r="Y4413" s="82"/>
      <c r="Z4413" s="82"/>
      <c r="AA4413" s="82"/>
      <c r="AB4413" s="82"/>
      <c r="AC4413" s="82"/>
      <c r="AD4413" s="82"/>
      <c r="AE4413" s="82"/>
      <c r="AF4413" s="82"/>
      <c r="AG4413" s="82"/>
      <c r="AH4413" s="82"/>
      <c r="AI4413" s="82"/>
      <c r="AJ4413" s="82"/>
      <c r="AK4413" s="82"/>
      <c r="AL4413" s="82"/>
      <c r="AM4413" s="82"/>
      <c r="AN4413" s="82"/>
      <c r="AO4413" s="82"/>
      <c r="AP4413" s="82"/>
      <c r="AQ4413" s="82"/>
      <c r="AR4413" s="82"/>
      <c r="AS4413" s="82"/>
      <c r="AT4413" s="82"/>
      <c r="AU4413" s="82"/>
      <c r="AV4413" s="82"/>
      <c r="AW4413" s="82" t="str">
        <f t="shared" si="1"/>
        <v/>
      </c>
      <c r="AX4413" s="83" t="str">
        <f t="array" ref="AX4413">IFERROR(DGET('SBV Import'!A:G,"SBV",{"RSC ID","Tier";B4413,A4413}))</f>
        <v/>
      </c>
      <c r="AY4413" s="82" t="str">
        <f t="shared" si="2"/>
        <v/>
      </c>
      <c r="AZ4413" s="82"/>
      <c r="BA4413" s="84" t="s">
        <v>152</v>
      </c>
      <c r="BB4413" s="84" t="str">
        <f>IFERROR(__xludf.DUMMYFUNCTION("iferror(if(A4413="""",,E4413&gt;=FILTER(Constants!$F$2:$F$10,Constants!$A$2:$A$10=A4413)))"),"")</f>
        <v/>
      </c>
    </row>
    <row r="4414">
      <c r="A4414" s="89"/>
      <c r="B4414" s="87"/>
      <c r="C4414" s="73"/>
      <c r="D4414" s="73"/>
      <c r="E4414" s="82"/>
      <c r="F4414" s="82"/>
      <c r="G4414" s="86"/>
      <c r="H4414" s="86"/>
      <c r="I4414" s="86"/>
      <c r="J4414" s="82"/>
      <c r="K4414" s="82"/>
      <c r="L4414" s="82"/>
      <c r="M4414" s="82"/>
      <c r="N4414" s="82"/>
      <c r="O4414" s="82"/>
      <c r="P4414" s="82"/>
      <c r="Q4414" s="82"/>
      <c r="R4414" s="82"/>
      <c r="S4414" s="82"/>
      <c r="T4414" s="82"/>
      <c r="U4414" s="82"/>
      <c r="V4414" s="82"/>
      <c r="W4414" s="82"/>
      <c r="X4414" s="82"/>
      <c r="Y4414" s="82"/>
      <c r="Z4414" s="82"/>
      <c r="AA4414" s="82"/>
      <c r="AB4414" s="82"/>
      <c r="AC4414" s="82"/>
      <c r="AD4414" s="82"/>
      <c r="AE4414" s="82"/>
      <c r="AF4414" s="82"/>
      <c r="AG4414" s="82"/>
      <c r="AH4414" s="82"/>
      <c r="AI4414" s="82"/>
      <c r="AJ4414" s="82"/>
      <c r="AK4414" s="82"/>
      <c r="AL4414" s="82"/>
      <c r="AM4414" s="82"/>
      <c r="AN4414" s="82"/>
      <c r="AO4414" s="82"/>
      <c r="AP4414" s="82"/>
      <c r="AQ4414" s="82"/>
      <c r="AR4414" s="82"/>
      <c r="AS4414" s="82"/>
      <c r="AT4414" s="82"/>
      <c r="AU4414" s="82"/>
      <c r="AV4414" s="82"/>
      <c r="AW4414" s="82" t="str">
        <f t="shared" si="1"/>
        <v/>
      </c>
      <c r="AX4414" s="83" t="str">
        <f t="array" ref="AX4414">IFERROR(DGET('SBV Import'!A:G,"SBV",{"RSC ID","Tier";B4414,A4414}))</f>
        <v/>
      </c>
      <c r="AY4414" s="82" t="str">
        <f t="shared" si="2"/>
        <v/>
      </c>
      <c r="AZ4414" s="82"/>
      <c r="BA4414" s="84" t="s">
        <v>152</v>
      </c>
      <c r="BB4414" s="84" t="str">
        <f>IFERROR(__xludf.DUMMYFUNCTION("iferror(if(A4414="""",,E4414&gt;=FILTER(Constants!$F$2:$F$10,Constants!$A$2:$A$10=A4414)))"),"")</f>
        <v/>
      </c>
    </row>
    <row r="4415">
      <c r="A4415" s="89"/>
      <c r="B4415" s="87"/>
      <c r="C4415" s="73"/>
      <c r="D4415" s="73"/>
      <c r="E4415" s="82"/>
      <c r="F4415" s="82"/>
      <c r="G4415" s="86"/>
      <c r="H4415" s="86"/>
      <c r="I4415" s="86"/>
      <c r="J4415" s="82"/>
      <c r="K4415" s="82"/>
      <c r="L4415" s="82"/>
      <c r="M4415" s="82"/>
      <c r="N4415" s="82"/>
      <c r="O4415" s="82"/>
      <c r="P4415" s="82"/>
      <c r="Q4415" s="82"/>
      <c r="R4415" s="82"/>
      <c r="S4415" s="82"/>
      <c r="T4415" s="82"/>
      <c r="U4415" s="82"/>
      <c r="V4415" s="82"/>
      <c r="W4415" s="82"/>
      <c r="X4415" s="82"/>
      <c r="Y4415" s="82"/>
      <c r="Z4415" s="82"/>
      <c r="AA4415" s="82"/>
      <c r="AB4415" s="82"/>
      <c r="AC4415" s="82"/>
      <c r="AD4415" s="82"/>
      <c r="AE4415" s="82"/>
      <c r="AF4415" s="82"/>
      <c r="AG4415" s="82"/>
      <c r="AH4415" s="82"/>
      <c r="AI4415" s="82"/>
      <c r="AJ4415" s="82"/>
      <c r="AK4415" s="82"/>
      <c r="AL4415" s="82"/>
      <c r="AM4415" s="82"/>
      <c r="AN4415" s="82"/>
      <c r="AO4415" s="82"/>
      <c r="AP4415" s="82"/>
      <c r="AQ4415" s="82"/>
      <c r="AR4415" s="82"/>
      <c r="AS4415" s="82"/>
      <c r="AT4415" s="82"/>
      <c r="AU4415" s="82"/>
      <c r="AV4415" s="82"/>
      <c r="AW4415" s="82" t="str">
        <f t="shared" si="1"/>
        <v/>
      </c>
      <c r="AX4415" s="83" t="str">
        <f t="array" ref="AX4415">IFERROR(DGET('SBV Import'!A:G,"SBV",{"RSC ID","Tier";B4415,A4415}))</f>
        <v/>
      </c>
      <c r="AY4415" s="82" t="str">
        <f t="shared" si="2"/>
        <v/>
      </c>
      <c r="AZ4415" s="82"/>
      <c r="BA4415" s="84" t="s">
        <v>152</v>
      </c>
      <c r="BB4415" s="84" t="str">
        <f>IFERROR(__xludf.DUMMYFUNCTION("iferror(if(A4415="""",,E4415&gt;=FILTER(Constants!$F$2:$F$10,Constants!$A$2:$A$10=A4415)))"),"")</f>
        <v/>
      </c>
    </row>
    <row r="4416">
      <c r="A4416" s="89"/>
      <c r="B4416" s="87"/>
      <c r="C4416" s="73"/>
      <c r="D4416" s="73"/>
      <c r="E4416" s="82"/>
      <c r="F4416" s="82"/>
      <c r="G4416" s="86"/>
      <c r="H4416" s="86"/>
      <c r="I4416" s="86"/>
      <c r="J4416" s="82"/>
      <c r="K4416" s="82"/>
      <c r="L4416" s="82"/>
      <c r="M4416" s="82"/>
      <c r="N4416" s="82"/>
      <c r="O4416" s="82"/>
      <c r="P4416" s="82"/>
      <c r="Q4416" s="82"/>
      <c r="R4416" s="82"/>
      <c r="S4416" s="82"/>
      <c r="T4416" s="82"/>
      <c r="U4416" s="82"/>
      <c r="V4416" s="82"/>
      <c r="W4416" s="82"/>
      <c r="X4416" s="82"/>
      <c r="Y4416" s="82"/>
      <c r="Z4416" s="82"/>
      <c r="AA4416" s="82"/>
      <c r="AB4416" s="82"/>
      <c r="AC4416" s="82"/>
      <c r="AD4416" s="82"/>
      <c r="AE4416" s="82"/>
      <c r="AF4416" s="82"/>
      <c r="AG4416" s="82"/>
      <c r="AH4416" s="82"/>
      <c r="AI4416" s="82"/>
      <c r="AJ4416" s="82"/>
      <c r="AK4416" s="82"/>
      <c r="AL4416" s="82"/>
      <c r="AM4416" s="82"/>
      <c r="AN4416" s="82"/>
      <c r="AO4416" s="82"/>
      <c r="AP4416" s="82"/>
      <c r="AQ4416" s="82"/>
      <c r="AR4416" s="82"/>
      <c r="AS4416" s="82"/>
      <c r="AT4416" s="82"/>
      <c r="AU4416" s="82"/>
      <c r="AV4416" s="82"/>
      <c r="AW4416" s="82" t="str">
        <f t="shared" si="1"/>
        <v/>
      </c>
      <c r="AX4416" s="83" t="str">
        <f t="array" ref="AX4416">IFERROR(DGET('SBV Import'!A:G,"SBV",{"RSC ID","Tier";B4416,A4416}))</f>
        <v/>
      </c>
      <c r="AY4416" s="82" t="str">
        <f t="shared" si="2"/>
        <v/>
      </c>
      <c r="AZ4416" s="82"/>
      <c r="BA4416" s="84" t="s">
        <v>152</v>
      </c>
      <c r="BB4416" s="84" t="str">
        <f>IFERROR(__xludf.DUMMYFUNCTION("iferror(if(A4416="""",,E4416&gt;=FILTER(Constants!$F$2:$F$10,Constants!$A$2:$A$10=A4416)))"),"")</f>
        <v/>
      </c>
    </row>
    <row r="4417">
      <c r="A4417" s="89"/>
      <c r="B4417" s="87"/>
      <c r="C4417" s="73"/>
      <c r="D4417" s="73"/>
      <c r="E4417" s="82"/>
      <c r="F4417" s="82"/>
      <c r="G4417" s="86"/>
      <c r="H4417" s="86"/>
      <c r="I4417" s="86"/>
      <c r="J4417" s="82"/>
      <c r="K4417" s="82"/>
      <c r="L4417" s="82"/>
      <c r="M4417" s="82"/>
      <c r="N4417" s="82"/>
      <c r="O4417" s="82"/>
      <c r="P4417" s="82"/>
      <c r="Q4417" s="82"/>
      <c r="R4417" s="82"/>
      <c r="S4417" s="82"/>
      <c r="T4417" s="82"/>
      <c r="U4417" s="82"/>
      <c r="V4417" s="82"/>
      <c r="W4417" s="82"/>
      <c r="X4417" s="82"/>
      <c r="Y4417" s="82"/>
      <c r="Z4417" s="82"/>
      <c r="AA4417" s="82"/>
      <c r="AB4417" s="82"/>
      <c r="AC4417" s="82"/>
      <c r="AD4417" s="82"/>
      <c r="AE4417" s="82"/>
      <c r="AF4417" s="82"/>
      <c r="AG4417" s="82"/>
      <c r="AH4417" s="82"/>
      <c r="AI4417" s="82"/>
      <c r="AJ4417" s="82"/>
      <c r="AK4417" s="82"/>
      <c r="AL4417" s="82"/>
      <c r="AM4417" s="82"/>
      <c r="AN4417" s="82"/>
      <c r="AO4417" s="82"/>
      <c r="AP4417" s="82"/>
      <c r="AQ4417" s="82"/>
      <c r="AR4417" s="82"/>
      <c r="AS4417" s="82"/>
      <c r="AT4417" s="82"/>
      <c r="AU4417" s="82"/>
      <c r="AV4417" s="82"/>
      <c r="AW4417" s="82" t="str">
        <f t="shared" si="1"/>
        <v/>
      </c>
      <c r="AX4417" s="83" t="str">
        <f t="array" ref="AX4417">IFERROR(DGET('SBV Import'!A:G,"SBV",{"RSC ID","Tier";B4417,A4417}))</f>
        <v/>
      </c>
      <c r="AY4417" s="82" t="str">
        <f t="shared" si="2"/>
        <v/>
      </c>
      <c r="AZ4417" s="82"/>
      <c r="BA4417" s="84" t="s">
        <v>152</v>
      </c>
      <c r="BB4417" s="84" t="str">
        <f>IFERROR(__xludf.DUMMYFUNCTION("iferror(if(A4417="""",,E4417&gt;=FILTER(Constants!$F$2:$F$10,Constants!$A$2:$A$10=A4417)))"),"")</f>
        <v/>
      </c>
    </row>
    <row r="4418">
      <c r="A4418" s="89"/>
      <c r="B4418" s="87"/>
      <c r="C4418" s="73"/>
      <c r="D4418" s="73"/>
      <c r="E4418" s="82"/>
      <c r="F4418" s="82"/>
      <c r="G4418" s="86"/>
      <c r="H4418" s="86"/>
      <c r="I4418" s="86"/>
      <c r="J4418" s="82"/>
      <c r="K4418" s="82"/>
      <c r="L4418" s="82"/>
      <c r="M4418" s="82"/>
      <c r="N4418" s="82"/>
      <c r="O4418" s="82"/>
      <c r="P4418" s="82"/>
      <c r="Q4418" s="82"/>
      <c r="R4418" s="82"/>
      <c r="S4418" s="82"/>
      <c r="T4418" s="82"/>
      <c r="U4418" s="82"/>
      <c r="V4418" s="82"/>
      <c r="W4418" s="82"/>
      <c r="X4418" s="82"/>
      <c r="Y4418" s="82"/>
      <c r="Z4418" s="82"/>
      <c r="AA4418" s="82"/>
      <c r="AB4418" s="82"/>
      <c r="AC4418" s="82"/>
      <c r="AD4418" s="82"/>
      <c r="AE4418" s="82"/>
      <c r="AF4418" s="82"/>
      <c r="AG4418" s="82"/>
      <c r="AH4418" s="82"/>
      <c r="AI4418" s="82"/>
      <c r="AJ4418" s="82"/>
      <c r="AK4418" s="82"/>
      <c r="AL4418" s="82"/>
      <c r="AM4418" s="82"/>
      <c r="AN4418" s="82"/>
      <c r="AO4418" s="82"/>
      <c r="AP4418" s="82"/>
      <c r="AQ4418" s="82"/>
      <c r="AR4418" s="82"/>
      <c r="AS4418" s="82"/>
      <c r="AT4418" s="82"/>
      <c r="AU4418" s="82"/>
      <c r="AV4418" s="82"/>
      <c r="AW4418" s="82" t="str">
        <f t="shared" si="1"/>
        <v/>
      </c>
      <c r="AX4418" s="83" t="str">
        <f t="array" ref="AX4418">IFERROR(DGET('SBV Import'!A:G,"SBV",{"RSC ID","Tier";B4418,A4418}))</f>
        <v/>
      </c>
      <c r="AY4418" s="82" t="str">
        <f t="shared" si="2"/>
        <v/>
      </c>
      <c r="AZ4418" s="82"/>
      <c r="BA4418" s="84" t="s">
        <v>152</v>
      </c>
      <c r="BB4418" s="84" t="str">
        <f>IFERROR(__xludf.DUMMYFUNCTION("iferror(if(A4418="""",,E4418&gt;=FILTER(Constants!$F$2:$F$10,Constants!$A$2:$A$10=A4418)))"),"")</f>
        <v/>
      </c>
    </row>
    <row r="4419">
      <c r="A4419" s="89"/>
      <c r="B4419" s="87"/>
      <c r="C4419" s="73"/>
      <c r="D4419" s="73"/>
      <c r="E4419" s="82"/>
      <c r="F4419" s="82"/>
      <c r="G4419" s="86"/>
      <c r="H4419" s="86"/>
      <c r="I4419" s="86"/>
      <c r="J4419" s="82"/>
      <c r="K4419" s="82"/>
      <c r="L4419" s="82"/>
      <c r="M4419" s="82"/>
      <c r="N4419" s="82"/>
      <c r="O4419" s="82"/>
      <c r="P4419" s="82"/>
      <c r="Q4419" s="82"/>
      <c r="R4419" s="82"/>
      <c r="S4419" s="82"/>
      <c r="T4419" s="82"/>
      <c r="U4419" s="82"/>
      <c r="V4419" s="82"/>
      <c r="W4419" s="82"/>
      <c r="X4419" s="82"/>
      <c r="Y4419" s="82"/>
      <c r="Z4419" s="82"/>
      <c r="AA4419" s="82"/>
      <c r="AB4419" s="82"/>
      <c r="AC4419" s="82"/>
      <c r="AD4419" s="82"/>
      <c r="AE4419" s="82"/>
      <c r="AF4419" s="82"/>
      <c r="AG4419" s="82"/>
      <c r="AH4419" s="82"/>
      <c r="AI4419" s="82"/>
      <c r="AJ4419" s="82"/>
      <c r="AK4419" s="82"/>
      <c r="AL4419" s="82"/>
      <c r="AM4419" s="82"/>
      <c r="AN4419" s="82"/>
      <c r="AO4419" s="82"/>
      <c r="AP4419" s="82"/>
      <c r="AQ4419" s="82"/>
      <c r="AR4419" s="82"/>
      <c r="AS4419" s="82"/>
      <c r="AT4419" s="82"/>
      <c r="AU4419" s="82"/>
      <c r="AV4419" s="82"/>
      <c r="AW4419" s="82" t="str">
        <f t="shared" si="1"/>
        <v/>
      </c>
      <c r="AX4419" s="83" t="str">
        <f t="array" ref="AX4419">IFERROR(DGET('SBV Import'!A:G,"SBV",{"RSC ID","Tier";B4419,A4419}))</f>
        <v/>
      </c>
      <c r="AY4419" s="82" t="str">
        <f t="shared" si="2"/>
        <v/>
      </c>
      <c r="AZ4419" s="82"/>
      <c r="BA4419" s="84" t="s">
        <v>152</v>
      </c>
      <c r="BB4419" s="84" t="str">
        <f>IFERROR(__xludf.DUMMYFUNCTION("iferror(if(A4419="""",,E4419&gt;=FILTER(Constants!$F$2:$F$10,Constants!$A$2:$A$10=A4419)))"),"")</f>
        <v/>
      </c>
    </row>
    <row r="4420">
      <c r="A4420" s="89"/>
      <c r="B4420" s="87"/>
      <c r="C4420" s="73"/>
      <c r="D4420" s="73"/>
      <c r="E4420" s="82"/>
      <c r="F4420" s="82"/>
      <c r="G4420" s="86"/>
      <c r="H4420" s="86"/>
      <c r="I4420" s="86"/>
      <c r="J4420" s="82"/>
      <c r="K4420" s="82"/>
      <c r="L4420" s="82"/>
      <c r="M4420" s="82"/>
      <c r="N4420" s="82"/>
      <c r="O4420" s="82"/>
      <c r="P4420" s="82"/>
      <c r="Q4420" s="82"/>
      <c r="R4420" s="82"/>
      <c r="S4420" s="82"/>
      <c r="T4420" s="82"/>
      <c r="U4420" s="82"/>
      <c r="V4420" s="82"/>
      <c r="W4420" s="82"/>
      <c r="X4420" s="82"/>
      <c r="Y4420" s="82"/>
      <c r="Z4420" s="82"/>
      <c r="AA4420" s="82"/>
      <c r="AB4420" s="82"/>
      <c r="AC4420" s="82"/>
      <c r="AD4420" s="82"/>
      <c r="AE4420" s="82"/>
      <c r="AF4420" s="82"/>
      <c r="AG4420" s="82"/>
      <c r="AH4420" s="82"/>
      <c r="AI4420" s="82"/>
      <c r="AJ4420" s="82"/>
      <c r="AK4420" s="82"/>
      <c r="AL4420" s="82"/>
      <c r="AM4420" s="82"/>
      <c r="AN4420" s="82"/>
      <c r="AO4420" s="82"/>
      <c r="AP4420" s="82"/>
      <c r="AQ4420" s="82"/>
      <c r="AR4420" s="82"/>
      <c r="AS4420" s="82"/>
      <c r="AT4420" s="82"/>
      <c r="AU4420" s="82"/>
      <c r="AV4420" s="82"/>
      <c r="AW4420" s="82" t="str">
        <f t="shared" si="1"/>
        <v/>
      </c>
      <c r="AX4420" s="83" t="str">
        <f t="array" ref="AX4420">IFERROR(DGET('SBV Import'!A:G,"SBV",{"RSC ID","Tier";B4420,A4420}))</f>
        <v/>
      </c>
      <c r="AY4420" s="82" t="str">
        <f t="shared" si="2"/>
        <v/>
      </c>
      <c r="AZ4420" s="82"/>
      <c r="BA4420" s="84" t="s">
        <v>152</v>
      </c>
      <c r="BB4420" s="84" t="str">
        <f>IFERROR(__xludf.DUMMYFUNCTION("iferror(if(A4420="""",,E4420&gt;=FILTER(Constants!$F$2:$F$10,Constants!$A$2:$A$10=A4420)))"),"")</f>
        <v/>
      </c>
    </row>
    <row r="4421">
      <c r="A4421" s="89"/>
      <c r="B4421" s="87"/>
      <c r="C4421" s="73"/>
      <c r="D4421" s="73"/>
      <c r="E4421" s="82"/>
      <c r="F4421" s="82"/>
      <c r="G4421" s="86"/>
      <c r="H4421" s="86"/>
      <c r="I4421" s="86"/>
      <c r="J4421" s="82"/>
      <c r="K4421" s="82"/>
      <c r="L4421" s="82"/>
      <c r="M4421" s="82"/>
      <c r="N4421" s="82"/>
      <c r="O4421" s="82"/>
      <c r="P4421" s="82"/>
      <c r="Q4421" s="82"/>
      <c r="R4421" s="82"/>
      <c r="S4421" s="82"/>
      <c r="T4421" s="82"/>
      <c r="U4421" s="82"/>
      <c r="V4421" s="82"/>
      <c r="W4421" s="82"/>
      <c r="X4421" s="82"/>
      <c r="Y4421" s="82"/>
      <c r="Z4421" s="82"/>
      <c r="AA4421" s="82"/>
      <c r="AB4421" s="82"/>
      <c r="AC4421" s="82"/>
      <c r="AD4421" s="82"/>
      <c r="AE4421" s="82"/>
      <c r="AF4421" s="82"/>
      <c r="AG4421" s="82"/>
      <c r="AH4421" s="82"/>
      <c r="AI4421" s="82"/>
      <c r="AJ4421" s="82"/>
      <c r="AK4421" s="82"/>
      <c r="AL4421" s="82"/>
      <c r="AM4421" s="82"/>
      <c r="AN4421" s="82"/>
      <c r="AO4421" s="82"/>
      <c r="AP4421" s="82"/>
      <c r="AQ4421" s="82"/>
      <c r="AR4421" s="82"/>
      <c r="AS4421" s="82"/>
      <c r="AT4421" s="82"/>
      <c r="AU4421" s="82"/>
      <c r="AV4421" s="82"/>
      <c r="AW4421" s="82" t="str">
        <f t="shared" si="1"/>
        <v/>
      </c>
      <c r="AX4421" s="83" t="str">
        <f t="array" ref="AX4421">IFERROR(DGET('SBV Import'!A:G,"SBV",{"RSC ID","Tier";B4421,A4421}))</f>
        <v/>
      </c>
      <c r="AY4421" s="82" t="str">
        <f t="shared" si="2"/>
        <v/>
      </c>
      <c r="AZ4421" s="82"/>
      <c r="BA4421" s="84" t="s">
        <v>152</v>
      </c>
      <c r="BB4421" s="84" t="str">
        <f>IFERROR(__xludf.DUMMYFUNCTION("iferror(if(A4421="""",,E4421&gt;=FILTER(Constants!$F$2:$F$10,Constants!$A$2:$A$10=A4421)))"),"")</f>
        <v/>
      </c>
    </row>
    <row r="4422">
      <c r="A4422" s="89"/>
      <c r="B4422" s="87"/>
      <c r="C4422" s="73"/>
      <c r="D4422" s="73"/>
      <c r="E4422" s="82"/>
      <c r="F4422" s="82"/>
      <c r="G4422" s="86"/>
      <c r="H4422" s="86"/>
      <c r="I4422" s="86"/>
      <c r="J4422" s="82"/>
      <c r="K4422" s="82"/>
      <c r="L4422" s="82"/>
      <c r="M4422" s="82"/>
      <c r="N4422" s="82"/>
      <c r="O4422" s="82"/>
      <c r="P4422" s="82"/>
      <c r="Q4422" s="82"/>
      <c r="R4422" s="82"/>
      <c r="S4422" s="82"/>
      <c r="T4422" s="82"/>
      <c r="U4422" s="82"/>
      <c r="V4422" s="82"/>
      <c r="W4422" s="82"/>
      <c r="X4422" s="82"/>
      <c r="Y4422" s="82"/>
      <c r="Z4422" s="82"/>
      <c r="AA4422" s="82"/>
      <c r="AB4422" s="82"/>
      <c r="AC4422" s="82"/>
      <c r="AD4422" s="82"/>
      <c r="AE4422" s="82"/>
      <c r="AF4422" s="82"/>
      <c r="AG4422" s="82"/>
      <c r="AH4422" s="82"/>
      <c r="AI4422" s="82"/>
      <c r="AJ4422" s="82"/>
      <c r="AK4422" s="82"/>
      <c r="AL4422" s="82"/>
      <c r="AM4422" s="82"/>
      <c r="AN4422" s="82"/>
      <c r="AO4422" s="82"/>
      <c r="AP4422" s="82"/>
      <c r="AQ4422" s="82"/>
      <c r="AR4422" s="82"/>
      <c r="AS4422" s="82"/>
      <c r="AT4422" s="82"/>
      <c r="AU4422" s="82"/>
      <c r="AV4422" s="82"/>
      <c r="AW4422" s="82" t="str">
        <f t="shared" si="1"/>
        <v/>
      </c>
      <c r="AX4422" s="83" t="str">
        <f t="array" ref="AX4422">IFERROR(DGET('SBV Import'!A:G,"SBV",{"RSC ID","Tier";B4422,A4422}))</f>
        <v/>
      </c>
      <c r="AY4422" s="82" t="str">
        <f t="shared" si="2"/>
        <v/>
      </c>
      <c r="AZ4422" s="82"/>
      <c r="BA4422" s="84" t="s">
        <v>152</v>
      </c>
      <c r="BB4422" s="84" t="str">
        <f>IFERROR(__xludf.DUMMYFUNCTION("iferror(if(A4422="""",,E4422&gt;=FILTER(Constants!$F$2:$F$10,Constants!$A$2:$A$10=A4422)))"),"")</f>
        <v/>
      </c>
    </row>
    <row r="4423">
      <c r="A4423" s="89"/>
      <c r="B4423" s="87"/>
      <c r="C4423" s="73"/>
      <c r="D4423" s="73"/>
      <c r="E4423" s="82"/>
      <c r="F4423" s="82"/>
      <c r="G4423" s="86"/>
      <c r="H4423" s="86"/>
      <c r="I4423" s="86"/>
      <c r="J4423" s="82"/>
      <c r="K4423" s="82"/>
      <c r="L4423" s="82"/>
      <c r="M4423" s="82"/>
      <c r="N4423" s="82"/>
      <c r="O4423" s="82"/>
      <c r="P4423" s="82"/>
      <c r="Q4423" s="82"/>
      <c r="R4423" s="82"/>
      <c r="S4423" s="82"/>
      <c r="T4423" s="82"/>
      <c r="U4423" s="82"/>
      <c r="V4423" s="82"/>
      <c r="W4423" s="82"/>
      <c r="X4423" s="82"/>
      <c r="Y4423" s="82"/>
      <c r="Z4423" s="82"/>
      <c r="AA4423" s="82"/>
      <c r="AB4423" s="82"/>
      <c r="AC4423" s="82"/>
      <c r="AD4423" s="82"/>
      <c r="AE4423" s="82"/>
      <c r="AF4423" s="82"/>
      <c r="AG4423" s="82"/>
      <c r="AH4423" s="82"/>
      <c r="AI4423" s="82"/>
      <c r="AJ4423" s="82"/>
      <c r="AK4423" s="82"/>
      <c r="AL4423" s="82"/>
      <c r="AM4423" s="82"/>
      <c r="AN4423" s="82"/>
      <c r="AO4423" s="82"/>
      <c r="AP4423" s="82"/>
      <c r="AQ4423" s="82"/>
      <c r="AR4423" s="82"/>
      <c r="AS4423" s="82"/>
      <c r="AT4423" s="82"/>
      <c r="AU4423" s="82"/>
      <c r="AV4423" s="82"/>
      <c r="AW4423" s="82" t="str">
        <f t="shared" si="1"/>
        <v/>
      </c>
      <c r="AX4423" s="83" t="str">
        <f t="array" ref="AX4423">IFERROR(DGET('SBV Import'!A:G,"SBV",{"RSC ID","Tier";B4423,A4423}))</f>
        <v/>
      </c>
      <c r="AY4423" s="82" t="str">
        <f t="shared" si="2"/>
        <v/>
      </c>
      <c r="AZ4423" s="82"/>
      <c r="BA4423" s="84" t="s">
        <v>152</v>
      </c>
      <c r="BB4423" s="84" t="str">
        <f>IFERROR(__xludf.DUMMYFUNCTION("iferror(if(A4423="""",,E4423&gt;=FILTER(Constants!$F$2:$F$10,Constants!$A$2:$A$10=A4423)))"),"")</f>
        <v/>
      </c>
    </row>
    <row r="4424">
      <c r="A4424" s="89"/>
      <c r="B4424" s="87"/>
      <c r="C4424" s="73"/>
      <c r="D4424" s="73"/>
      <c r="E4424" s="82"/>
      <c r="F4424" s="82"/>
      <c r="G4424" s="86"/>
      <c r="H4424" s="86"/>
      <c r="I4424" s="86"/>
      <c r="J4424" s="82"/>
      <c r="K4424" s="82"/>
      <c r="L4424" s="82"/>
      <c r="M4424" s="82"/>
      <c r="N4424" s="82"/>
      <c r="O4424" s="82"/>
      <c r="P4424" s="82"/>
      <c r="Q4424" s="82"/>
      <c r="R4424" s="82"/>
      <c r="S4424" s="82"/>
      <c r="T4424" s="82"/>
      <c r="U4424" s="82"/>
      <c r="V4424" s="82"/>
      <c r="W4424" s="82"/>
      <c r="X4424" s="82"/>
      <c r="Y4424" s="82"/>
      <c r="Z4424" s="82"/>
      <c r="AA4424" s="82"/>
      <c r="AB4424" s="82"/>
      <c r="AC4424" s="82"/>
      <c r="AD4424" s="82"/>
      <c r="AE4424" s="82"/>
      <c r="AF4424" s="82"/>
      <c r="AG4424" s="82"/>
      <c r="AH4424" s="82"/>
      <c r="AI4424" s="82"/>
      <c r="AJ4424" s="82"/>
      <c r="AK4424" s="82"/>
      <c r="AL4424" s="82"/>
      <c r="AM4424" s="82"/>
      <c r="AN4424" s="82"/>
      <c r="AO4424" s="82"/>
      <c r="AP4424" s="82"/>
      <c r="AQ4424" s="82"/>
      <c r="AR4424" s="82"/>
      <c r="AS4424" s="82"/>
      <c r="AT4424" s="82"/>
      <c r="AU4424" s="82"/>
      <c r="AV4424" s="82"/>
      <c r="AW4424" s="82" t="str">
        <f t="shared" si="1"/>
        <v/>
      </c>
      <c r="AX4424" s="83" t="str">
        <f t="array" ref="AX4424">IFERROR(DGET('SBV Import'!A:G,"SBV",{"RSC ID","Tier";B4424,A4424}))</f>
        <v/>
      </c>
      <c r="AY4424" s="82" t="str">
        <f t="shared" si="2"/>
        <v/>
      </c>
      <c r="AZ4424" s="82"/>
      <c r="BA4424" s="84" t="s">
        <v>152</v>
      </c>
      <c r="BB4424" s="84" t="str">
        <f>IFERROR(__xludf.DUMMYFUNCTION("iferror(if(A4424="""",,E4424&gt;=FILTER(Constants!$F$2:$F$10,Constants!$A$2:$A$10=A4424)))"),"")</f>
        <v/>
      </c>
    </row>
    <row r="4425">
      <c r="A4425" s="89"/>
      <c r="B4425" s="87"/>
      <c r="C4425" s="73"/>
      <c r="D4425" s="73"/>
      <c r="E4425" s="82"/>
      <c r="F4425" s="82"/>
      <c r="G4425" s="86"/>
      <c r="H4425" s="86"/>
      <c r="I4425" s="86"/>
      <c r="J4425" s="82"/>
      <c r="K4425" s="82"/>
      <c r="L4425" s="82"/>
      <c r="M4425" s="82"/>
      <c r="N4425" s="82"/>
      <c r="O4425" s="82"/>
      <c r="P4425" s="82"/>
      <c r="Q4425" s="82"/>
      <c r="R4425" s="82"/>
      <c r="S4425" s="82"/>
      <c r="T4425" s="82"/>
      <c r="U4425" s="82"/>
      <c r="V4425" s="82"/>
      <c r="W4425" s="82"/>
      <c r="X4425" s="82"/>
      <c r="Y4425" s="82"/>
      <c r="Z4425" s="82"/>
      <c r="AA4425" s="82"/>
      <c r="AB4425" s="82"/>
      <c r="AC4425" s="82"/>
      <c r="AD4425" s="82"/>
      <c r="AE4425" s="82"/>
      <c r="AF4425" s="82"/>
      <c r="AG4425" s="82"/>
      <c r="AH4425" s="82"/>
      <c r="AI4425" s="82"/>
      <c r="AJ4425" s="82"/>
      <c r="AK4425" s="82"/>
      <c r="AL4425" s="82"/>
      <c r="AM4425" s="82"/>
      <c r="AN4425" s="82"/>
      <c r="AO4425" s="82"/>
      <c r="AP4425" s="82"/>
      <c r="AQ4425" s="82"/>
      <c r="AR4425" s="82"/>
      <c r="AS4425" s="82"/>
      <c r="AT4425" s="82"/>
      <c r="AU4425" s="82"/>
      <c r="AV4425" s="82"/>
      <c r="AW4425" s="82" t="str">
        <f t="shared" si="1"/>
        <v/>
      </c>
      <c r="AX4425" s="83" t="str">
        <f t="array" ref="AX4425">IFERROR(DGET('SBV Import'!A:G,"SBV",{"RSC ID","Tier";B4425,A4425}))</f>
        <v/>
      </c>
      <c r="AY4425" s="82" t="str">
        <f t="shared" si="2"/>
        <v/>
      </c>
      <c r="AZ4425" s="82"/>
      <c r="BA4425" s="84" t="s">
        <v>152</v>
      </c>
      <c r="BB4425" s="84" t="str">
        <f>IFERROR(__xludf.DUMMYFUNCTION("iferror(if(A4425="""",,E4425&gt;=FILTER(Constants!$F$2:$F$10,Constants!$A$2:$A$10=A4425)))"),"")</f>
        <v/>
      </c>
    </row>
    <row r="4426">
      <c r="A4426" s="89"/>
      <c r="B4426" s="87"/>
      <c r="C4426" s="73"/>
      <c r="D4426" s="73"/>
      <c r="E4426" s="82"/>
      <c r="F4426" s="82"/>
      <c r="G4426" s="86"/>
      <c r="H4426" s="86"/>
      <c r="I4426" s="86"/>
      <c r="J4426" s="82"/>
      <c r="K4426" s="82"/>
      <c r="L4426" s="82"/>
      <c r="M4426" s="82"/>
      <c r="N4426" s="82"/>
      <c r="O4426" s="82"/>
      <c r="P4426" s="82"/>
      <c r="Q4426" s="82"/>
      <c r="R4426" s="82"/>
      <c r="S4426" s="82"/>
      <c r="T4426" s="82"/>
      <c r="U4426" s="82"/>
      <c r="V4426" s="82"/>
      <c r="W4426" s="82"/>
      <c r="X4426" s="82"/>
      <c r="Y4426" s="82"/>
      <c r="Z4426" s="82"/>
      <c r="AA4426" s="82"/>
      <c r="AB4426" s="82"/>
      <c r="AC4426" s="82"/>
      <c r="AD4426" s="82"/>
      <c r="AE4426" s="82"/>
      <c r="AF4426" s="82"/>
      <c r="AG4426" s="82"/>
      <c r="AH4426" s="82"/>
      <c r="AI4426" s="82"/>
      <c r="AJ4426" s="82"/>
      <c r="AK4426" s="82"/>
      <c r="AL4426" s="82"/>
      <c r="AM4426" s="82"/>
      <c r="AN4426" s="82"/>
      <c r="AO4426" s="82"/>
      <c r="AP4426" s="82"/>
      <c r="AQ4426" s="82"/>
      <c r="AR4426" s="82"/>
      <c r="AS4426" s="82"/>
      <c r="AT4426" s="82"/>
      <c r="AU4426" s="82"/>
      <c r="AV4426" s="82"/>
      <c r="AW4426" s="82" t="str">
        <f t="shared" si="1"/>
        <v/>
      </c>
      <c r="AX4426" s="83" t="str">
        <f t="array" ref="AX4426">IFERROR(DGET('SBV Import'!A:G,"SBV",{"RSC ID","Tier";B4426,A4426}))</f>
        <v/>
      </c>
      <c r="AY4426" s="82" t="str">
        <f t="shared" si="2"/>
        <v/>
      </c>
      <c r="AZ4426" s="82"/>
      <c r="BA4426" s="84" t="s">
        <v>152</v>
      </c>
      <c r="BB4426" s="84" t="str">
        <f>IFERROR(__xludf.DUMMYFUNCTION("iferror(if(A4426="""",,E4426&gt;=FILTER(Constants!$F$2:$F$10,Constants!$A$2:$A$10=A4426)))"),"")</f>
        <v/>
      </c>
    </row>
    <row r="4427">
      <c r="A4427" s="89"/>
      <c r="B4427" s="87"/>
      <c r="C4427" s="73"/>
      <c r="D4427" s="73"/>
      <c r="E4427" s="82"/>
      <c r="F4427" s="82"/>
      <c r="G4427" s="86"/>
      <c r="H4427" s="86"/>
      <c r="I4427" s="86"/>
      <c r="J4427" s="82"/>
      <c r="K4427" s="82"/>
      <c r="L4427" s="82"/>
      <c r="M4427" s="82"/>
      <c r="N4427" s="82"/>
      <c r="O4427" s="82"/>
      <c r="P4427" s="82"/>
      <c r="Q4427" s="82"/>
      <c r="R4427" s="82"/>
      <c r="S4427" s="82"/>
      <c r="T4427" s="82"/>
      <c r="U4427" s="82"/>
      <c r="V4427" s="82"/>
      <c r="W4427" s="82"/>
      <c r="X4427" s="82"/>
      <c r="Y4427" s="82"/>
      <c r="Z4427" s="82"/>
      <c r="AA4427" s="82"/>
      <c r="AB4427" s="82"/>
      <c r="AC4427" s="82"/>
      <c r="AD4427" s="82"/>
      <c r="AE4427" s="82"/>
      <c r="AF4427" s="82"/>
      <c r="AG4427" s="82"/>
      <c r="AH4427" s="82"/>
      <c r="AI4427" s="82"/>
      <c r="AJ4427" s="82"/>
      <c r="AK4427" s="82"/>
      <c r="AL4427" s="82"/>
      <c r="AM4427" s="82"/>
      <c r="AN4427" s="82"/>
      <c r="AO4427" s="82"/>
      <c r="AP4427" s="82"/>
      <c r="AQ4427" s="82"/>
      <c r="AR4427" s="82"/>
      <c r="AS4427" s="82"/>
      <c r="AT4427" s="82"/>
      <c r="AU4427" s="82"/>
      <c r="AV4427" s="82"/>
      <c r="AW4427" s="82" t="str">
        <f t="shared" si="1"/>
        <v/>
      </c>
      <c r="AX4427" s="83" t="str">
        <f t="array" ref="AX4427">IFERROR(DGET('SBV Import'!A:G,"SBV",{"RSC ID","Tier";B4427,A4427}))</f>
        <v/>
      </c>
      <c r="AY4427" s="82" t="str">
        <f t="shared" si="2"/>
        <v/>
      </c>
      <c r="AZ4427" s="82"/>
      <c r="BA4427" s="84" t="s">
        <v>152</v>
      </c>
      <c r="BB4427" s="84" t="str">
        <f>IFERROR(__xludf.DUMMYFUNCTION("iferror(if(A4427="""",,E4427&gt;=FILTER(Constants!$F$2:$F$10,Constants!$A$2:$A$10=A4427)))"),"")</f>
        <v/>
      </c>
    </row>
    <row r="4428">
      <c r="A4428" s="89"/>
      <c r="B4428" s="87"/>
      <c r="C4428" s="73"/>
      <c r="D4428" s="73"/>
      <c r="E4428" s="82"/>
      <c r="F4428" s="82"/>
      <c r="G4428" s="86"/>
      <c r="H4428" s="86"/>
      <c r="I4428" s="86"/>
      <c r="J4428" s="82"/>
      <c r="K4428" s="82"/>
      <c r="L4428" s="82"/>
      <c r="M4428" s="82"/>
      <c r="N4428" s="82"/>
      <c r="O4428" s="82"/>
      <c r="P4428" s="82"/>
      <c r="Q4428" s="82"/>
      <c r="R4428" s="82"/>
      <c r="S4428" s="82"/>
      <c r="T4428" s="82"/>
      <c r="U4428" s="82"/>
      <c r="V4428" s="82"/>
      <c r="W4428" s="82"/>
      <c r="X4428" s="82"/>
      <c r="Y4428" s="82"/>
      <c r="Z4428" s="82"/>
      <c r="AA4428" s="82"/>
      <c r="AB4428" s="82"/>
      <c r="AC4428" s="82"/>
      <c r="AD4428" s="82"/>
      <c r="AE4428" s="82"/>
      <c r="AF4428" s="82"/>
      <c r="AG4428" s="82"/>
      <c r="AH4428" s="82"/>
      <c r="AI4428" s="82"/>
      <c r="AJ4428" s="82"/>
      <c r="AK4428" s="82"/>
      <c r="AL4428" s="82"/>
      <c r="AM4428" s="82"/>
      <c r="AN4428" s="82"/>
      <c r="AO4428" s="82"/>
      <c r="AP4428" s="82"/>
      <c r="AQ4428" s="82"/>
      <c r="AR4428" s="82"/>
      <c r="AS4428" s="82"/>
      <c r="AT4428" s="82"/>
      <c r="AU4428" s="82"/>
      <c r="AV4428" s="82"/>
      <c r="AW4428" s="82" t="str">
        <f t="shared" si="1"/>
        <v/>
      </c>
      <c r="AX4428" s="83" t="str">
        <f t="array" ref="AX4428">IFERROR(DGET('SBV Import'!A:G,"SBV",{"RSC ID","Tier";B4428,A4428}))</f>
        <v/>
      </c>
      <c r="AY4428" s="82" t="str">
        <f t="shared" si="2"/>
        <v/>
      </c>
      <c r="AZ4428" s="82"/>
      <c r="BA4428" s="84" t="s">
        <v>152</v>
      </c>
      <c r="BB4428" s="84" t="str">
        <f>IFERROR(__xludf.DUMMYFUNCTION("iferror(if(A4428="""",,E4428&gt;=FILTER(Constants!$F$2:$F$10,Constants!$A$2:$A$10=A4428)))"),"")</f>
        <v/>
      </c>
    </row>
    <row r="4429">
      <c r="A4429" s="89"/>
      <c r="B4429" s="87"/>
      <c r="C4429" s="73"/>
      <c r="D4429" s="73"/>
      <c r="E4429" s="82"/>
      <c r="F4429" s="82"/>
      <c r="G4429" s="86"/>
      <c r="H4429" s="86"/>
      <c r="I4429" s="86"/>
      <c r="J4429" s="82"/>
      <c r="K4429" s="82"/>
      <c r="L4429" s="82"/>
      <c r="M4429" s="82"/>
      <c r="N4429" s="82"/>
      <c r="O4429" s="82"/>
      <c r="P4429" s="82"/>
      <c r="Q4429" s="82"/>
      <c r="R4429" s="82"/>
      <c r="S4429" s="82"/>
      <c r="T4429" s="82"/>
      <c r="U4429" s="82"/>
      <c r="V4429" s="82"/>
      <c r="W4429" s="82"/>
      <c r="X4429" s="82"/>
      <c r="Y4429" s="82"/>
      <c r="Z4429" s="82"/>
      <c r="AA4429" s="82"/>
      <c r="AB4429" s="82"/>
      <c r="AC4429" s="82"/>
      <c r="AD4429" s="82"/>
      <c r="AE4429" s="82"/>
      <c r="AF4429" s="82"/>
      <c r="AG4429" s="82"/>
      <c r="AH4429" s="82"/>
      <c r="AI4429" s="82"/>
      <c r="AJ4429" s="82"/>
      <c r="AK4429" s="82"/>
      <c r="AL4429" s="82"/>
      <c r="AM4429" s="82"/>
      <c r="AN4429" s="82"/>
      <c r="AO4429" s="82"/>
      <c r="AP4429" s="82"/>
      <c r="AQ4429" s="82"/>
      <c r="AR4429" s="82"/>
      <c r="AS4429" s="82"/>
      <c r="AT4429" s="82"/>
      <c r="AU4429" s="82"/>
      <c r="AV4429" s="82"/>
      <c r="AW4429" s="82" t="str">
        <f t="shared" si="1"/>
        <v/>
      </c>
      <c r="AX4429" s="83" t="str">
        <f t="array" ref="AX4429">IFERROR(DGET('SBV Import'!A:G,"SBV",{"RSC ID","Tier";B4429,A4429}))</f>
        <v/>
      </c>
      <c r="AY4429" s="82" t="str">
        <f t="shared" si="2"/>
        <v/>
      </c>
      <c r="AZ4429" s="82"/>
      <c r="BA4429" s="84" t="s">
        <v>152</v>
      </c>
      <c r="BB4429" s="84" t="str">
        <f>IFERROR(__xludf.DUMMYFUNCTION("iferror(if(A4429="""",,E4429&gt;=FILTER(Constants!$F$2:$F$10,Constants!$A$2:$A$10=A4429)))"),"")</f>
        <v/>
      </c>
    </row>
    <row r="4430">
      <c r="A4430" s="89"/>
      <c r="B4430" s="87"/>
      <c r="C4430" s="73"/>
      <c r="D4430" s="73"/>
      <c r="E4430" s="82"/>
      <c r="F4430" s="82"/>
      <c r="G4430" s="86"/>
      <c r="H4430" s="86"/>
      <c r="I4430" s="86"/>
      <c r="J4430" s="82"/>
      <c r="K4430" s="82"/>
      <c r="L4430" s="82"/>
      <c r="M4430" s="82"/>
      <c r="N4430" s="82"/>
      <c r="O4430" s="82"/>
      <c r="P4430" s="82"/>
      <c r="Q4430" s="82"/>
      <c r="R4430" s="82"/>
      <c r="S4430" s="82"/>
      <c r="T4430" s="82"/>
      <c r="U4430" s="82"/>
      <c r="V4430" s="82"/>
      <c r="W4430" s="82"/>
      <c r="X4430" s="82"/>
      <c r="Y4430" s="82"/>
      <c r="Z4430" s="82"/>
      <c r="AA4430" s="82"/>
      <c r="AB4430" s="82"/>
      <c r="AC4430" s="82"/>
      <c r="AD4430" s="82"/>
      <c r="AE4430" s="82"/>
      <c r="AF4430" s="82"/>
      <c r="AG4430" s="82"/>
      <c r="AH4430" s="82"/>
      <c r="AI4430" s="82"/>
      <c r="AJ4430" s="82"/>
      <c r="AK4430" s="82"/>
      <c r="AL4430" s="82"/>
      <c r="AM4430" s="82"/>
      <c r="AN4430" s="82"/>
      <c r="AO4430" s="82"/>
      <c r="AP4430" s="82"/>
      <c r="AQ4430" s="82"/>
      <c r="AR4430" s="82"/>
      <c r="AS4430" s="82"/>
      <c r="AT4430" s="82"/>
      <c r="AU4430" s="82"/>
      <c r="AV4430" s="82"/>
      <c r="AW4430" s="82" t="str">
        <f t="shared" si="1"/>
        <v/>
      </c>
      <c r="AX4430" s="83" t="str">
        <f t="array" ref="AX4430">IFERROR(DGET('SBV Import'!A:G,"SBV",{"RSC ID","Tier";B4430,A4430}))</f>
        <v/>
      </c>
      <c r="AY4430" s="82" t="str">
        <f t="shared" si="2"/>
        <v/>
      </c>
      <c r="AZ4430" s="82"/>
      <c r="BA4430" s="84" t="s">
        <v>152</v>
      </c>
      <c r="BB4430" s="84" t="str">
        <f>IFERROR(__xludf.DUMMYFUNCTION("iferror(if(A4430="""",,E4430&gt;=FILTER(Constants!$F$2:$F$10,Constants!$A$2:$A$10=A4430)))"),"")</f>
        <v/>
      </c>
    </row>
    <row r="4431">
      <c r="A4431" s="89"/>
      <c r="B4431" s="87"/>
      <c r="C4431" s="73"/>
      <c r="D4431" s="73"/>
      <c r="E4431" s="82"/>
      <c r="F4431" s="82"/>
      <c r="G4431" s="86"/>
      <c r="H4431" s="86"/>
      <c r="I4431" s="86"/>
      <c r="J4431" s="82"/>
      <c r="K4431" s="82"/>
      <c r="L4431" s="82"/>
      <c r="M4431" s="82"/>
      <c r="N4431" s="82"/>
      <c r="O4431" s="82"/>
      <c r="P4431" s="82"/>
      <c r="Q4431" s="82"/>
      <c r="R4431" s="82"/>
      <c r="S4431" s="82"/>
      <c r="T4431" s="82"/>
      <c r="U4431" s="82"/>
      <c r="V4431" s="82"/>
      <c r="W4431" s="82"/>
      <c r="X4431" s="82"/>
      <c r="Y4431" s="82"/>
      <c r="Z4431" s="82"/>
      <c r="AA4431" s="82"/>
      <c r="AB4431" s="82"/>
      <c r="AC4431" s="82"/>
      <c r="AD4431" s="82"/>
      <c r="AE4431" s="82"/>
      <c r="AF4431" s="82"/>
      <c r="AG4431" s="82"/>
      <c r="AH4431" s="82"/>
      <c r="AI4431" s="82"/>
      <c r="AJ4431" s="82"/>
      <c r="AK4431" s="82"/>
      <c r="AL4431" s="82"/>
      <c r="AM4431" s="82"/>
      <c r="AN4431" s="82"/>
      <c r="AO4431" s="82"/>
      <c r="AP4431" s="82"/>
      <c r="AQ4431" s="82"/>
      <c r="AR4431" s="82"/>
      <c r="AS4431" s="82"/>
      <c r="AT4431" s="82"/>
      <c r="AU4431" s="82"/>
      <c r="AV4431" s="82"/>
      <c r="AW4431" s="82" t="str">
        <f t="shared" si="1"/>
        <v/>
      </c>
      <c r="AX4431" s="83" t="str">
        <f t="array" ref="AX4431">IFERROR(DGET('SBV Import'!A:G,"SBV",{"RSC ID","Tier";B4431,A4431}))</f>
        <v/>
      </c>
      <c r="AY4431" s="82" t="str">
        <f t="shared" si="2"/>
        <v/>
      </c>
      <c r="AZ4431" s="82"/>
      <c r="BA4431" s="84" t="s">
        <v>152</v>
      </c>
      <c r="BB4431" s="84" t="str">
        <f>IFERROR(__xludf.DUMMYFUNCTION("iferror(if(A4431="""",,E4431&gt;=FILTER(Constants!$F$2:$F$10,Constants!$A$2:$A$10=A4431)))"),"")</f>
        <v/>
      </c>
    </row>
    <row r="4432">
      <c r="A4432" s="89"/>
      <c r="B4432" s="87"/>
      <c r="C4432" s="73"/>
      <c r="D4432" s="73"/>
      <c r="E4432" s="82"/>
      <c r="F4432" s="82"/>
      <c r="G4432" s="86"/>
      <c r="H4432" s="86"/>
      <c r="I4432" s="86"/>
      <c r="J4432" s="82"/>
      <c r="K4432" s="82"/>
      <c r="L4432" s="82"/>
      <c r="M4432" s="82"/>
      <c r="N4432" s="82"/>
      <c r="O4432" s="82"/>
      <c r="P4432" s="82"/>
      <c r="Q4432" s="82"/>
      <c r="R4432" s="82"/>
      <c r="S4432" s="82"/>
      <c r="T4432" s="82"/>
      <c r="U4432" s="82"/>
      <c r="V4432" s="82"/>
      <c r="W4432" s="82"/>
      <c r="X4432" s="82"/>
      <c r="Y4432" s="82"/>
      <c r="Z4432" s="82"/>
      <c r="AA4432" s="82"/>
      <c r="AB4432" s="82"/>
      <c r="AC4432" s="82"/>
      <c r="AD4432" s="82"/>
      <c r="AE4432" s="82"/>
      <c r="AF4432" s="82"/>
      <c r="AG4432" s="82"/>
      <c r="AH4432" s="82"/>
      <c r="AI4432" s="82"/>
      <c r="AJ4432" s="82"/>
      <c r="AK4432" s="82"/>
      <c r="AL4432" s="82"/>
      <c r="AM4432" s="82"/>
      <c r="AN4432" s="82"/>
      <c r="AO4432" s="82"/>
      <c r="AP4432" s="82"/>
      <c r="AQ4432" s="82"/>
      <c r="AR4432" s="82"/>
      <c r="AS4432" s="82"/>
      <c r="AT4432" s="82"/>
      <c r="AU4432" s="82"/>
      <c r="AV4432" s="82"/>
      <c r="AW4432" s="82" t="str">
        <f t="shared" si="1"/>
        <v/>
      </c>
      <c r="AX4432" s="83" t="str">
        <f t="array" ref="AX4432">IFERROR(DGET('SBV Import'!A:G,"SBV",{"RSC ID","Tier";B4432,A4432}))</f>
        <v/>
      </c>
      <c r="AY4432" s="82" t="str">
        <f t="shared" si="2"/>
        <v/>
      </c>
      <c r="AZ4432" s="82"/>
      <c r="BA4432" s="84" t="s">
        <v>152</v>
      </c>
      <c r="BB4432" s="84" t="str">
        <f>IFERROR(__xludf.DUMMYFUNCTION("iferror(if(A4432="""",,E4432&gt;=FILTER(Constants!$F$2:$F$10,Constants!$A$2:$A$10=A4432)))"),"")</f>
        <v/>
      </c>
    </row>
    <row r="4433">
      <c r="A4433" s="89"/>
      <c r="B4433" s="87"/>
      <c r="C4433" s="73"/>
      <c r="D4433" s="73"/>
      <c r="E4433" s="82"/>
      <c r="F4433" s="82"/>
      <c r="G4433" s="86"/>
      <c r="H4433" s="86"/>
      <c r="I4433" s="86"/>
      <c r="J4433" s="82"/>
      <c r="K4433" s="82"/>
      <c r="L4433" s="82"/>
      <c r="M4433" s="82"/>
      <c r="N4433" s="82"/>
      <c r="O4433" s="82"/>
      <c r="P4433" s="82"/>
      <c r="Q4433" s="82"/>
      <c r="R4433" s="82"/>
      <c r="S4433" s="82"/>
      <c r="T4433" s="82"/>
      <c r="U4433" s="82"/>
      <c r="V4433" s="82"/>
      <c r="W4433" s="82"/>
      <c r="X4433" s="82"/>
      <c r="Y4433" s="82"/>
      <c r="Z4433" s="82"/>
      <c r="AA4433" s="82"/>
      <c r="AB4433" s="82"/>
      <c r="AC4433" s="82"/>
      <c r="AD4433" s="82"/>
      <c r="AE4433" s="82"/>
      <c r="AF4433" s="82"/>
      <c r="AG4433" s="82"/>
      <c r="AH4433" s="82"/>
      <c r="AI4433" s="82"/>
      <c r="AJ4433" s="82"/>
      <c r="AK4433" s="82"/>
      <c r="AL4433" s="82"/>
      <c r="AM4433" s="82"/>
      <c r="AN4433" s="82"/>
      <c r="AO4433" s="82"/>
      <c r="AP4433" s="82"/>
      <c r="AQ4433" s="82"/>
      <c r="AR4433" s="82"/>
      <c r="AS4433" s="82"/>
      <c r="AT4433" s="82"/>
      <c r="AU4433" s="82"/>
      <c r="AV4433" s="82"/>
      <c r="AW4433" s="82" t="str">
        <f t="shared" si="1"/>
        <v/>
      </c>
      <c r="AX4433" s="83" t="str">
        <f t="array" ref="AX4433">IFERROR(DGET('SBV Import'!A:G,"SBV",{"RSC ID","Tier";B4433,A4433}))</f>
        <v/>
      </c>
      <c r="AY4433" s="82" t="str">
        <f t="shared" si="2"/>
        <v/>
      </c>
      <c r="AZ4433" s="82"/>
      <c r="BA4433" s="84" t="s">
        <v>152</v>
      </c>
      <c r="BB4433" s="84" t="str">
        <f>IFERROR(__xludf.DUMMYFUNCTION("iferror(if(A4433="""",,E4433&gt;=FILTER(Constants!$F$2:$F$10,Constants!$A$2:$A$10=A4433)))"),"")</f>
        <v/>
      </c>
    </row>
    <row r="4434">
      <c r="A4434" s="89"/>
      <c r="B4434" s="87"/>
      <c r="C4434" s="73"/>
      <c r="D4434" s="73"/>
      <c r="E4434" s="82"/>
      <c r="F4434" s="82"/>
      <c r="G4434" s="86"/>
      <c r="H4434" s="86"/>
      <c r="I4434" s="86"/>
      <c r="J4434" s="82"/>
      <c r="K4434" s="82"/>
      <c r="L4434" s="82"/>
      <c r="M4434" s="82"/>
      <c r="N4434" s="82"/>
      <c r="O4434" s="82"/>
      <c r="P4434" s="82"/>
      <c r="Q4434" s="82"/>
      <c r="R4434" s="82"/>
      <c r="S4434" s="82"/>
      <c r="T4434" s="82"/>
      <c r="U4434" s="82"/>
      <c r="V4434" s="82"/>
      <c r="W4434" s="82"/>
      <c r="X4434" s="82"/>
      <c r="Y4434" s="82"/>
      <c r="Z4434" s="82"/>
      <c r="AA4434" s="82"/>
      <c r="AB4434" s="82"/>
      <c r="AC4434" s="82"/>
      <c r="AD4434" s="82"/>
      <c r="AE4434" s="82"/>
      <c r="AF4434" s="82"/>
      <c r="AG4434" s="82"/>
      <c r="AH4434" s="82"/>
      <c r="AI4434" s="82"/>
      <c r="AJ4434" s="82"/>
      <c r="AK4434" s="82"/>
      <c r="AL4434" s="82"/>
      <c r="AM4434" s="82"/>
      <c r="AN4434" s="82"/>
      <c r="AO4434" s="82"/>
      <c r="AP4434" s="82"/>
      <c r="AQ4434" s="82"/>
      <c r="AR4434" s="82"/>
      <c r="AS4434" s="82"/>
      <c r="AT4434" s="82"/>
      <c r="AU4434" s="82"/>
      <c r="AV4434" s="82"/>
      <c r="AW4434" s="82" t="str">
        <f t="shared" si="1"/>
        <v/>
      </c>
      <c r="AX4434" s="83" t="str">
        <f t="array" ref="AX4434">IFERROR(DGET('SBV Import'!A:G,"SBV",{"RSC ID","Tier";B4434,A4434}))</f>
        <v/>
      </c>
      <c r="AY4434" s="82" t="str">
        <f t="shared" si="2"/>
        <v/>
      </c>
      <c r="AZ4434" s="82"/>
      <c r="BA4434" s="84" t="s">
        <v>152</v>
      </c>
      <c r="BB4434" s="84" t="str">
        <f>IFERROR(__xludf.DUMMYFUNCTION("iferror(if(A4434="""",,E4434&gt;=FILTER(Constants!$F$2:$F$10,Constants!$A$2:$A$10=A4434)))"),"")</f>
        <v/>
      </c>
    </row>
    <row r="4435">
      <c r="A4435" s="89"/>
      <c r="B4435" s="87"/>
      <c r="C4435" s="73"/>
      <c r="D4435" s="73"/>
      <c r="E4435" s="82"/>
      <c r="F4435" s="82"/>
      <c r="G4435" s="86"/>
      <c r="H4435" s="86"/>
      <c r="I4435" s="86"/>
      <c r="J4435" s="82"/>
      <c r="K4435" s="82"/>
      <c r="L4435" s="82"/>
      <c r="M4435" s="82"/>
      <c r="N4435" s="82"/>
      <c r="O4435" s="82"/>
      <c r="P4435" s="82"/>
      <c r="Q4435" s="82"/>
      <c r="R4435" s="82"/>
      <c r="S4435" s="82"/>
      <c r="T4435" s="82"/>
      <c r="U4435" s="82"/>
      <c r="V4435" s="82"/>
      <c r="W4435" s="82"/>
      <c r="X4435" s="82"/>
      <c r="Y4435" s="82"/>
      <c r="Z4435" s="82"/>
      <c r="AA4435" s="82"/>
      <c r="AB4435" s="82"/>
      <c r="AC4435" s="82"/>
      <c r="AD4435" s="82"/>
      <c r="AE4435" s="82"/>
      <c r="AF4435" s="82"/>
      <c r="AG4435" s="82"/>
      <c r="AH4435" s="82"/>
      <c r="AI4435" s="82"/>
      <c r="AJ4435" s="82"/>
      <c r="AK4435" s="82"/>
      <c r="AL4435" s="82"/>
      <c r="AM4435" s="82"/>
      <c r="AN4435" s="82"/>
      <c r="AO4435" s="82"/>
      <c r="AP4435" s="82"/>
      <c r="AQ4435" s="82"/>
      <c r="AR4435" s="82"/>
      <c r="AS4435" s="82"/>
      <c r="AT4435" s="82"/>
      <c r="AU4435" s="82"/>
      <c r="AV4435" s="82"/>
      <c r="AW4435" s="82" t="str">
        <f t="shared" si="1"/>
        <v/>
      </c>
      <c r="AX4435" s="83" t="str">
        <f t="array" ref="AX4435">IFERROR(DGET('SBV Import'!A:G,"SBV",{"RSC ID","Tier";B4435,A4435}))</f>
        <v/>
      </c>
      <c r="AY4435" s="82" t="str">
        <f t="shared" si="2"/>
        <v/>
      </c>
      <c r="AZ4435" s="82"/>
      <c r="BA4435" s="84" t="s">
        <v>152</v>
      </c>
      <c r="BB4435" s="84" t="str">
        <f>IFERROR(__xludf.DUMMYFUNCTION("iferror(if(A4435="""",,E4435&gt;=FILTER(Constants!$F$2:$F$10,Constants!$A$2:$A$10=A4435)))"),"")</f>
        <v/>
      </c>
    </row>
    <row r="4436">
      <c r="A4436" s="89"/>
      <c r="B4436" s="87"/>
      <c r="C4436" s="73"/>
      <c r="D4436" s="73"/>
      <c r="E4436" s="82"/>
      <c r="F4436" s="82"/>
      <c r="G4436" s="86"/>
      <c r="H4436" s="86"/>
      <c r="I4436" s="86"/>
      <c r="J4436" s="82"/>
      <c r="K4436" s="82"/>
      <c r="L4436" s="82"/>
      <c r="M4436" s="82"/>
      <c r="N4436" s="82"/>
      <c r="O4436" s="82"/>
      <c r="P4436" s="82"/>
      <c r="Q4436" s="82"/>
      <c r="R4436" s="82"/>
      <c r="S4436" s="82"/>
      <c r="T4436" s="82"/>
      <c r="U4436" s="82"/>
      <c r="V4436" s="82"/>
      <c r="W4436" s="82"/>
      <c r="X4436" s="82"/>
      <c r="Y4436" s="82"/>
      <c r="Z4436" s="82"/>
      <c r="AA4436" s="82"/>
      <c r="AB4436" s="82"/>
      <c r="AC4436" s="82"/>
      <c r="AD4436" s="82"/>
      <c r="AE4436" s="82"/>
      <c r="AF4436" s="82"/>
      <c r="AG4436" s="82"/>
      <c r="AH4436" s="82"/>
      <c r="AI4436" s="82"/>
      <c r="AJ4436" s="82"/>
      <c r="AK4436" s="82"/>
      <c r="AL4436" s="82"/>
      <c r="AM4436" s="82"/>
      <c r="AN4436" s="82"/>
      <c r="AO4436" s="82"/>
      <c r="AP4436" s="82"/>
      <c r="AQ4436" s="82"/>
      <c r="AR4436" s="82"/>
      <c r="AS4436" s="82"/>
      <c r="AT4436" s="82"/>
      <c r="AU4436" s="82"/>
      <c r="AV4436" s="82"/>
      <c r="AW4436" s="82" t="str">
        <f t="shared" si="1"/>
        <v/>
      </c>
      <c r="AX4436" s="83" t="str">
        <f t="array" ref="AX4436">IFERROR(DGET('SBV Import'!A:G,"SBV",{"RSC ID","Tier";B4436,A4436}))</f>
        <v/>
      </c>
      <c r="AY4436" s="82" t="str">
        <f t="shared" si="2"/>
        <v/>
      </c>
      <c r="AZ4436" s="82"/>
      <c r="BA4436" s="84" t="s">
        <v>152</v>
      </c>
      <c r="BB4436" s="84" t="str">
        <f>IFERROR(__xludf.DUMMYFUNCTION("iferror(if(A4436="""",,E4436&gt;=FILTER(Constants!$F$2:$F$10,Constants!$A$2:$A$10=A4436)))"),"")</f>
        <v/>
      </c>
    </row>
    <row r="4437">
      <c r="A4437" s="89"/>
      <c r="B4437" s="87"/>
      <c r="C4437" s="73"/>
      <c r="D4437" s="73"/>
      <c r="E4437" s="82"/>
      <c r="F4437" s="82"/>
      <c r="G4437" s="86"/>
      <c r="H4437" s="86"/>
      <c r="I4437" s="86"/>
      <c r="J4437" s="82"/>
      <c r="K4437" s="82"/>
      <c r="L4437" s="82"/>
      <c r="M4437" s="82"/>
      <c r="N4437" s="82"/>
      <c r="O4437" s="82"/>
      <c r="P4437" s="82"/>
      <c r="Q4437" s="82"/>
      <c r="R4437" s="82"/>
      <c r="S4437" s="82"/>
      <c r="T4437" s="82"/>
      <c r="U4437" s="82"/>
      <c r="V4437" s="82"/>
      <c r="W4437" s="82"/>
      <c r="X4437" s="82"/>
      <c r="Y4437" s="82"/>
      <c r="Z4437" s="82"/>
      <c r="AA4437" s="82"/>
      <c r="AB4437" s="82"/>
      <c r="AC4437" s="82"/>
      <c r="AD4437" s="82"/>
      <c r="AE4437" s="82"/>
      <c r="AF4437" s="82"/>
      <c r="AG4437" s="82"/>
      <c r="AH4437" s="82"/>
      <c r="AI4437" s="82"/>
      <c r="AJ4437" s="82"/>
      <c r="AK4437" s="82"/>
      <c r="AL4437" s="82"/>
      <c r="AM4437" s="82"/>
      <c r="AN4437" s="82"/>
      <c r="AO4437" s="82"/>
      <c r="AP4437" s="82"/>
      <c r="AQ4437" s="82"/>
      <c r="AR4437" s="82"/>
      <c r="AS4437" s="82"/>
      <c r="AT4437" s="82"/>
      <c r="AU4437" s="82"/>
      <c r="AV4437" s="82"/>
      <c r="AW4437" s="82" t="str">
        <f t="shared" si="1"/>
        <v/>
      </c>
      <c r="AX4437" s="83" t="str">
        <f t="array" ref="AX4437">IFERROR(DGET('SBV Import'!A:G,"SBV",{"RSC ID","Tier";B4437,A4437}))</f>
        <v/>
      </c>
      <c r="AY4437" s="82" t="str">
        <f t="shared" si="2"/>
        <v/>
      </c>
      <c r="AZ4437" s="82"/>
      <c r="BA4437" s="84" t="s">
        <v>152</v>
      </c>
      <c r="BB4437" s="84" t="str">
        <f>IFERROR(__xludf.DUMMYFUNCTION("iferror(if(A4437="""",,E4437&gt;=FILTER(Constants!$F$2:$F$10,Constants!$A$2:$A$10=A4437)))"),"")</f>
        <v/>
      </c>
    </row>
    <row r="4438">
      <c r="A4438" s="89"/>
      <c r="B4438" s="87"/>
      <c r="C4438" s="73"/>
      <c r="D4438" s="73"/>
      <c r="E4438" s="82"/>
      <c r="F4438" s="82"/>
      <c r="G4438" s="86"/>
      <c r="H4438" s="86"/>
      <c r="I4438" s="86"/>
      <c r="J4438" s="82"/>
      <c r="K4438" s="82"/>
      <c r="L4438" s="82"/>
      <c r="M4438" s="82"/>
      <c r="N4438" s="82"/>
      <c r="O4438" s="82"/>
      <c r="P4438" s="82"/>
      <c r="Q4438" s="82"/>
      <c r="R4438" s="82"/>
      <c r="S4438" s="82"/>
      <c r="T4438" s="82"/>
      <c r="U4438" s="82"/>
      <c r="V4438" s="82"/>
      <c r="W4438" s="82"/>
      <c r="X4438" s="82"/>
      <c r="Y4438" s="82"/>
      <c r="Z4438" s="82"/>
      <c r="AA4438" s="82"/>
      <c r="AB4438" s="82"/>
      <c r="AC4438" s="82"/>
      <c r="AD4438" s="82"/>
      <c r="AE4438" s="82"/>
      <c r="AF4438" s="82"/>
      <c r="AG4438" s="82"/>
      <c r="AH4438" s="82"/>
      <c r="AI4438" s="82"/>
      <c r="AJ4438" s="82"/>
      <c r="AK4438" s="82"/>
      <c r="AL4438" s="82"/>
      <c r="AM4438" s="82"/>
      <c r="AN4438" s="82"/>
      <c r="AO4438" s="82"/>
      <c r="AP4438" s="82"/>
      <c r="AQ4438" s="82"/>
      <c r="AR4438" s="82"/>
      <c r="AS4438" s="82"/>
      <c r="AT4438" s="82"/>
      <c r="AU4438" s="82"/>
      <c r="AV4438" s="82"/>
      <c r="AW4438" s="82" t="str">
        <f t="shared" si="1"/>
        <v/>
      </c>
      <c r="AX4438" s="83" t="str">
        <f t="array" ref="AX4438">IFERROR(DGET('SBV Import'!A:G,"SBV",{"RSC ID","Tier";B4438,A4438}))</f>
        <v/>
      </c>
      <c r="AY4438" s="82" t="str">
        <f t="shared" si="2"/>
        <v/>
      </c>
      <c r="AZ4438" s="82"/>
      <c r="BA4438" s="84" t="s">
        <v>152</v>
      </c>
      <c r="BB4438" s="84" t="str">
        <f>IFERROR(__xludf.DUMMYFUNCTION("iferror(if(A4438="""",,E4438&gt;=FILTER(Constants!$F$2:$F$10,Constants!$A$2:$A$10=A4438)))"),"")</f>
        <v/>
      </c>
    </row>
    <row r="4439">
      <c r="A4439" s="89"/>
      <c r="B4439" s="87"/>
      <c r="C4439" s="73"/>
      <c r="D4439" s="73"/>
      <c r="E4439" s="82"/>
      <c r="F4439" s="82"/>
      <c r="G4439" s="86"/>
      <c r="H4439" s="86"/>
      <c r="I4439" s="86"/>
      <c r="J4439" s="82"/>
      <c r="K4439" s="82"/>
      <c r="L4439" s="82"/>
      <c r="M4439" s="82"/>
      <c r="N4439" s="82"/>
      <c r="O4439" s="82"/>
      <c r="P4439" s="82"/>
      <c r="Q4439" s="82"/>
      <c r="R4439" s="82"/>
      <c r="S4439" s="82"/>
      <c r="T4439" s="82"/>
      <c r="U4439" s="82"/>
      <c r="V4439" s="82"/>
      <c r="W4439" s="82"/>
      <c r="X4439" s="82"/>
      <c r="Y4439" s="82"/>
      <c r="Z4439" s="82"/>
      <c r="AA4439" s="82"/>
      <c r="AB4439" s="82"/>
      <c r="AC4439" s="82"/>
      <c r="AD4439" s="82"/>
      <c r="AE4439" s="82"/>
      <c r="AF4439" s="82"/>
      <c r="AG4439" s="82"/>
      <c r="AH4439" s="82"/>
      <c r="AI4439" s="82"/>
      <c r="AJ4439" s="82"/>
      <c r="AK4439" s="82"/>
      <c r="AL4439" s="82"/>
      <c r="AM4439" s="82"/>
      <c r="AN4439" s="82"/>
      <c r="AO4439" s="82"/>
      <c r="AP4439" s="82"/>
      <c r="AQ4439" s="82"/>
      <c r="AR4439" s="82"/>
      <c r="AS4439" s="82"/>
      <c r="AT4439" s="82"/>
      <c r="AU4439" s="82"/>
      <c r="AV4439" s="82"/>
      <c r="AW4439" s="82" t="str">
        <f t="shared" si="1"/>
        <v/>
      </c>
      <c r="AX4439" s="83" t="str">
        <f t="array" ref="AX4439">IFERROR(DGET('SBV Import'!A:G,"SBV",{"RSC ID","Tier";B4439,A4439}))</f>
        <v/>
      </c>
      <c r="AY4439" s="82" t="str">
        <f t="shared" si="2"/>
        <v/>
      </c>
      <c r="AZ4439" s="82"/>
      <c r="BA4439" s="84" t="s">
        <v>152</v>
      </c>
      <c r="BB4439" s="84" t="str">
        <f>IFERROR(__xludf.DUMMYFUNCTION("iferror(if(A4439="""",,E4439&gt;=FILTER(Constants!$F$2:$F$10,Constants!$A$2:$A$10=A4439)))"),"")</f>
        <v/>
      </c>
    </row>
    <row r="4440">
      <c r="A4440" s="89"/>
      <c r="B4440" s="87"/>
      <c r="C4440" s="73"/>
      <c r="D4440" s="73"/>
      <c r="E4440" s="82"/>
      <c r="F4440" s="82"/>
      <c r="G4440" s="86"/>
      <c r="H4440" s="86"/>
      <c r="I4440" s="86"/>
      <c r="J4440" s="82"/>
      <c r="K4440" s="82"/>
      <c r="L4440" s="82"/>
      <c r="M4440" s="82"/>
      <c r="N4440" s="82"/>
      <c r="O4440" s="82"/>
      <c r="P4440" s="82"/>
      <c r="Q4440" s="82"/>
      <c r="R4440" s="82"/>
      <c r="S4440" s="82"/>
      <c r="T4440" s="82"/>
      <c r="U4440" s="82"/>
      <c r="V4440" s="82"/>
      <c r="W4440" s="82"/>
      <c r="X4440" s="82"/>
      <c r="Y4440" s="82"/>
      <c r="Z4440" s="82"/>
      <c r="AA4440" s="82"/>
      <c r="AB4440" s="82"/>
      <c r="AC4440" s="82"/>
      <c r="AD4440" s="82"/>
      <c r="AE4440" s="82"/>
      <c r="AF4440" s="82"/>
      <c r="AG4440" s="82"/>
      <c r="AH4440" s="82"/>
      <c r="AI4440" s="82"/>
      <c r="AJ4440" s="82"/>
      <c r="AK4440" s="82"/>
      <c r="AL4440" s="82"/>
      <c r="AM4440" s="82"/>
      <c r="AN4440" s="82"/>
      <c r="AO4440" s="82"/>
      <c r="AP4440" s="82"/>
      <c r="AQ4440" s="82"/>
      <c r="AR4440" s="82"/>
      <c r="AS4440" s="82"/>
      <c r="AT4440" s="82"/>
      <c r="AU4440" s="82"/>
      <c r="AV4440" s="82"/>
      <c r="AW4440" s="82" t="str">
        <f t="shared" si="1"/>
        <v/>
      </c>
      <c r="AX4440" s="83" t="str">
        <f t="array" ref="AX4440">IFERROR(DGET('SBV Import'!A:G,"SBV",{"RSC ID","Tier";B4440,A4440}))</f>
        <v/>
      </c>
      <c r="AY4440" s="82" t="str">
        <f t="shared" si="2"/>
        <v/>
      </c>
      <c r="AZ4440" s="82"/>
      <c r="BA4440" s="84" t="s">
        <v>152</v>
      </c>
      <c r="BB4440" s="84" t="str">
        <f>IFERROR(__xludf.DUMMYFUNCTION("iferror(if(A4440="""",,E4440&gt;=FILTER(Constants!$F$2:$F$10,Constants!$A$2:$A$10=A4440)))"),"")</f>
        <v/>
      </c>
    </row>
    <row r="4441">
      <c r="A4441" s="89"/>
      <c r="B4441" s="87"/>
      <c r="C4441" s="73"/>
      <c r="D4441" s="73"/>
      <c r="E4441" s="82"/>
      <c r="F4441" s="82"/>
      <c r="G4441" s="86"/>
      <c r="H4441" s="86"/>
      <c r="I4441" s="86"/>
      <c r="J4441" s="82"/>
      <c r="K4441" s="82"/>
      <c r="L4441" s="82"/>
      <c r="M4441" s="82"/>
      <c r="N4441" s="82"/>
      <c r="O4441" s="82"/>
      <c r="P4441" s="82"/>
      <c r="Q4441" s="82"/>
      <c r="R4441" s="82"/>
      <c r="S4441" s="82"/>
      <c r="T4441" s="82"/>
      <c r="U4441" s="82"/>
      <c r="V4441" s="82"/>
      <c r="W4441" s="82"/>
      <c r="X4441" s="82"/>
      <c r="Y4441" s="82"/>
      <c r="Z4441" s="82"/>
      <c r="AA4441" s="82"/>
      <c r="AB4441" s="82"/>
      <c r="AC4441" s="82"/>
      <c r="AD4441" s="82"/>
      <c r="AE4441" s="82"/>
      <c r="AF4441" s="82"/>
      <c r="AG4441" s="82"/>
      <c r="AH4441" s="82"/>
      <c r="AI4441" s="82"/>
      <c r="AJ4441" s="82"/>
      <c r="AK4441" s="82"/>
      <c r="AL4441" s="82"/>
      <c r="AM4441" s="82"/>
      <c r="AN4441" s="82"/>
      <c r="AO4441" s="82"/>
      <c r="AP4441" s="82"/>
      <c r="AQ4441" s="82"/>
      <c r="AR4441" s="82"/>
      <c r="AS4441" s="82"/>
      <c r="AT4441" s="82"/>
      <c r="AU4441" s="82"/>
      <c r="AV4441" s="82"/>
      <c r="AW4441" s="82" t="str">
        <f t="shared" si="1"/>
        <v/>
      </c>
      <c r="AX4441" s="83" t="str">
        <f t="array" ref="AX4441">IFERROR(DGET('SBV Import'!A:G,"SBV",{"RSC ID","Tier";B4441,A4441}))</f>
        <v/>
      </c>
      <c r="AY4441" s="82" t="str">
        <f t="shared" si="2"/>
        <v/>
      </c>
      <c r="AZ4441" s="82"/>
      <c r="BA4441" s="84" t="s">
        <v>152</v>
      </c>
      <c r="BB4441" s="84" t="str">
        <f>IFERROR(__xludf.DUMMYFUNCTION("iferror(if(A4441="""",,E4441&gt;=FILTER(Constants!$F$2:$F$10,Constants!$A$2:$A$10=A4441)))"),"")</f>
        <v/>
      </c>
    </row>
    <row r="4442">
      <c r="A4442" s="89"/>
      <c r="B4442" s="87"/>
      <c r="C4442" s="73"/>
      <c r="D4442" s="73"/>
      <c r="E4442" s="82"/>
      <c r="F4442" s="82"/>
      <c r="G4442" s="86"/>
      <c r="H4442" s="86"/>
      <c r="I4442" s="86"/>
      <c r="J4442" s="82"/>
      <c r="K4442" s="82"/>
      <c r="L4442" s="82"/>
      <c r="M4442" s="82"/>
      <c r="N4442" s="82"/>
      <c r="O4442" s="82"/>
      <c r="P4442" s="82"/>
      <c r="Q4442" s="82"/>
      <c r="R4442" s="82"/>
      <c r="S4442" s="82"/>
      <c r="T4442" s="82"/>
      <c r="U4442" s="82"/>
      <c r="V4442" s="82"/>
      <c r="W4442" s="82"/>
      <c r="X4442" s="82"/>
      <c r="Y4442" s="82"/>
      <c r="Z4442" s="82"/>
      <c r="AA4442" s="82"/>
      <c r="AB4442" s="82"/>
      <c r="AC4442" s="82"/>
      <c r="AD4442" s="82"/>
      <c r="AE4442" s="82"/>
      <c r="AF4442" s="82"/>
      <c r="AG4442" s="82"/>
      <c r="AH4442" s="82"/>
      <c r="AI4442" s="82"/>
      <c r="AJ4442" s="82"/>
      <c r="AK4442" s="82"/>
      <c r="AL4442" s="82"/>
      <c r="AM4442" s="82"/>
      <c r="AN4442" s="82"/>
      <c r="AO4442" s="82"/>
      <c r="AP4442" s="82"/>
      <c r="AQ4442" s="82"/>
      <c r="AR4442" s="82"/>
      <c r="AS4442" s="82"/>
      <c r="AT4442" s="82"/>
      <c r="AU4442" s="82"/>
      <c r="AV4442" s="82"/>
      <c r="AW4442" s="82" t="str">
        <f t="shared" si="1"/>
        <v/>
      </c>
      <c r="AX4442" s="83" t="str">
        <f t="array" ref="AX4442">IFERROR(DGET('SBV Import'!A:G,"SBV",{"RSC ID","Tier";B4442,A4442}))</f>
        <v/>
      </c>
      <c r="AY4442" s="82" t="str">
        <f t="shared" si="2"/>
        <v/>
      </c>
      <c r="AZ4442" s="82"/>
      <c r="BA4442" s="84" t="s">
        <v>152</v>
      </c>
      <c r="BB4442" s="84" t="str">
        <f>IFERROR(__xludf.DUMMYFUNCTION("iferror(if(A4442="""",,E4442&gt;=FILTER(Constants!$F$2:$F$10,Constants!$A$2:$A$10=A4442)))"),"")</f>
        <v/>
      </c>
    </row>
    <row r="4443">
      <c r="A4443" s="89"/>
      <c r="B4443" s="87"/>
      <c r="C4443" s="73"/>
      <c r="D4443" s="73"/>
      <c r="E4443" s="82"/>
      <c r="F4443" s="82"/>
      <c r="G4443" s="86"/>
      <c r="H4443" s="86"/>
      <c r="I4443" s="86"/>
      <c r="J4443" s="82"/>
      <c r="K4443" s="82"/>
      <c r="L4443" s="82"/>
      <c r="M4443" s="82"/>
      <c r="N4443" s="82"/>
      <c r="O4443" s="82"/>
      <c r="P4443" s="82"/>
      <c r="Q4443" s="82"/>
      <c r="R4443" s="82"/>
      <c r="S4443" s="82"/>
      <c r="T4443" s="82"/>
      <c r="U4443" s="82"/>
      <c r="V4443" s="82"/>
      <c r="W4443" s="82"/>
      <c r="X4443" s="82"/>
      <c r="Y4443" s="82"/>
      <c r="Z4443" s="82"/>
      <c r="AA4443" s="82"/>
      <c r="AB4443" s="82"/>
      <c r="AC4443" s="82"/>
      <c r="AD4443" s="82"/>
      <c r="AE4443" s="82"/>
      <c r="AF4443" s="82"/>
      <c r="AG4443" s="82"/>
      <c r="AH4443" s="82"/>
      <c r="AI4443" s="82"/>
      <c r="AJ4443" s="82"/>
      <c r="AK4443" s="82"/>
      <c r="AL4443" s="82"/>
      <c r="AM4443" s="82"/>
      <c r="AN4443" s="82"/>
      <c r="AO4443" s="82"/>
      <c r="AP4443" s="82"/>
      <c r="AQ4443" s="82"/>
      <c r="AR4443" s="82"/>
      <c r="AS4443" s="82"/>
      <c r="AT4443" s="82"/>
      <c r="AU4443" s="82"/>
      <c r="AV4443" s="82"/>
      <c r="AW4443" s="82" t="str">
        <f t="shared" si="1"/>
        <v/>
      </c>
      <c r="AX4443" s="83" t="str">
        <f t="array" ref="AX4443">IFERROR(DGET('SBV Import'!A:G,"SBV",{"RSC ID","Tier";B4443,A4443}))</f>
        <v/>
      </c>
      <c r="AY4443" s="82" t="str">
        <f t="shared" si="2"/>
        <v/>
      </c>
      <c r="AZ4443" s="82"/>
      <c r="BA4443" s="84" t="s">
        <v>152</v>
      </c>
      <c r="BB4443" s="84" t="str">
        <f>IFERROR(__xludf.DUMMYFUNCTION("iferror(if(A4443="""",,E4443&gt;=FILTER(Constants!$F$2:$F$10,Constants!$A$2:$A$10=A4443)))"),"")</f>
        <v/>
      </c>
    </row>
    <row r="4444">
      <c r="A4444" s="89"/>
      <c r="B4444" s="87"/>
      <c r="C4444" s="73"/>
      <c r="D4444" s="73"/>
      <c r="E4444" s="82"/>
      <c r="F4444" s="82"/>
      <c r="G4444" s="86"/>
      <c r="H4444" s="86"/>
      <c r="I4444" s="86"/>
      <c r="J4444" s="82"/>
      <c r="K4444" s="82"/>
      <c r="L4444" s="82"/>
      <c r="M4444" s="82"/>
      <c r="N4444" s="82"/>
      <c r="O4444" s="82"/>
      <c r="P4444" s="82"/>
      <c r="Q4444" s="82"/>
      <c r="R4444" s="82"/>
      <c r="S4444" s="82"/>
      <c r="T4444" s="82"/>
      <c r="U4444" s="82"/>
      <c r="V4444" s="82"/>
      <c r="W4444" s="82"/>
      <c r="X4444" s="82"/>
      <c r="Y4444" s="82"/>
      <c r="Z4444" s="82"/>
      <c r="AA4444" s="82"/>
      <c r="AB4444" s="82"/>
      <c r="AC4444" s="82"/>
      <c r="AD4444" s="82"/>
      <c r="AE4444" s="82"/>
      <c r="AF4444" s="82"/>
      <c r="AG4444" s="82"/>
      <c r="AH4444" s="82"/>
      <c r="AI4444" s="82"/>
      <c r="AJ4444" s="82"/>
      <c r="AK4444" s="82"/>
      <c r="AL4444" s="82"/>
      <c r="AM4444" s="82"/>
      <c r="AN4444" s="82"/>
      <c r="AO4444" s="82"/>
      <c r="AP4444" s="82"/>
      <c r="AQ4444" s="82"/>
      <c r="AR4444" s="82"/>
      <c r="AS4444" s="82"/>
      <c r="AT4444" s="82"/>
      <c r="AU4444" s="82"/>
      <c r="AV4444" s="82"/>
      <c r="AW4444" s="82" t="str">
        <f t="shared" si="1"/>
        <v/>
      </c>
      <c r="AX4444" s="83" t="str">
        <f t="array" ref="AX4444">IFERROR(DGET('SBV Import'!A:G,"SBV",{"RSC ID","Tier";B4444,A4444}))</f>
        <v/>
      </c>
      <c r="AY4444" s="82" t="str">
        <f t="shared" si="2"/>
        <v/>
      </c>
      <c r="AZ4444" s="82"/>
      <c r="BA4444" s="84" t="s">
        <v>152</v>
      </c>
      <c r="BB4444" s="84" t="str">
        <f>IFERROR(__xludf.DUMMYFUNCTION("iferror(if(A4444="""",,E4444&gt;=FILTER(Constants!$F$2:$F$10,Constants!$A$2:$A$10=A4444)))"),"")</f>
        <v/>
      </c>
    </row>
    <row r="4445">
      <c r="A4445" s="89"/>
      <c r="B4445" s="87"/>
      <c r="C4445" s="73"/>
      <c r="D4445" s="73"/>
      <c r="E4445" s="82"/>
      <c r="F4445" s="82"/>
      <c r="G4445" s="86"/>
      <c r="H4445" s="86"/>
      <c r="I4445" s="86"/>
      <c r="J4445" s="82"/>
      <c r="K4445" s="82"/>
      <c r="L4445" s="82"/>
      <c r="M4445" s="82"/>
      <c r="N4445" s="82"/>
      <c r="O4445" s="82"/>
      <c r="P4445" s="82"/>
      <c r="Q4445" s="82"/>
      <c r="R4445" s="82"/>
      <c r="S4445" s="82"/>
      <c r="T4445" s="82"/>
      <c r="U4445" s="82"/>
      <c r="V4445" s="82"/>
      <c r="W4445" s="82"/>
      <c r="X4445" s="82"/>
      <c r="Y4445" s="82"/>
      <c r="Z4445" s="82"/>
      <c r="AA4445" s="82"/>
      <c r="AB4445" s="82"/>
      <c r="AC4445" s="82"/>
      <c r="AD4445" s="82"/>
      <c r="AE4445" s="82"/>
      <c r="AF4445" s="82"/>
      <c r="AG4445" s="82"/>
      <c r="AH4445" s="82"/>
      <c r="AI4445" s="82"/>
      <c r="AJ4445" s="82"/>
      <c r="AK4445" s="82"/>
      <c r="AL4445" s="82"/>
      <c r="AM4445" s="82"/>
      <c r="AN4445" s="82"/>
      <c r="AO4445" s="82"/>
      <c r="AP4445" s="82"/>
      <c r="AQ4445" s="82"/>
      <c r="AR4445" s="82"/>
      <c r="AS4445" s="82"/>
      <c r="AT4445" s="82"/>
      <c r="AU4445" s="82"/>
      <c r="AV4445" s="82"/>
      <c r="AW4445" s="82" t="str">
        <f t="shared" si="1"/>
        <v/>
      </c>
      <c r="AX4445" s="83" t="str">
        <f t="array" ref="AX4445">IFERROR(DGET('SBV Import'!A:G,"SBV",{"RSC ID","Tier";B4445,A4445}))</f>
        <v/>
      </c>
      <c r="AY4445" s="82" t="str">
        <f t="shared" si="2"/>
        <v/>
      </c>
      <c r="AZ4445" s="82"/>
      <c r="BA4445" s="84" t="s">
        <v>152</v>
      </c>
      <c r="BB4445" s="84" t="str">
        <f>IFERROR(__xludf.DUMMYFUNCTION("iferror(if(A4445="""",,E4445&gt;=FILTER(Constants!$F$2:$F$10,Constants!$A$2:$A$10=A4445)))"),"")</f>
        <v/>
      </c>
    </row>
    <row r="4446">
      <c r="A4446" s="89"/>
      <c r="B4446" s="87"/>
      <c r="C4446" s="73"/>
      <c r="D4446" s="73"/>
      <c r="E4446" s="82"/>
      <c r="F4446" s="82"/>
      <c r="G4446" s="86"/>
      <c r="H4446" s="86"/>
      <c r="I4446" s="86"/>
      <c r="J4446" s="82"/>
      <c r="K4446" s="82"/>
      <c r="L4446" s="82"/>
      <c r="M4446" s="82"/>
      <c r="N4446" s="82"/>
      <c r="O4446" s="82"/>
      <c r="P4446" s="82"/>
      <c r="Q4446" s="82"/>
      <c r="R4446" s="82"/>
      <c r="S4446" s="82"/>
      <c r="T4446" s="82"/>
      <c r="U4446" s="82"/>
      <c r="V4446" s="82"/>
      <c r="W4446" s="82"/>
      <c r="X4446" s="82"/>
      <c r="Y4446" s="82"/>
      <c r="Z4446" s="82"/>
      <c r="AA4446" s="82"/>
      <c r="AB4446" s="82"/>
      <c r="AC4446" s="82"/>
      <c r="AD4446" s="82"/>
      <c r="AE4446" s="82"/>
      <c r="AF4446" s="82"/>
      <c r="AG4446" s="82"/>
      <c r="AH4446" s="82"/>
      <c r="AI4446" s="82"/>
      <c r="AJ4446" s="82"/>
      <c r="AK4446" s="82"/>
      <c r="AL4446" s="82"/>
      <c r="AM4446" s="82"/>
      <c r="AN4446" s="82"/>
      <c r="AO4446" s="82"/>
      <c r="AP4446" s="82"/>
      <c r="AQ4446" s="82"/>
      <c r="AR4446" s="82"/>
      <c r="AS4446" s="82"/>
      <c r="AT4446" s="82"/>
      <c r="AU4446" s="82"/>
      <c r="AV4446" s="82"/>
      <c r="AW4446" s="82" t="str">
        <f t="shared" si="1"/>
        <v/>
      </c>
      <c r="AX4446" s="83" t="str">
        <f t="array" ref="AX4446">IFERROR(DGET('SBV Import'!A:G,"SBV",{"RSC ID","Tier";B4446,A4446}))</f>
        <v/>
      </c>
      <c r="AY4446" s="82" t="str">
        <f t="shared" si="2"/>
        <v/>
      </c>
      <c r="AZ4446" s="82"/>
      <c r="BA4446" s="84" t="s">
        <v>152</v>
      </c>
      <c r="BB4446" s="84" t="str">
        <f>IFERROR(__xludf.DUMMYFUNCTION("iferror(if(A4446="""",,E4446&gt;=FILTER(Constants!$F$2:$F$10,Constants!$A$2:$A$10=A4446)))"),"")</f>
        <v/>
      </c>
    </row>
    <row r="4447">
      <c r="A4447" s="89"/>
      <c r="B4447" s="87"/>
      <c r="C4447" s="73"/>
      <c r="D4447" s="73"/>
      <c r="E4447" s="82"/>
      <c r="F4447" s="82"/>
      <c r="G4447" s="86"/>
      <c r="H4447" s="86"/>
      <c r="I4447" s="86"/>
      <c r="J4447" s="82"/>
      <c r="K4447" s="82"/>
      <c r="L4447" s="82"/>
      <c r="M4447" s="82"/>
      <c r="N4447" s="82"/>
      <c r="O4447" s="82"/>
      <c r="P4447" s="82"/>
      <c r="Q4447" s="82"/>
      <c r="R4447" s="82"/>
      <c r="S4447" s="82"/>
      <c r="T4447" s="82"/>
      <c r="U4447" s="82"/>
      <c r="V4447" s="82"/>
      <c r="W4447" s="82"/>
      <c r="X4447" s="82"/>
      <c r="Y4447" s="82"/>
      <c r="Z4447" s="82"/>
      <c r="AA4447" s="82"/>
      <c r="AB4447" s="82"/>
      <c r="AC4447" s="82"/>
      <c r="AD4447" s="82"/>
      <c r="AE4447" s="82"/>
      <c r="AF4447" s="82"/>
      <c r="AG4447" s="82"/>
      <c r="AH4447" s="82"/>
      <c r="AI4447" s="82"/>
      <c r="AJ4447" s="82"/>
      <c r="AK4447" s="82"/>
      <c r="AL4447" s="82"/>
      <c r="AM4447" s="82"/>
      <c r="AN4447" s="82"/>
      <c r="AO4447" s="82"/>
      <c r="AP4447" s="82"/>
      <c r="AQ4447" s="82"/>
      <c r="AR4447" s="82"/>
      <c r="AS4447" s="82"/>
      <c r="AT4447" s="82"/>
      <c r="AU4447" s="82"/>
      <c r="AV4447" s="82"/>
      <c r="AW4447" s="82" t="str">
        <f t="shared" si="1"/>
        <v/>
      </c>
      <c r="AX4447" s="83" t="str">
        <f t="array" ref="AX4447">IFERROR(DGET('SBV Import'!A:G,"SBV",{"RSC ID","Tier";B4447,A4447}))</f>
        <v/>
      </c>
      <c r="AY4447" s="82" t="str">
        <f t="shared" si="2"/>
        <v/>
      </c>
      <c r="AZ4447" s="82"/>
      <c r="BA4447" s="84" t="s">
        <v>152</v>
      </c>
      <c r="BB4447" s="84" t="str">
        <f>IFERROR(__xludf.DUMMYFUNCTION("iferror(if(A4447="""",,E4447&gt;=FILTER(Constants!$F$2:$F$10,Constants!$A$2:$A$10=A4447)))"),"")</f>
        <v/>
      </c>
    </row>
    <row r="4448">
      <c r="A4448" s="89"/>
      <c r="B4448" s="87"/>
      <c r="C4448" s="73"/>
      <c r="D4448" s="73"/>
      <c r="E4448" s="82"/>
      <c r="F4448" s="82"/>
      <c r="G4448" s="86"/>
      <c r="H4448" s="86"/>
      <c r="I4448" s="86"/>
      <c r="J4448" s="82"/>
      <c r="K4448" s="82"/>
      <c r="L4448" s="82"/>
      <c r="M4448" s="82"/>
      <c r="N4448" s="82"/>
      <c r="O4448" s="82"/>
      <c r="P4448" s="82"/>
      <c r="Q4448" s="82"/>
      <c r="R4448" s="82"/>
      <c r="S4448" s="82"/>
      <c r="T4448" s="82"/>
      <c r="U4448" s="82"/>
      <c r="V4448" s="82"/>
      <c r="W4448" s="82"/>
      <c r="X4448" s="82"/>
      <c r="Y4448" s="82"/>
      <c r="Z4448" s="82"/>
      <c r="AA4448" s="82"/>
      <c r="AB4448" s="82"/>
      <c r="AC4448" s="82"/>
      <c r="AD4448" s="82"/>
      <c r="AE4448" s="82"/>
      <c r="AF4448" s="82"/>
      <c r="AG4448" s="82"/>
      <c r="AH4448" s="82"/>
      <c r="AI4448" s="82"/>
      <c r="AJ4448" s="82"/>
      <c r="AK4448" s="82"/>
      <c r="AL4448" s="82"/>
      <c r="AM4448" s="82"/>
      <c r="AN4448" s="82"/>
      <c r="AO4448" s="82"/>
      <c r="AP4448" s="82"/>
      <c r="AQ4448" s="82"/>
      <c r="AR4448" s="82"/>
      <c r="AS4448" s="82"/>
      <c r="AT4448" s="82"/>
      <c r="AU4448" s="82"/>
      <c r="AV4448" s="82"/>
      <c r="AW4448" s="82" t="str">
        <f t="shared" si="1"/>
        <v/>
      </c>
      <c r="AX4448" s="83" t="str">
        <f t="array" ref="AX4448">IFERROR(DGET('SBV Import'!A:G,"SBV",{"RSC ID","Tier";B4448,A4448}))</f>
        <v/>
      </c>
      <c r="AY4448" s="82" t="str">
        <f t="shared" si="2"/>
        <v/>
      </c>
      <c r="AZ4448" s="82"/>
      <c r="BA4448" s="84" t="s">
        <v>152</v>
      </c>
      <c r="BB4448" s="84" t="str">
        <f>IFERROR(__xludf.DUMMYFUNCTION("iferror(if(A4448="""",,E4448&gt;=FILTER(Constants!$F$2:$F$10,Constants!$A$2:$A$10=A4448)))"),"")</f>
        <v/>
      </c>
    </row>
    <row r="4449">
      <c r="A4449" s="89"/>
      <c r="B4449" s="87"/>
      <c r="C4449" s="73"/>
      <c r="D4449" s="73"/>
      <c r="E4449" s="82"/>
      <c r="F4449" s="82"/>
      <c r="G4449" s="86"/>
      <c r="H4449" s="86"/>
      <c r="I4449" s="86"/>
      <c r="J4449" s="82"/>
      <c r="K4449" s="82"/>
      <c r="L4449" s="82"/>
      <c r="M4449" s="82"/>
      <c r="N4449" s="82"/>
      <c r="O4449" s="82"/>
      <c r="P4449" s="82"/>
      <c r="Q4449" s="82"/>
      <c r="R4449" s="82"/>
      <c r="S4449" s="82"/>
      <c r="T4449" s="82"/>
      <c r="U4449" s="82"/>
      <c r="V4449" s="82"/>
      <c r="W4449" s="82"/>
      <c r="X4449" s="82"/>
      <c r="Y4449" s="82"/>
      <c r="Z4449" s="82"/>
      <c r="AA4449" s="82"/>
      <c r="AB4449" s="82"/>
      <c r="AC4449" s="82"/>
      <c r="AD4449" s="82"/>
      <c r="AE4449" s="82"/>
      <c r="AF4449" s="82"/>
      <c r="AG4449" s="82"/>
      <c r="AH4449" s="82"/>
      <c r="AI4449" s="82"/>
      <c r="AJ4449" s="82"/>
      <c r="AK4449" s="82"/>
      <c r="AL4449" s="82"/>
      <c r="AM4449" s="82"/>
      <c r="AN4449" s="82"/>
      <c r="AO4449" s="82"/>
      <c r="AP4449" s="82"/>
      <c r="AQ4449" s="82"/>
      <c r="AR4449" s="82"/>
      <c r="AS4449" s="82"/>
      <c r="AT4449" s="82"/>
      <c r="AU4449" s="82"/>
      <c r="AV4449" s="82"/>
      <c r="AW4449" s="82" t="str">
        <f t="shared" si="1"/>
        <v/>
      </c>
      <c r="AX4449" s="83" t="str">
        <f t="array" ref="AX4449">IFERROR(DGET('SBV Import'!A:G,"SBV",{"RSC ID","Tier";B4449,A4449}))</f>
        <v/>
      </c>
      <c r="AY4449" s="82" t="str">
        <f t="shared" si="2"/>
        <v/>
      </c>
      <c r="AZ4449" s="82"/>
      <c r="BA4449" s="84" t="s">
        <v>152</v>
      </c>
      <c r="BB4449" s="84" t="str">
        <f>IFERROR(__xludf.DUMMYFUNCTION("iferror(if(A4449="""",,E4449&gt;=FILTER(Constants!$F$2:$F$10,Constants!$A$2:$A$10=A4449)))"),"")</f>
        <v/>
      </c>
    </row>
    <row r="4450">
      <c r="A4450" s="89"/>
      <c r="B4450" s="87"/>
      <c r="C4450" s="73"/>
      <c r="D4450" s="73"/>
      <c r="E4450" s="82"/>
      <c r="F4450" s="82"/>
      <c r="G4450" s="86"/>
      <c r="H4450" s="86"/>
      <c r="I4450" s="86"/>
      <c r="J4450" s="82"/>
      <c r="K4450" s="82"/>
      <c r="L4450" s="82"/>
      <c r="M4450" s="82"/>
      <c r="N4450" s="82"/>
      <c r="O4450" s="82"/>
      <c r="P4450" s="82"/>
      <c r="Q4450" s="82"/>
      <c r="R4450" s="82"/>
      <c r="S4450" s="82"/>
      <c r="T4450" s="82"/>
      <c r="U4450" s="82"/>
      <c r="V4450" s="82"/>
      <c r="W4450" s="82"/>
      <c r="X4450" s="82"/>
      <c r="Y4450" s="82"/>
      <c r="Z4450" s="82"/>
      <c r="AA4450" s="82"/>
      <c r="AB4450" s="82"/>
      <c r="AC4450" s="82"/>
      <c r="AD4450" s="82"/>
      <c r="AE4450" s="82"/>
      <c r="AF4450" s="82"/>
      <c r="AG4450" s="82"/>
      <c r="AH4450" s="82"/>
      <c r="AI4450" s="82"/>
      <c r="AJ4450" s="82"/>
      <c r="AK4450" s="82"/>
      <c r="AL4450" s="82"/>
      <c r="AM4450" s="82"/>
      <c r="AN4450" s="82"/>
      <c r="AO4450" s="82"/>
      <c r="AP4450" s="82"/>
      <c r="AQ4450" s="82"/>
      <c r="AR4450" s="82"/>
      <c r="AS4450" s="82"/>
      <c r="AT4450" s="82"/>
      <c r="AU4450" s="82"/>
      <c r="AV4450" s="82"/>
      <c r="AW4450" s="82" t="str">
        <f t="shared" si="1"/>
        <v/>
      </c>
      <c r="AX4450" s="83" t="str">
        <f t="array" ref="AX4450">IFERROR(DGET('SBV Import'!A:G,"SBV",{"RSC ID","Tier";B4450,A4450}))</f>
        <v/>
      </c>
      <c r="AY4450" s="82" t="str">
        <f t="shared" si="2"/>
        <v/>
      </c>
      <c r="AZ4450" s="82"/>
      <c r="BA4450" s="84" t="s">
        <v>152</v>
      </c>
      <c r="BB4450" s="84" t="str">
        <f>IFERROR(__xludf.DUMMYFUNCTION("iferror(if(A4450="""",,E4450&gt;=FILTER(Constants!$F$2:$F$10,Constants!$A$2:$A$10=A4450)))"),"")</f>
        <v/>
      </c>
    </row>
    <row r="4451">
      <c r="A4451" s="89"/>
      <c r="B4451" s="87"/>
      <c r="C4451" s="73"/>
      <c r="D4451" s="73"/>
      <c r="E4451" s="82"/>
      <c r="F4451" s="82"/>
      <c r="G4451" s="86"/>
      <c r="H4451" s="86"/>
      <c r="I4451" s="86"/>
      <c r="J4451" s="82"/>
      <c r="K4451" s="82"/>
      <c r="L4451" s="82"/>
      <c r="M4451" s="82"/>
      <c r="N4451" s="82"/>
      <c r="O4451" s="82"/>
      <c r="P4451" s="82"/>
      <c r="Q4451" s="82"/>
      <c r="R4451" s="82"/>
      <c r="S4451" s="82"/>
      <c r="T4451" s="82"/>
      <c r="U4451" s="82"/>
      <c r="V4451" s="82"/>
      <c r="W4451" s="82"/>
      <c r="X4451" s="82"/>
      <c r="Y4451" s="82"/>
      <c r="Z4451" s="82"/>
      <c r="AA4451" s="82"/>
      <c r="AB4451" s="82"/>
      <c r="AC4451" s="82"/>
      <c r="AD4451" s="82"/>
      <c r="AE4451" s="82"/>
      <c r="AF4451" s="82"/>
      <c r="AG4451" s="82"/>
      <c r="AH4451" s="82"/>
      <c r="AI4451" s="82"/>
      <c r="AJ4451" s="82"/>
      <c r="AK4451" s="82"/>
      <c r="AL4451" s="82"/>
      <c r="AM4451" s="82"/>
      <c r="AN4451" s="82"/>
      <c r="AO4451" s="82"/>
      <c r="AP4451" s="82"/>
      <c r="AQ4451" s="82"/>
      <c r="AR4451" s="82"/>
      <c r="AS4451" s="82"/>
      <c r="AT4451" s="82"/>
      <c r="AU4451" s="82"/>
      <c r="AV4451" s="82"/>
      <c r="AW4451" s="82" t="str">
        <f t="shared" si="1"/>
        <v/>
      </c>
      <c r="AX4451" s="83" t="str">
        <f t="array" ref="AX4451">IFERROR(DGET('SBV Import'!A:G,"SBV",{"RSC ID","Tier";B4451,A4451}))</f>
        <v/>
      </c>
      <c r="AY4451" s="82" t="str">
        <f t="shared" si="2"/>
        <v/>
      </c>
      <c r="AZ4451" s="82"/>
      <c r="BA4451" s="84" t="s">
        <v>152</v>
      </c>
      <c r="BB4451" s="84" t="str">
        <f>IFERROR(__xludf.DUMMYFUNCTION("iferror(if(A4451="""",,E4451&gt;=FILTER(Constants!$F$2:$F$10,Constants!$A$2:$A$10=A4451)))"),"")</f>
        <v/>
      </c>
    </row>
    <row r="4452">
      <c r="A4452" s="89"/>
      <c r="B4452" s="87"/>
      <c r="C4452" s="73"/>
      <c r="D4452" s="73"/>
      <c r="E4452" s="82"/>
      <c r="F4452" s="82"/>
      <c r="G4452" s="86"/>
      <c r="H4452" s="86"/>
      <c r="I4452" s="86"/>
      <c r="J4452" s="82"/>
      <c r="K4452" s="82"/>
      <c r="L4452" s="82"/>
      <c r="M4452" s="82"/>
      <c r="N4452" s="82"/>
      <c r="O4452" s="82"/>
      <c r="P4452" s="82"/>
      <c r="Q4452" s="82"/>
      <c r="R4452" s="82"/>
      <c r="S4452" s="82"/>
      <c r="T4452" s="82"/>
      <c r="U4452" s="82"/>
      <c r="V4452" s="82"/>
      <c r="W4452" s="82"/>
      <c r="X4452" s="82"/>
      <c r="Y4452" s="82"/>
      <c r="Z4452" s="82"/>
      <c r="AA4452" s="82"/>
      <c r="AB4452" s="82"/>
      <c r="AC4452" s="82"/>
      <c r="AD4452" s="82"/>
      <c r="AE4452" s="82"/>
      <c r="AF4452" s="82"/>
      <c r="AG4452" s="82"/>
      <c r="AH4452" s="82"/>
      <c r="AI4452" s="82"/>
      <c r="AJ4452" s="82"/>
      <c r="AK4452" s="82"/>
      <c r="AL4452" s="82"/>
      <c r="AM4452" s="82"/>
      <c r="AN4452" s="82"/>
      <c r="AO4452" s="82"/>
      <c r="AP4452" s="82"/>
      <c r="AQ4452" s="82"/>
      <c r="AR4452" s="82"/>
      <c r="AS4452" s="82"/>
      <c r="AT4452" s="82"/>
      <c r="AU4452" s="82"/>
      <c r="AV4452" s="82"/>
      <c r="AW4452" s="82" t="str">
        <f t="shared" si="1"/>
        <v/>
      </c>
      <c r="AX4452" s="83" t="str">
        <f t="array" ref="AX4452">IFERROR(DGET('SBV Import'!A:G,"SBV",{"RSC ID","Tier";B4452,A4452}))</f>
        <v/>
      </c>
      <c r="AY4452" s="82" t="str">
        <f t="shared" si="2"/>
        <v/>
      </c>
      <c r="AZ4452" s="82"/>
      <c r="BA4452" s="84" t="s">
        <v>152</v>
      </c>
      <c r="BB4452" s="84" t="str">
        <f>IFERROR(__xludf.DUMMYFUNCTION("iferror(if(A4452="""",,E4452&gt;=FILTER(Constants!$F$2:$F$10,Constants!$A$2:$A$10=A4452)))"),"")</f>
        <v/>
      </c>
    </row>
    <row r="4453">
      <c r="A4453" s="89"/>
      <c r="B4453" s="87"/>
      <c r="C4453" s="73"/>
      <c r="D4453" s="73"/>
      <c r="E4453" s="82"/>
      <c r="F4453" s="82"/>
      <c r="G4453" s="86"/>
      <c r="H4453" s="86"/>
      <c r="I4453" s="86"/>
      <c r="J4453" s="82"/>
      <c r="K4453" s="82"/>
      <c r="L4453" s="82"/>
      <c r="M4453" s="82"/>
      <c r="N4453" s="82"/>
      <c r="O4453" s="82"/>
      <c r="P4453" s="82"/>
      <c r="Q4453" s="82"/>
      <c r="R4453" s="82"/>
      <c r="S4453" s="82"/>
      <c r="T4453" s="82"/>
      <c r="U4453" s="82"/>
      <c r="V4453" s="82"/>
      <c r="W4453" s="82"/>
      <c r="X4453" s="82"/>
      <c r="Y4453" s="82"/>
      <c r="Z4453" s="82"/>
      <c r="AA4453" s="82"/>
      <c r="AB4453" s="82"/>
      <c r="AC4453" s="82"/>
      <c r="AD4453" s="82"/>
      <c r="AE4453" s="82"/>
      <c r="AF4453" s="82"/>
      <c r="AG4453" s="82"/>
      <c r="AH4453" s="82"/>
      <c r="AI4453" s="82"/>
      <c r="AJ4453" s="82"/>
      <c r="AK4453" s="82"/>
      <c r="AL4453" s="82"/>
      <c r="AM4453" s="82"/>
      <c r="AN4453" s="82"/>
      <c r="AO4453" s="82"/>
      <c r="AP4453" s="82"/>
      <c r="AQ4453" s="82"/>
      <c r="AR4453" s="82"/>
      <c r="AS4453" s="82"/>
      <c r="AT4453" s="82"/>
      <c r="AU4453" s="82"/>
      <c r="AV4453" s="82"/>
      <c r="AW4453" s="82" t="str">
        <f t="shared" si="1"/>
        <v/>
      </c>
      <c r="AX4453" s="83" t="str">
        <f t="array" ref="AX4453">IFERROR(DGET('SBV Import'!A:G,"SBV",{"RSC ID","Tier";B4453,A4453}))</f>
        <v/>
      </c>
      <c r="AY4453" s="82" t="str">
        <f t="shared" si="2"/>
        <v/>
      </c>
      <c r="AZ4453" s="82"/>
      <c r="BA4453" s="84" t="s">
        <v>152</v>
      </c>
      <c r="BB4453" s="84" t="str">
        <f>IFERROR(__xludf.DUMMYFUNCTION("iferror(if(A4453="""",,E4453&gt;=FILTER(Constants!$F$2:$F$10,Constants!$A$2:$A$10=A4453)))"),"")</f>
        <v/>
      </c>
    </row>
    <row r="4454">
      <c r="A4454" s="89"/>
      <c r="B4454" s="87"/>
      <c r="C4454" s="73"/>
      <c r="D4454" s="73"/>
      <c r="E4454" s="82"/>
      <c r="F4454" s="82"/>
      <c r="G4454" s="86"/>
      <c r="H4454" s="86"/>
      <c r="I4454" s="86"/>
      <c r="J4454" s="82"/>
      <c r="K4454" s="82"/>
      <c r="L4454" s="82"/>
      <c r="M4454" s="82"/>
      <c r="N4454" s="82"/>
      <c r="O4454" s="82"/>
      <c r="P4454" s="82"/>
      <c r="Q4454" s="82"/>
      <c r="R4454" s="82"/>
      <c r="S4454" s="82"/>
      <c r="T4454" s="82"/>
      <c r="U4454" s="82"/>
      <c r="V4454" s="82"/>
      <c r="W4454" s="82"/>
      <c r="X4454" s="82"/>
      <c r="Y4454" s="82"/>
      <c r="Z4454" s="82"/>
      <c r="AA4454" s="82"/>
      <c r="AB4454" s="82"/>
      <c r="AC4454" s="82"/>
      <c r="AD4454" s="82"/>
      <c r="AE4454" s="82"/>
      <c r="AF4454" s="82"/>
      <c r="AG4454" s="82"/>
      <c r="AH4454" s="82"/>
      <c r="AI4454" s="82"/>
      <c r="AJ4454" s="82"/>
      <c r="AK4454" s="82"/>
      <c r="AL4454" s="82"/>
      <c r="AM4454" s="82"/>
      <c r="AN4454" s="82"/>
      <c r="AO4454" s="82"/>
      <c r="AP4454" s="82"/>
      <c r="AQ4454" s="82"/>
      <c r="AR4454" s="82"/>
      <c r="AS4454" s="82"/>
      <c r="AT4454" s="82"/>
      <c r="AU4454" s="82"/>
      <c r="AV4454" s="82"/>
      <c r="AW4454" s="82" t="str">
        <f t="shared" si="1"/>
        <v/>
      </c>
      <c r="AX4454" s="83" t="str">
        <f t="array" ref="AX4454">IFERROR(DGET('SBV Import'!A:G,"SBV",{"RSC ID","Tier";B4454,A4454}))</f>
        <v/>
      </c>
      <c r="AY4454" s="82" t="str">
        <f t="shared" si="2"/>
        <v/>
      </c>
      <c r="AZ4454" s="82"/>
      <c r="BA4454" s="84" t="s">
        <v>152</v>
      </c>
      <c r="BB4454" s="84" t="str">
        <f>IFERROR(__xludf.DUMMYFUNCTION("iferror(if(A4454="""",,E4454&gt;=FILTER(Constants!$F$2:$F$10,Constants!$A$2:$A$10=A4454)))"),"")</f>
        <v/>
      </c>
    </row>
    <row r="4455">
      <c r="A4455" s="89"/>
      <c r="B4455" s="87"/>
      <c r="C4455" s="73"/>
      <c r="D4455" s="73"/>
      <c r="E4455" s="82"/>
      <c r="F4455" s="82"/>
      <c r="G4455" s="86"/>
      <c r="H4455" s="86"/>
      <c r="I4455" s="86"/>
      <c r="J4455" s="82"/>
      <c r="K4455" s="82"/>
      <c r="L4455" s="82"/>
      <c r="M4455" s="82"/>
      <c r="N4455" s="82"/>
      <c r="O4455" s="82"/>
      <c r="P4455" s="82"/>
      <c r="Q4455" s="82"/>
      <c r="R4455" s="82"/>
      <c r="S4455" s="82"/>
      <c r="T4455" s="82"/>
      <c r="U4455" s="82"/>
      <c r="V4455" s="82"/>
      <c r="W4455" s="82"/>
      <c r="X4455" s="82"/>
      <c r="Y4455" s="82"/>
      <c r="Z4455" s="82"/>
      <c r="AA4455" s="82"/>
      <c r="AB4455" s="82"/>
      <c r="AC4455" s="82"/>
      <c r="AD4455" s="82"/>
      <c r="AE4455" s="82"/>
      <c r="AF4455" s="82"/>
      <c r="AG4455" s="82"/>
      <c r="AH4455" s="82"/>
      <c r="AI4455" s="82"/>
      <c r="AJ4455" s="82"/>
      <c r="AK4455" s="82"/>
      <c r="AL4455" s="82"/>
      <c r="AM4455" s="82"/>
      <c r="AN4455" s="82"/>
      <c r="AO4455" s="82"/>
      <c r="AP4455" s="82"/>
      <c r="AQ4455" s="82"/>
      <c r="AR4455" s="82"/>
      <c r="AS4455" s="82"/>
      <c r="AT4455" s="82"/>
      <c r="AU4455" s="82"/>
      <c r="AV4455" s="82"/>
      <c r="AW4455" s="82" t="str">
        <f t="shared" si="1"/>
        <v/>
      </c>
      <c r="AX4455" s="83" t="str">
        <f t="array" ref="AX4455">IFERROR(DGET('SBV Import'!A:G,"SBV",{"RSC ID","Tier";B4455,A4455}))</f>
        <v/>
      </c>
      <c r="AY4455" s="82" t="str">
        <f t="shared" si="2"/>
        <v/>
      </c>
      <c r="AZ4455" s="82"/>
      <c r="BA4455" s="84" t="s">
        <v>152</v>
      </c>
      <c r="BB4455" s="84" t="str">
        <f>IFERROR(__xludf.DUMMYFUNCTION("iferror(if(A4455="""",,E4455&gt;=FILTER(Constants!$F$2:$F$10,Constants!$A$2:$A$10=A4455)))"),"")</f>
        <v/>
      </c>
    </row>
    <row r="4456">
      <c r="A4456" s="89"/>
      <c r="B4456" s="87"/>
      <c r="C4456" s="73"/>
      <c r="D4456" s="73"/>
      <c r="E4456" s="82"/>
      <c r="F4456" s="82"/>
      <c r="G4456" s="86"/>
      <c r="H4456" s="86"/>
      <c r="I4456" s="86"/>
      <c r="J4456" s="82"/>
      <c r="K4456" s="82"/>
      <c r="L4456" s="82"/>
      <c r="M4456" s="82"/>
      <c r="N4456" s="82"/>
      <c r="O4456" s="82"/>
      <c r="P4456" s="82"/>
      <c r="Q4456" s="82"/>
      <c r="R4456" s="82"/>
      <c r="S4456" s="82"/>
      <c r="T4456" s="82"/>
      <c r="U4456" s="82"/>
      <c r="V4456" s="82"/>
      <c r="W4456" s="82"/>
      <c r="X4456" s="82"/>
      <c r="Y4456" s="82"/>
      <c r="Z4456" s="82"/>
      <c r="AA4456" s="82"/>
      <c r="AB4456" s="82"/>
      <c r="AC4456" s="82"/>
      <c r="AD4456" s="82"/>
      <c r="AE4456" s="82"/>
      <c r="AF4456" s="82"/>
      <c r="AG4456" s="82"/>
      <c r="AH4456" s="82"/>
      <c r="AI4456" s="82"/>
      <c r="AJ4456" s="82"/>
      <c r="AK4456" s="82"/>
      <c r="AL4456" s="82"/>
      <c r="AM4456" s="82"/>
      <c r="AN4456" s="82"/>
      <c r="AO4456" s="82"/>
      <c r="AP4456" s="82"/>
      <c r="AQ4456" s="82"/>
      <c r="AR4456" s="82"/>
      <c r="AS4456" s="82"/>
      <c r="AT4456" s="82"/>
      <c r="AU4456" s="82"/>
      <c r="AV4456" s="82"/>
      <c r="AW4456" s="82" t="str">
        <f t="shared" si="1"/>
        <v/>
      </c>
      <c r="AX4456" s="83" t="str">
        <f t="array" ref="AX4456">IFERROR(DGET('SBV Import'!A:G,"SBV",{"RSC ID","Tier";B4456,A4456}))</f>
        <v/>
      </c>
      <c r="AY4456" s="82" t="str">
        <f t="shared" si="2"/>
        <v/>
      </c>
      <c r="AZ4456" s="82"/>
      <c r="BA4456" s="84" t="s">
        <v>152</v>
      </c>
      <c r="BB4456" s="84" t="str">
        <f>IFERROR(__xludf.DUMMYFUNCTION("iferror(if(A4456="""",,E4456&gt;=FILTER(Constants!$F$2:$F$10,Constants!$A$2:$A$10=A4456)))"),"")</f>
        <v/>
      </c>
    </row>
    <row r="4457">
      <c r="A4457" s="89"/>
      <c r="B4457" s="87"/>
      <c r="C4457" s="73"/>
      <c r="D4457" s="73"/>
      <c r="E4457" s="82"/>
      <c r="F4457" s="82"/>
      <c r="G4457" s="86"/>
      <c r="H4457" s="86"/>
      <c r="I4457" s="86"/>
      <c r="J4457" s="82"/>
      <c r="K4457" s="82"/>
      <c r="L4457" s="82"/>
      <c r="M4457" s="82"/>
      <c r="N4457" s="82"/>
      <c r="O4457" s="82"/>
      <c r="P4457" s="82"/>
      <c r="Q4457" s="82"/>
      <c r="R4457" s="82"/>
      <c r="S4457" s="82"/>
      <c r="T4457" s="82"/>
      <c r="U4457" s="82"/>
      <c r="V4457" s="82"/>
      <c r="W4457" s="82"/>
      <c r="X4457" s="82"/>
      <c r="Y4457" s="82"/>
      <c r="Z4457" s="82"/>
      <c r="AA4457" s="82"/>
      <c r="AB4457" s="82"/>
      <c r="AC4457" s="82"/>
      <c r="AD4457" s="82"/>
      <c r="AE4457" s="82"/>
      <c r="AF4457" s="82"/>
      <c r="AG4457" s="82"/>
      <c r="AH4457" s="82"/>
      <c r="AI4457" s="82"/>
      <c r="AJ4457" s="82"/>
      <c r="AK4457" s="82"/>
      <c r="AL4457" s="82"/>
      <c r="AM4457" s="82"/>
      <c r="AN4457" s="82"/>
      <c r="AO4457" s="82"/>
      <c r="AP4457" s="82"/>
      <c r="AQ4457" s="82"/>
      <c r="AR4457" s="82"/>
      <c r="AS4457" s="82"/>
      <c r="AT4457" s="82"/>
      <c r="AU4457" s="82"/>
      <c r="AV4457" s="82"/>
      <c r="AW4457" s="82" t="str">
        <f t="shared" si="1"/>
        <v/>
      </c>
      <c r="AX4457" s="83" t="str">
        <f t="array" ref="AX4457">IFERROR(DGET('SBV Import'!A:G,"SBV",{"RSC ID","Tier";B4457,A4457}))</f>
        <v/>
      </c>
      <c r="AY4457" s="82" t="str">
        <f t="shared" si="2"/>
        <v/>
      </c>
      <c r="AZ4457" s="82"/>
      <c r="BA4457" s="84" t="s">
        <v>152</v>
      </c>
      <c r="BB4457" s="84" t="str">
        <f>IFERROR(__xludf.DUMMYFUNCTION("iferror(if(A4457="""",,E4457&gt;=FILTER(Constants!$F$2:$F$10,Constants!$A$2:$A$10=A4457)))"),"")</f>
        <v/>
      </c>
    </row>
    <row r="4458">
      <c r="A4458" s="89"/>
      <c r="B4458" s="87"/>
      <c r="C4458" s="73"/>
      <c r="D4458" s="73"/>
      <c r="E4458" s="82"/>
      <c r="F4458" s="82"/>
      <c r="G4458" s="86"/>
      <c r="H4458" s="86"/>
      <c r="I4458" s="86"/>
      <c r="J4458" s="82"/>
      <c r="K4458" s="82"/>
      <c r="L4458" s="82"/>
      <c r="M4458" s="82"/>
      <c r="N4458" s="82"/>
      <c r="O4458" s="82"/>
      <c r="P4458" s="82"/>
      <c r="Q4458" s="82"/>
      <c r="R4458" s="82"/>
      <c r="S4458" s="82"/>
      <c r="T4458" s="82"/>
      <c r="U4458" s="82"/>
      <c r="V4458" s="82"/>
      <c r="W4458" s="82"/>
      <c r="X4458" s="82"/>
      <c r="Y4458" s="82"/>
      <c r="Z4458" s="82"/>
      <c r="AA4458" s="82"/>
      <c r="AB4458" s="82"/>
      <c r="AC4458" s="82"/>
      <c r="AD4458" s="82"/>
      <c r="AE4458" s="82"/>
      <c r="AF4458" s="82"/>
      <c r="AG4458" s="82"/>
      <c r="AH4458" s="82"/>
      <c r="AI4458" s="82"/>
      <c r="AJ4458" s="82"/>
      <c r="AK4458" s="82"/>
      <c r="AL4458" s="82"/>
      <c r="AM4458" s="82"/>
      <c r="AN4458" s="82"/>
      <c r="AO4458" s="82"/>
      <c r="AP4458" s="82"/>
      <c r="AQ4458" s="82"/>
      <c r="AR4458" s="82"/>
      <c r="AS4458" s="82"/>
      <c r="AT4458" s="82"/>
      <c r="AU4458" s="82"/>
      <c r="AV4458" s="82"/>
      <c r="AW4458" s="82" t="str">
        <f t="shared" si="1"/>
        <v/>
      </c>
      <c r="AX4458" s="83" t="str">
        <f t="array" ref="AX4458">IFERROR(DGET('SBV Import'!A:G,"SBV",{"RSC ID","Tier";B4458,A4458}))</f>
        <v/>
      </c>
      <c r="AY4458" s="82" t="str">
        <f t="shared" si="2"/>
        <v/>
      </c>
      <c r="AZ4458" s="82"/>
      <c r="BA4458" s="84" t="s">
        <v>152</v>
      </c>
      <c r="BB4458" s="84" t="str">
        <f>IFERROR(__xludf.DUMMYFUNCTION("iferror(if(A4458="""",,E4458&gt;=FILTER(Constants!$F$2:$F$10,Constants!$A$2:$A$10=A4458)))"),"")</f>
        <v/>
      </c>
    </row>
    <row r="4459">
      <c r="A4459" s="89"/>
      <c r="B4459" s="87"/>
      <c r="C4459" s="73"/>
      <c r="D4459" s="73"/>
      <c r="E4459" s="82"/>
      <c r="F4459" s="82"/>
      <c r="G4459" s="86"/>
      <c r="H4459" s="86"/>
      <c r="I4459" s="86"/>
      <c r="J4459" s="82"/>
      <c r="K4459" s="82"/>
      <c r="L4459" s="82"/>
      <c r="M4459" s="82"/>
      <c r="N4459" s="82"/>
      <c r="O4459" s="82"/>
      <c r="P4459" s="82"/>
      <c r="Q4459" s="82"/>
      <c r="R4459" s="82"/>
      <c r="S4459" s="82"/>
      <c r="T4459" s="82"/>
      <c r="U4459" s="82"/>
      <c r="V4459" s="82"/>
      <c r="W4459" s="82"/>
      <c r="X4459" s="82"/>
      <c r="Y4459" s="82"/>
      <c r="Z4459" s="82"/>
      <c r="AA4459" s="82"/>
      <c r="AB4459" s="82"/>
      <c r="AC4459" s="82"/>
      <c r="AD4459" s="82"/>
      <c r="AE4459" s="82"/>
      <c r="AF4459" s="82"/>
      <c r="AG4459" s="82"/>
      <c r="AH4459" s="82"/>
      <c r="AI4459" s="82"/>
      <c r="AJ4459" s="82"/>
      <c r="AK4459" s="82"/>
      <c r="AL4459" s="82"/>
      <c r="AM4459" s="82"/>
      <c r="AN4459" s="82"/>
      <c r="AO4459" s="82"/>
      <c r="AP4459" s="82"/>
      <c r="AQ4459" s="82"/>
      <c r="AR4459" s="82"/>
      <c r="AS4459" s="82"/>
      <c r="AT4459" s="82"/>
      <c r="AU4459" s="82"/>
      <c r="AV4459" s="82"/>
      <c r="AW4459" s="82" t="str">
        <f t="shared" si="1"/>
        <v/>
      </c>
      <c r="AX4459" s="83" t="str">
        <f t="array" ref="AX4459">IFERROR(DGET('SBV Import'!A:G,"SBV",{"RSC ID","Tier";B4459,A4459}))</f>
        <v/>
      </c>
      <c r="AY4459" s="82" t="str">
        <f t="shared" si="2"/>
        <v/>
      </c>
      <c r="AZ4459" s="82"/>
      <c r="BA4459" s="84" t="s">
        <v>152</v>
      </c>
      <c r="BB4459" s="84" t="str">
        <f>IFERROR(__xludf.DUMMYFUNCTION("iferror(if(A4459="""",,E4459&gt;=FILTER(Constants!$F$2:$F$10,Constants!$A$2:$A$10=A4459)))"),"")</f>
        <v/>
      </c>
    </row>
    <row r="4460">
      <c r="A4460" s="89"/>
      <c r="B4460" s="87"/>
      <c r="C4460" s="73"/>
      <c r="D4460" s="73"/>
      <c r="E4460" s="82"/>
      <c r="F4460" s="82"/>
      <c r="G4460" s="86"/>
      <c r="H4460" s="86"/>
      <c r="I4460" s="86"/>
      <c r="J4460" s="82"/>
      <c r="K4460" s="82"/>
      <c r="L4460" s="82"/>
      <c r="M4460" s="82"/>
      <c r="N4460" s="82"/>
      <c r="O4460" s="82"/>
      <c r="P4460" s="82"/>
      <c r="Q4460" s="82"/>
      <c r="R4460" s="82"/>
      <c r="S4460" s="82"/>
      <c r="T4460" s="82"/>
      <c r="U4460" s="82"/>
      <c r="V4460" s="82"/>
      <c r="W4460" s="82"/>
      <c r="X4460" s="82"/>
      <c r="Y4460" s="82"/>
      <c r="Z4460" s="82"/>
      <c r="AA4460" s="82"/>
      <c r="AB4460" s="82"/>
      <c r="AC4460" s="82"/>
      <c r="AD4460" s="82"/>
      <c r="AE4460" s="82"/>
      <c r="AF4460" s="82"/>
      <c r="AG4460" s="82"/>
      <c r="AH4460" s="82"/>
      <c r="AI4460" s="82"/>
      <c r="AJ4460" s="82"/>
      <c r="AK4460" s="82"/>
      <c r="AL4460" s="82"/>
      <c r="AM4460" s="82"/>
      <c r="AN4460" s="82"/>
      <c r="AO4460" s="82"/>
      <c r="AP4460" s="82"/>
      <c r="AQ4460" s="82"/>
      <c r="AR4460" s="82"/>
      <c r="AS4460" s="82"/>
      <c r="AT4460" s="82"/>
      <c r="AU4460" s="82"/>
      <c r="AV4460" s="82"/>
      <c r="AW4460" s="82" t="str">
        <f t="shared" si="1"/>
        <v/>
      </c>
      <c r="AX4460" s="83" t="str">
        <f t="array" ref="AX4460">IFERROR(DGET('SBV Import'!A:G,"SBV",{"RSC ID","Tier";B4460,A4460}))</f>
        <v/>
      </c>
      <c r="AY4460" s="82" t="str">
        <f t="shared" si="2"/>
        <v/>
      </c>
      <c r="AZ4460" s="82"/>
      <c r="BA4460" s="84" t="s">
        <v>152</v>
      </c>
      <c r="BB4460" s="84" t="str">
        <f>IFERROR(__xludf.DUMMYFUNCTION("iferror(if(A4460="""",,E4460&gt;=FILTER(Constants!$F$2:$F$10,Constants!$A$2:$A$10=A4460)))"),"")</f>
        <v/>
      </c>
    </row>
    <row r="4461">
      <c r="A4461" s="89"/>
      <c r="B4461" s="87"/>
      <c r="C4461" s="73"/>
      <c r="D4461" s="73"/>
      <c r="E4461" s="82"/>
      <c r="F4461" s="82"/>
      <c r="G4461" s="86"/>
      <c r="H4461" s="86"/>
      <c r="I4461" s="86"/>
      <c r="J4461" s="82"/>
      <c r="K4461" s="82"/>
      <c r="L4461" s="82"/>
      <c r="M4461" s="82"/>
      <c r="N4461" s="82"/>
      <c r="O4461" s="82"/>
      <c r="P4461" s="82"/>
      <c r="Q4461" s="82"/>
      <c r="R4461" s="82"/>
      <c r="S4461" s="82"/>
      <c r="T4461" s="82"/>
      <c r="U4461" s="82"/>
      <c r="V4461" s="82"/>
      <c r="W4461" s="82"/>
      <c r="X4461" s="82"/>
      <c r="Y4461" s="82"/>
      <c r="Z4461" s="82"/>
      <c r="AA4461" s="82"/>
      <c r="AB4461" s="82"/>
      <c r="AC4461" s="82"/>
      <c r="AD4461" s="82"/>
      <c r="AE4461" s="82"/>
      <c r="AF4461" s="82"/>
      <c r="AG4461" s="82"/>
      <c r="AH4461" s="82"/>
      <c r="AI4461" s="82"/>
      <c r="AJ4461" s="82"/>
      <c r="AK4461" s="82"/>
      <c r="AL4461" s="82"/>
      <c r="AM4461" s="82"/>
      <c r="AN4461" s="82"/>
      <c r="AO4461" s="82"/>
      <c r="AP4461" s="82"/>
      <c r="AQ4461" s="82"/>
      <c r="AR4461" s="82"/>
      <c r="AS4461" s="82"/>
      <c r="AT4461" s="82"/>
      <c r="AU4461" s="82"/>
      <c r="AV4461" s="82"/>
      <c r="AW4461" s="82" t="str">
        <f t="shared" si="1"/>
        <v/>
      </c>
      <c r="AX4461" s="83" t="str">
        <f t="array" ref="AX4461">IFERROR(DGET('SBV Import'!A:G,"SBV",{"RSC ID","Tier";B4461,A4461}))</f>
        <v/>
      </c>
      <c r="AY4461" s="82" t="str">
        <f t="shared" si="2"/>
        <v/>
      </c>
      <c r="AZ4461" s="82"/>
      <c r="BA4461" s="84" t="s">
        <v>152</v>
      </c>
      <c r="BB4461" s="84" t="str">
        <f>IFERROR(__xludf.DUMMYFUNCTION("iferror(if(A4461="""",,E4461&gt;=FILTER(Constants!$F$2:$F$10,Constants!$A$2:$A$10=A4461)))"),"")</f>
        <v/>
      </c>
    </row>
    <row r="4462">
      <c r="A4462" s="89"/>
      <c r="B4462" s="87"/>
      <c r="C4462" s="73"/>
      <c r="D4462" s="73"/>
      <c r="E4462" s="82"/>
      <c r="F4462" s="82"/>
      <c r="G4462" s="86"/>
      <c r="H4462" s="86"/>
      <c r="I4462" s="86"/>
      <c r="J4462" s="82"/>
      <c r="K4462" s="82"/>
      <c r="L4462" s="82"/>
      <c r="M4462" s="82"/>
      <c r="N4462" s="82"/>
      <c r="O4462" s="82"/>
      <c r="P4462" s="82"/>
      <c r="Q4462" s="82"/>
      <c r="R4462" s="82"/>
      <c r="S4462" s="82"/>
      <c r="T4462" s="82"/>
      <c r="U4462" s="82"/>
      <c r="V4462" s="82"/>
      <c r="W4462" s="82"/>
      <c r="X4462" s="82"/>
      <c r="Y4462" s="82"/>
      <c r="Z4462" s="82"/>
      <c r="AA4462" s="82"/>
      <c r="AB4462" s="82"/>
      <c r="AC4462" s="82"/>
      <c r="AD4462" s="82"/>
      <c r="AE4462" s="82"/>
      <c r="AF4462" s="82"/>
      <c r="AG4462" s="82"/>
      <c r="AH4462" s="82"/>
      <c r="AI4462" s="82"/>
      <c r="AJ4462" s="82"/>
      <c r="AK4462" s="82"/>
      <c r="AL4462" s="82"/>
      <c r="AM4462" s="82"/>
      <c r="AN4462" s="82"/>
      <c r="AO4462" s="82"/>
      <c r="AP4462" s="82"/>
      <c r="AQ4462" s="82"/>
      <c r="AR4462" s="82"/>
      <c r="AS4462" s="82"/>
      <c r="AT4462" s="82"/>
      <c r="AU4462" s="82"/>
      <c r="AV4462" s="82"/>
      <c r="AW4462" s="82" t="str">
        <f t="shared" si="1"/>
        <v/>
      </c>
      <c r="AX4462" s="83" t="str">
        <f t="array" ref="AX4462">IFERROR(DGET('SBV Import'!A:G,"SBV",{"RSC ID","Tier";B4462,A4462}))</f>
        <v/>
      </c>
      <c r="AY4462" s="82" t="str">
        <f t="shared" si="2"/>
        <v/>
      </c>
      <c r="AZ4462" s="82"/>
      <c r="BA4462" s="84" t="s">
        <v>152</v>
      </c>
      <c r="BB4462" s="84" t="str">
        <f>IFERROR(__xludf.DUMMYFUNCTION("iferror(if(A4462="""",,E4462&gt;=FILTER(Constants!$F$2:$F$10,Constants!$A$2:$A$10=A4462)))"),"")</f>
        <v/>
      </c>
    </row>
    <row r="4463">
      <c r="A4463" s="89"/>
      <c r="B4463" s="87"/>
      <c r="C4463" s="73"/>
      <c r="D4463" s="73"/>
      <c r="E4463" s="82"/>
      <c r="F4463" s="82"/>
      <c r="G4463" s="86"/>
      <c r="H4463" s="86"/>
      <c r="I4463" s="86"/>
      <c r="J4463" s="82"/>
      <c r="K4463" s="82"/>
      <c r="L4463" s="82"/>
      <c r="M4463" s="82"/>
      <c r="N4463" s="82"/>
      <c r="O4463" s="82"/>
      <c r="P4463" s="82"/>
      <c r="Q4463" s="82"/>
      <c r="R4463" s="82"/>
      <c r="S4463" s="82"/>
      <c r="T4463" s="82"/>
      <c r="U4463" s="82"/>
      <c r="V4463" s="82"/>
      <c r="W4463" s="82"/>
      <c r="X4463" s="82"/>
      <c r="Y4463" s="82"/>
      <c r="Z4463" s="82"/>
      <c r="AA4463" s="82"/>
      <c r="AB4463" s="82"/>
      <c r="AC4463" s="82"/>
      <c r="AD4463" s="82"/>
      <c r="AE4463" s="82"/>
      <c r="AF4463" s="82"/>
      <c r="AG4463" s="82"/>
      <c r="AH4463" s="82"/>
      <c r="AI4463" s="82"/>
      <c r="AJ4463" s="82"/>
      <c r="AK4463" s="82"/>
      <c r="AL4463" s="82"/>
      <c r="AM4463" s="82"/>
      <c r="AN4463" s="82"/>
      <c r="AO4463" s="82"/>
      <c r="AP4463" s="82"/>
      <c r="AQ4463" s="82"/>
      <c r="AR4463" s="82"/>
      <c r="AS4463" s="82"/>
      <c r="AT4463" s="82"/>
      <c r="AU4463" s="82"/>
      <c r="AV4463" s="82"/>
      <c r="AW4463" s="82" t="str">
        <f t="shared" si="1"/>
        <v/>
      </c>
      <c r="AX4463" s="83" t="str">
        <f t="array" ref="AX4463">IFERROR(DGET('SBV Import'!A:G,"SBV",{"RSC ID","Tier";B4463,A4463}))</f>
        <v/>
      </c>
      <c r="AY4463" s="82" t="str">
        <f t="shared" si="2"/>
        <v/>
      </c>
      <c r="AZ4463" s="82"/>
      <c r="BA4463" s="84" t="s">
        <v>152</v>
      </c>
      <c r="BB4463" s="84" t="str">
        <f>IFERROR(__xludf.DUMMYFUNCTION("iferror(if(A4463="""",,E4463&gt;=FILTER(Constants!$F$2:$F$10,Constants!$A$2:$A$10=A4463)))"),"")</f>
        <v/>
      </c>
    </row>
    <row r="4464">
      <c r="A4464" s="89"/>
      <c r="B4464" s="87"/>
      <c r="C4464" s="73"/>
      <c r="D4464" s="73"/>
      <c r="E4464" s="82"/>
      <c r="F4464" s="82"/>
      <c r="G4464" s="86"/>
      <c r="H4464" s="86"/>
      <c r="I4464" s="86"/>
      <c r="J4464" s="82"/>
      <c r="K4464" s="82"/>
      <c r="L4464" s="82"/>
      <c r="M4464" s="82"/>
      <c r="N4464" s="82"/>
      <c r="O4464" s="82"/>
      <c r="P4464" s="82"/>
      <c r="Q4464" s="82"/>
      <c r="R4464" s="82"/>
      <c r="S4464" s="82"/>
      <c r="T4464" s="82"/>
      <c r="U4464" s="82"/>
      <c r="V4464" s="82"/>
      <c r="W4464" s="82"/>
      <c r="X4464" s="82"/>
      <c r="Y4464" s="82"/>
      <c r="Z4464" s="82"/>
      <c r="AA4464" s="82"/>
      <c r="AB4464" s="82"/>
      <c r="AC4464" s="82"/>
      <c r="AD4464" s="82"/>
      <c r="AE4464" s="82"/>
      <c r="AF4464" s="82"/>
      <c r="AG4464" s="82"/>
      <c r="AH4464" s="82"/>
      <c r="AI4464" s="82"/>
      <c r="AJ4464" s="82"/>
      <c r="AK4464" s="82"/>
      <c r="AL4464" s="82"/>
      <c r="AM4464" s="82"/>
      <c r="AN4464" s="82"/>
      <c r="AO4464" s="82"/>
      <c r="AP4464" s="82"/>
      <c r="AQ4464" s="82"/>
      <c r="AR4464" s="82"/>
      <c r="AS4464" s="82"/>
      <c r="AT4464" s="82"/>
      <c r="AU4464" s="82"/>
      <c r="AV4464" s="82"/>
      <c r="AW4464" s="82" t="str">
        <f t="shared" si="1"/>
        <v/>
      </c>
      <c r="AX4464" s="83" t="str">
        <f t="array" ref="AX4464">IFERROR(DGET('SBV Import'!A:G,"SBV",{"RSC ID","Tier";B4464,A4464}))</f>
        <v/>
      </c>
      <c r="AY4464" s="82" t="str">
        <f t="shared" si="2"/>
        <v/>
      </c>
      <c r="AZ4464" s="82"/>
      <c r="BA4464" s="84" t="s">
        <v>152</v>
      </c>
      <c r="BB4464" s="84" t="str">
        <f>IFERROR(__xludf.DUMMYFUNCTION("iferror(if(A4464="""",,E4464&gt;=FILTER(Constants!$F$2:$F$10,Constants!$A$2:$A$10=A4464)))"),"")</f>
        <v/>
      </c>
    </row>
    <row r="4465">
      <c r="A4465" s="89"/>
      <c r="B4465" s="87"/>
      <c r="C4465" s="73"/>
      <c r="D4465" s="73"/>
      <c r="E4465" s="82"/>
      <c r="F4465" s="82"/>
      <c r="G4465" s="86"/>
      <c r="H4465" s="86"/>
      <c r="I4465" s="86"/>
      <c r="J4465" s="82"/>
      <c r="K4465" s="82"/>
      <c r="L4465" s="82"/>
      <c r="M4465" s="82"/>
      <c r="N4465" s="82"/>
      <c r="O4465" s="82"/>
      <c r="P4465" s="82"/>
      <c r="Q4465" s="82"/>
      <c r="R4465" s="82"/>
      <c r="S4465" s="82"/>
      <c r="T4465" s="82"/>
      <c r="U4465" s="82"/>
      <c r="V4465" s="82"/>
      <c r="W4465" s="82"/>
      <c r="X4465" s="82"/>
      <c r="Y4465" s="82"/>
      <c r="Z4465" s="82"/>
      <c r="AA4465" s="82"/>
      <c r="AB4465" s="82"/>
      <c r="AC4465" s="82"/>
      <c r="AD4465" s="82"/>
      <c r="AE4465" s="82"/>
      <c r="AF4465" s="82"/>
      <c r="AG4465" s="82"/>
      <c r="AH4465" s="82"/>
      <c r="AI4465" s="82"/>
      <c r="AJ4465" s="82"/>
      <c r="AK4465" s="82"/>
      <c r="AL4465" s="82"/>
      <c r="AM4465" s="82"/>
      <c r="AN4465" s="82"/>
      <c r="AO4465" s="82"/>
      <c r="AP4465" s="82"/>
      <c r="AQ4465" s="82"/>
      <c r="AR4465" s="82"/>
      <c r="AS4465" s="82"/>
      <c r="AT4465" s="82"/>
      <c r="AU4465" s="82"/>
      <c r="AV4465" s="82"/>
      <c r="AW4465" s="82" t="str">
        <f t="shared" si="1"/>
        <v/>
      </c>
      <c r="AX4465" s="83" t="str">
        <f t="array" ref="AX4465">IFERROR(DGET('SBV Import'!A:G,"SBV",{"RSC ID","Tier";B4465,A4465}))</f>
        <v/>
      </c>
      <c r="AY4465" s="82" t="str">
        <f t="shared" si="2"/>
        <v/>
      </c>
      <c r="AZ4465" s="82"/>
      <c r="BA4465" s="84" t="s">
        <v>152</v>
      </c>
      <c r="BB4465" s="84" t="str">
        <f>IFERROR(__xludf.DUMMYFUNCTION("iferror(if(A4465="""",,E4465&gt;=FILTER(Constants!$F$2:$F$10,Constants!$A$2:$A$10=A4465)))"),"")</f>
        <v/>
      </c>
    </row>
    <row r="4466">
      <c r="A4466" s="89"/>
      <c r="B4466" s="87"/>
      <c r="C4466" s="73"/>
      <c r="D4466" s="73"/>
      <c r="E4466" s="82"/>
      <c r="F4466" s="82"/>
      <c r="G4466" s="86"/>
      <c r="H4466" s="86"/>
      <c r="I4466" s="86"/>
      <c r="J4466" s="82"/>
      <c r="K4466" s="82"/>
      <c r="L4466" s="82"/>
      <c r="M4466" s="82"/>
      <c r="N4466" s="82"/>
      <c r="O4466" s="82"/>
      <c r="P4466" s="82"/>
      <c r="Q4466" s="82"/>
      <c r="R4466" s="82"/>
      <c r="S4466" s="82"/>
      <c r="T4466" s="82"/>
      <c r="U4466" s="82"/>
      <c r="V4466" s="82"/>
      <c r="W4466" s="82"/>
      <c r="X4466" s="82"/>
      <c r="Y4466" s="82"/>
      <c r="Z4466" s="82"/>
      <c r="AA4466" s="82"/>
      <c r="AB4466" s="82"/>
      <c r="AC4466" s="82"/>
      <c r="AD4466" s="82"/>
      <c r="AE4466" s="82"/>
      <c r="AF4466" s="82"/>
      <c r="AG4466" s="82"/>
      <c r="AH4466" s="82"/>
      <c r="AI4466" s="82"/>
      <c r="AJ4466" s="82"/>
      <c r="AK4466" s="82"/>
      <c r="AL4466" s="82"/>
      <c r="AM4466" s="82"/>
      <c r="AN4466" s="82"/>
      <c r="AO4466" s="82"/>
      <c r="AP4466" s="82"/>
      <c r="AQ4466" s="82"/>
      <c r="AR4466" s="82"/>
      <c r="AS4466" s="82"/>
      <c r="AT4466" s="82"/>
      <c r="AU4466" s="82"/>
      <c r="AV4466" s="82"/>
      <c r="AW4466" s="82" t="str">
        <f t="shared" si="1"/>
        <v/>
      </c>
      <c r="AX4466" s="83" t="str">
        <f t="array" ref="AX4466">IFERROR(DGET('SBV Import'!A:G,"SBV",{"RSC ID","Tier";B4466,A4466}))</f>
        <v/>
      </c>
      <c r="AY4466" s="82" t="str">
        <f t="shared" si="2"/>
        <v/>
      </c>
      <c r="AZ4466" s="82"/>
      <c r="BA4466" s="84" t="s">
        <v>152</v>
      </c>
      <c r="BB4466" s="84" t="str">
        <f>IFERROR(__xludf.DUMMYFUNCTION("iferror(if(A4466="""",,E4466&gt;=FILTER(Constants!$F$2:$F$10,Constants!$A$2:$A$10=A4466)))"),"")</f>
        <v/>
      </c>
    </row>
    <row r="4467">
      <c r="A4467" s="89"/>
      <c r="B4467" s="87"/>
      <c r="C4467" s="73"/>
      <c r="D4467" s="73"/>
      <c r="E4467" s="82"/>
      <c r="F4467" s="82"/>
      <c r="G4467" s="86"/>
      <c r="H4467" s="86"/>
      <c r="I4467" s="86"/>
      <c r="J4467" s="82"/>
      <c r="K4467" s="82"/>
      <c r="L4467" s="82"/>
      <c r="M4467" s="82"/>
      <c r="N4467" s="82"/>
      <c r="O4467" s="82"/>
      <c r="P4467" s="82"/>
      <c r="Q4467" s="82"/>
      <c r="R4467" s="82"/>
      <c r="S4467" s="82"/>
      <c r="T4467" s="82"/>
      <c r="U4467" s="82"/>
      <c r="V4467" s="82"/>
      <c r="W4467" s="82"/>
      <c r="X4467" s="82"/>
      <c r="Y4467" s="82"/>
      <c r="Z4467" s="82"/>
      <c r="AA4467" s="82"/>
      <c r="AB4467" s="82"/>
      <c r="AC4467" s="82"/>
      <c r="AD4467" s="82"/>
      <c r="AE4467" s="82"/>
      <c r="AF4467" s="82"/>
      <c r="AG4467" s="82"/>
      <c r="AH4467" s="82"/>
      <c r="AI4467" s="82"/>
      <c r="AJ4467" s="82"/>
      <c r="AK4467" s="82"/>
      <c r="AL4467" s="82"/>
      <c r="AM4467" s="82"/>
      <c r="AN4467" s="82"/>
      <c r="AO4467" s="82"/>
      <c r="AP4467" s="82"/>
      <c r="AQ4467" s="82"/>
      <c r="AR4467" s="82"/>
      <c r="AS4467" s="82"/>
      <c r="AT4467" s="82"/>
      <c r="AU4467" s="82"/>
      <c r="AV4467" s="82"/>
      <c r="AW4467" s="82" t="str">
        <f t="shared" si="1"/>
        <v/>
      </c>
      <c r="AX4467" s="83" t="str">
        <f t="array" ref="AX4467">IFERROR(DGET('SBV Import'!A:G,"SBV",{"RSC ID","Tier";B4467,A4467}))</f>
        <v/>
      </c>
      <c r="AY4467" s="82" t="str">
        <f t="shared" si="2"/>
        <v/>
      </c>
      <c r="AZ4467" s="82"/>
      <c r="BA4467" s="84" t="s">
        <v>152</v>
      </c>
      <c r="BB4467" s="84" t="str">
        <f>IFERROR(__xludf.DUMMYFUNCTION("iferror(if(A4467="""",,E4467&gt;=FILTER(Constants!$F$2:$F$10,Constants!$A$2:$A$10=A4467)))"),"")</f>
        <v/>
      </c>
    </row>
    <row r="4468">
      <c r="A4468" s="89"/>
      <c r="B4468" s="87"/>
      <c r="C4468" s="73"/>
      <c r="D4468" s="73"/>
      <c r="E4468" s="82"/>
      <c r="F4468" s="82"/>
      <c r="G4468" s="86"/>
      <c r="H4468" s="86"/>
      <c r="I4468" s="86"/>
      <c r="J4468" s="82"/>
      <c r="K4468" s="82"/>
      <c r="L4468" s="82"/>
      <c r="M4468" s="82"/>
      <c r="N4468" s="82"/>
      <c r="O4468" s="82"/>
      <c r="P4468" s="82"/>
      <c r="Q4468" s="82"/>
      <c r="R4468" s="82"/>
      <c r="S4468" s="82"/>
      <c r="T4468" s="82"/>
      <c r="U4468" s="82"/>
      <c r="V4468" s="82"/>
      <c r="W4468" s="82"/>
      <c r="X4468" s="82"/>
      <c r="Y4468" s="82"/>
      <c r="Z4468" s="82"/>
      <c r="AA4468" s="82"/>
      <c r="AB4468" s="82"/>
      <c r="AC4468" s="82"/>
      <c r="AD4468" s="82"/>
      <c r="AE4468" s="82"/>
      <c r="AF4468" s="82"/>
      <c r="AG4468" s="82"/>
      <c r="AH4468" s="82"/>
      <c r="AI4468" s="82"/>
      <c r="AJ4468" s="82"/>
      <c r="AK4468" s="82"/>
      <c r="AL4468" s="82"/>
      <c r="AM4468" s="82"/>
      <c r="AN4468" s="82"/>
      <c r="AO4468" s="82"/>
      <c r="AP4468" s="82"/>
      <c r="AQ4468" s="82"/>
      <c r="AR4468" s="82"/>
      <c r="AS4468" s="82"/>
      <c r="AT4468" s="82"/>
      <c r="AU4468" s="82"/>
      <c r="AV4468" s="82"/>
      <c r="AW4468" s="82" t="str">
        <f t="shared" si="1"/>
        <v/>
      </c>
      <c r="AX4468" s="83" t="str">
        <f t="array" ref="AX4468">IFERROR(DGET('SBV Import'!A:G,"SBV",{"RSC ID","Tier";B4468,A4468}))</f>
        <v/>
      </c>
      <c r="AY4468" s="82" t="str">
        <f t="shared" si="2"/>
        <v/>
      </c>
      <c r="AZ4468" s="82"/>
      <c r="BA4468" s="84" t="s">
        <v>152</v>
      </c>
      <c r="BB4468" s="84" t="str">
        <f>IFERROR(__xludf.DUMMYFUNCTION("iferror(if(A4468="""",,E4468&gt;=FILTER(Constants!$F$2:$F$10,Constants!$A$2:$A$10=A4468)))"),"")</f>
        <v/>
      </c>
    </row>
    <row r="4469">
      <c r="A4469" s="89"/>
      <c r="B4469" s="87"/>
      <c r="C4469" s="73"/>
      <c r="D4469" s="73"/>
      <c r="E4469" s="82"/>
      <c r="F4469" s="82"/>
      <c r="G4469" s="86"/>
      <c r="H4469" s="86"/>
      <c r="I4469" s="86"/>
      <c r="J4469" s="82"/>
      <c r="K4469" s="82"/>
      <c r="L4469" s="82"/>
      <c r="M4469" s="82"/>
      <c r="N4469" s="82"/>
      <c r="O4469" s="82"/>
      <c r="P4469" s="82"/>
      <c r="Q4469" s="82"/>
      <c r="R4469" s="82"/>
      <c r="S4469" s="82"/>
      <c r="T4469" s="82"/>
      <c r="U4469" s="82"/>
      <c r="V4469" s="82"/>
      <c r="W4469" s="82"/>
      <c r="X4469" s="82"/>
      <c r="Y4469" s="82"/>
      <c r="Z4469" s="82"/>
      <c r="AA4469" s="82"/>
      <c r="AB4469" s="82"/>
      <c r="AC4469" s="82"/>
      <c r="AD4469" s="82"/>
      <c r="AE4469" s="82"/>
      <c r="AF4469" s="82"/>
      <c r="AG4469" s="82"/>
      <c r="AH4469" s="82"/>
      <c r="AI4469" s="82"/>
      <c r="AJ4469" s="82"/>
      <c r="AK4469" s="82"/>
      <c r="AL4469" s="82"/>
      <c r="AM4469" s="82"/>
      <c r="AN4469" s="82"/>
      <c r="AO4469" s="82"/>
      <c r="AP4469" s="82"/>
      <c r="AQ4469" s="82"/>
      <c r="AR4469" s="82"/>
      <c r="AS4469" s="82"/>
      <c r="AT4469" s="82"/>
      <c r="AU4469" s="82"/>
      <c r="AV4469" s="82"/>
      <c r="AW4469" s="82" t="str">
        <f t="shared" si="1"/>
        <v/>
      </c>
      <c r="AX4469" s="83" t="str">
        <f t="array" ref="AX4469">IFERROR(DGET('SBV Import'!A:G,"SBV",{"RSC ID","Tier";B4469,A4469}))</f>
        <v/>
      </c>
      <c r="AY4469" s="82" t="str">
        <f t="shared" si="2"/>
        <v/>
      </c>
      <c r="AZ4469" s="82"/>
      <c r="BA4469" s="84" t="s">
        <v>152</v>
      </c>
      <c r="BB4469" s="84" t="str">
        <f>IFERROR(__xludf.DUMMYFUNCTION("iferror(if(A4469="""",,E4469&gt;=FILTER(Constants!$F$2:$F$10,Constants!$A$2:$A$10=A4469)))"),"")</f>
        <v/>
      </c>
    </row>
    <row r="4470">
      <c r="A4470" s="89"/>
      <c r="B4470" s="87"/>
      <c r="C4470" s="73"/>
      <c r="D4470" s="73"/>
      <c r="E4470" s="82"/>
      <c r="F4470" s="82"/>
      <c r="G4470" s="86"/>
      <c r="H4470" s="86"/>
      <c r="I4470" s="86"/>
      <c r="J4470" s="82"/>
      <c r="K4470" s="82"/>
      <c r="L4470" s="82"/>
      <c r="M4470" s="82"/>
      <c r="N4470" s="82"/>
      <c r="O4470" s="82"/>
      <c r="P4470" s="82"/>
      <c r="Q4470" s="82"/>
      <c r="R4470" s="82"/>
      <c r="S4470" s="82"/>
      <c r="T4470" s="82"/>
      <c r="U4470" s="82"/>
      <c r="V4470" s="82"/>
      <c r="W4470" s="82"/>
      <c r="X4470" s="82"/>
      <c r="Y4470" s="82"/>
      <c r="Z4470" s="82"/>
      <c r="AA4470" s="82"/>
      <c r="AB4470" s="82"/>
      <c r="AC4470" s="82"/>
      <c r="AD4470" s="82"/>
      <c r="AE4470" s="82"/>
      <c r="AF4470" s="82"/>
      <c r="AG4470" s="82"/>
      <c r="AH4470" s="82"/>
      <c r="AI4470" s="82"/>
      <c r="AJ4470" s="82"/>
      <c r="AK4470" s="82"/>
      <c r="AL4470" s="82"/>
      <c r="AM4470" s="82"/>
      <c r="AN4470" s="82"/>
      <c r="AO4470" s="82"/>
      <c r="AP4470" s="82"/>
      <c r="AQ4470" s="82"/>
      <c r="AR4470" s="82"/>
      <c r="AS4470" s="82"/>
      <c r="AT4470" s="82"/>
      <c r="AU4470" s="82"/>
      <c r="AV4470" s="82"/>
      <c r="AW4470" s="82" t="str">
        <f t="shared" si="1"/>
        <v/>
      </c>
      <c r="AX4470" s="83" t="str">
        <f t="array" ref="AX4470">IFERROR(DGET('SBV Import'!A:G,"SBV",{"RSC ID","Tier";B4470,A4470}))</f>
        <v/>
      </c>
      <c r="AY4470" s="82" t="str">
        <f t="shared" si="2"/>
        <v/>
      </c>
      <c r="AZ4470" s="82"/>
      <c r="BA4470" s="84" t="s">
        <v>152</v>
      </c>
      <c r="BB4470" s="84" t="str">
        <f>IFERROR(__xludf.DUMMYFUNCTION("iferror(if(A4470="""",,E4470&gt;=FILTER(Constants!$F$2:$F$10,Constants!$A$2:$A$10=A4470)))"),"")</f>
        <v/>
      </c>
    </row>
    <row r="4471">
      <c r="A4471" s="89"/>
      <c r="B4471" s="87"/>
      <c r="C4471" s="73"/>
      <c r="D4471" s="73"/>
      <c r="E4471" s="82"/>
      <c r="F4471" s="82"/>
      <c r="G4471" s="86"/>
      <c r="H4471" s="86"/>
      <c r="I4471" s="86"/>
      <c r="J4471" s="82"/>
      <c r="K4471" s="82"/>
      <c r="L4471" s="82"/>
      <c r="M4471" s="82"/>
      <c r="N4471" s="82"/>
      <c r="O4471" s="82"/>
      <c r="P4471" s="82"/>
      <c r="Q4471" s="82"/>
      <c r="R4471" s="82"/>
      <c r="S4471" s="82"/>
      <c r="T4471" s="82"/>
      <c r="U4471" s="82"/>
      <c r="V4471" s="82"/>
      <c r="W4471" s="82"/>
      <c r="X4471" s="82"/>
      <c r="Y4471" s="82"/>
      <c r="Z4471" s="82"/>
      <c r="AA4471" s="82"/>
      <c r="AB4471" s="82"/>
      <c r="AC4471" s="82"/>
      <c r="AD4471" s="82"/>
      <c r="AE4471" s="82"/>
      <c r="AF4471" s="82"/>
      <c r="AG4471" s="82"/>
      <c r="AH4471" s="82"/>
      <c r="AI4471" s="82"/>
      <c r="AJ4471" s="82"/>
      <c r="AK4471" s="82"/>
      <c r="AL4471" s="82"/>
      <c r="AM4471" s="82"/>
      <c r="AN4471" s="82"/>
      <c r="AO4471" s="82"/>
      <c r="AP4471" s="82"/>
      <c r="AQ4471" s="82"/>
      <c r="AR4471" s="82"/>
      <c r="AS4471" s="82"/>
      <c r="AT4471" s="82"/>
      <c r="AU4471" s="82"/>
      <c r="AV4471" s="82"/>
      <c r="AW4471" s="82" t="str">
        <f t="shared" si="1"/>
        <v/>
      </c>
      <c r="AX4471" s="83" t="str">
        <f t="array" ref="AX4471">IFERROR(DGET('SBV Import'!A:G,"SBV",{"RSC ID","Tier";B4471,A4471}))</f>
        <v/>
      </c>
      <c r="AY4471" s="82" t="str">
        <f t="shared" si="2"/>
        <v/>
      </c>
      <c r="AZ4471" s="82"/>
      <c r="BA4471" s="84" t="s">
        <v>152</v>
      </c>
      <c r="BB4471" s="84" t="str">
        <f>IFERROR(__xludf.DUMMYFUNCTION("iferror(if(A4471="""",,E4471&gt;=FILTER(Constants!$F$2:$F$10,Constants!$A$2:$A$10=A4471)))"),"")</f>
        <v/>
      </c>
    </row>
    <row r="4472">
      <c r="A4472" s="89"/>
      <c r="B4472" s="87"/>
      <c r="C4472" s="73"/>
      <c r="D4472" s="73"/>
      <c r="E4472" s="82"/>
      <c r="F4472" s="82"/>
      <c r="G4472" s="86"/>
      <c r="H4472" s="86"/>
      <c r="I4472" s="86"/>
      <c r="J4472" s="82"/>
      <c r="K4472" s="82"/>
      <c r="L4472" s="82"/>
      <c r="M4472" s="82"/>
      <c r="N4472" s="82"/>
      <c r="O4472" s="82"/>
      <c r="P4472" s="82"/>
      <c r="Q4472" s="82"/>
      <c r="R4472" s="82"/>
      <c r="S4472" s="82"/>
      <c r="T4472" s="82"/>
      <c r="U4472" s="82"/>
      <c r="V4472" s="82"/>
      <c r="W4472" s="82"/>
      <c r="X4472" s="82"/>
      <c r="Y4472" s="82"/>
      <c r="Z4472" s="82"/>
      <c r="AA4472" s="82"/>
      <c r="AB4472" s="82"/>
      <c r="AC4472" s="82"/>
      <c r="AD4472" s="82"/>
      <c r="AE4472" s="82"/>
      <c r="AF4472" s="82"/>
      <c r="AG4472" s="82"/>
      <c r="AH4472" s="82"/>
      <c r="AI4472" s="82"/>
      <c r="AJ4472" s="82"/>
      <c r="AK4472" s="82"/>
      <c r="AL4472" s="82"/>
      <c r="AM4472" s="82"/>
      <c r="AN4472" s="82"/>
      <c r="AO4472" s="82"/>
      <c r="AP4472" s="82"/>
      <c r="AQ4472" s="82"/>
      <c r="AR4472" s="82"/>
      <c r="AS4472" s="82"/>
      <c r="AT4472" s="82"/>
      <c r="AU4472" s="82"/>
      <c r="AV4472" s="82"/>
      <c r="AW4472" s="82" t="str">
        <f t="shared" si="1"/>
        <v/>
      </c>
      <c r="AX4472" s="83" t="str">
        <f t="array" ref="AX4472">IFERROR(DGET('SBV Import'!A:G,"SBV",{"RSC ID","Tier";B4472,A4472}))</f>
        <v/>
      </c>
      <c r="AY4472" s="82" t="str">
        <f t="shared" si="2"/>
        <v/>
      </c>
      <c r="AZ4472" s="82"/>
      <c r="BA4472" s="84" t="s">
        <v>152</v>
      </c>
      <c r="BB4472" s="84" t="str">
        <f>IFERROR(__xludf.DUMMYFUNCTION("iferror(if(A4472="""",,E4472&gt;=FILTER(Constants!$F$2:$F$10,Constants!$A$2:$A$10=A4472)))"),"")</f>
        <v/>
      </c>
    </row>
    <row r="4473">
      <c r="A4473" s="89"/>
      <c r="B4473" s="87"/>
      <c r="C4473" s="73"/>
      <c r="D4473" s="73"/>
      <c r="E4473" s="82"/>
      <c r="F4473" s="82"/>
      <c r="G4473" s="86"/>
      <c r="H4473" s="86"/>
      <c r="I4473" s="86"/>
      <c r="J4473" s="82"/>
      <c r="K4473" s="82"/>
      <c r="L4473" s="82"/>
      <c r="M4473" s="82"/>
      <c r="N4473" s="82"/>
      <c r="O4473" s="82"/>
      <c r="P4473" s="82"/>
      <c r="Q4473" s="82"/>
      <c r="R4473" s="82"/>
      <c r="S4473" s="82"/>
      <c r="T4473" s="82"/>
      <c r="U4473" s="82"/>
      <c r="V4473" s="82"/>
      <c r="W4473" s="82"/>
      <c r="X4473" s="82"/>
      <c r="Y4473" s="82"/>
      <c r="Z4473" s="82"/>
      <c r="AA4473" s="82"/>
      <c r="AB4473" s="82"/>
      <c r="AC4473" s="82"/>
      <c r="AD4473" s="82"/>
      <c r="AE4473" s="82"/>
      <c r="AF4473" s="82"/>
      <c r="AG4473" s="82"/>
      <c r="AH4473" s="82"/>
      <c r="AI4473" s="82"/>
      <c r="AJ4473" s="82"/>
      <c r="AK4473" s="82"/>
      <c r="AL4473" s="82"/>
      <c r="AM4473" s="82"/>
      <c r="AN4473" s="82"/>
      <c r="AO4473" s="82"/>
      <c r="AP4473" s="82"/>
      <c r="AQ4473" s="82"/>
      <c r="AR4473" s="82"/>
      <c r="AS4473" s="82"/>
      <c r="AT4473" s="82"/>
      <c r="AU4473" s="82"/>
      <c r="AV4473" s="82"/>
      <c r="AW4473" s="82" t="str">
        <f t="shared" si="1"/>
        <v/>
      </c>
      <c r="AX4473" s="83" t="str">
        <f t="array" ref="AX4473">IFERROR(DGET('SBV Import'!A:G,"SBV",{"RSC ID","Tier";B4473,A4473}))</f>
        <v/>
      </c>
      <c r="AY4473" s="82" t="str">
        <f t="shared" si="2"/>
        <v/>
      </c>
      <c r="AZ4473" s="82"/>
      <c r="BA4473" s="84" t="s">
        <v>152</v>
      </c>
      <c r="BB4473" s="84" t="str">
        <f>IFERROR(__xludf.DUMMYFUNCTION("iferror(if(A4473="""",,E4473&gt;=FILTER(Constants!$F$2:$F$10,Constants!$A$2:$A$10=A4473)))"),"")</f>
        <v/>
      </c>
    </row>
    <row r="4474">
      <c r="A4474" s="89"/>
      <c r="B4474" s="87"/>
      <c r="C4474" s="73"/>
      <c r="D4474" s="73"/>
      <c r="E4474" s="82"/>
      <c r="F4474" s="82"/>
      <c r="G4474" s="86"/>
      <c r="H4474" s="86"/>
      <c r="I4474" s="86"/>
      <c r="J4474" s="82"/>
      <c r="K4474" s="82"/>
      <c r="L4474" s="82"/>
      <c r="M4474" s="82"/>
      <c r="N4474" s="82"/>
      <c r="O4474" s="82"/>
      <c r="P4474" s="82"/>
      <c r="Q4474" s="82"/>
      <c r="R4474" s="82"/>
      <c r="S4474" s="82"/>
      <c r="T4474" s="82"/>
      <c r="U4474" s="82"/>
      <c r="V4474" s="82"/>
      <c r="W4474" s="82"/>
      <c r="X4474" s="82"/>
      <c r="Y4474" s="82"/>
      <c r="Z4474" s="82"/>
      <c r="AA4474" s="82"/>
      <c r="AB4474" s="82"/>
      <c r="AC4474" s="82"/>
      <c r="AD4474" s="82"/>
      <c r="AE4474" s="82"/>
      <c r="AF4474" s="82"/>
      <c r="AG4474" s="82"/>
      <c r="AH4474" s="82"/>
      <c r="AI4474" s="82"/>
      <c r="AJ4474" s="82"/>
      <c r="AK4474" s="82"/>
      <c r="AL4474" s="82"/>
      <c r="AM4474" s="82"/>
      <c r="AN4474" s="82"/>
      <c r="AO4474" s="82"/>
      <c r="AP4474" s="82"/>
      <c r="AQ4474" s="82"/>
      <c r="AR4474" s="82"/>
      <c r="AS4474" s="82"/>
      <c r="AT4474" s="82"/>
      <c r="AU4474" s="82"/>
      <c r="AV4474" s="82"/>
      <c r="AW4474" s="82" t="str">
        <f t="shared" si="1"/>
        <v/>
      </c>
      <c r="AX4474" s="83" t="str">
        <f t="array" ref="AX4474">IFERROR(DGET('SBV Import'!A:G,"SBV",{"RSC ID","Tier";B4474,A4474}))</f>
        <v/>
      </c>
      <c r="AY4474" s="82" t="str">
        <f t="shared" si="2"/>
        <v/>
      </c>
      <c r="AZ4474" s="82"/>
      <c r="BA4474" s="84" t="s">
        <v>152</v>
      </c>
      <c r="BB4474" s="84" t="str">
        <f>IFERROR(__xludf.DUMMYFUNCTION("iferror(if(A4474="""",,E4474&gt;=FILTER(Constants!$F$2:$F$10,Constants!$A$2:$A$10=A4474)))"),"")</f>
        <v/>
      </c>
    </row>
    <row r="4475">
      <c r="A4475" s="89"/>
      <c r="B4475" s="87"/>
      <c r="C4475" s="73"/>
      <c r="D4475" s="73"/>
      <c r="E4475" s="82"/>
      <c r="F4475" s="82"/>
      <c r="G4475" s="86"/>
      <c r="H4475" s="86"/>
      <c r="I4475" s="86"/>
      <c r="J4475" s="82"/>
      <c r="K4475" s="82"/>
      <c r="L4475" s="82"/>
      <c r="M4475" s="82"/>
      <c r="N4475" s="82"/>
      <c r="O4475" s="82"/>
      <c r="P4475" s="82"/>
      <c r="Q4475" s="82"/>
      <c r="R4475" s="82"/>
      <c r="S4475" s="82"/>
      <c r="T4475" s="82"/>
      <c r="U4475" s="82"/>
      <c r="V4475" s="82"/>
      <c r="W4475" s="82"/>
      <c r="X4475" s="82"/>
      <c r="Y4475" s="82"/>
      <c r="Z4475" s="82"/>
      <c r="AA4475" s="82"/>
      <c r="AB4475" s="82"/>
      <c r="AC4475" s="82"/>
      <c r="AD4475" s="82"/>
      <c r="AE4475" s="82"/>
      <c r="AF4475" s="82"/>
      <c r="AG4475" s="82"/>
      <c r="AH4475" s="82"/>
      <c r="AI4475" s="82"/>
      <c r="AJ4475" s="82"/>
      <c r="AK4475" s="82"/>
      <c r="AL4475" s="82"/>
      <c r="AM4475" s="82"/>
      <c r="AN4475" s="82"/>
      <c r="AO4475" s="82"/>
      <c r="AP4475" s="82"/>
      <c r="AQ4475" s="82"/>
      <c r="AR4475" s="82"/>
      <c r="AS4475" s="82"/>
      <c r="AT4475" s="82"/>
      <c r="AU4475" s="82"/>
      <c r="AV4475" s="82"/>
      <c r="AW4475" s="82" t="str">
        <f t="shared" si="1"/>
        <v/>
      </c>
      <c r="AX4475" s="83" t="str">
        <f t="array" ref="AX4475">IFERROR(DGET('SBV Import'!A:G,"SBV",{"RSC ID","Tier";B4475,A4475}))</f>
        <v/>
      </c>
      <c r="AY4475" s="82" t="str">
        <f t="shared" si="2"/>
        <v/>
      </c>
      <c r="AZ4475" s="82"/>
      <c r="BA4475" s="84" t="s">
        <v>152</v>
      </c>
      <c r="BB4475" s="84" t="str">
        <f>IFERROR(__xludf.DUMMYFUNCTION("iferror(if(A4475="""",,E4475&gt;=FILTER(Constants!$F$2:$F$10,Constants!$A$2:$A$10=A4475)))"),"")</f>
        <v/>
      </c>
    </row>
    <row r="4476">
      <c r="A4476" s="89"/>
      <c r="B4476" s="87"/>
      <c r="C4476" s="73"/>
      <c r="D4476" s="73"/>
      <c r="E4476" s="82"/>
      <c r="F4476" s="82"/>
      <c r="G4476" s="86"/>
      <c r="H4476" s="86"/>
      <c r="I4476" s="86"/>
      <c r="J4476" s="82"/>
      <c r="K4476" s="82"/>
      <c r="L4476" s="82"/>
      <c r="M4476" s="82"/>
      <c r="N4476" s="82"/>
      <c r="O4476" s="82"/>
      <c r="P4476" s="82"/>
      <c r="Q4476" s="82"/>
      <c r="R4476" s="82"/>
      <c r="S4476" s="82"/>
      <c r="T4476" s="82"/>
      <c r="U4476" s="82"/>
      <c r="V4476" s="82"/>
      <c r="W4476" s="82"/>
      <c r="X4476" s="82"/>
      <c r="Y4476" s="82"/>
      <c r="Z4476" s="82"/>
      <c r="AA4476" s="82"/>
      <c r="AB4476" s="82"/>
      <c r="AC4476" s="82"/>
      <c r="AD4476" s="82"/>
      <c r="AE4476" s="82"/>
      <c r="AF4476" s="82"/>
      <c r="AG4476" s="82"/>
      <c r="AH4476" s="82"/>
      <c r="AI4476" s="82"/>
      <c r="AJ4476" s="82"/>
      <c r="AK4476" s="82"/>
      <c r="AL4476" s="82"/>
      <c r="AM4476" s="82"/>
      <c r="AN4476" s="82"/>
      <c r="AO4476" s="82"/>
      <c r="AP4476" s="82"/>
      <c r="AQ4476" s="82"/>
      <c r="AR4476" s="82"/>
      <c r="AS4476" s="82"/>
      <c r="AT4476" s="82"/>
      <c r="AU4476" s="82"/>
      <c r="AV4476" s="82"/>
      <c r="AW4476" s="82" t="str">
        <f t="shared" si="1"/>
        <v/>
      </c>
      <c r="AX4476" s="83" t="str">
        <f t="array" ref="AX4476">IFERROR(DGET('SBV Import'!A:G,"SBV",{"RSC ID","Tier";B4476,A4476}))</f>
        <v/>
      </c>
      <c r="AY4476" s="82" t="str">
        <f t="shared" si="2"/>
        <v/>
      </c>
      <c r="AZ4476" s="82"/>
      <c r="BA4476" s="84" t="s">
        <v>152</v>
      </c>
      <c r="BB4476" s="84" t="str">
        <f>IFERROR(__xludf.DUMMYFUNCTION("iferror(if(A4476="""",,E4476&gt;=FILTER(Constants!$F$2:$F$10,Constants!$A$2:$A$10=A4476)))"),"")</f>
        <v/>
      </c>
    </row>
    <row r="4477">
      <c r="A4477" s="89"/>
      <c r="B4477" s="87"/>
      <c r="C4477" s="73"/>
      <c r="D4477" s="73"/>
      <c r="E4477" s="82"/>
      <c r="F4477" s="82"/>
      <c r="G4477" s="86"/>
      <c r="H4477" s="86"/>
      <c r="I4477" s="86"/>
      <c r="J4477" s="82"/>
      <c r="K4477" s="82"/>
      <c r="L4477" s="82"/>
      <c r="M4477" s="82"/>
      <c r="N4477" s="82"/>
      <c r="O4477" s="82"/>
      <c r="P4477" s="82"/>
      <c r="Q4477" s="82"/>
      <c r="R4477" s="82"/>
      <c r="S4477" s="82"/>
      <c r="T4477" s="82"/>
      <c r="U4477" s="82"/>
      <c r="V4477" s="82"/>
      <c r="W4477" s="82"/>
      <c r="X4477" s="82"/>
      <c r="Y4477" s="82"/>
      <c r="Z4477" s="82"/>
      <c r="AA4477" s="82"/>
      <c r="AB4477" s="82"/>
      <c r="AC4477" s="82"/>
      <c r="AD4477" s="82"/>
      <c r="AE4477" s="82"/>
      <c r="AF4477" s="82"/>
      <c r="AG4477" s="82"/>
      <c r="AH4477" s="82"/>
      <c r="AI4477" s="82"/>
      <c r="AJ4477" s="82"/>
      <c r="AK4477" s="82"/>
      <c r="AL4477" s="82"/>
      <c r="AM4477" s="82"/>
      <c r="AN4477" s="82"/>
      <c r="AO4477" s="82"/>
      <c r="AP4477" s="82"/>
      <c r="AQ4477" s="82"/>
      <c r="AR4477" s="82"/>
      <c r="AS4477" s="82"/>
      <c r="AT4477" s="82"/>
      <c r="AU4477" s="82"/>
      <c r="AV4477" s="82"/>
      <c r="AW4477" s="82" t="str">
        <f t="shared" si="1"/>
        <v/>
      </c>
      <c r="AX4477" s="83" t="str">
        <f t="array" ref="AX4477">IFERROR(DGET('SBV Import'!A:G,"SBV",{"RSC ID","Tier";B4477,A4477}))</f>
        <v/>
      </c>
      <c r="AY4477" s="82" t="str">
        <f t="shared" si="2"/>
        <v/>
      </c>
      <c r="AZ4477" s="82"/>
      <c r="BA4477" s="84" t="s">
        <v>152</v>
      </c>
      <c r="BB4477" s="84" t="str">
        <f>IFERROR(__xludf.DUMMYFUNCTION("iferror(if(A4477="""",,E4477&gt;=FILTER(Constants!$F$2:$F$10,Constants!$A$2:$A$10=A4477)))"),"")</f>
        <v/>
      </c>
    </row>
    <row r="4478">
      <c r="A4478" s="89"/>
      <c r="B4478" s="87"/>
      <c r="C4478" s="73"/>
      <c r="D4478" s="73"/>
      <c r="E4478" s="82"/>
      <c r="F4478" s="82"/>
      <c r="G4478" s="86"/>
      <c r="H4478" s="86"/>
      <c r="I4478" s="86"/>
      <c r="J4478" s="82"/>
      <c r="K4478" s="82"/>
      <c r="L4478" s="82"/>
      <c r="M4478" s="82"/>
      <c r="N4478" s="82"/>
      <c r="O4478" s="82"/>
      <c r="P4478" s="82"/>
      <c r="Q4478" s="82"/>
      <c r="R4478" s="82"/>
      <c r="S4478" s="82"/>
      <c r="T4478" s="82"/>
      <c r="U4478" s="82"/>
      <c r="V4478" s="82"/>
      <c r="W4478" s="82"/>
      <c r="X4478" s="82"/>
      <c r="Y4478" s="82"/>
      <c r="Z4478" s="82"/>
      <c r="AA4478" s="82"/>
      <c r="AB4478" s="82"/>
      <c r="AC4478" s="82"/>
      <c r="AD4478" s="82"/>
      <c r="AE4478" s="82"/>
      <c r="AF4478" s="82"/>
      <c r="AG4478" s="82"/>
      <c r="AH4478" s="82"/>
      <c r="AI4478" s="82"/>
      <c r="AJ4478" s="82"/>
      <c r="AK4478" s="82"/>
      <c r="AL4478" s="82"/>
      <c r="AM4478" s="82"/>
      <c r="AN4478" s="82"/>
      <c r="AO4478" s="82"/>
      <c r="AP4478" s="82"/>
      <c r="AQ4478" s="82"/>
      <c r="AR4478" s="82"/>
      <c r="AS4478" s="82"/>
      <c r="AT4478" s="82"/>
      <c r="AU4478" s="82"/>
      <c r="AV4478" s="82"/>
      <c r="AW4478" s="82" t="str">
        <f t="shared" si="1"/>
        <v/>
      </c>
      <c r="AX4478" s="83" t="str">
        <f t="array" ref="AX4478">IFERROR(DGET('SBV Import'!A:G,"SBV",{"RSC ID","Tier";B4478,A4478}))</f>
        <v/>
      </c>
      <c r="AY4478" s="82" t="str">
        <f t="shared" si="2"/>
        <v/>
      </c>
      <c r="AZ4478" s="82"/>
      <c r="BA4478" s="84" t="s">
        <v>152</v>
      </c>
      <c r="BB4478" s="84" t="str">
        <f>IFERROR(__xludf.DUMMYFUNCTION("iferror(if(A4478="""",,E4478&gt;=FILTER(Constants!$F$2:$F$10,Constants!$A$2:$A$10=A4478)))"),"")</f>
        <v/>
      </c>
    </row>
    <row r="4479">
      <c r="A4479" s="89"/>
      <c r="B4479" s="87"/>
      <c r="C4479" s="73"/>
      <c r="D4479" s="73"/>
      <c r="E4479" s="82"/>
      <c r="F4479" s="82"/>
      <c r="G4479" s="86"/>
      <c r="H4479" s="86"/>
      <c r="I4479" s="86"/>
      <c r="J4479" s="82"/>
      <c r="K4479" s="82"/>
      <c r="L4479" s="82"/>
      <c r="M4479" s="82"/>
      <c r="N4479" s="82"/>
      <c r="O4479" s="82"/>
      <c r="P4479" s="82"/>
      <c r="Q4479" s="82"/>
      <c r="R4479" s="82"/>
      <c r="S4479" s="82"/>
      <c r="T4479" s="82"/>
      <c r="U4479" s="82"/>
      <c r="V4479" s="82"/>
      <c r="W4479" s="82"/>
      <c r="X4479" s="82"/>
      <c r="Y4479" s="82"/>
      <c r="Z4479" s="82"/>
      <c r="AA4479" s="82"/>
      <c r="AB4479" s="82"/>
      <c r="AC4479" s="82"/>
      <c r="AD4479" s="82"/>
      <c r="AE4479" s="82"/>
      <c r="AF4479" s="82"/>
      <c r="AG4479" s="82"/>
      <c r="AH4479" s="82"/>
      <c r="AI4479" s="82"/>
      <c r="AJ4479" s="82"/>
      <c r="AK4479" s="82"/>
      <c r="AL4479" s="82"/>
      <c r="AM4479" s="82"/>
      <c r="AN4479" s="82"/>
      <c r="AO4479" s="82"/>
      <c r="AP4479" s="82"/>
      <c r="AQ4479" s="82"/>
      <c r="AR4479" s="82"/>
      <c r="AS4479" s="82"/>
      <c r="AT4479" s="82"/>
      <c r="AU4479" s="82"/>
      <c r="AV4479" s="82"/>
      <c r="AW4479" s="82" t="str">
        <f t="shared" si="1"/>
        <v/>
      </c>
      <c r="AX4479" s="83" t="str">
        <f t="array" ref="AX4479">IFERROR(DGET('SBV Import'!A:G,"SBV",{"RSC ID","Tier";B4479,A4479}))</f>
        <v/>
      </c>
      <c r="AY4479" s="82" t="str">
        <f t="shared" si="2"/>
        <v/>
      </c>
      <c r="AZ4479" s="82"/>
      <c r="BA4479" s="84" t="s">
        <v>152</v>
      </c>
      <c r="BB4479" s="84" t="str">
        <f>IFERROR(__xludf.DUMMYFUNCTION("iferror(if(A4479="""",,E4479&gt;=FILTER(Constants!$F$2:$F$10,Constants!$A$2:$A$10=A4479)))"),"")</f>
        <v/>
      </c>
    </row>
    <row r="4480">
      <c r="A4480" s="89"/>
      <c r="B4480" s="87"/>
      <c r="C4480" s="73"/>
      <c r="D4480" s="73"/>
      <c r="E4480" s="82"/>
      <c r="F4480" s="82"/>
      <c r="G4480" s="86"/>
      <c r="H4480" s="86"/>
      <c r="I4480" s="86"/>
      <c r="J4480" s="82"/>
      <c r="K4480" s="82"/>
      <c r="L4480" s="82"/>
      <c r="M4480" s="82"/>
      <c r="N4480" s="82"/>
      <c r="O4480" s="82"/>
      <c r="P4480" s="82"/>
      <c r="Q4480" s="82"/>
      <c r="R4480" s="82"/>
      <c r="S4480" s="82"/>
      <c r="T4480" s="82"/>
      <c r="U4480" s="82"/>
      <c r="V4480" s="82"/>
      <c r="W4480" s="82"/>
      <c r="X4480" s="82"/>
      <c r="Y4480" s="82"/>
      <c r="Z4480" s="82"/>
      <c r="AA4480" s="82"/>
      <c r="AB4480" s="82"/>
      <c r="AC4480" s="82"/>
      <c r="AD4480" s="82"/>
      <c r="AE4480" s="82"/>
      <c r="AF4480" s="82"/>
      <c r="AG4480" s="82"/>
      <c r="AH4480" s="82"/>
      <c r="AI4480" s="82"/>
      <c r="AJ4480" s="82"/>
      <c r="AK4480" s="82"/>
      <c r="AL4480" s="82"/>
      <c r="AM4480" s="82"/>
      <c r="AN4480" s="82"/>
      <c r="AO4480" s="82"/>
      <c r="AP4480" s="82"/>
      <c r="AQ4480" s="82"/>
      <c r="AR4480" s="82"/>
      <c r="AS4480" s="82"/>
      <c r="AT4480" s="82"/>
      <c r="AU4480" s="82"/>
      <c r="AV4480" s="82"/>
      <c r="AW4480" s="82" t="str">
        <f t="shared" si="1"/>
        <v/>
      </c>
      <c r="AX4480" s="83" t="str">
        <f t="array" ref="AX4480">IFERROR(DGET('SBV Import'!A:G,"SBV",{"RSC ID","Tier";B4480,A4480}))</f>
        <v/>
      </c>
      <c r="AY4480" s="82" t="str">
        <f t="shared" si="2"/>
        <v/>
      </c>
      <c r="AZ4480" s="82"/>
      <c r="BA4480" s="84" t="s">
        <v>152</v>
      </c>
      <c r="BB4480" s="84" t="str">
        <f>IFERROR(__xludf.DUMMYFUNCTION("iferror(if(A4480="""",,E4480&gt;=FILTER(Constants!$F$2:$F$10,Constants!$A$2:$A$10=A4480)))"),"")</f>
        <v/>
      </c>
    </row>
    <row r="4481">
      <c r="A4481" s="89"/>
      <c r="B4481" s="87"/>
      <c r="C4481" s="73"/>
      <c r="D4481" s="73"/>
      <c r="E4481" s="82"/>
      <c r="F4481" s="82"/>
      <c r="G4481" s="86"/>
      <c r="H4481" s="86"/>
      <c r="I4481" s="86"/>
      <c r="J4481" s="82"/>
      <c r="K4481" s="82"/>
      <c r="L4481" s="82"/>
      <c r="M4481" s="82"/>
      <c r="N4481" s="82"/>
      <c r="O4481" s="82"/>
      <c r="P4481" s="82"/>
      <c r="Q4481" s="82"/>
      <c r="R4481" s="82"/>
      <c r="S4481" s="82"/>
      <c r="T4481" s="82"/>
      <c r="U4481" s="82"/>
      <c r="V4481" s="82"/>
      <c r="W4481" s="82"/>
      <c r="X4481" s="82"/>
      <c r="Y4481" s="82"/>
      <c r="Z4481" s="82"/>
      <c r="AA4481" s="82"/>
      <c r="AB4481" s="82"/>
      <c r="AC4481" s="82"/>
      <c r="AD4481" s="82"/>
      <c r="AE4481" s="82"/>
      <c r="AF4481" s="82"/>
      <c r="AG4481" s="82"/>
      <c r="AH4481" s="82"/>
      <c r="AI4481" s="82"/>
      <c r="AJ4481" s="82"/>
      <c r="AK4481" s="82"/>
      <c r="AL4481" s="82"/>
      <c r="AM4481" s="82"/>
      <c r="AN4481" s="82"/>
      <c r="AO4481" s="82"/>
      <c r="AP4481" s="82"/>
      <c r="AQ4481" s="82"/>
      <c r="AR4481" s="82"/>
      <c r="AS4481" s="82"/>
      <c r="AT4481" s="82"/>
      <c r="AU4481" s="82"/>
      <c r="AV4481" s="82"/>
      <c r="AW4481" s="82" t="str">
        <f t="shared" si="1"/>
        <v/>
      </c>
      <c r="AX4481" s="83" t="str">
        <f t="array" ref="AX4481">IFERROR(DGET('SBV Import'!A:G,"SBV",{"RSC ID","Tier";B4481,A4481}))</f>
        <v/>
      </c>
      <c r="AY4481" s="82" t="str">
        <f t="shared" si="2"/>
        <v/>
      </c>
      <c r="AZ4481" s="82"/>
      <c r="BA4481" s="84" t="s">
        <v>152</v>
      </c>
      <c r="BB4481" s="84" t="str">
        <f>IFERROR(__xludf.DUMMYFUNCTION("iferror(if(A4481="""",,E4481&gt;=FILTER(Constants!$F$2:$F$10,Constants!$A$2:$A$10=A4481)))"),"")</f>
        <v/>
      </c>
    </row>
    <row r="4482">
      <c r="A4482" s="89"/>
      <c r="B4482" s="87"/>
      <c r="C4482" s="73"/>
      <c r="D4482" s="73"/>
      <c r="E4482" s="82"/>
      <c r="F4482" s="82"/>
      <c r="G4482" s="86"/>
      <c r="H4482" s="86"/>
      <c r="I4482" s="86"/>
      <c r="J4482" s="82"/>
      <c r="K4482" s="82"/>
      <c r="L4482" s="82"/>
      <c r="M4482" s="82"/>
      <c r="N4482" s="82"/>
      <c r="O4482" s="82"/>
      <c r="P4482" s="82"/>
      <c r="Q4482" s="82"/>
      <c r="R4482" s="82"/>
      <c r="S4482" s="82"/>
      <c r="T4482" s="82"/>
      <c r="U4482" s="82"/>
      <c r="V4482" s="82"/>
      <c r="W4482" s="82"/>
      <c r="X4482" s="82"/>
      <c r="Y4482" s="82"/>
      <c r="Z4482" s="82"/>
      <c r="AA4482" s="82"/>
      <c r="AB4482" s="82"/>
      <c r="AC4482" s="82"/>
      <c r="AD4482" s="82"/>
      <c r="AE4482" s="82"/>
      <c r="AF4482" s="82"/>
      <c r="AG4482" s="82"/>
      <c r="AH4482" s="82"/>
      <c r="AI4482" s="82"/>
      <c r="AJ4482" s="82"/>
      <c r="AK4482" s="82"/>
      <c r="AL4482" s="82"/>
      <c r="AM4482" s="82"/>
      <c r="AN4482" s="82"/>
      <c r="AO4482" s="82"/>
      <c r="AP4482" s="82"/>
      <c r="AQ4482" s="82"/>
      <c r="AR4482" s="82"/>
      <c r="AS4482" s="82"/>
      <c r="AT4482" s="82"/>
      <c r="AU4482" s="82"/>
      <c r="AV4482" s="82"/>
      <c r="AW4482" s="82" t="str">
        <f t="shared" si="1"/>
        <v/>
      </c>
      <c r="AX4482" s="83" t="str">
        <f t="array" ref="AX4482">IFERROR(DGET('SBV Import'!A:G,"SBV",{"RSC ID","Tier";B4482,A4482}))</f>
        <v/>
      </c>
      <c r="AY4482" s="82" t="str">
        <f t="shared" si="2"/>
        <v/>
      </c>
      <c r="AZ4482" s="82"/>
      <c r="BA4482" s="84" t="s">
        <v>152</v>
      </c>
      <c r="BB4482" s="84" t="str">
        <f>IFERROR(__xludf.DUMMYFUNCTION("iferror(if(A4482="""",,E4482&gt;=FILTER(Constants!$F$2:$F$10,Constants!$A$2:$A$10=A4482)))"),"")</f>
        <v/>
      </c>
    </row>
    <row r="4483">
      <c r="A4483" s="89"/>
      <c r="B4483" s="87"/>
      <c r="C4483" s="73"/>
      <c r="D4483" s="73"/>
      <c r="E4483" s="82"/>
      <c r="F4483" s="82"/>
      <c r="G4483" s="86"/>
      <c r="H4483" s="86"/>
      <c r="I4483" s="86"/>
      <c r="J4483" s="82"/>
      <c r="K4483" s="82"/>
      <c r="L4483" s="82"/>
      <c r="M4483" s="82"/>
      <c r="N4483" s="82"/>
      <c r="O4483" s="82"/>
      <c r="P4483" s="82"/>
      <c r="Q4483" s="82"/>
      <c r="R4483" s="82"/>
      <c r="S4483" s="82"/>
      <c r="T4483" s="82"/>
      <c r="U4483" s="82"/>
      <c r="V4483" s="82"/>
      <c r="W4483" s="82"/>
      <c r="X4483" s="82"/>
      <c r="Y4483" s="82"/>
      <c r="Z4483" s="82"/>
      <c r="AA4483" s="82"/>
      <c r="AB4483" s="82"/>
      <c r="AC4483" s="82"/>
      <c r="AD4483" s="82"/>
      <c r="AE4483" s="82"/>
      <c r="AF4483" s="82"/>
      <c r="AG4483" s="82"/>
      <c r="AH4483" s="82"/>
      <c r="AI4483" s="82"/>
      <c r="AJ4483" s="82"/>
      <c r="AK4483" s="82"/>
      <c r="AL4483" s="82"/>
      <c r="AM4483" s="82"/>
      <c r="AN4483" s="82"/>
      <c r="AO4483" s="82"/>
      <c r="AP4483" s="82"/>
      <c r="AQ4483" s="82"/>
      <c r="AR4483" s="82"/>
      <c r="AS4483" s="82"/>
      <c r="AT4483" s="82"/>
      <c r="AU4483" s="82"/>
      <c r="AV4483" s="82"/>
      <c r="AW4483" s="82" t="str">
        <f t="shared" si="1"/>
        <v/>
      </c>
      <c r="AX4483" s="83" t="str">
        <f t="array" ref="AX4483">IFERROR(DGET('SBV Import'!A:G,"SBV",{"RSC ID","Tier";B4483,A4483}))</f>
        <v/>
      </c>
      <c r="AY4483" s="82" t="str">
        <f t="shared" si="2"/>
        <v/>
      </c>
      <c r="AZ4483" s="82"/>
      <c r="BA4483" s="84" t="s">
        <v>152</v>
      </c>
      <c r="BB4483" s="84" t="str">
        <f>IFERROR(__xludf.DUMMYFUNCTION("iferror(if(A4483="""",,E4483&gt;=FILTER(Constants!$F$2:$F$10,Constants!$A$2:$A$10=A4483)))"),"")</f>
        <v/>
      </c>
    </row>
    <row r="4484">
      <c r="A4484" s="89"/>
      <c r="B4484" s="87"/>
      <c r="C4484" s="73"/>
      <c r="D4484" s="73"/>
      <c r="E4484" s="82"/>
      <c r="F4484" s="82"/>
      <c r="G4484" s="86"/>
      <c r="H4484" s="86"/>
      <c r="I4484" s="86"/>
      <c r="J4484" s="82"/>
      <c r="K4484" s="82"/>
      <c r="L4484" s="82"/>
      <c r="M4484" s="82"/>
      <c r="N4484" s="82"/>
      <c r="O4484" s="82"/>
      <c r="P4484" s="82"/>
      <c r="Q4484" s="82"/>
      <c r="R4484" s="82"/>
      <c r="S4484" s="82"/>
      <c r="T4484" s="82"/>
      <c r="U4484" s="82"/>
      <c r="V4484" s="82"/>
      <c r="W4484" s="82"/>
      <c r="X4484" s="82"/>
      <c r="Y4484" s="82"/>
      <c r="Z4484" s="82"/>
      <c r="AA4484" s="82"/>
      <c r="AB4484" s="82"/>
      <c r="AC4484" s="82"/>
      <c r="AD4484" s="82"/>
      <c r="AE4484" s="82"/>
      <c r="AF4484" s="82"/>
      <c r="AG4484" s="82"/>
      <c r="AH4484" s="82"/>
      <c r="AI4484" s="82"/>
      <c r="AJ4484" s="82"/>
      <c r="AK4484" s="82"/>
      <c r="AL4484" s="82"/>
      <c r="AM4484" s="82"/>
      <c r="AN4484" s="82"/>
      <c r="AO4484" s="82"/>
      <c r="AP4484" s="82"/>
      <c r="AQ4484" s="82"/>
      <c r="AR4484" s="82"/>
      <c r="AS4484" s="82"/>
      <c r="AT4484" s="82"/>
      <c r="AU4484" s="82"/>
      <c r="AV4484" s="82"/>
      <c r="AW4484" s="82" t="str">
        <f t="shared" si="1"/>
        <v/>
      </c>
      <c r="AX4484" s="83" t="str">
        <f t="array" ref="AX4484">IFERROR(DGET('SBV Import'!A:G,"SBV",{"RSC ID","Tier";B4484,A4484}))</f>
        <v/>
      </c>
      <c r="AY4484" s="82" t="str">
        <f t="shared" si="2"/>
        <v/>
      </c>
      <c r="AZ4484" s="82"/>
      <c r="BA4484" s="84" t="s">
        <v>152</v>
      </c>
      <c r="BB4484" s="84" t="str">
        <f>IFERROR(__xludf.DUMMYFUNCTION("iferror(if(A4484="""",,E4484&gt;=FILTER(Constants!$F$2:$F$10,Constants!$A$2:$A$10=A4484)))"),"")</f>
        <v/>
      </c>
    </row>
    <row r="4485">
      <c r="A4485" s="89"/>
      <c r="B4485" s="87"/>
      <c r="C4485" s="73"/>
      <c r="D4485" s="73"/>
      <c r="E4485" s="82"/>
      <c r="F4485" s="82"/>
      <c r="G4485" s="86"/>
      <c r="H4485" s="86"/>
      <c r="I4485" s="86"/>
      <c r="J4485" s="82"/>
      <c r="K4485" s="82"/>
      <c r="L4485" s="82"/>
      <c r="M4485" s="82"/>
      <c r="N4485" s="82"/>
      <c r="O4485" s="82"/>
      <c r="P4485" s="82"/>
      <c r="Q4485" s="82"/>
      <c r="R4485" s="82"/>
      <c r="S4485" s="82"/>
      <c r="T4485" s="82"/>
      <c r="U4485" s="82"/>
      <c r="V4485" s="82"/>
      <c r="W4485" s="82"/>
      <c r="X4485" s="82"/>
      <c r="Y4485" s="82"/>
      <c r="Z4485" s="82"/>
      <c r="AA4485" s="82"/>
      <c r="AB4485" s="82"/>
      <c r="AC4485" s="82"/>
      <c r="AD4485" s="82"/>
      <c r="AE4485" s="82"/>
      <c r="AF4485" s="82"/>
      <c r="AG4485" s="82"/>
      <c r="AH4485" s="82"/>
      <c r="AI4485" s="82"/>
      <c r="AJ4485" s="82"/>
      <c r="AK4485" s="82"/>
      <c r="AL4485" s="82"/>
      <c r="AM4485" s="82"/>
      <c r="AN4485" s="82"/>
      <c r="AO4485" s="82"/>
      <c r="AP4485" s="82"/>
      <c r="AQ4485" s="82"/>
      <c r="AR4485" s="82"/>
      <c r="AS4485" s="82"/>
      <c r="AT4485" s="82"/>
      <c r="AU4485" s="82"/>
      <c r="AV4485" s="82"/>
      <c r="AW4485" s="82" t="str">
        <f t="shared" si="1"/>
        <v/>
      </c>
      <c r="AX4485" s="83" t="str">
        <f t="array" ref="AX4485">IFERROR(DGET('SBV Import'!A:G,"SBV",{"RSC ID","Tier";B4485,A4485}))</f>
        <v/>
      </c>
      <c r="AY4485" s="82" t="str">
        <f t="shared" si="2"/>
        <v/>
      </c>
      <c r="AZ4485" s="82"/>
      <c r="BA4485" s="84" t="s">
        <v>152</v>
      </c>
      <c r="BB4485" s="84" t="str">
        <f>IFERROR(__xludf.DUMMYFUNCTION("iferror(if(A4485="""",,E4485&gt;=FILTER(Constants!$F$2:$F$10,Constants!$A$2:$A$10=A4485)))"),"")</f>
        <v/>
      </c>
    </row>
    <row r="4486">
      <c r="A4486" s="89"/>
      <c r="B4486" s="87"/>
      <c r="C4486" s="73"/>
      <c r="D4486" s="73"/>
      <c r="E4486" s="82"/>
      <c r="F4486" s="82"/>
      <c r="G4486" s="86"/>
      <c r="H4486" s="86"/>
      <c r="I4486" s="86"/>
      <c r="J4486" s="82"/>
      <c r="K4486" s="82"/>
      <c r="L4486" s="82"/>
      <c r="M4486" s="82"/>
      <c r="N4486" s="82"/>
      <c r="O4486" s="82"/>
      <c r="P4486" s="82"/>
      <c r="Q4486" s="82"/>
      <c r="R4486" s="82"/>
      <c r="S4486" s="82"/>
      <c r="T4486" s="82"/>
      <c r="U4486" s="82"/>
      <c r="V4486" s="82"/>
      <c r="W4486" s="82"/>
      <c r="X4486" s="82"/>
      <c r="Y4486" s="82"/>
      <c r="Z4486" s="82"/>
      <c r="AA4486" s="82"/>
      <c r="AB4486" s="82"/>
      <c r="AC4486" s="82"/>
      <c r="AD4486" s="82"/>
      <c r="AE4486" s="82"/>
      <c r="AF4486" s="82"/>
      <c r="AG4486" s="82"/>
      <c r="AH4486" s="82"/>
      <c r="AI4486" s="82"/>
      <c r="AJ4486" s="82"/>
      <c r="AK4486" s="82"/>
      <c r="AL4486" s="82"/>
      <c r="AM4486" s="82"/>
      <c r="AN4486" s="82"/>
      <c r="AO4486" s="82"/>
      <c r="AP4486" s="82"/>
      <c r="AQ4486" s="82"/>
      <c r="AR4486" s="82"/>
      <c r="AS4486" s="82"/>
      <c r="AT4486" s="82"/>
      <c r="AU4486" s="82"/>
      <c r="AV4486" s="82"/>
      <c r="AW4486" s="82" t="str">
        <f t="shared" si="1"/>
        <v/>
      </c>
      <c r="AX4486" s="83" t="str">
        <f t="array" ref="AX4486">IFERROR(DGET('SBV Import'!A:G,"SBV",{"RSC ID","Tier";B4486,A4486}))</f>
        <v/>
      </c>
      <c r="AY4486" s="82" t="str">
        <f t="shared" si="2"/>
        <v/>
      </c>
      <c r="AZ4486" s="82"/>
      <c r="BA4486" s="84" t="s">
        <v>152</v>
      </c>
      <c r="BB4486" s="84" t="str">
        <f>IFERROR(__xludf.DUMMYFUNCTION("iferror(if(A4486="""",,E4486&gt;=FILTER(Constants!$F$2:$F$10,Constants!$A$2:$A$10=A4486)))"),"")</f>
        <v/>
      </c>
    </row>
    <row r="4487">
      <c r="A4487" s="89"/>
      <c r="B4487" s="87"/>
      <c r="C4487" s="73"/>
      <c r="D4487" s="73"/>
      <c r="E4487" s="82"/>
      <c r="F4487" s="82"/>
      <c r="G4487" s="86"/>
      <c r="H4487" s="86"/>
      <c r="I4487" s="86"/>
      <c r="J4487" s="82"/>
      <c r="K4487" s="82"/>
      <c r="L4487" s="82"/>
      <c r="M4487" s="82"/>
      <c r="N4487" s="82"/>
      <c r="O4487" s="82"/>
      <c r="P4487" s="82"/>
      <c r="Q4487" s="82"/>
      <c r="R4487" s="82"/>
      <c r="S4487" s="82"/>
      <c r="T4487" s="82"/>
      <c r="U4487" s="82"/>
      <c r="V4487" s="82"/>
      <c r="W4487" s="82"/>
      <c r="X4487" s="82"/>
      <c r="Y4487" s="82"/>
      <c r="Z4487" s="82"/>
      <c r="AA4487" s="82"/>
      <c r="AB4487" s="82"/>
      <c r="AC4487" s="82"/>
      <c r="AD4487" s="82"/>
      <c r="AE4487" s="82"/>
      <c r="AF4487" s="82"/>
      <c r="AG4487" s="82"/>
      <c r="AH4487" s="82"/>
      <c r="AI4487" s="82"/>
      <c r="AJ4487" s="82"/>
      <c r="AK4487" s="82"/>
      <c r="AL4487" s="82"/>
      <c r="AM4487" s="82"/>
      <c r="AN4487" s="82"/>
      <c r="AO4487" s="82"/>
      <c r="AP4487" s="82"/>
      <c r="AQ4487" s="82"/>
      <c r="AR4487" s="82"/>
      <c r="AS4487" s="82"/>
      <c r="AT4487" s="82"/>
      <c r="AU4487" s="82"/>
      <c r="AV4487" s="82"/>
      <c r="AW4487" s="82" t="str">
        <f t="shared" si="1"/>
        <v/>
      </c>
      <c r="AX4487" s="83" t="str">
        <f t="array" ref="AX4487">IFERROR(DGET('SBV Import'!A:G,"SBV",{"RSC ID","Tier";B4487,A4487}))</f>
        <v/>
      </c>
      <c r="AY4487" s="82" t="str">
        <f t="shared" si="2"/>
        <v/>
      </c>
      <c r="AZ4487" s="82"/>
      <c r="BA4487" s="84" t="s">
        <v>152</v>
      </c>
      <c r="BB4487" s="84" t="str">
        <f>IFERROR(__xludf.DUMMYFUNCTION("iferror(if(A4487="""",,E4487&gt;=FILTER(Constants!$F$2:$F$10,Constants!$A$2:$A$10=A4487)))"),"")</f>
        <v/>
      </c>
    </row>
    <row r="4488">
      <c r="A4488" s="89"/>
      <c r="B4488" s="87"/>
      <c r="C4488" s="73"/>
      <c r="D4488" s="73"/>
      <c r="E4488" s="82"/>
      <c r="F4488" s="82"/>
      <c r="G4488" s="86"/>
      <c r="H4488" s="86"/>
      <c r="I4488" s="86"/>
      <c r="J4488" s="82"/>
      <c r="K4488" s="82"/>
      <c r="L4488" s="82"/>
      <c r="M4488" s="82"/>
      <c r="N4488" s="82"/>
      <c r="O4488" s="82"/>
      <c r="P4488" s="82"/>
      <c r="Q4488" s="82"/>
      <c r="R4488" s="82"/>
      <c r="S4488" s="82"/>
      <c r="T4488" s="82"/>
      <c r="U4488" s="82"/>
      <c r="V4488" s="82"/>
      <c r="W4488" s="82"/>
      <c r="X4488" s="82"/>
      <c r="Y4488" s="82"/>
      <c r="Z4488" s="82"/>
      <c r="AA4488" s="82"/>
      <c r="AB4488" s="82"/>
      <c r="AC4488" s="82"/>
      <c r="AD4488" s="82"/>
      <c r="AE4488" s="82"/>
      <c r="AF4488" s="82"/>
      <c r="AG4488" s="82"/>
      <c r="AH4488" s="82"/>
      <c r="AI4488" s="82"/>
      <c r="AJ4488" s="82"/>
      <c r="AK4488" s="82"/>
      <c r="AL4488" s="82"/>
      <c r="AM4488" s="82"/>
      <c r="AN4488" s="82"/>
      <c r="AO4488" s="82"/>
      <c r="AP4488" s="82"/>
      <c r="AQ4488" s="82"/>
      <c r="AR4488" s="82"/>
      <c r="AS4488" s="82"/>
      <c r="AT4488" s="82"/>
      <c r="AU4488" s="82"/>
      <c r="AV4488" s="82"/>
      <c r="AW4488" s="80" t="str">
        <f t="shared" si="1"/>
        <v/>
      </c>
      <c r="AX4488" s="91" t="str">
        <f t="array" ref="AX4488">IFERROR(DGET('SBV Import'!A:G,"SBV",{"RSC ID","Tier";B4488,A4488}))</f>
        <v/>
      </c>
      <c r="AY4488" s="80" t="str">
        <f t="shared" si="2"/>
        <v/>
      </c>
      <c r="AZ4488" s="80"/>
      <c r="BA4488" s="80" t="s">
        <v>152</v>
      </c>
      <c r="BB4488" s="80" t="str">
        <f>IFERROR(__xludf.DUMMYFUNCTION("iferror(if(A4488="""",,E4488&gt;=FILTER(Constants!$F$2:$F$10,Constants!$A$2:$A$10=A4488)))"),"")</f>
        <v/>
      </c>
    </row>
    <row r="4489">
      <c r="A4489" s="89"/>
      <c r="B4489" s="87"/>
      <c r="C4489" s="73"/>
      <c r="D4489" s="73"/>
      <c r="E4489" s="82"/>
      <c r="F4489" s="82"/>
      <c r="G4489" s="86"/>
      <c r="H4489" s="86"/>
      <c r="I4489" s="86"/>
      <c r="J4489" s="82"/>
      <c r="K4489" s="82"/>
      <c r="L4489" s="82"/>
      <c r="M4489" s="82"/>
      <c r="N4489" s="82"/>
      <c r="O4489" s="82"/>
      <c r="P4489" s="82"/>
      <c r="Q4489" s="82"/>
      <c r="R4489" s="82"/>
      <c r="S4489" s="82"/>
      <c r="T4489" s="82"/>
      <c r="U4489" s="82"/>
      <c r="V4489" s="82"/>
      <c r="W4489" s="82"/>
      <c r="X4489" s="82"/>
      <c r="Y4489" s="82"/>
      <c r="Z4489" s="82"/>
      <c r="AA4489" s="82"/>
      <c r="AB4489" s="82"/>
      <c r="AC4489" s="82"/>
      <c r="AD4489" s="82"/>
      <c r="AE4489" s="82"/>
      <c r="AF4489" s="82"/>
      <c r="AG4489" s="82"/>
      <c r="AH4489" s="82"/>
      <c r="AI4489" s="82"/>
      <c r="AJ4489" s="82"/>
      <c r="AK4489" s="82"/>
      <c r="AL4489" s="82"/>
      <c r="AM4489" s="82"/>
      <c r="AN4489" s="82"/>
      <c r="AO4489" s="82"/>
      <c r="AP4489" s="82"/>
      <c r="AQ4489" s="82"/>
      <c r="AR4489" s="82"/>
      <c r="AS4489" s="82"/>
      <c r="AT4489" s="82"/>
      <c r="AU4489" s="82"/>
      <c r="AV4489" s="82"/>
      <c r="AW4489" s="80" t="str">
        <f t="shared" si="1"/>
        <v/>
      </c>
      <c r="AX4489" s="91" t="str">
        <f t="array" ref="AX4489">IFERROR(DGET('SBV Import'!A:G,"SBV",{"RSC ID","Tier";B4489,A4489}))</f>
        <v/>
      </c>
      <c r="AY4489" s="80" t="str">
        <f t="shared" si="2"/>
        <v/>
      </c>
      <c r="AZ4489" s="80"/>
      <c r="BA4489" s="80" t="s">
        <v>152</v>
      </c>
      <c r="BB4489" s="80" t="str">
        <f>IFERROR(__xludf.DUMMYFUNCTION("iferror(if(A4489="""",,E4489&gt;=FILTER(Constants!$F$2:$F$10,Constants!$A$2:$A$10=A4489)))"),"")</f>
        <v/>
      </c>
    </row>
    <row r="4490">
      <c r="A4490" s="89"/>
      <c r="B4490" s="87"/>
      <c r="C4490" s="73"/>
      <c r="D4490" s="73"/>
      <c r="E4490" s="82"/>
      <c r="F4490" s="82"/>
      <c r="G4490" s="86"/>
      <c r="H4490" s="86"/>
      <c r="I4490" s="86"/>
      <c r="J4490" s="82"/>
      <c r="K4490" s="82"/>
      <c r="L4490" s="82"/>
      <c r="M4490" s="82"/>
      <c r="N4490" s="82"/>
      <c r="O4490" s="82"/>
      <c r="P4490" s="82"/>
      <c r="Q4490" s="82"/>
      <c r="R4490" s="82"/>
      <c r="S4490" s="82"/>
      <c r="T4490" s="82"/>
      <c r="U4490" s="82"/>
      <c r="V4490" s="82"/>
      <c r="W4490" s="82"/>
      <c r="X4490" s="82"/>
      <c r="Y4490" s="82"/>
      <c r="Z4490" s="82"/>
      <c r="AA4490" s="82"/>
      <c r="AB4490" s="82"/>
      <c r="AC4490" s="82"/>
      <c r="AD4490" s="82"/>
      <c r="AE4490" s="82"/>
      <c r="AF4490" s="82"/>
      <c r="AG4490" s="82"/>
      <c r="AH4490" s="82"/>
      <c r="AI4490" s="82"/>
      <c r="AJ4490" s="82"/>
      <c r="AK4490" s="82"/>
      <c r="AL4490" s="82"/>
      <c r="AM4490" s="82"/>
      <c r="AN4490" s="82"/>
      <c r="AO4490" s="82"/>
      <c r="AP4490" s="82"/>
      <c r="AQ4490" s="82"/>
      <c r="AR4490" s="82"/>
      <c r="AS4490" s="82"/>
      <c r="AT4490" s="82"/>
      <c r="AU4490" s="82"/>
      <c r="AV4490" s="82"/>
      <c r="AW4490" s="80" t="str">
        <f t="shared" si="1"/>
        <v/>
      </c>
      <c r="AX4490" s="91" t="str">
        <f t="array" ref="AX4490">IFERROR(DGET('SBV Import'!A:G,"SBV",{"RSC ID","Tier";B4490,A4490}))</f>
        <v/>
      </c>
      <c r="AY4490" s="80" t="str">
        <f t="shared" si="2"/>
        <v/>
      </c>
      <c r="AZ4490" s="80"/>
      <c r="BA4490" s="80" t="s">
        <v>152</v>
      </c>
      <c r="BB4490" s="80" t="str">
        <f>IFERROR(__xludf.DUMMYFUNCTION("iferror(if(A4490="""",,E4490&gt;=FILTER(Constants!$F$2:$F$10,Constants!$A$2:$A$10=A4490)))"),"")</f>
        <v/>
      </c>
    </row>
    <row r="4491">
      <c r="A4491" s="89"/>
      <c r="B4491" s="87"/>
      <c r="C4491" s="73"/>
      <c r="D4491" s="73"/>
      <c r="E4491" s="82"/>
      <c r="F4491" s="82"/>
      <c r="G4491" s="86"/>
      <c r="H4491" s="86"/>
      <c r="I4491" s="86"/>
      <c r="J4491" s="82"/>
      <c r="K4491" s="82"/>
      <c r="L4491" s="82"/>
      <c r="M4491" s="82"/>
      <c r="N4491" s="82"/>
      <c r="O4491" s="82"/>
      <c r="P4491" s="82"/>
      <c r="Q4491" s="82"/>
      <c r="R4491" s="82"/>
      <c r="S4491" s="82"/>
      <c r="T4491" s="82"/>
      <c r="U4491" s="82"/>
      <c r="V4491" s="82"/>
      <c r="W4491" s="82"/>
      <c r="X4491" s="82"/>
      <c r="Y4491" s="82"/>
      <c r="Z4491" s="82"/>
      <c r="AA4491" s="82"/>
      <c r="AB4491" s="82"/>
      <c r="AC4491" s="82"/>
      <c r="AD4491" s="82"/>
      <c r="AE4491" s="82"/>
      <c r="AF4491" s="82"/>
      <c r="AG4491" s="82"/>
      <c r="AH4491" s="82"/>
      <c r="AI4491" s="82"/>
      <c r="AJ4491" s="82"/>
      <c r="AK4491" s="82"/>
      <c r="AL4491" s="82"/>
      <c r="AM4491" s="82"/>
      <c r="AN4491" s="82"/>
      <c r="AO4491" s="82"/>
      <c r="AP4491" s="82"/>
      <c r="AQ4491" s="82"/>
      <c r="AR4491" s="82"/>
      <c r="AS4491" s="82"/>
      <c r="AT4491" s="82"/>
      <c r="AU4491" s="82"/>
      <c r="AV4491" s="82"/>
      <c r="AW4491" s="80" t="str">
        <f t="shared" si="1"/>
        <v/>
      </c>
      <c r="AX4491" s="91" t="str">
        <f t="array" ref="AX4491">IFERROR(DGET('SBV Import'!A:G,"SBV",{"RSC ID","Tier";B4491,A4491}))</f>
        <v/>
      </c>
      <c r="AY4491" s="80" t="str">
        <f t="shared" si="2"/>
        <v/>
      </c>
      <c r="AZ4491" s="80"/>
      <c r="BA4491" s="80" t="s">
        <v>152</v>
      </c>
      <c r="BB4491" s="80" t="str">
        <f>IFERROR(__xludf.DUMMYFUNCTION("iferror(if(A4491="""",,E4491&gt;=FILTER(Constants!$F$2:$F$10,Constants!$A$2:$A$10=A4491)))"),"")</f>
        <v/>
      </c>
    </row>
    <row r="4492">
      <c r="A4492" s="89"/>
      <c r="B4492" s="87"/>
      <c r="C4492" s="73"/>
      <c r="D4492" s="73"/>
      <c r="E4492" s="82"/>
      <c r="F4492" s="82"/>
      <c r="G4492" s="86"/>
      <c r="H4492" s="86"/>
      <c r="I4492" s="86"/>
      <c r="J4492" s="82"/>
      <c r="K4492" s="82"/>
      <c r="L4492" s="82"/>
      <c r="M4492" s="82"/>
      <c r="N4492" s="82"/>
      <c r="O4492" s="82"/>
      <c r="P4492" s="82"/>
      <c r="Q4492" s="82"/>
      <c r="R4492" s="82"/>
      <c r="S4492" s="82"/>
      <c r="T4492" s="82"/>
      <c r="U4492" s="82"/>
      <c r="V4492" s="82"/>
      <c r="W4492" s="82"/>
      <c r="X4492" s="82"/>
      <c r="Y4492" s="82"/>
      <c r="Z4492" s="82"/>
      <c r="AA4492" s="82"/>
      <c r="AB4492" s="82"/>
      <c r="AC4492" s="82"/>
      <c r="AD4492" s="82"/>
      <c r="AE4492" s="82"/>
      <c r="AF4492" s="82"/>
      <c r="AG4492" s="82"/>
      <c r="AH4492" s="82"/>
      <c r="AI4492" s="82"/>
      <c r="AJ4492" s="82"/>
      <c r="AK4492" s="82"/>
      <c r="AL4492" s="82"/>
      <c r="AM4492" s="82"/>
      <c r="AN4492" s="82"/>
      <c r="AO4492" s="82"/>
      <c r="AP4492" s="82"/>
      <c r="AQ4492" s="82"/>
      <c r="AR4492" s="82"/>
      <c r="AS4492" s="82"/>
      <c r="AT4492" s="82"/>
      <c r="AU4492" s="82"/>
      <c r="AV4492" s="82"/>
      <c r="AW4492" s="80" t="str">
        <f t="shared" si="1"/>
        <v/>
      </c>
      <c r="AX4492" s="91" t="str">
        <f t="array" ref="AX4492">IFERROR(DGET('SBV Import'!A:G,"SBV",{"RSC ID","Tier";B4492,A4492}))</f>
        <v/>
      </c>
      <c r="AY4492" s="80" t="str">
        <f t="shared" si="2"/>
        <v/>
      </c>
      <c r="AZ4492" s="80"/>
      <c r="BA4492" s="80" t="s">
        <v>152</v>
      </c>
      <c r="BB4492" s="80" t="str">
        <f>IFERROR(__xludf.DUMMYFUNCTION("iferror(if(A4492="""",,E4492&gt;=FILTER(Constants!$F$2:$F$10,Constants!$A$2:$A$10=A4492)))"),"")</f>
        <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tr">
        <f>IFERROR(__xludf.DUMMYFUNCTION("IMPORTRANGE(Constants!B1, ""'Player Stats'!A:G"")"),"RSC ID")</f>
        <v>RSC ID</v>
      </c>
      <c r="B1" s="30" t="str">
        <f>IFERROR(__xludf.DUMMYFUNCTION("""COMPUTED_VALUE"""),"Name")</f>
        <v>Name</v>
      </c>
      <c r="C1" s="30" t="str">
        <f>IFERROR(__xludf.DUMMYFUNCTION("""COMPUTED_VALUE"""),"Tier")</f>
        <v>Tier</v>
      </c>
      <c r="D1" s="30" t="str">
        <f>IFERROR(__xludf.DUMMYFUNCTION("""COMPUTED_VALUE"""),"Team(s)")</f>
        <v>Team(s)</v>
      </c>
      <c r="E1" s="30" t="str">
        <f>IFERROR(__xludf.DUMMYFUNCTION("""COMPUTED_VALUE"""),"Franchise(s)")</f>
        <v>Franchise(s)</v>
      </c>
      <c r="F1" s="30" t="str">
        <f>IFERROR(__xludf.DUMMYFUNCTION("""COMPUTED_VALUE"""),"Conference")</f>
        <v>Conference</v>
      </c>
      <c r="G1" s="30" t="str">
        <f>IFERROR(__xludf.DUMMYFUNCTION("""COMPUTED_VALUE"""),"SBV")</f>
        <v>SBV</v>
      </c>
    </row>
    <row r="2">
      <c r="A2" s="30" t="str">
        <f>IFERROR(__xludf.DUMMYFUNCTION("""COMPUTED_VALUE"""),"RSC002596")</f>
        <v>RSC002596</v>
      </c>
      <c r="B2" s="30" t="str">
        <f>IFERROR(__xludf.DUMMYFUNCTION("""COMPUTED_VALUE"""),"Jeff Wadowski")</f>
        <v>Jeff Wadowski</v>
      </c>
      <c r="C2" s="30" t="str">
        <f>IFERROR(__xludf.DUMMYFUNCTION("""COMPUTED_VALUE"""),"Prospect")</f>
        <v>Prospect</v>
      </c>
      <c r="D2" s="30" t="str">
        <f>IFERROR(__xludf.DUMMYFUNCTION("""COMPUTED_VALUE"""),"Tic Tacs")</f>
        <v>Tic Tacs</v>
      </c>
      <c r="E2" s="30" t="str">
        <f>IFERROR(__xludf.DUMMYFUNCTION("""COMPUTED_VALUE"""),"Minty Fresh")</f>
        <v>Minty Fresh</v>
      </c>
      <c r="F2" s="30" t="str">
        <f>IFERROR(__xludf.DUMMYFUNCTION("""COMPUTED_VALUE"""),"N/A")</f>
        <v>N/A</v>
      </c>
      <c r="G2" s="92">
        <f>IFERROR(__xludf.DUMMYFUNCTION("""COMPUTED_VALUE"""),58.81579002741029)</f>
        <v>58.81579003</v>
      </c>
    </row>
    <row r="3">
      <c r="A3" s="30" t="str">
        <f>IFERROR(__xludf.DUMMYFUNCTION("""COMPUTED_VALUE"""),"RSC007297")</f>
        <v>RSC007297</v>
      </c>
      <c r="B3" s="30" t="str">
        <f>IFERROR(__xludf.DUMMYFUNCTION("""COMPUTED_VALUE"""),"Marc_Byy_8")</f>
        <v>Marc_Byy_8</v>
      </c>
      <c r="C3" s="30" t="str">
        <f>IFERROR(__xludf.DUMMYFUNCTION("""COMPUTED_VALUE"""),"Prospect")</f>
        <v>Prospect</v>
      </c>
      <c r="D3" s="30" t="str">
        <f>IFERROR(__xludf.DUMMYFUNCTION("""COMPUTED_VALUE"""),"Tic Tacs")</f>
        <v>Tic Tacs</v>
      </c>
      <c r="E3" s="30" t="str">
        <f>IFERROR(__xludf.DUMMYFUNCTION("""COMPUTED_VALUE"""),"Minty Fresh")</f>
        <v>Minty Fresh</v>
      </c>
      <c r="F3" s="30" t="str">
        <f>IFERROR(__xludf.DUMMYFUNCTION("""COMPUTED_VALUE"""),"N/A")</f>
        <v>N/A</v>
      </c>
      <c r="G3" s="92">
        <f>IFERROR(__xludf.DUMMYFUNCTION("""COMPUTED_VALUE"""),65.7984248647309)</f>
        <v>65.79842486</v>
      </c>
    </row>
    <row r="4">
      <c r="A4" s="30" t="str">
        <f>IFERROR(__xludf.DUMMYFUNCTION("""COMPUTED_VALUE"""),"RSC001820")</f>
        <v>RSC001820</v>
      </c>
      <c r="B4" s="30" t="str">
        <f>IFERROR(__xludf.DUMMYFUNCTION("""COMPUTED_VALUE"""),"YourEvilTwin")</f>
        <v>YourEvilTwin</v>
      </c>
      <c r="C4" s="30" t="str">
        <f>IFERROR(__xludf.DUMMYFUNCTION("""COMPUTED_VALUE"""),"Prospect")</f>
        <v>Prospect</v>
      </c>
      <c r="D4" s="30" t="str">
        <f>IFERROR(__xludf.DUMMYFUNCTION("""COMPUTED_VALUE"""),"Tic Tacs")</f>
        <v>Tic Tacs</v>
      </c>
      <c r="E4" s="30" t="str">
        <f>IFERROR(__xludf.DUMMYFUNCTION("""COMPUTED_VALUE"""),"Minty Fresh")</f>
        <v>Minty Fresh</v>
      </c>
      <c r="F4" s="30" t="str">
        <f>IFERROR(__xludf.DUMMYFUNCTION("""COMPUTED_VALUE"""),"N/A")</f>
        <v>N/A</v>
      </c>
      <c r="G4" s="92">
        <f>IFERROR(__xludf.DUMMYFUNCTION("""COMPUTED_VALUE"""),19.73319813284077)</f>
        <v>19.73319813</v>
      </c>
    </row>
    <row r="5">
      <c r="A5" s="30" t="str">
        <f>IFERROR(__xludf.DUMMYFUNCTION("""COMPUTED_VALUE"""),"RSC005915")</f>
        <v>RSC005915</v>
      </c>
      <c r="B5" s="30" t="str">
        <f>IFERROR(__xludf.DUMMYFUNCTION("""COMPUTED_VALUE"""),"BromzaTheOldMan")</f>
        <v>BromzaTheOldMan</v>
      </c>
      <c r="C5" s="30" t="str">
        <f>IFERROR(__xludf.DUMMYFUNCTION("""COMPUTED_VALUE"""),"Prospect")</f>
        <v>Prospect</v>
      </c>
      <c r="D5" s="30" t="str">
        <f>IFERROR(__xludf.DUMMYFUNCTION("""COMPUTED_VALUE"""),"Honey Badgers")</f>
        <v>Honey Badgers</v>
      </c>
      <c r="E5" s="30" t="str">
        <f>IFERROR(__xludf.DUMMYFUNCTION("""COMPUTED_VALUE"""),"Safari")</f>
        <v>Safari</v>
      </c>
      <c r="F5" s="30" t="str">
        <f>IFERROR(__xludf.DUMMYFUNCTION("""COMPUTED_VALUE"""),"N/A")</f>
        <v>N/A</v>
      </c>
      <c r="G5" s="92">
        <f>IFERROR(__xludf.DUMMYFUNCTION("""COMPUTED_VALUE"""),64.24424898832295)</f>
        <v>64.24424899</v>
      </c>
    </row>
    <row r="6">
      <c r="A6" s="30" t="str">
        <f>IFERROR(__xludf.DUMMYFUNCTION("""COMPUTED_VALUE"""),"RSC003737")</f>
        <v>RSC003737</v>
      </c>
      <c r="B6" s="30" t="str">
        <f>IFERROR(__xludf.DUMMYFUNCTION("""COMPUTED_VALUE"""),"MeOnDisplay")</f>
        <v>MeOnDisplay</v>
      </c>
      <c r="C6" s="30" t="str">
        <f>IFERROR(__xludf.DUMMYFUNCTION("""COMPUTED_VALUE"""),"Prospect")</f>
        <v>Prospect</v>
      </c>
      <c r="D6" s="30" t="str">
        <f>IFERROR(__xludf.DUMMYFUNCTION("""COMPUTED_VALUE"""),"Honey Badgers")</f>
        <v>Honey Badgers</v>
      </c>
      <c r="E6" s="30" t="str">
        <f>IFERROR(__xludf.DUMMYFUNCTION("""COMPUTED_VALUE"""),"Safari")</f>
        <v>Safari</v>
      </c>
      <c r="F6" s="30" t="str">
        <f>IFERROR(__xludf.DUMMYFUNCTION("""COMPUTED_VALUE"""),"N/A")</f>
        <v>N/A</v>
      </c>
      <c r="G6" s="92">
        <f>IFERROR(__xludf.DUMMYFUNCTION("""COMPUTED_VALUE"""),24.142741027726935)</f>
        <v>24.14274103</v>
      </c>
    </row>
    <row r="7">
      <c r="A7" s="30" t="str">
        <f>IFERROR(__xludf.DUMMYFUNCTION("""COMPUTED_VALUE"""),"RSC004303")</f>
        <v>RSC004303</v>
      </c>
      <c r="B7" s="30" t="str">
        <f>IFERROR(__xludf.DUMMYFUNCTION("""COMPUTED_VALUE"""),"Shogun")</f>
        <v>Shogun</v>
      </c>
      <c r="C7" s="30" t="str">
        <f>IFERROR(__xludf.DUMMYFUNCTION("""COMPUTED_VALUE"""),"Prospect")</f>
        <v>Prospect</v>
      </c>
      <c r="D7" s="30" t="str">
        <f>IFERROR(__xludf.DUMMYFUNCTION("""COMPUTED_VALUE"""),"Honey Badgers")</f>
        <v>Honey Badgers</v>
      </c>
      <c r="E7" s="30" t="str">
        <f>IFERROR(__xludf.DUMMYFUNCTION("""COMPUTED_VALUE"""),"Safari")</f>
        <v>Safari</v>
      </c>
      <c r="F7" s="30" t="str">
        <f>IFERROR(__xludf.DUMMYFUNCTION("""COMPUTED_VALUE"""),"N/A")</f>
        <v>N/A</v>
      </c>
      <c r="G7" s="92">
        <f>IFERROR(__xludf.DUMMYFUNCTION("""COMPUTED_VALUE"""),43.8127534274287)</f>
        <v>43.81275343</v>
      </c>
    </row>
    <row r="8">
      <c r="A8" s="30" t="str">
        <f>IFERROR(__xludf.DUMMYFUNCTION("""COMPUTED_VALUE"""),"RSC002796")</f>
        <v>RSC002796</v>
      </c>
      <c r="B8" s="30" t="str">
        <f>IFERROR(__xludf.DUMMYFUNCTION("""COMPUTED_VALUE"""),"Carno")</f>
        <v>Carno</v>
      </c>
      <c r="C8" s="30" t="str">
        <f>IFERROR(__xludf.DUMMYFUNCTION("""COMPUTED_VALUE"""),"Prospect")</f>
        <v>Prospect</v>
      </c>
      <c r="D8" s="30" t="str">
        <f>IFERROR(__xludf.DUMMYFUNCTION("""COMPUTED_VALUE"""),"Undead")</f>
        <v>Undead</v>
      </c>
      <c r="E8" s="30" t="str">
        <f>IFERROR(__xludf.DUMMYFUNCTION("""COMPUTED_VALUE"""),"Destined")</f>
        <v>Destined</v>
      </c>
      <c r="F8" s="30" t="str">
        <f>IFERROR(__xludf.DUMMYFUNCTION("""COMPUTED_VALUE"""),"N/A")</f>
        <v>N/A</v>
      </c>
      <c r="G8" s="92">
        <f>IFERROR(__xludf.DUMMYFUNCTION("""COMPUTED_VALUE"""),26.883220197585096)</f>
        <v>26.8832202</v>
      </c>
    </row>
    <row r="9">
      <c r="A9" s="30" t="str">
        <f>IFERROR(__xludf.DUMMYFUNCTION("""COMPUTED_VALUE"""),"RSC006755")</f>
        <v>RSC006755</v>
      </c>
      <c r="B9" s="30" t="str">
        <f>IFERROR(__xludf.DUMMYFUNCTION("""COMPUTED_VALUE"""),"Fox_gt_400")</f>
        <v>Fox_gt_400</v>
      </c>
      <c r="C9" s="30" t="str">
        <f>IFERROR(__xludf.DUMMYFUNCTION("""COMPUTED_VALUE"""),"Prospect")</f>
        <v>Prospect</v>
      </c>
      <c r="D9" s="30" t="str">
        <f>IFERROR(__xludf.DUMMYFUNCTION("""COMPUTED_VALUE"""),"Undead")</f>
        <v>Undead</v>
      </c>
      <c r="E9" s="30" t="str">
        <f>IFERROR(__xludf.DUMMYFUNCTION("""COMPUTED_VALUE"""),"Destined")</f>
        <v>Destined</v>
      </c>
      <c r="F9" s="30" t="str">
        <f>IFERROR(__xludf.DUMMYFUNCTION("""COMPUTED_VALUE"""),"N/A")</f>
        <v>N/A</v>
      </c>
      <c r="G9" s="92">
        <f>IFERROR(__xludf.DUMMYFUNCTION("""COMPUTED_VALUE"""),40.52407248069608)</f>
        <v>40.52407248</v>
      </c>
    </row>
    <row r="10">
      <c r="A10" s="30" t="str">
        <f>IFERROR(__xludf.DUMMYFUNCTION("""COMPUTED_VALUE"""),"RSC007851")</f>
        <v>RSC007851</v>
      </c>
      <c r="B10" s="30" t="str">
        <f>IFERROR(__xludf.DUMMYFUNCTION("""COMPUTED_VALUE"""),"Carridripdrip")</f>
        <v>Carridripdrip</v>
      </c>
      <c r="C10" s="30" t="str">
        <f>IFERROR(__xludf.DUMMYFUNCTION("""COMPUTED_VALUE"""),"Prospect")</f>
        <v>Prospect</v>
      </c>
      <c r="D10" s="30" t="str">
        <f>IFERROR(__xludf.DUMMYFUNCTION("""COMPUTED_VALUE"""),"Undead")</f>
        <v>Undead</v>
      </c>
      <c r="E10" s="30" t="str">
        <f>IFERROR(__xludf.DUMMYFUNCTION("""COMPUTED_VALUE"""),"Destined")</f>
        <v>Destined</v>
      </c>
      <c r="F10" s="30" t="str">
        <f>IFERROR(__xludf.DUMMYFUNCTION("""COMPUTED_VALUE"""),"N/A")</f>
        <v>N/A</v>
      </c>
      <c r="G10" s="92">
        <f>IFERROR(__xludf.DUMMYFUNCTION("""COMPUTED_VALUE"""),44.43992608623704)</f>
        <v>44.43992609</v>
      </c>
    </row>
    <row r="11">
      <c r="A11" s="30" t="str">
        <f>IFERROR(__xludf.DUMMYFUNCTION("""COMPUTED_VALUE"""),"RSC007502")</f>
        <v>RSC007502</v>
      </c>
      <c r="B11" s="30" t="str">
        <f>IFERROR(__xludf.DUMMYFUNCTION("""COMPUTED_VALUE"""),"Cr1m5on_RL")</f>
        <v>Cr1m5on_RL</v>
      </c>
      <c r="C11" s="30" t="str">
        <f>IFERROR(__xludf.DUMMYFUNCTION("""COMPUTED_VALUE"""),"Prospect")</f>
        <v>Prospect</v>
      </c>
      <c r="D11" s="30" t="str">
        <f>IFERROR(__xludf.DUMMYFUNCTION("""COMPUTED_VALUE"""),"Gloom
Khans")</f>
        <v>Gloom
Khans</v>
      </c>
      <c r="E11" s="30" t="str">
        <f>IFERROR(__xludf.DUMMYFUNCTION("""COMPUTED_VALUE"""),"The Shadows
Monarchy")</f>
        <v>The Shadows
Monarchy</v>
      </c>
      <c r="F11" s="30" t="str">
        <f>IFERROR(__xludf.DUMMYFUNCTION("""COMPUTED_VALUE"""),"N/A")</f>
        <v>N/A</v>
      </c>
      <c r="G11" s="92">
        <f>IFERROR(__xludf.DUMMYFUNCTION("""COMPUTED_VALUE"""),42.51031450180316)</f>
        <v>42.5103145</v>
      </c>
    </row>
    <row r="12">
      <c r="A12" s="30" t="str">
        <f>IFERROR(__xludf.DUMMYFUNCTION("""COMPUTED_VALUE"""),"RSC008010")</f>
        <v>RSC008010</v>
      </c>
      <c r="B12" s="30" t="str">
        <f>IFERROR(__xludf.DUMMYFUNCTION("""COMPUTED_VALUE"""),"WamBamTYMan-")</f>
        <v>WamBamTYMan-</v>
      </c>
      <c r="C12" s="30" t="str">
        <f>IFERROR(__xludf.DUMMYFUNCTION("""COMPUTED_VALUE"""),"Prospect")</f>
        <v>Prospect</v>
      </c>
      <c r="D12" s="30" t="str">
        <f>IFERROR(__xludf.DUMMYFUNCTION("""COMPUTED_VALUE"""),"Khans")</f>
        <v>Khans</v>
      </c>
      <c r="E12" s="30" t="str">
        <f>IFERROR(__xludf.DUMMYFUNCTION("""COMPUTED_VALUE"""),"Monarchy")</f>
        <v>Monarchy</v>
      </c>
      <c r="F12" s="30" t="str">
        <f>IFERROR(__xludf.DUMMYFUNCTION("""COMPUTED_VALUE"""),"N/A")</f>
        <v>N/A</v>
      </c>
      <c r="G12" s="92">
        <f>IFERROR(__xludf.DUMMYFUNCTION("""COMPUTED_VALUE"""),45.58855375034736)</f>
        <v>45.58855375</v>
      </c>
    </row>
    <row r="13">
      <c r="A13" s="30" t="str">
        <f>IFERROR(__xludf.DUMMYFUNCTION("""COMPUTED_VALUE"""),"RSC000253")</f>
        <v>RSC000253</v>
      </c>
      <c r="B13" s="30" t="str">
        <f>IFERROR(__xludf.DUMMYFUNCTION("""COMPUTED_VALUE"""),"musah")</f>
        <v>musah</v>
      </c>
      <c r="C13" s="30" t="str">
        <f>IFERROR(__xludf.DUMMYFUNCTION("""COMPUTED_VALUE"""),"Prospect")</f>
        <v>Prospect</v>
      </c>
      <c r="D13" s="30" t="str">
        <f>IFERROR(__xludf.DUMMYFUNCTION("""COMPUTED_VALUE"""),"Khans")</f>
        <v>Khans</v>
      </c>
      <c r="E13" s="30" t="str">
        <f>IFERROR(__xludf.DUMMYFUNCTION("""COMPUTED_VALUE"""),"Monarchy")</f>
        <v>Monarchy</v>
      </c>
      <c r="F13" s="30" t="str">
        <f>IFERROR(__xludf.DUMMYFUNCTION("""COMPUTED_VALUE"""),"N/A")</f>
        <v>N/A</v>
      </c>
      <c r="G13" s="92">
        <f>IFERROR(__xludf.DUMMYFUNCTION("""COMPUTED_VALUE"""),18.947675936061987)</f>
        <v>18.94767594</v>
      </c>
    </row>
    <row r="14">
      <c r="A14" s="30" t="str">
        <f>IFERROR(__xludf.DUMMYFUNCTION("""COMPUTED_VALUE"""),"RSC007102")</f>
        <v>RSC007102</v>
      </c>
      <c r="B14" s="30" t="str">
        <f>IFERROR(__xludf.DUMMYFUNCTION("""COMPUTED_VALUE"""),"tepochtli_13")</f>
        <v>tepochtli_13</v>
      </c>
      <c r="C14" s="30" t="str">
        <f>IFERROR(__xludf.DUMMYFUNCTION("""COMPUTED_VALUE"""),"Prospect")</f>
        <v>Prospect</v>
      </c>
      <c r="D14" s="30" t="str">
        <f>IFERROR(__xludf.DUMMYFUNCTION("""COMPUTED_VALUE"""),"Principales
Hawaiian Pizza
Poppy")</f>
        <v>Principales
Hawaiian Pizza
Poppy</v>
      </c>
      <c r="E14" s="30" t="str">
        <f>IFERROR(__xludf.DUMMYFUNCTION("""COMPUTED_VALUE"""),"The Sovereign
Fifty-Fifty Pizzeria
Flower Road")</f>
        <v>The Sovereign
Fifty-Fifty Pizzeria
Flower Road</v>
      </c>
      <c r="F14" s="30" t="str">
        <f>IFERROR(__xludf.DUMMYFUNCTION("""COMPUTED_VALUE"""),"N/A")</f>
        <v>N/A</v>
      </c>
      <c r="G14" s="92">
        <f>IFERROR(__xludf.DUMMYFUNCTION("""COMPUTED_VALUE"""),22.57544126172944)</f>
        <v>22.57544126</v>
      </c>
    </row>
    <row r="15">
      <c r="A15" s="30" t="str">
        <f>IFERROR(__xludf.DUMMYFUNCTION("""COMPUTED_VALUE"""),"RSC007262")</f>
        <v>RSC007262</v>
      </c>
      <c r="B15" s="30" t="str">
        <f>IFERROR(__xludf.DUMMYFUNCTION("""COMPUTED_VALUE"""),"Vvreze")</f>
        <v>Vvreze</v>
      </c>
      <c r="C15" s="30" t="str">
        <f>IFERROR(__xludf.DUMMYFUNCTION("""COMPUTED_VALUE"""),"Prospect")</f>
        <v>Prospect</v>
      </c>
      <c r="D15" s="30" t="str">
        <f>IFERROR(__xludf.DUMMYFUNCTION("""COMPUTED_VALUE"""),"Poppy")</f>
        <v>Poppy</v>
      </c>
      <c r="E15" s="30" t="str">
        <f>IFERROR(__xludf.DUMMYFUNCTION("""COMPUTED_VALUE"""),"Flower Road")</f>
        <v>Flower Road</v>
      </c>
      <c r="F15" s="30" t="str">
        <f>IFERROR(__xludf.DUMMYFUNCTION("""COMPUTED_VALUE"""),"N/A")</f>
        <v>N/A</v>
      </c>
      <c r="G15" s="92">
        <f>IFERROR(__xludf.DUMMYFUNCTION("""COMPUTED_VALUE"""),52.86405640922966)</f>
        <v>52.86405641</v>
      </c>
    </row>
    <row r="16">
      <c r="A16" s="30" t="str">
        <f>IFERROR(__xludf.DUMMYFUNCTION("""COMPUTED_VALUE"""),"RSC007897")</f>
        <v>RSC007897</v>
      </c>
      <c r="B16" s="30" t="str">
        <f>IFERROR(__xludf.DUMMYFUNCTION("""COMPUTED_VALUE"""),"Synnicall")</f>
        <v>Synnicall</v>
      </c>
      <c r="C16" s="30" t="str">
        <f>IFERROR(__xludf.DUMMYFUNCTION("""COMPUTED_VALUE"""),"Prospect")</f>
        <v>Prospect</v>
      </c>
      <c r="D16" s="30" t="str">
        <f>IFERROR(__xludf.DUMMYFUNCTION("""COMPUTED_VALUE"""),"Poppy")</f>
        <v>Poppy</v>
      </c>
      <c r="E16" s="30" t="str">
        <f>IFERROR(__xludf.DUMMYFUNCTION("""COMPUTED_VALUE"""),"Flower Road")</f>
        <v>Flower Road</v>
      </c>
      <c r="F16" s="30" t="str">
        <f>IFERROR(__xludf.DUMMYFUNCTION("""COMPUTED_VALUE"""),"N/A")</f>
        <v>N/A</v>
      </c>
      <c r="G16" s="92">
        <f>IFERROR(__xludf.DUMMYFUNCTION("""COMPUTED_VALUE"""),53.29586623591645)</f>
        <v>53.29586624</v>
      </c>
    </row>
    <row r="17">
      <c r="A17" s="30" t="str">
        <f>IFERROR(__xludf.DUMMYFUNCTION("""COMPUTED_VALUE"""),"RSC007202")</f>
        <v>RSC007202</v>
      </c>
      <c r="B17" s="30" t="str">
        <f>IFERROR(__xludf.DUMMYFUNCTION("""COMPUTED_VALUE"""),"GreatHonda")</f>
        <v>GreatHonda</v>
      </c>
      <c r="C17" s="30" t="str">
        <f>IFERROR(__xludf.DUMMYFUNCTION("""COMPUTED_VALUE"""),"Prospect")</f>
        <v>Prospect</v>
      </c>
      <c r="D17" s="30" t="str">
        <f>IFERROR(__xludf.DUMMYFUNCTION("""COMPUTED_VALUE"""),"Horizon Highball")</f>
        <v>Horizon Highball</v>
      </c>
      <c r="E17" s="30" t="str">
        <f>IFERROR(__xludf.DUMMYFUNCTION("""COMPUTED_VALUE"""),"5 O'clock Nowhere")</f>
        <v>5 O'clock Nowhere</v>
      </c>
      <c r="F17" s="30" t="str">
        <f>IFERROR(__xludf.DUMMYFUNCTION("""COMPUTED_VALUE"""),"N/A")</f>
        <v>N/A</v>
      </c>
      <c r="G17" s="92">
        <f>IFERROR(__xludf.DUMMYFUNCTION("""COMPUTED_VALUE"""),67.50462745190598)</f>
        <v>67.50462745</v>
      </c>
    </row>
    <row r="18">
      <c r="A18" s="30" t="str">
        <f>IFERROR(__xludf.DUMMYFUNCTION("""COMPUTED_VALUE"""),"RSC007572")</f>
        <v>RSC007572</v>
      </c>
      <c r="B18" s="30" t="str">
        <f>IFERROR(__xludf.DUMMYFUNCTION("""COMPUTED_VALUE"""),"Mexalato")</f>
        <v>Mexalato</v>
      </c>
      <c r="C18" s="30" t="str">
        <f>IFERROR(__xludf.DUMMYFUNCTION("""COMPUTED_VALUE"""),"Prospect")</f>
        <v>Prospect</v>
      </c>
      <c r="D18" s="30" t="str">
        <f>IFERROR(__xludf.DUMMYFUNCTION("""COMPUTED_VALUE"""),"Horizon Highball")</f>
        <v>Horizon Highball</v>
      </c>
      <c r="E18" s="30" t="str">
        <f>IFERROR(__xludf.DUMMYFUNCTION("""COMPUTED_VALUE"""),"5 O'clock Nowhere")</f>
        <v>5 O'clock Nowhere</v>
      </c>
      <c r="F18" s="30" t="str">
        <f>IFERROR(__xludf.DUMMYFUNCTION("""COMPUTED_VALUE"""),"N/A")</f>
        <v>N/A</v>
      </c>
      <c r="G18" s="92">
        <f>IFERROR(__xludf.DUMMYFUNCTION("""COMPUTED_VALUE"""),63.24442381776977)</f>
        <v>63.24442382</v>
      </c>
    </row>
    <row r="19">
      <c r="A19" s="30" t="str">
        <f>IFERROR(__xludf.DUMMYFUNCTION("""COMPUTED_VALUE"""),"RSC006832")</f>
        <v>RSC006832</v>
      </c>
      <c r="B19" s="30" t="str">
        <f>IFERROR(__xludf.DUMMYFUNCTION("""COMPUTED_VALUE"""),"Pandaliciously")</f>
        <v>Pandaliciously</v>
      </c>
      <c r="C19" s="30" t="str">
        <f>IFERROR(__xludf.DUMMYFUNCTION("""COMPUTED_VALUE"""),"Prospect")</f>
        <v>Prospect</v>
      </c>
      <c r="D19" s="30" t="str">
        <f>IFERROR(__xludf.DUMMYFUNCTION("""COMPUTED_VALUE"""),"Horizon Highball")</f>
        <v>Horizon Highball</v>
      </c>
      <c r="E19" s="30" t="str">
        <f>IFERROR(__xludf.DUMMYFUNCTION("""COMPUTED_VALUE"""),"5 O'clock Nowhere")</f>
        <v>5 O'clock Nowhere</v>
      </c>
      <c r="F19" s="30" t="str">
        <f>IFERROR(__xludf.DUMMYFUNCTION("""COMPUTED_VALUE"""),"N/A")</f>
        <v>N/A</v>
      </c>
      <c r="G19" s="92">
        <f>IFERROR(__xludf.DUMMYFUNCTION("""COMPUTED_VALUE"""),77.5253745168737)</f>
        <v>77.52537452</v>
      </c>
    </row>
    <row r="20">
      <c r="A20" s="30" t="str">
        <f>IFERROR(__xludf.DUMMYFUNCTION("""COMPUTED_VALUE"""),"RSC005561")</f>
        <v>RSC005561</v>
      </c>
      <c r="B20" s="30" t="str">
        <f>IFERROR(__xludf.DUMMYFUNCTION("""COMPUTED_VALUE"""),"Angelofthebronx")</f>
        <v>Angelofthebronx</v>
      </c>
      <c r="C20" s="30" t="str">
        <f>IFERROR(__xludf.DUMMYFUNCTION("""COMPUTED_VALUE"""),"Prospect")</f>
        <v>Prospect</v>
      </c>
      <c r="D20" s="30" t="str">
        <f>IFERROR(__xludf.DUMMYFUNCTION("""COMPUTED_VALUE"""),"Earth")</f>
        <v>Earth</v>
      </c>
      <c r="E20" s="30" t="str">
        <f>IFERROR(__xludf.DUMMYFUNCTION("""COMPUTED_VALUE"""),"The Elements")</f>
        <v>The Elements</v>
      </c>
      <c r="F20" s="30" t="str">
        <f>IFERROR(__xludf.DUMMYFUNCTION("""COMPUTED_VALUE"""),"N/A")</f>
        <v>N/A</v>
      </c>
      <c r="G20" s="92">
        <f>IFERROR(__xludf.DUMMYFUNCTION("""COMPUTED_VALUE"""),17.131403646449037)</f>
        <v>17.13140365</v>
      </c>
    </row>
    <row r="21">
      <c r="A21" s="30" t="str">
        <f>IFERROR(__xludf.DUMMYFUNCTION("""COMPUTED_VALUE"""),"RSC003335")</f>
        <v>RSC003335</v>
      </c>
      <c r="B21" s="30" t="str">
        <f>IFERROR(__xludf.DUMMYFUNCTION("""COMPUTED_VALUE"""),"xEaglex20x")</f>
        <v>xEaglex20x</v>
      </c>
      <c r="C21" s="30" t="str">
        <f>IFERROR(__xludf.DUMMYFUNCTION("""COMPUTED_VALUE"""),"Prospect")</f>
        <v>Prospect</v>
      </c>
      <c r="D21" s="30" t="str">
        <f>IFERROR(__xludf.DUMMYFUNCTION("""COMPUTED_VALUE"""),"Earth")</f>
        <v>Earth</v>
      </c>
      <c r="E21" s="30" t="str">
        <f>IFERROR(__xludf.DUMMYFUNCTION("""COMPUTED_VALUE"""),"The Elements")</f>
        <v>The Elements</v>
      </c>
      <c r="F21" s="30" t="str">
        <f>IFERROR(__xludf.DUMMYFUNCTION("""COMPUTED_VALUE"""),"N/A")</f>
        <v>N/A</v>
      </c>
      <c r="G21" s="92">
        <f>IFERROR(__xludf.DUMMYFUNCTION("""COMPUTED_VALUE"""),45.416307060797784)</f>
        <v>45.41630706</v>
      </c>
    </row>
    <row r="22">
      <c r="A22" s="30" t="str">
        <f>IFERROR(__xludf.DUMMYFUNCTION("""COMPUTED_VALUE"""),"RSC006793")</f>
        <v>RSC006793</v>
      </c>
      <c r="B22" s="30" t="str">
        <f>IFERROR(__xludf.DUMMYFUNCTION("""COMPUTED_VALUE"""),"Yogibear8003")</f>
        <v>Yogibear8003</v>
      </c>
      <c r="C22" s="30" t="str">
        <f>IFERROR(__xludf.DUMMYFUNCTION("""COMPUTED_VALUE"""),"Prospect")</f>
        <v>Prospect</v>
      </c>
      <c r="D22" s="30" t="str">
        <f>IFERROR(__xludf.DUMMYFUNCTION("""COMPUTED_VALUE"""),"Earth")</f>
        <v>Earth</v>
      </c>
      <c r="E22" s="30" t="str">
        <f>IFERROR(__xludf.DUMMYFUNCTION("""COMPUTED_VALUE"""),"The Elements")</f>
        <v>The Elements</v>
      </c>
      <c r="F22" s="30" t="str">
        <f>IFERROR(__xludf.DUMMYFUNCTION("""COMPUTED_VALUE"""),"N/A")</f>
        <v>N/A</v>
      </c>
      <c r="G22" s="92">
        <f>IFERROR(__xludf.DUMMYFUNCTION("""COMPUTED_VALUE"""),51.88142731136972)</f>
        <v>51.88142731</v>
      </c>
    </row>
    <row r="23">
      <c r="A23" s="30" t="str">
        <f>IFERROR(__xludf.DUMMYFUNCTION("""COMPUTED_VALUE"""),"RSC007431")</f>
        <v>RSC007431</v>
      </c>
      <c r="B23" s="30" t="str">
        <f>IFERROR(__xludf.DUMMYFUNCTION("""COMPUTED_VALUE"""),"xPotatodactylx")</f>
        <v>xPotatodactylx</v>
      </c>
      <c r="C23" s="30" t="str">
        <f>IFERROR(__xludf.DUMMYFUNCTION("""COMPUTED_VALUE"""),"Prospect")</f>
        <v>Prospect</v>
      </c>
      <c r="D23" s="30" t="str">
        <f>IFERROR(__xludf.DUMMYFUNCTION("""COMPUTED_VALUE"""),"Hawaiian Pizza")</f>
        <v>Hawaiian Pizza</v>
      </c>
      <c r="E23" s="30" t="str">
        <f>IFERROR(__xludf.DUMMYFUNCTION("""COMPUTED_VALUE"""),"Fifty-Fifty Pizzeria")</f>
        <v>Fifty-Fifty Pizzeria</v>
      </c>
      <c r="F23" s="30" t="str">
        <f>IFERROR(__xludf.DUMMYFUNCTION("""COMPUTED_VALUE"""),"N/A")</f>
        <v>N/A</v>
      </c>
      <c r="G23" s="92">
        <f>IFERROR(__xludf.DUMMYFUNCTION("""COMPUTED_VALUE"""),57.336575194782085)</f>
        <v>57.33657519</v>
      </c>
    </row>
    <row r="24">
      <c r="A24" s="30" t="str">
        <f>IFERROR(__xludf.DUMMYFUNCTION("""COMPUTED_VALUE"""),"RSC006308")</f>
        <v>RSC006308</v>
      </c>
      <c r="B24" s="30" t="str">
        <f>IFERROR(__xludf.DUMMYFUNCTION("""COMPUTED_VALUE"""),"SqueezySponge_")</f>
        <v>SqueezySponge_</v>
      </c>
      <c r="C24" s="30" t="str">
        <f>IFERROR(__xludf.DUMMYFUNCTION("""COMPUTED_VALUE"""),"Prospect")</f>
        <v>Prospect</v>
      </c>
      <c r="D24" s="30" t="str">
        <f>IFERROR(__xludf.DUMMYFUNCTION("""COMPUTED_VALUE"""),"Hawaiian Pizza")</f>
        <v>Hawaiian Pizza</v>
      </c>
      <c r="E24" s="30" t="str">
        <f>IFERROR(__xludf.DUMMYFUNCTION("""COMPUTED_VALUE"""),"Fifty-Fifty Pizzeria")</f>
        <v>Fifty-Fifty Pizzeria</v>
      </c>
      <c r="F24" s="30" t="str">
        <f>IFERROR(__xludf.DUMMYFUNCTION("""COMPUTED_VALUE"""),"N/A")</f>
        <v>N/A</v>
      </c>
      <c r="G24" s="92">
        <f>IFERROR(__xludf.DUMMYFUNCTION("""COMPUTED_VALUE"""),62.596458796449824)</f>
        <v>62.5964588</v>
      </c>
    </row>
    <row r="25">
      <c r="A25" s="30" t="str">
        <f>IFERROR(__xludf.DUMMYFUNCTION("""COMPUTED_VALUE"""),"RSC000962")</f>
        <v>RSC000962</v>
      </c>
      <c r="B25" s="30" t="str">
        <f>IFERROR(__xludf.DUMMYFUNCTION("""COMPUTED_VALUE"""),"pythagorjags")</f>
        <v>pythagorjags</v>
      </c>
      <c r="C25" s="30" t="str">
        <f>IFERROR(__xludf.DUMMYFUNCTION("""COMPUTED_VALUE"""),"Prospect")</f>
        <v>Prospect</v>
      </c>
      <c r="D25" s="30" t="str">
        <f>IFERROR(__xludf.DUMMYFUNCTION("""COMPUTED_VALUE"""),"Hawaiian Pizza")</f>
        <v>Hawaiian Pizza</v>
      </c>
      <c r="E25" s="30" t="str">
        <f>IFERROR(__xludf.DUMMYFUNCTION("""COMPUTED_VALUE"""),"Fifty-Fifty Pizzeria")</f>
        <v>Fifty-Fifty Pizzeria</v>
      </c>
      <c r="F25" s="30" t="str">
        <f>IFERROR(__xludf.DUMMYFUNCTION("""COMPUTED_VALUE"""),"N/A")</f>
        <v>N/A</v>
      </c>
      <c r="G25" s="92">
        <f>IFERROR(__xludf.DUMMYFUNCTION("""COMPUTED_VALUE"""),67.49257899211787)</f>
        <v>67.49257899</v>
      </c>
    </row>
    <row r="26">
      <c r="A26" s="30" t="str">
        <f>IFERROR(__xludf.DUMMYFUNCTION("""COMPUTED_VALUE"""),"RSC007423")</f>
        <v>RSC007423</v>
      </c>
      <c r="B26" s="30" t="str">
        <f>IFERROR(__xludf.DUMMYFUNCTION("""COMPUTED_VALUE"""),"Valuedsquash465")</f>
        <v>Valuedsquash465</v>
      </c>
      <c r="C26" s="30" t="str">
        <f>IFERROR(__xludf.DUMMYFUNCTION("""COMPUTED_VALUE"""),"Prospect")</f>
        <v>Prospect</v>
      </c>
      <c r="D26" s="30" t="str">
        <f>IFERROR(__xludf.DUMMYFUNCTION("""COMPUTED_VALUE"""),"Tic Tacs")</f>
        <v>Tic Tacs</v>
      </c>
      <c r="E26" s="30" t="str">
        <f>IFERROR(__xludf.DUMMYFUNCTION("""COMPUTED_VALUE"""),"Minty Fresh")</f>
        <v>Minty Fresh</v>
      </c>
      <c r="F26" s="30" t="str">
        <f>IFERROR(__xludf.DUMMYFUNCTION("""COMPUTED_VALUE"""),"N/A")</f>
        <v>N/A</v>
      </c>
      <c r="G26" s="92">
        <f>IFERROR(__xludf.DUMMYFUNCTION("""COMPUTED_VALUE"""),57.79214827897329)</f>
        <v>57.79214828</v>
      </c>
    </row>
    <row r="27">
      <c r="A27" s="30" t="str">
        <f>IFERROR(__xludf.DUMMYFUNCTION("""COMPUTED_VALUE"""),"RSC005139")</f>
        <v>RSC005139</v>
      </c>
      <c r="B27" s="30" t="str">
        <f>IFERROR(__xludf.DUMMYFUNCTION("""COMPUTED_VALUE"""),"brillo_padd")</f>
        <v>brillo_padd</v>
      </c>
      <c r="C27" s="30" t="str">
        <f>IFERROR(__xludf.DUMMYFUNCTION("""COMPUTED_VALUE"""),"Prospect")</f>
        <v>Prospect</v>
      </c>
      <c r="D27" s="30" t="str">
        <f>IFERROR(__xludf.DUMMYFUNCTION("""COMPUTED_VALUE"""),"Principales")</f>
        <v>Principales</v>
      </c>
      <c r="E27" s="30" t="str">
        <f>IFERROR(__xludf.DUMMYFUNCTION("""COMPUTED_VALUE"""),"The Sovereign")</f>
        <v>The Sovereign</v>
      </c>
      <c r="F27" s="30" t="str">
        <f>IFERROR(__xludf.DUMMYFUNCTION("""COMPUTED_VALUE"""),"N/A")</f>
        <v>N/A</v>
      </c>
      <c r="G27" s="92">
        <f>IFERROR(__xludf.DUMMYFUNCTION("""COMPUTED_VALUE"""),51.494925919829626)</f>
        <v>51.49492592</v>
      </c>
    </row>
    <row r="28">
      <c r="A28" s="30" t="str">
        <f>IFERROR(__xludf.DUMMYFUNCTION("""COMPUTED_VALUE"""),"RSC006416")</f>
        <v>RSC006416</v>
      </c>
      <c r="B28" s="30" t="str">
        <f>IFERROR(__xludf.DUMMYFUNCTION("""COMPUTED_VALUE"""),"StaRazor")</f>
        <v>StaRazor</v>
      </c>
      <c r="C28" s="30" t="str">
        <f>IFERROR(__xludf.DUMMYFUNCTION("""COMPUTED_VALUE"""),"Prospect")</f>
        <v>Prospect</v>
      </c>
      <c r="D28" s="30" t="str">
        <f>IFERROR(__xludf.DUMMYFUNCTION("""COMPUTED_VALUE"""),"Skeletons
Principales")</f>
        <v>Skeletons
Principales</v>
      </c>
      <c r="E28" s="30" t="str">
        <f>IFERROR(__xludf.DUMMYFUNCTION("""COMPUTED_VALUE"""),"The Monster Mash
The Sovereign")</f>
        <v>The Monster Mash
The Sovereign</v>
      </c>
      <c r="F28" s="30" t="str">
        <f>IFERROR(__xludf.DUMMYFUNCTION("""COMPUTED_VALUE"""),"N/A")</f>
        <v>N/A</v>
      </c>
      <c r="G28" s="92">
        <f>IFERROR(__xludf.DUMMYFUNCTION("""COMPUTED_VALUE"""),32.110181665185465)</f>
        <v>32.11018167</v>
      </c>
    </row>
    <row r="29">
      <c r="A29" s="30" t="str">
        <f>IFERROR(__xludf.DUMMYFUNCTION("""COMPUTED_VALUE"""),"RSC005136")</f>
        <v>RSC005136</v>
      </c>
      <c r="B29" s="30" t="str">
        <f>IFERROR(__xludf.DUMMYFUNCTION("""COMPUTED_VALUE"""),"tdogplayz")</f>
        <v>tdogplayz</v>
      </c>
      <c r="C29" s="30" t="str">
        <f>IFERROR(__xludf.DUMMYFUNCTION("""COMPUTED_VALUE"""),"Prospect")</f>
        <v>Prospect</v>
      </c>
      <c r="D29" s="30" t="str">
        <f>IFERROR(__xludf.DUMMYFUNCTION("""COMPUTED_VALUE"""),"Principales")</f>
        <v>Principales</v>
      </c>
      <c r="E29" s="30" t="str">
        <f>IFERROR(__xludf.DUMMYFUNCTION("""COMPUTED_VALUE"""),"The Sovereign")</f>
        <v>The Sovereign</v>
      </c>
      <c r="F29" s="30" t="str">
        <f>IFERROR(__xludf.DUMMYFUNCTION("""COMPUTED_VALUE"""),"N/A")</f>
        <v>N/A</v>
      </c>
      <c r="G29" s="92">
        <f>IFERROR(__xludf.DUMMYFUNCTION("""COMPUTED_VALUE"""),41.6269924077867)</f>
        <v>41.62699241</v>
      </c>
    </row>
    <row r="30">
      <c r="A30" s="30" t="str">
        <f>IFERROR(__xludf.DUMMYFUNCTION("""COMPUTED_VALUE"""),"RSC006495")</f>
        <v>RSC006495</v>
      </c>
      <c r="B30" s="30" t="str">
        <f>IFERROR(__xludf.DUMMYFUNCTION("""COMPUTED_VALUE"""),"Hype.56")</f>
        <v>Hype.56</v>
      </c>
      <c r="C30" s="30" t="str">
        <f>IFERROR(__xludf.DUMMYFUNCTION("""COMPUTED_VALUE"""),"Prospect")</f>
        <v>Prospect</v>
      </c>
      <c r="D30" s="30" t="str">
        <f>IFERROR(__xludf.DUMMYFUNCTION("""COMPUTED_VALUE"""),"Prism Proteges")</f>
        <v>Prism Proteges</v>
      </c>
      <c r="E30" s="30" t="str">
        <f>IFERROR(__xludf.DUMMYFUNCTION("""COMPUTED_VALUE"""),"Art Club")</f>
        <v>Art Club</v>
      </c>
      <c r="F30" s="30" t="str">
        <f>IFERROR(__xludf.DUMMYFUNCTION("""COMPUTED_VALUE"""),"N/A")</f>
        <v>N/A</v>
      </c>
      <c r="G30" s="92">
        <f>IFERROR(__xludf.DUMMYFUNCTION("""COMPUTED_VALUE"""),40.65717051260472)</f>
        <v>40.65717051</v>
      </c>
    </row>
    <row r="31">
      <c r="A31" s="30" t="str">
        <f>IFERROR(__xludf.DUMMYFUNCTION("""COMPUTED_VALUE"""),"RSC006586")</f>
        <v>RSC006586</v>
      </c>
      <c r="B31" s="30" t="str">
        <f>IFERROR(__xludf.DUMMYFUNCTION("""COMPUTED_VALUE"""),"dino_chick3n")</f>
        <v>dino_chick3n</v>
      </c>
      <c r="C31" s="30" t="str">
        <f>IFERROR(__xludf.DUMMYFUNCTION("""COMPUTED_VALUE"""),"Prospect")</f>
        <v>Prospect</v>
      </c>
      <c r="D31" s="30" t="str">
        <f>IFERROR(__xludf.DUMMYFUNCTION("""COMPUTED_VALUE"""),"Prism Proteges")</f>
        <v>Prism Proteges</v>
      </c>
      <c r="E31" s="30" t="str">
        <f>IFERROR(__xludf.DUMMYFUNCTION("""COMPUTED_VALUE"""),"Art Club")</f>
        <v>Art Club</v>
      </c>
      <c r="F31" s="30" t="str">
        <f>IFERROR(__xludf.DUMMYFUNCTION("""COMPUTED_VALUE"""),"N/A")</f>
        <v>N/A</v>
      </c>
      <c r="G31" s="92">
        <f>IFERROR(__xludf.DUMMYFUNCTION("""COMPUTED_VALUE"""),54.774740836873285)</f>
        <v>54.77474084</v>
      </c>
    </row>
    <row r="32">
      <c r="A32" s="30" t="str">
        <f>IFERROR(__xludf.DUMMYFUNCTION("""COMPUTED_VALUE"""),"RSC005608")</f>
        <v>RSC005608</v>
      </c>
      <c r="B32" s="30" t="str">
        <f>IFERROR(__xludf.DUMMYFUNCTION("""COMPUTED_VALUE"""),"wolverine36535")</f>
        <v>wolverine36535</v>
      </c>
      <c r="C32" s="30" t="str">
        <f>IFERROR(__xludf.DUMMYFUNCTION("""COMPUTED_VALUE"""),"Prospect")</f>
        <v>Prospect</v>
      </c>
      <c r="D32" s="30" t="str">
        <f>IFERROR(__xludf.DUMMYFUNCTION("""COMPUTED_VALUE"""),"Prism Proteges")</f>
        <v>Prism Proteges</v>
      </c>
      <c r="E32" s="30" t="str">
        <f>IFERROR(__xludf.DUMMYFUNCTION("""COMPUTED_VALUE"""),"Art Club")</f>
        <v>Art Club</v>
      </c>
      <c r="F32" s="30" t="str">
        <f>IFERROR(__xludf.DUMMYFUNCTION("""COMPUTED_VALUE"""),"N/A")</f>
        <v>N/A</v>
      </c>
      <c r="G32" s="92">
        <f>IFERROR(__xludf.DUMMYFUNCTION("""COMPUTED_VALUE"""),37.29440241450308)</f>
        <v>37.29440241</v>
      </c>
    </row>
    <row r="33">
      <c r="A33" s="30" t="str">
        <f>IFERROR(__xludf.DUMMYFUNCTION("""COMPUTED_VALUE"""),"RSC002736")</f>
        <v>RSC002736</v>
      </c>
      <c r="B33" s="30" t="str">
        <f>IFERROR(__xludf.DUMMYFUNCTION("""COMPUTED_VALUE"""),"chulainn")</f>
        <v>chulainn</v>
      </c>
      <c r="C33" s="30" t="str">
        <f>IFERROR(__xludf.DUMMYFUNCTION("""COMPUTED_VALUE"""),"Prospect")</f>
        <v>Prospect</v>
      </c>
      <c r="D33" s="30" t="str">
        <f>IFERROR(__xludf.DUMMYFUNCTION("""COMPUTED_VALUE"""),"Earth")</f>
        <v>Earth</v>
      </c>
      <c r="E33" s="30" t="str">
        <f>IFERROR(__xludf.DUMMYFUNCTION("""COMPUTED_VALUE"""),"The Elements")</f>
        <v>The Elements</v>
      </c>
      <c r="F33" s="30" t="str">
        <f>IFERROR(__xludf.DUMMYFUNCTION("""COMPUTED_VALUE"""),"N/A")</f>
        <v>N/A</v>
      </c>
      <c r="G33" s="92">
        <f>IFERROR(__xludf.DUMMYFUNCTION("""COMPUTED_VALUE"""),78.82927173882567)</f>
        <v>78.82927174</v>
      </c>
    </row>
    <row r="34">
      <c r="A34" s="30" t="str">
        <f>IFERROR(__xludf.DUMMYFUNCTION("""COMPUTED_VALUE"""),"RSC004012")</f>
        <v>RSC004012</v>
      </c>
      <c r="B34" s="30" t="str">
        <f>IFERROR(__xludf.DUMMYFUNCTION("""COMPUTED_VALUE"""),"kgfan3")</f>
        <v>kgfan3</v>
      </c>
      <c r="C34" s="30" t="str">
        <f>IFERROR(__xludf.DUMMYFUNCTION("""COMPUTED_VALUE"""),"Prospect")</f>
        <v>Prospect</v>
      </c>
      <c r="D34" s="30" t="str">
        <f>IFERROR(__xludf.DUMMYFUNCTION("""COMPUTED_VALUE"""),"Undead")</f>
        <v>Undead</v>
      </c>
      <c r="E34" s="30" t="str">
        <f>IFERROR(__xludf.DUMMYFUNCTION("""COMPUTED_VALUE"""),"Destined")</f>
        <v>Destined</v>
      </c>
      <c r="F34" s="30" t="str">
        <f>IFERROR(__xludf.DUMMYFUNCTION("""COMPUTED_VALUE"""),"N/A")</f>
        <v>N/A</v>
      </c>
      <c r="G34" s="92">
        <f>IFERROR(__xludf.DUMMYFUNCTION("""COMPUTED_VALUE"""),21.70290504253834)</f>
        <v>21.70290504</v>
      </c>
    </row>
    <row r="35">
      <c r="A35" s="30" t="str">
        <f>IFERROR(__xludf.DUMMYFUNCTION("""COMPUTED_VALUE"""),"RSC007189")</f>
        <v>RSC007189</v>
      </c>
      <c r="B35" s="30" t="str">
        <f>IFERROR(__xludf.DUMMYFUNCTION("""COMPUTED_VALUE"""),"RU_Fluffy")</f>
        <v>RU_Fluffy</v>
      </c>
      <c r="C35" s="30" t="str">
        <f>IFERROR(__xludf.DUMMYFUNCTION("""COMPUTED_VALUE"""),"Prospect")</f>
        <v>Prospect</v>
      </c>
      <c r="D35" s="30" t="str">
        <f>IFERROR(__xludf.DUMMYFUNCTION("""COMPUTED_VALUE"""),"Khans")</f>
        <v>Khans</v>
      </c>
      <c r="E35" s="30" t="str">
        <f>IFERROR(__xludf.DUMMYFUNCTION("""COMPUTED_VALUE"""),"Monarchy")</f>
        <v>Monarchy</v>
      </c>
      <c r="F35" s="30" t="str">
        <f>IFERROR(__xludf.DUMMYFUNCTION("""COMPUTED_VALUE"""),"N/A")</f>
        <v>N/A</v>
      </c>
      <c r="G35" s="92">
        <f>IFERROR(__xludf.DUMMYFUNCTION("""COMPUTED_VALUE"""),24.54262388633345)</f>
        <v>24.54262389</v>
      </c>
    </row>
    <row r="36">
      <c r="A36" s="30" t="str">
        <f>IFERROR(__xludf.DUMMYFUNCTION("""COMPUTED_VALUE"""),"RSC003295")</f>
        <v>RSC003295</v>
      </c>
      <c r="B36" s="30" t="str">
        <f>IFERROR(__xludf.DUMMYFUNCTION("""COMPUTED_VALUE"""),"ConfuciusDragon")</f>
        <v>ConfuciusDragon</v>
      </c>
      <c r="C36" s="30" t="str">
        <f>IFERROR(__xludf.DUMMYFUNCTION("""COMPUTED_VALUE"""),"Prospect")</f>
        <v>Prospect</v>
      </c>
      <c r="D36" s="30" t="str">
        <f>IFERROR(__xludf.DUMMYFUNCTION("""COMPUTED_VALUE"""),"Mop Tops")</f>
        <v>Mop Tops</v>
      </c>
      <c r="E36" s="30" t="str">
        <f>IFERROR(__xludf.DUMMYFUNCTION("""COMPUTED_VALUE"""),"Vibe Tribe")</f>
        <v>Vibe Tribe</v>
      </c>
      <c r="F36" s="30" t="str">
        <f>IFERROR(__xludf.DUMMYFUNCTION("""COMPUTED_VALUE"""),"N/A")</f>
        <v>N/A</v>
      </c>
      <c r="G36" s="92">
        <f>IFERROR(__xludf.DUMMYFUNCTION("""COMPUTED_VALUE"""),68.22566715628209)</f>
        <v>68.22566716</v>
      </c>
    </row>
    <row r="37">
      <c r="A37" s="30" t="str">
        <f>IFERROR(__xludf.DUMMYFUNCTION("""COMPUTED_VALUE"""),"RSC007138")</f>
        <v>RSC007138</v>
      </c>
      <c r="B37" s="30" t="str">
        <f>IFERROR(__xludf.DUMMYFUNCTION("""COMPUTED_VALUE"""),"GFC-RAIDER")</f>
        <v>GFC-RAIDER</v>
      </c>
      <c r="C37" s="30" t="str">
        <f>IFERROR(__xludf.DUMMYFUNCTION("""COMPUTED_VALUE"""),"Prospect")</f>
        <v>Prospect</v>
      </c>
      <c r="D37" s="30" t="str">
        <f>IFERROR(__xludf.DUMMYFUNCTION("""COMPUTED_VALUE"""),"Mop Tops")</f>
        <v>Mop Tops</v>
      </c>
      <c r="E37" s="30" t="str">
        <f>IFERROR(__xludf.DUMMYFUNCTION("""COMPUTED_VALUE"""),"Vibe Tribe")</f>
        <v>Vibe Tribe</v>
      </c>
      <c r="F37" s="30" t="str">
        <f>IFERROR(__xludf.DUMMYFUNCTION("""COMPUTED_VALUE"""),"N/A")</f>
        <v>N/A</v>
      </c>
      <c r="G37" s="92">
        <f>IFERROR(__xludf.DUMMYFUNCTION("""COMPUTED_VALUE"""),46.977343226654725)</f>
        <v>46.97734323</v>
      </c>
    </row>
    <row r="38">
      <c r="A38" s="30" t="str">
        <f>IFERROR(__xludf.DUMMYFUNCTION("""COMPUTED_VALUE"""),"RSC006966")</f>
        <v>RSC006966</v>
      </c>
      <c r="B38" s="30" t="str">
        <f>IFERROR(__xludf.DUMMYFUNCTION("""COMPUTED_VALUE"""),"Pivot97")</f>
        <v>Pivot97</v>
      </c>
      <c r="C38" s="30" t="str">
        <f>IFERROR(__xludf.DUMMYFUNCTION("""COMPUTED_VALUE"""),"Prospect")</f>
        <v>Prospect</v>
      </c>
      <c r="D38" s="30" t="str">
        <f>IFERROR(__xludf.DUMMYFUNCTION("""COMPUTED_VALUE"""),"Prism Proteges
Mop Tops")</f>
        <v>Prism Proteges
Mop Tops</v>
      </c>
      <c r="E38" s="30" t="str">
        <f>IFERROR(__xludf.DUMMYFUNCTION("""COMPUTED_VALUE"""),"Art Club
Vibe Tribe")</f>
        <v>Art Club
Vibe Tribe</v>
      </c>
      <c r="F38" s="30" t="str">
        <f>IFERROR(__xludf.DUMMYFUNCTION("""COMPUTED_VALUE"""),"N/A")</f>
        <v>N/A</v>
      </c>
      <c r="G38" s="92">
        <f>IFERROR(__xludf.DUMMYFUNCTION("""COMPUTED_VALUE"""),40.843411815844156)</f>
        <v>40.84341182</v>
      </c>
    </row>
    <row r="39">
      <c r="A39" s="30" t="str">
        <f>IFERROR(__xludf.DUMMYFUNCTION("""COMPUTED_VALUE"""),"RSC005603")</f>
        <v>RSC005603</v>
      </c>
      <c r="B39" s="30" t="str">
        <f>IFERROR(__xludf.DUMMYFUNCTION("""COMPUTED_VALUE"""),"Aiden_23-")</f>
        <v>Aiden_23-</v>
      </c>
      <c r="C39" s="30" t="str">
        <f>IFERROR(__xludf.DUMMYFUNCTION("""COMPUTED_VALUE"""),"Prospect")</f>
        <v>Prospect</v>
      </c>
      <c r="D39" s="30" t="str">
        <f>IFERROR(__xludf.DUMMYFUNCTION("""COMPUTED_VALUE"""),"Emus")</f>
        <v>Emus</v>
      </c>
      <c r="E39" s="30" t="str">
        <f>IFERROR(__xludf.DUMMYFUNCTION("""COMPUTED_VALUE"""),"Flightless Fowl")</f>
        <v>Flightless Fowl</v>
      </c>
      <c r="F39" s="30" t="str">
        <f>IFERROR(__xludf.DUMMYFUNCTION("""COMPUTED_VALUE"""),"N/A")</f>
        <v>N/A</v>
      </c>
      <c r="G39" s="92">
        <f>IFERROR(__xludf.DUMMYFUNCTION("""COMPUTED_VALUE"""),64.22463750083554)</f>
        <v>64.2246375</v>
      </c>
    </row>
    <row r="40">
      <c r="A40" s="30" t="str">
        <f>IFERROR(__xludf.DUMMYFUNCTION("""COMPUTED_VALUE"""),"RSC006369")</f>
        <v>RSC006369</v>
      </c>
      <c r="B40" s="30" t="str">
        <f>IFERROR(__xludf.DUMMYFUNCTION("""COMPUTED_VALUE"""),"nate")</f>
        <v>nate</v>
      </c>
      <c r="C40" s="30" t="str">
        <f>IFERROR(__xludf.DUMMYFUNCTION("""COMPUTED_VALUE"""),"Prospect")</f>
        <v>Prospect</v>
      </c>
      <c r="D40" s="30" t="str">
        <f>IFERROR(__xludf.DUMMYFUNCTION("""COMPUTED_VALUE"""),"Emus")</f>
        <v>Emus</v>
      </c>
      <c r="E40" s="30" t="str">
        <f>IFERROR(__xludf.DUMMYFUNCTION("""COMPUTED_VALUE"""),"Flightless Fowl")</f>
        <v>Flightless Fowl</v>
      </c>
      <c r="F40" s="30" t="str">
        <f>IFERROR(__xludf.DUMMYFUNCTION("""COMPUTED_VALUE"""),"N/A")</f>
        <v>N/A</v>
      </c>
      <c r="G40" s="92">
        <f>IFERROR(__xludf.DUMMYFUNCTION("""COMPUTED_VALUE"""),40.946143230143534)</f>
        <v>40.94614323</v>
      </c>
    </row>
    <row r="41">
      <c r="A41" s="30" t="str">
        <f>IFERROR(__xludf.DUMMYFUNCTION("""COMPUTED_VALUE"""),"RSC007865")</f>
        <v>RSC007865</v>
      </c>
      <c r="B41" s="30" t="str">
        <f>IFERROR(__xludf.DUMMYFUNCTION("""COMPUTED_VALUE"""),"StoveMessiah")</f>
        <v>StoveMessiah</v>
      </c>
      <c r="C41" s="30" t="str">
        <f>IFERROR(__xludf.DUMMYFUNCTION("""COMPUTED_VALUE"""),"Prospect")</f>
        <v>Prospect</v>
      </c>
      <c r="D41" s="30" t="str">
        <f>IFERROR(__xludf.DUMMYFUNCTION("""COMPUTED_VALUE"""),"Emus")</f>
        <v>Emus</v>
      </c>
      <c r="E41" s="30" t="str">
        <f>IFERROR(__xludf.DUMMYFUNCTION("""COMPUTED_VALUE"""),"Flightless Fowl")</f>
        <v>Flightless Fowl</v>
      </c>
      <c r="F41" s="30" t="str">
        <f>IFERROR(__xludf.DUMMYFUNCTION("""COMPUTED_VALUE"""),"N/A")</f>
        <v>N/A</v>
      </c>
      <c r="G41" s="92">
        <f>IFERROR(__xludf.DUMMYFUNCTION("""COMPUTED_VALUE"""),56.1091148068606)</f>
        <v>56.10911481</v>
      </c>
    </row>
    <row r="42">
      <c r="A42" s="30" t="str">
        <f>IFERROR(__xludf.DUMMYFUNCTION("""COMPUTED_VALUE"""),"RSC007442")</f>
        <v>RSC007442</v>
      </c>
      <c r="B42" s="30" t="str">
        <f>IFERROR(__xludf.DUMMYFUNCTION("""COMPUTED_VALUE"""),"willbong")</f>
        <v>willbong</v>
      </c>
      <c r="C42" s="30" t="str">
        <f>IFERROR(__xludf.DUMMYFUNCTION("""COMPUTED_VALUE"""),"Prospect")</f>
        <v>Prospect</v>
      </c>
      <c r="D42" s="30" t="str">
        <f>IFERROR(__xludf.DUMMYFUNCTION("""COMPUTED_VALUE"""),"Mop Tops")</f>
        <v>Mop Tops</v>
      </c>
      <c r="E42" s="30" t="str">
        <f>IFERROR(__xludf.DUMMYFUNCTION("""COMPUTED_VALUE"""),"Vibe Tribe")</f>
        <v>Vibe Tribe</v>
      </c>
      <c r="F42" s="30" t="str">
        <f>IFERROR(__xludf.DUMMYFUNCTION("""COMPUTED_VALUE"""),"N/A")</f>
        <v>N/A</v>
      </c>
      <c r="G42" s="92">
        <f>IFERROR(__xludf.DUMMYFUNCTION("""COMPUTED_VALUE"""),59.38021878506373)</f>
        <v>59.38021879</v>
      </c>
    </row>
    <row r="43">
      <c r="A43" s="30" t="str">
        <f>IFERROR(__xludf.DUMMYFUNCTION("""COMPUTED_VALUE"""),"RSC007453")</f>
        <v>RSC007453</v>
      </c>
      <c r="B43" s="30" t="str">
        <f>IFERROR(__xludf.DUMMYFUNCTION("""COMPUTED_VALUE"""),"TheDoy420")</f>
        <v>TheDoy420</v>
      </c>
      <c r="C43" s="30" t="str">
        <f>IFERROR(__xludf.DUMMYFUNCTION("""COMPUTED_VALUE"""),"Prospect")</f>
        <v>Prospect</v>
      </c>
      <c r="D43" s="30" t="str">
        <f>IFERROR(__xludf.DUMMYFUNCTION("""COMPUTED_VALUE"""),"Emus")</f>
        <v>Emus</v>
      </c>
      <c r="E43" s="30" t="str">
        <f>IFERROR(__xludf.DUMMYFUNCTION("""COMPUTED_VALUE"""),"Flightless Fowl")</f>
        <v>Flightless Fowl</v>
      </c>
      <c r="F43" s="30" t="str">
        <f>IFERROR(__xludf.DUMMYFUNCTION("""COMPUTED_VALUE"""),"N/A")</f>
        <v>N/A</v>
      </c>
      <c r="G43" s="92">
        <f>IFERROR(__xludf.DUMMYFUNCTION("""COMPUTED_VALUE"""),73.02290393825785)</f>
        <v>73.02290394</v>
      </c>
    </row>
    <row r="44">
      <c r="A44" s="30" t="str">
        <f>IFERROR(__xludf.DUMMYFUNCTION("""COMPUTED_VALUE"""),"RSC007834")</f>
        <v>RSC007834</v>
      </c>
      <c r="B44" s="30" t="str">
        <f>IFERROR(__xludf.DUMMYFUNCTION("""COMPUTED_VALUE"""),"Kyyrbes")</f>
        <v>Kyyrbes</v>
      </c>
      <c r="C44" s="30" t="str">
        <f>IFERROR(__xludf.DUMMYFUNCTION("""COMPUTED_VALUE"""),"Prospect")</f>
        <v>Prospect</v>
      </c>
      <c r="D44" s="30" t="str">
        <f>IFERROR(__xludf.DUMMYFUNCTION("""COMPUTED_VALUE"""),"Gloom")</f>
        <v>Gloom</v>
      </c>
      <c r="E44" s="30" t="str">
        <f>IFERROR(__xludf.DUMMYFUNCTION("""COMPUTED_VALUE"""),"The Shadows")</f>
        <v>The Shadows</v>
      </c>
      <c r="F44" s="30" t="str">
        <f>IFERROR(__xludf.DUMMYFUNCTION("""COMPUTED_VALUE"""),"N/A")</f>
        <v>N/A</v>
      </c>
      <c r="G44" s="92">
        <f>IFERROR(__xludf.DUMMYFUNCTION("""COMPUTED_VALUE"""),38.500778649079336)</f>
        <v>38.50077865</v>
      </c>
    </row>
    <row r="45">
      <c r="A45" s="30" t="str">
        <f>IFERROR(__xludf.DUMMYFUNCTION("""COMPUTED_VALUE"""),"RSC006115")</f>
        <v>RSC006115</v>
      </c>
      <c r="B45" s="30" t="str">
        <f>IFERROR(__xludf.DUMMYFUNCTION("""COMPUTED_VALUE"""),"Shame")</f>
        <v>Shame</v>
      </c>
      <c r="C45" s="30" t="str">
        <f>IFERROR(__xludf.DUMMYFUNCTION("""COMPUTED_VALUE"""),"Prospect")</f>
        <v>Prospect</v>
      </c>
      <c r="D45" s="30" t="str">
        <f>IFERROR(__xludf.DUMMYFUNCTION("""COMPUTED_VALUE"""),"Gloom")</f>
        <v>Gloom</v>
      </c>
      <c r="E45" s="30" t="str">
        <f>IFERROR(__xludf.DUMMYFUNCTION("""COMPUTED_VALUE"""),"The Shadows")</f>
        <v>The Shadows</v>
      </c>
      <c r="F45" s="30" t="str">
        <f>IFERROR(__xludf.DUMMYFUNCTION("""COMPUTED_VALUE"""),"N/A")</f>
        <v>N/A</v>
      </c>
      <c r="G45" s="92">
        <f>IFERROR(__xludf.DUMMYFUNCTION("""COMPUTED_VALUE"""),48.00230654526495)</f>
        <v>48.00230655</v>
      </c>
    </row>
    <row r="46">
      <c r="A46" s="30" t="str">
        <f>IFERROR(__xludf.DUMMYFUNCTION("""COMPUTED_VALUE"""),"RSC006569")</f>
        <v>RSC006569</v>
      </c>
      <c r="B46" s="30" t="str">
        <f>IFERROR(__xludf.DUMMYFUNCTION("""COMPUTED_VALUE"""),"mulliganisoup")</f>
        <v>mulliganisoup</v>
      </c>
      <c r="C46" s="30" t="str">
        <f>IFERROR(__xludf.DUMMYFUNCTION("""COMPUTED_VALUE"""),"Prospect")</f>
        <v>Prospect</v>
      </c>
      <c r="D46" s="30" t="str">
        <f>IFERROR(__xludf.DUMMYFUNCTION("""COMPUTED_VALUE"""),"Poppy
Gloom")</f>
        <v>Poppy
Gloom</v>
      </c>
      <c r="E46" s="30" t="str">
        <f>IFERROR(__xludf.DUMMYFUNCTION("""COMPUTED_VALUE"""),"Flower Road
The Shadows")</f>
        <v>Flower Road
The Shadows</v>
      </c>
      <c r="F46" s="30" t="str">
        <f>IFERROR(__xludf.DUMMYFUNCTION("""COMPUTED_VALUE"""),"N/A")</f>
        <v>N/A</v>
      </c>
      <c r="G46" s="92">
        <f>IFERROR(__xludf.DUMMYFUNCTION("""COMPUTED_VALUE"""),32.53170147819431)</f>
        <v>32.53170148</v>
      </c>
    </row>
    <row r="47">
      <c r="A47" s="30" t="str">
        <f>IFERROR(__xludf.DUMMYFUNCTION("""COMPUTED_VALUE"""),"RSC007886")</f>
        <v>RSC007886</v>
      </c>
      <c r="B47" s="30" t="str">
        <f>IFERROR(__xludf.DUMMYFUNCTION("""COMPUTED_VALUE"""),"BabyDino8453")</f>
        <v>BabyDino8453</v>
      </c>
      <c r="C47" s="30" t="str">
        <f>IFERROR(__xludf.DUMMYFUNCTION("""COMPUTED_VALUE"""),"Prospect")</f>
        <v>Prospect</v>
      </c>
      <c r="D47" s="30" t="str">
        <f>IFERROR(__xludf.DUMMYFUNCTION("""COMPUTED_VALUE"""),"Dime")</f>
        <v>Dime</v>
      </c>
      <c r="E47" s="30" t="str">
        <f>IFERROR(__xludf.DUMMYFUNCTION("""COMPUTED_VALUE"""),"Money Makers")</f>
        <v>Money Makers</v>
      </c>
      <c r="F47" s="30" t="str">
        <f>IFERROR(__xludf.DUMMYFUNCTION("""COMPUTED_VALUE"""),"N/A")</f>
        <v>N/A</v>
      </c>
      <c r="G47" s="92">
        <f>IFERROR(__xludf.DUMMYFUNCTION("""COMPUTED_VALUE"""),33.61840245113822)</f>
        <v>33.61840245</v>
      </c>
    </row>
    <row r="48">
      <c r="A48" s="30" t="str">
        <f>IFERROR(__xludf.DUMMYFUNCTION("""COMPUTED_VALUE"""),"RSC007904")</f>
        <v>RSC007904</v>
      </c>
      <c r="B48" s="30" t="str">
        <f>IFERROR(__xludf.DUMMYFUNCTION("""COMPUTED_VALUE"""),"Branthedan")</f>
        <v>Branthedan</v>
      </c>
      <c r="C48" s="30" t="str">
        <f>IFERROR(__xludf.DUMMYFUNCTION("""COMPUTED_VALUE"""),"Prospect")</f>
        <v>Prospect</v>
      </c>
      <c r="D48" s="30" t="str">
        <f>IFERROR(__xludf.DUMMYFUNCTION("""COMPUTED_VALUE"""),"Dime")</f>
        <v>Dime</v>
      </c>
      <c r="E48" s="30" t="str">
        <f>IFERROR(__xludf.DUMMYFUNCTION("""COMPUTED_VALUE"""),"Money Makers")</f>
        <v>Money Makers</v>
      </c>
      <c r="F48" s="30" t="str">
        <f>IFERROR(__xludf.DUMMYFUNCTION("""COMPUTED_VALUE"""),"N/A")</f>
        <v>N/A</v>
      </c>
      <c r="G48" s="92">
        <f>IFERROR(__xludf.DUMMYFUNCTION("""COMPUTED_VALUE"""),86.49506484239724)</f>
        <v>86.49506484</v>
      </c>
    </row>
    <row r="49">
      <c r="A49" s="30" t="str">
        <f>IFERROR(__xludf.DUMMYFUNCTION("""COMPUTED_VALUE"""),"RSC007487")</f>
        <v>RSC007487</v>
      </c>
      <c r="B49" s="30" t="str">
        <f>IFERROR(__xludf.DUMMYFUNCTION("""COMPUTED_VALUE"""),"YoloOnTinder")</f>
        <v>YoloOnTinder</v>
      </c>
      <c r="C49" s="30" t="str">
        <f>IFERROR(__xludf.DUMMYFUNCTION("""COMPUTED_VALUE"""),"Prospect")</f>
        <v>Prospect</v>
      </c>
      <c r="D49" s="30" t="str">
        <f>IFERROR(__xludf.DUMMYFUNCTION("""COMPUTED_VALUE"""),"Dime")</f>
        <v>Dime</v>
      </c>
      <c r="E49" s="30" t="str">
        <f>IFERROR(__xludf.DUMMYFUNCTION("""COMPUTED_VALUE"""),"Money Makers")</f>
        <v>Money Makers</v>
      </c>
      <c r="F49" s="30" t="str">
        <f>IFERROR(__xludf.DUMMYFUNCTION("""COMPUTED_VALUE"""),"N/A")</f>
        <v>N/A</v>
      </c>
      <c r="G49" s="92">
        <f>IFERROR(__xludf.DUMMYFUNCTION("""COMPUTED_VALUE"""),55.41624359920661)</f>
        <v>55.4162436</v>
      </c>
    </row>
    <row r="50">
      <c r="A50" s="30" t="str">
        <f>IFERROR(__xludf.DUMMYFUNCTION("""COMPUTED_VALUE"""),"RSC001619")</f>
        <v>RSC001619</v>
      </c>
      <c r="B50" s="30" t="str">
        <f>IFERROR(__xludf.DUMMYFUNCTION("""COMPUTED_VALUE"""),"Rob")</f>
        <v>Rob</v>
      </c>
      <c r="C50" s="30" t="str">
        <f>IFERROR(__xludf.DUMMYFUNCTION("""COMPUTED_VALUE"""),"Prospect")</f>
        <v>Prospect</v>
      </c>
      <c r="D50" s="30" t="str">
        <f>IFERROR(__xludf.DUMMYFUNCTION("""COMPUTED_VALUE"""),"Gloom")</f>
        <v>Gloom</v>
      </c>
      <c r="E50" s="30" t="str">
        <f>IFERROR(__xludf.DUMMYFUNCTION("""COMPUTED_VALUE"""),"The Shadows")</f>
        <v>The Shadows</v>
      </c>
      <c r="F50" s="30" t="str">
        <f>IFERROR(__xludf.DUMMYFUNCTION("""COMPUTED_VALUE"""),"N/A")</f>
        <v>N/A</v>
      </c>
      <c r="G50" s="92">
        <f>IFERROR(__xludf.DUMMYFUNCTION("""COMPUTED_VALUE"""),19.67483554636989)</f>
        <v>19.67483555</v>
      </c>
    </row>
    <row r="51">
      <c r="A51" s="30" t="str">
        <f>IFERROR(__xludf.DUMMYFUNCTION("""COMPUTED_VALUE"""),"RSC007045")</f>
        <v>RSC007045</v>
      </c>
      <c r="B51" s="30" t="str">
        <f>IFERROR(__xludf.DUMMYFUNCTION("""COMPUTED_VALUE"""),"fetty_steve98")</f>
        <v>fetty_steve98</v>
      </c>
      <c r="C51" s="30" t="str">
        <f>IFERROR(__xludf.DUMMYFUNCTION("""COMPUTED_VALUE"""),"Prospect")</f>
        <v>Prospect</v>
      </c>
      <c r="D51" s="30" t="str">
        <f>IFERROR(__xludf.DUMMYFUNCTION("""COMPUTED_VALUE"""),"Blacktips")</f>
        <v>Blacktips</v>
      </c>
      <c r="E51" s="30" t="str">
        <f>IFERROR(__xludf.DUMMYFUNCTION("""COMPUTED_VALUE"""),"Shark Attack")</f>
        <v>Shark Attack</v>
      </c>
      <c r="F51" s="30" t="str">
        <f>IFERROR(__xludf.DUMMYFUNCTION("""COMPUTED_VALUE"""),"N/A")</f>
        <v>N/A</v>
      </c>
      <c r="G51" s="92">
        <f>IFERROR(__xludf.DUMMYFUNCTION("""COMPUTED_VALUE"""),83.92854214322749)</f>
        <v>83.92854214</v>
      </c>
    </row>
    <row r="52">
      <c r="A52" s="30" t="str">
        <f>IFERROR(__xludf.DUMMYFUNCTION("""COMPUTED_VALUE"""),"RSC007518")</f>
        <v>RSC007518</v>
      </c>
      <c r="B52" s="30" t="str">
        <f>IFERROR(__xludf.DUMMYFUNCTION("""COMPUTED_VALUE"""),"LoneDrifter.")</f>
        <v>LoneDrifter.</v>
      </c>
      <c r="C52" s="30" t="str">
        <f>IFERROR(__xludf.DUMMYFUNCTION("""COMPUTED_VALUE"""),"Prospect")</f>
        <v>Prospect</v>
      </c>
      <c r="D52" s="30" t="str">
        <f>IFERROR(__xludf.DUMMYFUNCTION("""COMPUTED_VALUE"""),"Blacktips")</f>
        <v>Blacktips</v>
      </c>
      <c r="E52" s="30" t="str">
        <f>IFERROR(__xludf.DUMMYFUNCTION("""COMPUTED_VALUE"""),"Shark Attack")</f>
        <v>Shark Attack</v>
      </c>
      <c r="F52" s="30" t="str">
        <f>IFERROR(__xludf.DUMMYFUNCTION("""COMPUTED_VALUE"""),"N/A")</f>
        <v>N/A</v>
      </c>
      <c r="G52" s="92">
        <f>IFERROR(__xludf.DUMMYFUNCTION("""COMPUTED_VALUE"""),68.07421579417753)</f>
        <v>68.07421579</v>
      </c>
    </row>
    <row r="53">
      <c r="A53" s="30" t="str">
        <f>IFERROR(__xludf.DUMMYFUNCTION("""COMPUTED_VALUE"""),"RSC004106")</f>
        <v>RSC004106</v>
      </c>
      <c r="B53" s="30" t="str">
        <f>IFERROR(__xludf.DUMMYFUNCTION("""COMPUTED_VALUE"""),"K.Doughboy")</f>
        <v>K.Doughboy</v>
      </c>
      <c r="C53" s="30" t="str">
        <f>IFERROR(__xludf.DUMMYFUNCTION("""COMPUTED_VALUE"""),"Prospect")</f>
        <v>Prospect</v>
      </c>
      <c r="D53" s="30" t="str">
        <f>IFERROR(__xludf.DUMMYFUNCTION("""COMPUTED_VALUE"""),"Blacktips")</f>
        <v>Blacktips</v>
      </c>
      <c r="E53" s="30" t="str">
        <f>IFERROR(__xludf.DUMMYFUNCTION("""COMPUTED_VALUE"""),"Shark Attack")</f>
        <v>Shark Attack</v>
      </c>
      <c r="F53" s="30" t="str">
        <f>IFERROR(__xludf.DUMMYFUNCTION("""COMPUTED_VALUE"""),"N/A")</f>
        <v>N/A</v>
      </c>
      <c r="G53" s="92">
        <f>IFERROR(__xludf.DUMMYFUNCTION("""COMPUTED_VALUE"""),40.533972217395544)</f>
        <v>40.53397222</v>
      </c>
    </row>
    <row r="54">
      <c r="A54" s="30" t="str">
        <f>IFERROR(__xludf.DUMMYFUNCTION("""COMPUTED_VALUE"""),"RSC006587")</f>
        <v>RSC006587</v>
      </c>
      <c r="B54" s="30" t="str">
        <f>IFERROR(__xludf.DUMMYFUNCTION("""COMPUTED_VALUE"""),"Enterprise15")</f>
        <v>Enterprise15</v>
      </c>
      <c r="C54" s="30" t="str">
        <f>IFERROR(__xludf.DUMMYFUNCTION("""COMPUTED_VALUE"""),"Prospect")</f>
        <v>Prospect</v>
      </c>
      <c r="D54" s="30" t="str">
        <f>IFERROR(__xludf.DUMMYFUNCTION("""COMPUTED_VALUE"""),"Skeletons")</f>
        <v>Skeletons</v>
      </c>
      <c r="E54" s="30" t="str">
        <f>IFERROR(__xludf.DUMMYFUNCTION("""COMPUTED_VALUE"""),"The Monster Mash")</f>
        <v>The Monster Mash</v>
      </c>
      <c r="F54" s="30" t="str">
        <f>IFERROR(__xludf.DUMMYFUNCTION("""COMPUTED_VALUE"""),"N/A")</f>
        <v>N/A</v>
      </c>
      <c r="G54" s="92">
        <f>IFERROR(__xludf.DUMMYFUNCTION("""COMPUTED_VALUE"""),47.429065380394086)</f>
        <v>47.42906538</v>
      </c>
    </row>
    <row r="55">
      <c r="A55" s="30" t="str">
        <f>IFERROR(__xludf.DUMMYFUNCTION("""COMPUTED_VALUE"""),"RSC003127")</f>
        <v>RSC003127</v>
      </c>
      <c r="B55" s="30" t="str">
        <f>IFERROR(__xludf.DUMMYFUNCTION("""COMPUTED_VALUE"""),"Lim")</f>
        <v>Lim</v>
      </c>
      <c r="C55" s="30" t="str">
        <f>IFERROR(__xludf.DUMMYFUNCTION("""COMPUTED_VALUE"""),"Prospect")</f>
        <v>Prospect</v>
      </c>
      <c r="D55" s="30" t="str">
        <f>IFERROR(__xludf.DUMMYFUNCTION("""COMPUTED_VALUE"""),"Skeletons")</f>
        <v>Skeletons</v>
      </c>
      <c r="E55" s="30" t="str">
        <f>IFERROR(__xludf.DUMMYFUNCTION("""COMPUTED_VALUE"""),"The Monster Mash")</f>
        <v>The Monster Mash</v>
      </c>
      <c r="F55" s="30" t="str">
        <f>IFERROR(__xludf.DUMMYFUNCTION("""COMPUTED_VALUE"""),"N/A")</f>
        <v>N/A</v>
      </c>
      <c r="G55" s="92">
        <f>IFERROR(__xludf.DUMMYFUNCTION("""COMPUTED_VALUE"""),45.37672031413928)</f>
        <v>45.37672031</v>
      </c>
    </row>
    <row r="56">
      <c r="A56" s="30" t="str">
        <f>IFERROR(__xludf.DUMMYFUNCTION("""COMPUTED_VALUE"""),"RSC003374")</f>
        <v>RSC003374</v>
      </c>
      <c r="B56" s="30" t="str">
        <f>IFERROR(__xludf.DUMMYFUNCTION("""COMPUTED_VALUE"""),"Raisonbran")</f>
        <v>Raisonbran</v>
      </c>
      <c r="C56" s="30" t="str">
        <f>IFERROR(__xludf.DUMMYFUNCTION("""COMPUTED_VALUE"""),"Prospect")</f>
        <v>Prospect</v>
      </c>
      <c r="D56" s="30" t="str">
        <f>IFERROR(__xludf.DUMMYFUNCTION("""COMPUTED_VALUE"""),"Skeletons")</f>
        <v>Skeletons</v>
      </c>
      <c r="E56" s="30" t="str">
        <f>IFERROR(__xludf.DUMMYFUNCTION("""COMPUTED_VALUE"""),"The Monster Mash")</f>
        <v>The Monster Mash</v>
      </c>
      <c r="F56" s="30" t="str">
        <f>IFERROR(__xludf.DUMMYFUNCTION("""COMPUTED_VALUE"""),"N/A")</f>
        <v>N/A</v>
      </c>
      <c r="G56" s="92">
        <f>IFERROR(__xludf.DUMMYFUNCTION("""COMPUTED_VALUE"""),42.020945092796524)</f>
        <v>42.02094509</v>
      </c>
    </row>
    <row r="57">
      <c r="A57" s="30" t="str">
        <f>IFERROR(__xludf.DUMMYFUNCTION("""COMPUTED_VALUE"""),"RSC005018")</f>
        <v>RSC005018</v>
      </c>
      <c r="B57" s="30" t="str">
        <f>IFERROR(__xludf.DUMMYFUNCTION("""COMPUTED_VALUE"""),"Smitty")</f>
        <v>Smitty</v>
      </c>
      <c r="C57" s="30" t="str">
        <f>IFERROR(__xludf.DUMMYFUNCTION("""COMPUTED_VALUE"""),"Prospect")</f>
        <v>Prospect</v>
      </c>
      <c r="D57" s="30" t="str">
        <f>IFERROR(__xludf.DUMMYFUNCTION("""COMPUTED_VALUE"""),"Hawaiian Pizza")</f>
        <v>Hawaiian Pizza</v>
      </c>
      <c r="E57" s="30" t="str">
        <f>IFERROR(__xludf.DUMMYFUNCTION("""COMPUTED_VALUE"""),"Fifty-Fifty Pizzeria")</f>
        <v>Fifty-Fifty Pizzeria</v>
      </c>
      <c r="F57" s="30" t="str">
        <f>IFERROR(__xludf.DUMMYFUNCTION("""COMPUTED_VALUE"""),"N/A")</f>
        <v>N/A</v>
      </c>
      <c r="G57" s="92">
        <f>IFERROR(__xludf.DUMMYFUNCTION("""COMPUTED_VALUE"""),52.25332362462178)</f>
        <v>52.25332362</v>
      </c>
    </row>
    <row r="58">
      <c r="A58" s="30" t="str">
        <f>IFERROR(__xludf.DUMMYFUNCTION("""COMPUTED_VALUE"""),"RSC007092")</f>
        <v>RSC007092</v>
      </c>
      <c r="B58" s="30" t="str">
        <f>IFERROR(__xludf.DUMMYFUNCTION("""COMPUTED_VALUE"""),"Minjaaa")</f>
        <v>Minjaaa</v>
      </c>
      <c r="C58" s="30" t="str">
        <f>IFERROR(__xludf.DUMMYFUNCTION("""COMPUTED_VALUE"""),"Prospect")</f>
        <v>Prospect</v>
      </c>
      <c r="D58" s="30" t="str">
        <f>IFERROR(__xludf.DUMMYFUNCTION("""COMPUTED_VALUE"""),"Horizon Highball")</f>
        <v>Horizon Highball</v>
      </c>
      <c r="E58" s="30" t="str">
        <f>IFERROR(__xludf.DUMMYFUNCTION("""COMPUTED_VALUE"""),"5 O'clock Nowhere")</f>
        <v>5 O'clock Nowhere</v>
      </c>
      <c r="F58" s="30" t="str">
        <f>IFERROR(__xludf.DUMMYFUNCTION("""COMPUTED_VALUE"""),"N/A")</f>
        <v>N/A</v>
      </c>
      <c r="G58" s="92">
        <f>IFERROR(__xludf.DUMMYFUNCTION("""COMPUTED_VALUE"""),65.1535780906887)</f>
        <v>65.15357809</v>
      </c>
    </row>
    <row r="59">
      <c r="A59" s="30" t="str">
        <f>IFERROR(__xludf.DUMMYFUNCTION("""COMPUTED_VALUE"""),"RSC000221")</f>
        <v>RSC000221</v>
      </c>
      <c r="B59" s="30" t="str">
        <f>IFERROR(__xludf.DUMMYFUNCTION("""COMPUTED_VALUE"""),"Treefrog")</f>
        <v>Treefrog</v>
      </c>
      <c r="C59" s="30" t="str">
        <f>IFERROR(__xludf.DUMMYFUNCTION("""COMPUTED_VALUE"""),"Prospect")</f>
        <v>Prospect</v>
      </c>
      <c r="D59" s="30" t="str">
        <f>IFERROR(__xludf.DUMMYFUNCTION("""COMPUTED_VALUE"""),"Dime")</f>
        <v>Dime</v>
      </c>
      <c r="E59" s="30" t="str">
        <f>IFERROR(__xludf.DUMMYFUNCTION("""COMPUTED_VALUE"""),"Money Makers")</f>
        <v>Money Makers</v>
      </c>
      <c r="F59" s="30" t="str">
        <f>IFERROR(__xludf.DUMMYFUNCTION("""COMPUTED_VALUE"""),"N/A")</f>
        <v>N/A</v>
      </c>
      <c r="G59" s="92">
        <f>IFERROR(__xludf.DUMMYFUNCTION("""COMPUTED_VALUE"""),63.59250190234561)</f>
        <v>63.5925019</v>
      </c>
    </row>
    <row r="60">
      <c r="A60" s="30" t="str">
        <f>IFERROR(__xludf.DUMMYFUNCTION("""COMPUTED_VALUE"""),"RSC007141")</f>
        <v>RSC007141</v>
      </c>
      <c r="B60" s="30" t="str">
        <f>IFERROR(__xludf.DUMMYFUNCTION("""COMPUTED_VALUE"""),"Cuddlingus")</f>
        <v>Cuddlingus</v>
      </c>
      <c r="C60" s="30" t="str">
        <f>IFERROR(__xludf.DUMMYFUNCTION("""COMPUTED_VALUE"""),"Prospect")</f>
        <v>Prospect</v>
      </c>
      <c r="D60" s="30" t="str">
        <f>IFERROR(__xludf.DUMMYFUNCTION("""COMPUTED_VALUE"""),"Skeletons")</f>
        <v>Skeletons</v>
      </c>
      <c r="E60" s="30" t="str">
        <f>IFERROR(__xludf.DUMMYFUNCTION("""COMPUTED_VALUE"""),"The Monster Mash")</f>
        <v>The Monster Mash</v>
      </c>
      <c r="F60" s="30" t="str">
        <f>IFERROR(__xludf.DUMMYFUNCTION("""COMPUTED_VALUE"""),"N/A")</f>
        <v>N/A</v>
      </c>
      <c r="G60" s="92">
        <f>IFERROR(__xludf.DUMMYFUNCTION("""COMPUTED_VALUE"""),44.61135330779445)</f>
        <v>44.61135331</v>
      </c>
    </row>
    <row r="61">
      <c r="A61" s="30" t="str">
        <f>IFERROR(__xludf.DUMMYFUNCTION("""COMPUTED_VALUE"""),"RSC006667")</f>
        <v>RSC006667</v>
      </c>
      <c r="B61" s="30" t="str">
        <f>IFERROR(__xludf.DUMMYFUNCTION("""COMPUTED_VALUE"""),"GET2DACHOPPA5")</f>
        <v>GET2DACHOPPA5</v>
      </c>
      <c r="C61" s="30" t="str">
        <f>IFERROR(__xludf.DUMMYFUNCTION("""COMPUTED_VALUE"""),"Prospect")</f>
        <v>Prospect</v>
      </c>
      <c r="D61" s="30" t="str">
        <f>IFERROR(__xludf.DUMMYFUNCTION("""COMPUTED_VALUE"""),"Honey Badgers")</f>
        <v>Honey Badgers</v>
      </c>
      <c r="E61" s="30" t="str">
        <f>IFERROR(__xludf.DUMMYFUNCTION("""COMPUTED_VALUE"""),"Safari")</f>
        <v>Safari</v>
      </c>
      <c r="F61" s="30" t="str">
        <f>IFERROR(__xludf.DUMMYFUNCTION("""COMPUTED_VALUE"""),"N/A")</f>
        <v>N/A</v>
      </c>
      <c r="G61" s="92">
        <f>IFERROR(__xludf.DUMMYFUNCTION("""COMPUTED_VALUE"""),47.16793707028583)</f>
        <v>47.16793707</v>
      </c>
    </row>
    <row r="62">
      <c r="A62" s="30" t="str">
        <f>IFERROR(__xludf.DUMMYFUNCTION("""COMPUTED_VALUE"""),"RSC006758")</f>
        <v>RSC006758</v>
      </c>
      <c r="B62" s="30" t="str">
        <f>IFERROR(__xludf.DUMMYFUNCTION("""COMPUTED_VALUE"""),"El Booger Sugar")</f>
        <v>El Booger Sugar</v>
      </c>
      <c r="C62" s="30" t="str">
        <f>IFERROR(__xludf.DUMMYFUNCTION("""COMPUTED_VALUE"""),"Prospect")</f>
        <v>Prospect</v>
      </c>
      <c r="D62" s="30" t="str">
        <f>IFERROR(__xludf.DUMMYFUNCTION("""COMPUTED_VALUE"""),"Principales")</f>
        <v>Principales</v>
      </c>
      <c r="E62" s="30" t="str">
        <f>IFERROR(__xludf.DUMMYFUNCTION("""COMPUTED_VALUE"""),"The Sovereign")</f>
        <v>The Sovereign</v>
      </c>
      <c r="F62" s="30" t="str">
        <f>IFERROR(__xludf.DUMMYFUNCTION("""COMPUTED_VALUE"""),"N/A")</f>
        <v>N/A</v>
      </c>
      <c r="G62" s="92">
        <f>IFERROR(__xludf.DUMMYFUNCTION("""COMPUTED_VALUE"""),47.910324032406244)</f>
        <v>47.91032403</v>
      </c>
    </row>
    <row r="63">
      <c r="A63" s="30" t="str">
        <f>IFERROR(__xludf.DUMMYFUNCTION("""COMPUTED_VALUE"""),"RSC007600")</f>
        <v>RSC007600</v>
      </c>
      <c r="B63" s="30" t="str">
        <f>IFERROR(__xludf.DUMMYFUNCTION("""COMPUTED_VALUE"""),"CN Tyson")</f>
        <v>CN Tyson</v>
      </c>
      <c r="C63" s="30" t="str">
        <f>IFERROR(__xludf.DUMMYFUNCTION("""COMPUTED_VALUE"""),"Prospect")</f>
        <v>Prospect</v>
      </c>
      <c r="D63" s="30" t="str">
        <f>IFERROR(__xludf.DUMMYFUNCTION("""COMPUTED_VALUE"""),"Mop Tops
Prism Proteges")</f>
        <v>Mop Tops
Prism Proteges</v>
      </c>
      <c r="E63" s="30" t="str">
        <f>IFERROR(__xludf.DUMMYFUNCTION("""COMPUTED_VALUE"""),"Vibe Tribe
Art Club")</f>
        <v>Vibe Tribe
Art Club</v>
      </c>
      <c r="F63" s="30" t="str">
        <f>IFERROR(__xludf.DUMMYFUNCTION("""COMPUTED_VALUE"""),"N/A")</f>
        <v>N/A</v>
      </c>
      <c r="G63" s="92">
        <f>IFERROR(__xludf.DUMMYFUNCTION("""COMPUTED_VALUE"""),52.65990137859894)</f>
        <v>52.65990138</v>
      </c>
    </row>
    <row r="64">
      <c r="A64" s="30" t="str">
        <f>IFERROR(__xludf.DUMMYFUNCTION("""COMPUTED_VALUE"""),"RSC006402")</f>
        <v>RSC006402</v>
      </c>
      <c r="B64" s="30" t="str">
        <f>IFERROR(__xludf.DUMMYFUNCTION("""COMPUTED_VALUE"""),"DEADLYFEET1001")</f>
        <v>DEADLYFEET1001</v>
      </c>
      <c r="C64" s="30" t="str">
        <f>IFERROR(__xludf.DUMMYFUNCTION("""COMPUTED_VALUE"""),"Prospect")</f>
        <v>Prospect</v>
      </c>
      <c r="D64" s="30" t="str">
        <f>IFERROR(__xludf.DUMMYFUNCTION("""COMPUTED_VALUE"""),"Principales")</f>
        <v>Principales</v>
      </c>
      <c r="E64" s="30" t="str">
        <f>IFERROR(__xludf.DUMMYFUNCTION("""COMPUTED_VALUE"""),"The Sovereign")</f>
        <v>The Sovereign</v>
      </c>
      <c r="F64" s="30" t="str">
        <f>IFERROR(__xludf.DUMMYFUNCTION("""COMPUTED_VALUE"""),"N/A")</f>
        <v>N/A</v>
      </c>
      <c r="G64" s="92">
        <f>IFERROR(__xludf.DUMMYFUNCTION("""COMPUTED_VALUE"""),42.23983395813161)</f>
        <v>42.23983396</v>
      </c>
    </row>
    <row r="65">
      <c r="A65" s="30" t="str">
        <f>IFERROR(__xludf.DUMMYFUNCTION("""COMPUTED_VALUE"""),"RSC005884")</f>
        <v>RSC005884</v>
      </c>
      <c r="B65" s="30" t="str">
        <f>IFERROR(__xludf.DUMMYFUNCTION("""COMPUTED_VALUE"""),"Zachthebull36")</f>
        <v>Zachthebull36</v>
      </c>
      <c r="C65" s="30" t="str">
        <f>IFERROR(__xludf.DUMMYFUNCTION("""COMPUTED_VALUE"""),"Prospect")</f>
        <v>Prospect</v>
      </c>
      <c r="D65" s="30" t="str">
        <f>IFERROR(__xludf.DUMMYFUNCTION("""COMPUTED_VALUE"""),"Earth")</f>
        <v>Earth</v>
      </c>
      <c r="E65" s="30" t="str">
        <f>IFERROR(__xludf.DUMMYFUNCTION("""COMPUTED_VALUE"""),"The Elements")</f>
        <v>The Elements</v>
      </c>
      <c r="F65" s="30" t="str">
        <f>IFERROR(__xludf.DUMMYFUNCTION("""COMPUTED_VALUE"""),"N/A")</f>
        <v>N/A</v>
      </c>
      <c r="G65" s="92">
        <f>IFERROR(__xludf.DUMMYFUNCTION("""COMPUTED_VALUE"""),48.04744178855524)</f>
        <v>48.04744179</v>
      </c>
    </row>
    <row r="66">
      <c r="A66" s="30" t="str">
        <f>IFERROR(__xludf.DUMMYFUNCTION("""COMPUTED_VALUE"""),"RSC000989")</f>
        <v>RSC000989</v>
      </c>
      <c r="B66" s="30" t="str">
        <f>IFERROR(__xludf.DUMMYFUNCTION("""COMPUTED_VALUE"""),"Piky Life88")</f>
        <v>Piky Life88</v>
      </c>
      <c r="C66" s="30" t="str">
        <f>IFERROR(__xludf.DUMMYFUNCTION("""COMPUTED_VALUE"""),"Prospect")</f>
        <v>Prospect</v>
      </c>
      <c r="D66" s="30" t="str">
        <f>IFERROR(__xludf.DUMMYFUNCTION("""COMPUTED_VALUE"""),"Prism Proteges")</f>
        <v>Prism Proteges</v>
      </c>
      <c r="E66" s="30" t="str">
        <f>IFERROR(__xludf.DUMMYFUNCTION("""COMPUTED_VALUE"""),"Art Club")</f>
        <v>Art Club</v>
      </c>
      <c r="F66" s="30" t="str">
        <f>IFERROR(__xludf.DUMMYFUNCTION("""COMPUTED_VALUE"""),"N/A")</f>
        <v>N/A</v>
      </c>
      <c r="G66" s="92">
        <f>IFERROR(__xludf.DUMMYFUNCTION("""COMPUTED_VALUE"""),19.808201883393274)</f>
        <v>19.80820188</v>
      </c>
    </row>
    <row r="67">
      <c r="A67" s="30" t="str">
        <f>IFERROR(__xludf.DUMMYFUNCTION("""COMPUTED_VALUE"""),"RSC007929")</f>
        <v>RSC007929</v>
      </c>
      <c r="B67" s="30" t="str">
        <f>IFERROR(__xludf.DUMMYFUNCTION("""COMPUTED_VALUE"""),"Leaux Mane")</f>
        <v>Leaux Mane</v>
      </c>
      <c r="C67" s="30" t="str">
        <f>IFERROR(__xludf.DUMMYFUNCTION("""COMPUTED_VALUE"""),"Prospect")</f>
        <v>Prospect</v>
      </c>
      <c r="D67" s="30" t="str">
        <f>IFERROR(__xludf.DUMMYFUNCTION("""COMPUTED_VALUE"""),"Blacktips")</f>
        <v>Blacktips</v>
      </c>
      <c r="E67" s="30" t="str">
        <f>IFERROR(__xludf.DUMMYFUNCTION("""COMPUTED_VALUE"""),"Shark Attack")</f>
        <v>Shark Attack</v>
      </c>
      <c r="F67" s="30" t="str">
        <f>IFERROR(__xludf.DUMMYFUNCTION("""COMPUTED_VALUE"""),"N/A")</f>
        <v>N/A</v>
      </c>
      <c r="G67" s="92">
        <f>IFERROR(__xludf.DUMMYFUNCTION("""COMPUTED_VALUE"""),15.910983062042448)</f>
        <v>15.91098306</v>
      </c>
    </row>
    <row r="68">
      <c r="A68" s="30" t="str">
        <f>IFERROR(__xludf.DUMMYFUNCTION("""COMPUTED_VALUE"""),"RSC008002")</f>
        <v>RSC008002</v>
      </c>
      <c r="B68" s="30" t="str">
        <f>IFERROR(__xludf.DUMMYFUNCTION("""COMPUTED_VALUE"""),"majorpilots")</f>
        <v>majorpilots</v>
      </c>
      <c r="C68" s="30" t="str">
        <f>IFERROR(__xludf.DUMMYFUNCTION("""COMPUTED_VALUE"""),"Prospect")</f>
        <v>Prospect</v>
      </c>
      <c r="D68" s="30" t="str">
        <f>IFERROR(__xludf.DUMMYFUNCTION("""COMPUTED_VALUE"""),"Gloom")</f>
        <v>Gloom</v>
      </c>
      <c r="E68" s="30" t="str">
        <f>IFERROR(__xludf.DUMMYFUNCTION("""COMPUTED_VALUE"""),"The Shadows")</f>
        <v>The Shadows</v>
      </c>
      <c r="F68" s="30" t="str">
        <f>IFERROR(__xludf.DUMMYFUNCTION("""COMPUTED_VALUE"""),"N/A")</f>
        <v>N/A</v>
      </c>
      <c r="G68" s="92">
        <f>IFERROR(__xludf.DUMMYFUNCTION("""COMPUTED_VALUE"""),-52.76179763430781)</f>
        <v>-52.76179763</v>
      </c>
    </row>
    <row r="69">
      <c r="A69" s="30" t="str">
        <f>IFERROR(__xludf.DUMMYFUNCTION("""COMPUTED_VALUE"""),"RSC004879")</f>
        <v>RSC004879</v>
      </c>
      <c r="B69" s="30" t="str">
        <f>IFERROR(__xludf.DUMMYFUNCTION("""COMPUTED_VALUE"""),"DefNotMongo.")</f>
        <v>DefNotMongo.</v>
      </c>
      <c r="C69" s="30" t="str">
        <f>IFERROR(__xludf.DUMMYFUNCTION("""COMPUTED_VALUE"""),"Prospect")</f>
        <v>Prospect</v>
      </c>
      <c r="D69" s="30" t="str">
        <f>IFERROR(__xludf.DUMMYFUNCTION("""COMPUTED_VALUE"""),"Khans")</f>
        <v>Khans</v>
      </c>
      <c r="E69" s="30" t="str">
        <f>IFERROR(__xludf.DUMMYFUNCTION("""COMPUTED_VALUE"""),"Monarchy")</f>
        <v>Monarchy</v>
      </c>
      <c r="F69" s="30" t="str">
        <f>IFERROR(__xludf.DUMMYFUNCTION("""COMPUTED_VALUE"""),"N/A")</f>
        <v>N/A</v>
      </c>
      <c r="G69" s="92">
        <f>IFERROR(__xludf.DUMMYFUNCTION("""COMPUTED_VALUE"""),9.999331078498194)</f>
        <v>9.999331078</v>
      </c>
    </row>
    <row r="70">
      <c r="A70" s="30" t="str">
        <f>IFERROR(__xludf.DUMMYFUNCTION("""COMPUTED_VALUE"""),"RSC005252")</f>
        <v>RSC005252</v>
      </c>
      <c r="B70" s="30" t="str">
        <f>IFERROR(__xludf.DUMMYFUNCTION("""COMPUTED_VALUE"""),"MysticMax07")</f>
        <v>MysticMax07</v>
      </c>
      <c r="C70" s="30" t="str">
        <f>IFERROR(__xludf.DUMMYFUNCTION("""COMPUTED_VALUE"""),"Prospect")</f>
        <v>Prospect</v>
      </c>
      <c r="D70" s="30" t="str">
        <f>IFERROR(__xludf.DUMMYFUNCTION("""COMPUTED_VALUE"""),"Gloom")</f>
        <v>Gloom</v>
      </c>
      <c r="E70" s="30" t="str">
        <f>IFERROR(__xludf.DUMMYFUNCTION("""COMPUTED_VALUE"""),"The Shadows")</f>
        <v>The Shadows</v>
      </c>
      <c r="F70" s="30" t="str">
        <f>IFERROR(__xludf.DUMMYFUNCTION("""COMPUTED_VALUE"""),"N/A")</f>
        <v>N/A</v>
      </c>
      <c r="G70" s="92">
        <f>IFERROR(__xludf.DUMMYFUNCTION("""COMPUTED_VALUE"""),-14.81276555269234)</f>
        <v>-14.81276555</v>
      </c>
    </row>
    <row r="71">
      <c r="A71" s="30" t="str">
        <f>IFERROR(__xludf.DUMMYFUNCTION("""COMPUTED_VALUE"""),"RSC006934")</f>
        <v>RSC006934</v>
      </c>
      <c r="B71" s="30" t="str">
        <f>IFERROR(__xludf.DUMMYFUNCTION("""COMPUTED_VALUE"""),"TPM_CheezeTV")</f>
        <v>TPM_CheezeTV</v>
      </c>
      <c r="C71" s="30" t="str">
        <f>IFERROR(__xludf.DUMMYFUNCTION("""COMPUTED_VALUE"""),"Prospect")</f>
        <v>Prospect</v>
      </c>
      <c r="D71" s="30" t="str">
        <f>IFERROR(__xludf.DUMMYFUNCTION("""COMPUTED_VALUE"""),"Gloom")</f>
        <v>Gloom</v>
      </c>
      <c r="E71" s="30" t="str">
        <f>IFERROR(__xludf.DUMMYFUNCTION("""COMPUTED_VALUE"""),"The Shadows")</f>
        <v>The Shadows</v>
      </c>
      <c r="F71" s="30" t="str">
        <f>IFERROR(__xludf.DUMMYFUNCTION("""COMPUTED_VALUE"""),"N/A")</f>
        <v>N/A</v>
      </c>
      <c r="G71" s="92">
        <f>IFERROR(__xludf.DUMMYFUNCTION("""COMPUTED_VALUE"""),27.97681278030232)</f>
        <v>27.97681278</v>
      </c>
    </row>
    <row r="72">
      <c r="A72" s="30" t="str">
        <f>IFERROR(__xludf.DUMMYFUNCTION("""COMPUTED_VALUE"""),"RSC007864")</f>
        <v>RSC007864</v>
      </c>
      <c r="B72" s="30" t="str">
        <f>IFERROR(__xludf.DUMMYFUNCTION("""COMPUTED_VALUE"""),"z . a . c")</f>
        <v>z . a . c</v>
      </c>
      <c r="C72" s="30" t="str">
        <f>IFERROR(__xludf.DUMMYFUNCTION("""COMPUTED_VALUE"""),"Prospect")</f>
        <v>Prospect</v>
      </c>
      <c r="D72" s="30" t="str">
        <f>IFERROR(__xludf.DUMMYFUNCTION("""COMPUTED_VALUE"""),"Khans")</f>
        <v>Khans</v>
      </c>
      <c r="E72" s="30" t="str">
        <f>IFERROR(__xludf.DUMMYFUNCTION("""COMPUTED_VALUE"""),"Monarchy")</f>
        <v>Monarchy</v>
      </c>
      <c r="F72" s="30" t="str">
        <f>IFERROR(__xludf.DUMMYFUNCTION("""COMPUTED_VALUE"""),"N/A")</f>
        <v>N/A</v>
      </c>
      <c r="G72" s="92">
        <f>IFERROR(__xludf.DUMMYFUNCTION("""COMPUTED_VALUE"""),30.77916058667502)</f>
        <v>30.77916059</v>
      </c>
    </row>
    <row r="73">
      <c r="A73" s="30" t="str">
        <f>IFERROR(__xludf.DUMMYFUNCTION("""COMPUTED_VALUE"""),"RSC006344")</f>
        <v>RSC006344</v>
      </c>
      <c r="B73" s="30" t="str">
        <f>IFERROR(__xludf.DUMMYFUNCTION("""COMPUTED_VALUE"""),"FerrisCrueller")</f>
        <v>FerrisCrueller</v>
      </c>
      <c r="C73" s="30" t="str">
        <f>IFERROR(__xludf.DUMMYFUNCTION("""COMPUTED_VALUE"""),"Prospect")</f>
        <v>Prospect</v>
      </c>
      <c r="D73" s="30" t="str">
        <f>IFERROR(__xludf.DUMMYFUNCTION("""COMPUTED_VALUE"""),"Poppy")</f>
        <v>Poppy</v>
      </c>
      <c r="E73" s="30" t="str">
        <f>IFERROR(__xludf.DUMMYFUNCTION("""COMPUTED_VALUE"""),"Flower Road")</f>
        <v>Flower Road</v>
      </c>
      <c r="F73" s="30" t="str">
        <f>IFERROR(__xludf.DUMMYFUNCTION("""COMPUTED_VALUE"""),"N/A")</f>
        <v>N/A</v>
      </c>
      <c r="G73" s="92">
        <f>IFERROR(__xludf.DUMMYFUNCTION("""COMPUTED_VALUE"""),35.28470760764893)</f>
        <v>35.28470761</v>
      </c>
    </row>
    <row r="74">
      <c r="A74" s="30" t="str">
        <f>IFERROR(__xludf.DUMMYFUNCTION("""COMPUTED_VALUE"""),"RSC005909")</f>
        <v>RSC005909</v>
      </c>
      <c r="B74" s="30" t="str">
        <f>IFERROR(__xludf.DUMMYFUNCTION("""COMPUTED_VALUE"""),"YadiCraft")</f>
        <v>YadiCraft</v>
      </c>
      <c r="C74" s="30" t="str">
        <f>IFERROR(__xludf.DUMMYFUNCTION("""COMPUTED_VALUE"""),"Prospect")</f>
        <v>Prospect</v>
      </c>
      <c r="D74" s="30" t="str">
        <f>IFERROR(__xludf.DUMMYFUNCTION("""COMPUTED_VALUE"""),"Hawaiian Pizza")</f>
        <v>Hawaiian Pizza</v>
      </c>
      <c r="E74" s="30" t="str">
        <f>IFERROR(__xludf.DUMMYFUNCTION("""COMPUTED_VALUE"""),"Fifty-Fifty Pizzeria")</f>
        <v>Fifty-Fifty Pizzeria</v>
      </c>
      <c r="F74" s="30" t="str">
        <f>IFERROR(__xludf.DUMMYFUNCTION("""COMPUTED_VALUE"""),"N/A")</f>
        <v>N/A</v>
      </c>
      <c r="G74" s="92">
        <f>IFERROR(__xludf.DUMMYFUNCTION("""COMPUTED_VALUE"""),31.718676320622272)</f>
        <v>31.71867632</v>
      </c>
    </row>
    <row r="75">
      <c r="A75" s="30" t="str">
        <f>IFERROR(__xludf.DUMMYFUNCTION("""COMPUTED_VALUE"""),"RSC007866")</f>
        <v>RSC007866</v>
      </c>
      <c r="B75" s="30" t="str">
        <f>IFERROR(__xludf.DUMMYFUNCTION("""COMPUTED_VALUE"""),"Swzyy GN")</f>
        <v>Swzyy GN</v>
      </c>
      <c r="C75" s="30" t="str">
        <f>IFERROR(__xludf.DUMMYFUNCTION("""COMPUTED_VALUE"""),"Prospect")</f>
        <v>Prospect</v>
      </c>
      <c r="D75" s="30" t="str">
        <f>IFERROR(__xludf.DUMMYFUNCTION("""COMPUTED_VALUE"""),"Prism Proteges")</f>
        <v>Prism Proteges</v>
      </c>
      <c r="E75" s="30" t="str">
        <f>IFERROR(__xludf.DUMMYFUNCTION("""COMPUTED_VALUE"""),"Art Club")</f>
        <v>Art Club</v>
      </c>
      <c r="F75" s="30" t="str">
        <f>IFERROR(__xludf.DUMMYFUNCTION("""COMPUTED_VALUE"""),"N/A")</f>
        <v>N/A</v>
      </c>
      <c r="G75" s="92">
        <f>IFERROR(__xludf.DUMMYFUNCTION("""COMPUTED_VALUE"""),53.7748956153604)</f>
        <v>53.77489562</v>
      </c>
    </row>
    <row r="76">
      <c r="A76" s="30" t="str">
        <f>IFERROR(__xludf.DUMMYFUNCTION("""COMPUTED_VALUE"""),"RSC006461")</f>
        <v>RSC006461</v>
      </c>
      <c r="B76" s="30" t="str">
        <f>IFERROR(__xludf.DUMMYFUNCTION("""COMPUTED_VALUE"""),"Cynical89")</f>
        <v>Cynical89</v>
      </c>
      <c r="C76" s="30" t="str">
        <f>IFERROR(__xludf.DUMMYFUNCTION("""COMPUTED_VALUE"""),"Prospect")</f>
        <v>Prospect</v>
      </c>
      <c r="D76" s="30" t="str">
        <f>IFERROR(__xludf.DUMMYFUNCTION("""COMPUTED_VALUE"""),"Tic Tacs")</f>
        <v>Tic Tacs</v>
      </c>
      <c r="E76" s="30" t="str">
        <f>IFERROR(__xludf.DUMMYFUNCTION("""COMPUTED_VALUE"""),"Minty Fresh")</f>
        <v>Minty Fresh</v>
      </c>
      <c r="F76" s="30" t="str">
        <f>IFERROR(__xludf.DUMMYFUNCTION("""COMPUTED_VALUE"""),"N/A")</f>
        <v>N/A</v>
      </c>
      <c r="G76" s="92">
        <f>IFERROR(__xludf.DUMMYFUNCTION("""COMPUTED_VALUE"""),15.98457729378918)</f>
        <v>15.98457729</v>
      </c>
    </row>
    <row r="77">
      <c r="A77" s="30" t="str">
        <f>IFERROR(__xludf.DUMMYFUNCTION("""COMPUTED_VALUE"""),"RSC007515")</f>
        <v>RSC007515</v>
      </c>
      <c r="B77" s="30" t="str">
        <f>IFERROR(__xludf.DUMMYFUNCTION("""COMPUTED_VALUE"""),"superstrikzz")</f>
        <v>superstrikzz</v>
      </c>
      <c r="C77" s="30" t="str">
        <f>IFERROR(__xludf.DUMMYFUNCTION("""COMPUTED_VALUE"""),"Contender")</f>
        <v>Contender</v>
      </c>
      <c r="D77" s="30" t="str">
        <f>IFERROR(__xludf.DUMMYFUNCTION("""COMPUTED_VALUE"""),"Clover")</f>
        <v>Clover</v>
      </c>
      <c r="E77" s="30" t="str">
        <f>IFERROR(__xludf.DUMMYFUNCTION("""COMPUTED_VALUE"""),"Flower Road")</f>
        <v>Flower Road</v>
      </c>
      <c r="F77" s="30" t="str">
        <f>IFERROR(__xludf.DUMMYFUNCTION("""COMPUTED_VALUE"""),"Lunar")</f>
        <v>Lunar</v>
      </c>
      <c r="G77" s="92">
        <f>IFERROR(__xludf.DUMMYFUNCTION("""COMPUTED_VALUE"""),66.09327866789171)</f>
        <v>66.09327867</v>
      </c>
    </row>
    <row r="78">
      <c r="A78" s="30" t="str">
        <f>IFERROR(__xludf.DUMMYFUNCTION("""COMPUTED_VALUE"""),"RSC003153")</f>
        <v>RSC003153</v>
      </c>
      <c r="B78" s="30" t="str">
        <f>IFERROR(__xludf.DUMMYFUNCTION("""COMPUTED_VALUE"""),"Theman")</f>
        <v>Theman</v>
      </c>
      <c r="C78" s="30" t="str">
        <f>IFERROR(__xludf.DUMMYFUNCTION("""COMPUTED_VALUE"""),"Contender")</f>
        <v>Contender</v>
      </c>
      <c r="D78" s="30" t="str">
        <f>IFERROR(__xludf.DUMMYFUNCTION("""COMPUTED_VALUE"""),"Clover")</f>
        <v>Clover</v>
      </c>
      <c r="E78" s="30" t="str">
        <f>IFERROR(__xludf.DUMMYFUNCTION("""COMPUTED_VALUE"""),"Flower Road")</f>
        <v>Flower Road</v>
      </c>
      <c r="F78" s="30" t="str">
        <f>IFERROR(__xludf.DUMMYFUNCTION("""COMPUTED_VALUE"""),"Lunar")</f>
        <v>Lunar</v>
      </c>
      <c r="G78" s="92">
        <f>IFERROR(__xludf.DUMMYFUNCTION("""COMPUTED_VALUE"""),26.259101825383507)</f>
        <v>26.25910183</v>
      </c>
    </row>
    <row r="79">
      <c r="A79" s="30" t="str">
        <f>IFERROR(__xludf.DUMMYFUNCTION("""COMPUTED_VALUE"""),"RSC007918")</f>
        <v>RSC007918</v>
      </c>
      <c r="B79" s="30" t="str">
        <f>IFERROR(__xludf.DUMMYFUNCTION("""COMPUTED_VALUE"""),"TheBLKBoy")</f>
        <v>TheBLKBoy</v>
      </c>
      <c r="C79" s="30" t="str">
        <f>IFERROR(__xludf.DUMMYFUNCTION("""COMPUTED_VALUE"""),"Contender")</f>
        <v>Contender</v>
      </c>
      <c r="D79" s="30" t="str">
        <f>IFERROR(__xludf.DUMMYFUNCTION("""COMPUTED_VALUE"""),"Clover")</f>
        <v>Clover</v>
      </c>
      <c r="E79" s="30" t="str">
        <f>IFERROR(__xludf.DUMMYFUNCTION("""COMPUTED_VALUE"""),"Flower Road")</f>
        <v>Flower Road</v>
      </c>
      <c r="F79" s="30" t="str">
        <f>IFERROR(__xludf.DUMMYFUNCTION("""COMPUTED_VALUE"""),"Lunar")</f>
        <v>Lunar</v>
      </c>
      <c r="G79" s="92">
        <f>IFERROR(__xludf.DUMMYFUNCTION("""COMPUTED_VALUE"""),40.74884555195949)</f>
        <v>40.74884555</v>
      </c>
    </row>
    <row r="80">
      <c r="A80" s="30" t="str">
        <f>IFERROR(__xludf.DUMMYFUNCTION("""COMPUTED_VALUE"""),"RSC001262")</f>
        <v>RSC001262</v>
      </c>
      <c r="B80" s="30" t="str">
        <f>IFERROR(__xludf.DUMMYFUNCTION("""COMPUTED_VALUE"""),"droogin01")</f>
        <v>droogin01</v>
      </c>
      <c r="C80" s="30" t="str">
        <f>IFERROR(__xludf.DUMMYFUNCTION("""COMPUTED_VALUE"""),"Contender")</f>
        <v>Contender</v>
      </c>
      <c r="D80" s="30" t="str">
        <f>IFERROR(__xludf.DUMMYFUNCTION("""COMPUTED_VALUE"""),"Zebras")</f>
        <v>Zebras</v>
      </c>
      <c r="E80" s="30" t="str">
        <f>IFERROR(__xludf.DUMMYFUNCTION("""COMPUTED_VALUE"""),"Safari")</f>
        <v>Safari</v>
      </c>
      <c r="F80" s="30" t="str">
        <f>IFERROR(__xludf.DUMMYFUNCTION("""COMPUTED_VALUE"""),"Lunar")</f>
        <v>Lunar</v>
      </c>
      <c r="G80" s="92">
        <f>IFERROR(__xludf.DUMMYFUNCTION("""COMPUTED_VALUE"""),54.938239676470985)</f>
        <v>54.93823968</v>
      </c>
    </row>
    <row r="81">
      <c r="A81" s="30" t="str">
        <f>IFERROR(__xludf.DUMMYFUNCTION("""COMPUTED_VALUE"""),"RSC006919")</f>
        <v>RSC006919</v>
      </c>
      <c r="B81" s="30" t="str">
        <f>IFERROR(__xludf.DUMMYFUNCTION("""COMPUTED_VALUE"""),"rinny_b0y")</f>
        <v>rinny_b0y</v>
      </c>
      <c r="C81" s="30" t="str">
        <f>IFERROR(__xludf.DUMMYFUNCTION("""COMPUTED_VALUE"""),"Contender")</f>
        <v>Contender</v>
      </c>
      <c r="D81" s="30" t="str">
        <f>IFERROR(__xludf.DUMMYFUNCTION("""COMPUTED_VALUE"""),"Zebras")</f>
        <v>Zebras</v>
      </c>
      <c r="E81" s="30" t="str">
        <f>IFERROR(__xludf.DUMMYFUNCTION("""COMPUTED_VALUE"""),"Safari")</f>
        <v>Safari</v>
      </c>
      <c r="F81" s="30" t="str">
        <f>IFERROR(__xludf.DUMMYFUNCTION("""COMPUTED_VALUE"""),"Lunar")</f>
        <v>Lunar</v>
      </c>
      <c r="G81" s="92">
        <f>IFERROR(__xludf.DUMMYFUNCTION("""COMPUTED_VALUE"""),24.93625219710207)</f>
        <v>24.9362522</v>
      </c>
    </row>
    <row r="82">
      <c r="A82" s="30" t="str">
        <f>IFERROR(__xludf.DUMMYFUNCTION("""COMPUTED_VALUE"""),"RSC007910")</f>
        <v>RSC007910</v>
      </c>
      <c r="B82" s="30" t="str">
        <f>IFERROR(__xludf.DUMMYFUNCTION("""COMPUTED_VALUE"""),"TTVCAPTAINDRC")</f>
        <v>TTVCAPTAINDRC</v>
      </c>
      <c r="C82" s="30" t="str">
        <f>IFERROR(__xludf.DUMMYFUNCTION("""COMPUTED_VALUE"""),"Contender")</f>
        <v>Contender</v>
      </c>
      <c r="D82" s="30" t="str">
        <f>IFERROR(__xludf.DUMMYFUNCTION("""COMPUTED_VALUE"""),"Zebras")</f>
        <v>Zebras</v>
      </c>
      <c r="E82" s="30" t="str">
        <f>IFERROR(__xludf.DUMMYFUNCTION("""COMPUTED_VALUE"""),"Safari")</f>
        <v>Safari</v>
      </c>
      <c r="F82" s="30" t="str">
        <f>IFERROR(__xludf.DUMMYFUNCTION("""COMPUTED_VALUE"""),"Lunar")</f>
        <v>Lunar</v>
      </c>
      <c r="G82" s="92">
        <f>IFERROR(__xludf.DUMMYFUNCTION("""COMPUTED_VALUE"""),15.837838242976261)</f>
        <v>15.83783824</v>
      </c>
    </row>
    <row r="83">
      <c r="A83" s="30" t="str">
        <f>IFERROR(__xludf.DUMMYFUNCTION("""COMPUTED_VALUE"""),"RSC007894")</f>
        <v>RSC007894</v>
      </c>
      <c r="B83" s="30" t="str">
        <f>IFERROR(__xludf.DUMMYFUNCTION("""COMPUTED_VALUE"""),"BlackCoop03")</f>
        <v>BlackCoop03</v>
      </c>
      <c r="C83" s="30" t="str">
        <f>IFERROR(__xludf.DUMMYFUNCTION("""COMPUTED_VALUE"""),"Contender")</f>
        <v>Contender</v>
      </c>
      <c r="D83" s="30" t="str">
        <f>IFERROR(__xludf.DUMMYFUNCTION("""COMPUTED_VALUE"""),"Clover")</f>
        <v>Clover</v>
      </c>
      <c r="E83" s="30" t="str">
        <f>IFERROR(__xludf.DUMMYFUNCTION("""COMPUTED_VALUE"""),"Flower Road")</f>
        <v>Flower Road</v>
      </c>
      <c r="F83" s="30" t="str">
        <f>IFERROR(__xludf.DUMMYFUNCTION("""COMPUTED_VALUE"""),"Lunar")</f>
        <v>Lunar</v>
      </c>
      <c r="G83" s="92">
        <f>IFERROR(__xludf.DUMMYFUNCTION("""COMPUTED_VALUE"""),67.94951203146539)</f>
        <v>67.94951203</v>
      </c>
    </row>
    <row r="84">
      <c r="A84" s="30" t="str">
        <f>IFERROR(__xludf.DUMMYFUNCTION("""COMPUTED_VALUE"""),"RSC007465")</f>
        <v>RSC007465</v>
      </c>
      <c r="B84" s="30" t="str">
        <f>IFERROR(__xludf.DUMMYFUNCTION("""COMPUTED_VALUE"""),"xReaperDenTTV")</f>
        <v>xReaperDenTTV</v>
      </c>
      <c r="C84" s="30" t="str">
        <f>IFERROR(__xludf.DUMMYFUNCTION("""COMPUTED_VALUE"""),"Contender")</f>
        <v>Contender</v>
      </c>
      <c r="D84" s="30" t="str">
        <f>IFERROR(__xludf.DUMMYFUNCTION("""COMPUTED_VALUE"""),"Zebras")</f>
        <v>Zebras</v>
      </c>
      <c r="E84" s="30" t="str">
        <f>IFERROR(__xludf.DUMMYFUNCTION("""COMPUTED_VALUE"""),"Safari")</f>
        <v>Safari</v>
      </c>
      <c r="F84" s="30" t="str">
        <f>IFERROR(__xludf.DUMMYFUNCTION("""COMPUTED_VALUE"""),"Lunar")</f>
        <v>Lunar</v>
      </c>
      <c r="G84" s="92">
        <f>IFERROR(__xludf.DUMMYFUNCTION("""COMPUTED_VALUE"""),60.6481024968227)</f>
        <v>60.6481025</v>
      </c>
    </row>
    <row r="85">
      <c r="A85" s="30" t="str">
        <f>IFERROR(__xludf.DUMMYFUNCTION("""COMPUTED_VALUE"""),"RSC007630")</f>
        <v>RSC007630</v>
      </c>
      <c r="B85" s="30" t="str">
        <f>IFERROR(__xludf.DUMMYFUNCTION("""COMPUTED_VALUE"""),"Grey")</f>
        <v>Grey</v>
      </c>
      <c r="C85" s="30" t="str">
        <f>IFERROR(__xludf.DUMMYFUNCTION("""COMPUTED_VALUE"""),"Contender")</f>
        <v>Contender</v>
      </c>
      <c r="D85" s="30" t="str">
        <f>IFERROR(__xludf.DUMMYFUNCTION("""COMPUTED_VALUE"""),"Rad Lads")</f>
        <v>Rad Lads</v>
      </c>
      <c r="E85" s="30" t="str">
        <f>IFERROR(__xludf.DUMMYFUNCTION("""COMPUTED_VALUE"""),"Vibe Tribe")</f>
        <v>Vibe Tribe</v>
      </c>
      <c r="F85" s="30" t="str">
        <f>IFERROR(__xludf.DUMMYFUNCTION("""COMPUTED_VALUE"""),"Lunar")</f>
        <v>Lunar</v>
      </c>
      <c r="G85" s="92">
        <f>IFERROR(__xludf.DUMMYFUNCTION("""COMPUTED_VALUE"""),59.64155373808812)</f>
        <v>59.64155374</v>
      </c>
    </row>
    <row r="86">
      <c r="A86" s="30" t="str">
        <f>IFERROR(__xludf.DUMMYFUNCTION("""COMPUTED_VALUE"""),"RSC006251")</f>
        <v>RSC006251</v>
      </c>
      <c r="B86" s="30" t="str">
        <f>IFERROR(__xludf.DUMMYFUNCTION("""COMPUTED_VALUE"""),"MiniTechniks")</f>
        <v>MiniTechniks</v>
      </c>
      <c r="C86" s="30" t="str">
        <f>IFERROR(__xludf.DUMMYFUNCTION("""COMPUTED_VALUE"""),"Contender")</f>
        <v>Contender</v>
      </c>
      <c r="D86" s="30" t="str">
        <f>IFERROR(__xludf.DUMMYFUNCTION("""COMPUTED_VALUE"""),"Rad Lads")</f>
        <v>Rad Lads</v>
      </c>
      <c r="E86" s="30" t="str">
        <f>IFERROR(__xludf.DUMMYFUNCTION("""COMPUTED_VALUE"""),"Vibe Tribe")</f>
        <v>Vibe Tribe</v>
      </c>
      <c r="F86" s="30" t="str">
        <f>IFERROR(__xludf.DUMMYFUNCTION("""COMPUTED_VALUE"""),"Lunar")</f>
        <v>Lunar</v>
      </c>
      <c r="G86" s="92">
        <f>IFERROR(__xludf.DUMMYFUNCTION("""COMPUTED_VALUE"""),72.65139917944404)</f>
        <v>72.65139918</v>
      </c>
    </row>
    <row r="87">
      <c r="A87" s="30" t="str">
        <f>IFERROR(__xludf.DUMMYFUNCTION("""COMPUTED_VALUE"""),"RSC006900")</f>
        <v>RSC006900</v>
      </c>
      <c r="B87" s="30" t="str">
        <f>IFERROR(__xludf.DUMMYFUNCTION("""COMPUTED_VALUE"""),"VeloxcityX")</f>
        <v>VeloxcityX</v>
      </c>
      <c r="C87" s="30" t="str">
        <f>IFERROR(__xludf.DUMMYFUNCTION("""COMPUTED_VALUE"""),"Contender")</f>
        <v>Contender</v>
      </c>
      <c r="D87" s="30" t="str">
        <f>IFERROR(__xludf.DUMMYFUNCTION("""COMPUTED_VALUE"""),"Rad Lads")</f>
        <v>Rad Lads</v>
      </c>
      <c r="E87" s="30" t="str">
        <f>IFERROR(__xludf.DUMMYFUNCTION("""COMPUTED_VALUE"""),"Vibe Tribe")</f>
        <v>Vibe Tribe</v>
      </c>
      <c r="F87" s="30" t="str">
        <f>IFERROR(__xludf.DUMMYFUNCTION("""COMPUTED_VALUE"""),"Lunar")</f>
        <v>Lunar</v>
      </c>
      <c r="G87" s="92">
        <f>IFERROR(__xludf.DUMMYFUNCTION("""COMPUTED_VALUE"""),61.45268606759018)</f>
        <v>61.45268607</v>
      </c>
    </row>
    <row r="88">
      <c r="A88" s="30" t="str">
        <f>IFERROR(__xludf.DUMMYFUNCTION("""COMPUTED_VALUE"""),"RSC007119")</f>
        <v>RSC007119</v>
      </c>
      <c r="B88" s="30" t="str">
        <f>IFERROR(__xludf.DUMMYFUNCTION("""COMPUTED_VALUE"""),"EvilSuperman_")</f>
        <v>EvilSuperman_</v>
      </c>
      <c r="C88" s="30" t="str">
        <f>IFERROR(__xludf.DUMMYFUNCTION("""COMPUTED_VALUE"""),"Contender")</f>
        <v>Contender</v>
      </c>
      <c r="D88" s="30" t="str">
        <f>IFERROR(__xludf.DUMMYFUNCTION("""COMPUTED_VALUE"""),"Celestial Cider")</f>
        <v>Celestial Cider</v>
      </c>
      <c r="E88" s="30" t="str">
        <f>IFERROR(__xludf.DUMMYFUNCTION("""COMPUTED_VALUE"""),"5 O'clock Nowhere")</f>
        <v>5 O'clock Nowhere</v>
      </c>
      <c r="F88" s="30" t="str">
        <f>IFERROR(__xludf.DUMMYFUNCTION("""COMPUTED_VALUE"""),"Solar")</f>
        <v>Solar</v>
      </c>
      <c r="G88" s="92">
        <f>IFERROR(__xludf.DUMMYFUNCTION("""COMPUTED_VALUE"""),20.6783704567393)</f>
        <v>20.67837046</v>
      </c>
    </row>
    <row r="89">
      <c r="A89" s="30" t="str">
        <f>IFERROR(__xludf.DUMMYFUNCTION("""COMPUTED_VALUE"""),"RSC005937")</f>
        <v>RSC005937</v>
      </c>
      <c r="B89" s="30" t="str">
        <f>IFERROR(__xludf.DUMMYFUNCTION("""COMPUTED_VALUE"""),"SlashFabo420")</f>
        <v>SlashFabo420</v>
      </c>
      <c r="C89" s="30" t="str">
        <f>IFERROR(__xludf.DUMMYFUNCTION("""COMPUTED_VALUE"""),"Contender")</f>
        <v>Contender</v>
      </c>
      <c r="D89" s="30" t="str">
        <f>IFERROR(__xludf.DUMMYFUNCTION("""COMPUTED_VALUE"""),"Celestial Cider")</f>
        <v>Celestial Cider</v>
      </c>
      <c r="E89" s="30" t="str">
        <f>IFERROR(__xludf.DUMMYFUNCTION("""COMPUTED_VALUE"""),"5 O'clock Nowhere")</f>
        <v>5 O'clock Nowhere</v>
      </c>
      <c r="F89" s="30" t="str">
        <f>IFERROR(__xludf.DUMMYFUNCTION("""COMPUTED_VALUE"""),"Solar")</f>
        <v>Solar</v>
      </c>
      <c r="G89" s="92">
        <f>IFERROR(__xludf.DUMMYFUNCTION("""COMPUTED_VALUE"""),32.68833790620394)</f>
        <v>32.68833791</v>
      </c>
    </row>
    <row r="90">
      <c r="A90" s="30" t="str">
        <f>IFERROR(__xludf.DUMMYFUNCTION("""COMPUTED_VALUE"""),"RSC000086")</f>
        <v>RSC000086</v>
      </c>
      <c r="B90" s="30" t="str">
        <f>IFERROR(__xludf.DUMMYFUNCTION("""COMPUTED_VALUE"""),"Stale Popcorn")</f>
        <v>Stale Popcorn</v>
      </c>
      <c r="C90" s="30" t="str">
        <f>IFERROR(__xludf.DUMMYFUNCTION("""COMPUTED_VALUE"""),"Contender")</f>
        <v>Contender</v>
      </c>
      <c r="D90" s="30" t="str">
        <f>IFERROR(__xludf.DUMMYFUNCTION("""COMPUTED_VALUE"""),"Toothpaste
Celestial Cider")</f>
        <v>Toothpaste
Celestial Cider</v>
      </c>
      <c r="E90" s="30" t="str">
        <f>IFERROR(__xludf.DUMMYFUNCTION("""COMPUTED_VALUE"""),"Minty Fresh
5 O'clock Nowhere")</f>
        <v>Minty Fresh
5 O'clock Nowhere</v>
      </c>
      <c r="F90" s="30" t="str">
        <f>IFERROR(__xludf.DUMMYFUNCTION("""COMPUTED_VALUE"""),"Solar")</f>
        <v>Solar</v>
      </c>
      <c r="G90" s="92">
        <f>IFERROR(__xludf.DUMMYFUNCTION("""COMPUTED_VALUE"""),43.91655517462086)</f>
        <v>43.91655517</v>
      </c>
    </row>
    <row r="91">
      <c r="A91" s="30" t="str">
        <f>IFERROR(__xludf.DUMMYFUNCTION("""COMPUTED_VALUE"""),"RSC006880")</f>
        <v>RSC006880</v>
      </c>
      <c r="B91" s="30" t="str">
        <f>IFERROR(__xludf.DUMMYFUNCTION("""COMPUTED_VALUE"""),"Kenjicat17")</f>
        <v>Kenjicat17</v>
      </c>
      <c r="C91" s="30" t="str">
        <f>IFERROR(__xludf.DUMMYFUNCTION("""COMPUTED_VALUE"""),"Contender")</f>
        <v>Contender</v>
      </c>
      <c r="D91" s="30" t="str">
        <f>IFERROR(__xludf.DUMMYFUNCTION("""COMPUTED_VALUE"""),"Ice")</f>
        <v>Ice</v>
      </c>
      <c r="E91" s="30" t="str">
        <f>IFERROR(__xludf.DUMMYFUNCTION("""COMPUTED_VALUE"""),"The Elements")</f>
        <v>The Elements</v>
      </c>
      <c r="F91" s="30" t="str">
        <f>IFERROR(__xludf.DUMMYFUNCTION("""COMPUTED_VALUE"""),"Solar")</f>
        <v>Solar</v>
      </c>
      <c r="G91" s="92">
        <f>IFERROR(__xludf.DUMMYFUNCTION("""COMPUTED_VALUE"""),40.833051582477985)</f>
        <v>40.83305158</v>
      </c>
    </row>
    <row r="92">
      <c r="A92" s="30" t="str">
        <f>IFERROR(__xludf.DUMMYFUNCTION("""COMPUTED_VALUE"""),"RSC005550")</f>
        <v>RSC005550</v>
      </c>
      <c r="B92" s="30" t="str">
        <f>IFERROR(__xludf.DUMMYFUNCTION("""COMPUTED_VALUE"""),"Shraggaholic")</f>
        <v>Shraggaholic</v>
      </c>
      <c r="C92" s="30" t="str">
        <f>IFERROR(__xludf.DUMMYFUNCTION("""COMPUTED_VALUE"""),"Contender")</f>
        <v>Contender</v>
      </c>
      <c r="D92" s="30" t="str">
        <f>IFERROR(__xludf.DUMMYFUNCTION("""COMPUTED_VALUE"""),"Ice")</f>
        <v>Ice</v>
      </c>
      <c r="E92" s="30" t="str">
        <f>IFERROR(__xludf.DUMMYFUNCTION("""COMPUTED_VALUE"""),"The Elements")</f>
        <v>The Elements</v>
      </c>
      <c r="F92" s="30" t="str">
        <f>IFERROR(__xludf.DUMMYFUNCTION("""COMPUTED_VALUE"""),"Solar")</f>
        <v>Solar</v>
      </c>
      <c r="G92" s="92">
        <f>IFERROR(__xludf.DUMMYFUNCTION("""COMPUTED_VALUE"""),42.26649566202971)</f>
        <v>42.26649566</v>
      </c>
    </row>
    <row r="93">
      <c r="A93" s="30" t="str">
        <f>IFERROR(__xludf.DUMMYFUNCTION("""COMPUTED_VALUE"""),"RSC007153")</f>
        <v>RSC007153</v>
      </c>
      <c r="B93" s="30" t="str">
        <f>IFERROR(__xludf.DUMMYFUNCTION("""COMPUTED_VALUE"""),"Washyman111670")</f>
        <v>Washyman111670</v>
      </c>
      <c r="C93" s="30" t="str">
        <f>IFERROR(__xludf.DUMMYFUNCTION("""COMPUTED_VALUE"""),"Contender")</f>
        <v>Contender</v>
      </c>
      <c r="D93" s="30" t="str">
        <f>IFERROR(__xludf.DUMMYFUNCTION("""COMPUTED_VALUE"""),"Ice")</f>
        <v>Ice</v>
      </c>
      <c r="E93" s="30" t="str">
        <f>IFERROR(__xludf.DUMMYFUNCTION("""COMPUTED_VALUE"""),"The Elements")</f>
        <v>The Elements</v>
      </c>
      <c r="F93" s="30" t="str">
        <f>IFERROR(__xludf.DUMMYFUNCTION("""COMPUTED_VALUE"""),"Solar")</f>
        <v>Solar</v>
      </c>
      <c r="G93" s="92">
        <f>IFERROR(__xludf.DUMMYFUNCTION("""COMPUTED_VALUE"""),70.95235357047959)</f>
        <v>70.95235357</v>
      </c>
    </row>
    <row r="94">
      <c r="A94" s="30" t="str">
        <f>IFERROR(__xludf.DUMMYFUNCTION("""COMPUTED_VALUE"""),"RSC007885")</f>
        <v>RSC007885</v>
      </c>
      <c r="B94" s="30" t="str">
        <f>IFERROR(__xludf.DUMMYFUNCTION("""COMPUTED_VALUE"""),"Larkspur")</f>
        <v>Larkspur</v>
      </c>
      <c r="C94" s="30" t="str">
        <f>IFERROR(__xludf.DUMMYFUNCTION("""COMPUTED_VALUE"""),"Contender")</f>
        <v>Contender</v>
      </c>
      <c r="D94" s="30" t="str">
        <f>IFERROR(__xludf.DUMMYFUNCTION("""COMPUTED_VALUE"""),"Rheas")</f>
        <v>Rheas</v>
      </c>
      <c r="E94" s="30" t="str">
        <f>IFERROR(__xludf.DUMMYFUNCTION("""COMPUTED_VALUE"""),"Flightless Fowl")</f>
        <v>Flightless Fowl</v>
      </c>
      <c r="F94" s="30" t="str">
        <f>IFERROR(__xludf.DUMMYFUNCTION("""COMPUTED_VALUE"""),"Solar")</f>
        <v>Solar</v>
      </c>
      <c r="G94" s="92">
        <f>IFERROR(__xludf.DUMMYFUNCTION("""COMPUTED_VALUE"""),74.96986684322691)</f>
        <v>74.96986684</v>
      </c>
    </row>
    <row r="95">
      <c r="A95" s="30" t="str">
        <f>IFERROR(__xludf.DUMMYFUNCTION("""COMPUTED_VALUE"""),"RSC007165")</f>
        <v>RSC007165</v>
      </c>
      <c r="B95" s="30" t="str">
        <f>IFERROR(__xludf.DUMMYFUNCTION("""COMPUTED_VALUE"""),"BRG")</f>
        <v>BRG</v>
      </c>
      <c r="C95" s="30" t="str">
        <f>IFERROR(__xludf.DUMMYFUNCTION("""COMPUTED_VALUE"""),"Contender")</f>
        <v>Contender</v>
      </c>
      <c r="D95" s="30" t="str">
        <f>IFERROR(__xludf.DUMMYFUNCTION("""COMPUTED_VALUE"""),"Rheas")</f>
        <v>Rheas</v>
      </c>
      <c r="E95" s="30" t="str">
        <f>IFERROR(__xludf.DUMMYFUNCTION("""COMPUTED_VALUE"""),"Flightless Fowl")</f>
        <v>Flightless Fowl</v>
      </c>
      <c r="F95" s="30" t="str">
        <f>IFERROR(__xludf.DUMMYFUNCTION("""COMPUTED_VALUE"""),"Solar")</f>
        <v>Solar</v>
      </c>
      <c r="G95" s="92">
        <f>IFERROR(__xludf.DUMMYFUNCTION("""COMPUTED_VALUE"""),40.8488186957246)</f>
        <v>40.8488187</v>
      </c>
    </row>
    <row r="96">
      <c r="A96" s="30" t="str">
        <f>IFERROR(__xludf.DUMMYFUNCTION("""COMPUTED_VALUE"""),"RSC007537")</f>
        <v>RSC007537</v>
      </c>
      <c r="B96" s="30" t="str">
        <f>IFERROR(__xludf.DUMMYFUNCTION("""COMPUTED_VALUE"""),"yoshawatt")</f>
        <v>yoshawatt</v>
      </c>
      <c r="C96" s="30" t="str">
        <f>IFERROR(__xludf.DUMMYFUNCTION("""COMPUTED_VALUE"""),"Contender")</f>
        <v>Contender</v>
      </c>
      <c r="D96" s="30" t="str">
        <f>IFERROR(__xludf.DUMMYFUNCTION("""COMPUTED_VALUE"""),"Rheas")</f>
        <v>Rheas</v>
      </c>
      <c r="E96" s="30" t="str">
        <f>IFERROR(__xludf.DUMMYFUNCTION("""COMPUTED_VALUE"""),"Flightless Fowl")</f>
        <v>Flightless Fowl</v>
      </c>
      <c r="F96" s="30" t="str">
        <f>IFERROR(__xludf.DUMMYFUNCTION("""COMPUTED_VALUE"""),"Solar")</f>
        <v>Solar</v>
      </c>
      <c r="G96" s="92">
        <f>IFERROR(__xludf.DUMMYFUNCTION("""COMPUTED_VALUE"""),83.29808871086954)</f>
        <v>83.29808871</v>
      </c>
    </row>
    <row r="97">
      <c r="A97" s="30" t="str">
        <f>IFERROR(__xludf.DUMMYFUNCTION("""COMPUTED_VALUE"""),"RSC007284")</f>
        <v>RSC007284</v>
      </c>
      <c r="B97" s="30" t="str">
        <f>IFERROR(__xludf.DUMMYFUNCTION("""COMPUTED_VALUE"""),"7aco104")</f>
        <v>7aco104</v>
      </c>
      <c r="C97" s="30" t="str">
        <f>IFERROR(__xludf.DUMMYFUNCTION("""COMPUTED_VALUE"""),"Contender")</f>
        <v>Contender</v>
      </c>
      <c r="D97" s="30" t="str">
        <f>IFERROR(__xludf.DUMMYFUNCTION("""COMPUTED_VALUE"""),"Cheese Pizza")</f>
        <v>Cheese Pizza</v>
      </c>
      <c r="E97" s="30" t="str">
        <f>IFERROR(__xludf.DUMMYFUNCTION("""COMPUTED_VALUE"""),"Fifty-Fifty Pizzeria")</f>
        <v>Fifty-Fifty Pizzeria</v>
      </c>
      <c r="F97" s="30" t="str">
        <f>IFERROR(__xludf.DUMMYFUNCTION("""COMPUTED_VALUE"""),"Lunar")</f>
        <v>Lunar</v>
      </c>
      <c r="G97" s="92">
        <f>IFERROR(__xludf.DUMMYFUNCTION("""COMPUTED_VALUE"""),86.29144424492335)</f>
        <v>86.29144424</v>
      </c>
    </row>
    <row r="98">
      <c r="A98" s="30" t="str">
        <f>IFERROR(__xludf.DUMMYFUNCTION("""COMPUTED_VALUE"""),"RSC003223")</f>
        <v>RSC003223</v>
      </c>
      <c r="B98" s="30" t="str">
        <f>IFERROR(__xludf.DUMMYFUNCTION("""COMPUTED_VALUE"""),"AZoroARK")</f>
        <v>AZoroARK</v>
      </c>
      <c r="C98" s="30" t="str">
        <f>IFERROR(__xludf.DUMMYFUNCTION("""COMPUTED_VALUE"""),"Contender")</f>
        <v>Contender</v>
      </c>
      <c r="D98" s="30" t="str">
        <f>IFERROR(__xludf.DUMMYFUNCTION("""COMPUTED_VALUE"""),"Cheese Pizza")</f>
        <v>Cheese Pizza</v>
      </c>
      <c r="E98" s="30" t="str">
        <f>IFERROR(__xludf.DUMMYFUNCTION("""COMPUTED_VALUE"""),"Fifty-Fifty Pizzeria")</f>
        <v>Fifty-Fifty Pizzeria</v>
      </c>
      <c r="F98" s="30" t="str">
        <f>IFERROR(__xludf.DUMMYFUNCTION("""COMPUTED_VALUE"""),"Lunar")</f>
        <v>Lunar</v>
      </c>
      <c r="G98" s="92">
        <f>IFERROR(__xludf.DUMMYFUNCTION("""COMPUTED_VALUE"""),55.9739401182777)</f>
        <v>55.97394012</v>
      </c>
    </row>
    <row r="99">
      <c r="A99" s="30" t="str">
        <f>IFERROR(__xludf.DUMMYFUNCTION("""COMPUTED_VALUE"""),"RSC006640")</f>
        <v>RSC006640</v>
      </c>
      <c r="B99" s="30" t="str">
        <f>IFERROR(__xludf.DUMMYFUNCTION("""COMPUTED_VALUE"""),"VeryBadKittyCat")</f>
        <v>VeryBadKittyCat</v>
      </c>
      <c r="C99" s="30" t="str">
        <f>IFERROR(__xludf.DUMMYFUNCTION("""COMPUTED_VALUE"""),"Contender")</f>
        <v>Contender</v>
      </c>
      <c r="D99" s="30" t="str">
        <f>IFERROR(__xludf.DUMMYFUNCTION("""COMPUTED_VALUE"""),"Cheese Pizza")</f>
        <v>Cheese Pizza</v>
      </c>
      <c r="E99" s="30" t="str">
        <f>IFERROR(__xludf.DUMMYFUNCTION("""COMPUTED_VALUE"""),"Fifty-Fifty Pizzeria")</f>
        <v>Fifty-Fifty Pizzeria</v>
      </c>
      <c r="F99" s="30" t="str">
        <f>IFERROR(__xludf.DUMMYFUNCTION("""COMPUTED_VALUE"""),"Lunar")</f>
        <v>Lunar</v>
      </c>
      <c r="G99" s="92">
        <f>IFERROR(__xludf.DUMMYFUNCTION("""COMPUTED_VALUE"""),75.53817264179911)</f>
        <v>75.53817264</v>
      </c>
    </row>
    <row r="100">
      <c r="A100" s="30" t="str">
        <f>IFERROR(__xludf.DUMMYFUNCTION("""COMPUTED_VALUE"""),"RSC006784")</f>
        <v>RSC006784</v>
      </c>
      <c r="B100" s="30" t="str">
        <f>IFERROR(__xludf.DUMMYFUNCTION("""COMPUTED_VALUE"""),"KittyMeowMeow360")</f>
        <v>KittyMeowMeow360</v>
      </c>
      <c r="C100" s="30" t="str">
        <f>IFERROR(__xludf.DUMMYFUNCTION("""COMPUTED_VALUE"""),"Contender")</f>
        <v>Contender</v>
      </c>
      <c r="D100" s="30" t="str">
        <f>IFERROR(__xludf.DUMMYFUNCTION("""COMPUTED_VALUE"""),"Legionaries")</f>
        <v>Legionaries</v>
      </c>
      <c r="E100" s="30" t="str">
        <f>IFERROR(__xludf.DUMMYFUNCTION("""COMPUTED_VALUE"""),"The Sovereign")</f>
        <v>The Sovereign</v>
      </c>
      <c r="F100" s="30" t="str">
        <f>IFERROR(__xludf.DUMMYFUNCTION("""COMPUTED_VALUE"""),"Lunar")</f>
        <v>Lunar</v>
      </c>
      <c r="G100" s="92">
        <f>IFERROR(__xludf.DUMMYFUNCTION("""COMPUTED_VALUE"""),34.949109679835296)</f>
        <v>34.94910968</v>
      </c>
    </row>
    <row r="101">
      <c r="A101" s="30" t="str">
        <f>IFERROR(__xludf.DUMMYFUNCTION("""COMPUTED_VALUE"""),"RSC006441")</f>
        <v>RSC006441</v>
      </c>
      <c r="B101" s="30" t="str">
        <f>IFERROR(__xludf.DUMMYFUNCTION("""COMPUTED_VALUE"""),"tvitchyramrod420")</f>
        <v>tvitchyramrod420</v>
      </c>
      <c r="C101" s="30" t="str">
        <f>IFERROR(__xludf.DUMMYFUNCTION("""COMPUTED_VALUE"""),"Contender")</f>
        <v>Contender</v>
      </c>
      <c r="D101" s="30" t="str">
        <f>IFERROR(__xludf.DUMMYFUNCTION("""COMPUTED_VALUE"""),"Legionaries")</f>
        <v>Legionaries</v>
      </c>
      <c r="E101" s="30" t="str">
        <f>IFERROR(__xludf.DUMMYFUNCTION("""COMPUTED_VALUE"""),"The Sovereign")</f>
        <v>The Sovereign</v>
      </c>
      <c r="F101" s="30" t="str">
        <f>IFERROR(__xludf.DUMMYFUNCTION("""COMPUTED_VALUE"""),"Lunar")</f>
        <v>Lunar</v>
      </c>
      <c r="G101" s="92">
        <f>IFERROR(__xludf.DUMMYFUNCTION("""COMPUTED_VALUE"""),28.927634850120263)</f>
        <v>28.92763485</v>
      </c>
    </row>
    <row r="102">
      <c r="A102" s="30" t="str">
        <f>IFERROR(__xludf.DUMMYFUNCTION("""COMPUTED_VALUE"""),"RSC004509")</f>
        <v>RSC004509</v>
      </c>
      <c r="B102" s="30" t="str">
        <f>IFERROR(__xludf.DUMMYFUNCTION("""COMPUTED_VALUE"""),"tazlien")</f>
        <v>tazlien</v>
      </c>
      <c r="C102" s="30" t="str">
        <f>IFERROR(__xludf.DUMMYFUNCTION("""COMPUTED_VALUE"""),"Contender")</f>
        <v>Contender</v>
      </c>
      <c r="D102" s="30" t="str">
        <f>IFERROR(__xludf.DUMMYFUNCTION("""COMPUTED_VALUE"""),"Zebras
Rad Lads
Legionaries")</f>
        <v>Zebras
Rad Lads
Legionaries</v>
      </c>
      <c r="E102" s="30" t="str">
        <f>IFERROR(__xludf.DUMMYFUNCTION("""COMPUTED_VALUE"""),"Safari
Vibe Tribe
The Sovereign")</f>
        <v>Safari
Vibe Tribe
The Sovereign</v>
      </c>
      <c r="F102" s="30" t="str">
        <f>IFERROR(__xludf.DUMMYFUNCTION("""COMPUTED_VALUE"""),"Lunar")</f>
        <v>Lunar</v>
      </c>
      <c r="G102" s="92">
        <f>IFERROR(__xludf.DUMMYFUNCTION("""COMPUTED_VALUE"""),44.619278306415616)</f>
        <v>44.61927831</v>
      </c>
    </row>
    <row r="103">
      <c r="A103" s="30" t="str">
        <f>IFERROR(__xludf.DUMMYFUNCTION("""COMPUTED_VALUE"""),"RSC007635")</f>
        <v>RSC007635</v>
      </c>
      <c r="B103" s="30" t="str">
        <f>IFERROR(__xludf.DUMMYFUNCTION("""COMPUTED_VALUE"""),"MungsApprentice")</f>
        <v>MungsApprentice</v>
      </c>
      <c r="C103" s="30" t="str">
        <f>IFERROR(__xludf.DUMMYFUNCTION("""COMPUTED_VALUE"""),"Contender")</f>
        <v>Contender</v>
      </c>
      <c r="D103" s="30" t="str">
        <f>IFERROR(__xludf.DUMMYFUNCTION("""COMPUTED_VALUE"""),"Ice")</f>
        <v>Ice</v>
      </c>
      <c r="E103" s="30" t="str">
        <f>IFERROR(__xludf.DUMMYFUNCTION("""COMPUTED_VALUE"""),"The Elements")</f>
        <v>The Elements</v>
      </c>
      <c r="F103" s="30" t="str">
        <f>IFERROR(__xludf.DUMMYFUNCTION("""COMPUTED_VALUE"""),"Solar")</f>
        <v>Solar</v>
      </c>
      <c r="G103" s="92">
        <f>IFERROR(__xludf.DUMMYFUNCTION("""COMPUTED_VALUE"""),23.646778361473913)</f>
        <v>23.64677836</v>
      </c>
    </row>
    <row r="104">
      <c r="A104" s="30" t="str">
        <f>IFERROR(__xludf.DUMMYFUNCTION("""COMPUTED_VALUE"""),"RSC006381")</f>
        <v>RSC006381</v>
      </c>
      <c r="B104" s="30" t="str">
        <f>IFERROR(__xludf.DUMMYFUNCTION("""COMPUTED_VALUE"""),"YERP_YERP02")</f>
        <v>YERP_YERP02</v>
      </c>
      <c r="C104" s="30" t="str">
        <f>IFERROR(__xludf.DUMMYFUNCTION("""COMPUTED_VALUE"""),"Contender")</f>
        <v>Contender</v>
      </c>
      <c r="D104" s="30" t="str">
        <f>IFERROR(__xludf.DUMMYFUNCTION("""COMPUTED_VALUE"""),"Rad Lads")</f>
        <v>Rad Lads</v>
      </c>
      <c r="E104" s="30" t="str">
        <f>IFERROR(__xludf.DUMMYFUNCTION("""COMPUTED_VALUE"""),"Vibe Tribe")</f>
        <v>Vibe Tribe</v>
      </c>
      <c r="F104" s="30" t="str">
        <f>IFERROR(__xludf.DUMMYFUNCTION("""COMPUTED_VALUE"""),"Lunar")</f>
        <v>Lunar</v>
      </c>
      <c r="G104" s="92">
        <f>IFERROR(__xludf.DUMMYFUNCTION("""COMPUTED_VALUE"""),54.867106319040104)</f>
        <v>54.86710632</v>
      </c>
    </row>
    <row r="105">
      <c r="A105" s="30" t="str">
        <f>IFERROR(__xludf.DUMMYFUNCTION("""COMPUTED_VALUE"""),"RSC005974")</f>
        <v>RSC005974</v>
      </c>
      <c r="B105" s="30" t="str">
        <f>IFERROR(__xludf.DUMMYFUNCTION("""COMPUTED_VALUE"""),"Angry-Hermit")</f>
        <v>Angry-Hermit</v>
      </c>
      <c r="C105" s="30" t="str">
        <f>IFERROR(__xludf.DUMMYFUNCTION("""COMPUTED_VALUE"""),"Contender")</f>
        <v>Contender</v>
      </c>
      <c r="D105" s="30" t="str">
        <f>IFERROR(__xludf.DUMMYFUNCTION("""COMPUTED_VALUE"""),"Devoured")</f>
        <v>Devoured</v>
      </c>
      <c r="E105" s="30" t="str">
        <f>IFERROR(__xludf.DUMMYFUNCTION("""COMPUTED_VALUE"""),"Destined")</f>
        <v>Destined</v>
      </c>
      <c r="F105" s="30" t="str">
        <f>IFERROR(__xludf.DUMMYFUNCTION("""COMPUTED_VALUE"""),"Solar")</f>
        <v>Solar</v>
      </c>
      <c r="G105" s="92">
        <f>IFERROR(__xludf.DUMMYFUNCTION("""COMPUTED_VALUE"""),44.12820606935352)</f>
        <v>44.12820607</v>
      </c>
    </row>
    <row r="106">
      <c r="A106" s="30" t="str">
        <f>IFERROR(__xludf.DUMMYFUNCTION("""COMPUTED_VALUE"""),"RSC007520")</f>
        <v>RSC007520</v>
      </c>
      <c r="B106" s="30" t="str">
        <f>IFERROR(__xludf.DUMMYFUNCTION("""COMPUTED_VALUE"""),"Blitzzzzz.")</f>
        <v>Blitzzzzz.</v>
      </c>
      <c r="C106" s="30" t="str">
        <f>IFERROR(__xludf.DUMMYFUNCTION("""COMPUTED_VALUE"""),"Contender")</f>
        <v>Contender</v>
      </c>
      <c r="D106" s="30" t="str">
        <f>IFERROR(__xludf.DUMMYFUNCTION("""COMPUTED_VALUE"""),"Devoured")</f>
        <v>Devoured</v>
      </c>
      <c r="E106" s="30" t="str">
        <f>IFERROR(__xludf.DUMMYFUNCTION("""COMPUTED_VALUE"""),"Destined")</f>
        <v>Destined</v>
      </c>
      <c r="F106" s="30" t="str">
        <f>IFERROR(__xludf.DUMMYFUNCTION("""COMPUTED_VALUE"""),"Solar")</f>
        <v>Solar</v>
      </c>
      <c r="G106" s="92">
        <f>IFERROR(__xludf.DUMMYFUNCTION("""COMPUTED_VALUE"""),66.68071481586094)</f>
        <v>66.68071482</v>
      </c>
    </row>
    <row r="107">
      <c r="A107" s="30" t="str">
        <f>IFERROR(__xludf.DUMMYFUNCTION("""COMPUTED_VALUE"""),"RSC005759")</f>
        <v>RSC005759</v>
      </c>
      <c r="B107" s="30" t="str">
        <f>IFERROR(__xludf.DUMMYFUNCTION("""COMPUTED_VALUE"""),"XerNaut")</f>
        <v>XerNaut</v>
      </c>
      <c r="C107" s="30" t="str">
        <f>IFERROR(__xludf.DUMMYFUNCTION("""COMPUTED_VALUE"""),"Contender")</f>
        <v>Contender</v>
      </c>
      <c r="D107" s="30" t="str">
        <f>IFERROR(__xludf.DUMMYFUNCTION("""COMPUTED_VALUE"""),"Devoured")</f>
        <v>Devoured</v>
      </c>
      <c r="E107" s="30" t="str">
        <f>IFERROR(__xludf.DUMMYFUNCTION("""COMPUTED_VALUE"""),"Destined")</f>
        <v>Destined</v>
      </c>
      <c r="F107" s="30" t="str">
        <f>IFERROR(__xludf.DUMMYFUNCTION("""COMPUTED_VALUE"""),"Solar")</f>
        <v>Solar</v>
      </c>
      <c r="G107" s="92">
        <f>IFERROR(__xludf.DUMMYFUNCTION("""COMPUTED_VALUE"""),64.58132515595429)</f>
        <v>64.58132516</v>
      </c>
    </row>
    <row r="108">
      <c r="A108" s="30" t="str">
        <f>IFERROR(__xludf.DUMMYFUNCTION("""COMPUTED_VALUE"""),"RSC006817")</f>
        <v>RSC006817</v>
      </c>
      <c r="B108" s="30" t="str">
        <f>IFERROR(__xludf.DUMMYFUNCTION("""COMPUTED_VALUE"""),"Froz3nSlack5r")</f>
        <v>Froz3nSlack5r</v>
      </c>
      <c r="C108" s="30" t="str">
        <f>IFERROR(__xludf.DUMMYFUNCTION("""COMPUTED_VALUE"""),"Contender")</f>
        <v>Contender</v>
      </c>
      <c r="D108" s="30" t="str">
        <f>IFERROR(__xludf.DUMMYFUNCTION("""COMPUTED_VALUE"""),"Celestial Cider
Toothpaste")</f>
        <v>Celestial Cider
Toothpaste</v>
      </c>
      <c r="E108" s="30" t="str">
        <f>IFERROR(__xludf.DUMMYFUNCTION("""COMPUTED_VALUE"""),"5 O'clock Nowhere
Minty Fresh")</f>
        <v>5 O'clock Nowhere
Minty Fresh</v>
      </c>
      <c r="F108" s="30" t="str">
        <f>IFERROR(__xludf.DUMMYFUNCTION("""COMPUTED_VALUE"""),"Solar")</f>
        <v>Solar</v>
      </c>
      <c r="G108" s="92">
        <f>IFERROR(__xludf.DUMMYFUNCTION("""COMPUTED_VALUE"""),48.39566545825899)</f>
        <v>48.39566546</v>
      </c>
    </row>
    <row r="109">
      <c r="A109" s="30" t="str">
        <f>IFERROR(__xludf.DUMMYFUNCTION("""COMPUTED_VALUE"""),"RSC000323")</f>
        <v>RSC000323</v>
      </c>
      <c r="B109" s="30" t="str">
        <f>IFERROR(__xludf.DUMMYFUNCTION("""COMPUTED_VALUE"""),"Styk75")</f>
        <v>Styk75</v>
      </c>
      <c r="C109" s="30" t="str">
        <f>IFERROR(__xludf.DUMMYFUNCTION("""COMPUTED_VALUE"""),"Contender")</f>
        <v>Contender</v>
      </c>
      <c r="D109" s="30" t="str">
        <f>IFERROR(__xludf.DUMMYFUNCTION("""COMPUTED_VALUE"""),"Legionaries
Toothpaste")</f>
        <v>Legionaries
Toothpaste</v>
      </c>
      <c r="E109" s="30" t="str">
        <f>IFERROR(__xludf.DUMMYFUNCTION("""COMPUTED_VALUE"""),"The Sovereign
Minty Fresh")</f>
        <v>The Sovereign
Minty Fresh</v>
      </c>
      <c r="F109" s="30" t="str">
        <f>IFERROR(__xludf.DUMMYFUNCTION("""COMPUTED_VALUE"""),"Solar")</f>
        <v>Solar</v>
      </c>
      <c r="G109" s="92">
        <f>IFERROR(__xludf.DUMMYFUNCTION("""COMPUTED_VALUE"""),11.150487667944368)</f>
        <v>11.15048767</v>
      </c>
    </row>
    <row r="110">
      <c r="A110" s="30" t="str">
        <f>IFERROR(__xludf.DUMMYFUNCTION("""COMPUTED_VALUE"""),"RSC005870")</f>
        <v>RSC005870</v>
      </c>
      <c r="B110" s="30" t="str">
        <f>IFERROR(__xludf.DUMMYFUNCTION("""COMPUTED_VALUE"""),"Evil twin")</f>
        <v>Evil twin</v>
      </c>
      <c r="C110" s="30" t="str">
        <f>IFERROR(__xludf.DUMMYFUNCTION("""COMPUTED_VALUE"""),"Contender")</f>
        <v>Contender</v>
      </c>
      <c r="D110" s="30" t="str">
        <f>IFERROR(__xludf.DUMMYFUNCTION("""COMPUTED_VALUE"""),"Toothpaste")</f>
        <v>Toothpaste</v>
      </c>
      <c r="E110" s="30" t="str">
        <f>IFERROR(__xludf.DUMMYFUNCTION("""COMPUTED_VALUE"""),"Minty Fresh")</f>
        <v>Minty Fresh</v>
      </c>
      <c r="F110" s="30" t="str">
        <f>IFERROR(__xludf.DUMMYFUNCTION("""COMPUTED_VALUE"""),"Solar")</f>
        <v>Solar</v>
      </c>
      <c r="G110" s="92">
        <f>IFERROR(__xludf.DUMMYFUNCTION("""COMPUTED_VALUE"""),38.5964434808315)</f>
        <v>38.59644348</v>
      </c>
    </row>
    <row r="111">
      <c r="A111" s="30" t="str">
        <f>IFERROR(__xludf.DUMMYFUNCTION("""COMPUTED_VALUE"""),"RSC004708")</f>
        <v>RSC004708</v>
      </c>
      <c r="B111" s="30" t="str">
        <f>IFERROR(__xludf.DUMMYFUNCTION("""COMPUTED_VALUE"""),"loganskito")</f>
        <v>loganskito</v>
      </c>
      <c r="C111" s="30" t="str">
        <f>IFERROR(__xludf.DUMMYFUNCTION("""COMPUTED_VALUE"""),"Contender")</f>
        <v>Contender</v>
      </c>
      <c r="D111" s="30" t="str">
        <f>IFERROR(__xludf.DUMMYFUNCTION("""COMPUTED_VALUE"""),"Legionaries")</f>
        <v>Legionaries</v>
      </c>
      <c r="E111" s="30" t="str">
        <f>IFERROR(__xludf.DUMMYFUNCTION("""COMPUTED_VALUE"""),"The Sovereign")</f>
        <v>The Sovereign</v>
      </c>
      <c r="F111" s="30" t="str">
        <f>IFERROR(__xludf.DUMMYFUNCTION("""COMPUTED_VALUE"""),"Lunar")</f>
        <v>Lunar</v>
      </c>
      <c r="G111" s="92">
        <f>IFERROR(__xludf.DUMMYFUNCTION("""COMPUTED_VALUE"""),46.55679305699659)</f>
        <v>46.55679306</v>
      </c>
    </row>
    <row r="112">
      <c r="A112" s="30" t="str">
        <f>IFERROR(__xludf.DUMMYFUNCTION("""COMPUTED_VALUE"""),"RSC007271")</f>
        <v>RSC007271</v>
      </c>
      <c r="B112" s="30" t="str">
        <f>IFERROR(__xludf.DUMMYFUNCTION("""COMPUTED_VALUE"""),"Darth. -.-")</f>
        <v>Darth. -.-</v>
      </c>
      <c r="C112" s="30" t="str">
        <f>IFERROR(__xludf.DUMMYFUNCTION("""COMPUTED_VALUE"""),"Contender")</f>
        <v>Contender</v>
      </c>
      <c r="D112" s="30" t="str">
        <f>IFERROR(__xludf.DUMMYFUNCTION("""COMPUTED_VALUE"""),"Toothpaste")</f>
        <v>Toothpaste</v>
      </c>
      <c r="E112" s="30" t="str">
        <f>IFERROR(__xludf.DUMMYFUNCTION("""COMPUTED_VALUE"""),"Minty Fresh")</f>
        <v>Minty Fresh</v>
      </c>
      <c r="F112" s="30" t="str">
        <f>IFERROR(__xludf.DUMMYFUNCTION("""COMPUTED_VALUE"""),"Solar")</f>
        <v>Solar</v>
      </c>
      <c r="G112" s="92">
        <f>IFERROR(__xludf.DUMMYFUNCTION("""COMPUTED_VALUE"""),44.450125306737434)</f>
        <v>44.45012531</v>
      </c>
    </row>
    <row r="113">
      <c r="A113" s="30" t="str">
        <f>IFERROR(__xludf.DUMMYFUNCTION("""COMPUTED_VALUE"""),"RSC006024")</f>
        <v>RSC006024</v>
      </c>
      <c r="B113" s="30" t="str">
        <f>IFERROR(__xludf.DUMMYFUNCTION("""COMPUTED_VALUE"""),"DrizzyDaDizzy")</f>
        <v>DrizzyDaDizzy</v>
      </c>
      <c r="C113" s="30" t="str">
        <f>IFERROR(__xludf.DUMMYFUNCTION("""COMPUTED_VALUE"""),"Contender")</f>
        <v>Contender</v>
      </c>
      <c r="D113" s="30" t="str">
        <f>IFERROR(__xludf.DUMMYFUNCTION("""COMPUTED_VALUE"""),"Devoured")</f>
        <v>Devoured</v>
      </c>
      <c r="E113" s="30" t="str">
        <f>IFERROR(__xludf.DUMMYFUNCTION("""COMPUTED_VALUE"""),"Destined")</f>
        <v>Destined</v>
      </c>
      <c r="F113" s="30" t="str">
        <f>IFERROR(__xludf.DUMMYFUNCTION("""COMPUTED_VALUE"""),"Solar")</f>
        <v>Solar</v>
      </c>
      <c r="G113" s="92">
        <f>IFERROR(__xludf.DUMMYFUNCTION("""COMPUTED_VALUE"""),24.672940207614385)</f>
        <v>24.67294021</v>
      </c>
    </row>
    <row r="114">
      <c r="A114" s="30" t="str">
        <f>IFERROR(__xludf.DUMMYFUNCTION("""COMPUTED_VALUE"""),"RSC000963")</f>
        <v>RSC000963</v>
      </c>
      <c r="B114" s="30" t="str">
        <f>IFERROR(__xludf.DUMMYFUNCTION("""COMPUTED_VALUE"""),"Sup3rm4n")</f>
        <v>Sup3rm4n</v>
      </c>
      <c r="C114" s="30" t="str">
        <f>IFERROR(__xludf.DUMMYFUNCTION("""COMPUTED_VALUE"""),"Contender")</f>
        <v>Contender</v>
      </c>
      <c r="D114" s="30" t="str">
        <f>IFERROR(__xludf.DUMMYFUNCTION("""COMPUTED_VALUE"""),"Rheas")</f>
        <v>Rheas</v>
      </c>
      <c r="E114" s="30" t="str">
        <f>IFERROR(__xludf.DUMMYFUNCTION("""COMPUTED_VALUE"""),"Flightless Fowl")</f>
        <v>Flightless Fowl</v>
      </c>
      <c r="F114" s="30" t="str">
        <f>IFERROR(__xludf.DUMMYFUNCTION("""COMPUTED_VALUE"""),"Solar")</f>
        <v>Solar</v>
      </c>
      <c r="G114" s="92">
        <f>IFERROR(__xludf.DUMMYFUNCTION("""COMPUTED_VALUE"""),42.64326096084342)</f>
        <v>42.64326096</v>
      </c>
    </row>
    <row r="115">
      <c r="A115" s="30" t="str">
        <f>IFERROR(__xludf.DUMMYFUNCTION("""COMPUTED_VALUE"""),"RSC007203")</f>
        <v>RSC007203</v>
      </c>
      <c r="B115" s="30" t="str">
        <f>IFERROR(__xludf.DUMMYFUNCTION("""COMPUTED_VALUE"""),"CoachJimmy_TECT")</f>
        <v>CoachJimmy_TECT</v>
      </c>
      <c r="C115" s="30" t="str">
        <f>IFERROR(__xludf.DUMMYFUNCTION("""COMPUTED_VALUE"""),"Contender")</f>
        <v>Contender</v>
      </c>
      <c r="D115" s="30" t="str">
        <f>IFERROR(__xludf.DUMMYFUNCTION("""COMPUTED_VALUE"""),"Celestial Cider")</f>
        <v>Celestial Cider</v>
      </c>
      <c r="E115" s="30" t="str">
        <f>IFERROR(__xludf.DUMMYFUNCTION("""COMPUTED_VALUE"""),"5 O'clock Nowhere")</f>
        <v>5 O'clock Nowhere</v>
      </c>
      <c r="F115" s="30" t="str">
        <f>IFERROR(__xludf.DUMMYFUNCTION("""COMPUTED_VALUE"""),"Solar")</f>
        <v>Solar</v>
      </c>
      <c r="G115" s="92">
        <f>IFERROR(__xludf.DUMMYFUNCTION("""COMPUTED_VALUE"""),59.54313892910422)</f>
        <v>59.54313893</v>
      </c>
    </row>
    <row r="116">
      <c r="A116" s="30" t="str">
        <f>IFERROR(__xludf.DUMMYFUNCTION("""COMPUTED_VALUE"""),"RSC007538")</f>
        <v>RSC007538</v>
      </c>
      <c r="B116" s="30" t="str">
        <f>IFERROR(__xludf.DUMMYFUNCTION("""COMPUTED_VALUE"""),"FattyMcChef04")</f>
        <v>FattyMcChef04</v>
      </c>
      <c r="C116" s="30" t="str">
        <f>IFERROR(__xludf.DUMMYFUNCTION("""COMPUTED_VALUE"""),"Contender")</f>
        <v>Contender</v>
      </c>
      <c r="D116" s="30" t="str">
        <f>IFERROR(__xludf.DUMMYFUNCTION("""COMPUTED_VALUE"""),"Cheese Pizza")</f>
        <v>Cheese Pizza</v>
      </c>
      <c r="E116" s="30" t="str">
        <f>IFERROR(__xludf.DUMMYFUNCTION("""COMPUTED_VALUE"""),"Fifty-Fifty Pizzeria")</f>
        <v>Fifty-Fifty Pizzeria</v>
      </c>
      <c r="F116" s="30" t="str">
        <f>IFERROR(__xludf.DUMMYFUNCTION("""COMPUTED_VALUE"""),"Lunar")</f>
        <v>Lunar</v>
      </c>
      <c r="G116" s="92">
        <f>IFERROR(__xludf.DUMMYFUNCTION("""COMPUTED_VALUE"""),21.93426079423894)</f>
        <v>21.93426079</v>
      </c>
    </row>
    <row r="117">
      <c r="A117" s="30" t="str">
        <f>IFERROR(__xludf.DUMMYFUNCTION("""COMPUTED_VALUE"""),"RSC006439")</f>
        <v>RSC006439</v>
      </c>
      <c r="B117" s="30" t="str">
        <f>IFERROR(__xludf.DUMMYFUNCTION("""COMPUTED_VALUE"""),"sel_en_ium")</f>
        <v>sel_en_ium</v>
      </c>
      <c r="C117" s="30" t="str">
        <f>IFERROR(__xludf.DUMMYFUNCTION("""COMPUTED_VALUE"""),"Contender")</f>
        <v>Contender</v>
      </c>
      <c r="D117" s="30" t="str">
        <f>IFERROR(__xludf.DUMMYFUNCTION("""COMPUTED_VALUE"""),"Cheese Pizza")</f>
        <v>Cheese Pizza</v>
      </c>
      <c r="E117" s="30" t="str">
        <f>IFERROR(__xludf.DUMMYFUNCTION("""COMPUTED_VALUE"""),"Fifty-Fifty Pizzeria")</f>
        <v>Fifty-Fifty Pizzeria</v>
      </c>
      <c r="F117" s="30" t="str">
        <f>IFERROR(__xludf.DUMMYFUNCTION("""COMPUTED_VALUE"""),"Lunar")</f>
        <v>Lunar</v>
      </c>
      <c r="G117" s="92">
        <f>IFERROR(__xludf.DUMMYFUNCTION("""COMPUTED_VALUE"""),98.33068682153464)</f>
        <v>98.33068682</v>
      </c>
    </row>
    <row r="118">
      <c r="A118" s="30" t="str">
        <f>IFERROR(__xludf.DUMMYFUNCTION("""COMPUTED_VALUE"""),"RSC005527")</f>
        <v>RSC005527</v>
      </c>
      <c r="B118" s="30" t="str">
        <f>IFERROR(__xludf.DUMMYFUNCTION("""COMPUTED_VALUE"""),"Colossus4203316")</f>
        <v>Colossus4203316</v>
      </c>
      <c r="C118" s="30" t="str">
        <f>IFERROR(__xludf.DUMMYFUNCTION("""COMPUTED_VALUE"""),"Contender")</f>
        <v>Contender</v>
      </c>
      <c r="D118" s="30" t="str">
        <f>IFERROR(__xludf.DUMMYFUNCTION("""COMPUTED_VALUE"""),"Zebras")</f>
        <v>Zebras</v>
      </c>
      <c r="E118" s="30" t="str">
        <f>IFERROR(__xludf.DUMMYFUNCTION("""COMPUTED_VALUE"""),"Safari")</f>
        <v>Safari</v>
      </c>
      <c r="F118" s="30" t="str">
        <f>IFERROR(__xludf.DUMMYFUNCTION("""COMPUTED_VALUE"""),"Lunar")</f>
        <v>Lunar</v>
      </c>
      <c r="G118" s="92">
        <f>IFERROR(__xludf.DUMMYFUNCTION("""COMPUTED_VALUE"""),0.9810903179639112)</f>
        <v>0.981090318</v>
      </c>
    </row>
    <row r="119">
      <c r="A119" s="30" t="str">
        <f>IFERROR(__xludf.DUMMYFUNCTION("""COMPUTED_VALUE"""),"RSC007513")</f>
        <v>RSC007513</v>
      </c>
      <c r="B119" s="30" t="str">
        <f>IFERROR(__xludf.DUMMYFUNCTION("""COMPUTED_VALUE"""),"Russ")</f>
        <v>Russ</v>
      </c>
      <c r="C119" s="30" t="str">
        <f>IFERROR(__xludf.DUMMYFUNCTION("""COMPUTED_VALUE"""),"Contender")</f>
        <v>Contender</v>
      </c>
      <c r="D119" s="30" t="str">
        <f>IFERROR(__xludf.DUMMYFUNCTION("""COMPUTED_VALUE"""),"Toothpaste
Cheese Pizza")</f>
        <v>Toothpaste
Cheese Pizza</v>
      </c>
      <c r="E119" s="30" t="str">
        <f>IFERROR(__xludf.DUMMYFUNCTION("""COMPUTED_VALUE"""),"Minty Fresh
Fifty-Fifty Pizzeria")</f>
        <v>Minty Fresh
Fifty-Fifty Pizzeria</v>
      </c>
      <c r="F119" s="30" t="str">
        <f>IFERROR(__xludf.DUMMYFUNCTION("""COMPUTED_VALUE"""),"Solar")</f>
        <v>Solar</v>
      </c>
      <c r="G119" s="92">
        <f>IFERROR(__xludf.DUMMYFUNCTION("""COMPUTED_VALUE"""),32.47407592947047)</f>
        <v>32.47407593</v>
      </c>
    </row>
    <row r="120">
      <c r="A120" s="30" t="str">
        <f>IFERROR(__xludf.DUMMYFUNCTION("""COMPUTED_VALUE"""),"RSC005714")</f>
        <v>RSC005714</v>
      </c>
      <c r="B120" s="30" t="str">
        <f>IFERROR(__xludf.DUMMYFUNCTION("""COMPUTED_VALUE"""),"T_i_m_o_g")</f>
        <v>T_i_m_o_g</v>
      </c>
      <c r="C120" s="30" t="str">
        <f>IFERROR(__xludf.DUMMYFUNCTION("""COMPUTED_VALUE"""),"Contender")</f>
        <v>Contender</v>
      </c>
      <c r="D120" s="30" t="str">
        <f>IFERROR(__xludf.DUMMYFUNCTION("""COMPUTED_VALUE"""),"Legionaries")</f>
        <v>Legionaries</v>
      </c>
      <c r="E120" s="30" t="str">
        <f>IFERROR(__xludf.DUMMYFUNCTION("""COMPUTED_VALUE"""),"The Sovereign")</f>
        <v>The Sovereign</v>
      </c>
      <c r="F120" s="30" t="str">
        <f>IFERROR(__xludf.DUMMYFUNCTION("""COMPUTED_VALUE"""),"Lunar")</f>
        <v>Lunar</v>
      </c>
      <c r="G120" s="92">
        <f>IFERROR(__xludf.DUMMYFUNCTION("""COMPUTED_VALUE"""),23.967986587835405)</f>
        <v>23.96798659</v>
      </c>
    </row>
    <row r="121">
      <c r="A121" s="30" t="str">
        <f>IFERROR(__xludf.DUMMYFUNCTION("""COMPUTED_VALUE"""),"RSC000989")</f>
        <v>RSC000989</v>
      </c>
      <c r="B121" s="30" t="str">
        <f>IFERROR(__xludf.DUMMYFUNCTION("""COMPUTED_VALUE"""),"Piky Life88")</f>
        <v>Piky Life88</v>
      </c>
      <c r="C121" s="30" t="str">
        <f>IFERROR(__xludf.DUMMYFUNCTION("""COMPUTED_VALUE"""),"Contender")</f>
        <v>Contender</v>
      </c>
      <c r="D121" s="30" t="str">
        <f>IFERROR(__xludf.DUMMYFUNCTION("""COMPUTED_VALUE"""),"Devoured
Clover")</f>
        <v>Devoured
Clover</v>
      </c>
      <c r="E121" s="30" t="str">
        <f>IFERROR(__xludf.DUMMYFUNCTION("""COMPUTED_VALUE"""),"Destined
Flower Road")</f>
        <v>Destined
Flower Road</v>
      </c>
      <c r="F121" s="30" t="str">
        <f>IFERROR(__xludf.DUMMYFUNCTION("""COMPUTED_VALUE"""),"Solar")</f>
        <v>Solar</v>
      </c>
      <c r="G121" s="92">
        <f>IFERROR(__xludf.DUMMYFUNCTION("""COMPUTED_VALUE"""),36.71395384360378)</f>
        <v>36.71395384</v>
      </c>
    </row>
    <row r="122">
      <c r="A122" s="30" t="str">
        <f>IFERROR(__xludf.DUMMYFUNCTION("""COMPUTED_VALUE"""),"RSC006779")</f>
        <v>RSC006779</v>
      </c>
      <c r="B122" s="30" t="str">
        <f>IFERROR(__xludf.DUMMYFUNCTION("""COMPUTED_VALUE"""),"I am CANDYMAN")</f>
        <v>I am CANDYMAN</v>
      </c>
      <c r="C122" s="30" t="str">
        <f>IFERROR(__xludf.DUMMYFUNCTION("""COMPUTED_VALUE"""),"Contender")</f>
        <v>Contender</v>
      </c>
      <c r="D122" s="30" t="str">
        <f>IFERROR(__xludf.DUMMYFUNCTION("""COMPUTED_VALUE"""),"Legionaries")</f>
        <v>Legionaries</v>
      </c>
      <c r="E122" s="30" t="str">
        <f>IFERROR(__xludf.DUMMYFUNCTION("""COMPUTED_VALUE"""),"The Sovereign")</f>
        <v>The Sovereign</v>
      </c>
      <c r="F122" s="30" t="str">
        <f>IFERROR(__xludf.DUMMYFUNCTION("""COMPUTED_VALUE"""),"Lunar")</f>
        <v>Lunar</v>
      </c>
      <c r="G122" s="92">
        <f>IFERROR(__xludf.DUMMYFUNCTION("""COMPUTED_VALUE"""),39.137038068853485)</f>
        <v>39.13703807</v>
      </c>
    </row>
    <row r="123">
      <c r="A123" s="30" t="str">
        <f>IFERROR(__xludf.DUMMYFUNCTION("""COMPUTED_VALUE"""),"RSC001765")</f>
        <v>RSC001765</v>
      </c>
      <c r="B123" s="30" t="str">
        <f>IFERROR(__xludf.DUMMYFUNCTION("""COMPUTED_VALUE"""),"Trios")</f>
        <v>Trios</v>
      </c>
      <c r="C123" s="30" t="str">
        <f>IFERROR(__xludf.DUMMYFUNCTION("""COMPUTED_VALUE"""),"Contender")</f>
        <v>Contender</v>
      </c>
      <c r="D123" s="30" t="str">
        <f>IFERROR(__xludf.DUMMYFUNCTION("""COMPUTED_VALUE"""),"Toothpaste")</f>
        <v>Toothpaste</v>
      </c>
      <c r="E123" s="30" t="str">
        <f>IFERROR(__xludf.DUMMYFUNCTION("""COMPUTED_VALUE"""),"Minty Fresh")</f>
        <v>Minty Fresh</v>
      </c>
      <c r="F123" s="30" t="str">
        <f>IFERROR(__xludf.DUMMYFUNCTION("""COMPUTED_VALUE"""),"Solar")</f>
        <v>Solar</v>
      </c>
      <c r="G123" s="92">
        <f>IFERROR(__xludf.DUMMYFUNCTION("""COMPUTED_VALUE"""),24.06145924512281)</f>
        <v>24.06145925</v>
      </c>
    </row>
    <row r="124">
      <c r="A124" s="30" t="str">
        <f>IFERROR(__xludf.DUMMYFUNCTION("""COMPUTED_VALUE"""),"RSC007621")</f>
        <v>RSC007621</v>
      </c>
      <c r="B124" s="30" t="str">
        <f>IFERROR(__xludf.DUMMYFUNCTION("""COMPUTED_VALUE"""),"Classy-God57")</f>
        <v>Classy-God57</v>
      </c>
      <c r="C124" s="30" t="str">
        <f>IFERROR(__xludf.DUMMYFUNCTION("""COMPUTED_VALUE"""),"Amateur")</f>
        <v>Amateur</v>
      </c>
      <c r="D124" s="30" t="str">
        <f>IFERROR(__xludf.DUMMYFUNCTION("""COMPUTED_VALUE"""),"Winter Fresh")</f>
        <v>Winter Fresh</v>
      </c>
      <c r="E124" s="30" t="str">
        <f>IFERROR(__xludf.DUMMYFUNCTION("""COMPUTED_VALUE"""),"Minty Fresh")</f>
        <v>Minty Fresh</v>
      </c>
      <c r="F124" s="30" t="str">
        <f>IFERROR(__xludf.DUMMYFUNCTION("""COMPUTED_VALUE"""),"N/A")</f>
        <v>N/A</v>
      </c>
      <c r="G124" s="92">
        <f>IFERROR(__xludf.DUMMYFUNCTION("""COMPUTED_VALUE"""),65.39305976787477)</f>
        <v>65.39305977</v>
      </c>
    </row>
    <row r="125">
      <c r="A125" s="30" t="str">
        <f>IFERROR(__xludf.DUMMYFUNCTION("""COMPUTED_VALUE"""),"RSC007875")</f>
        <v>RSC007875</v>
      </c>
      <c r="B125" s="30" t="str">
        <f>IFERROR(__xludf.DUMMYFUNCTION("""COMPUTED_VALUE"""),"Flying__ferret")</f>
        <v>Flying__ferret</v>
      </c>
      <c r="C125" s="30" t="str">
        <f>IFERROR(__xludf.DUMMYFUNCTION("""COMPUTED_VALUE"""),"Amateur")</f>
        <v>Amateur</v>
      </c>
      <c r="D125" s="30" t="str">
        <f>IFERROR(__xludf.DUMMYFUNCTION("""COMPUTED_VALUE"""),"Winter Fresh")</f>
        <v>Winter Fresh</v>
      </c>
      <c r="E125" s="30" t="str">
        <f>IFERROR(__xludf.DUMMYFUNCTION("""COMPUTED_VALUE"""),"Minty Fresh")</f>
        <v>Minty Fresh</v>
      </c>
      <c r="F125" s="30" t="str">
        <f>IFERROR(__xludf.DUMMYFUNCTION("""COMPUTED_VALUE"""),"N/A")</f>
        <v>N/A</v>
      </c>
      <c r="G125" s="92">
        <f>IFERROR(__xludf.DUMMYFUNCTION("""COMPUTED_VALUE"""),42.362170646675615)</f>
        <v>42.36217065</v>
      </c>
    </row>
    <row r="126">
      <c r="A126" s="30" t="str">
        <f>IFERROR(__xludf.DUMMYFUNCTION("""COMPUTED_VALUE"""),"RSC006137")</f>
        <v>RSC006137</v>
      </c>
      <c r="B126" s="30" t="str">
        <f>IFERROR(__xludf.DUMMYFUNCTION("""COMPUTED_VALUE"""),"FULLBL00DN8V")</f>
        <v>FULLBL00DN8V</v>
      </c>
      <c r="C126" s="30" t="str">
        <f>IFERROR(__xludf.DUMMYFUNCTION("""COMPUTED_VALUE"""),"Amateur")</f>
        <v>Amateur</v>
      </c>
      <c r="D126" s="30" t="str">
        <f>IFERROR(__xludf.DUMMYFUNCTION("""COMPUTED_VALUE"""),"Winter Fresh")</f>
        <v>Winter Fresh</v>
      </c>
      <c r="E126" s="30" t="str">
        <f>IFERROR(__xludf.DUMMYFUNCTION("""COMPUTED_VALUE"""),"Minty Fresh")</f>
        <v>Minty Fresh</v>
      </c>
      <c r="F126" s="30" t="str">
        <f>IFERROR(__xludf.DUMMYFUNCTION("""COMPUTED_VALUE"""),"N/A")</f>
        <v>N/A</v>
      </c>
      <c r="G126" s="92">
        <f>IFERROR(__xludf.DUMMYFUNCTION("""COMPUTED_VALUE"""),31.360267654783005)</f>
        <v>31.36026765</v>
      </c>
    </row>
    <row r="127">
      <c r="A127" s="30" t="str">
        <f>IFERROR(__xludf.DUMMYFUNCTION("""COMPUTED_VALUE"""),"RSC007179")</f>
        <v>RSC007179</v>
      </c>
      <c r="B127" s="30" t="str">
        <f>IFERROR(__xludf.DUMMYFUNCTION("""COMPUTED_VALUE"""),"B0A._.")</f>
        <v>B0A._.</v>
      </c>
      <c r="C127" s="30" t="str">
        <f>IFERROR(__xludf.DUMMYFUNCTION("""COMPUTED_VALUE"""),"Amateur")</f>
        <v>Amateur</v>
      </c>
      <c r="D127" s="30" t="str">
        <f>IFERROR(__xludf.DUMMYFUNCTION("""COMPUTED_VALUE"""),"Aeon Ale")</f>
        <v>Aeon Ale</v>
      </c>
      <c r="E127" s="30" t="str">
        <f>IFERROR(__xludf.DUMMYFUNCTION("""COMPUTED_VALUE"""),"5 O'clock Nowhere")</f>
        <v>5 O'clock Nowhere</v>
      </c>
      <c r="F127" s="30" t="str">
        <f>IFERROR(__xludf.DUMMYFUNCTION("""COMPUTED_VALUE"""),"N/A")</f>
        <v>N/A</v>
      </c>
      <c r="G127" s="92">
        <f>IFERROR(__xludf.DUMMYFUNCTION("""COMPUTED_VALUE"""),91.92681893663583)</f>
        <v>91.92681894</v>
      </c>
    </row>
    <row r="128">
      <c r="A128" s="30" t="str">
        <f>IFERROR(__xludf.DUMMYFUNCTION("""COMPUTED_VALUE"""),"RSC006256")</f>
        <v>RSC006256</v>
      </c>
      <c r="B128" s="30" t="str">
        <f>IFERROR(__xludf.DUMMYFUNCTION("""COMPUTED_VALUE"""),"CascaUnbroken")</f>
        <v>CascaUnbroken</v>
      </c>
      <c r="C128" s="30" t="str">
        <f>IFERROR(__xludf.DUMMYFUNCTION("""COMPUTED_VALUE"""),"Amateur")</f>
        <v>Amateur</v>
      </c>
      <c r="D128" s="30" t="str">
        <f>IFERROR(__xludf.DUMMYFUNCTION("""COMPUTED_VALUE"""),"Aeon Ale")</f>
        <v>Aeon Ale</v>
      </c>
      <c r="E128" s="30" t="str">
        <f>IFERROR(__xludf.DUMMYFUNCTION("""COMPUTED_VALUE"""),"5 O'clock Nowhere")</f>
        <v>5 O'clock Nowhere</v>
      </c>
      <c r="F128" s="30" t="str">
        <f>IFERROR(__xludf.DUMMYFUNCTION("""COMPUTED_VALUE"""),"N/A")</f>
        <v>N/A</v>
      </c>
      <c r="G128" s="92">
        <f>IFERROR(__xludf.DUMMYFUNCTION("""COMPUTED_VALUE"""),62.26798310027037)</f>
        <v>62.2679831</v>
      </c>
    </row>
    <row r="129">
      <c r="A129" s="30" t="str">
        <f>IFERROR(__xludf.DUMMYFUNCTION("""COMPUTED_VALUE"""),"RSC007216")</f>
        <v>RSC007216</v>
      </c>
      <c r="B129" s="30" t="str">
        <f>IFERROR(__xludf.DUMMYFUNCTION("""COMPUTED_VALUE"""),"ASAPxLEG")</f>
        <v>ASAPxLEG</v>
      </c>
      <c r="C129" s="30" t="str">
        <f>IFERROR(__xludf.DUMMYFUNCTION("""COMPUTED_VALUE"""),"Amateur")</f>
        <v>Amateur</v>
      </c>
      <c r="D129" s="30" t="str">
        <f>IFERROR(__xludf.DUMMYFUNCTION("""COMPUTED_VALUE"""),"Aeon Ale")</f>
        <v>Aeon Ale</v>
      </c>
      <c r="E129" s="30" t="str">
        <f>IFERROR(__xludf.DUMMYFUNCTION("""COMPUTED_VALUE"""),"5 O'clock Nowhere")</f>
        <v>5 O'clock Nowhere</v>
      </c>
      <c r="F129" s="30" t="str">
        <f>IFERROR(__xludf.DUMMYFUNCTION("""COMPUTED_VALUE"""),"N/A")</f>
        <v>N/A</v>
      </c>
      <c r="G129" s="92">
        <f>IFERROR(__xludf.DUMMYFUNCTION("""COMPUTED_VALUE"""),51.93017409318208)</f>
        <v>51.93017409</v>
      </c>
    </row>
    <row r="130">
      <c r="A130" s="30" t="str">
        <f>IFERROR(__xludf.DUMMYFUNCTION("""COMPUTED_VALUE"""),"RSC007468")</f>
        <v>RSC007468</v>
      </c>
      <c r="B130" s="30" t="str">
        <f>IFERROR(__xludf.DUMMYFUNCTION("""COMPUTED_VALUE"""),"im_link42")</f>
        <v>im_link42</v>
      </c>
      <c r="C130" s="30" t="str">
        <f>IFERROR(__xludf.DUMMYFUNCTION("""COMPUTED_VALUE"""),"Amateur")</f>
        <v>Amateur</v>
      </c>
      <c r="D130" s="30" t="str">
        <f>IFERROR(__xludf.DUMMYFUNCTION("""COMPUTED_VALUE"""),"Amaranth")</f>
        <v>Amaranth</v>
      </c>
      <c r="E130" s="30" t="str">
        <f>IFERROR(__xludf.DUMMYFUNCTION("""COMPUTED_VALUE"""),"Flower Road")</f>
        <v>Flower Road</v>
      </c>
      <c r="F130" s="30" t="str">
        <f>IFERROR(__xludf.DUMMYFUNCTION("""COMPUTED_VALUE"""),"N/A")</f>
        <v>N/A</v>
      </c>
      <c r="G130" s="92">
        <f>IFERROR(__xludf.DUMMYFUNCTION("""COMPUTED_VALUE"""),57.25156312540773)</f>
        <v>57.25156313</v>
      </c>
    </row>
    <row r="131">
      <c r="A131" s="30" t="str">
        <f>IFERROR(__xludf.DUMMYFUNCTION("""COMPUTED_VALUE"""),"RSC007808")</f>
        <v>RSC007808</v>
      </c>
      <c r="B131" s="30" t="str">
        <f>IFERROR(__xludf.DUMMYFUNCTION("""COMPUTED_VALUE"""),"Navybrat44")</f>
        <v>Navybrat44</v>
      </c>
      <c r="C131" s="30" t="str">
        <f>IFERROR(__xludf.DUMMYFUNCTION("""COMPUTED_VALUE"""),"Amateur")</f>
        <v>Amateur</v>
      </c>
      <c r="D131" s="30" t="str">
        <f>IFERROR(__xludf.DUMMYFUNCTION("""COMPUTED_VALUE"""),"Amaranth")</f>
        <v>Amaranth</v>
      </c>
      <c r="E131" s="30" t="str">
        <f>IFERROR(__xludf.DUMMYFUNCTION("""COMPUTED_VALUE"""),"Flower Road")</f>
        <v>Flower Road</v>
      </c>
      <c r="F131" s="30" t="str">
        <f>IFERROR(__xludf.DUMMYFUNCTION("""COMPUTED_VALUE"""),"N/A")</f>
        <v>N/A</v>
      </c>
      <c r="G131" s="92">
        <f>IFERROR(__xludf.DUMMYFUNCTION("""COMPUTED_VALUE"""),58.520632298474446)</f>
        <v>58.5206323</v>
      </c>
    </row>
    <row r="132">
      <c r="A132" s="30" t="str">
        <f>IFERROR(__xludf.DUMMYFUNCTION("""COMPUTED_VALUE"""),"RSC007573")</f>
        <v>RSC007573</v>
      </c>
      <c r="B132" s="30" t="str">
        <f>IFERROR(__xludf.DUMMYFUNCTION("""COMPUTED_VALUE"""),"zag_42")</f>
        <v>zag_42</v>
      </c>
      <c r="C132" s="30" t="str">
        <f>IFERROR(__xludf.DUMMYFUNCTION("""COMPUTED_VALUE"""),"Amateur")</f>
        <v>Amateur</v>
      </c>
      <c r="D132" s="30" t="str">
        <f>IFERROR(__xludf.DUMMYFUNCTION("""COMPUTED_VALUE"""),"Garlic Knots
Amaranth")</f>
        <v>Garlic Knots
Amaranth</v>
      </c>
      <c r="E132" s="30" t="str">
        <f>IFERROR(__xludf.DUMMYFUNCTION("""COMPUTED_VALUE"""),"Fifty-Fifty Pizzeria
Flower Road")</f>
        <v>Fifty-Fifty Pizzeria
Flower Road</v>
      </c>
      <c r="F132" s="30" t="str">
        <f>IFERROR(__xludf.DUMMYFUNCTION("""COMPUTED_VALUE"""),"N/A")</f>
        <v>N/A</v>
      </c>
      <c r="G132" s="92">
        <f>IFERROR(__xludf.DUMMYFUNCTION("""COMPUTED_VALUE"""),19.68743492659593)</f>
        <v>19.68743493</v>
      </c>
    </row>
    <row r="133">
      <c r="A133" s="30" t="str">
        <f>IFERROR(__xludf.DUMMYFUNCTION("""COMPUTED_VALUE"""),"RSC007220")</f>
        <v>RSC007220</v>
      </c>
      <c r="B133" s="30" t="str">
        <f>IFERROR(__xludf.DUMMYFUNCTION("""COMPUTED_VALUE"""),"maxf")</f>
        <v>maxf</v>
      </c>
      <c r="C133" s="30" t="str">
        <f>IFERROR(__xludf.DUMMYFUNCTION("""COMPUTED_VALUE"""),"Amateur")</f>
        <v>Amateur</v>
      </c>
      <c r="D133" s="30" t="str">
        <f>IFERROR(__xludf.DUMMYFUNCTION("""COMPUTED_VALUE"""),"Garlic Knots")</f>
        <v>Garlic Knots</v>
      </c>
      <c r="E133" s="30" t="str">
        <f>IFERROR(__xludf.DUMMYFUNCTION("""COMPUTED_VALUE"""),"Fifty-Fifty Pizzeria")</f>
        <v>Fifty-Fifty Pizzeria</v>
      </c>
      <c r="F133" s="30" t="str">
        <f>IFERROR(__xludf.DUMMYFUNCTION("""COMPUTED_VALUE"""),"N/A")</f>
        <v>N/A</v>
      </c>
      <c r="G133" s="92">
        <f>IFERROR(__xludf.DUMMYFUNCTION("""COMPUTED_VALUE"""),46.36933845704227)</f>
        <v>46.36933846</v>
      </c>
    </row>
    <row r="134">
      <c r="A134" s="30" t="str">
        <f>IFERROR(__xludf.DUMMYFUNCTION("""COMPUTED_VALUE"""),"RSC007955")</f>
        <v>RSC007955</v>
      </c>
      <c r="B134" s="30" t="str">
        <f>IFERROR(__xludf.DUMMYFUNCTION("""COMPUTED_VALUE"""),"JonathanVanDyk")</f>
        <v>JonathanVanDyk</v>
      </c>
      <c r="C134" s="30" t="str">
        <f>IFERROR(__xludf.DUMMYFUNCTION("""COMPUTED_VALUE"""),"Amateur")</f>
        <v>Amateur</v>
      </c>
      <c r="D134" s="30" t="str">
        <f>IFERROR(__xludf.DUMMYFUNCTION("""COMPUTED_VALUE"""),"Garlic Knots")</f>
        <v>Garlic Knots</v>
      </c>
      <c r="E134" s="30" t="str">
        <f>IFERROR(__xludf.DUMMYFUNCTION("""COMPUTED_VALUE"""),"Fifty-Fifty Pizzeria")</f>
        <v>Fifty-Fifty Pizzeria</v>
      </c>
      <c r="F134" s="30" t="str">
        <f>IFERROR(__xludf.DUMMYFUNCTION("""COMPUTED_VALUE"""),"N/A")</f>
        <v>N/A</v>
      </c>
      <c r="G134" s="92">
        <f>IFERROR(__xludf.DUMMYFUNCTION("""COMPUTED_VALUE"""),69.67978799803896)</f>
        <v>69.679788</v>
      </c>
    </row>
    <row r="135">
      <c r="A135" s="30" t="str">
        <f>IFERROR(__xludf.DUMMYFUNCTION("""COMPUTED_VALUE"""),"RSC007571")</f>
        <v>RSC007571</v>
      </c>
      <c r="B135" s="30" t="str">
        <f>IFERROR(__xludf.DUMMYFUNCTION("""COMPUTED_VALUE"""),"Skories")</f>
        <v>Skories</v>
      </c>
      <c r="C135" s="30" t="str">
        <f>IFERROR(__xludf.DUMMYFUNCTION("""COMPUTED_VALUE"""),"Amateur")</f>
        <v>Amateur</v>
      </c>
      <c r="D135" s="30" t="str">
        <f>IFERROR(__xludf.DUMMYFUNCTION("""COMPUTED_VALUE"""),"Garlic Knots")</f>
        <v>Garlic Knots</v>
      </c>
      <c r="E135" s="30" t="str">
        <f>IFERROR(__xludf.DUMMYFUNCTION("""COMPUTED_VALUE"""),"Fifty-Fifty Pizzeria")</f>
        <v>Fifty-Fifty Pizzeria</v>
      </c>
      <c r="F135" s="30" t="str">
        <f>IFERROR(__xludf.DUMMYFUNCTION("""COMPUTED_VALUE"""),"N/A")</f>
        <v>N/A</v>
      </c>
      <c r="G135" s="92">
        <f>IFERROR(__xludf.DUMMYFUNCTION("""COMPUTED_VALUE"""),65.76412708273743)</f>
        <v>65.76412708</v>
      </c>
    </row>
    <row r="136">
      <c r="A136" s="30" t="str">
        <f>IFERROR(__xludf.DUMMYFUNCTION("""COMPUTED_VALUE"""),"RSC000968")</f>
        <v>RSC000968</v>
      </c>
      <c r="B136" s="30" t="str">
        <f>IFERROR(__xludf.DUMMYFUNCTION("""COMPUTED_VALUE"""),"Tsg_raven5336")</f>
        <v>Tsg_raven5336</v>
      </c>
      <c r="C136" s="30" t="str">
        <f>IFERROR(__xludf.DUMMYFUNCTION("""COMPUTED_VALUE"""),"Amateur")</f>
        <v>Amateur</v>
      </c>
      <c r="D136" s="30" t="str">
        <f>IFERROR(__xludf.DUMMYFUNCTION("""COMPUTED_VALUE"""),"Hyenas")</f>
        <v>Hyenas</v>
      </c>
      <c r="E136" s="30" t="str">
        <f>IFERROR(__xludf.DUMMYFUNCTION("""COMPUTED_VALUE"""),"Safari")</f>
        <v>Safari</v>
      </c>
      <c r="F136" s="30" t="str">
        <f>IFERROR(__xludf.DUMMYFUNCTION("""COMPUTED_VALUE"""),"N/A")</f>
        <v>N/A</v>
      </c>
      <c r="G136" s="92">
        <f>IFERROR(__xludf.DUMMYFUNCTION("""COMPUTED_VALUE"""),-7.472453492640099)</f>
        <v>-7.472453493</v>
      </c>
    </row>
    <row r="137">
      <c r="A137" s="30" t="str">
        <f>IFERROR(__xludf.DUMMYFUNCTION("""COMPUTED_VALUE"""),"RSC007581")</f>
        <v>RSC007581</v>
      </c>
      <c r="B137" s="30" t="str">
        <f>IFERROR(__xludf.DUMMYFUNCTION("""COMPUTED_VALUE"""),"Wrecklessjay02")</f>
        <v>Wrecklessjay02</v>
      </c>
      <c r="C137" s="30" t="str">
        <f>IFERROR(__xludf.DUMMYFUNCTION("""COMPUTED_VALUE"""),"Amateur")</f>
        <v>Amateur</v>
      </c>
      <c r="D137" s="30" t="str">
        <f>IFERROR(__xludf.DUMMYFUNCTION("""COMPUTED_VALUE"""),"Hyenas")</f>
        <v>Hyenas</v>
      </c>
      <c r="E137" s="30" t="str">
        <f>IFERROR(__xludf.DUMMYFUNCTION("""COMPUTED_VALUE"""),"Safari")</f>
        <v>Safari</v>
      </c>
      <c r="F137" s="30" t="str">
        <f>IFERROR(__xludf.DUMMYFUNCTION("""COMPUTED_VALUE"""),"N/A")</f>
        <v>N/A</v>
      </c>
      <c r="G137" s="92">
        <f>IFERROR(__xludf.DUMMYFUNCTION("""COMPUTED_VALUE"""),61.653602728269945)</f>
        <v>61.65360273</v>
      </c>
    </row>
    <row r="138">
      <c r="A138" s="30" t="str">
        <f>IFERROR(__xludf.DUMMYFUNCTION("""COMPUTED_VALUE"""),"RSC007464")</f>
        <v>RSC007464</v>
      </c>
      <c r="B138" s="30" t="str">
        <f>IFERROR(__xludf.DUMMYFUNCTION("""COMPUTED_VALUE"""),"MoonKnight2")</f>
        <v>MoonKnight2</v>
      </c>
      <c r="C138" s="30" t="str">
        <f>IFERROR(__xludf.DUMMYFUNCTION("""COMPUTED_VALUE"""),"Amateur")</f>
        <v>Amateur</v>
      </c>
      <c r="D138" s="30" t="str">
        <f>IFERROR(__xludf.DUMMYFUNCTION("""COMPUTED_VALUE"""),"Hyenas")</f>
        <v>Hyenas</v>
      </c>
      <c r="E138" s="30" t="str">
        <f>IFERROR(__xludf.DUMMYFUNCTION("""COMPUTED_VALUE"""),"Safari")</f>
        <v>Safari</v>
      </c>
      <c r="F138" s="30" t="str">
        <f>IFERROR(__xludf.DUMMYFUNCTION("""COMPUTED_VALUE"""),"N/A")</f>
        <v>N/A</v>
      </c>
      <c r="G138" s="92">
        <f>IFERROR(__xludf.DUMMYFUNCTION("""COMPUTED_VALUE"""),80.80420711624855)</f>
        <v>80.80420712</v>
      </c>
    </row>
    <row r="139">
      <c r="A139" s="30" t="str">
        <f>IFERROR(__xludf.DUMMYFUNCTION("""COMPUTED_VALUE"""),"RSC007161")</f>
        <v>RSC007161</v>
      </c>
      <c r="B139" s="30" t="str">
        <f>IFERROR(__xludf.DUMMYFUNCTION("""COMPUTED_VALUE"""),"MrAnderpants")</f>
        <v>MrAnderpants</v>
      </c>
      <c r="C139" s="30" t="str">
        <f>IFERROR(__xludf.DUMMYFUNCTION("""COMPUTED_VALUE"""),"Amateur")</f>
        <v>Amateur</v>
      </c>
      <c r="D139" s="30" t="str">
        <f>IFERROR(__xludf.DUMMYFUNCTION("""COMPUTED_VALUE"""),"Aloof Goofs")</f>
        <v>Aloof Goofs</v>
      </c>
      <c r="E139" s="30" t="str">
        <f>IFERROR(__xludf.DUMMYFUNCTION("""COMPUTED_VALUE"""),"Vibe Tribe")</f>
        <v>Vibe Tribe</v>
      </c>
      <c r="F139" s="30" t="str">
        <f>IFERROR(__xludf.DUMMYFUNCTION("""COMPUTED_VALUE"""),"N/A")</f>
        <v>N/A</v>
      </c>
      <c r="G139" s="92">
        <f>IFERROR(__xludf.DUMMYFUNCTION("""COMPUTED_VALUE"""),47.227448954173944)</f>
        <v>47.22744895</v>
      </c>
    </row>
    <row r="140">
      <c r="A140" s="30" t="str">
        <f>IFERROR(__xludf.DUMMYFUNCTION("""COMPUTED_VALUE"""),"RSC006797")</f>
        <v>RSC006797</v>
      </c>
      <c r="B140" s="30" t="str">
        <f>IFERROR(__xludf.DUMMYFUNCTION("""COMPUTED_VALUE"""),"The-Manimal")</f>
        <v>The-Manimal</v>
      </c>
      <c r="C140" s="30" t="str">
        <f>IFERROR(__xludf.DUMMYFUNCTION("""COMPUTED_VALUE"""),"Amateur")</f>
        <v>Amateur</v>
      </c>
      <c r="D140" s="30" t="str">
        <f>IFERROR(__xludf.DUMMYFUNCTION("""COMPUTED_VALUE"""),"Aloof Goofs")</f>
        <v>Aloof Goofs</v>
      </c>
      <c r="E140" s="30" t="str">
        <f>IFERROR(__xludf.DUMMYFUNCTION("""COMPUTED_VALUE"""),"Vibe Tribe")</f>
        <v>Vibe Tribe</v>
      </c>
      <c r="F140" s="30" t="str">
        <f>IFERROR(__xludf.DUMMYFUNCTION("""COMPUTED_VALUE"""),"N/A")</f>
        <v>N/A</v>
      </c>
      <c r="G140" s="92">
        <f>IFERROR(__xludf.DUMMYFUNCTION("""COMPUTED_VALUE"""),57.89105901046247)</f>
        <v>57.89105901</v>
      </c>
    </row>
    <row r="141">
      <c r="A141" s="30" t="str">
        <f>IFERROR(__xludf.DUMMYFUNCTION("""COMPUTED_VALUE"""),"RSC004190")</f>
        <v>RSC004190</v>
      </c>
      <c r="B141" s="30" t="str">
        <f>IFERROR(__xludf.DUMMYFUNCTION("""COMPUTED_VALUE"""),"demonikgoat4061")</f>
        <v>demonikgoat4061</v>
      </c>
      <c r="C141" s="30" t="str">
        <f>IFERROR(__xludf.DUMMYFUNCTION("""COMPUTED_VALUE"""),"Amateur")</f>
        <v>Amateur</v>
      </c>
      <c r="D141" s="30" t="str">
        <f>IFERROR(__xludf.DUMMYFUNCTION("""COMPUTED_VALUE"""),"Aloof Goofs")</f>
        <v>Aloof Goofs</v>
      </c>
      <c r="E141" s="30" t="str">
        <f>IFERROR(__xludf.DUMMYFUNCTION("""COMPUTED_VALUE"""),"Vibe Tribe")</f>
        <v>Vibe Tribe</v>
      </c>
      <c r="F141" s="30" t="str">
        <f>IFERROR(__xludf.DUMMYFUNCTION("""COMPUTED_VALUE"""),"N/A")</f>
        <v>N/A</v>
      </c>
      <c r="G141" s="92">
        <f>IFERROR(__xludf.DUMMYFUNCTION("""COMPUTED_VALUE"""),48.59376476548729)</f>
        <v>48.59376477</v>
      </c>
    </row>
    <row r="142">
      <c r="A142" s="30" t="str">
        <f>IFERROR(__xludf.DUMMYFUNCTION("""COMPUTED_VALUE"""),"RSC007993")</f>
        <v>RSC007993</v>
      </c>
      <c r="B142" s="30" t="str">
        <f>IFERROR(__xludf.DUMMYFUNCTION("""COMPUTED_VALUE"""),"Origami Box")</f>
        <v>Origami Box</v>
      </c>
      <c r="C142" s="30" t="str">
        <f>IFERROR(__xludf.DUMMYFUNCTION("""COMPUTED_VALUE"""),"Amateur")</f>
        <v>Amateur</v>
      </c>
      <c r="D142" s="30" t="str">
        <f>IFERROR(__xludf.DUMMYFUNCTION("""COMPUTED_VALUE"""),"Aeon Ale")</f>
        <v>Aeon Ale</v>
      </c>
      <c r="E142" s="30" t="str">
        <f>IFERROR(__xludf.DUMMYFUNCTION("""COMPUTED_VALUE"""),"5 O'clock Nowhere")</f>
        <v>5 O'clock Nowhere</v>
      </c>
      <c r="F142" s="30" t="str">
        <f>IFERROR(__xludf.DUMMYFUNCTION("""COMPUTED_VALUE"""),"N/A")</f>
        <v>N/A</v>
      </c>
      <c r="G142" s="92">
        <f>IFERROR(__xludf.DUMMYFUNCTION("""COMPUTED_VALUE"""),11.525160647632823)</f>
        <v>11.52516065</v>
      </c>
    </row>
    <row r="143">
      <c r="A143" s="30" t="str">
        <f>IFERROR(__xludf.DUMMYFUNCTION("""COMPUTED_VALUE"""),"RSC005925")</f>
        <v>RSC005925</v>
      </c>
      <c r="B143" s="30" t="str">
        <f>IFERROR(__xludf.DUMMYFUNCTION("""COMPUTED_VALUE"""),"Emily26210")</f>
        <v>Emily26210</v>
      </c>
      <c r="C143" s="30" t="str">
        <f>IFERROR(__xludf.DUMMYFUNCTION("""COMPUTED_VALUE"""),"Amateur")</f>
        <v>Amateur</v>
      </c>
      <c r="D143" s="30" t="str">
        <f>IFERROR(__xludf.DUMMYFUNCTION("""COMPUTED_VALUE"""),"Kiwis")</f>
        <v>Kiwis</v>
      </c>
      <c r="E143" s="30" t="str">
        <f>IFERROR(__xludf.DUMMYFUNCTION("""COMPUTED_VALUE"""),"Flightless Fowl")</f>
        <v>Flightless Fowl</v>
      </c>
      <c r="F143" s="30" t="str">
        <f>IFERROR(__xludf.DUMMYFUNCTION("""COMPUTED_VALUE"""),"N/A")</f>
        <v>N/A</v>
      </c>
      <c r="G143" s="92">
        <f>IFERROR(__xludf.DUMMYFUNCTION("""COMPUTED_VALUE"""),46.949072821352885)</f>
        <v>46.94907282</v>
      </c>
    </row>
    <row r="144">
      <c r="A144" s="30" t="str">
        <f>IFERROR(__xludf.DUMMYFUNCTION("""COMPUTED_VALUE"""),"RSC007678")</f>
        <v>RSC007678</v>
      </c>
      <c r="B144" s="30" t="str">
        <f>IFERROR(__xludf.DUMMYFUNCTION("""COMPUTED_VALUE"""),"SavedHawk")</f>
        <v>SavedHawk</v>
      </c>
      <c r="C144" s="30" t="str">
        <f>IFERROR(__xludf.DUMMYFUNCTION("""COMPUTED_VALUE"""),"Amateur")</f>
        <v>Amateur</v>
      </c>
      <c r="D144" s="30" t="str">
        <f>IFERROR(__xludf.DUMMYFUNCTION("""COMPUTED_VALUE"""),"Kiwis")</f>
        <v>Kiwis</v>
      </c>
      <c r="E144" s="30" t="str">
        <f>IFERROR(__xludf.DUMMYFUNCTION("""COMPUTED_VALUE"""),"Flightless Fowl")</f>
        <v>Flightless Fowl</v>
      </c>
      <c r="F144" s="30" t="str">
        <f>IFERROR(__xludf.DUMMYFUNCTION("""COMPUTED_VALUE"""),"N/A")</f>
        <v>N/A</v>
      </c>
      <c r="G144" s="92">
        <f>IFERROR(__xludf.DUMMYFUNCTION("""COMPUTED_VALUE"""),9.750844777879983)</f>
        <v>9.750844778</v>
      </c>
    </row>
    <row r="145">
      <c r="A145" s="30" t="str">
        <f>IFERROR(__xludf.DUMMYFUNCTION("""COMPUTED_VALUE"""),"RSC007632")</f>
        <v>RSC007632</v>
      </c>
      <c r="B145" s="30" t="str">
        <f>IFERROR(__xludf.DUMMYFUNCTION("""COMPUTED_VALUE"""),"yournewSTEPDADDI")</f>
        <v>yournewSTEPDADDI</v>
      </c>
      <c r="C145" s="30" t="str">
        <f>IFERROR(__xludf.DUMMYFUNCTION("""COMPUTED_VALUE"""),"Amateur")</f>
        <v>Amateur</v>
      </c>
      <c r="D145" s="30" t="str">
        <f>IFERROR(__xludf.DUMMYFUNCTION("""COMPUTED_VALUE"""),"Kiwis")</f>
        <v>Kiwis</v>
      </c>
      <c r="E145" s="30" t="str">
        <f>IFERROR(__xludf.DUMMYFUNCTION("""COMPUTED_VALUE"""),"Flightless Fowl")</f>
        <v>Flightless Fowl</v>
      </c>
      <c r="F145" s="30" t="str">
        <f>IFERROR(__xludf.DUMMYFUNCTION("""COMPUTED_VALUE"""),"N/A")</f>
        <v>N/A</v>
      </c>
      <c r="G145" s="92">
        <f>IFERROR(__xludf.DUMMYFUNCTION("""COMPUTED_VALUE"""),25.7003002025089)</f>
        <v>25.7003002</v>
      </c>
    </row>
    <row r="146">
      <c r="A146" s="30" t="str">
        <f>IFERROR(__xludf.DUMMYFUNCTION("""COMPUTED_VALUE"""),"RSC000146")</f>
        <v>RSC000146</v>
      </c>
      <c r="B146" s="30" t="str">
        <f>IFERROR(__xludf.DUMMYFUNCTION("""COMPUTED_VALUE"""),"EtherealDoom989")</f>
        <v>EtherealDoom989</v>
      </c>
      <c r="C146" s="30" t="str">
        <f>IFERROR(__xludf.DUMMYFUNCTION("""COMPUTED_VALUE"""),"Amateur")</f>
        <v>Amateur</v>
      </c>
      <c r="D146" s="30" t="str">
        <f>IFERROR(__xludf.DUMMYFUNCTION("""COMPUTED_VALUE"""),"Surprise")</f>
        <v>Surprise</v>
      </c>
      <c r="E146" s="30" t="str">
        <f>IFERROR(__xludf.DUMMYFUNCTION("""COMPUTED_VALUE"""),"The Elements")</f>
        <v>The Elements</v>
      </c>
      <c r="F146" s="30" t="str">
        <f>IFERROR(__xludf.DUMMYFUNCTION("""COMPUTED_VALUE"""),"N/A")</f>
        <v>N/A</v>
      </c>
      <c r="G146" s="92">
        <f>IFERROR(__xludf.DUMMYFUNCTION("""COMPUTED_VALUE"""),18.054756167163433)</f>
        <v>18.05475617</v>
      </c>
    </row>
    <row r="147">
      <c r="A147" s="30" t="str">
        <f>IFERROR(__xludf.DUMMYFUNCTION("""COMPUTED_VALUE"""),"RSC007899")</f>
        <v>RSC007899</v>
      </c>
      <c r="B147" s="30" t="str">
        <f>IFERROR(__xludf.DUMMYFUNCTION("""COMPUTED_VALUE"""),"SeaSpay12")</f>
        <v>SeaSpay12</v>
      </c>
      <c r="C147" s="30" t="str">
        <f>IFERROR(__xludf.DUMMYFUNCTION("""COMPUTED_VALUE"""),"Amateur")</f>
        <v>Amateur</v>
      </c>
      <c r="D147" s="30" t="str">
        <f>IFERROR(__xludf.DUMMYFUNCTION("""COMPUTED_VALUE"""),"Surprise")</f>
        <v>Surprise</v>
      </c>
      <c r="E147" s="30" t="str">
        <f>IFERROR(__xludf.DUMMYFUNCTION("""COMPUTED_VALUE"""),"The Elements")</f>
        <v>The Elements</v>
      </c>
      <c r="F147" s="30" t="str">
        <f>IFERROR(__xludf.DUMMYFUNCTION("""COMPUTED_VALUE"""),"N/A")</f>
        <v>N/A</v>
      </c>
      <c r="G147" s="92">
        <f>IFERROR(__xludf.DUMMYFUNCTION("""COMPUTED_VALUE"""),81.15947199319645)</f>
        <v>81.15947199</v>
      </c>
    </row>
    <row r="148">
      <c r="A148" s="30" t="str">
        <f>IFERROR(__xludf.DUMMYFUNCTION("""COMPUTED_VALUE"""),"RSC007463")</f>
        <v>RSC007463</v>
      </c>
      <c r="B148" s="30" t="str">
        <f>IFERROR(__xludf.DUMMYFUNCTION("""COMPUTED_VALUE"""),"xproteusx05")</f>
        <v>xproteusx05</v>
      </c>
      <c r="C148" s="30" t="str">
        <f>IFERROR(__xludf.DUMMYFUNCTION("""COMPUTED_VALUE"""),"Amateur")</f>
        <v>Amateur</v>
      </c>
      <c r="D148" s="30" t="str">
        <f>IFERROR(__xludf.DUMMYFUNCTION("""COMPUTED_VALUE"""),"Surprise")</f>
        <v>Surprise</v>
      </c>
      <c r="E148" s="30" t="str">
        <f>IFERROR(__xludf.DUMMYFUNCTION("""COMPUTED_VALUE"""),"The Elements")</f>
        <v>The Elements</v>
      </c>
      <c r="F148" s="30" t="str">
        <f>IFERROR(__xludf.DUMMYFUNCTION("""COMPUTED_VALUE"""),"N/A")</f>
        <v>N/A</v>
      </c>
      <c r="G148" s="92">
        <f>IFERROR(__xludf.DUMMYFUNCTION("""COMPUTED_VALUE"""),59.87627508294172)</f>
        <v>59.87627508</v>
      </c>
    </row>
    <row r="149">
      <c r="A149" s="30" t="str">
        <f>IFERROR(__xludf.DUMMYFUNCTION("""COMPUTED_VALUE"""),"RSC007948")</f>
        <v>RSC007948</v>
      </c>
      <c r="B149" s="30" t="str">
        <f>IFERROR(__xludf.DUMMYFUNCTION("""COMPUTED_VALUE"""),"MasterOfDaTurtle")</f>
        <v>MasterOfDaTurtle</v>
      </c>
      <c r="C149" s="30" t="str">
        <f>IFERROR(__xludf.DUMMYFUNCTION("""COMPUTED_VALUE"""),"Amateur")</f>
        <v>Amateur</v>
      </c>
      <c r="D149" s="30" t="str">
        <f>IFERROR(__xludf.DUMMYFUNCTION("""COMPUTED_VALUE"""),"Kiwis
Amaranth")</f>
        <v>Kiwis
Amaranth</v>
      </c>
      <c r="E149" s="30" t="str">
        <f>IFERROR(__xludf.DUMMYFUNCTION("""COMPUTED_VALUE"""),"Flightless Fowl
Flower Road")</f>
        <v>Flightless Fowl
Flower Road</v>
      </c>
      <c r="F149" s="30" t="str">
        <f>IFERROR(__xludf.DUMMYFUNCTION("""COMPUTED_VALUE"""),"N/A")</f>
        <v>N/A</v>
      </c>
      <c r="G149" s="92">
        <f>IFERROR(__xludf.DUMMYFUNCTION("""COMPUTED_VALUE"""),40.529456323296216)</f>
        <v>40.52945632</v>
      </c>
    </row>
    <row r="150">
      <c r="A150" s="30" t="str">
        <f>IFERROR(__xludf.DUMMYFUNCTION("""COMPUTED_VALUE"""),"RSC007921")</f>
        <v>RSC007921</v>
      </c>
      <c r="B150" s="30" t="str">
        <f>IFERROR(__xludf.DUMMYFUNCTION("""COMPUTED_VALUE"""),"sXCyBeast")</f>
        <v>sXCyBeast</v>
      </c>
      <c r="C150" s="30" t="str">
        <f>IFERROR(__xludf.DUMMYFUNCTION("""COMPUTED_VALUE"""),"Amateur")</f>
        <v>Amateur</v>
      </c>
      <c r="D150" s="30" t="str">
        <f>IFERROR(__xludf.DUMMYFUNCTION("""COMPUTED_VALUE"""),"Surprise")</f>
        <v>Surprise</v>
      </c>
      <c r="E150" s="30" t="str">
        <f>IFERROR(__xludf.DUMMYFUNCTION("""COMPUTED_VALUE"""),"The Elements")</f>
        <v>The Elements</v>
      </c>
      <c r="F150" s="30" t="str">
        <f>IFERROR(__xludf.DUMMYFUNCTION("""COMPUTED_VALUE"""),"N/A")</f>
        <v>N/A</v>
      </c>
      <c r="G150" s="92">
        <f>IFERROR(__xludf.DUMMYFUNCTION("""COMPUTED_VALUE"""),40.17306392642783)</f>
        <v>40.17306393</v>
      </c>
    </row>
    <row r="151">
      <c r="A151" s="30" t="str">
        <f>IFERROR(__xludf.DUMMYFUNCTION("""COMPUTED_VALUE"""),"RSC006147")</f>
        <v>RSC006147</v>
      </c>
      <c r="B151" s="30" t="str">
        <f>IFERROR(__xludf.DUMMYFUNCTION("""COMPUTED_VALUE"""),"Stolris")</f>
        <v>Stolris</v>
      </c>
      <c r="C151" s="30" t="str">
        <f>IFERROR(__xludf.DUMMYFUNCTION("""COMPUTED_VALUE"""),"Amateur")</f>
        <v>Amateur</v>
      </c>
      <c r="D151" s="30" t="str">
        <f>IFERROR(__xludf.DUMMYFUNCTION("""COMPUTED_VALUE"""),"Hyenas")</f>
        <v>Hyenas</v>
      </c>
      <c r="E151" s="30" t="str">
        <f>IFERROR(__xludf.DUMMYFUNCTION("""COMPUTED_VALUE"""),"Safari")</f>
        <v>Safari</v>
      </c>
      <c r="F151" s="30" t="str">
        <f>IFERROR(__xludf.DUMMYFUNCTION("""COMPUTED_VALUE"""),"N/A")</f>
        <v>N/A</v>
      </c>
      <c r="G151" s="92">
        <f>IFERROR(__xludf.DUMMYFUNCTION("""COMPUTED_VALUE"""),24.190677985101384)</f>
        <v>24.19067799</v>
      </c>
    </row>
    <row r="152">
      <c r="A152" s="30" t="str">
        <f>IFERROR(__xludf.DUMMYFUNCTION("""COMPUTED_VALUE"""),"RSC007393")</f>
        <v>RSC007393</v>
      </c>
      <c r="B152" s="30" t="str">
        <f>IFERROR(__xludf.DUMMYFUNCTION("""COMPUTED_VALUE"""),"Ubfghki9442")</f>
        <v>Ubfghki9442</v>
      </c>
      <c r="C152" s="30" t="str">
        <f>IFERROR(__xludf.DUMMYFUNCTION("""COMPUTED_VALUE"""),"Amateur")</f>
        <v>Amateur</v>
      </c>
      <c r="D152" s="30" t="str">
        <f>IFERROR(__xludf.DUMMYFUNCTION("""COMPUTED_VALUE"""),"Garlic Knots")</f>
        <v>Garlic Knots</v>
      </c>
      <c r="E152" s="30" t="str">
        <f>IFERROR(__xludf.DUMMYFUNCTION("""COMPUTED_VALUE"""),"Fifty-Fifty Pizzeria")</f>
        <v>Fifty-Fifty Pizzeria</v>
      </c>
      <c r="F152" s="30" t="str">
        <f>IFERROR(__xludf.DUMMYFUNCTION("""COMPUTED_VALUE"""),"N/A")</f>
        <v>N/A</v>
      </c>
      <c r="G152" s="92">
        <f>IFERROR(__xludf.DUMMYFUNCTION("""COMPUTED_VALUE"""),2.8596259891973475)</f>
        <v>2.859625989</v>
      </c>
    </row>
    <row r="153">
      <c r="A153" s="30" t="str">
        <f>IFERROR(__xludf.DUMMYFUNCTION("""COMPUTED_VALUE"""),"RSC007852")</f>
        <v>RSC007852</v>
      </c>
      <c r="B153" s="30" t="str">
        <f>IFERROR(__xludf.DUMMYFUNCTION("""COMPUTED_VALUE"""),"Medicmac121")</f>
        <v>Medicmac121</v>
      </c>
      <c r="C153" s="30" t="str">
        <f>IFERROR(__xludf.DUMMYFUNCTION("""COMPUTED_VALUE"""),"Amateur")</f>
        <v>Amateur</v>
      </c>
      <c r="D153" s="30" t="str">
        <f>IFERROR(__xludf.DUMMYFUNCTION("""COMPUTED_VALUE"""),"Aloof Goofs
Aeon Ale")</f>
        <v>Aloof Goofs
Aeon Ale</v>
      </c>
      <c r="E153" s="30" t="str">
        <f>IFERROR(__xludf.DUMMYFUNCTION("""COMPUTED_VALUE"""),"Vibe Tribe
5 O'clock Nowhere")</f>
        <v>Vibe Tribe
5 O'clock Nowhere</v>
      </c>
      <c r="F153" s="30" t="str">
        <f>IFERROR(__xludf.DUMMYFUNCTION("""COMPUTED_VALUE"""),"N/A")</f>
        <v>N/A</v>
      </c>
      <c r="G153" s="92">
        <f>IFERROR(__xludf.DUMMYFUNCTION("""COMPUTED_VALUE"""),57.81541258831502)</f>
        <v>57.81541259</v>
      </c>
    </row>
    <row r="154">
      <c r="A154" s="30" t="str">
        <f>IFERROR(__xludf.DUMMYFUNCTION("""COMPUTED_VALUE"""),"RSC006375")</f>
        <v>RSC006375</v>
      </c>
      <c r="B154" s="30" t="str">
        <f>IFERROR(__xludf.DUMMYFUNCTION("""COMPUTED_VALUE"""),"Rich-Rollin6060")</f>
        <v>Rich-Rollin6060</v>
      </c>
      <c r="C154" s="30" t="str">
        <f>IFERROR(__xludf.DUMMYFUNCTION("""COMPUTED_VALUE"""),"Amateur")</f>
        <v>Amateur</v>
      </c>
      <c r="D154" s="30" t="str">
        <f>IFERROR(__xludf.DUMMYFUNCTION("""COMPUTED_VALUE"""),"Hyenas")</f>
        <v>Hyenas</v>
      </c>
      <c r="E154" s="30" t="str">
        <f>IFERROR(__xludf.DUMMYFUNCTION("""COMPUTED_VALUE"""),"Safari")</f>
        <v>Safari</v>
      </c>
      <c r="F154" s="30" t="str">
        <f>IFERROR(__xludf.DUMMYFUNCTION("""COMPUTED_VALUE"""),"N/A")</f>
        <v>N/A</v>
      </c>
      <c r="G154" s="92">
        <f>IFERROR(__xludf.DUMMYFUNCTION("""COMPUTED_VALUE"""),56.42879167596519)</f>
        <v>56.42879168</v>
      </c>
    </row>
    <row r="155">
      <c r="A155" s="30" t="str">
        <f>IFERROR(__xludf.DUMMYFUNCTION("""COMPUTED_VALUE"""),"RSC008012")</f>
        <v>RSC008012</v>
      </c>
      <c r="B155" s="30" t="str">
        <f>IFERROR(__xludf.DUMMYFUNCTION("""COMPUTED_VALUE"""),"mushxie")</f>
        <v>mushxie</v>
      </c>
      <c r="C155" s="30" t="str">
        <f>IFERROR(__xludf.DUMMYFUNCTION("""COMPUTED_VALUE"""),"Amateur")</f>
        <v>Amateur</v>
      </c>
      <c r="D155" s="30" t="str">
        <f>IFERROR(__xludf.DUMMYFUNCTION("""COMPUTED_VALUE"""),"Amaranth")</f>
        <v>Amaranth</v>
      </c>
      <c r="E155" s="30" t="str">
        <f>IFERROR(__xludf.DUMMYFUNCTION("""COMPUTED_VALUE"""),"Flower Road")</f>
        <v>Flower Road</v>
      </c>
      <c r="F155" s="30" t="str">
        <f>IFERROR(__xludf.DUMMYFUNCTION("""COMPUTED_VALUE"""),"N/A")</f>
        <v>N/A</v>
      </c>
      <c r="G155" s="92">
        <f>IFERROR(__xludf.DUMMYFUNCTION("""COMPUTED_VALUE"""),71.4658303295179)</f>
        <v>71.46583033</v>
      </c>
    </row>
    <row r="156">
      <c r="A156" s="30" t="str">
        <f>IFERROR(__xludf.DUMMYFUNCTION("""COMPUTED_VALUE"""),"RSC007306")</f>
        <v>RSC007306</v>
      </c>
      <c r="B156" s="30" t="str">
        <f>IFERROR(__xludf.DUMMYFUNCTION("""COMPUTED_VALUE"""),"SAMCRO-8640")</f>
        <v>SAMCRO-8640</v>
      </c>
      <c r="C156" s="30" t="str">
        <f>IFERROR(__xludf.DUMMYFUNCTION("""COMPUTED_VALUE"""),"Amateur")</f>
        <v>Amateur</v>
      </c>
      <c r="D156" s="30" t="str">
        <f>IFERROR(__xludf.DUMMYFUNCTION("""COMPUTED_VALUE"""),"Aloof Goofs")</f>
        <v>Aloof Goofs</v>
      </c>
      <c r="E156" s="30" t="str">
        <f>IFERROR(__xludf.DUMMYFUNCTION("""COMPUTED_VALUE"""),"Vibe Tribe")</f>
        <v>Vibe Tribe</v>
      </c>
      <c r="F156" s="30" t="str">
        <f>IFERROR(__xludf.DUMMYFUNCTION("""COMPUTED_VALUE"""),"N/A")</f>
        <v>N/A</v>
      </c>
      <c r="G156" s="92">
        <f>IFERROR(__xludf.DUMMYFUNCTION("""COMPUTED_VALUE"""),51.12678670712019)</f>
        <v>51.12678671</v>
      </c>
    </row>
    <row r="157">
      <c r="A157" s="30" t="str">
        <f>IFERROR(__xludf.DUMMYFUNCTION("""COMPUTED_VALUE"""),"RSC000654")</f>
        <v>RSC000654</v>
      </c>
      <c r="B157" s="30" t="str">
        <f>IFERROR(__xludf.DUMMYFUNCTION("""COMPUTED_VALUE"""),"Rocci")</f>
        <v>Rocci</v>
      </c>
      <c r="C157" s="30" t="str">
        <f>IFERROR(__xludf.DUMMYFUNCTION("""COMPUTED_VALUE"""),"Amateur")</f>
        <v>Amateur</v>
      </c>
      <c r="D157" s="30" t="str">
        <f>IFERROR(__xludf.DUMMYFUNCTION("""COMPUTED_VALUE"""),"Kiwis
Aeon Ale
Amaranth")</f>
        <v>Kiwis
Aeon Ale
Amaranth</v>
      </c>
      <c r="E157" s="30" t="str">
        <f>IFERROR(__xludf.DUMMYFUNCTION("""COMPUTED_VALUE"""),"Flightless Fowl
5 O'clock Nowhere
Flower Road")</f>
        <v>Flightless Fowl
5 O'clock Nowhere
Flower Road</v>
      </c>
      <c r="F157" s="30" t="str">
        <f>IFERROR(__xludf.DUMMYFUNCTION("""COMPUTED_VALUE"""),"N/A")</f>
        <v>N/A</v>
      </c>
      <c r="G157" s="92">
        <f>IFERROR(__xludf.DUMMYFUNCTION("""COMPUTED_VALUE"""),36.90810093952693)</f>
        <v>36.90810094</v>
      </c>
    </row>
    <row r="158">
      <c r="A158" s="30" t="str">
        <f>IFERROR(__xludf.DUMMYFUNCTION("""COMPUTED_VALUE"""),"RSC007587")</f>
        <v>RSC007587</v>
      </c>
      <c r="B158" s="30" t="str">
        <f>IFERROR(__xludf.DUMMYFUNCTION("""COMPUTED_VALUE"""),"ShortyoShire")</f>
        <v>ShortyoShire</v>
      </c>
      <c r="C158" s="30" t="str">
        <f>IFERROR(__xludf.DUMMYFUNCTION("""COMPUTED_VALUE"""),"Amateur")</f>
        <v>Amateur</v>
      </c>
      <c r="D158" s="30" t="str">
        <f>IFERROR(__xludf.DUMMYFUNCTION("""COMPUTED_VALUE"""),"Aloof Goofs
Surprise")</f>
        <v>Aloof Goofs
Surprise</v>
      </c>
      <c r="E158" s="30" t="str">
        <f>IFERROR(__xludf.DUMMYFUNCTION("""COMPUTED_VALUE"""),"Vibe Tribe
The Elements")</f>
        <v>Vibe Tribe
The Elements</v>
      </c>
      <c r="F158" s="30" t="str">
        <f>IFERROR(__xludf.DUMMYFUNCTION("""COMPUTED_VALUE"""),"N/A")</f>
        <v>N/A</v>
      </c>
      <c r="G158" s="92">
        <f>IFERROR(__xludf.DUMMYFUNCTION("""COMPUTED_VALUE"""),-15.169842605495433)</f>
        <v>-15.16984261</v>
      </c>
    </row>
    <row r="159">
      <c r="A159" s="30" t="str">
        <f>IFERROR(__xludf.DUMMYFUNCTION("""COMPUTED_VALUE"""),"RSC006022")</f>
        <v>RSC006022</v>
      </c>
      <c r="B159" s="30" t="str">
        <f>IFERROR(__xludf.DUMMYFUNCTION("""COMPUTED_VALUE"""),"N0MrThomasMn")</f>
        <v>N0MrThomasMn</v>
      </c>
      <c r="C159" s="30" t="str">
        <f>IFERROR(__xludf.DUMMYFUNCTION("""COMPUTED_VALUE"""),"Amateur")</f>
        <v>Amateur</v>
      </c>
      <c r="D159" s="30" t="str">
        <f>IFERROR(__xludf.DUMMYFUNCTION("""COMPUTED_VALUE"""),"Winter Fresh
Aloof Goofs
Surprise")</f>
        <v>Winter Fresh
Aloof Goofs
Surprise</v>
      </c>
      <c r="E159" s="30" t="str">
        <f>IFERROR(__xludf.DUMMYFUNCTION("""COMPUTED_VALUE"""),"Minty Fresh
Vibe Tribe
The Elements")</f>
        <v>Minty Fresh
Vibe Tribe
The Elements</v>
      </c>
      <c r="F159" s="30" t="str">
        <f>IFERROR(__xludf.DUMMYFUNCTION("""COMPUTED_VALUE"""),"N/A")</f>
        <v>N/A</v>
      </c>
      <c r="G159" s="92">
        <f>IFERROR(__xludf.DUMMYFUNCTION("""COMPUTED_VALUE"""),7.0869850606403375)</f>
        <v>7.086985061</v>
      </c>
    </row>
    <row r="160">
      <c r="A160" s="30" t="str">
        <f>IFERROR(__xludf.DUMMYFUNCTION("""COMPUTED_VALUE"""),"RSC004872")</f>
        <v>RSC004872</v>
      </c>
      <c r="B160" s="30" t="str">
        <f>IFERROR(__xludf.DUMMYFUNCTION("""COMPUTED_VALUE"""),"JustLaben")</f>
        <v>JustLaben</v>
      </c>
      <c r="C160" s="30" t="str">
        <f>IFERROR(__xludf.DUMMYFUNCTION("""COMPUTED_VALUE"""),"Veteran")</f>
        <v>Veteran</v>
      </c>
      <c r="D160" s="30" t="str">
        <f>IFERROR(__xludf.DUMMYFUNCTION("""COMPUTED_VALUE"""),"Cannoli")</f>
        <v>Cannoli</v>
      </c>
      <c r="E160" s="30" t="str">
        <f>IFERROR(__xludf.DUMMYFUNCTION("""COMPUTED_VALUE"""),"Fifty-Fifty Pizzeria")</f>
        <v>Fifty-Fifty Pizzeria</v>
      </c>
      <c r="F160" s="30" t="str">
        <f>IFERROR(__xludf.DUMMYFUNCTION("""COMPUTED_VALUE"""),"Lunar")</f>
        <v>Lunar</v>
      </c>
      <c r="G160" s="92">
        <f>IFERROR(__xludf.DUMMYFUNCTION("""COMPUTED_VALUE"""),75.11464705660799)</f>
        <v>75.11464706</v>
      </c>
    </row>
    <row r="161">
      <c r="A161" s="30" t="str">
        <f>IFERROR(__xludf.DUMMYFUNCTION("""COMPUTED_VALUE"""),"RSC007995")</f>
        <v>RSC007995</v>
      </c>
      <c r="B161" s="30" t="str">
        <f>IFERROR(__xludf.DUMMYFUNCTION("""COMPUTED_VALUE"""),"Tylanz")</f>
        <v>Tylanz</v>
      </c>
      <c r="C161" s="30" t="str">
        <f>IFERROR(__xludf.DUMMYFUNCTION("""COMPUTED_VALUE"""),"Veteran")</f>
        <v>Veteran</v>
      </c>
      <c r="D161" s="30" t="str">
        <f>IFERROR(__xludf.DUMMYFUNCTION("""COMPUTED_VALUE"""),"Cannoli")</f>
        <v>Cannoli</v>
      </c>
      <c r="E161" s="30" t="str">
        <f>IFERROR(__xludf.DUMMYFUNCTION("""COMPUTED_VALUE"""),"Fifty-Fifty Pizzeria")</f>
        <v>Fifty-Fifty Pizzeria</v>
      </c>
      <c r="F161" s="30" t="str">
        <f>IFERROR(__xludf.DUMMYFUNCTION("""COMPUTED_VALUE"""),"Lunar")</f>
        <v>Lunar</v>
      </c>
      <c r="G161" s="92">
        <f>IFERROR(__xludf.DUMMYFUNCTION("""COMPUTED_VALUE"""),34.252132720191156)</f>
        <v>34.25213272</v>
      </c>
    </row>
    <row r="162">
      <c r="A162" s="30" t="str">
        <f>IFERROR(__xludf.DUMMYFUNCTION("""COMPUTED_VALUE"""),"RSC006417")</f>
        <v>RSC006417</v>
      </c>
      <c r="B162" s="30" t="str">
        <f>IFERROR(__xludf.DUMMYFUNCTION("""COMPUTED_VALUE"""),"TangentOgive")</f>
        <v>TangentOgive</v>
      </c>
      <c r="C162" s="30" t="str">
        <f>IFERROR(__xludf.DUMMYFUNCTION("""COMPUTED_VALUE"""),"Veteran")</f>
        <v>Veteran</v>
      </c>
      <c r="D162" s="30" t="str">
        <f>IFERROR(__xludf.DUMMYFUNCTION("""COMPUTED_VALUE"""),"Cannoli")</f>
        <v>Cannoli</v>
      </c>
      <c r="E162" s="30" t="str">
        <f>IFERROR(__xludf.DUMMYFUNCTION("""COMPUTED_VALUE"""),"Fifty-Fifty Pizzeria")</f>
        <v>Fifty-Fifty Pizzeria</v>
      </c>
      <c r="F162" s="30" t="str">
        <f>IFERROR(__xludf.DUMMYFUNCTION("""COMPUTED_VALUE"""),"Lunar")</f>
        <v>Lunar</v>
      </c>
      <c r="G162" s="92">
        <f>IFERROR(__xludf.DUMMYFUNCTION("""COMPUTED_VALUE"""),70.38045667475767)</f>
        <v>70.38045667</v>
      </c>
    </row>
    <row r="163">
      <c r="A163" s="30" t="str">
        <f>IFERROR(__xludf.DUMMYFUNCTION("""COMPUTED_VALUE"""),"RSC007504")</f>
        <v>RSC007504</v>
      </c>
      <c r="B163" s="30" t="str">
        <f>IFERROR(__xludf.DUMMYFUNCTION("""COMPUTED_VALUE"""),"Percussive3260")</f>
        <v>Percussive3260</v>
      </c>
      <c r="C163" s="30" t="str">
        <f>IFERROR(__xludf.DUMMYFUNCTION("""COMPUTED_VALUE"""),"Veteran")</f>
        <v>Veteran</v>
      </c>
      <c r="D163" s="30" t="str">
        <f>IFERROR(__xludf.DUMMYFUNCTION("""COMPUTED_VALUE"""),"Dread")</f>
        <v>Dread</v>
      </c>
      <c r="E163" s="30" t="str">
        <f>IFERROR(__xludf.DUMMYFUNCTION("""COMPUTED_VALUE"""),"The Shadows")</f>
        <v>The Shadows</v>
      </c>
      <c r="F163" s="30" t="str">
        <f>IFERROR(__xludf.DUMMYFUNCTION("""COMPUTED_VALUE"""),"Lunar")</f>
        <v>Lunar</v>
      </c>
      <c r="G163" s="92">
        <f>IFERROR(__xludf.DUMMYFUNCTION("""COMPUTED_VALUE"""),69.88542486352598)</f>
        <v>69.88542486</v>
      </c>
    </row>
    <row r="164">
      <c r="A164" s="30" t="str">
        <f>IFERROR(__xludf.DUMMYFUNCTION("""COMPUTED_VALUE"""),"RSC007510")</f>
        <v>RSC007510</v>
      </c>
      <c r="B164" s="30" t="str">
        <f>IFERROR(__xludf.DUMMYFUNCTION("""COMPUTED_VALUE"""),"Faolaen")</f>
        <v>Faolaen</v>
      </c>
      <c r="C164" s="30" t="str">
        <f>IFERROR(__xludf.DUMMYFUNCTION("""COMPUTED_VALUE"""),"Veteran")</f>
        <v>Veteran</v>
      </c>
      <c r="D164" s="30" t="str">
        <f>IFERROR(__xludf.DUMMYFUNCTION("""COMPUTED_VALUE"""),"Dread")</f>
        <v>Dread</v>
      </c>
      <c r="E164" s="30" t="str">
        <f>IFERROR(__xludf.DUMMYFUNCTION("""COMPUTED_VALUE"""),"The Shadows")</f>
        <v>The Shadows</v>
      </c>
      <c r="F164" s="30" t="str">
        <f>IFERROR(__xludf.DUMMYFUNCTION("""COMPUTED_VALUE"""),"Lunar")</f>
        <v>Lunar</v>
      </c>
      <c r="G164" s="92">
        <f>IFERROR(__xludf.DUMMYFUNCTION("""COMPUTED_VALUE"""),29.550028616372018)</f>
        <v>29.55002862</v>
      </c>
    </row>
    <row r="165">
      <c r="A165" s="30" t="str">
        <f>IFERROR(__xludf.DUMMYFUNCTION("""COMPUTED_VALUE"""),"RSC007062")</f>
        <v>RSC007062</v>
      </c>
      <c r="B165" s="30" t="str">
        <f>IFERROR(__xludf.DUMMYFUNCTION("""COMPUTED_VALUE"""),"Ice Phoenix")</f>
        <v>Ice Phoenix</v>
      </c>
      <c r="C165" s="30" t="str">
        <f>IFERROR(__xludf.DUMMYFUNCTION("""COMPUTED_VALUE"""),"Veteran")</f>
        <v>Veteran</v>
      </c>
      <c r="D165" s="30" t="str">
        <f>IFERROR(__xludf.DUMMYFUNCTION("""COMPUTED_VALUE"""),"Cannoli
Giraffes
Mellow Fellows
Dread")</f>
        <v>Cannoli
Giraffes
Mellow Fellows
Dread</v>
      </c>
      <c r="E165" s="30" t="str">
        <f>IFERROR(__xludf.DUMMYFUNCTION("""COMPUTED_VALUE"""),"Fifty-Fifty Pizzeria
Safari
Vibe Tribe
The Shadows")</f>
        <v>Fifty-Fifty Pizzeria
Safari
Vibe Tribe
The Shadows</v>
      </c>
      <c r="F165" s="30" t="str">
        <f>IFERROR(__xludf.DUMMYFUNCTION("""COMPUTED_VALUE"""),"Lunar")</f>
        <v>Lunar</v>
      </c>
      <c r="G165" s="92">
        <f>IFERROR(__xludf.DUMMYFUNCTION("""COMPUTED_VALUE"""),25.43805144520117)</f>
        <v>25.43805145</v>
      </c>
    </row>
    <row r="166">
      <c r="A166" s="30" t="str">
        <f>IFERROR(__xludf.DUMMYFUNCTION("""COMPUTED_VALUE"""),"RSC006290")</f>
        <v>RSC006290</v>
      </c>
      <c r="B166" s="30" t="str">
        <f>IFERROR(__xludf.DUMMYFUNCTION("""COMPUTED_VALUE"""),"Dirt D Dan")</f>
        <v>Dirt D Dan</v>
      </c>
      <c r="C166" s="30" t="str">
        <f>IFERROR(__xludf.DUMMYFUNCTION("""COMPUTED_VALUE"""),"Veteran")</f>
        <v>Veteran</v>
      </c>
      <c r="D166" s="30" t="str">
        <f>IFERROR(__xludf.DUMMYFUNCTION("""COMPUTED_VALUE"""),"Blacksmiths")</f>
        <v>Blacksmiths</v>
      </c>
      <c r="E166" s="30" t="str">
        <f>IFERROR(__xludf.DUMMYFUNCTION("""COMPUTED_VALUE"""),"Dwarf Haven")</f>
        <v>Dwarf Haven</v>
      </c>
      <c r="F166" s="30" t="str">
        <f>IFERROR(__xludf.DUMMYFUNCTION("""COMPUTED_VALUE"""),"Solar")</f>
        <v>Solar</v>
      </c>
      <c r="G166" s="92">
        <f>IFERROR(__xludf.DUMMYFUNCTION("""COMPUTED_VALUE"""),49.05225599891442)</f>
        <v>49.052256</v>
      </c>
    </row>
    <row r="167">
      <c r="A167" s="30" t="str">
        <f>IFERROR(__xludf.DUMMYFUNCTION("""COMPUTED_VALUE"""),"RSC006140")</f>
        <v>RSC006140</v>
      </c>
      <c r="B167" s="30" t="str">
        <f>IFERROR(__xludf.DUMMYFUNCTION("""COMPUTED_VALUE"""),"Jay_Kay99")</f>
        <v>Jay_Kay99</v>
      </c>
      <c r="C167" s="30" t="str">
        <f>IFERROR(__xludf.DUMMYFUNCTION("""COMPUTED_VALUE"""),"Veteran")</f>
        <v>Veteran</v>
      </c>
      <c r="D167" s="30" t="str">
        <f>IFERROR(__xludf.DUMMYFUNCTION("""COMPUTED_VALUE"""),"Blacksmiths")</f>
        <v>Blacksmiths</v>
      </c>
      <c r="E167" s="30" t="str">
        <f>IFERROR(__xludf.DUMMYFUNCTION("""COMPUTED_VALUE"""),"Dwarf Haven")</f>
        <v>Dwarf Haven</v>
      </c>
      <c r="F167" s="30" t="str">
        <f>IFERROR(__xludf.DUMMYFUNCTION("""COMPUTED_VALUE"""),"Solar")</f>
        <v>Solar</v>
      </c>
      <c r="G167" s="92">
        <f>IFERROR(__xludf.DUMMYFUNCTION("""COMPUTED_VALUE"""),57.98044713954257)</f>
        <v>57.98044714</v>
      </c>
    </row>
    <row r="168">
      <c r="A168" s="30" t="str">
        <f>IFERROR(__xludf.DUMMYFUNCTION("""COMPUTED_VALUE"""),"RSC007760")</f>
        <v>RSC007760</v>
      </c>
      <c r="B168" s="30" t="str">
        <f>IFERROR(__xludf.DUMMYFUNCTION("""COMPUTED_VALUE"""),"BossMan")</f>
        <v>BossMan</v>
      </c>
      <c r="C168" s="30" t="str">
        <f>IFERROR(__xludf.DUMMYFUNCTION("""COMPUTED_VALUE"""),"Veteran")</f>
        <v>Veteran</v>
      </c>
      <c r="D168" s="30" t="str">
        <f>IFERROR(__xludf.DUMMYFUNCTION("""COMPUTED_VALUE"""),"Blacksmiths")</f>
        <v>Blacksmiths</v>
      </c>
      <c r="E168" s="30" t="str">
        <f>IFERROR(__xludf.DUMMYFUNCTION("""COMPUTED_VALUE"""),"Dwarf Haven")</f>
        <v>Dwarf Haven</v>
      </c>
      <c r="F168" s="30" t="str">
        <f>IFERROR(__xludf.DUMMYFUNCTION("""COMPUTED_VALUE"""),"Solar")</f>
        <v>Solar</v>
      </c>
      <c r="G168" s="92">
        <f>IFERROR(__xludf.DUMMYFUNCTION("""COMPUTED_VALUE"""),42.288801137639595)</f>
        <v>42.28880114</v>
      </c>
    </row>
    <row r="169">
      <c r="A169" s="30" t="str">
        <f>IFERROR(__xludf.DUMMYFUNCTION("""COMPUTED_VALUE"""),"RSC004220")</f>
        <v>RSC004220</v>
      </c>
      <c r="B169" s="30" t="str">
        <f>IFERROR(__xludf.DUMMYFUNCTION("""COMPUTED_VALUE"""),"Logixaal")</f>
        <v>Logixaal</v>
      </c>
      <c r="C169" s="30" t="str">
        <f>IFERROR(__xludf.DUMMYFUNCTION("""COMPUTED_VALUE"""),"Veteran")</f>
        <v>Veteran</v>
      </c>
      <c r="D169" s="30" t="str">
        <f>IFERROR(__xludf.DUMMYFUNCTION("""COMPUTED_VALUE"""),"Typhoons")</f>
        <v>Typhoons</v>
      </c>
      <c r="E169" s="30" t="str">
        <f>IFERROR(__xludf.DUMMYFUNCTION("""COMPUTED_VALUE"""),"Storm")</f>
        <v>Storm</v>
      </c>
      <c r="F169" s="30" t="str">
        <f>IFERROR(__xludf.DUMMYFUNCTION("""COMPUTED_VALUE"""),"Solar")</f>
        <v>Solar</v>
      </c>
      <c r="G169" s="92">
        <f>IFERROR(__xludf.DUMMYFUNCTION("""COMPUTED_VALUE"""),46.321733075321376)</f>
        <v>46.32173308</v>
      </c>
    </row>
    <row r="170">
      <c r="A170" s="30" t="str">
        <f>IFERROR(__xludf.DUMMYFUNCTION("""COMPUTED_VALUE"""),"RSC007688")</f>
        <v>RSC007688</v>
      </c>
      <c r="B170" s="30" t="str">
        <f>IFERROR(__xludf.DUMMYFUNCTION("""COMPUTED_VALUE"""),"Yami ^^")</f>
        <v>Yami ^^</v>
      </c>
      <c r="C170" s="30" t="str">
        <f>IFERROR(__xludf.DUMMYFUNCTION("""COMPUTED_VALUE"""),"Veteran")</f>
        <v>Veteran</v>
      </c>
      <c r="D170" s="30" t="str">
        <f>IFERROR(__xludf.DUMMYFUNCTION("""COMPUTED_VALUE"""),"Typhoons")</f>
        <v>Typhoons</v>
      </c>
      <c r="E170" s="30" t="str">
        <f>IFERROR(__xludf.DUMMYFUNCTION("""COMPUTED_VALUE"""),"Storm")</f>
        <v>Storm</v>
      </c>
      <c r="F170" s="30" t="str">
        <f>IFERROR(__xludf.DUMMYFUNCTION("""COMPUTED_VALUE"""),"Solar")</f>
        <v>Solar</v>
      </c>
      <c r="G170" s="92">
        <f>IFERROR(__xludf.DUMMYFUNCTION("""COMPUTED_VALUE"""),53.796606333777625)</f>
        <v>53.79660633</v>
      </c>
    </row>
    <row r="171">
      <c r="A171" s="30" t="str">
        <f>IFERROR(__xludf.DUMMYFUNCTION("""COMPUTED_VALUE"""),"RSC005758")</f>
        <v>RSC005758</v>
      </c>
      <c r="B171" s="30" t="str">
        <f>IFERROR(__xludf.DUMMYFUNCTION("""COMPUTED_VALUE"""),"ghostsynn.")</f>
        <v>ghostsynn.</v>
      </c>
      <c r="C171" s="30" t="str">
        <f>IFERROR(__xludf.DUMMYFUNCTION("""COMPUTED_VALUE"""),"Veteran")</f>
        <v>Veteran</v>
      </c>
      <c r="D171" s="30" t="str">
        <f>IFERROR(__xludf.DUMMYFUNCTION("""COMPUTED_VALUE"""),"Typhoons")</f>
        <v>Typhoons</v>
      </c>
      <c r="E171" s="30" t="str">
        <f>IFERROR(__xludf.DUMMYFUNCTION("""COMPUTED_VALUE"""),"Storm")</f>
        <v>Storm</v>
      </c>
      <c r="F171" s="30" t="str">
        <f>IFERROR(__xludf.DUMMYFUNCTION("""COMPUTED_VALUE"""),"Solar")</f>
        <v>Solar</v>
      </c>
      <c r="G171" s="92">
        <f>IFERROR(__xludf.DUMMYFUNCTION("""COMPUTED_VALUE"""),67.06190759500885)</f>
        <v>67.0619076</v>
      </c>
    </row>
    <row r="172">
      <c r="A172" s="30" t="str">
        <f>IFERROR(__xludf.DUMMYFUNCTION("""COMPUTED_VALUE"""),"RSC006278")</f>
        <v>RSC006278</v>
      </c>
      <c r="B172" s="30" t="str">
        <f>IFERROR(__xludf.DUMMYFUNCTION("""COMPUTED_VALUE"""),"DribblingPenguin")</f>
        <v>DribblingPenguin</v>
      </c>
      <c r="C172" s="30" t="str">
        <f>IFERROR(__xludf.DUMMYFUNCTION("""COMPUTED_VALUE"""),"Veteran")</f>
        <v>Veteran</v>
      </c>
      <c r="D172" s="30" t="str">
        <f>IFERROR(__xludf.DUMMYFUNCTION("""COMPUTED_VALUE"""),"Azalea")</f>
        <v>Azalea</v>
      </c>
      <c r="E172" s="30" t="str">
        <f>IFERROR(__xludf.DUMMYFUNCTION("""COMPUTED_VALUE"""),"Flower Road")</f>
        <v>Flower Road</v>
      </c>
      <c r="F172" s="30" t="str">
        <f>IFERROR(__xludf.DUMMYFUNCTION("""COMPUTED_VALUE"""),"Lunar")</f>
        <v>Lunar</v>
      </c>
      <c r="G172" s="92">
        <f>IFERROR(__xludf.DUMMYFUNCTION("""COMPUTED_VALUE"""),64.08199475583558)</f>
        <v>64.08199476</v>
      </c>
    </row>
    <row r="173">
      <c r="A173" s="30" t="str">
        <f>IFERROR(__xludf.DUMMYFUNCTION("""COMPUTED_VALUE"""),"RSC006128")</f>
        <v>RSC006128</v>
      </c>
      <c r="B173" s="30" t="str">
        <f>IFERROR(__xludf.DUMMYFUNCTION("""COMPUTED_VALUE"""),"anth0tex")</f>
        <v>anth0tex</v>
      </c>
      <c r="C173" s="30" t="str">
        <f>IFERROR(__xludf.DUMMYFUNCTION("""COMPUTED_VALUE"""),"Veteran")</f>
        <v>Veteran</v>
      </c>
      <c r="D173" s="30" t="str">
        <f>IFERROR(__xludf.DUMMYFUNCTION("""COMPUTED_VALUE"""),"Azalea")</f>
        <v>Azalea</v>
      </c>
      <c r="E173" s="30" t="str">
        <f>IFERROR(__xludf.DUMMYFUNCTION("""COMPUTED_VALUE"""),"Flower Road")</f>
        <v>Flower Road</v>
      </c>
      <c r="F173" s="30" t="str">
        <f>IFERROR(__xludf.DUMMYFUNCTION("""COMPUTED_VALUE"""),"Lunar")</f>
        <v>Lunar</v>
      </c>
      <c r="G173" s="92">
        <f>IFERROR(__xludf.DUMMYFUNCTION("""COMPUTED_VALUE"""),32.1023668754664)</f>
        <v>32.10236688</v>
      </c>
    </row>
    <row r="174">
      <c r="A174" s="30" t="str">
        <f>IFERROR(__xludf.DUMMYFUNCTION("""COMPUTED_VALUE"""),"RSC007301")</f>
        <v>RSC007301</v>
      </c>
      <c r="B174" s="30" t="str">
        <f>IFERROR(__xludf.DUMMYFUNCTION("""COMPUTED_VALUE"""),"DeathFletch")</f>
        <v>DeathFletch</v>
      </c>
      <c r="C174" s="30" t="str">
        <f>IFERROR(__xludf.DUMMYFUNCTION("""COMPUTED_VALUE"""),"Veteran")</f>
        <v>Veteran</v>
      </c>
      <c r="D174" s="30" t="str">
        <f>IFERROR(__xludf.DUMMYFUNCTION("""COMPUTED_VALUE"""),"Azalea")</f>
        <v>Azalea</v>
      </c>
      <c r="E174" s="30" t="str">
        <f>IFERROR(__xludf.DUMMYFUNCTION("""COMPUTED_VALUE"""),"Flower Road")</f>
        <v>Flower Road</v>
      </c>
      <c r="F174" s="30" t="str">
        <f>IFERROR(__xludf.DUMMYFUNCTION("""COMPUTED_VALUE"""),"Lunar")</f>
        <v>Lunar</v>
      </c>
      <c r="G174" s="92">
        <f>IFERROR(__xludf.DUMMYFUNCTION("""COMPUTED_VALUE"""),54.144029163214604)</f>
        <v>54.14402916</v>
      </c>
    </row>
    <row r="175">
      <c r="A175" s="30" t="str">
        <f>IFERROR(__xludf.DUMMYFUNCTION("""COMPUTED_VALUE"""),"RSC007187")</f>
        <v>RSC007187</v>
      </c>
      <c r="B175" s="30" t="str">
        <f>IFERROR(__xludf.DUMMYFUNCTION("""COMPUTED_VALUE"""),"Evil Gooby")</f>
        <v>Evil Gooby</v>
      </c>
      <c r="C175" s="30" t="str">
        <f>IFERROR(__xludf.DUMMYFUNCTION("""COMPUTED_VALUE"""),"Veteran")</f>
        <v>Veteran</v>
      </c>
      <c r="D175" s="30" t="str">
        <f>IFERROR(__xludf.DUMMYFUNCTION("""COMPUTED_VALUE"""),"Mellow Fellows")</f>
        <v>Mellow Fellows</v>
      </c>
      <c r="E175" s="30" t="str">
        <f>IFERROR(__xludf.DUMMYFUNCTION("""COMPUTED_VALUE"""),"Vibe Tribe")</f>
        <v>Vibe Tribe</v>
      </c>
      <c r="F175" s="30" t="str">
        <f>IFERROR(__xludf.DUMMYFUNCTION("""COMPUTED_VALUE"""),"Lunar")</f>
        <v>Lunar</v>
      </c>
      <c r="G175" s="92">
        <f>IFERROR(__xludf.DUMMYFUNCTION("""COMPUTED_VALUE"""),16.68267592713027)</f>
        <v>16.68267593</v>
      </c>
    </row>
    <row r="176">
      <c r="A176" s="30" t="str">
        <f>IFERROR(__xludf.DUMMYFUNCTION("""COMPUTED_VALUE"""),"RSC007437")</f>
        <v>RSC007437</v>
      </c>
      <c r="B176" s="30" t="str">
        <f>IFERROR(__xludf.DUMMYFUNCTION("""COMPUTED_VALUE"""),"luckyy.12")</f>
        <v>luckyy.12</v>
      </c>
      <c r="C176" s="30" t="str">
        <f>IFERROR(__xludf.DUMMYFUNCTION("""COMPUTED_VALUE"""),"Veteran")</f>
        <v>Veteran</v>
      </c>
      <c r="D176" s="30" t="str">
        <f>IFERROR(__xludf.DUMMYFUNCTION("""COMPUTED_VALUE"""),"Mellow Fellows")</f>
        <v>Mellow Fellows</v>
      </c>
      <c r="E176" s="30" t="str">
        <f>IFERROR(__xludf.DUMMYFUNCTION("""COMPUTED_VALUE"""),"Vibe Tribe")</f>
        <v>Vibe Tribe</v>
      </c>
      <c r="F176" s="30" t="str">
        <f>IFERROR(__xludf.DUMMYFUNCTION("""COMPUTED_VALUE"""),"Lunar")</f>
        <v>Lunar</v>
      </c>
      <c r="G176" s="92">
        <f>IFERROR(__xludf.DUMMYFUNCTION("""COMPUTED_VALUE"""),55.717637934902775)</f>
        <v>55.71763793</v>
      </c>
    </row>
    <row r="177">
      <c r="A177" s="30" t="str">
        <f>IFERROR(__xludf.DUMMYFUNCTION("""COMPUTED_VALUE"""),"RSC001612")</f>
        <v>RSC001612</v>
      </c>
      <c r="B177" s="30" t="str">
        <f>IFERROR(__xludf.DUMMYFUNCTION("""COMPUTED_VALUE"""),"Reverse Fridge")</f>
        <v>Reverse Fridge</v>
      </c>
      <c r="C177" s="30" t="str">
        <f>IFERROR(__xludf.DUMMYFUNCTION("""COMPUTED_VALUE"""),"Veteran")</f>
        <v>Veteran</v>
      </c>
      <c r="D177" s="30" t="str">
        <f>IFERROR(__xludf.DUMMYFUNCTION("""COMPUTED_VALUE"""),"Mellow Fellows")</f>
        <v>Mellow Fellows</v>
      </c>
      <c r="E177" s="30" t="str">
        <f>IFERROR(__xludf.DUMMYFUNCTION("""COMPUTED_VALUE"""),"Vibe Tribe")</f>
        <v>Vibe Tribe</v>
      </c>
      <c r="F177" s="30" t="str">
        <f>IFERROR(__xludf.DUMMYFUNCTION("""COMPUTED_VALUE"""),"Lunar")</f>
        <v>Lunar</v>
      </c>
      <c r="G177" s="92">
        <f>IFERROR(__xludf.DUMMYFUNCTION("""COMPUTED_VALUE"""),39.04008166528398)</f>
        <v>39.04008167</v>
      </c>
    </row>
    <row r="178">
      <c r="A178" s="30" t="str">
        <f>IFERROR(__xludf.DUMMYFUNCTION("""COMPUTED_VALUE"""),"RSC004662")</f>
        <v>RSC004662</v>
      </c>
      <c r="B178" s="30" t="str">
        <f>IFERROR(__xludf.DUMMYFUNCTION("""COMPUTED_VALUE"""),"D_MATT_")</f>
        <v>D_MATT_</v>
      </c>
      <c r="C178" s="30" t="str">
        <f>IFERROR(__xludf.DUMMYFUNCTION("""COMPUTED_VALUE"""),"Veteran")</f>
        <v>Veteran</v>
      </c>
      <c r="D178" s="30" t="str">
        <f>IFERROR(__xludf.DUMMYFUNCTION("""COMPUTED_VALUE"""),"Penguins")</f>
        <v>Penguins</v>
      </c>
      <c r="E178" s="30" t="str">
        <f>IFERROR(__xludf.DUMMYFUNCTION("""COMPUTED_VALUE"""),"Flightless Fowl")</f>
        <v>Flightless Fowl</v>
      </c>
      <c r="F178" s="30" t="str">
        <f>IFERROR(__xludf.DUMMYFUNCTION("""COMPUTED_VALUE"""),"Solar")</f>
        <v>Solar</v>
      </c>
      <c r="G178" s="92">
        <f>IFERROR(__xludf.DUMMYFUNCTION("""COMPUTED_VALUE"""),88.30541700429434)</f>
        <v>88.305417</v>
      </c>
    </row>
    <row r="179">
      <c r="A179" s="30" t="str">
        <f>IFERROR(__xludf.DUMMYFUNCTION("""COMPUTED_VALUE"""),"RSC006700")</f>
        <v>RSC006700</v>
      </c>
      <c r="B179" s="30" t="str">
        <f>IFERROR(__xludf.DUMMYFUNCTION("""COMPUTED_VALUE"""),"Terx")</f>
        <v>Terx</v>
      </c>
      <c r="C179" s="30" t="str">
        <f>IFERROR(__xludf.DUMMYFUNCTION("""COMPUTED_VALUE"""),"Veteran")</f>
        <v>Veteran</v>
      </c>
      <c r="D179" s="30" t="str">
        <f>IFERROR(__xludf.DUMMYFUNCTION("""COMPUTED_VALUE"""),"Penguins")</f>
        <v>Penguins</v>
      </c>
      <c r="E179" s="30" t="str">
        <f>IFERROR(__xludf.DUMMYFUNCTION("""COMPUTED_VALUE"""),"Flightless Fowl")</f>
        <v>Flightless Fowl</v>
      </c>
      <c r="F179" s="30" t="str">
        <f>IFERROR(__xludf.DUMMYFUNCTION("""COMPUTED_VALUE"""),"Solar")</f>
        <v>Solar</v>
      </c>
      <c r="G179" s="92">
        <f>IFERROR(__xludf.DUMMYFUNCTION("""COMPUTED_VALUE"""),33.530674674844896)</f>
        <v>33.53067467</v>
      </c>
    </row>
    <row r="180">
      <c r="A180" s="30" t="str">
        <f>IFERROR(__xludf.DUMMYFUNCTION("""COMPUTED_VALUE"""),"RSC005505")</f>
        <v>RSC005505</v>
      </c>
      <c r="B180" s="30" t="str">
        <f>IFERROR(__xludf.DUMMYFUNCTION("""COMPUTED_VALUE"""),"The_Wheelman_95")</f>
        <v>The_Wheelman_95</v>
      </c>
      <c r="C180" s="30" t="str">
        <f>IFERROR(__xludf.DUMMYFUNCTION("""COMPUTED_VALUE"""),"Veteran")</f>
        <v>Veteran</v>
      </c>
      <c r="D180" s="30" t="str">
        <f>IFERROR(__xludf.DUMMYFUNCTION("""COMPUTED_VALUE"""),"Penguins")</f>
        <v>Penguins</v>
      </c>
      <c r="E180" s="30" t="str">
        <f>IFERROR(__xludf.DUMMYFUNCTION("""COMPUTED_VALUE"""),"Flightless Fowl")</f>
        <v>Flightless Fowl</v>
      </c>
      <c r="F180" s="30" t="str">
        <f>IFERROR(__xludf.DUMMYFUNCTION("""COMPUTED_VALUE"""),"Solar")</f>
        <v>Solar</v>
      </c>
      <c r="G180" s="92">
        <f>IFERROR(__xludf.DUMMYFUNCTION("""COMPUTED_VALUE"""),41.45741888041009)</f>
        <v>41.45741888</v>
      </c>
    </row>
    <row r="181">
      <c r="A181" s="30" t="str">
        <f>IFERROR(__xludf.DUMMYFUNCTION("""COMPUTED_VALUE"""),"RSC006320")</f>
        <v>RSC006320</v>
      </c>
      <c r="B181" s="30" t="str">
        <f>IFERROR(__xludf.DUMMYFUNCTION("""COMPUTED_VALUE"""),"Escape_Plan")</f>
        <v>Escape_Plan</v>
      </c>
      <c r="C181" s="30" t="str">
        <f>IFERROR(__xludf.DUMMYFUNCTION("""COMPUTED_VALUE"""),"Veteran")</f>
        <v>Veteran</v>
      </c>
      <c r="D181" s="30" t="str">
        <f>IFERROR(__xludf.DUMMYFUNCTION("""COMPUTED_VALUE"""),"Singularity")</f>
        <v>Singularity</v>
      </c>
      <c r="E181" s="30" t="str">
        <f>IFERROR(__xludf.DUMMYFUNCTION("""COMPUTED_VALUE"""),"Event Horizon")</f>
        <v>Event Horizon</v>
      </c>
      <c r="F181" s="30" t="str">
        <f>IFERROR(__xludf.DUMMYFUNCTION("""COMPUTED_VALUE"""),"Solar")</f>
        <v>Solar</v>
      </c>
      <c r="G181" s="92">
        <f>IFERROR(__xludf.DUMMYFUNCTION("""COMPUTED_VALUE"""),37.75548397225563)</f>
        <v>37.75548397</v>
      </c>
    </row>
    <row r="182">
      <c r="A182" s="30" t="str">
        <f>IFERROR(__xludf.DUMMYFUNCTION("""COMPUTED_VALUE"""),"RSC006315")</f>
        <v>RSC006315</v>
      </c>
      <c r="B182" s="30" t="str">
        <f>IFERROR(__xludf.DUMMYFUNCTION("""COMPUTED_VALUE"""),"BIGbadBULLMAN13")</f>
        <v>BIGbadBULLMAN13</v>
      </c>
      <c r="C182" s="30" t="str">
        <f>IFERROR(__xludf.DUMMYFUNCTION("""COMPUTED_VALUE"""),"Veteran")</f>
        <v>Veteran</v>
      </c>
      <c r="D182" s="30" t="str">
        <f>IFERROR(__xludf.DUMMYFUNCTION("""COMPUTED_VALUE"""),"Singularity")</f>
        <v>Singularity</v>
      </c>
      <c r="E182" s="30" t="str">
        <f>IFERROR(__xludf.DUMMYFUNCTION("""COMPUTED_VALUE"""),"Event Horizon")</f>
        <v>Event Horizon</v>
      </c>
      <c r="F182" s="30" t="str">
        <f>IFERROR(__xludf.DUMMYFUNCTION("""COMPUTED_VALUE"""),"Solar")</f>
        <v>Solar</v>
      </c>
      <c r="G182" s="92">
        <f>IFERROR(__xludf.DUMMYFUNCTION("""COMPUTED_VALUE"""),47.73074123701018)</f>
        <v>47.73074124</v>
      </c>
    </row>
    <row r="183">
      <c r="A183" s="30" t="str">
        <f>IFERROR(__xludf.DUMMYFUNCTION("""COMPUTED_VALUE"""),"RSC003272")</f>
        <v>RSC003272</v>
      </c>
      <c r="B183" s="30" t="str">
        <f>IFERROR(__xludf.DUMMYFUNCTION("""COMPUTED_VALUE"""),"jknop2")</f>
        <v>jknop2</v>
      </c>
      <c r="C183" s="30" t="str">
        <f>IFERROR(__xludf.DUMMYFUNCTION("""COMPUTED_VALUE"""),"Veteran")</f>
        <v>Veteran</v>
      </c>
      <c r="D183" s="30" t="str">
        <f>IFERROR(__xludf.DUMMYFUNCTION("""COMPUTED_VALUE"""),"Singularity")</f>
        <v>Singularity</v>
      </c>
      <c r="E183" s="30" t="str">
        <f>IFERROR(__xludf.DUMMYFUNCTION("""COMPUTED_VALUE"""),"Event Horizon")</f>
        <v>Event Horizon</v>
      </c>
      <c r="F183" s="30" t="str">
        <f>IFERROR(__xludf.DUMMYFUNCTION("""COMPUTED_VALUE"""),"Solar")</f>
        <v>Solar</v>
      </c>
      <c r="G183" s="92">
        <f>IFERROR(__xludf.DUMMYFUNCTION("""COMPUTED_VALUE"""),54.79358770946047)</f>
        <v>54.79358771</v>
      </c>
    </row>
    <row r="184">
      <c r="A184" s="30" t="str">
        <f>IFERROR(__xludf.DUMMYFUNCTION("""COMPUTED_VALUE"""),"RSC006836")</f>
        <v>RSC006836</v>
      </c>
      <c r="B184" s="30" t="str">
        <f>IFERROR(__xludf.DUMMYFUNCTION("""COMPUTED_VALUE"""),"BawaRL")</f>
        <v>BawaRL</v>
      </c>
      <c r="C184" s="30" t="str">
        <f>IFERROR(__xludf.DUMMYFUNCTION("""COMPUTED_VALUE"""),"Veteran")</f>
        <v>Veteran</v>
      </c>
      <c r="D184" s="30" t="str">
        <f>IFERROR(__xludf.DUMMYFUNCTION("""COMPUTED_VALUE"""),"Slots
Silver Dollar")</f>
        <v>Slots
Silver Dollar</v>
      </c>
      <c r="E184" s="30" t="str">
        <f>IFERROR(__xludf.DUMMYFUNCTION("""COMPUTED_VALUE"""),"Never Lucky
Money Makers")</f>
        <v>Never Lucky
Money Makers</v>
      </c>
      <c r="F184" s="30" t="str">
        <f>IFERROR(__xludf.DUMMYFUNCTION("""COMPUTED_VALUE"""),"Solar")</f>
        <v>Solar</v>
      </c>
      <c r="G184" s="92">
        <f>IFERROR(__xludf.DUMMYFUNCTION("""COMPUTED_VALUE"""),60.52347687517315)</f>
        <v>60.52347688</v>
      </c>
    </row>
    <row r="185">
      <c r="A185" s="30" t="str">
        <f>IFERROR(__xludf.DUMMYFUNCTION("""COMPUTED_VALUE"""),"RSC007231")</f>
        <v>RSC007231</v>
      </c>
      <c r="B185" s="30" t="str">
        <f>IFERROR(__xludf.DUMMYFUNCTION("""COMPUTED_VALUE"""),"BlitzzyG")</f>
        <v>BlitzzyG</v>
      </c>
      <c r="C185" s="30" t="str">
        <f>IFERROR(__xludf.DUMMYFUNCTION("""COMPUTED_VALUE"""),"Veteran")</f>
        <v>Veteran</v>
      </c>
      <c r="D185" s="30" t="str">
        <f>IFERROR(__xludf.DUMMYFUNCTION("""COMPUTED_VALUE"""),"Silver Dollar")</f>
        <v>Silver Dollar</v>
      </c>
      <c r="E185" s="30" t="str">
        <f>IFERROR(__xludf.DUMMYFUNCTION("""COMPUTED_VALUE"""),"Money Makers")</f>
        <v>Money Makers</v>
      </c>
      <c r="F185" s="30" t="str">
        <f>IFERROR(__xludf.DUMMYFUNCTION("""COMPUTED_VALUE"""),"Solar")</f>
        <v>Solar</v>
      </c>
      <c r="G185" s="92">
        <f>IFERROR(__xludf.DUMMYFUNCTION("""COMPUTED_VALUE"""),50.114186657157695)</f>
        <v>50.11418666</v>
      </c>
    </row>
    <row r="186">
      <c r="A186" s="30" t="str">
        <f>IFERROR(__xludf.DUMMYFUNCTION("""COMPUTED_VALUE"""),"RSC001098")</f>
        <v>RSC001098</v>
      </c>
      <c r="B186" s="30" t="str">
        <f>IFERROR(__xludf.DUMMYFUNCTION("""COMPUTED_VALUE"""),"Wafe")</f>
        <v>Wafe</v>
      </c>
      <c r="C186" s="30" t="str">
        <f>IFERROR(__xludf.DUMMYFUNCTION("""COMPUTED_VALUE"""),"Veteran")</f>
        <v>Veteran</v>
      </c>
      <c r="D186" s="30" t="str">
        <f>IFERROR(__xludf.DUMMYFUNCTION("""COMPUTED_VALUE"""),"Silver Dollar")</f>
        <v>Silver Dollar</v>
      </c>
      <c r="E186" s="30" t="str">
        <f>IFERROR(__xludf.DUMMYFUNCTION("""COMPUTED_VALUE"""),"Money Makers")</f>
        <v>Money Makers</v>
      </c>
      <c r="F186" s="30" t="str">
        <f>IFERROR(__xludf.DUMMYFUNCTION("""COMPUTED_VALUE"""),"Solar")</f>
        <v>Solar</v>
      </c>
      <c r="G186" s="92">
        <f>IFERROR(__xludf.DUMMYFUNCTION("""COMPUTED_VALUE"""),65.29792897058518)</f>
        <v>65.29792897</v>
      </c>
    </row>
    <row r="187">
      <c r="A187" s="30" t="str">
        <f>IFERROR(__xludf.DUMMYFUNCTION("""COMPUTED_VALUE"""),"RSC000367")</f>
        <v>RSC000367</v>
      </c>
      <c r="B187" s="30" t="str">
        <f>IFERROR(__xludf.DUMMYFUNCTION("""COMPUTED_VALUE"""),"Pana")</f>
        <v>Pana</v>
      </c>
      <c r="C187" s="30" t="str">
        <f>IFERROR(__xludf.DUMMYFUNCTION("""COMPUTED_VALUE"""),"Veteran")</f>
        <v>Veteran</v>
      </c>
      <c r="D187" s="30" t="str">
        <f>IFERROR(__xludf.DUMMYFUNCTION("""COMPUTED_VALUE"""),"Supernova")</f>
        <v>Supernova</v>
      </c>
      <c r="E187" s="30" t="str">
        <f>IFERROR(__xludf.DUMMYFUNCTION("""COMPUTED_VALUE"""),"The Cosmos")</f>
        <v>The Cosmos</v>
      </c>
      <c r="F187" s="30" t="str">
        <f>IFERROR(__xludf.DUMMYFUNCTION("""COMPUTED_VALUE"""),"Solar")</f>
        <v>Solar</v>
      </c>
      <c r="G187" s="92">
        <f>IFERROR(__xludf.DUMMYFUNCTION("""COMPUTED_VALUE"""),21.553074920867164)</f>
        <v>21.55307492</v>
      </c>
    </row>
    <row r="188">
      <c r="A188" s="30" t="str">
        <f>IFERROR(__xludf.DUMMYFUNCTION("""COMPUTED_VALUE"""),"RSC007888")</f>
        <v>RSC007888</v>
      </c>
      <c r="B188" s="30" t="str">
        <f>IFERROR(__xludf.DUMMYFUNCTION("""COMPUTED_VALUE"""),"SejRL")</f>
        <v>SejRL</v>
      </c>
      <c r="C188" s="30" t="str">
        <f>IFERROR(__xludf.DUMMYFUNCTION("""COMPUTED_VALUE"""),"Veteran")</f>
        <v>Veteran</v>
      </c>
      <c r="D188" s="30" t="str">
        <f>IFERROR(__xludf.DUMMYFUNCTION("""COMPUTED_VALUE"""),"Supernova")</f>
        <v>Supernova</v>
      </c>
      <c r="E188" s="30" t="str">
        <f>IFERROR(__xludf.DUMMYFUNCTION("""COMPUTED_VALUE"""),"The Cosmos")</f>
        <v>The Cosmos</v>
      </c>
      <c r="F188" s="30" t="str">
        <f>IFERROR(__xludf.DUMMYFUNCTION("""COMPUTED_VALUE"""),"Solar")</f>
        <v>Solar</v>
      </c>
      <c r="G188" s="92">
        <f>IFERROR(__xludf.DUMMYFUNCTION("""COMPUTED_VALUE"""),44.0971841795064)</f>
        <v>44.09718418</v>
      </c>
    </row>
    <row r="189">
      <c r="A189" s="30" t="str">
        <f>IFERROR(__xludf.DUMMYFUNCTION("""COMPUTED_VALUE"""),"RSC001007")</f>
        <v>RSC001007</v>
      </c>
      <c r="B189" s="30" t="str">
        <f>IFERROR(__xludf.DUMMYFUNCTION("""COMPUTED_VALUE"""),"Tdeez")</f>
        <v>Tdeez</v>
      </c>
      <c r="C189" s="30" t="str">
        <f>IFERROR(__xludf.DUMMYFUNCTION("""COMPUTED_VALUE"""),"Veteran")</f>
        <v>Veteran</v>
      </c>
      <c r="D189" s="30" t="str">
        <f>IFERROR(__xludf.DUMMYFUNCTION("""COMPUTED_VALUE"""),"Supernova")</f>
        <v>Supernova</v>
      </c>
      <c r="E189" s="30" t="str">
        <f>IFERROR(__xludf.DUMMYFUNCTION("""COMPUTED_VALUE"""),"The Cosmos")</f>
        <v>The Cosmos</v>
      </c>
      <c r="F189" s="30" t="str">
        <f>IFERROR(__xludf.DUMMYFUNCTION("""COMPUTED_VALUE"""),"Solar")</f>
        <v>Solar</v>
      </c>
      <c r="G189" s="92">
        <f>IFERROR(__xludf.DUMMYFUNCTION("""COMPUTED_VALUE"""),23.559673165925894)</f>
        <v>23.55967317</v>
      </c>
    </row>
    <row r="190">
      <c r="A190" s="30" t="str">
        <f>IFERROR(__xludf.DUMMYFUNCTION("""COMPUTED_VALUE"""),"RSC007855")</f>
        <v>RSC007855</v>
      </c>
      <c r="B190" s="30" t="str">
        <f>IFERROR(__xludf.DUMMYFUNCTION("""COMPUTED_VALUE"""),"Dub_Dill")</f>
        <v>Dub_Dill</v>
      </c>
      <c r="C190" s="30" t="str">
        <f>IFERROR(__xludf.DUMMYFUNCTION("""COMPUTED_VALUE"""),"Veteran")</f>
        <v>Veteran</v>
      </c>
      <c r="D190" s="30" t="str">
        <f>IFERROR(__xludf.DUMMYFUNCTION("""COMPUTED_VALUE"""),"Legati")</f>
        <v>Legati</v>
      </c>
      <c r="E190" s="30" t="str">
        <f>IFERROR(__xludf.DUMMYFUNCTION("""COMPUTED_VALUE"""),"The Sovereign")</f>
        <v>The Sovereign</v>
      </c>
      <c r="F190" s="30" t="str">
        <f>IFERROR(__xludf.DUMMYFUNCTION("""COMPUTED_VALUE"""),"Lunar")</f>
        <v>Lunar</v>
      </c>
      <c r="G190" s="92">
        <f>IFERROR(__xludf.DUMMYFUNCTION("""COMPUTED_VALUE"""),49.47652960974334)</f>
        <v>49.47652961</v>
      </c>
    </row>
    <row r="191">
      <c r="A191" s="30" t="str">
        <f>IFERROR(__xludf.DUMMYFUNCTION("""COMPUTED_VALUE"""),"RSC000923")</f>
        <v>RSC000923</v>
      </c>
      <c r="B191" s="30" t="str">
        <f>IFERROR(__xludf.DUMMYFUNCTION("""COMPUTED_VALUE"""),"Stemantics")</f>
        <v>Stemantics</v>
      </c>
      <c r="C191" s="30" t="str">
        <f>IFERROR(__xludf.DUMMYFUNCTION("""COMPUTED_VALUE"""),"Veteran")</f>
        <v>Veteran</v>
      </c>
      <c r="D191" s="30" t="str">
        <f>IFERROR(__xludf.DUMMYFUNCTION("""COMPUTED_VALUE"""),"Legati")</f>
        <v>Legati</v>
      </c>
      <c r="E191" s="30" t="str">
        <f>IFERROR(__xludf.DUMMYFUNCTION("""COMPUTED_VALUE"""),"The Sovereign")</f>
        <v>The Sovereign</v>
      </c>
      <c r="F191" s="30" t="str">
        <f>IFERROR(__xludf.DUMMYFUNCTION("""COMPUTED_VALUE"""),"Lunar")</f>
        <v>Lunar</v>
      </c>
      <c r="G191" s="92">
        <f>IFERROR(__xludf.DUMMYFUNCTION("""COMPUTED_VALUE"""),61.12295747997359)</f>
        <v>61.12295748</v>
      </c>
    </row>
    <row r="192">
      <c r="A192" s="30" t="str">
        <f>IFERROR(__xludf.DUMMYFUNCTION("""COMPUTED_VALUE"""),"RSC002906")</f>
        <v>RSC002906</v>
      </c>
      <c r="B192" s="30" t="str">
        <f>IFERROR(__xludf.DUMMYFUNCTION("""COMPUTED_VALUE"""),"PackRL")</f>
        <v>PackRL</v>
      </c>
      <c r="C192" s="30" t="str">
        <f>IFERROR(__xludf.DUMMYFUNCTION("""COMPUTED_VALUE"""),"Veteran")</f>
        <v>Veteran</v>
      </c>
      <c r="D192" s="30" t="str">
        <f>IFERROR(__xludf.DUMMYFUNCTION("""COMPUTED_VALUE"""),"Legati")</f>
        <v>Legati</v>
      </c>
      <c r="E192" s="30" t="str">
        <f>IFERROR(__xludf.DUMMYFUNCTION("""COMPUTED_VALUE"""),"The Sovereign")</f>
        <v>The Sovereign</v>
      </c>
      <c r="F192" s="30" t="str">
        <f>IFERROR(__xludf.DUMMYFUNCTION("""COMPUTED_VALUE"""),"Lunar")</f>
        <v>Lunar</v>
      </c>
      <c r="G192" s="92">
        <f>IFERROR(__xludf.DUMMYFUNCTION("""COMPUTED_VALUE"""),79.03594010147549)</f>
        <v>79.0359401</v>
      </c>
    </row>
    <row r="193">
      <c r="A193" s="30" t="str">
        <f>IFERROR(__xludf.DUMMYFUNCTION("""COMPUTED_VALUE"""),"RSC001118")</f>
        <v>RSC001118</v>
      </c>
      <c r="B193" s="30" t="str">
        <f>IFERROR(__xludf.DUMMYFUNCTION("""COMPUTED_VALUE"""),"azurified")</f>
        <v>azurified</v>
      </c>
      <c r="C193" s="30" t="str">
        <f>IFERROR(__xludf.DUMMYFUNCTION("""COMPUTED_VALUE"""),"Veteran")</f>
        <v>Veteran</v>
      </c>
      <c r="D193" s="30" t="str">
        <f>IFERROR(__xludf.DUMMYFUNCTION("""COMPUTED_VALUE"""),"Banshees")</f>
        <v>Banshees</v>
      </c>
      <c r="E193" s="30" t="str">
        <f>IFERROR(__xludf.DUMMYFUNCTION("""COMPUTED_VALUE"""),"The Monster Mash")</f>
        <v>The Monster Mash</v>
      </c>
      <c r="F193" s="30" t="str">
        <f>IFERROR(__xludf.DUMMYFUNCTION("""COMPUTED_VALUE"""),"Lunar")</f>
        <v>Lunar</v>
      </c>
      <c r="G193" s="92">
        <f>IFERROR(__xludf.DUMMYFUNCTION("""COMPUTED_VALUE"""),55.609877333498844)</f>
        <v>55.60987733</v>
      </c>
    </row>
    <row r="194">
      <c r="A194" s="30" t="str">
        <f>IFERROR(__xludf.DUMMYFUNCTION("""COMPUTED_VALUE"""),"RSC007512")</f>
        <v>RSC007512</v>
      </c>
      <c r="B194" s="30" t="str">
        <f>IFERROR(__xludf.DUMMYFUNCTION("""COMPUTED_VALUE"""),"BigGreenRL")</f>
        <v>BigGreenRL</v>
      </c>
      <c r="C194" s="30" t="str">
        <f>IFERROR(__xludf.DUMMYFUNCTION("""COMPUTED_VALUE"""),"Veteran")</f>
        <v>Veteran</v>
      </c>
      <c r="D194" s="30" t="str">
        <f>IFERROR(__xludf.DUMMYFUNCTION("""COMPUTED_VALUE"""),"Banshees")</f>
        <v>Banshees</v>
      </c>
      <c r="E194" s="30" t="str">
        <f>IFERROR(__xludf.DUMMYFUNCTION("""COMPUTED_VALUE"""),"The Monster Mash")</f>
        <v>The Monster Mash</v>
      </c>
      <c r="F194" s="30" t="str">
        <f>IFERROR(__xludf.DUMMYFUNCTION("""COMPUTED_VALUE"""),"Lunar")</f>
        <v>Lunar</v>
      </c>
      <c r="G194" s="92">
        <f>IFERROR(__xludf.DUMMYFUNCTION("""COMPUTED_VALUE"""),52.470473801470185)</f>
        <v>52.4704738</v>
      </c>
    </row>
    <row r="195">
      <c r="A195" s="30" t="str">
        <f>IFERROR(__xludf.DUMMYFUNCTION("""COMPUTED_VALUE"""),"RSC005267")</f>
        <v>RSC005267</v>
      </c>
      <c r="B195" s="30" t="str">
        <f>IFERROR(__xludf.DUMMYFUNCTION("""COMPUTED_VALUE"""),"jj.dunbar")</f>
        <v>jj.dunbar</v>
      </c>
      <c r="C195" s="30" t="str">
        <f>IFERROR(__xludf.DUMMYFUNCTION("""COMPUTED_VALUE"""),"Veteran")</f>
        <v>Veteran</v>
      </c>
      <c r="D195" s="30" t="str">
        <f>IFERROR(__xludf.DUMMYFUNCTION("""COMPUTED_VALUE"""),"Banshees")</f>
        <v>Banshees</v>
      </c>
      <c r="E195" s="30" t="str">
        <f>IFERROR(__xludf.DUMMYFUNCTION("""COMPUTED_VALUE"""),"The Monster Mash")</f>
        <v>The Monster Mash</v>
      </c>
      <c r="F195" s="30" t="str">
        <f>IFERROR(__xludf.DUMMYFUNCTION("""COMPUTED_VALUE"""),"Lunar")</f>
        <v>Lunar</v>
      </c>
      <c r="G195" s="92">
        <f>IFERROR(__xludf.DUMMYFUNCTION("""COMPUTED_VALUE"""),9.184019804579336)</f>
        <v>9.184019805</v>
      </c>
    </row>
    <row r="196">
      <c r="A196" s="30" t="str">
        <f>IFERROR(__xludf.DUMMYFUNCTION("""COMPUTED_VALUE"""),"RSC001921")</f>
        <v>RSC001921</v>
      </c>
      <c r="B196" s="30" t="str">
        <f>IFERROR(__xludf.DUMMYFUNCTION("""COMPUTED_VALUE"""),"Dom")</f>
        <v>Dom</v>
      </c>
      <c r="C196" s="30" t="str">
        <f>IFERROR(__xludf.DUMMYFUNCTION("""COMPUTED_VALUE"""),"Veteran")</f>
        <v>Veteran</v>
      </c>
      <c r="D196" s="30" t="str">
        <f>IFERROR(__xludf.DUMMYFUNCTION("""COMPUTED_VALUE"""),"Kirin")</f>
        <v>Kirin</v>
      </c>
      <c r="E196" s="30" t="str">
        <f>IFERROR(__xludf.DUMMYFUNCTION("""COMPUTED_VALUE"""),"The Shrine")</f>
        <v>The Shrine</v>
      </c>
      <c r="F196" s="30" t="str">
        <f>IFERROR(__xludf.DUMMYFUNCTION("""COMPUTED_VALUE"""),"Solar")</f>
        <v>Solar</v>
      </c>
      <c r="G196" s="92">
        <f>IFERROR(__xludf.DUMMYFUNCTION("""COMPUTED_VALUE"""),64.02676093238271)</f>
        <v>64.02676093</v>
      </c>
    </row>
    <row r="197">
      <c r="A197" s="30" t="str">
        <f>IFERROR(__xludf.DUMMYFUNCTION("""COMPUTED_VALUE"""),"RSC002937")</f>
        <v>RSC002937</v>
      </c>
      <c r="B197" s="30" t="str">
        <f>IFERROR(__xludf.DUMMYFUNCTION("""COMPUTED_VALUE"""),"SirTommyNoble")</f>
        <v>SirTommyNoble</v>
      </c>
      <c r="C197" s="30" t="str">
        <f>IFERROR(__xludf.DUMMYFUNCTION("""COMPUTED_VALUE"""),"Veteran")</f>
        <v>Veteran</v>
      </c>
      <c r="D197" s="30" t="str">
        <f>IFERROR(__xludf.DUMMYFUNCTION("""COMPUTED_VALUE"""),"Kirin")</f>
        <v>Kirin</v>
      </c>
      <c r="E197" s="30" t="str">
        <f>IFERROR(__xludf.DUMMYFUNCTION("""COMPUTED_VALUE"""),"The Shrine")</f>
        <v>The Shrine</v>
      </c>
      <c r="F197" s="30" t="str">
        <f>IFERROR(__xludf.DUMMYFUNCTION("""COMPUTED_VALUE"""),"Solar")</f>
        <v>Solar</v>
      </c>
      <c r="G197" s="92">
        <f>IFERROR(__xludf.DUMMYFUNCTION("""COMPUTED_VALUE"""),63.72564374729893)</f>
        <v>63.72564375</v>
      </c>
    </row>
    <row r="198">
      <c r="A198" s="30" t="str">
        <f>IFERROR(__xludf.DUMMYFUNCTION("""COMPUTED_VALUE"""),"RSC002760")</f>
        <v>RSC002760</v>
      </c>
      <c r="B198" s="30" t="str">
        <f>IFERROR(__xludf.DUMMYFUNCTION("""COMPUTED_VALUE"""),"gcol")</f>
        <v>gcol</v>
      </c>
      <c r="C198" s="30" t="str">
        <f>IFERROR(__xludf.DUMMYFUNCTION("""COMPUTED_VALUE"""),"Veteran")</f>
        <v>Veteran</v>
      </c>
      <c r="D198" s="30" t="str">
        <f>IFERROR(__xludf.DUMMYFUNCTION("""COMPUTED_VALUE"""),"Kirin")</f>
        <v>Kirin</v>
      </c>
      <c r="E198" s="30" t="str">
        <f>IFERROR(__xludf.DUMMYFUNCTION("""COMPUTED_VALUE"""),"The Shrine")</f>
        <v>The Shrine</v>
      </c>
      <c r="F198" s="30" t="str">
        <f>IFERROR(__xludf.DUMMYFUNCTION("""COMPUTED_VALUE"""),"Solar")</f>
        <v>Solar</v>
      </c>
      <c r="G198" s="92">
        <f>IFERROR(__xludf.DUMMYFUNCTION("""COMPUTED_VALUE"""),46.06831829618997)</f>
        <v>46.0683183</v>
      </c>
    </row>
    <row r="199">
      <c r="A199" s="30" t="str">
        <f>IFERROR(__xludf.DUMMYFUNCTION("""COMPUTED_VALUE"""),"RSC000960")</f>
        <v>RSC000960</v>
      </c>
      <c r="B199" s="30" t="str">
        <f>IFERROR(__xludf.DUMMYFUNCTION("""COMPUTED_VALUE"""),"Catlas")</f>
        <v>Catlas</v>
      </c>
      <c r="C199" s="30" t="str">
        <f>IFERROR(__xludf.DUMMYFUNCTION("""COMPUTED_VALUE"""),"Veteran")</f>
        <v>Veteran</v>
      </c>
      <c r="D199" s="30" t="str">
        <f>IFERROR(__xludf.DUMMYFUNCTION("""COMPUTED_VALUE"""),"Paradox Paloma")</f>
        <v>Paradox Paloma</v>
      </c>
      <c r="E199" s="30" t="str">
        <f>IFERROR(__xludf.DUMMYFUNCTION("""COMPUTED_VALUE"""),"5 O'clock Nowhere")</f>
        <v>5 O'clock Nowhere</v>
      </c>
      <c r="F199" s="30" t="str">
        <f>IFERROR(__xludf.DUMMYFUNCTION("""COMPUTED_VALUE"""),"Solar")</f>
        <v>Solar</v>
      </c>
      <c r="G199" s="92">
        <f>IFERROR(__xludf.DUMMYFUNCTION("""COMPUTED_VALUE"""),49.245745353066525)</f>
        <v>49.24574535</v>
      </c>
    </row>
    <row r="200">
      <c r="A200" s="30" t="str">
        <f>IFERROR(__xludf.DUMMYFUNCTION("""COMPUTED_VALUE"""),"RSC004094")</f>
        <v>RSC004094</v>
      </c>
      <c r="B200" s="30" t="str">
        <f>IFERROR(__xludf.DUMMYFUNCTION("""COMPUTED_VALUE"""),"Moxen")</f>
        <v>Moxen</v>
      </c>
      <c r="C200" s="30" t="str">
        <f>IFERROR(__xludf.DUMMYFUNCTION("""COMPUTED_VALUE"""),"Veteran")</f>
        <v>Veteran</v>
      </c>
      <c r="D200" s="30" t="str">
        <f>IFERROR(__xludf.DUMMYFUNCTION("""COMPUTED_VALUE"""),"Paradox Paloma")</f>
        <v>Paradox Paloma</v>
      </c>
      <c r="E200" s="30" t="str">
        <f>IFERROR(__xludf.DUMMYFUNCTION("""COMPUTED_VALUE"""),"5 O'clock Nowhere")</f>
        <v>5 O'clock Nowhere</v>
      </c>
      <c r="F200" s="30" t="str">
        <f>IFERROR(__xludf.DUMMYFUNCTION("""COMPUTED_VALUE"""),"Solar")</f>
        <v>Solar</v>
      </c>
      <c r="G200" s="92">
        <f>IFERROR(__xludf.DUMMYFUNCTION("""COMPUTED_VALUE"""),22.50746904068528)</f>
        <v>22.50746904</v>
      </c>
    </row>
    <row r="201">
      <c r="A201" s="30" t="str">
        <f>IFERROR(__xludf.DUMMYFUNCTION("""COMPUTED_VALUE"""),"RSC006945")</f>
        <v>RSC006945</v>
      </c>
      <c r="B201" s="30" t="str">
        <f>IFERROR(__xludf.DUMMYFUNCTION("""COMPUTED_VALUE"""),"nuummite")</f>
        <v>nuummite</v>
      </c>
      <c r="C201" s="30" t="str">
        <f>IFERROR(__xludf.DUMMYFUNCTION("""COMPUTED_VALUE"""),"Veteran")</f>
        <v>Veteran</v>
      </c>
      <c r="D201" s="30" t="str">
        <f>IFERROR(__xludf.DUMMYFUNCTION("""COMPUTED_VALUE"""),"Paradox Paloma")</f>
        <v>Paradox Paloma</v>
      </c>
      <c r="E201" s="30" t="str">
        <f>IFERROR(__xludf.DUMMYFUNCTION("""COMPUTED_VALUE"""),"5 O'clock Nowhere")</f>
        <v>5 O'clock Nowhere</v>
      </c>
      <c r="F201" s="30" t="str">
        <f>IFERROR(__xludf.DUMMYFUNCTION("""COMPUTED_VALUE"""),"Solar")</f>
        <v>Solar</v>
      </c>
      <c r="G201" s="92">
        <f>IFERROR(__xludf.DUMMYFUNCTION("""COMPUTED_VALUE"""),70.91387656228841)</f>
        <v>70.91387656</v>
      </c>
    </row>
    <row r="202">
      <c r="A202" s="30" t="str">
        <f>IFERROR(__xludf.DUMMYFUNCTION("""COMPUTED_VALUE"""),"RSC002917")</f>
        <v>RSC002917</v>
      </c>
      <c r="B202" s="30" t="str">
        <f>IFERROR(__xludf.DUMMYFUNCTION("""COMPUTED_VALUE"""),"Arbartenn")</f>
        <v>Arbartenn</v>
      </c>
      <c r="C202" s="30" t="str">
        <f>IFERROR(__xludf.DUMMYFUNCTION("""COMPUTED_VALUE"""),"Veteran")</f>
        <v>Veteran</v>
      </c>
      <c r="D202" s="30" t="str">
        <f>IFERROR(__xludf.DUMMYFUNCTION("""COMPUTED_VALUE"""),"Grizzly Bears")</f>
        <v>Grizzly Bears</v>
      </c>
      <c r="E202" s="30" t="str">
        <f>IFERROR(__xludf.DUMMYFUNCTION("""COMPUTED_VALUE"""),"The Bear Den")</f>
        <v>The Bear Den</v>
      </c>
      <c r="F202" s="30" t="str">
        <f>IFERROR(__xludf.DUMMYFUNCTION("""COMPUTED_VALUE"""),"Lunar")</f>
        <v>Lunar</v>
      </c>
      <c r="G202" s="92">
        <f>IFERROR(__xludf.DUMMYFUNCTION("""COMPUTED_VALUE"""),45.416709556587335)</f>
        <v>45.41670956</v>
      </c>
    </row>
    <row r="203">
      <c r="A203" s="30" t="str">
        <f>IFERROR(__xludf.DUMMYFUNCTION("""COMPUTED_VALUE"""),"RSC006000")</f>
        <v>RSC006000</v>
      </c>
      <c r="B203" s="30" t="str">
        <f>IFERROR(__xludf.DUMMYFUNCTION("""COMPUTED_VALUE"""),"janixity.")</f>
        <v>janixity.</v>
      </c>
      <c r="C203" s="30" t="str">
        <f>IFERROR(__xludf.DUMMYFUNCTION("""COMPUTED_VALUE"""),"Veteran")</f>
        <v>Veteran</v>
      </c>
      <c r="D203" s="30" t="str">
        <f>IFERROR(__xludf.DUMMYFUNCTION("""COMPUTED_VALUE"""),"Grizzly Bears")</f>
        <v>Grizzly Bears</v>
      </c>
      <c r="E203" s="30" t="str">
        <f>IFERROR(__xludf.DUMMYFUNCTION("""COMPUTED_VALUE"""),"The Bear Den")</f>
        <v>The Bear Den</v>
      </c>
      <c r="F203" s="30" t="str">
        <f>IFERROR(__xludf.DUMMYFUNCTION("""COMPUTED_VALUE"""),"Lunar")</f>
        <v>Lunar</v>
      </c>
      <c r="G203" s="92">
        <f>IFERROR(__xludf.DUMMYFUNCTION("""COMPUTED_VALUE"""),40.34082365592371)</f>
        <v>40.34082366</v>
      </c>
    </row>
    <row r="204">
      <c r="A204" s="30" t="str">
        <f>IFERROR(__xludf.DUMMYFUNCTION("""COMPUTED_VALUE"""),"RSC005212")</f>
        <v>RSC005212</v>
      </c>
      <c r="B204" s="30" t="str">
        <f>IFERROR(__xludf.DUMMYFUNCTION("""COMPUTED_VALUE"""),"crackdragon")</f>
        <v>crackdragon</v>
      </c>
      <c r="C204" s="30" t="str">
        <f>IFERROR(__xludf.DUMMYFUNCTION("""COMPUTED_VALUE"""),"Veteran")</f>
        <v>Veteran</v>
      </c>
      <c r="D204" s="30" t="str">
        <f>IFERROR(__xludf.DUMMYFUNCTION("""COMPUTED_VALUE"""),"Grizzly Bears")</f>
        <v>Grizzly Bears</v>
      </c>
      <c r="E204" s="30" t="str">
        <f>IFERROR(__xludf.DUMMYFUNCTION("""COMPUTED_VALUE"""),"The Bear Den")</f>
        <v>The Bear Den</v>
      </c>
      <c r="F204" s="30" t="str">
        <f>IFERROR(__xludf.DUMMYFUNCTION("""COMPUTED_VALUE"""),"Lunar")</f>
        <v>Lunar</v>
      </c>
      <c r="G204" s="92">
        <f>IFERROR(__xludf.DUMMYFUNCTION("""COMPUTED_VALUE"""),60.05943282766624)</f>
        <v>60.05943283</v>
      </c>
    </row>
    <row r="205">
      <c r="A205" s="30" t="str">
        <f>IFERROR(__xludf.DUMMYFUNCTION("""COMPUTED_VALUE"""),"RSC001487")</f>
        <v>RSC001487</v>
      </c>
      <c r="B205" s="30" t="str">
        <f>IFERROR(__xludf.DUMMYFUNCTION("""COMPUTED_VALUE"""),"M1ke1sMy1ke")</f>
        <v>M1ke1sMy1ke</v>
      </c>
      <c r="C205" s="30" t="str">
        <f>IFERROR(__xludf.DUMMYFUNCTION("""COMPUTED_VALUE"""),"Veteran")</f>
        <v>Veteran</v>
      </c>
      <c r="D205" s="30" t="str">
        <f>IFERROR(__xludf.DUMMYFUNCTION("""COMPUTED_VALUE"""),"Dump Trucks")</f>
        <v>Dump Trucks</v>
      </c>
      <c r="E205" s="30" t="str">
        <f>IFERROR(__xludf.DUMMYFUNCTION("""COMPUTED_VALUE"""),"Road Work Ahead")</f>
        <v>Road Work Ahead</v>
      </c>
      <c r="F205" s="30" t="str">
        <f>IFERROR(__xludf.DUMMYFUNCTION("""COMPUTED_VALUE"""),"Lunar")</f>
        <v>Lunar</v>
      </c>
      <c r="G205" s="92">
        <f>IFERROR(__xludf.DUMMYFUNCTION("""COMPUTED_VALUE"""),30.15867414699099)</f>
        <v>30.15867415</v>
      </c>
    </row>
    <row r="206">
      <c r="A206" s="30" t="str">
        <f>IFERROR(__xludf.DUMMYFUNCTION("""COMPUTED_VALUE"""),"RSC006174")</f>
        <v>RSC006174</v>
      </c>
      <c r="B206" s="30" t="str">
        <f>IFERROR(__xludf.DUMMYFUNCTION("""COMPUTED_VALUE"""),"I like bananas")</f>
        <v>I like bananas</v>
      </c>
      <c r="C206" s="30" t="str">
        <f>IFERROR(__xludf.DUMMYFUNCTION("""COMPUTED_VALUE"""),"Veteran")</f>
        <v>Veteran</v>
      </c>
      <c r="D206" s="30" t="str">
        <f>IFERROR(__xludf.DUMMYFUNCTION("""COMPUTED_VALUE"""),"Legati
Dump Trucks")</f>
        <v>Legati
Dump Trucks</v>
      </c>
      <c r="E206" s="30" t="str">
        <f>IFERROR(__xludf.DUMMYFUNCTION("""COMPUTED_VALUE"""),"The Sovereign
Road Work Ahead")</f>
        <v>The Sovereign
Road Work Ahead</v>
      </c>
      <c r="F206" s="30" t="str">
        <f>IFERROR(__xludf.DUMMYFUNCTION("""COMPUTED_VALUE"""),"Lunar")</f>
        <v>Lunar</v>
      </c>
      <c r="G206" s="92">
        <f>IFERROR(__xludf.DUMMYFUNCTION("""COMPUTED_VALUE"""),21.418886527959057)</f>
        <v>21.41888653</v>
      </c>
    </row>
    <row r="207">
      <c r="A207" s="30" t="str">
        <f>IFERROR(__xludf.DUMMYFUNCTION("""COMPUTED_VALUE"""),"RSC007610")</f>
        <v>RSC007610</v>
      </c>
      <c r="B207" s="30" t="str">
        <f>IFERROR(__xludf.DUMMYFUNCTION("""COMPUTED_VALUE"""),"Halibut907")</f>
        <v>Halibut907</v>
      </c>
      <c r="C207" s="30" t="str">
        <f>IFERROR(__xludf.DUMMYFUNCTION("""COMPUTED_VALUE"""),"Veteran")</f>
        <v>Veteran</v>
      </c>
      <c r="D207" s="30" t="str">
        <f>IFERROR(__xludf.DUMMYFUNCTION("""COMPUTED_VALUE"""),"Dump Trucks")</f>
        <v>Dump Trucks</v>
      </c>
      <c r="E207" s="30" t="str">
        <f>IFERROR(__xludf.DUMMYFUNCTION("""COMPUTED_VALUE"""),"Road Work Ahead")</f>
        <v>Road Work Ahead</v>
      </c>
      <c r="F207" s="30" t="str">
        <f>IFERROR(__xludf.DUMMYFUNCTION("""COMPUTED_VALUE"""),"Lunar")</f>
        <v>Lunar</v>
      </c>
      <c r="G207" s="92">
        <f>IFERROR(__xludf.DUMMYFUNCTION("""COMPUTED_VALUE"""),44.28214735039161)</f>
        <v>44.28214735</v>
      </c>
    </row>
    <row r="208">
      <c r="A208" s="30" t="str">
        <f>IFERROR(__xludf.DUMMYFUNCTION("""COMPUTED_VALUE"""),"RSC002747")</f>
        <v>RSC002747</v>
      </c>
      <c r="B208" s="30" t="str">
        <f>IFERROR(__xludf.DUMMYFUNCTION("""COMPUTED_VALUE"""),"derrrrrrrrp")</f>
        <v>derrrrrrrrp</v>
      </c>
      <c r="C208" s="30" t="str">
        <f>IFERROR(__xludf.DUMMYFUNCTION("""COMPUTED_VALUE"""),"Veteran")</f>
        <v>Veteran</v>
      </c>
      <c r="D208" s="30" t="str">
        <f>IFERROR(__xludf.DUMMYFUNCTION("""COMPUTED_VALUE"""),"Slots
Folks")</f>
        <v>Slots
Folks</v>
      </c>
      <c r="E208" s="30" t="str">
        <f>IFERROR(__xludf.DUMMYFUNCTION("""COMPUTED_VALUE"""),"Never Lucky
The Pit")</f>
        <v>Never Lucky
The Pit</v>
      </c>
      <c r="F208" s="30" t="str">
        <f>IFERROR(__xludf.DUMMYFUNCTION("""COMPUTED_VALUE"""),"Lunar")</f>
        <v>Lunar</v>
      </c>
      <c r="G208" s="92">
        <f>IFERROR(__xludf.DUMMYFUNCTION("""COMPUTED_VALUE"""),27.617890908856413)</f>
        <v>27.61789091</v>
      </c>
    </row>
    <row r="209">
      <c r="A209" s="30" t="str">
        <f>IFERROR(__xludf.DUMMYFUNCTION("""COMPUTED_VALUE"""),"RSC008007")</f>
        <v>RSC008007</v>
      </c>
      <c r="B209" s="30" t="str">
        <f>IFERROR(__xludf.DUMMYFUNCTION("""COMPUTED_VALUE"""),"Frog_Boot")</f>
        <v>Frog_Boot</v>
      </c>
      <c r="C209" s="30" t="str">
        <f>IFERROR(__xludf.DUMMYFUNCTION("""COMPUTED_VALUE"""),"Veteran")</f>
        <v>Veteran</v>
      </c>
      <c r="D209" s="30" t="str">
        <f>IFERROR(__xludf.DUMMYFUNCTION("""COMPUTED_VALUE"""),"Folks")</f>
        <v>Folks</v>
      </c>
      <c r="E209" s="30" t="str">
        <f>IFERROR(__xludf.DUMMYFUNCTION("""COMPUTED_VALUE"""),"The Pit")</f>
        <v>The Pit</v>
      </c>
      <c r="F209" s="30" t="str">
        <f>IFERROR(__xludf.DUMMYFUNCTION("""COMPUTED_VALUE"""),"Lunar")</f>
        <v>Lunar</v>
      </c>
      <c r="G209" s="92">
        <f>IFERROR(__xludf.DUMMYFUNCTION("""COMPUTED_VALUE"""),76.5290426607637)</f>
        <v>76.52904266</v>
      </c>
    </row>
    <row r="210">
      <c r="A210" s="30" t="str">
        <f>IFERROR(__xludf.DUMMYFUNCTION("""COMPUTED_VALUE"""),"RSC007479")</f>
        <v>RSC007479</v>
      </c>
      <c r="B210" s="30" t="str">
        <f>IFERROR(__xludf.DUMMYFUNCTION("""COMPUTED_VALUE"""),"Metatonixz")</f>
        <v>Metatonixz</v>
      </c>
      <c r="C210" s="30" t="str">
        <f>IFERROR(__xludf.DUMMYFUNCTION("""COMPUTED_VALUE"""),"Veteran")</f>
        <v>Veteran</v>
      </c>
      <c r="D210" s="30" t="str">
        <f>IFERROR(__xludf.DUMMYFUNCTION("""COMPUTED_VALUE"""),"Folks")</f>
        <v>Folks</v>
      </c>
      <c r="E210" s="30" t="str">
        <f>IFERROR(__xludf.DUMMYFUNCTION("""COMPUTED_VALUE"""),"The Pit")</f>
        <v>The Pit</v>
      </c>
      <c r="F210" s="30" t="str">
        <f>IFERROR(__xludf.DUMMYFUNCTION("""COMPUTED_VALUE"""),"Lunar")</f>
        <v>Lunar</v>
      </c>
      <c r="G210" s="92">
        <f>IFERROR(__xludf.DUMMYFUNCTION("""COMPUTED_VALUE"""),49.7143941411494)</f>
        <v>49.71439414</v>
      </c>
    </row>
    <row r="211">
      <c r="A211" s="30" t="str">
        <f>IFERROR(__xludf.DUMMYFUNCTION("""COMPUTED_VALUE"""),"RSC000550")</f>
        <v>RSC000550</v>
      </c>
      <c r="B211" s="30" t="str">
        <f>IFERROR(__xludf.DUMMYFUNCTION("""COMPUTED_VALUE"""),"ARJ")</f>
        <v>ARJ</v>
      </c>
      <c r="C211" s="30" t="str">
        <f>IFERROR(__xludf.DUMMYFUNCTION("""COMPUTED_VALUE"""),"Veteran")</f>
        <v>Veteran</v>
      </c>
      <c r="D211" s="30" t="str">
        <f>IFERROR(__xludf.DUMMYFUNCTION("""COMPUTED_VALUE"""),"Giraffes")</f>
        <v>Giraffes</v>
      </c>
      <c r="E211" s="30" t="str">
        <f>IFERROR(__xludf.DUMMYFUNCTION("""COMPUTED_VALUE"""),"Safari")</f>
        <v>Safari</v>
      </c>
      <c r="F211" s="30" t="str">
        <f>IFERROR(__xludf.DUMMYFUNCTION("""COMPUTED_VALUE"""),"Lunar")</f>
        <v>Lunar</v>
      </c>
      <c r="G211" s="92">
        <f>IFERROR(__xludf.DUMMYFUNCTION("""COMPUTED_VALUE"""),54.072593956089854)</f>
        <v>54.07259396</v>
      </c>
    </row>
    <row r="212">
      <c r="A212" s="30" t="str">
        <f>IFERROR(__xludf.DUMMYFUNCTION("""COMPUTED_VALUE"""),"RSC007024")</f>
        <v>RSC007024</v>
      </c>
      <c r="B212" s="30" t="str">
        <f>IFERROR(__xludf.DUMMYFUNCTION("""COMPUTED_VALUE"""),"zxch(?)")</f>
        <v>zxch(?)</v>
      </c>
      <c r="C212" s="30" t="str">
        <f>IFERROR(__xludf.DUMMYFUNCTION("""COMPUTED_VALUE"""),"Veteran")</f>
        <v>Veteran</v>
      </c>
      <c r="D212" s="30" t="str">
        <f>IFERROR(__xludf.DUMMYFUNCTION("""COMPUTED_VALUE"""),"Giraffes")</f>
        <v>Giraffes</v>
      </c>
      <c r="E212" s="30" t="str">
        <f>IFERROR(__xludf.DUMMYFUNCTION("""COMPUTED_VALUE"""),"Safari")</f>
        <v>Safari</v>
      </c>
      <c r="F212" s="30" t="str">
        <f>IFERROR(__xludf.DUMMYFUNCTION("""COMPUTED_VALUE"""),"Lunar")</f>
        <v>Lunar</v>
      </c>
      <c r="G212" s="92">
        <f>IFERROR(__xludf.DUMMYFUNCTION("""COMPUTED_VALUE"""),49.64557126698297)</f>
        <v>49.64557127</v>
      </c>
    </row>
    <row r="213">
      <c r="A213" s="30" t="str">
        <f>IFERROR(__xludf.DUMMYFUNCTION("""COMPUTED_VALUE"""),"RSC003904")</f>
        <v>RSC003904</v>
      </c>
      <c r="B213" s="30" t="str">
        <f>IFERROR(__xludf.DUMMYFUNCTION("""COMPUTED_VALUE"""),"Tyyphoon454")</f>
        <v>Tyyphoon454</v>
      </c>
      <c r="C213" s="30" t="str">
        <f>IFERROR(__xludf.DUMMYFUNCTION("""COMPUTED_VALUE"""),"Veteran")</f>
        <v>Veteran</v>
      </c>
      <c r="D213" s="30" t="str">
        <f>IFERROR(__xludf.DUMMYFUNCTION("""COMPUTED_VALUE"""),"Giraffes")</f>
        <v>Giraffes</v>
      </c>
      <c r="E213" s="30" t="str">
        <f>IFERROR(__xludf.DUMMYFUNCTION("""COMPUTED_VALUE"""),"Safari")</f>
        <v>Safari</v>
      </c>
      <c r="F213" s="30" t="str">
        <f>IFERROR(__xludf.DUMMYFUNCTION("""COMPUTED_VALUE"""),"Lunar")</f>
        <v>Lunar</v>
      </c>
      <c r="G213" s="92">
        <f>IFERROR(__xludf.DUMMYFUNCTION("""COMPUTED_VALUE"""),41.21706536294837)</f>
        <v>41.21706536</v>
      </c>
    </row>
    <row r="214">
      <c r="A214" s="30" t="str">
        <f>IFERROR(__xludf.DUMMYFUNCTION("""COMPUTED_VALUE"""),"RSC007655")</f>
        <v>RSC007655</v>
      </c>
      <c r="B214" s="30" t="str">
        <f>IFERROR(__xludf.DUMMYFUNCTION("""COMPUTED_VALUE"""),"Dx Geo xD")</f>
        <v>Dx Geo xD</v>
      </c>
      <c r="C214" s="30" t="str">
        <f>IFERROR(__xludf.DUMMYFUNCTION("""COMPUTED_VALUE"""),"Veteran")</f>
        <v>Veteran</v>
      </c>
      <c r="D214" s="30" t="str">
        <f>IFERROR(__xludf.DUMMYFUNCTION("""COMPUTED_VALUE"""),"Water")</f>
        <v>Water</v>
      </c>
      <c r="E214" s="30" t="str">
        <f>IFERROR(__xludf.DUMMYFUNCTION("""COMPUTED_VALUE"""),"The Elements")</f>
        <v>The Elements</v>
      </c>
      <c r="F214" s="30" t="str">
        <f>IFERROR(__xludf.DUMMYFUNCTION("""COMPUTED_VALUE"""),"Solar")</f>
        <v>Solar</v>
      </c>
      <c r="G214" s="92">
        <f>IFERROR(__xludf.DUMMYFUNCTION("""COMPUTED_VALUE"""),65.0668004923517)</f>
        <v>65.06680049</v>
      </c>
    </row>
    <row r="215">
      <c r="A215" s="30" t="str">
        <f>IFERROR(__xludf.DUMMYFUNCTION("""COMPUTED_VALUE"""),"RSC002780")</f>
        <v>RSC002780</v>
      </c>
      <c r="B215" s="30" t="str">
        <f>IFERROR(__xludf.DUMMYFUNCTION("""COMPUTED_VALUE"""),"Lickadoss77")</f>
        <v>Lickadoss77</v>
      </c>
      <c r="C215" s="30" t="str">
        <f>IFERROR(__xludf.DUMMYFUNCTION("""COMPUTED_VALUE"""),"Veteran")</f>
        <v>Veteran</v>
      </c>
      <c r="D215" s="30" t="str">
        <f>IFERROR(__xludf.DUMMYFUNCTION("""COMPUTED_VALUE"""),"Water")</f>
        <v>Water</v>
      </c>
      <c r="E215" s="30" t="str">
        <f>IFERROR(__xludf.DUMMYFUNCTION("""COMPUTED_VALUE"""),"The Elements")</f>
        <v>The Elements</v>
      </c>
      <c r="F215" s="30" t="str">
        <f>IFERROR(__xludf.DUMMYFUNCTION("""COMPUTED_VALUE"""),"Solar")</f>
        <v>Solar</v>
      </c>
      <c r="G215" s="92">
        <f>IFERROR(__xludf.DUMMYFUNCTION("""COMPUTED_VALUE"""),46.394812197528495)</f>
        <v>46.3948122</v>
      </c>
    </row>
    <row r="216">
      <c r="A216" s="30" t="str">
        <f>IFERROR(__xludf.DUMMYFUNCTION("""COMPUTED_VALUE"""),"RSC007846")</f>
        <v>RSC007846</v>
      </c>
      <c r="B216" s="30" t="str">
        <f>IFERROR(__xludf.DUMMYFUNCTION("""COMPUTED_VALUE"""),"Lovegreyhounds")</f>
        <v>Lovegreyhounds</v>
      </c>
      <c r="C216" s="30" t="str">
        <f>IFERROR(__xludf.DUMMYFUNCTION("""COMPUTED_VALUE"""),"Veteran")</f>
        <v>Veteran</v>
      </c>
      <c r="D216" s="30" t="str">
        <f>IFERROR(__xludf.DUMMYFUNCTION("""COMPUTED_VALUE"""),"Water")</f>
        <v>Water</v>
      </c>
      <c r="E216" s="30" t="str">
        <f>IFERROR(__xludf.DUMMYFUNCTION("""COMPUTED_VALUE"""),"The Elements")</f>
        <v>The Elements</v>
      </c>
      <c r="F216" s="30" t="str">
        <f>IFERROR(__xludf.DUMMYFUNCTION("""COMPUTED_VALUE"""),"Solar")</f>
        <v>Solar</v>
      </c>
      <c r="G216" s="92">
        <f>IFERROR(__xludf.DUMMYFUNCTION("""COMPUTED_VALUE"""),65.66236300768136)</f>
        <v>65.66236301</v>
      </c>
    </row>
    <row r="217">
      <c r="A217" s="30" t="str">
        <f>IFERROR(__xludf.DUMMYFUNCTION("""COMPUTED_VALUE"""),"RSC002668")</f>
        <v>RSC002668</v>
      </c>
      <c r="B217" s="30" t="str">
        <f>IFERROR(__xludf.DUMMYFUNCTION("""COMPUTED_VALUE"""),"Azorh &lt;3")</f>
        <v>Azorh &lt;3</v>
      </c>
      <c r="C217" s="30" t="str">
        <f>IFERROR(__xludf.DUMMYFUNCTION("""COMPUTED_VALUE"""),"Veteran")</f>
        <v>Veteran</v>
      </c>
      <c r="D217" s="30" t="str">
        <f>IFERROR(__xludf.DUMMYFUNCTION("""COMPUTED_VALUE"""),"Peppermint")</f>
        <v>Peppermint</v>
      </c>
      <c r="E217" s="30" t="str">
        <f>IFERROR(__xludf.DUMMYFUNCTION("""COMPUTED_VALUE"""),"Minty Fresh")</f>
        <v>Minty Fresh</v>
      </c>
      <c r="F217" s="30" t="str">
        <f>IFERROR(__xludf.DUMMYFUNCTION("""COMPUTED_VALUE"""),"Solar")</f>
        <v>Solar</v>
      </c>
      <c r="G217" s="92">
        <f>IFERROR(__xludf.DUMMYFUNCTION("""COMPUTED_VALUE"""),36.53077111051529)</f>
        <v>36.53077111</v>
      </c>
    </row>
    <row r="218">
      <c r="A218" s="30" t="str">
        <f>IFERROR(__xludf.DUMMYFUNCTION("""COMPUTED_VALUE"""),"RSC004385")</f>
        <v>RSC004385</v>
      </c>
      <c r="B218" s="30" t="str">
        <f>IFERROR(__xludf.DUMMYFUNCTION("""COMPUTED_VALUE"""),"Braybaum02")</f>
        <v>Braybaum02</v>
      </c>
      <c r="C218" s="30" t="str">
        <f>IFERROR(__xludf.DUMMYFUNCTION("""COMPUTED_VALUE"""),"Veteran")</f>
        <v>Veteran</v>
      </c>
      <c r="D218" s="30" t="str">
        <f>IFERROR(__xludf.DUMMYFUNCTION("""COMPUTED_VALUE"""),"Peppermint")</f>
        <v>Peppermint</v>
      </c>
      <c r="E218" s="30" t="str">
        <f>IFERROR(__xludf.DUMMYFUNCTION("""COMPUTED_VALUE"""),"Minty Fresh")</f>
        <v>Minty Fresh</v>
      </c>
      <c r="F218" s="30" t="str">
        <f>IFERROR(__xludf.DUMMYFUNCTION("""COMPUTED_VALUE"""),"Solar")</f>
        <v>Solar</v>
      </c>
      <c r="G218" s="92">
        <f>IFERROR(__xludf.DUMMYFUNCTION("""COMPUTED_VALUE"""),40.85797545783519)</f>
        <v>40.85797546</v>
      </c>
    </row>
    <row r="219">
      <c r="A219" s="30" t="str">
        <f>IFERROR(__xludf.DUMMYFUNCTION("""COMPUTED_VALUE"""),"RSC000278")</f>
        <v>RSC000278</v>
      </c>
      <c r="B219" s="30" t="str">
        <f>IFERROR(__xludf.DUMMYFUNCTION("""COMPUTED_VALUE"""),"Tinsel")</f>
        <v>Tinsel</v>
      </c>
      <c r="C219" s="30" t="str">
        <f>IFERROR(__xludf.DUMMYFUNCTION("""COMPUTED_VALUE"""),"Veteran")</f>
        <v>Veteran</v>
      </c>
      <c r="D219" s="30" t="str">
        <f>IFERROR(__xludf.DUMMYFUNCTION("""COMPUTED_VALUE"""),"Peppermint")</f>
        <v>Peppermint</v>
      </c>
      <c r="E219" s="30" t="str">
        <f>IFERROR(__xludf.DUMMYFUNCTION("""COMPUTED_VALUE"""),"Minty Fresh")</f>
        <v>Minty Fresh</v>
      </c>
      <c r="F219" s="30" t="str">
        <f>IFERROR(__xludf.DUMMYFUNCTION("""COMPUTED_VALUE"""),"Solar")</f>
        <v>Solar</v>
      </c>
      <c r="G219" s="92">
        <f>IFERROR(__xludf.DUMMYFUNCTION("""COMPUTED_VALUE"""),45.12792225884921)</f>
        <v>45.12792226</v>
      </c>
    </row>
    <row r="220">
      <c r="A220" s="30" t="str">
        <f>IFERROR(__xludf.DUMMYFUNCTION("""COMPUTED_VALUE"""),"RSC004165")</f>
        <v>RSC004165</v>
      </c>
      <c r="B220" s="30" t="str">
        <f>IFERROR(__xludf.DUMMYFUNCTION("""COMPUTED_VALUE"""),"Absolutely TOR")</f>
        <v>Absolutely TOR</v>
      </c>
      <c r="C220" s="30" t="str">
        <f>IFERROR(__xludf.DUMMYFUNCTION("""COMPUTED_VALUE"""),"Veteran")</f>
        <v>Veteran</v>
      </c>
      <c r="D220" s="30" t="str">
        <f>IFERROR(__xludf.DUMMYFUNCTION("""COMPUTED_VALUE"""),"Rulers")</f>
        <v>Rulers</v>
      </c>
      <c r="E220" s="30" t="str">
        <f>IFERROR(__xludf.DUMMYFUNCTION("""COMPUTED_VALUE"""),"Monarchy")</f>
        <v>Monarchy</v>
      </c>
      <c r="F220" s="30" t="str">
        <f>IFERROR(__xludf.DUMMYFUNCTION("""COMPUTED_VALUE"""),"Lunar")</f>
        <v>Lunar</v>
      </c>
      <c r="G220" s="92">
        <f>IFERROR(__xludf.DUMMYFUNCTION("""COMPUTED_VALUE"""),45.64129527221522)</f>
        <v>45.64129527</v>
      </c>
    </row>
    <row r="221">
      <c r="A221" s="30" t="str">
        <f>IFERROR(__xludf.DUMMYFUNCTION("""COMPUTED_VALUE"""),"RSC003238")</f>
        <v>RSC003238</v>
      </c>
      <c r="B221" s="30" t="str">
        <f>IFERROR(__xludf.DUMMYFUNCTION("""COMPUTED_VALUE"""),"BanThisOne2")</f>
        <v>BanThisOne2</v>
      </c>
      <c r="C221" s="30" t="str">
        <f>IFERROR(__xludf.DUMMYFUNCTION("""COMPUTED_VALUE"""),"Veteran")</f>
        <v>Veteran</v>
      </c>
      <c r="D221" s="30" t="str">
        <f>IFERROR(__xludf.DUMMYFUNCTION("""COMPUTED_VALUE"""),"Rulers")</f>
        <v>Rulers</v>
      </c>
      <c r="E221" s="30" t="str">
        <f>IFERROR(__xludf.DUMMYFUNCTION("""COMPUTED_VALUE"""),"Monarchy")</f>
        <v>Monarchy</v>
      </c>
      <c r="F221" s="30" t="str">
        <f>IFERROR(__xludf.DUMMYFUNCTION("""COMPUTED_VALUE"""),"Lunar")</f>
        <v>Lunar</v>
      </c>
      <c r="G221" s="92">
        <f>IFERROR(__xludf.DUMMYFUNCTION("""COMPUTED_VALUE"""),67.61149118036667)</f>
        <v>67.61149118</v>
      </c>
    </row>
    <row r="222">
      <c r="A222" s="30" t="str">
        <f>IFERROR(__xludf.DUMMYFUNCTION("""COMPUTED_VALUE"""),"RSC000625")</f>
        <v>RSC000625</v>
      </c>
      <c r="B222" s="30" t="str">
        <f>IFERROR(__xludf.DUMMYFUNCTION("""COMPUTED_VALUE"""),"Sly")</f>
        <v>Sly</v>
      </c>
      <c r="C222" s="30" t="str">
        <f>IFERROR(__xludf.DUMMYFUNCTION("""COMPUTED_VALUE"""),"Veteran")</f>
        <v>Veteran</v>
      </c>
      <c r="D222" s="30" t="str">
        <f>IFERROR(__xludf.DUMMYFUNCTION("""COMPUTED_VALUE"""),"Rulers")</f>
        <v>Rulers</v>
      </c>
      <c r="E222" s="30" t="str">
        <f>IFERROR(__xludf.DUMMYFUNCTION("""COMPUTED_VALUE"""),"Monarchy")</f>
        <v>Monarchy</v>
      </c>
      <c r="F222" s="30" t="str">
        <f>IFERROR(__xludf.DUMMYFUNCTION("""COMPUTED_VALUE"""),"Lunar")</f>
        <v>Lunar</v>
      </c>
      <c r="G222" s="92">
        <f>IFERROR(__xludf.DUMMYFUNCTION("""COMPUTED_VALUE"""),18.72330188609947)</f>
        <v>18.72330189</v>
      </c>
    </row>
    <row r="223">
      <c r="A223" s="30" t="str">
        <f>IFERROR(__xludf.DUMMYFUNCTION("""COMPUTED_VALUE"""),"RSC004917")</f>
        <v>RSC004917</v>
      </c>
      <c r="B223" s="30" t="str">
        <f>IFERROR(__xludf.DUMMYFUNCTION("""COMPUTED_VALUE"""),"Nahzey")</f>
        <v>Nahzey</v>
      </c>
      <c r="C223" s="30" t="str">
        <f>IFERROR(__xludf.DUMMYFUNCTION("""COMPUTED_VALUE"""),"Veteran")</f>
        <v>Veteran</v>
      </c>
      <c r="D223" s="30" t="str">
        <f>IFERROR(__xludf.DUMMYFUNCTION("""COMPUTED_VALUE"""),"Dog Fighters")</f>
        <v>Dog Fighters</v>
      </c>
      <c r="E223" s="30" t="str">
        <f>IFERROR(__xludf.DUMMYFUNCTION("""COMPUTED_VALUE"""),"Remove Before Flight")</f>
        <v>Remove Before Flight</v>
      </c>
      <c r="F223" s="30" t="str">
        <f>IFERROR(__xludf.DUMMYFUNCTION("""COMPUTED_VALUE"""),"Lunar")</f>
        <v>Lunar</v>
      </c>
      <c r="G223" s="92">
        <f>IFERROR(__xludf.DUMMYFUNCTION("""COMPUTED_VALUE"""),65.04502561545843)</f>
        <v>65.04502562</v>
      </c>
    </row>
    <row r="224">
      <c r="A224" s="30" t="str">
        <f>IFERROR(__xludf.DUMMYFUNCTION("""COMPUTED_VALUE"""),"RSC006613")</f>
        <v>RSC006613</v>
      </c>
      <c r="B224" s="30" t="str">
        <f>IFERROR(__xludf.DUMMYFUNCTION("""COMPUTED_VALUE"""),"steel.reserve")</f>
        <v>steel.reserve</v>
      </c>
      <c r="C224" s="30" t="str">
        <f>IFERROR(__xludf.DUMMYFUNCTION("""COMPUTED_VALUE"""),"Veteran")</f>
        <v>Veteran</v>
      </c>
      <c r="D224" s="30" t="str">
        <f>IFERROR(__xludf.DUMMYFUNCTION("""COMPUTED_VALUE"""),"Dog Fighters")</f>
        <v>Dog Fighters</v>
      </c>
      <c r="E224" s="30" t="str">
        <f>IFERROR(__xludf.DUMMYFUNCTION("""COMPUTED_VALUE"""),"Remove Before Flight")</f>
        <v>Remove Before Flight</v>
      </c>
      <c r="F224" s="30" t="str">
        <f>IFERROR(__xludf.DUMMYFUNCTION("""COMPUTED_VALUE"""),"Lunar")</f>
        <v>Lunar</v>
      </c>
      <c r="G224" s="92">
        <f>IFERROR(__xludf.DUMMYFUNCTION("""COMPUTED_VALUE"""),42.08597846640711)</f>
        <v>42.08597847</v>
      </c>
    </row>
    <row r="225">
      <c r="A225" s="30" t="str">
        <f>IFERROR(__xludf.DUMMYFUNCTION("""COMPUTED_VALUE"""),"RSC007817")</f>
        <v>RSC007817</v>
      </c>
      <c r="B225" s="30" t="str">
        <f>IFERROR(__xludf.DUMMYFUNCTION("""COMPUTED_VALUE"""),"HiChew.RL")</f>
        <v>HiChew.RL</v>
      </c>
      <c r="C225" s="30" t="str">
        <f>IFERROR(__xludf.DUMMYFUNCTION("""COMPUTED_VALUE"""),"Veteran")</f>
        <v>Veteran</v>
      </c>
      <c r="D225" s="30" t="str">
        <f>IFERROR(__xludf.DUMMYFUNCTION("""COMPUTED_VALUE"""),"Dog Fighters")</f>
        <v>Dog Fighters</v>
      </c>
      <c r="E225" s="30" t="str">
        <f>IFERROR(__xludf.DUMMYFUNCTION("""COMPUTED_VALUE"""),"Remove Before Flight")</f>
        <v>Remove Before Flight</v>
      </c>
      <c r="F225" s="30" t="str">
        <f>IFERROR(__xludf.DUMMYFUNCTION("""COMPUTED_VALUE"""),"Lunar")</f>
        <v>Lunar</v>
      </c>
      <c r="G225" s="92">
        <f>IFERROR(__xludf.DUMMYFUNCTION("""COMPUTED_VALUE"""),59.500702124827804)</f>
        <v>59.50070212</v>
      </c>
    </row>
    <row r="226">
      <c r="A226" s="30" t="str">
        <f>IFERROR(__xludf.DUMMYFUNCTION("""COMPUTED_VALUE"""),"RSC003416")</f>
        <v>RSC003416</v>
      </c>
      <c r="B226" s="30" t="str">
        <f>IFERROR(__xludf.DUMMYFUNCTION("""COMPUTED_VALUE"""),"DrSkimMilk")</f>
        <v>DrSkimMilk</v>
      </c>
      <c r="C226" s="30" t="str">
        <f>IFERROR(__xludf.DUMMYFUNCTION("""COMPUTED_VALUE"""),"Veteran")</f>
        <v>Veteran</v>
      </c>
      <c r="D226" s="30" t="str">
        <f>IFERROR(__xludf.DUMMYFUNCTION("""COMPUTED_VALUE"""),"Merciless Mob")</f>
        <v>Merciless Mob</v>
      </c>
      <c r="E226" s="30" t="str">
        <f>IFERROR(__xludf.DUMMYFUNCTION("""COMPUTED_VALUE"""),"The Syndicate")</f>
        <v>The Syndicate</v>
      </c>
      <c r="F226" s="30" t="str">
        <f>IFERROR(__xludf.DUMMYFUNCTION("""COMPUTED_VALUE"""),"Lunar")</f>
        <v>Lunar</v>
      </c>
      <c r="G226" s="92">
        <f>IFERROR(__xludf.DUMMYFUNCTION("""COMPUTED_VALUE"""),25.37053161145926)</f>
        <v>25.37053161</v>
      </c>
    </row>
    <row r="227">
      <c r="A227" s="30" t="str">
        <f>IFERROR(__xludf.DUMMYFUNCTION("""COMPUTED_VALUE"""),"RSC005210")</f>
        <v>RSC005210</v>
      </c>
      <c r="B227" s="30" t="str">
        <f>IFERROR(__xludf.DUMMYFUNCTION("""COMPUTED_VALUE"""),"baldmanstreamer")</f>
        <v>baldmanstreamer</v>
      </c>
      <c r="C227" s="30" t="str">
        <f>IFERROR(__xludf.DUMMYFUNCTION("""COMPUTED_VALUE"""),"Veteran")</f>
        <v>Veteran</v>
      </c>
      <c r="D227" s="30" t="str">
        <f>IFERROR(__xludf.DUMMYFUNCTION("""COMPUTED_VALUE"""),"Slots
Merciless Mob")</f>
        <v>Slots
Merciless Mob</v>
      </c>
      <c r="E227" s="30" t="str">
        <f>IFERROR(__xludf.DUMMYFUNCTION("""COMPUTED_VALUE"""),"Never Lucky
The Syndicate")</f>
        <v>Never Lucky
The Syndicate</v>
      </c>
      <c r="F227" s="30" t="str">
        <f>IFERROR(__xludf.DUMMYFUNCTION("""COMPUTED_VALUE"""),"Lunar")</f>
        <v>Lunar</v>
      </c>
      <c r="G227" s="92">
        <f>IFERROR(__xludf.DUMMYFUNCTION("""COMPUTED_VALUE"""),58.95001247519535)</f>
        <v>58.95001248</v>
      </c>
    </row>
    <row r="228">
      <c r="A228" s="30" t="str">
        <f>IFERROR(__xludf.DUMMYFUNCTION("""COMPUTED_VALUE"""),"RSC003789")</f>
        <v>RSC003789</v>
      </c>
      <c r="B228" s="30" t="str">
        <f>IFERROR(__xludf.DUMMYFUNCTION("""COMPUTED_VALUE"""),"monterszn")</f>
        <v>monterszn</v>
      </c>
      <c r="C228" s="30" t="str">
        <f>IFERROR(__xludf.DUMMYFUNCTION("""COMPUTED_VALUE"""),"Veteran")</f>
        <v>Veteran</v>
      </c>
      <c r="D228" s="30" t="str">
        <f>IFERROR(__xludf.DUMMYFUNCTION("""COMPUTED_VALUE"""),"Merciless Mob")</f>
        <v>Merciless Mob</v>
      </c>
      <c r="E228" s="30" t="str">
        <f>IFERROR(__xludf.DUMMYFUNCTION("""COMPUTED_VALUE"""),"The Syndicate")</f>
        <v>The Syndicate</v>
      </c>
      <c r="F228" s="30" t="str">
        <f>IFERROR(__xludf.DUMMYFUNCTION("""COMPUTED_VALUE"""),"Lunar")</f>
        <v>Lunar</v>
      </c>
      <c r="G228" s="92">
        <f>IFERROR(__xludf.DUMMYFUNCTION("""COMPUTED_VALUE"""),70.05225802656945)</f>
        <v>70.05225803</v>
      </c>
    </row>
    <row r="229">
      <c r="A229" s="30" t="str">
        <f>IFERROR(__xludf.DUMMYFUNCTION("""COMPUTED_VALUE"""),"RSC002209")</f>
        <v>RSC002209</v>
      </c>
      <c r="B229" s="30" t="str">
        <f>IFERROR(__xludf.DUMMYFUNCTION("""COMPUTED_VALUE"""),"Panick")</f>
        <v>Panick</v>
      </c>
      <c r="C229" s="30" t="str">
        <f>IFERROR(__xludf.DUMMYFUNCTION("""COMPUTED_VALUE"""),"Veteran")</f>
        <v>Veteran</v>
      </c>
      <c r="D229" s="30" t="str">
        <f>IFERROR(__xludf.DUMMYFUNCTION("""COMPUTED_VALUE"""),"Repossessed")</f>
        <v>Repossessed</v>
      </c>
      <c r="E229" s="30" t="str">
        <f>IFERROR(__xludf.DUMMYFUNCTION("""COMPUTED_VALUE"""),"The Hood")</f>
        <v>The Hood</v>
      </c>
      <c r="F229" s="30" t="str">
        <f>IFERROR(__xludf.DUMMYFUNCTION("""COMPUTED_VALUE"""),"Lunar")</f>
        <v>Lunar</v>
      </c>
      <c r="G229" s="92">
        <f>IFERROR(__xludf.DUMMYFUNCTION("""COMPUTED_VALUE"""),43.73217477049523)</f>
        <v>43.73217477</v>
      </c>
    </row>
    <row r="230">
      <c r="A230" s="30" t="str">
        <f>IFERROR(__xludf.DUMMYFUNCTION("""COMPUTED_VALUE"""),"RSC007856")</f>
        <v>RSC007856</v>
      </c>
      <c r="B230" s="30" t="str">
        <f>IFERROR(__xludf.DUMMYFUNCTION("""COMPUTED_VALUE"""),"Captain Daddy")</f>
        <v>Captain Daddy</v>
      </c>
      <c r="C230" s="30" t="str">
        <f>IFERROR(__xludf.DUMMYFUNCTION("""COMPUTED_VALUE"""),"Veteran")</f>
        <v>Veteran</v>
      </c>
      <c r="D230" s="30" t="str">
        <f>IFERROR(__xludf.DUMMYFUNCTION("""COMPUTED_VALUE"""),"Repossessed")</f>
        <v>Repossessed</v>
      </c>
      <c r="E230" s="30" t="str">
        <f>IFERROR(__xludf.DUMMYFUNCTION("""COMPUTED_VALUE"""),"The Hood")</f>
        <v>The Hood</v>
      </c>
      <c r="F230" s="30" t="str">
        <f>IFERROR(__xludf.DUMMYFUNCTION("""COMPUTED_VALUE"""),"Lunar")</f>
        <v>Lunar</v>
      </c>
      <c r="G230" s="92">
        <f>IFERROR(__xludf.DUMMYFUNCTION("""COMPUTED_VALUE"""),64.5551033773275)</f>
        <v>64.55510338</v>
      </c>
    </row>
    <row r="231">
      <c r="A231" s="30" t="str">
        <f>IFERROR(__xludf.DUMMYFUNCTION("""COMPUTED_VALUE"""),"RSC005490")</f>
        <v>RSC005490</v>
      </c>
      <c r="B231" s="30" t="str">
        <f>IFERROR(__xludf.DUMMYFUNCTION("""COMPUTED_VALUE"""),"iProfessorEx")</f>
        <v>iProfessorEx</v>
      </c>
      <c r="C231" s="30" t="str">
        <f>IFERROR(__xludf.DUMMYFUNCTION("""COMPUTED_VALUE"""),"Veteran")</f>
        <v>Veteran</v>
      </c>
      <c r="D231" s="30" t="str">
        <f>IFERROR(__xludf.DUMMYFUNCTION("""COMPUTED_VALUE"""),"Repossessed")</f>
        <v>Repossessed</v>
      </c>
      <c r="E231" s="30" t="str">
        <f>IFERROR(__xludf.DUMMYFUNCTION("""COMPUTED_VALUE"""),"The Hood")</f>
        <v>The Hood</v>
      </c>
      <c r="F231" s="30" t="str">
        <f>IFERROR(__xludf.DUMMYFUNCTION("""COMPUTED_VALUE"""),"Lunar")</f>
        <v>Lunar</v>
      </c>
      <c r="G231" s="92">
        <f>IFERROR(__xludf.DUMMYFUNCTION("""COMPUTED_VALUE"""),60.36490019352288)</f>
        <v>60.36490019</v>
      </c>
    </row>
    <row r="232">
      <c r="A232" s="30" t="str">
        <f>IFERROR(__xludf.DUMMYFUNCTION("""COMPUTED_VALUE"""),"RSC005246")</f>
        <v>RSC005246</v>
      </c>
      <c r="B232" s="30" t="str">
        <f>IFERROR(__xludf.DUMMYFUNCTION("""COMPUTED_VALUE"""),"Irishhhh")</f>
        <v>Irishhhh</v>
      </c>
      <c r="C232" s="30" t="str">
        <f>IFERROR(__xludf.DUMMYFUNCTION("""COMPUTED_VALUE"""),"Veteran")</f>
        <v>Veteran</v>
      </c>
      <c r="D232" s="30" t="str">
        <f>IFERROR(__xludf.DUMMYFUNCTION("""COMPUTED_VALUE"""),"Mosaic Maestros")</f>
        <v>Mosaic Maestros</v>
      </c>
      <c r="E232" s="30" t="str">
        <f>IFERROR(__xludf.DUMMYFUNCTION("""COMPUTED_VALUE"""),"Art Club")</f>
        <v>Art Club</v>
      </c>
      <c r="F232" s="30" t="str">
        <f>IFERROR(__xludf.DUMMYFUNCTION("""COMPUTED_VALUE"""),"Solar")</f>
        <v>Solar</v>
      </c>
      <c r="G232" s="92">
        <f>IFERROR(__xludf.DUMMYFUNCTION("""COMPUTED_VALUE"""),36.130132518878234)</f>
        <v>36.13013252</v>
      </c>
    </row>
    <row r="233">
      <c r="A233" s="30" t="str">
        <f>IFERROR(__xludf.DUMMYFUNCTION("""COMPUTED_VALUE"""),"RSC005257")</f>
        <v>RSC005257</v>
      </c>
      <c r="B233" s="30" t="str">
        <f>IFERROR(__xludf.DUMMYFUNCTION("""COMPUTED_VALUE"""),"P0pfgf")</f>
        <v>P0pfgf</v>
      </c>
      <c r="C233" s="30" t="str">
        <f>IFERROR(__xludf.DUMMYFUNCTION("""COMPUTED_VALUE"""),"Veteran")</f>
        <v>Veteran</v>
      </c>
      <c r="D233" s="30" t="str">
        <f>IFERROR(__xludf.DUMMYFUNCTION("""COMPUTED_VALUE"""),"Mosaic Maestros")</f>
        <v>Mosaic Maestros</v>
      </c>
      <c r="E233" s="30" t="str">
        <f>IFERROR(__xludf.DUMMYFUNCTION("""COMPUTED_VALUE"""),"Art Club")</f>
        <v>Art Club</v>
      </c>
      <c r="F233" s="30" t="str">
        <f>IFERROR(__xludf.DUMMYFUNCTION("""COMPUTED_VALUE"""),"Solar")</f>
        <v>Solar</v>
      </c>
      <c r="G233" s="92">
        <f>IFERROR(__xludf.DUMMYFUNCTION("""COMPUTED_VALUE"""),60.43609759480035)</f>
        <v>60.43609759</v>
      </c>
    </row>
    <row r="234">
      <c r="A234" s="30" t="str">
        <f>IFERROR(__xludf.DUMMYFUNCTION("""COMPUTED_VALUE"""),"RSC006427")</f>
        <v>RSC006427</v>
      </c>
      <c r="B234" s="30" t="str">
        <f>IFERROR(__xludf.DUMMYFUNCTION("""COMPUTED_VALUE"""),"NukeTech96")</f>
        <v>NukeTech96</v>
      </c>
      <c r="C234" s="30" t="str">
        <f>IFERROR(__xludf.DUMMYFUNCTION("""COMPUTED_VALUE"""),"Veteran")</f>
        <v>Veteran</v>
      </c>
      <c r="D234" s="30" t="str">
        <f>IFERROR(__xludf.DUMMYFUNCTION("""COMPUTED_VALUE"""),"Mosaic Maestros")</f>
        <v>Mosaic Maestros</v>
      </c>
      <c r="E234" s="30" t="str">
        <f>IFERROR(__xludf.DUMMYFUNCTION("""COMPUTED_VALUE"""),"Art Club")</f>
        <v>Art Club</v>
      </c>
      <c r="F234" s="30" t="str">
        <f>IFERROR(__xludf.DUMMYFUNCTION("""COMPUTED_VALUE"""),"Solar")</f>
        <v>Solar</v>
      </c>
      <c r="G234" s="92">
        <f>IFERROR(__xludf.DUMMYFUNCTION("""COMPUTED_VALUE"""),46.39985071709819)</f>
        <v>46.39985072</v>
      </c>
    </row>
    <row r="235">
      <c r="A235" s="30" t="str">
        <f>IFERROR(__xludf.DUMMYFUNCTION("""COMPUTED_VALUE"""),"RSC003887")</f>
        <v>RSC003887</v>
      </c>
      <c r="B235" s="30" t="str">
        <f>IFERROR(__xludf.DUMMYFUNCTION("""COMPUTED_VALUE"""),"Cundy")</f>
        <v>Cundy</v>
      </c>
      <c r="C235" s="30" t="str">
        <f>IFERROR(__xludf.DUMMYFUNCTION("""COMPUTED_VALUE"""),"Veteran")</f>
        <v>Veteran</v>
      </c>
      <c r="D235" s="30" t="str">
        <f>IFERROR(__xludf.DUMMYFUNCTION("""COMPUTED_VALUE"""),"Possessed")</f>
        <v>Possessed</v>
      </c>
      <c r="E235" s="30" t="str">
        <f>IFERROR(__xludf.DUMMYFUNCTION("""COMPUTED_VALUE"""),"Destined")</f>
        <v>Destined</v>
      </c>
      <c r="F235" s="30" t="str">
        <f>IFERROR(__xludf.DUMMYFUNCTION("""COMPUTED_VALUE"""),"Solar")</f>
        <v>Solar</v>
      </c>
      <c r="G235" s="92">
        <f>IFERROR(__xludf.DUMMYFUNCTION("""COMPUTED_VALUE"""),33.80895755230809)</f>
        <v>33.80895755</v>
      </c>
    </row>
    <row r="236">
      <c r="A236" s="30" t="str">
        <f>IFERROR(__xludf.DUMMYFUNCTION("""COMPUTED_VALUE"""),"RSC005960")</f>
        <v>RSC005960</v>
      </c>
      <c r="B236" s="30" t="str">
        <f>IFERROR(__xludf.DUMMYFUNCTION("""COMPUTED_VALUE"""),"Hyper")</f>
        <v>Hyper</v>
      </c>
      <c r="C236" s="30" t="str">
        <f>IFERROR(__xludf.DUMMYFUNCTION("""COMPUTED_VALUE"""),"Veteran")</f>
        <v>Veteran</v>
      </c>
      <c r="D236" s="30" t="str">
        <f>IFERROR(__xludf.DUMMYFUNCTION("""COMPUTED_VALUE"""),"Possessed")</f>
        <v>Possessed</v>
      </c>
      <c r="E236" s="30" t="str">
        <f>IFERROR(__xludf.DUMMYFUNCTION("""COMPUTED_VALUE"""),"Destined")</f>
        <v>Destined</v>
      </c>
      <c r="F236" s="30" t="str">
        <f>IFERROR(__xludf.DUMMYFUNCTION("""COMPUTED_VALUE"""),"Solar")</f>
        <v>Solar</v>
      </c>
      <c r="G236" s="92">
        <f>IFERROR(__xludf.DUMMYFUNCTION("""COMPUTED_VALUE"""),28.281656305950374)</f>
        <v>28.28165631</v>
      </c>
    </row>
    <row r="237">
      <c r="A237" s="30" t="str">
        <f>IFERROR(__xludf.DUMMYFUNCTION("""COMPUTED_VALUE"""),"RSC003405")</f>
        <v>RSC003405</v>
      </c>
      <c r="B237" s="30" t="str">
        <f>IFERROR(__xludf.DUMMYFUNCTION("""COMPUTED_VALUE"""),"Shai")</f>
        <v>Shai</v>
      </c>
      <c r="C237" s="30" t="str">
        <f>IFERROR(__xludf.DUMMYFUNCTION("""COMPUTED_VALUE"""),"Veteran")</f>
        <v>Veteran</v>
      </c>
      <c r="D237" s="30" t="str">
        <f>IFERROR(__xludf.DUMMYFUNCTION("""COMPUTED_VALUE"""),"Werewolves
Possessed")</f>
        <v>Werewolves
Possessed</v>
      </c>
      <c r="E237" s="30" t="str">
        <f>IFERROR(__xludf.DUMMYFUNCTION("""COMPUTED_VALUE"""),"The Forest
Destined")</f>
        <v>The Forest
Destined</v>
      </c>
      <c r="F237" s="30" t="str">
        <f>IFERROR(__xludf.DUMMYFUNCTION("""COMPUTED_VALUE"""),"Solar")</f>
        <v>Solar</v>
      </c>
      <c r="G237" s="92">
        <f>IFERROR(__xludf.DUMMYFUNCTION("""COMPUTED_VALUE"""),46.32570583584217)</f>
        <v>46.32570584</v>
      </c>
    </row>
    <row r="238">
      <c r="A238" s="30" t="str">
        <f>IFERROR(__xludf.DUMMYFUNCTION("""COMPUTED_VALUE"""),"RSC007625")</f>
        <v>RSC007625</v>
      </c>
      <c r="B238" s="30" t="str">
        <f>IFERROR(__xludf.DUMMYFUNCTION("""COMPUTED_VALUE"""),"assassin_funny.")</f>
        <v>assassin_funny.</v>
      </c>
      <c r="C238" s="30" t="str">
        <f>IFERROR(__xludf.DUMMYFUNCTION("""COMPUTED_VALUE"""),"Veteran")</f>
        <v>Veteran</v>
      </c>
      <c r="D238" s="30" t="str">
        <f>IFERROR(__xludf.DUMMYFUNCTION("""COMPUTED_VALUE"""),"Mellow Fellows")</f>
        <v>Mellow Fellows</v>
      </c>
      <c r="E238" s="30" t="str">
        <f>IFERROR(__xludf.DUMMYFUNCTION("""COMPUTED_VALUE"""),"Vibe Tribe")</f>
        <v>Vibe Tribe</v>
      </c>
      <c r="F238" s="30" t="str">
        <f>IFERROR(__xludf.DUMMYFUNCTION("""COMPUTED_VALUE"""),"Lunar")</f>
        <v>Lunar</v>
      </c>
      <c r="G238" s="92">
        <f>IFERROR(__xludf.DUMMYFUNCTION("""COMPUTED_VALUE"""),28.074257102923177)</f>
        <v>28.0742571</v>
      </c>
    </row>
    <row r="239">
      <c r="A239" s="30" t="str">
        <f>IFERROR(__xludf.DUMMYFUNCTION("""COMPUTED_VALUE"""),"RSC005048")</f>
        <v>RSC005048</v>
      </c>
      <c r="B239" s="30" t="str">
        <f>IFERROR(__xludf.DUMMYFUNCTION("""COMPUTED_VALUE"""),"heyzisthename11")</f>
        <v>heyzisthename11</v>
      </c>
      <c r="C239" s="30" t="str">
        <f>IFERROR(__xludf.DUMMYFUNCTION("""COMPUTED_VALUE"""),"Veteran")</f>
        <v>Veteran</v>
      </c>
      <c r="D239" s="30" t="str">
        <f>IFERROR(__xludf.DUMMYFUNCTION("""COMPUTED_VALUE"""),"Gorillas")</f>
        <v>Gorillas</v>
      </c>
      <c r="E239" s="30" t="str">
        <f>IFERROR(__xludf.DUMMYFUNCTION("""COMPUTED_VALUE"""),"The Jungle")</f>
        <v>The Jungle</v>
      </c>
      <c r="F239" s="30" t="str">
        <f>IFERROR(__xludf.DUMMYFUNCTION("""COMPUTED_VALUE"""),"Solar")</f>
        <v>Solar</v>
      </c>
      <c r="G239" s="92">
        <f>IFERROR(__xludf.DUMMYFUNCTION("""COMPUTED_VALUE"""),47.5324814782891)</f>
        <v>47.53248148</v>
      </c>
    </row>
    <row r="240">
      <c r="A240" s="30" t="str">
        <f>IFERROR(__xludf.DUMMYFUNCTION("""COMPUTED_VALUE"""),"RSC005491")</f>
        <v>RSC005491</v>
      </c>
      <c r="B240" s="30" t="str">
        <f>IFERROR(__xludf.DUMMYFUNCTION("""COMPUTED_VALUE"""),"Jackowanou")</f>
        <v>Jackowanou</v>
      </c>
      <c r="C240" s="30" t="str">
        <f>IFERROR(__xludf.DUMMYFUNCTION("""COMPUTED_VALUE"""),"Veteran")</f>
        <v>Veteran</v>
      </c>
      <c r="D240" s="30" t="str">
        <f>IFERROR(__xludf.DUMMYFUNCTION("""COMPUTED_VALUE"""),"Gorillas")</f>
        <v>Gorillas</v>
      </c>
      <c r="E240" s="30" t="str">
        <f>IFERROR(__xludf.DUMMYFUNCTION("""COMPUTED_VALUE"""),"The Jungle")</f>
        <v>The Jungle</v>
      </c>
      <c r="F240" s="30" t="str">
        <f>IFERROR(__xludf.DUMMYFUNCTION("""COMPUTED_VALUE"""),"Solar")</f>
        <v>Solar</v>
      </c>
      <c r="G240" s="92">
        <f>IFERROR(__xludf.DUMMYFUNCTION("""COMPUTED_VALUE"""),60.53088930959849)</f>
        <v>60.53088931</v>
      </c>
    </row>
    <row r="241">
      <c r="A241" s="30" t="str">
        <f>IFERROR(__xludf.DUMMYFUNCTION("""COMPUTED_VALUE"""),"RSC007811")</f>
        <v>RSC007811</v>
      </c>
      <c r="B241" s="30" t="str">
        <f>IFERROR(__xludf.DUMMYFUNCTION("""COMPUTED_VALUE"""),"Gray")</f>
        <v>Gray</v>
      </c>
      <c r="C241" s="30" t="str">
        <f>IFERROR(__xludf.DUMMYFUNCTION("""COMPUTED_VALUE"""),"Veteran")</f>
        <v>Veteran</v>
      </c>
      <c r="D241" s="30" t="str">
        <f>IFERROR(__xludf.DUMMYFUNCTION("""COMPUTED_VALUE"""),"Gorillas")</f>
        <v>Gorillas</v>
      </c>
      <c r="E241" s="30" t="str">
        <f>IFERROR(__xludf.DUMMYFUNCTION("""COMPUTED_VALUE"""),"The Jungle")</f>
        <v>The Jungle</v>
      </c>
      <c r="F241" s="30" t="str">
        <f>IFERROR(__xludf.DUMMYFUNCTION("""COMPUTED_VALUE"""),"Solar")</f>
        <v>Solar</v>
      </c>
      <c r="G241" s="92">
        <f>IFERROR(__xludf.DUMMYFUNCTION("""COMPUTED_VALUE"""),78.22689677215718)</f>
        <v>78.22689677</v>
      </c>
    </row>
    <row r="242">
      <c r="A242" s="30" t="str">
        <f>IFERROR(__xludf.DUMMYFUNCTION("""COMPUTED_VALUE"""),"RSC002544")</f>
        <v>RSC002544</v>
      </c>
      <c r="B242" s="30" t="str">
        <f>IFERROR(__xludf.DUMMYFUNCTION("""COMPUTED_VALUE"""),"J.")</f>
        <v>J.</v>
      </c>
      <c r="C242" s="30" t="str">
        <f>IFERROR(__xludf.DUMMYFUNCTION("""COMPUTED_VALUE"""),"Veteran")</f>
        <v>Veteran</v>
      </c>
      <c r="D242" s="30" t="str">
        <f>IFERROR(__xludf.DUMMYFUNCTION("""COMPUTED_VALUE"""),"Makos")</f>
        <v>Makos</v>
      </c>
      <c r="E242" s="30" t="str">
        <f>IFERROR(__xludf.DUMMYFUNCTION("""COMPUTED_VALUE"""),"Shark Attack")</f>
        <v>Shark Attack</v>
      </c>
      <c r="F242" s="30" t="str">
        <f>IFERROR(__xludf.DUMMYFUNCTION("""COMPUTED_VALUE"""),"Solar")</f>
        <v>Solar</v>
      </c>
      <c r="G242" s="92">
        <f>IFERROR(__xludf.DUMMYFUNCTION("""COMPUTED_VALUE"""),60.54300411210165)</f>
        <v>60.54300411</v>
      </c>
    </row>
    <row r="243">
      <c r="A243" s="30" t="str">
        <f>IFERROR(__xludf.DUMMYFUNCTION("""COMPUTED_VALUE"""),"RSC007954")</f>
        <v>RSC007954</v>
      </c>
      <c r="B243" s="30" t="str">
        <f>IFERROR(__xludf.DUMMYFUNCTION("""COMPUTED_VALUE"""),"Killer")</f>
        <v>Killer</v>
      </c>
      <c r="C243" s="30" t="str">
        <f>IFERROR(__xludf.DUMMYFUNCTION("""COMPUTED_VALUE"""),"Veteran")</f>
        <v>Veteran</v>
      </c>
      <c r="D243" s="30" t="str">
        <f>IFERROR(__xludf.DUMMYFUNCTION("""COMPUTED_VALUE"""),"Makos")</f>
        <v>Makos</v>
      </c>
      <c r="E243" s="30" t="str">
        <f>IFERROR(__xludf.DUMMYFUNCTION("""COMPUTED_VALUE"""),"Shark Attack")</f>
        <v>Shark Attack</v>
      </c>
      <c r="F243" s="30" t="str">
        <f>IFERROR(__xludf.DUMMYFUNCTION("""COMPUTED_VALUE"""),"Solar")</f>
        <v>Solar</v>
      </c>
      <c r="G243" s="92">
        <f>IFERROR(__xludf.DUMMYFUNCTION("""COMPUTED_VALUE"""),61.25517529821803)</f>
        <v>61.2551753</v>
      </c>
    </row>
    <row r="244">
      <c r="A244" s="30" t="str">
        <f>IFERROR(__xludf.DUMMYFUNCTION("""COMPUTED_VALUE"""),"RSC003830")</f>
        <v>RSC003830</v>
      </c>
      <c r="B244" s="30" t="str">
        <f>IFERROR(__xludf.DUMMYFUNCTION("""COMPUTED_VALUE"""),"bradyK-")</f>
        <v>bradyK-</v>
      </c>
      <c r="C244" s="30" t="str">
        <f>IFERROR(__xludf.DUMMYFUNCTION("""COMPUTED_VALUE"""),"Veteran")</f>
        <v>Veteran</v>
      </c>
      <c r="D244" s="30" t="str">
        <f>IFERROR(__xludf.DUMMYFUNCTION("""COMPUTED_VALUE"""),"Makos")</f>
        <v>Makos</v>
      </c>
      <c r="E244" s="30" t="str">
        <f>IFERROR(__xludf.DUMMYFUNCTION("""COMPUTED_VALUE"""),"Shark Attack")</f>
        <v>Shark Attack</v>
      </c>
      <c r="F244" s="30" t="str">
        <f>IFERROR(__xludf.DUMMYFUNCTION("""COMPUTED_VALUE"""),"Solar")</f>
        <v>Solar</v>
      </c>
      <c r="G244" s="92">
        <f>IFERROR(__xludf.DUMMYFUNCTION("""COMPUTED_VALUE"""),42.53996346456775)</f>
        <v>42.53996346</v>
      </c>
    </row>
    <row r="245">
      <c r="A245" s="30" t="str">
        <f>IFERROR(__xludf.DUMMYFUNCTION("""COMPUTED_VALUE"""),"RSC006378")</f>
        <v>RSC006378</v>
      </c>
      <c r="B245" s="30" t="str">
        <f>IFERROR(__xludf.DUMMYFUNCTION("""COMPUTED_VALUE"""),"depressed vibez")</f>
        <v>depressed vibez</v>
      </c>
      <c r="C245" s="30" t="str">
        <f>IFERROR(__xludf.DUMMYFUNCTION("""COMPUTED_VALUE"""),"Veteran")</f>
        <v>Veteran</v>
      </c>
      <c r="D245" s="30" t="str">
        <f>IFERROR(__xludf.DUMMYFUNCTION("""COMPUTED_VALUE"""),"Penguins")</f>
        <v>Penguins</v>
      </c>
      <c r="E245" s="30" t="str">
        <f>IFERROR(__xludf.DUMMYFUNCTION("""COMPUTED_VALUE"""),"Flightless Fowl")</f>
        <v>Flightless Fowl</v>
      </c>
      <c r="F245" s="30" t="str">
        <f>IFERROR(__xludf.DUMMYFUNCTION("""COMPUTED_VALUE"""),"Solar")</f>
        <v>Solar</v>
      </c>
      <c r="G245" s="92">
        <f>IFERROR(__xludf.DUMMYFUNCTION("""COMPUTED_VALUE"""),67.9239131938219)</f>
        <v>67.92391319</v>
      </c>
    </row>
    <row r="246">
      <c r="A246" s="30" t="str">
        <f>IFERROR(__xludf.DUMMYFUNCTION("""COMPUTED_VALUE"""),"RSC005734")</f>
        <v>RSC005734</v>
      </c>
      <c r="B246" s="30" t="str">
        <f>IFERROR(__xludf.DUMMYFUNCTION("""COMPUTED_VALUE"""),"Bas Radala")</f>
        <v>Bas Radala</v>
      </c>
      <c r="C246" s="30" t="str">
        <f>IFERROR(__xludf.DUMMYFUNCTION("""COMPUTED_VALUE"""),"Veteran")</f>
        <v>Veteran</v>
      </c>
      <c r="D246" s="30" t="str">
        <f>IFERROR(__xludf.DUMMYFUNCTION("""COMPUTED_VALUE"""),"Possessed
Slots")</f>
        <v>Possessed
Slots</v>
      </c>
      <c r="E246" s="30" t="str">
        <f>IFERROR(__xludf.DUMMYFUNCTION("""COMPUTED_VALUE"""),"Destined
Never Lucky")</f>
        <v>Destined
Never Lucky</v>
      </c>
      <c r="F246" s="30" t="str">
        <f>IFERROR(__xludf.DUMMYFUNCTION("""COMPUTED_VALUE"""),"Solar")</f>
        <v>Solar</v>
      </c>
      <c r="G246" s="92">
        <f>IFERROR(__xludf.DUMMYFUNCTION("""COMPUTED_VALUE"""),80.14398021388206)</f>
        <v>80.14398021</v>
      </c>
    </row>
    <row r="247">
      <c r="A247" s="30" t="str">
        <f>IFERROR(__xludf.DUMMYFUNCTION("""COMPUTED_VALUE"""),"RSC007207")</f>
        <v>RSC007207</v>
      </c>
      <c r="B247" s="30" t="str">
        <f>IFERROR(__xludf.DUMMYFUNCTION("""COMPUTED_VALUE"""),".S")</f>
        <v>.S</v>
      </c>
      <c r="C247" s="30" t="str">
        <f>IFERROR(__xludf.DUMMYFUNCTION("""COMPUTED_VALUE"""),"Veteran")</f>
        <v>Veteran</v>
      </c>
      <c r="D247" s="30" t="str">
        <f>IFERROR(__xludf.DUMMYFUNCTION("""COMPUTED_VALUE"""),"Folks
Slots")</f>
        <v>Folks
Slots</v>
      </c>
      <c r="E247" s="30" t="str">
        <f>IFERROR(__xludf.DUMMYFUNCTION("""COMPUTED_VALUE"""),"The Pit
Never Lucky")</f>
        <v>The Pit
Never Lucky</v>
      </c>
      <c r="F247" s="30" t="str">
        <f>IFERROR(__xludf.DUMMYFUNCTION("""COMPUTED_VALUE"""),"Lunar")</f>
        <v>Lunar</v>
      </c>
      <c r="G247" s="92">
        <f>IFERROR(__xludf.DUMMYFUNCTION("""COMPUTED_VALUE"""),53.08714540354423)</f>
        <v>53.0871454</v>
      </c>
    </row>
    <row r="248">
      <c r="A248" s="30" t="str">
        <f>IFERROR(__xludf.DUMMYFUNCTION("""COMPUTED_VALUE"""),"RSC004239")</f>
        <v>RSC004239</v>
      </c>
      <c r="B248" s="30" t="str">
        <f>IFERROR(__xludf.DUMMYFUNCTION("""COMPUTED_VALUE"""),"Nitro")</f>
        <v>Nitro</v>
      </c>
      <c r="C248" s="30" t="str">
        <f>IFERROR(__xludf.DUMMYFUNCTION("""COMPUTED_VALUE"""),"Veteran")</f>
        <v>Veteran</v>
      </c>
      <c r="D248" s="30" t="str">
        <f>IFERROR(__xludf.DUMMYFUNCTION("""COMPUTED_VALUE"""),"Mosaic Maestros
Slots")</f>
        <v>Mosaic Maestros
Slots</v>
      </c>
      <c r="E248" s="30" t="str">
        <f>IFERROR(__xludf.DUMMYFUNCTION("""COMPUTED_VALUE"""),"Art Club
Never Lucky")</f>
        <v>Art Club
Never Lucky</v>
      </c>
      <c r="F248" s="30" t="str">
        <f>IFERROR(__xludf.DUMMYFUNCTION("""COMPUTED_VALUE"""),"Lunar")</f>
        <v>Lunar</v>
      </c>
      <c r="G248" s="92">
        <f>IFERROR(__xludf.DUMMYFUNCTION("""COMPUTED_VALUE"""),38.52872639293613)</f>
        <v>38.52872639</v>
      </c>
    </row>
    <row r="249">
      <c r="A249" s="30" t="str">
        <f>IFERROR(__xludf.DUMMYFUNCTION("""COMPUTED_VALUE"""),"RSC007795")</f>
        <v>RSC007795</v>
      </c>
      <c r="B249" s="30" t="str">
        <f>IFERROR(__xludf.DUMMYFUNCTION("""COMPUTED_VALUE"""),"Gizmeaux")</f>
        <v>Gizmeaux</v>
      </c>
      <c r="C249" s="30" t="str">
        <f>IFERROR(__xludf.DUMMYFUNCTION("""COMPUTED_VALUE"""),"Veteran")</f>
        <v>Veteran</v>
      </c>
      <c r="D249" s="30" t="str">
        <f>IFERROR(__xludf.DUMMYFUNCTION("""COMPUTED_VALUE"""),"Gouda Gangsters")</f>
        <v>Gouda Gangsters</v>
      </c>
      <c r="E249" s="30" t="str">
        <f>IFERROR(__xludf.DUMMYFUNCTION("""COMPUTED_VALUE"""),"Cheese Guild")</f>
        <v>Cheese Guild</v>
      </c>
      <c r="F249" s="30" t="str">
        <f>IFERROR(__xludf.DUMMYFUNCTION("""COMPUTED_VALUE"""),"Lunar")</f>
        <v>Lunar</v>
      </c>
      <c r="G249" s="92">
        <f>IFERROR(__xludf.DUMMYFUNCTION("""COMPUTED_VALUE"""),35.23143714174334)</f>
        <v>35.23143714</v>
      </c>
    </row>
    <row r="250">
      <c r="A250" s="30" t="str">
        <f>IFERROR(__xludf.DUMMYFUNCTION("""COMPUTED_VALUE"""),"RSC000767")</f>
        <v>RSC000767</v>
      </c>
      <c r="B250" s="30" t="str">
        <f>IFERROR(__xludf.DUMMYFUNCTION("""COMPUTED_VALUE"""),"Tragic")</f>
        <v>Tragic</v>
      </c>
      <c r="C250" s="30" t="str">
        <f>IFERROR(__xludf.DUMMYFUNCTION("""COMPUTED_VALUE"""),"Veteran")</f>
        <v>Veteran</v>
      </c>
      <c r="D250" s="30" t="str">
        <f>IFERROR(__xludf.DUMMYFUNCTION("""COMPUTED_VALUE"""),"Gouda Gangsters")</f>
        <v>Gouda Gangsters</v>
      </c>
      <c r="E250" s="30" t="str">
        <f>IFERROR(__xludf.DUMMYFUNCTION("""COMPUTED_VALUE"""),"Cheese Guild")</f>
        <v>Cheese Guild</v>
      </c>
      <c r="F250" s="30" t="str">
        <f>IFERROR(__xludf.DUMMYFUNCTION("""COMPUTED_VALUE"""),"Lunar")</f>
        <v>Lunar</v>
      </c>
      <c r="G250" s="92">
        <f>IFERROR(__xludf.DUMMYFUNCTION("""COMPUTED_VALUE"""),53.70722782728307)</f>
        <v>53.70722783</v>
      </c>
    </row>
    <row r="251">
      <c r="A251" s="30" t="str">
        <f>IFERROR(__xludf.DUMMYFUNCTION("""COMPUTED_VALUE"""),"RSC007383")</f>
        <v>RSC007383</v>
      </c>
      <c r="B251" s="30" t="str">
        <f>IFERROR(__xludf.DUMMYFUNCTION("""COMPUTED_VALUE"""),"ttv. blestbb")</f>
        <v>ttv. blestbb</v>
      </c>
      <c r="C251" s="30" t="str">
        <f>IFERROR(__xludf.DUMMYFUNCTION("""COMPUTED_VALUE"""),"Veteran")</f>
        <v>Veteran</v>
      </c>
      <c r="D251" s="30" t="str">
        <f>IFERROR(__xludf.DUMMYFUNCTION("""COMPUTED_VALUE"""),"Gouda Gangsters")</f>
        <v>Gouda Gangsters</v>
      </c>
      <c r="E251" s="30" t="str">
        <f>IFERROR(__xludf.DUMMYFUNCTION("""COMPUTED_VALUE"""),"Cheese Guild")</f>
        <v>Cheese Guild</v>
      </c>
      <c r="F251" s="30" t="str">
        <f>IFERROR(__xludf.DUMMYFUNCTION("""COMPUTED_VALUE"""),"Lunar")</f>
        <v>Lunar</v>
      </c>
      <c r="G251" s="92">
        <f>IFERROR(__xludf.DUMMYFUNCTION("""COMPUTED_VALUE"""),56.02653190833201)</f>
        <v>56.02653191</v>
      </c>
    </row>
    <row r="252">
      <c r="A252" s="30" t="str">
        <f>IFERROR(__xludf.DUMMYFUNCTION("""COMPUTED_VALUE"""),"RSC000926")</f>
        <v>RSC000926</v>
      </c>
      <c r="B252" s="30" t="str">
        <f>IFERROR(__xludf.DUMMYFUNCTION("""COMPUTED_VALUE"""),"SlmRnchr")</f>
        <v>SlmRnchr</v>
      </c>
      <c r="C252" s="30" t="str">
        <f>IFERROR(__xludf.DUMMYFUNCTION("""COMPUTED_VALUE"""),"Veteran")</f>
        <v>Veteran</v>
      </c>
      <c r="D252" s="30" t="str">
        <f>IFERROR(__xludf.DUMMYFUNCTION("""COMPUTED_VALUE"""),"Silver Dollar")</f>
        <v>Silver Dollar</v>
      </c>
      <c r="E252" s="30" t="str">
        <f>IFERROR(__xludf.DUMMYFUNCTION("""COMPUTED_VALUE"""),"Money Makers")</f>
        <v>Money Makers</v>
      </c>
      <c r="F252" s="30" t="str">
        <f>IFERROR(__xludf.DUMMYFUNCTION("""COMPUTED_VALUE"""),"Solar")</f>
        <v>Solar</v>
      </c>
      <c r="G252" s="92">
        <f>IFERROR(__xludf.DUMMYFUNCTION("""COMPUTED_VALUE"""),48.94220432927291)</f>
        <v>48.94220433</v>
      </c>
    </row>
    <row r="253">
      <c r="A253" s="30" t="str">
        <f>IFERROR(__xludf.DUMMYFUNCTION("""COMPUTED_VALUE"""),"RSC001203")</f>
        <v>RSC001203</v>
      </c>
      <c r="B253" s="30" t="str">
        <f>IFERROR(__xludf.DUMMYFUNCTION("""COMPUTED_VALUE"""),"Clyde")</f>
        <v>Clyde</v>
      </c>
      <c r="C253" s="30" t="str">
        <f>IFERROR(__xludf.DUMMYFUNCTION("""COMPUTED_VALUE"""),"Veteran")</f>
        <v>Veteran</v>
      </c>
      <c r="D253" s="30" t="str">
        <f>IFERROR(__xludf.DUMMYFUNCTION("""COMPUTED_VALUE"""),"Banshees")</f>
        <v>Banshees</v>
      </c>
      <c r="E253" s="30" t="str">
        <f>IFERROR(__xludf.DUMMYFUNCTION("""COMPUTED_VALUE"""),"The Monster Mash")</f>
        <v>The Monster Mash</v>
      </c>
      <c r="F253" s="30" t="str">
        <f>IFERROR(__xludf.DUMMYFUNCTION("""COMPUTED_VALUE"""),"Lunar")</f>
        <v>Lunar</v>
      </c>
      <c r="G253" s="92">
        <f>IFERROR(__xludf.DUMMYFUNCTION("""COMPUTED_VALUE"""),62.10521493606403)</f>
        <v>62.10521494</v>
      </c>
    </row>
    <row r="254">
      <c r="A254" s="30" t="str">
        <f>IFERROR(__xludf.DUMMYFUNCTION("""COMPUTED_VALUE"""),"RSC000156")</f>
        <v>RSC000156</v>
      </c>
      <c r="B254" s="30" t="str">
        <f>IFERROR(__xludf.DUMMYFUNCTION("""COMPUTED_VALUE"""),"Drupenson")</f>
        <v>Drupenson</v>
      </c>
      <c r="C254" s="30" t="str">
        <f>IFERROR(__xludf.DUMMYFUNCTION("""COMPUTED_VALUE"""),"Veteran")</f>
        <v>Veteran</v>
      </c>
      <c r="D254" s="30" t="str">
        <f>IFERROR(__xludf.DUMMYFUNCTION("""COMPUTED_VALUE"""),"Water")</f>
        <v>Water</v>
      </c>
      <c r="E254" s="30" t="str">
        <f>IFERROR(__xludf.DUMMYFUNCTION("""COMPUTED_VALUE"""),"The Elements")</f>
        <v>The Elements</v>
      </c>
      <c r="F254" s="30" t="str">
        <f>IFERROR(__xludf.DUMMYFUNCTION("""COMPUTED_VALUE"""),"Solar")</f>
        <v>Solar</v>
      </c>
      <c r="G254" s="92">
        <f>IFERROR(__xludf.DUMMYFUNCTION("""COMPUTED_VALUE"""),43.567465228865736)</f>
        <v>43.56746523</v>
      </c>
    </row>
    <row r="255">
      <c r="A255" s="30" t="str">
        <f>IFERROR(__xludf.DUMMYFUNCTION("""COMPUTED_VALUE"""),"RSC007237")</f>
        <v>RSC007237</v>
      </c>
      <c r="B255" s="30" t="str">
        <f>IFERROR(__xludf.DUMMYFUNCTION("""COMPUTED_VALUE"""),"FuDaah")</f>
        <v>FuDaah</v>
      </c>
      <c r="C255" s="30" t="str">
        <f>IFERROR(__xludf.DUMMYFUNCTION("""COMPUTED_VALUE"""),"Veteran")</f>
        <v>Veteran</v>
      </c>
      <c r="D255" s="30" t="str">
        <f>IFERROR(__xludf.DUMMYFUNCTION("""COMPUTED_VALUE"""),"Typhoons")</f>
        <v>Typhoons</v>
      </c>
      <c r="E255" s="30" t="str">
        <f>IFERROR(__xludf.DUMMYFUNCTION("""COMPUTED_VALUE"""),"Storm")</f>
        <v>Storm</v>
      </c>
      <c r="F255" s="30" t="str">
        <f>IFERROR(__xludf.DUMMYFUNCTION("""COMPUTED_VALUE"""),"Solar")</f>
        <v>Solar</v>
      </c>
      <c r="G255" s="92">
        <f>IFERROR(__xludf.DUMMYFUNCTION("""COMPUTED_VALUE"""),49.88971412446792)</f>
        <v>49.88971412</v>
      </c>
    </row>
    <row r="256">
      <c r="A256" s="30" t="str">
        <f>IFERROR(__xludf.DUMMYFUNCTION("""COMPUTED_VALUE"""),"RSC007936")</f>
        <v>RSC007936</v>
      </c>
      <c r="B256" s="30" t="str">
        <f>IFERROR(__xludf.DUMMYFUNCTION("""COMPUTED_VALUE"""),"Crazics")</f>
        <v>Crazics</v>
      </c>
      <c r="C256" s="30" t="str">
        <f>IFERROR(__xludf.DUMMYFUNCTION("""COMPUTED_VALUE"""),"Veteran")</f>
        <v>Veteran</v>
      </c>
      <c r="D256" s="30" t="str">
        <f>IFERROR(__xludf.DUMMYFUNCTION("""COMPUTED_VALUE"""),"Gouda Gangsters")</f>
        <v>Gouda Gangsters</v>
      </c>
      <c r="E256" s="30" t="str">
        <f>IFERROR(__xludf.DUMMYFUNCTION("""COMPUTED_VALUE"""),"Cheese Guild")</f>
        <v>Cheese Guild</v>
      </c>
      <c r="F256" s="30" t="str">
        <f>IFERROR(__xludf.DUMMYFUNCTION("""COMPUTED_VALUE"""),"Lunar")</f>
        <v>Lunar</v>
      </c>
      <c r="G256" s="92">
        <f>IFERROR(__xludf.DUMMYFUNCTION("""COMPUTED_VALUE"""),52.37254264118847)</f>
        <v>52.37254264</v>
      </c>
    </row>
    <row r="257">
      <c r="A257" s="30" t="str">
        <f>IFERROR(__xludf.DUMMYFUNCTION("""COMPUTED_VALUE"""),"RSC001893")</f>
        <v>RSC001893</v>
      </c>
      <c r="B257" s="30" t="str">
        <f>IFERROR(__xludf.DUMMYFUNCTION("""COMPUTED_VALUE"""),"cjax")</f>
        <v>cjax</v>
      </c>
      <c r="C257" s="30" t="str">
        <f>IFERROR(__xludf.DUMMYFUNCTION("""COMPUTED_VALUE"""),"Veteran")</f>
        <v>Veteran</v>
      </c>
      <c r="D257" s="30" t="str">
        <f>IFERROR(__xludf.DUMMYFUNCTION("""COMPUTED_VALUE"""),"Peppermint")</f>
        <v>Peppermint</v>
      </c>
      <c r="E257" s="30" t="str">
        <f>IFERROR(__xludf.DUMMYFUNCTION("""COMPUTED_VALUE"""),"Minty Fresh")</f>
        <v>Minty Fresh</v>
      </c>
      <c r="F257" s="30" t="str">
        <f>IFERROR(__xludf.DUMMYFUNCTION("""COMPUTED_VALUE"""),"Solar")</f>
        <v>Solar</v>
      </c>
      <c r="G257" s="92">
        <f>IFERROR(__xludf.DUMMYFUNCTION("""COMPUTED_VALUE"""),21.71268631851807)</f>
        <v>21.71268632</v>
      </c>
    </row>
    <row r="258">
      <c r="A258" s="30" t="str">
        <f>IFERROR(__xludf.DUMMYFUNCTION("""COMPUTED_VALUE"""),"RSC003104")</f>
        <v>RSC003104</v>
      </c>
      <c r="B258" s="30" t="str">
        <f>IFERROR(__xludf.DUMMYFUNCTION("""COMPUTED_VALUE"""),"nizz")</f>
        <v>nizz</v>
      </c>
      <c r="C258" s="30" t="str">
        <f>IFERROR(__xludf.DUMMYFUNCTION("""COMPUTED_VALUE"""),"Veteran")</f>
        <v>Veteran</v>
      </c>
      <c r="D258" s="30" t="str">
        <f>IFERROR(__xludf.DUMMYFUNCTION("""COMPUTED_VALUE"""),"Folks")</f>
        <v>Folks</v>
      </c>
      <c r="E258" s="30" t="str">
        <f>IFERROR(__xludf.DUMMYFUNCTION("""COMPUTED_VALUE"""),"The Pit")</f>
        <v>The Pit</v>
      </c>
      <c r="F258" s="30" t="str">
        <f>IFERROR(__xludf.DUMMYFUNCTION("""COMPUTED_VALUE"""),"Lunar")</f>
        <v>Lunar</v>
      </c>
      <c r="G258" s="92">
        <f>IFERROR(__xludf.DUMMYFUNCTION("""COMPUTED_VALUE"""),20.81133842891073)</f>
        <v>20.81133843</v>
      </c>
    </row>
    <row r="259">
      <c r="A259" s="30" t="str">
        <f>IFERROR(__xludf.DUMMYFUNCTION("""COMPUTED_VALUE"""),"RSC006060")</f>
        <v>RSC006060</v>
      </c>
      <c r="B259" s="30" t="str">
        <f>IFERROR(__xludf.DUMMYFUNCTION("""COMPUTED_VALUE"""),"WP_Merciless")</f>
        <v>WP_Merciless</v>
      </c>
      <c r="C259" s="30" t="str">
        <f>IFERROR(__xludf.DUMMYFUNCTION("""COMPUTED_VALUE"""),"Veteran")</f>
        <v>Veteran</v>
      </c>
      <c r="D259" s="30" t="str">
        <f>IFERROR(__xludf.DUMMYFUNCTION("""COMPUTED_VALUE"""),"Rulers")</f>
        <v>Rulers</v>
      </c>
      <c r="E259" s="30" t="str">
        <f>IFERROR(__xludf.DUMMYFUNCTION("""COMPUTED_VALUE"""),"Monarchy")</f>
        <v>Monarchy</v>
      </c>
      <c r="F259" s="30" t="str">
        <f>IFERROR(__xludf.DUMMYFUNCTION("""COMPUTED_VALUE"""),"Lunar")</f>
        <v>Lunar</v>
      </c>
      <c r="G259" s="92">
        <f>IFERROR(__xludf.DUMMYFUNCTION("""COMPUTED_VALUE"""),55.28408015697411)</f>
        <v>55.28408016</v>
      </c>
    </row>
    <row r="260">
      <c r="A260" s="30" t="str">
        <f>IFERROR(__xludf.DUMMYFUNCTION("""COMPUTED_VALUE"""),"RSC007908")</f>
        <v>RSC007908</v>
      </c>
      <c r="B260" s="30" t="str">
        <f>IFERROR(__xludf.DUMMYFUNCTION("""COMPUTED_VALUE"""),"C01E01")</f>
        <v>C01E01</v>
      </c>
      <c r="C260" s="30" t="str">
        <f>IFERROR(__xludf.DUMMYFUNCTION("""COMPUTED_VALUE"""),"Veteran")</f>
        <v>Veteran</v>
      </c>
      <c r="D260" s="30" t="str">
        <f>IFERROR(__xludf.DUMMYFUNCTION("""COMPUTED_VALUE"""),"Dread
Silver Dollar
Rockin Revenants")</f>
        <v>Dread
Silver Dollar
Rockin Revenants</v>
      </c>
      <c r="E260" s="30" t="str">
        <f>IFERROR(__xludf.DUMMYFUNCTION("""COMPUTED_VALUE"""),"The Shadows
Money Makers
Ghoul School")</f>
        <v>The Shadows
Money Makers
Ghoul School</v>
      </c>
      <c r="F260" s="30" t="str">
        <f>IFERROR(__xludf.DUMMYFUNCTION("""COMPUTED_VALUE"""),"Solar")</f>
        <v>Solar</v>
      </c>
      <c r="G260" s="92">
        <f>IFERROR(__xludf.DUMMYFUNCTION("""COMPUTED_VALUE"""),71.18853334631164)</f>
        <v>71.18853335</v>
      </c>
    </row>
    <row r="261">
      <c r="A261" s="30" t="str">
        <f>IFERROR(__xludf.DUMMYFUNCTION("""COMPUTED_VALUE"""),"RSC007607")</f>
        <v>RSC007607</v>
      </c>
      <c r="B261" s="30" t="str">
        <f>IFERROR(__xludf.DUMMYFUNCTION("""COMPUTED_VALUE"""),"GameGang")</f>
        <v>GameGang</v>
      </c>
      <c r="C261" s="30" t="str">
        <f>IFERROR(__xludf.DUMMYFUNCTION("""COMPUTED_VALUE"""),"Veteran")</f>
        <v>Veteran</v>
      </c>
      <c r="D261" s="30" t="str">
        <f>IFERROR(__xludf.DUMMYFUNCTION("""COMPUTED_VALUE"""),"Rockin Revenants")</f>
        <v>Rockin Revenants</v>
      </c>
      <c r="E261" s="30" t="str">
        <f>IFERROR(__xludf.DUMMYFUNCTION("""COMPUTED_VALUE"""),"Ghoul School")</f>
        <v>Ghoul School</v>
      </c>
      <c r="F261" s="30" t="str">
        <f>IFERROR(__xludf.DUMMYFUNCTION("""COMPUTED_VALUE"""),"Solar")</f>
        <v>Solar</v>
      </c>
      <c r="G261" s="92">
        <f>IFERROR(__xludf.DUMMYFUNCTION("""COMPUTED_VALUE"""),28.33862105819454)</f>
        <v>28.33862106</v>
      </c>
    </row>
    <row r="262">
      <c r="A262" s="30" t="str">
        <f>IFERROR(__xludf.DUMMYFUNCTION("""COMPUTED_VALUE"""),"RSC007341")</f>
        <v>RSC007341</v>
      </c>
      <c r="B262" s="30" t="str">
        <f>IFERROR(__xludf.DUMMYFUNCTION("""COMPUTED_VALUE"""),"Squashy")</f>
        <v>Squashy</v>
      </c>
      <c r="C262" s="30" t="str">
        <f>IFERROR(__xludf.DUMMYFUNCTION("""COMPUTED_VALUE"""),"Veteran")</f>
        <v>Veteran</v>
      </c>
      <c r="D262" s="30" t="str">
        <f>IFERROR(__xludf.DUMMYFUNCTION("""COMPUTED_VALUE"""),"Rockin Revenants")</f>
        <v>Rockin Revenants</v>
      </c>
      <c r="E262" s="30" t="str">
        <f>IFERROR(__xludf.DUMMYFUNCTION("""COMPUTED_VALUE"""),"Ghoul School")</f>
        <v>Ghoul School</v>
      </c>
      <c r="F262" s="30" t="str">
        <f>IFERROR(__xludf.DUMMYFUNCTION("""COMPUTED_VALUE"""),"Solar")</f>
        <v>Solar</v>
      </c>
      <c r="G262" s="92">
        <f>IFERROR(__xludf.DUMMYFUNCTION("""COMPUTED_VALUE"""),64.95323613705617)</f>
        <v>64.95323614</v>
      </c>
    </row>
    <row r="263">
      <c r="A263" s="30" t="str">
        <f>IFERROR(__xludf.DUMMYFUNCTION("""COMPUTED_VALUE"""),"RSC000698")</f>
        <v>RSC000698</v>
      </c>
      <c r="B263" s="30" t="str">
        <f>IFERROR(__xludf.DUMMYFUNCTION("""COMPUTED_VALUE"""),"Inedibledeer")</f>
        <v>Inedibledeer</v>
      </c>
      <c r="C263" s="30" t="str">
        <f>IFERROR(__xludf.DUMMYFUNCTION("""COMPUTED_VALUE"""),"Veteran")</f>
        <v>Veteran</v>
      </c>
      <c r="D263" s="30" t="str">
        <f>IFERROR(__xludf.DUMMYFUNCTION("""COMPUTED_VALUE"""),"Werewolves")</f>
        <v>Werewolves</v>
      </c>
      <c r="E263" s="30" t="str">
        <f>IFERROR(__xludf.DUMMYFUNCTION("""COMPUTED_VALUE"""),"The Forest")</f>
        <v>The Forest</v>
      </c>
      <c r="F263" s="30" t="str">
        <f>IFERROR(__xludf.DUMMYFUNCTION("""COMPUTED_VALUE"""),"Solar")</f>
        <v>Solar</v>
      </c>
      <c r="G263" s="92">
        <f>IFERROR(__xludf.DUMMYFUNCTION("""COMPUTED_VALUE"""),20.316625027240313)</f>
        <v>20.31662503</v>
      </c>
    </row>
    <row r="264">
      <c r="A264" s="30" t="str">
        <f>IFERROR(__xludf.DUMMYFUNCTION("""COMPUTED_VALUE"""),"RSC004109")</f>
        <v>RSC004109</v>
      </c>
      <c r="B264" s="30" t="str">
        <f>IFERROR(__xludf.DUMMYFUNCTION("""COMPUTED_VALUE"""),"Hawkish")</f>
        <v>Hawkish</v>
      </c>
      <c r="C264" s="30" t="str">
        <f>IFERROR(__xludf.DUMMYFUNCTION("""COMPUTED_VALUE"""),"Veteran")</f>
        <v>Veteran</v>
      </c>
      <c r="D264" s="30" t="str">
        <f>IFERROR(__xludf.DUMMYFUNCTION("""COMPUTED_VALUE"""),"Werewolves")</f>
        <v>Werewolves</v>
      </c>
      <c r="E264" s="30" t="str">
        <f>IFERROR(__xludf.DUMMYFUNCTION("""COMPUTED_VALUE"""),"The Forest")</f>
        <v>The Forest</v>
      </c>
      <c r="F264" s="30" t="str">
        <f>IFERROR(__xludf.DUMMYFUNCTION("""COMPUTED_VALUE"""),"Solar")</f>
        <v>Solar</v>
      </c>
      <c r="G264" s="92">
        <f>IFERROR(__xludf.DUMMYFUNCTION("""COMPUTED_VALUE"""),56.78847541732084)</f>
        <v>56.78847542</v>
      </c>
    </row>
    <row r="265">
      <c r="A265" s="30" t="str">
        <f>IFERROR(__xludf.DUMMYFUNCTION("""COMPUTED_VALUE"""),"RSC003250")</f>
        <v>RSC003250</v>
      </c>
      <c r="B265" s="30" t="str">
        <f>IFERROR(__xludf.DUMMYFUNCTION("""COMPUTED_VALUE"""),"Chefty")</f>
        <v>Chefty</v>
      </c>
      <c r="C265" s="30" t="str">
        <f>IFERROR(__xludf.DUMMYFUNCTION("""COMPUTED_VALUE"""),"Veteran")</f>
        <v>Veteran</v>
      </c>
      <c r="D265" s="30" t="str">
        <f>IFERROR(__xludf.DUMMYFUNCTION("""COMPUTED_VALUE"""),"Werewolves")</f>
        <v>Werewolves</v>
      </c>
      <c r="E265" s="30" t="str">
        <f>IFERROR(__xludf.DUMMYFUNCTION("""COMPUTED_VALUE"""),"The Forest")</f>
        <v>The Forest</v>
      </c>
      <c r="F265" s="30" t="str">
        <f>IFERROR(__xludf.DUMMYFUNCTION("""COMPUTED_VALUE"""),"Solar")</f>
        <v>Solar</v>
      </c>
      <c r="G265" s="92">
        <f>IFERROR(__xludf.DUMMYFUNCTION("""COMPUTED_VALUE"""),21.44919167575973)</f>
        <v>21.44919168</v>
      </c>
    </row>
    <row r="266">
      <c r="A266" s="30" t="str">
        <f>IFERROR(__xludf.DUMMYFUNCTION("""COMPUTED_VALUE"""),"RSC004229")</f>
        <v>RSC004229</v>
      </c>
      <c r="B266" s="30" t="str">
        <f>IFERROR(__xludf.DUMMYFUNCTION("""COMPUTED_VALUE"""),"doty")</f>
        <v>doty</v>
      </c>
      <c r="C266" s="30" t="str">
        <f>IFERROR(__xludf.DUMMYFUNCTION("""COMPUTED_VALUE"""),"Veteran")</f>
        <v>Veteran</v>
      </c>
      <c r="D266" s="30" t="str">
        <f>IFERROR(__xludf.DUMMYFUNCTION("""COMPUTED_VALUE"""),"Gouda Gangsters
Werewolves")</f>
        <v>Gouda Gangsters
Werewolves</v>
      </c>
      <c r="E266" s="30" t="str">
        <f>IFERROR(__xludf.DUMMYFUNCTION("""COMPUTED_VALUE"""),"Cheese Guild
The Forest")</f>
        <v>Cheese Guild
The Forest</v>
      </c>
      <c r="F266" s="30" t="str">
        <f>IFERROR(__xludf.DUMMYFUNCTION("""COMPUTED_VALUE"""),"Solar")</f>
        <v>Solar</v>
      </c>
      <c r="G266" s="92">
        <f>IFERROR(__xludf.DUMMYFUNCTION("""COMPUTED_VALUE"""),38.03535585294169)</f>
        <v>38.03535585</v>
      </c>
    </row>
    <row r="267">
      <c r="A267" s="30" t="str">
        <f>IFERROR(__xludf.DUMMYFUNCTION("""COMPUTED_VALUE"""),"RSC006909")</f>
        <v>RSC006909</v>
      </c>
      <c r="B267" s="30" t="str">
        <f>IFERROR(__xludf.DUMMYFUNCTION("""COMPUTED_VALUE"""),"Dewby")</f>
        <v>Dewby</v>
      </c>
      <c r="C267" s="30" t="str">
        <f>IFERROR(__xludf.DUMMYFUNCTION("""COMPUTED_VALUE"""),"Veteran")</f>
        <v>Veteran</v>
      </c>
      <c r="D267" s="30" t="str">
        <f>IFERROR(__xludf.DUMMYFUNCTION("""COMPUTED_VALUE"""),"Singularity")</f>
        <v>Singularity</v>
      </c>
      <c r="E267" s="30" t="str">
        <f>IFERROR(__xludf.DUMMYFUNCTION("""COMPUTED_VALUE"""),"Event Horizon")</f>
        <v>Event Horizon</v>
      </c>
      <c r="F267" s="30" t="str">
        <f>IFERROR(__xludf.DUMMYFUNCTION("""COMPUTED_VALUE"""),"Solar")</f>
        <v>Solar</v>
      </c>
      <c r="G267" s="92">
        <f>IFERROR(__xludf.DUMMYFUNCTION("""COMPUTED_VALUE"""),59.492015799284644)</f>
        <v>59.4920158</v>
      </c>
    </row>
    <row r="268">
      <c r="A268" s="30" t="str">
        <f>IFERROR(__xludf.DUMMYFUNCTION("""COMPUTED_VALUE"""),"RSC004313")</f>
        <v>RSC004313</v>
      </c>
      <c r="B268" s="30" t="str">
        <f>IFERROR(__xludf.DUMMYFUNCTION("""COMPUTED_VALUE"""),"Causing .")</f>
        <v>Causing .</v>
      </c>
      <c r="C268" s="30" t="str">
        <f>IFERROR(__xludf.DUMMYFUNCTION("""COMPUTED_VALUE"""),"Veteran")</f>
        <v>Veteran</v>
      </c>
      <c r="D268" s="30" t="str">
        <f>IFERROR(__xludf.DUMMYFUNCTION("""COMPUTED_VALUE"""),"Mellow Fellows
Dog Fighters
Kirin")</f>
        <v>Mellow Fellows
Dog Fighters
Kirin</v>
      </c>
      <c r="E268" s="30" t="str">
        <f>IFERROR(__xludf.DUMMYFUNCTION("""COMPUTED_VALUE"""),"Vibe Tribe
Remove Before Flight
The Shrine")</f>
        <v>Vibe Tribe
Remove Before Flight
The Shrine</v>
      </c>
      <c r="F268" s="30" t="str">
        <f>IFERROR(__xludf.DUMMYFUNCTION("""COMPUTED_VALUE"""),"Lunar")</f>
        <v>Lunar</v>
      </c>
      <c r="G268" s="92">
        <f>IFERROR(__xludf.DUMMYFUNCTION("""COMPUTED_VALUE"""),89.12159934544553)</f>
        <v>89.12159935</v>
      </c>
    </row>
    <row r="269">
      <c r="A269" s="30" t="str">
        <f>IFERROR(__xludf.DUMMYFUNCTION("""COMPUTED_VALUE"""),"RSC000645")</f>
        <v>RSC000645</v>
      </c>
      <c r="B269" s="30" t="str">
        <f>IFERROR(__xludf.DUMMYFUNCTION("""COMPUTED_VALUE"""),"DenZ")</f>
        <v>DenZ</v>
      </c>
      <c r="C269" s="30" t="str">
        <f>IFERROR(__xludf.DUMMYFUNCTION("""COMPUTED_VALUE"""),"Veteran")</f>
        <v>Veteran</v>
      </c>
      <c r="D269" s="30" t="str">
        <f>IFERROR(__xludf.DUMMYFUNCTION("""COMPUTED_VALUE"""),"Grizzly Bears")</f>
        <v>Grizzly Bears</v>
      </c>
      <c r="E269" s="30" t="str">
        <f>IFERROR(__xludf.DUMMYFUNCTION("""COMPUTED_VALUE"""),"The Bear Den")</f>
        <v>The Bear Den</v>
      </c>
      <c r="F269" s="30" t="str">
        <f>IFERROR(__xludf.DUMMYFUNCTION("""COMPUTED_VALUE"""),"Lunar")</f>
        <v>Lunar</v>
      </c>
      <c r="G269" s="92">
        <f>IFERROR(__xludf.DUMMYFUNCTION("""COMPUTED_VALUE"""),62.358988832373925)</f>
        <v>62.35898883</v>
      </c>
    </row>
    <row r="270">
      <c r="A270" s="30" t="str">
        <f>IFERROR(__xludf.DUMMYFUNCTION("""COMPUTED_VALUE"""),"RSC006885")</f>
        <v>RSC006885</v>
      </c>
      <c r="B270" s="30" t="str">
        <f>IFERROR(__xludf.DUMMYFUNCTION("""COMPUTED_VALUE"""),"ski")</f>
        <v>ski</v>
      </c>
      <c r="C270" s="30" t="str">
        <f>IFERROR(__xludf.DUMMYFUNCTION("""COMPUTED_VALUE"""),"Veteran")</f>
        <v>Veteran</v>
      </c>
      <c r="D270" s="30" t="str">
        <f>IFERROR(__xludf.DUMMYFUNCTION("""COMPUTED_VALUE"""),"Dread")</f>
        <v>Dread</v>
      </c>
      <c r="E270" s="30" t="str">
        <f>IFERROR(__xludf.DUMMYFUNCTION("""COMPUTED_VALUE"""),"The Shadows")</f>
        <v>The Shadows</v>
      </c>
      <c r="F270" s="30" t="str">
        <f>IFERROR(__xludf.DUMMYFUNCTION("""COMPUTED_VALUE"""),"Lunar")</f>
        <v>Lunar</v>
      </c>
      <c r="G270" s="92">
        <f>IFERROR(__xludf.DUMMYFUNCTION("""COMPUTED_VALUE"""),60.58932963655383)</f>
        <v>60.58932964</v>
      </c>
    </row>
    <row r="271">
      <c r="A271" s="30" t="str">
        <f>IFERROR(__xludf.DUMMYFUNCTION("""COMPUTED_VALUE"""),"RSC002730")</f>
        <v>RSC002730</v>
      </c>
      <c r="B271" s="30" t="str">
        <f>IFERROR(__xludf.DUMMYFUNCTION("""COMPUTED_VALUE"""),"AquaP")</f>
        <v>AquaP</v>
      </c>
      <c r="C271" s="30" t="str">
        <f>IFERROR(__xludf.DUMMYFUNCTION("""COMPUTED_VALUE"""),"Veteran")</f>
        <v>Veteran</v>
      </c>
      <c r="D271" s="30" t="str">
        <f>IFERROR(__xludf.DUMMYFUNCTION("""COMPUTED_VALUE"""),"Merciless Mob")</f>
        <v>Merciless Mob</v>
      </c>
      <c r="E271" s="30" t="str">
        <f>IFERROR(__xludf.DUMMYFUNCTION("""COMPUTED_VALUE"""),"The Syndicate")</f>
        <v>The Syndicate</v>
      </c>
      <c r="F271" s="30" t="str">
        <f>IFERROR(__xludf.DUMMYFUNCTION("""COMPUTED_VALUE"""),"Lunar")</f>
        <v>Lunar</v>
      </c>
      <c r="G271" s="92">
        <f>IFERROR(__xludf.DUMMYFUNCTION("""COMPUTED_VALUE"""),39.01721759621163)</f>
        <v>39.0172176</v>
      </c>
    </row>
    <row r="272">
      <c r="A272" s="30" t="str">
        <f>IFERROR(__xludf.DUMMYFUNCTION("""COMPUTED_VALUE"""),"RSC007115")</f>
        <v>RSC007115</v>
      </c>
      <c r="B272" s="30" t="str">
        <f>IFERROR(__xludf.DUMMYFUNCTION("""COMPUTED_VALUE"""),"Zoomin")</f>
        <v>Zoomin</v>
      </c>
      <c r="C272" s="30" t="str">
        <f>IFERROR(__xludf.DUMMYFUNCTION("""COMPUTED_VALUE"""),"Veteran")</f>
        <v>Veteran</v>
      </c>
      <c r="D272" s="30" t="str">
        <f>IFERROR(__xludf.DUMMYFUNCTION("""COMPUTED_VALUE"""),"Legati")</f>
        <v>Legati</v>
      </c>
      <c r="E272" s="30" t="str">
        <f>IFERROR(__xludf.DUMMYFUNCTION("""COMPUTED_VALUE"""),"The Sovereign")</f>
        <v>The Sovereign</v>
      </c>
      <c r="F272" s="30" t="str">
        <f>IFERROR(__xludf.DUMMYFUNCTION("""COMPUTED_VALUE"""),"Lunar")</f>
        <v>Lunar</v>
      </c>
      <c r="G272" s="92">
        <f>IFERROR(__xludf.DUMMYFUNCTION("""COMPUTED_VALUE"""),40.81084871277264)</f>
        <v>40.81084871</v>
      </c>
    </row>
    <row r="273">
      <c r="A273" s="30" t="str">
        <f>IFERROR(__xludf.DUMMYFUNCTION("""COMPUTED_VALUE"""),"RSC007991")</f>
        <v>RSC007991</v>
      </c>
      <c r="B273" s="30" t="str">
        <f>IFERROR(__xludf.DUMMYFUNCTION("""COMPUTED_VALUE"""),"TTV 50D Drew")</f>
        <v>TTV 50D Drew</v>
      </c>
      <c r="C273" s="30" t="str">
        <f>IFERROR(__xludf.DUMMYFUNCTION("""COMPUTED_VALUE"""),"Veteran")</f>
        <v>Veteran</v>
      </c>
      <c r="D273" s="30" t="str">
        <f>IFERROR(__xludf.DUMMYFUNCTION("""COMPUTED_VALUE"""),"Dump Trucks")</f>
        <v>Dump Trucks</v>
      </c>
      <c r="E273" s="30" t="str">
        <f>IFERROR(__xludf.DUMMYFUNCTION("""COMPUTED_VALUE"""),"Road Work Ahead")</f>
        <v>Road Work Ahead</v>
      </c>
      <c r="F273" s="30" t="str">
        <f>IFERROR(__xludf.DUMMYFUNCTION("""COMPUTED_VALUE"""),"Lunar")</f>
        <v>Lunar</v>
      </c>
      <c r="G273" s="92">
        <f>IFERROR(__xludf.DUMMYFUNCTION("""COMPUTED_VALUE"""),20.204981343951616)</f>
        <v>20.20498134</v>
      </c>
    </row>
    <row r="274">
      <c r="A274" s="30" t="str">
        <f>IFERROR(__xludf.DUMMYFUNCTION("""COMPUTED_VALUE"""),"RSC007443")</f>
        <v>RSC007443</v>
      </c>
      <c r="B274" s="30" t="str">
        <f>IFERROR(__xludf.DUMMYFUNCTION("""COMPUTED_VALUE"""),"Allusion.-.")</f>
        <v>Allusion.-.</v>
      </c>
      <c r="C274" s="30" t="str">
        <f>IFERROR(__xludf.DUMMYFUNCTION("""COMPUTED_VALUE"""),"Veteran")</f>
        <v>Veteran</v>
      </c>
      <c r="D274" s="30" t="str">
        <f>IFERROR(__xludf.DUMMYFUNCTION("""COMPUTED_VALUE"""),"Possessed
Kirin
Giraffes")</f>
        <v>Possessed
Kirin
Giraffes</v>
      </c>
      <c r="E274" s="30" t="str">
        <f>IFERROR(__xludf.DUMMYFUNCTION("""COMPUTED_VALUE"""),"Destined
The Shrine
Safari")</f>
        <v>Destined
The Shrine
Safari</v>
      </c>
      <c r="F274" s="30" t="str">
        <f>IFERROR(__xludf.DUMMYFUNCTION("""COMPUTED_VALUE"""),"Solar")</f>
        <v>Solar</v>
      </c>
      <c r="G274" s="92">
        <f>IFERROR(__xludf.DUMMYFUNCTION("""COMPUTED_VALUE"""),47.127997687161375)</f>
        <v>47.12799769</v>
      </c>
    </row>
    <row r="275">
      <c r="A275" s="30" t="str">
        <f>IFERROR(__xludf.DUMMYFUNCTION("""COMPUTED_VALUE"""),"RSC007486")</f>
        <v>RSC007486</v>
      </c>
      <c r="B275" s="30" t="str">
        <f>IFERROR(__xludf.DUMMYFUNCTION("""COMPUTED_VALUE"""),"risfox")</f>
        <v>risfox</v>
      </c>
      <c r="C275" s="30" t="str">
        <f>IFERROR(__xludf.DUMMYFUNCTION("""COMPUTED_VALUE"""),"Veteran")</f>
        <v>Veteran</v>
      </c>
      <c r="D275" s="30" t="str">
        <f>IFERROR(__xludf.DUMMYFUNCTION("""COMPUTED_VALUE"""),"Giraffes")</f>
        <v>Giraffes</v>
      </c>
      <c r="E275" s="30" t="str">
        <f>IFERROR(__xludf.DUMMYFUNCTION("""COMPUTED_VALUE"""),"Safari")</f>
        <v>Safari</v>
      </c>
      <c r="F275" s="30" t="str">
        <f>IFERROR(__xludf.DUMMYFUNCTION("""COMPUTED_VALUE"""),"Lunar")</f>
        <v>Lunar</v>
      </c>
      <c r="G275" s="92">
        <f>IFERROR(__xludf.DUMMYFUNCTION("""COMPUTED_VALUE"""),24.438295392579786)</f>
        <v>24.43829539</v>
      </c>
    </row>
    <row r="276">
      <c r="A276" s="30" t="str">
        <f>IFERROR(__xludf.DUMMYFUNCTION("""COMPUTED_VALUE"""),"RSC007900")</f>
        <v>RSC007900</v>
      </c>
      <c r="B276" s="30" t="str">
        <f>IFERROR(__xludf.DUMMYFUNCTION("""COMPUTED_VALUE"""),"Car.")</f>
        <v>Car.</v>
      </c>
      <c r="C276" s="30" t="str">
        <f>IFERROR(__xludf.DUMMYFUNCTION("""COMPUTED_VALUE"""),"Veteran")</f>
        <v>Veteran</v>
      </c>
      <c r="D276" s="30" t="str">
        <f>IFERROR(__xludf.DUMMYFUNCTION("""COMPUTED_VALUE"""),"Supernova")</f>
        <v>Supernova</v>
      </c>
      <c r="E276" s="30" t="str">
        <f>IFERROR(__xludf.DUMMYFUNCTION("""COMPUTED_VALUE"""),"The Cosmos")</f>
        <v>The Cosmos</v>
      </c>
      <c r="F276" s="30" t="str">
        <f>IFERROR(__xludf.DUMMYFUNCTION("""COMPUTED_VALUE"""),"Solar")</f>
        <v>Solar</v>
      </c>
      <c r="G276" s="92">
        <f>IFERROR(__xludf.DUMMYFUNCTION("""COMPUTED_VALUE"""),63.2643256517532)</f>
        <v>63.26432565</v>
      </c>
    </row>
    <row r="277">
      <c r="A277" s="30" t="str">
        <f>IFERROR(__xludf.DUMMYFUNCTION("""COMPUTED_VALUE"""),"RSC000023")</f>
        <v>RSC000023</v>
      </c>
      <c r="B277" s="30" t="str">
        <f>IFERROR(__xludf.DUMMYFUNCTION("""COMPUTED_VALUE"""),"n0maa")</f>
        <v>n0maa</v>
      </c>
      <c r="C277" s="30" t="str">
        <f>IFERROR(__xludf.DUMMYFUNCTION("""COMPUTED_VALUE"""),"Veteran")</f>
        <v>Veteran</v>
      </c>
      <c r="D277" s="30" t="str">
        <f>IFERROR(__xludf.DUMMYFUNCTION("""COMPUTED_VALUE"""),"Water")</f>
        <v>Water</v>
      </c>
      <c r="E277" s="30" t="str">
        <f>IFERROR(__xludf.DUMMYFUNCTION("""COMPUTED_VALUE"""),"The Elements")</f>
        <v>The Elements</v>
      </c>
      <c r="F277" s="30" t="str">
        <f>IFERROR(__xludf.DUMMYFUNCTION("""COMPUTED_VALUE"""),"Solar")</f>
        <v>Solar</v>
      </c>
      <c r="G277" s="92">
        <f>IFERROR(__xludf.DUMMYFUNCTION("""COMPUTED_VALUE"""),41.115907178185715)</f>
        <v>41.11590718</v>
      </c>
    </row>
    <row r="278">
      <c r="A278" s="30" t="str">
        <f>IFERROR(__xludf.DUMMYFUNCTION("""COMPUTED_VALUE"""),"RSC004332")</f>
        <v>RSC004332</v>
      </c>
      <c r="B278" s="30" t="str">
        <f>IFERROR(__xludf.DUMMYFUNCTION("""COMPUTED_VALUE"""),"FriendBrady")</f>
        <v>FriendBrady</v>
      </c>
      <c r="C278" s="30" t="str">
        <f>IFERROR(__xludf.DUMMYFUNCTION("""COMPUTED_VALUE"""),"Veteran")</f>
        <v>Veteran</v>
      </c>
      <c r="D278" s="30" t="str">
        <f>IFERROR(__xludf.DUMMYFUNCTION("""COMPUTED_VALUE"""),"Makos")</f>
        <v>Makos</v>
      </c>
      <c r="E278" s="30" t="str">
        <f>IFERROR(__xludf.DUMMYFUNCTION("""COMPUTED_VALUE"""),"Shark Attack")</f>
        <v>Shark Attack</v>
      </c>
      <c r="F278" s="30" t="str">
        <f>IFERROR(__xludf.DUMMYFUNCTION("""COMPUTED_VALUE"""),"Solar")</f>
        <v>Solar</v>
      </c>
      <c r="G278" s="92">
        <f>IFERROR(__xludf.DUMMYFUNCTION("""COMPUTED_VALUE"""),7.713864992689118)</f>
        <v>7.713864993</v>
      </c>
    </row>
    <row r="279">
      <c r="A279" s="30" t="str">
        <f>IFERROR(__xludf.DUMMYFUNCTION("""COMPUTED_VALUE"""),"RSC006978")</f>
        <v>RSC006978</v>
      </c>
      <c r="B279" s="30" t="str">
        <f>IFERROR(__xludf.DUMMYFUNCTION("""COMPUTED_VALUE"""),"Tuhlur.")</f>
        <v>Tuhlur.</v>
      </c>
      <c r="C279" s="30" t="str">
        <f>IFERROR(__xludf.DUMMYFUNCTION("""COMPUTED_VALUE"""),"Veteran")</f>
        <v>Veteran</v>
      </c>
      <c r="D279" s="30" t="str">
        <f>IFERROR(__xludf.DUMMYFUNCTION("""COMPUTED_VALUE"""),"Dog Fighters")</f>
        <v>Dog Fighters</v>
      </c>
      <c r="E279" s="30" t="str">
        <f>IFERROR(__xludf.DUMMYFUNCTION("""COMPUTED_VALUE"""),"Remove Before Flight")</f>
        <v>Remove Before Flight</v>
      </c>
      <c r="F279" s="30" t="str">
        <f>IFERROR(__xludf.DUMMYFUNCTION("""COMPUTED_VALUE"""),"Lunar")</f>
        <v>Lunar</v>
      </c>
      <c r="G279" s="92">
        <f>IFERROR(__xludf.DUMMYFUNCTION("""COMPUTED_VALUE"""),80.89282331137701)</f>
        <v>80.89282331</v>
      </c>
    </row>
    <row r="280">
      <c r="A280" s="30" t="str">
        <f>IFERROR(__xludf.DUMMYFUNCTION("""COMPUTED_VALUE"""),"RSC008028")</f>
        <v>RSC008028</v>
      </c>
      <c r="B280" s="30" t="str">
        <f>IFERROR(__xludf.DUMMYFUNCTION("""COMPUTED_VALUE"""),"krozex.")</f>
        <v>krozex.</v>
      </c>
      <c r="C280" s="30" t="str">
        <f>IFERROR(__xludf.DUMMYFUNCTION("""COMPUTED_VALUE"""),"Veteran")</f>
        <v>Veteran</v>
      </c>
      <c r="D280" s="30" t="str">
        <f>IFERROR(__xludf.DUMMYFUNCTION("""COMPUTED_VALUE"""),"Gouda Gangsters")</f>
        <v>Gouda Gangsters</v>
      </c>
      <c r="E280" s="30" t="str">
        <f>IFERROR(__xludf.DUMMYFUNCTION("""COMPUTED_VALUE"""),"Cheese Guild")</f>
        <v>Cheese Guild</v>
      </c>
      <c r="F280" s="30" t="str">
        <f>IFERROR(__xludf.DUMMYFUNCTION("""COMPUTED_VALUE"""),"Lunar")</f>
        <v>Lunar</v>
      </c>
      <c r="G280" s="92">
        <f>IFERROR(__xludf.DUMMYFUNCTION("""COMPUTED_VALUE"""),16.463868244564857)</f>
        <v>16.46386824</v>
      </c>
    </row>
    <row r="281">
      <c r="A281" s="30" t="str">
        <f>IFERROR(__xludf.DUMMYFUNCTION("""COMPUTED_VALUE"""),"RSC006869")</f>
        <v>RSC006869</v>
      </c>
      <c r="B281" s="30" t="str">
        <f>IFERROR(__xludf.DUMMYFUNCTION("""COMPUTED_VALUE"""),"Flurry ^-^")</f>
        <v>Flurry ^-^</v>
      </c>
      <c r="C281" s="30" t="str">
        <f>IFERROR(__xludf.DUMMYFUNCTION("""COMPUTED_VALUE"""),"Veteran")</f>
        <v>Veteran</v>
      </c>
      <c r="D281" s="30" t="str">
        <f>IFERROR(__xludf.DUMMYFUNCTION("""COMPUTED_VALUE"""),"Dump Trucks")</f>
        <v>Dump Trucks</v>
      </c>
      <c r="E281" s="30" t="str">
        <f>IFERROR(__xludf.DUMMYFUNCTION("""COMPUTED_VALUE"""),"Road Work Ahead")</f>
        <v>Road Work Ahead</v>
      </c>
      <c r="F281" s="30" t="str">
        <f>IFERROR(__xludf.DUMMYFUNCTION("""COMPUTED_VALUE"""),"Lunar")</f>
        <v>Lunar</v>
      </c>
      <c r="G281" s="92">
        <f>IFERROR(__xludf.DUMMYFUNCTION("""COMPUTED_VALUE"""),65.01203352490384)</f>
        <v>65.01203352</v>
      </c>
    </row>
    <row r="282">
      <c r="A282" s="30" t="str">
        <f>IFERROR(__xludf.DUMMYFUNCTION("""COMPUTED_VALUE"""),"RSC006992")</f>
        <v>RSC006992</v>
      </c>
      <c r="B282" s="30" t="str">
        <f>IFERROR(__xludf.DUMMYFUNCTION("""COMPUTED_VALUE"""),"Dxso.")</f>
        <v>Dxso.</v>
      </c>
      <c r="C282" s="30" t="str">
        <f>IFERROR(__xludf.DUMMYFUNCTION("""COMPUTED_VALUE"""),"Veteran")</f>
        <v>Veteran</v>
      </c>
      <c r="D282" s="30" t="str">
        <f>IFERROR(__xludf.DUMMYFUNCTION("""COMPUTED_VALUE"""),"Kirin
Possessed")</f>
        <v>Kirin
Possessed</v>
      </c>
      <c r="E282" s="30" t="str">
        <f>IFERROR(__xludf.DUMMYFUNCTION("""COMPUTED_VALUE"""),"The Shrine
Destined")</f>
        <v>The Shrine
Destined</v>
      </c>
      <c r="F282" s="30" t="str">
        <f>IFERROR(__xludf.DUMMYFUNCTION("""COMPUTED_VALUE"""),"Solar")</f>
        <v>Solar</v>
      </c>
      <c r="G282" s="92">
        <f>IFERROR(__xludf.DUMMYFUNCTION("""COMPUTED_VALUE"""),62.92522397305825)</f>
        <v>62.92522397</v>
      </c>
    </row>
    <row r="283">
      <c r="A283" s="30" t="str">
        <f>IFERROR(__xludf.DUMMYFUNCTION("""COMPUTED_VALUE"""),"RSC000290")</f>
        <v>RSC000290</v>
      </c>
      <c r="B283" s="30" t="str">
        <f>IFERROR(__xludf.DUMMYFUNCTION("""COMPUTED_VALUE"""),"JimJam")</f>
        <v>JimJam</v>
      </c>
      <c r="C283" s="30" t="str">
        <f>IFERROR(__xludf.DUMMYFUNCTION("""COMPUTED_VALUE"""),"Veteran")</f>
        <v>Veteran</v>
      </c>
      <c r="D283" s="30" t="str">
        <f>IFERROR(__xludf.DUMMYFUNCTION("""COMPUTED_VALUE"""),"Cannoli")</f>
        <v>Cannoli</v>
      </c>
      <c r="E283" s="30" t="str">
        <f>IFERROR(__xludf.DUMMYFUNCTION("""COMPUTED_VALUE"""),"Fifty-Fifty Pizzeria")</f>
        <v>Fifty-Fifty Pizzeria</v>
      </c>
      <c r="F283" s="30" t="str">
        <f>IFERROR(__xludf.DUMMYFUNCTION("""COMPUTED_VALUE"""),"Lunar")</f>
        <v>Lunar</v>
      </c>
      <c r="G283" s="92">
        <f>IFERROR(__xludf.DUMMYFUNCTION("""COMPUTED_VALUE"""),42.806127410959895)</f>
        <v>42.80612741</v>
      </c>
    </row>
    <row r="284">
      <c r="A284" s="30" t="str">
        <f>IFERROR(__xludf.DUMMYFUNCTION("""COMPUTED_VALUE"""),"RSC000796")</f>
        <v>RSC000796</v>
      </c>
      <c r="B284" s="30" t="str">
        <f>IFERROR(__xludf.DUMMYFUNCTION("""COMPUTED_VALUE"""),"hoyci")</f>
        <v>hoyci</v>
      </c>
      <c r="C284" s="30" t="str">
        <f>IFERROR(__xludf.DUMMYFUNCTION("""COMPUTED_VALUE"""),"Veteran")</f>
        <v>Veteran</v>
      </c>
      <c r="D284" s="30" t="str">
        <f>IFERROR(__xludf.DUMMYFUNCTION("""COMPUTED_VALUE"""),"Dread")</f>
        <v>Dread</v>
      </c>
      <c r="E284" s="30" t="str">
        <f>IFERROR(__xludf.DUMMYFUNCTION("""COMPUTED_VALUE"""),"The Shadows")</f>
        <v>The Shadows</v>
      </c>
      <c r="F284" s="30" t="str">
        <f>IFERROR(__xludf.DUMMYFUNCTION("""COMPUTED_VALUE"""),"Lunar")</f>
        <v>Lunar</v>
      </c>
      <c r="G284" s="92">
        <f>IFERROR(__xludf.DUMMYFUNCTION("""COMPUTED_VALUE"""),30.139006271768025)</f>
        <v>30.13900627</v>
      </c>
    </row>
    <row r="285">
      <c r="A285" s="30" t="str">
        <f>IFERROR(__xludf.DUMMYFUNCTION("""COMPUTED_VALUE"""),"RSC005088")</f>
        <v>RSC005088</v>
      </c>
      <c r="B285" s="30" t="str">
        <f>IFERROR(__xludf.DUMMYFUNCTION("""COMPUTED_VALUE"""),"Thirteen")</f>
        <v>Thirteen</v>
      </c>
      <c r="C285" s="30" t="str">
        <f>IFERROR(__xludf.DUMMYFUNCTION("""COMPUTED_VALUE"""),"Veteran")</f>
        <v>Veteran</v>
      </c>
      <c r="D285" s="30" t="str">
        <f>IFERROR(__xludf.DUMMYFUNCTION("""COMPUTED_VALUE"""),"Repossessed")</f>
        <v>Repossessed</v>
      </c>
      <c r="E285" s="30" t="str">
        <f>IFERROR(__xludf.DUMMYFUNCTION("""COMPUTED_VALUE"""),"The Hood")</f>
        <v>The Hood</v>
      </c>
      <c r="F285" s="30" t="str">
        <f>IFERROR(__xludf.DUMMYFUNCTION("""COMPUTED_VALUE"""),"Lunar")</f>
        <v>Lunar</v>
      </c>
      <c r="G285" s="92">
        <f>IFERROR(__xludf.DUMMYFUNCTION("""COMPUTED_VALUE"""),53.182135661358764)</f>
        <v>53.18213566</v>
      </c>
    </row>
    <row r="286">
      <c r="A286" s="30" t="str">
        <f>IFERROR(__xludf.DUMMYFUNCTION("""COMPUTED_VALUE"""),"RSC007505")</f>
        <v>RSC007505</v>
      </c>
      <c r="B286" s="30" t="str">
        <f>IFERROR(__xludf.DUMMYFUNCTION("""COMPUTED_VALUE"""),"Detroeux_RL")</f>
        <v>Detroeux_RL</v>
      </c>
      <c r="C286" s="30" t="str">
        <f>IFERROR(__xludf.DUMMYFUNCTION("""COMPUTED_VALUE"""),"Veteran")</f>
        <v>Veteran</v>
      </c>
      <c r="D286" s="30" t="str">
        <f>IFERROR(__xludf.DUMMYFUNCTION("""COMPUTED_VALUE"""),"Slots")</f>
        <v>Slots</v>
      </c>
      <c r="E286" s="30" t="str">
        <f>IFERROR(__xludf.DUMMYFUNCTION("""COMPUTED_VALUE"""),"Never Lucky")</f>
        <v>Never Lucky</v>
      </c>
      <c r="F286" s="30" t="str">
        <f>IFERROR(__xludf.DUMMYFUNCTION("""COMPUTED_VALUE"""),"Lunar")</f>
        <v>Lunar</v>
      </c>
      <c r="G286" s="92">
        <f>IFERROR(__xludf.DUMMYFUNCTION("""COMPUTED_VALUE"""),-45.276133486667106)</f>
        <v>-45.27613349</v>
      </c>
    </row>
    <row r="287">
      <c r="A287" s="30" t="str">
        <f>IFERROR(__xludf.DUMMYFUNCTION("""COMPUTED_VALUE"""),"RSC004188")</f>
        <v>RSC004188</v>
      </c>
      <c r="B287" s="30" t="str">
        <f>IFERROR(__xludf.DUMMYFUNCTION("""COMPUTED_VALUE"""),"wntr")</f>
        <v>wntr</v>
      </c>
      <c r="C287" s="30" t="str">
        <f>IFERROR(__xludf.DUMMYFUNCTION("""COMPUTED_VALUE"""),"Veteran")</f>
        <v>Veteran</v>
      </c>
      <c r="D287" s="30" t="str">
        <f>IFERROR(__xludf.DUMMYFUNCTION("""COMPUTED_VALUE"""),"Azalea")</f>
        <v>Azalea</v>
      </c>
      <c r="E287" s="30" t="str">
        <f>IFERROR(__xludf.DUMMYFUNCTION("""COMPUTED_VALUE"""),"Flower Road")</f>
        <v>Flower Road</v>
      </c>
      <c r="F287" s="30" t="str">
        <f>IFERROR(__xludf.DUMMYFUNCTION("""COMPUTED_VALUE"""),"Lunar")</f>
        <v>Lunar</v>
      </c>
      <c r="G287" s="92">
        <f>IFERROR(__xludf.DUMMYFUNCTION("""COMPUTED_VALUE"""),5.761242125294729)</f>
        <v>5.761242125</v>
      </c>
    </row>
    <row r="288">
      <c r="A288" s="30" t="str">
        <f>IFERROR(__xludf.DUMMYFUNCTION("""COMPUTED_VALUE"""),"RSC004198")</f>
        <v>RSC004198</v>
      </c>
      <c r="B288" s="30" t="str">
        <f>IFERROR(__xludf.DUMMYFUNCTION("""COMPUTED_VALUE"""),"Dr. Cereal")</f>
        <v>Dr. Cereal</v>
      </c>
      <c r="C288" s="30" t="str">
        <f>IFERROR(__xludf.DUMMYFUNCTION("""COMPUTED_VALUE"""),"Veteran")</f>
        <v>Veteran</v>
      </c>
      <c r="D288" s="30" t="str">
        <f>IFERROR(__xludf.DUMMYFUNCTION("""COMPUTED_VALUE"""),"Giraffes")</f>
        <v>Giraffes</v>
      </c>
      <c r="E288" s="30" t="str">
        <f>IFERROR(__xludf.DUMMYFUNCTION("""COMPUTED_VALUE"""),"Safari")</f>
        <v>Safari</v>
      </c>
      <c r="F288" s="30" t="str">
        <f>IFERROR(__xludf.DUMMYFUNCTION("""COMPUTED_VALUE"""),"Lunar")</f>
        <v>Lunar</v>
      </c>
      <c r="G288" s="92">
        <f>IFERROR(__xludf.DUMMYFUNCTION("""COMPUTED_VALUE"""),-5.979414947372199)</f>
        <v>-5.979414947</v>
      </c>
    </row>
    <row r="289">
      <c r="A289" s="30" t="str">
        <f>IFERROR(__xludf.DUMMYFUNCTION("""COMPUTED_VALUE"""),"RSC000601")</f>
        <v>RSC000601</v>
      </c>
      <c r="B289" s="30" t="str">
        <f>IFERROR(__xludf.DUMMYFUNCTION("""COMPUTED_VALUE"""),"Bxffledd")</f>
        <v>Bxffledd</v>
      </c>
      <c r="C289" s="30" t="str">
        <f>IFERROR(__xludf.DUMMYFUNCTION("""COMPUTED_VALUE"""),"Veteran")</f>
        <v>Veteran</v>
      </c>
      <c r="D289" s="30" t="str">
        <f>IFERROR(__xludf.DUMMYFUNCTION("""COMPUTED_VALUE"""),"Folks
Supernova")</f>
        <v>Folks
Supernova</v>
      </c>
      <c r="E289" s="30" t="str">
        <f>IFERROR(__xludf.DUMMYFUNCTION("""COMPUTED_VALUE"""),"The Pit
The Cosmos")</f>
        <v>The Pit
The Cosmos</v>
      </c>
      <c r="F289" s="30" t="str">
        <f>IFERROR(__xludf.DUMMYFUNCTION("""COMPUTED_VALUE"""),"Solar")</f>
        <v>Solar</v>
      </c>
      <c r="G289" s="92">
        <f>IFERROR(__xludf.DUMMYFUNCTION("""COMPUTED_VALUE"""),40.33056310202385)</f>
        <v>40.3305631</v>
      </c>
    </row>
    <row r="290">
      <c r="A290" s="30" t="str">
        <f>IFERROR(__xludf.DUMMYFUNCTION("""COMPUTED_VALUE"""),"RSC007143")</f>
        <v>RSC007143</v>
      </c>
      <c r="B290" s="30" t="str">
        <f>IFERROR(__xludf.DUMMYFUNCTION("""COMPUTED_VALUE"""),"OmniMurders")</f>
        <v>OmniMurders</v>
      </c>
      <c r="C290" s="30" t="str">
        <f>IFERROR(__xludf.DUMMYFUNCTION("""COMPUTED_VALUE"""),"Veteran")</f>
        <v>Veteran</v>
      </c>
      <c r="D290" s="30" t="str">
        <f>IFERROR(__xludf.DUMMYFUNCTION("""COMPUTED_VALUE"""),"Banshees
Peppermint")</f>
        <v>Banshees
Peppermint</v>
      </c>
      <c r="E290" s="30" t="str">
        <f>IFERROR(__xludf.DUMMYFUNCTION("""COMPUTED_VALUE"""),"The Monster Mash
Minty Fresh")</f>
        <v>The Monster Mash
Minty Fresh</v>
      </c>
      <c r="F290" s="30" t="str">
        <f>IFERROR(__xludf.DUMMYFUNCTION("""COMPUTED_VALUE"""),"Lunar")</f>
        <v>Lunar</v>
      </c>
      <c r="G290" s="92">
        <f>IFERROR(__xludf.DUMMYFUNCTION("""COMPUTED_VALUE"""),70.3262329108496)</f>
        <v>70.32623291</v>
      </c>
    </row>
    <row r="291">
      <c r="A291" s="30" t="str">
        <f>IFERROR(__xludf.DUMMYFUNCTION("""COMPUTED_VALUE"""),"RSC005655")</f>
        <v>RSC005655</v>
      </c>
      <c r="B291" s="30" t="str">
        <f>IFERROR(__xludf.DUMMYFUNCTION("""COMPUTED_VALUE"""),"oneplayamaker")</f>
        <v>oneplayamaker</v>
      </c>
      <c r="C291" s="30" t="str">
        <f>IFERROR(__xludf.DUMMYFUNCTION("""COMPUTED_VALUE"""),"Veteran")</f>
        <v>Veteran</v>
      </c>
      <c r="D291" s="30" t="str">
        <f>IFERROR(__xludf.DUMMYFUNCTION("""COMPUTED_VALUE"""),"Paradox Paloma")</f>
        <v>Paradox Paloma</v>
      </c>
      <c r="E291" s="30" t="str">
        <f>IFERROR(__xludf.DUMMYFUNCTION("""COMPUTED_VALUE"""),"5 O'clock Nowhere")</f>
        <v>5 O'clock Nowhere</v>
      </c>
      <c r="F291" s="30" t="str">
        <f>IFERROR(__xludf.DUMMYFUNCTION("""COMPUTED_VALUE"""),"Solar")</f>
        <v>Solar</v>
      </c>
      <c r="G291" s="92">
        <f>IFERROR(__xludf.DUMMYFUNCTION("""COMPUTED_VALUE"""),42.01966354972069)</f>
        <v>42.01966355</v>
      </c>
    </row>
    <row r="292">
      <c r="A292" s="30" t="str">
        <f>IFERROR(__xludf.DUMMYFUNCTION("""COMPUTED_VALUE"""),"RSC006531")</f>
        <v>RSC006531</v>
      </c>
      <c r="B292" s="30" t="str">
        <f>IFERROR(__xludf.DUMMYFUNCTION("""COMPUTED_VALUE"""),"Corners-")</f>
        <v>Corners-</v>
      </c>
      <c r="C292" s="30" t="str">
        <f>IFERROR(__xludf.DUMMYFUNCTION("""COMPUTED_VALUE"""),"Veteran")</f>
        <v>Veteran</v>
      </c>
      <c r="D292" s="30" t="str">
        <f>IFERROR(__xludf.DUMMYFUNCTION("""COMPUTED_VALUE"""),"Dog Fighters")</f>
        <v>Dog Fighters</v>
      </c>
      <c r="E292" s="30" t="str">
        <f>IFERROR(__xludf.DUMMYFUNCTION("""COMPUTED_VALUE"""),"Remove Before Flight")</f>
        <v>Remove Before Flight</v>
      </c>
      <c r="F292" s="30" t="str">
        <f>IFERROR(__xludf.DUMMYFUNCTION("""COMPUTED_VALUE"""),"Lunar")</f>
        <v>Lunar</v>
      </c>
      <c r="G292" s="92">
        <f>IFERROR(__xludf.DUMMYFUNCTION("""COMPUTED_VALUE"""),29.69179005675169)</f>
        <v>29.69179006</v>
      </c>
    </row>
    <row r="293">
      <c r="A293" s="30" t="str">
        <f>IFERROR(__xludf.DUMMYFUNCTION("""COMPUTED_VALUE"""),"RSC007327")</f>
        <v>RSC007327</v>
      </c>
      <c r="B293" s="30" t="str">
        <f>IFERROR(__xludf.DUMMYFUNCTION("""COMPUTED_VALUE"""),"JustAChillGuyONG")</f>
        <v>JustAChillGuyONG</v>
      </c>
      <c r="C293" s="30" t="str">
        <f>IFERROR(__xludf.DUMMYFUNCTION("""COMPUTED_VALUE"""),"Veteran")</f>
        <v>Veteran</v>
      </c>
      <c r="D293" s="30" t="str">
        <f>IFERROR(__xludf.DUMMYFUNCTION("""COMPUTED_VALUE"""),"Merciless Mob
Slots")</f>
        <v>Merciless Mob
Slots</v>
      </c>
      <c r="E293" s="30" t="str">
        <f>IFERROR(__xludf.DUMMYFUNCTION("""COMPUTED_VALUE"""),"The Syndicate
Never Lucky")</f>
        <v>The Syndicate
Never Lucky</v>
      </c>
      <c r="F293" s="30" t="str">
        <f>IFERROR(__xludf.DUMMYFUNCTION("""COMPUTED_VALUE"""),"Lunar")</f>
        <v>Lunar</v>
      </c>
      <c r="G293" s="92">
        <f>IFERROR(__xludf.DUMMYFUNCTION("""COMPUTED_VALUE"""),25.472743466096286)</f>
        <v>25.47274347</v>
      </c>
    </row>
    <row r="294">
      <c r="A294" s="30" t="str">
        <f>IFERROR(__xludf.DUMMYFUNCTION("""COMPUTED_VALUE"""),"RSC006424")</f>
        <v>RSC006424</v>
      </c>
      <c r="B294" s="30" t="str">
        <f>IFERROR(__xludf.DUMMYFUNCTION("""COMPUTED_VALUE"""),"TTV Ravenshunter")</f>
        <v>TTV Ravenshunter</v>
      </c>
      <c r="C294" s="30" t="str">
        <f>IFERROR(__xludf.DUMMYFUNCTION("""COMPUTED_VALUE"""),"Veteran")</f>
        <v>Veteran</v>
      </c>
      <c r="D294" s="30" t="str">
        <f>IFERROR(__xludf.DUMMYFUNCTION("""COMPUTED_VALUE"""),"Azalea
Slots")</f>
        <v>Azalea
Slots</v>
      </c>
      <c r="E294" s="30" t="str">
        <f>IFERROR(__xludf.DUMMYFUNCTION("""COMPUTED_VALUE"""),"Flower Road
Never Lucky")</f>
        <v>Flower Road
Never Lucky</v>
      </c>
      <c r="F294" s="30" t="str">
        <f>IFERROR(__xludf.DUMMYFUNCTION("""COMPUTED_VALUE"""),"Lunar")</f>
        <v>Lunar</v>
      </c>
      <c r="G294" s="92">
        <f>IFERROR(__xludf.DUMMYFUNCTION("""COMPUTED_VALUE"""),59.47174342014011)</f>
        <v>59.47174342</v>
      </c>
    </row>
    <row r="295">
      <c r="A295" s="30" t="str">
        <f>IFERROR(__xludf.DUMMYFUNCTION("""COMPUTED_VALUE"""),"RSC007825")</f>
        <v>RSC007825</v>
      </c>
      <c r="B295" s="30" t="str">
        <f>IFERROR(__xludf.DUMMYFUNCTION("""COMPUTED_VALUE"""),"Acryonix")</f>
        <v>Acryonix</v>
      </c>
      <c r="C295" s="30" t="str">
        <f>IFERROR(__xludf.DUMMYFUNCTION("""COMPUTED_VALUE"""),"Veteran")</f>
        <v>Veteran</v>
      </c>
      <c r="D295" s="30" t="str">
        <f>IFERROR(__xludf.DUMMYFUNCTION("""COMPUTED_VALUE"""),"Slots")</f>
        <v>Slots</v>
      </c>
      <c r="E295" s="30" t="str">
        <f>IFERROR(__xludf.DUMMYFUNCTION("""COMPUTED_VALUE"""),"Never Lucky")</f>
        <v>Never Lucky</v>
      </c>
      <c r="F295" s="30" t="str">
        <f>IFERROR(__xludf.DUMMYFUNCTION("""COMPUTED_VALUE"""),"Lunar")</f>
        <v>Lunar</v>
      </c>
      <c r="G295" s="92">
        <f>IFERROR(__xludf.DUMMYFUNCTION("""COMPUTED_VALUE"""),9.29000635523505)</f>
        <v>9.290006355</v>
      </c>
    </row>
    <row r="296">
      <c r="A296" s="30" t="str">
        <f>IFERROR(__xludf.DUMMYFUNCTION("""COMPUTED_VALUE"""),"RSC006860")</f>
        <v>RSC006860</v>
      </c>
      <c r="B296" s="30" t="str">
        <f>IFERROR(__xludf.DUMMYFUNCTION("""COMPUTED_VALUE"""),"RyAndGav")</f>
        <v>RyAndGav</v>
      </c>
      <c r="C296" s="30" t="str">
        <f>IFERROR(__xludf.DUMMYFUNCTION("""COMPUTED_VALUE"""),"Veteran")</f>
        <v>Veteran</v>
      </c>
      <c r="D296" s="30" t="str">
        <f>IFERROR(__xludf.DUMMYFUNCTION("""COMPUTED_VALUE"""),"Water")</f>
        <v>Water</v>
      </c>
      <c r="E296" s="30" t="str">
        <f>IFERROR(__xludf.DUMMYFUNCTION("""COMPUTED_VALUE"""),"The Elements")</f>
        <v>The Elements</v>
      </c>
      <c r="F296" s="30" t="str">
        <f>IFERROR(__xludf.DUMMYFUNCTION("""COMPUTED_VALUE"""),"Solar")</f>
        <v>Solar</v>
      </c>
      <c r="G296" s="92">
        <f>IFERROR(__xludf.DUMMYFUNCTION("""COMPUTED_VALUE"""),83.87617806674875)</f>
        <v>83.87617807</v>
      </c>
    </row>
    <row r="297">
      <c r="A297" s="30" t="str">
        <f>IFERROR(__xludf.DUMMYFUNCTION("""COMPUTED_VALUE"""),"RSC003746")</f>
        <v>RSC003746</v>
      </c>
      <c r="B297" s="30" t="str">
        <f>IFERROR(__xludf.DUMMYFUNCTION("""COMPUTED_VALUE"""),"archhie.")</f>
        <v>archhie.</v>
      </c>
      <c r="C297" s="30" t="str">
        <f>IFERROR(__xludf.DUMMYFUNCTION("""COMPUTED_VALUE"""),"Veteran")</f>
        <v>Veteran</v>
      </c>
      <c r="D297" s="30" t="str">
        <f>IFERROR(__xludf.DUMMYFUNCTION("""COMPUTED_VALUE"""),"Peppermint
Giraffes")</f>
        <v>Peppermint
Giraffes</v>
      </c>
      <c r="E297" s="30" t="str">
        <f>IFERROR(__xludf.DUMMYFUNCTION("""COMPUTED_VALUE"""),"Minty Fresh
Safari")</f>
        <v>Minty Fresh
Safari</v>
      </c>
      <c r="F297" s="30" t="str">
        <f>IFERROR(__xludf.DUMMYFUNCTION("""COMPUTED_VALUE"""),"Lunar")</f>
        <v>Lunar</v>
      </c>
      <c r="G297" s="92">
        <f>IFERROR(__xludf.DUMMYFUNCTION("""COMPUTED_VALUE"""),57.08500689883167)</f>
        <v>57.0850069</v>
      </c>
    </row>
    <row r="298">
      <c r="A298" s="30" t="str">
        <f>IFERROR(__xludf.DUMMYFUNCTION("""COMPUTED_VALUE"""),"RSC007720")</f>
        <v>RSC007720</v>
      </c>
      <c r="B298" s="30" t="str">
        <f>IFERROR(__xludf.DUMMYFUNCTION("""COMPUTED_VALUE"""),"trock")</f>
        <v>trock</v>
      </c>
      <c r="C298" s="30" t="str">
        <f>IFERROR(__xludf.DUMMYFUNCTION("""COMPUTED_VALUE"""),"Veteran")</f>
        <v>Veteran</v>
      </c>
      <c r="D298" s="30" t="str">
        <f>IFERROR(__xludf.DUMMYFUNCTION("""COMPUTED_VALUE"""),"Dread")</f>
        <v>Dread</v>
      </c>
      <c r="E298" s="30" t="str">
        <f>IFERROR(__xludf.DUMMYFUNCTION("""COMPUTED_VALUE"""),"The Shadows")</f>
        <v>The Shadows</v>
      </c>
      <c r="F298" s="30" t="str">
        <f>IFERROR(__xludf.DUMMYFUNCTION("""COMPUTED_VALUE"""),"Lunar")</f>
        <v>Lunar</v>
      </c>
      <c r="G298" s="92">
        <f>IFERROR(__xludf.DUMMYFUNCTION("""COMPUTED_VALUE"""),14.997224194731324)</f>
        <v>14.99722419</v>
      </c>
    </row>
    <row r="299">
      <c r="A299" s="30" t="str">
        <f>IFERROR(__xludf.DUMMYFUNCTION("""COMPUTED_VALUE"""),"RSC006319")</f>
        <v>RSC006319</v>
      </c>
      <c r="B299" s="30" t="str">
        <f>IFERROR(__xludf.DUMMYFUNCTION("""COMPUTED_VALUE"""),"red crayon chewer 14")</f>
        <v>red crayon chewer 14</v>
      </c>
      <c r="C299" s="30" t="str">
        <f>IFERROR(__xludf.DUMMYFUNCTION("""COMPUTED_VALUE"""),"Veteran")</f>
        <v>Veteran</v>
      </c>
      <c r="D299" s="30" t="str">
        <f>IFERROR(__xludf.DUMMYFUNCTION("""COMPUTED_VALUE"""),"Mosaic Maestros")</f>
        <v>Mosaic Maestros</v>
      </c>
      <c r="E299" s="30" t="str">
        <f>IFERROR(__xludf.DUMMYFUNCTION("""COMPUTED_VALUE"""),"Art Club")</f>
        <v>Art Club</v>
      </c>
      <c r="F299" s="30" t="str">
        <f>IFERROR(__xludf.DUMMYFUNCTION("""COMPUTED_VALUE"""),"Solar")</f>
        <v>Solar</v>
      </c>
      <c r="G299" s="92">
        <f>IFERROR(__xludf.DUMMYFUNCTION("""COMPUTED_VALUE"""),-4.00485277999767)</f>
        <v>-4.00485278</v>
      </c>
    </row>
    <row r="300">
      <c r="A300" s="30" t="str">
        <f>IFERROR(__xludf.DUMMYFUNCTION("""COMPUTED_VALUE"""),"RSC007036")</f>
        <v>RSC007036</v>
      </c>
      <c r="B300" s="30" t="str">
        <f>IFERROR(__xludf.DUMMYFUNCTION("""COMPUTED_VALUE"""),"PoiisonDeath")</f>
        <v>PoiisonDeath</v>
      </c>
      <c r="C300" s="30" t="str">
        <f>IFERROR(__xludf.DUMMYFUNCTION("""COMPUTED_VALUE"""),"Veteran")</f>
        <v>Veteran</v>
      </c>
      <c r="D300" s="30" t="str">
        <f>IFERROR(__xludf.DUMMYFUNCTION("""COMPUTED_VALUE"""),"Silver Dollar
Azalea")</f>
        <v>Silver Dollar
Azalea</v>
      </c>
      <c r="E300" s="30" t="str">
        <f>IFERROR(__xludf.DUMMYFUNCTION("""COMPUTED_VALUE"""),"Money Makers
Flower Road")</f>
        <v>Money Makers
Flower Road</v>
      </c>
      <c r="F300" s="30" t="str">
        <f>IFERROR(__xludf.DUMMYFUNCTION("""COMPUTED_VALUE"""),"Solar")</f>
        <v>Solar</v>
      </c>
      <c r="G300" s="92">
        <f>IFERROR(__xludf.DUMMYFUNCTION("""COMPUTED_VALUE"""),28.167943721002196)</f>
        <v>28.16794372</v>
      </c>
    </row>
    <row r="301">
      <c r="A301" s="30" t="str">
        <f>IFERROR(__xludf.DUMMYFUNCTION("""COMPUTED_VALUE"""),"RSC001954")</f>
        <v>RSC001954</v>
      </c>
      <c r="B301" s="30" t="str">
        <f>IFERROR(__xludf.DUMMYFUNCTION("""COMPUTED_VALUE"""),"Kiwi")</f>
        <v>Kiwi</v>
      </c>
      <c r="C301" s="30" t="str">
        <f>IFERROR(__xludf.DUMMYFUNCTION("""COMPUTED_VALUE"""),"Veteran")</f>
        <v>Veteran</v>
      </c>
      <c r="D301" s="30" t="str">
        <f>IFERROR(__xludf.DUMMYFUNCTION("""COMPUTED_VALUE"""),"Supernova
Dump Trucks")</f>
        <v>Supernova
Dump Trucks</v>
      </c>
      <c r="E301" s="30" t="str">
        <f>IFERROR(__xludf.DUMMYFUNCTION("""COMPUTED_VALUE"""),"The Cosmos
Road Work Ahead")</f>
        <v>The Cosmos
Road Work Ahead</v>
      </c>
      <c r="F301" s="30" t="str">
        <f>IFERROR(__xludf.DUMMYFUNCTION("""COMPUTED_VALUE"""),"Solar")</f>
        <v>Solar</v>
      </c>
      <c r="G301" s="92">
        <f>IFERROR(__xludf.DUMMYFUNCTION("""COMPUTED_VALUE"""),44.871012093162705)</f>
        <v>44.87101209</v>
      </c>
    </row>
    <row r="302">
      <c r="A302" s="30" t="str">
        <f>IFERROR(__xludf.DUMMYFUNCTION("""COMPUTED_VALUE"""),"RSC003358")</f>
        <v>RSC003358</v>
      </c>
      <c r="B302" s="30" t="str">
        <f>IFERROR(__xludf.DUMMYFUNCTION("""COMPUTED_VALUE"""),"galacticcccc")</f>
        <v>galacticcccc</v>
      </c>
      <c r="C302" s="30" t="str">
        <f>IFERROR(__xludf.DUMMYFUNCTION("""COMPUTED_VALUE"""),"Veteran")</f>
        <v>Veteran</v>
      </c>
      <c r="D302" s="30" t="str">
        <f>IFERROR(__xludf.DUMMYFUNCTION("""COMPUTED_VALUE"""),"Rockin Revenants")</f>
        <v>Rockin Revenants</v>
      </c>
      <c r="E302" s="30" t="str">
        <f>IFERROR(__xludf.DUMMYFUNCTION("""COMPUTED_VALUE"""),"Ghoul School")</f>
        <v>Ghoul School</v>
      </c>
      <c r="F302" s="30" t="str">
        <f>IFERROR(__xludf.DUMMYFUNCTION("""COMPUTED_VALUE"""),"Solar")</f>
        <v>Solar</v>
      </c>
      <c r="G302" s="92">
        <f>IFERROR(__xludf.DUMMYFUNCTION("""COMPUTED_VALUE"""),54.544959039669386)</f>
        <v>54.54495904</v>
      </c>
    </row>
    <row r="303">
      <c r="A303" s="30" t="str">
        <f>IFERROR(__xludf.DUMMYFUNCTION("""COMPUTED_VALUE"""),"RSC004859")</f>
        <v>RSC004859</v>
      </c>
      <c r="B303" s="30" t="str">
        <f>IFERROR(__xludf.DUMMYFUNCTION("""COMPUTED_VALUE"""),"LowFadeEnthusiast")</f>
        <v>LowFadeEnthusiast</v>
      </c>
      <c r="C303" s="30" t="str">
        <f>IFERROR(__xludf.DUMMYFUNCTION("""COMPUTED_VALUE"""),"Veteran")</f>
        <v>Veteran</v>
      </c>
      <c r="D303" s="30" t="str">
        <f>IFERROR(__xludf.DUMMYFUNCTION("""COMPUTED_VALUE"""),"Dog Fighters")</f>
        <v>Dog Fighters</v>
      </c>
      <c r="E303" s="30" t="str">
        <f>IFERROR(__xludf.DUMMYFUNCTION("""COMPUTED_VALUE"""),"Remove Before Flight")</f>
        <v>Remove Before Flight</v>
      </c>
      <c r="F303" s="30" t="str">
        <f>IFERROR(__xludf.DUMMYFUNCTION("""COMPUTED_VALUE"""),"Lunar")</f>
        <v>Lunar</v>
      </c>
      <c r="G303" s="92">
        <f>IFERROR(__xludf.DUMMYFUNCTION("""COMPUTED_VALUE"""),22.802130816733968)</f>
        <v>22.80213082</v>
      </c>
    </row>
    <row r="304">
      <c r="A304" s="30" t="str">
        <f>IFERROR(__xludf.DUMMYFUNCTION("""COMPUTED_VALUE"""),"RSC003027")</f>
        <v>RSC003027</v>
      </c>
      <c r="B304" s="30" t="str">
        <f>IFERROR(__xludf.DUMMYFUNCTION("""COMPUTED_VALUE"""),"Defiance")</f>
        <v>Defiance</v>
      </c>
      <c r="C304" s="30" t="str">
        <f>IFERROR(__xludf.DUMMYFUNCTION("""COMPUTED_VALUE"""),"Veteran")</f>
        <v>Veteran</v>
      </c>
      <c r="D304" s="30" t="str">
        <f>IFERROR(__xludf.DUMMYFUNCTION("""COMPUTED_VALUE"""),"Paradox Paloma
Silver Dollar")</f>
        <v>Paradox Paloma
Silver Dollar</v>
      </c>
      <c r="E304" s="30" t="str">
        <f>IFERROR(__xludf.DUMMYFUNCTION("""COMPUTED_VALUE"""),"5 O'clock Nowhere
Money Makers")</f>
        <v>5 O'clock Nowhere
Money Makers</v>
      </c>
      <c r="F304" s="30" t="str">
        <f>IFERROR(__xludf.DUMMYFUNCTION("""COMPUTED_VALUE"""),"Solar")</f>
        <v>Solar</v>
      </c>
      <c r="G304" s="92">
        <f>IFERROR(__xludf.DUMMYFUNCTION("""COMPUTED_VALUE"""),34.47618682166077)</f>
        <v>34.47618682</v>
      </c>
    </row>
    <row r="305">
      <c r="A305" s="30" t="str">
        <f>IFERROR(__xludf.DUMMYFUNCTION("""COMPUTED_VALUE"""),"RSC003694")</f>
        <v>RSC003694</v>
      </c>
      <c r="B305" s="30" t="str">
        <f>IFERROR(__xludf.DUMMYFUNCTION("""COMPUTED_VALUE"""),"TheCroctopusTV")</f>
        <v>TheCroctopusTV</v>
      </c>
      <c r="C305" s="30" t="str">
        <f>IFERROR(__xludf.DUMMYFUNCTION("""COMPUTED_VALUE"""),"Veteran")</f>
        <v>Veteran</v>
      </c>
      <c r="D305" s="30" t="str">
        <f>IFERROR(__xludf.DUMMYFUNCTION("""COMPUTED_VALUE"""),"Legati")</f>
        <v>Legati</v>
      </c>
      <c r="E305" s="30" t="str">
        <f>IFERROR(__xludf.DUMMYFUNCTION("""COMPUTED_VALUE"""),"The Sovereign")</f>
        <v>The Sovereign</v>
      </c>
      <c r="F305" s="30" t="str">
        <f>IFERROR(__xludf.DUMMYFUNCTION("""COMPUTED_VALUE"""),"Lunar")</f>
        <v>Lunar</v>
      </c>
      <c r="G305" s="92">
        <f>IFERROR(__xludf.DUMMYFUNCTION("""COMPUTED_VALUE"""),-30.018406375449388)</f>
        <v>-30.01840638</v>
      </c>
    </row>
    <row r="306">
      <c r="A306" s="30" t="str">
        <f>IFERROR(__xludf.DUMMYFUNCTION("""COMPUTED_VALUE"""),"RSC001074")</f>
        <v>RSC001074</v>
      </c>
      <c r="B306" s="30" t="str">
        <f>IFERROR(__xludf.DUMMYFUNCTION("""COMPUTED_VALUE"""),"Sabre")</f>
        <v>Sabre</v>
      </c>
      <c r="C306" s="30" t="str">
        <f>IFERROR(__xludf.DUMMYFUNCTION("""COMPUTED_VALUE"""),"Veteran")</f>
        <v>Veteran</v>
      </c>
      <c r="D306" s="30" t="str">
        <f>IFERROR(__xludf.DUMMYFUNCTION("""COMPUTED_VALUE"""),"Giraffes")</f>
        <v>Giraffes</v>
      </c>
      <c r="E306" s="30" t="str">
        <f>IFERROR(__xludf.DUMMYFUNCTION("""COMPUTED_VALUE"""),"Safari")</f>
        <v>Safari</v>
      </c>
      <c r="F306" s="30" t="str">
        <f>IFERROR(__xludf.DUMMYFUNCTION("""COMPUTED_VALUE"""),"Lunar")</f>
        <v>Lunar</v>
      </c>
      <c r="G306" s="92">
        <f>IFERROR(__xludf.DUMMYFUNCTION("""COMPUTED_VALUE"""),43.60796654865641)</f>
        <v>43.60796655</v>
      </c>
    </row>
    <row r="307">
      <c r="A307" s="30" t="str">
        <f>IFERROR(__xludf.DUMMYFUNCTION("""COMPUTED_VALUE"""),"RSC006018")</f>
        <v>RSC006018</v>
      </c>
      <c r="B307" s="30" t="str">
        <f>IFERROR(__xludf.DUMMYFUNCTION("""COMPUTED_VALUE"""),"Braamse")</f>
        <v>Braamse</v>
      </c>
      <c r="C307" s="30" t="str">
        <f>IFERROR(__xludf.DUMMYFUNCTION("""COMPUTED_VALUE"""),"Veteran")</f>
        <v>Veteran</v>
      </c>
      <c r="D307" s="30" t="str">
        <f>IFERROR(__xludf.DUMMYFUNCTION("""COMPUTED_VALUE"""),"Blacksmiths")</f>
        <v>Blacksmiths</v>
      </c>
      <c r="E307" s="30" t="str">
        <f>IFERROR(__xludf.DUMMYFUNCTION("""COMPUTED_VALUE"""),"Dwarf Haven")</f>
        <v>Dwarf Haven</v>
      </c>
      <c r="F307" s="30" t="str">
        <f>IFERROR(__xludf.DUMMYFUNCTION("""COMPUTED_VALUE"""),"Solar")</f>
        <v>Solar</v>
      </c>
      <c r="G307" s="92">
        <f>IFERROR(__xludf.DUMMYFUNCTION("""COMPUTED_VALUE"""),9.992512490465003)</f>
        <v>9.99251249</v>
      </c>
    </row>
    <row r="308">
      <c r="A308" s="30" t="str">
        <f>IFERROR(__xludf.DUMMYFUNCTION("""COMPUTED_VALUE"""),"RSC005555")</f>
        <v>RSC005555</v>
      </c>
      <c r="B308" s="30" t="str">
        <f>IFERROR(__xludf.DUMMYFUNCTION("""COMPUTED_VALUE"""),"iviGhost")</f>
        <v>iviGhost</v>
      </c>
      <c r="C308" s="30" t="str">
        <f>IFERROR(__xludf.DUMMYFUNCTION("""COMPUTED_VALUE"""),"Veteran")</f>
        <v>Veteran</v>
      </c>
      <c r="D308" s="30" t="str">
        <f>IFERROR(__xludf.DUMMYFUNCTION("""COMPUTED_VALUE"""),"Giraffes")</f>
        <v>Giraffes</v>
      </c>
      <c r="E308" s="30" t="str">
        <f>IFERROR(__xludf.DUMMYFUNCTION("""COMPUTED_VALUE"""),"Safari")</f>
        <v>Safari</v>
      </c>
      <c r="F308" s="30" t="str">
        <f>IFERROR(__xludf.DUMMYFUNCTION("""COMPUTED_VALUE"""),"Lunar")</f>
        <v>Lunar</v>
      </c>
      <c r="G308" s="92">
        <f>IFERROR(__xludf.DUMMYFUNCTION("""COMPUTED_VALUE"""),10.532281216245877)</f>
        <v>10.53228122</v>
      </c>
    </row>
    <row r="309">
      <c r="A309" s="30" t="str">
        <f>IFERROR(__xludf.DUMMYFUNCTION("""COMPUTED_VALUE"""),"RSC007660")</f>
        <v>RSC007660</v>
      </c>
      <c r="B309" s="30" t="str">
        <f>IFERROR(__xludf.DUMMYFUNCTION("""COMPUTED_VALUE"""),"Shraxl")</f>
        <v>Shraxl</v>
      </c>
      <c r="C309" s="30" t="str">
        <f>IFERROR(__xludf.DUMMYFUNCTION("""COMPUTED_VALUE"""),"Veteran")</f>
        <v>Veteran</v>
      </c>
      <c r="D309" s="30" t="str">
        <f>IFERROR(__xludf.DUMMYFUNCTION("""COMPUTED_VALUE"""),"Rockin Revenants")</f>
        <v>Rockin Revenants</v>
      </c>
      <c r="E309" s="30" t="str">
        <f>IFERROR(__xludf.DUMMYFUNCTION("""COMPUTED_VALUE"""),"Ghoul School")</f>
        <v>Ghoul School</v>
      </c>
      <c r="F309" s="30" t="str">
        <f>IFERROR(__xludf.DUMMYFUNCTION("""COMPUTED_VALUE"""),"Solar")</f>
        <v>Solar</v>
      </c>
      <c r="G309" s="92">
        <f>IFERROR(__xludf.DUMMYFUNCTION("""COMPUTED_VALUE"""),59.642737394157706)</f>
        <v>59.64273739</v>
      </c>
    </row>
    <row r="310">
      <c r="A310" s="30" t="str">
        <f>IFERROR(__xludf.DUMMYFUNCTION("""COMPUTED_VALUE"""),"RSC005355")</f>
        <v>RSC005355</v>
      </c>
      <c r="B310" s="30" t="str">
        <f>IFERROR(__xludf.DUMMYFUNCTION("""COMPUTED_VALUE"""),"Armando")</f>
        <v>Armando</v>
      </c>
      <c r="C310" s="30" t="str">
        <f>IFERROR(__xludf.DUMMYFUNCTION("""COMPUTED_VALUE"""),"Veteran")</f>
        <v>Veteran</v>
      </c>
      <c r="D310" s="30" t="str">
        <f>IFERROR(__xludf.DUMMYFUNCTION("""COMPUTED_VALUE"""),"Gorillas")</f>
        <v>Gorillas</v>
      </c>
      <c r="E310" s="30" t="str">
        <f>IFERROR(__xludf.DUMMYFUNCTION("""COMPUTED_VALUE"""),"The Jungle")</f>
        <v>The Jungle</v>
      </c>
      <c r="F310" s="30" t="str">
        <f>IFERROR(__xludf.DUMMYFUNCTION("""COMPUTED_VALUE"""),"Solar")</f>
        <v>Solar</v>
      </c>
      <c r="G310" s="92">
        <f>IFERROR(__xludf.DUMMYFUNCTION("""COMPUTED_VALUE"""),54.04323138061484)</f>
        <v>54.04323138</v>
      </c>
    </row>
    <row r="311">
      <c r="A311" s="30" t="str">
        <f>IFERROR(__xludf.DUMMYFUNCTION("""COMPUTED_VALUE"""),"RSC005682")</f>
        <v>RSC005682</v>
      </c>
      <c r="B311" s="30" t="str">
        <f>IFERROR(__xludf.DUMMYFUNCTION("""COMPUTED_VALUE"""),"S_ckz")</f>
        <v>S_ckz</v>
      </c>
      <c r="C311" s="30" t="str">
        <f>IFERROR(__xludf.DUMMYFUNCTION("""COMPUTED_VALUE"""),"Veteran")</f>
        <v>Veteran</v>
      </c>
      <c r="D311" s="30" t="str">
        <f>IFERROR(__xludf.DUMMYFUNCTION("""COMPUTED_VALUE"""),"Slots")</f>
        <v>Slots</v>
      </c>
      <c r="E311" s="30" t="str">
        <f>IFERROR(__xludf.DUMMYFUNCTION("""COMPUTED_VALUE"""),"Never Lucky")</f>
        <v>Never Lucky</v>
      </c>
      <c r="F311" s="30" t="str">
        <f>IFERROR(__xludf.DUMMYFUNCTION("""COMPUTED_VALUE"""),"Lunar")</f>
        <v>Lunar</v>
      </c>
      <c r="G311" s="92">
        <f>IFERROR(__xludf.DUMMYFUNCTION("""COMPUTED_VALUE"""),8.135238576704452)</f>
        <v>8.135238577</v>
      </c>
    </row>
    <row r="312">
      <c r="A312" s="30" t="str">
        <f>IFERROR(__xludf.DUMMYFUNCTION("""COMPUTED_VALUE"""),"RSC006212")</f>
        <v>RSC006212</v>
      </c>
      <c r="B312" s="30" t="str">
        <f>IFERROR(__xludf.DUMMYFUNCTION("""COMPUTED_VALUE"""),"Kingtutt97")</f>
        <v>Kingtutt97</v>
      </c>
      <c r="C312" s="30" t="str">
        <f>IFERROR(__xludf.DUMMYFUNCTION("""COMPUTED_VALUE"""),"Rival")</f>
        <v>Rival</v>
      </c>
      <c r="D312" s="30" t="str">
        <f>IFERROR(__xludf.DUMMYFUNCTION("""COMPUTED_VALUE"""),"Dice")</f>
        <v>Dice</v>
      </c>
      <c r="E312" s="30" t="str">
        <f>IFERROR(__xludf.DUMMYFUNCTION("""COMPUTED_VALUE"""),"Never Lucky")</f>
        <v>Never Lucky</v>
      </c>
      <c r="F312" s="30" t="str">
        <f>IFERROR(__xludf.DUMMYFUNCTION("""COMPUTED_VALUE"""),"Lunar")</f>
        <v>Lunar</v>
      </c>
      <c r="G312" s="92">
        <f>IFERROR(__xludf.DUMMYFUNCTION("""COMPUTED_VALUE"""),29.148526710814515)</f>
        <v>29.14852671</v>
      </c>
    </row>
    <row r="313">
      <c r="A313" s="30" t="str">
        <f>IFERROR(__xludf.DUMMYFUNCTION("""COMPUTED_VALUE"""),"RSC005934")</f>
        <v>RSC005934</v>
      </c>
      <c r="B313" s="30" t="str">
        <f>IFERROR(__xludf.DUMMYFUNCTION("""COMPUTED_VALUE"""),"TheodoreThe2")</f>
        <v>TheodoreThe2</v>
      </c>
      <c r="C313" s="30" t="str">
        <f>IFERROR(__xludf.DUMMYFUNCTION("""COMPUTED_VALUE"""),"Rival")</f>
        <v>Rival</v>
      </c>
      <c r="D313" s="30" t="str">
        <f>IFERROR(__xludf.DUMMYFUNCTION("""COMPUTED_VALUE"""),"Ruthless Racket
Dice")</f>
        <v>Ruthless Racket
Dice</v>
      </c>
      <c r="E313" s="30" t="str">
        <f>IFERROR(__xludf.DUMMYFUNCTION("""COMPUTED_VALUE"""),"The Syndicate
Never Lucky")</f>
        <v>The Syndicate
Never Lucky</v>
      </c>
      <c r="F313" s="30" t="str">
        <f>IFERROR(__xludf.DUMMYFUNCTION("""COMPUTED_VALUE"""),"Lunar")</f>
        <v>Lunar</v>
      </c>
      <c r="G313" s="92">
        <f>IFERROR(__xludf.DUMMYFUNCTION("""COMPUTED_VALUE"""),40.604718993536366)</f>
        <v>40.60471899</v>
      </c>
    </row>
    <row r="314">
      <c r="A314" s="30" t="str">
        <f>IFERROR(__xludf.DUMMYFUNCTION("""COMPUTED_VALUE"""),"RSC000331")</f>
        <v>RSC000331</v>
      </c>
      <c r="B314" s="30" t="str">
        <f>IFERROR(__xludf.DUMMYFUNCTION("""COMPUTED_VALUE"""),"Turtle_Supreme")</f>
        <v>Turtle_Supreme</v>
      </c>
      <c r="C314" s="30" t="str">
        <f>IFERROR(__xludf.DUMMYFUNCTION("""COMPUTED_VALUE"""),"Rival")</f>
        <v>Rival</v>
      </c>
      <c r="D314" s="30" t="str">
        <f>IFERROR(__xludf.DUMMYFUNCTION("""COMPUTED_VALUE"""),"Dice")</f>
        <v>Dice</v>
      </c>
      <c r="E314" s="30" t="str">
        <f>IFERROR(__xludf.DUMMYFUNCTION("""COMPUTED_VALUE"""),"Never Lucky")</f>
        <v>Never Lucky</v>
      </c>
      <c r="F314" s="30" t="str">
        <f>IFERROR(__xludf.DUMMYFUNCTION("""COMPUTED_VALUE"""),"Lunar")</f>
        <v>Lunar</v>
      </c>
      <c r="G314" s="92">
        <f>IFERROR(__xludf.DUMMYFUNCTION("""COMPUTED_VALUE"""),21.265031933986073)</f>
        <v>21.26503193</v>
      </c>
    </row>
    <row r="315">
      <c r="A315" s="30" t="str">
        <f>IFERROR(__xludf.DUMMYFUNCTION("""COMPUTED_VALUE"""),"RSC005287")</f>
        <v>RSC005287</v>
      </c>
      <c r="B315" s="30" t="str">
        <f>IFERROR(__xludf.DUMMYFUNCTION("""COMPUTED_VALUE"""),"the chosen one")</f>
        <v>the chosen one</v>
      </c>
      <c r="C315" s="30" t="str">
        <f>IFERROR(__xludf.DUMMYFUNCTION("""COMPUTED_VALUE"""),"Rival")</f>
        <v>Rival</v>
      </c>
      <c r="D315" s="30" t="str">
        <f>IFERROR(__xludf.DUMMYFUNCTION("""COMPUTED_VALUE"""),"Stolen
Asiago Arsonists")</f>
        <v>Stolen
Asiago Arsonists</v>
      </c>
      <c r="E315" s="30" t="str">
        <f>IFERROR(__xludf.DUMMYFUNCTION("""COMPUTED_VALUE"""),"The Hood
Cheese Guild")</f>
        <v>The Hood
Cheese Guild</v>
      </c>
      <c r="F315" s="30" t="str">
        <f>IFERROR(__xludf.DUMMYFUNCTION("""COMPUTED_VALUE"""),"Lunar")</f>
        <v>Lunar</v>
      </c>
      <c r="G315" s="92">
        <f>IFERROR(__xludf.DUMMYFUNCTION("""COMPUTED_VALUE"""),84.773391112106)</f>
        <v>84.77339111</v>
      </c>
    </row>
    <row r="316">
      <c r="A316" s="30" t="str">
        <f>IFERROR(__xludf.DUMMYFUNCTION("""COMPUTED_VALUE"""),"RSC007129")</f>
        <v>RSC007129</v>
      </c>
      <c r="B316" s="30" t="str">
        <f>IFERROR(__xludf.DUMMYFUNCTION("""COMPUTED_VALUE"""),"EKA Luminous")</f>
        <v>EKA Luminous</v>
      </c>
      <c r="C316" s="30" t="str">
        <f>IFERROR(__xludf.DUMMYFUNCTION("""COMPUTED_VALUE"""),"Rival")</f>
        <v>Rival</v>
      </c>
      <c r="D316" s="30" t="str">
        <f>IFERROR(__xludf.DUMMYFUNCTION("""COMPUTED_VALUE"""),"Asiago Arsonists")</f>
        <v>Asiago Arsonists</v>
      </c>
      <c r="E316" s="30" t="str">
        <f>IFERROR(__xludf.DUMMYFUNCTION("""COMPUTED_VALUE"""),"Cheese Guild")</f>
        <v>Cheese Guild</v>
      </c>
      <c r="F316" s="30" t="str">
        <f>IFERROR(__xludf.DUMMYFUNCTION("""COMPUTED_VALUE"""),"Lunar")</f>
        <v>Lunar</v>
      </c>
      <c r="G316" s="92">
        <f>IFERROR(__xludf.DUMMYFUNCTION("""COMPUTED_VALUE"""),29.87269575280689)</f>
        <v>29.87269575</v>
      </c>
    </row>
    <row r="317">
      <c r="A317" s="30" t="str">
        <f>IFERROR(__xludf.DUMMYFUNCTION("""COMPUTED_VALUE"""),"RSC001082")</f>
        <v>RSC001082</v>
      </c>
      <c r="B317" s="30" t="str">
        <f>IFERROR(__xludf.DUMMYFUNCTION("""COMPUTED_VALUE"""),"Tuxedo Marx")</f>
        <v>Tuxedo Marx</v>
      </c>
      <c r="C317" s="30" t="str">
        <f>IFERROR(__xludf.DUMMYFUNCTION("""COMPUTED_VALUE"""),"Rival")</f>
        <v>Rival</v>
      </c>
      <c r="D317" s="30" t="str">
        <f>IFERROR(__xludf.DUMMYFUNCTION("""COMPUTED_VALUE"""),"Asiago Arsonists")</f>
        <v>Asiago Arsonists</v>
      </c>
      <c r="E317" s="30" t="str">
        <f>IFERROR(__xludf.DUMMYFUNCTION("""COMPUTED_VALUE"""),"Cheese Guild")</f>
        <v>Cheese Guild</v>
      </c>
      <c r="F317" s="30" t="str">
        <f>IFERROR(__xludf.DUMMYFUNCTION("""COMPUTED_VALUE"""),"Lunar")</f>
        <v>Lunar</v>
      </c>
      <c r="G317" s="92">
        <f>IFERROR(__xludf.DUMMYFUNCTION("""COMPUTED_VALUE"""),52.32838773087141)</f>
        <v>52.32838773</v>
      </c>
    </row>
    <row r="318">
      <c r="A318" s="30" t="str">
        <f>IFERROR(__xludf.DUMMYFUNCTION("""COMPUTED_VALUE"""),"RSC001358")</f>
        <v>RSC001358</v>
      </c>
      <c r="B318" s="30" t="str">
        <f>IFERROR(__xludf.DUMMYFUNCTION("""COMPUTED_VALUE"""),"Cob")</f>
        <v>Cob</v>
      </c>
      <c r="C318" s="30" t="str">
        <f>IFERROR(__xludf.DUMMYFUNCTION("""COMPUTED_VALUE"""),"Rival")</f>
        <v>Rival</v>
      </c>
      <c r="D318" s="30" t="str">
        <f>IFERROR(__xludf.DUMMYFUNCTION("""COMPUTED_VALUE"""),"Heavy Metal")</f>
        <v>Heavy Metal</v>
      </c>
      <c r="E318" s="30" t="str">
        <f>IFERROR(__xludf.DUMMYFUNCTION("""COMPUTED_VALUE"""),"The Pit")</f>
        <v>The Pit</v>
      </c>
      <c r="F318" s="30" t="str">
        <f>IFERROR(__xludf.DUMMYFUNCTION("""COMPUTED_VALUE"""),"Lunar")</f>
        <v>Lunar</v>
      </c>
      <c r="G318" s="92">
        <f>IFERROR(__xludf.DUMMYFUNCTION("""COMPUTED_VALUE"""),52.23317910040958)</f>
        <v>52.2331791</v>
      </c>
    </row>
    <row r="319">
      <c r="A319" s="30" t="str">
        <f>IFERROR(__xludf.DUMMYFUNCTION("""COMPUTED_VALUE"""),"RSC001015")</f>
        <v>RSC001015</v>
      </c>
      <c r="B319" s="30" t="str">
        <f>IFERROR(__xludf.DUMMYFUNCTION("""COMPUTED_VALUE"""),"LatFips")</f>
        <v>LatFips</v>
      </c>
      <c r="C319" s="30" t="str">
        <f>IFERROR(__xludf.DUMMYFUNCTION("""COMPUTED_VALUE"""),"Rival")</f>
        <v>Rival</v>
      </c>
      <c r="D319" s="30" t="str">
        <f>IFERROR(__xludf.DUMMYFUNCTION("""COMPUTED_VALUE"""),"Heavy Metal")</f>
        <v>Heavy Metal</v>
      </c>
      <c r="E319" s="30" t="str">
        <f>IFERROR(__xludf.DUMMYFUNCTION("""COMPUTED_VALUE"""),"The Pit")</f>
        <v>The Pit</v>
      </c>
      <c r="F319" s="30" t="str">
        <f>IFERROR(__xludf.DUMMYFUNCTION("""COMPUTED_VALUE"""),"Lunar")</f>
        <v>Lunar</v>
      </c>
      <c r="G319" s="92">
        <f>IFERROR(__xludf.DUMMYFUNCTION("""COMPUTED_VALUE"""),31.408967624634602)</f>
        <v>31.40896762</v>
      </c>
    </row>
    <row r="320">
      <c r="A320" s="30" t="str">
        <f>IFERROR(__xludf.DUMMYFUNCTION("""COMPUTED_VALUE"""),"RSC007767")</f>
        <v>RSC007767</v>
      </c>
      <c r="B320" s="30" t="str">
        <f>IFERROR(__xludf.DUMMYFUNCTION("""COMPUTED_VALUE"""),"SNOWIS")</f>
        <v>SNOWIS</v>
      </c>
      <c r="C320" s="30" t="str">
        <f>IFERROR(__xludf.DUMMYFUNCTION("""COMPUTED_VALUE"""),"Rival")</f>
        <v>Rival</v>
      </c>
      <c r="D320" s="30" t="str">
        <f>IFERROR(__xludf.DUMMYFUNCTION("""COMPUTED_VALUE"""),"Centuriones
Heavy Metal")</f>
        <v>Centuriones
Heavy Metal</v>
      </c>
      <c r="E320" s="30" t="str">
        <f>IFERROR(__xludf.DUMMYFUNCTION("""COMPUTED_VALUE"""),"The Sovereign
The Pit")</f>
        <v>The Sovereign
The Pit</v>
      </c>
      <c r="F320" s="30" t="str">
        <f>IFERROR(__xludf.DUMMYFUNCTION("""COMPUTED_VALUE"""),"Lunar")</f>
        <v>Lunar</v>
      </c>
      <c r="G320" s="92">
        <f>IFERROR(__xludf.DUMMYFUNCTION("""COMPUTED_VALUE"""),46.583864336601685)</f>
        <v>46.58386434</v>
      </c>
    </row>
    <row r="321">
      <c r="A321" s="30" t="str">
        <f>IFERROR(__xludf.DUMMYFUNCTION("""COMPUTED_VALUE"""),"RSC005276")</f>
        <v>RSC005276</v>
      </c>
      <c r="B321" s="30" t="str">
        <f>IFERROR(__xludf.DUMMYFUNCTION("""COMPUTED_VALUE"""),"Dc")</f>
        <v>Dc</v>
      </c>
      <c r="C321" s="30" t="str">
        <f>IFERROR(__xludf.DUMMYFUNCTION("""COMPUTED_VALUE"""),"Rival")</f>
        <v>Rival</v>
      </c>
      <c r="D321" s="30" t="str">
        <f>IFERROR(__xludf.DUMMYFUNCTION("""COMPUTED_VALUE"""),"Hippos")</f>
        <v>Hippos</v>
      </c>
      <c r="E321" s="30" t="str">
        <f>IFERROR(__xludf.DUMMYFUNCTION("""COMPUTED_VALUE"""),"Safari")</f>
        <v>Safari</v>
      </c>
      <c r="F321" s="30" t="str">
        <f>IFERROR(__xludf.DUMMYFUNCTION("""COMPUTED_VALUE"""),"Lunar")</f>
        <v>Lunar</v>
      </c>
      <c r="G321" s="92">
        <f>IFERROR(__xludf.DUMMYFUNCTION("""COMPUTED_VALUE"""),45.27678753478579)</f>
        <v>45.27678753</v>
      </c>
    </row>
    <row r="322">
      <c r="A322" s="30" t="str">
        <f>IFERROR(__xludf.DUMMYFUNCTION("""COMPUTED_VALUE"""),"RSC006312")</f>
        <v>RSC006312</v>
      </c>
      <c r="B322" s="30" t="str">
        <f>IFERROR(__xludf.DUMMYFUNCTION("""COMPUTED_VALUE"""),"Cognitixn")</f>
        <v>Cognitixn</v>
      </c>
      <c r="C322" s="30" t="str">
        <f>IFERROR(__xludf.DUMMYFUNCTION("""COMPUTED_VALUE"""),"Rival")</f>
        <v>Rival</v>
      </c>
      <c r="D322" s="30" t="str">
        <f>IFERROR(__xludf.DUMMYFUNCTION("""COMPUTED_VALUE"""),"Hippos")</f>
        <v>Hippos</v>
      </c>
      <c r="E322" s="30" t="str">
        <f>IFERROR(__xludf.DUMMYFUNCTION("""COMPUTED_VALUE"""),"Safari")</f>
        <v>Safari</v>
      </c>
      <c r="F322" s="30" t="str">
        <f>IFERROR(__xludf.DUMMYFUNCTION("""COMPUTED_VALUE"""),"Lunar")</f>
        <v>Lunar</v>
      </c>
      <c r="G322" s="92">
        <f>IFERROR(__xludf.DUMMYFUNCTION("""COMPUTED_VALUE"""),43.21956543766399)</f>
        <v>43.21956544</v>
      </c>
    </row>
    <row r="323">
      <c r="A323" s="30" t="str">
        <f>IFERROR(__xludf.DUMMYFUNCTION("""COMPUTED_VALUE"""),"RSC002930")</f>
        <v>RSC002930</v>
      </c>
      <c r="B323" s="30" t="str">
        <f>IFERROR(__xludf.DUMMYFUNCTION("""COMPUTED_VALUE"""),"voakes")</f>
        <v>voakes</v>
      </c>
      <c r="C323" s="30" t="str">
        <f>IFERROR(__xludf.DUMMYFUNCTION("""COMPUTED_VALUE"""),"Rival")</f>
        <v>Rival</v>
      </c>
      <c r="D323" s="30" t="str">
        <f>IFERROR(__xludf.DUMMYFUNCTION("""COMPUTED_VALUE"""),"Hippos")</f>
        <v>Hippos</v>
      </c>
      <c r="E323" s="30" t="str">
        <f>IFERROR(__xludf.DUMMYFUNCTION("""COMPUTED_VALUE"""),"Safari")</f>
        <v>Safari</v>
      </c>
      <c r="F323" s="30" t="str">
        <f>IFERROR(__xludf.DUMMYFUNCTION("""COMPUTED_VALUE"""),"Lunar")</f>
        <v>Lunar</v>
      </c>
      <c r="G323" s="92">
        <f>IFERROR(__xludf.DUMMYFUNCTION("""COMPUTED_VALUE"""),66.57615325452244)</f>
        <v>66.57615325</v>
      </c>
    </row>
    <row r="324">
      <c r="A324" s="30" t="str">
        <f>IFERROR(__xludf.DUMMYFUNCTION("""COMPUTED_VALUE"""),"RSC006448")</f>
        <v>RSC006448</v>
      </c>
      <c r="B324" s="30" t="str">
        <f>IFERROR(__xludf.DUMMYFUNCTION("""COMPUTED_VALUE"""),"Burger.101")</f>
        <v>Burger.101</v>
      </c>
      <c r="C324" s="30" t="str">
        <f>IFERROR(__xludf.DUMMYFUNCTION("""COMPUTED_VALUE"""),"Rival")</f>
        <v>Rival</v>
      </c>
      <c r="D324" s="30" t="str">
        <f>IFERROR(__xludf.DUMMYFUNCTION("""COMPUTED_VALUE"""),"Iris")</f>
        <v>Iris</v>
      </c>
      <c r="E324" s="30" t="str">
        <f>IFERROR(__xludf.DUMMYFUNCTION("""COMPUTED_VALUE"""),"Flower Road")</f>
        <v>Flower Road</v>
      </c>
      <c r="F324" s="30" t="str">
        <f>IFERROR(__xludf.DUMMYFUNCTION("""COMPUTED_VALUE"""),"Lunar")</f>
        <v>Lunar</v>
      </c>
      <c r="G324" s="92">
        <f>IFERROR(__xludf.DUMMYFUNCTION("""COMPUTED_VALUE"""),86.21152564766655)</f>
        <v>86.21152565</v>
      </c>
    </row>
    <row r="325">
      <c r="A325" s="30" t="str">
        <f>IFERROR(__xludf.DUMMYFUNCTION("""COMPUTED_VALUE"""),"RSC005702")</f>
        <v>RSC005702</v>
      </c>
      <c r="B325" s="30" t="str">
        <f>IFERROR(__xludf.DUMMYFUNCTION("""COMPUTED_VALUE"""),"Jaegie")</f>
        <v>Jaegie</v>
      </c>
      <c r="C325" s="30" t="str">
        <f>IFERROR(__xludf.DUMMYFUNCTION("""COMPUTED_VALUE"""),"Rival")</f>
        <v>Rival</v>
      </c>
      <c r="D325" s="30" t="str">
        <f>IFERROR(__xludf.DUMMYFUNCTION("""COMPUTED_VALUE"""),"Iris")</f>
        <v>Iris</v>
      </c>
      <c r="E325" s="30" t="str">
        <f>IFERROR(__xludf.DUMMYFUNCTION("""COMPUTED_VALUE"""),"Flower Road")</f>
        <v>Flower Road</v>
      </c>
      <c r="F325" s="30" t="str">
        <f>IFERROR(__xludf.DUMMYFUNCTION("""COMPUTED_VALUE"""),"Lunar")</f>
        <v>Lunar</v>
      </c>
      <c r="G325" s="92">
        <f>IFERROR(__xludf.DUMMYFUNCTION("""COMPUTED_VALUE"""),90.68490717330994)</f>
        <v>90.68490717</v>
      </c>
    </row>
    <row r="326">
      <c r="A326" s="30" t="str">
        <f>IFERROR(__xludf.DUMMYFUNCTION("""COMPUTED_VALUE"""),"RSC002480")</f>
        <v>RSC002480</v>
      </c>
      <c r="B326" s="30" t="str">
        <f>IFERROR(__xludf.DUMMYFUNCTION("""COMPUTED_VALUE"""),"blizzyy")</f>
        <v>blizzyy</v>
      </c>
      <c r="C326" s="30" t="str">
        <f>IFERROR(__xludf.DUMMYFUNCTION("""COMPUTED_VALUE"""),"Rival")</f>
        <v>Rival</v>
      </c>
      <c r="D326" s="30" t="str">
        <f>IFERROR(__xludf.DUMMYFUNCTION("""COMPUTED_VALUE"""),"Iris")</f>
        <v>Iris</v>
      </c>
      <c r="E326" s="30" t="str">
        <f>IFERROR(__xludf.DUMMYFUNCTION("""COMPUTED_VALUE"""),"Flower Road")</f>
        <v>Flower Road</v>
      </c>
      <c r="F326" s="30" t="str">
        <f>IFERROR(__xludf.DUMMYFUNCTION("""COMPUTED_VALUE"""),"Lunar")</f>
        <v>Lunar</v>
      </c>
      <c r="G326" s="92">
        <f>IFERROR(__xludf.DUMMYFUNCTION("""COMPUTED_VALUE"""),82.58553740075745)</f>
        <v>82.5855374</v>
      </c>
    </row>
    <row r="327">
      <c r="A327" s="30" t="str">
        <f>IFERROR(__xludf.DUMMYFUNCTION("""COMPUTED_VALUE"""),"RSC005475")</f>
        <v>RSC005475</v>
      </c>
      <c r="B327" s="30" t="str">
        <f>IFERROR(__xludf.DUMMYFUNCTION("""COMPUTED_VALUE"""),"Envy")</f>
        <v>Envy</v>
      </c>
      <c r="C327" s="30" t="str">
        <f>IFERROR(__xludf.DUMMYFUNCTION("""COMPUTED_VALUE"""),"Rival")</f>
        <v>Rival</v>
      </c>
      <c r="D327" s="30" t="str">
        <f>IFERROR(__xludf.DUMMYFUNCTION("""COMPUTED_VALUE"""),"Funk Hunks")</f>
        <v>Funk Hunks</v>
      </c>
      <c r="E327" s="30" t="str">
        <f>IFERROR(__xludf.DUMMYFUNCTION("""COMPUTED_VALUE"""),"Vibe Tribe")</f>
        <v>Vibe Tribe</v>
      </c>
      <c r="F327" s="30" t="str">
        <f>IFERROR(__xludf.DUMMYFUNCTION("""COMPUTED_VALUE"""),"Lunar")</f>
        <v>Lunar</v>
      </c>
      <c r="G327" s="92">
        <f>IFERROR(__xludf.DUMMYFUNCTION("""COMPUTED_VALUE"""),29.029720850227985)</f>
        <v>29.02972085</v>
      </c>
    </row>
    <row r="328">
      <c r="A328" s="30" t="str">
        <f>IFERROR(__xludf.DUMMYFUNCTION("""COMPUTED_VALUE"""),"RSC002453")</f>
        <v>RSC002453</v>
      </c>
      <c r="B328" s="30" t="str">
        <f>IFERROR(__xludf.DUMMYFUNCTION("""COMPUTED_VALUE"""),"Ghostie")</f>
        <v>Ghostie</v>
      </c>
      <c r="C328" s="30" t="str">
        <f>IFERROR(__xludf.DUMMYFUNCTION("""COMPUTED_VALUE"""),"Rival")</f>
        <v>Rival</v>
      </c>
      <c r="D328" s="30" t="str">
        <f>IFERROR(__xludf.DUMMYFUNCTION("""COMPUTED_VALUE"""),"Necrotic Nerds
Funk Hunks")</f>
        <v>Necrotic Nerds
Funk Hunks</v>
      </c>
      <c r="E328" s="30" t="str">
        <f>IFERROR(__xludf.DUMMYFUNCTION("""COMPUTED_VALUE"""),"Ghoul School
Vibe Tribe")</f>
        <v>Ghoul School
Vibe Tribe</v>
      </c>
      <c r="F328" s="30" t="str">
        <f>IFERROR(__xludf.DUMMYFUNCTION("""COMPUTED_VALUE"""),"Lunar")</f>
        <v>Lunar</v>
      </c>
      <c r="G328" s="92">
        <f>IFERROR(__xludf.DUMMYFUNCTION("""COMPUTED_VALUE"""),41.496292533072086)</f>
        <v>41.49629253</v>
      </c>
    </row>
    <row r="329">
      <c r="A329" s="30" t="str">
        <f>IFERROR(__xludf.DUMMYFUNCTION("""COMPUTED_VALUE"""),"RSC003255")</f>
        <v>RSC003255</v>
      </c>
      <c r="B329" s="30" t="str">
        <f>IFERROR(__xludf.DUMMYFUNCTION("""COMPUTED_VALUE"""),"cozyboy")</f>
        <v>cozyboy</v>
      </c>
      <c r="C329" s="30" t="str">
        <f>IFERROR(__xludf.DUMMYFUNCTION("""COMPUTED_VALUE"""),"Rival")</f>
        <v>Rival</v>
      </c>
      <c r="D329" s="30" t="str">
        <f>IFERROR(__xludf.DUMMYFUNCTION("""COMPUTED_VALUE"""),"Funk Hunks")</f>
        <v>Funk Hunks</v>
      </c>
      <c r="E329" s="30" t="str">
        <f>IFERROR(__xludf.DUMMYFUNCTION("""COMPUTED_VALUE"""),"Vibe Tribe")</f>
        <v>Vibe Tribe</v>
      </c>
      <c r="F329" s="30" t="str">
        <f>IFERROR(__xludf.DUMMYFUNCTION("""COMPUTED_VALUE"""),"Lunar")</f>
        <v>Lunar</v>
      </c>
      <c r="G329" s="92">
        <f>IFERROR(__xludf.DUMMYFUNCTION("""COMPUTED_VALUE"""),38.43836464950469)</f>
        <v>38.43836465</v>
      </c>
    </row>
    <row r="330">
      <c r="A330" s="30" t="str">
        <f>IFERROR(__xludf.DUMMYFUNCTION("""COMPUTED_VALUE"""),"RSC003118")</f>
        <v>RSC003118</v>
      </c>
      <c r="B330" s="30" t="str">
        <f>IFERROR(__xludf.DUMMYFUNCTION("""COMPUTED_VALUE"""),"Mysty")</f>
        <v>Mysty</v>
      </c>
      <c r="C330" s="30" t="str">
        <f>IFERROR(__xludf.DUMMYFUNCTION("""COMPUTED_VALUE"""),"Rival")</f>
        <v>Rival</v>
      </c>
      <c r="D330" s="30" t="str">
        <f>IFERROR(__xludf.DUMMYFUNCTION("""COMPUTED_VALUE"""),"Necrotic Nerds")</f>
        <v>Necrotic Nerds</v>
      </c>
      <c r="E330" s="30" t="str">
        <f>IFERROR(__xludf.DUMMYFUNCTION("""COMPUTED_VALUE"""),"Ghoul School")</f>
        <v>Ghoul School</v>
      </c>
      <c r="F330" s="30" t="str">
        <f>IFERROR(__xludf.DUMMYFUNCTION("""COMPUTED_VALUE"""),"Solar")</f>
        <v>Solar</v>
      </c>
      <c r="G330" s="92">
        <f>IFERROR(__xludf.DUMMYFUNCTION("""COMPUTED_VALUE"""),37.251464024409394)</f>
        <v>37.25146402</v>
      </c>
    </row>
    <row r="331">
      <c r="A331" s="30" t="str">
        <f>IFERROR(__xludf.DUMMYFUNCTION("""COMPUTED_VALUE"""),"RSC007346")</f>
        <v>RSC007346</v>
      </c>
      <c r="B331" s="30" t="str">
        <f>IFERROR(__xludf.DUMMYFUNCTION("""COMPUTED_VALUE"""),"Mai")</f>
        <v>Mai</v>
      </c>
      <c r="C331" s="30" t="str">
        <f>IFERROR(__xludf.DUMMYFUNCTION("""COMPUTED_VALUE"""),"Rival")</f>
        <v>Rival</v>
      </c>
      <c r="D331" s="30" t="str">
        <f>IFERROR(__xludf.DUMMYFUNCTION("""COMPUTED_VALUE"""),"Funk Hunks
Necrotic Nerds")</f>
        <v>Funk Hunks
Necrotic Nerds</v>
      </c>
      <c r="E331" s="30" t="str">
        <f>IFERROR(__xludf.DUMMYFUNCTION("""COMPUTED_VALUE"""),"Vibe Tribe
Ghoul School")</f>
        <v>Vibe Tribe
Ghoul School</v>
      </c>
      <c r="F331" s="30" t="str">
        <f>IFERROR(__xludf.DUMMYFUNCTION("""COMPUTED_VALUE"""),"Lunar")</f>
        <v>Lunar</v>
      </c>
      <c r="G331" s="92">
        <f>IFERROR(__xludf.DUMMYFUNCTION("""COMPUTED_VALUE"""),73.56645406799296)</f>
        <v>73.56645407</v>
      </c>
    </row>
    <row r="332">
      <c r="A332" s="30" t="str">
        <f>IFERROR(__xludf.DUMMYFUNCTION("""COMPUTED_VALUE"""),"RSC007660")</f>
        <v>RSC007660</v>
      </c>
      <c r="B332" s="30" t="str">
        <f>IFERROR(__xludf.DUMMYFUNCTION("""COMPUTED_VALUE"""),"Shraxl")</f>
        <v>Shraxl</v>
      </c>
      <c r="C332" s="30" t="str">
        <f>IFERROR(__xludf.DUMMYFUNCTION("""COMPUTED_VALUE"""),"Rival")</f>
        <v>Rival</v>
      </c>
      <c r="D332" s="30" t="str">
        <f>IFERROR(__xludf.DUMMYFUNCTION("""COMPUTED_VALUE"""),"Necrotic Nerds")</f>
        <v>Necrotic Nerds</v>
      </c>
      <c r="E332" s="30" t="str">
        <f>IFERROR(__xludf.DUMMYFUNCTION("""COMPUTED_VALUE"""),"Ghoul School")</f>
        <v>Ghoul School</v>
      </c>
      <c r="F332" s="30" t="str">
        <f>IFERROR(__xludf.DUMMYFUNCTION("""COMPUTED_VALUE"""),"Solar")</f>
        <v>Solar</v>
      </c>
      <c r="G332" s="92">
        <f>IFERROR(__xludf.DUMMYFUNCTION("""COMPUTED_VALUE"""),57.860051818262356)</f>
        <v>57.86005182</v>
      </c>
    </row>
    <row r="333">
      <c r="A333" s="30" t="str">
        <f>IFERROR(__xludf.DUMMYFUNCTION("""COMPUTED_VALUE"""),"RSC002204")</f>
        <v>RSC002204</v>
      </c>
      <c r="B333" s="30" t="str">
        <f>IFERROR(__xludf.DUMMYFUNCTION("""COMPUTED_VALUE"""),"Mr.Numb3rz")</f>
        <v>Mr.Numb3rz</v>
      </c>
      <c r="C333" s="30" t="str">
        <f>IFERROR(__xludf.DUMMYFUNCTION("""COMPUTED_VALUE"""),"Rival")</f>
        <v>Rival</v>
      </c>
      <c r="D333" s="30" t="str">
        <f>IFERROR(__xludf.DUMMYFUNCTION("""COMPUTED_VALUE"""),"Dracos")</f>
        <v>Dracos</v>
      </c>
      <c r="E333" s="30" t="str">
        <f>IFERROR(__xludf.DUMMYFUNCTION("""COMPUTED_VALUE"""),"The Forest")</f>
        <v>The Forest</v>
      </c>
      <c r="F333" s="30" t="str">
        <f>IFERROR(__xludf.DUMMYFUNCTION("""COMPUTED_VALUE"""),"Solar")</f>
        <v>Solar</v>
      </c>
      <c r="G333" s="92">
        <f>IFERROR(__xludf.DUMMYFUNCTION("""COMPUTED_VALUE"""),13.530343077141737)</f>
        <v>13.53034308</v>
      </c>
    </row>
    <row r="334">
      <c r="A334" s="30" t="str">
        <f>IFERROR(__xludf.DUMMYFUNCTION("""COMPUTED_VALUE"""),"RSC002267")</f>
        <v>RSC002267</v>
      </c>
      <c r="B334" s="30" t="str">
        <f>IFERROR(__xludf.DUMMYFUNCTION("""COMPUTED_VALUE"""),"Dooqal")</f>
        <v>Dooqal</v>
      </c>
      <c r="C334" s="30" t="str">
        <f>IFERROR(__xludf.DUMMYFUNCTION("""COMPUTED_VALUE"""),"Rival")</f>
        <v>Rival</v>
      </c>
      <c r="D334" s="30" t="str">
        <f>IFERROR(__xludf.DUMMYFUNCTION("""COMPUTED_VALUE"""),"Dracos")</f>
        <v>Dracos</v>
      </c>
      <c r="E334" s="30" t="str">
        <f>IFERROR(__xludf.DUMMYFUNCTION("""COMPUTED_VALUE"""),"The Forest")</f>
        <v>The Forest</v>
      </c>
      <c r="F334" s="30" t="str">
        <f>IFERROR(__xludf.DUMMYFUNCTION("""COMPUTED_VALUE"""),"Solar")</f>
        <v>Solar</v>
      </c>
      <c r="G334" s="92">
        <f>IFERROR(__xludf.DUMMYFUNCTION("""COMPUTED_VALUE"""),53.52722624456795)</f>
        <v>53.52722624</v>
      </c>
    </row>
    <row r="335">
      <c r="A335" s="30" t="str">
        <f>IFERROR(__xludf.DUMMYFUNCTION("""COMPUTED_VALUE"""),"RSC003186")</f>
        <v>RSC003186</v>
      </c>
      <c r="B335" s="30" t="str">
        <f>IFERROR(__xludf.DUMMYFUNCTION("""COMPUTED_VALUE"""),"xBlaniac")</f>
        <v>xBlaniac</v>
      </c>
      <c r="C335" s="30" t="str">
        <f>IFERROR(__xludf.DUMMYFUNCTION("""COMPUTED_VALUE"""),"Rival")</f>
        <v>Rival</v>
      </c>
      <c r="D335" s="30" t="str">
        <f>IFERROR(__xludf.DUMMYFUNCTION("""COMPUTED_VALUE"""),"Dracos")</f>
        <v>Dracos</v>
      </c>
      <c r="E335" s="30" t="str">
        <f>IFERROR(__xludf.DUMMYFUNCTION("""COMPUTED_VALUE"""),"The Forest")</f>
        <v>The Forest</v>
      </c>
      <c r="F335" s="30" t="str">
        <f>IFERROR(__xludf.DUMMYFUNCTION("""COMPUTED_VALUE"""),"Solar")</f>
        <v>Solar</v>
      </c>
      <c r="G335" s="92">
        <f>IFERROR(__xludf.DUMMYFUNCTION("""COMPUTED_VALUE"""),25.52133742085391)</f>
        <v>25.52133742</v>
      </c>
    </row>
    <row r="336">
      <c r="A336" s="30" t="str">
        <f>IFERROR(__xludf.DUMMYFUNCTION("""COMPUTED_VALUE"""),"RSC007144")</f>
        <v>RSC007144</v>
      </c>
      <c r="B336" s="30" t="str">
        <f>IFERROR(__xludf.DUMMYFUNCTION("""COMPUTED_VALUE"""),"The_Killerwon")</f>
        <v>The_Killerwon</v>
      </c>
      <c r="C336" s="30" t="str">
        <f>IFERROR(__xludf.DUMMYFUNCTION("""COMPUTED_VALUE"""),"Rival")</f>
        <v>Rival</v>
      </c>
      <c r="D336" s="30" t="str">
        <f>IFERROR(__xludf.DUMMYFUNCTION("""COMPUTED_VALUE"""),"Wind")</f>
        <v>Wind</v>
      </c>
      <c r="E336" s="30" t="str">
        <f>IFERROR(__xludf.DUMMYFUNCTION("""COMPUTED_VALUE"""),"The Elements")</f>
        <v>The Elements</v>
      </c>
      <c r="F336" s="30" t="str">
        <f>IFERROR(__xludf.DUMMYFUNCTION("""COMPUTED_VALUE"""),"Solar")</f>
        <v>Solar</v>
      </c>
      <c r="G336" s="92">
        <f>IFERROR(__xludf.DUMMYFUNCTION("""COMPUTED_VALUE"""),46.272855987977536)</f>
        <v>46.27285599</v>
      </c>
    </row>
    <row r="337">
      <c r="A337" s="30" t="str">
        <f>IFERROR(__xludf.DUMMYFUNCTION("""COMPUTED_VALUE"""),"RSC007318")</f>
        <v>RSC007318</v>
      </c>
      <c r="B337" s="30" t="str">
        <f>IFERROR(__xludf.DUMMYFUNCTION("""COMPUTED_VALUE"""),"xd Dylan591")</f>
        <v>xd Dylan591</v>
      </c>
      <c r="C337" s="30" t="str">
        <f>IFERROR(__xludf.DUMMYFUNCTION("""COMPUTED_VALUE"""),"Rival")</f>
        <v>Rival</v>
      </c>
      <c r="D337" s="30" t="str">
        <f>IFERROR(__xludf.DUMMYFUNCTION("""COMPUTED_VALUE"""),"Wind")</f>
        <v>Wind</v>
      </c>
      <c r="E337" s="30" t="str">
        <f>IFERROR(__xludf.DUMMYFUNCTION("""COMPUTED_VALUE"""),"The Elements")</f>
        <v>The Elements</v>
      </c>
      <c r="F337" s="30" t="str">
        <f>IFERROR(__xludf.DUMMYFUNCTION("""COMPUTED_VALUE"""),"Solar")</f>
        <v>Solar</v>
      </c>
      <c r="G337" s="92">
        <f>IFERROR(__xludf.DUMMYFUNCTION("""COMPUTED_VALUE"""),23.55386037926013)</f>
        <v>23.55386038</v>
      </c>
    </row>
    <row r="338">
      <c r="A338" s="30" t="str">
        <f>IFERROR(__xludf.DUMMYFUNCTION("""COMPUTED_VALUE"""),"RSC006089")</f>
        <v>RSC006089</v>
      </c>
      <c r="B338" s="30" t="str">
        <f>IFERROR(__xludf.DUMMYFUNCTION("""COMPUTED_VALUE"""),"ZeroPop11")</f>
        <v>ZeroPop11</v>
      </c>
      <c r="C338" s="30" t="str">
        <f>IFERROR(__xludf.DUMMYFUNCTION("""COMPUTED_VALUE"""),"Rival")</f>
        <v>Rival</v>
      </c>
      <c r="D338" s="30" t="str">
        <f>IFERROR(__xludf.DUMMYFUNCTION("""COMPUTED_VALUE"""),"Wind")</f>
        <v>Wind</v>
      </c>
      <c r="E338" s="30" t="str">
        <f>IFERROR(__xludf.DUMMYFUNCTION("""COMPUTED_VALUE"""),"The Elements")</f>
        <v>The Elements</v>
      </c>
      <c r="F338" s="30" t="str">
        <f>IFERROR(__xludf.DUMMYFUNCTION("""COMPUTED_VALUE"""),"Solar")</f>
        <v>Solar</v>
      </c>
      <c r="G338" s="92">
        <f>IFERROR(__xludf.DUMMYFUNCTION("""COMPUTED_VALUE"""),68.311316103141)</f>
        <v>68.3113161</v>
      </c>
    </row>
    <row r="339">
      <c r="A339" s="30" t="str">
        <f>IFERROR(__xludf.DUMMYFUNCTION("""COMPUTED_VALUE"""),"RSC005523")</f>
        <v>RSC005523</v>
      </c>
      <c r="B339" s="30" t="str">
        <f>IFERROR(__xludf.DUMMYFUNCTION("""COMPUTED_VALUE"""),"Laguna")</f>
        <v>Laguna</v>
      </c>
      <c r="C339" s="30" t="str">
        <f>IFERROR(__xludf.DUMMYFUNCTION("""COMPUTED_VALUE"""),"Rival")</f>
        <v>Rival</v>
      </c>
      <c r="D339" s="30" t="str">
        <f>IFERROR(__xludf.DUMMYFUNCTION("""COMPUTED_VALUE"""),"Quasars
Polar Ice")</f>
        <v>Quasars
Polar Ice</v>
      </c>
      <c r="E339" s="30" t="str">
        <f>IFERROR(__xludf.DUMMYFUNCTION("""COMPUTED_VALUE"""),"The Cosmos
Minty Fresh")</f>
        <v>The Cosmos
Minty Fresh</v>
      </c>
      <c r="F339" s="30" t="str">
        <f>IFERROR(__xludf.DUMMYFUNCTION("""COMPUTED_VALUE"""),"Solar")</f>
        <v>Solar</v>
      </c>
      <c r="G339" s="92">
        <f>IFERROR(__xludf.DUMMYFUNCTION("""COMPUTED_VALUE"""),58.896752394467335)</f>
        <v>58.89675239</v>
      </c>
    </row>
    <row r="340">
      <c r="A340" s="30" t="str">
        <f>IFERROR(__xludf.DUMMYFUNCTION("""COMPUTED_VALUE"""),"RSC004665")</f>
        <v>RSC004665</v>
      </c>
      <c r="B340" s="30" t="str">
        <f>IFERROR(__xludf.DUMMYFUNCTION("""COMPUTED_VALUE"""),"xPrism")</f>
        <v>xPrism</v>
      </c>
      <c r="C340" s="30" t="str">
        <f>IFERROR(__xludf.DUMMYFUNCTION("""COMPUTED_VALUE"""),"Rival")</f>
        <v>Rival</v>
      </c>
      <c r="D340" s="30" t="str">
        <f>IFERROR(__xludf.DUMMYFUNCTION("""COMPUTED_VALUE"""),"Polar Ice")</f>
        <v>Polar Ice</v>
      </c>
      <c r="E340" s="30" t="str">
        <f>IFERROR(__xludf.DUMMYFUNCTION("""COMPUTED_VALUE"""),"Minty Fresh")</f>
        <v>Minty Fresh</v>
      </c>
      <c r="F340" s="30" t="str">
        <f>IFERROR(__xludf.DUMMYFUNCTION("""COMPUTED_VALUE"""),"Solar")</f>
        <v>Solar</v>
      </c>
      <c r="G340" s="92">
        <f>IFERROR(__xludf.DUMMYFUNCTION("""COMPUTED_VALUE"""),50.31086933937734)</f>
        <v>50.31086934</v>
      </c>
    </row>
    <row r="341">
      <c r="A341" s="30" t="str">
        <f>IFERROR(__xludf.DUMMYFUNCTION("""COMPUTED_VALUE"""),"RSC002036")</f>
        <v>RSC002036</v>
      </c>
      <c r="B341" s="30" t="str">
        <f>IFERROR(__xludf.DUMMYFUNCTION("""COMPUTED_VALUE"""),"Reno")</f>
        <v>Reno</v>
      </c>
      <c r="C341" s="30" t="str">
        <f>IFERROR(__xludf.DUMMYFUNCTION("""COMPUTED_VALUE"""),"Rival")</f>
        <v>Rival</v>
      </c>
      <c r="D341" s="30" t="str">
        <f>IFERROR(__xludf.DUMMYFUNCTION("""COMPUTED_VALUE"""),"Polar Ice")</f>
        <v>Polar Ice</v>
      </c>
      <c r="E341" s="30" t="str">
        <f>IFERROR(__xludf.DUMMYFUNCTION("""COMPUTED_VALUE"""),"Minty Fresh")</f>
        <v>Minty Fresh</v>
      </c>
      <c r="F341" s="30" t="str">
        <f>IFERROR(__xludf.DUMMYFUNCTION("""COMPUTED_VALUE"""),"Solar")</f>
        <v>Solar</v>
      </c>
      <c r="G341" s="92">
        <f>IFERROR(__xludf.DUMMYFUNCTION("""COMPUTED_VALUE"""),54.84024209315975)</f>
        <v>54.84024209</v>
      </c>
    </row>
    <row r="342">
      <c r="A342" s="30" t="str">
        <f>IFERROR(__xludf.DUMMYFUNCTION("""COMPUTED_VALUE"""),"RSC000291")</f>
        <v>RSC000291</v>
      </c>
      <c r="B342" s="30" t="str">
        <f>IFERROR(__xludf.DUMMYFUNCTION("""COMPUTED_VALUE"""),"Suckiest Sucker")</f>
        <v>Suckiest Sucker</v>
      </c>
      <c r="C342" s="30" t="str">
        <f>IFERROR(__xludf.DUMMYFUNCTION("""COMPUTED_VALUE"""),"Rival")</f>
        <v>Rival</v>
      </c>
      <c r="D342" s="30" t="str">
        <f>IFERROR(__xludf.DUMMYFUNCTION("""COMPUTED_VALUE"""),"Hue Heroes")</f>
        <v>Hue Heroes</v>
      </c>
      <c r="E342" s="30" t="str">
        <f>IFERROR(__xludf.DUMMYFUNCTION("""COMPUTED_VALUE"""),"Art Club")</f>
        <v>Art Club</v>
      </c>
      <c r="F342" s="30" t="str">
        <f>IFERROR(__xludf.DUMMYFUNCTION("""COMPUTED_VALUE"""),"Solar")</f>
        <v>Solar</v>
      </c>
      <c r="G342" s="92">
        <f>IFERROR(__xludf.DUMMYFUNCTION("""COMPUTED_VALUE"""),49.42627488400471)</f>
        <v>49.42627488</v>
      </c>
    </row>
    <row r="343">
      <c r="A343" s="30" t="str">
        <f>IFERROR(__xludf.DUMMYFUNCTION("""COMPUTED_VALUE"""),"RSC006401")</f>
        <v>RSC006401</v>
      </c>
      <c r="B343" s="30" t="str">
        <f>IFERROR(__xludf.DUMMYFUNCTION("""COMPUTED_VALUE"""),"Shadohkamii")</f>
        <v>Shadohkamii</v>
      </c>
      <c r="C343" s="30" t="str">
        <f>IFERROR(__xludf.DUMMYFUNCTION("""COMPUTED_VALUE"""),"Rival")</f>
        <v>Rival</v>
      </c>
      <c r="D343" s="30" t="str">
        <f>IFERROR(__xludf.DUMMYFUNCTION("""COMPUTED_VALUE"""),"Hue Heroes")</f>
        <v>Hue Heroes</v>
      </c>
      <c r="E343" s="30" t="str">
        <f>IFERROR(__xludf.DUMMYFUNCTION("""COMPUTED_VALUE"""),"Art Club")</f>
        <v>Art Club</v>
      </c>
      <c r="F343" s="30" t="str">
        <f>IFERROR(__xludf.DUMMYFUNCTION("""COMPUTED_VALUE"""),"Solar")</f>
        <v>Solar</v>
      </c>
      <c r="G343" s="92">
        <f>IFERROR(__xludf.DUMMYFUNCTION("""COMPUTED_VALUE"""),71.62712288851446)</f>
        <v>71.62712289</v>
      </c>
    </row>
    <row r="344">
      <c r="A344" s="30" t="str">
        <f>IFERROR(__xludf.DUMMYFUNCTION("""COMPUTED_VALUE"""),"RSC000190")</f>
        <v>RSC000190</v>
      </c>
      <c r="B344" s="30" t="str">
        <f>IFERROR(__xludf.DUMMYFUNCTION("""COMPUTED_VALUE"""),"leaf.")</f>
        <v>leaf.</v>
      </c>
      <c r="C344" s="30" t="str">
        <f>IFERROR(__xludf.DUMMYFUNCTION("""COMPUTED_VALUE"""),"Rival")</f>
        <v>Rival</v>
      </c>
      <c r="D344" s="30" t="str">
        <f>IFERROR(__xludf.DUMMYFUNCTION("""COMPUTED_VALUE"""),"Hue Heroes")</f>
        <v>Hue Heroes</v>
      </c>
      <c r="E344" s="30" t="str">
        <f>IFERROR(__xludf.DUMMYFUNCTION("""COMPUTED_VALUE"""),"Art Club")</f>
        <v>Art Club</v>
      </c>
      <c r="F344" s="30" t="str">
        <f>IFERROR(__xludf.DUMMYFUNCTION("""COMPUTED_VALUE"""),"Solar")</f>
        <v>Solar</v>
      </c>
      <c r="G344" s="92">
        <f>IFERROR(__xludf.DUMMYFUNCTION("""COMPUTED_VALUE"""),58.3370231320716)</f>
        <v>58.33702313</v>
      </c>
    </row>
    <row r="345">
      <c r="A345" s="30" t="str">
        <f>IFERROR(__xludf.DUMMYFUNCTION("""COMPUTED_VALUE"""),"RSC003945")</f>
        <v>RSC003945</v>
      </c>
      <c r="B345" s="30" t="str">
        <f>IFERROR(__xludf.DUMMYFUNCTION("""COMPUTED_VALUE"""),"Gaw1f3d")</f>
        <v>Gaw1f3d</v>
      </c>
      <c r="C345" s="30" t="str">
        <f>IFERROR(__xludf.DUMMYFUNCTION("""COMPUTED_VALUE"""),"Rival")</f>
        <v>Rival</v>
      </c>
      <c r="D345" s="30" t="str">
        <f>IFERROR(__xludf.DUMMYFUNCTION("""COMPUTED_VALUE"""),"Cursed")</f>
        <v>Cursed</v>
      </c>
      <c r="E345" s="30" t="str">
        <f>IFERROR(__xludf.DUMMYFUNCTION("""COMPUTED_VALUE"""),"Destined")</f>
        <v>Destined</v>
      </c>
      <c r="F345" s="30" t="str">
        <f>IFERROR(__xludf.DUMMYFUNCTION("""COMPUTED_VALUE"""),"Solar")</f>
        <v>Solar</v>
      </c>
      <c r="G345" s="92">
        <f>IFERROR(__xludf.DUMMYFUNCTION("""COMPUTED_VALUE"""),53.913889501518256)</f>
        <v>53.9138895</v>
      </c>
    </row>
    <row r="346">
      <c r="A346" s="30" t="str">
        <f>IFERROR(__xludf.DUMMYFUNCTION("""COMPUTED_VALUE"""),"RSC006938")</f>
        <v>RSC006938</v>
      </c>
      <c r="B346" s="30" t="str">
        <f>IFERROR(__xludf.DUMMYFUNCTION("""COMPUTED_VALUE"""),"Soda. .")</f>
        <v>Soda. .</v>
      </c>
      <c r="C346" s="30" t="str">
        <f>IFERROR(__xludf.DUMMYFUNCTION("""COMPUTED_VALUE"""),"Rival")</f>
        <v>Rival</v>
      </c>
      <c r="D346" s="30" t="str">
        <f>IFERROR(__xludf.DUMMYFUNCTION("""COMPUTED_VALUE"""),"Cursed")</f>
        <v>Cursed</v>
      </c>
      <c r="E346" s="30" t="str">
        <f>IFERROR(__xludf.DUMMYFUNCTION("""COMPUTED_VALUE"""),"Destined")</f>
        <v>Destined</v>
      </c>
      <c r="F346" s="30" t="str">
        <f>IFERROR(__xludf.DUMMYFUNCTION("""COMPUTED_VALUE"""),"Solar")</f>
        <v>Solar</v>
      </c>
      <c r="G346" s="92">
        <f>IFERROR(__xludf.DUMMYFUNCTION("""COMPUTED_VALUE"""),53.460593204574)</f>
        <v>53.4605932</v>
      </c>
    </row>
    <row r="347">
      <c r="A347" s="30" t="str">
        <f>IFERROR(__xludf.DUMMYFUNCTION("""COMPUTED_VALUE"""),"RSC000731")</f>
        <v>RSC000731</v>
      </c>
      <c r="B347" s="30" t="str">
        <f>IFERROR(__xludf.DUMMYFUNCTION("""COMPUTED_VALUE"""),"mm2")</f>
        <v>mm2</v>
      </c>
      <c r="C347" s="30" t="str">
        <f>IFERROR(__xludf.DUMMYFUNCTION("""COMPUTED_VALUE"""),"Rival")</f>
        <v>Rival</v>
      </c>
      <c r="D347" s="30" t="str">
        <f>IFERROR(__xludf.DUMMYFUNCTION("""COMPUTED_VALUE"""),"Cursed")</f>
        <v>Cursed</v>
      </c>
      <c r="E347" s="30" t="str">
        <f>IFERROR(__xludf.DUMMYFUNCTION("""COMPUTED_VALUE"""),"Destined")</f>
        <v>Destined</v>
      </c>
      <c r="F347" s="30" t="str">
        <f>IFERROR(__xludf.DUMMYFUNCTION("""COMPUTED_VALUE"""),"Solar")</f>
        <v>Solar</v>
      </c>
      <c r="G347" s="92">
        <f>IFERROR(__xludf.DUMMYFUNCTION("""COMPUTED_VALUE"""),63.72963092313796)</f>
        <v>63.72963092</v>
      </c>
    </row>
    <row r="348">
      <c r="A348" s="30" t="str">
        <f>IFERROR(__xludf.DUMMYFUNCTION("""COMPUTED_VALUE"""),"RSC006678")</f>
        <v>RSC006678</v>
      </c>
      <c r="B348" s="30" t="str">
        <f>IFERROR(__xludf.DUMMYFUNCTION("""COMPUTED_VALUE"""),"EyeSucka")</f>
        <v>EyeSucka</v>
      </c>
      <c r="C348" s="30" t="str">
        <f>IFERROR(__xludf.DUMMYFUNCTION("""COMPUTED_VALUE"""),"Rival")</f>
        <v>Rival</v>
      </c>
      <c r="D348" s="30" t="str">
        <f>IFERROR(__xludf.DUMMYFUNCTION("""COMPUTED_VALUE"""),"Mining Legion")</f>
        <v>Mining Legion</v>
      </c>
      <c r="E348" s="30" t="str">
        <f>IFERROR(__xludf.DUMMYFUNCTION("""COMPUTED_VALUE"""),"Dwarf Haven")</f>
        <v>Dwarf Haven</v>
      </c>
      <c r="F348" s="30" t="str">
        <f>IFERROR(__xludf.DUMMYFUNCTION("""COMPUTED_VALUE"""),"Solar")</f>
        <v>Solar</v>
      </c>
      <c r="G348" s="92">
        <f>IFERROR(__xludf.DUMMYFUNCTION("""COMPUTED_VALUE"""),68.66038681816445)</f>
        <v>68.66038682</v>
      </c>
    </row>
    <row r="349">
      <c r="A349" s="30" t="str">
        <f>IFERROR(__xludf.DUMMYFUNCTION("""COMPUTED_VALUE"""),"RSC006581")</f>
        <v>RSC006581</v>
      </c>
      <c r="B349" s="30" t="str">
        <f>IFERROR(__xludf.DUMMYFUNCTION("""COMPUTED_VALUE"""),"Light_Wigglebean")</f>
        <v>Light_Wigglebean</v>
      </c>
      <c r="C349" s="30" t="str">
        <f>IFERROR(__xludf.DUMMYFUNCTION("""COMPUTED_VALUE"""),"Rival")</f>
        <v>Rival</v>
      </c>
      <c r="D349" s="30" t="str">
        <f>IFERROR(__xludf.DUMMYFUNCTION("""COMPUTED_VALUE"""),"Mining Legion")</f>
        <v>Mining Legion</v>
      </c>
      <c r="E349" s="30" t="str">
        <f>IFERROR(__xludf.DUMMYFUNCTION("""COMPUTED_VALUE"""),"Dwarf Haven")</f>
        <v>Dwarf Haven</v>
      </c>
      <c r="F349" s="30" t="str">
        <f>IFERROR(__xludf.DUMMYFUNCTION("""COMPUTED_VALUE"""),"Solar")</f>
        <v>Solar</v>
      </c>
      <c r="G349" s="92">
        <f>IFERROR(__xludf.DUMMYFUNCTION("""COMPUTED_VALUE"""),82.8337358069659)</f>
        <v>82.83373581</v>
      </c>
    </row>
    <row r="350">
      <c r="A350" s="30" t="str">
        <f>IFERROR(__xludf.DUMMYFUNCTION("""COMPUTED_VALUE"""),"RSC007618")</f>
        <v>RSC007618</v>
      </c>
      <c r="B350" s="30" t="str">
        <f>IFERROR(__xludf.DUMMYFUNCTION("""COMPUTED_VALUE"""),"Robbie")</f>
        <v>Robbie</v>
      </c>
      <c r="C350" s="30" t="str">
        <f>IFERROR(__xludf.DUMMYFUNCTION("""COMPUTED_VALUE"""),"Rival")</f>
        <v>Rival</v>
      </c>
      <c r="D350" s="30" t="str">
        <f>IFERROR(__xludf.DUMMYFUNCTION("""COMPUTED_VALUE"""),"Mining Legion")</f>
        <v>Mining Legion</v>
      </c>
      <c r="E350" s="30" t="str">
        <f>IFERROR(__xludf.DUMMYFUNCTION("""COMPUTED_VALUE"""),"Dwarf Haven")</f>
        <v>Dwarf Haven</v>
      </c>
      <c r="F350" s="30" t="str">
        <f>IFERROR(__xludf.DUMMYFUNCTION("""COMPUTED_VALUE"""),"Solar")</f>
        <v>Solar</v>
      </c>
      <c r="G350" s="92">
        <f>IFERROR(__xludf.DUMMYFUNCTION("""COMPUTED_VALUE"""),41.4155842932277)</f>
        <v>41.41558429</v>
      </c>
    </row>
    <row r="351">
      <c r="A351" s="30" t="str">
        <f>IFERROR(__xludf.DUMMYFUNCTION("""COMPUTED_VALUE"""),"RSC004639")</f>
        <v>RSC004639</v>
      </c>
      <c r="B351" s="30" t="str">
        <f>IFERROR(__xludf.DUMMYFUNCTION("""COMPUTED_VALUE"""),"Tydizzle")</f>
        <v>Tydizzle</v>
      </c>
      <c r="C351" s="30" t="str">
        <f>IFERROR(__xludf.DUMMYFUNCTION("""COMPUTED_VALUE"""),"Rival")</f>
        <v>Rival</v>
      </c>
      <c r="D351" s="30" t="str">
        <f>IFERROR(__xludf.DUMMYFUNCTION("""COMPUTED_VALUE"""),"Blizzards")</f>
        <v>Blizzards</v>
      </c>
      <c r="E351" s="30" t="str">
        <f>IFERROR(__xludf.DUMMYFUNCTION("""COMPUTED_VALUE"""),"Storm")</f>
        <v>Storm</v>
      </c>
      <c r="F351" s="30" t="str">
        <f>IFERROR(__xludf.DUMMYFUNCTION("""COMPUTED_VALUE"""),"Solar")</f>
        <v>Solar</v>
      </c>
      <c r="G351" s="92">
        <f>IFERROR(__xludf.DUMMYFUNCTION("""COMPUTED_VALUE"""),43.73166525601792)</f>
        <v>43.73166526</v>
      </c>
    </row>
    <row r="352">
      <c r="A352" s="30" t="str">
        <f>IFERROR(__xludf.DUMMYFUNCTION("""COMPUTED_VALUE"""),"RSC000182")</f>
        <v>RSC000182</v>
      </c>
      <c r="B352" s="30" t="str">
        <f>IFERROR(__xludf.DUMMYFUNCTION("""COMPUTED_VALUE"""),"Goose")</f>
        <v>Goose</v>
      </c>
      <c r="C352" s="30" t="str">
        <f>IFERROR(__xludf.DUMMYFUNCTION("""COMPUTED_VALUE"""),"Rival")</f>
        <v>Rival</v>
      </c>
      <c r="D352" s="30" t="str">
        <f>IFERROR(__xludf.DUMMYFUNCTION("""COMPUTED_VALUE"""),"Dice
Blizzards")</f>
        <v>Dice
Blizzards</v>
      </c>
      <c r="E352" s="30" t="str">
        <f>IFERROR(__xludf.DUMMYFUNCTION("""COMPUTED_VALUE"""),"Never Lucky
Storm")</f>
        <v>Never Lucky
Storm</v>
      </c>
      <c r="F352" s="30" t="str">
        <f>IFERROR(__xludf.DUMMYFUNCTION("""COMPUTED_VALUE"""),"Solar")</f>
        <v>Solar</v>
      </c>
      <c r="G352" s="92">
        <f>IFERROR(__xludf.DUMMYFUNCTION("""COMPUTED_VALUE"""),46.603315545151304)</f>
        <v>46.60331555</v>
      </c>
    </row>
    <row r="353">
      <c r="A353" s="30" t="str">
        <f>IFERROR(__xludf.DUMMYFUNCTION("""COMPUTED_VALUE"""),"RSC006069")</f>
        <v>RSC006069</v>
      </c>
      <c r="B353" s="30" t="str">
        <f>IFERROR(__xludf.DUMMYFUNCTION("""COMPUTED_VALUE"""),"PoupSoup")</f>
        <v>PoupSoup</v>
      </c>
      <c r="C353" s="30" t="str">
        <f>IFERROR(__xludf.DUMMYFUNCTION("""COMPUTED_VALUE"""),"Rival")</f>
        <v>Rival</v>
      </c>
      <c r="D353" s="30" t="str">
        <f>IFERROR(__xludf.DUMMYFUNCTION("""COMPUTED_VALUE"""),"Blizzards")</f>
        <v>Blizzards</v>
      </c>
      <c r="E353" s="30" t="str">
        <f>IFERROR(__xludf.DUMMYFUNCTION("""COMPUTED_VALUE"""),"Storm")</f>
        <v>Storm</v>
      </c>
      <c r="F353" s="30" t="str">
        <f>IFERROR(__xludf.DUMMYFUNCTION("""COMPUTED_VALUE"""),"Solar")</f>
        <v>Solar</v>
      </c>
      <c r="G353" s="92">
        <f>IFERROR(__xludf.DUMMYFUNCTION("""COMPUTED_VALUE"""),42.56552606909355)</f>
        <v>42.56552607</v>
      </c>
    </row>
    <row r="354">
      <c r="A354" s="30" t="str">
        <f>IFERROR(__xludf.DUMMYFUNCTION("""COMPUTED_VALUE"""),"RSC005253")</f>
        <v>RSC005253</v>
      </c>
      <c r="B354" s="30" t="str">
        <f>IFERROR(__xludf.DUMMYFUNCTION("""COMPUTED_VALUE"""),"dinnindu")</f>
        <v>dinnindu</v>
      </c>
      <c r="C354" s="30" t="str">
        <f>IFERROR(__xludf.DUMMYFUNCTION("""COMPUTED_VALUE"""),"Rival")</f>
        <v>Rival</v>
      </c>
      <c r="D354" s="30" t="str">
        <f>IFERROR(__xludf.DUMMYFUNCTION("""COMPUTED_VALUE"""),"Tyrants")</f>
        <v>Tyrants</v>
      </c>
      <c r="E354" s="30" t="str">
        <f>IFERROR(__xludf.DUMMYFUNCTION("""COMPUTED_VALUE"""),"Monarchy")</f>
        <v>Monarchy</v>
      </c>
      <c r="F354" s="30" t="str">
        <f>IFERROR(__xludf.DUMMYFUNCTION("""COMPUTED_VALUE"""),"Lunar")</f>
        <v>Lunar</v>
      </c>
      <c r="G354" s="92">
        <f>IFERROR(__xludf.DUMMYFUNCTION("""COMPUTED_VALUE"""),22.227079679589796)</f>
        <v>22.22707968</v>
      </c>
    </row>
    <row r="355">
      <c r="A355" s="30" t="str">
        <f>IFERROR(__xludf.DUMMYFUNCTION("""COMPUTED_VALUE"""),"RSC003720")</f>
        <v>RSC003720</v>
      </c>
      <c r="B355" s="30" t="str">
        <f>IFERROR(__xludf.DUMMYFUNCTION("""COMPUTED_VALUE"""),"AriseDaft")</f>
        <v>AriseDaft</v>
      </c>
      <c r="C355" s="30" t="str">
        <f>IFERROR(__xludf.DUMMYFUNCTION("""COMPUTED_VALUE"""),"Rival")</f>
        <v>Rival</v>
      </c>
      <c r="D355" s="30" t="str">
        <f>IFERROR(__xludf.DUMMYFUNCTION("""COMPUTED_VALUE"""),"Tyrants")</f>
        <v>Tyrants</v>
      </c>
      <c r="E355" s="30" t="str">
        <f>IFERROR(__xludf.DUMMYFUNCTION("""COMPUTED_VALUE"""),"Monarchy")</f>
        <v>Monarchy</v>
      </c>
      <c r="F355" s="30" t="str">
        <f>IFERROR(__xludf.DUMMYFUNCTION("""COMPUTED_VALUE"""),"Lunar")</f>
        <v>Lunar</v>
      </c>
      <c r="G355" s="92">
        <f>IFERROR(__xludf.DUMMYFUNCTION("""COMPUTED_VALUE"""),50.41337265125088)</f>
        <v>50.41337265</v>
      </c>
    </row>
    <row r="356">
      <c r="A356" s="30" t="str">
        <f>IFERROR(__xludf.DUMMYFUNCTION("""COMPUTED_VALUE"""),"RSC000136")</f>
        <v>RSC000136</v>
      </c>
      <c r="B356" s="30" t="str">
        <f>IFERROR(__xludf.DUMMYFUNCTION("""COMPUTED_VALUE"""),"Blun")</f>
        <v>Blun</v>
      </c>
      <c r="C356" s="30" t="str">
        <f>IFERROR(__xludf.DUMMYFUNCTION("""COMPUTED_VALUE"""),"Rival")</f>
        <v>Rival</v>
      </c>
      <c r="D356" s="30" t="str">
        <f>IFERROR(__xludf.DUMMYFUNCTION("""COMPUTED_VALUE"""),"Tyrants")</f>
        <v>Tyrants</v>
      </c>
      <c r="E356" s="30" t="str">
        <f>IFERROR(__xludf.DUMMYFUNCTION("""COMPUTED_VALUE"""),"Monarchy")</f>
        <v>Monarchy</v>
      </c>
      <c r="F356" s="30" t="str">
        <f>IFERROR(__xludf.DUMMYFUNCTION("""COMPUTED_VALUE"""),"Lunar")</f>
        <v>Lunar</v>
      </c>
      <c r="G356" s="92">
        <f>IFERROR(__xludf.DUMMYFUNCTION("""COMPUTED_VALUE"""),58.490114035847355)</f>
        <v>58.49011404</v>
      </c>
    </row>
    <row r="357">
      <c r="A357" s="30" t="str">
        <f>IFERROR(__xludf.DUMMYFUNCTION("""COMPUTED_VALUE"""),"RSC005518")</f>
        <v>RSC005518</v>
      </c>
      <c r="B357" s="30" t="str">
        <f>IFERROR(__xludf.DUMMYFUNCTION("""COMPUTED_VALUE"""),"PublicEnemy#1")</f>
        <v>PublicEnemy#1</v>
      </c>
      <c r="C357" s="30" t="str">
        <f>IFERROR(__xludf.DUMMYFUNCTION("""COMPUTED_VALUE"""),"Rival")</f>
        <v>Rival</v>
      </c>
      <c r="D357" s="30" t="str">
        <f>IFERROR(__xludf.DUMMYFUNCTION("""COMPUTED_VALUE"""),"Jetstream")</f>
        <v>Jetstream</v>
      </c>
      <c r="E357" s="30" t="str">
        <f>IFERROR(__xludf.DUMMYFUNCTION("""COMPUTED_VALUE"""),"Remove Before Flight")</f>
        <v>Remove Before Flight</v>
      </c>
      <c r="F357" s="30" t="str">
        <f>IFERROR(__xludf.DUMMYFUNCTION("""COMPUTED_VALUE"""),"Lunar")</f>
        <v>Lunar</v>
      </c>
      <c r="G357" s="92">
        <f>IFERROR(__xludf.DUMMYFUNCTION("""COMPUTED_VALUE"""),69.78090623800512)</f>
        <v>69.78090624</v>
      </c>
    </row>
    <row r="358">
      <c r="A358" s="30" t="str">
        <f>IFERROR(__xludf.DUMMYFUNCTION("""COMPUTED_VALUE"""),"RSC005703")</f>
        <v>RSC005703</v>
      </c>
      <c r="B358" s="30" t="str">
        <f>IFERROR(__xludf.DUMMYFUNCTION("""COMPUTED_VALUE"""),"Shoddy-")</f>
        <v>Shoddy-</v>
      </c>
      <c r="C358" s="30" t="str">
        <f>IFERROR(__xludf.DUMMYFUNCTION("""COMPUTED_VALUE"""),"Rival")</f>
        <v>Rival</v>
      </c>
      <c r="D358" s="30" t="str">
        <f>IFERROR(__xludf.DUMMYFUNCTION("""COMPUTED_VALUE"""),"Jetstream")</f>
        <v>Jetstream</v>
      </c>
      <c r="E358" s="30" t="str">
        <f>IFERROR(__xludf.DUMMYFUNCTION("""COMPUTED_VALUE"""),"Remove Before Flight")</f>
        <v>Remove Before Flight</v>
      </c>
      <c r="F358" s="30" t="str">
        <f>IFERROR(__xludf.DUMMYFUNCTION("""COMPUTED_VALUE"""),"Lunar")</f>
        <v>Lunar</v>
      </c>
      <c r="G358" s="92">
        <f>IFERROR(__xludf.DUMMYFUNCTION("""COMPUTED_VALUE"""),47.86301682289243)</f>
        <v>47.86301682</v>
      </c>
    </row>
    <row r="359">
      <c r="A359" s="30" t="str">
        <f>IFERROR(__xludf.DUMMYFUNCTION("""COMPUTED_VALUE"""),"RSC006209")</f>
        <v>RSC006209</v>
      </c>
      <c r="B359" s="30" t="str">
        <f>IFERROR(__xludf.DUMMYFUNCTION("""COMPUTED_VALUE"""),"Celiscy")</f>
        <v>Celiscy</v>
      </c>
      <c r="C359" s="30" t="str">
        <f>IFERROR(__xludf.DUMMYFUNCTION("""COMPUTED_VALUE"""),"Rival")</f>
        <v>Rival</v>
      </c>
      <c r="D359" s="30" t="str">
        <f>IFERROR(__xludf.DUMMYFUNCTION("""COMPUTED_VALUE"""),"Jetstream")</f>
        <v>Jetstream</v>
      </c>
      <c r="E359" s="30" t="str">
        <f>IFERROR(__xludf.DUMMYFUNCTION("""COMPUTED_VALUE"""),"Remove Before Flight")</f>
        <v>Remove Before Flight</v>
      </c>
      <c r="F359" s="30" t="str">
        <f>IFERROR(__xludf.DUMMYFUNCTION("""COMPUTED_VALUE"""),"Lunar")</f>
        <v>Lunar</v>
      </c>
      <c r="G359" s="92">
        <f>IFERROR(__xludf.DUMMYFUNCTION("""COMPUTED_VALUE"""),42.10336016490609)</f>
        <v>42.10336016</v>
      </c>
    </row>
    <row r="360">
      <c r="A360" s="30" t="str">
        <f>IFERROR(__xludf.DUMMYFUNCTION("""COMPUTED_VALUE"""),"RSC002424")</f>
        <v>RSC002424</v>
      </c>
      <c r="B360" s="30" t="str">
        <f>IFERROR(__xludf.DUMMYFUNCTION("""COMPUTED_VALUE"""),"HufflePuffler")</f>
        <v>HufflePuffler</v>
      </c>
      <c r="C360" s="30" t="str">
        <f>IFERROR(__xludf.DUMMYFUNCTION("""COMPUTED_VALUE"""),"Rival")</f>
        <v>Rival</v>
      </c>
      <c r="D360" s="30" t="str">
        <f>IFERROR(__xludf.DUMMYFUNCTION("""COMPUTED_VALUE"""),"Centuriones")</f>
        <v>Centuriones</v>
      </c>
      <c r="E360" s="30" t="str">
        <f>IFERROR(__xludf.DUMMYFUNCTION("""COMPUTED_VALUE"""),"The Sovereign")</f>
        <v>The Sovereign</v>
      </c>
      <c r="F360" s="30" t="str">
        <f>IFERROR(__xludf.DUMMYFUNCTION("""COMPUTED_VALUE"""),"Lunar")</f>
        <v>Lunar</v>
      </c>
      <c r="G360" s="92">
        <f>IFERROR(__xludf.DUMMYFUNCTION("""COMPUTED_VALUE"""),50.309414761471515)</f>
        <v>50.30941476</v>
      </c>
    </row>
    <row r="361">
      <c r="A361" s="30" t="str">
        <f>IFERROR(__xludf.DUMMYFUNCTION("""COMPUTED_VALUE"""),"RSC004456")</f>
        <v>RSC004456</v>
      </c>
      <c r="B361" s="30" t="str">
        <f>IFERROR(__xludf.DUMMYFUNCTION("""COMPUTED_VALUE"""),"ShazamPoof")</f>
        <v>ShazamPoof</v>
      </c>
      <c r="C361" s="30" t="str">
        <f>IFERROR(__xludf.DUMMYFUNCTION("""COMPUTED_VALUE"""),"Rival")</f>
        <v>Rival</v>
      </c>
      <c r="D361" s="30" t="str">
        <f>IFERROR(__xludf.DUMMYFUNCTION("""COMPUTED_VALUE"""),"Centuriones")</f>
        <v>Centuriones</v>
      </c>
      <c r="E361" s="30" t="str">
        <f>IFERROR(__xludf.DUMMYFUNCTION("""COMPUTED_VALUE"""),"The Sovereign")</f>
        <v>The Sovereign</v>
      </c>
      <c r="F361" s="30" t="str">
        <f>IFERROR(__xludf.DUMMYFUNCTION("""COMPUTED_VALUE"""),"Lunar")</f>
        <v>Lunar</v>
      </c>
      <c r="G361" s="92">
        <f>IFERROR(__xludf.DUMMYFUNCTION("""COMPUTED_VALUE"""),28.69860065527727)</f>
        <v>28.69860066</v>
      </c>
    </row>
    <row r="362">
      <c r="A362" s="30" t="str">
        <f>IFERROR(__xludf.DUMMYFUNCTION("""COMPUTED_VALUE"""),"RSC002960")</f>
        <v>RSC002960</v>
      </c>
      <c r="B362" s="30" t="str">
        <f>IFERROR(__xludf.DUMMYFUNCTION("""COMPUTED_VALUE"""),"Shrek is The Best Anime")</f>
        <v>Shrek is The Best Anime</v>
      </c>
      <c r="C362" s="30" t="str">
        <f>IFERROR(__xludf.DUMMYFUNCTION("""COMPUTED_VALUE"""),"Rival")</f>
        <v>Rival</v>
      </c>
      <c r="D362" s="30" t="str">
        <f>IFERROR(__xludf.DUMMYFUNCTION("""COMPUTED_VALUE"""),"Centuriones")</f>
        <v>Centuriones</v>
      </c>
      <c r="E362" s="30" t="str">
        <f>IFERROR(__xludf.DUMMYFUNCTION("""COMPUTED_VALUE"""),"The Sovereign")</f>
        <v>The Sovereign</v>
      </c>
      <c r="F362" s="30" t="str">
        <f>IFERROR(__xludf.DUMMYFUNCTION("""COMPUTED_VALUE"""),"Lunar")</f>
        <v>Lunar</v>
      </c>
      <c r="G362" s="92">
        <f>IFERROR(__xludf.DUMMYFUNCTION("""COMPUTED_VALUE"""),45.0028875511344)</f>
        <v>45.00288755</v>
      </c>
    </row>
    <row r="363">
      <c r="A363" s="30" t="str">
        <f>IFERROR(__xludf.DUMMYFUNCTION("""COMPUTED_VALUE"""),"RSC005386")</f>
        <v>RSC005386</v>
      </c>
      <c r="B363" s="30" t="str">
        <f>IFERROR(__xludf.DUMMYFUNCTION("""COMPUTED_VALUE"""),"danub")</f>
        <v>danub</v>
      </c>
      <c r="C363" s="30" t="str">
        <f>IFERROR(__xludf.DUMMYFUNCTION("""COMPUTED_VALUE"""),"Rival")</f>
        <v>Rival</v>
      </c>
      <c r="D363" s="30" t="str">
        <f>IFERROR(__xludf.DUMMYFUNCTION("""COMPUTED_VALUE"""),"Phantoms")</f>
        <v>Phantoms</v>
      </c>
      <c r="E363" s="30" t="str">
        <f>IFERROR(__xludf.DUMMYFUNCTION("""COMPUTED_VALUE"""),"The Monster Mash")</f>
        <v>The Monster Mash</v>
      </c>
      <c r="F363" s="30" t="str">
        <f>IFERROR(__xludf.DUMMYFUNCTION("""COMPUTED_VALUE"""),"Lunar")</f>
        <v>Lunar</v>
      </c>
      <c r="G363" s="92">
        <f>IFERROR(__xludf.DUMMYFUNCTION("""COMPUTED_VALUE"""),23.921701298584807)</f>
        <v>23.9217013</v>
      </c>
    </row>
    <row r="364">
      <c r="A364" s="30" t="str">
        <f>IFERROR(__xludf.DUMMYFUNCTION("""COMPUTED_VALUE"""),"RSC004888")</f>
        <v>RSC004888</v>
      </c>
      <c r="B364" s="30" t="str">
        <f>IFERROR(__xludf.DUMMYFUNCTION("""COMPUTED_VALUE"""),"AgentAnime07")</f>
        <v>AgentAnime07</v>
      </c>
      <c r="C364" s="30" t="str">
        <f>IFERROR(__xludf.DUMMYFUNCTION("""COMPUTED_VALUE"""),"Rival")</f>
        <v>Rival</v>
      </c>
      <c r="D364" s="30" t="str">
        <f>IFERROR(__xludf.DUMMYFUNCTION("""COMPUTED_VALUE"""),"Phantoms")</f>
        <v>Phantoms</v>
      </c>
      <c r="E364" s="30" t="str">
        <f>IFERROR(__xludf.DUMMYFUNCTION("""COMPUTED_VALUE"""),"The Monster Mash")</f>
        <v>The Monster Mash</v>
      </c>
      <c r="F364" s="30" t="str">
        <f>IFERROR(__xludf.DUMMYFUNCTION("""COMPUTED_VALUE"""),"Lunar")</f>
        <v>Lunar</v>
      </c>
      <c r="G364" s="92">
        <f>IFERROR(__xludf.DUMMYFUNCTION("""COMPUTED_VALUE"""),39.423024371817476)</f>
        <v>39.42302437</v>
      </c>
    </row>
    <row r="365">
      <c r="A365" s="30" t="str">
        <f>IFERROR(__xludf.DUMMYFUNCTION("""COMPUTED_VALUE"""),"RSC007697")</f>
        <v>RSC007697</v>
      </c>
      <c r="B365" s="30" t="str">
        <f>IFERROR(__xludf.DUMMYFUNCTION("""COMPUTED_VALUE"""),"Commander Lucas")</f>
        <v>Commander Lucas</v>
      </c>
      <c r="C365" s="30" t="str">
        <f>IFERROR(__xludf.DUMMYFUNCTION("""COMPUTED_VALUE"""),"Rival")</f>
        <v>Rival</v>
      </c>
      <c r="D365" s="30" t="str">
        <f>IFERROR(__xludf.DUMMYFUNCTION("""COMPUTED_VALUE"""),"Blizzards
Phantoms")</f>
        <v>Blizzards
Phantoms</v>
      </c>
      <c r="E365" s="30" t="str">
        <f>IFERROR(__xludf.DUMMYFUNCTION("""COMPUTED_VALUE"""),"Storm
The Monster Mash")</f>
        <v>Storm
The Monster Mash</v>
      </c>
      <c r="F365" s="30" t="str">
        <f>IFERROR(__xludf.DUMMYFUNCTION("""COMPUTED_VALUE"""),"Solar")</f>
        <v>Solar</v>
      </c>
      <c r="G365" s="92">
        <f>IFERROR(__xludf.DUMMYFUNCTION("""COMPUTED_VALUE"""),48.00837266986734)</f>
        <v>48.00837267</v>
      </c>
    </row>
    <row r="366">
      <c r="A366" s="30" t="str">
        <f>IFERROR(__xludf.DUMMYFUNCTION("""COMPUTED_VALUE"""),"RSC003094")</f>
        <v>RSC003094</v>
      </c>
      <c r="B366" s="30" t="str">
        <f>IFERROR(__xludf.DUMMYFUNCTION("""COMPUTED_VALUE"""),"Galvarino")</f>
        <v>Galvarino</v>
      </c>
      <c r="C366" s="30" t="str">
        <f>IFERROR(__xludf.DUMMYFUNCTION("""COMPUTED_VALUE"""),"Rival")</f>
        <v>Rival</v>
      </c>
      <c r="D366" s="30" t="str">
        <f>IFERROR(__xludf.DUMMYFUNCTION("""COMPUTED_VALUE"""),"Polar Bears")</f>
        <v>Polar Bears</v>
      </c>
      <c r="E366" s="30" t="str">
        <f>IFERROR(__xludf.DUMMYFUNCTION("""COMPUTED_VALUE"""),"The Bear Den")</f>
        <v>The Bear Den</v>
      </c>
      <c r="F366" s="30" t="str">
        <f>IFERROR(__xludf.DUMMYFUNCTION("""COMPUTED_VALUE"""),"Lunar")</f>
        <v>Lunar</v>
      </c>
      <c r="G366" s="92">
        <f>IFERROR(__xludf.DUMMYFUNCTION("""COMPUTED_VALUE"""),31.03092992050343)</f>
        <v>31.03092992</v>
      </c>
    </row>
    <row r="367">
      <c r="A367" s="30" t="str">
        <f>IFERROR(__xludf.DUMMYFUNCTION("""COMPUTED_VALUE"""),"RSC005752")</f>
        <v>RSC005752</v>
      </c>
      <c r="B367" s="30" t="str">
        <f>IFERROR(__xludf.DUMMYFUNCTION("""COMPUTED_VALUE"""),"surge85")</f>
        <v>surge85</v>
      </c>
      <c r="C367" s="30" t="str">
        <f>IFERROR(__xludf.DUMMYFUNCTION("""COMPUTED_VALUE"""),"Rival")</f>
        <v>Rival</v>
      </c>
      <c r="D367" s="30" t="str">
        <f>IFERROR(__xludf.DUMMYFUNCTION("""COMPUTED_VALUE"""),"Polar Bears")</f>
        <v>Polar Bears</v>
      </c>
      <c r="E367" s="30" t="str">
        <f>IFERROR(__xludf.DUMMYFUNCTION("""COMPUTED_VALUE"""),"The Bear Den")</f>
        <v>The Bear Den</v>
      </c>
      <c r="F367" s="30" t="str">
        <f>IFERROR(__xludf.DUMMYFUNCTION("""COMPUTED_VALUE"""),"Lunar")</f>
        <v>Lunar</v>
      </c>
      <c r="G367" s="92">
        <f>IFERROR(__xludf.DUMMYFUNCTION("""COMPUTED_VALUE"""),50.88676454957294)</f>
        <v>50.88676455</v>
      </c>
    </row>
    <row r="368">
      <c r="A368" s="30" t="str">
        <f>IFERROR(__xludf.DUMMYFUNCTION("""COMPUTED_VALUE"""),"RSC003239")</f>
        <v>RSC003239</v>
      </c>
      <c r="B368" s="30" t="str">
        <f>IFERROR(__xludf.DUMMYFUNCTION("""COMPUTED_VALUE"""),"Wallaby Gangsta")</f>
        <v>Wallaby Gangsta</v>
      </c>
      <c r="C368" s="30" t="str">
        <f>IFERROR(__xludf.DUMMYFUNCTION("""COMPUTED_VALUE"""),"Rival")</f>
        <v>Rival</v>
      </c>
      <c r="D368" s="30" t="str">
        <f>IFERROR(__xludf.DUMMYFUNCTION("""COMPUTED_VALUE"""),"Necrotic Nerds
Polar Bears")</f>
        <v>Necrotic Nerds
Polar Bears</v>
      </c>
      <c r="E368" s="30" t="str">
        <f>IFERROR(__xludf.DUMMYFUNCTION("""COMPUTED_VALUE"""),"Ghoul School
The Bear Den")</f>
        <v>Ghoul School
The Bear Den</v>
      </c>
      <c r="F368" s="30" t="str">
        <f>IFERROR(__xludf.DUMMYFUNCTION("""COMPUTED_VALUE"""),"Lunar")</f>
        <v>Lunar</v>
      </c>
      <c r="G368" s="92">
        <f>IFERROR(__xludf.DUMMYFUNCTION("""COMPUTED_VALUE"""),53.34766175915842)</f>
        <v>53.34766176</v>
      </c>
    </row>
    <row r="369">
      <c r="A369" s="30" t="str">
        <f>IFERROR(__xludf.DUMMYFUNCTION("""COMPUTED_VALUE"""),"RSC004347")</f>
        <v>RSC004347</v>
      </c>
      <c r="B369" s="30" t="str">
        <f>IFERROR(__xludf.DUMMYFUNCTION("""COMPUTED_VALUE"""),"Good job you")</f>
        <v>Good job you</v>
      </c>
      <c r="C369" s="30" t="str">
        <f>IFERROR(__xludf.DUMMYFUNCTION("""COMPUTED_VALUE"""),"Rival")</f>
        <v>Rival</v>
      </c>
      <c r="D369" s="30" t="str">
        <f>IFERROR(__xludf.DUMMYFUNCTION("""COMPUTED_VALUE"""),"Bulldozers")</f>
        <v>Bulldozers</v>
      </c>
      <c r="E369" s="30" t="str">
        <f>IFERROR(__xludf.DUMMYFUNCTION("""COMPUTED_VALUE"""),"Road Work Ahead")</f>
        <v>Road Work Ahead</v>
      </c>
      <c r="F369" s="30" t="str">
        <f>IFERROR(__xludf.DUMMYFUNCTION("""COMPUTED_VALUE"""),"Lunar")</f>
        <v>Lunar</v>
      </c>
      <c r="G369" s="92">
        <f>IFERROR(__xludf.DUMMYFUNCTION("""COMPUTED_VALUE"""),58.151772115047045)</f>
        <v>58.15177212</v>
      </c>
    </row>
    <row r="370">
      <c r="A370" s="30" t="str">
        <f>IFERROR(__xludf.DUMMYFUNCTION("""COMPUTED_VALUE"""),"RSC005828")</f>
        <v>RSC005828</v>
      </c>
      <c r="B370" s="30" t="str">
        <f>IFERROR(__xludf.DUMMYFUNCTION("""COMPUTED_VALUE"""),"Creme")</f>
        <v>Creme</v>
      </c>
      <c r="C370" s="30" t="str">
        <f>IFERROR(__xludf.DUMMYFUNCTION("""COMPUTED_VALUE"""),"Rival")</f>
        <v>Rival</v>
      </c>
      <c r="D370" s="30" t="str">
        <f>IFERROR(__xludf.DUMMYFUNCTION("""COMPUTED_VALUE"""),"Bulldozers")</f>
        <v>Bulldozers</v>
      </c>
      <c r="E370" s="30" t="str">
        <f>IFERROR(__xludf.DUMMYFUNCTION("""COMPUTED_VALUE"""),"Road Work Ahead")</f>
        <v>Road Work Ahead</v>
      </c>
      <c r="F370" s="30" t="str">
        <f>IFERROR(__xludf.DUMMYFUNCTION("""COMPUTED_VALUE"""),"Lunar")</f>
        <v>Lunar</v>
      </c>
      <c r="G370" s="92">
        <f>IFERROR(__xludf.DUMMYFUNCTION("""COMPUTED_VALUE"""),37.819010557142555)</f>
        <v>37.81901056</v>
      </c>
    </row>
    <row r="371">
      <c r="A371" s="30" t="str">
        <f>IFERROR(__xludf.DUMMYFUNCTION("""COMPUTED_VALUE"""),"RSC007920")</f>
        <v>RSC007920</v>
      </c>
      <c r="B371" s="30" t="str">
        <f>IFERROR(__xludf.DUMMYFUNCTION("""COMPUTED_VALUE"""),"EKA Luminousity")</f>
        <v>EKA Luminousity</v>
      </c>
      <c r="C371" s="30" t="str">
        <f>IFERROR(__xludf.DUMMYFUNCTION("""COMPUTED_VALUE"""),"Rival")</f>
        <v>Rival</v>
      </c>
      <c r="D371" s="30" t="str">
        <f>IFERROR(__xludf.DUMMYFUNCTION("""COMPUTED_VALUE"""),"Bulldozers")</f>
        <v>Bulldozers</v>
      </c>
      <c r="E371" s="30" t="str">
        <f>IFERROR(__xludf.DUMMYFUNCTION("""COMPUTED_VALUE"""),"Road Work Ahead")</f>
        <v>Road Work Ahead</v>
      </c>
      <c r="F371" s="30" t="str">
        <f>IFERROR(__xludf.DUMMYFUNCTION("""COMPUTED_VALUE"""),"Lunar")</f>
        <v>Lunar</v>
      </c>
      <c r="G371" s="92">
        <f>IFERROR(__xludf.DUMMYFUNCTION("""COMPUTED_VALUE"""),73.23103462322649)</f>
        <v>73.23103462</v>
      </c>
    </row>
    <row r="372">
      <c r="A372" s="30" t="str">
        <f>IFERROR(__xludf.DUMMYFUNCTION("""COMPUTED_VALUE"""),"RSC007999")</f>
        <v>RSC007999</v>
      </c>
      <c r="B372" s="30" t="str">
        <f>IFERROR(__xludf.DUMMYFUNCTION("""COMPUTED_VALUE"""),"MerzR")</f>
        <v>MerzR</v>
      </c>
      <c r="C372" s="30" t="str">
        <f>IFERROR(__xludf.DUMMYFUNCTION("""COMPUTED_VALUE"""),"Rival")</f>
        <v>Rival</v>
      </c>
      <c r="D372" s="30" t="str">
        <f>IFERROR(__xludf.DUMMYFUNCTION("""COMPUTED_VALUE"""),"Ruthless Racket")</f>
        <v>Ruthless Racket</v>
      </c>
      <c r="E372" s="30" t="str">
        <f>IFERROR(__xludf.DUMMYFUNCTION("""COMPUTED_VALUE"""),"The Syndicate")</f>
        <v>The Syndicate</v>
      </c>
      <c r="F372" s="30" t="str">
        <f>IFERROR(__xludf.DUMMYFUNCTION("""COMPUTED_VALUE"""),"Lunar")</f>
        <v>Lunar</v>
      </c>
      <c r="G372" s="92">
        <f>IFERROR(__xludf.DUMMYFUNCTION("""COMPUTED_VALUE"""),58.21544254144812)</f>
        <v>58.21544254</v>
      </c>
    </row>
    <row r="373">
      <c r="A373" s="30" t="str">
        <f>IFERROR(__xludf.DUMMYFUNCTION("""COMPUTED_VALUE"""),"RSC002177")</f>
        <v>RSC002177</v>
      </c>
      <c r="B373" s="30" t="str">
        <f>IFERROR(__xludf.DUMMYFUNCTION("""COMPUTED_VALUE"""),"Slygo21")</f>
        <v>Slygo21</v>
      </c>
      <c r="C373" s="30" t="str">
        <f>IFERROR(__xludf.DUMMYFUNCTION("""COMPUTED_VALUE"""),"Rival")</f>
        <v>Rival</v>
      </c>
      <c r="D373" s="30" t="str">
        <f>IFERROR(__xludf.DUMMYFUNCTION("""COMPUTED_VALUE"""),"Ruthless Racket")</f>
        <v>Ruthless Racket</v>
      </c>
      <c r="E373" s="30" t="str">
        <f>IFERROR(__xludf.DUMMYFUNCTION("""COMPUTED_VALUE"""),"The Syndicate")</f>
        <v>The Syndicate</v>
      </c>
      <c r="F373" s="30" t="str">
        <f>IFERROR(__xludf.DUMMYFUNCTION("""COMPUTED_VALUE"""),"Lunar")</f>
        <v>Lunar</v>
      </c>
      <c r="G373" s="92">
        <f>IFERROR(__xludf.DUMMYFUNCTION("""COMPUTED_VALUE"""),29.1168004861272)</f>
        <v>29.11680049</v>
      </c>
    </row>
    <row r="374">
      <c r="A374" s="30" t="str">
        <f>IFERROR(__xludf.DUMMYFUNCTION("""COMPUTED_VALUE"""),"RSC000848")</f>
        <v>RSC000848</v>
      </c>
      <c r="B374" s="30" t="str">
        <f>IFERROR(__xludf.DUMMYFUNCTION("""COMPUTED_VALUE"""),"WittingHalo64")</f>
        <v>WittingHalo64</v>
      </c>
      <c r="C374" s="30" t="str">
        <f>IFERROR(__xludf.DUMMYFUNCTION("""COMPUTED_VALUE"""),"Rival")</f>
        <v>Rival</v>
      </c>
      <c r="D374" s="30" t="str">
        <f>IFERROR(__xludf.DUMMYFUNCTION("""COMPUTED_VALUE"""),"Ruthless Racket")</f>
        <v>Ruthless Racket</v>
      </c>
      <c r="E374" s="30" t="str">
        <f>IFERROR(__xludf.DUMMYFUNCTION("""COMPUTED_VALUE"""),"The Syndicate")</f>
        <v>The Syndicate</v>
      </c>
      <c r="F374" s="30" t="str">
        <f>IFERROR(__xludf.DUMMYFUNCTION("""COMPUTED_VALUE"""),"Lunar")</f>
        <v>Lunar</v>
      </c>
      <c r="G374" s="92">
        <f>IFERROR(__xludf.DUMMYFUNCTION("""COMPUTED_VALUE"""),48.016226112163146)</f>
        <v>48.01622611</v>
      </c>
    </row>
    <row r="375">
      <c r="A375" s="30" t="str">
        <f>IFERROR(__xludf.DUMMYFUNCTION("""COMPUTED_VALUE"""),"RSC002762")</f>
        <v>RSC002762</v>
      </c>
      <c r="B375" s="30" t="str">
        <f>IFERROR(__xludf.DUMMYFUNCTION("""COMPUTED_VALUE"""),"OnwardFlame")</f>
        <v>OnwardFlame</v>
      </c>
      <c r="C375" s="30" t="str">
        <f>IFERROR(__xludf.DUMMYFUNCTION("""COMPUTED_VALUE"""),"Rival")</f>
        <v>Rival</v>
      </c>
      <c r="D375" s="30" t="str">
        <f>IFERROR(__xludf.DUMMYFUNCTION("""COMPUTED_VALUE"""),"Stolen")</f>
        <v>Stolen</v>
      </c>
      <c r="E375" s="30" t="str">
        <f>IFERROR(__xludf.DUMMYFUNCTION("""COMPUTED_VALUE"""),"The Hood")</f>
        <v>The Hood</v>
      </c>
      <c r="F375" s="30" t="str">
        <f>IFERROR(__xludf.DUMMYFUNCTION("""COMPUTED_VALUE"""),"Lunar")</f>
        <v>Lunar</v>
      </c>
      <c r="G375" s="92">
        <f>IFERROR(__xludf.DUMMYFUNCTION("""COMPUTED_VALUE"""),40.825794090150026)</f>
        <v>40.82579409</v>
      </c>
    </row>
    <row r="376">
      <c r="A376" s="30" t="str">
        <f>IFERROR(__xludf.DUMMYFUNCTION("""COMPUTED_VALUE"""),"RSC006490")</f>
        <v>RSC006490</v>
      </c>
      <c r="B376" s="30" t="str">
        <f>IFERROR(__xludf.DUMMYFUNCTION("""COMPUTED_VALUE"""),"Dayz")</f>
        <v>Dayz</v>
      </c>
      <c r="C376" s="30" t="str">
        <f>IFERROR(__xludf.DUMMYFUNCTION("""COMPUTED_VALUE"""),"Rival")</f>
        <v>Rival</v>
      </c>
      <c r="D376" s="30" t="str">
        <f>IFERROR(__xludf.DUMMYFUNCTION("""COMPUTED_VALUE"""),"Stolen")</f>
        <v>Stolen</v>
      </c>
      <c r="E376" s="30" t="str">
        <f>IFERROR(__xludf.DUMMYFUNCTION("""COMPUTED_VALUE"""),"The Hood")</f>
        <v>The Hood</v>
      </c>
      <c r="F376" s="30" t="str">
        <f>IFERROR(__xludf.DUMMYFUNCTION("""COMPUTED_VALUE"""),"Lunar")</f>
        <v>Lunar</v>
      </c>
      <c r="G376" s="92">
        <f>IFERROR(__xludf.DUMMYFUNCTION("""COMPUTED_VALUE"""),56.18774402751485)</f>
        <v>56.18774403</v>
      </c>
    </row>
    <row r="377">
      <c r="A377" s="30" t="str">
        <f>IFERROR(__xludf.DUMMYFUNCTION("""COMPUTED_VALUE"""),"RSC005165")</f>
        <v>RSC005165</v>
      </c>
      <c r="B377" s="30" t="str">
        <f>IFERROR(__xludf.DUMMYFUNCTION("""COMPUTED_VALUE"""),"Lucas")</f>
        <v>Lucas</v>
      </c>
      <c r="C377" s="30" t="str">
        <f>IFERROR(__xludf.DUMMYFUNCTION("""COMPUTED_VALUE"""),"Rival")</f>
        <v>Rival</v>
      </c>
      <c r="D377" s="30" t="str">
        <f>IFERROR(__xludf.DUMMYFUNCTION("""COMPUTED_VALUE"""),"Stolen")</f>
        <v>Stolen</v>
      </c>
      <c r="E377" s="30" t="str">
        <f>IFERROR(__xludf.DUMMYFUNCTION("""COMPUTED_VALUE"""),"The Hood")</f>
        <v>The Hood</v>
      </c>
      <c r="F377" s="30" t="str">
        <f>IFERROR(__xludf.DUMMYFUNCTION("""COMPUTED_VALUE"""),"Lunar")</f>
        <v>Lunar</v>
      </c>
      <c r="G377" s="92">
        <f>IFERROR(__xludf.DUMMYFUNCTION("""COMPUTED_VALUE"""),56.1707869881743)</f>
        <v>56.17078699</v>
      </c>
    </row>
    <row r="378">
      <c r="A378" s="30" t="str">
        <f>IFERROR(__xludf.DUMMYFUNCTION("""COMPUTED_VALUE"""),"RSC002330")</f>
        <v>RSC002330</v>
      </c>
      <c r="B378" s="30" t="str">
        <f>IFERROR(__xludf.DUMMYFUNCTION("""COMPUTED_VALUE"""),"JesterGG")</f>
        <v>JesterGG</v>
      </c>
      <c r="C378" s="30" t="str">
        <f>IFERROR(__xludf.DUMMYFUNCTION("""COMPUTED_VALUE"""),"Rival")</f>
        <v>Rival</v>
      </c>
      <c r="D378" s="30" t="str">
        <f>IFERROR(__xludf.DUMMYFUNCTION("""COMPUTED_VALUE"""),"Polar Bears
Ostriches")</f>
        <v>Polar Bears
Ostriches</v>
      </c>
      <c r="E378" s="30" t="str">
        <f>IFERROR(__xludf.DUMMYFUNCTION("""COMPUTED_VALUE"""),"The Bear Den
Flightless Fowl")</f>
        <v>The Bear Den
Flightless Fowl</v>
      </c>
      <c r="F378" s="30" t="str">
        <f>IFERROR(__xludf.DUMMYFUNCTION("""COMPUTED_VALUE"""),"Solar")</f>
        <v>Solar</v>
      </c>
      <c r="G378" s="92">
        <f>IFERROR(__xludf.DUMMYFUNCTION("""COMPUTED_VALUE"""),50.750037234209074)</f>
        <v>50.75003723</v>
      </c>
    </row>
    <row r="379">
      <c r="A379" s="30" t="str">
        <f>IFERROR(__xludf.DUMMYFUNCTION("""COMPUTED_VALUE"""),"RSC006199")</f>
        <v>RSC006199</v>
      </c>
      <c r="B379" s="30" t="str">
        <f>IFERROR(__xludf.DUMMYFUNCTION("""COMPUTED_VALUE"""),"Irozuh-")</f>
        <v>Irozuh-</v>
      </c>
      <c r="C379" s="30" t="str">
        <f>IFERROR(__xludf.DUMMYFUNCTION("""COMPUTED_VALUE"""),"Rival")</f>
        <v>Rival</v>
      </c>
      <c r="D379" s="30" t="str">
        <f>IFERROR(__xludf.DUMMYFUNCTION("""COMPUTED_VALUE"""),"Ostriches")</f>
        <v>Ostriches</v>
      </c>
      <c r="E379" s="30" t="str">
        <f>IFERROR(__xludf.DUMMYFUNCTION("""COMPUTED_VALUE"""),"Flightless Fowl")</f>
        <v>Flightless Fowl</v>
      </c>
      <c r="F379" s="30" t="str">
        <f>IFERROR(__xludf.DUMMYFUNCTION("""COMPUTED_VALUE"""),"Solar")</f>
        <v>Solar</v>
      </c>
      <c r="G379" s="92">
        <f>IFERROR(__xludf.DUMMYFUNCTION("""COMPUTED_VALUE"""),24.608411228146593)</f>
        <v>24.60841123</v>
      </c>
    </row>
    <row r="380">
      <c r="A380" s="30" t="str">
        <f>IFERROR(__xludf.DUMMYFUNCTION("""COMPUTED_VALUE"""),"RSC000763")</f>
        <v>RSC000763</v>
      </c>
      <c r="B380" s="30" t="str">
        <f>IFERROR(__xludf.DUMMYFUNCTION("""COMPUTED_VALUE"""),"Tenched")</f>
        <v>Tenched</v>
      </c>
      <c r="C380" s="30" t="str">
        <f>IFERROR(__xludf.DUMMYFUNCTION("""COMPUTED_VALUE"""),"Rival")</f>
        <v>Rival</v>
      </c>
      <c r="D380" s="30" t="str">
        <f>IFERROR(__xludf.DUMMYFUNCTION("""COMPUTED_VALUE"""),"Ostriches")</f>
        <v>Ostriches</v>
      </c>
      <c r="E380" s="30" t="str">
        <f>IFERROR(__xludf.DUMMYFUNCTION("""COMPUTED_VALUE"""),"Flightless Fowl")</f>
        <v>Flightless Fowl</v>
      </c>
      <c r="F380" s="30" t="str">
        <f>IFERROR(__xludf.DUMMYFUNCTION("""COMPUTED_VALUE"""),"Solar")</f>
        <v>Solar</v>
      </c>
      <c r="G380" s="92">
        <f>IFERROR(__xludf.DUMMYFUNCTION("""COMPUTED_VALUE"""),46.8959853782363)</f>
        <v>46.89598538</v>
      </c>
    </row>
    <row r="381">
      <c r="A381" s="30" t="str">
        <f>IFERROR(__xludf.DUMMYFUNCTION("""COMPUTED_VALUE"""),"RSC006935")</f>
        <v>RSC006935</v>
      </c>
      <c r="B381" s="30" t="str">
        <f>IFERROR(__xludf.DUMMYFUNCTION("""COMPUTED_VALUE"""),"Bazzinga")</f>
        <v>Bazzinga</v>
      </c>
      <c r="C381" s="30" t="str">
        <f>IFERROR(__xludf.DUMMYFUNCTION("""COMPUTED_VALUE"""),"Rival")</f>
        <v>Rival</v>
      </c>
      <c r="D381" s="30" t="str">
        <f>IFERROR(__xludf.DUMMYFUNCTION("""COMPUTED_VALUE"""),"Lacuna")</f>
        <v>Lacuna</v>
      </c>
      <c r="E381" s="30" t="str">
        <f>IFERROR(__xludf.DUMMYFUNCTION("""COMPUTED_VALUE"""),"Event Horizon")</f>
        <v>Event Horizon</v>
      </c>
      <c r="F381" s="30" t="str">
        <f>IFERROR(__xludf.DUMMYFUNCTION("""COMPUTED_VALUE"""),"Solar")</f>
        <v>Solar</v>
      </c>
      <c r="G381" s="92">
        <f>IFERROR(__xludf.DUMMYFUNCTION("""COMPUTED_VALUE"""),50.99788040891894)</f>
        <v>50.99788041</v>
      </c>
    </row>
    <row r="382">
      <c r="A382" s="30" t="str">
        <f>IFERROR(__xludf.DUMMYFUNCTION("""COMPUTED_VALUE"""),"RSC004845")</f>
        <v>RSC004845</v>
      </c>
      <c r="B382" s="30" t="str">
        <f>IFERROR(__xludf.DUMMYFUNCTION("""COMPUTED_VALUE"""),"BinBoiz_")</f>
        <v>BinBoiz_</v>
      </c>
      <c r="C382" s="30" t="str">
        <f>IFERROR(__xludf.DUMMYFUNCTION("""COMPUTED_VALUE"""),"Rival")</f>
        <v>Rival</v>
      </c>
      <c r="D382" s="30" t="str">
        <f>IFERROR(__xludf.DUMMYFUNCTION("""COMPUTED_VALUE"""),"Lacuna")</f>
        <v>Lacuna</v>
      </c>
      <c r="E382" s="30" t="str">
        <f>IFERROR(__xludf.DUMMYFUNCTION("""COMPUTED_VALUE"""),"Event Horizon")</f>
        <v>Event Horizon</v>
      </c>
      <c r="F382" s="30" t="str">
        <f>IFERROR(__xludf.DUMMYFUNCTION("""COMPUTED_VALUE"""),"Solar")</f>
        <v>Solar</v>
      </c>
      <c r="G382" s="92">
        <f>IFERROR(__xludf.DUMMYFUNCTION("""COMPUTED_VALUE"""),15.145020548641583)</f>
        <v>15.14502055</v>
      </c>
    </row>
    <row r="383">
      <c r="A383" s="30" t="str">
        <f>IFERROR(__xludf.DUMMYFUNCTION("""COMPUTED_VALUE"""),"RSC006528")</f>
        <v>RSC006528</v>
      </c>
      <c r="B383" s="30" t="str">
        <f>IFERROR(__xludf.DUMMYFUNCTION("""COMPUTED_VALUE"""),"mxWEBBY")</f>
        <v>mxWEBBY</v>
      </c>
      <c r="C383" s="30" t="str">
        <f>IFERROR(__xludf.DUMMYFUNCTION("""COMPUTED_VALUE"""),"Rival")</f>
        <v>Rival</v>
      </c>
      <c r="D383" s="30" t="str">
        <f>IFERROR(__xludf.DUMMYFUNCTION("""COMPUTED_VALUE"""),"Lacuna")</f>
        <v>Lacuna</v>
      </c>
      <c r="E383" s="30" t="str">
        <f>IFERROR(__xludf.DUMMYFUNCTION("""COMPUTED_VALUE"""),"Event Horizon")</f>
        <v>Event Horizon</v>
      </c>
      <c r="F383" s="30" t="str">
        <f>IFERROR(__xludf.DUMMYFUNCTION("""COMPUTED_VALUE"""),"Solar")</f>
        <v>Solar</v>
      </c>
      <c r="G383" s="92">
        <f>IFERROR(__xludf.DUMMYFUNCTION("""COMPUTED_VALUE"""),58.22791124280033)</f>
        <v>58.22791124</v>
      </c>
    </row>
    <row r="384">
      <c r="A384" s="30" t="str">
        <f>IFERROR(__xludf.DUMMYFUNCTION("""COMPUTED_VALUE"""),"RSC007227")</f>
        <v>RSC007227</v>
      </c>
      <c r="B384" s="30" t="str">
        <f>IFERROR(__xludf.DUMMYFUNCTION("""COMPUTED_VALUE"""),"Trickyzekie")</f>
        <v>Trickyzekie</v>
      </c>
      <c r="C384" s="30" t="str">
        <f>IFERROR(__xludf.DUMMYFUNCTION("""COMPUTED_VALUE"""),"Rival")</f>
        <v>Rival</v>
      </c>
      <c r="D384" s="30" t="str">
        <f>IFERROR(__xludf.DUMMYFUNCTION("""COMPUTED_VALUE"""),"Ostriches")</f>
        <v>Ostriches</v>
      </c>
      <c r="E384" s="30" t="str">
        <f>IFERROR(__xludf.DUMMYFUNCTION("""COMPUTED_VALUE"""),"Flightless Fowl")</f>
        <v>Flightless Fowl</v>
      </c>
      <c r="F384" s="30" t="str">
        <f>IFERROR(__xludf.DUMMYFUNCTION("""COMPUTED_VALUE"""),"Solar")</f>
        <v>Solar</v>
      </c>
      <c r="G384" s="92">
        <f>IFERROR(__xludf.DUMMYFUNCTION("""COMPUTED_VALUE"""),38.82599862065207)</f>
        <v>38.82599862</v>
      </c>
    </row>
    <row r="385">
      <c r="A385" s="30" t="str">
        <f>IFERROR(__xludf.DUMMYFUNCTION("""COMPUTED_VALUE"""),"RSC004283")</f>
        <v>RSC004283</v>
      </c>
      <c r="B385" s="30" t="str">
        <f>IFERROR(__xludf.DUMMYFUNCTION("""COMPUTED_VALUE"""),"Tragic Event")</f>
        <v>Tragic Event</v>
      </c>
      <c r="C385" s="30" t="str">
        <f>IFERROR(__xludf.DUMMYFUNCTION("""COMPUTED_VALUE"""),"Rival")</f>
        <v>Rival</v>
      </c>
      <c r="D385" s="30" t="str">
        <f>IFERROR(__xludf.DUMMYFUNCTION("""COMPUTED_VALUE"""),"Quasars")</f>
        <v>Quasars</v>
      </c>
      <c r="E385" s="30" t="str">
        <f>IFERROR(__xludf.DUMMYFUNCTION("""COMPUTED_VALUE"""),"The Cosmos")</f>
        <v>The Cosmos</v>
      </c>
      <c r="F385" s="30" t="str">
        <f>IFERROR(__xludf.DUMMYFUNCTION("""COMPUTED_VALUE"""),"Solar")</f>
        <v>Solar</v>
      </c>
      <c r="G385" s="92">
        <f>IFERROR(__xludf.DUMMYFUNCTION("""COMPUTED_VALUE"""),17.055400261763232)</f>
        <v>17.05540026</v>
      </c>
    </row>
    <row r="386">
      <c r="A386" s="30" t="str">
        <f>IFERROR(__xludf.DUMMYFUNCTION("""COMPUTED_VALUE"""),"RSC005885")</f>
        <v>RSC005885</v>
      </c>
      <c r="B386" s="30" t="str">
        <f>IFERROR(__xludf.DUMMYFUNCTION("""COMPUTED_VALUE"""),"noot")</f>
        <v>noot</v>
      </c>
      <c r="C386" s="30" t="str">
        <f>IFERROR(__xludf.DUMMYFUNCTION("""COMPUTED_VALUE"""),"Rival")</f>
        <v>Rival</v>
      </c>
      <c r="D386" s="30" t="str">
        <f>IFERROR(__xludf.DUMMYFUNCTION("""COMPUTED_VALUE"""),"Quasars")</f>
        <v>Quasars</v>
      </c>
      <c r="E386" s="30" t="str">
        <f>IFERROR(__xludf.DUMMYFUNCTION("""COMPUTED_VALUE"""),"The Cosmos")</f>
        <v>The Cosmos</v>
      </c>
      <c r="F386" s="30" t="str">
        <f>IFERROR(__xludf.DUMMYFUNCTION("""COMPUTED_VALUE"""),"Solar")</f>
        <v>Solar</v>
      </c>
      <c r="G386" s="92">
        <f>IFERROR(__xludf.DUMMYFUNCTION("""COMPUTED_VALUE"""),52.16575559114917)</f>
        <v>52.16575559</v>
      </c>
    </row>
    <row r="387">
      <c r="A387" s="30" t="str">
        <f>IFERROR(__xludf.DUMMYFUNCTION("""COMPUTED_VALUE"""),"RSC005507")</f>
        <v>RSC005507</v>
      </c>
      <c r="B387" s="30" t="str">
        <f>IFERROR(__xludf.DUMMYFUNCTION("""COMPUTED_VALUE"""),"T Sant")</f>
        <v>T Sant</v>
      </c>
      <c r="C387" s="30" t="str">
        <f>IFERROR(__xludf.DUMMYFUNCTION("""COMPUTED_VALUE"""),"Rival")</f>
        <v>Rival</v>
      </c>
      <c r="D387" s="30" t="str">
        <f>IFERROR(__xludf.DUMMYFUNCTION("""COMPUTED_VALUE"""),"Quasars")</f>
        <v>Quasars</v>
      </c>
      <c r="E387" s="30" t="str">
        <f>IFERROR(__xludf.DUMMYFUNCTION("""COMPUTED_VALUE"""),"The Cosmos")</f>
        <v>The Cosmos</v>
      </c>
      <c r="F387" s="30" t="str">
        <f>IFERROR(__xludf.DUMMYFUNCTION("""COMPUTED_VALUE"""),"Solar")</f>
        <v>Solar</v>
      </c>
      <c r="G387" s="92">
        <f>IFERROR(__xludf.DUMMYFUNCTION("""COMPUTED_VALUE"""),34.227948275993185)</f>
        <v>34.22794828</v>
      </c>
    </row>
    <row r="388">
      <c r="A388" s="30" t="str">
        <f>IFERROR(__xludf.DUMMYFUNCTION("""COMPUTED_VALUE"""),"RSC007482")</f>
        <v>RSC007482</v>
      </c>
      <c r="B388" s="30" t="str">
        <f>IFERROR(__xludf.DUMMYFUNCTION("""COMPUTED_VALUE"""),"MyTyranosaur")</f>
        <v>MyTyranosaur</v>
      </c>
      <c r="C388" s="30" t="str">
        <f>IFERROR(__xludf.DUMMYFUNCTION("""COMPUTED_VALUE"""),"Rival")</f>
        <v>Rival</v>
      </c>
      <c r="D388" s="30" t="str">
        <f>IFERROR(__xludf.DUMMYFUNCTION("""COMPUTED_VALUE"""),"50 Cent")</f>
        <v>50 Cent</v>
      </c>
      <c r="E388" s="30" t="str">
        <f>IFERROR(__xludf.DUMMYFUNCTION("""COMPUTED_VALUE"""),"Money Makers")</f>
        <v>Money Makers</v>
      </c>
      <c r="F388" s="30" t="str">
        <f>IFERROR(__xludf.DUMMYFUNCTION("""COMPUTED_VALUE"""),"Solar")</f>
        <v>Solar</v>
      </c>
      <c r="G388" s="92">
        <f>IFERROR(__xludf.DUMMYFUNCTION("""COMPUTED_VALUE"""),99.44231536122957)</f>
        <v>99.44231536</v>
      </c>
    </row>
    <row r="389">
      <c r="A389" s="30" t="str">
        <f>IFERROR(__xludf.DUMMYFUNCTION("""COMPUTED_VALUE"""),"RSC002616")</f>
        <v>RSC002616</v>
      </c>
      <c r="B389" s="30" t="str">
        <f>IFERROR(__xludf.DUMMYFUNCTION("""COMPUTED_VALUE"""),"Ruthle")</f>
        <v>Ruthle</v>
      </c>
      <c r="C389" s="30" t="str">
        <f>IFERROR(__xludf.DUMMYFUNCTION("""COMPUTED_VALUE"""),"Rival")</f>
        <v>Rival</v>
      </c>
      <c r="D389" s="30" t="str">
        <f>IFERROR(__xludf.DUMMYFUNCTION("""COMPUTED_VALUE"""),"50 Cent")</f>
        <v>50 Cent</v>
      </c>
      <c r="E389" s="30" t="str">
        <f>IFERROR(__xludf.DUMMYFUNCTION("""COMPUTED_VALUE"""),"Money Makers")</f>
        <v>Money Makers</v>
      </c>
      <c r="F389" s="30" t="str">
        <f>IFERROR(__xludf.DUMMYFUNCTION("""COMPUTED_VALUE"""),"Solar")</f>
        <v>Solar</v>
      </c>
      <c r="G389" s="92">
        <f>IFERROR(__xludf.DUMMYFUNCTION("""COMPUTED_VALUE"""),37.00151293796633)</f>
        <v>37.00151294</v>
      </c>
    </row>
    <row r="390">
      <c r="A390" s="30" t="str">
        <f>IFERROR(__xludf.DUMMYFUNCTION("""COMPUTED_VALUE"""),"RSC004670")</f>
        <v>RSC004670</v>
      </c>
      <c r="B390" s="30" t="str">
        <f>IFERROR(__xludf.DUMMYFUNCTION("""COMPUTED_VALUE"""),"CarnageWolfBite")</f>
        <v>CarnageWolfBite</v>
      </c>
      <c r="C390" s="30" t="str">
        <f>IFERROR(__xludf.DUMMYFUNCTION("""COMPUTED_VALUE"""),"Rival")</f>
        <v>Rival</v>
      </c>
      <c r="D390" s="30" t="str">
        <f>IFERROR(__xludf.DUMMYFUNCTION("""COMPUTED_VALUE"""),"50 Cent")</f>
        <v>50 Cent</v>
      </c>
      <c r="E390" s="30" t="str">
        <f>IFERROR(__xludf.DUMMYFUNCTION("""COMPUTED_VALUE"""),"Money Makers")</f>
        <v>Money Makers</v>
      </c>
      <c r="F390" s="30" t="str">
        <f>IFERROR(__xludf.DUMMYFUNCTION("""COMPUTED_VALUE"""),"Solar")</f>
        <v>Solar</v>
      </c>
      <c r="G390" s="92">
        <f>IFERROR(__xludf.DUMMYFUNCTION("""COMPUTED_VALUE"""),25.589109913955582)</f>
        <v>25.58910991</v>
      </c>
    </row>
    <row r="391">
      <c r="A391" s="30" t="str">
        <f>IFERROR(__xludf.DUMMYFUNCTION("""COMPUTED_VALUE"""),"RSC007601")</f>
        <v>RSC007601</v>
      </c>
      <c r="B391" s="30" t="str">
        <f>IFERROR(__xludf.DUMMYFUNCTION("""COMPUTED_VALUE"""),"Bricked Up Barry")</f>
        <v>Bricked Up Barry</v>
      </c>
      <c r="C391" s="30" t="str">
        <f>IFERROR(__xludf.DUMMYFUNCTION("""COMPUTED_VALUE"""),"Rival")</f>
        <v>Rival</v>
      </c>
      <c r="D391" s="30" t="str">
        <f>IFERROR(__xludf.DUMMYFUNCTION("""COMPUTED_VALUE"""),"Kitsune")</f>
        <v>Kitsune</v>
      </c>
      <c r="E391" s="30" t="str">
        <f>IFERROR(__xludf.DUMMYFUNCTION("""COMPUTED_VALUE"""),"The Shrine")</f>
        <v>The Shrine</v>
      </c>
      <c r="F391" s="30" t="str">
        <f>IFERROR(__xludf.DUMMYFUNCTION("""COMPUTED_VALUE"""),"Solar")</f>
        <v>Solar</v>
      </c>
      <c r="G391" s="92">
        <f>IFERROR(__xludf.DUMMYFUNCTION("""COMPUTED_VALUE"""),43.670204120288545)</f>
        <v>43.67020412</v>
      </c>
    </row>
    <row r="392">
      <c r="A392" s="30" t="str">
        <f>IFERROR(__xludf.DUMMYFUNCTION("""COMPUTED_VALUE"""),"RSC006086")</f>
        <v>RSC006086</v>
      </c>
      <c r="B392" s="30" t="str">
        <f>IFERROR(__xludf.DUMMYFUNCTION("""COMPUTED_VALUE"""),"13o0k")</f>
        <v>13o0k</v>
      </c>
      <c r="C392" s="30" t="str">
        <f>IFERROR(__xludf.DUMMYFUNCTION("""COMPUTED_VALUE"""),"Rival")</f>
        <v>Rival</v>
      </c>
      <c r="D392" s="30" t="str">
        <f>IFERROR(__xludf.DUMMYFUNCTION("""COMPUTED_VALUE"""),"Kitsune")</f>
        <v>Kitsune</v>
      </c>
      <c r="E392" s="30" t="str">
        <f>IFERROR(__xludf.DUMMYFUNCTION("""COMPUTED_VALUE"""),"The Shrine")</f>
        <v>The Shrine</v>
      </c>
      <c r="F392" s="30" t="str">
        <f>IFERROR(__xludf.DUMMYFUNCTION("""COMPUTED_VALUE"""),"Solar")</f>
        <v>Solar</v>
      </c>
      <c r="G392" s="92">
        <f>IFERROR(__xludf.DUMMYFUNCTION("""COMPUTED_VALUE"""),59.39716976960167)</f>
        <v>59.39716977</v>
      </c>
    </row>
    <row r="393">
      <c r="A393" s="30" t="str">
        <f>IFERROR(__xludf.DUMMYFUNCTION("""COMPUTED_VALUE"""),"RSC004399")</f>
        <v>RSC004399</v>
      </c>
      <c r="B393" s="30" t="str">
        <f>IFERROR(__xludf.DUMMYFUNCTION("""COMPUTED_VALUE"""),"zippythegnome")</f>
        <v>zippythegnome</v>
      </c>
      <c r="C393" s="30" t="str">
        <f>IFERROR(__xludf.DUMMYFUNCTION("""COMPUTED_VALUE"""),"Rival")</f>
        <v>Rival</v>
      </c>
      <c r="D393" s="30" t="str">
        <f>IFERROR(__xludf.DUMMYFUNCTION("""COMPUTED_VALUE"""),"Kitsune")</f>
        <v>Kitsune</v>
      </c>
      <c r="E393" s="30" t="str">
        <f>IFERROR(__xludf.DUMMYFUNCTION("""COMPUTED_VALUE"""),"The Shrine")</f>
        <v>The Shrine</v>
      </c>
      <c r="F393" s="30" t="str">
        <f>IFERROR(__xludf.DUMMYFUNCTION("""COMPUTED_VALUE"""),"Solar")</f>
        <v>Solar</v>
      </c>
      <c r="G393" s="92">
        <f>IFERROR(__xludf.DUMMYFUNCTION("""COMPUTED_VALUE"""),41.96566172367061)</f>
        <v>41.96566172</v>
      </c>
    </row>
    <row r="394">
      <c r="A394" s="30" t="str">
        <f>IFERROR(__xludf.DUMMYFUNCTION("""COMPUTED_VALUE"""),"RSC006211")</f>
        <v>RSC006211</v>
      </c>
      <c r="B394" s="30" t="str">
        <f>IFERROR(__xludf.DUMMYFUNCTION("""COMPUTED_VALUE"""),"Chase")</f>
        <v>Chase</v>
      </c>
      <c r="C394" s="30" t="str">
        <f>IFERROR(__xludf.DUMMYFUNCTION("""COMPUTED_VALUE"""),"Rival")</f>
        <v>Rival</v>
      </c>
      <c r="D394" s="30" t="str">
        <f>IFERROR(__xludf.DUMMYFUNCTION("""COMPUTED_VALUE"""),"Ion Imperial")</f>
        <v>Ion Imperial</v>
      </c>
      <c r="E394" s="30" t="str">
        <f>IFERROR(__xludf.DUMMYFUNCTION("""COMPUTED_VALUE"""),"5 O'clock Nowhere")</f>
        <v>5 O'clock Nowhere</v>
      </c>
      <c r="F394" s="30" t="str">
        <f>IFERROR(__xludf.DUMMYFUNCTION("""COMPUTED_VALUE"""),"Solar")</f>
        <v>Solar</v>
      </c>
      <c r="G394" s="92">
        <f>IFERROR(__xludf.DUMMYFUNCTION("""COMPUTED_VALUE"""),59.72140210804893)</f>
        <v>59.72140211</v>
      </c>
    </row>
    <row r="395">
      <c r="A395" s="30" t="str">
        <f>IFERROR(__xludf.DUMMYFUNCTION("""COMPUTED_VALUE"""),"RSC000724")</f>
        <v>RSC000724</v>
      </c>
      <c r="B395" s="30" t="str">
        <f>IFERROR(__xludf.DUMMYFUNCTION("""COMPUTED_VALUE"""),"dunnie14")</f>
        <v>dunnie14</v>
      </c>
      <c r="C395" s="30" t="str">
        <f>IFERROR(__xludf.DUMMYFUNCTION("""COMPUTED_VALUE"""),"Rival")</f>
        <v>Rival</v>
      </c>
      <c r="D395" s="30" t="str">
        <f>IFERROR(__xludf.DUMMYFUNCTION("""COMPUTED_VALUE"""),"Ion Imperial")</f>
        <v>Ion Imperial</v>
      </c>
      <c r="E395" s="30" t="str">
        <f>IFERROR(__xludf.DUMMYFUNCTION("""COMPUTED_VALUE"""),"5 O'clock Nowhere")</f>
        <v>5 O'clock Nowhere</v>
      </c>
      <c r="F395" s="30" t="str">
        <f>IFERROR(__xludf.DUMMYFUNCTION("""COMPUTED_VALUE"""),"Solar")</f>
        <v>Solar</v>
      </c>
      <c r="G395" s="92">
        <f>IFERROR(__xludf.DUMMYFUNCTION("""COMPUTED_VALUE"""),54.025296776497875)</f>
        <v>54.02529678</v>
      </c>
    </row>
    <row r="396">
      <c r="A396" s="30" t="str">
        <f>IFERROR(__xludf.DUMMYFUNCTION("""COMPUTED_VALUE"""),"RSC007293")</f>
        <v>RSC007293</v>
      </c>
      <c r="B396" s="30" t="str">
        <f>IFERROR(__xludf.DUMMYFUNCTION("""COMPUTED_VALUE"""),"YtExplixiit")</f>
        <v>YtExplixiit</v>
      </c>
      <c r="C396" s="30" t="str">
        <f>IFERROR(__xludf.DUMMYFUNCTION("""COMPUTED_VALUE"""),"Rival")</f>
        <v>Rival</v>
      </c>
      <c r="D396" s="30" t="str">
        <f>IFERROR(__xludf.DUMMYFUNCTION("""COMPUTED_VALUE"""),"Ion Imperial")</f>
        <v>Ion Imperial</v>
      </c>
      <c r="E396" s="30" t="str">
        <f>IFERROR(__xludf.DUMMYFUNCTION("""COMPUTED_VALUE"""),"5 O'clock Nowhere")</f>
        <v>5 O'clock Nowhere</v>
      </c>
      <c r="F396" s="30" t="str">
        <f>IFERROR(__xludf.DUMMYFUNCTION("""COMPUTED_VALUE"""),"Solar")</f>
        <v>Solar</v>
      </c>
      <c r="G396" s="92">
        <f>IFERROR(__xludf.DUMMYFUNCTION("""COMPUTED_VALUE"""),50.9895091363499)</f>
        <v>50.98950914</v>
      </c>
    </row>
    <row r="397">
      <c r="A397" s="30" t="str">
        <f>IFERROR(__xludf.DUMMYFUNCTION("""COMPUTED_VALUE"""),"RSC006910")</f>
        <v>RSC006910</v>
      </c>
      <c r="B397" s="30" t="str">
        <f>IFERROR(__xludf.DUMMYFUNCTION("""COMPUTED_VALUE"""),"Swanny2.0")</f>
        <v>Swanny2.0</v>
      </c>
      <c r="C397" s="30" t="str">
        <f>IFERROR(__xludf.DUMMYFUNCTION("""COMPUTED_VALUE"""),"Rival")</f>
        <v>Rival</v>
      </c>
      <c r="D397" s="30" t="str">
        <f>IFERROR(__xludf.DUMMYFUNCTION("""COMPUTED_VALUE"""),"Hue Heroes
Funk Hunks")</f>
        <v>Hue Heroes
Funk Hunks</v>
      </c>
      <c r="E397" s="30" t="str">
        <f>IFERROR(__xludf.DUMMYFUNCTION("""COMPUTED_VALUE"""),"Art Club
Vibe Tribe")</f>
        <v>Art Club
Vibe Tribe</v>
      </c>
      <c r="F397" s="30" t="str">
        <f>IFERROR(__xludf.DUMMYFUNCTION("""COMPUTED_VALUE"""),"Solar")</f>
        <v>Solar</v>
      </c>
      <c r="G397" s="92">
        <f>IFERROR(__xludf.DUMMYFUNCTION("""COMPUTED_VALUE"""),26.850280314204667)</f>
        <v>26.85028031</v>
      </c>
    </row>
    <row r="398">
      <c r="A398" s="30" t="str">
        <f>IFERROR(__xludf.DUMMYFUNCTION("""COMPUTED_VALUE"""),"RSC006748")</f>
        <v>RSC006748</v>
      </c>
      <c r="B398" s="30" t="str">
        <f>IFERROR(__xludf.DUMMYFUNCTION("""COMPUTED_VALUE"""),"Llamaboy101")</f>
        <v>Llamaboy101</v>
      </c>
      <c r="C398" s="30" t="str">
        <f>IFERROR(__xludf.DUMMYFUNCTION("""COMPUTED_VALUE"""),"Rival")</f>
        <v>Rival</v>
      </c>
      <c r="D398" s="30" t="str">
        <f>IFERROR(__xludf.DUMMYFUNCTION("""COMPUTED_VALUE"""),"Wind")</f>
        <v>Wind</v>
      </c>
      <c r="E398" s="30" t="str">
        <f>IFERROR(__xludf.DUMMYFUNCTION("""COMPUTED_VALUE"""),"The Elements")</f>
        <v>The Elements</v>
      </c>
      <c r="F398" s="30" t="str">
        <f>IFERROR(__xludf.DUMMYFUNCTION("""COMPUTED_VALUE"""),"Solar")</f>
        <v>Solar</v>
      </c>
      <c r="G398" s="92">
        <f>IFERROR(__xludf.DUMMYFUNCTION("""COMPUTED_VALUE"""),48.12923129715946)</f>
        <v>48.1292313</v>
      </c>
    </row>
    <row r="399">
      <c r="A399" s="30" t="str">
        <f>IFERROR(__xludf.DUMMYFUNCTION("""COMPUTED_VALUE"""),"RSC006881")</f>
        <v>RSC006881</v>
      </c>
      <c r="B399" s="30" t="str">
        <f>IFERROR(__xludf.DUMMYFUNCTION("""COMPUTED_VALUE"""),"Cyroic")</f>
        <v>Cyroic</v>
      </c>
      <c r="C399" s="30" t="str">
        <f>IFERROR(__xludf.DUMMYFUNCTION("""COMPUTED_VALUE"""),"Rival")</f>
        <v>Rival</v>
      </c>
      <c r="D399" s="30" t="str">
        <f>IFERROR(__xludf.DUMMYFUNCTION("""COMPUTED_VALUE"""),"Hammerheads")</f>
        <v>Hammerheads</v>
      </c>
      <c r="E399" s="30" t="str">
        <f>IFERROR(__xludf.DUMMYFUNCTION("""COMPUTED_VALUE"""),"Shark Attack")</f>
        <v>Shark Attack</v>
      </c>
      <c r="F399" s="30" t="str">
        <f>IFERROR(__xludf.DUMMYFUNCTION("""COMPUTED_VALUE"""),"Solar")</f>
        <v>Solar</v>
      </c>
      <c r="G399" s="92">
        <f>IFERROR(__xludf.DUMMYFUNCTION("""COMPUTED_VALUE"""),27.254865515710627)</f>
        <v>27.25486552</v>
      </c>
    </row>
    <row r="400">
      <c r="A400" s="30" t="str">
        <f>IFERROR(__xludf.DUMMYFUNCTION("""COMPUTED_VALUE"""),"RSC007131")</f>
        <v>RSC007131</v>
      </c>
      <c r="B400" s="30" t="str">
        <f>IFERROR(__xludf.DUMMYFUNCTION("""COMPUTED_VALUE"""),"BankShark")</f>
        <v>BankShark</v>
      </c>
      <c r="C400" s="30" t="str">
        <f>IFERROR(__xludf.DUMMYFUNCTION("""COMPUTED_VALUE"""),"Rival")</f>
        <v>Rival</v>
      </c>
      <c r="D400" s="30" t="str">
        <f>IFERROR(__xludf.DUMMYFUNCTION("""COMPUTED_VALUE"""),"Hammerheads")</f>
        <v>Hammerheads</v>
      </c>
      <c r="E400" s="30" t="str">
        <f>IFERROR(__xludf.DUMMYFUNCTION("""COMPUTED_VALUE"""),"Shark Attack")</f>
        <v>Shark Attack</v>
      </c>
      <c r="F400" s="30" t="str">
        <f>IFERROR(__xludf.DUMMYFUNCTION("""COMPUTED_VALUE"""),"Solar")</f>
        <v>Solar</v>
      </c>
      <c r="G400" s="92">
        <f>IFERROR(__xludf.DUMMYFUNCTION("""COMPUTED_VALUE"""),47.3806763126857)</f>
        <v>47.38067631</v>
      </c>
    </row>
    <row r="401">
      <c r="A401" s="30" t="str">
        <f>IFERROR(__xludf.DUMMYFUNCTION("""COMPUTED_VALUE"""),"RSC005677")</f>
        <v>RSC005677</v>
      </c>
      <c r="B401" s="30" t="str">
        <f>IFERROR(__xludf.DUMMYFUNCTION("""COMPUTED_VALUE"""),"z2kay")</f>
        <v>z2kay</v>
      </c>
      <c r="C401" s="30" t="str">
        <f>IFERROR(__xludf.DUMMYFUNCTION("""COMPUTED_VALUE"""),"Rival")</f>
        <v>Rival</v>
      </c>
      <c r="D401" s="30" t="str">
        <f>IFERROR(__xludf.DUMMYFUNCTION("""COMPUTED_VALUE"""),"Hammerheads")</f>
        <v>Hammerheads</v>
      </c>
      <c r="E401" s="30" t="str">
        <f>IFERROR(__xludf.DUMMYFUNCTION("""COMPUTED_VALUE"""),"Shark Attack")</f>
        <v>Shark Attack</v>
      </c>
      <c r="F401" s="30" t="str">
        <f>IFERROR(__xludf.DUMMYFUNCTION("""COMPUTED_VALUE"""),"Solar")</f>
        <v>Solar</v>
      </c>
      <c r="G401" s="92">
        <f>IFERROR(__xludf.DUMMYFUNCTION("""COMPUTED_VALUE"""),69.81055411394304)</f>
        <v>69.81055411</v>
      </c>
    </row>
    <row r="402">
      <c r="A402" s="30" t="str">
        <f>IFERROR(__xludf.DUMMYFUNCTION("""COMPUTED_VALUE"""),"RSC005482")</f>
        <v>RSC005482</v>
      </c>
      <c r="B402" s="30" t="str">
        <f>IFERROR(__xludf.DUMMYFUNCTION("""COMPUTED_VALUE"""),"Benny!")</f>
        <v>Benny!</v>
      </c>
      <c r="C402" s="30" t="str">
        <f>IFERROR(__xludf.DUMMYFUNCTION("""COMPUTED_VALUE"""),"Rival")</f>
        <v>Rival</v>
      </c>
      <c r="D402" s="30" t="str">
        <f>IFERROR(__xludf.DUMMYFUNCTION("""COMPUTED_VALUE"""),"Ocelots")</f>
        <v>Ocelots</v>
      </c>
      <c r="E402" s="30" t="str">
        <f>IFERROR(__xludf.DUMMYFUNCTION("""COMPUTED_VALUE"""),"The Jungle")</f>
        <v>The Jungle</v>
      </c>
      <c r="F402" s="30" t="str">
        <f>IFERROR(__xludf.DUMMYFUNCTION("""COMPUTED_VALUE"""),"Solar")</f>
        <v>Solar</v>
      </c>
      <c r="G402" s="92">
        <f>IFERROR(__xludf.DUMMYFUNCTION("""COMPUTED_VALUE"""),75.71273159011419)</f>
        <v>75.71273159</v>
      </c>
    </row>
    <row r="403">
      <c r="A403" s="30" t="str">
        <f>IFERROR(__xludf.DUMMYFUNCTION("""COMPUTED_VALUE"""),"RSC006654")</f>
        <v>RSC006654</v>
      </c>
      <c r="B403" s="30" t="str">
        <f>IFERROR(__xludf.DUMMYFUNCTION("""COMPUTED_VALUE"""),"Chicken")</f>
        <v>Chicken</v>
      </c>
      <c r="C403" s="30" t="str">
        <f>IFERROR(__xludf.DUMMYFUNCTION("""COMPUTED_VALUE"""),"Rival")</f>
        <v>Rival</v>
      </c>
      <c r="D403" s="30" t="str">
        <f>IFERROR(__xludf.DUMMYFUNCTION("""COMPUTED_VALUE"""),"Ocelots")</f>
        <v>Ocelots</v>
      </c>
      <c r="E403" s="30" t="str">
        <f>IFERROR(__xludf.DUMMYFUNCTION("""COMPUTED_VALUE"""),"The Jungle")</f>
        <v>The Jungle</v>
      </c>
      <c r="F403" s="30" t="str">
        <f>IFERROR(__xludf.DUMMYFUNCTION("""COMPUTED_VALUE"""),"Solar")</f>
        <v>Solar</v>
      </c>
      <c r="G403" s="92">
        <f>IFERROR(__xludf.DUMMYFUNCTION("""COMPUTED_VALUE"""),45.519385270421395)</f>
        <v>45.51938527</v>
      </c>
    </row>
    <row r="404">
      <c r="A404" s="30" t="str">
        <f>IFERROR(__xludf.DUMMYFUNCTION("""COMPUTED_VALUE"""),"RSC007937")</f>
        <v>RSC007937</v>
      </c>
      <c r="B404" s="30" t="str">
        <f>IFERROR(__xludf.DUMMYFUNCTION("""COMPUTED_VALUE"""),"Spidey")</f>
        <v>Spidey</v>
      </c>
      <c r="C404" s="30" t="str">
        <f>IFERROR(__xludf.DUMMYFUNCTION("""COMPUTED_VALUE"""),"Rival")</f>
        <v>Rival</v>
      </c>
      <c r="D404" s="30" t="str">
        <f>IFERROR(__xludf.DUMMYFUNCTION("""COMPUTED_VALUE"""),"Ocelots")</f>
        <v>Ocelots</v>
      </c>
      <c r="E404" s="30" t="str">
        <f>IFERROR(__xludf.DUMMYFUNCTION("""COMPUTED_VALUE"""),"The Jungle")</f>
        <v>The Jungle</v>
      </c>
      <c r="F404" s="30" t="str">
        <f>IFERROR(__xludf.DUMMYFUNCTION("""COMPUTED_VALUE"""),"Solar")</f>
        <v>Solar</v>
      </c>
      <c r="G404" s="92">
        <f>IFERROR(__xludf.DUMMYFUNCTION("""COMPUTED_VALUE"""),75.86883948466313)</f>
        <v>75.86883948</v>
      </c>
    </row>
    <row r="405">
      <c r="A405" s="30" t="str">
        <f>IFERROR(__xludf.DUMMYFUNCTION("""COMPUTED_VALUE"""),"RSC007799")</f>
        <v>RSC007799</v>
      </c>
      <c r="B405" s="30" t="str">
        <f>IFERROR(__xludf.DUMMYFUNCTION("""COMPUTED_VALUE"""),"DJstriker211")</f>
        <v>DJstriker211</v>
      </c>
      <c r="C405" s="30" t="str">
        <f>IFERROR(__xludf.DUMMYFUNCTION("""COMPUTED_VALUE"""),"Rival")</f>
        <v>Rival</v>
      </c>
      <c r="D405" s="30" t="str">
        <f>IFERROR(__xludf.DUMMYFUNCTION("""COMPUTED_VALUE"""),"Asiago Arsonists
50 Cent")</f>
        <v>Asiago Arsonists
50 Cent</v>
      </c>
      <c r="E405" s="30" t="str">
        <f>IFERROR(__xludf.DUMMYFUNCTION("""COMPUTED_VALUE"""),"Cheese Guild
Money Makers")</f>
        <v>Cheese Guild
Money Makers</v>
      </c>
      <c r="F405" s="30" t="str">
        <f>IFERROR(__xludf.DUMMYFUNCTION("""COMPUTED_VALUE"""),"Solar")</f>
        <v>Solar</v>
      </c>
      <c r="G405" s="92">
        <f>IFERROR(__xludf.DUMMYFUNCTION("""COMPUTED_VALUE"""),48.44566929827329)</f>
        <v>48.4456693</v>
      </c>
    </row>
    <row r="406">
      <c r="A406" s="30" t="str">
        <f>IFERROR(__xludf.DUMMYFUNCTION("""COMPUTED_VALUE"""),"RSC006944")</f>
        <v>RSC006944</v>
      </c>
      <c r="B406" s="30" t="str">
        <f>IFERROR(__xludf.DUMMYFUNCTION("""COMPUTED_VALUE"""),"Pr9xk")</f>
        <v>Pr9xk</v>
      </c>
      <c r="C406" s="30" t="str">
        <f>IFERROR(__xludf.DUMMYFUNCTION("""COMPUTED_VALUE"""),"Rival")</f>
        <v>Rival</v>
      </c>
      <c r="D406" s="30" t="str">
        <f>IFERROR(__xludf.DUMMYFUNCTION("""COMPUTED_VALUE"""),"Kitsune")</f>
        <v>Kitsune</v>
      </c>
      <c r="E406" s="30" t="str">
        <f>IFERROR(__xludf.DUMMYFUNCTION("""COMPUTED_VALUE"""),"The Shrine")</f>
        <v>The Shrine</v>
      </c>
      <c r="F406" s="30" t="str">
        <f>IFERROR(__xludf.DUMMYFUNCTION("""COMPUTED_VALUE"""),"Solar")</f>
        <v>Solar</v>
      </c>
      <c r="G406" s="92">
        <f>IFERROR(__xludf.DUMMYFUNCTION("""COMPUTED_VALUE"""),58.80432228957861)</f>
        <v>58.80432229</v>
      </c>
    </row>
    <row r="407">
      <c r="A407" s="30" t="str">
        <f>IFERROR(__xludf.DUMMYFUNCTION("""COMPUTED_VALUE"""),"RSC007186")</f>
        <v>RSC007186</v>
      </c>
      <c r="B407" s="30" t="str">
        <f>IFERROR(__xludf.DUMMYFUNCTION("""COMPUTED_VALUE"""),"Bushier Brow")</f>
        <v>Bushier Brow</v>
      </c>
      <c r="C407" s="30" t="str">
        <f>IFERROR(__xludf.DUMMYFUNCTION("""COMPUTED_VALUE"""),"Rival")</f>
        <v>Rival</v>
      </c>
      <c r="D407" s="30" t="str">
        <f>IFERROR(__xludf.DUMMYFUNCTION("""COMPUTED_VALUE"""),"Hot Wings")</f>
        <v>Hot Wings</v>
      </c>
      <c r="E407" s="30" t="str">
        <f>IFERROR(__xludf.DUMMYFUNCTION("""COMPUTED_VALUE"""),"Fifty-Fifty Pizzeria")</f>
        <v>Fifty-Fifty Pizzeria</v>
      </c>
      <c r="F407" s="30" t="str">
        <f>IFERROR(__xludf.DUMMYFUNCTION("""COMPUTED_VALUE"""),"Lunar")</f>
        <v>Lunar</v>
      </c>
      <c r="G407" s="92">
        <f>IFERROR(__xludf.DUMMYFUNCTION("""COMPUTED_VALUE"""),46.21915857185293)</f>
        <v>46.21915857</v>
      </c>
    </row>
    <row r="408">
      <c r="A408" s="30" t="str">
        <f>IFERROR(__xludf.DUMMYFUNCTION("""COMPUTED_VALUE"""),"RSC005691")</f>
        <v>RSC005691</v>
      </c>
      <c r="B408" s="30" t="str">
        <f>IFERROR(__xludf.DUMMYFUNCTION("""COMPUTED_VALUE"""),"Dr.Ukulele")</f>
        <v>Dr.Ukulele</v>
      </c>
      <c r="C408" s="30" t="str">
        <f>IFERROR(__xludf.DUMMYFUNCTION("""COMPUTED_VALUE"""),"Rival")</f>
        <v>Rival</v>
      </c>
      <c r="D408" s="30" t="str">
        <f>IFERROR(__xludf.DUMMYFUNCTION("""COMPUTED_VALUE"""),"Hot Wings")</f>
        <v>Hot Wings</v>
      </c>
      <c r="E408" s="30" t="str">
        <f>IFERROR(__xludf.DUMMYFUNCTION("""COMPUTED_VALUE"""),"Fifty-Fifty Pizzeria")</f>
        <v>Fifty-Fifty Pizzeria</v>
      </c>
      <c r="F408" s="30" t="str">
        <f>IFERROR(__xludf.DUMMYFUNCTION("""COMPUTED_VALUE"""),"Lunar")</f>
        <v>Lunar</v>
      </c>
      <c r="G408" s="92">
        <f>IFERROR(__xludf.DUMMYFUNCTION("""COMPUTED_VALUE"""),55.0388779304132)</f>
        <v>55.03887793</v>
      </c>
    </row>
    <row r="409">
      <c r="A409" s="30" t="str">
        <f>IFERROR(__xludf.DUMMYFUNCTION("""COMPUTED_VALUE"""),"RSC005834")</f>
        <v>RSC005834</v>
      </c>
      <c r="B409" s="30" t="str">
        <f>IFERROR(__xludf.DUMMYFUNCTION("""COMPUTED_VALUE"""),"IIIYummyIII")</f>
        <v>IIIYummyIII</v>
      </c>
      <c r="C409" s="30" t="str">
        <f>IFERROR(__xludf.DUMMYFUNCTION("""COMPUTED_VALUE"""),"Rival")</f>
        <v>Rival</v>
      </c>
      <c r="D409" s="30" t="str">
        <f>IFERROR(__xludf.DUMMYFUNCTION("""COMPUTED_VALUE"""),"Hot Wings")</f>
        <v>Hot Wings</v>
      </c>
      <c r="E409" s="30" t="str">
        <f>IFERROR(__xludf.DUMMYFUNCTION("""COMPUTED_VALUE"""),"Fifty-Fifty Pizzeria")</f>
        <v>Fifty-Fifty Pizzeria</v>
      </c>
      <c r="F409" s="30" t="str">
        <f>IFERROR(__xludf.DUMMYFUNCTION("""COMPUTED_VALUE"""),"Lunar")</f>
        <v>Lunar</v>
      </c>
      <c r="G409" s="92">
        <f>IFERROR(__xludf.DUMMYFUNCTION("""COMPUTED_VALUE"""),60.12930975113957)</f>
        <v>60.12930975</v>
      </c>
    </row>
    <row r="410">
      <c r="A410" s="30" t="str">
        <f>IFERROR(__xludf.DUMMYFUNCTION("""COMPUTED_VALUE"""),"RSC007057")</f>
        <v>RSC007057</v>
      </c>
      <c r="B410" s="30" t="str">
        <f>IFERROR(__xludf.DUMMYFUNCTION("""COMPUTED_VALUE"""),"sinoda_20")</f>
        <v>sinoda_20</v>
      </c>
      <c r="C410" s="30" t="str">
        <f>IFERROR(__xludf.DUMMYFUNCTION("""COMPUTED_VALUE"""),"Rival")</f>
        <v>Rival</v>
      </c>
      <c r="D410" s="30" t="str">
        <f>IFERROR(__xludf.DUMMYFUNCTION("""COMPUTED_VALUE"""),"Nightfall")</f>
        <v>Nightfall</v>
      </c>
      <c r="E410" s="30" t="str">
        <f>IFERROR(__xludf.DUMMYFUNCTION("""COMPUTED_VALUE"""),"The Shadows")</f>
        <v>The Shadows</v>
      </c>
      <c r="F410" s="30" t="str">
        <f>IFERROR(__xludf.DUMMYFUNCTION("""COMPUTED_VALUE"""),"Lunar")</f>
        <v>Lunar</v>
      </c>
      <c r="G410" s="92">
        <f>IFERROR(__xludf.DUMMYFUNCTION("""COMPUTED_VALUE"""),51.05526039388043)</f>
        <v>51.05526039</v>
      </c>
    </row>
    <row r="411">
      <c r="A411" s="30" t="str">
        <f>IFERROR(__xludf.DUMMYFUNCTION("""COMPUTED_VALUE"""),"RSC004545")</f>
        <v>RSC004545</v>
      </c>
      <c r="B411" s="30" t="str">
        <f>IFERROR(__xludf.DUMMYFUNCTION("""COMPUTED_VALUE"""),"Vires")</f>
        <v>Vires</v>
      </c>
      <c r="C411" s="30" t="str">
        <f>IFERROR(__xludf.DUMMYFUNCTION("""COMPUTED_VALUE"""),"Rival")</f>
        <v>Rival</v>
      </c>
      <c r="D411" s="30" t="str">
        <f>IFERROR(__xludf.DUMMYFUNCTION("""COMPUTED_VALUE"""),"Nightfall")</f>
        <v>Nightfall</v>
      </c>
      <c r="E411" s="30" t="str">
        <f>IFERROR(__xludf.DUMMYFUNCTION("""COMPUTED_VALUE"""),"The Shadows")</f>
        <v>The Shadows</v>
      </c>
      <c r="F411" s="30" t="str">
        <f>IFERROR(__xludf.DUMMYFUNCTION("""COMPUTED_VALUE"""),"Lunar")</f>
        <v>Lunar</v>
      </c>
      <c r="G411" s="92">
        <f>IFERROR(__xludf.DUMMYFUNCTION("""COMPUTED_VALUE"""),44.98521861768663)</f>
        <v>44.98521862</v>
      </c>
    </row>
    <row r="412">
      <c r="A412" s="30" t="str">
        <f>IFERROR(__xludf.DUMMYFUNCTION("""COMPUTED_VALUE"""),"RSC005959")</f>
        <v>RSC005959</v>
      </c>
      <c r="B412" s="30" t="str">
        <f>IFERROR(__xludf.DUMMYFUNCTION("""COMPUTED_VALUE"""),"Yurrbo?")</f>
        <v>Yurrbo?</v>
      </c>
      <c r="C412" s="30" t="str">
        <f>IFERROR(__xludf.DUMMYFUNCTION("""COMPUTED_VALUE"""),"Rival")</f>
        <v>Rival</v>
      </c>
      <c r="D412" s="30" t="str">
        <f>IFERROR(__xludf.DUMMYFUNCTION("""COMPUTED_VALUE"""),"Nightfall")</f>
        <v>Nightfall</v>
      </c>
      <c r="E412" s="30" t="str">
        <f>IFERROR(__xludf.DUMMYFUNCTION("""COMPUTED_VALUE"""),"The Shadows")</f>
        <v>The Shadows</v>
      </c>
      <c r="F412" s="30" t="str">
        <f>IFERROR(__xludf.DUMMYFUNCTION("""COMPUTED_VALUE"""),"Lunar")</f>
        <v>Lunar</v>
      </c>
      <c r="G412" s="92">
        <f>IFERROR(__xludf.DUMMYFUNCTION("""COMPUTED_VALUE"""),52.10724919472005)</f>
        <v>52.10724919</v>
      </c>
    </row>
    <row r="413">
      <c r="A413" s="30" t="str">
        <f>IFERROR(__xludf.DUMMYFUNCTION("""COMPUTED_VALUE"""),"RSC007861")</f>
        <v>RSC007861</v>
      </c>
      <c r="B413" s="30" t="str">
        <f>IFERROR(__xludf.DUMMYFUNCTION("""COMPUTED_VALUE"""),"xmanyaknow")</f>
        <v>xmanyaknow</v>
      </c>
      <c r="C413" s="30" t="str">
        <f>IFERROR(__xludf.DUMMYFUNCTION("""COMPUTED_VALUE"""),"Rival")</f>
        <v>Rival</v>
      </c>
      <c r="D413" s="30" t="str">
        <f>IFERROR(__xludf.DUMMYFUNCTION("""COMPUTED_VALUE"""),"Phantoms")</f>
        <v>Phantoms</v>
      </c>
      <c r="E413" s="30" t="str">
        <f>IFERROR(__xludf.DUMMYFUNCTION("""COMPUTED_VALUE"""),"The Monster Mash")</f>
        <v>The Monster Mash</v>
      </c>
      <c r="F413" s="30" t="str">
        <f>IFERROR(__xludf.DUMMYFUNCTION("""COMPUTED_VALUE"""),"Lunar")</f>
        <v>Lunar</v>
      </c>
      <c r="G413" s="92">
        <f>IFERROR(__xludf.DUMMYFUNCTION("""COMPUTED_VALUE"""),35.95272654565308)</f>
        <v>35.95272655</v>
      </c>
    </row>
    <row r="414">
      <c r="A414" s="30" t="str">
        <f>IFERROR(__xludf.DUMMYFUNCTION("""COMPUTED_VALUE"""),"RSC007555")</f>
        <v>RSC007555</v>
      </c>
      <c r="B414" s="30" t="str">
        <f>IFERROR(__xludf.DUMMYFUNCTION("""COMPUTED_VALUE"""),"cjAstr0-")</f>
        <v>cjAstr0-</v>
      </c>
      <c r="C414" s="30" t="str">
        <f>IFERROR(__xludf.DUMMYFUNCTION("""COMPUTED_VALUE"""),"Rival")</f>
        <v>Rival</v>
      </c>
      <c r="D414" s="30" t="str">
        <f>IFERROR(__xludf.DUMMYFUNCTION("""COMPUTED_VALUE"""),"Asiago Arsonists
Stolen")</f>
        <v>Asiago Arsonists
Stolen</v>
      </c>
      <c r="E414" s="30" t="str">
        <f>IFERROR(__xludf.DUMMYFUNCTION("""COMPUTED_VALUE"""),"Cheese Guild
The Hood")</f>
        <v>Cheese Guild
The Hood</v>
      </c>
      <c r="F414" s="30" t="str">
        <f>IFERROR(__xludf.DUMMYFUNCTION("""COMPUTED_VALUE"""),"Lunar")</f>
        <v>Lunar</v>
      </c>
      <c r="G414" s="92">
        <f>IFERROR(__xludf.DUMMYFUNCTION("""COMPUTED_VALUE"""),54.21393670005835)</f>
        <v>54.2139367</v>
      </c>
    </row>
    <row r="415">
      <c r="A415" s="30" t="str">
        <f>IFERROR(__xludf.DUMMYFUNCTION("""COMPUTED_VALUE"""),"RSC005628")</f>
        <v>RSC005628</v>
      </c>
      <c r="B415" s="30" t="str">
        <f>IFERROR(__xludf.DUMMYFUNCTION("""COMPUTED_VALUE"""),"I love sand")</f>
        <v>I love sand</v>
      </c>
      <c r="C415" s="30" t="str">
        <f>IFERROR(__xludf.DUMMYFUNCTION("""COMPUTED_VALUE"""),"Rival")</f>
        <v>Rival</v>
      </c>
      <c r="D415" s="30" t="str">
        <f>IFERROR(__xludf.DUMMYFUNCTION("""COMPUTED_VALUE"""),"Tyrants")</f>
        <v>Tyrants</v>
      </c>
      <c r="E415" s="30" t="str">
        <f>IFERROR(__xludf.DUMMYFUNCTION("""COMPUTED_VALUE"""),"Monarchy")</f>
        <v>Monarchy</v>
      </c>
      <c r="F415" s="30" t="str">
        <f>IFERROR(__xludf.DUMMYFUNCTION("""COMPUTED_VALUE"""),"Lunar")</f>
        <v>Lunar</v>
      </c>
      <c r="G415" s="92">
        <f>IFERROR(__xludf.DUMMYFUNCTION("""COMPUTED_VALUE"""),41.2715137533993)</f>
        <v>41.27151375</v>
      </c>
    </row>
    <row r="416">
      <c r="A416" s="30" t="str">
        <f>IFERROR(__xludf.DUMMYFUNCTION("""COMPUTED_VALUE"""),"RSC007132")</f>
        <v>RSC007132</v>
      </c>
      <c r="B416" s="30" t="str">
        <f>IFERROR(__xludf.DUMMYFUNCTION("""COMPUTED_VALUE"""),"yoyo")</f>
        <v>yoyo</v>
      </c>
      <c r="C416" s="30" t="str">
        <f>IFERROR(__xludf.DUMMYFUNCTION("""COMPUTED_VALUE"""),"Rival")</f>
        <v>Rival</v>
      </c>
      <c r="D416" s="30" t="str">
        <f>IFERROR(__xludf.DUMMYFUNCTION("""COMPUTED_VALUE"""),"Centuriones")</f>
        <v>Centuriones</v>
      </c>
      <c r="E416" s="30" t="str">
        <f>IFERROR(__xludf.DUMMYFUNCTION("""COMPUTED_VALUE"""),"The Sovereign")</f>
        <v>The Sovereign</v>
      </c>
      <c r="F416" s="30" t="str">
        <f>IFERROR(__xludf.DUMMYFUNCTION("""COMPUTED_VALUE"""),"Lunar")</f>
        <v>Lunar</v>
      </c>
      <c r="G416" s="92">
        <f>IFERROR(__xludf.DUMMYFUNCTION("""COMPUTED_VALUE"""),53.14051924947121)</f>
        <v>53.14051925</v>
      </c>
    </row>
    <row r="417">
      <c r="A417" s="30" t="str">
        <f>IFERROR(__xludf.DUMMYFUNCTION("""COMPUTED_VALUE"""),"RSC000737")</f>
        <v>RSC000737</v>
      </c>
      <c r="B417" s="30" t="str">
        <f>IFERROR(__xludf.DUMMYFUNCTION("""COMPUTED_VALUE"""),"AlienHealer")</f>
        <v>AlienHealer</v>
      </c>
      <c r="C417" s="30" t="str">
        <f>IFERROR(__xludf.DUMMYFUNCTION("""COMPUTED_VALUE"""),"Rival")</f>
        <v>Rival</v>
      </c>
      <c r="D417" s="30" t="str">
        <f>IFERROR(__xludf.DUMMYFUNCTION("""COMPUTED_VALUE"""),"Necrotic Nerds")</f>
        <v>Necrotic Nerds</v>
      </c>
      <c r="E417" s="30" t="str">
        <f>IFERROR(__xludf.DUMMYFUNCTION("""COMPUTED_VALUE"""),"Ghoul School")</f>
        <v>Ghoul School</v>
      </c>
      <c r="F417" s="30" t="str">
        <f>IFERROR(__xludf.DUMMYFUNCTION("""COMPUTED_VALUE"""),"Solar")</f>
        <v>Solar</v>
      </c>
      <c r="G417" s="92">
        <f>IFERROR(__xludf.DUMMYFUNCTION("""COMPUTED_VALUE"""),28.204091554363377)</f>
        <v>28.20409155</v>
      </c>
    </row>
    <row r="418">
      <c r="A418" s="30" t="str">
        <f>IFERROR(__xludf.DUMMYFUNCTION("""COMPUTED_VALUE"""),"RSC007930")</f>
        <v>RSC007930</v>
      </c>
      <c r="B418" s="30" t="str">
        <f>IFERROR(__xludf.DUMMYFUNCTION("""COMPUTED_VALUE"""),"Ziffy")</f>
        <v>Ziffy</v>
      </c>
      <c r="C418" s="30" t="str">
        <f>IFERROR(__xludf.DUMMYFUNCTION("""COMPUTED_VALUE"""),"Rival")</f>
        <v>Rival</v>
      </c>
      <c r="D418" s="30" t="str">
        <f>IFERROR(__xludf.DUMMYFUNCTION("""COMPUTED_VALUE"""),"50 Cent
Hot Wings")</f>
        <v>50 Cent
Hot Wings</v>
      </c>
      <c r="E418" s="30" t="str">
        <f>IFERROR(__xludf.DUMMYFUNCTION("""COMPUTED_VALUE"""),"Money Makers
Fifty-Fifty Pizzeria")</f>
        <v>Money Makers
Fifty-Fifty Pizzeria</v>
      </c>
      <c r="F418" s="30" t="str">
        <f>IFERROR(__xludf.DUMMYFUNCTION("""COMPUTED_VALUE"""),"Lunar")</f>
        <v>Lunar</v>
      </c>
      <c r="G418" s="92">
        <f>IFERROR(__xludf.DUMMYFUNCTION("""COMPUTED_VALUE"""),61.15211129967222)</f>
        <v>61.1521113</v>
      </c>
    </row>
    <row r="419">
      <c r="A419" s="30" t="str">
        <f>IFERROR(__xludf.DUMMYFUNCTION("""COMPUTED_VALUE"""),"RSC005832")</f>
        <v>RSC005832</v>
      </c>
      <c r="B419" s="30" t="str">
        <f>IFERROR(__xludf.DUMMYFUNCTION("""COMPUTED_VALUE"""),"TH4NA70S")</f>
        <v>TH4NA70S</v>
      </c>
      <c r="C419" s="30" t="str">
        <f>IFERROR(__xludf.DUMMYFUNCTION("""COMPUTED_VALUE"""),"Rival")</f>
        <v>Rival</v>
      </c>
      <c r="D419" s="30" t="str">
        <f>IFERROR(__xludf.DUMMYFUNCTION("""COMPUTED_VALUE"""),"Polar Ice
Quasars")</f>
        <v>Polar Ice
Quasars</v>
      </c>
      <c r="E419" s="30" t="str">
        <f>IFERROR(__xludf.DUMMYFUNCTION("""COMPUTED_VALUE"""),"Minty Fresh
The Cosmos")</f>
        <v>Minty Fresh
The Cosmos</v>
      </c>
      <c r="F419" s="30" t="str">
        <f>IFERROR(__xludf.DUMMYFUNCTION("""COMPUTED_VALUE"""),"Solar")</f>
        <v>Solar</v>
      </c>
      <c r="G419" s="92">
        <f>IFERROR(__xludf.DUMMYFUNCTION("""COMPUTED_VALUE"""),45.08037751834206)</f>
        <v>45.08037752</v>
      </c>
    </row>
    <row r="420">
      <c r="A420" s="30" t="str">
        <f>IFERROR(__xludf.DUMMYFUNCTION("""COMPUTED_VALUE"""),"RSC003718")</f>
        <v>RSC003718</v>
      </c>
      <c r="B420" s="30" t="str">
        <f>IFERROR(__xludf.DUMMYFUNCTION("""COMPUTED_VALUE"""),"Tbonelul")</f>
        <v>Tbonelul</v>
      </c>
      <c r="C420" s="30" t="str">
        <f>IFERROR(__xludf.DUMMYFUNCTION("""COMPUTED_VALUE"""),"Rival")</f>
        <v>Rival</v>
      </c>
      <c r="D420" s="30" t="str">
        <f>IFERROR(__xludf.DUMMYFUNCTION("""COMPUTED_VALUE"""),"Heavy Metal")</f>
        <v>Heavy Metal</v>
      </c>
      <c r="E420" s="30" t="str">
        <f>IFERROR(__xludf.DUMMYFUNCTION("""COMPUTED_VALUE"""),"The Pit")</f>
        <v>The Pit</v>
      </c>
      <c r="F420" s="30" t="str">
        <f>IFERROR(__xludf.DUMMYFUNCTION("""COMPUTED_VALUE"""),"Lunar")</f>
        <v>Lunar</v>
      </c>
      <c r="G420" s="92">
        <f>IFERROR(__xludf.DUMMYFUNCTION("""COMPUTED_VALUE"""),55.54525769274025)</f>
        <v>55.54525769</v>
      </c>
    </row>
    <row r="421">
      <c r="A421" s="30" t="str">
        <f>IFERROR(__xludf.DUMMYFUNCTION("""COMPUTED_VALUE"""),"RSC004586")</f>
        <v>RSC004586</v>
      </c>
      <c r="B421" s="30" t="str">
        <f>IFERROR(__xludf.DUMMYFUNCTION("""COMPUTED_VALUE"""),"Jaybeauh")</f>
        <v>Jaybeauh</v>
      </c>
      <c r="C421" s="30" t="str">
        <f>IFERROR(__xludf.DUMMYFUNCTION("""COMPUTED_VALUE"""),"Rival")</f>
        <v>Rival</v>
      </c>
      <c r="D421" s="30" t="str">
        <f>IFERROR(__xludf.DUMMYFUNCTION("""COMPUTED_VALUE"""),"Ion Imperial")</f>
        <v>Ion Imperial</v>
      </c>
      <c r="E421" s="30" t="str">
        <f>IFERROR(__xludf.DUMMYFUNCTION("""COMPUTED_VALUE"""),"5 O'clock Nowhere")</f>
        <v>5 O'clock Nowhere</v>
      </c>
      <c r="F421" s="30" t="str">
        <f>IFERROR(__xludf.DUMMYFUNCTION("""COMPUTED_VALUE"""),"Solar")</f>
        <v>Solar</v>
      </c>
      <c r="G421" s="92">
        <f>IFERROR(__xludf.DUMMYFUNCTION("""COMPUTED_VALUE"""),66.84692512983621)</f>
        <v>66.84692513</v>
      </c>
    </row>
    <row r="422">
      <c r="A422" s="30" t="str">
        <f>IFERROR(__xludf.DUMMYFUNCTION("""COMPUTED_VALUE"""),"RSC007582")</f>
        <v>RSC007582</v>
      </c>
      <c r="B422" s="30" t="str">
        <f>IFERROR(__xludf.DUMMYFUNCTION("""COMPUTED_VALUE"""),"Wavy")</f>
        <v>Wavy</v>
      </c>
      <c r="C422" s="30" t="str">
        <f>IFERROR(__xludf.DUMMYFUNCTION("""COMPUTED_VALUE"""),"Rival")</f>
        <v>Rival</v>
      </c>
      <c r="D422" s="30" t="str">
        <f>IFERROR(__xludf.DUMMYFUNCTION("""COMPUTED_VALUE"""),"Ocelots")</f>
        <v>Ocelots</v>
      </c>
      <c r="E422" s="30" t="str">
        <f>IFERROR(__xludf.DUMMYFUNCTION("""COMPUTED_VALUE"""),"The Jungle")</f>
        <v>The Jungle</v>
      </c>
      <c r="F422" s="30" t="str">
        <f>IFERROR(__xludf.DUMMYFUNCTION("""COMPUTED_VALUE"""),"Solar")</f>
        <v>Solar</v>
      </c>
      <c r="G422" s="92">
        <f>IFERROR(__xludf.DUMMYFUNCTION("""COMPUTED_VALUE"""),35.67685337383261)</f>
        <v>35.67685337</v>
      </c>
    </row>
    <row r="423">
      <c r="A423" s="30" t="str">
        <f>IFERROR(__xludf.DUMMYFUNCTION("""COMPUTED_VALUE"""),"RSC007959")</f>
        <v>RSC007959</v>
      </c>
      <c r="B423" s="30" t="str">
        <f>IFERROR(__xludf.DUMMYFUNCTION("""COMPUTED_VALUE"""),"Cam")</f>
        <v>Cam</v>
      </c>
      <c r="C423" s="30" t="str">
        <f>IFERROR(__xludf.DUMMYFUNCTION("""COMPUTED_VALUE"""),"Rival")</f>
        <v>Rival</v>
      </c>
      <c r="D423" s="30" t="str">
        <f>IFERROR(__xludf.DUMMYFUNCTION("""COMPUTED_VALUE"""),"Mining Legion")</f>
        <v>Mining Legion</v>
      </c>
      <c r="E423" s="30" t="str">
        <f>IFERROR(__xludf.DUMMYFUNCTION("""COMPUTED_VALUE"""),"Dwarf Haven")</f>
        <v>Dwarf Haven</v>
      </c>
      <c r="F423" s="30" t="str">
        <f>IFERROR(__xludf.DUMMYFUNCTION("""COMPUTED_VALUE"""),"Solar")</f>
        <v>Solar</v>
      </c>
      <c r="G423" s="92">
        <f>IFERROR(__xludf.DUMMYFUNCTION("""COMPUTED_VALUE"""),61.5162182172774)</f>
        <v>61.51621822</v>
      </c>
    </row>
    <row r="424">
      <c r="A424" s="30" t="str">
        <f>IFERROR(__xludf.DUMMYFUNCTION("""COMPUTED_VALUE"""),"RSC003320")</f>
        <v>RSC003320</v>
      </c>
      <c r="B424" s="30" t="str">
        <f>IFERROR(__xludf.DUMMYFUNCTION("""COMPUTED_VALUE"""),"jojomojo13")</f>
        <v>jojomojo13</v>
      </c>
      <c r="C424" s="30" t="str">
        <f>IFERROR(__xludf.DUMMYFUNCTION("""COMPUTED_VALUE"""),"Rival")</f>
        <v>Rival</v>
      </c>
      <c r="D424" s="30" t="str">
        <f>IFERROR(__xludf.DUMMYFUNCTION("""COMPUTED_VALUE"""),"Dice")</f>
        <v>Dice</v>
      </c>
      <c r="E424" s="30" t="str">
        <f>IFERROR(__xludf.DUMMYFUNCTION("""COMPUTED_VALUE"""),"Never Lucky")</f>
        <v>Never Lucky</v>
      </c>
      <c r="F424" s="30" t="str">
        <f>IFERROR(__xludf.DUMMYFUNCTION("""COMPUTED_VALUE"""),"Lunar")</f>
        <v>Lunar</v>
      </c>
      <c r="G424" s="92">
        <f>IFERROR(__xludf.DUMMYFUNCTION("""COMPUTED_VALUE"""),46.923569280993604)</f>
        <v>46.92356928</v>
      </c>
    </row>
    <row r="425">
      <c r="A425" s="30" t="str">
        <f>IFERROR(__xludf.DUMMYFUNCTION("""COMPUTED_VALUE"""),"RSC006138")</f>
        <v>RSC006138</v>
      </c>
      <c r="B425" s="30" t="str">
        <f>IFERROR(__xludf.DUMMYFUNCTION("""COMPUTED_VALUE"""),"NekomancerKoral")</f>
        <v>NekomancerKoral</v>
      </c>
      <c r="C425" s="30" t="str">
        <f>IFERROR(__xludf.DUMMYFUNCTION("""COMPUTED_VALUE"""),"Rival")</f>
        <v>Rival</v>
      </c>
      <c r="D425" s="30" t="str">
        <f>IFERROR(__xludf.DUMMYFUNCTION("""COMPUTED_VALUE"""),"Jetstream")</f>
        <v>Jetstream</v>
      </c>
      <c r="E425" s="30" t="str">
        <f>IFERROR(__xludf.DUMMYFUNCTION("""COMPUTED_VALUE"""),"Remove Before Flight")</f>
        <v>Remove Before Flight</v>
      </c>
      <c r="F425" s="30" t="str">
        <f>IFERROR(__xludf.DUMMYFUNCTION("""COMPUTED_VALUE"""),"Lunar")</f>
        <v>Lunar</v>
      </c>
      <c r="G425" s="92">
        <f>IFERROR(__xludf.DUMMYFUNCTION("""COMPUTED_VALUE"""),40.63986105727044)</f>
        <v>40.63986106</v>
      </c>
    </row>
    <row r="426">
      <c r="A426" s="30" t="str">
        <f>IFERROR(__xludf.DUMMYFUNCTION("""COMPUTED_VALUE"""),"RSC006044")</f>
        <v>RSC006044</v>
      </c>
      <c r="B426" s="30" t="str">
        <f>IFERROR(__xludf.DUMMYFUNCTION("""COMPUTED_VALUE"""),"HybridParagon")</f>
        <v>HybridParagon</v>
      </c>
      <c r="C426" s="30" t="str">
        <f>IFERROR(__xludf.DUMMYFUNCTION("""COMPUTED_VALUE"""),"Rival")</f>
        <v>Rival</v>
      </c>
      <c r="D426" s="30" t="str">
        <f>IFERROR(__xludf.DUMMYFUNCTION("""COMPUTED_VALUE"""),"Necrotic Nerds")</f>
        <v>Necrotic Nerds</v>
      </c>
      <c r="E426" s="30" t="str">
        <f>IFERROR(__xludf.DUMMYFUNCTION("""COMPUTED_VALUE"""),"Ghoul School")</f>
        <v>Ghoul School</v>
      </c>
      <c r="F426" s="30" t="str">
        <f>IFERROR(__xludf.DUMMYFUNCTION("""COMPUTED_VALUE"""),"Solar")</f>
        <v>Solar</v>
      </c>
      <c r="G426" s="92">
        <f>IFERROR(__xludf.DUMMYFUNCTION("""COMPUTED_VALUE"""),14.894370442003762)</f>
        <v>14.89437044</v>
      </c>
    </row>
    <row r="427">
      <c r="A427" s="30" t="str">
        <f>IFERROR(__xludf.DUMMYFUNCTION("""COMPUTED_VALUE"""),"RSC007561")</f>
        <v>RSC007561</v>
      </c>
      <c r="B427" s="30" t="str">
        <f>IFERROR(__xludf.DUMMYFUNCTION("""COMPUTED_VALUE"""),"Grabbitzz")</f>
        <v>Grabbitzz</v>
      </c>
      <c r="C427" s="30" t="str">
        <f>IFERROR(__xludf.DUMMYFUNCTION("""COMPUTED_VALUE"""),"Rival")</f>
        <v>Rival</v>
      </c>
      <c r="D427" s="30" t="str">
        <f>IFERROR(__xludf.DUMMYFUNCTION("""COMPUTED_VALUE"""),"Polar Bears")</f>
        <v>Polar Bears</v>
      </c>
      <c r="E427" s="30" t="str">
        <f>IFERROR(__xludf.DUMMYFUNCTION("""COMPUTED_VALUE"""),"The Bear Den")</f>
        <v>The Bear Den</v>
      </c>
      <c r="F427" s="30" t="str">
        <f>IFERROR(__xludf.DUMMYFUNCTION("""COMPUTED_VALUE"""),"Lunar")</f>
        <v>Lunar</v>
      </c>
      <c r="G427" s="92">
        <f>IFERROR(__xludf.DUMMYFUNCTION("""COMPUTED_VALUE"""),41.39069158430372)</f>
        <v>41.39069158</v>
      </c>
    </row>
    <row r="428">
      <c r="A428" s="30" t="str">
        <f>IFERROR(__xludf.DUMMYFUNCTION("""COMPUTED_VALUE"""),"RSC007847")</f>
        <v>RSC007847</v>
      </c>
      <c r="B428" s="30" t="str">
        <f>IFERROR(__xludf.DUMMYFUNCTION("""COMPUTED_VALUE"""),"GoodGuyGlaz")</f>
        <v>GoodGuyGlaz</v>
      </c>
      <c r="C428" s="30" t="str">
        <f>IFERROR(__xludf.DUMMYFUNCTION("""COMPUTED_VALUE"""),"Rival")</f>
        <v>Rival</v>
      </c>
      <c r="D428" s="30" t="str">
        <f>IFERROR(__xludf.DUMMYFUNCTION("""COMPUTED_VALUE"""),"Ruthless Racket")</f>
        <v>Ruthless Racket</v>
      </c>
      <c r="E428" s="30" t="str">
        <f>IFERROR(__xludf.DUMMYFUNCTION("""COMPUTED_VALUE"""),"The Syndicate")</f>
        <v>The Syndicate</v>
      </c>
      <c r="F428" s="30" t="str">
        <f>IFERROR(__xludf.DUMMYFUNCTION("""COMPUTED_VALUE"""),"Lunar")</f>
        <v>Lunar</v>
      </c>
      <c r="G428" s="92">
        <f>IFERROR(__xludf.DUMMYFUNCTION("""COMPUTED_VALUE"""),19.31742303754371)</f>
        <v>19.31742304</v>
      </c>
    </row>
    <row r="429">
      <c r="A429" s="30" t="str">
        <f>IFERROR(__xludf.DUMMYFUNCTION("""COMPUTED_VALUE"""),"RSC007527")</f>
        <v>RSC007527</v>
      </c>
      <c r="B429" s="30" t="str">
        <f>IFERROR(__xludf.DUMMYFUNCTION("""COMPUTED_VALUE"""),"Yort")</f>
        <v>Yort</v>
      </c>
      <c r="C429" s="30" t="str">
        <f>IFERROR(__xludf.DUMMYFUNCTION("""COMPUTED_VALUE"""),"Rival")</f>
        <v>Rival</v>
      </c>
      <c r="D429" s="30" t="str">
        <f>IFERROR(__xludf.DUMMYFUNCTION("""COMPUTED_VALUE"""),"Dracos")</f>
        <v>Dracos</v>
      </c>
      <c r="E429" s="30" t="str">
        <f>IFERROR(__xludf.DUMMYFUNCTION("""COMPUTED_VALUE"""),"The Forest")</f>
        <v>The Forest</v>
      </c>
      <c r="F429" s="30" t="str">
        <f>IFERROR(__xludf.DUMMYFUNCTION("""COMPUTED_VALUE"""),"Solar")</f>
        <v>Solar</v>
      </c>
      <c r="G429" s="92">
        <f>IFERROR(__xludf.DUMMYFUNCTION("""COMPUTED_VALUE"""),47.7076947693033)</f>
        <v>47.70769477</v>
      </c>
    </row>
    <row r="430">
      <c r="A430" s="30" t="str">
        <f>IFERROR(__xludf.DUMMYFUNCTION("""COMPUTED_VALUE"""),"RSC006338")</f>
        <v>RSC006338</v>
      </c>
      <c r="B430" s="30" t="str">
        <f>IFERROR(__xludf.DUMMYFUNCTION("""COMPUTED_VALUE"""),"mykul.457")</f>
        <v>mykul.457</v>
      </c>
      <c r="C430" s="30" t="str">
        <f>IFERROR(__xludf.DUMMYFUNCTION("""COMPUTED_VALUE"""),"Rival")</f>
        <v>Rival</v>
      </c>
      <c r="D430" s="30" t="str">
        <f>IFERROR(__xludf.DUMMYFUNCTION("""COMPUTED_VALUE"""),"Hue Heroes")</f>
        <v>Hue Heroes</v>
      </c>
      <c r="E430" s="30" t="str">
        <f>IFERROR(__xludf.DUMMYFUNCTION("""COMPUTED_VALUE"""),"Art Club")</f>
        <v>Art Club</v>
      </c>
      <c r="F430" s="30" t="str">
        <f>IFERROR(__xludf.DUMMYFUNCTION("""COMPUTED_VALUE"""),"Solar")</f>
        <v>Solar</v>
      </c>
      <c r="G430" s="92">
        <f>IFERROR(__xludf.DUMMYFUNCTION("""COMPUTED_VALUE"""),66.88030958166516)</f>
        <v>66.88030958</v>
      </c>
    </row>
    <row r="431">
      <c r="A431" s="30" t="str">
        <f>IFERROR(__xludf.DUMMYFUNCTION("""COMPUTED_VALUE"""),"RSC006480")</f>
        <v>RSC006480</v>
      </c>
      <c r="B431" s="30" t="str">
        <f>IFERROR(__xludf.DUMMYFUNCTION("""COMPUTED_VALUE"""),"Lazyz.")</f>
        <v>Lazyz.</v>
      </c>
      <c r="C431" s="30" t="str">
        <f>IFERROR(__xludf.DUMMYFUNCTION("""COMPUTED_VALUE"""),"Rival")</f>
        <v>Rival</v>
      </c>
      <c r="D431" s="30" t="str">
        <f>IFERROR(__xludf.DUMMYFUNCTION("""COMPUTED_VALUE"""),"Dracos")</f>
        <v>Dracos</v>
      </c>
      <c r="E431" s="30" t="str">
        <f>IFERROR(__xludf.DUMMYFUNCTION("""COMPUTED_VALUE"""),"The Forest")</f>
        <v>The Forest</v>
      </c>
      <c r="F431" s="30" t="str">
        <f>IFERROR(__xludf.DUMMYFUNCTION("""COMPUTED_VALUE"""),"Solar")</f>
        <v>Solar</v>
      </c>
      <c r="G431" s="92">
        <f>IFERROR(__xludf.DUMMYFUNCTION("""COMPUTED_VALUE"""),59.91059568239085)</f>
        <v>59.91059568</v>
      </c>
    </row>
    <row r="432">
      <c r="A432" s="30" t="str">
        <f>IFERROR(__xludf.DUMMYFUNCTION("""COMPUTED_VALUE"""),"RSC005455")</f>
        <v>RSC005455</v>
      </c>
      <c r="B432" s="30" t="str">
        <f>IFERROR(__xludf.DUMMYFUNCTION("""COMPUTED_VALUE"""),"Covi")</f>
        <v>Covi</v>
      </c>
      <c r="C432" s="30" t="str">
        <f>IFERROR(__xludf.DUMMYFUNCTION("""COMPUTED_VALUE"""),"Rival")</f>
        <v>Rival</v>
      </c>
      <c r="D432" s="30" t="str">
        <f>IFERROR(__xludf.DUMMYFUNCTION("""COMPUTED_VALUE"""),"Hammerheads")</f>
        <v>Hammerheads</v>
      </c>
      <c r="E432" s="30" t="str">
        <f>IFERROR(__xludf.DUMMYFUNCTION("""COMPUTED_VALUE"""),"Shark Attack")</f>
        <v>Shark Attack</v>
      </c>
      <c r="F432" s="30" t="str">
        <f>IFERROR(__xludf.DUMMYFUNCTION("""COMPUTED_VALUE"""),"Solar")</f>
        <v>Solar</v>
      </c>
      <c r="G432" s="92">
        <f>IFERROR(__xludf.DUMMYFUNCTION("""COMPUTED_VALUE"""),40.380777413274345)</f>
        <v>40.38077741</v>
      </c>
    </row>
    <row r="433">
      <c r="A433" s="30" t="str">
        <f>IFERROR(__xludf.DUMMYFUNCTION("""COMPUTED_VALUE"""),"RSC000828")</f>
        <v>RSC000828</v>
      </c>
      <c r="B433" s="30" t="str">
        <f>IFERROR(__xludf.DUMMYFUNCTION("""COMPUTED_VALUE"""),"MattViaAirwaves")</f>
        <v>MattViaAirwaves</v>
      </c>
      <c r="C433" s="30" t="str">
        <f>IFERROR(__xludf.DUMMYFUNCTION("""COMPUTED_VALUE"""),"Rival")</f>
        <v>Rival</v>
      </c>
      <c r="D433" s="30" t="str">
        <f>IFERROR(__xludf.DUMMYFUNCTION("""COMPUTED_VALUE"""),"Polar Ice")</f>
        <v>Polar Ice</v>
      </c>
      <c r="E433" s="30" t="str">
        <f>IFERROR(__xludf.DUMMYFUNCTION("""COMPUTED_VALUE"""),"Minty Fresh")</f>
        <v>Minty Fresh</v>
      </c>
      <c r="F433" s="30" t="str">
        <f>IFERROR(__xludf.DUMMYFUNCTION("""COMPUTED_VALUE"""),"Solar")</f>
        <v>Solar</v>
      </c>
      <c r="G433" s="92">
        <f>IFERROR(__xludf.DUMMYFUNCTION("""COMPUTED_VALUE"""),36.73086997900777)</f>
        <v>36.73086998</v>
      </c>
    </row>
    <row r="434">
      <c r="A434" s="30" t="str">
        <f>IFERROR(__xludf.DUMMYFUNCTION("""COMPUTED_VALUE"""),"RSC000726")</f>
        <v>RSC000726</v>
      </c>
      <c r="B434" s="30" t="str">
        <f>IFERROR(__xludf.DUMMYFUNCTION("""COMPUTED_VALUE"""),"Way2Luckee")</f>
        <v>Way2Luckee</v>
      </c>
      <c r="C434" s="30" t="str">
        <f>IFERROR(__xludf.DUMMYFUNCTION("""COMPUTED_VALUE"""),"Rival")</f>
        <v>Rival</v>
      </c>
      <c r="D434" s="30" t="str">
        <f>IFERROR(__xludf.DUMMYFUNCTION("""COMPUTED_VALUE"""),"Blizzards")</f>
        <v>Blizzards</v>
      </c>
      <c r="E434" s="30" t="str">
        <f>IFERROR(__xludf.DUMMYFUNCTION("""COMPUTED_VALUE"""),"Storm")</f>
        <v>Storm</v>
      </c>
      <c r="F434" s="30" t="str">
        <f>IFERROR(__xludf.DUMMYFUNCTION("""COMPUTED_VALUE"""),"Solar")</f>
        <v>Solar</v>
      </c>
      <c r="G434" s="92">
        <f>IFERROR(__xludf.DUMMYFUNCTION("""COMPUTED_VALUE"""),6.6038541844094)</f>
        <v>6.603854184</v>
      </c>
    </row>
    <row r="435">
      <c r="A435" s="30" t="str">
        <f>IFERROR(__xludf.DUMMYFUNCTION("""COMPUTED_VALUE"""),"RSC006372")</f>
        <v>RSC006372</v>
      </c>
      <c r="B435" s="30" t="str">
        <f>IFERROR(__xludf.DUMMYFUNCTION("""COMPUTED_VALUE"""),"x ARC Fives x")</f>
        <v>x ARC Fives x</v>
      </c>
      <c r="C435" s="30" t="str">
        <f>IFERROR(__xludf.DUMMYFUNCTION("""COMPUTED_VALUE"""),"Rival")</f>
        <v>Rival</v>
      </c>
      <c r="D435" s="30" t="str">
        <f>IFERROR(__xludf.DUMMYFUNCTION("""COMPUTED_VALUE"""),"Heavy Metal")</f>
        <v>Heavy Metal</v>
      </c>
      <c r="E435" s="30" t="str">
        <f>IFERROR(__xludf.DUMMYFUNCTION("""COMPUTED_VALUE"""),"The Pit")</f>
        <v>The Pit</v>
      </c>
      <c r="F435" s="30" t="str">
        <f>IFERROR(__xludf.DUMMYFUNCTION("""COMPUTED_VALUE"""),"Lunar")</f>
        <v>Lunar</v>
      </c>
      <c r="G435" s="92">
        <f>IFERROR(__xludf.DUMMYFUNCTION("""COMPUTED_VALUE"""),35.14704249818884)</f>
        <v>35.1470425</v>
      </c>
    </row>
    <row r="436">
      <c r="A436" s="30" t="str">
        <f>IFERROR(__xludf.DUMMYFUNCTION("""COMPUTED_VALUE"""),"RSC000111")</f>
        <v>RSC000111</v>
      </c>
      <c r="B436" s="30" t="str">
        <f>IFERROR(__xludf.DUMMYFUNCTION("""COMPUTED_VALUE"""),"Wheelchair {LFLegs}")</f>
        <v>Wheelchair {LFLegs}</v>
      </c>
      <c r="C436" s="30" t="str">
        <f>IFERROR(__xludf.DUMMYFUNCTION("""COMPUTED_VALUE"""),"Rival")</f>
        <v>Rival</v>
      </c>
      <c r="D436" s="30" t="str">
        <f>IFERROR(__xludf.DUMMYFUNCTION("""COMPUTED_VALUE"""),"Dice")</f>
        <v>Dice</v>
      </c>
      <c r="E436" s="30" t="str">
        <f>IFERROR(__xludf.DUMMYFUNCTION("""COMPUTED_VALUE"""),"Never Lucky")</f>
        <v>Never Lucky</v>
      </c>
      <c r="F436" s="30" t="str">
        <f>IFERROR(__xludf.DUMMYFUNCTION("""COMPUTED_VALUE"""),"Lunar")</f>
        <v>Lunar</v>
      </c>
      <c r="G436" s="92">
        <f>IFERROR(__xludf.DUMMYFUNCTION("""COMPUTED_VALUE"""),-27.440678086096426)</f>
        <v>-27.44067809</v>
      </c>
    </row>
    <row r="437">
      <c r="A437" s="30" t="str">
        <f>IFERROR(__xludf.DUMMYFUNCTION("""COMPUTED_VALUE"""),"RSC005699")</f>
        <v>RSC005699</v>
      </c>
      <c r="B437" s="30" t="str">
        <f>IFERROR(__xludf.DUMMYFUNCTION("""COMPUTED_VALUE"""),"masdhapotatoes")</f>
        <v>masdhapotatoes</v>
      </c>
      <c r="C437" s="30" t="str">
        <f>IFERROR(__xludf.DUMMYFUNCTION("""COMPUTED_VALUE"""),"Rival")</f>
        <v>Rival</v>
      </c>
      <c r="D437" s="30" t="str">
        <f>IFERROR(__xludf.DUMMYFUNCTION("""COMPUTED_VALUE"""),"Bulldozers")</f>
        <v>Bulldozers</v>
      </c>
      <c r="E437" s="30" t="str">
        <f>IFERROR(__xludf.DUMMYFUNCTION("""COMPUTED_VALUE"""),"Road Work Ahead")</f>
        <v>Road Work Ahead</v>
      </c>
      <c r="F437" s="30" t="str">
        <f>IFERROR(__xludf.DUMMYFUNCTION("""COMPUTED_VALUE"""),"Lunar")</f>
        <v>Lunar</v>
      </c>
      <c r="G437" s="92">
        <f>IFERROR(__xludf.DUMMYFUNCTION("""COMPUTED_VALUE"""),17.48276185213185)</f>
        <v>17.48276185</v>
      </c>
    </row>
    <row r="438">
      <c r="A438" s="30" t="str">
        <f>IFERROR(__xludf.DUMMYFUNCTION("""COMPUTED_VALUE"""),"RSC004790")</f>
        <v>RSC004790</v>
      </c>
      <c r="B438" s="30" t="str">
        <f>IFERROR(__xludf.DUMMYFUNCTION("""COMPUTED_VALUE"""),"TheFrostNL")</f>
        <v>TheFrostNL</v>
      </c>
      <c r="C438" s="30" t="str">
        <f>IFERROR(__xludf.DUMMYFUNCTION("""COMPUTED_VALUE"""),"Rival")</f>
        <v>Rival</v>
      </c>
      <c r="D438" s="30" t="str">
        <f>IFERROR(__xludf.DUMMYFUNCTION("""COMPUTED_VALUE"""),"Nightfall")</f>
        <v>Nightfall</v>
      </c>
      <c r="E438" s="30" t="str">
        <f>IFERROR(__xludf.DUMMYFUNCTION("""COMPUTED_VALUE"""),"The Shadows")</f>
        <v>The Shadows</v>
      </c>
      <c r="F438" s="30" t="str">
        <f>IFERROR(__xludf.DUMMYFUNCTION("""COMPUTED_VALUE"""),"Lunar")</f>
        <v>Lunar</v>
      </c>
      <c r="G438" s="92">
        <f>IFERROR(__xludf.DUMMYFUNCTION("""COMPUTED_VALUE"""),24.63428917737172)</f>
        <v>24.63428918</v>
      </c>
    </row>
    <row r="439">
      <c r="A439" s="30" t="str">
        <f>IFERROR(__xludf.DUMMYFUNCTION("""COMPUTED_VALUE"""),"RSC006774")</f>
        <v>RSC006774</v>
      </c>
      <c r="B439" s="30" t="str">
        <f>IFERROR(__xludf.DUMMYFUNCTION("""COMPUTED_VALUE"""),"JazzMagic.")</f>
        <v>JazzMagic.</v>
      </c>
      <c r="C439" s="30" t="str">
        <f>IFERROR(__xludf.DUMMYFUNCTION("""COMPUTED_VALUE"""),"Rival")</f>
        <v>Rival</v>
      </c>
      <c r="D439" s="30" t="str">
        <f>IFERROR(__xludf.DUMMYFUNCTION("""COMPUTED_VALUE"""),"Bulldozers
Hippos")</f>
        <v>Bulldozers
Hippos</v>
      </c>
      <c r="E439" s="30" t="str">
        <f>IFERROR(__xludf.DUMMYFUNCTION("""COMPUTED_VALUE"""),"Road Work Ahead
Safari")</f>
        <v>Road Work Ahead
Safari</v>
      </c>
      <c r="F439" s="30" t="str">
        <f>IFERROR(__xludf.DUMMYFUNCTION("""COMPUTED_VALUE"""),"Lunar")</f>
        <v>Lunar</v>
      </c>
      <c r="G439" s="92">
        <f>IFERROR(__xludf.DUMMYFUNCTION("""COMPUTED_VALUE"""),55.955039733688004)</f>
        <v>55.95503973</v>
      </c>
    </row>
    <row r="440">
      <c r="A440" s="30" t="str">
        <f>IFERROR(__xludf.DUMMYFUNCTION("""COMPUTED_VALUE"""),"RSC006664")</f>
        <v>RSC006664</v>
      </c>
      <c r="B440" s="30" t="str">
        <f>IFERROR(__xludf.DUMMYFUNCTION("""COMPUTED_VALUE"""),"Godless")</f>
        <v>Godless</v>
      </c>
      <c r="C440" s="30" t="str">
        <f>IFERROR(__xludf.DUMMYFUNCTION("""COMPUTED_VALUE"""),"Rival")</f>
        <v>Rival</v>
      </c>
      <c r="D440" s="30" t="str">
        <f>IFERROR(__xludf.DUMMYFUNCTION("""COMPUTED_VALUE"""),"Iris")</f>
        <v>Iris</v>
      </c>
      <c r="E440" s="30" t="str">
        <f>IFERROR(__xludf.DUMMYFUNCTION("""COMPUTED_VALUE"""),"Flower Road")</f>
        <v>Flower Road</v>
      </c>
      <c r="F440" s="30" t="str">
        <f>IFERROR(__xludf.DUMMYFUNCTION("""COMPUTED_VALUE"""),"Lunar")</f>
        <v>Lunar</v>
      </c>
      <c r="G440" s="92">
        <f>IFERROR(__xludf.DUMMYFUNCTION("""COMPUTED_VALUE"""),66.6799254598503)</f>
        <v>66.67992546</v>
      </c>
    </row>
    <row r="441">
      <c r="A441" s="30" t="str">
        <f>IFERROR(__xludf.DUMMYFUNCTION("""COMPUTED_VALUE"""),"RSC003900")</f>
        <v>RSC003900</v>
      </c>
      <c r="B441" s="30" t="str">
        <f>IFERROR(__xludf.DUMMYFUNCTION("""COMPUTED_VALUE"""),"Tryhard goblin")</f>
        <v>Tryhard goblin</v>
      </c>
      <c r="C441" s="30" t="str">
        <f>IFERROR(__xludf.DUMMYFUNCTION("""COMPUTED_VALUE"""),"Rival")</f>
        <v>Rival</v>
      </c>
      <c r="D441" s="30" t="str">
        <f>IFERROR(__xludf.DUMMYFUNCTION("""COMPUTED_VALUE"""),"Phantoms")</f>
        <v>Phantoms</v>
      </c>
      <c r="E441" s="30" t="str">
        <f>IFERROR(__xludf.DUMMYFUNCTION("""COMPUTED_VALUE"""),"The Monster Mash")</f>
        <v>The Monster Mash</v>
      </c>
      <c r="F441" s="30" t="str">
        <f>IFERROR(__xludf.DUMMYFUNCTION("""COMPUTED_VALUE"""),"Lunar")</f>
        <v>Lunar</v>
      </c>
      <c r="G441" s="92">
        <f>IFERROR(__xludf.DUMMYFUNCTION("""COMPUTED_VALUE"""),16.898081042484456)</f>
        <v>16.89808104</v>
      </c>
    </row>
    <row r="442">
      <c r="A442" s="30" t="str">
        <f>IFERROR(__xludf.DUMMYFUNCTION("""COMPUTED_VALUE"""),"RSC000813")</f>
        <v>RSC000813</v>
      </c>
      <c r="B442" s="30" t="str">
        <f>IFERROR(__xludf.DUMMYFUNCTION("""COMPUTED_VALUE"""),"Ziggy.")</f>
        <v>Ziggy.</v>
      </c>
      <c r="C442" s="30" t="str">
        <f>IFERROR(__xludf.DUMMYFUNCTION("""COMPUTED_VALUE"""),"Rival")</f>
        <v>Rival</v>
      </c>
      <c r="D442" s="30" t="str">
        <f>IFERROR(__xludf.DUMMYFUNCTION("""COMPUTED_VALUE"""),"Dice")</f>
        <v>Dice</v>
      </c>
      <c r="E442" s="30" t="str">
        <f>IFERROR(__xludf.DUMMYFUNCTION("""COMPUTED_VALUE"""),"Never Lucky")</f>
        <v>Never Lucky</v>
      </c>
      <c r="F442" s="30" t="str">
        <f>IFERROR(__xludf.DUMMYFUNCTION("""COMPUTED_VALUE"""),"Lunar")</f>
        <v>Lunar</v>
      </c>
      <c r="G442" s="92">
        <f>IFERROR(__xludf.DUMMYFUNCTION("""COMPUTED_VALUE"""),25.558024535228903)</f>
        <v>25.55802454</v>
      </c>
    </row>
    <row r="443">
      <c r="A443" s="30" t="str">
        <f>IFERROR(__xludf.DUMMYFUNCTION("""COMPUTED_VALUE"""),"RSC005314")</f>
        <v>RSC005314</v>
      </c>
      <c r="B443" s="30" t="str">
        <f>IFERROR(__xludf.DUMMYFUNCTION("""COMPUTED_VALUE"""),"daggumbigfeet")</f>
        <v>daggumbigfeet</v>
      </c>
      <c r="C443" s="30" t="str">
        <f>IFERROR(__xludf.DUMMYFUNCTION("""COMPUTED_VALUE"""),"Rival")</f>
        <v>Rival</v>
      </c>
      <c r="D443" s="30" t="str">
        <f>IFERROR(__xludf.DUMMYFUNCTION("""COMPUTED_VALUE"""),"Dice")</f>
        <v>Dice</v>
      </c>
      <c r="E443" s="30" t="str">
        <f>IFERROR(__xludf.DUMMYFUNCTION("""COMPUTED_VALUE"""),"Never Lucky")</f>
        <v>Never Lucky</v>
      </c>
      <c r="F443" s="30" t="str">
        <f>IFERROR(__xludf.DUMMYFUNCTION("""COMPUTED_VALUE"""),"Lunar")</f>
        <v>Lunar</v>
      </c>
      <c r="G443" s="92">
        <f>IFERROR(__xludf.DUMMYFUNCTION("""COMPUTED_VALUE"""),69.9941877359267)</f>
        <v>69.99418774</v>
      </c>
    </row>
    <row r="444">
      <c r="A444" s="30" t="str">
        <f>IFERROR(__xludf.DUMMYFUNCTION("""COMPUTED_VALUE"""),"RSC007173")</f>
        <v>RSC007173</v>
      </c>
      <c r="B444" s="30" t="str">
        <f>IFERROR(__xludf.DUMMYFUNCTION("""COMPUTED_VALUE"""),"mr_marino_")</f>
        <v>mr_marino_</v>
      </c>
      <c r="C444" s="30" t="str">
        <f>IFERROR(__xludf.DUMMYFUNCTION("""COMPUTED_VALUE"""),"Rival")</f>
        <v>Rival</v>
      </c>
      <c r="D444" s="30" t="str">
        <f>IFERROR(__xludf.DUMMYFUNCTION("""COMPUTED_VALUE"""),"Lacuna")</f>
        <v>Lacuna</v>
      </c>
      <c r="E444" s="30" t="str">
        <f>IFERROR(__xludf.DUMMYFUNCTION("""COMPUTED_VALUE"""),"Event Horizon")</f>
        <v>Event Horizon</v>
      </c>
      <c r="F444" s="30" t="str">
        <f>IFERROR(__xludf.DUMMYFUNCTION("""COMPUTED_VALUE"""),"Solar")</f>
        <v>Solar</v>
      </c>
      <c r="G444" s="92">
        <f>IFERROR(__xludf.DUMMYFUNCTION("""COMPUTED_VALUE"""),12.769234340637531)</f>
        <v>12.76923434</v>
      </c>
    </row>
    <row r="445">
      <c r="A445" s="30" t="str">
        <f>IFERROR(__xludf.DUMMYFUNCTION("""COMPUTED_VALUE"""),"RSC007906")</f>
        <v>RSC007906</v>
      </c>
      <c r="B445" s="30" t="str">
        <f>IFERROR(__xludf.DUMMYFUNCTION("""COMPUTED_VALUE"""),"Vaz1fyy-")</f>
        <v>Vaz1fyy-</v>
      </c>
      <c r="C445" s="30" t="str">
        <f>IFERROR(__xludf.DUMMYFUNCTION("""COMPUTED_VALUE"""),"Rival")</f>
        <v>Rival</v>
      </c>
      <c r="D445" s="30" t="str">
        <f>IFERROR(__xludf.DUMMYFUNCTION("""COMPUTED_VALUE"""),"Funk Hunks
Hue Heroes")</f>
        <v>Funk Hunks
Hue Heroes</v>
      </c>
      <c r="E445" s="30" t="str">
        <f>IFERROR(__xludf.DUMMYFUNCTION("""COMPUTED_VALUE"""),"Vibe Tribe
Art Club")</f>
        <v>Vibe Tribe
Art Club</v>
      </c>
      <c r="F445" s="30" t="str">
        <f>IFERROR(__xludf.DUMMYFUNCTION("""COMPUTED_VALUE"""),"Lunar")</f>
        <v>Lunar</v>
      </c>
      <c r="G445" s="92">
        <f>IFERROR(__xludf.DUMMYFUNCTION("""COMPUTED_VALUE"""),-12.413754104076133)</f>
        <v>-12.4137541</v>
      </c>
    </row>
    <row r="446">
      <c r="A446" s="30" t="str">
        <f>IFERROR(__xludf.DUMMYFUNCTION("""COMPUTED_VALUE"""),"RSC007213")</f>
        <v>RSC007213</v>
      </c>
      <c r="B446" s="30" t="str">
        <f>IFERROR(__xludf.DUMMYFUNCTION("""COMPUTED_VALUE"""),"Pythronex")</f>
        <v>Pythronex</v>
      </c>
      <c r="C446" s="30" t="str">
        <f>IFERROR(__xludf.DUMMYFUNCTION("""COMPUTED_VALUE"""),"Rival")</f>
        <v>Rival</v>
      </c>
      <c r="D446" s="30" t="str">
        <f>IFERROR(__xludf.DUMMYFUNCTION("""COMPUTED_VALUE"""),"Ruthless Racket
Hue Heroes")</f>
        <v>Ruthless Racket
Hue Heroes</v>
      </c>
      <c r="E446" s="30" t="str">
        <f>IFERROR(__xludf.DUMMYFUNCTION("""COMPUTED_VALUE"""),"The Syndicate
Art Club")</f>
        <v>The Syndicate
Art Club</v>
      </c>
      <c r="F446" s="30" t="str">
        <f>IFERROR(__xludf.DUMMYFUNCTION("""COMPUTED_VALUE"""),"Lunar")</f>
        <v>Lunar</v>
      </c>
      <c r="G446" s="92">
        <f>IFERROR(__xludf.DUMMYFUNCTION("""COMPUTED_VALUE"""),42.23856652064855)</f>
        <v>42.23856652</v>
      </c>
    </row>
    <row r="447">
      <c r="A447" s="30" t="str">
        <f>IFERROR(__xludf.DUMMYFUNCTION("""COMPUTED_VALUE"""),"RSC005513")</f>
        <v>RSC005513</v>
      </c>
      <c r="B447" s="30" t="str">
        <f>IFERROR(__xludf.DUMMYFUNCTION("""COMPUTED_VALUE"""),"TV_ImpactReapz")</f>
        <v>TV_ImpactReapz</v>
      </c>
      <c r="C447" s="30" t="str">
        <f>IFERROR(__xludf.DUMMYFUNCTION("""COMPUTED_VALUE"""),"Rival")</f>
        <v>Rival</v>
      </c>
      <c r="D447" s="30" t="str">
        <f>IFERROR(__xludf.DUMMYFUNCTION("""COMPUTED_VALUE"""),"Asiago Arsonists")</f>
        <v>Asiago Arsonists</v>
      </c>
      <c r="E447" s="30" t="str">
        <f>IFERROR(__xludf.DUMMYFUNCTION("""COMPUTED_VALUE"""),"Cheese Guild")</f>
        <v>Cheese Guild</v>
      </c>
      <c r="F447" s="30" t="str">
        <f>IFERROR(__xludf.DUMMYFUNCTION("""COMPUTED_VALUE"""),"Lunar")</f>
        <v>Lunar</v>
      </c>
      <c r="G447" s="92">
        <f>IFERROR(__xludf.DUMMYFUNCTION("""COMPUTED_VALUE"""),34.14523500771572)</f>
        <v>34.14523501</v>
      </c>
    </row>
    <row r="448">
      <c r="A448" s="30" t="str">
        <f>IFERROR(__xludf.DUMMYFUNCTION("""COMPUTED_VALUE"""),"RSC004365")</f>
        <v>RSC004365</v>
      </c>
      <c r="B448" s="30" t="str">
        <f>IFERROR(__xludf.DUMMYFUNCTION("""COMPUTED_VALUE"""),"Mattixbigs")</f>
        <v>Mattixbigs</v>
      </c>
      <c r="C448" s="30" t="str">
        <f>IFERROR(__xludf.DUMMYFUNCTION("""COMPUTED_VALUE"""),"Rival")</f>
        <v>Rival</v>
      </c>
      <c r="D448" s="30" t="str">
        <f>IFERROR(__xludf.DUMMYFUNCTION("""COMPUTED_VALUE"""),"Ostriches")</f>
        <v>Ostriches</v>
      </c>
      <c r="E448" s="30" t="str">
        <f>IFERROR(__xludf.DUMMYFUNCTION("""COMPUTED_VALUE"""),"Flightless Fowl")</f>
        <v>Flightless Fowl</v>
      </c>
      <c r="F448" s="30" t="str">
        <f>IFERROR(__xludf.DUMMYFUNCTION("""COMPUTED_VALUE"""),"Solar")</f>
        <v>Solar</v>
      </c>
      <c r="G448" s="92">
        <f>IFERROR(__xludf.DUMMYFUNCTION("""COMPUTED_VALUE"""),52.94442676984408)</f>
        <v>52.94442677</v>
      </c>
    </row>
    <row r="449">
      <c r="A449" s="30" t="str">
        <f>IFERROR(__xludf.DUMMYFUNCTION("""COMPUTED_VALUE"""),"RSC001032")</f>
        <v>RSC001032</v>
      </c>
      <c r="B449" s="30" t="str">
        <f>IFERROR(__xludf.DUMMYFUNCTION("""COMPUTED_VALUE"""),"JmE")</f>
        <v>JmE</v>
      </c>
      <c r="C449" s="30" t="str">
        <f>IFERROR(__xludf.DUMMYFUNCTION("""COMPUTED_VALUE"""),"Rival")</f>
        <v>Rival</v>
      </c>
      <c r="D449" s="30" t="str">
        <f>IFERROR(__xludf.DUMMYFUNCTION("""COMPUTED_VALUE"""),"Blizzards")</f>
        <v>Blizzards</v>
      </c>
      <c r="E449" s="30" t="str">
        <f>IFERROR(__xludf.DUMMYFUNCTION("""COMPUTED_VALUE"""),"Storm")</f>
        <v>Storm</v>
      </c>
      <c r="F449" s="30" t="str">
        <f>IFERROR(__xludf.DUMMYFUNCTION("""COMPUTED_VALUE"""),"Solar")</f>
        <v>Solar</v>
      </c>
      <c r="G449" s="92">
        <f>IFERROR(__xludf.DUMMYFUNCTION("""COMPUTED_VALUE"""),46.96601076161615)</f>
        <v>46.96601076</v>
      </c>
    </row>
    <row r="450">
      <c r="A450" s="30" t="str">
        <f>IFERROR(__xludf.DUMMYFUNCTION("""COMPUTED_VALUE"""),"RSC005493")</f>
        <v>RSC005493</v>
      </c>
      <c r="B450" s="30" t="str">
        <f>IFERROR(__xludf.DUMMYFUNCTION("""COMPUTED_VALUE"""),"NJ111_")</f>
        <v>NJ111_</v>
      </c>
      <c r="C450" s="30" t="str">
        <f>IFERROR(__xludf.DUMMYFUNCTION("""COMPUTED_VALUE"""),"Rival")</f>
        <v>Rival</v>
      </c>
      <c r="D450" s="30" t="str">
        <f>IFERROR(__xludf.DUMMYFUNCTION("""COMPUTED_VALUE"""),"Hammerheads")</f>
        <v>Hammerheads</v>
      </c>
      <c r="E450" s="30" t="str">
        <f>IFERROR(__xludf.DUMMYFUNCTION("""COMPUTED_VALUE"""),"Shark Attack")</f>
        <v>Shark Attack</v>
      </c>
      <c r="F450" s="30" t="str">
        <f>IFERROR(__xludf.DUMMYFUNCTION("""COMPUTED_VALUE"""),"Solar")</f>
        <v>Solar</v>
      </c>
      <c r="G450" s="92">
        <f>IFERROR(__xludf.DUMMYFUNCTION("""COMPUTED_VALUE"""),65.7639608919676)</f>
        <v>65.76396089</v>
      </c>
    </row>
    <row r="451">
      <c r="A451" s="30" t="str">
        <f>IFERROR(__xludf.DUMMYFUNCTION("""COMPUTED_VALUE"""),"RSC007222")</f>
        <v>RSC007222</v>
      </c>
      <c r="B451" s="30" t="str">
        <f>IFERROR(__xludf.DUMMYFUNCTION("""COMPUTED_VALUE"""),"S3EZ")</f>
        <v>S3EZ</v>
      </c>
      <c r="C451" s="30" t="str">
        <f>IFERROR(__xludf.DUMMYFUNCTION("""COMPUTED_VALUE"""),"Rival")</f>
        <v>Rival</v>
      </c>
      <c r="D451" s="30" t="str">
        <f>IFERROR(__xludf.DUMMYFUNCTION("""COMPUTED_VALUE"""),"Ostriches")</f>
        <v>Ostriches</v>
      </c>
      <c r="E451" s="30" t="str">
        <f>IFERROR(__xludf.DUMMYFUNCTION("""COMPUTED_VALUE"""),"Flightless Fowl")</f>
        <v>Flightless Fowl</v>
      </c>
      <c r="F451" s="30" t="str">
        <f>IFERROR(__xludf.DUMMYFUNCTION("""COMPUTED_VALUE"""),"Solar")</f>
        <v>Solar</v>
      </c>
      <c r="G451" s="92">
        <f>IFERROR(__xludf.DUMMYFUNCTION("""COMPUTED_VALUE"""),43.68243190036603)</f>
        <v>43.6824319</v>
      </c>
    </row>
    <row r="452">
      <c r="A452" s="30" t="str">
        <f>IFERROR(__xludf.DUMMYFUNCTION("""COMPUTED_VALUE"""),"RSC006177")</f>
        <v>RSC006177</v>
      </c>
      <c r="B452" s="30" t="str">
        <f>IFERROR(__xludf.DUMMYFUNCTION("""COMPUTED_VALUE"""),"Flyerrr85")</f>
        <v>Flyerrr85</v>
      </c>
      <c r="C452" s="30" t="str">
        <f>IFERROR(__xludf.DUMMYFUNCTION("""COMPUTED_VALUE"""),"Rival")</f>
        <v>Rival</v>
      </c>
      <c r="D452" s="30" t="str">
        <f>IFERROR(__xludf.DUMMYFUNCTION("""COMPUTED_VALUE"""),"Asiago Arsonists
Hue Heroes")</f>
        <v>Asiago Arsonists
Hue Heroes</v>
      </c>
      <c r="E452" s="30" t="str">
        <f>IFERROR(__xludf.DUMMYFUNCTION("""COMPUTED_VALUE"""),"Cheese Guild
Art Club")</f>
        <v>Cheese Guild
Art Club</v>
      </c>
      <c r="F452" s="30" t="str">
        <f>IFERROR(__xludf.DUMMYFUNCTION("""COMPUTED_VALUE"""),"Lunar")</f>
        <v>Lunar</v>
      </c>
      <c r="G452" s="92">
        <f>IFERROR(__xludf.DUMMYFUNCTION("""COMPUTED_VALUE"""),48.78878752256822)</f>
        <v>48.78878752</v>
      </c>
    </row>
    <row r="453">
      <c r="A453" s="30" t="str">
        <f>IFERROR(__xludf.DUMMYFUNCTION("""COMPUTED_VALUE"""),"RSC005978")</f>
        <v>RSC005978</v>
      </c>
      <c r="B453" s="30" t="str">
        <f>IFERROR(__xludf.DUMMYFUNCTION("""COMPUTED_VALUE"""),"xDraco0")</f>
        <v>xDraco0</v>
      </c>
      <c r="C453" s="30" t="str">
        <f>IFERROR(__xludf.DUMMYFUNCTION("""COMPUTED_VALUE"""),"Rival")</f>
        <v>Rival</v>
      </c>
      <c r="D453" s="30" t="str">
        <f>IFERROR(__xludf.DUMMYFUNCTION("""COMPUTED_VALUE"""),"Funk Hunks")</f>
        <v>Funk Hunks</v>
      </c>
      <c r="E453" s="30" t="str">
        <f>IFERROR(__xludf.DUMMYFUNCTION("""COMPUTED_VALUE"""),"Vibe Tribe")</f>
        <v>Vibe Tribe</v>
      </c>
      <c r="F453" s="30" t="str">
        <f>IFERROR(__xludf.DUMMYFUNCTION("""COMPUTED_VALUE"""),"Lunar")</f>
        <v>Lunar</v>
      </c>
      <c r="G453" s="92">
        <f>IFERROR(__xludf.DUMMYFUNCTION("""COMPUTED_VALUE"""),55.98598501083218)</f>
        <v>55.98598501</v>
      </c>
    </row>
    <row r="454">
      <c r="A454" s="30" t="str">
        <f>IFERROR(__xludf.DUMMYFUNCTION("""COMPUTED_VALUE"""),"RSC007774")</f>
        <v>RSC007774</v>
      </c>
      <c r="B454" s="30" t="str">
        <f>IFERROR(__xludf.DUMMYFUNCTION("""COMPUTED_VALUE"""),"Il Rogue lI")</f>
        <v>Il Rogue lI</v>
      </c>
      <c r="C454" s="30" t="str">
        <f>IFERROR(__xludf.DUMMYFUNCTION("""COMPUTED_VALUE"""),"Rival")</f>
        <v>Rival</v>
      </c>
      <c r="D454" s="30" t="str">
        <f>IFERROR(__xludf.DUMMYFUNCTION("""COMPUTED_VALUE"""),"Ruthless Racket")</f>
        <v>Ruthless Racket</v>
      </c>
      <c r="E454" s="30" t="str">
        <f>IFERROR(__xludf.DUMMYFUNCTION("""COMPUTED_VALUE"""),"The Syndicate")</f>
        <v>The Syndicate</v>
      </c>
      <c r="F454" s="30" t="str">
        <f>IFERROR(__xludf.DUMMYFUNCTION("""COMPUTED_VALUE"""),"Lunar")</f>
        <v>Lunar</v>
      </c>
      <c r="G454" s="92">
        <f>IFERROR(__xludf.DUMMYFUNCTION("""COMPUTED_VALUE"""),35.64341769411723)</f>
        <v>35.64341769</v>
      </c>
    </row>
    <row r="455">
      <c r="A455" s="30" t="str">
        <f>IFERROR(__xludf.DUMMYFUNCTION("""COMPUTED_VALUE"""),"RSC005077")</f>
        <v>RSC005077</v>
      </c>
      <c r="B455" s="30" t="str">
        <f>IFERROR(__xludf.DUMMYFUNCTION("""COMPUTED_VALUE"""),"kbm grifter")</f>
        <v>kbm grifter</v>
      </c>
      <c r="C455" s="30" t="str">
        <f>IFERROR(__xludf.DUMMYFUNCTION("""COMPUTED_VALUE"""),"Rival")</f>
        <v>Rival</v>
      </c>
      <c r="D455" s="30" t="str">
        <f>IFERROR(__xludf.DUMMYFUNCTION("""COMPUTED_VALUE"""),"Blizzards")</f>
        <v>Blizzards</v>
      </c>
      <c r="E455" s="30" t="str">
        <f>IFERROR(__xludf.DUMMYFUNCTION("""COMPUTED_VALUE"""),"Storm")</f>
        <v>Storm</v>
      </c>
      <c r="F455" s="30" t="str">
        <f>IFERROR(__xludf.DUMMYFUNCTION("""COMPUTED_VALUE"""),"Solar")</f>
        <v>Solar</v>
      </c>
      <c r="G455" s="92">
        <f>IFERROR(__xludf.DUMMYFUNCTION("""COMPUTED_VALUE"""),39.18395877024582)</f>
        <v>39.18395877</v>
      </c>
    </row>
    <row r="456">
      <c r="A456" s="30" t="str">
        <f>IFERROR(__xludf.DUMMYFUNCTION("""COMPUTED_VALUE"""),"RSC005328")</f>
        <v>RSC005328</v>
      </c>
      <c r="B456" s="30" t="str">
        <f>IFERROR(__xludf.DUMMYFUNCTION("""COMPUTED_VALUE"""),"Razor")</f>
        <v>Razor</v>
      </c>
      <c r="C456" s="30" t="str">
        <f>IFERROR(__xludf.DUMMYFUNCTION("""COMPUTED_VALUE"""),"Rival")</f>
        <v>Rival</v>
      </c>
      <c r="D456" s="30" t="str">
        <f>IFERROR(__xludf.DUMMYFUNCTION("""COMPUTED_VALUE"""),"Dice")</f>
        <v>Dice</v>
      </c>
      <c r="E456" s="30" t="str">
        <f>IFERROR(__xludf.DUMMYFUNCTION("""COMPUTED_VALUE"""),"Never Lucky")</f>
        <v>Never Lucky</v>
      </c>
      <c r="F456" s="30" t="str">
        <f>IFERROR(__xludf.DUMMYFUNCTION("""COMPUTED_VALUE"""),"Lunar")</f>
        <v>Lunar</v>
      </c>
      <c r="G456" s="92">
        <f>IFERROR(__xludf.DUMMYFUNCTION("""COMPUTED_VALUE"""),50.0406071879419)</f>
        <v>50.04060719</v>
      </c>
    </row>
    <row r="457">
      <c r="A457" s="30" t="str">
        <f>IFERROR(__xludf.DUMMYFUNCTION("""COMPUTED_VALUE"""),"RSC007823")</f>
        <v>RSC007823</v>
      </c>
      <c r="B457" s="30" t="str">
        <f>IFERROR(__xludf.DUMMYFUNCTION("""COMPUTED_VALUE"""),"watz")</f>
        <v>watz</v>
      </c>
      <c r="C457" s="30" t="str">
        <f>IFERROR(__xludf.DUMMYFUNCTION("""COMPUTED_VALUE"""),"Rival")</f>
        <v>Rival</v>
      </c>
      <c r="D457" s="30" t="str">
        <f>IFERROR(__xludf.DUMMYFUNCTION("""COMPUTED_VALUE"""),"Hue Heroes")</f>
        <v>Hue Heroes</v>
      </c>
      <c r="E457" s="30" t="str">
        <f>IFERROR(__xludf.DUMMYFUNCTION("""COMPUTED_VALUE"""),"Art Club")</f>
        <v>Art Club</v>
      </c>
      <c r="F457" s="30" t="str">
        <f>IFERROR(__xludf.DUMMYFUNCTION("""COMPUTED_VALUE"""),"Solar")</f>
        <v>Solar</v>
      </c>
      <c r="G457" s="92">
        <f>IFERROR(__xludf.DUMMYFUNCTION("""COMPUTED_VALUE"""),46.060971141777955)</f>
        <v>46.06097114</v>
      </c>
    </row>
    <row r="458">
      <c r="A458" s="30" t="str">
        <f>IFERROR(__xludf.DUMMYFUNCTION("""COMPUTED_VALUE"""),"RSC007549")</f>
        <v>RSC007549</v>
      </c>
      <c r="B458" s="30" t="str">
        <f>IFERROR(__xludf.DUMMYFUNCTION("""COMPUTED_VALUE"""),"Whiffy_RL")</f>
        <v>Whiffy_RL</v>
      </c>
      <c r="C458" s="30" t="str">
        <f>IFERROR(__xludf.DUMMYFUNCTION("""COMPUTED_VALUE"""),"Rival")</f>
        <v>Rival</v>
      </c>
      <c r="D458" s="30" t="str">
        <f>IFERROR(__xludf.DUMMYFUNCTION("""COMPUTED_VALUE"""),"Ruthless Racket")</f>
        <v>Ruthless Racket</v>
      </c>
      <c r="E458" s="30" t="str">
        <f>IFERROR(__xludf.DUMMYFUNCTION("""COMPUTED_VALUE"""),"The Syndicate")</f>
        <v>The Syndicate</v>
      </c>
      <c r="F458" s="30" t="str">
        <f>IFERROR(__xludf.DUMMYFUNCTION("""COMPUTED_VALUE"""),"Lunar")</f>
        <v>Lunar</v>
      </c>
      <c r="G458" s="92">
        <f>IFERROR(__xludf.DUMMYFUNCTION("""COMPUTED_VALUE"""),32.872054787191544)</f>
        <v>32.87205479</v>
      </c>
    </row>
    <row r="459">
      <c r="A459" s="30" t="str">
        <f>IFERROR(__xludf.DUMMYFUNCTION("""COMPUTED_VALUE"""),"RSC007035")</f>
        <v>RSC007035</v>
      </c>
      <c r="B459" s="30" t="str">
        <f>IFERROR(__xludf.DUMMYFUNCTION("""COMPUTED_VALUE"""),"itzsmurfyy")</f>
        <v>itzsmurfyy</v>
      </c>
      <c r="C459" s="30" t="str">
        <f>IFERROR(__xludf.DUMMYFUNCTION("""COMPUTED_VALUE"""),"Rival")</f>
        <v>Rival</v>
      </c>
      <c r="D459" s="30" t="str">
        <f>IFERROR(__xludf.DUMMYFUNCTION("""COMPUTED_VALUE"""),"Hue Heroes")</f>
        <v>Hue Heroes</v>
      </c>
      <c r="E459" s="30" t="str">
        <f>IFERROR(__xludf.DUMMYFUNCTION("""COMPUTED_VALUE"""),"Art Club")</f>
        <v>Art Club</v>
      </c>
      <c r="F459" s="30" t="str">
        <f>IFERROR(__xludf.DUMMYFUNCTION("""COMPUTED_VALUE"""),"Solar")</f>
        <v>Solar</v>
      </c>
      <c r="G459" s="92">
        <f>IFERROR(__xludf.DUMMYFUNCTION("""COMPUTED_VALUE"""),-13.35925662208625)</f>
        <v>-13.35925662</v>
      </c>
    </row>
    <row r="460">
      <c r="A460" s="30" t="str">
        <f>IFERROR(__xludf.DUMMYFUNCTION("""COMPUTED_VALUE"""),"RSC007154")</f>
        <v>RSC007154</v>
      </c>
      <c r="B460" s="30" t="str">
        <f>IFERROR(__xludf.DUMMYFUNCTION("""COMPUTED_VALUE"""),"TheBannGG")</f>
        <v>TheBannGG</v>
      </c>
      <c r="C460" s="30" t="str">
        <f>IFERROR(__xludf.DUMMYFUNCTION("""COMPUTED_VALUE"""),"Rival")</f>
        <v>Rival</v>
      </c>
      <c r="D460" s="30" t="str">
        <f>IFERROR(__xludf.DUMMYFUNCTION("""COMPUTED_VALUE"""),"Blizzards")</f>
        <v>Blizzards</v>
      </c>
      <c r="E460" s="30" t="str">
        <f>IFERROR(__xludf.DUMMYFUNCTION("""COMPUTED_VALUE"""),"Storm")</f>
        <v>Storm</v>
      </c>
      <c r="F460" s="30" t="str">
        <f>IFERROR(__xludf.DUMMYFUNCTION("""COMPUTED_VALUE"""),"Solar")</f>
        <v>Solar</v>
      </c>
      <c r="G460" s="92">
        <f>IFERROR(__xludf.DUMMYFUNCTION("""COMPUTED_VALUE"""),19.836845736953894)</f>
        <v>19.83684574</v>
      </c>
    </row>
    <row r="461">
      <c r="A461" s="30" t="str">
        <f>IFERROR(__xludf.DUMMYFUNCTION("""COMPUTED_VALUE"""),"RSC001091")</f>
        <v>RSC001091</v>
      </c>
      <c r="B461" s="30" t="str">
        <f>IFERROR(__xludf.DUMMYFUNCTION("""COMPUTED_VALUE"""),"stealthman777")</f>
        <v>stealthman777</v>
      </c>
      <c r="C461" s="30" t="str">
        <f>IFERROR(__xludf.DUMMYFUNCTION("""COMPUTED_VALUE"""),"Rival")</f>
        <v>Rival</v>
      </c>
      <c r="D461" s="30" t="str">
        <f>IFERROR(__xludf.DUMMYFUNCTION("""COMPUTED_VALUE"""),"Necrotic Nerds")</f>
        <v>Necrotic Nerds</v>
      </c>
      <c r="E461" s="30" t="str">
        <f>IFERROR(__xludf.DUMMYFUNCTION("""COMPUTED_VALUE"""),"Ghoul School")</f>
        <v>Ghoul School</v>
      </c>
      <c r="F461" s="30" t="str">
        <f>IFERROR(__xludf.DUMMYFUNCTION("""COMPUTED_VALUE"""),"Solar")</f>
        <v>Solar</v>
      </c>
      <c r="G461" s="92">
        <f>IFERROR(__xludf.DUMMYFUNCTION("""COMPUTED_VALUE"""),25.322339257517612)</f>
        <v>25.32233926</v>
      </c>
    </row>
    <row r="462">
      <c r="A462" s="30" t="str">
        <f>IFERROR(__xludf.DUMMYFUNCTION("""COMPUTED_VALUE"""),"RSC001720")</f>
        <v>RSC001720</v>
      </c>
      <c r="B462" s="30" t="str">
        <f>IFERROR(__xludf.DUMMYFUNCTION("""COMPUTED_VALUE"""),"SUPERDUPERBAM")</f>
        <v>SUPERDUPERBAM</v>
      </c>
      <c r="C462" s="30" t="str">
        <f>IFERROR(__xludf.DUMMYFUNCTION("""COMPUTED_VALUE"""),"Rival")</f>
        <v>Rival</v>
      </c>
      <c r="D462" s="30" t="str">
        <f>IFERROR(__xludf.DUMMYFUNCTION("""COMPUTED_VALUE"""),"Polar Bears")</f>
        <v>Polar Bears</v>
      </c>
      <c r="E462" s="30" t="str">
        <f>IFERROR(__xludf.DUMMYFUNCTION("""COMPUTED_VALUE"""),"The Bear Den")</f>
        <v>The Bear Den</v>
      </c>
      <c r="F462" s="30" t="str">
        <f>IFERROR(__xludf.DUMMYFUNCTION("""COMPUTED_VALUE"""),"Lunar")</f>
        <v>Lunar</v>
      </c>
      <c r="G462" s="92">
        <f>IFERROR(__xludf.DUMMYFUNCTION("""COMPUTED_VALUE"""),50.82434384205804)</f>
        <v>50.82434384</v>
      </c>
    </row>
    <row r="463">
      <c r="A463" s="30" t="str">
        <f>IFERROR(__xludf.DUMMYFUNCTION("""COMPUTED_VALUE"""),"RSC005294")</f>
        <v>RSC005294</v>
      </c>
      <c r="B463" s="30" t="str">
        <f>IFERROR(__xludf.DUMMYFUNCTION("""COMPUTED_VALUE"""),"mogulmaniac5480")</f>
        <v>mogulmaniac5480</v>
      </c>
      <c r="C463" s="30" t="str">
        <f>IFERROR(__xludf.DUMMYFUNCTION("""COMPUTED_VALUE"""),"Rival")</f>
        <v>Rival</v>
      </c>
      <c r="D463" s="30" t="str">
        <f>IFERROR(__xludf.DUMMYFUNCTION("""COMPUTED_VALUE"""),"Jetstream")</f>
        <v>Jetstream</v>
      </c>
      <c r="E463" s="30" t="str">
        <f>IFERROR(__xludf.DUMMYFUNCTION("""COMPUTED_VALUE"""),"Remove Before Flight")</f>
        <v>Remove Before Flight</v>
      </c>
      <c r="F463" s="30" t="str">
        <f>IFERROR(__xludf.DUMMYFUNCTION("""COMPUTED_VALUE"""),"Lunar")</f>
        <v>Lunar</v>
      </c>
      <c r="G463" s="92">
        <f>IFERROR(__xludf.DUMMYFUNCTION("""COMPUTED_VALUE"""),26.643731933602048)</f>
        <v>26.64373193</v>
      </c>
    </row>
    <row r="464">
      <c r="A464" s="30" t="str">
        <f>IFERROR(__xludf.DUMMYFUNCTION("""COMPUTED_VALUE"""),"RSC005035")</f>
        <v>RSC005035</v>
      </c>
      <c r="B464" s="30" t="str">
        <f>IFERROR(__xludf.DUMMYFUNCTION("""COMPUTED_VALUE"""),"Broskijazz")</f>
        <v>Broskijazz</v>
      </c>
      <c r="C464" s="30" t="str">
        <f>IFERROR(__xludf.DUMMYFUNCTION("""COMPUTED_VALUE"""),"Rival")</f>
        <v>Rival</v>
      </c>
      <c r="D464" s="30" t="str">
        <f>IFERROR(__xludf.DUMMYFUNCTION("""COMPUTED_VALUE"""),"Hot Wings")</f>
        <v>Hot Wings</v>
      </c>
      <c r="E464" s="30" t="str">
        <f>IFERROR(__xludf.DUMMYFUNCTION("""COMPUTED_VALUE"""),"Fifty-Fifty Pizzeria")</f>
        <v>Fifty-Fifty Pizzeria</v>
      </c>
      <c r="F464" s="30" t="str">
        <f>IFERROR(__xludf.DUMMYFUNCTION("""COMPUTED_VALUE"""),"Lunar")</f>
        <v>Lunar</v>
      </c>
      <c r="G464" s="92">
        <f>IFERROR(__xludf.DUMMYFUNCTION("""COMPUTED_VALUE"""),72.19483588906387)</f>
        <v>72.19483589</v>
      </c>
    </row>
    <row r="465">
      <c r="A465" s="30" t="str">
        <f>IFERROR(__xludf.DUMMYFUNCTION("""COMPUTED_VALUE"""),"RSC004640")</f>
        <v>RSC004640</v>
      </c>
      <c r="B465" s="30" t="str">
        <f>IFERROR(__xludf.DUMMYFUNCTION("""COMPUTED_VALUE"""),"tharealdub")</f>
        <v>tharealdub</v>
      </c>
      <c r="C465" s="30" t="str">
        <f>IFERROR(__xludf.DUMMYFUNCTION("""COMPUTED_VALUE"""),"Rival")</f>
        <v>Rival</v>
      </c>
      <c r="D465" s="30" t="str">
        <f>IFERROR(__xludf.DUMMYFUNCTION("""COMPUTED_VALUE"""),"Lacuna")</f>
        <v>Lacuna</v>
      </c>
      <c r="E465" s="30" t="str">
        <f>IFERROR(__xludf.DUMMYFUNCTION("""COMPUTED_VALUE"""),"Event Horizon")</f>
        <v>Event Horizon</v>
      </c>
      <c r="F465" s="30" t="str">
        <f>IFERROR(__xludf.DUMMYFUNCTION("""COMPUTED_VALUE"""),"Solar")</f>
        <v>Solar</v>
      </c>
      <c r="G465" s="92">
        <f>IFERROR(__xludf.DUMMYFUNCTION("""COMPUTED_VALUE"""),75.68600495398795)</f>
        <v>75.68600495</v>
      </c>
    </row>
    <row r="466">
      <c r="A466" s="30" t="str">
        <f>IFERROR(__xludf.DUMMYFUNCTION("""COMPUTED_VALUE"""),"RSC002413")</f>
        <v>RSC002413</v>
      </c>
      <c r="B466" s="30" t="str">
        <f>IFERROR(__xludf.DUMMYFUNCTION("""COMPUTED_VALUE"""),"dafiya711")</f>
        <v>dafiya711</v>
      </c>
      <c r="C466" s="30" t="str">
        <f>IFERROR(__xludf.DUMMYFUNCTION("""COMPUTED_VALUE"""),"Rival")</f>
        <v>Rival</v>
      </c>
      <c r="D466" s="30" t="str">
        <f>IFERROR(__xludf.DUMMYFUNCTION("""COMPUTED_VALUE"""),"Hippos")</f>
        <v>Hippos</v>
      </c>
      <c r="E466" s="30" t="str">
        <f>IFERROR(__xludf.DUMMYFUNCTION("""COMPUTED_VALUE"""),"Safari")</f>
        <v>Safari</v>
      </c>
      <c r="F466" s="30" t="str">
        <f>IFERROR(__xludf.DUMMYFUNCTION("""COMPUTED_VALUE"""),"Lunar")</f>
        <v>Lunar</v>
      </c>
      <c r="G466" s="92">
        <f>IFERROR(__xludf.DUMMYFUNCTION("""COMPUTED_VALUE"""),10.287245332596449)</f>
        <v>10.28724533</v>
      </c>
    </row>
    <row r="467">
      <c r="A467" s="30" t="str">
        <f>IFERROR(__xludf.DUMMYFUNCTION("""COMPUTED_VALUE"""),"RSC008045")</f>
        <v>RSC008045</v>
      </c>
      <c r="B467" s="30" t="str">
        <f>IFERROR(__xludf.DUMMYFUNCTION("""COMPUTED_VALUE"""),"Uncaringfool230")</f>
        <v>Uncaringfool230</v>
      </c>
      <c r="C467" s="30" t="str">
        <f>IFERROR(__xludf.DUMMYFUNCTION("""COMPUTED_VALUE"""),"Rival")</f>
        <v>Rival</v>
      </c>
      <c r="D467" s="30" t="str">
        <f>IFERROR(__xludf.DUMMYFUNCTION("""COMPUTED_VALUE"""),"Jetstream")</f>
        <v>Jetstream</v>
      </c>
      <c r="E467" s="30" t="str">
        <f>IFERROR(__xludf.DUMMYFUNCTION("""COMPUTED_VALUE"""),"Remove Before Flight")</f>
        <v>Remove Before Flight</v>
      </c>
      <c r="F467" s="30" t="str">
        <f>IFERROR(__xludf.DUMMYFUNCTION("""COMPUTED_VALUE"""),"Lunar")</f>
        <v>Lunar</v>
      </c>
      <c r="G467" s="92">
        <f>IFERROR(__xludf.DUMMYFUNCTION("""COMPUTED_VALUE"""),67.95050961177901)</f>
        <v>67.95050961</v>
      </c>
    </row>
    <row r="468">
      <c r="A468" s="30" t="str">
        <f>IFERROR(__xludf.DUMMYFUNCTION("""COMPUTED_VALUE"""),"RSC007568")</f>
        <v>RSC007568</v>
      </c>
      <c r="B468" s="30" t="str">
        <f>IFERROR(__xludf.DUMMYFUNCTION("""COMPUTED_VALUE"""),"Chills1912")</f>
        <v>Chills1912</v>
      </c>
      <c r="C468" s="30" t="str">
        <f>IFERROR(__xludf.DUMMYFUNCTION("""COMPUTED_VALUE"""),"Challenger")</f>
        <v>Challenger</v>
      </c>
      <c r="D468" s="30" t="str">
        <f>IFERROR(__xludf.DUMMYFUNCTION("""COMPUTED_VALUE"""),"Threshers")</f>
        <v>Threshers</v>
      </c>
      <c r="E468" s="30" t="str">
        <f>IFERROR(__xludf.DUMMYFUNCTION("""COMPUTED_VALUE"""),"Shark Attack")</f>
        <v>Shark Attack</v>
      </c>
      <c r="F468" s="30" t="str">
        <f>IFERROR(__xludf.DUMMYFUNCTION("""COMPUTED_VALUE"""),"Solar")</f>
        <v>Solar</v>
      </c>
      <c r="G468" s="92">
        <f>IFERROR(__xludf.DUMMYFUNCTION("""COMPUTED_VALUE"""),5.569782377872379)</f>
        <v>5.569782378</v>
      </c>
    </row>
    <row r="469">
      <c r="A469" s="30" t="str">
        <f>IFERROR(__xludf.DUMMYFUNCTION("""COMPUTED_VALUE"""),"RSC004844")</f>
        <v>RSC004844</v>
      </c>
      <c r="B469" s="30" t="str">
        <f>IFERROR(__xludf.DUMMYFUNCTION("""COMPUTED_VALUE"""),"Calicat01")</f>
        <v>Calicat01</v>
      </c>
      <c r="C469" s="30" t="str">
        <f>IFERROR(__xludf.DUMMYFUNCTION("""COMPUTED_VALUE"""),"Challenger")</f>
        <v>Challenger</v>
      </c>
      <c r="D469" s="30" t="str">
        <f>IFERROR(__xludf.DUMMYFUNCTION("""COMPUTED_VALUE"""),"Threshers")</f>
        <v>Threshers</v>
      </c>
      <c r="E469" s="30" t="str">
        <f>IFERROR(__xludf.DUMMYFUNCTION("""COMPUTED_VALUE"""),"Shark Attack")</f>
        <v>Shark Attack</v>
      </c>
      <c r="F469" s="30" t="str">
        <f>IFERROR(__xludf.DUMMYFUNCTION("""COMPUTED_VALUE"""),"Solar")</f>
        <v>Solar</v>
      </c>
      <c r="G469" s="92">
        <f>IFERROR(__xludf.DUMMYFUNCTION("""COMPUTED_VALUE"""),41.668125739064024)</f>
        <v>41.66812574</v>
      </c>
    </row>
    <row r="470">
      <c r="A470" s="30" t="str">
        <f>IFERROR(__xludf.DUMMYFUNCTION("""COMPUTED_VALUE"""),"RSC007457")</f>
        <v>RSC007457</v>
      </c>
      <c r="B470" s="30" t="str">
        <f>IFERROR(__xludf.DUMMYFUNCTION("""COMPUTED_VALUE"""),"Fyooze")</f>
        <v>Fyooze</v>
      </c>
      <c r="C470" s="30" t="str">
        <f>IFERROR(__xludf.DUMMYFUNCTION("""COMPUTED_VALUE"""),"Challenger")</f>
        <v>Challenger</v>
      </c>
      <c r="D470" s="30" t="str">
        <f>IFERROR(__xludf.DUMMYFUNCTION("""COMPUTED_VALUE"""),"Threshers")</f>
        <v>Threshers</v>
      </c>
      <c r="E470" s="30" t="str">
        <f>IFERROR(__xludf.DUMMYFUNCTION("""COMPUTED_VALUE"""),"Shark Attack")</f>
        <v>Shark Attack</v>
      </c>
      <c r="F470" s="30" t="str">
        <f>IFERROR(__xludf.DUMMYFUNCTION("""COMPUTED_VALUE"""),"Solar")</f>
        <v>Solar</v>
      </c>
      <c r="G470" s="92">
        <f>IFERROR(__xludf.DUMMYFUNCTION("""COMPUTED_VALUE"""),16.100512154103562)</f>
        <v>16.10051215</v>
      </c>
    </row>
    <row r="471">
      <c r="A471" s="30" t="str">
        <f>IFERROR(__xludf.DUMMYFUNCTION("""COMPUTED_VALUE"""),"RSC002427")</f>
        <v>RSC002427</v>
      </c>
      <c r="B471" s="30" t="str">
        <f>IFERROR(__xludf.DUMMYFUNCTION("""COMPUTED_VALUE"""),"Free.")</f>
        <v>Free.</v>
      </c>
      <c r="C471" s="30" t="str">
        <f>IFERROR(__xludf.DUMMYFUNCTION("""COMPUTED_VALUE"""),"Challenger")</f>
        <v>Challenger</v>
      </c>
      <c r="D471" s="30" t="str">
        <f>IFERROR(__xludf.DUMMYFUNCTION("""COMPUTED_VALUE"""),"Ryujin")</f>
        <v>Ryujin</v>
      </c>
      <c r="E471" s="30" t="str">
        <f>IFERROR(__xludf.DUMMYFUNCTION("""COMPUTED_VALUE"""),"The Shrine")</f>
        <v>The Shrine</v>
      </c>
      <c r="F471" s="30" t="str">
        <f>IFERROR(__xludf.DUMMYFUNCTION("""COMPUTED_VALUE"""),"Solar")</f>
        <v>Solar</v>
      </c>
      <c r="G471" s="92">
        <f>IFERROR(__xludf.DUMMYFUNCTION("""COMPUTED_VALUE"""),74.25058871046934)</f>
        <v>74.25058871</v>
      </c>
    </row>
    <row r="472">
      <c r="A472" s="30" t="str">
        <f>IFERROR(__xludf.DUMMYFUNCTION("""COMPUTED_VALUE"""),"RSC008000")</f>
        <v>RSC008000</v>
      </c>
      <c r="B472" s="30" t="str">
        <f>IFERROR(__xludf.DUMMYFUNCTION("""COMPUTED_VALUE"""),"ChefHoffy")</f>
        <v>ChefHoffy</v>
      </c>
      <c r="C472" s="30" t="str">
        <f>IFERROR(__xludf.DUMMYFUNCTION("""COMPUTED_VALUE"""),"Challenger")</f>
        <v>Challenger</v>
      </c>
      <c r="D472" s="30" t="str">
        <f>IFERROR(__xludf.DUMMYFUNCTION("""COMPUTED_VALUE"""),"Ryujin")</f>
        <v>Ryujin</v>
      </c>
      <c r="E472" s="30" t="str">
        <f>IFERROR(__xludf.DUMMYFUNCTION("""COMPUTED_VALUE"""),"The Shrine")</f>
        <v>The Shrine</v>
      </c>
      <c r="F472" s="30" t="str">
        <f>IFERROR(__xludf.DUMMYFUNCTION("""COMPUTED_VALUE"""),"Solar")</f>
        <v>Solar</v>
      </c>
      <c r="G472" s="92">
        <f>IFERROR(__xludf.DUMMYFUNCTION("""COMPUTED_VALUE"""),72.13381047735295)</f>
        <v>72.13381048</v>
      </c>
    </row>
    <row r="473">
      <c r="A473" s="30" t="str">
        <f>IFERROR(__xludf.DUMMYFUNCTION("""COMPUTED_VALUE"""),"RSC006017")</f>
        <v>RSC006017</v>
      </c>
      <c r="B473" s="30" t="str">
        <f>IFERROR(__xludf.DUMMYFUNCTION("""COMPUTED_VALUE"""),"Dondo RF")</f>
        <v>Dondo RF</v>
      </c>
      <c r="C473" s="30" t="str">
        <f>IFERROR(__xludf.DUMMYFUNCTION("""COMPUTED_VALUE"""),"Challenger")</f>
        <v>Challenger</v>
      </c>
      <c r="D473" s="30" t="str">
        <f>IFERROR(__xludf.DUMMYFUNCTION("""COMPUTED_VALUE"""),"Ryujin")</f>
        <v>Ryujin</v>
      </c>
      <c r="E473" s="30" t="str">
        <f>IFERROR(__xludf.DUMMYFUNCTION("""COMPUTED_VALUE"""),"The Shrine")</f>
        <v>The Shrine</v>
      </c>
      <c r="F473" s="30" t="str">
        <f>IFERROR(__xludf.DUMMYFUNCTION("""COMPUTED_VALUE"""),"Solar")</f>
        <v>Solar</v>
      </c>
      <c r="G473" s="92">
        <f>IFERROR(__xludf.DUMMYFUNCTION("""COMPUTED_VALUE"""),74.67739410713975)</f>
        <v>74.67739411</v>
      </c>
    </row>
    <row r="474">
      <c r="A474" s="30" t="str">
        <f>IFERROR(__xludf.DUMMYFUNCTION("""COMPUTED_VALUE"""),"RSC002834")</f>
        <v>RSC002834</v>
      </c>
      <c r="B474" s="30" t="str">
        <f>IFERROR(__xludf.DUMMYFUNCTION("""COMPUTED_VALUE"""),"Clockwork7678")</f>
        <v>Clockwork7678</v>
      </c>
      <c r="C474" s="30" t="str">
        <f>IFERROR(__xludf.DUMMYFUNCTION("""COMPUTED_VALUE"""),"Challenger")</f>
        <v>Challenger</v>
      </c>
      <c r="D474" s="30" t="str">
        <f>IFERROR(__xludf.DUMMYFUNCTION("""COMPUTED_VALUE"""),"Pharaohs")</f>
        <v>Pharaohs</v>
      </c>
      <c r="E474" s="30" t="str">
        <f>IFERROR(__xludf.DUMMYFUNCTION("""COMPUTED_VALUE"""),"Monarchy")</f>
        <v>Monarchy</v>
      </c>
      <c r="F474" s="30" t="str">
        <f>IFERROR(__xludf.DUMMYFUNCTION("""COMPUTED_VALUE"""),"Lunar")</f>
        <v>Lunar</v>
      </c>
      <c r="G474" s="92">
        <f>IFERROR(__xludf.DUMMYFUNCTION("""COMPUTED_VALUE"""),27.562961410113154)</f>
        <v>27.56296141</v>
      </c>
    </row>
    <row r="475">
      <c r="A475" s="30" t="str">
        <f>IFERROR(__xludf.DUMMYFUNCTION("""COMPUTED_VALUE"""),"RSC004614")</f>
        <v>RSC004614</v>
      </c>
      <c r="B475" s="30" t="str">
        <f>IFERROR(__xludf.DUMMYFUNCTION("""COMPUTED_VALUE"""),"Ex ample")</f>
        <v>Ex ample</v>
      </c>
      <c r="C475" s="30" t="str">
        <f>IFERROR(__xludf.DUMMYFUNCTION("""COMPUTED_VALUE"""),"Challenger")</f>
        <v>Challenger</v>
      </c>
      <c r="D475" s="30" t="str">
        <f>IFERROR(__xludf.DUMMYFUNCTION("""COMPUTED_VALUE"""),"Pharaohs")</f>
        <v>Pharaohs</v>
      </c>
      <c r="E475" s="30" t="str">
        <f>IFERROR(__xludf.DUMMYFUNCTION("""COMPUTED_VALUE"""),"Monarchy")</f>
        <v>Monarchy</v>
      </c>
      <c r="F475" s="30" t="str">
        <f>IFERROR(__xludf.DUMMYFUNCTION("""COMPUTED_VALUE"""),"Lunar")</f>
        <v>Lunar</v>
      </c>
      <c r="G475" s="92">
        <f>IFERROR(__xludf.DUMMYFUNCTION("""COMPUTED_VALUE"""),55.43683100905197)</f>
        <v>55.43683101</v>
      </c>
    </row>
    <row r="476">
      <c r="A476" s="30" t="str">
        <f>IFERROR(__xludf.DUMMYFUNCTION("""COMPUTED_VALUE"""),"RSC006642")</f>
        <v>RSC006642</v>
      </c>
      <c r="B476" s="30" t="str">
        <f>IFERROR(__xludf.DUMMYFUNCTION("""COMPUTED_VALUE"""),"Zonekiller.")</f>
        <v>Zonekiller.</v>
      </c>
      <c r="C476" s="30" t="str">
        <f>IFERROR(__xludf.DUMMYFUNCTION("""COMPUTED_VALUE"""),"Challenger")</f>
        <v>Challenger</v>
      </c>
      <c r="D476" s="30" t="str">
        <f>IFERROR(__xludf.DUMMYFUNCTION("""COMPUTED_VALUE"""),"Pharaohs")</f>
        <v>Pharaohs</v>
      </c>
      <c r="E476" s="30" t="str">
        <f>IFERROR(__xludf.DUMMYFUNCTION("""COMPUTED_VALUE"""),"Monarchy")</f>
        <v>Monarchy</v>
      </c>
      <c r="F476" s="30" t="str">
        <f>IFERROR(__xludf.DUMMYFUNCTION("""COMPUTED_VALUE"""),"Lunar")</f>
        <v>Lunar</v>
      </c>
      <c r="G476" s="92">
        <f>IFERROR(__xludf.DUMMYFUNCTION("""COMPUTED_VALUE"""),29.53540152371762)</f>
        <v>29.53540152</v>
      </c>
    </row>
    <row r="477">
      <c r="A477" s="30" t="str">
        <f>IFERROR(__xludf.DUMMYFUNCTION("""COMPUTED_VALUE"""),"RSC004333")</f>
        <v>RSC004333</v>
      </c>
      <c r="B477" s="30" t="str">
        <f>IFERROR(__xludf.DUMMYFUNCTION("""COMPUTED_VALUE"""),"Penguin")</f>
        <v>Penguin</v>
      </c>
      <c r="C477" s="30" t="str">
        <f>IFERROR(__xludf.DUMMYFUNCTION("""COMPUTED_VALUE"""),"Challenger")</f>
        <v>Challenger</v>
      </c>
      <c r="D477" s="30" t="str">
        <f>IFERROR(__xludf.DUMMYFUNCTION("""COMPUTED_VALUE"""),"Mugged")</f>
        <v>Mugged</v>
      </c>
      <c r="E477" s="30" t="str">
        <f>IFERROR(__xludf.DUMMYFUNCTION("""COMPUTED_VALUE"""),"The Hood")</f>
        <v>The Hood</v>
      </c>
      <c r="F477" s="30" t="str">
        <f>IFERROR(__xludf.DUMMYFUNCTION("""COMPUTED_VALUE"""),"Lunar")</f>
        <v>Lunar</v>
      </c>
      <c r="G477" s="92">
        <f>IFERROR(__xludf.DUMMYFUNCTION("""COMPUTED_VALUE"""),58.94379532290654)</f>
        <v>58.94379532</v>
      </c>
    </row>
    <row r="478">
      <c r="A478" s="30" t="str">
        <f>IFERROR(__xludf.DUMMYFUNCTION("""COMPUTED_VALUE"""),"RSC007197")</f>
        <v>RSC007197</v>
      </c>
      <c r="B478" s="30" t="str">
        <f>IFERROR(__xludf.DUMMYFUNCTION("""COMPUTED_VALUE"""),"xMaster P")</f>
        <v>xMaster P</v>
      </c>
      <c r="C478" s="30" t="str">
        <f>IFERROR(__xludf.DUMMYFUNCTION("""COMPUTED_VALUE"""),"Challenger")</f>
        <v>Challenger</v>
      </c>
      <c r="D478" s="30" t="str">
        <f>IFERROR(__xludf.DUMMYFUNCTION("""COMPUTED_VALUE"""),"Mugged")</f>
        <v>Mugged</v>
      </c>
      <c r="E478" s="30" t="str">
        <f>IFERROR(__xludf.DUMMYFUNCTION("""COMPUTED_VALUE"""),"The Hood")</f>
        <v>The Hood</v>
      </c>
      <c r="F478" s="30" t="str">
        <f>IFERROR(__xludf.DUMMYFUNCTION("""COMPUTED_VALUE"""),"Lunar")</f>
        <v>Lunar</v>
      </c>
      <c r="G478" s="92">
        <f>IFERROR(__xludf.DUMMYFUNCTION("""COMPUTED_VALUE"""),47.53126918147441)</f>
        <v>47.53126918</v>
      </c>
    </row>
    <row r="479">
      <c r="A479" s="30" t="str">
        <f>IFERROR(__xludf.DUMMYFUNCTION("""COMPUTED_VALUE"""),"RSC004618")</f>
        <v>RSC004618</v>
      </c>
      <c r="B479" s="30" t="str">
        <f>IFERROR(__xludf.DUMMYFUNCTION("""COMPUTED_VALUE"""),"Squirrel")</f>
        <v>Squirrel</v>
      </c>
      <c r="C479" s="30" t="str">
        <f>IFERROR(__xludf.DUMMYFUNCTION("""COMPUTED_VALUE"""),"Challenger")</f>
        <v>Challenger</v>
      </c>
      <c r="D479" s="30" t="str">
        <f>IFERROR(__xludf.DUMMYFUNCTION("""COMPUTED_VALUE"""),"Mugged")</f>
        <v>Mugged</v>
      </c>
      <c r="E479" s="30" t="str">
        <f>IFERROR(__xludf.DUMMYFUNCTION("""COMPUTED_VALUE"""),"The Hood")</f>
        <v>The Hood</v>
      </c>
      <c r="F479" s="30" t="str">
        <f>IFERROR(__xludf.DUMMYFUNCTION("""COMPUTED_VALUE"""),"Lunar")</f>
        <v>Lunar</v>
      </c>
      <c r="G479" s="92">
        <f>IFERROR(__xludf.DUMMYFUNCTION("""COMPUTED_VALUE"""),59.49640740787067)</f>
        <v>59.49640741</v>
      </c>
    </row>
    <row r="480">
      <c r="A480" s="30" t="str">
        <f>IFERROR(__xludf.DUMMYFUNCTION("""COMPUTED_VALUE"""),"RSC007604")</f>
        <v>RSC007604</v>
      </c>
      <c r="B480" s="30" t="str">
        <f>IFERROR(__xludf.DUMMYFUNCTION("""COMPUTED_VALUE"""),"RiisenJT")</f>
        <v>RiisenJT</v>
      </c>
      <c r="C480" s="30" t="str">
        <f>IFERROR(__xludf.DUMMYFUNCTION("""COMPUTED_VALUE"""),"Challenger")</f>
        <v>Challenger</v>
      </c>
      <c r="D480" s="30" t="str">
        <f>IFERROR(__xludf.DUMMYFUNCTION("""COMPUTED_VALUE"""),"Threshers")</f>
        <v>Threshers</v>
      </c>
      <c r="E480" s="30" t="str">
        <f>IFERROR(__xludf.DUMMYFUNCTION("""COMPUTED_VALUE"""),"Shark Attack")</f>
        <v>Shark Attack</v>
      </c>
      <c r="F480" s="30" t="str">
        <f>IFERROR(__xludf.DUMMYFUNCTION("""COMPUTED_VALUE"""),"Solar")</f>
        <v>Solar</v>
      </c>
      <c r="G480" s="92">
        <f>IFERROR(__xludf.DUMMYFUNCTION("""COMPUTED_VALUE"""),35.67651827236512)</f>
        <v>35.67651827</v>
      </c>
    </row>
    <row r="481">
      <c r="A481" s="30" t="str">
        <f>IFERROR(__xludf.DUMMYFUNCTION("""COMPUTED_VALUE"""),"RSC007946")</f>
        <v>RSC007946</v>
      </c>
      <c r="B481" s="30" t="str">
        <f>IFERROR(__xludf.DUMMYFUNCTION("""COMPUTED_VALUE"""),"hagerity_tv")</f>
        <v>hagerity_tv</v>
      </c>
      <c r="C481" s="30" t="str">
        <f>IFERROR(__xludf.DUMMYFUNCTION("""COMPUTED_VALUE"""),"Challenger")</f>
        <v>Challenger</v>
      </c>
      <c r="D481" s="30" t="str">
        <f>IFERROR(__xludf.DUMMYFUNCTION("""COMPUTED_VALUE"""),"Bingo")</f>
        <v>Bingo</v>
      </c>
      <c r="E481" s="30" t="str">
        <f>IFERROR(__xludf.DUMMYFUNCTION("""COMPUTED_VALUE"""),"Never Lucky")</f>
        <v>Never Lucky</v>
      </c>
      <c r="F481" s="30" t="str">
        <f>IFERROR(__xludf.DUMMYFUNCTION("""COMPUTED_VALUE"""),"Lunar")</f>
        <v>Lunar</v>
      </c>
      <c r="G481" s="92">
        <f>IFERROR(__xludf.DUMMYFUNCTION("""COMPUTED_VALUE"""),-5.268138601174421)</f>
        <v>-5.268138601</v>
      </c>
    </row>
    <row r="482">
      <c r="A482" s="30" t="str">
        <f>IFERROR(__xludf.DUMMYFUNCTION("""COMPUTED_VALUE"""),"RSC000967")</f>
        <v>RSC000967</v>
      </c>
      <c r="B482" s="30" t="str">
        <f>IFERROR(__xludf.DUMMYFUNCTION("""COMPUTED_VALUE"""),"tr1ppn")</f>
        <v>tr1ppn</v>
      </c>
      <c r="C482" s="30" t="str">
        <f>IFERROR(__xludf.DUMMYFUNCTION("""COMPUTED_VALUE"""),"Challenger")</f>
        <v>Challenger</v>
      </c>
      <c r="D482" s="30" t="str">
        <f>IFERROR(__xludf.DUMMYFUNCTION("""COMPUTED_VALUE"""),"Bingo")</f>
        <v>Bingo</v>
      </c>
      <c r="E482" s="30" t="str">
        <f>IFERROR(__xludf.DUMMYFUNCTION("""COMPUTED_VALUE"""),"Never Lucky")</f>
        <v>Never Lucky</v>
      </c>
      <c r="F482" s="30" t="str">
        <f>IFERROR(__xludf.DUMMYFUNCTION("""COMPUTED_VALUE"""),"Lunar")</f>
        <v>Lunar</v>
      </c>
      <c r="G482" s="92">
        <f>IFERROR(__xludf.DUMMYFUNCTION("""COMPUTED_VALUE"""),36.487680303354026)</f>
        <v>36.4876803</v>
      </c>
    </row>
    <row r="483">
      <c r="A483" s="30" t="str">
        <f>IFERROR(__xludf.DUMMYFUNCTION("""COMPUTED_VALUE"""),"RSC005844")</f>
        <v>RSC005844</v>
      </c>
      <c r="B483" s="30" t="str">
        <f>IFERROR(__xludf.DUMMYFUNCTION("""COMPUTED_VALUE"""),"xr.")</f>
        <v>xr.</v>
      </c>
      <c r="C483" s="30" t="str">
        <f>IFERROR(__xludf.DUMMYFUNCTION("""COMPUTED_VALUE"""),"Challenger")</f>
        <v>Challenger</v>
      </c>
      <c r="D483" s="30" t="str">
        <f>IFERROR(__xludf.DUMMYFUNCTION("""COMPUTED_VALUE"""),"Bingo")</f>
        <v>Bingo</v>
      </c>
      <c r="E483" s="30" t="str">
        <f>IFERROR(__xludf.DUMMYFUNCTION("""COMPUTED_VALUE"""),"Never Lucky")</f>
        <v>Never Lucky</v>
      </c>
      <c r="F483" s="30" t="str">
        <f>IFERROR(__xludf.DUMMYFUNCTION("""COMPUTED_VALUE"""),"Lunar")</f>
        <v>Lunar</v>
      </c>
      <c r="G483" s="92">
        <f>IFERROR(__xludf.DUMMYFUNCTION("""COMPUTED_VALUE"""),24.1588699791712)</f>
        <v>24.15886998</v>
      </c>
    </row>
    <row r="484">
      <c r="A484" s="30" t="str">
        <f>IFERROR(__xludf.DUMMYFUNCTION("""COMPUTED_VALUE"""),"RSC006355")</f>
        <v>RSC006355</v>
      </c>
      <c r="B484" s="30" t="str">
        <f>IFERROR(__xludf.DUMMYFUNCTION("""COMPUTED_VALUE"""),"Heartlesswins")</f>
        <v>Heartlesswins</v>
      </c>
      <c r="C484" s="30" t="str">
        <f>IFERROR(__xludf.DUMMYFUNCTION("""COMPUTED_VALUE"""),"Challenger")</f>
        <v>Challenger</v>
      </c>
      <c r="D484" s="30" t="str">
        <f>IFERROR(__xludf.DUMMYFUNCTION("""COMPUTED_VALUE"""),"Lilac")</f>
        <v>Lilac</v>
      </c>
      <c r="E484" s="30" t="str">
        <f>IFERROR(__xludf.DUMMYFUNCTION("""COMPUTED_VALUE"""),"Flower Road")</f>
        <v>Flower Road</v>
      </c>
      <c r="F484" s="30" t="str">
        <f>IFERROR(__xludf.DUMMYFUNCTION("""COMPUTED_VALUE"""),"Lunar")</f>
        <v>Lunar</v>
      </c>
      <c r="G484" s="92">
        <f>IFERROR(__xludf.DUMMYFUNCTION("""COMPUTED_VALUE"""),75.69748839452286)</f>
        <v>75.69748839</v>
      </c>
    </row>
    <row r="485">
      <c r="A485" s="30" t="str">
        <f>IFERROR(__xludf.DUMMYFUNCTION("""COMPUTED_VALUE"""),"RSC004901")</f>
        <v>RSC004901</v>
      </c>
      <c r="B485" s="30" t="str">
        <f>IFERROR(__xludf.DUMMYFUNCTION("""COMPUTED_VALUE"""),"Dofri9976")</f>
        <v>Dofri9976</v>
      </c>
      <c r="C485" s="30" t="str">
        <f>IFERROR(__xludf.DUMMYFUNCTION("""COMPUTED_VALUE"""),"Challenger")</f>
        <v>Challenger</v>
      </c>
      <c r="D485" s="30" t="str">
        <f>IFERROR(__xludf.DUMMYFUNCTION("""COMPUTED_VALUE"""),"Lilac")</f>
        <v>Lilac</v>
      </c>
      <c r="E485" s="30" t="str">
        <f>IFERROR(__xludf.DUMMYFUNCTION("""COMPUTED_VALUE"""),"Flower Road")</f>
        <v>Flower Road</v>
      </c>
      <c r="F485" s="30" t="str">
        <f>IFERROR(__xludf.DUMMYFUNCTION("""COMPUTED_VALUE"""),"Lunar")</f>
        <v>Lunar</v>
      </c>
      <c r="G485" s="92">
        <f>IFERROR(__xludf.DUMMYFUNCTION("""COMPUTED_VALUE"""),66.36360135310044)</f>
        <v>66.36360135</v>
      </c>
    </row>
    <row r="486">
      <c r="A486" s="30" t="str">
        <f>IFERROR(__xludf.DUMMYFUNCTION("""COMPUTED_VALUE"""),"RSC004890")</f>
        <v>RSC004890</v>
      </c>
      <c r="B486" s="30" t="str">
        <f>IFERROR(__xludf.DUMMYFUNCTION("""COMPUTED_VALUE"""),"kamikaze7200")</f>
        <v>kamikaze7200</v>
      </c>
      <c r="C486" s="30" t="str">
        <f>IFERROR(__xludf.DUMMYFUNCTION("""COMPUTED_VALUE"""),"Challenger")</f>
        <v>Challenger</v>
      </c>
      <c r="D486" s="30" t="str">
        <f>IFERROR(__xludf.DUMMYFUNCTION("""COMPUTED_VALUE"""),"Lilac")</f>
        <v>Lilac</v>
      </c>
      <c r="E486" s="30" t="str">
        <f>IFERROR(__xludf.DUMMYFUNCTION("""COMPUTED_VALUE"""),"Flower Road")</f>
        <v>Flower Road</v>
      </c>
      <c r="F486" s="30" t="str">
        <f>IFERROR(__xludf.DUMMYFUNCTION("""COMPUTED_VALUE"""),"Lunar")</f>
        <v>Lunar</v>
      </c>
      <c r="G486" s="92">
        <f>IFERROR(__xludf.DUMMYFUNCTION("""COMPUTED_VALUE"""),66.82429336591969)</f>
        <v>66.82429337</v>
      </c>
    </row>
    <row r="487">
      <c r="A487" s="30" t="str">
        <f>IFERROR(__xludf.DUMMYFUNCTION("""COMPUTED_VALUE"""),"RSC007447")</f>
        <v>RSC007447</v>
      </c>
      <c r="B487" s="30" t="str">
        <f>IFERROR(__xludf.DUMMYFUNCTION("""COMPUTED_VALUE"""),"1R3IGN")</f>
        <v>1R3IGN</v>
      </c>
      <c r="C487" s="30" t="str">
        <f>IFERROR(__xludf.DUMMYFUNCTION("""COMPUTED_VALUE"""),"Challenger")</f>
        <v>Challenger</v>
      </c>
      <c r="D487" s="30" t="str">
        <f>IFERROR(__xludf.DUMMYFUNCTION("""COMPUTED_VALUE"""),"Hydras")</f>
        <v>Hydras</v>
      </c>
      <c r="E487" s="30" t="str">
        <f>IFERROR(__xludf.DUMMYFUNCTION("""COMPUTED_VALUE"""),"The Forest")</f>
        <v>The Forest</v>
      </c>
      <c r="F487" s="30" t="str">
        <f>IFERROR(__xludf.DUMMYFUNCTION("""COMPUTED_VALUE"""),"Solar")</f>
        <v>Solar</v>
      </c>
      <c r="G487" s="92">
        <f>IFERROR(__xludf.DUMMYFUNCTION("""COMPUTED_VALUE"""),20.622399750707388)</f>
        <v>20.62239975</v>
      </c>
    </row>
    <row r="488">
      <c r="A488" s="30" t="str">
        <f>IFERROR(__xludf.DUMMYFUNCTION("""COMPUTED_VALUE"""),"RSC002877")</f>
        <v>RSC002877</v>
      </c>
      <c r="B488" s="30" t="str">
        <f>IFERROR(__xludf.DUMMYFUNCTION("""COMPUTED_VALUE"""),"robophant")</f>
        <v>robophant</v>
      </c>
      <c r="C488" s="30" t="str">
        <f>IFERROR(__xludf.DUMMYFUNCTION("""COMPUTED_VALUE"""),"Challenger")</f>
        <v>Challenger</v>
      </c>
      <c r="D488" s="30" t="str">
        <f>IFERROR(__xludf.DUMMYFUNCTION("""COMPUTED_VALUE"""),"Hydras")</f>
        <v>Hydras</v>
      </c>
      <c r="E488" s="30" t="str">
        <f>IFERROR(__xludf.DUMMYFUNCTION("""COMPUTED_VALUE"""),"The Forest")</f>
        <v>The Forest</v>
      </c>
      <c r="F488" s="30" t="str">
        <f>IFERROR(__xludf.DUMMYFUNCTION("""COMPUTED_VALUE"""),"Solar")</f>
        <v>Solar</v>
      </c>
      <c r="G488" s="92">
        <f>IFERROR(__xludf.DUMMYFUNCTION("""COMPUTED_VALUE"""),51.12690386394299)</f>
        <v>51.12690386</v>
      </c>
    </row>
    <row r="489">
      <c r="A489" s="30" t="str">
        <f>IFERROR(__xludf.DUMMYFUNCTION("""COMPUTED_VALUE"""),"RSC007589")</f>
        <v>RSC007589</v>
      </c>
      <c r="B489" s="30" t="str">
        <f>IFERROR(__xludf.DUMMYFUNCTION("""COMPUTED_VALUE"""),"LilBoneSamaTTV")</f>
        <v>LilBoneSamaTTV</v>
      </c>
      <c r="C489" s="30" t="str">
        <f>IFERROR(__xludf.DUMMYFUNCTION("""COMPUTED_VALUE"""),"Challenger")</f>
        <v>Challenger</v>
      </c>
      <c r="D489" s="30" t="str">
        <f>IFERROR(__xludf.DUMMYFUNCTION("""COMPUTED_VALUE"""),"Hydras")</f>
        <v>Hydras</v>
      </c>
      <c r="E489" s="30" t="str">
        <f>IFERROR(__xludf.DUMMYFUNCTION("""COMPUTED_VALUE"""),"The Forest")</f>
        <v>The Forest</v>
      </c>
      <c r="F489" s="30" t="str">
        <f>IFERROR(__xludf.DUMMYFUNCTION("""COMPUTED_VALUE"""),"Solar")</f>
        <v>Solar</v>
      </c>
      <c r="G489" s="92">
        <f>IFERROR(__xludf.DUMMYFUNCTION("""COMPUTED_VALUE"""),49.87701077566731)</f>
        <v>49.87701078</v>
      </c>
    </row>
    <row r="490">
      <c r="A490" s="30" t="str">
        <f>IFERROR(__xludf.DUMMYFUNCTION("""COMPUTED_VALUE"""),"RSC001933")</f>
        <v>RSC001933</v>
      </c>
      <c r="B490" s="30" t="str">
        <f>IFERROR(__xludf.DUMMYFUNCTION("""COMPUTED_VALUE"""),"Ducky")</f>
        <v>Ducky</v>
      </c>
      <c r="C490" s="30" t="str">
        <f>IFERROR(__xludf.DUMMYFUNCTION("""COMPUTED_VALUE"""),"Challenger")</f>
        <v>Challenger</v>
      </c>
      <c r="D490" s="30" t="str">
        <f>IFERROR(__xludf.DUMMYFUNCTION("""COMPUTED_VALUE"""),"Spearmint")</f>
        <v>Spearmint</v>
      </c>
      <c r="E490" s="30" t="str">
        <f>IFERROR(__xludf.DUMMYFUNCTION("""COMPUTED_VALUE"""),"Minty Fresh")</f>
        <v>Minty Fresh</v>
      </c>
      <c r="F490" s="30" t="str">
        <f>IFERROR(__xludf.DUMMYFUNCTION("""COMPUTED_VALUE"""),"Solar")</f>
        <v>Solar</v>
      </c>
      <c r="G490" s="92">
        <f>IFERROR(__xludf.DUMMYFUNCTION("""COMPUTED_VALUE"""),41.317171174611104)</f>
        <v>41.31717117</v>
      </c>
    </row>
    <row r="491">
      <c r="A491" s="30" t="str">
        <f>IFERROR(__xludf.DUMMYFUNCTION("""COMPUTED_VALUE"""),"RSC004073")</f>
        <v>RSC004073</v>
      </c>
      <c r="B491" s="30" t="str">
        <f>IFERROR(__xludf.DUMMYFUNCTION("""COMPUTED_VALUE"""),"BusterChugs")</f>
        <v>BusterChugs</v>
      </c>
      <c r="C491" s="30" t="str">
        <f>IFERROR(__xludf.DUMMYFUNCTION("""COMPUTED_VALUE"""),"Challenger")</f>
        <v>Challenger</v>
      </c>
      <c r="D491" s="30" t="str">
        <f>IFERROR(__xludf.DUMMYFUNCTION("""COMPUTED_VALUE"""),"Spearmint")</f>
        <v>Spearmint</v>
      </c>
      <c r="E491" s="30" t="str">
        <f>IFERROR(__xludf.DUMMYFUNCTION("""COMPUTED_VALUE"""),"Minty Fresh")</f>
        <v>Minty Fresh</v>
      </c>
      <c r="F491" s="30" t="str">
        <f>IFERROR(__xludf.DUMMYFUNCTION("""COMPUTED_VALUE"""),"Solar")</f>
        <v>Solar</v>
      </c>
      <c r="G491" s="92">
        <f>IFERROR(__xludf.DUMMYFUNCTION("""COMPUTED_VALUE"""),39.80688192205466)</f>
        <v>39.80688192</v>
      </c>
    </row>
    <row r="492">
      <c r="A492" s="30" t="str">
        <f>IFERROR(__xludf.DUMMYFUNCTION("""COMPUTED_VALUE"""),"RSC005154")</f>
        <v>RSC005154</v>
      </c>
      <c r="B492" s="30" t="str">
        <f>IFERROR(__xludf.DUMMYFUNCTION("""COMPUTED_VALUE"""),"TacoBae")</f>
        <v>TacoBae</v>
      </c>
      <c r="C492" s="30" t="str">
        <f>IFERROR(__xludf.DUMMYFUNCTION("""COMPUTED_VALUE"""),"Challenger")</f>
        <v>Challenger</v>
      </c>
      <c r="D492" s="30" t="str">
        <f>IFERROR(__xludf.DUMMYFUNCTION("""COMPUTED_VALUE"""),"Jock O Lanterns
Spearmint")</f>
        <v>Jock O Lanterns
Spearmint</v>
      </c>
      <c r="E492" s="30" t="str">
        <f>IFERROR(__xludf.DUMMYFUNCTION("""COMPUTED_VALUE"""),"Ghoul School
Minty Fresh")</f>
        <v>Ghoul School
Minty Fresh</v>
      </c>
      <c r="F492" s="30" t="str">
        <f>IFERROR(__xludf.DUMMYFUNCTION("""COMPUTED_VALUE"""),"Solar")</f>
        <v>Solar</v>
      </c>
      <c r="G492" s="92">
        <f>IFERROR(__xludf.DUMMYFUNCTION("""COMPUTED_VALUE"""),16.31024516970229)</f>
        <v>16.31024517</v>
      </c>
    </row>
    <row r="493">
      <c r="A493" s="30" t="str">
        <f>IFERROR(__xludf.DUMMYFUNCTION("""COMPUTED_VALUE"""),"RSC007256")</f>
        <v>RSC007256</v>
      </c>
      <c r="B493" s="30" t="str">
        <f>IFERROR(__xludf.DUMMYFUNCTION("""COMPUTED_VALUE"""),"Dark Odst RW7")</f>
        <v>Dark Odst RW7</v>
      </c>
      <c r="C493" s="30" t="str">
        <f>IFERROR(__xludf.DUMMYFUNCTION("""COMPUTED_VALUE"""),"Challenger")</f>
        <v>Challenger</v>
      </c>
      <c r="D493" s="30" t="str">
        <f>IFERROR(__xludf.DUMMYFUNCTION("""COMPUTED_VALUE"""),"Deceased")</f>
        <v>Deceased</v>
      </c>
      <c r="E493" s="30" t="str">
        <f>IFERROR(__xludf.DUMMYFUNCTION("""COMPUTED_VALUE"""),"Destined")</f>
        <v>Destined</v>
      </c>
      <c r="F493" s="30" t="str">
        <f>IFERROR(__xludf.DUMMYFUNCTION("""COMPUTED_VALUE"""),"Solar")</f>
        <v>Solar</v>
      </c>
      <c r="G493" s="92">
        <f>IFERROR(__xludf.DUMMYFUNCTION("""COMPUTED_VALUE"""),60.13647706628417)</f>
        <v>60.13647707</v>
      </c>
    </row>
    <row r="494">
      <c r="A494" s="30" t="str">
        <f>IFERROR(__xludf.DUMMYFUNCTION("""COMPUTED_VALUE"""),"RSC006535")</f>
        <v>RSC006535</v>
      </c>
      <c r="B494" s="30" t="str">
        <f>IFERROR(__xludf.DUMMYFUNCTION("""COMPUTED_VALUE"""),"Westandalone0")</f>
        <v>Westandalone0</v>
      </c>
      <c r="C494" s="30" t="str">
        <f>IFERROR(__xludf.DUMMYFUNCTION("""COMPUTED_VALUE"""),"Challenger")</f>
        <v>Challenger</v>
      </c>
      <c r="D494" s="30" t="str">
        <f>IFERROR(__xludf.DUMMYFUNCTION("""COMPUTED_VALUE"""),"Deceased")</f>
        <v>Deceased</v>
      </c>
      <c r="E494" s="30" t="str">
        <f>IFERROR(__xludf.DUMMYFUNCTION("""COMPUTED_VALUE"""),"Destined")</f>
        <v>Destined</v>
      </c>
      <c r="F494" s="30" t="str">
        <f>IFERROR(__xludf.DUMMYFUNCTION("""COMPUTED_VALUE"""),"Solar")</f>
        <v>Solar</v>
      </c>
      <c r="G494" s="92">
        <f>IFERROR(__xludf.DUMMYFUNCTION("""COMPUTED_VALUE"""),56.51010499994448)</f>
        <v>56.510105</v>
      </c>
    </row>
    <row r="495">
      <c r="A495" s="30" t="str">
        <f>IFERROR(__xludf.DUMMYFUNCTION("""COMPUTED_VALUE"""),"RSC006322")</f>
        <v>RSC006322</v>
      </c>
      <c r="B495" s="30" t="str">
        <f>IFERROR(__xludf.DUMMYFUNCTION("""COMPUTED_VALUE"""),"Lorak")</f>
        <v>Lorak</v>
      </c>
      <c r="C495" s="30" t="str">
        <f>IFERROR(__xludf.DUMMYFUNCTION("""COMPUTED_VALUE"""),"Challenger")</f>
        <v>Challenger</v>
      </c>
      <c r="D495" s="30" t="str">
        <f>IFERROR(__xludf.DUMMYFUNCTION("""COMPUTED_VALUE"""),"Deceased")</f>
        <v>Deceased</v>
      </c>
      <c r="E495" s="30" t="str">
        <f>IFERROR(__xludf.DUMMYFUNCTION("""COMPUTED_VALUE"""),"Destined")</f>
        <v>Destined</v>
      </c>
      <c r="F495" s="30" t="str">
        <f>IFERROR(__xludf.DUMMYFUNCTION("""COMPUTED_VALUE"""),"Solar")</f>
        <v>Solar</v>
      </c>
      <c r="G495" s="92">
        <f>IFERROR(__xludf.DUMMYFUNCTION("""COMPUTED_VALUE"""),62.1962313367521)</f>
        <v>62.19623134</v>
      </c>
    </row>
    <row r="496">
      <c r="A496" s="30" t="str">
        <f>IFERROR(__xludf.DUMMYFUNCTION("""COMPUTED_VALUE"""),"RSC006187")</f>
        <v>RSC006187</v>
      </c>
      <c r="B496" s="30" t="str">
        <f>IFERROR(__xludf.DUMMYFUNCTION("""COMPUTED_VALUE"""),"1985 Fiat Panda")</f>
        <v>1985 Fiat Panda</v>
      </c>
      <c r="C496" s="30" t="str">
        <f>IFERROR(__xludf.DUMMYFUNCTION("""COMPUTED_VALUE"""),"Challenger")</f>
        <v>Challenger</v>
      </c>
      <c r="D496" s="30" t="str">
        <f>IFERROR(__xludf.DUMMYFUNCTION("""COMPUTED_VALUE"""),"Quarter")</f>
        <v>Quarter</v>
      </c>
      <c r="E496" s="30" t="str">
        <f>IFERROR(__xludf.DUMMYFUNCTION("""COMPUTED_VALUE"""),"Money Makers")</f>
        <v>Money Makers</v>
      </c>
      <c r="F496" s="30" t="str">
        <f>IFERROR(__xludf.DUMMYFUNCTION("""COMPUTED_VALUE"""),"Solar")</f>
        <v>Solar</v>
      </c>
      <c r="G496" s="92">
        <f>IFERROR(__xludf.DUMMYFUNCTION("""COMPUTED_VALUE"""),24.897879720847264)</f>
        <v>24.89787972</v>
      </c>
    </row>
    <row r="497">
      <c r="A497" s="30" t="str">
        <f>IFERROR(__xludf.DUMMYFUNCTION("""COMPUTED_VALUE"""),"RSC003978")</f>
        <v>RSC003978</v>
      </c>
      <c r="B497" s="30" t="str">
        <f>IFERROR(__xludf.DUMMYFUNCTION("""COMPUTED_VALUE"""),"thenio")</f>
        <v>thenio</v>
      </c>
      <c r="C497" s="30" t="str">
        <f>IFERROR(__xludf.DUMMYFUNCTION("""COMPUTED_VALUE"""),"Challenger")</f>
        <v>Challenger</v>
      </c>
      <c r="D497" s="30" t="str">
        <f>IFERROR(__xludf.DUMMYFUNCTION("""COMPUTED_VALUE"""),"Quarter")</f>
        <v>Quarter</v>
      </c>
      <c r="E497" s="30" t="str">
        <f>IFERROR(__xludf.DUMMYFUNCTION("""COMPUTED_VALUE"""),"Money Makers")</f>
        <v>Money Makers</v>
      </c>
      <c r="F497" s="30" t="str">
        <f>IFERROR(__xludf.DUMMYFUNCTION("""COMPUTED_VALUE"""),"Solar")</f>
        <v>Solar</v>
      </c>
      <c r="G497" s="92">
        <f>IFERROR(__xludf.DUMMYFUNCTION("""COMPUTED_VALUE"""),44.805062495449334)</f>
        <v>44.8050625</v>
      </c>
    </row>
    <row r="498">
      <c r="A498" s="30" t="str">
        <f>IFERROR(__xludf.DUMMYFUNCTION("""COMPUTED_VALUE"""),"RSC006225")</f>
        <v>RSC006225</v>
      </c>
      <c r="B498" s="30" t="str">
        <f>IFERROR(__xludf.DUMMYFUNCTION("""COMPUTED_VALUE"""),"renightly")</f>
        <v>renightly</v>
      </c>
      <c r="C498" s="30" t="str">
        <f>IFERROR(__xludf.DUMMYFUNCTION("""COMPUTED_VALUE"""),"Challenger")</f>
        <v>Challenger</v>
      </c>
      <c r="D498" s="30" t="str">
        <f>IFERROR(__xludf.DUMMYFUNCTION("""COMPUTED_VALUE"""),"Quarter")</f>
        <v>Quarter</v>
      </c>
      <c r="E498" s="30" t="str">
        <f>IFERROR(__xludf.DUMMYFUNCTION("""COMPUTED_VALUE"""),"Money Makers")</f>
        <v>Money Makers</v>
      </c>
      <c r="F498" s="30" t="str">
        <f>IFERROR(__xludf.DUMMYFUNCTION("""COMPUTED_VALUE"""),"Solar")</f>
        <v>Solar</v>
      </c>
      <c r="G498" s="92">
        <f>IFERROR(__xludf.DUMMYFUNCTION("""COMPUTED_VALUE"""),32.77444627765968)</f>
        <v>32.77444628</v>
      </c>
    </row>
    <row r="499">
      <c r="A499" s="30" t="str">
        <f>IFERROR(__xludf.DUMMYFUNCTION("""COMPUTED_VALUE"""),"RSC007824")</f>
        <v>RSC007824</v>
      </c>
      <c r="B499" s="30" t="str">
        <f>IFERROR(__xludf.DUMMYFUNCTION("""COMPUTED_VALUE"""),"Akki404")</f>
        <v>Akki404</v>
      </c>
      <c r="C499" s="30" t="str">
        <f>IFERROR(__xludf.DUMMYFUNCTION("""COMPUTED_VALUE"""),"Challenger")</f>
        <v>Challenger</v>
      </c>
      <c r="D499" s="30" t="str">
        <f>IFERROR(__xludf.DUMMYFUNCTION("""COMPUTED_VALUE"""),"Bingo")</f>
        <v>Bingo</v>
      </c>
      <c r="E499" s="30" t="str">
        <f>IFERROR(__xludf.DUMMYFUNCTION("""COMPUTED_VALUE"""),"Never Lucky")</f>
        <v>Never Lucky</v>
      </c>
      <c r="F499" s="30" t="str">
        <f>IFERROR(__xludf.DUMMYFUNCTION("""COMPUTED_VALUE"""),"Lunar")</f>
        <v>Lunar</v>
      </c>
      <c r="G499" s="92">
        <f>IFERROR(__xludf.DUMMYFUNCTION("""COMPUTED_VALUE"""),60.3336757185175)</f>
        <v>60.33367572</v>
      </c>
    </row>
    <row r="500">
      <c r="A500" s="30" t="str">
        <f>IFERROR(__xludf.DUMMYFUNCTION("""COMPUTED_VALUE"""),"RSC004817")</f>
        <v>RSC004817</v>
      </c>
      <c r="B500" s="30" t="str">
        <f>IFERROR(__xludf.DUMMYFUNCTION("""COMPUTED_VALUE"""),"crybound")</f>
        <v>crybound</v>
      </c>
      <c r="C500" s="30" t="str">
        <f>IFERROR(__xludf.DUMMYFUNCTION("""COMPUTED_VALUE"""),"Challenger")</f>
        <v>Challenger</v>
      </c>
      <c r="D500" s="30" t="str">
        <f>IFERROR(__xludf.DUMMYFUNCTION("""COMPUTED_VALUE"""),"Chromatic Chaos")</f>
        <v>Chromatic Chaos</v>
      </c>
      <c r="E500" s="30" t="str">
        <f>IFERROR(__xludf.DUMMYFUNCTION("""COMPUTED_VALUE"""),"Art Club")</f>
        <v>Art Club</v>
      </c>
      <c r="F500" s="30" t="str">
        <f>IFERROR(__xludf.DUMMYFUNCTION("""COMPUTED_VALUE"""),"Solar")</f>
        <v>Solar</v>
      </c>
      <c r="G500" s="92">
        <f>IFERROR(__xludf.DUMMYFUNCTION("""COMPUTED_VALUE"""),32.12844335443835)</f>
        <v>32.12844335</v>
      </c>
    </row>
    <row r="501">
      <c r="A501" s="30" t="str">
        <f>IFERROR(__xludf.DUMMYFUNCTION("""COMPUTED_VALUE"""),"RSC005663")</f>
        <v>RSC005663</v>
      </c>
      <c r="B501" s="30" t="str">
        <f>IFERROR(__xludf.DUMMYFUNCTION("""COMPUTED_VALUE"""),"Pure_Pusher")</f>
        <v>Pure_Pusher</v>
      </c>
      <c r="C501" s="30" t="str">
        <f>IFERROR(__xludf.DUMMYFUNCTION("""COMPUTED_VALUE"""),"Challenger")</f>
        <v>Challenger</v>
      </c>
      <c r="D501" s="30" t="str">
        <f>IFERROR(__xludf.DUMMYFUNCTION("""COMPUTED_VALUE"""),"Chromatic Chaos")</f>
        <v>Chromatic Chaos</v>
      </c>
      <c r="E501" s="30" t="str">
        <f>IFERROR(__xludf.DUMMYFUNCTION("""COMPUTED_VALUE"""),"Art Club")</f>
        <v>Art Club</v>
      </c>
      <c r="F501" s="30" t="str">
        <f>IFERROR(__xludf.DUMMYFUNCTION("""COMPUTED_VALUE"""),"Solar")</f>
        <v>Solar</v>
      </c>
      <c r="G501" s="92">
        <f>IFERROR(__xludf.DUMMYFUNCTION("""COMPUTED_VALUE"""),35.3932549472464)</f>
        <v>35.39325495</v>
      </c>
    </row>
    <row r="502">
      <c r="A502" s="30" t="str">
        <f>IFERROR(__xludf.DUMMYFUNCTION("""COMPUTED_VALUE"""),"RSC007934")</f>
        <v>RSC007934</v>
      </c>
      <c r="B502" s="30" t="str">
        <f>IFERROR(__xludf.DUMMYFUNCTION("""COMPUTED_VALUE"""),"Chicknn.")</f>
        <v>Chicknn.</v>
      </c>
      <c r="C502" s="30" t="str">
        <f>IFERROR(__xludf.DUMMYFUNCTION("""COMPUTED_VALUE"""),"Challenger")</f>
        <v>Challenger</v>
      </c>
      <c r="D502" s="30" t="str">
        <f>IFERROR(__xludf.DUMMYFUNCTION("""COMPUTED_VALUE"""),"Chromatic Chaos")</f>
        <v>Chromatic Chaos</v>
      </c>
      <c r="E502" s="30" t="str">
        <f>IFERROR(__xludf.DUMMYFUNCTION("""COMPUTED_VALUE"""),"Art Club")</f>
        <v>Art Club</v>
      </c>
      <c r="F502" s="30" t="str">
        <f>IFERROR(__xludf.DUMMYFUNCTION("""COMPUTED_VALUE"""),"Solar")</f>
        <v>Solar</v>
      </c>
      <c r="G502" s="92">
        <f>IFERROR(__xludf.DUMMYFUNCTION("""COMPUTED_VALUE"""),58.03115578525937)</f>
        <v>58.03115579</v>
      </c>
    </row>
    <row r="503">
      <c r="A503" s="30" t="str">
        <f>IFERROR(__xludf.DUMMYFUNCTION("""COMPUTED_VALUE"""),"RSC003109")</f>
        <v>RSC003109</v>
      </c>
      <c r="B503" s="30" t="str">
        <f>IFERROR(__xludf.DUMMYFUNCTION("""COMPUTED_VALUE"""),"Kflip11")</f>
        <v>Kflip11</v>
      </c>
      <c r="C503" s="30" t="str">
        <f>IFERROR(__xludf.DUMMYFUNCTION("""COMPUTED_VALUE"""),"Challenger")</f>
        <v>Challenger</v>
      </c>
      <c r="D503" s="30" t="str">
        <f>IFERROR(__xludf.DUMMYFUNCTION("""COMPUTED_VALUE"""),"Cassowaries")</f>
        <v>Cassowaries</v>
      </c>
      <c r="E503" s="30" t="str">
        <f>IFERROR(__xludf.DUMMYFUNCTION("""COMPUTED_VALUE"""),"Flightless Fowl")</f>
        <v>Flightless Fowl</v>
      </c>
      <c r="F503" s="30" t="str">
        <f>IFERROR(__xludf.DUMMYFUNCTION("""COMPUTED_VALUE"""),"Solar")</f>
        <v>Solar</v>
      </c>
      <c r="G503" s="92">
        <f>IFERROR(__xludf.DUMMYFUNCTION("""COMPUTED_VALUE"""),50.19925806328918)</f>
        <v>50.19925806</v>
      </c>
    </row>
    <row r="504">
      <c r="A504" s="30" t="str">
        <f>IFERROR(__xludf.DUMMYFUNCTION("""COMPUTED_VALUE"""),"RSC002841")</f>
        <v>RSC002841</v>
      </c>
      <c r="B504" s="30" t="str">
        <f>IFERROR(__xludf.DUMMYFUNCTION("""COMPUTED_VALUE"""),"dyl")</f>
        <v>dyl</v>
      </c>
      <c r="C504" s="30" t="str">
        <f>IFERROR(__xludf.DUMMYFUNCTION("""COMPUTED_VALUE"""),"Challenger")</f>
        <v>Challenger</v>
      </c>
      <c r="D504" s="30" t="str">
        <f>IFERROR(__xludf.DUMMYFUNCTION("""COMPUTED_VALUE"""),"Cassowaries")</f>
        <v>Cassowaries</v>
      </c>
      <c r="E504" s="30" t="str">
        <f>IFERROR(__xludf.DUMMYFUNCTION("""COMPUTED_VALUE"""),"Flightless Fowl")</f>
        <v>Flightless Fowl</v>
      </c>
      <c r="F504" s="30" t="str">
        <f>IFERROR(__xludf.DUMMYFUNCTION("""COMPUTED_VALUE"""),"Solar")</f>
        <v>Solar</v>
      </c>
      <c r="G504" s="92">
        <f>IFERROR(__xludf.DUMMYFUNCTION("""COMPUTED_VALUE"""),66.09206717725027)</f>
        <v>66.09206718</v>
      </c>
    </row>
    <row r="505">
      <c r="A505" s="30" t="str">
        <f>IFERROR(__xludf.DUMMYFUNCTION("""COMPUTED_VALUE"""),"RSC007647")</f>
        <v>RSC007647</v>
      </c>
      <c r="B505" s="30" t="str">
        <f>IFERROR(__xludf.DUMMYFUNCTION("""COMPUTED_VALUE"""),"I'm Pale")</f>
        <v>I'm Pale</v>
      </c>
      <c r="C505" s="30" t="str">
        <f>IFERROR(__xludf.DUMMYFUNCTION("""COMPUTED_VALUE"""),"Challenger")</f>
        <v>Challenger</v>
      </c>
      <c r="D505" s="30" t="str">
        <f>IFERROR(__xludf.DUMMYFUNCTION("""COMPUTED_VALUE"""),"Cassowaries")</f>
        <v>Cassowaries</v>
      </c>
      <c r="E505" s="30" t="str">
        <f>IFERROR(__xludf.DUMMYFUNCTION("""COMPUTED_VALUE"""),"Flightless Fowl")</f>
        <v>Flightless Fowl</v>
      </c>
      <c r="F505" s="30" t="str">
        <f>IFERROR(__xludf.DUMMYFUNCTION("""COMPUTED_VALUE"""),"Solar")</f>
        <v>Solar</v>
      </c>
      <c r="G505" s="92">
        <f>IFERROR(__xludf.DUMMYFUNCTION("""COMPUTED_VALUE"""),83.87736823584166)</f>
        <v>83.87736824</v>
      </c>
    </row>
    <row r="506">
      <c r="A506" s="30" t="str">
        <f>IFERROR(__xludf.DUMMYFUNCTION("""COMPUTED_VALUE"""),"RSC003424")</f>
        <v>RSC003424</v>
      </c>
      <c r="B506" s="30" t="str">
        <f>IFERROR(__xludf.DUMMYFUNCTION("""COMPUTED_VALUE"""),"Fryder")</f>
        <v>Fryder</v>
      </c>
      <c r="C506" s="30" t="str">
        <f>IFERROR(__xludf.DUMMYFUNCTION("""COMPUTED_VALUE"""),"Challenger")</f>
        <v>Challenger</v>
      </c>
      <c r="D506" s="30" t="str">
        <f>IFERROR(__xludf.DUMMYFUNCTION("""COMPUTED_VALUE"""),"Metal")</f>
        <v>Metal</v>
      </c>
      <c r="E506" s="30" t="str">
        <f>IFERROR(__xludf.DUMMYFUNCTION("""COMPUTED_VALUE"""),"The Elements")</f>
        <v>The Elements</v>
      </c>
      <c r="F506" s="30" t="str">
        <f>IFERROR(__xludf.DUMMYFUNCTION("""COMPUTED_VALUE"""),"Solar")</f>
        <v>Solar</v>
      </c>
      <c r="G506" s="92">
        <f>IFERROR(__xludf.DUMMYFUNCTION("""COMPUTED_VALUE"""),58.896463627916006)</f>
        <v>58.89646363</v>
      </c>
    </row>
    <row r="507">
      <c r="A507" s="30" t="str">
        <f>IFERROR(__xludf.DUMMYFUNCTION("""COMPUTED_VALUE"""),"RSC007939")</f>
        <v>RSC007939</v>
      </c>
      <c r="B507" s="30" t="str">
        <f>IFERROR(__xludf.DUMMYFUNCTION("""COMPUTED_VALUE"""),"bryan_rown_")</f>
        <v>bryan_rown_</v>
      </c>
      <c r="C507" s="30" t="str">
        <f>IFERROR(__xludf.DUMMYFUNCTION("""COMPUTED_VALUE"""),"Challenger")</f>
        <v>Challenger</v>
      </c>
      <c r="D507" s="30" t="str">
        <f>IFERROR(__xludf.DUMMYFUNCTION("""COMPUTED_VALUE"""),"Metal")</f>
        <v>Metal</v>
      </c>
      <c r="E507" s="30" t="str">
        <f>IFERROR(__xludf.DUMMYFUNCTION("""COMPUTED_VALUE"""),"The Elements")</f>
        <v>The Elements</v>
      </c>
      <c r="F507" s="30" t="str">
        <f>IFERROR(__xludf.DUMMYFUNCTION("""COMPUTED_VALUE"""),"Solar")</f>
        <v>Solar</v>
      </c>
      <c r="G507" s="92">
        <f>IFERROR(__xludf.DUMMYFUNCTION("""COMPUTED_VALUE"""),52.3913876272363)</f>
        <v>52.39138763</v>
      </c>
    </row>
    <row r="508">
      <c r="A508" s="30" t="str">
        <f>IFERROR(__xludf.DUMMYFUNCTION("""COMPUTED_VALUE"""),"RSC007546")</f>
        <v>RSC007546</v>
      </c>
      <c r="B508" s="30" t="str">
        <f>IFERROR(__xludf.DUMMYFUNCTION("""COMPUTED_VALUE"""),"N0TTopmarx")</f>
        <v>N0TTopmarx</v>
      </c>
      <c r="C508" s="30" t="str">
        <f>IFERROR(__xludf.DUMMYFUNCTION("""COMPUTED_VALUE"""),"Challenger")</f>
        <v>Challenger</v>
      </c>
      <c r="D508" s="30" t="str">
        <f>IFERROR(__xludf.DUMMYFUNCTION("""COMPUTED_VALUE"""),"Metal")</f>
        <v>Metal</v>
      </c>
      <c r="E508" s="30" t="str">
        <f>IFERROR(__xludf.DUMMYFUNCTION("""COMPUTED_VALUE"""),"The Elements")</f>
        <v>The Elements</v>
      </c>
      <c r="F508" s="30" t="str">
        <f>IFERROR(__xludf.DUMMYFUNCTION("""COMPUTED_VALUE"""),"Solar")</f>
        <v>Solar</v>
      </c>
      <c r="G508" s="92">
        <f>IFERROR(__xludf.DUMMYFUNCTION("""COMPUTED_VALUE"""),37.65449869223839)</f>
        <v>37.65449869</v>
      </c>
    </row>
    <row r="509">
      <c r="A509" s="30" t="str">
        <f>IFERROR(__xludf.DUMMYFUNCTION("""COMPUTED_VALUE"""),"RSC006346")</f>
        <v>RSC006346</v>
      </c>
      <c r="B509" s="30" t="str">
        <f>IFERROR(__xludf.DUMMYFUNCTION("""COMPUTED_VALUE"""),"MobBossCitrus")</f>
        <v>MobBossCitrus</v>
      </c>
      <c r="C509" s="30" t="str">
        <f>IFERROR(__xludf.DUMMYFUNCTION("""COMPUTED_VALUE"""),"Challenger")</f>
        <v>Challenger</v>
      </c>
      <c r="D509" s="30" t="str">
        <f>IFERROR(__xludf.DUMMYFUNCTION("""COMPUTED_VALUE"""),"Void
Jock O Lanterns")</f>
        <v>Void
Jock O Lanterns</v>
      </c>
      <c r="E509" s="30" t="str">
        <f>IFERROR(__xludf.DUMMYFUNCTION("""COMPUTED_VALUE"""),"Event Horizon
Ghoul School")</f>
        <v>Event Horizon
Ghoul School</v>
      </c>
      <c r="F509" s="30" t="str">
        <f>IFERROR(__xludf.DUMMYFUNCTION("""COMPUTED_VALUE"""),"Solar")</f>
        <v>Solar</v>
      </c>
      <c r="G509" s="92">
        <f>IFERROR(__xludf.DUMMYFUNCTION("""COMPUTED_VALUE"""),40.95447379721201)</f>
        <v>40.9544738</v>
      </c>
    </row>
    <row r="510">
      <c r="A510" s="30" t="str">
        <f>IFERROR(__xludf.DUMMYFUNCTION("""COMPUTED_VALUE"""),"RSC005859")</f>
        <v>RSC005859</v>
      </c>
      <c r="B510" s="30" t="str">
        <f>IFERROR(__xludf.DUMMYFUNCTION("""COMPUTED_VALUE"""),"LedTasso")</f>
        <v>LedTasso</v>
      </c>
      <c r="C510" s="30" t="str">
        <f>IFERROR(__xludf.DUMMYFUNCTION("""COMPUTED_VALUE"""),"Challenger")</f>
        <v>Challenger</v>
      </c>
      <c r="D510" s="30" t="str">
        <f>IFERROR(__xludf.DUMMYFUNCTION("""COMPUTED_VALUE"""),"Jock O Lanterns")</f>
        <v>Jock O Lanterns</v>
      </c>
      <c r="E510" s="30" t="str">
        <f>IFERROR(__xludf.DUMMYFUNCTION("""COMPUTED_VALUE"""),"Ghoul School")</f>
        <v>Ghoul School</v>
      </c>
      <c r="F510" s="30" t="str">
        <f>IFERROR(__xludf.DUMMYFUNCTION("""COMPUTED_VALUE"""),"Solar")</f>
        <v>Solar</v>
      </c>
      <c r="G510" s="92">
        <f>IFERROR(__xludf.DUMMYFUNCTION("""COMPUTED_VALUE"""),41.90246664227186)</f>
        <v>41.90246664</v>
      </c>
    </row>
    <row r="511">
      <c r="A511" s="30" t="str">
        <f>IFERROR(__xludf.DUMMYFUNCTION("""COMPUTED_VALUE"""),"RSC002128")</f>
        <v>RSC002128</v>
      </c>
      <c r="B511" s="30" t="str">
        <f>IFERROR(__xludf.DUMMYFUNCTION("""COMPUTED_VALUE"""),"Velo")</f>
        <v>Velo</v>
      </c>
      <c r="C511" s="30" t="str">
        <f>IFERROR(__xludf.DUMMYFUNCTION("""COMPUTED_VALUE"""),"Challenger")</f>
        <v>Challenger</v>
      </c>
      <c r="D511" s="30" t="str">
        <f>IFERROR(__xludf.DUMMYFUNCTION("""COMPUTED_VALUE"""),"Jock O Lanterns")</f>
        <v>Jock O Lanterns</v>
      </c>
      <c r="E511" s="30" t="str">
        <f>IFERROR(__xludf.DUMMYFUNCTION("""COMPUTED_VALUE"""),"Ghoul School")</f>
        <v>Ghoul School</v>
      </c>
      <c r="F511" s="30" t="str">
        <f>IFERROR(__xludf.DUMMYFUNCTION("""COMPUTED_VALUE"""),"Solar")</f>
        <v>Solar</v>
      </c>
      <c r="G511" s="92">
        <f>IFERROR(__xludf.DUMMYFUNCTION("""COMPUTED_VALUE"""),42.33957964774379)</f>
        <v>42.33957965</v>
      </c>
    </row>
    <row r="512">
      <c r="A512" s="30" t="str">
        <f>IFERROR(__xludf.DUMMYFUNCTION("""COMPUTED_VALUE"""),"RSC000663")</f>
        <v>RSC000663</v>
      </c>
      <c r="B512" s="30" t="str">
        <f>IFERROR(__xludf.DUMMYFUNCTION("""COMPUTED_VALUE"""),"DrProfessorNoah")</f>
        <v>DrProfessorNoah</v>
      </c>
      <c r="C512" s="30" t="str">
        <f>IFERROR(__xludf.DUMMYFUNCTION("""COMPUTED_VALUE"""),"Challenger")</f>
        <v>Challenger</v>
      </c>
      <c r="D512" s="30" t="str">
        <f>IFERROR(__xludf.DUMMYFUNCTION("""COMPUTED_VALUE"""),"Apple Associates")</f>
        <v>Apple Associates</v>
      </c>
      <c r="E512" s="30" t="str">
        <f>IFERROR(__xludf.DUMMYFUNCTION("""COMPUTED_VALUE"""),"The Syndicate")</f>
        <v>The Syndicate</v>
      </c>
      <c r="F512" s="30" t="str">
        <f>IFERROR(__xludf.DUMMYFUNCTION("""COMPUTED_VALUE"""),"Lunar")</f>
        <v>Lunar</v>
      </c>
      <c r="G512" s="92">
        <f>IFERROR(__xludf.DUMMYFUNCTION("""COMPUTED_VALUE"""),33.07949506493655)</f>
        <v>33.07949506</v>
      </c>
    </row>
    <row r="513">
      <c r="A513" s="30" t="str">
        <f>IFERROR(__xludf.DUMMYFUNCTION("""COMPUTED_VALUE"""),"RSC000025")</f>
        <v>RSC000025</v>
      </c>
      <c r="B513" s="30" t="str">
        <f>IFERROR(__xludf.DUMMYFUNCTION("""COMPUTED_VALUE"""),"Slayerof666")</f>
        <v>Slayerof666</v>
      </c>
      <c r="C513" s="30" t="str">
        <f>IFERROR(__xludf.DUMMYFUNCTION("""COMPUTED_VALUE"""),"Challenger")</f>
        <v>Challenger</v>
      </c>
      <c r="D513" s="30" t="str">
        <f>IFERROR(__xludf.DUMMYFUNCTION("""COMPUTED_VALUE"""),"Apple Associates")</f>
        <v>Apple Associates</v>
      </c>
      <c r="E513" s="30" t="str">
        <f>IFERROR(__xludf.DUMMYFUNCTION("""COMPUTED_VALUE"""),"The Syndicate")</f>
        <v>The Syndicate</v>
      </c>
      <c r="F513" s="30" t="str">
        <f>IFERROR(__xludf.DUMMYFUNCTION("""COMPUTED_VALUE"""),"Lunar")</f>
        <v>Lunar</v>
      </c>
      <c r="G513" s="92">
        <f>IFERROR(__xludf.DUMMYFUNCTION("""COMPUTED_VALUE"""),43.807213638180905)</f>
        <v>43.80721364</v>
      </c>
    </row>
    <row r="514">
      <c r="A514" s="30" t="str">
        <f>IFERROR(__xludf.DUMMYFUNCTION("""COMPUTED_VALUE"""),"RSC007549")</f>
        <v>RSC007549</v>
      </c>
      <c r="B514" s="30" t="str">
        <f>IFERROR(__xludf.DUMMYFUNCTION("""COMPUTED_VALUE"""),"Whiffy_RL")</f>
        <v>Whiffy_RL</v>
      </c>
      <c r="C514" s="30" t="str">
        <f>IFERROR(__xludf.DUMMYFUNCTION("""COMPUTED_VALUE"""),"Challenger")</f>
        <v>Challenger</v>
      </c>
      <c r="D514" s="30" t="str">
        <f>IFERROR(__xludf.DUMMYFUNCTION("""COMPUTED_VALUE"""),"Apple Associates")</f>
        <v>Apple Associates</v>
      </c>
      <c r="E514" s="30" t="str">
        <f>IFERROR(__xludf.DUMMYFUNCTION("""COMPUTED_VALUE"""),"The Syndicate")</f>
        <v>The Syndicate</v>
      </c>
      <c r="F514" s="30" t="str">
        <f>IFERROR(__xludf.DUMMYFUNCTION("""COMPUTED_VALUE"""),"Lunar")</f>
        <v>Lunar</v>
      </c>
      <c r="G514" s="92">
        <f>IFERROR(__xludf.DUMMYFUNCTION("""COMPUTED_VALUE"""),45.324195847126475)</f>
        <v>45.32419585</v>
      </c>
    </row>
    <row r="515">
      <c r="A515" s="30" t="str">
        <f>IFERROR(__xludf.DUMMYFUNCTION("""COMPUTED_VALUE"""),"RSC007613")</f>
        <v>RSC007613</v>
      </c>
      <c r="B515" s="30" t="str">
        <f>IFERROR(__xludf.DUMMYFUNCTION("""COMPUTED_VALUE"""),"Squatch70")</f>
        <v>Squatch70</v>
      </c>
      <c r="C515" s="30" t="str">
        <f>IFERROR(__xludf.DUMMYFUNCTION("""COMPUTED_VALUE"""),"Challenger")</f>
        <v>Challenger</v>
      </c>
      <c r="D515" s="30" t="str">
        <f>IFERROR(__xludf.DUMMYFUNCTION("""COMPUTED_VALUE"""),"Panda Bears")</f>
        <v>Panda Bears</v>
      </c>
      <c r="E515" s="30" t="str">
        <f>IFERROR(__xludf.DUMMYFUNCTION("""COMPUTED_VALUE"""),"The Bear Den")</f>
        <v>The Bear Den</v>
      </c>
      <c r="F515" s="30" t="str">
        <f>IFERROR(__xludf.DUMMYFUNCTION("""COMPUTED_VALUE"""),"Lunar")</f>
        <v>Lunar</v>
      </c>
      <c r="G515" s="92">
        <f>IFERROR(__xludf.DUMMYFUNCTION("""COMPUTED_VALUE"""),52.2229339461367)</f>
        <v>52.22293395</v>
      </c>
    </row>
    <row r="516">
      <c r="A516" s="30" t="str">
        <f>IFERROR(__xludf.DUMMYFUNCTION("""COMPUTED_VALUE"""),"RSC002897")</f>
        <v>RSC002897</v>
      </c>
      <c r="B516" s="30" t="str">
        <f>IFERROR(__xludf.DUMMYFUNCTION("""COMPUTED_VALUE"""),"VickyViksta")</f>
        <v>VickyViksta</v>
      </c>
      <c r="C516" s="30" t="str">
        <f>IFERROR(__xludf.DUMMYFUNCTION("""COMPUTED_VALUE"""),"Challenger")</f>
        <v>Challenger</v>
      </c>
      <c r="D516" s="30" t="str">
        <f>IFERROR(__xludf.DUMMYFUNCTION("""COMPUTED_VALUE"""),"Panda Bears")</f>
        <v>Panda Bears</v>
      </c>
      <c r="E516" s="30" t="str">
        <f>IFERROR(__xludf.DUMMYFUNCTION("""COMPUTED_VALUE"""),"The Bear Den")</f>
        <v>The Bear Den</v>
      </c>
      <c r="F516" s="30" t="str">
        <f>IFERROR(__xludf.DUMMYFUNCTION("""COMPUTED_VALUE"""),"Lunar")</f>
        <v>Lunar</v>
      </c>
      <c r="G516" s="92">
        <f>IFERROR(__xludf.DUMMYFUNCTION("""COMPUTED_VALUE"""),39.04398929353359)</f>
        <v>39.04398929</v>
      </c>
    </row>
    <row r="517">
      <c r="A517" s="30" t="str">
        <f>IFERROR(__xludf.DUMMYFUNCTION("""COMPUTED_VALUE"""),"RSC006244")</f>
        <v>RSC006244</v>
      </c>
      <c r="B517" s="30" t="str">
        <f>IFERROR(__xludf.DUMMYFUNCTION("""COMPUTED_VALUE"""),"Whiite Bear")</f>
        <v>Whiite Bear</v>
      </c>
      <c r="C517" s="30" t="str">
        <f>IFERROR(__xludf.DUMMYFUNCTION("""COMPUTED_VALUE"""),"Challenger")</f>
        <v>Challenger</v>
      </c>
      <c r="D517" s="30" t="str">
        <f>IFERROR(__xludf.DUMMYFUNCTION("""COMPUTED_VALUE"""),"Panda Bears")</f>
        <v>Panda Bears</v>
      </c>
      <c r="E517" s="30" t="str">
        <f>IFERROR(__xludf.DUMMYFUNCTION("""COMPUTED_VALUE"""),"The Bear Den")</f>
        <v>The Bear Den</v>
      </c>
      <c r="F517" s="30" t="str">
        <f>IFERROR(__xludf.DUMMYFUNCTION("""COMPUTED_VALUE"""),"Lunar")</f>
        <v>Lunar</v>
      </c>
      <c r="G517" s="92">
        <f>IFERROR(__xludf.DUMMYFUNCTION("""COMPUTED_VALUE"""),48.09118182741014)</f>
        <v>48.09118183</v>
      </c>
    </row>
    <row r="518">
      <c r="A518" s="30" t="str">
        <f>IFERROR(__xludf.DUMMYFUNCTION("""COMPUTED_VALUE"""),"RSC006240")</f>
        <v>RSC006240</v>
      </c>
      <c r="B518" s="30" t="str">
        <f>IFERROR(__xludf.DUMMYFUNCTION("""COMPUTED_VALUE"""),"Canadian Gamer")</f>
        <v>Canadian Gamer</v>
      </c>
      <c r="C518" s="30" t="str">
        <f>IFERROR(__xludf.DUMMYFUNCTION("""COMPUTED_VALUE"""),"Challenger")</f>
        <v>Challenger</v>
      </c>
      <c r="D518" s="30" t="str">
        <f>IFERROR(__xludf.DUMMYFUNCTION("""COMPUTED_VALUE"""),"Meat Lovers")</f>
        <v>Meat Lovers</v>
      </c>
      <c r="E518" s="30" t="str">
        <f>IFERROR(__xludf.DUMMYFUNCTION("""COMPUTED_VALUE"""),"Fifty-Fifty Pizzeria")</f>
        <v>Fifty-Fifty Pizzeria</v>
      </c>
      <c r="F518" s="30" t="str">
        <f>IFERROR(__xludf.DUMMYFUNCTION("""COMPUTED_VALUE"""),"Lunar")</f>
        <v>Lunar</v>
      </c>
      <c r="G518" s="92">
        <f>IFERROR(__xludf.DUMMYFUNCTION("""COMPUTED_VALUE"""),61.588265006678505)</f>
        <v>61.58826501</v>
      </c>
    </row>
    <row r="519">
      <c r="A519" s="30" t="str">
        <f>IFERROR(__xludf.DUMMYFUNCTION("""COMPUTED_VALUE"""),"RSC006976")</f>
        <v>RSC006976</v>
      </c>
      <c r="B519" s="30" t="str">
        <f>IFERROR(__xludf.DUMMYFUNCTION("""COMPUTED_VALUE"""),"Slendda")</f>
        <v>Slendda</v>
      </c>
      <c r="C519" s="30" t="str">
        <f>IFERROR(__xludf.DUMMYFUNCTION("""COMPUTED_VALUE"""),"Challenger")</f>
        <v>Challenger</v>
      </c>
      <c r="D519" s="30" t="str">
        <f>IFERROR(__xludf.DUMMYFUNCTION("""COMPUTED_VALUE"""),"Meat Lovers")</f>
        <v>Meat Lovers</v>
      </c>
      <c r="E519" s="30" t="str">
        <f>IFERROR(__xludf.DUMMYFUNCTION("""COMPUTED_VALUE"""),"Fifty-Fifty Pizzeria")</f>
        <v>Fifty-Fifty Pizzeria</v>
      </c>
      <c r="F519" s="30" t="str">
        <f>IFERROR(__xludf.DUMMYFUNCTION("""COMPUTED_VALUE"""),"Lunar")</f>
        <v>Lunar</v>
      </c>
      <c r="G519" s="92">
        <f>IFERROR(__xludf.DUMMYFUNCTION("""COMPUTED_VALUE"""),82.61429350846385)</f>
        <v>82.61429351</v>
      </c>
    </row>
    <row r="520">
      <c r="A520" s="30" t="str">
        <f>IFERROR(__xludf.DUMMYFUNCTION("""COMPUTED_VALUE"""),"RSC007093")</f>
        <v>RSC007093</v>
      </c>
      <c r="B520" s="30" t="str">
        <f>IFERROR(__xludf.DUMMYFUNCTION("""COMPUTED_VALUE"""),"Mangy")</f>
        <v>Mangy</v>
      </c>
      <c r="C520" s="30" t="str">
        <f>IFERROR(__xludf.DUMMYFUNCTION("""COMPUTED_VALUE"""),"Challenger")</f>
        <v>Challenger</v>
      </c>
      <c r="D520" s="30" t="str">
        <f>IFERROR(__xludf.DUMMYFUNCTION("""COMPUTED_VALUE"""),"Meat Lovers")</f>
        <v>Meat Lovers</v>
      </c>
      <c r="E520" s="30" t="str">
        <f>IFERROR(__xludf.DUMMYFUNCTION("""COMPUTED_VALUE"""),"Fifty-Fifty Pizzeria")</f>
        <v>Fifty-Fifty Pizzeria</v>
      </c>
      <c r="F520" s="30" t="str">
        <f>IFERROR(__xludf.DUMMYFUNCTION("""COMPUTED_VALUE"""),"Lunar")</f>
        <v>Lunar</v>
      </c>
      <c r="G520" s="92">
        <f>IFERROR(__xludf.DUMMYFUNCTION("""COMPUTED_VALUE"""),78.52620332333161)</f>
        <v>78.52620332</v>
      </c>
    </row>
    <row r="521">
      <c r="A521" s="30" t="str">
        <f>IFERROR(__xludf.DUMMYFUNCTION("""COMPUTED_VALUE"""),"RSC000357")</f>
        <v>RSC000357</v>
      </c>
      <c r="B521" s="30" t="str">
        <f>IFERROR(__xludf.DUMMYFUNCTION("""COMPUTED_VALUE"""),"Primed")</f>
        <v>Primed</v>
      </c>
      <c r="C521" s="30" t="str">
        <f>IFERROR(__xludf.DUMMYFUNCTION("""COMPUTED_VALUE"""),"Challenger")</f>
        <v>Challenger</v>
      </c>
      <c r="D521" s="30" t="str">
        <f>IFERROR(__xludf.DUMMYFUNCTION("""COMPUTED_VALUE"""),"Decuriones")</f>
        <v>Decuriones</v>
      </c>
      <c r="E521" s="30" t="str">
        <f>IFERROR(__xludf.DUMMYFUNCTION("""COMPUTED_VALUE"""),"The Sovereign")</f>
        <v>The Sovereign</v>
      </c>
      <c r="F521" s="30" t="str">
        <f>IFERROR(__xludf.DUMMYFUNCTION("""COMPUTED_VALUE"""),"Lunar")</f>
        <v>Lunar</v>
      </c>
      <c r="G521" s="92">
        <f>IFERROR(__xludf.DUMMYFUNCTION("""COMPUTED_VALUE"""),43.09492499236311)</f>
        <v>43.09492499</v>
      </c>
    </row>
    <row r="522">
      <c r="A522" s="30" t="str">
        <f>IFERROR(__xludf.DUMMYFUNCTION("""COMPUTED_VALUE"""),"RSC004059")</f>
        <v>RSC004059</v>
      </c>
      <c r="B522" s="30" t="str">
        <f>IFERROR(__xludf.DUMMYFUNCTION("""COMPUTED_VALUE"""),"turboalpaca")</f>
        <v>turboalpaca</v>
      </c>
      <c r="C522" s="30" t="str">
        <f>IFERROR(__xludf.DUMMYFUNCTION("""COMPUTED_VALUE"""),"Challenger")</f>
        <v>Challenger</v>
      </c>
      <c r="D522" s="30" t="str">
        <f>IFERROR(__xludf.DUMMYFUNCTION("""COMPUTED_VALUE"""),"Decuriones")</f>
        <v>Decuriones</v>
      </c>
      <c r="E522" s="30" t="str">
        <f>IFERROR(__xludf.DUMMYFUNCTION("""COMPUTED_VALUE"""),"The Sovereign")</f>
        <v>The Sovereign</v>
      </c>
      <c r="F522" s="30" t="str">
        <f>IFERROR(__xludf.DUMMYFUNCTION("""COMPUTED_VALUE"""),"Lunar")</f>
        <v>Lunar</v>
      </c>
      <c r="G522" s="92">
        <f>IFERROR(__xludf.DUMMYFUNCTION("""COMPUTED_VALUE"""),51.76285351503324)</f>
        <v>51.76285352</v>
      </c>
    </row>
    <row r="523">
      <c r="A523" s="30" t="str">
        <f>IFERROR(__xludf.DUMMYFUNCTION("""COMPUTED_VALUE"""),"RSC005265")</f>
        <v>RSC005265</v>
      </c>
      <c r="B523" s="30" t="str">
        <f>IFERROR(__xludf.DUMMYFUNCTION("""COMPUTED_VALUE"""),"doctorprofessor_")</f>
        <v>doctorprofessor_</v>
      </c>
      <c r="C523" s="30" t="str">
        <f>IFERROR(__xludf.DUMMYFUNCTION("""COMPUTED_VALUE"""),"Challenger")</f>
        <v>Challenger</v>
      </c>
      <c r="D523" s="30" t="str">
        <f>IFERROR(__xludf.DUMMYFUNCTION("""COMPUTED_VALUE"""),"Decuriones")</f>
        <v>Decuriones</v>
      </c>
      <c r="E523" s="30" t="str">
        <f>IFERROR(__xludf.DUMMYFUNCTION("""COMPUTED_VALUE"""),"The Sovereign")</f>
        <v>The Sovereign</v>
      </c>
      <c r="F523" s="30" t="str">
        <f>IFERROR(__xludf.DUMMYFUNCTION("""COMPUTED_VALUE"""),"Lunar")</f>
        <v>Lunar</v>
      </c>
      <c r="G523" s="92">
        <f>IFERROR(__xludf.DUMMYFUNCTION("""COMPUTED_VALUE"""),66.64746742485922)</f>
        <v>66.64746742</v>
      </c>
    </row>
    <row r="524">
      <c r="A524" s="30" t="str">
        <f>IFERROR(__xludf.DUMMYFUNCTION("""COMPUTED_VALUE"""),"RSC006159")</f>
        <v>RSC006159</v>
      </c>
      <c r="B524" s="30" t="str">
        <f>IFERROR(__xludf.DUMMYFUNCTION("""COMPUTED_VALUE"""),"Peter Potamus")</f>
        <v>Peter Potamus</v>
      </c>
      <c r="C524" s="30" t="str">
        <f>IFERROR(__xludf.DUMMYFUNCTION("""COMPUTED_VALUE"""),"Challenger")</f>
        <v>Challenger</v>
      </c>
      <c r="D524" s="30" t="str">
        <f>IFERROR(__xludf.DUMMYFUNCTION("""COMPUTED_VALUE"""),"Lions")</f>
        <v>Lions</v>
      </c>
      <c r="E524" s="30" t="str">
        <f>IFERROR(__xludf.DUMMYFUNCTION("""COMPUTED_VALUE"""),"Safari")</f>
        <v>Safari</v>
      </c>
      <c r="F524" s="30" t="str">
        <f>IFERROR(__xludf.DUMMYFUNCTION("""COMPUTED_VALUE"""),"Lunar")</f>
        <v>Lunar</v>
      </c>
      <c r="G524" s="92">
        <f>IFERROR(__xludf.DUMMYFUNCTION("""COMPUTED_VALUE"""),62.59022506672559)</f>
        <v>62.59022507</v>
      </c>
    </row>
    <row r="525">
      <c r="A525" s="30" t="str">
        <f>IFERROR(__xludf.DUMMYFUNCTION("""COMPUTED_VALUE"""),"RSC007590")</f>
        <v>RSC007590</v>
      </c>
      <c r="B525" s="30" t="str">
        <f>IFERROR(__xludf.DUMMYFUNCTION("""COMPUTED_VALUE"""),"DonkeyPancakes2")</f>
        <v>DonkeyPancakes2</v>
      </c>
      <c r="C525" s="30" t="str">
        <f>IFERROR(__xludf.DUMMYFUNCTION("""COMPUTED_VALUE"""),"Challenger")</f>
        <v>Challenger</v>
      </c>
      <c r="D525" s="30" t="str">
        <f>IFERROR(__xludf.DUMMYFUNCTION("""COMPUTED_VALUE"""),"Lions")</f>
        <v>Lions</v>
      </c>
      <c r="E525" s="30" t="str">
        <f>IFERROR(__xludf.DUMMYFUNCTION("""COMPUTED_VALUE"""),"Safari")</f>
        <v>Safari</v>
      </c>
      <c r="F525" s="30" t="str">
        <f>IFERROR(__xludf.DUMMYFUNCTION("""COMPUTED_VALUE"""),"Lunar")</f>
        <v>Lunar</v>
      </c>
      <c r="G525" s="92">
        <f>IFERROR(__xludf.DUMMYFUNCTION("""COMPUTED_VALUE"""),50.1867125416017)</f>
        <v>50.18671254</v>
      </c>
    </row>
    <row r="526">
      <c r="A526" s="30" t="str">
        <f>IFERROR(__xludf.DUMMYFUNCTION("""COMPUTED_VALUE"""),"RSC005150")</f>
        <v>RSC005150</v>
      </c>
      <c r="B526" s="30" t="str">
        <f>IFERROR(__xludf.DUMMYFUNCTION("""COMPUTED_VALUE"""),"Galatiq")</f>
        <v>Galatiq</v>
      </c>
      <c r="C526" s="30" t="str">
        <f>IFERROR(__xludf.DUMMYFUNCTION("""COMPUTED_VALUE"""),"Challenger")</f>
        <v>Challenger</v>
      </c>
      <c r="D526" s="30" t="str">
        <f>IFERROR(__xludf.DUMMYFUNCTION("""COMPUTED_VALUE"""),"Lions")</f>
        <v>Lions</v>
      </c>
      <c r="E526" s="30" t="str">
        <f>IFERROR(__xludf.DUMMYFUNCTION("""COMPUTED_VALUE"""),"Safari")</f>
        <v>Safari</v>
      </c>
      <c r="F526" s="30" t="str">
        <f>IFERROR(__xludf.DUMMYFUNCTION("""COMPUTED_VALUE"""),"Lunar")</f>
        <v>Lunar</v>
      </c>
      <c r="G526" s="92">
        <f>IFERROR(__xludf.DUMMYFUNCTION("""COMPUTED_VALUE"""),65.91129441382822)</f>
        <v>65.91129441</v>
      </c>
    </row>
    <row r="527">
      <c r="A527" s="30" t="str">
        <f>IFERROR(__xludf.DUMMYFUNCTION("""COMPUTED_VALUE"""),"RSC007560")</f>
        <v>RSC007560</v>
      </c>
      <c r="B527" s="30" t="str">
        <f>IFERROR(__xludf.DUMMYFUNCTION("""COMPUTED_VALUE"""),"ObiWan_Can_O_Bee")</f>
        <v>ObiWan_Can_O_Bee</v>
      </c>
      <c r="C527" s="30" t="str">
        <f>IFERROR(__xludf.DUMMYFUNCTION("""COMPUTED_VALUE"""),"Challenger")</f>
        <v>Challenger</v>
      </c>
      <c r="D527" s="30" t="str">
        <f>IFERROR(__xludf.DUMMYFUNCTION("""COMPUTED_VALUE"""),"Shade")</f>
        <v>Shade</v>
      </c>
      <c r="E527" s="30" t="str">
        <f>IFERROR(__xludf.DUMMYFUNCTION("""COMPUTED_VALUE"""),"The Shadows")</f>
        <v>The Shadows</v>
      </c>
      <c r="F527" s="30" t="str">
        <f>IFERROR(__xludf.DUMMYFUNCTION("""COMPUTED_VALUE"""),"Lunar")</f>
        <v>Lunar</v>
      </c>
      <c r="G527" s="92">
        <f>IFERROR(__xludf.DUMMYFUNCTION("""COMPUTED_VALUE"""),33.75496981610426)</f>
        <v>33.75496982</v>
      </c>
    </row>
    <row r="528">
      <c r="A528" s="30" t="str">
        <f>IFERROR(__xludf.DUMMYFUNCTION("""COMPUTED_VALUE"""),"RSC000938")</f>
        <v>RSC000938</v>
      </c>
      <c r="B528" s="30" t="str">
        <f>IFERROR(__xludf.DUMMYFUNCTION("""COMPUTED_VALUE"""),"Nukem_IV")</f>
        <v>Nukem_IV</v>
      </c>
      <c r="C528" s="30" t="str">
        <f>IFERROR(__xludf.DUMMYFUNCTION("""COMPUTED_VALUE"""),"Challenger")</f>
        <v>Challenger</v>
      </c>
      <c r="D528" s="30" t="str">
        <f>IFERROR(__xludf.DUMMYFUNCTION("""COMPUTED_VALUE"""),"Spearmint
Mugged
Solstice Sake
Shade")</f>
        <v>Spearmint
Mugged
Solstice Sake
Shade</v>
      </c>
      <c r="E528" s="30" t="str">
        <f>IFERROR(__xludf.DUMMYFUNCTION("""COMPUTED_VALUE"""),"Minty Fresh
The Hood
5 O'clock Nowhere
The Shadows")</f>
        <v>Minty Fresh
The Hood
5 O'clock Nowhere
The Shadows</v>
      </c>
      <c r="F528" s="30" t="str">
        <f>IFERROR(__xludf.DUMMYFUNCTION("""COMPUTED_VALUE"""),"Lunar")</f>
        <v>Lunar</v>
      </c>
      <c r="G528" s="92">
        <f>IFERROR(__xludf.DUMMYFUNCTION("""COMPUTED_VALUE"""),47.104301468150844)</f>
        <v>47.10430147</v>
      </c>
    </row>
    <row r="529">
      <c r="A529" s="30" t="str">
        <f>IFERROR(__xludf.DUMMYFUNCTION("""COMPUTED_VALUE"""),"RSC005219")</f>
        <v>RSC005219</v>
      </c>
      <c r="B529" s="30" t="str">
        <f>IFERROR(__xludf.DUMMYFUNCTION("""COMPUTED_VALUE"""),"iargue")</f>
        <v>iargue</v>
      </c>
      <c r="C529" s="30" t="str">
        <f>IFERROR(__xludf.DUMMYFUNCTION("""COMPUTED_VALUE"""),"Challenger")</f>
        <v>Challenger</v>
      </c>
      <c r="D529" s="30" t="str">
        <f>IFERROR(__xludf.DUMMYFUNCTION("""COMPUTED_VALUE"""),"Shade")</f>
        <v>Shade</v>
      </c>
      <c r="E529" s="30" t="str">
        <f>IFERROR(__xludf.DUMMYFUNCTION("""COMPUTED_VALUE"""),"The Shadows")</f>
        <v>The Shadows</v>
      </c>
      <c r="F529" s="30" t="str">
        <f>IFERROR(__xludf.DUMMYFUNCTION("""COMPUTED_VALUE"""),"Lunar")</f>
        <v>Lunar</v>
      </c>
      <c r="G529" s="92">
        <f>IFERROR(__xludf.DUMMYFUNCTION("""COMPUTED_VALUE"""),-0.7586001480905935)</f>
        <v>-0.7586001481</v>
      </c>
    </row>
    <row r="530">
      <c r="A530" s="30" t="str">
        <f>IFERROR(__xludf.DUMMYFUNCTION("""COMPUTED_VALUE"""),"RSC007370")</f>
        <v>RSC007370</v>
      </c>
      <c r="B530" s="30" t="str">
        <f>IFERROR(__xludf.DUMMYFUNCTION("""COMPUTED_VALUE"""),"Jarrod81535")</f>
        <v>Jarrod81535</v>
      </c>
      <c r="C530" s="30" t="str">
        <f>IFERROR(__xludf.DUMMYFUNCTION("""COMPUTED_VALUE"""),"Challenger")</f>
        <v>Challenger</v>
      </c>
      <c r="D530" s="30" t="str">
        <f>IFERROR(__xludf.DUMMYFUNCTION("""COMPUTED_VALUE"""),"Trippy Hippies")</f>
        <v>Trippy Hippies</v>
      </c>
      <c r="E530" s="30" t="str">
        <f>IFERROR(__xludf.DUMMYFUNCTION("""COMPUTED_VALUE"""),"Vibe Tribe")</f>
        <v>Vibe Tribe</v>
      </c>
      <c r="F530" s="30" t="str">
        <f>IFERROR(__xludf.DUMMYFUNCTION("""COMPUTED_VALUE"""),"Lunar")</f>
        <v>Lunar</v>
      </c>
      <c r="G530" s="92">
        <f>IFERROR(__xludf.DUMMYFUNCTION("""COMPUTED_VALUE"""),29.111765996395523)</f>
        <v>29.111766</v>
      </c>
    </row>
    <row r="531">
      <c r="A531" s="30" t="str">
        <f>IFERROR(__xludf.DUMMYFUNCTION("""COMPUTED_VALUE"""),"RSC006299")</f>
        <v>RSC006299</v>
      </c>
      <c r="B531" s="30" t="str">
        <f>IFERROR(__xludf.DUMMYFUNCTION("""COMPUTED_VALUE"""),"dr_zachattack")</f>
        <v>dr_zachattack</v>
      </c>
      <c r="C531" s="30" t="str">
        <f>IFERROR(__xludf.DUMMYFUNCTION("""COMPUTED_VALUE"""),"Challenger")</f>
        <v>Challenger</v>
      </c>
      <c r="D531" s="30" t="str">
        <f>IFERROR(__xludf.DUMMYFUNCTION("""COMPUTED_VALUE"""),"Trippy Hippies")</f>
        <v>Trippy Hippies</v>
      </c>
      <c r="E531" s="30" t="str">
        <f>IFERROR(__xludf.DUMMYFUNCTION("""COMPUTED_VALUE"""),"Vibe Tribe")</f>
        <v>Vibe Tribe</v>
      </c>
      <c r="F531" s="30" t="str">
        <f>IFERROR(__xludf.DUMMYFUNCTION("""COMPUTED_VALUE"""),"Lunar")</f>
        <v>Lunar</v>
      </c>
      <c r="G531" s="92">
        <f>IFERROR(__xludf.DUMMYFUNCTION("""COMPUTED_VALUE"""),68.90463772029455)</f>
        <v>68.90463772</v>
      </c>
    </row>
    <row r="532">
      <c r="A532" s="30" t="str">
        <f>IFERROR(__xludf.DUMMYFUNCTION("""COMPUTED_VALUE"""),"RSC001066")</f>
        <v>RSC001066</v>
      </c>
      <c r="B532" s="30" t="str">
        <f>IFERROR(__xludf.DUMMYFUNCTION("""COMPUTED_VALUE"""),"risu")</f>
        <v>risu</v>
      </c>
      <c r="C532" s="30" t="str">
        <f>IFERROR(__xludf.DUMMYFUNCTION("""COMPUTED_VALUE"""),"Challenger")</f>
        <v>Challenger</v>
      </c>
      <c r="D532" s="30" t="str">
        <f>IFERROR(__xludf.DUMMYFUNCTION("""COMPUTED_VALUE"""),"Trippy Hippies")</f>
        <v>Trippy Hippies</v>
      </c>
      <c r="E532" s="30" t="str">
        <f>IFERROR(__xludf.DUMMYFUNCTION("""COMPUTED_VALUE"""),"Vibe Tribe")</f>
        <v>Vibe Tribe</v>
      </c>
      <c r="F532" s="30" t="str">
        <f>IFERROR(__xludf.DUMMYFUNCTION("""COMPUTED_VALUE"""),"Lunar")</f>
        <v>Lunar</v>
      </c>
      <c r="G532" s="92">
        <f>IFERROR(__xludf.DUMMYFUNCTION("""COMPUTED_VALUE"""),51.10110090151408)</f>
        <v>51.1011009</v>
      </c>
    </row>
    <row r="533">
      <c r="A533" s="30" t="str">
        <f>IFERROR(__xludf.DUMMYFUNCTION("""COMPUTED_VALUE"""),"RSC004763")</f>
        <v>RSC004763</v>
      </c>
      <c r="B533" s="30" t="str">
        <f>IFERROR(__xludf.DUMMYFUNCTION("""COMPUTED_VALUE"""),"Rmuru-")</f>
        <v>Rmuru-</v>
      </c>
      <c r="C533" s="30" t="str">
        <f>IFERROR(__xludf.DUMMYFUNCTION("""COMPUTED_VALUE"""),"Challenger")</f>
        <v>Challenger</v>
      </c>
      <c r="D533" s="30" t="str">
        <f>IFERROR(__xludf.DUMMYFUNCTION("""COMPUTED_VALUE"""),"Warbirds")</f>
        <v>Warbirds</v>
      </c>
      <c r="E533" s="30" t="str">
        <f>IFERROR(__xludf.DUMMYFUNCTION("""COMPUTED_VALUE"""),"Remove Before Flight")</f>
        <v>Remove Before Flight</v>
      </c>
      <c r="F533" s="30" t="str">
        <f>IFERROR(__xludf.DUMMYFUNCTION("""COMPUTED_VALUE"""),"Lunar")</f>
        <v>Lunar</v>
      </c>
      <c r="G533" s="92">
        <f>IFERROR(__xludf.DUMMYFUNCTION("""COMPUTED_VALUE"""),53.26358133009113)</f>
        <v>53.26358133</v>
      </c>
    </row>
    <row r="534">
      <c r="A534" s="30" t="str">
        <f>IFERROR(__xludf.DUMMYFUNCTION("""COMPUTED_VALUE"""),"RSC007960")</f>
        <v>RSC007960</v>
      </c>
      <c r="B534" s="30" t="str">
        <f>IFERROR(__xludf.DUMMYFUNCTION("""COMPUTED_VALUE"""),"Kayo")</f>
        <v>Kayo</v>
      </c>
      <c r="C534" s="30" t="str">
        <f>IFERROR(__xludf.DUMMYFUNCTION("""COMPUTED_VALUE"""),"Challenger")</f>
        <v>Challenger</v>
      </c>
      <c r="D534" s="30" t="str">
        <f>IFERROR(__xludf.DUMMYFUNCTION("""COMPUTED_VALUE"""),"Warbirds")</f>
        <v>Warbirds</v>
      </c>
      <c r="E534" s="30" t="str">
        <f>IFERROR(__xludf.DUMMYFUNCTION("""COMPUTED_VALUE"""),"Remove Before Flight")</f>
        <v>Remove Before Flight</v>
      </c>
      <c r="F534" s="30" t="str">
        <f>IFERROR(__xludf.DUMMYFUNCTION("""COMPUTED_VALUE"""),"Lunar")</f>
        <v>Lunar</v>
      </c>
      <c r="G534" s="92">
        <f>IFERROR(__xludf.DUMMYFUNCTION("""COMPUTED_VALUE"""),66.64191910520498)</f>
        <v>66.64191911</v>
      </c>
    </row>
    <row r="535">
      <c r="A535" s="30" t="str">
        <f>IFERROR(__xludf.DUMMYFUNCTION("""COMPUTED_VALUE"""),"RSC004597")</f>
        <v>RSC004597</v>
      </c>
      <c r="B535" s="30" t="str">
        <f>IFERROR(__xludf.DUMMYFUNCTION("""COMPUTED_VALUE"""),"xXBlindBeastXx")</f>
        <v>xXBlindBeastXx</v>
      </c>
      <c r="C535" s="30" t="str">
        <f>IFERROR(__xludf.DUMMYFUNCTION("""COMPUTED_VALUE"""),"Challenger")</f>
        <v>Challenger</v>
      </c>
      <c r="D535" s="30" t="str">
        <f>IFERROR(__xludf.DUMMYFUNCTION("""COMPUTED_VALUE"""),"Warbirds")</f>
        <v>Warbirds</v>
      </c>
      <c r="E535" s="30" t="str">
        <f>IFERROR(__xludf.DUMMYFUNCTION("""COMPUTED_VALUE"""),"Remove Before Flight")</f>
        <v>Remove Before Flight</v>
      </c>
      <c r="F535" s="30" t="str">
        <f>IFERROR(__xludf.DUMMYFUNCTION("""COMPUTED_VALUE"""),"Lunar")</f>
        <v>Lunar</v>
      </c>
      <c r="G535" s="92">
        <f>IFERROR(__xludf.DUMMYFUNCTION("""COMPUTED_VALUE"""),24.827607894396525)</f>
        <v>24.82760789</v>
      </c>
    </row>
    <row r="536">
      <c r="A536" s="30" t="str">
        <f>IFERROR(__xludf.DUMMYFUNCTION("""COMPUTED_VALUE"""),"RSC007294")</f>
        <v>RSC007294</v>
      </c>
      <c r="B536" s="30" t="str">
        <f>IFERROR(__xludf.DUMMYFUNCTION("""COMPUTED_VALUE"""),"CF0UR_")</f>
        <v>CF0UR_</v>
      </c>
      <c r="C536" s="30" t="str">
        <f>IFERROR(__xludf.DUMMYFUNCTION("""COMPUTED_VALUE"""),"Challenger")</f>
        <v>Challenger</v>
      </c>
      <c r="D536" s="30" t="str">
        <f>IFERROR(__xludf.DUMMYFUNCTION("""COMPUTED_VALUE"""),"Havarti Hustlers")</f>
        <v>Havarti Hustlers</v>
      </c>
      <c r="E536" s="30" t="str">
        <f>IFERROR(__xludf.DUMMYFUNCTION("""COMPUTED_VALUE"""),"Cheese Guild")</f>
        <v>Cheese Guild</v>
      </c>
      <c r="F536" s="30" t="str">
        <f>IFERROR(__xludf.DUMMYFUNCTION("""COMPUTED_VALUE"""),"Lunar")</f>
        <v>Lunar</v>
      </c>
      <c r="G536" s="92">
        <f>IFERROR(__xludf.DUMMYFUNCTION("""COMPUTED_VALUE"""),55.17554400960651)</f>
        <v>55.17554401</v>
      </c>
    </row>
    <row r="537">
      <c r="A537" s="30" t="str">
        <f>IFERROR(__xludf.DUMMYFUNCTION("""COMPUTED_VALUE"""),"RSC007065")</f>
        <v>RSC007065</v>
      </c>
      <c r="B537" s="30" t="str">
        <f>IFERROR(__xludf.DUMMYFUNCTION("""COMPUTED_VALUE"""),"Rampage")</f>
        <v>Rampage</v>
      </c>
      <c r="C537" s="30" t="str">
        <f>IFERROR(__xludf.DUMMYFUNCTION("""COMPUTED_VALUE"""),"Challenger")</f>
        <v>Challenger</v>
      </c>
      <c r="D537" s="30" t="str">
        <f>IFERROR(__xludf.DUMMYFUNCTION("""COMPUTED_VALUE"""),"Havarti Hustlers")</f>
        <v>Havarti Hustlers</v>
      </c>
      <c r="E537" s="30" t="str">
        <f>IFERROR(__xludf.DUMMYFUNCTION("""COMPUTED_VALUE"""),"Cheese Guild")</f>
        <v>Cheese Guild</v>
      </c>
      <c r="F537" s="30" t="str">
        <f>IFERROR(__xludf.DUMMYFUNCTION("""COMPUTED_VALUE"""),"Lunar")</f>
        <v>Lunar</v>
      </c>
      <c r="G537" s="92">
        <f>IFERROR(__xludf.DUMMYFUNCTION("""COMPUTED_VALUE"""),40.303543542407425)</f>
        <v>40.30354354</v>
      </c>
    </row>
    <row r="538">
      <c r="A538" s="30" t="str">
        <f>IFERROR(__xludf.DUMMYFUNCTION("""COMPUTED_VALUE"""),"RSC003387")</f>
        <v>RSC003387</v>
      </c>
      <c r="B538" s="30" t="str">
        <f>IFERROR(__xludf.DUMMYFUNCTION("""COMPUTED_VALUE"""),"Redline")</f>
        <v>Redline</v>
      </c>
      <c r="C538" s="30" t="str">
        <f>IFERROR(__xludf.DUMMYFUNCTION("""COMPUTED_VALUE"""),"Challenger")</f>
        <v>Challenger</v>
      </c>
      <c r="D538" s="30" t="str">
        <f>IFERROR(__xludf.DUMMYFUNCTION("""COMPUTED_VALUE"""),"Havarti Hustlers")</f>
        <v>Havarti Hustlers</v>
      </c>
      <c r="E538" s="30" t="str">
        <f>IFERROR(__xludf.DUMMYFUNCTION("""COMPUTED_VALUE"""),"Cheese Guild")</f>
        <v>Cheese Guild</v>
      </c>
      <c r="F538" s="30" t="str">
        <f>IFERROR(__xludf.DUMMYFUNCTION("""COMPUTED_VALUE"""),"Lunar")</f>
        <v>Lunar</v>
      </c>
      <c r="G538" s="92">
        <f>IFERROR(__xludf.DUMMYFUNCTION("""COMPUTED_VALUE"""),46.18508339927814)</f>
        <v>46.1850834</v>
      </c>
    </row>
    <row r="539">
      <c r="A539" s="30" t="str">
        <f>IFERROR(__xludf.DUMMYFUNCTION("""COMPUTED_VALUE"""),"RSC000347")</f>
        <v>RSC000347</v>
      </c>
      <c r="B539" s="30" t="str">
        <f>IFERROR(__xludf.DUMMYFUNCTION("""COMPUTED_VALUE"""),"Chris.")</f>
        <v>Chris.</v>
      </c>
      <c r="C539" s="30" t="str">
        <f>IFERROR(__xludf.DUMMYFUNCTION("""COMPUTED_VALUE"""),"Challenger")</f>
        <v>Challenger</v>
      </c>
      <c r="D539" s="30" t="str">
        <f>IFERROR(__xludf.DUMMYFUNCTION("""COMPUTED_VALUE"""),"Zombies")</f>
        <v>Zombies</v>
      </c>
      <c r="E539" s="30" t="str">
        <f>IFERROR(__xludf.DUMMYFUNCTION("""COMPUTED_VALUE"""),"The Monster Mash")</f>
        <v>The Monster Mash</v>
      </c>
      <c r="F539" s="30" t="str">
        <f>IFERROR(__xludf.DUMMYFUNCTION("""COMPUTED_VALUE"""),"Lunar")</f>
        <v>Lunar</v>
      </c>
      <c r="G539" s="92">
        <f>IFERROR(__xludf.DUMMYFUNCTION("""COMPUTED_VALUE"""),34.16232296823328)</f>
        <v>34.16232297</v>
      </c>
    </row>
    <row r="540">
      <c r="A540" s="30" t="str">
        <f>IFERROR(__xludf.DUMMYFUNCTION("""COMPUTED_VALUE"""),"RSC006923")</f>
        <v>RSC006923</v>
      </c>
      <c r="B540" s="30" t="str">
        <f>IFERROR(__xludf.DUMMYFUNCTION("""COMPUTED_VALUE"""),"LostZealous")</f>
        <v>LostZealous</v>
      </c>
      <c r="C540" s="30" t="str">
        <f>IFERROR(__xludf.DUMMYFUNCTION("""COMPUTED_VALUE"""),"Challenger")</f>
        <v>Challenger</v>
      </c>
      <c r="D540" s="30" t="str">
        <f>IFERROR(__xludf.DUMMYFUNCTION("""COMPUTED_VALUE"""),"Zombies")</f>
        <v>Zombies</v>
      </c>
      <c r="E540" s="30" t="str">
        <f>IFERROR(__xludf.DUMMYFUNCTION("""COMPUTED_VALUE"""),"The Monster Mash")</f>
        <v>The Monster Mash</v>
      </c>
      <c r="F540" s="30" t="str">
        <f>IFERROR(__xludf.DUMMYFUNCTION("""COMPUTED_VALUE"""),"Lunar")</f>
        <v>Lunar</v>
      </c>
      <c r="G540" s="92">
        <f>IFERROR(__xludf.DUMMYFUNCTION("""COMPUTED_VALUE"""),61.59925671321814)</f>
        <v>61.59925671</v>
      </c>
    </row>
    <row r="541">
      <c r="A541" s="30" t="str">
        <f>IFERROR(__xludf.DUMMYFUNCTION("""COMPUTED_VALUE"""),"RSC005526")</f>
        <v>RSC005526</v>
      </c>
      <c r="B541" s="30" t="str">
        <f>IFERROR(__xludf.DUMMYFUNCTION("""COMPUTED_VALUE"""),"Vortex3524")</f>
        <v>Vortex3524</v>
      </c>
      <c r="C541" s="30" t="str">
        <f>IFERROR(__xludf.DUMMYFUNCTION("""COMPUTED_VALUE"""),"Challenger")</f>
        <v>Challenger</v>
      </c>
      <c r="D541" s="30" t="str">
        <f>IFERROR(__xludf.DUMMYFUNCTION("""COMPUTED_VALUE"""),"Zombies")</f>
        <v>Zombies</v>
      </c>
      <c r="E541" s="30" t="str">
        <f>IFERROR(__xludf.DUMMYFUNCTION("""COMPUTED_VALUE"""),"The Monster Mash")</f>
        <v>The Monster Mash</v>
      </c>
      <c r="F541" s="30" t="str">
        <f>IFERROR(__xludf.DUMMYFUNCTION("""COMPUTED_VALUE"""),"Lunar")</f>
        <v>Lunar</v>
      </c>
      <c r="G541" s="92">
        <f>IFERROR(__xludf.DUMMYFUNCTION("""COMPUTED_VALUE"""),62.188757279499)</f>
        <v>62.18875728</v>
      </c>
    </row>
    <row r="542">
      <c r="A542" s="30" t="str">
        <f>IFERROR(__xludf.DUMMYFUNCTION("""COMPUTED_VALUE"""),"RSC007525")</f>
        <v>RSC007525</v>
      </c>
      <c r="B542" s="30" t="str">
        <f>IFERROR(__xludf.DUMMYFUNCTION("""COMPUTED_VALUE"""),"BulletNote")</f>
        <v>BulletNote</v>
      </c>
      <c r="C542" s="30" t="str">
        <f>IFERROR(__xludf.DUMMYFUNCTION("""COMPUTED_VALUE"""),"Challenger")</f>
        <v>Challenger</v>
      </c>
      <c r="D542" s="30" t="str">
        <f>IFERROR(__xludf.DUMMYFUNCTION("""COMPUTED_VALUE"""),"Quarter
Zombies")</f>
        <v>Quarter
Zombies</v>
      </c>
      <c r="E542" s="30" t="str">
        <f>IFERROR(__xludf.DUMMYFUNCTION("""COMPUTED_VALUE"""),"Money Makers
The Monster Mash")</f>
        <v>Money Makers
The Monster Mash</v>
      </c>
      <c r="F542" s="30" t="str">
        <f>IFERROR(__xludf.DUMMYFUNCTION("""COMPUTED_VALUE"""),"Solar")</f>
        <v>Solar</v>
      </c>
      <c r="G542" s="92">
        <f>IFERROR(__xludf.DUMMYFUNCTION("""COMPUTED_VALUE"""),42.97097458953356)</f>
        <v>42.97097459</v>
      </c>
    </row>
    <row r="543">
      <c r="A543" s="30" t="str">
        <f>IFERROR(__xludf.DUMMYFUNCTION("""COMPUTED_VALUE"""),"RSC003331")</f>
        <v>RSC003331</v>
      </c>
      <c r="B543" s="30" t="str">
        <f>IFERROR(__xludf.DUMMYFUNCTION("""COMPUTED_VALUE"""),"Frostii")</f>
        <v>Frostii</v>
      </c>
      <c r="C543" s="30" t="str">
        <f>IFERROR(__xludf.DUMMYFUNCTION("""COMPUTED_VALUE"""),"Challenger")</f>
        <v>Challenger</v>
      </c>
      <c r="D543" s="30" t="str">
        <f>IFERROR(__xludf.DUMMYFUNCTION("""COMPUTED_VALUE"""),"Spearmint")</f>
        <v>Spearmint</v>
      </c>
      <c r="E543" s="30" t="str">
        <f>IFERROR(__xludf.DUMMYFUNCTION("""COMPUTED_VALUE"""),"Minty Fresh")</f>
        <v>Minty Fresh</v>
      </c>
      <c r="F543" s="30" t="str">
        <f>IFERROR(__xludf.DUMMYFUNCTION("""COMPUTED_VALUE"""),"Solar")</f>
        <v>Solar</v>
      </c>
      <c r="G543" s="92">
        <f>IFERROR(__xludf.DUMMYFUNCTION("""COMPUTED_VALUE"""),33.24046903484518)</f>
        <v>33.24046903</v>
      </c>
    </row>
    <row r="544">
      <c r="A544" s="30" t="str">
        <f>IFERROR(__xludf.DUMMYFUNCTION("""COMPUTED_VALUE"""),"RSC007870")</f>
        <v>RSC007870</v>
      </c>
      <c r="B544" s="30" t="str">
        <f>IFERROR(__xludf.DUMMYFUNCTION("""COMPUTED_VALUE"""),"King_OaF")</f>
        <v>King_OaF</v>
      </c>
      <c r="C544" s="30" t="str">
        <f>IFERROR(__xludf.DUMMYFUNCTION("""COMPUTED_VALUE"""),"Challenger")</f>
        <v>Challenger</v>
      </c>
      <c r="D544" s="30" t="str">
        <f>IFERROR(__xludf.DUMMYFUNCTION("""COMPUTED_VALUE"""),"Metal")</f>
        <v>Metal</v>
      </c>
      <c r="E544" s="30" t="str">
        <f>IFERROR(__xludf.DUMMYFUNCTION("""COMPUTED_VALUE"""),"The Elements")</f>
        <v>The Elements</v>
      </c>
      <c r="F544" s="30" t="str">
        <f>IFERROR(__xludf.DUMMYFUNCTION("""COMPUTED_VALUE"""),"Solar")</f>
        <v>Solar</v>
      </c>
      <c r="G544" s="92">
        <f>IFERROR(__xludf.DUMMYFUNCTION("""COMPUTED_VALUE"""),79.02387761552475)</f>
        <v>79.02387762</v>
      </c>
    </row>
    <row r="545">
      <c r="A545" s="30" t="str">
        <f>IFERROR(__xludf.DUMMYFUNCTION("""COMPUTED_VALUE"""),"RSC004997")</f>
        <v>RSC004997</v>
      </c>
      <c r="B545" s="30" t="str">
        <f>IFERROR(__xludf.DUMMYFUNCTION("""COMPUTED_VALUE"""),"evelynnx")</f>
        <v>evelynnx</v>
      </c>
      <c r="C545" s="30" t="str">
        <f>IFERROR(__xludf.DUMMYFUNCTION("""COMPUTED_VALUE"""),"Challenger")</f>
        <v>Challenger</v>
      </c>
      <c r="D545" s="30" t="str">
        <f>IFERROR(__xludf.DUMMYFUNCTION("""COMPUTED_VALUE"""),"Deceased")</f>
        <v>Deceased</v>
      </c>
      <c r="E545" s="30" t="str">
        <f>IFERROR(__xludf.DUMMYFUNCTION("""COMPUTED_VALUE"""),"Destined")</f>
        <v>Destined</v>
      </c>
      <c r="F545" s="30" t="str">
        <f>IFERROR(__xludf.DUMMYFUNCTION("""COMPUTED_VALUE"""),"Solar")</f>
        <v>Solar</v>
      </c>
      <c r="G545" s="92">
        <f>IFERROR(__xludf.DUMMYFUNCTION("""COMPUTED_VALUE"""),81.80307464092058)</f>
        <v>81.80307464</v>
      </c>
    </row>
    <row r="546">
      <c r="A546" s="30" t="str">
        <f>IFERROR(__xludf.DUMMYFUNCTION("""COMPUTED_VALUE"""),"RSC007626")</f>
        <v>RSC007626</v>
      </c>
      <c r="B546" s="30" t="str">
        <f>IFERROR(__xludf.DUMMYFUNCTION("""COMPUTED_VALUE"""),"ACDye2")</f>
        <v>ACDye2</v>
      </c>
      <c r="C546" s="30" t="str">
        <f>IFERROR(__xludf.DUMMYFUNCTION("""COMPUTED_VALUE"""),"Challenger")</f>
        <v>Challenger</v>
      </c>
      <c r="D546" s="30" t="str">
        <f>IFERROR(__xludf.DUMMYFUNCTION("""COMPUTED_VALUE"""),"Squalls")</f>
        <v>Squalls</v>
      </c>
      <c r="E546" s="30" t="str">
        <f>IFERROR(__xludf.DUMMYFUNCTION("""COMPUTED_VALUE"""),"Storm")</f>
        <v>Storm</v>
      </c>
      <c r="F546" s="30" t="str">
        <f>IFERROR(__xludf.DUMMYFUNCTION("""COMPUTED_VALUE"""),"Solar")</f>
        <v>Solar</v>
      </c>
      <c r="G546" s="92">
        <f>IFERROR(__xludf.DUMMYFUNCTION("""COMPUTED_VALUE"""),62.061015765854584)</f>
        <v>62.06101577</v>
      </c>
    </row>
    <row r="547">
      <c r="A547" s="30" t="str">
        <f>IFERROR(__xludf.DUMMYFUNCTION("""COMPUTED_VALUE"""),"RSC004679")</f>
        <v>RSC004679</v>
      </c>
      <c r="B547" s="30" t="str">
        <f>IFERROR(__xludf.DUMMYFUNCTION("""COMPUTED_VALUE"""),"master_ibk810")</f>
        <v>master_ibk810</v>
      </c>
      <c r="C547" s="30" t="str">
        <f>IFERROR(__xludf.DUMMYFUNCTION("""COMPUTED_VALUE"""),"Challenger")</f>
        <v>Challenger</v>
      </c>
      <c r="D547" s="30" t="str">
        <f>IFERROR(__xludf.DUMMYFUNCTION("""COMPUTED_VALUE"""),"Squalls")</f>
        <v>Squalls</v>
      </c>
      <c r="E547" s="30" t="str">
        <f>IFERROR(__xludf.DUMMYFUNCTION("""COMPUTED_VALUE"""),"Storm")</f>
        <v>Storm</v>
      </c>
      <c r="F547" s="30" t="str">
        <f>IFERROR(__xludf.DUMMYFUNCTION("""COMPUTED_VALUE"""),"Solar")</f>
        <v>Solar</v>
      </c>
      <c r="G547" s="92">
        <f>IFERROR(__xludf.DUMMYFUNCTION("""COMPUTED_VALUE"""),72.15423900995421)</f>
        <v>72.15423901</v>
      </c>
    </row>
    <row r="548">
      <c r="A548" s="30" t="str">
        <f>IFERROR(__xludf.DUMMYFUNCTION("""COMPUTED_VALUE"""),"RSC007001")</f>
        <v>RSC007001</v>
      </c>
      <c r="B548" s="30" t="str">
        <f>IFERROR(__xludf.DUMMYFUNCTION("""COMPUTED_VALUE"""),"tankersrul")</f>
        <v>tankersrul</v>
      </c>
      <c r="C548" s="30" t="str">
        <f>IFERROR(__xludf.DUMMYFUNCTION("""COMPUTED_VALUE"""),"Challenger")</f>
        <v>Challenger</v>
      </c>
      <c r="D548" s="30" t="str">
        <f>IFERROR(__xludf.DUMMYFUNCTION("""COMPUTED_VALUE"""),"Squalls")</f>
        <v>Squalls</v>
      </c>
      <c r="E548" s="30" t="str">
        <f>IFERROR(__xludf.DUMMYFUNCTION("""COMPUTED_VALUE"""),"Storm")</f>
        <v>Storm</v>
      </c>
      <c r="F548" s="30" t="str">
        <f>IFERROR(__xludf.DUMMYFUNCTION("""COMPUTED_VALUE"""),"Solar")</f>
        <v>Solar</v>
      </c>
      <c r="G548" s="92">
        <f>IFERROR(__xludf.DUMMYFUNCTION("""COMPUTED_VALUE"""),50.58059766655377)</f>
        <v>50.58059767</v>
      </c>
    </row>
    <row r="549">
      <c r="A549" s="30" t="str">
        <f>IFERROR(__xludf.DUMMYFUNCTION("""COMPUTED_VALUE"""),"RSC006643")</f>
        <v>RSC006643</v>
      </c>
      <c r="B549" s="30" t="str">
        <f>IFERROR(__xludf.DUMMYFUNCTION("""COMPUTED_VALUE"""),"Napkhan")</f>
        <v>Napkhan</v>
      </c>
      <c r="C549" s="30" t="str">
        <f>IFERROR(__xludf.DUMMYFUNCTION("""COMPUTED_VALUE"""),"Challenger")</f>
        <v>Challenger</v>
      </c>
      <c r="D549" s="30" t="str">
        <f>IFERROR(__xludf.DUMMYFUNCTION("""COMPUTED_VALUE"""),"Void")</f>
        <v>Void</v>
      </c>
      <c r="E549" s="30" t="str">
        <f>IFERROR(__xludf.DUMMYFUNCTION("""COMPUTED_VALUE"""),"Event Horizon")</f>
        <v>Event Horizon</v>
      </c>
      <c r="F549" s="30" t="str">
        <f>IFERROR(__xludf.DUMMYFUNCTION("""COMPUTED_VALUE"""),"Solar")</f>
        <v>Solar</v>
      </c>
      <c r="G549" s="92">
        <f>IFERROR(__xludf.DUMMYFUNCTION("""COMPUTED_VALUE"""),43.40812626373272)</f>
        <v>43.40812626</v>
      </c>
    </row>
    <row r="550">
      <c r="A550" s="30" t="str">
        <f>IFERROR(__xludf.DUMMYFUNCTION("""COMPUTED_VALUE"""),"RSC005696")</f>
        <v>RSC005696</v>
      </c>
      <c r="B550" s="30" t="str">
        <f>IFERROR(__xludf.DUMMYFUNCTION("""COMPUTED_VALUE"""),"Jack.flv")</f>
        <v>Jack.flv</v>
      </c>
      <c r="C550" s="30" t="str">
        <f>IFERROR(__xludf.DUMMYFUNCTION("""COMPUTED_VALUE"""),"Challenger")</f>
        <v>Challenger</v>
      </c>
      <c r="D550" s="30" t="str">
        <f>IFERROR(__xludf.DUMMYFUNCTION("""COMPUTED_VALUE"""),"Void")</f>
        <v>Void</v>
      </c>
      <c r="E550" s="30" t="str">
        <f>IFERROR(__xludf.DUMMYFUNCTION("""COMPUTED_VALUE"""),"Event Horizon")</f>
        <v>Event Horizon</v>
      </c>
      <c r="F550" s="30" t="str">
        <f>IFERROR(__xludf.DUMMYFUNCTION("""COMPUTED_VALUE"""),"Solar")</f>
        <v>Solar</v>
      </c>
      <c r="G550" s="92">
        <f>IFERROR(__xludf.DUMMYFUNCTION("""COMPUTED_VALUE"""),84.71624214982134)</f>
        <v>84.71624215</v>
      </c>
    </row>
    <row r="551">
      <c r="A551" s="30" t="str">
        <f>IFERROR(__xludf.DUMMYFUNCTION("""COMPUTED_VALUE"""),"RSC000426")</f>
        <v>RSC000426</v>
      </c>
      <c r="B551" s="30" t="str">
        <f>IFERROR(__xludf.DUMMYFUNCTION("""COMPUTED_VALUE"""),"struttrl")</f>
        <v>struttrl</v>
      </c>
      <c r="C551" s="30" t="str">
        <f>IFERROR(__xludf.DUMMYFUNCTION("""COMPUTED_VALUE"""),"Challenger")</f>
        <v>Challenger</v>
      </c>
      <c r="D551" s="30" t="str">
        <f>IFERROR(__xludf.DUMMYFUNCTION("""COMPUTED_VALUE"""),"Void")</f>
        <v>Void</v>
      </c>
      <c r="E551" s="30" t="str">
        <f>IFERROR(__xludf.DUMMYFUNCTION("""COMPUTED_VALUE"""),"Event Horizon")</f>
        <v>Event Horizon</v>
      </c>
      <c r="F551" s="30" t="str">
        <f>IFERROR(__xludf.DUMMYFUNCTION("""COMPUTED_VALUE"""),"Solar")</f>
        <v>Solar</v>
      </c>
      <c r="G551" s="92">
        <f>IFERROR(__xludf.DUMMYFUNCTION("""COMPUTED_VALUE"""),52.91222813941003)</f>
        <v>52.91222814</v>
      </c>
    </row>
    <row r="552">
      <c r="A552" s="30" t="str">
        <f>IFERROR(__xludf.DUMMYFUNCTION("""COMPUTED_VALUE"""),"RSC006092")</f>
        <v>RSC006092</v>
      </c>
      <c r="B552" s="30" t="str">
        <f>IFERROR(__xludf.DUMMYFUNCTION("""COMPUTED_VALUE"""),"Mickstery")</f>
        <v>Mickstery</v>
      </c>
      <c r="C552" s="30" t="str">
        <f>IFERROR(__xludf.DUMMYFUNCTION("""COMPUTED_VALUE"""),"Challenger")</f>
        <v>Challenger</v>
      </c>
      <c r="D552" s="30" t="str">
        <f>IFERROR(__xludf.DUMMYFUNCTION("""COMPUTED_VALUE"""),"Void")</f>
        <v>Void</v>
      </c>
      <c r="E552" s="30" t="str">
        <f>IFERROR(__xludf.DUMMYFUNCTION("""COMPUTED_VALUE"""),"Event Horizon")</f>
        <v>Event Horizon</v>
      </c>
      <c r="F552" s="30" t="str">
        <f>IFERROR(__xludf.DUMMYFUNCTION("""COMPUTED_VALUE"""),"Solar")</f>
        <v>Solar</v>
      </c>
      <c r="G552" s="92">
        <f>IFERROR(__xludf.DUMMYFUNCTION("""COMPUTED_VALUE"""),45.62810755526354)</f>
        <v>45.62810756</v>
      </c>
    </row>
    <row r="553">
      <c r="A553" s="30" t="str">
        <f>IFERROR(__xludf.DUMMYFUNCTION("""COMPUTED_VALUE"""),"RSC007291")</f>
        <v>RSC007291</v>
      </c>
      <c r="B553" s="30" t="str">
        <f>IFERROR(__xludf.DUMMYFUNCTION("""COMPUTED_VALUE"""),"brdtrd999")</f>
        <v>brdtrd999</v>
      </c>
      <c r="C553" s="30" t="str">
        <f>IFERROR(__xludf.DUMMYFUNCTION("""COMPUTED_VALUE"""),"Challenger")</f>
        <v>Challenger</v>
      </c>
      <c r="D553" s="30" t="str">
        <f>IFERROR(__xludf.DUMMYFUNCTION("""COMPUTED_VALUE"""),"Hydras
Cassowaries")</f>
        <v>Hydras
Cassowaries</v>
      </c>
      <c r="E553" s="30" t="str">
        <f>IFERROR(__xludf.DUMMYFUNCTION("""COMPUTED_VALUE"""),"The Forest
Flightless Fowl")</f>
        <v>The Forest
Flightless Fowl</v>
      </c>
      <c r="F553" s="30" t="str">
        <f>IFERROR(__xludf.DUMMYFUNCTION("""COMPUTED_VALUE"""),"Solar")</f>
        <v>Solar</v>
      </c>
      <c r="G553" s="92">
        <f>IFERROR(__xludf.DUMMYFUNCTION("""COMPUTED_VALUE"""),46.41144196088785)</f>
        <v>46.41144196</v>
      </c>
    </row>
    <row r="554">
      <c r="A554" s="30" t="str">
        <f>IFERROR(__xludf.DUMMYFUNCTION("""COMPUTED_VALUE"""),"RSC005059")</f>
        <v>RSC005059</v>
      </c>
      <c r="B554" s="30" t="str">
        <f>IFERROR(__xludf.DUMMYFUNCTION("""COMPUTED_VALUE"""),"Jacobim Mugatu")</f>
        <v>Jacobim Mugatu</v>
      </c>
      <c r="C554" s="30" t="str">
        <f>IFERROR(__xludf.DUMMYFUNCTION("""COMPUTED_VALUE"""),"Challenger")</f>
        <v>Challenger</v>
      </c>
      <c r="D554" s="30" t="str">
        <f>IFERROR(__xludf.DUMMYFUNCTION("""COMPUTED_VALUE"""),"Lilac")</f>
        <v>Lilac</v>
      </c>
      <c r="E554" s="30" t="str">
        <f>IFERROR(__xludf.DUMMYFUNCTION("""COMPUTED_VALUE"""),"Flower Road")</f>
        <v>Flower Road</v>
      </c>
      <c r="F554" s="30" t="str">
        <f>IFERROR(__xludf.DUMMYFUNCTION("""COMPUTED_VALUE"""),"Lunar")</f>
        <v>Lunar</v>
      </c>
      <c r="G554" s="92">
        <f>IFERROR(__xludf.DUMMYFUNCTION("""COMPUTED_VALUE"""),61.93611146825888)</f>
        <v>61.93611147</v>
      </c>
    </row>
    <row r="555">
      <c r="A555" s="30" t="str">
        <f>IFERROR(__xludf.DUMMYFUNCTION("""COMPUTED_VALUE"""),"RSC007848")</f>
        <v>RSC007848</v>
      </c>
      <c r="B555" s="30" t="str">
        <f>IFERROR(__xludf.DUMMYFUNCTION("""COMPUTED_VALUE"""),"Ninji &lt;3")</f>
        <v>Ninji &lt;3</v>
      </c>
      <c r="C555" s="30" t="str">
        <f>IFERROR(__xludf.DUMMYFUNCTION("""COMPUTED_VALUE"""),"Challenger")</f>
        <v>Challenger</v>
      </c>
      <c r="D555" s="30" t="str">
        <f>IFERROR(__xludf.DUMMYFUNCTION("""COMPUTED_VALUE"""),"Squalls")</f>
        <v>Squalls</v>
      </c>
      <c r="E555" s="30" t="str">
        <f>IFERROR(__xludf.DUMMYFUNCTION("""COMPUTED_VALUE"""),"Storm")</f>
        <v>Storm</v>
      </c>
      <c r="F555" s="30" t="str">
        <f>IFERROR(__xludf.DUMMYFUNCTION("""COMPUTED_VALUE"""),"Solar")</f>
        <v>Solar</v>
      </c>
      <c r="G555" s="92">
        <f>IFERROR(__xludf.DUMMYFUNCTION("""COMPUTED_VALUE"""),49.45450972116786)</f>
        <v>49.45450972</v>
      </c>
    </row>
    <row r="556">
      <c r="A556" s="30" t="str">
        <f>IFERROR(__xludf.DUMMYFUNCTION("""COMPUTED_VALUE"""),"RSC002911")</f>
        <v>RSC002911</v>
      </c>
      <c r="B556" s="30" t="str">
        <f>IFERROR(__xludf.DUMMYFUNCTION("""COMPUTED_VALUE"""),"Alextross")</f>
        <v>Alextross</v>
      </c>
      <c r="C556" s="30" t="str">
        <f>IFERROR(__xludf.DUMMYFUNCTION("""COMPUTED_VALUE"""),"Challenger")</f>
        <v>Challenger</v>
      </c>
      <c r="D556" s="30" t="str">
        <f>IFERROR(__xludf.DUMMYFUNCTION("""COMPUTED_VALUE"""),"Meat Lovers")</f>
        <v>Meat Lovers</v>
      </c>
      <c r="E556" s="30" t="str">
        <f>IFERROR(__xludf.DUMMYFUNCTION("""COMPUTED_VALUE"""),"Fifty-Fifty Pizzeria")</f>
        <v>Fifty-Fifty Pizzeria</v>
      </c>
      <c r="F556" s="30" t="str">
        <f>IFERROR(__xludf.DUMMYFUNCTION("""COMPUTED_VALUE"""),"Lunar")</f>
        <v>Lunar</v>
      </c>
      <c r="G556" s="92">
        <f>IFERROR(__xludf.DUMMYFUNCTION("""COMPUTED_VALUE"""),15.932408371736322)</f>
        <v>15.93240837</v>
      </c>
    </row>
    <row r="557">
      <c r="A557" s="30" t="str">
        <f>IFERROR(__xludf.DUMMYFUNCTION("""COMPUTED_VALUE"""),"RSC006769")</f>
        <v>RSC006769</v>
      </c>
      <c r="B557" s="30" t="str">
        <f>IFERROR(__xludf.DUMMYFUNCTION("""COMPUTED_VALUE"""),"baltostorm")</f>
        <v>baltostorm</v>
      </c>
      <c r="C557" s="30" t="str">
        <f>IFERROR(__xludf.DUMMYFUNCTION("""COMPUTED_VALUE"""),"Challenger")</f>
        <v>Challenger</v>
      </c>
      <c r="D557" s="30" t="str">
        <f>IFERROR(__xludf.DUMMYFUNCTION("""COMPUTED_VALUE"""),"Decuriones")</f>
        <v>Decuriones</v>
      </c>
      <c r="E557" s="30" t="str">
        <f>IFERROR(__xludf.DUMMYFUNCTION("""COMPUTED_VALUE"""),"The Sovereign")</f>
        <v>The Sovereign</v>
      </c>
      <c r="F557" s="30" t="str">
        <f>IFERROR(__xludf.DUMMYFUNCTION("""COMPUTED_VALUE"""),"Lunar")</f>
        <v>Lunar</v>
      </c>
      <c r="G557" s="92">
        <f>IFERROR(__xludf.DUMMYFUNCTION("""COMPUTED_VALUE"""),62.92417641724172)</f>
        <v>62.92417642</v>
      </c>
    </row>
    <row r="558">
      <c r="A558" s="30" t="str">
        <f>IFERROR(__xludf.DUMMYFUNCTION("""COMPUTED_VALUE"""),"RSC003450")</f>
        <v>RSC003450</v>
      </c>
      <c r="B558" s="30" t="str">
        <f>IFERROR(__xludf.DUMMYFUNCTION("""COMPUTED_VALUE"""),"ChronoElevated")</f>
        <v>ChronoElevated</v>
      </c>
      <c r="C558" s="30" t="str">
        <f>IFERROR(__xludf.DUMMYFUNCTION("""COMPUTED_VALUE"""),"Challenger")</f>
        <v>Challenger</v>
      </c>
      <c r="D558" s="30" t="str">
        <f>IFERROR(__xludf.DUMMYFUNCTION("""COMPUTED_VALUE"""),"Mugged")</f>
        <v>Mugged</v>
      </c>
      <c r="E558" s="30" t="str">
        <f>IFERROR(__xludf.DUMMYFUNCTION("""COMPUTED_VALUE"""),"The Hood")</f>
        <v>The Hood</v>
      </c>
      <c r="F558" s="30" t="str">
        <f>IFERROR(__xludf.DUMMYFUNCTION("""COMPUTED_VALUE"""),"Lunar")</f>
        <v>Lunar</v>
      </c>
      <c r="G558" s="92">
        <f>IFERROR(__xludf.DUMMYFUNCTION("""COMPUTED_VALUE"""),59.98112650640138)</f>
        <v>59.98112651</v>
      </c>
    </row>
    <row r="559">
      <c r="A559" s="30" t="str">
        <f>IFERROR(__xludf.DUMMYFUNCTION("""COMPUTED_VALUE"""),"RSC007967")</f>
        <v>RSC007967</v>
      </c>
      <c r="B559" s="30" t="str">
        <f>IFERROR(__xludf.DUMMYFUNCTION("""COMPUTED_VALUE"""),"davisino1605")</f>
        <v>davisino1605</v>
      </c>
      <c r="C559" s="30" t="str">
        <f>IFERROR(__xludf.DUMMYFUNCTION("""COMPUTED_VALUE"""),"Challenger")</f>
        <v>Challenger</v>
      </c>
      <c r="D559" s="30" t="str">
        <f>IFERROR(__xludf.DUMMYFUNCTION("""COMPUTED_VALUE"""),"Threshers
Quarter
Mugged")</f>
        <v>Threshers
Quarter
Mugged</v>
      </c>
      <c r="E559" s="30" t="str">
        <f>IFERROR(__xludf.DUMMYFUNCTION("""COMPUTED_VALUE"""),"Shark Attack
Money Makers
The Hood")</f>
        <v>Shark Attack
Money Makers
The Hood</v>
      </c>
      <c r="F559" s="30" t="str">
        <f>IFERROR(__xludf.DUMMYFUNCTION("""COMPUTED_VALUE"""),"Solar")</f>
        <v>Solar</v>
      </c>
      <c r="G559" s="92">
        <f>IFERROR(__xludf.DUMMYFUNCTION("""COMPUTED_VALUE"""),11.757303991891867)</f>
        <v>11.75730399</v>
      </c>
    </row>
    <row r="560">
      <c r="A560" s="30" t="str">
        <f>IFERROR(__xludf.DUMMYFUNCTION("""COMPUTED_VALUE"""),"RSC006883")</f>
        <v>RSC006883</v>
      </c>
      <c r="B560" s="30" t="str">
        <f>IFERROR(__xludf.DUMMYFUNCTION("""COMPUTED_VALUE"""),"Kit")</f>
        <v>Kit</v>
      </c>
      <c r="C560" s="30" t="str">
        <f>IFERROR(__xludf.DUMMYFUNCTION("""COMPUTED_VALUE"""),"Challenger")</f>
        <v>Challenger</v>
      </c>
      <c r="D560" s="30" t="str">
        <f>IFERROR(__xludf.DUMMYFUNCTION("""COMPUTED_VALUE"""),"Trippy Hippies")</f>
        <v>Trippy Hippies</v>
      </c>
      <c r="E560" s="30" t="str">
        <f>IFERROR(__xludf.DUMMYFUNCTION("""COMPUTED_VALUE"""),"Vibe Tribe")</f>
        <v>Vibe Tribe</v>
      </c>
      <c r="F560" s="30" t="str">
        <f>IFERROR(__xludf.DUMMYFUNCTION("""COMPUTED_VALUE"""),"Lunar")</f>
        <v>Lunar</v>
      </c>
      <c r="G560" s="92">
        <f>IFERROR(__xludf.DUMMYFUNCTION("""COMPUTED_VALUE"""),63.24301428203277)</f>
        <v>63.24301428</v>
      </c>
    </row>
    <row r="561">
      <c r="A561" s="30" t="str">
        <f>IFERROR(__xludf.DUMMYFUNCTION("""COMPUTED_VALUE"""),"RSC006908")</f>
        <v>RSC006908</v>
      </c>
      <c r="B561" s="30" t="str">
        <f>IFERROR(__xludf.DUMMYFUNCTION("""COMPUTED_VALUE"""),"OvrSizedFrog")</f>
        <v>OvrSizedFrog</v>
      </c>
      <c r="C561" s="30" t="str">
        <f>IFERROR(__xludf.DUMMYFUNCTION("""COMPUTED_VALUE"""),"Challenger")</f>
        <v>Challenger</v>
      </c>
      <c r="D561" s="30" t="str">
        <f>IFERROR(__xludf.DUMMYFUNCTION("""COMPUTED_VALUE"""),"Toucans")</f>
        <v>Toucans</v>
      </c>
      <c r="E561" s="30" t="str">
        <f>IFERROR(__xludf.DUMMYFUNCTION("""COMPUTED_VALUE"""),"The Jungle")</f>
        <v>The Jungle</v>
      </c>
      <c r="F561" s="30" t="str">
        <f>IFERROR(__xludf.DUMMYFUNCTION("""COMPUTED_VALUE"""),"Solar")</f>
        <v>Solar</v>
      </c>
      <c r="G561" s="92">
        <f>IFERROR(__xludf.DUMMYFUNCTION("""COMPUTED_VALUE"""),39.323382985016565)</f>
        <v>39.32338299</v>
      </c>
    </row>
    <row r="562">
      <c r="A562" s="30" t="str">
        <f>IFERROR(__xludf.DUMMYFUNCTION("""COMPUTED_VALUE"""),"RSC006747")</f>
        <v>RSC006747</v>
      </c>
      <c r="B562" s="30" t="str">
        <f>IFERROR(__xludf.DUMMYFUNCTION("""COMPUTED_VALUE"""),"Panda")</f>
        <v>Panda</v>
      </c>
      <c r="C562" s="30" t="str">
        <f>IFERROR(__xludf.DUMMYFUNCTION("""COMPUTED_VALUE"""),"Challenger")</f>
        <v>Challenger</v>
      </c>
      <c r="D562" s="30" t="str">
        <f>IFERROR(__xludf.DUMMYFUNCTION("""COMPUTED_VALUE"""),"Toucans")</f>
        <v>Toucans</v>
      </c>
      <c r="E562" s="30" t="str">
        <f>IFERROR(__xludf.DUMMYFUNCTION("""COMPUTED_VALUE"""),"The Jungle")</f>
        <v>The Jungle</v>
      </c>
      <c r="F562" s="30" t="str">
        <f>IFERROR(__xludf.DUMMYFUNCTION("""COMPUTED_VALUE"""),"Solar")</f>
        <v>Solar</v>
      </c>
      <c r="G562" s="92">
        <f>IFERROR(__xludf.DUMMYFUNCTION("""COMPUTED_VALUE"""),54.43241835308393)</f>
        <v>54.43241835</v>
      </c>
    </row>
    <row r="563">
      <c r="A563" s="30" t="str">
        <f>IFERROR(__xludf.DUMMYFUNCTION("""COMPUTED_VALUE"""),"RSC008009")</f>
        <v>RSC008009</v>
      </c>
      <c r="B563" s="30" t="str">
        <f>IFERROR(__xludf.DUMMYFUNCTION("""COMPUTED_VALUE"""),"Daddy Driz")</f>
        <v>Daddy Driz</v>
      </c>
      <c r="C563" s="30" t="str">
        <f>IFERROR(__xludf.DUMMYFUNCTION("""COMPUTED_VALUE"""),"Challenger")</f>
        <v>Challenger</v>
      </c>
      <c r="D563" s="30" t="str">
        <f>IFERROR(__xludf.DUMMYFUNCTION("""COMPUTED_VALUE"""),"Toucans")</f>
        <v>Toucans</v>
      </c>
      <c r="E563" s="30" t="str">
        <f>IFERROR(__xludf.DUMMYFUNCTION("""COMPUTED_VALUE"""),"The Jungle")</f>
        <v>The Jungle</v>
      </c>
      <c r="F563" s="30" t="str">
        <f>IFERROR(__xludf.DUMMYFUNCTION("""COMPUTED_VALUE"""),"Solar")</f>
        <v>Solar</v>
      </c>
      <c r="G563" s="92">
        <f>IFERROR(__xludf.DUMMYFUNCTION("""COMPUTED_VALUE"""),59.92396486348003)</f>
        <v>59.92396486</v>
      </c>
    </row>
    <row r="564">
      <c r="A564" s="30" t="str">
        <f>IFERROR(__xludf.DUMMYFUNCTION("""COMPUTED_VALUE"""),"RSC006777")</f>
        <v>RSC006777</v>
      </c>
      <c r="B564" s="30" t="str">
        <f>IFERROR(__xludf.DUMMYFUNCTION("""COMPUTED_VALUE"""),"AlteredSp4rky")</f>
        <v>AlteredSp4rky</v>
      </c>
      <c r="C564" s="30" t="str">
        <f>IFERROR(__xludf.DUMMYFUNCTION("""COMPUTED_VALUE"""),"Challenger")</f>
        <v>Challenger</v>
      </c>
      <c r="D564" s="30" t="str">
        <f>IFERROR(__xludf.DUMMYFUNCTION("""COMPUTED_VALUE"""),"Toucans")</f>
        <v>Toucans</v>
      </c>
      <c r="E564" s="30" t="str">
        <f>IFERROR(__xludf.DUMMYFUNCTION("""COMPUTED_VALUE"""),"The Jungle")</f>
        <v>The Jungle</v>
      </c>
      <c r="F564" s="30" t="str">
        <f>IFERROR(__xludf.DUMMYFUNCTION("""COMPUTED_VALUE"""),"Solar")</f>
        <v>Solar</v>
      </c>
      <c r="G564" s="92">
        <f>IFERROR(__xludf.DUMMYFUNCTION("""COMPUTED_VALUE"""),57.0468227554717)</f>
        <v>57.04682276</v>
      </c>
    </row>
    <row r="565">
      <c r="A565" s="30" t="str">
        <f>IFERROR(__xludf.DUMMYFUNCTION("""COMPUTED_VALUE"""),"RSC006067")</f>
        <v>RSC006067</v>
      </c>
      <c r="B565" s="30" t="str">
        <f>IFERROR(__xludf.DUMMYFUNCTION("""COMPUTED_VALUE"""),"ShinxX403")</f>
        <v>ShinxX403</v>
      </c>
      <c r="C565" s="30" t="str">
        <f>IFERROR(__xludf.DUMMYFUNCTION("""COMPUTED_VALUE"""),"Challenger")</f>
        <v>Challenger</v>
      </c>
      <c r="D565" s="30" t="str">
        <f>IFERROR(__xludf.DUMMYFUNCTION("""COMPUTED_VALUE"""),"Panda Bears")</f>
        <v>Panda Bears</v>
      </c>
      <c r="E565" s="30" t="str">
        <f>IFERROR(__xludf.DUMMYFUNCTION("""COMPUTED_VALUE"""),"The Bear Den")</f>
        <v>The Bear Den</v>
      </c>
      <c r="F565" s="30" t="str">
        <f>IFERROR(__xludf.DUMMYFUNCTION("""COMPUTED_VALUE"""),"Lunar")</f>
        <v>Lunar</v>
      </c>
      <c r="G565" s="92">
        <f>IFERROR(__xludf.DUMMYFUNCTION("""COMPUTED_VALUE"""),51.71874485427782)</f>
        <v>51.71874485</v>
      </c>
    </row>
    <row r="566">
      <c r="A566" s="30" t="str">
        <f>IFERROR(__xludf.DUMMYFUNCTION("""COMPUTED_VALUE"""),"RSC007307")</f>
        <v>RSC007307</v>
      </c>
      <c r="B566" s="30" t="str">
        <f>IFERROR(__xludf.DUMMYFUNCTION("""COMPUTED_VALUE"""),"Jmh187-")</f>
        <v>Jmh187-</v>
      </c>
      <c r="C566" s="30" t="str">
        <f>IFERROR(__xludf.DUMMYFUNCTION("""COMPUTED_VALUE"""),"Challenger")</f>
        <v>Challenger</v>
      </c>
      <c r="D566" s="30" t="str">
        <f>IFERROR(__xludf.DUMMYFUNCTION("""COMPUTED_VALUE"""),"Chromatic Chaos")</f>
        <v>Chromatic Chaos</v>
      </c>
      <c r="E566" s="30" t="str">
        <f>IFERROR(__xludf.DUMMYFUNCTION("""COMPUTED_VALUE"""),"Art Club")</f>
        <v>Art Club</v>
      </c>
      <c r="F566" s="30" t="str">
        <f>IFERROR(__xludf.DUMMYFUNCTION("""COMPUTED_VALUE"""),"Solar")</f>
        <v>Solar</v>
      </c>
      <c r="G566" s="92">
        <f>IFERROR(__xludf.DUMMYFUNCTION("""COMPUTED_VALUE"""),57.86063545012971)</f>
        <v>57.86063545</v>
      </c>
    </row>
    <row r="567">
      <c r="A567" s="30" t="str">
        <f>IFERROR(__xludf.DUMMYFUNCTION("""COMPUTED_VALUE"""),"RSC006413")</f>
        <v>RSC006413</v>
      </c>
      <c r="B567" s="30" t="str">
        <f>IFERROR(__xludf.DUMMYFUNCTION("""COMPUTED_VALUE"""),"BlueFlre")</f>
        <v>BlueFlre</v>
      </c>
      <c r="C567" s="30" t="str">
        <f>IFERROR(__xludf.DUMMYFUNCTION("""COMPUTED_VALUE"""),"Challenger")</f>
        <v>Challenger</v>
      </c>
      <c r="D567" s="30" t="str">
        <f>IFERROR(__xludf.DUMMYFUNCTION("""COMPUTED_VALUE"""),"Shade")</f>
        <v>Shade</v>
      </c>
      <c r="E567" s="30" t="str">
        <f>IFERROR(__xludf.DUMMYFUNCTION("""COMPUTED_VALUE"""),"The Shadows")</f>
        <v>The Shadows</v>
      </c>
      <c r="F567" s="30" t="str">
        <f>IFERROR(__xludf.DUMMYFUNCTION("""COMPUTED_VALUE"""),"Lunar")</f>
        <v>Lunar</v>
      </c>
      <c r="G567" s="92">
        <f>IFERROR(__xludf.DUMMYFUNCTION("""COMPUTED_VALUE"""),25.748159859337722)</f>
        <v>25.74815986</v>
      </c>
    </row>
    <row r="568">
      <c r="A568" s="30" t="str">
        <f>IFERROR(__xludf.DUMMYFUNCTION("""COMPUTED_VALUE"""),"RSC006928")</f>
        <v>RSC006928</v>
      </c>
      <c r="B568" s="30" t="str">
        <f>IFERROR(__xludf.DUMMYFUNCTION("""COMPUTED_VALUE"""),"Thunderbolt")</f>
        <v>Thunderbolt</v>
      </c>
      <c r="C568" s="30" t="str">
        <f>IFERROR(__xludf.DUMMYFUNCTION("""COMPUTED_VALUE"""),"Challenger")</f>
        <v>Challenger</v>
      </c>
      <c r="D568" s="30" t="str">
        <f>IFERROR(__xludf.DUMMYFUNCTION("""COMPUTED_VALUE"""),"Havarti Hustlers")</f>
        <v>Havarti Hustlers</v>
      </c>
      <c r="E568" s="30" t="str">
        <f>IFERROR(__xludf.DUMMYFUNCTION("""COMPUTED_VALUE"""),"Cheese Guild")</f>
        <v>Cheese Guild</v>
      </c>
      <c r="F568" s="30" t="str">
        <f>IFERROR(__xludf.DUMMYFUNCTION("""COMPUTED_VALUE"""),"Lunar")</f>
        <v>Lunar</v>
      </c>
      <c r="G568" s="92">
        <f>IFERROR(__xludf.DUMMYFUNCTION("""COMPUTED_VALUE"""),64.66177135457974)</f>
        <v>64.66177135</v>
      </c>
    </row>
    <row r="569">
      <c r="A569" s="30" t="str">
        <f>IFERROR(__xludf.DUMMYFUNCTION("""COMPUTED_VALUE"""),"RSC003912")</f>
        <v>RSC003912</v>
      </c>
      <c r="B569" s="30" t="str">
        <f>IFERROR(__xludf.DUMMYFUNCTION("""COMPUTED_VALUE"""),"ItsJustSticky.")</f>
        <v>ItsJustSticky.</v>
      </c>
      <c r="C569" s="30" t="str">
        <f>IFERROR(__xludf.DUMMYFUNCTION("""COMPUTED_VALUE"""),"Challenger")</f>
        <v>Challenger</v>
      </c>
      <c r="D569" s="30" t="str">
        <f>IFERROR(__xludf.DUMMYFUNCTION("""COMPUTED_VALUE"""),"Pharaohs")</f>
        <v>Pharaohs</v>
      </c>
      <c r="E569" s="30" t="str">
        <f>IFERROR(__xludf.DUMMYFUNCTION("""COMPUTED_VALUE"""),"Monarchy")</f>
        <v>Monarchy</v>
      </c>
      <c r="F569" s="30" t="str">
        <f>IFERROR(__xludf.DUMMYFUNCTION("""COMPUTED_VALUE"""),"Lunar")</f>
        <v>Lunar</v>
      </c>
      <c r="G569" s="92">
        <f>IFERROR(__xludf.DUMMYFUNCTION("""COMPUTED_VALUE"""),36.967637768550944)</f>
        <v>36.96763777</v>
      </c>
    </row>
    <row r="570">
      <c r="A570" s="30" t="str">
        <f>IFERROR(__xludf.DUMMYFUNCTION("""COMPUTED_VALUE"""),"RSC002412")</f>
        <v>RSC002412</v>
      </c>
      <c r="B570" s="30" t="str">
        <f>IFERROR(__xludf.DUMMYFUNCTION("""COMPUTED_VALUE"""),"Rosefanatic3615")</f>
        <v>Rosefanatic3615</v>
      </c>
      <c r="C570" s="30" t="str">
        <f>IFERROR(__xludf.DUMMYFUNCTION("""COMPUTED_VALUE"""),"Challenger")</f>
        <v>Challenger</v>
      </c>
      <c r="D570" s="30" t="str">
        <f>IFERROR(__xludf.DUMMYFUNCTION("""COMPUTED_VALUE"""),"Solstice Sake")</f>
        <v>Solstice Sake</v>
      </c>
      <c r="E570" s="30" t="str">
        <f>IFERROR(__xludf.DUMMYFUNCTION("""COMPUTED_VALUE"""),"5 O'clock Nowhere")</f>
        <v>5 O'clock Nowhere</v>
      </c>
      <c r="F570" s="30" t="str">
        <f>IFERROR(__xludf.DUMMYFUNCTION("""COMPUTED_VALUE"""),"Solar")</f>
        <v>Solar</v>
      </c>
      <c r="G570" s="92">
        <f>IFERROR(__xludf.DUMMYFUNCTION("""COMPUTED_VALUE"""),63.21466061437809)</f>
        <v>63.21466061</v>
      </c>
    </row>
    <row r="571">
      <c r="A571" s="30" t="str">
        <f>IFERROR(__xludf.DUMMYFUNCTION("""COMPUTED_VALUE"""),"RSC004028")</f>
        <v>RSC004028</v>
      </c>
      <c r="B571" s="30" t="str">
        <f>IFERROR(__xludf.DUMMYFUNCTION("""COMPUTED_VALUE"""),"parker on 3 legs")</f>
        <v>parker on 3 legs</v>
      </c>
      <c r="C571" s="30" t="str">
        <f>IFERROR(__xludf.DUMMYFUNCTION("""COMPUTED_VALUE"""),"Challenger")</f>
        <v>Challenger</v>
      </c>
      <c r="D571" s="30" t="str">
        <f>IFERROR(__xludf.DUMMYFUNCTION("""COMPUTED_VALUE"""),"Solstice Sake")</f>
        <v>Solstice Sake</v>
      </c>
      <c r="E571" s="30" t="str">
        <f>IFERROR(__xludf.DUMMYFUNCTION("""COMPUTED_VALUE"""),"5 O'clock Nowhere")</f>
        <v>5 O'clock Nowhere</v>
      </c>
      <c r="F571" s="30" t="str">
        <f>IFERROR(__xludf.DUMMYFUNCTION("""COMPUTED_VALUE"""),"Solar")</f>
        <v>Solar</v>
      </c>
      <c r="G571" s="92">
        <f>IFERROR(__xludf.DUMMYFUNCTION("""COMPUTED_VALUE"""),64.70401068800342)</f>
        <v>64.70401069</v>
      </c>
    </row>
    <row r="572">
      <c r="A572" s="30" t="str">
        <f>IFERROR(__xludf.DUMMYFUNCTION("""COMPUTED_VALUE"""),"RSC006659")</f>
        <v>RSC006659</v>
      </c>
      <c r="B572" s="30" t="str">
        <f>IFERROR(__xludf.DUMMYFUNCTION("""COMPUTED_VALUE"""),"Zalama")</f>
        <v>Zalama</v>
      </c>
      <c r="C572" s="30" t="str">
        <f>IFERROR(__xludf.DUMMYFUNCTION("""COMPUTED_VALUE"""),"Challenger")</f>
        <v>Challenger</v>
      </c>
      <c r="D572" s="30" t="str">
        <f>IFERROR(__xludf.DUMMYFUNCTION("""COMPUTED_VALUE"""),"Solstice Sake")</f>
        <v>Solstice Sake</v>
      </c>
      <c r="E572" s="30" t="str">
        <f>IFERROR(__xludf.DUMMYFUNCTION("""COMPUTED_VALUE"""),"5 O'clock Nowhere")</f>
        <v>5 O'clock Nowhere</v>
      </c>
      <c r="F572" s="30" t="str">
        <f>IFERROR(__xludf.DUMMYFUNCTION("""COMPUTED_VALUE"""),"Solar")</f>
        <v>Solar</v>
      </c>
      <c r="G572" s="92">
        <f>IFERROR(__xludf.DUMMYFUNCTION("""COMPUTED_VALUE"""),42.62511092768837)</f>
        <v>42.62511093</v>
      </c>
    </row>
    <row r="573">
      <c r="A573" s="30" t="str">
        <f>IFERROR(__xludf.DUMMYFUNCTION("""COMPUTED_VALUE"""),"RSC007406")</f>
        <v>RSC007406</v>
      </c>
      <c r="B573" s="30" t="str">
        <f>IFERROR(__xludf.DUMMYFUNCTION("""COMPUTED_VALUE"""),"junior1000gsxr")</f>
        <v>junior1000gsxr</v>
      </c>
      <c r="C573" s="30" t="str">
        <f>IFERROR(__xludf.DUMMYFUNCTION("""COMPUTED_VALUE"""),"Challenger")</f>
        <v>Challenger</v>
      </c>
      <c r="D573" s="30" t="str">
        <f>IFERROR(__xludf.DUMMYFUNCTION("""COMPUTED_VALUE"""),"Chromatic Chaos
Mugged
Quarter")</f>
        <v>Chromatic Chaos
Mugged
Quarter</v>
      </c>
      <c r="E573" s="30" t="str">
        <f>IFERROR(__xludf.DUMMYFUNCTION("""COMPUTED_VALUE"""),"Art Club
The Hood
Money Makers")</f>
        <v>Art Club
The Hood
Money Makers</v>
      </c>
      <c r="F573" s="30" t="str">
        <f>IFERROR(__xludf.DUMMYFUNCTION("""COMPUTED_VALUE"""),"Solar")</f>
        <v>Solar</v>
      </c>
      <c r="G573" s="92">
        <f>IFERROR(__xludf.DUMMYFUNCTION("""COMPUTED_VALUE"""),36.408533933171014)</f>
        <v>36.40853393</v>
      </c>
    </row>
    <row r="574">
      <c r="A574" s="30" t="str">
        <f>IFERROR(__xludf.DUMMYFUNCTION("""COMPUTED_VALUE"""),"RSC007890")</f>
        <v>RSC007890</v>
      </c>
      <c r="B574" s="30" t="str">
        <f>IFERROR(__xludf.DUMMYFUNCTION("""COMPUTED_VALUE"""),"Ghost-Bacon")</f>
        <v>Ghost-Bacon</v>
      </c>
      <c r="C574" s="30" t="str">
        <f>IFERROR(__xludf.DUMMYFUNCTION("""COMPUTED_VALUE"""),"Challenger")</f>
        <v>Challenger</v>
      </c>
      <c r="D574" s="30" t="str">
        <f>IFERROR(__xludf.DUMMYFUNCTION("""COMPUTED_VALUE"""),"Void")</f>
        <v>Void</v>
      </c>
      <c r="E574" s="30" t="str">
        <f>IFERROR(__xludf.DUMMYFUNCTION("""COMPUTED_VALUE"""),"Event Horizon")</f>
        <v>Event Horizon</v>
      </c>
      <c r="F574" s="30" t="str">
        <f>IFERROR(__xludf.DUMMYFUNCTION("""COMPUTED_VALUE"""),"Solar")</f>
        <v>Solar</v>
      </c>
      <c r="G574" s="92">
        <f>IFERROR(__xludf.DUMMYFUNCTION("""COMPUTED_VALUE"""),72.02379755765116)</f>
        <v>72.02379756</v>
      </c>
    </row>
    <row r="575">
      <c r="A575" s="30" t="str">
        <f>IFERROR(__xludf.DUMMYFUNCTION("""COMPUTED_VALUE"""),"RSC006072")</f>
        <v>RSC006072</v>
      </c>
      <c r="B575" s="30" t="str">
        <f>IFERROR(__xludf.DUMMYFUNCTION("""COMPUTED_VALUE"""),"AveX InceptionZ")</f>
        <v>AveX InceptionZ</v>
      </c>
      <c r="C575" s="30" t="str">
        <f>IFERROR(__xludf.DUMMYFUNCTION("""COMPUTED_VALUE"""),"Challenger")</f>
        <v>Challenger</v>
      </c>
      <c r="D575" s="30" t="str">
        <f>IFERROR(__xludf.DUMMYFUNCTION("""COMPUTED_VALUE"""),"Ryujin")</f>
        <v>Ryujin</v>
      </c>
      <c r="E575" s="30" t="str">
        <f>IFERROR(__xludf.DUMMYFUNCTION("""COMPUTED_VALUE"""),"The Shrine")</f>
        <v>The Shrine</v>
      </c>
      <c r="F575" s="30" t="str">
        <f>IFERROR(__xludf.DUMMYFUNCTION("""COMPUTED_VALUE"""),"Solar")</f>
        <v>Solar</v>
      </c>
      <c r="G575" s="92">
        <f>IFERROR(__xludf.DUMMYFUNCTION("""COMPUTED_VALUE"""),55.112957949100334)</f>
        <v>55.11295795</v>
      </c>
    </row>
    <row r="576">
      <c r="A576" s="30" t="str">
        <f>IFERROR(__xludf.DUMMYFUNCTION("""COMPUTED_VALUE"""),"RSC004902")</f>
        <v>RSC004902</v>
      </c>
      <c r="B576" s="30" t="str">
        <f>IFERROR(__xludf.DUMMYFUNCTION("""COMPUTED_VALUE"""),"cuse42")</f>
        <v>cuse42</v>
      </c>
      <c r="C576" s="30" t="str">
        <f>IFERROR(__xludf.DUMMYFUNCTION("""COMPUTED_VALUE"""),"Challenger")</f>
        <v>Challenger</v>
      </c>
      <c r="D576" s="30" t="str">
        <f>IFERROR(__xludf.DUMMYFUNCTION("""COMPUTED_VALUE"""),"Hydras")</f>
        <v>Hydras</v>
      </c>
      <c r="E576" s="30" t="str">
        <f>IFERROR(__xludf.DUMMYFUNCTION("""COMPUTED_VALUE"""),"The Forest")</f>
        <v>The Forest</v>
      </c>
      <c r="F576" s="30" t="str">
        <f>IFERROR(__xludf.DUMMYFUNCTION("""COMPUTED_VALUE"""),"Solar")</f>
        <v>Solar</v>
      </c>
      <c r="G576" s="92">
        <f>IFERROR(__xludf.DUMMYFUNCTION("""COMPUTED_VALUE"""),-9.40796810291802)</f>
        <v>-9.407968103</v>
      </c>
    </row>
    <row r="577">
      <c r="A577" s="30" t="str">
        <f>IFERROR(__xludf.DUMMYFUNCTION("""COMPUTED_VALUE"""),"RSC003193")</f>
        <v>RSC003193</v>
      </c>
      <c r="B577" s="30" t="str">
        <f>IFERROR(__xludf.DUMMYFUNCTION("""COMPUTED_VALUE"""),"ShiftDrink")</f>
        <v>ShiftDrink</v>
      </c>
      <c r="C577" s="30" t="str">
        <f>IFERROR(__xludf.DUMMYFUNCTION("""COMPUTED_VALUE"""),"Challenger")</f>
        <v>Challenger</v>
      </c>
      <c r="D577" s="30" t="str">
        <f>IFERROR(__xludf.DUMMYFUNCTION("""COMPUTED_VALUE"""),"Mugged
Lions
Meat Lovers")</f>
        <v>Mugged
Lions
Meat Lovers</v>
      </c>
      <c r="E577" s="30" t="str">
        <f>IFERROR(__xludf.DUMMYFUNCTION("""COMPUTED_VALUE"""),"The Hood
Safari
Fifty-Fifty Pizzeria")</f>
        <v>The Hood
Safari
Fifty-Fifty Pizzeria</v>
      </c>
      <c r="F577" s="30" t="str">
        <f>IFERROR(__xludf.DUMMYFUNCTION("""COMPUTED_VALUE"""),"Lunar")</f>
        <v>Lunar</v>
      </c>
      <c r="G577" s="92">
        <f>IFERROR(__xludf.DUMMYFUNCTION("""COMPUTED_VALUE"""),57.890089398920935)</f>
        <v>57.8900894</v>
      </c>
    </row>
    <row r="578">
      <c r="A578" s="30" t="str">
        <f>IFERROR(__xludf.DUMMYFUNCTION("""COMPUTED_VALUE"""),"RSC006353")</f>
        <v>RSC006353</v>
      </c>
      <c r="B578" s="30" t="str">
        <f>IFERROR(__xludf.DUMMYFUNCTION("""COMPUTED_VALUE"""),"Novarchite")</f>
        <v>Novarchite</v>
      </c>
      <c r="C578" s="30" t="str">
        <f>IFERROR(__xludf.DUMMYFUNCTION("""COMPUTED_VALUE"""),"Challenger")</f>
        <v>Challenger</v>
      </c>
      <c r="D578" s="30" t="str">
        <f>IFERROR(__xludf.DUMMYFUNCTION("""COMPUTED_VALUE"""),"Zombies
Chromatic Chaos
Apple Associates")</f>
        <v>Zombies
Chromatic Chaos
Apple Associates</v>
      </c>
      <c r="E578" s="30" t="str">
        <f>IFERROR(__xludf.DUMMYFUNCTION("""COMPUTED_VALUE"""),"The Monster Mash
Art Club
The Syndicate")</f>
        <v>The Monster Mash
Art Club
The Syndicate</v>
      </c>
      <c r="F578" s="30" t="str">
        <f>IFERROR(__xludf.DUMMYFUNCTION("""COMPUTED_VALUE"""),"Lunar")</f>
        <v>Lunar</v>
      </c>
      <c r="G578" s="92">
        <f>IFERROR(__xludf.DUMMYFUNCTION("""COMPUTED_VALUE"""),34.64702892428932)</f>
        <v>34.64702892</v>
      </c>
    </row>
    <row r="579">
      <c r="A579" s="30" t="str">
        <f>IFERROR(__xludf.DUMMYFUNCTION("""COMPUTED_VALUE"""),"RSC007118")</f>
        <v>RSC007118</v>
      </c>
      <c r="B579" s="30" t="str">
        <f>IFERROR(__xludf.DUMMYFUNCTION("""COMPUTED_VALUE"""),"Vampress Maru")</f>
        <v>Vampress Maru</v>
      </c>
      <c r="C579" s="30" t="str">
        <f>IFERROR(__xludf.DUMMYFUNCTION("""COMPUTED_VALUE"""),"Challenger")</f>
        <v>Challenger</v>
      </c>
      <c r="D579" s="30" t="str">
        <f>IFERROR(__xludf.DUMMYFUNCTION("""COMPUTED_VALUE"""),"Bingo
Solstice Sake")</f>
        <v>Bingo
Solstice Sake</v>
      </c>
      <c r="E579" s="30" t="str">
        <f>IFERROR(__xludf.DUMMYFUNCTION("""COMPUTED_VALUE"""),"Never Lucky
5 O'clock Nowhere")</f>
        <v>Never Lucky
5 O'clock Nowhere</v>
      </c>
      <c r="F579" s="30" t="str">
        <f>IFERROR(__xludf.DUMMYFUNCTION("""COMPUTED_VALUE"""),"Lunar")</f>
        <v>Lunar</v>
      </c>
      <c r="G579" s="92">
        <f>IFERROR(__xludf.DUMMYFUNCTION("""COMPUTED_VALUE"""),2.2859248856881536)</f>
        <v>2.285924886</v>
      </c>
    </row>
    <row r="580">
      <c r="A580" s="30" t="str">
        <f>IFERROR(__xludf.DUMMYFUNCTION("""COMPUTED_VALUE"""),"RSC006868")</f>
        <v>RSC006868</v>
      </c>
      <c r="B580" s="30" t="str">
        <f>IFERROR(__xludf.DUMMYFUNCTION("""COMPUTED_VALUE"""),"TraxStar_19")</f>
        <v>TraxStar_19</v>
      </c>
      <c r="C580" s="30" t="str">
        <f>IFERROR(__xludf.DUMMYFUNCTION("""COMPUTED_VALUE"""),"Challenger")</f>
        <v>Challenger</v>
      </c>
      <c r="D580" s="30" t="str">
        <f>IFERROR(__xludf.DUMMYFUNCTION("""COMPUTED_VALUE"""),"Warbirds")</f>
        <v>Warbirds</v>
      </c>
      <c r="E580" s="30" t="str">
        <f>IFERROR(__xludf.DUMMYFUNCTION("""COMPUTED_VALUE"""),"Remove Before Flight")</f>
        <v>Remove Before Flight</v>
      </c>
      <c r="F580" s="30" t="str">
        <f>IFERROR(__xludf.DUMMYFUNCTION("""COMPUTED_VALUE"""),"Lunar")</f>
        <v>Lunar</v>
      </c>
      <c r="G580" s="92">
        <f>IFERROR(__xludf.DUMMYFUNCTION("""COMPUTED_VALUE"""),-36.069858261311424)</f>
        <v>-36.06985826</v>
      </c>
    </row>
    <row r="581">
      <c r="A581" s="30" t="str">
        <f>IFERROR(__xludf.DUMMYFUNCTION("""COMPUTED_VALUE"""),"RSC004681")</f>
        <v>RSC004681</v>
      </c>
      <c r="B581" s="30" t="str">
        <f>IFERROR(__xludf.DUMMYFUNCTION("""COMPUTED_VALUE"""),"Speciial_Eddy")</f>
        <v>Speciial_Eddy</v>
      </c>
      <c r="C581" s="30" t="str">
        <f>IFERROR(__xludf.DUMMYFUNCTION("""COMPUTED_VALUE"""),"Challenger")</f>
        <v>Challenger</v>
      </c>
      <c r="D581" s="30" t="str">
        <f>IFERROR(__xludf.DUMMYFUNCTION("""COMPUTED_VALUE"""),"Jock O Lanterns")</f>
        <v>Jock O Lanterns</v>
      </c>
      <c r="E581" s="30" t="str">
        <f>IFERROR(__xludf.DUMMYFUNCTION("""COMPUTED_VALUE"""),"Ghoul School")</f>
        <v>Ghoul School</v>
      </c>
      <c r="F581" s="30" t="str">
        <f>IFERROR(__xludf.DUMMYFUNCTION("""COMPUTED_VALUE"""),"Solar")</f>
        <v>Solar</v>
      </c>
      <c r="G581" s="92">
        <f>IFERROR(__xludf.DUMMYFUNCTION("""COMPUTED_VALUE"""),47.52448318416298)</f>
        <v>47.52448318</v>
      </c>
    </row>
    <row r="582">
      <c r="A582" s="30" t="str">
        <f>IFERROR(__xludf.DUMMYFUNCTION("""COMPUTED_VALUE"""),"RSC001995")</f>
        <v>RSC001995</v>
      </c>
      <c r="B582" s="30" t="str">
        <f>IFERROR(__xludf.DUMMYFUNCTION("""COMPUTED_VALUE"""),"Tvveedle")</f>
        <v>Tvveedle</v>
      </c>
      <c r="C582" s="30" t="str">
        <f>IFERROR(__xludf.DUMMYFUNCTION("""COMPUTED_VALUE"""),"Challenger")</f>
        <v>Challenger</v>
      </c>
      <c r="D582" s="30" t="str">
        <f>IFERROR(__xludf.DUMMYFUNCTION("""COMPUTED_VALUE"""),"Mugged
Decuriones")</f>
        <v>Mugged
Decuriones</v>
      </c>
      <c r="E582" s="30" t="str">
        <f>IFERROR(__xludf.DUMMYFUNCTION("""COMPUTED_VALUE"""),"The Hood
The Sovereign")</f>
        <v>The Hood
The Sovereign</v>
      </c>
      <c r="F582" s="30" t="str">
        <f>IFERROR(__xludf.DUMMYFUNCTION("""COMPUTED_VALUE"""),"Lunar")</f>
        <v>Lunar</v>
      </c>
      <c r="G582" s="92">
        <f>IFERROR(__xludf.DUMMYFUNCTION("""COMPUTED_VALUE"""),76.61828394826139)</f>
        <v>76.61828395</v>
      </c>
    </row>
    <row r="583">
      <c r="A583" s="30" t="str">
        <f>IFERROR(__xludf.DUMMYFUNCTION("""COMPUTED_VALUE"""),"RSC007911")</f>
        <v>RSC007911</v>
      </c>
      <c r="B583" s="30" t="str">
        <f>IFERROR(__xludf.DUMMYFUNCTION("""COMPUTED_VALUE"""),"Redhood913011")</f>
        <v>Redhood913011</v>
      </c>
      <c r="C583" s="30" t="str">
        <f>IFERROR(__xludf.DUMMYFUNCTION("""COMPUTED_VALUE"""),"Challenger")</f>
        <v>Challenger</v>
      </c>
      <c r="D583" s="30" t="str">
        <f>IFERROR(__xludf.DUMMYFUNCTION("""COMPUTED_VALUE"""),"Lions")</f>
        <v>Lions</v>
      </c>
      <c r="E583" s="30" t="str">
        <f>IFERROR(__xludf.DUMMYFUNCTION("""COMPUTED_VALUE"""),"Safari")</f>
        <v>Safari</v>
      </c>
      <c r="F583" s="30" t="str">
        <f>IFERROR(__xludf.DUMMYFUNCTION("""COMPUTED_VALUE"""),"Lunar")</f>
        <v>Lunar</v>
      </c>
      <c r="G583" s="92">
        <f>IFERROR(__xludf.DUMMYFUNCTION("""COMPUTED_VALUE"""),40.48021604346053)</f>
        <v>40.48021604</v>
      </c>
    </row>
    <row r="584">
      <c r="A584" s="30" t="str">
        <f>IFERROR(__xludf.DUMMYFUNCTION("""COMPUTED_VALUE"""),"RSC007313")</f>
        <v>RSC007313</v>
      </c>
      <c r="B584" s="30" t="str">
        <f>IFERROR(__xludf.DUMMYFUNCTION("""COMPUTED_VALUE"""),"xNunYaBidn3ss")</f>
        <v>xNunYaBidn3ss</v>
      </c>
      <c r="C584" s="30" t="str">
        <f>IFERROR(__xludf.DUMMYFUNCTION("""COMPUTED_VALUE"""),"Challenger")</f>
        <v>Challenger</v>
      </c>
      <c r="D584" s="30" t="str">
        <f>IFERROR(__xludf.DUMMYFUNCTION("""COMPUTED_VALUE"""),"Zombies")</f>
        <v>Zombies</v>
      </c>
      <c r="E584" s="30" t="str">
        <f>IFERROR(__xludf.DUMMYFUNCTION("""COMPUTED_VALUE"""),"The Monster Mash")</f>
        <v>The Monster Mash</v>
      </c>
      <c r="F584" s="30" t="str">
        <f>IFERROR(__xludf.DUMMYFUNCTION("""COMPUTED_VALUE"""),"Lunar")</f>
        <v>Lunar</v>
      </c>
      <c r="G584" s="92">
        <f>IFERROR(__xludf.DUMMYFUNCTION("""COMPUTED_VALUE"""),61.03600401046915)</f>
        <v>61.03600401</v>
      </c>
    </row>
    <row r="585">
      <c r="A585" s="30" t="str">
        <f>IFERROR(__xludf.DUMMYFUNCTION("""COMPUTED_VALUE"""),"RSC007969")</f>
        <v>RSC007969</v>
      </c>
      <c r="B585" s="30" t="str">
        <f>IFERROR(__xludf.DUMMYFUNCTION("""COMPUTED_VALUE"""),"EcHo.rll")</f>
        <v>EcHo.rll</v>
      </c>
      <c r="C585" s="30" t="str">
        <f>IFERROR(__xludf.DUMMYFUNCTION("""COMPUTED_VALUE"""),"Challenger")</f>
        <v>Challenger</v>
      </c>
      <c r="D585" s="30" t="str">
        <f>IFERROR(__xludf.DUMMYFUNCTION("""COMPUTED_VALUE"""),"Shade
Quarter")</f>
        <v>Shade
Quarter</v>
      </c>
      <c r="E585" s="30" t="str">
        <f>IFERROR(__xludf.DUMMYFUNCTION("""COMPUTED_VALUE"""),"The Shadows
Money Makers")</f>
        <v>The Shadows
Money Makers</v>
      </c>
      <c r="F585" s="30" t="str">
        <f>IFERROR(__xludf.DUMMYFUNCTION("""COMPUTED_VALUE"""),"Lunar")</f>
        <v>Lunar</v>
      </c>
      <c r="G585" s="92">
        <f>IFERROR(__xludf.DUMMYFUNCTION("""COMPUTED_VALUE"""),38.349390033875615)</f>
        <v>38.34939003</v>
      </c>
    </row>
    <row r="586">
      <c r="A586" s="30" t="str">
        <f>IFERROR(__xludf.DUMMYFUNCTION("""COMPUTED_VALUE"""),"RSC006583")</f>
        <v>RSC006583</v>
      </c>
      <c r="B586" s="30" t="str">
        <f>IFERROR(__xludf.DUMMYFUNCTION("""COMPUTED_VALUE"""),"DaScrappyDoo15")</f>
        <v>DaScrappyDoo15</v>
      </c>
      <c r="C586" s="30" t="str">
        <f>IFERROR(__xludf.DUMMYFUNCTION("""COMPUTED_VALUE"""),"Challenger")</f>
        <v>Challenger</v>
      </c>
      <c r="D586" s="30" t="str">
        <f>IFERROR(__xludf.DUMMYFUNCTION("""COMPUTED_VALUE"""),"Solstice Sake")</f>
        <v>Solstice Sake</v>
      </c>
      <c r="E586" s="30" t="str">
        <f>IFERROR(__xludf.DUMMYFUNCTION("""COMPUTED_VALUE"""),"5 O'clock Nowhere")</f>
        <v>5 O'clock Nowhere</v>
      </c>
      <c r="F586" s="30" t="str">
        <f>IFERROR(__xludf.DUMMYFUNCTION("""COMPUTED_VALUE"""),"Solar")</f>
        <v>Solar</v>
      </c>
      <c r="G586" s="92">
        <f>IFERROR(__xludf.DUMMYFUNCTION("""COMPUTED_VALUE"""),27.63366919976024)</f>
        <v>27.6336692</v>
      </c>
    </row>
    <row r="587">
      <c r="A587" s="30" t="str">
        <f>IFERROR(__xludf.DUMMYFUNCTION("""COMPUTED_VALUE"""),"RSC007874")</f>
        <v>RSC007874</v>
      </c>
      <c r="B587" s="30" t="str">
        <f>IFERROR(__xludf.DUMMYFUNCTION("""COMPUTED_VALUE"""),"SALTY NUM NUM")</f>
        <v>SALTY NUM NUM</v>
      </c>
      <c r="C587" s="30" t="str">
        <f>IFERROR(__xludf.DUMMYFUNCTION("""COMPUTED_VALUE"""),"Challenger")</f>
        <v>Challenger</v>
      </c>
      <c r="D587" s="30" t="str">
        <f>IFERROR(__xludf.DUMMYFUNCTION("""COMPUTED_VALUE"""),"Apple Associates")</f>
        <v>Apple Associates</v>
      </c>
      <c r="E587" s="30" t="str">
        <f>IFERROR(__xludf.DUMMYFUNCTION("""COMPUTED_VALUE"""),"The Syndicate")</f>
        <v>The Syndicate</v>
      </c>
      <c r="F587" s="30" t="str">
        <f>IFERROR(__xludf.DUMMYFUNCTION("""COMPUTED_VALUE"""),"Lunar")</f>
        <v>Lunar</v>
      </c>
      <c r="G587" s="92">
        <f>IFERROR(__xludf.DUMMYFUNCTION("""COMPUTED_VALUE"""),-31.95601502870487)</f>
        <v>-31.95601503</v>
      </c>
    </row>
    <row r="588">
      <c r="A588" s="30" t="str">
        <f>IFERROR(__xludf.DUMMYFUNCTION("""COMPUTED_VALUE"""),"RSC007961")</f>
        <v>RSC007961</v>
      </c>
      <c r="B588" s="30" t="str">
        <f>IFERROR(__xludf.DUMMYFUNCTION("""COMPUTED_VALUE"""),"Skrilpp")</f>
        <v>Skrilpp</v>
      </c>
      <c r="C588" s="30" t="str">
        <f>IFERROR(__xludf.DUMMYFUNCTION("""COMPUTED_VALUE"""),"Challenger")</f>
        <v>Challenger</v>
      </c>
      <c r="D588" s="30" t="str">
        <f>IFERROR(__xludf.DUMMYFUNCTION("""COMPUTED_VALUE"""),"Chromatic Chaos
Lions")</f>
        <v>Chromatic Chaos
Lions</v>
      </c>
      <c r="E588" s="30" t="str">
        <f>IFERROR(__xludf.DUMMYFUNCTION("""COMPUTED_VALUE"""),"Art Club
Safari")</f>
        <v>Art Club
Safari</v>
      </c>
      <c r="F588" s="30" t="str">
        <f>IFERROR(__xludf.DUMMYFUNCTION("""COMPUTED_VALUE"""),"Solar")</f>
        <v>Solar</v>
      </c>
      <c r="G588" s="92">
        <f>IFERROR(__xludf.DUMMYFUNCTION("""COMPUTED_VALUE"""),38.96177365186657)</f>
        <v>38.96177365</v>
      </c>
    </row>
    <row r="589">
      <c r="A589" s="30" t="str">
        <f>IFERROR(__xludf.DUMMYFUNCTION("""COMPUTED_VALUE"""),"RSC006066")</f>
        <v>RSC006066</v>
      </c>
      <c r="B589" s="30" t="str">
        <f>IFERROR(__xludf.DUMMYFUNCTION("""COMPUTED_VALUE"""),"GoldenTiger5")</f>
        <v>GoldenTiger5</v>
      </c>
      <c r="C589" s="30" t="str">
        <f>IFERROR(__xludf.DUMMYFUNCTION("""COMPUTED_VALUE"""),"Challenger")</f>
        <v>Challenger</v>
      </c>
      <c r="D589" s="30" t="str">
        <f>IFERROR(__xludf.DUMMYFUNCTION("""COMPUTED_VALUE"""),"Panda Bears")</f>
        <v>Panda Bears</v>
      </c>
      <c r="E589" s="30" t="str">
        <f>IFERROR(__xludf.DUMMYFUNCTION("""COMPUTED_VALUE"""),"The Bear Den")</f>
        <v>The Bear Den</v>
      </c>
      <c r="F589" s="30" t="str">
        <f>IFERROR(__xludf.DUMMYFUNCTION("""COMPUTED_VALUE"""),"Lunar")</f>
        <v>Lunar</v>
      </c>
      <c r="G589" s="92">
        <f>IFERROR(__xludf.DUMMYFUNCTION("""COMPUTED_VALUE"""),-0.06667857252455889)</f>
        <v>-0.06667857252</v>
      </c>
    </row>
    <row r="590">
      <c r="A590" s="30" t="str">
        <f>IFERROR(__xludf.DUMMYFUNCTION("""COMPUTED_VALUE"""),"RSC006217")</f>
        <v>RSC006217</v>
      </c>
      <c r="B590" s="30" t="str">
        <f>IFERROR(__xludf.DUMMYFUNCTION("""COMPUTED_VALUE"""),"Subj3ct_Teonligas")</f>
        <v>Subj3ct_Teonligas</v>
      </c>
      <c r="C590" s="30" t="str">
        <f>IFERROR(__xludf.DUMMYFUNCTION("""COMPUTED_VALUE"""),"Challenger")</f>
        <v>Challenger</v>
      </c>
      <c r="D590" s="30" t="str">
        <f>IFERROR(__xludf.DUMMYFUNCTION("""COMPUTED_VALUE"""),"Lions")</f>
        <v>Lions</v>
      </c>
      <c r="E590" s="30" t="str">
        <f>IFERROR(__xludf.DUMMYFUNCTION("""COMPUTED_VALUE"""),"Safari")</f>
        <v>Safari</v>
      </c>
      <c r="F590" s="30" t="str">
        <f>IFERROR(__xludf.DUMMYFUNCTION("""COMPUTED_VALUE"""),"Lunar")</f>
        <v>Lunar</v>
      </c>
      <c r="G590" s="92">
        <f>IFERROR(__xludf.DUMMYFUNCTION("""COMPUTED_VALUE"""),7.117583003417472)</f>
        <v>7.117583003</v>
      </c>
    </row>
    <row r="591">
      <c r="A591" s="30" t="str">
        <f>IFERROR(__xludf.DUMMYFUNCTION("""COMPUTED_VALUE"""),"RSC005509")</f>
        <v>RSC005509</v>
      </c>
      <c r="B591" s="30" t="str">
        <f>IFERROR(__xludf.DUMMYFUNCTION("""COMPUTED_VALUE"""),"Benjamen A")</f>
        <v>Benjamen A</v>
      </c>
      <c r="C591" s="30" t="str">
        <f>IFERROR(__xludf.DUMMYFUNCTION("""COMPUTED_VALUE"""),"Challenger")</f>
        <v>Challenger</v>
      </c>
      <c r="D591" s="30" t="str">
        <f>IFERROR(__xludf.DUMMYFUNCTION("""COMPUTED_VALUE"""),"Quarter")</f>
        <v>Quarter</v>
      </c>
      <c r="E591" s="30" t="str">
        <f>IFERROR(__xludf.DUMMYFUNCTION("""COMPUTED_VALUE"""),"Money Makers")</f>
        <v>Money Makers</v>
      </c>
      <c r="F591" s="30" t="str">
        <f>IFERROR(__xludf.DUMMYFUNCTION("""COMPUTED_VALUE"""),"Solar")</f>
        <v>Solar</v>
      </c>
      <c r="G591" s="92">
        <f>IFERROR(__xludf.DUMMYFUNCTION("""COMPUTED_VALUE"""),-7.955444700396207)</f>
        <v>-7.9554447</v>
      </c>
    </row>
    <row r="592">
      <c r="A592" s="30" t="str">
        <f>IFERROR(__xludf.DUMMYFUNCTION("""COMPUTED_VALUE"""),"RSC007616")</f>
        <v>RSC007616</v>
      </c>
      <c r="B592" s="30" t="str">
        <f>IFERROR(__xludf.DUMMYFUNCTION("""COMPUTED_VALUE"""),"VforVenDEADa")</f>
        <v>VforVenDEADa</v>
      </c>
      <c r="C592" s="30" t="str">
        <f>IFERROR(__xludf.DUMMYFUNCTION("""COMPUTED_VALUE"""),"Challenger")</f>
        <v>Challenger</v>
      </c>
      <c r="D592" s="30" t="str">
        <f>IFERROR(__xludf.DUMMYFUNCTION("""COMPUTED_VALUE"""),"Cassowaries")</f>
        <v>Cassowaries</v>
      </c>
      <c r="E592" s="30" t="str">
        <f>IFERROR(__xludf.DUMMYFUNCTION("""COMPUTED_VALUE"""),"Flightless Fowl")</f>
        <v>Flightless Fowl</v>
      </c>
      <c r="F592" s="30" t="str">
        <f>IFERROR(__xludf.DUMMYFUNCTION("""COMPUTED_VALUE"""),"Solar")</f>
        <v>Solar</v>
      </c>
      <c r="G592" s="92">
        <f>IFERROR(__xludf.DUMMYFUNCTION("""COMPUTED_VALUE"""),75.04978969374662)</f>
        <v>75.04978969</v>
      </c>
    </row>
    <row r="593">
      <c r="A593" s="30" t="str">
        <f>IFERROR(__xludf.DUMMYFUNCTION("""COMPUTED_VALUE"""),"RSC004216")</f>
        <v>RSC004216</v>
      </c>
      <c r="B593" s="30" t="str">
        <f>IFERROR(__xludf.DUMMYFUNCTION("""COMPUTED_VALUE"""),"GrEh")</f>
        <v>GrEh</v>
      </c>
      <c r="C593" s="30" t="str">
        <f>IFERROR(__xludf.DUMMYFUNCTION("""COMPUTED_VALUE"""),"Premier")</f>
        <v>Premier</v>
      </c>
      <c r="D593" s="30" t="str">
        <f>IFERROR(__xludf.DUMMYFUNCTION("""COMPUTED_VALUE"""),"Long Beards")</f>
        <v>Long Beards</v>
      </c>
      <c r="E593" s="30" t="str">
        <f>IFERROR(__xludf.DUMMYFUNCTION("""COMPUTED_VALUE"""),"Dwarf Haven")</f>
        <v>Dwarf Haven</v>
      </c>
      <c r="F593" s="30" t="str">
        <f>IFERROR(__xludf.DUMMYFUNCTION("""COMPUTED_VALUE"""),"N/A")</f>
        <v>N/A</v>
      </c>
      <c r="G593" s="92">
        <f>IFERROR(__xludf.DUMMYFUNCTION("""COMPUTED_VALUE"""),73.3792630621812)</f>
        <v>73.37926306</v>
      </c>
    </row>
    <row r="594">
      <c r="A594" s="30" t="str">
        <f>IFERROR(__xludf.DUMMYFUNCTION("""COMPUTED_VALUE"""),"RSC004923")</f>
        <v>RSC004923</v>
      </c>
      <c r="B594" s="30" t="str">
        <f>IFERROR(__xludf.DUMMYFUNCTION("""COMPUTED_VALUE"""),"Monster.")</f>
        <v>Monster.</v>
      </c>
      <c r="C594" s="30" t="str">
        <f>IFERROR(__xludf.DUMMYFUNCTION("""COMPUTED_VALUE"""),"Premier")</f>
        <v>Premier</v>
      </c>
      <c r="D594" s="30" t="str">
        <f>IFERROR(__xludf.DUMMYFUNCTION("""COMPUTED_VALUE"""),"Long Beards")</f>
        <v>Long Beards</v>
      </c>
      <c r="E594" s="30" t="str">
        <f>IFERROR(__xludf.DUMMYFUNCTION("""COMPUTED_VALUE"""),"Dwarf Haven")</f>
        <v>Dwarf Haven</v>
      </c>
      <c r="F594" s="30" t="str">
        <f>IFERROR(__xludf.DUMMYFUNCTION("""COMPUTED_VALUE"""),"N/A")</f>
        <v>N/A</v>
      </c>
      <c r="G594" s="92">
        <f>IFERROR(__xludf.DUMMYFUNCTION("""COMPUTED_VALUE"""),56.78426496455639)</f>
        <v>56.78426496</v>
      </c>
    </row>
    <row r="595">
      <c r="A595" s="30" t="str">
        <f>IFERROR(__xludf.DUMMYFUNCTION("""COMPUTED_VALUE"""),"RSC004459")</f>
        <v>RSC004459</v>
      </c>
      <c r="B595" s="30" t="str">
        <f>IFERROR(__xludf.DUMMYFUNCTION("""COMPUTED_VALUE"""),"phoenix")</f>
        <v>phoenix</v>
      </c>
      <c r="C595" s="30" t="str">
        <f>IFERROR(__xludf.DUMMYFUNCTION("""COMPUTED_VALUE"""),"Premier")</f>
        <v>Premier</v>
      </c>
      <c r="D595" s="30" t="str">
        <f>IFERROR(__xludf.DUMMYFUNCTION("""COMPUTED_VALUE"""),"Long Beards")</f>
        <v>Long Beards</v>
      </c>
      <c r="E595" s="30" t="str">
        <f>IFERROR(__xludf.DUMMYFUNCTION("""COMPUTED_VALUE"""),"Dwarf Haven")</f>
        <v>Dwarf Haven</v>
      </c>
      <c r="F595" s="30" t="str">
        <f>IFERROR(__xludf.DUMMYFUNCTION("""COMPUTED_VALUE"""),"N/A")</f>
        <v>N/A</v>
      </c>
      <c r="G595" s="92">
        <f>IFERROR(__xludf.DUMMYFUNCTION("""COMPUTED_VALUE"""),67.7078298633848)</f>
        <v>67.70782986</v>
      </c>
    </row>
    <row r="596">
      <c r="A596" s="30" t="str">
        <f>IFERROR(__xludf.DUMMYFUNCTION("""COMPUTED_VALUE"""),"RSC007830")</f>
        <v>RSC007830</v>
      </c>
      <c r="B596" s="30" t="str">
        <f>IFERROR(__xludf.DUMMYFUNCTION("""COMPUTED_VALUE"""),"ghosty rl")</f>
        <v>ghosty rl</v>
      </c>
      <c r="C596" s="30" t="str">
        <f>IFERROR(__xludf.DUMMYFUNCTION("""COMPUTED_VALUE"""),"Premier")</f>
        <v>Premier</v>
      </c>
      <c r="D596" s="30" t="str">
        <f>IFERROR(__xludf.DUMMYFUNCTION("""COMPUTED_VALUE"""),"Feta Forgers")</f>
        <v>Feta Forgers</v>
      </c>
      <c r="E596" s="30" t="str">
        <f>IFERROR(__xludf.DUMMYFUNCTION("""COMPUTED_VALUE"""),"Cheese Guild")</f>
        <v>Cheese Guild</v>
      </c>
      <c r="F596" s="30" t="str">
        <f>IFERROR(__xludf.DUMMYFUNCTION("""COMPUTED_VALUE"""),"N/A")</f>
        <v>N/A</v>
      </c>
      <c r="G596" s="92">
        <f>IFERROR(__xludf.DUMMYFUNCTION("""COMPUTED_VALUE"""),17.905602943555273)</f>
        <v>17.90560294</v>
      </c>
    </row>
    <row r="597">
      <c r="A597" s="30" t="str">
        <f>IFERROR(__xludf.DUMMYFUNCTION("""COMPUTED_VALUE"""),"RSC002714")</f>
        <v>RSC002714</v>
      </c>
      <c r="B597" s="30" t="str">
        <f>IFERROR(__xludf.DUMMYFUNCTION("""COMPUTED_VALUE"""),"Yujin")</f>
        <v>Yujin</v>
      </c>
      <c r="C597" s="30" t="str">
        <f>IFERROR(__xludf.DUMMYFUNCTION("""COMPUTED_VALUE"""),"Premier")</f>
        <v>Premier</v>
      </c>
      <c r="D597" s="30" t="str">
        <f>IFERROR(__xludf.DUMMYFUNCTION("""COMPUTED_VALUE"""),"Fairies
Feta Forgers")</f>
        <v>Fairies
Feta Forgers</v>
      </c>
      <c r="E597" s="30" t="str">
        <f>IFERROR(__xludf.DUMMYFUNCTION("""COMPUTED_VALUE"""),"The Forest
Cheese Guild")</f>
        <v>The Forest
Cheese Guild</v>
      </c>
      <c r="F597" s="30" t="str">
        <f>IFERROR(__xludf.DUMMYFUNCTION("""COMPUTED_VALUE"""),"N/A")</f>
        <v>N/A</v>
      </c>
      <c r="G597" s="92">
        <f>IFERROR(__xludf.DUMMYFUNCTION("""COMPUTED_VALUE"""),28.487007330817566)</f>
        <v>28.48700733</v>
      </c>
    </row>
    <row r="598">
      <c r="A598" s="30" t="str">
        <f>IFERROR(__xludf.DUMMYFUNCTION("""COMPUTED_VALUE"""),"RSC005481")</f>
        <v>RSC005481</v>
      </c>
      <c r="B598" s="30" t="str">
        <f>IFERROR(__xludf.DUMMYFUNCTION("""COMPUTED_VALUE"""),"Leonis")</f>
        <v>Leonis</v>
      </c>
      <c r="C598" s="30" t="str">
        <f>IFERROR(__xludf.DUMMYFUNCTION("""COMPUTED_VALUE"""),"Premier")</f>
        <v>Premier</v>
      </c>
      <c r="D598" s="30" t="str">
        <f>IFERROR(__xludf.DUMMYFUNCTION("""COMPUTED_VALUE"""),"Super Clusters
Feta Forgers")</f>
        <v>Super Clusters
Feta Forgers</v>
      </c>
      <c r="E598" s="30" t="str">
        <f>IFERROR(__xludf.DUMMYFUNCTION("""COMPUTED_VALUE"""),"The Cosmos
Cheese Guild")</f>
        <v>The Cosmos
Cheese Guild</v>
      </c>
      <c r="F598" s="30" t="str">
        <f>IFERROR(__xludf.DUMMYFUNCTION("""COMPUTED_VALUE"""),"N/A")</f>
        <v>N/A</v>
      </c>
      <c r="G598" s="92">
        <f>IFERROR(__xludf.DUMMYFUNCTION("""COMPUTED_VALUE"""),36.74019603571266)</f>
        <v>36.74019604</v>
      </c>
    </row>
    <row r="599">
      <c r="A599" s="30" t="str">
        <f>IFERROR(__xludf.DUMMYFUNCTION("""COMPUTED_VALUE"""),"RSC004580")</f>
        <v>RSC004580</v>
      </c>
      <c r="B599" s="30" t="str">
        <f>IFERROR(__xludf.DUMMYFUNCTION("""COMPUTED_VALUE"""),"Stati_c")</f>
        <v>Stati_c</v>
      </c>
      <c r="C599" s="30" t="str">
        <f>IFERROR(__xludf.DUMMYFUNCTION("""COMPUTED_VALUE"""),"Premier")</f>
        <v>Premier</v>
      </c>
      <c r="D599" s="30" t="str">
        <f>IFERROR(__xludf.DUMMYFUNCTION("""COMPUTED_VALUE"""),"Feta Forgers
Capybaras")</f>
        <v>Feta Forgers
Capybaras</v>
      </c>
      <c r="E599" s="30" t="str">
        <f>IFERROR(__xludf.DUMMYFUNCTION("""COMPUTED_VALUE"""),"Cheese Guild
The Jungle")</f>
        <v>Cheese Guild
The Jungle</v>
      </c>
      <c r="F599" s="30" t="str">
        <f>IFERROR(__xludf.DUMMYFUNCTION("""COMPUTED_VALUE"""),"N/A")</f>
        <v>N/A</v>
      </c>
      <c r="G599" s="92">
        <f>IFERROR(__xludf.DUMMYFUNCTION("""COMPUTED_VALUE"""),25.226061842050026)</f>
        <v>25.22606184</v>
      </c>
    </row>
    <row r="600">
      <c r="A600" s="30" t="str">
        <f>IFERROR(__xludf.DUMMYFUNCTION("""COMPUTED_VALUE"""),"RSC006203")</f>
        <v>RSC006203</v>
      </c>
      <c r="B600" s="30" t="str">
        <f>IFERROR(__xludf.DUMMYFUNCTION("""COMPUTED_VALUE"""),"Lonzo Ball")</f>
        <v>Lonzo Ball</v>
      </c>
      <c r="C600" s="30" t="str">
        <f>IFERROR(__xludf.DUMMYFUNCTION("""COMPUTED_VALUE"""),"Premier")</f>
        <v>Premier</v>
      </c>
      <c r="D600" s="30" t="str">
        <f>IFERROR(__xludf.DUMMYFUNCTION("""COMPUTED_VALUE"""),"Capybaras")</f>
        <v>Capybaras</v>
      </c>
      <c r="E600" s="30" t="str">
        <f>IFERROR(__xludf.DUMMYFUNCTION("""COMPUTED_VALUE"""),"The Jungle")</f>
        <v>The Jungle</v>
      </c>
      <c r="F600" s="30" t="str">
        <f>IFERROR(__xludf.DUMMYFUNCTION("""COMPUTED_VALUE"""),"N/A")</f>
        <v>N/A</v>
      </c>
      <c r="G600" s="92">
        <f>IFERROR(__xludf.DUMMYFUNCTION("""COMPUTED_VALUE"""),58.69814754197688)</f>
        <v>58.69814754</v>
      </c>
    </row>
    <row r="601">
      <c r="A601" s="30" t="str">
        <f>IFERROR(__xludf.DUMMYFUNCTION("""COMPUTED_VALUE"""),"RSC007188")</f>
        <v>RSC007188</v>
      </c>
      <c r="B601" s="30" t="str">
        <f>IFERROR(__xludf.DUMMYFUNCTION("""COMPUTED_VALUE"""),"spoody")</f>
        <v>spoody</v>
      </c>
      <c r="C601" s="30" t="str">
        <f>IFERROR(__xludf.DUMMYFUNCTION("""COMPUTED_VALUE"""),"Premier")</f>
        <v>Premier</v>
      </c>
      <c r="D601" s="30" t="str">
        <f>IFERROR(__xludf.DUMMYFUNCTION("""COMPUTED_VALUE"""),"Capybaras")</f>
        <v>Capybaras</v>
      </c>
      <c r="E601" s="30" t="str">
        <f>IFERROR(__xludf.DUMMYFUNCTION("""COMPUTED_VALUE"""),"The Jungle")</f>
        <v>The Jungle</v>
      </c>
      <c r="F601" s="30" t="str">
        <f>IFERROR(__xludf.DUMMYFUNCTION("""COMPUTED_VALUE"""),"N/A")</f>
        <v>N/A</v>
      </c>
      <c r="G601" s="92">
        <f>IFERROR(__xludf.DUMMYFUNCTION("""COMPUTED_VALUE"""),58.31994235991849)</f>
        <v>58.31994236</v>
      </c>
    </row>
    <row r="602">
      <c r="A602" s="30" t="str">
        <f>IFERROR(__xludf.DUMMYFUNCTION("""COMPUTED_VALUE"""),"RSC005917")</f>
        <v>RSC005917</v>
      </c>
      <c r="B602" s="30" t="str">
        <f>IFERROR(__xludf.DUMMYFUNCTION("""COMPUTED_VALUE"""),"GAVALANCHE")</f>
        <v>GAVALANCHE</v>
      </c>
      <c r="C602" s="30" t="str">
        <f>IFERROR(__xludf.DUMMYFUNCTION("""COMPUTED_VALUE"""),"Premier")</f>
        <v>Premier</v>
      </c>
      <c r="D602" s="30" t="str">
        <f>IFERROR(__xludf.DUMMYFUNCTION("""COMPUTED_VALUE"""),"Crooked Capos")</f>
        <v>Crooked Capos</v>
      </c>
      <c r="E602" s="30" t="str">
        <f>IFERROR(__xludf.DUMMYFUNCTION("""COMPUTED_VALUE"""),"The Syndicate")</f>
        <v>The Syndicate</v>
      </c>
      <c r="F602" s="30" t="str">
        <f>IFERROR(__xludf.DUMMYFUNCTION("""COMPUTED_VALUE"""),"N/A")</f>
        <v>N/A</v>
      </c>
      <c r="G602" s="92">
        <f>IFERROR(__xludf.DUMMYFUNCTION("""COMPUTED_VALUE"""),42.189664934410864)</f>
        <v>42.18966493</v>
      </c>
    </row>
    <row r="603">
      <c r="A603" s="30" t="str">
        <f>IFERROR(__xludf.DUMMYFUNCTION("""COMPUTED_VALUE"""),"RSC001177")</f>
        <v>RSC001177</v>
      </c>
      <c r="B603" s="30" t="str">
        <f>IFERROR(__xludf.DUMMYFUNCTION("""COMPUTED_VALUE"""),"Calster")</f>
        <v>Calster</v>
      </c>
      <c r="C603" s="30" t="str">
        <f>IFERROR(__xludf.DUMMYFUNCTION("""COMPUTED_VALUE"""),"Premier")</f>
        <v>Premier</v>
      </c>
      <c r="D603" s="30" t="str">
        <f>IFERROR(__xludf.DUMMYFUNCTION("""COMPUTED_VALUE"""),"Crooked Capos")</f>
        <v>Crooked Capos</v>
      </c>
      <c r="E603" s="30" t="str">
        <f>IFERROR(__xludf.DUMMYFUNCTION("""COMPUTED_VALUE"""),"The Syndicate")</f>
        <v>The Syndicate</v>
      </c>
      <c r="F603" s="30" t="str">
        <f>IFERROR(__xludf.DUMMYFUNCTION("""COMPUTED_VALUE"""),"N/A")</f>
        <v>N/A</v>
      </c>
      <c r="G603" s="92">
        <f>IFERROR(__xludf.DUMMYFUNCTION("""COMPUTED_VALUE"""),42.55142991317951)</f>
        <v>42.55142991</v>
      </c>
    </row>
    <row r="604">
      <c r="A604" s="30" t="str">
        <f>IFERROR(__xludf.DUMMYFUNCTION("""COMPUTED_VALUE"""),"RSC006029")</f>
        <v>RSC006029</v>
      </c>
      <c r="B604" s="30" t="str">
        <f>IFERROR(__xludf.DUMMYFUNCTION("""COMPUTED_VALUE"""),"bman.")</f>
        <v>bman.</v>
      </c>
      <c r="C604" s="30" t="str">
        <f>IFERROR(__xludf.DUMMYFUNCTION("""COMPUTED_VALUE"""),"Premier")</f>
        <v>Premier</v>
      </c>
      <c r="D604" s="30" t="str">
        <f>IFERROR(__xludf.DUMMYFUNCTION("""COMPUTED_VALUE"""),"Crooked Capos")</f>
        <v>Crooked Capos</v>
      </c>
      <c r="E604" s="30" t="str">
        <f>IFERROR(__xludf.DUMMYFUNCTION("""COMPUTED_VALUE"""),"The Syndicate")</f>
        <v>The Syndicate</v>
      </c>
      <c r="F604" s="30" t="str">
        <f>IFERROR(__xludf.DUMMYFUNCTION("""COMPUTED_VALUE"""),"N/A")</f>
        <v>N/A</v>
      </c>
      <c r="G604" s="92">
        <f>IFERROR(__xludf.DUMMYFUNCTION("""COMPUTED_VALUE"""),56.68940427643662)</f>
        <v>56.68940428</v>
      </c>
    </row>
    <row r="605">
      <c r="A605" s="30" t="str">
        <f>IFERROR(__xludf.DUMMYFUNCTION("""COMPUTED_VALUE"""),"RSC000462")</f>
        <v>RSC000462</v>
      </c>
      <c r="B605" s="30" t="str">
        <f>IFERROR(__xludf.DUMMYFUNCTION("""COMPUTED_VALUE"""),"Kruncho")</f>
        <v>Kruncho</v>
      </c>
      <c r="C605" s="30" t="str">
        <f>IFERROR(__xludf.DUMMYFUNCTION("""COMPUTED_VALUE"""),"Premier")</f>
        <v>Premier</v>
      </c>
      <c r="D605" s="30" t="str">
        <f>IFERROR(__xludf.DUMMYFUNCTION("""COMPUTED_VALUE"""),"Feta Forgers
Super Clusters")</f>
        <v>Feta Forgers
Super Clusters</v>
      </c>
      <c r="E605" s="30" t="str">
        <f>IFERROR(__xludf.DUMMYFUNCTION("""COMPUTED_VALUE"""),"Cheese Guild
The Cosmos")</f>
        <v>Cheese Guild
The Cosmos</v>
      </c>
      <c r="F605" s="30" t="str">
        <f>IFERROR(__xludf.DUMMYFUNCTION("""COMPUTED_VALUE"""),"N/A")</f>
        <v>N/A</v>
      </c>
      <c r="G605" s="92">
        <f>IFERROR(__xludf.DUMMYFUNCTION("""COMPUTED_VALUE"""),63.1386083471487)</f>
        <v>63.13860835</v>
      </c>
    </row>
    <row r="606">
      <c r="A606" s="30" t="str">
        <f>IFERROR(__xludf.DUMMYFUNCTION("""COMPUTED_VALUE"""),"RSC004090")</f>
        <v>RSC004090</v>
      </c>
      <c r="B606" s="30" t="str">
        <f>IFERROR(__xludf.DUMMYFUNCTION("""COMPUTED_VALUE"""),"LikeWisse")</f>
        <v>LikeWisse</v>
      </c>
      <c r="C606" s="30" t="str">
        <f>IFERROR(__xludf.DUMMYFUNCTION("""COMPUTED_VALUE"""),"Premier")</f>
        <v>Premier</v>
      </c>
      <c r="D606" s="30" t="str">
        <f>IFERROR(__xludf.DUMMYFUNCTION("""COMPUTED_VALUE"""),"Super Clusters")</f>
        <v>Super Clusters</v>
      </c>
      <c r="E606" s="30" t="str">
        <f>IFERROR(__xludf.DUMMYFUNCTION("""COMPUTED_VALUE"""),"The Cosmos")</f>
        <v>The Cosmos</v>
      </c>
      <c r="F606" s="30" t="str">
        <f>IFERROR(__xludf.DUMMYFUNCTION("""COMPUTED_VALUE"""),"N/A")</f>
        <v>N/A</v>
      </c>
      <c r="G606" s="92">
        <f>IFERROR(__xludf.DUMMYFUNCTION("""COMPUTED_VALUE"""),70.7109878083181)</f>
        <v>70.71098781</v>
      </c>
    </row>
    <row r="607">
      <c r="A607" s="30" t="str">
        <f>IFERROR(__xludf.DUMMYFUNCTION("""COMPUTED_VALUE"""),"RSC004079")</f>
        <v>RSC004079</v>
      </c>
      <c r="B607" s="30" t="str">
        <f>IFERROR(__xludf.DUMMYFUNCTION("""COMPUTED_VALUE"""),"tox")</f>
        <v>tox</v>
      </c>
      <c r="C607" s="30" t="str">
        <f>IFERROR(__xludf.DUMMYFUNCTION("""COMPUTED_VALUE"""),"Premier")</f>
        <v>Premier</v>
      </c>
      <c r="D607" s="30" t="str">
        <f>IFERROR(__xludf.DUMMYFUNCTION("""COMPUTED_VALUE"""),"Super Clusters")</f>
        <v>Super Clusters</v>
      </c>
      <c r="E607" s="30" t="str">
        <f>IFERROR(__xludf.DUMMYFUNCTION("""COMPUTED_VALUE"""),"The Cosmos")</f>
        <v>The Cosmos</v>
      </c>
      <c r="F607" s="30" t="str">
        <f>IFERROR(__xludf.DUMMYFUNCTION("""COMPUTED_VALUE"""),"N/A")</f>
        <v>N/A</v>
      </c>
      <c r="G607" s="92">
        <f>IFERROR(__xludf.DUMMYFUNCTION("""COMPUTED_VALUE"""),65.57337402807508)</f>
        <v>65.57337403</v>
      </c>
    </row>
    <row r="608">
      <c r="A608" s="30" t="str">
        <f>IFERROR(__xludf.DUMMYFUNCTION("""COMPUTED_VALUE"""),"RSC007409")</f>
        <v>RSC007409</v>
      </c>
      <c r="B608" s="30" t="str">
        <f>IFERROR(__xludf.DUMMYFUNCTION("""COMPUTED_VALUE"""),"Averded")</f>
        <v>Averded</v>
      </c>
      <c r="C608" s="30" t="str">
        <f>IFERROR(__xludf.DUMMYFUNCTION("""COMPUTED_VALUE"""),"Premier")</f>
        <v>Premier</v>
      </c>
      <c r="D608" s="30" t="str">
        <f>IFERROR(__xludf.DUMMYFUNCTION("""COMPUTED_VALUE"""),"Excavators")</f>
        <v>Excavators</v>
      </c>
      <c r="E608" s="30" t="str">
        <f>IFERROR(__xludf.DUMMYFUNCTION("""COMPUTED_VALUE"""),"Road Work Ahead")</f>
        <v>Road Work Ahead</v>
      </c>
      <c r="F608" s="30" t="str">
        <f>IFERROR(__xludf.DUMMYFUNCTION("""COMPUTED_VALUE"""),"N/A")</f>
        <v>N/A</v>
      </c>
      <c r="G608" s="92">
        <f>IFERROR(__xludf.DUMMYFUNCTION("""COMPUTED_VALUE"""),35.28105840408976)</f>
        <v>35.2810584</v>
      </c>
    </row>
    <row r="609">
      <c r="A609" s="30" t="str">
        <f>IFERROR(__xludf.DUMMYFUNCTION("""COMPUTED_VALUE"""),"RSC005157")</f>
        <v>RSC005157</v>
      </c>
      <c r="B609" s="30" t="str">
        <f>IFERROR(__xludf.DUMMYFUNCTION("""COMPUTED_VALUE"""),"ScuLa")</f>
        <v>ScuLa</v>
      </c>
      <c r="C609" s="30" t="str">
        <f>IFERROR(__xludf.DUMMYFUNCTION("""COMPUTED_VALUE"""),"Premier")</f>
        <v>Premier</v>
      </c>
      <c r="D609" s="30" t="str">
        <f>IFERROR(__xludf.DUMMYFUNCTION("""COMPUTED_VALUE"""),"Excavators")</f>
        <v>Excavators</v>
      </c>
      <c r="E609" s="30" t="str">
        <f>IFERROR(__xludf.DUMMYFUNCTION("""COMPUTED_VALUE"""),"Road Work Ahead")</f>
        <v>Road Work Ahead</v>
      </c>
      <c r="F609" s="30" t="str">
        <f>IFERROR(__xludf.DUMMYFUNCTION("""COMPUTED_VALUE"""),"N/A")</f>
        <v>N/A</v>
      </c>
      <c r="G609" s="92">
        <f>IFERROR(__xludf.DUMMYFUNCTION("""COMPUTED_VALUE"""),77.22481439384859)</f>
        <v>77.22481439</v>
      </c>
    </row>
    <row r="610">
      <c r="A610" s="30" t="str">
        <f>IFERROR(__xludf.DUMMYFUNCTION("""COMPUTED_VALUE"""),"RSC002062")</f>
        <v>RSC002062</v>
      </c>
      <c r="B610" s="30" t="str">
        <f>IFERROR(__xludf.DUMMYFUNCTION("""COMPUTED_VALUE"""),"Gromit")</f>
        <v>Gromit</v>
      </c>
      <c r="C610" s="30" t="str">
        <f>IFERROR(__xludf.DUMMYFUNCTION("""COMPUTED_VALUE"""),"Premier")</f>
        <v>Premier</v>
      </c>
      <c r="D610" s="30" t="str">
        <f>IFERROR(__xludf.DUMMYFUNCTION("""COMPUTED_VALUE"""),"Excavators")</f>
        <v>Excavators</v>
      </c>
      <c r="E610" s="30" t="str">
        <f>IFERROR(__xludf.DUMMYFUNCTION("""COMPUTED_VALUE"""),"Road Work Ahead")</f>
        <v>Road Work Ahead</v>
      </c>
      <c r="F610" s="30" t="str">
        <f>IFERROR(__xludf.DUMMYFUNCTION("""COMPUTED_VALUE"""),"N/A")</f>
        <v>N/A</v>
      </c>
      <c r="G610" s="92">
        <f>IFERROR(__xludf.DUMMYFUNCTION("""COMPUTED_VALUE"""),61.13614383604333)</f>
        <v>61.13614384</v>
      </c>
    </row>
    <row r="611">
      <c r="A611" s="30" t="str">
        <f>IFERROR(__xludf.DUMMYFUNCTION("""COMPUTED_VALUE"""),"RSC001945")</f>
        <v>RSC001945</v>
      </c>
      <c r="B611" s="30" t="str">
        <f>IFERROR(__xludf.DUMMYFUNCTION("""COMPUTED_VALUE"""),"Brody")</f>
        <v>Brody</v>
      </c>
      <c r="C611" s="30" t="str">
        <f>IFERROR(__xludf.DUMMYFUNCTION("""COMPUTED_VALUE"""),"Premier")</f>
        <v>Premier</v>
      </c>
      <c r="D611" s="30" t="str">
        <f>IFERROR(__xludf.DUMMYFUNCTION("""COMPUTED_VALUE"""),"Fairies")</f>
        <v>Fairies</v>
      </c>
      <c r="E611" s="30" t="str">
        <f>IFERROR(__xludf.DUMMYFUNCTION("""COMPUTED_VALUE"""),"The Forest")</f>
        <v>The Forest</v>
      </c>
      <c r="F611" s="30" t="str">
        <f>IFERROR(__xludf.DUMMYFUNCTION("""COMPUTED_VALUE"""),"N/A")</f>
        <v>N/A</v>
      </c>
      <c r="G611" s="92">
        <f>IFERROR(__xludf.DUMMYFUNCTION("""COMPUTED_VALUE"""),37.51602234273422)</f>
        <v>37.51602234</v>
      </c>
    </row>
    <row r="612">
      <c r="A612" s="30" t="str">
        <f>IFERROR(__xludf.DUMMYFUNCTION("""COMPUTED_VALUE"""),"RSC007150")</f>
        <v>RSC007150</v>
      </c>
      <c r="B612" s="30" t="str">
        <f>IFERROR(__xludf.DUMMYFUNCTION("""COMPUTED_VALUE"""),"peach")</f>
        <v>peach</v>
      </c>
      <c r="C612" s="30" t="str">
        <f>IFERROR(__xludf.DUMMYFUNCTION("""COMPUTED_VALUE"""),"Premier")</f>
        <v>Premier</v>
      </c>
      <c r="D612" s="30" t="str">
        <f>IFERROR(__xludf.DUMMYFUNCTION("""COMPUTED_VALUE"""),"Fairies")</f>
        <v>Fairies</v>
      </c>
      <c r="E612" s="30" t="str">
        <f>IFERROR(__xludf.DUMMYFUNCTION("""COMPUTED_VALUE"""),"The Forest")</f>
        <v>The Forest</v>
      </c>
      <c r="F612" s="30" t="str">
        <f>IFERROR(__xludf.DUMMYFUNCTION("""COMPUTED_VALUE"""),"N/A")</f>
        <v>N/A</v>
      </c>
      <c r="G612" s="92">
        <f>IFERROR(__xludf.DUMMYFUNCTION("""COMPUTED_VALUE"""),9.407892392296176)</f>
        <v>9.407892392</v>
      </c>
    </row>
    <row r="613">
      <c r="A613" s="30" t="str">
        <f>IFERROR(__xludf.DUMMYFUNCTION("""COMPUTED_VALUE"""),"RSC007962")</f>
        <v>RSC007962</v>
      </c>
      <c r="B613" s="30" t="str">
        <f>IFERROR(__xludf.DUMMYFUNCTION("""COMPUTED_VALUE"""),"Kamikazi")</f>
        <v>Kamikazi</v>
      </c>
      <c r="C613" s="30" t="str">
        <f>IFERROR(__xludf.DUMMYFUNCTION("""COMPUTED_VALUE"""),"Premier")</f>
        <v>Premier</v>
      </c>
      <c r="D613" s="30" t="str">
        <f>IFERROR(__xludf.DUMMYFUNCTION("""COMPUTED_VALUE"""),"Feta Forgers
Fairies
Old Heads
Capybaras
Crooked Capos")</f>
        <v>Feta Forgers
Fairies
Old Heads
Capybaras
Crooked Capos</v>
      </c>
      <c r="E613" s="30" t="str">
        <f>IFERROR(__xludf.DUMMYFUNCTION("""COMPUTED_VALUE"""),"Cheese Guild
The Forest
The Hood
The Jungle
The Syndicate")</f>
        <v>Cheese Guild
The Forest
The Hood
The Jungle
The Syndicate</v>
      </c>
      <c r="F613" s="30" t="str">
        <f>IFERROR(__xludf.DUMMYFUNCTION("""COMPUTED_VALUE"""),"N/A")</f>
        <v>N/A</v>
      </c>
      <c r="G613" s="92">
        <f>IFERROR(__xludf.DUMMYFUNCTION("""COMPUTED_VALUE"""),35.22192805504374)</f>
        <v>35.22192806</v>
      </c>
    </row>
    <row r="614">
      <c r="A614" s="30" t="str">
        <f>IFERROR(__xludf.DUMMYFUNCTION("""COMPUTED_VALUE"""),"RSC006677")</f>
        <v>RSC006677</v>
      </c>
      <c r="B614" s="30" t="str">
        <f>IFERROR(__xludf.DUMMYFUNCTION("""COMPUTED_VALUE"""),"luigi")</f>
        <v>luigi</v>
      </c>
      <c r="C614" s="30" t="str">
        <f>IFERROR(__xludf.DUMMYFUNCTION("""COMPUTED_VALUE"""),"Premier")</f>
        <v>Premier</v>
      </c>
      <c r="D614" s="30" t="str">
        <f>IFERROR(__xludf.DUMMYFUNCTION("""COMPUTED_VALUE"""),"Punks")</f>
        <v>Punks</v>
      </c>
      <c r="E614" s="30" t="str">
        <f>IFERROR(__xludf.DUMMYFUNCTION("""COMPUTED_VALUE"""),"The Pit")</f>
        <v>The Pit</v>
      </c>
      <c r="F614" s="30" t="str">
        <f>IFERROR(__xludf.DUMMYFUNCTION("""COMPUTED_VALUE"""),"N/A")</f>
        <v>N/A</v>
      </c>
      <c r="G614" s="92">
        <f>IFERROR(__xludf.DUMMYFUNCTION("""COMPUTED_VALUE"""),71.12399761922553)</f>
        <v>71.12399762</v>
      </c>
    </row>
    <row r="615">
      <c r="A615" s="30" t="str">
        <f>IFERROR(__xludf.DUMMYFUNCTION("""COMPUTED_VALUE"""),"RSC007596")</f>
        <v>RSC007596</v>
      </c>
      <c r="B615" s="30" t="str">
        <f>IFERROR(__xludf.DUMMYFUNCTION("""COMPUTED_VALUE"""),"Sean")</f>
        <v>Sean</v>
      </c>
      <c r="C615" s="30" t="str">
        <f>IFERROR(__xludf.DUMMYFUNCTION("""COMPUTED_VALUE"""),"Premier")</f>
        <v>Premier</v>
      </c>
      <c r="D615" s="30" t="str">
        <f>IFERROR(__xludf.DUMMYFUNCTION("""COMPUTED_VALUE"""),"Punks")</f>
        <v>Punks</v>
      </c>
      <c r="E615" s="30" t="str">
        <f>IFERROR(__xludf.DUMMYFUNCTION("""COMPUTED_VALUE"""),"The Pit")</f>
        <v>The Pit</v>
      </c>
      <c r="F615" s="30" t="str">
        <f>IFERROR(__xludf.DUMMYFUNCTION("""COMPUTED_VALUE"""),"N/A")</f>
        <v>N/A</v>
      </c>
      <c r="G615" s="92">
        <f>IFERROR(__xludf.DUMMYFUNCTION("""COMPUTED_VALUE"""),34.148807983653846)</f>
        <v>34.14880798</v>
      </c>
    </row>
    <row r="616">
      <c r="A616" s="30" t="str">
        <f>IFERROR(__xludf.DUMMYFUNCTION("""COMPUTED_VALUE"""),"RSC001114")</f>
        <v>RSC001114</v>
      </c>
      <c r="B616" s="30" t="str">
        <f>IFERROR(__xludf.DUMMYFUNCTION("""COMPUTED_VALUE"""),"ashes.")</f>
        <v>ashes.</v>
      </c>
      <c r="C616" s="30" t="str">
        <f>IFERROR(__xludf.DUMMYFUNCTION("""COMPUTED_VALUE"""),"Premier")</f>
        <v>Premier</v>
      </c>
      <c r="D616" s="30" t="str">
        <f>IFERROR(__xludf.DUMMYFUNCTION("""COMPUTED_VALUE"""),"Punks")</f>
        <v>Punks</v>
      </c>
      <c r="E616" s="30" t="str">
        <f>IFERROR(__xludf.DUMMYFUNCTION("""COMPUTED_VALUE"""),"The Pit")</f>
        <v>The Pit</v>
      </c>
      <c r="F616" s="30" t="str">
        <f>IFERROR(__xludf.DUMMYFUNCTION("""COMPUTED_VALUE"""),"N/A")</f>
        <v>N/A</v>
      </c>
      <c r="G616" s="92">
        <f>IFERROR(__xludf.DUMMYFUNCTION("""COMPUTED_VALUE"""),41.21889958198612)</f>
        <v>41.21889958</v>
      </c>
    </row>
    <row r="617">
      <c r="A617" s="30" t="str">
        <f>IFERROR(__xludf.DUMMYFUNCTION("""COMPUTED_VALUE"""),"RSC007982")</f>
        <v>RSC007982</v>
      </c>
      <c r="B617" s="30" t="str">
        <f>IFERROR(__xludf.DUMMYFUNCTION("""COMPUTED_VALUE"""),"Cadomac")</f>
        <v>Cadomac</v>
      </c>
      <c r="C617" s="30" t="str">
        <f>IFERROR(__xludf.DUMMYFUNCTION("""COMPUTED_VALUE"""),"Premier")</f>
        <v>Premier</v>
      </c>
      <c r="D617" s="30" t="str">
        <f>IFERROR(__xludf.DUMMYFUNCTION("""COMPUTED_VALUE"""),"Hurricanes")</f>
        <v>Hurricanes</v>
      </c>
      <c r="E617" s="30" t="str">
        <f>IFERROR(__xludf.DUMMYFUNCTION("""COMPUTED_VALUE"""),"Storm")</f>
        <v>Storm</v>
      </c>
      <c r="F617" s="30" t="str">
        <f>IFERROR(__xludf.DUMMYFUNCTION("""COMPUTED_VALUE"""),"N/A")</f>
        <v>N/A</v>
      </c>
      <c r="G617" s="92">
        <f>IFERROR(__xludf.DUMMYFUNCTION("""COMPUTED_VALUE"""),73.3421742056196)</f>
        <v>73.34217421</v>
      </c>
    </row>
    <row r="618">
      <c r="A618" s="30" t="str">
        <f>IFERROR(__xludf.DUMMYFUNCTION("""COMPUTED_VALUE"""),"RSC003804")</f>
        <v>RSC003804</v>
      </c>
      <c r="B618" s="30" t="str">
        <f>IFERROR(__xludf.DUMMYFUNCTION("""COMPUTED_VALUE"""),"ayylo")</f>
        <v>ayylo</v>
      </c>
      <c r="C618" s="30" t="str">
        <f>IFERROR(__xludf.DUMMYFUNCTION("""COMPUTED_VALUE"""),"Premier")</f>
        <v>Premier</v>
      </c>
      <c r="D618" s="30" t="str">
        <f>IFERROR(__xludf.DUMMYFUNCTION("""COMPUTED_VALUE"""),"Hurricanes")</f>
        <v>Hurricanes</v>
      </c>
      <c r="E618" s="30" t="str">
        <f>IFERROR(__xludf.DUMMYFUNCTION("""COMPUTED_VALUE"""),"Storm")</f>
        <v>Storm</v>
      </c>
      <c r="F618" s="30" t="str">
        <f>IFERROR(__xludf.DUMMYFUNCTION("""COMPUTED_VALUE"""),"N/A")</f>
        <v>N/A</v>
      </c>
      <c r="G618" s="92">
        <f>IFERROR(__xludf.DUMMYFUNCTION("""COMPUTED_VALUE"""),21.105981762417425)</f>
        <v>21.10598176</v>
      </c>
    </row>
    <row r="619">
      <c r="A619" s="30" t="str">
        <f>IFERROR(__xludf.DUMMYFUNCTION("""COMPUTED_VALUE"""),"RSC007896")</f>
        <v>RSC007896</v>
      </c>
      <c r="B619" s="30" t="str">
        <f>IFERROR(__xludf.DUMMYFUNCTION("""COMPUTED_VALUE"""),"Notice")</f>
        <v>Notice</v>
      </c>
      <c r="C619" s="30" t="str">
        <f>IFERROR(__xludf.DUMMYFUNCTION("""COMPUTED_VALUE"""),"Premier")</f>
        <v>Premier</v>
      </c>
      <c r="D619" s="30" t="str">
        <f>IFERROR(__xludf.DUMMYFUNCTION("""COMPUTED_VALUE"""),"Hurricanes")</f>
        <v>Hurricanes</v>
      </c>
      <c r="E619" s="30" t="str">
        <f>IFERROR(__xludf.DUMMYFUNCTION("""COMPUTED_VALUE"""),"Storm")</f>
        <v>Storm</v>
      </c>
      <c r="F619" s="30" t="str">
        <f>IFERROR(__xludf.DUMMYFUNCTION("""COMPUTED_VALUE"""),"N/A")</f>
        <v>N/A</v>
      </c>
      <c r="G619" s="92">
        <f>IFERROR(__xludf.DUMMYFUNCTION("""COMPUTED_VALUE"""),50.286997220177135)</f>
        <v>50.28699722</v>
      </c>
    </row>
    <row r="620">
      <c r="A620" s="30" t="str">
        <f>IFERROR(__xludf.DUMMYFUNCTION("""COMPUTED_VALUE"""),"RSC007845")</f>
        <v>RSC007845</v>
      </c>
      <c r="B620" s="30" t="str">
        <f>IFERROR(__xludf.DUMMYFUNCTION("""COMPUTED_VALUE"""),"Enchanted")</f>
        <v>Enchanted</v>
      </c>
      <c r="C620" s="30" t="str">
        <f>IFERROR(__xludf.DUMMYFUNCTION("""COMPUTED_VALUE"""),"Premier")</f>
        <v>Premier</v>
      </c>
      <c r="D620" s="30" t="str">
        <f>IFERROR(__xludf.DUMMYFUNCTION("""COMPUTED_VALUE"""),"Old Heads")</f>
        <v>Old Heads</v>
      </c>
      <c r="E620" s="30" t="str">
        <f>IFERROR(__xludf.DUMMYFUNCTION("""COMPUTED_VALUE"""),"The Hood")</f>
        <v>The Hood</v>
      </c>
      <c r="F620" s="30" t="str">
        <f>IFERROR(__xludf.DUMMYFUNCTION("""COMPUTED_VALUE"""),"N/A")</f>
        <v>N/A</v>
      </c>
      <c r="G620" s="92">
        <f>IFERROR(__xludf.DUMMYFUNCTION("""COMPUTED_VALUE"""),49.76396746835198)</f>
        <v>49.76396747</v>
      </c>
    </row>
    <row r="621">
      <c r="A621" s="30" t="str">
        <f>IFERROR(__xludf.DUMMYFUNCTION("""COMPUTED_VALUE"""),"RSC005670")</f>
        <v>RSC005670</v>
      </c>
      <c r="B621" s="30" t="str">
        <f>IFERROR(__xludf.DUMMYFUNCTION("""COMPUTED_VALUE"""),"mesi")</f>
        <v>mesi</v>
      </c>
      <c r="C621" s="30" t="str">
        <f>IFERROR(__xludf.DUMMYFUNCTION("""COMPUTED_VALUE"""),"Premier")</f>
        <v>Premier</v>
      </c>
      <c r="D621" s="30" t="str">
        <f>IFERROR(__xludf.DUMMYFUNCTION("""COMPUTED_VALUE"""),"Old Heads")</f>
        <v>Old Heads</v>
      </c>
      <c r="E621" s="30" t="str">
        <f>IFERROR(__xludf.DUMMYFUNCTION("""COMPUTED_VALUE"""),"The Hood")</f>
        <v>The Hood</v>
      </c>
      <c r="F621" s="30" t="str">
        <f>IFERROR(__xludf.DUMMYFUNCTION("""COMPUTED_VALUE"""),"N/A")</f>
        <v>N/A</v>
      </c>
      <c r="G621" s="92">
        <f>IFERROR(__xludf.DUMMYFUNCTION("""COMPUTED_VALUE"""),48.65876580181732)</f>
        <v>48.6587658</v>
      </c>
    </row>
    <row r="622">
      <c r="A622" s="30" t="str">
        <f>IFERROR(__xludf.DUMMYFUNCTION("""COMPUTED_VALUE"""),"RSC004370")</f>
        <v>RSC004370</v>
      </c>
      <c r="B622" s="30" t="str">
        <f>IFERROR(__xludf.DUMMYFUNCTION("""COMPUTED_VALUE"""),"Nightfang")</f>
        <v>Nightfang</v>
      </c>
      <c r="C622" s="30" t="str">
        <f>IFERROR(__xludf.DUMMYFUNCTION("""COMPUTED_VALUE"""),"Premier")</f>
        <v>Premier</v>
      </c>
      <c r="D622" s="30" t="str">
        <f>IFERROR(__xludf.DUMMYFUNCTION("""COMPUTED_VALUE"""),"Old Heads")</f>
        <v>Old Heads</v>
      </c>
      <c r="E622" s="30" t="str">
        <f>IFERROR(__xludf.DUMMYFUNCTION("""COMPUTED_VALUE"""),"The Hood")</f>
        <v>The Hood</v>
      </c>
      <c r="F622" s="30" t="str">
        <f>IFERROR(__xludf.DUMMYFUNCTION("""COMPUTED_VALUE"""),"N/A")</f>
        <v>N/A</v>
      </c>
      <c r="G622" s="92">
        <f>IFERROR(__xludf.DUMMYFUNCTION("""COMPUTED_VALUE"""),48.2702736807034)</f>
        <v>48.27027368</v>
      </c>
    </row>
    <row r="623">
      <c r="A623" s="30" t="str">
        <f>IFERROR(__xludf.DUMMYFUNCTION("""COMPUTED_VALUE"""),"RSC001214")</f>
        <v>RSC001214</v>
      </c>
      <c r="B623" s="30" t="str">
        <f>IFERROR(__xludf.DUMMYFUNCTION("""COMPUTED_VALUE"""),"Corrupt")</f>
        <v>Corrupt</v>
      </c>
      <c r="C623" s="30" t="str">
        <f>IFERROR(__xludf.DUMMYFUNCTION("""COMPUTED_VALUE"""),"Premier")</f>
        <v>Premier</v>
      </c>
      <c r="D623" s="30" t="str">
        <f>IFERROR(__xludf.DUMMYFUNCTION("""COMPUTED_VALUE"""),"Interstellar")</f>
        <v>Interstellar</v>
      </c>
      <c r="E623" s="30" t="str">
        <f>IFERROR(__xludf.DUMMYFUNCTION("""COMPUTED_VALUE"""),"Event Horizon")</f>
        <v>Event Horizon</v>
      </c>
      <c r="F623" s="30" t="str">
        <f>IFERROR(__xludf.DUMMYFUNCTION("""COMPUTED_VALUE"""),"N/A")</f>
        <v>N/A</v>
      </c>
      <c r="G623" s="92">
        <f>IFERROR(__xludf.DUMMYFUNCTION("""COMPUTED_VALUE"""),37.98537480133639)</f>
        <v>37.9853748</v>
      </c>
    </row>
    <row r="624">
      <c r="A624" s="30" t="str">
        <f>IFERROR(__xludf.DUMMYFUNCTION("""COMPUTED_VALUE"""),"RSC007819")</f>
        <v>RSC007819</v>
      </c>
      <c r="B624" s="30" t="str">
        <f>IFERROR(__xludf.DUMMYFUNCTION("""COMPUTED_VALUE"""),"DivineRL_ TTV")</f>
        <v>DivineRL_ TTV</v>
      </c>
      <c r="C624" s="30" t="str">
        <f>IFERROR(__xludf.DUMMYFUNCTION("""COMPUTED_VALUE"""),"Premier")</f>
        <v>Premier</v>
      </c>
      <c r="D624" s="30" t="str">
        <f>IFERROR(__xludf.DUMMYFUNCTION("""COMPUTED_VALUE"""),"Interstellar")</f>
        <v>Interstellar</v>
      </c>
      <c r="E624" s="30" t="str">
        <f>IFERROR(__xludf.DUMMYFUNCTION("""COMPUTED_VALUE"""),"Event Horizon")</f>
        <v>Event Horizon</v>
      </c>
      <c r="F624" s="30" t="str">
        <f>IFERROR(__xludf.DUMMYFUNCTION("""COMPUTED_VALUE"""),"N/A")</f>
        <v>N/A</v>
      </c>
      <c r="G624" s="92">
        <f>IFERROR(__xludf.DUMMYFUNCTION("""COMPUTED_VALUE"""),48.59292122226342)</f>
        <v>48.59292122</v>
      </c>
    </row>
    <row r="625">
      <c r="A625" s="30" t="str">
        <f>IFERROR(__xludf.DUMMYFUNCTION("""COMPUTED_VALUE"""),"RSC003334")</f>
        <v>RSC003334</v>
      </c>
      <c r="B625" s="30" t="str">
        <f>IFERROR(__xludf.DUMMYFUNCTION("""COMPUTED_VALUE"""),"hawk rl")</f>
        <v>hawk rl</v>
      </c>
      <c r="C625" s="30" t="str">
        <f>IFERROR(__xludf.DUMMYFUNCTION("""COMPUTED_VALUE"""),"Premier")</f>
        <v>Premier</v>
      </c>
      <c r="D625" s="30" t="str">
        <f>IFERROR(__xludf.DUMMYFUNCTION("""COMPUTED_VALUE"""),"Interstellar")</f>
        <v>Interstellar</v>
      </c>
      <c r="E625" s="30" t="str">
        <f>IFERROR(__xludf.DUMMYFUNCTION("""COMPUTED_VALUE"""),"Event Horizon")</f>
        <v>Event Horizon</v>
      </c>
      <c r="F625" s="30" t="str">
        <f>IFERROR(__xludf.DUMMYFUNCTION("""COMPUTED_VALUE"""),"N/A")</f>
        <v>N/A</v>
      </c>
      <c r="G625" s="92">
        <f>IFERROR(__xludf.DUMMYFUNCTION("""COMPUTED_VALUE"""),27.372130521201747)</f>
        <v>27.37213052</v>
      </c>
    </row>
    <row r="626">
      <c r="A626" s="30" t="str">
        <f>IFERROR(__xludf.DUMMYFUNCTION("""COMPUTED_VALUE"""),"RSC007460")</f>
        <v>RSC007460</v>
      </c>
      <c r="B626" s="30" t="str">
        <f>IFERROR(__xludf.DUMMYFUNCTION("""COMPUTED_VALUE"""),"mogii")</f>
        <v>mogii</v>
      </c>
      <c r="C626" s="30" t="str">
        <f>IFERROR(__xludf.DUMMYFUNCTION("""COMPUTED_VALUE"""),"Premier")</f>
        <v>Premier</v>
      </c>
      <c r="D626" s="30" t="str">
        <f>IFERROR(__xludf.DUMMYFUNCTION("""COMPUTED_VALUE"""),"Gummy Bears")</f>
        <v>Gummy Bears</v>
      </c>
      <c r="E626" s="30" t="str">
        <f>IFERROR(__xludf.DUMMYFUNCTION("""COMPUTED_VALUE"""),"The Bear Den")</f>
        <v>The Bear Den</v>
      </c>
      <c r="F626" s="30" t="str">
        <f>IFERROR(__xludf.DUMMYFUNCTION("""COMPUTED_VALUE"""),"N/A")</f>
        <v>N/A</v>
      </c>
      <c r="G626" s="92">
        <f>IFERROR(__xludf.DUMMYFUNCTION("""COMPUTED_VALUE"""),79.76812204744519)</f>
        <v>79.76812205</v>
      </c>
    </row>
    <row r="627">
      <c r="A627" s="30" t="str">
        <f>IFERROR(__xludf.DUMMYFUNCTION("""COMPUTED_VALUE"""),"RSC007450")</f>
        <v>RSC007450</v>
      </c>
      <c r="B627" s="30" t="str">
        <f>IFERROR(__xludf.DUMMYFUNCTION("""COMPUTED_VALUE"""),"kev")</f>
        <v>kev</v>
      </c>
      <c r="C627" s="30" t="str">
        <f>IFERROR(__xludf.DUMMYFUNCTION("""COMPUTED_VALUE"""),"Premier")</f>
        <v>Premier</v>
      </c>
      <c r="D627" s="30" t="str">
        <f>IFERROR(__xludf.DUMMYFUNCTION("""COMPUTED_VALUE"""),"Gummy Bears")</f>
        <v>Gummy Bears</v>
      </c>
      <c r="E627" s="30" t="str">
        <f>IFERROR(__xludf.DUMMYFUNCTION("""COMPUTED_VALUE"""),"The Bear Den")</f>
        <v>The Bear Den</v>
      </c>
      <c r="F627" s="30" t="str">
        <f>IFERROR(__xludf.DUMMYFUNCTION("""COMPUTED_VALUE"""),"N/A")</f>
        <v>N/A</v>
      </c>
      <c r="G627" s="92">
        <f>IFERROR(__xludf.DUMMYFUNCTION("""COMPUTED_VALUE"""),42.012147440898005)</f>
        <v>42.01214744</v>
      </c>
    </row>
    <row r="628">
      <c r="A628" s="30" t="str">
        <f>IFERROR(__xludf.DUMMYFUNCTION("""COMPUTED_VALUE"""),"RSC007569")</f>
        <v>RSC007569</v>
      </c>
      <c r="B628" s="30" t="str">
        <f>IFERROR(__xludf.DUMMYFUNCTION("""COMPUTED_VALUE"""),"newo")</f>
        <v>newo</v>
      </c>
      <c r="C628" s="30" t="str">
        <f>IFERROR(__xludf.DUMMYFUNCTION("""COMPUTED_VALUE"""),"Premier")</f>
        <v>Premier</v>
      </c>
      <c r="D628" s="30" t="str">
        <f>IFERROR(__xludf.DUMMYFUNCTION("""COMPUTED_VALUE"""),"Gummy Bears")</f>
        <v>Gummy Bears</v>
      </c>
      <c r="E628" s="30" t="str">
        <f>IFERROR(__xludf.DUMMYFUNCTION("""COMPUTED_VALUE"""),"The Bear Den")</f>
        <v>The Bear Den</v>
      </c>
      <c r="F628" s="30" t="str">
        <f>IFERROR(__xludf.DUMMYFUNCTION("""COMPUTED_VALUE"""),"N/A")</f>
        <v>N/A</v>
      </c>
      <c r="G628" s="92">
        <f>IFERROR(__xludf.DUMMYFUNCTION("""COMPUTED_VALUE"""),43.54191868744903)</f>
        <v>43.54191869</v>
      </c>
    </row>
    <row r="629">
      <c r="A629" s="30" t="str">
        <f>IFERROR(__xludf.DUMMYFUNCTION("""COMPUTED_VALUE"""),"RSC000750")</f>
        <v>RSC000750</v>
      </c>
      <c r="B629" s="30" t="str">
        <f>IFERROR(__xludf.DUMMYFUNCTION("""COMPUTED_VALUE"""),"Jatt")</f>
        <v>Jatt</v>
      </c>
      <c r="C629" s="30" t="str">
        <f>IFERROR(__xludf.DUMMYFUNCTION("""COMPUTED_VALUE"""),"Premier")</f>
        <v>Premier</v>
      </c>
      <c r="D629" s="30" t="str">
        <f>IFERROR(__xludf.DUMMYFUNCTION("""COMPUTED_VALUE"""),"Crooked Capos")</f>
        <v>Crooked Capos</v>
      </c>
      <c r="E629" s="30" t="str">
        <f>IFERROR(__xludf.DUMMYFUNCTION("""COMPUTED_VALUE"""),"The Syndicate")</f>
        <v>The Syndicate</v>
      </c>
      <c r="F629" s="30" t="str">
        <f>IFERROR(__xludf.DUMMYFUNCTION("""COMPUTED_VALUE"""),"N/A")</f>
        <v>N/A</v>
      </c>
      <c r="G629" s="92">
        <f>IFERROR(__xludf.DUMMYFUNCTION("""COMPUTED_VALUE"""),40.557648095834516)</f>
        <v>40.5576481</v>
      </c>
    </row>
    <row r="630">
      <c r="A630" s="30" t="str">
        <f>IFERROR(__xludf.DUMMYFUNCTION("""COMPUTED_VALUE"""),"RSC001977")</f>
        <v>RSC001977</v>
      </c>
      <c r="B630" s="30" t="str">
        <f>IFERROR(__xludf.DUMMYFUNCTION("""COMPUTED_VALUE"""),"LaMelo Ball")</f>
        <v>LaMelo Ball</v>
      </c>
      <c r="C630" s="30" t="str">
        <f>IFERROR(__xludf.DUMMYFUNCTION("""COMPUTED_VALUE"""),"Premier")</f>
        <v>Premier</v>
      </c>
      <c r="D630" s="30" t="str">
        <f>IFERROR(__xludf.DUMMYFUNCTION("""COMPUTED_VALUE"""),"Capybaras
Interstellar
Gummy Bears")</f>
        <v>Capybaras
Interstellar
Gummy Bears</v>
      </c>
      <c r="E630" s="30" t="str">
        <f>IFERROR(__xludf.DUMMYFUNCTION("""COMPUTED_VALUE"""),"The Jungle
Event Horizon
The Bear Den")</f>
        <v>The Jungle
Event Horizon
The Bear Den</v>
      </c>
      <c r="F630" s="30" t="str">
        <f>IFERROR(__xludf.DUMMYFUNCTION("""COMPUTED_VALUE"""),"N/A")</f>
        <v>N/A</v>
      </c>
      <c r="G630" s="92">
        <f>IFERROR(__xludf.DUMMYFUNCTION("""COMPUTED_VALUE"""),32.4022904354532)</f>
        <v>32.40229044</v>
      </c>
    </row>
    <row r="631">
      <c r="A631" s="30" t="str">
        <f>IFERROR(__xludf.DUMMYFUNCTION("""COMPUTED_VALUE"""),"RSC000672")</f>
        <v>RSC000672</v>
      </c>
      <c r="B631" s="30" t="str">
        <f>IFERROR(__xludf.DUMMYFUNCTION("""COMPUTED_VALUE"""),"Feathers McGraw")</f>
        <v>Feathers McGraw</v>
      </c>
      <c r="C631" s="30" t="str">
        <f>IFERROR(__xludf.DUMMYFUNCTION("""COMPUTED_VALUE"""),"Premier")</f>
        <v>Premier</v>
      </c>
      <c r="D631" s="30" t="str">
        <f>IFERROR(__xludf.DUMMYFUNCTION("""COMPUTED_VALUE"""),"Hurricanes")</f>
        <v>Hurricanes</v>
      </c>
      <c r="E631" s="30" t="str">
        <f>IFERROR(__xludf.DUMMYFUNCTION("""COMPUTED_VALUE"""),"Storm")</f>
        <v>Storm</v>
      </c>
      <c r="F631" s="30" t="str">
        <f>IFERROR(__xludf.DUMMYFUNCTION("""COMPUTED_VALUE"""),"N/A")</f>
        <v>N/A</v>
      </c>
      <c r="G631" s="92">
        <f>IFERROR(__xludf.DUMMYFUNCTION("""COMPUTED_VALUE"""),48.45709592398063)</f>
        <v>48.45709592</v>
      </c>
    </row>
    <row r="632">
      <c r="A632" s="30" t="str">
        <f>IFERROR(__xludf.DUMMYFUNCTION("""COMPUTED_VALUE"""),"RSC003749")</f>
        <v>RSC003749</v>
      </c>
      <c r="B632" s="30" t="str">
        <f>IFERROR(__xludf.DUMMYFUNCTION("""COMPUTED_VALUE"""),"Rule")</f>
        <v>Rule</v>
      </c>
      <c r="C632" s="30" t="str">
        <f>IFERROR(__xludf.DUMMYFUNCTION("""COMPUTED_VALUE"""),"Premier")</f>
        <v>Premier</v>
      </c>
      <c r="D632" s="30" t="str">
        <f>IFERROR(__xludf.DUMMYFUNCTION("""COMPUTED_VALUE"""),"Fairies")</f>
        <v>Fairies</v>
      </c>
      <c r="E632" s="30" t="str">
        <f>IFERROR(__xludf.DUMMYFUNCTION("""COMPUTED_VALUE"""),"The Forest")</f>
        <v>The Forest</v>
      </c>
      <c r="F632" s="30" t="str">
        <f>IFERROR(__xludf.DUMMYFUNCTION("""COMPUTED_VALUE"""),"N/A")</f>
        <v>N/A</v>
      </c>
      <c r="G632" s="92">
        <f>IFERROR(__xludf.DUMMYFUNCTION("""COMPUTED_VALUE"""),37.06120805106491)</f>
        <v>37.06120805</v>
      </c>
    </row>
    <row r="633">
      <c r="A633" s="30" t="str">
        <f>IFERROR(__xludf.DUMMYFUNCTION("""COMPUTED_VALUE"""),"RSC004924")</f>
        <v>RSC004924</v>
      </c>
      <c r="B633" s="30" t="str">
        <f>IFERROR(__xludf.DUMMYFUNCTION("""COMPUTED_VALUE"""),"comet")</f>
        <v>comet</v>
      </c>
      <c r="C633" s="30" t="str">
        <f>IFERROR(__xludf.DUMMYFUNCTION("""COMPUTED_VALUE"""),"Premier")</f>
        <v>Premier</v>
      </c>
      <c r="D633" s="30" t="str">
        <f>IFERROR(__xludf.DUMMYFUNCTION("""COMPUTED_VALUE"""),"Excavators")</f>
        <v>Excavators</v>
      </c>
      <c r="E633" s="30" t="str">
        <f>IFERROR(__xludf.DUMMYFUNCTION("""COMPUTED_VALUE"""),"Road Work Ahead")</f>
        <v>Road Work Ahead</v>
      </c>
      <c r="F633" s="30" t="str">
        <f>IFERROR(__xludf.DUMMYFUNCTION("""COMPUTED_VALUE"""),"N/A")</f>
        <v>N/A</v>
      </c>
      <c r="G633" s="92">
        <f>IFERROR(__xludf.DUMMYFUNCTION("""COMPUTED_VALUE"""),58.65508947647434)</f>
        <v>58.65508948</v>
      </c>
    </row>
    <row r="634">
      <c r="A634" s="30" t="str">
        <f>IFERROR(__xludf.DUMMYFUNCTION("""COMPUTED_VALUE"""),"RSC007541")</f>
        <v>RSC007541</v>
      </c>
      <c r="B634" s="30" t="str">
        <f>IFERROR(__xludf.DUMMYFUNCTION("""COMPUTED_VALUE"""),"Water RL")</f>
        <v>Water RL</v>
      </c>
      <c r="C634" s="30" t="str">
        <f>IFERROR(__xludf.DUMMYFUNCTION("""COMPUTED_VALUE"""),"Premier")</f>
        <v>Premier</v>
      </c>
      <c r="D634" s="30" t="str">
        <f>IFERROR(__xludf.DUMMYFUNCTION("""COMPUTED_VALUE"""),"Interstellar")</f>
        <v>Interstellar</v>
      </c>
      <c r="E634" s="30" t="str">
        <f>IFERROR(__xludf.DUMMYFUNCTION("""COMPUTED_VALUE"""),"Event Horizon")</f>
        <v>Event Horizon</v>
      </c>
      <c r="F634" s="30" t="str">
        <f>IFERROR(__xludf.DUMMYFUNCTION("""COMPUTED_VALUE"""),"N/A")</f>
        <v>N/A</v>
      </c>
      <c r="G634" s="92">
        <f>IFERROR(__xludf.DUMMYFUNCTION("""COMPUTED_VALUE"""),59.91785772568028)</f>
        <v>59.91785773</v>
      </c>
    </row>
    <row r="635">
      <c r="A635" s="30" t="str">
        <f>IFERROR(__xludf.DUMMYFUNCTION("""COMPUTED_VALUE"""),"RSC007721")</f>
        <v>RSC007721</v>
      </c>
      <c r="B635" s="30" t="str">
        <f>IFERROR(__xludf.DUMMYFUNCTION("""COMPUTED_VALUE"""),"Ace!")</f>
        <v>Ace!</v>
      </c>
      <c r="C635" s="30" t="str">
        <f>IFERROR(__xludf.DUMMYFUNCTION("""COMPUTED_VALUE"""),"Premier")</f>
        <v>Premier</v>
      </c>
      <c r="D635" s="30" t="str">
        <f>IFERROR(__xludf.DUMMYFUNCTION("""COMPUTED_VALUE"""),"Gummy Bears")</f>
        <v>Gummy Bears</v>
      </c>
      <c r="E635" s="30" t="str">
        <f>IFERROR(__xludf.DUMMYFUNCTION("""COMPUTED_VALUE"""),"The Bear Den")</f>
        <v>The Bear Den</v>
      </c>
      <c r="F635" s="30" t="str">
        <f>IFERROR(__xludf.DUMMYFUNCTION("""COMPUTED_VALUE"""),"N/A")</f>
        <v>N/A</v>
      </c>
      <c r="G635" s="92">
        <f>IFERROR(__xludf.DUMMYFUNCTION("""COMPUTED_VALUE"""),56.960590758434066)</f>
        <v>56.96059076</v>
      </c>
    </row>
    <row r="636">
      <c r="A636" s="30" t="str">
        <f>IFERROR(__xludf.DUMMYFUNCTION("""COMPUTED_VALUE"""),"RSC004810")</f>
        <v>RSC004810</v>
      </c>
      <c r="B636" s="30" t="str">
        <f>IFERROR(__xludf.DUMMYFUNCTION("""COMPUTED_VALUE"""),"feed.")</f>
        <v>feed.</v>
      </c>
      <c r="C636" s="30" t="str">
        <f>IFERROR(__xludf.DUMMYFUNCTION("""COMPUTED_VALUE"""),"Premier")</f>
        <v>Premier</v>
      </c>
      <c r="D636" s="30" t="str">
        <f>IFERROR(__xludf.DUMMYFUNCTION("""COMPUTED_VALUE"""),"Feta Forgers")</f>
        <v>Feta Forgers</v>
      </c>
      <c r="E636" s="30" t="str">
        <f>IFERROR(__xludf.DUMMYFUNCTION("""COMPUTED_VALUE"""),"Cheese Guild")</f>
        <v>Cheese Guild</v>
      </c>
      <c r="F636" s="30" t="str">
        <f>IFERROR(__xludf.DUMMYFUNCTION("""COMPUTED_VALUE"""),"N/A")</f>
        <v>N/A</v>
      </c>
      <c r="G636" s="92">
        <f>IFERROR(__xludf.DUMMYFUNCTION("""COMPUTED_VALUE"""),-0.6958780665853439)</f>
        <v>-0.6958780666</v>
      </c>
    </row>
    <row r="637">
      <c r="A637" s="30" t="str">
        <f>IFERROR(__xludf.DUMMYFUNCTION("""COMPUTED_VALUE"""),"RSC005170")</f>
        <v>RSC005170</v>
      </c>
      <c r="B637" s="30" t="str">
        <f>IFERROR(__xludf.DUMMYFUNCTION("""COMPUTED_VALUE"""),"FrenchyNF")</f>
        <v>FrenchyNF</v>
      </c>
      <c r="C637" s="30" t="str">
        <f>IFERROR(__xludf.DUMMYFUNCTION("""COMPUTED_VALUE"""),"Premier")</f>
        <v>Premier</v>
      </c>
      <c r="D637" s="30" t="str">
        <f>IFERROR(__xludf.DUMMYFUNCTION("""COMPUTED_VALUE"""),"Super Clusters")</f>
        <v>Super Clusters</v>
      </c>
      <c r="E637" s="30" t="str">
        <f>IFERROR(__xludf.DUMMYFUNCTION("""COMPUTED_VALUE"""),"The Cosmos")</f>
        <v>The Cosmos</v>
      </c>
      <c r="F637" s="30" t="str">
        <f>IFERROR(__xludf.DUMMYFUNCTION("""COMPUTED_VALUE"""),"N/A")</f>
        <v>N/A</v>
      </c>
      <c r="G637" s="92">
        <f>IFERROR(__xludf.DUMMYFUNCTION("""COMPUTED_VALUE"""),55.050214726341004)</f>
        <v>55.05021473</v>
      </c>
    </row>
    <row r="638">
      <c r="A638" s="30" t="str">
        <f>IFERROR(__xludf.DUMMYFUNCTION("""COMPUTED_VALUE"""),"RSC007471")</f>
        <v>RSC007471</v>
      </c>
      <c r="B638" s="30" t="str">
        <f>IFERROR(__xludf.DUMMYFUNCTION("""COMPUTED_VALUE"""),"ha ha boo.")</f>
        <v>ha ha boo.</v>
      </c>
      <c r="C638" s="30" t="str">
        <f>IFERROR(__xludf.DUMMYFUNCTION("""COMPUTED_VALUE"""),"Premier")</f>
        <v>Premier</v>
      </c>
      <c r="D638" s="30" t="str">
        <f>IFERROR(__xludf.DUMMYFUNCTION("""COMPUTED_VALUE"""),"Feta Forgers")</f>
        <v>Feta Forgers</v>
      </c>
      <c r="E638" s="30" t="str">
        <f>IFERROR(__xludf.DUMMYFUNCTION("""COMPUTED_VALUE"""),"Cheese Guild")</f>
        <v>Cheese Guild</v>
      </c>
      <c r="F638" s="30" t="str">
        <f>IFERROR(__xludf.DUMMYFUNCTION("""COMPUTED_VALUE"""),"N/A")</f>
        <v>N/A</v>
      </c>
      <c r="G638" s="92">
        <f>IFERROR(__xludf.DUMMYFUNCTION("""COMPUTED_VALUE"""),25.38629834384702)</f>
        <v>25.38629834</v>
      </c>
    </row>
    <row r="639">
      <c r="A639" s="30" t="str">
        <f>IFERROR(__xludf.DUMMYFUNCTION("""COMPUTED_VALUE"""),"RSC001605")</f>
        <v>RSC001605</v>
      </c>
      <c r="B639" s="30" t="str">
        <f>IFERROR(__xludf.DUMMYFUNCTION("""COMPUTED_VALUE"""),"Reeves")</f>
        <v>Reeves</v>
      </c>
      <c r="C639" s="30" t="str">
        <f>IFERROR(__xludf.DUMMYFUNCTION("""COMPUTED_VALUE"""),"Premier")</f>
        <v>Premier</v>
      </c>
      <c r="D639" s="30" t="str">
        <f>IFERROR(__xludf.DUMMYFUNCTION("""COMPUTED_VALUE"""),"Crooked Capos")</f>
        <v>Crooked Capos</v>
      </c>
      <c r="E639" s="30" t="str">
        <f>IFERROR(__xludf.DUMMYFUNCTION("""COMPUTED_VALUE"""),"The Syndicate")</f>
        <v>The Syndicate</v>
      </c>
      <c r="F639" s="30" t="str">
        <f>IFERROR(__xludf.DUMMYFUNCTION("""COMPUTED_VALUE"""),"N/A")</f>
        <v>N/A</v>
      </c>
      <c r="G639" s="92">
        <f>IFERROR(__xludf.DUMMYFUNCTION("""COMPUTED_VALUE"""),72.90390873894319)</f>
        <v>72.90390874</v>
      </c>
    </row>
    <row r="640">
      <c r="A640" s="30" t="str">
        <f>IFERROR(__xludf.DUMMYFUNCTION("""COMPUTED_VALUE"""),"RSC000330")</f>
        <v>RSC000330</v>
      </c>
      <c r="B640" s="30" t="str">
        <f>IFERROR(__xludf.DUMMYFUNCTION("""COMPUTED_VALUE"""),"Infinite")</f>
        <v>Infinite</v>
      </c>
      <c r="C640" s="30" t="str">
        <f>IFERROR(__xludf.DUMMYFUNCTION("""COMPUTED_VALUE"""),"Premier")</f>
        <v>Premier</v>
      </c>
      <c r="D640" s="30" t="str">
        <f>IFERROR(__xludf.DUMMYFUNCTION("""COMPUTED_VALUE"""),"Interstellar")</f>
        <v>Interstellar</v>
      </c>
      <c r="E640" s="30" t="str">
        <f>IFERROR(__xludf.DUMMYFUNCTION("""COMPUTED_VALUE"""),"Event Horizon")</f>
        <v>Event Horizon</v>
      </c>
      <c r="F640" s="30" t="str">
        <f>IFERROR(__xludf.DUMMYFUNCTION("""COMPUTED_VALUE"""),"N/A")</f>
        <v>N/A</v>
      </c>
      <c r="G640" s="92">
        <f>IFERROR(__xludf.DUMMYFUNCTION("""COMPUTED_VALUE"""),0.38584664658405643)</f>
        <v>0.3858466466</v>
      </c>
    </row>
    <row r="641">
      <c r="A641" s="30" t="str">
        <f>IFERROR(__xludf.DUMMYFUNCTION("""COMPUTED_VALUE"""),"RSC005340")</f>
        <v>RSC005340</v>
      </c>
      <c r="B641" s="30" t="str">
        <f>IFERROR(__xludf.DUMMYFUNCTION("""COMPUTED_VALUE"""),"Mystikal")</f>
        <v>Mystikal</v>
      </c>
      <c r="C641" s="30" t="str">
        <f>IFERROR(__xludf.DUMMYFUNCTION("""COMPUTED_VALUE"""),"Premier")</f>
        <v>Premier</v>
      </c>
      <c r="D641" s="30" t="str">
        <f>IFERROR(__xludf.DUMMYFUNCTION("""COMPUTED_VALUE"""),"Capybaras")</f>
        <v>Capybaras</v>
      </c>
      <c r="E641" s="30" t="str">
        <f>IFERROR(__xludf.DUMMYFUNCTION("""COMPUTED_VALUE"""),"The Jungle")</f>
        <v>The Jungle</v>
      </c>
      <c r="F641" s="30" t="str">
        <f>IFERROR(__xludf.DUMMYFUNCTION("""COMPUTED_VALUE"""),"N/A")</f>
        <v>N/A</v>
      </c>
      <c r="G641" s="92">
        <f>IFERROR(__xludf.DUMMYFUNCTION("""COMPUTED_VALUE"""),6.47027097432936)</f>
        <v>6.470270974</v>
      </c>
    </row>
    <row r="642">
      <c r="A642" s="30" t="str">
        <f>IFERROR(__xludf.DUMMYFUNCTION("""COMPUTED_VALUE"""),"RSC005187")</f>
        <v>RSC005187</v>
      </c>
      <c r="B642" s="30" t="str">
        <f>IFERROR(__xludf.DUMMYFUNCTION("""COMPUTED_VALUE"""),"christophr")</f>
        <v>christophr</v>
      </c>
      <c r="C642" s="30" t="str">
        <f>IFERROR(__xludf.DUMMYFUNCTION("""COMPUTED_VALUE"""),"Premier")</f>
        <v>Premier</v>
      </c>
      <c r="D642" s="30" t="str">
        <f>IFERROR(__xludf.DUMMYFUNCTION("""COMPUTED_VALUE"""),"Old Heads")</f>
        <v>Old Heads</v>
      </c>
      <c r="E642" s="30" t="str">
        <f>IFERROR(__xludf.DUMMYFUNCTION("""COMPUTED_VALUE"""),"The Hood")</f>
        <v>The Hood</v>
      </c>
      <c r="F642" s="30" t="str">
        <f>IFERROR(__xludf.DUMMYFUNCTION("""COMPUTED_VALUE"""),"N/A")</f>
        <v>N/A</v>
      </c>
      <c r="G642" s="92">
        <f>IFERROR(__xludf.DUMMYFUNCTION("""COMPUTED_VALUE"""),39.30069955875611)</f>
        <v>39.30069956</v>
      </c>
    </row>
    <row r="643">
      <c r="A643" s="30" t="str">
        <f>IFERROR(__xludf.DUMMYFUNCTION("""COMPUTED_VALUE"""),"RSC007691")</f>
        <v>RSC007691</v>
      </c>
      <c r="B643" s="30" t="str">
        <f>IFERROR(__xludf.DUMMYFUNCTION("""COMPUTED_VALUE"""),"exy")</f>
        <v>exy</v>
      </c>
      <c r="C643" s="30" t="str">
        <f>IFERROR(__xludf.DUMMYFUNCTION("""COMPUTED_VALUE"""),"Premier")</f>
        <v>Premier</v>
      </c>
      <c r="D643" s="30" t="str">
        <f>IFERROR(__xludf.DUMMYFUNCTION("""COMPUTED_VALUE"""),"Fairies")</f>
        <v>Fairies</v>
      </c>
      <c r="E643" s="30" t="str">
        <f>IFERROR(__xludf.DUMMYFUNCTION("""COMPUTED_VALUE"""),"The Forest")</f>
        <v>The Forest</v>
      </c>
      <c r="F643" s="30" t="str">
        <f>IFERROR(__xludf.DUMMYFUNCTION("""COMPUTED_VALUE"""),"N/A")</f>
        <v>N/A</v>
      </c>
      <c r="G643" s="92">
        <f>IFERROR(__xludf.DUMMYFUNCTION("""COMPUTED_VALUE"""),18.6692262808183)</f>
        <v>18.66922628</v>
      </c>
    </row>
    <row r="644">
      <c r="A644" s="30" t="str">
        <f>IFERROR(__xludf.DUMMYFUNCTION("""COMPUTED_VALUE"""),"RSC002542")</f>
        <v>RSC002542</v>
      </c>
      <c r="B644" s="30" t="str">
        <f>IFERROR(__xludf.DUMMYFUNCTION("""COMPUTED_VALUE"""),"wicked.")</f>
        <v>wicked.</v>
      </c>
      <c r="C644" s="30" t="str">
        <f>IFERROR(__xludf.DUMMYFUNCTION("""COMPUTED_VALUE"""),"Premier")</f>
        <v>Premier</v>
      </c>
      <c r="D644" s="30" t="str">
        <f>IFERROR(__xludf.DUMMYFUNCTION("""COMPUTED_VALUE"""),"Fairies")</f>
        <v>Fairies</v>
      </c>
      <c r="E644" s="30" t="str">
        <f>IFERROR(__xludf.DUMMYFUNCTION("""COMPUTED_VALUE"""),"The Forest")</f>
        <v>The Forest</v>
      </c>
      <c r="F644" s="30" t="str">
        <f>IFERROR(__xludf.DUMMYFUNCTION("""COMPUTED_VALUE"""),"N/A")</f>
        <v>N/A</v>
      </c>
      <c r="G644" s="92">
        <f>IFERROR(__xludf.DUMMYFUNCTION("""COMPUTED_VALUE"""),53.07771924866918)</f>
        <v>53.07771925</v>
      </c>
    </row>
    <row r="645">
      <c r="A645" s="30" t="str">
        <f>IFERROR(__xludf.DUMMYFUNCTION("""COMPUTED_VALUE"""),"RSC005920")</f>
        <v>RSC005920</v>
      </c>
      <c r="B645" s="30" t="str">
        <f>IFERROR(__xludf.DUMMYFUNCTION("""COMPUTED_VALUE"""),"Lavar Ball")</f>
        <v>Lavar Ball</v>
      </c>
      <c r="C645" s="30" t="str">
        <f>IFERROR(__xludf.DUMMYFUNCTION("""COMPUTED_VALUE"""),"Premier")</f>
        <v>Premier</v>
      </c>
      <c r="D645" s="30" t="str">
        <f>IFERROR(__xludf.DUMMYFUNCTION("""COMPUTED_VALUE"""),"Capybaras
Crooked Capos")</f>
        <v>Capybaras
Crooked Capos</v>
      </c>
      <c r="E645" s="30" t="str">
        <f>IFERROR(__xludf.DUMMYFUNCTION("""COMPUTED_VALUE"""),"The Jungle
The Syndicate")</f>
        <v>The Jungle
The Syndicate</v>
      </c>
      <c r="F645" s="30" t="str">
        <f>IFERROR(__xludf.DUMMYFUNCTION("""COMPUTED_VALUE"""),"N/A")</f>
        <v>N/A</v>
      </c>
      <c r="G645" s="92">
        <f>IFERROR(__xludf.DUMMYFUNCTION("""COMPUTED_VALUE"""),46.26185614243944)</f>
        <v>46.26185614</v>
      </c>
    </row>
    <row r="646">
      <c r="A646" s="30" t="str">
        <f>IFERROR(__xludf.DUMMYFUNCTION("""COMPUTED_VALUE"""),"RSC006889")</f>
        <v>RSC006889</v>
      </c>
      <c r="B646" s="30" t="str">
        <f>IFERROR(__xludf.DUMMYFUNCTION("""COMPUTED_VALUE"""),"Jay")</f>
        <v>Jay</v>
      </c>
      <c r="C646" s="30" t="str">
        <f>IFERROR(__xludf.DUMMYFUNCTION("""COMPUTED_VALUE"""),"Premier")</f>
        <v>Premier</v>
      </c>
      <c r="D646" s="30" t="str">
        <f>IFERROR(__xludf.DUMMYFUNCTION("""COMPUTED_VALUE"""),"Fairies")</f>
        <v>Fairies</v>
      </c>
      <c r="E646" s="30" t="str">
        <f>IFERROR(__xludf.DUMMYFUNCTION("""COMPUTED_VALUE"""),"The Forest")</f>
        <v>The Forest</v>
      </c>
      <c r="F646" s="30" t="str">
        <f>IFERROR(__xludf.DUMMYFUNCTION("""COMPUTED_VALUE"""),"N/A")</f>
        <v>N/A</v>
      </c>
      <c r="G646" s="92">
        <f>IFERROR(__xludf.DUMMYFUNCTION("""COMPUTED_VALUE"""),44.44757166865269)</f>
        <v>44.44757167</v>
      </c>
    </row>
    <row r="647">
      <c r="A647" s="30" t="str">
        <f>IFERROR(__xludf.DUMMYFUNCTION("""COMPUTED_VALUE"""),"RSC006259")</f>
        <v>RSC006259</v>
      </c>
      <c r="B647" s="30" t="str">
        <f>IFERROR(__xludf.DUMMYFUNCTION("""COMPUTED_VALUE"""),"mojomo")</f>
        <v>mojomo</v>
      </c>
      <c r="C647" s="30" t="str">
        <f>IFERROR(__xludf.DUMMYFUNCTION("""COMPUTED_VALUE"""),"Master")</f>
        <v>Master</v>
      </c>
      <c r="D647" s="30" t="str">
        <f>IFERROR(__xludf.DUMMYFUNCTION("""COMPUTED_VALUE"""),"Plinko")</f>
        <v>Plinko</v>
      </c>
      <c r="E647" s="30" t="str">
        <f>IFERROR(__xludf.DUMMYFUNCTION("""COMPUTED_VALUE"""),"Never Lucky")</f>
        <v>Never Lucky</v>
      </c>
      <c r="F647" s="30" t="str">
        <f>IFERROR(__xludf.DUMMYFUNCTION("""COMPUTED_VALUE"""),"N/A")</f>
        <v>N/A</v>
      </c>
      <c r="G647" s="92">
        <f>IFERROR(__xludf.DUMMYFUNCTION("""COMPUTED_VALUE"""),35.5260415184037)</f>
        <v>35.52604152</v>
      </c>
    </row>
    <row r="648">
      <c r="A648" s="30" t="str">
        <f>IFERROR(__xludf.DUMMYFUNCTION("""COMPUTED_VALUE"""),"RSC005109")</f>
        <v>RSC005109</v>
      </c>
      <c r="B648" s="30" t="str">
        <f>IFERROR(__xludf.DUMMYFUNCTION("""COMPUTED_VALUE"""),"delta ^_^")</f>
        <v>delta ^_^</v>
      </c>
      <c r="C648" s="30" t="str">
        <f>IFERROR(__xludf.DUMMYFUNCTION("""COMPUTED_VALUE"""),"Master")</f>
        <v>Master</v>
      </c>
      <c r="D648" s="30" t="str">
        <f>IFERROR(__xludf.DUMMYFUNCTION("""COMPUTED_VALUE"""),"Plinko")</f>
        <v>Plinko</v>
      </c>
      <c r="E648" s="30" t="str">
        <f>IFERROR(__xludf.DUMMYFUNCTION("""COMPUTED_VALUE"""),"Never Lucky")</f>
        <v>Never Lucky</v>
      </c>
      <c r="F648" s="30" t="str">
        <f>IFERROR(__xludf.DUMMYFUNCTION("""COMPUTED_VALUE"""),"N/A")</f>
        <v>N/A</v>
      </c>
      <c r="G648" s="92">
        <f>IFERROR(__xludf.DUMMYFUNCTION("""COMPUTED_VALUE"""),24.68639093750729)</f>
        <v>24.68639094</v>
      </c>
    </row>
    <row r="649">
      <c r="A649" s="30" t="str">
        <f>IFERROR(__xludf.DUMMYFUNCTION("""COMPUTED_VALUE"""),"RSC003412")</f>
        <v>RSC003412</v>
      </c>
      <c r="B649" s="30" t="str">
        <f>IFERROR(__xludf.DUMMYFUNCTION("""COMPUTED_VALUE"""),"Python")</f>
        <v>Python</v>
      </c>
      <c r="C649" s="30" t="str">
        <f>IFERROR(__xludf.DUMMYFUNCTION("""COMPUTED_VALUE"""),"Master")</f>
        <v>Master</v>
      </c>
      <c r="D649" s="30" t="str">
        <f>IFERROR(__xludf.DUMMYFUNCTION("""COMPUTED_VALUE"""),"Hard Hats
Plinko")</f>
        <v>Hard Hats
Plinko</v>
      </c>
      <c r="E649" s="30" t="str">
        <f>IFERROR(__xludf.DUMMYFUNCTION("""COMPUTED_VALUE"""),"Road Work Ahead
Never Lucky")</f>
        <v>Road Work Ahead
Never Lucky</v>
      </c>
      <c r="F649" s="30" t="str">
        <f>IFERROR(__xludf.DUMMYFUNCTION("""COMPUTED_VALUE"""),"N/A")</f>
        <v>N/A</v>
      </c>
      <c r="G649" s="92">
        <f>IFERROR(__xludf.DUMMYFUNCTION("""COMPUTED_VALUE"""),-0.12638486831231432)</f>
        <v>-0.1263848683</v>
      </c>
    </row>
    <row r="650">
      <c r="A650" s="30" t="str">
        <f>IFERROR(__xludf.DUMMYFUNCTION("""COMPUTED_VALUE"""),"RSC002959")</f>
        <v>RSC002959</v>
      </c>
      <c r="B650" s="30" t="str">
        <f>IFERROR(__xludf.DUMMYFUNCTION("""COMPUTED_VALUE"""),"JACKS0NTHEBOSS")</f>
        <v>JACKS0NTHEBOSS</v>
      </c>
      <c r="C650" s="30" t="str">
        <f>IFERROR(__xludf.DUMMYFUNCTION("""COMPUTED_VALUE"""),"Master")</f>
        <v>Master</v>
      </c>
      <c r="D650" s="30" t="str">
        <f>IFERROR(__xludf.DUMMYFUNCTION("""COMPUTED_VALUE"""),"Andromeda")</f>
        <v>Andromeda</v>
      </c>
      <c r="E650" s="30" t="str">
        <f>IFERROR(__xludf.DUMMYFUNCTION("""COMPUTED_VALUE"""),"The Cosmos")</f>
        <v>The Cosmos</v>
      </c>
      <c r="F650" s="30" t="str">
        <f>IFERROR(__xludf.DUMMYFUNCTION("""COMPUTED_VALUE"""),"N/A")</f>
        <v>N/A</v>
      </c>
      <c r="G650" s="92">
        <f>IFERROR(__xludf.DUMMYFUNCTION("""COMPUTED_VALUE"""),62.01374743323319)</f>
        <v>62.01374743</v>
      </c>
    </row>
    <row r="651">
      <c r="A651" s="30" t="str">
        <f>IFERROR(__xludf.DUMMYFUNCTION("""COMPUTED_VALUE"""),"RSC000381")</f>
        <v>RSC000381</v>
      </c>
      <c r="B651" s="30" t="str">
        <f>IFERROR(__xludf.DUMMYFUNCTION("""COMPUTED_VALUE"""),"Noriko")</f>
        <v>Noriko</v>
      </c>
      <c r="C651" s="30" t="str">
        <f>IFERROR(__xludf.DUMMYFUNCTION("""COMPUTED_VALUE"""),"Master")</f>
        <v>Master</v>
      </c>
      <c r="D651" s="30" t="str">
        <f>IFERROR(__xludf.DUMMYFUNCTION("""COMPUTED_VALUE"""),"Andromeda")</f>
        <v>Andromeda</v>
      </c>
      <c r="E651" s="30" t="str">
        <f>IFERROR(__xludf.DUMMYFUNCTION("""COMPUTED_VALUE"""),"The Cosmos")</f>
        <v>The Cosmos</v>
      </c>
      <c r="F651" s="30" t="str">
        <f>IFERROR(__xludf.DUMMYFUNCTION("""COMPUTED_VALUE"""),"N/A")</f>
        <v>N/A</v>
      </c>
      <c r="G651" s="92">
        <f>IFERROR(__xludf.DUMMYFUNCTION("""COMPUTED_VALUE"""),68.62712909420806)</f>
        <v>68.62712909</v>
      </c>
    </row>
    <row r="652">
      <c r="A652" s="30" t="str">
        <f>IFERROR(__xludf.DUMMYFUNCTION("""COMPUTED_VALUE"""),"RSC005220")</f>
        <v>RSC005220</v>
      </c>
      <c r="B652" s="30" t="str">
        <f>IFERROR(__xludf.DUMMYFUNCTION("""COMPUTED_VALUE"""),"Swax")</f>
        <v>Swax</v>
      </c>
      <c r="C652" s="30" t="str">
        <f>IFERROR(__xludf.DUMMYFUNCTION("""COMPUTED_VALUE"""),"Master")</f>
        <v>Master</v>
      </c>
      <c r="D652" s="30" t="str">
        <f>IFERROR(__xludf.DUMMYFUNCTION("""COMPUTED_VALUE"""),"Andromeda")</f>
        <v>Andromeda</v>
      </c>
      <c r="E652" s="30" t="str">
        <f>IFERROR(__xludf.DUMMYFUNCTION("""COMPUTED_VALUE"""),"The Cosmos")</f>
        <v>The Cosmos</v>
      </c>
      <c r="F652" s="30" t="str">
        <f>IFERROR(__xludf.DUMMYFUNCTION("""COMPUTED_VALUE"""),"N/A")</f>
        <v>N/A</v>
      </c>
      <c r="G652" s="92">
        <f>IFERROR(__xludf.DUMMYFUNCTION("""COMPUTED_VALUE"""),51.69990971822622)</f>
        <v>51.69990972</v>
      </c>
    </row>
    <row r="653">
      <c r="A653" s="30" t="str">
        <f>IFERROR(__xludf.DUMMYFUNCTION("""COMPUTED_VALUE"""),"RSC003721")</f>
        <v>RSC003721</v>
      </c>
      <c r="B653" s="30" t="str">
        <f>IFERROR(__xludf.DUMMYFUNCTION("""COMPUTED_VALUE"""),"Kyurmex.")</f>
        <v>Kyurmex.</v>
      </c>
      <c r="C653" s="30" t="str">
        <f>IFERROR(__xludf.DUMMYFUNCTION("""COMPUTED_VALUE"""),"Master")</f>
        <v>Master</v>
      </c>
      <c r="D653" s="30" t="str">
        <f>IFERROR(__xludf.DUMMYFUNCTION("""COMPUTED_VALUE"""),"Spectres")</f>
        <v>Spectres</v>
      </c>
      <c r="E653" s="30" t="str">
        <f>IFERROR(__xludf.DUMMYFUNCTION("""COMPUTED_VALUE"""),"The Monster Mash")</f>
        <v>The Monster Mash</v>
      </c>
      <c r="F653" s="30" t="str">
        <f>IFERROR(__xludf.DUMMYFUNCTION("""COMPUTED_VALUE"""),"N/A")</f>
        <v>N/A</v>
      </c>
      <c r="G653" s="92">
        <f>IFERROR(__xludf.DUMMYFUNCTION("""COMPUTED_VALUE"""),33.816635004819275)</f>
        <v>33.816635</v>
      </c>
    </row>
    <row r="654">
      <c r="A654" s="30" t="str">
        <f>IFERROR(__xludf.DUMMYFUNCTION("""COMPUTED_VALUE"""),"RSC005625")</f>
        <v>RSC005625</v>
      </c>
      <c r="B654" s="30" t="str">
        <f>IFERROR(__xludf.DUMMYFUNCTION("""COMPUTED_VALUE"""),"aspect of hope")</f>
        <v>aspect of hope</v>
      </c>
      <c r="C654" s="30" t="str">
        <f>IFERROR(__xludf.DUMMYFUNCTION("""COMPUTED_VALUE"""),"Master")</f>
        <v>Master</v>
      </c>
      <c r="D654" s="30" t="str">
        <f>IFERROR(__xludf.DUMMYFUNCTION("""COMPUTED_VALUE"""),"Spectres")</f>
        <v>Spectres</v>
      </c>
      <c r="E654" s="30" t="str">
        <f>IFERROR(__xludf.DUMMYFUNCTION("""COMPUTED_VALUE"""),"The Monster Mash")</f>
        <v>The Monster Mash</v>
      </c>
      <c r="F654" s="30" t="str">
        <f>IFERROR(__xludf.DUMMYFUNCTION("""COMPUTED_VALUE"""),"N/A")</f>
        <v>N/A</v>
      </c>
      <c r="G654" s="92">
        <f>IFERROR(__xludf.DUMMYFUNCTION("""COMPUTED_VALUE"""),52.60565979137735)</f>
        <v>52.60565979</v>
      </c>
    </row>
    <row r="655">
      <c r="A655" s="30" t="str">
        <f>IFERROR(__xludf.DUMMYFUNCTION("""COMPUTED_VALUE"""),"RSC003031")</f>
        <v>RSC003031</v>
      </c>
      <c r="B655" s="30" t="str">
        <f>IFERROR(__xludf.DUMMYFUNCTION("""COMPUTED_VALUE"""),"Yesper")</f>
        <v>Yesper</v>
      </c>
      <c r="C655" s="30" t="str">
        <f>IFERROR(__xludf.DUMMYFUNCTION("""COMPUTED_VALUE"""),"Master")</f>
        <v>Master</v>
      </c>
      <c r="D655" s="30" t="str">
        <f>IFERROR(__xludf.DUMMYFUNCTION("""COMPUTED_VALUE"""),"Spectres")</f>
        <v>Spectres</v>
      </c>
      <c r="E655" s="30" t="str">
        <f>IFERROR(__xludf.DUMMYFUNCTION("""COMPUTED_VALUE"""),"The Monster Mash")</f>
        <v>The Monster Mash</v>
      </c>
      <c r="F655" s="30" t="str">
        <f>IFERROR(__xludf.DUMMYFUNCTION("""COMPUTED_VALUE"""),"N/A")</f>
        <v>N/A</v>
      </c>
      <c r="G655" s="92">
        <f>IFERROR(__xludf.DUMMYFUNCTION("""COMPUTED_VALUE"""),40.45114879288678)</f>
        <v>40.45114879</v>
      </c>
    </row>
    <row r="656">
      <c r="A656" s="30" t="str">
        <f>IFERROR(__xludf.DUMMYFUNCTION("""COMPUTED_VALUE"""),"RSC002476")</f>
        <v>RSC002476</v>
      </c>
      <c r="B656" s="30" t="str">
        <f>IFERROR(__xludf.DUMMYFUNCTION("""COMPUTED_VALUE"""),"Argnor")</f>
        <v>Argnor</v>
      </c>
      <c r="C656" s="30" t="str">
        <f>IFERROR(__xludf.DUMMYFUNCTION("""COMPUTED_VALUE"""),"Master")</f>
        <v>Master</v>
      </c>
      <c r="D656" s="30" t="str">
        <f>IFERROR(__xludf.DUMMYFUNCTION("""COMPUTED_VALUE"""),"Helicoprions")</f>
        <v>Helicoprions</v>
      </c>
      <c r="E656" s="30" t="str">
        <f>IFERROR(__xludf.DUMMYFUNCTION("""COMPUTED_VALUE"""),"Shark Attack")</f>
        <v>Shark Attack</v>
      </c>
      <c r="F656" s="30" t="str">
        <f>IFERROR(__xludf.DUMMYFUNCTION("""COMPUTED_VALUE"""),"N/A")</f>
        <v>N/A</v>
      </c>
      <c r="G656" s="92">
        <f>IFERROR(__xludf.DUMMYFUNCTION("""COMPUTED_VALUE"""),38.290875442597766)</f>
        <v>38.29087544</v>
      </c>
    </row>
    <row r="657">
      <c r="A657" s="30" t="str">
        <f>IFERROR(__xludf.DUMMYFUNCTION("""COMPUTED_VALUE"""),"RSC006534")</f>
        <v>RSC006534</v>
      </c>
      <c r="B657" s="30" t="str">
        <f>IFERROR(__xludf.DUMMYFUNCTION("""COMPUTED_VALUE"""),"FIN0oo")</f>
        <v>FIN0oo</v>
      </c>
      <c r="C657" s="30" t="str">
        <f>IFERROR(__xludf.DUMMYFUNCTION("""COMPUTED_VALUE"""),"Master")</f>
        <v>Master</v>
      </c>
      <c r="D657" s="30" t="str">
        <f>IFERROR(__xludf.DUMMYFUNCTION("""COMPUTED_VALUE"""),"Helicoprions")</f>
        <v>Helicoprions</v>
      </c>
      <c r="E657" s="30" t="str">
        <f>IFERROR(__xludf.DUMMYFUNCTION("""COMPUTED_VALUE"""),"Shark Attack")</f>
        <v>Shark Attack</v>
      </c>
      <c r="F657" s="30" t="str">
        <f>IFERROR(__xludf.DUMMYFUNCTION("""COMPUTED_VALUE"""),"N/A")</f>
        <v>N/A</v>
      </c>
      <c r="G657" s="92">
        <f>IFERROR(__xludf.DUMMYFUNCTION("""COMPUTED_VALUE"""),63.76761220714329)</f>
        <v>63.76761221</v>
      </c>
    </row>
    <row r="658">
      <c r="A658" s="30" t="str">
        <f>IFERROR(__xludf.DUMMYFUNCTION("""COMPUTED_VALUE"""),"RSC006405")</f>
        <v>RSC006405</v>
      </c>
      <c r="B658" s="30" t="str">
        <f>IFERROR(__xludf.DUMMYFUNCTION("""COMPUTED_VALUE"""),"Lil Panda")</f>
        <v>Lil Panda</v>
      </c>
      <c r="C658" s="30" t="str">
        <f>IFERROR(__xludf.DUMMYFUNCTION("""COMPUTED_VALUE"""),"Master")</f>
        <v>Master</v>
      </c>
      <c r="D658" s="30" t="str">
        <f>IFERROR(__xludf.DUMMYFUNCTION("""COMPUTED_VALUE"""),"Helicoprions")</f>
        <v>Helicoprions</v>
      </c>
      <c r="E658" s="30" t="str">
        <f>IFERROR(__xludf.DUMMYFUNCTION("""COMPUTED_VALUE"""),"Shark Attack")</f>
        <v>Shark Attack</v>
      </c>
      <c r="F658" s="30" t="str">
        <f>IFERROR(__xludf.DUMMYFUNCTION("""COMPUTED_VALUE"""),"N/A")</f>
        <v>N/A</v>
      </c>
      <c r="G658" s="92">
        <f>IFERROR(__xludf.DUMMYFUNCTION("""COMPUTED_VALUE"""),48.67870868997804)</f>
        <v>48.67870869</v>
      </c>
    </row>
    <row r="659">
      <c r="A659" s="30" t="str">
        <f>IFERROR(__xludf.DUMMYFUNCTION("""COMPUTED_VALUE"""),"RSC000330")</f>
        <v>RSC000330</v>
      </c>
      <c r="B659" s="30" t="str">
        <f>IFERROR(__xludf.DUMMYFUNCTION("""COMPUTED_VALUE"""),"Infinite")</f>
        <v>Infinite</v>
      </c>
      <c r="C659" s="30" t="str">
        <f>IFERROR(__xludf.DUMMYFUNCTION("""COMPUTED_VALUE"""),"Master")</f>
        <v>Master</v>
      </c>
      <c r="D659" s="30" t="str">
        <f>IFERROR(__xludf.DUMMYFUNCTION("""COMPUTED_VALUE"""),"Oblivion")</f>
        <v>Oblivion</v>
      </c>
      <c r="E659" s="30" t="str">
        <f>IFERROR(__xludf.DUMMYFUNCTION("""COMPUTED_VALUE"""),"Event Horizon")</f>
        <v>Event Horizon</v>
      </c>
      <c r="F659" s="30" t="str">
        <f>IFERROR(__xludf.DUMMYFUNCTION("""COMPUTED_VALUE"""),"N/A")</f>
        <v>N/A</v>
      </c>
      <c r="G659" s="92">
        <f>IFERROR(__xludf.DUMMYFUNCTION("""COMPUTED_VALUE"""),55.4663772719487)</f>
        <v>55.46637727</v>
      </c>
    </row>
    <row r="660">
      <c r="A660" s="30" t="str">
        <f>IFERROR(__xludf.DUMMYFUNCTION("""COMPUTED_VALUE"""),"RSC007605")</f>
        <v>RSC007605</v>
      </c>
      <c r="B660" s="30" t="str">
        <f>IFERROR(__xludf.DUMMYFUNCTION("""COMPUTED_VALUE"""),"Afterburner3375")</f>
        <v>Afterburner3375</v>
      </c>
      <c r="C660" s="30" t="str">
        <f>IFERROR(__xludf.DUMMYFUNCTION("""COMPUTED_VALUE"""),"Master")</f>
        <v>Master</v>
      </c>
      <c r="D660" s="30" t="str">
        <f>IFERROR(__xludf.DUMMYFUNCTION("""COMPUTED_VALUE"""),"Oblivion")</f>
        <v>Oblivion</v>
      </c>
      <c r="E660" s="30" t="str">
        <f>IFERROR(__xludf.DUMMYFUNCTION("""COMPUTED_VALUE"""),"Event Horizon")</f>
        <v>Event Horizon</v>
      </c>
      <c r="F660" s="30" t="str">
        <f>IFERROR(__xludf.DUMMYFUNCTION("""COMPUTED_VALUE"""),"N/A")</f>
        <v>N/A</v>
      </c>
      <c r="G660" s="92">
        <f>IFERROR(__xludf.DUMMYFUNCTION("""COMPUTED_VALUE"""),70.69131821958)</f>
        <v>70.69131822</v>
      </c>
    </row>
    <row r="661">
      <c r="A661" s="30" t="str">
        <f>IFERROR(__xludf.DUMMYFUNCTION("""COMPUTED_VALUE"""),"RSC000618")</f>
        <v>RSC000618</v>
      </c>
      <c r="B661" s="30" t="str">
        <f>IFERROR(__xludf.DUMMYFUNCTION("""COMPUTED_VALUE"""),"Taelo")</f>
        <v>Taelo</v>
      </c>
      <c r="C661" s="30" t="str">
        <f>IFERROR(__xludf.DUMMYFUNCTION("""COMPUTED_VALUE"""),"Master")</f>
        <v>Master</v>
      </c>
      <c r="D661" s="30" t="str">
        <f>IFERROR(__xludf.DUMMYFUNCTION("""COMPUTED_VALUE"""),"Oblivion")</f>
        <v>Oblivion</v>
      </c>
      <c r="E661" s="30" t="str">
        <f>IFERROR(__xludf.DUMMYFUNCTION("""COMPUTED_VALUE"""),"Event Horizon")</f>
        <v>Event Horizon</v>
      </c>
      <c r="F661" s="30" t="str">
        <f>IFERROR(__xludf.DUMMYFUNCTION("""COMPUTED_VALUE"""),"N/A")</f>
        <v>N/A</v>
      </c>
      <c r="G661" s="92">
        <f>IFERROR(__xludf.DUMMYFUNCTION("""COMPUTED_VALUE"""),81.8946564056389)</f>
        <v>81.89465641</v>
      </c>
    </row>
    <row r="662">
      <c r="A662" s="30" t="str">
        <f>IFERROR(__xludf.DUMMYFUNCTION("""COMPUTED_VALUE"""),"RSC007565")</f>
        <v>RSC007565</v>
      </c>
      <c r="B662" s="30" t="str">
        <f>IFERROR(__xludf.DUMMYFUNCTION("""COMPUTED_VALUE"""),"AcX")</f>
        <v>AcX</v>
      </c>
      <c r="C662" s="30" t="str">
        <f>IFERROR(__xludf.DUMMYFUNCTION("""COMPUTED_VALUE"""),"Master")</f>
        <v>Master</v>
      </c>
      <c r="D662" s="30" t="str">
        <f>IFERROR(__xludf.DUMMYFUNCTION("""COMPUTED_VALUE"""),"Care Bears")</f>
        <v>Care Bears</v>
      </c>
      <c r="E662" s="30" t="str">
        <f>IFERROR(__xludf.DUMMYFUNCTION("""COMPUTED_VALUE"""),"The Bear Den")</f>
        <v>The Bear Den</v>
      </c>
      <c r="F662" s="30" t="str">
        <f>IFERROR(__xludf.DUMMYFUNCTION("""COMPUTED_VALUE"""),"N/A")</f>
        <v>N/A</v>
      </c>
      <c r="G662" s="92">
        <f>IFERROR(__xludf.DUMMYFUNCTION("""COMPUTED_VALUE"""),49.24137070571545)</f>
        <v>49.24137071</v>
      </c>
    </row>
    <row r="663">
      <c r="A663" s="30" t="str">
        <f>IFERROR(__xludf.DUMMYFUNCTION("""COMPUTED_VALUE"""),"RSC002059")</f>
        <v>RSC002059</v>
      </c>
      <c r="B663" s="30" t="str">
        <f>IFERROR(__xludf.DUMMYFUNCTION("""COMPUTED_VALUE"""),"Thermal")</f>
        <v>Thermal</v>
      </c>
      <c r="C663" s="30" t="str">
        <f>IFERROR(__xludf.DUMMYFUNCTION("""COMPUTED_VALUE"""),"Master")</f>
        <v>Master</v>
      </c>
      <c r="D663" s="30" t="str">
        <f>IFERROR(__xludf.DUMMYFUNCTION("""COMPUTED_VALUE"""),"Care Bears")</f>
        <v>Care Bears</v>
      </c>
      <c r="E663" s="30" t="str">
        <f>IFERROR(__xludf.DUMMYFUNCTION("""COMPUTED_VALUE"""),"The Bear Den")</f>
        <v>The Bear Den</v>
      </c>
      <c r="F663" s="30" t="str">
        <f>IFERROR(__xludf.DUMMYFUNCTION("""COMPUTED_VALUE"""),"N/A")</f>
        <v>N/A</v>
      </c>
      <c r="G663" s="92">
        <f>IFERROR(__xludf.DUMMYFUNCTION("""COMPUTED_VALUE"""),28.181598731503477)</f>
        <v>28.18159873</v>
      </c>
    </row>
    <row r="664">
      <c r="A664" s="30" t="str">
        <f>IFERROR(__xludf.DUMMYFUNCTION("""COMPUTED_VALUE"""),"RSC003308")</f>
        <v>RSC003308</v>
      </c>
      <c r="B664" s="30" t="str">
        <f>IFERROR(__xludf.DUMMYFUNCTION("""COMPUTED_VALUE"""),"Tman")</f>
        <v>Tman</v>
      </c>
      <c r="C664" s="30" t="str">
        <f>IFERROR(__xludf.DUMMYFUNCTION("""COMPUTED_VALUE"""),"Master")</f>
        <v>Master</v>
      </c>
      <c r="D664" s="30" t="str">
        <f>IFERROR(__xludf.DUMMYFUNCTION("""COMPUTED_VALUE"""),"Plinko
Care Bears")</f>
        <v>Plinko
Care Bears</v>
      </c>
      <c r="E664" s="30" t="str">
        <f>IFERROR(__xludf.DUMMYFUNCTION("""COMPUTED_VALUE"""),"Never Lucky
The Bear Den")</f>
        <v>Never Lucky
The Bear Den</v>
      </c>
      <c r="F664" s="30" t="str">
        <f>IFERROR(__xludf.DUMMYFUNCTION("""COMPUTED_VALUE"""),"N/A")</f>
        <v>N/A</v>
      </c>
      <c r="G664" s="92">
        <f>IFERROR(__xludf.DUMMYFUNCTION("""COMPUTED_VALUE"""),48.48010021801628)</f>
        <v>48.48010022</v>
      </c>
    </row>
    <row r="665">
      <c r="A665" s="30" t="str">
        <f>IFERROR(__xludf.DUMMYFUNCTION("""COMPUTED_VALUE"""),"RSC002944")</f>
        <v>RSC002944</v>
      </c>
      <c r="B665" s="30" t="str">
        <f>IFERROR(__xludf.DUMMYFUNCTION("""COMPUTED_VALUE"""),"PayloSoul")</f>
        <v>PayloSoul</v>
      </c>
      <c r="C665" s="30" t="str">
        <f>IFERROR(__xludf.DUMMYFUNCTION("""COMPUTED_VALUE"""),"Master")</f>
        <v>Master</v>
      </c>
      <c r="D665" s="30" t="str">
        <f>IFERROR(__xludf.DUMMYFUNCTION("""COMPUTED_VALUE"""),"The OG")</f>
        <v>The OG</v>
      </c>
      <c r="E665" s="30" t="str">
        <f>IFERROR(__xludf.DUMMYFUNCTION("""COMPUTED_VALUE"""),"The Hood")</f>
        <v>The Hood</v>
      </c>
      <c r="F665" s="30" t="str">
        <f>IFERROR(__xludf.DUMMYFUNCTION("""COMPUTED_VALUE"""),"N/A")</f>
        <v>N/A</v>
      </c>
      <c r="G665" s="92">
        <f>IFERROR(__xludf.DUMMYFUNCTION("""COMPUTED_VALUE"""),45.69224418103669)</f>
        <v>45.69224418</v>
      </c>
    </row>
    <row r="666">
      <c r="A666" s="30" t="str">
        <f>IFERROR(__xludf.DUMMYFUNCTION("""COMPUTED_VALUE"""),"RSC007067")</f>
        <v>RSC007067</v>
      </c>
      <c r="B666" s="30" t="str">
        <f>IFERROR(__xludf.DUMMYFUNCTION("""COMPUTED_VALUE"""),"ThyChad_")</f>
        <v>ThyChad_</v>
      </c>
      <c r="C666" s="30" t="str">
        <f>IFERROR(__xludf.DUMMYFUNCTION("""COMPUTED_VALUE"""),"Master")</f>
        <v>Master</v>
      </c>
      <c r="D666" s="30" t="str">
        <f>IFERROR(__xludf.DUMMYFUNCTION("""COMPUTED_VALUE"""),"The OG")</f>
        <v>The OG</v>
      </c>
      <c r="E666" s="30" t="str">
        <f>IFERROR(__xludf.DUMMYFUNCTION("""COMPUTED_VALUE"""),"The Hood")</f>
        <v>The Hood</v>
      </c>
      <c r="F666" s="30" t="str">
        <f>IFERROR(__xludf.DUMMYFUNCTION("""COMPUTED_VALUE"""),"N/A")</f>
        <v>N/A</v>
      </c>
      <c r="G666" s="92">
        <f>IFERROR(__xludf.DUMMYFUNCTION("""COMPUTED_VALUE"""),9.935138565431586)</f>
        <v>9.935138565</v>
      </c>
    </row>
    <row r="667">
      <c r="A667" s="30" t="str">
        <f>IFERROR(__xludf.DUMMYFUNCTION("""COMPUTED_VALUE"""),"RSC007412")</f>
        <v>RSC007412</v>
      </c>
      <c r="B667" s="30" t="str">
        <f>IFERROR(__xludf.DUMMYFUNCTION("""COMPUTED_VALUE"""),"spuf.")</f>
        <v>spuf.</v>
      </c>
      <c r="C667" s="30" t="str">
        <f>IFERROR(__xludf.DUMMYFUNCTION("""COMPUTED_VALUE"""),"Master")</f>
        <v>Master</v>
      </c>
      <c r="D667" s="30" t="str">
        <f>IFERROR(__xludf.DUMMYFUNCTION("""COMPUTED_VALUE"""),"Care Bears
The OG")</f>
        <v>Care Bears
The OG</v>
      </c>
      <c r="E667" s="30" t="str">
        <f>IFERROR(__xludf.DUMMYFUNCTION("""COMPUTED_VALUE"""),"The Bear Den
The Hood")</f>
        <v>The Bear Den
The Hood</v>
      </c>
      <c r="F667" s="30" t="str">
        <f>IFERROR(__xludf.DUMMYFUNCTION("""COMPUTED_VALUE"""),"N/A")</f>
        <v>N/A</v>
      </c>
      <c r="G667" s="92">
        <f>IFERROR(__xludf.DUMMYFUNCTION("""COMPUTED_VALUE"""),52.42028915887533)</f>
        <v>52.42028916</v>
      </c>
    </row>
    <row r="668">
      <c r="A668" s="30" t="str">
        <f>IFERROR(__xludf.DUMMYFUNCTION("""COMPUTED_VALUE"""),"RSC007976")</f>
        <v>RSC007976</v>
      </c>
      <c r="B668" s="30" t="str">
        <f>IFERROR(__xludf.DUMMYFUNCTION("""COMPUTED_VALUE"""),"Just Kraze")</f>
        <v>Just Kraze</v>
      </c>
      <c r="C668" s="30" t="str">
        <f>IFERROR(__xludf.DUMMYFUNCTION("""COMPUTED_VALUE"""),"Master")</f>
        <v>Master</v>
      </c>
      <c r="D668" s="30" t="str">
        <f>IFERROR(__xludf.DUMMYFUNCTION("""COMPUTED_VALUE"""),"Battle Masters")</f>
        <v>Battle Masters</v>
      </c>
      <c r="E668" s="30" t="str">
        <f>IFERROR(__xludf.DUMMYFUNCTION("""COMPUTED_VALUE"""),"Dwarf Haven")</f>
        <v>Dwarf Haven</v>
      </c>
      <c r="F668" s="30" t="str">
        <f>IFERROR(__xludf.DUMMYFUNCTION("""COMPUTED_VALUE"""),"N/A")</f>
        <v>N/A</v>
      </c>
      <c r="G668" s="92">
        <f>IFERROR(__xludf.DUMMYFUNCTION("""COMPUTED_VALUE"""),72.47788554790749)</f>
        <v>72.47788555</v>
      </c>
    </row>
    <row r="669">
      <c r="A669" s="30" t="str">
        <f>IFERROR(__xludf.DUMMYFUNCTION("""COMPUTED_VALUE"""),"RSC004717")</f>
        <v>RSC004717</v>
      </c>
      <c r="B669" s="30" t="str">
        <f>IFERROR(__xludf.DUMMYFUNCTION("""COMPUTED_VALUE"""),"slain.")</f>
        <v>slain.</v>
      </c>
      <c r="C669" s="30" t="str">
        <f>IFERROR(__xludf.DUMMYFUNCTION("""COMPUTED_VALUE"""),"Master")</f>
        <v>Master</v>
      </c>
      <c r="D669" s="30" t="str">
        <f>IFERROR(__xludf.DUMMYFUNCTION("""COMPUTED_VALUE"""),"Battle Masters")</f>
        <v>Battle Masters</v>
      </c>
      <c r="E669" s="30" t="str">
        <f>IFERROR(__xludf.DUMMYFUNCTION("""COMPUTED_VALUE"""),"Dwarf Haven")</f>
        <v>Dwarf Haven</v>
      </c>
      <c r="F669" s="30" t="str">
        <f>IFERROR(__xludf.DUMMYFUNCTION("""COMPUTED_VALUE"""),"N/A")</f>
        <v>N/A</v>
      </c>
      <c r="G669" s="92">
        <f>IFERROR(__xludf.DUMMYFUNCTION("""COMPUTED_VALUE"""),70.75217289575286)</f>
        <v>70.7521729</v>
      </c>
    </row>
    <row r="670">
      <c r="A670" s="30" t="str">
        <f>IFERROR(__xludf.DUMMYFUNCTION("""COMPUTED_VALUE"""),"RSC006408")</f>
        <v>RSC006408</v>
      </c>
      <c r="B670" s="30" t="str">
        <f>IFERROR(__xludf.DUMMYFUNCTION("""COMPUTED_VALUE"""),"Met.")</f>
        <v>Met.</v>
      </c>
      <c r="C670" s="30" t="str">
        <f>IFERROR(__xludf.DUMMYFUNCTION("""COMPUTED_VALUE"""),"Master")</f>
        <v>Master</v>
      </c>
      <c r="D670" s="30" t="str">
        <f>IFERROR(__xludf.DUMMYFUNCTION("""COMPUTED_VALUE"""),"Battle Masters")</f>
        <v>Battle Masters</v>
      </c>
      <c r="E670" s="30" t="str">
        <f>IFERROR(__xludf.DUMMYFUNCTION("""COMPUTED_VALUE"""),"Dwarf Haven")</f>
        <v>Dwarf Haven</v>
      </c>
      <c r="F670" s="30" t="str">
        <f>IFERROR(__xludf.DUMMYFUNCTION("""COMPUTED_VALUE"""),"N/A")</f>
        <v>N/A</v>
      </c>
      <c r="G670" s="92">
        <f>IFERROR(__xludf.DUMMYFUNCTION("""COMPUTED_VALUE"""),97.74597014860706)</f>
        <v>97.74597015</v>
      </c>
    </row>
    <row r="671">
      <c r="A671" s="30" t="str">
        <f>IFERROR(__xludf.DUMMYFUNCTION("""COMPUTED_VALUE"""),"RSC007252")</f>
        <v>RSC007252</v>
      </c>
      <c r="B671" s="30" t="str">
        <f>IFERROR(__xludf.DUMMYFUNCTION("""COMPUTED_VALUE"""),"mario.")</f>
        <v>mario.</v>
      </c>
      <c r="C671" s="30" t="str">
        <f>IFERROR(__xludf.DUMMYFUNCTION("""COMPUTED_VALUE"""),"Master")</f>
        <v>Master</v>
      </c>
      <c r="D671" s="30" t="str">
        <f>IFERROR(__xludf.DUMMYFUNCTION("""COMPUTED_VALUE"""),"Kawaii")</f>
        <v>Kawaii</v>
      </c>
      <c r="E671" s="30" t="str">
        <f>IFERROR(__xludf.DUMMYFUNCTION("""COMPUTED_VALUE"""),"The Pit")</f>
        <v>The Pit</v>
      </c>
      <c r="F671" s="30" t="str">
        <f>IFERROR(__xludf.DUMMYFUNCTION("""COMPUTED_VALUE"""),"N/A")</f>
        <v>N/A</v>
      </c>
      <c r="G671" s="92">
        <f>IFERROR(__xludf.DUMMYFUNCTION("""COMPUTED_VALUE"""),8.518468230552209)</f>
        <v>8.518468231</v>
      </c>
    </row>
    <row r="672">
      <c r="A672" s="30" t="str">
        <f>IFERROR(__xludf.DUMMYFUNCTION("""COMPUTED_VALUE"""),"RSC007878")</f>
        <v>RSC007878</v>
      </c>
      <c r="B672" s="30" t="str">
        <f>IFERROR(__xludf.DUMMYFUNCTION("""COMPUTED_VALUE"""),"oneam")</f>
        <v>oneam</v>
      </c>
      <c r="C672" s="30" t="str">
        <f>IFERROR(__xludf.DUMMYFUNCTION("""COMPUTED_VALUE"""),"Master")</f>
        <v>Master</v>
      </c>
      <c r="D672" s="30" t="str">
        <f>IFERROR(__xludf.DUMMYFUNCTION("""COMPUTED_VALUE"""),"Hard Hats
Kawaii")</f>
        <v>Hard Hats
Kawaii</v>
      </c>
      <c r="E672" s="30" t="str">
        <f>IFERROR(__xludf.DUMMYFUNCTION("""COMPUTED_VALUE"""),"Road Work Ahead
The Pit")</f>
        <v>Road Work Ahead
The Pit</v>
      </c>
      <c r="F672" s="30" t="str">
        <f>IFERROR(__xludf.DUMMYFUNCTION("""COMPUTED_VALUE"""),"N/A")</f>
        <v>N/A</v>
      </c>
      <c r="G672" s="92">
        <f>IFERROR(__xludf.DUMMYFUNCTION("""COMPUTED_VALUE"""),25.90582069607437)</f>
        <v>25.9058207</v>
      </c>
    </row>
    <row r="673">
      <c r="A673" s="30" t="str">
        <f>IFERROR(__xludf.DUMMYFUNCTION("""COMPUTED_VALUE"""),"RSC006952")</f>
        <v>RSC006952</v>
      </c>
      <c r="B673" s="30" t="str">
        <f>IFERROR(__xludf.DUMMYFUNCTION("""COMPUTED_VALUE"""),"nave")</f>
        <v>nave</v>
      </c>
      <c r="C673" s="30" t="str">
        <f>IFERROR(__xludf.DUMMYFUNCTION("""COMPUTED_VALUE"""),"Master")</f>
        <v>Master</v>
      </c>
      <c r="D673" s="30" t="str">
        <f>IFERROR(__xludf.DUMMYFUNCTION("""COMPUTED_VALUE"""),"Kawaii")</f>
        <v>Kawaii</v>
      </c>
      <c r="E673" s="30" t="str">
        <f>IFERROR(__xludf.DUMMYFUNCTION("""COMPUTED_VALUE"""),"The Pit")</f>
        <v>The Pit</v>
      </c>
      <c r="F673" s="30" t="str">
        <f>IFERROR(__xludf.DUMMYFUNCTION("""COMPUTED_VALUE"""),"N/A")</f>
        <v>N/A</v>
      </c>
      <c r="G673" s="92">
        <f>IFERROR(__xludf.DUMMYFUNCTION("""COMPUTED_VALUE"""),64.26532960126849)</f>
        <v>64.2653296</v>
      </c>
    </row>
    <row r="674">
      <c r="A674" s="30" t="str">
        <f>IFERROR(__xludf.DUMMYFUNCTION("""COMPUTED_VALUE"""),"RSC006481")</f>
        <v>RSC006481</v>
      </c>
      <c r="B674" s="30" t="str">
        <f>IFERROR(__xludf.DUMMYFUNCTION("""COMPUTED_VALUE"""),"Mixsta.")</f>
        <v>Mixsta.</v>
      </c>
      <c r="C674" s="30" t="str">
        <f>IFERROR(__xludf.DUMMYFUNCTION("""COMPUTED_VALUE"""),"Master")</f>
        <v>Master</v>
      </c>
      <c r="D674" s="30" t="str">
        <f>IFERROR(__xludf.DUMMYFUNCTION("""COMPUTED_VALUE"""),"Phantom Phreaks")</f>
        <v>Phantom Phreaks</v>
      </c>
      <c r="E674" s="30" t="str">
        <f>IFERROR(__xludf.DUMMYFUNCTION("""COMPUTED_VALUE"""),"Ghoul School")</f>
        <v>Ghoul School</v>
      </c>
      <c r="F674" s="30" t="str">
        <f>IFERROR(__xludf.DUMMYFUNCTION("""COMPUTED_VALUE"""),"N/A")</f>
        <v>N/A</v>
      </c>
      <c r="G674" s="92">
        <f>IFERROR(__xludf.DUMMYFUNCTION("""COMPUTED_VALUE"""),48.55907033086866)</f>
        <v>48.55907033</v>
      </c>
    </row>
    <row r="675">
      <c r="A675" s="30" t="str">
        <f>IFERROR(__xludf.DUMMYFUNCTION("""COMPUTED_VALUE"""),"RSC007858")</f>
        <v>RSC007858</v>
      </c>
      <c r="B675" s="30" t="str">
        <f>IFERROR(__xludf.DUMMYFUNCTION("""COMPUTED_VALUE"""),"Patty")</f>
        <v>Patty</v>
      </c>
      <c r="C675" s="30" t="str">
        <f>IFERROR(__xludf.DUMMYFUNCTION("""COMPUTED_VALUE"""),"Master")</f>
        <v>Master</v>
      </c>
      <c r="D675" s="30" t="str">
        <f>IFERROR(__xludf.DUMMYFUNCTION("""COMPUTED_VALUE"""),"Phantom Phreaks")</f>
        <v>Phantom Phreaks</v>
      </c>
      <c r="E675" s="30" t="str">
        <f>IFERROR(__xludf.DUMMYFUNCTION("""COMPUTED_VALUE"""),"Ghoul School")</f>
        <v>Ghoul School</v>
      </c>
      <c r="F675" s="30" t="str">
        <f>IFERROR(__xludf.DUMMYFUNCTION("""COMPUTED_VALUE"""),"N/A")</f>
        <v>N/A</v>
      </c>
      <c r="G675" s="92">
        <f>IFERROR(__xludf.DUMMYFUNCTION("""COMPUTED_VALUE"""),70.9341330184806)</f>
        <v>70.93413302</v>
      </c>
    </row>
    <row r="676">
      <c r="A676" s="30" t="str">
        <f>IFERROR(__xludf.DUMMYFUNCTION("""COMPUTED_VALUE"""),"RSC007893")</f>
        <v>RSC007893</v>
      </c>
      <c r="B676" s="30" t="str">
        <f>IFERROR(__xludf.DUMMYFUNCTION("""COMPUTED_VALUE"""),"solar722")</f>
        <v>solar722</v>
      </c>
      <c r="C676" s="30" t="str">
        <f>IFERROR(__xludf.DUMMYFUNCTION("""COMPUTED_VALUE"""),"Master")</f>
        <v>Master</v>
      </c>
      <c r="D676" s="30" t="str">
        <f>IFERROR(__xludf.DUMMYFUNCTION("""COMPUTED_VALUE"""),"Fromunda Frauds
Plinko
Phantom Phreaks")</f>
        <v>Fromunda Frauds
Plinko
Phantom Phreaks</v>
      </c>
      <c r="E676" s="30" t="str">
        <f>IFERROR(__xludf.DUMMYFUNCTION("""COMPUTED_VALUE"""),"Cheese Guild
Never Lucky
Ghoul School")</f>
        <v>Cheese Guild
Never Lucky
Ghoul School</v>
      </c>
      <c r="F676" s="30" t="str">
        <f>IFERROR(__xludf.DUMMYFUNCTION("""COMPUTED_VALUE"""),"N/A")</f>
        <v>N/A</v>
      </c>
      <c r="G676" s="92">
        <f>IFERROR(__xludf.DUMMYFUNCTION("""COMPUTED_VALUE"""),67.91343904971414)</f>
        <v>67.91343905</v>
      </c>
    </row>
    <row r="677">
      <c r="A677" s="30" t="str">
        <f>IFERROR(__xludf.DUMMYFUNCTION("""COMPUTED_VALUE"""),"RSC007106")</f>
        <v>RSC007106</v>
      </c>
      <c r="B677" s="30" t="str">
        <f>IFERROR(__xludf.DUMMYFUNCTION("""COMPUTED_VALUE"""),"Sim")</f>
        <v>Sim</v>
      </c>
      <c r="C677" s="30" t="str">
        <f>IFERROR(__xludf.DUMMYFUNCTION("""COMPUTED_VALUE"""),"Master")</f>
        <v>Master</v>
      </c>
      <c r="D677" s="30" t="str">
        <f>IFERROR(__xludf.DUMMYFUNCTION("""COMPUTED_VALUE"""),"Oblivion
Tempests")</f>
        <v>Oblivion
Tempests</v>
      </c>
      <c r="E677" s="30" t="str">
        <f>IFERROR(__xludf.DUMMYFUNCTION("""COMPUTED_VALUE"""),"Event Horizon
Storm")</f>
        <v>Event Horizon
Storm</v>
      </c>
      <c r="F677" s="30" t="str">
        <f>IFERROR(__xludf.DUMMYFUNCTION("""COMPUTED_VALUE"""),"N/A")</f>
        <v>N/A</v>
      </c>
      <c r="G677" s="92">
        <f>IFERROR(__xludf.DUMMYFUNCTION("""COMPUTED_VALUE"""),58.091355783587936)</f>
        <v>58.09135578</v>
      </c>
    </row>
    <row r="678">
      <c r="A678" s="30" t="str">
        <f>IFERROR(__xludf.DUMMYFUNCTION("""COMPUTED_VALUE"""),"RSC005690")</f>
        <v>RSC005690</v>
      </c>
      <c r="B678" s="30" t="str">
        <f>IFERROR(__xludf.DUMMYFUNCTION("""COMPUTED_VALUE"""),"DQ.")</f>
        <v>DQ.</v>
      </c>
      <c r="C678" s="30" t="str">
        <f>IFERROR(__xludf.DUMMYFUNCTION("""COMPUTED_VALUE"""),"Master")</f>
        <v>Master</v>
      </c>
      <c r="D678" s="30" t="str">
        <f>IFERROR(__xludf.DUMMYFUNCTION("""COMPUTED_VALUE"""),"Kawaii
Tempests")</f>
        <v>Kawaii
Tempests</v>
      </c>
      <c r="E678" s="30" t="str">
        <f>IFERROR(__xludf.DUMMYFUNCTION("""COMPUTED_VALUE"""),"The Pit
Storm")</f>
        <v>The Pit
Storm</v>
      </c>
      <c r="F678" s="30" t="str">
        <f>IFERROR(__xludf.DUMMYFUNCTION("""COMPUTED_VALUE"""),"N/A")</f>
        <v>N/A</v>
      </c>
      <c r="G678" s="92">
        <f>IFERROR(__xludf.DUMMYFUNCTION("""COMPUTED_VALUE"""),43.573272553805424)</f>
        <v>43.57327255</v>
      </c>
    </row>
    <row r="679">
      <c r="A679" s="30" t="str">
        <f>IFERROR(__xludf.DUMMYFUNCTION("""COMPUTED_VALUE"""),"RSC002490")</f>
        <v>RSC002490</v>
      </c>
      <c r="B679" s="30" t="str">
        <f>IFERROR(__xludf.DUMMYFUNCTION("""COMPUTED_VALUE"""),"alexis bexas")</f>
        <v>alexis bexas</v>
      </c>
      <c r="C679" s="30" t="str">
        <f>IFERROR(__xludf.DUMMYFUNCTION("""COMPUTED_VALUE"""),"Master")</f>
        <v>Master</v>
      </c>
      <c r="D679" s="30" t="str">
        <f>IFERROR(__xludf.DUMMYFUNCTION("""COMPUTED_VALUE"""),"Tempests")</f>
        <v>Tempests</v>
      </c>
      <c r="E679" s="30" t="str">
        <f>IFERROR(__xludf.DUMMYFUNCTION("""COMPUTED_VALUE"""),"Storm")</f>
        <v>Storm</v>
      </c>
      <c r="F679" s="30" t="str">
        <f>IFERROR(__xludf.DUMMYFUNCTION("""COMPUTED_VALUE"""),"N/A")</f>
        <v>N/A</v>
      </c>
      <c r="G679" s="92">
        <f>IFERROR(__xludf.DUMMYFUNCTION("""COMPUTED_VALUE"""),55.61504995154294)</f>
        <v>55.61504995</v>
      </c>
    </row>
    <row r="680">
      <c r="A680" s="30" t="str">
        <f>IFERROR(__xludf.DUMMYFUNCTION("""COMPUTED_VALUE"""),"RSC007558")</f>
        <v>RSC007558</v>
      </c>
      <c r="B680" s="30" t="str">
        <f>IFERROR(__xludf.DUMMYFUNCTION("""COMPUTED_VALUE"""),"Frijole")</f>
        <v>Frijole</v>
      </c>
      <c r="C680" s="30" t="str">
        <f>IFERROR(__xludf.DUMMYFUNCTION("""COMPUTED_VALUE"""),"Master")</f>
        <v>Master</v>
      </c>
      <c r="D680" s="30" t="str">
        <f>IFERROR(__xludf.DUMMYFUNCTION("""COMPUTED_VALUE"""),"Fromunda Frauds")</f>
        <v>Fromunda Frauds</v>
      </c>
      <c r="E680" s="30" t="str">
        <f>IFERROR(__xludf.DUMMYFUNCTION("""COMPUTED_VALUE"""),"Cheese Guild")</f>
        <v>Cheese Guild</v>
      </c>
      <c r="F680" s="30" t="str">
        <f>IFERROR(__xludf.DUMMYFUNCTION("""COMPUTED_VALUE"""),"N/A")</f>
        <v>N/A</v>
      </c>
      <c r="G680" s="92">
        <f>IFERROR(__xludf.DUMMYFUNCTION("""COMPUTED_VALUE"""),33.995064773314944)</f>
        <v>33.99506477</v>
      </c>
    </row>
    <row r="681">
      <c r="A681" s="30" t="str">
        <f>IFERROR(__xludf.DUMMYFUNCTION("""COMPUTED_VALUE"""),"RSC007244")</f>
        <v>RSC007244</v>
      </c>
      <c r="B681" s="30" t="str">
        <f>IFERROR(__xludf.DUMMYFUNCTION("""COMPUTED_VALUE"""),"Joxtrot")</f>
        <v>Joxtrot</v>
      </c>
      <c r="C681" s="30" t="str">
        <f>IFERROR(__xludf.DUMMYFUNCTION("""COMPUTED_VALUE"""),"Master")</f>
        <v>Master</v>
      </c>
      <c r="D681" s="30" t="str">
        <f>IFERROR(__xludf.DUMMYFUNCTION("""COMPUTED_VALUE"""),"Fromunda Frauds")</f>
        <v>Fromunda Frauds</v>
      </c>
      <c r="E681" s="30" t="str">
        <f>IFERROR(__xludf.DUMMYFUNCTION("""COMPUTED_VALUE"""),"Cheese Guild")</f>
        <v>Cheese Guild</v>
      </c>
      <c r="F681" s="30" t="str">
        <f>IFERROR(__xludf.DUMMYFUNCTION("""COMPUTED_VALUE"""),"N/A")</f>
        <v>N/A</v>
      </c>
      <c r="G681" s="92">
        <f>IFERROR(__xludf.DUMMYFUNCTION("""COMPUTED_VALUE"""),52.427374800657724)</f>
        <v>52.4273748</v>
      </c>
    </row>
    <row r="682">
      <c r="A682" s="30" t="str">
        <f>IFERROR(__xludf.DUMMYFUNCTION("""COMPUTED_VALUE"""),"RSC000241")</f>
        <v>RSC000241</v>
      </c>
      <c r="B682" s="30" t="str">
        <f>IFERROR(__xludf.DUMMYFUNCTION("""COMPUTED_VALUE"""),"Geherpaderp")</f>
        <v>Geherpaderp</v>
      </c>
      <c r="C682" s="30" t="str">
        <f>IFERROR(__xludf.DUMMYFUNCTION("""COMPUTED_VALUE"""),"Master")</f>
        <v>Master</v>
      </c>
      <c r="D682" s="30" t="str">
        <f>IFERROR(__xludf.DUMMYFUNCTION("""COMPUTED_VALUE"""),"Fromunda Frauds")</f>
        <v>Fromunda Frauds</v>
      </c>
      <c r="E682" s="30" t="str">
        <f>IFERROR(__xludf.DUMMYFUNCTION("""COMPUTED_VALUE"""),"Cheese Guild")</f>
        <v>Cheese Guild</v>
      </c>
      <c r="F682" s="30" t="str">
        <f>IFERROR(__xludf.DUMMYFUNCTION("""COMPUTED_VALUE"""),"N/A")</f>
        <v>N/A</v>
      </c>
      <c r="G682" s="92">
        <f>IFERROR(__xludf.DUMMYFUNCTION("""COMPUTED_VALUE"""),52.76142222038048)</f>
        <v>52.76142222</v>
      </c>
    </row>
    <row r="683">
      <c r="A683" s="30" t="str">
        <f>IFERROR(__xludf.DUMMYFUNCTION("""COMPUTED_VALUE"""),"RSC002500")</f>
        <v>RSC002500</v>
      </c>
      <c r="B683" s="30" t="str">
        <f>IFERROR(__xludf.DUMMYFUNCTION("""COMPUTED_VALUE"""),"kalten")</f>
        <v>kalten</v>
      </c>
      <c r="C683" s="30" t="str">
        <f>IFERROR(__xludf.DUMMYFUNCTION("""COMPUTED_VALUE"""),"Master")</f>
        <v>Master</v>
      </c>
      <c r="D683" s="30" t="str">
        <f>IFERROR(__xludf.DUMMYFUNCTION("""COMPUTED_VALUE"""),"Heinous Henchmen")</f>
        <v>Heinous Henchmen</v>
      </c>
      <c r="E683" s="30" t="str">
        <f>IFERROR(__xludf.DUMMYFUNCTION("""COMPUTED_VALUE"""),"The Syndicate")</f>
        <v>The Syndicate</v>
      </c>
      <c r="F683" s="30" t="str">
        <f>IFERROR(__xludf.DUMMYFUNCTION("""COMPUTED_VALUE"""),"N/A")</f>
        <v>N/A</v>
      </c>
      <c r="G683" s="92">
        <f>IFERROR(__xludf.DUMMYFUNCTION("""COMPUTED_VALUE"""),24.836322475464108)</f>
        <v>24.83632248</v>
      </c>
    </row>
    <row r="684">
      <c r="A684" s="30" t="str">
        <f>IFERROR(__xludf.DUMMYFUNCTION("""COMPUTED_VALUE"""),"RSC005349")</f>
        <v>RSC005349</v>
      </c>
      <c r="B684" s="30" t="str">
        <f>IFERROR(__xludf.DUMMYFUNCTION("""COMPUTED_VALUE"""),"Rzemb1e")</f>
        <v>Rzemb1e</v>
      </c>
      <c r="C684" s="30" t="str">
        <f>IFERROR(__xludf.DUMMYFUNCTION("""COMPUTED_VALUE"""),"Master")</f>
        <v>Master</v>
      </c>
      <c r="D684" s="30" t="str">
        <f>IFERROR(__xludf.DUMMYFUNCTION("""COMPUTED_VALUE"""),"Heinous Henchmen")</f>
        <v>Heinous Henchmen</v>
      </c>
      <c r="E684" s="30" t="str">
        <f>IFERROR(__xludf.DUMMYFUNCTION("""COMPUTED_VALUE"""),"The Syndicate")</f>
        <v>The Syndicate</v>
      </c>
      <c r="F684" s="30" t="str">
        <f>IFERROR(__xludf.DUMMYFUNCTION("""COMPUTED_VALUE"""),"N/A")</f>
        <v>N/A</v>
      </c>
      <c r="G684" s="92">
        <f>IFERROR(__xludf.DUMMYFUNCTION("""COMPUTED_VALUE"""),48.67567268671587)</f>
        <v>48.67567269</v>
      </c>
    </row>
    <row r="685">
      <c r="A685" s="30" t="str">
        <f>IFERROR(__xludf.DUMMYFUNCTION("""COMPUTED_VALUE"""),"RSC000839")</f>
        <v>RSC000839</v>
      </c>
      <c r="B685" s="30" t="str">
        <f>IFERROR(__xludf.DUMMYFUNCTION("""COMPUTED_VALUE"""),"p0larbear")</f>
        <v>p0larbear</v>
      </c>
      <c r="C685" s="30" t="str">
        <f>IFERROR(__xludf.DUMMYFUNCTION("""COMPUTED_VALUE"""),"Master")</f>
        <v>Master</v>
      </c>
      <c r="D685" s="30" t="str">
        <f>IFERROR(__xludf.DUMMYFUNCTION("""COMPUTED_VALUE"""),"Heinous Henchmen")</f>
        <v>Heinous Henchmen</v>
      </c>
      <c r="E685" s="30" t="str">
        <f>IFERROR(__xludf.DUMMYFUNCTION("""COMPUTED_VALUE"""),"The Syndicate")</f>
        <v>The Syndicate</v>
      </c>
      <c r="F685" s="30" t="str">
        <f>IFERROR(__xludf.DUMMYFUNCTION("""COMPUTED_VALUE"""),"N/A")</f>
        <v>N/A</v>
      </c>
      <c r="G685" s="92">
        <f>IFERROR(__xludf.DUMMYFUNCTION("""COMPUTED_VALUE"""),49.114699636211355)</f>
        <v>49.11469964</v>
      </c>
    </row>
    <row r="686">
      <c r="A686" s="30" t="str">
        <f>IFERROR(__xludf.DUMMYFUNCTION("""COMPUTED_VALUE"""),"RSC006087")</f>
        <v>RSC006087</v>
      </c>
      <c r="B686" s="30" t="str">
        <f>IFERROR(__xludf.DUMMYFUNCTION("""COMPUTED_VALUE"""),"DoorTK")</f>
        <v>DoorTK</v>
      </c>
      <c r="C686" s="30" t="str">
        <f>IFERROR(__xludf.DUMMYFUNCTION("""COMPUTED_VALUE"""),"Master")</f>
        <v>Master</v>
      </c>
      <c r="D686" s="30" t="str">
        <f>IFERROR(__xludf.DUMMYFUNCTION("""COMPUTED_VALUE"""),"Lemurs")</f>
        <v>Lemurs</v>
      </c>
      <c r="E686" s="30" t="str">
        <f>IFERROR(__xludf.DUMMYFUNCTION("""COMPUTED_VALUE"""),"The Jungle")</f>
        <v>The Jungle</v>
      </c>
      <c r="F686" s="30" t="str">
        <f>IFERROR(__xludf.DUMMYFUNCTION("""COMPUTED_VALUE"""),"N/A")</f>
        <v>N/A</v>
      </c>
      <c r="G686" s="92">
        <f>IFERROR(__xludf.DUMMYFUNCTION("""COMPUTED_VALUE"""),30.113331172232407)</f>
        <v>30.11333117</v>
      </c>
    </row>
    <row r="687">
      <c r="A687" s="30" t="str">
        <f>IFERROR(__xludf.DUMMYFUNCTION("""COMPUTED_VALUE"""),"RSC004575")</f>
        <v>RSC004575</v>
      </c>
      <c r="B687" s="30" t="str">
        <f>IFERROR(__xludf.DUMMYFUNCTION("""COMPUTED_VALUE"""),"Diamond ^.^")</f>
        <v>Diamond ^.^</v>
      </c>
      <c r="C687" s="30" t="str">
        <f>IFERROR(__xludf.DUMMYFUNCTION("""COMPUTED_VALUE"""),"Master")</f>
        <v>Master</v>
      </c>
      <c r="D687" s="30" t="str">
        <f>IFERROR(__xludf.DUMMYFUNCTION("""COMPUTED_VALUE"""),"Lemurs")</f>
        <v>Lemurs</v>
      </c>
      <c r="E687" s="30" t="str">
        <f>IFERROR(__xludf.DUMMYFUNCTION("""COMPUTED_VALUE"""),"The Jungle")</f>
        <v>The Jungle</v>
      </c>
      <c r="F687" s="30" t="str">
        <f>IFERROR(__xludf.DUMMYFUNCTION("""COMPUTED_VALUE"""),"N/A")</f>
        <v>N/A</v>
      </c>
      <c r="G687" s="92">
        <f>IFERROR(__xludf.DUMMYFUNCTION("""COMPUTED_VALUE"""),71.92845909291384)</f>
        <v>71.92845909</v>
      </c>
    </row>
    <row r="688">
      <c r="A688" s="30" t="str">
        <f>IFERROR(__xludf.DUMMYFUNCTION("""COMPUTED_VALUE"""),"RSC000232")</f>
        <v>RSC000232</v>
      </c>
      <c r="B688" s="30" t="str">
        <f>IFERROR(__xludf.DUMMYFUNCTION("""COMPUTED_VALUE"""),"Unexpected")</f>
        <v>Unexpected</v>
      </c>
      <c r="C688" s="30" t="str">
        <f>IFERROR(__xludf.DUMMYFUNCTION("""COMPUTED_VALUE"""),"Master")</f>
        <v>Master</v>
      </c>
      <c r="D688" s="30" t="str">
        <f>IFERROR(__xludf.DUMMYFUNCTION("""COMPUTED_VALUE"""),"Lemurs")</f>
        <v>Lemurs</v>
      </c>
      <c r="E688" s="30" t="str">
        <f>IFERROR(__xludf.DUMMYFUNCTION("""COMPUTED_VALUE"""),"The Jungle")</f>
        <v>The Jungle</v>
      </c>
      <c r="F688" s="30" t="str">
        <f>IFERROR(__xludf.DUMMYFUNCTION("""COMPUTED_VALUE"""),"N/A")</f>
        <v>N/A</v>
      </c>
      <c r="G688" s="92">
        <f>IFERROR(__xludf.DUMMYFUNCTION("""COMPUTED_VALUE"""),38.60625201220878)</f>
        <v>38.60625201</v>
      </c>
    </row>
    <row r="689">
      <c r="A689" s="30" t="str">
        <f>IFERROR(__xludf.DUMMYFUNCTION("""COMPUTED_VALUE"""),"RSC007853")</f>
        <v>RSC007853</v>
      </c>
      <c r="B689" s="30" t="str">
        <f>IFERROR(__xludf.DUMMYFUNCTION("""COMPUTED_VALUE"""),"jun1o4.")</f>
        <v>jun1o4.</v>
      </c>
      <c r="C689" s="30" t="str">
        <f>IFERROR(__xludf.DUMMYFUNCTION("""COMPUTED_VALUE"""),"Master")</f>
        <v>Master</v>
      </c>
      <c r="D689" s="30" t="str">
        <f>IFERROR(__xludf.DUMMYFUNCTION("""COMPUTED_VALUE"""),"Kawaii")</f>
        <v>Kawaii</v>
      </c>
      <c r="E689" s="30" t="str">
        <f>IFERROR(__xludf.DUMMYFUNCTION("""COMPUTED_VALUE"""),"The Pit")</f>
        <v>The Pit</v>
      </c>
      <c r="F689" s="30" t="str">
        <f>IFERROR(__xludf.DUMMYFUNCTION("""COMPUTED_VALUE"""),"N/A")</f>
        <v>N/A</v>
      </c>
      <c r="G689" s="92">
        <f>IFERROR(__xludf.DUMMYFUNCTION("""COMPUTED_VALUE"""),-4.663634808904781)</f>
        <v>-4.663634809</v>
      </c>
    </row>
    <row r="690">
      <c r="A690" s="30" t="str">
        <f>IFERROR(__xludf.DUMMYFUNCTION("""COMPUTED_VALUE"""),"RSC007809")</f>
        <v>RSC007809</v>
      </c>
      <c r="B690" s="30" t="str">
        <f>IFERROR(__xludf.DUMMYFUNCTION("""COMPUTED_VALUE"""),"wndr")</f>
        <v>wndr</v>
      </c>
      <c r="C690" s="30" t="str">
        <f>IFERROR(__xludf.DUMMYFUNCTION("""COMPUTED_VALUE"""),"Master")</f>
        <v>Master</v>
      </c>
      <c r="D690" s="30" t="str">
        <f>IFERROR(__xludf.DUMMYFUNCTION("""COMPUTED_VALUE"""),"Basilisks")</f>
        <v>Basilisks</v>
      </c>
      <c r="E690" s="30" t="str">
        <f>IFERROR(__xludf.DUMMYFUNCTION("""COMPUTED_VALUE"""),"The Forest")</f>
        <v>The Forest</v>
      </c>
      <c r="F690" s="30" t="str">
        <f>IFERROR(__xludf.DUMMYFUNCTION("""COMPUTED_VALUE"""),"N/A")</f>
        <v>N/A</v>
      </c>
      <c r="G690" s="92">
        <f>IFERROR(__xludf.DUMMYFUNCTION("""COMPUTED_VALUE"""),34.50623167605059)</f>
        <v>34.50623168</v>
      </c>
    </row>
    <row r="691">
      <c r="A691" s="30" t="str">
        <f>IFERROR(__xludf.DUMMYFUNCTION("""COMPUTED_VALUE"""),"RSC003801")</f>
        <v>RSC003801</v>
      </c>
      <c r="B691" s="30" t="str">
        <f>IFERROR(__xludf.DUMMYFUNCTION("""COMPUTED_VALUE"""),"veil._")</f>
        <v>veil._</v>
      </c>
      <c r="C691" s="30" t="str">
        <f>IFERROR(__xludf.DUMMYFUNCTION("""COMPUTED_VALUE"""),"Master")</f>
        <v>Master</v>
      </c>
      <c r="D691" s="30" t="str">
        <f>IFERROR(__xludf.DUMMYFUNCTION("""COMPUTED_VALUE"""),"Basilisks")</f>
        <v>Basilisks</v>
      </c>
      <c r="E691" s="30" t="str">
        <f>IFERROR(__xludf.DUMMYFUNCTION("""COMPUTED_VALUE"""),"The Forest")</f>
        <v>The Forest</v>
      </c>
      <c r="F691" s="30" t="str">
        <f>IFERROR(__xludf.DUMMYFUNCTION("""COMPUTED_VALUE"""),"N/A")</f>
        <v>N/A</v>
      </c>
      <c r="G691" s="92">
        <f>IFERROR(__xludf.DUMMYFUNCTION("""COMPUTED_VALUE"""),20.620685962160433)</f>
        <v>20.62068596</v>
      </c>
    </row>
    <row r="692">
      <c r="A692" s="30" t="str">
        <f>IFERROR(__xludf.DUMMYFUNCTION("""COMPUTED_VALUE"""),"RSC006889")</f>
        <v>RSC006889</v>
      </c>
      <c r="B692" s="30" t="str">
        <f>IFERROR(__xludf.DUMMYFUNCTION("""COMPUTED_VALUE"""),"Jay")</f>
        <v>Jay</v>
      </c>
      <c r="C692" s="30" t="str">
        <f>IFERROR(__xludf.DUMMYFUNCTION("""COMPUTED_VALUE"""),"Master")</f>
        <v>Master</v>
      </c>
      <c r="D692" s="30" t="str">
        <f>IFERROR(__xludf.DUMMYFUNCTION("""COMPUTED_VALUE"""),"Basilisks")</f>
        <v>Basilisks</v>
      </c>
      <c r="E692" s="30" t="str">
        <f>IFERROR(__xludf.DUMMYFUNCTION("""COMPUTED_VALUE"""),"The Forest")</f>
        <v>The Forest</v>
      </c>
      <c r="F692" s="30" t="str">
        <f>IFERROR(__xludf.DUMMYFUNCTION("""COMPUTED_VALUE"""),"N/A")</f>
        <v>N/A</v>
      </c>
      <c r="G692" s="92">
        <f>IFERROR(__xludf.DUMMYFUNCTION("""COMPUTED_VALUE"""),86.03642335948979)</f>
        <v>86.03642336</v>
      </c>
    </row>
    <row r="693">
      <c r="A693" s="30" t="str">
        <f>IFERROR(__xludf.DUMMYFUNCTION("""COMPUTED_VALUE"""),"RSC003323")</f>
        <v>RSC003323</v>
      </c>
      <c r="B693" s="30" t="str">
        <f>IFERROR(__xludf.DUMMYFUNCTION("""COMPUTED_VALUE"""),"Boog McCroog")</f>
        <v>Boog McCroog</v>
      </c>
      <c r="C693" s="30" t="str">
        <f>IFERROR(__xludf.DUMMYFUNCTION("""COMPUTED_VALUE"""),"Master")</f>
        <v>Master</v>
      </c>
      <c r="D693" s="30" t="str">
        <f>IFERROR(__xludf.DUMMYFUNCTION("""COMPUTED_VALUE"""),"Hard Hats")</f>
        <v>Hard Hats</v>
      </c>
      <c r="E693" s="30" t="str">
        <f>IFERROR(__xludf.DUMMYFUNCTION("""COMPUTED_VALUE"""),"Road Work Ahead")</f>
        <v>Road Work Ahead</v>
      </c>
      <c r="F693" s="30" t="str">
        <f>IFERROR(__xludf.DUMMYFUNCTION("""COMPUTED_VALUE"""),"N/A")</f>
        <v>N/A</v>
      </c>
      <c r="G693" s="92">
        <f>IFERROR(__xludf.DUMMYFUNCTION("""COMPUTED_VALUE"""),19.573077837846153)</f>
        <v>19.57307784</v>
      </c>
    </row>
    <row r="694">
      <c r="A694" s="30" t="str">
        <f>IFERROR(__xludf.DUMMYFUNCTION("""COMPUTED_VALUE"""),"RSC005183")</f>
        <v>RSC005183</v>
      </c>
      <c r="B694" s="30" t="str">
        <f>IFERROR(__xludf.DUMMYFUNCTION("""COMPUTED_VALUE"""),"Kagura.")</f>
        <v>Kagura.</v>
      </c>
      <c r="C694" s="30" t="str">
        <f>IFERROR(__xludf.DUMMYFUNCTION("""COMPUTED_VALUE"""),"Master")</f>
        <v>Master</v>
      </c>
      <c r="D694" s="30" t="str">
        <f>IFERROR(__xludf.DUMMYFUNCTION("""COMPUTED_VALUE"""),"Phantom Phreaks
Hard Hats")</f>
        <v>Phantom Phreaks
Hard Hats</v>
      </c>
      <c r="E694" s="30" t="str">
        <f>IFERROR(__xludf.DUMMYFUNCTION("""COMPUTED_VALUE"""),"Ghoul School
Road Work Ahead")</f>
        <v>Ghoul School
Road Work Ahead</v>
      </c>
      <c r="F694" s="30" t="str">
        <f>IFERROR(__xludf.DUMMYFUNCTION("""COMPUTED_VALUE"""),"N/A")</f>
        <v>N/A</v>
      </c>
      <c r="G694" s="92">
        <f>IFERROR(__xludf.DUMMYFUNCTION("""COMPUTED_VALUE"""),60.16741313982004)</f>
        <v>60.16741314</v>
      </c>
    </row>
    <row r="695">
      <c r="A695" s="30" t="str">
        <f>IFERROR(__xludf.DUMMYFUNCTION("""COMPUTED_VALUE"""),"RSC003728")</f>
        <v>RSC003728</v>
      </c>
      <c r="B695" s="30" t="str">
        <f>IFERROR(__xludf.DUMMYFUNCTION("""COMPUTED_VALUE"""),"yy")</f>
        <v>yy</v>
      </c>
      <c r="C695" s="30" t="str">
        <f>IFERROR(__xludf.DUMMYFUNCTION("""COMPUTED_VALUE"""),"Master")</f>
        <v>Master</v>
      </c>
      <c r="D695" s="30" t="str">
        <f>IFERROR(__xludf.DUMMYFUNCTION("""COMPUTED_VALUE"""),"Kawaii
Hard Hats")</f>
        <v>Kawaii
Hard Hats</v>
      </c>
      <c r="E695" s="30" t="str">
        <f>IFERROR(__xludf.DUMMYFUNCTION("""COMPUTED_VALUE"""),"The Pit
Road Work Ahead")</f>
        <v>The Pit
Road Work Ahead</v>
      </c>
      <c r="F695" s="30" t="str">
        <f>IFERROR(__xludf.DUMMYFUNCTION("""COMPUTED_VALUE"""),"N/A")</f>
        <v>N/A</v>
      </c>
      <c r="G695" s="92">
        <f>IFERROR(__xludf.DUMMYFUNCTION("""COMPUTED_VALUE"""),48.183617341141144)</f>
        <v>48.18361734</v>
      </c>
    </row>
    <row r="696">
      <c r="A696" s="30" t="str">
        <f>IFERROR(__xludf.DUMMYFUNCTION("""COMPUTED_VALUE"""),"RSC002888")</f>
        <v>RSC002888</v>
      </c>
      <c r="B696" s="30" t="str">
        <f>IFERROR(__xludf.DUMMYFUNCTION("""COMPUTED_VALUE"""),"kri0s")</f>
        <v>kri0s</v>
      </c>
      <c r="C696" s="30" t="str">
        <f>IFERROR(__xludf.DUMMYFUNCTION("""COMPUTED_VALUE"""),"Master")</f>
        <v>Master</v>
      </c>
      <c r="D696" s="30" t="str">
        <f>IFERROR(__xludf.DUMMYFUNCTION("""COMPUTED_VALUE"""),"Basilisks")</f>
        <v>Basilisks</v>
      </c>
      <c r="E696" s="30" t="str">
        <f>IFERROR(__xludf.DUMMYFUNCTION("""COMPUTED_VALUE"""),"The Forest")</f>
        <v>The Forest</v>
      </c>
      <c r="F696" s="30" t="str">
        <f>IFERROR(__xludf.DUMMYFUNCTION("""COMPUTED_VALUE"""),"N/A")</f>
        <v>N/A</v>
      </c>
      <c r="G696" s="92">
        <f>IFERROR(__xludf.DUMMYFUNCTION("""COMPUTED_VALUE"""),43.911671039872516)</f>
        <v>43.91167104</v>
      </c>
    </row>
    <row r="697">
      <c r="A697" s="30" t="str">
        <f>IFERROR(__xludf.DUMMYFUNCTION("""COMPUTED_VALUE"""),"RSC000777")</f>
        <v>RSC000777</v>
      </c>
      <c r="B697" s="30" t="str">
        <f>IFERROR(__xludf.DUMMYFUNCTION("""COMPUTED_VALUE"""),"Marcus.")</f>
        <v>Marcus.</v>
      </c>
      <c r="C697" s="30" t="str">
        <f>IFERROR(__xludf.DUMMYFUNCTION("""COMPUTED_VALUE"""),"Master")</f>
        <v>Master</v>
      </c>
      <c r="D697" s="30" t="str">
        <f>IFERROR(__xludf.DUMMYFUNCTION("""COMPUTED_VALUE"""),"Care Bears")</f>
        <v>Care Bears</v>
      </c>
      <c r="E697" s="30" t="str">
        <f>IFERROR(__xludf.DUMMYFUNCTION("""COMPUTED_VALUE"""),"The Bear Den")</f>
        <v>The Bear Den</v>
      </c>
      <c r="F697" s="30" t="str">
        <f>IFERROR(__xludf.DUMMYFUNCTION("""COMPUTED_VALUE"""),"N/A")</f>
        <v>N/A</v>
      </c>
      <c r="G697" s="92">
        <f>IFERROR(__xludf.DUMMYFUNCTION("""COMPUTED_VALUE"""),-1.2398377880631841)</f>
        <v>-1.239837788</v>
      </c>
    </row>
    <row r="698">
      <c r="A698" s="30" t="str">
        <f>IFERROR(__xludf.DUMMYFUNCTION("""COMPUTED_VALUE"""),"RSC002050")</f>
        <v>RSC002050</v>
      </c>
      <c r="B698" s="30" t="str">
        <f>IFERROR(__xludf.DUMMYFUNCTION("""COMPUTED_VALUE"""),"Goobz")</f>
        <v>Goobz</v>
      </c>
      <c r="C698" s="30" t="str">
        <f>IFERROR(__xludf.DUMMYFUNCTION("""COMPUTED_VALUE"""),"Master")</f>
        <v>Master</v>
      </c>
      <c r="D698" s="30" t="str">
        <f>IFERROR(__xludf.DUMMYFUNCTION("""COMPUTED_VALUE"""),"Plinko")</f>
        <v>Plinko</v>
      </c>
      <c r="E698" s="30" t="str">
        <f>IFERROR(__xludf.DUMMYFUNCTION("""COMPUTED_VALUE"""),"Never Lucky")</f>
        <v>Never Lucky</v>
      </c>
      <c r="F698" s="30" t="str">
        <f>IFERROR(__xludf.DUMMYFUNCTION("""COMPUTED_VALUE"""),"N/A")</f>
        <v>N/A</v>
      </c>
      <c r="G698" s="92">
        <f>IFERROR(__xludf.DUMMYFUNCTION("""COMPUTED_VALUE"""),32.819449801439006)</f>
        <v>32.8194498</v>
      </c>
    </row>
    <row r="699">
      <c r="A699" s="30" t="str">
        <f>IFERROR(__xludf.DUMMYFUNCTION("""COMPUTED_VALUE"""),"RSC001903")</f>
        <v>RSC001903</v>
      </c>
      <c r="B699" s="30" t="str">
        <f>IFERROR(__xludf.DUMMYFUNCTION("""COMPUTED_VALUE"""),"Plasma")</f>
        <v>Plasma</v>
      </c>
      <c r="C699" s="30" t="str">
        <f>IFERROR(__xludf.DUMMYFUNCTION("""COMPUTED_VALUE"""),"Master")</f>
        <v>Master</v>
      </c>
      <c r="D699" s="30" t="str">
        <f>IFERROR(__xludf.DUMMYFUNCTION("""COMPUTED_VALUE"""),"Spectres")</f>
        <v>Spectres</v>
      </c>
      <c r="E699" s="30" t="str">
        <f>IFERROR(__xludf.DUMMYFUNCTION("""COMPUTED_VALUE"""),"The Monster Mash")</f>
        <v>The Monster Mash</v>
      </c>
      <c r="F699" s="30" t="str">
        <f>IFERROR(__xludf.DUMMYFUNCTION("""COMPUTED_VALUE"""),"N/A")</f>
        <v>N/A</v>
      </c>
      <c r="G699" s="92">
        <f>IFERROR(__xludf.DUMMYFUNCTION("""COMPUTED_VALUE"""),18.32271704494391)</f>
        <v>18.32271704</v>
      </c>
    </row>
    <row r="700">
      <c r="A700" s="30" t="str">
        <f>IFERROR(__xludf.DUMMYFUNCTION("""COMPUTED_VALUE"""),"RSC004730")</f>
        <v>RSC004730</v>
      </c>
      <c r="B700" s="30" t="str">
        <f>IFERROR(__xludf.DUMMYFUNCTION("""COMPUTED_VALUE"""),"SgtPickle")</f>
        <v>SgtPickle</v>
      </c>
      <c r="C700" s="30" t="str">
        <f>IFERROR(__xludf.DUMMYFUNCTION("""COMPUTED_VALUE"""),"Master")</f>
        <v>Master</v>
      </c>
      <c r="D700" s="30" t="str">
        <f>IFERROR(__xludf.DUMMYFUNCTION("""COMPUTED_VALUE"""),"Lemurs")</f>
        <v>Lemurs</v>
      </c>
      <c r="E700" s="30" t="str">
        <f>IFERROR(__xludf.DUMMYFUNCTION("""COMPUTED_VALUE"""),"The Jungle")</f>
        <v>The Jungle</v>
      </c>
      <c r="F700" s="30" t="str">
        <f>IFERROR(__xludf.DUMMYFUNCTION("""COMPUTED_VALUE"""),"N/A")</f>
        <v>N/A</v>
      </c>
      <c r="G700" s="92">
        <f>IFERROR(__xludf.DUMMYFUNCTION("""COMPUTED_VALUE"""),40.449554048045144)</f>
        <v>40.44955405</v>
      </c>
    </row>
    <row r="701">
      <c r="A701" s="30" t="str">
        <f>IFERROR(__xludf.DUMMYFUNCTION("""COMPUTED_VALUE"""),"RSC007466")</f>
        <v>RSC007466</v>
      </c>
      <c r="B701" s="30" t="str">
        <f>IFERROR(__xludf.DUMMYFUNCTION("""COMPUTED_VALUE"""),"Viiper :)")</f>
        <v>Viiper :)</v>
      </c>
      <c r="C701" s="30" t="str">
        <f>IFERROR(__xludf.DUMMYFUNCTION("""COMPUTED_VALUE"""),"Master")</f>
        <v>Master</v>
      </c>
      <c r="D701" s="30" t="str">
        <f>IFERROR(__xludf.DUMMYFUNCTION("""COMPUTED_VALUE"""),"Phantom Phreaks")</f>
        <v>Phantom Phreaks</v>
      </c>
      <c r="E701" s="30" t="str">
        <f>IFERROR(__xludf.DUMMYFUNCTION("""COMPUTED_VALUE"""),"Ghoul School")</f>
        <v>Ghoul School</v>
      </c>
      <c r="F701" s="30" t="str">
        <f>IFERROR(__xludf.DUMMYFUNCTION("""COMPUTED_VALUE"""),"N/A")</f>
        <v>N/A</v>
      </c>
      <c r="G701" s="92">
        <f>IFERROR(__xludf.DUMMYFUNCTION("""COMPUTED_VALUE"""),59.90747832899674)</f>
        <v>59.90747833</v>
      </c>
    </row>
    <row r="702">
      <c r="A702" s="30" t="str">
        <f>IFERROR(__xludf.DUMMYFUNCTION("""COMPUTED_VALUE"""),"RSC005499")</f>
        <v>RSC005499</v>
      </c>
      <c r="B702" s="30" t="str">
        <f>IFERROR(__xludf.DUMMYFUNCTION("""COMPUTED_VALUE"""),"R0cket")</f>
        <v>R0cket</v>
      </c>
      <c r="C702" s="30" t="str">
        <f>IFERROR(__xludf.DUMMYFUNCTION("""COMPUTED_VALUE"""),"Master")</f>
        <v>Master</v>
      </c>
      <c r="D702" s="30" t="str">
        <f>IFERROR(__xludf.DUMMYFUNCTION("""COMPUTED_VALUE"""),"Tempests
Helicoprions")</f>
        <v>Tempests
Helicoprions</v>
      </c>
      <c r="E702" s="30" t="str">
        <f>IFERROR(__xludf.DUMMYFUNCTION("""COMPUTED_VALUE"""),"Storm
Shark Attack")</f>
        <v>Storm
Shark Attack</v>
      </c>
      <c r="F702" s="30" t="str">
        <f>IFERROR(__xludf.DUMMYFUNCTION("""COMPUTED_VALUE"""),"N/A")</f>
        <v>N/A</v>
      </c>
      <c r="G702" s="92">
        <f>IFERROR(__xludf.DUMMYFUNCTION("""COMPUTED_VALUE"""),45.045579137039184)</f>
        <v>45.04557914</v>
      </c>
    </row>
    <row r="703">
      <c r="A703" s="30" t="str">
        <f>IFERROR(__xludf.DUMMYFUNCTION("""COMPUTED_VALUE"""),"RSC002862")</f>
        <v>RSC002862</v>
      </c>
      <c r="B703" s="30" t="str">
        <f>IFERROR(__xludf.DUMMYFUNCTION("""COMPUTED_VALUE"""),"Doodle!")</f>
        <v>Doodle!</v>
      </c>
      <c r="C703" s="30" t="str">
        <f>IFERROR(__xludf.DUMMYFUNCTION("""COMPUTED_VALUE"""),"Master")</f>
        <v>Master</v>
      </c>
      <c r="D703" s="30" t="str">
        <f>IFERROR(__xludf.DUMMYFUNCTION("""COMPUTED_VALUE"""),"The OG")</f>
        <v>The OG</v>
      </c>
      <c r="E703" s="30" t="str">
        <f>IFERROR(__xludf.DUMMYFUNCTION("""COMPUTED_VALUE"""),"The Hood")</f>
        <v>The Hood</v>
      </c>
      <c r="F703" s="30" t="str">
        <f>IFERROR(__xludf.DUMMYFUNCTION("""COMPUTED_VALUE"""),"N/A")</f>
        <v>N/A</v>
      </c>
      <c r="G703" s="92">
        <f>IFERROR(__xludf.DUMMYFUNCTION("""COMPUTED_VALUE"""),33.760130150228576)</f>
        <v>33.76013015</v>
      </c>
    </row>
    <row r="704">
      <c r="A704" s="30" t="str">
        <f>IFERROR(__xludf.DUMMYFUNCTION("""COMPUTED_VALUE"""),"RSC005234")</f>
        <v>RSC005234</v>
      </c>
      <c r="B704" s="30" t="str">
        <f>IFERROR(__xludf.DUMMYFUNCTION("""COMPUTED_VALUE"""),"Hirsch")</f>
        <v>Hirsch</v>
      </c>
      <c r="C704" s="30" t="str">
        <f>IFERROR(__xludf.DUMMYFUNCTION("""COMPUTED_VALUE"""),"Master")</f>
        <v>Master</v>
      </c>
      <c r="D704" s="30" t="str">
        <f>IFERROR(__xludf.DUMMYFUNCTION("""COMPUTED_VALUE"""),"The OG")</f>
        <v>The OG</v>
      </c>
      <c r="E704" s="30" t="str">
        <f>IFERROR(__xludf.DUMMYFUNCTION("""COMPUTED_VALUE"""),"The Hood")</f>
        <v>The Hood</v>
      </c>
      <c r="F704" s="30" t="str">
        <f>IFERROR(__xludf.DUMMYFUNCTION("""COMPUTED_VALUE"""),"N/A")</f>
        <v>N/A</v>
      </c>
      <c r="G704" s="92">
        <f>IFERROR(__xludf.DUMMYFUNCTION("""COMPUTED_VALUE"""),57.067322981133906)</f>
        <v>57.06732298</v>
      </c>
    </row>
    <row r="705">
      <c r="A705" s="30" t="str">
        <f>IFERROR(__xludf.DUMMYFUNCTION("""COMPUTED_VALUE"""),"RSC007997")</f>
        <v>RSC007997</v>
      </c>
      <c r="B705" s="30" t="str">
        <f>IFERROR(__xludf.DUMMYFUNCTION("""COMPUTED_VALUE"""),"dreamyrll")</f>
        <v>dreamyrll</v>
      </c>
      <c r="C705" s="30" t="str">
        <f>IFERROR(__xludf.DUMMYFUNCTION("""COMPUTED_VALUE"""),"Master")</f>
        <v>Master</v>
      </c>
      <c r="D705" s="30" t="str">
        <f>IFERROR(__xludf.DUMMYFUNCTION("""COMPUTED_VALUE"""),"The OG")</f>
        <v>The OG</v>
      </c>
      <c r="E705" s="30" t="str">
        <f>IFERROR(__xludf.DUMMYFUNCTION("""COMPUTED_VALUE"""),"The Hood")</f>
        <v>The Hood</v>
      </c>
      <c r="F705" s="30" t="str">
        <f>IFERROR(__xludf.DUMMYFUNCTION("""COMPUTED_VALUE"""),"N/A")</f>
        <v>N/A</v>
      </c>
      <c r="G705" s="92">
        <f>IFERROR(__xludf.DUMMYFUNCTION("""COMPUTED_VALUE"""),48.10087021931261)</f>
        <v>48.10087022</v>
      </c>
    </row>
    <row r="706">
      <c r="A706" s="30" t="str">
        <f>IFERROR(__xludf.DUMMYFUNCTION("""COMPUTED_VALUE"""),"RSC006985")</f>
        <v>RSC006985</v>
      </c>
      <c r="B706" s="30" t="str">
        <f>IFERROR(__xludf.DUMMYFUNCTION("""COMPUTED_VALUE"""),"not so jucy skep")</f>
        <v>not so jucy skep</v>
      </c>
      <c r="C706" s="30" t="str">
        <f>IFERROR(__xludf.DUMMYFUNCTION("""COMPUTED_VALUE"""),"Master")</f>
        <v>Master</v>
      </c>
      <c r="D706" s="30" t="str">
        <f>IFERROR(__xludf.DUMMYFUNCTION("""COMPUTED_VALUE"""),"Kawaii")</f>
        <v>Kawaii</v>
      </c>
      <c r="E706" s="30" t="str">
        <f>IFERROR(__xludf.DUMMYFUNCTION("""COMPUTED_VALUE"""),"The Pit")</f>
        <v>The Pit</v>
      </c>
      <c r="F706" s="30" t="str">
        <f>IFERROR(__xludf.DUMMYFUNCTION("""COMPUTED_VALUE"""),"N/A")</f>
        <v>N/A</v>
      </c>
      <c r="G706" s="92">
        <f>IFERROR(__xludf.DUMMYFUNCTION("""COMPUTED_VALUE"""),59.71975237057364)</f>
        <v>59.71975237</v>
      </c>
    </row>
    <row r="707">
      <c r="A707" s="30" t="str">
        <f>IFERROR(__xludf.DUMMYFUNCTION("""COMPUTED_VALUE"""),"RSC000021")</f>
        <v>RSC000021</v>
      </c>
      <c r="B707" s="30" t="str">
        <f>IFERROR(__xludf.DUMMYFUNCTION("""COMPUTED_VALUE"""),"TyTy")</f>
        <v>TyTy</v>
      </c>
      <c r="C707" s="30" t="str">
        <f>IFERROR(__xludf.DUMMYFUNCTION("""COMPUTED_VALUE"""),"Master")</f>
        <v>Master</v>
      </c>
      <c r="D707" s="30" t="str">
        <f>IFERROR(__xludf.DUMMYFUNCTION("""COMPUTED_VALUE"""),"Andromeda")</f>
        <v>Andromeda</v>
      </c>
      <c r="E707" s="30" t="str">
        <f>IFERROR(__xludf.DUMMYFUNCTION("""COMPUTED_VALUE"""),"The Cosmos")</f>
        <v>The Cosmos</v>
      </c>
      <c r="F707" s="30" t="str">
        <f>IFERROR(__xludf.DUMMYFUNCTION("""COMPUTED_VALUE"""),"N/A")</f>
        <v>N/A</v>
      </c>
      <c r="G707" s="92">
        <f>IFERROR(__xludf.DUMMYFUNCTION("""COMPUTED_VALUE"""),29.659559817573385)</f>
        <v>29.65955982</v>
      </c>
    </row>
    <row r="708">
      <c r="A708" s="30" t="str">
        <f>IFERROR(__xludf.DUMMYFUNCTION("""COMPUTED_VALUE"""),"RSC005385")</f>
        <v>RSC005385</v>
      </c>
      <c r="B708" s="30" t="str">
        <f>IFERROR(__xludf.DUMMYFUNCTION("""COMPUTED_VALUE"""),"Girth")</f>
        <v>Girth</v>
      </c>
      <c r="C708" s="30" t="str">
        <f>IFERROR(__xludf.DUMMYFUNCTION("""COMPUTED_VALUE"""),"Master")</f>
        <v>Master</v>
      </c>
      <c r="D708" s="30" t="str">
        <f>IFERROR(__xludf.DUMMYFUNCTION("""COMPUTED_VALUE"""),"Plinko")</f>
        <v>Plinko</v>
      </c>
      <c r="E708" s="30" t="str">
        <f>IFERROR(__xludf.DUMMYFUNCTION("""COMPUTED_VALUE"""),"Never Lucky")</f>
        <v>Never Lucky</v>
      </c>
      <c r="F708" s="30" t="str">
        <f>IFERROR(__xludf.DUMMYFUNCTION("""COMPUTED_VALUE"""),"N/A")</f>
        <v>N/A</v>
      </c>
      <c r="G708" s="92">
        <f>IFERROR(__xludf.DUMMYFUNCTION("""COMPUTED_VALUE"""),31.057386881445197)</f>
        <v>31.05738688</v>
      </c>
    </row>
    <row r="709">
      <c r="A709" s="30" t="str">
        <f>IFERROR(__xludf.DUMMYFUNCTION("""COMPUTED_VALUE"""),"RSC000824")</f>
        <v>RSC000824</v>
      </c>
      <c r="B709" s="30" t="str">
        <f>IFERROR(__xludf.DUMMYFUNCTION("""COMPUTED_VALUE"""),"Cart")</f>
        <v>Cart</v>
      </c>
      <c r="C709" s="30" t="str">
        <f>IFERROR(__xludf.DUMMYFUNCTION("""COMPUTED_VALUE"""),"Master")</f>
        <v>Master</v>
      </c>
      <c r="D709" s="30" t="str">
        <f>IFERROR(__xludf.DUMMYFUNCTION("""COMPUTED_VALUE"""),"Hard Hats")</f>
        <v>Hard Hats</v>
      </c>
      <c r="E709" s="30" t="str">
        <f>IFERROR(__xludf.DUMMYFUNCTION("""COMPUTED_VALUE"""),"Road Work Ahead")</f>
        <v>Road Work Ahead</v>
      </c>
      <c r="F709" s="30" t="str">
        <f>IFERROR(__xludf.DUMMYFUNCTION("""COMPUTED_VALUE"""),"N/A")</f>
        <v>N/A</v>
      </c>
      <c r="G709" s="92">
        <f>IFERROR(__xludf.DUMMYFUNCTION("""COMPUTED_VALUE"""),30.420289985720267)</f>
        <v>30.42028999</v>
      </c>
    </row>
    <row r="710">
      <c r="A710" s="30" t="str">
        <f>IFERROR(__xludf.DUMMYFUNCTION("""COMPUTED_VALUE"""),"RSC003178")</f>
        <v>RSC003178</v>
      </c>
      <c r="B710" s="30" t="str">
        <f>IFERROR(__xludf.DUMMYFUNCTION("""COMPUTED_VALUE"""),"Snack Time!")</f>
        <v>Snack Time!</v>
      </c>
      <c r="C710" s="30" t="str">
        <f>IFERROR(__xludf.DUMMYFUNCTION("""COMPUTED_VALUE"""),"Master")</f>
        <v>Master</v>
      </c>
      <c r="D710" s="30" t="str">
        <f>IFERROR(__xludf.DUMMYFUNCTION("""COMPUTED_VALUE"""),"The OG")</f>
        <v>The OG</v>
      </c>
      <c r="E710" s="30" t="str">
        <f>IFERROR(__xludf.DUMMYFUNCTION("""COMPUTED_VALUE"""),"The Hood")</f>
        <v>The Hood</v>
      </c>
      <c r="F710" s="30" t="str">
        <f>IFERROR(__xludf.DUMMYFUNCTION("""COMPUTED_VALUE"""),"N/A")</f>
        <v>N/A</v>
      </c>
      <c r="G710" s="92">
        <f>IFERROR(__xludf.DUMMYFUNCTION("""COMPUTED_VALUE"""),25.253139454142367)</f>
        <v>25.25313945</v>
      </c>
    </row>
    <row r="711">
      <c r="A711" s="30" t="str">
        <f>IFERROR(__xludf.DUMMYFUNCTION("""COMPUTED_VALUE"""),"RSC002620")</f>
        <v>RSC002620</v>
      </c>
      <c r="B711" s="30" t="str">
        <f>IFERROR(__xludf.DUMMYFUNCTION("""COMPUTED_VALUE"""),"Instnt")</f>
        <v>Instnt</v>
      </c>
      <c r="C711" s="30" t="str">
        <f>IFERROR(__xludf.DUMMYFUNCTION("""COMPUTED_VALUE"""),"Master")</f>
        <v>Master</v>
      </c>
      <c r="D711" s="30" t="str">
        <f>IFERROR(__xludf.DUMMYFUNCTION("""COMPUTED_VALUE"""),"Tempests")</f>
        <v>Tempests</v>
      </c>
      <c r="E711" s="30" t="str">
        <f>IFERROR(__xludf.DUMMYFUNCTION("""COMPUTED_VALUE"""),"Storm")</f>
        <v>Storm</v>
      </c>
      <c r="F711" s="30" t="str">
        <f>IFERROR(__xludf.DUMMYFUNCTION("""COMPUTED_VALUE"""),"N/A")</f>
        <v>N/A</v>
      </c>
      <c r="G711" s="92">
        <f>IFERROR(__xludf.DUMMYFUNCTION("""COMPUTED_VALUE"""),80.47810780768737)</f>
        <v>80.47810781</v>
      </c>
    </row>
    <row r="712">
      <c r="A712" s="30" t="str">
        <f>IFERROR(__xludf.DUMMYFUNCTION("""COMPUTED_VALUE"""),"RSC007354")</f>
        <v>RSC007354</v>
      </c>
      <c r="B712" s="30" t="str">
        <f>IFERROR(__xludf.DUMMYFUNCTION("""COMPUTED_VALUE"""),"Fanatic")</f>
        <v>Fanatic</v>
      </c>
      <c r="C712" s="30" t="str">
        <f>IFERROR(__xludf.DUMMYFUNCTION("""COMPUTED_VALUE"""),"Master")</f>
        <v>Master</v>
      </c>
      <c r="D712" s="30" t="str">
        <f>IFERROR(__xludf.DUMMYFUNCTION("""COMPUTED_VALUE"""),"Oblivion")</f>
        <v>Oblivion</v>
      </c>
      <c r="E712" s="30" t="str">
        <f>IFERROR(__xludf.DUMMYFUNCTION("""COMPUTED_VALUE"""),"Event Horizon")</f>
        <v>Event Horizon</v>
      </c>
      <c r="F712" s="30" t="str">
        <f>IFERROR(__xludf.DUMMYFUNCTION("""COMPUTED_VALUE"""),"N/A")</f>
        <v>N/A</v>
      </c>
      <c r="G712" s="92">
        <f>IFERROR(__xludf.DUMMYFUNCTION("""COMPUTED_VALUE"""),36.33853832562848)</f>
        <v>36.33853833</v>
      </c>
    </row>
    <row r="713">
      <c r="A713" s="30" t="str">
        <f>IFERROR(__xludf.DUMMYFUNCTION("""COMPUTED_VALUE"""),"RSC006704")</f>
        <v>RSC006704</v>
      </c>
      <c r="B713" s="30" t="str">
        <f>IFERROR(__xludf.DUMMYFUNCTION("""COMPUTED_VALUE"""),"noah")</f>
        <v>noah</v>
      </c>
      <c r="C713" s="30" t="str">
        <f>IFERROR(__xludf.DUMMYFUNCTION("""COMPUTED_VALUE"""),"Master")</f>
        <v>Master</v>
      </c>
      <c r="D713" s="30" t="str">
        <f>IFERROR(__xludf.DUMMYFUNCTION("""COMPUTED_VALUE"""),"Andromeda")</f>
        <v>Andromeda</v>
      </c>
      <c r="E713" s="30" t="str">
        <f>IFERROR(__xludf.DUMMYFUNCTION("""COMPUTED_VALUE"""),"The Cosmos")</f>
        <v>The Cosmos</v>
      </c>
      <c r="F713" s="30" t="str">
        <f>IFERROR(__xludf.DUMMYFUNCTION("""COMPUTED_VALUE"""),"N/A")</f>
        <v>N/A</v>
      </c>
      <c r="G713" s="92">
        <f>IFERROR(__xludf.DUMMYFUNCTION("""COMPUTED_VALUE"""),-29.985877861715977)</f>
        <v>-29.98587786</v>
      </c>
    </row>
    <row r="714">
      <c r="A714" s="30" t="str">
        <f>IFERROR(__xludf.DUMMYFUNCTION("""COMPUTED_VALUE"""),"RSC007455")</f>
        <v>RSC007455</v>
      </c>
      <c r="B714" s="30" t="str">
        <f>IFERROR(__xludf.DUMMYFUNCTION("""COMPUTED_VALUE"""),"Shlumpy")</f>
        <v>Shlumpy</v>
      </c>
      <c r="C714" s="30" t="str">
        <f>IFERROR(__xludf.DUMMYFUNCTION("""COMPUTED_VALUE"""),"Master")</f>
        <v>Master</v>
      </c>
      <c r="D714" s="30" t="str">
        <f>IFERROR(__xludf.DUMMYFUNCTION("""COMPUTED_VALUE"""),"Phantom Phreaks")</f>
        <v>Phantom Phreaks</v>
      </c>
      <c r="E714" s="30" t="str">
        <f>IFERROR(__xludf.DUMMYFUNCTION("""COMPUTED_VALUE"""),"Ghoul School")</f>
        <v>Ghoul School</v>
      </c>
      <c r="F714" s="30" t="str">
        <f>IFERROR(__xludf.DUMMYFUNCTION("""COMPUTED_VALUE"""),"N/A")</f>
        <v>N/A</v>
      </c>
      <c r="G714" s="92">
        <f>IFERROR(__xludf.DUMMYFUNCTION("""COMPUTED_VALUE"""),70.09315399627174)</f>
        <v>70.093154</v>
      </c>
    </row>
    <row r="715">
      <c r="A715" s="30" t="str">
        <f>IFERROR(__xludf.DUMMYFUNCTION("""COMPUTED_VALUE"""),"RSC007282")</f>
        <v>RSC007282</v>
      </c>
      <c r="B715" s="30" t="str">
        <f>IFERROR(__xludf.DUMMYFUNCTION("""COMPUTED_VALUE"""),"kRs^^")</f>
        <v>kRs^^</v>
      </c>
      <c r="C715" s="30" t="str">
        <f>IFERROR(__xludf.DUMMYFUNCTION("""COMPUTED_VALUE"""),"Master")</f>
        <v>Master</v>
      </c>
      <c r="D715" s="30" t="str">
        <f>IFERROR(__xludf.DUMMYFUNCTION("""COMPUTED_VALUE"""),"Helicoprions")</f>
        <v>Helicoprions</v>
      </c>
      <c r="E715" s="30" t="str">
        <f>IFERROR(__xludf.DUMMYFUNCTION("""COMPUTED_VALUE"""),"Shark Attack")</f>
        <v>Shark Attack</v>
      </c>
      <c r="F715" s="30" t="str">
        <f>IFERROR(__xludf.DUMMYFUNCTION("""COMPUTED_VALUE"""),"N/A")</f>
        <v>N/A</v>
      </c>
      <c r="G715" s="92">
        <f>IFERROR(__xludf.DUMMYFUNCTION("""COMPUTED_VALUE"""),49.37287476423103)</f>
        <v>49.37287476</v>
      </c>
    </row>
    <row r="716">
      <c r="A716" s="30" t="str">
        <f>IFERROR(__xludf.DUMMYFUNCTION("""COMPUTED_VALUE"""),"RSC004132")</f>
        <v>RSC004132</v>
      </c>
      <c r="B716" s="30" t="str">
        <f>IFERROR(__xludf.DUMMYFUNCTION("""COMPUTED_VALUE"""),"Rob Belichick")</f>
        <v>Rob Belichick</v>
      </c>
      <c r="C716" s="30" t="str">
        <f>IFERROR(__xludf.DUMMYFUNCTION("""COMPUTED_VALUE"""),"Master")</f>
        <v>Master</v>
      </c>
      <c r="D716" s="30" t="str">
        <f>IFERROR(__xludf.DUMMYFUNCTION("""COMPUTED_VALUE"""),"Battle Masters")</f>
        <v>Battle Masters</v>
      </c>
      <c r="E716" s="30" t="str">
        <f>IFERROR(__xludf.DUMMYFUNCTION("""COMPUTED_VALUE"""),"Dwarf Haven")</f>
        <v>Dwarf Haven</v>
      </c>
      <c r="F716" s="30" t="str">
        <f>IFERROR(__xludf.DUMMYFUNCTION("""COMPUTED_VALUE"""),"N/A")</f>
        <v>N/A</v>
      </c>
      <c r="G716" s="92">
        <f>IFERROR(__xludf.DUMMYFUNCTION("""COMPUTED_VALUE"""),51.47346547605003)</f>
        <v>51.47346548</v>
      </c>
    </row>
    <row r="717">
      <c r="A717" s="30" t="str">
        <f>IFERROR(__xludf.DUMMYFUNCTION("""COMPUTED_VALUE"""),"RSC007924")</f>
        <v>RSC007924</v>
      </c>
      <c r="B717" s="30" t="str">
        <f>IFERROR(__xludf.DUMMYFUNCTION("""COMPUTED_VALUE"""),"Kaorix")</f>
        <v>Kaorix</v>
      </c>
      <c r="C717" s="30" t="str">
        <f>IFERROR(__xludf.DUMMYFUNCTION("""COMPUTED_VALUE"""),"Master")</f>
        <v>Master</v>
      </c>
      <c r="D717" s="30" t="str">
        <f>IFERROR(__xludf.DUMMYFUNCTION("""COMPUTED_VALUE"""),"Fromunda Frauds")</f>
        <v>Fromunda Frauds</v>
      </c>
      <c r="E717" s="30" t="str">
        <f>IFERROR(__xludf.DUMMYFUNCTION("""COMPUTED_VALUE"""),"Cheese Guild")</f>
        <v>Cheese Guild</v>
      </c>
      <c r="F717" s="30" t="str">
        <f>IFERROR(__xludf.DUMMYFUNCTION("""COMPUTED_VALUE"""),"N/A")</f>
        <v>N/A</v>
      </c>
      <c r="G717" s="92">
        <f>IFERROR(__xludf.DUMMYFUNCTION("""COMPUTED_VALUE"""),-11.421833384117782)</f>
        <v>-11.42183338</v>
      </c>
    </row>
    <row r="718">
      <c r="A718" s="30" t="str">
        <f>IFERROR(__xludf.DUMMYFUNCTION("""COMPUTED_VALUE"""),"RSC007099")</f>
        <v>RSC007099</v>
      </c>
      <c r="B718" s="30" t="str">
        <f>IFERROR(__xludf.DUMMYFUNCTION("""COMPUTED_VALUE"""),"gumwee wigglebean")</f>
        <v>gumwee wigglebean</v>
      </c>
      <c r="C718" s="30" t="str">
        <f>IFERROR(__xludf.DUMMYFUNCTION("""COMPUTED_VALUE"""),"Master")</f>
        <v>Master</v>
      </c>
      <c r="D718" s="30" t="str">
        <f>IFERROR(__xludf.DUMMYFUNCTION("""COMPUTED_VALUE"""),"Andromeda
Plinko")</f>
        <v>Andromeda
Plinko</v>
      </c>
      <c r="E718" s="30" t="str">
        <f>IFERROR(__xludf.DUMMYFUNCTION("""COMPUTED_VALUE"""),"The Cosmos
Never Lucky")</f>
        <v>The Cosmos
Never Lucky</v>
      </c>
      <c r="F718" s="30" t="str">
        <f>IFERROR(__xludf.DUMMYFUNCTION("""COMPUTED_VALUE"""),"N/A")</f>
        <v>N/A</v>
      </c>
      <c r="G718" s="92">
        <f>IFERROR(__xludf.DUMMYFUNCTION("""COMPUTED_VALUE"""),72.09903158136478)</f>
        <v>72.09903158</v>
      </c>
    </row>
    <row r="719">
      <c r="A719" s="30" t="str">
        <f>IFERROR(__xludf.DUMMYFUNCTION("""COMPUTED_VALUE"""),"RSC007174")</f>
        <v>RSC007174</v>
      </c>
      <c r="B719" s="30" t="str">
        <f>IFERROR(__xludf.DUMMYFUNCTION("""COMPUTED_VALUE"""),"LMNS")</f>
        <v>LMNS</v>
      </c>
      <c r="C719" s="30" t="str">
        <f>IFERROR(__xludf.DUMMYFUNCTION("""COMPUTED_VALUE"""),"Master")</f>
        <v>Master</v>
      </c>
      <c r="D719" s="30" t="str">
        <f>IFERROR(__xludf.DUMMYFUNCTION("""COMPUTED_VALUE"""),"Care Bears
Spectres")</f>
        <v>Care Bears
Spectres</v>
      </c>
      <c r="E719" s="30" t="str">
        <f>IFERROR(__xludf.DUMMYFUNCTION("""COMPUTED_VALUE"""),"The Bear Den
The Monster Mash")</f>
        <v>The Bear Den
The Monster Mash</v>
      </c>
      <c r="F719" s="30" t="str">
        <f>IFERROR(__xludf.DUMMYFUNCTION("""COMPUTED_VALUE"""),"N/A")</f>
        <v>N/A</v>
      </c>
      <c r="G719" s="92">
        <f>IFERROR(__xludf.DUMMYFUNCTION("""COMPUTED_VALUE"""),52.01226373242911)</f>
        <v>52.01226373</v>
      </c>
    </row>
    <row r="720">
      <c r="A720" s="30" t="str">
        <f>IFERROR(__xludf.DUMMYFUNCTION("""COMPUTED_VALUE"""),"RSC005524")</f>
        <v>RSC005524</v>
      </c>
      <c r="B720" s="30" t="str">
        <f>IFERROR(__xludf.DUMMYFUNCTION("""COMPUTED_VALUE"""),"RaunchyRomanian")</f>
        <v>RaunchyRomanian</v>
      </c>
      <c r="C720" s="30" t="str">
        <f>IFERROR(__xludf.DUMMYFUNCTION("""COMPUTED_VALUE"""),"Master")</f>
        <v>Master</v>
      </c>
      <c r="D720" s="30" t="str">
        <f>IFERROR(__xludf.DUMMYFUNCTION("""COMPUTED_VALUE"""),"Heinous Henchmen")</f>
        <v>Heinous Henchmen</v>
      </c>
      <c r="E720" s="30" t="str">
        <f>IFERROR(__xludf.DUMMYFUNCTION("""COMPUTED_VALUE"""),"The Syndicate")</f>
        <v>The Syndicate</v>
      </c>
      <c r="F720" s="30" t="str">
        <f>IFERROR(__xludf.DUMMYFUNCTION("""COMPUTED_VALUE"""),"N/A")</f>
        <v>N/A</v>
      </c>
      <c r="G720" s="92">
        <f>IFERROR(__xludf.DUMMYFUNCTION("""COMPUTED_VALUE"""),31.52470574952013)</f>
        <v>31.52470575</v>
      </c>
    </row>
    <row r="721">
      <c r="A721" s="30" t="str">
        <f>IFERROR(__xludf.DUMMYFUNCTION("""COMPUTED_VALUE"""),"RSC000203")</f>
        <v>RSC000203</v>
      </c>
      <c r="B721" s="30" t="str">
        <f>IFERROR(__xludf.DUMMYFUNCTION("""COMPUTED_VALUE"""),"FrostyBrew")</f>
        <v>FrostyBrew</v>
      </c>
      <c r="C721" s="30" t="str">
        <f>IFERROR(__xludf.DUMMYFUNCTION("""COMPUTED_VALUE"""),"Master")</f>
        <v>Master</v>
      </c>
      <c r="D721" s="30" t="str">
        <f>IFERROR(__xludf.DUMMYFUNCTION("""COMPUTED_VALUE"""),"Spectres")</f>
        <v>Spectres</v>
      </c>
      <c r="E721" s="30" t="str">
        <f>IFERROR(__xludf.DUMMYFUNCTION("""COMPUTED_VALUE"""),"The Monster Mash")</f>
        <v>The Monster Mash</v>
      </c>
      <c r="F721" s="30" t="str">
        <f>IFERROR(__xludf.DUMMYFUNCTION("""COMPUTED_VALUE"""),"N/A")</f>
        <v>N/A</v>
      </c>
      <c r="G721" s="92">
        <f>IFERROR(__xludf.DUMMYFUNCTION("""COMPUTED_VALUE"""),22.615649999096867)</f>
        <v>22.61565</v>
      </c>
    </row>
    <row r="722">
      <c r="A722" s="30" t="str">
        <f>IFERROR(__xludf.DUMMYFUNCTION("""COMPUTED_VALUE"""),"RSC005301")</f>
        <v>RSC005301</v>
      </c>
      <c r="B722" s="30" t="str">
        <f>IFERROR(__xludf.DUMMYFUNCTION("""COMPUTED_VALUE"""),"Nehtaro")</f>
        <v>Nehtaro</v>
      </c>
      <c r="C722" s="30" t="str">
        <f>IFERROR(__xludf.DUMMYFUNCTION("""COMPUTED_VALUE"""),"Master")</f>
        <v>Master</v>
      </c>
      <c r="D722" s="30" t="str">
        <f>IFERROR(__xludf.DUMMYFUNCTION("""COMPUTED_VALUE"""),"Care Bears")</f>
        <v>Care Bears</v>
      </c>
      <c r="E722" s="30" t="str">
        <f>IFERROR(__xludf.DUMMYFUNCTION("""COMPUTED_VALUE"""),"The Bear Den")</f>
        <v>The Bear Den</v>
      </c>
      <c r="F722" s="30" t="str">
        <f>IFERROR(__xludf.DUMMYFUNCTION("""COMPUTED_VALUE"""),"N/A")</f>
        <v>N/A</v>
      </c>
      <c r="G722" s="92">
        <f>IFERROR(__xludf.DUMMYFUNCTION("""COMPUTED_VALUE"""),-26.13522380520415)</f>
        <v>-26.13522381</v>
      </c>
    </row>
    <row r="723">
      <c r="A723" s="30" t="str">
        <f>IFERROR(__xludf.DUMMYFUNCTION("""COMPUTED_VALUE"""),"RSC001357")</f>
        <v>RSC001357</v>
      </c>
      <c r="B723" s="30" t="str">
        <f>IFERROR(__xludf.DUMMYFUNCTION("""COMPUTED_VALUE"""),"Isaac13003")</f>
        <v>Isaac13003</v>
      </c>
      <c r="C723" s="30" t="str">
        <f>IFERROR(__xludf.DUMMYFUNCTION("""COMPUTED_VALUE"""),"Master")</f>
        <v>Master</v>
      </c>
      <c r="D723" s="30" t="str">
        <f>IFERROR(__xludf.DUMMYFUNCTION("""COMPUTED_VALUE"""),"Andromeda")</f>
        <v>Andromeda</v>
      </c>
      <c r="E723" s="30" t="str">
        <f>IFERROR(__xludf.DUMMYFUNCTION("""COMPUTED_VALUE"""),"The Cosmos")</f>
        <v>The Cosmos</v>
      </c>
      <c r="F723" s="30" t="str">
        <f>IFERROR(__xludf.DUMMYFUNCTION("""COMPUTED_VALUE"""),"N/A")</f>
        <v>N/A</v>
      </c>
      <c r="G723" s="92">
        <f>IFERROR(__xludf.DUMMYFUNCTION("""COMPUTED_VALUE"""),53.02082477527099)</f>
        <v>53.02082478</v>
      </c>
    </row>
    <row r="724">
      <c r="A724" s="30" t="str">
        <f>IFERROR(__xludf.DUMMYFUNCTION("""COMPUTED_VALUE"""),"RSC000799")</f>
        <v>RSC000799</v>
      </c>
      <c r="B724" s="30" t="str">
        <f>IFERROR(__xludf.DUMMYFUNCTION("""COMPUTED_VALUE"""),"Foam")</f>
        <v>Foam</v>
      </c>
      <c r="C724" s="30" t="str">
        <f>IFERROR(__xludf.DUMMYFUNCTION("""COMPUTED_VALUE"""),"Master")</f>
        <v>Master</v>
      </c>
      <c r="D724" s="30" t="str">
        <f>IFERROR(__xludf.DUMMYFUNCTION("""COMPUTED_VALUE"""),"Tempests")</f>
        <v>Tempests</v>
      </c>
      <c r="E724" s="30" t="str">
        <f>IFERROR(__xludf.DUMMYFUNCTION("""COMPUTED_VALUE"""),"Storm")</f>
        <v>Storm</v>
      </c>
      <c r="F724" s="30" t="str">
        <f>IFERROR(__xludf.DUMMYFUNCTION("""COMPUTED_VALUE"""),"N/A")</f>
        <v>N/A</v>
      </c>
      <c r="G724" s="92">
        <f>IFERROR(__xludf.DUMMYFUNCTION("""COMPUTED_VALUE"""),93.93279868048359)</f>
        <v>93.93279868</v>
      </c>
    </row>
    <row r="725">
      <c r="A725" s="30" t="str">
        <f>IFERROR(__xludf.DUMMYFUNCTION("""COMPUTED_VALUE"""),"RSC005653")</f>
        <v>RSC005653</v>
      </c>
      <c r="B725" s="30" t="str">
        <f>IFERROR(__xludf.DUMMYFUNCTION("""COMPUTED_VALUE"""),"xim")</f>
        <v>xim</v>
      </c>
      <c r="C725" s="30" t="str">
        <f>IFERROR(__xludf.DUMMYFUNCTION("""COMPUTED_VALUE"""),"Master")</f>
        <v>Master</v>
      </c>
      <c r="D725" s="30" t="str">
        <f>IFERROR(__xludf.DUMMYFUNCTION("""COMPUTED_VALUE"""),"Tempests")</f>
        <v>Tempests</v>
      </c>
      <c r="E725" s="30" t="str">
        <f>IFERROR(__xludf.DUMMYFUNCTION("""COMPUTED_VALUE"""),"Storm")</f>
        <v>Storm</v>
      </c>
      <c r="F725" s="30" t="str">
        <f>IFERROR(__xludf.DUMMYFUNCTION("""COMPUTED_VALUE"""),"N/A")</f>
        <v>N/A</v>
      </c>
      <c r="G725" s="92">
        <f>IFERROR(__xludf.DUMMYFUNCTION("""COMPUTED_VALUE"""),75.34160096301508)</f>
        <v>75.34160096</v>
      </c>
    </row>
    <row r="726">
      <c r="A726" s="30" t="str">
        <f>IFERROR(__xludf.DUMMYFUNCTION("""COMPUTED_VALUE"""),"RSC004131")</f>
        <v>RSC004131</v>
      </c>
      <c r="B726" s="30" t="str">
        <f>IFERROR(__xludf.DUMMYFUNCTION("""COMPUTED_VALUE"""),"Poptart Pounder")</f>
        <v>Poptart Pounder</v>
      </c>
      <c r="C726" s="30" t="str">
        <f>IFERROR(__xludf.DUMMYFUNCTION("""COMPUTED_VALUE"""),"Master")</f>
        <v>Master</v>
      </c>
      <c r="D726" s="30" t="str">
        <f>IFERROR(__xludf.DUMMYFUNCTION("""COMPUTED_VALUE"""),"Phantom Phreaks")</f>
        <v>Phantom Phreaks</v>
      </c>
      <c r="E726" s="30" t="str">
        <f>IFERROR(__xludf.DUMMYFUNCTION("""COMPUTED_VALUE"""),"Ghoul School")</f>
        <v>Ghoul School</v>
      </c>
      <c r="F726" s="30" t="str">
        <f>IFERROR(__xludf.DUMMYFUNCTION("""COMPUTED_VALUE"""),"N/A")</f>
        <v>N/A</v>
      </c>
      <c r="G726" s="92">
        <f>IFERROR(__xludf.DUMMYFUNCTION("""COMPUTED_VALUE"""),73.2604246442427)</f>
        <v>73.26042464</v>
      </c>
    </row>
    <row r="727">
      <c r="A727" s="30" t="str">
        <f>IFERROR(__xludf.DUMMYFUNCTION("""COMPUTED_VALUE"""),"RSC003445")</f>
        <v>RSC003445</v>
      </c>
      <c r="B727" s="30" t="str">
        <f>IFERROR(__xludf.DUMMYFUNCTION("""COMPUTED_VALUE"""),"bosco")</f>
        <v>bosco</v>
      </c>
      <c r="C727" s="30" t="str">
        <f>IFERROR(__xludf.DUMMYFUNCTION("""COMPUTED_VALUE"""),"Master")</f>
        <v>Master</v>
      </c>
      <c r="D727" s="30" t="str">
        <f>IFERROR(__xludf.DUMMYFUNCTION("""COMPUTED_VALUE"""),"The OG")</f>
        <v>The OG</v>
      </c>
      <c r="E727" s="30" t="str">
        <f>IFERROR(__xludf.DUMMYFUNCTION("""COMPUTED_VALUE"""),"The Hood")</f>
        <v>The Hood</v>
      </c>
      <c r="F727" s="30" t="str">
        <f>IFERROR(__xludf.DUMMYFUNCTION("""COMPUTED_VALUE"""),"N/A")</f>
        <v>N/A</v>
      </c>
      <c r="G727" s="92">
        <f>IFERROR(__xludf.DUMMYFUNCTION("""COMPUTED_VALUE"""),60.73939206940186)</f>
        <v>60.73939207</v>
      </c>
    </row>
    <row r="728">
      <c r="A728" s="30" t="str">
        <f>IFERROR(__xludf.DUMMYFUNCTION("""COMPUTED_VALUE"""),"RSC007836")</f>
        <v>RSC007836</v>
      </c>
      <c r="B728" s="30" t="str">
        <f>IFERROR(__xludf.DUMMYFUNCTION("""COMPUTED_VALUE"""),"Eclipse")</f>
        <v>Eclipse</v>
      </c>
      <c r="C728" s="30" t="str">
        <f>IFERROR(__xludf.DUMMYFUNCTION("""COMPUTED_VALUE"""),"Elite")</f>
        <v>Elite</v>
      </c>
      <c r="D728" s="30" t="str">
        <f>IFERROR(__xludf.DUMMYFUNCTION("""COMPUTED_VALUE"""),"Great Whites")</f>
        <v>Great Whites</v>
      </c>
      <c r="E728" s="30" t="str">
        <f>IFERROR(__xludf.DUMMYFUNCTION("""COMPUTED_VALUE"""),"Shark Attack")</f>
        <v>Shark Attack</v>
      </c>
      <c r="F728" s="30" t="str">
        <f>IFERROR(__xludf.DUMMYFUNCTION("""COMPUTED_VALUE"""),"Solar")</f>
        <v>Solar</v>
      </c>
      <c r="G728" s="92">
        <f>IFERROR(__xludf.DUMMYFUNCTION("""COMPUTED_VALUE"""),58.49794930937685)</f>
        <v>58.49794931</v>
      </c>
    </row>
    <row r="729">
      <c r="A729" s="30" t="str">
        <f>IFERROR(__xludf.DUMMYFUNCTION("""COMPUTED_VALUE"""),"RSC007876")</f>
        <v>RSC007876</v>
      </c>
      <c r="B729" s="30" t="str">
        <f>IFERROR(__xludf.DUMMYFUNCTION("""COMPUTED_VALUE"""),"dwsn.")</f>
        <v>dwsn.</v>
      </c>
      <c r="C729" s="30" t="str">
        <f>IFERROR(__xludf.DUMMYFUNCTION("""COMPUTED_VALUE"""),"Elite")</f>
        <v>Elite</v>
      </c>
      <c r="D729" s="30" t="str">
        <f>IFERROR(__xludf.DUMMYFUNCTION("""COMPUTED_VALUE"""),"Great Whites")</f>
        <v>Great Whites</v>
      </c>
      <c r="E729" s="30" t="str">
        <f>IFERROR(__xludf.DUMMYFUNCTION("""COMPUTED_VALUE"""),"Shark Attack")</f>
        <v>Shark Attack</v>
      </c>
      <c r="F729" s="30" t="str">
        <f>IFERROR(__xludf.DUMMYFUNCTION("""COMPUTED_VALUE"""),"Solar")</f>
        <v>Solar</v>
      </c>
      <c r="G729" s="92">
        <f>IFERROR(__xludf.DUMMYFUNCTION("""COMPUTED_VALUE"""),83.33826813608975)</f>
        <v>83.33826814</v>
      </c>
    </row>
    <row r="730">
      <c r="A730" s="30" t="str">
        <f>IFERROR(__xludf.DUMMYFUNCTION("""COMPUTED_VALUE"""),"RSC006056")</f>
        <v>RSC006056</v>
      </c>
      <c r="B730" s="30" t="str">
        <f>IFERROR(__xludf.DUMMYFUNCTION("""COMPUTED_VALUE"""),"redsteel43br")</f>
        <v>redsteel43br</v>
      </c>
      <c r="C730" s="30" t="str">
        <f>IFERROR(__xludf.DUMMYFUNCTION("""COMPUTED_VALUE"""),"Elite")</f>
        <v>Elite</v>
      </c>
      <c r="D730" s="30" t="str">
        <f>IFERROR(__xludf.DUMMYFUNCTION("""COMPUTED_VALUE"""),"Great Whites")</f>
        <v>Great Whites</v>
      </c>
      <c r="E730" s="30" t="str">
        <f>IFERROR(__xludf.DUMMYFUNCTION("""COMPUTED_VALUE"""),"Shark Attack")</f>
        <v>Shark Attack</v>
      </c>
      <c r="F730" s="30" t="str">
        <f>IFERROR(__xludf.DUMMYFUNCTION("""COMPUTED_VALUE"""),"Solar")</f>
        <v>Solar</v>
      </c>
      <c r="G730" s="92">
        <f>IFERROR(__xludf.DUMMYFUNCTION("""COMPUTED_VALUE"""),24.427732743315627)</f>
        <v>24.42773274</v>
      </c>
    </row>
    <row r="731">
      <c r="A731" s="30" t="str">
        <f>IFERROR(__xludf.DUMMYFUNCTION("""COMPUTED_VALUE"""),"RSC003427")</f>
        <v>RSC003427</v>
      </c>
      <c r="B731" s="30" t="str">
        <f>IFERROR(__xludf.DUMMYFUNCTION("""COMPUTED_VALUE"""),"(P|F)ineapple")</f>
        <v>(P|F)ineapple</v>
      </c>
      <c r="C731" s="30" t="str">
        <f>IFERROR(__xludf.DUMMYFUNCTION("""COMPUTED_VALUE"""),"Elite")</f>
        <v>Elite</v>
      </c>
      <c r="D731" s="30" t="str">
        <f>IFERROR(__xludf.DUMMYFUNCTION("""COMPUTED_VALUE"""),"Orochi")</f>
        <v>Orochi</v>
      </c>
      <c r="E731" s="30" t="str">
        <f>IFERROR(__xludf.DUMMYFUNCTION("""COMPUTED_VALUE"""),"The Shrine")</f>
        <v>The Shrine</v>
      </c>
      <c r="F731" s="30" t="str">
        <f>IFERROR(__xludf.DUMMYFUNCTION("""COMPUTED_VALUE"""),"Solar")</f>
        <v>Solar</v>
      </c>
      <c r="G731" s="92">
        <f>IFERROR(__xludf.DUMMYFUNCTION("""COMPUTED_VALUE"""),40.91268209241585)</f>
        <v>40.91268209</v>
      </c>
    </row>
    <row r="732">
      <c r="A732" s="30" t="str">
        <f>IFERROR(__xludf.DUMMYFUNCTION("""COMPUTED_VALUE"""),"RSC003360")</f>
        <v>RSC003360</v>
      </c>
      <c r="B732" s="30" t="str">
        <f>IFERROR(__xludf.DUMMYFUNCTION("""COMPUTED_VALUE"""),"flossy")</f>
        <v>flossy</v>
      </c>
      <c r="C732" s="30" t="str">
        <f>IFERROR(__xludf.DUMMYFUNCTION("""COMPUTED_VALUE"""),"Elite")</f>
        <v>Elite</v>
      </c>
      <c r="D732" s="30" t="str">
        <f>IFERROR(__xludf.DUMMYFUNCTION("""COMPUTED_VALUE"""),"Geeky Ghouls
Orochi")</f>
        <v>Geeky Ghouls
Orochi</v>
      </c>
      <c r="E732" s="30" t="str">
        <f>IFERROR(__xludf.DUMMYFUNCTION("""COMPUTED_VALUE"""),"Ghoul School
The Shrine")</f>
        <v>Ghoul School
The Shrine</v>
      </c>
      <c r="F732" s="30" t="str">
        <f>IFERROR(__xludf.DUMMYFUNCTION("""COMPUTED_VALUE"""),"Solar")</f>
        <v>Solar</v>
      </c>
      <c r="G732" s="92">
        <f>IFERROR(__xludf.DUMMYFUNCTION("""COMPUTED_VALUE"""),35.12135908900878)</f>
        <v>35.12135909</v>
      </c>
    </row>
    <row r="733">
      <c r="A733" s="30" t="str">
        <f>IFERROR(__xludf.DUMMYFUNCTION("""COMPUTED_VALUE"""),"RSC007049")</f>
        <v>RSC007049</v>
      </c>
      <c r="B733" s="30" t="str">
        <f>IFERROR(__xludf.DUMMYFUNCTION("""COMPUTED_VALUE"""),"dillyn.")</f>
        <v>dillyn.</v>
      </c>
      <c r="C733" s="30" t="str">
        <f>IFERROR(__xludf.DUMMYFUNCTION("""COMPUTED_VALUE"""),"Elite")</f>
        <v>Elite</v>
      </c>
      <c r="D733" s="30" t="str">
        <f>IFERROR(__xludf.DUMMYFUNCTION("""COMPUTED_VALUE"""),"Orochi")</f>
        <v>Orochi</v>
      </c>
      <c r="E733" s="30" t="str">
        <f>IFERROR(__xludf.DUMMYFUNCTION("""COMPUTED_VALUE"""),"The Shrine")</f>
        <v>The Shrine</v>
      </c>
      <c r="F733" s="30" t="str">
        <f>IFERROR(__xludf.DUMMYFUNCTION("""COMPUTED_VALUE"""),"Solar")</f>
        <v>Solar</v>
      </c>
      <c r="G733" s="92">
        <f>IFERROR(__xludf.DUMMYFUNCTION("""COMPUTED_VALUE"""),65.82572634151396)</f>
        <v>65.82572634</v>
      </c>
    </row>
    <row r="734">
      <c r="A734" s="30" t="str">
        <f>IFERROR(__xludf.DUMMYFUNCTION("""COMPUTED_VALUE"""),"RSC002097")</f>
        <v>RSC002097</v>
      </c>
      <c r="B734" s="30" t="str">
        <f>IFERROR(__xludf.DUMMYFUNCTION("""COMPUTED_VALUE"""),"NoobZ")</f>
        <v>NoobZ</v>
      </c>
      <c r="C734" s="30" t="str">
        <f>IFERROR(__xludf.DUMMYFUNCTION("""COMPUTED_VALUE"""),"Elite")</f>
        <v>Elite</v>
      </c>
      <c r="D734" s="30" t="str">
        <f>IFERROR(__xludf.DUMMYFUNCTION("""COMPUTED_VALUE"""),"Thrashers")</f>
        <v>Thrashers</v>
      </c>
      <c r="E734" s="30" t="str">
        <f>IFERROR(__xludf.DUMMYFUNCTION("""COMPUTED_VALUE"""),"The Pit")</f>
        <v>The Pit</v>
      </c>
      <c r="F734" s="30" t="str">
        <f>IFERROR(__xludf.DUMMYFUNCTION("""COMPUTED_VALUE"""),"Lunar")</f>
        <v>Lunar</v>
      </c>
      <c r="G734" s="92">
        <f>IFERROR(__xludf.DUMMYFUNCTION("""COMPUTED_VALUE"""),51.96350442016007)</f>
        <v>51.96350442</v>
      </c>
    </row>
    <row r="735">
      <c r="A735" s="30" t="str">
        <f>IFERROR(__xludf.DUMMYFUNCTION("""COMPUTED_VALUE"""),"RSC004794")</f>
        <v>RSC004794</v>
      </c>
      <c r="B735" s="30" t="str">
        <f>IFERROR(__xludf.DUMMYFUNCTION("""COMPUTED_VALUE"""),"Buddha")</f>
        <v>Buddha</v>
      </c>
      <c r="C735" s="30" t="str">
        <f>IFERROR(__xludf.DUMMYFUNCTION("""COMPUTED_VALUE"""),"Elite")</f>
        <v>Elite</v>
      </c>
      <c r="D735" s="30" t="str">
        <f>IFERROR(__xludf.DUMMYFUNCTION("""COMPUTED_VALUE"""),"Thrashers")</f>
        <v>Thrashers</v>
      </c>
      <c r="E735" s="30" t="str">
        <f>IFERROR(__xludf.DUMMYFUNCTION("""COMPUTED_VALUE"""),"The Pit")</f>
        <v>The Pit</v>
      </c>
      <c r="F735" s="30" t="str">
        <f>IFERROR(__xludf.DUMMYFUNCTION("""COMPUTED_VALUE"""),"Lunar")</f>
        <v>Lunar</v>
      </c>
      <c r="G735" s="92">
        <f>IFERROR(__xludf.DUMMYFUNCTION("""COMPUTED_VALUE"""),-13.652670385539757)</f>
        <v>-13.65267039</v>
      </c>
    </row>
    <row r="736">
      <c r="A736" s="30" t="str">
        <f>IFERROR(__xludf.DUMMYFUNCTION("""COMPUTED_VALUE"""),"RSC000714")</f>
        <v>RSC000714</v>
      </c>
      <c r="B736" s="30" t="str">
        <f>IFERROR(__xludf.DUMMYFUNCTION("""COMPUTED_VALUE"""),"duffy")</f>
        <v>duffy</v>
      </c>
      <c r="C736" s="30" t="str">
        <f>IFERROR(__xludf.DUMMYFUNCTION("""COMPUTED_VALUE"""),"Elite")</f>
        <v>Elite</v>
      </c>
      <c r="D736" s="30" t="str">
        <f>IFERROR(__xludf.DUMMYFUNCTION("""COMPUTED_VALUE"""),"Thrashers")</f>
        <v>Thrashers</v>
      </c>
      <c r="E736" s="30" t="str">
        <f>IFERROR(__xludf.DUMMYFUNCTION("""COMPUTED_VALUE"""),"The Pit")</f>
        <v>The Pit</v>
      </c>
      <c r="F736" s="30" t="str">
        <f>IFERROR(__xludf.DUMMYFUNCTION("""COMPUTED_VALUE"""),"Lunar")</f>
        <v>Lunar</v>
      </c>
      <c r="G736" s="92">
        <f>IFERROR(__xludf.DUMMYFUNCTION("""COMPUTED_VALUE"""),77.67994580195474)</f>
        <v>77.6799458</v>
      </c>
    </row>
    <row r="737">
      <c r="A737" s="30" t="str">
        <f>IFERROR(__xludf.DUMMYFUNCTION("""COMPUTED_VALUE"""),"RSC007843")</f>
        <v>RSC007843</v>
      </c>
      <c r="B737" s="30" t="str">
        <f>IFERROR(__xludf.DUMMYFUNCTION("""COMPUTED_VALUE"""),"BLOO")</f>
        <v>BLOO</v>
      </c>
      <c r="C737" s="30" t="str">
        <f>IFERROR(__xludf.DUMMYFUNCTION("""COMPUTED_VALUE"""),"Elite")</f>
        <v>Elite</v>
      </c>
      <c r="D737" s="30" t="str">
        <f>IFERROR(__xludf.DUMMYFUNCTION("""COMPUTED_VALUE"""),"Praetorian Guard")</f>
        <v>Praetorian Guard</v>
      </c>
      <c r="E737" s="30" t="str">
        <f>IFERROR(__xludf.DUMMYFUNCTION("""COMPUTED_VALUE"""),"The Sovereign")</f>
        <v>The Sovereign</v>
      </c>
      <c r="F737" s="30" t="str">
        <f>IFERROR(__xludf.DUMMYFUNCTION("""COMPUTED_VALUE"""),"Lunar")</f>
        <v>Lunar</v>
      </c>
      <c r="G737" s="92">
        <f>IFERROR(__xludf.DUMMYFUNCTION("""COMPUTED_VALUE"""),49.983527872130246)</f>
        <v>49.98352787</v>
      </c>
    </row>
    <row r="738">
      <c r="A738" s="30" t="str">
        <f>IFERROR(__xludf.DUMMYFUNCTION("""COMPUTED_VALUE"""),"RSC005236")</f>
        <v>RSC005236</v>
      </c>
      <c r="B738" s="30" t="str">
        <f>IFERROR(__xludf.DUMMYFUNCTION("""COMPUTED_VALUE"""),"Rozi-")</f>
        <v>Rozi-</v>
      </c>
      <c r="C738" s="30" t="str">
        <f>IFERROR(__xludf.DUMMYFUNCTION("""COMPUTED_VALUE"""),"Elite")</f>
        <v>Elite</v>
      </c>
      <c r="D738" s="30" t="str">
        <f>IFERROR(__xludf.DUMMYFUNCTION("""COMPUTED_VALUE"""),"Praetorian Guard")</f>
        <v>Praetorian Guard</v>
      </c>
      <c r="E738" s="30" t="str">
        <f>IFERROR(__xludf.DUMMYFUNCTION("""COMPUTED_VALUE"""),"The Sovereign")</f>
        <v>The Sovereign</v>
      </c>
      <c r="F738" s="30" t="str">
        <f>IFERROR(__xludf.DUMMYFUNCTION("""COMPUTED_VALUE"""),"Lunar")</f>
        <v>Lunar</v>
      </c>
      <c r="G738" s="92">
        <f>IFERROR(__xludf.DUMMYFUNCTION("""COMPUTED_VALUE"""),46.822937346625075)</f>
        <v>46.82293735</v>
      </c>
    </row>
    <row r="739">
      <c r="A739" s="30" t="str">
        <f>IFERROR(__xludf.DUMMYFUNCTION("""COMPUTED_VALUE"""),"RSC000787")</f>
        <v>RSC000787</v>
      </c>
      <c r="B739" s="30" t="str">
        <f>IFERROR(__xludf.DUMMYFUNCTION("""COMPUTED_VALUE"""),"buckle")</f>
        <v>buckle</v>
      </c>
      <c r="C739" s="30" t="str">
        <f>IFERROR(__xludf.DUMMYFUNCTION("""COMPUTED_VALUE"""),"Elite")</f>
        <v>Elite</v>
      </c>
      <c r="D739" s="30" t="str">
        <f>IFERROR(__xludf.DUMMYFUNCTION("""COMPUTED_VALUE"""),"Praetorian Guard")</f>
        <v>Praetorian Guard</v>
      </c>
      <c r="E739" s="30" t="str">
        <f>IFERROR(__xludf.DUMMYFUNCTION("""COMPUTED_VALUE"""),"The Sovereign")</f>
        <v>The Sovereign</v>
      </c>
      <c r="F739" s="30" t="str">
        <f>IFERROR(__xludf.DUMMYFUNCTION("""COMPUTED_VALUE"""),"Lunar")</f>
        <v>Lunar</v>
      </c>
      <c r="G739" s="92">
        <f>IFERROR(__xludf.DUMMYFUNCTION("""COMPUTED_VALUE"""),58.786204865572785)</f>
        <v>58.78620487</v>
      </c>
    </row>
    <row r="740">
      <c r="A740" s="30" t="str">
        <f>IFERROR(__xludf.DUMMYFUNCTION("""COMPUTED_VALUE"""),"RSC006877")</f>
        <v>RSC006877</v>
      </c>
      <c r="B740" s="30" t="str">
        <f>IFERROR(__xludf.DUMMYFUNCTION("""COMPUTED_VALUE"""),"Jolt")</f>
        <v>Jolt</v>
      </c>
      <c r="C740" s="30" t="str">
        <f>IFERROR(__xludf.DUMMYFUNCTION("""COMPUTED_VALUE"""),"Elite")</f>
        <v>Elite</v>
      </c>
      <c r="D740" s="30" t="str">
        <f>IFERROR(__xludf.DUMMYFUNCTION("""COMPUTED_VALUE"""),"Wyverns")</f>
        <v>Wyverns</v>
      </c>
      <c r="E740" s="30" t="str">
        <f>IFERROR(__xludf.DUMMYFUNCTION("""COMPUTED_VALUE"""),"The Forest")</f>
        <v>The Forest</v>
      </c>
      <c r="F740" s="30" t="str">
        <f>IFERROR(__xludf.DUMMYFUNCTION("""COMPUTED_VALUE"""),"Solar")</f>
        <v>Solar</v>
      </c>
      <c r="G740" s="92">
        <f>IFERROR(__xludf.DUMMYFUNCTION("""COMPUTED_VALUE"""),30.85257156276768)</f>
        <v>30.85257156</v>
      </c>
    </row>
    <row r="741">
      <c r="A741" s="30" t="str">
        <f>IFERROR(__xludf.DUMMYFUNCTION("""COMPUTED_VALUE"""),"RSC007895")</f>
        <v>RSC007895</v>
      </c>
      <c r="B741" s="30" t="str">
        <f>IFERROR(__xludf.DUMMYFUNCTION("""COMPUTED_VALUE"""),"Lup")</f>
        <v>Lup</v>
      </c>
      <c r="C741" s="30" t="str">
        <f>IFERROR(__xludf.DUMMYFUNCTION("""COMPUTED_VALUE"""),"Elite")</f>
        <v>Elite</v>
      </c>
      <c r="D741" s="30" t="str">
        <f>IFERROR(__xludf.DUMMYFUNCTION("""COMPUTED_VALUE"""),"Wyverns")</f>
        <v>Wyverns</v>
      </c>
      <c r="E741" s="30" t="str">
        <f>IFERROR(__xludf.DUMMYFUNCTION("""COMPUTED_VALUE"""),"The Forest")</f>
        <v>The Forest</v>
      </c>
      <c r="F741" s="30" t="str">
        <f>IFERROR(__xludf.DUMMYFUNCTION("""COMPUTED_VALUE"""),"Solar")</f>
        <v>Solar</v>
      </c>
      <c r="G741" s="92">
        <f>IFERROR(__xludf.DUMMYFUNCTION("""COMPUTED_VALUE"""),60.6142430925549)</f>
        <v>60.61424309</v>
      </c>
    </row>
    <row r="742">
      <c r="A742" s="30" t="str">
        <f>IFERROR(__xludf.DUMMYFUNCTION("""COMPUTED_VALUE"""),"RSC005024")</f>
        <v>RSC005024</v>
      </c>
      <c r="B742" s="30" t="str">
        <f>IFERROR(__xludf.DUMMYFUNCTION("""COMPUTED_VALUE"""),"SSpekky")</f>
        <v>SSpekky</v>
      </c>
      <c r="C742" s="30" t="str">
        <f>IFERROR(__xludf.DUMMYFUNCTION("""COMPUTED_VALUE"""),"Elite")</f>
        <v>Elite</v>
      </c>
      <c r="D742" s="30" t="str">
        <f>IFERROR(__xludf.DUMMYFUNCTION("""COMPUTED_VALUE"""),"Wyverns")</f>
        <v>Wyverns</v>
      </c>
      <c r="E742" s="30" t="str">
        <f>IFERROR(__xludf.DUMMYFUNCTION("""COMPUTED_VALUE"""),"The Forest")</f>
        <v>The Forest</v>
      </c>
      <c r="F742" s="30" t="str">
        <f>IFERROR(__xludf.DUMMYFUNCTION("""COMPUTED_VALUE"""),"Solar")</f>
        <v>Solar</v>
      </c>
      <c r="G742" s="92">
        <f>IFERROR(__xludf.DUMMYFUNCTION("""COMPUTED_VALUE"""),63.9167343802017)</f>
        <v>63.91673438</v>
      </c>
    </row>
    <row r="743">
      <c r="A743" s="30" t="str">
        <f>IFERROR(__xludf.DUMMYFUNCTION("""COMPUTED_VALUE"""),"RSC000438")</f>
        <v>RSC000438</v>
      </c>
      <c r="B743" s="30" t="str">
        <f>IFERROR(__xludf.DUMMYFUNCTION("""COMPUTED_VALUE"""),"Limon")</f>
        <v>Limon</v>
      </c>
      <c r="C743" s="30" t="str">
        <f>IFERROR(__xludf.DUMMYFUNCTION("""COMPUTED_VALUE"""),"Elite")</f>
        <v>Elite</v>
      </c>
      <c r="D743" s="30" t="str">
        <f>IFERROR(__xludf.DUMMYFUNCTION("""COMPUTED_VALUE"""),"Menthol")</f>
        <v>Menthol</v>
      </c>
      <c r="E743" s="30" t="str">
        <f>IFERROR(__xludf.DUMMYFUNCTION("""COMPUTED_VALUE"""),"Minty Fresh")</f>
        <v>Minty Fresh</v>
      </c>
      <c r="F743" s="30" t="str">
        <f>IFERROR(__xludf.DUMMYFUNCTION("""COMPUTED_VALUE"""),"Solar")</f>
        <v>Solar</v>
      </c>
      <c r="G743" s="92">
        <f>IFERROR(__xludf.DUMMYFUNCTION("""COMPUTED_VALUE"""),40.58641637603796)</f>
        <v>40.58641638</v>
      </c>
    </row>
    <row r="744">
      <c r="A744" s="30" t="str">
        <f>IFERROR(__xludf.DUMMYFUNCTION("""COMPUTED_VALUE"""),"RSC000009")</f>
        <v>RSC000009</v>
      </c>
      <c r="B744" s="30" t="str">
        <f>IFERROR(__xludf.DUMMYFUNCTION("""COMPUTED_VALUE"""),"Timbo")</f>
        <v>Timbo</v>
      </c>
      <c r="C744" s="30" t="str">
        <f>IFERROR(__xludf.DUMMYFUNCTION("""COMPUTED_VALUE"""),"Elite")</f>
        <v>Elite</v>
      </c>
      <c r="D744" s="30" t="str">
        <f>IFERROR(__xludf.DUMMYFUNCTION("""COMPUTED_VALUE"""),"Menthol")</f>
        <v>Menthol</v>
      </c>
      <c r="E744" s="30" t="str">
        <f>IFERROR(__xludf.DUMMYFUNCTION("""COMPUTED_VALUE"""),"Minty Fresh")</f>
        <v>Minty Fresh</v>
      </c>
      <c r="F744" s="30" t="str">
        <f>IFERROR(__xludf.DUMMYFUNCTION("""COMPUTED_VALUE"""),"Solar")</f>
        <v>Solar</v>
      </c>
      <c r="G744" s="92">
        <f>IFERROR(__xludf.DUMMYFUNCTION("""COMPUTED_VALUE"""),73.17249971939196)</f>
        <v>73.17249972</v>
      </c>
    </row>
    <row r="745">
      <c r="A745" s="30" t="str">
        <f>IFERROR(__xludf.DUMMYFUNCTION("""COMPUTED_VALUE"""),"RSC001055")</f>
        <v>RSC001055</v>
      </c>
      <c r="B745" s="30" t="str">
        <f>IFERROR(__xludf.DUMMYFUNCTION("""COMPUTED_VALUE"""),"Scotti")</f>
        <v>Scotti</v>
      </c>
      <c r="C745" s="30" t="str">
        <f>IFERROR(__xludf.DUMMYFUNCTION("""COMPUTED_VALUE"""),"Elite")</f>
        <v>Elite</v>
      </c>
      <c r="D745" s="30" t="str">
        <f>IFERROR(__xludf.DUMMYFUNCTION("""COMPUTED_VALUE"""),"Menthol")</f>
        <v>Menthol</v>
      </c>
      <c r="E745" s="30" t="str">
        <f>IFERROR(__xludf.DUMMYFUNCTION("""COMPUTED_VALUE"""),"Minty Fresh")</f>
        <v>Minty Fresh</v>
      </c>
      <c r="F745" s="30" t="str">
        <f>IFERROR(__xludf.DUMMYFUNCTION("""COMPUTED_VALUE"""),"Solar")</f>
        <v>Solar</v>
      </c>
      <c r="G745" s="92">
        <f>IFERROR(__xludf.DUMMYFUNCTION("""COMPUTED_VALUE"""),66.02097684283416)</f>
        <v>66.02097684</v>
      </c>
    </row>
    <row r="746">
      <c r="A746" s="30" t="str">
        <f>IFERROR(__xludf.DUMMYFUNCTION("""COMPUTED_VALUE"""),"RSC004990")</f>
        <v>RSC004990</v>
      </c>
      <c r="B746" s="30" t="str">
        <f>IFERROR(__xludf.DUMMYFUNCTION("""COMPUTED_VALUE"""),"Legend")</f>
        <v>Legend</v>
      </c>
      <c r="C746" s="30" t="str">
        <f>IFERROR(__xludf.DUMMYFUNCTION("""COMPUTED_VALUE"""),"Elite")</f>
        <v>Elite</v>
      </c>
      <c r="D746" s="30" t="str">
        <f>IFERROR(__xludf.DUMMYFUNCTION("""COMPUTED_VALUE"""),"Majesties")</f>
        <v>Majesties</v>
      </c>
      <c r="E746" s="30" t="str">
        <f>IFERROR(__xludf.DUMMYFUNCTION("""COMPUTED_VALUE"""),"Monarchy")</f>
        <v>Monarchy</v>
      </c>
      <c r="F746" s="30" t="str">
        <f>IFERROR(__xludf.DUMMYFUNCTION("""COMPUTED_VALUE"""),"Lunar")</f>
        <v>Lunar</v>
      </c>
      <c r="G746" s="92">
        <f>IFERROR(__xludf.DUMMYFUNCTION("""COMPUTED_VALUE"""),21.774047397672952)</f>
        <v>21.7740474</v>
      </c>
    </row>
    <row r="747">
      <c r="A747" s="30" t="str">
        <f>IFERROR(__xludf.DUMMYFUNCTION("""COMPUTED_VALUE"""),"RSC006745")</f>
        <v>RSC006745</v>
      </c>
      <c r="B747" s="30" t="str">
        <f>IFERROR(__xludf.DUMMYFUNCTION("""COMPUTED_VALUE"""),"Angel &lt;3")</f>
        <v>Angel &lt;3</v>
      </c>
      <c r="C747" s="30" t="str">
        <f>IFERROR(__xludf.DUMMYFUNCTION("""COMPUTED_VALUE"""),"Elite")</f>
        <v>Elite</v>
      </c>
      <c r="D747" s="30" t="str">
        <f>IFERROR(__xludf.DUMMYFUNCTION("""COMPUTED_VALUE"""),"Majesties")</f>
        <v>Majesties</v>
      </c>
      <c r="E747" s="30" t="str">
        <f>IFERROR(__xludf.DUMMYFUNCTION("""COMPUTED_VALUE"""),"Monarchy")</f>
        <v>Monarchy</v>
      </c>
      <c r="F747" s="30" t="str">
        <f>IFERROR(__xludf.DUMMYFUNCTION("""COMPUTED_VALUE"""),"Lunar")</f>
        <v>Lunar</v>
      </c>
      <c r="G747" s="92">
        <f>IFERROR(__xludf.DUMMYFUNCTION("""COMPUTED_VALUE"""),36.11656607256705)</f>
        <v>36.11656607</v>
      </c>
    </row>
    <row r="748">
      <c r="A748" s="30" t="str">
        <f>IFERROR(__xludf.DUMMYFUNCTION("""COMPUTED_VALUE"""),"RSC007514")</f>
        <v>RSC007514</v>
      </c>
      <c r="B748" s="30" t="str">
        <f>IFERROR(__xludf.DUMMYFUNCTION("""COMPUTED_VALUE"""),"Sauce_Boss_36")</f>
        <v>Sauce_Boss_36</v>
      </c>
      <c r="C748" s="30" t="str">
        <f>IFERROR(__xludf.DUMMYFUNCTION("""COMPUTED_VALUE"""),"Elite")</f>
        <v>Elite</v>
      </c>
      <c r="D748" s="30" t="str">
        <f>IFERROR(__xludf.DUMMYFUNCTION("""COMPUTED_VALUE"""),"Majesties")</f>
        <v>Majesties</v>
      </c>
      <c r="E748" s="30" t="str">
        <f>IFERROR(__xludf.DUMMYFUNCTION("""COMPUTED_VALUE"""),"Monarchy")</f>
        <v>Monarchy</v>
      </c>
      <c r="F748" s="30" t="str">
        <f>IFERROR(__xludf.DUMMYFUNCTION("""COMPUTED_VALUE"""),"Lunar")</f>
        <v>Lunar</v>
      </c>
      <c r="G748" s="92">
        <f>IFERROR(__xludf.DUMMYFUNCTION("""COMPUTED_VALUE"""),32.05268751722586)</f>
        <v>32.05268752</v>
      </c>
    </row>
    <row r="749">
      <c r="A749" s="30" t="str">
        <f>IFERROR(__xludf.DUMMYFUNCTION("""COMPUTED_VALUE"""),"RSC000030")</f>
        <v>RSC000030</v>
      </c>
      <c r="B749" s="30" t="str">
        <f>IFERROR(__xludf.DUMMYFUNCTION("""COMPUTED_VALUE"""),"ADeadM0053")</f>
        <v>ADeadM0053</v>
      </c>
      <c r="C749" s="30" t="str">
        <f>IFERROR(__xludf.DUMMYFUNCTION("""COMPUTED_VALUE"""),"Elite")</f>
        <v>Elite</v>
      </c>
      <c r="D749" s="30" t="str">
        <f>IFERROR(__xludf.DUMMYFUNCTION("""COMPUTED_VALUE"""),"Drive Bye")</f>
        <v>Drive Bye</v>
      </c>
      <c r="E749" s="30" t="str">
        <f>IFERROR(__xludf.DUMMYFUNCTION("""COMPUTED_VALUE"""),"The Hood")</f>
        <v>The Hood</v>
      </c>
      <c r="F749" s="30" t="str">
        <f>IFERROR(__xludf.DUMMYFUNCTION("""COMPUTED_VALUE"""),"Lunar")</f>
        <v>Lunar</v>
      </c>
      <c r="G749" s="92">
        <f>IFERROR(__xludf.DUMMYFUNCTION("""COMPUTED_VALUE"""),28.620184414203983)</f>
        <v>28.62018441</v>
      </c>
    </row>
    <row r="750">
      <c r="A750" s="30" t="str">
        <f>IFERROR(__xludf.DUMMYFUNCTION("""COMPUTED_VALUE"""),"RSC003082")</f>
        <v>RSC003082</v>
      </c>
      <c r="B750" s="30" t="str">
        <f>IFERROR(__xludf.DUMMYFUNCTION("""COMPUTED_VALUE"""),"Skulzy9")</f>
        <v>Skulzy9</v>
      </c>
      <c r="C750" s="30" t="str">
        <f>IFERROR(__xludf.DUMMYFUNCTION("""COMPUTED_VALUE"""),"Elite")</f>
        <v>Elite</v>
      </c>
      <c r="D750" s="30" t="str">
        <f>IFERROR(__xludf.DUMMYFUNCTION("""COMPUTED_VALUE"""),"Drive Bye")</f>
        <v>Drive Bye</v>
      </c>
      <c r="E750" s="30" t="str">
        <f>IFERROR(__xludf.DUMMYFUNCTION("""COMPUTED_VALUE"""),"The Hood")</f>
        <v>The Hood</v>
      </c>
      <c r="F750" s="30" t="str">
        <f>IFERROR(__xludf.DUMMYFUNCTION("""COMPUTED_VALUE"""),"Lunar")</f>
        <v>Lunar</v>
      </c>
      <c r="G750" s="92">
        <f>IFERROR(__xludf.DUMMYFUNCTION("""COMPUTED_VALUE"""),40.15859879649421)</f>
        <v>40.1585988</v>
      </c>
    </row>
    <row r="751">
      <c r="A751" s="30" t="str">
        <f>IFERROR(__xludf.DUMMYFUNCTION("""COMPUTED_VALUE"""),"RSC000690")</f>
        <v>RSC000690</v>
      </c>
      <c r="B751" s="30" t="str">
        <f>IFERROR(__xludf.DUMMYFUNCTION("""COMPUTED_VALUE"""),"paco")</f>
        <v>paco</v>
      </c>
      <c r="C751" s="30" t="str">
        <f>IFERROR(__xludf.DUMMYFUNCTION("""COMPUTED_VALUE"""),"Elite")</f>
        <v>Elite</v>
      </c>
      <c r="D751" s="30" t="str">
        <f>IFERROR(__xludf.DUMMYFUNCTION("""COMPUTED_VALUE"""),"Drive Bye")</f>
        <v>Drive Bye</v>
      </c>
      <c r="E751" s="30" t="str">
        <f>IFERROR(__xludf.DUMMYFUNCTION("""COMPUTED_VALUE"""),"The Hood")</f>
        <v>The Hood</v>
      </c>
      <c r="F751" s="30" t="str">
        <f>IFERROR(__xludf.DUMMYFUNCTION("""COMPUTED_VALUE"""),"Lunar")</f>
        <v>Lunar</v>
      </c>
      <c r="G751" s="92">
        <f>IFERROR(__xludf.DUMMYFUNCTION("""COMPUTED_VALUE"""),15.998989889276302)</f>
        <v>15.99898989</v>
      </c>
    </row>
    <row r="752">
      <c r="A752" s="30" t="str">
        <f>IFERROR(__xludf.DUMMYFUNCTION("""COMPUTED_VALUE"""),"RSC002890")</f>
        <v>RSC002890</v>
      </c>
      <c r="B752" s="30" t="str">
        <f>IFERROR(__xludf.DUMMYFUNCTION("""COMPUTED_VALUE"""),"Myth1ck")</f>
        <v>Myth1ck</v>
      </c>
      <c r="C752" s="30" t="str">
        <f>IFERROR(__xludf.DUMMYFUNCTION("""COMPUTED_VALUE"""),"Elite")</f>
        <v>Elite</v>
      </c>
      <c r="D752" s="30" t="str">
        <f>IFERROR(__xludf.DUMMYFUNCTION("""COMPUTED_VALUE"""),"Black-Holes")</f>
        <v>Black-Holes</v>
      </c>
      <c r="E752" s="30" t="str">
        <f>IFERROR(__xludf.DUMMYFUNCTION("""COMPUTED_VALUE"""),"The Cosmos")</f>
        <v>The Cosmos</v>
      </c>
      <c r="F752" s="30" t="str">
        <f>IFERROR(__xludf.DUMMYFUNCTION("""COMPUTED_VALUE"""),"Solar")</f>
        <v>Solar</v>
      </c>
      <c r="G752" s="92">
        <f>IFERROR(__xludf.DUMMYFUNCTION("""COMPUTED_VALUE"""),68.04210202249479)</f>
        <v>68.04210202</v>
      </c>
    </row>
    <row r="753">
      <c r="A753" s="30" t="str">
        <f>IFERROR(__xludf.DUMMYFUNCTION("""COMPUTED_VALUE"""),"RSC007869")</f>
        <v>RSC007869</v>
      </c>
      <c r="B753" s="30" t="str">
        <f>IFERROR(__xludf.DUMMYFUNCTION("""COMPUTED_VALUE"""),"Swishira")</f>
        <v>Swishira</v>
      </c>
      <c r="C753" s="30" t="str">
        <f>IFERROR(__xludf.DUMMYFUNCTION("""COMPUTED_VALUE"""),"Elite")</f>
        <v>Elite</v>
      </c>
      <c r="D753" s="30" t="str">
        <f>IFERROR(__xludf.DUMMYFUNCTION("""COMPUTED_VALUE"""),"Black-Holes")</f>
        <v>Black-Holes</v>
      </c>
      <c r="E753" s="30" t="str">
        <f>IFERROR(__xludf.DUMMYFUNCTION("""COMPUTED_VALUE"""),"The Cosmos")</f>
        <v>The Cosmos</v>
      </c>
      <c r="F753" s="30" t="str">
        <f>IFERROR(__xludf.DUMMYFUNCTION("""COMPUTED_VALUE"""),"Solar")</f>
        <v>Solar</v>
      </c>
      <c r="G753" s="92">
        <f>IFERROR(__xludf.DUMMYFUNCTION("""COMPUTED_VALUE"""),106.51451719991367)</f>
        <v>106.5145172</v>
      </c>
    </row>
    <row r="754">
      <c r="A754" s="30" t="str">
        <f>IFERROR(__xludf.DUMMYFUNCTION("""COMPUTED_VALUE"""),"RSC001292")</f>
        <v>RSC001292</v>
      </c>
      <c r="B754" s="30" t="str">
        <f>IFERROR(__xludf.DUMMYFUNCTION("""COMPUTED_VALUE"""),"flamethrowr")</f>
        <v>flamethrowr</v>
      </c>
      <c r="C754" s="30" t="str">
        <f>IFERROR(__xludf.DUMMYFUNCTION("""COMPUTED_VALUE"""),"Elite")</f>
        <v>Elite</v>
      </c>
      <c r="D754" s="30" t="str">
        <f>IFERROR(__xludf.DUMMYFUNCTION("""COMPUTED_VALUE"""),"Black-Holes")</f>
        <v>Black-Holes</v>
      </c>
      <c r="E754" s="30" t="str">
        <f>IFERROR(__xludf.DUMMYFUNCTION("""COMPUTED_VALUE"""),"The Cosmos")</f>
        <v>The Cosmos</v>
      </c>
      <c r="F754" s="30" t="str">
        <f>IFERROR(__xludf.DUMMYFUNCTION("""COMPUTED_VALUE"""),"Solar")</f>
        <v>Solar</v>
      </c>
      <c r="G754" s="92">
        <f>IFERROR(__xludf.DUMMYFUNCTION("""COMPUTED_VALUE"""),55.46964303475698)</f>
        <v>55.46964303</v>
      </c>
    </row>
    <row r="755">
      <c r="A755" s="30" t="str">
        <f>IFERROR(__xludf.DUMMYFUNCTION("""COMPUTED_VALUE"""),"RSC007580")</f>
        <v>RSC007580</v>
      </c>
      <c r="B755" s="30" t="str">
        <f>IFERROR(__xludf.DUMMYFUNCTION("""COMPUTED_VALUE"""),"M4ttiusM4ximu5")</f>
        <v>M4ttiusM4ximu5</v>
      </c>
      <c r="C755" s="30" t="str">
        <f>IFERROR(__xludf.DUMMYFUNCTION("""COMPUTED_VALUE"""),"Elite")</f>
        <v>Elite</v>
      </c>
      <c r="D755" s="30" t="str">
        <f>IFERROR(__xludf.DUMMYFUNCTION("""COMPUTED_VALUE"""),"Pixel Picassos
Cyclones")</f>
        <v>Pixel Picassos
Cyclones</v>
      </c>
      <c r="E755" s="30" t="str">
        <f>IFERROR(__xludf.DUMMYFUNCTION("""COMPUTED_VALUE"""),"Art Club
Storm")</f>
        <v>Art Club
Storm</v>
      </c>
      <c r="F755" s="30" t="str">
        <f>IFERROR(__xludf.DUMMYFUNCTION("""COMPUTED_VALUE"""),"Solar")</f>
        <v>Solar</v>
      </c>
      <c r="G755" s="92">
        <f>IFERROR(__xludf.DUMMYFUNCTION("""COMPUTED_VALUE"""),51.64237512778219)</f>
        <v>51.64237513</v>
      </c>
    </row>
    <row r="756">
      <c r="A756" s="30" t="str">
        <f>IFERROR(__xludf.DUMMYFUNCTION("""COMPUTED_VALUE"""),"RSC000623")</f>
        <v>RSC000623</v>
      </c>
      <c r="B756" s="30" t="str">
        <f>IFERROR(__xludf.DUMMYFUNCTION("""COMPUTED_VALUE"""),"wall2wall3")</f>
        <v>wall2wall3</v>
      </c>
      <c r="C756" s="30" t="str">
        <f>IFERROR(__xludf.DUMMYFUNCTION("""COMPUTED_VALUE"""),"Elite")</f>
        <v>Elite</v>
      </c>
      <c r="D756" s="30" t="str">
        <f>IFERROR(__xludf.DUMMYFUNCTION("""COMPUTED_VALUE"""),"Cyclones")</f>
        <v>Cyclones</v>
      </c>
      <c r="E756" s="30" t="str">
        <f>IFERROR(__xludf.DUMMYFUNCTION("""COMPUTED_VALUE"""),"Storm")</f>
        <v>Storm</v>
      </c>
      <c r="F756" s="30" t="str">
        <f>IFERROR(__xludf.DUMMYFUNCTION("""COMPUTED_VALUE"""),"Solar")</f>
        <v>Solar</v>
      </c>
      <c r="G756" s="92">
        <f>IFERROR(__xludf.DUMMYFUNCTION("""COMPUTED_VALUE"""),60.123512799404594)</f>
        <v>60.1235128</v>
      </c>
    </row>
    <row r="757">
      <c r="A757" s="30" t="str">
        <f>IFERROR(__xludf.DUMMYFUNCTION("""COMPUTED_VALUE"""),"RSC002892")</f>
        <v>RSC002892</v>
      </c>
      <c r="B757" s="30" t="str">
        <f>IFERROR(__xludf.DUMMYFUNCTION("""COMPUTED_VALUE"""),"nickm")</f>
        <v>nickm</v>
      </c>
      <c r="C757" s="30" t="str">
        <f>IFERROR(__xludf.DUMMYFUNCTION("""COMPUTED_VALUE"""),"Elite")</f>
        <v>Elite</v>
      </c>
      <c r="D757" s="30" t="str">
        <f>IFERROR(__xludf.DUMMYFUNCTION("""COMPUTED_VALUE"""),"Cyclones")</f>
        <v>Cyclones</v>
      </c>
      <c r="E757" s="30" t="str">
        <f>IFERROR(__xludf.DUMMYFUNCTION("""COMPUTED_VALUE"""),"Storm")</f>
        <v>Storm</v>
      </c>
      <c r="F757" s="30" t="str">
        <f>IFERROR(__xludf.DUMMYFUNCTION("""COMPUTED_VALUE"""),"Solar")</f>
        <v>Solar</v>
      </c>
      <c r="G757" s="92">
        <f>IFERROR(__xludf.DUMMYFUNCTION("""COMPUTED_VALUE"""),27.5760855830525)</f>
        <v>27.57608558</v>
      </c>
    </row>
    <row r="758">
      <c r="A758" s="30" t="str">
        <f>IFERROR(__xludf.DUMMYFUNCTION("""COMPUTED_VALUE"""),"RSC002164")</f>
        <v>RSC002164</v>
      </c>
      <c r="B758" s="30" t="str">
        <f>IFERROR(__xludf.DUMMYFUNCTION("""COMPUTED_VALUE"""),"Dosia")</f>
        <v>Dosia</v>
      </c>
      <c r="C758" s="30" t="str">
        <f>IFERROR(__xludf.DUMMYFUNCTION("""COMPUTED_VALUE"""),"Elite")</f>
        <v>Elite</v>
      </c>
      <c r="D758" s="30" t="str">
        <f>IFERROR(__xludf.DUMMYFUNCTION("""COMPUTED_VALUE"""),"Wyverns")</f>
        <v>Wyverns</v>
      </c>
      <c r="E758" s="30" t="str">
        <f>IFERROR(__xludf.DUMMYFUNCTION("""COMPUTED_VALUE"""),"The Forest")</f>
        <v>The Forest</v>
      </c>
      <c r="F758" s="30" t="str">
        <f>IFERROR(__xludf.DUMMYFUNCTION("""COMPUTED_VALUE"""),"Solar")</f>
        <v>Solar</v>
      </c>
      <c r="G758" s="92">
        <f>IFERROR(__xludf.DUMMYFUNCTION("""COMPUTED_VALUE"""),44.13899195136834)</f>
        <v>44.13899195</v>
      </c>
    </row>
    <row r="759">
      <c r="A759" s="30" t="str">
        <f>IFERROR(__xludf.DUMMYFUNCTION("""COMPUTED_VALUE"""),"RSC000626")</f>
        <v>RSC000626</v>
      </c>
      <c r="B759" s="30" t="str">
        <f>IFERROR(__xludf.DUMMYFUNCTION("""COMPUTED_VALUE"""),"Canadian Things")</f>
        <v>Canadian Things</v>
      </c>
      <c r="C759" s="30" t="str">
        <f>IFERROR(__xludf.DUMMYFUNCTION("""COMPUTED_VALUE"""),"Elite")</f>
        <v>Elite</v>
      </c>
      <c r="D759" s="30" t="str">
        <f>IFERROR(__xludf.DUMMYFUNCTION("""COMPUTED_VALUE"""),"Menthol")</f>
        <v>Menthol</v>
      </c>
      <c r="E759" s="30" t="str">
        <f>IFERROR(__xludf.DUMMYFUNCTION("""COMPUTED_VALUE"""),"Minty Fresh")</f>
        <v>Minty Fresh</v>
      </c>
      <c r="F759" s="30" t="str">
        <f>IFERROR(__xludf.DUMMYFUNCTION("""COMPUTED_VALUE"""),"Solar")</f>
        <v>Solar</v>
      </c>
      <c r="G759" s="92">
        <f>IFERROR(__xludf.DUMMYFUNCTION("""COMPUTED_VALUE"""),48.70590487873608)</f>
        <v>48.70590488</v>
      </c>
    </row>
    <row r="760">
      <c r="A760" s="30" t="str">
        <f>IFERROR(__xludf.DUMMYFUNCTION("""COMPUTED_VALUE"""),"RSC006188")</f>
        <v>RSC006188</v>
      </c>
      <c r="B760" s="30" t="str">
        <f>IFERROR(__xludf.DUMMYFUNCTION("""COMPUTED_VALUE"""),"Billy_Man_Fi3h")</f>
        <v>Billy_Man_Fi3h</v>
      </c>
      <c r="C760" s="30" t="str">
        <f>IFERROR(__xludf.DUMMYFUNCTION("""COMPUTED_VALUE"""),"Elite")</f>
        <v>Elite</v>
      </c>
      <c r="D760" s="30" t="str">
        <f>IFERROR(__xludf.DUMMYFUNCTION("""COMPUTED_VALUE"""),"Pixel Picassos")</f>
        <v>Pixel Picassos</v>
      </c>
      <c r="E760" s="30" t="str">
        <f>IFERROR(__xludf.DUMMYFUNCTION("""COMPUTED_VALUE"""),"Art Club")</f>
        <v>Art Club</v>
      </c>
      <c r="F760" s="30" t="str">
        <f>IFERROR(__xludf.DUMMYFUNCTION("""COMPUTED_VALUE"""),"Solar")</f>
        <v>Solar</v>
      </c>
      <c r="G760" s="92">
        <f>IFERROR(__xludf.DUMMYFUNCTION("""COMPUTED_VALUE"""),25.627740117299606)</f>
        <v>25.62774012</v>
      </c>
    </row>
    <row r="761">
      <c r="A761" s="30" t="str">
        <f>IFERROR(__xludf.DUMMYFUNCTION("""COMPUTED_VALUE"""),"RSC005872")</f>
        <v>RSC005872</v>
      </c>
      <c r="B761" s="30" t="str">
        <f>IFERROR(__xludf.DUMMYFUNCTION("""COMPUTED_VALUE"""),"Ditto")</f>
        <v>Ditto</v>
      </c>
      <c r="C761" s="30" t="str">
        <f>IFERROR(__xludf.DUMMYFUNCTION("""COMPUTED_VALUE"""),"Elite")</f>
        <v>Elite</v>
      </c>
      <c r="D761" s="30" t="str">
        <f>IFERROR(__xludf.DUMMYFUNCTION("""COMPUTED_VALUE"""),"Pixel Picassos")</f>
        <v>Pixel Picassos</v>
      </c>
      <c r="E761" s="30" t="str">
        <f>IFERROR(__xludf.DUMMYFUNCTION("""COMPUTED_VALUE"""),"Art Club")</f>
        <v>Art Club</v>
      </c>
      <c r="F761" s="30" t="str">
        <f>IFERROR(__xludf.DUMMYFUNCTION("""COMPUTED_VALUE"""),"Solar")</f>
        <v>Solar</v>
      </c>
      <c r="G761" s="92">
        <f>IFERROR(__xludf.DUMMYFUNCTION("""COMPUTED_VALUE"""),42.67105104334328)</f>
        <v>42.67105104</v>
      </c>
    </row>
    <row r="762">
      <c r="A762" s="30" t="str">
        <f>IFERROR(__xludf.DUMMYFUNCTION("""COMPUTED_VALUE"""),"RSC005308")</f>
        <v>RSC005308</v>
      </c>
      <c r="B762" s="30" t="str">
        <f>IFERROR(__xludf.DUMMYFUNCTION("""COMPUTED_VALUE"""),"6 lbs of Yeet")</f>
        <v>6 lbs of Yeet</v>
      </c>
      <c r="C762" s="30" t="str">
        <f>IFERROR(__xludf.DUMMYFUNCTION("""COMPUTED_VALUE"""),"Elite")</f>
        <v>Elite</v>
      </c>
      <c r="D762" s="30" t="str">
        <f>IFERROR(__xludf.DUMMYFUNCTION("""COMPUTED_VALUE"""),"Pixel Picassos")</f>
        <v>Pixel Picassos</v>
      </c>
      <c r="E762" s="30" t="str">
        <f>IFERROR(__xludf.DUMMYFUNCTION("""COMPUTED_VALUE"""),"Art Club")</f>
        <v>Art Club</v>
      </c>
      <c r="F762" s="30" t="str">
        <f>IFERROR(__xludf.DUMMYFUNCTION("""COMPUTED_VALUE"""),"Solar")</f>
        <v>Solar</v>
      </c>
      <c r="G762" s="92">
        <f>IFERROR(__xludf.DUMMYFUNCTION("""COMPUTED_VALUE"""),25.17212277727325)</f>
        <v>25.17212278</v>
      </c>
    </row>
    <row r="763">
      <c r="A763" s="30" t="str">
        <f>IFERROR(__xludf.DUMMYFUNCTION("""COMPUTED_VALUE"""),"RSC006395")</f>
        <v>RSC006395</v>
      </c>
      <c r="B763" s="30" t="str">
        <f>IFERROR(__xludf.DUMMYFUNCTION("""COMPUTED_VALUE"""),"Gizmo")</f>
        <v>Gizmo</v>
      </c>
      <c r="C763" s="30" t="str">
        <f>IFERROR(__xludf.DUMMYFUNCTION("""COMPUTED_VALUE"""),"Elite")</f>
        <v>Elite</v>
      </c>
      <c r="D763" s="30" t="str">
        <f>IFERROR(__xludf.DUMMYFUNCTION("""COMPUTED_VALUE"""),"Forge Defenders")</f>
        <v>Forge Defenders</v>
      </c>
      <c r="E763" s="30" t="str">
        <f>IFERROR(__xludf.DUMMYFUNCTION("""COMPUTED_VALUE"""),"Dwarf Haven")</f>
        <v>Dwarf Haven</v>
      </c>
      <c r="F763" s="30" t="str">
        <f>IFERROR(__xludf.DUMMYFUNCTION("""COMPUTED_VALUE"""),"Solar")</f>
        <v>Solar</v>
      </c>
      <c r="G763" s="92">
        <f>IFERROR(__xludf.DUMMYFUNCTION("""COMPUTED_VALUE"""),58.14069646260708)</f>
        <v>58.14069646</v>
      </c>
    </row>
    <row r="764">
      <c r="A764" s="30" t="str">
        <f>IFERROR(__xludf.DUMMYFUNCTION("""COMPUTED_VALUE"""),"RSC004863")</f>
        <v>RSC004863</v>
      </c>
      <c r="B764" s="30" t="str">
        <f>IFERROR(__xludf.DUMMYFUNCTION("""COMPUTED_VALUE"""),"wicked")</f>
        <v>wicked</v>
      </c>
      <c r="C764" s="30" t="str">
        <f>IFERROR(__xludf.DUMMYFUNCTION("""COMPUTED_VALUE"""),"Elite")</f>
        <v>Elite</v>
      </c>
      <c r="D764" s="30" t="str">
        <f>IFERROR(__xludf.DUMMYFUNCTION("""COMPUTED_VALUE"""),"Forge Defenders")</f>
        <v>Forge Defenders</v>
      </c>
      <c r="E764" s="30" t="str">
        <f>IFERROR(__xludf.DUMMYFUNCTION("""COMPUTED_VALUE"""),"Dwarf Haven")</f>
        <v>Dwarf Haven</v>
      </c>
      <c r="F764" s="30" t="str">
        <f>IFERROR(__xludf.DUMMYFUNCTION("""COMPUTED_VALUE"""),"Solar")</f>
        <v>Solar</v>
      </c>
      <c r="G764" s="92">
        <f>IFERROR(__xludf.DUMMYFUNCTION("""COMPUTED_VALUE"""),56.090529404218024)</f>
        <v>56.0905294</v>
      </c>
    </row>
    <row r="765">
      <c r="A765" s="30" t="str">
        <f>IFERROR(__xludf.DUMMYFUNCTION("""COMPUTED_VALUE"""),"RSC001889")</f>
        <v>RSC001889</v>
      </c>
      <c r="B765" s="30" t="str">
        <f>IFERROR(__xludf.DUMMYFUNCTION("""COMPUTED_VALUE"""),"Phelpsy")</f>
        <v>Phelpsy</v>
      </c>
      <c r="C765" s="30" t="str">
        <f>IFERROR(__xludf.DUMMYFUNCTION("""COMPUTED_VALUE"""),"Elite")</f>
        <v>Elite</v>
      </c>
      <c r="D765" s="30" t="str">
        <f>IFERROR(__xludf.DUMMYFUNCTION("""COMPUTED_VALUE"""),"Forge Defenders")</f>
        <v>Forge Defenders</v>
      </c>
      <c r="E765" s="30" t="str">
        <f>IFERROR(__xludf.DUMMYFUNCTION("""COMPUTED_VALUE"""),"Dwarf Haven")</f>
        <v>Dwarf Haven</v>
      </c>
      <c r="F765" s="30" t="str">
        <f>IFERROR(__xludf.DUMMYFUNCTION("""COMPUTED_VALUE"""),"Solar")</f>
        <v>Solar</v>
      </c>
      <c r="G765" s="92">
        <f>IFERROR(__xludf.DUMMYFUNCTION("""COMPUTED_VALUE"""),37.21680072701472)</f>
        <v>37.21680073</v>
      </c>
    </row>
    <row r="766">
      <c r="A766" s="30" t="str">
        <f>IFERROR(__xludf.DUMMYFUNCTION("""COMPUTED_VALUE"""),"RSC005845")</f>
        <v>RSC005845</v>
      </c>
      <c r="B766" s="30" t="str">
        <f>IFERROR(__xludf.DUMMYFUNCTION("""COMPUTED_VALUE"""),"Milk_shakes.")</f>
        <v>Milk_shakes.</v>
      </c>
      <c r="C766" s="30" t="str">
        <f>IFERROR(__xludf.DUMMYFUNCTION("""COMPUTED_VALUE"""),"Elite")</f>
        <v>Elite</v>
      </c>
      <c r="D766" s="30" t="str">
        <f>IFERROR(__xludf.DUMMYFUNCTION("""COMPUTED_VALUE"""),"Keno")</f>
        <v>Keno</v>
      </c>
      <c r="E766" s="30" t="str">
        <f>IFERROR(__xludf.DUMMYFUNCTION("""COMPUTED_VALUE"""),"Never Lucky")</f>
        <v>Never Lucky</v>
      </c>
      <c r="F766" s="30" t="str">
        <f>IFERROR(__xludf.DUMMYFUNCTION("""COMPUTED_VALUE"""),"Lunar")</f>
        <v>Lunar</v>
      </c>
      <c r="G766" s="92">
        <f>IFERROR(__xludf.DUMMYFUNCTION("""COMPUTED_VALUE"""),49.92653388815735)</f>
        <v>49.92653389</v>
      </c>
    </row>
    <row r="767">
      <c r="A767" s="30" t="str">
        <f>IFERROR(__xludf.DUMMYFUNCTION("""COMPUTED_VALUE"""),"RSC006193")</f>
        <v>RSC006193</v>
      </c>
      <c r="B767" s="30" t="str">
        <f>IFERROR(__xludf.DUMMYFUNCTION("""COMPUTED_VALUE"""),"Saucy Rexy")</f>
        <v>Saucy Rexy</v>
      </c>
      <c r="C767" s="30" t="str">
        <f>IFERROR(__xludf.DUMMYFUNCTION("""COMPUTED_VALUE"""),"Elite")</f>
        <v>Elite</v>
      </c>
      <c r="D767" s="30" t="str">
        <f>IFERROR(__xludf.DUMMYFUNCTION("""COMPUTED_VALUE"""),"Keno")</f>
        <v>Keno</v>
      </c>
      <c r="E767" s="30" t="str">
        <f>IFERROR(__xludf.DUMMYFUNCTION("""COMPUTED_VALUE"""),"Never Lucky")</f>
        <v>Never Lucky</v>
      </c>
      <c r="F767" s="30" t="str">
        <f>IFERROR(__xludf.DUMMYFUNCTION("""COMPUTED_VALUE"""),"Lunar")</f>
        <v>Lunar</v>
      </c>
      <c r="G767" s="92">
        <f>IFERROR(__xludf.DUMMYFUNCTION("""COMPUTED_VALUE"""),41.46648315288611)</f>
        <v>41.46648315</v>
      </c>
    </row>
    <row r="768">
      <c r="A768" s="30" t="str">
        <f>IFERROR(__xludf.DUMMYFUNCTION("""COMPUTED_VALUE"""),"RSC006668")</f>
        <v>RSC006668</v>
      </c>
      <c r="B768" s="30" t="str">
        <f>IFERROR(__xludf.DUMMYFUNCTION("""COMPUTED_VALUE"""),"anubis")</f>
        <v>anubis</v>
      </c>
      <c r="C768" s="30" t="str">
        <f>IFERROR(__xludf.DUMMYFUNCTION("""COMPUTED_VALUE"""),"Elite")</f>
        <v>Elite</v>
      </c>
      <c r="D768" s="30" t="str">
        <f>IFERROR(__xludf.DUMMYFUNCTION("""COMPUTED_VALUE"""),"Keno")</f>
        <v>Keno</v>
      </c>
      <c r="E768" s="30" t="str">
        <f>IFERROR(__xludf.DUMMYFUNCTION("""COMPUTED_VALUE"""),"Never Lucky")</f>
        <v>Never Lucky</v>
      </c>
      <c r="F768" s="30" t="str">
        <f>IFERROR(__xludf.DUMMYFUNCTION("""COMPUTED_VALUE"""),"Lunar")</f>
        <v>Lunar</v>
      </c>
      <c r="G768" s="92">
        <f>IFERROR(__xludf.DUMMYFUNCTION("""COMPUTED_VALUE"""),58.35880903961464)</f>
        <v>58.35880904</v>
      </c>
    </row>
    <row r="769">
      <c r="A769" s="30" t="str">
        <f>IFERROR(__xludf.DUMMYFUNCTION("""COMPUTED_VALUE"""),"RSC002498")</f>
        <v>RSC002498</v>
      </c>
      <c r="B769" s="30" t="str">
        <f>IFERROR(__xludf.DUMMYFUNCTION("""COMPUTED_VALUE"""),"Justin")</f>
        <v>Justin</v>
      </c>
      <c r="C769" s="30" t="str">
        <f>IFERROR(__xludf.DUMMYFUNCTION("""COMPUTED_VALUE"""),"Elite")</f>
        <v>Elite</v>
      </c>
      <c r="D769" s="30" t="str">
        <f>IFERROR(__xludf.DUMMYFUNCTION("""COMPUTED_VALUE"""),"Nightshade")</f>
        <v>Nightshade</v>
      </c>
      <c r="E769" s="30" t="str">
        <f>IFERROR(__xludf.DUMMYFUNCTION("""COMPUTED_VALUE"""),"Flower Road")</f>
        <v>Flower Road</v>
      </c>
      <c r="F769" s="30" t="str">
        <f>IFERROR(__xludf.DUMMYFUNCTION("""COMPUTED_VALUE"""),"Lunar")</f>
        <v>Lunar</v>
      </c>
      <c r="G769" s="92">
        <f>IFERROR(__xludf.DUMMYFUNCTION("""COMPUTED_VALUE"""),56.73601161240343)</f>
        <v>56.73601161</v>
      </c>
    </row>
    <row r="770">
      <c r="A770" s="30" t="str">
        <f>IFERROR(__xludf.DUMMYFUNCTION("""COMPUTED_VALUE"""),"RSC005298")</f>
        <v>RSC005298</v>
      </c>
      <c r="B770" s="30" t="str">
        <f>IFERROR(__xludf.DUMMYFUNCTION("""COMPUTED_VALUE"""),"Kaisaroh")</f>
        <v>Kaisaroh</v>
      </c>
      <c r="C770" s="30" t="str">
        <f>IFERROR(__xludf.DUMMYFUNCTION("""COMPUTED_VALUE"""),"Elite")</f>
        <v>Elite</v>
      </c>
      <c r="D770" s="30" t="str">
        <f>IFERROR(__xludf.DUMMYFUNCTION("""COMPUTED_VALUE"""),"Nightshade")</f>
        <v>Nightshade</v>
      </c>
      <c r="E770" s="30" t="str">
        <f>IFERROR(__xludf.DUMMYFUNCTION("""COMPUTED_VALUE"""),"Flower Road")</f>
        <v>Flower Road</v>
      </c>
      <c r="F770" s="30" t="str">
        <f>IFERROR(__xludf.DUMMYFUNCTION("""COMPUTED_VALUE"""),"Lunar")</f>
        <v>Lunar</v>
      </c>
      <c r="G770" s="92">
        <f>IFERROR(__xludf.DUMMYFUNCTION("""COMPUTED_VALUE"""),65.47220504901372)</f>
        <v>65.47220505</v>
      </c>
    </row>
    <row r="771">
      <c r="A771" s="30" t="str">
        <f>IFERROR(__xludf.DUMMYFUNCTION("""COMPUTED_VALUE"""),"RSC005709")</f>
        <v>RSC005709</v>
      </c>
      <c r="B771" s="30" t="str">
        <f>IFERROR(__xludf.DUMMYFUNCTION("""COMPUTED_VALUE"""),"ZavaRL")</f>
        <v>ZavaRL</v>
      </c>
      <c r="C771" s="30" t="str">
        <f>IFERROR(__xludf.DUMMYFUNCTION("""COMPUTED_VALUE"""),"Elite")</f>
        <v>Elite</v>
      </c>
      <c r="D771" s="30" t="str">
        <f>IFERROR(__xludf.DUMMYFUNCTION("""COMPUTED_VALUE"""),"Orochi
Nightshade")</f>
        <v>Orochi
Nightshade</v>
      </c>
      <c r="E771" s="30" t="str">
        <f>IFERROR(__xludf.DUMMYFUNCTION("""COMPUTED_VALUE"""),"The Shrine
Flower Road")</f>
        <v>The Shrine
Flower Road</v>
      </c>
      <c r="F771" s="30" t="str">
        <f>IFERROR(__xludf.DUMMYFUNCTION("""COMPUTED_VALUE"""),"Lunar")</f>
        <v>Lunar</v>
      </c>
      <c r="G771" s="92">
        <f>IFERROR(__xludf.DUMMYFUNCTION("""COMPUTED_VALUE"""),40.83911990122361)</f>
        <v>40.8391199</v>
      </c>
    </row>
    <row r="772">
      <c r="A772" s="30" t="str">
        <f>IFERROR(__xludf.DUMMYFUNCTION("""COMPUTED_VALUE"""),"RSC003561")</f>
        <v>RSC003561</v>
      </c>
      <c r="B772" s="30" t="str">
        <f>IFERROR(__xludf.DUMMYFUNCTION("""COMPUTED_VALUE"""),"Dooober")</f>
        <v>Dooober</v>
      </c>
      <c r="C772" s="30" t="str">
        <f>IFERROR(__xludf.DUMMYFUNCTION("""COMPUTED_VALUE"""),"Elite")</f>
        <v>Elite</v>
      </c>
      <c r="D772" s="30" t="str">
        <f>IFERROR(__xludf.DUMMYFUNCTION("""COMPUTED_VALUE"""),"Drive Bye")</f>
        <v>Drive Bye</v>
      </c>
      <c r="E772" s="30" t="str">
        <f>IFERROR(__xludf.DUMMYFUNCTION("""COMPUTED_VALUE"""),"The Hood")</f>
        <v>The Hood</v>
      </c>
      <c r="F772" s="30" t="str">
        <f>IFERROR(__xludf.DUMMYFUNCTION("""COMPUTED_VALUE"""),"Lunar")</f>
        <v>Lunar</v>
      </c>
      <c r="G772" s="92">
        <f>IFERROR(__xludf.DUMMYFUNCTION("""COMPUTED_VALUE"""),41.259534354992766)</f>
        <v>41.25953435</v>
      </c>
    </row>
    <row r="773">
      <c r="A773" s="30" t="str">
        <f>IFERROR(__xludf.DUMMYFUNCTION("""COMPUTED_VALUE"""),"RSC007470")</f>
        <v>RSC007470</v>
      </c>
      <c r="B773" s="30" t="str">
        <f>IFERROR(__xludf.DUMMYFUNCTION("""COMPUTED_VALUE"""),"Fused Gavin")</f>
        <v>Fused Gavin</v>
      </c>
      <c r="C773" s="30" t="str">
        <f>IFERROR(__xludf.DUMMYFUNCTION("""COMPUTED_VALUE"""),"Elite")</f>
        <v>Elite</v>
      </c>
      <c r="D773" s="30" t="str">
        <f>IFERROR(__xludf.DUMMYFUNCTION("""COMPUTED_VALUE"""),"Loonie")</f>
        <v>Loonie</v>
      </c>
      <c r="E773" s="30" t="str">
        <f>IFERROR(__xludf.DUMMYFUNCTION("""COMPUTED_VALUE"""),"Money Makers")</f>
        <v>Money Makers</v>
      </c>
      <c r="F773" s="30" t="str">
        <f>IFERROR(__xludf.DUMMYFUNCTION("""COMPUTED_VALUE"""),"Solar")</f>
        <v>Solar</v>
      </c>
      <c r="G773" s="92">
        <f>IFERROR(__xludf.DUMMYFUNCTION("""COMPUTED_VALUE"""),10.041994534314476)</f>
        <v>10.04199453</v>
      </c>
    </row>
    <row r="774">
      <c r="A774" s="30" t="str">
        <f>IFERROR(__xludf.DUMMYFUNCTION("""COMPUTED_VALUE"""),"RSC002161")</f>
        <v>RSC002161</v>
      </c>
      <c r="B774" s="30" t="str">
        <f>IFERROR(__xludf.DUMMYFUNCTION("""COMPUTED_VALUE"""),"TheAngryTryhard")</f>
        <v>TheAngryTryhard</v>
      </c>
      <c r="C774" s="30" t="str">
        <f>IFERROR(__xludf.DUMMYFUNCTION("""COMPUTED_VALUE"""),"Elite")</f>
        <v>Elite</v>
      </c>
      <c r="D774" s="30" t="str">
        <f>IFERROR(__xludf.DUMMYFUNCTION("""COMPUTED_VALUE"""),"Loonie")</f>
        <v>Loonie</v>
      </c>
      <c r="E774" s="30" t="str">
        <f>IFERROR(__xludf.DUMMYFUNCTION("""COMPUTED_VALUE"""),"Money Makers")</f>
        <v>Money Makers</v>
      </c>
      <c r="F774" s="30" t="str">
        <f>IFERROR(__xludf.DUMMYFUNCTION("""COMPUTED_VALUE"""),"Solar")</f>
        <v>Solar</v>
      </c>
      <c r="G774" s="92">
        <f>IFERROR(__xludf.DUMMYFUNCTION("""COMPUTED_VALUE"""),37.463798164465416)</f>
        <v>37.46379816</v>
      </c>
    </row>
    <row r="775">
      <c r="A775" s="30" t="str">
        <f>IFERROR(__xludf.DUMMYFUNCTION("""COMPUTED_VALUE"""),"RSC007877")</f>
        <v>RSC007877</v>
      </c>
      <c r="B775" s="30" t="str">
        <f>IFERROR(__xludf.DUMMYFUNCTION("""COMPUTED_VALUE"""),"Torro")</f>
        <v>Torro</v>
      </c>
      <c r="C775" s="30" t="str">
        <f>IFERROR(__xludf.DUMMYFUNCTION("""COMPUTED_VALUE"""),"Elite")</f>
        <v>Elite</v>
      </c>
      <c r="D775" s="30" t="str">
        <f>IFERROR(__xludf.DUMMYFUNCTION("""COMPUTED_VALUE"""),"Wyverns
Loonie")</f>
        <v>Wyverns
Loonie</v>
      </c>
      <c r="E775" s="30" t="str">
        <f>IFERROR(__xludf.DUMMYFUNCTION("""COMPUTED_VALUE"""),"The Forest
Money Makers")</f>
        <v>The Forest
Money Makers</v>
      </c>
      <c r="F775" s="30" t="str">
        <f>IFERROR(__xludf.DUMMYFUNCTION("""COMPUTED_VALUE"""),"Solar")</f>
        <v>Solar</v>
      </c>
      <c r="G775" s="92">
        <f>IFERROR(__xludf.DUMMYFUNCTION("""COMPUTED_VALUE"""),26.360632356309207)</f>
        <v>26.36063236</v>
      </c>
    </row>
    <row r="776">
      <c r="A776" s="30" t="str">
        <f>IFERROR(__xludf.DUMMYFUNCTION("""COMPUTED_VALUE"""),"RSC001986")</f>
        <v>RSC001986</v>
      </c>
      <c r="B776" s="30" t="str">
        <f>IFERROR(__xludf.DUMMYFUNCTION("""COMPUTED_VALUE"""),"Colinn")</f>
        <v>Colinn</v>
      </c>
      <c r="C776" s="30" t="str">
        <f>IFERROR(__xludf.DUMMYFUNCTION("""COMPUTED_VALUE"""),"Elite")</f>
        <v>Elite</v>
      </c>
      <c r="D776" s="30" t="str">
        <f>IFERROR(__xludf.DUMMYFUNCTION("""COMPUTED_VALUE"""),"Desolation")</f>
        <v>Desolation</v>
      </c>
      <c r="E776" s="30" t="str">
        <f>IFERROR(__xludf.DUMMYFUNCTION("""COMPUTED_VALUE"""),"Event Horizon")</f>
        <v>Event Horizon</v>
      </c>
      <c r="F776" s="30" t="str">
        <f>IFERROR(__xludf.DUMMYFUNCTION("""COMPUTED_VALUE"""),"Solar")</f>
        <v>Solar</v>
      </c>
      <c r="G776" s="92">
        <f>IFERROR(__xludf.DUMMYFUNCTION("""COMPUTED_VALUE"""),58.38652813297024)</f>
        <v>58.38652813</v>
      </c>
    </row>
    <row r="777">
      <c r="A777" s="30" t="str">
        <f>IFERROR(__xludf.DUMMYFUNCTION("""COMPUTED_VALUE"""),"RSC007354")</f>
        <v>RSC007354</v>
      </c>
      <c r="B777" s="30" t="str">
        <f>IFERROR(__xludf.DUMMYFUNCTION("""COMPUTED_VALUE"""),"Fanatic")</f>
        <v>Fanatic</v>
      </c>
      <c r="C777" s="30" t="str">
        <f>IFERROR(__xludf.DUMMYFUNCTION("""COMPUTED_VALUE"""),"Elite")</f>
        <v>Elite</v>
      </c>
      <c r="D777" s="30" t="str">
        <f>IFERROR(__xludf.DUMMYFUNCTION("""COMPUTED_VALUE"""),"Desolation")</f>
        <v>Desolation</v>
      </c>
      <c r="E777" s="30" t="str">
        <f>IFERROR(__xludf.DUMMYFUNCTION("""COMPUTED_VALUE"""),"Event Horizon")</f>
        <v>Event Horizon</v>
      </c>
      <c r="F777" s="30" t="str">
        <f>IFERROR(__xludf.DUMMYFUNCTION("""COMPUTED_VALUE"""),"Solar")</f>
        <v>Solar</v>
      </c>
      <c r="G777" s="92">
        <f>IFERROR(__xludf.DUMMYFUNCTION("""COMPUTED_VALUE"""),64.82746477006161)</f>
        <v>64.82746477</v>
      </c>
    </row>
    <row r="778">
      <c r="A778" s="30" t="str">
        <f>IFERROR(__xludf.DUMMYFUNCTION("""COMPUTED_VALUE"""),"RSC006494")</f>
        <v>RSC006494</v>
      </c>
      <c r="B778" s="30" t="str">
        <f>IFERROR(__xludf.DUMMYFUNCTION("""COMPUTED_VALUE"""),"Jimbo")</f>
        <v>Jimbo</v>
      </c>
      <c r="C778" s="30" t="str">
        <f>IFERROR(__xludf.DUMMYFUNCTION("""COMPUTED_VALUE"""),"Elite")</f>
        <v>Elite</v>
      </c>
      <c r="D778" s="30" t="str">
        <f>IFERROR(__xludf.DUMMYFUNCTION("""COMPUTED_VALUE"""),"Desolation")</f>
        <v>Desolation</v>
      </c>
      <c r="E778" s="30" t="str">
        <f>IFERROR(__xludf.DUMMYFUNCTION("""COMPUTED_VALUE"""),"Event Horizon")</f>
        <v>Event Horizon</v>
      </c>
      <c r="F778" s="30" t="str">
        <f>IFERROR(__xludf.DUMMYFUNCTION("""COMPUTED_VALUE"""),"Solar")</f>
        <v>Solar</v>
      </c>
      <c r="G778" s="92">
        <f>IFERROR(__xludf.DUMMYFUNCTION("""COMPUTED_VALUE"""),71.68832237329542)</f>
        <v>71.68832237</v>
      </c>
    </row>
    <row r="779">
      <c r="A779" s="30" t="str">
        <f>IFERROR(__xludf.DUMMYFUNCTION("""COMPUTED_VALUE"""),"RSC003399")</f>
        <v>RSC003399</v>
      </c>
      <c r="B779" s="30" t="str">
        <f>IFERROR(__xludf.DUMMYFUNCTION("""COMPUTED_VALUE"""),"josan")</f>
        <v>josan</v>
      </c>
      <c r="C779" s="30" t="str">
        <f>IFERROR(__xludf.DUMMYFUNCTION("""COMPUTED_VALUE"""),"Elite")</f>
        <v>Elite</v>
      </c>
      <c r="D779" s="30" t="str">
        <f>IFERROR(__xludf.DUMMYFUNCTION("""COMPUTED_VALUE"""),"Black-Holes")</f>
        <v>Black-Holes</v>
      </c>
      <c r="E779" s="30" t="str">
        <f>IFERROR(__xludf.DUMMYFUNCTION("""COMPUTED_VALUE"""),"The Cosmos")</f>
        <v>The Cosmos</v>
      </c>
      <c r="F779" s="30" t="str">
        <f>IFERROR(__xludf.DUMMYFUNCTION("""COMPUTED_VALUE"""),"Solar")</f>
        <v>Solar</v>
      </c>
      <c r="G779" s="92">
        <f>IFERROR(__xludf.DUMMYFUNCTION("""COMPUTED_VALUE"""),43.18175784514023)</f>
        <v>43.18175785</v>
      </c>
    </row>
    <row r="780">
      <c r="A780" s="30" t="str">
        <f>IFERROR(__xludf.DUMMYFUNCTION("""COMPUTED_VALUE"""),"RSC005374")</f>
        <v>RSC005374</v>
      </c>
      <c r="B780" s="30" t="str">
        <f>IFERROR(__xludf.DUMMYFUNCTION("""COMPUTED_VALUE"""),"A Yapping Panda")</f>
        <v>A Yapping Panda</v>
      </c>
      <c r="C780" s="30" t="str">
        <f>IFERROR(__xludf.DUMMYFUNCTION("""COMPUTED_VALUE"""),"Elite")</f>
        <v>Elite</v>
      </c>
      <c r="D780" s="30" t="str">
        <f>IFERROR(__xludf.DUMMYFUNCTION("""COMPUTED_VALUE"""),"Loonie")</f>
        <v>Loonie</v>
      </c>
      <c r="E780" s="30" t="str">
        <f>IFERROR(__xludf.DUMMYFUNCTION("""COMPUTED_VALUE"""),"Money Makers")</f>
        <v>Money Makers</v>
      </c>
      <c r="F780" s="30" t="str">
        <f>IFERROR(__xludf.DUMMYFUNCTION("""COMPUTED_VALUE"""),"Solar")</f>
        <v>Solar</v>
      </c>
      <c r="G780" s="92">
        <f>IFERROR(__xludf.DUMMYFUNCTION("""COMPUTED_VALUE"""),41.14395960862647)</f>
        <v>41.14395961</v>
      </c>
    </row>
    <row r="781">
      <c r="A781" s="30" t="str">
        <f>IFERROR(__xludf.DUMMYFUNCTION("""COMPUTED_VALUE"""),"RSC007964")</f>
        <v>RSC007964</v>
      </c>
      <c r="B781" s="30" t="str">
        <f>IFERROR(__xludf.DUMMYFUNCTION("""COMPUTED_VALUE"""),"Buxter")</f>
        <v>Buxter</v>
      </c>
      <c r="C781" s="30" t="str">
        <f>IFERROR(__xludf.DUMMYFUNCTION("""COMPUTED_VALUE"""),"Elite")</f>
        <v>Elite</v>
      </c>
      <c r="D781" s="30" t="str">
        <f>IFERROR(__xludf.DUMMYFUNCTION("""COMPUTED_VALUE"""),"Afterburners")</f>
        <v>Afterburners</v>
      </c>
      <c r="E781" s="30" t="str">
        <f>IFERROR(__xludf.DUMMYFUNCTION("""COMPUTED_VALUE"""),"Remove Before Flight")</f>
        <v>Remove Before Flight</v>
      </c>
      <c r="F781" s="30" t="str">
        <f>IFERROR(__xludf.DUMMYFUNCTION("""COMPUTED_VALUE"""),"Lunar")</f>
        <v>Lunar</v>
      </c>
      <c r="G781" s="92">
        <f>IFERROR(__xludf.DUMMYFUNCTION("""COMPUTED_VALUE"""),44.125562614145764)</f>
        <v>44.12556261</v>
      </c>
    </row>
    <row r="782">
      <c r="A782" s="30" t="str">
        <f>IFERROR(__xludf.DUMMYFUNCTION("""COMPUTED_VALUE"""),"RSC007382")</f>
        <v>RSC007382</v>
      </c>
      <c r="B782" s="30" t="str">
        <f>IFERROR(__xludf.DUMMYFUNCTION("""COMPUTED_VALUE"""),"takeeover")</f>
        <v>takeeover</v>
      </c>
      <c r="C782" s="30" t="str">
        <f>IFERROR(__xludf.DUMMYFUNCTION("""COMPUTED_VALUE"""),"Elite")</f>
        <v>Elite</v>
      </c>
      <c r="D782" s="30" t="str">
        <f>IFERROR(__xludf.DUMMYFUNCTION("""COMPUTED_VALUE"""),"Afterburners")</f>
        <v>Afterburners</v>
      </c>
      <c r="E782" s="30" t="str">
        <f>IFERROR(__xludf.DUMMYFUNCTION("""COMPUTED_VALUE"""),"Remove Before Flight")</f>
        <v>Remove Before Flight</v>
      </c>
      <c r="F782" s="30" t="str">
        <f>IFERROR(__xludf.DUMMYFUNCTION("""COMPUTED_VALUE"""),"Lunar")</f>
        <v>Lunar</v>
      </c>
      <c r="G782" s="92">
        <f>IFERROR(__xludf.DUMMYFUNCTION("""COMPUTED_VALUE"""),67.57083700635685)</f>
        <v>67.57083701</v>
      </c>
    </row>
    <row r="783">
      <c r="A783" s="30" t="str">
        <f>IFERROR(__xludf.DUMMYFUNCTION("""COMPUTED_VALUE"""),"RSC007868")</f>
        <v>RSC007868</v>
      </c>
      <c r="B783" s="30" t="str">
        <f>IFERROR(__xludf.DUMMYFUNCTION("""COMPUTED_VALUE"""),"JayX")</f>
        <v>JayX</v>
      </c>
      <c r="C783" s="30" t="str">
        <f>IFERROR(__xludf.DUMMYFUNCTION("""COMPUTED_VALUE"""),"Elite")</f>
        <v>Elite</v>
      </c>
      <c r="D783" s="30" t="str">
        <f>IFERROR(__xludf.DUMMYFUNCTION("""COMPUTED_VALUE"""),"Afterburners")</f>
        <v>Afterburners</v>
      </c>
      <c r="E783" s="30" t="str">
        <f>IFERROR(__xludf.DUMMYFUNCTION("""COMPUTED_VALUE"""),"Remove Before Flight")</f>
        <v>Remove Before Flight</v>
      </c>
      <c r="F783" s="30" t="str">
        <f>IFERROR(__xludf.DUMMYFUNCTION("""COMPUTED_VALUE"""),"Lunar")</f>
        <v>Lunar</v>
      </c>
      <c r="G783" s="92">
        <f>IFERROR(__xludf.DUMMYFUNCTION("""COMPUTED_VALUE"""),59.70833607509396)</f>
        <v>59.70833608</v>
      </c>
    </row>
    <row r="784">
      <c r="A784" s="30" t="str">
        <f>IFERROR(__xludf.DUMMYFUNCTION("""COMPUTED_VALUE"""),"RSC007269")</f>
        <v>RSC007269</v>
      </c>
      <c r="B784" s="30" t="str">
        <f>IFERROR(__xludf.DUMMYFUNCTION("""COMPUTED_VALUE"""),"Navik")</f>
        <v>Navik</v>
      </c>
      <c r="C784" s="30" t="str">
        <f>IFERROR(__xludf.DUMMYFUNCTION("""COMPUTED_VALUE"""),"Elite")</f>
        <v>Elite</v>
      </c>
      <c r="D784" s="30" t="str">
        <f>IFERROR(__xludf.DUMMYFUNCTION("""COMPUTED_VALUE"""),"Stoked Blokes")</f>
        <v>Stoked Blokes</v>
      </c>
      <c r="E784" s="30" t="str">
        <f>IFERROR(__xludf.DUMMYFUNCTION("""COMPUTED_VALUE"""),"Vibe Tribe")</f>
        <v>Vibe Tribe</v>
      </c>
      <c r="F784" s="30" t="str">
        <f>IFERROR(__xludf.DUMMYFUNCTION("""COMPUTED_VALUE"""),"Lunar")</f>
        <v>Lunar</v>
      </c>
      <c r="G784" s="92">
        <f>IFERROR(__xludf.DUMMYFUNCTION("""COMPUTED_VALUE"""),46.2379360633392)</f>
        <v>46.23793606</v>
      </c>
    </row>
    <row r="785">
      <c r="A785" s="30" t="str">
        <f>IFERROR(__xludf.DUMMYFUNCTION("""COMPUTED_VALUE"""),"RSC003709")</f>
        <v>RSC003709</v>
      </c>
      <c r="B785" s="30" t="str">
        <f>IFERROR(__xludf.DUMMYFUNCTION("""COMPUTED_VALUE"""),"donald.")</f>
        <v>donald.</v>
      </c>
      <c r="C785" s="30" t="str">
        <f>IFERROR(__xludf.DUMMYFUNCTION("""COMPUTED_VALUE"""),"Elite")</f>
        <v>Elite</v>
      </c>
      <c r="D785" s="30" t="str">
        <f>IFERROR(__xludf.DUMMYFUNCTION("""COMPUTED_VALUE"""),"Pylons
Summoned
Pixel Picassos
Orochi
Drive Bye
Stoked Blokes")</f>
        <v>Pylons
Summoned
Pixel Picassos
Orochi
Drive Bye
Stoked Blokes</v>
      </c>
      <c r="E785" s="30" t="str">
        <f>IFERROR(__xludf.DUMMYFUNCTION("""COMPUTED_VALUE"""),"Road Work Ahead
Destined
Art Club
The Shrine
The Hood
Vibe Tribe")</f>
        <v>Road Work Ahead
Destined
Art Club
The Shrine
The Hood
Vibe Tribe</v>
      </c>
      <c r="F785" s="30" t="str">
        <f>IFERROR(__xludf.DUMMYFUNCTION("""COMPUTED_VALUE"""),"Solar")</f>
        <v>Solar</v>
      </c>
      <c r="G785" s="92">
        <f>IFERROR(__xludf.DUMMYFUNCTION("""COMPUTED_VALUE"""),36.61192678024747)</f>
        <v>36.61192678</v>
      </c>
    </row>
    <row r="786">
      <c r="A786" s="30" t="str">
        <f>IFERROR(__xludf.DUMMYFUNCTION("""COMPUTED_VALUE"""),"RSC007077")</f>
        <v>RSC007077</v>
      </c>
      <c r="B786" s="30" t="str">
        <f>IFERROR(__xludf.DUMMYFUNCTION("""COMPUTED_VALUE"""),"higsn")</f>
        <v>higsn</v>
      </c>
      <c r="C786" s="30" t="str">
        <f>IFERROR(__xludf.DUMMYFUNCTION("""COMPUTED_VALUE"""),"Elite")</f>
        <v>Elite</v>
      </c>
      <c r="D786" s="30" t="str">
        <f>IFERROR(__xludf.DUMMYFUNCTION("""COMPUTED_VALUE"""),"Stoked Blokes")</f>
        <v>Stoked Blokes</v>
      </c>
      <c r="E786" s="30" t="str">
        <f>IFERROR(__xludf.DUMMYFUNCTION("""COMPUTED_VALUE"""),"Vibe Tribe")</f>
        <v>Vibe Tribe</v>
      </c>
      <c r="F786" s="30" t="str">
        <f>IFERROR(__xludf.DUMMYFUNCTION("""COMPUTED_VALUE"""),"Lunar")</f>
        <v>Lunar</v>
      </c>
      <c r="G786" s="92">
        <f>IFERROR(__xludf.DUMMYFUNCTION("""COMPUTED_VALUE"""),55.29150013180952)</f>
        <v>55.29150013</v>
      </c>
    </row>
    <row r="787">
      <c r="A787" s="30" t="str">
        <f>IFERROR(__xludf.DUMMYFUNCTION("""COMPUTED_VALUE"""),"RSC007839")</f>
        <v>RSC007839</v>
      </c>
      <c r="B787" s="30" t="str">
        <f>IFERROR(__xludf.DUMMYFUNCTION("""COMPUTED_VALUE"""),"DoxxyWoxxyy")</f>
        <v>DoxxyWoxxyy</v>
      </c>
      <c r="C787" s="30" t="str">
        <f>IFERROR(__xludf.DUMMYFUNCTION("""COMPUTED_VALUE"""),"Elite")</f>
        <v>Elite</v>
      </c>
      <c r="D787" s="30" t="str">
        <f>IFERROR(__xludf.DUMMYFUNCTION("""COMPUTED_VALUE"""),"Pylons")</f>
        <v>Pylons</v>
      </c>
      <c r="E787" s="30" t="str">
        <f>IFERROR(__xludf.DUMMYFUNCTION("""COMPUTED_VALUE"""),"Road Work Ahead")</f>
        <v>Road Work Ahead</v>
      </c>
      <c r="F787" s="30" t="str">
        <f>IFERROR(__xludf.DUMMYFUNCTION("""COMPUTED_VALUE"""),"Lunar")</f>
        <v>Lunar</v>
      </c>
      <c r="G787" s="92">
        <f>IFERROR(__xludf.DUMMYFUNCTION("""COMPUTED_VALUE"""),55.74011813845165)</f>
        <v>55.74011814</v>
      </c>
    </row>
    <row r="788">
      <c r="A788" s="30" t="str">
        <f>IFERROR(__xludf.DUMMYFUNCTION("""COMPUTED_VALUE"""),"RSC007494")</f>
        <v>RSC007494</v>
      </c>
      <c r="B788" s="30" t="str">
        <f>IFERROR(__xludf.DUMMYFUNCTION("""COMPUTED_VALUE"""),"CantaloupeLover-")</f>
        <v>CantaloupeLover-</v>
      </c>
      <c r="C788" s="30" t="str">
        <f>IFERROR(__xludf.DUMMYFUNCTION("""COMPUTED_VALUE"""),"Elite")</f>
        <v>Elite</v>
      </c>
      <c r="D788" s="30" t="str">
        <f>IFERROR(__xludf.DUMMYFUNCTION("""COMPUTED_VALUE"""),"Pylons")</f>
        <v>Pylons</v>
      </c>
      <c r="E788" s="30" t="str">
        <f>IFERROR(__xludf.DUMMYFUNCTION("""COMPUTED_VALUE"""),"Road Work Ahead")</f>
        <v>Road Work Ahead</v>
      </c>
      <c r="F788" s="30" t="str">
        <f>IFERROR(__xludf.DUMMYFUNCTION("""COMPUTED_VALUE"""),"Lunar")</f>
        <v>Lunar</v>
      </c>
      <c r="G788" s="92">
        <f>IFERROR(__xludf.DUMMYFUNCTION("""COMPUTED_VALUE"""),10.030880564041944)</f>
        <v>10.03088056</v>
      </c>
    </row>
    <row r="789">
      <c r="A789" s="30" t="str">
        <f>IFERROR(__xludf.DUMMYFUNCTION("""COMPUTED_VALUE"""),"RSC003113")</f>
        <v>RSC003113</v>
      </c>
      <c r="B789" s="30" t="str">
        <f>IFERROR(__xludf.DUMMYFUNCTION("""COMPUTED_VALUE"""),"Nebulade")</f>
        <v>Nebulade</v>
      </c>
      <c r="C789" s="30" t="str">
        <f>IFERROR(__xludf.DUMMYFUNCTION("""COMPUTED_VALUE"""),"Elite")</f>
        <v>Elite</v>
      </c>
      <c r="D789" s="30" t="str">
        <f>IFERROR(__xludf.DUMMYFUNCTION("""COMPUTED_VALUE"""),"Pylons")</f>
        <v>Pylons</v>
      </c>
      <c r="E789" s="30" t="str">
        <f>IFERROR(__xludf.DUMMYFUNCTION("""COMPUTED_VALUE"""),"Road Work Ahead")</f>
        <v>Road Work Ahead</v>
      </c>
      <c r="F789" s="30" t="str">
        <f>IFERROR(__xludf.DUMMYFUNCTION("""COMPUTED_VALUE"""),"Lunar")</f>
        <v>Lunar</v>
      </c>
      <c r="G789" s="92">
        <f>IFERROR(__xludf.DUMMYFUNCTION("""COMPUTED_VALUE"""),41.19440799146914)</f>
        <v>41.19440799</v>
      </c>
    </row>
    <row r="790">
      <c r="A790" s="30" t="str">
        <f>IFERROR(__xludf.DUMMYFUNCTION("""COMPUTED_VALUE"""),"RSC005373")</f>
        <v>RSC005373</v>
      </c>
      <c r="B790" s="30" t="str">
        <f>IFERROR(__xludf.DUMMYFUNCTION("""COMPUTED_VALUE"""),"dvorl.ttv")</f>
        <v>dvorl.ttv</v>
      </c>
      <c r="C790" s="30" t="str">
        <f>IFERROR(__xludf.DUMMYFUNCTION("""COMPUTED_VALUE"""),"Elite")</f>
        <v>Elite</v>
      </c>
      <c r="D790" s="30" t="str">
        <f>IFERROR(__xludf.DUMMYFUNCTION("""COMPUTED_VALUE"""),"Despair")</f>
        <v>Despair</v>
      </c>
      <c r="E790" s="30" t="str">
        <f>IFERROR(__xludf.DUMMYFUNCTION("""COMPUTED_VALUE"""),"The Shadows")</f>
        <v>The Shadows</v>
      </c>
      <c r="F790" s="30" t="str">
        <f>IFERROR(__xludf.DUMMYFUNCTION("""COMPUTED_VALUE"""),"Lunar")</f>
        <v>Lunar</v>
      </c>
      <c r="G790" s="92">
        <f>IFERROR(__xludf.DUMMYFUNCTION("""COMPUTED_VALUE"""),35.260476162953296)</f>
        <v>35.26047616</v>
      </c>
    </row>
    <row r="791">
      <c r="A791" s="30" t="str">
        <f>IFERROR(__xludf.DUMMYFUNCTION("""COMPUTED_VALUE"""),"RSC007901")</f>
        <v>RSC007901</v>
      </c>
      <c r="B791" s="30" t="str">
        <f>IFERROR(__xludf.DUMMYFUNCTION("""COMPUTED_VALUE"""),"JUICY")</f>
        <v>JUICY</v>
      </c>
      <c r="C791" s="30" t="str">
        <f>IFERROR(__xludf.DUMMYFUNCTION("""COMPUTED_VALUE"""),"Elite")</f>
        <v>Elite</v>
      </c>
      <c r="D791" s="30" t="str">
        <f>IFERROR(__xludf.DUMMYFUNCTION("""COMPUTED_VALUE"""),"Despair")</f>
        <v>Despair</v>
      </c>
      <c r="E791" s="30" t="str">
        <f>IFERROR(__xludf.DUMMYFUNCTION("""COMPUTED_VALUE"""),"The Shadows")</f>
        <v>The Shadows</v>
      </c>
      <c r="F791" s="30" t="str">
        <f>IFERROR(__xludf.DUMMYFUNCTION("""COMPUTED_VALUE"""),"Lunar")</f>
        <v>Lunar</v>
      </c>
      <c r="G791" s="92">
        <f>IFERROR(__xludf.DUMMYFUNCTION("""COMPUTED_VALUE"""),69.71861747719811)</f>
        <v>69.71861748</v>
      </c>
    </row>
    <row r="792">
      <c r="A792" s="30" t="str">
        <f>IFERROR(__xludf.DUMMYFUNCTION("""COMPUTED_VALUE"""),"RSC003125")</f>
        <v>RSC003125</v>
      </c>
      <c r="B792" s="30" t="str">
        <f>IFERROR(__xludf.DUMMYFUNCTION("""COMPUTED_VALUE"""),"GrandPlat")</f>
        <v>GrandPlat</v>
      </c>
      <c r="C792" s="30" t="str">
        <f>IFERROR(__xludf.DUMMYFUNCTION("""COMPUTED_VALUE"""),"Elite")</f>
        <v>Elite</v>
      </c>
      <c r="D792" s="30" t="str">
        <f>IFERROR(__xludf.DUMMYFUNCTION("""COMPUTED_VALUE"""),"Despair")</f>
        <v>Despair</v>
      </c>
      <c r="E792" s="30" t="str">
        <f>IFERROR(__xludf.DUMMYFUNCTION("""COMPUTED_VALUE"""),"The Shadows")</f>
        <v>The Shadows</v>
      </c>
      <c r="F792" s="30" t="str">
        <f>IFERROR(__xludf.DUMMYFUNCTION("""COMPUTED_VALUE"""),"Lunar")</f>
        <v>Lunar</v>
      </c>
      <c r="G792" s="92">
        <f>IFERROR(__xludf.DUMMYFUNCTION("""COMPUTED_VALUE"""),62.87832752466627)</f>
        <v>62.87832752</v>
      </c>
    </row>
    <row r="793">
      <c r="A793" s="30" t="str">
        <f>IFERROR(__xludf.DUMMYFUNCTION("""COMPUTED_VALUE"""),"RSC006197")</f>
        <v>RSC006197</v>
      </c>
      <c r="B793" s="30" t="str">
        <f>IFERROR(__xludf.DUMMYFUNCTION("""COMPUTED_VALUE"""),"Bullet")</f>
        <v>Bullet</v>
      </c>
      <c r="C793" s="30" t="str">
        <f>IFERROR(__xludf.DUMMYFUNCTION("""COMPUTED_VALUE"""),"Elite")</f>
        <v>Elite</v>
      </c>
      <c r="D793" s="30" t="str">
        <f>IFERROR(__xludf.DUMMYFUNCTION("""COMPUTED_VALUE"""),"Summoned")</f>
        <v>Summoned</v>
      </c>
      <c r="E793" s="30" t="str">
        <f>IFERROR(__xludf.DUMMYFUNCTION("""COMPUTED_VALUE"""),"Destined")</f>
        <v>Destined</v>
      </c>
      <c r="F793" s="30" t="str">
        <f>IFERROR(__xludf.DUMMYFUNCTION("""COMPUTED_VALUE"""),"Solar")</f>
        <v>Solar</v>
      </c>
      <c r="G793" s="92">
        <f>IFERROR(__xludf.DUMMYFUNCTION("""COMPUTED_VALUE"""),57.355195786104716)</f>
        <v>57.35519579</v>
      </c>
    </row>
    <row r="794">
      <c r="A794" s="30" t="str">
        <f>IFERROR(__xludf.DUMMYFUNCTION("""COMPUTED_VALUE"""),"RSC004214")</f>
        <v>RSC004214</v>
      </c>
      <c r="B794" s="30" t="str">
        <f>IFERROR(__xludf.DUMMYFUNCTION("""COMPUTED_VALUE"""),"Miserable")</f>
        <v>Miserable</v>
      </c>
      <c r="C794" s="30" t="str">
        <f>IFERROR(__xludf.DUMMYFUNCTION("""COMPUTED_VALUE"""),"Elite")</f>
        <v>Elite</v>
      </c>
      <c r="D794" s="30" t="str">
        <f>IFERROR(__xludf.DUMMYFUNCTION("""COMPUTED_VALUE"""),"Summoned")</f>
        <v>Summoned</v>
      </c>
      <c r="E794" s="30" t="str">
        <f>IFERROR(__xludf.DUMMYFUNCTION("""COMPUTED_VALUE"""),"Destined")</f>
        <v>Destined</v>
      </c>
      <c r="F794" s="30" t="str">
        <f>IFERROR(__xludf.DUMMYFUNCTION("""COMPUTED_VALUE"""),"Solar")</f>
        <v>Solar</v>
      </c>
      <c r="G794" s="92">
        <f>IFERROR(__xludf.DUMMYFUNCTION("""COMPUTED_VALUE"""),28.79030329639185)</f>
        <v>28.7903033</v>
      </c>
    </row>
    <row r="795">
      <c r="A795" s="30" t="str">
        <f>IFERROR(__xludf.DUMMYFUNCTION("""COMPUTED_VALUE"""),"RSC004820")</f>
        <v>RSC004820</v>
      </c>
      <c r="B795" s="30" t="str">
        <f>IFERROR(__xludf.DUMMYFUNCTION("""COMPUTED_VALUE"""),"AoS Arctic")</f>
        <v>AoS Arctic</v>
      </c>
      <c r="C795" s="30" t="str">
        <f>IFERROR(__xludf.DUMMYFUNCTION("""COMPUTED_VALUE"""),"Elite")</f>
        <v>Elite</v>
      </c>
      <c r="D795" s="30" t="str">
        <f>IFERROR(__xludf.DUMMYFUNCTION("""COMPUTED_VALUE"""),"Summoned")</f>
        <v>Summoned</v>
      </c>
      <c r="E795" s="30" t="str">
        <f>IFERROR(__xludf.DUMMYFUNCTION("""COMPUTED_VALUE"""),"Destined")</f>
        <v>Destined</v>
      </c>
      <c r="F795" s="30" t="str">
        <f>IFERROR(__xludf.DUMMYFUNCTION("""COMPUTED_VALUE"""),"Solar")</f>
        <v>Solar</v>
      </c>
      <c r="G795" s="92">
        <f>IFERROR(__xludf.DUMMYFUNCTION("""COMPUTED_VALUE"""),27.793092814514512)</f>
        <v>27.79309281</v>
      </c>
    </row>
    <row r="796">
      <c r="A796" s="30" t="str">
        <f>IFERROR(__xludf.DUMMYFUNCTION("""COMPUTED_VALUE"""),"RSC005193")</f>
        <v>RSC005193</v>
      </c>
      <c r="B796" s="30" t="str">
        <f>IFERROR(__xludf.DUMMYFUNCTION("""COMPUTED_VALUE"""),"RegularlyJones")</f>
        <v>RegularlyJones</v>
      </c>
      <c r="C796" s="30" t="str">
        <f>IFERROR(__xludf.DUMMYFUNCTION("""COMPUTED_VALUE"""),"Elite")</f>
        <v>Elite</v>
      </c>
      <c r="D796" s="30" t="str">
        <f>IFERROR(__xludf.DUMMYFUNCTION("""COMPUTED_VALUE"""),"Sloths")</f>
        <v>Sloths</v>
      </c>
      <c r="E796" s="30" t="str">
        <f>IFERROR(__xludf.DUMMYFUNCTION("""COMPUTED_VALUE"""),"The Jungle")</f>
        <v>The Jungle</v>
      </c>
      <c r="F796" s="30" t="str">
        <f>IFERROR(__xludf.DUMMYFUNCTION("""COMPUTED_VALUE"""),"Solar")</f>
        <v>Solar</v>
      </c>
      <c r="G796" s="92">
        <f>IFERROR(__xludf.DUMMYFUNCTION("""COMPUTED_VALUE"""),44.559190509460585)</f>
        <v>44.55919051</v>
      </c>
    </row>
    <row r="797">
      <c r="A797" s="30" t="str">
        <f>IFERROR(__xludf.DUMMYFUNCTION("""COMPUTED_VALUE"""),"RSC006783")</f>
        <v>RSC006783</v>
      </c>
      <c r="B797" s="30" t="str">
        <f>IFERROR(__xludf.DUMMYFUNCTION("""COMPUTED_VALUE"""),"ImSouperGreat")</f>
        <v>ImSouperGreat</v>
      </c>
      <c r="C797" s="30" t="str">
        <f>IFERROR(__xludf.DUMMYFUNCTION("""COMPUTED_VALUE"""),"Elite")</f>
        <v>Elite</v>
      </c>
      <c r="D797" s="30" t="str">
        <f>IFERROR(__xludf.DUMMYFUNCTION("""COMPUTED_VALUE"""),"Sloths")</f>
        <v>Sloths</v>
      </c>
      <c r="E797" s="30" t="str">
        <f>IFERROR(__xludf.DUMMYFUNCTION("""COMPUTED_VALUE"""),"The Jungle")</f>
        <v>The Jungle</v>
      </c>
      <c r="F797" s="30" t="str">
        <f>IFERROR(__xludf.DUMMYFUNCTION("""COMPUTED_VALUE"""),"Solar")</f>
        <v>Solar</v>
      </c>
      <c r="G797" s="92">
        <f>IFERROR(__xludf.DUMMYFUNCTION("""COMPUTED_VALUE"""),58.904407162778334)</f>
        <v>58.90440716</v>
      </c>
    </row>
    <row r="798">
      <c r="A798" s="30" t="str">
        <f>IFERROR(__xludf.DUMMYFUNCTION("""COMPUTED_VALUE"""),"RSC005464")</f>
        <v>RSC005464</v>
      </c>
      <c r="B798" s="30" t="str">
        <f>IFERROR(__xludf.DUMMYFUNCTION("""COMPUTED_VALUE"""),"taz.rm")</f>
        <v>taz.rm</v>
      </c>
      <c r="C798" s="30" t="str">
        <f>IFERROR(__xludf.DUMMYFUNCTION("""COMPUTED_VALUE"""),"Elite")</f>
        <v>Elite</v>
      </c>
      <c r="D798" s="30" t="str">
        <f>IFERROR(__xludf.DUMMYFUNCTION("""COMPUTED_VALUE"""),"Sloths")</f>
        <v>Sloths</v>
      </c>
      <c r="E798" s="30" t="str">
        <f>IFERROR(__xludf.DUMMYFUNCTION("""COMPUTED_VALUE"""),"The Jungle")</f>
        <v>The Jungle</v>
      </c>
      <c r="F798" s="30" t="str">
        <f>IFERROR(__xludf.DUMMYFUNCTION("""COMPUTED_VALUE"""),"Solar")</f>
        <v>Solar</v>
      </c>
      <c r="G798" s="92">
        <f>IFERROR(__xludf.DUMMYFUNCTION("""COMPUTED_VALUE"""),40.54791503563404)</f>
        <v>40.54791504</v>
      </c>
    </row>
    <row r="799">
      <c r="A799" s="30" t="str">
        <f>IFERROR(__xludf.DUMMYFUNCTION("""COMPUTED_VALUE"""),"RSC006972")</f>
        <v>RSC006972</v>
      </c>
      <c r="B799" s="30" t="str">
        <f>IFERROR(__xludf.DUMMYFUNCTION("""COMPUTED_VALUE"""),"galaxiezz.")</f>
        <v>galaxiezz.</v>
      </c>
      <c r="C799" s="30" t="str">
        <f>IFERROR(__xludf.DUMMYFUNCTION("""COMPUTED_VALUE"""),"Elite")</f>
        <v>Elite</v>
      </c>
      <c r="D799" s="30" t="str">
        <f>IFERROR(__xludf.DUMMYFUNCTION("""COMPUTED_VALUE"""),"Cotija Cartel")</f>
        <v>Cotija Cartel</v>
      </c>
      <c r="E799" s="30" t="str">
        <f>IFERROR(__xludf.DUMMYFUNCTION("""COMPUTED_VALUE"""),"Cheese Guild")</f>
        <v>Cheese Guild</v>
      </c>
      <c r="F799" s="30" t="str">
        <f>IFERROR(__xludf.DUMMYFUNCTION("""COMPUTED_VALUE"""),"Lunar")</f>
        <v>Lunar</v>
      </c>
      <c r="G799" s="92">
        <f>IFERROR(__xludf.DUMMYFUNCTION("""COMPUTED_VALUE"""),68.31809396268618)</f>
        <v>68.31809396</v>
      </c>
    </row>
    <row r="800">
      <c r="A800" s="30" t="str">
        <f>IFERROR(__xludf.DUMMYFUNCTION("""COMPUTED_VALUE"""),"RSC006751")</f>
        <v>RSC006751</v>
      </c>
      <c r="B800" s="30" t="str">
        <f>IFERROR(__xludf.DUMMYFUNCTION("""COMPUTED_VALUE"""),"cl0wdy.")</f>
        <v>cl0wdy.</v>
      </c>
      <c r="C800" s="30" t="str">
        <f>IFERROR(__xludf.DUMMYFUNCTION("""COMPUTED_VALUE"""),"Elite")</f>
        <v>Elite</v>
      </c>
      <c r="D800" s="30" t="str">
        <f>IFERROR(__xludf.DUMMYFUNCTION("""COMPUTED_VALUE"""),"Cotija Cartel")</f>
        <v>Cotija Cartel</v>
      </c>
      <c r="E800" s="30" t="str">
        <f>IFERROR(__xludf.DUMMYFUNCTION("""COMPUTED_VALUE"""),"Cheese Guild")</f>
        <v>Cheese Guild</v>
      </c>
      <c r="F800" s="30" t="str">
        <f>IFERROR(__xludf.DUMMYFUNCTION("""COMPUTED_VALUE"""),"Lunar")</f>
        <v>Lunar</v>
      </c>
      <c r="G800" s="92">
        <f>IFERROR(__xludf.DUMMYFUNCTION("""COMPUTED_VALUE"""),57.78982461049951)</f>
        <v>57.78982461</v>
      </c>
    </row>
    <row r="801">
      <c r="A801" s="30" t="str">
        <f>IFERROR(__xludf.DUMMYFUNCTION("""COMPUTED_VALUE"""),"RSC005274")</f>
        <v>RSC005274</v>
      </c>
      <c r="B801" s="30" t="str">
        <f>IFERROR(__xludf.DUMMYFUNCTION("""COMPUTED_VALUE"""),"KING.")</f>
        <v>KING.</v>
      </c>
      <c r="C801" s="30" t="str">
        <f>IFERROR(__xludf.DUMMYFUNCTION("""COMPUTED_VALUE"""),"Elite")</f>
        <v>Elite</v>
      </c>
      <c r="D801" s="30" t="str">
        <f>IFERROR(__xludf.DUMMYFUNCTION("""COMPUTED_VALUE"""),"Cotija Cartel")</f>
        <v>Cotija Cartel</v>
      </c>
      <c r="E801" s="30" t="str">
        <f>IFERROR(__xludf.DUMMYFUNCTION("""COMPUTED_VALUE"""),"Cheese Guild")</f>
        <v>Cheese Guild</v>
      </c>
      <c r="F801" s="30" t="str">
        <f>IFERROR(__xludf.DUMMYFUNCTION("""COMPUTED_VALUE"""),"Lunar")</f>
        <v>Lunar</v>
      </c>
      <c r="G801" s="92">
        <f>IFERROR(__xludf.DUMMYFUNCTION("""COMPUTED_VALUE"""),56.4812253707384)</f>
        <v>56.48122537</v>
      </c>
    </row>
    <row r="802">
      <c r="A802" s="30" t="str">
        <f>IFERROR(__xludf.DUMMYFUNCTION("""COMPUTED_VALUE"""),"RSC000508")</f>
        <v>RSC000508</v>
      </c>
      <c r="B802" s="30" t="str">
        <f>IFERROR(__xludf.DUMMYFUNCTION("""COMPUTED_VALUE"""),"Bender_Escobar")</f>
        <v>Bender_Escobar</v>
      </c>
      <c r="C802" s="30" t="str">
        <f>IFERROR(__xludf.DUMMYFUNCTION("""COMPUTED_VALUE"""),"Elite")</f>
        <v>Elite</v>
      </c>
      <c r="D802" s="30" t="str">
        <f>IFERROR(__xludf.DUMMYFUNCTION("""COMPUTED_VALUE"""),"Demons")</f>
        <v>Demons</v>
      </c>
      <c r="E802" s="30" t="str">
        <f>IFERROR(__xludf.DUMMYFUNCTION("""COMPUTED_VALUE"""),"The Monster Mash")</f>
        <v>The Monster Mash</v>
      </c>
      <c r="F802" s="30" t="str">
        <f>IFERROR(__xludf.DUMMYFUNCTION("""COMPUTED_VALUE"""),"Lunar")</f>
        <v>Lunar</v>
      </c>
      <c r="G802" s="92">
        <f>IFERROR(__xludf.DUMMYFUNCTION("""COMPUTED_VALUE"""),35.11647984371706)</f>
        <v>35.11647984</v>
      </c>
    </row>
    <row r="803">
      <c r="A803" s="30" t="str">
        <f>IFERROR(__xludf.DUMMYFUNCTION("""COMPUTED_VALUE"""),"RSC004797")</f>
        <v>RSC004797</v>
      </c>
      <c r="B803" s="30" t="str">
        <f>IFERROR(__xludf.DUMMYFUNCTION("""COMPUTED_VALUE"""),"Tempest")</f>
        <v>Tempest</v>
      </c>
      <c r="C803" s="30" t="str">
        <f>IFERROR(__xludf.DUMMYFUNCTION("""COMPUTED_VALUE"""),"Elite")</f>
        <v>Elite</v>
      </c>
      <c r="D803" s="30" t="str">
        <f>IFERROR(__xludf.DUMMYFUNCTION("""COMPUTED_VALUE"""),"Demons")</f>
        <v>Demons</v>
      </c>
      <c r="E803" s="30" t="str">
        <f>IFERROR(__xludf.DUMMYFUNCTION("""COMPUTED_VALUE"""),"The Monster Mash")</f>
        <v>The Monster Mash</v>
      </c>
      <c r="F803" s="30" t="str">
        <f>IFERROR(__xludf.DUMMYFUNCTION("""COMPUTED_VALUE"""),"Lunar")</f>
        <v>Lunar</v>
      </c>
      <c r="G803" s="92">
        <f>IFERROR(__xludf.DUMMYFUNCTION("""COMPUTED_VALUE"""),60.63763150803986)</f>
        <v>60.63763151</v>
      </c>
    </row>
    <row r="804">
      <c r="A804" s="30" t="str">
        <f>IFERROR(__xludf.DUMMYFUNCTION("""COMPUTED_VALUE"""),"RSC000344")</f>
        <v>RSC000344</v>
      </c>
      <c r="B804" s="30" t="str">
        <f>IFERROR(__xludf.DUMMYFUNCTION("""COMPUTED_VALUE"""),"Mezmer")</f>
        <v>Mezmer</v>
      </c>
      <c r="C804" s="30" t="str">
        <f>IFERROR(__xludf.DUMMYFUNCTION("""COMPUTED_VALUE"""),"Elite")</f>
        <v>Elite</v>
      </c>
      <c r="D804" s="30" t="str">
        <f>IFERROR(__xludf.DUMMYFUNCTION("""COMPUTED_VALUE"""),"Demons")</f>
        <v>Demons</v>
      </c>
      <c r="E804" s="30" t="str">
        <f>IFERROR(__xludf.DUMMYFUNCTION("""COMPUTED_VALUE"""),"The Monster Mash")</f>
        <v>The Monster Mash</v>
      </c>
      <c r="F804" s="30" t="str">
        <f>IFERROR(__xludf.DUMMYFUNCTION("""COMPUTED_VALUE"""),"Lunar")</f>
        <v>Lunar</v>
      </c>
      <c r="G804" s="92">
        <f>IFERROR(__xludf.DUMMYFUNCTION("""COMPUTED_VALUE"""),32.99235125469572)</f>
        <v>32.99235125</v>
      </c>
    </row>
    <row r="805">
      <c r="A805" s="30" t="str">
        <f>IFERROR(__xludf.DUMMYFUNCTION("""COMPUTED_VALUE"""),"RSC000579")</f>
        <v>RSC000579</v>
      </c>
      <c r="B805" s="30" t="str">
        <f>IFERROR(__xludf.DUMMYFUNCTION("""COMPUTED_VALUE"""),"Cryptt.")</f>
        <v>Cryptt.</v>
      </c>
      <c r="C805" s="30" t="str">
        <f>IFERROR(__xludf.DUMMYFUNCTION("""COMPUTED_VALUE"""),"Elite")</f>
        <v>Elite</v>
      </c>
      <c r="D805" s="30" t="str">
        <f>IFERROR(__xludf.DUMMYFUNCTION("""COMPUTED_VALUE"""),"Cotija Cartel")</f>
        <v>Cotija Cartel</v>
      </c>
      <c r="E805" s="30" t="str">
        <f>IFERROR(__xludf.DUMMYFUNCTION("""COMPUTED_VALUE"""),"Cheese Guild")</f>
        <v>Cheese Guild</v>
      </c>
      <c r="F805" s="30" t="str">
        <f>IFERROR(__xludf.DUMMYFUNCTION("""COMPUTED_VALUE"""),"Lunar")</f>
        <v>Lunar</v>
      </c>
      <c r="G805" s="92">
        <f>IFERROR(__xludf.DUMMYFUNCTION("""COMPUTED_VALUE"""),93.09486835479696)</f>
        <v>93.09486835</v>
      </c>
    </row>
    <row r="806">
      <c r="A806" s="30" t="str">
        <f>IFERROR(__xludf.DUMMYFUNCTION("""COMPUTED_VALUE"""),"RSC007263")</f>
        <v>RSC007263</v>
      </c>
      <c r="B806" s="30" t="str">
        <f>IFERROR(__xludf.DUMMYFUNCTION("""COMPUTED_VALUE"""),"HardPointy")</f>
        <v>HardPointy</v>
      </c>
      <c r="C806" s="30" t="str">
        <f>IFERROR(__xludf.DUMMYFUNCTION("""COMPUTED_VALUE"""),"Elite")</f>
        <v>Elite</v>
      </c>
      <c r="D806" s="30" t="str">
        <f>IFERROR(__xludf.DUMMYFUNCTION("""COMPUTED_VALUE"""),"Majesties")</f>
        <v>Majesties</v>
      </c>
      <c r="E806" s="30" t="str">
        <f>IFERROR(__xludf.DUMMYFUNCTION("""COMPUTED_VALUE"""),"Monarchy")</f>
        <v>Monarchy</v>
      </c>
      <c r="F806" s="30" t="str">
        <f>IFERROR(__xludf.DUMMYFUNCTION("""COMPUTED_VALUE"""),"Lunar")</f>
        <v>Lunar</v>
      </c>
      <c r="G806" s="92">
        <f>IFERROR(__xludf.DUMMYFUNCTION("""COMPUTED_VALUE"""),55.11856370755657)</f>
        <v>55.11856371</v>
      </c>
    </row>
    <row r="807">
      <c r="A807" s="30" t="str">
        <f>IFERROR(__xludf.DUMMYFUNCTION("""COMPUTED_VALUE"""),"RSC007975")</f>
        <v>RSC007975</v>
      </c>
      <c r="B807" s="30" t="str">
        <f>IFERROR(__xludf.DUMMYFUNCTION("""COMPUTED_VALUE"""),"egor")</f>
        <v>egor</v>
      </c>
      <c r="C807" s="30" t="str">
        <f>IFERROR(__xludf.DUMMYFUNCTION("""COMPUTED_VALUE"""),"Elite")</f>
        <v>Elite</v>
      </c>
      <c r="D807" s="30" t="str">
        <f>IFERROR(__xludf.DUMMYFUNCTION("""COMPUTED_VALUE"""),"Summoned")</f>
        <v>Summoned</v>
      </c>
      <c r="E807" s="30" t="str">
        <f>IFERROR(__xludf.DUMMYFUNCTION("""COMPUTED_VALUE"""),"Destined")</f>
        <v>Destined</v>
      </c>
      <c r="F807" s="30" t="str">
        <f>IFERROR(__xludf.DUMMYFUNCTION("""COMPUTED_VALUE"""),"Solar")</f>
        <v>Solar</v>
      </c>
      <c r="G807" s="92">
        <f>IFERROR(__xludf.DUMMYFUNCTION("""COMPUTED_VALUE"""),23.830332837478203)</f>
        <v>23.83033284</v>
      </c>
    </row>
    <row r="808">
      <c r="A808" s="30" t="str">
        <f>IFERROR(__xludf.DUMMYFUNCTION("""COMPUTED_VALUE"""),"RSC002102")</f>
        <v>RSC002102</v>
      </c>
      <c r="B808" s="30" t="str">
        <f>IFERROR(__xludf.DUMMYFUNCTION("""COMPUTED_VALUE"""),"Cable")</f>
        <v>Cable</v>
      </c>
      <c r="C808" s="30" t="str">
        <f>IFERROR(__xludf.DUMMYFUNCTION("""COMPUTED_VALUE"""),"Elite")</f>
        <v>Elite</v>
      </c>
      <c r="D808" s="30" t="str">
        <f>IFERROR(__xludf.DUMMYFUNCTION("""COMPUTED_VALUE"""),"Teddy Bears")</f>
        <v>Teddy Bears</v>
      </c>
      <c r="E808" s="30" t="str">
        <f>IFERROR(__xludf.DUMMYFUNCTION("""COMPUTED_VALUE"""),"The Bear Den")</f>
        <v>The Bear Den</v>
      </c>
      <c r="F808" s="30" t="str">
        <f>IFERROR(__xludf.DUMMYFUNCTION("""COMPUTED_VALUE"""),"Lunar")</f>
        <v>Lunar</v>
      </c>
      <c r="G808" s="92">
        <f>IFERROR(__xludf.DUMMYFUNCTION("""COMPUTED_VALUE"""),48.6797999127983)</f>
        <v>48.67979991</v>
      </c>
    </row>
    <row r="809">
      <c r="A809" s="30" t="str">
        <f>IFERROR(__xludf.DUMMYFUNCTION("""COMPUTED_VALUE"""),"RSC000666")</f>
        <v>RSC000666</v>
      </c>
      <c r="B809" s="30" t="str">
        <f>IFERROR(__xludf.DUMMYFUNCTION("""COMPUTED_VALUE"""),"AEB311")</f>
        <v>AEB311</v>
      </c>
      <c r="C809" s="30" t="str">
        <f>IFERROR(__xludf.DUMMYFUNCTION("""COMPUTED_VALUE"""),"Elite")</f>
        <v>Elite</v>
      </c>
      <c r="D809" s="30" t="str">
        <f>IFERROR(__xludf.DUMMYFUNCTION("""COMPUTED_VALUE"""),"Teddy Bears")</f>
        <v>Teddy Bears</v>
      </c>
      <c r="E809" s="30" t="str">
        <f>IFERROR(__xludf.DUMMYFUNCTION("""COMPUTED_VALUE"""),"The Bear Den")</f>
        <v>The Bear Den</v>
      </c>
      <c r="F809" s="30" t="str">
        <f>IFERROR(__xludf.DUMMYFUNCTION("""COMPUTED_VALUE"""),"Lunar")</f>
        <v>Lunar</v>
      </c>
      <c r="G809" s="92">
        <f>IFERROR(__xludf.DUMMYFUNCTION("""COMPUTED_VALUE"""),52.28849426297183)</f>
        <v>52.28849426</v>
      </c>
    </row>
    <row r="810">
      <c r="A810" s="30" t="str">
        <f>IFERROR(__xludf.DUMMYFUNCTION("""COMPUTED_VALUE"""),"RSC000371")</f>
        <v>RSC000371</v>
      </c>
      <c r="B810" s="30" t="str">
        <f>IFERROR(__xludf.DUMMYFUNCTION("""COMPUTED_VALUE"""),"Capn' Clutch")</f>
        <v>Capn' Clutch</v>
      </c>
      <c r="C810" s="30" t="str">
        <f>IFERROR(__xludf.DUMMYFUNCTION("""COMPUTED_VALUE"""),"Elite")</f>
        <v>Elite</v>
      </c>
      <c r="D810" s="30" t="str">
        <f>IFERROR(__xludf.DUMMYFUNCTION("""COMPUTED_VALUE"""),"Teddy Bears")</f>
        <v>Teddy Bears</v>
      </c>
      <c r="E810" s="30" t="str">
        <f>IFERROR(__xludf.DUMMYFUNCTION("""COMPUTED_VALUE"""),"The Bear Den")</f>
        <v>The Bear Den</v>
      </c>
      <c r="F810" s="30" t="str">
        <f>IFERROR(__xludf.DUMMYFUNCTION("""COMPUTED_VALUE"""),"Lunar")</f>
        <v>Lunar</v>
      </c>
      <c r="G810" s="92">
        <f>IFERROR(__xludf.DUMMYFUNCTION("""COMPUTED_VALUE"""),58.56148474417386)</f>
        <v>58.56148474</v>
      </c>
    </row>
    <row r="811">
      <c r="A811" s="30" t="str">
        <f>IFERROR(__xludf.DUMMYFUNCTION("""COMPUTED_VALUE"""),"RSC005522")</f>
        <v>RSC005522</v>
      </c>
      <c r="B811" s="30" t="str">
        <f>IFERROR(__xludf.DUMMYFUNCTION("""COMPUTED_VALUE"""),"Diviniation")</f>
        <v>Diviniation</v>
      </c>
      <c r="C811" s="30" t="str">
        <f>IFERROR(__xludf.DUMMYFUNCTION("""COMPUTED_VALUE"""),"Elite")</f>
        <v>Elite</v>
      </c>
      <c r="D811" s="30" t="str">
        <f>IFERROR(__xludf.DUMMYFUNCTION("""COMPUTED_VALUE"""),"Ghastly Goombahs")</f>
        <v>Ghastly Goombahs</v>
      </c>
      <c r="E811" s="30" t="str">
        <f>IFERROR(__xludf.DUMMYFUNCTION("""COMPUTED_VALUE"""),"The Syndicate")</f>
        <v>The Syndicate</v>
      </c>
      <c r="F811" s="30" t="str">
        <f>IFERROR(__xludf.DUMMYFUNCTION("""COMPUTED_VALUE"""),"Lunar")</f>
        <v>Lunar</v>
      </c>
      <c r="G811" s="92">
        <f>IFERROR(__xludf.DUMMYFUNCTION("""COMPUTED_VALUE"""),5.7262288977836775)</f>
        <v>5.726228898</v>
      </c>
    </row>
    <row r="812">
      <c r="A812" s="30" t="str">
        <f>IFERROR(__xludf.DUMMYFUNCTION("""COMPUTED_VALUE"""),"RSC007166")</f>
        <v>RSC007166</v>
      </c>
      <c r="B812" s="30" t="str">
        <f>IFERROR(__xludf.DUMMYFUNCTION("""COMPUTED_VALUE"""),"nelz")</f>
        <v>nelz</v>
      </c>
      <c r="C812" s="30" t="str">
        <f>IFERROR(__xludf.DUMMYFUNCTION("""COMPUTED_VALUE"""),"Elite")</f>
        <v>Elite</v>
      </c>
      <c r="D812" s="30" t="str">
        <f>IFERROR(__xludf.DUMMYFUNCTION("""COMPUTED_VALUE"""),"Ghastly Goombahs")</f>
        <v>Ghastly Goombahs</v>
      </c>
      <c r="E812" s="30" t="str">
        <f>IFERROR(__xludf.DUMMYFUNCTION("""COMPUTED_VALUE"""),"The Syndicate")</f>
        <v>The Syndicate</v>
      </c>
      <c r="F812" s="30" t="str">
        <f>IFERROR(__xludf.DUMMYFUNCTION("""COMPUTED_VALUE"""),"Lunar")</f>
        <v>Lunar</v>
      </c>
      <c r="G812" s="92">
        <f>IFERROR(__xludf.DUMMYFUNCTION("""COMPUTED_VALUE"""),58.500519967351316)</f>
        <v>58.50051997</v>
      </c>
    </row>
    <row r="813">
      <c r="A813" s="30" t="str">
        <f>IFERROR(__xludf.DUMMYFUNCTION("""COMPUTED_VALUE"""),"RSC005705")</f>
        <v>RSC005705</v>
      </c>
      <c r="B813" s="30" t="str">
        <f>IFERROR(__xludf.DUMMYFUNCTION("""COMPUTED_VALUE"""),"Rapidz (Goofy and Silly)")</f>
        <v>Rapidz (Goofy and Silly)</v>
      </c>
      <c r="C813" s="30" t="str">
        <f>IFERROR(__xludf.DUMMYFUNCTION("""COMPUTED_VALUE"""),"Elite")</f>
        <v>Elite</v>
      </c>
      <c r="D813" s="30" t="str">
        <f>IFERROR(__xludf.DUMMYFUNCTION("""COMPUTED_VALUE"""),"Keno
Ghastly Goombahs")</f>
        <v>Keno
Ghastly Goombahs</v>
      </c>
      <c r="E813" s="30" t="str">
        <f>IFERROR(__xludf.DUMMYFUNCTION("""COMPUTED_VALUE"""),"Never Lucky
The Syndicate")</f>
        <v>Never Lucky
The Syndicate</v>
      </c>
      <c r="F813" s="30" t="str">
        <f>IFERROR(__xludf.DUMMYFUNCTION("""COMPUTED_VALUE"""),"Lunar")</f>
        <v>Lunar</v>
      </c>
      <c r="G813" s="92">
        <f>IFERROR(__xludf.DUMMYFUNCTION("""COMPUTED_VALUE"""),61.04972454782602)</f>
        <v>61.04972455</v>
      </c>
    </row>
    <row r="814">
      <c r="A814" s="30" t="str">
        <f>IFERROR(__xludf.DUMMYFUNCTION("""COMPUTED_VALUE"""),"RSC005008")</f>
        <v>RSC005008</v>
      </c>
      <c r="B814" s="30" t="str">
        <f>IFERROR(__xludf.DUMMYFUNCTION("""COMPUTED_VALUE"""),"W0NDER")</f>
        <v>W0NDER</v>
      </c>
      <c r="C814" s="30" t="str">
        <f>IFERROR(__xludf.DUMMYFUNCTION("""COMPUTED_VALUE"""),"Elite")</f>
        <v>Elite</v>
      </c>
      <c r="D814" s="30" t="str">
        <f>IFERROR(__xludf.DUMMYFUNCTION("""COMPUTED_VALUE"""),"Ghastly Goombahs")</f>
        <v>Ghastly Goombahs</v>
      </c>
      <c r="E814" s="30" t="str">
        <f>IFERROR(__xludf.DUMMYFUNCTION("""COMPUTED_VALUE"""),"The Syndicate")</f>
        <v>The Syndicate</v>
      </c>
      <c r="F814" s="30" t="str">
        <f>IFERROR(__xludf.DUMMYFUNCTION("""COMPUTED_VALUE"""),"Lunar")</f>
        <v>Lunar</v>
      </c>
      <c r="G814" s="92">
        <f>IFERROR(__xludf.DUMMYFUNCTION("""COMPUTED_VALUE"""),32.33276028078546)</f>
        <v>32.33276028</v>
      </c>
    </row>
    <row r="815">
      <c r="A815" s="30" t="str">
        <f>IFERROR(__xludf.DUMMYFUNCTION("""COMPUTED_VALUE"""),"RSC003831")</f>
        <v>RSC003831</v>
      </c>
      <c r="B815" s="30" t="str">
        <f>IFERROR(__xludf.DUMMYFUNCTION("""COMPUTED_VALUE"""),"Aki")</f>
        <v>Aki</v>
      </c>
      <c r="C815" s="30" t="str">
        <f>IFERROR(__xludf.DUMMYFUNCTION("""COMPUTED_VALUE"""),"Elite")</f>
        <v>Elite</v>
      </c>
      <c r="D815" s="30" t="str">
        <f>IFERROR(__xludf.DUMMYFUNCTION("""COMPUTED_VALUE"""),"Stoked Blokes
Geeky Ghouls")</f>
        <v>Stoked Blokes
Geeky Ghouls</v>
      </c>
      <c r="E815" s="30" t="str">
        <f>IFERROR(__xludf.DUMMYFUNCTION("""COMPUTED_VALUE"""),"Vibe Tribe
Ghoul School")</f>
        <v>Vibe Tribe
Ghoul School</v>
      </c>
      <c r="F815" s="30" t="str">
        <f>IFERROR(__xludf.DUMMYFUNCTION("""COMPUTED_VALUE"""),"Lunar")</f>
        <v>Lunar</v>
      </c>
      <c r="G815" s="92">
        <f>IFERROR(__xludf.DUMMYFUNCTION("""COMPUTED_VALUE"""),56.391840289354434)</f>
        <v>56.39184029</v>
      </c>
    </row>
    <row r="816">
      <c r="A816" s="30" t="str">
        <f>IFERROR(__xludf.DUMMYFUNCTION("""COMPUTED_VALUE"""),"RSC003815")</f>
        <v>RSC003815</v>
      </c>
      <c r="B816" s="30" t="str">
        <f>IFERROR(__xludf.DUMMYFUNCTION("""COMPUTED_VALUE"""),"WashedDonk")</f>
        <v>WashedDonk</v>
      </c>
      <c r="C816" s="30" t="str">
        <f>IFERROR(__xludf.DUMMYFUNCTION("""COMPUTED_VALUE"""),"Elite")</f>
        <v>Elite</v>
      </c>
      <c r="D816" s="30" t="str">
        <f>IFERROR(__xludf.DUMMYFUNCTION("""COMPUTED_VALUE"""),"Geeky Ghouls")</f>
        <v>Geeky Ghouls</v>
      </c>
      <c r="E816" s="30" t="str">
        <f>IFERROR(__xludf.DUMMYFUNCTION("""COMPUTED_VALUE"""),"Ghoul School")</f>
        <v>Ghoul School</v>
      </c>
      <c r="F816" s="30" t="str">
        <f>IFERROR(__xludf.DUMMYFUNCTION("""COMPUTED_VALUE"""),"Solar")</f>
        <v>Solar</v>
      </c>
      <c r="G816" s="92">
        <f>IFERROR(__xludf.DUMMYFUNCTION("""COMPUTED_VALUE"""),32.88855499530953)</f>
        <v>32.888555</v>
      </c>
    </row>
    <row r="817">
      <c r="A817" s="30" t="str">
        <f>IFERROR(__xludf.DUMMYFUNCTION("""COMPUTED_VALUE"""),"RSC005290")</f>
        <v>RSC005290</v>
      </c>
      <c r="B817" s="30" t="str">
        <f>IFERROR(__xludf.DUMMYFUNCTION("""COMPUTED_VALUE"""),"IMWASHEDGREG")</f>
        <v>IMWASHEDGREG</v>
      </c>
      <c r="C817" s="30" t="str">
        <f>IFERROR(__xludf.DUMMYFUNCTION("""COMPUTED_VALUE"""),"Elite")</f>
        <v>Elite</v>
      </c>
      <c r="D817" s="30" t="str">
        <f>IFERROR(__xludf.DUMMYFUNCTION("""COMPUTED_VALUE"""),"Geeky Ghouls")</f>
        <v>Geeky Ghouls</v>
      </c>
      <c r="E817" s="30" t="str">
        <f>IFERROR(__xludf.DUMMYFUNCTION("""COMPUTED_VALUE"""),"Ghoul School")</f>
        <v>Ghoul School</v>
      </c>
      <c r="F817" s="30" t="str">
        <f>IFERROR(__xludf.DUMMYFUNCTION("""COMPUTED_VALUE"""),"Solar")</f>
        <v>Solar</v>
      </c>
      <c r="G817" s="92">
        <f>IFERROR(__xludf.DUMMYFUNCTION("""COMPUTED_VALUE"""),68.16869365442943)</f>
        <v>68.16869365</v>
      </c>
    </row>
    <row r="818">
      <c r="A818" s="30" t="str">
        <f>IFERROR(__xludf.DUMMYFUNCTION("""COMPUTED_VALUE"""),"RSC007884")</f>
        <v>RSC007884</v>
      </c>
      <c r="B818" s="30" t="str">
        <f>IFERROR(__xludf.DUMMYFUNCTION("""COMPUTED_VALUE"""),"Luis.")</f>
        <v>Luis.</v>
      </c>
      <c r="C818" s="30" t="str">
        <f>IFERROR(__xludf.DUMMYFUNCTION("""COMPUTED_VALUE"""),"Elite")</f>
        <v>Elite</v>
      </c>
      <c r="D818" s="30" t="str">
        <f>IFERROR(__xludf.DUMMYFUNCTION("""COMPUTED_VALUE"""),"Fire")</f>
        <v>Fire</v>
      </c>
      <c r="E818" s="30" t="str">
        <f>IFERROR(__xludf.DUMMYFUNCTION("""COMPUTED_VALUE"""),"The Elements")</f>
        <v>The Elements</v>
      </c>
      <c r="F818" s="30" t="str">
        <f>IFERROR(__xludf.DUMMYFUNCTION("""COMPUTED_VALUE"""),"Solar")</f>
        <v>Solar</v>
      </c>
      <c r="G818" s="92">
        <f>IFERROR(__xludf.DUMMYFUNCTION("""COMPUTED_VALUE"""),45.17184482201284)</f>
        <v>45.17184482</v>
      </c>
    </row>
    <row r="819">
      <c r="A819" s="30" t="str">
        <f>IFERROR(__xludf.DUMMYFUNCTION("""COMPUTED_VALUE"""),"RSC005030")</f>
        <v>RSC005030</v>
      </c>
      <c r="B819" s="30" t="str">
        <f>IFERROR(__xludf.DUMMYFUNCTION("""COMPUTED_VALUE"""),"Joe")</f>
        <v>Joe</v>
      </c>
      <c r="C819" s="30" t="str">
        <f>IFERROR(__xludf.DUMMYFUNCTION("""COMPUTED_VALUE"""),"Elite")</f>
        <v>Elite</v>
      </c>
      <c r="D819" s="30" t="str">
        <f>IFERROR(__xludf.DUMMYFUNCTION("""COMPUTED_VALUE"""),"Fire")</f>
        <v>Fire</v>
      </c>
      <c r="E819" s="30" t="str">
        <f>IFERROR(__xludf.DUMMYFUNCTION("""COMPUTED_VALUE"""),"The Elements")</f>
        <v>The Elements</v>
      </c>
      <c r="F819" s="30" t="str">
        <f>IFERROR(__xludf.DUMMYFUNCTION("""COMPUTED_VALUE"""),"Solar")</f>
        <v>Solar</v>
      </c>
      <c r="G819" s="92">
        <f>IFERROR(__xludf.DUMMYFUNCTION("""COMPUTED_VALUE"""),48.55921450784009)</f>
        <v>48.55921451</v>
      </c>
    </row>
    <row r="820">
      <c r="A820" s="30" t="str">
        <f>IFERROR(__xludf.DUMMYFUNCTION("""COMPUTED_VALUE"""),"RSC005754")</f>
        <v>RSC005754</v>
      </c>
      <c r="B820" s="30" t="str">
        <f>IFERROR(__xludf.DUMMYFUNCTION("""COMPUTED_VALUE"""),"Monty.")</f>
        <v>Monty.</v>
      </c>
      <c r="C820" s="30" t="str">
        <f>IFERROR(__xludf.DUMMYFUNCTION("""COMPUTED_VALUE"""),"Elite")</f>
        <v>Elite</v>
      </c>
      <c r="D820" s="30" t="str">
        <f>IFERROR(__xludf.DUMMYFUNCTION("""COMPUTED_VALUE"""),"Fire")</f>
        <v>Fire</v>
      </c>
      <c r="E820" s="30" t="str">
        <f>IFERROR(__xludf.DUMMYFUNCTION("""COMPUTED_VALUE"""),"The Elements")</f>
        <v>The Elements</v>
      </c>
      <c r="F820" s="30" t="str">
        <f>IFERROR(__xludf.DUMMYFUNCTION("""COMPUTED_VALUE"""),"Solar")</f>
        <v>Solar</v>
      </c>
      <c r="G820" s="92">
        <f>IFERROR(__xludf.DUMMYFUNCTION("""COMPUTED_VALUE"""),21.804286504122967)</f>
        <v>21.8042865</v>
      </c>
    </row>
    <row r="821">
      <c r="A821" s="30" t="str">
        <f>IFERROR(__xludf.DUMMYFUNCTION("""COMPUTED_VALUE"""),"RSC007295")</f>
        <v>RSC007295</v>
      </c>
      <c r="B821" s="30" t="str">
        <f>IFERROR(__xludf.DUMMYFUNCTION("""COMPUTED_VALUE"""),"TheLegendaryChance")</f>
        <v>TheLegendaryChance</v>
      </c>
      <c r="C821" s="30" t="str">
        <f>IFERROR(__xludf.DUMMYFUNCTION("""COMPUTED_VALUE"""),"Elite")</f>
        <v>Elite</v>
      </c>
      <c r="D821" s="30" t="str">
        <f>IFERROR(__xludf.DUMMYFUNCTION("""COMPUTED_VALUE"""),"Geeky Ghouls")</f>
        <v>Geeky Ghouls</v>
      </c>
      <c r="E821" s="30" t="str">
        <f>IFERROR(__xludf.DUMMYFUNCTION("""COMPUTED_VALUE"""),"Ghoul School")</f>
        <v>Ghoul School</v>
      </c>
      <c r="F821" s="30" t="str">
        <f>IFERROR(__xludf.DUMMYFUNCTION("""COMPUTED_VALUE"""),"Solar")</f>
        <v>Solar</v>
      </c>
      <c r="G821" s="92">
        <f>IFERROR(__xludf.DUMMYFUNCTION("""COMPUTED_VALUE"""),42.57329013539233)</f>
        <v>42.57329014</v>
      </c>
    </row>
    <row r="822">
      <c r="A822" s="30" t="str">
        <f>IFERROR(__xludf.DUMMYFUNCTION("""COMPUTED_VALUE"""),"RSC007925")</f>
        <v>RSC007925</v>
      </c>
      <c r="B822" s="30" t="str">
        <f>IFERROR(__xludf.DUMMYFUNCTION("""COMPUTED_VALUE"""),"Monkey")</f>
        <v>Monkey</v>
      </c>
      <c r="C822" s="30" t="str">
        <f>IFERROR(__xludf.DUMMYFUNCTION("""COMPUTED_VALUE"""),"Elite")</f>
        <v>Elite</v>
      </c>
      <c r="D822" s="30" t="str">
        <f>IFERROR(__xludf.DUMMYFUNCTION("""COMPUTED_VALUE"""),"Fire")</f>
        <v>Fire</v>
      </c>
      <c r="E822" s="30" t="str">
        <f>IFERROR(__xludf.DUMMYFUNCTION("""COMPUTED_VALUE"""),"The Elements")</f>
        <v>The Elements</v>
      </c>
      <c r="F822" s="30" t="str">
        <f>IFERROR(__xludf.DUMMYFUNCTION("""COMPUTED_VALUE"""),"Solar")</f>
        <v>Solar</v>
      </c>
      <c r="G822" s="92">
        <f>IFERROR(__xludf.DUMMYFUNCTION("""COMPUTED_VALUE"""),33.17550162211138)</f>
        <v>33.17550162</v>
      </c>
    </row>
    <row r="823">
      <c r="A823" s="30" t="str">
        <f>IFERROR(__xludf.DUMMYFUNCTION("""COMPUTED_VALUE"""),"RSC006838")</f>
        <v>RSC006838</v>
      </c>
      <c r="B823" s="30" t="str">
        <f>IFERROR(__xludf.DUMMYFUNCTION("""COMPUTED_VALUE"""),"ZachOff")</f>
        <v>ZachOff</v>
      </c>
      <c r="C823" s="30" t="str">
        <f>IFERROR(__xludf.DUMMYFUNCTION("""COMPUTED_VALUE"""),"Elite")</f>
        <v>Elite</v>
      </c>
      <c r="D823" s="30" t="str">
        <f>IFERROR(__xludf.DUMMYFUNCTION("""COMPUTED_VALUE"""),"Great Whites")</f>
        <v>Great Whites</v>
      </c>
      <c r="E823" s="30" t="str">
        <f>IFERROR(__xludf.DUMMYFUNCTION("""COMPUTED_VALUE"""),"Shark Attack")</f>
        <v>Shark Attack</v>
      </c>
      <c r="F823" s="30" t="str">
        <f>IFERROR(__xludf.DUMMYFUNCTION("""COMPUTED_VALUE"""),"Solar")</f>
        <v>Solar</v>
      </c>
      <c r="G823" s="92">
        <f>IFERROR(__xludf.DUMMYFUNCTION("""COMPUTED_VALUE"""),80.29424759135507)</f>
        <v>80.29424759</v>
      </c>
    </row>
    <row r="824">
      <c r="A824" s="30" t="str">
        <f>IFERROR(__xludf.DUMMYFUNCTION("""COMPUTED_VALUE"""),"RSC007642")</f>
        <v>RSC007642</v>
      </c>
      <c r="B824" s="30" t="str">
        <f>IFERROR(__xludf.DUMMYFUNCTION("""COMPUTED_VALUE"""),"Luminati7")</f>
        <v>Luminati7</v>
      </c>
      <c r="C824" s="30" t="str">
        <f>IFERROR(__xludf.DUMMYFUNCTION("""COMPUTED_VALUE"""),"Elite")</f>
        <v>Elite</v>
      </c>
      <c r="D824" s="30" t="str">
        <f>IFERROR(__xludf.DUMMYFUNCTION("""COMPUTED_VALUE"""),"Pixel Picassos")</f>
        <v>Pixel Picassos</v>
      </c>
      <c r="E824" s="30" t="str">
        <f>IFERROR(__xludf.DUMMYFUNCTION("""COMPUTED_VALUE"""),"Art Club")</f>
        <v>Art Club</v>
      </c>
      <c r="F824" s="30" t="str">
        <f>IFERROR(__xludf.DUMMYFUNCTION("""COMPUTED_VALUE"""),"Solar")</f>
        <v>Solar</v>
      </c>
      <c r="G824" s="92">
        <f>IFERROR(__xludf.DUMMYFUNCTION("""COMPUTED_VALUE"""),37.491984398908826)</f>
        <v>37.4919844</v>
      </c>
    </row>
    <row r="825">
      <c r="A825" s="30" t="str">
        <f>IFERROR(__xludf.DUMMYFUNCTION("""COMPUTED_VALUE"""),"RSC004630")</f>
        <v>RSC004630</v>
      </c>
      <c r="B825" s="30" t="str">
        <f>IFERROR(__xludf.DUMMYFUNCTION("""COMPUTED_VALUE"""),"Supe")</f>
        <v>Supe</v>
      </c>
      <c r="C825" s="30" t="str">
        <f>IFERROR(__xludf.DUMMYFUNCTION("""COMPUTED_VALUE"""),"Elite")</f>
        <v>Elite</v>
      </c>
      <c r="D825" s="30" t="str">
        <f>IFERROR(__xludf.DUMMYFUNCTION("""COMPUTED_VALUE"""),"Pylons")</f>
        <v>Pylons</v>
      </c>
      <c r="E825" s="30" t="str">
        <f>IFERROR(__xludf.DUMMYFUNCTION("""COMPUTED_VALUE"""),"Road Work Ahead")</f>
        <v>Road Work Ahead</v>
      </c>
      <c r="F825" s="30" t="str">
        <f>IFERROR(__xludf.DUMMYFUNCTION("""COMPUTED_VALUE"""),"Lunar")</f>
        <v>Lunar</v>
      </c>
      <c r="G825" s="92">
        <f>IFERROR(__xludf.DUMMYFUNCTION("""COMPUTED_VALUE"""),73.9856589072877)</f>
        <v>73.98565891</v>
      </c>
    </row>
    <row r="826">
      <c r="A826" s="30" t="str">
        <f>IFERROR(__xludf.DUMMYFUNCTION("""COMPUTED_VALUE"""),"RSC006218")</f>
        <v>RSC006218</v>
      </c>
      <c r="B826" s="30" t="str">
        <f>IFERROR(__xludf.DUMMYFUNCTION("""COMPUTED_VALUE"""),"Stingray")</f>
        <v>Stingray</v>
      </c>
      <c r="C826" s="30" t="str">
        <f>IFERROR(__xludf.DUMMYFUNCTION("""COMPUTED_VALUE"""),"Elite")</f>
        <v>Elite</v>
      </c>
      <c r="D826" s="30" t="str">
        <f>IFERROR(__xludf.DUMMYFUNCTION("""COMPUTED_VALUE"""),"Keno")</f>
        <v>Keno</v>
      </c>
      <c r="E826" s="30" t="str">
        <f>IFERROR(__xludf.DUMMYFUNCTION("""COMPUTED_VALUE"""),"Never Lucky")</f>
        <v>Never Lucky</v>
      </c>
      <c r="F826" s="30" t="str">
        <f>IFERROR(__xludf.DUMMYFUNCTION("""COMPUTED_VALUE"""),"Lunar")</f>
        <v>Lunar</v>
      </c>
      <c r="G826" s="92">
        <f>IFERROR(__xludf.DUMMYFUNCTION("""COMPUTED_VALUE"""),56.686641134337584)</f>
        <v>56.68664113</v>
      </c>
    </row>
    <row r="827">
      <c r="A827" s="30" t="str">
        <f>IFERROR(__xludf.DUMMYFUNCTION("""COMPUTED_VALUE"""),"RSC005469")</f>
        <v>RSC005469</v>
      </c>
      <c r="B827" s="30" t="str">
        <f>IFERROR(__xludf.DUMMYFUNCTION("""COMPUTED_VALUE"""),"Axlos (Goofy and Silly)")</f>
        <v>Axlos (Goofy and Silly)</v>
      </c>
      <c r="C827" s="30" t="str">
        <f>IFERROR(__xludf.DUMMYFUNCTION("""COMPUTED_VALUE"""),"Elite")</f>
        <v>Elite</v>
      </c>
      <c r="D827" s="30" t="str">
        <f>IFERROR(__xludf.DUMMYFUNCTION("""COMPUTED_VALUE"""),"Keno
Ghastly Goombahs")</f>
        <v>Keno
Ghastly Goombahs</v>
      </c>
      <c r="E827" s="30" t="str">
        <f>IFERROR(__xludf.DUMMYFUNCTION("""COMPUTED_VALUE"""),"Never Lucky
The Syndicate")</f>
        <v>Never Lucky
The Syndicate</v>
      </c>
      <c r="F827" s="30" t="str">
        <f>IFERROR(__xludf.DUMMYFUNCTION("""COMPUTED_VALUE"""),"Lunar")</f>
        <v>Lunar</v>
      </c>
      <c r="G827" s="92">
        <f>IFERROR(__xludf.DUMMYFUNCTION("""COMPUTED_VALUE"""),33.05268956703218)</f>
        <v>33.05268957</v>
      </c>
    </row>
    <row r="828">
      <c r="A828" s="30" t="str">
        <f>IFERROR(__xludf.DUMMYFUNCTION("""COMPUTED_VALUE"""),"RSC007907")</f>
        <v>RSC007907</v>
      </c>
      <c r="B828" s="30" t="str">
        <f>IFERROR(__xludf.DUMMYFUNCTION("""COMPUTED_VALUE"""),"Chazie.")</f>
        <v>Chazie.</v>
      </c>
      <c r="C828" s="30" t="str">
        <f>IFERROR(__xludf.DUMMYFUNCTION("""COMPUTED_VALUE"""),"Elite")</f>
        <v>Elite</v>
      </c>
      <c r="D828" s="30" t="str">
        <f>IFERROR(__xludf.DUMMYFUNCTION("""COMPUTED_VALUE"""),"Orochi")</f>
        <v>Orochi</v>
      </c>
      <c r="E828" s="30" t="str">
        <f>IFERROR(__xludf.DUMMYFUNCTION("""COMPUTED_VALUE"""),"The Shrine")</f>
        <v>The Shrine</v>
      </c>
      <c r="F828" s="30" t="str">
        <f>IFERROR(__xludf.DUMMYFUNCTION("""COMPUTED_VALUE"""),"Solar")</f>
        <v>Solar</v>
      </c>
      <c r="G828" s="92">
        <f>IFERROR(__xludf.DUMMYFUNCTION("""COMPUTED_VALUE"""),10.752341373836543)</f>
        <v>10.75234137</v>
      </c>
    </row>
    <row r="829">
      <c r="A829" s="30" t="str">
        <f>IFERROR(__xludf.DUMMYFUNCTION("""COMPUTED_VALUE"""),"RSC000016")</f>
        <v>RSC000016</v>
      </c>
      <c r="B829" s="30" t="str">
        <f>IFERROR(__xludf.DUMMYFUNCTION("""COMPUTED_VALUE"""),"Beans")</f>
        <v>Beans</v>
      </c>
      <c r="C829" s="30" t="str">
        <f>IFERROR(__xludf.DUMMYFUNCTION("""COMPUTED_VALUE"""),"Elite")</f>
        <v>Elite</v>
      </c>
      <c r="D829" s="30" t="str">
        <f>IFERROR(__xludf.DUMMYFUNCTION("""COMPUTED_VALUE"""),"Nightshade")</f>
        <v>Nightshade</v>
      </c>
      <c r="E829" s="30" t="str">
        <f>IFERROR(__xludf.DUMMYFUNCTION("""COMPUTED_VALUE"""),"Flower Road")</f>
        <v>Flower Road</v>
      </c>
      <c r="F829" s="30" t="str">
        <f>IFERROR(__xludf.DUMMYFUNCTION("""COMPUTED_VALUE"""),"Lunar")</f>
        <v>Lunar</v>
      </c>
      <c r="G829" s="92">
        <f>IFERROR(__xludf.DUMMYFUNCTION("""COMPUTED_VALUE"""),42.7326198367976)</f>
        <v>42.73261984</v>
      </c>
    </row>
    <row r="830">
      <c r="A830" s="30" t="str">
        <f>IFERROR(__xludf.DUMMYFUNCTION("""COMPUTED_VALUE"""),"RSC004966")</f>
        <v>RSC004966</v>
      </c>
      <c r="B830" s="30" t="str">
        <f>IFERROR(__xludf.DUMMYFUNCTION("""COMPUTED_VALUE"""),"Buck")</f>
        <v>Buck</v>
      </c>
      <c r="C830" s="30" t="str">
        <f>IFERROR(__xludf.DUMMYFUNCTION("""COMPUTED_VALUE"""),"Elite")</f>
        <v>Elite</v>
      </c>
      <c r="D830" s="30" t="str">
        <f>IFERROR(__xludf.DUMMYFUNCTION("""COMPUTED_VALUE"""),"Thrashers")</f>
        <v>Thrashers</v>
      </c>
      <c r="E830" s="30" t="str">
        <f>IFERROR(__xludf.DUMMYFUNCTION("""COMPUTED_VALUE"""),"The Pit")</f>
        <v>The Pit</v>
      </c>
      <c r="F830" s="30" t="str">
        <f>IFERROR(__xludf.DUMMYFUNCTION("""COMPUTED_VALUE"""),"Lunar")</f>
        <v>Lunar</v>
      </c>
      <c r="G830" s="92">
        <f>IFERROR(__xludf.DUMMYFUNCTION("""COMPUTED_VALUE"""),38.210527780253095)</f>
        <v>38.21052778</v>
      </c>
    </row>
    <row r="831">
      <c r="A831" s="30" t="str">
        <f>IFERROR(__xludf.DUMMYFUNCTION("""COMPUTED_VALUE"""),"RSC006468")</f>
        <v>RSC006468</v>
      </c>
      <c r="B831" s="30" t="str">
        <f>IFERROR(__xludf.DUMMYFUNCTION("""COMPUTED_VALUE"""),"AlphaChuck")</f>
        <v>AlphaChuck</v>
      </c>
      <c r="C831" s="30" t="str">
        <f>IFERROR(__xludf.DUMMYFUNCTION("""COMPUTED_VALUE"""),"Elite")</f>
        <v>Elite</v>
      </c>
      <c r="D831" s="30" t="str">
        <f>IFERROR(__xludf.DUMMYFUNCTION("""COMPUTED_VALUE"""),"Teddy Bears")</f>
        <v>Teddy Bears</v>
      </c>
      <c r="E831" s="30" t="str">
        <f>IFERROR(__xludf.DUMMYFUNCTION("""COMPUTED_VALUE"""),"The Bear Den")</f>
        <v>The Bear Den</v>
      </c>
      <c r="F831" s="30" t="str">
        <f>IFERROR(__xludf.DUMMYFUNCTION("""COMPUTED_VALUE"""),"Lunar")</f>
        <v>Lunar</v>
      </c>
      <c r="G831" s="92">
        <f>IFERROR(__xludf.DUMMYFUNCTION("""COMPUTED_VALUE"""),45.95363682291109)</f>
        <v>45.95363682</v>
      </c>
    </row>
    <row r="832">
      <c r="A832" s="30" t="str">
        <f>IFERROR(__xludf.DUMMYFUNCTION("""COMPUTED_VALUE"""),"RSC004889")</f>
        <v>RSC004889</v>
      </c>
      <c r="B832" s="30" t="str">
        <f>IFERROR(__xludf.DUMMYFUNCTION("""COMPUTED_VALUE"""),"Steeltoehammer")</f>
        <v>Steeltoehammer</v>
      </c>
      <c r="C832" s="30" t="str">
        <f>IFERROR(__xludf.DUMMYFUNCTION("""COMPUTED_VALUE"""),"Elite")</f>
        <v>Elite</v>
      </c>
      <c r="D832" s="30" t="str">
        <f>IFERROR(__xludf.DUMMYFUNCTION("""COMPUTED_VALUE"""),"Despair")</f>
        <v>Despair</v>
      </c>
      <c r="E832" s="30" t="str">
        <f>IFERROR(__xludf.DUMMYFUNCTION("""COMPUTED_VALUE"""),"The Shadows")</f>
        <v>The Shadows</v>
      </c>
      <c r="F832" s="30" t="str">
        <f>IFERROR(__xludf.DUMMYFUNCTION("""COMPUTED_VALUE"""),"Lunar")</f>
        <v>Lunar</v>
      </c>
      <c r="G832" s="92">
        <f>IFERROR(__xludf.DUMMYFUNCTION("""COMPUTED_VALUE"""),6.638650196533085)</f>
        <v>6.638650197</v>
      </c>
    </row>
    <row r="833">
      <c r="A833" s="30" t="str">
        <f>IFERROR(__xludf.DUMMYFUNCTION("""COMPUTED_VALUE"""),"RSC006703")</f>
        <v>RSC006703</v>
      </c>
      <c r="B833" s="30" t="str">
        <f>IFERROR(__xludf.DUMMYFUNCTION("""COMPUTED_VALUE"""),"cav")</f>
        <v>cav</v>
      </c>
      <c r="C833" s="30" t="str">
        <f>IFERROR(__xludf.DUMMYFUNCTION("""COMPUTED_VALUE"""),"Elite")</f>
        <v>Elite</v>
      </c>
      <c r="D833" s="30" t="str">
        <f>IFERROR(__xludf.DUMMYFUNCTION("""COMPUTED_VALUE"""),"Praetorian Guard")</f>
        <v>Praetorian Guard</v>
      </c>
      <c r="E833" s="30" t="str">
        <f>IFERROR(__xludf.DUMMYFUNCTION("""COMPUTED_VALUE"""),"The Sovereign")</f>
        <v>The Sovereign</v>
      </c>
      <c r="F833" s="30" t="str">
        <f>IFERROR(__xludf.DUMMYFUNCTION("""COMPUTED_VALUE"""),"Lunar")</f>
        <v>Lunar</v>
      </c>
      <c r="G833" s="92">
        <f>IFERROR(__xludf.DUMMYFUNCTION("""COMPUTED_VALUE"""),54.83077034022166)</f>
        <v>54.83077034</v>
      </c>
    </row>
    <row r="834">
      <c r="A834" s="30" t="str">
        <f>IFERROR(__xludf.DUMMYFUNCTION("""COMPUTED_VALUE"""),"RSC007941")</f>
        <v>RSC007941</v>
      </c>
      <c r="B834" s="30" t="str">
        <f>IFERROR(__xludf.DUMMYFUNCTION("""COMPUTED_VALUE"""),"Shepherd")</f>
        <v>Shepherd</v>
      </c>
      <c r="C834" s="30" t="str">
        <f>IFERROR(__xludf.DUMMYFUNCTION("""COMPUTED_VALUE"""),"Elite")</f>
        <v>Elite</v>
      </c>
      <c r="D834" s="30" t="str">
        <f>IFERROR(__xludf.DUMMYFUNCTION("""COMPUTED_VALUE"""),"Demons")</f>
        <v>Demons</v>
      </c>
      <c r="E834" s="30" t="str">
        <f>IFERROR(__xludf.DUMMYFUNCTION("""COMPUTED_VALUE"""),"The Monster Mash")</f>
        <v>The Monster Mash</v>
      </c>
      <c r="F834" s="30" t="str">
        <f>IFERROR(__xludf.DUMMYFUNCTION("""COMPUTED_VALUE"""),"Lunar")</f>
        <v>Lunar</v>
      </c>
      <c r="G834" s="92">
        <f>IFERROR(__xludf.DUMMYFUNCTION("""COMPUTED_VALUE"""),52.71026636433983)</f>
        <v>52.71026636</v>
      </c>
    </row>
    <row r="835">
      <c r="A835" s="30" t="str">
        <f>IFERROR(__xludf.DUMMYFUNCTION("""COMPUTED_VALUE"""),"RSC006409")</f>
        <v>RSC006409</v>
      </c>
      <c r="B835" s="30" t="str">
        <f>IFERROR(__xludf.DUMMYFUNCTION("""COMPUTED_VALUE"""),"Reported.")</f>
        <v>Reported.</v>
      </c>
      <c r="C835" s="30" t="str">
        <f>IFERROR(__xludf.DUMMYFUNCTION("""COMPUTED_VALUE"""),"Elite")</f>
        <v>Elite</v>
      </c>
      <c r="D835" s="30" t="str">
        <f>IFERROR(__xludf.DUMMYFUNCTION("""COMPUTED_VALUE"""),"Forge Defenders")</f>
        <v>Forge Defenders</v>
      </c>
      <c r="E835" s="30" t="str">
        <f>IFERROR(__xludf.DUMMYFUNCTION("""COMPUTED_VALUE"""),"Dwarf Haven")</f>
        <v>Dwarf Haven</v>
      </c>
      <c r="F835" s="30" t="str">
        <f>IFERROR(__xludf.DUMMYFUNCTION("""COMPUTED_VALUE"""),"Solar")</f>
        <v>Solar</v>
      </c>
      <c r="G835" s="92">
        <f>IFERROR(__xludf.DUMMYFUNCTION("""COMPUTED_VALUE"""),61.354934408711955)</f>
        <v>61.35493441</v>
      </c>
    </row>
    <row r="836">
      <c r="A836" s="30" t="str">
        <f>IFERROR(__xludf.DUMMYFUNCTION("""COMPUTED_VALUE"""),"RSC006484")</f>
        <v>RSC006484</v>
      </c>
      <c r="B836" s="30" t="str">
        <f>IFERROR(__xludf.DUMMYFUNCTION("""COMPUTED_VALUE"""),"Sunny.-._")</f>
        <v>Sunny.-._</v>
      </c>
      <c r="C836" s="30" t="str">
        <f>IFERROR(__xludf.DUMMYFUNCTION("""COMPUTED_VALUE"""),"Elite")</f>
        <v>Elite</v>
      </c>
      <c r="D836" s="30" t="str">
        <f>IFERROR(__xludf.DUMMYFUNCTION("""COMPUTED_VALUE"""),"Ghastly Goombahs
Summoned
Orochi")</f>
        <v>Ghastly Goombahs
Summoned
Orochi</v>
      </c>
      <c r="E836" s="30" t="str">
        <f>IFERROR(__xludf.DUMMYFUNCTION("""COMPUTED_VALUE"""),"The Syndicate
Destined
The Shrine")</f>
        <v>The Syndicate
Destined
The Shrine</v>
      </c>
      <c r="F836" s="30" t="str">
        <f>IFERROR(__xludf.DUMMYFUNCTION("""COMPUTED_VALUE"""),"Lunar")</f>
        <v>Lunar</v>
      </c>
      <c r="G836" s="92">
        <f>IFERROR(__xludf.DUMMYFUNCTION("""COMPUTED_VALUE"""),34.170642556626476)</f>
        <v>34.17064256</v>
      </c>
    </row>
    <row r="837">
      <c r="A837" s="30" t="str">
        <f>IFERROR(__xludf.DUMMYFUNCTION("""COMPUTED_VALUE"""),"RSC007629")</f>
        <v>RSC007629</v>
      </c>
      <c r="B837" s="30" t="str">
        <f>IFERROR(__xludf.DUMMYFUNCTION("""COMPUTED_VALUE"""),"Mochi")</f>
        <v>Mochi</v>
      </c>
      <c r="C837" s="30" t="str">
        <f>IFERROR(__xludf.DUMMYFUNCTION("""COMPUTED_VALUE"""),"Elite")</f>
        <v>Elite</v>
      </c>
      <c r="D837" s="30" t="str">
        <f>IFERROR(__xludf.DUMMYFUNCTION("""COMPUTED_VALUE"""),"Desolation")</f>
        <v>Desolation</v>
      </c>
      <c r="E837" s="30" t="str">
        <f>IFERROR(__xludf.DUMMYFUNCTION("""COMPUTED_VALUE"""),"Event Horizon")</f>
        <v>Event Horizon</v>
      </c>
      <c r="F837" s="30" t="str">
        <f>IFERROR(__xludf.DUMMYFUNCTION("""COMPUTED_VALUE"""),"Solar")</f>
        <v>Solar</v>
      </c>
      <c r="G837" s="92">
        <f>IFERROR(__xludf.DUMMYFUNCTION("""COMPUTED_VALUE"""),26.43832996202255)</f>
        <v>26.43832996</v>
      </c>
    </row>
    <row r="838">
      <c r="A838" s="30" t="str">
        <f>IFERROR(__xludf.DUMMYFUNCTION("""COMPUTED_VALUE"""),"RSC005899")</f>
        <v>RSC005899</v>
      </c>
      <c r="B838" s="30" t="str">
        <f>IFERROR(__xludf.DUMMYFUNCTION("""COMPUTED_VALUE"""),"DJDancingDuckGif")</f>
        <v>DJDancingDuckGif</v>
      </c>
      <c r="C838" s="30" t="str">
        <f>IFERROR(__xludf.DUMMYFUNCTION("""COMPUTED_VALUE"""),"Elite")</f>
        <v>Elite</v>
      </c>
      <c r="D838" s="30" t="str">
        <f>IFERROR(__xludf.DUMMYFUNCTION("""COMPUTED_VALUE"""),"Black-Holes")</f>
        <v>Black-Holes</v>
      </c>
      <c r="E838" s="30" t="str">
        <f>IFERROR(__xludf.DUMMYFUNCTION("""COMPUTED_VALUE"""),"The Cosmos")</f>
        <v>The Cosmos</v>
      </c>
      <c r="F838" s="30" t="str">
        <f>IFERROR(__xludf.DUMMYFUNCTION("""COMPUTED_VALUE"""),"Solar")</f>
        <v>Solar</v>
      </c>
      <c r="G838" s="92">
        <f>IFERROR(__xludf.DUMMYFUNCTION("""COMPUTED_VALUE"""),44.72504538337208)</f>
        <v>44.72504538</v>
      </c>
    </row>
    <row r="839">
      <c r="A839" s="30" t="str">
        <f>IFERROR(__xludf.DUMMYFUNCTION("""COMPUTED_VALUE"""),"RSC006185")</f>
        <v>RSC006185</v>
      </c>
      <c r="B839" s="30" t="str">
        <f>IFERROR(__xludf.DUMMYFUNCTION("""COMPUTED_VALUE"""),"sandro")</f>
        <v>sandro</v>
      </c>
      <c r="C839" s="30" t="str">
        <f>IFERROR(__xludf.DUMMYFUNCTION("""COMPUTED_VALUE"""),"Elite")</f>
        <v>Elite</v>
      </c>
      <c r="D839" s="30" t="str">
        <f>IFERROR(__xludf.DUMMYFUNCTION("""COMPUTED_VALUE"""),"Summoned
Pylons")</f>
        <v>Summoned
Pylons</v>
      </c>
      <c r="E839" s="30" t="str">
        <f>IFERROR(__xludf.DUMMYFUNCTION("""COMPUTED_VALUE"""),"Destined
Road Work Ahead")</f>
        <v>Destined
Road Work Ahead</v>
      </c>
      <c r="F839" s="30" t="str">
        <f>IFERROR(__xludf.DUMMYFUNCTION("""COMPUTED_VALUE"""),"Solar")</f>
        <v>Solar</v>
      </c>
      <c r="G839" s="92">
        <f>IFERROR(__xludf.DUMMYFUNCTION("""COMPUTED_VALUE"""),54.018108998814675)</f>
        <v>54.018109</v>
      </c>
    </row>
    <row r="840">
      <c r="A840" s="30" t="str">
        <f>IFERROR(__xludf.DUMMYFUNCTION("""COMPUTED_VALUE"""),"RSC007260")</f>
        <v>RSC007260</v>
      </c>
      <c r="B840" s="30" t="str">
        <f>IFERROR(__xludf.DUMMYFUNCTION("""COMPUTED_VALUE"""),"Veoloux")</f>
        <v>Veoloux</v>
      </c>
      <c r="C840" s="30" t="str">
        <f>IFERROR(__xludf.DUMMYFUNCTION("""COMPUTED_VALUE"""),"Elite")</f>
        <v>Elite</v>
      </c>
      <c r="D840" s="30" t="str">
        <f>IFERROR(__xludf.DUMMYFUNCTION("""COMPUTED_VALUE"""),"Ghastly Goombahs
Loonie")</f>
        <v>Ghastly Goombahs
Loonie</v>
      </c>
      <c r="E840" s="30" t="str">
        <f>IFERROR(__xludf.DUMMYFUNCTION("""COMPUTED_VALUE"""),"The Syndicate
Money Makers")</f>
        <v>The Syndicate
Money Makers</v>
      </c>
      <c r="F840" s="30" t="str">
        <f>IFERROR(__xludf.DUMMYFUNCTION("""COMPUTED_VALUE"""),"Solar")</f>
        <v>Solar</v>
      </c>
      <c r="G840" s="92">
        <f>IFERROR(__xludf.DUMMYFUNCTION("""COMPUTED_VALUE"""),5.929223343880828)</f>
        <v>5.929223344</v>
      </c>
    </row>
    <row r="841">
      <c r="A841" s="30" t="str">
        <f>IFERROR(__xludf.DUMMYFUNCTION("""COMPUTED_VALUE"""),"RSC006637")</f>
        <v>RSC006637</v>
      </c>
      <c r="B841" s="30" t="str">
        <f>IFERROR(__xludf.DUMMYFUNCTION("""COMPUTED_VALUE"""),"nekodah")</f>
        <v>nekodah</v>
      </c>
      <c r="C841" s="30" t="str">
        <f>IFERROR(__xludf.DUMMYFUNCTION("""COMPUTED_VALUE"""),"Elite")</f>
        <v>Elite</v>
      </c>
      <c r="D841" s="30" t="str">
        <f>IFERROR(__xludf.DUMMYFUNCTION("""COMPUTED_VALUE"""),"Stoked Blokes")</f>
        <v>Stoked Blokes</v>
      </c>
      <c r="E841" s="30" t="str">
        <f>IFERROR(__xludf.DUMMYFUNCTION("""COMPUTED_VALUE"""),"Vibe Tribe")</f>
        <v>Vibe Tribe</v>
      </c>
      <c r="F841" s="30" t="str">
        <f>IFERROR(__xludf.DUMMYFUNCTION("""COMPUTED_VALUE"""),"Lunar")</f>
        <v>Lunar</v>
      </c>
      <c r="G841" s="92">
        <f>IFERROR(__xludf.DUMMYFUNCTION("""COMPUTED_VALUE"""),45.25216629064497)</f>
        <v>45.25216629</v>
      </c>
    </row>
    <row r="842">
      <c r="A842" s="30" t="str">
        <f>IFERROR(__xludf.DUMMYFUNCTION("""COMPUTED_VALUE"""),"RSC005508")</f>
        <v>RSC005508</v>
      </c>
      <c r="B842" s="30" t="str">
        <f>IFERROR(__xludf.DUMMYFUNCTION("""COMPUTED_VALUE"""),"Lil Windex")</f>
        <v>Lil Windex</v>
      </c>
      <c r="C842" s="30" t="str">
        <f>IFERROR(__xludf.DUMMYFUNCTION("""COMPUTED_VALUE"""),"Elite")</f>
        <v>Elite</v>
      </c>
      <c r="D842" s="30" t="str">
        <f>IFERROR(__xludf.DUMMYFUNCTION("""COMPUTED_VALUE"""),"Cyclones")</f>
        <v>Cyclones</v>
      </c>
      <c r="E842" s="30" t="str">
        <f>IFERROR(__xludf.DUMMYFUNCTION("""COMPUTED_VALUE"""),"Storm")</f>
        <v>Storm</v>
      </c>
      <c r="F842" s="30" t="str">
        <f>IFERROR(__xludf.DUMMYFUNCTION("""COMPUTED_VALUE"""),"Solar")</f>
        <v>Solar</v>
      </c>
      <c r="G842" s="92">
        <f>IFERROR(__xludf.DUMMYFUNCTION("""COMPUTED_VALUE"""),52.390321385252165)</f>
        <v>52.39032139</v>
      </c>
    </row>
    <row r="843">
      <c r="A843" s="30" t="str">
        <f>IFERROR(__xludf.DUMMYFUNCTION("""COMPUTED_VALUE"""),"RSC003277")</f>
        <v>RSC003277</v>
      </c>
      <c r="B843" s="30" t="str">
        <f>IFERROR(__xludf.DUMMYFUNCTION("""COMPUTED_VALUE"""),"Miikey.RL")</f>
        <v>Miikey.RL</v>
      </c>
      <c r="C843" s="30" t="str">
        <f>IFERROR(__xludf.DUMMYFUNCTION("""COMPUTED_VALUE"""),"Elite")</f>
        <v>Elite</v>
      </c>
      <c r="D843" s="30" t="str">
        <f>IFERROR(__xludf.DUMMYFUNCTION("""COMPUTED_VALUE"""),"Orochi")</f>
        <v>Orochi</v>
      </c>
      <c r="E843" s="30" t="str">
        <f>IFERROR(__xludf.DUMMYFUNCTION("""COMPUTED_VALUE"""),"The Shrine")</f>
        <v>The Shrine</v>
      </c>
      <c r="F843" s="30" t="str">
        <f>IFERROR(__xludf.DUMMYFUNCTION("""COMPUTED_VALUE"""),"Solar")</f>
        <v>Solar</v>
      </c>
      <c r="G843" s="92">
        <f>IFERROR(__xludf.DUMMYFUNCTION("""COMPUTED_VALUE"""),23.628421450904163)</f>
        <v>23.62842145</v>
      </c>
    </row>
    <row r="844">
      <c r="A844" s="30" t="str">
        <f>IFERROR(__xludf.DUMMYFUNCTION("""COMPUTED_VALUE"""),"RSC003110")</f>
        <v>RSC003110</v>
      </c>
      <c r="B844" s="30" t="str">
        <f>IFERROR(__xludf.DUMMYFUNCTION("""COMPUTED_VALUE"""),"Rev")</f>
        <v>Rev</v>
      </c>
      <c r="C844" s="30" t="str">
        <f>IFERROR(__xludf.DUMMYFUNCTION("""COMPUTED_VALUE"""),"Elite")</f>
        <v>Elite</v>
      </c>
      <c r="D844" s="30" t="str">
        <f>IFERROR(__xludf.DUMMYFUNCTION("""COMPUTED_VALUE"""),"Orochi")</f>
        <v>Orochi</v>
      </c>
      <c r="E844" s="30" t="str">
        <f>IFERROR(__xludf.DUMMYFUNCTION("""COMPUTED_VALUE"""),"The Shrine")</f>
        <v>The Shrine</v>
      </c>
      <c r="F844" s="30" t="str">
        <f>IFERROR(__xludf.DUMMYFUNCTION("""COMPUTED_VALUE"""),"Solar")</f>
        <v>Solar</v>
      </c>
      <c r="G844" s="92">
        <f>IFERROR(__xludf.DUMMYFUNCTION("""COMPUTED_VALUE"""),6.553169245519257)</f>
        <v>6.553169246</v>
      </c>
    </row>
    <row r="845">
      <c r="A845" s="30" t="str">
        <f>IFERROR(__xludf.DUMMYFUNCTION("""COMPUTED_VALUE"""),"RSC000488")</f>
        <v>RSC000488</v>
      </c>
      <c r="B845" s="30" t="str">
        <f>IFERROR(__xludf.DUMMYFUNCTION("""COMPUTED_VALUE"""),"theblobofglob22")</f>
        <v>theblobofglob22</v>
      </c>
      <c r="C845" s="30" t="str">
        <f>IFERROR(__xludf.DUMMYFUNCTION("""COMPUTED_VALUE"""),"Elite")</f>
        <v>Elite</v>
      </c>
      <c r="D845" s="30" t="str">
        <f>IFERROR(__xludf.DUMMYFUNCTION("""COMPUTED_VALUE"""),"Summoned")</f>
        <v>Summoned</v>
      </c>
      <c r="E845" s="30" t="str">
        <f>IFERROR(__xludf.DUMMYFUNCTION("""COMPUTED_VALUE"""),"Destined")</f>
        <v>Destined</v>
      </c>
      <c r="F845" s="30" t="str">
        <f>IFERROR(__xludf.DUMMYFUNCTION("""COMPUTED_VALUE"""),"Solar")</f>
        <v>Solar</v>
      </c>
      <c r="G845" s="92">
        <f>IFERROR(__xludf.DUMMYFUNCTION("""COMPUTED_VALUE"""),45.69012022889992)</f>
        <v>45.69012023</v>
      </c>
    </row>
    <row r="846">
      <c r="A846" s="30" t="str">
        <f>IFERROR(__xludf.DUMMYFUNCTION("""COMPUTED_VALUE"""),"RSC000867")</f>
        <v>RSC000867</v>
      </c>
      <c r="B846" s="30" t="str">
        <f>IFERROR(__xludf.DUMMYFUNCTION("""COMPUTED_VALUE"""),"Ritter")</f>
        <v>Ritter</v>
      </c>
      <c r="C846" s="30" t="str">
        <f>IFERROR(__xludf.DUMMYFUNCTION("""COMPUTED_VALUE"""),"Elite")</f>
        <v>Elite</v>
      </c>
      <c r="D846" s="30" t="str">
        <f>IFERROR(__xludf.DUMMYFUNCTION("""COMPUTED_VALUE"""),"Pylons")</f>
        <v>Pylons</v>
      </c>
      <c r="E846" s="30" t="str">
        <f>IFERROR(__xludf.DUMMYFUNCTION("""COMPUTED_VALUE"""),"Road Work Ahead")</f>
        <v>Road Work Ahead</v>
      </c>
      <c r="F846" s="30" t="str">
        <f>IFERROR(__xludf.DUMMYFUNCTION("""COMPUTED_VALUE"""),"Lunar")</f>
        <v>Lunar</v>
      </c>
      <c r="G846" s="92">
        <f>IFERROR(__xludf.DUMMYFUNCTION("""COMPUTED_VALUE"""),24.804839005963835)</f>
        <v>24.80483901</v>
      </c>
    </row>
    <row r="847">
      <c r="A847" s="30" t="str">
        <f>IFERROR(__xludf.DUMMYFUNCTION("""COMPUTED_VALUE"""),"RSC004650")</f>
        <v>RSC004650</v>
      </c>
      <c r="B847" s="30" t="str">
        <f>IFERROR(__xludf.DUMMYFUNCTION("""COMPUTED_VALUE"""),"xolzkii")</f>
        <v>xolzkii</v>
      </c>
      <c r="C847" s="30" t="str">
        <f>IFERROR(__xludf.DUMMYFUNCTION("""COMPUTED_VALUE"""),"Elite")</f>
        <v>Elite</v>
      </c>
      <c r="D847" s="30" t="str">
        <f>IFERROR(__xludf.DUMMYFUNCTION("""COMPUTED_VALUE"""),"Summoned")</f>
        <v>Summoned</v>
      </c>
      <c r="E847" s="30" t="str">
        <f>IFERROR(__xludf.DUMMYFUNCTION("""COMPUTED_VALUE"""),"Destined")</f>
        <v>Destined</v>
      </c>
      <c r="F847" s="30" t="str">
        <f>IFERROR(__xludf.DUMMYFUNCTION("""COMPUTED_VALUE"""),"Solar")</f>
        <v>Solar</v>
      </c>
      <c r="G847" s="92">
        <f>IFERROR(__xludf.DUMMYFUNCTION("""COMPUTED_VALUE"""),3.945625037006792)</f>
        <v>3.945625037</v>
      </c>
    </row>
    <row r="848">
      <c r="A848" s="30" t="str">
        <f>IFERROR(__xludf.DUMMYFUNCTION("""COMPUTED_VALUE"""),"RSC002178")</f>
        <v>RSC002178</v>
      </c>
      <c r="B848" s="30" t="str">
        <f>IFERROR(__xludf.DUMMYFUNCTION("""COMPUTED_VALUE"""),"bird")</f>
        <v>bird</v>
      </c>
      <c r="C848" s="30" t="str">
        <f>IFERROR(__xludf.DUMMYFUNCTION("""COMPUTED_VALUE"""),"Elite")</f>
        <v>Elite</v>
      </c>
      <c r="D848" s="30" t="str">
        <f>IFERROR(__xludf.DUMMYFUNCTION("""COMPUTED_VALUE"""),"Afterburners")</f>
        <v>Afterburners</v>
      </c>
      <c r="E848" s="30" t="str">
        <f>IFERROR(__xludf.DUMMYFUNCTION("""COMPUTED_VALUE"""),"Remove Before Flight")</f>
        <v>Remove Before Flight</v>
      </c>
      <c r="F848" s="30" t="str">
        <f>IFERROR(__xludf.DUMMYFUNCTION("""COMPUTED_VALUE"""),"Lunar")</f>
        <v>Lunar</v>
      </c>
      <c r="G848" s="92">
        <f>IFERROR(__xludf.DUMMYFUNCTION("""COMPUTED_VALUE"""),38.53025542903664)</f>
        <v>38.53025543</v>
      </c>
    </row>
    <row r="849">
      <c r="A849" s="30" t="str">
        <f>IFERROR(__xludf.DUMMYFUNCTION("""COMPUTED_VALUE"""),"RSC001056")</f>
        <v>RSC001056</v>
      </c>
      <c r="B849" s="30" t="str">
        <f>IFERROR(__xludf.DUMMYFUNCTION("""COMPUTED_VALUE"""),"mysandislost")</f>
        <v>mysandislost</v>
      </c>
      <c r="C849" s="30" t="str">
        <f>IFERROR(__xludf.DUMMYFUNCTION("""COMPUTED_VALUE"""),"Elite")</f>
        <v>Elite</v>
      </c>
      <c r="D849" s="30" t="str">
        <f>IFERROR(__xludf.DUMMYFUNCTION("""COMPUTED_VALUE"""),"Orochi")</f>
        <v>Orochi</v>
      </c>
      <c r="E849" s="30" t="str">
        <f>IFERROR(__xludf.DUMMYFUNCTION("""COMPUTED_VALUE"""),"The Shrine")</f>
        <v>The Shrine</v>
      </c>
      <c r="F849" s="30" t="str">
        <f>IFERROR(__xludf.DUMMYFUNCTION("""COMPUTED_VALUE"""),"Solar")</f>
        <v>Solar</v>
      </c>
      <c r="G849" s="92">
        <f>IFERROR(__xludf.DUMMYFUNCTION("""COMPUTED_VALUE"""),82.50188781834441)</f>
        <v>82.50188782</v>
      </c>
    </row>
    <row r="850">
      <c r="A850" s="30" t="str">
        <f>IFERROR(__xludf.DUMMYFUNCTION("""COMPUTED_VALUE"""),"RSC007882")</f>
        <v>RSC007882</v>
      </c>
      <c r="B850" s="30" t="str">
        <f>IFERROR(__xludf.DUMMYFUNCTION("""COMPUTED_VALUE"""),"mirage")</f>
        <v>mirage</v>
      </c>
      <c r="C850" s="30" t="str">
        <f>IFERROR(__xludf.DUMMYFUNCTION("""COMPUTED_VALUE"""),"Elite")</f>
        <v>Elite</v>
      </c>
      <c r="D850" s="30" t="str">
        <f>IFERROR(__xludf.DUMMYFUNCTION("""COMPUTED_VALUE"""),"Ghastly Goombahs
Keno
Summoned")</f>
        <v>Ghastly Goombahs
Keno
Summoned</v>
      </c>
      <c r="E850" s="30" t="str">
        <f>IFERROR(__xludf.DUMMYFUNCTION("""COMPUTED_VALUE"""),"The Syndicate
Never Lucky
Destined")</f>
        <v>The Syndicate
Never Lucky
Destined</v>
      </c>
      <c r="F850" s="30" t="str">
        <f>IFERROR(__xludf.DUMMYFUNCTION("""COMPUTED_VALUE"""),"Lunar")</f>
        <v>Lunar</v>
      </c>
      <c r="G850" s="92">
        <f>IFERROR(__xludf.DUMMYFUNCTION("""COMPUTED_VALUE"""),87.18715160743872)</f>
        <v>87.18715161</v>
      </c>
    </row>
    <row r="851">
      <c r="A851" s="30" t="str">
        <f>IFERROR(__xludf.DUMMYFUNCTION("""COMPUTED_VALUE"""),"RSC005009")</f>
        <v>RSC005009</v>
      </c>
      <c r="B851" s="30" t="str">
        <f>IFERROR(__xludf.DUMMYFUNCTION("""COMPUTED_VALUE"""),"Qeetz")</f>
        <v>Qeetz</v>
      </c>
      <c r="C851" s="30" t="str">
        <f>IFERROR(__xludf.DUMMYFUNCTION("""COMPUTED_VALUE"""),"Elite")</f>
        <v>Elite</v>
      </c>
      <c r="D851" s="30" t="str">
        <f>IFERROR(__xludf.DUMMYFUNCTION("""COMPUTED_VALUE"""),"Black-Holes")</f>
        <v>Black-Holes</v>
      </c>
      <c r="E851" s="30" t="str">
        <f>IFERROR(__xludf.DUMMYFUNCTION("""COMPUTED_VALUE"""),"The Cosmos")</f>
        <v>The Cosmos</v>
      </c>
      <c r="F851" s="30" t="str">
        <f>IFERROR(__xludf.DUMMYFUNCTION("""COMPUTED_VALUE"""),"Solar")</f>
        <v>Solar</v>
      </c>
      <c r="G851" s="92">
        <f>IFERROR(__xludf.DUMMYFUNCTION("""COMPUTED_VALUE"""),5.727712458893947)</f>
        <v>5.727712459</v>
      </c>
    </row>
    <row r="852">
      <c r="A852" s="30" t="str">
        <f>IFERROR(__xludf.DUMMYFUNCTION("""COMPUTED_VALUE"""),"RSC001019")</f>
        <v>RSC001019</v>
      </c>
      <c r="B852" s="30" t="str">
        <f>IFERROR(__xludf.DUMMYFUNCTION("""COMPUTED_VALUE"""),"Surge")</f>
        <v>Surge</v>
      </c>
      <c r="C852" s="30" t="str">
        <f>IFERROR(__xludf.DUMMYFUNCTION("""COMPUTED_VALUE"""),"Elite")</f>
        <v>Elite</v>
      </c>
      <c r="D852" s="30" t="str">
        <f>IFERROR(__xludf.DUMMYFUNCTION("""COMPUTED_VALUE"""),"Majesties
Teddy Bears")</f>
        <v>Majesties
Teddy Bears</v>
      </c>
      <c r="E852" s="30" t="str">
        <f>IFERROR(__xludf.DUMMYFUNCTION("""COMPUTED_VALUE"""),"Monarchy
The Bear Den")</f>
        <v>Monarchy
The Bear Den</v>
      </c>
      <c r="F852" s="30" t="str">
        <f>IFERROR(__xludf.DUMMYFUNCTION("""COMPUTED_VALUE"""),"Lunar")</f>
        <v>Lunar</v>
      </c>
      <c r="G852" s="92">
        <f>IFERROR(__xludf.DUMMYFUNCTION("""COMPUTED_VALUE"""),29.848105397747666)</f>
        <v>29.8481054</v>
      </c>
    </row>
    <row r="853">
      <c r="A853" s="30" t="str">
        <f>IFERROR(__xludf.DUMMYFUNCTION("""COMPUTED_VALUE"""),"RSC000197")</f>
        <v>RSC000197</v>
      </c>
      <c r="B853" s="30" t="str">
        <f>IFERROR(__xludf.DUMMYFUNCTION("""COMPUTED_VALUE"""),"kareemostyle")</f>
        <v>kareemostyle</v>
      </c>
      <c r="C853" s="30" t="str">
        <f>IFERROR(__xludf.DUMMYFUNCTION("""COMPUTED_VALUE"""),"Elite")</f>
        <v>Elite</v>
      </c>
      <c r="D853" s="30" t="str">
        <f>IFERROR(__xludf.DUMMYFUNCTION("""COMPUTED_VALUE"""),"Drive Bye
Summoned")</f>
        <v>Drive Bye
Summoned</v>
      </c>
      <c r="E853" s="30" t="str">
        <f>IFERROR(__xludf.DUMMYFUNCTION("""COMPUTED_VALUE"""),"The Hood
Destined")</f>
        <v>The Hood
Destined</v>
      </c>
      <c r="F853" s="30" t="str">
        <f>IFERROR(__xludf.DUMMYFUNCTION("""COMPUTED_VALUE"""),"Lunar")</f>
        <v>Lunar</v>
      </c>
      <c r="G853" s="92">
        <f>IFERROR(__xludf.DUMMYFUNCTION("""COMPUTED_VALUE"""),59.73099156218791)</f>
        <v>59.73099156</v>
      </c>
    </row>
    <row r="854">
      <c r="A854" s="30" t="str">
        <f>IFERROR(__xludf.DUMMYFUNCTION("""COMPUTED_VALUE"""),"RSC005490")</f>
        <v>RSC005490</v>
      </c>
      <c r="B854" s="30" t="str">
        <f>IFERROR(__xludf.DUMMYFUNCTION("""COMPUTED_VALUE"""),"iProfessorEx")</f>
        <v>iProfessorEx</v>
      </c>
      <c r="C854" s="30" t="str">
        <f>IFERROR(__xludf.DUMMYFUNCTION("""COMPUTED_VALUE"""),"Elite")</f>
        <v>Elite</v>
      </c>
      <c r="D854" s="30" t="str">
        <f>IFERROR(__xludf.DUMMYFUNCTION("""COMPUTED_VALUE"""),"Drive Bye")</f>
        <v>Drive Bye</v>
      </c>
      <c r="E854" s="30" t="str">
        <f>IFERROR(__xludf.DUMMYFUNCTION("""COMPUTED_VALUE"""),"The Hood")</f>
        <v>The Hood</v>
      </c>
      <c r="F854" s="30" t="str">
        <f>IFERROR(__xludf.DUMMYFUNCTION("""COMPUTED_VALUE"""),"Lunar")</f>
        <v>Lunar</v>
      </c>
      <c r="G854" s="92">
        <f>IFERROR(__xludf.DUMMYFUNCTION("""COMPUTED_VALUE"""),-7.650046391131205)</f>
        <v>-7.650046391</v>
      </c>
    </row>
    <row r="855">
      <c r="A855" s="30" t="str">
        <f>IFERROR(__xludf.DUMMYFUNCTION("""COMPUTED_VALUE"""),"RSC006446")</f>
        <v>RSC006446</v>
      </c>
      <c r="B855" s="30" t="str">
        <f>IFERROR(__xludf.DUMMYFUNCTION("""COMPUTED_VALUE"""),"ACE_Cosplays.TTV")</f>
        <v>ACE_Cosplays.TTV</v>
      </c>
      <c r="C855" s="30" t="str">
        <f>IFERROR(__xludf.DUMMYFUNCTION("""COMPUTED_VALUE"""),"Elite")</f>
        <v>Elite</v>
      </c>
      <c r="D855" s="30" t="str">
        <f>IFERROR(__xludf.DUMMYFUNCTION("""COMPUTED_VALUE"""),"Majesties")</f>
        <v>Majesties</v>
      </c>
      <c r="E855" s="30" t="str">
        <f>IFERROR(__xludf.DUMMYFUNCTION("""COMPUTED_VALUE"""),"Monarchy")</f>
        <v>Monarchy</v>
      </c>
      <c r="F855" s="30" t="str">
        <f>IFERROR(__xludf.DUMMYFUNCTION("""COMPUTED_VALUE"""),"Lunar")</f>
        <v>Lunar</v>
      </c>
      <c r="G855" s="92">
        <f>IFERROR(__xludf.DUMMYFUNCTION("""COMPUTED_VALUE"""),57.43381593844066)</f>
        <v>57.43381594</v>
      </c>
    </row>
    <row r="856">
      <c r="A856" s="30" t="str">
        <f>IFERROR(__xludf.DUMMYFUNCTION("""COMPUTED_VALUE"""),"RSC005515")</f>
        <v>RSC005515</v>
      </c>
      <c r="B856" s="30" t="str">
        <f>IFERROR(__xludf.DUMMYFUNCTION("""COMPUTED_VALUE"""),"BaronTac0")</f>
        <v>BaronTac0</v>
      </c>
      <c r="C856" s="30" t="str">
        <f>IFERROR(__xludf.DUMMYFUNCTION("""COMPUTED_VALUE"""),"Elite")</f>
        <v>Elite</v>
      </c>
      <c r="D856" s="30" t="str">
        <f>IFERROR(__xludf.DUMMYFUNCTION("""COMPUTED_VALUE"""),"Nightshade
Loonie")</f>
        <v>Nightshade
Loonie</v>
      </c>
      <c r="E856" s="30" t="str">
        <f>IFERROR(__xludf.DUMMYFUNCTION("""COMPUTED_VALUE"""),"Flower Road
Money Makers")</f>
        <v>Flower Road
Money Makers</v>
      </c>
      <c r="F856" s="30" t="str">
        <f>IFERROR(__xludf.DUMMYFUNCTION("""COMPUTED_VALUE"""),"Lunar")</f>
        <v>Lunar</v>
      </c>
      <c r="G856" s="92">
        <f>IFERROR(__xludf.DUMMYFUNCTION("""COMPUTED_VALUE"""),40.07599330361911)</f>
        <v>40.0759933</v>
      </c>
    </row>
    <row r="857">
      <c r="A857" s="30" t="str">
        <f>IFERROR(__xludf.DUMMYFUNCTION("""COMPUTED_VALUE"""),"RSC007386")</f>
        <v>RSC007386</v>
      </c>
      <c r="B857" s="30" t="str">
        <f>IFERROR(__xludf.DUMMYFUNCTION("""COMPUTED_VALUE"""),"oddtrip")</f>
        <v>oddtrip</v>
      </c>
      <c r="C857" s="30" t="str">
        <f>IFERROR(__xludf.DUMMYFUNCTION("""COMPUTED_VALUE"""),"Elite")</f>
        <v>Elite</v>
      </c>
      <c r="D857" s="30" t="str">
        <f>IFERROR(__xludf.DUMMYFUNCTION("""COMPUTED_VALUE"""),"Loonie")</f>
        <v>Loonie</v>
      </c>
      <c r="E857" s="30" t="str">
        <f>IFERROR(__xludf.DUMMYFUNCTION("""COMPUTED_VALUE"""),"Money Makers")</f>
        <v>Money Makers</v>
      </c>
      <c r="F857" s="30" t="str">
        <f>IFERROR(__xludf.DUMMYFUNCTION("""COMPUTED_VALUE"""),"Solar")</f>
        <v>Solar</v>
      </c>
      <c r="G857" s="92">
        <f>IFERROR(__xludf.DUMMYFUNCTION("""COMPUTED_VALUE"""),12.338984841985386)</f>
        <v>12.33898484</v>
      </c>
    </row>
    <row r="858">
      <c r="A858" s="30" t="str">
        <f>IFERROR(__xludf.DUMMYFUNCTION("""COMPUTED_VALUE"""),"RSC003986")</f>
        <v>RSC003986</v>
      </c>
      <c r="B858" s="30" t="str">
        <f>IFERROR(__xludf.DUMMYFUNCTION("""COMPUTED_VALUE"""),"Reprise")</f>
        <v>Reprise</v>
      </c>
      <c r="C858" s="30" t="str">
        <f>IFERROR(__xludf.DUMMYFUNCTION("""COMPUTED_VALUE"""),"Elite")</f>
        <v>Elite</v>
      </c>
      <c r="D858" s="30" t="str">
        <f>IFERROR(__xludf.DUMMYFUNCTION("""COMPUTED_VALUE"""),"Ghastly Goombahs")</f>
        <v>Ghastly Goombahs</v>
      </c>
      <c r="E858" s="30" t="str">
        <f>IFERROR(__xludf.DUMMYFUNCTION("""COMPUTED_VALUE"""),"The Syndicate")</f>
        <v>The Syndicate</v>
      </c>
      <c r="F858" s="30" t="str">
        <f>IFERROR(__xludf.DUMMYFUNCTION("""COMPUTED_VALUE"""),"Lunar")</f>
        <v>Lunar</v>
      </c>
      <c r="G858" s="92">
        <f>IFERROR(__xludf.DUMMYFUNCTION("""COMPUTED_VALUE"""),49.245953678081946)</f>
        <v>49.24595368</v>
      </c>
    </row>
    <row r="859">
      <c r="A859" s="30" t="str">
        <f>IFERROR(__xludf.DUMMYFUNCTION("""COMPUTED_VALUE"""),"RSC004239")</f>
        <v>RSC004239</v>
      </c>
      <c r="B859" s="30" t="str">
        <f>IFERROR(__xludf.DUMMYFUNCTION("""COMPUTED_VALUE"""),"Nitro")</f>
        <v>Nitro</v>
      </c>
      <c r="C859" s="30" t="str">
        <f>IFERROR(__xludf.DUMMYFUNCTION("""COMPUTED_VALUE"""),"Elite")</f>
        <v>Elite</v>
      </c>
      <c r="D859" s="30" t="str">
        <f>IFERROR(__xludf.DUMMYFUNCTION("""COMPUTED_VALUE"""),"Keno")</f>
        <v>Keno</v>
      </c>
      <c r="E859" s="30" t="str">
        <f>IFERROR(__xludf.DUMMYFUNCTION("""COMPUTED_VALUE"""),"Never Lucky")</f>
        <v>Never Lucky</v>
      </c>
      <c r="F859" s="30" t="str">
        <f>IFERROR(__xludf.DUMMYFUNCTION("""COMPUTED_VALUE"""),"Lunar")</f>
        <v>Lunar</v>
      </c>
      <c r="G859" s="92">
        <f>IFERROR(__xludf.DUMMYFUNCTION("""COMPUTED_VALUE"""),43.80070457468965)</f>
        <v>43.80070457</v>
      </c>
    </row>
    <row r="860">
      <c r="A860" s="30" t="str">
        <f>IFERROR(__xludf.DUMMYFUNCTION("""COMPUTED_VALUE"""),"RSC003305")</f>
        <v>RSC003305</v>
      </c>
      <c r="B860" s="30" t="str">
        <f>IFERROR(__xludf.DUMMYFUNCTION("""COMPUTED_VALUE"""),"Sobes")</f>
        <v>Sobes</v>
      </c>
      <c r="C860" s="30" t="str">
        <f>IFERROR(__xludf.DUMMYFUNCTION("""COMPUTED_VALUE"""),"Elite")</f>
        <v>Elite</v>
      </c>
      <c r="D860" s="30" t="str">
        <f>IFERROR(__xludf.DUMMYFUNCTION("""COMPUTED_VALUE"""),"Cyclones")</f>
        <v>Cyclones</v>
      </c>
      <c r="E860" s="30" t="str">
        <f>IFERROR(__xludf.DUMMYFUNCTION("""COMPUTED_VALUE"""),"Storm")</f>
        <v>Storm</v>
      </c>
      <c r="F860" s="30" t="str">
        <f>IFERROR(__xludf.DUMMYFUNCTION("""COMPUTED_VALUE"""),"Solar")</f>
        <v>Solar</v>
      </c>
      <c r="G860" s="92">
        <f>IFERROR(__xludf.DUMMYFUNCTION("""COMPUTED_VALUE"""),34.17303163786846)</f>
        <v>34.17303164</v>
      </c>
    </row>
    <row r="861">
      <c r="A861" s="30" t="str">
        <f>IFERROR(__xludf.DUMMYFUNCTION("""COMPUTED_VALUE"""),"RSC006438")</f>
        <v>RSC006438</v>
      </c>
      <c r="B861" s="30" t="str">
        <f>IFERROR(__xludf.DUMMYFUNCTION("""COMPUTED_VALUE"""),"WestyzWorld")</f>
        <v>WestyzWorld</v>
      </c>
      <c r="C861" s="30" t="str">
        <f>IFERROR(__xludf.DUMMYFUNCTION("""COMPUTED_VALUE"""),"Elite")</f>
        <v>Elite</v>
      </c>
      <c r="D861" s="30" t="str">
        <f>IFERROR(__xludf.DUMMYFUNCTION("""COMPUTED_VALUE"""),"Summoned")</f>
        <v>Summoned</v>
      </c>
      <c r="E861" s="30" t="str">
        <f>IFERROR(__xludf.DUMMYFUNCTION("""COMPUTED_VALUE"""),"Destined")</f>
        <v>Destined</v>
      </c>
      <c r="F861" s="30" t="str">
        <f>IFERROR(__xludf.DUMMYFUNCTION("""COMPUTED_VALUE"""),"Solar")</f>
        <v>Solar</v>
      </c>
      <c r="G861" s="92">
        <f>IFERROR(__xludf.DUMMYFUNCTION("""COMPUTED_VALUE"""),25.808122521566855)</f>
        <v>25.80812252</v>
      </c>
    </row>
    <row r="862">
      <c r="A862" s="30" t="str">
        <f>IFERROR(__xludf.DUMMYFUNCTION("""COMPUTED_VALUE"""),"RSC003445")</f>
        <v>RSC003445</v>
      </c>
      <c r="B862" s="30" t="str">
        <f>IFERROR(__xludf.DUMMYFUNCTION("""COMPUTED_VALUE"""),"bosco")</f>
        <v>bosco</v>
      </c>
      <c r="C862" s="30" t="str">
        <f>IFERROR(__xludf.DUMMYFUNCTION("""COMPUTED_VALUE"""),"Elite")</f>
        <v>Elite</v>
      </c>
      <c r="D862" s="30" t="str">
        <f>IFERROR(__xludf.DUMMYFUNCTION("""COMPUTED_VALUE"""),"Ghastly Goombahs
Desolation")</f>
        <v>Ghastly Goombahs
Desolation</v>
      </c>
      <c r="E862" s="30" t="str">
        <f>IFERROR(__xludf.DUMMYFUNCTION("""COMPUTED_VALUE"""),"The Syndicate
Event Horizon")</f>
        <v>The Syndicate
Event Horizon</v>
      </c>
      <c r="F862" s="30" t="str">
        <f>IFERROR(__xludf.DUMMYFUNCTION("""COMPUTED_VALUE"""),"Solar")</f>
        <v>Solar</v>
      </c>
      <c r="G862" s="92">
        <f>IFERROR(__xludf.DUMMYFUNCTION("""COMPUTED_VALUE"""),29.713599374069936)</f>
        <v>29.71359937</v>
      </c>
    </row>
    <row r="863">
      <c r="A863" s="30" t="str">
        <f>IFERROR(__xludf.DUMMYFUNCTION("""COMPUTED_VALUE"""),"RSC003953")</f>
        <v>RSC003953</v>
      </c>
      <c r="B863" s="30" t="str">
        <f>IFERROR(__xludf.DUMMYFUNCTION("""COMPUTED_VALUE"""),"JustAWestGuy")</f>
        <v>JustAWestGuy</v>
      </c>
      <c r="C863" s="30" t="str">
        <f>IFERROR(__xludf.DUMMYFUNCTION("""COMPUTED_VALUE"""),"Elite")</f>
        <v>Elite</v>
      </c>
      <c r="D863" s="30" t="str">
        <f>IFERROR(__xludf.DUMMYFUNCTION("""COMPUTED_VALUE"""),"Sloths")</f>
        <v>Sloths</v>
      </c>
      <c r="E863" s="30" t="str">
        <f>IFERROR(__xludf.DUMMYFUNCTION("""COMPUTED_VALUE"""),"The Jungle")</f>
        <v>The Jungle</v>
      </c>
      <c r="F863" s="30" t="str">
        <f>IFERROR(__xludf.DUMMYFUNCTION("""COMPUTED_VALUE"""),"Solar")</f>
        <v>Solar</v>
      </c>
      <c r="G863" s="92">
        <f>IFERROR(__xludf.DUMMYFUNCTION("""COMPUTED_VALUE"""),47.36082652627083)</f>
        <v>47.36082653</v>
      </c>
    </row>
    <row r="864">
      <c r="A864" s="30" t="str">
        <f>IFERROR(__xludf.DUMMYFUNCTION("""COMPUTED_VALUE"""),"RSC004734")</f>
        <v>RSC004734</v>
      </c>
      <c r="B864" s="30" t="str">
        <f>IFERROR(__xludf.DUMMYFUNCTION("""COMPUTED_VALUE"""),"siiderij23")</f>
        <v>siiderij23</v>
      </c>
      <c r="C864" s="30" t="str">
        <f>IFERROR(__xludf.DUMMYFUNCTION("""COMPUTED_VALUE"""),"Elite")</f>
        <v>Elite</v>
      </c>
      <c r="D864" s="30" t="str">
        <f>IFERROR(__xludf.DUMMYFUNCTION("""COMPUTED_VALUE"""),"Orochi")</f>
        <v>Orochi</v>
      </c>
      <c r="E864" s="30" t="str">
        <f>IFERROR(__xludf.DUMMYFUNCTION("""COMPUTED_VALUE"""),"The Shrine")</f>
        <v>The Shrine</v>
      </c>
      <c r="F864" s="30" t="str">
        <f>IFERROR(__xludf.DUMMYFUNCTION("""COMPUTED_VALUE"""),"Solar")</f>
        <v>Solar</v>
      </c>
      <c r="G864" s="92">
        <f>IFERROR(__xludf.DUMMYFUNCTION("""COMPUTED_VALUE"""),30.384834390746327)</f>
        <v>30.38483439</v>
      </c>
    </row>
    <row r="865">
      <c r="A865" s="30" t="str">
        <f>IFERROR(__xludf.DUMMYFUNCTION("""COMPUTED_VALUE"""),"RSC008102")</f>
        <v>RSC008102</v>
      </c>
      <c r="B865" s="30" t="str">
        <f>IFERROR(__xludf.DUMMYFUNCTION("""COMPUTED_VALUE"""),"Talent?")</f>
        <v>Talent?</v>
      </c>
      <c r="C865" s="30" t="str">
        <f>IFERROR(__xludf.DUMMYFUNCTION("""COMPUTED_VALUE"""),"Elite")</f>
        <v>Elite</v>
      </c>
      <c r="D865" s="30" t="str">
        <f>IFERROR(__xludf.DUMMYFUNCTION("""COMPUTED_VALUE"""),"Majesties")</f>
        <v>Majesties</v>
      </c>
      <c r="E865" s="30" t="str">
        <f>IFERROR(__xludf.DUMMYFUNCTION("""COMPUTED_VALUE"""),"Monarchy")</f>
        <v>Monarchy</v>
      </c>
      <c r="F865" s="30" t="str">
        <f>IFERROR(__xludf.DUMMYFUNCTION("""COMPUTED_VALUE"""),"Lunar")</f>
        <v>Lunar</v>
      </c>
      <c r="G865" s="92">
        <f>IFERROR(__xludf.DUMMYFUNCTION("""COMPUTED_VALUE"""),26.878123557746175)</f>
        <v>26.87812356</v>
      </c>
    </row>
    <row r="866">
      <c r="A866" s="30" t="str">
        <f>IFERROR(__xludf.DUMMYFUNCTION("""COMPUTED_VALUE"""),"RSC006478")</f>
        <v>RSC006478</v>
      </c>
      <c r="B866" s="30" t="str">
        <f>IFERROR(__xludf.DUMMYFUNCTION("""COMPUTED_VALUE"""),"Wontay")</f>
        <v>Wontay</v>
      </c>
      <c r="C866" s="30" t="str">
        <f>IFERROR(__xludf.DUMMYFUNCTION("""COMPUTED_VALUE"""),"Elite")</f>
        <v>Elite</v>
      </c>
      <c r="D866" s="30" t="str">
        <f>IFERROR(__xludf.DUMMYFUNCTION("""COMPUTED_VALUE"""),"Loonie")</f>
        <v>Loonie</v>
      </c>
      <c r="E866" s="30" t="str">
        <f>IFERROR(__xludf.DUMMYFUNCTION("""COMPUTED_VALUE"""),"Money Makers")</f>
        <v>Money Makers</v>
      </c>
      <c r="F866" s="30" t="str">
        <f>IFERROR(__xludf.DUMMYFUNCTION("""COMPUTED_VALUE"""),"Solar")</f>
        <v>Solar</v>
      </c>
      <c r="G866" s="92">
        <f>IFERROR(__xludf.DUMMYFUNCTION("""COMPUTED_VALUE"""),30.04883500983682)</f>
        <v>30.04883501</v>
      </c>
    </row>
    <row r="867">
      <c r="A867" s="30"/>
      <c r="B867" s="30"/>
      <c r="C867" s="30"/>
      <c r="D867" s="30"/>
      <c r="E867" s="30"/>
      <c r="F867" s="30"/>
      <c r="G867" s="30"/>
    </row>
    <row r="868">
      <c r="A868" s="30"/>
      <c r="B868" s="30"/>
      <c r="C868" s="30"/>
      <c r="D868" s="30"/>
      <c r="E868" s="30"/>
      <c r="F868" s="30"/>
      <c r="G868" s="30"/>
    </row>
    <row r="869">
      <c r="A869" s="30"/>
      <c r="B869" s="30"/>
      <c r="C869" s="30"/>
      <c r="D869" s="30"/>
      <c r="E869" s="30"/>
      <c r="F869" s="30"/>
      <c r="G869" s="30"/>
    </row>
    <row r="870">
      <c r="A870" s="30"/>
      <c r="B870" s="30"/>
      <c r="C870" s="30"/>
      <c r="D870" s="30"/>
      <c r="E870" s="30"/>
      <c r="F870" s="30"/>
      <c r="G870" s="30"/>
    </row>
    <row r="871">
      <c r="A871" s="30"/>
      <c r="B871" s="30"/>
      <c r="C871" s="30"/>
      <c r="D871" s="30"/>
      <c r="E871" s="30"/>
      <c r="F871" s="30"/>
      <c r="G871" s="30"/>
    </row>
    <row r="872">
      <c r="A872" s="30"/>
      <c r="B872" s="30"/>
      <c r="C872" s="30"/>
      <c r="D872" s="30"/>
      <c r="E872" s="30"/>
      <c r="F872" s="30"/>
      <c r="G872" s="30"/>
    </row>
    <row r="873">
      <c r="A873" s="30"/>
      <c r="B873" s="30"/>
      <c r="C873" s="30"/>
      <c r="D873" s="30"/>
      <c r="E873" s="30"/>
      <c r="F873" s="30"/>
      <c r="G873" s="30"/>
    </row>
    <row r="874">
      <c r="A874" s="30"/>
      <c r="B874" s="30"/>
      <c r="C874" s="30"/>
      <c r="D874" s="30"/>
      <c r="E874" s="30"/>
      <c r="F874" s="30"/>
      <c r="G874" s="30"/>
    </row>
    <row r="875">
      <c r="A875" s="30"/>
      <c r="B875" s="30"/>
      <c r="C875" s="30"/>
      <c r="D875" s="30"/>
      <c r="E875" s="30"/>
      <c r="F875" s="30"/>
      <c r="G875" s="30"/>
    </row>
    <row r="876">
      <c r="A876" s="30"/>
      <c r="B876" s="30"/>
      <c r="C876" s="30"/>
      <c r="D876" s="30"/>
      <c r="E876" s="30"/>
      <c r="F876" s="30"/>
      <c r="G876" s="30"/>
    </row>
    <row r="877">
      <c r="A877" s="30"/>
      <c r="B877" s="30"/>
      <c r="C877" s="30"/>
      <c r="D877" s="30"/>
      <c r="E877" s="30"/>
      <c r="F877" s="30"/>
      <c r="G877" s="30"/>
    </row>
    <row r="878">
      <c r="A878" s="30"/>
      <c r="B878" s="30"/>
      <c r="C878" s="30"/>
      <c r="D878" s="30"/>
      <c r="E878" s="30"/>
      <c r="F878" s="30"/>
      <c r="G878" s="30"/>
    </row>
    <row r="879">
      <c r="A879" s="30"/>
      <c r="B879" s="30"/>
      <c r="C879" s="30"/>
      <c r="D879" s="30"/>
      <c r="E879" s="30"/>
      <c r="F879" s="30"/>
      <c r="G879" s="30"/>
    </row>
    <row r="880">
      <c r="A880" s="30"/>
      <c r="B880" s="30"/>
      <c r="C880" s="30"/>
      <c r="D880" s="30"/>
      <c r="E880" s="30"/>
      <c r="F880" s="30"/>
      <c r="G880" s="30"/>
    </row>
    <row r="881">
      <c r="A881" s="30"/>
      <c r="B881" s="30"/>
      <c r="C881" s="30"/>
      <c r="D881" s="30"/>
      <c r="E881" s="30"/>
      <c r="F881" s="30"/>
      <c r="G881" s="30"/>
    </row>
    <row r="882">
      <c r="A882" s="30"/>
      <c r="B882" s="30"/>
      <c r="C882" s="30"/>
      <c r="D882" s="30"/>
      <c r="E882" s="30"/>
      <c r="F882" s="30"/>
      <c r="G882" s="30"/>
    </row>
    <row r="883">
      <c r="A883" s="30"/>
      <c r="B883" s="30"/>
      <c r="C883" s="30"/>
      <c r="D883" s="30"/>
      <c r="E883" s="30"/>
      <c r="F883" s="30"/>
      <c r="G883" s="30"/>
    </row>
    <row r="884">
      <c r="A884" s="30"/>
      <c r="B884" s="30"/>
      <c r="C884" s="30"/>
      <c r="D884" s="30"/>
      <c r="E884" s="30"/>
      <c r="F884" s="30"/>
      <c r="G884" s="30"/>
    </row>
    <row r="885">
      <c r="A885" s="30"/>
      <c r="B885" s="30"/>
      <c r="C885" s="30"/>
      <c r="D885" s="30"/>
      <c r="E885" s="30"/>
      <c r="F885" s="30"/>
      <c r="G885" s="30"/>
    </row>
    <row r="886">
      <c r="A886" s="30"/>
      <c r="B886" s="30"/>
      <c r="C886" s="30"/>
      <c r="D886" s="30"/>
      <c r="E886" s="30"/>
      <c r="F886" s="30"/>
      <c r="G886" s="30"/>
    </row>
    <row r="887">
      <c r="A887" s="30"/>
      <c r="B887" s="30"/>
      <c r="C887" s="30"/>
      <c r="D887" s="30"/>
      <c r="E887" s="30"/>
      <c r="F887" s="30"/>
      <c r="G887" s="30"/>
    </row>
    <row r="888">
      <c r="A888" s="30"/>
      <c r="B888" s="30"/>
      <c r="C888" s="30"/>
      <c r="D888" s="30"/>
      <c r="E888" s="30"/>
      <c r="F888" s="30"/>
      <c r="G888" s="30"/>
    </row>
    <row r="889">
      <c r="A889" s="30"/>
      <c r="B889" s="30"/>
      <c r="C889" s="30"/>
      <c r="D889" s="30"/>
      <c r="E889" s="30"/>
      <c r="F889" s="30"/>
      <c r="G889" s="30"/>
    </row>
    <row r="890">
      <c r="A890" s="30"/>
      <c r="B890" s="30"/>
      <c r="C890" s="30"/>
      <c r="D890" s="30"/>
      <c r="E890" s="30"/>
      <c r="F890" s="30"/>
      <c r="G890" s="30"/>
    </row>
    <row r="891">
      <c r="A891" s="30"/>
      <c r="B891" s="30"/>
      <c r="C891" s="30"/>
      <c r="D891" s="30"/>
      <c r="E891" s="30"/>
      <c r="F891" s="30"/>
      <c r="G891" s="30"/>
    </row>
    <row r="892">
      <c r="A892" s="30"/>
      <c r="B892" s="30"/>
      <c r="C892" s="30"/>
      <c r="D892" s="30"/>
      <c r="E892" s="30"/>
      <c r="F892" s="30"/>
      <c r="G892" s="30"/>
    </row>
    <row r="893">
      <c r="A893" s="30"/>
      <c r="B893" s="30"/>
      <c r="C893" s="30"/>
      <c r="D893" s="30"/>
      <c r="E893" s="30"/>
      <c r="F893" s="30"/>
      <c r="G893" s="30"/>
    </row>
    <row r="894">
      <c r="A894" s="30"/>
      <c r="B894" s="30"/>
      <c r="C894" s="30"/>
      <c r="D894" s="30"/>
      <c r="E894" s="30"/>
      <c r="F894" s="30"/>
      <c r="G894" s="30"/>
    </row>
    <row r="895">
      <c r="A895" s="30"/>
      <c r="B895" s="30"/>
      <c r="C895" s="30"/>
      <c r="D895" s="30"/>
      <c r="E895" s="30"/>
      <c r="F895" s="30"/>
      <c r="G895" s="30"/>
    </row>
    <row r="896">
      <c r="A896" s="30"/>
      <c r="B896" s="30"/>
      <c r="C896" s="30"/>
      <c r="D896" s="30"/>
      <c r="E896" s="30"/>
      <c r="F896" s="30"/>
      <c r="G896" s="30"/>
    </row>
    <row r="897">
      <c r="A897" s="30"/>
      <c r="B897" s="30"/>
      <c r="C897" s="30"/>
      <c r="D897" s="30"/>
      <c r="E897" s="30"/>
      <c r="F897" s="30"/>
      <c r="G897" s="30"/>
    </row>
    <row r="898">
      <c r="A898" s="30"/>
      <c r="B898" s="30"/>
      <c r="C898" s="30"/>
      <c r="D898" s="30"/>
      <c r="E898" s="30"/>
      <c r="F898" s="30"/>
      <c r="G898" s="30"/>
    </row>
    <row r="899">
      <c r="A899" s="30"/>
      <c r="B899" s="30"/>
      <c r="C899" s="30"/>
      <c r="D899" s="30"/>
      <c r="E899" s="30"/>
      <c r="F899" s="30"/>
      <c r="G899" s="30"/>
    </row>
    <row r="900">
      <c r="A900" s="30"/>
      <c r="B900" s="30"/>
      <c r="C900" s="30"/>
      <c r="D900" s="30"/>
      <c r="E900" s="30"/>
      <c r="F900" s="30"/>
      <c r="G900" s="30"/>
    </row>
    <row r="901">
      <c r="A901" s="30"/>
      <c r="B901" s="30"/>
      <c r="C901" s="30"/>
      <c r="D901" s="30"/>
      <c r="E901" s="30"/>
      <c r="F901" s="30"/>
      <c r="G901" s="30"/>
    </row>
    <row r="902">
      <c r="A902" s="30"/>
      <c r="B902" s="30"/>
      <c r="C902" s="30"/>
      <c r="D902" s="30"/>
      <c r="E902" s="30"/>
      <c r="F902" s="30"/>
      <c r="G902" s="30"/>
    </row>
    <row r="903">
      <c r="A903" s="30"/>
      <c r="B903" s="30"/>
      <c r="C903" s="30"/>
      <c r="D903" s="30"/>
      <c r="E903" s="30"/>
      <c r="F903" s="30"/>
      <c r="G903" s="30"/>
    </row>
    <row r="904">
      <c r="A904" s="30"/>
      <c r="B904" s="30"/>
      <c r="C904" s="30"/>
      <c r="D904" s="30"/>
      <c r="E904" s="30"/>
      <c r="F904" s="30"/>
      <c r="G904" s="30"/>
    </row>
    <row r="905">
      <c r="A905" s="30"/>
      <c r="B905" s="30"/>
      <c r="C905" s="30"/>
      <c r="D905" s="30"/>
      <c r="E905" s="30"/>
      <c r="F905" s="30"/>
      <c r="G905" s="30"/>
    </row>
    <row r="906">
      <c r="A906" s="30"/>
      <c r="B906" s="30"/>
      <c r="C906" s="30"/>
      <c r="D906" s="30"/>
      <c r="E906" s="30"/>
      <c r="F906" s="30"/>
      <c r="G906" s="30"/>
    </row>
    <row r="907">
      <c r="A907" s="30"/>
      <c r="B907" s="30"/>
      <c r="C907" s="30"/>
      <c r="D907" s="30"/>
      <c r="E907" s="30"/>
      <c r="F907" s="30"/>
      <c r="G907" s="30"/>
    </row>
    <row r="908">
      <c r="A908" s="30"/>
      <c r="B908" s="30"/>
      <c r="C908" s="30"/>
      <c r="D908" s="30"/>
      <c r="E908" s="30"/>
      <c r="F908" s="30"/>
      <c r="G908" s="30"/>
    </row>
    <row r="909">
      <c r="A909" s="30"/>
      <c r="B909" s="30"/>
      <c r="C909" s="30"/>
      <c r="D909" s="30"/>
      <c r="E909" s="30"/>
      <c r="F909" s="30"/>
      <c r="G909" s="30"/>
    </row>
    <row r="910">
      <c r="A910" s="30"/>
      <c r="B910" s="30"/>
      <c r="C910" s="30"/>
      <c r="D910" s="30"/>
      <c r="E910" s="30"/>
      <c r="F910" s="30"/>
      <c r="G910" s="30"/>
    </row>
    <row r="911">
      <c r="A911" s="30"/>
      <c r="B911" s="30"/>
      <c r="C911" s="30"/>
      <c r="D911" s="30"/>
      <c r="E911" s="30"/>
      <c r="F911" s="30"/>
      <c r="G911" s="30"/>
    </row>
    <row r="912">
      <c r="A912" s="30"/>
      <c r="B912" s="30"/>
      <c r="C912" s="30"/>
      <c r="D912" s="30"/>
      <c r="E912" s="30"/>
      <c r="F912" s="30"/>
      <c r="G912" s="30"/>
    </row>
    <row r="913">
      <c r="A913" s="30"/>
      <c r="B913" s="30"/>
      <c r="C913" s="30"/>
      <c r="D913" s="30"/>
      <c r="E913" s="30"/>
      <c r="F913" s="30"/>
      <c r="G913" s="30"/>
    </row>
    <row r="914">
      <c r="A914" s="30"/>
      <c r="B914" s="30"/>
      <c r="C914" s="30"/>
      <c r="D914" s="30"/>
      <c r="E914" s="30"/>
      <c r="F914" s="30"/>
      <c r="G914" s="30"/>
    </row>
    <row r="915">
      <c r="A915" s="30"/>
      <c r="B915" s="30"/>
      <c r="C915" s="30"/>
      <c r="D915" s="30"/>
      <c r="E915" s="30"/>
      <c r="F915" s="30"/>
      <c r="G915" s="30"/>
    </row>
    <row r="916">
      <c r="A916" s="30"/>
      <c r="B916" s="30"/>
      <c r="C916" s="30"/>
      <c r="D916" s="30"/>
      <c r="E916" s="30"/>
      <c r="F916" s="30"/>
      <c r="G916" s="30"/>
    </row>
    <row r="917">
      <c r="A917" s="30"/>
      <c r="B917" s="30"/>
      <c r="C917" s="30"/>
      <c r="D917" s="30"/>
      <c r="E917" s="30"/>
      <c r="F917" s="30"/>
      <c r="G917" s="30"/>
    </row>
    <row r="918">
      <c r="A918" s="30"/>
      <c r="B918" s="30"/>
      <c r="C918" s="30"/>
      <c r="D918" s="30"/>
      <c r="E918" s="30"/>
      <c r="F918" s="30"/>
      <c r="G918" s="30"/>
    </row>
    <row r="919">
      <c r="A919" s="30"/>
      <c r="B919" s="30"/>
      <c r="C919" s="30"/>
      <c r="D919" s="30"/>
      <c r="E919" s="30"/>
      <c r="F919" s="30"/>
      <c r="G919" s="30"/>
    </row>
    <row r="920">
      <c r="A920" s="30"/>
      <c r="B920" s="30"/>
      <c r="C920" s="30"/>
      <c r="D920" s="30"/>
      <c r="E920" s="30"/>
      <c r="F920" s="30"/>
      <c r="G920" s="30"/>
    </row>
    <row r="921">
      <c r="A921" s="30"/>
      <c r="B921" s="30"/>
      <c r="C921" s="30"/>
      <c r="D921" s="30"/>
      <c r="E921" s="30"/>
      <c r="F921" s="30"/>
      <c r="G921" s="30"/>
    </row>
    <row r="922">
      <c r="A922" s="30"/>
      <c r="B922" s="30"/>
      <c r="C922" s="30"/>
      <c r="D922" s="30"/>
      <c r="E922" s="30"/>
      <c r="F922" s="30"/>
      <c r="G922" s="30"/>
    </row>
    <row r="923">
      <c r="A923" s="30"/>
      <c r="B923" s="30"/>
      <c r="C923" s="30"/>
      <c r="D923" s="30"/>
      <c r="E923" s="30"/>
      <c r="F923" s="30"/>
      <c r="G923" s="30"/>
    </row>
    <row r="924">
      <c r="A924" s="30"/>
      <c r="B924" s="30"/>
      <c r="C924" s="30"/>
      <c r="D924" s="30"/>
      <c r="E924" s="30"/>
      <c r="F924" s="30"/>
      <c r="G924" s="30"/>
    </row>
    <row r="925">
      <c r="A925" s="30"/>
      <c r="B925" s="30"/>
      <c r="C925" s="30"/>
      <c r="D925" s="30"/>
      <c r="E925" s="30"/>
      <c r="F925" s="30"/>
      <c r="G925" s="30"/>
    </row>
    <row r="926">
      <c r="A926" s="30"/>
      <c r="B926" s="30"/>
      <c r="C926" s="30"/>
      <c r="D926" s="30"/>
      <c r="E926" s="30"/>
      <c r="F926" s="30"/>
      <c r="G926" s="30"/>
    </row>
    <row r="927">
      <c r="A927" s="30"/>
      <c r="B927" s="30"/>
      <c r="C927" s="30"/>
      <c r="D927" s="30"/>
      <c r="E927" s="30"/>
      <c r="F927" s="30"/>
      <c r="G927" s="30"/>
    </row>
    <row r="928">
      <c r="A928" s="30"/>
      <c r="B928" s="30"/>
      <c r="C928" s="30"/>
      <c r="D928" s="30"/>
      <c r="E928" s="30"/>
      <c r="F928" s="30"/>
      <c r="G928" s="30"/>
    </row>
    <row r="929">
      <c r="A929" s="30"/>
      <c r="B929" s="30"/>
      <c r="C929" s="30"/>
      <c r="D929" s="30"/>
      <c r="E929" s="30"/>
      <c r="F929" s="30"/>
      <c r="G929" s="30"/>
    </row>
    <row r="930">
      <c r="A930" s="30"/>
      <c r="B930" s="30"/>
      <c r="C930" s="30"/>
      <c r="D930" s="30"/>
      <c r="E930" s="30"/>
      <c r="F930" s="30"/>
      <c r="G930" s="30"/>
    </row>
    <row r="931">
      <c r="A931" s="30"/>
      <c r="B931" s="30"/>
      <c r="C931" s="30"/>
      <c r="D931" s="30"/>
      <c r="E931" s="30"/>
      <c r="F931" s="30"/>
      <c r="G931" s="30"/>
    </row>
    <row r="932">
      <c r="A932" s="30"/>
      <c r="B932" s="30"/>
      <c r="C932" s="30"/>
      <c r="D932" s="30"/>
      <c r="E932" s="30"/>
      <c r="F932" s="30"/>
      <c r="G932" s="30"/>
    </row>
    <row r="933">
      <c r="A933" s="30"/>
      <c r="B933" s="30"/>
      <c r="C933" s="30"/>
      <c r="D933" s="30"/>
      <c r="E933" s="30"/>
      <c r="F933" s="30"/>
      <c r="G933" s="30"/>
    </row>
    <row r="934">
      <c r="A934" s="30"/>
      <c r="B934" s="30"/>
      <c r="C934" s="30"/>
      <c r="D934" s="30"/>
      <c r="E934" s="30"/>
      <c r="F934" s="30"/>
      <c r="G934" s="30"/>
    </row>
    <row r="935">
      <c r="A935" s="30"/>
      <c r="B935" s="30"/>
      <c r="C935" s="30"/>
      <c r="D935" s="30"/>
      <c r="E935" s="30"/>
      <c r="F935" s="30"/>
      <c r="G935" s="30"/>
    </row>
    <row r="936">
      <c r="A936" s="30"/>
      <c r="B936" s="30"/>
      <c r="C936" s="30"/>
      <c r="D936" s="30"/>
      <c r="E936" s="30"/>
      <c r="F936" s="30"/>
      <c r="G936" s="30"/>
    </row>
    <row r="937">
      <c r="A937" s="30"/>
      <c r="B937" s="30"/>
      <c r="C937" s="30"/>
      <c r="D937" s="30"/>
      <c r="E937" s="30"/>
      <c r="F937" s="30"/>
      <c r="G937" s="30"/>
    </row>
    <row r="938">
      <c r="A938" s="30"/>
      <c r="B938" s="30"/>
      <c r="C938" s="30"/>
      <c r="D938" s="30"/>
      <c r="E938" s="30"/>
      <c r="F938" s="30"/>
      <c r="G938" s="30"/>
    </row>
    <row r="939">
      <c r="A939" s="30"/>
      <c r="B939" s="30"/>
      <c r="C939" s="30"/>
      <c r="D939" s="30"/>
      <c r="E939" s="30"/>
      <c r="F939" s="30"/>
      <c r="G939" s="30"/>
    </row>
    <row r="940">
      <c r="A940" s="30"/>
      <c r="B940" s="30"/>
      <c r="C940" s="30"/>
      <c r="D940" s="30"/>
      <c r="E940" s="30"/>
      <c r="F940" s="30"/>
      <c r="G940" s="30"/>
    </row>
    <row r="941">
      <c r="A941" s="30"/>
      <c r="B941" s="30"/>
      <c r="C941" s="30"/>
      <c r="D941" s="30"/>
      <c r="E941" s="30"/>
      <c r="F941" s="30"/>
      <c r="G941" s="30"/>
    </row>
    <row r="942">
      <c r="A942" s="30"/>
      <c r="B942" s="30"/>
      <c r="C942" s="30"/>
      <c r="D942" s="30"/>
      <c r="E942" s="30"/>
      <c r="F942" s="30"/>
      <c r="G942" s="30"/>
    </row>
    <row r="943">
      <c r="A943" s="30"/>
      <c r="B943" s="30"/>
      <c r="C943" s="30"/>
      <c r="D943" s="30"/>
      <c r="E943" s="30"/>
      <c r="F943" s="30"/>
      <c r="G943" s="30"/>
    </row>
    <row r="944">
      <c r="A944" s="30"/>
      <c r="B944" s="30"/>
      <c r="C944" s="30"/>
      <c r="D944" s="30"/>
      <c r="E944" s="30"/>
      <c r="F944" s="30"/>
      <c r="G944" s="30"/>
    </row>
    <row r="945">
      <c r="A945" s="30"/>
      <c r="B945" s="30"/>
      <c r="C945" s="30"/>
      <c r="D945" s="30"/>
      <c r="E945" s="30"/>
      <c r="F945" s="30"/>
      <c r="G945" s="30"/>
    </row>
    <row r="946">
      <c r="A946" s="30"/>
      <c r="B946" s="30"/>
      <c r="C946" s="30"/>
      <c r="D946" s="30"/>
      <c r="E946" s="30"/>
      <c r="F946" s="30"/>
      <c r="G946" s="30"/>
    </row>
    <row r="947">
      <c r="A947" s="30"/>
      <c r="B947" s="30"/>
      <c r="C947" s="30"/>
      <c r="D947" s="30"/>
      <c r="E947" s="30"/>
      <c r="F947" s="30"/>
      <c r="G947" s="30"/>
    </row>
    <row r="948">
      <c r="A948" s="30"/>
      <c r="B948" s="30"/>
      <c r="C948" s="30"/>
      <c r="D948" s="30"/>
      <c r="E948" s="30"/>
      <c r="F948" s="30"/>
      <c r="G948" s="30"/>
    </row>
    <row r="949">
      <c r="A949" s="30"/>
      <c r="B949" s="30"/>
      <c r="C949" s="30"/>
      <c r="D949" s="30"/>
      <c r="E949" s="30"/>
      <c r="F949" s="30"/>
      <c r="G949" s="30"/>
    </row>
    <row r="950">
      <c r="A950" s="30"/>
      <c r="B950" s="30"/>
      <c r="C950" s="30"/>
      <c r="D950" s="30"/>
      <c r="E950" s="30"/>
      <c r="F950" s="30"/>
      <c r="G950" s="30"/>
    </row>
    <row r="951">
      <c r="A951" s="30"/>
      <c r="B951" s="30"/>
      <c r="C951" s="30"/>
      <c r="D951" s="30"/>
      <c r="E951" s="30"/>
      <c r="F951" s="30"/>
      <c r="G951" s="30"/>
    </row>
    <row r="952">
      <c r="A952" s="30"/>
      <c r="B952" s="30"/>
      <c r="C952" s="30"/>
      <c r="D952" s="30"/>
      <c r="E952" s="30"/>
      <c r="F952" s="30"/>
      <c r="G952" s="30"/>
    </row>
    <row r="953">
      <c r="A953" s="30"/>
      <c r="B953" s="30"/>
      <c r="C953" s="30"/>
      <c r="D953" s="30"/>
      <c r="E953" s="30"/>
      <c r="F953" s="30"/>
      <c r="G953" s="30"/>
    </row>
    <row r="954">
      <c r="A954" s="30"/>
      <c r="B954" s="30"/>
      <c r="C954" s="30"/>
      <c r="D954" s="30"/>
      <c r="E954" s="30"/>
      <c r="F954" s="30"/>
      <c r="G954" s="30"/>
    </row>
    <row r="955">
      <c r="A955" s="30"/>
      <c r="B955" s="30"/>
      <c r="C955" s="30"/>
      <c r="D955" s="30"/>
      <c r="E955" s="30"/>
      <c r="F955" s="30"/>
      <c r="G955" s="30"/>
    </row>
    <row r="956">
      <c r="A956" s="30"/>
      <c r="B956" s="30"/>
      <c r="C956" s="30"/>
      <c r="D956" s="30"/>
      <c r="E956" s="30"/>
      <c r="F956" s="30"/>
      <c r="G956" s="30"/>
    </row>
    <row r="957">
      <c r="A957" s="30"/>
      <c r="B957" s="30"/>
      <c r="C957" s="30"/>
      <c r="D957" s="30"/>
      <c r="E957" s="30"/>
      <c r="F957" s="30"/>
      <c r="G957" s="30"/>
    </row>
    <row r="958">
      <c r="A958" s="30"/>
      <c r="B958" s="30"/>
      <c r="C958" s="30"/>
      <c r="D958" s="30"/>
      <c r="E958" s="30"/>
      <c r="F958" s="30"/>
      <c r="G958" s="30"/>
    </row>
    <row r="959">
      <c r="A959" s="30"/>
      <c r="B959" s="30"/>
      <c r="C959" s="30"/>
      <c r="D959" s="30"/>
      <c r="E959" s="30"/>
      <c r="F959" s="30"/>
      <c r="G959" s="30"/>
    </row>
    <row r="960">
      <c r="A960" s="30"/>
      <c r="B960" s="30"/>
      <c r="C960" s="30"/>
      <c r="D960" s="30"/>
      <c r="E960" s="30"/>
      <c r="F960" s="30"/>
      <c r="G960" s="30"/>
    </row>
    <row r="961">
      <c r="A961" s="30"/>
      <c r="B961" s="30"/>
      <c r="C961" s="30"/>
      <c r="D961" s="30"/>
      <c r="E961" s="30"/>
      <c r="F961" s="30"/>
      <c r="G961" s="30"/>
    </row>
    <row r="962">
      <c r="A962" s="30"/>
      <c r="B962" s="30"/>
      <c r="C962" s="30"/>
      <c r="D962" s="30"/>
      <c r="E962" s="30"/>
      <c r="F962" s="30"/>
      <c r="G962" s="30"/>
    </row>
    <row r="963">
      <c r="A963" s="30"/>
      <c r="B963" s="30"/>
      <c r="C963" s="30"/>
      <c r="D963" s="30"/>
      <c r="E963" s="30"/>
      <c r="F963" s="30"/>
      <c r="G963" s="30"/>
    </row>
    <row r="964">
      <c r="A964" s="30"/>
      <c r="B964" s="30"/>
      <c r="C964" s="30"/>
      <c r="D964" s="30"/>
      <c r="E964" s="30"/>
      <c r="F964" s="30"/>
      <c r="G964" s="30"/>
    </row>
    <row r="965">
      <c r="A965" s="30"/>
      <c r="B965" s="30"/>
      <c r="C965" s="30"/>
      <c r="D965" s="30"/>
      <c r="E965" s="30"/>
      <c r="F965" s="30"/>
      <c r="G965" s="30"/>
    </row>
    <row r="966">
      <c r="A966" s="30"/>
      <c r="B966" s="30"/>
      <c r="C966" s="30"/>
      <c r="D966" s="30"/>
      <c r="E966" s="30"/>
      <c r="F966" s="30"/>
      <c r="G966" s="30"/>
    </row>
    <row r="967">
      <c r="A967" s="30"/>
      <c r="B967" s="30"/>
      <c r="C967" s="30"/>
      <c r="D967" s="30"/>
      <c r="E967" s="30"/>
      <c r="F967" s="30"/>
      <c r="G967" s="30"/>
    </row>
    <row r="968">
      <c r="A968" s="30"/>
      <c r="B968" s="30"/>
      <c r="C968" s="30"/>
      <c r="D968" s="30"/>
      <c r="E968" s="30"/>
      <c r="F968" s="30"/>
      <c r="G968" s="30"/>
    </row>
    <row r="969">
      <c r="A969" s="30"/>
      <c r="B969" s="30"/>
      <c r="C969" s="30"/>
      <c r="D969" s="30"/>
      <c r="E969" s="30"/>
      <c r="F969" s="30"/>
      <c r="G969" s="30"/>
    </row>
    <row r="970">
      <c r="A970" s="30"/>
      <c r="B970" s="30"/>
      <c r="C970" s="30"/>
      <c r="D970" s="30"/>
      <c r="E970" s="30"/>
      <c r="F970" s="30"/>
      <c r="G970" s="30"/>
    </row>
    <row r="971">
      <c r="A971" s="30"/>
      <c r="B971" s="30"/>
      <c r="C971" s="30"/>
      <c r="D971" s="30"/>
      <c r="E971" s="30"/>
      <c r="F971" s="30"/>
      <c r="G971" s="30"/>
    </row>
    <row r="972">
      <c r="A972" s="30"/>
      <c r="B972" s="30"/>
      <c r="C972" s="30"/>
      <c r="D972" s="30"/>
      <c r="E972" s="30"/>
      <c r="F972" s="30"/>
      <c r="G972" s="30"/>
    </row>
    <row r="973">
      <c r="A973" s="30"/>
      <c r="B973" s="30"/>
      <c r="C973" s="30"/>
      <c r="D973" s="30"/>
      <c r="E973" s="30"/>
      <c r="F973" s="30"/>
      <c r="G973" s="30"/>
    </row>
    <row r="974">
      <c r="A974" s="30"/>
      <c r="B974" s="30"/>
      <c r="C974" s="30"/>
      <c r="D974" s="30"/>
      <c r="E974" s="30"/>
      <c r="F974" s="30"/>
      <c r="G974" s="30"/>
    </row>
    <row r="975">
      <c r="A975" s="30"/>
      <c r="B975" s="30"/>
      <c r="C975" s="30"/>
      <c r="D975" s="30"/>
      <c r="E975" s="30"/>
      <c r="F975" s="30"/>
      <c r="G975" s="30"/>
    </row>
    <row r="976">
      <c r="A976" s="30"/>
      <c r="B976" s="30"/>
      <c r="C976" s="30"/>
      <c r="D976" s="30"/>
      <c r="E976" s="30"/>
      <c r="F976" s="30"/>
      <c r="G976" s="30"/>
    </row>
    <row r="977">
      <c r="A977" s="30"/>
      <c r="B977" s="30"/>
      <c r="C977" s="30"/>
      <c r="D977" s="30"/>
      <c r="E977" s="30"/>
      <c r="F977" s="30"/>
      <c r="G977" s="30"/>
    </row>
    <row r="978">
      <c r="A978" s="30"/>
      <c r="B978" s="30"/>
      <c r="C978" s="30"/>
      <c r="D978" s="30"/>
      <c r="E978" s="30"/>
      <c r="F978" s="30"/>
      <c r="G978" s="30"/>
    </row>
    <row r="979">
      <c r="A979" s="30"/>
      <c r="B979" s="30"/>
      <c r="C979" s="30"/>
      <c r="D979" s="30"/>
      <c r="E979" s="30"/>
      <c r="F979" s="30"/>
      <c r="G979" s="30"/>
    </row>
    <row r="980">
      <c r="A980" s="30"/>
      <c r="B980" s="30"/>
      <c r="C980" s="30"/>
      <c r="D980" s="30"/>
      <c r="E980" s="30"/>
      <c r="F980" s="30"/>
      <c r="G980" s="30"/>
    </row>
    <row r="981">
      <c r="A981" s="30"/>
      <c r="B981" s="30"/>
      <c r="C981" s="30"/>
      <c r="D981" s="30"/>
      <c r="E981" s="30"/>
      <c r="F981" s="30"/>
      <c r="G981" s="30"/>
    </row>
    <row r="982">
      <c r="A982" s="30"/>
      <c r="B982" s="30"/>
      <c r="C982" s="30"/>
      <c r="D982" s="30"/>
      <c r="E982" s="30"/>
      <c r="F982" s="30"/>
      <c r="G982" s="30"/>
    </row>
    <row r="983">
      <c r="A983" s="30"/>
      <c r="B983" s="30"/>
      <c r="C983" s="30"/>
      <c r="D983" s="30"/>
      <c r="E983" s="30"/>
      <c r="F983" s="30"/>
      <c r="G983" s="30"/>
    </row>
    <row r="984">
      <c r="A984" s="30"/>
      <c r="B984" s="30"/>
      <c r="C984" s="30"/>
      <c r="D984" s="30"/>
      <c r="E984" s="30"/>
      <c r="F984" s="30"/>
      <c r="G984" s="30"/>
    </row>
    <row r="985">
      <c r="A985" s="30"/>
      <c r="B985" s="30"/>
      <c r="C985" s="30"/>
      <c r="D985" s="30"/>
      <c r="E985" s="30"/>
      <c r="F985" s="30"/>
      <c r="G985" s="30"/>
    </row>
    <row r="986">
      <c r="A986" s="30"/>
      <c r="B986" s="30"/>
      <c r="C986" s="30"/>
      <c r="D986" s="30"/>
      <c r="E986" s="30"/>
      <c r="F986" s="30"/>
      <c r="G986" s="30"/>
    </row>
    <row r="987">
      <c r="A987" s="30"/>
      <c r="B987" s="30"/>
      <c r="C987" s="30"/>
      <c r="D987" s="30"/>
      <c r="E987" s="30"/>
      <c r="F987" s="30"/>
      <c r="G987" s="30"/>
    </row>
    <row r="988">
      <c r="A988" s="30"/>
      <c r="B988" s="30"/>
      <c r="C988" s="30"/>
      <c r="D988" s="30"/>
      <c r="E988" s="30"/>
      <c r="F988" s="30"/>
      <c r="G988" s="30"/>
    </row>
    <row r="989">
      <c r="A989" s="30"/>
      <c r="B989" s="30"/>
      <c r="C989" s="30"/>
      <c r="D989" s="30"/>
      <c r="E989" s="30"/>
      <c r="F989" s="30"/>
      <c r="G989" s="30"/>
    </row>
    <row r="990">
      <c r="A990" s="30"/>
      <c r="B990" s="30"/>
      <c r="C990" s="30"/>
      <c r="D990" s="30"/>
      <c r="E990" s="30"/>
      <c r="F990" s="30"/>
      <c r="G990" s="30"/>
    </row>
    <row r="991">
      <c r="A991" s="30"/>
      <c r="B991" s="30"/>
      <c r="C991" s="30"/>
      <c r="D991" s="30"/>
      <c r="E991" s="30"/>
      <c r="F991" s="30"/>
      <c r="G991" s="30"/>
    </row>
    <row r="992">
      <c r="A992" s="30"/>
      <c r="B992" s="30"/>
      <c r="C992" s="30"/>
      <c r="D992" s="30"/>
      <c r="E992" s="30"/>
      <c r="F992" s="30"/>
      <c r="G992" s="30"/>
    </row>
    <row r="993">
      <c r="A993" s="30"/>
      <c r="B993" s="30"/>
      <c r="C993" s="30"/>
      <c r="D993" s="30"/>
      <c r="E993" s="30"/>
      <c r="F993" s="30"/>
      <c r="G993" s="30"/>
    </row>
    <row r="994">
      <c r="A994" s="30"/>
      <c r="B994" s="30"/>
      <c r="C994" s="30"/>
      <c r="D994" s="30"/>
      <c r="E994" s="30"/>
      <c r="F994" s="30"/>
      <c r="G994" s="30"/>
    </row>
    <row r="995">
      <c r="A995" s="30"/>
      <c r="B995" s="30"/>
      <c r="C995" s="30"/>
      <c r="D995" s="30"/>
      <c r="E995" s="30"/>
      <c r="F995" s="30"/>
      <c r="G995" s="30"/>
    </row>
    <row r="996">
      <c r="A996" s="30"/>
      <c r="B996" s="30"/>
      <c r="C996" s="30"/>
      <c r="D996" s="30"/>
      <c r="E996" s="30"/>
      <c r="F996" s="30"/>
      <c r="G996" s="30"/>
    </row>
    <row r="997">
      <c r="A997" s="30"/>
      <c r="B997" s="30"/>
      <c r="C997" s="30"/>
      <c r="D997" s="30"/>
      <c r="E997" s="30"/>
      <c r="F997" s="30"/>
      <c r="G997" s="30"/>
    </row>
    <row r="998">
      <c r="A998" s="30"/>
      <c r="B998" s="30"/>
      <c r="C998" s="30"/>
      <c r="D998" s="30"/>
      <c r="E998" s="30"/>
      <c r="F998" s="30"/>
      <c r="G998" s="30"/>
    </row>
    <row r="999">
      <c r="A999" s="30"/>
      <c r="B999" s="30"/>
      <c r="C999" s="30"/>
      <c r="D999" s="30"/>
      <c r="E999" s="30"/>
      <c r="F999" s="30"/>
      <c r="G999" s="30"/>
    </row>
    <row r="1000">
      <c r="A1000" s="30"/>
      <c r="B1000" s="30"/>
      <c r="C1000" s="30"/>
      <c r="D1000" s="30"/>
      <c r="E1000" s="30"/>
      <c r="F1000" s="30"/>
      <c r="G1000" s="30"/>
    </row>
    <row r="1001">
      <c r="A1001" s="30"/>
      <c r="B1001" s="30"/>
      <c r="C1001" s="30"/>
      <c r="D1001" s="30"/>
      <c r="E1001" s="30"/>
      <c r="F1001" s="30"/>
      <c r="G1001" s="30"/>
    </row>
    <row r="1002">
      <c r="A1002" s="30"/>
      <c r="B1002" s="30"/>
      <c r="C1002" s="30"/>
      <c r="D1002" s="30"/>
      <c r="E1002" s="30"/>
      <c r="F1002" s="30"/>
      <c r="G1002" s="30"/>
    </row>
    <row r="1003">
      <c r="A1003" s="30"/>
      <c r="B1003" s="30"/>
      <c r="C1003" s="30"/>
      <c r="D1003" s="30"/>
      <c r="E1003" s="30"/>
      <c r="F1003" s="30"/>
      <c r="G1003" s="30"/>
    </row>
    <row r="1004">
      <c r="A1004" s="30"/>
      <c r="B1004" s="30"/>
      <c r="C1004" s="30"/>
      <c r="D1004" s="30"/>
      <c r="E1004" s="30"/>
      <c r="F1004" s="30"/>
      <c r="G1004" s="30"/>
    </row>
    <row r="1005">
      <c r="A1005" s="30"/>
      <c r="B1005" s="30"/>
      <c r="C1005" s="30"/>
      <c r="D1005" s="30"/>
      <c r="E1005" s="30"/>
      <c r="F1005" s="30"/>
      <c r="G1005" s="30"/>
    </row>
    <row r="1006">
      <c r="A1006" s="30"/>
      <c r="B1006" s="30"/>
      <c r="C1006" s="30"/>
      <c r="D1006" s="30"/>
      <c r="E1006" s="30"/>
      <c r="F1006" s="30"/>
      <c r="G1006" s="30"/>
    </row>
    <row r="1007">
      <c r="A1007" s="30"/>
      <c r="B1007" s="30"/>
      <c r="C1007" s="30"/>
      <c r="D1007" s="30"/>
      <c r="E1007" s="30"/>
      <c r="F1007" s="30"/>
      <c r="G1007" s="30"/>
    </row>
    <row r="1008">
      <c r="A1008" s="30"/>
      <c r="B1008" s="30"/>
      <c r="C1008" s="30"/>
      <c r="D1008" s="30"/>
      <c r="E1008" s="30"/>
      <c r="F1008" s="30"/>
      <c r="G1008" s="30"/>
    </row>
    <row r="1009">
      <c r="A1009" s="30"/>
      <c r="B1009" s="30"/>
      <c r="C1009" s="30"/>
      <c r="D1009" s="30"/>
      <c r="E1009" s="30"/>
      <c r="F1009" s="30"/>
      <c r="G1009" s="30"/>
    </row>
    <row r="1010">
      <c r="A1010" s="30"/>
      <c r="B1010" s="30"/>
      <c r="C1010" s="30"/>
      <c r="D1010" s="30"/>
      <c r="E1010" s="30"/>
      <c r="F1010" s="30"/>
      <c r="G1010" s="30"/>
    </row>
    <row r="1011">
      <c r="A1011" s="30"/>
      <c r="B1011" s="30"/>
      <c r="C1011" s="30"/>
      <c r="D1011" s="30"/>
      <c r="E1011" s="30"/>
      <c r="F1011" s="30"/>
      <c r="G1011" s="30"/>
    </row>
    <row r="1012">
      <c r="A1012" s="30"/>
      <c r="B1012" s="30"/>
      <c r="C1012" s="30"/>
      <c r="D1012" s="30"/>
      <c r="E1012" s="30"/>
      <c r="F1012" s="30"/>
      <c r="G1012" s="30"/>
    </row>
    <row r="1013">
      <c r="A1013" s="30"/>
      <c r="B1013" s="30"/>
      <c r="C1013" s="30"/>
      <c r="D1013" s="30"/>
      <c r="E1013" s="30"/>
      <c r="F1013" s="30"/>
      <c r="G1013" s="30"/>
    </row>
    <row r="1014">
      <c r="A1014" s="30"/>
      <c r="B1014" s="30"/>
      <c r="C1014" s="30"/>
      <c r="D1014" s="30"/>
      <c r="E1014" s="30"/>
      <c r="F1014" s="30"/>
      <c r="G1014" s="30"/>
    </row>
    <row r="1015">
      <c r="A1015" s="30"/>
      <c r="B1015" s="30"/>
      <c r="C1015" s="30"/>
      <c r="D1015" s="30"/>
      <c r="E1015" s="30"/>
      <c r="F1015" s="30"/>
      <c r="G1015" s="30"/>
    </row>
    <row r="1016">
      <c r="A1016" s="30"/>
      <c r="B1016" s="30"/>
      <c r="C1016" s="30"/>
      <c r="D1016" s="30"/>
      <c r="E1016" s="30"/>
      <c r="F1016" s="30"/>
      <c r="G1016" s="30"/>
    </row>
    <row r="1017">
      <c r="A1017" s="30"/>
      <c r="B1017" s="30"/>
      <c r="C1017" s="30"/>
      <c r="D1017" s="30"/>
      <c r="E1017" s="30"/>
      <c r="F1017" s="30"/>
      <c r="G1017" s="30"/>
    </row>
    <row r="1018">
      <c r="A1018" s="30"/>
      <c r="B1018" s="30"/>
      <c r="C1018" s="30"/>
      <c r="D1018" s="30"/>
      <c r="E1018" s="30"/>
      <c r="F1018" s="30"/>
      <c r="G1018" s="30"/>
    </row>
    <row r="1019">
      <c r="A1019" s="30"/>
      <c r="B1019" s="30"/>
      <c r="C1019" s="30"/>
      <c r="D1019" s="30"/>
      <c r="E1019" s="30"/>
      <c r="F1019" s="30"/>
      <c r="G1019" s="30"/>
    </row>
    <row r="1020">
      <c r="A1020" s="30"/>
      <c r="B1020" s="30"/>
      <c r="C1020" s="30"/>
      <c r="D1020" s="30"/>
      <c r="E1020" s="30"/>
      <c r="F1020" s="30"/>
      <c r="G1020" s="30"/>
    </row>
    <row r="1021">
      <c r="A1021" s="30"/>
      <c r="B1021" s="30"/>
      <c r="C1021" s="30"/>
      <c r="D1021" s="30"/>
      <c r="E1021" s="30"/>
      <c r="F1021" s="30"/>
      <c r="G1021" s="30"/>
    </row>
    <row r="1022">
      <c r="A1022" s="30"/>
      <c r="B1022" s="30"/>
      <c r="C1022" s="30"/>
      <c r="D1022" s="30"/>
      <c r="E1022" s="30"/>
      <c r="F1022" s="30"/>
      <c r="G1022" s="30"/>
    </row>
    <row r="1023">
      <c r="A1023" s="30"/>
      <c r="B1023" s="30"/>
      <c r="C1023" s="30"/>
      <c r="D1023" s="30"/>
      <c r="E1023" s="30"/>
      <c r="F1023" s="30"/>
      <c r="G1023" s="30"/>
    </row>
    <row r="1024">
      <c r="A1024" s="30"/>
      <c r="B1024" s="30"/>
      <c r="C1024" s="30"/>
      <c r="D1024" s="30"/>
      <c r="E1024" s="30"/>
      <c r="F1024" s="30"/>
      <c r="G1024" s="30"/>
    </row>
    <row r="1025">
      <c r="A1025" s="30"/>
      <c r="B1025" s="30"/>
      <c r="C1025" s="30"/>
      <c r="D1025" s="30"/>
      <c r="E1025" s="30"/>
      <c r="F1025" s="30"/>
      <c r="G1025" s="30"/>
    </row>
    <row r="1026">
      <c r="A1026" s="30"/>
      <c r="B1026" s="30"/>
      <c r="C1026" s="30"/>
      <c r="D1026" s="30"/>
      <c r="E1026" s="30"/>
      <c r="F1026" s="30"/>
      <c r="G1026" s="30"/>
    </row>
    <row r="1027">
      <c r="A1027" s="30"/>
      <c r="B1027" s="30"/>
      <c r="C1027" s="30"/>
      <c r="D1027" s="30"/>
      <c r="E1027" s="30"/>
      <c r="F1027" s="30"/>
      <c r="G1027" s="30"/>
    </row>
    <row r="1028">
      <c r="A1028" s="30"/>
      <c r="B1028" s="30"/>
      <c r="C1028" s="30"/>
      <c r="D1028" s="30"/>
      <c r="E1028" s="30"/>
      <c r="F1028" s="30"/>
      <c r="G1028" s="30"/>
    </row>
    <row r="1029">
      <c r="A1029" s="30"/>
      <c r="B1029" s="30"/>
      <c r="C1029" s="30"/>
      <c r="D1029" s="30"/>
      <c r="E1029" s="30"/>
      <c r="F1029" s="30"/>
      <c r="G1029" s="30"/>
    </row>
    <row r="1030">
      <c r="A1030" s="30"/>
      <c r="B1030" s="30"/>
      <c r="C1030" s="30"/>
      <c r="D1030" s="30"/>
      <c r="E1030" s="30"/>
      <c r="F1030" s="30"/>
      <c r="G1030" s="30"/>
    </row>
    <row r="1031">
      <c r="A1031" s="30"/>
      <c r="B1031" s="30"/>
      <c r="C1031" s="30"/>
      <c r="D1031" s="30"/>
      <c r="E1031" s="30"/>
      <c r="F1031" s="30"/>
      <c r="G1031" s="30"/>
    </row>
    <row r="1032">
      <c r="A1032" s="30"/>
      <c r="B1032" s="30"/>
      <c r="C1032" s="30"/>
      <c r="D1032" s="30"/>
      <c r="E1032" s="30"/>
      <c r="F1032" s="30"/>
      <c r="G1032" s="30"/>
    </row>
    <row r="1033">
      <c r="A1033" s="30"/>
      <c r="B1033" s="30"/>
      <c r="C1033" s="30"/>
      <c r="D1033" s="30"/>
      <c r="E1033" s="30"/>
      <c r="F1033" s="30"/>
      <c r="G1033" s="30"/>
    </row>
    <row r="1034">
      <c r="A1034" s="30"/>
      <c r="B1034" s="30"/>
      <c r="C1034" s="30"/>
      <c r="D1034" s="30"/>
      <c r="E1034" s="30"/>
      <c r="F1034" s="30"/>
      <c r="G1034" s="30"/>
    </row>
    <row r="1035">
      <c r="A1035" s="30"/>
      <c r="B1035" s="30"/>
      <c r="C1035" s="30"/>
      <c r="D1035" s="30"/>
      <c r="E1035" s="30"/>
      <c r="F1035" s="30"/>
      <c r="G1035" s="30"/>
    </row>
    <row r="1036">
      <c r="A1036" s="30"/>
      <c r="B1036" s="30"/>
      <c r="C1036" s="30"/>
      <c r="D1036" s="30"/>
      <c r="E1036" s="30"/>
      <c r="F1036" s="30"/>
      <c r="G1036" s="30"/>
    </row>
    <row r="1037">
      <c r="A1037" s="30"/>
      <c r="B1037" s="30"/>
      <c r="C1037" s="30"/>
      <c r="D1037" s="30"/>
      <c r="E1037" s="30"/>
      <c r="F1037" s="30"/>
      <c r="G1037" s="30"/>
    </row>
    <row r="1038">
      <c r="A1038" s="30"/>
      <c r="B1038" s="30"/>
      <c r="C1038" s="30"/>
      <c r="D1038" s="30"/>
      <c r="E1038" s="30"/>
      <c r="F1038" s="30"/>
      <c r="G1038" s="30"/>
    </row>
    <row r="1039">
      <c r="A1039" s="30"/>
      <c r="B1039" s="30"/>
      <c r="C1039" s="30"/>
      <c r="D1039" s="30"/>
      <c r="E1039" s="30"/>
      <c r="F1039" s="30"/>
      <c r="G1039" s="30"/>
    </row>
    <row r="1040">
      <c r="A1040" s="30"/>
      <c r="B1040" s="30"/>
      <c r="C1040" s="30"/>
      <c r="D1040" s="30"/>
      <c r="E1040" s="30"/>
      <c r="F1040" s="30"/>
      <c r="G1040" s="30"/>
    </row>
    <row r="1041">
      <c r="A1041" s="30"/>
      <c r="B1041" s="30"/>
      <c r="C1041" s="30"/>
      <c r="D1041" s="30"/>
      <c r="E1041" s="30"/>
      <c r="F1041" s="30"/>
      <c r="G1041" s="30"/>
    </row>
    <row r="1042">
      <c r="A1042" s="30"/>
      <c r="B1042" s="30"/>
      <c r="C1042" s="30"/>
      <c r="D1042" s="30"/>
      <c r="E1042" s="30"/>
      <c r="F1042" s="30"/>
      <c r="G1042" s="30"/>
    </row>
    <row r="1043">
      <c r="A1043" s="30"/>
      <c r="B1043" s="30"/>
      <c r="C1043" s="30"/>
      <c r="D1043" s="30"/>
      <c r="E1043" s="30"/>
      <c r="F1043" s="30"/>
      <c r="G1043" s="30"/>
    </row>
    <row r="1044">
      <c r="A1044" s="30"/>
      <c r="B1044" s="30"/>
      <c r="C1044" s="30"/>
      <c r="D1044" s="30"/>
      <c r="E1044" s="30"/>
      <c r="F1044" s="30"/>
      <c r="G1044" s="30"/>
    </row>
    <row r="1045">
      <c r="A1045" s="30"/>
      <c r="B1045" s="30"/>
      <c r="C1045" s="30"/>
      <c r="D1045" s="30"/>
      <c r="E1045" s="30"/>
      <c r="F1045" s="30"/>
      <c r="G1045" s="30"/>
    </row>
    <row r="1046">
      <c r="A1046" s="30"/>
      <c r="B1046" s="30"/>
      <c r="C1046" s="30"/>
      <c r="D1046" s="30"/>
      <c r="E1046" s="30"/>
      <c r="F1046" s="30"/>
      <c r="G1046" s="30"/>
    </row>
    <row r="1047">
      <c r="A1047" s="30"/>
      <c r="B1047" s="30"/>
      <c r="C1047" s="30"/>
      <c r="D1047" s="30"/>
      <c r="E1047" s="30"/>
      <c r="F1047" s="30"/>
      <c r="G1047" s="30"/>
    </row>
    <row r="1048">
      <c r="A1048" s="30"/>
      <c r="B1048" s="30"/>
      <c r="C1048" s="30"/>
      <c r="D1048" s="30"/>
      <c r="E1048" s="30"/>
      <c r="F1048" s="30"/>
      <c r="G1048" s="30"/>
    </row>
    <row r="1049">
      <c r="A1049" s="30"/>
      <c r="B1049" s="30"/>
      <c r="C1049" s="30"/>
      <c r="D1049" s="30"/>
      <c r="E1049" s="30"/>
      <c r="F1049" s="30"/>
      <c r="G1049" s="30"/>
    </row>
    <row r="1050">
      <c r="A1050" s="30"/>
      <c r="B1050" s="30"/>
      <c r="C1050" s="30"/>
      <c r="D1050" s="30"/>
      <c r="E1050" s="30"/>
      <c r="F1050" s="30"/>
      <c r="G1050" s="30"/>
    </row>
    <row r="1051">
      <c r="A1051" s="30"/>
      <c r="B1051" s="30"/>
      <c r="C1051" s="30"/>
      <c r="D1051" s="30"/>
      <c r="E1051" s="30"/>
      <c r="F1051" s="30"/>
      <c r="G1051" s="30"/>
    </row>
    <row r="1052">
      <c r="A1052" s="30"/>
      <c r="B1052" s="30"/>
      <c r="C1052" s="30"/>
      <c r="D1052" s="30"/>
      <c r="E1052" s="30"/>
      <c r="F1052" s="30"/>
      <c r="G1052" s="30"/>
    </row>
    <row r="1053">
      <c r="A1053" s="30"/>
      <c r="B1053" s="30"/>
      <c r="C1053" s="30"/>
      <c r="D1053" s="30"/>
      <c r="E1053" s="30"/>
      <c r="F1053" s="30"/>
      <c r="G1053" s="30"/>
    </row>
    <row r="1054">
      <c r="A1054" s="30"/>
      <c r="B1054" s="30"/>
      <c r="C1054" s="30"/>
      <c r="D1054" s="30"/>
      <c r="E1054" s="30"/>
      <c r="F1054" s="30"/>
      <c r="G1054" s="30"/>
    </row>
    <row r="1055">
      <c r="A1055" s="30"/>
      <c r="B1055" s="30"/>
      <c r="C1055" s="30"/>
      <c r="D1055" s="30"/>
      <c r="E1055" s="30"/>
      <c r="F1055" s="30"/>
      <c r="G1055" s="30"/>
    </row>
    <row r="1056">
      <c r="A1056" s="30"/>
      <c r="B1056" s="30"/>
      <c r="C1056" s="30"/>
      <c r="D1056" s="30"/>
      <c r="E1056" s="30"/>
      <c r="F1056" s="30"/>
      <c r="G1056" s="30"/>
    </row>
    <row r="1057">
      <c r="A1057" s="30"/>
      <c r="B1057" s="30"/>
      <c r="C1057" s="30"/>
      <c r="D1057" s="30"/>
      <c r="E1057" s="30"/>
      <c r="F1057" s="30"/>
      <c r="G1057" s="30"/>
    </row>
    <row r="1058">
      <c r="A1058" s="30"/>
      <c r="B1058" s="30"/>
      <c r="C1058" s="30"/>
      <c r="D1058" s="30"/>
      <c r="E1058" s="30"/>
      <c r="F1058" s="30"/>
      <c r="G1058" s="30"/>
    </row>
    <row r="1059">
      <c r="A1059" s="30"/>
      <c r="B1059" s="30"/>
      <c r="C1059" s="30"/>
      <c r="D1059" s="30"/>
      <c r="E1059" s="30"/>
      <c r="F1059" s="30"/>
      <c r="G1059" s="30"/>
    </row>
    <row r="1060">
      <c r="A1060" s="30"/>
      <c r="B1060" s="30"/>
      <c r="C1060" s="30"/>
      <c r="D1060" s="30"/>
      <c r="E1060" s="30"/>
      <c r="F1060" s="30"/>
      <c r="G1060" s="30"/>
    </row>
    <row r="1061">
      <c r="A1061" s="30"/>
      <c r="B1061" s="30"/>
      <c r="C1061" s="30"/>
      <c r="D1061" s="30"/>
      <c r="E1061" s="30"/>
      <c r="F1061" s="30"/>
      <c r="G1061" s="30"/>
    </row>
    <row r="1062">
      <c r="A1062" s="30"/>
      <c r="B1062" s="30"/>
      <c r="C1062" s="30"/>
      <c r="D1062" s="30"/>
      <c r="E1062" s="30"/>
      <c r="F1062" s="30"/>
      <c r="G1062" s="30"/>
    </row>
    <row r="1063">
      <c r="A1063" s="30"/>
      <c r="B1063" s="30"/>
      <c r="C1063" s="30"/>
      <c r="D1063" s="30"/>
      <c r="E1063" s="30"/>
      <c r="F1063" s="30"/>
      <c r="G1063" s="30"/>
    </row>
    <row r="1064">
      <c r="A1064" s="30"/>
      <c r="B1064" s="30"/>
      <c r="C1064" s="30"/>
      <c r="D1064" s="30"/>
      <c r="E1064" s="30"/>
      <c r="F1064" s="30"/>
      <c r="G1064" s="30"/>
    </row>
    <row r="1065">
      <c r="A1065" s="30"/>
      <c r="B1065" s="30"/>
      <c r="C1065" s="30"/>
      <c r="D1065" s="30"/>
      <c r="E1065" s="30"/>
      <c r="F1065" s="30"/>
      <c r="G1065" s="30"/>
    </row>
    <row r="1066">
      <c r="A1066" s="30"/>
      <c r="B1066" s="30"/>
      <c r="C1066" s="30"/>
      <c r="D1066" s="30"/>
      <c r="E1066" s="30"/>
      <c r="F1066" s="30"/>
      <c r="G1066" s="30"/>
    </row>
    <row r="1067">
      <c r="A1067" s="30"/>
      <c r="B1067" s="30"/>
      <c r="C1067" s="30"/>
      <c r="D1067" s="30"/>
      <c r="E1067" s="30"/>
      <c r="F1067" s="30"/>
      <c r="G1067" s="30"/>
    </row>
    <row r="1068">
      <c r="A1068" s="30"/>
      <c r="B1068" s="30"/>
      <c r="C1068" s="30"/>
      <c r="D1068" s="30"/>
      <c r="E1068" s="30"/>
      <c r="F1068" s="30"/>
      <c r="G1068" s="30"/>
    </row>
    <row r="1069">
      <c r="A1069" s="30"/>
      <c r="B1069" s="30"/>
      <c r="C1069" s="30"/>
      <c r="D1069" s="30"/>
      <c r="E1069" s="30"/>
      <c r="F1069" s="30"/>
      <c r="G1069" s="30"/>
    </row>
    <row r="1070">
      <c r="A1070" s="30"/>
      <c r="B1070" s="30"/>
      <c r="C1070" s="30"/>
      <c r="D1070" s="30"/>
      <c r="E1070" s="30"/>
      <c r="F1070" s="30"/>
      <c r="G1070" s="30"/>
    </row>
    <row r="1071">
      <c r="A1071" s="30"/>
      <c r="B1071" s="30"/>
      <c r="C1071" s="30"/>
      <c r="D1071" s="30"/>
      <c r="E1071" s="30"/>
      <c r="F1071" s="30"/>
      <c r="G1071" s="30"/>
    </row>
    <row r="1072">
      <c r="A1072" s="30"/>
      <c r="B1072" s="30"/>
      <c r="C1072" s="30"/>
      <c r="D1072" s="30"/>
      <c r="E1072" s="30"/>
      <c r="F1072" s="30"/>
      <c r="G1072" s="30"/>
    </row>
    <row r="1073">
      <c r="A1073" s="30"/>
      <c r="B1073" s="30"/>
      <c r="C1073" s="30"/>
      <c r="D1073" s="30"/>
      <c r="E1073" s="30"/>
      <c r="F1073" s="30"/>
      <c r="G1073" s="30"/>
    </row>
    <row r="1074">
      <c r="A1074" s="30"/>
      <c r="B1074" s="30"/>
      <c r="C1074" s="30"/>
      <c r="D1074" s="30"/>
      <c r="E1074" s="30"/>
      <c r="F1074" s="30"/>
      <c r="G1074" s="30"/>
    </row>
    <row r="1075">
      <c r="A1075" s="30"/>
      <c r="B1075" s="30"/>
      <c r="C1075" s="30"/>
      <c r="D1075" s="30"/>
      <c r="E1075" s="30"/>
      <c r="F1075" s="30"/>
      <c r="G1075" s="30"/>
    </row>
    <row r="1076">
      <c r="A1076" s="30"/>
      <c r="B1076" s="30"/>
      <c r="C1076" s="30"/>
      <c r="D1076" s="30"/>
      <c r="E1076" s="30"/>
      <c r="F1076" s="30"/>
      <c r="G1076" s="30"/>
    </row>
    <row r="1077">
      <c r="A1077" s="30"/>
      <c r="B1077" s="30"/>
      <c r="C1077" s="30"/>
      <c r="D1077" s="30"/>
      <c r="E1077" s="30"/>
      <c r="F1077" s="30"/>
      <c r="G1077" s="30"/>
    </row>
    <row r="1078">
      <c r="A1078" s="30"/>
      <c r="B1078" s="30"/>
      <c r="C1078" s="30"/>
      <c r="D1078" s="30"/>
      <c r="E1078" s="30"/>
      <c r="F1078" s="30"/>
      <c r="G1078" s="30"/>
    </row>
    <row r="1079">
      <c r="A1079" s="30"/>
      <c r="B1079" s="30"/>
      <c r="C1079" s="30"/>
      <c r="D1079" s="30"/>
      <c r="E1079" s="30"/>
      <c r="F1079" s="30"/>
      <c r="G1079" s="30"/>
    </row>
    <row r="1080">
      <c r="A1080" s="30"/>
      <c r="B1080" s="30"/>
      <c r="C1080" s="30"/>
      <c r="D1080" s="30"/>
      <c r="E1080" s="30"/>
      <c r="F1080" s="30"/>
      <c r="G1080" s="30"/>
    </row>
    <row r="1081">
      <c r="A1081" s="30"/>
      <c r="B1081" s="30"/>
      <c r="C1081" s="30"/>
      <c r="D1081" s="30"/>
      <c r="E1081" s="30"/>
      <c r="F1081" s="30"/>
      <c r="G1081" s="30"/>
    </row>
    <row r="1082">
      <c r="A1082" s="30"/>
      <c r="B1082" s="30"/>
      <c r="C1082" s="30"/>
      <c r="D1082" s="30"/>
      <c r="E1082" s="30"/>
      <c r="F1082" s="30"/>
      <c r="G1082" s="30"/>
    </row>
    <row r="1083">
      <c r="A1083" s="30"/>
      <c r="B1083" s="30"/>
      <c r="C1083" s="30"/>
      <c r="D1083" s="30"/>
      <c r="E1083" s="30"/>
      <c r="F1083" s="30"/>
      <c r="G1083" s="30"/>
    </row>
    <row r="1084">
      <c r="A1084" s="30"/>
      <c r="B1084" s="30"/>
      <c r="C1084" s="30"/>
      <c r="D1084" s="30"/>
      <c r="E1084" s="30"/>
      <c r="F1084" s="30"/>
      <c r="G1084" s="30"/>
    </row>
    <row r="1085">
      <c r="A1085" s="30"/>
      <c r="B1085" s="30"/>
      <c r="C1085" s="30"/>
      <c r="D1085" s="30"/>
      <c r="E1085" s="30"/>
      <c r="F1085" s="30"/>
      <c r="G1085" s="30"/>
    </row>
    <row r="1086">
      <c r="A1086" s="30"/>
      <c r="B1086" s="30"/>
      <c r="C1086" s="30"/>
      <c r="D1086" s="30"/>
      <c r="E1086" s="30"/>
      <c r="F1086" s="30"/>
      <c r="G1086" s="30"/>
    </row>
    <row r="1087">
      <c r="A1087" s="30"/>
      <c r="B1087" s="30"/>
      <c r="C1087" s="30"/>
      <c r="D1087" s="30"/>
      <c r="E1087" s="30"/>
      <c r="F1087" s="30"/>
      <c r="G1087" s="30"/>
    </row>
    <row r="1088">
      <c r="A1088" s="30"/>
      <c r="B1088" s="30"/>
      <c r="C1088" s="30"/>
      <c r="D1088" s="30"/>
      <c r="E1088" s="30"/>
      <c r="F1088" s="30"/>
      <c r="G1088" s="30"/>
    </row>
    <row r="1089">
      <c r="A1089" s="30"/>
      <c r="B1089" s="30"/>
      <c r="C1089" s="30"/>
      <c r="D1089" s="30"/>
      <c r="E1089" s="30"/>
      <c r="F1089" s="30"/>
      <c r="G1089" s="30"/>
    </row>
    <row r="1090">
      <c r="A1090" s="30"/>
      <c r="B1090" s="30"/>
      <c r="C1090" s="30"/>
      <c r="D1090" s="30"/>
      <c r="E1090" s="30"/>
      <c r="F1090" s="30"/>
      <c r="G1090" s="30"/>
    </row>
    <row r="1091">
      <c r="A1091" s="30"/>
      <c r="B1091" s="30"/>
      <c r="C1091" s="30"/>
      <c r="D1091" s="30"/>
      <c r="E1091" s="30"/>
      <c r="F1091" s="30"/>
      <c r="G1091" s="30"/>
    </row>
    <row r="1092">
      <c r="A1092" s="30"/>
      <c r="B1092" s="30"/>
      <c r="C1092" s="30"/>
      <c r="D1092" s="30"/>
      <c r="E1092" s="30"/>
      <c r="F1092" s="30"/>
      <c r="G1092" s="30"/>
    </row>
    <row r="1093">
      <c r="A1093" s="30"/>
      <c r="B1093" s="30"/>
      <c r="C1093" s="30"/>
      <c r="D1093" s="30"/>
      <c r="E1093" s="30"/>
      <c r="F1093" s="30"/>
      <c r="G1093" s="30"/>
    </row>
    <row r="1094">
      <c r="A1094" s="30"/>
      <c r="B1094" s="30"/>
      <c r="C1094" s="30"/>
      <c r="D1094" s="30"/>
      <c r="E1094" s="30"/>
      <c r="F1094" s="30"/>
      <c r="G1094" s="30"/>
    </row>
    <row r="1095">
      <c r="A1095" s="30"/>
      <c r="B1095" s="30"/>
      <c r="C1095" s="30"/>
      <c r="D1095" s="30"/>
      <c r="E1095" s="30"/>
      <c r="F1095" s="30"/>
      <c r="G1095" s="30"/>
    </row>
    <row r="1096">
      <c r="A1096" s="30"/>
      <c r="B1096" s="30"/>
      <c r="C1096" s="30"/>
      <c r="D1096" s="30"/>
      <c r="E1096" s="30"/>
      <c r="F1096" s="30"/>
      <c r="G1096" s="30"/>
    </row>
    <row r="1097">
      <c r="A1097" s="30"/>
      <c r="B1097" s="30"/>
      <c r="C1097" s="30"/>
      <c r="D1097" s="30"/>
      <c r="E1097" s="30"/>
      <c r="F1097" s="30"/>
      <c r="G1097" s="30"/>
    </row>
    <row r="1098">
      <c r="A1098" s="30"/>
      <c r="B1098" s="30"/>
      <c r="C1098" s="30"/>
      <c r="D1098" s="30"/>
      <c r="E1098" s="30"/>
      <c r="F1098" s="30"/>
      <c r="G1098" s="30"/>
    </row>
    <row r="1099">
      <c r="A1099" s="30"/>
      <c r="B1099" s="30"/>
      <c r="C1099" s="30"/>
      <c r="D1099" s="30"/>
      <c r="E1099" s="30"/>
      <c r="F1099" s="30"/>
      <c r="G1099" s="30"/>
    </row>
    <row r="1100">
      <c r="A1100" s="30"/>
      <c r="B1100" s="30"/>
      <c r="C1100" s="30"/>
      <c r="D1100" s="30"/>
      <c r="E1100" s="30"/>
      <c r="F1100" s="30"/>
      <c r="G1100" s="30"/>
    </row>
    <row r="1101">
      <c r="A1101" s="30"/>
      <c r="B1101" s="30"/>
      <c r="C1101" s="30"/>
      <c r="D1101" s="30"/>
      <c r="E1101" s="30"/>
      <c r="F1101" s="30"/>
      <c r="G1101" s="30"/>
    </row>
    <row r="1102">
      <c r="A1102" s="30"/>
      <c r="B1102" s="30"/>
      <c r="C1102" s="30"/>
      <c r="D1102" s="30"/>
      <c r="E1102" s="30"/>
      <c r="F1102" s="30"/>
      <c r="G1102" s="30"/>
    </row>
    <row r="1103">
      <c r="A1103" s="30"/>
      <c r="B1103" s="30"/>
      <c r="C1103" s="30"/>
      <c r="D1103" s="30"/>
      <c r="E1103" s="30"/>
      <c r="F1103" s="30"/>
      <c r="G1103" s="30"/>
    </row>
    <row r="1104">
      <c r="A1104" s="30"/>
      <c r="B1104" s="30"/>
      <c r="C1104" s="30"/>
      <c r="D1104" s="30"/>
      <c r="E1104" s="30"/>
      <c r="F1104" s="30"/>
      <c r="G1104" s="30"/>
    </row>
    <row r="1105">
      <c r="A1105" s="30"/>
      <c r="B1105" s="30"/>
      <c r="C1105" s="30"/>
      <c r="D1105" s="30"/>
      <c r="E1105" s="30"/>
      <c r="F1105" s="30"/>
      <c r="G1105" s="30"/>
    </row>
    <row r="1106">
      <c r="A1106" s="30"/>
      <c r="B1106" s="30"/>
      <c r="C1106" s="30"/>
      <c r="D1106" s="30"/>
      <c r="E1106" s="30"/>
      <c r="F1106" s="30"/>
      <c r="G1106" s="30"/>
    </row>
    <row r="1107">
      <c r="A1107" s="30"/>
      <c r="B1107" s="30"/>
      <c r="C1107" s="30"/>
      <c r="D1107" s="30"/>
      <c r="E1107" s="30"/>
      <c r="F1107" s="30"/>
      <c r="G1107" s="30"/>
    </row>
    <row r="1108">
      <c r="A1108" s="30"/>
      <c r="B1108" s="30"/>
      <c r="C1108" s="30"/>
      <c r="D1108" s="30"/>
      <c r="E1108" s="30"/>
      <c r="F1108" s="30"/>
      <c r="G1108" s="30"/>
    </row>
    <row r="1109">
      <c r="A1109" s="30"/>
      <c r="B1109" s="30"/>
      <c r="C1109" s="30"/>
      <c r="D1109" s="30"/>
      <c r="E1109" s="30"/>
      <c r="F1109" s="30"/>
      <c r="G1109" s="30"/>
    </row>
    <row r="1110">
      <c r="A1110" s="30"/>
      <c r="B1110" s="30"/>
      <c r="C1110" s="30"/>
      <c r="D1110" s="30"/>
      <c r="E1110" s="30"/>
      <c r="F1110" s="30"/>
      <c r="G1110" s="30"/>
    </row>
    <row r="1111">
      <c r="A1111" s="30"/>
      <c r="B1111" s="30"/>
      <c r="C1111" s="30"/>
      <c r="D1111" s="30"/>
      <c r="E1111" s="30"/>
      <c r="F1111" s="30"/>
      <c r="G1111" s="30"/>
    </row>
    <row r="1112">
      <c r="A1112" s="30"/>
      <c r="B1112" s="30"/>
      <c r="C1112" s="30"/>
      <c r="D1112" s="30"/>
      <c r="E1112" s="30"/>
      <c r="F1112" s="30"/>
      <c r="G1112" s="30"/>
    </row>
    <row r="1113">
      <c r="A1113" s="30"/>
      <c r="B1113" s="30"/>
      <c r="C1113" s="30"/>
      <c r="D1113" s="30"/>
      <c r="E1113" s="30"/>
      <c r="F1113" s="30"/>
      <c r="G1113" s="30"/>
    </row>
    <row r="1114">
      <c r="A1114" s="30"/>
      <c r="B1114" s="30"/>
      <c r="C1114" s="30"/>
      <c r="D1114" s="30"/>
      <c r="E1114" s="30"/>
      <c r="F1114" s="30"/>
      <c r="G1114" s="30"/>
    </row>
    <row r="1115">
      <c r="A1115" s="30"/>
      <c r="B1115" s="30"/>
      <c r="C1115" s="30"/>
      <c r="D1115" s="30"/>
      <c r="E1115" s="30"/>
      <c r="F1115" s="30"/>
      <c r="G1115" s="30"/>
    </row>
    <row r="1116">
      <c r="A1116" s="30"/>
      <c r="B1116" s="30"/>
      <c r="C1116" s="30"/>
      <c r="D1116" s="30"/>
      <c r="E1116" s="30"/>
      <c r="F1116" s="30"/>
      <c r="G1116" s="30"/>
    </row>
    <row r="1117">
      <c r="A1117" s="30"/>
      <c r="B1117" s="30"/>
      <c r="C1117" s="30"/>
      <c r="D1117" s="30"/>
      <c r="E1117" s="30"/>
      <c r="F1117" s="30"/>
      <c r="G1117" s="30"/>
    </row>
    <row r="1118">
      <c r="A1118" s="30"/>
      <c r="B1118" s="30"/>
      <c r="C1118" s="30"/>
      <c r="D1118" s="30"/>
      <c r="E1118" s="30"/>
      <c r="F1118" s="30"/>
      <c r="G1118" s="30"/>
    </row>
    <row r="1119">
      <c r="A1119" s="30"/>
      <c r="B1119" s="30"/>
      <c r="C1119" s="30"/>
      <c r="D1119" s="30"/>
      <c r="E1119" s="30"/>
      <c r="F1119" s="30"/>
      <c r="G1119" s="30"/>
    </row>
    <row r="1120">
      <c r="A1120" s="30"/>
      <c r="B1120" s="30"/>
      <c r="C1120" s="30"/>
      <c r="D1120" s="30"/>
      <c r="E1120" s="30"/>
      <c r="F1120" s="30"/>
      <c r="G1120" s="30"/>
    </row>
    <row r="1121">
      <c r="A1121" s="30"/>
      <c r="B1121" s="30"/>
      <c r="C1121" s="30"/>
      <c r="D1121" s="30"/>
      <c r="E1121" s="30"/>
      <c r="F1121" s="30"/>
      <c r="G1121" s="30"/>
    </row>
    <row r="1122">
      <c r="A1122" s="30"/>
      <c r="B1122" s="30"/>
      <c r="C1122" s="30"/>
      <c r="D1122" s="30"/>
      <c r="E1122" s="30"/>
      <c r="F1122" s="30"/>
      <c r="G1122" s="30"/>
    </row>
    <row r="1123">
      <c r="A1123" s="30"/>
      <c r="B1123" s="30"/>
      <c r="C1123" s="30"/>
      <c r="D1123" s="30"/>
      <c r="E1123" s="30"/>
      <c r="F1123" s="30"/>
      <c r="G1123" s="30"/>
    </row>
    <row r="1124">
      <c r="A1124" s="30"/>
      <c r="B1124" s="30"/>
      <c r="C1124" s="30"/>
      <c r="D1124" s="30"/>
      <c r="E1124" s="30"/>
      <c r="F1124" s="30"/>
      <c r="G1124" s="30"/>
    </row>
    <row r="1125">
      <c r="A1125" s="30"/>
      <c r="B1125" s="30"/>
      <c r="C1125" s="30"/>
      <c r="D1125" s="30"/>
      <c r="E1125" s="30"/>
      <c r="F1125" s="30"/>
      <c r="G1125" s="30"/>
    </row>
    <row r="1126">
      <c r="A1126" s="30"/>
      <c r="B1126" s="30"/>
      <c r="C1126" s="30"/>
      <c r="D1126" s="30"/>
      <c r="E1126" s="30"/>
      <c r="F1126" s="30"/>
      <c r="G1126" s="30"/>
    </row>
    <row r="1127">
      <c r="A1127" s="30"/>
      <c r="B1127" s="30"/>
      <c r="C1127" s="30"/>
      <c r="D1127" s="30"/>
      <c r="E1127" s="30"/>
      <c r="F1127" s="30"/>
      <c r="G1127" s="30"/>
    </row>
    <row r="1128">
      <c r="A1128" s="30"/>
      <c r="B1128" s="30"/>
      <c r="C1128" s="30"/>
      <c r="D1128" s="30"/>
      <c r="E1128" s="30"/>
      <c r="F1128" s="30"/>
      <c r="G1128" s="30"/>
    </row>
    <row r="1129">
      <c r="A1129" s="30"/>
      <c r="B1129" s="30"/>
      <c r="C1129" s="30"/>
      <c r="D1129" s="30"/>
      <c r="E1129" s="30"/>
      <c r="F1129" s="30"/>
      <c r="G1129" s="30"/>
    </row>
    <row r="1130">
      <c r="A1130" s="30"/>
      <c r="B1130" s="30"/>
      <c r="C1130" s="30"/>
      <c r="D1130" s="30"/>
      <c r="E1130" s="30"/>
      <c r="F1130" s="30"/>
      <c r="G1130" s="30"/>
    </row>
    <row r="1131">
      <c r="A1131" s="30"/>
      <c r="B1131" s="30"/>
      <c r="C1131" s="30"/>
      <c r="D1131" s="30"/>
      <c r="E1131" s="30"/>
      <c r="F1131" s="30"/>
      <c r="G1131" s="30"/>
    </row>
    <row r="1132">
      <c r="A1132" s="30"/>
      <c r="B1132" s="30"/>
      <c r="C1132" s="30"/>
      <c r="D1132" s="30"/>
      <c r="E1132" s="30"/>
      <c r="F1132" s="30"/>
      <c r="G1132" s="30"/>
    </row>
    <row r="1133">
      <c r="A1133" s="30"/>
      <c r="B1133" s="30"/>
      <c r="C1133" s="30"/>
      <c r="D1133" s="30"/>
      <c r="E1133" s="30"/>
      <c r="F1133" s="30"/>
      <c r="G1133" s="30"/>
    </row>
    <row r="1134">
      <c r="A1134" s="30"/>
      <c r="B1134" s="30"/>
      <c r="C1134" s="30"/>
      <c r="D1134" s="30"/>
      <c r="E1134" s="30"/>
      <c r="F1134" s="30"/>
      <c r="G1134" s="30"/>
    </row>
    <row r="1135">
      <c r="A1135" s="30"/>
      <c r="B1135" s="30"/>
      <c r="C1135" s="30"/>
      <c r="D1135" s="30"/>
      <c r="E1135" s="30"/>
      <c r="F1135" s="30"/>
      <c r="G1135" s="30"/>
    </row>
    <row r="1136">
      <c r="A1136" s="30"/>
      <c r="B1136" s="30"/>
      <c r="C1136" s="30"/>
      <c r="D1136" s="30"/>
      <c r="E1136" s="30"/>
      <c r="F1136" s="30"/>
      <c r="G1136" s="30"/>
    </row>
    <row r="1137">
      <c r="A1137" s="30"/>
      <c r="B1137" s="30"/>
      <c r="C1137" s="30"/>
      <c r="D1137" s="30"/>
      <c r="E1137" s="30"/>
      <c r="F1137" s="30"/>
      <c r="G1137" s="30"/>
    </row>
    <row r="1138">
      <c r="A1138" s="30"/>
      <c r="B1138" s="30"/>
      <c r="C1138" s="30"/>
      <c r="D1138" s="30"/>
      <c r="E1138" s="30"/>
      <c r="F1138" s="30"/>
      <c r="G1138" s="30"/>
    </row>
    <row r="1139">
      <c r="A1139" s="30"/>
      <c r="B1139" s="30"/>
      <c r="C1139" s="30"/>
      <c r="D1139" s="30"/>
      <c r="E1139" s="30"/>
      <c r="F1139" s="30"/>
      <c r="G1139" s="30"/>
    </row>
    <row r="1140">
      <c r="A1140" s="30"/>
      <c r="B1140" s="30"/>
      <c r="C1140" s="30"/>
      <c r="D1140" s="30"/>
      <c r="E1140" s="30"/>
      <c r="F1140" s="30"/>
      <c r="G1140" s="30"/>
    </row>
    <row r="1141">
      <c r="A1141" s="30"/>
      <c r="B1141" s="30"/>
      <c r="C1141" s="30"/>
      <c r="D1141" s="30"/>
      <c r="E1141" s="30"/>
      <c r="F1141" s="30"/>
      <c r="G1141" s="30"/>
    </row>
    <row r="1142">
      <c r="A1142" s="30"/>
      <c r="B1142" s="30"/>
      <c r="C1142" s="30"/>
      <c r="D1142" s="30"/>
      <c r="E1142" s="30"/>
      <c r="F1142" s="30"/>
      <c r="G1142" s="30"/>
    </row>
    <row r="1143">
      <c r="A1143" s="30"/>
      <c r="B1143" s="30"/>
      <c r="C1143" s="30"/>
      <c r="D1143" s="30"/>
      <c r="E1143" s="30"/>
      <c r="F1143" s="30"/>
      <c r="G1143" s="30"/>
    </row>
    <row r="1144">
      <c r="A1144" s="30"/>
      <c r="B1144" s="30"/>
      <c r="C1144" s="30"/>
      <c r="D1144" s="30"/>
      <c r="E1144" s="30"/>
      <c r="F1144" s="30"/>
      <c r="G1144" s="30"/>
    </row>
    <row r="1145">
      <c r="A1145" s="30"/>
      <c r="B1145" s="30"/>
      <c r="C1145" s="30"/>
      <c r="D1145" s="30"/>
      <c r="E1145" s="30"/>
      <c r="F1145" s="30"/>
      <c r="G1145" s="30"/>
    </row>
    <row r="1146">
      <c r="A1146" s="30"/>
      <c r="B1146" s="30"/>
      <c r="C1146" s="30"/>
      <c r="D1146" s="30"/>
      <c r="E1146" s="30"/>
      <c r="F1146" s="30"/>
      <c r="G1146" s="30"/>
    </row>
    <row r="1147">
      <c r="A1147" s="30"/>
      <c r="B1147" s="30"/>
      <c r="C1147" s="30"/>
      <c r="D1147" s="30"/>
      <c r="E1147" s="30"/>
      <c r="F1147" s="30"/>
      <c r="G1147" s="30"/>
    </row>
    <row r="1148">
      <c r="A1148" s="30"/>
      <c r="B1148" s="30"/>
      <c r="C1148" s="30"/>
      <c r="D1148" s="30"/>
      <c r="E1148" s="30"/>
      <c r="F1148" s="30"/>
      <c r="G1148" s="30"/>
    </row>
    <row r="1149">
      <c r="A1149" s="30"/>
      <c r="B1149" s="30"/>
      <c r="C1149" s="30"/>
      <c r="D1149" s="30"/>
      <c r="E1149" s="30"/>
      <c r="F1149" s="30"/>
      <c r="G1149" s="30"/>
    </row>
    <row r="1150">
      <c r="A1150" s="30"/>
      <c r="B1150" s="30"/>
      <c r="C1150" s="30"/>
      <c r="D1150" s="30"/>
      <c r="E1150" s="30"/>
      <c r="F1150" s="30"/>
      <c r="G1150" s="30"/>
    </row>
    <row r="1151">
      <c r="A1151" s="30"/>
      <c r="B1151" s="30"/>
      <c r="C1151" s="30"/>
      <c r="D1151" s="30"/>
      <c r="E1151" s="30"/>
      <c r="F1151" s="30"/>
      <c r="G1151" s="30"/>
    </row>
    <row r="1152">
      <c r="A1152" s="30"/>
      <c r="B1152" s="30"/>
      <c r="C1152" s="30"/>
      <c r="D1152" s="30"/>
      <c r="E1152" s="30"/>
      <c r="F1152" s="30"/>
      <c r="G1152" s="30"/>
    </row>
    <row r="1153">
      <c r="A1153" s="30"/>
      <c r="B1153" s="30"/>
      <c r="C1153" s="30"/>
      <c r="D1153" s="30"/>
      <c r="E1153" s="30"/>
      <c r="F1153" s="30"/>
      <c r="G1153" s="30"/>
    </row>
    <row r="1154">
      <c r="A1154" s="30"/>
      <c r="B1154" s="30"/>
      <c r="C1154" s="30"/>
      <c r="D1154" s="30"/>
      <c r="E1154" s="30"/>
      <c r="F1154" s="30"/>
      <c r="G1154" s="30"/>
    </row>
    <row r="1155">
      <c r="A1155" s="30"/>
      <c r="B1155" s="30"/>
      <c r="C1155" s="30"/>
      <c r="D1155" s="30"/>
      <c r="E1155" s="30"/>
      <c r="F1155" s="30"/>
      <c r="G1155" s="30"/>
    </row>
    <row r="1156">
      <c r="A1156" s="30"/>
      <c r="B1156" s="30"/>
      <c r="C1156" s="30"/>
      <c r="D1156" s="30"/>
      <c r="E1156" s="30"/>
      <c r="F1156" s="30"/>
      <c r="G1156" s="30"/>
    </row>
    <row r="1157">
      <c r="A1157" s="30"/>
      <c r="B1157" s="30"/>
      <c r="C1157" s="30"/>
      <c r="D1157" s="30"/>
      <c r="E1157" s="30"/>
      <c r="F1157" s="30"/>
      <c r="G1157" s="30"/>
    </row>
    <row r="1158">
      <c r="A1158" s="30"/>
      <c r="B1158" s="30"/>
      <c r="C1158" s="30"/>
      <c r="D1158" s="30"/>
      <c r="E1158" s="30"/>
      <c r="F1158" s="30"/>
      <c r="G1158" s="30"/>
    </row>
    <row r="1159">
      <c r="A1159" s="30"/>
      <c r="B1159" s="30"/>
      <c r="C1159" s="30"/>
      <c r="D1159" s="30"/>
      <c r="E1159" s="30"/>
      <c r="F1159" s="30"/>
      <c r="G1159" s="30"/>
    </row>
    <row r="1160">
      <c r="A1160" s="30"/>
      <c r="B1160" s="30"/>
      <c r="C1160" s="30"/>
      <c r="D1160" s="30"/>
      <c r="E1160" s="30"/>
      <c r="F1160" s="30"/>
      <c r="G1160" s="30"/>
    </row>
    <row r="1161">
      <c r="A1161" s="30"/>
      <c r="B1161" s="30"/>
      <c r="C1161" s="30"/>
      <c r="D1161" s="30"/>
      <c r="E1161" s="30"/>
      <c r="F1161" s="30"/>
      <c r="G1161" s="30"/>
    </row>
    <row r="1162">
      <c r="A1162" s="30"/>
      <c r="B1162" s="30"/>
      <c r="C1162" s="30"/>
      <c r="D1162" s="30"/>
      <c r="E1162" s="30"/>
      <c r="F1162" s="30"/>
      <c r="G1162" s="30"/>
    </row>
    <row r="1163">
      <c r="A1163" s="30"/>
      <c r="B1163" s="30"/>
      <c r="C1163" s="30"/>
      <c r="D1163" s="30"/>
      <c r="E1163" s="30"/>
      <c r="F1163" s="30"/>
      <c r="G1163" s="30"/>
    </row>
    <row r="1164">
      <c r="A1164" s="30"/>
      <c r="B1164" s="30"/>
      <c r="C1164" s="30"/>
      <c r="D1164" s="30"/>
      <c r="E1164" s="30"/>
      <c r="F1164" s="30"/>
      <c r="G1164" s="30"/>
    </row>
    <row r="1165">
      <c r="A1165" s="30"/>
      <c r="B1165" s="30"/>
      <c r="C1165" s="30"/>
      <c r="D1165" s="30"/>
      <c r="E1165" s="30"/>
      <c r="F1165" s="30"/>
      <c r="G1165" s="30"/>
    </row>
    <row r="1166">
      <c r="A1166" s="30"/>
      <c r="B1166" s="30"/>
      <c r="C1166" s="30"/>
      <c r="D1166" s="30"/>
      <c r="E1166" s="30"/>
      <c r="F1166" s="30"/>
      <c r="G1166" s="30"/>
    </row>
    <row r="1167">
      <c r="A1167" s="30"/>
      <c r="B1167" s="30"/>
      <c r="C1167" s="30"/>
      <c r="D1167" s="30"/>
      <c r="E1167" s="30"/>
      <c r="F1167" s="30"/>
      <c r="G1167" s="30"/>
    </row>
    <row r="1168">
      <c r="A1168" s="30"/>
      <c r="B1168" s="30"/>
      <c r="C1168" s="30"/>
      <c r="D1168" s="30"/>
      <c r="E1168" s="30"/>
      <c r="F1168" s="30"/>
      <c r="G1168" s="30"/>
    </row>
    <row r="1169">
      <c r="A1169" s="30"/>
      <c r="B1169" s="30"/>
      <c r="C1169" s="30"/>
      <c r="D1169" s="30"/>
      <c r="E1169" s="30"/>
      <c r="F1169" s="30"/>
      <c r="G1169" s="30"/>
    </row>
    <row r="1170">
      <c r="A1170" s="30"/>
      <c r="B1170" s="30"/>
      <c r="C1170" s="30"/>
      <c r="D1170" s="30"/>
      <c r="E1170" s="30"/>
      <c r="F1170" s="30"/>
      <c r="G1170" s="30"/>
    </row>
    <row r="1171">
      <c r="A1171" s="30"/>
      <c r="B1171" s="30"/>
      <c r="C1171" s="30"/>
      <c r="D1171" s="30"/>
      <c r="E1171" s="30"/>
      <c r="F1171" s="30"/>
      <c r="G1171" s="30"/>
    </row>
    <row r="1172">
      <c r="A1172" s="30"/>
      <c r="B1172" s="30"/>
      <c r="C1172" s="30"/>
      <c r="D1172" s="30"/>
      <c r="E1172" s="30"/>
      <c r="F1172" s="30"/>
      <c r="G1172" s="30"/>
    </row>
    <row r="1173">
      <c r="A1173" s="30"/>
      <c r="B1173" s="30"/>
      <c r="C1173" s="30"/>
      <c r="D1173" s="30"/>
      <c r="E1173" s="30"/>
      <c r="F1173" s="30"/>
      <c r="G1173" s="30"/>
    </row>
    <row r="1174">
      <c r="A1174" s="30"/>
      <c r="B1174" s="30"/>
      <c r="C1174" s="30"/>
      <c r="D1174" s="30"/>
      <c r="E1174" s="30"/>
      <c r="F1174" s="30"/>
      <c r="G1174" s="30"/>
    </row>
    <row r="1175">
      <c r="A1175" s="30"/>
      <c r="B1175" s="30"/>
      <c r="C1175" s="30"/>
      <c r="D1175" s="30"/>
      <c r="E1175" s="30"/>
      <c r="F1175" s="30"/>
      <c r="G1175" s="30"/>
    </row>
    <row r="1176">
      <c r="A1176" s="30"/>
      <c r="B1176" s="30"/>
      <c r="C1176" s="30"/>
      <c r="D1176" s="30"/>
      <c r="E1176" s="30"/>
      <c r="F1176" s="30"/>
      <c r="G1176" s="30"/>
    </row>
    <row r="1177">
      <c r="A1177" s="30"/>
      <c r="B1177" s="30"/>
      <c r="C1177" s="30"/>
      <c r="D1177" s="30"/>
      <c r="E1177" s="30"/>
      <c r="F1177" s="30"/>
      <c r="G1177" s="30"/>
    </row>
    <row r="1178">
      <c r="A1178" s="30"/>
      <c r="B1178" s="30"/>
      <c r="C1178" s="30"/>
      <c r="D1178" s="30"/>
      <c r="E1178" s="30"/>
      <c r="F1178" s="30"/>
      <c r="G1178" s="30"/>
    </row>
    <row r="1179">
      <c r="A1179" s="30"/>
      <c r="B1179" s="30"/>
      <c r="C1179" s="30"/>
      <c r="D1179" s="30"/>
      <c r="E1179" s="30"/>
      <c r="F1179" s="30"/>
      <c r="G1179" s="30"/>
    </row>
    <row r="1180">
      <c r="A1180" s="30"/>
      <c r="B1180" s="30"/>
      <c r="C1180" s="30"/>
      <c r="D1180" s="30"/>
      <c r="E1180" s="30"/>
      <c r="F1180" s="30"/>
      <c r="G1180" s="30"/>
    </row>
    <row r="1181">
      <c r="A1181" s="30"/>
      <c r="B1181" s="30"/>
      <c r="C1181" s="30"/>
      <c r="D1181" s="30"/>
      <c r="E1181" s="30"/>
      <c r="F1181" s="30"/>
      <c r="G1181" s="30"/>
    </row>
    <row r="1182">
      <c r="A1182" s="30"/>
      <c r="B1182" s="30"/>
      <c r="C1182" s="30"/>
      <c r="D1182" s="30"/>
      <c r="E1182" s="30"/>
      <c r="F1182" s="30"/>
      <c r="G1182" s="30"/>
    </row>
    <row r="1183">
      <c r="A1183" s="30"/>
      <c r="B1183" s="30"/>
      <c r="C1183" s="30"/>
      <c r="D1183" s="30"/>
      <c r="E1183" s="30"/>
      <c r="F1183" s="30"/>
      <c r="G1183" s="30"/>
    </row>
    <row r="1184">
      <c r="A1184" s="30"/>
      <c r="B1184" s="30"/>
      <c r="C1184" s="30"/>
      <c r="D1184" s="30"/>
      <c r="E1184" s="30"/>
      <c r="F1184" s="30"/>
      <c r="G1184" s="30"/>
    </row>
    <row r="1185">
      <c r="A1185" s="30"/>
      <c r="B1185" s="30"/>
      <c r="C1185" s="30"/>
      <c r="D1185" s="30"/>
      <c r="E1185" s="30"/>
      <c r="F1185" s="30"/>
      <c r="G1185" s="30"/>
    </row>
    <row r="1186">
      <c r="A1186" s="30"/>
      <c r="B1186" s="30"/>
      <c r="C1186" s="30"/>
      <c r="D1186" s="30"/>
      <c r="E1186" s="30"/>
      <c r="F1186" s="30"/>
      <c r="G1186" s="30"/>
    </row>
    <row r="1187">
      <c r="A1187" s="30"/>
      <c r="B1187" s="30"/>
      <c r="C1187" s="30"/>
      <c r="D1187" s="30"/>
      <c r="E1187" s="30"/>
      <c r="F1187" s="30"/>
      <c r="G1187" s="30"/>
    </row>
    <row r="1188">
      <c r="A1188" s="30"/>
      <c r="B1188" s="30"/>
      <c r="C1188" s="30"/>
      <c r="D1188" s="30"/>
      <c r="E1188" s="30"/>
      <c r="F1188" s="30"/>
      <c r="G1188" s="30"/>
    </row>
    <row r="1189">
      <c r="A1189" s="30"/>
      <c r="B1189" s="30"/>
      <c r="C1189" s="30"/>
      <c r="D1189" s="30"/>
      <c r="E1189" s="30"/>
      <c r="F1189" s="30"/>
      <c r="G1189" s="30"/>
    </row>
    <row r="1190">
      <c r="A1190" s="30"/>
      <c r="B1190" s="30"/>
      <c r="C1190" s="30"/>
      <c r="D1190" s="30"/>
      <c r="E1190" s="30"/>
      <c r="F1190" s="30"/>
      <c r="G1190" s="30"/>
    </row>
    <row r="1191">
      <c r="A1191" s="30"/>
      <c r="B1191" s="30"/>
      <c r="C1191" s="30"/>
      <c r="D1191" s="30"/>
      <c r="E1191" s="30"/>
      <c r="F1191" s="30"/>
      <c r="G1191" s="30"/>
    </row>
    <row r="1192">
      <c r="A1192" s="30"/>
      <c r="B1192" s="30"/>
      <c r="C1192" s="30"/>
      <c r="D1192" s="30"/>
      <c r="E1192" s="30"/>
      <c r="F1192" s="30"/>
      <c r="G1192" s="30"/>
    </row>
    <row r="1193">
      <c r="A1193" s="30"/>
      <c r="B1193" s="30"/>
      <c r="C1193" s="30"/>
      <c r="D1193" s="30"/>
      <c r="E1193" s="30"/>
      <c r="F1193" s="30"/>
      <c r="G1193" s="30"/>
    </row>
    <row r="1194">
      <c r="A1194" s="30"/>
      <c r="B1194" s="30"/>
      <c r="C1194" s="30"/>
      <c r="D1194" s="30"/>
      <c r="E1194" s="30"/>
      <c r="F1194" s="30"/>
      <c r="G1194" s="30"/>
    </row>
    <row r="1195">
      <c r="A1195" s="30"/>
      <c r="B1195" s="30"/>
      <c r="C1195" s="30"/>
      <c r="D1195" s="30"/>
      <c r="E1195" s="30"/>
      <c r="F1195" s="30"/>
      <c r="G1195" s="30"/>
    </row>
    <row r="1196">
      <c r="A1196" s="30"/>
      <c r="B1196" s="30"/>
      <c r="C1196" s="30"/>
      <c r="D1196" s="30"/>
      <c r="E1196" s="30"/>
      <c r="F1196" s="30"/>
      <c r="G1196" s="30"/>
    </row>
    <row r="1197">
      <c r="A1197" s="30"/>
      <c r="B1197" s="30"/>
      <c r="C1197" s="30"/>
      <c r="D1197" s="30"/>
      <c r="E1197" s="30"/>
      <c r="F1197" s="30"/>
      <c r="G1197" s="30"/>
    </row>
    <row r="1198">
      <c r="A1198" s="30"/>
      <c r="B1198" s="30"/>
      <c r="C1198" s="30"/>
      <c r="D1198" s="30"/>
      <c r="E1198" s="30"/>
      <c r="F1198" s="30"/>
      <c r="G1198" s="30"/>
    </row>
    <row r="1199">
      <c r="A1199" s="30"/>
      <c r="B1199" s="30"/>
      <c r="C1199" s="30"/>
      <c r="D1199" s="30"/>
      <c r="E1199" s="30"/>
      <c r="F1199" s="30"/>
      <c r="G1199" s="30"/>
    </row>
    <row r="1200">
      <c r="A1200" s="30"/>
      <c r="B1200" s="30"/>
      <c r="C1200" s="30"/>
      <c r="D1200" s="30"/>
      <c r="E1200" s="30"/>
      <c r="F1200" s="30"/>
      <c r="G1200" s="30"/>
    </row>
    <row r="1201">
      <c r="A1201" s="30"/>
      <c r="B1201" s="30"/>
      <c r="C1201" s="30"/>
      <c r="D1201" s="30"/>
      <c r="E1201" s="30"/>
      <c r="F1201" s="30"/>
      <c r="G1201" s="30"/>
    </row>
    <row r="1202">
      <c r="A1202" s="30"/>
      <c r="B1202" s="30"/>
      <c r="C1202" s="30"/>
      <c r="D1202" s="30"/>
      <c r="E1202" s="30"/>
      <c r="F1202" s="30"/>
      <c r="G1202" s="30"/>
    </row>
    <row r="1203">
      <c r="A1203" s="30"/>
      <c r="B1203" s="30"/>
      <c r="C1203" s="30"/>
      <c r="D1203" s="30"/>
      <c r="E1203" s="30"/>
      <c r="F1203" s="30"/>
      <c r="G1203" s="30"/>
    </row>
    <row r="1204">
      <c r="A1204" s="30"/>
      <c r="B1204" s="30"/>
      <c r="C1204" s="30"/>
      <c r="D1204" s="30"/>
      <c r="E1204" s="30"/>
      <c r="F1204" s="30"/>
      <c r="G1204" s="30"/>
    </row>
    <row r="1205">
      <c r="A1205" s="30"/>
      <c r="B1205" s="30"/>
      <c r="C1205" s="30"/>
      <c r="D1205" s="30"/>
      <c r="E1205" s="30"/>
      <c r="F1205" s="30"/>
      <c r="G1205" s="30"/>
    </row>
    <row r="1206">
      <c r="A1206" s="30"/>
      <c r="B1206" s="30"/>
      <c r="C1206" s="30"/>
      <c r="D1206" s="30"/>
      <c r="E1206" s="30"/>
      <c r="F1206" s="30"/>
      <c r="G1206" s="30"/>
    </row>
    <row r="1207">
      <c r="A1207" s="30"/>
      <c r="B1207" s="30"/>
      <c r="C1207" s="30"/>
      <c r="D1207" s="30"/>
      <c r="E1207" s="30"/>
      <c r="F1207" s="30"/>
      <c r="G1207" s="30"/>
    </row>
    <row r="1208">
      <c r="A1208" s="30"/>
      <c r="B1208" s="30"/>
      <c r="C1208" s="30"/>
      <c r="D1208" s="30"/>
      <c r="E1208" s="30"/>
      <c r="F1208" s="30"/>
      <c r="G1208" s="30"/>
    </row>
    <row r="1209">
      <c r="A1209" s="30"/>
      <c r="B1209" s="30"/>
      <c r="C1209" s="30"/>
      <c r="D1209" s="30"/>
      <c r="E1209" s="30"/>
      <c r="F1209" s="30"/>
      <c r="G1209" s="30"/>
    </row>
    <row r="1210">
      <c r="A1210" s="30"/>
      <c r="B1210" s="30"/>
      <c r="C1210" s="30"/>
      <c r="D1210" s="30"/>
      <c r="E1210" s="30"/>
      <c r="F1210" s="30"/>
      <c r="G1210" s="30"/>
    </row>
    <row r="1211">
      <c r="A1211" s="30"/>
      <c r="B1211" s="30"/>
      <c r="C1211" s="30"/>
      <c r="D1211" s="30"/>
      <c r="E1211" s="30"/>
      <c r="F1211" s="30"/>
      <c r="G1211" s="30"/>
    </row>
    <row r="1212">
      <c r="A1212" s="30"/>
      <c r="B1212" s="30"/>
      <c r="C1212" s="30"/>
      <c r="D1212" s="30"/>
      <c r="E1212" s="30"/>
      <c r="F1212" s="30"/>
      <c r="G1212" s="30"/>
    </row>
    <row r="1213">
      <c r="A1213" s="30"/>
      <c r="B1213" s="30"/>
      <c r="C1213" s="30"/>
      <c r="D1213" s="30"/>
      <c r="E1213" s="30"/>
      <c r="F1213" s="30"/>
      <c r="G1213" s="30"/>
    </row>
    <row r="1214">
      <c r="A1214" s="30"/>
      <c r="B1214" s="30"/>
      <c r="C1214" s="30"/>
      <c r="D1214" s="30"/>
      <c r="E1214" s="30"/>
      <c r="F1214" s="30"/>
      <c r="G1214" s="30"/>
    </row>
    <row r="1215">
      <c r="A1215" s="30"/>
      <c r="B1215" s="30"/>
      <c r="C1215" s="30"/>
      <c r="D1215" s="30"/>
      <c r="E1215" s="30"/>
      <c r="F1215" s="30"/>
      <c r="G1215" s="30"/>
    </row>
    <row r="1216">
      <c r="A1216" s="30"/>
      <c r="B1216" s="30"/>
      <c r="C1216" s="30"/>
      <c r="D1216" s="30"/>
      <c r="E1216" s="30"/>
      <c r="F1216" s="30"/>
      <c r="G1216" s="30"/>
    </row>
    <row r="1217">
      <c r="A1217" s="30"/>
      <c r="B1217" s="30"/>
      <c r="C1217" s="30"/>
      <c r="D1217" s="30"/>
      <c r="E1217" s="30"/>
      <c r="F1217" s="30"/>
      <c r="G1217" s="30"/>
    </row>
    <row r="1218">
      <c r="A1218" s="30"/>
      <c r="B1218" s="30"/>
      <c r="C1218" s="30"/>
      <c r="D1218" s="30"/>
      <c r="E1218" s="30"/>
      <c r="F1218" s="30"/>
      <c r="G1218" s="30"/>
    </row>
    <row r="1219">
      <c r="A1219" s="30"/>
      <c r="B1219" s="30"/>
      <c r="C1219" s="30"/>
      <c r="D1219" s="30"/>
      <c r="E1219" s="30"/>
      <c r="F1219" s="30"/>
      <c r="G1219" s="30"/>
    </row>
    <row r="1220">
      <c r="A1220" s="30"/>
      <c r="B1220" s="30"/>
      <c r="C1220" s="30"/>
      <c r="D1220" s="30"/>
      <c r="E1220" s="30"/>
      <c r="F1220" s="30"/>
      <c r="G1220" s="30"/>
    </row>
    <row r="1221">
      <c r="A1221" s="30"/>
      <c r="B1221" s="30"/>
      <c r="C1221" s="30"/>
      <c r="D1221" s="30"/>
      <c r="E1221" s="30"/>
      <c r="F1221" s="30"/>
      <c r="G1221" s="30"/>
    </row>
    <row r="1222">
      <c r="A1222" s="30"/>
      <c r="B1222" s="30"/>
      <c r="C1222" s="30"/>
      <c r="D1222" s="30"/>
      <c r="E1222" s="30"/>
      <c r="F1222" s="30"/>
      <c r="G1222" s="30"/>
    </row>
    <row r="1223">
      <c r="A1223" s="30"/>
      <c r="B1223" s="30"/>
      <c r="C1223" s="30"/>
      <c r="D1223" s="30"/>
      <c r="E1223" s="30"/>
      <c r="F1223" s="30"/>
      <c r="G1223" s="30"/>
    </row>
    <row r="1224">
      <c r="A1224" s="30"/>
      <c r="B1224" s="30"/>
      <c r="C1224" s="30"/>
      <c r="D1224" s="30"/>
      <c r="E1224" s="30"/>
      <c r="F1224" s="30"/>
      <c r="G1224" s="30"/>
    </row>
    <row r="1225">
      <c r="A1225" s="30"/>
      <c r="B1225" s="30"/>
      <c r="C1225" s="30"/>
      <c r="D1225" s="30"/>
      <c r="E1225" s="30"/>
      <c r="F1225" s="30"/>
      <c r="G1225" s="30"/>
    </row>
    <row r="1226">
      <c r="A1226" s="30"/>
      <c r="B1226" s="30"/>
      <c r="C1226" s="30"/>
      <c r="D1226" s="30"/>
      <c r="E1226" s="30"/>
      <c r="F1226" s="30"/>
      <c r="G1226" s="30"/>
    </row>
    <row r="1227">
      <c r="A1227" s="30"/>
      <c r="B1227" s="30"/>
      <c r="C1227" s="30"/>
      <c r="D1227" s="30"/>
      <c r="E1227" s="30"/>
      <c r="F1227" s="30"/>
      <c r="G1227" s="30"/>
    </row>
    <row r="1228">
      <c r="A1228" s="30"/>
      <c r="B1228" s="30"/>
      <c r="C1228" s="30"/>
      <c r="D1228" s="30"/>
      <c r="E1228" s="30"/>
      <c r="F1228" s="30"/>
      <c r="G1228" s="30"/>
    </row>
    <row r="1229">
      <c r="A1229" s="30"/>
      <c r="B1229" s="30"/>
      <c r="C1229" s="30"/>
      <c r="D1229" s="30"/>
      <c r="E1229" s="30"/>
      <c r="F1229" s="30"/>
      <c r="G1229" s="30"/>
    </row>
    <row r="1230">
      <c r="A1230" s="30"/>
      <c r="B1230" s="30"/>
      <c r="C1230" s="30"/>
      <c r="D1230" s="30"/>
      <c r="E1230" s="30"/>
      <c r="F1230" s="30"/>
      <c r="G1230" s="30"/>
    </row>
    <row r="1231">
      <c r="A1231" s="30"/>
      <c r="B1231" s="30"/>
      <c r="C1231" s="30"/>
      <c r="D1231" s="30"/>
      <c r="E1231" s="30"/>
      <c r="F1231" s="30"/>
      <c r="G1231" s="30"/>
    </row>
    <row r="1232">
      <c r="A1232" s="30"/>
      <c r="B1232" s="30"/>
      <c r="C1232" s="30"/>
      <c r="D1232" s="30"/>
      <c r="E1232" s="30"/>
      <c r="F1232" s="30"/>
      <c r="G1232" s="30"/>
    </row>
    <row r="1233">
      <c r="A1233" s="30"/>
      <c r="B1233" s="30"/>
      <c r="C1233" s="30"/>
      <c r="D1233" s="30"/>
      <c r="E1233" s="30"/>
      <c r="F1233" s="30"/>
      <c r="G1233" s="30"/>
    </row>
    <row r="1234">
      <c r="A1234" s="30"/>
      <c r="B1234" s="30"/>
      <c r="C1234" s="30"/>
      <c r="D1234" s="30"/>
      <c r="E1234" s="30"/>
      <c r="F1234" s="30"/>
      <c r="G1234" s="30"/>
    </row>
    <row r="1235">
      <c r="A1235" s="30"/>
      <c r="B1235" s="30"/>
      <c r="C1235" s="30"/>
      <c r="D1235" s="30"/>
      <c r="E1235" s="30"/>
      <c r="F1235" s="30"/>
      <c r="G1235" s="30"/>
    </row>
    <row r="1236">
      <c r="A1236" s="30"/>
      <c r="B1236" s="30"/>
      <c r="C1236" s="30"/>
      <c r="D1236" s="30"/>
      <c r="E1236" s="30"/>
      <c r="F1236" s="30"/>
      <c r="G1236" s="30"/>
    </row>
    <row r="1237">
      <c r="A1237" s="30"/>
      <c r="B1237" s="30"/>
      <c r="C1237" s="30"/>
      <c r="D1237" s="30"/>
      <c r="E1237" s="30"/>
      <c r="F1237" s="30"/>
      <c r="G1237" s="30"/>
    </row>
    <row r="1238">
      <c r="A1238" s="30"/>
      <c r="B1238" s="30"/>
      <c r="C1238" s="30"/>
      <c r="D1238" s="30"/>
      <c r="E1238" s="30"/>
      <c r="F1238" s="30"/>
      <c r="G1238" s="30"/>
    </row>
    <row r="1239">
      <c r="A1239" s="30"/>
      <c r="B1239" s="30"/>
      <c r="C1239" s="30"/>
      <c r="D1239" s="30"/>
      <c r="E1239" s="30"/>
      <c r="F1239" s="30"/>
      <c r="G1239" s="30"/>
    </row>
    <row r="1240">
      <c r="A1240" s="30"/>
      <c r="B1240" s="30"/>
      <c r="C1240" s="30"/>
      <c r="D1240" s="30"/>
      <c r="E1240" s="30"/>
      <c r="F1240" s="30"/>
      <c r="G1240" s="30"/>
    </row>
    <row r="1241">
      <c r="A1241" s="30"/>
      <c r="B1241" s="30"/>
      <c r="C1241" s="30"/>
      <c r="D1241" s="30"/>
      <c r="E1241" s="30"/>
      <c r="F1241" s="30"/>
      <c r="G1241" s="30"/>
    </row>
    <row r="1242">
      <c r="A1242" s="30"/>
      <c r="B1242" s="30"/>
      <c r="C1242" s="30"/>
      <c r="D1242" s="30"/>
      <c r="E1242" s="30"/>
      <c r="F1242" s="30"/>
      <c r="G1242" s="30"/>
    </row>
    <row r="1243">
      <c r="A1243" s="30"/>
      <c r="B1243" s="30"/>
      <c r="C1243" s="30"/>
      <c r="D1243" s="30"/>
      <c r="E1243" s="30"/>
      <c r="F1243" s="30"/>
      <c r="G1243" s="30"/>
    </row>
    <row r="1244">
      <c r="A1244" s="30"/>
      <c r="B1244" s="30"/>
      <c r="C1244" s="30"/>
      <c r="D1244" s="30"/>
      <c r="E1244" s="30"/>
      <c r="F1244" s="30"/>
      <c r="G1244" s="30"/>
    </row>
    <row r="1245">
      <c r="A1245" s="30"/>
      <c r="B1245" s="30"/>
      <c r="C1245" s="30"/>
      <c r="D1245" s="30"/>
      <c r="E1245" s="30"/>
      <c r="F1245" s="30"/>
      <c r="G1245" s="30"/>
    </row>
    <row r="1246">
      <c r="A1246" s="30"/>
      <c r="B1246" s="30"/>
      <c r="C1246" s="30"/>
      <c r="D1246" s="30"/>
      <c r="E1246" s="30"/>
      <c r="F1246" s="30"/>
      <c r="G1246" s="30"/>
    </row>
    <row r="1247">
      <c r="A1247" s="30"/>
      <c r="B1247" s="30"/>
      <c r="C1247" s="30"/>
      <c r="D1247" s="30"/>
      <c r="E1247" s="30"/>
      <c r="F1247" s="30"/>
      <c r="G1247" s="30"/>
    </row>
    <row r="1248">
      <c r="A1248" s="30"/>
      <c r="B1248" s="30"/>
      <c r="C1248" s="30"/>
      <c r="D1248" s="30"/>
      <c r="E1248" s="30"/>
      <c r="F1248" s="30"/>
      <c r="G1248" s="30"/>
    </row>
    <row r="1249">
      <c r="A1249" s="30"/>
      <c r="B1249" s="30"/>
      <c r="C1249" s="30"/>
      <c r="D1249" s="30"/>
      <c r="E1249" s="30"/>
      <c r="F1249" s="30"/>
      <c r="G1249" s="30"/>
    </row>
    <row r="1250">
      <c r="A1250" s="30"/>
      <c r="B1250" s="30"/>
      <c r="C1250" s="30"/>
      <c r="D1250" s="30"/>
      <c r="E1250" s="30"/>
      <c r="F1250" s="30"/>
      <c r="G1250" s="30"/>
    </row>
    <row r="1251">
      <c r="A1251" s="30"/>
      <c r="B1251" s="30"/>
      <c r="C1251" s="30"/>
      <c r="D1251" s="30"/>
      <c r="E1251" s="30"/>
      <c r="F1251" s="30"/>
      <c r="G1251" s="30"/>
    </row>
    <row r="1252">
      <c r="A1252" s="30"/>
      <c r="B1252" s="30"/>
      <c r="C1252" s="30"/>
      <c r="D1252" s="30"/>
      <c r="E1252" s="30"/>
      <c r="F1252" s="30"/>
      <c r="G1252" s="30"/>
    </row>
    <row r="1253">
      <c r="A1253" s="30"/>
      <c r="B1253" s="30"/>
      <c r="C1253" s="30"/>
      <c r="D1253" s="30"/>
      <c r="E1253" s="30"/>
      <c r="F1253" s="30"/>
      <c r="G1253" s="30"/>
    </row>
    <row r="1254">
      <c r="A1254" s="30"/>
      <c r="B1254" s="30"/>
      <c r="C1254" s="30"/>
      <c r="D1254" s="30"/>
      <c r="E1254" s="30"/>
      <c r="F1254" s="30"/>
      <c r="G1254" s="30"/>
    </row>
    <row r="1255">
      <c r="A1255" s="30"/>
      <c r="B1255" s="30"/>
      <c r="C1255" s="30"/>
      <c r="D1255" s="30"/>
      <c r="E1255" s="30"/>
      <c r="F1255" s="30"/>
      <c r="G1255" s="30"/>
    </row>
    <row r="1256">
      <c r="A1256" s="30"/>
      <c r="B1256" s="30"/>
      <c r="C1256" s="30"/>
      <c r="D1256" s="30"/>
      <c r="E1256" s="30"/>
      <c r="F1256" s="30"/>
      <c r="G1256" s="30"/>
    </row>
    <row r="1257">
      <c r="A1257" s="30"/>
      <c r="B1257" s="30"/>
      <c r="C1257" s="30"/>
      <c r="D1257" s="30"/>
      <c r="E1257" s="30"/>
      <c r="F1257" s="30"/>
      <c r="G1257" s="30"/>
    </row>
    <row r="1258">
      <c r="A1258" s="30"/>
      <c r="B1258" s="30"/>
      <c r="C1258" s="30"/>
      <c r="D1258" s="30"/>
      <c r="E1258" s="30"/>
      <c r="F1258" s="30"/>
      <c r="G1258" s="30"/>
    </row>
    <row r="1259">
      <c r="A1259" s="30"/>
      <c r="B1259" s="30"/>
      <c r="C1259" s="30"/>
      <c r="D1259" s="30"/>
      <c r="E1259" s="30"/>
      <c r="F1259" s="30"/>
      <c r="G1259" s="30"/>
    </row>
    <row r="1260">
      <c r="A1260" s="30"/>
      <c r="B1260" s="30"/>
      <c r="C1260" s="30"/>
      <c r="D1260" s="30"/>
      <c r="E1260" s="30"/>
      <c r="F1260" s="30"/>
      <c r="G1260" s="30"/>
    </row>
    <row r="1261">
      <c r="A1261" s="30"/>
      <c r="B1261" s="30"/>
      <c r="C1261" s="30"/>
      <c r="D1261" s="30"/>
      <c r="E1261" s="30"/>
      <c r="F1261" s="30"/>
      <c r="G1261" s="30"/>
    </row>
    <row r="1262">
      <c r="A1262" s="30"/>
      <c r="B1262" s="30"/>
      <c r="C1262" s="30"/>
      <c r="D1262" s="30"/>
      <c r="E1262" s="30"/>
      <c r="F1262" s="30"/>
      <c r="G1262" s="30"/>
    </row>
    <row r="1263">
      <c r="A1263" s="30"/>
      <c r="B1263" s="30"/>
      <c r="C1263" s="30"/>
      <c r="D1263" s="30"/>
      <c r="E1263" s="30"/>
      <c r="F1263" s="30"/>
      <c r="G1263" s="30"/>
    </row>
    <row r="1264">
      <c r="A1264" s="30"/>
      <c r="B1264" s="30"/>
      <c r="C1264" s="30"/>
      <c r="D1264" s="30"/>
      <c r="E1264" s="30"/>
      <c r="F1264" s="30"/>
      <c r="G1264" s="30"/>
    </row>
    <row r="1265">
      <c r="A1265" s="30"/>
      <c r="B1265" s="30"/>
      <c r="C1265" s="30"/>
      <c r="D1265" s="30"/>
      <c r="E1265" s="30"/>
      <c r="F1265" s="30"/>
      <c r="G1265" s="30"/>
    </row>
    <row r="1266">
      <c r="A1266" s="30"/>
      <c r="B1266" s="30"/>
      <c r="C1266" s="30"/>
      <c r="D1266" s="30"/>
      <c r="E1266" s="30"/>
      <c r="F1266" s="30"/>
      <c r="G1266" s="30"/>
    </row>
    <row r="1267">
      <c r="A1267" s="30"/>
      <c r="B1267" s="30"/>
      <c r="C1267" s="30"/>
      <c r="D1267" s="30"/>
      <c r="E1267" s="30"/>
      <c r="F1267" s="30"/>
      <c r="G1267" s="30"/>
    </row>
    <row r="1268">
      <c r="A1268" s="30"/>
      <c r="B1268" s="30"/>
      <c r="C1268" s="30"/>
      <c r="D1268" s="30"/>
      <c r="E1268" s="30"/>
      <c r="F1268" s="30"/>
      <c r="G1268" s="30"/>
    </row>
    <row r="1269">
      <c r="A1269" s="30"/>
      <c r="B1269" s="30"/>
      <c r="C1269" s="30"/>
      <c r="D1269" s="30"/>
      <c r="E1269" s="30"/>
      <c r="F1269" s="30"/>
      <c r="G1269" s="30"/>
    </row>
    <row r="1270">
      <c r="A1270" s="30"/>
      <c r="B1270" s="30"/>
      <c r="C1270" s="30"/>
      <c r="D1270" s="30"/>
      <c r="E1270" s="30"/>
      <c r="F1270" s="30"/>
      <c r="G1270" s="30"/>
    </row>
    <row r="1271">
      <c r="A1271" s="30"/>
      <c r="B1271" s="30"/>
      <c r="C1271" s="30"/>
      <c r="D1271" s="30"/>
      <c r="E1271" s="30"/>
      <c r="F1271" s="30"/>
      <c r="G1271" s="30"/>
    </row>
    <row r="1272">
      <c r="A1272" s="30"/>
      <c r="B1272" s="30"/>
      <c r="C1272" s="30"/>
      <c r="D1272" s="30"/>
      <c r="E1272" s="30"/>
      <c r="F1272" s="30"/>
      <c r="G1272" s="30"/>
    </row>
    <row r="1273">
      <c r="A1273" s="30"/>
      <c r="B1273" s="30"/>
      <c r="C1273" s="30"/>
      <c r="D1273" s="30"/>
      <c r="E1273" s="30"/>
      <c r="F1273" s="30"/>
      <c r="G1273" s="30"/>
    </row>
    <row r="1274">
      <c r="A1274" s="30"/>
      <c r="B1274" s="30"/>
      <c r="C1274" s="30"/>
      <c r="D1274" s="30"/>
      <c r="E1274" s="30"/>
      <c r="F1274" s="30"/>
      <c r="G1274" s="30"/>
    </row>
    <row r="1275">
      <c r="A1275" s="30"/>
      <c r="B1275" s="30"/>
      <c r="C1275" s="30"/>
      <c r="D1275" s="30"/>
      <c r="E1275" s="30"/>
      <c r="F1275" s="30"/>
      <c r="G1275" s="30"/>
    </row>
    <row r="1276">
      <c r="A1276" s="30"/>
      <c r="B1276" s="30"/>
      <c r="C1276" s="30"/>
      <c r="D1276" s="30"/>
      <c r="E1276" s="30"/>
      <c r="F1276" s="30"/>
      <c r="G1276" s="30"/>
    </row>
    <row r="1277">
      <c r="A1277" s="30"/>
      <c r="B1277" s="30"/>
      <c r="C1277" s="30"/>
      <c r="D1277" s="30"/>
      <c r="E1277" s="30"/>
      <c r="F1277" s="30"/>
      <c r="G1277" s="30"/>
    </row>
    <row r="1278">
      <c r="A1278" s="30"/>
      <c r="B1278" s="30"/>
      <c r="C1278" s="30"/>
      <c r="D1278" s="30"/>
      <c r="E1278" s="30"/>
      <c r="F1278" s="30"/>
      <c r="G1278" s="30"/>
    </row>
    <row r="1279">
      <c r="A1279" s="30"/>
      <c r="B1279" s="30"/>
      <c r="C1279" s="30"/>
      <c r="D1279" s="30"/>
      <c r="E1279" s="30"/>
      <c r="F1279" s="30"/>
      <c r="G1279" s="30"/>
    </row>
    <row r="1280">
      <c r="A1280" s="30"/>
      <c r="B1280" s="30"/>
      <c r="C1280" s="30"/>
      <c r="D1280" s="30"/>
      <c r="E1280" s="30"/>
      <c r="F1280" s="30"/>
      <c r="G1280" s="30"/>
    </row>
    <row r="1281">
      <c r="A1281" s="30"/>
      <c r="B1281" s="30"/>
      <c r="C1281" s="30"/>
      <c r="D1281" s="30"/>
      <c r="E1281" s="30"/>
      <c r="F1281" s="30"/>
      <c r="G1281" s="30"/>
    </row>
    <row r="1282">
      <c r="A1282" s="30"/>
      <c r="B1282" s="30"/>
      <c r="C1282" s="30"/>
      <c r="D1282" s="30"/>
      <c r="E1282" s="30"/>
      <c r="F1282" s="30"/>
      <c r="G1282" s="30"/>
    </row>
    <row r="1283">
      <c r="A1283" s="30"/>
      <c r="B1283" s="30"/>
      <c r="C1283" s="30"/>
      <c r="D1283" s="30"/>
      <c r="E1283" s="30"/>
      <c r="F1283" s="30"/>
      <c r="G1283" s="30"/>
    </row>
    <row r="1284">
      <c r="A1284" s="30"/>
      <c r="B1284" s="30"/>
      <c r="C1284" s="30"/>
      <c r="D1284" s="30"/>
      <c r="E1284" s="30"/>
      <c r="F1284" s="30"/>
      <c r="G1284" s="30"/>
    </row>
    <row r="1285">
      <c r="A1285" s="30"/>
      <c r="B1285" s="30"/>
      <c r="C1285" s="30"/>
      <c r="D1285" s="30"/>
      <c r="E1285" s="30"/>
      <c r="F1285" s="30"/>
      <c r="G1285" s="30"/>
    </row>
    <row r="1286">
      <c r="A1286" s="30"/>
      <c r="B1286" s="30"/>
      <c r="C1286" s="30"/>
      <c r="D1286" s="30"/>
      <c r="E1286" s="30"/>
      <c r="F1286" s="30"/>
      <c r="G1286" s="30"/>
    </row>
    <row r="1287">
      <c r="A1287" s="30"/>
      <c r="B1287" s="30"/>
      <c r="C1287" s="30"/>
      <c r="D1287" s="30"/>
      <c r="E1287" s="30"/>
      <c r="F1287" s="30"/>
      <c r="G1287" s="30"/>
    </row>
    <row r="1288">
      <c r="A1288" s="30"/>
      <c r="B1288" s="30"/>
      <c r="C1288" s="30"/>
      <c r="D1288" s="30"/>
      <c r="E1288" s="30"/>
      <c r="F1288" s="30"/>
      <c r="G1288" s="30"/>
    </row>
    <row r="1289">
      <c r="A1289" s="30"/>
      <c r="B1289" s="30"/>
      <c r="C1289" s="30"/>
      <c r="D1289" s="30"/>
      <c r="E1289" s="30"/>
      <c r="F1289" s="30"/>
      <c r="G1289" s="30"/>
    </row>
    <row r="1290">
      <c r="A1290" s="30"/>
      <c r="B1290" s="30"/>
      <c r="C1290" s="30"/>
      <c r="D1290" s="30"/>
      <c r="E1290" s="30"/>
      <c r="F1290" s="30"/>
      <c r="G1290" s="30"/>
    </row>
    <row r="1291">
      <c r="A1291" s="30"/>
      <c r="B1291" s="30"/>
      <c r="C1291" s="30"/>
      <c r="D1291" s="30"/>
      <c r="E1291" s="30"/>
      <c r="F1291" s="30"/>
      <c r="G1291" s="30"/>
    </row>
    <row r="1292">
      <c r="A1292" s="30"/>
      <c r="B1292" s="30"/>
      <c r="C1292" s="30"/>
      <c r="D1292" s="30"/>
      <c r="E1292" s="30"/>
      <c r="F1292" s="30"/>
      <c r="G1292" s="30"/>
    </row>
    <row r="1293">
      <c r="A1293" s="30"/>
      <c r="B1293" s="30"/>
      <c r="C1293" s="30"/>
      <c r="D1293" s="30"/>
      <c r="E1293" s="30"/>
      <c r="F1293" s="30"/>
      <c r="G1293" s="30"/>
    </row>
    <row r="1294">
      <c r="A1294" s="30"/>
      <c r="B1294" s="30"/>
      <c r="C1294" s="30"/>
      <c r="D1294" s="30"/>
      <c r="E1294" s="30"/>
      <c r="F1294" s="30"/>
      <c r="G1294" s="30"/>
    </row>
    <row r="1295">
      <c r="A1295" s="30"/>
      <c r="B1295" s="30"/>
      <c r="C1295" s="30"/>
      <c r="D1295" s="30"/>
      <c r="E1295" s="30"/>
      <c r="F1295" s="30"/>
      <c r="G1295" s="30"/>
    </row>
    <row r="1296">
      <c r="A1296" s="30"/>
      <c r="B1296" s="30"/>
      <c r="C1296" s="30"/>
      <c r="D1296" s="30"/>
      <c r="E1296" s="30"/>
      <c r="F1296" s="30"/>
      <c r="G1296" s="30"/>
    </row>
    <row r="1297">
      <c r="A1297" s="30"/>
      <c r="B1297" s="30"/>
      <c r="C1297" s="30"/>
      <c r="D1297" s="30"/>
      <c r="E1297" s="30"/>
      <c r="F1297" s="30"/>
      <c r="G1297" s="30"/>
    </row>
    <row r="1298">
      <c r="A1298" s="30"/>
      <c r="B1298" s="30"/>
      <c r="C1298" s="30"/>
      <c r="D1298" s="30"/>
      <c r="E1298" s="30"/>
      <c r="F1298" s="30"/>
      <c r="G1298" s="30"/>
    </row>
    <row r="1299">
      <c r="A1299" s="30"/>
      <c r="B1299" s="30"/>
      <c r="C1299" s="30"/>
      <c r="D1299" s="30"/>
      <c r="E1299" s="30"/>
      <c r="F1299" s="30"/>
      <c r="G1299" s="30"/>
    </row>
    <row r="1300">
      <c r="A1300" s="30"/>
      <c r="B1300" s="30"/>
      <c r="C1300" s="30"/>
      <c r="D1300" s="30"/>
      <c r="E1300" s="30"/>
      <c r="F1300" s="30"/>
      <c r="G1300" s="30"/>
    </row>
    <row r="1301">
      <c r="A1301" s="30"/>
      <c r="B1301" s="30"/>
      <c r="C1301" s="30"/>
      <c r="D1301" s="30"/>
      <c r="E1301" s="30"/>
      <c r="F1301" s="30"/>
      <c r="G1301" s="30"/>
    </row>
    <row r="1302">
      <c r="A1302" s="30"/>
      <c r="B1302" s="30"/>
      <c r="C1302" s="30"/>
      <c r="D1302" s="30"/>
      <c r="E1302" s="30"/>
      <c r="F1302" s="30"/>
      <c r="G1302" s="30"/>
    </row>
    <row r="1303">
      <c r="A1303" s="30"/>
      <c r="B1303" s="30"/>
      <c r="C1303" s="30"/>
      <c r="D1303" s="30"/>
      <c r="E1303" s="30"/>
      <c r="F1303" s="30"/>
      <c r="G1303" s="30"/>
    </row>
    <row r="1304">
      <c r="A1304" s="30"/>
      <c r="B1304" s="30"/>
      <c r="C1304" s="30"/>
      <c r="D1304" s="30"/>
      <c r="E1304" s="30"/>
      <c r="F1304" s="30"/>
      <c r="G1304" s="30"/>
    </row>
    <row r="1305">
      <c r="A1305" s="30"/>
      <c r="B1305" s="30"/>
      <c r="C1305" s="30"/>
      <c r="D1305" s="30"/>
      <c r="E1305" s="30"/>
      <c r="F1305" s="30"/>
      <c r="G1305" s="30"/>
    </row>
    <row r="1306">
      <c r="A1306" s="30"/>
      <c r="B1306" s="30"/>
      <c r="C1306" s="30"/>
      <c r="D1306" s="30"/>
      <c r="E1306" s="30"/>
      <c r="F1306" s="30"/>
      <c r="G1306" s="30"/>
    </row>
    <row r="1307">
      <c r="A1307" s="30"/>
      <c r="B1307" s="30"/>
      <c r="C1307" s="30"/>
      <c r="D1307" s="30"/>
      <c r="E1307" s="30"/>
      <c r="F1307" s="30"/>
      <c r="G1307" s="30"/>
    </row>
    <row r="1308">
      <c r="A1308" s="30"/>
      <c r="B1308" s="30"/>
      <c r="C1308" s="30"/>
      <c r="D1308" s="30"/>
      <c r="E1308" s="30"/>
      <c r="F1308" s="30"/>
      <c r="G1308" s="30"/>
    </row>
    <row r="1309">
      <c r="A1309" s="30"/>
      <c r="B1309" s="30"/>
      <c r="C1309" s="30"/>
      <c r="D1309" s="30"/>
      <c r="E1309" s="30"/>
      <c r="F1309" s="30"/>
      <c r="G1309" s="30"/>
    </row>
    <row r="1310">
      <c r="A1310" s="30"/>
      <c r="B1310" s="30"/>
      <c r="C1310" s="30"/>
      <c r="D1310" s="30"/>
      <c r="E1310" s="30"/>
      <c r="F1310" s="30"/>
      <c r="G1310" s="30"/>
    </row>
    <row r="1311">
      <c r="A1311" s="30"/>
      <c r="B1311" s="30"/>
      <c r="C1311" s="30"/>
      <c r="D1311" s="30"/>
      <c r="E1311" s="30"/>
      <c r="F1311" s="30"/>
      <c r="G1311" s="30"/>
    </row>
    <row r="1312">
      <c r="A1312" s="30"/>
      <c r="B1312" s="30"/>
      <c r="C1312" s="30"/>
      <c r="D1312" s="30"/>
      <c r="E1312" s="30"/>
      <c r="F1312" s="30"/>
      <c r="G1312" s="30"/>
    </row>
    <row r="1313">
      <c r="A1313" s="30"/>
      <c r="B1313" s="30"/>
      <c r="C1313" s="30"/>
      <c r="D1313" s="30"/>
      <c r="E1313" s="30"/>
      <c r="F1313" s="30"/>
      <c r="G1313" s="30"/>
    </row>
    <row r="1314">
      <c r="A1314" s="30"/>
      <c r="B1314" s="30"/>
      <c r="C1314" s="30"/>
      <c r="D1314" s="30"/>
      <c r="E1314" s="30"/>
      <c r="F1314" s="30"/>
      <c r="G1314" s="30"/>
    </row>
    <row r="1315">
      <c r="A1315" s="30"/>
      <c r="B1315" s="30"/>
      <c r="C1315" s="30"/>
      <c r="D1315" s="30"/>
      <c r="E1315" s="30"/>
      <c r="F1315" s="30"/>
      <c r="G1315" s="30"/>
    </row>
    <row r="1316">
      <c r="A1316" s="30"/>
      <c r="B1316" s="30"/>
      <c r="C1316" s="30"/>
      <c r="D1316" s="30"/>
      <c r="E1316" s="30"/>
      <c r="F1316" s="30"/>
      <c r="G1316" s="30"/>
    </row>
    <row r="1317">
      <c r="A1317" s="30"/>
      <c r="B1317" s="30"/>
      <c r="C1317" s="30"/>
      <c r="D1317" s="30"/>
      <c r="E1317" s="30"/>
      <c r="F1317" s="30"/>
      <c r="G1317" s="30"/>
    </row>
    <row r="1318">
      <c r="A1318" s="30"/>
      <c r="B1318" s="30"/>
      <c r="C1318" s="30"/>
      <c r="D1318" s="30"/>
      <c r="E1318" s="30"/>
      <c r="F1318" s="30"/>
      <c r="G1318" s="30"/>
    </row>
    <row r="1319">
      <c r="A1319" s="30"/>
      <c r="B1319" s="30"/>
      <c r="C1319" s="30"/>
      <c r="D1319" s="30"/>
      <c r="E1319" s="30"/>
      <c r="F1319" s="30"/>
      <c r="G1319" s="30"/>
    </row>
    <row r="1320">
      <c r="A1320" s="30"/>
      <c r="B1320" s="30"/>
      <c r="C1320" s="30"/>
      <c r="D1320" s="30"/>
      <c r="E1320" s="30"/>
      <c r="F1320" s="30"/>
      <c r="G1320" s="30"/>
    </row>
    <row r="1321">
      <c r="A1321" s="30"/>
      <c r="B1321" s="30"/>
      <c r="C1321" s="30"/>
      <c r="D1321" s="30"/>
      <c r="E1321" s="30"/>
      <c r="F1321" s="30"/>
      <c r="G1321" s="30"/>
    </row>
    <row r="1322">
      <c r="A1322" s="30"/>
      <c r="B1322" s="30"/>
      <c r="C1322" s="30"/>
      <c r="D1322" s="30"/>
      <c r="E1322" s="30"/>
      <c r="F1322" s="30"/>
      <c r="G1322" s="30"/>
    </row>
    <row r="1323">
      <c r="A1323" s="30"/>
      <c r="B1323" s="30"/>
      <c r="C1323" s="30"/>
      <c r="D1323" s="30"/>
      <c r="E1323" s="30"/>
      <c r="F1323" s="30"/>
      <c r="G1323" s="30"/>
    </row>
    <row r="1324">
      <c r="A1324" s="30"/>
      <c r="B1324" s="30"/>
      <c r="C1324" s="30"/>
      <c r="D1324" s="30"/>
      <c r="E1324" s="30"/>
      <c r="F1324" s="30"/>
      <c r="G1324" s="30"/>
    </row>
    <row r="1325">
      <c r="A1325" s="30"/>
      <c r="B1325" s="30"/>
      <c r="C1325" s="30"/>
      <c r="D1325" s="30"/>
      <c r="E1325" s="30"/>
      <c r="F1325" s="30"/>
      <c r="G1325" s="30"/>
    </row>
    <row r="1326">
      <c r="A1326" s="30"/>
      <c r="B1326" s="30"/>
      <c r="C1326" s="30"/>
      <c r="D1326" s="30"/>
      <c r="E1326" s="30"/>
      <c r="F1326" s="30"/>
      <c r="G1326" s="30"/>
    </row>
    <row r="1327">
      <c r="A1327" s="30"/>
      <c r="B1327" s="30"/>
      <c r="C1327" s="30"/>
      <c r="D1327" s="30"/>
      <c r="E1327" s="30"/>
      <c r="F1327" s="30"/>
      <c r="G1327" s="30"/>
    </row>
    <row r="1328">
      <c r="A1328" s="30"/>
      <c r="B1328" s="30"/>
      <c r="C1328" s="30"/>
      <c r="D1328" s="30"/>
      <c r="E1328" s="30"/>
      <c r="F1328" s="30"/>
      <c r="G1328" s="30"/>
    </row>
    <row r="1329">
      <c r="A1329" s="30"/>
      <c r="B1329" s="30"/>
      <c r="C1329" s="30"/>
      <c r="D1329" s="30"/>
      <c r="E1329" s="30"/>
      <c r="F1329" s="30"/>
      <c r="G1329" s="30"/>
    </row>
    <row r="1330">
      <c r="A1330" s="30"/>
      <c r="B1330" s="30"/>
      <c r="C1330" s="30"/>
      <c r="D1330" s="30"/>
      <c r="E1330" s="30"/>
      <c r="F1330" s="30"/>
      <c r="G1330" s="30"/>
    </row>
    <row r="1331">
      <c r="A1331" s="30"/>
      <c r="B1331" s="30"/>
      <c r="C1331" s="30"/>
      <c r="D1331" s="30"/>
      <c r="E1331" s="30"/>
      <c r="F1331" s="30"/>
      <c r="G1331" s="30"/>
    </row>
    <row r="1332">
      <c r="A1332" s="30"/>
      <c r="B1332" s="30"/>
      <c r="C1332" s="30"/>
      <c r="D1332" s="30"/>
      <c r="E1332" s="30"/>
      <c r="F1332" s="30"/>
      <c r="G1332" s="30"/>
    </row>
    <row r="1333">
      <c r="A1333" s="30"/>
      <c r="B1333" s="30"/>
      <c r="C1333" s="30"/>
      <c r="D1333" s="30"/>
      <c r="E1333" s="30"/>
      <c r="F1333" s="30"/>
      <c r="G1333" s="30"/>
    </row>
    <row r="1334">
      <c r="A1334" s="30"/>
      <c r="B1334" s="30"/>
      <c r="C1334" s="30"/>
      <c r="D1334" s="30"/>
      <c r="E1334" s="30"/>
      <c r="F1334" s="30"/>
      <c r="G1334" s="30"/>
    </row>
    <row r="1335">
      <c r="A1335" s="30"/>
      <c r="B1335" s="30"/>
      <c r="C1335" s="30"/>
      <c r="D1335" s="30"/>
      <c r="E1335" s="30"/>
      <c r="F1335" s="30"/>
      <c r="G1335" s="30"/>
    </row>
    <row r="1336">
      <c r="A1336" s="30"/>
      <c r="B1336" s="30"/>
      <c r="C1336" s="30"/>
      <c r="D1336" s="30"/>
      <c r="E1336" s="30"/>
      <c r="F1336" s="30"/>
      <c r="G1336" s="30"/>
    </row>
    <row r="1337">
      <c r="A1337" s="30"/>
      <c r="B1337" s="30"/>
      <c r="C1337" s="30"/>
      <c r="D1337" s="30"/>
      <c r="E1337" s="30"/>
      <c r="F1337" s="30"/>
      <c r="G1337" s="30"/>
    </row>
    <row r="1338">
      <c r="A1338" s="30"/>
      <c r="B1338" s="30"/>
      <c r="C1338" s="30"/>
      <c r="D1338" s="30"/>
      <c r="E1338" s="30"/>
      <c r="F1338" s="30"/>
      <c r="G1338" s="30"/>
    </row>
    <row r="1339">
      <c r="A1339" s="30"/>
      <c r="B1339" s="30"/>
      <c r="C1339" s="30"/>
      <c r="D1339" s="30"/>
      <c r="E1339" s="30"/>
      <c r="F1339" s="30"/>
      <c r="G1339" s="30"/>
    </row>
    <row r="1340">
      <c r="A1340" s="30"/>
      <c r="B1340" s="30"/>
      <c r="C1340" s="30"/>
      <c r="D1340" s="30"/>
      <c r="E1340" s="30"/>
      <c r="F1340" s="30"/>
      <c r="G1340" s="30"/>
    </row>
    <row r="1341">
      <c r="A1341" s="30"/>
      <c r="B1341" s="30"/>
      <c r="C1341" s="30"/>
      <c r="D1341" s="30"/>
      <c r="E1341" s="30"/>
      <c r="F1341" s="30"/>
      <c r="G1341" s="30"/>
    </row>
    <row r="1342">
      <c r="A1342" s="30"/>
      <c r="B1342" s="30"/>
      <c r="C1342" s="30"/>
      <c r="D1342" s="30"/>
      <c r="E1342" s="30"/>
      <c r="F1342" s="30"/>
      <c r="G1342" s="30"/>
    </row>
    <row r="1343">
      <c r="A1343" s="30"/>
      <c r="B1343" s="30"/>
      <c r="C1343" s="30"/>
      <c r="D1343" s="30"/>
      <c r="E1343" s="30"/>
      <c r="F1343" s="30"/>
      <c r="G1343" s="30"/>
    </row>
    <row r="1344">
      <c r="A1344" s="30"/>
      <c r="B1344" s="30"/>
      <c r="C1344" s="30"/>
      <c r="D1344" s="30"/>
      <c r="E1344" s="30"/>
      <c r="F1344" s="30"/>
      <c r="G1344" s="30"/>
    </row>
    <row r="1345">
      <c r="A1345" s="30"/>
      <c r="B1345" s="30"/>
      <c r="C1345" s="30"/>
      <c r="D1345" s="30"/>
      <c r="E1345" s="30"/>
      <c r="F1345" s="30"/>
      <c r="G1345" s="30"/>
    </row>
    <row r="1346">
      <c r="A1346" s="30"/>
      <c r="B1346" s="30"/>
      <c r="C1346" s="30"/>
      <c r="D1346" s="30"/>
      <c r="E1346" s="30"/>
      <c r="F1346" s="30"/>
      <c r="G1346" s="30"/>
    </row>
    <row r="1347">
      <c r="A1347" s="30"/>
      <c r="B1347" s="30"/>
      <c r="C1347" s="30"/>
      <c r="D1347" s="30"/>
      <c r="E1347" s="30"/>
      <c r="F1347" s="30"/>
      <c r="G1347" s="30"/>
    </row>
    <row r="1348">
      <c r="A1348" s="30"/>
      <c r="B1348" s="30"/>
      <c r="C1348" s="30"/>
      <c r="D1348" s="30"/>
      <c r="E1348" s="30"/>
      <c r="F1348" s="30"/>
      <c r="G1348" s="30"/>
    </row>
    <row r="1349">
      <c r="A1349" s="30"/>
      <c r="B1349" s="30"/>
      <c r="C1349" s="30"/>
      <c r="D1349" s="30"/>
      <c r="E1349" s="30"/>
      <c r="F1349" s="30"/>
      <c r="G1349" s="30"/>
    </row>
    <row r="1350">
      <c r="A1350" s="30"/>
      <c r="B1350" s="30"/>
      <c r="C1350" s="30"/>
      <c r="D1350" s="30"/>
      <c r="E1350" s="30"/>
      <c r="F1350" s="30"/>
      <c r="G1350" s="30"/>
    </row>
    <row r="1351">
      <c r="A1351" s="30"/>
      <c r="B1351" s="30"/>
      <c r="C1351" s="30"/>
      <c r="D1351" s="30"/>
      <c r="E1351" s="30"/>
      <c r="F1351" s="30"/>
      <c r="G1351" s="30"/>
    </row>
    <row r="1352">
      <c r="A1352" s="30"/>
      <c r="B1352" s="30"/>
      <c r="C1352" s="30"/>
      <c r="D1352" s="30"/>
      <c r="E1352" s="30"/>
      <c r="F1352" s="30"/>
      <c r="G1352" s="30"/>
    </row>
    <row r="1353">
      <c r="A1353" s="30"/>
      <c r="B1353" s="30"/>
      <c r="C1353" s="30"/>
      <c r="D1353" s="30"/>
      <c r="E1353" s="30"/>
      <c r="F1353" s="30"/>
      <c r="G1353" s="30"/>
    </row>
    <row r="1354">
      <c r="A1354" s="30"/>
      <c r="B1354" s="30"/>
      <c r="C1354" s="30"/>
      <c r="D1354" s="30"/>
      <c r="E1354" s="30"/>
      <c r="F1354" s="30"/>
      <c r="G1354" s="30"/>
    </row>
    <row r="1355">
      <c r="A1355" s="30"/>
      <c r="B1355" s="30"/>
      <c r="C1355" s="30"/>
      <c r="D1355" s="30"/>
      <c r="E1355" s="30"/>
      <c r="F1355" s="30"/>
      <c r="G1355" s="30"/>
    </row>
    <row r="1356">
      <c r="A1356" s="30"/>
      <c r="B1356" s="30"/>
      <c r="C1356" s="30"/>
      <c r="D1356" s="30"/>
      <c r="E1356" s="30"/>
      <c r="F1356" s="30"/>
      <c r="G1356" s="30"/>
    </row>
    <row r="1357">
      <c r="A1357" s="30"/>
      <c r="B1357" s="30"/>
      <c r="C1357" s="30"/>
      <c r="D1357" s="30"/>
      <c r="E1357" s="30"/>
      <c r="F1357" s="30"/>
      <c r="G1357" s="30"/>
    </row>
    <row r="1358">
      <c r="A1358" s="30"/>
      <c r="B1358" s="30"/>
      <c r="C1358" s="30"/>
      <c r="D1358" s="30"/>
      <c r="E1358" s="30"/>
      <c r="F1358" s="30"/>
      <c r="G1358" s="30"/>
    </row>
    <row r="1359">
      <c r="A1359" s="30"/>
      <c r="B1359" s="30"/>
      <c r="C1359" s="30"/>
      <c r="D1359" s="30"/>
      <c r="E1359" s="30"/>
      <c r="F1359" s="30"/>
      <c r="G1359" s="30"/>
    </row>
    <row r="1360">
      <c r="A1360" s="30"/>
      <c r="B1360" s="30"/>
      <c r="C1360" s="30"/>
      <c r="D1360" s="30"/>
      <c r="E1360" s="30"/>
      <c r="F1360" s="30"/>
      <c r="G1360" s="30"/>
    </row>
    <row r="1361">
      <c r="A1361" s="30"/>
      <c r="B1361" s="30"/>
      <c r="C1361" s="30"/>
      <c r="D1361" s="30"/>
      <c r="E1361" s="30"/>
      <c r="F1361" s="30"/>
      <c r="G1361" s="30"/>
    </row>
    <row r="1362">
      <c r="A1362" s="30"/>
      <c r="B1362" s="30"/>
      <c r="C1362" s="30"/>
      <c r="D1362" s="30"/>
      <c r="E1362" s="30"/>
      <c r="F1362" s="30"/>
      <c r="G1362" s="30"/>
    </row>
    <row r="1363">
      <c r="A1363" s="30"/>
      <c r="B1363" s="30"/>
      <c r="C1363" s="30"/>
      <c r="D1363" s="30"/>
      <c r="E1363" s="30"/>
      <c r="F1363" s="30"/>
      <c r="G1363" s="30"/>
    </row>
    <row r="1364">
      <c r="A1364" s="30"/>
      <c r="B1364" s="30"/>
      <c r="C1364" s="30"/>
      <c r="D1364" s="30"/>
      <c r="E1364" s="30"/>
      <c r="F1364" s="30"/>
      <c r="G1364" s="30"/>
    </row>
    <row r="1365">
      <c r="A1365" s="30"/>
      <c r="B1365" s="30"/>
      <c r="C1365" s="30"/>
      <c r="D1365" s="30"/>
      <c r="E1365" s="30"/>
      <c r="F1365" s="30"/>
      <c r="G1365" s="30"/>
    </row>
    <row r="1366">
      <c r="A1366" s="30"/>
      <c r="B1366" s="30"/>
      <c r="C1366" s="30"/>
      <c r="D1366" s="30"/>
      <c r="E1366" s="30"/>
      <c r="F1366" s="30"/>
      <c r="G1366" s="30"/>
    </row>
    <row r="1367">
      <c r="A1367" s="30"/>
      <c r="B1367" s="30"/>
      <c r="C1367" s="30"/>
      <c r="D1367" s="30"/>
      <c r="E1367" s="30"/>
      <c r="F1367" s="30"/>
      <c r="G1367" s="30"/>
    </row>
    <row r="1368">
      <c r="A1368" s="30"/>
      <c r="B1368" s="30"/>
      <c r="C1368" s="30"/>
      <c r="D1368" s="30"/>
      <c r="E1368" s="30"/>
      <c r="F1368" s="30"/>
      <c r="G1368" s="30"/>
    </row>
    <row r="1369">
      <c r="A1369" s="30"/>
      <c r="B1369" s="30"/>
      <c r="C1369" s="30"/>
      <c r="D1369" s="30"/>
      <c r="E1369" s="30"/>
      <c r="F1369" s="30"/>
      <c r="G1369" s="30"/>
    </row>
    <row r="1370">
      <c r="A1370" s="30"/>
      <c r="B1370" s="30"/>
      <c r="C1370" s="30"/>
      <c r="D1370" s="30"/>
      <c r="E1370" s="30"/>
      <c r="F1370" s="30"/>
      <c r="G1370" s="30"/>
    </row>
    <row r="1371">
      <c r="A1371" s="30"/>
      <c r="B1371" s="30"/>
      <c r="C1371" s="30"/>
      <c r="D1371" s="30"/>
      <c r="E1371" s="30"/>
      <c r="F1371" s="30"/>
      <c r="G1371" s="30"/>
    </row>
    <row r="1372">
      <c r="A1372" s="30"/>
      <c r="B1372" s="30"/>
      <c r="C1372" s="30"/>
      <c r="D1372" s="30"/>
      <c r="E1372" s="30"/>
      <c r="F1372" s="30"/>
      <c r="G1372" s="30"/>
    </row>
    <row r="1373">
      <c r="A1373" s="30"/>
      <c r="B1373" s="30"/>
      <c r="C1373" s="30"/>
      <c r="D1373" s="30"/>
      <c r="E1373" s="30"/>
      <c r="F1373" s="30"/>
      <c r="G1373" s="30"/>
    </row>
    <row r="1374">
      <c r="A1374" s="30"/>
      <c r="B1374" s="30"/>
      <c r="C1374" s="30"/>
      <c r="D1374" s="30"/>
      <c r="E1374" s="30"/>
      <c r="F1374" s="30"/>
      <c r="G1374" s="30"/>
    </row>
    <row r="1375">
      <c r="A1375" s="30"/>
      <c r="B1375" s="30"/>
      <c r="C1375" s="30"/>
      <c r="D1375" s="30"/>
      <c r="E1375" s="30"/>
      <c r="F1375" s="30"/>
      <c r="G1375" s="30"/>
    </row>
    <row r="1376">
      <c r="A1376" s="30"/>
      <c r="B1376" s="30"/>
      <c r="C1376" s="30"/>
      <c r="D1376" s="30"/>
      <c r="E1376" s="30"/>
      <c r="F1376" s="30"/>
      <c r="G1376" s="30"/>
    </row>
    <row r="1377">
      <c r="A1377" s="30"/>
      <c r="B1377" s="30"/>
      <c r="C1377" s="30"/>
      <c r="D1377" s="30"/>
      <c r="E1377" s="30"/>
      <c r="F1377" s="30"/>
      <c r="G1377" s="30"/>
    </row>
    <row r="1378">
      <c r="A1378" s="30"/>
      <c r="B1378" s="30"/>
      <c r="C1378" s="30"/>
      <c r="D1378" s="30"/>
      <c r="E1378" s="30"/>
      <c r="F1378" s="30"/>
      <c r="G1378" s="30"/>
    </row>
    <row r="1379">
      <c r="A1379" s="30"/>
      <c r="B1379" s="30"/>
      <c r="C1379" s="30"/>
      <c r="D1379" s="30"/>
      <c r="E1379" s="30"/>
      <c r="F1379" s="30"/>
      <c r="G1379" s="30"/>
    </row>
    <row r="1380">
      <c r="A1380" s="30"/>
      <c r="B1380" s="30"/>
      <c r="C1380" s="30"/>
      <c r="D1380" s="30"/>
      <c r="E1380" s="30"/>
      <c r="F1380" s="30"/>
      <c r="G1380" s="30"/>
    </row>
    <row r="1381">
      <c r="A1381" s="30"/>
      <c r="B1381" s="30"/>
      <c r="C1381" s="30"/>
      <c r="D1381" s="30"/>
      <c r="E1381" s="30"/>
      <c r="F1381" s="30"/>
      <c r="G1381" s="30"/>
    </row>
    <row r="1382">
      <c r="A1382" s="30"/>
      <c r="B1382" s="30"/>
      <c r="C1382" s="30"/>
      <c r="D1382" s="30"/>
      <c r="E1382" s="30"/>
      <c r="F1382" s="30"/>
      <c r="G1382" s="30"/>
    </row>
    <row r="1383">
      <c r="A1383" s="30"/>
      <c r="B1383" s="30"/>
      <c r="C1383" s="30"/>
      <c r="D1383" s="30"/>
      <c r="E1383" s="30"/>
      <c r="F1383" s="30"/>
      <c r="G1383" s="30"/>
    </row>
    <row r="1384">
      <c r="A1384" s="30"/>
      <c r="B1384" s="30"/>
      <c r="C1384" s="30"/>
      <c r="D1384" s="30"/>
      <c r="E1384" s="30"/>
      <c r="F1384" s="30"/>
      <c r="G1384" s="30"/>
    </row>
    <row r="1385">
      <c r="A1385" s="30"/>
      <c r="B1385" s="30"/>
      <c r="C1385" s="30"/>
      <c r="D1385" s="30"/>
      <c r="E1385" s="30"/>
      <c r="F1385" s="30"/>
      <c r="G1385" s="30"/>
    </row>
    <row r="1386">
      <c r="A1386" s="30"/>
      <c r="B1386" s="30"/>
      <c r="C1386" s="30"/>
      <c r="D1386" s="30"/>
      <c r="E1386" s="30"/>
      <c r="F1386" s="30"/>
      <c r="G1386" s="30"/>
    </row>
    <row r="1387">
      <c r="A1387" s="30"/>
      <c r="B1387" s="30"/>
      <c r="C1387" s="30"/>
      <c r="D1387" s="30"/>
      <c r="E1387" s="30"/>
      <c r="F1387" s="30"/>
      <c r="G1387" s="30"/>
    </row>
    <row r="1388">
      <c r="A1388" s="30"/>
      <c r="B1388" s="30"/>
      <c r="C1388" s="30"/>
      <c r="D1388" s="30"/>
      <c r="E1388" s="30"/>
      <c r="F1388" s="30"/>
      <c r="G1388" s="30"/>
    </row>
    <row r="1389">
      <c r="A1389" s="30"/>
      <c r="B1389" s="30"/>
      <c r="C1389" s="30"/>
      <c r="D1389" s="30"/>
      <c r="E1389" s="30"/>
      <c r="F1389" s="30"/>
      <c r="G1389" s="30"/>
    </row>
    <row r="1390">
      <c r="A1390" s="30"/>
      <c r="B1390" s="30"/>
      <c r="C1390" s="30"/>
      <c r="D1390" s="30"/>
      <c r="E1390" s="30"/>
      <c r="F1390" s="30"/>
      <c r="G1390" s="30"/>
    </row>
    <row r="1391">
      <c r="A1391" s="30"/>
      <c r="B1391" s="30"/>
      <c r="C1391" s="30"/>
      <c r="D1391" s="30"/>
      <c r="E1391" s="30"/>
      <c r="F1391" s="30"/>
      <c r="G1391" s="30"/>
    </row>
    <row r="1392">
      <c r="A1392" s="30"/>
      <c r="B1392" s="30"/>
      <c r="C1392" s="30"/>
      <c r="D1392" s="30"/>
      <c r="E1392" s="30"/>
      <c r="F1392" s="30"/>
      <c r="G1392" s="30"/>
    </row>
    <row r="1393">
      <c r="A1393" s="30"/>
      <c r="B1393" s="30"/>
      <c r="C1393" s="30"/>
      <c r="D1393" s="30"/>
      <c r="E1393" s="30"/>
      <c r="F1393" s="30"/>
      <c r="G1393" s="30"/>
    </row>
    <row r="1394">
      <c r="A1394" s="30"/>
      <c r="B1394" s="30"/>
      <c r="C1394" s="30"/>
      <c r="D1394" s="30"/>
      <c r="E1394" s="30"/>
      <c r="F1394" s="30"/>
      <c r="G1394" s="30"/>
    </row>
    <row r="1395">
      <c r="A1395" s="30"/>
      <c r="B1395" s="30"/>
      <c r="C1395" s="30"/>
      <c r="D1395" s="30"/>
      <c r="E1395" s="30"/>
      <c r="F1395" s="30"/>
      <c r="G1395" s="30"/>
    </row>
    <row r="1396">
      <c r="A1396" s="30"/>
      <c r="B1396" s="30"/>
      <c r="C1396" s="30"/>
      <c r="D1396" s="30"/>
      <c r="E1396" s="30"/>
      <c r="F1396" s="30"/>
      <c r="G1396" s="30"/>
    </row>
    <row r="1397">
      <c r="A1397" s="30"/>
      <c r="B1397" s="30"/>
      <c r="C1397" s="30"/>
      <c r="D1397" s="30"/>
      <c r="E1397" s="30"/>
      <c r="F1397" s="30"/>
      <c r="G1397" s="30"/>
    </row>
    <row r="1398">
      <c r="A1398" s="30"/>
      <c r="B1398" s="30"/>
      <c r="C1398" s="30"/>
      <c r="D1398" s="30"/>
      <c r="E1398" s="30"/>
      <c r="F1398" s="30"/>
      <c r="G1398" s="30"/>
    </row>
    <row r="1399">
      <c r="A1399" s="30"/>
      <c r="B1399" s="30"/>
      <c r="C1399" s="30"/>
      <c r="D1399" s="30"/>
      <c r="E1399" s="30"/>
      <c r="F1399" s="30"/>
      <c r="G1399" s="30"/>
    </row>
    <row r="1400">
      <c r="A1400" s="30"/>
      <c r="B1400" s="30"/>
      <c r="C1400" s="30"/>
      <c r="D1400" s="30"/>
      <c r="E1400" s="30"/>
      <c r="F1400" s="30"/>
      <c r="G1400" s="30"/>
    </row>
    <row r="1401">
      <c r="A1401" s="30"/>
      <c r="B1401" s="30"/>
      <c r="C1401" s="30"/>
      <c r="D1401" s="30"/>
      <c r="E1401" s="30"/>
      <c r="F1401" s="30"/>
      <c r="G1401" s="30"/>
    </row>
    <row r="1402">
      <c r="A1402" s="30"/>
      <c r="B1402" s="30"/>
      <c r="C1402" s="30"/>
      <c r="D1402" s="30"/>
      <c r="E1402" s="30"/>
      <c r="F1402" s="30"/>
      <c r="G1402" s="30"/>
    </row>
    <row r="1403">
      <c r="A1403" s="30"/>
      <c r="B1403" s="30"/>
      <c r="C1403" s="30"/>
      <c r="D1403" s="30"/>
      <c r="E1403" s="30"/>
      <c r="F1403" s="30"/>
      <c r="G1403" s="30"/>
    </row>
    <row r="1404">
      <c r="A1404" s="30"/>
      <c r="B1404" s="30"/>
      <c r="C1404" s="30"/>
      <c r="D1404" s="30"/>
      <c r="E1404" s="30"/>
      <c r="F1404" s="30"/>
      <c r="G1404" s="30"/>
    </row>
    <row r="1405">
      <c r="A1405" s="30"/>
      <c r="B1405" s="30"/>
      <c r="C1405" s="30"/>
      <c r="D1405" s="30"/>
      <c r="E1405" s="30"/>
      <c r="F1405" s="30"/>
      <c r="G1405" s="30"/>
    </row>
    <row r="1406">
      <c r="A1406" s="30"/>
      <c r="B1406" s="30"/>
      <c r="C1406" s="30"/>
      <c r="D1406" s="30"/>
      <c r="E1406" s="30"/>
      <c r="F1406" s="30"/>
      <c r="G1406" s="30"/>
    </row>
    <row r="1407">
      <c r="A1407" s="30"/>
      <c r="B1407" s="30"/>
      <c r="C1407" s="30"/>
      <c r="D1407" s="30"/>
      <c r="E1407" s="30"/>
      <c r="F1407" s="30"/>
      <c r="G1407" s="30"/>
    </row>
    <row r="1408">
      <c r="A1408" s="30"/>
      <c r="B1408" s="30"/>
      <c r="C1408" s="30"/>
      <c r="D1408" s="30"/>
      <c r="E1408" s="30"/>
      <c r="F1408" s="30"/>
      <c r="G1408" s="30"/>
    </row>
    <row r="1409">
      <c r="A1409" s="30"/>
      <c r="B1409" s="30"/>
      <c r="C1409" s="30"/>
      <c r="D1409" s="30"/>
      <c r="E1409" s="30"/>
      <c r="F1409" s="30"/>
      <c r="G1409" s="30"/>
    </row>
    <row r="1410">
      <c r="A1410" s="30"/>
      <c r="B1410" s="30"/>
      <c r="C1410" s="30"/>
      <c r="D1410" s="30"/>
      <c r="E1410" s="30"/>
      <c r="F1410" s="30"/>
      <c r="G1410" s="30"/>
    </row>
    <row r="1411">
      <c r="A1411" s="30"/>
      <c r="B1411" s="30"/>
      <c r="C1411" s="30"/>
      <c r="D1411" s="30"/>
      <c r="E1411" s="30"/>
      <c r="F1411" s="30"/>
      <c r="G1411" s="30"/>
    </row>
    <row r="1412">
      <c r="A1412" s="30"/>
      <c r="B1412" s="30"/>
      <c r="C1412" s="30"/>
      <c r="D1412" s="30"/>
      <c r="E1412" s="30"/>
      <c r="F1412" s="30"/>
      <c r="G1412" s="30"/>
    </row>
    <row r="1413">
      <c r="A1413" s="30"/>
      <c r="B1413" s="30"/>
      <c r="C1413" s="30"/>
      <c r="D1413" s="30"/>
      <c r="E1413" s="30"/>
      <c r="F1413" s="30"/>
      <c r="G1413" s="30"/>
    </row>
    <row r="1414">
      <c r="A1414" s="30"/>
      <c r="B1414" s="30"/>
      <c r="C1414" s="30"/>
      <c r="D1414" s="30"/>
      <c r="E1414" s="30"/>
      <c r="F1414" s="30"/>
      <c r="G1414" s="30"/>
    </row>
    <row r="1415">
      <c r="A1415" s="30"/>
      <c r="B1415" s="30"/>
      <c r="C1415" s="30"/>
      <c r="D1415" s="30"/>
      <c r="E1415" s="30"/>
      <c r="F1415" s="30"/>
      <c r="G1415" s="30"/>
    </row>
    <row r="1416">
      <c r="A1416" s="30"/>
      <c r="B1416" s="30"/>
      <c r="C1416" s="30"/>
      <c r="D1416" s="30"/>
      <c r="E1416" s="30"/>
      <c r="F1416" s="30"/>
      <c r="G1416" s="30"/>
    </row>
    <row r="1417">
      <c r="A1417" s="30"/>
      <c r="B1417" s="30"/>
      <c r="C1417" s="30"/>
      <c r="D1417" s="30"/>
      <c r="E1417" s="30"/>
      <c r="F1417" s="30"/>
      <c r="G1417" s="30"/>
    </row>
    <row r="1418">
      <c r="A1418" s="30"/>
      <c r="B1418" s="30"/>
      <c r="C1418" s="30"/>
      <c r="D1418" s="30"/>
      <c r="E1418" s="30"/>
      <c r="F1418" s="30"/>
      <c r="G1418" s="30"/>
    </row>
    <row r="1419">
      <c r="A1419" s="30"/>
      <c r="B1419" s="30"/>
      <c r="C1419" s="30"/>
      <c r="D1419" s="30"/>
      <c r="E1419" s="30"/>
      <c r="F1419" s="30"/>
      <c r="G1419" s="30"/>
    </row>
    <row r="1420">
      <c r="A1420" s="30"/>
      <c r="B1420" s="30"/>
      <c r="C1420" s="30"/>
      <c r="D1420" s="30"/>
      <c r="E1420" s="30"/>
      <c r="F1420" s="30"/>
      <c r="G1420" s="30"/>
    </row>
    <row r="1421">
      <c r="A1421" s="30"/>
      <c r="B1421" s="30"/>
      <c r="C1421" s="30"/>
      <c r="D1421" s="30"/>
      <c r="E1421" s="30"/>
      <c r="F1421" s="30"/>
      <c r="G1421" s="30"/>
    </row>
    <row r="1422">
      <c r="A1422" s="30"/>
      <c r="B1422" s="30"/>
      <c r="C1422" s="30"/>
      <c r="D1422" s="30"/>
      <c r="E1422" s="30"/>
      <c r="F1422" s="30"/>
      <c r="G1422" s="30"/>
    </row>
    <row r="1423">
      <c r="A1423" s="30"/>
      <c r="B1423" s="30"/>
      <c r="C1423" s="30"/>
      <c r="D1423" s="30"/>
      <c r="E1423" s="30"/>
      <c r="F1423" s="30"/>
      <c r="G1423" s="30"/>
    </row>
    <row r="1424">
      <c r="A1424" s="30"/>
      <c r="B1424" s="30"/>
      <c r="C1424" s="30"/>
      <c r="D1424" s="30"/>
      <c r="E1424" s="30"/>
      <c r="F1424" s="30"/>
      <c r="G1424" s="30"/>
    </row>
    <row r="1425">
      <c r="A1425" s="30"/>
      <c r="B1425" s="30"/>
      <c r="C1425" s="30"/>
      <c r="D1425" s="30"/>
      <c r="E1425" s="30"/>
      <c r="F1425" s="30"/>
      <c r="G1425" s="30"/>
    </row>
    <row r="1426">
      <c r="A1426" s="30"/>
      <c r="B1426" s="30"/>
      <c r="C1426" s="30"/>
      <c r="D1426" s="30"/>
      <c r="E1426" s="30"/>
      <c r="F1426" s="30"/>
      <c r="G1426" s="30"/>
    </row>
    <row r="1427">
      <c r="A1427" s="30"/>
      <c r="B1427" s="30"/>
      <c r="C1427" s="30"/>
      <c r="D1427" s="30"/>
      <c r="E1427" s="30"/>
      <c r="F1427" s="30"/>
      <c r="G1427" s="30"/>
    </row>
    <row r="1428">
      <c r="A1428" s="30"/>
      <c r="B1428" s="30"/>
      <c r="C1428" s="30"/>
      <c r="D1428" s="30"/>
      <c r="E1428" s="30"/>
      <c r="F1428" s="30"/>
      <c r="G1428" s="30"/>
    </row>
    <row r="1429">
      <c r="A1429" s="30"/>
      <c r="B1429" s="30"/>
      <c r="C1429" s="30"/>
      <c r="D1429" s="30"/>
      <c r="E1429" s="30"/>
      <c r="F1429" s="30"/>
      <c r="G1429" s="30"/>
    </row>
    <row r="1430">
      <c r="A1430" s="30"/>
      <c r="B1430" s="30"/>
      <c r="C1430" s="30"/>
      <c r="D1430" s="30"/>
      <c r="E1430" s="30"/>
      <c r="F1430" s="30"/>
      <c r="G1430" s="30"/>
    </row>
    <row r="1431">
      <c r="A1431" s="30"/>
      <c r="B1431" s="30"/>
      <c r="C1431" s="30"/>
      <c r="D1431" s="30"/>
      <c r="E1431" s="30"/>
      <c r="F1431" s="30"/>
      <c r="G1431" s="30"/>
    </row>
    <row r="1432">
      <c r="A1432" s="30"/>
      <c r="B1432" s="30"/>
      <c r="C1432" s="30"/>
      <c r="D1432" s="30"/>
      <c r="E1432" s="30"/>
      <c r="F1432" s="30"/>
      <c r="G1432" s="30"/>
    </row>
    <row r="1433">
      <c r="A1433" s="30"/>
      <c r="B1433" s="30"/>
      <c r="C1433" s="30"/>
      <c r="D1433" s="30"/>
      <c r="E1433" s="30"/>
      <c r="F1433" s="30"/>
      <c r="G1433" s="30"/>
    </row>
    <row r="1434">
      <c r="A1434" s="30"/>
      <c r="B1434" s="30"/>
      <c r="C1434" s="30"/>
      <c r="D1434" s="30"/>
      <c r="E1434" s="30"/>
      <c r="F1434" s="30"/>
      <c r="G1434" s="30"/>
    </row>
    <row r="1435">
      <c r="A1435" s="30"/>
      <c r="B1435" s="30"/>
      <c r="C1435" s="30"/>
      <c r="D1435" s="30"/>
      <c r="E1435" s="30"/>
      <c r="F1435" s="30"/>
      <c r="G1435" s="30"/>
    </row>
    <row r="1436">
      <c r="A1436" s="30"/>
      <c r="B1436" s="30"/>
      <c r="C1436" s="30"/>
      <c r="D1436" s="30"/>
      <c r="E1436" s="30"/>
      <c r="F1436" s="30"/>
      <c r="G1436" s="30"/>
    </row>
    <row r="1437">
      <c r="A1437" s="30"/>
      <c r="B1437" s="30"/>
      <c r="C1437" s="30"/>
      <c r="D1437" s="30"/>
      <c r="E1437" s="30"/>
      <c r="F1437" s="30"/>
      <c r="G1437" s="30"/>
    </row>
    <row r="1438">
      <c r="A1438" s="30"/>
      <c r="B1438" s="30"/>
      <c r="C1438" s="30"/>
      <c r="D1438" s="30"/>
      <c r="E1438" s="30"/>
      <c r="F1438" s="30"/>
      <c r="G1438" s="30"/>
    </row>
    <row r="1439">
      <c r="A1439" s="30"/>
      <c r="B1439" s="30"/>
      <c r="C1439" s="30"/>
      <c r="D1439" s="30"/>
      <c r="E1439" s="30"/>
      <c r="F1439" s="30"/>
      <c r="G1439" s="30"/>
    </row>
    <row r="1440">
      <c r="A1440" s="30"/>
      <c r="B1440" s="30"/>
      <c r="C1440" s="30"/>
      <c r="D1440" s="30"/>
      <c r="E1440" s="30"/>
      <c r="F1440" s="30"/>
      <c r="G1440" s="30"/>
    </row>
    <row r="1441">
      <c r="A1441" s="30"/>
      <c r="B1441" s="30"/>
      <c r="C1441" s="30"/>
      <c r="D1441" s="30"/>
      <c r="E1441" s="30"/>
      <c r="F1441" s="30"/>
      <c r="G1441" s="30"/>
    </row>
    <row r="1442">
      <c r="A1442" s="30"/>
      <c r="B1442" s="30"/>
      <c r="C1442" s="30"/>
      <c r="D1442" s="30"/>
      <c r="E1442" s="30"/>
      <c r="F1442" s="30"/>
      <c r="G1442" s="30"/>
    </row>
    <row r="1443">
      <c r="A1443" s="30"/>
      <c r="B1443" s="30"/>
      <c r="C1443" s="30"/>
      <c r="D1443" s="30"/>
      <c r="E1443" s="30"/>
      <c r="F1443" s="30"/>
      <c r="G1443" s="30"/>
    </row>
    <row r="1444">
      <c r="A1444" s="30"/>
      <c r="B1444" s="30"/>
      <c r="C1444" s="30"/>
      <c r="D1444" s="30"/>
      <c r="E1444" s="30"/>
      <c r="F1444" s="30"/>
      <c r="G1444" s="30"/>
    </row>
    <row r="1445">
      <c r="A1445" s="30"/>
      <c r="B1445" s="30"/>
      <c r="C1445" s="30"/>
      <c r="D1445" s="30"/>
      <c r="E1445" s="30"/>
      <c r="F1445" s="30"/>
      <c r="G1445" s="30"/>
    </row>
    <row r="1446">
      <c r="A1446" s="30"/>
      <c r="B1446" s="30"/>
      <c r="C1446" s="30"/>
      <c r="D1446" s="30"/>
      <c r="E1446" s="30"/>
      <c r="F1446" s="30"/>
      <c r="G1446" s="30"/>
    </row>
    <row r="1447">
      <c r="A1447" s="30"/>
      <c r="B1447" s="30"/>
      <c r="C1447" s="30"/>
      <c r="D1447" s="30"/>
      <c r="E1447" s="30"/>
      <c r="F1447" s="30"/>
      <c r="G1447" s="30"/>
    </row>
    <row r="1448">
      <c r="A1448" s="30"/>
      <c r="B1448" s="30"/>
      <c r="C1448" s="30"/>
      <c r="D1448" s="30"/>
      <c r="E1448" s="30"/>
      <c r="F1448" s="30"/>
      <c r="G1448" s="30"/>
    </row>
    <row r="1449">
      <c r="A1449" s="30"/>
      <c r="B1449" s="30"/>
      <c r="C1449" s="30"/>
      <c r="D1449" s="30"/>
      <c r="E1449" s="30"/>
      <c r="F1449" s="30"/>
      <c r="G1449" s="30"/>
    </row>
    <row r="1450">
      <c r="A1450" s="30"/>
      <c r="B1450" s="30"/>
      <c r="C1450" s="30"/>
      <c r="D1450" s="30"/>
      <c r="E1450" s="30"/>
      <c r="F1450" s="30"/>
      <c r="G1450" s="30"/>
    </row>
    <row r="1451">
      <c r="A1451" s="30"/>
      <c r="B1451" s="30"/>
      <c r="C1451" s="30"/>
      <c r="D1451" s="30"/>
      <c r="E1451" s="30"/>
      <c r="F1451" s="30"/>
      <c r="G1451" s="30"/>
    </row>
    <row r="1452">
      <c r="A1452" s="30"/>
      <c r="B1452" s="30"/>
      <c r="C1452" s="30"/>
      <c r="D1452" s="30"/>
      <c r="E1452" s="30"/>
      <c r="F1452" s="30"/>
      <c r="G1452" s="30"/>
    </row>
    <row r="1453">
      <c r="A1453" s="30"/>
      <c r="B1453" s="30"/>
      <c r="C1453" s="30"/>
      <c r="D1453" s="30"/>
      <c r="E1453" s="30"/>
      <c r="F1453" s="30"/>
      <c r="G1453" s="30"/>
    </row>
    <row r="1454">
      <c r="A1454" s="30"/>
      <c r="B1454" s="30"/>
      <c r="C1454" s="30"/>
      <c r="D1454" s="30"/>
      <c r="E1454" s="30"/>
      <c r="F1454" s="30"/>
      <c r="G1454" s="30"/>
    </row>
    <row r="1455">
      <c r="A1455" s="30"/>
      <c r="B1455" s="30"/>
      <c r="C1455" s="30"/>
      <c r="D1455" s="30"/>
      <c r="E1455" s="30"/>
      <c r="F1455" s="30"/>
      <c r="G1455" s="30"/>
    </row>
    <row r="1456">
      <c r="A1456" s="30"/>
      <c r="B1456" s="30"/>
      <c r="C1456" s="30"/>
      <c r="D1456" s="30"/>
      <c r="E1456" s="30"/>
      <c r="F1456" s="30"/>
      <c r="G1456" s="30"/>
    </row>
    <row r="1457">
      <c r="A1457" s="30"/>
      <c r="B1457" s="30"/>
      <c r="C1457" s="30"/>
      <c r="D1457" s="30"/>
      <c r="E1457" s="30"/>
      <c r="F1457" s="30"/>
      <c r="G1457" s="30"/>
    </row>
    <row r="1458">
      <c r="A1458" s="30"/>
      <c r="B1458" s="30"/>
      <c r="C1458" s="30"/>
      <c r="D1458" s="30"/>
      <c r="E1458" s="30"/>
      <c r="F1458" s="30"/>
      <c r="G1458" s="30"/>
    </row>
    <row r="1459">
      <c r="A1459" s="30"/>
      <c r="B1459" s="30"/>
      <c r="C1459" s="30"/>
      <c r="D1459" s="30"/>
      <c r="E1459" s="30"/>
      <c r="F1459" s="30"/>
      <c r="G1459" s="30"/>
    </row>
    <row r="1460">
      <c r="A1460" s="30"/>
      <c r="B1460" s="30"/>
      <c r="C1460" s="30"/>
      <c r="D1460" s="30"/>
      <c r="E1460" s="30"/>
      <c r="F1460" s="30"/>
      <c r="G1460" s="30"/>
    </row>
    <row r="1461">
      <c r="A1461" s="30"/>
      <c r="B1461" s="30"/>
      <c r="C1461" s="30"/>
      <c r="D1461" s="30"/>
      <c r="E1461" s="30"/>
      <c r="F1461" s="30"/>
      <c r="G1461" s="30"/>
    </row>
    <row r="1462">
      <c r="A1462" s="30"/>
      <c r="B1462" s="30"/>
      <c r="C1462" s="30"/>
      <c r="D1462" s="30"/>
      <c r="E1462" s="30"/>
      <c r="F1462" s="30"/>
      <c r="G1462" s="30"/>
    </row>
    <row r="1463">
      <c r="A1463" s="30"/>
      <c r="B1463" s="30"/>
      <c r="C1463" s="30"/>
      <c r="D1463" s="30"/>
      <c r="E1463" s="30"/>
      <c r="F1463" s="30"/>
      <c r="G1463" s="30"/>
    </row>
    <row r="1464">
      <c r="A1464" s="30"/>
      <c r="B1464" s="30"/>
      <c r="C1464" s="30"/>
      <c r="D1464" s="30"/>
      <c r="E1464" s="30"/>
      <c r="F1464" s="30"/>
      <c r="G1464" s="30"/>
    </row>
    <row r="1465">
      <c r="A1465" s="30"/>
      <c r="B1465" s="30"/>
      <c r="C1465" s="30"/>
      <c r="D1465" s="30"/>
      <c r="E1465" s="30"/>
      <c r="F1465" s="30"/>
      <c r="G1465" s="30"/>
    </row>
    <row r="1466">
      <c r="A1466" s="30"/>
      <c r="B1466" s="30"/>
      <c r="C1466" s="30"/>
      <c r="D1466" s="30"/>
      <c r="E1466" s="30"/>
      <c r="F1466" s="30"/>
      <c r="G1466" s="30"/>
    </row>
    <row r="1467">
      <c r="A1467" s="30"/>
      <c r="B1467" s="30"/>
      <c r="C1467" s="30"/>
      <c r="D1467" s="30"/>
      <c r="E1467" s="30"/>
      <c r="F1467" s="30"/>
      <c r="G1467" s="30"/>
    </row>
    <row r="1468">
      <c r="A1468" s="30"/>
      <c r="B1468" s="30"/>
      <c r="C1468" s="30"/>
      <c r="D1468" s="30"/>
      <c r="E1468" s="30"/>
      <c r="F1468" s="30"/>
      <c r="G1468" s="30"/>
    </row>
    <row r="1469">
      <c r="A1469" s="30"/>
      <c r="B1469" s="30"/>
      <c r="C1469" s="30"/>
      <c r="D1469" s="30"/>
      <c r="E1469" s="30"/>
      <c r="F1469" s="30"/>
      <c r="G1469" s="30"/>
    </row>
    <row r="1470">
      <c r="A1470" s="30"/>
      <c r="B1470" s="30"/>
      <c r="C1470" s="30"/>
      <c r="D1470" s="30"/>
      <c r="E1470" s="30"/>
      <c r="F1470" s="30"/>
      <c r="G1470" s="30"/>
    </row>
    <row r="1471">
      <c r="A1471" s="30"/>
      <c r="B1471" s="30"/>
      <c r="C1471" s="30"/>
      <c r="D1471" s="30"/>
      <c r="E1471" s="30"/>
      <c r="F1471" s="30"/>
      <c r="G1471" s="30"/>
    </row>
    <row r="1472">
      <c r="A1472" s="30"/>
      <c r="B1472" s="30"/>
      <c r="C1472" s="30"/>
      <c r="D1472" s="30"/>
      <c r="E1472" s="30"/>
      <c r="F1472" s="30"/>
      <c r="G1472" s="30"/>
    </row>
    <row r="1473">
      <c r="A1473" s="30"/>
      <c r="B1473" s="30"/>
      <c r="C1473" s="30"/>
      <c r="D1473" s="30"/>
      <c r="E1473" s="30"/>
      <c r="F1473" s="30"/>
      <c r="G1473" s="30"/>
    </row>
    <row r="1474">
      <c r="A1474" s="30"/>
      <c r="B1474" s="30"/>
      <c r="C1474" s="30"/>
      <c r="D1474" s="30"/>
      <c r="E1474" s="30"/>
      <c r="F1474" s="30"/>
      <c r="G1474" s="30"/>
    </row>
    <row r="1475">
      <c r="A1475" s="30"/>
      <c r="B1475" s="30"/>
      <c r="C1475" s="30"/>
      <c r="D1475" s="30"/>
      <c r="E1475" s="30"/>
      <c r="F1475" s="30"/>
      <c r="G1475" s="30"/>
    </row>
    <row r="1476">
      <c r="A1476" s="30"/>
      <c r="B1476" s="30"/>
      <c r="C1476" s="30"/>
      <c r="D1476" s="30"/>
      <c r="E1476" s="30"/>
      <c r="F1476" s="30"/>
      <c r="G1476" s="30"/>
    </row>
    <row r="1477">
      <c r="A1477" s="30"/>
      <c r="B1477" s="30"/>
      <c r="C1477" s="30"/>
      <c r="D1477" s="30"/>
      <c r="E1477" s="30"/>
      <c r="F1477" s="30"/>
      <c r="G1477" s="30"/>
    </row>
    <row r="1478">
      <c r="A1478" s="30"/>
      <c r="B1478" s="30"/>
      <c r="C1478" s="30"/>
      <c r="D1478" s="30"/>
      <c r="E1478" s="30"/>
      <c r="F1478" s="30"/>
      <c r="G1478" s="30"/>
    </row>
    <row r="1479">
      <c r="A1479" s="30"/>
      <c r="B1479" s="30"/>
      <c r="C1479" s="30"/>
      <c r="D1479" s="30"/>
      <c r="E1479" s="30"/>
      <c r="F1479" s="30"/>
      <c r="G1479" s="30"/>
    </row>
    <row r="1480">
      <c r="A1480" s="30"/>
      <c r="B1480" s="30"/>
      <c r="C1480" s="30"/>
      <c r="D1480" s="30"/>
      <c r="E1480" s="30"/>
      <c r="F1480" s="30"/>
      <c r="G1480" s="30"/>
    </row>
    <row r="1481">
      <c r="A1481" s="30"/>
      <c r="B1481" s="30"/>
      <c r="C1481" s="30"/>
      <c r="D1481" s="30"/>
      <c r="E1481" s="30"/>
      <c r="F1481" s="30"/>
      <c r="G1481" s="30"/>
    </row>
    <row r="1482">
      <c r="A1482" s="30"/>
      <c r="B1482" s="30"/>
      <c r="C1482" s="30"/>
      <c r="D1482" s="30"/>
      <c r="E1482" s="30"/>
      <c r="F1482" s="30"/>
      <c r="G1482" s="30"/>
    </row>
    <row r="1483">
      <c r="A1483" s="30"/>
      <c r="B1483" s="30"/>
      <c r="C1483" s="30"/>
      <c r="D1483" s="30"/>
      <c r="E1483" s="30"/>
      <c r="F1483" s="30"/>
      <c r="G1483" s="30"/>
    </row>
    <row r="1484">
      <c r="A1484" s="30"/>
      <c r="B1484" s="30"/>
      <c r="C1484" s="30"/>
      <c r="D1484" s="30"/>
      <c r="E1484" s="30"/>
      <c r="F1484" s="30"/>
      <c r="G1484" s="30"/>
    </row>
    <row r="1485">
      <c r="A1485" s="30"/>
      <c r="B1485" s="30"/>
      <c r="C1485" s="30"/>
      <c r="D1485" s="30"/>
      <c r="E1485" s="30"/>
      <c r="F1485" s="30"/>
      <c r="G1485" s="30"/>
    </row>
    <row r="1486">
      <c r="A1486" s="30"/>
      <c r="B1486" s="30"/>
      <c r="C1486" s="30"/>
      <c r="D1486" s="30"/>
      <c r="E1486" s="30"/>
      <c r="F1486" s="30"/>
      <c r="G1486" s="30"/>
    </row>
    <row r="1487">
      <c r="A1487" s="30"/>
      <c r="B1487" s="30"/>
      <c r="C1487" s="30"/>
      <c r="D1487" s="30"/>
      <c r="E1487" s="30"/>
      <c r="F1487" s="30"/>
      <c r="G1487" s="30"/>
    </row>
    <row r="1488">
      <c r="A1488" s="30"/>
      <c r="B1488" s="30"/>
      <c r="C1488" s="30"/>
      <c r="D1488" s="30"/>
      <c r="E1488" s="30"/>
      <c r="F1488" s="30"/>
      <c r="G1488" s="30"/>
    </row>
    <row r="1489">
      <c r="A1489" s="30"/>
      <c r="B1489" s="30"/>
      <c r="C1489" s="30"/>
      <c r="D1489" s="30"/>
      <c r="E1489" s="30"/>
      <c r="F1489" s="30"/>
      <c r="G1489" s="30"/>
    </row>
    <row r="1490">
      <c r="A1490" s="30"/>
      <c r="B1490" s="30"/>
      <c r="C1490" s="30"/>
      <c r="D1490" s="30"/>
      <c r="E1490" s="30"/>
      <c r="F1490" s="30"/>
      <c r="G1490" s="30"/>
    </row>
    <row r="1491">
      <c r="A1491" s="30"/>
      <c r="B1491" s="30"/>
      <c r="C1491" s="30"/>
      <c r="D1491" s="30"/>
      <c r="E1491" s="30"/>
      <c r="F1491" s="30"/>
      <c r="G1491" s="30"/>
    </row>
    <row r="1492">
      <c r="A1492" s="30"/>
      <c r="B1492" s="30"/>
      <c r="C1492" s="30"/>
      <c r="D1492" s="30"/>
      <c r="E1492" s="30"/>
      <c r="F1492" s="30"/>
      <c r="G1492" s="30"/>
    </row>
    <row r="1493">
      <c r="A1493" s="30"/>
      <c r="B1493" s="30"/>
      <c r="C1493" s="30"/>
      <c r="D1493" s="30"/>
      <c r="E1493" s="30"/>
      <c r="F1493" s="30"/>
      <c r="G1493" s="30"/>
    </row>
    <row r="1494">
      <c r="A1494" s="30"/>
      <c r="B1494" s="30"/>
      <c r="C1494" s="30"/>
      <c r="D1494" s="30"/>
      <c r="E1494" s="30"/>
      <c r="F1494" s="30"/>
      <c r="G1494" s="30"/>
    </row>
    <row r="1495">
      <c r="A1495" s="30"/>
      <c r="B1495" s="30"/>
      <c r="C1495" s="30"/>
      <c r="D1495" s="30"/>
      <c r="E1495" s="30"/>
      <c r="F1495" s="30"/>
      <c r="G1495" s="30"/>
    </row>
    <row r="1496">
      <c r="A1496" s="30"/>
      <c r="B1496" s="30"/>
      <c r="C1496" s="30"/>
      <c r="D1496" s="30"/>
      <c r="E1496" s="30"/>
      <c r="F1496" s="30"/>
      <c r="G1496" s="30"/>
    </row>
    <row r="1497">
      <c r="A1497" s="30"/>
      <c r="B1497" s="30"/>
      <c r="C1497" s="30"/>
      <c r="D1497" s="30"/>
      <c r="E1497" s="30"/>
      <c r="F1497" s="30"/>
      <c r="G1497" s="30"/>
    </row>
    <row r="1498">
      <c r="A1498" s="30"/>
      <c r="B1498" s="30"/>
      <c r="C1498" s="30"/>
      <c r="D1498" s="30"/>
      <c r="E1498" s="30"/>
      <c r="F1498" s="30"/>
      <c r="G1498" s="30"/>
    </row>
    <row r="1499">
      <c r="A1499" s="30"/>
      <c r="B1499" s="30"/>
      <c r="C1499" s="30"/>
      <c r="D1499" s="30"/>
      <c r="E1499" s="30"/>
      <c r="F1499" s="30"/>
      <c r="G1499" s="30"/>
    </row>
    <row r="1500">
      <c r="A1500" s="30"/>
      <c r="B1500" s="30"/>
      <c r="C1500" s="30"/>
      <c r="D1500" s="30"/>
      <c r="E1500" s="30"/>
      <c r="F1500" s="30"/>
      <c r="G1500" s="30"/>
    </row>
    <row r="1501">
      <c r="A1501" s="30"/>
      <c r="B1501" s="30"/>
      <c r="C1501" s="30"/>
      <c r="D1501" s="30"/>
      <c r="E1501" s="30"/>
      <c r="F1501" s="30"/>
      <c r="G1501" s="30"/>
    </row>
    <row r="1502">
      <c r="A1502" s="30"/>
      <c r="B1502" s="30"/>
      <c r="C1502" s="30"/>
      <c r="D1502" s="30"/>
      <c r="E1502" s="30"/>
      <c r="F1502" s="30"/>
      <c r="G1502" s="30"/>
    </row>
    <row r="1503">
      <c r="A1503" s="30"/>
      <c r="B1503" s="30"/>
      <c r="C1503" s="30"/>
      <c r="D1503" s="30"/>
      <c r="E1503" s="30"/>
      <c r="F1503" s="30"/>
      <c r="G1503" s="30"/>
    </row>
    <row r="1504">
      <c r="A1504" s="30"/>
      <c r="B1504" s="30"/>
      <c r="C1504" s="30"/>
      <c r="D1504" s="30"/>
      <c r="E1504" s="30"/>
      <c r="F1504" s="30"/>
      <c r="G1504" s="30"/>
    </row>
    <row r="1505">
      <c r="A1505" s="30"/>
      <c r="B1505" s="30"/>
      <c r="C1505" s="30"/>
      <c r="D1505" s="30"/>
      <c r="E1505" s="30"/>
      <c r="F1505" s="30"/>
      <c r="G1505" s="30"/>
    </row>
    <row r="1506">
      <c r="A1506" s="30"/>
      <c r="B1506" s="30"/>
      <c r="C1506" s="30"/>
      <c r="D1506" s="30"/>
      <c r="E1506" s="30"/>
      <c r="F1506" s="30"/>
      <c r="G1506" s="30"/>
    </row>
    <row r="1507">
      <c r="A1507" s="30"/>
      <c r="B1507" s="30"/>
      <c r="C1507" s="30"/>
      <c r="D1507" s="30"/>
      <c r="E1507" s="30"/>
      <c r="F1507" s="30"/>
      <c r="G1507" s="30"/>
    </row>
    <row r="1508">
      <c r="A1508" s="30"/>
      <c r="B1508" s="30"/>
      <c r="C1508" s="30"/>
      <c r="D1508" s="30"/>
      <c r="E1508" s="30"/>
      <c r="F1508" s="30"/>
      <c r="G1508" s="30"/>
    </row>
    <row r="1509">
      <c r="A1509" s="30"/>
      <c r="B1509" s="30"/>
      <c r="C1509" s="30"/>
      <c r="D1509" s="30"/>
      <c r="E1509" s="30"/>
      <c r="F1509" s="30"/>
      <c r="G1509" s="30"/>
    </row>
    <row r="1510">
      <c r="A1510" s="30"/>
      <c r="B1510" s="30"/>
      <c r="C1510" s="30"/>
      <c r="D1510" s="30"/>
      <c r="E1510" s="30"/>
      <c r="F1510" s="30"/>
      <c r="G1510" s="30"/>
    </row>
    <row r="1511">
      <c r="A1511" s="30"/>
      <c r="B1511" s="30"/>
      <c r="C1511" s="30"/>
      <c r="D1511" s="30"/>
      <c r="E1511" s="30"/>
      <c r="F1511" s="30"/>
      <c r="G1511" s="30"/>
    </row>
    <row r="1512">
      <c r="A1512" s="30"/>
      <c r="B1512" s="30"/>
      <c r="C1512" s="30"/>
      <c r="D1512" s="30"/>
      <c r="E1512" s="30"/>
      <c r="F1512" s="30"/>
      <c r="G1512" s="30"/>
    </row>
    <row r="1513">
      <c r="A1513" s="30"/>
      <c r="B1513" s="30"/>
      <c r="C1513" s="30"/>
      <c r="D1513" s="30"/>
      <c r="E1513" s="30"/>
      <c r="F1513" s="30"/>
      <c r="G1513" s="30"/>
    </row>
    <row r="1514">
      <c r="A1514" s="30"/>
      <c r="B1514" s="30"/>
      <c r="C1514" s="30"/>
      <c r="D1514" s="30"/>
      <c r="E1514" s="30"/>
      <c r="F1514" s="30"/>
      <c r="G1514" s="30"/>
    </row>
    <row r="1515">
      <c r="A1515" s="30"/>
      <c r="B1515" s="30"/>
      <c r="C1515" s="30"/>
      <c r="D1515" s="30"/>
      <c r="E1515" s="30"/>
      <c r="F1515" s="30"/>
      <c r="G1515" s="30"/>
    </row>
    <row r="1516">
      <c r="A1516" s="30"/>
      <c r="B1516" s="30"/>
      <c r="C1516" s="30"/>
      <c r="D1516" s="30"/>
      <c r="E1516" s="30"/>
      <c r="F1516" s="30"/>
      <c r="G1516" s="30"/>
    </row>
    <row r="1517">
      <c r="A1517" s="30"/>
      <c r="B1517" s="30"/>
      <c r="C1517" s="30"/>
      <c r="D1517" s="30"/>
      <c r="E1517" s="30"/>
      <c r="F1517" s="30"/>
      <c r="G1517" s="30"/>
    </row>
    <row r="1518">
      <c r="A1518" s="30"/>
      <c r="B1518" s="30"/>
      <c r="C1518" s="30"/>
      <c r="D1518" s="30"/>
      <c r="E1518" s="30"/>
      <c r="F1518" s="30"/>
      <c r="G1518" s="30"/>
    </row>
    <row r="1519">
      <c r="A1519" s="30"/>
      <c r="B1519" s="30"/>
      <c r="C1519" s="30"/>
      <c r="D1519" s="30"/>
      <c r="E1519" s="30"/>
      <c r="F1519" s="30"/>
      <c r="G1519" s="30"/>
    </row>
    <row r="1520">
      <c r="A1520" s="30"/>
      <c r="B1520" s="30"/>
      <c r="C1520" s="30"/>
      <c r="D1520" s="30"/>
      <c r="E1520" s="30"/>
      <c r="F1520" s="30"/>
      <c r="G1520" s="30"/>
    </row>
    <row r="1521">
      <c r="A1521" s="30"/>
      <c r="B1521" s="30"/>
      <c r="C1521" s="30"/>
      <c r="D1521" s="30"/>
      <c r="E1521" s="30"/>
      <c r="F1521" s="30"/>
      <c r="G1521" s="30"/>
    </row>
    <row r="1522">
      <c r="A1522" s="30"/>
      <c r="B1522" s="30"/>
      <c r="C1522" s="30"/>
      <c r="D1522" s="30"/>
      <c r="E1522" s="30"/>
      <c r="F1522" s="30"/>
      <c r="G1522" s="30"/>
    </row>
    <row r="1523">
      <c r="A1523" s="30"/>
      <c r="B1523" s="30"/>
      <c r="C1523" s="30"/>
      <c r="D1523" s="30"/>
      <c r="E1523" s="30"/>
      <c r="F1523" s="30"/>
      <c r="G1523" s="30"/>
    </row>
    <row r="1524">
      <c r="A1524" s="30"/>
      <c r="B1524" s="30"/>
      <c r="C1524" s="30"/>
      <c r="D1524" s="30"/>
      <c r="E1524" s="30"/>
      <c r="F1524" s="30"/>
      <c r="G1524" s="30"/>
    </row>
    <row r="1525">
      <c r="A1525" s="30"/>
      <c r="B1525" s="30"/>
      <c r="C1525" s="30"/>
      <c r="D1525" s="30"/>
      <c r="E1525" s="30"/>
      <c r="F1525" s="30"/>
      <c r="G1525" s="30"/>
    </row>
    <row r="1526">
      <c r="A1526" s="30"/>
      <c r="B1526" s="30"/>
      <c r="C1526" s="30"/>
      <c r="D1526" s="30"/>
      <c r="E1526" s="30"/>
      <c r="F1526" s="30"/>
      <c r="G1526" s="30"/>
    </row>
    <row r="1527">
      <c r="A1527" s="30"/>
      <c r="B1527" s="30"/>
      <c r="C1527" s="30"/>
      <c r="D1527" s="30"/>
      <c r="E1527" s="30"/>
      <c r="F1527" s="30"/>
      <c r="G1527" s="30"/>
    </row>
    <row r="1528">
      <c r="A1528" s="30"/>
      <c r="B1528" s="30"/>
      <c r="C1528" s="30"/>
      <c r="D1528" s="30"/>
      <c r="E1528" s="30"/>
      <c r="F1528" s="30"/>
      <c r="G1528" s="30"/>
    </row>
    <row r="1529">
      <c r="A1529" s="30"/>
      <c r="B1529" s="30"/>
      <c r="C1529" s="30"/>
      <c r="D1529" s="30"/>
      <c r="E1529" s="30"/>
      <c r="F1529" s="30"/>
      <c r="G1529" s="30"/>
    </row>
    <row r="1530">
      <c r="A1530" s="30"/>
      <c r="B1530" s="30"/>
      <c r="C1530" s="30"/>
      <c r="D1530" s="30"/>
      <c r="E1530" s="30"/>
      <c r="F1530" s="30"/>
      <c r="G1530" s="30"/>
    </row>
    <row r="1531">
      <c r="A1531" s="30"/>
      <c r="B1531" s="30"/>
      <c r="C1531" s="30"/>
      <c r="D1531" s="30"/>
      <c r="E1531" s="30"/>
      <c r="F1531" s="30"/>
      <c r="G1531" s="30"/>
    </row>
    <row r="1532">
      <c r="A1532" s="30"/>
      <c r="B1532" s="30"/>
      <c r="C1532" s="30"/>
      <c r="D1532" s="30"/>
      <c r="E1532" s="30"/>
      <c r="F1532" s="30"/>
      <c r="G1532" s="30"/>
    </row>
    <row r="1533">
      <c r="A1533" s="30"/>
      <c r="B1533" s="30"/>
      <c r="C1533" s="30"/>
      <c r="D1533" s="30"/>
      <c r="E1533" s="30"/>
      <c r="F1533" s="30"/>
      <c r="G1533" s="30"/>
    </row>
    <row r="1534">
      <c r="A1534" s="30"/>
      <c r="B1534" s="30"/>
      <c r="C1534" s="30"/>
      <c r="D1534" s="30"/>
      <c r="E1534" s="30"/>
      <c r="F1534" s="30"/>
      <c r="G1534" s="30"/>
    </row>
    <row r="1535">
      <c r="A1535" s="30"/>
      <c r="B1535" s="30"/>
      <c r="C1535" s="30"/>
      <c r="D1535" s="30"/>
      <c r="E1535" s="30"/>
      <c r="F1535" s="30"/>
      <c r="G1535" s="30"/>
    </row>
    <row r="1536">
      <c r="A1536" s="30"/>
      <c r="B1536" s="30"/>
      <c r="C1536" s="30"/>
      <c r="D1536" s="30"/>
      <c r="E1536" s="30"/>
      <c r="F1536" s="30"/>
      <c r="G1536" s="30"/>
    </row>
    <row r="1537">
      <c r="A1537" s="30"/>
      <c r="B1537" s="30"/>
      <c r="C1537" s="30"/>
      <c r="D1537" s="30"/>
      <c r="E1537" s="30"/>
      <c r="F1537" s="30"/>
      <c r="G1537" s="30"/>
    </row>
    <row r="1538">
      <c r="A1538" s="30"/>
      <c r="B1538" s="30"/>
      <c r="C1538" s="30"/>
      <c r="D1538" s="30"/>
      <c r="E1538" s="30"/>
      <c r="F1538" s="30"/>
      <c r="G1538" s="30"/>
    </row>
    <row r="1539">
      <c r="A1539" s="30"/>
      <c r="B1539" s="30"/>
      <c r="C1539" s="30"/>
      <c r="D1539" s="30"/>
      <c r="E1539" s="30"/>
      <c r="F1539" s="30"/>
      <c r="G1539" s="30"/>
    </row>
    <row r="1540">
      <c r="A1540" s="30"/>
      <c r="B1540" s="30"/>
      <c r="C1540" s="30"/>
      <c r="D1540" s="30"/>
      <c r="E1540" s="30"/>
      <c r="F1540" s="30"/>
      <c r="G1540" s="30"/>
    </row>
    <row r="1541">
      <c r="A1541" s="30"/>
      <c r="B1541" s="30"/>
      <c r="C1541" s="30"/>
      <c r="D1541" s="30"/>
      <c r="E1541" s="30"/>
      <c r="F1541" s="30"/>
      <c r="G1541" s="30"/>
    </row>
    <row r="1542">
      <c r="A1542" s="30"/>
      <c r="B1542" s="30"/>
      <c r="C1542" s="30"/>
      <c r="D1542" s="30"/>
      <c r="E1542" s="30"/>
      <c r="F1542" s="30"/>
      <c r="G1542" s="30"/>
    </row>
    <row r="1543">
      <c r="A1543" s="30"/>
      <c r="B1543" s="30"/>
      <c r="C1543" s="30"/>
      <c r="D1543" s="30"/>
      <c r="E1543" s="30"/>
      <c r="F1543" s="30"/>
      <c r="G1543" s="30"/>
    </row>
    <row r="1544">
      <c r="A1544" s="30"/>
      <c r="B1544" s="30"/>
      <c r="C1544" s="30"/>
      <c r="D1544" s="30"/>
      <c r="E1544" s="30"/>
      <c r="F1544" s="30"/>
      <c r="G1544" s="30"/>
    </row>
    <row r="1545">
      <c r="A1545" s="30"/>
      <c r="B1545" s="30"/>
      <c r="C1545" s="30"/>
      <c r="D1545" s="30"/>
      <c r="E1545" s="30"/>
      <c r="F1545" s="30"/>
      <c r="G1545" s="30"/>
    </row>
    <row r="1546">
      <c r="A1546" s="30"/>
      <c r="B1546" s="30"/>
      <c r="C1546" s="30"/>
      <c r="D1546" s="30"/>
      <c r="E1546" s="30"/>
      <c r="F1546" s="30"/>
      <c r="G1546" s="30"/>
    </row>
    <row r="1547">
      <c r="A1547" s="30"/>
      <c r="B1547" s="30"/>
      <c r="C1547" s="30"/>
      <c r="D1547" s="30"/>
      <c r="E1547" s="30"/>
      <c r="F1547" s="30"/>
      <c r="G1547" s="30"/>
    </row>
    <row r="1548">
      <c r="A1548" s="30"/>
      <c r="B1548" s="30"/>
      <c r="C1548" s="30"/>
      <c r="D1548" s="30"/>
      <c r="E1548" s="30"/>
      <c r="F1548" s="30"/>
      <c r="G1548" s="30"/>
    </row>
    <row r="1549">
      <c r="A1549" s="30"/>
      <c r="B1549" s="30"/>
      <c r="C1549" s="30"/>
      <c r="D1549" s="30"/>
      <c r="E1549" s="30"/>
      <c r="F1549" s="30"/>
      <c r="G1549" s="30"/>
    </row>
    <row r="1550">
      <c r="A1550" s="30"/>
      <c r="B1550" s="30"/>
      <c r="C1550" s="30"/>
      <c r="D1550" s="30"/>
      <c r="E1550" s="30"/>
      <c r="F1550" s="30"/>
      <c r="G1550" s="30"/>
    </row>
    <row r="1551">
      <c r="A1551" s="30"/>
      <c r="B1551" s="30"/>
      <c r="C1551" s="30"/>
      <c r="D1551" s="30"/>
      <c r="E1551" s="30"/>
      <c r="F1551" s="30"/>
      <c r="G1551" s="30"/>
    </row>
    <row r="1552">
      <c r="A1552" s="30"/>
      <c r="B1552" s="30"/>
      <c r="C1552" s="30"/>
      <c r="D1552" s="30"/>
      <c r="E1552" s="30"/>
      <c r="F1552" s="30"/>
      <c r="G1552" s="30"/>
    </row>
    <row r="1553">
      <c r="A1553" s="30"/>
      <c r="B1553" s="30"/>
      <c r="C1553" s="30"/>
      <c r="D1553" s="30"/>
      <c r="E1553" s="30"/>
      <c r="F1553" s="30"/>
      <c r="G1553" s="30"/>
    </row>
    <row r="1554">
      <c r="A1554" s="30"/>
      <c r="B1554" s="30"/>
      <c r="C1554" s="30"/>
      <c r="D1554" s="30"/>
      <c r="E1554" s="30"/>
      <c r="F1554" s="30"/>
      <c r="G1554" s="30"/>
    </row>
    <row r="1555">
      <c r="A1555" s="30"/>
      <c r="B1555" s="30"/>
      <c r="C1555" s="30"/>
      <c r="D1555" s="30"/>
      <c r="E1555" s="30"/>
      <c r="F1555" s="30"/>
      <c r="G1555" s="30"/>
    </row>
    <row r="1556">
      <c r="A1556" s="30"/>
      <c r="B1556" s="30"/>
      <c r="C1556" s="30"/>
      <c r="D1556" s="30"/>
      <c r="E1556" s="30"/>
      <c r="F1556" s="30"/>
      <c r="G1556" s="30"/>
    </row>
    <row r="1557">
      <c r="A1557" s="30"/>
      <c r="B1557" s="30"/>
      <c r="C1557" s="30"/>
      <c r="D1557" s="30"/>
      <c r="E1557" s="30"/>
      <c r="F1557" s="30"/>
      <c r="G1557" s="30"/>
    </row>
    <row r="1558">
      <c r="A1558" s="30"/>
      <c r="B1558" s="30"/>
      <c r="C1558" s="30"/>
      <c r="D1558" s="30"/>
      <c r="E1558" s="30"/>
      <c r="F1558" s="30"/>
      <c r="G1558" s="30"/>
    </row>
    <row r="1559">
      <c r="A1559" s="30"/>
      <c r="B1559" s="30"/>
      <c r="C1559" s="30"/>
      <c r="D1559" s="30"/>
      <c r="E1559" s="30"/>
      <c r="F1559" s="30"/>
      <c r="G1559" s="30"/>
    </row>
    <row r="1560">
      <c r="A1560" s="30"/>
      <c r="B1560" s="30"/>
      <c r="C1560" s="30"/>
      <c r="D1560" s="30"/>
      <c r="E1560" s="30"/>
      <c r="F1560" s="30"/>
      <c r="G1560" s="30"/>
    </row>
    <row r="1561">
      <c r="A1561" s="30"/>
      <c r="B1561" s="30"/>
      <c r="C1561" s="30"/>
      <c r="D1561" s="30"/>
      <c r="E1561" s="30"/>
      <c r="F1561" s="30"/>
      <c r="G1561" s="30"/>
    </row>
    <row r="1562">
      <c r="A1562" s="30"/>
      <c r="B1562" s="30"/>
      <c r="C1562" s="30"/>
      <c r="D1562" s="30"/>
      <c r="E1562" s="30"/>
      <c r="F1562" s="30"/>
      <c r="G1562" s="30"/>
    </row>
    <row r="1563">
      <c r="A1563" s="30"/>
      <c r="B1563" s="30"/>
      <c r="C1563" s="30"/>
      <c r="D1563" s="30"/>
      <c r="E1563" s="30"/>
      <c r="F1563" s="30"/>
      <c r="G1563" s="30"/>
    </row>
    <row r="1564">
      <c r="A1564" s="30"/>
      <c r="B1564" s="30"/>
      <c r="C1564" s="30"/>
      <c r="D1564" s="30"/>
      <c r="E1564" s="30"/>
      <c r="F1564" s="30"/>
      <c r="G1564" s="30"/>
    </row>
    <row r="1565">
      <c r="A1565" s="30"/>
      <c r="B1565" s="30"/>
      <c r="C1565" s="30"/>
      <c r="D1565" s="30"/>
      <c r="E1565" s="30"/>
      <c r="F1565" s="30"/>
      <c r="G1565" s="30"/>
    </row>
    <row r="1566">
      <c r="A1566" s="30"/>
      <c r="B1566" s="30"/>
      <c r="C1566" s="30"/>
      <c r="D1566" s="30"/>
      <c r="E1566" s="30"/>
      <c r="F1566" s="30"/>
      <c r="G1566" s="30"/>
    </row>
    <row r="1567">
      <c r="A1567" s="30"/>
      <c r="B1567" s="30"/>
      <c r="C1567" s="30"/>
      <c r="D1567" s="30"/>
      <c r="E1567" s="30"/>
      <c r="F1567" s="30"/>
      <c r="G1567" s="30"/>
    </row>
    <row r="1568">
      <c r="A1568" s="30"/>
      <c r="B1568" s="30"/>
      <c r="C1568" s="30"/>
      <c r="D1568" s="30"/>
      <c r="E1568" s="30"/>
      <c r="F1568" s="30"/>
      <c r="G1568" s="30"/>
    </row>
    <row r="1569">
      <c r="A1569" s="30"/>
      <c r="B1569" s="30"/>
      <c r="C1569" s="30"/>
      <c r="D1569" s="30"/>
      <c r="E1569" s="30"/>
      <c r="F1569" s="30"/>
      <c r="G1569" s="30"/>
    </row>
    <row r="1570">
      <c r="A1570" s="30"/>
      <c r="B1570" s="30"/>
      <c r="C1570" s="30"/>
      <c r="D1570" s="30"/>
      <c r="E1570" s="30"/>
      <c r="F1570" s="30"/>
      <c r="G1570" s="30"/>
    </row>
    <row r="1571">
      <c r="A1571" s="30"/>
      <c r="B1571" s="30"/>
      <c r="C1571" s="30"/>
      <c r="D1571" s="30"/>
      <c r="E1571" s="30"/>
      <c r="F1571" s="30"/>
      <c r="G1571" s="30"/>
    </row>
    <row r="1572">
      <c r="A1572" s="30"/>
      <c r="B1572" s="30"/>
      <c r="C1572" s="30"/>
      <c r="D1572" s="30"/>
      <c r="E1572" s="30"/>
      <c r="F1572" s="30"/>
      <c r="G1572" s="30"/>
    </row>
    <row r="1573">
      <c r="A1573" s="30"/>
      <c r="B1573" s="30"/>
      <c r="C1573" s="30"/>
      <c r="D1573" s="30"/>
      <c r="E1573" s="30"/>
      <c r="F1573" s="30"/>
      <c r="G1573" s="30"/>
    </row>
    <row r="1574">
      <c r="A1574" s="30"/>
      <c r="B1574" s="30"/>
      <c r="C1574" s="30"/>
      <c r="D1574" s="30"/>
      <c r="E1574" s="30"/>
      <c r="F1574" s="30"/>
      <c r="G1574" s="30"/>
    </row>
    <row r="1575">
      <c r="A1575" s="30"/>
      <c r="B1575" s="30"/>
      <c r="C1575" s="30"/>
      <c r="D1575" s="30"/>
      <c r="E1575" s="30"/>
      <c r="F1575" s="30"/>
      <c r="G1575" s="30"/>
    </row>
    <row r="1576">
      <c r="A1576" s="30"/>
      <c r="B1576" s="30"/>
      <c r="C1576" s="30"/>
      <c r="D1576" s="30"/>
      <c r="E1576" s="30"/>
      <c r="F1576" s="30"/>
      <c r="G1576" s="30"/>
    </row>
    <row r="1577">
      <c r="A1577" s="30"/>
      <c r="B1577" s="30"/>
      <c r="C1577" s="30"/>
      <c r="D1577" s="30"/>
      <c r="E1577" s="30"/>
      <c r="F1577" s="30"/>
      <c r="G1577" s="30"/>
    </row>
    <row r="1578">
      <c r="A1578" s="30"/>
      <c r="B1578" s="30"/>
      <c r="C1578" s="30"/>
      <c r="D1578" s="30"/>
      <c r="E1578" s="30"/>
      <c r="F1578" s="30"/>
      <c r="G1578" s="30"/>
    </row>
    <row r="1579">
      <c r="A1579" s="30"/>
      <c r="B1579" s="30"/>
      <c r="C1579" s="30"/>
      <c r="D1579" s="30"/>
      <c r="E1579" s="30"/>
      <c r="F1579" s="30"/>
      <c r="G1579" s="30"/>
    </row>
    <row r="1580">
      <c r="A1580" s="30"/>
      <c r="B1580" s="30"/>
      <c r="C1580" s="30"/>
      <c r="D1580" s="30"/>
      <c r="E1580" s="30"/>
      <c r="F1580" s="30"/>
      <c r="G1580" s="30"/>
    </row>
    <row r="1581">
      <c r="A1581" s="30"/>
      <c r="B1581" s="30"/>
      <c r="C1581" s="30"/>
      <c r="D1581" s="30"/>
      <c r="E1581" s="30"/>
      <c r="F1581" s="30"/>
      <c r="G1581" s="30"/>
    </row>
    <row r="1582">
      <c r="A1582" s="30"/>
      <c r="B1582" s="30"/>
      <c r="C1582" s="30"/>
      <c r="D1582" s="30"/>
      <c r="E1582" s="30"/>
      <c r="F1582" s="30"/>
      <c r="G1582" s="30"/>
    </row>
    <row r="1583">
      <c r="A1583" s="30"/>
      <c r="B1583" s="30"/>
      <c r="C1583" s="30"/>
      <c r="D1583" s="30"/>
      <c r="E1583" s="30"/>
      <c r="F1583" s="30"/>
      <c r="G1583" s="30"/>
    </row>
    <row r="1584">
      <c r="A1584" s="30"/>
      <c r="B1584" s="30"/>
      <c r="C1584" s="30"/>
      <c r="D1584" s="30"/>
      <c r="E1584" s="30"/>
      <c r="F1584" s="30"/>
      <c r="G1584" s="30"/>
    </row>
    <row r="1585">
      <c r="A1585" s="30"/>
      <c r="B1585" s="30"/>
      <c r="C1585" s="30"/>
      <c r="D1585" s="30"/>
      <c r="E1585" s="30"/>
      <c r="F1585" s="30"/>
      <c r="G1585" s="30"/>
    </row>
    <row r="1586">
      <c r="A1586" s="30"/>
      <c r="B1586" s="30"/>
      <c r="C1586" s="30"/>
      <c r="D1586" s="30"/>
      <c r="E1586" s="30"/>
      <c r="F1586" s="30"/>
      <c r="G1586" s="3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sheetViews>
  <sheetFormatPr customHeight="1" defaultColWidth="12.63" defaultRowHeight="15.75" outlineLevelRow="1"/>
  <cols>
    <col customWidth="1" min="1" max="1" width="16.25"/>
  </cols>
  <sheetData>
    <row r="1" outlineLevel="1">
      <c r="A1" s="93" t="s">
        <v>153</v>
      </c>
      <c r="B1" s="93" t="s">
        <v>154</v>
      </c>
      <c r="F1" s="93" t="s">
        <v>155</v>
      </c>
    </row>
    <row r="2" outlineLevel="1">
      <c r="A2" s="94" t="s">
        <v>156</v>
      </c>
      <c r="B2" s="95" t="s">
        <v>157</v>
      </c>
      <c r="C2" s="96"/>
      <c r="D2" s="96"/>
      <c r="E2" s="96"/>
      <c r="F2" s="93">
        <v>1.0</v>
      </c>
    </row>
    <row r="3" outlineLevel="1">
      <c r="A3" s="94" t="s">
        <v>158</v>
      </c>
      <c r="B3" s="95" t="s">
        <v>159</v>
      </c>
      <c r="C3" s="96"/>
      <c r="D3" s="96"/>
      <c r="E3" s="96"/>
    </row>
    <row r="4" outlineLevel="1">
      <c r="A4" s="94" t="s">
        <v>160</v>
      </c>
      <c r="B4" s="95" t="s">
        <v>161</v>
      </c>
      <c r="C4" s="96"/>
      <c r="D4" s="96"/>
      <c r="E4" s="96"/>
    </row>
    <row r="5" outlineLevel="1">
      <c r="A5" s="96" t="s">
        <v>162</v>
      </c>
      <c r="B5" s="95" t="s">
        <v>163</v>
      </c>
      <c r="C5" s="96"/>
      <c r="D5" s="96"/>
      <c r="E5" s="96"/>
    </row>
    <row r="6" outlineLevel="1">
      <c r="A6" s="96" t="s">
        <v>164</v>
      </c>
      <c r="B6" s="95" t="s">
        <v>165</v>
      </c>
      <c r="C6" s="96"/>
      <c r="D6" s="96"/>
      <c r="E6" s="96"/>
    </row>
    <row r="7" outlineLevel="1">
      <c r="A7" s="94" t="s">
        <v>166</v>
      </c>
      <c r="B7" s="95" t="s">
        <v>167</v>
      </c>
      <c r="C7" s="96"/>
      <c r="D7" s="96"/>
      <c r="E7" s="96"/>
    </row>
    <row r="8" outlineLevel="1">
      <c r="A8" s="94" t="s">
        <v>168</v>
      </c>
      <c r="B8" s="95" t="s">
        <v>169</v>
      </c>
      <c r="C8" s="96"/>
      <c r="D8" s="96"/>
      <c r="E8" s="96"/>
    </row>
    <row r="9" outlineLevel="1">
      <c r="A9" s="94" t="s">
        <v>170</v>
      </c>
      <c r="B9" s="95" t="s">
        <v>171</v>
      </c>
      <c r="C9" s="96"/>
      <c r="D9" s="96"/>
      <c r="E9" s="96"/>
    </row>
    <row r="10" outlineLevel="1">
      <c r="A10" s="94" t="s">
        <v>172</v>
      </c>
      <c r="B10" s="95" t="s">
        <v>173</v>
      </c>
      <c r="C10" s="96"/>
      <c r="D10" s="96"/>
      <c r="E10" s="96"/>
    </row>
    <row r="11">
      <c r="A11" s="93" t="s">
        <v>174</v>
      </c>
      <c r="B11" s="97" t="s">
        <v>175</v>
      </c>
    </row>
    <row r="12">
      <c r="A12" s="93" t="s">
        <v>176</v>
      </c>
      <c r="B12" s="93" t="b">
        <v>1</v>
      </c>
      <c r="C12" s="41"/>
      <c r="D12" s="41"/>
      <c r="E12" s="41"/>
      <c r="F12" s="41"/>
      <c r="G12" s="41"/>
      <c r="H12" s="41"/>
      <c r="I12" s="41"/>
      <c r="J12" s="41"/>
      <c r="K12" s="41"/>
      <c r="L12" s="41"/>
      <c r="M12" s="41"/>
      <c r="N12" s="41"/>
      <c r="O12" s="41"/>
      <c r="P12" s="41"/>
      <c r="Q12" s="41"/>
      <c r="R12" s="41"/>
      <c r="S12" s="41"/>
      <c r="T12" s="41"/>
      <c r="U12" s="41"/>
    </row>
    <row r="13">
      <c r="B13" s="41"/>
      <c r="C13" s="41"/>
      <c r="D13" s="41"/>
      <c r="E13" s="41"/>
      <c r="F13" s="41"/>
      <c r="G13" s="41"/>
      <c r="H13" s="41"/>
      <c r="I13" s="41"/>
      <c r="J13" s="41"/>
      <c r="K13" s="41"/>
      <c r="L13" s="41"/>
      <c r="M13" s="41"/>
      <c r="N13" s="41"/>
      <c r="O13" s="41"/>
      <c r="P13" s="41"/>
      <c r="Q13" s="41"/>
      <c r="R13" s="41"/>
      <c r="S13" s="41"/>
      <c r="T13" s="41"/>
      <c r="U13" s="41"/>
    </row>
    <row r="14">
      <c r="A14" s="98"/>
      <c r="B14" s="99" t="s">
        <v>177</v>
      </c>
      <c r="D14" s="100" t="s">
        <v>156</v>
      </c>
      <c r="F14" s="101" t="s">
        <v>158</v>
      </c>
      <c r="H14" s="102" t="s">
        <v>160</v>
      </c>
      <c r="J14" s="103" t="s">
        <v>162</v>
      </c>
      <c r="L14" s="104" t="s">
        <v>164</v>
      </c>
      <c r="N14" s="105" t="s">
        <v>166</v>
      </c>
      <c r="P14" s="106" t="s">
        <v>168</v>
      </c>
      <c r="R14" s="107" t="s">
        <v>170</v>
      </c>
      <c r="T14" s="108" t="s">
        <v>172</v>
      </c>
    </row>
    <row r="15">
      <c r="A15" s="93"/>
      <c r="B15" s="99" t="s">
        <v>136</v>
      </c>
      <c r="C15" s="99" t="s">
        <v>4</v>
      </c>
      <c r="D15" s="100" t="s">
        <v>136</v>
      </c>
      <c r="E15" s="100" t="s">
        <v>4</v>
      </c>
      <c r="F15" s="101" t="s">
        <v>136</v>
      </c>
      <c r="G15" s="101" t="s">
        <v>4</v>
      </c>
      <c r="H15" s="102" t="s">
        <v>136</v>
      </c>
      <c r="I15" s="102" t="s">
        <v>4</v>
      </c>
      <c r="J15" s="103" t="s">
        <v>136</v>
      </c>
      <c r="K15" s="103" t="s">
        <v>4</v>
      </c>
      <c r="L15" s="104" t="s">
        <v>136</v>
      </c>
      <c r="M15" s="104" t="s">
        <v>4</v>
      </c>
      <c r="N15" s="105" t="s">
        <v>136</v>
      </c>
      <c r="O15" s="105" t="s">
        <v>4</v>
      </c>
      <c r="P15" s="106" t="s">
        <v>136</v>
      </c>
      <c r="Q15" s="106" t="s">
        <v>4</v>
      </c>
      <c r="R15" s="107" t="s">
        <v>136</v>
      </c>
      <c r="S15" s="107" t="s">
        <v>4</v>
      </c>
      <c r="T15" s="108" t="s">
        <v>136</v>
      </c>
      <c r="U15" s="108" t="s">
        <v>4</v>
      </c>
    </row>
    <row r="16">
      <c r="A16" s="93" t="s">
        <v>178</v>
      </c>
      <c r="B16" s="109">
        <f>AVERAGEA('Raw Stats Imports'!AX:AX)</f>
        <v>45.03415401</v>
      </c>
      <c r="C16" s="109">
        <f>AVERAGE('Raw Stats Imports'!AV:AV)</f>
        <v>50</v>
      </c>
      <c r="D16" s="110">
        <f>AVERAGEIF('Raw Stats Imports'!$A:$A,D$14,'Raw Stats Imports'!$AX:$AX)</f>
        <v>45.04354888</v>
      </c>
      <c r="E16" s="110">
        <f>AVERAGEIF('Raw Stats Imports'!$A:$A,D$14,'Raw Stats Imports'!$AV:$AV)</f>
        <v>50</v>
      </c>
      <c r="F16" s="111">
        <f>AVERAGEIF('Raw Stats Imports'!$A:$A,F$14,'Raw Stats Imports'!$AX:$AX)</f>
        <v>44.51938147</v>
      </c>
      <c r="G16" s="111">
        <f>AVERAGEIF('Raw Stats Imports'!$A:$A,F$14,'Raw Stats Imports'!$AV:$AV)</f>
        <v>50</v>
      </c>
      <c r="H16" s="112">
        <f>AVERAGEIF('Raw Stats Imports'!$A:$A,H$14,'Raw Stats Imports'!$AX:$AX)</f>
        <v>44.4663843</v>
      </c>
      <c r="I16" s="112">
        <f>AVERAGEIF('Raw Stats Imports'!$A:$A,H$14,'Raw Stats Imports'!$AV:$AV)</f>
        <v>50</v>
      </c>
      <c r="J16" s="113">
        <f>AVERAGEIF('Raw Stats Imports'!$A:$A,J$14,'Raw Stats Imports'!$AX:$AX)</f>
        <v>44.98532949</v>
      </c>
      <c r="K16" s="113">
        <f>AVERAGEIF('Raw Stats Imports'!$A:$A,J$14,'Raw Stats Imports'!$AV:$AV)</f>
        <v>50</v>
      </c>
      <c r="L16" s="114">
        <f>AVERAGEIF('Raw Stats Imports'!$A:$A,L$14,'Raw Stats Imports'!$AX:$AX)</f>
        <v>45.76723612</v>
      </c>
      <c r="M16" s="114">
        <f>AVERAGEIF('Raw Stats Imports'!$A:$A,L$14,'Raw Stats Imports'!$AV:$AV)</f>
        <v>50</v>
      </c>
      <c r="N16" s="115">
        <f>AVERAGEIF('Raw Stats Imports'!$A:$A,N$14,'Raw Stats Imports'!$AX:$AX)</f>
        <v>45.96423255</v>
      </c>
      <c r="O16" s="115">
        <f>AVERAGEIF('Raw Stats Imports'!$A:$A,N$14,'Raw Stats Imports'!$AV:$AV)</f>
        <v>50</v>
      </c>
      <c r="P16" s="116">
        <f>AVERAGEIF('Raw Stats Imports'!$A:$A,P$14,'Raw Stats Imports'!$AX:$AX)</f>
        <v>44.05016047</v>
      </c>
      <c r="Q16" s="116">
        <f>AVERAGEIF('Raw Stats Imports'!$A:$A,P$14,'Raw Stats Imports'!$AV:$AV)</f>
        <v>50</v>
      </c>
      <c r="R16" s="117">
        <f>AVERAGEIF('Raw Stats Imports'!$A:$A,R$14,'Raw Stats Imports'!$AX:$AX)</f>
        <v>46.28557161</v>
      </c>
      <c r="S16" s="117">
        <f>AVERAGEIF('Raw Stats Imports'!$A:$A,R$14,'Raw Stats Imports'!$AV:$AV)</f>
        <v>50</v>
      </c>
      <c r="T16" s="118">
        <f>AVERAGEIF('Raw Stats Imports'!$A:$A,T$14,'Raw Stats Imports'!$AX:$AX)</f>
        <v>43.82338216</v>
      </c>
      <c r="U16" s="118">
        <f>AVERAGEIF('Raw Stats Imports'!$A:$A,T$14,'Raw Stats Imports'!$AV:$AV)</f>
        <v>50</v>
      </c>
    </row>
    <row r="17">
      <c r="A17" s="93" t="s">
        <v>179</v>
      </c>
      <c r="B17" s="109">
        <f>STDEVA('Raw Stats Imports'!AX:AX)</f>
        <v>21.48415874</v>
      </c>
      <c r="C17" s="109">
        <f>STDEV('Raw Stats Imports'!AV:AV)</f>
        <v>24.88385535</v>
      </c>
      <c r="D17" s="119">
        <f>IFERROR(__xludf.DUMMYFUNCTION("STDEV(FILTER('Raw Stats Imports'!$AX:$AX,'Raw Stats Imports'!$A:$A=D$14))"),19.400650475003225)</f>
        <v>19.40065048</v>
      </c>
      <c r="E17" s="119">
        <f>IFERROR(__xludf.DUMMYFUNCTION("STDEV(FILTER('Raw Stats Imports'!$AV:$AV,'Raw Stats Imports'!$A:$A=D$14))"),24.999999999999986)</f>
        <v>25</v>
      </c>
      <c r="F17" s="120">
        <f>IFERROR(__xludf.DUMMYFUNCTION("STDEV(FILTER('Raw Stats Imports'!$AX:$AX,'Raw Stats Imports'!$A:$A=F$14))"),24.96331291734361)</f>
        <v>24.96331292</v>
      </c>
      <c r="G17" s="120">
        <f>IFERROR(__xludf.DUMMYFUNCTION("STDEV(FILTER('Raw Stats Imports'!$AV:$AV,'Raw Stats Imports'!$A:$A=F$14))"),24.999999999999996)</f>
        <v>25</v>
      </c>
      <c r="H17" s="121">
        <f>IFERROR(__xludf.DUMMYFUNCTION("STDEV(FILTER('Raw Stats Imports'!$AX:$AX,'Raw Stats Imports'!$A:$A=H$14))"),20.135571613349633)</f>
        <v>20.13557161</v>
      </c>
      <c r="I17" s="121">
        <f>IFERROR(__xludf.DUMMYFUNCTION("STDEV(FILTER('Raw Stats Imports'!$AV:$AV,'Raw Stats Imports'!$A:$A=H$14))"),24.999999999999982)</f>
        <v>25</v>
      </c>
      <c r="J17" s="122">
        <f>IFERROR(__xludf.DUMMYFUNCTION("STDEV(FILTER('Raw Stats Imports'!$AX:$AX,'Raw Stats Imports'!$A:$A=J$14))"),21.476545933672753)</f>
        <v>21.47654593</v>
      </c>
      <c r="K17" s="122">
        <f>IFERROR(__xludf.DUMMYFUNCTION("STDEV(FILTER('Raw Stats Imports'!$AV:$AV,'Raw Stats Imports'!$A:$A=J$14))"),24.999999999999996)</f>
        <v>25</v>
      </c>
      <c r="L17" s="123">
        <f>IFERROR(__xludf.DUMMYFUNCTION("STDEV(FILTER('Raw Stats Imports'!$AX:$AX,'Raw Stats Imports'!$A:$A=L$14))"),19.447004302413035)</f>
        <v>19.4470043</v>
      </c>
      <c r="M17" s="123">
        <f>IFERROR(__xludf.DUMMYFUNCTION("STDEV(FILTER('Raw Stats Imports'!$AV:$AV,'Raw Stats Imports'!$A:$A=L$14))"),24.999999999999986)</f>
        <v>25</v>
      </c>
      <c r="N17" s="124">
        <f>IFERROR(__xludf.DUMMYFUNCTION("STDEV(FILTER('Raw Stats Imports'!$AX:$AX,'Raw Stats Imports'!$A:$A=N$14))"),22.675479714501254)</f>
        <v>22.67547971</v>
      </c>
      <c r="O17" s="124">
        <f>IFERROR(__xludf.DUMMYFUNCTION("STDEV(FILTER('Raw Stats Imports'!$AV:$AV,'Raw Stats Imports'!$A:$A=N$14))"),24.99999999999999)</f>
        <v>25</v>
      </c>
      <c r="P17" s="125">
        <f>IFERROR(__xludf.DUMMYFUNCTION("STDEV(FILTER('Raw Stats Imports'!$AX:$AX,'Raw Stats Imports'!$A:$A=P$14))"),21.868438120254012)</f>
        <v>21.86843812</v>
      </c>
      <c r="Q17" s="125">
        <f>IFERROR(__xludf.DUMMYFUNCTION("STDEV(FILTER('Raw Stats Imports'!$AV:$AV,'Raw Stats Imports'!$A:$A=P$14))"),24.999999999999996)</f>
        <v>25</v>
      </c>
      <c r="R17" s="126">
        <f>IFERROR(__xludf.DUMMYFUNCTION("STDEV(FILTER('Raw Stats Imports'!$AX:$AX,'Raw Stats Imports'!$A:$A=R$14))"),21.236361038843203)</f>
        <v>21.23636104</v>
      </c>
      <c r="S17" s="126">
        <f>IFERROR(__xludf.DUMMYFUNCTION("STDEV(FILTER('Raw Stats Imports'!$AV:$AV,'Raw Stats Imports'!$A:$A=R$14))"),24.999999999999986)</f>
        <v>25</v>
      </c>
      <c r="T17" s="127">
        <f>IFERROR(__xludf.DUMMYFUNCTION("STDEV(FILTER('Raw Stats Imports'!$AX:$AX,'Raw Stats Imports'!$A:$A=T$14))"),25.647202448653204)</f>
        <v>25.64720245</v>
      </c>
      <c r="U17" s="127">
        <f>IFERROR(__xludf.DUMMYFUNCTION("STDEV(FILTER('Raw Stats Imports'!$AV:$AV,'Raw Stats Imports'!$A:$A=T$14))"),25.000000000000018)</f>
        <v>25</v>
      </c>
    </row>
    <row r="18">
      <c r="A18" s="93" t="s">
        <v>180</v>
      </c>
      <c r="B18" s="109">
        <f>MEDIAN('Raw Stats Imports'!AX:AX)</f>
        <v>46.48411751</v>
      </c>
      <c r="C18" s="109">
        <f>MEDIAN('Raw Stats Imports'!AV:AV)</f>
        <v>52.60313543</v>
      </c>
      <c r="D18" s="119">
        <f>IFERROR(__xludf.DUMMYFUNCTION("MEDIAN(FILTER('Raw Stats Imports'!$AX:$AX,'Raw Stats Imports'!$A:$A=D$14))"),45.35471390554606)</f>
        <v>45.35471391</v>
      </c>
      <c r="E18" s="119">
        <f>IFERROR(__xludf.DUMMYFUNCTION("MEDIAN(FILTER('Raw Stats Imports'!$AV:$AV,'Raw Stats Imports'!$A:$A=D$14))"),51.74651694346932)</f>
        <v>51.74651694</v>
      </c>
      <c r="F18" s="120">
        <f>IFERROR(__xludf.DUMMYFUNCTION("MEDIAN(FILTER('Raw Stats Imports'!$AX:$AX,'Raw Stats Imports'!$A:$A=F$14))"),48.51958527444247)</f>
        <v>48.51958527</v>
      </c>
      <c r="G18" s="120">
        <f>IFERROR(__xludf.DUMMYFUNCTION("MEDIAN(FILTER('Raw Stats Imports'!$AV:$AV,'Raw Stats Imports'!$A:$A=F$14))"),52.878178993827326)</f>
        <v>52.87817899</v>
      </c>
      <c r="H18" s="121">
        <f>IFERROR(__xludf.DUMMYFUNCTION("MEDIAN(FILTER('Raw Stats Imports'!$AX:$AX,'Raw Stats Imports'!$A:$A=H$14))"),44.559190509460585)</f>
        <v>44.55919051</v>
      </c>
      <c r="I18" s="121">
        <f>IFERROR(__xludf.DUMMYFUNCTION("MEDIAN(FILTER('Raw Stats Imports'!$AV:$AV,'Raw Stats Imports'!$A:$A=H$14))"),49.879188136188475)</f>
        <v>49.87918814</v>
      </c>
      <c r="J18" s="122">
        <f>IFERROR(__xludf.DUMMYFUNCTION("MEDIAN(FILTER('Raw Stats Imports'!$AX:$AX,'Raw Stats Imports'!$A:$A=J$14))"),46.39733145731334)</f>
        <v>46.39733146</v>
      </c>
      <c r="K18" s="122">
        <f>IFERROR(__xludf.DUMMYFUNCTION("MEDIAN(FILTER('Raw Stats Imports'!$AV:$AV,'Raw Stats Imports'!$A:$A=J$14))"),53.79509630877567)</f>
        <v>53.79509631</v>
      </c>
      <c r="L18" s="123">
        <f>IFERROR(__xludf.DUMMYFUNCTION("MEDIAN(FILTER('Raw Stats Imports'!$AX:$AX,'Raw Stats Imports'!$A:$A=L$14))"),46.944790021304875)</f>
        <v>46.94479002</v>
      </c>
      <c r="M18" s="123">
        <f>IFERROR(__xludf.DUMMYFUNCTION("MEDIAN(FILTER('Raw Stats Imports'!$AV:$AV,'Raw Stats Imports'!$A:$A=L$14))"),52.12577104585962)</f>
        <v>52.12577105</v>
      </c>
      <c r="N18" s="124">
        <f>IFERROR(__xludf.DUMMYFUNCTION("MEDIAN(FILTER('Raw Stats Imports'!$AX:$AX,'Raw Stats Imports'!$A:$A=N$14))"),49.45450972116786)</f>
        <v>49.45450972</v>
      </c>
      <c r="O18" s="124">
        <f>IFERROR(__xludf.DUMMYFUNCTION("MEDIAN(FILTER('Raw Stats Imports'!$AV:$AV,'Raw Stats Imports'!$A:$A=N$14))"),54.765960936019056)</f>
        <v>54.76596094</v>
      </c>
      <c r="P18" s="125">
        <f>IFERROR(__xludf.DUMMYFUNCTION("MEDIAN(FILTER('Raw Stats Imports'!$AX:$AX,'Raw Stats Imports'!$A:$A=P$14))"),45.416307060797784)</f>
        <v>45.41630706</v>
      </c>
      <c r="Q18" s="125">
        <f>IFERROR(__xludf.DUMMYFUNCTION("MEDIAN(FILTER('Raw Stats Imports'!$AV:$AV,'Raw Stats Imports'!$A:$A=P$14))"),53.42038060274299)</f>
        <v>53.4203806</v>
      </c>
      <c r="R18" s="126">
        <f>IFERROR(__xludf.DUMMYFUNCTION("MEDIAN(FILTER('Raw Stats Imports'!$AX:$AX,'Raw Stats Imports'!$A:$A=R$14))"),43.91655517462086)</f>
        <v>43.91655517</v>
      </c>
      <c r="S18" s="126">
        <f>IFERROR(__xludf.DUMMYFUNCTION("MEDIAN(FILTER('Raw Stats Imports'!$AV:$AV,'Raw Stats Imports'!$A:$A=R$14))"),46.38460778454729)</f>
        <v>46.38460778</v>
      </c>
      <c r="T18" s="127">
        <f>IFERROR(__xludf.DUMMYFUNCTION("MEDIAN(FILTER('Raw Stats Imports'!$AX:$AX,'Raw Stats Imports'!$A:$A=T$14))"),47.91060685983062)</f>
        <v>47.91060686</v>
      </c>
      <c r="U18" s="127">
        <f>IFERROR(__xludf.DUMMYFUNCTION("MEDIAN(FILTER('Raw Stats Imports'!$AV:$AV,'Raw Stats Imports'!$A:$A=T$14))"),52.8664639104439)</f>
        <v>52.86646391</v>
      </c>
    </row>
    <row r="19">
      <c r="A19" s="93" t="s">
        <v>181</v>
      </c>
      <c r="B19" s="109">
        <f>MAX('Raw Stats Imports'!AX:AX)</f>
        <v>106.5145172</v>
      </c>
      <c r="C19" s="109">
        <f>MAXA('Raw Stats Imports'!AV:AV)</f>
        <v>134.3039418</v>
      </c>
      <c r="D19" s="119">
        <f>IFERROR(__xludf.DUMMYFUNCTION("MAX(FILTER('Raw Stats Imports'!$AX:$AX,'Raw Stats Imports'!$A:$A=D$14))"),79.76812204744519)</f>
        <v>79.76812205</v>
      </c>
      <c r="E19" s="119">
        <f>IFERROR(__xludf.DUMMYFUNCTION("MAX(FILTER('Raw Stats Imports'!$AV:$AV,'Raw Stats Imports'!$A:$A=D$14))"),101.83291421401691)</f>
        <v>101.8329142</v>
      </c>
      <c r="F19" s="120">
        <f>IFERROR(__xludf.DUMMYFUNCTION("MAX(FILTER('Raw Stats Imports'!$AX:$AX,'Raw Stats Imports'!$A:$A=F$14))"),97.74597014860706)</f>
        <v>97.74597015</v>
      </c>
      <c r="G19" s="120">
        <f>IFERROR(__xludf.DUMMYFUNCTION("MAX(FILTER('Raw Stats Imports'!$AV:$AV,'Raw Stats Imports'!$A:$A=F$14))"),105.12861020851362)</f>
        <v>105.1286102</v>
      </c>
      <c r="H19" s="121">
        <f>IFERROR(__xludf.DUMMYFUNCTION("MAX(FILTER('Raw Stats Imports'!$AX:$AX,'Raw Stats Imports'!$A:$A=H$14))"),106.51451719991367)</f>
        <v>106.5145172</v>
      </c>
      <c r="I19" s="121">
        <f>IFERROR(__xludf.DUMMYFUNCTION("MAX(FILTER('Raw Stats Imports'!$AV:$AV,'Raw Stats Imports'!$A:$A=H$14))"),130.20270500664375)</f>
        <v>130.202705</v>
      </c>
      <c r="J19" s="122">
        <f>IFERROR(__xludf.DUMMYFUNCTION("MAX(FILTER('Raw Stats Imports'!$AX:$AX,'Raw Stats Imports'!$A:$A=J$14))"),89.12159934544553)</f>
        <v>89.12159935</v>
      </c>
      <c r="K19" s="122">
        <f>IFERROR(__xludf.DUMMYFUNCTION("MAX(FILTER('Raw Stats Imports'!$AV:$AV,'Raw Stats Imports'!$A:$A=J$14))"),104.99559815688372)</f>
        <v>104.9955982</v>
      </c>
      <c r="L19" s="123">
        <f>IFERROR(__xludf.DUMMYFUNCTION("MAX(FILTER('Raw Stats Imports'!$AX:$AX,'Raw Stats Imports'!$A:$A=L$14))"),99.44231536122957)</f>
        <v>99.44231536</v>
      </c>
      <c r="M19" s="123">
        <f>IFERROR(__xludf.DUMMYFUNCTION("MAX(FILTER('Raw Stats Imports'!$AV:$AV,'Raw Stats Imports'!$A:$A=L$14))"),116.3103176248415)</f>
        <v>116.3103176</v>
      </c>
      <c r="N19" s="124">
        <f>IFERROR(__xludf.DUMMYFUNCTION("MAX(FILTER('Raw Stats Imports'!$AX:$AX,'Raw Stats Imports'!$A:$A=N$14))"),84.71624214982134)</f>
        <v>84.71624215</v>
      </c>
      <c r="O19" s="124">
        <f>IFERROR(__xludf.DUMMYFUNCTION("MAX(FILTER('Raw Stats Imports'!$AV:$AV,'Raw Stats Imports'!$A:$A=N$14))"),104.6776184112578)</f>
        <v>104.6776184</v>
      </c>
      <c r="P19" s="125">
        <f>IFERROR(__xludf.DUMMYFUNCTION("MAX(FILTER('Raw Stats Imports'!$AX:$AX,'Raw Stats Imports'!$A:$A=P$14))"),86.49506484239724)</f>
        <v>86.49506484</v>
      </c>
      <c r="Q19" s="125">
        <f>IFERROR(__xludf.DUMMYFUNCTION("MAX(FILTER('Raw Stats Imports'!$AV:$AV,'Raw Stats Imports'!$A:$A=P$14))"),100.51827312641062)</f>
        <v>100.5182731</v>
      </c>
      <c r="R19" s="126">
        <f>IFERROR(__xludf.DUMMYFUNCTION("MAX(FILTER('Raw Stats Imports'!$AX:$AX,'Raw Stats Imports'!$A:$A=R$14))"),98.33068682153464)</f>
        <v>98.33068682</v>
      </c>
      <c r="S19" s="126">
        <f>IFERROR(__xludf.DUMMYFUNCTION("MAX(FILTER('Raw Stats Imports'!$AV:$AV,'Raw Stats Imports'!$A:$A=R$14))"),134.30394175395634)</f>
        <v>134.3039418</v>
      </c>
      <c r="T19" s="127">
        <f>IFERROR(__xludf.DUMMYFUNCTION("MAX(FILTER('Raw Stats Imports'!$AX:$AX,'Raw Stats Imports'!$A:$A=T$14))"),91.92681893663583)</f>
        <v>91.92681894</v>
      </c>
      <c r="U19" s="127">
        <f>IFERROR(__xludf.DUMMYFUNCTION("MAX(FILTER('Raw Stats Imports'!$AV:$AV,'Raw Stats Imports'!$A:$A=T$14))"),91.44742993238914)</f>
        <v>91.44742993</v>
      </c>
    </row>
    <row r="20">
      <c r="A20" s="93" t="s">
        <v>182</v>
      </c>
      <c r="B20" s="109">
        <f>MIN('Raw Stats Imports'!AX:AX)</f>
        <v>-52.76179763</v>
      </c>
      <c r="C20" s="109">
        <f>MINA('Raw Stats Imports'!AV:AV)</f>
        <v>-53.00070384</v>
      </c>
      <c r="D20" s="119">
        <f>IFERROR(__xludf.DUMMYFUNCTION("MIN(FILTER('Raw Stats Imports'!$AX:$AX,'Raw Stats Imports'!$A:$A=D$14))"),-0.6958780665853439)</f>
        <v>-0.6958780666</v>
      </c>
      <c r="E20" s="119">
        <f>IFERROR(__xludf.DUMMYFUNCTION("MIN(FILTER('Raw Stats Imports'!$AV:$AV,'Raw Stats Imports'!$A:$A=D$14))"),-37.55254565844449)</f>
        <v>-37.55254566</v>
      </c>
      <c r="F20" s="120">
        <f>IFERROR(__xludf.DUMMYFUNCTION("MIN(FILTER('Raw Stats Imports'!$AX:$AX,'Raw Stats Imports'!$A:$A=F$14))"),-29.985877861715977)</f>
        <v>-29.98587786</v>
      </c>
      <c r="G20" s="120">
        <f>IFERROR(__xludf.DUMMYFUNCTION("MIN(FILTER('Raw Stats Imports'!$AV:$AV,'Raw Stats Imports'!$A:$A=F$14))"),-22.42418605567302)</f>
        <v>-22.42418606</v>
      </c>
      <c r="H20" s="121">
        <f>IFERROR(__xludf.DUMMYFUNCTION("MIN(FILTER('Raw Stats Imports'!$AX:$AX,'Raw Stats Imports'!$A:$A=H$14))"),-13.652670385539757)</f>
        <v>-13.65267039</v>
      </c>
      <c r="I20" s="121">
        <f>IFERROR(__xludf.DUMMYFUNCTION("MIN(FILTER('Raw Stats Imports'!$AV:$AV,'Raw Stats Imports'!$A:$A=H$14))"),-25.99071675941174)</f>
        <v>-25.99071676</v>
      </c>
      <c r="J20" s="122">
        <f>IFERROR(__xludf.DUMMYFUNCTION("MIN(FILTER('Raw Stats Imports'!$AX:$AX,'Raw Stats Imports'!$A:$A=J$14))"),-45.276133486667106)</f>
        <v>-45.27613349</v>
      </c>
      <c r="K20" s="122">
        <f>IFERROR(__xludf.DUMMYFUNCTION("MIN(FILTER('Raw Stats Imports'!$AV:$AV,'Raw Stats Imports'!$A:$A=J$14))"),-53.00070383724389)</f>
        <v>-53.00070384</v>
      </c>
      <c r="L20" s="123">
        <f>IFERROR(__xludf.DUMMYFUNCTION("MIN(FILTER('Raw Stats Imports'!$AX:$AX,'Raw Stats Imports'!$A:$A=L$14))"),-27.440678086096426)</f>
        <v>-27.44067809</v>
      </c>
      <c r="M20" s="123">
        <f>IFERROR(__xludf.DUMMYFUNCTION("MIN(FILTER('Raw Stats Imports'!$AV:$AV,'Raw Stats Imports'!$A:$A=L$14))"),-28.317540404706065)</f>
        <v>-28.3175404</v>
      </c>
      <c r="N20" s="124">
        <f>IFERROR(__xludf.DUMMYFUNCTION("MIN(FILTER('Raw Stats Imports'!$AX:$AX,'Raw Stats Imports'!$A:$A=N$14))"),-36.069858261311424)</f>
        <v>-36.06985826</v>
      </c>
      <c r="O20" s="124">
        <f>IFERROR(__xludf.DUMMYFUNCTION("MIN(FILTER('Raw Stats Imports'!$AV:$AV,'Raw Stats Imports'!$A:$A=N$14))"),-38.7337930364221)</f>
        <v>-38.73379304</v>
      </c>
      <c r="P20" s="125">
        <f>IFERROR(__xludf.DUMMYFUNCTION("MIN(FILTER('Raw Stats Imports'!$AX:$AX,'Raw Stats Imports'!$A:$A=P$14))"),-52.76179763430781)</f>
        <v>-52.76179763</v>
      </c>
      <c r="Q20" s="125">
        <f>IFERROR(__xludf.DUMMYFUNCTION("MIN(FILTER('Raw Stats Imports'!$AV:$AV,'Raw Stats Imports'!$A:$A=P$14))"),-33.21344313391526)</f>
        <v>-33.21344313</v>
      </c>
      <c r="R20" s="126">
        <f>IFERROR(__xludf.DUMMYFUNCTION("MIN(FILTER('Raw Stats Imports'!$AX:$AX,'Raw Stats Imports'!$A:$A=R$14))"),0.9810903179639112)</f>
        <v>0.981090318</v>
      </c>
      <c r="S20" s="126">
        <f>IFERROR(__xludf.DUMMYFUNCTION("MIN(FILTER('Raw Stats Imports'!$AV:$AV,'Raw Stats Imports'!$A:$A=R$14))"),8.589711833224705)</f>
        <v>8.589711833</v>
      </c>
      <c r="T20" s="127">
        <f>IFERROR(__xludf.DUMMYFUNCTION("MIN(FILTER('Raw Stats Imports'!$AX:$AX,'Raw Stats Imports'!$A:$A=T$14))"),-15.169842605495433)</f>
        <v>-15.16984261</v>
      </c>
      <c r="U20" s="127">
        <f>IFERROR(__xludf.DUMMYFUNCTION("MIN(FILTER('Raw Stats Imports'!$AV:$AV,'Raw Stats Imports'!$A:$A=T$14))"),-15.909119110155757)</f>
        <v>-15.90911911</v>
      </c>
    </row>
    <row r="21">
      <c r="B21" s="128"/>
      <c r="C21" s="128"/>
      <c r="D21" s="128"/>
      <c r="E21" s="128"/>
      <c r="F21" s="128"/>
      <c r="G21" s="128"/>
      <c r="H21" s="128"/>
      <c r="I21" s="128"/>
      <c r="J21" s="128"/>
      <c r="K21" s="128"/>
      <c r="L21" s="128"/>
      <c r="M21" s="128"/>
      <c r="N21" s="128"/>
      <c r="O21" s="128"/>
      <c r="P21" s="128"/>
      <c r="Q21" s="128"/>
      <c r="R21" s="128"/>
      <c r="S21" s="128"/>
      <c r="T21" s="128"/>
      <c r="U21" s="128"/>
    </row>
    <row r="22">
      <c r="B22" s="128"/>
      <c r="C22" s="128"/>
      <c r="D22" s="128"/>
      <c r="E22" s="128"/>
      <c r="F22" s="128"/>
      <c r="G22" s="128"/>
      <c r="H22" s="128"/>
      <c r="I22" s="128"/>
      <c r="J22" s="128"/>
      <c r="K22" s="128"/>
      <c r="L22" s="128"/>
      <c r="M22" s="128"/>
      <c r="N22" s="128"/>
      <c r="O22" s="128"/>
      <c r="P22" s="128"/>
      <c r="Q22" s="128"/>
      <c r="R22" s="128"/>
      <c r="S22" s="128"/>
      <c r="T22" s="128"/>
      <c r="U22" s="128"/>
    </row>
    <row r="23">
      <c r="B23" s="128"/>
      <c r="C23" s="128"/>
      <c r="D23" s="128"/>
      <c r="E23" s="128"/>
      <c r="F23" s="128"/>
      <c r="G23" s="128"/>
      <c r="H23" s="128"/>
      <c r="I23" s="128"/>
      <c r="J23" s="128"/>
      <c r="K23" s="128"/>
      <c r="L23" s="128"/>
      <c r="M23" s="128"/>
      <c r="N23" s="128"/>
      <c r="O23" s="128"/>
      <c r="P23" s="128"/>
      <c r="Q23" s="128"/>
      <c r="R23" s="128"/>
      <c r="S23" s="128"/>
      <c r="T23" s="128"/>
      <c r="U23" s="128"/>
    </row>
    <row r="24">
      <c r="A24" s="129" t="s">
        <v>177</v>
      </c>
      <c r="B24" s="130" t="s">
        <v>183</v>
      </c>
      <c r="C24" s="131" t="s">
        <v>4</v>
      </c>
      <c r="D24" s="131" t="s">
        <v>136</v>
      </c>
      <c r="E24" s="131" t="s">
        <v>18</v>
      </c>
      <c r="F24" s="131" t="s">
        <v>22</v>
      </c>
      <c r="G24" s="132"/>
      <c r="H24" s="129" t="s">
        <v>177</v>
      </c>
      <c r="I24" s="132"/>
      <c r="J24" s="132"/>
      <c r="K24" s="132"/>
      <c r="L24" s="132"/>
      <c r="M24" s="132"/>
      <c r="N24" s="132"/>
      <c r="O24" s="132"/>
      <c r="P24" s="132"/>
      <c r="Q24" s="132"/>
      <c r="R24" s="132"/>
      <c r="S24" s="132"/>
      <c r="T24" s="132"/>
      <c r="U24" s="132"/>
    </row>
    <row r="25">
      <c r="B25" s="133" t="str">
        <f t="array" ref="B25:B28">TRANSPOSE(C24:F24)</f>
        <v>IDR</v>
      </c>
      <c r="C25" s="133"/>
      <c r="D25" s="133">
        <f>CORREL('Raw Stats Imports'!AV:AV,'Raw Stats Imports'!AX:AX)</f>
        <v>0.9114552207</v>
      </c>
      <c r="E25" s="133">
        <f>CORREL('Raw Stats Imports'!$H:$H,'Raw Stats Imports'!AV:AV)</f>
        <v>0.7192711144</v>
      </c>
      <c r="F25" s="133">
        <f>CORREL('Raw Stats Imports'!$AT:$AT,'Raw Stats Imports'!AV:AV)</f>
        <v>0.7111698226</v>
      </c>
      <c r="G25" s="128"/>
      <c r="I25" s="128"/>
      <c r="J25" s="128"/>
      <c r="K25" s="128"/>
      <c r="L25" s="128"/>
      <c r="M25" s="128"/>
      <c r="N25" s="128"/>
      <c r="O25" s="128"/>
      <c r="P25" s="128"/>
      <c r="Q25" s="128"/>
      <c r="R25" s="128"/>
      <c r="S25" s="128"/>
      <c r="T25" s="128"/>
      <c r="U25" s="128"/>
    </row>
    <row r="26">
      <c r="B26" s="133" t="s">
        <v>136</v>
      </c>
      <c r="C26" s="133">
        <f>CORREL('Raw Stats Imports'!AV:AV,'Raw Stats Imports'!AX:AX)</f>
        <v>0.9114552207</v>
      </c>
      <c r="D26" s="133"/>
      <c r="E26" s="133">
        <f>CORREL('Raw Stats Imports'!$H:$H,'Raw Stats Imports'!$AX:$AX)</f>
        <v>0.6233533815</v>
      </c>
      <c r="F26" s="133">
        <f>CORREL('Raw Stats Imports'!$AT:$AT
,'Raw Stats Imports'!$AX:$AX)</f>
        <v>0.6094402426</v>
      </c>
      <c r="G26" s="128"/>
      <c r="I26" s="128"/>
      <c r="J26" s="128"/>
      <c r="K26" s="128"/>
      <c r="L26" s="128"/>
      <c r="M26" s="128"/>
      <c r="N26" s="128"/>
      <c r="O26" s="128"/>
      <c r="P26" s="128"/>
      <c r="Q26" s="128"/>
      <c r="R26" s="128"/>
      <c r="S26" s="128"/>
      <c r="T26" s="128"/>
      <c r="U26" s="128"/>
    </row>
    <row r="27">
      <c r="B27" s="133" t="s">
        <v>18</v>
      </c>
      <c r="C27" s="133">
        <f>CORREL('Raw Stats Imports'!$H:$H,'Raw Stats Imports'!AV:AV)</f>
        <v>0.7192711144</v>
      </c>
      <c r="D27" s="133">
        <f>CORREL('Raw Stats Imports'!$H:$H,'Raw Stats Imports'!$AX:$AX)</f>
        <v>0.6233533815</v>
      </c>
      <c r="E27" s="133"/>
      <c r="F27" s="133">
        <f>CORREL('Raw Stats Imports'!$H:$H,'Raw Stats Imports'!$AT:$AT)</f>
        <v>0.826033339</v>
      </c>
      <c r="G27" s="128"/>
      <c r="I27" s="128"/>
      <c r="J27" s="128"/>
      <c r="K27" s="128"/>
      <c r="L27" s="128"/>
      <c r="M27" s="128"/>
      <c r="N27" s="128"/>
      <c r="O27" s="128"/>
      <c r="P27" s="128"/>
      <c r="Q27" s="128"/>
      <c r="R27" s="128"/>
      <c r="S27" s="128"/>
      <c r="T27" s="128"/>
      <c r="U27" s="128"/>
    </row>
    <row r="28">
      <c r="B28" s="133" t="s">
        <v>22</v>
      </c>
      <c r="C28" s="133">
        <f>CORREL('Raw Stats Imports'!$AT:$AT,'Raw Stats Imports'!AV:AV)</f>
        <v>0.7111698226</v>
      </c>
      <c r="D28" s="133">
        <f>CORREL('Raw Stats Imports'!$AT:$AT,'Raw Stats Imports'!$AX:$AX)</f>
        <v>0.6094402426</v>
      </c>
      <c r="E28" s="133">
        <f>CORREL('Raw Stats Imports'!$H:$H,'Raw Stats Imports'!$AT:$AT)</f>
        <v>0.826033339</v>
      </c>
      <c r="F28" s="134"/>
    </row>
    <row r="29">
      <c r="A29" s="135" t="s">
        <v>156</v>
      </c>
      <c r="B29" s="136" t="s">
        <v>183</v>
      </c>
      <c r="C29" s="137" t="s">
        <v>4</v>
      </c>
      <c r="D29" s="137" t="s">
        <v>136</v>
      </c>
      <c r="E29" s="137" t="s">
        <v>18</v>
      </c>
      <c r="F29" s="137" t="s">
        <v>22</v>
      </c>
      <c r="H29" s="135" t="s">
        <v>156</v>
      </c>
    </row>
    <row r="30">
      <c r="B30" s="138" t="str">
        <f t="array" ref="B30:B33">TRANSPOSE(C29:F29)</f>
        <v>IDR</v>
      </c>
      <c r="C30" s="138"/>
      <c r="D30" s="138">
        <f>IFERROR(__xludf.DUMMYFUNCTION("CORREL(FILTER('Raw Stats Imports'!AV:AV,'Raw Stats Imports'!$A:$A=$A29),FILTER('Raw Stats Imports'!AX:AX,'Raw Stats Imports'!$A:$A=$A29))"),0.9016113940246334)</f>
        <v>0.901611394</v>
      </c>
      <c r="E30" s="138">
        <f>IFERROR(__xludf.DUMMYFUNCTION("CORREL(FILTER('Raw Stats Imports'!$H:$H,'Raw Stats Imports'!$A:$A=$A29),FILTER('Raw Stats Imports'!AV:AV,'Raw Stats Imports'!$A:$A=$A29))"),0.7857938061351474)</f>
        <v>0.7857938061</v>
      </c>
      <c r="F30" s="138">
        <f>IFERROR(__xludf.DUMMYFUNCTION("CORREL(FILTER('Raw Stats Imports'!$AT:$AT,'Raw Stats Imports'!$A:$A=$A29),FILTER('Raw Stats Imports'!AV:AV,'Raw Stats Imports'!$A:$A=$A29))"),0.8527795284700449)</f>
        <v>0.8527795285</v>
      </c>
    </row>
    <row r="31">
      <c r="B31" s="138" t="s">
        <v>136</v>
      </c>
      <c r="C31" s="138">
        <f>IFERROR(__xludf.DUMMYFUNCTION("CORREL(FILTER('Raw Stats Imports'!$AV:$AV,'Raw Stats Imports'!$A:$A=$A29),FILTER('Raw Stats Imports'!$AX:$AX,'Raw Stats Imports'!$A:$A=$A29))"),0.9016113940246334)</f>
        <v>0.901611394</v>
      </c>
      <c r="D31" s="138"/>
      <c r="E31" s="138">
        <f>IFERROR(__xludf.DUMMYFUNCTION("CORREL(FILTER('Raw Stats Imports'!$H:$H,'Raw Stats Imports'!$A:$A=$A29),FILTER('Raw Stats Imports'!$AX:$AX,'Raw Stats Imports'!$A:$A=$A29))"),0.7372245599354069)</f>
        <v>0.7372245599</v>
      </c>
      <c r="F31" s="138">
        <f>IFERROR(__xludf.DUMMYFUNCTION("CORREL(FILTER('Raw Stats Imports'!$AT:$AT,'Raw Stats Imports'!$A:$A=$A29),FILTER('Raw Stats Imports'!$AX:$AX,'Raw Stats Imports'!$A:$A=$A29))"),0.7043279862589455)</f>
        <v>0.7043279863</v>
      </c>
    </row>
    <row r="32">
      <c r="B32" s="138" t="s">
        <v>18</v>
      </c>
      <c r="C32" s="138">
        <f>IFERROR(__xludf.DUMMYFUNCTION("CORREL(FILTER('Raw Stats Imports'!$H:$H,'Raw Stats Imports'!$A:$A=$A29),FILTER('Raw Stats Imports'!AV:AV,'Raw Stats Imports'!$A:$A=$A29))"),0.7857938061351474)</f>
        <v>0.7857938061</v>
      </c>
      <c r="D32" s="138">
        <f>IFERROR(__xludf.DUMMYFUNCTION("CORREL(FILTER('Raw Stats Imports'!$H:$H,'Raw Stats Imports'!$A:$A=$A29),FILTER('Raw Stats Imports'!$AX:$AX,'Raw Stats Imports'!$A:$A=$A29))"),0.7372245599354069)</f>
        <v>0.7372245599</v>
      </c>
      <c r="E32" s="138"/>
      <c r="F32" s="138">
        <f>IFERROR(__xludf.DUMMYFUNCTION("CORREL(FILTER('Raw Stats Imports'!$H:$H,'Raw Stats Imports'!$A:$A=$A29),FILTER('Raw Stats Imports'!$AT:$AT,'Raw Stats Imports'!$A:$A=$A29))"),0.836154650219179)</f>
        <v>0.8361546502</v>
      </c>
    </row>
    <row r="33">
      <c r="B33" s="138" t="s">
        <v>22</v>
      </c>
      <c r="C33" s="138">
        <f>IFERROR(__xludf.DUMMYFUNCTION("CORREL(FILTER('Raw Stats Imports'!$AT:$AT,'Raw Stats Imports'!$A:$A=$A29),FILTER('Raw Stats Imports'!AV:AV,'Raw Stats Imports'!$A:$A=$A29))"),0.8527795284700449)</f>
        <v>0.8527795285</v>
      </c>
      <c r="D33" s="138">
        <f>IFERROR(__xludf.DUMMYFUNCTION("CORREL(FILTER('Raw Stats Imports'!$AT:$AT,'Raw Stats Imports'!$A:$A=$A29),FILTER('Raw Stats Imports'!$AX:$AX,'Raw Stats Imports'!$A:$A=$A29))"),0.7043279862589455)</f>
        <v>0.7043279863</v>
      </c>
      <c r="E33" s="138">
        <f>IFERROR(__xludf.DUMMYFUNCTION("CORREL(FILTER('Raw Stats Imports'!$H:$H,'Raw Stats Imports'!$A:$A=$A29),FILTER('Raw Stats Imports'!$AT:$AT,'Raw Stats Imports'!$A:$A=$A29))"),0.836154650219179)</f>
        <v>0.8361546502</v>
      </c>
      <c r="F33" s="139"/>
    </row>
    <row r="34">
      <c r="A34" s="140" t="s">
        <v>158</v>
      </c>
      <c r="B34" s="141" t="s">
        <v>183</v>
      </c>
      <c r="C34" s="142" t="s">
        <v>4</v>
      </c>
      <c r="D34" s="142" t="s">
        <v>136</v>
      </c>
      <c r="E34" s="142" t="s">
        <v>18</v>
      </c>
      <c r="F34" s="142" t="s">
        <v>22</v>
      </c>
      <c r="H34" s="140" t="s">
        <v>158</v>
      </c>
    </row>
    <row r="35">
      <c r="B35" s="143" t="str">
        <f t="array" ref="B35:B38">TRANSPOSE(C34:F34)</f>
        <v>IDR</v>
      </c>
      <c r="C35" s="143"/>
      <c r="D35" s="143">
        <f>IFERROR(__xludf.DUMMYFUNCTION("CORREL(FILTER('Raw Stats Imports'!AV:AV,'Raw Stats Imports'!$A:$A=$A34),FILTER('Raw Stats Imports'!AX:AX,'Raw Stats Imports'!$A:$A=$A34))"),0.940615726240733)</f>
        <v>0.9406157262</v>
      </c>
      <c r="E35" s="143">
        <f>IFERROR(__xludf.DUMMYFUNCTION("CORREL(FILTER('Raw Stats Imports'!$H:$H,'Raw Stats Imports'!$A:$A=$A34),FILTER('Raw Stats Imports'!AV:AV,'Raw Stats Imports'!$A:$A=$A34))"),0.6871468451817021)</f>
        <v>0.6871468452</v>
      </c>
      <c r="F35" s="143">
        <f>IFERROR(__xludf.DUMMYFUNCTION("CORREL(FILTER('Raw Stats Imports'!$AT:$AT,'Raw Stats Imports'!$A:$A=$A34),FILTER('Raw Stats Imports'!AV:AV,'Raw Stats Imports'!$A:$A=$A34))"),0.8222947608641364)</f>
        <v>0.8222947609</v>
      </c>
    </row>
    <row r="36">
      <c r="B36" s="143" t="s">
        <v>136</v>
      </c>
      <c r="C36" s="143">
        <f>IFERROR(__xludf.DUMMYFUNCTION("CORREL(FILTER('Raw Stats Imports'!$AV:$AV,'Raw Stats Imports'!$A:$A=$A34),FILTER('Raw Stats Imports'!$AX:$AX,'Raw Stats Imports'!$A:$A=$A34))"),0.940615726240733)</f>
        <v>0.9406157262</v>
      </c>
      <c r="D36" s="143"/>
      <c r="E36" s="143">
        <f>IFERROR(__xludf.DUMMYFUNCTION("CORREL(FILTER('Raw Stats Imports'!$H:$H,'Raw Stats Imports'!$A:$A=$A34),FILTER('Raw Stats Imports'!$AX:$AX,'Raw Stats Imports'!$A:$A=$A34))"),0.6772385857575722)</f>
        <v>0.6772385858</v>
      </c>
      <c r="F36" s="143">
        <f>IFERROR(__xludf.DUMMYFUNCTION("CORREL(FILTER('Raw Stats Imports'!$AT:$AT,'Raw Stats Imports'!$A:$A=$A34),FILTER('Raw Stats Imports'!$AX:$AX,'Raw Stats Imports'!$A:$A=$A34))"),0.775128202674066)</f>
        <v>0.7751282027</v>
      </c>
    </row>
    <row r="37">
      <c r="B37" s="143" t="s">
        <v>18</v>
      </c>
      <c r="C37" s="143">
        <f>IFERROR(__xludf.DUMMYFUNCTION("CORREL(FILTER('Raw Stats Imports'!$H:$H,'Raw Stats Imports'!$A:$A=$A34),FILTER('Raw Stats Imports'!AV:AV,'Raw Stats Imports'!$A:$A=$A34))"),0.6871468451817021)</f>
        <v>0.6871468452</v>
      </c>
      <c r="D37" s="143">
        <f>IFERROR(__xludf.DUMMYFUNCTION("CORREL(FILTER('Raw Stats Imports'!$H:$H,'Raw Stats Imports'!$A:$A=$A34),FILTER('Raw Stats Imports'!$AX:$AX,'Raw Stats Imports'!$A:$A=$A34))"),0.6772385857575722)</f>
        <v>0.6772385858</v>
      </c>
      <c r="E37" s="143"/>
      <c r="F37" s="143">
        <f>IFERROR(__xludf.DUMMYFUNCTION("CORREL(FILTER('Raw Stats Imports'!$H:$H,'Raw Stats Imports'!$A:$A=$A34),FILTER('Raw Stats Imports'!$AT:$AT,'Raw Stats Imports'!$A:$A=$A34))"),0.8570974014128505)</f>
        <v>0.8570974014</v>
      </c>
    </row>
    <row r="38">
      <c r="B38" s="143" t="s">
        <v>22</v>
      </c>
      <c r="C38" s="143">
        <f>IFERROR(__xludf.DUMMYFUNCTION("CORREL(FILTER('Raw Stats Imports'!$AT:$AT,'Raw Stats Imports'!$A:$A=$A34),FILTER('Raw Stats Imports'!AV:AV,'Raw Stats Imports'!$A:$A=$A34))"),0.8222947608641364)</f>
        <v>0.8222947609</v>
      </c>
      <c r="D38" s="143">
        <f>IFERROR(__xludf.DUMMYFUNCTION("CORREL(FILTER('Raw Stats Imports'!$AT:$AT,'Raw Stats Imports'!$A:$A=$A34),FILTER('Raw Stats Imports'!$AX:$AX,'Raw Stats Imports'!$A:$A=$A34))"),0.775128202674066)</f>
        <v>0.7751282027</v>
      </c>
      <c r="E38" s="143">
        <f>IFERROR(__xludf.DUMMYFUNCTION("CORREL(FILTER('Raw Stats Imports'!$H:$H,'Raw Stats Imports'!$A:$A=$A34),FILTER('Raw Stats Imports'!$AT:$AT,'Raw Stats Imports'!$A:$A=$A34))"),0.8570974014128505)</f>
        <v>0.8570974014</v>
      </c>
      <c r="F38" s="144"/>
    </row>
    <row r="39">
      <c r="A39" s="145" t="s">
        <v>160</v>
      </c>
      <c r="B39" s="146" t="s">
        <v>183</v>
      </c>
      <c r="C39" s="147" t="s">
        <v>4</v>
      </c>
      <c r="D39" s="147" t="s">
        <v>136</v>
      </c>
      <c r="E39" s="147" t="s">
        <v>18</v>
      </c>
      <c r="F39" s="147" t="s">
        <v>22</v>
      </c>
      <c r="H39" s="145" t="s">
        <v>160</v>
      </c>
    </row>
    <row r="40">
      <c r="B40" s="148" t="str">
        <f t="array" ref="B40:B43">TRANSPOSE(C39:F39)</f>
        <v>IDR</v>
      </c>
      <c r="C40" s="148"/>
      <c r="D40" s="148">
        <f>IFERROR(__xludf.DUMMYFUNCTION("CORREL(FILTER('Raw Stats Imports'!AV:AV,'Raw Stats Imports'!$A:$A=$A39),FILTER('Raw Stats Imports'!AX:AX,'Raw Stats Imports'!$A:$A=$A39))"),0.9025552599234055)</f>
        <v>0.9025552599</v>
      </c>
      <c r="E40" s="148">
        <f>IFERROR(__xludf.DUMMYFUNCTION("CORREL(FILTER('Raw Stats Imports'!$H:$H,'Raw Stats Imports'!$A:$A=$A39),FILTER('Raw Stats Imports'!AV:AV,'Raw Stats Imports'!$A:$A=$A39))"),0.7366711360978063)</f>
        <v>0.7366711361</v>
      </c>
      <c r="F40" s="148">
        <f>IFERROR(__xludf.DUMMYFUNCTION("CORREL(FILTER('Raw Stats Imports'!$AT:$AT,'Raw Stats Imports'!$A:$A=$A39),FILTER('Raw Stats Imports'!AV:AV,'Raw Stats Imports'!$A:$A=$A39))"),0.7790764032622186)</f>
        <v>0.7790764033</v>
      </c>
    </row>
    <row r="41">
      <c r="B41" s="148" t="s">
        <v>136</v>
      </c>
      <c r="C41" s="148">
        <f>IFERROR(__xludf.DUMMYFUNCTION("CORREL(FILTER('Raw Stats Imports'!$AV:$AV,'Raw Stats Imports'!$A:$A=$A39),FILTER('Raw Stats Imports'!$AX:$AX,'Raw Stats Imports'!$A:$A=$A39))"),0.9025552599234055)</f>
        <v>0.9025552599</v>
      </c>
      <c r="D41" s="148"/>
      <c r="E41" s="148">
        <f>IFERROR(__xludf.DUMMYFUNCTION("CORREL(FILTER('Raw Stats Imports'!$H:$H,'Raw Stats Imports'!$A:$A=$A39),FILTER('Raw Stats Imports'!$AX:$AX,'Raw Stats Imports'!$A:$A=$A39))"),0.6460460022932452)</f>
        <v>0.6460460023</v>
      </c>
      <c r="F41" s="148">
        <f>IFERROR(__xludf.DUMMYFUNCTION("CORREL(FILTER('Raw Stats Imports'!$AT:$AT,'Raw Stats Imports'!$A:$A=$A39),FILTER('Raw Stats Imports'!$AX:$AX,'Raw Stats Imports'!$A:$A=$A39))"),0.6797133449074215)</f>
        <v>0.6797133449</v>
      </c>
    </row>
    <row r="42">
      <c r="B42" s="148" t="s">
        <v>18</v>
      </c>
      <c r="C42" s="148">
        <f>IFERROR(__xludf.DUMMYFUNCTION("CORREL(FILTER('Raw Stats Imports'!$H:$H,'Raw Stats Imports'!$A:$A=$A39),FILTER('Raw Stats Imports'!AV:AV,'Raw Stats Imports'!$A:$A=$A39))"),0.7366711360978063)</f>
        <v>0.7366711361</v>
      </c>
      <c r="D42" s="148">
        <f>IFERROR(__xludf.DUMMYFUNCTION("CORREL(FILTER('Raw Stats Imports'!$H:$H,'Raw Stats Imports'!$A:$A=$A39),FILTER('Raw Stats Imports'!$AX:$AX,'Raw Stats Imports'!$A:$A=$A39))"),0.6460460022932452)</f>
        <v>0.6460460023</v>
      </c>
      <c r="E42" s="148"/>
      <c r="F42" s="148">
        <f>IFERROR(__xludf.DUMMYFUNCTION("CORREL(FILTER('Raw Stats Imports'!$H:$H,'Raw Stats Imports'!$A:$A=$A39),FILTER('Raw Stats Imports'!$AT:$AT,'Raw Stats Imports'!$A:$A=$A39))"),0.9394965481570916)</f>
        <v>0.9394965482</v>
      </c>
    </row>
    <row r="43">
      <c r="B43" s="148" t="s">
        <v>22</v>
      </c>
      <c r="C43" s="148">
        <f>IFERROR(__xludf.DUMMYFUNCTION("CORREL(FILTER('Raw Stats Imports'!$AT:$AT,'Raw Stats Imports'!$A:$A=$A39),FILTER('Raw Stats Imports'!AV:AV,'Raw Stats Imports'!$A:$A=$A39))"),0.7790764032622186)</f>
        <v>0.7790764033</v>
      </c>
      <c r="D43" s="148">
        <f>IFERROR(__xludf.DUMMYFUNCTION("CORREL(FILTER('Raw Stats Imports'!$AT:$AT,'Raw Stats Imports'!$A:$A=$A39),FILTER('Raw Stats Imports'!$AX:$AX,'Raw Stats Imports'!$A:$A=$A39))"),0.6797133449074215)</f>
        <v>0.6797133449</v>
      </c>
      <c r="E43" s="148">
        <f>IFERROR(__xludf.DUMMYFUNCTION("CORREL(FILTER('Raw Stats Imports'!$H:$H,'Raw Stats Imports'!$A:$A=$A39),FILTER('Raw Stats Imports'!$AT:$AT,'Raw Stats Imports'!$A:$A=$A39))"),0.9394965481570916)</f>
        <v>0.9394965482</v>
      </c>
      <c r="F43" s="149"/>
    </row>
    <row r="44">
      <c r="A44" s="150" t="s">
        <v>162</v>
      </c>
      <c r="B44" s="151" t="s">
        <v>183</v>
      </c>
      <c r="C44" s="152" t="s">
        <v>4</v>
      </c>
      <c r="D44" s="152" t="s">
        <v>136</v>
      </c>
      <c r="E44" s="152" t="s">
        <v>18</v>
      </c>
      <c r="F44" s="152" t="s">
        <v>22</v>
      </c>
      <c r="H44" s="153" t="s">
        <v>162</v>
      </c>
    </row>
    <row r="45">
      <c r="B45" s="154" t="str">
        <f t="array" ref="B45:B48">TRANSPOSE(C44:F44)</f>
        <v>IDR</v>
      </c>
      <c r="C45" s="154"/>
      <c r="D45" s="154">
        <f>IFERROR(__xludf.DUMMYFUNCTION("CORREL(FILTER('Raw Stats Imports'!AV:AV,'Raw Stats Imports'!$A:$A=$A44),FILTER('Raw Stats Imports'!AX:AX,'Raw Stats Imports'!$A:$A=$A44))"),0.9005367245367948)</f>
        <v>0.9005367245</v>
      </c>
      <c r="E45" s="154">
        <f>IFERROR(__xludf.DUMMYFUNCTION("CORREL(FILTER('Raw Stats Imports'!$H:$H,'Raw Stats Imports'!$A:$A=$A44),FILTER('Raw Stats Imports'!AV:AV,'Raw Stats Imports'!$A:$A=$A44))"),0.6850631191916977)</f>
        <v>0.6850631192</v>
      </c>
      <c r="F45" s="154">
        <f>IFERROR(__xludf.DUMMYFUNCTION("CORREL(FILTER('Raw Stats Imports'!$AT:$AT,'Raw Stats Imports'!$A:$A=$A44),FILTER('Raw Stats Imports'!AV:AV,'Raw Stats Imports'!$A:$A=$A44))"),0.7773078084505722)</f>
        <v>0.7773078085</v>
      </c>
    </row>
    <row r="46">
      <c r="B46" s="154" t="s">
        <v>136</v>
      </c>
      <c r="C46" s="154">
        <f>IFERROR(__xludf.DUMMYFUNCTION("CORREL(FILTER('Raw Stats Imports'!$AV:$AV,'Raw Stats Imports'!$A:$A=$A44),FILTER('Raw Stats Imports'!$AX:$AX,'Raw Stats Imports'!$A:$A=$A44))"),0.9005367245367948)</f>
        <v>0.9005367245</v>
      </c>
      <c r="D46" s="154"/>
      <c r="E46" s="154">
        <f>IFERROR(__xludf.DUMMYFUNCTION("CORREL(FILTER('Raw Stats Imports'!$H:$H,'Raw Stats Imports'!$A:$A=$A44),FILTER('Raw Stats Imports'!$AX:$AX,'Raw Stats Imports'!$A:$A=$A44))"),0.5152258291239126)</f>
        <v>0.5152258291</v>
      </c>
      <c r="F46" s="154">
        <f>IFERROR(__xludf.DUMMYFUNCTION("CORREL(FILTER('Raw Stats Imports'!$AT:$AT,'Raw Stats Imports'!$A:$A=$A44),FILTER('Raw Stats Imports'!$AX:$AX,'Raw Stats Imports'!$A:$A=$A44))"),0.6102361093318077)</f>
        <v>0.6102361093</v>
      </c>
    </row>
    <row r="47">
      <c r="B47" s="154" t="s">
        <v>18</v>
      </c>
      <c r="C47" s="154">
        <f>IFERROR(__xludf.DUMMYFUNCTION("CORREL(FILTER('Raw Stats Imports'!$H:$H,'Raw Stats Imports'!$A:$A=$A44),FILTER('Raw Stats Imports'!AV:AV,'Raw Stats Imports'!$A:$A=$A44))"),0.6850631191916977)</f>
        <v>0.6850631192</v>
      </c>
      <c r="D47" s="154">
        <f>IFERROR(__xludf.DUMMYFUNCTION("CORREL(FILTER('Raw Stats Imports'!$H:$H,'Raw Stats Imports'!$A:$A=$A44),FILTER('Raw Stats Imports'!$AX:$AX,'Raw Stats Imports'!$A:$A=$A44))"),0.5152258291239126)</f>
        <v>0.5152258291</v>
      </c>
      <c r="E47" s="154"/>
      <c r="F47" s="154">
        <f>IFERROR(__xludf.DUMMYFUNCTION("CORREL(FILTER('Raw Stats Imports'!$H:$H,'Raw Stats Imports'!$A:$A=$A44),FILTER('Raw Stats Imports'!$AT:$AT,'Raw Stats Imports'!$A:$A=$A44))"),0.9015580414421893)</f>
        <v>0.9015580414</v>
      </c>
    </row>
    <row r="48">
      <c r="B48" s="154" t="s">
        <v>22</v>
      </c>
      <c r="C48" s="154">
        <f>IFERROR(__xludf.DUMMYFUNCTION("CORREL(FILTER('Raw Stats Imports'!$AT:$AT,'Raw Stats Imports'!$A:$A=$A44),FILTER('Raw Stats Imports'!AV:AV,'Raw Stats Imports'!$A:$A=$A44))"),0.7773078084505722)</f>
        <v>0.7773078085</v>
      </c>
      <c r="D48" s="154">
        <f>IFERROR(__xludf.DUMMYFUNCTION("CORREL(FILTER('Raw Stats Imports'!$AT:$AT,'Raw Stats Imports'!$A:$A=$A44),FILTER('Raw Stats Imports'!$AX:$AX,'Raw Stats Imports'!$A:$A=$A44))"),0.6102361093318077)</f>
        <v>0.6102361093</v>
      </c>
      <c r="E48" s="154">
        <f>IFERROR(__xludf.DUMMYFUNCTION("CORREL(FILTER('Raw Stats Imports'!$H:$H,'Raw Stats Imports'!$A:$A=$A44),FILTER('Raw Stats Imports'!$AT:$AT,'Raw Stats Imports'!$A:$A=$A44))"),0.9015580414421893)</f>
        <v>0.9015580414</v>
      </c>
      <c r="F48" s="155"/>
    </row>
    <row r="49">
      <c r="A49" s="156" t="s">
        <v>164</v>
      </c>
      <c r="B49" s="157" t="s">
        <v>183</v>
      </c>
      <c r="C49" s="158" t="s">
        <v>4</v>
      </c>
      <c r="D49" s="158" t="s">
        <v>136</v>
      </c>
      <c r="E49" s="158" t="s">
        <v>18</v>
      </c>
      <c r="F49" s="158" t="s">
        <v>22</v>
      </c>
      <c r="H49" s="156" t="s">
        <v>164</v>
      </c>
    </row>
    <row r="50">
      <c r="B50" s="159" t="str">
        <f t="array" ref="B50:B53">TRANSPOSE(C49:F49)</f>
        <v>IDR</v>
      </c>
      <c r="C50" s="159"/>
      <c r="D50" s="159">
        <f>IFERROR(__xludf.DUMMYFUNCTION("CORREL(FILTER('Raw Stats Imports'!AV:AV,'Raw Stats Imports'!$A:$A=$A49),FILTER('Raw Stats Imports'!AX:AX,'Raw Stats Imports'!$A:$A=$A49))"),0.9215740888725483)</f>
        <v>0.9215740889</v>
      </c>
      <c r="E50" s="159">
        <f>IFERROR(__xludf.DUMMYFUNCTION("CORREL(FILTER('Raw Stats Imports'!$H:$H,'Raw Stats Imports'!$A:$A=$A49),FILTER('Raw Stats Imports'!AV:AV,'Raw Stats Imports'!$A:$A=$A49))"),0.7055686191340916)</f>
        <v>0.7055686191</v>
      </c>
      <c r="F50" s="159">
        <f>IFERROR(__xludf.DUMMYFUNCTION("CORREL(FILTER('Raw Stats Imports'!$AT:$AT,'Raw Stats Imports'!$A:$A=$A49),FILTER('Raw Stats Imports'!AV:AV,'Raw Stats Imports'!$A:$A=$A49))"),0.7639601164198504)</f>
        <v>0.7639601164</v>
      </c>
    </row>
    <row r="51">
      <c r="B51" s="159" t="s">
        <v>136</v>
      </c>
      <c r="C51" s="159">
        <f>IFERROR(__xludf.DUMMYFUNCTION("CORREL(FILTER('Raw Stats Imports'!$AV:$AV,'Raw Stats Imports'!$A:$A=$A49),FILTER('Raw Stats Imports'!$AX:$AX,'Raw Stats Imports'!$A:$A=$A49))"),0.9215740888725483)</f>
        <v>0.9215740889</v>
      </c>
      <c r="D51" s="159"/>
      <c r="E51" s="159">
        <f>IFERROR(__xludf.DUMMYFUNCTION("CORREL(FILTER('Raw Stats Imports'!$H:$H,'Raw Stats Imports'!$A:$A=$A49),FILTER('Raw Stats Imports'!$AX:$AX,'Raw Stats Imports'!$A:$A=$A49))"),0.634680335229721)</f>
        <v>0.6346803352</v>
      </c>
      <c r="F51" s="159">
        <f>IFERROR(__xludf.DUMMYFUNCTION("CORREL(FILTER('Raw Stats Imports'!$AT:$AT,'Raw Stats Imports'!$A:$A=$A49),FILTER('Raw Stats Imports'!$AX:$AX,'Raw Stats Imports'!$A:$A=$A49))"),0.6885751333461833)</f>
        <v>0.6885751333</v>
      </c>
    </row>
    <row r="52">
      <c r="B52" s="159" t="s">
        <v>18</v>
      </c>
      <c r="C52" s="159">
        <f>IFERROR(__xludf.DUMMYFUNCTION("CORREL(FILTER('Raw Stats Imports'!$H:$H,'Raw Stats Imports'!$A:$A=$A49),FILTER('Raw Stats Imports'!AV:AV,'Raw Stats Imports'!$A:$A=$A49))"),0.7055686191340916)</f>
        <v>0.7055686191</v>
      </c>
      <c r="D52" s="159">
        <f>IFERROR(__xludf.DUMMYFUNCTION("CORREL(FILTER('Raw Stats Imports'!$H:$H,'Raw Stats Imports'!$A:$A=$A49),FILTER('Raw Stats Imports'!$AX:$AX,'Raw Stats Imports'!$A:$A=$A49))"),0.634680335229721)</f>
        <v>0.6346803352</v>
      </c>
      <c r="E52" s="159"/>
      <c r="F52" s="159">
        <f>IFERROR(__xludf.DUMMYFUNCTION("CORREL(FILTER('Raw Stats Imports'!$H:$H,'Raw Stats Imports'!$A:$A=$A49),FILTER('Raw Stats Imports'!$AT:$AT,'Raw Stats Imports'!$A:$A=$A49))"),0.9137438495521369)</f>
        <v>0.9137438496</v>
      </c>
    </row>
    <row r="53">
      <c r="B53" s="159" t="s">
        <v>22</v>
      </c>
      <c r="C53" s="159">
        <f>IFERROR(__xludf.DUMMYFUNCTION("CORREL(FILTER('Raw Stats Imports'!$AT:$AT,'Raw Stats Imports'!$A:$A=$A49),FILTER('Raw Stats Imports'!AV:AV,'Raw Stats Imports'!$A:$A=$A49))"),0.7639601164198504)</f>
        <v>0.7639601164</v>
      </c>
      <c r="D53" s="159">
        <f>IFERROR(__xludf.DUMMYFUNCTION("CORREL(FILTER('Raw Stats Imports'!$AT:$AT,'Raw Stats Imports'!$A:$A=$A49),FILTER('Raw Stats Imports'!$AX:$AX,'Raw Stats Imports'!$A:$A=$A49))"),0.6885751333461833)</f>
        <v>0.6885751333</v>
      </c>
      <c r="E53" s="159">
        <f>IFERROR(__xludf.DUMMYFUNCTION("CORREL(FILTER('Raw Stats Imports'!$H:$H,'Raw Stats Imports'!$A:$A=$A49),FILTER('Raw Stats Imports'!$AT:$AT,'Raw Stats Imports'!$A:$A=$A49))"),0.9137438495521369)</f>
        <v>0.9137438496</v>
      </c>
      <c r="F53" s="160"/>
    </row>
    <row r="54">
      <c r="A54" s="161" t="s">
        <v>166</v>
      </c>
      <c r="B54" s="162" t="s">
        <v>183</v>
      </c>
      <c r="C54" s="163" t="s">
        <v>4</v>
      </c>
      <c r="D54" s="163" t="s">
        <v>136</v>
      </c>
      <c r="E54" s="163" t="s">
        <v>18</v>
      </c>
      <c r="F54" s="163" t="s">
        <v>22</v>
      </c>
      <c r="H54" s="161" t="s">
        <v>166</v>
      </c>
    </row>
    <row r="55">
      <c r="B55" s="164" t="str">
        <f t="array" ref="B55:B58">TRANSPOSE(C54:F54)</f>
        <v>IDR</v>
      </c>
      <c r="C55" s="164"/>
      <c r="D55" s="164">
        <f>IFERROR(__xludf.DUMMYFUNCTION("CORREL(FILTER('Raw Stats Imports'!AV:AV,'Raw Stats Imports'!$A:$A=$A54),FILTER('Raw Stats Imports'!AX:AX,'Raw Stats Imports'!$A:$A=$A54))"),0.928999906541426)</f>
        <v>0.9289999065</v>
      </c>
      <c r="E55" s="164">
        <f>IFERROR(__xludf.DUMMYFUNCTION("CORREL(FILTER('Raw Stats Imports'!$H:$H,'Raw Stats Imports'!$A:$A=$A54),FILTER('Raw Stats Imports'!AV:AV,'Raw Stats Imports'!$A:$A=$A54))"),0.7465394177557281)</f>
        <v>0.7465394178</v>
      </c>
      <c r="F55" s="164">
        <f>IFERROR(__xludf.DUMMYFUNCTION("CORREL(FILTER('Raw Stats Imports'!$AT:$AT,'Raw Stats Imports'!$A:$A=$A54),FILTER('Raw Stats Imports'!AV:AV,'Raw Stats Imports'!$A:$A=$A54))"),0.81434615132266)</f>
        <v>0.8143461513</v>
      </c>
    </row>
    <row r="56">
      <c r="B56" s="164" t="s">
        <v>136</v>
      </c>
      <c r="C56" s="164">
        <f>IFERROR(__xludf.DUMMYFUNCTION("CORREL(FILTER('Raw Stats Imports'!$AV:$AV,'Raw Stats Imports'!$A:$A=$A54),FILTER('Raw Stats Imports'!$AX:$AX,'Raw Stats Imports'!$A:$A=$A54))"),0.928999906541426)</f>
        <v>0.9289999065</v>
      </c>
      <c r="D56" s="164"/>
      <c r="E56" s="164">
        <f>IFERROR(__xludf.DUMMYFUNCTION("CORREL(FILTER('Raw Stats Imports'!$H:$H,'Raw Stats Imports'!$A:$A=$A54),FILTER('Raw Stats Imports'!$AX:$AX,'Raw Stats Imports'!$A:$A=$A54))"),0.6568096455783677)</f>
        <v>0.6568096456</v>
      </c>
      <c r="F56" s="164">
        <f>IFERROR(__xludf.DUMMYFUNCTION("CORREL(FILTER('Raw Stats Imports'!$AT:$AT,'Raw Stats Imports'!$A:$A=$A54),FILTER('Raw Stats Imports'!$AX:$AX,'Raw Stats Imports'!$A:$A=$A54))"),0.726403709718829)</f>
        <v>0.7264037097</v>
      </c>
    </row>
    <row r="57">
      <c r="B57" s="164" t="s">
        <v>18</v>
      </c>
      <c r="C57" s="164">
        <f>IFERROR(__xludf.DUMMYFUNCTION("CORREL(FILTER('Raw Stats Imports'!$H:$H,'Raw Stats Imports'!$A:$A=$A54),FILTER('Raw Stats Imports'!AV:AV,'Raw Stats Imports'!$A:$A=$A54))"),0.7465394177557281)</f>
        <v>0.7465394178</v>
      </c>
      <c r="D57" s="164">
        <f>IFERROR(__xludf.DUMMYFUNCTION("CORREL(FILTER('Raw Stats Imports'!$H:$H,'Raw Stats Imports'!$A:$A=$A54),FILTER('Raw Stats Imports'!$AX:$AX,'Raw Stats Imports'!$A:$A=$A54))"),0.6568096455783677)</f>
        <v>0.6568096456</v>
      </c>
      <c r="E57" s="164"/>
      <c r="F57" s="164">
        <f>IFERROR(__xludf.DUMMYFUNCTION("CORREL(FILTER('Raw Stats Imports'!$H:$H,'Raw Stats Imports'!$A:$A=$A54),FILTER('Raw Stats Imports'!$AT:$AT,'Raw Stats Imports'!$A:$A=$A54))"),0.9410850809645412)</f>
        <v>0.941085081</v>
      </c>
    </row>
    <row r="58">
      <c r="B58" s="164" t="s">
        <v>22</v>
      </c>
      <c r="C58" s="164">
        <f>IFERROR(__xludf.DUMMYFUNCTION("CORREL(FILTER('Raw Stats Imports'!$AT:$AT,'Raw Stats Imports'!$A:$A=$A54),FILTER('Raw Stats Imports'!AV:AV,'Raw Stats Imports'!$A:$A=$A54))"),0.81434615132266)</f>
        <v>0.8143461513</v>
      </c>
      <c r="D58" s="164">
        <f>IFERROR(__xludf.DUMMYFUNCTION("CORREL(FILTER('Raw Stats Imports'!$AT:$AT,'Raw Stats Imports'!$A:$A=$A54),FILTER('Raw Stats Imports'!$AX:$AX,'Raw Stats Imports'!$A:$A=$A54))"),0.726403709718829)</f>
        <v>0.7264037097</v>
      </c>
      <c r="E58" s="164">
        <f>IFERROR(__xludf.DUMMYFUNCTION("CORREL(FILTER('Raw Stats Imports'!$H:$H,'Raw Stats Imports'!$A:$A=$A54),FILTER('Raw Stats Imports'!$AT:$AT,'Raw Stats Imports'!$A:$A=$A54))"),0.9410850809645412)</f>
        <v>0.941085081</v>
      </c>
      <c r="F58" s="165"/>
    </row>
    <row r="59">
      <c r="A59" s="166" t="s">
        <v>168</v>
      </c>
      <c r="B59" s="167" t="s">
        <v>183</v>
      </c>
      <c r="C59" s="168" t="s">
        <v>4</v>
      </c>
      <c r="D59" s="168" t="s">
        <v>136</v>
      </c>
      <c r="E59" s="168" t="s">
        <v>18</v>
      </c>
      <c r="F59" s="168" t="s">
        <v>22</v>
      </c>
      <c r="H59" s="166" t="s">
        <v>168</v>
      </c>
    </row>
    <row r="60">
      <c r="B60" s="169" t="str">
        <f t="array" ref="B60:B63">TRANSPOSE(C59:F59)</f>
        <v>IDR</v>
      </c>
      <c r="C60" s="169"/>
      <c r="D60" s="169">
        <f>IFERROR(__xludf.DUMMYFUNCTION("CORREL(FILTER('Raw Stats Imports'!AV:AV,'Raw Stats Imports'!$A:$A=$A59),FILTER('Raw Stats Imports'!AX:AX,'Raw Stats Imports'!$A:$A=$A59))"),0.8771803599522436)</f>
        <v>0.87718036</v>
      </c>
      <c r="E60" s="169">
        <f>IFERROR(__xludf.DUMMYFUNCTION("CORREL(FILTER('Raw Stats Imports'!$H:$H,'Raw Stats Imports'!$A:$A=$A59),FILTER('Raw Stats Imports'!AV:AV,'Raw Stats Imports'!$A:$A=$A59))"),0.7021154401667629)</f>
        <v>0.7021154402</v>
      </c>
      <c r="F60" s="169">
        <f>IFERROR(__xludf.DUMMYFUNCTION("CORREL(FILTER('Raw Stats Imports'!$AT:$AT,'Raw Stats Imports'!$A:$A=$A59),FILTER('Raw Stats Imports'!AV:AV,'Raw Stats Imports'!$A:$A=$A59))"),0.7797241657996102)</f>
        <v>0.7797241658</v>
      </c>
    </row>
    <row r="61">
      <c r="B61" s="169" t="s">
        <v>136</v>
      </c>
      <c r="C61" s="169">
        <f>IFERROR(__xludf.DUMMYFUNCTION("CORREL(FILTER('Raw Stats Imports'!$AV:$AV,'Raw Stats Imports'!$A:$A=$A59),FILTER('Raw Stats Imports'!$AX:$AX,'Raw Stats Imports'!$A:$A=$A59))"),0.8771803599522436)</f>
        <v>0.87718036</v>
      </c>
      <c r="D61" s="169"/>
      <c r="E61" s="169">
        <f>IFERROR(__xludf.DUMMYFUNCTION("CORREL(FILTER('Raw Stats Imports'!$H:$H,'Raw Stats Imports'!$A:$A=$A59),FILTER('Raw Stats Imports'!$AX:$AX,'Raw Stats Imports'!$A:$A=$A59))"),0.5661322431026824)</f>
        <v>0.5661322431</v>
      </c>
      <c r="F61" s="169">
        <f>IFERROR(__xludf.DUMMYFUNCTION("CORREL(FILTER('Raw Stats Imports'!$AT:$AT,'Raw Stats Imports'!$A:$A=$A59),FILTER('Raw Stats Imports'!$AX:$AX,'Raw Stats Imports'!$A:$A=$A59))"),0.6126343669495272)</f>
        <v>0.6126343669</v>
      </c>
    </row>
    <row r="62">
      <c r="B62" s="169" t="s">
        <v>18</v>
      </c>
      <c r="C62" s="169">
        <f>IFERROR(__xludf.DUMMYFUNCTION("CORREL(FILTER('Raw Stats Imports'!$H:$H,'Raw Stats Imports'!$A:$A=$A59),FILTER('Raw Stats Imports'!AV:AV,'Raw Stats Imports'!$A:$A=$A59))"),0.7021154401667629)</f>
        <v>0.7021154402</v>
      </c>
      <c r="D62" s="169">
        <f>IFERROR(__xludf.DUMMYFUNCTION("CORREL(FILTER('Raw Stats Imports'!$H:$H,'Raw Stats Imports'!$A:$A=$A59),FILTER('Raw Stats Imports'!$AX:$AX,'Raw Stats Imports'!$A:$A=$A59))"),0.5661322431026824)</f>
        <v>0.5661322431</v>
      </c>
      <c r="E62" s="169"/>
      <c r="F62" s="169">
        <f>IFERROR(__xludf.DUMMYFUNCTION("CORREL(FILTER('Raw Stats Imports'!$H:$H,'Raw Stats Imports'!$A:$A=$A59),FILTER('Raw Stats Imports'!$AT:$AT,'Raw Stats Imports'!$A:$A=$A59))"),0.9089261179600804)</f>
        <v>0.908926118</v>
      </c>
    </row>
    <row r="63">
      <c r="B63" s="169" t="s">
        <v>22</v>
      </c>
      <c r="C63" s="169">
        <f>IFERROR(__xludf.DUMMYFUNCTION("CORREL(FILTER('Raw Stats Imports'!$AT:$AT,'Raw Stats Imports'!$A:$A=$A59),FILTER('Raw Stats Imports'!AV:AV,'Raw Stats Imports'!$A:$A=$A59))"),0.7797241657996102)</f>
        <v>0.7797241658</v>
      </c>
      <c r="D63" s="169">
        <f>IFERROR(__xludf.DUMMYFUNCTION("CORREL(FILTER('Raw Stats Imports'!$AT:$AT,'Raw Stats Imports'!$A:$A=$A59),FILTER('Raw Stats Imports'!$AX:$AX,'Raw Stats Imports'!$A:$A=$A59))"),0.6126343669495272)</f>
        <v>0.6126343669</v>
      </c>
      <c r="E63" s="169">
        <f>IFERROR(__xludf.DUMMYFUNCTION("CORREL(FILTER('Raw Stats Imports'!$H:$H,'Raw Stats Imports'!$A:$A=$A59),FILTER('Raw Stats Imports'!$AT:$AT,'Raw Stats Imports'!$A:$A=$A59))"),0.9089261179600804)</f>
        <v>0.908926118</v>
      </c>
      <c r="F63" s="170"/>
    </row>
    <row r="64">
      <c r="A64" s="171" t="s">
        <v>170</v>
      </c>
      <c r="B64" s="172" t="s">
        <v>183</v>
      </c>
      <c r="C64" s="173" t="s">
        <v>4</v>
      </c>
      <c r="D64" s="173" t="s">
        <v>136</v>
      </c>
      <c r="E64" s="173" t="s">
        <v>18</v>
      </c>
      <c r="F64" s="173" t="s">
        <v>22</v>
      </c>
      <c r="H64" s="171" t="s">
        <v>170</v>
      </c>
    </row>
    <row r="65">
      <c r="B65" s="174" t="str">
        <f t="array" ref="B65:B68">TRANSPOSE(C64:F64)</f>
        <v>IDR</v>
      </c>
      <c r="C65" s="174"/>
      <c r="D65" s="174">
        <f>IFERROR(__xludf.DUMMYFUNCTION("CORREL(FILTER('Raw Stats Imports'!AV:AV,'Raw Stats Imports'!$A:$A=$A64),FILTER('Raw Stats Imports'!AX:AX,'Raw Stats Imports'!$A:$A=$A64))"),0.93750966188486)</f>
        <v>0.9375096619</v>
      </c>
      <c r="E65" s="174">
        <f>IFERROR(__xludf.DUMMYFUNCTION("CORREL(FILTER('Raw Stats Imports'!$H:$H,'Raw Stats Imports'!$A:$A=$A64),FILTER('Raw Stats Imports'!AV:AV,'Raw Stats Imports'!$A:$A=$A64))"),0.8134493811869916)</f>
        <v>0.8134493812</v>
      </c>
      <c r="F65" s="174">
        <f>IFERROR(__xludf.DUMMYFUNCTION("CORREL(FILTER('Raw Stats Imports'!$AT:$AT,'Raw Stats Imports'!$A:$A=$A64),FILTER('Raw Stats Imports'!AV:AV,'Raw Stats Imports'!$A:$A=$A64))"),0.8663932834414021)</f>
        <v>0.8663932834</v>
      </c>
    </row>
    <row r="66">
      <c r="B66" s="174" t="s">
        <v>136</v>
      </c>
      <c r="C66" s="174">
        <f>IFERROR(__xludf.DUMMYFUNCTION("CORREL(FILTER('Raw Stats Imports'!$AV:$AV,'Raw Stats Imports'!$A:$A=$A64),FILTER('Raw Stats Imports'!$AX:$AX,'Raw Stats Imports'!$A:$A=$A64))"),0.93750966188486)</f>
        <v>0.9375096619</v>
      </c>
      <c r="D66" s="174"/>
      <c r="E66" s="174">
        <f>IFERROR(__xludf.DUMMYFUNCTION("CORREL(FILTER('Raw Stats Imports'!$H:$H,'Raw Stats Imports'!$A:$A=$A64),FILTER('Raw Stats Imports'!$AX:$AX,'Raw Stats Imports'!$A:$A=$A64))"),0.7056498587799481)</f>
        <v>0.7056498588</v>
      </c>
      <c r="F66" s="174">
        <f>IFERROR(__xludf.DUMMYFUNCTION("CORREL(FILTER('Raw Stats Imports'!$AT:$AT,'Raw Stats Imports'!$A:$A=$A64),FILTER('Raw Stats Imports'!$AX:$AX,'Raw Stats Imports'!$A:$A=$A64))"),0.7578286938472675)</f>
        <v>0.7578286938</v>
      </c>
    </row>
    <row r="67">
      <c r="B67" s="174" t="s">
        <v>18</v>
      </c>
      <c r="C67" s="174">
        <f>IFERROR(__xludf.DUMMYFUNCTION("CORREL(FILTER('Raw Stats Imports'!$H:$H,'Raw Stats Imports'!$A:$A=$A64),FILTER('Raw Stats Imports'!AV:AV,'Raw Stats Imports'!$A:$A=$A64))"),0.8134493811869916)</f>
        <v>0.8134493812</v>
      </c>
      <c r="D67" s="174">
        <f>IFERROR(__xludf.DUMMYFUNCTION("CORREL(FILTER('Raw Stats Imports'!$H:$H,'Raw Stats Imports'!$A:$A=$A64),FILTER('Raw Stats Imports'!$AX:$AX,'Raw Stats Imports'!$A:$A=$A64))"),0.7056498587799481)</f>
        <v>0.7056498588</v>
      </c>
      <c r="E67" s="174"/>
      <c r="F67" s="174">
        <f>IFERROR(__xludf.DUMMYFUNCTION("CORREL(FILTER('Raw Stats Imports'!$H:$H,'Raw Stats Imports'!$A:$A=$A64),FILTER('Raw Stats Imports'!$AT:$AT,'Raw Stats Imports'!$A:$A=$A64))"),0.9456778123042178)</f>
        <v>0.9456778123</v>
      </c>
    </row>
    <row r="68">
      <c r="B68" s="174" t="s">
        <v>22</v>
      </c>
      <c r="C68" s="174">
        <f>IFERROR(__xludf.DUMMYFUNCTION("CORREL(FILTER('Raw Stats Imports'!$AT:$AT,'Raw Stats Imports'!$A:$A=$A64),FILTER('Raw Stats Imports'!AV:AV,'Raw Stats Imports'!$A:$A=$A64))"),0.8663932834414021)</f>
        <v>0.8663932834</v>
      </c>
      <c r="D68" s="174">
        <f>IFERROR(__xludf.DUMMYFUNCTION("CORREL(FILTER('Raw Stats Imports'!$AT:$AT,'Raw Stats Imports'!$A:$A=$A64),FILTER('Raw Stats Imports'!$AX:$AX,'Raw Stats Imports'!$A:$A=$A64))"),0.7578286938472675)</f>
        <v>0.7578286938</v>
      </c>
      <c r="E68" s="174">
        <f>IFERROR(__xludf.DUMMYFUNCTION("CORREL(FILTER('Raw Stats Imports'!$H:$H,'Raw Stats Imports'!$A:$A=$A64),FILTER('Raw Stats Imports'!$AT:$AT,'Raw Stats Imports'!$A:$A=$A64))"),0.9456778123042178)</f>
        <v>0.9456778123</v>
      </c>
      <c r="F68" s="175"/>
    </row>
    <row r="69">
      <c r="A69" s="176" t="s">
        <v>172</v>
      </c>
      <c r="B69" s="177" t="s">
        <v>183</v>
      </c>
      <c r="C69" s="178" t="s">
        <v>4</v>
      </c>
      <c r="D69" s="178" t="s">
        <v>136</v>
      </c>
      <c r="E69" s="178" t="s">
        <v>18</v>
      </c>
      <c r="F69" s="178" t="s">
        <v>22</v>
      </c>
      <c r="H69" s="176" t="s">
        <v>172</v>
      </c>
    </row>
    <row r="70">
      <c r="B70" s="179" t="str">
        <f t="array" ref="B70:B73">TRANSPOSE(C69:F69)</f>
        <v>IDR</v>
      </c>
      <c r="C70" s="179"/>
      <c r="D70" s="179">
        <f>IFERROR(__xludf.DUMMYFUNCTION("CORREL(FILTER('Raw Stats Imports'!AV:AV,'Raw Stats Imports'!$A:$A=$A69),FILTER('Raw Stats Imports'!AX:AX,'Raw Stats Imports'!$A:$A=$A69))"),0.9488310562289968)</f>
        <v>0.9488310562</v>
      </c>
      <c r="E70" s="179">
        <f>IFERROR(__xludf.DUMMYFUNCTION("CORREL(FILTER('Raw Stats Imports'!$H:$H,'Raw Stats Imports'!$A:$A=$A69),FILTER('Raw Stats Imports'!AV:AV,'Raw Stats Imports'!$A:$A=$A69))"),0.7074717711138931)</f>
        <v>0.7074717711</v>
      </c>
      <c r="F70" s="179">
        <f>IFERROR(__xludf.DUMMYFUNCTION("CORREL(FILTER('Raw Stats Imports'!$AT:$AT,'Raw Stats Imports'!$A:$A=$A69),FILTER('Raw Stats Imports'!AV:AV,'Raw Stats Imports'!$A:$A=$A69))"),0.6314498468565558)</f>
        <v>0.6314498469</v>
      </c>
    </row>
    <row r="71">
      <c r="B71" s="179" t="s">
        <v>136</v>
      </c>
      <c r="C71" s="179">
        <f>IFERROR(__xludf.DUMMYFUNCTION("CORREL(FILTER('Raw Stats Imports'!$AV:$AV,'Raw Stats Imports'!$A:$A=$A69),FILTER('Raw Stats Imports'!$AX:$AX,'Raw Stats Imports'!$A:$A=$A69))"),0.9488310562289968)</f>
        <v>0.9488310562</v>
      </c>
      <c r="D71" s="179"/>
      <c r="E71" s="179">
        <f>IFERROR(__xludf.DUMMYFUNCTION("CORREL(FILTER('Raw Stats Imports'!$H:$H,'Raw Stats Imports'!$A:$A=$A69),FILTER('Raw Stats Imports'!$AX:$AX,'Raw Stats Imports'!$A:$A=$A69))"),0.580280309241528)</f>
        <v>0.5802803092</v>
      </c>
      <c r="F71" s="179">
        <f>IFERROR(__xludf.DUMMYFUNCTION("CORREL(FILTER('Raw Stats Imports'!$AT:$AT,'Raw Stats Imports'!$A:$A=$A69),FILTER('Raw Stats Imports'!$AX:$AX,'Raw Stats Imports'!$A:$A=$A69))"),0.5684766789782274)</f>
        <v>0.568476679</v>
      </c>
    </row>
    <row r="72">
      <c r="B72" s="179" t="s">
        <v>18</v>
      </c>
      <c r="C72" s="179">
        <f>IFERROR(__xludf.DUMMYFUNCTION("CORREL(FILTER('Raw Stats Imports'!$H:$H,'Raw Stats Imports'!$A:$A=$A69),FILTER('Raw Stats Imports'!AV:AV,'Raw Stats Imports'!$A:$A=$A69))"),0.7074717711138931)</f>
        <v>0.7074717711</v>
      </c>
      <c r="D72" s="179">
        <f>IFERROR(__xludf.DUMMYFUNCTION("CORREL(FILTER('Raw Stats Imports'!$H:$H,'Raw Stats Imports'!$A:$A=$A69),FILTER('Raw Stats Imports'!$AX:$AX,'Raw Stats Imports'!$A:$A=$A69))"),0.580280309241528)</f>
        <v>0.5802803092</v>
      </c>
      <c r="E72" s="179"/>
      <c r="F72" s="179">
        <f>IFERROR(__xludf.DUMMYFUNCTION("CORREL(FILTER('Raw Stats Imports'!$H:$H,'Raw Stats Imports'!$A:$A=$A69),FILTER('Raw Stats Imports'!$AT:$AT,'Raw Stats Imports'!$A:$A=$A69))"),0.8250817991669122)</f>
        <v>0.8250817992</v>
      </c>
    </row>
    <row r="73">
      <c r="B73" s="179" t="s">
        <v>22</v>
      </c>
      <c r="C73" s="179">
        <f>IFERROR(__xludf.DUMMYFUNCTION("CORREL(FILTER('Raw Stats Imports'!$AT:$AT,'Raw Stats Imports'!$A:$A=$A69),FILTER('Raw Stats Imports'!AV:AV,'Raw Stats Imports'!$A:$A=$A69))"),0.6314498468565558)</f>
        <v>0.6314498469</v>
      </c>
      <c r="D73" s="179">
        <f>IFERROR(__xludf.DUMMYFUNCTION("CORREL(FILTER('Raw Stats Imports'!$AT:$AT,'Raw Stats Imports'!$A:$A=$A69),FILTER('Raw Stats Imports'!$AX:$AX,'Raw Stats Imports'!$A:$A=$A69))"),0.5684766789782274)</f>
        <v>0.568476679</v>
      </c>
      <c r="E73" s="179">
        <f>IFERROR(__xludf.DUMMYFUNCTION("CORREL(FILTER('Raw Stats Imports'!$H:$H,'Raw Stats Imports'!$A:$A=$A69),FILTER('Raw Stats Imports'!$AT:$AT,'Raw Stats Imports'!$A:$A=$A69))"),0.8250817991669122)</f>
        <v>0.8250817992</v>
      </c>
      <c r="F73" s="180"/>
    </row>
  </sheetData>
  <mergeCells count="32">
    <mergeCell ref="L14:M14"/>
    <mergeCell ref="N14:O14"/>
    <mergeCell ref="P14:Q14"/>
    <mergeCell ref="R14:S14"/>
    <mergeCell ref="T14:U14"/>
    <mergeCell ref="H14:I14"/>
    <mergeCell ref="H24:H28"/>
    <mergeCell ref="B1:E1"/>
    <mergeCell ref="B11:E11"/>
    <mergeCell ref="B14:C14"/>
    <mergeCell ref="D14:E14"/>
    <mergeCell ref="F14:G14"/>
    <mergeCell ref="J14:K14"/>
    <mergeCell ref="A24:A28"/>
    <mergeCell ref="A44:A48"/>
    <mergeCell ref="A49:A53"/>
    <mergeCell ref="A54:A58"/>
    <mergeCell ref="A59:A63"/>
    <mergeCell ref="A64:A68"/>
    <mergeCell ref="A69:A73"/>
    <mergeCell ref="H49:H53"/>
    <mergeCell ref="H54:H58"/>
    <mergeCell ref="H59:H63"/>
    <mergeCell ref="H64:H68"/>
    <mergeCell ref="H69:H73"/>
    <mergeCell ref="A29:A33"/>
    <mergeCell ref="H29:H33"/>
    <mergeCell ref="A34:A38"/>
    <mergeCell ref="H34:H38"/>
    <mergeCell ref="A39:A43"/>
    <mergeCell ref="H39:H43"/>
    <mergeCell ref="H44:H48"/>
  </mergeCells>
  <drawing r:id="rId1"/>
</worksheet>
</file>